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ämäTyökirja" defaultThemeVersion="124226"/>
  <mc:AlternateContent xmlns:mc="http://schemas.openxmlformats.org/markup-compatibility/2006">
    <mc:Choice Requires="x15">
      <x15ac:absPath xmlns:x15ac="http://schemas.microsoft.com/office/spreadsheetml/2010/11/ac" url="\\valtion.fi\Yhteiset_tiedostot\VM\KAO\Kuntatalousohjelma\KTO kuntaennustekehikko\Syksy 2024\"/>
    </mc:Choice>
  </mc:AlternateContent>
  <xr:revisionPtr revIDLastSave="0" documentId="13_ncr:1_{5CC02F65-C23A-465F-8974-562C37D1F62A}" xr6:coauthVersionLast="47" xr6:coauthVersionMax="47" xr10:uidLastSave="{00000000-0000-0000-0000-000000000000}"/>
  <bookViews>
    <workbookView xWindow="-120" yWindow="-120" windowWidth="29040" windowHeight="15840" tabRatio="945" xr2:uid="{00000000-000D-0000-FFFF-FFFF00000000}"/>
  </bookViews>
  <sheets>
    <sheet name="Info" sheetId="73" r:id="rId1"/>
    <sheet name="Painelaskelma" sheetId="15" r:id="rId2"/>
    <sheet name="Taulukot" sheetId="66" r:id="rId3"/>
    <sheet name="Kuviot" sheetId="74" r:id="rId4"/>
    <sheet name="1. Väestöennuste" sheetId="64" r:id="rId5"/>
    <sheet name="2. Toimintakate" sheetId="42" r:id="rId6"/>
    <sheet name="2.1. Toimintakatennuste" sheetId="70" r:id="rId7"/>
    <sheet name="3. Verotulot" sheetId="43" r:id="rId8"/>
    <sheet name="4. Valtionosuudet" sheetId="45" r:id="rId9"/>
    <sheet name="5. Rahoitustuotot ja -kulut" sheetId="46" r:id="rId10"/>
    <sheet name="6. Poistot" sheetId="48" r:id="rId11"/>
    <sheet name="7. Nettoinvestoinnit " sheetId="47" r:id="rId12"/>
    <sheet name="7.1. Nettoinvestointiennuste " sheetId="71" r:id="rId13"/>
    <sheet name="8. Satunnaiset erät" sheetId="49" r:id="rId14"/>
    <sheet name="9. Tulorahkorjauserät" sheetId="50" r:id="rId15"/>
    <sheet name="10. Kassavarat vuoden lopussa" sheetId="52" r:id="rId16"/>
    <sheet name="Käyttökate" sheetId="53" r:id="rId17"/>
    <sheet name="Vuosikate" sheetId="54" r:id="rId18"/>
    <sheet name="Toim ja inv rahavirta" sheetId="57" r:id="rId19"/>
    <sheet name="Tilikauden tulos" sheetId="65" r:id="rId20"/>
    <sheet name="Taseen kertynyt ali_ylijäämä" sheetId="56" r:id="rId21"/>
    <sheet name="Lainakanta" sheetId="51" r:id="rId22"/>
    <sheet name="Veroposentin tuotto" sheetId="44" r:id="rId23"/>
    <sheet name="Korotuspaine" sheetId="68" r:id="rId24"/>
    <sheet name="Makroennusteet" sheetId="40" r:id="rId25"/>
    <sheet name="aputaulukko" sheetId="60" r:id="rId26"/>
    <sheet name="Manner-Suomen kunnat 2022" sheetId="3" r:id="rId27"/>
  </sheets>
  <definedNames>
    <definedName name="kassavarat">'10. Kassavarat vuoden lopussa'!$A$13:$P$307</definedName>
    <definedName name="korotuspaine">Korotuspaine!$A$19:$W$314</definedName>
    <definedName name="kunnat">'Manner-Suomen kunnat 2022'!$A$2:$B$295</definedName>
    <definedName name="kuntiennimet">'Manner-Suomen kunnat 2022'!$A$2:$A$295</definedName>
    <definedName name="lainakanta">Lainakanta!$A$13:$P$307</definedName>
    <definedName name="linkki">'Manner-Suomen kunnat 2022'!$A$299</definedName>
    <definedName name="linkki2">'Manner-Suomen kunnat 2022'!$A$306</definedName>
    <definedName name="muuttujat">'Manner-Suomen kunnat 2022'!$A$302:$B$303</definedName>
    <definedName name="nettoinvestoinnit">'7. Nettoinvestoinnit '!$A$13:$P$307</definedName>
    <definedName name="nimilinkki">'Manner-Suomen kunnat 2022'!$B$299</definedName>
    <definedName name="nimilinkki2">'Manner-Suomen kunnat 2022'!$B$306</definedName>
    <definedName name="Poistot">'6. Poistot'!$A$13:$P$307</definedName>
    <definedName name="Rahoitusnetto">'5. Rahoitustuotot ja -kulut'!$A$13:$R$307</definedName>
    <definedName name="retro">Painelaskelma!$B$2</definedName>
    <definedName name="retro2">Painelaskelma!$B$5</definedName>
    <definedName name="satut">'8. Satunnaiset erät'!$A$13:$P$307</definedName>
    <definedName name="Toimintakate">'2. Toimintakate'!$B$13:$Q$307</definedName>
    <definedName name="tulrah">'9. Tulorahkorjauserät'!$A$13:$P$307</definedName>
    <definedName name="valtionosuudet">'4. Valtionosuudet'!$A$13:$CK$307</definedName>
    <definedName name="veroprosentti">'Veroposentin tuotto'!$A$13:$N$307</definedName>
    <definedName name="Verotulot">'3. Verotulot'!$B$13:$BT$307</definedName>
    <definedName name="väestöennuste">'1. Väestöennuste'!$B$13:$T$307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80" i="66" l="1"/>
  <c r="K180" i="66"/>
  <c r="M6" i="42"/>
  <c r="M6" i="70"/>
  <c r="M2" i="70"/>
  <c r="X15" i="71"/>
  <c r="U15" i="71"/>
  <c r="BK32" i="45"/>
  <c r="AJ15" i="64"/>
  <c r="AJ2" i="64"/>
  <c r="AK8" i="64" l="1"/>
  <c r="X193" i="64" l="1"/>
  <c r="AA193" i="64"/>
  <c r="AD193" i="64"/>
  <c r="AG193" i="64"/>
  <c r="AJ193" i="64"/>
  <c r="AM193" i="64"/>
  <c r="AP193" i="64"/>
  <c r="AS193" i="64"/>
  <c r="AV193" i="64"/>
  <c r="AY193" i="64"/>
  <c r="BB193" i="64"/>
  <c r="BE193" i="64"/>
  <c r="BM13" i="45" l="1"/>
  <c r="X2" i="70" l="1"/>
  <c r="Y2" i="70"/>
  <c r="Z2" i="70"/>
  <c r="AA2" i="70"/>
  <c r="AB2" i="70"/>
  <c r="AC2" i="70"/>
  <c r="AD2" i="70"/>
  <c r="W2" i="70"/>
  <c r="BQ15" i="45" l="1"/>
  <c r="M14" i="40" l="1"/>
  <c r="M11" i="40"/>
  <c r="P5" i="46" s="1"/>
  <c r="J14" i="40"/>
  <c r="M25" i="40" l="1"/>
  <c r="M21" i="40"/>
  <c r="P6" i="47" s="1"/>
  <c r="M17" i="40"/>
  <c r="N6" i="70" l="1"/>
  <c r="V6" i="70" l="1"/>
  <c r="BE13" i="45" l="1"/>
  <c r="BH13" i="45"/>
  <c r="CI13" i="45" l="1"/>
  <c r="CH13" i="45"/>
  <c r="CG13" i="45"/>
  <c r="P8" i="52"/>
  <c r="P13" i="50"/>
  <c r="AI307" i="49"/>
  <c r="AI306" i="49"/>
  <c r="AI305" i="49"/>
  <c r="AI304" i="49"/>
  <c r="AI303" i="49"/>
  <c r="AI302" i="49"/>
  <c r="AI301" i="49"/>
  <c r="AI300" i="49"/>
  <c r="AI299" i="49"/>
  <c r="AI298" i="49"/>
  <c r="AI297" i="49"/>
  <c r="AI296" i="49"/>
  <c r="AI295" i="49"/>
  <c r="AI294" i="49"/>
  <c r="AI293" i="49"/>
  <c r="AI292" i="49"/>
  <c r="AI291" i="49"/>
  <c r="AI290" i="49"/>
  <c r="AI289" i="49"/>
  <c r="AI288" i="49"/>
  <c r="AI287" i="49"/>
  <c r="AI286" i="49"/>
  <c r="AI285" i="49"/>
  <c r="AI284" i="49"/>
  <c r="AI283" i="49"/>
  <c r="AI282" i="49"/>
  <c r="AI281" i="49"/>
  <c r="AI280" i="49"/>
  <c r="AI279" i="49"/>
  <c r="AI278" i="49"/>
  <c r="AI277" i="49"/>
  <c r="AI276" i="49"/>
  <c r="AI275" i="49"/>
  <c r="AI274" i="49"/>
  <c r="AI273" i="49"/>
  <c r="AI272" i="49"/>
  <c r="AI271" i="49"/>
  <c r="AI270" i="49"/>
  <c r="AI269" i="49"/>
  <c r="AI268" i="49"/>
  <c r="AI267" i="49"/>
  <c r="AI266" i="49"/>
  <c r="AI265" i="49"/>
  <c r="AI264" i="49"/>
  <c r="AI263" i="49"/>
  <c r="AI262" i="49"/>
  <c r="AI261" i="49"/>
  <c r="AI260" i="49"/>
  <c r="AI259" i="49"/>
  <c r="AI258" i="49"/>
  <c r="AI257" i="49"/>
  <c r="AI256" i="49"/>
  <c r="AI255" i="49"/>
  <c r="AI254" i="49"/>
  <c r="AI253" i="49"/>
  <c r="AI252" i="49"/>
  <c r="AI251" i="49"/>
  <c r="AI250" i="49"/>
  <c r="AI249" i="49"/>
  <c r="AI248" i="49"/>
  <c r="AI247" i="49"/>
  <c r="AI246" i="49"/>
  <c r="AI245" i="49"/>
  <c r="AI244" i="49"/>
  <c r="AI243" i="49"/>
  <c r="AI242" i="49"/>
  <c r="AI241" i="49"/>
  <c r="AI240" i="49"/>
  <c r="AI239" i="49"/>
  <c r="AI238" i="49"/>
  <c r="AI237" i="49"/>
  <c r="AI236" i="49"/>
  <c r="AI235" i="49"/>
  <c r="AI234" i="49"/>
  <c r="AI233" i="49"/>
  <c r="AI232" i="49"/>
  <c r="AI231" i="49"/>
  <c r="AI230" i="49"/>
  <c r="AI229" i="49"/>
  <c r="AI228" i="49"/>
  <c r="AI227" i="49"/>
  <c r="AI226" i="49"/>
  <c r="AI225" i="49"/>
  <c r="AI224" i="49"/>
  <c r="AI223" i="49"/>
  <c r="AI222" i="49"/>
  <c r="AI221" i="49"/>
  <c r="AI220" i="49"/>
  <c r="AI219" i="49"/>
  <c r="AI218" i="49"/>
  <c r="AI217" i="49"/>
  <c r="AI216" i="49"/>
  <c r="AI215" i="49"/>
  <c r="AI214" i="49"/>
  <c r="AI213" i="49"/>
  <c r="AI212" i="49"/>
  <c r="AI211" i="49"/>
  <c r="AI210" i="49"/>
  <c r="AI209" i="49"/>
  <c r="AI208" i="49"/>
  <c r="AI207" i="49"/>
  <c r="AI206" i="49"/>
  <c r="AI205" i="49"/>
  <c r="AI204" i="49"/>
  <c r="AI203" i="49"/>
  <c r="AI202" i="49"/>
  <c r="AI201" i="49"/>
  <c r="AI200" i="49"/>
  <c r="AI199" i="49"/>
  <c r="AI198" i="49"/>
  <c r="AI197" i="49"/>
  <c r="AI196" i="49"/>
  <c r="AI195" i="49"/>
  <c r="AI194" i="49"/>
  <c r="AI193" i="49"/>
  <c r="AI192" i="49"/>
  <c r="AI191" i="49"/>
  <c r="AI190" i="49"/>
  <c r="AI189" i="49"/>
  <c r="AI188" i="49"/>
  <c r="AI187" i="49"/>
  <c r="AI186" i="49"/>
  <c r="AI185" i="49"/>
  <c r="AI184" i="49"/>
  <c r="AI183" i="49"/>
  <c r="AI182" i="49"/>
  <c r="AI181" i="49"/>
  <c r="AI180" i="49"/>
  <c r="AI179" i="49"/>
  <c r="AI178" i="49"/>
  <c r="AI177" i="49"/>
  <c r="AI176" i="49"/>
  <c r="AI175" i="49"/>
  <c r="AI174" i="49"/>
  <c r="AI173" i="49"/>
  <c r="AI172" i="49"/>
  <c r="AI171" i="49"/>
  <c r="AI170" i="49"/>
  <c r="AI169" i="49"/>
  <c r="AI168" i="49"/>
  <c r="AI167" i="49"/>
  <c r="AI166" i="49"/>
  <c r="AI165" i="49"/>
  <c r="AI164" i="49"/>
  <c r="AI163" i="49"/>
  <c r="AI162" i="49"/>
  <c r="AI161" i="49"/>
  <c r="AI160" i="49"/>
  <c r="AI159" i="49"/>
  <c r="AI158" i="49"/>
  <c r="AI157" i="49"/>
  <c r="AI156" i="49"/>
  <c r="AI155" i="49"/>
  <c r="AI154" i="49"/>
  <c r="AI153" i="49"/>
  <c r="AI152" i="49"/>
  <c r="AI151" i="49"/>
  <c r="AI150" i="49"/>
  <c r="AI149" i="49"/>
  <c r="AI148" i="49"/>
  <c r="AI147" i="49"/>
  <c r="AI146" i="49"/>
  <c r="AI145" i="49"/>
  <c r="AI144" i="49"/>
  <c r="AI143" i="49"/>
  <c r="AI142" i="49"/>
  <c r="AI141" i="49"/>
  <c r="AI140" i="49"/>
  <c r="AI139" i="49"/>
  <c r="AI138" i="49"/>
  <c r="AI137" i="49"/>
  <c r="AI136" i="49"/>
  <c r="AI135" i="49"/>
  <c r="AI134" i="49"/>
  <c r="AI133" i="49"/>
  <c r="AI132" i="49"/>
  <c r="AI131" i="49"/>
  <c r="AI130" i="49"/>
  <c r="AI129" i="49"/>
  <c r="AI128" i="49"/>
  <c r="AI127" i="49"/>
  <c r="AI126" i="49"/>
  <c r="AI125" i="49"/>
  <c r="AI124" i="49"/>
  <c r="AI123" i="49"/>
  <c r="AI122" i="49"/>
  <c r="AI121" i="49"/>
  <c r="AI120" i="49"/>
  <c r="AI119" i="49"/>
  <c r="AI118" i="49"/>
  <c r="AI117" i="49"/>
  <c r="AI116" i="49"/>
  <c r="AI115" i="49"/>
  <c r="AI114" i="49"/>
  <c r="AI113" i="49"/>
  <c r="AI112" i="49"/>
  <c r="AI111" i="49"/>
  <c r="AI110" i="49"/>
  <c r="AI109" i="49"/>
  <c r="AI108" i="49"/>
  <c r="AI107" i="49"/>
  <c r="AI106" i="49"/>
  <c r="AI105" i="49"/>
  <c r="AI104" i="49"/>
  <c r="AI103" i="49"/>
  <c r="AI102" i="49"/>
  <c r="AI101" i="49"/>
  <c r="AI100" i="49"/>
  <c r="AI99" i="49"/>
  <c r="AI98" i="49"/>
  <c r="AI97" i="49"/>
  <c r="AI96" i="49"/>
  <c r="AI95" i="49"/>
  <c r="AI94" i="49"/>
  <c r="AI93" i="49"/>
  <c r="AI92" i="49"/>
  <c r="AI91" i="49"/>
  <c r="AI90" i="49"/>
  <c r="AI89" i="49"/>
  <c r="AI88" i="49"/>
  <c r="AI87" i="49"/>
  <c r="AI86" i="49"/>
  <c r="AI85" i="49"/>
  <c r="AI84" i="49"/>
  <c r="AI83" i="49"/>
  <c r="AI82" i="49"/>
  <c r="AI81" i="49"/>
  <c r="AI80" i="49"/>
  <c r="AI79" i="49"/>
  <c r="AI78" i="49"/>
  <c r="AI77" i="49"/>
  <c r="AI76" i="49"/>
  <c r="AI75" i="49"/>
  <c r="AI74" i="49"/>
  <c r="AI73" i="49"/>
  <c r="AI72" i="49"/>
  <c r="AI71" i="49"/>
  <c r="AI70" i="49"/>
  <c r="AI69" i="49"/>
  <c r="AI68" i="49"/>
  <c r="AI67" i="49"/>
  <c r="AI66" i="49"/>
  <c r="AI65" i="49"/>
  <c r="AI64" i="49"/>
  <c r="AI63" i="49"/>
  <c r="AI62" i="49"/>
  <c r="AI61" i="49"/>
  <c r="AI60" i="49"/>
  <c r="AI59" i="49"/>
  <c r="AI58" i="49"/>
  <c r="AI57" i="49"/>
  <c r="AI56" i="49"/>
  <c r="AI55" i="49"/>
  <c r="AI54" i="49"/>
  <c r="AI53" i="49"/>
  <c r="AI52" i="49"/>
  <c r="AI51" i="49"/>
  <c r="AI50" i="49"/>
  <c r="AI49" i="49"/>
  <c r="AI48" i="49"/>
  <c r="AI47" i="49"/>
  <c r="AI46" i="49"/>
  <c r="AI45" i="49"/>
  <c r="AI44" i="49"/>
  <c r="AI43" i="49"/>
  <c r="AI42" i="49"/>
  <c r="AI41" i="49"/>
  <c r="AI40" i="49"/>
  <c r="AI39" i="49"/>
  <c r="AI38" i="49"/>
  <c r="AI37" i="49"/>
  <c r="AI36" i="49"/>
  <c r="AI35" i="49"/>
  <c r="AI34" i="49"/>
  <c r="AI33" i="49"/>
  <c r="AI32" i="49"/>
  <c r="AI31" i="49"/>
  <c r="AI30" i="49"/>
  <c r="AI29" i="49"/>
  <c r="AI28" i="49"/>
  <c r="AI27" i="49"/>
  <c r="AI26" i="49"/>
  <c r="AI25" i="49"/>
  <c r="AI24" i="49"/>
  <c r="AI23" i="49"/>
  <c r="AI22" i="49"/>
  <c r="AI21" i="49"/>
  <c r="AI20" i="49"/>
  <c r="AI19" i="49"/>
  <c r="AI18" i="49"/>
  <c r="AI17" i="49"/>
  <c r="AI16" i="49"/>
  <c r="AI15" i="49"/>
  <c r="P13" i="49"/>
  <c r="V307" i="71"/>
  <c r="V306" i="71"/>
  <c r="V305" i="71"/>
  <c r="V304" i="71"/>
  <c r="V303" i="71"/>
  <c r="V302" i="71"/>
  <c r="V301" i="71"/>
  <c r="V300" i="71"/>
  <c r="V299" i="71"/>
  <c r="V298" i="71"/>
  <c r="V297" i="71"/>
  <c r="V296" i="71"/>
  <c r="V295" i="71"/>
  <c r="V294" i="71"/>
  <c r="V293" i="71"/>
  <c r="V292" i="71"/>
  <c r="V291" i="71"/>
  <c r="V290" i="71"/>
  <c r="V289" i="71"/>
  <c r="V288" i="71"/>
  <c r="V287" i="71"/>
  <c r="V286" i="71"/>
  <c r="V285" i="71"/>
  <c r="V284" i="71"/>
  <c r="V283" i="71"/>
  <c r="V282" i="71"/>
  <c r="V281" i="71"/>
  <c r="V280" i="71"/>
  <c r="V279" i="71"/>
  <c r="V278" i="71"/>
  <c r="V277" i="71"/>
  <c r="V276" i="71"/>
  <c r="V275" i="71"/>
  <c r="V274" i="71"/>
  <c r="V273" i="71"/>
  <c r="V272" i="71"/>
  <c r="V271" i="71"/>
  <c r="V270" i="71"/>
  <c r="V269" i="71"/>
  <c r="V268" i="71"/>
  <c r="V267" i="71"/>
  <c r="V266" i="71"/>
  <c r="V265" i="71"/>
  <c r="V264" i="71"/>
  <c r="V263" i="71"/>
  <c r="V262" i="71"/>
  <c r="V261" i="71"/>
  <c r="V260" i="71"/>
  <c r="V259" i="71"/>
  <c r="V258" i="71"/>
  <c r="V257" i="71"/>
  <c r="V256" i="71"/>
  <c r="V255" i="71"/>
  <c r="V254" i="71"/>
  <c r="V253" i="71"/>
  <c r="V252" i="71"/>
  <c r="V251" i="71"/>
  <c r="V250" i="71"/>
  <c r="V249" i="71"/>
  <c r="V248" i="71"/>
  <c r="V247" i="71"/>
  <c r="V246" i="71"/>
  <c r="V245" i="71"/>
  <c r="V244" i="71"/>
  <c r="V243" i="71"/>
  <c r="V242" i="71"/>
  <c r="V241" i="71"/>
  <c r="V240" i="71"/>
  <c r="V239" i="71"/>
  <c r="V238" i="71"/>
  <c r="V237" i="71"/>
  <c r="V236" i="71"/>
  <c r="V235" i="71"/>
  <c r="V234" i="71"/>
  <c r="V233" i="71"/>
  <c r="V232" i="71"/>
  <c r="V231" i="71"/>
  <c r="V230" i="71"/>
  <c r="V229" i="71"/>
  <c r="V228" i="71"/>
  <c r="V227" i="71"/>
  <c r="V226" i="71"/>
  <c r="V225" i="71"/>
  <c r="V224" i="71"/>
  <c r="V223" i="71"/>
  <c r="V222" i="71"/>
  <c r="V221" i="71"/>
  <c r="V220" i="71"/>
  <c r="V219" i="71"/>
  <c r="V218" i="71"/>
  <c r="V217" i="71"/>
  <c r="V216" i="71"/>
  <c r="V215" i="71"/>
  <c r="V214" i="71"/>
  <c r="V213" i="71"/>
  <c r="V212" i="71"/>
  <c r="V211" i="71"/>
  <c r="V210" i="71"/>
  <c r="V209" i="71"/>
  <c r="V208" i="71"/>
  <c r="V207" i="71"/>
  <c r="V206" i="71"/>
  <c r="V205" i="71"/>
  <c r="V204" i="71"/>
  <c r="V203" i="71"/>
  <c r="V202" i="71"/>
  <c r="V201" i="71"/>
  <c r="V200" i="71"/>
  <c r="V199" i="71"/>
  <c r="V198" i="71"/>
  <c r="V197" i="71"/>
  <c r="V196" i="71"/>
  <c r="V195" i="71"/>
  <c r="V194" i="71"/>
  <c r="V193" i="71"/>
  <c r="V192" i="71"/>
  <c r="V191" i="71"/>
  <c r="V190" i="71"/>
  <c r="V189" i="71"/>
  <c r="V188" i="71"/>
  <c r="V187" i="71"/>
  <c r="V186" i="71"/>
  <c r="V185" i="71"/>
  <c r="V184" i="71"/>
  <c r="V183" i="71"/>
  <c r="V182" i="71"/>
  <c r="V181" i="71"/>
  <c r="V180" i="71"/>
  <c r="V179" i="71"/>
  <c r="V178" i="71"/>
  <c r="V177" i="71"/>
  <c r="V176" i="71"/>
  <c r="V175" i="71"/>
  <c r="V174" i="71"/>
  <c r="V173" i="71"/>
  <c r="V172" i="71"/>
  <c r="V171" i="71"/>
  <c r="V170" i="71"/>
  <c r="V169" i="71"/>
  <c r="V168" i="71"/>
  <c r="V167" i="71"/>
  <c r="V166" i="71"/>
  <c r="V165" i="71"/>
  <c r="V164" i="71"/>
  <c r="V163" i="71"/>
  <c r="V162" i="71"/>
  <c r="V161" i="71"/>
  <c r="V160" i="71"/>
  <c r="V159" i="71"/>
  <c r="V158" i="71"/>
  <c r="V157" i="71"/>
  <c r="V156" i="71"/>
  <c r="V155" i="71"/>
  <c r="V154" i="71"/>
  <c r="V153" i="71"/>
  <c r="V152" i="71"/>
  <c r="V151" i="71"/>
  <c r="V150" i="71"/>
  <c r="V149" i="71"/>
  <c r="V148" i="71"/>
  <c r="V147" i="71"/>
  <c r="V146" i="71"/>
  <c r="V145" i="71"/>
  <c r="V144" i="71"/>
  <c r="V143" i="71"/>
  <c r="V142" i="71"/>
  <c r="V141" i="71"/>
  <c r="V140" i="71"/>
  <c r="V139" i="71"/>
  <c r="V138" i="71"/>
  <c r="V137" i="71"/>
  <c r="V136" i="71"/>
  <c r="V135" i="71"/>
  <c r="V134" i="71"/>
  <c r="V133" i="71"/>
  <c r="V132" i="71"/>
  <c r="V131" i="71"/>
  <c r="V130" i="71"/>
  <c r="V129" i="71"/>
  <c r="V128" i="71"/>
  <c r="V127" i="71"/>
  <c r="V126" i="71"/>
  <c r="V125" i="71"/>
  <c r="V124" i="71"/>
  <c r="V123" i="71"/>
  <c r="V122" i="71"/>
  <c r="V121" i="71"/>
  <c r="V120" i="71"/>
  <c r="V119" i="71"/>
  <c r="V118" i="71"/>
  <c r="V117" i="71"/>
  <c r="V116" i="71"/>
  <c r="V115" i="71"/>
  <c r="V114" i="71"/>
  <c r="V113" i="71"/>
  <c r="V112" i="71"/>
  <c r="V111" i="71"/>
  <c r="V110" i="71"/>
  <c r="V109" i="71"/>
  <c r="V108" i="71"/>
  <c r="V107" i="71"/>
  <c r="V106" i="71"/>
  <c r="V105" i="71"/>
  <c r="V104" i="71"/>
  <c r="V103" i="71"/>
  <c r="V102" i="71"/>
  <c r="V101" i="71"/>
  <c r="V100" i="71"/>
  <c r="V99" i="71"/>
  <c r="V98" i="71"/>
  <c r="V97" i="71"/>
  <c r="V96" i="71"/>
  <c r="V95" i="71"/>
  <c r="V94" i="71"/>
  <c r="V93" i="71"/>
  <c r="V92" i="71"/>
  <c r="V91" i="71"/>
  <c r="V90" i="71"/>
  <c r="V89" i="71"/>
  <c r="V88" i="71"/>
  <c r="V87" i="71"/>
  <c r="V86" i="71"/>
  <c r="V85" i="71"/>
  <c r="V84" i="71"/>
  <c r="V83" i="71"/>
  <c r="V82" i="71"/>
  <c r="V81" i="71"/>
  <c r="V80" i="71"/>
  <c r="V79" i="71"/>
  <c r="V78" i="71"/>
  <c r="V77" i="71"/>
  <c r="V76" i="71"/>
  <c r="V75" i="71"/>
  <c r="V74" i="71"/>
  <c r="V73" i="71"/>
  <c r="V72" i="71"/>
  <c r="V71" i="71"/>
  <c r="V70" i="71"/>
  <c r="V69" i="71"/>
  <c r="V68" i="71"/>
  <c r="V67" i="71"/>
  <c r="V66" i="71"/>
  <c r="V65" i="71"/>
  <c r="V64" i="71"/>
  <c r="V63" i="71"/>
  <c r="V62" i="71"/>
  <c r="V61" i="71"/>
  <c r="V60" i="71"/>
  <c r="V59" i="71"/>
  <c r="V58" i="71"/>
  <c r="V57" i="71"/>
  <c r="V56" i="71"/>
  <c r="V55" i="71"/>
  <c r="V54" i="71"/>
  <c r="V53" i="71"/>
  <c r="V52" i="71"/>
  <c r="V51" i="71"/>
  <c r="V50" i="71"/>
  <c r="V49" i="71"/>
  <c r="V48" i="71"/>
  <c r="V47" i="71"/>
  <c r="V46" i="71"/>
  <c r="V45" i="71"/>
  <c r="V44" i="71"/>
  <c r="V43" i="71"/>
  <c r="V42" i="71"/>
  <c r="V41" i="71"/>
  <c r="V40" i="71"/>
  <c r="V39" i="71"/>
  <c r="V38" i="71"/>
  <c r="V37" i="71"/>
  <c r="V36" i="71"/>
  <c r="V35" i="71"/>
  <c r="V34" i="71"/>
  <c r="V33" i="71"/>
  <c r="V32" i="71"/>
  <c r="V31" i="71"/>
  <c r="V30" i="71"/>
  <c r="V29" i="71"/>
  <c r="V28" i="71"/>
  <c r="V27" i="71"/>
  <c r="V26" i="71"/>
  <c r="V25" i="71"/>
  <c r="V24" i="71"/>
  <c r="V23" i="71"/>
  <c r="V22" i="71"/>
  <c r="V21" i="71"/>
  <c r="V20" i="71"/>
  <c r="V19" i="71"/>
  <c r="V18" i="71"/>
  <c r="V17" i="71"/>
  <c r="V16" i="71"/>
  <c r="V15" i="71"/>
  <c r="N13" i="71"/>
  <c r="P6" i="48"/>
  <c r="Q7" i="42"/>
  <c r="BT307" i="43"/>
  <c r="BT306" i="43"/>
  <c r="BT305" i="43"/>
  <c r="CE305" i="43" s="1"/>
  <c r="CQ305" i="43" s="1"/>
  <c r="BT304" i="43"/>
  <c r="CE304" i="43" s="1"/>
  <c r="CQ304" i="43" s="1"/>
  <c r="BT303" i="43"/>
  <c r="CE303" i="43" s="1"/>
  <c r="CQ303" i="43" s="1"/>
  <c r="BT302" i="43"/>
  <c r="CE302" i="43" s="1"/>
  <c r="CQ302" i="43" s="1"/>
  <c r="BT301" i="43"/>
  <c r="CE301" i="43" s="1"/>
  <c r="CQ301" i="43" s="1"/>
  <c r="BT300" i="43"/>
  <c r="CE300" i="43" s="1"/>
  <c r="CQ300" i="43" s="1"/>
  <c r="BT299" i="43"/>
  <c r="CE299" i="43" s="1"/>
  <c r="CQ299" i="43" s="1"/>
  <c r="BT298" i="43"/>
  <c r="CE298" i="43" s="1"/>
  <c r="CQ298" i="43" s="1"/>
  <c r="BT297" i="43"/>
  <c r="CE297" i="43" s="1"/>
  <c r="CQ297" i="43" s="1"/>
  <c r="BT296" i="43"/>
  <c r="CE296" i="43" s="1"/>
  <c r="CQ296" i="43" s="1"/>
  <c r="BT295" i="43"/>
  <c r="CE295" i="43" s="1"/>
  <c r="CQ295" i="43" s="1"/>
  <c r="BT294" i="43"/>
  <c r="CE294" i="43" s="1"/>
  <c r="CQ294" i="43" s="1"/>
  <c r="BT293" i="43"/>
  <c r="CE293" i="43" s="1"/>
  <c r="CQ293" i="43" s="1"/>
  <c r="BT292" i="43"/>
  <c r="CE292" i="43" s="1"/>
  <c r="CQ292" i="43" s="1"/>
  <c r="BT291" i="43"/>
  <c r="CE291" i="43" s="1"/>
  <c r="CQ291" i="43" s="1"/>
  <c r="BT290" i="43"/>
  <c r="CE290" i="43" s="1"/>
  <c r="CQ290" i="43" s="1"/>
  <c r="BT289" i="43"/>
  <c r="CE289" i="43" s="1"/>
  <c r="CQ289" i="43" s="1"/>
  <c r="BT288" i="43"/>
  <c r="CE288" i="43" s="1"/>
  <c r="CQ288" i="43" s="1"/>
  <c r="BT287" i="43"/>
  <c r="CE287" i="43" s="1"/>
  <c r="CQ287" i="43" s="1"/>
  <c r="BT286" i="43"/>
  <c r="CE286" i="43" s="1"/>
  <c r="CQ286" i="43" s="1"/>
  <c r="BT285" i="43"/>
  <c r="CE285" i="43" s="1"/>
  <c r="CQ285" i="43" s="1"/>
  <c r="BT284" i="43"/>
  <c r="CE284" i="43" s="1"/>
  <c r="CQ284" i="43" s="1"/>
  <c r="BT283" i="43"/>
  <c r="CE283" i="43" s="1"/>
  <c r="CQ283" i="43" s="1"/>
  <c r="BT282" i="43"/>
  <c r="CE282" i="43" s="1"/>
  <c r="CQ282" i="43" s="1"/>
  <c r="BT281" i="43"/>
  <c r="CE281" i="43" s="1"/>
  <c r="CQ281" i="43" s="1"/>
  <c r="BT280" i="43"/>
  <c r="CE280" i="43" s="1"/>
  <c r="CQ280" i="43" s="1"/>
  <c r="BT279" i="43"/>
  <c r="CE279" i="43" s="1"/>
  <c r="CQ279" i="43" s="1"/>
  <c r="BT278" i="43"/>
  <c r="CE278" i="43" s="1"/>
  <c r="CQ278" i="43" s="1"/>
  <c r="BT277" i="43"/>
  <c r="CE277" i="43" s="1"/>
  <c r="CQ277" i="43" s="1"/>
  <c r="BT276" i="43"/>
  <c r="CE276" i="43" s="1"/>
  <c r="CQ276" i="43" s="1"/>
  <c r="BT275" i="43"/>
  <c r="CE275" i="43" s="1"/>
  <c r="CQ275" i="43" s="1"/>
  <c r="BT274" i="43"/>
  <c r="CE274" i="43" s="1"/>
  <c r="CQ274" i="43" s="1"/>
  <c r="BT273" i="43"/>
  <c r="CE273" i="43" s="1"/>
  <c r="CQ273" i="43" s="1"/>
  <c r="BT272" i="43"/>
  <c r="CE272" i="43" s="1"/>
  <c r="CQ272" i="43" s="1"/>
  <c r="BT271" i="43"/>
  <c r="CE271" i="43" s="1"/>
  <c r="CQ271" i="43" s="1"/>
  <c r="BT270" i="43"/>
  <c r="CE270" i="43" s="1"/>
  <c r="CQ270" i="43" s="1"/>
  <c r="BT269" i="43"/>
  <c r="CE269" i="43" s="1"/>
  <c r="CQ269" i="43" s="1"/>
  <c r="BT268" i="43"/>
  <c r="CE268" i="43" s="1"/>
  <c r="CQ268" i="43" s="1"/>
  <c r="BT267" i="43"/>
  <c r="CE267" i="43" s="1"/>
  <c r="CQ267" i="43" s="1"/>
  <c r="BT266" i="43"/>
  <c r="CE266" i="43" s="1"/>
  <c r="CQ266" i="43" s="1"/>
  <c r="BT265" i="43"/>
  <c r="CE265" i="43" s="1"/>
  <c r="CQ265" i="43" s="1"/>
  <c r="BT264" i="43"/>
  <c r="CE264" i="43" s="1"/>
  <c r="CQ264" i="43" s="1"/>
  <c r="BT263" i="43"/>
  <c r="CE263" i="43" s="1"/>
  <c r="CQ263" i="43" s="1"/>
  <c r="BT262" i="43"/>
  <c r="CE262" i="43" s="1"/>
  <c r="CQ262" i="43" s="1"/>
  <c r="BT261" i="43"/>
  <c r="CE261" i="43" s="1"/>
  <c r="CQ261" i="43" s="1"/>
  <c r="BT260" i="43"/>
  <c r="CE260" i="43" s="1"/>
  <c r="CQ260" i="43" s="1"/>
  <c r="BT259" i="43"/>
  <c r="CE259" i="43" s="1"/>
  <c r="CQ259" i="43" s="1"/>
  <c r="BT258" i="43"/>
  <c r="CE258" i="43" s="1"/>
  <c r="CQ258" i="43" s="1"/>
  <c r="BT257" i="43"/>
  <c r="CE257" i="43" s="1"/>
  <c r="CQ257" i="43" s="1"/>
  <c r="BT256" i="43"/>
  <c r="CE256" i="43" s="1"/>
  <c r="CQ256" i="43" s="1"/>
  <c r="BT255" i="43"/>
  <c r="CE255" i="43" s="1"/>
  <c r="CQ255" i="43" s="1"/>
  <c r="BT254" i="43"/>
  <c r="CE254" i="43" s="1"/>
  <c r="CQ254" i="43" s="1"/>
  <c r="BT253" i="43"/>
  <c r="CE253" i="43" s="1"/>
  <c r="CQ253" i="43" s="1"/>
  <c r="BT252" i="43"/>
  <c r="CE252" i="43" s="1"/>
  <c r="CQ252" i="43" s="1"/>
  <c r="BT251" i="43"/>
  <c r="CE251" i="43" s="1"/>
  <c r="CQ251" i="43" s="1"/>
  <c r="BT250" i="43"/>
  <c r="CE250" i="43" s="1"/>
  <c r="CQ250" i="43" s="1"/>
  <c r="BT249" i="43"/>
  <c r="CE249" i="43" s="1"/>
  <c r="CQ249" i="43" s="1"/>
  <c r="BT248" i="43"/>
  <c r="CE248" i="43" s="1"/>
  <c r="CQ248" i="43" s="1"/>
  <c r="BT247" i="43"/>
  <c r="CE247" i="43" s="1"/>
  <c r="CQ247" i="43" s="1"/>
  <c r="BT246" i="43"/>
  <c r="CE246" i="43" s="1"/>
  <c r="CQ246" i="43" s="1"/>
  <c r="BT245" i="43"/>
  <c r="CE245" i="43" s="1"/>
  <c r="CQ245" i="43" s="1"/>
  <c r="BT244" i="43"/>
  <c r="CE244" i="43" s="1"/>
  <c r="CQ244" i="43" s="1"/>
  <c r="BT243" i="43"/>
  <c r="CE243" i="43" s="1"/>
  <c r="CQ243" i="43" s="1"/>
  <c r="BT242" i="43"/>
  <c r="CE242" i="43" s="1"/>
  <c r="CQ242" i="43" s="1"/>
  <c r="BT241" i="43"/>
  <c r="CE241" i="43" s="1"/>
  <c r="CQ241" i="43" s="1"/>
  <c r="BT240" i="43"/>
  <c r="CE240" i="43" s="1"/>
  <c r="CQ240" i="43" s="1"/>
  <c r="BT239" i="43"/>
  <c r="CE239" i="43" s="1"/>
  <c r="CQ239" i="43" s="1"/>
  <c r="BT238" i="43"/>
  <c r="CE238" i="43" s="1"/>
  <c r="CQ238" i="43" s="1"/>
  <c r="BT237" i="43"/>
  <c r="CE237" i="43" s="1"/>
  <c r="CQ237" i="43" s="1"/>
  <c r="BT236" i="43"/>
  <c r="CE236" i="43" s="1"/>
  <c r="CQ236" i="43" s="1"/>
  <c r="BT235" i="43"/>
  <c r="CE235" i="43" s="1"/>
  <c r="CQ235" i="43" s="1"/>
  <c r="BT234" i="43"/>
  <c r="CE234" i="43" s="1"/>
  <c r="CQ234" i="43" s="1"/>
  <c r="BT233" i="43"/>
  <c r="CE233" i="43" s="1"/>
  <c r="CQ233" i="43" s="1"/>
  <c r="BT232" i="43"/>
  <c r="CE232" i="43" s="1"/>
  <c r="CQ232" i="43" s="1"/>
  <c r="BT231" i="43"/>
  <c r="CE231" i="43" s="1"/>
  <c r="CQ231" i="43" s="1"/>
  <c r="BT230" i="43"/>
  <c r="CE230" i="43" s="1"/>
  <c r="CQ230" i="43" s="1"/>
  <c r="BT229" i="43"/>
  <c r="CE229" i="43" s="1"/>
  <c r="CQ229" i="43" s="1"/>
  <c r="BT228" i="43"/>
  <c r="CE228" i="43" s="1"/>
  <c r="CQ228" i="43" s="1"/>
  <c r="BT227" i="43"/>
  <c r="CE227" i="43" s="1"/>
  <c r="CQ227" i="43" s="1"/>
  <c r="BT226" i="43"/>
  <c r="CE226" i="43" s="1"/>
  <c r="CQ226" i="43" s="1"/>
  <c r="BT225" i="43"/>
  <c r="CE225" i="43" s="1"/>
  <c r="CQ225" i="43" s="1"/>
  <c r="BT224" i="43"/>
  <c r="CE224" i="43" s="1"/>
  <c r="CQ224" i="43" s="1"/>
  <c r="BT223" i="43"/>
  <c r="CE223" i="43" s="1"/>
  <c r="CQ223" i="43" s="1"/>
  <c r="BT222" i="43"/>
  <c r="CE222" i="43" s="1"/>
  <c r="CQ222" i="43" s="1"/>
  <c r="BT221" i="43"/>
  <c r="CE221" i="43" s="1"/>
  <c r="CQ221" i="43" s="1"/>
  <c r="BT220" i="43"/>
  <c r="CE220" i="43" s="1"/>
  <c r="CQ220" i="43" s="1"/>
  <c r="BT219" i="43"/>
  <c r="CE219" i="43" s="1"/>
  <c r="CQ219" i="43" s="1"/>
  <c r="BT218" i="43"/>
  <c r="CE218" i="43" s="1"/>
  <c r="CQ218" i="43" s="1"/>
  <c r="BT217" i="43"/>
  <c r="CE217" i="43" s="1"/>
  <c r="CQ217" i="43" s="1"/>
  <c r="BT216" i="43"/>
  <c r="CE216" i="43" s="1"/>
  <c r="CQ216" i="43" s="1"/>
  <c r="BT215" i="43"/>
  <c r="CE215" i="43" s="1"/>
  <c r="CQ215" i="43" s="1"/>
  <c r="BT214" i="43"/>
  <c r="CE214" i="43" s="1"/>
  <c r="CQ214" i="43" s="1"/>
  <c r="BT213" i="43"/>
  <c r="CE213" i="43" s="1"/>
  <c r="CQ213" i="43" s="1"/>
  <c r="BT212" i="43"/>
  <c r="CE212" i="43" s="1"/>
  <c r="CQ212" i="43" s="1"/>
  <c r="BT211" i="43"/>
  <c r="CE211" i="43" s="1"/>
  <c r="CQ211" i="43" s="1"/>
  <c r="BT210" i="43"/>
  <c r="CE210" i="43" s="1"/>
  <c r="CQ210" i="43" s="1"/>
  <c r="BT209" i="43"/>
  <c r="CE209" i="43" s="1"/>
  <c r="CQ209" i="43" s="1"/>
  <c r="BT208" i="43"/>
  <c r="CE208" i="43" s="1"/>
  <c r="CQ208" i="43" s="1"/>
  <c r="BT207" i="43"/>
  <c r="CE207" i="43" s="1"/>
  <c r="CQ207" i="43" s="1"/>
  <c r="BT206" i="43"/>
  <c r="CE206" i="43" s="1"/>
  <c r="CQ206" i="43" s="1"/>
  <c r="BT205" i="43"/>
  <c r="CE205" i="43" s="1"/>
  <c r="CQ205" i="43" s="1"/>
  <c r="BT204" i="43"/>
  <c r="CE204" i="43" s="1"/>
  <c r="CQ204" i="43" s="1"/>
  <c r="BT203" i="43"/>
  <c r="CE203" i="43" s="1"/>
  <c r="CQ203" i="43" s="1"/>
  <c r="BT202" i="43"/>
  <c r="CE202" i="43" s="1"/>
  <c r="CQ202" i="43" s="1"/>
  <c r="BT201" i="43"/>
  <c r="CE201" i="43" s="1"/>
  <c r="CQ201" i="43" s="1"/>
  <c r="BT200" i="43"/>
  <c r="CE200" i="43" s="1"/>
  <c r="CQ200" i="43" s="1"/>
  <c r="BT199" i="43"/>
  <c r="CE199" i="43" s="1"/>
  <c r="CQ199" i="43" s="1"/>
  <c r="BT198" i="43"/>
  <c r="CE198" i="43" s="1"/>
  <c r="CQ198" i="43" s="1"/>
  <c r="BT197" i="43"/>
  <c r="CE197" i="43" s="1"/>
  <c r="CQ197" i="43" s="1"/>
  <c r="BT196" i="43"/>
  <c r="CE196" i="43" s="1"/>
  <c r="CQ196" i="43" s="1"/>
  <c r="BT195" i="43"/>
  <c r="CE195" i="43" s="1"/>
  <c r="CQ195" i="43" s="1"/>
  <c r="BT194" i="43"/>
  <c r="CE194" i="43" s="1"/>
  <c r="CQ194" i="43" s="1"/>
  <c r="BT193" i="43"/>
  <c r="CE193" i="43" s="1"/>
  <c r="BT192" i="43"/>
  <c r="CE192" i="43" s="1"/>
  <c r="CQ192" i="43" s="1"/>
  <c r="BT191" i="43"/>
  <c r="CE191" i="43" s="1"/>
  <c r="CQ191" i="43" s="1"/>
  <c r="BT190" i="43"/>
  <c r="CE190" i="43" s="1"/>
  <c r="CQ190" i="43" s="1"/>
  <c r="BT189" i="43"/>
  <c r="CE189" i="43" s="1"/>
  <c r="CQ189" i="43" s="1"/>
  <c r="BT188" i="43"/>
  <c r="CE188" i="43" s="1"/>
  <c r="CQ188" i="43" s="1"/>
  <c r="BT187" i="43"/>
  <c r="CE187" i="43" s="1"/>
  <c r="CQ187" i="43" s="1"/>
  <c r="BT186" i="43"/>
  <c r="CE186" i="43" s="1"/>
  <c r="CQ186" i="43" s="1"/>
  <c r="BT185" i="43"/>
  <c r="CE185" i="43" s="1"/>
  <c r="CQ185" i="43" s="1"/>
  <c r="BT184" i="43"/>
  <c r="CE184" i="43" s="1"/>
  <c r="CQ184" i="43" s="1"/>
  <c r="BT183" i="43"/>
  <c r="CE183" i="43" s="1"/>
  <c r="CQ183" i="43" s="1"/>
  <c r="BT182" i="43"/>
  <c r="CE182" i="43" s="1"/>
  <c r="CQ182" i="43" s="1"/>
  <c r="BT181" i="43"/>
  <c r="CE181" i="43" s="1"/>
  <c r="CQ181" i="43" s="1"/>
  <c r="BT180" i="43"/>
  <c r="CE180" i="43" s="1"/>
  <c r="CQ180" i="43" s="1"/>
  <c r="BT179" i="43"/>
  <c r="CE179" i="43" s="1"/>
  <c r="CQ179" i="43" s="1"/>
  <c r="BT178" i="43"/>
  <c r="CE178" i="43" s="1"/>
  <c r="CQ178" i="43" s="1"/>
  <c r="BT177" i="43"/>
  <c r="CE177" i="43" s="1"/>
  <c r="CQ177" i="43" s="1"/>
  <c r="BT176" i="43"/>
  <c r="CE176" i="43" s="1"/>
  <c r="CQ176" i="43" s="1"/>
  <c r="BT175" i="43"/>
  <c r="CE175" i="43" s="1"/>
  <c r="CQ175" i="43" s="1"/>
  <c r="BT174" i="43"/>
  <c r="CE174" i="43" s="1"/>
  <c r="CQ174" i="43" s="1"/>
  <c r="BT173" i="43"/>
  <c r="CE173" i="43" s="1"/>
  <c r="CQ173" i="43" s="1"/>
  <c r="BT172" i="43"/>
  <c r="CE172" i="43" s="1"/>
  <c r="CQ172" i="43" s="1"/>
  <c r="BT171" i="43"/>
  <c r="CE171" i="43" s="1"/>
  <c r="CQ171" i="43" s="1"/>
  <c r="BT170" i="43"/>
  <c r="CE170" i="43" s="1"/>
  <c r="CQ170" i="43" s="1"/>
  <c r="BT169" i="43"/>
  <c r="CE169" i="43" s="1"/>
  <c r="CQ169" i="43" s="1"/>
  <c r="BT168" i="43"/>
  <c r="CE168" i="43" s="1"/>
  <c r="CQ168" i="43" s="1"/>
  <c r="BT167" i="43"/>
  <c r="CE167" i="43" s="1"/>
  <c r="CQ167" i="43" s="1"/>
  <c r="BT166" i="43"/>
  <c r="CE166" i="43" s="1"/>
  <c r="CQ166" i="43" s="1"/>
  <c r="BT165" i="43"/>
  <c r="CE165" i="43" s="1"/>
  <c r="CQ165" i="43" s="1"/>
  <c r="BT164" i="43"/>
  <c r="CE164" i="43" s="1"/>
  <c r="CQ164" i="43" s="1"/>
  <c r="BT163" i="43"/>
  <c r="CE163" i="43" s="1"/>
  <c r="CQ163" i="43" s="1"/>
  <c r="BT162" i="43"/>
  <c r="CE162" i="43" s="1"/>
  <c r="CQ162" i="43" s="1"/>
  <c r="BT161" i="43"/>
  <c r="CE161" i="43" s="1"/>
  <c r="CQ161" i="43" s="1"/>
  <c r="BT160" i="43"/>
  <c r="CE160" i="43" s="1"/>
  <c r="CQ160" i="43" s="1"/>
  <c r="BT159" i="43"/>
  <c r="CE159" i="43" s="1"/>
  <c r="CQ159" i="43" s="1"/>
  <c r="BT158" i="43"/>
  <c r="CE158" i="43" s="1"/>
  <c r="CQ158" i="43" s="1"/>
  <c r="BT157" i="43"/>
  <c r="CE157" i="43" s="1"/>
  <c r="CQ157" i="43" s="1"/>
  <c r="BT156" i="43"/>
  <c r="CE156" i="43" s="1"/>
  <c r="CQ156" i="43" s="1"/>
  <c r="BT155" i="43"/>
  <c r="CE155" i="43" s="1"/>
  <c r="CQ155" i="43" s="1"/>
  <c r="BT154" i="43"/>
  <c r="CE154" i="43" s="1"/>
  <c r="CQ154" i="43" s="1"/>
  <c r="BT153" i="43"/>
  <c r="CE153" i="43" s="1"/>
  <c r="CQ153" i="43" s="1"/>
  <c r="BT152" i="43"/>
  <c r="CE152" i="43" s="1"/>
  <c r="CQ152" i="43" s="1"/>
  <c r="BT151" i="43"/>
  <c r="CE151" i="43" s="1"/>
  <c r="CQ151" i="43" s="1"/>
  <c r="BT150" i="43"/>
  <c r="CE150" i="43" s="1"/>
  <c r="CQ150" i="43" s="1"/>
  <c r="BT149" i="43"/>
  <c r="CE149" i="43" s="1"/>
  <c r="CQ149" i="43" s="1"/>
  <c r="BT148" i="43"/>
  <c r="CE148" i="43" s="1"/>
  <c r="CQ148" i="43" s="1"/>
  <c r="BT147" i="43"/>
  <c r="CE147" i="43" s="1"/>
  <c r="CQ147" i="43" s="1"/>
  <c r="BT146" i="43"/>
  <c r="CE146" i="43" s="1"/>
  <c r="CQ146" i="43" s="1"/>
  <c r="BT145" i="43"/>
  <c r="CE145" i="43" s="1"/>
  <c r="CQ145" i="43" s="1"/>
  <c r="BT144" i="43"/>
  <c r="CE144" i="43" s="1"/>
  <c r="CQ144" i="43" s="1"/>
  <c r="BT143" i="43"/>
  <c r="CE143" i="43" s="1"/>
  <c r="CQ143" i="43" s="1"/>
  <c r="BT142" i="43"/>
  <c r="CE142" i="43" s="1"/>
  <c r="CQ142" i="43" s="1"/>
  <c r="BT141" i="43"/>
  <c r="CE141" i="43" s="1"/>
  <c r="CQ141" i="43" s="1"/>
  <c r="BT140" i="43"/>
  <c r="CE140" i="43" s="1"/>
  <c r="CQ140" i="43" s="1"/>
  <c r="BT139" i="43"/>
  <c r="CE139" i="43" s="1"/>
  <c r="CQ139" i="43" s="1"/>
  <c r="BT138" i="43"/>
  <c r="CE138" i="43" s="1"/>
  <c r="CQ138" i="43" s="1"/>
  <c r="BT137" i="43"/>
  <c r="CE137" i="43" s="1"/>
  <c r="CQ137" i="43" s="1"/>
  <c r="BT136" i="43"/>
  <c r="CE136" i="43" s="1"/>
  <c r="CQ136" i="43" s="1"/>
  <c r="BT135" i="43"/>
  <c r="CE135" i="43" s="1"/>
  <c r="CQ135" i="43" s="1"/>
  <c r="BT134" i="43"/>
  <c r="CE134" i="43" s="1"/>
  <c r="CQ134" i="43" s="1"/>
  <c r="BT133" i="43"/>
  <c r="CE133" i="43" s="1"/>
  <c r="CQ133" i="43" s="1"/>
  <c r="BT132" i="43"/>
  <c r="CE132" i="43" s="1"/>
  <c r="CQ132" i="43" s="1"/>
  <c r="BT131" i="43"/>
  <c r="CE131" i="43" s="1"/>
  <c r="CQ131" i="43" s="1"/>
  <c r="BT130" i="43"/>
  <c r="CE130" i="43" s="1"/>
  <c r="CQ130" i="43" s="1"/>
  <c r="BT129" i="43"/>
  <c r="CE129" i="43" s="1"/>
  <c r="CQ129" i="43" s="1"/>
  <c r="BT128" i="43"/>
  <c r="CE128" i="43" s="1"/>
  <c r="CQ128" i="43" s="1"/>
  <c r="BT127" i="43"/>
  <c r="CE127" i="43" s="1"/>
  <c r="CQ127" i="43" s="1"/>
  <c r="BT126" i="43"/>
  <c r="CE126" i="43" s="1"/>
  <c r="CQ126" i="43" s="1"/>
  <c r="BT125" i="43"/>
  <c r="CE125" i="43" s="1"/>
  <c r="CQ125" i="43" s="1"/>
  <c r="BT124" i="43"/>
  <c r="CE124" i="43" s="1"/>
  <c r="CQ124" i="43" s="1"/>
  <c r="BT123" i="43"/>
  <c r="CE123" i="43" s="1"/>
  <c r="CQ123" i="43" s="1"/>
  <c r="BT122" i="43"/>
  <c r="CE122" i="43" s="1"/>
  <c r="CQ122" i="43" s="1"/>
  <c r="BT121" i="43"/>
  <c r="CE121" i="43" s="1"/>
  <c r="CQ121" i="43" s="1"/>
  <c r="BT120" i="43"/>
  <c r="CE120" i="43" s="1"/>
  <c r="CQ120" i="43" s="1"/>
  <c r="BT119" i="43"/>
  <c r="CE119" i="43" s="1"/>
  <c r="CQ119" i="43" s="1"/>
  <c r="BT118" i="43"/>
  <c r="CE118" i="43" s="1"/>
  <c r="CQ118" i="43" s="1"/>
  <c r="BT117" i="43"/>
  <c r="CE117" i="43" s="1"/>
  <c r="CQ117" i="43" s="1"/>
  <c r="BT116" i="43"/>
  <c r="CE116" i="43" s="1"/>
  <c r="CQ116" i="43" s="1"/>
  <c r="BT115" i="43"/>
  <c r="CE115" i="43" s="1"/>
  <c r="CQ115" i="43" s="1"/>
  <c r="BT114" i="43"/>
  <c r="CE114" i="43" s="1"/>
  <c r="CQ114" i="43" s="1"/>
  <c r="BT113" i="43"/>
  <c r="CE113" i="43" s="1"/>
  <c r="CQ113" i="43" s="1"/>
  <c r="BT112" i="43"/>
  <c r="CE112" i="43" s="1"/>
  <c r="CQ112" i="43" s="1"/>
  <c r="BT111" i="43"/>
  <c r="CE111" i="43" s="1"/>
  <c r="CQ111" i="43" s="1"/>
  <c r="BT110" i="43"/>
  <c r="CE110" i="43" s="1"/>
  <c r="CQ110" i="43" s="1"/>
  <c r="BT109" i="43"/>
  <c r="CE109" i="43" s="1"/>
  <c r="CQ109" i="43" s="1"/>
  <c r="BT108" i="43"/>
  <c r="CE108" i="43" s="1"/>
  <c r="CQ108" i="43" s="1"/>
  <c r="BT107" i="43"/>
  <c r="CE107" i="43" s="1"/>
  <c r="CQ107" i="43" s="1"/>
  <c r="BT106" i="43"/>
  <c r="CE106" i="43" s="1"/>
  <c r="CQ106" i="43" s="1"/>
  <c r="BT105" i="43"/>
  <c r="CE105" i="43" s="1"/>
  <c r="CQ105" i="43" s="1"/>
  <c r="BT104" i="43"/>
  <c r="CE104" i="43" s="1"/>
  <c r="CQ104" i="43" s="1"/>
  <c r="BT103" i="43"/>
  <c r="CE103" i="43" s="1"/>
  <c r="CQ103" i="43" s="1"/>
  <c r="BT102" i="43"/>
  <c r="CE102" i="43" s="1"/>
  <c r="CQ102" i="43" s="1"/>
  <c r="BT101" i="43"/>
  <c r="CE101" i="43" s="1"/>
  <c r="CQ101" i="43" s="1"/>
  <c r="BT100" i="43"/>
  <c r="CE100" i="43" s="1"/>
  <c r="CQ100" i="43" s="1"/>
  <c r="BT99" i="43"/>
  <c r="CE99" i="43" s="1"/>
  <c r="CQ99" i="43" s="1"/>
  <c r="BT98" i="43"/>
  <c r="CE98" i="43" s="1"/>
  <c r="CQ98" i="43" s="1"/>
  <c r="BT97" i="43"/>
  <c r="CE97" i="43" s="1"/>
  <c r="CQ97" i="43" s="1"/>
  <c r="BT96" i="43"/>
  <c r="CE96" i="43" s="1"/>
  <c r="CQ96" i="43" s="1"/>
  <c r="BT95" i="43"/>
  <c r="CE95" i="43" s="1"/>
  <c r="CQ95" i="43" s="1"/>
  <c r="BT94" i="43"/>
  <c r="CE94" i="43" s="1"/>
  <c r="CQ94" i="43" s="1"/>
  <c r="BT93" i="43"/>
  <c r="CE93" i="43" s="1"/>
  <c r="CQ93" i="43" s="1"/>
  <c r="BT92" i="43"/>
  <c r="CE92" i="43" s="1"/>
  <c r="CQ92" i="43" s="1"/>
  <c r="BT91" i="43"/>
  <c r="CE91" i="43" s="1"/>
  <c r="CQ91" i="43" s="1"/>
  <c r="BT90" i="43"/>
  <c r="CE90" i="43" s="1"/>
  <c r="CQ90" i="43" s="1"/>
  <c r="BT89" i="43"/>
  <c r="CE89" i="43" s="1"/>
  <c r="CQ89" i="43" s="1"/>
  <c r="BT88" i="43"/>
  <c r="CE88" i="43" s="1"/>
  <c r="CQ88" i="43" s="1"/>
  <c r="BT87" i="43"/>
  <c r="CE87" i="43" s="1"/>
  <c r="CQ87" i="43" s="1"/>
  <c r="BT86" i="43"/>
  <c r="CE86" i="43" s="1"/>
  <c r="CQ86" i="43" s="1"/>
  <c r="BT85" i="43"/>
  <c r="CE85" i="43" s="1"/>
  <c r="CQ85" i="43" s="1"/>
  <c r="BT84" i="43"/>
  <c r="CE84" i="43" s="1"/>
  <c r="CQ84" i="43" s="1"/>
  <c r="BT83" i="43"/>
  <c r="CE83" i="43" s="1"/>
  <c r="CQ83" i="43" s="1"/>
  <c r="BT82" i="43"/>
  <c r="CE82" i="43" s="1"/>
  <c r="CQ82" i="43" s="1"/>
  <c r="BT81" i="43"/>
  <c r="CE81" i="43" s="1"/>
  <c r="CQ81" i="43" s="1"/>
  <c r="BT80" i="43"/>
  <c r="CE80" i="43" s="1"/>
  <c r="CQ80" i="43" s="1"/>
  <c r="BT79" i="43"/>
  <c r="CE79" i="43" s="1"/>
  <c r="CQ79" i="43" s="1"/>
  <c r="BT78" i="43"/>
  <c r="CE78" i="43" s="1"/>
  <c r="CQ78" i="43" s="1"/>
  <c r="BT77" i="43"/>
  <c r="CE77" i="43" s="1"/>
  <c r="CQ77" i="43" s="1"/>
  <c r="BT76" i="43"/>
  <c r="CE76" i="43" s="1"/>
  <c r="CQ76" i="43" s="1"/>
  <c r="BT75" i="43"/>
  <c r="CE75" i="43" s="1"/>
  <c r="CQ75" i="43" s="1"/>
  <c r="BT74" i="43"/>
  <c r="CE74" i="43" s="1"/>
  <c r="CQ74" i="43" s="1"/>
  <c r="BT73" i="43"/>
  <c r="CE73" i="43" s="1"/>
  <c r="CQ73" i="43" s="1"/>
  <c r="BT72" i="43"/>
  <c r="CE72" i="43" s="1"/>
  <c r="CQ72" i="43" s="1"/>
  <c r="BT71" i="43"/>
  <c r="CE71" i="43" s="1"/>
  <c r="CQ71" i="43" s="1"/>
  <c r="BT70" i="43"/>
  <c r="CE70" i="43" s="1"/>
  <c r="CQ70" i="43" s="1"/>
  <c r="BT69" i="43"/>
  <c r="CE69" i="43" s="1"/>
  <c r="CQ69" i="43" s="1"/>
  <c r="BT68" i="43"/>
  <c r="CE68" i="43" s="1"/>
  <c r="CQ68" i="43" s="1"/>
  <c r="BT67" i="43"/>
  <c r="CE67" i="43" s="1"/>
  <c r="CQ67" i="43" s="1"/>
  <c r="BT66" i="43"/>
  <c r="CE66" i="43" s="1"/>
  <c r="CQ66" i="43" s="1"/>
  <c r="BT65" i="43"/>
  <c r="CE65" i="43" s="1"/>
  <c r="CQ65" i="43" s="1"/>
  <c r="BT64" i="43"/>
  <c r="CE64" i="43" s="1"/>
  <c r="CQ64" i="43" s="1"/>
  <c r="BT63" i="43"/>
  <c r="CE63" i="43" s="1"/>
  <c r="CQ63" i="43" s="1"/>
  <c r="BT62" i="43"/>
  <c r="CE62" i="43" s="1"/>
  <c r="CQ62" i="43" s="1"/>
  <c r="BT61" i="43"/>
  <c r="CE61" i="43" s="1"/>
  <c r="CQ61" i="43" s="1"/>
  <c r="BT60" i="43"/>
  <c r="CE60" i="43" s="1"/>
  <c r="CQ60" i="43" s="1"/>
  <c r="BT59" i="43"/>
  <c r="CE59" i="43" s="1"/>
  <c r="CQ59" i="43" s="1"/>
  <c r="BT58" i="43"/>
  <c r="CE58" i="43" s="1"/>
  <c r="CQ58" i="43" s="1"/>
  <c r="BT57" i="43"/>
  <c r="CE57" i="43" s="1"/>
  <c r="CQ57" i="43" s="1"/>
  <c r="BT56" i="43"/>
  <c r="CE56" i="43" s="1"/>
  <c r="CQ56" i="43" s="1"/>
  <c r="BT55" i="43"/>
  <c r="CE55" i="43" s="1"/>
  <c r="CQ55" i="43" s="1"/>
  <c r="BT54" i="43"/>
  <c r="CE54" i="43" s="1"/>
  <c r="CQ54" i="43" s="1"/>
  <c r="BT53" i="43"/>
  <c r="CE53" i="43" s="1"/>
  <c r="CQ53" i="43" s="1"/>
  <c r="BT52" i="43"/>
  <c r="CE52" i="43" s="1"/>
  <c r="CQ52" i="43" s="1"/>
  <c r="BT51" i="43"/>
  <c r="CE51" i="43" s="1"/>
  <c r="CQ51" i="43" s="1"/>
  <c r="BT50" i="43"/>
  <c r="CE50" i="43" s="1"/>
  <c r="CQ50" i="43" s="1"/>
  <c r="BT49" i="43"/>
  <c r="CE49" i="43" s="1"/>
  <c r="CQ49" i="43" s="1"/>
  <c r="BT48" i="43"/>
  <c r="CE48" i="43" s="1"/>
  <c r="CQ48" i="43" s="1"/>
  <c r="BT47" i="43"/>
  <c r="CE47" i="43" s="1"/>
  <c r="CQ47" i="43" s="1"/>
  <c r="BT46" i="43"/>
  <c r="CE46" i="43" s="1"/>
  <c r="CQ46" i="43" s="1"/>
  <c r="BT45" i="43"/>
  <c r="CE45" i="43" s="1"/>
  <c r="CQ45" i="43" s="1"/>
  <c r="BT44" i="43"/>
  <c r="CE44" i="43" s="1"/>
  <c r="CQ44" i="43" s="1"/>
  <c r="BT43" i="43"/>
  <c r="CE43" i="43" s="1"/>
  <c r="CQ43" i="43" s="1"/>
  <c r="BT42" i="43"/>
  <c r="CE42" i="43" s="1"/>
  <c r="CQ42" i="43" s="1"/>
  <c r="BT41" i="43"/>
  <c r="CE41" i="43" s="1"/>
  <c r="CQ41" i="43" s="1"/>
  <c r="BT40" i="43"/>
  <c r="CE40" i="43" s="1"/>
  <c r="CQ40" i="43" s="1"/>
  <c r="BT39" i="43"/>
  <c r="CE39" i="43" s="1"/>
  <c r="CQ39" i="43" s="1"/>
  <c r="BT38" i="43"/>
  <c r="CE38" i="43" s="1"/>
  <c r="CQ38" i="43" s="1"/>
  <c r="BT37" i="43"/>
  <c r="CE37" i="43" s="1"/>
  <c r="CQ37" i="43" s="1"/>
  <c r="BT36" i="43"/>
  <c r="CE36" i="43" s="1"/>
  <c r="CQ36" i="43" s="1"/>
  <c r="BT35" i="43"/>
  <c r="CE35" i="43" s="1"/>
  <c r="CQ35" i="43" s="1"/>
  <c r="BT34" i="43"/>
  <c r="CE34" i="43" s="1"/>
  <c r="CQ34" i="43" s="1"/>
  <c r="BT33" i="43"/>
  <c r="CE33" i="43" s="1"/>
  <c r="CQ33" i="43" s="1"/>
  <c r="BT32" i="43"/>
  <c r="CE32" i="43" s="1"/>
  <c r="CQ32" i="43" s="1"/>
  <c r="BT31" i="43"/>
  <c r="CE31" i="43" s="1"/>
  <c r="CQ31" i="43" s="1"/>
  <c r="BT30" i="43"/>
  <c r="CE30" i="43" s="1"/>
  <c r="CQ30" i="43" s="1"/>
  <c r="BT29" i="43"/>
  <c r="CE29" i="43" s="1"/>
  <c r="CQ29" i="43" s="1"/>
  <c r="BT28" i="43"/>
  <c r="CE28" i="43" s="1"/>
  <c r="CQ28" i="43" s="1"/>
  <c r="BT27" i="43"/>
  <c r="CE27" i="43" s="1"/>
  <c r="CQ27" i="43" s="1"/>
  <c r="BT26" i="43"/>
  <c r="CE26" i="43" s="1"/>
  <c r="CQ26" i="43" s="1"/>
  <c r="BT25" i="43"/>
  <c r="CE25" i="43" s="1"/>
  <c r="CQ25" i="43" s="1"/>
  <c r="BT24" i="43"/>
  <c r="CE24" i="43" s="1"/>
  <c r="CQ24" i="43" s="1"/>
  <c r="BT23" i="43"/>
  <c r="CE23" i="43" s="1"/>
  <c r="CQ23" i="43" s="1"/>
  <c r="BT22" i="43"/>
  <c r="CE22" i="43" s="1"/>
  <c r="CQ22" i="43" s="1"/>
  <c r="BT21" i="43"/>
  <c r="CE21" i="43" s="1"/>
  <c r="CQ21" i="43" s="1"/>
  <c r="BT20" i="43"/>
  <c r="CE20" i="43" s="1"/>
  <c r="CQ20" i="43" s="1"/>
  <c r="BT19" i="43"/>
  <c r="CE19" i="43" s="1"/>
  <c r="CQ19" i="43" s="1"/>
  <c r="BT18" i="43"/>
  <c r="CE18" i="43" s="1"/>
  <c r="CQ18" i="43" s="1"/>
  <c r="BT17" i="43"/>
  <c r="CE17" i="43" s="1"/>
  <c r="CQ17" i="43" s="1"/>
  <c r="BT16" i="43"/>
  <c r="CE16" i="43" s="1"/>
  <c r="CQ16" i="43" s="1"/>
  <c r="BT15" i="43"/>
  <c r="CE15" i="43" s="1"/>
  <c r="CQ15" i="43" s="1"/>
  <c r="BS13" i="43"/>
  <c r="BR13" i="43"/>
  <c r="BQ13" i="43"/>
  <c r="BT13" i="43" l="1"/>
  <c r="CE13" i="43" s="1"/>
  <c r="L13" i="71" l="1"/>
  <c r="U272" i="71" l="1"/>
  <c r="L14" i="40" l="1"/>
  <c r="U16" i="71" l="1"/>
  <c r="U17" i="71"/>
  <c r="U18" i="71"/>
  <c r="U19" i="71"/>
  <c r="U20" i="71"/>
  <c r="U21" i="71"/>
  <c r="U22" i="71"/>
  <c r="U23" i="71"/>
  <c r="U24" i="71"/>
  <c r="U25" i="71"/>
  <c r="U26" i="71"/>
  <c r="U27" i="71"/>
  <c r="U28" i="71"/>
  <c r="U29" i="71"/>
  <c r="U30" i="71"/>
  <c r="U31" i="71"/>
  <c r="U32" i="71"/>
  <c r="U33" i="71"/>
  <c r="U34" i="71"/>
  <c r="U35" i="71"/>
  <c r="U36" i="71"/>
  <c r="U37" i="71"/>
  <c r="U38" i="71"/>
  <c r="U39" i="71"/>
  <c r="U40" i="71"/>
  <c r="U41" i="71"/>
  <c r="U42" i="71"/>
  <c r="U43" i="71"/>
  <c r="U44" i="71"/>
  <c r="U45" i="71"/>
  <c r="U46" i="71"/>
  <c r="U47" i="71"/>
  <c r="U48" i="71"/>
  <c r="U49" i="71"/>
  <c r="U50" i="71"/>
  <c r="U51" i="71"/>
  <c r="U52" i="71"/>
  <c r="U53" i="71"/>
  <c r="U54" i="71"/>
  <c r="U55" i="71"/>
  <c r="U56" i="71"/>
  <c r="U57" i="71"/>
  <c r="U58" i="71"/>
  <c r="U59" i="71"/>
  <c r="U60" i="71"/>
  <c r="U61" i="71"/>
  <c r="U62" i="71"/>
  <c r="U63" i="71"/>
  <c r="U64" i="71"/>
  <c r="U65" i="71"/>
  <c r="U66" i="71"/>
  <c r="U67" i="71"/>
  <c r="U68" i="71"/>
  <c r="U69" i="71"/>
  <c r="U70" i="71"/>
  <c r="U71" i="71"/>
  <c r="U72" i="71"/>
  <c r="U73" i="71"/>
  <c r="U74" i="71"/>
  <c r="U75" i="71"/>
  <c r="U76" i="71"/>
  <c r="U77" i="71"/>
  <c r="U78" i="71"/>
  <c r="U79" i="71"/>
  <c r="U80" i="71"/>
  <c r="U81" i="71"/>
  <c r="U82" i="71"/>
  <c r="U83" i="71"/>
  <c r="U84" i="71"/>
  <c r="U85" i="71"/>
  <c r="U86" i="71"/>
  <c r="U87" i="71"/>
  <c r="U88" i="71"/>
  <c r="U89" i="71"/>
  <c r="U90" i="71"/>
  <c r="U91" i="71"/>
  <c r="U92" i="71"/>
  <c r="U93" i="71"/>
  <c r="U94" i="71"/>
  <c r="U95" i="71"/>
  <c r="U96" i="71"/>
  <c r="U97" i="71"/>
  <c r="U98" i="71"/>
  <c r="U99" i="71"/>
  <c r="U100" i="71"/>
  <c r="U101" i="71"/>
  <c r="U102" i="71"/>
  <c r="U103" i="71"/>
  <c r="U104" i="71"/>
  <c r="U105" i="71"/>
  <c r="U106" i="71"/>
  <c r="U107" i="71"/>
  <c r="U108" i="71"/>
  <c r="U109" i="71"/>
  <c r="U110" i="71"/>
  <c r="U111" i="71"/>
  <c r="U112" i="71"/>
  <c r="U113" i="71"/>
  <c r="U114" i="71"/>
  <c r="U115" i="71"/>
  <c r="U116" i="71"/>
  <c r="U117" i="71"/>
  <c r="U118" i="71"/>
  <c r="U119" i="71"/>
  <c r="U120" i="71"/>
  <c r="U121" i="71"/>
  <c r="U122" i="71"/>
  <c r="U123" i="71"/>
  <c r="U124" i="71"/>
  <c r="U125" i="71"/>
  <c r="U126" i="71"/>
  <c r="U127" i="71"/>
  <c r="U128" i="71"/>
  <c r="U129" i="71"/>
  <c r="U130" i="71"/>
  <c r="U131" i="71"/>
  <c r="U132" i="71"/>
  <c r="U133" i="71"/>
  <c r="U134" i="71"/>
  <c r="U135" i="71"/>
  <c r="U136" i="71"/>
  <c r="U137" i="71"/>
  <c r="U138" i="71"/>
  <c r="U139" i="71"/>
  <c r="U140" i="71"/>
  <c r="U141" i="71"/>
  <c r="U142" i="71"/>
  <c r="U143" i="71"/>
  <c r="U144" i="71"/>
  <c r="U145" i="71"/>
  <c r="U146" i="71"/>
  <c r="U147" i="71"/>
  <c r="U148" i="71"/>
  <c r="U149" i="71"/>
  <c r="U150" i="71"/>
  <c r="U151" i="71"/>
  <c r="U152" i="71"/>
  <c r="U153" i="71"/>
  <c r="U154" i="71"/>
  <c r="U155" i="71"/>
  <c r="U156" i="71"/>
  <c r="U157" i="71"/>
  <c r="U158" i="71"/>
  <c r="U159" i="71"/>
  <c r="U160" i="71"/>
  <c r="U161" i="71"/>
  <c r="U162" i="71"/>
  <c r="U163" i="71"/>
  <c r="U164" i="71"/>
  <c r="U165" i="71"/>
  <c r="U166" i="71"/>
  <c r="U167" i="71"/>
  <c r="U168" i="71"/>
  <c r="U169" i="71"/>
  <c r="U170" i="71"/>
  <c r="U171" i="71"/>
  <c r="U172" i="71"/>
  <c r="U173" i="71"/>
  <c r="U174" i="71"/>
  <c r="U175" i="71"/>
  <c r="U176" i="71"/>
  <c r="U177" i="71"/>
  <c r="U178" i="71"/>
  <c r="U179" i="71"/>
  <c r="U180" i="71"/>
  <c r="U181" i="71"/>
  <c r="U182" i="71"/>
  <c r="U183" i="71"/>
  <c r="U184" i="71"/>
  <c r="U185" i="71"/>
  <c r="U186" i="71"/>
  <c r="U187" i="71"/>
  <c r="U188" i="71"/>
  <c r="U189" i="71"/>
  <c r="U190" i="71"/>
  <c r="U191" i="71"/>
  <c r="U192" i="71"/>
  <c r="U193" i="71"/>
  <c r="U194" i="71"/>
  <c r="U195" i="71"/>
  <c r="U196" i="71"/>
  <c r="U197" i="71"/>
  <c r="U198" i="71"/>
  <c r="U199" i="71"/>
  <c r="U200" i="71"/>
  <c r="U201" i="71"/>
  <c r="U202" i="71"/>
  <c r="U203" i="71"/>
  <c r="U204" i="71"/>
  <c r="U205" i="71"/>
  <c r="U206" i="71"/>
  <c r="U207" i="71"/>
  <c r="U208" i="71"/>
  <c r="U209" i="71"/>
  <c r="U210" i="71"/>
  <c r="U211" i="71"/>
  <c r="U212" i="71"/>
  <c r="U213" i="71"/>
  <c r="U214" i="71"/>
  <c r="U215" i="71"/>
  <c r="U216" i="71"/>
  <c r="U217" i="71"/>
  <c r="U218" i="71"/>
  <c r="U219" i="71"/>
  <c r="U220" i="71"/>
  <c r="U221" i="71"/>
  <c r="U222" i="71"/>
  <c r="U223" i="71"/>
  <c r="U224" i="71"/>
  <c r="U225" i="71"/>
  <c r="U226" i="71"/>
  <c r="U227" i="71"/>
  <c r="U228" i="71"/>
  <c r="U229" i="71"/>
  <c r="U230" i="71"/>
  <c r="U231" i="71"/>
  <c r="U232" i="71"/>
  <c r="U233" i="71"/>
  <c r="U234" i="71"/>
  <c r="U235" i="71"/>
  <c r="U236" i="71"/>
  <c r="U237" i="71"/>
  <c r="U238" i="71"/>
  <c r="U239" i="71"/>
  <c r="U240" i="71"/>
  <c r="U241" i="71"/>
  <c r="U242" i="71"/>
  <c r="U243" i="71"/>
  <c r="U244" i="71"/>
  <c r="U245" i="71"/>
  <c r="U246" i="71"/>
  <c r="U247" i="71"/>
  <c r="U248" i="71"/>
  <c r="U249" i="71"/>
  <c r="U250" i="71"/>
  <c r="U251" i="71"/>
  <c r="U252" i="71"/>
  <c r="U253" i="71"/>
  <c r="U254" i="71"/>
  <c r="U255" i="71"/>
  <c r="U256" i="71"/>
  <c r="U257" i="71"/>
  <c r="U258" i="71"/>
  <c r="U259" i="71"/>
  <c r="U260" i="71"/>
  <c r="U261" i="71"/>
  <c r="U262" i="71"/>
  <c r="U263" i="71"/>
  <c r="U264" i="71"/>
  <c r="U265" i="71"/>
  <c r="U266" i="71"/>
  <c r="U267" i="71"/>
  <c r="U268" i="71"/>
  <c r="U269" i="71"/>
  <c r="U270" i="71"/>
  <c r="U271" i="71"/>
  <c r="U273" i="71"/>
  <c r="U274" i="71"/>
  <c r="U275" i="71"/>
  <c r="U276" i="71"/>
  <c r="U277" i="71"/>
  <c r="U278" i="71"/>
  <c r="U279" i="71"/>
  <c r="U280" i="71"/>
  <c r="U281" i="71"/>
  <c r="U282" i="71"/>
  <c r="U283" i="71"/>
  <c r="U284" i="71"/>
  <c r="U285" i="71"/>
  <c r="U286" i="71"/>
  <c r="U287" i="71"/>
  <c r="U288" i="71"/>
  <c r="U289" i="71"/>
  <c r="U290" i="71"/>
  <c r="U291" i="71"/>
  <c r="U292" i="71"/>
  <c r="U293" i="71"/>
  <c r="U294" i="71"/>
  <c r="U295" i="71"/>
  <c r="U296" i="71"/>
  <c r="U297" i="71"/>
  <c r="U298" i="71"/>
  <c r="U299" i="71"/>
  <c r="U300" i="71"/>
  <c r="U301" i="71"/>
  <c r="U302" i="71"/>
  <c r="U303" i="71"/>
  <c r="U304" i="71"/>
  <c r="U305" i="71"/>
  <c r="U306" i="71"/>
  <c r="U307" i="71"/>
  <c r="M13" i="71"/>
  <c r="N11" i="71" l="1"/>
  <c r="N10" i="71"/>
  <c r="D4" i="70"/>
  <c r="E4" i="70"/>
  <c r="F4" i="70"/>
  <c r="G4" i="70"/>
  <c r="H4" i="70"/>
  <c r="I4" i="70"/>
  <c r="J4" i="70"/>
  <c r="C4" i="70"/>
  <c r="L25" i="40" l="1"/>
  <c r="L21" i="40"/>
  <c r="O6" i="47" s="1"/>
  <c r="L17" i="40"/>
  <c r="O6" i="48" s="1"/>
  <c r="L11" i="40"/>
  <c r="O5" i="46" s="1"/>
  <c r="M7" i="70" l="1"/>
  <c r="M8" i="70"/>
  <c r="M9" i="70"/>
  <c r="M10" i="70"/>
  <c r="M11" i="70"/>
  <c r="M12" i="70"/>
  <c r="M13" i="70"/>
  <c r="M14" i="70"/>
  <c r="M15" i="70"/>
  <c r="M16" i="70"/>
  <c r="M17" i="70"/>
  <c r="M18" i="70"/>
  <c r="M19" i="70"/>
  <c r="M20" i="70"/>
  <c r="M21" i="70"/>
  <c r="M22" i="70"/>
  <c r="M23" i="70"/>
  <c r="M24" i="70"/>
  <c r="M25" i="70"/>
  <c r="M26" i="70"/>
  <c r="M27" i="70"/>
  <c r="M28" i="70"/>
  <c r="M29" i="70"/>
  <c r="M30" i="70"/>
  <c r="M31" i="70"/>
  <c r="M32" i="70"/>
  <c r="M33" i="70"/>
  <c r="M34" i="70"/>
  <c r="M35" i="70"/>
  <c r="M36" i="70"/>
  <c r="M37" i="70"/>
  <c r="M38" i="70"/>
  <c r="M39" i="70"/>
  <c r="M40" i="70"/>
  <c r="M41" i="70"/>
  <c r="M42" i="70"/>
  <c r="M43" i="70"/>
  <c r="M44" i="70"/>
  <c r="M45" i="70"/>
  <c r="M46" i="70"/>
  <c r="M47" i="70"/>
  <c r="M48" i="70"/>
  <c r="M49" i="70"/>
  <c r="M50" i="70"/>
  <c r="M51" i="70"/>
  <c r="M52" i="70"/>
  <c r="M53" i="70"/>
  <c r="M54" i="70"/>
  <c r="M55" i="70"/>
  <c r="M56" i="70"/>
  <c r="M57" i="70"/>
  <c r="M58" i="70"/>
  <c r="M59" i="70"/>
  <c r="M60" i="70"/>
  <c r="M61" i="70"/>
  <c r="M62" i="70"/>
  <c r="M63" i="70"/>
  <c r="M64" i="70"/>
  <c r="M65" i="70"/>
  <c r="M66" i="70"/>
  <c r="M67" i="70"/>
  <c r="M68" i="70"/>
  <c r="M69" i="70"/>
  <c r="M70" i="70"/>
  <c r="M71" i="70"/>
  <c r="M72" i="70"/>
  <c r="M73" i="70"/>
  <c r="M74" i="70"/>
  <c r="M75" i="70"/>
  <c r="M76" i="70"/>
  <c r="M77" i="70"/>
  <c r="M78" i="70"/>
  <c r="M79" i="70"/>
  <c r="M80" i="70"/>
  <c r="M81" i="70"/>
  <c r="M82" i="70"/>
  <c r="M83" i="70"/>
  <c r="M84" i="70"/>
  <c r="M85" i="70"/>
  <c r="M86" i="70"/>
  <c r="M87" i="70"/>
  <c r="M88" i="70"/>
  <c r="M89" i="70"/>
  <c r="M90" i="70"/>
  <c r="M91" i="70"/>
  <c r="M92" i="70"/>
  <c r="M93" i="70"/>
  <c r="M94" i="70"/>
  <c r="M95" i="70"/>
  <c r="M96" i="70"/>
  <c r="M97" i="70"/>
  <c r="M98" i="70"/>
  <c r="M99" i="70"/>
  <c r="M100" i="70"/>
  <c r="M101" i="70"/>
  <c r="M102" i="70"/>
  <c r="M103" i="70"/>
  <c r="M104" i="70"/>
  <c r="M105" i="70"/>
  <c r="M106" i="70"/>
  <c r="M107" i="70"/>
  <c r="M108" i="70"/>
  <c r="M109" i="70"/>
  <c r="M110" i="70"/>
  <c r="M111" i="70"/>
  <c r="M112" i="70"/>
  <c r="M113" i="70"/>
  <c r="M114" i="70"/>
  <c r="M115" i="70"/>
  <c r="M116" i="70"/>
  <c r="M117" i="70"/>
  <c r="M118" i="70"/>
  <c r="M119" i="70"/>
  <c r="M120" i="70"/>
  <c r="M121" i="70"/>
  <c r="M122" i="70"/>
  <c r="M123" i="70"/>
  <c r="M124" i="70"/>
  <c r="M125" i="70"/>
  <c r="M126" i="70"/>
  <c r="M127" i="70"/>
  <c r="M128" i="70"/>
  <c r="M129" i="70"/>
  <c r="M130" i="70"/>
  <c r="M131" i="70"/>
  <c r="M132" i="70"/>
  <c r="M133" i="70"/>
  <c r="M134" i="70"/>
  <c r="M135" i="70"/>
  <c r="M136" i="70"/>
  <c r="M137" i="70"/>
  <c r="M138" i="70"/>
  <c r="M139" i="70"/>
  <c r="M140" i="70"/>
  <c r="M141" i="70"/>
  <c r="M142" i="70"/>
  <c r="M143" i="70"/>
  <c r="M144" i="70"/>
  <c r="M145" i="70"/>
  <c r="M146" i="70"/>
  <c r="M147" i="70"/>
  <c r="M148" i="70"/>
  <c r="M149" i="70"/>
  <c r="M150" i="70"/>
  <c r="M151" i="70"/>
  <c r="M152" i="70"/>
  <c r="M153" i="70"/>
  <c r="M154" i="70"/>
  <c r="M155" i="70"/>
  <c r="M156" i="70"/>
  <c r="M157" i="70"/>
  <c r="M158" i="70"/>
  <c r="M159" i="70"/>
  <c r="M160" i="70"/>
  <c r="M161" i="70"/>
  <c r="M162" i="70"/>
  <c r="M163" i="70"/>
  <c r="M164" i="70"/>
  <c r="M165" i="70"/>
  <c r="M166" i="70"/>
  <c r="M167" i="70"/>
  <c r="M168" i="70"/>
  <c r="M169" i="70"/>
  <c r="M170" i="70"/>
  <c r="M171" i="70"/>
  <c r="M172" i="70"/>
  <c r="M173" i="70"/>
  <c r="M174" i="70"/>
  <c r="M175" i="70"/>
  <c r="M176" i="70"/>
  <c r="M177" i="70"/>
  <c r="M178" i="70"/>
  <c r="M179" i="70"/>
  <c r="M180" i="70"/>
  <c r="M181" i="70"/>
  <c r="M182" i="70"/>
  <c r="M183" i="70"/>
  <c r="M184" i="70"/>
  <c r="M185" i="70"/>
  <c r="M186" i="70"/>
  <c r="M187" i="70"/>
  <c r="M188" i="70"/>
  <c r="M189" i="70"/>
  <c r="M190" i="70"/>
  <c r="M191" i="70"/>
  <c r="M192" i="70"/>
  <c r="M193" i="70"/>
  <c r="M194" i="70"/>
  <c r="M195" i="70"/>
  <c r="M196" i="70"/>
  <c r="M197" i="70"/>
  <c r="M198" i="70"/>
  <c r="M199" i="70"/>
  <c r="M200" i="70"/>
  <c r="M201" i="70"/>
  <c r="M202" i="70"/>
  <c r="M203" i="70"/>
  <c r="M204" i="70"/>
  <c r="M205" i="70"/>
  <c r="M206" i="70"/>
  <c r="M207" i="70"/>
  <c r="M208" i="70"/>
  <c r="M209" i="70"/>
  <c r="M210" i="70"/>
  <c r="M211" i="70"/>
  <c r="M212" i="70"/>
  <c r="M213" i="70"/>
  <c r="M214" i="70"/>
  <c r="M215" i="70"/>
  <c r="M216" i="70"/>
  <c r="M217" i="70"/>
  <c r="M218" i="70"/>
  <c r="M219" i="70"/>
  <c r="M220" i="70"/>
  <c r="M221" i="70"/>
  <c r="M222" i="70"/>
  <c r="M223" i="70"/>
  <c r="M224" i="70"/>
  <c r="M225" i="70"/>
  <c r="M226" i="70"/>
  <c r="M227" i="70"/>
  <c r="M228" i="70"/>
  <c r="M229" i="70"/>
  <c r="M230" i="70"/>
  <c r="M231" i="70"/>
  <c r="M232" i="70"/>
  <c r="M233" i="70"/>
  <c r="M234" i="70"/>
  <c r="M235" i="70"/>
  <c r="M236" i="70"/>
  <c r="M237" i="70"/>
  <c r="M238" i="70"/>
  <c r="M239" i="70"/>
  <c r="M240" i="70"/>
  <c r="M241" i="70"/>
  <c r="M242" i="70"/>
  <c r="M243" i="70"/>
  <c r="M244" i="70"/>
  <c r="M245" i="70"/>
  <c r="M246" i="70"/>
  <c r="M247" i="70"/>
  <c r="M248" i="70"/>
  <c r="M249" i="70"/>
  <c r="M250" i="70"/>
  <c r="M251" i="70"/>
  <c r="M252" i="70"/>
  <c r="M253" i="70"/>
  <c r="M254" i="70"/>
  <c r="M255" i="70"/>
  <c r="M256" i="70"/>
  <c r="M257" i="70"/>
  <c r="M258" i="70"/>
  <c r="M259" i="70"/>
  <c r="M260" i="70"/>
  <c r="M261" i="70"/>
  <c r="M262" i="70"/>
  <c r="M263" i="70"/>
  <c r="M264" i="70"/>
  <c r="M265" i="70"/>
  <c r="M266" i="70"/>
  <c r="M267" i="70"/>
  <c r="M268" i="70"/>
  <c r="M269" i="70"/>
  <c r="M270" i="70"/>
  <c r="M271" i="70"/>
  <c r="M272" i="70"/>
  <c r="M273" i="70"/>
  <c r="M274" i="70"/>
  <c r="M275" i="70"/>
  <c r="M276" i="70"/>
  <c r="M277" i="70"/>
  <c r="M278" i="70"/>
  <c r="M279" i="70"/>
  <c r="M280" i="70"/>
  <c r="M281" i="70"/>
  <c r="M282" i="70"/>
  <c r="M283" i="70"/>
  <c r="M284" i="70"/>
  <c r="M285" i="70"/>
  <c r="M286" i="70"/>
  <c r="M287" i="70"/>
  <c r="M288" i="70"/>
  <c r="M289" i="70"/>
  <c r="M290" i="70"/>
  <c r="M291" i="70"/>
  <c r="M292" i="70"/>
  <c r="M293" i="70"/>
  <c r="M294" i="70"/>
  <c r="M295" i="70"/>
  <c r="M296" i="70"/>
  <c r="M297" i="70"/>
  <c r="M298" i="70"/>
  <c r="O8" i="52" l="1"/>
  <c r="O13" i="50"/>
  <c r="AH16" i="49"/>
  <c r="AH17" i="49"/>
  <c r="AH18" i="49"/>
  <c r="AH19" i="49"/>
  <c r="AH20" i="49"/>
  <c r="AH21" i="49"/>
  <c r="AH22" i="49"/>
  <c r="AH23" i="49"/>
  <c r="AH24" i="49"/>
  <c r="AH25" i="49"/>
  <c r="AH26" i="49"/>
  <c r="AH27" i="49"/>
  <c r="AH28" i="49"/>
  <c r="AH29" i="49"/>
  <c r="AH30" i="49"/>
  <c r="AH31" i="49"/>
  <c r="AH32" i="49"/>
  <c r="AH33" i="49"/>
  <c r="AH34" i="49"/>
  <c r="AH35" i="49"/>
  <c r="AH36" i="49"/>
  <c r="AH37" i="49"/>
  <c r="AH38" i="49"/>
  <c r="AH39" i="49"/>
  <c r="AH40" i="49"/>
  <c r="AH41" i="49"/>
  <c r="AH42" i="49"/>
  <c r="AH43" i="49"/>
  <c r="AH44" i="49"/>
  <c r="AH45" i="49"/>
  <c r="AH46" i="49"/>
  <c r="AH47" i="49"/>
  <c r="AH48" i="49"/>
  <c r="AH49" i="49"/>
  <c r="AH50" i="49"/>
  <c r="AH51" i="49"/>
  <c r="AH52" i="49"/>
  <c r="AH53" i="49"/>
  <c r="AH54" i="49"/>
  <c r="AH55" i="49"/>
  <c r="AH56" i="49"/>
  <c r="AH57" i="49"/>
  <c r="AH58" i="49"/>
  <c r="AH59" i="49"/>
  <c r="AH60" i="49"/>
  <c r="AH61" i="49"/>
  <c r="AH62" i="49"/>
  <c r="AH63" i="49"/>
  <c r="AH64" i="49"/>
  <c r="AH65" i="49"/>
  <c r="AH66" i="49"/>
  <c r="AH67" i="49"/>
  <c r="AH68" i="49"/>
  <c r="AH69" i="49"/>
  <c r="AH70" i="49"/>
  <c r="AH71" i="49"/>
  <c r="AH72" i="49"/>
  <c r="AH73" i="49"/>
  <c r="AH74" i="49"/>
  <c r="AH75" i="49"/>
  <c r="AH76" i="49"/>
  <c r="AH77" i="49"/>
  <c r="AH78" i="49"/>
  <c r="AH79" i="49"/>
  <c r="AH80" i="49"/>
  <c r="AH81" i="49"/>
  <c r="AH82" i="49"/>
  <c r="AH83" i="49"/>
  <c r="AH84" i="49"/>
  <c r="AH85" i="49"/>
  <c r="AH86" i="49"/>
  <c r="AH87" i="49"/>
  <c r="AH88" i="49"/>
  <c r="AH89" i="49"/>
  <c r="AH90" i="49"/>
  <c r="AH91" i="49"/>
  <c r="AH92" i="49"/>
  <c r="AH93" i="49"/>
  <c r="AH94" i="49"/>
  <c r="AH95" i="49"/>
  <c r="AH96" i="49"/>
  <c r="AH97" i="49"/>
  <c r="AH98" i="49"/>
  <c r="AH99" i="49"/>
  <c r="AH100" i="49"/>
  <c r="AH101" i="49"/>
  <c r="AH102" i="49"/>
  <c r="AH103" i="49"/>
  <c r="AH104" i="49"/>
  <c r="AH105" i="49"/>
  <c r="AH106" i="49"/>
  <c r="AH107" i="49"/>
  <c r="AH108" i="49"/>
  <c r="AH109" i="49"/>
  <c r="AH110" i="49"/>
  <c r="AH111" i="49"/>
  <c r="AH112" i="49"/>
  <c r="AH113" i="49"/>
  <c r="AH114" i="49"/>
  <c r="AH115" i="49"/>
  <c r="AH116" i="49"/>
  <c r="AH117" i="49"/>
  <c r="AH118" i="49"/>
  <c r="AH119" i="49"/>
  <c r="AH120" i="49"/>
  <c r="AH121" i="49"/>
  <c r="AH122" i="49"/>
  <c r="AH123" i="49"/>
  <c r="AH124" i="49"/>
  <c r="AH125" i="49"/>
  <c r="AH126" i="49"/>
  <c r="AH127" i="49"/>
  <c r="AH128" i="49"/>
  <c r="AH129" i="49"/>
  <c r="AH130" i="49"/>
  <c r="AH131" i="49"/>
  <c r="AH132" i="49"/>
  <c r="AH133" i="49"/>
  <c r="AH134" i="49"/>
  <c r="AH135" i="49"/>
  <c r="AH136" i="49"/>
  <c r="AH137" i="49"/>
  <c r="AH138" i="49"/>
  <c r="AH139" i="49"/>
  <c r="AH140" i="49"/>
  <c r="AH141" i="49"/>
  <c r="AH142" i="49"/>
  <c r="AH143" i="49"/>
  <c r="AH144" i="49"/>
  <c r="AH145" i="49"/>
  <c r="AH146" i="49"/>
  <c r="AH147" i="49"/>
  <c r="AH148" i="49"/>
  <c r="AH149" i="49"/>
  <c r="AH150" i="49"/>
  <c r="AH151" i="49"/>
  <c r="AH152" i="49"/>
  <c r="AH153" i="49"/>
  <c r="AH154" i="49"/>
  <c r="AH155" i="49"/>
  <c r="AH156" i="49"/>
  <c r="AH157" i="49"/>
  <c r="AH158" i="49"/>
  <c r="AH159" i="49"/>
  <c r="AH160" i="49"/>
  <c r="AH161" i="49"/>
  <c r="AH162" i="49"/>
  <c r="AH163" i="49"/>
  <c r="AH164" i="49"/>
  <c r="AH165" i="49"/>
  <c r="AH166" i="49"/>
  <c r="AH167" i="49"/>
  <c r="AH168" i="49"/>
  <c r="AH169" i="49"/>
  <c r="AH170" i="49"/>
  <c r="AH171" i="49"/>
  <c r="AH172" i="49"/>
  <c r="AH173" i="49"/>
  <c r="AH174" i="49"/>
  <c r="AH175" i="49"/>
  <c r="AH176" i="49"/>
  <c r="AH177" i="49"/>
  <c r="AH178" i="49"/>
  <c r="AH179" i="49"/>
  <c r="AH180" i="49"/>
  <c r="AH181" i="49"/>
  <c r="AH182" i="49"/>
  <c r="AH183" i="49"/>
  <c r="AH184" i="49"/>
  <c r="AH185" i="49"/>
  <c r="AH186" i="49"/>
  <c r="AH187" i="49"/>
  <c r="AH188" i="49"/>
  <c r="AH189" i="49"/>
  <c r="AH190" i="49"/>
  <c r="AH191" i="49"/>
  <c r="AH192" i="49"/>
  <c r="AH193" i="49"/>
  <c r="AH194" i="49"/>
  <c r="AH195" i="49"/>
  <c r="AH196" i="49"/>
  <c r="AH197" i="49"/>
  <c r="AH198" i="49"/>
  <c r="AH199" i="49"/>
  <c r="AH200" i="49"/>
  <c r="AH201" i="49"/>
  <c r="AH202" i="49"/>
  <c r="AH203" i="49"/>
  <c r="AH204" i="49"/>
  <c r="AH205" i="49"/>
  <c r="AH206" i="49"/>
  <c r="AH207" i="49"/>
  <c r="AH208" i="49"/>
  <c r="AH209" i="49"/>
  <c r="AH210" i="49"/>
  <c r="AH211" i="49"/>
  <c r="AH212" i="49"/>
  <c r="AH213" i="49"/>
  <c r="AH214" i="49"/>
  <c r="AH215" i="49"/>
  <c r="AH216" i="49"/>
  <c r="AH217" i="49"/>
  <c r="AH218" i="49"/>
  <c r="AH219" i="49"/>
  <c r="AH220" i="49"/>
  <c r="AH221" i="49"/>
  <c r="AH222" i="49"/>
  <c r="AH223" i="49"/>
  <c r="AH224" i="49"/>
  <c r="AH225" i="49"/>
  <c r="AH226" i="49"/>
  <c r="AH227" i="49"/>
  <c r="AH228" i="49"/>
  <c r="AH229" i="49"/>
  <c r="AH230" i="49"/>
  <c r="AH231" i="49"/>
  <c r="AH232" i="49"/>
  <c r="AH233" i="49"/>
  <c r="AH234" i="49"/>
  <c r="AH235" i="49"/>
  <c r="AH236" i="49"/>
  <c r="AH237" i="49"/>
  <c r="AH238" i="49"/>
  <c r="AH239" i="49"/>
  <c r="AH240" i="49"/>
  <c r="AH241" i="49"/>
  <c r="AH242" i="49"/>
  <c r="AH243" i="49"/>
  <c r="AH244" i="49"/>
  <c r="AH245" i="49"/>
  <c r="AH246" i="49"/>
  <c r="AH247" i="49"/>
  <c r="AH248" i="49"/>
  <c r="AH249" i="49"/>
  <c r="AH250" i="49"/>
  <c r="AH251" i="49"/>
  <c r="AH252" i="49"/>
  <c r="AH253" i="49"/>
  <c r="AH254" i="49"/>
  <c r="AH255" i="49"/>
  <c r="AH256" i="49"/>
  <c r="AH257" i="49"/>
  <c r="AH258" i="49"/>
  <c r="AH259" i="49"/>
  <c r="AH260" i="49"/>
  <c r="AH261" i="49"/>
  <c r="AH262" i="49"/>
  <c r="AH263" i="49"/>
  <c r="AH264" i="49"/>
  <c r="AH265" i="49"/>
  <c r="AH266" i="49"/>
  <c r="AH267" i="49"/>
  <c r="AH268" i="49"/>
  <c r="AH269" i="49"/>
  <c r="AH270" i="49"/>
  <c r="AH271" i="49"/>
  <c r="AH272" i="49"/>
  <c r="AH273" i="49"/>
  <c r="AH274" i="49"/>
  <c r="AH275" i="49"/>
  <c r="AH276" i="49"/>
  <c r="AH277" i="49"/>
  <c r="AH278" i="49"/>
  <c r="AH279" i="49"/>
  <c r="AH280" i="49"/>
  <c r="AH281" i="49"/>
  <c r="AH282" i="49"/>
  <c r="AH283" i="49"/>
  <c r="AH284" i="49"/>
  <c r="AH285" i="49"/>
  <c r="AH286" i="49"/>
  <c r="AH287" i="49"/>
  <c r="AH288" i="49"/>
  <c r="AH289" i="49"/>
  <c r="AH290" i="49"/>
  <c r="AH291" i="49"/>
  <c r="AH292" i="49"/>
  <c r="AH293" i="49"/>
  <c r="AH294" i="49"/>
  <c r="AH295" i="49"/>
  <c r="AH296" i="49"/>
  <c r="AH297" i="49"/>
  <c r="AH298" i="49"/>
  <c r="AH299" i="49"/>
  <c r="AH300" i="49"/>
  <c r="AH301" i="49"/>
  <c r="AH302" i="49"/>
  <c r="AH303" i="49"/>
  <c r="AH304" i="49"/>
  <c r="AH305" i="49"/>
  <c r="AH306" i="49"/>
  <c r="AH307" i="49"/>
  <c r="AH15" i="49"/>
  <c r="O13" i="49"/>
  <c r="CC13" i="45"/>
  <c r="CB13" i="45"/>
  <c r="CH11" i="45" s="1"/>
  <c r="CA13" i="45"/>
  <c r="BO307" i="43"/>
  <c r="BO306" i="43"/>
  <c r="BO305" i="43"/>
  <c r="BO304" i="43"/>
  <c r="BO303" i="43"/>
  <c r="BO302" i="43"/>
  <c r="BO301" i="43"/>
  <c r="BO300" i="43"/>
  <c r="BO299" i="43"/>
  <c r="BO298" i="43"/>
  <c r="BO297" i="43"/>
  <c r="BO296" i="43"/>
  <c r="BO295" i="43"/>
  <c r="BO294" i="43"/>
  <c r="BO293" i="43"/>
  <c r="BO292" i="43"/>
  <c r="BO291" i="43"/>
  <c r="BO290" i="43"/>
  <c r="BO289" i="43"/>
  <c r="BO288" i="43"/>
  <c r="BO287" i="43"/>
  <c r="BO286" i="43"/>
  <c r="BO285" i="43"/>
  <c r="BO284" i="43"/>
  <c r="BO283" i="43"/>
  <c r="BO282" i="43"/>
  <c r="CD282" i="43" s="1"/>
  <c r="CP282" i="43" s="1"/>
  <c r="DC282" i="43" s="1"/>
  <c r="BO281" i="43"/>
  <c r="BO280" i="43"/>
  <c r="BO279" i="43"/>
  <c r="BO278" i="43"/>
  <c r="BO277" i="43"/>
  <c r="BO276" i="43"/>
  <c r="BO275" i="43"/>
  <c r="BO274" i="43"/>
  <c r="CD274" i="43" s="1"/>
  <c r="CP274" i="43" s="1"/>
  <c r="DC274" i="43" s="1"/>
  <c r="BO273" i="43"/>
  <c r="BO272" i="43"/>
  <c r="BO271" i="43"/>
  <c r="BO270" i="43"/>
  <c r="BO269" i="43"/>
  <c r="BO268" i="43"/>
  <c r="BO267" i="43"/>
  <c r="BO266" i="43"/>
  <c r="BO265" i="43"/>
  <c r="BO264" i="43"/>
  <c r="BO263" i="43"/>
  <c r="BO262" i="43"/>
  <c r="BO261" i="43"/>
  <c r="BO260" i="43"/>
  <c r="BO259" i="43"/>
  <c r="BO258" i="43"/>
  <c r="BO257" i="43"/>
  <c r="BO256" i="43"/>
  <c r="BO255" i="43"/>
  <c r="BO254" i="43"/>
  <c r="BO253" i="43"/>
  <c r="BO252" i="43"/>
  <c r="BO251" i="43"/>
  <c r="BO250" i="43"/>
  <c r="CD250" i="43" s="1"/>
  <c r="CP250" i="43" s="1"/>
  <c r="DC250" i="43" s="1"/>
  <c r="BO249" i="43"/>
  <c r="BO248" i="43"/>
  <c r="BO247" i="43"/>
  <c r="BO246" i="43"/>
  <c r="BO245" i="43"/>
  <c r="BO244" i="43"/>
  <c r="BO243" i="43"/>
  <c r="BO242" i="43"/>
  <c r="BO241" i="43"/>
  <c r="BO240" i="43"/>
  <c r="BO239" i="43"/>
  <c r="BO238" i="43"/>
  <c r="BO237" i="43"/>
  <c r="BO236" i="43"/>
  <c r="BO235" i="43"/>
  <c r="BO234" i="43"/>
  <c r="BO233" i="43"/>
  <c r="BO232" i="43"/>
  <c r="BO231" i="43"/>
  <c r="BO230" i="43"/>
  <c r="BO229" i="43"/>
  <c r="BO228" i="43"/>
  <c r="BO227" i="43"/>
  <c r="BO226" i="43"/>
  <c r="BO225" i="43"/>
  <c r="BO224" i="43"/>
  <c r="BO223" i="43"/>
  <c r="BO222" i="43"/>
  <c r="BO221" i="43"/>
  <c r="BO220" i="43"/>
  <c r="BO219" i="43"/>
  <c r="BO218" i="43"/>
  <c r="BO217" i="43"/>
  <c r="BO216" i="43"/>
  <c r="BO215" i="43"/>
  <c r="BO214" i="43"/>
  <c r="BO213" i="43"/>
  <c r="BO212" i="43"/>
  <c r="BO211" i="43"/>
  <c r="BO210" i="43"/>
  <c r="BO209" i="43"/>
  <c r="BO208" i="43"/>
  <c r="BO207" i="43"/>
  <c r="BO206" i="43"/>
  <c r="BO205" i="43"/>
  <c r="BO204" i="43"/>
  <c r="BO203" i="43"/>
  <c r="BO202" i="43"/>
  <c r="BO201" i="43"/>
  <c r="BO200" i="43"/>
  <c r="BO199" i="43"/>
  <c r="BO198" i="43"/>
  <c r="BO197" i="43"/>
  <c r="BO196" i="43"/>
  <c r="BO195" i="43"/>
  <c r="BO194" i="43"/>
  <c r="BO193" i="43"/>
  <c r="BO192" i="43"/>
  <c r="BO191" i="43"/>
  <c r="BO190" i="43"/>
  <c r="BO189" i="43"/>
  <c r="BO188" i="43"/>
  <c r="BO187" i="43"/>
  <c r="BO186" i="43"/>
  <c r="CD186" i="43" s="1"/>
  <c r="CP186" i="43" s="1"/>
  <c r="DC186" i="43" s="1"/>
  <c r="BO185" i="43"/>
  <c r="BO184" i="43"/>
  <c r="BO183" i="43"/>
  <c r="BO182" i="43"/>
  <c r="BO181" i="43"/>
  <c r="BO180" i="43"/>
  <c r="BO179" i="43"/>
  <c r="BO178" i="43"/>
  <c r="BO177" i="43"/>
  <c r="BO176" i="43"/>
  <c r="BO175" i="43"/>
  <c r="BO174" i="43"/>
  <c r="BO173" i="43"/>
  <c r="BO172" i="43"/>
  <c r="BO171" i="43"/>
  <c r="BO170" i="43"/>
  <c r="BO169" i="43"/>
  <c r="BO168" i="43"/>
  <c r="BO167" i="43"/>
  <c r="BO166" i="43"/>
  <c r="BO165" i="43"/>
  <c r="BO164" i="43"/>
  <c r="BO163" i="43"/>
  <c r="BO162" i="43"/>
  <c r="BO161" i="43"/>
  <c r="BO160" i="43"/>
  <c r="BO159" i="43"/>
  <c r="BO158" i="43"/>
  <c r="BO157" i="43"/>
  <c r="BO156" i="43"/>
  <c r="BO155" i="43"/>
  <c r="BO154" i="43"/>
  <c r="BO153" i="43"/>
  <c r="BO152" i="43"/>
  <c r="BO151" i="43"/>
  <c r="BO150" i="43"/>
  <c r="BO149" i="43"/>
  <c r="BO148" i="43"/>
  <c r="BO147" i="43"/>
  <c r="BO146" i="43"/>
  <c r="CD146" i="43" s="1"/>
  <c r="CP146" i="43" s="1"/>
  <c r="DC146" i="43" s="1"/>
  <c r="BO145" i="43"/>
  <c r="BO144" i="43"/>
  <c r="BO143" i="43"/>
  <c r="BO142" i="43"/>
  <c r="BO141" i="43"/>
  <c r="BO140" i="43"/>
  <c r="BO139" i="43"/>
  <c r="BO138" i="43"/>
  <c r="BO137" i="43"/>
  <c r="BO136" i="43"/>
  <c r="BO135" i="43"/>
  <c r="BO134" i="43"/>
  <c r="BO133" i="43"/>
  <c r="BO132" i="43"/>
  <c r="BO131" i="43"/>
  <c r="BO130" i="43"/>
  <c r="BO129" i="43"/>
  <c r="BO128" i="43"/>
  <c r="BO127" i="43"/>
  <c r="BO126" i="43"/>
  <c r="BO125" i="43"/>
  <c r="BO124" i="43"/>
  <c r="BO123" i="43"/>
  <c r="BO122" i="43"/>
  <c r="BO121" i="43"/>
  <c r="BO120" i="43"/>
  <c r="BO119" i="43"/>
  <c r="BO118" i="43"/>
  <c r="BO117" i="43"/>
  <c r="BO116" i="43"/>
  <c r="BO115" i="43"/>
  <c r="BO114" i="43"/>
  <c r="BO113" i="43"/>
  <c r="BO112" i="43"/>
  <c r="BO111" i="43"/>
  <c r="BO110" i="43"/>
  <c r="BO109" i="43"/>
  <c r="BO108" i="43"/>
  <c r="BO107" i="43"/>
  <c r="BO106" i="43"/>
  <c r="BO105" i="43"/>
  <c r="BO104" i="43"/>
  <c r="BO103" i="43"/>
  <c r="BO102" i="43"/>
  <c r="BO101" i="43"/>
  <c r="BO100" i="43"/>
  <c r="BO99" i="43"/>
  <c r="BO98" i="43"/>
  <c r="BO97" i="43"/>
  <c r="BO96" i="43"/>
  <c r="BO95" i="43"/>
  <c r="BO94" i="43"/>
  <c r="BO93" i="43"/>
  <c r="BO92" i="43"/>
  <c r="BO91" i="43"/>
  <c r="BO90" i="43"/>
  <c r="BO89" i="43"/>
  <c r="BO88" i="43"/>
  <c r="BO87" i="43"/>
  <c r="BO86" i="43"/>
  <c r="BO85" i="43"/>
  <c r="BO84" i="43"/>
  <c r="BO83" i="43"/>
  <c r="BO82" i="43"/>
  <c r="BO81" i="43"/>
  <c r="BO80" i="43"/>
  <c r="BO79" i="43"/>
  <c r="BO78" i="43"/>
  <c r="BO77" i="43"/>
  <c r="BO76" i="43"/>
  <c r="BO75" i="43"/>
  <c r="BO74" i="43"/>
  <c r="BO73" i="43"/>
  <c r="BO72" i="43"/>
  <c r="BO71" i="43"/>
  <c r="BO70" i="43"/>
  <c r="BO69" i="43"/>
  <c r="BO68" i="43"/>
  <c r="BO67" i="43"/>
  <c r="BO66" i="43"/>
  <c r="BO65" i="43"/>
  <c r="BO64" i="43"/>
  <c r="BO63" i="43"/>
  <c r="BO62" i="43"/>
  <c r="BO61" i="43"/>
  <c r="BO60" i="43"/>
  <c r="BO59" i="43"/>
  <c r="BO58" i="43"/>
  <c r="BO57" i="43"/>
  <c r="BO56" i="43"/>
  <c r="BO55" i="43"/>
  <c r="BO54" i="43"/>
  <c r="BO53" i="43"/>
  <c r="BO52" i="43"/>
  <c r="BO51" i="43"/>
  <c r="BO50" i="43"/>
  <c r="BO49" i="43"/>
  <c r="BO48" i="43"/>
  <c r="BO47" i="43"/>
  <c r="BO46" i="43"/>
  <c r="BO45" i="43"/>
  <c r="BO44" i="43"/>
  <c r="BO43" i="43"/>
  <c r="BO42" i="43"/>
  <c r="BO41" i="43"/>
  <c r="BO40" i="43"/>
  <c r="BO39" i="43"/>
  <c r="BO38" i="43"/>
  <c r="BO37" i="43"/>
  <c r="BO36" i="43"/>
  <c r="BO35" i="43"/>
  <c r="BO34" i="43"/>
  <c r="BO33" i="43"/>
  <c r="BO32" i="43"/>
  <c r="BO31" i="43"/>
  <c r="BO30" i="43"/>
  <c r="BO29" i="43"/>
  <c r="BO28" i="43"/>
  <c r="BO27" i="43"/>
  <c r="BO26" i="43"/>
  <c r="BO25" i="43"/>
  <c r="BO24" i="43"/>
  <c r="BO23" i="43"/>
  <c r="BO22" i="43"/>
  <c r="BO21" i="43"/>
  <c r="BO20" i="43"/>
  <c r="BO19" i="43"/>
  <c r="BO18" i="43"/>
  <c r="BO17" i="43"/>
  <c r="BO16" i="43"/>
  <c r="BO15" i="43"/>
  <c r="BN13" i="43"/>
  <c r="BM13" i="43"/>
  <c r="BL13" i="43"/>
  <c r="P7" i="42"/>
  <c r="CG11" i="45" l="1"/>
  <c r="CG10" i="45"/>
  <c r="CH10" i="45"/>
  <c r="BQ10" i="43"/>
  <c r="BQ11" i="43"/>
  <c r="BR10" i="43"/>
  <c r="BR11" i="43"/>
  <c r="BS11" i="43"/>
  <c r="BS10" i="43"/>
  <c r="CD242" i="43"/>
  <c r="CP242" i="43" s="1"/>
  <c r="DC242" i="43" s="1"/>
  <c r="CD138" i="43"/>
  <c r="CP138" i="43" s="1"/>
  <c r="DC138" i="43" s="1"/>
  <c r="CD18" i="43"/>
  <c r="CP18" i="43" s="1"/>
  <c r="DC18" i="43" s="1"/>
  <c r="CD218" i="43"/>
  <c r="CP218" i="43" s="1"/>
  <c r="DC218" i="43" s="1"/>
  <c r="CD122" i="43"/>
  <c r="CP122" i="43" s="1"/>
  <c r="DC122" i="43" s="1"/>
  <c r="CD210" i="43"/>
  <c r="CP210" i="43" s="1"/>
  <c r="DC210" i="43" s="1"/>
  <c r="CD90" i="43"/>
  <c r="CP90" i="43" s="1"/>
  <c r="DC90" i="43" s="1"/>
  <c r="CD202" i="43"/>
  <c r="CP202" i="43" s="1"/>
  <c r="DC202" i="43" s="1"/>
  <c r="CD82" i="43"/>
  <c r="CP82" i="43" s="1"/>
  <c r="DC82" i="43" s="1"/>
  <c r="CD74" i="43"/>
  <c r="CP74" i="43" s="1"/>
  <c r="DC74" i="43" s="1"/>
  <c r="CD178" i="43"/>
  <c r="CP178" i="43" s="1"/>
  <c r="DC178" i="43" s="1"/>
  <c r="CD58" i="43"/>
  <c r="CP58" i="43" s="1"/>
  <c r="DC58" i="43" s="1"/>
  <c r="CD266" i="43"/>
  <c r="CP266" i="43" s="1"/>
  <c r="DC266" i="43" s="1"/>
  <c r="CD154" i="43"/>
  <c r="CP154" i="43" s="1"/>
  <c r="DC154" i="43" s="1"/>
  <c r="CD26" i="43"/>
  <c r="CP26" i="43" s="1"/>
  <c r="DC26" i="43" s="1"/>
  <c r="CD38" i="43"/>
  <c r="CP38" i="43" s="1"/>
  <c r="DC38" i="43" s="1"/>
  <c r="CD16" i="43"/>
  <c r="CP16" i="43" s="1"/>
  <c r="DC16" i="43" s="1"/>
  <c r="CD24" i="43"/>
  <c r="CP24" i="43" s="1"/>
  <c r="DC24" i="43" s="1"/>
  <c r="CD32" i="43"/>
  <c r="CP32" i="43" s="1"/>
  <c r="DC32" i="43" s="1"/>
  <c r="CD40" i="43"/>
  <c r="CP40" i="43" s="1"/>
  <c r="DC40" i="43" s="1"/>
  <c r="CD48" i="43"/>
  <c r="CP48" i="43" s="1"/>
  <c r="DC48" i="43" s="1"/>
  <c r="CD56" i="43"/>
  <c r="CP56" i="43" s="1"/>
  <c r="DC56" i="43" s="1"/>
  <c r="CD64" i="43"/>
  <c r="CP64" i="43" s="1"/>
  <c r="DC64" i="43" s="1"/>
  <c r="CD72" i="43"/>
  <c r="CP72" i="43" s="1"/>
  <c r="DC72" i="43" s="1"/>
  <c r="CD80" i="43"/>
  <c r="CP80" i="43" s="1"/>
  <c r="DC80" i="43" s="1"/>
  <c r="CD88" i="43"/>
  <c r="CP88" i="43" s="1"/>
  <c r="DC88" i="43" s="1"/>
  <c r="CD96" i="43"/>
  <c r="CP96" i="43" s="1"/>
  <c r="DC96" i="43" s="1"/>
  <c r="CD104" i="43"/>
  <c r="CP104" i="43" s="1"/>
  <c r="DC104" i="43" s="1"/>
  <c r="CD112" i="43"/>
  <c r="CP112" i="43" s="1"/>
  <c r="DC112" i="43" s="1"/>
  <c r="CD120" i="43"/>
  <c r="CP120" i="43" s="1"/>
  <c r="DC120" i="43" s="1"/>
  <c r="CD128" i="43"/>
  <c r="CP128" i="43" s="1"/>
  <c r="DC128" i="43" s="1"/>
  <c r="CD136" i="43"/>
  <c r="CP136" i="43" s="1"/>
  <c r="DC136" i="43" s="1"/>
  <c r="CD144" i="43"/>
  <c r="CP144" i="43" s="1"/>
  <c r="DC144" i="43" s="1"/>
  <c r="CD152" i="43"/>
  <c r="CP152" i="43" s="1"/>
  <c r="DC152" i="43" s="1"/>
  <c r="CD160" i="43"/>
  <c r="CP160" i="43" s="1"/>
  <c r="DC160" i="43" s="1"/>
  <c r="CD168" i="43"/>
  <c r="CP168" i="43" s="1"/>
  <c r="DC168" i="43" s="1"/>
  <c r="CD176" i="43"/>
  <c r="CP176" i="43" s="1"/>
  <c r="DC176" i="43" s="1"/>
  <c r="CD184" i="43"/>
  <c r="CP184" i="43" s="1"/>
  <c r="DC184" i="43" s="1"/>
  <c r="CD192" i="43"/>
  <c r="CP192" i="43" s="1"/>
  <c r="DC192" i="43" s="1"/>
  <c r="CD200" i="43"/>
  <c r="CP200" i="43" s="1"/>
  <c r="DC200" i="43" s="1"/>
  <c r="CD208" i="43"/>
  <c r="CP208" i="43" s="1"/>
  <c r="DC208" i="43" s="1"/>
  <c r="CD216" i="43"/>
  <c r="CP216" i="43" s="1"/>
  <c r="DC216" i="43" s="1"/>
  <c r="CD224" i="43"/>
  <c r="CP224" i="43" s="1"/>
  <c r="DC224" i="43" s="1"/>
  <c r="CD232" i="43"/>
  <c r="CP232" i="43" s="1"/>
  <c r="DC232" i="43" s="1"/>
  <c r="CD240" i="43"/>
  <c r="CP240" i="43" s="1"/>
  <c r="DC240" i="43" s="1"/>
  <c r="CD248" i="43"/>
  <c r="CP248" i="43" s="1"/>
  <c r="DC248" i="43" s="1"/>
  <c r="CD256" i="43"/>
  <c r="CP256" i="43" s="1"/>
  <c r="DC256" i="43" s="1"/>
  <c r="CD272" i="43"/>
  <c r="CP272" i="43" s="1"/>
  <c r="DC272" i="43" s="1"/>
  <c r="CD288" i="43"/>
  <c r="CP288" i="43" s="1"/>
  <c r="DC288" i="43" s="1"/>
  <c r="CD304" i="43"/>
  <c r="CP304" i="43" s="1"/>
  <c r="DC304" i="43" s="1"/>
  <c r="CD17" i="43"/>
  <c r="CP17" i="43" s="1"/>
  <c r="DC17" i="43" s="1"/>
  <c r="CD25" i="43"/>
  <c r="CP25" i="43" s="1"/>
  <c r="DC25" i="43" s="1"/>
  <c r="CD33" i="43"/>
  <c r="CP33" i="43" s="1"/>
  <c r="DC33" i="43" s="1"/>
  <c r="CD41" i="43"/>
  <c r="CP41" i="43" s="1"/>
  <c r="DC41" i="43" s="1"/>
  <c r="CD49" i="43"/>
  <c r="CP49" i="43" s="1"/>
  <c r="DC49" i="43" s="1"/>
  <c r="CD57" i="43"/>
  <c r="CP57" i="43" s="1"/>
  <c r="DC57" i="43" s="1"/>
  <c r="CD65" i="43"/>
  <c r="CP65" i="43" s="1"/>
  <c r="DC65" i="43" s="1"/>
  <c r="CD73" i="43"/>
  <c r="CP73" i="43" s="1"/>
  <c r="DC73" i="43" s="1"/>
  <c r="CD81" i="43"/>
  <c r="CP81" i="43" s="1"/>
  <c r="DC81" i="43" s="1"/>
  <c r="CD89" i="43"/>
  <c r="CP89" i="43" s="1"/>
  <c r="DC89" i="43" s="1"/>
  <c r="CD97" i="43"/>
  <c r="CP97" i="43" s="1"/>
  <c r="DC97" i="43" s="1"/>
  <c r="CD105" i="43"/>
  <c r="CP105" i="43" s="1"/>
  <c r="DC105" i="43" s="1"/>
  <c r="CD113" i="43"/>
  <c r="CP113" i="43" s="1"/>
  <c r="DC113" i="43" s="1"/>
  <c r="CD121" i="43"/>
  <c r="CP121" i="43" s="1"/>
  <c r="DC121" i="43" s="1"/>
  <c r="CD129" i="43"/>
  <c r="CP129" i="43" s="1"/>
  <c r="DC129" i="43" s="1"/>
  <c r="CD137" i="43"/>
  <c r="CP137" i="43" s="1"/>
  <c r="DC137" i="43" s="1"/>
  <c r="CD145" i="43"/>
  <c r="CP145" i="43" s="1"/>
  <c r="DC145" i="43" s="1"/>
  <c r="CD153" i="43"/>
  <c r="CP153" i="43" s="1"/>
  <c r="DC153" i="43" s="1"/>
  <c r="CD161" i="43"/>
  <c r="CP161" i="43" s="1"/>
  <c r="DC161" i="43" s="1"/>
  <c r="CD169" i="43"/>
  <c r="CP169" i="43" s="1"/>
  <c r="DC169" i="43" s="1"/>
  <c r="CD177" i="43"/>
  <c r="CP177" i="43" s="1"/>
  <c r="DC177" i="43" s="1"/>
  <c r="CD185" i="43"/>
  <c r="CP185" i="43" s="1"/>
  <c r="DC185" i="43" s="1"/>
  <c r="CD193" i="43"/>
  <c r="DC193" i="43" s="1"/>
  <c r="CD201" i="43"/>
  <c r="CP201" i="43" s="1"/>
  <c r="DC201" i="43" s="1"/>
  <c r="CD209" i="43"/>
  <c r="CP209" i="43" s="1"/>
  <c r="DC209" i="43" s="1"/>
  <c r="CD217" i="43"/>
  <c r="CP217" i="43" s="1"/>
  <c r="DC217" i="43" s="1"/>
  <c r="CD225" i="43"/>
  <c r="CP225" i="43" s="1"/>
  <c r="DC225" i="43" s="1"/>
  <c r="CD233" i="43"/>
  <c r="CP233" i="43" s="1"/>
  <c r="DC233" i="43" s="1"/>
  <c r="CD241" i="43"/>
  <c r="CP241" i="43" s="1"/>
  <c r="DC241" i="43" s="1"/>
  <c r="CD249" i="43"/>
  <c r="CP249" i="43" s="1"/>
  <c r="DC249" i="43" s="1"/>
  <c r="CD257" i="43"/>
  <c r="CP257" i="43" s="1"/>
  <c r="DC257" i="43" s="1"/>
  <c r="CD265" i="43"/>
  <c r="CP265" i="43" s="1"/>
  <c r="DC265" i="43" s="1"/>
  <c r="CD273" i="43"/>
  <c r="CP273" i="43" s="1"/>
  <c r="DC273" i="43" s="1"/>
  <c r="CD281" i="43"/>
  <c r="CP281" i="43" s="1"/>
  <c r="DC281" i="43" s="1"/>
  <c r="CD289" i="43"/>
  <c r="CP289" i="43" s="1"/>
  <c r="DC289" i="43" s="1"/>
  <c r="CD297" i="43"/>
  <c r="CP297" i="43" s="1"/>
  <c r="DC297" i="43" s="1"/>
  <c r="CD305" i="43"/>
  <c r="CP305" i="43" s="1"/>
  <c r="DC305" i="43" s="1"/>
  <c r="CD258" i="43"/>
  <c r="CP258" i="43" s="1"/>
  <c r="DC258" i="43" s="1"/>
  <c r="CD194" i="43"/>
  <c r="CP194" i="43" s="1"/>
  <c r="DC194" i="43" s="1"/>
  <c r="CD130" i="43"/>
  <c r="CP130" i="43" s="1"/>
  <c r="DC130" i="43" s="1"/>
  <c r="CD66" i="43"/>
  <c r="CP66" i="43" s="1"/>
  <c r="DC66" i="43" s="1"/>
  <c r="CD163" i="43"/>
  <c r="CP163" i="43" s="1"/>
  <c r="DC163" i="43" s="1"/>
  <c r="CD179" i="43"/>
  <c r="CP179" i="43" s="1"/>
  <c r="DC179" i="43" s="1"/>
  <c r="CD195" i="43"/>
  <c r="CP195" i="43" s="1"/>
  <c r="DC195" i="43" s="1"/>
  <c r="CD219" i="43"/>
  <c r="CP219" i="43" s="1"/>
  <c r="DC219" i="43" s="1"/>
  <c r="CD235" i="43"/>
  <c r="CP235" i="43" s="1"/>
  <c r="DC235" i="43" s="1"/>
  <c r="CD259" i="43"/>
  <c r="CP259" i="43" s="1"/>
  <c r="DC259" i="43" s="1"/>
  <c r="CD283" i="43"/>
  <c r="CP283" i="43" s="1"/>
  <c r="DC283" i="43" s="1"/>
  <c r="CD116" i="43"/>
  <c r="CP116" i="43" s="1"/>
  <c r="DC116" i="43" s="1"/>
  <c r="CD50" i="43"/>
  <c r="CP50" i="43" s="1"/>
  <c r="DC50" i="43" s="1"/>
  <c r="CD264" i="43"/>
  <c r="CP264" i="43" s="1"/>
  <c r="DC264" i="43" s="1"/>
  <c r="CD280" i="43"/>
  <c r="CP280" i="43" s="1"/>
  <c r="DC280" i="43" s="1"/>
  <c r="CD296" i="43"/>
  <c r="CP296" i="43" s="1"/>
  <c r="DC296" i="43" s="1"/>
  <c r="CD19" i="43"/>
  <c r="CP19" i="43" s="1"/>
  <c r="DC19" i="43" s="1"/>
  <c r="CD27" i="43"/>
  <c r="CP27" i="43" s="1"/>
  <c r="DC27" i="43" s="1"/>
  <c r="CD35" i="43"/>
  <c r="CP35" i="43" s="1"/>
  <c r="DC35" i="43" s="1"/>
  <c r="CD43" i="43"/>
  <c r="CP43" i="43" s="1"/>
  <c r="DC43" i="43" s="1"/>
  <c r="CD51" i="43"/>
  <c r="CP51" i="43" s="1"/>
  <c r="DC51" i="43" s="1"/>
  <c r="CD59" i="43"/>
  <c r="CP59" i="43" s="1"/>
  <c r="DC59" i="43" s="1"/>
  <c r="CD67" i="43"/>
  <c r="CP67" i="43" s="1"/>
  <c r="DC67" i="43" s="1"/>
  <c r="CD75" i="43"/>
  <c r="CP75" i="43" s="1"/>
  <c r="DC75" i="43" s="1"/>
  <c r="CD83" i="43"/>
  <c r="CP83" i="43" s="1"/>
  <c r="DC83" i="43" s="1"/>
  <c r="CD91" i="43"/>
  <c r="CP91" i="43" s="1"/>
  <c r="DC91" i="43" s="1"/>
  <c r="CD99" i="43"/>
  <c r="CP99" i="43" s="1"/>
  <c r="DC99" i="43" s="1"/>
  <c r="CD107" i="43"/>
  <c r="CP107" i="43" s="1"/>
  <c r="DC107" i="43" s="1"/>
  <c r="CD115" i="43"/>
  <c r="CP115" i="43" s="1"/>
  <c r="DC115" i="43" s="1"/>
  <c r="CD123" i="43"/>
  <c r="CP123" i="43" s="1"/>
  <c r="DC123" i="43" s="1"/>
  <c r="CD131" i="43"/>
  <c r="CP131" i="43" s="1"/>
  <c r="DC131" i="43" s="1"/>
  <c r="CD139" i="43"/>
  <c r="CP139" i="43" s="1"/>
  <c r="DC139" i="43" s="1"/>
  <c r="CD147" i="43"/>
  <c r="CP147" i="43" s="1"/>
  <c r="DC147" i="43" s="1"/>
  <c r="CD155" i="43"/>
  <c r="CP155" i="43" s="1"/>
  <c r="DC155" i="43" s="1"/>
  <c r="CD171" i="43"/>
  <c r="CP171" i="43" s="1"/>
  <c r="DC171" i="43" s="1"/>
  <c r="CD187" i="43"/>
  <c r="CP187" i="43" s="1"/>
  <c r="DC187" i="43" s="1"/>
  <c r="CD203" i="43"/>
  <c r="CP203" i="43" s="1"/>
  <c r="DC203" i="43" s="1"/>
  <c r="CD211" i="43"/>
  <c r="CP211" i="43" s="1"/>
  <c r="DC211" i="43" s="1"/>
  <c r="CD227" i="43"/>
  <c r="CP227" i="43" s="1"/>
  <c r="DC227" i="43" s="1"/>
  <c r="CD243" i="43"/>
  <c r="CP243" i="43" s="1"/>
  <c r="DC243" i="43" s="1"/>
  <c r="CD251" i="43"/>
  <c r="CP251" i="43" s="1"/>
  <c r="DC251" i="43" s="1"/>
  <c r="CD267" i="43"/>
  <c r="CP267" i="43" s="1"/>
  <c r="DC267" i="43" s="1"/>
  <c r="CD275" i="43"/>
  <c r="CP275" i="43" s="1"/>
  <c r="DC275" i="43" s="1"/>
  <c r="CD291" i="43"/>
  <c r="CP291" i="43" s="1"/>
  <c r="DC291" i="43" s="1"/>
  <c r="CD299" i="43"/>
  <c r="CP299" i="43" s="1"/>
  <c r="DC299" i="43" s="1"/>
  <c r="CD28" i="43"/>
  <c r="CP28" i="43" s="1"/>
  <c r="DC28" i="43" s="1"/>
  <c r="CD36" i="43"/>
  <c r="CP36" i="43" s="1"/>
  <c r="DC36" i="43" s="1"/>
  <c r="CD44" i="43"/>
  <c r="CP44" i="43" s="1"/>
  <c r="DC44" i="43" s="1"/>
  <c r="CD52" i="43"/>
  <c r="CP52" i="43" s="1"/>
  <c r="DC52" i="43" s="1"/>
  <c r="CD60" i="43"/>
  <c r="CP60" i="43" s="1"/>
  <c r="DC60" i="43" s="1"/>
  <c r="CD68" i="43"/>
  <c r="CP68" i="43" s="1"/>
  <c r="DC68" i="43" s="1"/>
  <c r="CD76" i="43"/>
  <c r="CP76" i="43" s="1"/>
  <c r="DC76" i="43" s="1"/>
  <c r="CD84" i="43"/>
  <c r="CP84" i="43" s="1"/>
  <c r="DC84" i="43" s="1"/>
  <c r="CD92" i="43"/>
  <c r="CP92" i="43" s="1"/>
  <c r="DC92" i="43" s="1"/>
  <c r="CD100" i="43"/>
  <c r="CP100" i="43" s="1"/>
  <c r="DC100" i="43" s="1"/>
  <c r="CD108" i="43"/>
  <c r="CP108" i="43" s="1"/>
  <c r="DC108" i="43" s="1"/>
  <c r="CD124" i="43"/>
  <c r="CP124" i="43" s="1"/>
  <c r="DC124" i="43" s="1"/>
  <c r="CD132" i="43"/>
  <c r="CP132" i="43" s="1"/>
  <c r="DC132" i="43" s="1"/>
  <c r="CD140" i="43"/>
  <c r="CP140" i="43" s="1"/>
  <c r="DC140" i="43" s="1"/>
  <c r="CD148" i="43"/>
  <c r="CP148" i="43" s="1"/>
  <c r="DC148" i="43" s="1"/>
  <c r="CD156" i="43"/>
  <c r="CP156" i="43" s="1"/>
  <c r="DC156" i="43" s="1"/>
  <c r="CD164" i="43"/>
  <c r="CP164" i="43" s="1"/>
  <c r="DC164" i="43" s="1"/>
  <c r="CD172" i="43"/>
  <c r="CP172" i="43" s="1"/>
  <c r="DC172" i="43" s="1"/>
  <c r="CD180" i="43"/>
  <c r="CP180" i="43" s="1"/>
  <c r="DC180" i="43" s="1"/>
  <c r="CD188" i="43"/>
  <c r="CP188" i="43" s="1"/>
  <c r="DC188" i="43" s="1"/>
  <c r="CD196" i="43"/>
  <c r="CP196" i="43" s="1"/>
  <c r="DC196" i="43" s="1"/>
  <c r="CD204" i="43"/>
  <c r="CP204" i="43" s="1"/>
  <c r="DC204" i="43" s="1"/>
  <c r="CD212" i="43"/>
  <c r="CP212" i="43" s="1"/>
  <c r="DC212" i="43" s="1"/>
  <c r="CD220" i="43"/>
  <c r="CP220" i="43" s="1"/>
  <c r="DC220" i="43" s="1"/>
  <c r="CD228" i="43"/>
  <c r="CP228" i="43" s="1"/>
  <c r="DC228" i="43" s="1"/>
  <c r="CD236" i="43"/>
  <c r="CP236" i="43" s="1"/>
  <c r="DC236" i="43" s="1"/>
  <c r="CD244" i="43"/>
  <c r="CP244" i="43" s="1"/>
  <c r="DC244" i="43" s="1"/>
  <c r="CD252" i="43"/>
  <c r="CP252" i="43" s="1"/>
  <c r="DC252" i="43" s="1"/>
  <c r="CD260" i="43"/>
  <c r="CP260" i="43" s="1"/>
  <c r="DC260" i="43" s="1"/>
  <c r="CD268" i="43"/>
  <c r="CP268" i="43" s="1"/>
  <c r="DC268" i="43" s="1"/>
  <c r="CD276" i="43"/>
  <c r="CP276" i="43" s="1"/>
  <c r="DC276" i="43" s="1"/>
  <c r="CD284" i="43"/>
  <c r="CP284" i="43" s="1"/>
  <c r="DC284" i="43" s="1"/>
  <c r="CD292" i="43"/>
  <c r="CP292" i="43" s="1"/>
  <c r="DC292" i="43" s="1"/>
  <c r="CD300" i="43"/>
  <c r="CP300" i="43" s="1"/>
  <c r="DC300" i="43" s="1"/>
  <c r="CD15" i="43"/>
  <c r="CP15" i="43" s="1"/>
  <c r="DC15" i="43" s="1"/>
  <c r="CD114" i="43"/>
  <c r="CP114" i="43" s="1"/>
  <c r="DC114" i="43" s="1"/>
  <c r="CD21" i="43"/>
  <c r="CP21" i="43" s="1"/>
  <c r="DC21" i="43" s="1"/>
  <c r="CD29" i="43"/>
  <c r="CP29" i="43" s="1"/>
  <c r="DC29" i="43" s="1"/>
  <c r="CD37" i="43"/>
  <c r="CP37" i="43" s="1"/>
  <c r="DC37" i="43" s="1"/>
  <c r="CD45" i="43"/>
  <c r="CP45" i="43" s="1"/>
  <c r="DC45" i="43" s="1"/>
  <c r="CD53" i="43"/>
  <c r="CP53" i="43" s="1"/>
  <c r="DC53" i="43" s="1"/>
  <c r="CD61" i="43"/>
  <c r="CP61" i="43" s="1"/>
  <c r="DC61" i="43" s="1"/>
  <c r="CD69" i="43"/>
  <c r="CP69" i="43" s="1"/>
  <c r="DC69" i="43" s="1"/>
  <c r="CD77" i="43"/>
  <c r="CP77" i="43" s="1"/>
  <c r="DC77" i="43" s="1"/>
  <c r="CD85" i="43"/>
  <c r="CP85" i="43" s="1"/>
  <c r="DC85" i="43" s="1"/>
  <c r="CD93" i="43"/>
  <c r="CP93" i="43" s="1"/>
  <c r="DC93" i="43" s="1"/>
  <c r="CD101" i="43"/>
  <c r="CP101" i="43" s="1"/>
  <c r="DC101" i="43" s="1"/>
  <c r="CD109" i="43"/>
  <c r="CP109" i="43" s="1"/>
  <c r="DC109" i="43" s="1"/>
  <c r="CD117" i="43"/>
  <c r="CP117" i="43" s="1"/>
  <c r="DC117" i="43" s="1"/>
  <c r="CD125" i="43"/>
  <c r="CP125" i="43" s="1"/>
  <c r="DC125" i="43" s="1"/>
  <c r="CD133" i="43"/>
  <c r="CP133" i="43" s="1"/>
  <c r="DC133" i="43" s="1"/>
  <c r="CD141" i="43"/>
  <c r="CP141" i="43" s="1"/>
  <c r="DC141" i="43" s="1"/>
  <c r="CD149" i="43"/>
  <c r="CP149" i="43" s="1"/>
  <c r="DC149" i="43" s="1"/>
  <c r="CD157" i="43"/>
  <c r="CP157" i="43" s="1"/>
  <c r="DC157" i="43" s="1"/>
  <c r="CD165" i="43"/>
  <c r="CP165" i="43" s="1"/>
  <c r="DC165" i="43" s="1"/>
  <c r="CD173" i="43"/>
  <c r="CP173" i="43" s="1"/>
  <c r="DC173" i="43" s="1"/>
  <c r="CD181" i="43"/>
  <c r="CP181" i="43" s="1"/>
  <c r="DC181" i="43" s="1"/>
  <c r="CD189" i="43"/>
  <c r="CP189" i="43" s="1"/>
  <c r="DC189" i="43" s="1"/>
  <c r="CD197" i="43"/>
  <c r="CP197" i="43" s="1"/>
  <c r="DC197" i="43" s="1"/>
  <c r="CD205" i="43"/>
  <c r="CP205" i="43" s="1"/>
  <c r="DC205" i="43" s="1"/>
  <c r="CD213" i="43"/>
  <c r="CP213" i="43" s="1"/>
  <c r="DC213" i="43" s="1"/>
  <c r="CD221" i="43"/>
  <c r="CP221" i="43" s="1"/>
  <c r="DC221" i="43" s="1"/>
  <c r="CD229" i="43"/>
  <c r="CP229" i="43" s="1"/>
  <c r="DC229" i="43" s="1"/>
  <c r="CD237" i="43"/>
  <c r="CP237" i="43" s="1"/>
  <c r="DC237" i="43" s="1"/>
  <c r="CD245" i="43"/>
  <c r="CP245" i="43" s="1"/>
  <c r="DC245" i="43" s="1"/>
  <c r="CD253" i="43"/>
  <c r="CP253" i="43" s="1"/>
  <c r="DC253" i="43" s="1"/>
  <c r="CD261" i="43"/>
  <c r="CP261" i="43" s="1"/>
  <c r="DC261" i="43" s="1"/>
  <c r="CD269" i="43"/>
  <c r="CP269" i="43" s="1"/>
  <c r="DC269" i="43" s="1"/>
  <c r="CD277" i="43"/>
  <c r="CP277" i="43" s="1"/>
  <c r="DC277" i="43" s="1"/>
  <c r="CD285" i="43"/>
  <c r="CP285" i="43" s="1"/>
  <c r="DC285" i="43" s="1"/>
  <c r="CD293" i="43"/>
  <c r="CP293" i="43" s="1"/>
  <c r="DC293" i="43" s="1"/>
  <c r="CD301" i="43"/>
  <c r="CP301" i="43" s="1"/>
  <c r="DC301" i="43" s="1"/>
  <c r="CD298" i="43"/>
  <c r="CP298" i="43" s="1"/>
  <c r="DC298" i="43" s="1"/>
  <c r="CD234" i="43"/>
  <c r="CP234" i="43" s="1"/>
  <c r="DC234" i="43" s="1"/>
  <c r="CD170" i="43"/>
  <c r="CP170" i="43" s="1"/>
  <c r="DC170" i="43" s="1"/>
  <c r="CD106" i="43"/>
  <c r="CP106" i="43" s="1"/>
  <c r="DC106" i="43" s="1"/>
  <c r="CD42" i="43"/>
  <c r="CP42" i="43" s="1"/>
  <c r="DC42" i="43" s="1"/>
  <c r="CD22" i="43"/>
  <c r="CP22" i="43" s="1"/>
  <c r="DC22" i="43" s="1"/>
  <c r="CD62" i="43"/>
  <c r="CP62" i="43" s="1"/>
  <c r="DC62" i="43" s="1"/>
  <c r="CD70" i="43"/>
  <c r="CP70" i="43" s="1"/>
  <c r="DC70" i="43" s="1"/>
  <c r="CD78" i="43"/>
  <c r="CP78" i="43" s="1"/>
  <c r="DC78" i="43" s="1"/>
  <c r="CD86" i="43"/>
  <c r="CP86" i="43" s="1"/>
  <c r="DC86" i="43" s="1"/>
  <c r="CD94" i="43"/>
  <c r="CP94" i="43" s="1"/>
  <c r="DC94" i="43" s="1"/>
  <c r="CD102" i="43"/>
  <c r="CP102" i="43" s="1"/>
  <c r="DC102" i="43" s="1"/>
  <c r="CD110" i="43"/>
  <c r="CP110" i="43" s="1"/>
  <c r="DC110" i="43" s="1"/>
  <c r="CD118" i="43"/>
  <c r="CP118" i="43" s="1"/>
  <c r="DC118" i="43" s="1"/>
  <c r="CD126" i="43"/>
  <c r="CP126" i="43" s="1"/>
  <c r="DC126" i="43" s="1"/>
  <c r="CD134" i="43"/>
  <c r="CP134" i="43" s="1"/>
  <c r="DC134" i="43" s="1"/>
  <c r="CD142" i="43"/>
  <c r="CP142" i="43" s="1"/>
  <c r="DC142" i="43" s="1"/>
  <c r="CD150" i="43"/>
  <c r="CP150" i="43" s="1"/>
  <c r="DC150" i="43" s="1"/>
  <c r="CD158" i="43"/>
  <c r="CP158" i="43" s="1"/>
  <c r="DC158" i="43" s="1"/>
  <c r="CD166" i="43"/>
  <c r="CP166" i="43" s="1"/>
  <c r="DC166" i="43" s="1"/>
  <c r="CD174" i="43"/>
  <c r="CP174" i="43" s="1"/>
  <c r="DC174" i="43" s="1"/>
  <c r="CD182" i="43"/>
  <c r="CP182" i="43" s="1"/>
  <c r="DC182" i="43" s="1"/>
  <c r="CD190" i="43"/>
  <c r="CP190" i="43" s="1"/>
  <c r="DC190" i="43" s="1"/>
  <c r="CD198" i="43"/>
  <c r="CP198" i="43" s="1"/>
  <c r="DC198" i="43" s="1"/>
  <c r="CD206" i="43"/>
  <c r="CP206" i="43" s="1"/>
  <c r="DC206" i="43" s="1"/>
  <c r="CD214" i="43"/>
  <c r="CP214" i="43" s="1"/>
  <c r="DC214" i="43" s="1"/>
  <c r="CD222" i="43"/>
  <c r="CP222" i="43" s="1"/>
  <c r="DC222" i="43" s="1"/>
  <c r="CD230" i="43"/>
  <c r="CP230" i="43" s="1"/>
  <c r="DC230" i="43" s="1"/>
  <c r="CD238" i="43"/>
  <c r="CP238" i="43" s="1"/>
  <c r="DC238" i="43" s="1"/>
  <c r="CD246" i="43"/>
  <c r="CP246" i="43" s="1"/>
  <c r="DC246" i="43" s="1"/>
  <c r="CD254" i="43"/>
  <c r="CP254" i="43" s="1"/>
  <c r="DC254" i="43" s="1"/>
  <c r="CD262" i="43"/>
  <c r="CP262" i="43" s="1"/>
  <c r="DC262" i="43" s="1"/>
  <c r="CD270" i="43"/>
  <c r="CP270" i="43" s="1"/>
  <c r="DC270" i="43" s="1"/>
  <c r="CD278" i="43"/>
  <c r="CP278" i="43" s="1"/>
  <c r="DC278" i="43" s="1"/>
  <c r="CD286" i="43"/>
  <c r="CP286" i="43" s="1"/>
  <c r="DC286" i="43" s="1"/>
  <c r="CD294" i="43"/>
  <c r="CP294" i="43" s="1"/>
  <c r="DC294" i="43" s="1"/>
  <c r="CD302" i="43"/>
  <c r="CP302" i="43" s="1"/>
  <c r="DC302" i="43" s="1"/>
  <c r="CD290" i="43"/>
  <c r="CP290" i="43" s="1"/>
  <c r="DC290" i="43" s="1"/>
  <c r="CD226" i="43"/>
  <c r="CP226" i="43" s="1"/>
  <c r="DC226" i="43" s="1"/>
  <c r="CD162" i="43"/>
  <c r="CP162" i="43" s="1"/>
  <c r="DC162" i="43" s="1"/>
  <c r="CD98" i="43"/>
  <c r="CP98" i="43" s="1"/>
  <c r="DC98" i="43" s="1"/>
  <c r="CD34" i="43"/>
  <c r="CP34" i="43" s="1"/>
  <c r="DC34" i="43" s="1"/>
  <c r="CD30" i="43"/>
  <c r="CP30" i="43" s="1"/>
  <c r="DC30" i="43" s="1"/>
  <c r="CD46" i="43"/>
  <c r="CP46" i="43" s="1"/>
  <c r="DC46" i="43" s="1"/>
  <c r="CD54" i="43"/>
  <c r="CP54" i="43" s="1"/>
  <c r="DC54" i="43" s="1"/>
  <c r="CD23" i="43"/>
  <c r="CP23" i="43" s="1"/>
  <c r="DC23" i="43" s="1"/>
  <c r="CD31" i="43"/>
  <c r="CP31" i="43" s="1"/>
  <c r="DC31" i="43" s="1"/>
  <c r="CD39" i="43"/>
  <c r="CP39" i="43" s="1"/>
  <c r="DC39" i="43" s="1"/>
  <c r="CD47" i="43"/>
  <c r="CP47" i="43" s="1"/>
  <c r="DC47" i="43" s="1"/>
  <c r="CD55" i="43"/>
  <c r="CP55" i="43" s="1"/>
  <c r="DC55" i="43" s="1"/>
  <c r="CD63" i="43"/>
  <c r="CP63" i="43" s="1"/>
  <c r="DC63" i="43" s="1"/>
  <c r="CD71" i="43"/>
  <c r="CP71" i="43" s="1"/>
  <c r="DC71" i="43" s="1"/>
  <c r="CD79" i="43"/>
  <c r="CP79" i="43" s="1"/>
  <c r="DC79" i="43" s="1"/>
  <c r="CD87" i="43"/>
  <c r="CP87" i="43" s="1"/>
  <c r="DC87" i="43" s="1"/>
  <c r="CD95" i="43"/>
  <c r="CP95" i="43" s="1"/>
  <c r="DC95" i="43" s="1"/>
  <c r="CD103" i="43"/>
  <c r="CP103" i="43" s="1"/>
  <c r="DC103" i="43" s="1"/>
  <c r="CD111" i="43"/>
  <c r="CP111" i="43" s="1"/>
  <c r="DC111" i="43" s="1"/>
  <c r="CD119" i="43"/>
  <c r="CP119" i="43" s="1"/>
  <c r="DC119" i="43" s="1"/>
  <c r="CD127" i="43"/>
  <c r="CP127" i="43" s="1"/>
  <c r="DC127" i="43" s="1"/>
  <c r="CD135" i="43"/>
  <c r="CP135" i="43" s="1"/>
  <c r="DC135" i="43" s="1"/>
  <c r="CD143" i="43"/>
  <c r="CP143" i="43" s="1"/>
  <c r="DC143" i="43" s="1"/>
  <c r="CD151" i="43"/>
  <c r="CP151" i="43" s="1"/>
  <c r="DC151" i="43" s="1"/>
  <c r="CD159" i="43"/>
  <c r="CP159" i="43" s="1"/>
  <c r="DC159" i="43" s="1"/>
  <c r="CD167" i="43"/>
  <c r="CP167" i="43" s="1"/>
  <c r="DC167" i="43" s="1"/>
  <c r="CD175" i="43"/>
  <c r="CP175" i="43" s="1"/>
  <c r="DC175" i="43" s="1"/>
  <c r="CD183" i="43"/>
  <c r="CP183" i="43" s="1"/>
  <c r="DC183" i="43" s="1"/>
  <c r="CD191" i="43"/>
  <c r="CP191" i="43" s="1"/>
  <c r="DC191" i="43" s="1"/>
  <c r="CD199" i="43"/>
  <c r="CP199" i="43" s="1"/>
  <c r="DC199" i="43" s="1"/>
  <c r="CD207" i="43"/>
  <c r="CP207" i="43" s="1"/>
  <c r="DC207" i="43" s="1"/>
  <c r="CD215" i="43"/>
  <c r="CP215" i="43" s="1"/>
  <c r="DC215" i="43" s="1"/>
  <c r="CD223" i="43"/>
  <c r="CP223" i="43" s="1"/>
  <c r="DC223" i="43" s="1"/>
  <c r="CD231" i="43"/>
  <c r="CP231" i="43" s="1"/>
  <c r="DC231" i="43" s="1"/>
  <c r="CD239" i="43"/>
  <c r="CP239" i="43" s="1"/>
  <c r="DC239" i="43" s="1"/>
  <c r="CD247" i="43"/>
  <c r="CP247" i="43" s="1"/>
  <c r="DC247" i="43" s="1"/>
  <c r="CD255" i="43"/>
  <c r="CP255" i="43" s="1"/>
  <c r="DC255" i="43" s="1"/>
  <c r="CD263" i="43"/>
  <c r="CP263" i="43" s="1"/>
  <c r="DC263" i="43" s="1"/>
  <c r="CD271" i="43"/>
  <c r="CP271" i="43" s="1"/>
  <c r="DC271" i="43" s="1"/>
  <c r="CD279" i="43"/>
  <c r="CP279" i="43" s="1"/>
  <c r="DC279" i="43" s="1"/>
  <c r="CD287" i="43"/>
  <c r="CP287" i="43" s="1"/>
  <c r="DC287" i="43" s="1"/>
  <c r="CD295" i="43"/>
  <c r="CP295" i="43" s="1"/>
  <c r="DC295" i="43" s="1"/>
  <c r="CD303" i="43"/>
  <c r="CP303" i="43" s="1"/>
  <c r="DC303" i="43" s="1"/>
  <c r="BO13" i="43"/>
  <c r="CD20" i="43"/>
  <c r="CP20" i="43" s="1"/>
  <c r="DC20" i="43" s="1"/>
  <c r="AK16" i="56"/>
  <c r="AL16" i="56"/>
  <c r="AM16" i="56"/>
  <c r="AN16" i="56"/>
  <c r="AO16" i="56"/>
  <c r="AP16" i="56"/>
  <c r="AQ16" i="56"/>
  <c r="AK17" i="56"/>
  <c r="AL17" i="56"/>
  <c r="AM17" i="56"/>
  <c r="AN17" i="56"/>
  <c r="AO17" i="56"/>
  <c r="AP17" i="56"/>
  <c r="AQ17" i="56"/>
  <c r="AK18" i="56"/>
  <c r="AL18" i="56"/>
  <c r="AM18" i="56"/>
  <c r="AN18" i="56"/>
  <c r="AO18" i="56"/>
  <c r="AP18" i="56"/>
  <c r="AQ18" i="56"/>
  <c r="AK19" i="56"/>
  <c r="AL19" i="56"/>
  <c r="AM19" i="56"/>
  <c r="AN19" i="56"/>
  <c r="AO19" i="56"/>
  <c r="AP19" i="56"/>
  <c r="AQ19" i="56"/>
  <c r="AK20" i="56"/>
  <c r="AL20" i="56"/>
  <c r="AM20" i="56"/>
  <c r="AN20" i="56"/>
  <c r="AO20" i="56"/>
  <c r="AP20" i="56"/>
  <c r="AQ20" i="56"/>
  <c r="AK21" i="56"/>
  <c r="AL21" i="56"/>
  <c r="AM21" i="56"/>
  <c r="AN21" i="56"/>
  <c r="AO21" i="56"/>
  <c r="AP21" i="56"/>
  <c r="AQ21" i="56"/>
  <c r="AK22" i="56"/>
  <c r="AL22" i="56"/>
  <c r="AM22" i="56"/>
  <c r="AN22" i="56"/>
  <c r="AO22" i="56"/>
  <c r="AP22" i="56"/>
  <c r="AQ22" i="56"/>
  <c r="AK23" i="56"/>
  <c r="AL23" i="56"/>
  <c r="AM23" i="56"/>
  <c r="AN23" i="56"/>
  <c r="AO23" i="56"/>
  <c r="AP23" i="56"/>
  <c r="AQ23" i="56"/>
  <c r="AK24" i="56"/>
  <c r="AL24" i="56"/>
  <c r="AM24" i="56"/>
  <c r="AN24" i="56"/>
  <c r="AO24" i="56"/>
  <c r="AP24" i="56"/>
  <c r="AQ24" i="56"/>
  <c r="AK25" i="56"/>
  <c r="AL25" i="56"/>
  <c r="AM25" i="56"/>
  <c r="AN25" i="56"/>
  <c r="AO25" i="56"/>
  <c r="AP25" i="56"/>
  <c r="AQ25" i="56"/>
  <c r="AK26" i="56"/>
  <c r="AL26" i="56"/>
  <c r="AM26" i="56"/>
  <c r="AN26" i="56"/>
  <c r="AO26" i="56"/>
  <c r="AP26" i="56"/>
  <c r="AQ26" i="56"/>
  <c r="AK27" i="56"/>
  <c r="AL27" i="56"/>
  <c r="AM27" i="56"/>
  <c r="AN27" i="56"/>
  <c r="AO27" i="56"/>
  <c r="AP27" i="56"/>
  <c r="AQ27" i="56"/>
  <c r="AK28" i="56"/>
  <c r="AL28" i="56"/>
  <c r="AM28" i="56"/>
  <c r="AN28" i="56"/>
  <c r="AO28" i="56"/>
  <c r="AP28" i="56"/>
  <c r="AQ28" i="56"/>
  <c r="AK29" i="56"/>
  <c r="AL29" i="56"/>
  <c r="AM29" i="56"/>
  <c r="AN29" i="56"/>
  <c r="AO29" i="56"/>
  <c r="AP29" i="56"/>
  <c r="AQ29" i="56"/>
  <c r="AK30" i="56"/>
  <c r="AL30" i="56"/>
  <c r="AM30" i="56"/>
  <c r="AN30" i="56"/>
  <c r="AO30" i="56"/>
  <c r="AP30" i="56"/>
  <c r="AQ30" i="56"/>
  <c r="AK31" i="56"/>
  <c r="AL31" i="56"/>
  <c r="AM31" i="56"/>
  <c r="AN31" i="56"/>
  <c r="AO31" i="56"/>
  <c r="AP31" i="56"/>
  <c r="AQ31" i="56"/>
  <c r="AK32" i="56"/>
  <c r="AL32" i="56"/>
  <c r="AM32" i="56"/>
  <c r="AN32" i="56"/>
  <c r="AO32" i="56"/>
  <c r="AP32" i="56"/>
  <c r="AQ32" i="56"/>
  <c r="AK33" i="56"/>
  <c r="AL33" i="56"/>
  <c r="AM33" i="56"/>
  <c r="AN33" i="56"/>
  <c r="AO33" i="56"/>
  <c r="AP33" i="56"/>
  <c r="AQ33" i="56"/>
  <c r="AK34" i="56"/>
  <c r="AL34" i="56"/>
  <c r="AM34" i="56"/>
  <c r="AN34" i="56"/>
  <c r="AO34" i="56"/>
  <c r="AP34" i="56"/>
  <c r="AQ34" i="56"/>
  <c r="AK35" i="56"/>
  <c r="AL35" i="56"/>
  <c r="AM35" i="56"/>
  <c r="AN35" i="56"/>
  <c r="AO35" i="56"/>
  <c r="AP35" i="56"/>
  <c r="AQ35" i="56"/>
  <c r="AK36" i="56"/>
  <c r="AL36" i="56"/>
  <c r="AM36" i="56"/>
  <c r="AN36" i="56"/>
  <c r="AO36" i="56"/>
  <c r="AP36" i="56"/>
  <c r="AQ36" i="56"/>
  <c r="AK37" i="56"/>
  <c r="AL37" i="56"/>
  <c r="AM37" i="56"/>
  <c r="AN37" i="56"/>
  <c r="AO37" i="56"/>
  <c r="AP37" i="56"/>
  <c r="AQ37" i="56"/>
  <c r="AK38" i="56"/>
  <c r="AL38" i="56"/>
  <c r="AM38" i="56"/>
  <c r="AN38" i="56"/>
  <c r="AO38" i="56"/>
  <c r="AP38" i="56"/>
  <c r="AQ38" i="56"/>
  <c r="AK39" i="56"/>
  <c r="AL39" i="56"/>
  <c r="AM39" i="56"/>
  <c r="AN39" i="56"/>
  <c r="AO39" i="56"/>
  <c r="AP39" i="56"/>
  <c r="AQ39" i="56"/>
  <c r="AK40" i="56"/>
  <c r="AL40" i="56"/>
  <c r="AM40" i="56"/>
  <c r="AN40" i="56"/>
  <c r="AO40" i="56"/>
  <c r="AP40" i="56"/>
  <c r="AQ40" i="56"/>
  <c r="AK41" i="56"/>
  <c r="AL41" i="56"/>
  <c r="AM41" i="56"/>
  <c r="AN41" i="56"/>
  <c r="AO41" i="56"/>
  <c r="AP41" i="56"/>
  <c r="AQ41" i="56"/>
  <c r="AK42" i="56"/>
  <c r="AL42" i="56"/>
  <c r="AM42" i="56"/>
  <c r="AN42" i="56"/>
  <c r="AO42" i="56"/>
  <c r="AP42" i="56"/>
  <c r="AQ42" i="56"/>
  <c r="AK43" i="56"/>
  <c r="AL43" i="56"/>
  <c r="AM43" i="56"/>
  <c r="AN43" i="56"/>
  <c r="AO43" i="56"/>
  <c r="AP43" i="56"/>
  <c r="AQ43" i="56"/>
  <c r="AK44" i="56"/>
  <c r="AL44" i="56"/>
  <c r="AM44" i="56"/>
  <c r="AN44" i="56"/>
  <c r="AO44" i="56"/>
  <c r="AP44" i="56"/>
  <c r="AQ44" i="56"/>
  <c r="AK45" i="56"/>
  <c r="AL45" i="56"/>
  <c r="AM45" i="56"/>
  <c r="AN45" i="56"/>
  <c r="AO45" i="56"/>
  <c r="AP45" i="56"/>
  <c r="AQ45" i="56"/>
  <c r="AK46" i="56"/>
  <c r="AL46" i="56"/>
  <c r="AM46" i="56"/>
  <c r="AN46" i="56"/>
  <c r="AO46" i="56"/>
  <c r="AP46" i="56"/>
  <c r="AQ46" i="56"/>
  <c r="AK47" i="56"/>
  <c r="AL47" i="56"/>
  <c r="AM47" i="56"/>
  <c r="AN47" i="56"/>
  <c r="AO47" i="56"/>
  <c r="AP47" i="56"/>
  <c r="AQ47" i="56"/>
  <c r="AK48" i="56"/>
  <c r="AL48" i="56"/>
  <c r="AM48" i="56"/>
  <c r="AN48" i="56"/>
  <c r="AO48" i="56"/>
  <c r="AP48" i="56"/>
  <c r="AQ48" i="56"/>
  <c r="AK49" i="56"/>
  <c r="AL49" i="56"/>
  <c r="AM49" i="56"/>
  <c r="AN49" i="56"/>
  <c r="AO49" i="56"/>
  <c r="AP49" i="56"/>
  <c r="AQ49" i="56"/>
  <c r="AK50" i="56"/>
  <c r="AL50" i="56"/>
  <c r="AM50" i="56"/>
  <c r="AN50" i="56"/>
  <c r="AO50" i="56"/>
  <c r="AP50" i="56"/>
  <c r="AQ50" i="56"/>
  <c r="AK51" i="56"/>
  <c r="AL51" i="56"/>
  <c r="AM51" i="56"/>
  <c r="AN51" i="56"/>
  <c r="AO51" i="56"/>
  <c r="AP51" i="56"/>
  <c r="AQ51" i="56"/>
  <c r="AK52" i="56"/>
  <c r="AL52" i="56"/>
  <c r="AM52" i="56"/>
  <c r="AN52" i="56"/>
  <c r="AO52" i="56"/>
  <c r="AP52" i="56"/>
  <c r="AQ52" i="56"/>
  <c r="AK53" i="56"/>
  <c r="AL53" i="56"/>
  <c r="AM53" i="56"/>
  <c r="AN53" i="56"/>
  <c r="AO53" i="56"/>
  <c r="AP53" i="56"/>
  <c r="AQ53" i="56"/>
  <c r="AK54" i="56"/>
  <c r="AL54" i="56"/>
  <c r="AM54" i="56"/>
  <c r="AN54" i="56"/>
  <c r="AO54" i="56"/>
  <c r="AP54" i="56"/>
  <c r="AQ54" i="56"/>
  <c r="AK55" i="56"/>
  <c r="AL55" i="56"/>
  <c r="AM55" i="56"/>
  <c r="AN55" i="56"/>
  <c r="AO55" i="56"/>
  <c r="AP55" i="56"/>
  <c r="AQ55" i="56"/>
  <c r="AK56" i="56"/>
  <c r="AL56" i="56"/>
  <c r="AM56" i="56"/>
  <c r="AN56" i="56"/>
  <c r="AO56" i="56"/>
  <c r="AP56" i="56"/>
  <c r="AQ56" i="56"/>
  <c r="AK57" i="56"/>
  <c r="AL57" i="56"/>
  <c r="AM57" i="56"/>
  <c r="AN57" i="56"/>
  <c r="AO57" i="56"/>
  <c r="AP57" i="56"/>
  <c r="AQ57" i="56"/>
  <c r="AK58" i="56"/>
  <c r="AL58" i="56"/>
  <c r="AM58" i="56"/>
  <c r="AN58" i="56"/>
  <c r="AO58" i="56"/>
  <c r="AP58" i="56"/>
  <c r="AQ58" i="56"/>
  <c r="AK59" i="56"/>
  <c r="AL59" i="56"/>
  <c r="AM59" i="56"/>
  <c r="AN59" i="56"/>
  <c r="AO59" i="56"/>
  <c r="AP59" i="56"/>
  <c r="AQ59" i="56"/>
  <c r="AK60" i="56"/>
  <c r="AL60" i="56"/>
  <c r="AM60" i="56"/>
  <c r="AN60" i="56"/>
  <c r="AO60" i="56"/>
  <c r="AP60" i="56"/>
  <c r="AQ60" i="56"/>
  <c r="AK61" i="56"/>
  <c r="AL61" i="56"/>
  <c r="AM61" i="56"/>
  <c r="AN61" i="56"/>
  <c r="AO61" i="56"/>
  <c r="AP61" i="56"/>
  <c r="AQ61" i="56"/>
  <c r="AK62" i="56"/>
  <c r="AL62" i="56"/>
  <c r="AM62" i="56"/>
  <c r="AN62" i="56"/>
  <c r="AO62" i="56"/>
  <c r="AP62" i="56"/>
  <c r="AQ62" i="56"/>
  <c r="AK63" i="56"/>
  <c r="AL63" i="56"/>
  <c r="AM63" i="56"/>
  <c r="AN63" i="56"/>
  <c r="AO63" i="56"/>
  <c r="AP63" i="56"/>
  <c r="AQ63" i="56"/>
  <c r="AK64" i="56"/>
  <c r="AL64" i="56"/>
  <c r="AM64" i="56"/>
  <c r="AN64" i="56"/>
  <c r="AO64" i="56"/>
  <c r="AP64" i="56"/>
  <c r="AQ64" i="56"/>
  <c r="AK65" i="56"/>
  <c r="AL65" i="56"/>
  <c r="AM65" i="56"/>
  <c r="AN65" i="56"/>
  <c r="AO65" i="56"/>
  <c r="AP65" i="56"/>
  <c r="AQ65" i="56"/>
  <c r="AK66" i="56"/>
  <c r="AL66" i="56"/>
  <c r="AM66" i="56"/>
  <c r="AN66" i="56"/>
  <c r="AO66" i="56"/>
  <c r="AP66" i="56"/>
  <c r="AQ66" i="56"/>
  <c r="AK67" i="56"/>
  <c r="AL67" i="56"/>
  <c r="AM67" i="56"/>
  <c r="AN67" i="56"/>
  <c r="AO67" i="56"/>
  <c r="AP67" i="56"/>
  <c r="AQ67" i="56"/>
  <c r="AK68" i="56"/>
  <c r="AL68" i="56"/>
  <c r="AM68" i="56"/>
  <c r="AN68" i="56"/>
  <c r="AO68" i="56"/>
  <c r="AP68" i="56"/>
  <c r="AQ68" i="56"/>
  <c r="AK69" i="56"/>
  <c r="AL69" i="56"/>
  <c r="AM69" i="56"/>
  <c r="AN69" i="56"/>
  <c r="AO69" i="56"/>
  <c r="AP69" i="56"/>
  <c r="AQ69" i="56"/>
  <c r="AK70" i="56"/>
  <c r="AL70" i="56"/>
  <c r="AM70" i="56"/>
  <c r="AN70" i="56"/>
  <c r="AO70" i="56"/>
  <c r="AP70" i="56"/>
  <c r="AQ70" i="56"/>
  <c r="AK71" i="56"/>
  <c r="AL71" i="56"/>
  <c r="AM71" i="56"/>
  <c r="AN71" i="56"/>
  <c r="AO71" i="56"/>
  <c r="AP71" i="56"/>
  <c r="AQ71" i="56"/>
  <c r="AK72" i="56"/>
  <c r="AL72" i="56"/>
  <c r="AM72" i="56"/>
  <c r="AN72" i="56"/>
  <c r="AO72" i="56"/>
  <c r="AP72" i="56"/>
  <c r="AQ72" i="56"/>
  <c r="AK73" i="56"/>
  <c r="AL73" i="56"/>
  <c r="AM73" i="56"/>
  <c r="AN73" i="56"/>
  <c r="AO73" i="56"/>
  <c r="AP73" i="56"/>
  <c r="AQ73" i="56"/>
  <c r="AK74" i="56"/>
  <c r="AL74" i="56"/>
  <c r="AM74" i="56"/>
  <c r="AN74" i="56"/>
  <c r="AO74" i="56"/>
  <c r="AP74" i="56"/>
  <c r="AQ74" i="56"/>
  <c r="AK75" i="56"/>
  <c r="AL75" i="56"/>
  <c r="AM75" i="56"/>
  <c r="AN75" i="56"/>
  <c r="AO75" i="56"/>
  <c r="AP75" i="56"/>
  <c r="AQ75" i="56"/>
  <c r="AK76" i="56"/>
  <c r="AL76" i="56"/>
  <c r="AM76" i="56"/>
  <c r="AN76" i="56"/>
  <c r="AO76" i="56"/>
  <c r="AP76" i="56"/>
  <c r="AQ76" i="56"/>
  <c r="AK77" i="56"/>
  <c r="AL77" i="56"/>
  <c r="AM77" i="56"/>
  <c r="AN77" i="56"/>
  <c r="AO77" i="56"/>
  <c r="AP77" i="56"/>
  <c r="AQ77" i="56"/>
  <c r="AK78" i="56"/>
  <c r="AL78" i="56"/>
  <c r="AM78" i="56"/>
  <c r="AN78" i="56"/>
  <c r="AO78" i="56"/>
  <c r="AP78" i="56"/>
  <c r="AQ78" i="56"/>
  <c r="AK79" i="56"/>
  <c r="AL79" i="56"/>
  <c r="AM79" i="56"/>
  <c r="AN79" i="56"/>
  <c r="AO79" i="56"/>
  <c r="AP79" i="56"/>
  <c r="AQ79" i="56"/>
  <c r="AK80" i="56"/>
  <c r="AL80" i="56"/>
  <c r="AM80" i="56"/>
  <c r="AN80" i="56"/>
  <c r="AO80" i="56"/>
  <c r="AP80" i="56"/>
  <c r="AQ80" i="56"/>
  <c r="AK81" i="56"/>
  <c r="AL81" i="56"/>
  <c r="AM81" i="56"/>
  <c r="AN81" i="56"/>
  <c r="AO81" i="56"/>
  <c r="AP81" i="56"/>
  <c r="AQ81" i="56"/>
  <c r="AK82" i="56"/>
  <c r="AL82" i="56"/>
  <c r="AM82" i="56"/>
  <c r="AN82" i="56"/>
  <c r="AO82" i="56"/>
  <c r="AP82" i="56"/>
  <c r="AQ82" i="56"/>
  <c r="AK83" i="56"/>
  <c r="AL83" i="56"/>
  <c r="AM83" i="56"/>
  <c r="AN83" i="56"/>
  <c r="AO83" i="56"/>
  <c r="AP83" i="56"/>
  <c r="AQ83" i="56"/>
  <c r="AK84" i="56"/>
  <c r="AL84" i="56"/>
  <c r="AM84" i="56"/>
  <c r="AN84" i="56"/>
  <c r="AO84" i="56"/>
  <c r="AP84" i="56"/>
  <c r="AQ84" i="56"/>
  <c r="AK85" i="56"/>
  <c r="AL85" i="56"/>
  <c r="AM85" i="56"/>
  <c r="AN85" i="56"/>
  <c r="AO85" i="56"/>
  <c r="AP85" i="56"/>
  <c r="AQ85" i="56"/>
  <c r="AK86" i="56"/>
  <c r="AL86" i="56"/>
  <c r="AM86" i="56"/>
  <c r="AN86" i="56"/>
  <c r="AO86" i="56"/>
  <c r="AP86" i="56"/>
  <c r="AQ86" i="56"/>
  <c r="AK87" i="56"/>
  <c r="AL87" i="56"/>
  <c r="AM87" i="56"/>
  <c r="AN87" i="56"/>
  <c r="AO87" i="56"/>
  <c r="AP87" i="56"/>
  <c r="AQ87" i="56"/>
  <c r="AK88" i="56"/>
  <c r="AL88" i="56"/>
  <c r="AM88" i="56"/>
  <c r="AN88" i="56"/>
  <c r="AO88" i="56"/>
  <c r="AP88" i="56"/>
  <c r="AQ88" i="56"/>
  <c r="AK89" i="56"/>
  <c r="AL89" i="56"/>
  <c r="AM89" i="56"/>
  <c r="AN89" i="56"/>
  <c r="AO89" i="56"/>
  <c r="AP89" i="56"/>
  <c r="AQ89" i="56"/>
  <c r="AK90" i="56"/>
  <c r="AL90" i="56"/>
  <c r="AM90" i="56"/>
  <c r="AN90" i="56"/>
  <c r="AO90" i="56"/>
  <c r="AP90" i="56"/>
  <c r="AQ90" i="56"/>
  <c r="AK91" i="56"/>
  <c r="AL91" i="56"/>
  <c r="AM91" i="56"/>
  <c r="AN91" i="56"/>
  <c r="AO91" i="56"/>
  <c r="AP91" i="56"/>
  <c r="AQ91" i="56"/>
  <c r="AK92" i="56"/>
  <c r="AL92" i="56"/>
  <c r="AM92" i="56"/>
  <c r="AN92" i="56"/>
  <c r="AO92" i="56"/>
  <c r="AP92" i="56"/>
  <c r="AQ92" i="56"/>
  <c r="AK93" i="56"/>
  <c r="AL93" i="56"/>
  <c r="AM93" i="56"/>
  <c r="AN93" i="56"/>
  <c r="AO93" i="56"/>
  <c r="AP93" i="56"/>
  <c r="AQ93" i="56"/>
  <c r="AK94" i="56"/>
  <c r="AL94" i="56"/>
  <c r="AM94" i="56"/>
  <c r="AN94" i="56"/>
  <c r="AO94" i="56"/>
  <c r="AP94" i="56"/>
  <c r="AQ94" i="56"/>
  <c r="AK95" i="56"/>
  <c r="AL95" i="56"/>
  <c r="AM95" i="56"/>
  <c r="AN95" i="56"/>
  <c r="AO95" i="56"/>
  <c r="AP95" i="56"/>
  <c r="AQ95" i="56"/>
  <c r="AK96" i="56"/>
  <c r="AL96" i="56"/>
  <c r="AM96" i="56"/>
  <c r="AN96" i="56"/>
  <c r="AO96" i="56"/>
  <c r="AP96" i="56"/>
  <c r="AQ96" i="56"/>
  <c r="AK97" i="56"/>
  <c r="AL97" i="56"/>
  <c r="AM97" i="56"/>
  <c r="AN97" i="56"/>
  <c r="AO97" i="56"/>
  <c r="AP97" i="56"/>
  <c r="AQ97" i="56"/>
  <c r="AK98" i="56"/>
  <c r="AL98" i="56"/>
  <c r="AM98" i="56"/>
  <c r="AN98" i="56"/>
  <c r="AO98" i="56"/>
  <c r="AP98" i="56"/>
  <c r="AQ98" i="56"/>
  <c r="AK99" i="56"/>
  <c r="AL99" i="56"/>
  <c r="AM99" i="56"/>
  <c r="AN99" i="56"/>
  <c r="AO99" i="56"/>
  <c r="AP99" i="56"/>
  <c r="AQ99" i="56"/>
  <c r="AK100" i="56"/>
  <c r="AL100" i="56"/>
  <c r="AM100" i="56"/>
  <c r="AN100" i="56"/>
  <c r="AO100" i="56"/>
  <c r="AP100" i="56"/>
  <c r="AQ100" i="56"/>
  <c r="AK101" i="56"/>
  <c r="AL101" i="56"/>
  <c r="AM101" i="56"/>
  <c r="AN101" i="56"/>
  <c r="AO101" i="56"/>
  <c r="AP101" i="56"/>
  <c r="AQ101" i="56"/>
  <c r="AK102" i="56"/>
  <c r="AL102" i="56"/>
  <c r="AM102" i="56"/>
  <c r="AN102" i="56"/>
  <c r="AO102" i="56"/>
  <c r="AP102" i="56"/>
  <c r="AQ102" i="56"/>
  <c r="AK103" i="56"/>
  <c r="AL103" i="56"/>
  <c r="AM103" i="56"/>
  <c r="AN103" i="56"/>
  <c r="AO103" i="56"/>
  <c r="AP103" i="56"/>
  <c r="AQ103" i="56"/>
  <c r="AK104" i="56"/>
  <c r="AL104" i="56"/>
  <c r="AM104" i="56"/>
  <c r="AN104" i="56"/>
  <c r="AO104" i="56"/>
  <c r="AP104" i="56"/>
  <c r="AQ104" i="56"/>
  <c r="AK105" i="56"/>
  <c r="AL105" i="56"/>
  <c r="AM105" i="56"/>
  <c r="AN105" i="56"/>
  <c r="AO105" i="56"/>
  <c r="AP105" i="56"/>
  <c r="AQ105" i="56"/>
  <c r="AK106" i="56"/>
  <c r="AL106" i="56"/>
  <c r="AM106" i="56"/>
  <c r="AN106" i="56"/>
  <c r="AO106" i="56"/>
  <c r="AP106" i="56"/>
  <c r="AQ106" i="56"/>
  <c r="AK107" i="56"/>
  <c r="AL107" i="56"/>
  <c r="AM107" i="56"/>
  <c r="AN107" i="56"/>
  <c r="AO107" i="56"/>
  <c r="AP107" i="56"/>
  <c r="AQ107" i="56"/>
  <c r="AK108" i="56"/>
  <c r="AL108" i="56"/>
  <c r="AM108" i="56"/>
  <c r="AN108" i="56"/>
  <c r="AO108" i="56"/>
  <c r="AP108" i="56"/>
  <c r="AQ108" i="56"/>
  <c r="AK109" i="56"/>
  <c r="AL109" i="56"/>
  <c r="AM109" i="56"/>
  <c r="AN109" i="56"/>
  <c r="AO109" i="56"/>
  <c r="AP109" i="56"/>
  <c r="AQ109" i="56"/>
  <c r="AK110" i="56"/>
  <c r="AL110" i="56"/>
  <c r="AM110" i="56"/>
  <c r="AN110" i="56"/>
  <c r="AO110" i="56"/>
  <c r="AP110" i="56"/>
  <c r="AQ110" i="56"/>
  <c r="AK111" i="56"/>
  <c r="AL111" i="56"/>
  <c r="AM111" i="56"/>
  <c r="AN111" i="56"/>
  <c r="AO111" i="56"/>
  <c r="AP111" i="56"/>
  <c r="AQ111" i="56"/>
  <c r="AK112" i="56"/>
  <c r="AL112" i="56"/>
  <c r="AM112" i="56"/>
  <c r="AN112" i="56"/>
  <c r="AO112" i="56"/>
  <c r="AP112" i="56"/>
  <c r="AQ112" i="56"/>
  <c r="AK113" i="56"/>
  <c r="AL113" i="56"/>
  <c r="AM113" i="56"/>
  <c r="AN113" i="56"/>
  <c r="AO113" i="56"/>
  <c r="AP113" i="56"/>
  <c r="AQ113" i="56"/>
  <c r="AK114" i="56"/>
  <c r="AL114" i="56"/>
  <c r="AM114" i="56"/>
  <c r="AN114" i="56"/>
  <c r="AO114" i="56"/>
  <c r="AP114" i="56"/>
  <c r="AQ114" i="56"/>
  <c r="AK115" i="56"/>
  <c r="AL115" i="56"/>
  <c r="AM115" i="56"/>
  <c r="AN115" i="56"/>
  <c r="AO115" i="56"/>
  <c r="AP115" i="56"/>
  <c r="AQ115" i="56"/>
  <c r="AK116" i="56"/>
  <c r="AL116" i="56"/>
  <c r="AM116" i="56"/>
  <c r="AN116" i="56"/>
  <c r="AO116" i="56"/>
  <c r="AP116" i="56"/>
  <c r="AQ116" i="56"/>
  <c r="AK117" i="56"/>
  <c r="AL117" i="56"/>
  <c r="AM117" i="56"/>
  <c r="AN117" i="56"/>
  <c r="AO117" i="56"/>
  <c r="AP117" i="56"/>
  <c r="AQ117" i="56"/>
  <c r="AK118" i="56"/>
  <c r="AL118" i="56"/>
  <c r="AM118" i="56"/>
  <c r="AN118" i="56"/>
  <c r="AO118" i="56"/>
  <c r="AP118" i="56"/>
  <c r="AQ118" i="56"/>
  <c r="AK119" i="56"/>
  <c r="AL119" i="56"/>
  <c r="AM119" i="56"/>
  <c r="AN119" i="56"/>
  <c r="AO119" i="56"/>
  <c r="AP119" i="56"/>
  <c r="AQ119" i="56"/>
  <c r="AK120" i="56"/>
  <c r="AL120" i="56"/>
  <c r="AM120" i="56"/>
  <c r="AN120" i="56"/>
  <c r="AO120" i="56"/>
  <c r="AP120" i="56"/>
  <c r="AQ120" i="56"/>
  <c r="AK121" i="56"/>
  <c r="AL121" i="56"/>
  <c r="AM121" i="56"/>
  <c r="AN121" i="56"/>
  <c r="AO121" i="56"/>
  <c r="AP121" i="56"/>
  <c r="AQ121" i="56"/>
  <c r="AK122" i="56"/>
  <c r="AL122" i="56"/>
  <c r="AM122" i="56"/>
  <c r="AN122" i="56"/>
  <c r="AO122" i="56"/>
  <c r="AP122" i="56"/>
  <c r="AQ122" i="56"/>
  <c r="AK123" i="56"/>
  <c r="AL123" i="56"/>
  <c r="AM123" i="56"/>
  <c r="AN123" i="56"/>
  <c r="AO123" i="56"/>
  <c r="AP123" i="56"/>
  <c r="AQ123" i="56"/>
  <c r="AK124" i="56"/>
  <c r="AL124" i="56"/>
  <c r="AM124" i="56"/>
  <c r="AN124" i="56"/>
  <c r="AO124" i="56"/>
  <c r="AP124" i="56"/>
  <c r="AQ124" i="56"/>
  <c r="AK125" i="56"/>
  <c r="AL125" i="56"/>
  <c r="AM125" i="56"/>
  <c r="AN125" i="56"/>
  <c r="AO125" i="56"/>
  <c r="AP125" i="56"/>
  <c r="AQ125" i="56"/>
  <c r="AK126" i="56"/>
  <c r="AL126" i="56"/>
  <c r="AM126" i="56"/>
  <c r="AN126" i="56"/>
  <c r="AO126" i="56"/>
  <c r="AP126" i="56"/>
  <c r="AQ126" i="56"/>
  <c r="AK127" i="56"/>
  <c r="AL127" i="56"/>
  <c r="AM127" i="56"/>
  <c r="AN127" i="56"/>
  <c r="AO127" i="56"/>
  <c r="AP127" i="56"/>
  <c r="AQ127" i="56"/>
  <c r="AK128" i="56"/>
  <c r="AL128" i="56"/>
  <c r="AM128" i="56"/>
  <c r="AN128" i="56"/>
  <c r="AO128" i="56"/>
  <c r="AP128" i="56"/>
  <c r="AQ128" i="56"/>
  <c r="AK129" i="56"/>
  <c r="AL129" i="56"/>
  <c r="AM129" i="56"/>
  <c r="AN129" i="56"/>
  <c r="AO129" i="56"/>
  <c r="AP129" i="56"/>
  <c r="AQ129" i="56"/>
  <c r="AK130" i="56"/>
  <c r="AL130" i="56"/>
  <c r="AM130" i="56"/>
  <c r="AN130" i="56"/>
  <c r="AO130" i="56"/>
  <c r="AP130" i="56"/>
  <c r="AQ130" i="56"/>
  <c r="AK131" i="56"/>
  <c r="AL131" i="56"/>
  <c r="AM131" i="56"/>
  <c r="AN131" i="56"/>
  <c r="AO131" i="56"/>
  <c r="AP131" i="56"/>
  <c r="AQ131" i="56"/>
  <c r="AK132" i="56"/>
  <c r="AL132" i="56"/>
  <c r="AM132" i="56"/>
  <c r="AN132" i="56"/>
  <c r="AO132" i="56"/>
  <c r="AP132" i="56"/>
  <c r="AQ132" i="56"/>
  <c r="AK133" i="56"/>
  <c r="AL133" i="56"/>
  <c r="AM133" i="56"/>
  <c r="AN133" i="56"/>
  <c r="AO133" i="56"/>
  <c r="AP133" i="56"/>
  <c r="AQ133" i="56"/>
  <c r="AK134" i="56"/>
  <c r="AL134" i="56"/>
  <c r="AM134" i="56"/>
  <c r="AN134" i="56"/>
  <c r="AO134" i="56"/>
  <c r="AP134" i="56"/>
  <c r="AQ134" i="56"/>
  <c r="AK135" i="56"/>
  <c r="AL135" i="56"/>
  <c r="AM135" i="56"/>
  <c r="AN135" i="56"/>
  <c r="AO135" i="56"/>
  <c r="AP135" i="56"/>
  <c r="AQ135" i="56"/>
  <c r="AK136" i="56"/>
  <c r="AL136" i="56"/>
  <c r="AM136" i="56"/>
  <c r="AN136" i="56"/>
  <c r="AO136" i="56"/>
  <c r="AP136" i="56"/>
  <c r="AQ136" i="56"/>
  <c r="AK137" i="56"/>
  <c r="AL137" i="56"/>
  <c r="AM137" i="56"/>
  <c r="AN137" i="56"/>
  <c r="AO137" i="56"/>
  <c r="AP137" i="56"/>
  <c r="AQ137" i="56"/>
  <c r="AK138" i="56"/>
  <c r="AL138" i="56"/>
  <c r="AM138" i="56"/>
  <c r="AN138" i="56"/>
  <c r="AO138" i="56"/>
  <c r="AP138" i="56"/>
  <c r="AQ138" i="56"/>
  <c r="AK139" i="56"/>
  <c r="AL139" i="56"/>
  <c r="AM139" i="56"/>
  <c r="AN139" i="56"/>
  <c r="AO139" i="56"/>
  <c r="AP139" i="56"/>
  <c r="AQ139" i="56"/>
  <c r="AK140" i="56"/>
  <c r="AL140" i="56"/>
  <c r="AM140" i="56"/>
  <c r="AN140" i="56"/>
  <c r="AO140" i="56"/>
  <c r="AP140" i="56"/>
  <c r="AQ140" i="56"/>
  <c r="AK141" i="56"/>
  <c r="AL141" i="56"/>
  <c r="AM141" i="56"/>
  <c r="AN141" i="56"/>
  <c r="AO141" i="56"/>
  <c r="AP141" i="56"/>
  <c r="AQ141" i="56"/>
  <c r="AK142" i="56"/>
  <c r="AL142" i="56"/>
  <c r="AM142" i="56"/>
  <c r="AN142" i="56"/>
  <c r="AO142" i="56"/>
  <c r="AP142" i="56"/>
  <c r="AQ142" i="56"/>
  <c r="AK143" i="56"/>
  <c r="AL143" i="56"/>
  <c r="AM143" i="56"/>
  <c r="AN143" i="56"/>
  <c r="AO143" i="56"/>
  <c r="AP143" i="56"/>
  <c r="AQ143" i="56"/>
  <c r="AK144" i="56"/>
  <c r="AL144" i="56"/>
  <c r="AM144" i="56"/>
  <c r="AN144" i="56"/>
  <c r="AO144" i="56"/>
  <c r="AP144" i="56"/>
  <c r="AQ144" i="56"/>
  <c r="AK145" i="56"/>
  <c r="AL145" i="56"/>
  <c r="AM145" i="56"/>
  <c r="AN145" i="56"/>
  <c r="AO145" i="56"/>
  <c r="AP145" i="56"/>
  <c r="AQ145" i="56"/>
  <c r="AK146" i="56"/>
  <c r="AL146" i="56"/>
  <c r="AM146" i="56"/>
  <c r="AN146" i="56"/>
  <c r="AO146" i="56"/>
  <c r="AP146" i="56"/>
  <c r="AQ146" i="56"/>
  <c r="AK147" i="56"/>
  <c r="AL147" i="56"/>
  <c r="AM147" i="56"/>
  <c r="AN147" i="56"/>
  <c r="AO147" i="56"/>
  <c r="AP147" i="56"/>
  <c r="AQ147" i="56"/>
  <c r="AK148" i="56"/>
  <c r="AL148" i="56"/>
  <c r="AM148" i="56"/>
  <c r="AN148" i="56"/>
  <c r="AO148" i="56"/>
  <c r="AP148" i="56"/>
  <c r="AQ148" i="56"/>
  <c r="AK149" i="56"/>
  <c r="AL149" i="56"/>
  <c r="AM149" i="56"/>
  <c r="AN149" i="56"/>
  <c r="AO149" i="56"/>
  <c r="AP149" i="56"/>
  <c r="AQ149" i="56"/>
  <c r="AK150" i="56"/>
  <c r="AL150" i="56"/>
  <c r="AM150" i="56"/>
  <c r="AN150" i="56"/>
  <c r="AO150" i="56"/>
  <c r="AP150" i="56"/>
  <c r="AQ150" i="56"/>
  <c r="AK151" i="56"/>
  <c r="AL151" i="56"/>
  <c r="AM151" i="56"/>
  <c r="AN151" i="56"/>
  <c r="AO151" i="56"/>
  <c r="AP151" i="56"/>
  <c r="AQ151" i="56"/>
  <c r="AK152" i="56"/>
  <c r="AL152" i="56"/>
  <c r="AM152" i="56"/>
  <c r="AN152" i="56"/>
  <c r="AO152" i="56"/>
  <c r="AP152" i="56"/>
  <c r="AQ152" i="56"/>
  <c r="AK153" i="56"/>
  <c r="AL153" i="56"/>
  <c r="AM153" i="56"/>
  <c r="AN153" i="56"/>
  <c r="AO153" i="56"/>
  <c r="AP153" i="56"/>
  <c r="AQ153" i="56"/>
  <c r="AK154" i="56"/>
  <c r="AL154" i="56"/>
  <c r="AM154" i="56"/>
  <c r="AN154" i="56"/>
  <c r="AO154" i="56"/>
  <c r="AP154" i="56"/>
  <c r="AQ154" i="56"/>
  <c r="AK155" i="56"/>
  <c r="AL155" i="56"/>
  <c r="AM155" i="56"/>
  <c r="AN155" i="56"/>
  <c r="AO155" i="56"/>
  <c r="AP155" i="56"/>
  <c r="AQ155" i="56"/>
  <c r="AK156" i="56"/>
  <c r="AL156" i="56"/>
  <c r="AM156" i="56"/>
  <c r="AN156" i="56"/>
  <c r="AO156" i="56"/>
  <c r="AP156" i="56"/>
  <c r="AQ156" i="56"/>
  <c r="AK157" i="56"/>
  <c r="AL157" i="56"/>
  <c r="AM157" i="56"/>
  <c r="AN157" i="56"/>
  <c r="AO157" i="56"/>
  <c r="AP157" i="56"/>
  <c r="AQ157" i="56"/>
  <c r="AK158" i="56"/>
  <c r="AL158" i="56"/>
  <c r="AM158" i="56"/>
  <c r="AN158" i="56"/>
  <c r="AO158" i="56"/>
  <c r="AP158" i="56"/>
  <c r="AQ158" i="56"/>
  <c r="AK159" i="56"/>
  <c r="AL159" i="56"/>
  <c r="AM159" i="56"/>
  <c r="AN159" i="56"/>
  <c r="AO159" i="56"/>
  <c r="AP159" i="56"/>
  <c r="AQ159" i="56"/>
  <c r="AK160" i="56"/>
  <c r="AL160" i="56"/>
  <c r="AM160" i="56"/>
  <c r="AN160" i="56"/>
  <c r="AO160" i="56"/>
  <c r="AP160" i="56"/>
  <c r="AQ160" i="56"/>
  <c r="AK161" i="56"/>
  <c r="AL161" i="56"/>
  <c r="AM161" i="56"/>
  <c r="AN161" i="56"/>
  <c r="AO161" i="56"/>
  <c r="AP161" i="56"/>
  <c r="AQ161" i="56"/>
  <c r="AK162" i="56"/>
  <c r="AL162" i="56"/>
  <c r="AM162" i="56"/>
  <c r="AN162" i="56"/>
  <c r="AO162" i="56"/>
  <c r="AP162" i="56"/>
  <c r="AQ162" i="56"/>
  <c r="AK163" i="56"/>
  <c r="AL163" i="56"/>
  <c r="AM163" i="56"/>
  <c r="AN163" i="56"/>
  <c r="AO163" i="56"/>
  <c r="AP163" i="56"/>
  <c r="AQ163" i="56"/>
  <c r="AK164" i="56"/>
  <c r="AL164" i="56"/>
  <c r="AM164" i="56"/>
  <c r="AN164" i="56"/>
  <c r="AO164" i="56"/>
  <c r="AP164" i="56"/>
  <c r="AQ164" i="56"/>
  <c r="AK165" i="56"/>
  <c r="AL165" i="56"/>
  <c r="AM165" i="56"/>
  <c r="AN165" i="56"/>
  <c r="AO165" i="56"/>
  <c r="AP165" i="56"/>
  <c r="AQ165" i="56"/>
  <c r="AK166" i="56"/>
  <c r="AL166" i="56"/>
  <c r="AM166" i="56"/>
  <c r="AN166" i="56"/>
  <c r="AO166" i="56"/>
  <c r="AP166" i="56"/>
  <c r="AQ166" i="56"/>
  <c r="AK167" i="56"/>
  <c r="AL167" i="56"/>
  <c r="AM167" i="56"/>
  <c r="AN167" i="56"/>
  <c r="AO167" i="56"/>
  <c r="AP167" i="56"/>
  <c r="AQ167" i="56"/>
  <c r="AK168" i="56"/>
  <c r="AL168" i="56"/>
  <c r="AM168" i="56"/>
  <c r="AN168" i="56"/>
  <c r="AO168" i="56"/>
  <c r="AP168" i="56"/>
  <c r="AQ168" i="56"/>
  <c r="AK169" i="56"/>
  <c r="AL169" i="56"/>
  <c r="AM169" i="56"/>
  <c r="AN169" i="56"/>
  <c r="AO169" i="56"/>
  <c r="AP169" i="56"/>
  <c r="AQ169" i="56"/>
  <c r="AK170" i="56"/>
  <c r="AL170" i="56"/>
  <c r="AM170" i="56"/>
  <c r="AN170" i="56"/>
  <c r="AO170" i="56"/>
  <c r="AP170" i="56"/>
  <c r="AQ170" i="56"/>
  <c r="AK171" i="56"/>
  <c r="AL171" i="56"/>
  <c r="AM171" i="56"/>
  <c r="AN171" i="56"/>
  <c r="AO171" i="56"/>
  <c r="AP171" i="56"/>
  <c r="AQ171" i="56"/>
  <c r="AK172" i="56"/>
  <c r="AL172" i="56"/>
  <c r="AM172" i="56"/>
  <c r="AN172" i="56"/>
  <c r="AO172" i="56"/>
  <c r="AP172" i="56"/>
  <c r="AQ172" i="56"/>
  <c r="AK173" i="56"/>
  <c r="AL173" i="56"/>
  <c r="AM173" i="56"/>
  <c r="AN173" i="56"/>
  <c r="AO173" i="56"/>
  <c r="AP173" i="56"/>
  <c r="AQ173" i="56"/>
  <c r="AK174" i="56"/>
  <c r="AL174" i="56"/>
  <c r="AM174" i="56"/>
  <c r="AN174" i="56"/>
  <c r="AO174" i="56"/>
  <c r="AP174" i="56"/>
  <c r="AQ174" i="56"/>
  <c r="AK175" i="56"/>
  <c r="AL175" i="56"/>
  <c r="AM175" i="56"/>
  <c r="AN175" i="56"/>
  <c r="AO175" i="56"/>
  <c r="AP175" i="56"/>
  <c r="AQ175" i="56"/>
  <c r="AK176" i="56"/>
  <c r="AL176" i="56"/>
  <c r="AM176" i="56"/>
  <c r="AN176" i="56"/>
  <c r="AO176" i="56"/>
  <c r="AP176" i="56"/>
  <c r="AQ176" i="56"/>
  <c r="AK177" i="56"/>
  <c r="AL177" i="56"/>
  <c r="AM177" i="56"/>
  <c r="AN177" i="56"/>
  <c r="AO177" i="56"/>
  <c r="AP177" i="56"/>
  <c r="AQ177" i="56"/>
  <c r="AK178" i="56"/>
  <c r="AL178" i="56"/>
  <c r="AM178" i="56"/>
  <c r="AN178" i="56"/>
  <c r="AO178" i="56"/>
  <c r="AP178" i="56"/>
  <c r="AQ178" i="56"/>
  <c r="AK179" i="56"/>
  <c r="AL179" i="56"/>
  <c r="AM179" i="56"/>
  <c r="AN179" i="56"/>
  <c r="AO179" i="56"/>
  <c r="AP179" i="56"/>
  <c r="AQ179" i="56"/>
  <c r="AK180" i="56"/>
  <c r="AL180" i="56"/>
  <c r="AM180" i="56"/>
  <c r="AN180" i="56"/>
  <c r="AO180" i="56"/>
  <c r="AP180" i="56"/>
  <c r="AQ180" i="56"/>
  <c r="AK181" i="56"/>
  <c r="AL181" i="56"/>
  <c r="AM181" i="56"/>
  <c r="AN181" i="56"/>
  <c r="AO181" i="56"/>
  <c r="AP181" i="56"/>
  <c r="AQ181" i="56"/>
  <c r="AK182" i="56"/>
  <c r="AL182" i="56"/>
  <c r="AM182" i="56"/>
  <c r="AN182" i="56"/>
  <c r="AO182" i="56"/>
  <c r="AP182" i="56"/>
  <c r="AQ182" i="56"/>
  <c r="AK183" i="56"/>
  <c r="AL183" i="56"/>
  <c r="AM183" i="56"/>
  <c r="AN183" i="56"/>
  <c r="AO183" i="56"/>
  <c r="AP183" i="56"/>
  <c r="AQ183" i="56"/>
  <c r="AK184" i="56"/>
  <c r="AL184" i="56"/>
  <c r="AM184" i="56"/>
  <c r="AN184" i="56"/>
  <c r="AO184" i="56"/>
  <c r="AP184" i="56"/>
  <c r="AQ184" i="56"/>
  <c r="AK185" i="56"/>
  <c r="AL185" i="56"/>
  <c r="AM185" i="56"/>
  <c r="AN185" i="56"/>
  <c r="AO185" i="56"/>
  <c r="AP185" i="56"/>
  <c r="AQ185" i="56"/>
  <c r="AK186" i="56"/>
  <c r="AL186" i="56"/>
  <c r="AM186" i="56"/>
  <c r="AN186" i="56"/>
  <c r="AO186" i="56"/>
  <c r="AP186" i="56"/>
  <c r="AQ186" i="56"/>
  <c r="AK187" i="56"/>
  <c r="AL187" i="56"/>
  <c r="AM187" i="56"/>
  <c r="AN187" i="56"/>
  <c r="AO187" i="56"/>
  <c r="AP187" i="56"/>
  <c r="AQ187" i="56"/>
  <c r="AK188" i="56"/>
  <c r="AL188" i="56"/>
  <c r="AM188" i="56"/>
  <c r="AN188" i="56"/>
  <c r="AO188" i="56"/>
  <c r="AP188" i="56"/>
  <c r="AQ188" i="56"/>
  <c r="AK189" i="56"/>
  <c r="AL189" i="56"/>
  <c r="AM189" i="56"/>
  <c r="AN189" i="56"/>
  <c r="AO189" i="56"/>
  <c r="AP189" i="56"/>
  <c r="AQ189" i="56"/>
  <c r="AK190" i="56"/>
  <c r="AL190" i="56"/>
  <c r="AM190" i="56"/>
  <c r="AN190" i="56"/>
  <c r="AO190" i="56"/>
  <c r="AP190" i="56"/>
  <c r="AQ190" i="56"/>
  <c r="AK191" i="56"/>
  <c r="AL191" i="56"/>
  <c r="AM191" i="56"/>
  <c r="AN191" i="56"/>
  <c r="AO191" i="56"/>
  <c r="AP191" i="56"/>
  <c r="AQ191" i="56"/>
  <c r="AK192" i="56"/>
  <c r="AL192" i="56"/>
  <c r="AM192" i="56"/>
  <c r="AN192" i="56"/>
  <c r="AO192" i="56"/>
  <c r="AP192" i="56"/>
  <c r="AQ192" i="56"/>
  <c r="AK193" i="56"/>
  <c r="AL193" i="56"/>
  <c r="AM193" i="56"/>
  <c r="AN193" i="56"/>
  <c r="AO193" i="56"/>
  <c r="AP193" i="56"/>
  <c r="AQ193" i="56"/>
  <c r="AK194" i="56"/>
  <c r="AL194" i="56"/>
  <c r="AM194" i="56"/>
  <c r="AN194" i="56"/>
  <c r="AO194" i="56"/>
  <c r="AP194" i="56"/>
  <c r="AQ194" i="56"/>
  <c r="AK195" i="56"/>
  <c r="AL195" i="56"/>
  <c r="AM195" i="56"/>
  <c r="AN195" i="56"/>
  <c r="AO195" i="56"/>
  <c r="AP195" i="56"/>
  <c r="AQ195" i="56"/>
  <c r="AK196" i="56"/>
  <c r="AL196" i="56"/>
  <c r="AM196" i="56"/>
  <c r="AN196" i="56"/>
  <c r="AO196" i="56"/>
  <c r="AP196" i="56"/>
  <c r="AQ196" i="56"/>
  <c r="AK197" i="56"/>
  <c r="AL197" i="56"/>
  <c r="AM197" i="56"/>
  <c r="AN197" i="56"/>
  <c r="AO197" i="56"/>
  <c r="AP197" i="56"/>
  <c r="AQ197" i="56"/>
  <c r="AK198" i="56"/>
  <c r="AL198" i="56"/>
  <c r="AM198" i="56"/>
  <c r="AN198" i="56"/>
  <c r="AO198" i="56"/>
  <c r="AP198" i="56"/>
  <c r="AQ198" i="56"/>
  <c r="AK199" i="56"/>
  <c r="AL199" i="56"/>
  <c r="AM199" i="56"/>
  <c r="AN199" i="56"/>
  <c r="AO199" i="56"/>
  <c r="AP199" i="56"/>
  <c r="AQ199" i="56"/>
  <c r="AK200" i="56"/>
  <c r="AL200" i="56"/>
  <c r="AM200" i="56"/>
  <c r="AN200" i="56"/>
  <c r="AO200" i="56"/>
  <c r="AP200" i="56"/>
  <c r="AQ200" i="56"/>
  <c r="AK201" i="56"/>
  <c r="AL201" i="56"/>
  <c r="AM201" i="56"/>
  <c r="AN201" i="56"/>
  <c r="AO201" i="56"/>
  <c r="AP201" i="56"/>
  <c r="AQ201" i="56"/>
  <c r="AK202" i="56"/>
  <c r="AL202" i="56"/>
  <c r="AM202" i="56"/>
  <c r="AN202" i="56"/>
  <c r="AO202" i="56"/>
  <c r="AP202" i="56"/>
  <c r="AQ202" i="56"/>
  <c r="AK203" i="56"/>
  <c r="AL203" i="56"/>
  <c r="AM203" i="56"/>
  <c r="AN203" i="56"/>
  <c r="AO203" i="56"/>
  <c r="AP203" i="56"/>
  <c r="AQ203" i="56"/>
  <c r="AK204" i="56"/>
  <c r="AL204" i="56"/>
  <c r="AM204" i="56"/>
  <c r="AN204" i="56"/>
  <c r="AO204" i="56"/>
  <c r="AP204" i="56"/>
  <c r="AQ204" i="56"/>
  <c r="AK205" i="56"/>
  <c r="AL205" i="56"/>
  <c r="AM205" i="56"/>
  <c r="AN205" i="56"/>
  <c r="AO205" i="56"/>
  <c r="AP205" i="56"/>
  <c r="AQ205" i="56"/>
  <c r="AK206" i="56"/>
  <c r="AL206" i="56"/>
  <c r="AM206" i="56"/>
  <c r="AN206" i="56"/>
  <c r="AO206" i="56"/>
  <c r="AP206" i="56"/>
  <c r="AQ206" i="56"/>
  <c r="AK207" i="56"/>
  <c r="AL207" i="56"/>
  <c r="AM207" i="56"/>
  <c r="AN207" i="56"/>
  <c r="AO207" i="56"/>
  <c r="AP207" i="56"/>
  <c r="AQ207" i="56"/>
  <c r="AK208" i="56"/>
  <c r="AL208" i="56"/>
  <c r="AM208" i="56"/>
  <c r="AN208" i="56"/>
  <c r="AO208" i="56"/>
  <c r="AP208" i="56"/>
  <c r="AQ208" i="56"/>
  <c r="AK209" i="56"/>
  <c r="AL209" i="56"/>
  <c r="AM209" i="56"/>
  <c r="AN209" i="56"/>
  <c r="AO209" i="56"/>
  <c r="AP209" i="56"/>
  <c r="AQ209" i="56"/>
  <c r="AK210" i="56"/>
  <c r="AL210" i="56"/>
  <c r="AM210" i="56"/>
  <c r="AN210" i="56"/>
  <c r="AO210" i="56"/>
  <c r="AP210" i="56"/>
  <c r="AQ210" i="56"/>
  <c r="AK211" i="56"/>
  <c r="AL211" i="56"/>
  <c r="AM211" i="56"/>
  <c r="AN211" i="56"/>
  <c r="AO211" i="56"/>
  <c r="AP211" i="56"/>
  <c r="AQ211" i="56"/>
  <c r="AK212" i="56"/>
  <c r="AL212" i="56"/>
  <c r="AM212" i="56"/>
  <c r="AN212" i="56"/>
  <c r="AO212" i="56"/>
  <c r="AP212" i="56"/>
  <c r="AQ212" i="56"/>
  <c r="AK213" i="56"/>
  <c r="AL213" i="56"/>
  <c r="AM213" i="56"/>
  <c r="AN213" i="56"/>
  <c r="AO213" i="56"/>
  <c r="AP213" i="56"/>
  <c r="AQ213" i="56"/>
  <c r="AK214" i="56"/>
  <c r="AL214" i="56"/>
  <c r="AM214" i="56"/>
  <c r="AN214" i="56"/>
  <c r="AO214" i="56"/>
  <c r="AP214" i="56"/>
  <c r="AQ214" i="56"/>
  <c r="AK215" i="56"/>
  <c r="AL215" i="56"/>
  <c r="AM215" i="56"/>
  <c r="AN215" i="56"/>
  <c r="AO215" i="56"/>
  <c r="AP215" i="56"/>
  <c r="AQ215" i="56"/>
  <c r="AK216" i="56"/>
  <c r="AL216" i="56"/>
  <c r="AM216" i="56"/>
  <c r="AN216" i="56"/>
  <c r="AO216" i="56"/>
  <c r="AP216" i="56"/>
  <c r="AQ216" i="56"/>
  <c r="AK217" i="56"/>
  <c r="AL217" i="56"/>
  <c r="AM217" i="56"/>
  <c r="AN217" i="56"/>
  <c r="AO217" i="56"/>
  <c r="AP217" i="56"/>
  <c r="AQ217" i="56"/>
  <c r="AK218" i="56"/>
  <c r="AL218" i="56"/>
  <c r="AM218" i="56"/>
  <c r="AN218" i="56"/>
  <c r="AO218" i="56"/>
  <c r="AP218" i="56"/>
  <c r="AQ218" i="56"/>
  <c r="AK219" i="56"/>
  <c r="AL219" i="56"/>
  <c r="AM219" i="56"/>
  <c r="AN219" i="56"/>
  <c r="AO219" i="56"/>
  <c r="AP219" i="56"/>
  <c r="AQ219" i="56"/>
  <c r="AK220" i="56"/>
  <c r="AL220" i="56"/>
  <c r="AM220" i="56"/>
  <c r="AN220" i="56"/>
  <c r="AO220" i="56"/>
  <c r="AP220" i="56"/>
  <c r="AQ220" i="56"/>
  <c r="AK221" i="56"/>
  <c r="AL221" i="56"/>
  <c r="AM221" i="56"/>
  <c r="AN221" i="56"/>
  <c r="AO221" i="56"/>
  <c r="AP221" i="56"/>
  <c r="AQ221" i="56"/>
  <c r="AK222" i="56"/>
  <c r="AL222" i="56"/>
  <c r="AM222" i="56"/>
  <c r="AN222" i="56"/>
  <c r="AO222" i="56"/>
  <c r="AP222" i="56"/>
  <c r="AQ222" i="56"/>
  <c r="AK223" i="56"/>
  <c r="AL223" i="56"/>
  <c r="AM223" i="56"/>
  <c r="AN223" i="56"/>
  <c r="AO223" i="56"/>
  <c r="AP223" i="56"/>
  <c r="AQ223" i="56"/>
  <c r="AK224" i="56"/>
  <c r="AL224" i="56"/>
  <c r="AM224" i="56"/>
  <c r="AN224" i="56"/>
  <c r="AO224" i="56"/>
  <c r="AP224" i="56"/>
  <c r="AQ224" i="56"/>
  <c r="AK225" i="56"/>
  <c r="AL225" i="56"/>
  <c r="AM225" i="56"/>
  <c r="AN225" i="56"/>
  <c r="AO225" i="56"/>
  <c r="AP225" i="56"/>
  <c r="AQ225" i="56"/>
  <c r="AK226" i="56"/>
  <c r="AL226" i="56"/>
  <c r="AM226" i="56"/>
  <c r="AN226" i="56"/>
  <c r="AO226" i="56"/>
  <c r="AP226" i="56"/>
  <c r="AQ226" i="56"/>
  <c r="AK227" i="56"/>
  <c r="AL227" i="56"/>
  <c r="AM227" i="56"/>
  <c r="AN227" i="56"/>
  <c r="AO227" i="56"/>
  <c r="AP227" i="56"/>
  <c r="AQ227" i="56"/>
  <c r="AK228" i="56"/>
  <c r="AL228" i="56"/>
  <c r="AM228" i="56"/>
  <c r="AN228" i="56"/>
  <c r="AO228" i="56"/>
  <c r="AP228" i="56"/>
  <c r="AQ228" i="56"/>
  <c r="AK229" i="56"/>
  <c r="AL229" i="56"/>
  <c r="AM229" i="56"/>
  <c r="AN229" i="56"/>
  <c r="AO229" i="56"/>
  <c r="AP229" i="56"/>
  <c r="AQ229" i="56"/>
  <c r="AK230" i="56"/>
  <c r="AL230" i="56"/>
  <c r="AM230" i="56"/>
  <c r="AN230" i="56"/>
  <c r="AO230" i="56"/>
  <c r="AP230" i="56"/>
  <c r="AQ230" i="56"/>
  <c r="AK231" i="56"/>
  <c r="AL231" i="56"/>
  <c r="AM231" i="56"/>
  <c r="AN231" i="56"/>
  <c r="AO231" i="56"/>
  <c r="AP231" i="56"/>
  <c r="AQ231" i="56"/>
  <c r="AK232" i="56"/>
  <c r="AL232" i="56"/>
  <c r="AM232" i="56"/>
  <c r="AN232" i="56"/>
  <c r="AO232" i="56"/>
  <c r="AP232" i="56"/>
  <c r="AQ232" i="56"/>
  <c r="AK233" i="56"/>
  <c r="AL233" i="56"/>
  <c r="AM233" i="56"/>
  <c r="AN233" i="56"/>
  <c r="AO233" i="56"/>
  <c r="AP233" i="56"/>
  <c r="AQ233" i="56"/>
  <c r="AK234" i="56"/>
  <c r="AL234" i="56"/>
  <c r="AM234" i="56"/>
  <c r="AN234" i="56"/>
  <c r="AO234" i="56"/>
  <c r="AP234" i="56"/>
  <c r="AQ234" i="56"/>
  <c r="AK235" i="56"/>
  <c r="AL235" i="56"/>
  <c r="AM235" i="56"/>
  <c r="AN235" i="56"/>
  <c r="AO235" i="56"/>
  <c r="AP235" i="56"/>
  <c r="AQ235" i="56"/>
  <c r="AK236" i="56"/>
  <c r="AL236" i="56"/>
  <c r="AM236" i="56"/>
  <c r="AN236" i="56"/>
  <c r="AO236" i="56"/>
  <c r="AP236" i="56"/>
  <c r="AQ236" i="56"/>
  <c r="AK237" i="56"/>
  <c r="AL237" i="56"/>
  <c r="AM237" i="56"/>
  <c r="AN237" i="56"/>
  <c r="AO237" i="56"/>
  <c r="AP237" i="56"/>
  <c r="AQ237" i="56"/>
  <c r="AK238" i="56"/>
  <c r="AL238" i="56"/>
  <c r="AM238" i="56"/>
  <c r="AN238" i="56"/>
  <c r="AO238" i="56"/>
  <c r="AP238" i="56"/>
  <c r="AQ238" i="56"/>
  <c r="AK239" i="56"/>
  <c r="AL239" i="56"/>
  <c r="AM239" i="56"/>
  <c r="AN239" i="56"/>
  <c r="AO239" i="56"/>
  <c r="AP239" i="56"/>
  <c r="AQ239" i="56"/>
  <c r="AK240" i="56"/>
  <c r="AL240" i="56"/>
  <c r="AM240" i="56"/>
  <c r="AN240" i="56"/>
  <c r="AO240" i="56"/>
  <c r="AP240" i="56"/>
  <c r="AQ240" i="56"/>
  <c r="AK241" i="56"/>
  <c r="AL241" i="56"/>
  <c r="AM241" i="56"/>
  <c r="AN241" i="56"/>
  <c r="AO241" i="56"/>
  <c r="AP241" i="56"/>
  <c r="AQ241" i="56"/>
  <c r="AK242" i="56"/>
  <c r="AL242" i="56"/>
  <c r="AM242" i="56"/>
  <c r="AN242" i="56"/>
  <c r="AO242" i="56"/>
  <c r="AP242" i="56"/>
  <c r="AQ242" i="56"/>
  <c r="AK243" i="56"/>
  <c r="AL243" i="56"/>
  <c r="AM243" i="56"/>
  <c r="AN243" i="56"/>
  <c r="AO243" i="56"/>
  <c r="AP243" i="56"/>
  <c r="AQ243" i="56"/>
  <c r="AK244" i="56"/>
  <c r="AL244" i="56"/>
  <c r="AM244" i="56"/>
  <c r="AN244" i="56"/>
  <c r="AO244" i="56"/>
  <c r="AP244" i="56"/>
  <c r="AQ244" i="56"/>
  <c r="AK245" i="56"/>
  <c r="AL245" i="56"/>
  <c r="AM245" i="56"/>
  <c r="AN245" i="56"/>
  <c r="AO245" i="56"/>
  <c r="AP245" i="56"/>
  <c r="AQ245" i="56"/>
  <c r="AK246" i="56"/>
  <c r="AL246" i="56"/>
  <c r="AM246" i="56"/>
  <c r="AN246" i="56"/>
  <c r="AO246" i="56"/>
  <c r="AP246" i="56"/>
  <c r="AQ246" i="56"/>
  <c r="AK247" i="56"/>
  <c r="AL247" i="56"/>
  <c r="AM247" i="56"/>
  <c r="AN247" i="56"/>
  <c r="AO247" i="56"/>
  <c r="AP247" i="56"/>
  <c r="AQ247" i="56"/>
  <c r="AK248" i="56"/>
  <c r="AL248" i="56"/>
  <c r="AM248" i="56"/>
  <c r="AN248" i="56"/>
  <c r="AO248" i="56"/>
  <c r="AP248" i="56"/>
  <c r="AQ248" i="56"/>
  <c r="AK249" i="56"/>
  <c r="AL249" i="56"/>
  <c r="AM249" i="56"/>
  <c r="AN249" i="56"/>
  <c r="AO249" i="56"/>
  <c r="AP249" i="56"/>
  <c r="AQ249" i="56"/>
  <c r="AK250" i="56"/>
  <c r="AL250" i="56"/>
  <c r="AM250" i="56"/>
  <c r="AN250" i="56"/>
  <c r="AO250" i="56"/>
  <c r="AP250" i="56"/>
  <c r="AQ250" i="56"/>
  <c r="AK251" i="56"/>
  <c r="AL251" i="56"/>
  <c r="AM251" i="56"/>
  <c r="AN251" i="56"/>
  <c r="AO251" i="56"/>
  <c r="AP251" i="56"/>
  <c r="AQ251" i="56"/>
  <c r="AK252" i="56"/>
  <c r="AL252" i="56"/>
  <c r="AM252" i="56"/>
  <c r="AN252" i="56"/>
  <c r="AO252" i="56"/>
  <c r="AP252" i="56"/>
  <c r="AQ252" i="56"/>
  <c r="AK253" i="56"/>
  <c r="AL253" i="56"/>
  <c r="AM253" i="56"/>
  <c r="AN253" i="56"/>
  <c r="AO253" i="56"/>
  <c r="AP253" i="56"/>
  <c r="AQ253" i="56"/>
  <c r="AK254" i="56"/>
  <c r="AL254" i="56"/>
  <c r="AM254" i="56"/>
  <c r="AN254" i="56"/>
  <c r="AO254" i="56"/>
  <c r="AP254" i="56"/>
  <c r="AQ254" i="56"/>
  <c r="AK255" i="56"/>
  <c r="AL255" i="56"/>
  <c r="AM255" i="56"/>
  <c r="AN255" i="56"/>
  <c r="AO255" i="56"/>
  <c r="AP255" i="56"/>
  <c r="AQ255" i="56"/>
  <c r="AK256" i="56"/>
  <c r="AL256" i="56"/>
  <c r="AM256" i="56"/>
  <c r="AN256" i="56"/>
  <c r="AO256" i="56"/>
  <c r="AP256" i="56"/>
  <c r="AQ256" i="56"/>
  <c r="AK257" i="56"/>
  <c r="AL257" i="56"/>
  <c r="AM257" i="56"/>
  <c r="AN257" i="56"/>
  <c r="AO257" i="56"/>
  <c r="AP257" i="56"/>
  <c r="AQ257" i="56"/>
  <c r="AK258" i="56"/>
  <c r="AL258" i="56"/>
  <c r="AM258" i="56"/>
  <c r="AN258" i="56"/>
  <c r="AO258" i="56"/>
  <c r="AP258" i="56"/>
  <c r="AQ258" i="56"/>
  <c r="AK259" i="56"/>
  <c r="AL259" i="56"/>
  <c r="AM259" i="56"/>
  <c r="AN259" i="56"/>
  <c r="AO259" i="56"/>
  <c r="AP259" i="56"/>
  <c r="AQ259" i="56"/>
  <c r="AK260" i="56"/>
  <c r="AL260" i="56"/>
  <c r="AM260" i="56"/>
  <c r="AN260" i="56"/>
  <c r="AO260" i="56"/>
  <c r="AP260" i="56"/>
  <c r="AQ260" i="56"/>
  <c r="AK261" i="56"/>
  <c r="AL261" i="56"/>
  <c r="AM261" i="56"/>
  <c r="AN261" i="56"/>
  <c r="AO261" i="56"/>
  <c r="AP261" i="56"/>
  <c r="AQ261" i="56"/>
  <c r="AK262" i="56"/>
  <c r="AL262" i="56"/>
  <c r="AM262" i="56"/>
  <c r="AN262" i="56"/>
  <c r="AO262" i="56"/>
  <c r="AP262" i="56"/>
  <c r="AQ262" i="56"/>
  <c r="AK263" i="56"/>
  <c r="AL263" i="56"/>
  <c r="AM263" i="56"/>
  <c r="AN263" i="56"/>
  <c r="AO263" i="56"/>
  <c r="AP263" i="56"/>
  <c r="AQ263" i="56"/>
  <c r="AK264" i="56"/>
  <c r="AL264" i="56"/>
  <c r="AM264" i="56"/>
  <c r="AN264" i="56"/>
  <c r="AO264" i="56"/>
  <c r="AP264" i="56"/>
  <c r="AQ264" i="56"/>
  <c r="AK265" i="56"/>
  <c r="AL265" i="56"/>
  <c r="AM265" i="56"/>
  <c r="AN265" i="56"/>
  <c r="AO265" i="56"/>
  <c r="AP265" i="56"/>
  <c r="AQ265" i="56"/>
  <c r="AK266" i="56"/>
  <c r="AL266" i="56"/>
  <c r="AM266" i="56"/>
  <c r="AN266" i="56"/>
  <c r="AO266" i="56"/>
  <c r="AP266" i="56"/>
  <c r="AQ266" i="56"/>
  <c r="AK267" i="56"/>
  <c r="AL267" i="56"/>
  <c r="AM267" i="56"/>
  <c r="AN267" i="56"/>
  <c r="AO267" i="56"/>
  <c r="AP267" i="56"/>
  <c r="AQ267" i="56"/>
  <c r="AK268" i="56"/>
  <c r="AL268" i="56"/>
  <c r="AM268" i="56"/>
  <c r="AN268" i="56"/>
  <c r="AO268" i="56"/>
  <c r="AP268" i="56"/>
  <c r="AQ268" i="56"/>
  <c r="AK269" i="56"/>
  <c r="AL269" i="56"/>
  <c r="AM269" i="56"/>
  <c r="AN269" i="56"/>
  <c r="AO269" i="56"/>
  <c r="AP269" i="56"/>
  <c r="AQ269" i="56"/>
  <c r="AK270" i="56"/>
  <c r="AL270" i="56"/>
  <c r="AM270" i="56"/>
  <c r="AN270" i="56"/>
  <c r="AO270" i="56"/>
  <c r="AP270" i="56"/>
  <c r="AQ270" i="56"/>
  <c r="AK271" i="56"/>
  <c r="AL271" i="56"/>
  <c r="AM271" i="56"/>
  <c r="AN271" i="56"/>
  <c r="AO271" i="56"/>
  <c r="AP271" i="56"/>
  <c r="AQ271" i="56"/>
  <c r="AK272" i="56"/>
  <c r="AL272" i="56"/>
  <c r="AM272" i="56"/>
  <c r="AN272" i="56"/>
  <c r="AO272" i="56"/>
  <c r="AP272" i="56"/>
  <c r="AQ272" i="56"/>
  <c r="AK273" i="56"/>
  <c r="AL273" i="56"/>
  <c r="AM273" i="56"/>
  <c r="AN273" i="56"/>
  <c r="AO273" i="56"/>
  <c r="AP273" i="56"/>
  <c r="AQ273" i="56"/>
  <c r="AK274" i="56"/>
  <c r="AL274" i="56"/>
  <c r="AM274" i="56"/>
  <c r="AN274" i="56"/>
  <c r="AO274" i="56"/>
  <c r="AP274" i="56"/>
  <c r="AQ274" i="56"/>
  <c r="AK275" i="56"/>
  <c r="AL275" i="56"/>
  <c r="AM275" i="56"/>
  <c r="AN275" i="56"/>
  <c r="AO275" i="56"/>
  <c r="AP275" i="56"/>
  <c r="AQ275" i="56"/>
  <c r="AK276" i="56"/>
  <c r="AL276" i="56"/>
  <c r="AM276" i="56"/>
  <c r="AN276" i="56"/>
  <c r="AO276" i="56"/>
  <c r="AP276" i="56"/>
  <c r="AQ276" i="56"/>
  <c r="AK277" i="56"/>
  <c r="AL277" i="56"/>
  <c r="AM277" i="56"/>
  <c r="AN277" i="56"/>
  <c r="AO277" i="56"/>
  <c r="AP277" i="56"/>
  <c r="AQ277" i="56"/>
  <c r="AK278" i="56"/>
  <c r="AL278" i="56"/>
  <c r="AM278" i="56"/>
  <c r="AN278" i="56"/>
  <c r="AO278" i="56"/>
  <c r="AP278" i="56"/>
  <c r="AQ278" i="56"/>
  <c r="AK279" i="56"/>
  <c r="AL279" i="56"/>
  <c r="AM279" i="56"/>
  <c r="AN279" i="56"/>
  <c r="AO279" i="56"/>
  <c r="AP279" i="56"/>
  <c r="AQ279" i="56"/>
  <c r="AK280" i="56"/>
  <c r="AL280" i="56"/>
  <c r="AM280" i="56"/>
  <c r="AN280" i="56"/>
  <c r="AO280" i="56"/>
  <c r="AP280" i="56"/>
  <c r="AQ280" i="56"/>
  <c r="AK281" i="56"/>
  <c r="AL281" i="56"/>
  <c r="AM281" i="56"/>
  <c r="AN281" i="56"/>
  <c r="AO281" i="56"/>
  <c r="AP281" i="56"/>
  <c r="AQ281" i="56"/>
  <c r="AK282" i="56"/>
  <c r="AL282" i="56"/>
  <c r="AM282" i="56"/>
  <c r="AN282" i="56"/>
  <c r="AO282" i="56"/>
  <c r="AP282" i="56"/>
  <c r="AQ282" i="56"/>
  <c r="AK283" i="56"/>
  <c r="AL283" i="56"/>
  <c r="AM283" i="56"/>
  <c r="AN283" i="56"/>
  <c r="AO283" i="56"/>
  <c r="AP283" i="56"/>
  <c r="AQ283" i="56"/>
  <c r="AK284" i="56"/>
  <c r="AL284" i="56"/>
  <c r="AM284" i="56"/>
  <c r="AN284" i="56"/>
  <c r="AO284" i="56"/>
  <c r="AP284" i="56"/>
  <c r="AQ284" i="56"/>
  <c r="AK285" i="56"/>
  <c r="AL285" i="56"/>
  <c r="AM285" i="56"/>
  <c r="AN285" i="56"/>
  <c r="AO285" i="56"/>
  <c r="AP285" i="56"/>
  <c r="AQ285" i="56"/>
  <c r="AK286" i="56"/>
  <c r="AL286" i="56"/>
  <c r="AM286" i="56"/>
  <c r="AN286" i="56"/>
  <c r="AO286" i="56"/>
  <c r="AP286" i="56"/>
  <c r="AQ286" i="56"/>
  <c r="AK287" i="56"/>
  <c r="AL287" i="56"/>
  <c r="AM287" i="56"/>
  <c r="AN287" i="56"/>
  <c r="AO287" i="56"/>
  <c r="AP287" i="56"/>
  <c r="AQ287" i="56"/>
  <c r="AK288" i="56"/>
  <c r="AL288" i="56"/>
  <c r="AM288" i="56"/>
  <c r="AN288" i="56"/>
  <c r="AO288" i="56"/>
  <c r="AP288" i="56"/>
  <c r="AQ288" i="56"/>
  <c r="AK289" i="56"/>
  <c r="AL289" i="56"/>
  <c r="AM289" i="56"/>
  <c r="AN289" i="56"/>
  <c r="AO289" i="56"/>
  <c r="AP289" i="56"/>
  <c r="AQ289" i="56"/>
  <c r="AK290" i="56"/>
  <c r="AL290" i="56"/>
  <c r="AM290" i="56"/>
  <c r="AN290" i="56"/>
  <c r="AO290" i="56"/>
  <c r="AP290" i="56"/>
  <c r="AQ290" i="56"/>
  <c r="AK291" i="56"/>
  <c r="AL291" i="56"/>
  <c r="AM291" i="56"/>
  <c r="AN291" i="56"/>
  <c r="AO291" i="56"/>
  <c r="AP291" i="56"/>
  <c r="AQ291" i="56"/>
  <c r="AK292" i="56"/>
  <c r="AL292" i="56"/>
  <c r="AM292" i="56"/>
  <c r="AN292" i="56"/>
  <c r="AO292" i="56"/>
  <c r="AP292" i="56"/>
  <c r="AQ292" i="56"/>
  <c r="AK293" i="56"/>
  <c r="AL293" i="56"/>
  <c r="AM293" i="56"/>
  <c r="AN293" i="56"/>
  <c r="AO293" i="56"/>
  <c r="AP293" i="56"/>
  <c r="AQ293" i="56"/>
  <c r="AK294" i="56"/>
  <c r="AL294" i="56"/>
  <c r="AM294" i="56"/>
  <c r="AN294" i="56"/>
  <c r="AO294" i="56"/>
  <c r="AP294" i="56"/>
  <c r="AQ294" i="56"/>
  <c r="AK295" i="56"/>
  <c r="AL295" i="56"/>
  <c r="AM295" i="56"/>
  <c r="AN295" i="56"/>
  <c r="AO295" i="56"/>
  <c r="AP295" i="56"/>
  <c r="AQ295" i="56"/>
  <c r="AK296" i="56"/>
  <c r="AL296" i="56"/>
  <c r="AM296" i="56"/>
  <c r="AN296" i="56"/>
  <c r="AO296" i="56"/>
  <c r="AP296" i="56"/>
  <c r="AQ296" i="56"/>
  <c r="AK297" i="56"/>
  <c r="AL297" i="56"/>
  <c r="AM297" i="56"/>
  <c r="AN297" i="56"/>
  <c r="AO297" i="56"/>
  <c r="AP297" i="56"/>
  <c r="AQ297" i="56"/>
  <c r="AK298" i="56"/>
  <c r="AL298" i="56"/>
  <c r="AM298" i="56"/>
  <c r="AN298" i="56"/>
  <c r="AO298" i="56"/>
  <c r="AP298" i="56"/>
  <c r="AQ298" i="56"/>
  <c r="AK299" i="56"/>
  <c r="AL299" i="56"/>
  <c r="AM299" i="56"/>
  <c r="AN299" i="56"/>
  <c r="AO299" i="56"/>
  <c r="AP299" i="56"/>
  <c r="AQ299" i="56"/>
  <c r="AK300" i="56"/>
  <c r="AL300" i="56"/>
  <c r="AM300" i="56"/>
  <c r="AN300" i="56"/>
  <c r="AO300" i="56"/>
  <c r="AP300" i="56"/>
  <c r="AQ300" i="56"/>
  <c r="AK301" i="56"/>
  <c r="AL301" i="56"/>
  <c r="AM301" i="56"/>
  <c r="AN301" i="56"/>
  <c r="AO301" i="56"/>
  <c r="AP301" i="56"/>
  <c r="AQ301" i="56"/>
  <c r="AK302" i="56"/>
  <c r="AL302" i="56"/>
  <c r="AM302" i="56"/>
  <c r="AN302" i="56"/>
  <c r="AO302" i="56"/>
  <c r="AP302" i="56"/>
  <c r="AQ302" i="56"/>
  <c r="AK303" i="56"/>
  <c r="AL303" i="56"/>
  <c r="AM303" i="56"/>
  <c r="AN303" i="56"/>
  <c r="AO303" i="56"/>
  <c r="AP303" i="56"/>
  <c r="AQ303" i="56"/>
  <c r="AK304" i="56"/>
  <c r="AL304" i="56"/>
  <c r="AM304" i="56"/>
  <c r="AN304" i="56"/>
  <c r="AO304" i="56"/>
  <c r="AP304" i="56"/>
  <c r="AQ304" i="56"/>
  <c r="AK305" i="56"/>
  <c r="AL305" i="56"/>
  <c r="AM305" i="56"/>
  <c r="AN305" i="56"/>
  <c r="AO305" i="56"/>
  <c r="AP305" i="56"/>
  <c r="AQ305" i="56"/>
  <c r="AK306" i="56"/>
  <c r="AL306" i="56"/>
  <c r="AM306" i="56"/>
  <c r="AN306" i="56"/>
  <c r="AO306" i="56"/>
  <c r="AP306" i="56"/>
  <c r="AQ306" i="56"/>
  <c r="AK307" i="56"/>
  <c r="AL307" i="56"/>
  <c r="AM307" i="56"/>
  <c r="AN307" i="56"/>
  <c r="AO307" i="56"/>
  <c r="AP307" i="56"/>
  <c r="AQ307" i="56"/>
  <c r="AL15" i="56"/>
  <c r="AM15" i="56"/>
  <c r="AN15" i="56"/>
  <c r="AO15" i="56"/>
  <c r="AP15" i="56"/>
  <c r="AQ15" i="56"/>
  <c r="AK15" i="56"/>
  <c r="AK13" i="56" l="1"/>
  <c r="AQ13" i="56"/>
  <c r="AO13" i="56"/>
  <c r="AN13" i="56"/>
  <c r="AM13" i="56"/>
  <c r="AP13" i="56"/>
  <c r="AL13" i="56"/>
  <c r="DC5" i="43"/>
  <c r="DC4" i="43"/>
  <c r="BT11" i="43"/>
  <c r="BT10" i="43"/>
  <c r="CD13" i="43"/>
  <c r="K15" i="44"/>
  <c r="AC16" i="49"/>
  <c r="AD16" i="49"/>
  <c r="AE16" i="49"/>
  <c r="AF16" i="49"/>
  <c r="AG16" i="49"/>
  <c r="AC17" i="49"/>
  <c r="AD17" i="49"/>
  <c r="AE17" i="49"/>
  <c r="AF17" i="49"/>
  <c r="AG17" i="49"/>
  <c r="AC18" i="49"/>
  <c r="AD18" i="49"/>
  <c r="AE18" i="49"/>
  <c r="AF18" i="49"/>
  <c r="AG18" i="49"/>
  <c r="AC19" i="49"/>
  <c r="AD19" i="49"/>
  <c r="AE19" i="49"/>
  <c r="AF19" i="49"/>
  <c r="AG19" i="49"/>
  <c r="AC20" i="49"/>
  <c r="AD20" i="49"/>
  <c r="AE20" i="49"/>
  <c r="AF20" i="49"/>
  <c r="AG20" i="49"/>
  <c r="AC21" i="49"/>
  <c r="AD21" i="49"/>
  <c r="AE21" i="49"/>
  <c r="AF21" i="49"/>
  <c r="AG21" i="49"/>
  <c r="AC22" i="49"/>
  <c r="AD22" i="49"/>
  <c r="AE22" i="49"/>
  <c r="AF22" i="49"/>
  <c r="AG22" i="49"/>
  <c r="AC23" i="49"/>
  <c r="AD23" i="49"/>
  <c r="AE23" i="49"/>
  <c r="AF23" i="49"/>
  <c r="AG23" i="49"/>
  <c r="AC24" i="49"/>
  <c r="AD24" i="49"/>
  <c r="AE24" i="49"/>
  <c r="AF24" i="49"/>
  <c r="AG24" i="49"/>
  <c r="AC25" i="49"/>
  <c r="AD25" i="49"/>
  <c r="AE25" i="49"/>
  <c r="AF25" i="49"/>
  <c r="AG25" i="49"/>
  <c r="AC26" i="49"/>
  <c r="AD26" i="49"/>
  <c r="AE26" i="49"/>
  <c r="AF26" i="49"/>
  <c r="AG26" i="49"/>
  <c r="AC27" i="49"/>
  <c r="AD27" i="49"/>
  <c r="AE27" i="49"/>
  <c r="AF27" i="49"/>
  <c r="AG27" i="49"/>
  <c r="AC28" i="49"/>
  <c r="AD28" i="49"/>
  <c r="AE28" i="49"/>
  <c r="AF28" i="49"/>
  <c r="AG28" i="49"/>
  <c r="AC29" i="49"/>
  <c r="AD29" i="49"/>
  <c r="AE29" i="49"/>
  <c r="AF29" i="49"/>
  <c r="AG29" i="49"/>
  <c r="AC30" i="49"/>
  <c r="AD30" i="49"/>
  <c r="AE30" i="49"/>
  <c r="AF30" i="49"/>
  <c r="AG30" i="49"/>
  <c r="AC31" i="49"/>
  <c r="AD31" i="49"/>
  <c r="AE31" i="49"/>
  <c r="AF31" i="49"/>
  <c r="AG31" i="49"/>
  <c r="AC32" i="49"/>
  <c r="AD32" i="49"/>
  <c r="AE32" i="49"/>
  <c r="AF32" i="49"/>
  <c r="AG32" i="49"/>
  <c r="AC33" i="49"/>
  <c r="AD33" i="49"/>
  <c r="AE33" i="49"/>
  <c r="AF33" i="49"/>
  <c r="AG33" i="49"/>
  <c r="AC34" i="49"/>
  <c r="AD34" i="49"/>
  <c r="AE34" i="49"/>
  <c r="AF34" i="49"/>
  <c r="AG34" i="49"/>
  <c r="AC35" i="49"/>
  <c r="AD35" i="49"/>
  <c r="AE35" i="49"/>
  <c r="AF35" i="49"/>
  <c r="AG35" i="49"/>
  <c r="AC36" i="49"/>
  <c r="AD36" i="49"/>
  <c r="AE36" i="49"/>
  <c r="AF36" i="49"/>
  <c r="AG36" i="49"/>
  <c r="AC37" i="49"/>
  <c r="AD37" i="49"/>
  <c r="AE37" i="49"/>
  <c r="AF37" i="49"/>
  <c r="AG37" i="49"/>
  <c r="AC38" i="49"/>
  <c r="AD38" i="49"/>
  <c r="AE38" i="49"/>
  <c r="AF38" i="49"/>
  <c r="AG38" i="49"/>
  <c r="AC39" i="49"/>
  <c r="AD39" i="49"/>
  <c r="AE39" i="49"/>
  <c r="AF39" i="49"/>
  <c r="AG39" i="49"/>
  <c r="AC40" i="49"/>
  <c r="AD40" i="49"/>
  <c r="AE40" i="49"/>
  <c r="AF40" i="49"/>
  <c r="AG40" i="49"/>
  <c r="AC41" i="49"/>
  <c r="AD41" i="49"/>
  <c r="AE41" i="49"/>
  <c r="AF41" i="49"/>
  <c r="AG41" i="49"/>
  <c r="AC42" i="49"/>
  <c r="AD42" i="49"/>
  <c r="AE42" i="49"/>
  <c r="AF42" i="49"/>
  <c r="AG42" i="49"/>
  <c r="AC43" i="49"/>
  <c r="AD43" i="49"/>
  <c r="AE43" i="49"/>
  <c r="AF43" i="49"/>
  <c r="AG43" i="49"/>
  <c r="AC44" i="49"/>
  <c r="AD44" i="49"/>
  <c r="AE44" i="49"/>
  <c r="AF44" i="49"/>
  <c r="AG44" i="49"/>
  <c r="AC45" i="49"/>
  <c r="AD45" i="49"/>
  <c r="AE45" i="49"/>
  <c r="AF45" i="49"/>
  <c r="AG45" i="49"/>
  <c r="AC46" i="49"/>
  <c r="AD46" i="49"/>
  <c r="AE46" i="49"/>
  <c r="AF46" i="49"/>
  <c r="AG46" i="49"/>
  <c r="AC47" i="49"/>
  <c r="AD47" i="49"/>
  <c r="AE47" i="49"/>
  <c r="AF47" i="49"/>
  <c r="AG47" i="49"/>
  <c r="AC48" i="49"/>
  <c r="AD48" i="49"/>
  <c r="AE48" i="49"/>
  <c r="AF48" i="49"/>
  <c r="AG48" i="49"/>
  <c r="AC49" i="49"/>
  <c r="AD49" i="49"/>
  <c r="AE49" i="49"/>
  <c r="AF49" i="49"/>
  <c r="AG49" i="49"/>
  <c r="AC50" i="49"/>
  <c r="AD50" i="49"/>
  <c r="AE50" i="49"/>
  <c r="AF50" i="49"/>
  <c r="AG50" i="49"/>
  <c r="AC51" i="49"/>
  <c r="AD51" i="49"/>
  <c r="AE51" i="49"/>
  <c r="AF51" i="49"/>
  <c r="AG51" i="49"/>
  <c r="AC52" i="49"/>
  <c r="AD52" i="49"/>
  <c r="AE52" i="49"/>
  <c r="AF52" i="49"/>
  <c r="AG52" i="49"/>
  <c r="AC53" i="49"/>
  <c r="AD53" i="49"/>
  <c r="AE53" i="49"/>
  <c r="AF53" i="49"/>
  <c r="AG53" i="49"/>
  <c r="AC54" i="49"/>
  <c r="AD54" i="49"/>
  <c r="AE54" i="49"/>
  <c r="AF54" i="49"/>
  <c r="AG54" i="49"/>
  <c r="AC55" i="49"/>
  <c r="AD55" i="49"/>
  <c r="AE55" i="49"/>
  <c r="AF55" i="49"/>
  <c r="AG55" i="49"/>
  <c r="AC56" i="49"/>
  <c r="AD56" i="49"/>
  <c r="AE56" i="49"/>
  <c r="AF56" i="49"/>
  <c r="AG56" i="49"/>
  <c r="AC57" i="49"/>
  <c r="AD57" i="49"/>
  <c r="AE57" i="49"/>
  <c r="AF57" i="49"/>
  <c r="AG57" i="49"/>
  <c r="AC58" i="49"/>
  <c r="AD58" i="49"/>
  <c r="AE58" i="49"/>
  <c r="AF58" i="49"/>
  <c r="AG58" i="49"/>
  <c r="AC59" i="49"/>
  <c r="AD59" i="49"/>
  <c r="AE59" i="49"/>
  <c r="AF59" i="49"/>
  <c r="AG59" i="49"/>
  <c r="AC60" i="49"/>
  <c r="AD60" i="49"/>
  <c r="AE60" i="49"/>
  <c r="AF60" i="49"/>
  <c r="AG60" i="49"/>
  <c r="AC61" i="49"/>
  <c r="AD61" i="49"/>
  <c r="AE61" i="49"/>
  <c r="AF61" i="49"/>
  <c r="AG61" i="49"/>
  <c r="AC62" i="49"/>
  <c r="AD62" i="49"/>
  <c r="AE62" i="49"/>
  <c r="AF62" i="49"/>
  <c r="AG62" i="49"/>
  <c r="AC63" i="49"/>
  <c r="AD63" i="49"/>
  <c r="AE63" i="49"/>
  <c r="AF63" i="49"/>
  <c r="AG63" i="49"/>
  <c r="AC64" i="49"/>
  <c r="AD64" i="49"/>
  <c r="AE64" i="49"/>
  <c r="AF64" i="49"/>
  <c r="AG64" i="49"/>
  <c r="AC65" i="49"/>
  <c r="AD65" i="49"/>
  <c r="AE65" i="49"/>
  <c r="AF65" i="49"/>
  <c r="AG65" i="49"/>
  <c r="AC66" i="49"/>
  <c r="AD66" i="49"/>
  <c r="AE66" i="49"/>
  <c r="AF66" i="49"/>
  <c r="AG66" i="49"/>
  <c r="AC67" i="49"/>
  <c r="AD67" i="49"/>
  <c r="AE67" i="49"/>
  <c r="AF67" i="49"/>
  <c r="AG67" i="49"/>
  <c r="AC68" i="49"/>
  <c r="AD68" i="49"/>
  <c r="AE68" i="49"/>
  <c r="AF68" i="49"/>
  <c r="AG68" i="49"/>
  <c r="AC69" i="49"/>
  <c r="AD69" i="49"/>
  <c r="AE69" i="49"/>
  <c r="AF69" i="49"/>
  <c r="AG69" i="49"/>
  <c r="AC70" i="49"/>
  <c r="AD70" i="49"/>
  <c r="AE70" i="49"/>
  <c r="AF70" i="49"/>
  <c r="AG70" i="49"/>
  <c r="AC71" i="49"/>
  <c r="AD71" i="49"/>
  <c r="AE71" i="49"/>
  <c r="AF71" i="49"/>
  <c r="AG71" i="49"/>
  <c r="AC72" i="49"/>
  <c r="AD72" i="49"/>
  <c r="AE72" i="49"/>
  <c r="AF72" i="49"/>
  <c r="AG72" i="49"/>
  <c r="AC73" i="49"/>
  <c r="AD73" i="49"/>
  <c r="AE73" i="49"/>
  <c r="AF73" i="49"/>
  <c r="AG73" i="49"/>
  <c r="AC74" i="49"/>
  <c r="AD74" i="49"/>
  <c r="AE74" i="49"/>
  <c r="AF74" i="49"/>
  <c r="AG74" i="49"/>
  <c r="AC75" i="49"/>
  <c r="AD75" i="49"/>
  <c r="AE75" i="49"/>
  <c r="AF75" i="49"/>
  <c r="AG75" i="49"/>
  <c r="AC76" i="49"/>
  <c r="AD76" i="49"/>
  <c r="AE76" i="49"/>
  <c r="AF76" i="49"/>
  <c r="AG76" i="49"/>
  <c r="AC77" i="49"/>
  <c r="AD77" i="49"/>
  <c r="AE77" i="49"/>
  <c r="AF77" i="49"/>
  <c r="AG77" i="49"/>
  <c r="AC78" i="49"/>
  <c r="AD78" i="49"/>
  <c r="AE78" i="49"/>
  <c r="AF78" i="49"/>
  <c r="AG78" i="49"/>
  <c r="AC79" i="49"/>
  <c r="AD79" i="49"/>
  <c r="AE79" i="49"/>
  <c r="AF79" i="49"/>
  <c r="AG79" i="49"/>
  <c r="AC80" i="49"/>
  <c r="AD80" i="49"/>
  <c r="AE80" i="49"/>
  <c r="AF80" i="49"/>
  <c r="AG80" i="49"/>
  <c r="AC81" i="49"/>
  <c r="AD81" i="49"/>
  <c r="AE81" i="49"/>
  <c r="AF81" i="49"/>
  <c r="AG81" i="49"/>
  <c r="AC82" i="49"/>
  <c r="AD82" i="49"/>
  <c r="AE82" i="49"/>
  <c r="AF82" i="49"/>
  <c r="AG82" i="49"/>
  <c r="AC83" i="49"/>
  <c r="AD83" i="49"/>
  <c r="AE83" i="49"/>
  <c r="AF83" i="49"/>
  <c r="AG83" i="49"/>
  <c r="AC84" i="49"/>
  <c r="AD84" i="49"/>
  <c r="AE84" i="49"/>
  <c r="AF84" i="49"/>
  <c r="AG84" i="49"/>
  <c r="AC85" i="49"/>
  <c r="AD85" i="49"/>
  <c r="AE85" i="49"/>
  <c r="AF85" i="49"/>
  <c r="AG85" i="49"/>
  <c r="AC86" i="49"/>
  <c r="AD86" i="49"/>
  <c r="AE86" i="49"/>
  <c r="AF86" i="49"/>
  <c r="AG86" i="49"/>
  <c r="AC87" i="49"/>
  <c r="AD87" i="49"/>
  <c r="AE87" i="49"/>
  <c r="AF87" i="49"/>
  <c r="AG87" i="49"/>
  <c r="AC88" i="49"/>
  <c r="AD88" i="49"/>
  <c r="AE88" i="49"/>
  <c r="AF88" i="49"/>
  <c r="AG88" i="49"/>
  <c r="AC89" i="49"/>
  <c r="AD89" i="49"/>
  <c r="AE89" i="49"/>
  <c r="AF89" i="49"/>
  <c r="AG89" i="49"/>
  <c r="AC90" i="49"/>
  <c r="AD90" i="49"/>
  <c r="AE90" i="49"/>
  <c r="AF90" i="49"/>
  <c r="AG90" i="49"/>
  <c r="AC91" i="49"/>
  <c r="AD91" i="49"/>
  <c r="AE91" i="49"/>
  <c r="AF91" i="49"/>
  <c r="AG91" i="49"/>
  <c r="AC92" i="49"/>
  <c r="AD92" i="49"/>
  <c r="AE92" i="49"/>
  <c r="AF92" i="49"/>
  <c r="AG92" i="49"/>
  <c r="AC93" i="49"/>
  <c r="AD93" i="49"/>
  <c r="AE93" i="49"/>
  <c r="AF93" i="49"/>
  <c r="AG93" i="49"/>
  <c r="AC94" i="49"/>
  <c r="AD94" i="49"/>
  <c r="AE94" i="49"/>
  <c r="AF94" i="49"/>
  <c r="AG94" i="49"/>
  <c r="AC95" i="49"/>
  <c r="AD95" i="49"/>
  <c r="AE95" i="49"/>
  <c r="AF95" i="49"/>
  <c r="AG95" i="49"/>
  <c r="AC96" i="49"/>
  <c r="AD96" i="49"/>
  <c r="AE96" i="49"/>
  <c r="AF96" i="49"/>
  <c r="AG96" i="49"/>
  <c r="AC97" i="49"/>
  <c r="AD97" i="49"/>
  <c r="AE97" i="49"/>
  <c r="AF97" i="49"/>
  <c r="AG97" i="49"/>
  <c r="AC98" i="49"/>
  <c r="AD98" i="49"/>
  <c r="AE98" i="49"/>
  <c r="AF98" i="49"/>
  <c r="AG98" i="49"/>
  <c r="AC99" i="49"/>
  <c r="AD99" i="49"/>
  <c r="AE99" i="49"/>
  <c r="AF99" i="49"/>
  <c r="AG99" i="49"/>
  <c r="AC100" i="49"/>
  <c r="AD100" i="49"/>
  <c r="AE100" i="49"/>
  <c r="AF100" i="49"/>
  <c r="AG100" i="49"/>
  <c r="AC101" i="49"/>
  <c r="AD101" i="49"/>
  <c r="AE101" i="49"/>
  <c r="AF101" i="49"/>
  <c r="AG101" i="49"/>
  <c r="AC102" i="49"/>
  <c r="AD102" i="49"/>
  <c r="AE102" i="49"/>
  <c r="AF102" i="49"/>
  <c r="AG102" i="49"/>
  <c r="AC103" i="49"/>
  <c r="AD103" i="49"/>
  <c r="AE103" i="49"/>
  <c r="AF103" i="49"/>
  <c r="AG103" i="49"/>
  <c r="AC104" i="49"/>
  <c r="AD104" i="49"/>
  <c r="AE104" i="49"/>
  <c r="AF104" i="49"/>
  <c r="AG104" i="49"/>
  <c r="AC105" i="49"/>
  <c r="AD105" i="49"/>
  <c r="AE105" i="49"/>
  <c r="AF105" i="49"/>
  <c r="AG105" i="49"/>
  <c r="AC106" i="49"/>
  <c r="AD106" i="49"/>
  <c r="AE106" i="49"/>
  <c r="AF106" i="49"/>
  <c r="AG106" i="49"/>
  <c r="AC107" i="49"/>
  <c r="AD107" i="49"/>
  <c r="AE107" i="49"/>
  <c r="AF107" i="49"/>
  <c r="AG107" i="49"/>
  <c r="AC108" i="49"/>
  <c r="AD108" i="49"/>
  <c r="AE108" i="49"/>
  <c r="AF108" i="49"/>
  <c r="AG108" i="49"/>
  <c r="AC109" i="49"/>
  <c r="AD109" i="49"/>
  <c r="AE109" i="49"/>
  <c r="AF109" i="49"/>
  <c r="AG109" i="49"/>
  <c r="AC110" i="49"/>
  <c r="AD110" i="49"/>
  <c r="AE110" i="49"/>
  <c r="AF110" i="49"/>
  <c r="AG110" i="49"/>
  <c r="AC111" i="49"/>
  <c r="AD111" i="49"/>
  <c r="AE111" i="49"/>
  <c r="AF111" i="49"/>
  <c r="AG111" i="49"/>
  <c r="AC112" i="49"/>
  <c r="AD112" i="49"/>
  <c r="AE112" i="49"/>
  <c r="AF112" i="49"/>
  <c r="AG112" i="49"/>
  <c r="AC113" i="49"/>
  <c r="AD113" i="49"/>
  <c r="AE113" i="49"/>
  <c r="AF113" i="49"/>
  <c r="AG113" i="49"/>
  <c r="AC114" i="49"/>
  <c r="AD114" i="49"/>
  <c r="AE114" i="49"/>
  <c r="AF114" i="49"/>
  <c r="AG114" i="49"/>
  <c r="AC115" i="49"/>
  <c r="AD115" i="49"/>
  <c r="AE115" i="49"/>
  <c r="AF115" i="49"/>
  <c r="AG115" i="49"/>
  <c r="AC116" i="49"/>
  <c r="AD116" i="49"/>
  <c r="AE116" i="49"/>
  <c r="AF116" i="49"/>
  <c r="AG116" i="49"/>
  <c r="AC117" i="49"/>
  <c r="AD117" i="49"/>
  <c r="AE117" i="49"/>
  <c r="AF117" i="49"/>
  <c r="AG117" i="49"/>
  <c r="AC118" i="49"/>
  <c r="AD118" i="49"/>
  <c r="AE118" i="49"/>
  <c r="AF118" i="49"/>
  <c r="AG118" i="49"/>
  <c r="AC119" i="49"/>
  <c r="AD119" i="49"/>
  <c r="AE119" i="49"/>
  <c r="AF119" i="49"/>
  <c r="AG119" i="49"/>
  <c r="AC120" i="49"/>
  <c r="AD120" i="49"/>
  <c r="AE120" i="49"/>
  <c r="AF120" i="49"/>
  <c r="AG120" i="49"/>
  <c r="AC121" i="49"/>
  <c r="AD121" i="49"/>
  <c r="AE121" i="49"/>
  <c r="AF121" i="49"/>
  <c r="AG121" i="49"/>
  <c r="AC122" i="49"/>
  <c r="AD122" i="49"/>
  <c r="AE122" i="49"/>
  <c r="AF122" i="49"/>
  <c r="AG122" i="49"/>
  <c r="AC123" i="49"/>
  <c r="AD123" i="49"/>
  <c r="AE123" i="49"/>
  <c r="AF123" i="49"/>
  <c r="AG123" i="49"/>
  <c r="AC124" i="49"/>
  <c r="AD124" i="49"/>
  <c r="AE124" i="49"/>
  <c r="AF124" i="49"/>
  <c r="AG124" i="49"/>
  <c r="AC125" i="49"/>
  <c r="AD125" i="49"/>
  <c r="AE125" i="49"/>
  <c r="AF125" i="49"/>
  <c r="AG125" i="49"/>
  <c r="AC126" i="49"/>
  <c r="AD126" i="49"/>
  <c r="AE126" i="49"/>
  <c r="AF126" i="49"/>
  <c r="AG126" i="49"/>
  <c r="AC127" i="49"/>
  <c r="AD127" i="49"/>
  <c r="AE127" i="49"/>
  <c r="AF127" i="49"/>
  <c r="AG127" i="49"/>
  <c r="AC128" i="49"/>
  <c r="AD128" i="49"/>
  <c r="AE128" i="49"/>
  <c r="AF128" i="49"/>
  <c r="AG128" i="49"/>
  <c r="AC129" i="49"/>
  <c r="AD129" i="49"/>
  <c r="AE129" i="49"/>
  <c r="AF129" i="49"/>
  <c r="AG129" i="49"/>
  <c r="AC130" i="49"/>
  <c r="AD130" i="49"/>
  <c r="AE130" i="49"/>
  <c r="AF130" i="49"/>
  <c r="AG130" i="49"/>
  <c r="AC131" i="49"/>
  <c r="AD131" i="49"/>
  <c r="AE131" i="49"/>
  <c r="AF131" i="49"/>
  <c r="AG131" i="49"/>
  <c r="AC132" i="49"/>
  <c r="AD132" i="49"/>
  <c r="AE132" i="49"/>
  <c r="AF132" i="49"/>
  <c r="AG132" i="49"/>
  <c r="AC133" i="49"/>
  <c r="AD133" i="49"/>
  <c r="AE133" i="49"/>
  <c r="AF133" i="49"/>
  <c r="AG133" i="49"/>
  <c r="AC134" i="49"/>
  <c r="AD134" i="49"/>
  <c r="AE134" i="49"/>
  <c r="AF134" i="49"/>
  <c r="AG134" i="49"/>
  <c r="AC135" i="49"/>
  <c r="AD135" i="49"/>
  <c r="AE135" i="49"/>
  <c r="AF135" i="49"/>
  <c r="AG135" i="49"/>
  <c r="AC136" i="49"/>
  <c r="AD136" i="49"/>
  <c r="AE136" i="49"/>
  <c r="AF136" i="49"/>
  <c r="AG136" i="49"/>
  <c r="AC137" i="49"/>
  <c r="AD137" i="49"/>
  <c r="AE137" i="49"/>
  <c r="AF137" i="49"/>
  <c r="AG137" i="49"/>
  <c r="AC138" i="49"/>
  <c r="AD138" i="49"/>
  <c r="AE138" i="49"/>
  <c r="AF138" i="49"/>
  <c r="AG138" i="49"/>
  <c r="AC139" i="49"/>
  <c r="AD139" i="49"/>
  <c r="AE139" i="49"/>
  <c r="AF139" i="49"/>
  <c r="AG139" i="49"/>
  <c r="AC140" i="49"/>
  <c r="AD140" i="49"/>
  <c r="AE140" i="49"/>
  <c r="AF140" i="49"/>
  <c r="AG140" i="49"/>
  <c r="AC141" i="49"/>
  <c r="AD141" i="49"/>
  <c r="AE141" i="49"/>
  <c r="AF141" i="49"/>
  <c r="AG141" i="49"/>
  <c r="AC142" i="49"/>
  <c r="AD142" i="49"/>
  <c r="AE142" i="49"/>
  <c r="AF142" i="49"/>
  <c r="AG142" i="49"/>
  <c r="AC143" i="49"/>
  <c r="AD143" i="49"/>
  <c r="AE143" i="49"/>
  <c r="AF143" i="49"/>
  <c r="AG143" i="49"/>
  <c r="AC144" i="49"/>
  <c r="AD144" i="49"/>
  <c r="AE144" i="49"/>
  <c r="AF144" i="49"/>
  <c r="AG144" i="49"/>
  <c r="AC145" i="49"/>
  <c r="AD145" i="49"/>
  <c r="AE145" i="49"/>
  <c r="AF145" i="49"/>
  <c r="AG145" i="49"/>
  <c r="AC146" i="49"/>
  <c r="AD146" i="49"/>
  <c r="AE146" i="49"/>
  <c r="AF146" i="49"/>
  <c r="AG146" i="49"/>
  <c r="AC147" i="49"/>
  <c r="AD147" i="49"/>
  <c r="AE147" i="49"/>
  <c r="AF147" i="49"/>
  <c r="AG147" i="49"/>
  <c r="AC148" i="49"/>
  <c r="AD148" i="49"/>
  <c r="AE148" i="49"/>
  <c r="AF148" i="49"/>
  <c r="AG148" i="49"/>
  <c r="AC149" i="49"/>
  <c r="AD149" i="49"/>
  <c r="AE149" i="49"/>
  <c r="AF149" i="49"/>
  <c r="AG149" i="49"/>
  <c r="AC150" i="49"/>
  <c r="AD150" i="49"/>
  <c r="AE150" i="49"/>
  <c r="AF150" i="49"/>
  <c r="AG150" i="49"/>
  <c r="AC151" i="49"/>
  <c r="AD151" i="49"/>
  <c r="AE151" i="49"/>
  <c r="AF151" i="49"/>
  <c r="AG151" i="49"/>
  <c r="AC152" i="49"/>
  <c r="AD152" i="49"/>
  <c r="AE152" i="49"/>
  <c r="AF152" i="49"/>
  <c r="AG152" i="49"/>
  <c r="AC153" i="49"/>
  <c r="AD153" i="49"/>
  <c r="AE153" i="49"/>
  <c r="AF153" i="49"/>
  <c r="AG153" i="49"/>
  <c r="AC154" i="49"/>
  <c r="AD154" i="49"/>
  <c r="AE154" i="49"/>
  <c r="AF154" i="49"/>
  <c r="AG154" i="49"/>
  <c r="AC155" i="49"/>
  <c r="AD155" i="49"/>
  <c r="AE155" i="49"/>
  <c r="AF155" i="49"/>
  <c r="AG155" i="49"/>
  <c r="AC156" i="49"/>
  <c r="AD156" i="49"/>
  <c r="AE156" i="49"/>
  <c r="AF156" i="49"/>
  <c r="AG156" i="49"/>
  <c r="AC157" i="49"/>
  <c r="AD157" i="49"/>
  <c r="AE157" i="49"/>
  <c r="AF157" i="49"/>
  <c r="AG157" i="49"/>
  <c r="AC158" i="49"/>
  <c r="AD158" i="49"/>
  <c r="AE158" i="49"/>
  <c r="AF158" i="49"/>
  <c r="AG158" i="49"/>
  <c r="AC159" i="49"/>
  <c r="AD159" i="49"/>
  <c r="AE159" i="49"/>
  <c r="AF159" i="49"/>
  <c r="AG159" i="49"/>
  <c r="AC160" i="49"/>
  <c r="AD160" i="49"/>
  <c r="AE160" i="49"/>
  <c r="AF160" i="49"/>
  <c r="AG160" i="49"/>
  <c r="AC161" i="49"/>
  <c r="AD161" i="49"/>
  <c r="AE161" i="49"/>
  <c r="AF161" i="49"/>
  <c r="AG161" i="49"/>
  <c r="AC162" i="49"/>
  <c r="AD162" i="49"/>
  <c r="AE162" i="49"/>
  <c r="AF162" i="49"/>
  <c r="AG162" i="49"/>
  <c r="AC163" i="49"/>
  <c r="AD163" i="49"/>
  <c r="AE163" i="49"/>
  <c r="AF163" i="49"/>
  <c r="AG163" i="49"/>
  <c r="AC164" i="49"/>
  <c r="AD164" i="49"/>
  <c r="AE164" i="49"/>
  <c r="AF164" i="49"/>
  <c r="AG164" i="49"/>
  <c r="AC165" i="49"/>
  <c r="AD165" i="49"/>
  <c r="AE165" i="49"/>
  <c r="AF165" i="49"/>
  <c r="AG165" i="49"/>
  <c r="AC166" i="49"/>
  <c r="AD166" i="49"/>
  <c r="AE166" i="49"/>
  <c r="AF166" i="49"/>
  <c r="AG166" i="49"/>
  <c r="AC167" i="49"/>
  <c r="AD167" i="49"/>
  <c r="AE167" i="49"/>
  <c r="AF167" i="49"/>
  <c r="AG167" i="49"/>
  <c r="AC168" i="49"/>
  <c r="AD168" i="49"/>
  <c r="AE168" i="49"/>
  <c r="AF168" i="49"/>
  <c r="AG168" i="49"/>
  <c r="AC169" i="49"/>
  <c r="AD169" i="49"/>
  <c r="AE169" i="49"/>
  <c r="AF169" i="49"/>
  <c r="AG169" i="49"/>
  <c r="AC170" i="49"/>
  <c r="AD170" i="49"/>
  <c r="AE170" i="49"/>
  <c r="AF170" i="49"/>
  <c r="AG170" i="49"/>
  <c r="AC171" i="49"/>
  <c r="AD171" i="49"/>
  <c r="AE171" i="49"/>
  <c r="AF171" i="49"/>
  <c r="AG171" i="49"/>
  <c r="AC172" i="49"/>
  <c r="AD172" i="49"/>
  <c r="AE172" i="49"/>
  <c r="AF172" i="49"/>
  <c r="AG172" i="49"/>
  <c r="AC173" i="49"/>
  <c r="AD173" i="49"/>
  <c r="AE173" i="49"/>
  <c r="AF173" i="49"/>
  <c r="AG173" i="49"/>
  <c r="AC174" i="49"/>
  <c r="AD174" i="49"/>
  <c r="AE174" i="49"/>
  <c r="AF174" i="49"/>
  <c r="AG174" i="49"/>
  <c r="AC175" i="49"/>
  <c r="AD175" i="49"/>
  <c r="AE175" i="49"/>
  <c r="AF175" i="49"/>
  <c r="AG175" i="49"/>
  <c r="AC176" i="49"/>
  <c r="AD176" i="49"/>
  <c r="AE176" i="49"/>
  <c r="AF176" i="49"/>
  <c r="AG176" i="49"/>
  <c r="AC177" i="49"/>
  <c r="AD177" i="49"/>
  <c r="AE177" i="49"/>
  <c r="AF177" i="49"/>
  <c r="AG177" i="49"/>
  <c r="AC178" i="49"/>
  <c r="AD178" i="49"/>
  <c r="AE178" i="49"/>
  <c r="AF178" i="49"/>
  <c r="AG178" i="49"/>
  <c r="AC179" i="49"/>
  <c r="AD179" i="49"/>
  <c r="AE179" i="49"/>
  <c r="AF179" i="49"/>
  <c r="AG179" i="49"/>
  <c r="AC180" i="49"/>
  <c r="AD180" i="49"/>
  <c r="AE180" i="49"/>
  <c r="AF180" i="49"/>
  <c r="AG180" i="49"/>
  <c r="AC181" i="49"/>
  <c r="AD181" i="49"/>
  <c r="AE181" i="49"/>
  <c r="AF181" i="49"/>
  <c r="AG181" i="49"/>
  <c r="AC182" i="49"/>
  <c r="AD182" i="49"/>
  <c r="AE182" i="49"/>
  <c r="AF182" i="49"/>
  <c r="AG182" i="49"/>
  <c r="AC183" i="49"/>
  <c r="AD183" i="49"/>
  <c r="AE183" i="49"/>
  <c r="AF183" i="49"/>
  <c r="AG183" i="49"/>
  <c r="AC184" i="49"/>
  <c r="AD184" i="49"/>
  <c r="AE184" i="49"/>
  <c r="AF184" i="49"/>
  <c r="AG184" i="49"/>
  <c r="AC185" i="49"/>
  <c r="AD185" i="49"/>
  <c r="AE185" i="49"/>
  <c r="AF185" i="49"/>
  <c r="AG185" i="49"/>
  <c r="AC186" i="49"/>
  <c r="AD186" i="49"/>
  <c r="AE186" i="49"/>
  <c r="AF186" i="49"/>
  <c r="AG186" i="49"/>
  <c r="AC187" i="49"/>
  <c r="AD187" i="49"/>
  <c r="AE187" i="49"/>
  <c r="AF187" i="49"/>
  <c r="AG187" i="49"/>
  <c r="AC188" i="49"/>
  <c r="AD188" i="49"/>
  <c r="AE188" i="49"/>
  <c r="AF188" i="49"/>
  <c r="AG188" i="49"/>
  <c r="AC189" i="49"/>
  <c r="AD189" i="49"/>
  <c r="AE189" i="49"/>
  <c r="AF189" i="49"/>
  <c r="AG189" i="49"/>
  <c r="AC190" i="49"/>
  <c r="AD190" i="49"/>
  <c r="AE190" i="49"/>
  <c r="AF190" i="49"/>
  <c r="AG190" i="49"/>
  <c r="AC191" i="49"/>
  <c r="AD191" i="49"/>
  <c r="AE191" i="49"/>
  <c r="AF191" i="49"/>
  <c r="AG191" i="49"/>
  <c r="AC192" i="49"/>
  <c r="AD192" i="49"/>
  <c r="AE192" i="49"/>
  <c r="AF192" i="49"/>
  <c r="AG192" i="49"/>
  <c r="AC193" i="49"/>
  <c r="AD193" i="49"/>
  <c r="AE193" i="49"/>
  <c r="AF193" i="49"/>
  <c r="AG193" i="49"/>
  <c r="AC194" i="49"/>
  <c r="AD194" i="49"/>
  <c r="AE194" i="49"/>
  <c r="AF194" i="49"/>
  <c r="AG194" i="49"/>
  <c r="AC195" i="49"/>
  <c r="AD195" i="49"/>
  <c r="AE195" i="49"/>
  <c r="AF195" i="49"/>
  <c r="AG195" i="49"/>
  <c r="AC196" i="49"/>
  <c r="AD196" i="49"/>
  <c r="AE196" i="49"/>
  <c r="AF196" i="49"/>
  <c r="AG196" i="49"/>
  <c r="AC197" i="49"/>
  <c r="AD197" i="49"/>
  <c r="AE197" i="49"/>
  <c r="AF197" i="49"/>
  <c r="AG197" i="49"/>
  <c r="AC198" i="49"/>
  <c r="AD198" i="49"/>
  <c r="AE198" i="49"/>
  <c r="AF198" i="49"/>
  <c r="AG198" i="49"/>
  <c r="AC199" i="49"/>
  <c r="AD199" i="49"/>
  <c r="AE199" i="49"/>
  <c r="AF199" i="49"/>
  <c r="AG199" i="49"/>
  <c r="AC200" i="49"/>
  <c r="AD200" i="49"/>
  <c r="AE200" i="49"/>
  <c r="AF200" i="49"/>
  <c r="AG200" i="49"/>
  <c r="AC201" i="49"/>
  <c r="AD201" i="49"/>
  <c r="AE201" i="49"/>
  <c r="AF201" i="49"/>
  <c r="AG201" i="49"/>
  <c r="AC202" i="49"/>
  <c r="AD202" i="49"/>
  <c r="AE202" i="49"/>
  <c r="AF202" i="49"/>
  <c r="AG202" i="49"/>
  <c r="AC203" i="49"/>
  <c r="AD203" i="49"/>
  <c r="AE203" i="49"/>
  <c r="AF203" i="49"/>
  <c r="AG203" i="49"/>
  <c r="AC204" i="49"/>
  <c r="AD204" i="49"/>
  <c r="AE204" i="49"/>
  <c r="AF204" i="49"/>
  <c r="AG204" i="49"/>
  <c r="AC205" i="49"/>
  <c r="AD205" i="49"/>
  <c r="AE205" i="49"/>
  <c r="AF205" i="49"/>
  <c r="AG205" i="49"/>
  <c r="AC206" i="49"/>
  <c r="AD206" i="49"/>
  <c r="AE206" i="49"/>
  <c r="AF206" i="49"/>
  <c r="AG206" i="49"/>
  <c r="AC207" i="49"/>
  <c r="AD207" i="49"/>
  <c r="AE207" i="49"/>
  <c r="AF207" i="49"/>
  <c r="AG207" i="49"/>
  <c r="AC208" i="49"/>
  <c r="AD208" i="49"/>
  <c r="AE208" i="49"/>
  <c r="AF208" i="49"/>
  <c r="AG208" i="49"/>
  <c r="AC209" i="49"/>
  <c r="AD209" i="49"/>
  <c r="AE209" i="49"/>
  <c r="AF209" i="49"/>
  <c r="AG209" i="49"/>
  <c r="AC210" i="49"/>
  <c r="AD210" i="49"/>
  <c r="AE210" i="49"/>
  <c r="AF210" i="49"/>
  <c r="AG210" i="49"/>
  <c r="AC211" i="49"/>
  <c r="AD211" i="49"/>
  <c r="AE211" i="49"/>
  <c r="AF211" i="49"/>
  <c r="AG211" i="49"/>
  <c r="AC212" i="49"/>
  <c r="AD212" i="49"/>
  <c r="AE212" i="49"/>
  <c r="AF212" i="49"/>
  <c r="AG212" i="49"/>
  <c r="AC213" i="49"/>
  <c r="AD213" i="49"/>
  <c r="AE213" i="49"/>
  <c r="AF213" i="49"/>
  <c r="AG213" i="49"/>
  <c r="AC214" i="49"/>
  <c r="AD214" i="49"/>
  <c r="AE214" i="49"/>
  <c r="AF214" i="49"/>
  <c r="AG214" i="49"/>
  <c r="AC215" i="49"/>
  <c r="AD215" i="49"/>
  <c r="AE215" i="49"/>
  <c r="AF215" i="49"/>
  <c r="AG215" i="49"/>
  <c r="AC216" i="49"/>
  <c r="AD216" i="49"/>
  <c r="AE216" i="49"/>
  <c r="AF216" i="49"/>
  <c r="AG216" i="49"/>
  <c r="AC217" i="49"/>
  <c r="AD217" i="49"/>
  <c r="AE217" i="49"/>
  <c r="AF217" i="49"/>
  <c r="AG217" i="49"/>
  <c r="AC218" i="49"/>
  <c r="AD218" i="49"/>
  <c r="AE218" i="49"/>
  <c r="AF218" i="49"/>
  <c r="AG218" i="49"/>
  <c r="AC219" i="49"/>
  <c r="AD219" i="49"/>
  <c r="AE219" i="49"/>
  <c r="AF219" i="49"/>
  <c r="AG219" i="49"/>
  <c r="AC220" i="49"/>
  <c r="AD220" i="49"/>
  <c r="AE220" i="49"/>
  <c r="AF220" i="49"/>
  <c r="AG220" i="49"/>
  <c r="AC221" i="49"/>
  <c r="AD221" i="49"/>
  <c r="AE221" i="49"/>
  <c r="AF221" i="49"/>
  <c r="AG221" i="49"/>
  <c r="AC222" i="49"/>
  <c r="AD222" i="49"/>
  <c r="AE222" i="49"/>
  <c r="AF222" i="49"/>
  <c r="AG222" i="49"/>
  <c r="AC223" i="49"/>
  <c r="AD223" i="49"/>
  <c r="AE223" i="49"/>
  <c r="AF223" i="49"/>
  <c r="AG223" i="49"/>
  <c r="AC224" i="49"/>
  <c r="AD224" i="49"/>
  <c r="AE224" i="49"/>
  <c r="AF224" i="49"/>
  <c r="AG224" i="49"/>
  <c r="AC225" i="49"/>
  <c r="AD225" i="49"/>
  <c r="AE225" i="49"/>
  <c r="AF225" i="49"/>
  <c r="AG225" i="49"/>
  <c r="AC226" i="49"/>
  <c r="AD226" i="49"/>
  <c r="AE226" i="49"/>
  <c r="AF226" i="49"/>
  <c r="AG226" i="49"/>
  <c r="AC227" i="49"/>
  <c r="AD227" i="49"/>
  <c r="AE227" i="49"/>
  <c r="AF227" i="49"/>
  <c r="AG227" i="49"/>
  <c r="AC228" i="49"/>
  <c r="AD228" i="49"/>
  <c r="AE228" i="49"/>
  <c r="AF228" i="49"/>
  <c r="AG228" i="49"/>
  <c r="AC229" i="49"/>
  <c r="AD229" i="49"/>
  <c r="AE229" i="49"/>
  <c r="AF229" i="49"/>
  <c r="AG229" i="49"/>
  <c r="AC230" i="49"/>
  <c r="AD230" i="49"/>
  <c r="AE230" i="49"/>
  <c r="AF230" i="49"/>
  <c r="AG230" i="49"/>
  <c r="AC231" i="49"/>
  <c r="AD231" i="49"/>
  <c r="AE231" i="49"/>
  <c r="AF231" i="49"/>
  <c r="AG231" i="49"/>
  <c r="AC232" i="49"/>
  <c r="AD232" i="49"/>
  <c r="AE232" i="49"/>
  <c r="AF232" i="49"/>
  <c r="AG232" i="49"/>
  <c r="AC233" i="49"/>
  <c r="AD233" i="49"/>
  <c r="AE233" i="49"/>
  <c r="AF233" i="49"/>
  <c r="AG233" i="49"/>
  <c r="AC234" i="49"/>
  <c r="AD234" i="49"/>
  <c r="AE234" i="49"/>
  <c r="AF234" i="49"/>
  <c r="AG234" i="49"/>
  <c r="AC235" i="49"/>
  <c r="AD235" i="49"/>
  <c r="AE235" i="49"/>
  <c r="AF235" i="49"/>
  <c r="AG235" i="49"/>
  <c r="AC236" i="49"/>
  <c r="AD236" i="49"/>
  <c r="AE236" i="49"/>
  <c r="AF236" i="49"/>
  <c r="AG236" i="49"/>
  <c r="AC237" i="49"/>
  <c r="AD237" i="49"/>
  <c r="AE237" i="49"/>
  <c r="AF237" i="49"/>
  <c r="AG237" i="49"/>
  <c r="AC238" i="49"/>
  <c r="AD238" i="49"/>
  <c r="AE238" i="49"/>
  <c r="AF238" i="49"/>
  <c r="AG238" i="49"/>
  <c r="AC239" i="49"/>
  <c r="AD239" i="49"/>
  <c r="AE239" i="49"/>
  <c r="AF239" i="49"/>
  <c r="AG239" i="49"/>
  <c r="AC240" i="49"/>
  <c r="AD240" i="49"/>
  <c r="AE240" i="49"/>
  <c r="AF240" i="49"/>
  <c r="AG240" i="49"/>
  <c r="AC241" i="49"/>
  <c r="AD241" i="49"/>
  <c r="AE241" i="49"/>
  <c r="AF241" i="49"/>
  <c r="AG241" i="49"/>
  <c r="AC242" i="49"/>
  <c r="AD242" i="49"/>
  <c r="AE242" i="49"/>
  <c r="AF242" i="49"/>
  <c r="AG242" i="49"/>
  <c r="AC243" i="49"/>
  <c r="AD243" i="49"/>
  <c r="AE243" i="49"/>
  <c r="AF243" i="49"/>
  <c r="AG243" i="49"/>
  <c r="AC244" i="49"/>
  <c r="AD244" i="49"/>
  <c r="AE244" i="49"/>
  <c r="AF244" i="49"/>
  <c r="AG244" i="49"/>
  <c r="AC245" i="49"/>
  <c r="AD245" i="49"/>
  <c r="AE245" i="49"/>
  <c r="AF245" i="49"/>
  <c r="AG245" i="49"/>
  <c r="AC246" i="49"/>
  <c r="AD246" i="49"/>
  <c r="AE246" i="49"/>
  <c r="AF246" i="49"/>
  <c r="AG246" i="49"/>
  <c r="AC247" i="49"/>
  <c r="AD247" i="49"/>
  <c r="AE247" i="49"/>
  <c r="AF247" i="49"/>
  <c r="AG247" i="49"/>
  <c r="AC248" i="49"/>
  <c r="AD248" i="49"/>
  <c r="AE248" i="49"/>
  <c r="AF248" i="49"/>
  <c r="AG248" i="49"/>
  <c r="AC249" i="49"/>
  <c r="AD249" i="49"/>
  <c r="AE249" i="49"/>
  <c r="AF249" i="49"/>
  <c r="AG249" i="49"/>
  <c r="AC250" i="49"/>
  <c r="AD250" i="49"/>
  <c r="AE250" i="49"/>
  <c r="AF250" i="49"/>
  <c r="AG250" i="49"/>
  <c r="AC251" i="49"/>
  <c r="AD251" i="49"/>
  <c r="AE251" i="49"/>
  <c r="AF251" i="49"/>
  <c r="AG251" i="49"/>
  <c r="AC252" i="49"/>
  <c r="AD252" i="49"/>
  <c r="AE252" i="49"/>
  <c r="AF252" i="49"/>
  <c r="AG252" i="49"/>
  <c r="AC253" i="49"/>
  <c r="AD253" i="49"/>
  <c r="AE253" i="49"/>
  <c r="AF253" i="49"/>
  <c r="AG253" i="49"/>
  <c r="AC254" i="49"/>
  <c r="AD254" i="49"/>
  <c r="AE254" i="49"/>
  <c r="AF254" i="49"/>
  <c r="AG254" i="49"/>
  <c r="AC255" i="49"/>
  <c r="AD255" i="49"/>
  <c r="AE255" i="49"/>
  <c r="AF255" i="49"/>
  <c r="AG255" i="49"/>
  <c r="AC256" i="49"/>
  <c r="AD256" i="49"/>
  <c r="AE256" i="49"/>
  <c r="AF256" i="49"/>
  <c r="AG256" i="49"/>
  <c r="AC257" i="49"/>
  <c r="AD257" i="49"/>
  <c r="AE257" i="49"/>
  <c r="AF257" i="49"/>
  <c r="AG257" i="49"/>
  <c r="AC258" i="49"/>
  <c r="AD258" i="49"/>
  <c r="AE258" i="49"/>
  <c r="AF258" i="49"/>
  <c r="AG258" i="49"/>
  <c r="AC259" i="49"/>
  <c r="AD259" i="49"/>
  <c r="AE259" i="49"/>
  <c r="AF259" i="49"/>
  <c r="AG259" i="49"/>
  <c r="AC260" i="49"/>
  <c r="AD260" i="49"/>
  <c r="AE260" i="49"/>
  <c r="AF260" i="49"/>
  <c r="AG260" i="49"/>
  <c r="AC261" i="49"/>
  <c r="AD261" i="49"/>
  <c r="AE261" i="49"/>
  <c r="AF261" i="49"/>
  <c r="AG261" i="49"/>
  <c r="AC262" i="49"/>
  <c r="AD262" i="49"/>
  <c r="AE262" i="49"/>
  <c r="AF262" i="49"/>
  <c r="AG262" i="49"/>
  <c r="AC263" i="49"/>
  <c r="AD263" i="49"/>
  <c r="AE263" i="49"/>
  <c r="AF263" i="49"/>
  <c r="AG263" i="49"/>
  <c r="AC264" i="49"/>
  <c r="AD264" i="49"/>
  <c r="AE264" i="49"/>
  <c r="AF264" i="49"/>
  <c r="AG264" i="49"/>
  <c r="AC265" i="49"/>
  <c r="AD265" i="49"/>
  <c r="AE265" i="49"/>
  <c r="AF265" i="49"/>
  <c r="AG265" i="49"/>
  <c r="AC266" i="49"/>
  <c r="AD266" i="49"/>
  <c r="AE266" i="49"/>
  <c r="AF266" i="49"/>
  <c r="AG266" i="49"/>
  <c r="AC267" i="49"/>
  <c r="AD267" i="49"/>
  <c r="AE267" i="49"/>
  <c r="AF267" i="49"/>
  <c r="AG267" i="49"/>
  <c r="AC268" i="49"/>
  <c r="AD268" i="49"/>
  <c r="AE268" i="49"/>
  <c r="AF268" i="49"/>
  <c r="AG268" i="49"/>
  <c r="AC269" i="49"/>
  <c r="AD269" i="49"/>
  <c r="AE269" i="49"/>
  <c r="AF269" i="49"/>
  <c r="AG269" i="49"/>
  <c r="AC270" i="49"/>
  <c r="AD270" i="49"/>
  <c r="AE270" i="49"/>
  <c r="AF270" i="49"/>
  <c r="AG270" i="49"/>
  <c r="AC271" i="49"/>
  <c r="AD271" i="49"/>
  <c r="AE271" i="49"/>
  <c r="AF271" i="49"/>
  <c r="AG271" i="49"/>
  <c r="AC272" i="49"/>
  <c r="AD272" i="49"/>
  <c r="AE272" i="49"/>
  <c r="AF272" i="49"/>
  <c r="AG272" i="49"/>
  <c r="AC273" i="49"/>
  <c r="AD273" i="49"/>
  <c r="AE273" i="49"/>
  <c r="AF273" i="49"/>
  <c r="AG273" i="49"/>
  <c r="AC274" i="49"/>
  <c r="AD274" i="49"/>
  <c r="AE274" i="49"/>
  <c r="AF274" i="49"/>
  <c r="AG274" i="49"/>
  <c r="AC275" i="49"/>
  <c r="AD275" i="49"/>
  <c r="AE275" i="49"/>
  <c r="AF275" i="49"/>
  <c r="AG275" i="49"/>
  <c r="AC276" i="49"/>
  <c r="AD276" i="49"/>
  <c r="AE276" i="49"/>
  <c r="AF276" i="49"/>
  <c r="AG276" i="49"/>
  <c r="AC277" i="49"/>
  <c r="AD277" i="49"/>
  <c r="AE277" i="49"/>
  <c r="AF277" i="49"/>
  <c r="AG277" i="49"/>
  <c r="AC278" i="49"/>
  <c r="AD278" i="49"/>
  <c r="AE278" i="49"/>
  <c r="AF278" i="49"/>
  <c r="AG278" i="49"/>
  <c r="AC279" i="49"/>
  <c r="AD279" i="49"/>
  <c r="AE279" i="49"/>
  <c r="AF279" i="49"/>
  <c r="AG279" i="49"/>
  <c r="AC280" i="49"/>
  <c r="AD280" i="49"/>
  <c r="AE280" i="49"/>
  <c r="AF280" i="49"/>
  <c r="AG280" i="49"/>
  <c r="AC281" i="49"/>
  <c r="AD281" i="49"/>
  <c r="AE281" i="49"/>
  <c r="AF281" i="49"/>
  <c r="AG281" i="49"/>
  <c r="AC282" i="49"/>
  <c r="AD282" i="49"/>
  <c r="AE282" i="49"/>
  <c r="AF282" i="49"/>
  <c r="AG282" i="49"/>
  <c r="AC283" i="49"/>
  <c r="AD283" i="49"/>
  <c r="AE283" i="49"/>
  <c r="AF283" i="49"/>
  <c r="AG283" i="49"/>
  <c r="AC284" i="49"/>
  <c r="AD284" i="49"/>
  <c r="AE284" i="49"/>
  <c r="AF284" i="49"/>
  <c r="AG284" i="49"/>
  <c r="AC285" i="49"/>
  <c r="AD285" i="49"/>
  <c r="AE285" i="49"/>
  <c r="AF285" i="49"/>
  <c r="AG285" i="49"/>
  <c r="AC286" i="49"/>
  <c r="AD286" i="49"/>
  <c r="AE286" i="49"/>
  <c r="AF286" i="49"/>
  <c r="AG286" i="49"/>
  <c r="AC287" i="49"/>
  <c r="AD287" i="49"/>
  <c r="AE287" i="49"/>
  <c r="AF287" i="49"/>
  <c r="AG287" i="49"/>
  <c r="AC288" i="49"/>
  <c r="AD288" i="49"/>
  <c r="AE288" i="49"/>
  <c r="AF288" i="49"/>
  <c r="AG288" i="49"/>
  <c r="AC289" i="49"/>
  <c r="AD289" i="49"/>
  <c r="AE289" i="49"/>
  <c r="AF289" i="49"/>
  <c r="AG289" i="49"/>
  <c r="AC290" i="49"/>
  <c r="AD290" i="49"/>
  <c r="AE290" i="49"/>
  <c r="AF290" i="49"/>
  <c r="AG290" i="49"/>
  <c r="AC291" i="49"/>
  <c r="AD291" i="49"/>
  <c r="AE291" i="49"/>
  <c r="AF291" i="49"/>
  <c r="AG291" i="49"/>
  <c r="AC292" i="49"/>
  <c r="AD292" i="49"/>
  <c r="AE292" i="49"/>
  <c r="AF292" i="49"/>
  <c r="AG292" i="49"/>
  <c r="AC293" i="49"/>
  <c r="AD293" i="49"/>
  <c r="AE293" i="49"/>
  <c r="AF293" i="49"/>
  <c r="AG293" i="49"/>
  <c r="AC294" i="49"/>
  <c r="AD294" i="49"/>
  <c r="AE294" i="49"/>
  <c r="AF294" i="49"/>
  <c r="AG294" i="49"/>
  <c r="AC295" i="49"/>
  <c r="AD295" i="49"/>
  <c r="AE295" i="49"/>
  <c r="AF295" i="49"/>
  <c r="AG295" i="49"/>
  <c r="AC296" i="49"/>
  <c r="AD296" i="49"/>
  <c r="AE296" i="49"/>
  <c r="AF296" i="49"/>
  <c r="AG296" i="49"/>
  <c r="AC297" i="49"/>
  <c r="AD297" i="49"/>
  <c r="AE297" i="49"/>
  <c r="AF297" i="49"/>
  <c r="AG297" i="49"/>
  <c r="AC298" i="49"/>
  <c r="AD298" i="49"/>
  <c r="AE298" i="49"/>
  <c r="AF298" i="49"/>
  <c r="AG298" i="49"/>
  <c r="AC299" i="49"/>
  <c r="AD299" i="49"/>
  <c r="AE299" i="49"/>
  <c r="AF299" i="49"/>
  <c r="AG299" i="49"/>
  <c r="AC300" i="49"/>
  <c r="AD300" i="49"/>
  <c r="AE300" i="49"/>
  <c r="AF300" i="49"/>
  <c r="AG300" i="49"/>
  <c r="AC301" i="49"/>
  <c r="AD301" i="49"/>
  <c r="AE301" i="49"/>
  <c r="AF301" i="49"/>
  <c r="AG301" i="49"/>
  <c r="AC302" i="49"/>
  <c r="AD302" i="49"/>
  <c r="AE302" i="49"/>
  <c r="AF302" i="49"/>
  <c r="AG302" i="49"/>
  <c r="AC303" i="49"/>
  <c r="AD303" i="49"/>
  <c r="AE303" i="49"/>
  <c r="AF303" i="49"/>
  <c r="AG303" i="49"/>
  <c r="AC304" i="49"/>
  <c r="AD304" i="49"/>
  <c r="AE304" i="49"/>
  <c r="AF304" i="49"/>
  <c r="AG304" i="49"/>
  <c r="AC305" i="49"/>
  <c r="AD305" i="49"/>
  <c r="AE305" i="49"/>
  <c r="AF305" i="49"/>
  <c r="AG305" i="49"/>
  <c r="AC306" i="49"/>
  <c r="AD306" i="49"/>
  <c r="AE306" i="49"/>
  <c r="AF306" i="49"/>
  <c r="AG306" i="49"/>
  <c r="AC307" i="49"/>
  <c r="AD307" i="49"/>
  <c r="AE307" i="49"/>
  <c r="AF307" i="49"/>
  <c r="AG307" i="49"/>
  <c r="AC15" i="49"/>
  <c r="AD15" i="49"/>
  <c r="AE15" i="49"/>
  <c r="AF15" i="49"/>
  <c r="AG15" i="49"/>
  <c r="AN15" i="45" l="1"/>
  <c r="A299" i="3" l="1"/>
  <c r="O16" i="60" l="1"/>
  <c r="C38" i="60"/>
  <c r="O17" i="60"/>
  <c r="O24" i="60"/>
  <c r="O8" i="60"/>
  <c r="O9" i="60"/>
  <c r="O28" i="60"/>
  <c r="O10" i="60"/>
  <c r="O32" i="60"/>
  <c r="O11" i="60"/>
  <c r="O33" i="60"/>
  <c r="O12" i="60"/>
  <c r="O14" i="60"/>
  <c r="X9" i="60"/>
  <c r="X24" i="60"/>
  <c r="X11" i="60"/>
  <c r="X10" i="60"/>
  <c r="X17" i="60"/>
  <c r="X12" i="60"/>
  <c r="W17" i="60"/>
  <c r="W12" i="60"/>
  <c r="W9" i="60"/>
  <c r="W11" i="60"/>
  <c r="W24" i="60"/>
  <c r="W10" i="60"/>
  <c r="AK15" i="43"/>
  <c r="O34" i="60" l="1"/>
  <c r="O23" i="60"/>
  <c r="X23" i="60"/>
  <c r="W23" i="60"/>
  <c r="R15" i="71"/>
  <c r="C16" i="71" l="1"/>
  <c r="D16" i="71"/>
  <c r="E16" i="71"/>
  <c r="F16" i="71"/>
  <c r="G16" i="71"/>
  <c r="H16" i="71"/>
  <c r="I16" i="71"/>
  <c r="C17" i="71"/>
  <c r="D17" i="71"/>
  <c r="E17" i="71"/>
  <c r="F17" i="71"/>
  <c r="G17" i="71"/>
  <c r="H17" i="71"/>
  <c r="I17" i="71"/>
  <c r="C18" i="71"/>
  <c r="D18" i="71"/>
  <c r="E18" i="71"/>
  <c r="F18" i="71"/>
  <c r="G18" i="71"/>
  <c r="H18" i="71"/>
  <c r="I18" i="71"/>
  <c r="C19" i="71"/>
  <c r="D19" i="71"/>
  <c r="E19" i="71"/>
  <c r="F19" i="71"/>
  <c r="G19" i="71"/>
  <c r="H19" i="71"/>
  <c r="I19" i="71"/>
  <c r="C20" i="71"/>
  <c r="D20" i="71"/>
  <c r="E20" i="71"/>
  <c r="F20" i="71"/>
  <c r="G20" i="71"/>
  <c r="H20" i="71"/>
  <c r="I20" i="71"/>
  <c r="C21" i="71"/>
  <c r="D21" i="71"/>
  <c r="E21" i="71"/>
  <c r="F21" i="71"/>
  <c r="G21" i="71"/>
  <c r="H21" i="71"/>
  <c r="I21" i="71"/>
  <c r="C22" i="71"/>
  <c r="D22" i="71"/>
  <c r="E22" i="71"/>
  <c r="F22" i="71"/>
  <c r="G22" i="71"/>
  <c r="H22" i="71"/>
  <c r="I22" i="71"/>
  <c r="C23" i="71"/>
  <c r="D23" i="71"/>
  <c r="E23" i="71"/>
  <c r="F23" i="71"/>
  <c r="G23" i="71"/>
  <c r="H23" i="71"/>
  <c r="I23" i="71"/>
  <c r="C24" i="71"/>
  <c r="D24" i="71"/>
  <c r="E24" i="71"/>
  <c r="F24" i="71"/>
  <c r="G24" i="71"/>
  <c r="H24" i="71"/>
  <c r="I24" i="71"/>
  <c r="C25" i="71"/>
  <c r="D25" i="71"/>
  <c r="E25" i="71"/>
  <c r="F25" i="71"/>
  <c r="G25" i="71"/>
  <c r="H25" i="71"/>
  <c r="I25" i="71"/>
  <c r="C26" i="71"/>
  <c r="D26" i="71"/>
  <c r="E26" i="71"/>
  <c r="F26" i="71"/>
  <c r="G26" i="71"/>
  <c r="H26" i="71"/>
  <c r="I26" i="71"/>
  <c r="C27" i="71"/>
  <c r="D27" i="71"/>
  <c r="E27" i="71"/>
  <c r="F27" i="71"/>
  <c r="G27" i="71"/>
  <c r="H27" i="71"/>
  <c r="I27" i="71"/>
  <c r="C28" i="71"/>
  <c r="D28" i="71"/>
  <c r="E28" i="71"/>
  <c r="F28" i="71"/>
  <c r="G28" i="71"/>
  <c r="H28" i="71"/>
  <c r="I28" i="71"/>
  <c r="C29" i="71"/>
  <c r="D29" i="71"/>
  <c r="E29" i="71"/>
  <c r="F29" i="71"/>
  <c r="G29" i="71"/>
  <c r="H29" i="71"/>
  <c r="I29" i="71"/>
  <c r="C30" i="71"/>
  <c r="D30" i="71"/>
  <c r="E30" i="71"/>
  <c r="F30" i="71"/>
  <c r="G30" i="71"/>
  <c r="H30" i="71"/>
  <c r="I30" i="71"/>
  <c r="C31" i="71"/>
  <c r="D31" i="71"/>
  <c r="E31" i="71"/>
  <c r="F31" i="71"/>
  <c r="G31" i="71"/>
  <c r="H31" i="71"/>
  <c r="I31" i="71"/>
  <c r="C32" i="71"/>
  <c r="D32" i="71"/>
  <c r="E32" i="71"/>
  <c r="F32" i="71"/>
  <c r="G32" i="71"/>
  <c r="H32" i="71"/>
  <c r="I32" i="71"/>
  <c r="C33" i="71"/>
  <c r="D33" i="71"/>
  <c r="E33" i="71"/>
  <c r="F33" i="71"/>
  <c r="G33" i="71"/>
  <c r="H33" i="71"/>
  <c r="I33" i="71"/>
  <c r="C34" i="71"/>
  <c r="D34" i="71"/>
  <c r="E34" i="71"/>
  <c r="F34" i="71"/>
  <c r="G34" i="71"/>
  <c r="H34" i="71"/>
  <c r="I34" i="71"/>
  <c r="C35" i="71"/>
  <c r="D35" i="71"/>
  <c r="E35" i="71"/>
  <c r="F35" i="71"/>
  <c r="G35" i="71"/>
  <c r="H35" i="71"/>
  <c r="I35" i="71"/>
  <c r="C36" i="71"/>
  <c r="D36" i="71"/>
  <c r="E36" i="71"/>
  <c r="F36" i="71"/>
  <c r="G36" i="71"/>
  <c r="H36" i="71"/>
  <c r="I36" i="71"/>
  <c r="C37" i="71"/>
  <c r="D37" i="71"/>
  <c r="E37" i="71"/>
  <c r="F37" i="71"/>
  <c r="G37" i="71"/>
  <c r="H37" i="71"/>
  <c r="I37" i="71"/>
  <c r="C38" i="71"/>
  <c r="D38" i="71"/>
  <c r="E38" i="71"/>
  <c r="F38" i="71"/>
  <c r="G38" i="71"/>
  <c r="H38" i="71"/>
  <c r="I38" i="71"/>
  <c r="C39" i="71"/>
  <c r="D39" i="71"/>
  <c r="E39" i="71"/>
  <c r="F39" i="71"/>
  <c r="G39" i="71"/>
  <c r="H39" i="71"/>
  <c r="I39" i="71"/>
  <c r="C40" i="71"/>
  <c r="D40" i="71"/>
  <c r="E40" i="71"/>
  <c r="F40" i="71"/>
  <c r="G40" i="71"/>
  <c r="H40" i="71"/>
  <c r="I40" i="71"/>
  <c r="C41" i="71"/>
  <c r="D41" i="71"/>
  <c r="E41" i="71"/>
  <c r="F41" i="71"/>
  <c r="G41" i="71"/>
  <c r="H41" i="71"/>
  <c r="I41" i="71"/>
  <c r="C42" i="71"/>
  <c r="D42" i="71"/>
  <c r="E42" i="71"/>
  <c r="F42" i="71"/>
  <c r="G42" i="71"/>
  <c r="H42" i="71"/>
  <c r="I42" i="71"/>
  <c r="C43" i="71"/>
  <c r="D43" i="71"/>
  <c r="E43" i="71"/>
  <c r="F43" i="71"/>
  <c r="G43" i="71"/>
  <c r="H43" i="71"/>
  <c r="I43" i="71"/>
  <c r="C44" i="71"/>
  <c r="D44" i="71"/>
  <c r="E44" i="71"/>
  <c r="F44" i="71"/>
  <c r="G44" i="71"/>
  <c r="H44" i="71"/>
  <c r="I44" i="71"/>
  <c r="C45" i="71"/>
  <c r="D45" i="71"/>
  <c r="E45" i="71"/>
  <c r="F45" i="71"/>
  <c r="G45" i="71"/>
  <c r="H45" i="71"/>
  <c r="I45" i="71"/>
  <c r="C46" i="71"/>
  <c r="D46" i="71"/>
  <c r="E46" i="71"/>
  <c r="F46" i="71"/>
  <c r="G46" i="71"/>
  <c r="H46" i="71"/>
  <c r="I46" i="71"/>
  <c r="C47" i="71"/>
  <c r="D47" i="71"/>
  <c r="E47" i="71"/>
  <c r="F47" i="71"/>
  <c r="G47" i="71"/>
  <c r="H47" i="71"/>
  <c r="I47" i="71"/>
  <c r="C48" i="71"/>
  <c r="D48" i="71"/>
  <c r="E48" i="71"/>
  <c r="F48" i="71"/>
  <c r="G48" i="71"/>
  <c r="H48" i="71"/>
  <c r="I48" i="71"/>
  <c r="C49" i="71"/>
  <c r="D49" i="71"/>
  <c r="E49" i="71"/>
  <c r="F49" i="71"/>
  <c r="G49" i="71"/>
  <c r="H49" i="71"/>
  <c r="I49" i="71"/>
  <c r="C50" i="71"/>
  <c r="D50" i="71"/>
  <c r="E50" i="71"/>
  <c r="F50" i="71"/>
  <c r="G50" i="71"/>
  <c r="H50" i="71"/>
  <c r="I50" i="71"/>
  <c r="C51" i="71"/>
  <c r="D51" i="71"/>
  <c r="E51" i="71"/>
  <c r="F51" i="71"/>
  <c r="G51" i="71"/>
  <c r="H51" i="71"/>
  <c r="I51" i="71"/>
  <c r="C52" i="71"/>
  <c r="D52" i="71"/>
  <c r="E52" i="71"/>
  <c r="F52" i="71"/>
  <c r="G52" i="71"/>
  <c r="H52" i="71"/>
  <c r="I52" i="71"/>
  <c r="C53" i="71"/>
  <c r="D53" i="71"/>
  <c r="E53" i="71"/>
  <c r="F53" i="71"/>
  <c r="G53" i="71"/>
  <c r="H53" i="71"/>
  <c r="I53" i="71"/>
  <c r="C54" i="71"/>
  <c r="D54" i="71"/>
  <c r="E54" i="71"/>
  <c r="F54" i="71"/>
  <c r="G54" i="71"/>
  <c r="H54" i="71"/>
  <c r="I54" i="71"/>
  <c r="C55" i="71"/>
  <c r="D55" i="71"/>
  <c r="E55" i="71"/>
  <c r="F55" i="71"/>
  <c r="G55" i="71"/>
  <c r="H55" i="71"/>
  <c r="I55" i="71"/>
  <c r="C56" i="71"/>
  <c r="D56" i="71"/>
  <c r="E56" i="71"/>
  <c r="F56" i="71"/>
  <c r="G56" i="71"/>
  <c r="H56" i="71"/>
  <c r="I56" i="71"/>
  <c r="C57" i="71"/>
  <c r="D57" i="71"/>
  <c r="E57" i="71"/>
  <c r="F57" i="71"/>
  <c r="G57" i="71"/>
  <c r="H57" i="71"/>
  <c r="I57" i="71"/>
  <c r="C58" i="71"/>
  <c r="D58" i="71"/>
  <c r="E58" i="71"/>
  <c r="F58" i="71"/>
  <c r="G58" i="71"/>
  <c r="H58" i="71"/>
  <c r="I58" i="71"/>
  <c r="C59" i="71"/>
  <c r="D59" i="71"/>
  <c r="E59" i="71"/>
  <c r="F59" i="71"/>
  <c r="G59" i="71"/>
  <c r="H59" i="71"/>
  <c r="I59" i="71"/>
  <c r="C60" i="71"/>
  <c r="D60" i="71"/>
  <c r="E60" i="71"/>
  <c r="F60" i="71"/>
  <c r="G60" i="71"/>
  <c r="H60" i="71"/>
  <c r="I60" i="71"/>
  <c r="C61" i="71"/>
  <c r="D61" i="71"/>
  <c r="E61" i="71"/>
  <c r="F61" i="71"/>
  <c r="G61" i="71"/>
  <c r="H61" i="71"/>
  <c r="I61" i="71"/>
  <c r="C62" i="71"/>
  <c r="D62" i="71"/>
  <c r="E62" i="71"/>
  <c r="F62" i="71"/>
  <c r="G62" i="71"/>
  <c r="H62" i="71"/>
  <c r="I62" i="71"/>
  <c r="C63" i="71"/>
  <c r="D63" i="71"/>
  <c r="E63" i="71"/>
  <c r="F63" i="71"/>
  <c r="G63" i="71"/>
  <c r="H63" i="71"/>
  <c r="I63" i="71"/>
  <c r="C64" i="71"/>
  <c r="D64" i="71"/>
  <c r="E64" i="71"/>
  <c r="F64" i="71"/>
  <c r="G64" i="71"/>
  <c r="H64" i="71"/>
  <c r="I64" i="71"/>
  <c r="C65" i="71"/>
  <c r="D65" i="71"/>
  <c r="E65" i="71"/>
  <c r="F65" i="71"/>
  <c r="G65" i="71"/>
  <c r="H65" i="71"/>
  <c r="I65" i="71"/>
  <c r="C66" i="71"/>
  <c r="D66" i="71"/>
  <c r="E66" i="71"/>
  <c r="F66" i="71"/>
  <c r="G66" i="71"/>
  <c r="H66" i="71"/>
  <c r="I66" i="71"/>
  <c r="C67" i="71"/>
  <c r="D67" i="71"/>
  <c r="E67" i="71"/>
  <c r="F67" i="71"/>
  <c r="G67" i="71"/>
  <c r="H67" i="71"/>
  <c r="I67" i="71"/>
  <c r="C68" i="71"/>
  <c r="D68" i="71"/>
  <c r="E68" i="71"/>
  <c r="F68" i="71"/>
  <c r="G68" i="71"/>
  <c r="H68" i="71"/>
  <c r="I68" i="71"/>
  <c r="C69" i="71"/>
  <c r="D69" i="71"/>
  <c r="E69" i="71"/>
  <c r="F69" i="71"/>
  <c r="G69" i="71"/>
  <c r="H69" i="71"/>
  <c r="I69" i="71"/>
  <c r="C70" i="71"/>
  <c r="D70" i="71"/>
  <c r="E70" i="71"/>
  <c r="F70" i="71"/>
  <c r="G70" i="71"/>
  <c r="H70" i="71"/>
  <c r="I70" i="71"/>
  <c r="C71" i="71"/>
  <c r="D71" i="71"/>
  <c r="E71" i="71"/>
  <c r="F71" i="71"/>
  <c r="G71" i="71"/>
  <c r="H71" i="71"/>
  <c r="I71" i="71"/>
  <c r="C72" i="71"/>
  <c r="D72" i="71"/>
  <c r="E72" i="71"/>
  <c r="F72" i="71"/>
  <c r="G72" i="71"/>
  <c r="H72" i="71"/>
  <c r="I72" i="71"/>
  <c r="C73" i="71"/>
  <c r="D73" i="71"/>
  <c r="E73" i="71"/>
  <c r="F73" i="71"/>
  <c r="G73" i="71"/>
  <c r="H73" i="71"/>
  <c r="I73" i="71"/>
  <c r="C74" i="71"/>
  <c r="D74" i="71"/>
  <c r="E74" i="71"/>
  <c r="F74" i="71"/>
  <c r="G74" i="71"/>
  <c r="H74" i="71"/>
  <c r="I74" i="71"/>
  <c r="C75" i="71"/>
  <c r="D75" i="71"/>
  <c r="E75" i="71"/>
  <c r="F75" i="71"/>
  <c r="G75" i="71"/>
  <c r="H75" i="71"/>
  <c r="I75" i="71"/>
  <c r="C76" i="71"/>
  <c r="D76" i="71"/>
  <c r="E76" i="71"/>
  <c r="F76" i="71"/>
  <c r="G76" i="71"/>
  <c r="H76" i="71"/>
  <c r="I76" i="71"/>
  <c r="C77" i="71"/>
  <c r="D77" i="71"/>
  <c r="E77" i="71"/>
  <c r="F77" i="71"/>
  <c r="G77" i="71"/>
  <c r="H77" i="71"/>
  <c r="I77" i="71"/>
  <c r="C78" i="71"/>
  <c r="D78" i="71"/>
  <c r="E78" i="71"/>
  <c r="F78" i="71"/>
  <c r="G78" i="71"/>
  <c r="H78" i="71"/>
  <c r="I78" i="71"/>
  <c r="C79" i="71"/>
  <c r="D79" i="71"/>
  <c r="E79" i="71"/>
  <c r="F79" i="71"/>
  <c r="G79" i="71"/>
  <c r="H79" i="71"/>
  <c r="I79" i="71"/>
  <c r="C80" i="71"/>
  <c r="D80" i="71"/>
  <c r="E80" i="71"/>
  <c r="F80" i="71"/>
  <c r="G80" i="71"/>
  <c r="H80" i="71"/>
  <c r="I80" i="71"/>
  <c r="C81" i="71"/>
  <c r="D81" i="71"/>
  <c r="E81" i="71"/>
  <c r="F81" i="71"/>
  <c r="G81" i="71"/>
  <c r="H81" i="71"/>
  <c r="I81" i="71"/>
  <c r="C82" i="71"/>
  <c r="D82" i="71"/>
  <c r="E82" i="71"/>
  <c r="F82" i="71"/>
  <c r="G82" i="71"/>
  <c r="H82" i="71"/>
  <c r="I82" i="71"/>
  <c r="C83" i="71"/>
  <c r="D83" i="71"/>
  <c r="E83" i="71"/>
  <c r="F83" i="71"/>
  <c r="G83" i="71"/>
  <c r="H83" i="71"/>
  <c r="I83" i="71"/>
  <c r="C84" i="71"/>
  <c r="D84" i="71"/>
  <c r="E84" i="71"/>
  <c r="F84" i="71"/>
  <c r="G84" i="71"/>
  <c r="H84" i="71"/>
  <c r="I84" i="71"/>
  <c r="C85" i="71"/>
  <c r="D85" i="71"/>
  <c r="E85" i="71"/>
  <c r="F85" i="71"/>
  <c r="G85" i="71"/>
  <c r="H85" i="71"/>
  <c r="I85" i="71"/>
  <c r="C86" i="71"/>
  <c r="D86" i="71"/>
  <c r="E86" i="71"/>
  <c r="F86" i="71"/>
  <c r="G86" i="71"/>
  <c r="H86" i="71"/>
  <c r="I86" i="71"/>
  <c r="C87" i="71"/>
  <c r="D87" i="71"/>
  <c r="E87" i="71"/>
  <c r="F87" i="71"/>
  <c r="G87" i="71"/>
  <c r="H87" i="71"/>
  <c r="I87" i="71"/>
  <c r="C88" i="71"/>
  <c r="D88" i="71"/>
  <c r="E88" i="71"/>
  <c r="F88" i="71"/>
  <c r="G88" i="71"/>
  <c r="H88" i="71"/>
  <c r="I88" i="71"/>
  <c r="C89" i="71"/>
  <c r="D89" i="71"/>
  <c r="E89" i="71"/>
  <c r="F89" i="71"/>
  <c r="G89" i="71"/>
  <c r="H89" i="71"/>
  <c r="I89" i="71"/>
  <c r="C90" i="71"/>
  <c r="D90" i="71"/>
  <c r="E90" i="71"/>
  <c r="F90" i="71"/>
  <c r="G90" i="71"/>
  <c r="H90" i="71"/>
  <c r="I90" i="71"/>
  <c r="C91" i="71"/>
  <c r="D91" i="71"/>
  <c r="E91" i="71"/>
  <c r="F91" i="71"/>
  <c r="G91" i="71"/>
  <c r="H91" i="71"/>
  <c r="I91" i="71"/>
  <c r="C92" i="71"/>
  <c r="D92" i="71"/>
  <c r="E92" i="71"/>
  <c r="F92" i="71"/>
  <c r="G92" i="71"/>
  <c r="H92" i="71"/>
  <c r="I92" i="71"/>
  <c r="C93" i="71"/>
  <c r="D93" i="71"/>
  <c r="E93" i="71"/>
  <c r="F93" i="71"/>
  <c r="G93" i="71"/>
  <c r="H93" i="71"/>
  <c r="I93" i="71"/>
  <c r="C94" i="71"/>
  <c r="D94" i="71"/>
  <c r="E94" i="71"/>
  <c r="F94" i="71"/>
  <c r="G94" i="71"/>
  <c r="H94" i="71"/>
  <c r="I94" i="71"/>
  <c r="C95" i="71"/>
  <c r="D95" i="71"/>
  <c r="E95" i="71"/>
  <c r="F95" i="71"/>
  <c r="G95" i="71"/>
  <c r="H95" i="71"/>
  <c r="I95" i="71"/>
  <c r="C96" i="71"/>
  <c r="D96" i="71"/>
  <c r="E96" i="71"/>
  <c r="F96" i="71"/>
  <c r="G96" i="71"/>
  <c r="H96" i="71"/>
  <c r="I96" i="71"/>
  <c r="C97" i="71"/>
  <c r="D97" i="71"/>
  <c r="E97" i="71"/>
  <c r="F97" i="71"/>
  <c r="G97" i="71"/>
  <c r="H97" i="71"/>
  <c r="I97" i="71"/>
  <c r="C98" i="71"/>
  <c r="D98" i="71"/>
  <c r="E98" i="71"/>
  <c r="F98" i="71"/>
  <c r="G98" i="71"/>
  <c r="H98" i="71"/>
  <c r="I98" i="71"/>
  <c r="C99" i="71"/>
  <c r="D99" i="71"/>
  <c r="E99" i="71"/>
  <c r="F99" i="71"/>
  <c r="G99" i="71"/>
  <c r="H99" i="71"/>
  <c r="I99" i="71"/>
  <c r="C100" i="71"/>
  <c r="D100" i="71"/>
  <c r="E100" i="71"/>
  <c r="F100" i="71"/>
  <c r="G100" i="71"/>
  <c r="H100" i="71"/>
  <c r="I100" i="71"/>
  <c r="C101" i="71"/>
  <c r="D101" i="71"/>
  <c r="E101" i="71"/>
  <c r="F101" i="71"/>
  <c r="G101" i="71"/>
  <c r="H101" i="71"/>
  <c r="I101" i="71"/>
  <c r="C102" i="71"/>
  <c r="D102" i="71"/>
  <c r="E102" i="71"/>
  <c r="F102" i="71"/>
  <c r="G102" i="71"/>
  <c r="H102" i="71"/>
  <c r="I102" i="71"/>
  <c r="C103" i="71"/>
  <c r="D103" i="71"/>
  <c r="E103" i="71"/>
  <c r="F103" i="71"/>
  <c r="G103" i="71"/>
  <c r="H103" i="71"/>
  <c r="I103" i="71"/>
  <c r="C104" i="71"/>
  <c r="D104" i="71"/>
  <c r="E104" i="71"/>
  <c r="F104" i="71"/>
  <c r="G104" i="71"/>
  <c r="H104" i="71"/>
  <c r="I104" i="71"/>
  <c r="C105" i="71"/>
  <c r="D105" i="71"/>
  <c r="E105" i="71"/>
  <c r="F105" i="71"/>
  <c r="G105" i="71"/>
  <c r="H105" i="71"/>
  <c r="I105" i="71"/>
  <c r="C106" i="71"/>
  <c r="D106" i="71"/>
  <c r="E106" i="71"/>
  <c r="F106" i="71"/>
  <c r="G106" i="71"/>
  <c r="H106" i="71"/>
  <c r="I106" i="71"/>
  <c r="C107" i="71"/>
  <c r="D107" i="71"/>
  <c r="E107" i="71"/>
  <c r="F107" i="71"/>
  <c r="G107" i="71"/>
  <c r="H107" i="71"/>
  <c r="I107" i="71"/>
  <c r="C108" i="71"/>
  <c r="D108" i="71"/>
  <c r="E108" i="71"/>
  <c r="F108" i="71"/>
  <c r="G108" i="71"/>
  <c r="H108" i="71"/>
  <c r="I108" i="71"/>
  <c r="C109" i="71"/>
  <c r="D109" i="71"/>
  <c r="E109" i="71"/>
  <c r="F109" i="71"/>
  <c r="G109" i="71"/>
  <c r="H109" i="71"/>
  <c r="I109" i="71"/>
  <c r="C110" i="71"/>
  <c r="D110" i="71"/>
  <c r="E110" i="71"/>
  <c r="F110" i="71"/>
  <c r="G110" i="71"/>
  <c r="H110" i="71"/>
  <c r="I110" i="71"/>
  <c r="C111" i="71"/>
  <c r="D111" i="71"/>
  <c r="E111" i="71"/>
  <c r="F111" i="71"/>
  <c r="G111" i="71"/>
  <c r="H111" i="71"/>
  <c r="I111" i="71"/>
  <c r="C112" i="71"/>
  <c r="D112" i="71"/>
  <c r="E112" i="71"/>
  <c r="F112" i="71"/>
  <c r="G112" i="71"/>
  <c r="H112" i="71"/>
  <c r="I112" i="71"/>
  <c r="C113" i="71"/>
  <c r="D113" i="71"/>
  <c r="E113" i="71"/>
  <c r="F113" i="71"/>
  <c r="G113" i="71"/>
  <c r="H113" i="71"/>
  <c r="I113" i="71"/>
  <c r="C114" i="71"/>
  <c r="D114" i="71"/>
  <c r="E114" i="71"/>
  <c r="F114" i="71"/>
  <c r="G114" i="71"/>
  <c r="H114" i="71"/>
  <c r="I114" i="71"/>
  <c r="C115" i="71"/>
  <c r="D115" i="71"/>
  <c r="E115" i="71"/>
  <c r="F115" i="71"/>
  <c r="G115" i="71"/>
  <c r="H115" i="71"/>
  <c r="I115" i="71"/>
  <c r="C116" i="71"/>
  <c r="D116" i="71"/>
  <c r="E116" i="71"/>
  <c r="F116" i="71"/>
  <c r="G116" i="71"/>
  <c r="H116" i="71"/>
  <c r="I116" i="71"/>
  <c r="C117" i="71"/>
  <c r="D117" i="71"/>
  <c r="E117" i="71"/>
  <c r="F117" i="71"/>
  <c r="G117" i="71"/>
  <c r="H117" i="71"/>
  <c r="I117" i="71"/>
  <c r="C118" i="71"/>
  <c r="D118" i="71"/>
  <c r="E118" i="71"/>
  <c r="F118" i="71"/>
  <c r="G118" i="71"/>
  <c r="H118" i="71"/>
  <c r="I118" i="71"/>
  <c r="C119" i="71"/>
  <c r="D119" i="71"/>
  <c r="E119" i="71"/>
  <c r="F119" i="71"/>
  <c r="G119" i="71"/>
  <c r="H119" i="71"/>
  <c r="I119" i="71"/>
  <c r="C120" i="71"/>
  <c r="D120" i="71"/>
  <c r="E120" i="71"/>
  <c r="F120" i="71"/>
  <c r="G120" i="71"/>
  <c r="H120" i="71"/>
  <c r="I120" i="71"/>
  <c r="C121" i="71"/>
  <c r="D121" i="71"/>
  <c r="E121" i="71"/>
  <c r="F121" i="71"/>
  <c r="G121" i="71"/>
  <c r="H121" i="71"/>
  <c r="I121" i="71"/>
  <c r="C122" i="71"/>
  <c r="D122" i="71"/>
  <c r="E122" i="71"/>
  <c r="F122" i="71"/>
  <c r="G122" i="71"/>
  <c r="H122" i="71"/>
  <c r="I122" i="71"/>
  <c r="C123" i="71"/>
  <c r="D123" i="71"/>
  <c r="E123" i="71"/>
  <c r="F123" i="71"/>
  <c r="G123" i="71"/>
  <c r="H123" i="71"/>
  <c r="I123" i="71"/>
  <c r="C124" i="71"/>
  <c r="D124" i="71"/>
  <c r="E124" i="71"/>
  <c r="F124" i="71"/>
  <c r="G124" i="71"/>
  <c r="H124" i="71"/>
  <c r="I124" i="71"/>
  <c r="C125" i="71"/>
  <c r="D125" i="71"/>
  <c r="E125" i="71"/>
  <c r="F125" i="71"/>
  <c r="G125" i="71"/>
  <c r="H125" i="71"/>
  <c r="I125" i="71"/>
  <c r="C126" i="71"/>
  <c r="D126" i="71"/>
  <c r="E126" i="71"/>
  <c r="F126" i="71"/>
  <c r="G126" i="71"/>
  <c r="H126" i="71"/>
  <c r="I126" i="71"/>
  <c r="C127" i="71"/>
  <c r="D127" i="71"/>
  <c r="E127" i="71"/>
  <c r="F127" i="71"/>
  <c r="G127" i="71"/>
  <c r="H127" i="71"/>
  <c r="I127" i="71"/>
  <c r="C128" i="71"/>
  <c r="D128" i="71"/>
  <c r="E128" i="71"/>
  <c r="F128" i="71"/>
  <c r="G128" i="71"/>
  <c r="H128" i="71"/>
  <c r="I128" i="71"/>
  <c r="C129" i="71"/>
  <c r="D129" i="71"/>
  <c r="E129" i="71"/>
  <c r="F129" i="71"/>
  <c r="G129" i="71"/>
  <c r="H129" i="71"/>
  <c r="I129" i="71"/>
  <c r="C130" i="71"/>
  <c r="D130" i="71"/>
  <c r="E130" i="71"/>
  <c r="F130" i="71"/>
  <c r="G130" i="71"/>
  <c r="H130" i="71"/>
  <c r="I130" i="71"/>
  <c r="C131" i="71"/>
  <c r="D131" i="71"/>
  <c r="E131" i="71"/>
  <c r="F131" i="71"/>
  <c r="G131" i="71"/>
  <c r="H131" i="71"/>
  <c r="I131" i="71"/>
  <c r="C132" i="71"/>
  <c r="D132" i="71"/>
  <c r="E132" i="71"/>
  <c r="F132" i="71"/>
  <c r="G132" i="71"/>
  <c r="H132" i="71"/>
  <c r="I132" i="71"/>
  <c r="C133" i="71"/>
  <c r="D133" i="71"/>
  <c r="E133" i="71"/>
  <c r="F133" i="71"/>
  <c r="G133" i="71"/>
  <c r="H133" i="71"/>
  <c r="I133" i="71"/>
  <c r="C134" i="71"/>
  <c r="D134" i="71"/>
  <c r="E134" i="71"/>
  <c r="F134" i="71"/>
  <c r="G134" i="71"/>
  <c r="H134" i="71"/>
  <c r="I134" i="71"/>
  <c r="C135" i="71"/>
  <c r="D135" i="71"/>
  <c r="E135" i="71"/>
  <c r="F135" i="71"/>
  <c r="G135" i="71"/>
  <c r="H135" i="71"/>
  <c r="I135" i="71"/>
  <c r="C136" i="71"/>
  <c r="D136" i="71"/>
  <c r="E136" i="71"/>
  <c r="F136" i="71"/>
  <c r="G136" i="71"/>
  <c r="H136" i="71"/>
  <c r="I136" i="71"/>
  <c r="C137" i="71"/>
  <c r="D137" i="71"/>
  <c r="E137" i="71"/>
  <c r="F137" i="71"/>
  <c r="G137" i="71"/>
  <c r="H137" i="71"/>
  <c r="I137" i="71"/>
  <c r="C138" i="71"/>
  <c r="D138" i="71"/>
  <c r="E138" i="71"/>
  <c r="F138" i="71"/>
  <c r="G138" i="71"/>
  <c r="H138" i="71"/>
  <c r="I138" i="71"/>
  <c r="C139" i="71"/>
  <c r="D139" i="71"/>
  <c r="E139" i="71"/>
  <c r="F139" i="71"/>
  <c r="G139" i="71"/>
  <c r="H139" i="71"/>
  <c r="I139" i="71"/>
  <c r="C140" i="71"/>
  <c r="D140" i="71"/>
  <c r="E140" i="71"/>
  <c r="F140" i="71"/>
  <c r="G140" i="71"/>
  <c r="H140" i="71"/>
  <c r="I140" i="71"/>
  <c r="C141" i="71"/>
  <c r="D141" i="71"/>
  <c r="E141" i="71"/>
  <c r="F141" i="71"/>
  <c r="G141" i="71"/>
  <c r="H141" i="71"/>
  <c r="I141" i="71"/>
  <c r="C142" i="71"/>
  <c r="D142" i="71"/>
  <c r="E142" i="71"/>
  <c r="F142" i="71"/>
  <c r="G142" i="71"/>
  <c r="H142" i="71"/>
  <c r="I142" i="71"/>
  <c r="C143" i="71"/>
  <c r="D143" i="71"/>
  <c r="E143" i="71"/>
  <c r="F143" i="71"/>
  <c r="G143" i="71"/>
  <c r="H143" i="71"/>
  <c r="I143" i="71"/>
  <c r="C144" i="71"/>
  <c r="D144" i="71"/>
  <c r="E144" i="71"/>
  <c r="F144" i="71"/>
  <c r="G144" i="71"/>
  <c r="H144" i="71"/>
  <c r="I144" i="71"/>
  <c r="C145" i="71"/>
  <c r="D145" i="71"/>
  <c r="E145" i="71"/>
  <c r="F145" i="71"/>
  <c r="G145" i="71"/>
  <c r="H145" i="71"/>
  <c r="I145" i="71"/>
  <c r="C146" i="71"/>
  <c r="D146" i="71"/>
  <c r="E146" i="71"/>
  <c r="F146" i="71"/>
  <c r="G146" i="71"/>
  <c r="H146" i="71"/>
  <c r="I146" i="71"/>
  <c r="C147" i="71"/>
  <c r="D147" i="71"/>
  <c r="E147" i="71"/>
  <c r="F147" i="71"/>
  <c r="G147" i="71"/>
  <c r="H147" i="71"/>
  <c r="I147" i="71"/>
  <c r="C148" i="71"/>
  <c r="D148" i="71"/>
  <c r="E148" i="71"/>
  <c r="F148" i="71"/>
  <c r="G148" i="71"/>
  <c r="H148" i="71"/>
  <c r="I148" i="71"/>
  <c r="C149" i="71"/>
  <c r="D149" i="71"/>
  <c r="E149" i="71"/>
  <c r="F149" i="71"/>
  <c r="G149" i="71"/>
  <c r="H149" i="71"/>
  <c r="I149" i="71"/>
  <c r="C150" i="71"/>
  <c r="D150" i="71"/>
  <c r="E150" i="71"/>
  <c r="F150" i="71"/>
  <c r="G150" i="71"/>
  <c r="H150" i="71"/>
  <c r="I150" i="71"/>
  <c r="C151" i="71"/>
  <c r="D151" i="71"/>
  <c r="E151" i="71"/>
  <c r="F151" i="71"/>
  <c r="G151" i="71"/>
  <c r="H151" i="71"/>
  <c r="I151" i="71"/>
  <c r="C152" i="71"/>
  <c r="D152" i="71"/>
  <c r="E152" i="71"/>
  <c r="F152" i="71"/>
  <c r="G152" i="71"/>
  <c r="H152" i="71"/>
  <c r="I152" i="71"/>
  <c r="C153" i="71"/>
  <c r="D153" i="71"/>
  <c r="E153" i="71"/>
  <c r="F153" i="71"/>
  <c r="G153" i="71"/>
  <c r="H153" i="71"/>
  <c r="I153" i="71"/>
  <c r="C154" i="71"/>
  <c r="D154" i="71"/>
  <c r="E154" i="71"/>
  <c r="F154" i="71"/>
  <c r="G154" i="71"/>
  <c r="H154" i="71"/>
  <c r="I154" i="71"/>
  <c r="C155" i="71"/>
  <c r="D155" i="71"/>
  <c r="E155" i="71"/>
  <c r="F155" i="71"/>
  <c r="G155" i="71"/>
  <c r="H155" i="71"/>
  <c r="I155" i="71"/>
  <c r="C156" i="71"/>
  <c r="D156" i="71"/>
  <c r="E156" i="71"/>
  <c r="F156" i="71"/>
  <c r="G156" i="71"/>
  <c r="H156" i="71"/>
  <c r="I156" i="71"/>
  <c r="C157" i="71"/>
  <c r="D157" i="71"/>
  <c r="E157" i="71"/>
  <c r="F157" i="71"/>
  <c r="G157" i="71"/>
  <c r="H157" i="71"/>
  <c r="I157" i="71"/>
  <c r="C158" i="71"/>
  <c r="D158" i="71"/>
  <c r="E158" i="71"/>
  <c r="F158" i="71"/>
  <c r="G158" i="71"/>
  <c r="H158" i="71"/>
  <c r="I158" i="71"/>
  <c r="C159" i="71"/>
  <c r="D159" i="71"/>
  <c r="E159" i="71"/>
  <c r="F159" i="71"/>
  <c r="G159" i="71"/>
  <c r="H159" i="71"/>
  <c r="I159" i="71"/>
  <c r="C160" i="71"/>
  <c r="D160" i="71"/>
  <c r="E160" i="71"/>
  <c r="F160" i="71"/>
  <c r="G160" i="71"/>
  <c r="H160" i="71"/>
  <c r="I160" i="71"/>
  <c r="C161" i="71"/>
  <c r="D161" i="71"/>
  <c r="E161" i="71"/>
  <c r="F161" i="71"/>
  <c r="G161" i="71"/>
  <c r="H161" i="71"/>
  <c r="I161" i="71"/>
  <c r="C162" i="71"/>
  <c r="D162" i="71"/>
  <c r="E162" i="71"/>
  <c r="F162" i="71"/>
  <c r="G162" i="71"/>
  <c r="H162" i="71"/>
  <c r="I162" i="71"/>
  <c r="C163" i="71"/>
  <c r="D163" i="71"/>
  <c r="E163" i="71"/>
  <c r="F163" i="71"/>
  <c r="G163" i="71"/>
  <c r="H163" i="71"/>
  <c r="I163" i="71"/>
  <c r="C164" i="71"/>
  <c r="D164" i="71"/>
  <c r="E164" i="71"/>
  <c r="F164" i="71"/>
  <c r="G164" i="71"/>
  <c r="H164" i="71"/>
  <c r="I164" i="71"/>
  <c r="C165" i="71"/>
  <c r="D165" i="71"/>
  <c r="E165" i="71"/>
  <c r="F165" i="71"/>
  <c r="G165" i="71"/>
  <c r="H165" i="71"/>
  <c r="I165" i="71"/>
  <c r="C166" i="71"/>
  <c r="D166" i="71"/>
  <c r="E166" i="71"/>
  <c r="F166" i="71"/>
  <c r="G166" i="71"/>
  <c r="H166" i="71"/>
  <c r="I166" i="71"/>
  <c r="C167" i="71"/>
  <c r="D167" i="71"/>
  <c r="E167" i="71"/>
  <c r="F167" i="71"/>
  <c r="G167" i="71"/>
  <c r="H167" i="71"/>
  <c r="I167" i="71"/>
  <c r="C168" i="71"/>
  <c r="D168" i="71"/>
  <c r="E168" i="71"/>
  <c r="F168" i="71"/>
  <c r="G168" i="71"/>
  <c r="H168" i="71"/>
  <c r="I168" i="71"/>
  <c r="C169" i="71"/>
  <c r="D169" i="71"/>
  <c r="E169" i="71"/>
  <c r="F169" i="71"/>
  <c r="G169" i="71"/>
  <c r="H169" i="71"/>
  <c r="I169" i="71"/>
  <c r="C170" i="71"/>
  <c r="D170" i="71"/>
  <c r="E170" i="71"/>
  <c r="F170" i="71"/>
  <c r="G170" i="71"/>
  <c r="H170" i="71"/>
  <c r="I170" i="71"/>
  <c r="C171" i="71"/>
  <c r="D171" i="71"/>
  <c r="E171" i="71"/>
  <c r="F171" i="71"/>
  <c r="G171" i="71"/>
  <c r="H171" i="71"/>
  <c r="I171" i="71"/>
  <c r="C172" i="71"/>
  <c r="D172" i="71"/>
  <c r="E172" i="71"/>
  <c r="F172" i="71"/>
  <c r="G172" i="71"/>
  <c r="H172" i="71"/>
  <c r="I172" i="71"/>
  <c r="C173" i="71"/>
  <c r="D173" i="71"/>
  <c r="E173" i="71"/>
  <c r="F173" i="71"/>
  <c r="G173" i="71"/>
  <c r="H173" i="71"/>
  <c r="I173" i="71"/>
  <c r="C174" i="71"/>
  <c r="D174" i="71"/>
  <c r="E174" i="71"/>
  <c r="F174" i="71"/>
  <c r="G174" i="71"/>
  <c r="H174" i="71"/>
  <c r="I174" i="71"/>
  <c r="C175" i="71"/>
  <c r="D175" i="71"/>
  <c r="E175" i="71"/>
  <c r="F175" i="71"/>
  <c r="G175" i="71"/>
  <c r="H175" i="71"/>
  <c r="I175" i="71"/>
  <c r="C176" i="71"/>
  <c r="D176" i="71"/>
  <c r="E176" i="71"/>
  <c r="F176" i="71"/>
  <c r="G176" i="71"/>
  <c r="H176" i="71"/>
  <c r="I176" i="71"/>
  <c r="C177" i="71"/>
  <c r="D177" i="71"/>
  <c r="E177" i="71"/>
  <c r="F177" i="71"/>
  <c r="G177" i="71"/>
  <c r="H177" i="71"/>
  <c r="I177" i="71"/>
  <c r="C178" i="71"/>
  <c r="D178" i="71"/>
  <c r="E178" i="71"/>
  <c r="F178" i="71"/>
  <c r="G178" i="71"/>
  <c r="H178" i="71"/>
  <c r="I178" i="71"/>
  <c r="C179" i="71"/>
  <c r="D179" i="71"/>
  <c r="E179" i="71"/>
  <c r="F179" i="71"/>
  <c r="G179" i="71"/>
  <c r="H179" i="71"/>
  <c r="I179" i="71"/>
  <c r="C180" i="71"/>
  <c r="D180" i="71"/>
  <c r="E180" i="71"/>
  <c r="F180" i="71"/>
  <c r="G180" i="71"/>
  <c r="H180" i="71"/>
  <c r="I180" i="71"/>
  <c r="C181" i="71"/>
  <c r="D181" i="71"/>
  <c r="E181" i="71"/>
  <c r="F181" i="71"/>
  <c r="G181" i="71"/>
  <c r="H181" i="71"/>
  <c r="I181" i="71"/>
  <c r="C182" i="71"/>
  <c r="D182" i="71"/>
  <c r="E182" i="71"/>
  <c r="F182" i="71"/>
  <c r="G182" i="71"/>
  <c r="H182" i="71"/>
  <c r="I182" i="71"/>
  <c r="C183" i="71"/>
  <c r="D183" i="71"/>
  <c r="E183" i="71"/>
  <c r="F183" i="71"/>
  <c r="G183" i="71"/>
  <c r="H183" i="71"/>
  <c r="I183" i="71"/>
  <c r="C184" i="71"/>
  <c r="D184" i="71"/>
  <c r="E184" i="71"/>
  <c r="F184" i="71"/>
  <c r="G184" i="71"/>
  <c r="H184" i="71"/>
  <c r="I184" i="71"/>
  <c r="C185" i="71"/>
  <c r="D185" i="71"/>
  <c r="E185" i="71"/>
  <c r="F185" i="71"/>
  <c r="G185" i="71"/>
  <c r="H185" i="71"/>
  <c r="I185" i="71"/>
  <c r="C186" i="71"/>
  <c r="D186" i="71"/>
  <c r="E186" i="71"/>
  <c r="F186" i="71"/>
  <c r="G186" i="71"/>
  <c r="H186" i="71"/>
  <c r="I186" i="71"/>
  <c r="C187" i="71"/>
  <c r="D187" i="71"/>
  <c r="E187" i="71"/>
  <c r="F187" i="71"/>
  <c r="G187" i="71"/>
  <c r="H187" i="71"/>
  <c r="I187" i="71"/>
  <c r="C188" i="71"/>
  <c r="D188" i="71"/>
  <c r="E188" i="71"/>
  <c r="F188" i="71"/>
  <c r="G188" i="71"/>
  <c r="H188" i="71"/>
  <c r="I188" i="71"/>
  <c r="C189" i="71"/>
  <c r="D189" i="71"/>
  <c r="E189" i="71"/>
  <c r="F189" i="71"/>
  <c r="G189" i="71"/>
  <c r="H189" i="71"/>
  <c r="I189" i="71"/>
  <c r="C190" i="71"/>
  <c r="D190" i="71"/>
  <c r="E190" i="71"/>
  <c r="F190" i="71"/>
  <c r="G190" i="71"/>
  <c r="H190" i="71"/>
  <c r="I190" i="71"/>
  <c r="C191" i="71"/>
  <c r="D191" i="71"/>
  <c r="E191" i="71"/>
  <c r="F191" i="71"/>
  <c r="G191" i="71"/>
  <c r="H191" i="71"/>
  <c r="I191" i="71"/>
  <c r="C192" i="71"/>
  <c r="D192" i="71"/>
  <c r="E192" i="71"/>
  <c r="F192" i="71"/>
  <c r="G192" i="71"/>
  <c r="H192" i="71"/>
  <c r="I192" i="71"/>
  <c r="C193" i="71"/>
  <c r="D193" i="71"/>
  <c r="E193" i="71"/>
  <c r="F193" i="71"/>
  <c r="G193" i="71"/>
  <c r="H193" i="71"/>
  <c r="I193" i="71"/>
  <c r="C194" i="71"/>
  <c r="D194" i="71"/>
  <c r="E194" i="71"/>
  <c r="F194" i="71"/>
  <c r="G194" i="71"/>
  <c r="H194" i="71"/>
  <c r="I194" i="71"/>
  <c r="C195" i="71"/>
  <c r="D195" i="71"/>
  <c r="E195" i="71"/>
  <c r="F195" i="71"/>
  <c r="G195" i="71"/>
  <c r="H195" i="71"/>
  <c r="I195" i="71"/>
  <c r="C196" i="71"/>
  <c r="D196" i="71"/>
  <c r="E196" i="71"/>
  <c r="F196" i="71"/>
  <c r="G196" i="71"/>
  <c r="H196" i="71"/>
  <c r="I196" i="71"/>
  <c r="C197" i="71"/>
  <c r="D197" i="71"/>
  <c r="E197" i="71"/>
  <c r="F197" i="71"/>
  <c r="G197" i="71"/>
  <c r="H197" i="71"/>
  <c r="I197" i="71"/>
  <c r="C198" i="71"/>
  <c r="D198" i="71"/>
  <c r="E198" i="71"/>
  <c r="F198" i="71"/>
  <c r="G198" i="71"/>
  <c r="H198" i="71"/>
  <c r="I198" i="71"/>
  <c r="C199" i="71"/>
  <c r="D199" i="71"/>
  <c r="E199" i="71"/>
  <c r="F199" i="71"/>
  <c r="G199" i="71"/>
  <c r="H199" i="71"/>
  <c r="I199" i="71"/>
  <c r="C200" i="71"/>
  <c r="D200" i="71"/>
  <c r="E200" i="71"/>
  <c r="F200" i="71"/>
  <c r="G200" i="71"/>
  <c r="H200" i="71"/>
  <c r="I200" i="71"/>
  <c r="C201" i="71"/>
  <c r="D201" i="71"/>
  <c r="E201" i="71"/>
  <c r="F201" i="71"/>
  <c r="G201" i="71"/>
  <c r="H201" i="71"/>
  <c r="I201" i="71"/>
  <c r="C202" i="71"/>
  <c r="D202" i="71"/>
  <c r="E202" i="71"/>
  <c r="F202" i="71"/>
  <c r="G202" i="71"/>
  <c r="H202" i="71"/>
  <c r="I202" i="71"/>
  <c r="C203" i="71"/>
  <c r="D203" i="71"/>
  <c r="E203" i="71"/>
  <c r="F203" i="71"/>
  <c r="G203" i="71"/>
  <c r="H203" i="71"/>
  <c r="I203" i="71"/>
  <c r="C204" i="71"/>
  <c r="D204" i="71"/>
  <c r="E204" i="71"/>
  <c r="F204" i="71"/>
  <c r="G204" i="71"/>
  <c r="H204" i="71"/>
  <c r="I204" i="71"/>
  <c r="C205" i="71"/>
  <c r="D205" i="71"/>
  <c r="E205" i="71"/>
  <c r="F205" i="71"/>
  <c r="G205" i="71"/>
  <c r="H205" i="71"/>
  <c r="I205" i="71"/>
  <c r="C206" i="71"/>
  <c r="D206" i="71"/>
  <c r="E206" i="71"/>
  <c r="F206" i="71"/>
  <c r="G206" i="71"/>
  <c r="H206" i="71"/>
  <c r="I206" i="71"/>
  <c r="C207" i="71"/>
  <c r="D207" i="71"/>
  <c r="E207" i="71"/>
  <c r="F207" i="71"/>
  <c r="G207" i="71"/>
  <c r="H207" i="71"/>
  <c r="I207" i="71"/>
  <c r="C208" i="71"/>
  <c r="D208" i="71"/>
  <c r="E208" i="71"/>
  <c r="F208" i="71"/>
  <c r="G208" i="71"/>
  <c r="H208" i="71"/>
  <c r="I208" i="71"/>
  <c r="C209" i="71"/>
  <c r="D209" i="71"/>
  <c r="E209" i="71"/>
  <c r="F209" i="71"/>
  <c r="G209" i="71"/>
  <c r="H209" i="71"/>
  <c r="I209" i="71"/>
  <c r="C210" i="71"/>
  <c r="D210" i="71"/>
  <c r="E210" i="71"/>
  <c r="F210" i="71"/>
  <c r="G210" i="71"/>
  <c r="H210" i="71"/>
  <c r="I210" i="71"/>
  <c r="C211" i="71"/>
  <c r="D211" i="71"/>
  <c r="E211" i="71"/>
  <c r="F211" i="71"/>
  <c r="G211" i="71"/>
  <c r="H211" i="71"/>
  <c r="I211" i="71"/>
  <c r="C212" i="71"/>
  <c r="D212" i="71"/>
  <c r="E212" i="71"/>
  <c r="F212" i="71"/>
  <c r="G212" i="71"/>
  <c r="H212" i="71"/>
  <c r="I212" i="71"/>
  <c r="C213" i="71"/>
  <c r="D213" i="71"/>
  <c r="E213" i="71"/>
  <c r="F213" i="71"/>
  <c r="G213" i="71"/>
  <c r="H213" i="71"/>
  <c r="I213" i="71"/>
  <c r="C214" i="71"/>
  <c r="D214" i="71"/>
  <c r="E214" i="71"/>
  <c r="F214" i="71"/>
  <c r="G214" i="71"/>
  <c r="H214" i="71"/>
  <c r="I214" i="71"/>
  <c r="C215" i="71"/>
  <c r="D215" i="71"/>
  <c r="E215" i="71"/>
  <c r="F215" i="71"/>
  <c r="G215" i="71"/>
  <c r="H215" i="71"/>
  <c r="I215" i="71"/>
  <c r="C216" i="71"/>
  <c r="D216" i="71"/>
  <c r="E216" i="71"/>
  <c r="F216" i="71"/>
  <c r="G216" i="71"/>
  <c r="H216" i="71"/>
  <c r="I216" i="71"/>
  <c r="C217" i="71"/>
  <c r="D217" i="71"/>
  <c r="E217" i="71"/>
  <c r="F217" i="71"/>
  <c r="G217" i="71"/>
  <c r="H217" i="71"/>
  <c r="I217" i="71"/>
  <c r="C218" i="71"/>
  <c r="D218" i="71"/>
  <c r="E218" i="71"/>
  <c r="F218" i="71"/>
  <c r="G218" i="71"/>
  <c r="H218" i="71"/>
  <c r="I218" i="71"/>
  <c r="C219" i="71"/>
  <c r="D219" i="71"/>
  <c r="E219" i="71"/>
  <c r="F219" i="71"/>
  <c r="G219" i="71"/>
  <c r="H219" i="71"/>
  <c r="I219" i="71"/>
  <c r="C220" i="71"/>
  <c r="D220" i="71"/>
  <c r="E220" i="71"/>
  <c r="F220" i="71"/>
  <c r="G220" i="71"/>
  <c r="H220" i="71"/>
  <c r="I220" i="71"/>
  <c r="C221" i="71"/>
  <c r="D221" i="71"/>
  <c r="E221" i="71"/>
  <c r="F221" i="71"/>
  <c r="G221" i="71"/>
  <c r="H221" i="71"/>
  <c r="I221" i="71"/>
  <c r="C222" i="71"/>
  <c r="D222" i="71"/>
  <c r="E222" i="71"/>
  <c r="F222" i="71"/>
  <c r="G222" i="71"/>
  <c r="H222" i="71"/>
  <c r="I222" i="71"/>
  <c r="C223" i="71"/>
  <c r="D223" i="71"/>
  <c r="E223" i="71"/>
  <c r="F223" i="71"/>
  <c r="G223" i="71"/>
  <c r="H223" i="71"/>
  <c r="I223" i="71"/>
  <c r="C224" i="71"/>
  <c r="D224" i="71"/>
  <c r="E224" i="71"/>
  <c r="F224" i="71"/>
  <c r="G224" i="71"/>
  <c r="H224" i="71"/>
  <c r="I224" i="71"/>
  <c r="C225" i="71"/>
  <c r="D225" i="71"/>
  <c r="E225" i="71"/>
  <c r="F225" i="71"/>
  <c r="G225" i="71"/>
  <c r="H225" i="71"/>
  <c r="I225" i="71"/>
  <c r="C226" i="71"/>
  <c r="D226" i="71"/>
  <c r="E226" i="71"/>
  <c r="F226" i="71"/>
  <c r="G226" i="71"/>
  <c r="H226" i="71"/>
  <c r="I226" i="71"/>
  <c r="C227" i="71"/>
  <c r="D227" i="71"/>
  <c r="E227" i="71"/>
  <c r="F227" i="71"/>
  <c r="G227" i="71"/>
  <c r="H227" i="71"/>
  <c r="I227" i="71"/>
  <c r="C228" i="71"/>
  <c r="D228" i="71"/>
  <c r="E228" i="71"/>
  <c r="F228" i="71"/>
  <c r="G228" i="71"/>
  <c r="H228" i="71"/>
  <c r="I228" i="71"/>
  <c r="C229" i="71"/>
  <c r="D229" i="71"/>
  <c r="E229" i="71"/>
  <c r="F229" i="71"/>
  <c r="G229" i="71"/>
  <c r="H229" i="71"/>
  <c r="I229" i="71"/>
  <c r="C230" i="71"/>
  <c r="D230" i="71"/>
  <c r="E230" i="71"/>
  <c r="F230" i="71"/>
  <c r="G230" i="71"/>
  <c r="H230" i="71"/>
  <c r="I230" i="71"/>
  <c r="C231" i="71"/>
  <c r="D231" i="71"/>
  <c r="E231" i="71"/>
  <c r="F231" i="71"/>
  <c r="G231" i="71"/>
  <c r="H231" i="71"/>
  <c r="I231" i="71"/>
  <c r="C232" i="71"/>
  <c r="D232" i="71"/>
  <c r="E232" i="71"/>
  <c r="F232" i="71"/>
  <c r="G232" i="71"/>
  <c r="H232" i="71"/>
  <c r="I232" i="71"/>
  <c r="C233" i="71"/>
  <c r="D233" i="71"/>
  <c r="E233" i="71"/>
  <c r="F233" i="71"/>
  <c r="G233" i="71"/>
  <c r="H233" i="71"/>
  <c r="I233" i="71"/>
  <c r="C234" i="71"/>
  <c r="D234" i="71"/>
  <c r="E234" i="71"/>
  <c r="F234" i="71"/>
  <c r="G234" i="71"/>
  <c r="H234" i="71"/>
  <c r="I234" i="71"/>
  <c r="C235" i="71"/>
  <c r="D235" i="71"/>
  <c r="E235" i="71"/>
  <c r="F235" i="71"/>
  <c r="G235" i="71"/>
  <c r="H235" i="71"/>
  <c r="I235" i="71"/>
  <c r="C236" i="71"/>
  <c r="D236" i="71"/>
  <c r="E236" i="71"/>
  <c r="F236" i="71"/>
  <c r="G236" i="71"/>
  <c r="H236" i="71"/>
  <c r="I236" i="71"/>
  <c r="C237" i="71"/>
  <c r="D237" i="71"/>
  <c r="E237" i="71"/>
  <c r="F237" i="71"/>
  <c r="G237" i="71"/>
  <c r="H237" i="71"/>
  <c r="I237" i="71"/>
  <c r="C238" i="71"/>
  <c r="D238" i="71"/>
  <c r="E238" i="71"/>
  <c r="F238" i="71"/>
  <c r="G238" i="71"/>
  <c r="H238" i="71"/>
  <c r="I238" i="71"/>
  <c r="C239" i="71"/>
  <c r="D239" i="71"/>
  <c r="E239" i="71"/>
  <c r="F239" i="71"/>
  <c r="G239" i="71"/>
  <c r="H239" i="71"/>
  <c r="I239" i="71"/>
  <c r="C240" i="71"/>
  <c r="D240" i="71"/>
  <c r="E240" i="71"/>
  <c r="F240" i="71"/>
  <c r="G240" i="71"/>
  <c r="H240" i="71"/>
  <c r="I240" i="71"/>
  <c r="C241" i="71"/>
  <c r="D241" i="71"/>
  <c r="E241" i="71"/>
  <c r="F241" i="71"/>
  <c r="G241" i="71"/>
  <c r="H241" i="71"/>
  <c r="I241" i="71"/>
  <c r="C242" i="71"/>
  <c r="D242" i="71"/>
  <c r="E242" i="71"/>
  <c r="F242" i="71"/>
  <c r="G242" i="71"/>
  <c r="H242" i="71"/>
  <c r="I242" i="71"/>
  <c r="C243" i="71"/>
  <c r="D243" i="71"/>
  <c r="E243" i="71"/>
  <c r="F243" i="71"/>
  <c r="G243" i="71"/>
  <c r="H243" i="71"/>
  <c r="I243" i="71"/>
  <c r="C244" i="71"/>
  <c r="D244" i="71"/>
  <c r="E244" i="71"/>
  <c r="F244" i="71"/>
  <c r="G244" i="71"/>
  <c r="H244" i="71"/>
  <c r="I244" i="71"/>
  <c r="C245" i="71"/>
  <c r="D245" i="71"/>
  <c r="E245" i="71"/>
  <c r="F245" i="71"/>
  <c r="G245" i="71"/>
  <c r="H245" i="71"/>
  <c r="I245" i="71"/>
  <c r="C246" i="71"/>
  <c r="D246" i="71"/>
  <c r="E246" i="71"/>
  <c r="F246" i="71"/>
  <c r="G246" i="71"/>
  <c r="H246" i="71"/>
  <c r="I246" i="71"/>
  <c r="C247" i="71"/>
  <c r="D247" i="71"/>
  <c r="E247" i="71"/>
  <c r="F247" i="71"/>
  <c r="G247" i="71"/>
  <c r="H247" i="71"/>
  <c r="I247" i="71"/>
  <c r="C248" i="71"/>
  <c r="D248" i="71"/>
  <c r="E248" i="71"/>
  <c r="F248" i="71"/>
  <c r="G248" i="71"/>
  <c r="H248" i="71"/>
  <c r="I248" i="71"/>
  <c r="C249" i="71"/>
  <c r="D249" i="71"/>
  <c r="E249" i="71"/>
  <c r="F249" i="71"/>
  <c r="G249" i="71"/>
  <c r="H249" i="71"/>
  <c r="I249" i="71"/>
  <c r="C250" i="71"/>
  <c r="D250" i="71"/>
  <c r="E250" i="71"/>
  <c r="F250" i="71"/>
  <c r="G250" i="71"/>
  <c r="H250" i="71"/>
  <c r="I250" i="71"/>
  <c r="C251" i="71"/>
  <c r="D251" i="71"/>
  <c r="E251" i="71"/>
  <c r="F251" i="71"/>
  <c r="G251" i="71"/>
  <c r="H251" i="71"/>
  <c r="I251" i="71"/>
  <c r="C252" i="71"/>
  <c r="D252" i="71"/>
  <c r="E252" i="71"/>
  <c r="F252" i="71"/>
  <c r="G252" i="71"/>
  <c r="H252" i="71"/>
  <c r="I252" i="71"/>
  <c r="C253" i="71"/>
  <c r="D253" i="71"/>
  <c r="E253" i="71"/>
  <c r="F253" i="71"/>
  <c r="G253" i="71"/>
  <c r="H253" i="71"/>
  <c r="I253" i="71"/>
  <c r="C254" i="71"/>
  <c r="D254" i="71"/>
  <c r="E254" i="71"/>
  <c r="F254" i="71"/>
  <c r="G254" i="71"/>
  <c r="H254" i="71"/>
  <c r="I254" i="71"/>
  <c r="C255" i="71"/>
  <c r="D255" i="71"/>
  <c r="E255" i="71"/>
  <c r="F255" i="71"/>
  <c r="G255" i="71"/>
  <c r="H255" i="71"/>
  <c r="I255" i="71"/>
  <c r="C256" i="71"/>
  <c r="D256" i="71"/>
  <c r="E256" i="71"/>
  <c r="F256" i="71"/>
  <c r="G256" i="71"/>
  <c r="H256" i="71"/>
  <c r="I256" i="71"/>
  <c r="C257" i="71"/>
  <c r="D257" i="71"/>
  <c r="E257" i="71"/>
  <c r="F257" i="71"/>
  <c r="G257" i="71"/>
  <c r="H257" i="71"/>
  <c r="I257" i="71"/>
  <c r="C258" i="71"/>
  <c r="D258" i="71"/>
  <c r="E258" i="71"/>
  <c r="F258" i="71"/>
  <c r="G258" i="71"/>
  <c r="H258" i="71"/>
  <c r="I258" i="71"/>
  <c r="C259" i="71"/>
  <c r="D259" i="71"/>
  <c r="E259" i="71"/>
  <c r="F259" i="71"/>
  <c r="G259" i="71"/>
  <c r="H259" i="71"/>
  <c r="I259" i="71"/>
  <c r="C260" i="71"/>
  <c r="D260" i="71"/>
  <c r="E260" i="71"/>
  <c r="F260" i="71"/>
  <c r="G260" i="71"/>
  <c r="H260" i="71"/>
  <c r="I260" i="71"/>
  <c r="C261" i="71"/>
  <c r="D261" i="71"/>
  <c r="E261" i="71"/>
  <c r="F261" i="71"/>
  <c r="G261" i="71"/>
  <c r="H261" i="71"/>
  <c r="I261" i="71"/>
  <c r="C262" i="71"/>
  <c r="D262" i="71"/>
  <c r="E262" i="71"/>
  <c r="F262" i="71"/>
  <c r="G262" i="71"/>
  <c r="H262" i="71"/>
  <c r="I262" i="71"/>
  <c r="C263" i="71"/>
  <c r="D263" i="71"/>
  <c r="E263" i="71"/>
  <c r="F263" i="71"/>
  <c r="G263" i="71"/>
  <c r="H263" i="71"/>
  <c r="I263" i="71"/>
  <c r="C264" i="71"/>
  <c r="D264" i="71"/>
  <c r="E264" i="71"/>
  <c r="F264" i="71"/>
  <c r="G264" i="71"/>
  <c r="H264" i="71"/>
  <c r="I264" i="71"/>
  <c r="C265" i="71"/>
  <c r="D265" i="71"/>
  <c r="E265" i="71"/>
  <c r="F265" i="71"/>
  <c r="G265" i="71"/>
  <c r="H265" i="71"/>
  <c r="I265" i="71"/>
  <c r="C266" i="71"/>
  <c r="D266" i="71"/>
  <c r="E266" i="71"/>
  <c r="F266" i="71"/>
  <c r="G266" i="71"/>
  <c r="H266" i="71"/>
  <c r="I266" i="71"/>
  <c r="C267" i="71"/>
  <c r="D267" i="71"/>
  <c r="E267" i="71"/>
  <c r="F267" i="71"/>
  <c r="G267" i="71"/>
  <c r="H267" i="71"/>
  <c r="I267" i="71"/>
  <c r="C268" i="71"/>
  <c r="D268" i="71"/>
  <c r="E268" i="71"/>
  <c r="F268" i="71"/>
  <c r="G268" i="71"/>
  <c r="H268" i="71"/>
  <c r="I268" i="71"/>
  <c r="C269" i="71"/>
  <c r="D269" i="71"/>
  <c r="E269" i="71"/>
  <c r="F269" i="71"/>
  <c r="G269" i="71"/>
  <c r="H269" i="71"/>
  <c r="I269" i="71"/>
  <c r="C270" i="71"/>
  <c r="D270" i="71"/>
  <c r="E270" i="71"/>
  <c r="F270" i="71"/>
  <c r="G270" i="71"/>
  <c r="H270" i="71"/>
  <c r="I270" i="71"/>
  <c r="C271" i="71"/>
  <c r="D271" i="71"/>
  <c r="E271" i="71"/>
  <c r="F271" i="71"/>
  <c r="G271" i="71"/>
  <c r="H271" i="71"/>
  <c r="I271" i="71"/>
  <c r="C272" i="71"/>
  <c r="D272" i="71"/>
  <c r="E272" i="71"/>
  <c r="F272" i="71"/>
  <c r="G272" i="71"/>
  <c r="H272" i="71"/>
  <c r="I272" i="71"/>
  <c r="C273" i="71"/>
  <c r="D273" i="71"/>
  <c r="E273" i="71"/>
  <c r="F273" i="71"/>
  <c r="G273" i="71"/>
  <c r="H273" i="71"/>
  <c r="I273" i="71"/>
  <c r="C274" i="71"/>
  <c r="D274" i="71"/>
  <c r="E274" i="71"/>
  <c r="F274" i="71"/>
  <c r="G274" i="71"/>
  <c r="H274" i="71"/>
  <c r="I274" i="71"/>
  <c r="C275" i="71"/>
  <c r="D275" i="71"/>
  <c r="E275" i="71"/>
  <c r="F275" i="71"/>
  <c r="G275" i="71"/>
  <c r="H275" i="71"/>
  <c r="I275" i="71"/>
  <c r="C276" i="71"/>
  <c r="D276" i="71"/>
  <c r="E276" i="71"/>
  <c r="F276" i="71"/>
  <c r="G276" i="71"/>
  <c r="H276" i="71"/>
  <c r="I276" i="71"/>
  <c r="C277" i="71"/>
  <c r="D277" i="71"/>
  <c r="E277" i="71"/>
  <c r="F277" i="71"/>
  <c r="G277" i="71"/>
  <c r="H277" i="71"/>
  <c r="I277" i="71"/>
  <c r="C278" i="71"/>
  <c r="D278" i="71"/>
  <c r="E278" i="71"/>
  <c r="F278" i="71"/>
  <c r="G278" i="71"/>
  <c r="H278" i="71"/>
  <c r="I278" i="71"/>
  <c r="C279" i="71"/>
  <c r="D279" i="71"/>
  <c r="E279" i="71"/>
  <c r="F279" i="71"/>
  <c r="G279" i="71"/>
  <c r="H279" i="71"/>
  <c r="I279" i="71"/>
  <c r="C280" i="71"/>
  <c r="D280" i="71"/>
  <c r="E280" i="71"/>
  <c r="F280" i="71"/>
  <c r="G280" i="71"/>
  <c r="H280" i="71"/>
  <c r="I280" i="71"/>
  <c r="C281" i="71"/>
  <c r="D281" i="71"/>
  <c r="E281" i="71"/>
  <c r="F281" i="71"/>
  <c r="G281" i="71"/>
  <c r="H281" i="71"/>
  <c r="I281" i="71"/>
  <c r="C282" i="71"/>
  <c r="D282" i="71"/>
  <c r="E282" i="71"/>
  <c r="F282" i="71"/>
  <c r="G282" i="71"/>
  <c r="H282" i="71"/>
  <c r="I282" i="71"/>
  <c r="C283" i="71"/>
  <c r="D283" i="71"/>
  <c r="E283" i="71"/>
  <c r="F283" i="71"/>
  <c r="G283" i="71"/>
  <c r="H283" i="71"/>
  <c r="I283" i="71"/>
  <c r="C284" i="71"/>
  <c r="D284" i="71"/>
  <c r="E284" i="71"/>
  <c r="F284" i="71"/>
  <c r="G284" i="71"/>
  <c r="H284" i="71"/>
  <c r="I284" i="71"/>
  <c r="C285" i="71"/>
  <c r="D285" i="71"/>
  <c r="E285" i="71"/>
  <c r="F285" i="71"/>
  <c r="G285" i="71"/>
  <c r="H285" i="71"/>
  <c r="I285" i="71"/>
  <c r="C286" i="71"/>
  <c r="D286" i="71"/>
  <c r="E286" i="71"/>
  <c r="F286" i="71"/>
  <c r="G286" i="71"/>
  <c r="H286" i="71"/>
  <c r="I286" i="71"/>
  <c r="C287" i="71"/>
  <c r="D287" i="71"/>
  <c r="E287" i="71"/>
  <c r="F287" i="71"/>
  <c r="G287" i="71"/>
  <c r="H287" i="71"/>
  <c r="I287" i="71"/>
  <c r="C288" i="71"/>
  <c r="D288" i="71"/>
  <c r="E288" i="71"/>
  <c r="F288" i="71"/>
  <c r="G288" i="71"/>
  <c r="H288" i="71"/>
  <c r="I288" i="71"/>
  <c r="C289" i="71"/>
  <c r="D289" i="71"/>
  <c r="E289" i="71"/>
  <c r="F289" i="71"/>
  <c r="G289" i="71"/>
  <c r="H289" i="71"/>
  <c r="I289" i="71"/>
  <c r="C290" i="71"/>
  <c r="D290" i="71"/>
  <c r="E290" i="71"/>
  <c r="F290" i="71"/>
  <c r="G290" i="71"/>
  <c r="H290" i="71"/>
  <c r="I290" i="71"/>
  <c r="C291" i="71"/>
  <c r="D291" i="71"/>
  <c r="E291" i="71"/>
  <c r="F291" i="71"/>
  <c r="G291" i="71"/>
  <c r="H291" i="71"/>
  <c r="I291" i="71"/>
  <c r="C292" i="71"/>
  <c r="D292" i="71"/>
  <c r="E292" i="71"/>
  <c r="F292" i="71"/>
  <c r="G292" i="71"/>
  <c r="H292" i="71"/>
  <c r="I292" i="71"/>
  <c r="C293" i="71"/>
  <c r="D293" i="71"/>
  <c r="E293" i="71"/>
  <c r="F293" i="71"/>
  <c r="G293" i="71"/>
  <c r="H293" i="71"/>
  <c r="I293" i="71"/>
  <c r="C294" i="71"/>
  <c r="D294" i="71"/>
  <c r="E294" i="71"/>
  <c r="F294" i="71"/>
  <c r="G294" i="71"/>
  <c r="H294" i="71"/>
  <c r="I294" i="71"/>
  <c r="C295" i="71"/>
  <c r="D295" i="71"/>
  <c r="E295" i="71"/>
  <c r="F295" i="71"/>
  <c r="G295" i="71"/>
  <c r="H295" i="71"/>
  <c r="I295" i="71"/>
  <c r="C296" i="71"/>
  <c r="D296" i="71"/>
  <c r="E296" i="71"/>
  <c r="F296" i="71"/>
  <c r="G296" i="71"/>
  <c r="H296" i="71"/>
  <c r="I296" i="71"/>
  <c r="C297" i="71"/>
  <c r="D297" i="71"/>
  <c r="E297" i="71"/>
  <c r="F297" i="71"/>
  <c r="G297" i="71"/>
  <c r="H297" i="71"/>
  <c r="I297" i="71"/>
  <c r="C298" i="71"/>
  <c r="D298" i="71"/>
  <c r="E298" i="71"/>
  <c r="F298" i="71"/>
  <c r="G298" i="71"/>
  <c r="H298" i="71"/>
  <c r="I298" i="71"/>
  <c r="C299" i="71"/>
  <c r="D299" i="71"/>
  <c r="E299" i="71"/>
  <c r="F299" i="71"/>
  <c r="G299" i="71"/>
  <c r="H299" i="71"/>
  <c r="I299" i="71"/>
  <c r="C300" i="71"/>
  <c r="D300" i="71"/>
  <c r="E300" i="71"/>
  <c r="F300" i="71"/>
  <c r="G300" i="71"/>
  <c r="H300" i="71"/>
  <c r="I300" i="71"/>
  <c r="C301" i="71"/>
  <c r="D301" i="71"/>
  <c r="E301" i="71"/>
  <c r="F301" i="71"/>
  <c r="G301" i="71"/>
  <c r="H301" i="71"/>
  <c r="I301" i="71"/>
  <c r="C302" i="71"/>
  <c r="D302" i="71"/>
  <c r="E302" i="71"/>
  <c r="F302" i="71"/>
  <c r="G302" i="71"/>
  <c r="H302" i="71"/>
  <c r="I302" i="71"/>
  <c r="C303" i="71"/>
  <c r="D303" i="71"/>
  <c r="E303" i="71"/>
  <c r="F303" i="71"/>
  <c r="G303" i="71"/>
  <c r="H303" i="71"/>
  <c r="I303" i="71"/>
  <c r="C304" i="71"/>
  <c r="D304" i="71"/>
  <c r="E304" i="71"/>
  <c r="F304" i="71"/>
  <c r="G304" i="71"/>
  <c r="H304" i="71"/>
  <c r="I304" i="71"/>
  <c r="C305" i="71"/>
  <c r="D305" i="71"/>
  <c r="E305" i="71"/>
  <c r="F305" i="71"/>
  <c r="G305" i="71"/>
  <c r="H305" i="71"/>
  <c r="I305" i="71"/>
  <c r="C306" i="71"/>
  <c r="D306" i="71"/>
  <c r="E306" i="71"/>
  <c r="F306" i="71"/>
  <c r="G306" i="71"/>
  <c r="H306" i="71"/>
  <c r="I306" i="71"/>
  <c r="C307" i="71"/>
  <c r="D307" i="71"/>
  <c r="E307" i="71"/>
  <c r="F307" i="71"/>
  <c r="G307" i="71"/>
  <c r="H307" i="71"/>
  <c r="I307" i="71"/>
  <c r="D15" i="71"/>
  <c r="E15" i="71"/>
  <c r="F15" i="71"/>
  <c r="G15" i="71"/>
  <c r="H15" i="71"/>
  <c r="I15" i="71"/>
  <c r="Q15" i="71" s="1"/>
  <c r="C15" i="71"/>
  <c r="AP15" i="43" l="1"/>
  <c r="Z142" i="42" l="1"/>
  <c r="R16" i="71" l="1"/>
  <c r="S16" i="71"/>
  <c r="X16" i="71" s="1"/>
  <c r="T16" i="71"/>
  <c r="R17" i="71"/>
  <c r="S17" i="71"/>
  <c r="T17" i="71"/>
  <c r="R18" i="71"/>
  <c r="S18" i="71"/>
  <c r="X18" i="71" s="1"/>
  <c r="T18" i="71"/>
  <c r="R19" i="71"/>
  <c r="S19" i="71"/>
  <c r="T19" i="71"/>
  <c r="R20" i="71"/>
  <c r="S20" i="71"/>
  <c r="X20" i="71" s="1"/>
  <c r="T20" i="71"/>
  <c r="R21" i="71"/>
  <c r="S21" i="71"/>
  <c r="T21" i="71"/>
  <c r="R22" i="71"/>
  <c r="S22" i="71"/>
  <c r="T22" i="71"/>
  <c r="R23" i="71"/>
  <c r="S23" i="71"/>
  <c r="T23" i="71"/>
  <c r="R24" i="71"/>
  <c r="S24" i="71"/>
  <c r="T24" i="71"/>
  <c r="R25" i="71"/>
  <c r="S25" i="71"/>
  <c r="T25" i="71"/>
  <c r="R26" i="71"/>
  <c r="S26" i="71"/>
  <c r="X26" i="71" s="1"/>
  <c r="T26" i="71"/>
  <c r="R27" i="71"/>
  <c r="S27" i="71"/>
  <c r="X27" i="71" s="1"/>
  <c r="T27" i="71"/>
  <c r="R28" i="71"/>
  <c r="S28" i="71"/>
  <c r="X28" i="71" s="1"/>
  <c r="T28" i="71"/>
  <c r="R29" i="71"/>
  <c r="S29" i="71"/>
  <c r="T29" i="71"/>
  <c r="R30" i="71"/>
  <c r="S30" i="71"/>
  <c r="X30" i="71" s="1"/>
  <c r="T30" i="71"/>
  <c r="R31" i="71"/>
  <c r="S31" i="71"/>
  <c r="T31" i="71"/>
  <c r="R32" i="71"/>
  <c r="S32" i="71"/>
  <c r="T32" i="71"/>
  <c r="R33" i="71"/>
  <c r="S33" i="71"/>
  <c r="T33" i="71"/>
  <c r="R34" i="71"/>
  <c r="S34" i="71"/>
  <c r="X34" i="71" s="1"/>
  <c r="T34" i="71"/>
  <c r="R35" i="71"/>
  <c r="S35" i="71"/>
  <c r="X35" i="71" s="1"/>
  <c r="T35" i="71"/>
  <c r="R36" i="71"/>
  <c r="S36" i="71"/>
  <c r="X36" i="71" s="1"/>
  <c r="T36" i="71"/>
  <c r="R37" i="71"/>
  <c r="S37" i="71"/>
  <c r="T37" i="71"/>
  <c r="R38" i="71"/>
  <c r="S38" i="71"/>
  <c r="X38" i="71" s="1"/>
  <c r="T38" i="71"/>
  <c r="R39" i="71"/>
  <c r="S39" i="71"/>
  <c r="T39" i="71"/>
  <c r="R40" i="71"/>
  <c r="S40" i="71"/>
  <c r="T40" i="71"/>
  <c r="R41" i="71"/>
  <c r="S41" i="71"/>
  <c r="T41" i="71"/>
  <c r="R42" i="71"/>
  <c r="S42" i="71"/>
  <c r="X42" i="71" s="1"/>
  <c r="T42" i="71"/>
  <c r="R43" i="71"/>
  <c r="S43" i="71"/>
  <c r="X43" i="71" s="1"/>
  <c r="T43" i="71"/>
  <c r="R44" i="71"/>
  <c r="S44" i="71"/>
  <c r="X44" i="71" s="1"/>
  <c r="T44" i="71"/>
  <c r="R45" i="71"/>
  <c r="S45" i="71"/>
  <c r="T45" i="71"/>
  <c r="R46" i="71"/>
  <c r="S46" i="71"/>
  <c r="X46" i="71" s="1"/>
  <c r="T46" i="71"/>
  <c r="R47" i="71"/>
  <c r="S47" i="71"/>
  <c r="T47" i="71"/>
  <c r="R48" i="71"/>
  <c r="S48" i="71"/>
  <c r="T48" i="71"/>
  <c r="R49" i="71"/>
  <c r="S49" i="71"/>
  <c r="T49" i="71"/>
  <c r="R50" i="71"/>
  <c r="S50" i="71"/>
  <c r="X50" i="71" s="1"/>
  <c r="T50" i="71"/>
  <c r="R51" i="71"/>
  <c r="S51" i="71"/>
  <c r="X51" i="71" s="1"/>
  <c r="T51" i="71"/>
  <c r="R52" i="71"/>
  <c r="S52" i="71"/>
  <c r="X52" i="71" s="1"/>
  <c r="T52" i="71"/>
  <c r="R53" i="71"/>
  <c r="S53" i="71"/>
  <c r="T53" i="71"/>
  <c r="R54" i="71"/>
  <c r="S54" i="71"/>
  <c r="X54" i="71" s="1"/>
  <c r="T54" i="71"/>
  <c r="R55" i="71"/>
  <c r="S55" i="71"/>
  <c r="T55" i="71"/>
  <c r="R56" i="71"/>
  <c r="S56" i="71"/>
  <c r="T56" i="71"/>
  <c r="R57" i="71"/>
  <c r="S57" i="71"/>
  <c r="T57" i="71"/>
  <c r="R58" i="71"/>
  <c r="S58" i="71"/>
  <c r="X58" i="71" s="1"/>
  <c r="T58" i="71"/>
  <c r="R59" i="71"/>
  <c r="S59" i="71"/>
  <c r="X59" i="71" s="1"/>
  <c r="T59" i="71"/>
  <c r="R60" i="71"/>
  <c r="S60" i="71"/>
  <c r="X60" i="71" s="1"/>
  <c r="T60" i="71"/>
  <c r="R61" i="71"/>
  <c r="S61" i="71"/>
  <c r="T61" i="71"/>
  <c r="R62" i="71"/>
  <c r="S62" i="71"/>
  <c r="X62" i="71" s="1"/>
  <c r="T62" i="71"/>
  <c r="R63" i="71"/>
  <c r="S63" i="71"/>
  <c r="T63" i="71"/>
  <c r="R64" i="71"/>
  <c r="S64" i="71"/>
  <c r="T64" i="71"/>
  <c r="R65" i="71"/>
  <c r="S65" i="71"/>
  <c r="T65" i="71"/>
  <c r="R66" i="71"/>
  <c r="S66" i="71"/>
  <c r="X66" i="71" s="1"/>
  <c r="T66" i="71"/>
  <c r="R67" i="71"/>
  <c r="S67" i="71"/>
  <c r="X67" i="71" s="1"/>
  <c r="T67" i="71"/>
  <c r="R68" i="71"/>
  <c r="S68" i="71"/>
  <c r="X68" i="71" s="1"/>
  <c r="T68" i="71"/>
  <c r="R69" i="71"/>
  <c r="S69" i="71"/>
  <c r="T69" i="71"/>
  <c r="R70" i="71"/>
  <c r="S70" i="71"/>
  <c r="X70" i="71" s="1"/>
  <c r="T70" i="71"/>
  <c r="R71" i="71"/>
  <c r="S71" i="71"/>
  <c r="T71" i="71"/>
  <c r="R72" i="71"/>
  <c r="S72" i="71"/>
  <c r="T72" i="71"/>
  <c r="R73" i="71"/>
  <c r="S73" i="71"/>
  <c r="T73" i="71"/>
  <c r="R74" i="71"/>
  <c r="S74" i="71"/>
  <c r="X74" i="71" s="1"/>
  <c r="T74" i="71"/>
  <c r="R75" i="71"/>
  <c r="S75" i="71"/>
  <c r="X75" i="71" s="1"/>
  <c r="T75" i="71"/>
  <c r="R76" i="71"/>
  <c r="S76" i="71"/>
  <c r="X76" i="71" s="1"/>
  <c r="T76" i="71"/>
  <c r="R77" i="71"/>
  <c r="S77" i="71"/>
  <c r="T77" i="71"/>
  <c r="R78" i="71"/>
  <c r="S78" i="71"/>
  <c r="X78" i="71" s="1"/>
  <c r="T78" i="71"/>
  <c r="R79" i="71"/>
  <c r="S79" i="71"/>
  <c r="T79" i="71"/>
  <c r="R80" i="71"/>
  <c r="S80" i="71"/>
  <c r="T80" i="71"/>
  <c r="R81" i="71"/>
  <c r="S81" i="71"/>
  <c r="T81" i="71"/>
  <c r="R82" i="71"/>
  <c r="S82" i="71"/>
  <c r="X82" i="71" s="1"/>
  <c r="T82" i="71"/>
  <c r="R83" i="71"/>
  <c r="S83" i="71"/>
  <c r="X83" i="71" s="1"/>
  <c r="T83" i="71"/>
  <c r="R84" i="71"/>
  <c r="S84" i="71"/>
  <c r="X84" i="71" s="1"/>
  <c r="T84" i="71"/>
  <c r="R85" i="71"/>
  <c r="S85" i="71"/>
  <c r="T85" i="71"/>
  <c r="R86" i="71"/>
  <c r="S86" i="71"/>
  <c r="X86" i="71" s="1"/>
  <c r="T86" i="71"/>
  <c r="R87" i="71"/>
  <c r="S87" i="71"/>
  <c r="T87" i="71"/>
  <c r="R88" i="71"/>
  <c r="S88" i="71"/>
  <c r="T88" i="71"/>
  <c r="R89" i="71"/>
  <c r="S89" i="71"/>
  <c r="T89" i="71"/>
  <c r="R90" i="71"/>
  <c r="S90" i="71"/>
  <c r="X90" i="71" s="1"/>
  <c r="T90" i="71"/>
  <c r="R91" i="71"/>
  <c r="S91" i="71"/>
  <c r="X91" i="71" s="1"/>
  <c r="T91" i="71"/>
  <c r="R92" i="71"/>
  <c r="S92" i="71"/>
  <c r="X92" i="71" s="1"/>
  <c r="T92" i="71"/>
  <c r="R93" i="71"/>
  <c r="S93" i="71"/>
  <c r="T93" i="71"/>
  <c r="R94" i="71"/>
  <c r="S94" i="71"/>
  <c r="X94" i="71" s="1"/>
  <c r="T94" i="71"/>
  <c r="R95" i="71"/>
  <c r="S95" i="71"/>
  <c r="T95" i="71"/>
  <c r="R96" i="71"/>
  <c r="S96" i="71"/>
  <c r="T96" i="71"/>
  <c r="R97" i="71"/>
  <c r="S97" i="71"/>
  <c r="T97" i="71"/>
  <c r="R98" i="71"/>
  <c r="S98" i="71"/>
  <c r="X98" i="71" s="1"/>
  <c r="T98" i="71"/>
  <c r="R99" i="71"/>
  <c r="S99" i="71"/>
  <c r="X99" i="71" s="1"/>
  <c r="T99" i="71"/>
  <c r="R100" i="71"/>
  <c r="S100" i="71"/>
  <c r="X100" i="71" s="1"/>
  <c r="T100" i="71"/>
  <c r="R101" i="71"/>
  <c r="S101" i="71"/>
  <c r="X101" i="71" s="1"/>
  <c r="T101" i="71"/>
  <c r="R102" i="71"/>
  <c r="S102" i="71"/>
  <c r="X102" i="71" s="1"/>
  <c r="T102" i="71"/>
  <c r="R103" i="71"/>
  <c r="S103" i="71"/>
  <c r="T103" i="71"/>
  <c r="R104" i="71"/>
  <c r="S104" i="71"/>
  <c r="T104" i="71"/>
  <c r="R105" i="71"/>
  <c r="S105" i="71"/>
  <c r="T105" i="71"/>
  <c r="R106" i="71"/>
  <c r="S106" i="71"/>
  <c r="X106" i="71" s="1"/>
  <c r="T106" i="71"/>
  <c r="R107" i="71"/>
  <c r="S107" i="71"/>
  <c r="X107" i="71" s="1"/>
  <c r="T107" i="71"/>
  <c r="R108" i="71"/>
  <c r="S108" i="71"/>
  <c r="X108" i="71" s="1"/>
  <c r="T108" i="71"/>
  <c r="R109" i="71"/>
  <c r="S109" i="71"/>
  <c r="X109" i="71" s="1"/>
  <c r="T109" i="71"/>
  <c r="R110" i="71"/>
  <c r="S110" i="71"/>
  <c r="X110" i="71" s="1"/>
  <c r="T110" i="71"/>
  <c r="R111" i="71"/>
  <c r="S111" i="71"/>
  <c r="T111" i="71"/>
  <c r="R112" i="71"/>
  <c r="S112" i="71"/>
  <c r="T112" i="71"/>
  <c r="R113" i="71"/>
  <c r="S113" i="71"/>
  <c r="T113" i="71"/>
  <c r="R114" i="71"/>
  <c r="S114" i="71"/>
  <c r="X114" i="71" s="1"/>
  <c r="T114" i="71"/>
  <c r="R115" i="71"/>
  <c r="S115" i="71"/>
  <c r="X115" i="71" s="1"/>
  <c r="T115" i="71"/>
  <c r="R116" i="71"/>
  <c r="S116" i="71"/>
  <c r="X116" i="71" s="1"/>
  <c r="T116" i="71"/>
  <c r="R117" i="71"/>
  <c r="S117" i="71"/>
  <c r="X117" i="71" s="1"/>
  <c r="T117" i="71"/>
  <c r="R118" i="71"/>
  <c r="S118" i="71"/>
  <c r="X118" i="71" s="1"/>
  <c r="T118" i="71"/>
  <c r="R119" i="71"/>
  <c r="S119" i="71"/>
  <c r="T119" i="71"/>
  <c r="R120" i="71"/>
  <c r="S120" i="71"/>
  <c r="T120" i="71"/>
  <c r="R121" i="71"/>
  <c r="S121" i="71"/>
  <c r="T121" i="71"/>
  <c r="R122" i="71"/>
  <c r="S122" i="71"/>
  <c r="X122" i="71" s="1"/>
  <c r="T122" i="71"/>
  <c r="R123" i="71"/>
  <c r="S123" i="71"/>
  <c r="X123" i="71" s="1"/>
  <c r="T123" i="71"/>
  <c r="R124" i="71"/>
  <c r="S124" i="71"/>
  <c r="X124" i="71" s="1"/>
  <c r="T124" i="71"/>
  <c r="R125" i="71"/>
  <c r="S125" i="71"/>
  <c r="X125" i="71" s="1"/>
  <c r="T125" i="71"/>
  <c r="R126" i="71"/>
  <c r="S126" i="71"/>
  <c r="X126" i="71" s="1"/>
  <c r="T126" i="71"/>
  <c r="R127" i="71"/>
  <c r="S127" i="71"/>
  <c r="T127" i="71"/>
  <c r="R128" i="71"/>
  <c r="S128" i="71"/>
  <c r="T128" i="71"/>
  <c r="R129" i="71"/>
  <c r="S129" i="71"/>
  <c r="T129" i="71"/>
  <c r="R130" i="71"/>
  <c r="S130" i="71"/>
  <c r="X130" i="71" s="1"/>
  <c r="T130" i="71"/>
  <c r="R131" i="71"/>
  <c r="S131" i="71"/>
  <c r="X131" i="71" s="1"/>
  <c r="T131" i="71"/>
  <c r="R132" i="71"/>
  <c r="S132" i="71"/>
  <c r="X132" i="71" s="1"/>
  <c r="T132" i="71"/>
  <c r="R133" i="71"/>
  <c r="S133" i="71"/>
  <c r="X133" i="71" s="1"/>
  <c r="T133" i="71"/>
  <c r="R134" i="71"/>
  <c r="S134" i="71"/>
  <c r="X134" i="71" s="1"/>
  <c r="T134" i="71"/>
  <c r="R135" i="71"/>
  <c r="S135" i="71"/>
  <c r="T135" i="71"/>
  <c r="R136" i="71"/>
  <c r="S136" i="71"/>
  <c r="T136" i="71"/>
  <c r="R137" i="71"/>
  <c r="S137" i="71"/>
  <c r="T137" i="71"/>
  <c r="R138" i="71"/>
  <c r="S138" i="71"/>
  <c r="X138" i="71" s="1"/>
  <c r="T138" i="71"/>
  <c r="R139" i="71"/>
  <c r="S139" i="71"/>
  <c r="X139" i="71" s="1"/>
  <c r="T139" i="71"/>
  <c r="R140" i="71"/>
  <c r="S140" i="71"/>
  <c r="X140" i="71" s="1"/>
  <c r="T140" i="71"/>
  <c r="R141" i="71"/>
  <c r="S141" i="71"/>
  <c r="X141" i="71" s="1"/>
  <c r="T141" i="71"/>
  <c r="R142" i="71"/>
  <c r="S142" i="71"/>
  <c r="X142" i="71" s="1"/>
  <c r="T142" i="71"/>
  <c r="R143" i="71"/>
  <c r="S143" i="71"/>
  <c r="T143" i="71"/>
  <c r="R144" i="71"/>
  <c r="S144" i="71"/>
  <c r="T144" i="71"/>
  <c r="R145" i="71"/>
  <c r="S145" i="71"/>
  <c r="T145" i="71"/>
  <c r="R146" i="71"/>
  <c r="S146" i="71"/>
  <c r="X146" i="71" s="1"/>
  <c r="T146" i="71"/>
  <c r="R147" i="71"/>
  <c r="S147" i="71"/>
  <c r="X147" i="71" s="1"/>
  <c r="T147" i="71"/>
  <c r="R148" i="71"/>
  <c r="S148" i="71"/>
  <c r="X148" i="71" s="1"/>
  <c r="T148" i="71"/>
  <c r="R149" i="71"/>
  <c r="S149" i="71"/>
  <c r="X149" i="71" s="1"/>
  <c r="T149" i="71"/>
  <c r="R150" i="71"/>
  <c r="S150" i="71"/>
  <c r="X150" i="71" s="1"/>
  <c r="T150" i="71"/>
  <c r="R151" i="71"/>
  <c r="S151" i="71"/>
  <c r="T151" i="71"/>
  <c r="R152" i="71"/>
  <c r="S152" i="71"/>
  <c r="T152" i="71"/>
  <c r="R153" i="71"/>
  <c r="S153" i="71"/>
  <c r="T153" i="71"/>
  <c r="R154" i="71"/>
  <c r="S154" i="71"/>
  <c r="X154" i="71" s="1"/>
  <c r="T154" i="71"/>
  <c r="R155" i="71"/>
  <c r="S155" i="71"/>
  <c r="X155" i="71" s="1"/>
  <c r="T155" i="71"/>
  <c r="R156" i="71"/>
  <c r="S156" i="71"/>
  <c r="X156" i="71" s="1"/>
  <c r="T156" i="71"/>
  <c r="R157" i="71"/>
  <c r="S157" i="71"/>
  <c r="X157" i="71" s="1"/>
  <c r="T157" i="71"/>
  <c r="R158" i="71"/>
  <c r="S158" i="71"/>
  <c r="X158" i="71" s="1"/>
  <c r="T158" i="71"/>
  <c r="R159" i="71"/>
  <c r="S159" i="71"/>
  <c r="T159" i="71"/>
  <c r="R160" i="71"/>
  <c r="S160" i="71"/>
  <c r="T160" i="71"/>
  <c r="R161" i="71"/>
  <c r="S161" i="71"/>
  <c r="T161" i="71"/>
  <c r="R162" i="71"/>
  <c r="S162" i="71"/>
  <c r="X162" i="71" s="1"/>
  <c r="T162" i="71"/>
  <c r="R163" i="71"/>
  <c r="S163" i="71"/>
  <c r="X163" i="71" s="1"/>
  <c r="T163" i="71"/>
  <c r="R164" i="71"/>
  <c r="S164" i="71"/>
  <c r="X164" i="71" s="1"/>
  <c r="T164" i="71"/>
  <c r="R165" i="71"/>
  <c r="S165" i="71"/>
  <c r="X165" i="71" s="1"/>
  <c r="T165" i="71"/>
  <c r="R166" i="71"/>
  <c r="S166" i="71"/>
  <c r="X166" i="71" s="1"/>
  <c r="T166" i="71"/>
  <c r="R167" i="71"/>
  <c r="S167" i="71"/>
  <c r="T167" i="71"/>
  <c r="R168" i="71"/>
  <c r="S168" i="71"/>
  <c r="T168" i="71"/>
  <c r="R169" i="71"/>
  <c r="S169" i="71"/>
  <c r="T169" i="71"/>
  <c r="R170" i="71"/>
  <c r="S170" i="71"/>
  <c r="X170" i="71" s="1"/>
  <c r="T170" i="71"/>
  <c r="R171" i="71"/>
  <c r="S171" i="71"/>
  <c r="X171" i="71" s="1"/>
  <c r="T171" i="71"/>
  <c r="R172" i="71"/>
  <c r="S172" i="71"/>
  <c r="X172" i="71" s="1"/>
  <c r="T172" i="71"/>
  <c r="R173" i="71"/>
  <c r="S173" i="71"/>
  <c r="T173" i="71"/>
  <c r="R174" i="71"/>
  <c r="S174" i="71"/>
  <c r="T174" i="71"/>
  <c r="R175" i="71"/>
  <c r="S175" i="71"/>
  <c r="T175" i="71"/>
  <c r="R176" i="71"/>
  <c r="S176" i="71"/>
  <c r="T176" i="71"/>
  <c r="R177" i="71"/>
  <c r="S177" i="71"/>
  <c r="T177" i="71"/>
  <c r="R178" i="71"/>
  <c r="S178" i="71"/>
  <c r="X178" i="71" s="1"/>
  <c r="T178" i="71"/>
  <c r="R179" i="71"/>
  <c r="S179" i="71"/>
  <c r="X179" i="71" s="1"/>
  <c r="T179" i="71"/>
  <c r="R180" i="71"/>
  <c r="S180" i="71"/>
  <c r="X180" i="71" s="1"/>
  <c r="T180" i="71"/>
  <c r="R181" i="71"/>
  <c r="S181" i="71"/>
  <c r="X181" i="71" s="1"/>
  <c r="T181" i="71"/>
  <c r="R182" i="71"/>
  <c r="S182" i="71"/>
  <c r="T182" i="71"/>
  <c r="R183" i="71"/>
  <c r="S183" i="71"/>
  <c r="T183" i="71"/>
  <c r="R184" i="71"/>
  <c r="S184" i="71"/>
  <c r="T184" i="71"/>
  <c r="R185" i="71"/>
  <c r="S185" i="71"/>
  <c r="T185" i="71"/>
  <c r="R186" i="71"/>
  <c r="S186" i="71"/>
  <c r="X186" i="71" s="1"/>
  <c r="T186" i="71"/>
  <c r="R187" i="71"/>
  <c r="S187" i="71"/>
  <c r="X187" i="71" s="1"/>
  <c r="T187" i="71"/>
  <c r="R188" i="71"/>
  <c r="S188" i="71"/>
  <c r="X188" i="71" s="1"/>
  <c r="T188" i="71"/>
  <c r="R189" i="71"/>
  <c r="S189" i="71"/>
  <c r="X189" i="71" s="1"/>
  <c r="T189" i="71"/>
  <c r="R190" i="71"/>
  <c r="S190" i="71"/>
  <c r="T190" i="71"/>
  <c r="R191" i="71"/>
  <c r="S191" i="71"/>
  <c r="T191" i="71"/>
  <c r="X191" i="71" s="1"/>
  <c r="R192" i="71"/>
  <c r="S192" i="71"/>
  <c r="T192" i="71"/>
  <c r="R193" i="71"/>
  <c r="S193" i="71"/>
  <c r="T193" i="71"/>
  <c r="R194" i="71"/>
  <c r="S194" i="71"/>
  <c r="X194" i="71" s="1"/>
  <c r="T194" i="71"/>
  <c r="R195" i="71"/>
  <c r="S195" i="71"/>
  <c r="X195" i="71" s="1"/>
  <c r="T195" i="71"/>
  <c r="R196" i="71"/>
  <c r="S196" i="71"/>
  <c r="X196" i="71" s="1"/>
  <c r="T196" i="71"/>
  <c r="R197" i="71"/>
  <c r="S197" i="71"/>
  <c r="X197" i="71" s="1"/>
  <c r="T197" i="71"/>
  <c r="R198" i="71"/>
  <c r="S198" i="71"/>
  <c r="T198" i="71"/>
  <c r="R199" i="71"/>
  <c r="S199" i="71"/>
  <c r="T199" i="71"/>
  <c r="R200" i="71"/>
  <c r="S200" i="71"/>
  <c r="T200" i="71"/>
  <c r="R201" i="71"/>
  <c r="S201" i="71"/>
  <c r="T201" i="71"/>
  <c r="R202" i="71"/>
  <c r="S202" i="71"/>
  <c r="X202" i="71" s="1"/>
  <c r="T202" i="71"/>
  <c r="R203" i="71"/>
  <c r="S203" i="71"/>
  <c r="X203" i="71" s="1"/>
  <c r="T203" i="71"/>
  <c r="R204" i="71"/>
  <c r="S204" i="71"/>
  <c r="X204" i="71" s="1"/>
  <c r="T204" i="71"/>
  <c r="R205" i="71"/>
  <c r="S205" i="71"/>
  <c r="T205" i="71"/>
  <c r="X205" i="71" s="1"/>
  <c r="R206" i="71"/>
  <c r="S206" i="71"/>
  <c r="T206" i="71"/>
  <c r="R207" i="71"/>
  <c r="S207" i="71"/>
  <c r="T207" i="71"/>
  <c r="R208" i="71"/>
  <c r="S208" i="71"/>
  <c r="T208" i="71"/>
  <c r="R209" i="71"/>
  <c r="S209" i="71"/>
  <c r="T209" i="71"/>
  <c r="R210" i="71"/>
  <c r="S210" i="71"/>
  <c r="X210" i="71" s="1"/>
  <c r="T210" i="71"/>
  <c r="R211" i="71"/>
  <c r="S211" i="71"/>
  <c r="X211" i="71" s="1"/>
  <c r="T211" i="71"/>
  <c r="R212" i="71"/>
  <c r="S212" i="71"/>
  <c r="X212" i="71" s="1"/>
  <c r="T212" i="71"/>
  <c r="R213" i="71"/>
  <c r="S213" i="71"/>
  <c r="T213" i="71"/>
  <c r="R214" i="71"/>
  <c r="S214" i="71"/>
  <c r="T214" i="71"/>
  <c r="R215" i="71"/>
  <c r="S215" i="71"/>
  <c r="T215" i="71"/>
  <c r="R216" i="71"/>
  <c r="S216" i="71"/>
  <c r="T216" i="71"/>
  <c r="R217" i="71"/>
  <c r="S217" i="71"/>
  <c r="T217" i="71"/>
  <c r="R218" i="71"/>
  <c r="S218" i="71"/>
  <c r="X218" i="71" s="1"/>
  <c r="T218" i="71"/>
  <c r="R219" i="71"/>
  <c r="S219" i="71"/>
  <c r="X219" i="71" s="1"/>
  <c r="T219" i="71"/>
  <c r="R220" i="71"/>
  <c r="S220" i="71"/>
  <c r="X220" i="71" s="1"/>
  <c r="T220" i="71"/>
  <c r="R221" i="71"/>
  <c r="S221" i="71"/>
  <c r="T221" i="71"/>
  <c r="R222" i="71"/>
  <c r="S222" i="71"/>
  <c r="T222" i="71"/>
  <c r="R223" i="71"/>
  <c r="S223" i="71"/>
  <c r="T223" i="71"/>
  <c r="R224" i="71"/>
  <c r="S224" i="71"/>
  <c r="T224" i="71"/>
  <c r="X224" i="71" s="1"/>
  <c r="R225" i="71"/>
  <c r="S225" i="71"/>
  <c r="T225" i="71"/>
  <c r="R226" i="71"/>
  <c r="S226" i="71"/>
  <c r="X226" i="71" s="1"/>
  <c r="T226" i="71"/>
  <c r="R227" i="71"/>
  <c r="S227" i="71"/>
  <c r="X227" i="71" s="1"/>
  <c r="T227" i="71"/>
  <c r="R228" i="71"/>
  <c r="S228" i="71"/>
  <c r="X228" i="71" s="1"/>
  <c r="T228" i="71"/>
  <c r="R229" i="71"/>
  <c r="S229" i="71"/>
  <c r="X229" i="71" s="1"/>
  <c r="T229" i="71"/>
  <c r="R230" i="71"/>
  <c r="S230" i="71"/>
  <c r="T230" i="71"/>
  <c r="R231" i="71"/>
  <c r="S231" i="71"/>
  <c r="T231" i="71"/>
  <c r="R232" i="71"/>
  <c r="S232" i="71"/>
  <c r="T232" i="71"/>
  <c r="R233" i="71"/>
  <c r="S233" i="71"/>
  <c r="T233" i="71"/>
  <c r="R234" i="71"/>
  <c r="S234" i="71"/>
  <c r="X234" i="71" s="1"/>
  <c r="T234" i="71"/>
  <c r="R235" i="71"/>
  <c r="S235" i="71"/>
  <c r="X235" i="71" s="1"/>
  <c r="T235" i="71"/>
  <c r="R236" i="71"/>
  <c r="S236" i="71"/>
  <c r="X236" i="71" s="1"/>
  <c r="T236" i="71"/>
  <c r="R237" i="71"/>
  <c r="S237" i="71"/>
  <c r="X237" i="71" s="1"/>
  <c r="T237" i="71"/>
  <c r="R238" i="71"/>
  <c r="S238" i="71"/>
  <c r="T238" i="71"/>
  <c r="R239" i="71"/>
  <c r="S239" i="71"/>
  <c r="T239" i="71"/>
  <c r="R240" i="71"/>
  <c r="S240" i="71"/>
  <c r="T240" i="71"/>
  <c r="R241" i="71"/>
  <c r="S241" i="71"/>
  <c r="T241" i="71"/>
  <c r="R242" i="71"/>
  <c r="S242" i="71"/>
  <c r="X242" i="71" s="1"/>
  <c r="T242" i="71"/>
  <c r="R243" i="71"/>
  <c r="S243" i="71"/>
  <c r="X243" i="71" s="1"/>
  <c r="T243" i="71"/>
  <c r="R244" i="71"/>
  <c r="S244" i="71"/>
  <c r="X244" i="71" s="1"/>
  <c r="T244" i="71"/>
  <c r="R245" i="71"/>
  <c r="S245" i="71"/>
  <c r="X245" i="71" s="1"/>
  <c r="T245" i="71"/>
  <c r="R246" i="71"/>
  <c r="S246" i="71"/>
  <c r="T246" i="71"/>
  <c r="R247" i="71"/>
  <c r="S247" i="71"/>
  <c r="T247" i="71"/>
  <c r="R248" i="71"/>
  <c r="S248" i="71"/>
  <c r="T248" i="71"/>
  <c r="R249" i="71"/>
  <c r="S249" i="71"/>
  <c r="T249" i="71"/>
  <c r="R250" i="71"/>
  <c r="S250" i="71"/>
  <c r="X250" i="71" s="1"/>
  <c r="T250" i="71"/>
  <c r="R251" i="71"/>
  <c r="S251" i="71"/>
  <c r="X251" i="71" s="1"/>
  <c r="T251" i="71"/>
  <c r="R252" i="71"/>
  <c r="S252" i="71"/>
  <c r="X252" i="71" s="1"/>
  <c r="T252" i="71"/>
  <c r="R253" i="71"/>
  <c r="S253" i="71"/>
  <c r="X253" i="71" s="1"/>
  <c r="T253" i="71"/>
  <c r="R254" i="71"/>
  <c r="S254" i="71"/>
  <c r="T254" i="71"/>
  <c r="R255" i="71"/>
  <c r="S255" i="71"/>
  <c r="T255" i="71"/>
  <c r="R256" i="71"/>
  <c r="S256" i="71"/>
  <c r="T256" i="71"/>
  <c r="R257" i="71"/>
  <c r="S257" i="71"/>
  <c r="T257" i="71"/>
  <c r="R258" i="71"/>
  <c r="S258" i="71"/>
  <c r="X258" i="71" s="1"/>
  <c r="T258" i="71"/>
  <c r="R259" i="71"/>
  <c r="S259" i="71"/>
  <c r="X259" i="71" s="1"/>
  <c r="T259" i="71"/>
  <c r="R260" i="71"/>
  <c r="S260" i="71"/>
  <c r="X260" i="71" s="1"/>
  <c r="T260" i="71"/>
  <c r="R261" i="71"/>
  <c r="S261" i="71"/>
  <c r="T261" i="71"/>
  <c r="X261" i="71" s="1"/>
  <c r="R262" i="71"/>
  <c r="S262" i="71"/>
  <c r="T262" i="71"/>
  <c r="R263" i="71"/>
  <c r="S263" i="71"/>
  <c r="T263" i="71"/>
  <c r="R264" i="71"/>
  <c r="S264" i="71"/>
  <c r="T264" i="71"/>
  <c r="R265" i="71"/>
  <c r="S265" i="71"/>
  <c r="T265" i="71"/>
  <c r="R266" i="71"/>
  <c r="S266" i="71"/>
  <c r="X266" i="71" s="1"/>
  <c r="T266" i="71"/>
  <c r="R267" i="71"/>
  <c r="S267" i="71"/>
  <c r="X267" i="71" s="1"/>
  <c r="T267" i="71"/>
  <c r="R268" i="71"/>
  <c r="S268" i="71"/>
  <c r="X268" i="71" s="1"/>
  <c r="T268" i="71"/>
  <c r="R269" i="71"/>
  <c r="S269" i="71"/>
  <c r="X269" i="71" s="1"/>
  <c r="T269" i="71"/>
  <c r="R270" i="71"/>
  <c r="S270" i="71"/>
  <c r="T270" i="71"/>
  <c r="R271" i="71"/>
  <c r="S271" i="71"/>
  <c r="T271" i="71"/>
  <c r="R272" i="71"/>
  <c r="S272" i="71"/>
  <c r="T272" i="71"/>
  <c r="R273" i="71"/>
  <c r="S273" i="71"/>
  <c r="T273" i="71"/>
  <c r="R274" i="71"/>
  <c r="S274" i="71"/>
  <c r="X274" i="71" s="1"/>
  <c r="T274" i="71"/>
  <c r="R275" i="71"/>
  <c r="S275" i="71"/>
  <c r="X275" i="71" s="1"/>
  <c r="T275" i="71"/>
  <c r="R276" i="71"/>
  <c r="S276" i="71"/>
  <c r="X276" i="71" s="1"/>
  <c r="T276" i="71"/>
  <c r="R277" i="71"/>
  <c r="S277" i="71"/>
  <c r="T277" i="71"/>
  <c r="R278" i="71"/>
  <c r="S278" i="71"/>
  <c r="T278" i="71"/>
  <c r="R279" i="71"/>
  <c r="S279" i="71"/>
  <c r="T279" i="71"/>
  <c r="R280" i="71"/>
  <c r="S280" i="71"/>
  <c r="T280" i="71"/>
  <c r="R281" i="71"/>
  <c r="S281" i="71"/>
  <c r="T281" i="71"/>
  <c r="R282" i="71"/>
  <c r="S282" i="71"/>
  <c r="X282" i="71" s="1"/>
  <c r="T282" i="71"/>
  <c r="R283" i="71"/>
  <c r="S283" i="71"/>
  <c r="X283" i="71" s="1"/>
  <c r="T283" i="71"/>
  <c r="R284" i="71"/>
  <c r="S284" i="71"/>
  <c r="X284" i="71" s="1"/>
  <c r="T284" i="71"/>
  <c r="R285" i="71"/>
  <c r="S285" i="71"/>
  <c r="X285" i="71" s="1"/>
  <c r="T285" i="71"/>
  <c r="R286" i="71"/>
  <c r="S286" i="71"/>
  <c r="T286" i="71"/>
  <c r="R287" i="71"/>
  <c r="S287" i="71"/>
  <c r="T287" i="71"/>
  <c r="R288" i="71"/>
  <c r="S288" i="71"/>
  <c r="T288" i="71"/>
  <c r="R289" i="71"/>
  <c r="S289" i="71"/>
  <c r="T289" i="71"/>
  <c r="R290" i="71"/>
  <c r="S290" i="71"/>
  <c r="X290" i="71" s="1"/>
  <c r="T290" i="71"/>
  <c r="R291" i="71"/>
  <c r="S291" i="71"/>
  <c r="X291" i="71" s="1"/>
  <c r="T291" i="71"/>
  <c r="R292" i="71"/>
  <c r="S292" i="71"/>
  <c r="X292" i="71" s="1"/>
  <c r="T292" i="71"/>
  <c r="R293" i="71"/>
  <c r="S293" i="71"/>
  <c r="X293" i="71" s="1"/>
  <c r="T293" i="71"/>
  <c r="R294" i="71"/>
  <c r="S294" i="71"/>
  <c r="T294" i="71"/>
  <c r="R295" i="71"/>
  <c r="S295" i="71"/>
  <c r="T295" i="71"/>
  <c r="R296" i="71"/>
  <c r="S296" i="71"/>
  <c r="T296" i="71"/>
  <c r="R297" i="71"/>
  <c r="S297" i="71"/>
  <c r="T297" i="71"/>
  <c r="R298" i="71"/>
  <c r="S298" i="71"/>
  <c r="X298" i="71" s="1"/>
  <c r="T298" i="71"/>
  <c r="R299" i="71"/>
  <c r="S299" i="71"/>
  <c r="X299" i="71" s="1"/>
  <c r="T299" i="71"/>
  <c r="R300" i="71"/>
  <c r="S300" i="71"/>
  <c r="X300" i="71" s="1"/>
  <c r="T300" i="71"/>
  <c r="R301" i="71"/>
  <c r="S301" i="71"/>
  <c r="X301" i="71" s="1"/>
  <c r="T301" i="71"/>
  <c r="R302" i="71"/>
  <c r="S302" i="71"/>
  <c r="T302" i="71"/>
  <c r="R303" i="71"/>
  <c r="S303" i="71"/>
  <c r="T303" i="71"/>
  <c r="R304" i="71"/>
  <c r="S304" i="71"/>
  <c r="T304" i="71"/>
  <c r="R305" i="71"/>
  <c r="S305" i="71"/>
  <c r="T305" i="71"/>
  <c r="R306" i="71"/>
  <c r="S306" i="71"/>
  <c r="X306" i="71" s="1"/>
  <c r="T306" i="71"/>
  <c r="R307" i="71"/>
  <c r="S307" i="71"/>
  <c r="X307" i="71" s="1"/>
  <c r="T307" i="71"/>
  <c r="S15" i="71"/>
  <c r="T15" i="71"/>
  <c r="K13" i="71"/>
  <c r="K10" i="71" l="1"/>
  <c r="L10" i="71"/>
  <c r="X303" i="71"/>
  <c r="X295" i="71"/>
  <c r="X287" i="71"/>
  <c r="X279" i="71"/>
  <c r="X271" i="71"/>
  <c r="X263" i="71"/>
  <c r="X255" i="71"/>
  <c r="X247" i="71"/>
  <c r="X239" i="71"/>
  <c r="X231" i="71"/>
  <c r="X223" i="71"/>
  <c r="X215" i="71"/>
  <c r="X207" i="71"/>
  <c r="X199" i="71"/>
  <c r="X183" i="71"/>
  <c r="X175" i="71"/>
  <c r="X167" i="71"/>
  <c r="X159" i="71"/>
  <c r="X151" i="71"/>
  <c r="X143" i="71"/>
  <c r="X135" i="71"/>
  <c r="X127" i="71"/>
  <c r="X119" i="71"/>
  <c r="X111" i="71"/>
  <c r="X103" i="71"/>
  <c r="X95" i="71"/>
  <c r="X87" i="71"/>
  <c r="X79" i="71"/>
  <c r="X71" i="71"/>
  <c r="X63" i="71"/>
  <c r="X55" i="71"/>
  <c r="X47" i="71"/>
  <c r="X39" i="71"/>
  <c r="X31" i="71"/>
  <c r="X23" i="71"/>
  <c r="X257" i="71"/>
  <c r="X249" i="71"/>
  <c r="X233" i="71"/>
  <c r="X225" i="71"/>
  <c r="X217" i="71"/>
  <c r="X209" i="71"/>
  <c r="X201" i="71"/>
  <c r="X193" i="71"/>
  <c r="X185" i="71"/>
  <c r="X177" i="71"/>
  <c r="X169" i="71"/>
  <c r="X161" i="71"/>
  <c r="X153" i="71"/>
  <c r="X145" i="71"/>
  <c r="X137" i="71"/>
  <c r="X129" i="71"/>
  <c r="X121" i="71"/>
  <c r="X113" i="71"/>
  <c r="X105" i="71"/>
  <c r="X97" i="71"/>
  <c r="X89" i="71"/>
  <c r="X81" i="71"/>
  <c r="X73" i="71"/>
  <c r="X65" i="71"/>
  <c r="X57" i="71"/>
  <c r="X49" i="71"/>
  <c r="X41" i="71"/>
  <c r="X33" i="71"/>
  <c r="X25" i="71"/>
  <c r="X17" i="71"/>
  <c r="X305" i="71"/>
  <c r="X297" i="71"/>
  <c r="X289" i="71"/>
  <c r="X281" i="71"/>
  <c r="X273" i="71"/>
  <c r="X265" i="71"/>
  <c r="X241" i="71"/>
  <c r="X302" i="71"/>
  <c r="X294" i="71"/>
  <c r="X286" i="71"/>
  <c r="X278" i="71"/>
  <c r="X270" i="71"/>
  <c r="X262" i="71"/>
  <c r="X254" i="71"/>
  <c r="X246" i="71"/>
  <c r="X238" i="71"/>
  <c r="X230" i="71"/>
  <c r="X222" i="71"/>
  <c r="X214" i="71"/>
  <c r="X206" i="71"/>
  <c r="X198" i="71"/>
  <c r="X190" i="71"/>
  <c r="X182" i="71"/>
  <c r="X174" i="71"/>
  <c r="X22" i="71"/>
  <c r="X19" i="71"/>
  <c r="X304" i="71"/>
  <c r="X296" i="71"/>
  <c r="X288" i="71"/>
  <c r="X280" i="71"/>
  <c r="X272" i="71"/>
  <c r="X264" i="71"/>
  <c r="X256" i="71"/>
  <c r="X248" i="71"/>
  <c r="X240" i="71"/>
  <c r="X232" i="71"/>
  <c r="X216" i="71"/>
  <c r="X208" i="71"/>
  <c r="X200" i="71"/>
  <c r="X192" i="71"/>
  <c r="X184" i="71"/>
  <c r="X176" i="71"/>
  <c r="X168" i="71"/>
  <c r="X160" i="71"/>
  <c r="X152" i="71"/>
  <c r="X144" i="71"/>
  <c r="X136" i="71"/>
  <c r="X128" i="71"/>
  <c r="X120" i="71"/>
  <c r="X112" i="71"/>
  <c r="X104" i="71"/>
  <c r="X96" i="71"/>
  <c r="X88" i="71"/>
  <c r="X80" i="71"/>
  <c r="X72" i="71"/>
  <c r="X64" i="71"/>
  <c r="X56" i="71"/>
  <c r="X48" i="71"/>
  <c r="X40" i="71"/>
  <c r="X32" i="71"/>
  <c r="X24" i="71"/>
  <c r="X277" i="71"/>
  <c r="X221" i="71"/>
  <c r="X213" i="71"/>
  <c r="X173" i="71"/>
  <c r="X93" i="71"/>
  <c r="X85" i="71"/>
  <c r="X77" i="71"/>
  <c r="X69" i="71"/>
  <c r="X61" i="71"/>
  <c r="X53" i="71"/>
  <c r="X45" i="71"/>
  <c r="X37" i="71"/>
  <c r="X29" i="71"/>
  <c r="X21" i="71"/>
  <c r="M10" i="71"/>
  <c r="M11" i="71"/>
  <c r="L11" i="71"/>
  <c r="X12" i="71" l="1"/>
  <c r="Y15" i="71" s="1"/>
  <c r="AU89" i="45"/>
  <c r="AN89" i="45"/>
  <c r="K25" i="40" l="1"/>
  <c r="K21" i="40"/>
  <c r="N6" i="47" s="1"/>
  <c r="K17" i="40"/>
  <c r="K14" i="40"/>
  <c r="K11" i="40"/>
  <c r="O7" i="42" s="1"/>
  <c r="D11" i="40"/>
  <c r="E11" i="40"/>
  <c r="F11" i="40"/>
  <c r="G11" i="40"/>
  <c r="H11" i="40"/>
  <c r="I11" i="40"/>
  <c r="J11" i="40"/>
  <c r="N7" i="42" s="1"/>
  <c r="D14" i="40"/>
  <c r="E14" i="40"/>
  <c r="F14" i="40"/>
  <c r="G14" i="40"/>
  <c r="H14" i="40"/>
  <c r="I14" i="40"/>
  <c r="D17" i="40"/>
  <c r="E17" i="40"/>
  <c r="F17" i="40"/>
  <c r="G17" i="40"/>
  <c r="H17" i="40"/>
  <c r="I17" i="40"/>
  <c r="J17" i="40"/>
  <c r="M7" i="42" l="1"/>
  <c r="BJ306" i="43"/>
  <c r="BJ307" i="43"/>
  <c r="Y15" i="44" l="1"/>
  <c r="J13" i="46" l="1"/>
  <c r="R14" i="60" s="1"/>
  <c r="O24" i="46" l="1"/>
  <c r="P24" i="46" s="1"/>
  <c r="BW13" i="45" l="1"/>
  <c r="BV13" i="45"/>
  <c r="BS13" i="45"/>
  <c r="CA11" i="45" l="1"/>
  <c r="CA10" i="45"/>
  <c r="CB11" i="45"/>
  <c r="CB10" i="45"/>
  <c r="Q16" i="71"/>
  <c r="Q17" i="71"/>
  <c r="Q18" i="71"/>
  <c r="Q19" i="71"/>
  <c r="Q20" i="71"/>
  <c r="Q21" i="71"/>
  <c r="Q22" i="71"/>
  <c r="Q23" i="71"/>
  <c r="Q24" i="71"/>
  <c r="Q25" i="71"/>
  <c r="Q26" i="71"/>
  <c r="Q27" i="71"/>
  <c r="Q28" i="71"/>
  <c r="Q29" i="71"/>
  <c r="Q30" i="71"/>
  <c r="Q31" i="71"/>
  <c r="Q32" i="71"/>
  <c r="Q33" i="71"/>
  <c r="Q34" i="71"/>
  <c r="Q35" i="71"/>
  <c r="Q36" i="71"/>
  <c r="Q37" i="71"/>
  <c r="Q38" i="71"/>
  <c r="Q39" i="71"/>
  <c r="Q40" i="71"/>
  <c r="Q41" i="71"/>
  <c r="Q42" i="71"/>
  <c r="Q43" i="71"/>
  <c r="Q44" i="71"/>
  <c r="Q45" i="71"/>
  <c r="Q46" i="71"/>
  <c r="Q47" i="71"/>
  <c r="Q48" i="71"/>
  <c r="Q49" i="71"/>
  <c r="Q50" i="71"/>
  <c r="Q51" i="71"/>
  <c r="Q52" i="71"/>
  <c r="Q53" i="71"/>
  <c r="Q54" i="71"/>
  <c r="Q55" i="71"/>
  <c r="Q56" i="71"/>
  <c r="Q57" i="71"/>
  <c r="Q58" i="71"/>
  <c r="Q59" i="71"/>
  <c r="Q60" i="71"/>
  <c r="Q61" i="71"/>
  <c r="Q62" i="71"/>
  <c r="Q63" i="71"/>
  <c r="Q64" i="71"/>
  <c r="Q65" i="71"/>
  <c r="Q66" i="71"/>
  <c r="Q67" i="71"/>
  <c r="Q68" i="71"/>
  <c r="Q69" i="71"/>
  <c r="Q70" i="71"/>
  <c r="Q71" i="71"/>
  <c r="Q72" i="71"/>
  <c r="Q73" i="71"/>
  <c r="Q74" i="71"/>
  <c r="Q75" i="71"/>
  <c r="Q76" i="71"/>
  <c r="Q77" i="71"/>
  <c r="Q78" i="71"/>
  <c r="Q79" i="71"/>
  <c r="Q80" i="71"/>
  <c r="Q81" i="71"/>
  <c r="Q82" i="71"/>
  <c r="Q83" i="71"/>
  <c r="Q84" i="71"/>
  <c r="Q85" i="71"/>
  <c r="Q86" i="71"/>
  <c r="Q87" i="71"/>
  <c r="Q88" i="71"/>
  <c r="Q89" i="71"/>
  <c r="Q90" i="71"/>
  <c r="Q91" i="71"/>
  <c r="Q92" i="71"/>
  <c r="Q93" i="71"/>
  <c r="Q94" i="71"/>
  <c r="Q95" i="71"/>
  <c r="Q96" i="71"/>
  <c r="Q97" i="71"/>
  <c r="Q98" i="71"/>
  <c r="Q99" i="71"/>
  <c r="Q100" i="71"/>
  <c r="Q101" i="71"/>
  <c r="Q102" i="71"/>
  <c r="Q103" i="71"/>
  <c r="Q104" i="71"/>
  <c r="Q105" i="71"/>
  <c r="Q106" i="71"/>
  <c r="Q107" i="71"/>
  <c r="Q108" i="71"/>
  <c r="Q109" i="71"/>
  <c r="Q110" i="71"/>
  <c r="Q111" i="71"/>
  <c r="Q112" i="71"/>
  <c r="Q113" i="71"/>
  <c r="Q114" i="71"/>
  <c r="Q115" i="71"/>
  <c r="Q116" i="71"/>
  <c r="Q117" i="71"/>
  <c r="Q118" i="71"/>
  <c r="Q119" i="71"/>
  <c r="Q120" i="71"/>
  <c r="Q121" i="71"/>
  <c r="Q122" i="71"/>
  <c r="Q123" i="71"/>
  <c r="Q124" i="71"/>
  <c r="Q125" i="71"/>
  <c r="Q126" i="71"/>
  <c r="Q127" i="71"/>
  <c r="Q128" i="71"/>
  <c r="Q129" i="71"/>
  <c r="Q130" i="71"/>
  <c r="Q131" i="71"/>
  <c r="Q132" i="71"/>
  <c r="Q133" i="71"/>
  <c r="Q134" i="71"/>
  <c r="Q135" i="71"/>
  <c r="Q136" i="71"/>
  <c r="Q137" i="71"/>
  <c r="Q138" i="71"/>
  <c r="Q139" i="71"/>
  <c r="Q140" i="71"/>
  <c r="Q141" i="71"/>
  <c r="Q142" i="71"/>
  <c r="Q143" i="71"/>
  <c r="Q144" i="71"/>
  <c r="Q145" i="71"/>
  <c r="Q146" i="71"/>
  <c r="Q147" i="71"/>
  <c r="Q148" i="71"/>
  <c r="Q149" i="71"/>
  <c r="Q150" i="71"/>
  <c r="Q151" i="71"/>
  <c r="Q152" i="71"/>
  <c r="Q153" i="71"/>
  <c r="Q154" i="71"/>
  <c r="Q155" i="71"/>
  <c r="Q156" i="71"/>
  <c r="Q157" i="71"/>
  <c r="Q158" i="71"/>
  <c r="Q159" i="71"/>
  <c r="Q160" i="71"/>
  <c r="Q161" i="71"/>
  <c r="Q162" i="71"/>
  <c r="Q163" i="71"/>
  <c r="Q164" i="71"/>
  <c r="Q165" i="71"/>
  <c r="Q166" i="71"/>
  <c r="Q167" i="71"/>
  <c r="Q168" i="71"/>
  <c r="Q169" i="71"/>
  <c r="Q170" i="71"/>
  <c r="Q171" i="71"/>
  <c r="Q172" i="71"/>
  <c r="Q173" i="71"/>
  <c r="Q174" i="71"/>
  <c r="Q175" i="71"/>
  <c r="Q176" i="71"/>
  <c r="Q177" i="71"/>
  <c r="Q178" i="71"/>
  <c r="Q179" i="71"/>
  <c r="Q180" i="71"/>
  <c r="Q181" i="71"/>
  <c r="Q182" i="71"/>
  <c r="Q183" i="71"/>
  <c r="Q184" i="71"/>
  <c r="Q185" i="71"/>
  <c r="Q186" i="71"/>
  <c r="Q187" i="71"/>
  <c r="Q188" i="71"/>
  <c r="Q189" i="71"/>
  <c r="Q190" i="71"/>
  <c r="Q191" i="71"/>
  <c r="Q192" i="71"/>
  <c r="Q193" i="71"/>
  <c r="Q194" i="71"/>
  <c r="Q195" i="71"/>
  <c r="Q196" i="71"/>
  <c r="Q197" i="71"/>
  <c r="Q198" i="71"/>
  <c r="Q199" i="71"/>
  <c r="Q200" i="71"/>
  <c r="Q201" i="71"/>
  <c r="Q202" i="71"/>
  <c r="Q203" i="71"/>
  <c r="Q204" i="71"/>
  <c r="Q205" i="71"/>
  <c r="Q206" i="71"/>
  <c r="Q207" i="71"/>
  <c r="Q208" i="71"/>
  <c r="Q209" i="71"/>
  <c r="Q210" i="71"/>
  <c r="Q211" i="71"/>
  <c r="Q212" i="71"/>
  <c r="Q213" i="71"/>
  <c r="Q214" i="71"/>
  <c r="Q215" i="71"/>
  <c r="Q216" i="71"/>
  <c r="Q217" i="71"/>
  <c r="Q218" i="71"/>
  <c r="Q219" i="71"/>
  <c r="Q220" i="71"/>
  <c r="Q221" i="71"/>
  <c r="Q222" i="71"/>
  <c r="Q223" i="71"/>
  <c r="Q224" i="71"/>
  <c r="Q225" i="71"/>
  <c r="Q226" i="71"/>
  <c r="Q227" i="71"/>
  <c r="Q228" i="71"/>
  <c r="Q229" i="71"/>
  <c r="Q230" i="71"/>
  <c r="Q231" i="71"/>
  <c r="Q232" i="71"/>
  <c r="Q233" i="71"/>
  <c r="Q234" i="71"/>
  <c r="Q235" i="71"/>
  <c r="Q236" i="71"/>
  <c r="Q237" i="71"/>
  <c r="Q238" i="71"/>
  <c r="Q239" i="71"/>
  <c r="Q240" i="71"/>
  <c r="Q241" i="71"/>
  <c r="Q242" i="71"/>
  <c r="Q243" i="71"/>
  <c r="Q244" i="71"/>
  <c r="Q245" i="71"/>
  <c r="Q246" i="71"/>
  <c r="Q247" i="71"/>
  <c r="Q248" i="71"/>
  <c r="Q249" i="71"/>
  <c r="Q250" i="71"/>
  <c r="Q251" i="71"/>
  <c r="Q252" i="71"/>
  <c r="Q253" i="71"/>
  <c r="Q254" i="71"/>
  <c r="Q255" i="71"/>
  <c r="Q256" i="71"/>
  <c r="Q257" i="71"/>
  <c r="Q258" i="71"/>
  <c r="Q259" i="71"/>
  <c r="Q260" i="71"/>
  <c r="Q261" i="71"/>
  <c r="Q262" i="71"/>
  <c r="Q263" i="71"/>
  <c r="Q264" i="71"/>
  <c r="Q265" i="71"/>
  <c r="Q266" i="71"/>
  <c r="Q267" i="71"/>
  <c r="Q268" i="71"/>
  <c r="Q269" i="71"/>
  <c r="Q270" i="71"/>
  <c r="Q271" i="71"/>
  <c r="Q272" i="71"/>
  <c r="Q273" i="71"/>
  <c r="Q274" i="71"/>
  <c r="Q275" i="71"/>
  <c r="Q276" i="71"/>
  <c r="Q277" i="71"/>
  <c r="Q278" i="71"/>
  <c r="Q279" i="71"/>
  <c r="Q280" i="71"/>
  <c r="Q281" i="71"/>
  <c r="Q282" i="71"/>
  <c r="Q283" i="71"/>
  <c r="Q284" i="71"/>
  <c r="Q285" i="71"/>
  <c r="Q286" i="71"/>
  <c r="Q287" i="71"/>
  <c r="Q288" i="71"/>
  <c r="Q289" i="71"/>
  <c r="Q290" i="71"/>
  <c r="Q291" i="71"/>
  <c r="Q292" i="71"/>
  <c r="Q293" i="71"/>
  <c r="Q294" i="71"/>
  <c r="Q295" i="71"/>
  <c r="Q296" i="71"/>
  <c r="Q297" i="71"/>
  <c r="Q298" i="71"/>
  <c r="Q299" i="71"/>
  <c r="Q300" i="71"/>
  <c r="Q301" i="71"/>
  <c r="Q302" i="71"/>
  <c r="Q303" i="71"/>
  <c r="Q304" i="71"/>
  <c r="Q305" i="71"/>
  <c r="Q306" i="71"/>
  <c r="Q307" i="71"/>
  <c r="P16" i="71"/>
  <c r="P17" i="71"/>
  <c r="P18" i="71"/>
  <c r="P19" i="71"/>
  <c r="P20" i="71"/>
  <c r="P21" i="71"/>
  <c r="P22" i="71"/>
  <c r="P23" i="71"/>
  <c r="P24" i="71"/>
  <c r="P25" i="71"/>
  <c r="P26" i="71"/>
  <c r="P27" i="71"/>
  <c r="P28" i="71"/>
  <c r="P29" i="71"/>
  <c r="P30" i="71"/>
  <c r="P31" i="71"/>
  <c r="P32" i="71"/>
  <c r="P33" i="71"/>
  <c r="P34" i="71"/>
  <c r="P35" i="71"/>
  <c r="P36" i="71"/>
  <c r="P37" i="71"/>
  <c r="P38" i="71"/>
  <c r="P39" i="71"/>
  <c r="P40" i="71"/>
  <c r="P41" i="71"/>
  <c r="P42" i="71"/>
  <c r="P43" i="71"/>
  <c r="P44" i="71"/>
  <c r="P45" i="71"/>
  <c r="P46" i="71"/>
  <c r="P47" i="71"/>
  <c r="P48" i="71"/>
  <c r="P49" i="71"/>
  <c r="P50" i="71"/>
  <c r="P51" i="71"/>
  <c r="P52" i="71"/>
  <c r="P53" i="71"/>
  <c r="P54" i="71"/>
  <c r="P55" i="71"/>
  <c r="P56" i="71"/>
  <c r="P57" i="71"/>
  <c r="P58" i="71"/>
  <c r="P59" i="71"/>
  <c r="P60" i="71"/>
  <c r="P61" i="71"/>
  <c r="P62" i="71"/>
  <c r="P63" i="71"/>
  <c r="P64" i="71"/>
  <c r="P65" i="71"/>
  <c r="P66" i="71"/>
  <c r="P67" i="71"/>
  <c r="P68" i="71"/>
  <c r="P69" i="71"/>
  <c r="P70" i="71"/>
  <c r="P71" i="71"/>
  <c r="P72" i="71"/>
  <c r="P73" i="71"/>
  <c r="P74" i="71"/>
  <c r="P75" i="71"/>
  <c r="P76" i="71"/>
  <c r="P77" i="71"/>
  <c r="P78" i="71"/>
  <c r="P79" i="71"/>
  <c r="P80" i="71"/>
  <c r="P81" i="71"/>
  <c r="P82" i="71"/>
  <c r="P83" i="71"/>
  <c r="P84" i="71"/>
  <c r="P85" i="71"/>
  <c r="P86" i="71"/>
  <c r="P87" i="71"/>
  <c r="P88" i="71"/>
  <c r="P89" i="71"/>
  <c r="P90" i="71"/>
  <c r="P91" i="71"/>
  <c r="P92" i="71"/>
  <c r="P93" i="71"/>
  <c r="P94" i="71"/>
  <c r="P95" i="71"/>
  <c r="P96" i="71"/>
  <c r="P97" i="71"/>
  <c r="P98" i="71"/>
  <c r="P99" i="71"/>
  <c r="P100" i="71"/>
  <c r="P101" i="71"/>
  <c r="P102" i="71"/>
  <c r="P103" i="71"/>
  <c r="P104" i="71"/>
  <c r="P105" i="71"/>
  <c r="P106" i="71"/>
  <c r="P107" i="71"/>
  <c r="P108" i="71"/>
  <c r="P109" i="71"/>
  <c r="P110" i="71"/>
  <c r="P111" i="71"/>
  <c r="P112" i="71"/>
  <c r="P113" i="71"/>
  <c r="P114" i="71"/>
  <c r="P115" i="71"/>
  <c r="P116" i="71"/>
  <c r="P117" i="71"/>
  <c r="P118" i="71"/>
  <c r="P119" i="71"/>
  <c r="P120" i="71"/>
  <c r="P121" i="71"/>
  <c r="P122" i="71"/>
  <c r="P123" i="71"/>
  <c r="P124" i="71"/>
  <c r="P125" i="71"/>
  <c r="P126" i="71"/>
  <c r="P127" i="71"/>
  <c r="P128" i="71"/>
  <c r="P129" i="71"/>
  <c r="P130" i="71"/>
  <c r="P131" i="71"/>
  <c r="P132" i="71"/>
  <c r="P133" i="71"/>
  <c r="P134" i="71"/>
  <c r="P135" i="71"/>
  <c r="P136" i="71"/>
  <c r="P137" i="71"/>
  <c r="P138" i="71"/>
  <c r="P139" i="71"/>
  <c r="P140" i="71"/>
  <c r="P141" i="71"/>
  <c r="P142" i="71"/>
  <c r="P143" i="71"/>
  <c r="P144" i="71"/>
  <c r="P145" i="71"/>
  <c r="P146" i="71"/>
  <c r="P147" i="71"/>
  <c r="P148" i="71"/>
  <c r="P149" i="71"/>
  <c r="P150" i="71"/>
  <c r="P151" i="71"/>
  <c r="P152" i="71"/>
  <c r="P153" i="71"/>
  <c r="P154" i="71"/>
  <c r="P155" i="71"/>
  <c r="P156" i="71"/>
  <c r="P157" i="71"/>
  <c r="P158" i="71"/>
  <c r="P159" i="71"/>
  <c r="P160" i="71"/>
  <c r="P161" i="71"/>
  <c r="P162" i="71"/>
  <c r="P163" i="71"/>
  <c r="P164" i="71"/>
  <c r="P165" i="71"/>
  <c r="P166" i="71"/>
  <c r="P167" i="71"/>
  <c r="P168" i="71"/>
  <c r="P169" i="71"/>
  <c r="P170" i="71"/>
  <c r="P171" i="71"/>
  <c r="P172" i="71"/>
  <c r="P173" i="71"/>
  <c r="P174" i="71"/>
  <c r="P175" i="71"/>
  <c r="P176" i="71"/>
  <c r="P177" i="71"/>
  <c r="P178" i="71"/>
  <c r="P179" i="71"/>
  <c r="P180" i="71"/>
  <c r="P181" i="71"/>
  <c r="P182" i="71"/>
  <c r="P183" i="71"/>
  <c r="P184" i="71"/>
  <c r="P185" i="71"/>
  <c r="P186" i="71"/>
  <c r="P187" i="71"/>
  <c r="P188" i="71"/>
  <c r="P189" i="71"/>
  <c r="P190" i="71"/>
  <c r="P191" i="71"/>
  <c r="P192" i="71"/>
  <c r="P193" i="71"/>
  <c r="P194" i="71"/>
  <c r="P195" i="71"/>
  <c r="P196" i="71"/>
  <c r="P197" i="71"/>
  <c r="P198" i="71"/>
  <c r="P199" i="71"/>
  <c r="P200" i="71"/>
  <c r="P201" i="71"/>
  <c r="P202" i="71"/>
  <c r="P203" i="71"/>
  <c r="P204" i="71"/>
  <c r="P205" i="71"/>
  <c r="P206" i="71"/>
  <c r="P207" i="71"/>
  <c r="P208" i="71"/>
  <c r="P209" i="71"/>
  <c r="P210" i="71"/>
  <c r="P211" i="71"/>
  <c r="P212" i="71"/>
  <c r="P213" i="71"/>
  <c r="P214" i="71"/>
  <c r="P215" i="71"/>
  <c r="P216" i="71"/>
  <c r="P217" i="71"/>
  <c r="P218" i="71"/>
  <c r="P219" i="71"/>
  <c r="P220" i="71"/>
  <c r="P221" i="71"/>
  <c r="P222" i="71"/>
  <c r="P223" i="71"/>
  <c r="P224" i="71"/>
  <c r="P225" i="71"/>
  <c r="P226" i="71"/>
  <c r="P227" i="71"/>
  <c r="P228" i="71"/>
  <c r="P229" i="71"/>
  <c r="P230" i="71"/>
  <c r="P231" i="71"/>
  <c r="P232" i="71"/>
  <c r="P233" i="71"/>
  <c r="P234" i="71"/>
  <c r="P235" i="71"/>
  <c r="P236" i="71"/>
  <c r="P237" i="71"/>
  <c r="P238" i="71"/>
  <c r="P239" i="71"/>
  <c r="P240" i="71"/>
  <c r="P241" i="71"/>
  <c r="P242" i="71"/>
  <c r="P243" i="71"/>
  <c r="P244" i="71"/>
  <c r="P245" i="71"/>
  <c r="P246" i="71"/>
  <c r="P247" i="71"/>
  <c r="P248" i="71"/>
  <c r="P249" i="71"/>
  <c r="P250" i="71"/>
  <c r="P251" i="71"/>
  <c r="P252" i="71"/>
  <c r="P253" i="71"/>
  <c r="P254" i="71"/>
  <c r="P255" i="71"/>
  <c r="P256" i="71"/>
  <c r="P257" i="71"/>
  <c r="P258" i="71"/>
  <c r="P259" i="71"/>
  <c r="P260" i="71"/>
  <c r="P261" i="71"/>
  <c r="P262" i="71"/>
  <c r="P263" i="71"/>
  <c r="P264" i="71"/>
  <c r="P265" i="71"/>
  <c r="P266" i="71"/>
  <c r="P267" i="71"/>
  <c r="P268" i="71"/>
  <c r="P269" i="71"/>
  <c r="P270" i="71"/>
  <c r="P271" i="71"/>
  <c r="P272" i="71"/>
  <c r="P273" i="71"/>
  <c r="P274" i="71"/>
  <c r="P275" i="71"/>
  <c r="P276" i="71"/>
  <c r="P277" i="71"/>
  <c r="P278" i="71"/>
  <c r="P279" i="71"/>
  <c r="P280" i="71"/>
  <c r="P281" i="71"/>
  <c r="P282" i="71"/>
  <c r="P283" i="71"/>
  <c r="P284" i="71"/>
  <c r="P285" i="71"/>
  <c r="P286" i="71"/>
  <c r="P287" i="71"/>
  <c r="P288" i="71"/>
  <c r="P289" i="71"/>
  <c r="P290" i="71"/>
  <c r="P291" i="71"/>
  <c r="P292" i="71"/>
  <c r="P293" i="71"/>
  <c r="P294" i="71"/>
  <c r="P295" i="71"/>
  <c r="P296" i="71"/>
  <c r="P297" i="71"/>
  <c r="P298" i="71"/>
  <c r="P299" i="71"/>
  <c r="P300" i="71"/>
  <c r="P301" i="71"/>
  <c r="P302" i="71"/>
  <c r="P303" i="71"/>
  <c r="P304" i="71"/>
  <c r="P305" i="71"/>
  <c r="P306" i="71"/>
  <c r="P307" i="71"/>
  <c r="P15" i="71"/>
  <c r="J13" i="71"/>
  <c r="I13" i="71"/>
  <c r="K11" i="71" l="1"/>
  <c r="J10" i="71"/>
  <c r="J11" i="71"/>
  <c r="X16" i="64" l="1"/>
  <c r="X17" i="64"/>
  <c r="X18" i="64"/>
  <c r="X19" i="64"/>
  <c r="X20" i="64"/>
  <c r="X21" i="64"/>
  <c r="X22" i="64"/>
  <c r="X23" i="64"/>
  <c r="X24" i="64"/>
  <c r="X25" i="64"/>
  <c r="X26" i="64"/>
  <c r="X27" i="64"/>
  <c r="X28" i="64"/>
  <c r="X29" i="64"/>
  <c r="X30" i="64"/>
  <c r="X31" i="64"/>
  <c r="X32" i="64"/>
  <c r="X33" i="64"/>
  <c r="X34" i="64"/>
  <c r="X35" i="64"/>
  <c r="X36" i="64"/>
  <c r="X37" i="64"/>
  <c r="X38" i="64"/>
  <c r="X39" i="64"/>
  <c r="X40" i="64"/>
  <c r="X41" i="64"/>
  <c r="X42" i="64"/>
  <c r="X43" i="64"/>
  <c r="X44" i="64"/>
  <c r="X45" i="64"/>
  <c r="X46" i="64"/>
  <c r="X47" i="64"/>
  <c r="X48" i="64"/>
  <c r="X49" i="64"/>
  <c r="X50" i="64"/>
  <c r="X51" i="64"/>
  <c r="X52" i="64"/>
  <c r="X53" i="64"/>
  <c r="X54" i="64"/>
  <c r="X55" i="64"/>
  <c r="X56" i="64"/>
  <c r="X57" i="64"/>
  <c r="X58" i="64"/>
  <c r="X59" i="64"/>
  <c r="X60" i="64"/>
  <c r="X61" i="64"/>
  <c r="X62" i="64"/>
  <c r="X63" i="64"/>
  <c r="X64" i="64"/>
  <c r="X65" i="64"/>
  <c r="X66" i="64"/>
  <c r="X67" i="64"/>
  <c r="X68" i="64"/>
  <c r="X69" i="64"/>
  <c r="X70" i="64"/>
  <c r="X71" i="64"/>
  <c r="X72" i="64"/>
  <c r="X73" i="64"/>
  <c r="X74" i="64"/>
  <c r="X75" i="64"/>
  <c r="X76" i="64"/>
  <c r="X77" i="64"/>
  <c r="X78" i="64"/>
  <c r="X79" i="64"/>
  <c r="X80" i="64"/>
  <c r="X81" i="64"/>
  <c r="X82" i="64"/>
  <c r="X83" i="64"/>
  <c r="X84" i="64"/>
  <c r="X85" i="64"/>
  <c r="X86" i="64"/>
  <c r="X87" i="64"/>
  <c r="X88" i="64"/>
  <c r="X89" i="64"/>
  <c r="X90" i="64"/>
  <c r="X91" i="64"/>
  <c r="X92" i="64"/>
  <c r="X93" i="64"/>
  <c r="X94" i="64"/>
  <c r="X95" i="64"/>
  <c r="X96" i="64"/>
  <c r="X97" i="64"/>
  <c r="X98" i="64"/>
  <c r="X99" i="64"/>
  <c r="X100" i="64"/>
  <c r="X101" i="64"/>
  <c r="X102" i="64"/>
  <c r="X103" i="64"/>
  <c r="X104" i="64"/>
  <c r="X105" i="64"/>
  <c r="X106" i="64"/>
  <c r="X107" i="64"/>
  <c r="X108" i="64"/>
  <c r="X109" i="64"/>
  <c r="X110" i="64"/>
  <c r="X111" i="64"/>
  <c r="X112" i="64"/>
  <c r="X113" i="64"/>
  <c r="X114" i="64"/>
  <c r="X115" i="64"/>
  <c r="X116" i="64"/>
  <c r="X117" i="64"/>
  <c r="X118" i="64"/>
  <c r="X119" i="64"/>
  <c r="X120" i="64"/>
  <c r="X121" i="64"/>
  <c r="X122" i="64"/>
  <c r="X123" i="64"/>
  <c r="X124" i="64"/>
  <c r="X125" i="64"/>
  <c r="X126" i="64"/>
  <c r="X127" i="64"/>
  <c r="X128" i="64"/>
  <c r="X129" i="64"/>
  <c r="X130" i="64"/>
  <c r="X131" i="64"/>
  <c r="X132" i="64"/>
  <c r="X133" i="64"/>
  <c r="X134" i="64"/>
  <c r="X135" i="64"/>
  <c r="X136" i="64"/>
  <c r="X137" i="64"/>
  <c r="X138" i="64"/>
  <c r="X139" i="64"/>
  <c r="X140" i="64"/>
  <c r="X141" i="64"/>
  <c r="X142" i="64"/>
  <c r="X143" i="64"/>
  <c r="X144" i="64"/>
  <c r="X145" i="64"/>
  <c r="X146" i="64"/>
  <c r="X147" i="64"/>
  <c r="X148" i="64"/>
  <c r="X149" i="64"/>
  <c r="X150" i="64"/>
  <c r="X151" i="64"/>
  <c r="X152" i="64"/>
  <c r="X153" i="64"/>
  <c r="X154" i="64"/>
  <c r="X155" i="64"/>
  <c r="X156" i="64"/>
  <c r="X157" i="64"/>
  <c r="X158" i="64"/>
  <c r="X159" i="64"/>
  <c r="X160" i="64"/>
  <c r="X161" i="64"/>
  <c r="X162" i="64"/>
  <c r="X163" i="64"/>
  <c r="X164" i="64"/>
  <c r="X165" i="64"/>
  <c r="X166" i="64"/>
  <c r="X167" i="64"/>
  <c r="X168" i="64"/>
  <c r="X169" i="64"/>
  <c r="X170" i="64"/>
  <c r="X171" i="64"/>
  <c r="X172" i="64"/>
  <c r="X173" i="64"/>
  <c r="X174" i="64"/>
  <c r="X175" i="64"/>
  <c r="X176" i="64"/>
  <c r="X177" i="64"/>
  <c r="X178" i="64"/>
  <c r="X179" i="64"/>
  <c r="X180" i="64"/>
  <c r="X181" i="64"/>
  <c r="X182" i="64"/>
  <c r="X183" i="64"/>
  <c r="X184" i="64"/>
  <c r="X185" i="64"/>
  <c r="X186" i="64"/>
  <c r="X187" i="64"/>
  <c r="X188" i="64"/>
  <c r="X189" i="64"/>
  <c r="X190" i="64"/>
  <c r="X191" i="64"/>
  <c r="X192" i="64"/>
  <c r="X194" i="64"/>
  <c r="X195" i="64"/>
  <c r="X196" i="64"/>
  <c r="X197" i="64"/>
  <c r="X198" i="64"/>
  <c r="X199" i="64"/>
  <c r="X200" i="64"/>
  <c r="X201" i="64"/>
  <c r="X202" i="64"/>
  <c r="X203" i="64"/>
  <c r="X204" i="64"/>
  <c r="X205" i="64"/>
  <c r="X206" i="64"/>
  <c r="X207" i="64"/>
  <c r="X208" i="64"/>
  <c r="X209" i="64"/>
  <c r="X210" i="64"/>
  <c r="X211" i="64"/>
  <c r="X212" i="64"/>
  <c r="X213" i="64"/>
  <c r="X214" i="64"/>
  <c r="X215" i="64"/>
  <c r="X216" i="64"/>
  <c r="X217" i="64"/>
  <c r="X218" i="64"/>
  <c r="X219" i="64"/>
  <c r="X220" i="64"/>
  <c r="X221" i="64"/>
  <c r="X222" i="64"/>
  <c r="X223" i="64"/>
  <c r="X224" i="64"/>
  <c r="X225" i="64"/>
  <c r="X226" i="64"/>
  <c r="X227" i="64"/>
  <c r="X228" i="64"/>
  <c r="X229" i="64"/>
  <c r="X230" i="64"/>
  <c r="X231" i="64"/>
  <c r="X232" i="64"/>
  <c r="X233" i="64"/>
  <c r="X234" i="64"/>
  <c r="X235" i="64"/>
  <c r="X236" i="64"/>
  <c r="X237" i="64"/>
  <c r="X238" i="64"/>
  <c r="X239" i="64"/>
  <c r="X240" i="64"/>
  <c r="X241" i="64"/>
  <c r="X242" i="64"/>
  <c r="X243" i="64"/>
  <c r="X244" i="64"/>
  <c r="X245" i="64"/>
  <c r="X246" i="64"/>
  <c r="X247" i="64"/>
  <c r="X248" i="64"/>
  <c r="X249" i="64"/>
  <c r="X250" i="64"/>
  <c r="X251" i="64"/>
  <c r="X252" i="64"/>
  <c r="X253" i="64"/>
  <c r="X254" i="64"/>
  <c r="X255" i="64"/>
  <c r="X256" i="64"/>
  <c r="X257" i="64"/>
  <c r="X258" i="64"/>
  <c r="X259" i="64"/>
  <c r="X260" i="64"/>
  <c r="X261" i="64"/>
  <c r="X262" i="64"/>
  <c r="X263" i="64"/>
  <c r="X264" i="64"/>
  <c r="X265" i="64"/>
  <c r="X266" i="64"/>
  <c r="X267" i="64"/>
  <c r="X268" i="64"/>
  <c r="X269" i="64"/>
  <c r="X270" i="64"/>
  <c r="X271" i="64"/>
  <c r="X272" i="64"/>
  <c r="X273" i="64"/>
  <c r="X274" i="64"/>
  <c r="X275" i="64"/>
  <c r="X276" i="64"/>
  <c r="X277" i="64"/>
  <c r="X278" i="64"/>
  <c r="X279" i="64"/>
  <c r="X280" i="64"/>
  <c r="X281" i="64"/>
  <c r="X282" i="64"/>
  <c r="X283" i="64"/>
  <c r="X284" i="64"/>
  <c r="X285" i="64"/>
  <c r="X286" i="64"/>
  <c r="X287" i="64"/>
  <c r="X288" i="64"/>
  <c r="X289" i="64"/>
  <c r="X290" i="64"/>
  <c r="X291" i="64"/>
  <c r="X292" i="64"/>
  <c r="X293" i="64"/>
  <c r="X294" i="64"/>
  <c r="X295" i="64"/>
  <c r="X296" i="64"/>
  <c r="X297" i="64"/>
  <c r="X298" i="64"/>
  <c r="X299" i="64"/>
  <c r="X300" i="64"/>
  <c r="X301" i="64"/>
  <c r="X302" i="64"/>
  <c r="X303" i="64"/>
  <c r="X304" i="64"/>
  <c r="X305" i="64"/>
  <c r="X306" i="64"/>
  <c r="X307" i="64"/>
  <c r="X15" i="64"/>
  <c r="L47" i="66" l="1"/>
  <c r="L48" i="66"/>
  <c r="L42" i="66"/>
  <c r="L43" i="66"/>
  <c r="L44" i="66"/>
  <c r="L45" i="66"/>
  <c r="L46" i="66"/>
  <c r="X8" i="64"/>
  <c r="X7" i="64"/>
  <c r="K48" i="66"/>
  <c r="E150" i="66"/>
  <c r="D153" i="66"/>
  <c r="D149" i="66"/>
  <c r="E155" i="66"/>
  <c r="K43" i="66"/>
  <c r="C151" i="66"/>
  <c r="E153" i="66"/>
  <c r="E149" i="66"/>
  <c r="K46" i="66"/>
  <c r="D151" i="66"/>
  <c r="C154" i="66"/>
  <c r="C149" i="66"/>
  <c r="C153" i="66"/>
  <c r="K42" i="66"/>
  <c r="E151" i="66"/>
  <c r="D154" i="66"/>
  <c r="D150" i="66"/>
  <c r="K44" i="66"/>
  <c r="C152" i="66"/>
  <c r="E154" i="66"/>
  <c r="K47" i="66"/>
  <c r="D152" i="66"/>
  <c r="C155" i="66"/>
  <c r="K45" i="66"/>
  <c r="C150" i="66"/>
  <c r="E152" i="66"/>
  <c r="D155" i="66"/>
  <c r="X6" i="64"/>
  <c r="X5" i="64"/>
  <c r="X4" i="64"/>
  <c r="X3" i="64"/>
  <c r="X2" i="64"/>
  <c r="Y2" i="64"/>
  <c r="AA307" i="64"/>
  <c r="AA306" i="64"/>
  <c r="AA305" i="64"/>
  <c r="AA304" i="64"/>
  <c r="AA303" i="64"/>
  <c r="AA302" i="64"/>
  <c r="AA301" i="64"/>
  <c r="AA300" i="64"/>
  <c r="AA299" i="64"/>
  <c r="AA298" i="64"/>
  <c r="AA297" i="64"/>
  <c r="AA296" i="64"/>
  <c r="AA295" i="64"/>
  <c r="AA294" i="64"/>
  <c r="AA293" i="64"/>
  <c r="AA292" i="64"/>
  <c r="AA291" i="64"/>
  <c r="AA290" i="64"/>
  <c r="AA289" i="64"/>
  <c r="AA288" i="64"/>
  <c r="AA287" i="64"/>
  <c r="AA286" i="64"/>
  <c r="AA285" i="64"/>
  <c r="AA284" i="64"/>
  <c r="AA283" i="64"/>
  <c r="AA282" i="64"/>
  <c r="AA281" i="64"/>
  <c r="AA280" i="64"/>
  <c r="AA279" i="64"/>
  <c r="AA278" i="64"/>
  <c r="AA277" i="64"/>
  <c r="AA276" i="64"/>
  <c r="AA275" i="64"/>
  <c r="AA274" i="64"/>
  <c r="AA273" i="64"/>
  <c r="AA272" i="64"/>
  <c r="AA271" i="64"/>
  <c r="AA270" i="64"/>
  <c r="AA269" i="64"/>
  <c r="AA268" i="64"/>
  <c r="AA267" i="64"/>
  <c r="AA266" i="64"/>
  <c r="AA265" i="64"/>
  <c r="AA264" i="64"/>
  <c r="AA263" i="64"/>
  <c r="AA262" i="64"/>
  <c r="AA261" i="64"/>
  <c r="AA260" i="64"/>
  <c r="AA259" i="64"/>
  <c r="AA258" i="64"/>
  <c r="AA257" i="64"/>
  <c r="AA256" i="64"/>
  <c r="AA255" i="64"/>
  <c r="AA254" i="64"/>
  <c r="AA253" i="64"/>
  <c r="AA252" i="64"/>
  <c r="AA251" i="64"/>
  <c r="AA250" i="64"/>
  <c r="AA249" i="64"/>
  <c r="AA248" i="64"/>
  <c r="AA247" i="64"/>
  <c r="AA246" i="64"/>
  <c r="AA245" i="64"/>
  <c r="AA244" i="64"/>
  <c r="AA243" i="64"/>
  <c r="AA242" i="64"/>
  <c r="AA241" i="64"/>
  <c r="AA240" i="64"/>
  <c r="AA239" i="64"/>
  <c r="AA238" i="64"/>
  <c r="AA237" i="64"/>
  <c r="AA236" i="64"/>
  <c r="AA235" i="64"/>
  <c r="AA234" i="64"/>
  <c r="AA233" i="64"/>
  <c r="AA232" i="64"/>
  <c r="AA231" i="64"/>
  <c r="AA230" i="64"/>
  <c r="AA229" i="64"/>
  <c r="AA228" i="64"/>
  <c r="AA227" i="64"/>
  <c r="AA226" i="64"/>
  <c r="AA225" i="64"/>
  <c r="AA224" i="64"/>
  <c r="AA223" i="64"/>
  <c r="AA222" i="64"/>
  <c r="AA221" i="64"/>
  <c r="AA220" i="64"/>
  <c r="AA219" i="64"/>
  <c r="AA218" i="64"/>
  <c r="AA217" i="64"/>
  <c r="AA216" i="64"/>
  <c r="AA215" i="64"/>
  <c r="AA214" i="64"/>
  <c r="AA213" i="64"/>
  <c r="AA212" i="64"/>
  <c r="AA211" i="64"/>
  <c r="AA210" i="64"/>
  <c r="AA209" i="64"/>
  <c r="AA208" i="64"/>
  <c r="AA207" i="64"/>
  <c r="AA206" i="64"/>
  <c r="AA205" i="64"/>
  <c r="AA204" i="64"/>
  <c r="AA203" i="64"/>
  <c r="AA202" i="64"/>
  <c r="AA201" i="64"/>
  <c r="AA200" i="64"/>
  <c r="AA199" i="64"/>
  <c r="AA198" i="64"/>
  <c r="AA197" i="64"/>
  <c r="AA196" i="64"/>
  <c r="AA195" i="64"/>
  <c r="AA194" i="64"/>
  <c r="AA192" i="64"/>
  <c r="AA191" i="64"/>
  <c r="AA190" i="64"/>
  <c r="AA189" i="64"/>
  <c r="AA188" i="64"/>
  <c r="AA187" i="64"/>
  <c r="AA186" i="64"/>
  <c r="AA185" i="64"/>
  <c r="AA184" i="64"/>
  <c r="AA183" i="64"/>
  <c r="AA182" i="64"/>
  <c r="AA181" i="64"/>
  <c r="AA180" i="64"/>
  <c r="AA179" i="64"/>
  <c r="AA178" i="64"/>
  <c r="AA177" i="64"/>
  <c r="AA176" i="64"/>
  <c r="AA175" i="64"/>
  <c r="AA174" i="64"/>
  <c r="AA173" i="64"/>
  <c r="AA172" i="64"/>
  <c r="AA171" i="64"/>
  <c r="AA170" i="64"/>
  <c r="AA169" i="64"/>
  <c r="AA168" i="64"/>
  <c r="AA167" i="64"/>
  <c r="AA166" i="64"/>
  <c r="AA165" i="64"/>
  <c r="AA164" i="64"/>
  <c r="AA163" i="64"/>
  <c r="AA162" i="64"/>
  <c r="AA161" i="64"/>
  <c r="AA160" i="64"/>
  <c r="AA159" i="64"/>
  <c r="AA158" i="64"/>
  <c r="AA157" i="64"/>
  <c r="AA156" i="64"/>
  <c r="AA155" i="64"/>
  <c r="AA154" i="64"/>
  <c r="AA153" i="64"/>
  <c r="AA152" i="64"/>
  <c r="AA151" i="64"/>
  <c r="AA150" i="64"/>
  <c r="AA149" i="64"/>
  <c r="AA148" i="64"/>
  <c r="AA147" i="64"/>
  <c r="AA146" i="64"/>
  <c r="AA145" i="64"/>
  <c r="AA144" i="64"/>
  <c r="AA143" i="64"/>
  <c r="AA142" i="64"/>
  <c r="AA141" i="64"/>
  <c r="AA140" i="64"/>
  <c r="AA139" i="64"/>
  <c r="AA138" i="64"/>
  <c r="AA137" i="64"/>
  <c r="AA136" i="64"/>
  <c r="AA135" i="64"/>
  <c r="AA134" i="64"/>
  <c r="AA133" i="64"/>
  <c r="AA132" i="64"/>
  <c r="AA131" i="64"/>
  <c r="AA130" i="64"/>
  <c r="AA129" i="64"/>
  <c r="AA128" i="64"/>
  <c r="AA127" i="64"/>
  <c r="AA126" i="64"/>
  <c r="AA125" i="64"/>
  <c r="AA124" i="64"/>
  <c r="AA123" i="64"/>
  <c r="AA122" i="64"/>
  <c r="AA121" i="64"/>
  <c r="AA120" i="64"/>
  <c r="AA119" i="64"/>
  <c r="AA118" i="64"/>
  <c r="AA117" i="64"/>
  <c r="AA116" i="64"/>
  <c r="AA115" i="64"/>
  <c r="AA114" i="64"/>
  <c r="AA113" i="64"/>
  <c r="AA112" i="64"/>
  <c r="AA111" i="64"/>
  <c r="AA110" i="64"/>
  <c r="AA109" i="64"/>
  <c r="AA108" i="64"/>
  <c r="AA107" i="64"/>
  <c r="AA106" i="64"/>
  <c r="AA105" i="64"/>
  <c r="AA104" i="64"/>
  <c r="AA103" i="64"/>
  <c r="AA102" i="64"/>
  <c r="AA101" i="64"/>
  <c r="AA100" i="64"/>
  <c r="AA99" i="64"/>
  <c r="AA98" i="64"/>
  <c r="AA97" i="64"/>
  <c r="AA96" i="64"/>
  <c r="AA95" i="64"/>
  <c r="AA94" i="64"/>
  <c r="AA93" i="64"/>
  <c r="AA92" i="64"/>
  <c r="AA91" i="64"/>
  <c r="AA90" i="64"/>
  <c r="AA89" i="64"/>
  <c r="AA88" i="64"/>
  <c r="AA87" i="64"/>
  <c r="AA86" i="64"/>
  <c r="AA85" i="64"/>
  <c r="AA84" i="64"/>
  <c r="AA83" i="64"/>
  <c r="AA82" i="64"/>
  <c r="AA81" i="64"/>
  <c r="AA80" i="64"/>
  <c r="AA79" i="64"/>
  <c r="AA78" i="64"/>
  <c r="AA77" i="64"/>
  <c r="AA76" i="64"/>
  <c r="AA75" i="64"/>
  <c r="AA74" i="64"/>
  <c r="AA73" i="64"/>
  <c r="AA72" i="64"/>
  <c r="AA71" i="64"/>
  <c r="AA70" i="64"/>
  <c r="AA69" i="64"/>
  <c r="AA68" i="64"/>
  <c r="AA67" i="64"/>
  <c r="AA66" i="64"/>
  <c r="AA65" i="64"/>
  <c r="AA64" i="64"/>
  <c r="AA63" i="64"/>
  <c r="AA62" i="64"/>
  <c r="AA61" i="64"/>
  <c r="AA60" i="64"/>
  <c r="AA59" i="64"/>
  <c r="AA58" i="64"/>
  <c r="AA57" i="64"/>
  <c r="AA56" i="64"/>
  <c r="AA55" i="64"/>
  <c r="AA54" i="64"/>
  <c r="AA53" i="64"/>
  <c r="AA52" i="64"/>
  <c r="AA51" i="64"/>
  <c r="AA50" i="64"/>
  <c r="AA49" i="64"/>
  <c r="AA48" i="64"/>
  <c r="AA47" i="64"/>
  <c r="AA46" i="64"/>
  <c r="AA45" i="64"/>
  <c r="AA44" i="64"/>
  <c r="AA43" i="64"/>
  <c r="AA42" i="64"/>
  <c r="AA41" i="64"/>
  <c r="AA40" i="64"/>
  <c r="AA39" i="64"/>
  <c r="AA38" i="64"/>
  <c r="AA37" i="64"/>
  <c r="AA36" i="64"/>
  <c r="AA35" i="64"/>
  <c r="AA34" i="64"/>
  <c r="AA33" i="64"/>
  <c r="AA32" i="64"/>
  <c r="AA31" i="64"/>
  <c r="AA30" i="64"/>
  <c r="AA29" i="64"/>
  <c r="AA28" i="64"/>
  <c r="AA27" i="64"/>
  <c r="AA26" i="64"/>
  <c r="AA25" i="64"/>
  <c r="AA24" i="64"/>
  <c r="AA23" i="64"/>
  <c r="AA22" i="64"/>
  <c r="AA21" i="64"/>
  <c r="AA20" i="64"/>
  <c r="AA19" i="64"/>
  <c r="AA18" i="64"/>
  <c r="AA17" i="64"/>
  <c r="AA16" i="64"/>
  <c r="AA15" i="64"/>
  <c r="BC46" i="66" l="1"/>
  <c r="BC45" i="66"/>
  <c r="BC42" i="66"/>
  <c r="BC48" i="66"/>
  <c r="BC44" i="66"/>
  <c r="BC47" i="66"/>
  <c r="BC43" i="66"/>
  <c r="AI46" i="66"/>
  <c r="AI45" i="66"/>
  <c r="AI42" i="66"/>
  <c r="AI48" i="66"/>
  <c r="AI44" i="66"/>
  <c r="AI47" i="66"/>
  <c r="AI43" i="66"/>
  <c r="L49" i="66"/>
  <c r="K49" i="66"/>
  <c r="X9" i="64"/>
  <c r="AW13" i="45"/>
  <c r="BC49" i="66" l="1"/>
  <c r="AI49" i="66"/>
  <c r="BS11" i="45"/>
  <c r="BS10" i="45"/>
  <c r="BM11" i="45"/>
  <c r="AV4" i="70" l="1"/>
  <c r="AW6" i="70" s="1"/>
  <c r="AW71" i="70" l="1"/>
  <c r="AW14" i="70"/>
  <c r="AW22" i="70"/>
  <c r="AW30" i="70"/>
  <c r="AW38" i="70"/>
  <c r="AW46" i="70"/>
  <c r="AW54" i="70"/>
  <c r="AW62" i="70"/>
  <c r="AW70" i="70"/>
  <c r="AW78" i="70"/>
  <c r="AW86" i="70"/>
  <c r="AW94" i="70"/>
  <c r="AW102" i="70"/>
  <c r="AW110" i="70"/>
  <c r="AW118" i="70"/>
  <c r="AW126" i="70"/>
  <c r="AW134" i="70"/>
  <c r="AW142" i="70"/>
  <c r="AW150" i="70"/>
  <c r="AW158" i="70"/>
  <c r="AW166" i="70"/>
  <c r="AW174" i="70"/>
  <c r="AW182" i="70"/>
  <c r="AW190" i="70"/>
  <c r="AW198" i="70"/>
  <c r="AW206" i="70"/>
  <c r="AW214" i="70"/>
  <c r="AW222" i="70"/>
  <c r="AW230" i="70"/>
  <c r="AW238" i="70"/>
  <c r="AW246" i="70"/>
  <c r="AW254" i="70"/>
  <c r="AW262" i="70"/>
  <c r="AW270" i="70"/>
  <c r="AW278" i="70"/>
  <c r="AW286" i="70"/>
  <c r="AW294" i="70"/>
  <c r="AW29" i="70"/>
  <c r="AW53" i="70"/>
  <c r="AW85" i="70"/>
  <c r="AW109" i="70"/>
  <c r="AW15" i="70"/>
  <c r="AW39" i="70"/>
  <c r="AW103" i="70"/>
  <c r="AW127" i="70"/>
  <c r="AW159" i="70"/>
  <c r="AW175" i="70"/>
  <c r="AW199" i="70"/>
  <c r="AW231" i="70"/>
  <c r="AW255" i="70"/>
  <c r="AW295" i="70"/>
  <c r="AW8" i="70"/>
  <c r="AW16" i="70"/>
  <c r="AW24" i="70"/>
  <c r="AW32" i="70"/>
  <c r="AW40" i="70"/>
  <c r="AW48" i="70"/>
  <c r="AW56" i="70"/>
  <c r="AW64" i="70"/>
  <c r="AW72" i="70"/>
  <c r="AW80" i="70"/>
  <c r="AW88" i="70"/>
  <c r="AW96" i="70"/>
  <c r="AW104" i="70"/>
  <c r="AW112" i="70"/>
  <c r="AW120" i="70"/>
  <c r="AW128" i="70"/>
  <c r="AW136" i="70"/>
  <c r="AW144" i="70"/>
  <c r="AW152" i="70"/>
  <c r="AW160" i="70"/>
  <c r="AW168" i="70"/>
  <c r="AW176" i="70"/>
  <c r="AW184" i="70"/>
  <c r="AW192" i="70"/>
  <c r="AW200" i="70"/>
  <c r="AW208" i="70"/>
  <c r="AW216" i="70"/>
  <c r="AW224" i="70"/>
  <c r="AW232" i="70"/>
  <c r="AW240" i="70"/>
  <c r="AW248" i="70"/>
  <c r="AW256" i="70"/>
  <c r="AW264" i="70"/>
  <c r="AW272" i="70"/>
  <c r="AW280" i="70"/>
  <c r="AW288" i="70"/>
  <c r="AW296" i="70"/>
  <c r="AW21" i="70"/>
  <c r="AW45" i="70"/>
  <c r="AW69" i="70"/>
  <c r="AW93" i="70"/>
  <c r="AW117" i="70"/>
  <c r="AW7" i="70"/>
  <c r="AW31" i="70"/>
  <c r="AW47" i="70"/>
  <c r="AW63" i="70"/>
  <c r="AW79" i="70"/>
  <c r="AW95" i="70"/>
  <c r="AW119" i="70"/>
  <c r="AW143" i="70"/>
  <c r="AW167" i="70"/>
  <c r="AW183" i="70"/>
  <c r="AW207" i="70"/>
  <c r="AW223" i="70"/>
  <c r="AW247" i="70"/>
  <c r="AW271" i="70"/>
  <c r="AW279" i="70"/>
  <c r="AW9" i="70"/>
  <c r="AW17" i="70"/>
  <c r="AW25" i="70"/>
  <c r="AW33" i="70"/>
  <c r="AW41" i="70"/>
  <c r="AW49" i="70"/>
  <c r="AW57" i="70"/>
  <c r="AW65" i="70"/>
  <c r="AW73" i="70"/>
  <c r="AW81" i="70"/>
  <c r="AW89" i="70"/>
  <c r="AW97" i="70"/>
  <c r="AW105" i="70"/>
  <c r="AW113" i="70"/>
  <c r="AW121" i="70"/>
  <c r="AW129" i="70"/>
  <c r="AW137" i="70"/>
  <c r="AW145" i="70"/>
  <c r="AW153" i="70"/>
  <c r="AW161" i="70"/>
  <c r="AW169" i="70"/>
  <c r="AW177" i="70"/>
  <c r="AW185" i="70"/>
  <c r="AW193" i="70"/>
  <c r="AW201" i="70"/>
  <c r="AW209" i="70"/>
  <c r="AW217" i="70"/>
  <c r="AW225" i="70"/>
  <c r="AW233" i="70"/>
  <c r="AW241" i="70"/>
  <c r="AW249" i="70"/>
  <c r="AW257" i="70"/>
  <c r="AW265" i="70"/>
  <c r="AW273" i="70"/>
  <c r="AW281" i="70"/>
  <c r="AW289" i="70"/>
  <c r="AW297" i="70"/>
  <c r="AW37" i="70"/>
  <c r="AW77" i="70"/>
  <c r="AW125" i="70"/>
  <c r="AW23" i="70"/>
  <c r="AW55" i="70"/>
  <c r="AW87" i="70"/>
  <c r="AW111" i="70"/>
  <c r="AW135" i="70"/>
  <c r="AW151" i="70"/>
  <c r="AW191" i="70"/>
  <c r="AW215" i="70"/>
  <c r="AW239" i="70"/>
  <c r="AW263" i="70"/>
  <c r="AW287" i="70"/>
  <c r="AW10" i="70"/>
  <c r="AW18" i="70"/>
  <c r="AW26" i="70"/>
  <c r="AW34" i="70"/>
  <c r="AW42" i="70"/>
  <c r="AW50" i="70"/>
  <c r="AW58" i="70"/>
  <c r="AW66" i="70"/>
  <c r="AW74" i="70"/>
  <c r="AW82" i="70"/>
  <c r="AW90" i="70"/>
  <c r="AW98" i="70"/>
  <c r="AW106" i="70"/>
  <c r="AW114" i="70"/>
  <c r="AW122" i="70"/>
  <c r="AW130" i="70"/>
  <c r="AW138" i="70"/>
  <c r="AW146" i="70"/>
  <c r="AW154" i="70"/>
  <c r="AW162" i="70"/>
  <c r="AW170" i="70"/>
  <c r="AW178" i="70"/>
  <c r="AW186" i="70"/>
  <c r="AW194" i="70"/>
  <c r="AW202" i="70"/>
  <c r="AW210" i="70"/>
  <c r="AW218" i="70"/>
  <c r="AW226" i="70"/>
  <c r="AW234" i="70"/>
  <c r="AW242" i="70"/>
  <c r="AW250" i="70"/>
  <c r="AW258" i="70"/>
  <c r="AW266" i="70"/>
  <c r="AW274" i="70"/>
  <c r="AW282" i="70"/>
  <c r="AW290" i="70"/>
  <c r="AW298" i="70"/>
  <c r="AW43" i="70"/>
  <c r="AW83" i="70"/>
  <c r="AW115" i="70"/>
  <c r="AW139" i="70"/>
  <c r="AW163" i="70"/>
  <c r="AW187" i="70"/>
  <c r="AW211" i="70"/>
  <c r="AW227" i="70"/>
  <c r="AW235" i="70"/>
  <c r="AW251" i="70"/>
  <c r="AW259" i="70"/>
  <c r="AW267" i="70"/>
  <c r="AW275" i="70"/>
  <c r="AW283" i="70"/>
  <c r="AW291" i="70"/>
  <c r="AW13" i="70"/>
  <c r="AW11" i="70"/>
  <c r="AW19" i="70"/>
  <c r="AW27" i="70"/>
  <c r="AW35" i="70"/>
  <c r="AW51" i="70"/>
  <c r="AW59" i="70"/>
  <c r="AW67" i="70"/>
  <c r="AW75" i="70"/>
  <c r="AW91" i="70"/>
  <c r="AW99" i="70"/>
  <c r="AW107" i="70"/>
  <c r="AW123" i="70"/>
  <c r="AW131" i="70"/>
  <c r="AW147" i="70"/>
  <c r="AW155" i="70"/>
  <c r="AW171" i="70"/>
  <c r="AW179" i="70"/>
  <c r="AW195" i="70"/>
  <c r="AW203" i="70"/>
  <c r="AW219" i="70"/>
  <c r="AW243" i="70"/>
  <c r="AW12" i="70"/>
  <c r="AW20" i="70"/>
  <c r="AW28" i="70"/>
  <c r="AW36" i="70"/>
  <c r="AW44" i="70"/>
  <c r="AW52" i="70"/>
  <c r="AW60" i="70"/>
  <c r="AW68" i="70"/>
  <c r="AW76" i="70"/>
  <c r="AW84" i="70"/>
  <c r="AW92" i="70"/>
  <c r="AW100" i="70"/>
  <c r="AW108" i="70"/>
  <c r="AW116" i="70"/>
  <c r="AW124" i="70"/>
  <c r="AW132" i="70"/>
  <c r="AW140" i="70"/>
  <c r="AW148" i="70"/>
  <c r="AW156" i="70"/>
  <c r="AW164" i="70"/>
  <c r="AW172" i="70"/>
  <c r="AW180" i="70"/>
  <c r="AW188" i="70"/>
  <c r="AW196" i="70"/>
  <c r="AW204" i="70"/>
  <c r="AW212" i="70"/>
  <c r="AW220" i="70"/>
  <c r="AW228" i="70"/>
  <c r="AW236" i="70"/>
  <c r="AW244" i="70"/>
  <c r="AW252" i="70"/>
  <c r="AW260" i="70"/>
  <c r="AW268" i="70"/>
  <c r="AW276" i="70"/>
  <c r="AW284" i="70"/>
  <c r="AW292" i="70"/>
  <c r="AW61" i="70"/>
  <c r="AW101" i="70"/>
  <c r="AW133" i="70"/>
  <c r="AW141" i="70"/>
  <c r="AW149" i="70"/>
  <c r="AW157" i="70"/>
  <c r="AW165" i="70"/>
  <c r="AW173" i="70"/>
  <c r="AW181" i="70"/>
  <c r="AW189" i="70"/>
  <c r="AW197" i="70"/>
  <c r="AW205" i="70"/>
  <c r="AW213" i="70"/>
  <c r="AW221" i="70"/>
  <c r="AW229" i="70"/>
  <c r="AW237" i="70"/>
  <c r="AW245" i="70"/>
  <c r="AW253" i="70"/>
  <c r="AW261" i="70"/>
  <c r="AW269" i="70"/>
  <c r="AW277" i="70"/>
  <c r="AW285" i="70"/>
  <c r="AW293" i="70"/>
  <c r="BE8" i="64" l="1"/>
  <c r="BE7" i="64"/>
  <c r="BE6" i="64"/>
  <c r="BE5" i="64"/>
  <c r="BE4" i="64"/>
  <c r="BE3" i="64"/>
  <c r="BE2" i="64"/>
  <c r="BB8" i="64"/>
  <c r="BB7" i="64"/>
  <c r="BB6" i="64"/>
  <c r="BB5" i="64"/>
  <c r="BB4" i="64"/>
  <c r="BB3" i="64"/>
  <c r="BB2" i="64"/>
  <c r="AY8" i="64"/>
  <c r="BS8" i="64" s="1"/>
  <c r="W48" i="66" s="1"/>
  <c r="AY7" i="64"/>
  <c r="BS7" i="64" s="1"/>
  <c r="W47" i="66" s="1"/>
  <c r="AY6" i="64"/>
  <c r="BS6" i="64" s="1"/>
  <c r="W46" i="66" s="1"/>
  <c r="AY5" i="64"/>
  <c r="BS5" i="64" s="1"/>
  <c r="W45" i="66" s="1"/>
  <c r="AY4" i="64"/>
  <c r="BS4" i="64" s="1"/>
  <c r="W44" i="66" s="1"/>
  <c r="AY3" i="64"/>
  <c r="BS3" i="64" s="1"/>
  <c r="W43" i="66" s="1"/>
  <c r="AY2" i="64"/>
  <c r="BS2" i="64" s="1"/>
  <c r="AV8" i="64"/>
  <c r="BR8" i="64" s="1"/>
  <c r="AV7" i="64"/>
  <c r="BR7" i="64" s="1"/>
  <c r="AV6" i="64"/>
  <c r="BR6" i="64" s="1"/>
  <c r="AV5" i="64"/>
  <c r="BR5" i="64" s="1"/>
  <c r="AV4" i="64"/>
  <c r="BR4" i="64" s="1"/>
  <c r="AV3" i="64"/>
  <c r="BR3" i="64" s="1"/>
  <c r="AV2" i="64"/>
  <c r="BR2" i="64" s="1"/>
  <c r="AS8" i="64"/>
  <c r="BQ8" i="64" s="1"/>
  <c r="AS7" i="64"/>
  <c r="BQ7" i="64" s="1"/>
  <c r="AS6" i="64"/>
  <c r="BQ6" i="64" s="1"/>
  <c r="AS5" i="64"/>
  <c r="BQ5" i="64" s="1"/>
  <c r="AS4" i="64"/>
  <c r="BQ4" i="64" s="1"/>
  <c r="AS3" i="64"/>
  <c r="BQ3" i="64" s="1"/>
  <c r="AS2" i="64"/>
  <c r="BQ2" i="64" s="1"/>
  <c r="AP8" i="64"/>
  <c r="BP8" i="64" s="1"/>
  <c r="AP7" i="64"/>
  <c r="BP7" i="64" s="1"/>
  <c r="AP6" i="64"/>
  <c r="BP6" i="64" s="1"/>
  <c r="AP5" i="64"/>
  <c r="BP5" i="64" s="1"/>
  <c r="AP4" i="64"/>
  <c r="BP4" i="64" s="1"/>
  <c r="AP3" i="64"/>
  <c r="BP3" i="64" s="1"/>
  <c r="AP2" i="64"/>
  <c r="BP2" i="64" s="1"/>
  <c r="AM8" i="64"/>
  <c r="AM7" i="64"/>
  <c r="AM6" i="64"/>
  <c r="AM5" i="64"/>
  <c r="AM4" i="64"/>
  <c r="AM3" i="64"/>
  <c r="AM2" i="64"/>
  <c r="AJ8" i="64"/>
  <c r="AJ7" i="64"/>
  <c r="AJ6" i="64"/>
  <c r="AJ5" i="64"/>
  <c r="AJ4" i="64"/>
  <c r="AJ3" i="64"/>
  <c r="AG8" i="64"/>
  <c r="AG7" i="64"/>
  <c r="AG6" i="64"/>
  <c r="AG5" i="64"/>
  <c r="AG4" i="64"/>
  <c r="AG3" i="64"/>
  <c r="AG2" i="64"/>
  <c r="AD8" i="64"/>
  <c r="AD7" i="64"/>
  <c r="AD6" i="64"/>
  <c r="AD5" i="64"/>
  <c r="AD4" i="64"/>
  <c r="AD3" i="64"/>
  <c r="AD2" i="64"/>
  <c r="AA8" i="64"/>
  <c r="AA7" i="64"/>
  <c r="AA6" i="64"/>
  <c r="AA5" i="64"/>
  <c r="AA4" i="64"/>
  <c r="AA3" i="64"/>
  <c r="AA2" i="64"/>
  <c r="BK2" i="64" s="1"/>
  <c r="BS10" i="64" l="1"/>
  <c r="W42" i="66"/>
  <c r="BQ18" i="64"/>
  <c r="BQ19" i="64"/>
  <c r="BR20" i="64"/>
  <c r="V47" i="66"/>
  <c r="AS47" i="66" s="1"/>
  <c r="BQ20" i="64"/>
  <c r="BR21" i="64"/>
  <c r="V48" i="66"/>
  <c r="AS48" i="66" s="1"/>
  <c r="BR19" i="64"/>
  <c r="V46" i="66"/>
  <c r="AS46" i="66" s="1"/>
  <c r="BQ21" i="64"/>
  <c r="BR10" i="64"/>
  <c r="BR15" i="64"/>
  <c r="V42" i="66"/>
  <c r="AS42" i="66" s="1"/>
  <c r="BQ15" i="64"/>
  <c r="BQ10" i="64"/>
  <c r="BR16" i="64"/>
  <c r="V43" i="66"/>
  <c r="AS43" i="66" s="1"/>
  <c r="BQ16" i="64"/>
  <c r="BR17" i="64"/>
  <c r="V44" i="66"/>
  <c r="AS44" i="66" s="1"/>
  <c r="BQ17" i="64"/>
  <c r="BR18" i="64"/>
  <c r="V45" i="66"/>
  <c r="AS45" i="66" s="1"/>
  <c r="AP9" i="64"/>
  <c r="BP10" i="64"/>
  <c r="AF307" i="43" l="1"/>
  <c r="AF306" i="43"/>
  <c r="AF305" i="43"/>
  <c r="BW305" i="43" s="1"/>
  <c r="CI305" i="43" s="1"/>
  <c r="AF304" i="43"/>
  <c r="BW304" i="43" s="1"/>
  <c r="CI304" i="43" s="1"/>
  <c r="AF303" i="43"/>
  <c r="BW303" i="43" s="1"/>
  <c r="CI303" i="43" s="1"/>
  <c r="AF302" i="43"/>
  <c r="BW302" i="43" s="1"/>
  <c r="CI302" i="43" s="1"/>
  <c r="AF301" i="43"/>
  <c r="BW301" i="43" s="1"/>
  <c r="CI301" i="43" s="1"/>
  <c r="AF300" i="43"/>
  <c r="BW300" i="43" s="1"/>
  <c r="CI300" i="43" s="1"/>
  <c r="AF299" i="43"/>
  <c r="BW299" i="43" s="1"/>
  <c r="CI299" i="43" s="1"/>
  <c r="AF298" i="43"/>
  <c r="BW298" i="43" s="1"/>
  <c r="CI298" i="43" s="1"/>
  <c r="AF297" i="43"/>
  <c r="BW297" i="43" s="1"/>
  <c r="CI297" i="43" s="1"/>
  <c r="AF296" i="43"/>
  <c r="BW296" i="43" s="1"/>
  <c r="CI296" i="43" s="1"/>
  <c r="AF295" i="43"/>
  <c r="BW295" i="43" s="1"/>
  <c r="CI295" i="43" s="1"/>
  <c r="AF294" i="43"/>
  <c r="BW294" i="43" s="1"/>
  <c r="CI294" i="43" s="1"/>
  <c r="AF293" i="43"/>
  <c r="BW293" i="43" s="1"/>
  <c r="CI293" i="43" s="1"/>
  <c r="AF292" i="43"/>
  <c r="BW292" i="43" s="1"/>
  <c r="CI292" i="43" s="1"/>
  <c r="AF291" i="43"/>
  <c r="BW291" i="43" s="1"/>
  <c r="CI291" i="43" s="1"/>
  <c r="AF290" i="43"/>
  <c r="BW290" i="43" s="1"/>
  <c r="CI290" i="43" s="1"/>
  <c r="AF289" i="43"/>
  <c r="BW289" i="43" s="1"/>
  <c r="CI289" i="43" s="1"/>
  <c r="AF288" i="43"/>
  <c r="BW288" i="43" s="1"/>
  <c r="CI288" i="43" s="1"/>
  <c r="AF287" i="43"/>
  <c r="BW287" i="43" s="1"/>
  <c r="CI287" i="43" s="1"/>
  <c r="AF286" i="43"/>
  <c r="BW286" i="43" s="1"/>
  <c r="CI286" i="43" s="1"/>
  <c r="AF285" i="43"/>
  <c r="BW285" i="43" s="1"/>
  <c r="CI285" i="43" s="1"/>
  <c r="AF284" i="43"/>
  <c r="BW284" i="43" s="1"/>
  <c r="CI284" i="43" s="1"/>
  <c r="AF283" i="43"/>
  <c r="BW283" i="43" s="1"/>
  <c r="CI283" i="43" s="1"/>
  <c r="AF282" i="43"/>
  <c r="BW282" i="43" s="1"/>
  <c r="CI282" i="43" s="1"/>
  <c r="AF281" i="43"/>
  <c r="BW281" i="43" s="1"/>
  <c r="CI281" i="43" s="1"/>
  <c r="AF280" i="43"/>
  <c r="BW280" i="43" s="1"/>
  <c r="CI280" i="43" s="1"/>
  <c r="AF279" i="43"/>
  <c r="BW279" i="43" s="1"/>
  <c r="CI279" i="43" s="1"/>
  <c r="AF278" i="43"/>
  <c r="BW278" i="43" s="1"/>
  <c r="CI278" i="43" s="1"/>
  <c r="AF277" i="43"/>
  <c r="BW277" i="43" s="1"/>
  <c r="CI277" i="43" s="1"/>
  <c r="AF276" i="43"/>
  <c r="BW276" i="43" s="1"/>
  <c r="CI276" i="43" s="1"/>
  <c r="AF275" i="43"/>
  <c r="BW275" i="43" s="1"/>
  <c r="CI275" i="43" s="1"/>
  <c r="AF274" i="43"/>
  <c r="BW274" i="43" s="1"/>
  <c r="CI274" i="43" s="1"/>
  <c r="AF273" i="43"/>
  <c r="BW273" i="43" s="1"/>
  <c r="CI273" i="43" s="1"/>
  <c r="AF272" i="43"/>
  <c r="BW272" i="43" s="1"/>
  <c r="CI272" i="43" s="1"/>
  <c r="AF271" i="43"/>
  <c r="BW271" i="43" s="1"/>
  <c r="CI271" i="43" s="1"/>
  <c r="AF270" i="43"/>
  <c r="BW270" i="43" s="1"/>
  <c r="CI270" i="43" s="1"/>
  <c r="AF269" i="43"/>
  <c r="BW269" i="43" s="1"/>
  <c r="CI269" i="43" s="1"/>
  <c r="AF268" i="43"/>
  <c r="BW268" i="43" s="1"/>
  <c r="CI268" i="43" s="1"/>
  <c r="AF267" i="43"/>
  <c r="BW267" i="43" s="1"/>
  <c r="CI267" i="43" s="1"/>
  <c r="AF266" i="43"/>
  <c r="BW266" i="43" s="1"/>
  <c r="CI266" i="43" s="1"/>
  <c r="AF265" i="43"/>
  <c r="BW265" i="43" s="1"/>
  <c r="CI265" i="43" s="1"/>
  <c r="AF264" i="43"/>
  <c r="BW264" i="43" s="1"/>
  <c r="CI264" i="43" s="1"/>
  <c r="AF263" i="43"/>
  <c r="BW263" i="43" s="1"/>
  <c r="CI263" i="43" s="1"/>
  <c r="AF262" i="43"/>
  <c r="BW262" i="43" s="1"/>
  <c r="CI262" i="43" s="1"/>
  <c r="AF261" i="43"/>
  <c r="BW261" i="43" s="1"/>
  <c r="CI261" i="43" s="1"/>
  <c r="AF260" i="43"/>
  <c r="BW260" i="43" s="1"/>
  <c r="CI260" i="43" s="1"/>
  <c r="AF259" i="43"/>
  <c r="BW259" i="43" s="1"/>
  <c r="CI259" i="43" s="1"/>
  <c r="AF258" i="43"/>
  <c r="BW258" i="43" s="1"/>
  <c r="CI258" i="43" s="1"/>
  <c r="AF257" i="43"/>
  <c r="BW257" i="43" s="1"/>
  <c r="CI257" i="43" s="1"/>
  <c r="AF256" i="43"/>
  <c r="BW256" i="43" s="1"/>
  <c r="CI256" i="43" s="1"/>
  <c r="AF255" i="43"/>
  <c r="BW255" i="43" s="1"/>
  <c r="CI255" i="43" s="1"/>
  <c r="AF254" i="43"/>
  <c r="BW254" i="43" s="1"/>
  <c r="CI254" i="43" s="1"/>
  <c r="AF253" i="43"/>
  <c r="BW253" i="43" s="1"/>
  <c r="CI253" i="43" s="1"/>
  <c r="AF252" i="43"/>
  <c r="BW252" i="43" s="1"/>
  <c r="CI252" i="43" s="1"/>
  <c r="AF251" i="43"/>
  <c r="BW251" i="43" s="1"/>
  <c r="CI251" i="43" s="1"/>
  <c r="AF250" i="43"/>
  <c r="BW250" i="43" s="1"/>
  <c r="CI250" i="43" s="1"/>
  <c r="AF249" i="43"/>
  <c r="BW249" i="43" s="1"/>
  <c r="CI249" i="43" s="1"/>
  <c r="AF248" i="43"/>
  <c r="BW248" i="43" s="1"/>
  <c r="CI248" i="43" s="1"/>
  <c r="AF247" i="43"/>
  <c r="BW247" i="43" s="1"/>
  <c r="CI247" i="43" s="1"/>
  <c r="AF246" i="43"/>
  <c r="BW246" i="43" s="1"/>
  <c r="CI246" i="43" s="1"/>
  <c r="AF245" i="43"/>
  <c r="BW245" i="43" s="1"/>
  <c r="CI245" i="43" s="1"/>
  <c r="AF244" i="43"/>
  <c r="BW244" i="43" s="1"/>
  <c r="CI244" i="43" s="1"/>
  <c r="AF243" i="43"/>
  <c r="BW243" i="43" s="1"/>
  <c r="CI243" i="43" s="1"/>
  <c r="AF242" i="43"/>
  <c r="BW242" i="43" s="1"/>
  <c r="CI242" i="43" s="1"/>
  <c r="AF241" i="43"/>
  <c r="BW241" i="43" s="1"/>
  <c r="CI241" i="43" s="1"/>
  <c r="AF240" i="43"/>
  <c r="BW240" i="43" s="1"/>
  <c r="CI240" i="43" s="1"/>
  <c r="AF239" i="43"/>
  <c r="BW239" i="43" s="1"/>
  <c r="CI239" i="43" s="1"/>
  <c r="AF238" i="43"/>
  <c r="BW238" i="43" s="1"/>
  <c r="CI238" i="43" s="1"/>
  <c r="AF237" i="43"/>
  <c r="BW237" i="43" s="1"/>
  <c r="CI237" i="43" s="1"/>
  <c r="AF236" i="43"/>
  <c r="BW236" i="43" s="1"/>
  <c r="CI236" i="43" s="1"/>
  <c r="AF235" i="43"/>
  <c r="BW235" i="43" s="1"/>
  <c r="CI235" i="43" s="1"/>
  <c r="AF234" i="43"/>
  <c r="BW234" i="43" s="1"/>
  <c r="CI234" i="43" s="1"/>
  <c r="AF233" i="43"/>
  <c r="BW233" i="43" s="1"/>
  <c r="CI233" i="43" s="1"/>
  <c r="AF232" i="43"/>
  <c r="BW232" i="43" s="1"/>
  <c r="CI232" i="43" s="1"/>
  <c r="AF231" i="43"/>
  <c r="BW231" i="43" s="1"/>
  <c r="CI231" i="43" s="1"/>
  <c r="AF230" i="43"/>
  <c r="BW230" i="43" s="1"/>
  <c r="CI230" i="43" s="1"/>
  <c r="AF229" i="43"/>
  <c r="BW229" i="43" s="1"/>
  <c r="CI229" i="43" s="1"/>
  <c r="AF228" i="43"/>
  <c r="BW228" i="43" s="1"/>
  <c r="CI228" i="43" s="1"/>
  <c r="AF227" i="43"/>
  <c r="BW227" i="43" s="1"/>
  <c r="CI227" i="43" s="1"/>
  <c r="AF226" i="43"/>
  <c r="BW226" i="43" s="1"/>
  <c r="CI226" i="43" s="1"/>
  <c r="AF225" i="43"/>
  <c r="BW225" i="43" s="1"/>
  <c r="CI225" i="43" s="1"/>
  <c r="AF224" i="43"/>
  <c r="BW224" i="43" s="1"/>
  <c r="CI224" i="43" s="1"/>
  <c r="AF223" i="43"/>
  <c r="BW223" i="43" s="1"/>
  <c r="CI223" i="43" s="1"/>
  <c r="AF222" i="43"/>
  <c r="BW222" i="43" s="1"/>
  <c r="CI222" i="43" s="1"/>
  <c r="AF221" i="43"/>
  <c r="BW221" i="43" s="1"/>
  <c r="CI221" i="43" s="1"/>
  <c r="AF220" i="43"/>
  <c r="BW220" i="43" s="1"/>
  <c r="CI220" i="43" s="1"/>
  <c r="AF219" i="43"/>
  <c r="BW219" i="43" s="1"/>
  <c r="CI219" i="43" s="1"/>
  <c r="AF218" i="43"/>
  <c r="BW218" i="43" s="1"/>
  <c r="CI218" i="43" s="1"/>
  <c r="AF217" i="43"/>
  <c r="BW217" i="43" s="1"/>
  <c r="CI217" i="43" s="1"/>
  <c r="AF216" i="43"/>
  <c r="BW216" i="43" s="1"/>
  <c r="CI216" i="43" s="1"/>
  <c r="AF215" i="43"/>
  <c r="BW215" i="43" s="1"/>
  <c r="CI215" i="43" s="1"/>
  <c r="AF214" i="43"/>
  <c r="BW214" i="43" s="1"/>
  <c r="CI214" i="43" s="1"/>
  <c r="AF213" i="43"/>
  <c r="BW213" i="43" s="1"/>
  <c r="CI213" i="43" s="1"/>
  <c r="AF212" i="43"/>
  <c r="BW212" i="43" s="1"/>
  <c r="CI212" i="43" s="1"/>
  <c r="AF211" i="43"/>
  <c r="BW211" i="43" s="1"/>
  <c r="CI211" i="43" s="1"/>
  <c r="AF210" i="43"/>
  <c r="BW210" i="43" s="1"/>
  <c r="CI210" i="43" s="1"/>
  <c r="AF209" i="43"/>
  <c r="BW209" i="43" s="1"/>
  <c r="CI209" i="43" s="1"/>
  <c r="AF208" i="43"/>
  <c r="BW208" i="43" s="1"/>
  <c r="CI208" i="43" s="1"/>
  <c r="AF207" i="43"/>
  <c r="BW207" i="43" s="1"/>
  <c r="CI207" i="43" s="1"/>
  <c r="AF206" i="43"/>
  <c r="BW206" i="43" s="1"/>
  <c r="CI206" i="43" s="1"/>
  <c r="AF205" i="43"/>
  <c r="BW205" i="43" s="1"/>
  <c r="CI205" i="43" s="1"/>
  <c r="AF204" i="43"/>
  <c r="BW204" i="43" s="1"/>
  <c r="CI204" i="43" s="1"/>
  <c r="AF203" i="43"/>
  <c r="BW203" i="43" s="1"/>
  <c r="CI203" i="43" s="1"/>
  <c r="AF202" i="43"/>
  <c r="BW202" i="43" s="1"/>
  <c r="CI202" i="43" s="1"/>
  <c r="AF201" i="43"/>
  <c r="BW201" i="43" s="1"/>
  <c r="CI201" i="43" s="1"/>
  <c r="AF200" i="43"/>
  <c r="BW200" i="43" s="1"/>
  <c r="CI200" i="43" s="1"/>
  <c r="AF199" i="43"/>
  <c r="BW199" i="43" s="1"/>
  <c r="CI199" i="43" s="1"/>
  <c r="AF198" i="43"/>
  <c r="BW198" i="43" s="1"/>
  <c r="CI198" i="43" s="1"/>
  <c r="AF197" i="43"/>
  <c r="BW197" i="43" s="1"/>
  <c r="CI197" i="43" s="1"/>
  <c r="AF196" i="43"/>
  <c r="BW196" i="43" s="1"/>
  <c r="CI196" i="43" s="1"/>
  <c r="AF195" i="43"/>
  <c r="BW195" i="43" s="1"/>
  <c r="CI195" i="43" s="1"/>
  <c r="AF194" i="43"/>
  <c r="BW194" i="43" s="1"/>
  <c r="CI194" i="43" s="1"/>
  <c r="AF193" i="43"/>
  <c r="BW193" i="43" s="1"/>
  <c r="CI193" i="43" s="1"/>
  <c r="AF192" i="43"/>
  <c r="BW192" i="43" s="1"/>
  <c r="CI192" i="43" s="1"/>
  <c r="AF191" i="43"/>
  <c r="BW191" i="43" s="1"/>
  <c r="CI191" i="43" s="1"/>
  <c r="AF190" i="43"/>
  <c r="BW190" i="43" s="1"/>
  <c r="CI190" i="43" s="1"/>
  <c r="AF189" i="43"/>
  <c r="BW189" i="43" s="1"/>
  <c r="CI189" i="43" s="1"/>
  <c r="AF188" i="43"/>
  <c r="BW188" i="43" s="1"/>
  <c r="CI188" i="43" s="1"/>
  <c r="AF187" i="43"/>
  <c r="BW187" i="43" s="1"/>
  <c r="CI187" i="43" s="1"/>
  <c r="AF186" i="43"/>
  <c r="BW186" i="43" s="1"/>
  <c r="CI186" i="43" s="1"/>
  <c r="AF185" i="43"/>
  <c r="BW185" i="43" s="1"/>
  <c r="CI185" i="43" s="1"/>
  <c r="AF184" i="43"/>
  <c r="BW184" i="43" s="1"/>
  <c r="CI184" i="43" s="1"/>
  <c r="AF183" i="43"/>
  <c r="BW183" i="43" s="1"/>
  <c r="CI183" i="43" s="1"/>
  <c r="AF182" i="43"/>
  <c r="BW182" i="43" s="1"/>
  <c r="CI182" i="43" s="1"/>
  <c r="AF181" i="43"/>
  <c r="BW181" i="43" s="1"/>
  <c r="CI181" i="43" s="1"/>
  <c r="AF180" i="43"/>
  <c r="BW180" i="43" s="1"/>
  <c r="CI180" i="43" s="1"/>
  <c r="AF179" i="43"/>
  <c r="BW179" i="43" s="1"/>
  <c r="CI179" i="43" s="1"/>
  <c r="AF178" i="43"/>
  <c r="BW178" i="43" s="1"/>
  <c r="CI178" i="43" s="1"/>
  <c r="AF177" i="43"/>
  <c r="BW177" i="43" s="1"/>
  <c r="CI177" i="43" s="1"/>
  <c r="AF176" i="43"/>
  <c r="BW176" i="43" s="1"/>
  <c r="CI176" i="43" s="1"/>
  <c r="AF175" i="43"/>
  <c r="BW175" i="43" s="1"/>
  <c r="CI175" i="43" s="1"/>
  <c r="AF174" i="43"/>
  <c r="BW174" i="43" s="1"/>
  <c r="CI174" i="43" s="1"/>
  <c r="AF173" i="43"/>
  <c r="BW173" i="43" s="1"/>
  <c r="CI173" i="43" s="1"/>
  <c r="AF172" i="43"/>
  <c r="BW172" i="43" s="1"/>
  <c r="CI172" i="43" s="1"/>
  <c r="AF171" i="43"/>
  <c r="BW171" i="43" s="1"/>
  <c r="CI171" i="43" s="1"/>
  <c r="AF170" i="43"/>
  <c r="BW170" i="43" s="1"/>
  <c r="CI170" i="43" s="1"/>
  <c r="AF169" i="43"/>
  <c r="BW169" i="43" s="1"/>
  <c r="CI169" i="43" s="1"/>
  <c r="AF168" i="43"/>
  <c r="BW168" i="43" s="1"/>
  <c r="CI168" i="43" s="1"/>
  <c r="AF167" i="43"/>
  <c r="BW167" i="43" s="1"/>
  <c r="CI167" i="43" s="1"/>
  <c r="AF166" i="43"/>
  <c r="BW166" i="43" s="1"/>
  <c r="CI166" i="43" s="1"/>
  <c r="AF165" i="43"/>
  <c r="BW165" i="43" s="1"/>
  <c r="CI165" i="43" s="1"/>
  <c r="AF164" i="43"/>
  <c r="BW164" i="43" s="1"/>
  <c r="CI164" i="43" s="1"/>
  <c r="AF163" i="43"/>
  <c r="BW163" i="43" s="1"/>
  <c r="CI163" i="43" s="1"/>
  <c r="AF162" i="43"/>
  <c r="BW162" i="43" s="1"/>
  <c r="CI162" i="43" s="1"/>
  <c r="AF161" i="43"/>
  <c r="BW161" i="43" s="1"/>
  <c r="CI161" i="43" s="1"/>
  <c r="AF160" i="43"/>
  <c r="BW160" i="43" s="1"/>
  <c r="CI160" i="43" s="1"/>
  <c r="AF159" i="43"/>
  <c r="BW159" i="43" s="1"/>
  <c r="CI159" i="43" s="1"/>
  <c r="AF158" i="43"/>
  <c r="BW158" i="43" s="1"/>
  <c r="CI158" i="43" s="1"/>
  <c r="AF157" i="43"/>
  <c r="BW157" i="43" s="1"/>
  <c r="CI157" i="43" s="1"/>
  <c r="AF156" i="43"/>
  <c r="BW156" i="43" s="1"/>
  <c r="CI156" i="43" s="1"/>
  <c r="AF155" i="43"/>
  <c r="BW155" i="43" s="1"/>
  <c r="CI155" i="43" s="1"/>
  <c r="AF154" i="43"/>
  <c r="BW154" i="43" s="1"/>
  <c r="CI154" i="43" s="1"/>
  <c r="AF153" i="43"/>
  <c r="BW153" i="43" s="1"/>
  <c r="CI153" i="43" s="1"/>
  <c r="AF152" i="43"/>
  <c r="BW152" i="43" s="1"/>
  <c r="CI152" i="43" s="1"/>
  <c r="AF151" i="43"/>
  <c r="BW151" i="43" s="1"/>
  <c r="CI151" i="43" s="1"/>
  <c r="AF150" i="43"/>
  <c r="BW150" i="43" s="1"/>
  <c r="CI150" i="43" s="1"/>
  <c r="AF149" i="43"/>
  <c r="BW149" i="43" s="1"/>
  <c r="CI149" i="43" s="1"/>
  <c r="AF148" i="43"/>
  <c r="BW148" i="43" s="1"/>
  <c r="CI148" i="43" s="1"/>
  <c r="AF147" i="43"/>
  <c r="BW147" i="43" s="1"/>
  <c r="CI147" i="43" s="1"/>
  <c r="AF146" i="43"/>
  <c r="BW146" i="43" s="1"/>
  <c r="CI146" i="43" s="1"/>
  <c r="AF145" i="43"/>
  <c r="BW145" i="43" s="1"/>
  <c r="CI145" i="43" s="1"/>
  <c r="AF144" i="43"/>
  <c r="BW144" i="43" s="1"/>
  <c r="CI144" i="43" s="1"/>
  <c r="AF143" i="43"/>
  <c r="BW143" i="43" s="1"/>
  <c r="CI143" i="43" s="1"/>
  <c r="AF142" i="43"/>
  <c r="BW142" i="43" s="1"/>
  <c r="CI142" i="43" s="1"/>
  <c r="AF141" i="43"/>
  <c r="BW141" i="43" s="1"/>
  <c r="CI141" i="43" s="1"/>
  <c r="AF140" i="43"/>
  <c r="BW140" i="43" s="1"/>
  <c r="CI140" i="43" s="1"/>
  <c r="AF139" i="43"/>
  <c r="BW139" i="43" s="1"/>
  <c r="CI139" i="43" s="1"/>
  <c r="AF138" i="43"/>
  <c r="BW138" i="43" s="1"/>
  <c r="CI138" i="43" s="1"/>
  <c r="AF137" i="43"/>
  <c r="BW137" i="43" s="1"/>
  <c r="CI137" i="43" s="1"/>
  <c r="AF136" i="43"/>
  <c r="BW136" i="43" s="1"/>
  <c r="CI136" i="43" s="1"/>
  <c r="AF135" i="43"/>
  <c r="BW135" i="43" s="1"/>
  <c r="CI135" i="43" s="1"/>
  <c r="AF134" i="43"/>
  <c r="BW134" i="43" s="1"/>
  <c r="CI134" i="43" s="1"/>
  <c r="AF133" i="43"/>
  <c r="BW133" i="43" s="1"/>
  <c r="CI133" i="43" s="1"/>
  <c r="AF132" i="43"/>
  <c r="BW132" i="43" s="1"/>
  <c r="CI132" i="43" s="1"/>
  <c r="AF131" i="43"/>
  <c r="BW131" i="43" s="1"/>
  <c r="CI131" i="43" s="1"/>
  <c r="AF130" i="43"/>
  <c r="BW130" i="43" s="1"/>
  <c r="CI130" i="43" s="1"/>
  <c r="AF129" i="43"/>
  <c r="BW129" i="43" s="1"/>
  <c r="CI129" i="43" s="1"/>
  <c r="AF128" i="43"/>
  <c r="BW128" i="43" s="1"/>
  <c r="CI128" i="43" s="1"/>
  <c r="AF127" i="43"/>
  <c r="BW127" i="43" s="1"/>
  <c r="CI127" i="43" s="1"/>
  <c r="AF126" i="43"/>
  <c r="BW126" i="43" s="1"/>
  <c r="CI126" i="43" s="1"/>
  <c r="AF125" i="43"/>
  <c r="BW125" i="43" s="1"/>
  <c r="CI125" i="43" s="1"/>
  <c r="AF124" i="43"/>
  <c r="BW124" i="43" s="1"/>
  <c r="CI124" i="43" s="1"/>
  <c r="AF123" i="43"/>
  <c r="BW123" i="43" s="1"/>
  <c r="CI123" i="43" s="1"/>
  <c r="AF122" i="43"/>
  <c r="BW122" i="43" s="1"/>
  <c r="CI122" i="43" s="1"/>
  <c r="AF121" i="43"/>
  <c r="BW121" i="43" s="1"/>
  <c r="CI121" i="43" s="1"/>
  <c r="AF120" i="43"/>
  <c r="BW120" i="43" s="1"/>
  <c r="CI120" i="43" s="1"/>
  <c r="AF119" i="43"/>
  <c r="BW119" i="43" s="1"/>
  <c r="CI119" i="43" s="1"/>
  <c r="AF118" i="43"/>
  <c r="BW118" i="43" s="1"/>
  <c r="CI118" i="43" s="1"/>
  <c r="AF117" i="43"/>
  <c r="BW117" i="43" s="1"/>
  <c r="CI117" i="43" s="1"/>
  <c r="AF116" i="43"/>
  <c r="BW116" i="43" s="1"/>
  <c r="CI116" i="43" s="1"/>
  <c r="AF115" i="43"/>
  <c r="BW115" i="43" s="1"/>
  <c r="CI115" i="43" s="1"/>
  <c r="AF114" i="43"/>
  <c r="BW114" i="43" s="1"/>
  <c r="CI114" i="43" s="1"/>
  <c r="AF113" i="43"/>
  <c r="BW113" i="43" s="1"/>
  <c r="CI113" i="43" s="1"/>
  <c r="AF112" i="43"/>
  <c r="BW112" i="43" s="1"/>
  <c r="CI112" i="43" s="1"/>
  <c r="AF111" i="43"/>
  <c r="BW111" i="43" s="1"/>
  <c r="CI111" i="43" s="1"/>
  <c r="AF110" i="43"/>
  <c r="BW110" i="43" s="1"/>
  <c r="CI110" i="43" s="1"/>
  <c r="AF109" i="43"/>
  <c r="BW109" i="43" s="1"/>
  <c r="CI109" i="43" s="1"/>
  <c r="AF108" i="43"/>
  <c r="BW108" i="43" s="1"/>
  <c r="CI108" i="43" s="1"/>
  <c r="AF107" i="43"/>
  <c r="BW107" i="43" s="1"/>
  <c r="CI107" i="43" s="1"/>
  <c r="AF106" i="43"/>
  <c r="BW106" i="43" s="1"/>
  <c r="CI106" i="43" s="1"/>
  <c r="AF105" i="43"/>
  <c r="BW105" i="43" s="1"/>
  <c r="CI105" i="43" s="1"/>
  <c r="AF104" i="43"/>
  <c r="BW104" i="43" s="1"/>
  <c r="CI104" i="43" s="1"/>
  <c r="AF103" i="43"/>
  <c r="BW103" i="43" s="1"/>
  <c r="CI103" i="43" s="1"/>
  <c r="AF102" i="43"/>
  <c r="BW102" i="43" s="1"/>
  <c r="CI102" i="43" s="1"/>
  <c r="AF101" i="43"/>
  <c r="BW101" i="43" s="1"/>
  <c r="CI101" i="43" s="1"/>
  <c r="AF100" i="43"/>
  <c r="BW100" i="43" s="1"/>
  <c r="CI100" i="43" s="1"/>
  <c r="AF99" i="43"/>
  <c r="BW99" i="43" s="1"/>
  <c r="CI99" i="43" s="1"/>
  <c r="AF98" i="43"/>
  <c r="BW98" i="43" s="1"/>
  <c r="CI98" i="43" s="1"/>
  <c r="AF97" i="43"/>
  <c r="BW97" i="43" s="1"/>
  <c r="CI97" i="43" s="1"/>
  <c r="AF96" i="43"/>
  <c r="BW96" i="43" s="1"/>
  <c r="CI96" i="43" s="1"/>
  <c r="AF95" i="43"/>
  <c r="BW95" i="43" s="1"/>
  <c r="CI95" i="43" s="1"/>
  <c r="AF94" i="43"/>
  <c r="BW94" i="43" s="1"/>
  <c r="CI94" i="43" s="1"/>
  <c r="AF93" i="43"/>
  <c r="BW93" i="43" s="1"/>
  <c r="CI93" i="43" s="1"/>
  <c r="AF92" i="43"/>
  <c r="BW92" i="43" s="1"/>
  <c r="CI92" i="43" s="1"/>
  <c r="AF91" i="43"/>
  <c r="BW91" i="43" s="1"/>
  <c r="CI91" i="43" s="1"/>
  <c r="AF90" i="43"/>
  <c r="BW90" i="43" s="1"/>
  <c r="CI90" i="43" s="1"/>
  <c r="AF89" i="43"/>
  <c r="BW89" i="43" s="1"/>
  <c r="CI89" i="43" s="1"/>
  <c r="AF88" i="43"/>
  <c r="BW88" i="43" s="1"/>
  <c r="CI88" i="43" s="1"/>
  <c r="AF87" i="43"/>
  <c r="BW87" i="43" s="1"/>
  <c r="CI87" i="43" s="1"/>
  <c r="AF86" i="43"/>
  <c r="BW86" i="43" s="1"/>
  <c r="CI86" i="43" s="1"/>
  <c r="AF85" i="43"/>
  <c r="BW85" i="43" s="1"/>
  <c r="CI85" i="43" s="1"/>
  <c r="AF84" i="43"/>
  <c r="BW84" i="43" s="1"/>
  <c r="CI84" i="43" s="1"/>
  <c r="AF83" i="43"/>
  <c r="BW83" i="43" s="1"/>
  <c r="CI83" i="43" s="1"/>
  <c r="AF82" i="43"/>
  <c r="BW82" i="43" s="1"/>
  <c r="CI82" i="43" s="1"/>
  <c r="AF81" i="43"/>
  <c r="BW81" i="43" s="1"/>
  <c r="CI81" i="43" s="1"/>
  <c r="AF80" i="43"/>
  <c r="BW80" i="43" s="1"/>
  <c r="CI80" i="43" s="1"/>
  <c r="AF79" i="43"/>
  <c r="BW79" i="43" s="1"/>
  <c r="CI79" i="43" s="1"/>
  <c r="AF78" i="43"/>
  <c r="BW78" i="43" s="1"/>
  <c r="CI78" i="43" s="1"/>
  <c r="AF77" i="43"/>
  <c r="BW77" i="43" s="1"/>
  <c r="CI77" i="43" s="1"/>
  <c r="AF76" i="43"/>
  <c r="BW76" i="43" s="1"/>
  <c r="CI76" i="43" s="1"/>
  <c r="AF75" i="43"/>
  <c r="BW75" i="43" s="1"/>
  <c r="CI75" i="43" s="1"/>
  <c r="AF74" i="43"/>
  <c r="BW74" i="43" s="1"/>
  <c r="CI74" i="43" s="1"/>
  <c r="AF73" i="43"/>
  <c r="BW73" i="43" s="1"/>
  <c r="CI73" i="43" s="1"/>
  <c r="AF72" i="43"/>
  <c r="BW72" i="43" s="1"/>
  <c r="CI72" i="43" s="1"/>
  <c r="AF71" i="43"/>
  <c r="BW71" i="43" s="1"/>
  <c r="CI71" i="43" s="1"/>
  <c r="AF70" i="43"/>
  <c r="BW70" i="43" s="1"/>
  <c r="CI70" i="43" s="1"/>
  <c r="AF69" i="43"/>
  <c r="BW69" i="43" s="1"/>
  <c r="CI69" i="43" s="1"/>
  <c r="AF68" i="43"/>
  <c r="BW68" i="43" s="1"/>
  <c r="CI68" i="43" s="1"/>
  <c r="AF67" i="43"/>
  <c r="BW67" i="43" s="1"/>
  <c r="CI67" i="43" s="1"/>
  <c r="AF66" i="43"/>
  <c r="BW66" i="43" s="1"/>
  <c r="CI66" i="43" s="1"/>
  <c r="AF65" i="43"/>
  <c r="BW65" i="43" s="1"/>
  <c r="CI65" i="43" s="1"/>
  <c r="AF64" i="43"/>
  <c r="BW64" i="43" s="1"/>
  <c r="CI64" i="43" s="1"/>
  <c r="AF63" i="43"/>
  <c r="BW63" i="43" s="1"/>
  <c r="CI63" i="43" s="1"/>
  <c r="AF62" i="43"/>
  <c r="BW62" i="43" s="1"/>
  <c r="CI62" i="43" s="1"/>
  <c r="AF61" i="43"/>
  <c r="BW61" i="43" s="1"/>
  <c r="CI61" i="43" s="1"/>
  <c r="AF60" i="43"/>
  <c r="BW60" i="43" s="1"/>
  <c r="CI60" i="43" s="1"/>
  <c r="AF59" i="43"/>
  <c r="BW59" i="43" s="1"/>
  <c r="CI59" i="43" s="1"/>
  <c r="AF58" i="43"/>
  <c r="BW58" i="43" s="1"/>
  <c r="CI58" i="43" s="1"/>
  <c r="AF57" i="43"/>
  <c r="BW57" i="43" s="1"/>
  <c r="CI57" i="43" s="1"/>
  <c r="AF56" i="43"/>
  <c r="BW56" i="43" s="1"/>
  <c r="CI56" i="43" s="1"/>
  <c r="AF55" i="43"/>
  <c r="BW55" i="43" s="1"/>
  <c r="CI55" i="43" s="1"/>
  <c r="AF54" i="43"/>
  <c r="BW54" i="43" s="1"/>
  <c r="CI54" i="43" s="1"/>
  <c r="AF53" i="43"/>
  <c r="BW53" i="43" s="1"/>
  <c r="CI53" i="43" s="1"/>
  <c r="AF52" i="43"/>
  <c r="BW52" i="43" s="1"/>
  <c r="CI52" i="43" s="1"/>
  <c r="AF51" i="43"/>
  <c r="BW51" i="43" s="1"/>
  <c r="CI51" i="43" s="1"/>
  <c r="AF50" i="43"/>
  <c r="BW50" i="43" s="1"/>
  <c r="CI50" i="43" s="1"/>
  <c r="AF49" i="43"/>
  <c r="BW49" i="43" s="1"/>
  <c r="CI49" i="43" s="1"/>
  <c r="AF48" i="43"/>
  <c r="BW48" i="43" s="1"/>
  <c r="CI48" i="43" s="1"/>
  <c r="AF47" i="43"/>
  <c r="BW47" i="43" s="1"/>
  <c r="CI47" i="43" s="1"/>
  <c r="AF46" i="43"/>
  <c r="BW46" i="43" s="1"/>
  <c r="CI46" i="43" s="1"/>
  <c r="AF45" i="43"/>
  <c r="BW45" i="43" s="1"/>
  <c r="CI45" i="43" s="1"/>
  <c r="AF44" i="43"/>
  <c r="BW44" i="43" s="1"/>
  <c r="CI44" i="43" s="1"/>
  <c r="AF43" i="43"/>
  <c r="BW43" i="43" s="1"/>
  <c r="CI43" i="43" s="1"/>
  <c r="AF42" i="43"/>
  <c r="BW42" i="43" s="1"/>
  <c r="CI42" i="43" s="1"/>
  <c r="AF41" i="43"/>
  <c r="BW41" i="43" s="1"/>
  <c r="CI41" i="43" s="1"/>
  <c r="AF40" i="43"/>
  <c r="BW40" i="43" s="1"/>
  <c r="CI40" i="43" s="1"/>
  <c r="AF39" i="43"/>
  <c r="BW39" i="43" s="1"/>
  <c r="CI39" i="43" s="1"/>
  <c r="AF38" i="43"/>
  <c r="BW38" i="43" s="1"/>
  <c r="CI38" i="43" s="1"/>
  <c r="AF37" i="43"/>
  <c r="BW37" i="43" s="1"/>
  <c r="CI37" i="43" s="1"/>
  <c r="AF36" i="43"/>
  <c r="BW36" i="43" s="1"/>
  <c r="CI36" i="43" s="1"/>
  <c r="AF35" i="43"/>
  <c r="BW35" i="43" s="1"/>
  <c r="CI35" i="43" s="1"/>
  <c r="AF34" i="43"/>
  <c r="BW34" i="43" s="1"/>
  <c r="CI34" i="43" s="1"/>
  <c r="AF33" i="43"/>
  <c r="BW33" i="43" s="1"/>
  <c r="CI33" i="43" s="1"/>
  <c r="AF32" i="43"/>
  <c r="BW32" i="43" s="1"/>
  <c r="CI32" i="43" s="1"/>
  <c r="AF31" i="43"/>
  <c r="BW31" i="43" s="1"/>
  <c r="CI31" i="43" s="1"/>
  <c r="AF30" i="43"/>
  <c r="BW30" i="43" s="1"/>
  <c r="CI30" i="43" s="1"/>
  <c r="AF29" i="43"/>
  <c r="BW29" i="43" s="1"/>
  <c r="CI29" i="43" s="1"/>
  <c r="AF28" i="43"/>
  <c r="BW28" i="43" s="1"/>
  <c r="CI28" i="43" s="1"/>
  <c r="AF27" i="43"/>
  <c r="BW27" i="43" s="1"/>
  <c r="CI27" i="43" s="1"/>
  <c r="AF26" i="43"/>
  <c r="BW26" i="43" s="1"/>
  <c r="CI26" i="43" s="1"/>
  <c r="AF25" i="43"/>
  <c r="BW25" i="43" s="1"/>
  <c r="CI25" i="43" s="1"/>
  <c r="AF24" i="43"/>
  <c r="BW24" i="43" s="1"/>
  <c r="CI24" i="43" s="1"/>
  <c r="AF23" i="43"/>
  <c r="BW23" i="43" s="1"/>
  <c r="CI23" i="43" s="1"/>
  <c r="AF22" i="43"/>
  <c r="BW22" i="43" s="1"/>
  <c r="CI22" i="43" s="1"/>
  <c r="AF21" i="43"/>
  <c r="BW21" i="43" s="1"/>
  <c r="CI21" i="43" s="1"/>
  <c r="AF20" i="43"/>
  <c r="BW20" i="43" s="1"/>
  <c r="CI20" i="43" s="1"/>
  <c r="AF19" i="43"/>
  <c r="BW19" i="43" s="1"/>
  <c r="CI19" i="43" s="1"/>
  <c r="AF18" i="43"/>
  <c r="BW18" i="43" s="1"/>
  <c r="CI18" i="43" s="1"/>
  <c r="AF17" i="43"/>
  <c r="BW17" i="43" s="1"/>
  <c r="CI17" i="43" s="1"/>
  <c r="AF16" i="43"/>
  <c r="BW16" i="43" s="1"/>
  <c r="CI16" i="43" s="1"/>
  <c r="AF15" i="43"/>
  <c r="BW15" i="43" s="1"/>
  <c r="CI15" i="43" s="1"/>
  <c r="K307" i="44" l="1"/>
  <c r="K306" i="44"/>
  <c r="K305" i="44"/>
  <c r="K304" i="44"/>
  <c r="K303" i="44"/>
  <c r="K302" i="44"/>
  <c r="K301" i="44"/>
  <c r="K300" i="44"/>
  <c r="K299" i="44"/>
  <c r="K298" i="44"/>
  <c r="K297" i="44"/>
  <c r="K296" i="44"/>
  <c r="K295" i="44"/>
  <c r="K294" i="44"/>
  <c r="K293" i="44"/>
  <c r="K292" i="44"/>
  <c r="K291" i="44"/>
  <c r="K290" i="44"/>
  <c r="K289" i="44"/>
  <c r="K288" i="44"/>
  <c r="K287" i="44"/>
  <c r="K286" i="44"/>
  <c r="K285" i="44"/>
  <c r="K284" i="44"/>
  <c r="K283" i="44"/>
  <c r="K282" i="44"/>
  <c r="K281" i="44"/>
  <c r="K280" i="44"/>
  <c r="K279" i="44"/>
  <c r="K278" i="44"/>
  <c r="K277" i="44"/>
  <c r="K276" i="44"/>
  <c r="K275" i="44"/>
  <c r="K274" i="44"/>
  <c r="K273" i="44"/>
  <c r="K272" i="44"/>
  <c r="K271" i="44"/>
  <c r="K270" i="44"/>
  <c r="K269" i="44"/>
  <c r="K268" i="44"/>
  <c r="K267" i="44"/>
  <c r="K266" i="44"/>
  <c r="K265" i="44"/>
  <c r="K264" i="44"/>
  <c r="K263" i="44"/>
  <c r="K262" i="44"/>
  <c r="K261" i="44"/>
  <c r="K260" i="44"/>
  <c r="K259" i="44"/>
  <c r="K258" i="44"/>
  <c r="K257" i="44"/>
  <c r="K256" i="44"/>
  <c r="K255" i="44"/>
  <c r="K254" i="44"/>
  <c r="K253" i="44"/>
  <c r="K252" i="44"/>
  <c r="K251" i="44"/>
  <c r="K250" i="44"/>
  <c r="K249" i="44"/>
  <c r="K248" i="44"/>
  <c r="K247" i="44"/>
  <c r="K246" i="44"/>
  <c r="K245" i="44"/>
  <c r="K244" i="44"/>
  <c r="K243" i="44"/>
  <c r="K242" i="44"/>
  <c r="K241" i="44"/>
  <c r="K240" i="44"/>
  <c r="K239" i="44"/>
  <c r="K238" i="44"/>
  <c r="K237" i="44"/>
  <c r="K236" i="44"/>
  <c r="K235" i="44"/>
  <c r="K234" i="44"/>
  <c r="K233" i="44"/>
  <c r="K232" i="44"/>
  <c r="K231" i="44"/>
  <c r="K230" i="44"/>
  <c r="K229" i="44"/>
  <c r="K228" i="44"/>
  <c r="K227" i="44"/>
  <c r="K226" i="44"/>
  <c r="K225" i="44"/>
  <c r="K224" i="44"/>
  <c r="K223" i="44"/>
  <c r="K222" i="44"/>
  <c r="K221" i="44"/>
  <c r="K220" i="44"/>
  <c r="K219" i="44"/>
  <c r="K218" i="44"/>
  <c r="K217" i="44"/>
  <c r="K216" i="44"/>
  <c r="K215" i="44"/>
  <c r="K214" i="44"/>
  <c r="K213" i="44"/>
  <c r="K212" i="44"/>
  <c r="K211" i="44"/>
  <c r="K210" i="44"/>
  <c r="K209" i="44"/>
  <c r="K208" i="44"/>
  <c r="K207" i="44"/>
  <c r="K206" i="44"/>
  <c r="K205" i="44"/>
  <c r="K204" i="44"/>
  <c r="K203" i="44"/>
  <c r="K202" i="44"/>
  <c r="K201" i="44"/>
  <c r="K200" i="44"/>
  <c r="K199" i="44"/>
  <c r="K198" i="44"/>
  <c r="K197" i="44"/>
  <c r="K196" i="44"/>
  <c r="K195" i="44"/>
  <c r="K194" i="44"/>
  <c r="K193" i="44"/>
  <c r="K192" i="44"/>
  <c r="K191" i="44"/>
  <c r="K190" i="44"/>
  <c r="K189" i="44"/>
  <c r="K188" i="44"/>
  <c r="K187" i="44"/>
  <c r="K186" i="44"/>
  <c r="K185" i="44"/>
  <c r="K184" i="44"/>
  <c r="K183" i="44"/>
  <c r="K182" i="44"/>
  <c r="K181" i="44"/>
  <c r="K180" i="44"/>
  <c r="K179" i="44"/>
  <c r="K178" i="44"/>
  <c r="K177" i="44"/>
  <c r="K176" i="44"/>
  <c r="K175" i="44"/>
  <c r="K174" i="44"/>
  <c r="K173" i="44"/>
  <c r="K172" i="44"/>
  <c r="K171" i="44"/>
  <c r="K170" i="44"/>
  <c r="K169" i="44"/>
  <c r="K168" i="44"/>
  <c r="K167" i="44"/>
  <c r="K166" i="44"/>
  <c r="K165" i="44"/>
  <c r="K164" i="44"/>
  <c r="K163" i="44"/>
  <c r="K162" i="44"/>
  <c r="K161" i="44"/>
  <c r="K160" i="44"/>
  <c r="K159" i="44"/>
  <c r="K158" i="44"/>
  <c r="K157" i="44"/>
  <c r="K156" i="44"/>
  <c r="K155" i="44"/>
  <c r="K154" i="44"/>
  <c r="K153" i="44"/>
  <c r="K152" i="44"/>
  <c r="K151" i="44"/>
  <c r="K150" i="44"/>
  <c r="K149" i="44"/>
  <c r="K148" i="44"/>
  <c r="K147" i="44"/>
  <c r="K146" i="44"/>
  <c r="K145" i="44"/>
  <c r="K144" i="44"/>
  <c r="K143" i="44"/>
  <c r="K142" i="44"/>
  <c r="K141" i="44"/>
  <c r="K140" i="44"/>
  <c r="K139" i="44"/>
  <c r="K138" i="44"/>
  <c r="K137" i="44"/>
  <c r="K136" i="44"/>
  <c r="K135" i="44"/>
  <c r="K134" i="44"/>
  <c r="K133" i="44"/>
  <c r="K132" i="44"/>
  <c r="K131" i="44"/>
  <c r="K130" i="44"/>
  <c r="K129" i="44"/>
  <c r="K128" i="44"/>
  <c r="K127" i="44"/>
  <c r="K126" i="44"/>
  <c r="K125" i="44"/>
  <c r="K124" i="44"/>
  <c r="K123" i="44"/>
  <c r="K122" i="44"/>
  <c r="K121" i="44"/>
  <c r="K120" i="44"/>
  <c r="K119" i="44"/>
  <c r="K118" i="44"/>
  <c r="K117" i="44"/>
  <c r="K116" i="44"/>
  <c r="K115" i="44"/>
  <c r="K114" i="44"/>
  <c r="K113" i="44"/>
  <c r="K112" i="44"/>
  <c r="K111" i="44"/>
  <c r="K110" i="44"/>
  <c r="K109" i="44"/>
  <c r="K108" i="44"/>
  <c r="K107" i="44"/>
  <c r="K106" i="44"/>
  <c r="K105" i="44"/>
  <c r="K104" i="44"/>
  <c r="K103" i="44"/>
  <c r="K102" i="44"/>
  <c r="K101" i="44"/>
  <c r="K100" i="44"/>
  <c r="K99" i="44"/>
  <c r="K98" i="44"/>
  <c r="K97" i="44"/>
  <c r="K96" i="44"/>
  <c r="K95" i="44"/>
  <c r="K94" i="44"/>
  <c r="K93" i="44"/>
  <c r="K92" i="44"/>
  <c r="K91" i="44"/>
  <c r="K90" i="44"/>
  <c r="K89" i="44"/>
  <c r="K88" i="44"/>
  <c r="K87" i="44"/>
  <c r="K86" i="44"/>
  <c r="K85" i="44"/>
  <c r="K84" i="44"/>
  <c r="K83" i="44"/>
  <c r="K82" i="44"/>
  <c r="K81" i="44"/>
  <c r="K80" i="44"/>
  <c r="K79" i="44"/>
  <c r="K78" i="44"/>
  <c r="K77" i="44"/>
  <c r="K76" i="44"/>
  <c r="K75" i="44"/>
  <c r="K74" i="44"/>
  <c r="K73" i="44"/>
  <c r="K72" i="44"/>
  <c r="K71" i="44"/>
  <c r="K70" i="44"/>
  <c r="K69" i="44"/>
  <c r="K68" i="44"/>
  <c r="K67" i="44"/>
  <c r="K66" i="44"/>
  <c r="K65" i="44"/>
  <c r="K64" i="44"/>
  <c r="K63" i="44"/>
  <c r="K62" i="44"/>
  <c r="K61" i="44"/>
  <c r="K60" i="44"/>
  <c r="K59" i="44"/>
  <c r="K58" i="44"/>
  <c r="K57" i="44"/>
  <c r="K56" i="44"/>
  <c r="K55" i="44"/>
  <c r="K54" i="44"/>
  <c r="K53" i="44"/>
  <c r="K52" i="44"/>
  <c r="K51" i="44"/>
  <c r="K50" i="44"/>
  <c r="K49" i="44"/>
  <c r="K48" i="44"/>
  <c r="K47" i="44"/>
  <c r="K46" i="44"/>
  <c r="K45" i="44"/>
  <c r="K44" i="44"/>
  <c r="K43" i="44"/>
  <c r="K42" i="44"/>
  <c r="K41" i="44"/>
  <c r="K40" i="44"/>
  <c r="K39" i="44"/>
  <c r="K38" i="44"/>
  <c r="K37" i="44"/>
  <c r="K36" i="44"/>
  <c r="K35" i="44"/>
  <c r="K34" i="44"/>
  <c r="K33" i="44"/>
  <c r="K32" i="44"/>
  <c r="K31" i="44"/>
  <c r="K30" i="44"/>
  <c r="K29" i="44"/>
  <c r="K28" i="44"/>
  <c r="K27" i="44"/>
  <c r="K26" i="44"/>
  <c r="K25" i="44"/>
  <c r="K24" i="44"/>
  <c r="K23" i="44"/>
  <c r="K22" i="44"/>
  <c r="K21" i="44"/>
  <c r="K20" i="44"/>
  <c r="K19" i="44"/>
  <c r="K18" i="44"/>
  <c r="K17" i="44"/>
  <c r="K16" i="44"/>
  <c r="AM10" i="47"/>
  <c r="AM9" i="47"/>
  <c r="BE307" i="43" l="1"/>
  <c r="BE306" i="43"/>
  <c r="J25" i="40" l="1"/>
  <c r="J21" i="40"/>
  <c r="M6" i="47" s="1"/>
  <c r="AG307" i="45" l="1"/>
  <c r="AG306" i="45"/>
  <c r="AG305" i="45"/>
  <c r="AG304" i="45"/>
  <c r="AG303" i="45"/>
  <c r="AG302" i="45"/>
  <c r="AG301" i="45"/>
  <c r="AG300" i="45"/>
  <c r="AG299" i="45"/>
  <c r="AG298" i="45"/>
  <c r="AG297" i="45"/>
  <c r="AG296" i="45"/>
  <c r="AG295" i="45"/>
  <c r="AG294" i="45"/>
  <c r="AG293" i="45"/>
  <c r="AG292" i="45"/>
  <c r="AG291" i="45"/>
  <c r="AG290" i="45"/>
  <c r="AG289" i="45"/>
  <c r="AG288" i="45"/>
  <c r="AG287" i="45"/>
  <c r="AG286" i="45"/>
  <c r="AG285" i="45"/>
  <c r="AG284" i="45"/>
  <c r="AG283" i="45"/>
  <c r="AG282" i="45"/>
  <c r="AG281" i="45"/>
  <c r="AG280" i="45"/>
  <c r="AG279" i="45"/>
  <c r="AG278" i="45"/>
  <c r="AG277" i="45"/>
  <c r="AG276" i="45"/>
  <c r="AG275" i="45"/>
  <c r="AG274" i="45"/>
  <c r="AG273" i="45"/>
  <c r="AG272" i="45"/>
  <c r="AG271" i="45"/>
  <c r="AG270" i="45"/>
  <c r="AG269" i="45"/>
  <c r="AG268" i="45"/>
  <c r="AG267" i="45"/>
  <c r="AG266" i="45"/>
  <c r="AG265" i="45"/>
  <c r="AG264" i="45"/>
  <c r="AG263" i="45"/>
  <c r="AG262" i="45"/>
  <c r="AG261" i="45"/>
  <c r="AG260" i="45"/>
  <c r="AG259" i="45"/>
  <c r="AG258" i="45"/>
  <c r="AG257" i="45"/>
  <c r="AG256" i="45"/>
  <c r="AG255" i="45"/>
  <c r="AG254" i="45"/>
  <c r="AG253" i="45"/>
  <c r="AG252" i="45"/>
  <c r="AG251" i="45"/>
  <c r="AG250" i="45"/>
  <c r="AG249" i="45"/>
  <c r="AG248" i="45"/>
  <c r="AG247" i="45"/>
  <c r="AG246" i="45"/>
  <c r="AG245" i="45"/>
  <c r="AG244" i="45"/>
  <c r="AG243" i="45"/>
  <c r="AG242" i="45"/>
  <c r="AG241" i="45"/>
  <c r="AG240" i="45"/>
  <c r="AG239" i="45"/>
  <c r="AG238" i="45"/>
  <c r="AG237" i="45"/>
  <c r="AG236" i="45"/>
  <c r="AG235" i="45"/>
  <c r="AG234" i="45"/>
  <c r="AG233" i="45"/>
  <c r="AG232" i="45"/>
  <c r="AG231" i="45"/>
  <c r="AG230" i="45"/>
  <c r="AG229" i="45"/>
  <c r="AG228" i="45"/>
  <c r="AG227" i="45"/>
  <c r="AG226" i="45"/>
  <c r="AG225" i="45"/>
  <c r="AG224" i="45"/>
  <c r="AG223" i="45"/>
  <c r="AG222" i="45"/>
  <c r="AG221" i="45"/>
  <c r="AG220" i="45"/>
  <c r="AG219" i="45"/>
  <c r="AG218" i="45"/>
  <c r="AG217" i="45"/>
  <c r="AG216" i="45"/>
  <c r="AG215" i="45"/>
  <c r="AG214" i="45"/>
  <c r="AG213" i="45"/>
  <c r="AG212" i="45"/>
  <c r="AG211" i="45"/>
  <c r="AG210" i="45"/>
  <c r="AG209" i="45"/>
  <c r="AG208" i="45"/>
  <c r="AG207" i="45"/>
  <c r="AG206" i="45"/>
  <c r="AG205" i="45"/>
  <c r="AG204" i="45"/>
  <c r="AG203" i="45"/>
  <c r="AG202" i="45"/>
  <c r="AG201" i="45"/>
  <c r="AG200" i="45"/>
  <c r="AG199" i="45"/>
  <c r="AG198" i="45"/>
  <c r="AG197" i="45"/>
  <c r="AG196" i="45"/>
  <c r="AG195" i="45"/>
  <c r="AG194" i="45"/>
  <c r="AG193" i="45"/>
  <c r="AG192" i="45"/>
  <c r="AG191" i="45"/>
  <c r="AG190" i="45"/>
  <c r="AG189" i="45"/>
  <c r="AG188" i="45"/>
  <c r="AG187" i="45"/>
  <c r="AG186" i="45"/>
  <c r="AG185" i="45"/>
  <c r="AG184" i="45"/>
  <c r="AG183" i="45"/>
  <c r="AG182" i="45"/>
  <c r="AG181" i="45"/>
  <c r="AG180" i="45"/>
  <c r="AG179" i="45"/>
  <c r="AG178" i="45"/>
  <c r="AG177" i="45"/>
  <c r="AG176" i="45"/>
  <c r="AG175" i="45"/>
  <c r="AG174" i="45"/>
  <c r="AG173" i="45"/>
  <c r="AG172" i="45"/>
  <c r="AG171" i="45"/>
  <c r="AG170" i="45"/>
  <c r="AG169" i="45"/>
  <c r="AG168" i="45"/>
  <c r="AG167" i="45"/>
  <c r="AG166" i="45"/>
  <c r="AG165" i="45"/>
  <c r="AG164" i="45"/>
  <c r="AG163" i="45"/>
  <c r="AG162" i="45"/>
  <c r="AG161" i="45"/>
  <c r="AG160" i="45"/>
  <c r="AG159" i="45"/>
  <c r="AG158" i="45"/>
  <c r="AG157" i="45"/>
  <c r="AG156" i="45"/>
  <c r="AG155" i="45"/>
  <c r="AG154" i="45"/>
  <c r="AG153" i="45"/>
  <c r="AG152" i="45"/>
  <c r="AG151" i="45"/>
  <c r="AG150" i="45"/>
  <c r="AG149" i="45"/>
  <c r="AG148" i="45"/>
  <c r="AG147" i="45"/>
  <c r="AG146" i="45"/>
  <c r="AG145" i="45"/>
  <c r="AG144" i="45"/>
  <c r="AG143" i="45"/>
  <c r="AG142" i="45"/>
  <c r="AG141" i="45"/>
  <c r="AG140" i="45"/>
  <c r="AG139" i="45"/>
  <c r="AG138" i="45"/>
  <c r="AG137" i="45"/>
  <c r="AG136" i="45"/>
  <c r="AG135" i="45"/>
  <c r="AG134" i="45"/>
  <c r="AG133" i="45"/>
  <c r="AG132" i="45"/>
  <c r="AG131" i="45"/>
  <c r="AG130" i="45"/>
  <c r="AG129" i="45"/>
  <c r="AG128" i="45"/>
  <c r="AG127" i="45"/>
  <c r="AG126" i="45"/>
  <c r="AG125" i="45"/>
  <c r="AG124" i="45"/>
  <c r="AG123" i="45"/>
  <c r="AG122" i="45"/>
  <c r="AG121" i="45"/>
  <c r="AG120" i="45"/>
  <c r="AG119" i="45"/>
  <c r="AG118" i="45"/>
  <c r="AG117" i="45"/>
  <c r="AG116" i="45"/>
  <c r="AG115" i="45"/>
  <c r="AG114" i="45"/>
  <c r="AG113" i="45"/>
  <c r="AG112" i="45"/>
  <c r="AG111" i="45"/>
  <c r="AG110" i="45"/>
  <c r="AG109" i="45"/>
  <c r="AG108" i="45"/>
  <c r="AG107" i="45"/>
  <c r="AG106" i="45"/>
  <c r="AG105" i="45"/>
  <c r="AG104" i="45"/>
  <c r="AG103" i="45"/>
  <c r="AG102" i="45"/>
  <c r="AG101" i="45"/>
  <c r="AG100" i="45"/>
  <c r="AG99" i="45"/>
  <c r="AG98" i="45"/>
  <c r="AG97" i="45"/>
  <c r="AG96" i="45"/>
  <c r="AG95" i="45"/>
  <c r="AG94" i="45"/>
  <c r="AG93" i="45"/>
  <c r="AG92" i="45"/>
  <c r="AG91" i="45"/>
  <c r="AG90" i="45"/>
  <c r="AG89" i="45"/>
  <c r="AG88" i="45"/>
  <c r="AG87" i="45"/>
  <c r="AG86" i="45"/>
  <c r="AG85" i="45"/>
  <c r="AG84" i="45"/>
  <c r="AG83" i="45"/>
  <c r="AG82" i="45"/>
  <c r="AG81" i="45"/>
  <c r="AG80" i="45"/>
  <c r="AG79" i="45"/>
  <c r="AG78" i="45"/>
  <c r="AG77" i="45"/>
  <c r="AG76" i="45"/>
  <c r="AG75" i="45"/>
  <c r="AG74" i="45"/>
  <c r="AG73" i="45"/>
  <c r="AG72" i="45"/>
  <c r="AG71" i="45"/>
  <c r="AG70" i="45"/>
  <c r="AG69" i="45"/>
  <c r="AG68" i="45"/>
  <c r="AG67" i="45"/>
  <c r="AG66" i="45"/>
  <c r="AG65" i="45"/>
  <c r="AG64" i="45"/>
  <c r="AG63" i="45"/>
  <c r="AG62" i="45"/>
  <c r="AG61" i="45"/>
  <c r="AG60" i="45"/>
  <c r="AG59" i="45"/>
  <c r="AG58" i="45"/>
  <c r="AG57" i="45"/>
  <c r="AG56" i="45"/>
  <c r="AG55" i="45"/>
  <c r="AG54" i="45"/>
  <c r="AG53" i="45"/>
  <c r="AG52" i="45"/>
  <c r="AG51" i="45"/>
  <c r="AG50" i="45"/>
  <c r="AG49" i="45"/>
  <c r="AG48" i="45"/>
  <c r="AG47" i="45"/>
  <c r="AG46" i="45"/>
  <c r="AG45" i="45"/>
  <c r="AG44" i="45"/>
  <c r="AG43" i="45"/>
  <c r="AG42" i="45"/>
  <c r="AG41" i="45"/>
  <c r="AG40" i="45"/>
  <c r="AG39" i="45"/>
  <c r="AG38" i="45"/>
  <c r="AG37" i="45"/>
  <c r="AG36" i="45"/>
  <c r="AG35" i="45"/>
  <c r="AG34" i="45"/>
  <c r="AG33" i="45"/>
  <c r="AG32" i="45"/>
  <c r="AG31" i="45"/>
  <c r="AG30" i="45"/>
  <c r="AG29" i="45"/>
  <c r="AG28" i="45"/>
  <c r="AG27" i="45"/>
  <c r="AG26" i="45"/>
  <c r="AG25" i="45"/>
  <c r="AG24" i="45"/>
  <c r="AG23" i="45"/>
  <c r="AG22" i="45"/>
  <c r="AG21" i="45"/>
  <c r="AG20" i="45"/>
  <c r="AG19" i="45"/>
  <c r="AG18" i="45"/>
  <c r="AG17" i="45"/>
  <c r="AG16" i="45"/>
  <c r="AN307" i="45" l="1"/>
  <c r="AN306" i="45"/>
  <c r="AN305" i="45"/>
  <c r="AN304" i="45"/>
  <c r="AN303" i="45"/>
  <c r="AN302" i="45"/>
  <c r="AN301" i="45"/>
  <c r="AN300" i="45"/>
  <c r="AN299" i="45"/>
  <c r="AN298" i="45"/>
  <c r="AN297" i="45"/>
  <c r="AN296" i="45"/>
  <c r="AN295" i="45"/>
  <c r="AN294" i="45"/>
  <c r="AN293" i="45"/>
  <c r="AN292" i="45"/>
  <c r="AN291" i="45"/>
  <c r="AN290" i="45"/>
  <c r="AN289" i="45"/>
  <c r="AN288" i="45"/>
  <c r="AN287" i="45"/>
  <c r="AN286" i="45"/>
  <c r="AN285" i="45"/>
  <c r="AN284" i="45"/>
  <c r="AN283" i="45"/>
  <c r="AN282" i="45"/>
  <c r="AN281" i="45"/>
  <c r="AN280" i="45"/>
  <c r="AN279" i="45"/>
  <c r="AN278" i="45"/>
  <c r="AN277" i="45"/>
  <c r="AN276" i="45"/>
  <c r="AN275" i="45"/>
  <c r="AN274" i="45"/>
  <c r="AN273" i="45"/>
  <c r="AN272" i="45"/>
  <c r="AN271" i="45"/>
  <c r="AN270" i="45"/>
  <c r="AN269" i="45"/>
  <c r="AN268" i="45"/>
  <c r="AN267" i="45"/>
  <c r="AN266" i="45"/>
  <c r="AN265" i="45"/>
  <c r="AN264" i="45"/>
  <c r="AN263" i="45"/>
  <c r="AN262" i="45"/>
  <c r="AN261" i="45"/>
  <c r="AN260" i="45"/>
  <c r="AN259" i="45"/>
  <c r="AN258" i="45"/>
  <c r="AN257" i="45"/>
  <c r="AN256" i="45"/>
  <c r="AN255" i="45"/>
  <c r="AN254" i="45"/>
  <c r="AN253" i="45"/>
  <c r="AN252" i="45"/>
  <c r="AN251" i="45"/>
  <c r="AN250" i="45"/>
  <c r="AN249" i="45"/>
  <c r="AN248" i="45"/>
  <c r="AN247" i="45"/>
  <c r="AN246" i="45"/>
  <c r="AN245" i="45"/>
  <c r="AN244" i="45"/>
  <c r="AN243" i="45"/>
  <c r="AN242" i="45"/>
  <c r="AN241" i="45"/>
  <c r="AN240" i="45"/>
  <c r="AN239" i="45"/>
  <c r="AN238" i="45"/>
  <c r="AN237" i="45"/>
  <c r="AN236" i="45"/>
  <c r="AN235" i="45"/>
  <c r="AN234" i="45"/>
  <c r="AN233" i="45"/>
  <c r="AN232" i="45"/>
  <c r="AN231" i="45"/>
  <c r="AN230" i="45"/>
  <c r="AN229" i="45"/>
  <c r="AN228" i="45"/>
  <c r="AN227" i="45"/>
  <c r="AN226" i="45"/>
  <c r="AN225" i="45"/>
  <c r="AN224" i="45"/>
  <c r="AN223" i="45"/>
  <c r="AN222" i="45"/>
  <c r="AN221" i="45"/>
  <c r="AN220" i="45"/>
  <c r="AN219" i="45"/>
  <c r="AN218" i="45"/>
  <c r="AN217" i="45"/>
  <c r="AN216" i="45"/>
  <c r="AN215" i="45"/>
  <c r="AN214" i="45"/>
  <c r="AN213" i="45"/>
  <c r="AN212" i="45"/>
  <c r="AN211" i="45"/>
  <c r="AN210" i="45"/>
  <c r="AN209" i="45"/>
  <c r="AN208" i="45"/>
  <c r="AN207" i="45"/>
  <c r="AN206" i="45"/>
  <c r="AN205" i="45"/>
  <c r="AN204" i="45"/>
  <c r="AN203" i="45"/>
  <c r="AN202" i="45"/>
  <c r="AN201" i="45"/>
  <c r="AN200" i="45"/>
  <c r="AN199" i="45"/>
  <c r="AN198" i="45"/>
  <c r="AN197" i="45"/>
  <c r="AN196" i="45"/>
  <c r="AN195" i="45"/>
  <c r="AN194" i="45"/>
  <c r="AN193" i="45"/>
  <c r="AN192" i="45"/>
  <c r="AN191" i="45"/>
  <c r="AN190" i="45"/>
  <c r="AN189" i="45"/>
  <c r="AN188" i="45"/>
  <c r="AN187" i="45"/>
  <c r="AN186" i="45"/>
  <c r="AN185" i="45"/>
  <c r="AN184" i="45"/>
  <c r="AN183" i="45"/>
  <c r="AN182" i="45"/>
  <c r="AN181" i="45"/>
  <c r="AN180" i="45"/>
  <c r="AN179" i="45"/>
  <c r="AN178" i="45"/>
  <c r="AN177" i="45"/>
  <c r="AN176" i="45"/>
  <c r="AN175" i="45"/>
  <c r="AN174" i="45"/>
  <c r="AN173" i="45"/>
  <c r="AN172" i="45"/>
  <c r="AN171" i="45"/>
  <c r="AN170" i="45"/>
  <c r="AN169" i="45"/>
  <c r="AN168" i="45"/>
  <c r="AN167" i="45"/>
  <c r="AN166" i="45"/>
  <c r="AN165" i="45"/>
  <c r="AN164" i="45"/>
  <c r="AN163" i="45"/>
  <c r="AN162" i="45"/>
  <c r="AN161" i="45"/>
  <c r="AN160" i="45"/>
  <c r="AN159" i="45"/>
  <c r="AN158" i="45"/>
  <c r="AN157" i="45"/>
  <c r="AN156" i="45"/>
  <c r="AN155" i="45"/>
  <c r="AN154" i="45"/>
  <c r="AN153" i="45"/>
  <c r="AN152" i="45"/>
  <c r="AN151" i="45"/>
  <c r="AN150" i="45"/>
  <c r="AN149" i="45"/>
  <c r="AN148" i="45"/>
  <c r="AN147" i="45"/>
  <c r="AN146" i="45"/>
  <c r="AN145" i="45"/>
  <c r="AN144" i="45"/>
  <c r="AN143" i="45"/>
  <c r="AN142" i="45"/>
  <c r="AN141" i="45"/>
  <c r="AN140" i="45"/>
  <c r="AN139" i="45"/>
  <c r="AN138" i="45"/>
  <c r="AN137" i="45"/>
  <c r="AN136" i="45"/>
  <c r="AN135" i="45"/>
  <c r="AN134" i="45"/>
  <c r="AN133" i="45"/>
  <c r="AN132" i="45"/>
  <c r="AN131" i="45"/>
  <c r="AN130" i="45"/>
  <c r="AN129" i="45"/>
  <c r="AN128" i="45"/>
  <c r="AN127" i="45"/>
  <c r="AN126" i="45"/>
  <c r="AN125" i="45"/>
  <c r="AN124" i="45"/>
  <c r="AN123" i="45"/>
  <c r="AN122" i="45"/>
  <c r="AN121" i="45"/>
  <c r="AN120" i="45"/>
  <c r="AN119" i="45"/>
  <c r="AN118" i="45"/>
  <c r="AN117" i="45"/>
  <c r="AN116" i="45"/>
  <c r="AN115" i="45"/>
  <c r="AN114" i="45"/>
  <c r="AN113" i="45"/>
  <c r="AN112" i="45"/>
  <c r="AN111" i="45"/>
  <c r="AN110" i="45"/>
  <c r="AN109" i="45"/>
  <c r="AN108" i="45"/>
  <c r="AN107" i="45"/>
  <c r="AN106" i="45"/>
  <c r="AN105" i="45"/>
  <c r="AN104" i="45"/>
  <c r="AN103" i="45"/>
  <c r="AN102" i="45"/>
  <c r="AN101" i="45"/>
  <c r="AN100" i="45"/>
  <c r="AN99" i="45"/>
  <c r="AN98" i="45"/>
  <c r="AN97" i="45"/>
  <c r="AN96" i="45"/>
  <c r="AN95" i="45"/>
  <c r="AN94" i="45"/>
  <c r="AN93" i="45"/>
  <c r="AN92" i="45"/>
  <c r="AN91" i="45"/>
  <c r="AN90" i="45"/>
  <c r="AN88" i="45"/>
  <c r="AN87" i="45"/>
  <c r="AN86" i="45"/>
  <c r="AN85" i="45"/>
  <c r="AN84" i="45"/>
  <c r="AN83" i="45"/>
  <c r="AN82" i="45"/>
  <c r="AN81" i="45"/>
  <c r="AN80" i="45"/>
  <c r="AN79" i="45"/>
  <c r="AN78" i="45"/>
  <c r="AN77" i="45"/>
  <c r="AN76" i="45"/>
  <c r="AN75" i="45"/>
  <c r="AN74" i="45"/>
  <c r="AN73" i="45"/>
  <c r="AN72" i="45"/>
  <c r="AN71" i="45"/>
  <c r="AN70" i="45"/>
  <c r="AN69" i="45"/>
  <c r="AN68" i="45"/>
  <c r="AN67" i="45"/>
  <c r="AN66" i="45"/>
  <c r="AN65" i="45"/>
  <c r="AN64" i="45"/>
  <c r="AN63" i="45"/>
  <c r="AN62" i="45"/>
  <c r="AN61" i="45"/>
  <c r="AN60" i="45"/>
  <c r="AN59" i="45"/>
  <c r="AN58" i="45"/>
  <c r="AN57" i="45"/>
  <c r="AN56" i="45"/>
  <c r="AN55" i="45"/>
  <c r="AN54" i="45"/>
  <c r="AN53" i="45"/>
  <c r="AN52" i="45"/>
  <c r="AN51" i="45"/>
  <c r="AN50" i="45"/>
  <c r="AN49" i="45"/>
  <c r="AN48" i="45"/>
  <c r="AN47" i="45"/>
  <c r="AN46" i="45"/>
  <c r="AN45" i="45"/>
  <c r="AN44" i="45"/>
  <c r="AN43" i="45"/>
  <c r="AN42" i="45"/>
  <c r="AN41" i="45"/>
  <c r="AN40" i="45"/>
  <c r="AN39" i="45"/>
  <c r="AN38" i="45"/>
  <c r="AN37" i="45"/>
  <c r="AN36" i="45"/>
  <c r="AN35" i="45"/>
  <c r="AN34" i="45"/>
  <c r="AN33" i="45"/>
  <c r="AN32" i="45"/>
  <c r="AN31" i="45"/>
  <c r="AN30" i="45"/>
  <c r="AN29" i="45"/>
  <c r="AN28" i="45"/>
  <c r="AN27" i="45"/>
  <c r="AN26" i="45"/>
  <c r="AN25" i="45"/>
  <c r="AN24" i="45"/>
  <c r="AN23" i="45"/>
  <c r="AN22" i="45"/>
  <c r="AN21" i="45"/>
  <c r="AN20" i="45"/>
  <c r="AN19" i="45"/>
  <c r="AN18" i="45"/>
  <c r="AN17" i="45"/>
  <c r="AN16" i="45"/>
  <c r="BO13" i="45"/>
  <c r="BI13" i="45"/>
  <c r="BA13" i="45"/>
  <c r="AS13" i="45"/>
  <c r="AL13" i="45"/>
  <c r="AE13" i="45" l="1"/>
  <c r="AL11" i="45" s="1"/>
  <c r="N314" i="52" l="1"/>
  <c r="N8" i="52"/>
  <c r="M314" i="52" l="1"/>
  <c r="M8" i="52"/>
  <c r="N359" i="42" l="1"/>
  <c r="N358" i="42"/>
  <c r="N357" i="42"/>
  <c r="N356" i="42"/>
  <c r="N355" i="42"/>
  <c r="N354" i="42"/>
  <c r="N353" i="42"/>
  <c r="N352" i="42"/>
  <c r="N351" i="42"/>
  <c r="N350" i="42"/>
  <c r="N349" i="42"/>
  <c r="N348" i="42"/>
  <c r="N347" i="42"/>
  <c r="N346" i="42"/>
  <c r="N345" i="42"/>
  <c r="N344" i="42"/>
  <c r="N343" i="42"/>
  <c r="N342" i="42"/>
  <c r="N316" i="42"/>
  <c r="N361" i="42" l="1"/>
  <c r="AQ13" i="45" l="1"/>
  <c r="AB307" i="49" l="1"/>
  <c r="AA307" i="49"/>
  <c r="Z307" i="49"/>
  <c r="Y307" i="49"/>
  <c r="X307" i="49"/>
  <c r="W307" i="49"/>
  <c r="V307" i="49"/>
  <c r="AB306" i="49"/>
  <c r="AA306" i="49"/>
  <c r="Z306" i="49"/>
  <c r="Y306" i="49"/>
  <c r="X306" i="49"/>
  <c r="W306" i="49"/>
  <c r="V306" i="49"/>
  <c r="AB305" i="49"/>
  <c r="AA305" i="49"/>
  <c r="Z305" i="49"/>
  <c r="Y305" i="49"/>
  <c r="X305" i="49"/>
  <c r="W305" i="49"/>
  <c r="V305" i="49"/>
  <c r="AB304" i="49"/>
  <c r="AA304" i="49"/>
  <c r="Z304" i="49"/>
  <c r="Y304" i="49"/>
  <c r="X304" i="49"/>
  <c r="W304" i="49"/>
  <c r="V304" i="49"/>
  <c r="AB303" i="49"/>
  <c r="AA303" i="49"/>
  <c r="Z303" i="49"/>
  <c r="Y303" i="49"/>
  <c r="X303" i="49"/>
  <c r="W303" i="49"/>
  <c r="V303" i="49"/>
  <c r="AB302" i="49"/>
  <c r="AA302" i="49"/>
  <c r="Z302" i="49"/>
  <c r="Y302" i="49"/>
  <c r="X302" i="49"/>
  <c r="W302" i="49"/>
  <c r="V302" i="49"/>
  <c r="AB301" i="49"/>
  <c r="AA301" i="49"/>
  <c r="Z301" i="49"/>
  <c r="Y301" i="49"/>
  <c r="X301" i="49"/>
  <c r="W301" i="49"/>
  <c r="V301" i="49"/>
  <c r="AB300" i="49"/>
  <c r="AA300" i="49"/>
  <c r="Z300" i="49"/>
  <c r="Y300" i="49"/>
  <c r="X300" i="49"/>
  <c r="W300" i="49"/>
  <c r="V300" i="49"/>
  <c r="AB299" i="49"/>
  <c r="AA299" i="49"/>
  <c r="Z299" i="49"/>
  <c r="Y299" i="49"/>
  <c r="X299" i="49"/>
  <c r="W299" i="49"/>
  <c r="V299" i="49"/>
  <c r="AB298" i="49"/>
  <c r="AA298" i="49"/>
  <c r="Z298" i="49"/>
  <c r="Y298" i="49"/>
  <c r="X298" i="49"/>
  <c r="W298" i="49"/>
  <c r="V298" i="49"/>
  <c r="AB297" i="49"/>
  <c r="AA297" i="49"/>
  <c r="Z297" i="49"/>
  <c r="Y297" i="49"/>
  <c r="X297" i="49"/>
  <c r="W297" i="49"/>
  <c r="V297" i="49"/>
  <c r="AB296" i="49"/>
  <c r="AA296" i="49"/>
  <c r="Z296" i="49"/>
  <c r="Y296" i="49"/>
  <c r="X296" i="49"/>
  <c r="W296" i="49"/>
  <c r="V296" i="49"/>
  <c r="AB295" i="49"/>
  <c r="AA295" i="49"/>
  <c r="Z295" i="49"/>
  <c r="Y295" i="49"/>
  <c r="X295" i="49"/>
  <c r="W295" i="49"/>
  <c r="V295" i="49"/>
  <c r="AB294" i="49"/>
  <c r="AA294" i="49"/>
  <c r="Z294" i="49"/>
  <c r="Y294" i="49"/>
  <c r="X294" i="49"/>
  <c r="W294" i="49"/>
  <c r="V294" i="49"/>
  <c r="AB293" i="49"/>
  <c r="AA293" i="49"/>
  <c r="Z293" i="49"/>
  <c r="Y293" i="49"/>
  <c r="X293" i="49"/>
  <c r="W293" i="49"/>
  <c r="V293" i="49"/>
  <c r="AB292" i="49"/>
  <c r="AA292" i="49"/>
  <c r="Z292" i="49"/>
  <c r="Y292" i="49"/>
  <c r="X292" i="49"/>
  <c r="W292" i="49"/>
  <c r="V292" i="49"/>
  <c r="AB291" i="49"/>
  <c r="AA291" i="49"/>
  <c r="Z291" i="49"/>
  <c r="Y291" i="49"/>
  <c r="X291" i="49"/>
  <c r="W291" i="49"/>
  <c r="V291" i="49"/>
  <c r="AB290" i="49"/>
  <c r="AA290" i="49"/>
  <c r="Z290" i="49"/>
  <c r="Y290" i="49"/>
  <c r="X290" i="49"/>
  <c r="W290" i="49"/>
  <c r="V290" i="49"/>
  <c r="AB289" i="49"/>
  <c r="AA289" i="49"/>
  <c r="Z289" i="49"/>
  <c r="Y289" i="49"/>
  <c r="X289" i="49"/>
  <c r="W289" i="49"/>
  <c r="V289" i="49"/>
  <c r="AB288" i="49"/>
  <c r="AA288" i="49"/>
  <c r="Z288" i="49"/>
  <c r="Y288" i="49"/>
  <c r="X288" i="49"/>
  <c r="W288" i="49"/>
  <c r="V288" i="49"/>
  <c r="AB287" i="49"/>
  <c r="AA287" i="49"/>
  <c r="Z287" i="49"/>
  <c r="Y287" i="49"/>
  <c r="X287" i="49"/>
  <c r="W287" i="49"/>
  <c r="V287" i="49"/>
  <c r="AB286" i="49"/>
  <c r="AA286" i="49"/>
  <c r="Z286" i="49"/>
  <c r="Y286" i="49"/>
  <c r="X286" i="49"/>
  <c r="W286" i="49"/>
  <c r="V286" i="49"/>
  <c r="AB285" i="49"/>
  <c r="AA285" i="49"/>
  <c r="Z285" i="49"/>
  <c r="Y285" i="49"/>
  <c r="X285" i="49"/>
  <c r="W285" i="49"/>
  <c r="V285" i="49"/>
  <c r="AB284" i="49"/>
  <c r="AA284" i="49"/>
  <c r="Z284" i="49"/>
  <c r="Y284" i="49"/>
  <c r="X284" i="49"/>
  <c r="W284" i="49"/>
  <c r="V284" i="49"/>
  <c r="AB283" i="49"/>
  <c r="AA283" i="49"/>
  <c r="Z283" i="49"/>
  <c r="Y283" i="49"/>
  <c r="X283" i="49"/>
  <c r="W283" i="49"/>
  <c r="V283" i="49"/>
  <c r="AB282" i="49"/>
  <c r="AA282" i="49"/>
  <c r="Z282" i="49"/>
  <c r="Y282" i="49"/>
  <c r="X282" i="49"/>
  <c r="W282" i="49"/>
  <c r="V282" i="49"/>
  <c r="AB281" i="49"/>
  <c r="AA281" i="49"/>
  <c r="Z281" i="49"/>
  <c r="Y281" i="49"/>
  <c r="X281" i="49"/>
  <c r="W281" i="49"/>
  <c r="V281" i="49"/>
  <c r="AB280" i="49"/>
  <c r="AA280" i="49"/>
  <c r="Z280" i="49"/>
  <c r="Y280" i="49"/>
  <c r="X280" i="49"/>
  <c r="W280" i="49"/>
  <c r="V280" i="49"/>
  <c r="AB279" i="49"/>
  <c r="AA279" i="49"/>
  <c r="Z279" i="49"/>
  <c r="Y279" i="49"/>
  <c r="X279" i="49"/>
  <c r="W279" i="49"/>
  <c r="V279" i="49"/>
  <c r="AB278" i="49"/>
  <c r="AA278" i="49"/>
  <c r="Z278" i="49"/>
  <c r="Y278" i="49"/>
  <c r="X278" i="49"/>
  <c r="W278" i="49"/>
  <c r="V278" i="49"/>
  <c r="AB277" i="49"/>
  <c r="AA277" i="49"/>
  <c r="Z277" i="49"/>
  <c r="Y277" i="49"/>
  <c r="X277" i="49"/>
  <c r="W277" i="49"/>
  <c r="V277" i="49"/>
  <c r="AB276" i="49"/>
  <c r="AA276" i="49"/>
  <c r="Z276" i="49"/>
  <c r="Y276" i="49"/>
  <c r="X276" i="49"/>
  <c r="W276" i="49"/>
  <c r="V276" i="49"/>
  <c r="AB275" i="49"/>
  <c r="AA275" i="49"/>
  <c r="Z275" i="49"/>
  <c r="Y275" i="49"/>
  <c r="X275" i="49"/>
  <c r="W275" i="49"/>
  <c r="V275" i="49"/>
  <c r="AB274" i="49"/>
  <c r="AA274" i="49"/>
  <c r="Z274" i="49"/>
  <c r="Y274" i="49"/>
  <c r="X274" i="49"/>
  <c r="W274" i="49"/>
  <c r="V274" i="49"/>
  <c r="AB273" i="49"/>
  <c r="AA273" i="49"/>
  <c r="Z273" i="49"/>
  <c r="Y273" i="49"/>
  <c r="X273" i="49"/>
  <c r="W273" i="49"/>
  <c r="V273" i="49"/>
  <c r="AB272" i="49"/>
  <c r="AA272" i="49"/>
  <c r="Z272" i="49"/>
  <c r="Y272" i="49"/>
  <c r="X272" i="49"/>
  <c r="W272" i="49"/>
  <c r="V272" i="49"/>
  <c r="AB271" i="49"/>
  <c r="AA271" i="49"/>
  <c r="Z271" i="49"/>
  <c r="Y271" i="49"/>
  <c r="X271" i="49"/>
  <c r="W271" i="49"/>
  <c r="V271" i="49"/>
  <c r="AB270" i="49"/>
  <c r="AA270" i="49"/>
  <c r="Z270" i="49"/>
  <c r="Y270" i="49"/>
  <c r="X270" i="49"/>
  <c r="W270" i="49"/>
  <c r="V270" i="49"/>
  <c r="AB269" i="49"/>
  <c r="AA269" i="49"/>
  <c r="Z269" i="49"/>
  <c r="Y269" i="49"/>
  <c r="X269" i="49"/>
  <c r="W269" i="49"/>
  <c r="V269" i="49"/>
  <c r="AB268" i="49"/>
  <c r="AA268" i="49"/>
  <c r="Z268" i="49"/>
  <c r="Y268" i="49"/>
  <c r="X268" i="49"/>
  <c r="W268" i="49"/>
  <c r="V268" i="49"/>
  <c r="AB267" i="49"/>
  <c r="AA267" i="49"/>
  <c r="Z267" i="49"/>
  <c r="Y267" i="49"/>
  <c r="X267" i="49"/>
  <c r="W267" i="49"/>
  <c r="V267" i="49"/>
  <c r="AB266" i="49"/>
  <c r="AA266" i="49"/>
  <c r="Z266" i="49"/>
  <c r="Y266" i="49"/>
  <c r="X266" i="49"/>
  <c r="W266" i="49"/>
  <c r="V266" i="49"/>
  <c r="AB265" i="49"/>
  <c r="AA265" i="49"/>
  <c r="Z265" i="49"/>
  <c r="Y265" i="49"/>
  <c r="X265" i="49"/>
  <c r="W265" i="49"/>
  <c r="V265" i="49"/>
  <c r="AB264" i="49"/>
  <c r="AA264" i="49"/>
  <c r="Z264" i="49"/>
  <c r="Y264" i="49"/>
  <c r="X264" i="49"/>
  <c r="W264" i="49"/>
  <c r="V264" i="49"/>
  <c r="AB263" i="49"/>
  <c r="AA263" i="49"/>
  <c r="Z263" i="49"/>
  <c r="Y263" i="49"/>
  <c r="X263" i="49"/>
  <c r="W263" i="49"/>
  <c r="V263" i="49"/>
  <c r="AB262" i="49"/>
  <c r="AA262" i="49"/>
  <c r="Z262" i="49"/>
  <c r="Y262" i="49"/>
  <c r="X262" i="49"/>
  <c r="W262" i="49"/>
  <c r="V262" i="49"/>
  <c r="AB261" i="49"/>
  <c r="AA261" i="49"/>
  <c r="Z261" i="49"/>
  <c r="Y261" i="49"/>
  <c r="X261" i="49"/>
  <c r="W261" i="49"/>
  <c r="V261" i="49"/>
  <c r="AB260" i="49"/>
  <c r="AA260" i="49"/>
  <c r="Z260" i="49"/>
  <c r="Y260" i="49"/>
  <c r="X260" i="49"/>
  <c r="W260" i="49"/>
  <c r="V260" i="49"/>
  <c r="AB259" i="49"/>
  <c r="AA259" i="49"/>
  <c r="Z259" i="49"/>
  <c r="Y259" i="49"/>
  <c r="X259" i="49"/>
  <c r="W259" i="49"/>
  <c r="V259" i="49"/>
  <c r="AB258" i="49"/>
  <c r="AA258" i="49"/>
  <c r="Z258" i="49"/>
  <c r="Y258" i="49"/>
  <c r="X258" i="49"/>
  <c r="W258" i="49"/>
  <c r="V258" i="49"/>
  <c r="AB257" i="49"/>
  <c r="AA257" i="49"/>
  <c r="Z257" i="49"/>
  <c r="Y257" i="49"/>
  <c r="X257" i="49"/>
  <c r="W257" i="49"/>
  <c r="V257" i="49"/>
  <c r="AB256" i="49"/>
  <c r="AA256" i="49"/>
  <c r="Z256" i="49"/>
  <c r="Y256" i="49"/>
  <c r="X256" i="49"/>
  <c r="W256" i="49"/>
  <c r="V256" i="49"/>
  <c r="AB255" i="49"/>
  <c r="AA255" i="49"/>
  <c r="Z255" i="49"/>
  <c r="Y255" i="49"/>
  <c r="X255" i="49"/>
  <c r="W255" i="49"/>
  <c r="V255" i="49"/>
  <c r="AB254" i="49"/>
  <c r="AA254" i="49"/>
  <c r="Z254" i="49"/>
  <c r="Y254" i="49"/>
  <c r="X254" i="49"/>
  <c r="W254" i="49"/>
  <c r="V254" i="49"/>
  <c r="AB253" i="49"/>
  <c r="AA253" i="49"/>
  <c r="Z253" i="49"/>
  <c r="Y253" i="49"/>
  <c r="X253" i="49"/>
  <c r="W253" i="49"/>
  <c r="V253" i="49"/>
  <c r="AB252" i="49"/>
  <c r="AA252" i="49"/>
  <c r="Z252" i="49"/>
  <c r="Y252" i="49"/>
  <c r="X252" i="49"/>
  <c r="W252" i="49"/>
  <c r="V252" i="49"/>
  <c r="AB251" i="49"/>
  <c r="AA251" i="49"/>
  <c r="Z251" i="49"/>
  <c r="Y251" i="49"/>
  <c r="X251" i="49"/>
  <c r="W251" i="49"/>
  <c r="V251" i="49"/>
  <c r="AB250" i="49"/>
  <c r="AA250" i="49"/>
  <c r="Z250" i="49"/>
  <c r="Y250" i="49"/>
  <c r="X250" i="49"/>
  <c r="W250" i="49"/>
  <c r="V250" i="49"/>
  <c r="AB249" i="49"/>
  <c r="AA249" i="49"/>
  <c r="Z249" i="49"/>
  <c r="Y249" i="49"/>
  <c r="X249" i="49"/>
  <c r="W249" i="49"/>
  <c r="V249" i="49"/>
  <c r="AB248" i="49"/>
  <c r="AA248" i="49"/>
  <c r="Z248" i="49"/>
  <c r="Y248" i="49"/>
  <c r="X248" i="49"/>
  <c r="W248" i="49"/>
  <c r="V248" i="49"/>
  <c r="AB247" i="49"/>
  <c r="AA247" i="49"/>
  <c r="Z247" i="49"/>
  <c r="Y247" i="49"/>
  <c r="X247" i="49"/>
  <c r="W247" i="49"/>
  <c r="V247" i="49"/>
  <c r="AB246" i="49"/>
  <c r="AA246" i="49"/>
  <c r="Z246" i="49"/>
  <c r="Y246" i="49"/>
  <c r="X246" i="49"/>
  <c r="W246" i="49"/>
  <c r="V246" i="49"/>
  <c r="AB245" i="49"/>
  <c r="AA245" i="49"/>
  <c r="Z245" i="49"/>
  <c r="Y245" i="49"/>
  <c r="X245" i="49"/>
  <c r="W245" i="49"/>
  <c r="V245" i="49"/>
  <c r="AB244" i="49"/>
  <c r="AA244" i="49"/>
  <c r="Z244" i="49"/>
  <c r="Y244" i="49"/>
  <c r="X244" i="49"/>
  <c r="W244" i="49"/>
  <c r="V244" i="49"/>
  <c r="AB243" i="49"/>
  <c r="AA243" i="49"/>
  <c r="Z243" i="49"/>
  <c r="Y243" i="49"/>
  <c r="X243" i="49"/>
  <c r="W243" i="49"/>
  <c r="V243" i="49"/>
  <c r="AB242" i="49"/>
  <c r="AA242" i="49"/>
  <c r="Z242" i="49"/>
  <c r="Y242" i="49"/>
  <c r="X242" i="49"/>
  <c r="W242" i="49"/>
  <c r="V242" i="49"/>
  <c r="AB241" i="49"/>
  <c r="AA241" i="49"/>
  <c r="Z241" i="49"/>
  <c r="Y241" i="49"/>
  <c r="X241" i="49"/>
  <c r="W241" i="49"/>
  <c r="V241" i="49"/>
  <c r="AB240" i="49"/>
  <c r="AA240" i="49"/>
  <c r="Z240" i="49"/>
  <c r="Y240" i="49"/>
  <c r="X240" i="49"/>
  <c r="W240" i="49"/>
  <c r="V240" i="49"/>
  <c r="AB239" i="49"/>
  <c r="AA239" i="49"/>
  <c r="Z239" i="49"/>
  <c r="Y239" i="49"/>
  <c r="X239" i="49"/>
  <c r="W239" i="49"/>
  <c r="V239" i="49"/>
  <c r="AB238" i="49"/>
  <c r="AA238" i="49"/>
  <c r="Z238" i="49"/>
  <c r="Y238" i="49"/>
  <c r="X238" i="49"/>
  <c r="W238" i="49"/>
  <c r="V238" i="49"/>
  <c r="AB237" i="49"/>
  <c r="AA237" i="49"/>
  <c r="Z237" i="49"/>
  <c r="Y237" i="49"/>
  <c r="X237" i="49"/>
  <c r="W237" i="49"/>
  <c r="V237" i="49"/>
  <c r="AB236" i="49"/>
  <c r="AA236" i="49"/>
  <c r="Z236" i="49"/>
  <c r="Y236" i="49"/>
  <c r="X236" i="49"/>
  <c r="W236" i="49"/>
  <c r="V236" i="49"/>
  <c r="AB235" i="49"/>
  <c r="AA235" i="49"/>
  <c r="Z235" i="49"/>
  <c r="Y235" i="49"/>
  <c r="X235" i="49"/>
  <c r="W235" i="49"/>
  <c r="V235" i="49"/>
  <c r="AB234" i="49"/>
  <c r="AA234" i="49"/>
  <c r="Z234" i="49"/>
  <c r="Y234" i="49"/>
  <c r="X234" i="49"/>
  <c r="W234" i="49"/>
  <c r="V234" i="49"/>
  <c r="AB233" i="49"/>
  <c r="AA233" i="49"/>
  <c r="Z233" i="49"/>
  <c r="Y233" i="49"/>
  <c r="X233" i="49"/>
  <c r="W233" i="49"/>
  <c r="V233" i="49"/>
  <c r="AB232" i="49"/>
  <c r="AA232" i="49"/>
  <c r="Z232" i="49"/>
  <c r="Y232" i="49"/>
  <c r="X232" i="49"/>
  <c r="W232" i="49"/>
  <c r="V232" i="49"/>
  <c r="AB231" i="49"/>
  <c r="AA231" i="49"/>
  <c r="Z231" i="49"/>
  <c r="Y231" i="49"/>
  <c r="X231" i="49"/>
  <c r="W231" i="49"/>
  <c r="V231" i="49"/>
  <c r="AB230" i="49"/>
  <c r="AA230" i="49"/>
  <c r="Z230" i="49"/>
  <c r="Y230" i="49"/>
  <c r="X230" i="49"/>
  <c r="W230" i="49"/>
  <c r="V230" i="49"/>
  <c r="AB229" i="49"/>
  <c r="AA229" i="49"/>
  <c r="Z229" i="49"/>
  <c r="Y229" i="49"/>
  <c r="X229" i="49"/>
  <c r="W229" i="49"/>
  <c r="V229" i="49"/>
  <c r="AB228" i="49"/>
  <c r="AA228" i="49"/>
  <c r="Z228" i="49"/>
  <c r="Y228" i="49"/>
  <c r="X228" i="49"/>
  <c r="W228" i="49"/>
  <c r="V228" i="49"/>
  <c r="AB227" i="49"/>
  <c r="AA227" i="49"/>
  <c r="Z227" i="49"/>
  <c r="Y227" i="49"/>
  <c r="X227" i="49"/>
  <c r="W227" i="49"/>
  <c r="V227" i="49"/>
  <c r="AB226" i="49"/>
  <c r="AA226" i="49"/>
  <c r="Z226" i="49"/>
  <c r="Y226" i="49"/>
  <c r="X226" i="49"/>
  <c r="W226" i="49"/>
  <c r="V226" i="49"/>
  <c r="AB225" i="49"/>
  <c r="AA225" i="49"/>
  <c r="Z225" i="49"/>
  <c r="Y225" i="49"/>
  <c r="X225" i="49"/>
  <c r="W225" i="49"/>
  <c r="V225" i="49"/>
  <c r="AB224" i="49"/>
  <c r="AA224" i="49"/>
  <c r="Z224" i="49"/>
  <c r="Y224" i="49"/>
  <c r="X224" i="49"/>
  <c r="W224" i="49"/>
  <c r="V224" i="49"/>
  <c r="AB223" i="49"/>
  <c r="AA223" i="49"/>
  <c r="Z223" i="49"/>
  <c r="Y223" i="49"/>
  <c r="X223" i="49"/>
  <c r="W223" i="49"/>
  <c r="V223" i="49"/>
  <c r="AB222" i="49"/>
  <c r="AA222" i="49"/>
  <c r="Z222" i="49"/>
  <c r="Y222" i="49"/>
  <c r="X222" i="49"/>
  <c r="W222" i="49"/>
  <c r="V222" i="49"/>
  <c r="AB221" i="49"/>
  <c r="AA221" i="49"/>
  <c r="Z221" i="49"/>
  <c r="Y221" i="49"/>
  <c r="X221" i="49"/>
  <c r="W221" i="49"/>
  <c r="V221" i="49"/>
  <c r="AB220" i="49"/>
  <c r="AA220" i="49"/>
  <c r="Z220" i="49"/>
  <c r="Y220" i="49"/>
  <c r="X220" i="49"/>
  <c r="W220" i="49"/>
  <c r="V220" i="49"/>
  <c r="AB219" i="49"/>
  <c r="AA219" i="49"/>
  <c r="Z219" i="49"/>
  <c r="Y219" i="49"/>
  <c r="X219" i="49"/>
  <c r="W219" i="49"/>
  <c r="V219" i="49"/>
  <c r="AB218" i="49"/>
  <c r="AA218" i="49"/>
  <c r="Z218" i="49"/>
  <c r="Y218" i="49"/>
  <c r="X218" i="49"/>
  <c r="W218" i="49"/>
  <c r="V218" i="49"/>
  <c r="AB217" i="49"/>
  <c r="AA217" i="49"/>
  <c r="Z217" i="49"/>
  <c r="Y217" i="49"/>
  <c r="X217" i="49"/>
  <c r="W217" i="49"/>
  <c r="V217" i="49"/>
  <c r="AB216" i="49"/>
  <c r="AA216" i="49"/>
  <c r="Z216" i="49"/>
  <c r="Y216" i="49"/>
  <c r="X216" i="49"/>
  <c r="W216" i="49"/>
  <c r="V216" i="49"/>
  <c r="AB215" i="49"/>
  <c r="AA215" i="49"/>
  <c r="Z215" i="49"/>
  <c r="Y215" i="49"/>
  <c r="X215" i="49"/>
  <c r="W215" i="49"/>
  <c r="V215" i="49"/>
  <c r="AB214" i="49"/>
  <c r="AA214" i="49"/>
  <c r="Z214" i="49"/>
  <c r="Y214" i="49"/>
  <c r="X214" i="49"/>
  <c r="W214" i="49"/>
  <c r="V214" i="49"/>
  <c r="AB213" i="49"/>
  <c r="AA213" i="49"/>
  <c r="Z213" i="49"/>
  <c r="Y213" i="49"/>
  <c r="X213" i="49"/>
  <c r="W213" i="49"/>
  <c r="V213" i="49"/>
  <c r="AB212" i="49"/>
  <c r="AA212" i="49"/>
  <c r="Z212" i="49"/>
  <c r="Y212" i="49"/>
  <c r="X212" i="49"/>
  <c r="W212" i="49"/>
  <c r="V212" i="49"/>
  <c r="AB211" i="49"/>
  <c r="AA211" i="49"/>
  <c r="Z211" i="49"/>
  <c r="Y211" i="49"/>
  <c r="X211" i="49"/>
  <c r="W211" i="49"/>
  <c r="V211" i="49"/>
  <c r="AB210" i="49"/>
  <c r="AA210" i="49"/>
  <c r="Z210" i="49"/>
  <c r="Y210" i="49"/>
  <c r="X210" i="49"/>
  <c r="W210" i="49"/>
  <c r="V210" i="49"/>
  <c r="AB209" i="49"/>
  <c r="AA209" i="49"/>
  <c r="Z209" i="49"/>
  <c r="Y209" i="49"/>
  <c r="X209" i="49"/>
  <c r="W209" i="49"/>
  <c r="V209" i="49"/>
  <c r="AB208" i="49"/>
  <c r="AA208" i="49"/>
  <c r="Z208" i="49"/>
  <c r="Y208" i="49"/>
  <c r="X208" i="49"/>
  <c r="W208" i="49"/>
  <c r="V208" i="49"/>
  <c r="AB207" i="49"/>
  <c r="AA207" i="49"/>
  <c r="Z207" i="49"/>
  <c r="Y207" i="49"/>
  <c r="X207" i="49"/>
  <c r="W207" i="49"/>
  <c r="V207" i="49"/>
  <c r="AB206" i="49"/>
  <c r="AA206" i="49"/>
  <c r="Z206" i="49"/>
  <c r="Y206" i="49"/>
  <c r="X206" i="49"/>
  <c r="W206" i="49"/>
  <c r="V206" i="49"/>
  <c r="AB205" i="49"/>
  <c r="AA205" i="49"/>
  <c r="Z205" i="49"/>
  <c r="Y205" i="49"/>
  <c r="X205" i="49"/>
  <c r="W205" i="49"/>
  <c r="V205" i="49"/>
  <c r="AB204" i="49"/>
  <c r="AA204" i="49"/>
  <c r="Z204" i="49"/>
  <c r="Y204" i="49"/>
  <c r="X204" i="49"/>
  <c r="W204" i="49"/>
  <c r="V204" i="49"/>
  <c r="AB203" i="49"/>
  <c r="AA203" i="49"/>
  <c r="Z203" i="49"/>
  <c r="Y203" i="49"/>
  <c r="X203" i="49"/>
  <c r="W203" i="49"/>
  <c r="V203" i="49"/>
  <c r="AB202" i="49"/>
  <c r="AA202" i="49"/>
  <c r="Z202" i="49"/>
  <c r="Y202" i="49"/>
  <c r="X202" i="49"/>
  <c r="W202" i="49"/>
  <c r="V202" i="49"/>
  <c r="AB201" i="49"/>
  <c r="AA201" i="49"/>
  <c r="Z201" i="49"/>
  <c r="Y201" i="49"/>
  <c r="X201" i="49"/>
  <c r="W201" i="49"/>
  <c r="V201" i="49"/>
  <c r="AB200" i="49"/>
  <c r="AA200" i="49"/>
  <c r="Z200" i="49"/>
  <c r="Y200" i="49"/>
  <c r="X200" i="49"/>
  <c r="W200" i="49"/>
  <c r="V200" i="49"/>
  <c r="AB199" i="49"/>
  <c r="AA199" i="49"/>
  <c r="Z199" i="49"/>
  <c r="Y199" i="49"/>
  <c r="X199" i="49"/>
  <c r="W199" i="49"/>
  <c r="V199" i="49"/>
  <c r="AB198" i="49"/>
  <c r="AA198" i="49"/>
  <c r="Z198" i="49"/>
  <c r="Y198" i="49"/>
  <c r="X198" i="49"/>
  <c r="W198" i="49"/>
  <c r="V198" i="49"/>
  <c r="AB197" i="49"/>
  <c r="AA197" i="49"/>
  <c r="Z197" i="49"/>
  <c r="Y197" i="49"/>
  <c r="X197" i="49"/>
  <c r="W197" i="49"/>
  <c r="V197" i="49"/>
  <c r="AB196" i="49"/>
  <c r="AA196" i="49"/>
  <c r="Z196" i="49"/>
  <c r="Y196" i="49"/>
  <c r="X196" i="49"/>
  <c r="W196" i="49"/>
  <c r="V196" i="49"/>
  <c r="AB195" i="49"/>
  <c r="AA195" i="49"/>
  <c r="Z195" i="49"/>
  <c r="Y195" i="49"/>
  <c r="X195" i="49"/>
  <c r="W195" i="49"/>
  <c r="V195" i="49"/>
  <c r="AB194" i="49"/>
  <c r="AA194" i="49"/>
  <c r="Z194" i="49"/>
  <c r="Y194" i="49"/>
  <c r="X194" i="49"/>
  <c r="W194" i="49"/>
  <c r="V194" i="49"/>
  <c r="AB193" i="49"/>
  <c r="AA193" i="49"/>
  <c r="Z193" i="49"/>
  <c r="Y193" i="49"/>
  <c r="X193" i="49"/>
  <c r="W193" i="49"/>
  <c r="V193" i="49"/>
  <c r="AB192" i="49"/>
  <c r="AA192" i="49"/>
  <c r="Z192" i="49"/>
  <c r="Y192" i="49"/>
  <c r="X192" i="49"/>
  <c r="W192" i="49"/>
  <c r="V192" i="49"/>
  <c r="AB191" i="49"/>
  <c r="AA191" i="49"/>
  <c r="Z191" i="49"/>
  <c r="Y191" i="49"/>
  <c r="X191" i="49"/>
  <c r="W191" i="49"/>
  <c r="V191" i="49"/>
  <c r="AB190" i="49"/>
  <c r="AA190" i="49"/>
  <c r="Z190" i="49"/>
  <c r="Y190" i="49"/>
  <c r="X190" i="49"/>
  <c r="W190" i="49"/>
  <c r="V190" i="49"/>
  <c r="AB189" i="49"/>
  <c r="AA189" i="49"/>
  <c r="Z189" i="49"/>
  <c r="Y189" i="49"/>
  <c r="X189" i="49"/>
  <c r="W189" i="49"/>
  <c r="V189" i="49"/>
  <c r="AB188" i="49"/>
  <c r="AA188" i="49"/>
  <c r="Z188" i="49"/>
  <c r="Y188" i="49"/>
  <c r="X188" i="49"/>
  <c r="W188" i="49"/>
  <c r="V188" i="49"/>
  <c r="AB187" i="49"/>
  <c r="AA187" i="49"/>
  <c r="Z187" i="49"/>
  <c r="Y187" i="49"/>
  <c r="X187" i="49"/>
  <c r="W187" i="49"/>
  <c r="V187" i="49"/>
  <c r="AB186" i="49"/>
  <c r="AA186" i="49"/>
  <c r="Z186" i="49"/>
  <c r="Y186" i="49"/>
  <c r="X186" i="49"/>
  <c r="W186" i="49"/>
  <c r="V186" i="49"/>
  <c r="AB185" i="49"/>
  <c r="AA185" i="49"/>
  <c r="Z185" i="49"/>
  <c r="Y185" i="49"/>
  <c r="X185" i="49"/>
  <c r="W185" i="49"/>
  <c r="V185" i="49"/>
  <c r="AB184" i="49"/>
  <c r="AA184" i="49"/>
  <c r="Z184" i="49"/>
  <c r="Y184" i="49"/>
  <c r="X184" i="49"/>
  <c r="W184" i="49"/>
  <c r="V184" i="49"/>
  <c r="AB183" i="49"/>
  <c r="AA183" i="49"/>
  <c r="Z183" i="49"/>
  <c r="Y183" i="49"/>
  <c r="X183" i="49"/>
  <c r="W183" i="49"/>
  <c r="V183" i="49"/>
  <c r="AB182" i="49"/>
  <c r="AA182" i="49"/>
  <c r="Z182" i="49"/>
  <c r="Y182" i="49"/>
  <c r="X182" i="49"/>
  <c r="W182" i="49"/>
  <c r="V182" i="49"/>
  <c r="AB181" i="49"/>
  <c r="AA181" i="49"/>
  <c r="Z181" i="49"/>
  <c r="Y181" i="49"/>
  <c r="X181" i="49"/>
  <c r="W181" i="49"/>
  <c r="V181" i="49"/>
  <c r="AB180" i="49"/>
  <c r="AA180" i="49"/>
  <c r="Z180" i="49"/>
  <c r="Y180" i="49"/>
  <c r="X180" i="49"/>
  <c r="W180" i="49"/>
  <c r="V180" i="49"/>
  <c r="AB179" i="49"/>
  <c r="AA179" i="49"/>
  <c r="Z179" i="49"/>
  <c r="Y179" i="49"/>
  <c r="X179" i="49"/>
  <c r="W179" i="49"/>
  <c r="V179" i="49"/>
  <c r="AB178" i="49"/>
  <c r="AA178" i="49"/>
  <c r="Z178" i="49"/>
  <c r="Y178" i="49"/>
  <c r="X178" i="49"/>
  <c r="W178" i="49"/>
  <c r="V178" i="49"/>
  <c r="AB177" i="49"/>
  <c r="AA177" i="49"/>
  <c r="Z177" i="49"/>
  <c r="Y177" i="49"/>
  <c r="X177" i="49"/>
  <c r="W177" i="49"/>
  <c r="V177" i="49"/>
  <c r="AB176" i="49"/>
  <c r="AA176" i="49"/>
  <c r="Z176" i="49"/>
  <c r="Y176" i="49"/>
  <c r="X176" i="49"/>
  <c r="W176" i="49"/>
  <c r="V176" i="49"/>
  <c r="AB175" i="49"/>
  <c r="AA175" i="49"/>
  <c r="Z175" i="49"/>
  <c r="Y175" i="49"/>
  <c r="X175" i="49"/>
  <c r="W175" i="49"/>
  <c r="V175" i="49"/>
  <c r="AB174" i="49"/>
  <c r="AA174" i="49"/>
  <c r="Z174" i="49"/>
  <c r="Y174" i="49"/>
  <c r="X174" i="49"/>
  <c r="W174" i="49"/>
  <c r="V174" i="49"/>
  <c r="AB173" i="49"/>
  <c r="AA173" i="49"/>
  <c r="Z173" i="49"/>
  <c r="Y173" i="49"/>
  <c r="X173" i="49"/>
  <c r="W173" i="49"/>
  <c r="V173" i="49"/>
  <c r="AB172" i="49"/>
  <c r="AA172" i="49"/>
  <c r="Z172" i="49"/>
  <c r="Y172" i="49"/>
  <c r="X172" i="49"/>
  <c r="W172" i="49"/>
  <c r="V172" i="49"/>
  <c r="AB171" i="49"/>
  <c r="AA171" i="49"/>
  <c r="Z171" i="49"/>
  <c r="Y171" i="49"/>
  <c r="X171" i="49"/>
  <c r="W171" i="49"/>
  <c r="V171" i="49"/>
  <c r="AB170" i="49"/>
  <c r="AA170" i="49"/>
  <c r="Z170" i="49"/>
  <c r="Y170" i="49"/>
  <c r="X170" i="49"/>
  <c r="W170" i="49"/>
  <c r="V170" i="49"/>
  <c r="AB169" i="49"/>
  <c r="AA169" i="49"/>
  <c r="Z169" i="49"/>
  <c r="Y169" i="49"/>
  <c r="X169" i="49"/>
  <c r="W169" i="49"/>
  <c r="V169" i="49"/>
  <c r="AB168" i="49"/>
  <c r="AA168" i="49"/>
  <c r="Z168" i="49"/>
  <c r="Y168" i="49"/>
  <c r="X168" i="49"/>
  <c r="W168" i="49"/>
  <c r="V168" i="49"/>
  <c r="AB167" i="49"/>
  <c r="AA167" i="49"/>
  <c r="Z167" i="49"/>
  <c r="Y167" i="49"/>
  <c r="X167" i="49"/>
  <c r="W167" i="49"/>
  <c r="V167" i="49"/>
  <c r="AB166" i="49"/>
  <c r="AA166" i="49"/>
  <c r="Z166" i="49"/>
  <c r="Y166" i="49"/>
  <c r="X166" i="49"/>
  <c r="W166" i="49"/>
  <c r="V166" i="49"/>
  <c r="AB165" i="49"/>
  <c r="AA165" i="49"/>
  <c r="Z165" i="49"/>
  <c r="Y165" i="49"/>
  <c r="X165" i="49"/>
  <c r="W165" i="49"/>
  <c r="V165" i="49"/>
  <c r="AB164" i="49"/>
  <c r="AA164" i="49"/>
  <c r="Z164" i="49"/>
  <c r="Y164" i="49"/>
  <c r="X164" i="49"/>
  <c r="W164" i="49"/>
  <c r="V164" i="49"/>
  <c r="AB163" i="49"/>
  <c r="AA163" i="49"/>
  <c r="Z163" i="49"/>
  <c r="Y163" i="49"/>
  <c r="X163" i="49"/>
  <c r="W163" i="49"/>
  <c r="V163" i="49"/>
  <c r="AB162" i="49"/>
  <c r="AA162" i="49"/>
  <c r="Z162" i="49"/>
  <c r="Y162" i="49"/>
  <c r="X162" i="49"/>
  <c r="W162" i="49"/>
  <c r="V162" i="49"/>
  <c r="AB161" i="49"/>
  <c r="AA161" i="49"/>
  <c r="Z161" i="49"/>
  <c r="Y161" i="49"/>
  <c r="X161" i="49"/>
  <c r="W161" i="49"/>
  <c r="V161" i="49"/>
  <c r="AB160" i="49"/>
  <c r="AA160" i="49"/>
  <c r="Z160" i="49"/>
  <c r="Y160" i="49"/>
  <c r="X160" i="49"/>
  <c r="W160" i="49"/>
  <c r="V160" i="49"/>
  <c r="AB159" i="49"/>
  <c r="AA159" i="49"/>
  <c r="Z159" i="49"/>
  <c r="Y159" i="49"/>
  <c r="X159" i="49"/>
  <c r="W159" i="49"/>
  <c r="V159" i="49"/>
  <c r="AB158" i="49"/>
  <c r="AA158" i="49"/>
  <c r="Z158" i="49"/>
  <c r="Y158" i="49"/>
  <c r="X158" i="49"/>
  <c r="W158" i="49"/>
  <c r="V158" i="49"/>
  <c r="AB157" i="49"/>
  <c r="AA157" i="49"/>
  <c r="Z157" i="49"/>
  <c r="Y157" i="49"/>
  <c r="X157" i="49"/>
  <c r="W157" i="49"/>
  <c r="V157" i="49"/>
  <c r="AB156" i="49"/>
  <c r="AA156" i="49"/>
  <c r="Z156" i="49"/>
  <c r="Y156" i="49"/>
  <c r="X156" i="49"/>
  <c r="W156" i="49"/>
  <c r="V156" i="49"/>
  <c r="AB155" i="49"/>
  <c r="AA155" i="49"/>
  <c r="Z155" i="49"/>
  <c r="Y155" i="49"/>
  <c r="X155" i="49"/>
  <c r="W155" i="49"/>
  <c r="V155" i="49"/>
  <c r="AB154" i="49"/>
  <c r="AA154" i="49"/>
  <c r="Z154" i="49"/>
  <c r="Y154" i="49"/>
  <c r="X154" i="49"/>
  <c r="W154" i="49"/>
  <c r="V154" i="49"/>
  <c r="AB153" i="49"/>
  <c r="AA153" i="49"/>
  <c r="Z153" i="49"/>
  <c r="Y153" i="49"/>
  <c r="X153" i="49"/>
  <c r="W153" i="49"/>
  <c r="V153" i="49"/>
  <c r="AB152" i="49"/>
  <c r="AA152" i="49"/>
  <c r="Z152" i="49"/>
  <c r="Y152" i="49"/>
  <c r="X152" i="49"/>
  <c r="W152" i="49"/>
  <c r="V152" i="49"/>
  <c r="AB151" i="49"/>
  <c r="AA151" i="49"/>
  <c r="Z151" i="49"/>
  <c r="Y151" i="49"/>
  <c r="X151" i="49"/>
  <c r="W151" i="49"/>
  <c r="V151" i="49"/>
  <c r="AB150" i="49"/>
  <c r="AA150" i="49"/>
  <c r="Z150" i="49"/>
  <c r="Y150" i="49"/>
  <c r="X150" i="49"/>
  <c r="W150" i="49"/>
  <c r="V150" i="49"/>
  <c r="AB149" i="49"/>
  <c r="AA149" i="49"/>
  <c r="Z149" i="49"/>
  <c r="Y149" i="49"/>
  <c r="X149" i="49"/>
  <c r="W149" i="49"/>
  <c r="V149" i="49"/>
  <c r="AB148" i="49"/>
  <c r="AA148" i="49"/>
  <c r="Z148" i="49"/>
  <c r="Y148" i="49"/>
  <c r="X148" i="49"/>
  <c r="W148" i="49"/>
  <c r="V148" i="49"/>
  <c r="AB147" i="49"/>
  <c r="AA147" i="49"/>
  <c r="Z147" i="49"/>
  <c r="Y147" i="49"/>
  <c r="X147" i="49"/>
  <c r="W147" i="49"/>
  <c r="V147" i="49"/>
  <c r="AB146" i="49"/>
  <c r="AA146" i="49"/>
  <c r="Z146" i="49"/>
  <c r="Y146" i="49"/>
  <c r="X146" i="49"/>
  <c r="W146" i="49"/>
  <c r="V146" i="49"/>
  <c r="AB145" i="49"/>
  <c r="AA145" i="49"/>
  <c r="Z145" i="49"/>
  <c r="Y145" i="49"/>
  <c r="X145" i="49"/>
  <c r="W145" i="49"/>
  <c r="V145" i="49"/>
  <c r="AB144" i="49"/>
  <c r="AA144" i="49"/>
  <c r="Z144" i="49"/>
  <c r="Y144" i="49"/>
  <c r="X144" i="49"/>
  <c r="W144" i="49"/>
  <c r="V144" i="49"/>
  <c r="AB143" i="49"/>
  <c r="AA143" i="49"/>
  <c r="Z143" i="49"/>
  <c r="Y143" i="49"/>
  <c r="X143" i="49"/>
  <c r="W143" i="49"/>
  <c r="V143" i="49"/>
  <c r="AB142" i="49"/>
  <c r="AA142" i="49"/>
  <c r="Z142" i="49"/>
  <c r="Y142" i="49"/>
  <c r="X142" i="49"/>
  <c r="W142" i="49"/>
  <c r="V142" i="49"/>
  <c r="AB141" i="49"/>
  <c r="AA141" i="49"/>
  <c r="Z141" i="49"/>
  <c r="Y141" i="49"/>
  <c r="X141" i="49"/>
  <c r="W141" i="49"/>
  <c r="V141" i="49"/>
  <c r="AB140" i="49"/>
  <c r="AA140" i="49"/>
  <c r="Z140" i="49"/>
  <c r="Y140" i="49"/>
  <c r="X140" i="49"/>
  <c r="W140" i="49"/>
  <c r="V140" i="49"/>
  <c r="AB139" i="49"/>
  <c r="AA139" i="49"/>
  <c r="Z139" i="49"/>
  <c r="Y139" i="49"/>
  <c r="X139" i="49"/>
  <c r="W139" i="49"/>
  <c r="V139" i="49"/>
  <c r="AB138" i="49"/>
  <c r="AA138" i="49"/>
  <c r="Z138" i="49"/>
  <c r="Y138" i="49"/>
  <c r="X138" i="49"/>
  <c r="W138" i="49"/>
  <c r="V138" i="49"/>
  <c r="AB137" i="49"/>
  <c r="AA137" i="49"/>
  <c r="Z137" i="49"/>
  <c r="Y137" i="49"/>
  <c r="X137" i="49"/>
  <c r="W137" i="49"/>
  <c r="V137" i="49"/>
  <c r="AB136" i="49"/>
  <c r="AA136" i="49"/>
  <c r="Z136" i="49"/>
  <c r="Y136" i="49"/>
  <c r="X136" i="49"/>
  <c r="W136" i="49"/>
  <c r="V136" i="49"/>
  <c r="AB135" i="49"/>
  <c r="AA135" i="49"/>
  <c r="Z135" i="49"/>
  <c r="Y135" i="49"/>
  <c r="X135" i="49"/>
  <c r="W135" i="49"/>
  <c r="V135" i="49"/>
  <c r="AB134" i="49"/>
  <c r="AA134" i="49"/>
  <c r="Z134" i="49"/>
  <c r="Y134" i="49"/>
  <c r="X134" i="49"/>
  <c r="W134" i="49"/>
  <c r="V134" i="49"/>
  <c r="AB133" i="49"/>
  <c r="AA133" i="49"/>
  <c r="Z133" i="49"/>
  <c r="Y133" i="49"/>
  <c r="X133" i="49"/>
  <c r="W133" i="49"/>
  <c r="V133" i="49"/>
  <c r="AB132" i="49"/>
  <c r="AA132" i="49"/>
  <c r="Z132" i="49"/>
  <c r="Y132" i="49"/>
  <c r="X132" i="49"/>
  <c r="W132" i="49"/>
  <c r="V132" i="49"/>
  <c r="AB131" i="49"/>
  <c r="AA131" i="49"/>
  <c r="Z131" i="49"/>
  <c r="Y131" i="49"/>
  <c r="X131" i="49"/>
  <c r="W131" i="49"/>
  <c r="V131" i="49"/>
  <c r="AB130" i="49"/>
  <c r="AA130" i="49"/>
  <c r="Z130" i="49"/>
  <c r="Y130" i="49"/>
  <c r="X130" i="49"/>
  <c r="W130" i="49"/>
  <c r="V130" i="49"/>
  <c r="AB129" i="49"/>
  <c r="AA129" i="49"/>
  <c r="Z129" i="49"/>
  <c r="Y129" i="49"/>
  <c r="X129" i="49"/>
  <c r="W129" i="49"/>
  <c r="V129" i="49"/>
  <c r="AB128" i="49"/>
  <c r="AA128" i="49"/>
  <c r="Z128" i="49"/>
  <c r="Y128" i="49"/>
  <c r="X128" i="49"/>
  <c r="W128" i="49"/>
  <c r="V128" i="49"/>
  <c r="AB127" i="49"/>
  <c r="AA127" i="49"/>
  <c r="Z127" i="49"/>
  <c r="Y127" i="49"/>
  <c r="X127" i="49"/>
  <c r="W127" i="49"/>
  <c r="V127" i="49"/>
  <c r="AB126" i="49"/>
  <c r="AA126" i="49"/>
  <c r="Z126" i="49"/>
  <c r="Y126" i="49"/>
  <c r="X126" i="49"/>
  <c r="W126" i="49"/>
  <c r="V126" i="49"/>
  <c r="AB125" i="49"/>
  <c r="AA125" i="49"/>
  <c r="Z125" i="49"/>
  <c r="Y125" i="49"/>
  <c r="X125" i="49"/>
  <c r="W125" i="49"/>
  <c r="V125" i="49"/>
  <c r="AB124" i="49"/>
  <c r="AA124" i="49"/>
  <c r="Z124" i="49"/>
  <c r="Y124" i="49"/>
  <c r="X124" i="49"/>
  <c r="W124" i="49"/>
  <c r="V124" i="49"/>
  <c r="AB123" i="49"/>
  <c r="AA123" i="49"/>
  <c r="Z123" i="49"/>
  <c r="Y123" i="49"/>
  <c r="X123" i="49"/>
  <c r="W123" i="49"/>
  <c r="V123" i="49"/>
  <c r="AB122" i="49"/>
  <c r="AA122" i="49"/>
  <c r="Z122" i="49"/>
  <c r="Y122" i="49"/>
  <c r="X122" i="49"/>
  <c r="W122" i="49"/>
  <c r="V122" i="49"/>
  <c r="AB121" i="49"/>
  <c r="AA121" i="49"/>
  <c r="Z121" i="49"/>
  <c r="Y121" i="49"/>
  <c r="X121" i="49"/>
  <c r="W121" i="49"/>
  <c r="V121" i="49"/>
  <c r="AB120" i="49"/>
  <c r="AA120" i="49"/>
  <c r="Z120" i="49"/>
  <c r="Y120" i="49"/>
  <c r="X120" i="49"/>
  <c r="W120" i="49"/>
  <c r="V120" i="49"/>
  <c r="AB119" i="49"/>
  <c r="AA119" i="49"/>
  <c r="Z119" i="49"/>
  <c r="Y119" i="49"/>
  <c r="X119" i="49"/>
  <c r="W119" i="49"/>
  <c r="V119" i="49"/>
  <c r="AB118" i="49"/>
  <c r="AA118" i="49"/>
  <c r="Z118" i="49"/>
  <c r="Y118" i="49"/>
  <c r="X118" i="49"/>
  <c r="W118" i="49"/>
  <c r="V118" i="49"/>
  <c r="AB117" i="49"/>
  <c r="AA117" i="49"/>
  <c r="Z117" i="49"/>
  <c r="Y117" i="49"/>
  <c r="X117" i="49"/>
  <c r="W117" i="49"/>
  <c r="V117" i="49"/>
  <c r="AB116" i="49"/>
  <c r="AA116" i="49"/>
  <c r="Z116" i="49"/>
  <c r="Y116" i="49"/>
  <c r="X116" i="49"/>
  <c r="W116" i="49"/>
  <c r="V116" i="49"/>
  <c r="AB115" i="49"/>
  <c r="AA115" i="49"/>
  <c r="Z115" i="49"/>
  <c r="Y115" i="49"/>
  <c r="X115" i="49"/>
  <c r="W115" i="49"/>
  <c r="V115" i="49"/>
  <c r="AB114" i="49"/>
  <c r="AA114" i="49"/>
  <c r="Z114" i="49"/>
  <c r="Y114" i="49"/>
  <c r="X114" i="49"/>
  <c r="W114" i="49"/>
  <c r="V114" i="49"/>
  <c r="AB113" i="49"/>
  <c r="AA113" i="49"/>
  <c r="Z113" i="49"/>
  <c r="Y113" i="49"/>
  <c r="X113" i="49"/>
  <c r="W113" i="49"/>
  <c r="V113" i="49"/>
  <c r="AB112" i="49"/>
  <c r="AA112" i="49"/>
  <c r="Z112" i="49"/>
  <c r="Y112" i="49"/>
  <c r="X112" i="49"/>
  <c r="W112" i="49"/>
  <c r="V112" i="49"/>
  <c r="AB111" i="49"/>
  <c r="AA111" i="49"/>
  <c r="Z111" i="49"/>
  <c r="Y111" i="49"/>
  <c r="X111" i="49"/>
  <c r="W111" i="49"/>
  <c r="V111" i="49"/>
  <c r="AB110" i="49"/>
  <c r="AA110" i="49"/>
  <c r="Z110" i="49"/>
  <c r="Y110" i="49"/>
  <c r="X110" i="49"/>
  <c r="W110" i="49"/>
  <c r="V110" i="49"/>
  <c r="AB109" i="49"/>
  <c r="AA109" i="49"/>
  <c r="Z109" i="49"/>
  <c r="Y109" i="49"/>
  <c r="X109" i="49"/>
  <c r="W109" i="49"/>
  <c r="V109" i="49"/>
  <c r="AB108" i="49"/>
  <c r="AA108" i="49"/>
  <c r="Z108" i="49"/>
  <c r="Y108" i="49"/>
  <c r="X108" i="49"/>
  <c r="W108" i="49"/>
  <c r="V108" i="49"/>
  <c r="AB107" i="49"/>
  <c r="AA107" i="49"/>
  <c r="Z107" i="49"/>
  <c r="Y107" i="49"/>
  <c r="X107" i="49"/>
  <c r="W107" i="49"/>
  <c r="V107" i="49"/>
  <c r="AB106" i="49"/>
  <c r="AA106" i="49"/>
  <c r="Z106" i="49"/>
  <c r="Y106" i="49"/>
  <c r="X106" i="49"/>
  <c r="W106" i="49"/>
  <c r="V106" i="49"/>
  <c r="AB105" i="49"/>
  <c r="AA105" i="49"/>
  <c r="Z105" i="49"/>
  <c r="Y105" i="49"/>
  <c r="X105" i="49"/>
  <c r="W105" i="49"/>
  <c r="V105" i="49"/>
  <c r="AB104" i="49"/>
  <c r="AA104" i="49"/>
  <c r="Z104" i="49"/>
  <c r="Y104" i="49"/>
  <c r="X104" i="49"/>
  <c r="W104" i="49"/>
  <c r="V104" i="49"/>
  <c r="AB103" i="49"/>
  <c r="AA103" i="49"/>
  <c r="Z103" i="49"/>
  <c r="Y103" i="49"/>
  <c r="X103" i="49"/>
  <c r="W103" i="49"/>
  <c r="V103" i="49"/>
  <c r="AB102" i="49"/>
  <c r="AA102" i="49"/>
  <c r="Z102" i="49"/>
  <c r="Y102" i="49"/>
  <c r="X102" i="49"/>
  <c r="W102" i="49"/>
  <c r="V102" i="49"/>
  <c r="AB101" i="49"/>
  <c r="AA101" i="49"/>
  <c r="Z101" i="49"/>
  <c r="Y101" i="49"/>
  <c r="X101" i="49"/>
  <c r="W101" i="49"/>
  <c r="V101" i="49"/>
  <c r="AB100" i="49"/>
  <c r="AA100" i="49"/>
  <c r="Z100" i="49"/>
  <c r="Y100" i="49"/>
  <c r="X100" i="49"/>
  <c r="W100" i="49"/>
  <c r="V100" i="49"/>
  <c r="AB99" i="49"/>
  <c r="AA99" i="49"/>
  <c r="Z99" i="49"/>
  <c r="Y99" i="49"/>
  <c r="X99" i="49"/>
  <c r="W99" i="49"/>
  <c r="V99" i="49"/>
  <c r="AB98" i="49"/>
  <c r="AA98" i="49"/>
  <c r="Z98" i="49"/>
  <c r="Y98" i="49"/>
  <c r="X98" i="49"/>
  <c r="W98" i="49"/>
  <c r="V98" i="49"/>
  <c r="AB97" i="49"/>
  <c r="AA97" i="49"/>
  <c r="Z97" i="49"/>
  <c r="Y97" i="49"/>
  <c r="X97" i="49"/>
  <c r="W97" i="49"/>
  <c r="V97" i="49"/>
  <c r="AB96" i="49"/>
  <c r="AA96" i="49"/>
  <c r="Z96" i="49"/>
  <c r="Y96" i="49"/>
  <c r="X96" i="49"/>
  <c r="W96" i="49"/>
  <c r="V96" i="49"/>
  <c r="AB95" i="49"/>
  <c r="AA95" i="49"/>
  <c r="Z95" i="49"/>
  <c r="Y95" i="49"/>
  <c r="X95" i="49"/>
  <c r="W95" i="49"/>
  <c r="V95" i="49"/>
  <c r="AB94" i="49"/>
  <c r="AA94" i="49"/>
  <c r="Z94" i="49"/>
  <c r="Y94" i="49"/>
  <c r="X94" i="49"/>
  <c r="W94" i="49"/>
  <c r="V94" i="49"/>
  <c r="AB93" i="49"/>
  <c r="AA93" i="49"/>
  <c r="Z93" i="49"/>
  <c r="Y93" i="49"/>
  <c r="X93" i="49"/>
  <c r="W93" i="49"/>
  <c r="V93" i="49"/>
  <c r="AB92" i="49"/>
  <c r="AA92" i="49"/>
  <c r="Z92" i="49"/>
  <c r="Y92" i="49"/>
  <c r="X92" i="49"/>
  <c r="W92" i="49"/>
  <c r="V92" i="49"/>
  <c r="AB91" i="49"/>
  <c r="AA91" i="49"/>
  <c r="Z91" i="49"/>
  <c r="Y91" i="49"/>
  <c r="X91" i="49"/>
  <c r="W91" i="49"/>
  <c r="V91" i="49"/>
  <c r="AB90" i="49"/>
  <c r="AA90" i="49"/>
  <c r="Z90" i="49"/>
  <c r="Y90" i="49"/>
  <c r="X90" i="49"/>
  <c r="W90" i="49"/>
  <c r="V90" i="49"/>
  <c r="AB89" i="49"/>
  <c r="AA89" i="49"/>
  <c r="Z89" i="49"/>
  <c r="Y89" i="49"/>
  <c r="X89" i="49"/>
  <c r="W89" i="49"/>
  <c r="V89" i="49"/>
  <c r="AB88" i="49"/>
  <c r="AA88" i="49"/>
  <c r="Z88" i="49"/>
  <c r="Y88" i="49"/>
  <c r="X88" i="49"/>
  <c r="W88" i="49"/>
  <c r="V88" i="49"/>
  <c r="AB87" i="49"/>
  <c r="AA87" i="49"/>
  <c r="Z87" i="49"/>
  <c r="Y87" i="49"/>
  <c r="X87" i="49"/>
  <c r="W87" i="49"/>
  <c r="V87" i="49"/>
  <c r="AB86" i="49"/>
  <c r="AA86" i="49"/>
  <c r="Z86" i="49"/>
  <c r="Y86" i="49"/>
  <c r="X86" i="49"/>
  <c r="W86" i="49"/>
  <c r="V86" i="49"/>
  <c r="AB85" i="49"/>
  <c r="AA85" i="49"/>
  <c r="Z85" i="49"/>
  <c r="Y85" i="49"/>
  <c r="X85" i="49"/>
  <c r="W85" i="49"/>
  <c r="V85" i="49"/>
  <c r="AB84" i="49"/>
  <c r="AA84" i="49"/>
  <c r="Z84" i="49"/>
  <c r="Y84" i="49"/>
  <c r="X84" i="49"/>
  <c r="W84" i="49"/>
  <c r="V84" i="49"/>
  <c r="AB83" i="49"/>
  <c r="AA83" i="49"/>
  <c r="Z83" i="49"/>
  <c r="Y83" i="49"/>
  <c r="X83" i="49"/>
  <c r="W83" i="49"/>
  <c r="V83" i="49"/>
  <c r="AB82" i="49"/>
  <c r="AA82" i="49"/>
  <c r="Z82" i="49"/>
  <c r="Y82" i="49"/>
  <c r="X82" i="49"/>
  <c r="W82" i="49"/>
  <c r="V82" i="49"/>
  <c r="AB81" i="49"/>
  <c r="AA81" i="49"/>
  <c r="Z81" i="49"/>
  <c r="Y81" i="49"/>
  <c r="X81" i="49"/>
  <c r="W81" i="49"/>
  <c r="V81" i="49"/>
  <c r="AB80" i="49"/>
  <c r="AA80" i="49"/>
  <c r="Z80" i="49"/>
  <c r="Y80" i="49"/>
  <c r="X80" i="49"/>
  <c r="W80" i="49"/>
  <c r="V80" i="49"/>
  <c r="AB79" i="49"/>
  <c r="AA79" i="49"/>
  <c r="Z79" i="49"/>
  <c r="Y79" i="49"/>
  <c r="X79" i="49"/>
  <c r="W79" i="49"/>
  <c r="V79" i="49"/>
  <c r="AB78" i="49"/>
  <c r="AA78" i="49"/>
  <c r="Z78" i="49"/>
  <c r="Y78" i="49"/>
  <c r="X78" i="49"/>
  <c r="W78" i="49"/>
  <c r="V78" i="49"/>
  <c r="AB77" i="49"/>
  <c r="AA77" i="49"/>
  <c r="Z77" i="49"/>
  <c r="Y77" i="49"/>
  <c r="X77" i="49"/>
  <c r="W77" i="49"/>
  <c r="V77" i="49"/>
  <c r="AB76" i="49"/>
  <c r="AA76" i="49"/>
  <c r="Z76" i="49"/>
  <c r="Y76" i="49"/>
  <c r="X76" i="49"/>
  <c r="W76" i="49"/>
  <c r="V76" i="49"/>
  <c r="AB75" i="49"/>
  <c r="AA75" i="49"/>
  <c r="Z75" i="49"/>
  <c r="Y75" i="49"/>
  <c r="X75" i="49"/>
  <c r="W75" i="49"/>
  <c r="V75" i="49"/>
  <c r="AB74" i="49"/>
  <c r="AA74" i="49"/>
  <c r="Z74" i="49"/>
  <c r="Y74" i="49"/>
  <c r="X74" i="49"/>
  <c r="W74" i="49"/>
  <c r="V74" i="49"/>
  <c r="AB73" i="49"/>
  <c r="AA73" i="49"/>
  <c r="Z73" i="49"/>
  <c r="Y73" i="49"/>
  <c r="X73" i="49"/>
  <c r="W73" i="49"/>
  <c r="V73" i="49"/>
  <c r="AB72" i="49"/>
  <c r="AA72" i="49"/>
  <c r="Z72" i="49"/>
  <c r="Y72" i="49"/>
  <c r="X72" i="49"/>
  <c r="W72" i="49"/>
  <c r="V72" i="49"/>
  <c r="AB71" i="49"/>
  <c r="AA71" i="49"/>
  <c r="Z71" i="49"/>
  <c r="Y71" i="49"/>
  <c r="X71" i="49"/>
  <c r="W71" i="49"/>
  <c r="V71" i="49"/>
  <c r="AB70" i="49"/>
  <c r="AA70" i="49"/>
  <c r="Z70" i="49"/>
  <c r="Y70" i="49"/>
  <c r="X70" i="49"/>
  <c r="W70" i="49"/>
  <c r="V70" i="49"/>
  <c r="AB69" i="49"/>
  <c r="AA69" i="49"/>
  <c r="Z69" i="49"/>
  <c r="Y69" i="49"/>
  <c r="X69" i="49"/>
  <c r="W69" i="49"/>
  <c r="V69" i="49"/>
  <c r="AB68" i="49"/>
  <c r="AA68" i="49"/>
  <c r="Z68" i="49"/>
  <c r="Y68" i="49"/>
  <c r="X68" i="49"/>
  <c r="W68" i="49"/>
  <c r="V68" i="49"/>
  <c r="AB67" i="49"/>
  <c r="AA67" i="49"/>
  <c r="Z67" i="49"/>
  <c r="Y67" i="49"/>
  <c r="X67" i="49"/>
  <c r="W67" i="49"/>
  <c r="V67" i="49"/>
  <c r="AB66" i="49"/>
  <c r="AA66" i="49"/>
  <c r="Z66" i="49"/>
  <c r="Y66" i="49"/>
  <c r="X66" i="49"/>
  <c r="W66" i="49"/>
  <c r="V66" i="49"/>
  <c r="AB65" i="49"/>
  <c r="AA65" i="49"/>
  <c r="Z65" i="49"/>
  <c r="Y65" i="49"/>
  <c r="X65" i="49"/>
  <c r="W65" i="49"/>
  <c r="V65" i="49"/>
  <c r="AB64" i="49"/>
  <c r="AA64" i="49"/>
  <c r="Z64" i="49"/>
  <c r="Y64" i="49"/>
  <c r="X64" i="49"/>
  <c r="W64" i="49"/>
  <c r="V64" i="49"/>
  <c r="AB63" i="49"/>
  <c r="AA63" i="49"/>
  <c r="Z63" i="49"/>
  <c r="Y63" i="49"/>
  <c r="X63" i="49"/>
  <c r="W63" i="49"/>
  <c r="V63" i="49"/>
  <c r="AB62" i="49"/>
  <c r="AA62" i="49"/>
  <c r="Z62" i="49"/>
  <c r="Y62" i="49"/>
  <c r="X62" i="49"/>
  <c r="W62" i="49"/>
  <c r="V62" i="49"/>
  <c r="AB61" i="49"/>
  <c r="AA61" i="49"/>
  <c r="Z61" i="49"/>
  <c r="Y61" i="49"/>
  <c r="X61" i="49"/>
  <c r="W61" i="49"/>
  <c r="V61" i="49"/>
  <c r="AB60" i="49"/>
  <c r="AA60" i="49"/>
  <c r="Z60" i="49"/>
  <c r="Y60" i="49"/>
  <c r="X60" i="49"/>
  <c r="W60" i="49"/>
  <c r="V60" i="49"/>
  <c r="AB59" i="49"/>
  <c r="AA59" i="49"/>
  <c r="Z59" i="49"/>
  <c r="Y59" i="49"/>
  <c r="X59" i="49"/>
  <c r="W59" i="49"/>
  <c r="V59" i="49"/>
  <c r="AB58" i="49"/>
  <c r="AA58" i="49"/>
  <c r="Z58" i="49"/>
  <c r="Y58" i="49"/>
  <c r="X58" i="49"/>
  <c r="W58" i="49"/>
  <c r="V58" i="49"/>
  <c r="AB57" i="49"/>
  <c r="AA57" i="49"/>
  <c r="Z57" i="49"/>
  <c r="Y57" i="49"/>
  <c r="X57" i="49"/>
  <c r="W57" i="49"/>
  <c r="V57" i="49"/>
  <c r="AB56" i="49"/>
  <c r="AA56" i="49"/>
  <c r="Z56" i="49"/>
  <c r="Y56" i="49"/>
  <c r="X56" i="49"/>
  <c r="W56" i="49"/>
  <c r="V56" i="49"/>
  <c r="AB55" i="49"/>
  <c r="AA55" i="49"/>
  <c r="Z55" i="49"/>
  <c r="Y55" i="49"/>
  <c r="X55" i="49"/>
  <c r="W55" i="49"/>
  <c r="V55" i="49"/>
  <c r="AB54" i="49"/>
  <c r="AA54" i="49"/>
  <c r="Z54" i="49"/>
  <c r="Y54" i="49"/>
  <c r="X54" i="49"/>
  <c r="W54" i="49"/>
  <c r="V54" i="49"/>
  <c r="AB53" i="49"/>
  <c r="AA53" i="49"/>
  <c r="Z53" i="49"/>
  <c r="Y53" i="49"/>
  <c r="X53" i="49"/>
  <c r="W53" i="49"/>
  <c r="V53" i="49"/>
  <c r="AB52" i="49"/>
  <c r="AA52" i="49"/>
  <c r="Z52" i="49"/>
  <c r="Y52" i="49"/>
  <c r="X52" i="49"/>
  <c r="W52" i="49"/>
  <c r="V52" i="49"/>
  <c r="AB51" i="49"/>
  <c r="AA51" i="49"/>
  <c r="Z51" i="49"/>
  <c r="Y51" i="49"/>
  <c r="X51" i="49"/>
  <c r="W51" i="49"/>
  <c r="V51" i="49"/>
  <c r="AB50" i="49"/>
  <c r="AA50" i="49"/>
  <c r="Z50" i="49"/>
  <c r="Y50" i="49"/>
  <c r="X50" i="49"/>
  <c r="W50" i="49"/>
  <c r="V50" i="49"/>
  <c r="AB49" i="49"/>
  <c r="AA49" i="49"/>
  <c r="Z49" i="49"/>
  <c r="Y49" i="49"/>
  <c r="X49" i="49"/>
  <c r="W49" i="49"/>
  <c r="V49" i="49"/>
  <c r="AB48" i="49"/>
  <c r="AA48" i="49"/>
  <c r="Z48" i="49"/>
  <c r="Y48" i="49"/>
  <c r="X48" i="49"/>
  <c r="W48" i="49"/>
  <c r="V48" i="49"/>
  <c r="AB47" i="49"/>
  <c r="AA47" i="49"/>
  <c r="Z47" i="49"/>
  <c r="Y47" i="49"/>
  <c r="X47" i="49"/>
  <c r="W47" i="49"/>
  <c r="V47" i="49"/>
  <c r="AB46" i="49"/>
  <c r="AA46" i="49"/>
  <c r="Z46" i="49"/>
  <c r="Y46" i="49"/>
  <c r="X46" i="49"/>
  <c r="W46" i="49"/>
  <c r="V46" i="49"/>
  <c r="AB45" i="49"/>
  <c r="AA45" i="49"/>
  <c r="Z45" i="49"/>
  <c r="Y45" i="49"/>
  <c r="X45" i="49"/>
  <c r="W45" i="49"/>
  <c r="V45" i="49"/>
  <c r="AB44" i="49"/>
  <c r="AA44" i="49"/>
  <c r="Z44" i="49"/>
  <c r="Y44" i="49"/>
  <c r="X44" i="49"/>
  <c r="W44" i="49"/>
  <c r="V44" i="49"/>
  <c r="AB43" i="49"/>
  <c r="AA43" i="49"/>
  <c r="Z43" i="49"/>
  <c r="Y43" i="49"/>
  <c r="X43" i="49"/>
  <c r="W43" i="49"/>
  <c r="V43" i="49"/>
  <c r="AB42" i="49"/>
  <c r="AA42" i="49"/>
  <c r="Z42" i="49"/>
  <c r="Y42" i="49"/>
  <c r="X42" i="49"/>
  <c r="W42" i="49"/>
  <c r="V42" i="49"/>
  <c r="AB41" i="49"/>
  <c r="AA41" i="49"/>
  <c r="Z41" i="49"/>
  <c r="Y41" i="49"/>
  <c r="X41" i="49"/>
  <c r="W41" i="49"/>
  <c r="V41" i="49"/>
  <c r="AB40" i="49"/>
  <c r="AA40" i="49"/>
  <c r="Z40" i="49"/>
  <c r="Y40" i="49"/>
  <c r="X40" i="49"/>
  <c r="W40" i="49"/>
  <c r="V40" i="49"/>
  <c r="AB39" i="49"/>
  <c r="AA39" i="49"/>
  <c r="Z39" i="49"/>
  <c r="Y39" i="49"/>
  <c r="X39" i="49"/>
  <c r="W39" i="49"/>
  <c r="V39" i="49"/>
  <c r="AB38" i="49"/>
  <c r="AA38" i="49"/>
  <c r="Z38" i="49"/>
  <c r="Y38" i="49"/>
  <c r="X38" i="49"/>
  <c r="W38" i="49"/>
  <c r="V38" i="49"/>
  <c r="AB37" i="49"/>
  <c r="AA37" i="49"/>
  <c r="Z37" i="49"/>
  <c r="Y37" i="49"/>
  <c r="X37" i="49"/>
  <c r="W37" i="49"/>
  <c r="V37" i="49"/>
  <c r="AB36" i="49"/>
  <c r="AA36" i="49"/>
  <c r="Z36" i="49"/>
  <c r="Y36" i="49"/>
  <c r="X36" i="49"/>
  <c r="W36" i="49"/>
  <c r="V36" i="49"/>
  <c r="AB35" i="49"/>
  <c r="AA35" i="49"/>
  <c r="Z35" i="49"/>
  <c r="Y35" i="49"/>
  <c r="X35" i="49"/>
  <c r="W35" i="49"/>
  <c r="V35" i="49"/>
  <c r="AB34" i="49"/>
  <c r="AA34" i="49"/>
  <c r="Z34" i="49"/>
  <c r="Y34" i="49"/>
  <c r="X34" i="49"/>
  <c r="W34" i="49"/>
  <c r="V34" i="49"/>
  <c r="AB33" i="49"/>
  <c r="AA33" i="49"/>
  <c r="Z33" i="49"/>
  <c r="Y33" i="49"/>
  <c r="X33" i="49"/>
  <c r="W33" i="49"/>
  <c r="V33" i="49"/>
  <c r="AB32" i="49"/>
  <c r="AA32" i="49"/>
  <c r="Z32" i="49"/>
  <c r="Y32" i="49"/>
  <c r="X32" i="49"/>
  <c r="W32" i="49"/>
  <c r="V32" i="49"/>
  <c r="AB31" i="49"/>
  <c r="AA31" i="49"/>
  <c r="Z31" i="49"/>
  <c r="Y31" i="49"/>
  <c r="X31" i="49"/>
  <c r="W31" i="49"/>
  <c r="V31" i="49"/>
  <c r="AB30" i="49"/>
  <c r="AA30" i="49"/>
  <c r="Z30" i="49"/>
  <c r="Y30" i="49"/>
  <c r="X30" i="49"/>
  <c r="W30" i="49"/>
  <c r="V30" i="49"/>
  <c r="AB29" i="49"/>
  <c r="AA29" i="49"/>
  <c r="Z29" i="49"/>
  <c r="Y29" i="49"/>
  <c r="X29" i="49"/>
  <c r="W29" i="49"/>
  <c r="V29" i="49"/>
  <c r="AB28" i="49"/>
  <c r="AA28" i="49"/>
  <c r="Z28" i="49"/>
  <c r="Y28" i="49"/>
  <c r="X28" i="49"/>
  <c r="W28" i="49"/>
  <c r="V28" i="49"/>
  <c r="AB27" i="49"/>
  <c r="AA27" i="49"/>
  <c r="Z27" i="49"/>
  <c r="Y27" i="49"/>
  <c r="X27" i="49"/>
  <c r="W27" i="49"/>
  <c r="V27" i="49"/>
  <c r="AB26" i="49"/>
  <c r="AA26" i="49"/>
  <c r="Z26" i="49"/>
  <c r="Y26" i="49"/>
  <c r="X26" i="49"/>
  <c r="W26" i="49"/>
  <c r="V26" i="49"/>
  <c r="AB25" i="49"/>
  <c r="AA25" i="49"/>
  <c r="Z25" i="49"/>
  <c r="Y25" i="49"/>
  <c r="X25" i="49"/>
  <c r="W25" i="49"/>
  <c r="V25" i="49"/>
  <c r="AB24" i="49"/>
  <c r="AA24" i="49"/>
  <c r="Z24" i="49"/>
  <c r="Y24" i="49"/>
  <c r="X24" i="49"/>
  <c r="W24" i="49"/>
  <c r="V24" i="49"/>
  <c r="AB23" i="49"/>
  <c r="AA23" i="49"/>
  <c r="Z23" i="49"/>
  <c r="Y23" i="49"/>
  <c r="X23" i="49"/>
  <c r="W23" i="49"/>
  <c r="V23" i="49"/>
  <c r="AB22" i="49"/>
  <c r="AA22" i="49"/>
  <c r="Z22" i="49"/>
  <c r="Y22" i="49"/>
  <c r="X22" i="49"/>
  <c r="W22" i="49"/>
  <c r="V22" i="49"/>
  <c r="AB21" i="49"/>
  <c r="AA21" i="49"/>
  <c r="Z21" i="49"/>
  <c r="Y21" i="49"/>
  <c r="X21" i="49"/>
  <c r="W21" i="49"/>
  <c r="V21" i="49"/>
  <c r="AB20" i="49"/>
  <c r="AA20" i="49"/>
  <c r="Z20" i="49"/>
  <c r="Y20" i="49"/>
  <c r="X20" i="49"/>
  <c r="W20" i="49"/>
  <c r="V20" i="49"/>
  <c r="AB19" i="49"/>
  <c r="AA19" i="49"/>
  <c r="Z19" i="49"/>
  <c r="Y19" i="49"/>
  <c r="X19" i="49"/>
  <c r="W19" i="49"/>
  <c r="V19" i="49"/>
  <c r="AB18" i="49"/>
  <c r="AA18" i="49"/>
  <c r="Z18" i="49"/>
  <c r="Y18" i="49"/>
  <c r="X18" i="49"/>
  <c r="W18" i="49"/>
  <c r="V18" i="49"/>
  <c r="AB17" i="49"/>
  <c r="AA17" i="49"/>
  <c r="Z17" i="49"/>
  <c r="Y17" i="49"/>
  <c r="X17" i="49"/>
  <c r="W17" i="49"/>
  <c r="V17" i="49"/>
  <c r="AB16" i="49"/>
  <c r="AA16" i="49"/>
  <c r="Z16" i="49"/>
  <c r="Y16" i="49"/>
  <c r="X16" i="49"/>
  <c r="W16" i="49"/>
  <c r="V16" i="49"/>
  <c r="AB15" i="49"/>
  <c r="AA15" i="49"/>
  <c r="Z15" i="49"/>
  <c r="Y15" i="49"/>
  <c r="X15" i="49"/>
  <c r="V15" i="49"/>
  <c r="W15" i="49"/>
  <c r="AG15" i="45" l="1"/>
  <c r="AZ15" i="43" l="1"/>
  <c r="CA15" i="43" s="1"/>
  <c r="CM15" i="43" s="1"/>
  <c r="AZ16" i="43"/>
  <c r="CA16" i="43" s="1"/>
  <c r="CM16" i="43" s="1"/>
  <c r="AZ17" i="43"/>
  <c r="CA17" i="43" s="1"/>
  <c r="CM17" i="43" s="1"/>
  <c r="AZ18" i="43"/>
  <c r="CA18" i="43" s="1"/>
  <c r="CM18" i="43" s="1"/>
  <c r="AZ19" i="43"/>
  <c r="CA19" i="43" s="1"/>
  <c r="CM19" i="43" s="1"/>
  <c r="AZ20" i="43"/>
  <c r="CA20" i="43" s="1"/>
  <c r="CM20" i="43" s="1"/>
  <c r="AZ21" i="43"/>
  <c r="CA21" i="43" s="1"/>
  <c r="CM21" i="43" s="1"/>
  <c r="AZ22" i="43"/>
  <c r="CA22" i="43" s="1"/>
  <c r="CM22" i="43" s="1"/>
  <c r="AZ23" i="43"/>
  <c r="CA23" i="43" s="1"/>
  <c r="CM23" i="43" s="1"/>
  <c r="AZ24" i="43"/>
  <c r="CA24" i="43" s="1"/>
  <c r="CM24" i="43" s="1"/>
  <c r="AZ25" i="43"/>
  <c r="CA25" i="43" s="1"/>
  <c r="CM25" i="43" s="1"/>
  <c r="AZ26" i="43"/>
  <c r="AZ27" i="43"/>
  <c r="CA27" i="43" s="1"/>
  <c r="CM27" i="43" s="1"/>
  <c r="AZ28" i="43"/>
  <c r="CA28" i="43" s="1"/>
  <c r="CM28" i="43" s="1"/>
  <c r="AZ29" i="43"/>
  <c r="CA29" i="43" s="1"/>
  <c r="CM29" i="43" s="1"/>
  <c r="AZ30" i="43"/>
  <c r="CA30" i="43" s="1"/>
  <c r="CM30" i="43" s="1"/>
  <c r="AZ31" i="43"/>
  <c r="CA31" i="43" s="1"/>
  <c r="CM31" i="43" s="1"/>
  <c r="AZ32" i="43"/>
  <c r="CA32" i="43" s="1"/>
  <c r="CM32" i="43" s="1"/>
  <c r="AZ33" i="43"/>
  <c r="CA33" i="43" s="1"/>
  <c r="CM33" i="43" s="1"/>
  <c r="AZ34" i="43"/>
  <c r="CA34" i="43" s="1"/>
  <c r="CM34" i="43" s="1"/>
  <c r="AZ35" i="43"/>
  <c r="CA35" i="43" s="1"/>
  <c r="CM35" i="43" s="1"/>
  <c r="AZ36" i="43"/>
  <c r="CA36" i="43" s="1"/>
  <c r="CM36" i="43" s="1"/>
  <c r="AZ37" i="43"/>
  <c r="CA37" i="43" s="1"/>
  <c r="CM37" i="43" s="1"/>
  <c r="AZ38" i="43"/>
  <c r="CA38" i="43" s="1"/>
  <c r="CM38" i="43" s="1"/>
  <c r="AZ39" i="43"/>
  <c r="CA39" i="43" s="1"/>
  <c r="CM39" i="43" s="1"/>
  <c r="AZ40" i="43"/>
  <c r="CA40" i="43" s="1"/>
  <c r="CM40" i="43" s="1"/>
  <c r="AZ41" i="43"/>
  <c r="CA41" i="43" s="1"/>
  <c r="CM41" i="43" s="1"/>
  <c r="AZ42" i="43"/>
  <c r="CA42" i="43" s="1"/>
  <c r="CM42" i="43" s="1"/>
  <c r="AZ43" i="43"/>
  <c r="CA43" i="43" s="1"/>
  <c r="CM43" i="43" s="1"/>
  <c r="AZ44" i="43"/>
  <c r="CA44" i="43" s="1"/>
  <c r="CM44" i="43" s="1"/>
  <c r="AZ45" i="43"/>
  <c r="CA45" i="43" s="1"/>
  <c r="CM45" i="43" s="1"/>
  <c r="AZ46" i="43"/>
  <c r="CA46" i="43" s="1"/>
  <c r="CM46" i="43" s="1"/>
  <c r="AZ47" i="43"/>
  <c r="CA47" i="43" s="1"/>
  <c r="CM47" i="43" s="1"/>
  <c r="AZ48" i="43"/>
  <c r="CA48" i="43" s="1"/>
  <c r="CM48" i="43" s="1"/>
  <c r="AZ49" i="43"/>
  <c r="CA49" i="43" s="1"/>
  <c r="CM49" i="43" s="1"/>
  <c r="AZ50" i="43"/>
  <c r="CA50" i="43" s="1"/>
  <c r="CM50" i="43" s="1"/>
  <c r="AZ51" i="43"/>
  <c r="CA51" i="43" s="1"/>
  <c r="CM51" i="43" s="1"/>
  <c r="AZ52" i="43"/>
  <c r="CA52" i="43" s="1"/>
  <c r="CM52" i="43" s="1"/>
  <c r="AZ53" i="43"/>
  <c r="CA53" i="43" s="1"/>
  <c r="CM53" i="43" s="1"/>
  <c r="AZ54" i="43"/>
  <c r="CA54" i="43" s="1"/>
  <c r="CM54" i="43" s="1"/>
  <c r="AZ55" i="43"/>
  <c r="CA55" i="43" s="1"/>
  <c r="CM55" i="43" s="1"/>
  <c r="AZ56" i="43"/>
  <c r="CA56" i="43" s="1"/>
  <c r="CM56" i="43" s="1"/>
  <c r="AZ57" i="43"/>
  <c r="CA57" i="43" s="1"/>
  <c r="CM57" i="43" s="1"/>
  <c r="AZ58" i="43"/>
  <c r="CA58" i="43" s="1"/>
  <c r="CM58" i="43" s="1"/>
  <c r="AZ59" i="43"/>
  <c r="CA59" i="43" s="1"/>
  <c r="CM59" i="43" s="1"/>
  <c r="AZ60" i="43"/>
  <c r="CA60" i="43" s="1"/>
  <c r="CM60" i="43" s="1"/>
  <c r="AZ61" i="43"/>
  <c r="CA61" i="43" s="1"/>
  <c r="CM61" i="43" s="1"/>
  <c r="AZ62" i="43"/>
  <c r="CA62" i="43" s="1"/>
  <c r="CM62" i="43" s="1"/>
  <c r="AZ63" i="43"/>
  <c r="CA63" i="43" s="1"/>
  <c r="CM63" i="43" s="1"/>
  <c r="AZ64" i="43"/>
  <c r="CA64" i="43" s="1"/>
  <c r="CM64" i="43" s="1"/>
  <c r="AZ65" i="43"/>
  <c r="CA65" i="43" s="1"/>
  <c r="CM65" i="43" s="1"/>
  <c r="AZ66" i="43"/>
  <c r="CA66" i="43" s="1"/>
  <c r="CM66" i="43" s="1"/>
  <c r="AZ67" i="43"/>
  <c r="CA67" i="43" s="1"/>
  <c r="CM67" i="43" s="1"/>
  <c r="AZ68" i="43"/>
  <c r="CA68" i="43" s="1"/>
  <c r="CM68" i="43" s="1"/>
  <c r="AZ69" i="43"/>
  <c r="CA69" i="43" s="1"/>
  <c r="CM69" i="43" s="1"/>
  <c r="AZ70" i="43"/>
  <c r="CA70" i="43" s="1"/>
  <c r="CM70" i="43" s="1"/>
  <c r="AZ71" i="43"/>
  <c r="CA71" i="43" s="1"/>
  <c r="CM71" i="43" s="1"/>
  <c r="AZ72" i="43"/>
  <c r="CA72" i="43" s="1"/>
  <c r="CM72" i="43" s="1"/>
  <c r="AZ73" i="43"/>
  <c r="CA73" i="43" s="1"/>
  <c r="CM73" i="43" s="1"/>
  <c r="AZ74" i="43"/>
  <c r="CA74" i="43" s="1"/>
  <c r="CM74" i="43" s="1"/>
  <c r="AZ75" i="43"/>
  <c r="CA75" i="43" s="1"/>
  <c r="CM75" i="43" s="1"/>
  <c r="AZ76" i="43"/>
  <c r="CA76" i="43" s="1"/>
  <c r="CM76" i="43" s="1"/>
  <c r="AZ77" i="43"/>
  <c r="CA77" i="43" s="1"/>
  <c r="CM77" i="43" s="1"/>
  <c r="AZ78" i="43"/>
  <c r="CA78" i="43" s="1"/>
  <c r="CM78" i="43" s="1"/>
  <c r="AZ79" i="43"/>
  <c r="CA79" i="43" s="1"/>
  <c r="CM79" i="43" s="1"/>
  <c r="AZ80" i="43"/>
  <c r="CA80" i="43" s="1"/>
  <c r="CM80" i="43" s="1"/>
  <c r="AZ81" i="43"/>
  <c r="CA81" i="43" s="1"/>
  <c r="CM81" i="43" s="1"/>
  <c r="AZ82" i="43"/>
  <c r="CA82" i="43" s="1"/>
  <c r="CM82" i="43" s="1"/>
  <c r="AZ83" i="43"/>
  <c r="CA83" i="43" s="1"/>
  <c r="CM83" i="43" s="1"/>
  <c r="AZ84" i="43"/>
  <c r="CA84" i="43" s="1"/>
  <c r="CM84" i="43" s="1"/>
  <c r="AZ85" i="43"/>
  <c r="CA85" i="43" s="1"/>
  <c r="CM85" i="43" s="1"/>
  <c r="AZ86" i="43"/>
  <c r="CA86" i="43" s="1"/>
  <c r="CM86" i="43" s="1"/>
  <c r="AZ87" i="43"/>
  <c r="CA87" i="43" s="1"/>
  <c r="CM87" i="43" s="1"/>
  <c r="AZ88" i="43"/>
  <c r="CA88" i="43" s="1"/>
  <c r="CM88" i="43" s="1"/>
  <c r="AZ89" i="43"/>
  <c r="CA89" i="43" s="1"/>
  <c r="CM89" i="43" s="1"/>
  <c r="AZ90" i="43"/>
  <c r="CA90" i="43" s="1"/>
  <c r="CM90" i="43" s="1"/>
  <c r="AZ91" i="43"/>
  <c r="CA91" i="43" s="1"/>
  <c r="CM91" i="43" s="1"/>
  <c r="AZ92" i="43"/>
  <c r="CA92" i="43" s="1"/>
  <c r="CM92" i="43" s="1"/>
  <c r="AZ93" i="43"/>
  <c r="CA93" i="43" s="1"/>
  <c r="CM93" i="43" s="1"/>
  <c r="AZ94" i="43"/>
  <c r="CA94" i="43" s="1"/>
  <c r="CM94" i="43" s="1"/>
  <c r="AZ95" i="43"/>
  <c r="CA95" i="43" s="1"/>
  <c r="CM95" i="43" s="1"/>
  <c r="AZ96" i="43"/>
  <c r="CA96" i="43" s="1"/>
  <c r="CM96" i="43" s="1"/>
  <c r="AZ97" i="43"/>
  <c r="CA97" i="43" s="1"/>
  <c r="CM97" i="43" s="1"/>
  <c r="AZ98" i="43"/>
  <c r="CA98" i="43" s="1"/>
  <c r="CM98" i="43" s="1"/>
  <c r="AZ99" i="43"/>
  <c r="CA99" i="43" s="1"/>
  <c r="CM99" i="43" s="1"/>
  <c r="AZ100" i="43"/>
  <c r="CA100" i="43" s="1"/>
  <c r="CM100" i="43" s="1"/>
  <c r="AZ101" i="43"/>
  <c r="CA101" i="43" s="1"/>
  <c r="CM101" i="43" s="1"/>
  <c r="AZ102" i="43"/>
  <c r="CA102" i="43" s="1"/>
  <c r="CM102" i="43" s="1"/>
  <c r="AZ103" i="43"/>
  <c r="CA103" i="43" s="1"/>
  <c r="CM103" i="43" s="1"/>
  <c r="AZ104" i="43"/>
  <c r="CA104" i="43" s="1"/>
  <c r="CM104" i="43" s="1"/>
  <c r="AZ105" i="43"/>
  <c r="CA105" i="43" s="1"/>
  <c r="CM105" i="43" s="1"/>
  <c r="AZ106" i="43"/>
  <c r="CA106" i="43" s="1"/>
  <c r="CM106" i="43" s="1"/>
  <c r="AZ107" i="43"/>
  <c r="CA107" i="43" s="1"/>
  <c r="CM107" i="43" s="1"/>
  <c r="AZ108" i="43"/>
  <c r="CA108" i="43" s="1"/>
  <c r="CM108" i="43" s="1"/>
  <c r="AZ109" i="43"/>
  <c r="CA109" i="43" s="1"/>
  <c r="CM109" i="43" s="1"/>
  <c r="AZ110" i="43"/>
  <c r="CA110" i="43" s="1"/>
  <c r="CM110" i="43" s="1"/>
  <c r="AZ111" i="43"/>
  <c r="CA111" i="43" s="1"/>
  <c r="CM111" i="43" s="1"/>
  <c r="AZ112" i="43"/>
  <c r="CA112" i="43" s="1"/>
  <c r="CM112" i="43" s="1"/>
  <c r="AZ113" i="43"/>
  <c r="CA113" i="43" s="1"/>
  <c r="CM113" i="43" s="1"/>
  <c r="AZ114" i="43"/>
  <c r="CA114" i="43" s="1"/>
  <c r="CM114" i="43" s="1"/>
  <c r="AZ115" i="43"/>
  <c r="CA115" i="43" s="1"/>
  <c r="CM115" i="43" s="1"/>
  <c r="AZ116" i="43"/>
  <c r="CA116" i="43" s="1"/>
  <c r="CM116" i="43" s="1"/>
  <c r="AZ117" i="43"/>
  <c r="CA117" i="43" s="1"/>
  <c r="CM117" i="43" s="1"/>
  <c r="AZ118" i="43"/>
  <c r="CA118" i="43" s="1"/>
  <c r="CM118" i="43" s="1"/>
  <c r="AZ119" i="43"/>
  <c r="CA119" i="43" s="1"/>
  <c r="CM119" i="43" s="1"/>
  <c r="AZ120" i="43"/>
  <c r="CA120" i="43" s="1"/>
  <c r="CM120" i="43" s="1"/>
  <c r="AZ121" i="43"/>
  <c r="CA121" i="43" s="1"/>
  <c r="CM121" i="43" s="1"/>
  <c r="AZ122" i="43"/>
  <c r="CA122" i="43" s="1"/>
  <c r="CM122" i="43" s="1"/>
  <c r="AZ123" i="43"/>
  <c r="CA123" i="43" s="1"/>
  <c r="CM123" i="43" s="1"/>
  <c r="AZ124" i="43"/>
  <c r="CA124" i="43" s="1"/>
  <c r="CM124" i="43" s="1"/>
  <c r="AZ125" i="43"/>
  <c r="CA125" i="43" s="1"/>
  <c r="CM125" i="43" s="1"/>
  <c r="AZ126" i="43"/>
  <c r="CA126" i="43" s="1"/>
  <c r="CM126" i="43" s="1"/>
  <c r="AZ127" i="43"/>
  <c r="CA127" i="43" s="1"/>
  <c r="CM127" i="43" s="1"/>
  <c r="AZ128" i="43"/>
  <c r="CA128" i="43" s="1"/>
  <c r="CM128" i="43" s="1"/>
  <c r="AZ129" i="43"/>
  <c r="CA129" i="43" s="1"/>
  <c r="CM129" i="43" s="1"/>
  <c r="AZ130" i="43"/>
  <c r="CA130" i="43" s="1"/>
  <c r="CM130" i="43" s="1"/>
  <c r="AZ131" i="43"/>
  <c r="CA131" i="43" s="1"/>
  <c r="CM131" i="43" s="1"/>
  <c r="AZ132" i="43"/>
  <c r="CA132" i="43" s="1"/>
  <c r="CM132" i="43" s="1"/>
  <c r="AZ133" i="43"/>
  <c r="CA133" i="43" s="1"/>
  <c r="CM133" i="43" s="1"/>
  <c r="AZ134" i="43"/>
  <c r="CA134" i="43" s="1"/>
  <c r="CM134" i="43" s="1"/>
  <c r="AZ135" i="43"/>
  <c r="CA135" i="43" s="1"/>
  <c r="CM135" i="43" s="1"/>
  <c r="AZ136" i="43"/>
  <c r="CA136" i="43" s="1"/>
  <c r="CM136" i="43" s="1"/>
  <c r="AZ137" i="43"/>
  <c r="CA137" i="43" s="1"/>
  <c r="CM137" i="43" s="1"/>
  <c r="AZ138" i="43"/>
  <c r="CA138" i="43" s="1"/>
  <c r="CM138" i="43" s="1"/>
  <c r="AZ139" i="43"/>
  <c r="CA139" i="43" s="1"/>
  <c r="CM139" i="43" s="1"/>
  <c r="AZ140" i="43"/>
  <c r="CA140" i="43" s="1"/>
  <c r="CM140" i="43" s="1"/>
  <c r="AZ141" i="43"/>
  <c r="CA141" i="43" s="1"/>
  <c r="CM141" i="43" s="1"/>
  <c r="AZ142" i="43"/>
  <c r="CA142" i="43" s="1"/>
  <c r="CM142" i="43" s="1"/>
  <c r="AZ143" i="43"/>
  <c r="CA143" i="43" s="1"/>
  <c r="CM143" i="43" s="1"/>
  <c r="AZ144" i="43"/>
  <c r="CA144" i="43" s="1"/>
  <c r="CM144" i="43" s="1"/>
  <c r="AZ145" i="43"/>
  <c r="CA145" i="43" s="1"/>
  <c r="CM145" i="43" s="1"/>
  <c r="AZ146" i="43"/>
  <c r="CA146" i="43" s="1"/>
  <c r="CM146" i="43" s="1"/>
  <c r="AZ147" i="43"/>
  <c r="CA147" i="43" s="1"/>
  <c r="CM147" i="43" s="1"/>
  <c r="AZ148" i="43"/>
  <c r="CA148" i="43" s="1"/>
  <c r="CM148" i="43" s="1"/>
  <c r="AZ149" i="43"/>
  <c r="CA149" i="43" s="1"/>
  <c r="CM149" i="43" s="1"/>
  <c r="AZ150" i="43"/>
  <c r="CA150" i="43" s="1"/>
  <c r="CM150" i="43" s="1"/>
  <c r="AZ151" i="43"/>
  <c r="CA151" i="43" s="1"/>
  <c r="CM151" i="43" s="1"/>
  <c r="AZ152" i="43"/>
  <c r="CA152" i="43" s="1"/>
  <c r="CM152" i="43" s="1"/>
  <c r="AZ153" i="43"/>
  <c r="CA153" i="43" s="1"/>
  <c r="CM153" i="43" s="1"/>
  <c r="AZ154" i="43"/>
  <c r="CA154" i="43" s="1"/>
  <c r="CM154" i="43" s="1"/>
  <c r="AZ155" i="43"/>
  <c r="CA155" i="43" s="1"/>
  <c r="CM155" i="43" s="1"/>
  <c r="AZ156" i="43"/>
  <c r="CA156" i="43" s="1"/>
  <c r="CM156" i="43" s="1"/>
  <c r="AZ157" i="43"/>
  <c r="CA157" i="43" s="1"/>
  <c r="CM157" i="43" s="1"/>
  <c r="AZ158" i="43"/>
  <c r="CA158" i="43" s="1"/>
  <c r="CM158" i="43" s="1"/>
  <c r="AZ159" i="43"/>
  <c r="CA159" i="43" s="1"/>
  <c r="CM159" i="43" s="1"/>
  <c r="AZ160" i="43"/>
  <c r="CA160" i="43" s="1"/>
  <c r="CM160" i="43" s="1"/>
  <c r="AZ161" i="43"/>
  <c r="CA161" i="43" s="1"/>
  <c r="CM161" i="43" s="1"/>
  <c r="AZ162" i="43"/>
  <c r="CA162" i="43" s="1"/>
  <c r="CM162" i="43" s="1"/>
  <c r="AZ163" i="43"/>
  <c r="CA163" i="43" s="1"/>
  <c r="CM163" i="43" s="1"/>
  <c r="AZ164" i="43"/>
  <c r="CA164" i="43" s="1"/>
  <c r="CM164" i="43" s="1"/>
  <c r="AZ165" i="43"/>
  <c r="CA165" i="43" s="1"/>
  <c r="CM165" i="43" s="1"/>
  <c r="AZ166" i="43"/>
  <c r="CA166" i="43" s="1"/>
  <c r="CM166" i="43" s="1"/>
  <c r="AZ167" i="43"/>
  <c r="CA167" i="43" s="1"/>
  <c r="CM167" i="43" s="1"/>
  <c r="AZ168" i="43"/>
  <c r="CA168" i="43" s="1"/>
  <c r="CM168" i="43" s="1"/>
  <c r="AZ169" i="43"/>
  <c r="CA169" i="43" s="1"/>
  <c r="CM169" i="43" s="1"/>
  <c r="AZ170" i="43"/>
  <c r="CA170" i="43" s="1"/>
  <c r="CM170" i="43" s="1"/>
  <c r="AZ171" i="43"/>
  <c r="CA171" i="43" s="1"/>
  <c r="CM171" i="43" s="1"/>
  <c r="AZ172" i="43"/>
  <c r="CA172" i="43" s="1"/>
  <c r="CM172" i="43" s="1"/>
  <c r="AZ173" i="43"/>
  <c r="CA173" i="43" s="1"/>
  <c r="CM173" i="43" s="1"/>
  <c r="AZ174" i="43"/>
  <c r="CA174" i="43" s="1"/>
  <c r="CM174" i="43" s="1"/>
  <c r="AZ175" i="43"/>
  <c r="CA175" i="43" s="1"/>
  <c r="CM175" i="43" s="1"/>
  <c r="AZ176" i="43"/>
  <c r="CA176" i="43" s="1"/>
  <c r="CM176" i="43" s="1"/>
  <c r="AZ177" i="43"/>
  <c r="CA177" i="43" s="1"/>
  <c r="CM177" i="43" s="1"/>
  <c r="AZ178" i="43"/>
  <c r="CA178" i="43" s="1"/>
  <c r="CM178" i="43" s="1"/>
  <c r="AZ179" i="43"/>
  <c r="CA179" i="43" s="1"/>
  <c r="CM179" i="43" s="1"/>
  <c r="AZ180" i="43"/>
  <c r="CA180" i="43" s="1"/>
  <c r="CM180" i="43" s="1"/>
  <c r="AZ181" i="43"/>
  <c r="CA181" i="43" s="1"/>
  <c r="CM181" i="43" s="1"/>
  <c r="AZ182" i="43"/>
  <c r="CA182" i="43" s="1"/>
  <c r="CM182" i="43" s="1"/>
  <c r="AZ183" i="43"/>
  <c r="CA183" i="43" s="1"/>
  <c r="CM183" i="43" s="1"/>
  <c r="AZ184" i="43"/>
  <c r="CA184" i="43" s="1"/>
  <c r="CM184" i="43" s="1"/>
  <c r="AZ185" i="43"/>
  <c r="CA185" i="43" s="1"/>
  <c r="CM185" i="43" s="1"/>
  <c r="AZ186" i="43"/>
  <c r="CA186" i="43" s="1"/>
  <c r="CM186" i="43" s="1"/>
  <c r="AZ187" i="43"/>
  <c r="CA187" i="43" s="1"/>
  <c r="CM187" i="43" s="1"/>
  <c r="AZ188" i="43"/>
  <c r="CA188" i="43" s="1"/>
  <c r="CM188" i="43" s="1"/>
  <c r="AZ189" i="43"/>
  <c r="CA189" i="43" s="1"/>
  <c r="CM189" i="43" s="1"/>
  <c r="AZ190" i="43"/>
  <c r="CA190" i="43" s="1"/>
  <c r="CM190" i="43" s="1"/>
  <c r="AZ191" i="43"/>
  <c r="CA191" i="43" s="1"/>
  <c r="CM191" i="43" s="1"/>
  <c r="AZ192" i="43"/>
  <c r="CA192" i="43" s="1"/>
  <c r="CM192" i="43" s="1"/>
  <c r="AZ193" i="43"/>
  <c r="CA193" i="43" s="1"/>
  <c r="CM193" i="43" s="1"/>
  <c r="AZ194" i="43"/>
  <c r="CA194" i="43" s="1"/>
  <c r="CM194" i="43" s="1"/>
  <c r="AZ195" i="43"/>
  <c r="CA195" i="43" s="1"/>
  <c r="CM195" i="43" s="1"/>
  <c r="AZ196" i="43"/>
  <c r="CA196" i="43" s="1"/>
  <c r="CM196" i="43" s="1"/>
  <c r="AZ197" i="43"/>
  <c r="CA197" i="43" s="1"/>
  <c r="CM197" i="43" s="1"/>
  <c r="AZ198" i="43"/>
  <c r="CA198" i="43" s="1"/>
  <c r="CM198" i="43" s="1"/>
  <c r="AZ199" i="43"/>
  <c r="CA199" i="43" s="1"/>
  <c r="CM199" i="43" s="1"/>
  <c r="AZ200" i="43"/>
  <c r="CA200" i="43" s="1"/>
  <c r="CM200" i="43" s="1"/>
  <c r="AZ201" i="43"/>
  <c r="CA201" i="43" s="1"/>
  <c r="CM201" i="43" s="1"/>
  <c r="AZ202" i="43"/>
  <c r="CA202" i="43" s="1"/>
  <c r="CM202" i="43" s="1"/>
  <c r="AZ203" i="43"/>
  <c r="CA203" i="43" s="1"/>
  <c r="CM203" i="43" s="1"/>
  <c r="AZ204" i="43"/>
  <c r="CA204" i="43" s="1"/>
  <c r="CM204" i="43" s="1"/>
  <c r="AZ205" i="43"/>
  <c r="CA205" i="43" s="1"/>
  <c r="CM205" i="43" s="1"/>
  <c r="AZ206" i="43"/>
  <c r="CA206" i="43" s="1"/>
  <c r="CM206" i="43" s="1"/>
  <c r="AZ207" i="43"/>
  <c r="CA207" i="43" s="1"/>
  <c r="CM207" i="43" s="1"/>
  <c r="AZ208" i="43"/>
  <c r="CA208" i="43" s="1"/>
  <c r="CM208" i="43" s="1"/>
  <c r="AZ209" i="43"/>
  <c r="CA209" i="43" s="1"/>
  <c r="CM209" i="43" s="1"/>
  <c r="AZ210" i="43"/>
  <c r="CA210" i="43" s="1"/>
  <c r="CM210" i="43" s="1"/>
  <c r="AZ211" i="43"/>
  <c r="CA211" i="43" s="1"/>
  <c r="CM211" i="43" s="1"/>
  <c r="AZ212" i="43"/>
  <c r="CA212" i="43" s="1"/>
  <c r="CM212" i="43" s="1"/>
  <c r="AZ213" i="43"/>
  <c r="CA213" i="43" s="1"/>
  <c r="CM213" i="43" s="1"/>
  <c r="AZ214" i="43"/>
  <c r="CA214" i="43" s="1"/>
  <c r="CM214" i="43" s="1"/>
  <c r="AZ215" i="43"/>
  <c r="CA215" i="43" s="1"/>
  <c r="CM215" i="43" s="1"/>
  <c r="AZ216" i="43"/>
  <c r="CA216" i="43" s="1"/>
  <c r="CM216" i="43" s="1"/>
  <c r="AZ217" i="43"/>
  <c r="CA217" i="43" s="1"/>
  <c r="CM217" i="43" s="1"/>
  <c r="AZ218" i="43"/>
  <c r="CA218" i="43" s="1"/>
  <c r="CM218" i="43" s="1"/>
  <c r="AZ219" i="43"/>
  <c r="CA219" i="43" s="1"/>
  <c r="CM219" i="43" s="1"/>
  <c r="AZ220" i="43"/>
  <c r="CA220" i="43" s="1"/>
  <c r="CM220" i="43" s="1"/>
  <c r="AZ221" i="43"/>
  <c r="CA221" i="43" s="1"/>
  <c r="CM221" i="43" s="1"/>
  <c r="AZ222" i="43"/>
  <c r="CA222" i="43" s="1"/>
  <c r="CM222" i="43" s="1"/>
  <c r="AZ223" i="43"/>
  <c r="CA223" i="43" s="1"/>
  <c r="CM223" i="43" s="1"/>
  <c r="AZ224" i="43"/>
  <c r="CA224" i="43" s="1"/>
  <c r="CM224" i="43" s="1"/>
  <c r="AZ225" i="43"/>
  <c r="CA225" i="43" s="1"/>
  <c r="CM225" i="43" s="1"/>
  <c r="AZ226" i="43"/>
  <c r="CA226" i="43" s="1"/>
  <c r="CM226" i="43" s="1"/>
  <c r="AZ227" i="43"/>
  <c r="CA227" i="43" s="1"/>
  <c r="CM227" i="43" s="1"/>
  <c r="AZ228" i="43"/>
  <c r="CA228" i="43" s="1"/>
  <c r="CM228" i="43" s="1"/>
  <c r="AZ229" i="43"/>
  <c r="CA229" i="43" s="1"/>
  <c r="CM229" i="43" s="1"/>
  <c r="AZ230" i="43"/>
  <c r="CA230" i="43" s="1"/>
  <c r="CM230" i="43" s="1"/>
  <c r="AZ231" i="43"/>
  <c r="CA231" i="43" s="1"/>
  <c r="CM231" i="43" s="1"/>
  <c r="AZ232" i="43"/>
  <c r="CA232" i="43" s="1"/>
  <c r="CM232" i="43" s="1"/>
  <c r="AZ233" i="43"/>
  <c r="CA233" i="43" s="1"/>
  <c r="CM233" i="43" s="1"/>
  <c r="AZ234" i="43"/>
  <c r="CA234" i="43" s="1"/>
  <c r="CM234" i="43" s="1"/>
  <c r="AZ235" i="43"/>
  <c r="CA235" i="43" s="1"/>
  <c r="CM235" i="43" s="1"/>
  <c r="AZ236" i="43"/>
  <c r="CA236" i="43" s="1"/>
  <c r="CM236" i="43" s="1"/>
  <c r="AZ237" i="43"/>
  <c r="CA237" i="43" s="1"/>
  <c r="CM237" i="43" s="1"/>
  <c r="AZ238" i="43"/>
  <c r="CA238" i="43" s="1"/>
  <c r="CM238" i="43" s="1"/>
  <c r="AZ239" i="43"/>
  <c r="CA239" i="43" s="1"/>
  <c r="CM239" i="43" s="1"/>
  <c r="AZ240" i="43"/>
  <c r="CA240" i="43" s="1"/>
  <c r="CM240" i="43" s="1"/>
  <c r="AZ241" i="43"/>
  <c r="CA241" i="43" s="1"/>
  <c r="CM241" i="43" s="1"/>
  <c r="AZ242" i="43"/>
  <c r="CA242" i="43" s="1"/>
  <c r="CM242" i="43" s="1"/>
  <c r="AZ243" i="43"/>
  <c r="CA243" i="43" s="1"/>
  <c r="CM243" i="43" s="1"/>
  <c r="AZ244" i="43"/>
  <c r="CA244" i="43" s="1"/>
  <c r="CM244" i="43" s="1"/>
  <c r="AZ245" i="43"/>
  <c r="CA245" i="43" s="1"/>
  <c r="CM245" i="43" s="1"/>
  <c r="AZ246" i="43"/>
  <c r="CA246" i="43" s="1"/>
  <c r="CM246" i="43" s="1"/>
  <c r="AZ247" i="43"/>
  <c r="CA247" i="43" s="1"/>
  <c r="CM247" i="43" s="1"/>
  <c r="AZ248" i="43"/>
  <c r="CA248" i="43" s="1"/>
  <c r="CM248" i="43" s="1"/>
  <c r="AZ249" i="43"/>
  <c r="CA249" i="43" s="1"/>
  <c r="CM249" i="43" s="1"/>
  <c r="AZ250" i="43"/>
  <c r="CA250" i="43" s="1"/>
  <c r="CM250" i="43" s="1"/>
  <c r="AZ251" i="43"/>
  <c r="CA251" i="43" s="1"/>
  <c r="CM251" i="43" s="1"/>
  <c r="AZ252" i="43"/>
  <c r="CA252" i="43" s="1"/>
  <c r="CM252" i="43" s="1"/>
  <c r="AZ253" i="43"/>
  <c r="CA253" i="43" s="1"/>
  <c r="CM253" i="43" s="1"/>
  <c r="AZ254" i="43"/>
  <c r="CA254" i="43" s="1"/>
  <c r="CM254" i="43" s="1"/>
  <c r="AZ255" i="43"/>
  <c r="CA255" i="43" s="1"/>
  <c r="CM255" i="43" s="1"/>
  <c r="AZ256" i="43"/>
  <c r="CA256" i="43" s="1"/>
  <c r="CM256" i="43" s="1"/>
  <c r="AZ257" i="43"/>
  <c r="CA257" i="43" s="1"/>
  <c r="CM257" i="43" s="1"/>
  <c r="AZ258" i="43"/>
  <c r="CA258" i="43" s="1"/>
  <c r="CM258" i="43" s="1"/>
  <c r="AZ259" i="43"/>
  <c r="CA259" i="43" s="1"/>
  <c r="CM259" i="43" s="1"/>
  <c r="AZ260" i="43"/>
  <c r="CA260" i="43" s="1"/>
  <c r="CM260" i="43" s="1"/>
  <c r="AZ261" i="43"/>
  <c r="CA261" i="43" s="1"/>
  <c r="CM261" i="43" s="1"/>
  <c r="AZ262" i="43"/>
  <c r="CA262" i="43" s="1"/>
  <c r="CM262" i="43" s="1"/>
  <c r="AZ263" i="43"/>
  <c r="CA263" i="43" s="1"/>
  <c r="CM263" i="43" s="1"/>
  <c r="AZ264" i="43"/>
  <c r="CA264" i="43" s="1"/>
  <c r="CM264" i="43" s="1"/>
  <c r="AZ265" i="43"/>
  <c r="CA265" i="43" s="1"/>
  <c r="CM265" i="43" s="1"/>
  <c r="AZ266" i="43"/>
  <c r="CA266" i="43" s="1"/>
  <c r="CM266" i="43" s="1"/>
  <c r="AZ267" i="43"/>
  <c r="CA267" i="43" s="1"/>
  <c r="CM267" i="43" s="1"/>
  <c r="AZ268" i="43"/>
  <c r="CA268" i="43" s="1"/>
  <c r="CM268" i="43" s="1"/>
  <c r="AZ269" i="43"/>
  <c r="CA269" i="43" s="1"/>
  <c r="CM269" i="43" s="1"/>
  <c r="AZ270" i="43"/>
  <c r="CA270" i="43" s="1"/>
  <c r="CM270" i="43" s="1"/>
  <c r="AZ271" i="43"/>
  <c r="CA271" i="43" s="1"/>
  <c r="CM271" i="43" s="1"/>
  <c r="AZ272" i="43"/>
  <c r="CA272" i="43" s="1"/>
  <c r="CM272" i="43" s="1"/>
  <c r="AZ273" i="43"/>
  <c r="CA273" i="43" s="1"/>
  <c r="CM273" i="43" s="1"/>
  <c r="AZ274" i="43"/>
  <c r="CA274" i="43" s="1"/>
  <c r="CM274" i="43" s="1"/>
  <c r="AZ275" i="43"/>
  <c r="CA275" i="43" s="1"/>
  <c r="CM275" i="43" s="1"/>
  <c r="AZ276" i="43"/>
  <c r="CA276" i="43" s="1"/>
  <c r="CM276" i="43" s="1"/>
  <c r="AZ277" i="43"/>
  <c r="CA277" i="43" s="1"/>
  <c r="CM277" i="43" s="1"/>
  <c r="AZ278" i="43"/>
  <c r="CA278" i="43" s="1"/>
  <c r="CM278" i="43" s="1"/>
  <c r="AZ279" i="43"/>
  <c r="CA279" i="43" s="1"/>
  <c r="CM279" i="43" s="1"/>
  <c r="AZ280" i="43"/>
  <c r="CA280" i="43" s="1"/>
  <c r="CM280" i="43" s="1"/>
  <c r="AZ281" i="43"/>
  <c r="CA281" i="43" s="1"/>
  <c r="CM281" i="43" s="1"/>
  <c r="AZ282" i="43"/>
  <c r="CA282" i="43" s="1"/>
  <c r="CM282" i="43" s="1"/>
  <c r="AZ283" i="43"/>
  <c r="CA283" i="43" s="1"/>
  <c r="CM283" i="43" s="1"/>
  <c r="AZ284" i="43"/>
  <c r="CA284" i="43" s="1"/>
  <c r="CM284" i="43" s="1"/>
  <c r="AZ285" i="43"/>
  <c r="CA285" i="43" s="1"/>
  <c r="CM285" i="43" s="1"/>
  <c r="AZ286" i="43"/>
  <c r="CA286" i="43" s="1"/>
  <c r="CM286" i="43" s="1"/>
  <c r="AZ287" i="43"/>
  <c r="CA287" i="43" s="1"/>
  <c r="CM287" i="43" s="1"/>
  <c r="AZ288" i="43"/>
  <c r="CA288" i="43" s="1"/>
  <c r="CM288" i="43" s="1"/>
  <c r="AZ289" i="43"/>
  <c r="CA289" i="43" s="1"/>
  <c r="CM289" i="43" s="1"/>
  <c r="AZ290" i="43"/>
  <c r="CA290" i="43" s="1"/>
  <c r="CM290" i="43" s="1"/>
  <c r="AZ291" i="43"/>
  <c r="CA291" i="43" s="1"/>
  <c r="CM291" i="43" s="1"/>
  <c r="AZ292" i="43"/>
  <c r="CA292" i="43" s="1"/>
  <c r="CM292" i="43" s="1"/>
  <c r="AZ293" i="43"/>
  <c r="CA293" i="43" s="1"/>
  <c r="CM293" i="43" s="1"/>
  <c r="AZ294" i="43"/>
  <c r="CA294" i="43" s="1"/>
  <c r="CM294" i="43" s="1"/>
  <c r="AZ295" i="43"/>
  <c r="CA295" i="43" s="1"/>
  <c r="CM295" i="43" s="1"/>
  <c r="AZ296" i="43"/>
  <c r="CA296" i="43" s="1"/>
  <c r="CM296" i="43" s="1"/>
  <c r="AZ297" i="43"/>
  <c r="CA297" i="43" s="1"/>
  <c r="CM297" i="43" s="1"/>
  <c r="AZ298" i="43"/>
  <c r="CA298" i="43" s="1"/>
  <c r="CM298" i="43" s="1"/>
  <c r="AZ299" i="43"/>
  <c r="CA299" i="43" s="1"/>
  <c r="CM299" i="43" s="1"/>
  <c r="AZ300" i="43"/>
  <c r="CA300" i="43" s="1"/>
  <c r="CM300" i="43" s="1"/>
  <c r="AZ301" i="43"/>
  <c r="CA301" i="43" s="1"/>
  <c r="CM301" i="43" s="1"/>
  <c r="AZ302" i="43"/>
  <c r="CA302" i="43" s="1"/>
  <c r="CM302" i="43" s="1"/>
  <c r="AZ303" i="43"/>
  <c r="CA303" i="43" s="1"/>
  <c r="CM303" i="43" s="1"/>
  <c r="AZ304" i="43"/>
  <c r="CA304" i="43" s="1"/>
  <c r="CM304" i="43" s="1"/>
  <c r="AZ305" i="43"/>
  <c r="CA305" i="43" s="1"/>
  <c r="CM305" i="43" s="1"/>
  <c r="AZ306" i="43"/>
  <c r="AZ307" i="43"/>
  <c r="CA26" i="43" l="1"/>
  <c r="CM26" i="43" s="1"/>
  <c r="G314" i="52"/>
  <c r="AA307" i="43" l="1"/>
  <c r="AA306" i="43"/>
  <c r="AA305" i="43"/>
  <c r="BV305" i="43" s="1"/>
  <c r="CH305" i="43" s="1"/>
  <c r="CU305" i="43" s="1"/>
  <c r="AA304" i="43"/>
  <c r="BV304" i="43" s="1"/>
  <c r="CH304" i="43" s="1"/>
  <c r="CU304" i="43" s="1"/>
  <c r="AA303" i="43"/>
  <c r="BV303" i="43" s="1"/>
  <c r="CH303" i="43" s="1"/>
  <c r="CU303" i="43" s="1"/>
  <c r="AA302" i="43"/>
  <c r="BV302" i="43" s="1"/>
  <c r="CH302" i="43" s="1"/>
  <c r="CU302" i="43" s="1"/>
  <c r="AA301" i="43"/>
  <c r="BV301" i="43" s="1"/>
  <c r="CH301" i="43" s="1"/>
  <c r="CU301" i="43" s="1"/>
  <c r="AA300" i="43"/>
  <c r="BV300" i="43" s="1"/>
  <c r="CH300" i="43" s="1"/>
  <c r="CU300" i="43" s="1"/>
  <c r="AA299" i="43"/>
  <c r="BV299" i="43" s="1"/>
  <c r="CH299" i="43" s="1"/>
  <c r="CU299" i="43" s="1"/>
  <c r="AA298" i="43"/>
  <c r="BV298" i="43" s="1"/>
  <c r="CH298" i="43" s="1"/>
  <c r="CU298" i="43" s="1"/>
  <c r="AA297" i="43"/>
  <c r="BV297" i="43" s="1"/>
  <c r="CH297" i="43" s="1"/>
  <c r="CU297" i="43" s="1"/>
  <c r="AA296" i="43"/>
  <c r="BV296" i="43" s="1"/>
  <c r="CH296" i="43" s="1"/>
  <c r="CU296" i="43" s="1"/>
  <c r="AA295" i="43"/>
  <c r="BV295" i="43" s="1"/>
  <c r="CH295" i="43" s="1"/>
  <c r="CU295" i="43" s="1"/>
  <c r="AA294" i="43"/>
  <c r="BV294" i="43" s="1"/>
  <c r="CH294" i="43" s="1"/>
  <c r="CU294" i="43" s="1"/>
  <c r="AA293" i="43"/>
  <c r="BV293" i="43" s="1"/>
  <c r="CH293" i="43" s="1"/>
  <c r="CU293" i="43" s="1"/>
  <c r="AA292" i="43"/>
  <c r="BV292" i="43" s="1"/>
  <c r="CH292" i="43" s="1"/>
  <c r="CU292" i="43" s="1"/>
  <c r="AA291" i="43"/>
  <c r="BV291" i="43" s="1"/>
  <c r="CH291" i="43" s="1"/>
  <c r="CU291" i="43" s="1"/>
  <c r="AA290" i="43"/>
  <c r="BV290" i="43" s="1"/>
  <c r="CH290" i="43" s="1"/>
  <c r="CU290" i="43" s="1"/>
  <c r="AA289" i="43"/>
  <c r="BV289" i="43" s="1"/>
  <c r="CH289" i="43" s="1"/>
  <c r="CU289" i="43" s="1"/>
  <c r="AA288" i="43"/>
  <c r="BV288" i="43" s="1"/>
  <c r="CH288" i="43" s="1"/>
  <c r="CU288" i="43" s="1"/>
  <c r="AA287" i="43"/>
  <c r="BV287" i="43" s="1"/>
  <c r="CH287" i="43" s="1"/>
  <c r="CU287" i="43" s="1"/>
  <c r="AA286" i="43"/>
  <c r="BV286" i="43" s="1"/>
  <c r="CH286" i="43" s="1"/>
  <c r="CU286" i="43" s="1"/>
  <c r="AA285" i="43"/>
  <c r="BV285" i="43" s="1"/>
  <c r="CH285" i="43" s="1"/>
  <c r="CU285" i="43" s="1"/>
  <c r="AA284" i="43"/>
  <c r="BV284" i="43" s="1"/>
  <c r="CH284" i="43" s="1"/>
  <c r="CU284" i="43" s="1"/>
  <c r="AA283" i="43"/>
  <c r="BV283" i="43" s="1"/>
  <c r="CH283" i="43" s="1"/>
  <c r="CU283" i="43" s="1"/>
  <c r="AA282" i="43"/>
  <c r="BV282" i="43" s="1"/>
  <c r="CH282" i="43" s="1"/>
  <c r="CU282" i="43" s="1"/>
  <c r="AA281" i="43"/>
  <c r="BV281" i="43" s="1"/>
  <c r="CH281" i="43" s="1"/>
  <c r="CU281" i="43" s="1"/>
  <c r="AA280" i="43"/>
  <c r="BV280" i="43" s="1"/>
  <c r="CH280" i="43" s="1"/>
  <c r="CU280" i="43" s="1"/>
  <c r="AA279" i="43"/>
  <c r="BV279" i="43" s="1"/>
  <c r="CH279" i="43" s="1"/>
  <c r="CU279" i="43" s="1"/>
  <c r="AA278" i="43"/>
  <c r="BV278" i="43" s="1"/>
  <c r="CH278" i="43" s="1"/>
  <c r="CU278" i="43" s="1"/>
  <c r="AA277" i="43"/>
  <c r="BV277" i="43" s="1"/>
  <c r="CH277" i="43" s="1"/>
  <c r="CU277" i="43" s="1"/>
  <c r="AA276" i="43"/>
  <c r="BV276" i="43" s="1"/>
  <c r="CH276" i="43" s="1"/>
  <c r="CU276" i="43" s="1"/>
  <c r="AA275" i="43"/>
  <c r="BV275" i="43" s="1"/>
  <c r="CH275" i="43" s="1"/>
  <c r="CU275" i="43" s="1"/>
  <c r="AA274" i="43"/>
  <c r="BV274" i="43" s="1"/>
  <c r="CH274" i="43" s="1"/>
  <c r="CU274" i="43" s="1"/>
  <c r="AA273" i="43"/>
  <c r="BV273" i="43" s="1"/>
  <c r="CH273" i="43" s="1"/>
  <c r="CU273" i="43" s="1"/>
  <c r="AA272" i="43"/>
  <c r="BV272" i="43" s="1"/>
  <c r="CH272" i="43" s="1"/>
  <c r="CU272" i="43" s="1"/>
  <c r="AA271" i="43"/>
  <c r="BV271" i="43" s="1"/>
  <c r="CH271" i="43" s="1"/>
  <c r="CU271" i="43" s="1"/>
  <c r="AA270" i="43"/>
  <c r="BV270" i="43" s="1"/>
  <c r="CH270" i="43" s="1"/>
  <c r="CU270" i="43" s="1"/>
  <c r="AA269" i="43"/>
  <c r="BV269" i="43" s="1"/>
  <c r="CH269" i="43" s="1"/>
  <c r="CU269" i="43" s="1"/>
  <c r="AA268" i="43"/>
  <c r="BV268" i="43" s="1"/>
  <c r="CH268" i="43" s="1"/>
  <c r="CU268" i="43" s="1"/>
  <c r="AA267" i="43"/>
  <c r="BV267" i="43" s="1"/>
  <c r="CH267" i="43" s="1"/>
  <c r="CU267" i="43" s="1"/>
  <c r="AA266" i="43"/>
  <c r="BV266" i="43" s="1"/>
  <c r="CH266" i="43" s="1"/>
  <c r="CU266" i="43" s="1"/>
  <c r="AA265" i="43"/>
  <c r="BV265" i="43" s="1"/>
  <c r="CH265" i="43" s="1"/>
  <c r="CU265" i="43" s="1"/>
  <c r="AA264" i="43"/>
  <c r="BV264" i="43" s="1"/>
  <c r="CH264" i="43" s="1"/>
  <c r="CU264" i="43" s="1"/>
  <c r="AA263" i="43"/>
  <c r="BV263" i="43" s="1"/>
  <c r="CH263" i="43" s="1"/>
  <c r="CU263" i="43" s="1"/>
  <c r="AA262" i="43"/>
  <c r="BV262" i="43" s="1"/>
  <c r="CH262" i="43" s="1"/>
  <c r="CU262" i="43" s="1"/>
  <c r="AA261" i="43"/>
  <c r="BV261" i="43" s="1"/>
  <c r="CH261" i="43" s="1"/>
  <c r="CU261" i="43" s="1"/>
  <c r="AA260" i="43"/>
  <c r="BV260" i="43" s="1"/>
  <c r="CH260" i="43" s="1"/>
  <c r="CU260" i="43" s="1"/>
  <c r="AA259" i="43"/>
  <c r="BV259" i="43" s="1"/>
  <c r="CH259" i="43" s="1"/>
  <c r="CU259" i="43" s="1"/>
  <c r="AA258" i="43"/>
  <c r="BV258" i="43" s="1"/>
  <c r="CH258" i="43" s="1"/>
  <c r="CU258" i="43" s="1"/>
  <c r="AA257" i="43"/>
  <c r="BV257" i="43" s="1"/>
  <c r="CH257" i="43" s="1"/>
  <c r="CU257" i="43" s="1"/>
  <c r="AA256" i="43"/>
  <c r="BV256" i="43" s="1"/>
  <c r="CH256" i="43" s="1"/>
  <c r="CU256" i="43" s="1"/>
  <c r="AA255" i="43"/>
  <c r="BV255" i="43" s="1"/>
  <c r="CH255" i="43" s="1"/>
  <c r="CU255" i="43" s="1"/>
  <c r="AA254" i="43"/>
  <c r="BV254" i="43" s="1"/>
  <c r="CH254" i="43" s="1"/>
  <c r="CU254" i="43" s="1"/>
  <c r="AA253" i="43"/>
  <c r="BV253" i="43" s="1"/>
  <c r="CH253" i="43" s="1"/>
  <c r="CU253" i="43" s="1"/>
  <c r="AA252" i="43"/>
  <c r="BV252" i="43" s="1"/>
  <c r="CH252" i="43" s="1"/>
  <c r="CU252" i="43" s="1"/>
  <c r="AA251" i="43"/>
  <c r="BV251" i="43" s="1"/>
  <c r="CH251" i="43" s="1"/>
  <c r="CU251" i="43" s="1"/>
  <c r="AA250" i="43"/>
  <c r="BV250" i="43" s="1"/>
  <c r="CH250" i="43" s="1"/>
  <c r="CU250" i="43" s="1"/>
  <c r="AA249" i="43"/>
  <c r="BV249" i="43" s="1"/>
  <c r="CH249" i="43" s="1"/>
  <c r="CU249" i="43" s="1"/>
  <c r="AA248" i="43"/>
  <c r="BV248" i="43" s="1"/>
  <c r="CH248" i="43" s="1"/>
  <c r="CU248" i="43" s="1"/>
  <c r="AA247" i="43"/>
  <c r="BV247" i="43" s="1"/>
  <c r="CH247" i="43" s="1"/>
  <c r="CU247" i="43" s="1"/>
  <c r="AA246" i="43"/>
  <c r="BV246" i="43" s="1"/>
  <c r="CH246" i="43" s="1"/>
  <c r="CU246" i="43" s="1"/>
  <c r="AA245" i="43"/>
  <c r="BV245" i="43" s="1"/>
  <c r="CH245" i="43" s="1"/>
  <c r="CU245" i="43" s="1"/>
  <c r="AA244" i="43"/>
  <c r="BV244" i="43" s="1"/>
  <c r="CH244" i="43" s="1"/>
  <c r="CU244" i="43" s="1"/>
  <c r="AA243" i="43"/>
  <c r="BV243" i="43" s="1"/>
  <c r="CH243" i="43" s="1"/>
  <c r="CU243" i="43" s="1"/>
  <c r="AA242" i="43"/>
  <c r="BV242" i="43" s="1"/>
  <c r="CH242" i="43" s="1"/>
  <c r="CU242" i="43" s="1"/>
  <c r="AA241" i="43"/>
  <c r="BV241" i="43" s="1"/>
  <c r="CH241" i="43" s="1"/>
  <c r="CU241" i="43" s="1"/>
  <c r="AA240" i="43"/>
  <c r="BV240" i="43" s="1"/>
  <c r="CH240" i="43" s="1"/>
  <c r="CU240" i="43" s="1"/>
  <c r="AA239" i="43"/>
  <c r="BV239" i="43" s="1"/>
  <c r="CH239" i="43" s="1"/>
  <c r="CU239" i="43" s="1"/>
  <c r="AA238" i="43"/>
  <c r="BV238" i="43" s="1"/>
  <c r="CH238" i="43" s="1"/>
  <c r="CU238" i="43" s="1"/>
  <c r="AA237" i="43"/>
  <c r="BV237" i="43" s="1"/>
  <c r="CH237" i="43" s="1"/>
  <c r="CU237" i="43" s="1"/>
  <c r="AA236" i="43"/>
  <c r="BV236" i="43" s="1"/>
  <c r="CH236" i="43" s="1"/>
  <c r="CU236" i="43" s="1"/>
  <c r="AA235" i="43"/>
  <c r="BV235" i="43" s="1"/>
  <c r="CH235" i="43" s="1"/>
  <c r="CU235" i="43" s="1"/>
  <c r="AA234" i="43"/>
  <c r="BV234" i="43" s="1"/>
  <c r="CH234" i="43" s="1"/>
  <c r="CU234" i="43" s="1"/>
  <c r="AA233" i="43"/>
  <c r="BV233" i="43" s="1"/>
  <c r="CH233" i="43" s="1"/>
  <c r="CU233" i="43" s="1"/>
  <c r="AA232" i="43"/>
  <c r="BV232" i="43" s="1"/>
  <c r="CH232" i="43" s="1"/>
  <c r="CU232" i="43" s="1"/>
  <c r="AA231" i="43"/>
  <c r="BV231" i="43" s="1"/>
  <c r="CH231" i="43" s="1"/>
  <c r="CU231" i="43" s="1"/>
  <c r="AA230" i="43"/>
  <c r="BV230" i="43" s="1"/>
  <c r="CH230" i="43" s="1"/>
  <c r="CU230" i="43" s="1"/>
  <c r="AA229" i="43"/>
  <c r="BV229" i="43" s="1"/>
  <c r="CH229" i="43" s="1"/>
  <c r="CU229" i="43" s="1"/>
  <c r="AA228" i="43"/>
  <c r="BV228" i="43" s="1"/>
  <c r="CH228" i="43" s="1"/>
  <c r="CU228" i="43" s="1"/>
  <c r="AA227" i="43"/>
  <c r="BV227" i="43" s="1"/>
  <c r="CH227" i="43" s="1"/>
  <c r="CU227" i="43" s="1"/>
  <c r="AA226" i="43"/>
  <c r="BV226" i="43" s="1"/>
  <c r="CH226" i="43" s="1"/>
  <c r="CU226" i="43" s="1"/>
  <c r="AA225" i="43"/>
  <c r="BV225" i="43" s="1"/>
  <c r="CH225" i="43" s="1"/>
  <c r="CU225" i="43" s="1"/>
  <c r="AA224" i="43"/>
  <c r="BV224" i="43" s="1"/>
  <c r="CH224" i="43" s="1"/>
  <c r="CU224" i="43" s="1"/>
  <c r="AA223" i="43"/>
  <c r="BV223" i="43" s="1"/>
  <c r="CH223" i="43" s="1"/>
  <c r="CU223" i="43" s="1"/>
  <c r="AA222" i="43"/>
  <c r="BV222" i="43" s="1"/>
  <c r="CH222" i="43" s="1"/>
  <c r="CU222" i="43" s="1"/>
  <c r="AA221" i="43"/>
  <c r="BV221" i="43" s="1"/>
  <c r="CH221" i="43" s="1"/>
  <c r="CU221" i="43" s="1"/>
  <c r="AA220" i="43"/>
  <c r="BV220" i="43" s="1"/>
  <c r="CH220" i="43" s="1"/>
  <c r="CU220" i="43" s="1"/>
  <c r="AA219" i="43"/>
  <c r="BV219" i="43" s="1"/>
  <c r="CH219" i="43" s="1"/>
  <c r="CU219" i="43" s="1"/>
  <c r="AA218" i="43"/>
  <c r="BV218" i="43" s="1"/>
  <c r="CH218" i="43" s="1"/>
  <c r="CU218" i="43" s="1"/>
  <c r="AA217" i="43"/>
  <c r="BV217" i="43" s="1"/>
  <c r="CH217" i="43" s="1"/>
  <c r="CU217" i="43" s="1"/>
  <c r="AA216" i="43"/>
  <c r="BV216" i="43" s="1"/>
  <c r="CH216" i="43" s="1"/>
  <c r="CU216" i="43" s="1"/>
  <c r="AA215" i="43"/>
  <c r="BV215" i="43" s="1"/>
  <c r="CH215" i="43" s="1"/>
  <c r="CU215" i="43" s="1"/>
  <c r="AA214" i="43"/>
  <c r="BV214" i="43" s="1"/>
  <c r="CH214" i="43" s="1"/>
  <c r="CU214" i="43" s="1"/>
  <c r="AA213" i="43"/>
  <c r="BV213" i="43" s="1"/>
  <c r="CH213" i="43" s="1"/>
  <c r="CU213" i="43" s="1"/>
  <c r="AA212" i="43"/>
  <c r="BV212" i="43" s="1"/>
  <c r="CH212" i="43" s="1"/>
  <c r="CU212" i="43" s="1"/>
  <c r="AA211" i="43"/>
  <c r="BV211" i="43" s="1"/>
  <c r="CH211" i="43" s="1"/>
  <c r="CU211" i="43" s="1"/>
  <c r="AA210" i="43"/>
  <c r="BV210" i="43" s="1"/>
  <c r="CH210" i="43" s="1"/>
  <c r="CU210" i="43" s="1"/>
  <c r="AA209" i="43"/>
  <c r="BV209" i="43" s="1"/>
  <c r="CH209" i="43" s="1"/>
  <c r="CU209" i="43" s="1"/>
  <c r="AA208" i="43"/>
  <c r="BV208" i="43" s="1"/>
  <c r="CH208" i="43" s="1"/>
  <c r="CU208" i="43" s="1"/>
  <c r="AA207" i="43"/>
  <c r="BV207" i="43" s="1"/>
  <c r="CH207" i="43" s="1"/>
  <c r="CU207" i="43" s="1"/>
  <c r="AA206" i="43"/>
  <c r="BV206" i="43" s="1"/>
  <c r="CH206" i="43" s="1"/>
  <c r="CU206" i="43" s="1"/>
  <c r="AA205" i="43"/>
  <c r="BV205" i="43" s="1"/>
  <c r="CH205" i="43" s="1"/>
  <c r="CU205" i="43" s="1"/>
  <c r="AA204" i="43"/>
  <c r="BV204" i="43" s="1"/>
  <c r="CH204" i="43" s="1"/>
  <c r="CU204" i="43" s="1"/>
  <c r="AA203" i="43"/>
  <c r="BV203" i="43" s="1"/>
  <c r="CH203" i="43" s="1"/>
  <c r="CU203" i="43" s="1"/>
  <c r="AA202" i="43"/>
  <c r="BV202" i="43" s="1"/>
  <c r="CH202" i="43" s="1"/>
  <c r="CU202" i="43" s="1"/>
  <c r="AA201" i="43"/>
  <c r="BV201" i="43" s="1"/>
  <c r="CH201" i="43" s="1"/>
  <c r="CU201" i="43" s="1"/>
  <c r="AA200" i="43"/>
  <c r="BV200" i="43" s="1"/>
  <c r="CH200" i="43" s="1"/>
  <c r="CU200" i="43" s="1"/>
  <c r="AA199" i="43"/>
  <c r="BV199" i="43" s="1"/>
  <c r="CH199" i="43" s="1"/>
  <c r="CU199" i="43" s="1"/>
  <c r="AA198" i="43"/>
  <c r="BV198" i="43" s="1"/>
  <c r="CH198" i="43" s="1"/>
  <c r="CU198" i="43" s="1"/>
  <c r="AA197" i="43"/>
  <c r="BV197" i="43" s="1"/>
  <c r="CH197" i="43" s="1"/>
  <c r="CU197" i="43" s="1"/>
  <c r="AA196" i="43"/>
  <c r="BV196" i="43" s="1"/>
  <c r="CH196" i="43" s="1"/>
  <c r="CU196" i="43" s="1"/>
  <c r="AA195" i="43"/>
  <c r="BV195" i="43" s="1"/>
  <c r="CH195" i="43" s="1"/>
  <c r="CU195" i="43" s="1"/>
  <c r="AA194" i="43"/>
  <c r="BV194" i="43" s="1"/>
  <c r="CH194" i="43" s="1"/>
  <c r="CU194" i="43" s="1"/>
  <c r="AA193" i="43"/>
  <c r="BV193" i="43" s="1"/>
  <c r="CH193" i="43" s="1"/>
  <c r="CU193" i="43" s="1"/>
  <c r="AA192" i="43"/>
  <c r="BV192" i="43" s="1"/>
  <c r="CH192" i="43" s="1"/>
  <c r="CU192" i="43" s="1"/>
  <c r="AA191" i="43"/>
  <c r="BV191" i="43" s="1"/>
  <c r="CH191" i="43" s="1"/>
  <c r="CU191" i="43" s="1"/>
  <c r="AA190" i="43"/>
  <c r="BV190" i="43" s="1"/>
  <c r="CH190" i="43" s="1"/>
  <c r="CU190" i="43" s="1"/>
  <c r="AA189" i="43"/>
  <c r="BV189" i="43" s="1"/>
  <c r="CH189" i="43" s="1"/>
  <c r="CU189" i="43" s="1"/>
  <c r="AA188" i="43"/>
  <c r="BV188" i="43" s="1"/>
  <c r="CH188" i="43" s="1"/>
  <c r="CU188" i="43" s="1"/>
  <c r="AA187" i="43"/>
  <c r="BV187" i="43" s="1"/>
  <c r="CH187" i="43" s="1"/>
  <c r="CU187" i="43" s="1"/>
  <c r="AA186" i="43"/>
  <c r="BV186" i="43" s="1"/>
  <c r="CH186" i="43" s="1"/>
  <c r="CU186" i="43" s="1"/>
  <c r="AA185" i="43"/>
  <c r="BV185" i="43" s="1"/>
  <c r="CH185" i="43" s="1"/>
  <c r="CU185" i="43" s="1"/>
  <c r="AA184" i="43"/>
  <c r="BV184" i="43" s="1"/>
  <c r="CH184" i="43" s="1"/>
  <c r="CU184" i="43" s="1"/>
  <c r="AA183" i="43"/>
  <c r="BV183" i="43" s="1"/>
  <c r="CH183" i="43" s="1"/>
  <c r="CU183" i="43" s="1"/>
  <c r="AA182" i="43"/>
  <c r="BV182" i="43" s="1"/>
  <c r="CH182" i="43" s="1"/>
  <c r="CU182" i="43" s="1"/>
  <c r="AA181" i="43"/>
  <c r="BV181" i="43" s="1"/>
  <c r="CH181" i="43" s="1"/>
  <c r="CU181" i="43" s="1"/>
  <c r="AA180" i="43"/>
  <c r="BV180" i="43" s="1"/>
  <c r="CH180" i="43" s="1"/>
  <c r="CU180" i="43" s="1"/>
  <c r="AA179" i="43"/>
  <c r="BV179" i="43" s="1"/>
  <c r="CH179" i="43" s="1"/>
  <c r="CU179" i="43" s="1"/>
  <c r="AA178" i="43"/>
  <c r="BV178" i="43" s="1"/>
  <c r="CH178" i="43" s="1"/>
  <c r="CU178" i="43" s="1"/>
  <c r="AA177" i="43"/>
  <c r="BV177" i="43" s="1"/>
  <c r="CH177" i="43" s="1"/>
  <c r="CU177" i="43" s="1"/>
  <c r="AA176" i="43"/>
  <c r="BV176" i="43" s="1"/>
  <c r="CH176" i="43" s="1"/>
  <c r="CU176" i="43" s="1"/>
  <c r="AA175" i="43"/>
  <c r="BV175" i="43" s="1"/>
  <c r="CH175" i="43" s="1"/>
  <c r="CU175" i="43" s="1"/>
  <c r="AA174" i="43"/>
  <c r="BV174" i="43" s="1"/>
  <c r="CH174" i="43" s="1"/>
  <c r="CU174" i="43" s="1"/>
  <c r="AA173" i="43"/>
  <c r="BV173" i="43" s="1"/>
  <c r="CH173" i="43" s="1"/>
  <c r="CU173" i="43" s="1"/>
  <c r="AA172" i="43"/>
  <c r="BV172" i="43" s="1"/>
  <c r="CH172" i="43" s="1"/>
  <c r="CU172" i="43" s="1"/>
  <c r="AA171" i="43"/>
  <c r="BV171" i="43" s="1"/>
  <c r="CH171" i="43" s="1"/>
  <c r="CU171" i="43" s="1"/>
  <c r="AA170" i="43"/>
  <c r="BV170" i="43" s="1"/>
  <c r="CH170" i="43" s="1"/>
  <c r="CU170" i="43" s="1"/>
  <c r="AA169" i="43"/>
  <c r="BV169" i="43" s="1"/>
  <c r="CH169" i="43" s="1"/>
  <c r="CU169" i="43" s="1"/>
  <c r="AA168" i="43"/>
  <c r="BV168" i="43" s="1"/>
  <c r="CH168" i="43" s="1"/>
  <c r="CU168" i="43" s="1"/>
  <c r="AA167" i="43"/>
  <c r="BV167" i="43" s="1"/>
  <c r="CH167" i="43" s="1"/>
  <c r="CU167" i="43" s="1"/>
  <c r="AA166" i="43"/>
  <c r="BV166" i="43" s="1"/>
  <c r="CH166" i="43" s="1"/>
  <c r="CU166" i="43" s="1"/>
  <c r="AA165" i="43"/>
  <c r="BV165" i="43" s="1"/>
  <c r="CH165" i="43" s="1"/>
  <c r="CU165" i="43" s="1"/>
  <c r="AA164" i="43"/>
  <c r="BV164" i="43" s="1"/>
  <c r="CH164" i="43" s="1"/>
  <c r="CU164" i="43" s="1"/>
  <c r="AA163" i="43"/>
  <c r="BV163" i="43" s="1"/>
  <c r="CH163" i="43" s="1"/>
  <c r="CU163" i="43" s="1"/>
  <c r="AA162" i="43"/>
  <c r="BV162" i="43" s="1"/>
  <c r="CH162" i="43" s="1"/>
  <c r="CU162" i="43" s="1"/>
  <c r="AA161" i="43"/>
  <c r="BV161" i="43" s="1"/>
  <c r="CH161" i="43" s="1"/>
  <c r="CU161" i="43" s="1"/>
  <c r="AA160" i="43"/>
  <c r="BV160" i="43" s="1"/>
  <c r="CH160" i="43" s="1"/>
  <c r="CU160" i="43" s="1"/>
  <c r="AA159" i="43"/>
  <c r="BV159" i="43" s="1"/>
  <c r="CH159" i="43" s="1"/>
  <c r="CU159" i="43" s="1"/>
  <c r="AA158" i="43"/>
  <c r="BV158" i="43" s="1"/>
  <c r="CH158" i="43" s="1"/>
  <c r="CU158" i="43" s="1"/>
  <c r="AA157" i="43"/>
  <c r="BV157" i="43" s="1"/>
  <c r="CH157" i="43" s="1"/>
  <c r="CU157" i="43" s="1"/>
  <c r="AA156" i="43"/>
  <c r="BV156" i="43" s="1"/>
  <c r="CH156" i="43" s="1"/>
  <c r="CU156" i="43" s="1"/>
  <c r="AA155" i="43"/>
  <c r="BV155" i="43" s="1"/>
  <c r="CH155" i="43" s="1"/>
  <c r="CU155" i="43" s="1"/>
  <c r="AA154" i="43"/>
  <c r="BV154" i="43" s="1"/>
  <c r="CH154" i="43" s="1"/>
  <c r="CU154" i="43" s="1"/>
  <c r="AA153" i="43"/>
  <c r="BV153" i="43" s="1"/>
  <c r="CH153" i="43" s="1"/>
  <c r="CU153" i="43" s="1"/>
  <c r="AA152" i="43"/>
  <c r="BV152" i="43" s="1"/>
  <c r="CH152" i="43" s="1"/>
  <c r="CU152" i="43" s="1"/>
  <c r="AA151" i="43"/>
  <c r="BV151" i="43" s="1"/>
  <c r="CH151" i="43" s="1"/>
  <c r="CU151" i="43" s="1"/>
  <c r="AA150" i="43"/>
  <c r="BV150" i="43" s="1"/>
  <c r="CH150" i="43" s="1"/>
  <c r="CU150" i="43" s="1"/>
  <c r="AA149" i="43"/>
  <c r="BV149" i="43" s="1"/>
  <c r="CH149" i="43" s="1"/>
  <c r="CU149" i="43" s="1"/>
  <c r="AA148" i="43"/>
  <c r="BV148" i="43" s="1"/>
  <c r="CH148" i="43" s="1"/>
  <c r="CU148" i="43" s="1"/>
  <c r="AA147" i="43"/>
  <c r="BV147" i="43" s="1"/>
  <c r="CH147" i="43" s="1"/>
  <c r="CU147" i="43" s="1"/>
  <c r="AA146" i="43"/>
  <c r="BV146" i="43" s="1"/>
  <c r="CH146" i="43" s="1"/>
  <c r="CU146" i="43" s="1"/>
  <c r="AA145" i="43"/>
  <c r="BV145" i="43" s="1"/>
  <c r="CH145" i="43" s="1"/>
  <c r="CU145" i="43" s="1"/>
  <c r="AA144" i="43"/>
  <c r="BV144" i="43" s="1"/>
  <c r="CH144" i="43" s="1"/>
  <c r="CU144" i="43" s="1"/>
  <c r="AA143" i="43"/>
  <c r="BV143" i="43" s="1"/>
  <c r="CH143" i="43" s="1"/>
  <c r="CU143" i="43" s="1"/>
  <c r="AA142" i="43"/>
  <c r="BV142" i="43" s="1"/>
  <c r="CH142" i="43" s="1"/>
  <c r="CU142" i="43" s="1"/>
  <c r="AA141" i="43"/>
  <c r="BV141" i="43" s="1"/>
  <c r="CH141" i="43" s="1"/>
  <c r="CU141" i="43" s="1"/>
  <c r="AA140" i="43"/>
  <c r="BV140" i="43" s="1"/>
  <c r="CH140" i="43" s="1"/>
  <c r="CU140" i="43" s="1"/>
  <c r="AA139" i="43"/>
  <c r="BV139" i="43" s="1"/>
  <c r="CH139" i="43" s="1"/>
  <c r="CU139" i="43" s="1"/>
  <c r="AA138" i="43"/>
  <c r="BV138" i="43" s="1"/>
  <c r="CH138" i="43" s="1"/>
  <c r="CU138" i="43" s="1"/>
  <c r="AA137" i="43"/>
  <c r="BV137" i="43" s="1"/>
  <c r="CH137" i="43" s="1"/>
  <c r="CU137" i="43" s="1"/>
  <c r="AA136" i="43"/>
  <c r="BV136" i="43" s="1"/>
  <c r="CH136" i="43" s="1"/>
  <c r="CU136" i="43" s="1"/>
  <c r="AA135" i="43"/>
  <c r="BV135" i="43" s="1"/>
  <c r="CH135" i="43" s="1"/>
  <c r="CU135" i="43" s="1"/>
  <c r="AA134" i="43"/>
  <c r="BV134" i="43" s="1"/>
  <c r="CH134" i="43" s="1"/>
  <c r="CU134" i="43" s="1"/>
  <c r="AA133" i="43"/>
  <c r="BV133" i="43" s="1"/>
  <c r="CH133" i="43" s="1"/>
  <c r="CU133" i="43" s="1"/>
  <c r="AA132" i="43"/>
  <c r="BV132" i="43" s="1"/>
  <c r="CH132" i="43" s="1"/>
  <c r="CU132" i="43" s="1"/>
  <c r="AA131" i="43"/>
  <c r="BV131" i="43" s="1"/>
  <c r="CH131" i="43" s="1"/>
  <c r="CU131" i="43" s="1"/>
  <c r="AA130" i="43"/>
  <c r="BV130" i="43" s="1"/>
  <c r="CH130" i="43" s="1"/>
  <c r="CU130" i="43" s="1"/>
  <c r="AA129" i="43"/>
  <c r="BV129" i="43" s="1"/>
  <c r="CH129" i="43" s="1"/>
  <c r="CU129" i="43" s="1"/>
  <c r="AA128" i="43"/>
  <c r="BV128" i="43" s="1"/>
  <c r="CH128" i="43" s="1"/>
  <c r="CU128" i="43" s="1"/>
  <c r="AA127" i="43"/>
  <c r="BV127" i="43" s="1"/>
  <c r="CH127" i="43" s="1"/>
  <c r="CU127" i="43" s="1"/>
  <c r="AA126" i="43"/>
  <c r="BV126" i="43" s="1"/>
  <c r="CH126" i="43" s="1"/>
  <c r="CU126" i="43" s="1"/>
  <c r="AA125" i="43"/>
  <c r="BV125" i="43" s="1"/>
  <c r="CH125" i="43" s="1"/>
  <c r="CU125" i="43" s="1"/>
  <c r="AA124" i="43"/>
  <c r="BV124" i="43" s="1"/>
  <c r="CH124" i="43" s="1"/>
  <c r="CU124" i="43" s="1"/>
  <c r="AA123" i="43"/>
  <c r="BV123" i="43" s="1"/>
  <c r="CH123" i="43" s="1"/>
  <c r="CU123" i="43" s="1"/>
  <c r="AA122" i="43"/>
  <c r="BV122" i="43" s="1"/>
  <c r="CH122" i="43" s="1"/>
  <c r="CU122" i="43" s="1"/>
  <c r="AA121" i="43"/>
  <c r="BV121" i="43" s="1"/>
  <c r="CH121" i="43" s="1"/>
  <c r="CU121" i="43" s="1"/>
  <c r="AA120" i="43"/>
  <c r="BV120" i="43" s="1"/>
  <c r="CH120" i="43" s="1"/>
  <c r="CU120" i="43" s="1"/>
  <c r="AA119" i="43"/>
  <c r="BV119" i="43" s="1"/>
  <c r="CH119" i="43" s="1"/>
  <c r="CU119" i="43" s="1"/>
  <c r="AA118" i="43"/>
  <c r="BV118" i="43" s="1"/>
  <c r="CH118" i="43" s="1"/>
  <c r="CU118" i="43" s="1"/>
  <c r="AA117" i="43"/>
  <c r="BV117" i="43" s="1"/>
  <c r="CH117" i="43" s="1"/>
  <c r="CU117" i="43" s="1"/>
  <c r="AA116" i="43"/>
  <c r="BV116" i="43" s="1"/>
  <c r="CH116" i="43" s="1"/>
  <c r="CU116" i="43" s="1"/>
  <c r="AA115" i="43"/>
  <c r="BV115" i="43" s="1"/>
  <c r="CH115" i="43" s="1"/>
  <c r="CU115" i="43" s="1"/>
  <c r="AA114" i="43"/>
  <c r="BV114" i="43" s="1"/>
  <c r="CH114" i="43" s="1"/>
  <c r="CU114" i="43" s="1"/>
  <c r="AA113" i="43"/>
  <c r="BV113" i="43" s="1"/>
  <c r="CH113" i="43" s="1"/>
  <c r="CU113" i="43" s="1"/>
  <c r="AA112" i="43"/>
  <c r="BV112" i="43" s="1"/>
  <c r="CH112" i="43" s="1"/>
  <c r="CU112" i="43" s="1"/>
  <c r="AA111" i="43"/>
  <c r="BV111" i="43" s="1"/>
  <c r="CH111" i="43" s="1"/>
  <c r="CU111" i="43" s="1"/>
  <c r="AA110" i="43"/>
  <c r="BV110" i="43" s="1"/>
  <c r="CH110" i="43" s="1"/>
  <c r="CU110" i="43" s="1"/>
  <c r="AA109" i="43"/>
  <c r="BV109" i="43" s="1"/>
  <c r="CH109" i="43" s="1"/>
  <c r="CU109" i="43" s="1"/>
  <c r="AA108" i="43"/>
  <c r="BV108" i="43" s="1"/>
  <c r="CH108" i="43" s="1"/>
  <c r="CU108" i="43" s="1"/>
  <c r="AA107" i="43"/>
  <c r="BV107" i="43" s="1"/>
  <c r="CH107" i="43" s="1"/>
  <c r="CU107" i="43" s="1"/>
  <c r="AA106" i="43"/>
  <c r="BV106" i="43" s="1"/>
  <c r="CH106" i="43" s="1"/>
  <c r="CU106" i="43" s="1"/>
  <c r="AA105" i="43"/>
  <c r="BV105" i="43" s="1"/>
  <c r="CH105" i="43" s="1"/>
  <c r="CU105" i="43" s="1"/>
  <c r="AA104" i="43"/>
  <c r="BV104" i="43" s="1"/>
  <c r="CH104" i="43" s="1"/>
  <c r="CU104" i="43" s="1"/>
  <c r="AA103" i="43"/>
  <c r="BV103" i="43" s="1"/>
  <c r="CH103" i="43" s="1"/>
  <c r="CU103" i="43" s="1"/>
  <c r="AA102" i="43"/>
  <c r="BV102" i="43" s="1"/>
  <c r="CH102" i="43" s="1"/>
  <c r="CU102" i="43" s="1"/>
  <c r="AA101" i="43"/>
  <c r="BV101" i="43" s="1"/>
  <c r="CH101" i="43" s="1"/>
  <c r="CU101" i="43" s="1"/>
  <c r="AA100" i="43"/>
  <c r="BV100" i="43" s="1"/>
  <c r="CH100" i="43" s="1"/>
  <c r="CU100" i="43" s="1"/>
  <c r="AA99" i="43"/>
  <c r="BV99" i="43" s="1"/>
  <c r="CH99" i="43" s="1"/>
  <c r="CU99" i="43" s="1"/>
  <c r="AA98" i="43"/>
  <c r="BV98" i="43" s="1"/>
  <c r="CH98" i="43" s="1"/>
  <c r="CU98" i="43" s="1"/>
  <c r="AA97" i="43"/>
  <c r="BV97" i="43" s="1"/>
  <c r="CH97" i="43" s="1"/>
  <c r="CU97" i="43" s="1"/>
  <c r="AA96" i="43"/>
  <c r="BV96" i="43" s="1"/>
  <c r="CH96" i="43" s="1"/>
  <c r="CU96" i="43" s="1"/>
  <c r="AA95" i="43"/>
  <c r="BV95" i="43" s="1"/>
  <c r="CH95" i="43" s="1"/>
  <c r="CU95" i="43" s="1"/>
  <c r="AA94" i="43"/>
  <c r="BV94" i="43" s="1"/>
  <c r="CH94" i="43" s="1"/>
  <c r="CU94" i="43" s="1"/>
  <c r="AA93" i="43"/>
  <c r="BV93" i="43" s="1"/>
  <c r="CH93" i="43" s="1"/>
  <c r="CU93" i="43" s="1"/>
  <c r="AA92" i="43"/>
  <c r="BV92" i="43" s="1"/>
  <c r="CH92" i="43" s="1"/>
  <c r="CU92" i="43" s="1"/>
  <c r="AA91" i="43"/>
  <c r="BV91" i="43" s="1"/>
  <c r="CH91" i="43" s="1"/>
  <c r="CU91" i="43" s="1"/>
  <c r="AA90" i="43"/>
  <c r="BV90" i="43" s="1"/>
  <c r="CH90" i="43" s="1"/>
  <c r="CU90" i="43" s="1"/>
  <c r="AA89" i="43"/>
  <c r="BV89" i="43" s="1"/>
  <c r="CH89" i="43" s="1"/>
  <c r="CU89" i="43" s="1"/>
  <c r="AA88" i="43"/>
  <c r="BV88" i="43" s="1"/>
  <c r="CH88" i="43" s="1"/>
  <c r="CU88" i="43" s="1"/>
  <c r="AA87" i="43"/>
  <c r="BV87" i="43" s="1"/>
  <c r="CH87" i="43" s="1"/>
  <c r="CU87" i="43" s="1"/>
  <c r="AA86" i="43"/>
  <c r="BV86" i="43" s="1"/>
  <c r="CH86" i="43" s="1"/>
  <c r="CU86" i="43" s="1"/>
  <c r="AA85" i="43"/>
  <c r="BV85" i="43" s="1"/>
  <c r="CH85" i="43" s="1"/>
  <c r="CU85" i="43" s="1"/>
  <c r="AA84" i="43"/>
  <c r="BV84" i="43" s="1"/>
  <c r="CH84" i="43" s="1"/>
  <c r="CU84" i="43" s="1"/>
  <c r="AA83" i="43"/>
  <c r="BV83" i="43" s="1"/>
  <c r="CH83" i="43" s="1"/>
  <c r="CU83" i="43" s="1"/>
  <c r="AA82" i="43"/>
  <c r="BV82" i="43" s="1"/>
  <c r="CH82" i="43" s="1"/>
  <c r="CU82" i="43" s="1"/>
  <c r="AA81" i="43"/>
  <c r="BV81" i="43" s="1"/>
  <c r="CH81" i="43" s="1"/>
  <c r="CU81" i="43" s="1"/>
  <c r="AA80" i="43"/>
  <c r="BV80" i="43" s="1"/>
  <c r="CH80" i="43" s="1"/>
  <c r="CU80" i="43" s="1"/>
  <c r="AA79" i="43"/>
  <c r="BV79" i="43" s="1"/>
  <c r="CH79" i="43" s="1"/>
  <c r="CU79" i="43" s="1"/>
  <c r="AA78" i="43"/>
  <c r="BV78" i="43" s="1"/>
  <c r="CH78" i="43" s="1"/>
  <c r="CU78" i="43" s="1"/>
  <c r="AA77" i="43"/>
  <c r="BV77" i="43" s="1"/>
  <c r="CH77" i="43" s="1"/>
  <c r="CU77" i="43" s="1"/>
  <c r="AA76" i="43"/>
  <c r="BV76" i="43" s="1"/>
  <c r="CH76" i="43" s="1"/>
  <c r="CU76" i="43" s="1"/>
  <c r="AA75" i="43"/>
  <c r="BV75" i="43" s="1"/>
  <c r="CH75" i="43" s="1"/>
  <c r="CU75" i="43" s="1"/>
  <c r="AA74" i="43"/>
  <c r="BV74" i="43" s="1"/>
  <c r="CH74" i="43" s="1"/>
  <c r="CU74" i="43" s="1"/>
  <c r="AA73" i="43"/>
  <c r="BV73" i="43" s="1"/>
  <c r="CH73" i="43" s="1"/>
  <c r="CU73" i="43" s="1"/>
  <c r="AA72" i="43"/>
  <c r="BV72" i="43" s="1"/>
  <c r="CH72" i="43" s="1"/>
  <c r="CU72" i="43" s="1"/>
  <c r="AA71" i="43"/>
  <c r="BV71" i="43" s="1"/>
  <c r="CH71" i="43" s="1"/>
  <c r="CU71" i="43" s="1"/>
  <c r="AA70" i="43"/>
  <c r="BV70" i="43" s="1"/>
  <c r="CH70" i="43" s="1"/>
  <c r="CU70" i="43" s="1"/>
  <c r="AA69" i="43"/>
  <c r="BV69" i="43" s="1"/>
  <c r="CH69" i="43" s="1"/>
  <c r="CU69" i="43" s="1"/>
  <c r="AA68" i="43"/>
  <c r="BV68" i="43" s="1"/>
  <c r="CH68" i="43" s="1"/>
  <c r="CU68" i="43" s="1"/>
  <c r="AA67" i="43"/>
  <c r="BV67" i="43" s="1"/>
  <c r="CH67" i="43" s="1"/>
  <c r="CU67" i="43" s="1"/>
  <c r="AA66" i="43"/>
  <c r="BV66" i="43" s="1"/>
  <c r="CH66" i="43" s="1"/>
  <c r="CU66" i="43" s="1"/>
  <c r="AA65" i="43"/>
  <c r="BV65" i="43" s="1"/>
  <c r="CH65" i="43" s="1"/>
  <c r="CU65" i="43" s="1"/>
  <c r="AA64" i="43"/>
  <c r="BV64" i="43" s="1"/>
  <c r="CH64" i="43" s="1"/>
  <c r="CU64" i="43" s="1"/>
  <c r="AA63" i="43"/>
  <c r="BV63" i="43" s="1"/>
  <c r="CH63" i="43" s="1"/>
  <c r="CU63" i="43" s="1"/>
  <c r="AA62" i="43"/>
  <c r="BV62" i="43" s="1"/>
  <c r="CH62" i="43" s="1"/>
  <c r="CU62" i="43" s="1"/>
  <c r="AA61" i="43"/>
  <c r="BV61" i="43" s="1"/>
  <c r="CH61" i="43" s="1"/>
  <c r="CU61" i="43" s="1"/>
  <c r="AA60" i="43"/>
  <c r="BV60" i="43" s="1"/>
  <c r="CH60" i="43" s="1"/>
  <c r="CU60" i="43" s="1"/>
  <c r="AA59" i="43"/>
  <c r="BV59" i="43" s="1"/>
  <c r="CH59" i="43" s="1"/>
  <c r="CU59" i="43" s="1"/>
  <c r="AA58" i="43"/>
  <c r="BV58" i="43" s="1"/>
  <c r="CH58" i="43" s="1"/>
  <c r="CU58" i="43" s="1"/>
  <c r="AA57" i="43"/>
  <c r="BV57" i="43" s="1"/>
  <c r="CH57" i="43" s="1"/>
  <c r="CU57" i="43" s="1"/>
  <c r="AA56" i="43"/>
  <c r="BV56" i="43" s="1"/>
  <c r="CH56" i="43" s="1"/>
  <c r="CU56" i="43" s="1"/>
  <c r="AA55" i="43"/>
  <c r="BV55" i="43" s="1"/>
  <c r="CH55" i="43" s="1"/>
  <c r="CU55" i="43" s="1"/>
  <c r="AA54" i="43"/>
  <c r="BV54" i="43" s="1"/>
  <c r="CH54" i="43" s="1"/>
  <c r="CU54" i="43" s="1"/>
  <c r="AA53" i="43"/>
  <c r="BV53" i="43" s="1"/>
  <c r="CH53" i="43" s="1"/>
  <c r="CU53" i="43" s="1"/>
  <c r="AA52" i="43"/>
  <c r="BV52" i="43" s="1"/>
  <c r="CH52" i="43" s="1"/>
  <c r="CU52" i="43" s="1"/>
  <c r="AA51" i="43"/>
  <c r="BV51" i="43" s="1"/>
  <c r="CH51" i="43" s="1"/>
  <c r="CU51" i="43" s="1"/>
  <c r="AA50" i="43"/>
  <c r="BV50" i="43" s="1"/>
  <c r="CH50" i="43" s="1"/>
  <c r="CU50" i="43" s="1"/>
  <c r="AA49" i="43"/>
  <c r="BV49" i="43" s="1"/>
  <c r="CH49" i="43" s="1"/>
  <c r="CU49" i="43" s="1"/>
  <c r="AA48" i="43"/>
  <c r="BV48" i="43" s="1"/>
  <c r="CH48" i="43" s="1"/>
  <c r="CU48" i="43" s="1"/>
  <c r="AA47" i="43"/>
  <c r="BV47" i="43" s="1"/>
  <c r="CH47" i="43" s="1"/>
  <c r="CU47" i="43" s="1"/>
  <c r="AA46" i="43"/>
  <c r="BV46" i="43" s="1"/>
  <c r="CH46" i="43" s="1"/>
  <c r="CU46" i="43" s="1"/>
  <c r="AA45" i="43"/>
  <c r="BV45" i="43" s="1"/>
  <c r="CH45" i="43" s="1"/>
  <c r="CU45" i="43" s="1"/>
  <c r="AA44" i="43"/>
  <c r="BV44" i="43" s="1"/>
  <c r="CH44" i="43" s="1"/>
  <c r="CU44" i="43" s="1"/>
  <c r="AA43" i="43"/>
  <c r="BV43" i="43" s="1"/>
  <c r="CH43" i="43" s="1"/>
  <c r="CU43" i="43" s="1"/>
  <c r="AA42" i="43"/>
  <c r="BV42" i="43" s="1"/>
  <c r="CH42" i="43" s="1"/>
  <c r="CU42" i="43" s="1"/>
  <c r="AA41" i="43"/>
  <c r="BV41" i="43" s="1"/>
  <c r="CH41" i="43" s="1"/>
  <c r="CU41" i="43" s="1"/>
  <c r="AA40" i="43"/>
  <c r="BV40" i="43" s="1"/>
  <c r="CH40" i="43" s="1"/>
  <c r="CU40" i="43" s="1"/>
  <c r="AA39" i="43"/>
  <c r="BV39" i="43" s="1"/>
  <c r="CH39" i="43" s="1"/>
  <c r="CU39" i="43" s="1"/>
  <c r="AA38" i="43"/>
  <c r="BV38" i="43" s="1"/>
  <c r="CH38" i="43" s="1"/>
  <c r="CU38" i="43" s="1"/>
  <c r="AA37" i="43"/>
  <c r="BV37" i="43" s="1"/>
  <c r="CH37" i="43" s="1"/>
  <c r="CU37" i="43" s="1"/>
  <c r="AA36" i="43"/>
  <c r="BV36" i="43" s="1"/>
  <c r="CH36" i="43" s="1"/>
  <c r="CU36" i="43" s="1"/>
  <c r="AA35" i="43"/>
  <c r="BV35" i="43" s="1"/>
  <c r="CH35" i="43" s="1"/>
  <c r="CU35" i="43" s="1"/>
  <c r="AA34" i="43"/>
  <c r="BV34" i="43" s="1"/>
  <c r="CH34" i="43" s="1"/>
  <c r="CU34" i="43" s="1"/>
  <c r="AA33" i="43"/>
  <c r="BV33" i="43" s="1"/>
  <c r="CH33" i="43" s="1"/>
  <c r="CU33" i="43" s="1"/>
  <c r="AA32" i="43"/>
  <c r="BV32" i="43" s="1"/>
  <c r="CH32" i="43" s="1"/>
  <c r="CU32" i="43" s="1"/>
  <c r="AA31" i="43"/>
  <c r="BV31" i="43" s="1"/>
  <c r="CH31" i="43" s="1"/>
  <c r="CU31" i="43" s="1"/>
  <c r="AA30" i="43"/>
  <c r="BV30" i="43" s="1"/>
  <c r="CH30" i="43" s="1"/>
  <c r="CU30" i="43" s="1"/>
  <c r="AA29" i="43"/>
  <c r="BV29" i="43" s="1"/>
  <c r="CH29" i="43" s="1"/>
  <c r="CU29" i="43" s="1"/>
  <c r="AA28" i="43"/>
  <c r="BV28" i="43" s="1"/>
  <c r="CH28" i="43" s="1"/>
  <c r="CU28" i="43" s="1"/>
  <c r="AA27" i="43"/>
  <c r="BV27" i="43" s="1"/>
  <c r="CH27" i="43" s="1"/>
  <c r="CU27" i="43" s="1"/>
  <c r="AA26" i="43"/>
  <c r="BV26" i="43" s="1"/>
  <c r="CH26" i="43" s="1"/>
  <c r="CU26" i="43" s="1"/>
  <c r="AA25" i="43"/>
  <c r="BV25" i="43" s="1"/>
  <c r="CH25" i="43" s="1"/>
  <c r="CU25" i="43" s="1"/>
  <c r="AA24" i="43"/>
  <c r="BV24" i="43" s="1"/>
  <c r="CH24" i="43" s="1"/>
  <c r="CU24" i="43" s="1"/>
  <c r="AA23" i="43"/>
  <c r="BV23" i="43" s="1"/>
  <c r="CH23" i="43" s="1"/>
  <c r="CU23" i="43" s="1"/>
  <c r="AA22" i="43"/>
  <c r="BV22" i="43" s="1"/>
  <c r="CH22" i="43" s="1"/>
  <c r="CU22" i="43" s="1"/>
  <c r="AA21" i="43"/>
  <c r="BV21" i="43" s="1"/>
  <c r="CH21" i="43" s="1"/>
  <c r="CU21" i="43" s="1"/>
  <c r="AA20" i="43"/>
  <c r="BV20" i="43" s="1"/>
  <c r="CH20" i="43" s="1"/>
  <c r="CU20" i="43" s="1"/>
  <c r="AA19" i="43"/>
  <c r="BV19" i="43" s="1"/>
  <c r="CH19" i="43" s="1"/>
  <c r="CU19" i="43" s="1"/>
  <c r="AA18" i="43"/>
  <c r="BV18" i="43" s="1"/>
  <c r="CH18" i="43" s="1"/>
  <c r="CU18" i="43" s="1"/>
  <c r="AA17" i="43"/>
  <c r="BV17" i="43" s="1"/>
  <c r="CH17" i="43" s="1"/>
  <c r="CU17" i="43" s="1"/>
  <c r="AA16" i="43"/>
  <c r="BV16" i="43" s="1"/>
  <c r="CH16" i="43" s="1"/>
  <c r="CU16" i="43" s="1"/>
  <c r="AA15" i="43"/>
  <c r="BV15" i="43" l="1"/>
  <c r="CH15" i="43" s="1"/>
  <c r="CU15" i="43" s="1"/>
  <c r="AA13" i="43"/>
  <c r="CU4" i="43" l="1"/>
  <c r="CU5" i="43"/>
  <c r="BV13" i="43"/>
  <c r="L314" i="52"/>
  <c r="K314" i="52"/>
  <c r="J314" i="52"/>
  <c r="I314" i="52"/>
  <c r="H314" i="52"/>
  <c r="F314" i="52"/>
  <c r="E314" i="52"/>
  <c r="D314" i="52"/>
  <c r="C314" i="52"/>
  <c r="N314" i="50"/>
  <c r="M314" i="50"/>
  <c r="L314" i="50"/>
  <c r="K314" i="50"/>
  <c r="J314" i="50"/>
  <c r="I314" i="50"/>
  <c r="H314" i="50"/>
  <c r="G314" i="50"/>
  <c r="F314" i="50"/>
  <c r="E314" i="50"/>
  <c r="D314" i="50"/>
  <c r="C314" i="50"/>
  <c r="G312" i="48"/>
  <c r="F312" i="48"/>
  <c r="E312" i="48"/>
  <c r="D312" i="48"/>
  <c r="C312" i="48"/>
  <c r="Z310" i="48"/>
  <c r="Y310" i="48"/>
  <c r="X310" i="48"/>
  <c r="W310" i="48"/>
  <c r="V310" i="48"/>
  <c r="Z309" i="48"/>
  <c r="Y309" i="48"/>
  <c r="X309" i="48"/>
  <c r="W309" i="48"/>
  <c r="V309" i="48"/>
  <c r="BC81" i="45" l="1"/>
  <c r="AU81" i="43"/>
  <c r="BZ81" i="43" s="1"/>
  <c r="CL81" i="43" s="1"/>
  <c r="CY81" i="43" s="1"/>
  <c r="AP81" i="43"/>
  <c r="BY81" i="43" s="1"/>
  <c r="CK81" i="43" s="1"/>
  <c r="AK81" i="43"/>
  <c r="BX81" i="43" s="1"/>
  <c r="CJ81" i="43" s="1"/>
  <c r="CX81" i="43" l="1"/>
  <c r="CV81" i="43"/>
  <c r="CW81" i="43"/>
  <c r="AI15" i="44"/>
  <c r="BB15" i="44" s="1"/>
  <c r="AC13" i="45" l="1"/>
  <c r="AJ13" i="45" l="1"/>
  <c r="H359" i="42"/>
  <c r="H358" i="42"/>
  <c r="H357" i="42"/>
  <c r="H356" i="42"/>
  <c r="H355" i="42"/>
  <c r="H354" i="42"/>
  <c r="H353" i="42"/>
  <c r="H352" i="42"/>
  <c r="H351" i="42"/>
  <c r="H350" i="42"/>
  <c r="H349" i="42"/>
  <c r="H348" i="42"/>
  <c r="H347" i="42"/>
  <c r="H346" i="42"/>
  <c r="H345" i="42"/>
  <c r="H344" i="42"/>
  <c r="E361" i="42"/>
  <c r="H343" i="42"/>
  <c r="H342" i="42"/>
  <c r="G361" i="42"/>
  <c r="F361" i="42"/>
  <c r="D361" i="42"/>
  <c r="H341" i="42"/>
  <c r="G341" i="42"/>
  <c r="F341" i="42"/>
  <c r="E341" i="42"/>
  <c r="D341" i="42"/>
  <c r="AJ11" i="45" l="1"/>
  <c r="AQ11" i="45"/>
  <c r="AQ5" i="45"/>
  <c r="H361" i="42"/>
  <c r="I25" i="40" l="1"/>
  <c r="L8" i="52" s="1"/>
  <c r="H25" i="40"/>
  <c r="G25" i="40"/>
  <c r="F25" i="40"/>
  <c r="E25" i="40"/>
  <c r="D25" i="40"/>
  <c r="I21" i="40"/>
  <c r="L6" i="47" s="1"/>
  <c r="H21" i="40"/>
  <c r="G21" i="40"/>
  <c r="F21" i="40"/>
  <c r="E21" i="40"/>
  <c r="D21" i="40"/>
  <c r="O15" i="46"/>
  <c r="P15" i="46" s="1"/>
  <c r="H310" i="48" l="1"/>
  <c r="H309" i="48"/>
  <c r="I309" i="48" l="1"/>
  <c r="AA309" i="48"/>
  <c r="AA310" i="48"/>
  <c r="I310" i="48"/>
  <c r="AB310" i="48" l="1"/>
  <c r="J310" i="48"/>
  <c r="J309" i="48"/>
  <c r="AB309" i="48"/>
  <c r="AC309" i="48" l="1"/>
  <c r="K309" i="48"/>
  <c r="AC310" i="48"/>
  <c r="K310" i="48"/>
  <c r="H13" i="71"/>
  <c r="G13" i="71"/>
  <c r="F13" i="71"/>
  <c r="E13" i="71"/>
  <c r="D13" i="71"/>
  <c r="C13" i="71"/>
  <c r="Y207" i="71" l="1"/>
  <c r="Y172" i="71"/>
  <c r="Y76" i="71"/>
  <c r="D11" i="71"/>
  <c r="AD310" i="48"/>
  <c r="L310" i="48"/>
  <c r="L309" i="48"/>
  <c r="AD309" i="48"/>
  <c r="Y12" i="71"/>
  <c r="Y284" i="71"/>
  <c r="Y96" i="71"/>
  <c r="Y152" i="71"/>
  <c r="Y217" i="71"/>
  <c r="Y268" i="71"/>
  <c r="Y297" i="71"/>
  <c r="Y123" i="71"/>
  <c r="Y182" i="71"/>
  <c r="Y244" i="71"/>
  <c r="Y80" i="71"/>
  <c r="Y157" i="71"/>
  <c r="Y36" i="71"/>
  <c r="Y94" i="71"/>
  <c r="Y158" i="71"/>
  <c r="Y214" i="71"/>
  <c r="Y70" i="71"/>
  <c r="Y274" i="71"/>
  <c r="Y65" i="71"/>
  <c r="Y105" i="71"/>
  <c r="Y137" i="71"/>
  <c r="Y191" i="71"/>
  <c r="Y256" i="71"/>
  <c r="Y254" i="71"/>
  <c r="Y62" i="71"/>
  <c r="Y272" i="71"/>
  <c r="Y119" i="71"/>
  <c r="Y186" i="71"/>
  <c r="Y248" i="71"/>
  <c r="Y222" i="71"/>
  <c r="Y56" i="71"/>
  <c r="Y261" i="71"/>
  <c r="Y29" i="71"/>
  <c r="Y40" i="71"/>
  <c r="Y106" i="71"/>
  <c r="Y170" i="71"/>
  <c r="Y227" i="71"/>
  <c r="Y19" i="71"/>
  <c r="Y104" i="71"/>
  <c r="Y160" i="71"/>
  <c r="Y225" i="71"/>
  <c r="Y271" i="71"/>
  <c r="Y303" i="71"/>
  <c r="Y131" i="71"/>
  <c r="Y190" i="71"/>
  <c r="Y252" i="71"/>
  <c r="Y93" i="71"/>
  <c r="Y165" i="71"/>
  <c r="Y44" i="71"/>
  <c r="Y102" i="71"/>
  <c r="Y166" i="71"/>
  <c r="Y246" i="71"/>
  <c r="Y153" i="71"/>
  <c r="Y282" i="71"/>
  <c r="Y73" i="71"/>
  <c r="Y108" i="71"/>
  <c r="Y140" i="71"/>
  <c r="Y199" i="71"/>
  <c r="Y264" i="71"/>
  <c r="Y292" i="71"/>
  <c r="Y72" i="71"/>
  <c r="Y277" i="71"/>
  <c r="Y37" i="71"/>
  <c r="Y127" i="71"/>
  <c r="Y194" i="71"/>
  <c r="Y259" i="71"/>
  <c r="Y300" i="71"/>
  <c r="Y64" i="71"/>
  <c r="Y269" i="71"/>
  <c r="Y47" i="71"/>
  <c r="Y114" i="71"/>
  <c r="Y173" i="71"/>
  <c r="Y235" i="71"/>
  <c r="Y35" i="71"/>
  <c r="Y109" i="71"/>
  <c r="Y168" i="71"/>
  <c r="Y233" i="71"/>
  <c r="Y273" i="71"/>
  <c r="Y305" i="71"/>
  <c r="Y139" i="71"/>
  <c r="Y198" i="71"/>
  <c r="Y263" i="71"/>
  <c r="Y101" i="71"/>
  <c r="Y179" i="71"/>
  <c r="Y51" i="71"/>
  <c r="Y110" i="71"/>
  <c r="Y215" i="71"/>
  <c r="Y27" i="71"/>
  <c r="Y177" i="71"/>
  <c r="Y290" i="71"/>
  <c r="Y81" i="71"/>
  <c r="Y113" i="71"/>
  <c r="Y148" i="71"/>
  <c r="Y213" i="71"/>
  <c r="Y275" i="71"/>
  <c r="Y22" i="71"/>
  <c r="Y169" i="71"/>
  <c r="Y285" i="71"/>
  <c r="Y60" i="71"/>
  <c r="Y135" i="71"/>
  <c r="Y202" i="71"/>
  <c r="Y267" i="71"/>
  <c r="Y30" i="71"/>
  <c r="Y161" i="71"/>
  <c r="Y280" i="71"/>
  <c r="Y52" i="71"/>
  <c r="Y55" i="71"/>
  <c r="Y122" i="71"/>
  <c r="Y181" i="71"/>
  <c r="Y243" i="71"/>
  <c r="Y298" i="71"/>
  <c r="Y156" i="71"/>
  <c r="Y283" i="71"/>
  <c r="Y185" i="71"/>
  <c r="Y79" i="71"/>
  <c r="Y143" i="71"/>
  <c r="Y270" i="71"/>
  <c r="Y45" i="71"/>
  <c r="Y288" i="71"/>
  <c r="Y68" i="71"/>
  <c r="Y130" i="71"/>
  <c r="Y189" i="71"/>
  <c r="Y151" i="71"/>
  <c r="Y278" i="71"/>
  <c r="Y296" i="71"/>
  <c r="Y138" i="71"/>
  <c r="Y23" i="71"/>
  <c r="Y16" i="71"/>
  <c r="Y265" i="71"/>
  <c r="Y115" i="71"/>
  <c r="Y28" i="71"/>
  <c r="Y258" i="71"/>
  <c r="Y253" i="71"/>
  <c r="Y178" i="71"/>
  <c r="Y32" i="71"/>
  <c r="Y61" i="71"/>
  <c r="Y117" i="71"/>
  <c r="Y176" i="71"/>
  <c r="Y241" i="71"/>
  <c r="Y279" i="71"/>
  <c r="Y83" i="71"/>
  <c r="Y147" i="71"/>
  <c r="Y206" i="71"/>
  <c r="Y276" i="71"/>
  <c r="Y112" i="71"/>
  <c r="Y187" i="71"/>
  <c r="Y59" i="71"/>
  <c r="Y118" i="71"/>
  <c r="Y223" i="71"/>
  <c r="Y43" i="71"/>
  <c r="Y193" i="71"/>
  <c r="Y84" i="71"/>
  <c r="Y116" i="71"/>
  <c r="Y221" i="71"/>
  <c r="Y38" i="71"/>
  <c r="Y293" i="71"/>
  <c r="Y208" i="71"/>
  <c r="Y180" i="71"/>
  <c r="Y63" i="71"/>
  <c r="Y251" i="71"/>
  <c r="Y188" i="71"/>
  <c r="Y71" i="71"/>
  <c r="Y197" i="71"/>
  <c r="Y262" i="71"/>
  <c r="Y196" i="71"/>
  <c r="Y82" i="71"/>
  <c r="Y205" i="71"/>
  <c r="Y238" i="71"/>
  <c r="Y174" i="71"/>
  <c r="Y86" i="71"/>
  <c r="Y57" i="71"/>
  <c r="Y230" i="71"/>
  <c r="Y111" i="71"/>
  <c r="Y46" i="71"/>
  <c r="Y162" i="71"/>
  <c r="Y69" i="71"/>
  <c r="Y120" i="71"/>
  <c r="Y184" i="71"/>
  <c r="Y249" i="71"/>
  <c r="Y281" i="71"/>
  <c r="Y91" i="71"/>
  <c r="Y155" i="71"/>
  <c r="Y212" i="71"/>
  <c r="Y145" i="71"/>
  <c r="Y125" i="71"/>
  <c r="Y200" i="71"/>
  <c r="Y67" i="71"/>
  <c r="Y126" i="71"/>
  <c r="Y231" i="71"/>
  <c r="Y53" i="71"/>
  <c r="Y204" i="71"/>
  <c r="Y301" i="71"/>
  <c r="Y89" i="71"/>
  <c r="Y121" i="71"/>
  <c r="Y164" i="71"/>
  <c r="Y229" i="71"/>
  <c r="Y291" i="71"/>
  <c r="Y17" i="71"/>
  <c r="Y201" i="71"/>
  <c r="Y304" i="71"/>
  <c r="Y87" i="71"/>
  <c r="Y216" i="71"/>
  <c r="Y58" i="71"/>
  <c r="Y88" i="71"/>
  <c r="Y74" i="71"/>
  <c r="Y54" i="71"/>
  <c r="Y183" i="71"/>
  <c r="Y234" i="71"/>
  <c r="Y219" i="71"/>
  <c r="Y77" i="71"/>
  <c r="Y128" i="71"/>
  <c r="Y192" i="71"/>
  <c r="Y257" i="71"/>
  <c r="Y287" i="71"/>
  <c r="Y99" i="71"/>
  <c r="Y163" i="71"/>
  <c r="Y220" i="71"/>
  <c r="Y50" i="71"/>
  <c r="Y133" i="71"/>
  <c r="Y209" i="71"/>
  <c r="Y75" i="71"/>
  <c r="Y134" i="71"/>
  <c r="Y239" i="71"/>
  <c r="Y31" i="71"/>
  <c r="Y226" i="71"/>
  <c r="Y26" i="71"/>
  <c r="Y92" i="71"/>
  <c r="Y124" i="71"/>
  <c r="Y237" i="71"/>
  <c r="Y299" i="71"/>
  <c r="Y25" i="71"/>
  <c r="Y218" i="71"/>
  <c r="Y18" i="71"/>
  <c r="Y95" i="71"/>
  <c r="Y159" i="71"/>
  <c r="Y224" i="71"/>
  <c r="Y286" i="71"/>
  <c r="Y306" i="71"/>
  <c r="Y146" i="71"/>
  <c r="Y144" i="71"/>
  <c r="Y236" i="71"/>
  <c r="Y150" i="71"/>
  <c r="Y100" i="71"/>
  <c r="Y48" i="71"/>
  <c r="Y240" i="71"/>
  <c r="Y21" i="71"/>
  <c r="Y85" i="71"/>
  <c r="Y136" i="71"/>
  <c r="Y195" i="71"/>
  <c r="Y260" i="71"/>
  <c r="Y289" i="71"/>
  <c r="Y107" i="71"/>
  <c r="Y171" i="71"/>
  <c r="Y228" i="71"/>
  <c r="Y66" i="71"/>
  <c r="Y141" i="71"/>
  <c r="Y20" i="71"/>
  <c r="Y78" i="71"/>
  <c r="Y142" i="71"/>
  <c r="Y247" i="71"/>
  <c r="Y41" i="71"/>
  <c r="Y242" i="71"/>
  <c r="Y42" i="71"/>
  <c r="Y97" i="71"/>
  <c r="Y129" i="71"/>
  <c r="Y175" i="71"/>
  <c r="Y245" i="71"/>
  <c r="Y307" i="71"/>
  <c r="Y39" i="71"/>
  <c r="Y250" i="71"/>
  <c r="Y49" i="71"/>
  <c r="Y103" i="71"/>
  <c r="Y167" i="71"/>
  <c r="Y232" i="71"/>
  <c r="Y294" i="71"/>
  <c r="Y33" i="71"/>
  <c r="Y210" i="71"/>
  <c r="Y34" i="71"/>
  <c r="Y24" i="71"/>
  <c r="Y90" i="71"/>
  <c r="Y154" i="71"/>
  <c r="Y211" i="71"/>
  <c r="Y203" i="71"/>
  <c r="Y295" i="71"/>
  <c r="Y149" i="71"/>
  <c r="Y255" i="71"/>
  <c r="Y132" i="71"/>
  <c r="Y266" i="71"/>
  <c r="Y302" i="71"/>
  <c r="Y98" i="71"/>
  <c r="G10" i="71"/>
  <c r="I10" i="71"/>
  <c r="F10" i="71"/>
  <c r="G11" i="71"/>
  <c r="H11" i="71"/>
  <c r="F11" i="71"/>
  <c r="E11" i="71"/>
  <c r="I11" i="71"/>
  <c r="H10" i="71"/>
  <c r="D10" i="71"/>
  <c r="E10" i="71"/>
  <c r="AE310" i="48" l="1"/>
  <c r="M310" i="48"/>
  <c r="AE309" i="48"/>
  <c r="M309" i="48"/>
  <c r="AX13" i="43"/>
  <c r="AF309" i="48" l="1"/>
  <c r="N309" i="48"/>
  <c r="AF310" i="48"/>
  <c r="N310" i="48"/>
  <c r="Y307" i="42"/>
  <c r="X307" i="42"/>
  <c r="W307" i="42"/>
  <c r="V307" i="42"/>
  <c r="U307" i="42"/>
  <c r="Y306" i="42"/>
  <c r="X306" i="42"/>
  <c r="W306" i="42"/>
  <c r="V306" i="42"/>
  <c r="U306" i="42"/>
  <c r="Y305" i="42"/>
  <c r="X305" i="42"/>
  <c r="W305" i="42"/>
  <c r="V305" i="42"/>
  <c r="U305" i="42"/>
  <c r="Y304" i="42"/>
  <c r="X304" i="42"/>
  <c r="W304" i="42"/>
  <c r="V304" i="42"/>
  <c r="U304" i="42"/>
  <c r="Y303" i="42"/>
  <c r="X303" i="42"/>
  <c r="W303" i="42"/>
  <c r="V303" i="42"/>
  <c r="U303" i="42"/>
  <c r="Y302" i="42"/>
  <c r="X302" i="42"/>
  <c r="W302" i="42"/>
  <c r="V302" i="42"/>
  <c r="U302" i="42"/>
  <c r="Y301" i="42"/>
  <c r="X301" i="42"/>
  <c r="W301" i="42"/>
  <c r="V301" i="42"/>
  <c r="U301" i="42"/>
  <c r="Y300" i="42"/>
  <c r="X300" i="42"/>
  <c r="W300" i="42"/>
  <c r="V300" i="42"/>
  <c r="U300" i="42"/>
  <c r="Y299" i="42"/>
  <c r="X299" i="42"/>
  <c r="W299" i="42"/>
  <c r="V299" i="42"/>
  <c r="U299" i="42"/>
  <c r="Y298" i="42"/>
  <c r="X298" i="42"/>
  <c r="W298" i="42"/>
  <c r="V298" i="42"/>
  <c r="U298" i="42"/>
  <c r="Y297" i="42"/>
  <c r="X297" i="42"/>
  <c r="W297" i="42"/>
  <c r="V297" i="42"/>
  <c r="U297" i="42"/>
  <c r="Y296" i="42"/>
  <c r="X296" i="42"/>
  <c r="W296" i="42"/>
  <c r="V296" i="42"/>
  <c r="U296" i="42"/>
  <c r="Y295" i="42"/>
  <c r="X295" i="42"/>
  <c r="W295" i="42"/>
  <c r="V295" i="42"/>
  <c r="U295" i="42"/>
  <c r="Y294" i="42"/>
  <c r="X294" i="42"/>
  <c r="W294" i="42"/>
  <c r="V294" i="42"/>
  <c r="U294" i="42"/>
  <c r="Y293" i="42"/>
  <c r="X293" i="42"/>
  <c r="W293" i="42"/>
  <c r="V293" i="42"/>
  <c r="U293" i="42"/>
  <c r="Y292" i="42"/>
  <c r="X292" i="42"/>
  <c r="W292" i="42"/>
  <c r="V292" i="42"/>
  <c r="U292" i="42"/>
  <c r="Y291" i="42"/>
  <c r="X291" i="42"/>
  <c r="W291" i="42"/>
  <c r="V291" i="42"/>
  <c r="U291" i="42"/>
  <c r="Y290" i="42"/>
  <c r="X290" i="42"/>
  <c r="W290" i="42"/>
  <c r="V290" i="42"/>
  <c r="U290" i="42"/>
  <c r="Y289" i="42"/>
  <c r="X289" i="42"/>
  <c r="W289" i="42"/>
  <c r="V289" i="42"/>
  <c r="U289" i="42"/>
  <c r="Y288" i="42"/>
  <c r="X288" i="42"/>
  <c r="W288" i="42"/>
  <c r="V288" i="42"/>
  <c r="U288" i="42"/>
  <c r="Y287" i="42"/>
  <c r="X287" i="42"/>
  <c r="W287" i="42"/>
  <c r="V287" i="42"/>
  <c r="U287" i="42"/>
  <c r="Y286" i="42"/>
  <c r="X286" i="42"/>
  <c r="W286" i="42"/>
  <c r="V286" i="42"/>
  <c r="U286" i="42"/>
  <c r="Y285" i="42"/>
  <c r="X285" i="42"/>
  <c r="W285" i="42"/>
  <c r="V285" i="42"/>
  <c r="U285" i="42"/>
  <c r="Y284" i="42"/>
  <c r="X284" i="42"/>
  <c r="W284" i="42"/>
  <c r="V284" i="42"/>
  <c r="U284" i="42"/>
  <c r="Y283" i="42"/>
  <c r="X283" i="42"/>
  <c r="W283" i="42"/>
  <c r="V283" i="42"/>
  <c r="U283" i="42"/>
  <c r="Y282" i="42"/>
  <c r="X282" i="42"/>
  <c r="W282" i="42"/>
  <c r="V282" i="42"/>
  <c r="U282" i="42"/>
  <c r="Y281" i="42"/>
  <c r="X281" i="42"/>
  <c r="W281" i="42"/>
  <c r="V281" i="42"/>
  <c r="U281" i="42"/>
  <c r="Y280" i="42"/>
  <c r="X280" i="42"/>
  <c r="W280" i="42"/>
  <c r="V280" i="42"/>
  <c r="U280" i="42"/>
  <c r="Y279" i="42"/>
  <c r="X279" i="42"/>
  <c r="W279" i="42"/>
  <c r="V279" i="42"/>
  <c r="U279" i="42"/>
  <c r="Y278" i="42"/>
  <c r="X278" i="42"/>
  <c r="W278" i="42"/>
  <c r="V278" i="42"/>
  <c r="U278" i="42"/>
  <c r="Y277" i="42"/>
  <c r="X277" i="42"/>
  <c r="W277" i="42"/>
  <c r="V277" i="42"/>
  <c r="U277" i="42"/>
  <c r="Y276" i="42"/>
  <c r="X276" i="42"/>
  <c r="W276" i="42"/>
  <c r="V276" i="42"/>
  <c r="U276" i="42"/>
  <c r="Y275" i="42"/>
  <c r="X275" i="42"/>
  <c r="W275" i="42"/>
  <c r="V275" i="42"/>
  <c r="U275" i="42"/>
  <c r="Y274" i="42"/>
  <c r="X274" i="42"/>
  <c r="W274" i="42"/>
  <c r="V274" i="42"/>
  <c r="U274" i="42"/>
  <c r="Y273" i="42"/>
  <c r="X273" i="42"/>
  <c r="W273" i="42"/>
  <c r="V273" i="42"/>
  <c r="U273" i="42"/>
  <c r="Y272" i="42"/>
  <c r="X272" i="42"/>
  <c r="W272" i="42"/>
  <c r="V272" i="42"/>
  <c r="U272" i="42"/>
  <c r="Y271" i="42"/>
  <c r="X271" i="42"/>
  <c r="W271" i="42"/>
  <c r="V271" i="42"/>
  <c r="U271" i="42"/>
  <c r="Y270" i="42"/>
  <c r="X270" i="42"/>
  <c r="W270" i="42"/>
  <c r="V270" i="42"/>
  <c r="U270" i="42"/>
  <c r="Y269" i="42"/>
  <c r="X269" i="42"/>
  <c r="W269" i="42"/>
  <c r="V269" i="42"/>
  <c r="U269" i="42"/>
  <c r="Y268" i="42"/>
  <c r="X268" i="42"/>
  <c r="W268" i="42"/>
  <c r="V268" i="42"/>
  <c r="U268" i="42"/>
  <c r="Y267" i="42"/>
  <c r="X267" i="42"/>
  <c r="W267" i="42"/>
  <c r="V267" i="42"/>
  <c r="U267" i="42"/>
  <c r="Y266" i="42"/>
  <c r="X266" i="42"/>
  <c r="W266" i="42"/>
  <c r="V266" i="42"/>
  <c r="U266" i="42"/>
  <c r="Y265" i="42"/>
  <c r="X265" i="42"/>
  <c r="W265" i="42"/>
  <c r="V265" i="42"/>
  <c r="U265" i="42"/>
  <c r="Y264" i="42"/>
  <c r="X264" i="42"/>
  <c r="W264" i="42"/>
  <c r="V264" i="42"/>
  <c r="U264" i="42"/>
  <c r="Y263" i="42"/>
  <c r="X263" i="42"/>
  <c r="W263" i="42"/>
  <c r="V263" i="42"/>
  <c r="U263" i="42"/>
  <c r="Y262" i="42"/>
  <c r="X262" i="42"/>
  <c r="W262" i="42"/>
  <c r="V262" i="42"/>
  <c r="U262" i="42"/>
  <c r="Y261" i="42"/>
  <c r="X261" i="42"/>
  <c r="W261" i="42"/>
  <c r="V261" i="42"/>
  <c r="U261" i="42"/>
  <c r="Y260" i="42"/>
  <c r="X260" i="42"/>
  <c r="W260" i="42"/>
  <c r="V260" i="42"/>
  <c r="U260" i="42"/>
  <c r="Y259" i="42"/>
  <c r="X259" i="42"/>
  <c r="W259" i="42"/>
  <c r="V259" i="42"/>
  <c r="U259" i="42"/>
  <c r="Y258" i="42"/>
  <c r="X258" i="42"/>
  <c r="W258" i="42"/>
  <c r="V258" i="42"/>
  <c r="U258" i="42"/>
  <c r="Y257" i="42"/>
  <c r="X257" i="42"/>
  <c r="W257" i="42"/>
  <c r="V257" i="42"/>
  <c r="U257" i="42"/>
  <c r="Y256" i="42"/>
  <c r="X256" i="42"/>
  <c r="W256" i="42"/>
  <c r="V256" i="42"/>
  <c r="U256" i="42"/>
  <c r="Y255" i="42"/>
  <c r="X255" i="42"/>
  <c r="W255" i="42"/>
  <c r="V255" i="42"/>
  <c r="U255" i="42"/>
  <c r="Y254" i="42"/>
  <c r="X254" i="42"/>
  <c r="W254" i="42"/>
  <c r="V254" i="42"/>
  <c r="U254" i="42"/>
  <c r="Y253" i="42"/>
  <c r="X253" i="42"/>
  <c r="W253" i="42"/>
  <c r="V253" i="42"/>
  <c r="U253" i="42"/>
  <c r="Y252" i="42"/>
  <c r="X252" i="42"/>
  <c r="W252" i="42"/>
  <c r="V252" i="42"/>
  <c r="U252" i="42"/>
  <c r="Y251" i="42"/>
  <c r="X251" i="42"/>
  <c r="W251" i="42"/>
  <c r="V251" i="42"/>
  <c r="U251" i="42"/>
  <c r="Y250" i="42"/>
  <c r="X250" i="42"/>
  <c r="W250" i="42"/>
  <c r="V250" i="42"/>
  <c r="U250" i="42"/>
  <c r="Y249" i="42"/>
  <c r="X249" i="42"/>
  <c r="W249" i="42"/>
  <c r="V249" i="42"/>
  <c r="U249" i="42"/>
  <c r="Y248" i="42"/>
  <c r="X248" i="42"/>
  <c r="W248" i="42"/>
  <c r="V248" i="42"/>
  <c r="U248" i="42"/>
  <c r="Y247" i="42"/>
  <c r="X247" i="42"/>
  <c r="W247" i="42"/>
  <c r="V247" i="42"/>
  <c r="U247" i="42"/>
  <c r="Y246" i="42"/>
  <c r="X246" i="42"/>
  <c r="W246" i="42"/>
  <c r="V246" i="42"/>
  <c r="U246" i="42"/>
  <c r="Y245" i="42"/>
  <c r="X245" i="42"/>
  <c r="W245" i="42"/>
  <c r="V245" i="42"/>
  <c r="U245" i="42"/>
  <c r="Y244" i="42"/>
  <c r="X244" i="42"/>
  <c r="W244" i="42"/>
  <c r="V244" i="42"/>
  <c r="U244" i="42"/>
  <c r="Y243" i="42"/>
  <c r="X243" i="42"/>
  <c r="W243" i="42"/>
  <c r="V243" i="42"/>
  <c r="U243" i="42"/>
  <c r="Y242" i="42"/>
  <c r="X242" i="42"/>
  <c r="W242" i="42"/>
  <c r="V242" i="42"/>
  <c r="U242" i="42"/>
  <c r="Y241" i="42"/>
  <c r="X241" i="42"/>
  <c r="W241" i="42"/>
  <c r="V241" i="42"/>
  <c r="U241" i="42"/>
  <c r="Y240" i="42"/>
  <c r="X240" i="42"/>
  <c r="W240" i="42"/>
  <c r="V240" i="42"/>
  <c r="U240" i="42"/>
  <c r="Y239" i="42"/>
  <c r="X239" i="42"/>
  <c r="W239" i="42"/>
  <c r="V239" i="42"/>
  <c r="U239" i="42"/>
  <c r="Y238" i="42"/>
  <c r="X238" i="42"/>
  <c r="W238" i="42"/>
  <c r="V238" i="42"/>
  <c r="U238" i="42"/>
  <c r="Y237" i="42"/>
  <c r="X237" i="42"/>
  <c r="W237" i="42"/>
  <c r="V237" i="42"/>
  <c r="U237" i="42"/>
  <c r="Y236" i="42"/>
  <c r="X236" i="42"/>
  <c r="W236" i="42"/>
  <c r="V236" i="42"/>
  <c r="U236" i="42"/>
  <c r="Y235" i="42"/>
  <c r="X235" i="42"/>
  <c r="W235" i="42"/>
  <c r="V235" i="42"/>
  <c r="U235" i="42"/>
  <c r="Y234" i="42"/>
  <c r="X234" i="42"/>
  <c r="W234" i="42"/>
  <c r="V234" i="42"/>
  <c r="U234" i="42"/>
  <c r="Y233" i="42"/>
  <c r="X233" i="42"/>
  <c r="W233" i="42"/>
  <c r="V233" i="42"/>
  <c r="U233" i="42"/>
  <c r="Y232" i="42"/>
  <c r="X232" i="42"/>
  <c r="W232" i="42"/>
  <c r="V232" i="42"/>
  <c r="U232" i="42"/>
  <c r="Y231" i="42"/>
  <c r="X231" i="42"/>
  <c r="W231" i="42"/>
  <c r="V231" i="42"/>
  <c r="U231" i="42"/>
  <c r="Y230" i="42"/>
  <c r="X230" i="42"/>
  <c r="W230" i="42"/>
  <c r="V230" i="42"/>
  <c r="U230" i="42"/>
  <c r="Y229" i="42"/>
  <c r="X229" i="42"/>
  <c r="W229" i="42"/>
  <c r="V229" i="42"/>
  <c r="U229" i="42"/>
  <c r="Y228" i="42"/>
  <c r="X228" i="42"/>
  <c r="W228" i="42"/>
  <c r="V228" i="42"/>
  <c r="U228" i="42"/>
  <c r="Y227" i="42"/>
  <c r="X227" i="42"/>
  <c r="W227" i="42"/>
  <c r="V227" i="42"/>
  <c r="U227" i="42"/>
  <c r="Y226" i="42"/>
  <c r="X226" i="42"/>
  <c r="W226" i="42"/>
  <c r="V226" i="42"/>
  <c r="U226" i="42"/>
  <c r="Y225" i="42"/>
  <c r="X225" i="42"/>
  <c r="W225" i="42"/>
  <c r="V225" i="42"/>
  <c r="U225" i="42"/>
  <c r="Y224" i="42"/>
  <c r="X224" i="42"/>
  <c r="W224" i="42"/>
  <c r="V224" i="42"/>
  <c r="U224" i="42"/>
  <c r="Y223" i="42"/>
  <c r="X223" i="42"/>
  <c r="W223" i="42"/>
  <c r="V223" i="42"/>
  <c r="U223" i="42"/>
  <c r="Y222" i="42"/>
  <c r="X222" i="42"/>
  <c r="W222" i="42"/>
  <c r="V222" i="42"/>
  <c r="U222" i="42"/>
  <c r="Y221" i="42"/>
  <c r="X221" i="42"/>
  <c r="W221" i="42"/>
  <c r="V221" i="42"/>
  <c r="U221" i="42"/>
  <c r="Y220" i="42"/>
  <c r="X220" i="42"/>
  <c r="W220" i="42"/>
  <c r="V220" i="42"/>
  <c r="U220" i="42"/>
  <c r="Y219" i="42"/>
  <c r="X219" i="42"/>
  <c r="W219" i="42"/>
  <c r="V219" i="42"/>
  <c r="U219" i="42"/>
  <c r="Y218" i="42"/>
  <c r="X218" i="42"/>
  <c r="W218" i="42"/>
  <c r="V218" i="42"/>
  <c r="U218" i="42"/>
  <c r="Y217" i="42"/>
  <c r="X217" i="42"/>
  <c r="W217" i="42"/>
  <c r="V217" i="42"/>
  <c r="U217" i="42"/>
  <c r="Y216" i="42"/>
  <c r="X216" i="42"/>
  <c r="W216" i="42"/>
  <c r="V216" i="42"/>
  <c r="U216" i="42"/>
  <c r="Y215" i="42"/>
  <c r="X215" i="42"/>
  <c r="W215" i="42"/>
  <c r="V215" i="42"/>
  <c r="U215" i="42"/>
  <c r="Y214" i="42"/>
  <c r="X214" i="42"/>
  <c r="W214" i="42"/>
  <c r="V214" i="42"/>
  <c r="U214" i="42"/>
  <c r="Y213" i="42"/>
  <c r="X213" i="42"/>
  <c r="W213" i="42"/>
  <c r="V213" i="42"/>
  <c r="U213" i="42"/>
  <c r="Y212" i="42"/>
  <c r="X212" i="42"/>
  <c r="W212" i="42"/>
  <c r="V212" i="42"/>
  <c r="U212" i="42"/>
  <c r="Y211" i="42"/>
  <c r="X211" i="42"/>
  <c r="W211" i="42"/>
  <c r="V211" i="42"/>
  <c r="U211" i="42"/>
  <c r="Y210" i="42"/>
  <c r="X210" i="42"/>
  <c r="W210" i="42"/>
  <c r="V210" i="42"/>
  <c r="U210" i="42"/>
  <c r="Y209" i="42"/>
  <c r="X209" i="42"/>
  <c r="W209" i="42"/>
  <c r="V209" i="42"/>
  <c r="U209" i="42"/>
  <c r="Y208" i="42"/>
  <c r="X208" i="42"/>
  <c r="W208" i="42"/>
  <c r="V208" i="42"/>
  <c r="U208" i="42"/>
  <c r="Y207" i="42"/>
  <c r="X207" i="42"/>
  <c r="W207" i="42"/>
  <c r="V207" i="42"/>
  <c r="U207" i="42"/>
  <c r="Y206" i="42"/>
  <c r="X206" i="42"/>
  <c r="W206" i="42"/>
  <c r="V206" i="42"/>
  <c r="U206" i="42"/>
  <c r="Y205" i="42"/>
  <c r="X205" i="42"/>
  <c r="W205" i="42"/>
  <c r="V205" i="42"/>
  <c r="U205" i="42"/>
  <c r="Y204" i="42"/>
  <c r="X204" i="42"/>
  <c r="W204" i="42"/>
  <c r="V204" i="42"/>
  <c r="U204" i="42"/>
  <c r="Y203" i="42"/>
  <c r="X203" i="42"/>
  <c r="W203" i="42"/>
  <c r="V203" i="42"/>
  <c r="U203" i="42"/>
  <c r="Y202" i="42"/>
  <c r="X202" i="42"/>
  <c r="W202" i="42"/>
  <c r="V202" i="42"/>
  <c r="U202" i="42"/>
  <c r="Y201" i="42"/>
  <c r="X201" i="42"/>
  <c r="W201" i="42"/>
  <c r="V201" i="42"/>
  <c r="U201" i="42"/>
  <c r="Y200" i="42"/>
  <c r="X200" i="42"/>
  <c r="W200" i="42"/>
  <c r="V200" i="42"/>
  <c r="U200" i="42"/>
  <c r="Y199" i="42"/>
  <c r="X199" i="42"/>
  <c r="W199" i="42"/>
  <c r="V199" i="42"/>
  <c r="U199" i="42"/>
  <c r="Y198" i="42"/>
  <c r="X198" i="42"/>
  <c r="W198" i="42"/>
  <c r="V198" i="42"/>
  <c r="U198" i="42"/>
  <c r="Y197" i="42"/>
  <c r="X197" i="42"/>
  <c r="W197" i="42"/>
  <c r="V197" i="42"/>
  <c r="U197" i="42"/>
  <c r="Y196" i="42"/>
  <c r="X196" i="42"/>
  <c r="W196" i="42"/>
  <c r="V196" i="42"/>
  <c r="U196" i="42"/>
  <c r="Y195" i="42"/>
  <c r="X195" i="42"/>
  <c r="W195" i="42"/>
  <c r="V195" i="42"/>
  <c r="U195" i="42"/>
  <c r="Y194" i="42"/>
  <c r="X194" i="42"/>
  <c r="W194" i="42"/>
  <c r="V194" i="42"/>
  <c r="U194" i="42"/>
  <c r="Y193" i="42"/>
  <c r="X193" i="42"/>
  <c r="W193" i="42"/>
  <c r="V193" i="42"/>
  <c r="U193" i="42"/>
  <c r="Y192" i="42"/>
  <c r="X192" i="42"/>
  <c r="W192" i="42"/>
  <c r="V192" i="42"/>
  <c r="U192" i="42"/>
  <c r="Y191" i="42"/>
  <c r="X191" i="42"/>
  <c r="W191" i="42"/>
  <c r="V191" i="42"/>
  <c r="U191" i="42"/>
  <c r="Y190" i="42"/>
  <c r="X190" i="42"/>
  <c r="W190" i="42"/>
  <c r="V190" i="42"/>
  <c r="U190" i="42"/>
  <c r="Y189" i="42"/>
  <c r="X189" i="42"/>
  <c r="W189" i="42"/>
  <c r="V189" i="42"/>
  <c r="U189" i="42"/>
  <c r="Y188" i="42"/>
  <c r="X188" i="42"/>
  <c r="W188" i="42"/>
  <c r="V188" i="42"/>
  <c r="U188" i="42"/>
  <c r="Y187" i="42"/>
  <c r="X187" i="42"/>
  <c r="W187" i="42"/>
  <c r="V187" i="42"/>
  <c r="U187" i="42"/>
  <c r="Y186" i="42"/>
  <c r="X186" i="42"/>
  <c r="W186" i="42"/>
  <c r="V186" i="42"/>
  <c r="U186" i="42"/>
  <c r="Y185" i="42"/>
  <c r="X185" i="42"/>
  <c r="W185" i="42"/>
  <c r="V185" i="42"/>
  <c r="U185" i="42"/>
  <c r="Y184" i="42"/>
  <c r="X184" i="42"/>
  <c r="W184" i="42"/>
  <c r="V184" i="42"/>
  <c r="U184" i="42"/>
  <c r="Y183" i="42"/>
  <c r="X183" i="42"/>
  <c r="W183" i="42"/>
  <c r="V183" i="42"/>
  <c r="U183" i="42"/>
  <c r="Y182" i="42"/>
  <c r="X182" i="42"/>
  <c r="W182" i="42"/>
  <c r="V182" i="42"/>
  <c r="U182" i="42"/>
  <c r="Y181" i="42"/>
  <c r="X181" i="42"/>
  <c r="W181" i="42"/>
  <c r="V181" i="42"/>
  <c r="U181" i="42"/>
  <c r="Y180" i="42"/>
  <c r="X180" i="42"/>
  <c r="W180" i="42"/>
  <c r="V180" i="42"/>
  <c r="U180" i="42"/>
  <c r="Y179" i="42"/>
  <c r="X179" i="42"/>
  <c r="W179" i="42"/>
  <c r="V179" i="42"/>
  <c r="U179" i="42"/>
  <c r="Y178" i="42"/>
  <c r="X178" i="42"/>
  <c r="W178" i="42"/>
  <c r="V178" i="42"/>
  <c r="U178" i="42"/>
  <c r="Y177" i="42"/>
  <c r="X177" i="42"/>
  <c r="W177" i="42"/>
  <c r="V177" i="42"/>
  <c r="U177" i="42"/>
  <c r="Y176" i="42"/>
  <c r="X176" i="42"/>
  <c r="W176" i="42"/>
  <c r="V176" i="42"/>
  <c r="U176" i="42"/>
  <c r="Y175" i="42"/>
  <c r="X175" i="42"/>
  <c r="W175" i="42"/>
  <c r="V175" i="42"/>
  <c r="U175" i="42"/>
  <c r="Y174" i="42"/>
  <c r="X174" i="42"/>
  <c r="W174" i="42"/>
  <c r="V174" i="42"/>
  <c r="U174" i="42"/>
  <c r="Y173" i="42"/>
  <c r="X173" i="42"/>
  <c r="W173" i="42"/>
  <c r="V173" i="42"/>
  <c r="U173" i="42"/>
  <c r="Y172" i="42"/>
  <c r="X172" i="42"/>
  <c r="W172" i="42"/>
  <c r="V172" i="42"/>
  <c r="U172" i="42"/>
  <c r="Y171" i="42"/>
  <c r="X171" i="42"/>
  <c r="W171" i="42"/>
  <c r="V171" i="42"/>
  <c r="U171" i="42"/>
  <c r="Y170" i="42"/>
  <c r="X170" i="42"/>
  <c r="W170" i="42"/>
  <c r="V170" i="42"/>
  <c r="U170" i="42"/>
  <c r="Y169" i="42"/>
  <c r="X169" i="42"/>
  <c r="W169" i="42"/>
  <c r="V169" i="42"/>
  <c r="U169" i="42"/>
  <c r="Y168" i="42"/>
  <c r="X168" i="42"/>
  <c r="W168" i="42"/>
  <c r="V168" i="42"/>
  <c r="U168" i="42"/>
  <c r="Y167" i="42"/>
  <c r="X167" i="42"/>
  <c r="W167" i="42"/>
  <c r="V167" i="42"/>
  <c r="U167" i="42"/>
  <c r="Y166" i="42"/>
  <c r="X166" i="42"/>
  <c r="W166" i="42"/>
  <c r="V166" i="42"/>
  <c r="U166" i="42"/>
  <c r="Y165" i="42"/>
  <c r="X165" i="42"/>
  <c r="W165" i="42"/>
  <c r="V165" i="42"/>
  <c r="U165" i="42"/>
  <c r="Y164" i="42"/>
  <c r="X164" i="42"/>
  <c r="W164" i="42"/>
  <c r="V164" i="42"/>
  <c r="U164" i="42"/>
  <c r="Y163" i="42"/>
  <c r="X163" i="42"/>
  <c r="W163" i="42"/>
  <c r="V163" i="42"/>
  <c r="U163" i="42"/>
  <c r="Y162" i="42"/>
  <c r="X162" i="42"/>
  <c r="W162" i="42"/>
  <c r="V162" i="42"/>
  <c r="U162" i="42"/>
  <c r="Y161" i="42"/>
  <c r="X161" i="42"/>
  <c r="W161" i="42"/>
  <c r="V161" i="42"/>
  <c r="U161" i="42"/>
  <c r="Y160" i="42"/>
  <c r="X160" i="42"/>
  <c r="W160" i="42"/>
  <c r="V160" i="42"/>
  <c r="U160" i="42"/>
  <c r="Y159" i="42"/>
  <c r="X159" i="42"/>
  <c r="W159" i="42"/>
  <c r="V159" i="42"/>
  <c r="U159" i="42"/>
  <c r="Y158" i="42"/>
  <c r="X158" i="42"/>
  <c r="W158" i="42"/>
  <c r="V158" i="42"/>
  <c r="U158" i="42"/>
  <c r="Y157" i="42"/>
  <c r="X157" i="42"/>
  <c r="W157" i="42"/>
  <c r="V157" i="42"/>
  <c r="U157" i="42"/>
  <c r="Y156" i="42"/>
  <c r="X156" i="42"/>
  <c r="W156" i="42"/>
  <c r="V156" i="42"/>
  <c r="U156" i="42"/>
  <c r="Y155" i="42"/>
  <c r="X155" i="42"/>
  <c r="W155" i="42"/>
  <c r="V155" i="42"/>
  <c r="U155" i="42"/>
  <c r="Y154" i="42"/>
  <c r="X154" i="42"/>
  <c r="W154" i="42"/>
  <c r="V154" i="42"/>
  <c r="U154" i="42"/>
  <c r="Y153" i="42"/>
  <c r="X153" i="42"/>
  <c r="W153" i="42"/>
  <c r="V153" i="42"/>
  <c r="U153" i="42"/>
  <c r="Y152" i="42"/>
  <c r="X152" i="42"/>
  <c r="W152" i="42"/>
  <c r="V152" i="42"/>
  <c r="U152" i="42"/>
  <c r="Y151" i="42"/>
  <c r="X151" i="42"/>
  <c r="W151" i="42"/>
  <c r="V151" i="42"/>
  <c r="U151" i="42"/>
  <c r="Y150" i="42"/>
  <c r="X150" i="42"/>
  <c r="W150" i="42"/>
  <c r="V150" i="42"/>
  <c r="U150" i="42"/>
  <c r="Y149" i="42"/>
  <c r="X149" i="42"/>
  <c r="W149" i="42"/>
  <c r="V149" i="42"/>
  <c r="U149" i="42"/>
  <c r="Y148" i="42"/>
  <c r="X148" i="42"/>
  <c r="W148" i="42"/>
  <c r="V148" i="42"/>
  <c r="U148" i="42"/>
  <c r="Y147" i="42"/>
  <c r="X147" i="42"/>
  <c r="W147" i="42"/>
  <c r="V147" i="42"/>
  <c r="U147" i="42"/>
  <c r="Y146" i="42"/>
  <c r="X146" i="42"/>
  <c r="W146" i="42"/>
  <c r="V146" i="42"/>
  <c r="U146" i="42"/>
  <c r="Y145" i="42"/>
  <c r="X145" i="42"/>
  <c r="W145" i="42"/>
  <c r="V145" i="42"/>
  <c r="U145" i="42"/>
  <c r="Y144" i="42"/>
  <c r="X144" i="42"/>
  <c r="W144" i="42"/>
  <c r="V144" i="42"/>
  <c r="U144" i="42"/>
  <c r="Y143" i="42"/>
  <c r="X143" i="42"/>
  <c r="W143" i="42"/>
  <c r="V143" i="42"/>
  <c r="U143" i="42"/>
  <c r="Y142" i="42"/>
  <c r="X142" i="42"/>
  <c r="W142" i="42"/>
  <c r="V142" i="42"/>
  <c r="U142" i="42"/>
  <c r="Y141" i="42"/>
  <c r="X141" i="42"/>
  <c r="W141" i="42"/>
  <c r="V141" i="42"/>
  <c r="U141" i="42"/>
  <c r="Y140" i="42"/>
  <c r="X140" i="42"/>
  <c r="W140" i="42"/>
  <c r="V140" i="42"/>
  <c r="U140" i="42"/>
  <c r="Y139" i="42"/>
  <c r="X139" i="42"/>
  <c r="W139" i="42"/>
  <c r="V139" i="42"/>
  <c r="U139" i="42"/>
  <c r="Y138" i="42"/>
  <c r="X138" i="42"/>
  <c r="W138" i="42"/>
  <c r="V138" i="42"/>
  <c r="U138" i="42"/>
  <c r="Y137" i="42"/>
  <c r="X137" i="42"/>
  <c r="W137" i="42"/>
  <c r="V137" i="42"/>
  <c r="U137" i="42"/>
  <c r="Y136" i="42"/>
  <c r="X136" i="42"/>
  <c r="W136" i="42"/>
  <c r="V136" i="42"/>
  <c r="U136" i="42"/>
  <c r="Y135" i="42"/>
  <c r="X135" i="42"/>
  <c r="W135" i="42"/>
  <c r="V135" i="42"/>
  <c r="U135" i="42"/>
  <c r="Y134" i="42"/>
  <c r="X134" i="42"/>
  <c r="W134" i="42"/>
  <c r="V134" i="42"/>
  <c r="U134" i="42"/>
  <c r="Y133" i="42"/>
  <c r="X133" i="42"/>
  <c r="W133" i="42"/>
  <c r="V133" i="42"/>
  <c r="U133" i="42"/>
  <c r="Y132" i="42"/>
  <c r="X132" i="42"/>
  <c r="W132" i="42"/>
  <c r="V132" i="42"/>
  <c r="U132" i="42"/>
  <c r="Y131" i="42"/>
  <c r="X131" i="42"/>
  <c r="W131" i="42"/>
  <c r="V131" i="42"/>
  <c r="U131" i="42"/>
  <c r="Y130" i="42"/>
  <c r="X130" i="42"/>
  <c r="W130" i="42"/>
  <c r="V130" i="42"/>
  <c r="U130" i="42"/>
  <c r="Y129" i="42"/>
  <c r="X129" i="42"/>
  <c r="W129" i="42"/>
  <c r="V129" i="42"/>
  <c r="U129" i="42"/>
  <c r="Y128" i="42"/>
  <c r="X128" i="42"/>
  <c r="W128" i="42"/>
  <c r="V128" i="42"/>
  <c r="U128" i="42"/>
  <c r="Y127" i="42"/>
  <c r="X127" i="42"/>
  <c r="W127" i="42"/>
  <c r="V127" i="42"/>
  <c r="U127" i="42"/>
  <c r="Y126" i="42"/>
  <c r="X126" i="42"/>
  <c r="W126" i="42"/>
  <c r="V126" i="42"/>
  <c r="U126" i="42"/>
  <c r="Y125" i="42"/>
  <c r="X125" i="42"/>
  <c r="W125" i="42"/>
  <c r="V125" i="42"/>
  <c r="U125" i="42"/>
  <c r="Y124" i="42"/>
  <c r="X124" i="42"/>
  <c r="W124" i="42"/>
  <c r="V124" i="42"/>
  <c r="U124" i="42"/>
  <c r="Y123" i="42"/>
  <c r="X123" i="42"/>
  <c r="W123" i="42"/>
  <c r="V123" i="42"/>
  <c r="U123" i="42"/>
  <c r="Y122" i="42"/>
  <c r="X122" i="42"/>
  <c r="W122" i="42"/>
  <c r="V122" i="42"/>
  <c r="U122" i="42"/>
  <c r="Y121" i="42"/>
  <c r="X121" i="42"/>
  <c r="W121" i="42"/>
  <c r="V121" i="42"/>
  <c r="U121" i="42"/>
  <c r="Y120" i="42"/>
  <c r="X120" i="42"/>
  <c r="W120" i="42"/>
  <c r="V120" i="42"/>
  <c r="U120" i="42"/>
  <c r="Y119" i="42"/>
  <c r="X119" i="42"/>
  <c r="W119" i="42"/>
  <c r="V119" i="42"/>
  <c r="U119" i="42"/>
  <c r="Y118" i="42"/>
  <c r="X118" i="42"/>
  <c r="W118" i="42"/>
  <c r="V118" i="42"/>
  <c r="U118" i="42"/>
  <c r="Y117" i="42"/>
  <c r="X117" i="42"/>
  <c r="W117" i="42"/>
  <c r="V117" i="42"/>
  <c r="U117" i="42"/>
  <c r="Y116" i="42"/>
  <c r="X116" i="42"/>
  <c r="W116" i="42"/>
  <c r="V116" i="42"/>
  <c r="U116" i="42"/>
  <c r="Y115" i="42"/>
  <c r="X115" i="42"/>
  <c r="W115" i="42"/>
  <c r="V115" i="42"/>
  <c r="U115" i="42"/>
  <c r="Y114" i="42"/>
  <c r="X114" i="42"/>
  <c r="W114" i="42"/>
  <c r="V114" i="42"/>
  <c r="U114" i="42"/>
  <c r="Y113" i="42"/>
  <c r="X113" i="42"/>
  <c r="W113" i="42"/>
  <c r="V113" i="42"/>
  <c r="U113" i="42"/>
  <c r="Y112" i="42"/>
  <c r="X112" i="42"/>
  <c r="W112" i="42"/>
  <c r="V112" i="42"/>
  <c r="U112" i="42"/>
  <c r="Y111" i="42"/>
  <c r="X111" i="42"/>
  <c r="W111" i="42"/>
  <c r="V111" i="42"/>
  <c r="U111" i="42"/>
  <c r="Y110" i="42"/>
  <c r="X110" i="42"/>
  <c r="W110" i="42"/>
  <c r="V110" i="42"/>
  <c r="U110" i="42"/>
  <c r="Y109" i="42"/>
  <c r="X109" i="42"/>
  <c r="W109" i="42"/>
  <c r="V109" i="42"/>
  <c r="U109" i="42"/>
  <c r="Y108" i="42"/>
  <c r="X108" i="42"/>
  <c r="W108" i="42"/>
  <c r="V108" i="42"/>
  <c r="U108" i="42"/>
  <c r="Y107" i="42"/>
  <c r="X107" i="42"/>
  <c r="W107" i="42"/>
  <c r="V107" i="42"/>
  <c r="U107" i="42"/>
  <c r="Y106" i="42"/>
  <c r="X106" i="42"/>
  <c r="W106" i="42"/>
  <c r="V106" i="42"/>
  <c r="U106" i="42"/>
  <c r="Y105" i="42"/>
  <c r="X105" i="42"/>
  <c r="W105" i="42"/>
  <c r="V105" i="42"/>
  <c r="U105" i="42"/>
  <c r="Y104" i="42"/>
  <c r="X104" i="42"/>
  <c r="W104" i="42"/>
  <c r="V104" i="42"/>
  <c r="U104" i="42"/>
  <c r="Y103" i="42"/>
  <c r="X103" i="42"/>
  <c r="W103" i="42"/>
  <c r="V103" i="42"/>
  <c r="U103" i="42"/>
  <c r="Y102" i="42"/>
  <c r="X102" i="42"/>
  <c r="W102" i="42"/>
  <c r="V102" i="42"/>
  <c r="U102" i="42"/>
  <c r="Y101" i="42"/>
  <c r="X101" i="42"/>
  <c r="W101" i="42"/>
  <c r="V101" i="42"/>
  <c r="U101" i="42"/>
  <c r="Y100" i="42"/>
  <c r="X100" i="42"/>
  <c r="W100" i="42"/>
  <c r="V100" i="42"/>
  <c r="U100" i="42"/>
  <c r="Y99" i="42"/>
  <c r="X99" i="42"/>
  <c r="W99" i="42"/>
  <c r="V99" i="42"/>
  <c r="U99" i="42"/>
  <c r="Y98" i="42"/>
  <c r="X98" i="42"/>
  <c r="W98" i="42"/>
  <c r="V98" i="42"/>
  <c r="U98" i="42"/>
  <c r="Y97" i="42"/>
  <c r="X97" i="42"/>
  <c r="W97" i="42"/>
  <c r="V97" i="42"/>
  <c r="U97" i="42"/>
  <c r="Y96" i="42"/>
  <c r="X96" i="42"/>
  <c r="W96" i="42"/>
  <c r="V96" i="42"/>
  <c r="U96" i="42"/>
  <c r="Y95" i="42"/>
  <c r="X95" i="42"/>
  <c r="W95" i="42"/>
  <c r="V95" i="42"/>
  <c r="U95" i="42"/>
  <c r="Y94" i="42"/>
  <c r="X94" i="42"/>
  <c r="W94" i="42"/>
  <c r="V94" i="42"/>
  <c r="U94" i="42"/>
  <c r="Y93" i="42"/>
  <c r="X93" i="42"/>
  <c r="W93" i="42"/>
  <c r="V93" i="42"/>
  <c r="U93" i="42"/>
  <c r="Y92" i="42"/>
  <c r="X92" i="42"/>
  <c r="W92" i="42"/>
  <c r="V92" i="42"/>
  <c r="U92" i="42"/>
  <c r="Y91" i="42"/>
  <c r="X91" i="42"/>
  <c r="W91" i="42"/>
  <c r="V91" i="42"/>
  <c r="U91" i="42"/>
  <c r="Y90" i="42"/>
  <c r="X90" i="42"/>
  <c r="W90" i="42"/>
  <c r="V90" i="42"/>
  <c r="U90" i="42"/>
  <c r="Y89" i="42"/>
  <c r="X89" i="42"/>
  <c r="W89" i="42"/>
  <c r="V89" i="42"/>
  <c r="U89" i="42"/>
  <c r="Y88" i="42"/>
  <c r="X88" i="42"/>
  <c r="W88" i="42"/>
  <c r="V88" i="42"/>
  <c r="U88" i="42"/>
  <c r="Y87" i="42"/>
  <c r="X87" i="42"/>
  <c r="W87" i="42"/>
  <c r="V87" i="42"/>
  <c r="U87" i="42"/>
  <c r="Y86" i="42"/>
  <c r="X86" i="42"/>
  <c r="W86" i="42"/>
  <c r="V86" i="42"/>
  <c r="U86" i="42"/>
  <c r="Y85" i="42"/>
  <c r="X85" i="42"/>
  <c r="W85" i="42"/>
  <c r="V85" i="42"/>
  <c r="U85" i="42"/>
  <c r="Y84" i="42"/>
  <c r="X84" i="42"/>
  <c r="W84" i="42"/>
  <c r="V84" i="42"/>
  <c r="U84" i="42"/>
  <c r="Y83" i="42"/>
  <c r="X83" i="42"/>
  <c r="W83" i="42"/>
  <c r="V83" i="42"/>
  <c r="U83" i="42"/>
  <c r="Y82" i="42"/>
  <c r="X82" i="42"/>
  <c r="W82" i="42"/>
  <c r="V82" i="42"/>
  <c r="U82" i="42"/>
  <c r="Y81" i="42"/>
  <c r="X81" i="42"/>
  <c r="W81" i="42"/>
  <c r="V81" i="42"/>
  <c r="U81" i="42"/>
  <c r="Y80" i="42"/>
  <c r="X80" i="42"/>
  <c r="W80" i="42"/>
  <c r="V80" i="42"/>
  <c r="U80" i="42"/>
  <c r="Y79" i="42"/>
  <c r="X79" i="42"/>
  <c r="W79" i="42"/>
  <c r="V79" i="42"/>
  <c r="U79" i="42"/>
  <c r="Y78" i="42"/>
  <c r="X78" i="42"/>
  <c r="W78" i="42"/>
  <c r="V78" i="42"/>
  <c r="U78" i="42"/>
  <c r="Y77" i="42"/>
  <c r="X77" i="42"/>
  <c r="W77" i="42"/>
  <c r="V77" i="42"/>
  <c r="U77" i="42"/>
  <c r="Y76" i="42"/>
  <c r="X76" i="42"/>
  <c r="W76" i="42"/>
  <c r="V76" i="42"/>
  <c r="U76" i="42"/>
  <c r="Y75" i="42"/>
  <c r="X75" i="42"/>
  <c r="W75" i="42"/>
  <c r="V75" i="42"/>
  <c r="U75" i="42"/>
  <c r="Y74" i="42"/>
  <c r="X74" i="42"/>
  <c r="W74" i="42"/>
  <c r="V74" i="42"/>
  <c r="U74" i="42"/>
  <c r="Y73" i="42"/>
  <c r="X73" i="42"/>
  <c r="W73" i="42"/>
  <c r="V73" i="42"/>
  <c r="U73" i="42"/>
  <c r="Y72" i="42"/>
  <c r="X72" i="42"/>
  <c r="W72" i="42"/>
  <c r="V72" i="42"/>
  <c r="U72" i="42"/>
  <c r="Y71" i="42"/>
  <c r="X71" i="42"/>
  <c r="W71" i="42"/>
  <c r="V71" i="42"/>
  <c r="U71" i="42"/>
  <c r="Y70" i="42"/>
  <c r="X70" i="42"/>
  <c r="W70" i="42"/>
  <c r="V70" i="42"/>
  <c r="U70" i="42"/>
  <c r="Y69" i="42"/>
  <c r="X69" i="42"/>
  <c r="W69" i="42"/>
  <c r="V69" i="42"/>
  <c r="U69" i="42"/>
  <c r="Y68" i="42"/>
  <c r="X68" i="42"/>
  <c r="W68" i="42"/>
  <c r="V68" i="42"/>
  <c r="U68" i="42"/>
  <c r="Y67" i="42"/>
  <c r="X67" i="42"/>
  <c r="W67" i="42"/>
  <c r="V67" i="42"/>
  <c r="U67" i="42"/>
  <c r="Y66" i="42"/>
  <c r="X66" i="42"/>
  <c r="W66" i="42"/>
  <c r="V66" i="42"/>
  <c r="U66" i="42"/>
  <c r="Y65" i="42"/>
  <c r="X65" i="42"/>
  <c r="W65" i="42"/>
  <c r="V65" i="42"/>
  <c r="U65" i="42"/>
  <c r="Y64" i="42"/>
  <c r="X64" i="42"/>
  <c r="W64" i="42"/>
  <c r="V64" i="42"/>
  <c r="U64" i="42"/>
  <c r="Y63" i="42"/>
  <c r="X63" i="42"/>
  <c r="W63" i="42"/>
  <c r="V63" i="42"/>
  <c r="U63" i="42"/>
  <c r="Y62" i="42"/>
  <c r="X62" i="42"/>
  <c r="W62" i="42"/>
  <c r="V62" i="42"/>
  <c r="U62" i="42"/>
  <c r="Y61" i="42"/>
  <c r="X61" i="42"/>
  <c r="W61" i="42"/>
  <c r="V61" i="42"/>
  <c r="U61" i="42"/>
  <c r="Y60" i="42"/>
  <c r="X60" i="42"/>
  <c r="W60" i="42"/>
  <c r="V60" i="42"/>
  <c r="U60" i="42"/>
  <c r="Y59" i="42"/>
  <c r="X59" i="42"/>
  <c r="W59" i="42"/>
  <c r="V59" i="42"/>
  <c r="U59" i="42"/>
  <c r="Y58" i="42"/>
  <c r="X58" i="42"/>
  <c r="W58" i="42"/>
  <c r="V58" i="42"/>
  <c r="U58" i="42"/>
  <c r="Y57" i="42"/>
  <c r="X57" i="42"/>
  <c r="W57" i="42"/>
  <c r="V57" i="42"/>
  <c r="U57" i="42"/>
  <c r="Y56" i="42"/>
  <c r="X56" i="42"/>
  <c r="W56" i="42"/>
  <c r="V56" i="42"/>
  <c r="U56" i="42"/>
  <c r="Y55" i="42"/>
  <c r="X55" i="42"/>
  <c r="W55" i="42"/>
  <c r="V55" i="42"/>
  <c r="U55" i="42"/>
  <c r="Y54" i="42"/>
  <c r="X54" i="42"/>
  <c r="W54" i="42"/>
  <c r="V54" i="42"/>
  <c r="U54" i="42"/>
  <c r="Y53" i="42"/>
  <c r="X53" i="42"/>
  <c r="W53" i="42"/>
  <c r="V53" i="42"/>
  <c r="U53" i="42"/>
  <c r="Y52" i="42"/>
  <c r="X52" i="42"/>
  <c r="W52" i="42"/>
  <c r="V52" i="42"/>
  <c r="U52" i="42"/>
  <c r="Y51" i="42"/>
  <c r="X51" i="42"/>
  <c r="W51" i="42"/>
  <c r="V51" i="42"/>
  <c r="U51" i="42"/>
  <c r="Y50" i="42"/>
  <c r="X50" i="42"/>
  <c r="W50" i="42"/>
  <c r="V50" i="42"/>
  <c r="U50" i="42"/>
  <c r="Y49" i="42"/>
  <c r="X49" i="42"/>
  <c r="W49" i="42"/>
  <c r="V49" i="42"/>
  <c r="U49" i="42"/>
  <c r="Y48" i="42"/>
  <c r="X48" i="42"/>
  <c r="W48" i="42"/>
  <c r="V48" i="42"/>
  <c r="U48" i="42"/>
  <c r="Y47" i="42"/>
  <c r="X47" i="42"/>
  <c r="W47" i="42"/>
  <c r="V47" i="42"/>
  <c r="U47" i="42"/>
  <c r="Y46" i="42"/>
  <c r="X46" i="42"/>
  <c r="W46" i="42"/>
  <c r="V46" i="42"/>
  <c r="U46" i="42"/>
  <c r="Y45" i="42"/>
  <c r="X45" i="42"/>
  <c r="W45" i="42"/>
  <c r="V45" i="42"/>
  <c r="U45" i="42"/>
  <c r="Y44" i="42"/>
  <c r="X44" i="42"/>
  <c r="W44" i="42"/>
  <c r="V44" i="42"/>
  <c r="U44" i="42"/>
  <c r="Y43" i="42"/>
  <c r="X43" i="42"/>
  <c r="W43" i="42"/>
  <c r="V43" i="42"/>
  <c r="U43" i="42"/>
  <c r="Y42" i="42"/>
  <c r="X42" i="42"/>
  <c r="W42" i="42"/>
  <c r="V42" i="42"/>
  <c r="U42" i="42"/>
  <c r="Y41" i="42"/>
  <c r="X41" i="42"/>
  <c r="W41" i="42"/>
  <c r="V41" i="42"/>
  <c r="U41" i="42"/>
  <c r="Y40" i="42"/>
  <c r="X40" i="42"/>
  <c r="W40" i="42"/>
  <c r="V40" i="42"/>
  <c r="U40" i="42"/>
  <c r="Y39" i="42"/>
  <c r="X39" i="42"/>
  <c r="W39" i="42"/>
  <c r="V39" i="42"/>
  <c r="U39" i="42"/>
  <c r="Y38" i="42"/>
  <c r="X38" i="42"/>
  <c r="W38" i="42"/>
  <c r="V38" i="42"/>
  <c r="U38" i="42"/>
  <c r="Y37" i="42"/>
  <c r="X37" i="42"/>
  <c r="W37" i="42"/>
  <c r="V37" i="42"/>
  <c r="U37" i="42"/>
  <c r="Y36" i="42"/>
  <c r="X36" i="42"/>
  <c r="W36" i="42"/>
  <c r="V36" i="42"/>
  <c r="U36" i="42"/>
  <c r="Y35" i="42"/>
  <c r="X35" i="42"/>
  <c r="W35" i="42"/>
  <c r="V35" i="42"/>
  <c r="U35" i="42"/>
  <c r="Y34" i="42"/>
  <c r="X34" i="42"/>
  <c r="W34" i="42"/>
  <c r="V34" i="42"/>
  <c r="U34" i="42"/>
  <c r="Y33" i="42"/>
  <c r="X33" i="42"/>
  <c r="W33" i="42"/>
  <c r="V33" i="42"/>
  <c r="U33" i="42"/>
  <c r="Y32" i="42"/>
  <c r="X32" i="42"/>
  <c r="W32" i="42"/>
  <c r="V32" i="42"/>
  <c r="U32" i="42"/>
  <c r="Y31" i="42"/>
  <c r="X31" i="42"/>
  <c r="W31" i="42"/>
  <c r="V31" i="42"/>
  <c r="U31" i="42"/>
  <c r="Y30" i="42"/>
  <c r="X30" i="42"/>
  <c r="W30" i="42"/>
  <c r="V30" i="42"/>
  <c r="U30" i="42"/>
  <c r="Y29" i="42"/>
  <c r="X29" i="42"/>
  <c r="W29" i="42"/>
  <c r="V29" i="42"/>
  <c r="U29" i="42"/>
  <c r="Y28" i="42"/>
  <c r="X28" i="42"/>
  <c r="W28" i="42"/>
  <c r="V28" i="42"/>
  <c r="U28" i="42"/>
  <c r="Y27" i="42"/>
  <c r="X27" i="42"/>
  <c r="W27" i="42"/>
  <c r="V27" i="42"/>
  <c r="U27" i="42"/>
  <c r="Y26" i="42"/>
  <c r="X26" i="42"/>
  <c r="W26" i="42"/>
  <c r="V26" i="42"/>
  <c r="U26" i="42"/>
  <c r="Y25" i="42"/>
  <c r="X25" i="42"/>
  <c r="W25" i="42"/>
  <c r="V25" i="42"/>
  <c r="U25" i="42"/>
  <c r="Y24" i="42"/>
  <c r="X24" i="42"/>
  <c r="W24" i="42"/>
  <c r="V24" i="42"/>
  <c r="U24" i="42"/>
  <c r="Y23" i="42"/>
  <c r="X23" i="42"/>
  <c r="W23" i="42"/>
  <c r="V23" i="42"/>
  <c r="U23" i="42"/>
  <c r="Y22" i="42"/>
  <c r="X22" i="42"/>
  <c r="W22" i="42"/>
  <c r="V22" i="42"/>
  <c r="U22" i="42"/>
  <c r="Y21" i="42"/>
  <c r="X21" i="42"/>
  <c r="W21" i="42"/>
  <c r="V21" i="42"/>
  <c r="U21" i="42"/>
  <c r="Y20" i="42"/>
  <c r="X20" i="42"/>
  <c r="W20" i="42"/>
  <c r="V20" i="42"/>
  <c r="U20" i="42"/>
  <c r="Y19" i="42"/>
  <c r="X19" i="42"/>
  <c r="W19" i="42"/>
  <c r="V19" i="42"/>
  <c r="U19" i="42"/>
  <c r="Y18" i="42"/>
  <c r="X18" i="42"/>
  <c r="W18" i="42"/>
  <c r="V18" i="42"/>
  <c r="U18" i="42"/>
  <c r="Y17" i="42"/>
  <c r="X17" i="42"/>
  <c r="W17" i="42"/>
  <c r="V17" i="42"/>
  <c r="U17" i="42"/>
  <c r="Y16" i="42"/>
  <c r="X16" i="42"/>
  <c r="W16" i="42"/>
  <c r="V16" i="42"/>
  <c r="U16" i="42"/>
  <c r="Y15" i="42"/>
  <c r="X15" i="42"/>
  <c r="W15" i="42"/>
  <c r="V15" i="42"/>
  <c r="U15" i="42"/>
  <c r="AG310" i="48" l="1"/>
  <c r="AG309" i="48"/>
  <c r="H330" i="47"/>
  <c r="G330" i="47"/>
  <c r="F330" i="47"/>
  <c r="AN15" i="44" l="1"/>
  <c r="BG15" i="44" s="1"/>
  <c r="AM15" i="44"/>
  <c r="BF15" i="44" s="1"/>
  <c r="AL15" i="44"/>
  <c r="BE15" i="44" s="1"/>
  <c r="AK15" i="44"/>
  <c r="BD15" i="44" s="1"/>
  <c r="AJ15" i="44"/>
  <c r="BC15" i="44" s="1"/>
  <c r="X307" i="44"/>
  <c r="W307" i="44"/>
  <c r="V307" i="44"/>
  <c r="U307" i="44"/>
  <c r="T307" i="44"/>
  <c r="S307" i="44"/>
  <c r="X306" i="44"/>
  <c r="W306" i="44"/>
  <c r="V306" i="44"/>
  <c r="U306" i="44"/>
  <c r="T306" i="44"/>
  <c r="S306" i="44"/>
  <c r="X305" i="44"/>
  <c r="W305" i="44"/>
  <c r="V305" i="44"/>
  <c r="U305" i="44"/>
  <c r="T305" i="44"/>
  <c r="S305" i="44"/>
  <c r="X304" i="44"/>
  <c r="W304" i="44"/>
  <c r="V304" i="44"/>
  <c r="U304" i="44"/>
  <c r="T304" i="44"/>
  <c r="S304" i="44"/>
  <c r="X303" i="44"/>
  <c r="W303" i="44"/>
  <c r="V303" i="44"/>
  <c r="U303" i="44"/>
  <c r="T303" i="44"/>
  <c r="S303" i="44"/>
  <c r="X302" i="44"/>
  <c r="W302" i="44"/>
  <c r="V302" i="44"/>
  <c r="U302" i="44"/>
  <c r="T302" i="44"/>
  <c r="S302" i="44"/>
  <c r="X301" i="44"/>
  <c r="W301" i="44"/>
  <c r="V301" i="44"/>
  <c r="U301" i="44"/>
  <c r="T301" i="44"/>
  <c r="S301" i="44"/>
  <c r="X300" i="44"/>
  <c r="W300" i="44"/>
  <c r="V300" i="44"/>
  <c r="U300" i="44"/>
  <c r="T300" i="44"/>
  <c r="S300" i="44"/>
  <c r="X299" i="44"/>
  <c r="W299" i="44"/>
  <c r="V299" i="44"/>
  <c r="U299" i="44"/>
  <c r="T299" i="44"/>
  <c r="S299" i="44"/>
  <c r="X298" i="44"/>
  <c r="W298" i="44"/>
  <c r="V298" i="44"/>
  <c r="U298" i="44"/>
  <c r="T298" i="44"/>
  <c r="S298" i="44"/>
  <c r="X297" i="44"/>
  <c r="W297" i="44"/>
  <c r="V297" i="44"/>
  <c r="U297" i="44"/>
  <c r="T297" i="44"/>
  <c r="S297" i="44"/>
  <c r="X296" i="44"/>
  <c r="W296" i="44"/>
  <c r="V296" i="44"/>
  <c r="U296" i="44"/>
  <c r="T296" i="44"/>
  <c r="S296" i="44"/>
  <c r="X295" i="44"/>
  <c r="W295" i="44"/>
  <c r="V295" i="44"/>
  <c r="U295" i="44"/>
  <c r="T295" i="44"/>
  <c r="S295" i="44"/>
  <c r="X294" i="44"/>
  <c r="W294" i="44"/>
  <c r="V294" i="44"/>
  <c r="U294" i="44"/>
  <c r="T294" i="44"/>
  <c r="S294" i="44"/>
  <c r="X293" i="44"/>
  <c r="W293" i="44"/>
  <c r="V293" i="44"/>
  <c r="U293" i="44"/>
  <c r="T293" i="44"/>
  <c r="S293" i="44"/>
  <c r="X292" i="44"/>
  <c r="W292" i="44"/>
  <c r="V292" i="44"/>
  <c r="U292" i="44"/>
  <c r="T292" i="44"/>
  <c r="S292" i="44"/>
  <c r="X291" i="44"/>
  <c r="W291" i="44"/>
  <c r="V291" i="44"/>
  <c r="U291" i="44"/>
  <c r="T291" i="44"/>
  <c r="S291" i="44"/>
  <c r="X290" i="44"/>
  <c r="W290" i="44"/>
  <c r="V290" i="44"/>
  <c r="U290" i="44"/>
  <c r="T290" i="44"/>
  <c r="S290" i="44"/>
  <c r="X289" i="44"/>
  <c r="W289" i="44"/>
  <c r="V289" i="44"/>
  <c r="U289" i="44"/>
  <c r="T289" i="44"/>
  <c r="S289" i="44"/>
  <c r="X288" i="44"/>
  <c r="W288" i="44"/>
  <c r="V288" i="44"/>
  <c r="U288" i="44"/>
  <c r="T288" i="44"/>
  <c r="S288" i="44"/>
  <c r="X287" i="44"/>
  <c r="W287" i="44"/>
  <c r="V287" i="44"/>
  <c r="U287" i="44"/>
  <c r="T287" i="44"/>
  <c r="S287" i="44"/>
  <c r="X286" i="44"/>
  <c r="W286" i="44"/>
  <c r="V286" i="44"/>
  <c r="U286" i="44"/>
  <c r="T286" i="44"/>
  <c r="S286" i="44"/>
  <c r="X285" i="44"/>
  <c r="W285" i="44"/>
  <c r="V285" i="44"/>
  <c r="U285" i="44"/>
  <c r="T285" i="44"/>
  <c r="S285" i="44"/>
  <c r="X284" i="44"/>
  <c r="W284" i="44"/>
  <c r="V284" i="44"/>
  <c r="U284" i="44"/>
  <c r="T284" i="44"/>
  <c r="S284" i="44"/>
  <c r="X283" i="44"/>
  <c r="W283" i="44"/>
  <c r="V283" i="44"/>
  <c r="U283" i="44"/>
  <c r="T283" i="44"/>
  <c r="S283" i="44"/>
  <c r="X282" i="44"/>
  <c r="W282" i="44"/>
  <c r="V282" i="44"/>
  <c r="U282" i="44"/>
  <c r="T282" i="44"/>
  <c r="S282" i="44"/>
  <c r="X281" i="44"/>
  <c r="W281" i="44"/>
  <c r="V281" i="44"/>
  <c r="U281" i="44"/>
  <c r="T281" i="44"/>
  <c r="S281" i="44"/>
  <c r="X280" i="44"/>
  <c r="W280" i="44"/>
  <c r="V280" i="44"/>
  <c r="U280" i="44"/>
  <c r="T280" i="44"/>
  <c r="S280" i="44"/>
  <c r="X279" i="44"/>
  <c r="W279" i="44"/>
  <c r="V279" i="44"/>
  <c r="U279" i="44"/>
  <c r="T279" i="44"/>
  <c r="S279" i="44"/>
  <c r="X278" i="44"/>
  <c r="W278" i="44"/>
  <c r="V278" i="44"/>
  <c r="U278" i="44"/>
  <c r="T278" i="44"/>
  <c r="S278" i="44"/>
  <c r="X277" i="44"/>
  <c r="W277" i="44"/>
  <c r="V277" i="44"/>
  <c r="U277" i="44"/>
  <c r="T277" i="44"/>
  <c r="S277" i="44"/>
  <c r="X276" i="44"/>
  <c r="W276" i="44"/>
  <c r="V276" i="44"/>
  <c r="U276" i="44"/>
  <c r="T276" i="44"/>
  <c r="S276" i="44"/>
  <c r="X275" i="44"/>
  <c r="W275" i="44"/>
  <c r="V275" i="44"/>
  <c r="U275" i="44"/>
  <c r="T275" i="44"/>
  <c r="S275" i="44"/>
  <c r="X274" i="44"/>
  <c r="W274" i="44"/>
  <c r="V274" i="44"/>
  <c r="U274" i="44"/>
  <c r="T274" i="44"/>
  <c r="S274" i="44"/>
  <c r="X273" i="44"/>
  <c r="W273" i="44"/>
  <c r="V273" i="44"/>
  <c r="U273" i="44"/>
  <c r="T273" i="44"/>
  <c r="S273" i="44"/>
  <c r="X272" i="44"/>
  <c r="W272" i="44"/>
  <c r="V272" i="44"/>
  <c r="U272" i="44"/>
  <c r="T272" i="44"/>
  <c r="S272" i="44"/>
  <c r="X271" i="44"/>
  <c r="W271" i="44"/>
  <c r="V271" i="44"/>
  <c r="U271" i="44"/>
  <c r="T271" i="44"/>
  <c r="S271" i="44"/>
  <c r="X270" i="44"/>
  <c r="W270" i="44"/>
  <c r="V270" i="44"/>
  <c r="U270" i="44"/>
  <c r="T270" i="44"/>
  <c r="S270" i="44"/>
  <c r="X269" i="44"/>
  <c r="W269" i="44"/>
  <c r="V269" i="44"/>
  <c r="U269" i="44"/>
  <c r="T269" i="44"/>
  <c r="S269" i="44"/>
  <c r="X268" i="44"/>
  <c r="W268" i="44"/>
  <c r="V268" i="44"/>
  <c r="U268" i="44"/>
  <c r="T268" i="44"/>
  <c r="S268" i="44"/>
  <c r="X267" i="44"/>
  <c r="W267" i="44"/>
  <c r="V267" i="44"/>
  <c r="U267" i="44"/>
  <c r="T267" i="44"/>
  <c r="S267" i="44"/>
  <c r="X266" i="44"/>
  <c r="W266" i="44"/>
  <c r="V266" i="44"/>
  <c r="U266" i="44"/>
  <c r="T266" i="44"/>
  <c r="S266" i="44"/>
  <c r="X265" i="44"/>
  <c r="W265" i="44"/>
  <c r="V265" i="44"/>
  <c r="U265" i="44"/>
  <c r="T265" i="44"/>
  <c r="S265" i="44"/>
  <c r="X264" i="44"/>
  <c r="W264" i="44"/>
  <c r="V264" i="44"/>
  <c r="U264" i="44"/>
  <c r="T264" i="44"/>
  <c r="S264" i="44"/>
  <c r="X263" i="44"/>
  <c r="W263" i="44"/>
  <c r="V263" i="44"/>
  <c r="U263" i="44"/>
  <c r="T263" i="44"/>
  <c r="S263" i="44"/>
  <c r="X262" i="44"/>
  <c r="W262" i="44"/>
  <c r="V262" i="44"/>
  <c r="U262" i="44"/>
  <c r="T262" i="44"/>
  <c r="S262" i="44"/>
  <c r="X261" i="44"/>
  <c r="W261" i="44"/>
  <c r="V261" i="44"/>
  <c r="U261" i="44"/>
  <c r="T261" i="44"/>
  <c r="S261" i="44"/>
  <c r="X260" i="44"/>
  <c r="W260" i="44"/>
  <c r="V260" i="44"/>
  <c r="U260" i="44"/>
  <c r="T260" i="44"/>
  <c r="S260" i="44"/>
  <c r="X259" i="44"/>
  <c r="W259" i="44"/>
  <c r="V259" i="44"/>
  <c r="U259" i="44"/>
  <c r="T259" i="44"/>
  <c r="S259" i="44"/>
  <c r="X258" i="44"/>
  <c r="W258" i="44"/>
  <c r="V258" i="44"/>
  <c r="U258" i="44"/>
  <c r="T258" i="44"/>
  <c r="S258" i="44"/>
  <c r="X257" i="44"/>
  <c r="W257" i="44"/>
  <c r="V257" i="44"/>
  <c r="U257" i="44"/>
  <c r="T257" i="44"/>
  <c r="S257" i="44"/>
  <c r="X256" i="44"/>
  <c r="W256" i="44"/>
  <c r="V256" i="44"/>
  <c r="U256" i="44"/>
  <c r="T256" i="44"/>
  <c r="S256" i="44"/>
  <c r="X255" i="44"/>
  <c r="W255" i="44"/>
  <c r="V255" i="44"/>
  <c r="U255" i="44"/>
  <c r="T255" i="44"/>
  <c r="S255" i="44"/>
  <c r="X254" i="44"/>
  <c r="W254" i="44"/>
  <c r="V254" i="44"/>
  <c r="U254" i="44"/>
  <c r="T254" i="44"/>
  <c r="S254" i="44"/>
  <c r="X253" i="44"/>
  <c r="W253" i="44"/>
  <c r="V253" i="44"/>
  <c r="U253" i="44"/>
  <c r="T253" i="44"/>
  <c r="S253" i="44"/>
  <c r="X252" i="44"/>
  <c r="W252" i="44"/>
  <c r="V252" i="44"/>
  <c r="U252" i="44"/>
  <c r="T252" i="44"/>
  <c r="S252" i="44"/>
  <c r="X251" i="44"/>
  <c r="W251" i="44"/>
  <c r="V251" i="44"/>
  <c r="U251" i="44"/>
  <c r="T251" i="44"/>
  <c r="S251" i="44"/>
  <c r="X250" i="44"/>
  <c r="W250" i="44"/>
  <c r="V250" i="44"/>
  <c r="U250" i="44"/>
  <c r="T250" i="44"/>
  <c r="S250" i="44"/>
  <c r="X249" i="44"/>
  <c r="W249" i="44"/>
  <c r="V249" i="44"/>
  <c r="U249" i="44"/>
  <c r="T249" i="44"/>
  <c r="S249" i="44"/>
  <c r="X248" i="44"/>
  <c r="W248" i="44"/>
  <c r="V248" i="44"/>
  <c r="U248" i="44"/>
  <c r="T248" i="44"/>
  <c r="S248" i="44"/>
  <c r="X247" i="44"/>
  <c r="W247" i="44"/>
  <c r="V247" i="44"/>
  <c r="U247" i="44"/>
  <c r="T247" i="44"/>
  <c r="S247" i="44"/>
  <c r="X246" i="44"/>
  <c r="W246" i="44"/>
  <c r="V246" i="44"/>
  <c r="U246" i="44"/>
  <c r="T246" i="44"/>
  <c r="S246" i="44"/>
  <c r="X245" i="44"/>
  <c r="W245" i="44"/>
  <c r="V245" i="44"/>
  <c r="U245" i="44"/>
  <c r="T245" i="44"/>
  <c r="S245" i="44"/>
  <c r="X244" i="44"/>
  <c r="W244" i="44"/>
  <c r="V244" i="44"/>
  <c r="U244" i="44"/>
  <c r="T244" i="44"/>
  <c r="S244" i="44"/>
  <c r="X243" i="44"/>
  <c r="W243" i="44"/>
  <c r="V243" i="44"/>
  <c r="U243" i="44"/>
  <c r="T243" i="44"/>
  <c r="S243" i="44"/>
  <c r="X242" i="44"/>
  <c r="W242" i="44"/>
  <c r="V242" i="44"/>
  <c r="U242" i="44"/>
  <c r="T242" i="44"/>
  <c r="S242" i="44"/>
  <c r="X241" i="44"/>
  <c r="W241" i="44"/>
  <c r="V241" i="44"/>
  <c r="U241" i="44"/>
  <c r="T241" i="44"/>
  <c r="S241" i="44"/>
  <c r="X240" i="44"/>
  <c r="W240" i="44"/>
  <c r="V240" i="44"/>
  <c r="U240" i="44"/>
  <c r="T240" i="44"/>
  <c r="S240" i="44"/>
  <c r="X239" i="44"/>
  <c r="W239" i="44"/>
  <c r="V239" i="44"/>
  <c r="U239" i="44"/>
  <c r="T239" i="44"/>
  <c r="S239" i="44"/>
  <c r="X238" i="44"/>
  <c r="W238" i="44"/>
  <c r="V238" i="44"/>
  <c r="U238" i="44"/>
  <c r="T238" i="44"/>
  <c r="S238" i="44"/>
  <c r="X237" i="44"/>
  <c r="W237" i="44"/>
  <c r="V237" i="44"/>
  <c r="U237" i="44"/>
  <c r="T237" i="44"/>
  <c r="S237" i="44"/>
  <c r="X236" i="44"/>
  <c r="W236" i="44"/>
  <c r="V236" i="44"/>
  <c r="U236" i="44"/>
  <c r="T236" i="44"/>
  <c r="S236" i="44"/>
  <c r="X235" i="44"/>
  <c r="W235" i="44"/>
  <c r="V235" i="44"/>
  <c r="U235" i="44"/>
  <c r="T235" i="44"/>
  <c r="S235" i="44"/>
  <c r="X234" i="44"/>
  <c r="W234" i="44"/>
  <c r="V234" i="44"/>
  <c r="U234" i="44"/>
  <c r="T234" i="44"/>
  <c r="S234" i="44"/>
  <c r="X233" i="44"/>
  <c r="W233" i="44"/>
  <c r="V233" i="44"/>
  <c r="U233" i="44"/>
  <c r="T233" i="44"/>
  <c r="S233" i="44"/>
  <c r="X232" i="44"/>
  <c r="W232" i="44"/>
  <c r="V232" i="44"/>
  <c r="U232" i="44"/>
  <c r="T232" i="44"/>
  <c r="S232" i="44"/>
  <c r="X231" i="44"/>
  <c r="W231" i="44"/>
  <c r="V231" i="44"/>
  <c r="U231" i="44"/>
  <c r="T231" i="44"/>
  <c r="S231" i="44"/>
  <c r="X230" i="44"/>
  <c r="W230" i="44"/>
  <c r="V230" i="44"/>
  <c r="U230" i="44"/>
  <c r="T230" i="44"/>
  <c r="S230" i="44"/>
  <c r="X229" i="44"/>
  <c r="W229" i="44"/>
  <c r="V229" i="44"/>
  <c r="U229" i="44"/>
  <c r="T229" i="44"/>
  <c r="S229" i="44"/>
  <c r="X228" i="44"/>
  <c r="W228" i="44"/>
  <c r="V228" i="44"/>
  <c r="U228" i="44"/>
  <c r="T228" i="44"/>
  <c r="S228" i="44"/>
  <c r="X227" i="44"/>
  <c r="W227" i="44"/>
  <c r="V227" i="44"/>
  <c r="U227" i="44"/>
  <c r="T227" i="44"/>
  <c r="S227" i="44"/>
  <c r="X226" i="44"/>
  <c r="W226" i="44"/>
  <c r="V226" i="44"/>
  <c r="U226" i="44"/>
  <c r="T226" i="44"/>
  <c r="S226" i="44"/>
  <c r="X225" i="44"/>
  <c r="W225" i="44"/>
  <c r="V225" i="44"/>
  <c r="U225" i="44"/>
  <c r="T225" i="44"/>
  <c r="S225" i="44"/>
  <c r="X224" i="44"/>
  <c r="W224" i="44"/>
  <c r="V224" i="44"/>
  <c r="U224" i="44"/>
  <c r="T224" i="44"/>
  <c r="S224" i="44"/>
  <c r="X223" i="44"/>
  <c r="W223" i="44"/>
  <c r="V223" i="44"/>
  <c r="U223" i="44"/>
  <c r="T223" i="44"/>
  <c r="S223" i="44"/>
  <c r="X222" i="44"/>
  <c r="W222" i="44"/>
  <c r="V222" i="44"/>
  <c r="U222" i="44"/>
  <c r="T222" i="44"/>
  <c r="S222" i="44"/>
  <c r="X221" i="44"/>
  <c r="W221" i="44"/>
  <c r="V221" i="44"/>
  <c r="U221" i="44"/>
  <c r="T221" i="44"/>
  <c r="S221" i="44"/>
  <c r="X220" i="44"/>
  <c r="W220" i="44"/>
  <c r="V220" i="44"/>
  <c r="U220" i="44"/>
  <c r="T220" i="44"/>
  <c r="S220" i="44"/>
  <c r="X219" i="44"/>
  <c r="W219" i="44"/>
  <c r="V219" i="44"/>
  <c r="U219" i="44"/>
  <c r="T219" i="44"/>
  <c r="S219" i="44"/>
  <c r="X218" i="44"/>
  <c r="W218" i="44"/>
  <c r="V218" i="44"/>
  <c r="U218" i="44"/>
  <c r="T218" i="44"/>
  <c r="S218" i="44"/>
  <c r="X217" i="44"/>
  <c r="W217" i="44"/>
  <c r="V217" i="44"/>
  <c r="U217" i="44"/>
  <c r="T217" i="44"/>
  <c r="S217" i="44"/>
  <c r="X216" i="44"/>
  <c r="W216" i="44"/>
  <c r="V216" i="44"/>
  <c r="U216" i="44"/>
  <c r="T216" i="44"/>
  <c r="S216" i="44"/>
  <c r="X215" i="44"/>
  <c r="W215" i="44"/>
  <c r="V215" i="44"/>
  <c r="U215" i="44"/>
  <c r="T215" i="44"/>
  <c r="S215" i="44"/>
  <c r="X214" i="44"/>
  <c r="W214" i="44"/>
  <c r="V214" i="44"/>
  <c r="U214" i="44"/>
  <c r="T214" i="44"/>
  <c r="S214" i="44"/>
  <c r="X213" i="44"/>
  <c r="W213" i="44"/>
  <c r="V213" i="44"/>
  <c r="U213" i="44"/>
  <c r="T213" i="44"/>
  <c r="S213" i="44"/>
  <c r="X212" i="44"/>
  <c r="W212" i="44"/>
  <c r="V212" i="44"/>
  <c r="U212" i="44"/>
  <c r="T212" i="44"/>
  <c r="S212" i="44"/>
  <c r="X211" i="44"/>
  <c r="W211" i="44"/>
  <c r="V211" i="44"/>
  <c r="U211" i="44"/>
  <c r="T211" i="44"/>
  <c r="S211" i="44"/>
  <c r="X210" i="44"/>
  <c r="W210" i="44"/>
  <c r="V210" i="44"/>
  <c r="U210" i="44"/>
  <c r="T210" i="44"/>
  <c r="S210" i="44"/>
  <c r="X209" i="44"/>
  <c r="W209" i="44"/>
  <c r="V209" i="44"/>
  <c r="U209" i="44"/>
  <c r="T209" i="44"/>
  <c r="S209" i="44"/>
  <c r="X208" i="44"/>
  <c r="W208" i="44"/>
  <c r="V208" i="44"/>
  <c r="U208" i="44"/>
  <c r="T208" i="44"/>
  <c r="S208" i="44"/>
  <c r="X207" i="44"/>
  <c r="W207" i="44"/>
  <c r="V207" i="44"/>
  <c r="U207" i="44"/>
  <c r="T207" i="44"/>
  <c r="S207" i="44"/>
  <c r="X206" i="44"/>
  <c r="W206" i="44"/>
  <c r="V206" i="44"/>
  <c r="U206" i="44"/>
  <c r="T206" i="44"/>
  <c r="S206" i="44"/>
  <c r="X205" i="44"/>
  <c r="W205" i="44"/>
  <c r="V205" i="44"/>
  <c r="U205" i="44"/>
  <c r="T205" i="44"/>
  <c r="S205" i="44"/>
  <c r="X204" i="44"/>
  <c r="W204" i="44"/>
  <c r="V204" i="44"/>
  <c r="U204" i="44"/>
  <c r="T204" i="44"/>
  <c r="S204" i="44"/>
  <c r="X203" i="44"/>
  <c r="W203" i="44"/>
  <c r="V203" i="44"/>
  <c r="U203" i="44"/>
  <c r="T203" i="44"/>
  <c r="S203" i="44"/>
  <c r="X202" i="44"/>
  <c r="W202" i="44"/>
  <c r="V202" i="44"/>
  <c r="U202" i="44"/>
  <c r="T202" i="44"/>
  <c r="S202" i="44"/>
  <c r="X201" i="44"/>
  <c r="W201" i="44"/>
  <c r="V201" i="44"/>
  <c r="U201" i="44"/>
  <c r="T201" i="44"/>
  <c r="S201" i="44"/>
  <c r="X200" i="44"/>
  <c r="W200" i="44"/>
  <c r="V200" i="44"/>
  <c r="U200" i="44"/>
  <c r="T200" i="44"/>
  <c r="S200" i="44"/>
  <c r="X199" i="44"/>
  <c r="W199" i="44"/>
  <c r="V199" i="44"/>
  <c r="U199" i="44"/>
  <c r="T199" i="44"/>
  <c r="S199" i="44"/>
  <c r="X198" i="44"/>
  <c r="W198" i="44"/>
  <c r="V198" i="44"/>
  <c r="U198" i="44"/>
  <c r="T198" i="44"/>
  <c r="S198" i="44"/>
  <c r="X197" i="44"/>
  <c r="W197" i="44"/>
  <c r="V197" i="44"/>
  <c r="U197" i="44"/>
  <c r="T197" i="44"/>
  <c r="S197" i="44"/>
  <c r="X196" i="44"/>
  <c r="W196" i="44"/>
  <c r="V196" i="44"/>
  <c r="U196" i="44"/>
  <c r="T196" i="44"/>
  <c r="S196" i="44"/>
  <c r="X195" i="44"/>
  <c r="W195" i="44"/>
  <c r="V195" i="44"/>
  <c r="U195" i="44"/>
  <c r="T195" i="44"/>
  <c r="S195" i="44"/>
  <c r="X194" i="44"/>
  <c r="W194" i="44"/>
  <c r="V194" i="44"/>
  <c r="U194" i="44"/>
  <c r="T194" i="44"/>
  <c r="S194" i="44"/>
  <c r="X193" i="44"/>
  <c r="W193" i="44"/>
  <c r="V193" i="44"/>
  <c r="U193" i="44"/>
  <c r="T193" i="44"/>
  <c r="S193" i="44"/>
  <c r="X192" i="44"/>
  <c r="W192" i="44"/>
  <c r="V192" i="44"/>
  <c r="U192" i="44"/>
  <c r="T192" i="44"/>
  <c r="S192" i="44"/>
  <c r="X191" i="44"/>
  <c r="W191" i="44"/>
  <c r="V191" i="44"/>
  <c r="U191" i="44"/>
  <c r="T191" i="44"/>
  <c r="S191" i="44"/>
  <c r="X190" i="44"/>
  <c r="W190" i="44"/>
  <c r="V190" i="44"/>
  <c r="U190" i="44"/>
  <c r="T190" i="44"/>
  <c r="S190" i="44"/>
  <c r="X189" i="44"/>
  <c r="W189" i="44"/>
  <c r="V189" i="44"/>
  <c r="U189" i="44"/>
  <c r="T189" i="44"/>
  <c r="S189" i="44"/>
  <c r="X188" i="44"/>
  <c r="W188" i="44"/>
  <c r="V188" i="44"/>
  <c r="U188" i="44"/>
  <c r="T188" i="44"/>
  <c r="S188" i="44"/>
  <c r="X187" i="44"/>
  <c r="W187" i="44"/>
  <c r="V187" i="44"/>
  <c r="U187" i="44"/>
  <c r="T187" i="44"/>
  <c r="S187" i="44"/>
  <c r="X186" i="44"/>
  <c r="W186" i="44"/>
  <c r="V186" i="44"/>
  <c r="U186" i="44"/>
  <c r="T186" i="44"/>
  <c r="S186" i="44"/>
  <c r="X185" i="44"/>
  <c r="W185" i="44"/>
  <c r="V185" i="44"/>
  <c r="U185" i="44"/>
  <c r="T185" i="44"/>
  <c r="S185" i="44"/>
  <c r="X184" i="44"/>
  <c r="W184" i="44"/>
  <c r="V184" i="44"/>
  <c r="U184" i="44"/>
  <c r="T184" i="44"/>
  <c r="S184" i="44"/>
  <c r="X183" i="44"/>
  <c r="W183" i="44"/>
  <c r="V183" i="44"/>
  <c r="U183" i="44"/>
  <c r="T183" i="44"/>
  <c r="S183" i="44"/>
  <c r="X182" i="44"/>
  <c r="W182" i="44"/>
  <c r="V182" i="44"/>
  <c r="U182" i="44"/>
  <c r="T182" i="44"/>
  <c r="S182" i="44"/>
  <c r="X181" i="44"/>
  <c r="W181" i="44"/>
  <c r="V181" i="44"/>
  <c r="U181" i="44"/>
  <c r="T181" i="44"/>
  <c r="S181" i="44"/>
  <c r="X180" i="44"/>
  <c r="W180" i="44"/>
  <c r="V180" i="44"/>
  <c r="U180" i="44"/>
  <c r="T180" i="44"/>
  <c r="S180" i="44"/>
  <c r="X179" i="44"/>
  <c r="W179" i="44"/>
  <c r="V179" i="44"/>
  <c r="U179" i="44"/>
  <c r="T179" i="44"/>
  <c r="S179" i="44"/>
  <c r="X178" i="44"/>
  <c r="W178" i="44"/>
  <c r="V178" i="44"/>
  <c r="U178" i="44"/>
  <c r="T178" i="44"/>
  <c r="S178" i="44"/>
  <c r="X177" i="44"/>
  <c r="W177" i="44"/>
  <c r="V177" i="44"/>
  <c r="U177" i="44"/>
  <c r="T177" i="44"/>
  <c r="S177" i="44"/>
  <c r="X176" i="44"/>
  <c r="W176" i="44"/>
  <c r="V176" i="44"/>
  <c r="U176" i="44"/>
  <c r="T176" i="44"/>
  <c r="S176" i="44"/>
  <c r="X175" i="44"/>
  <c r="W175" i="44"/>
  <c r="V175" i="44"/>
  <c r="U175" i="44"/>
  <c r="T175" i="44"/>
  <c r="S175" i="44"/>
  <c r="X174" i="44"/>
  <c r="W174" i="44"/>
  <c r="V174" i="44"/>
  <c r="U174" i="44"/>
  <c r="T174" i="44"/>
  <c r="S174" i="44"/>
  <c r="X173" i="44"/>
  <c r="W173" i="44"/>
  <c r="V173" i="44"/>
  <c r="U173" i="44"/>
  <c r="T173" i="44"/>
  <c r="S173" i="44"/>
  <c r="X172" i="44"/>
  <c r="W172" i="44"/>
  <c r="V172" i="44"/>
  <c r="U172" i="44"/>
  <c r="T172" i="44"/>
  <c r="S172" i="44"/>
  <c r="X171" i="44"/>
  <c r="W171" i="44"/>
  <c r="V171" i="44"/>
  <c r="U171" i="44"/>
  <c r="T171" i="44"/>
  <c r="S171" i="44"/>
  <c r="X170" i="44"/>
  <c r="W170" i="44"/>
  <c r="V170" i="44"/>
  <c r="U170" i="44"/>
  <c r="T170" i="44"/>
  <c r="S170" i="44"/>
  <c r="X169" i="44"/>
  <c r="W169" i="44"/>
  <c r="V169" i="44"/>
  <c r="U169" i="44"/>
  <c r="T169" i="44"/>
  <c r="S169" i="44"/>
  <c r="X168" i="44"/>
  <c r="W168" i="44"/>
  <c r="V168" i="44"/>
  <c r="U168" i="44"/>
  <c r="T168" i="44"/>
  <c r="S168" i="44"/>
  <c r="X167" i="44"/>
  <c r="W167" i="44"/>
  <c r="V167" i="44"/>
  <c r="U167" i="44"/>
  <c r="T167" i="44"/>
  <c r="S167" i="44"/>
  <c r="X166" i="44"/>
  <c r="W166" i="44"/>
  <c r="V166" i="44"/>
  <c r="U166" i="44"/>
  <c r="T166" i="44"/>
  <c r="S166" i="44"/>
  <c r="X165" i="44"/>
  <c r="W165" i="44"/>
  <c r="V165" i="44"/>
  <c r="U165" i="44"/>
  <c r="T165" i="44"/>
  <c r="S165" i="44"/>
  <c r="X164" i="44"/>
  <c r="W164" i="44"/>
  <c r="V164" i="44"/>
  <c r="U164" i="44"/>
  <c r="T164" i="44"/>
  <c r="S164" i="44"/>
  <c r="X163" i="44"/>
  <c r="W163" i="44"/>
  <c r="V163" i="44"/>
  <c r="U163" i="44"/>
  <c r="T163" i="44"/>
  <c r="S163" i="44"/>
  <c r="X162" i="44"/>
  <c r="W162" i="44"/>
  <c r="V162" i="44"/>
  <c r="U162" i="44"/>
  <c r="T162" i="44"/>
  <c r="S162" i="44"/>
  <c r="X161" i="44"/>
  <c r="W161" i="44"/>
  <c r="V161" i="44"/>
  <c r="U161" i="44"/>
  <c r="T161" i="44"/>
  <c r="S161" i="44"/>
  <c r="X160" i="44"/>
  <c r="W160" i="44"/>
  <c r="V160" i="44"/>
  <c r="U160" i="44"/>
  <c r="T160" i="44"/>
  <c r="S160" i="44"/>
  <c r="X159" i="44"/>
  <c r="W159" i="44"/>
  <c r="V159" i="44"/>
  <c r="U159" i="44"/>
  <c r="T159" i="44"/>
  <c r="S159" i="44"/>
  <c r="X158" i="44"/>
  <c r="W158" i="44"/>
  <c r="V158" i="44"/>
  <c r="U158" i="44"/>
  <c r="T158" i="44"/>
  <c r="S158" i="44"/>
  <c r="X157" i="44"/>
  <c r="W157" i="44"/>
  <c r="V157" i="44"/>
  <c r="U157" i="44"/>
  <c r="T157" i="44"/>
  <c r="S157" i="44"/>
  <c r="X156" i="44"/>
  <c r="W156" i="44"/>
  <c r="V156" i="44"/>
  <c r="U156" i="44"/>
  <c r="T156" i="44"/>
  <c r="S156" i="44"/>
  <c r="X155" i="44"/>
  <c r="W155" i="44"/>
  <c r="V155" i="44"/>
  <c r="U155" i="44"/>
  <c r="T155" i="44"/>
  <c r="S155" i="44"/>
  <c r="X154" i="44"/>
  <c r="W154" i="44"/>
  <c r="V154" i="44"/>
  <c r="U154" i="44"/>
  <c r="T154" i="44"/>
  <c r="S154" i="44"/>
  <c r="X153" i="44"/>
  <c r="W153" i="44"/>
  <c r="V153" i="44"/>
  <c r="U153" i="44"/>
  <c r="T153" i="44"/>
  <c r="S153" i="44"/>
  <c r="X152" i="44"/>
  <c r="W152" i="44"/>
  <c r="V152" i="44"/>
  <c r="U152" i="44"/>
  <c r="T152" i="44"/>
  <c r="S152" i="44"/>
  <c r="X151" i="44"/>
  <c r="W151" i="44"/>
  <c r="V151" i="44"/>
  <c r="U151" i="44"/>
  <c r="T151" i="44"/>
  <c r="S151" i="44"/>
  <c r="X150" i="44"/>
  <c r="W150" i="44"/>
  <c r="V150" i="44"/>
  <c r="U150" i="44"/>
  <c r="T150" i="44"/>
  <c r="S150" i="44"/>
  <c r="X149" i="44"/>
  <c r="W149" i="44"/>
  <c r="V149" i="44"/>
  <c r="U149" i="44"/>
  <c r="T149" i="44"/>
  <c r="S149" i="44"/>
  <c r="X148" i="44"/>
  <c r="W148" i="44"/>
  <c r="V148" i="44"/>
  <c r="U148" i="44"/>
  <c r="T148" i="44"/>
  <c r="S148" i="44"/>
  <c r="X147" i="44"/>
  <c r="W147" i="44"/>
  <c r="V147" i="44"/>
  <c r="U147" i="44"/>
  <c r="T147" i="44"/>
  <c r="S147" i="44"/>
  <c r="X146" i="44"/>
  <c r="W146" i="44"/>
  <c r="V146" i="44"/>
  <c r="U146" i="44"/>
  <c r="T146" i="44"/>
  <c r="S146" i="44"/>
  <c r="X145" i="44"/>
  <c r="W145" i="44"/>
  <c r="V145" i="44"/>
  <c r="U145" i="44"/>
  <c r="T145" i="44"/>
  <c r="S145" i="44"/>
  <c r="X144" i="44"/>
  <c r="W144" i="44"/>
  <c r="V144" i="44"/>
  <c r="U144" i="44"/>
  <c r="T144" i="44"/>
  <c r="S144" i="44"/>
  <c r="X143" i="44"/>
  <c r="W143" i="44"/>
  <c r="V143" i="44"/>
  <c r="U143" i="44"/>
  <c r="T143" i="44"/>
  <c r="S143" i="44"/>
  <c r="X142" i="44"/>
  <c r="W142" i="44"/>
  <c r="V142" i="44"/>
  <c r="U142" i="44"/>
  <c r="T142" i="44"/>
  <c r="S142" i="44"/>
  <c r="X141" i="44"/>
  <c r="W141" i="44"/>
  <c r="V141" i="44"/>
  <c r="U141" i="44"/>
  <c r="T141" i="44"/>
  <c r="S141" i="44"/>
  <c r="X140" i="44"/>
  <c r="W140" i="44"/>
  <c r="V140" i="44"/>
  <c r="U140" i="44"/>
  <c r="T140" i="44"/>
  <c r="S140" i="44"/>
  <c r="X139" i="44"/>
  <c r="W139" i="44"/>
  <c r="V139" i="44"/>
  <c r="U139" i="44"/>
  <c r="T139" i="44"/>
  <c r="S139" i="44"/>
  <c r="X138" i="44"/>
  <c r="W138" i="44"/>
  <c r="V138" i="44"/>
  <c r="U138" i="44"/>
  <c r="T138" i="44"/>
  <c r="S138" i="44"/>
  <c r="X137" i="44"/>
  <c r="W137" i="44"/>
  <c r="V137" i="44"/>
  <c r="U137" i="44"/>
  <c r="T137" i="44"/>
  <c r="S137" i="44"/>
  <c r="X136" i="44"/>
  <c r="W136" i="44"/>
  <c r="V136" i="44"/>
  <c r="U136" i="44"/>
  <c r="T136" i="44"/>
  <c r="S136" i="44"/>
  <c r="X135" i="44"/>
  <c r="W135" i="44"/>
  <c r="V135" i="44"/>
  <c r="U135" i="44"/>
  <c r="T135" i="44"/>
  <c r="S135" i="44"/>
  <c r="X134" i="44"/>
  <c r="W134" i="44"/>
  <c r="V134" i="44"/>
  <c r="U134" i="44"/>
  <c r="T134" i="44"/>
  <c r="S134" i="44"/>
  <c r="X133" i="44"/>
  <c r="W133" i="44"/>
  <c r="V133" i="44"/>
  <c r="U133" i="44"/>
  <c r="T133" i="44"/>
  <c r="S133" i="44"/>
  <c r="X132" i="44"/>
  <c r="W132" i="44"/>
  <c r="V132" i="44"/>
  <c r="U132" i="44"/>
  <c r="T132" i="44"/>
  <c r="S132" i="44"/>
  <c r="X131" i="44"/>
  <c r="W131" i="44"/>
  <c r="V131" i="44"/>
  <c r="U131" i="44"/>
  <c r="T131" i="44"/>
  <c r="S131" i="44"/>
  <c r="X130" i="44"/>
  <c r="W130" i="44"/>
  <c r="V130" i="44"/>
  <c r="U130" i="44"/>
  <c r="T130" i="44"/>
  <c r="S130" i="44"/>
  <c r="X129" i="44"/>
  <c r="W129" i="44"/>
  <c r="V129" i="44"/>
  <c r="U129" i="44"/>
  <c r="T129" i="44"/>
  <c r="S129" i="44"/>
  <c r="X128" i="44"/>
  <c r="W128" i="44"/>
  <c r="V128" i="44"/>
  <c r="U128" i="44"/>
  <c r="T128" i="44"/>
  <c r="S128" i="44"/>
  <c r="X127" i="44"/>
  <c r="W127" i="44"/>
  <c r="V127" i="44"/>
  <c r="U127" i="44"/>
  <c r="T127" i="44"/>
  <c r="S127" i="44"/>
  <c r="X126" i="44"/>
  <c r="W126" i="44"/>
  <c r="V126" i="44"/>
  <c r="U126" i="44"/>
  <c r="T126" i="44"/>
  <c r="S126" i="44"/>
  <c r="X125" i="44"/>
  <c r="W125" i="44"/>
  <c r="V125" i="44"/>
  <c r="U125" i="44"/>
  <c r="T125" i="44"/>
  <c r="S125" i="44"/>
  <c r="X124" i="44"/>
  <c r="W124" i="44"/>
  <c r="V124" i="44"/>
  <c r="U124" i="44"/>
  <c r="T124" i="44"/>
  <c r="S124" i="44"/>
  <c r="X123" i="44"/>
  <c r="W123" i="44"/>
  <c r="V123" i="44"/>
  <c r="U123" i="44"/>
  <c r="T123" i="44"/>
  <c r="S123" i="44"/>
  <c r="X122" i="44"/>
  <c r="W122" i="44"/>
  <c r="V122" i="44"/>
  <c r="U122" i="44"/>
  <c r="T122" i="44"/>
  <c r="S122" i="44"/>
  <c r="X121" i="44"/>
  <c r="W121" i="44"/>
  <c r="V121" i="44"/>
  <c r="U121" i="44"/>
  <c r="T121" i="44"/>
  <c r="S121" i="44"/>
  <c r="X120" i="44"/>
  <c r="W120" i="44"/>
  <c r="V120" i="44"/>
  <c r="U120" i="44"/>
  <c r="T120" i="44"/>
  <c r="S120" i="44"/>
  <c r="X119" i="44"/>
  <c r="W119" i="44"/>
  <c r="V119" i="44"/>
  <c r="U119" i="44"/>
  <c r="T119" i="44"/>
  <c r="S119" i="44"/>
  <c r="X118" i="44"/>
  <c r="W118" i="44"/>
  <c r="V118" i="44"/>
  <c r="U118" i="44"/>
  <c r="T118" i="44"/>
  <c r="S118" i="44"/>
  <c r="X117" i="44"/>
  <c r="W117" i="44"/>
  <c r="V117" i="44"/>
  <c r="U117" i="44"/>
  <c r="T117" i="44"/>
  <c r="S117" i="44"/>
  <c r="X116" i="44"/>
  <c r="W116" i="44"/>
  <c r="V116" i="44"/>
  <c r="U116" i="44"/>
  <c r="T116" i="44"/>
  <c r="S116" i="44"/>
  <c r="X115" i="44"/>
  <c r="W115" i="44"/>
  <c r="V115" i="44"/>
  <c r="U115" i="44"/>
  <c r="T115" i="44"/>
  <c r="S115" i="44"/>
  <c r="X114" i="44"/>
  <c r="W114" i="44"/>
  <c r="V114" i="44"/>
  <c r="U114" i="44"/>
  <c r="T114" i="44"/>
  <c r="S114" i="44"/>
  <c r="X113" i="44"/>
  <c r="W113" i="44"/>
  <c r="V113" i="44"/>
  <c r="U113" i="44"/>
  <c r="T113" i="44"/>
  <c r="S113" i="44"/>
  <c r="X112" i="44"/>
  <c r="W112" i="44"/>
  <c r="V112" i="44"/>
  <c r="U112" i="44"/>
  <c r="T112" i="44"/>
  <c r="S112" i="44"/>
  <c r="X111" i="44"/>
  <c r="W111" i="44"/>
  <c r="V111" i="44"/>
  <c r="U111" i="44"/>
  <c r="T111" i="44"/>
  <c r="S111" i="44"/>
  <c r="X110" i="44"/>
  <c r="W110" i="44"/>
  <c r="V110" i="44"/>
  <c r="U110" i="44"/>
  <c r="T110" i="44"/>
  <c r="S110" i="44"/>
  <c r="X109" i="44"/>
  <c r="W109" i="44"/>
  <c r="V109" i="44"/>
  <c r="U109" i="44"/>
  <c r="T109" i="44"/>
  <c r="S109" i="44"/>
  <c r="X108" i="44"/>
  <c r="W108" i="44"/>
  <c r="V108" i="44"/>
  <c r="U108" i="44"/>
  <c r="T108" i="44"/>
  <c r="S108" i="44"/>
  <c r="X107" i="44"/>
  <c r="W107" i="44"/>
  <c r="V107" i="44"/>
  <c r="U107" i="44"/>
  <c r="T107" i="44"/>
  <c r="S107" i="44"/>
  <c r="X106" i="44"/>
  <c r="W106" i="44"/>
  <c r="V106" i="44"/>
  <c r="U106" i="44"/>
  <c r="T106" i="44"/>
  <c r="S106" i="44"/>
  <c r="X105" i="44"/>
  <c r="W105" i="44"/>
  <c r="V105" i="44"/>
  <c r="U105" i="44"/>
  <c r="T105" i="44"/>
  <c r="S105" i="44"/>
  <c r="X104" i="44"/>
  <c r="W104" i="44"/>
  <c r="V104" i="44"/>
  <c r="U104" i="44"/>
  <c r="T104" i="44"/>
  <c r="S104" i="44"/>
  <c r="X103" i="44"/>
  <c r="W103" i="44"/>
  <c r="V103" i="44"/>
  <c r="U103" i="44"/>
  <c r="T103" i="44"/>
  <c r="S103" i="44"/>
  <c r="X102" i="44"/>
  <c r="W102" i="44"/>
  <c r="V102" i="44"/>
  <c r="U102" i="44"/>
  <c r="T102" i="44"/>
  <c r="S102" i="44"/>
  <c r="X101" i="44"/>
  <c r="W101" i="44"/>
  <c r="V101" i="44"/>
  <c r="U101" i="44"/>
  <c r="T101" i="44"/>
  <c r="S101" i="44"/>
  <c r="X100" i="44"/>
  <c r="W100" i="44"/>
  <c r="V100" i="44"/>
  <c r="U100" i="44"/>
  <c r="T100" i="44"/>
  <c r="S100" i="44"/>
  <c r="X99" i="44"/>
  <c r="W99" i="44"/>
  <c r="V99" i="44"/>
  <c r="U99" i="44"/>
  <c r="T99" i="44"/>
  <c r="S99" i="44"/>
  <c r="X98" i="44"/>
  <c r="W98" i="44"/>
  <c r="V98" i="44"/>
  <c r="U98" i="44"/>
  <c r="T98" i="44"/>
  <c r="S98" i="44"/>
  <c r="X97" i="44"/>
  <c r="W97" i="44"/>
  <c r="V97" i="44"/>
  <c r="U97" i="44"/>
  <c r="T97" i="44"/>
  <c r="S97" i="44"/>
  <c r="X96" i="44"/>
  <c r="W96" i="44"/>
  <c r="V96" i="44"/>
  <c r="U96" i="44"/>
  <c r="T96" i="44"/>
  <c r="S96" i="44"/>
  <c r="X95" i="44"/>
  <c r="W95" i="44"/>
  <c r="V95" i="44"/>
  <c r="U95" i="44"/>
  <c r="T95" i="44"/>
  <c r="S95" i="44"/>
  <c r="X94" i="44"/>
  <c r="W94" i="44"/>
  <c r="V94" i="44"/>
  <c r="U94" i="44"/>
  <c r="T94" i="44"/>
  <c r="S94" i="44"/>
  <c r="X93" i="44"/>
  <c r="W93" i="44"/>
  <c r="V93" i="44"/>
  <c r="U93" i="44"/>
  <c r="T93" i="44"/>
  <c r="S93" i="44"/>
  <c r="X92" i="44"/>
  <c r="W92" i="44"/>
  <c r="V92" i="44"/>
  <c r="U92" i="44"/>
  <c r="T92" i="44"/>
  <c r="S92" i="44"/>
  <c r="X91" i="44"/>
  <c r="W91" i="44"/>
  <c r="V91" i="44"/>
  <c r="U91" i="44"/>
  <c r="T91" i="44"/>
  <c r="S91" i="44"/>
  <c r="X90" i="44"/>
  <c r="W90" i="44"/>
  <c r="V90" i="44"/>
  <c r="U90" i="44"/>
  <c r="T90" i="44"/>
  <c r="S90" i="44"/>
  <c r="X89" i="44"/>
  <c r="W89" i="44"/>
  <c r="V89" i="44"/>
  <c r="U89" i="44"/>
  <c r="T89" i="44"/>
  <c r="S89" i="44"/>
  <c r="X88" i="44"/>
  <c r="W88" i="44"/>
  <c r="V88" i="44"/>
  <c r="U88" i="44"/>
  <c r="T88" i="44"/>
  <c r="S88" i="44"/>
  <c r="X87" i="44"/>
  <c r="W87" i="44"/>
  <c r="V87" i="44"/>
  <c r="U87" i="44"/>
  <c r="T87" i="44"/>
  <c r="S87" i="44"/>
  <c r="X86" i="44"/>
  <c r="W86" i="44"/>
  <c r="V86" i="44"/>
  <c r="U86" i="44"/>
  <c r="T86" i="44"/>
  <c r="S86" i="44"/>
  <c r="X85" i="44"/>
  <c r="W85" i="44"/>
  <c r="V85" i="44"/>
  <c r="U85" i="44"/>
  <c r="T85" i="44"/>
  <c r="S85" i="44"/>
  <c r="X84" i="44"/>
  <c r="W84" i="44"/>
  <c r="V84" i="44"/>
  <c r="U84" i="44"/>
  <c r="T84" i="44"/>
  <c r="S84" i="44"/>
  <c r="X83" i="44"/>
  <c r="W83" i="44"/>
  <c r="V83" i="44"/>
  <c r="U83" i="44"/>
  <c r="T83" i="44"/>
  <c r="S83" i="44"/>
  <c r="X82" i="44"/>
  <c r="W82" i="44"/>
  <c r="V82" i="44"/>
  <c r="U82" i="44"/>
  <c r="T82" i="44"/>
  <c r="S82" i="44"/>
  <c r="X81" i="44"/>
  <c r="W81" i="44"/>
  <c r="V81" i="44"/>
  <c r="U81" i="44"/>
  <c r="T81" i="44"/>
  <c r="S81" i="44"/>
  <c r="X80" i="44"/>
  <c r="W80" i="44"/>
  <c r="V80" i="44"/>
  <c r="U80" i="44"/>
  <c r="T80" i="44"/>
  <c r="S80" i="44"/>
  <c r="X79" i="44"/>
  <c r="W79" i="44"/>
  <c r="V79" i="44"/>
  <c r="U79" i="44"/>
  <c r="T79" i="44"/>
  <c r="S79" i="44"/>
  <c r="X78" i="44"/>
  <c r="W78" i="44"/>
  <c r="V78" i="44"/>
  <c r="U78" i="44"/>
  <c r="T78" i="44"/>
  <c r="S78" i="44"/>
  <c r="X77" i="44"/>
  <c r="W77" i="44"/>
  <c r="V77" i="44"/>
  <c r="U77" i="44"/>
  <c r="T77" i="44"/>
  <c r="S77" i="44"/>
  <c r="X76" i="44"/>
  <c r="W76" i="44"/>
  <c r="V76" i="44"/>
  <c r="U76" i="44"/>
  <c r="T76" i="44"/>
  <c r="S76" i="44"/>
  <c r="X75" i="44"/>
  <c r="W75" i="44"/>
  <c r="V75" i="44"/>
  <c r="U75" i="44"/>
  <c r="T75" i="44"/>
  <c r="S75" i="44"/>
  <c r="X74" i="44"/>
  <c r="W74" i="44"/>
  <c r="V74" i="44"/>
  <c r="U74" i="44"/>
  <c r="T74" i="44"/>
  <c r="S74" i="44"/>
  <c r="X73" i="44"/>
  <c r="W73" i="44"/>
  <c r="V73" i="44"/>
  <c r="U73" i="44"/>
  <c r="T73" i="44"/>
  <c r="S73" i="44"/>
  <c r="X72" i="44"/>
  <c r="W72" i="44"/>
  <c r="V72" i="44"/>
  <c r="U72" i="44"/>
  <c r="T72" i="44"/>
  <c r="S72" i="44"/>
  <c r="X71" i="44"/>
  <c r="W71" i="44"/>
  <c r="V71" i="44"/>
  <c r="U71" i="44"/>
  <c r="T71" i="44"/>
  <c r="S71" i="44"/>
  <c r="X70" i="44"/>
  <c r="W70" i="44"/>
  <c r="V70" i="44"/>
  <c r="U70" i="44"/>
  <c r="T70" i="44"/>
  <c r="S70" i="44"/>
  <c r="X69" i="44"/>
  <c r="W69" i="44"/>
  <c r="V69" i="44"/>
  <c r="U69" i="44"/>
  <c r="T69" i="44"/>
  <c r="S69" i="44"/>
  <c r="X68" i="44"/>
  <c r="W68" i="44"/>
  <c r="V68" i="44"/>
  <c r="U68" i="44"/>
  <c r="T68" i="44"/>
  <c r="S68" i="44"/>
  <c r="X67" i="44"/>
  <c r="W67" i="44"/>
  <c r="V67" i="44"/>
  <c r="U67" i="44"/>
  <c r="T67" i="44"/>
  <c r="S67" i="44"/>
  <c r="X66" i="44"/>
  <c r="W66" i="44"/>
  <c r="V66" i="44"/>
  <c r="U66" i="44"/>
  <c r="T66" i="44"/>
  <c r="S66" i="44"/>
  <c r="X65" i="44"/>
  <c r="W65" i="44"/>
  <c r="V65" i="44"/>
  <c r="U65" i="44"/>
  <c r="T65" i="44"/>
  <c r="S65" i="44"/>
  <c r="X64" i="44"/>
  <c r="W64" i="44"/>
  <c r="V64" i="44"/>
  <c r="U64" i="44"/>
  <c r="T64" i="44"/>
  <c r="S64" i="44"/>
  <c r="X63" i="44"/>
  <c r="W63" i="44"/>
  <c r="V63" i="44"/>
  <c r="U63" i="44"/>
  <c r="T63" i="44"/>
  <c r="S63" i="44"/>
  <c r="X62" i="44"/>
  <c r="W62" i="44"/>
  <c r="V62" i="44"/>
  <c r="U62" i="44"/>
  <c r="T62" i="44"/>
  <c r="S62" i="44"/>
  <c r="X61" i="44"/>
  <c r="W61" i="44"/>
  <c r="V61" i="44"/>
  <c r="U61" i="44"/>
  <c r="T61" i="44"/>
  <c r="S61" i="44"/>
  <c r="X60" i="44"/>
  <c r="W60" i="44"/>
  <c r="V60" i="44"/>
  <c r="U60" i="44"/>
  <c r="T60" i="44"/>
  <c r="S60" i="44"/>
  <c r="X59" i="44"/>
  <c r="W59" i="44"/>
  <c r="V59" i="44"/>
  <c r="U59" i="44"/>
  <c r="T59" i="44"/>
  <c r="S59" i="44"/>
  <c r="X58" i="44"/>
  <c r="W58" i="44"/>
  <c r="V58" i="44"/>
  <c r="U58" i="44"/>
  <c r="T58" i="44"/>
  <c r="S58" i="44"/>
  <c r="X57" i="44"/>
  <c r="W57" i="44"/>
  <c r="V57" i="44"/>
  <c r="U57" i="44"/>
  <c r="T57" i="44"/>
  <c r="S57" i="44"/>
  <c r="X56" i="44"/>
  <c r="W56" i="44"/>
  <c r="V56" i="44"/>
  <c r="U56" i="44"/>
  <c r="T56" i="44"/>
  <c r="S56" i="44"/>
  <c r="X55" i="44"/>
  <c r="W55" i="44"/>
  <c r="V55" i="44"/>
  <c r="U55" i="44"/>
  <c r="T55" i="44"/>
  <c r="S55" i="44"/>
  <c r="X54" i="44"/>
  <c r="W54" i="44"/>
  <c r="V54" i="44"/>
  <c r="U54" i="44"/>
  <c r="T54" i="44"/>
  <c r="S54" i="44"/>
  <c r="X53" i="44"/>
  <c r="W53" i="44"/>
  <c r="V53" i="44"/>
  <c r="U53" i="44"/>
  <c r="T53" i="44"/>
  <c r="S53" i="44"/>
  <c r="X52" i="44"/>
  <c r="W52" i="44"/>
  <c r="V52" i="44"/>
  <c r="U52" i="44"/>
  <c r="T52" i="44"/>
  <c r="S52" i="44"/>
  <c r="X51" i="44"/>
  <c r="W51" i="44"/>
  <c r="V51" i="44"/>
  <c r="U51" i="44"/>
  <c r="T51" i="44"/>
  <c r="S51" i="44"/>
  <c r="X50" i="44"/>
  <c r="W50" i="44"/>
  <c r="V50" i="44"/>
  <c r="U50" i="44"/>
  <c r="T50" i="44"/>
  <c r="S50" i="44"/>
  <c r="X49" i="44"/>
  <c r="W49" i="44"/>
  <c r="V49" i="44"/>
  <c r="U49" i="44"/>
  <c r="T49" i="44"/>
  <c r="S49" i="44"/>
  <c r="X48" i="44"/>
  <c r="W48" i="44"/>
  <c r="V48" i="44"/>
  <c r="U48" i="44"/>
  <c r="T48" i="44"/>
  <c r="S48" i="44"/>
  <c r="X47" i="44"/>
  <c r="W47" i="44"/>
  <c r="V47" i="44"/>
  <c r="U47" i="44"/>
  <c r="T47" i="44"/>
  <c r="S47" i="44"/>
  <c r="X46" i="44"/>
  <c r="W46" i="44"/>
  <c r="V46" i="44"/>
  <c r="U46" i="44"/>
  <c r="T46" i="44"/>
  <c r="S46" i="44"/>
  <c r="X45" i="44"/>
  <c r="W45" i="44"/>
  <c r="V45" i="44"/>
  <c r="U45" i="44"/>
  <c r="T45" i="44"/>
  <c r="S45" i="44"/>
  <c r="X44" i="44"/>
  <c r="W44" i="44"/>
  <c r="V44" i="44"/>
  <c r="U44" i="44"/>
  <c r="T44" i="44"/>
  <c r="S44" i="44"/>
  <c r="X43" i="44"/>
  <c r="W43" i="44"/>
  <c r="V43" i="44"/>
  <c r="U43" i="44"/>
  <c r="T43" i="44"/>
  <c r="S43" i="44"/>
  <c r="X42" i="44"/>
  <c r="W42" i="44"/>
  <c r="V42" i="44"/>
  <c r="U42" i="44"/>
  <c r="T42" i="44"/>
  <c r="S42" i="44"/>
  <c r="X41" i="44"/>
  <c r="W41" i="44"/>
  <c r="V41" i="44"/>
  <c r="U41" i="44"/>
  <c r="T41" i="44"/>
  <c r="S41" i="44"/>
  <c r="X40" i="44"/>
  <c r="W40" i="44"/>
  <c r="V40" i="44"/>
  <c r="U40" i="44"/>
  <c r="T40" i="44"/>
  <c r="S40" i="44"/>
  <c r="X39" i="44"/>
  <c r="W39" i="44"/>
  <c r="V39" i="44"/>
  <c r="U39" i="44"/>
  <c r="T39" i="44"/>
  <c r="S39" i="44"/>
  <c r="X38" i="44"/>
  <c r="W38" i="44"/>
  <c r="V38" i="44"/>
  <c r="U38" i="44"/>
  <c r="T38" i="44"/>
  <c r="S38" i="44"/>
  <c r="X37" i="44"/>
  <c r="W37" i="44"/>
  <c r="V37" i="44"/>
  <c r="U37" i="44"/>
  <c r="T37" i="44"/>
  <c r="S37" i="44"/>
  <c r="X36" i="44"/>
  <c r="W36" i="44"/>
  <c r="V36" i="44"/>
  <c r="U36" i="44"/>
  <c r="T36" i="44"/>
  <c r="S36" i="44"/>
  <c r="X35" i="44"/>
  <c r="W35" i="44"/>
  <c r="V35" i="44"/>
  <c r="U35" i="44"/>
  <c r="T35" i="44"/>
  <c r="S35" i="44"/>
  <c r="X34" i="44"/>
  <c r="W34" i="44"/>
  <c r="V34" i="44"/>
  <c r="U34" i="44"/>
  <c r="T34" i="44"/>
  <c r="S34" i="44"/>
  <c r="X33" i="44"/>
  <c r="W33" i="44"/>
  <c r="V33" i="44"/>
  <c r="U33" i="44"/>
  <c r="T33" i="44"/>
  <c r="S33" i="44"/>
  <c r="X32" i="44"/>
  <c r="W32" i="44"/>
  <c r="V32" i="44"/>
  <c r="U32" i="44"/>
  <c r="T32" i="44"/>
  <c r="S32" i="44"/>
  <c r="X31" i="44"/>
  <c r="W31" i="44"/>
  <c r="V31" i="44"/>
  <c r="U31" i="44"/>
  <c r="T31" i="44"/>
  <c r="S31" i="44"/>
  <c r="X30" i="44"/>
  <c r="W30" i="44"/>
  <c r="V30" i="44"/>
  <c r="U30" i="44"/>
  <c r="T30" i="44"/>
  <c r="S30" i="44"/>
  <c r="X29" i="44"/>
  <c r="W29" i="44"/>
  <c r="V29" i="44"/>
  <c r="U29" i="44"/>
  <c r="T29" i="44"/>
  <c r="S29" i="44"/>
  <c r="X28" i="44"/>
  <c r="W28" i="44"/>
  <c r="V28" i="44"/>
  <c r="U28" i="44"/>
  <c r="T28" i="44"/>
  <c r="S28" i="44"/>
  <c r="X27" i="44"/>
  <c r="W27" i="44"/>
  <c r="V27" i="44"/>
  <c r="U27" i="44"/>
  <c r="T27" i="44"/>
  <c r="S27" i="44"/>
  <c r="X26" i="44"/>
  <c r="W26" i="44"/>
  <c r="V26" i="44"/>
  <c r="U26" i="44"/>
  <c r="T26" i="44"/>
  <c r="S26" i="44"/>
  <c r="X25" i="44"/>
  <c r="W25" i="44"/>
  <c r="V25" i="44"/>
  <c r="U25" i="44"/>
  <c r="T25" i="44"/>
  <c r="S25" i="44"/>
  <c r="X24" i="44"/>
  <c r="W24" i="44"/>
  <c r="V24" i="44"/>
  <c r="U24" i="44"/>
  <c r="T24" i="44"/>
  <c r="S24" i="44"/>
  <c r="X23" i="44"/>
  <c r="W23" i="44"/>
  <c r="V23" i="44"/>
  <c r="U23" i="44"/>
  <c r="T23" i="44"/>
  <c r="S23" i="44"/>
  <c r="X22" i="44"/>
  <c r="W22" i="44"/>
  <c r="V22" i="44"/>
  <c r="U22" i="44"/>
  <c r="T22" i="44"/>
  <c r="S22" i="44"/>
  <c r="X21" i="44"/>
  <c r="W21" i="44"/>
  <c r="V21" i="44"/>
  <c r="U21" i="44"/>
  <c r="T21" i="44"/>
  <c r="S21" i="44"/>
  <c r="X20" i="44"/>
  <c r="W20" i="44"/>
  <c r="V20" i="44"/>
  <c r="U20" i="44"/>
  <c r="T20" i="44"/>
  <c r="S20" i="44"/>
  <c r="X19" i="44"/>
  <c r="W19" i="44"/>
  <c r="V19" i="44"/>
  <c r="U19" i="44"/>
  <c r="T19" i="44"/>
  <c r="S19" i="44"/>
  <c r="X18" i="44"/>
  <c r="W18" i="44"/>
  <c r="V18" i="44"/>
  <c r="U18" i="44"/>
  <c r="T18" i="44"/>
  <c r="S18" i="44"/>
  <c r="X17" i="44"/>
  <c r="W17" i="44"/>
  <c r="V17" i="44"/>
  <c r="U17" i="44"/>
  <c r="T17" i="44"/>
  <c r="S17" i="44"/>
  <c r="X16" i="44"/>
  <c r="W16" i="44"/>
  <c r="V16" i="44"/>
  <c r="U16" i="44"/>
  <c r="T16" i="44"/>
  <c r="S16" i="44"/>
  <c r="X15" i="44"/>
  <c r="W15" i="44"/>
  <c r="V15" i="44"/>
  <c r="U15" i="44"/>
  <c r="T15" i="44"/>
  <c r="S15" i="44"/>
  <c r="D161" i="66" l="1"/>
  <c r="C161" i="66"/>
  <c r="V13" i="44"/>
  <c r="T13" i="44"/>
  <c r="S13" i="44"/>
  <c r="U13" i="44"/>
  <c r="X13" i="44"/>
  <c r="W13" i="44"/>
  <c r="AN307" i="44"/>
  <c r="AM307" i="44"/>
  <c r="BF307" i="44" s="1"/>
  <c r="AL307" i="44"/>
  <c r="BE307" i="44" s="1"/>
  <c r="AK307" i="44"/>
  <c r="BD307" i="44" s="1"/>
  <c r="AJ307" i="44"/>
  <c r="BC307" i="44" s="1"/>
  <c r="AI307" i="44"/>
  <c r="BB307" i="44" s="1"/>
  <c r="AN306" i="44"/>
  <c r="AM306" i="44"/>
  <c r="BF306" i="44" s="1"/>
  <c r="AL306" i="44"/>
  <c r="BE306" i="44" s="1"/>
  <c r="AK306" i="44"/>
  <c r="BD306" i="44" s="1"/>
  <c r="AJ306" i="44"/>
  <c r="BC306" i="44" s="1"/>
  <c r="AI306" i="44"/>
  <c r="BB306" i="44" s="1"/>
  <c r="AN305" i="44"/>
  <c r="AM305" i="44"/>
  <c r="BF305" i="44" s="1"/>
  <c r="AL305" i="44"/>
  <c r="BE305" i="44" s="1"/>
  <c r="AK305" i="44"/>
  <c r="BD305" i="44" s="1"/>
  <c r="AJ305" i="44"/>
  <c r="BC305" i="44" s="1"/>
  <c r="AI305" i="44"/>
  <c r="BB305" i="44" s="1"/>
  <c r="AN304" i="44"/>
  <c r="AM304" i="44"/>
  <c r="BF304" i="44" s="1"/>
  <c r="AL304" i="44"/>
  <c r="BE304" i="44" s="1"/>
  <c r="AK304" i="44"/>
  <c r="BD304" i="44" s="1"/>
  <c r="AJ304" i="44"/>
  <c r="BC304" i="44" s="1"/>
  <c r="AI304" i="44"/>
  <c r="BB304" i="44" s="1"/>
  <c r="AN303" i="44"/>
  <c r="AM303" i="44"/>
  <c r="BF303" i="44" s="1"/>
  <c r="AL303" i="44"/>
  <c r="BE303" i="44" s="1"/>
  <c r="AK303" i="44"/>
  <c r="BD303" i="44" s="1"/>
  <c r="AJ303" i="44"/>
  <c r="BC303" i="44" s="1"/>
  <c r="AI303" i="44"/>
  <c r="BB303" i="44" s="1"/>
  <c r="AN302" i="44"/>
  <c r="AM302" i="44"/>
  <c r="BF302" i="44" s="1"/>
  <c r="AL302" i="44"/>
  <c r="BE302" i="44" s="1"/>
  <c r="AK302" i="44"/>
  <c r="BD302" i="44" s="1"/>
  <c r="AJ302" i="44"/>
  <c r="BC302" i="44" s="1"/>
  <c r="AI302" i="44"/>
  <c r="BB302" i="44" s="1"/>
  <c r="AN301" i="44"/>
  <c r="AM301" i="44"/>
  <c r="BF301" i="44" s="1"/>
  <c r="AL301" i="44"/>
  <c r="BE301" i="44" s="1"/>
  <c r="AK301" i="44"/>
  <c r="BD301" i="44" s="1"/>
  <c r="AJ301" i="44"/>
  <c r="BC301" i="44" s="1"/>
  <c r="AI301" i="44"/>
  <c r="BB301" i="44" s="1"/>
  <c r="AN300" i="44"/>
  <c r="AM300" i="44"/>
  <c r="BF300" i="44" s="1"/>
  <c r="AL300" i="44"/>
  <c r="BE300" i="44" s="1"/>
  <c r="AK300" i="44"/>
  <c r="BD300" i="44" s="1"/>
  <c r="AJ300" i="44"/>
  <c r="BC300" i="44" s="1"/>
  <c r="AI300" i="44"/>
  <c r="BB300" i="44" s="1"/>
  <c r="AN299" i="44"/>
  <c r="AM299" i="44"/>
  <c r="BF299" i="44" s="1"/>
  <c r="AL299" i="44"/>
  <c r="BE299" i="44" s="1"/>
  <c r="AK299" i="44"/>
  <c r="BD299" i="44" s="1"/>
  <c r="AJ299" i="44"/>
  <c r="BC299" i="44" s="1"/>
  <c r="AI299" i="44"/>
  <c r="BB299" i="44" s="1"/>
  <c r="AN298" i="44"/>
  <c r="AM298" i="44"/>
  <c r="BF298" i="44" s="1"/>
  <c r="AL298" i="44"/>
  <c r="BE298" i="44" s="1"/>
  <c r="AK298" i="44"/>
  <c r="BD298" i="44" s="1"/>
  <c r="AJ298" i="44"/>
  <c r="BC298" i="44" s="1"/>
  <c r="AI298" i="44"/>
  <c r="BB298" i="44" s="1"/>
  <c r="AN297" i="44"/>
  <c r="AM297" i="44"/>
  <c r="BF297" i="44" s="1"/>
  <c r="AL297" i="44"/>
  <c r="BE297" i="44" s="1"/>
  <c r="AK297" i="44"/>
  <c r="BD297" i="44" s="1"/>
  <c r="AJ297" i="44"/>
  <c r="BC297" i="44" s="1"/>
  <c r="AI297" i="44"/>
  <c r="BB297" i="44" s="1"/>
  <c r="AN296" i="44"/>
  <c r="AM296" i="44"/>
  <c r="BF296" i="44" s="1"/>
  <c r="AL296" i="44"/>
  <c r="BE296" i="44" s="1"/>
  <c r="AK296" i="44"/>
  <c r="BD296" i="44" s="1"/>
  <c r="AJ296" i="44"/>
  <c r="BC296" i="44" s="1"/>
  <c r="AI296" i="44"/>
  <c r="BB296" i="44" s="1"/>
  <c r="AN295" i="44"/>
  <c r="AM295" i="44"/>
  <c r="BF295" i="44" s="1"/>
  <c r="AL295" i="44"/>
  <c r="BE295" i="44" s="1"/>
  <c r="AK295" i="44"/>
  <c r="BD295" i="44" s="1"/>
  <c r="AJ295" i="44"/>
  <c r="BC295" i="44" s="1"/>
  <c r="AI295" i="44"/>
  <c r="BB295" i="44" s="1"/>
  <c r="AN294" i="44"/>
  <c r="AM294" i="44"/>
  <c r="BF294" i="44" s="1"/>
  <c r="AL294" i="44"/>
  <c r="BE294" i="44" s="1"/>
  <c r="AK294" i="44"/>
  <c r="BD294" i="44" s="1"/>
  <c r="AJ294" i="44"/>
  <c r="BC294" i="44" s="1"/>
  <c r="AI294" i="44"/>
  <c r="BB294" i="44" s="1"/>
  <c r="AN293" i="44"/>
  <c r="AM293" i="44"/>
  <c r="BF293" i="44" s="1"/>
  <c r="AL293" i="44"/>
  <c r="BE293" i="44" s="1"/>
  <c r="AK293" i="44"/>
  <c r="BD293" i="44" s="1"/>
  <c r="AJ293" i="44"/>
  <c r="BC293" i="44" s="1"/>
  <c r="AI293" i="44"/>
  <c r="BB293" i="44" s="1"/>
  <c r="AN292" i="44"/>
  <c r="AM292" i="44"/>
  <c r="BF292" i="44" s="1"/>
  <c r="AL292" i="44"/>
  <c r="BE292" i="44" s="1"/>
  <c r="AK292" i="44"/>
  <c r="BD292" i="44" s="1"/>
  <c r="AJ292" i="44"/>
  <c r="BC292" i="44" s="1"/>
  <c r="AI292" i="44"/>
  <c r="BB292" i="44" s="1"/>
  <c r="AN291" i="44"/>
  <c r="AM291" i="44"/>
  <c r="BF291" i="44" s="1"/>
  <c r="AL291" i="44"/>
  <c r="BE291" i="44" s="1"/>
  <c r="AK291" i="44"/>
  <c r="BD291" i="44" s="1"/>
  <c r="AJ291" i="44"/>
  <c r="BC291" i="44" s="1"/>
  <c r="AI291" i="44"/>
  <c r="BB291" i="44" s="1"/>
  <c r="AN290" i="44"/>
  <c r="AM290" i="44"/>
  <c r="BF290" i="44" s="1"/>
  <c r="AL290" i="44"/>
  <c r="BE290" i="44" s="1"/>
  <c r="AK290" i="44"/>
  <c r="BD290" i="44" s="1"/>
  <c r="AJ290" i="44"/>
  <c r="BC290" i="44" s="1"/>
  <c r="AI290" i="44"/>
  <c r="BB290" i="44" s="1"/>
  <c r="AN289" i="44"/>
  <c r="AM289" i="44"/>
  <c r="BF289" i="44" s="1"/>
  <c r="AL289" i="44"/>
  <c r="BE289" i="44" s="1"/>
  <c r="AK289" i="44"/>
  <c r="BD289" i="44" s="1"/>
  <c r="AJ289" i="44"/>
  <c r="BC289" i="44" s="1"/>
  <c r="AI289" i="44"/>
  <c r="BB289" i="44" s="1"/>
  <c r="AN288" i="44"/>
  <c r="AM288" i="44"/>
  <c r="BF288" i="44" s="1"/>
  <c r="AL288" i="44"/>
  <c r="BE288" i="44" s="1"/>
  <c r="AK288" i="44"/>
  <c r="BD288" i="44" s="1"/>
  <c r="AJ288" i="44"/>
  <c r="BC288" i="44" s="1"/>
  <c r="AI288" i="44"/>
  <c r="BB288" i="44" s="1"/>
  <c r="AN287" i="44"/>
  <c r="AM287" i="44"/>
  <c r="BF287" i="44" s="1"/>
  <c r="AL287" i="44"/>
  <c r="BE287" i="44" s="1"/>
  <c r="AK287" i="44"/>
  <c r="BD287" i="44" s="1"/>
  <c r="AJ287" i="44"/>
  <c r="BC287" i="44" s="1"/>
  <c r="AI287" i="44"/>
  <c r="BB287" i="44" s="1"/>
  <c r="AN286" i="44"/>
  <c r="AM286" i="44"/>
  <c r="BF286" i="44" s="1"/>
  <c r="AL286" i="44"/>
  <c r="BE286" i="44" s="1"/>
  <c r="AK286" i="44"/>
  <c r="BD286" i="44" s="1"/>
  <c r="AJ286" i="44"/>
  <c r="BC286" i="44" s="1"/>
  <c r="AI286" i="44"/>
  <c r="BB286" i="44" s="1"/>
  <c r="AN285" i="44"/>
  <c r="AM285" i="44"/>
  <c r="BF285" i="44" s="1"/>
  <c r="AL285" i="44"/>
  <c r="BE285" i="44" s="1"/>
  <c r="AK285" i="44"/>
  <c r="BD285" i="44" s="1"/>
  <c r="AJ285" i="44"/>
  <c r="BC285" i="44" s="1"/>
  <c r="AI285" i="44"/>
  <c r="BB285" i="44" s="1"/>
  <c r="AN284" i="44"/>
  <c r="AM284" i="44"/>
  <c r="BF284" i="44" s="1"/>
  <c r="AL284" i="44"/>
  <c r="BE284" i="44" s="1"/>
  <c r="AK284" i="44"/>
  <c r="BD284" i="44" s="1"/>
  <c r="AJ284" i="44"/>
  <c r="BC284" i="44" s="1"/>
  <c r="AI284" i="44"/>
  <c r="BB284" i="44" s="1"/>
  <c r="AN283" i="44"/>
  <c r="AM283" i="44"/>
  <c r="BF283" i="44" s="1"/>
  <c r="AL283" i="44"/>
  <c r="BE283" i="44" s="1"/>
  <c r="AK283" i="44"/>
  <c r="BD283" i="44" s="1"/>
  <c r="AJ283" i="44"/>
  <c r="BC283" i="44" s="1"/>
  <c r="AI283" i="44"/>
  <c r="BB283" i="44" s="1"/>
  <c r="AN282" i="44"/>
  <c r="AM282" i="44"/>
  <c r="BF282" i="44" s="1"/>
  <c r="AL282" i="44"/>
  <c r="BE282" i="44" s="1"/>
  <c r="AK282" i="44"/>
  <c r="BD282" i="44" s="1"/>
  <c r="AJ282" i="44"/>
  <c r="BC282" i="44" s="1"/>
  <c r="AI282" i="44"/>
  <c r="BB282" i="44" s="1"/>
  <c r="AN281" i="44"/>
  <c r="AM281" i="44"/>
  <c r="BF281" i="44" s="1"/>
  <c r="AL281" i="44"/>
  <c r="BE281" i="44" s="1"/>
  <c r="AK281" i="44"/>
  <c r="BD281" i="44" s="1"/>
  <c r="AJ281" i="44"/>
  <c r="BC281" i="44" s="1"/>
  <c r="AI281" i="44"/>
  <c r="BB281" i="44" s="1"/>
  <c r="AN280" i="44"/>
  <c r="AM280" i="44"/>
  <c r="BF280" i="44" s="1"/>
  <c r="AL280" i="44"/>
  <c r="BE280" i="44" s="1"/>
  <c r="AK280" i="44"/>
  <c r="BD280" i="44" s="1"/>
  <c r="AJ280" i="44"/>
  <c r="BC280" i="44" s="1"/>
  <c r="AI280" i="44"/>
  <c r="BB280" i="44" s="1"/>
  <c r="AN279" i="44"/>
  <c r="AM279" i="44"/>
  <c r="BF279" i="44" s="1"/>
  <c r="AL279" i="44"/>
  <c r="BE279" i="44" s="1"/>
  <c r="AK279" i="44"/>
  <c r="BD279" i="44" s="1"/>
  <c r="AJ279" i="44"/>
  <c r="BC279" i="44" s="1"/>
  <c r="AI279" i="44"/>
  <c r="BB279" i="44" s="1"/>
  <c r="AN278" i="44"/>
  <c r="AM278" i="44"/>
  <c r="BF278" i="44" s="1"/>
  <c r="AL278" i="44"/>
  <c r="BE278" i="44" s="1"/>
  <c r="AK278" i="44"/>
  <c r="BD278" i="44" s="1"/>
  <c r="AJ278" i="44"/>
  <c r="BC278" i="44" s="1"/>
  <c r="AI278" i="44"/>
  <c r="BB278" i="44" s="1"/>
  <c r="AN277" i="44"/>
  <c r="AM277" i="44"/>
  <c r="BF277" i="44" s="1"/>
  <c r="AL277" i="44"/>
  <c r="BE277" i="44" s="1"/>
  <c r="AK277" i="44"/>
  <c r="BD277" i="44" s="1"/>
  <c r="AJ277" i="44"/>
  <c r="BC277" i="44" s="1"/>
  <c r="AI277" i="44"/>
  <c r="BB277" i="44" s="1"/>
  <c r="AN276" i="44"/>
  <c r="AM276" i="44"/>
  <c r="BF276" i="44" s="1"/>
  <c r="AL276" i="44"/>
  <c r="BE276" i="44" s="1"/>
  <c r="AK276" i="44"/>
  <c r="BD276" i="44" s="1"/>
  <c r="AJ276" i="44"/>
  <c r="BC276" i="44" s="1"/>
  <c r="AI276" i="44"/>
  <c r="BB276" i="44" s="1"/>
  <c r="AN275" i="44"/>
  <c r="AM275" i="44"/>
  <c r="BF275" i="44" s="1"/>
  <c r="AL275" i="44"/>
  <c r="BE275" i="44" s="1"/>
  <c r="AK275" i="44"/>
  <c r="BD275" i="44" s="1"/>
  <c r="AJ275" i="44"/>
  <c r="BC275" i="44" s="1"/>
  <c r="AI275" i="44"/>
  <c r="BB275" i="44" s="1"/>
  <c r="AN274" i="44"/>
  <c r="AM274" i="44"/>
  <c r="BF274" i="44" s="1"/>
  <c r="AL274" i="44"/>
  <c r="BE274" i="44" s="1"/>
  <c r="AK274" i="44"/>
  <c r="BD274" i="44" s="1"/>
  <c r="AJ274" i="44"/>
  <c r="BC274" i="44" s="1"/>
  <c r="AI274" i="44"/>
  <c r="BB274" i="44" s="1"/>
  <c r="AN273" i="44"/>
  <c r="AM273" i="44"/>
  <c r="BF273" i="44" s="1"/>
  <c r="AL273" i="44"/>
  <c r="BE273" i="44" s="1"/>
  <c r="AK273" i="44"/>
  <c r="BD273" i="44" s="1"/>
  <c r="AJ273" i="44"/>
  <c r="BC273" i="44" s="1"/>
  <c r="AI273" i="44"/>
  <c r="BB273" i="44" s="1"/>
  <c r="AN272" i="44"/>
  <c r="AM272" i="44"/>
  <c r="BF272" i="44" s="1"/>
  <c r="AL272" i="44"/>
  <c r="BE272" i="44" s="1"/>
  <c r="AK272" i="44"/>
  <c r="BD272" i="44" s="1"/>
  <c r="AJ272" i="44"/>
  <c r="BC272" i="44" s="1"/>
  <c r="AI272" i="44"/>
  <c r="BB272" i="44" s="1"/>
  <c r="AN271" i="44"/>
  <c r="AM271" i="44"/>
  <c r="BF271" i="44" s="1"/>
  <c r="AL271" i="44"/>
  <c r="BE271" i="44" s="1"/>
  <c r="AK271" i="44"/>
  <c r="BD271" i="44" s="1"/>
  <c r="AJ271" i="44"/>
  <c r="BC271" i="44" s="1"/>
  <c r="AI271" i="44"/>
  <c r="BB271" i="44" s="1"/>
  <c r="AN270" i="44"/>
  <c r="AM270" i="44"/>
  <c r="BF270" i="44" s="1"/>
  <c r="AL270" i="44"/>
  <c r="BE270" i="44" s="1"/>
  <c r="AK270" i="44"/>
  <c r="BD270" i="44" s="1"/>
  <c r="AJ270" i="44"/>
  <c r="BC270" i="44" s="1"/>
  <c r="AI270" i="44"/>
  <c r="BB270" i="44" s="1"/>
  <c r="AN269" i="44"/>
  <c r="AM269" i="44"/>
  <c r="BF269" i="44" s="1"/>
  <c r="AL269" i="44"/>
  <c r="BE269" i="44" s="1"/>
  <c r="AK269" i="44"/>
  <c r="BD269" i="44" s="1"/>
  <c r="AJ269" i="44"/>
  <c r="BC269" i="44" s="1"/>
  <c r="AI269" i="44"/>
  <c r="BB269" i="44" s="1"/>
  <c r="AN268" i="44"/>
  <c r="AM268" i="44"/>
  <c r="BF268" i="44" s="1"/>
  <c r="AL268" i="44"/>
  <c r="BE268" i="44" s="1"/>
  <c r="AK268" i="44"/>
  <c r="BD268" i="44" s="1"/>
  <c r="AJ268" i="44"/>
  <c r="BC268" i="44" s="1"/>
  <c r="AI268" i="44"/>
  <c r="BB268" i="44" s="1"/>
  <c r="AN267" i="44"/>
  <c r="AM267" i="44"/>
  <c r="BF267" i="44" s="1"/>
  <c r="AL267" i="44"/>
  <c r="BE267" i="44" s="1"/>
  <c r="AK267" i="44"/>
  <c r="BD267" i="44" s="1"/>
  <c r="AJ267" i="44"/>
  <c r="BC267" i="44" s="1"/>
  <c r="AI267" i="44"/>
  <c r="BB267" i="44" s="1"/>
  <c r="AN266" i="44"/>
  <c r="AM266" i="44"/>
  <c r="BF266" i="44" s="1"/>
  <c r="AL266" i="44"/>
  <c r="BE266" i="44" s="1"/>
  <c r="AK266" i="44"/>
  <c r="BD266" i="44" s="1"/>
  <c r="AJ266" i="44"/>
  <c r="BC266" i="44" s="1"/>
  <c r="AI266" i="44"/>
  <c r="BB266" i="44" s="1"/>
  <c r="AN265" i="44"/>
  <c r="AM265" i="44"/>
  <c r="BF265" i="44" s="1"/>
  <c r="AL265" i="44"/>
  <c r="BE265" i="44" s="1"/>
  <c r="AK265" i="44"/>
  <c r="BD265" i="44" s="1"/>
  <c r="AJ265" i="44"/>
  <c r="BC265" i="44" s="1"/>
  <c r="AI265" i="44"/>
  <c r="BB265" i="44" s="1"/>
  <c r="AN264" i="44"/>
  <c r="AM264" i="44"/>
  <c r="BF264" i="44" s="1"/>
  <c r="AL264" i="44"/>
  <c r="BE264" i="44" s="1"/>
  <c r="AK264" i="44"/>
  <c r="BD264" i="44" s="1"/>
  <c r="AJ264" i="44"/>
  <c r="BC264" i="44" s="1"/>
  <c r="AI264" i="44"/>
  <c r="BB264" i="44" s="1"/>
  <c r="AN263" i="44"/>
  <c r="AM263" i="44"/>
  <c r="BF263" i="44" s="1"/>
  <c r="AL263" i="44"/>
  <c r="BE263" i="44" s="1"/>
  <c r="AK263" i="44"/>
  <c r="BD263" i="44" s="1"/>
  <c r="AJ263" i="44"/>
  <c r="BC263" i="44" s="1"/>
  <c r="AI263" i="44"/>
  <c r="BB263" i="44" s="1"/>
  <c r="AN262" i="44"/>
  <c r="AM262" i="44"/>
  <c r="BF262" i="44" s="1"/>
  <c r="AL262" i="44"/>
  <c r="BE262" i="44" s="1"/>
  <c r="AK262" i="44"/>
  <c r="BD262" i="44" s="1"/>
  <c r="AJ262" i="44"/>
  <c r="BC262" i="44" s="1"/>
  <c r="AI262" i="44"/>
  <c r="BB262" i="44" s="1"/>
  <c r="AN261" i="44"/>
  <c r="AM261" i="44"/>
  <c r="BF261" i="44" s="1"/>
  <c r="AL261" i="44"/>
  <c r="BE261" i="44" s="1"/>
  <c r="AK261" i="44"/>
  <c r="BD261" i="44" s="1"/>
  <c r="AJ261" i="44"/>
  <c r="BC261" i="44" s="1"/>
  <c r="AI261" i="44"/>
  <c r="BB261" i="44" s="1"/>
  <c r="AN260" i="44"/>
  <c r="AM260" i="44"/>
  <c r="BF260" i="44" s="1"/>
  <c r="AL260" i="44"/>
  <c r="BE260" i="44" s="1"/>
  <c r="AK260" i="44"/>
  <c r="BD260" i="44" s="1"/>
  <c r="AJ260" i="44"/>
  <c r="BC260" i="44" s="1"/>
  <c r="AI260" i="44"/>
  <c r="BB260" i="44" s="1"/>
  <c r="AN259" i="44"/>
  <c r="AM259" i="44"/>
  <c r="BF259" i="44" s="1"/>
  <c r="AL259" i="44"/>
  <c r="BE259" i="44" s="1"/>
  <c r="AK259" i="44"/>
  <c r="BD259" i="44" s="1"/>
  <c r="AJ259" i="44"/>
  <c r="BC259" i="44" s="1"/>
  <c r="AI259" i="44"/>
  <c r="BB259" i="44" s="1"/>
  <c r="AN258" i="44"/>
  <c r="AM258" i="44"/>
  <c r="BF258" i="44" s="1"/>
  <c r="AL258" i="44"/>
  <c r="BE258" i="44" s="1"/>
  <c r="AK258" i="44"/>
  <c r="BD258" i="44" s="1"/>
  <c r="AJ258" i="44"/>
  <c r="BC258" i="44" s="1"/>
  <c r="AI258" i="44"/>
  <c r="BB258" i="44" s="1"/>
  <c r="AN257" i="44"/>
  <c r="AM257" i="44"/>
  <c r="BF257" i="44" s="1"/>
  <c r="AL257" i="44"/>
  <c r="BE257" i="44" s="1"/>
  <c r="AK257" i="44"/>
  <c r="BD257" i="44" s="1"/>
  <c r="AJ257" i="44"/>
  <c r="BC257" i="44" s="1"/>
  <c r="AI257" i="44"/>
  <c r="BB257" i="44" s="1"/>
  <c r="AN256" i="44"/>
  <c r="AM256" i="44"/>
  <c r="BF256" i="44" s="1"/>
  <c r="AL256" i="44"/>
  <c r="BE256" i="44" s="1"/>
  <c r="AK256" i="44"/>
  <c r="BD256" i="44" s="1"/>
  <c r="AJ256" i="44"/>
  <c r="BC256" i="44" s="1"/>
  <c r="AI256" i="44"/>
  <c r="BB256" i="44" s="1"/>
  <c r="AN255" i="44"/>
  <c r="AM255" i="44"/>
  <c r="BF255" i="44" s="1"/>
  <c r="AL255" i="44"/>
  <c r="BE255" i="44" s="1"/>
  <c r="AK255" i="44"/>
  <c r="BD255" i="44" s="1"/>
  <c r="AJ255" i="44"/>
  <c r="BC255" i="44" s="1"/>
  <c r="AI255" i="44"/>
  <c r="BB255" i="44" s="1"/>
  <c r="AN254" i="44"/>
  <c r="AM254" i="44"/>
  <c r="BF254" i="44" s="1"/>
  <c r="AL254" i="44"/>
  <c r="BE254" i="44" s="1"/>
  <c r="AK254" i="44"/>
  <c r="BD254" i="44" s="1"/>
  <c r="AJ254" i="44"/>
  <c r="BC254" i="44" s="1"/>
  <c r="AI254" i="44"/>
  <c r="BB254" i="44" s="1"/>
  <c r="AN253" i="44"/>
  <c r="AM253" i="44"/>
  <c r="BF253" i="44" s="1"/>
  <c r="AL253" i="44"/>
  <c r="BE253" i="44" s="1"/>
  <c r="AK253" i="44"/>
  <c r="BD253" i="44" s="1"/>
  <c r="AJ253" i="44"/>
  <c r="BC253" i="44" s="1"/>
  <c r="AI253" i="44"/>
  <c r="BB253" i="44" s="1"/>
  <c r="AN252" i="44"/>
  <c r="AM252" i="44"/>
  <c r="BF252" i="44" s="1"/>
  <c r="AL252" i="44"/>
  <c r="BE252" i="44" s="1"/>
  <c r="AK252" i="44"/>
  <c r="BD252" i="44" s="1"/>
  <c r="AJ252" i="44"/>
  <c r="BC252" i="44" s="1"/>
  <c r="AI252" i="44"/>
  <c r="BB252" i="44" s="1"/>
  <c r="AN251" i="44"/>
  <c r="AM251" i="44"/>
  <c r="BF251" i="44" s="1"/>
  <c r="AL251" i="44"/>
  <c r="BE251" i="44" s="1"/>
  <c r="AK251" i="44"/>
  <c r="BD251" i="44" s="1"/>
  <c r="AJ251" i="44"/>
  <c r="BC251" i="44" s="1"/>
  <c r="AI251" i="44"/>
  <c r="BB251" i="44" s="1"/>
  <c r="AN250" i="44"/>
  <c r="AM250" i="44"/>
  <c r="BF250" i="44" s="1"/>
  <c r="AL250" i="44"/>
  <c r="BE250" i="44" s="1"/>
  <c r="AK250" i="44"/>
  <c r="BD250" i="44" s="1"/>
  <c r="AJ250" i="44"/>
  <c r="BC250" i="44" s="1"/>
  <c r="AI250" i="44"/>
  <c r="BB250" i="44" s="1"/>
  <c r="AN249" i="44"/>
  <c r="AM249" i="44"/>
  <c r="BF249" i="44" s="1"/>
  <c r="AL249" i="44"/>
  <c r="BE249" i="44" s="1"/>
  <c r="AK249" i="44"/>
  <c r="BD249" i="44" s="1"/>
  <c r="AJ249" i="44"/>
  <c r="BC249" i="44" s="1"/>
  <c r="AI249" i="44"/>
  <c r="BB249" i="44" s="1"/>
  <c r="AN248" i="44"/>
  <c r="AM248" i="44"/>
  <c r="BF248" i="44" s="1"/>
  <c r="AL248" i="44"/>
  <c r="BE248" i="44" s="1"/>
  <c r="AK248" i="44"/>
  <c r="BD248" i="44" s="1"/>
  <c r="AJ248" i="44"/>
  <c r="BC248" i="44" s="1"/>
  <c r="AI248" i="44"/>
  <c r="BB248" i="44" s="1"/>
  <c r="AN247" i="44"/>
  <c r="AM247" i="44"/>
  <c r="BF247" i="44" s="1"/>
  <c r="AL247" i="44"/>
  <c r="BE247" i="44" s="1"/>
  <c r="AK247" i="44"/>
  <c r="BD247" i="44" s="1"/>
  <c r="AJ247" i="44"/>
  <c r="BC247" i="44" s="1"/>
  <c r="AI247" i="44"/>
  <c r="BB247" i="44" s="1"/>
  <c r="AN246" i="44"/>
  <c r="AM246" i="44"/>
  <c r="BF246" i="44" s="1"/>
  <c r="AL246" i="44"/>
  <c r="BE246" i="44" s="1"/>
  <c r="AK246" i="44"/>
  <c r="BD246" i="44" s="1"/>
  <c r="AJ246" i="44"/>
  <c r="BC246" i="44" s="1"/>
  <c r="AI246" i="44"/>
  <c r="BB246" i="44" s="1"/>
  <c r="AN245" i="44"/>
  <c r="AM245" i="44"/>
  <c r="BF245" i="44" s="1"/>
  <c r="AL245" i="44"/>
  <c r="BE245" i="44" s="1"/>
  <c r="AK245" i="44"/>
  <c r="BD245" i="44" s="1"/>
  <c r="AJ245" i="44"/>
  <c r="BC245" i="44" s="1"/>
  <c r="AI245" i="44"/>
  <c r="BB245" i="44" s="1"/>
  <c r="AN244" i="44"/>
  <c r="AM244" i="44"/>
  <c r="BF244" i="44" s="1"/>
  <c r="AL244" i="44"/>
  <c r="BE244" i="44" s="1"/>
  <c r="AK244" i="44"/>
  <c r="BD244" i="44" s="1"/>
  <c r="AJ244" i="44"/>
  <c r="BC244" i="44" s="1"/>
  <c r="AI244" i="44"/>
  <c r="BB244" i="44" s="1"/>
  <c r="AN243" i="44"/>
  <c r="AM243" i="44"/>
  <c r="BF243" i="44" s="1"/>
  <c r="AL243" i="44"/>
  <c r="BE243" i="44" s="1"/>
  <c r="AK243" i="44"/>
  <c r="BD243" i="44" s="1"/>
  <c r="AJ243" i="44"/>
  <c r="BC243" i="44" s="1"/>
  <c r="AI243" i="44"/>
  <c r="BB243" i="44" s="1"/>
  <c r="AN242" i="44"/>
  <c r="AM242" i="44"/>
  <c r="BF242" i="44" s="1"/>
  <c r="AL242" i="44"/>
  <c r="BE242" i="44" s="1"/>
  <c r="AK242" i="44"/>
  <c r="BD242" i="44" s="1"/>
  <c r="AJ242" i="44"/>
  <c r="BC242" i="44" s="1"/>
  <c r="AI242" i="44"/>
  <c r="BB242" i="44" s="1"/>
  <c r="AN241" i="44"/>
  <c r="AM241" i="44"/>
  <c r="BF241" i="44" s="1"/>
  <c r="AL241" i="44"/>
  <c r="BE241" i="44" s="1"/>
  <c r="AK241" i="44"/>
  <c r="BD241" i="44" s="1"/>
  <c r="AJ241" i="44"/>
  <c r="BC241" i="44" s="1"/>
  <c r="AI241" i="44"/>
  <c r="BB241" i="44" s="1"/>
  <c r="AN240" i="44"/>
  <c r="AM240" i="44"/>
  <c r="BF240" i="44" s="1"/>
  <c r="AL240" i="44"/>
  <c r="BE240" i="44" s="1"/>
  <c r="AK240" i="44"/>
  <c r="BD240" i="44" s="1"/>
  <c r="AJ240" i="44"/>
  <c r="BC240" i="44" s="1"/>
  <c r="AI240" i="44"/>
  <c r="BB240" i="44" s="1"/>
  <c r="AN239" i="44"/>
  <c r="AM239" i="44"/>
  <c r="BF239" i="44" s="1"/>
  <c r="AL239" i="44"/>
  <c r="BE239" i="44" s="1"/>
  <c r="AK239" i="44"/>
  <c r="BD239" i="44" s="1"/>
  <c r="AJ239" i="44"/>
  <c r="BC239" i="44" s="1"/>
  <c r="AI239" i="44"/>
  <c r="BB239" i="44" s="1"/>
  <c r="AN238" i="44"/>
  <c r="AM238" i="44"/>
  <c r="BF238" i="44" s="1"/>
  <c r="AL238" i="44"/>
  <c r="BE238" i="44" s="1"/>
  <c r="AK238" i="44"/>
  <c r="BD238" i="44" s="1"/>
  <c r="AJ238" i="44"/>
  <c r="BC238" i="44" s="1"/>
  <c r="AI238" i="44"/>
  <c r="BB238" i="44" s="1"/>
  <c r="AN237" i="44"/>
  <c r="AM237" i="44"/>
  <c r="BF237" i="44" s="1"/>
  <c r="AL237" i="44"/>
  <c r="BE237" i="44" s="1"/>
  <c r="AK237" i="44"/>
  <c r="BD237" i="44" s="1"/>
  <c r="AJ237" i="44"/>
  <c r="BC237" i="44" s="1"/>
  <c r="AI237" i="44"/>
  <c r="BB237" i="44" s="1"/>
  <c r="AN236" i="44"/>
  <c r="AM236" i="44"/>
  <c r="BF236" i="44" s="1"/>
  <c r="AL236" i="44"/>
  <c r="BE236" i="44" s="1"/>
  <c r="AK236" i="44"/>
  <c r="BD236" i="44" s="1"/>
  <c r="AJ236" i="44"/>
  <c r="BC236" i="44" s="1"/>
  <c r="AI236" i="44"/>
  <c r="BB236" i="44" s="1"/>
  <c r="AN235" i="44"/>
  <c r="AM235" i="44"/>
  <c r="BF235" i="44" s="1"/>
  <c r="AL235" i="44"/>
  <c r="BE235" i="44" s="1"/>
  <c r="AK235" i="44"/>
  <c r="BD235" i="44" s="1"/>
  <c r="AJ235" i="44"/>
  <c r="BC235" i="44" s="1"/>
  <c r="AI235" i="44"/>
  <c r="BB235" i="44" s="1"/>
  <c r="AN234" i="44"/>
  <c r="AM234" i="44"/>
  <c r="BF234" i="44" s="1"/>
  <c r="AL234" i="44"/>
  <c r="BE234" i="44" s="1"/>
  <c r="AK234" i="44"/>
  <c r="BD234" i="44" s="1"/>
  <c r="AJ234" i="44"/>
  <c r="BC234" i="44" s="1"/>
  <c r="AI234" i="44"/>
  <c r="BB234" i="44" s="1"/>
  <c r="AN233" i="44"/>
  <c r="AM233" i="44"/>
  <c r="BF233" i="44" s="1"/>
  <c r="AL233" i="44"/>
  <c r="BE233" i="44" s="1"/>
  <c r="AK233" i="44"/>
  <c r="BD233" i="44" s="1"/>
  <c r="AJ233" i="44"/>
  <c r="BC233" i="44" s="1"/>
  <c r="AI233" i="44"/>
  <c r="BB233" i="44" s="1"/>
  <c r="AN232" i="44"/>
  <c r="AM232" i="44"/>
  <c r="BF232" i="44" s="1"/>
  <c r="AL232" i="44"/>
  <c r="BE232" i="44" s="1"/>
  <c r="AK232" i="44"/>
  <c r="BD232" i="44" s="1"/>
  <c r="AJ232" i="44"/>
  <c r="BC232" i="44" s="1"/>
  <c r="AI232" i="44"/>
  <c r="BB232" i="44" s="1"/>
  <c r="AN231" i="44"/>
  <c r="AM231" i="44"/>
  <c r="BF231" i="44" s="1"/>
  <c r="AL231" i="44"/>
  <c r="BE231" i="44" s="1"/>
  <c r="AK231" i="44"/>
  <c r="BD231" i="44" s="1"/>
  <c r="AJ231" i="44"/>
  <c r="BC231" i="44" s="1"/>
  <c r="AI231" i="44"/>
  <c r="BB231" i="44" s="1"/>
  <c r="AN230" i="44"/>
  <c r="AM230" i="44"/>
  <c r="BF230" i="44" s="1"/>
  <c r="AL230" i="44"/>
  <c r="BE230" i="44" s="1"/>
  <c r="AK230" i="44"/>
  <c r="BD230" i="44" s="1"/>
  <c r="AJ230" i="44"/>
  <c r="BC230" i="44" s="1"/>
  <c r="AI230" i="44"/>
  <c r="BB230" i="44" s="1"/>
  <c r="AN229" i="44"/>
  <c r="AM229" i="44"/>
  <c r="BF229" i="44" s="1"/>
  <c r="AL229" i="44"/>
  <c r="BE229" i="44" s="1"/>
  <c r="AK229" i="44"/>
  <c r="BD229" i="44" s="1"/>
  <c r="AJ229" i="44"/>
  <c r="BC229" i="44" s="1"/>
  <c r="AI229" i="44"/>
  <c r="BB229" i="44" s="1"/>
  <c r="AN228" i="44"/>
  <c r="AM228" i="44"/>
  <c r="BF228" i="44" s="1"/>
  <c r="AL228" i="44"/>
  <c r="BE228" i="44" s="1"/>
  <c r="AK228" i="44"/>
  <c r="BD228" i="44" s="1"/>
  <c r="AJ228" i="44"/>
  <c r="BC228" i="44" s="1"/>
  <c r="AI228" i="44"/>
  <c r="BB228" i="44" s="1"/>
  <c r="AN227" i="44"/>
  <c r="AM227" i="44"/>
  <c r="BF227" i="44" s="1"/>
  <c r="AL227" i="44"/>
  <c r="BE227" i="44" s="1"/>
  <c r="AK227" i="44"/>
  <c r="BD227" i="44" s="1"/>
  <c r="AJ227" i="44"/>
  <c r="BC227" i="44" s="1"/>
  <c r="AI227" i="44"/>
  <c r="BB227" i="44" s="1"/>
  <c r="AN226" i="44"/>
  <c r="AM226" i="44"/>
  <c r="BF226" i="44" s="1"/>
  <c r="AL226" i="44"/>
  <c r="BE226" i="44" s="1"/>
  <c r="AK226" i="44"/>
  <c r="BD226" i="44" s="1"/>
  <c r="AJ226" i="44"/>
  <c r="BC226" i="44" s="1"/>
  <c r="AI226" i="44"/>
  <c r="BB226" i="44" s="1"/>
  <c r="AN225" i="44"/>
  <c r="AM225" i="44"/>
  <c r="BF225" i="44" s="1"/>
  <c r="AL225" i="44"/>
  <c r="BE225" i="44" s="1"/>
  <c r="AK225" i="44"/>
  <c r="BD225" i="44" s="1"/>
  <c r="AJ225" i="44"/>
  <c r="BC225" i="44" s="1"/>
  <c r="AI225" i="44"/>
  <c r="BB225" i="44" s="1"/>
  <c r="AN224" i="44"/>
  <c r="AM224" i="44"/>
  <c r="BF224" i="44" s="1"/>
  <c r="AL224" i="44"/>
  <c r="BE224" i="44" s="1"/>
  <c r="AK224" i="44"/>
  <c r="BD224" i="44" s="1"/>
  <c r="AJ224" i="44"/>
  <c r="BC224" i="44" s="1"/>
  <c r="AI224" i="44"/>
  <c r="BB224" i="44" s="1"/>
  <c r="AN223" i="44"/>
  <c r="AM223" i="44"/>
  <c r="BF223" i="44" s="1"/>
  <c r="AL223" i="44"/>
  <c r="BE223" i="44" s="1"/>
  <c r="AK223" i="44"/>
  <c r="BD223" i="44" s="1"/>
  <c r="AJ223" i="44"/>
  <c r="BC223" i="44" s="1"/>
  <c r="AI223" i="44"/>
  <c r="BB223" i="44" s="1"/>
  <c r="AN222" i="44"/>
  <c r="AM222" i="44"/>
  <c r="BF222" i="44" s="1"/>
  <c r="AL222" i="44"/>
  <c r="BE222" i="44" s="1"/>
  <c r="AK222" i="44"/>
  <c r="BD222" i="44" s="1"/>
  <c r="AJ222" i="44"/>
  <c r="BC222" i="44" s="1"/>
  <c r="AI222" i="44"/>
  <c r="BB222" i="44" s="1"/>
  <c r="AN221" i="44"/>
  <c r="AM221" i="44"/>
  <c r="BF221" i="44" s="1"/>
  <c r="AL221" i="44"/>
  <c r="BE221" i="44" s="1"/>
  <c r="AK221" i="44"/>
  <c r="BD221" i="44" s="1"/>
  <c r="AJ221" i="44"/>
  <c r="BC221" i="44" s="1"/>
  <c r="AI221" i="44"/>
  <c r="BB221" i="44" s="1"/>
  <c r="AN220" i="44"/>
  <c r="AM220" i="44"/>
  <c r="BF220" i="44" s="1"/>
  <c r="AL220" i="44"/>
  <c r="BE220" i="44" s="1"/>
  <c r="AK220" i="44"/>
  <c r="BD220" i="44" s="1"/>
  <c r="AJ220" i="44"/>
  <c r="BC220" i="44" s="1"/>
  <c r="AI220" i="44"/>
  <c r="BB220" i="44" s="1"/>
  <c r="AN219" i="44"/>
  <c r="AM219" i="44"/>
  <c r="BF219" i="44" s="1"/>
  <c r="AL219" i="44"/>
  <c r="BE219" i="44" s="1"/>
  <c r="AK219" i="44"/>
  <c r="BD219" i="44" s="1"/>
  <c r="AJ219" i="44"/>
  <c r="BC219" i="44" s="1"/>
  <c r="AI219" i="44"/>
  <c r="BB219" i="44" s="1"/>
  <c r="AN218" i="44"/>
  <c r="AM218" i="44"/>
  <c r="BF218" i="44" s="1"/>
  <c r="AL218" i="44"/>
  <c r="BE218" i="44" s="1"/>
  <c r="AK218" i="44"/>
  <c r="BD218" i="44" s="1"/>
  <c r="AJ218" i="44"/>
  <c r="BC218" i="44" s="1"/>
  <c r="AI218" i="44"/>
  <c r="BB218" i="44" s="1"/>
  <c r="AN217" i="44"/>
  <c r="AM217" i="44"/>
  <c r="BF217" i="44" s="1"/>
  <c r="AL217" i="44"/>
  <c r="BE217" i="44" s="1"/>
  <c r="AK217" i="44"/>
  <c r="BD217" i="44" s="1"/>
  <c r="AJ217" i="44"/>
  <c r="BC217" i="44" s="1"/>
  <c r="AI217" i="44"/>
  <c r="BB217" i="44" s="1"/>
  <c r="AN216" i="44"/>
  <c r="AM216" i="44"/>
  <c r="BF216" i="44" s="1"/>
  <c r="AL216" i="44"/>
  <c r="BE216" i="44" s="1"/>
  <c r="AK216" i="44"/>
  <c r="BD216" i="44" s="1"/>
  <c r="AJ216" i="44"/>
  <c r="BC216" i="44" s="1"/>
  <c r="AI216" i="44"/>
  <c r="BB216" i="44" s="1"/>
  <c r="AN215" i="44"/>
  <c r="AM215" i="44"/>
  <c r="BF215" i="44" s="1"/>
  <c r="AL215" i="44"/>
  <c r="BE215" i="44" s="1"/>
  <c r="AK215" i="44"/>
  <c r="BD215" i="44" s="1"/>
  <c r="AJ215" i="44"/>
  <c r="BC215" i="44" s="1"/>
  <c r="AI215" i="44"/>
  <c r="BB215" i="44" s="1"/>
  <c r="AN214" i="44"/>
  <c r="AM214" i="44"/>
  <c r="BF214" i="44" s="1"/>
  <c r="AL214" i="44"/>
  <c r="BE214" i="44" s="1"/>
  <c r="AK214" i="44"/>
  <c r="BD214" i="44" s="1"/>
  <c r="AJ214" i="44"/>
  <c r="BC214" i="44" s="1"/>
  <c r="AI214" i="44"/>
  <c r="BB214" i="44" s="1"/>
  <c r="AN213" i="44"/>
  <c r="AM213" i="44"/>
  <c r="BF213" i="44" s="1"/>
  <c r="AL213" i="44"/>
  <c r="BE213" i="44" s="1"/>
  <c r="AK213" i="44"/>
  <c r="BD213" i="44" s="1"/>
  <c r="AJ213" i="44"/>
  <c r="BC213" i="44" s="1"/>
  <c r="AI213" i="44"/>
  <c r="BB213" i="44" s="1"/>
  <c r="AN212" i="44"/>
  <c r="AM212" i="44"/>
  <c r="BF212" i="44" s="1"/>
  <c r="AL212" i="44"/>
  <c r="BE212" i="44" s="1"/>
  <c r="AK212" i="44"/>
  <c r="BD212" i="44" s="1"/>
  <c r="AJ212" i="44"/>
  <c r="BC212" i="44" s="1"/>
  <c r="AI212" i="44"/>
  <c r="BB212" i="44" s="1"/>
  <c r="AN211" i="44"/>
  <c r="AM211" i="44"/>
  <c r="BF211" i="44" s="1"/>
  <c r="AL211" i="44"/>
  <c r="BE211" i="44" s="1"/>
  <c r="AK211" i="44"/>
  <c r="BD211" i="44" s="1"/>
  <c r="AJ211" i="44"/>
  <c r="BC211" i="44" s="1"/>
  <c r="AI211" i="44"/>
  <c r="BB211" i="44" s="1"/>
  <c r="AN210" i="44"/>
  <c r="AM210" i="44"/>
  <c r="BF210" i="44" s="1"/>
  <c r="AL210" i="44"/>
  <c r="BE210" i="44" s="1"/>
  <c r="AK210" i="44"/>
  <c r="BD210" i="44" s="1"/>
  <c r="AJ210" i="44"/>
  <c r="BC210" i="44" s="1"/>
  <c r="AI210" i="44"/>
  <c r="BB210" i="44" s="1"/>
  <c r="AN209" i="44"/>
  <c r="AM209" i="44"/>
  <c r="BF209" i="44" s="1"/>
  <c r="AL209" i="44"/>
  <c r="BE209" i="44" s="1"/>
  <c r="AK209" i="44"/>
  <c r="BD209" i="44" s="1"/>
  <c r="AJ209" i="44"/>
  <c r="BC209" i="44" s="1"/>
  <c r="AI209" i="44"/>
  <c r="BB209" i="44" s="1"/>
  <c r="AN208" i="44"/>
  <c r="AM208" i="44"/>
  <c r="BF208" i="44" s="1"/>
  <c r="AL208" i="44"/>
  <c r="BE208" i="44" s="1"/>
  <c r="AK208" i="44"/>
  <c r="BD208" i="44" s="1"/>
  <c r="AJ208" i="44"/>
  <c r="BC208" i="44" s="1"/>
  <c r="AI208" i="44"/>
  <c r="BB208" i="44" s="1"/>
  <c r="AN207" i="44"/>
  <c r="AM207" i="44"/>
  <c r="BF207" i="44" s="1"/>
  <c r="AL207" i="44"/>
  <c r="BE207" i="44" s="1"/>
  <c r="AK207" i="44"/>
  <c r="BD207" i="44" s="1"/>
  <c r="AJ207" i="44"/>
  <c r="BC207" i="44" s="1"/>
  <c r="AI207" i="44"/>
  <c r="BB207" i="44" s="1"/>
  <c r="AN206" i="44"/>
  <c r="AM206" i="44"/>
  <c r="BF206" i="44" s="1"/>
  <c r="AL206" i="44"/>
  <c r="BE206" i="44" s="1"/>
  <c r="AK206" i="44"/>
  <c r="BD206" i="44" s="1"/>
  <c r="AJ206" i="44"/>
  <c r="BC206" i="44" s="1"/>
  <c r="AI206" i="44"/>
  <c r="BB206" i="44" s="1"/>
  <c r="AN205" i="44"/>
  <c r="AM205" i="44"/>
  <c r="BF205" i="44" s="1"/>
  <c r="AL205" i="44"/>
  <c r="BE205" i="44" s="1"/>
  <c r="AK205" i="44"/>
  <c r="BD205" i="44" s="1"/>
  <c r="AJ205" i="44"/>
  <c r="BC205" i="44" s="1"/>
  <c r="AI205" i="44"/>
  <c r="BB205" i="44" s="1"/>
  <c r="AN204" i="44"/>
  <c r="AM204" i="44"/>
  <c r="BF204" i="44" s="1"/>
  <c r="AL204" i="44"/>
  <c r="BE204" i="44" s="1"/>
  <c r="AK204" i="44"/>
  <c r="BD204" i="44" s="1"/>
  <c r="AJ204" i="44"/>
  <c r="BC204" i="44" s="1"/>
  <c r="AI204" i="44"/>
  <c r="BB204" i="44" s="1"/>
  <c r="AN203" i="44"/>
  <c r="AM203" i="44"/>
  <c r="BF203" i="44" s="1"/>
  <c r="AL203" i="44"/>
  <c r="BE203" i="44" s="1"/>
  <c r="AK203" i="44"/>
  <c r="BD203" i="44" s="1"/>
  <c r="AJ203" i="44"/>
  <c r="BC203" i="44" s="1"/>
  <c r="AI203" i="44"/>
  <c r="BB203" i="44" s="1"/>
  <c r="AN202" i="44"/>
  <c r="AM202" i="44"/>
  <c r="BF202" i="44" s="1"/>
  <c r="AL202" i="44"/>
  <c r="BE202" i="44" s="1"/>
  <c r="AK202" i="44"/>
  <c r="BD202" i="44" s="1"/>
  <c r="AJ202" i="44"/>
  <c r="BC202" i="44" s="1"/>
  <c r="AI202" i="44"/>
  <c r="BB202" i="44" s="1"/>
  <c r="AN201" i="44"/>
  <c r="AM201" i="44"/>
  <c r="BF201" i="44" s="1"/>
  <c r="AL201" i="44"/>
  <c r="BE201" i="44" s="1"/>
  <c r="AK201" i="44"/>
  <c r="BD201" i="44" s="1"/>
  <c r="AJ201" i="44"/>
  <c r="BC201" i="44" s="1"/>
  <c r="AI201" i="44"/>
  <c r="BB201" i="44" s="1"/>
  <c r="AN200" i="44"/>
  <c r="AM200" i="44"/>
  <c r="BF200" i="44" s="1"/>
  <c r="AL200" i="44"/>
  <c r="BE200" i="44" s="1"/>
  <c r="AK200" i="44"/>
  <c r="BD200" i="44" s="1"/>
  <c r="AJ200" i="44"/>
  <c r="BC200" i="44" s="1"/>
  <c r="AI200" i="44"/>
  <c r="BB200" i="44" s="1"/>
  <c r="AN199" i="44"/>
  <c r="AM199" i="44"/>
  <c r="BF199" i="44" s="1"/>
  <c r="AL199" i="44"/>
  <c r="BE199" i="44" s="1"/>
  <c r="AK199" i="44"/>
  <c r="BD199" i="44" s="1"/>
  <c r="AJ199" i="44"/>
  <c r="BC199" i="44" s="1"/>
  <c r="AI199" i="44"/>
  <c r="BB199" i="44" s="1"/>
  <c r="AN198" i="44"/>
  <c r="AM198" i="44"/>
  <c r="BF198" i="44" s="1"/>
  <c r="AL198" i="44"/>
  <c r="BE198" i="44" s="1"/>
  <c r="AK198" i="44"/>
  <c r="BD198" i="44" s="1"/>
  <c r="AJ198" i="44"/>
  <c r="BC198" i="44" s="1"/>
  <c r="AI198" i="44"/>
  <c r="BB198" i="44" s="1"/>
  <c r="AN197" i="44"/>
  <c r="AM197" i="44"/>
  <c r="BF197" i="44" s="1"/>
  <c r="AL197" i="44"/>
  <c r="BE197" i="44" s="1"/>
  <c r="AK197" i="44"/>
  <c r="BD197" i="44" s="1"/>
  <c r="AJ197" i="44"/>
  <c r="BC197" i="44" s="1"/>
  <c r="AI197" i="44"/>
  <c r="BB197" i="44" s="1"/>
  <c r="AN196" i="44"/>
  <c r="AM196" i="44"/>
  <c r="BF196" i="44" s="1"/>
  <c r="AL196" i="44"/>
  <c r="BE196" i="44" s="1"/>
  <c r="AK196" i="44"/>
  <c r="BD196" i="44" s="1"/>
  <c r="AJ196" i="44"/>
  <c r="BC196" i="44" s="1"/>
  <c r="AI196" i="44"/>
  <c r="BB196" i="44" s="1"/>
  <c r="AN195" i="44"/>
  <c r="AM195" i="44"/>
  <c r="BF195" i="44" s="1"/>
  <c r="AL195" i="44"/>
  <c r="BE195" i="44" s="1"/>
  <c r="AK195" i="44"/>
  <c r="BD195" i="44" s="1"/>
  <c r="AJ195" i="44"/>
  <c r="BC195" i="44" s="1"/>
  <c r="AI195" i="44"/>
  <c r="BB195" i="44" s="1"/>
  <c r="AN194" i="44"/>
  <c r="BG194" i="44" s="1"/>
  <c r="AM194" i="44"/>
  <c r="BF194" i="44" s="1"/>
  <c r="AL194" i="44"/>
  <c r="BE194" i="44" s="1"/>
  <c r="AK194" i="44"/>
  <c r="BD194" i="44" s="1"/>
  <c r="AJ194" i="44"/>
  <c r="BC194" i="44" s="1"/>
  <c r="AI194" i="44"/>
  <c r="BB194" i="44" s="1"/>
  <c r="AN193" i="44"/>
  <c r="AM193" i="44"/>
  <c r="BF193" i="44" s="1"/>
  <c r="AL193" i="44"/>
  <c r="BE193" i="44" s="1"/>
  <c r="AK193" i="44"/>
  <c r="BD193" i="44" s="1"/>
  <c r="AJ193" i="44"/>
  <c r="BC193" i="44" s="1"/>
  <c r="AI193" i="44"/>
  <c r="BB193" i="44" s="1"/>
  <c r="AN192" i="44"/>
  <c r="AM192" i="44"/>
  <c r="BF192" i="44" s="1"/>
  <c r="AL192" i="44"/>
  <c r="BE192" i="44" s="1"/>
  <c r="AK192" i="44"/>
  <c r="BD192" i="44" s="1"/>
  <c r="AJ192" i="44"/>
  <c r="BC192" i="44" s="1"/>
  <c r="AI192" i="44"/>
  <c r="BB192" i="44" s="1"/>
  <c r="AN191" i="44"/>
  <c r="AM191" i="44"/>
  <c r="BF191" i="44" s="1"/>
  <c r="AL191" i="44"/>
  <c r="BE191" i="44" s="1"/>
  <c r="AK191" i="44"/>
  <c r="BD191" i="44" s="1"/>
  <c r="AJ191" i="44"/>
  <c r="BC191" i="44" s="1"/>
  <c r="AI191" i="44"/>
  <c r="BB191" i="44" s="1"/>
  <c r="AN190" i="44"/>
  <c r="BG190" i="44" s="1"/>
  <c r="AM190" i="44"/>
  <c r="BF190" i="44" s="1"/>
  <c r="AL190" i="44"/>
  <c r="BE190" i="44" s="1"/>
  <c r="AK190" i="44"/>
  <c r="BD190" i="44" s="1"/>
  <c r="AJ190" i="44"/>
  <c r="BC190" i="44" s="1"/>
  <c r="AI190" i="44"/>
  <c r="BB190" i="44" s="1"/>
  <c r="AN189" i="44"/>
  <c r="AM189" i="44"/>
  <c r="BF189" i="44" s="1"/>
  <c r="AL189" i="44"/>
  <c r="BE189" i="44" s="1"/>
  <c r="AK189" i="44"/>
  <c r="BD189" i="44" s="1"/>
  <c r="AJ189" i="44"/>
  <c r="BC189" i="44" s="1"/>
  <c r="AI189" i="44"/>
  <c r="BB189" i="44" s="1"/>
  <c r="AN188" i="44"/>
  <c r="AM188" i="44"/>
  <c r="BF188" i="44" s="1"/>
  <c r="AL188" i="44"/>
  <c r="BE188" i="44" s="1"/>
  <c r="AK188" i="44"/>
  <c r="BD188" i="44" s="1"/>
  <c r="AJ188" i="44"/>
  <c r="BC188" i="44" s="1"/>
  <c r="AI188" i="44"/>
  <c r="BB188" i="44" s="1"/>
  <c r="AN187" i="44"/>
  <c r="AM187" i="44"/>
  <c r="BF187" i="44" s="1"/>
  <c r="AL187" i="44"/>
  <c r="BE187" i="44" s="1"/>
  <c r="AK187" i="44"/>
  <c r="BD187" i="44" s="1"/>
  <c r="AJ187" i="44"/>
  <c r="BC187" i="44" s="1"/>
  <c r="AI187" i="44"/>
  <c r="BB187" i="44" s="1"/>
  <c r="AN186" i="44"/>
  <c r="AM186" i="44"/>
  <c r="BF186" i="44" s="1"/>
  <c r="AL186" i="44"/>
  <c r="BE186" i="44" s="1"/>
  <c r="AK186" i="44"/>
  <c r="BD186" i="44" s="1"/>
  <c r="AJ186" i="44"/>
  <c r="BC186" i="44" s="1"/>
  <c r="AI186" i="44"/>
  <c r="BB186" i="44" s="1"/>
  <c r="AN185" i="44"/>
  <c r="AM185" i="44"/>
  <c r="BF185" i="44" s="1"/>
  <c r="AL185" i="44"/>
  <c r="BE185" i="44" s="1"/>
  <c r="AK185" i="44"/>
  <c r="BD185" i="44" s="1"/>
  <c r="AJ185" i="44"/>
  <c r="BC185" i="44" s="1"/>
  <c r="AI185" i="44"/>
  <c r="BB185" i="44" s="1"/>
  <c r="AN184" i="44"/>
  <c r="AM184" i="44"/>
  <c r="BF184" i="44" s="1"/>
  <c r="AL184" i="44"/>
  <c r="BE184" i="44" s="1"/>
  <c r="AK184" i="44"/>
  <c r="BD184" i="44" s="1"/>
  <c r="AJ184" i="44"/>
  <c r="BC184" i="44" s="1"/>
  <c r="AI184" i="44"/>
  <c r="BB184" i="44" s="1"/>
  <c r="AN183" i="44"/>
  <c r="AM183" i="44"/>
  <c r="BF183" i="44" s="1"/>
  <c r="AL183" i="44"/>
  <c r="BE183" i="44" s="1"/>
  <c r="AK183" i="44"/>
  <c r="BD183" i="44" s="1"/>
  <c r="AJ183" i="44"/>
  <c r="BC183" i="44" s="1"/>
  <c r="AI183" i="44"/>
  <c r="BB183" i="44" s="1"/>
  <c r="AN182" i="44"/>
  <c r="AM182" i="44"/>
  <c r="BF182" i="44" s="1"/>
  <c r="AL182" i="44"/>
  <c r="BE182" i="44" s="1"/>
  <c r="AK182" i="44"/>
  <c r="BD182" i="44" s="1"/>
  <c r="AJ182" i="44"/>
  <c r="BC182" i="44" s="1"/>
  <c r="AI182" i="44"/>
  <c r="BB182" i="44" s="1"/>
  <c r="AN181" i="44"/>
  <c r="AM181" i="44"/>
  <c r="BF181" i="44" s="1"/>
  <c r="AL181" i="44"/>
  <c r="BE181" i="44" s="1"/>
  <c r="AK181" i="44"/>
  <c r="BD181" i="44" s="1"/>
  <c r="AJ181" i="44"/>
  <c r="BC181" i="44" s="1"/>
  <c r="AI181" i="44"/>
  <c r="BB181" i="44" s="1"/>
  <c r="AN180" i="44"/>
  <c r="AM180" i="44"/>
  <c r="BF180" i="44" s="1"/>
  <c r="AL180" i="44"/>
  <c r="BE180" i="44" s="1"/>
  <c r="AK180" i="44"/>
  <c r="BD180" i="44" s="1"/>
  <c r="AJ180" i="44"/>
  <c r="BC180" i="44" s="1"/>
  <c r="AI180" i="44"/>
  <c r="BB180" i="44" s="1"/>
  <c r="AN179" i="44"/>
  <c r="AM179" i="44"/>
  <c r="BF179" i="44" s="1"/>
  <c r="AL179" i="44"/>
  <c r="BE179" i="44" s="1"/>
  <c r="AK179" i="44"/>
  <c r="BD179" i="44" s="1"/>
  <c r="AJ179" i="44"/>
  <c r="BC179" i="44" s="1"/>
  <c r="AI179" i="44"/>
  <c r="BB179" i="44" s="1"/>
  <c r="AN178" i="44"/>
  <c r="AM178" i="44"/>
  <c r="BF178" i="44" s="1"/>
  <c r="AL178" i="44"/>
  <c r="BE178" i="44" s="1"/>
  <c r="AK178" i="44"/>
  <c r="BD178" i="44" s="1"/>
  <c r="AJ178" i="44"/>
  <c r="BC178" i="44" s="1"/>
  <c r="AI178" i="44"/>
  <c r="BB178" i="44" s="1"/>
  <c r="AN177" i="44"/>
  <c r="AM177" i="44"/>
  <c r="BF177" i="44" s="1"/>
  <c r="AL177" i="44"/>
  <c r="BE177" i="44" s="1"/>
  <c r="AK177" i="44"/>
  <c r="BD177" i="44" s="1"/>
  <c r="AJ177" i="44"/>
  <c r="BC177" i="44" s="1"/>
  <c r="AI177" i="44"/>
  <c r="BB177" i="44" s="1"/>
  <c r="AN176" i="44"/>
  <c r="AM176" i="44"/>
  <c r="BF176" i="44" s="1"/>
  <c r="AL176" i="44"/>
  <c r="BE176" i="44" s="1"/>
  <c r="AK176" i="44"/>
  <c r="BD176" i="44" s="1"/>
  <c r="AJ176" i="44"/>
  <c r="BC176" i="44" s="1"/>
  <c r="AI176" i="44"/>
  <c r="BB176" i="44" s="1"/>
  <c r="AN175" i="44"/>
  <c r="AM175" i="44"/>
  <c r="BF175" i="44" s="1"/>
  <c r="AL175" i="44"/>
  <c r="BE175" i="44" s="1"/>
  <c r="AK175" i="44"/>
  <c r="BD175" i="44" s="1"/>
  <c r="AJ175" i="44"/>
  <c r="BC175" i="44" s="1"/>
  <c r="AI175" i="44"/>
  <c r="BB175" i="44" s="1"/>
  <c r="AN174" i="44"/>
  <c r="AM174" i="44"/>
  <c r="BF174" i="44" s="1"/>
  <c r="AL174" i="44"/>
  <c r="BE174" i="44" s="1"/>
  <c r="AK174" i="44"/>
  <c r="BD174" i="44" s="1"/>
  <c r="AJ174" i="44"/>
  <c r="BC174" i="44" s="1"/>
  <c r="AI174" i="44"/>
  <c r="BB174" i="44" s="1"/>
  <c r="AN173" i="44"/>
  <c r="AM173" i="44"/>
  <c r="BF173" i="44" s="1"/>
  <c r="AL173" i="44"/>
  <c r="BE173" i="44" s="1"/>
  <c r="AK173" i="44"/>
  <c r="BD173" i="44" s="1"/>
  <c r="AJ173" i="44"/>
  <c r="BC173" i="44" s="1"/>
  <c r="AI173" i="44"/>
  <c r="BB173" i="44" s="1"/>
  <c r="AN172" i="44"/>
  <c r="AM172" i="44"/>
  <c r="BF172" i="44" s="1"/>
  <c r="AL172" i="44"/>
  <c r="BE172" i="44" s="1"/>
  <c r="AK172" i="44"/>
  <c r="BD172" i="44" s="1"/>
  <c r="AJ172" i="44"/>
  <c r="BC172" i="44" s="1"/>
  <c r="AI172" i="44"/>
  <c r="BB172" i="44" s="1"/>
  <c r="AN171" i="44"/>
  <c r="AM171" i="44"/>
  <c r="BF171" i="44" s="1"/>
  <c r="AL171" i="44"/>
  <c r="BE171" i="44" s="1"/>
  <c r="AK171" i="44"/>
  <c r="BD171" i="44" s="1"/>
  <c r="AJ171" i="44"/>
  <c r="BC171" i="44" s="1"/>
  <c r="AI171" i="44"/>
  <c r="BB171" i="44" s="1"/>
  <c r="AN170" i="44"/>
  <c r="AM170" i="44"/>
  <c r="BF170" i="44" s="1"/>
  <c r="AL170" i="44"/>
  <c r="BE170" i="44" s="1"/>
  <c r="AK170" i="44"/>
  <c r="BD170" i="44" s="1"/>
  <c r="AJ170" i="44"/>
  <c r="BC170" i="44" s="1"/>
  <c r="AI170" i="44"/>
  <c r="BB170" i="44" s="1"/>
  <c r="AN169" i="44"/>
  <c r="AM169" i="44"/>
  <c r="BF169" i="44" s="1"/>
  <c r="AL169" i="44"/>
  <c r="BE169" i="44" s="1"/>
  <c r="AK169" i="44"/>
  <c r="BD169" i="44" s="1"/>
  <c r="AJ169" i="44"/>
  <c r="BC169" i="44" s="1"/>
  <c r="AI169" i="44"/>
  <c r="BB169" i="44" s="1"/>
  <c r="AN168" i="44"/>
  <c r="AM168" i="44"/>
  <c r="BF168" i="44" s="1"/>
  <c r="AL168" i="44"/>
  <c r="BE168" i="44" s="1"/>
  <c r="AK168" i="44"/>
  <c r="BD168" i="44" s="1"/>
  <c r="AJ168" i="44"/>
  <c r="BC168" i="44" s="1"/>
  <c r="AI168" i="44"/>
  <c r="BB168" i="44" s="1"/>
  <c r="AN167" i="44"/>
  <c r="AM167" i="44"/>
  <c r="BF167" i="44" s="1"/>
  <c r="AL167" i="44"/>
  <c r="BE167" i="44" s="1"/>
  <c r="AK167" i="44"/>
  <c r="BD167" i="44" s="1"/>
  <c r="AJ167" i="44"/>
  <c r="BC167" i="44" s="1"/>
  <c r="AI167" i="44"/>
  <c r="BB167" i="44" s="1"/>
  <c r="AN166" i="44"/>
  <c r="AM166" i="44"/>
  <c r="BF166" i="44" s="1"/>
  <c r="AL166" i="44"/>
  <c r="BE166" i="44" s="1"/>
  <c r="AK166" i="44"/>
  <c r="BD166" i="44" s="1"/>
  <c r="AJ166" i="44"/>
  <c r="BC166" i="44" s="1"/>
  <c r="AI166" i="44"/>
  <c r="BB166" i="44" s="1"/>
  <c r="AN165" i="44"/>
  <c r="AM165" i="44"/>
  <c r="BF165" i="44" s="1"/>
  <c r="AL165" i="44"/>
  <c r="BE165" i="44" s="1"/>
  <c r="AK165" i="44"/>
  <c r="BD165" i="44" s="1"/>
  <c r="AJ165" i="44"/>
  <c r="BC165" i="44" s="1"/>
  <c r="AI165" i="44"/>
  <c r="BB165" i="44" s="1"/>
  <c r="AN164" i="44"/>
  <c r="AM164" i="44"/>
  <c r="BF164" i="44" s="1"/>
  <c r="AL164" i="44"/>
  <c r="BE164" i="44" s="1"/>
  <c r="AK164" i="44"/>
  <c r="BD164" i="44" s="1"/>
  <c r="AJ164" i="44"/>
  <c r="BC164" i="44" s="1"/>
  <c r="AI164" i="44"/>
  <c r="BB164" i="44" s="1"/>
  <c r="AN163" i="44"/>
  <c r="AM163" i="44"/>
  <c r="BF163" i="44" s="1"/>
  <c r="AL163" i="44"/>
  <c r="BE163" i="44" s="1"/>
  <c r="AK163" i="44"/>
  <c r="BD163" i="44" s="1"/>
  <c r="AJ163" i="44"/>
  <c r="BC163" i="44" s="1"/>
  <c r="AI163" i="44"/>
  <c r="BB163" i="44" s="1"/>
  <c r="AN162" i="44"/>
  <c r="AM162" i="44"/>
  <c r="BF162" i="44" s="1"/>
  <c r="AL162" i="44"/>
  <c r="BE162" i="44" s="1"/>
  <c r="AK162" i="44"/>
  <c r="BD162" i="44" s="1"/>
  <c r="AJ162" i="44"/>
  <c r="BC162" i="44" s="1"/>
  <c r="AI162" i="44"/>
  <c r="BB162" i="44" s="1"/>
  <c r="AN161" i="44"/>
  <c r="AM161" i="44"/>
  <c r="BF161" i="44" s="1"/>
  <c r="AL161" i="44"/>
  <c r="BE161" i="44" s="1"/>
  <c r="AK161" i="44"/>
  <c r="BD161" i="44" s="1"/>
  <c r="AJ161" i="44"/>
  <c r="BC161" i="44" s="1"/>
  <c r="AI161" i="44"/>
  <c r="BB161" i="44" s="1"/>
  <c r="AN160" i="44"/>
  <c r="AM160" i="44"/>
  <c r="BF160" i="44" s="1"/>
  <c r="AL160" i="44"/>
  <c r="BE160" i="44" s="1"/>
  <c r="AK160" i="44"/>
  <c r="BD160" i="44" s="1"/>
  <c r="AJ160" i="44"/>
  <c r="BC160" i="44" s="1"/>
  <c r="AI160" i="44"/>
  <c r="BB160" i="44" s="1"/>
  <c r="AN159" i="44"/>
  <c r="AM159" i="44"/>
  <c r="BF159" i="44" s="1"/>
  <c r="AL159" i="44"/>
  <c r="BE159" i="44" s="1"/>
  <c r="AK159" i="44"/>
  <c r="BD159" i="44" s="1"/>
  <c r="AJ159" i="44"/>
  <c r="BC159" i="44" s="1"/>
  <c r="AI159" i="44"/>
  <c r="BB159" i="44" s="1"/>
  <c r="AN158" i="44"/>
  <c r="AM158" i="44"/>
  <c r="BF158" i="44" s="1"/>
  <c r="AL158" i="44"/>
  <c r="BE158" i="44" s="1"/>
  <c r="AK158" i="44"/>
  <c r="BD158" i="44" s="1"/>
  <c r="AJ158" i="44"/>
  <c r="BC158" i="44" s="1"/>
  <c r="AI158" i="44"/>
  <c r="BB158" i="44" s="1"/>
  <c r="AN157" i="44"/>
  <c r="AM157" i="44"/>
  <c r="BF157" i="44" s="1"/>
  <c r="AL157" i="44"/>
  <c r="BE157" i="44" s="1"/>
  <c r="AK157" i="44"/>
  <c r="BD157" i="44" s="1"/>
  <c r="AJ157" i="44"/>
  <c r="BC157" i="44" s="1"/>
  <c r="AI157" i="44"/>
  <c r="BB157" i="44" s="1"/>
  <c r="AN156" i="44"/>
  <c r="AM156" i="44"/>
  <c r="BF156" i="44" s="1"/>
  <c r="AL156" i="44"/>
  <c r="BE156" i="44" s="1"/>
  <c r="AK156" i="44"/>
  <c r="BD156" i="44" s="1"/>
  <c r="AJ156" i="44"/>
  <c r="BC156" i="44" s="1"/>
  <c r="AI156" i="44"/>
  <c r="BB156" i="44" s="1"/>
  <c r="AN155" i="44"/>
  <c r="AM155" i="44"/>
  <c r="BF155" i="44" s="1"/>
  <c r="AL155" i="44"/>
  <c r="BE155" i="44" s="1"/>
  <c r="AK155" i="44"/>
  <c r="BD155" i="44" s="1"/>
  <c r="AJ155" i="44"/>
  <c r="BC155" i="44" s="1"/>
  <c r="AI155" i="44"/>
  <c r="BB155" i="44" s="1"/>
  <c r="AN154" i="44"/>
  <c r="AM154" i="44"/>
  <c r="BF154" i="44" s="1"/>
  <c r="AL154" i="44"/>
  <c r="BE154" i="44" s="1"/>
  <c r="AK154" i="44"/>
  <c r="BD154" i="44" s="1"/>
  <c r="AJ154" i="44"/>
  <c r="BC154" i="44" s="1"/>
  <c r="AI154" i="44"/>
  <c r="BB154" i="44" s="1"/>
  <c r="AN153" i="44"/>
  <c r="AM153" i="44"/>
  <c r="BF153" i="44" s="1"/>
  <c r="AL153" i="44"/>
  <c r="BE153" i="44" s="1"/>
  <c r="AK153" i="44"/>
  <c r="BD153" i="44" s="1"/>
  <c r="AJ153" i="44"/>
  <c r="BC153" i="44" s="1"/>
  <c r="AI153" i="44"/>
  <c r="BB153" i="44" s="1"/>
  <c r="AN152" i="44"/>
  <c r="AM152" i="44"/>
  <c r="BF152" i="44" s="1"/>
  <c r="AL152" i="44"/>
  <c r="BE152" i="44" s="1"/>
  <c r="AK152" i="44"/>
  <c r="BD152" i="44" s="1"/>
  <c r="AJ152" i="44"/>
  <c r="BC152" i="44" s="1"/>
  <c r="AI152" i="44"/>
  <c r="BB152" i="44" s="1"/>
  <c r="AN151" i="44"/>
  <c r="AM151" i="44"/>
  <c r="BF151" i="44" s="1"/>
  <c r="AL151" i="44"/>
  <c r="BE151" i="44" s="1"/>
  <c r="AK151" i="44"/>
  <c r="BD151" i="44" s="1"/>
  <c r="AJ151" i="44"/>
  <c r="BC151" i="44" s="1"/>
  <c r="AI151" i="44"/>
  <c r="BB151" i="44" s="1"/>
  <c r="AN150" i="44"/>
  <c r="AM150" i="44"/>
  <c r="BF150" i="44" s="1"/>
  <c r="AL150" i="44"/>
  <c r="BE150" i="44" s="1"/>
  <c r="AK150" i="44"/>
  <c r="BD150" i="44" s="1"/>
  <c r="AJ150" i="44"/>
  <c r="BC150" i="44" s="1"/>
  <c r="AI150" i="44"/>
  <c r="BB150" i="44" s="1"/>
  <c r="AN149" i="44"/>
  <c r="AM149" i="44"/>
  <c r="BF149" i="44" s="1"/>
  <c r="AL149" i="44"/>
  <c r="BE149" i="44" s="1"/>
  <c r="AK149" i="44"/>
  <c r="BD149" i="44" s="1"/>
  <c r="AJ149" i="44"/>
  <c r="BC149" i="44" s="1"/>
  <c r="AI149" i="44"/>
  <c r="BB149" i="44" s="1"/>
  <c r="AN148" i="44"/>
  <c r="AM148" i="44"/>
  <c r="BF148" i="44" s="1"/>
  <c r="AL148" i="44"/>
  <c r="BE148" i="44" s="1"/>
  <c r="AK148" i="44"/>
  <c r="BD148" i="44" s="1"/>
  <c r="AJ148" i="44"/>
  <c r="BC148" i="44" s="1"/>
  <c r="AI148" i="44"/>
  <c r="BB148" i="44" s="1"/>
  <c r="AN147" i="44"/>
  <c r="BG147" i="44" s="1"/>
  <c r="AM147" i="44"/>
  <c r="BF147" i="44" s="1"/>
  <c r="AL147" i="44"/>
  <c r="BE147" i="44" s="1"/>
  <c r="AK147" i="44"/>
  <c r="BD147" i="44" s="1"/>
  <c r="AJ147" i="44"/>
  <c r="BC147" i="44" s="1"/>
  <c r="AI147" i="44"/>
  <c r="BB147" i="44" s="1"/>
  <c r="AN146" i="44"/>
  <c r="AM146" i="44"/>
  <c r="BF146" i="44" s="1"/>
  <c r="AL146" i="44"/>
  <c r="BE146" i="44" s="1"/>
  <c r="AK146" i="44"/>
  <c r="BD146" i="44" s="1"/>
  <c r="AJ146" i="44"/>
  <c r="BC146" i="44" s="1"/>
  <c r="AI146" i="44"/>
  <c r="BB146" i="44" s="1"/>
  <c r="AN145" i="44"/>
  <c r="AM145" i="44"/>
  <c r="BF145" i="44" s="1"/>
  <c r="AL145" i="44"/>
  <c r="BE145" i="44" s="1"/>
  <c r="AK145" i="44"/>
  <c r="BD145" i="44" s="1"/>
  <c r="AJ145" i="44"/>
  <c r="BC145" i="44" s="1"/>
  <c r="AI145" i="44"/>
  <c r="BB145" i="44" s="1"/>
  <c r="AN144" i="44"/>
  <c r="AM144" i="44"/>
  <c r="BF144" i="44" s="1"/>
  <c r="AL144" i="44"/>
  <c r="BE144" i="44" s="1"/>
  <c r="AK144" i="44"/>
  <c r="BD144" i="44" s="1"/>
  <c r="AJ144" i="44"/>
  <c r="BC144" i="44" s="1"/>
  <c r="AI144" i="44"/>
  <c r="BB144" i="44" s="1"/>
  <c r="AN143" i="44"/>
  <c r="AM143" i="44"/>
  <c r="BF143" i="44" s="1"/>
  <c r="AL143" i="44"/>
  <c r="BE143" i="44" s="1"/>
  <c r="AK143" i="44"/>
  <c r="BD143" i="44" s="1"/>
  <c r="AJ143" i="44"/>
  <c r="BC143" i="44" s="1"/>
  <c r="AI143" i="44"/>
  <c r="BB143" i="44" s="1"/>
  <c r="AN142" i="44"/>
  <c r="AM142" i="44"/>
  <c r="BF142" i="44" s="1"/>
  <c r="AL142" i="44"/>
  <c r="BE142" i="44" s="1"/>
  <c r="AK142" i="44"/>
  <c r="BD142" i="44" s="1"/>
  <c r="AJ142" i="44"/>
  <c r="BC142" i="44" s="1"/>
  <c r="AI142" i="44"/>
  <c r="BB142" i="44" s="1"/>
  <c r="AN141" i="44"/>
  <c r="AM141" i="44"/>
  <c r="BF141" i="44" s="1"/>
  <c r="AL141" i="44"/>
  <c r="BE141" i="44" s="1"/>
  <c r="AK141" i="44"/>
  <c r="BD141" i="44" s="1"/>
  <c r="AJ141" i="44"/>
  <c r="BC141" i="44" s="1"/>
  <c r="AI141" i="44"/>
  <c r="BB141" i="44" s="1"/>
  <c r="AN140" i="44"/>
  <c r="AM140" i="44"/>
  <c r="BF140" i="44" s="1"/>
  <c r="AL140" i="44"/>
  <c r="BE140" i="44" s="1"/>
  <c r="AK140" i="44"/>
  <c r="BD140" i="44" s="1"/>
  <c r="AJ140" i="44"/>
  <c r="BC140" i="44" s="1"/>
  <c r="AI140" i="44"/>
  <c r="BB140" i="44" s="1"/>
  <c r="AN139" i="44"/>
  <c r="BG139" i="44" s="1"/>
  <c r="AM139" i="44"/>
  <c r="BF139" i="44" s="1"/>
  <c r="AL139" i="44"/>
  <c r="BE139" i="44" s="1"/>
  <c r="AK139" i="44"/>
  <c r="BD139" i="44" s="1"/>
  <c r="AJ139" i="44"/>
  <c r="BC139" i="44" s="1"/>
  <c r="AI139" i="44"/>
  <c r="BB139" i="44" s="1"/>
  <c r="AN138" i="44"/>
  <c r="AM138" i="44"/>
  <c r="BF138" i="44" s="1"/>
  <c r="AL138" i="44"/>
  <c r="BE138" i="44" s="1"/>
  <c r="AK138" i="44"/>
  <c r="BD138" i="44" s="1"/>
  <c r="AJ138" i="44"/>
  <c r="BC138" i="44" s="1"/>
  <c r="AI138" i="44"/>
  <c r="BB138" i="44" s="1"/>
  <c r="AN137" i="44"/>
  <c r="AM137" i="44"/>
  <c r="BF137" i="44" s="1"/>
  <c r="AL137" i="44"/>
  <c r="BE137" i="44" s="1"/>
  <c r="AK137" i="44"/>
  <c r="BD137" i="44" s="1"/>
  <c r="AJ137" i="44"/>
  <c r="BC137" i="44" s="1"/>
  <c r="AI137" i="44"/>
  <c r="BB137" i="44" s="1"/>
  <c r="AN136" i="44"/>
  <c r="AM136" i="44"/>
  <c r="BF136" i="44" s="1"/>
  <c r="AL136" i="44"/>
  <c r="BE136" i="44" s="1"/>
  <c r="AK136" i="44"/>
  <c r="BD136" i="44" s="1"/>
  <c r="AJ136" i="44"/>
  <c r="BC136" i="44" s="1"/>
  <c r="AI136" i="44"/>
  <c r="BB136" i="44" s="1"/>
  <c r="AN135" i="44"/>
  <c r="AM135" i="44"/>
  <c r="BF135" i="44" s="1"/>
  <c r="AL135" i="44"/>
  <c r="BE135" i="44" s="1"/>
  <c r="AK135" i="44"/>
  <c r="BD135" i="44" s="1"/>
  <c r="AJ135" i="44"/>
  <c r="BC135" i="44" s="1"/>
  <c r="AI135" i="44"/>
  <c r="BB135" i="44" s="1"/>
  <c r="AN134" i="44"/>
  <c r="AM134" i="44"/>
  <c r="BF134" i="44" s="1"/>
  <c r="AL134" i="44"/>
  <c r="BE134" i="44" s="1"/>
  <c r="AK134" i="44"/>
  <c r="BD134" i="44" s="1"/>
  <c r="AJ134" i="44"/>
  <c r="BC134" i="44" s="1"/>
  <c r="AI134" i="44"/>
  <c r="BB134" i="44" s="1"/>
  <c r="AN133" i="44"/>
  <c r="AM133" i="44"/>
  <c r="BF133" i="44" s="1"/>
  <c r="AL133" i="44"/>
  <c r="BE133" i="44" s="1"/>
  <c r="AK133" i="44"/>
  <c r="BD133" i="44" s="1"/>
  <c r="AJ133" i="44"/>
  <c r="BC133" i="44" s="1"/>
  <c r="AI133" i="44"/>
  <c r="BB133" i="44" s="1"/>
  <c r="AN132" i="44"/>
  <c r="BG132" i="44" s="1"/>
  <c r="AM132" i="44"/>
  <c r="BF132" i="44" s="1"/>
  <c r="AL132" i="44"/>
  <c r="BE132" i="44" s="1"/>
  <c r="AK132" i="44"/>
  <c r="BD132" i="44" s="1"/>
  <c r="AJ132" i="44"/>
  <c r="BC132" i="44" s="1"/>
  <c r="AI132" i="44"/>
  <c r="BB132" i="44" s="1"/>
  <c r="AN131" i="44"/>
  <c r="BG131" i="44" s="1"/>
  <c r="AM131" i="44"/>
  <c r="BF131" i="44" s="1"/>
  <c r="AL131" i="44"/>
  <c r="BE131" i="44" s="1"/>
  <c r="AK131" i="44"/>
  <c r="BD131" i="44" s="1"/>
  <c r="AJ131" i="44"/>
  <c r="BC131" i="44" s="1"/>
  <c r="AI131" i="44"/>
  <c r="BB131" i="44" s="1"/>
  <c r="AN130" i="44"/>
  <c r="AM130" i="44"/>
  <c r="BF130" i="44" s="1"/>
  <c r="AL130" i="44"/>
  <c r="BE130" i="44" s="1"/>
  <c r="AK130" i="44"/>
  <c r="BD130" i="44" s="1"/>
  <c r="AJ130" i="44"/>
  <c r="BC130" i="44" s="1"/>
  <c r="AI130" i="44"/>
  <c r="BB130" i="44" s="1"/>
  <c r="AN129" i="44"/>
  <c r="AM129" i="44"/>
  <c r="BF129" i="44" s="1"/>
  <c r="AL129" i="44"/>
  <c r="BE129" i="44" s="1"/>
  <c r="AK129" i="44"/>
  <c r="BD129" i="44" s="1"/>
  <c r="AJ129" i="44"/>
  <c r="BC129" i="44" s="1"/>
  <c r="AI129" i="44"/>
  <c r="BB129" i="44" s="1"/>
  <c r="AN128" i="44"/>
  <c r="AM128" i="44"/>
  <c r="BF128" i="44" s="1"/>
  <c r="AL128" i="44"/>
  <c r="BE128" i="44" s="1"/>
  <c r="AK128" i="44"/>
  <c r="BD128" i="44" s="1"/>
  <c r="AJ128" i="44"/>
  <c r="BC128" i="44" s="1"/>
  <c r="AI128" i="44"/>
  <c r="BB128" i="44" s="1"/>
  <c r="AN127" i="44"/>
  <c r="AM127" i="44"/>
  <c r="BF127" i="44" s="1"/>
  <c r="AL127" i="44"/>
  <c r="BE127" i="44" s="1"/>
  <c r="AK127" i="44"/>
  <c r="BD127" i="44" s="1"/>
  <c r="AJ127" i="44"/>
  <c r="BC127" i="44" s="1"/>
  <c r="AI127" i="44"/>
  <c r="BB127" i="44" s="1"/>
  <c r="AN126" i="44"/>
  <c r="AM126" i="44"/>
  <c r="BF126" i="44" s="1"/>
  <c r="AL126" i="44"/>
  <c r="BE126" i="44" s="1"/>
  <c r="AK126" i="44"/>
  <c r="BD126" i="44" s="1"/>
  <c r="AJ126" i="44"/>
  <c r="BC126" i="44" s="1"/>
  <c r="AI126" i="44"/>
  <c r="BB126" i="44" s="1"/>
  <c r="AN125" i="44"/>
  <c r="AM125" i="44"/>
  <c r="BF125" i="44" s="1"/>
  <c r="AL125" i="44"/>
  <c r="BE125" i="44" s="1"/>
  <c r="AK125" i="44"/>
  <c r="BD125" i="44" s="1"/>
  <c r="AJ125" i="44"/>
  <c r="BC125" i="44" s="1"/>
  <c r="AI125" i="44"/>
  <c r="BB125" i="44" s="1"/>
  <c r="AN124" i="44"/>
  <c r="BG124" i="44" s="1"/>
  <c r="AM124" i="44"/>
  <c r="BF124" i="44" s="1"/>
  <c r="AL124" i="44"/>
  <c r="BE124" i="44" s="1"/>
  <c r="AK124" i="44"/>
  <c r="BD124" i="44" s="1"/>
  <c r="AJ124" i="44"/>
  <c r="BC124" i="44" s="1"/>
  <c r="AI124" i="44"/>
  <c r="BB124" i="44" s="1"/>
  <c r="AN123" i="44"/>
  <c r="BG123" i="44" s="1"/>
  <c r="AM123" i="44"/>
  <c r="BF123" i="44" s="1"/>
  <c r="AL123" i="44"/>
  <c r="BE123" i="44" s="1"/>
  <c r="AK123" i="44"/>
  <c r="BD123" i="44" s="1"/>
  <c r="AJ123" i="44"/>
  <c r="BC123" i="44" s="1"/>
  <c r="AI123" i="44"/>
  <c r="BB123" i="44" s="1"/>
  <c r="AN122" i="44"/>
  <c r="AM122" i="44"/>
  <c r="BF122" i="44" s="1"/>
  <c r="AL122" i="44"/>
  <c r="BE122" i="44" s="1"/>
  <c r="AK122" i="44"/>
  <c r="BD122" i="44" s="1"/>
  <c r="AJ122" i="44"/>
  <c r="BC122" i="44" s="1"/>
  <c r="AI122" i="44"/>
  <c r="BB122" i="44" s="1"/>
  <c r="AN121" i="44"/>
  <c r="AM121" i="44"/>
  <c r="BF121" i="44" s="1"/>
  <c r="AL121" i="44"/>
  <c r="BE121" i="44" s="1"/>
  <c r="AK121" i="44"/>
  <c r="BD121" i="44" s="1"/>
  <c r="AJ121" i="44"/>
  <c r="BC121" i="44" s="1"/>
  <c r="AI121" i="44"/>
  <c r="BB121" i="44" s="1"/>
  <c r="AN120" i="44"/>
  <c r="AM120" i="44"/>
  <c r="BF120" i="44" s="1"/>
  <c r="AL120" i="44"/>
  <c r="BE120" i="44" s="1"/>
  <c r="AK120" i="44"/>
  <c r="BD120" i="44" s="1"/>
  <c r="AJ120" i="44"/>
  <c r="BC120" i="44" s="1"/>
  <c r="AI120" i="44"/>
  <c r="BB120" i="44" s="1"/>
  <c r="AN119" i="44"/>
  <c r="AM119" i="44"/>
  <c r="BF119" i="44" s="1"/>
  <c r="AL119" i="44"/>
  <c r="BE119" i="44" s="1"/>
  <c r="AK119" i="44"/>
  <c r="BD119" i="44" s="1"/>
  <c r="AJ119" i="44"/>
  <c r="BC119" i="44" s="1"/>
  <c r="AI119" i="44"/>
  <c r="BB119" i="44" s="1"/>
  <c r="AN118" i="44"/>
  <c r="AM118" i="44"/>
  <c r="BF118" i="44" s="1"/>
  <c r="AL118" i="44"/>
  <c r="BE118" i="44" s="1"/>
  <c r="AK118" i="44"/>
  <c r="BD118" i="44" s="1"/>
  <c r="AJ118" i="44"/>
  <c r="BC118" i="44" s="1"/>
  <c r="AI118" i="44"/>
  <c r="BB118" i="44" s="1"/>
  <c r="AN117" i="44"/>
  <c r="AM117" i="44"/>
  <c r="BF117" i="44" s="1"/>
  <c r="AL117" i="44"/>
  <c r="BE117" i="44" s="1"/>
  <c r="AK117" i="44"/>
  <c r="BD117" i="44" s="1"/>
  <c r="AJ117" i="44"/>
  <c r="BC117" i="44" s="1"/>
  <c r="AI117" i="44"/>
  <c r="BB117" i="44" s="1"/>
  <c r="AN116" i="44"/>
  <c r="BG116" i="44" s="1"/>
  <c r="AM116" i="44"/>
  <c r="BF116" i="44" s="1"/>
  <c r="AL116" i="44"/>
  <c r="BE116" i="44" s="1"/>
  <c r="AK116" i="44"/>
  <c r="BD116" i="44" s="1"/>
  <c r="AJ116" i="44"/>
  <c r="BC116" i="44" s="1"/>
  <c r="AI116" i="44"/>
  <c r="BB116" i="44" s="1"/>
  <c r="AN115" i="44"/>
  <c r="BG115" i="44" s="1"/>
  <c r="AM115" i="44"/>
  <c r="BF115" i="44" s="1"/>
  <c r="AL115" i="44"/>
  <c r="BE115" i="44" s="1"/>
  <c r="AK115" i="44"/>
  <c r="BD115" i="44" s="1"/>
  <c r="AJ115" i="44"/>
  <c r="BC115" i="44" s="1"/>
  <c r="AI115" i="44"/>
  <c r="BB115" i="44" s="1"/>
  <c r="AN114" i="44"/>
  <c r="AM114" i="44"/>
  <c r="BF114" i="44" s="1"/>
  <c r="AL114" i="44"/>
  <c r="BE114" i="44" s="1"/>
  <c r="AK114" i="44"/>
  <c r="BD114" i="44" s="1"/>
  <c r="AJ114" i="44"/>
  <c r="BC114" i="44" s="1"/>
  <c r="AI114" i="44"/>
  <c r="BB114" i="44" s="1"/>
  <c r="AN113" i="44"/>
  <c r="BG113" i="44" s="1"/>
  <c r="AM113" i="44"/>
  <c r="BF113" i="44" s="1"/>
  <c r="AL113" i="44"/>
  <c r="BE113" i="44" s="1"/>
  <c r="AK113" i="44"/>
  <c r="BD113" i="44" s="1"/>
  <c r="AJ113" i="44"/>
  <c r="BC113" i="44" s="1"/>
  <c r="AI113" i="44"/>
  <c r="BB113" i="44" s="1"/>
  <c r="AN112" i="44"/>
  <c r="BG112" i="44" s="1"/>
  <c r="AM112" i="44"/>
  <c r="BF112" i="44" s="1"/>
  <c r="AL112" i="44"/>
  <c r="BE112" i="44" s="1"/>
  <c r="AK112" i="44"/>
  <c r="BD112" i="44" s="1"/>
  <c r="AJ112" i="44"/>
  <c r="BC112" i="44" s="1"/>
  <c r="AI112" i="44"/>
  <c r="BB112" i="44" s="1"/>
  <c r="AN111" i="44"/>
  <c r="AM111" i="44"/>
  <c r="BF111" i="44" s="1"/>
  <c r="AL111" i="44"/>
  <c r="BE111" i="44" s="1"/>
  <c r="AK111" i="44"/>
  <c r="BD111" i="44" s="1"/>
  <c r="AJ111" i="44"/>
  <c r="BC111" i="44" s="1"/>
  <c r="AI111" i="44"/>
  <c r="BB111" i="44" s="1"/>
  <c r="AN110" i="44"/>
  <c r="AM110" i="44"/>
  <c r="BF110" i="44" s="1"/>
  <c r="AL110" i="44"/>
  <c r="BE110" i="44" s="1"/>
  <c r="AK110" i="44"/>
  <c r="BD110" i="44" s="1"/>
  <c r="AJ110" i="44"/>
  <c r="BC110" i="44" s="1"/>
  <c r="AI110" i="44"/>
  <c r="BB110" i="44" s="1"/>
  <c r="AN109" i="44"/>
  <c r="AM109" i="44"/>
  <c r="BF109" i="44" s="1"/>
  <c r="AL109" i="44"/>
  <c r="BE109" i="44" s="1"/>
  <c r="AK109" i="44"/>
  <c r="BD109" i="44" s="1"/>
  <c r="AJ109" i="44"/>
  <c r="BC109" i="44" s="1"/>
  <c r="AI109" i="44"/>
  <c r="BB109" i="44" s="1"/>
  <c r="AN108" i="44"/>
  <c r="BG108" i="44" s="1"/>
  <c r="AM108" i="44"/>
  <c r="BF108" i="44" s="1"/>
  <c r="AL108" i="44"/>
  <c r="BE108" i="44" s="1"/>
  <c r="AK108" i="44"/>
  <c r="BD108" i="44" s="1"/>
  <c r="AJ108" i="44"/>
  <c r="BC108" i="44" s="1"/>
  <c r="AI108" i="44"/>
  <c r="BB108" i="44" s="1"/>
  <c r="AN107" i="44"/>
  <c r="AM107" i="44"/>
  <c r="BF107" i="44" s="1"/>
  <c r="AL107" i="44"/>
  <c r="BE107" i="44" s="1"/>
  <c r="AK107" i="44"/>
  <c r="BD107" i="44" s="1"/>
  <c r="AJ107" i="44"/>
  <c r="BC107" i="44" s="1"/>
  <c r="AI107" i="44"/>
  <c r="BB107" i="44" s="1"/>
  <c r="AN106" i="44"/>
  <c r="AM106" i="44"/>
  <c r="BF106" i="44" s="1"/>
  <c r="AL106" i="44"/>
  <c r="BE106" i="44" s="1"/>
  <c r="AK106" i="44"/>
  <c r="BD106" i="44" s="1"/>
  <c r="AJ106" i="44"/>
  <c r="BC106" i="44" s="1"/>
  <c r="AI106" i="44"/>
  <c r="BB106" i="44" s="1"/>
  <c r="AN105" i="44"/>
  <c r="AM105" i="44"/>
  <c r="BF105" i="44" s="1"/>
  <c r="AL105" i="44"/>
  <c r="BE105" i="44" s="1"/>
  <c r="AK105" i="44"/>
  <c r="BD105" i="44" s="1"/>
  <c r="AJ105" i="44"/>
  <c r="BC105" i="44" s="1"/>
  <c r="AI105" i="44"/>
  <c r="BB105" i="44" s="1"/>
  <c r="AN104" i="44"/>
  <c r="AM104" i="44"/>
  <c r="BF104" i="44" s="1"/>
  <c r="AL104" i="44"/>
  <c r="BE104" i="44" s="1"/>
  <c r="AK104" i="44"/>
  <c r="BD104" i="44" s="1"/>
  <c r="AJ104" i="44"/>
  <c r="BC104" i="44" s="1"/>
  <c r="AI104" i="44"/>
  <c r="BB104" i="44" s="1"/>
  <c r="AN103" i="44"/>
  <c r="AM103" i="44"/>
  <c r="BF103" i="44" s="1"/>
  <c r="AL103" i="44"/>
  <c r="BE103" i="44" s="1"/>
  <c r="AK103" i="44"/>
  <c r="BD103" i="44" s="1"/>
  <c r="AJ103" i="44"/>
  <c r="BC103" i="44" s="1"/>
  <c r="AI103" i="44"/>
  <c r="BB103" i="44" s="1"/>
  <c r="AN102" i="44"/>
  <c r="AM102" i="44"/>
  <c r="BF102" i="44" s="1"/>
  <c r="AL102" i="44"/>
  <c r="BE102" i="44" s="1"/>
  <c r="AK102" i="44"/>
  <c r="BD102" i="44" s="1"/>
  <c r="AJ102" i="44"/>
  <c r="BC102" i="44" s="1"/>
  <c r="AI102" i="44"/>
  <c r="BB102" i="44" s="1"/>
  <c r="AN101" i="44"/>
  <c r="AM101" i="44"/>
  <c r="BF101" i="44" s="1"/>
  <c r="AL101" i="44"/>
  <c r="BE101" i="44" s="1"/>
  <c r="AK101" i="44"/>
  <c r="BD101" i="44" s="1"/>
  <c r="AJ101" i="44"/>
  <c r="BC101" i="44" s="1"/>
  <c r="AI101" i="44"/>
  <c r="BB101" i="44" s="1"/>
  <c r="AN100" i="44"/>
  <c r="AM100" i="44"/>
  <c r="BF100" i="44" s="1"/>
  <c r="AL100" i="44"/>
  <c r="BE100" i="44" s="1"/>
  <c r="AK100" i="44"/>
  <c r="BD100" i="44" s="1"/>
  <c r="AJ100" i="44"/>
  <c r="BC100" i="44" s="1"/>
  <c r="AI100" i="44"/>
  <c r="BB100" i="44" s="1"/>
  <c r="AN99" i="44"/>
  <c r="AM99" i="44"/>
  <c r="BF99" i="44" s="1"/>
  <c r="AL99" i="44"/>
  <c r="BE99" i="44" s="1"/>
  <c r="AK99" i="44"/>
  <c r="BD99" i="44" s="1"/>
  <c r="AJ99" i="44"/>
  <c r="BC99" i="44" s="1"/>
  <c r="AI99" i="44"/>
  <c r="BB99" i="44" s="1"/>
  <c r="AN98" i="44"/>
  <c r="BG98" i="44" s="1"/>
  <c r="AM98" i="44"/>
  <c r="BF98" i="44" s="1"/>
  <c r="AL98" i="44"/>
  <c r="BE98" i="44" s="1"/>
  <c r="AK98" i="44"/>
  <c r="BD98" i="44" s="1"/>
  <c r="AJ98" i="44"/>
  <c r="BC98" i="44" s="1"/>
  <c r="AI98" i="44"/>
  <c r="BB98" i="44" s="1"/>
  <c r="AN97" i="44"/>
  <c r="BG97" i="44" s="1"/>
  <c r="AM97" i="44"/>
  <c r="BF97" i="44" s="1"/>
  <c r="AL97" i="44"/>
  <c r="BE97" i="44" s="1"/>
  <c r="AK97" i="44"/>
  <c r="BD97" i="44" s="1"/>
  <c r="AJ97" i="44"/>
  <c r="BC97" i="44" s="1"/>
  <c r="AI97" i="44"/>
  <c r="BB97" i="44" s="1"/>
  <c r="AN96" i="44"/>
  <c r="BG96" i="44" s="1"/>
  <c r="AM96" i="44"/>
  <c r="BF96" i="44" s="1"/>
  <c r="AL96" i="44"/>
  <c r="BE96" i="44" s="1"/>
  <c r="AK96" i="44"/>
  <c r="BD96" i="44" s="1"/>
  <c r="AJ96" i="44"/>
  <c r="BC96" i="44" s="1"/>
  <c r="AI96" i="44"/>
  <c r="BB96" i="44" s="1"/>
  <c r="AN95" i="44"/>
  <c r="AM95" i="44"/>
  <c r="BF95" i="44" s="1"/>
  <c r="AL95" i="44"/>
  <c r="BE95" i="44" s="1"/>
  <c r="AK95" i="44"/>
  <c r="BD95" i="44" s="1"/>
  <c r="AJ95" i="44"/>
  <c r="BC95" i="44" s="1"/>
  <c r="AI95" i="44"/>
  <c r="BB95" i="44" s="1"/>
  <c r="AN94" i="44"/>
  <c r="AM94" i="44"/>
  <c r="BF94" i="44" s="1"/>
  <c r="AL94" i="44"/>
  <c r="BE94" i="44" s="1"/>
  <c r="AK94" i="44"/>
  <c r="BD94" i="44" s="1"/>
  <c r="AJ94" i="44"/>
  <c r="BC94" i="44" s="1"/>
  <c r="AI94" i="44"/>
  <c r="BB94" i="44" s="1"/>
  <c r="AN93" i="44"/>
  <c r="AM93" i="44"/>
  <c r="BF93" i="44" s="1"/>
  <c r="AL93" i="44"/>
  <c r="BE93" i="44" s="1"/>
  <c r="AK93" i="44"/>
  <c r="BD93" i="44" s="1"/>
  <c r="AJ93" i="44"/>
  <c r="BC93" i="44" s="1"/>
  <c r="AI93" i="44"/>
  <c r="BB93" i="44" s="1"/>
  <c r="AN92" i="44"/>
  <c r="BG92" i="44" s="1"/>
  <c r="AM92" i="44"/>
  <c r="BF92" i="44" s="1"/>
  <c r="AL92" i="44"/>
  <c r="BE92" i="44" s="1"/>
  <c r="AK92" i="44"/>
  <c r="BD92" i="44" s="1"/>
  <c r="AJ92" i="44"/>
  <c r="BC92" i="44" s="1"/>
  <c r="AI92" i="44"/>
  <c r="BB92" i="44" s="1"/>
  <c r="AN91" i="44"/>
  <c r="AM91" i="44"/>
  <c r="BF91" i="44" s="1"/>
  <c r="AL91" i="44"/>
  <c r="BE91" i="44" s="1"/>
  <c r="AK91" i="44"/>
  <c r="BD91" i="44" s="1"/>
  <c r="AJ91" i="44"/>
  <c r="BC91" i="44" s="1"/>
  <c r="AI91" i="44"/>
  <c r="BB91" i="44" s="1"/>
  <c r="AN90" i="44"/>
  <c r="AM90" i="44"/>
  <c r="BF90" i="44" s="1"/>
  <c r="AL90" i="44"/>
  <c r="BE90" i="44" s="1"/>
  <c r="AK90" i="44"/>
  <c r="BD90" i="44" s="1"/>
  <c r="AJ90" i="44"/>
  <c r="BC90" i="44" s="1"/>
  <c r="AI90" i="44"/>
  <c r="BB90" i="44" s="1"/>
  <c r="AN89" i="44"/>
  <c r="AM89" i="44"/>
  <c r="BF89" i="44" s="1"/>
  <c r="AL89" i="44"/>
  <c r="BE89" i="44" s="1"/>
  <c r="AK89" i="44"/>
  <c r="BD89" i="44" s="1"/>
  <c r="AJ89" i="44"/>
  <c r="BC89" i="44" s="1"/>
  <c r="AI89" i="44"/>
  <c r="BB89" i="44" s="1"/>
  <c r="AN88" i="44"/>
  <c r="AM88" i="44"/>
  <c r="BF88" i="44" s="1"/>
  <c r="AL88" i="44"/>
  <c r="BE88" i="44" s="1"/>
  <c r="AK88" i="44"/>
  <c r="BD88" i="44" s="1"/>
  <c r="AJ88" i="44"/>
  <c r="BC88" i="44" s="1"/>
  <c r="AI88" i="44"/>
  <c r="BB88" i="44" s="1"/>
  <c r="AN87" i="44"/>
  <c r="AM87" i="44"/>
  <c r="BF87" i="44" s="1"/>
  <c r="AL87" i="44"/>
  <c r="BE87" i="44" s="1"/>
  <c r="AK87" i="44"/>
  <c r="BD87" i="44" s="1"/>
  <c r="AJ87" i="44"/>
  <c r="BC87" i="44" s="1"/>
  <c r="AI87" i="44"/>
  <c r="BB87" i="44" s="1"/>
  <c r="AN86" i="44"/>
  <c r="AM86" i="44"/>
  <c r="BF86" i="44" s="1"/>
  <c r="AL86" i="44"/>
  <c r="BE86" i="44" s="1"/>
  <c r="AK86" i="44"/>
  <c r="BD86" i="44" s="1"/>
  <c r="AJ86" i="44"/>
  <c r="BC86" i="44" s="1"/>
  <c r="AI86" i="44"/>
  <c r="BB86" i="44" s="1"/>
  <c r="AN85" i="44"/>
  <c r="AM85" i="44"/>
  <c r="BF85" i="44" s="1"/>
  <c r="AL85" i="44"/>
  <c r="BE85" i="44" s="1"/>
  <c r="AK85" i="44"/>
  <c r="BD85" i="44" s="1"/>
  <c r="AJ85" i="44"/>
  <c r="BC85" i="44" s="1"/>
  <c r="AI85" i="44"/>
  <c r="BB85" i="44" s="1"/>
  <c r="AN84" i="44"/>
  <c r="AM84" i="44"/>
  <c r="BF84" i="44" s="1"/>
  <c r="AL84" i="44"/>
  <c r="BE84" i="44" s="1"/>
  <c r="AK84" i="44"/>
  <c r="BD84" i="44" s="1"/>
  <c r="AJ84" i="44"/>
  <c r="BC84" i="44" s="1"/>
  <c r="AI84" i="44"/>
  <c r="BB84" i="44" s="1"/>
  <c r="AN83" i="44"/>
  <c r="BG83" i="44" s="1"/>
  <c r="AM83" i="44"/>
  <c r="BF83" i="44" s="1"/>
  <c r="AL83" i="44"/>
  <c r="BE83" i="44" s="1"/>
  <c r="AK83" i="44"/>
  <c r="BD83" i="44" s="1"/>
  <c r="AJ83" i="44"/>
  <c r="BC83" i="44" s="1"/>
  <c r="AI83" i="44"/>
  <c r="BB83" i="44" s="1"/>
  <c r="AN82" i="44"/>
  <c r="BG82" i="44" s="1"/>
  <c r="AM82" i="44"/>
  <c r="BF82" i="44" s="1"/>
  <c r="AL82" i="44"/>
  <c r="BE82" i="44" s="1"/>
  <c r="AK82" i="44"/>
  <c r="BD82" i="44" s="1"/>
  <c r="AJ82" i="44"/>
  <c r="BC82" i="44" s="1"/>
  <c r="AI82" i="44"/>
  <c r="BB82" i="44" s="1"/>
  <c r="AN81" i="44"/>
  <c r="BG81" i="44" s="1"/>
  <c r="AM81" i="44"/>
  <c r="BF81" i="44" s="1"/>
  <c r="AL81" i="44"/>
  <c r="BE81" i="44" s="1"/>
  <c r="AK81" i="44"/>
  <c r="BD81" i="44" s="1"/>
  <c r="AJ81" i="44"/>
  <c r="BC81" i="44" s="1"/>
  <c r="AI81" i="44"/>
  <c r="BB81" i="44" s="1"/>
  <c r="AN80" i="44"/>
  <c r="BG80" i="44" s="1"/>
  <c r="AM80" i="44"/>
  <c r="BF80" i="44" s="1"/>
  <c r="AL80" i="44"/>
  <c r="BE80" i="44" s="1"/>
  <c r="AK80" i="44"/>
  <c r="BD80" i="44" s="1"/>
  <c r="AJ80" i="44"/>
  <c r="BC80" i="44" s="1"/>
  <c r="AI80" i="44"/>
  <c r="BB80" i="44" s="1"/>
  <c r="AN79" i="44"/>
  <c r="AM79" i="44"/>
  <c r="BF79" i="44" s="1"/>
  <c r="AL79" i="44"/>
  <c r="BE79" i="44" s="1"/>
  <c r="AK79" i="44"/>
  <c r="BD79" i="44" s="1"/>
  <c r="AJ79" i="44"/>
  <c r="BC79" i="44" s="1"/>
  <c r="AI79" i="44"/>
  <c r="BB79" i="44" s="1"/>
  <c r="AN78" i="44"/>
  <c r="AM78" i="44"/>
  <c r="BF78" i="44" s="1"/>
  <c r="AL78" i="44"/>
  <c r="BE78" i="44" s="1"/>
  <c r="AK78" i="44"/>
  <c r="BD78" i="44" s="1"/>
  <c r="AJ78" i="44"/>
  <c r="BC78" i="44" s="1"/>
  <c r="AI78" i="44"/>
  <c r="BB78" i="44" s="1"/>
  <c r="AN77" i="44"/>
  <c r="AM77" i="44"/>
  <c r="BF77" i="44" s="1"/>
  <c r="AL77" i="44"/>
  <c r="BE77" i="44" s="1"/>
  <c r="AK77" i="44"/>
  <c r="BD77" i="44" s="1"/>
  <c r="AJ77" i="44"/>
  <c r="BC77" i="44" s="1"/>
  <c r="AI77" i="44"/>
  <c r="BB77" i="44" s="1"/>
  <c r="AN76" i="44"/>
  <c r="BG76" i="44" s="1"/>
  <c r="AM76" i="44"/>
  <c r="BF76" i="44" s="1"/>
  <c r="AL76" i="44"/>
  <c r="BE76" i="44" s="1"/>
  <c r="AK76" i="44"/>
  <c r="BD76" i="44" s="1"/>
  <c r="AJ76" i="44"/>
  <c r="BC76" i="44" s="1"/>
  <c r="AI76" i="44"/>
  <c r="BB76" i="44" s="1"/>
  <c r="AN75" i="44"/>
  <c r="AM75" i="44"/>
  <c r="BF75" i="44" s="1"/>
  <c r="AL75" i="44"/>
  <c r="BE75" i="44" s="1"/>
  <c r="AK75" i="44"/>
  <c r="BD75" i="44" s="1"/>
  <c r="AJ75" i="44"/>
  <c r="BC75" i="44" s="1"/>
  <c r="AI75" i="44"/>
  <c r="BB75" i="44" s="1"/>
  <c r="AN74" i="44"/>
  <c r="AM74" i="44"/>
  <c r="BF74" i="44" s="1"/>
  <c r="AL74" i="44"/>
  <c r="BE74" i="44" s="1"/>
  <c r="AK74" i="44"/>
  <c r="BD74" i="44" s="1"/>
  <c r="AJ74" i="44"/>
  <c r="BC74" i="44" s="1"/>
  <c r="AI74" i="44"/>
  <c r="BB74" i="44" s="1"/>
  <c r="AN73" i="44"/>
  <c r="AM73" i="44"/>
  <c r="BF73" i="44" s="1"/>
  <c r="AL73" i="44"/>
  <c r="BE73" i="44" s="1"/>
  <c r="AK73" i="44"/>
  <c r="BD73" i="44" s="1"/>
  <c r="AJ73" i="44"/>
  <c r="BC73" i="44" s="1"/>
  <c r="AI73" i="44"/>
  <c r="BB73" i="44" s="1"/>
  <c r="AN72" i="44"/>
  <c r="AM72" i="44"/>
  <c r="BF72" i="44" s="1"/>
  <c r="AL72" i="44"/>
  <c r="BE72" i="44" s="1"/>
  <c r="AK72" i="44"/>
  <c r="BD72" i="44" s="1"/>
  <c r="AJ72" i="44"/>
  <c r="BC72" i="44" s="1"/>
  <c r="AI72" i="44"/>
  <c r="BB72" i="44" s="1"/>
  <c r="AN71" i="44"/>
  <c r="AM71" i="44"/>
  <c r="BF71" i="44" s="1"/>
  <c r="AL71" i="44"/>
  <c r="BE71" i="44" s="1"/>
  <c r="AK71" i="44"/>
  <c r="BD71" i="44" s="1"/>
  <c r="AJ71" i="44"/>
  <c r="BC71" i="44" s="1"/>
  <c r="AI71" i="44"/>
  <c r="BB71" i="44" s="1"/>
  <c r="AN70" i="44"/>
  <c r="AM70" i="44"/>
  <c r="BF70" i="44" s="1"/>
  <c r="AL70" i="44"/>
  <c r="BE70" i="44" s="1"/>
  <c r="AK70" i="44"/>
  <c r="BD70" i="44" s="1"/>
  <c r="AJ70" i="44"/>
  <c r="BC70" i="44" s="1"/>
  <c r="AI70" i="44"/>
  <c r="BB70" i="44" s="1"/>
  <c r="AN69" i="44"/>
  <c r="AM69" i="44"/>
  <c r="BF69" i="44" s="1"/>
  <c r="AL69" i="44"/>
  <c r="BE69" i="44" s="1"/>
  <c r="AK69" i="44"/>
  <c r="BD69" i="44" s="1"/>
  <c r="AJ69" i="44"/>
  <c r="BC69" i="44" s="1"/>
  <c r="AI69" i="44"/>
  <c r="BB69" i="44" s="1"/>
  <c r="AN68" i="44"/>
  <c r="AM68" i="44"/>
  <c r="BF68" i="44" s="1"/>
  <c r="AL68" i="44"/>
  <c r="BE68" i="44" s="1"/>
  <c r="AK68" i="44"/>
  <c r="BD68" i="44" s="1"/>
  <c r="AJ68" i="44"/>
  <c r="BC68" i="44" s="1"/>
  <c r="AI68" i="44"/>
  <c r="BB68" i="44" s="1"/>
  <c r="AN67" i="44"/>
  <c r="AM67" i="44"/>
  <c r="BF67" i="44" s="1"/>
  <c r="AL67" i="44"/>
  <c r="BE67" i="44" s="1"/>
  <c r="AK67" i="44"/>
  <c r="BD67" i="44" s="1"/>
  <c r="AJ67" i="44"/>
  <c r="BC67" i="44" s="1"/>
  <c r="AI67" i="44"/>
  <c r="BB67" i="44" s="1"/>
  <c r="AN66" i="44"/>
  <c r="BG66" i="44" s="1"/>
  <c r="AM66" i="44"/>
  <c r="BF66" i="44" s="1"/>
  <c r="AL66" i="44"/>
  <c r="BE66" i="44" s="1"/>
  <c r="AK66" i="44"/>
  <c r="BD66" i="44" s="1"/>
  <c r="AJ66" i="44"/>
  <c r="BC66" i="44" s="1"/>
  <c r="AI66" i="44"/>
  <c r="BB66" i="44" s="1"/>
  <c r="AN65" i="44"/>
  <c r="BG65" i="44" s="1"/>
  <c r="AM65" i="44"/>
  <c r="BF65" i="44" s="1"/>
  <c r="AL65" i="44"/>
  <c r="BE65" i="44" s="1"/>
  <c r="AK65" i="44"/>
  <c r="BD65" i="44" s="1"/>
  <c r="AJ65" i="44"/>
  <c r="BC65" i="44" s="1"/>
  <c r="AI65" i="44"/>
  <c r="BB65" i="44" s="1"/>
  <c r="AN64" i="44"/>
  <c r="BG64" i="44" s="1"/>
  <c r="AM64" i="44"/>
  <c r="BF64" i="44" s="1"/>
  <c r="AL64" i="44"/>
  <c r="BE64" i="44" s="1"/>
  <c r="AK64" i="44"/>
  <c r="BD64" i="44" s="1"/>
  <c r="AJ64" i="44"/>
  <c r="BC64" i="44" s="1"/>
  <c r="AI64" i="44"/>
  <c r="BB64" i="44" s="1"/>
  <c r="AN63" i="44"/>
  <c r="AM63" i="44"/>
  <c r="BF63" i="44" s="1"/>
  <c r="AL63" i="44"/>
  <c r="BE63" i="44" s="1"/>
  <c r="AK63" i="44"/>
  <c r="BD63" i="44" s="1"/>
  <c r="AJ63" i="44"/>
  <c r="BC63" i="44" s="1"/>
  <c r="AI63" i="44"/>
  <c r="BB63" i="44" s="1"/>
  <c r="AN62" i="44"/>
  <c r="AM62" i="44"/>
  <c r="BF62" i="44" s="1"/>
  <c r="AL62" i="44"/>
  <c r="BE62" i="44" s="1"/>
  <c r="AK62" i="44"/>
  <c r="BD62" i="44" s="1"/>
  <c r="AJ62" i="44"/>
  <c r="BC62" i="44" s="1"/>
  <c r="AI62" i="44"/>
  <c r="BB62" i="44" s="1"/>
  <c r="AN61" i="44"/>
  <c r="AM61" i="44"/>
  <c r="BF61" i="44" s="1"/>
  <c r="AL61" i="44"/>
  <c r="BE61" i="44" s="1"/>
  <c r="AK61" i="44"/>
  <c r="BD61" i="44" s="1"/>
  <c r="AJ61" i="44"/>
  <c r="BC61" i="44" s="1"/>
  <c r="AI61" i="44"/>
  <c r="BB61" i="44" s="1"/>
  <c r="AN60" i="44"/>
  <c r="BG60" i="44" s="1"/>
  <c r="AM60" i="44"/>
  <c r="BF60" i="44" s="1"/>
  <c r="AL60" i="44"/>
  <c r="BE60" i="44" s="1"/>
  <c r="AK60" i="44"/>
  <c r="BD60" i="44" s="1"/>
  <c r="AJ60" i="44"/>
  <c r="BC60" i="44" s="1"/>
  <c r="AI60" i="44"/>
  <c r="BB60" i="44" s="1"/>
  <c r="AN59" i="44"/>
  <c r="AM59" i="44"/>
  <c r="BF59" i="44" s="1"/>
  <c r="AL59" i="44"/>
  <c r="BE59" i="44" s="1"/>
  <c r="AK59" i="44"/>
  <c r="BD59" i="44" s="1"/>
  <c r="AJ59" i="44"/>
  <c r="BC59" i="44" s="1"/>
  <c r="AI59" i="44"/>
  <c r="BB59" i="44" s="1"/>
  <c r="AN58" i="44"/>
  <c r="AM58" i="44"/>
  <c r="BF58" i="44" s="1"/>
  <c r="AL58" i="44"/>
  <c r="BE58" i="44" s="1"/>
  <c r="AK58" i="44"/>
  <c r="BD58" i="44" s="1"/>
  <c r="AJ58" i="44"/>
  <c r="BC58" i="44" s="1"/>
  <c r="AI58" i="44"/>
  <c r="BB58" i="44" s="1"/>
  <c r="AN57" i="44"/>
  <c r="AM57" i="44"/>
  <c r="BF57" i="44" s="1"/>
  <c r="AL57" i="44"/>
  <c r="BE57" i="44" s="1"/>
  <c r="AK57" i="44"/>
  <c r="BD57" i="44" s="1"/>
  <c r="AJ57" i="44"/>
  <c r="BC57" i="44" s="1"/>
  <c r="AI57" i="44"/>
  <c r="BB57" i="44" s="1"/>
  <c r="AN56" i="44"/>
  <c r="AM56" i="44"/>
  <c r="BF56" i="44" s="1"/>
  <c r="AL56" i="44"/>
  <c r="BE56" i="44" s="1"/>
  <c r="AK56" i="44"/>
  <c r="BD56" i="44" s="1"/>
  <c r="AJ56" i="44"/>
  <c r="BC56" i="44" s="1"/>
  <c r="AI56" i="44"/>
  <c r="BB56" i="44" s="1"/>
  <c r="AN55" i="44"/>
  <c r="AM55" i="44"/>
  <c r="BF55" i="44" s="1"/>
  <c r="AL55" i="44"/>
  <c r="BE55" i="44" s="1"/>
  <c r="AK55" i="44"/>
  <c r="BD55" i="44" s="1"/>
  <c r="AJ55" i="44"/>
  <c r="BC55" i="44" s="1"/>
  <c r="AI55" i="44"/>
  <c r="BB55" i="44" s="1"/>
  <c r="AN54" i="44"/>
  <c r="AM54" i="44"/>
  <c r="BF54" i="44" s="1"/>
  <c r="AL54" i="44"/>
  <c r="BE54" i="44" s="1"/>
  <c r="AK54" i="44"/>
  <c r="BD54" i="44" s="1"/>
  <c r="AJ54" i="44"/>
  <c r="BC54" i="44" s="1"/>
  <c r="AI54" i="44"/>
  <c r="BB54" i="44" s="1"/>
  <c r="AN53" i="44"/>
  <c r="AM53" i="44"/>
  <c r="BF53" i="44" s="1"/>
  <c r="AL53" i="44"/>
  <c r="BE53" i="44" s="1"/>
  <c r="AK53" i="44"/>
  <c r="BD53" i="44" s="1"/>
  <c r="AJ53" i="44"/>
  <c r="BC53" i="44" s="1"/>
  <c r="AI53" i="44"/>
  <c r="BB53" i="44" s="1"/>
  <c r="AN52" i="44"/>
  <c r="AM52" i="44"/>
  <c r="BF52" i="44" s="1"/>
  <c r="AL52" i="44"/>
  <c r="BE52" i="44" s="1"/>
  <c r="AK52" i="44"/>
  <c r="BD52" i="44" s="1"/>
  <c r="AJ52" i="44"/>
  <c r="BC52" i="44" s="1"/>
  <c r="AI52" i="44"/>
  <c r="BB52" i="44" s="1"/>
  <c r="AN51" i="44"/>
  <c r="BG51" i="44" s="1"/>
  <c r="AM51" i="44"/>
  <c r="BF51" i="44" s="1"/>
  <c r="AL51" i="44"/>
  <c r="BE51" i="44" s="1"/>
  <c r="AK51" i="44"/>
  <c r="BD51" i="44" s="1"/>
  <c r="AJ51" i="44"/>
  <c r="BC51" i="44" s="1"/>
  <c r="AI51" i="44"/>
  <c r="BB51" i="44" s="1"/>
  <c r="AN50" i="44"/>
  <c r="BG50" i="44" s="1"/>
  <c r="AM50" i="44"/>
  <c r="BF50" i="44" s="1"/>
  <c r="AL50" i="44"/>
  <c r="BE50" i="44" s="1"/>
  <c r="AK50" i="44"/>
  <c r="BD50" i="44" s="1"/>
  <c r="AJ50" i="44"/>
  <c r="BC50" i="44" s="1"/>
  <c r="AI50" i="44"/>
  <c r="BB50" i="44" s="1"/>
  <c r="AN49" i="44"/>
  <c r="AM49" i="44"/>
  <c r="BF49" i="44" s="1"/>
  <c r="AL49" i="44"/>
  <c r="BE49" i="44" s="1"/>
  <c r="AK49" i="44"/>
  <c r="BD49" i="44" s="1"/>
  <c r="AJ49" i="44"/>
  <c r="BC49" i="44" s="1"/>
  <c r="AI49" i="44"/>
  <c r="BB49" i="44" s="1"/>
  <c r="AN48" i="44"/>
  <c r="AM48" i="44"/>
  <c r="BF48" i="44" s="1"/>
  <c r="AL48" i="44"/>
  <c r="BE48" i="44" s="1"/>
  <c r="AK48" i="44"/>
  <c r="BD48" i="44" s="1"/>
  <c r="AJ48" i="44"/>
  <c r="BC48" i="44" s="1"/>
  <c r="AI48" i="44"/>
  <c r="BB48" i="44" s="1"/>
  <c r="AN47" i="44"/>
  <c r="AM47" i="44"/>
  <c r="BF47" i="44" s="1"/>
  <c r="AL47" i="44"/>
  <c r="BE47" i="44" s="1"/>
  <c r="AK47" i="44"/>
  <c r="BD47" i="44" s="1"/>
  <c r="AJ47" i="44"/>
  <c r="BC47" i="44" s="1"/>
  <c r="AI47" i="44"/>
  <c r="BB47" i="44" s="1"/>
  <c r="AN46" i="44"/>
  <c r="BG46" i="44" s="1"/>
  <c r="AM46" i="44"/>
  <c r="BF46" i="44" s="1"/>
  <c r="AL46" i="44"/>
  <c r="BE46" i="44" s="1"/>
  <c r="AK46" i="44"/>
  <c r="BD46" i="44" s="1"/>
  <c r="AJ46" i="44"/>
  <c r="BC46" i="44" s="1"/>
  <c r="AI46" i="44"/>
  <c r="BB46" i="44" s="1"/>
  <c r="AN45" i="44"/>
  <c r="AM45" i="44"/>
  <c r="BF45" i="44" s="1"/>
  <c r="AL45" i="44"/>
  <c r="BE45" i="44" s="1"/>
  <c r="AK45" i="44"/>
  <c r="BD45" i="44" s="1"/>
  <c r="AJ45" i="44"/>
  <c r="BC45" i="44" s="1"/>
  <c r="AI45" i="44"/>
  <c r="BB45" i="44" s="1"/>
  <c r="AN44" i="44"/>
  <c r="AM44" i="44"/>
  <c r="BF44" i="44" s="1"/>
  <c r="AL44" i="44"/>
  <c r="BE44" i="44" s="1"/>
  <c r="AK44" i="44"/>
  <c r="BD44" i="44" s="1"/>
  <c r="AJ44" i="44"/>
  <c r="BC44" i="44" s="1"/>
  <c r="AI44" i="44"/>
  <c r="BB44" i="44" s="1"/>
  <c r="AN43" i="44"/>
  <c r="BG43" i="44" s="1"/>
  <c r="AM43" i="44"/>
  <c r="BF43" i="44" s="1"/>
  <c r="AL43" i="44"/>
  <c r="BE43" i="44" s="1"/>
  <c r="AK43" i="44"/>
  <c r="BD43" i="44" s="1"/>
  <c r="AJ43" i="44"/>
  <c r="BC43" i="44" s="1"/>
  <c r="AI43" i="44"/>
  <c r="BB43" i="44" s="1"/>
  <c r="AN42" i="44"/>
  <c r="AM42" i="44"/>
  <c r="BF42" i="44" s="1"/>
  <c r="AL42" i="44"/>
  <c r="BE42" i="44" s="1"/>
  <c r="AK42" i="44"/>
  <c r="BD42" i="44" s="1"/>
  <c r="AJ42" i="44"/>
  <c r="BC42" i="44" s="1"/>
  <c r="AI42" i="44"/>
  <c r="BB42" i="44" s="1"/>
  <c r="AN41" i="44"/>
  <c r="AM41" i="44"/>
  <c r="BF41" i="44" s="1"/>
  <c r="AL41" i="44"/>
  <c r="BE41" i="44" s="1"/>
  <c r="AK41" i="44"/>
  <c r="BD41" i="44" s="1"/>
  <c r="AJ41" i="44"/>
  <c r="BC41" i="44" s="1"/>
  <c r="AI41" i="44"/>
  <c r="BB41" i="44" s="1"/>
  <c r="AN40" i="44"/>
  <c r="AM40" i="44"/>
  <c r="BF40" i="44" s="1"/>
  <c r="AL40" i="44"/>
  <c r="BE40" i="44" s="1"/>
  <c r="AK40" i="44"/>
  <c r="BD40" i="44" s="1"/>
  <c r="AJ40" i="44"/>
  <c r="BC40" i="44" s="1"/>
  <c r="AI40" i="44"/>
  <c r="BB40" i="44" s="1"/>
  <c r="AN39" i="44"/>
  <c r="BG39" i="44" s="1"/>
  <c r="AM39" i="44"/>
  <c r="BF39" i="44" s="1"/>
  <c r="AL39" i="44"/>
  <c r="BE39" i="44" s="1"/>
  <c r="AK39" i="44"/>
  <c r="BD39" i="44" s="1"/>
  <c r="AJ39" i="44"/>
  <c r="BC39" i="44" s="1"/>
  <c r="AI39" i="44"/>
  <c r="BB39" i="44" s="1"/>
  <c r="AN38" i="44"/>
  <c r="AM38" i="44"/>
  <c r="BF38" i="44" s="1"/>
  <c r="AL38" i="44"/>
  <c r="BE38" i="44" s="1"/>
  <c r="AK38" i="44"/>
  <c r="BD38" i="44" s="1"/>
  <c r="AJ38" i="44"/>
  <c r="BC38" i="44" s="1"/>
  <c r="AI38" i="44"/>
  <c r="BB38" i="44" s="1"/>
  <c r="AN37" i="44"/>
  <c r="AM37" i="44"/>
  <c r="BF37" i="44" s="1"/>
  <c r="AL37" i="44"/>
  <c r="BE37" i="44" s="1"/>
  <c r="AK37" i="44"/>
  <c r="BD37" i="44" s="1"/>
  <c r="AJ37" i="44"/>
  <c r="BC37" i="44" s="1"/>
  <c r="AI37" i="44"/>
  <c r="BB37" i="44" s="1"/>
  <c r="AN36" i="44"/>
  <c r="AM36" i="44"/>
  <c r="BF36" i="44" s="1"/>
  <c r="AL36" i="44"/>
  <c r="BE36" i="44" s="1"/>
  <c r="AK36" i="44"/>
  <c r="BD36" i="44" s="1"/>
  <c r="AJ36" i="44"/>
  <c r="BC36" i="44" s="1"/>
  <c r="AI36" i="44"/>
  <c r="BB36" i="44" s="1"/>
  <c r="AN35" i="44"/>
  <c r="BG35" i="44" s="1"/>
  <c r="AM35" i="44"/>
  <c r="BF35" i="44" s="1"/>
  <c r="AL35" i="44"/>
  <c r="BE35" i="44" s="1"/>
  <c r="AK35" i="44"/>
  <c r="BD35" i="44" s="1"/>
  <c r="AJ35" i="44"/>
  <c r="BC35" i="44" s="1"/>
  <c r="AI35" i="44"/>
  <c r="BB35" i="44" s="1"/>
  <c r="AN34" i="44"/>
  <c r="AM34" i="44"/>
  <c r="BF34" i="44" s="1"/>
  <c r="AL34" i="44"/>
  <c r="BE34" i="44" s="1"/>
  <c r="AK34" i="44"/>
  <c r="BD34" i="44" s="1"/>
  <c r="AJ34" i="44"/>
  <c r="BC34" i="44" s="1"/>
  <c r="AI34" i="44"/>
  <c r="BB34" i="44" s="1"/>
  <c r="AN33" i="44"/>
  <c r="AM33" i="44"/>
  <c r="BF33" i="44" s="1"/>
  <c r="AL33" i="44"/>
  <c r="BE33" i="44" s="1"/>
  <c r="AK33" i="44"/>
  <c r="BD33" i="44" s="1"/>
  <c r="AJ33" i="44"/>
  <c r="BC33" i="44" s="1"/>
  <c r="AI33" i="44"/>
  <c r="BB33" i="44" s="1"/>
  <c r="AN32" i="44"/>
  <c r="AM32" i="44"/>
  <c r="BF32" i="44" s="1"/>
  <c r="AL32" i="44"/>
  <c r="BE32" i="44" s="1"/>
  <c r="AK32" i="44"/>
  <c r="BD32" i="44" s="1"/>
  <c r="AJ32" i="44"/>
  <c r="BC32" i="44" s="1"/>
  <c r="AI32" i="44"/>
  <c r="BB32" i="44" s="1"/>
  <c r="AN31" i="44"/>
  <c r="BG31" i="44" s="1"/>
  <c r="AM31" i="44"/>
  <c r="BF31" i="44" s="1"/>
  <c r="AL31" i="44"/>
  <c r="BE31" i="44" s="1"/>
  <c r="AK31" i="44"/>
  <c r="BD31" i="44" s="1"/>
  <c r="AJ31" i="44"/>
  <c r="BC31" i="44" s="1"/>
  <c r="AI31" i="44"/>
  <c r="BB31" i="44" s="1"/>
  <c r="AN30" i="44"/>
  <c r="AM30" i="44"/>
  <c r="BF30" i="44" s="1"/>
  <c r="AL30" i="44"/>
  <c r="BE30" i="44" s="1"/>
  <c r="AK30" i="44"/>
  <c r="BD30" i="44" s="1"/>
  <c r="AJ30" i="44"/>
  <c r="BC30" i="44" s="1"/>
  <c r="AI30" i="44"/>
  <c r="BB30" i="44" s="1"/>
  <c r="AN29" i="44"/>
  <c r="AM29" i="44"/>
  <c r="BF29" i="44" s="1"/>
  <c r="AL29" i="44"/>
  <c r="BE29" i="44" s="1"/>
  <c r="AK29" i="44"/>
  <c r="BD29" i="44" s="1"/>
  <c r="AJ29" i="44"/>
  <c r="BC29" i="44" s="1"/>
  <c r="AI29" i="44"/>
  <c r="BB29" i="44" s="1"/>
  <c r="AN28" i="44"/>
  <c r="AM28" i="44"/>
  <c r="BF28" i="44" s="1"/>
  <c r="AL28" i="44"/>
  <c r="BE28" i="44" s="1"/>
  <c r="AK28" i="44"/>
  <c r="BD28" i="44" s="1"/>
  <c r="AJ28" i="44"/>
  <c r="BC28" i="44" s="1"/>
  <c r="AI28" i="44"/>
  <c r="BB28" i="44" s="1"/>
  <c r="AN27" i="44"/>
  <c r="BG27" i="44" s="1"/>
  <c r="AM27" i="44"/>
  <c r="BF27" i="44" s="1"/>
  <c r="AL27" i="44"/>
  <c r="BE27" i="44" s="1"/>
  <c r="AK27" i="44"/>
  <c r="BD27" i="44" s="1"/>
  <c r="AJ27" i="44"/>
  <c r="BC27" i="44" s="1"/>
  <c r="AI27" i="44"/>
  <c r="BB27" i="44" s="1"/>
  <c r="AN26" i="44"/>
  <c r="AM26" i="44"/>
  <c r="BF26" i="44" s="1"/>
  <c r="AL26" i="44"/>
  <c r="BE26" i="44" s="1"/>
  <c r="AK26" i="44"/>
  <c r="BD26" i="44" s="1"/>
  <c r="AJ26" i="44"/>
  <c r="BC26" i="44" s="1"/>
  <c r="AI26" i="44"/>
  <c r="BB26" i="44" s="1"/>
  <c r="AN25" i="44"/>
  <c r="AM25" i="44"/>
  <c r="BF25" i="44" s="1"/>
  <c r="AL25" i="44"/>
  <c r="BE25" i="44" s="1"/>
  <c r="AK25" i="44"/>
  <c r="BD25" i="44" s="1"/>
  <c r="AJ25" i="44"/>
  <c r="BC25" i="44" s="1"/>
  <c r="AI25" i="44"/>
  <c r="BB25" i="44" s="1"/>
  <c r="AN24" i="44"/>
  <c r="AM24" i="44"/>
  <c r="BF24" i="44" s="1"/>
  <c r="AL24" i="44"/>
  <c r="BE24" i="44" s="1"/>
  <c r="AK24" i="44"/>
  <c r="BD24" i="44" s="1"/>
  <c r="AJ24" i="44"/>
  <c r="BC24" i="44" s="1"/>
  <c r="AI24" i="44"/>
  <c r="BB24" i="44" s="1"/>
  <c r="AN23" i="44"/>
  <c r="BG23" i="44" s="1"/>
  <c r="AM23" i="44"/>
  <c r="BF23" i="44" s="1"/>
  <c r="AL23" i="44"/>
  <c r="BE23" i="44" s="1"/>
  <c r="AK23" i="44"/>
  <c r="BD23" i="44" s="1"/>
  <c r="AJ23" i="44"/>
  <c r="BC23" i="44" s="1"/>
  <c r="AI23" i="44"/>
  <c r="BB23" i="44" s="1"/>
  <c r="AN22" i="44"/>
  <c r="AM22" i="44"/>
  <c r="BF22" i="44" s="1"/>
  <c r="AL22" i="44"/>
  <c r="BE22" i="44" s="1"/>
  <c r="AK22" i="44"/>
  <c r="BD22" i="44" s="1"/>
  <c r="AJ22" i="44"/>
  <c r="BC22" i="44" s="1"/>
  <c r="AI22" i="44"/>
  <c r="BB22" i="44" s="1"/>
  <c r="AN21" i="44"/>
  <c r="AM21" i="44"/>
  <c r="BF21" i="44" s="1"/>
  <c r="AL21" i="44"/>
  <c r="BE21" i="44" s="1"/>
  <c r="AK21" i="44"/>
  <c r="BD21" i="44" s="1"/>
  <c r="AJ21" i="44"/>
  <c r="BC21" i="44" s="1"/>
  <c r="AI21" i="44"/>
  <c r="BB21" i="44" s="1"/>
  <c r="AN20" i="44"/>
  <c r="AM20" i="44"/>
  <c r="BF20" i="44" s="1"/>
  <c r="AL20" i="44"/>
  <c r="BE20" i="44" s="1"/>
  <c r="AK20" i="44"/>
  <c r="BD20" i="44" s="1"/>
  <c r="AJ20" i="44"/>
  <c r="BC20" i="44" s="1"/>
  <c r="AI20" i="44"/>
  <c r="BB20" i="44" s="1"/>
  <c r="AN19" i="44"/>
  <c r="BG19" i="44" s="1"/>
  <c r="AM19" i="44"/>
  <c r="BF19" i="44" s="1"/>
  <c r="AL19" i="44"/>
  <c r="BE19" i="44" s="1"/>
  <c r="AK19" i="44"/>
  <c r="BD19" i="44" s="1"/>
  <c r="AJ19" i="44"/>
  <c r="BC19" i="44" s="1"/>
  <c r="AI19" i="44"/>
  <c r="BB19" i="44" s="1"/>
  <c r="AN18" i="44"/>
  <c r="AM18" i="44"/>
  <c r="BF18" i="44" s="1"/>
  <c r="AL18" i="44"/>
  <c r="BE18" i="44" s="1"/>
  <c r="AK18" i="44"/>
  <c r="BD18" i="44" s="1"/>
  <c r="AJ18" i="44"/>
  <c r="BC18" i="44" s="1"/>
  <c r="AI18" i="44"/>
  <c r="BB18" i="44" s="1"/>
  <c r="AN17" i="44"/>
  <c r="AM17" i="44"/>
  <c r="BF17" i="44" s="1"/>
  <c r="AL17" i="44"/>
  <c r="BE17" i="44" s="1"/>
  <c r="AK17" i="44"/>
  <c r="BD17" i="44" s="1"/>
  <c r="AJ17" i="44"/>
  <c r="BC17" i="44" s="1"/>
  <c r="AI17" i="44"/>
  <c r="BB17" i="44" s="1"/>
  <c r="AN16" i="44"/>
  <c r="AM16" i="44"/>
  <c r="BF16" i="44" s="1"/>
  <c r="AL16" i="44"/>
  <c r="BE16" i="44" s="1"/>
  <c r="AK16" i="44"/>
  <c r="BD16" i="44" s="1"/>
  <c r="AJ16" i="44"/>
  <c r="BC16" i="44" s="1"/>
  <c r="AI16" i="44"/>
  <c r="BB16" i="44" s="1"/>
  <c r="Y307" i="44"/>
  <c r="Y306" i="44"/>
  <c r="Y304" i="44"/>
  <c r="Y303" i="44"/>
  <c r="Y302" i="44"/>
  <c r="Y300" i="44"/>
  <c r="Y299" i="44"/>
  <c r="Y298" i="44"/>
  <c r="Y296" i="44"/>
  <c r="Y295" i="44"/>
  <c r="Y294" i="44"/>
  <c r="Y293" i="44"/>
  <c r="Y292" i="44"/>
  <c r="Y291" i="44"/>
  <c r="Y290" i="44"/>
  <c r="Y289" i="44"/>
  <c r="Y288" i="44"/>
  <c r="Y287" i="44"/>
  <c r="Y286" i="44"/>
  <c r="Y285" i="44"/>
  <c r="Y284" i="44"/>
  <c r="Y283" i="44"/>
  <c r="Y282" i="44"/>
  <c r="Y281" i="44"/>
  <c r="Y280" i="44"/>
  <c r="Y279" i="44"/>
  <c r="Y278" i="44"/>
  <c r="Y277" i="44"/>
  <c r="Y276" i="44"/>
  <c r="Y274" i="44"/>
  <c r="Y272" i="44"/>
  <c r="Y271" i="44"/>
  <c r="Y270" i="44"/>
  <c r="Y269" i="44"/>
  <c r="Y268" i="44"/>
  <c r="Y267" i="44"/>
  <c r="Y266" i="44"/>
  <c r="Y265" i="44"/>
  <c r="Y264" i="44"/>
  <c r="Y263" i="44"/>
  <c r="Y262" i="44"/>
  <c r="Y261" i="44"/>
  <c r="Y260" i="44"/>
  <c r="Y259" i="44"/>
  <c r="Y258" i="44"/>
  <c r="Y257" i="44"/>
  <c r="Y256" i="44"/>
  <c r="Y255" i="44"/>
  <c r="Y254" i="44"/>
  <c r="Y253" i="44"/>
  <c r="Y252" i="44"/>
  <c r="Y251" i="44"/>
  <c r="Y250" i="44"/>
  <c r="Y249" i="44"/>
  <c r="Y248" i="44"/>
  <c r="Y247" i="44"/>
  <c r="Y246" i="44"/>
  <c r="Y245" i="44"/>
  <c r="Y244" i="44"/>
  <c r="Y243" i="44"/>
  <c r="Y242" i="44"/>
  <c r="Y241" i="44"/>
  <c r="Y240" i="44"/>
  <c r="Y239" i="44"/>
  <c r="Y238" i="44"/>
  <c r="Y236" i="44"/>
  <c r="Y235" i="44"/>
  <c r="Y234" i="44"/>
  <c r="Y232" i="44"/>
  <c r="Y231" i="44"/>
  <c r="Y230" i="44"/>
  <c r="Y229" i="44"/>
  <c r="Y228" i="44"/>
  <c r="Y227" i="44"/>
  <c r="Y226" i="44"/>
  <c r="Y224" i="44"/>
  <c r="Y222" i="44"/>
  <c r="Y220" i="44"/>
  <c r="Y219" i="44"/>
  <c r="Y218" i="44"/>
  <c r="Y216" i="44"/>
  <c r="Y215" i="44"/>
  <c r="Y213" i="44"/>
  <c r="Y212" i="44"/>
  <c r="Y211" i="44"/>
  <c r="Y210" i="44"/>
  <c r="Y209" i="44"/>
  <c r="Y208" i="44"/>
  <c r="Y207" i="44"/>
  <c r="Y206" i="44"/>
  <c r="Y205" i="44"/>
  <c r="Y204" i="44"/>
  <c r="Y203" i="44"/>
  <c r="Y202" i="44"/>
  <c r="Y201" i="44"/>
  <c r="Y200" i="44"/>
  <c r="Y199" i="44"/>
  <c r="Y198" i="44"/>
  <c r="Y197" i="44"/>
  <c r="Y196" i="44"/>
  <c r="Y195" i="44"/>
  <c r="Y194" i="44"/>
  <c r="Y193" i="44"/>
  <c r="Y192" i="44"/>
  <c r="Y191" i="44"/>
  <c r="Y190" i="44"/>
  <c r="Y189" i="44"/>
  <c r="Y188" i="44"/>
  <c r="Y187" i="44"/>
  <c r="Y186" i="44"/>
  <c r="Y184" i="44"/>
  <c r="Y183" i="44"/>
  <c r="Y182" i="44"/>
  <c r="Y180" i="44"/>
  <c r="Y179" i="44"/>
  <c r="Y178" i="44"/>
  <c r="Y177" i="44"/>
  <c r="Y176" i="44"/>
  <c r="Y175" i="44"/>
  <c r="Y174" i="44"/>
  <c r="Y173" i="44"/>
  <c r="Y172" i="44"/>
  <c r="Y171" i="44"/>
  <c r="Y170" i="44"/>
  <c r="Y169" i="44"/>
  <c r="Y168" i="44"/>
  <c r="Y167" i="44"/>
  <c r="Y166" i="44"/>
  <c r="Y165" i="44"/>
  <c r="Y164" i="44"/>
  <c r="Y163" i="44"/>
  <c r="Y162" i="44"/>
  <c r="Y161" i="44"/>
  <c r="Y160" i="44"/>
  <c r="Y159" i="44"/>
  <c r="Y158" i="44"/>
  <c r="Y157" i="44"/>
  <c r="Y156" i="44"/>
  <c r="Y155" i="44"/>
  <c r="Y154" i="44"/>
  <c r="Y152" i="44"/>
  <c r="Y151" i="44"/>
  <c r="Y150" i="44"/>
  <c r="Y149" i="44"/>
  <c r="Y148" i="44"/>
  <c r="Y147" i="44"/>
  <c r="Y146" i="44"/>
  <c r="Z145" i="44"/>
  <c r="Y144" i="44"/>
  <c r="Y143" i="44"/>
  <c r="Y142" i="44"/>
  <c r="Y141" i="44"/>
  <c r="Y140" i="44"/>
  <c r="Y139" i="44"/>
  <c r="Y138" i="44"/>
  <c r="Y137" i="44"/>
  <c r="Y135" i="44"/>
  <c r="Y133" i="44"/>
  <c r="Y131" i="44"/>
  <c r="Y130" i="44"/>
  <c r="Y127" i="44"/>
  <c r="Y126" i="44"/>
  <c r="Y125" i="44"/>
  <c r="Y123" i="44"/>
  <c r="Y122" i="44"/>
  <c r="Y117" i="44"/>
  <c r="Y115" i="44"/>
  <c r="Y114" i="44"/>
  <c r="Y113" i="44"/>
  <c r="Y110" i="44"/>
  <c r="Y109" i="44"/>
  <c r="Y107" i="44"/>
  <c r="Y106" i="44"/>
  <c r="Y105" i="44"/>
  <c r="Y103" i="44"/>
  <c r="Y101" i="44"/>
  <c r="Y99" i="44"/>
  <c r="Y98" i="44"/>
  <c r="Y97" i="44"/>
  <c r="Y95" i="44"/>
  <c r="Y94" i="44"/>
  <c r="Y93" i="44"/>
  <c r="Y91" i="44"/>
  <c r="Y90" i="44"/>
  <c r="Y89" i="44"/>
  <c r="Y87" i="44"/>
  <c r="Y86" i="44"/>
  <c r="Y85" i="44"/>
  <c r="Y83" i="44"/>
  <c r="Y82" i="44"/>
  <c r="Y81" i="44"/>
  <c r="Y79" i="44"/>
  <c r="Y78" i="44"/>
  <c r="Y77" i="44"/>
  <c r="Y75" i="44"/>
  <c r="Y74" i="44"/>
  <c r="Y73" i="44"/>
  <c r="Y71" i="44"/>
  <c r="Y70" i="44"/>
  <c r="Y69" i="44"/>
  <c r="Y67" i="44"/>
  <c r="Y66" i="44"/>
  <c r="Y65" i="44"/>
  <c r="Y63" i="44"/>
  <c r="Y62" i="44"/>
  <c r="Y61" i="44"/>
  <c r="Y59" i="44"/>
  <c r="Y58" i="44"/>
  <c r="Y57" i="44"/>
  <c r="Y55" i="44"/>
  <c r="Y54" i="44"/>
  <c r="Y53" i="44"/>
  <c r="Y51" i="44"/>
  <c r="Y50" i="44"/>
  <c r="Y49" i="44"/>
  <c r="Y47" i="44"/>
  <c r="Y46" i="44"/>
  <c r="Y45" i="44"/>
  <c r="Y44" i="44"/>
  <c r="Y43" i="44"/>
  <c r="Y42" i="44"/>
  <c r="Y40" i="44"/>
  <c r="Y39" i="44"/>
  <c r="Y38" i="44"/>
  <c r="Y36" i="44"/>
  <c r="Y35" i="44"/>
  <c r="Y34" i="44"/>
  <c r="Y32" i="44"/>
  <c r="Y31" i="44"/>
  <c r="Y30" i="44"/>
  <c r="Y28" i="44"/>
  <c r="Y27" i="44"/>
  <c r="Y26" i="44"/>
  <c r="Y24" i="44"/>
  <c r="Y23" i="44"/>
  <c r="Y22" i="44"/>
  <c r="Y20" i="44"/>
  <c r="Y19" i="44"/>
  <c r="Y18" i="44"/>
  <c r="Y16" i="44"/>
  <c r="AO15" i="44" l="1"/>
  <c r="BH15" i="44" s="1"/>
  <c r="AO153" i="44"/>
  <c r="BH153" i="44" s="1"/>
  <c r="Y153" i="44"/>
  <c r="Z217" i="44"/>
  <c r="Y217" i="44"/>
  <c r="Z225" i="44"/>
  <c r="Y225" i="44"/>
  <c r="Z233" i="44"/>
  <c r="Y233" i="44"/>
  <c r="Z21" i="44"/>
  <c r="Y21" i="44"/>
  <c r="Z29" i="44"/>
  <c r="Y29" i="44"/>
  <c r="Z37" i="44"/>
  <c r="Y37" i="44"/>
  <c r="Z52" i="44"/>
  <c r="Y52" i="44"/>
  <c r="Z60" i="44"/>
  <c r="Y60" i="44"/>
  <c r="Z68" i="44"/>
  <c r="Y68" i="44"/>
  <c r="Z76" i="44"/>
  <c r="Y76" i="44"/>
  <c r="Z84" i="44"/>
  <c r="Y84" i="44"/>
  <c r="Z92" i="44"/>
  <c r="Y92" i="44"/>
  <c r="Z100" i="44"/>
  <c r="Y100" i="44"/>
  <c r="Z108" i="44"/>
  <c r="Y108" i="44"/>
  <c r="Z116" i="44"/>
  <c r="Y116" i="44"/>
  <c r="Z124" i="44"/>
  <c r="Y124" i="44"/>
  <c r="Z132" i="44"/>
  <c r="Y132" i="44"/>
  <c r="Z273" i="44"/>
  <c r="Y273" i="44"/>
  <c r="Z185" i="44"/>
  <c r="Y185" i="44"/>
  <c r="Z297" i="44"/>
  <c r="Y297" i="44"/>
  <c r="Z305" i="44"/>
  <c r="Y305" i="44"/>
  <c r="AO102" i="44"/>
  <c r="BH102" i="44" s="1"/>
  <c r="Y102" i="44"/>
  <c r="Y118" i="44"/>
  <c r="Y134" i="44"/>
  <c r="Z181" i="44"/>
  <c r="Y181" i="44"/>
  <c r="Z221" i="44"/>
  <c r="Y221" i="44"/>
  <c r="AO275" i="44"/>
  <c r="BH275" i="44" s="1"/>
  <c r="Y275" i="44"/>
  <c r="Z111" i="44"/>
  <c r="Y111" i="44"/>
  <c r="AO119" i="44"/>
  <c r="BH119" i="44" s="1"/>
  <c r="Y119" i="44"/>
  <c r="AO214" i="44"/>
  <c r="BH214" i="44" s="1"/>
  <c r="Y214" i="44"/>
  <c r="AO237" i="44"/>
  <c r="BH237" i="44" s="1"/>
  <c r="Y237" i="44"/>
  <c r="Z275" i="44"/>
  <c r="Z17" i="44"/>
  <c r="Y17" i="44"/>
  <c r="Z25" i="44"/>
  <c r="Y25" i="44"/>
  <c r="Z33" i="44"/>
  <c r="Y33" i="44"/>
  <c r="Z41" i="44"/>
  <c r="Y41" i="44"/>
  <c r="Z48" i="44"/>
  <c r="Y48" i="44"/>
  <c r="Z56" i="44"/>
  <c r="Y56" i="44"/>
  <c r="Z64" i="44"/>
  <c r="Y64" i="44"/>
  <c r="Z72" i="44"/>
  <c r="Y72" i="44"/>
  <c r="Z80" i="44"/>
  <c r="Y80" i="44"/>
  <c r="Z88" i="44"/>
  <c r="Y88" i="44"/>
  <c r="Z96" i="44"/>
  <c r="Y96" i="44"/>
  <c r="Z104" i="44"/>
  <c r="Y104" i="44"/>
  <c r="Z112" i="44"/>
  <c r="Y112" i="44"/>
  <c r="Z120" i="44"/>
  <c r="Y120" i="44"/>
  <c r="AP128" i="44"/>
  <c r="BI128" i="44" s="1"/>
  <c r="Y128" i="44"/>
  <c r="Y136" i="44"/>
  <c r="AO223" i="44"/>
  <c r="BH223" i="44" s="1"/>
  <c r="Y223" i="44"/>
  <c r="Z237" i="44"/>
  <c r="AO128" i="44"/>
  <c r="BH128" i="44" s="1"/>
  <c r="AP121" i="44"/>
  <c r="BI121" i="44" s="1"/>
  <c r="Y121" i="44"/>
  <c r="AO129" i="44"/>
  <c r="BH129" i="44" s="1"/>
  <c r="Y129" i="44"/>
  <c r="AO145" i="44"/>
  <c r="BH145" i="44" s="1"/>
  <c r="Y145" i="44"/>
  <c r="Z223" i="44"/>
  <c r="Z301" i="44"/>
  <c r="Y301" i="44"/>
  <c r="AO136" i="44"/>
  <c r="BH136" i="44" s="1"/>
  <c r="AK13" i="44"/>
  <c r="AL13" i="44"/>
  <c r="AM13" i="44"/>
  <c r="AI13" i="44"/>
  <c r="AJ13" i="44"/>
  <c r="BG148" i="44"/>
  <c r="BG18" i="44"/>
  <c r="BG22" i="44"/>
  <c r="BG26" i="44"/>
  <c r="BG30" i="44"/>
  <c r="BG34" i="44"/>
  <c r="BG129" i="44"/>
  <c r="BG133" i="44"/>
  <c r="AO231" i="44"/>
  <c r="BH231" i="44" s="1"/>
  <c r="Z231" i="44"/>
  <c r="BG67" i="44"/>
  <c r="BG99" i="44"/>
  <c r="Z102" i="44"/>
  <c r="Z153" i="44"/>
  <c r="BG136" i="44"/>
  <c r="BG140" i="44"/>
  <c r="BG16" i="44"/>
  <c r="BG20" i="44"/>
  <c r="BG24" i="44"/>
  <c r="BG28" i="44"/>
  <c r="BG32" i="44"/>
  <c r="BG36" i="44"/>
  <c r="BG40" i="44"/>
  <c r="BG44" i="44"/>
  <c r="BG47" i="44"/>
  <c r="BG55" i="44"/>
  <c r="BG59" i="44"/>
  <c r="BG63" i="44"/>
  <c r="BG71" i="44"/>
  <c r="BG75" i="44"/>
  <c r="BG79" i="44"/>
  <c r="BG87" i="44"/>
  <c r="BG91" i="44"/>
  <c r="BG95" i="44"/>
  <c r="BG103" i="44"/>
  <c r="BG107" i="44"/>
  <c r="BG111" i="44"/>
  <c r="BG119" i="44"/>
  <c r="BG127" i="44"/>
  <c r="BG144" i="44"/>
  <c r="BG152" i="44"/>
  <c r="BG156" i="44"/>
  <c r="BG160" i="44"/>
  <c r="BG164" i="44"/>
  <c r="BG168" i="44"/>
  <c r="BG172" i="44"/>
  <c r="BG176" i="44"/>
  <c r="BG180" i="44"/>
  <c r="BG184" i="44"/>
  <c r="BG188" i="44"/>
  <c r="BG192" i="44"/>
  <c r="BG200" i="44"/>
  <c r="BG204" i="44"/>
  <c r="BG208" i="44"/>
  <c r="BG212" i="44"/>
  <c r="BG216" i="44"/>
  <c r="BG220" i="44"/>
  <c r="BG224" i="44"/>
  <c r="BG228" i="44"/>
  <c r="BG232" i="44"/>
  <c r="BG236" i="44"/>
  <c r="BG240" i="44"/>
  <c r="BG244" i="44"/>
  <c r="BG248" i="44"/>
  <c r="BG252" i="44"/>
  <c r="BG256" i="44"/>
  <c r="BG260" i="44"/>
  <c r="BG264" i="44"/>
  <c r="BG268" i="44"/>
  <c r="BG272" i="44"/>
  <c r="BG276" i="44"/>
  <c r="BG280" i="44"/>
  <c r="BG284" i="44"/>
  <c r="BG288" i="44"/>
  <c r="BG292" i="44"/>
  <c r="BG296" i="44"/>
  <c r="BG300" i="44"/>
  <c r="BG304" i="44"/>
  <c r="BG196" i="44"/>
  <c r="BG137" i="44"/>
  <c r="BG141" i="44"/>
  <c r="BG145" i="44"/>
  <c r="BG153" i="44"/>
  <c r="BG157" i="44"/>
  <c r="BG161" i="44"/>
  <c r="BG165" i="44"/>
  <c r="BG169" i="44"/>
  <c r="BG173" i="44"/>
  <c r="BG177" i="44"/>
  <c r="BG181" i="44"/>
  <c r="BG185" i="44"/>
  <c r="BG189" i="44"/>
  <c r="BG193" i="44"/>
  <c r="BG197" i="44"/>
  <c r="BG201" i="44"/>
  <c r="BG205" i="44"/>
  <c r="BG209" i="44"/>
  <c r="BG213" i="44"/>
  <c r="BG217" i="44"/>
  <c r="BG221" i="44"/>
  <c r="BG225" i="44"/>
  <c r="BG229" i="44"/>
  <c r="BG233" i="44"/>
  <c r="BG237" i="44"/>
  <c r="BG241" i="44"/>
  <c r="BG245" i="44"/>
  <c r="BG249" i="44"/>
  <c r="BG253" i="44"/>
  <c r="BG257" i="44"/>
  <c r="BG261" i="44"/>
  <c r="BG265" i="44"/>
  <c r="BG269" i="44"/>
  <c r="BG273" i="44"/>
  <c r="BG277" i="44"/>
  <c r="BG281" i="44"/>
  <c r="BG285" i="44"/>
  <c r="BG289" i="44"/>
  <c r="BG293" i="44"/>
  <c r="BG297" i="44"/>
  <c r="BG301" i="44"/>
  <c r="BG305" i="44"/>
  <c r="BG38" i="44"/>
  <c r="BG42" i="44"/>
  <c r="BG45" i="44"/>
  <c r="BG49" i="44"/>
  <c r="BG61" i="44"/>
  <c r="BG62" i="44"/>
  <c r="BG77" i="44"/>
  <c r="BG78" i="44"/>
  <c r="BG93" i="44"/>
  <c r="BG94" i="44"/>
  <c r="BG109" i="44"/>
  <c r="BG110" i="44"/>
  <c r="BG149" i="44"/>
  <c r="BG210" i="44"/>
  <c r="BG52" i="44"/>
  <c r="BG68" i="44"/>
  <c r="BG84" i="44"/>
  <c r="BG100" i="44"/>
  <c r="BG114" i="44"/>
  <c r="BG118" i="44"/>
  <c r="BG122" i="44"/>
  <c r="BG126" i="44"/>
  <c r="BG151" i="44"/>
  <c r="BG155" i="44"/>
  <c r="BG159" i="44"/>
  <c r="BG163" i="44"/>
  <c r="BG167" i="44"/>
  <c r="BG171" i="44"/>
  <c r="BG175" i="44"/>
  <c r="BG179" i="44"/>
  <c r="BG183" i="44"/>
  <c r="BG187" i="44"/>
  <c r="BG191" i="44"/>
  <c r="BG195" i="44"/>
  <c r="BG199" i="44"/>
  <c r="BG203" i="44"/>
  <c r="BG207" i="44"/>
  <c r="BG211" i="44"/>
  <c r="BG215" i="44"/>
  <c r="BG219" i="44"/>
  <c r="BG223" i="44"/>
  <c r="BG227" i="44"/>
  <c r="BG231" i="44"/>
  <c r="BG235" i="44"/>
  <c r="BG239" i="44"/>
  <c r="BG243" i="44"/>
  <c r="BG247" i="44"/>
  <c r="BG251" i="44"/>
  <c r="BG255" i="44"/>
  <c r="BG259" i="44"/>
  <c r="BG263" i="44"/>
  <c r="BG267" i="44"/>
  <c r="BG271" i="44"/>
  <c r="BG275" i="44"/>
  <c r="BG279" i="44"/>
  <c r="BG283" i="44"/>
  <c r="BG287" i="44"/>
  <c r="BG291" i="44"/>
  <c r="BG295" i="44"/>
  <c r="BG299" i="44"/>
  <c r="BG303" i="44"/>
  <c r="BG307" i="44"/>
  <c r="BG53" i="44"/>
  <c r="BG54" i="44"/>
  <c r="BG69" i="44"/>
  <c r="BG70" i="44"/>
  <c r="BG85" i="44"/>
  <c r="BG86" i="44"/>
  <c r="BG101" i="44"/>
  <c r="BG102" i="44"/>
  <c r="AN13" i="44"/>
  <c r="AA129" i="44"/>
  <c r="BG130" i="44"/>
  <c r="BG134" i="44"/>
  <c r="BG56" i="44"/>
  <c r="BG72" i="44"/>
  <c r="BG88" i="44"/>
  <c r="BG104" i="44"/>
  <c r="BG120" i="44"/>
  <c r="BG128" i="44"/>
  <c r="BG135" i="44"/>
  <c r="BG143" i="44"/>
  <c r="BG117" i="44"/>
  <c r="BG121" i="44"/>
  <c r="BG125" i="44"/>
  <c r="BG138" i="44"/>
  <c r="BG142" i="44"/>
  <c r="BG146" i="44"/>
  <c r="BG150" i="44"/>
  <c r="BG154" i="44"/>
  <c r="BG158" i="44"/>
  <c r="BG162" i="44"/>
  <c r="BG166" i="44"/>
  <c r="BG170" i="44"/>
  <c r="BG174" i="44"/>
  <c r="BG178" i="44"/>
  <c r="BG182" i="44"/>
  <c r="BG186" i="44"/>
  <c r="BG198" i="44"/>
  <c r="BG202" i="44"/>
  <c r="BG214" i="44"/>
  <c r="BG218" i="44"/>
  <c r="BG222" i="44"/>
  <c r="BG226" i="44"/>
  <c r="BG230" i="44"/>
  <c r="BG234" i="44"/>
  <c r="BG238" i="44"/>
  <c r="BG242" i="44"/>
  <c r="BG246" i="44"/>
  <c r="BG250" i="44"/>
  <c r="BG254" i="44"/>
  <c r="BG258" i="44"/>
  <c r="BG262" i="44"/>
  <c r="BG266" i="44"/>
  <c r="BG270" i="44"/>
  <c r="BG274" i="44"/>
  <c r="BG278" i="44"/>
  <c r="BG282" i="44"/>
  <c r="BG286" i="44"/>
  <c r="BG290" i="44"/>
  <c r="BG294" i="44"/>
  <c r="BG298" i="44"/>
  <c r="BG302" i="44"/>
  <c r="BG306" i="44"/>
  <c r="BG17" i="44"/>
  <c r="BG21" i="44"/>
  <c r="BG25" i="44"/>
  <c r="BG29" i="44"/>
  <c r="BG33" i="44"/>
  <c r="BG37" i="44"/>
  <c r="BG41" i="44"/>
  <c r="BG48" i="44"/>
  <c r="BG57" i="44"/>
  <c r="BG58" i="44"/>
  <c r="BG73" i="44"/>
  <c r="BG74" i="44"/>
  <c r="BG89" i="44"/>
  <c r="BG90" i="44"/>
  <c r="BG105" i="44"/>
  <c r="BG106" i="44"/>
  <c r="BG206" i="44"/>
  <c r="AA21" i="44"/>
  <c r="AP21" i="44"/>
  <c r="BI21" i="44" s="1"/>
  <c r="Z78" i="44"/>
  <c r="AO78" i="44"/>
  <c r="BH78" i="44" s="1"/>
  <c r="AA102" i="44"/>
  <c r="AP102" i="44"/>
  <c r="BI102" i="44" s="1"/>
  <c r="AA124" i="44"/>
  <c r="AP124" i="44"/>
  <c r="BI124" i="44" s="1"/>
  <c r="Z175" i="44"/>
  <c r="AO175" i="44"/>
  <c r="BH175" i="44" s="1"/>
  <c r="Z199" i="44"/>
  <c r="AO199" i="44"/>
  <c r="BH199" i="44" s="1"/>
  <c r="Z222" i="44"/>
  <c r="AO222" i="44"/>
  <c r="BH222" i="44" s="1"/>
  <c r="Z239" i="44"/>
  <c r="AO239" i="44"/>
  <c r="BH239" i="44" s="1"/>
  <c r="Z263" i="44"/>
  <c r="AO263" i="44"/>
  <c r="BH263" i="44" s="1"/>
  <c r="Z22" i="44"/>
  <c r="AO22" i="44"/>
  <c r="BH22" i="44" s="1"/>
  <c r="Z30" i="44"/>
  <c r="AO30" i="44"/>
  <c r="BH30" i="44" s="1"/>
  <c r="Z38" i="44"/>
  <c r="AO38" i="44"/>
  <c r="BH38" i="44" s="1"/>
  <c r="Z45" i="44"/>
  <c r="AO45" i="44"/>
  <c r="BH45" i="44" s="1"/>
  <c r="Z53" i="44"/>
  <c r="AO53" i="44"/>
  <c r="BH53" i="44" s="1"/>
  <c r="Z66" i="44"/>
  <c r="AO66" i="44"/>
  <c r="BH66" i="44" s="1"/>
  <c r="Z85" i="44"/>
  <c r="AO85" i="44"/>
  <c r="BH85" i="44" s="1"/>
  <c r="Z91" i="44"/>
  <c r="AO91" i="44"/>
  <c r="BH91" i="44" s="1"/>
  <c r="Z97" i="44"/>
  <c r="AO97" i="44"/>
  <c r="BH97" i="44" s="1"/>
  <c r="Z103" i="44"/>
  <c r="AO103" i="44"/>
  <c r="BH103" i="44" s="1"/>
  <c r="AA111" i="44"/>
  <c r="AP111" i="44"/>
  <c r="BI111" i="44" s="1"/>
  <c r="Z125" i="44"/>
  <c r="AO125" i="44"/>
  <c r="BH125" i="44" s="1"/>
  <c r="AA132" i="44"/>
  <c r="AP132" i="44"/>
  <c r="BI132" i="44" s="1"/>
  <c r="Z184" i="44"/>
  <c r="AO184" i="44"/>
  <c r="BH184" i="44" s="1"/>
  <c r="Z248" i="44"/>
  <c r="AO248" i="44"/>
  <c r="BH248" i="44" s="1"/>
  <c r="Z272" i="44"/>
  <c r="AO272" i="44"/>
  <c r="BH272" i="44" s="1"/>
  <c r="Z279" i="44"/>
  <c r="AO279" i="44"/>
  <c r="BH279" i="44" s="1"/>
  <c r="Z287" i="44"/>
  <c r="AO287" i="44"/>
  <c r="BH287" i="44" s="1"/>
  <c r="Z295" i="44"/>
  <c r="AO295" i="44"/>
  <c r="BH295" i="44" s="1"/>
  <c r="AO21" i="44"/>
  <c r="BH21" i="44" s="1"/>
  <c r="AO37" i="44"/>
  <c r="BH37" i="44" s="1"/>
  <c r="AO52" i="44"/>
  <c r="BH52" i="44" s="1"/>
  <c r="AO68" i="44"/>
  <c r="BH68" i="44" s="1"/>
  <c r="AO84" i="44"/>
  <c r="BH84" i="44" s="1"/>
  <c r="AO100" i="44"/>
  <c r="BH100" i="44" s="1"/>
  <c r="AO116" i="44"/>
  <c r="BH116" i="44" s="1"/>
  <c r="AO132" i="44"/>
  <c r="BH132" i="44" s="1"/>
  <c r="Z59" i="44"/>
  <c r="AO59" i="44"/>
  <c r="BH59" i="44" s="1"/>
  <c r="Z117" i="44"/>
  <c r="AO117" i="44"/>
  <c r="BH117" i="44" s="1"/>
  <c r="Z159" i="44"/>
  <c r="AO159" i="44"/>
  <c r="BH159" i="44" s="1"/>
  <c r="AP214" i="44"/>
  <c r="BI214" i="44" s="1"/>
  <c r="AO247" i="44"/>
  <c r="BH247" i="44" s="1"/>
  <c r="Z247" i="44"/>
  <c r="Z286" i="44"/>
  <c r="AO286" i="44"/>
  <c r="BH286" i="44" s="1"/>
  <c r="Z23" i="44"/>
  <c r="AO23" i="44"/>
  <c r="BH23" i="44" s="1"/>
  <c r="Z31" i="44"/>
  <c r="AO31" i="44"/>
  <c r="BH31" i="44" s="1"/>
  <c r="Z39" i="44"/>
  <c r="AO39" i="44"/>
  <c r="BH39" i="44" s="1"/>
  <c r="Z46" i="44"/>
  <c r="AO46" i="44"/>
  <c r="BH46" i="44" s="1"/>
  <c r="Z54" i="44"/>
  <c r="AO54" i="44"/>
  <c r="BH54" i="44" s="1"/>
  <c r="AA60" i="44"/>
  <c r="AP60" i="44"/>
  <c r="BI60" i="44" s="1"/>
  <c r="Z73" i="44"/>
  <c r="AO73" i="44"/>
  <c r="BH73" i="44" s="1"/>
  <c r="Z79" i="44"/>
  <c r="AO79" i="44"/>
  <c r="BH79" i="44" s="1"/>
  <c r="Z86" i="44"/>
  <c r="AO86" i="44"/>
  <c r="BH86" i="44" s="1"/>
  <c r="AA92" i="44"/>
  <c r="AP92" i="44"/>
  <c r="BI92" i="44" s="1"/>
  <c r="Z98" i="44"/>
  <c r="AO98" i="44"/>
  <c r="BH98" i="44" s="1"/>
  <c r="AA104" i="44"/>
  <c r="AP104" i="44"/>
  <c r="BI104" i="44" s="1"/>
  <c r="AA112" i="44"/>
  <c r="AP112" i="44"/>
  <c r="BI112" i="44" s="1"/>
  <c r="Z126" i="44"/>
  <c r="AO126" i="44"/>
  <c r="BH126" i="44" s="1"/>
  <c r="Z133" i="44"/>
  <c r="AO133" i="44"/>
  <c r="BH133" i="44" s="1"/>
  <c r="Z141" i="44"/>
  <c r="AO141" i="44"/>
  <c r="BH141" i="44" s="1"/>
  <c r="AA153" i="44"/>
  <c r="AP153" i="44"/>
  <c r="BI153" i="44" s="1"/>
  <c r="Z161" i="44"/>
  <c r="AO161" i="44"/>
  <c r="BH161" i="44" s="1"/>
  <c r="Z169" i="44"/>
  <c r="AO169" i="44"/>
  <c r="BH169" i="44" s="1"/>
  <c r="Z177" i="44"/>
  <c r="AO177" i="44"/>
  <c r="BH177" i="44" s="1"/>
  <c r="Z193" i="44"/>
  <c r="AO193" i="44"/>
  <c r="BH193" i="44" s="1"/>
  <c r="Z201" i="44"/>
  <c r="AO201" i="44"/>
  <c r="BH201" i="44" s="1"/>
  <c r="Z209" i="44"/>
  <c r="AO209" i="44"/>
  <c r="BH209" i="44" s="1"/>
  <c r="Z216" i="44"/>
  <c r="AO216" i="44"/>
  <c r="BH216" i="44" s="1"/>
  <c r="Z229" i="44"/>
  <c r="AO229" i="44"/>
  <c r="BH229" i="44" s="1"/>
  <c r="Z234" i="44"/>
  <c r="AO234" i="44"/>
  <c r="BH234" i="44" s="1"/>
  <c r="Z241" i="44"/>
  <c r="AO241" i="44"/>
  <c r="BH241" i="44" s="1"/>
  <c r="Z249" i="44"/>
  <c r="AO249" i="44"/>
  <c r="BH249" i="44" s="1"/>
  <c r="AO257" i="44"/>
  <c r="BH257" i="44" s="1"/>
  <c r="Z257" i="44"/>
  <c r="Z265" i="44"/>
  <c r="AO265" i="44"/>
  <c r="BH265" i="44" s="1"/>
  <c r="AA29" i="44"/>
  <c r="AP29" i="44"/>
  <c r="BI29" i="44" s="1"/>
  <c r="AA52" i="44"/>
  <c r="AP52" i="44"/>
  <c r="BI52" i="44" s="1"/>
  <c r="Z110" i="44"/>
  <c r="AO110" i="44"/>
  <c r="BH110" i="44" s="1"/>
  <c r="Z131" i="44"/>
  <c r="AO131" i="44"/>
  <c r="BH131" i="44" s="1"/>
  <c r="Z167" i="44"/>
  <c r="AO167" i="44"/>
  <c r="BH167" i="44" s="1"/>
  <c r="Z191" i="44"/>
  <c r="AO191" i="44"/>
  <c r="BH191" i="44" s="1"/>
  <c r="Z207" i="44"/>
  <c r="AO207" i="44"/>
  <c r="BH207" i="44" s="1"/>
  <c r="Z255" i="44"/>
  <c r="AO255" i="44"/>
  <c r="BH255" i="44" s="1"/>
  <c r="Z302" i="44"/>
  <c r="AO302" i="44"/>
  <c r="BH302" i="44" s="1"/>
  <c r="Z16" i="44"/>
  <c r="AO16" i="44"/>
  <c r="Z24" i="44"/>
  <c r="AO24" i="44"/>
  <c r="Z32" i="44"/>
  <c r="AO32" i="44"/>
  <c r="BH32" i="44" s="1"/>
  <c r="Z40" i="44"/>
  <c r="AO40" i="44"/>
  <c r="BH40" i="44" s="1"/>
  <c r="Z47" i="44"/>
  <c r="AO47" i="44"/>
  <c r="BH47" i="44" s="1"/>
  <c r="Z55" i="44"/>
  <c r="AO55" i="44"/>
  <c r="BH55" i="44" s="1"/>
  <c r="Z61" i="44"/>
  <c r="AO61" i="44"/>
  <c r="BH61" i="44" s="1"/>
  <c r="Z67" i="44"/>
  <c r="AO67" i="44"/>
  <c r="BH67" i="44" s="1"/>
  <c r="Z74" i="44"/>
  <c r="AO74" i="44"/>
  <c r="BH74" i="44" s="1"/>
  <c r="AA80" i="44"/>
  <c r="AP80" i="44"/>
  <c r="BI80" i="44" s="1"/>
  <c r="Z87" i="44"/>
  <c r="AO87" i="44"/>
  <c r="BH87" i="44" s="1"/>
  <c r="Z93" i="44"/>
  <c r="AO93" i="44"/>
  <c r="BH93" i="44" s="1"/>
  <c r="Z105" i="44"/>
  <c r="AO105" i="44"/>
  <c r="BH105" i="44" s="1"/>
  <c r="Z113" i="44"/>
  <c r="AO113" i="44"/>
  <c r="BH113" i="44" s="1"/>
  <c r="Z119" i="44"/>
  <c r="Z127" i="44"/>
  <c r="AO127" i="44"/>
  <c r="BH127" i="44" s="1"/>
  <c r="Z148" i="44"/>
  <c r="AO148" i="44"/>
  <c r="BH148" i="44" s="1"/>
  <c r="Z178" i="44"/>
  <c r="AO178" i="44"/>
  <c r="BH178" i="44" s="1"/>
  <c r="Z186" i="44"/>
  <c r="AO186" i="44"/>
  <c r="BH186" i="44" s="1"/>
  <c r="AO258" i="44"/>
  <c r="BH258" i="44" s="1"/>
  <c r="Z258" i="44"/>
  <c r="Z266" i="44"/>
  <c r="AO266" i="44"/>
  <c r="BH266" i="44" s="1"/>
  <c r="Z274" i="44"/>
  <c r="AO274" i="44"/>
  <c r="BH274" i="44" s="1"/>
  <c r="Z281" i="44"/>
  <c r="AO281" i="44"/>
  <c r="BH281" i="44" s="1"/>
  <c r="Z289" i="44"/>
  <c r="AO289" i="44"/>
  <c r="BH289" i="44" s="1"/>
  <c r="AO25" i="44"/>
  <c r="BH25" i="44" s="1"/>
  <c r="AO41" i="44"/>
  <c r="BH41" i="44" s="1"/>
  <c r="AO56" i="44"/>
  <c r="BH56" i="44" s="1"/>
  <c r="AO72" i="44"/>
  <c r="BH72" i="44" s="1"/>
  <c r="AO88" i="44"/>
  <c r="BH88" i="44" s="1"/>
  <c r="AO104" i="44"/>
  <c r="BH104" i="44" s="1"/>
  <c r="AO120" i="44"/>
  <c r="BH120" i="44" s="1"/>
  <c r="Z139" i="44"/>
  <c r="AO139" i="44"/>
  <c r="BH139" i="44" s="1"/>
  <c r="AA17" i="44"/>
  <c r="AP17" i="44"/>
  <c r="AA25" i="44"/>
  <c r="AA41" i="44"/>
  <c r="AP41" i="44"/>
  <c r="BI41" i="44" s="1"/>
  <c r="AA48" i="44"/>
  <c r="AP48" i="44"/>
  <c r="Z62" i="44"/>
  <c r="AO62" i="44"/>
  <c r="BH62" i="44" s="1"/>
  <c r="AA68" i="44"/>
  <c r="AP68" i="44"/>
  <c r="BI68" i="44" s="1"/>
  <c r="Z75" i="44"/>
  <c r="AO75" i="44"/>
  <c r="BH75" i="44" s="1"/>
  <c r="Z81" i="44"/>
  <c r="AO81" i="44"/>
  <c r="BH81" i="44" s="1"/>
  <c r="Z94" i="44"/>
  <c r="AO94" i="44"/>
  <c r="BH94" i="44" s="1"/>
  <c r="Z99" i="44"/>
  <c r="AO99" i="44"/>
  <c r="BH99" i="44" s="1"/>
  <c r="Z106" i="44"/>
  <c r="AO106" i="44"/>
  <c r="BH106" i="44" s="1"/>
  <c r="Z135" i="44"/>
  <c r="AO135" i="44"/>
  <c r="BH135" i="44" s="1"/>
  <c r="AO143" i="44"/>
  <c r="BH143" i="44" s="1"/>
  <c r="Z143" i="44"/>
  <c r="Z149" i="44"/>
  <c r="AO149" i="44"/>
  <c r="BH149" i="44" s="1"/>
  <c r="Z155" i="44"/>
  <c r="AO155" i="44"/>
  <c r="BH155" i="44" s="1"/>
  <c r="Z163" i="44"/>
  <c r="AO163" i="44"/>
  <c r="BH163" i="44" s="1"/>
  <c r="Z171" i="44"/>
  <c r="AO171" i="44"/>
  <c r="BH171" i="44" s="1"/>
  <c r="Z195" i="44"/>
  <c r="AO195" i="44"/>
  <c r="BH195" i="44" s="1"/>
  <c r="Z203" i="44"/>
  <c r="AO203" i="44"/>
  <c r="BH203" i="44" s="1"/>
  <c r="AO211" i="44"/>
  <c r="BH211" i="44" s="1"/>
  <c r="Z211" i="44"/>
  <c r="Z218" i="44"/>
  <c r="AO218" i="44"/>
  <c r="BH218" i="44" s="1"/>
  <c r="Z236" i="44"/>
  <c r="AO236" i="44"/>
  <c r="BH236" i="44" s="1"/>
  <c r="Z243" i="44"/>
  <c r="AO243" i="44"/>
  <c r="BH243" i="44" s="1"/>
  <c r="Z251" i="44"/>
  <c r="AO251" i="44"/>
  <c r="BH251" i="44" s="1"/>
  <c r="Z259" i="44"/>
  <c r="AO259" i="44"/>
  <c r="BH259" i="44" s="1"/>
  <c r="Z298" i="44"/>
  <c r="AO298" i="44"/>
  <c r="BH298" i="44" s="1"/>
  <c r="Z306" i="44"/>
  <c r="AO306" i="44"/>
  <c r="BH306" i="44" s="1"/>
  <c r="Z18" i="44"/>
  <c r="AO18" i="44"/>
  <c r="BH18" i="44" s="1"/>
  <c r="Z26" i="44"/>
  <c r="AO26" i="44"/>
  <c r="BH26" i="44" s="1"/>
  <c r="Z34" i="44"/>
  <c r="AO34" i="44"/>
  <c r="BH34" i="44" s="1"/>
  <c r="Z42" i="44"/>
  <c r="AO42" i="44"/>
  <c r="BH42" i="44" s="1"/>
  <c r="Z49" i="44"/>
  <c r="AO49" i="44"/>
  <c r="BH49" i="44" s="1"/>
  <c r="Z57" i="44"/>
  <c r="AO57" i="44"/>
  <c r="BH57" i="44" s="1"/>
  <c r="Z63" i="44"/>
  <c r="AO63" i="44"/>
  <c r="BH63" i="44" s="1"/>
  <c r="Z69" i="44"/>
  <c r="AO69" i="44"/>
  <c r="BH69" i="44" s="1"/>
  <c r="Z82" i="44"/>
  <c r="AO82" i="44"/>
  <c r="BH82" i="44" s="1"/>
  <c r="AA100" i="44"/>
  <c r="AP100" i="44"/>
  <c r="BI100" i="44" s="1"/>
  <c r="Z107" i="44"/>
  <c r="AO107" i="44"/>
  <c r="BH107" i="44" s="1"/>
  <c r="Z114" i="44"/>
  <c r="AO114" i="44"/>
  <c r="BH114" i="44" s="1"/>
  <c r="Z144" i="44"/>
  <c r="AO144" i="44"/>
  <c r="BH144" i="44" s="1"/>
  <c r="Z180" i="44"/>
  <c r="AO180" i="44"/>
  <c r="BH180" i="44" s="1"/>
  <c r="Z188" i="44"/>
  <c r="AO188" i="44"/>
  <c r="BH188" i="44" s="1"/>
  <c r="AO212" i="44"/>
  <c r="BH212" i="44" s="1"/>
  <c r="Z212" i="44"/>
  <c r="Z268" i="44"/>
  <c r="AO268" i="44"/>
  <c r="BH268" i="44" s="1"/>
  <c r="AA275" i="44"/>
  <c r="AP275" i="44"/>
  <c r="BI275" i="44" s="1"/>
  <c r="Z283" i="44"/>
  <c r="AO283" i="44"/>
  <c r="BH283" i="44" s="1"/>
  <c r="Z291" i="44"/>
  <c r="AO291" i="44"/>
  <c r="BH291" i="44" s="1"/>
  <c r="AO29" i="44"/>
  <c r="BH29" i="44" s="1"/>
  <c r="AO60" i="44"/>
  <c r="BH60" i="44" s="1"/>
  <c r="AO76" i="44"/>
  <c r="BH76" i="44" s="1"/>
  <c r="AO92" i="44"/>
  <c r="BH92" i="44" s="1"/>
  <c r="AO108" i="44"/>
  <c r="BH108" i="44" s="1"/>
  <c r="AO124" i="44"/>
  <c r="BH124" i="44" s="1"/>
  <c r="Z65" i="44"/>
  <c r="AO65" i="44"/>
  <c r="BH65" i="44" s="1"/>
  <c r="Z19" i="44"/>
  <c r="AO19" i="44"/>
  <c r="BH19" i="44" s="1"/>
  <c r="Z27" i="44"/>
  <c r="AO27" i="44"/>
  <c r="BH27" i="44" s="1"/>
  <c r="Z35" i="44"/>
  <c r="AO35" i="44"/>
  <c r="BH35" i="44" s="1"/>
  <c r="Z43" i="44"/>
  <c r="AO43" i="44"/>
  <c r="BH43" i="44" s="1"/>
  <c r="Z50" i="44"/>
  <c r="AO50" i="44"/>
  <c r="BH50" i="44" s="1"/>
  <c r="Z58" i="44"/>
  <c r="AO58" i="44"/>
  <c r="BH58" i="44" s="1"/>
  <c r="Z70" i="44"/>
  <c r="AO70" i="44"/>
  <c r="BH70" i="44" s="1"/>
  <c r="Z89" i="44"/>
  <c r="AO89" i="44"/>
  <c r="BH89" i="44" s="1"/>
  <c r="Z95" i="44"/>
  <c r="AO95" i="44"/>
  <c r="BH95" i="44" s="1"/>
  <c r="Z101" i="44"/>
  <c r="AO101" i="44"/>
  <c r="BH101" i="44" s="1"/>
  <c r="Z115" i="44"/>
  <c r="AO115" i="44"/>
  <c r="BH115" i="44" s="1"/>
  <c r="Z122" i="44"/>
  <c r="AO122" i="44"/>
  <c r="BH122" i="44" s="1"/>
  <c r="Z137" i="44"/>
  <c r="AO137" i="44"/>
  <c r="BH137" i="44" s="1"/>
  <c r="Z151" i="44"/>
  <c r="AO151" i="44"/>
  <c r="BH151" i="44" s="1"/>
  <c r="Z157" i="44"/>
  <c r="AO157" i="44"/>
  <c r="BH157" i="44" s="1"/>
  <c r="Z165" i="44"/>
  <c r="AO165" i="44"/>
  <c r="BH165" i="44" s="1"/>
  <c r="Z173" i="44"/>
  <c r="AO173" i="44"/>
  <c r="BH173" i="44" s="1"/>
  <c r="Z189" i="44"/>
  <c r="AO189" i="44"/>
  <c r="BH189" i="44" s="1"/>
  <c r="Z197" i="44"/>
  <c r="AO197" i="44"/>
  <c r="BH197" i="44" s="1"/>
  <c r="Z205" i="44"/>
  <c r="AO205" i="44"/>
  <c r="BH205" i="44" s="1"/>
  <c r="Z213" i="44"/>
  <c r="AO213" i="44"/>
  <c r="BH213" i="44" s="1"/>
  <c r="Z220" i="44"/>
  <c r="AO220" i="44"/>
  <c r="BH220" i="44" s="1"/>
  <c r="Z226" i="44"/>
  <c r="AO226" i="44"/>
  <c r="BH226" i="44" s="1"/>
  <c r="AA231" i="44"/>
  <c r="AP231" i="44"/>
  <c r="BI231" i="44" s="1"/>
  <c r="Z245" i="44"/>
  <c r="AO245" i="44"/>
  <c r="BH245" i="44" s="1"/>
  <c r="Z253" i="44"/>
  <c r="AO253" i="44"/>
  <c r="BH253" i="44" s="1"/>
  <c r="AO261" i="44"/>
  <c r="BH261" i="44" s="1"/>
  <c r="Z261" i="44"/>
  <c r="Z269" i="44"/>
  <c r="AO269" i="44"/>
  <c r="BH269" i="44" s="1"/>
  <c r="Z300" i="44"/>
  <c r="AO300" i="44"/>
  <c r="BH300" i="44" s="1"/>
  <c r="AA84" i="44"/>
  <c r="AP84" i="44"/>
  <c r="BI84" i="44" s="1"/>
  <c r="Z20" i="44"/>
  <c r="AO20" i="44"/>
  <c r="BH20" i="44" s="1"/>
  <c r="Z28" i="44"/>
  <c r="AO28" i="44"/>
  <c r="BH28" i="44" s="1"/>
  <c r="Z36" i="44"/>
  <c r="AO36" i="44"/>
  <c r="BH36" i="44" s="1"/>
  <c r="Z44" i="44"/>
  <c r="AO44" i="44"/>
  <c r="BH44" i="44" s="1"/>
  <c r="Z51" i="44"/>
  <c r="AO51" i="44"/>
  <c r="BH51" i="44" s="1"/>
  <c r="Z71" i="44"/>
  <c r="AO71" i="44"/>
  <c r="BH71" i="44" s="1"/>
  <c r="Z77" i="44"/>
  <c r="AO77" i="44"/>
  <c r="BH77" i="44" s="1"/>
  <c r="Z83" i="44"/>
  <c r="AO83" i="44"/>
  <c r="BH83" i="44" s="1"/>
  <c r="Z90" i="44"/>
  <c r="AO90" i="44"/>
  <c r="BH90" i="44" s="1"/>
  <c r="Z109" i="44"/>
  <c r="AO109" i="44"/>
  <c r="BH109" i="44" s="1"/>
  <c r="AA116" i="44"/>
  <c r="AP116" i="44"/>
  <c r="BI116" i="44" s="1"/>
  <c r="Z123" i="44"/>
  <c r="AO123" i="44"/>
  <c r="BH123" i="44" s="1"/>
  <c r="Z130" i="44"/>
  <c r="AO130" i="44"/>
  <c r="BH130" i="44" s="1"/>
  <c r="AA145" i="44"/>
  <c r="AP145" i="44"/>
  <c r="BI145" i="44" s="1"/>
  <c r="Z182" i="44"/>
  <c r="AO182" i="44"/>
  <c r="BH182" i="44" s="1"/>
  <c r="Z262" i="44"/>
  <c r="AO262" i="44"/>
  <c r="BH262" i="44" s="1"/>
  <c r="Z270" i="44"/>
  <c r="AO270" i="44"/>
  <c r="BH270" i="44" s="1"/>
  <c r="Z277" i="44"/>
  <c r="AO277" i="44"/>
  <c r="BH277" i="44" s="1"/>
  <c r="Z285" i="44"/>
  <c r="AO285" i="44"/>
  <c r="BH285" i="44" s="1"/>
  <c r="Z293" i="44"/>
  <c r="AO293" i="44"/>
  <c r="BH293" i="44" s="1"/>
  <c r="AO17" i="44"/>
  <c r="AO33" i="44"/>
  <c r="AO48" i="44"/>
  <c r="AO64" i="44"/>
  <c r="BH64" i="44" s="1"/>
  <c r="AO80" i="44"/>
  <c r="BH80" i="44" s="1"/>
  <c r="AO96" i="44"/>
  <c r="BH96" i="44" s="1"/>
  <c r="AO112" i="44"/>
  <c r="BH112" i="44" s="1"/>
  <c r="Z140" i="44"/>
  <c r="AO140" i="44"/>
  <c r="BH140" i="44" s="1"/>
  <c r="Z146" i="44"/>
  <c r="AO146" i="44"/>
  <c r="BH146" i="44" s="1"/>
  <c r="Z152" i="44"/>
  <c r="AO152" i="44"/>
  <c r="BH152" i="44" s="1"/>
  <c r="Z158" i="44"/>
  <c r="AO158" i="44"/>
  <c r="BH158" i="44" s="1"/>
  <c r="Z166" i="44"/>
  <c r="AO166" i="44"/>
  <c r="BH166" i="44" s="1"/>
  <c r="Z174" i="44"/>
  <c r="AO174" i="44"/>
  <c r="BH174" i="44" s="1"/>
  <c r="AA181" i="44"/>
  <c r="AP181" i="44"/>
  <c r="BI181" i="44" s="1"/>
  <c r="Z196" i="44"/>
  <c r="AO196" i="44"/>
  <c r="BH196" i="44" s="1"/>
  <c r="Z204" i="44"/>
  <c r="AO204" i="44"/>
  <c r="BH204" i="44" s="1"/>
  <c r="AA217" i="44"/>
  <c r="AP217" i="44"/>
  <c r="BI217" i="44" s="1"/>
  <c r="Z224" i="44"/>
  <c r="AO224" i="44"/>
  <c r="BH224" i="44" s="1"/>
  <c r="Z230" i="44"/>
  <c r="AO230" i="44"/>
  <c r="BH230" i="44" s="1"/>
  <c r="Z235" i="44"/>
  <c r="AO235" i="44"/>
  <c r="BH235" i="44" s="1"/>
  <c r="Z242" i="44"/>
  <c r="AO242" i="44"/>
  <c r="BH242" i="44" s="1"/>
  <c r="Z256" i="44"/>
  <c r="AO256" i="44"/>
  <c r="BH256" i="44" s="1"/>
  <c r="Z267" i="44"/>
  <c r="AO267" i="44"/>
  <c r="BH267" i="44" s="1"/>
  <c r="Z280" i="44"/>
  <c r="AO280" i="44"/>
  <c r="BH280" i="44" s="1"/>
  <c r="Z294" i="44"/>
  <c r="AO294" i="44"/>
  <c r="BH294" i="44" s="1"/>
  <c r="AP136" i="44"/>
  <c r="BI136" i="44" s="1"/>
  <c r="AO221" i="44"/>
  <c r="BH221" i="44" s="1"/>
  <c r="AO301" i="44"/>
  <c r="BH301" i="44" s="1"/>
  <c r="AO121" i="44"/>
  <c r="BH121" i="44" s="1"/>
  <c r="Z142" i="44"/>
  <c r="AO142" i="44"/>
  <c r="BH142" i="44" s="1"/>
  <c r="Z147" i="44"/>
  <c r="AO147" i="44"/>
  <c r="BH147" i="44" s="1"/>
  <c r="Z160" i="44"/>
  <c r="AO160" i="44"/>
  <c r="BH160" i="44" s="1"/>
  <c r="Z168" i="44"/>
  <c r="AO168" i="44"/>
  <c r="BH168" i="44" s="1"/>
  <c r="Z176" i="44"/>
  <c r="AO176" i="44"/>
  <c r="BH176" i="44" s="1"/>
  <c r="Z183" i="44"/>
  <c r="AO183" i="44"/>
  <c r="BH183" i="44" s="1"/>
  <c r="Z190" i="44"/>
  <c r="AO190" i="44"/>
  <c r="BH190" i="44" s="1"/>
  <c r="Z198" i="44"/>
  <c r="AO198" i="44"/>
  <c r="BH198" i="44" s="1"/>
  <c r="Z206" i="44"/>
  <c r="AO206" i="44"/>
  <c r="BH206" i="44" s="1"/>
  <c r="Z219" i="44"/>
  <c r="AO219" i="44"/>
  <c r="BH219" i="44" s="1"/>
  <c r="Z244" i="44"/>
  <c r="AO244" i="44"/>
  <c r="BH244" i="44" s="1"/>
  <c r="Z250" i="44"/>
  <c r="AO250" i="44"/>
  <c r="BH250" i="44" s="1"/>
  <c r="Z282" i="44"/>
  <c r="AO282" i="44"/>
  <c r="BH282" i="44" s="1"/>
  <c r="Z288" i="44"/>
  <c r="AO288" i="44"/>
  <c r="BH288" i="44" s="1"/>
  <c r="Z296" i="44"/>
  <c r="AO296" i="44"/>
  <c r="BH296" i="44" s="1"/>
  <c r="Z303" i="44"/>
  <c r="AO303" i="44"/>
  <c r="BH303" i="44" s="1"/>
  <c r="AO225" i="44"/>
  <c r="BH225" i="44" s="1"/>
  <c r="AO273" i="44"/>
  <c r="BH273" i="44" s="1"/>
  <c r="AO305" i="44"/>
  <c r="BH305" i="44" s="1"/>
  <c r="Z304" i="44"/>
  <c r="AO304" i="44"/>
  <c r="BH304" i="44" s="1"/>
  <c r="AO118" i="44"/>
  <c r="BH118" i="44" s="1"/>
  <c r="AO134" i="44"/>
  <c r="BH134" i="44" s="1"/>
  <c r="Z154" i="44"/>
  <c r="AO154" i="44"/>
  <c r="BH154" i="44" s="1"/>
  <c r="Z162" i="44"/>
  <c r="AO162" i="44"/>
  <c r="BH162" i="44" s="1"/>
  <c r="Z170" i="44"/>
  <c r="AO170" i="44"/>
  <c r="BH170" i="44" s="1"/>
  <c r="AA185" i="44"/>
  <c r="AP185" i="44"/>
  <c r="BI185" i="44" s="1"/>
  <c r="Z192" i="44"/>
  <c r="AO192" i="44"/>
  <c r="BH192" i="44" s="1"/>
  <c r="Z200" i="44"/>
  <c r="AO200" i="44"/>
  <c r="BH200" i="44" s="1"/>
  <c r="Z208" i="44"/>
  <c r="AO208" i="44"/>
  <c r="BH208" i="44" s="1"/>
  <c r="AA221" i="44"/>
  <c r="Z227" i="44"/>
  <c r="AO227" i="44"/>
  <c r="BH227" i="44" s="1"/>
  <c r="Z232" i="44"/>
  <c r="AO232" i="44"/>
  <c r="BH232" i="44" s="1"/>
  <c r="Z238" i="44"/>
  <c r="AO238" i="44"/>
  <c r="BH238" i="44" s="1"/>
  <c r="Z246" i="44"/>
  <c r="AO246" i="44"/>
  <c r="BH246" i="44" s="1"/>
  <c r="Z252" i="44"/>
  <c r="AO252" i="44"/>
  <c r="BH252" i="44" s="1"/>
  <c r="Z264" i="44"/>
  <c r="AO264" i="44"/>
  <c r="BH264" i="44" s="1"/>
  <c r="Z276" i="44"/>
  <c r="AO276" i="44"/>
  <c r="BH276" i="44" s="1"/>
  <c r="Z284" i="44"/>
  <c r="AO284" i="44"/>
  <c r="BH284" i="44" s="1"/>
  <c r="Z290" i="44"/>
  <c r="AO290" i="44"/>
  <c r="BH290" i="44" s="1"/>
  <c r="AA297" i="44"/>
  <c r="AP297" i="44"/>
  <c r="BI297" i="44" s="1"/>
  <c r="AA305" i="44"/>
  <c r="AP305" i="44"/>
  <c r="BI305" i="44" s="1"/>
  <c r="AP118" i="44"/>
  <c r="BI118" i="44" s="1"/>
  <c r="AP134" i="44"/>
  <c r="BI134" i="44" s="1"/>
  <c r="AO181" i="44"/>
  <c r="BH181" i="44" s="1"/>
  <c r="AO111" i="44"/>
  <c r="BH111" i="44" s="1"/>
  <c r="Z138" i="44"/>
  <c r="AO138" i="44"/>
  <c r="BH138" i="44" s="1"/>
  <c r="Z150" i="44"/>
  <c r="AO150" i="44"/>
  <c r="BH150" i="44" s="1"/>
  <c r="Z156" i="44"/>
  <c r="AO156" i="44"/>
  <c r="BH156" i="44" s="1"/>
  <c r="Z164" i="44"/>
  <c r="AO164" i="44"/>
  <c r="BH164" i="44" s="1"/>
  <c r="Z172" i="44"/>
  <c r="AO172" i="44"/>
  <c r="BH172" i="44" s="1"/>
  <c r="Z179" i="44"/>
  <c r="AO179" i="44"/>
  <c r="BH179" i="44" s="1"/>
  <c r="Z187" i="44"/>
  <c r="AO187" i="44"/>
  <c r="BH187" i="44" s="1"/>
  <c r="Z194" i="44"/>
  <c r="AO194" i="44"/>
  <c r="BH194" i="44" s="1"/>
  <c r="Z202" i="44"/>
  <c r="AO202" i="44"/>
  <c r="BH202" i="44" s="1"/>
  <c r="Z210" i="44"/>
  <c r="AO210" i="44"/>
  <c r="BH210" i="44" s="1"/>
  <c r="Z215" i="44"/>
  <c r="AO215" i="44"/>
  <c r="BH215" i="44" s="1"/>
  <c r="Z228" i="44"/>
  <c r="AO228" i="44"/>
  <c r="BH228" i="44" s="1"/>
  <c r="AA233" i="44"/>
  <c r="AP233" i="44"/>
  <c r="BI233" i="44" s="1"/>
  <c r="Z240" i="44"/>
  <c r="AO240" i="44"/>
  <c r="BH240" i="44" s="1"/>
  <c r="Z254" i="44"/>
  <c r="AO254" i="44"/>
  <c r="BH254" i="44" s="1"/>
  <c r="Z260" i="44"/>
  <c r="AO260" i="44"/>
  <c r="BH260" i="44" s="1"/>
  <c r="Z271" i="44"/>
  <c r="AO271" i="44"/>
  <c r="BH271" i="44" s="1"/>
  <c r="Z278" i="44"/>
  <c r="AO278" i="44"/>
  <c r="BH278" i="44" s="1"/>
  <c r="Z292" i="44"/>
  <c r="AO292" i="44"/>
  <c r="BH292" i="44" s="1"/>
  <c r="Z299" i="44"/>
  <c r="AO299" i="44"/>
  <c r="BH299" i="44" s="1"/>
  <c r="Z307" i="44"/>
  <c r="AO307" i="44"/>
  <c r="BH307" i="44" s="1"/>
  <c r="AO185" i="44"/>
  <c r="BH185" i="44" s="1"/>
  <c r="AO217" i="44"/>
  <c r="BH217" i="44" s="1"/>
  <c r="AO233" i="44"/>
  <c r="BH233" i="44" s="1"/>
  <c r="AO297" i="44"/>
  <c r="BH297" i="44" s="1"/>
  <c r="BE307" i="64"/>
  <c r="BE306" i="64"/>
  <c r="BE305" i="64"/>
  <c r="BE304" i="64"/>
  <c r="BE303" i="64"/>
  <c r="BE302" i="64"/>
  <c r="BE301" i="64"/>
  <c r="BE300" i="64"/>
  <c r="BE299" i="64"/>
  <c r="BE298" i="64"/>
  <c r="BE297" i="64"/>
  <c r="BE296" i="64"/>
  <c r="BE295" i="64"/>
  <c r="BE294" i="64"/>
  <c r="BE293" i="64"/>
  <c r="BE292" i="64"/>
  <c r="BE291" i="64"/>
  <c r="BE290" i="64"/>
  <c r="BE289" i="64"/>
  <c r="BE288" i="64"/>
  <c r="BE287" i="64"/>
  <c r="BE286" i="64"/>
  <c r="BE285" i="64"/>
  <c r="BE284" i="64"/>
  <c r="BE283" i="64"/>
  <c r="BE282" i="64"/>
  <c r="BE281" i="64"/>
  <c r="BE280" i="64"/>
  <c r="BE279" i="64"/>
  <c r="BE278" i="64"/>
  <c r="BE277" i="64"/>
  <c r="BE276" i="64"/>
  <c r="BE275" i="64"/>
  <c r="BE274" i="64"/>
  <c r="BE273" i="64"/>
  <c r="BE272" i="64"/>
  <c r="BE271" i="64"/>
  <c r="BE270" i="64"/>
  <c r="BE269" i="64"/>
  <c r="BE268" i="64"/>
  <c r="BE267" i="64"/>
  <c r="BE266" i="64"/>
  <c r="BE265" i="64"/>
  <c r="BE264" i="64"/>
  <c r="BE263" i="64"/>
  <c r="BE262" i="64"/>
  <c r="BE261" i="64"/>
  <c r="BE260" i="64"/>
  <c r="BE259" i="64"/>
  <c r="BE258" i="64"/>
  <c r="BE257" i="64"/>
  <c r="BE256" i="64"/>
  <c r="BE255" i="64"/>
  <c r="BE254" i="64"/>
  <c r="BE253" i="64"/>
  <c r="BE252" i="64"/>
  <c r="BE251" i="64"/>
  <c r="BE250" i="64"/>
  <c r="BE249" i="64"/>
  <c r="BE248" i="64"/>
  <c r="BE247" i="64"/>
  <c r="BE246" i="64"/>
  <c r="BE245" i="64"/>
  <c r="BE244" i="64"/>
  <c r="BE243" i="64"/>
  <c r="BE242" i="64"/>
  <c r="BE241" i="64"/>
  <c r="BE240" i="64"/>
  <c r="BE239" i="64"/>
  <c r="BE238" i="64"/>
  <c r="BE237" i="64"/>
  <c r="BE236" i="64"/>
  <c r="BE235" i="64"/>
  <c r="BE234" i="64"/>
  <c r="BE233" i="64"/>
  <c r="BE232" i="64"/>
  <c r="BE231" i="64"/>
  <c r="BE230" i="64"/>
  <c r="BE229" i="64"/>
  <c r="BE228" i="64"/>
  <c r="BE227" i="64"/>
  <c r="BE226" i="64"/>
  <c r="BE225" i="64"/>
  <c r="BE224" i="64"/>
  <c r="BE223" i="64"/>
  <c r="BE222" i="64"/>
  <c r="BE221" i="64"/>
  <c r="BE220" i="64"/>
  <c r="BE219" i="64"/>
  <c r="BE218" i="64"/>
  <c r="BE217" i="64"/>
  <c r="BE216" i="64"/>
  <c r="BE215" i="64"/>
  <c r="BE214" i="64"/>
  <c r="BE213" i="64"/>
  <c r="BE212" i="64"/>
  <c r="BE211" i="64"/>
  <c r="BE210" i="64"/>
  <c r="BE209" i="64"/>
  <c r="BE208" i="64"/>
  <c r="BE207" i="64"/>
  <c r="BE206" i="64"/>
  <c r="BE205" i="64"/>
  <c r="BE204" i="64"/>
  <c r="BE203" i="64"/>
  <c r="BE202" i="64"/>
  <c r="BE201" i="64"/>
  <c r="BE200" i="64"/>
  <c r="BE199" i="64"/>
  <c r="BE198" i="64"/>
  <c r="BE197" i="64"/>
  <c r="BE196" i="64"/>
  <c r="BE195" i="64"/>
  <c r="BE194" i="64"/>
  <c r="BE192" i="64"/>
  <c r="BE191" i="64"/>
  <c r="BE190" i="64"/>
  <c r="BE189" i="64"/>
  <c r="BE188" i="64"/>
  <c r="BE187" i="64"/>
  <c r="BE186" i="64"/>
  <c r="BE185" i="64"/>
  <c r="BE184" i="64"/>
  <c r="BE183" i="64"/>
  <c r="BE182" i="64"/>
  <c r="BE181" i="64"/>
  <c r="BE180" i="64"/>
  <c r="BE179" i="64"/>
  <c r="BE178" i="64"/>
  <c r="BE177" i="64"/>
  <c r="BE176" i="64"/>
  <c r="BE175" i="64"/>
  <c r="BE174" i="64"/>
  <c r="BE173" i="64"/>
  <c r="BE172" i="64"/>
  <c r="BE171" i="64"/>
  <c r="BE170" i="64"/>
  <c r="BE169" i="64"/>
  <c r="BE168" i="64"/>
  <c r="BE167" i="64"/>
  <c r="BE166" i="64"/>
  <c r="BE165" i="64"/>
  <c r="BE164" i="64"/>
  <c r="BE163" i="64"/>
  <c r="BE162" i="64"/>
  <c r="BE161" i="64"/>
  <c r="BE160" i="64"/>
  <c r="BE159" i="64"/>
  <c r="BE158" i="64"/>
  <c r="BE157" i="64"/>
  <c r="BE156" i="64"/>
  <c r="BE155" i="64"/>
  <c r="BE154" i="64"/>
  <c r="BE153" i="64"/>
  <c r="BE152" i="64"/>
  <c r="BE151" i="64"/>
  <c r="BE150" i="64"/>
  <c r="BE149" i="64"/>
  <c r="BE148" i="64"/>
  <c r="BE147" i="64"/>
  <c r="BE146" i="64"/>
  <c r="BE145" i="64"/>
  <c r="BE144" i="64"/>
  <c r="BE143" i="64"/>
  <c r="BE142" i="64"/>
  <c r="BE141" i="64"/>
  <c r="BE140" i="64"/>
  <c r="BE139" i="64"/>
  <c r="BE138" i="64"/>
  <c r="BE137" i="64"/>
  <c r="BE136" i="64"/>
  <c r="BE135" i="64"/>
  <c r="BE134" i="64"/>
  <c r="BE133" i="64"/>
  <c r="BE132" i="64"/>
  <c r="BE131" i="64"/>
  <c r="BE130" i="64"/>
  <c r="BE129" i="64"/>
  <c r="BE128" i="64"/>
  <c r="BE127" i="64"/>
  <c r="BE126" i="64"/>
  <c r="BE125" i="64"/>
  <c r="BE124" i="64"/>
  <c r="BE123" i="64"/>
  <c r="BE122" i="64"/>
  <c r="BE121" i="64"/>
  <c r="BE120" i="64"/>
  <c r="BE119" i="64"/>
  <c r="BE118" i="64"/>
  <c r="BE117" i="64"/>
  <c r="BE116" i="64"/>
  <c r="BE115" i="64"/>
  <c r="BE114" i="64"/>
  <c r="BE113" i="64"/>
  <c r="BE112" i="64"/>
  <c r="BE111" i="64"/>
  <c r="BE110" i="64"/>
  <c r="BE109" i="64"/>
  <c r="BE108" i="64"/>
  <c r="BE107" i="64"/>
  <c r="BE106" i="64"/>
  <c r="BE105" i="64"/>
  <c r="BE104" i="64"/>
  <c r="BE103" i="64"/>
  <c r="BE102" i="64"/>
  <c r="BE101" i="64"/>
  <c r="BE100" i="64"/>
  <c r="BE99" i="64"/>
  <c r="BE98" i="64"/>
  <c r="BE97" i="64"/>
  <c r="BE96" i="64"/>
  <c r="BE95" i="64"/>
  <c r="BE94" i="64"/>
  <c r="BE93" i="64"/>
  <c r="BE92" i="64"/>
  <c r="BE91" i="64"/>
  <c r="BE90" i="64"/>
  <c r="BE89" i="64"/>
  <c r="BE88" i="64"/>
  <c r="BE87" i="64"/>
  <c r="BE86" i="64"/>
  <c r="BE85" i="64"/>
  <c r="BE84" i="64"/>
  <c r="BE83" i="64"/>
  <c r="BE82" i="64"/>
  <c r="BE81" i="64"/>
  <c r="BE80" i="64"/>
  <c r="BE79" i="64"/>
  <c r="BE78" i="64"/>
  <c r="BE77" i="64"/>
  <c r="BE76" i="64"/>
  <c r="BE75" i="64"/>
  <c r="BE74" i="64"/>
  <c r="BE73" i="64"/>
  <c r="BE72" i="64"/>
  <c r="BE71" i="64"/>
  <c r="BE70" i="64"/>
  <c r="BE69" i="64"/>
  <c r="BE68" i="64"/>
  <c r="BE67" i="64"/>
  <c r="BE66" i="64"/>
  <c r="BE65" i="64"/>
  <c r="BE64" i="64"/>
  <c r="BE63" i="64"/>
  <c r="BE62" i="64"/>
  <c r="BE61" i="64"/>
  <c r="BE60" i="64"/>
  <c r="BE59" i="64"/>
  <c r="BE58" i="64"/>
  <c r="BE57" i="64"/>
  <c r="BE56" i="64"/>
  <c r="BE55" i="64"/>
  <c r="BE54" i="64"/>
  <c r="BE53" i="64"/>
  <c r="BE52" i="64"/>
  <c r="BE51" i="64"/>
  <c r="BE50" i="64"/>
  <c r="BE49" i="64"/>
  <c r="BE48" i="64"/>
  <c r="BE47" i="64"/>
  <c r="BE46" i="64"/>
  <c r="BE45" i="64"/>
  <c r="BE44" i="64"/>
  <c r="BE43" i="64"/>
  <c r="BE42" i="64"/>
  <c r="BE41" i="64"/>
  <c r="BE40" i="64"/>
  <c r="BE39" i="64"/>
  <c r="BE38" i="64"/>
  <c r="BE37" i="64"/>
  <c r="BE36" i="64"/>
  <c r="BE35" i="64"/>
  <c r="BE34" i="64"/>
  <c r="BE33" i="64"/>
  <c r="BE32" i="64"/>
  <c r="BE31" i="64"/>
  <c r="BE30" i="64"/>
  <c r="BE29" i="64"/>
  <c r="BE28" i="64"/>
  <c r="BE27" i="64"/>
  <c r="BE26" i="64"/>
  <c r="BE25" i="64"/>
  <c r="BE24" i="64"/>
  <c r="BE23" i="64"/>
  <c r="BE22" i="64"/>
  <c r="BE21" i="64"/>
  <c r="BE20" i="64"/>
  <c r="BE19" i="64"/>
  <c r="BE18" i="64"/>
  <c r="BE17" i="64"/>
  <c r="BE16" i="64"/>
  <c r="BE15" i="64"/>
  <c r="BB307" i="64"/>
  <c r="AY307" i="64"/>
  <c r="AV307" i="64"/>
  <c r="AS307" i="64"/>
  <c r="AP307" i="64"/>
  <c r="AM307" i="64"/>
  <c r="AJ307" i="64"/>
  <c r="AG307" i="64"/>
  <c r="AD307" i="64"/>
  <c r="BB306" i="64"/>
  <c r="AY306" i="64"/>
  <c r="AV306" i="64"/>
  <c r="AS306" i="64"/>
  <c r="AP306" i="64"/>
  <c r="AM306" i="64"/>
  <c r="AJ306" i="64"/>
  <c r="AG306" i="64"/>
  <c r="AD306" i="64"/>
  <c r="BB305" i="64"/>
  <c r="AY305" i="64"/>
  <c r="AV305" i="64"/>
  <c r="AS305" i="64"/>
  <c r="AP305" i="64"/>
  <c r="AM305" i="64"/>
  <c r="AJ305" i="64"/>
  <c r="AG305" i="64"/>
  <c r="AD305" i="64"/>
  <c r="BB304" i="64"/>
  <c r="AY304" i="64"/>
  <c r="AV304" i="64"/>
  <c r="AS304" i="64"/>
  <c r="AP304" i="64"/>
  <c r="AM304" i="64"/>
  <c r="AJ304" i="64"/>
  <c r="AG304" i="64"/>
  <c r="AD304" i="64"/>
  <c r="BB303" i="64"/>
  <c r="AY303" i="64"/>
  <c r="AV303" i="64"/>
  <c r="AS303" i="64"/>
  <c r="AP303" i="64"/>
  <c r="AM303" i="64"/>
  <c r="AJ303" i="64"/>
  <c r="AG303" i="64"/>
  <c r="AD303" i="64"/>
  <c r="BB302" i="64"/>
  <c r="AY302" i="64"/>
  <c r="AV302" i="64"/>
  <c r="AS302" i="64"/>
  <c r="AP302" i="64"/>
  <c r="AM302" i="64"/>
  <c r="AJ302" i="64"/>
  <c r="AG302" i="64"/>
  <c r="AD302" i="64"/>
  <c r="BB301" i="64"/>
  <c r="AY301" i="64"/>
  <c r="AV301" i="64"/>
  <c r="AS301" i="64"/>
  <c r="AP301" i="64"/>
  <c r="AM301" i="64"/>
  <c r="AJ301" i="64"/>
  <c r="AG301" i="64"/>
  <c r="AD301" i="64"/>
  <c r="BB300" i="64"/>
  <c r="AY300" i="64"/>
  <c r="AV300" i="64"/>
  <c r="AS300" i="64"/>
  <c r="AP300" i="64"/>
  <c r="AM300" i="64"/>
  <c r="AJ300" i="64"/>
  <c r="AG300" i="64"/>
  <c r="AD300" i="64"/>
  <c r="BB299" i="64"/>
  <c r="AY299" i="64"/>
  <c r="AV299" i="64"/>
  <c r="AS299" i="64"/>
  <c r="AP299" i="64"/>
  <c r="AM299" i="64"/>
  <c r="AJ299" i="64"/>
  <c r="AG299" i="64"/>
  <c r="AD299" i="64"/>
  <c r="BB298" i="64"/>
  <c r="AY298" i="64"/>
  <c r="AV298" i="64"/>
  <c r="AS298" i="64"/>
  <c r="AP298" i="64"/>
  <c r="AM298" i="64"/>
  <c r="AJ298" i="64"/>
  <c r="AG298" i="64"/>
  <c r="AD298" i="64"/>
  <c r="BB297" i="64"/>
  <c r="AY297" i="64"/>
  <c r="AV297" i="64"/>
  <c r="AS297" i="64"/>
  <c r="AP297" i="64"/>
  <c r="AM297" i="64"/>
  <c r="AJ297" i="64"/>
  <c r="AG297" i="64"/>
  <c r="AD297" i="64"/>
  <c r="BB296" i="64"/>
  <c r="AY296" i="64"/>
  <c r="AV296" i="64"/>
  <c r="AS296" i="64"/>
  <c r="AP296" i="64"/>
  <c r="AM296" i="64"/>
  <c r="AJ296" i="64"/>
  <c r="AG296" i="64"/>
  <c r="AD296" i="64"/>
  <c r="BB295" i="64"/>
  <c r="AY295" i="64"/>
  <c r="AV295" i="64"/>
  <c r="AS295" i="64"/>
  <c r="AP295" i="64"/>
  <c r="AM295" i="64"/>
  <c r="AJ295" i="64"/>
  <c r="AG295" i="64"/>
  <c r="AD295" i="64"/>
  <c r="BB294" i="64"/>
  <c r="AY294" i="64"/>
  <c r="AV294" i="64"/>
  <c r="AS294" i="64"/>
  <c r="AP294" i="64"/>
  <c r="AM294" i="64"/>
  <c r="AJ294" i="64"/>
  <c r="AG294" i="64"/>
  <c r="AD294" i="64"/>
  <c r="BB293" i="64"/>
  <c r="AY293" i="64"/>
  <c r="AV293" i="64"/>
  <c r="AS293" i="64"/>
  <c r="AP293" i="64"/>
  <c r="AM293" i="64"/>
  <c r="AJ293" i="64"/>
  <c r="AG293" i="64"/>
  <c r="AD293" i="64"/>
  <c r="BB292" i="64"/>
  <c r="AY292" i="64"/>
  <c r="AV292" i="64"/>
  <c r="AS292" i="64"/>
  <c r="AP292" i="64"/>
  <c r="AM292" i="64"/>
  <c r="AJ292" i="64"/>
  <c r="AG292" i="64"/>
  <c r="AD292" i="64"/>
  <c r="BB291" i="64"/>
  <c r="AY291" i="64"/>
  <c r="AV291" i="64"/>
  <c r="AS291" i="64"/>
  <c r="AP291" i="64"/>
  <c r="AM291" i="64"/>
  <c r="AJ291" i="64"/>
  <c r="AG291" i="64"/>
  <c r="AD291" i="64"/>
  <c r="BB290" i="64"/>
  <c r="AY290" i="64"/>
  <c r="AV290" i="64"/>
  <c r="AS290" i="64"/>
  <c r="AP290" i="64"/>
  <c r="AM290" i="64"/>
  <c r="AJ290" i="64"/>
  <c r="AG290" i="64"/>
  <c r="AD290" i="64"/>
  <c r="BB289" i="64"/>
  <c r="AY289" i="64"/>
  <c r="AV289" i="64"/>
  <c r="AS289" i="64"/>
  <c r="AP289" i="64"/>
  <c r="AM289" i="64"/>
  <c r="AJ289" i="64"/>
  <c r="AG289" i="64"/>
  <c r="AD289" i="64"/>
  <c r="BB288" i="64"/>
  <c r="AY288" i="64"/>
  <c r="AV288" i="64"/>
  <c r="AS288" i="64"/>
  <c r="AP288" i="64"/>
  <c r="AM288" i="64"/>
  <c r="AJ288" i="64"/>
  <c r="AG288" i="64"/>
  <c r="AD288" i="64"/>
  <c r="BB287" i="64"/>
  <c r="AY287" i="64"/>
  <c r="AV287" i="64"/>
  <c r="AS287" i="64"/>
  <c r="AP287" i="64"/>
  <c r="AM287" i="64"/>
  <c r="AJ287" i="64"/>
  <c r="AG287" i="64"/>
  <c r="AD287" i="64"/>
  <c r="BB286" i="64"/>
  <c r="AY286" i="64"/>
  <c r="AV286" i="64"/>
  <c r="AS286" i="64"/>
  <c r="AP286" i="64"/>
  <c r="AM286" i="64"/>
  <c r="AJ286" i="64"/>
  <c r="AG286" i="64"/>
  <c r="AD286" i="64"/>
  <c r="BB285" i="64"/>
  <c r="AY285" i="64"/>
  <c r="AV285" i="64"/>
  <c r="AS285" i="64"/>
  <c r="AP285" i="64"/>
  <c r="AM285" i="64"/>
  <c r="AJ285" i="64"/>
  <c r="AG285" i="64"/>
  <c r="AD285" i="64"/>
  <c r="BB284" i="64"/>
  <c r="AY284" i="64"/>
  <c r="AV284" i="64"/>
  <c r="AS284" i="64"/>
  <c r="AP284" i="64"/>
  <c r="AM284" i="64"/>
  <c r="AJ284" i="64"/>
  <c r="AG284" i="64"/>
  <c r="AD284" i="64"/>
  <c r="BB283" i="64"/>
  <c r="AY283" i="64"/>
  <c r="AV283" i="64"/>
  <c r="AS283" i="64"/>
  <c r="AP283" i="64"/>
  <c r="AM283" i="64"/>
  <c r="AJ283" i="64"/>
  <c r="AG283" i="64"/>
  <c r="AD283" i="64"/>
  <c r="BB282" i="64"/>
  <c r="AY282" i="64"/>
  <c r="AV282" i="64"/>
  <c r="AS282" i="64"/>
  <c r="AP282" i="64"/>
  <c r="AM282" i="64"/>
  <c r="AJ282" i="64"/>
  <c r="AG282" i="64"/>
  <c r="AD282" i="64"/>
  <c r="BB281" i="64"/>
  <c r="AY281" i="64"/>
  <c r="AV281" i="64"/>
  <c r="AS281" i="64"/>
  <c r="AP281" i="64"/>
  <c r="AM281" i="64"/>
  <c r="AJ281" i="64"/>
  <c r="AG281" i="64"/>
  <c r="AD281" i="64"/>
  <c r="BB280" i="64"/>
  <c r="AY280" i="64"/>
  <c r="AV280" i="64"/>
  <c r="AS280" i="64"/>
  <c r="AP280" i="64"/>
  <c r="AM280" i="64"/>
  <c r="AJ280" i="64"/>
  <c r="AG280" i="64"/>
  <c r="AD280" i="64"/>
  <c r="BB279" i="64"/>
  <c r="AY279" i="64"/>
  <c r="AV279" i="64"/>
  <c r="AS279" i="64"/>
  <c r="AP279" i="64"/>
  <c r="AM279" i="64"/>
  <c r="AJ279" i="64"/>
  <c r="AG279" i="64"/>
  <c r="AD279" i="64"/>
  <c r="BB278" i="64"/>
  <c r="AY278" i="64"/>
  <c r="AV278" i="64"/>
  <c r="AS278" i="64"/>
  <c r="AP278" i="64"/>
  <c r="AM278" i="64"/>
  <c r="AJ278" i="64"/>
  <c r="AG278" i="64"/>
  <c r="AD278" i="64"/>
  <c r="BB277" i="64"/>
  <c r="AY277" i="64"/>
  <c r="AV277" i="64"/>
  <c r="AS277" i="64"/>
  <c r="AP277" i="64"/>
  <c r="AM277" i="64"/>
  <c r="AJ277" i="64"/>
  <c r="AG277" i="64"/>
  <c r="AD277" i="64"/>
  <c r="BB276" i="64"/>
  <c r="AY276" i="64"/>
  <c r="AV276" i="64"/>
  <c r="AS276" i="64"/>
  <c r="AP276" i="64"/>
  <c r="AM276" i="64"/>
  <c r="AJ276" i="64"/>
  <c r="AG276" i="64"/>
  <c r="AD276" i="64"/>
  <c r="BB275" i="64"/>
  <c r="AY275" i="64"/>
  <c r="AV275" i="64"/>
  <c r="AS275" i="64"/>
  <c r="AP275" i="64"/>
  <c r="AM275" i="64"/>
  <c r="AJ275" i="64"/>
  <c r="AG275" i="64"/>
  <c r="AD275" i="64"/>
  <c r="BB274" i="64"/>
  <c r="AY274" i="64"/>
  <c r="AV274" i="64"/>
  <c r="AS274" i="64"/>
  <c r="AP274" i="64"/>
  <c r="AM274" i="64"/>
  <c r="AJ274" i="64"/>
  <c r="AG274" i="64"/>
  <c r="AD274" i="64"/>
  <c r="BB273" i="64"/>
  <c r="AY273" i="64"/>
  <c r="AV273" i="64"/>
  <c r="AS273" i="64"/>
  <c r="AP273" i="64"/>
  <c r="AM273" i="64"/>
  <c r="AJ273" i="64"/>
  <c r="AG273" i="64"/>
  <c r="AD273" i="64"/>
  <c r="BB272" i="64"/>
  <c r="AY272" i="64"/>
  <c r="AV272" i="64"/>
  <c r="AS272" i="64"/>
  <c r="AP272" i="64"/>
  <c r="AM272" i="64"/>
  <c r="AJ272" i="64"/>
  <c r="AG272" i="64"/>
  <c r="AD272" i="64"/>
  <c r="BB271" i="64"/>
  <c r="AY271" i="64"/>
  <c r="AV271" i="64"/>
  <c r="AS271" i="64"/>
  <c r="AP271" i="64"/>
  <c r="AM271" i="64"/>
  <c r="AJ271" i="64"/>
  <c r="AG271" i="64"/>
  <c r="AD271" i="64"/>
  <c r="BB270" i="64"/>
  <c r="AY270" i="64"/>
  <c r="AV270" i="64"/>
  <c r="AS270" i="64"/>
  <c r="AP270" i="64"/>
  <c r="AM270" i="64"/>
  <c r="AJ270" i="64"/>
  <c r="AG270" i="64"/>
  <c r="AD270" i="64"/>
  <c r="BB269" i="64"/>
  <c r="AY269" i="64"/>
  <c r="AV269" i="64"/>
  <c r="AS269" i="64"/>
  <c r="AP269" i="64"/>
  <c r="AM269" i="64"/>
  <c r="AJ269" i="64"/>
  <c r="AG269" i="64"/>
  <c r="AD269" i="64"/>
  <c r="BB268" i="64"/>
  <c r="AY268" i="64"/>
  <c r="AV268" i="64"/>
  <c r="AS268" i="64"/>
  <c r="AP268" i="64"/>
  <c r="AM268" i="64"/>
  <c r="AJ268" i="64"/>
  <c r="AG268" i="64"/>
  <c r="AD268" i="64"/>
  <c r="BB267" i="64"/>
  <c r="AY267" i="64"/>
  <c r="AV267" i="64"/>
  <c r="AS267" i="64"/>
  <c r="AP267" i="64"/>
  <c r="AM267" i="64"/>
  <c r="AJ267" i="64"/>
  <c r="AG267" i="64"/>
  <c r="AD267" i="64"/>
  <c r="BB266" i="64"/>
  <c r="AY266" i="64"/>
  <c r="AV266" i="64"/>
  <c r="AS266" i="64"/>
  <c r="AP266" i="64"/>
  <c r="AM266" i="64"/>
  <c r="AJ266" i="64"/>
  <c r="AG266" i="64"/>
  <c r="AD266" i="64"/>
  <c r="BB265" i="64"/>
  <c r="AY265" i="64"/>
  <c r="AV265" i="64"/>
  <c r="AS265" i="64"/>
  <c r="AP265" i="64"/>
  <c r="AM265" i="64"/>
  <c r="AJ265" i="64"/>
  <c r="AG265" i="64"/>
  <c r="AD265" i="64"/>
  <c r="BB264" i="64"/>
  <c r="AY264" i="64"/>
  <c r="AV264" i="64"/>
  <c r="AS264" i="64"/>
  <c r="AP264" i="64"/>
  <c r="AM264" i="64"/>
  <c r="AJ264" i="64"/>
  <c r="AG264" i="64"/>
  <c r="AD264" i="64"/>
  <c r="BB263" i="64"/>
  <c r="AY263" i="64"/>
  <c r="AV263" i="64"/>
  <c r="AS263" i="64"/>
  <c r="AP263" i="64"/>
  <c r="AM263" i="64"/>
  <c r="AJ263" i="64"/>
  <c r="AG263" i="64"/>
  <c r="AD263" i="64"/>
  <c r="BB262" i="64"/>
  <c r="AY262" i="64"/>
  <c r="AV262" i="64"/>
  <c r="AS262" i="64"/>
  <c r="AP262" i="64"/>
  <c r="AM262" i="64"/>
  <c r="AJ262" i="64"/>
  <c r="AG262" i="64"/>
  <c r="AD262" i="64"/>
  <c r="BB261" i="64"/>
  <c r="AY261" i="64"/>
  <c r="AV261" i="64"/>
  <c r="AS261" i="64"/>
  <c r="AP261" i="64"/>
  <c r="AM261" i="64"/>
  <c r="AJ261" i="64"/>
  <c r="AG261" i="64"/>
  <c r="AD261" i="64"/>
  <c r="BB260" i="64"/>
  <c r="AY260" i="64"/>
  <c r="AV260" i="64"/>
  <c r="AS260" i="64"/>
  <c r="AP260" i="64"/>
  <c r="AM260" i="64"/>
  <c r="AJ260" i="64"/>
  <c r="AG260" i="64"/>
  <c r="AD260" i="64"/>
  <c r="BB259" i="64"/>
  <c r="AY259" i="64"/>
  <c r="AV259" i="64"/>
  <c r="AS259" i="64"/>
  <c r="AP259" i="64"/>
  <c r="AM259" i="64"/>
  <c r="AJ259" i="64"/>
  <c r="AG259" i="64"/>
  <c r="AD259" i="64"/>
  <c r="BB258" i="64"/>
  <c r="AY258" i="64"/>
  <c r="AV258" i="64"/>
  <c r="AS258" i="64"/>
  <c r="AP258" i="64"/>
  <c r="AM258" i="64"/>
  <c r="AJ258" i="64"/>
  <c r="AG258" i="64"/>
  <c r="AD258" i="64"/>
  <c r="BB257" i="64"/>
  <c r="AY257" i="64"/>
  <c r="AV257" i="64"/>
  <c r="AS257" i="64"/>
  <c r="AP257" i="64"/>
  <c r="AM257" i="64"/>
  <c r="AJ257" i="64"/>
  <c r="AG257" i="64"/>
  <c r="AD257" i="64"/>
  <c r="BB256" i="64"/>
  <c r="AY256" i="64"/>
  <c r="AV256" i="64"/>
  <c r="AS256" i="64"/>
  <c r="AP256" i="64"/>
  <c r="AM256" i="64"/>
  <c r="AJ256" i="64"/>
  <c r="AG256" i="64"/>
  <c r="AD256" i="64"/>
  <c r="BB255" i="64"/>
  <c r="AY255" i="64"/>
  <c r="AV255" i="64"/>
  <c r="AS255" i="64"/>
  <c r="AP255" i="64"/>
  <c r="AM255" i="64"/>
  <c r="AJ255" i="64"/>
  <c r="AG255" i="64"/>
  <c r="AD255" i="64"/>
  <c r="BB254" i="64"/>
  <c r="AY254" i="64"/>
  <c r="AV254" i="64"/>
  <c r="AS254" i="64"/>
  <c r="AP254" i="64"/>
  <c r="AM254" i="64"/>
  <c r="AJ254" i="64"/>
  <c r="AG254" i="64"/>
  <c r="AD254" i="64"/>
  <c r="BB253" i="64"/>
  <c r="AY253" i="64"/>
  <c r="AV253" i="64"/>
  <c r="AS253" i="64"/>
  <c r="AP253" i="64"/>
  <c r="AM253" i="64"/>
  <c r="AJ253" i="64"/>
  <c r="AG253" i="64"/>
  <c r="AD253" i="64"/>
  <c r="BB252" i="64"/>
  <c r="AY252" i="64"/>
  <c r="AV252" i="64"/>
  <c r="AS252" i="64"/>
  <c r="AP252" i="64"/>
  <c r="AM252" i="64"/>
  <c r="AJ252" i="64"/>
  <c r="AG252" i="64"/>
  <c r="AD252" i="64"/>
  <c r="BB251" i="64"/>
  <c r="AY251" i="64"/>
  <c r="AV251" i="64"/>
  <c r="AS251" i="64"/>
  <c r="AP251" i="64"/>
  <c r="AM251" i="64"/>
  <c r="AJ251" i="64"/>
  <c r="AG251" i="64"/>
  <c r="AD251" i="64"/>
  <c r="BB250" i="64"/>
  <c r="AY250" i="64"/>
  <c r="AV250" i="64"/>
  <c r="AS250" i="64"/>
  <c r="AP250" i="64"/>
  <c r="AM250" i="64"/>
  <c r="AJ250" i="64"/>
  <c r="AG250" i="64"/>
  <c r="AD250" i="64"/>
  <c r="BB249" i="64"/>
  <c r="AY249" i="64"/>
  <c r="AV249" i="64"/>
  <c r="AS249" i="64"/>
  <c r="AP249" i="64"/>
  <c r="AM249" i="64"/>
  <c r="AJ249" i="64"/>
  <c r="AG249" i="64"/>
  <c r="AD249" i="64"/>
  <c r="BB248" i="64"/>
  <c r="AY248" i="64"/>
  <c r="AV248" i="64"/>
  <c r="AS248" i="64"/>
  <c r="AP248" i="64"/>
  <c r="AM248" i="64"/>
  <c r="AJ248" i="64"/>
  <c r="AG248" i="64"/>
  <c r="AD248" i="64"/>
  <c r="BB247" i="64"/>
  <c r="AY247" i="64"/>
  <c r="AV247" i="64"/>
  <c r="AS247" i="64"/>
  <c r="AP247" i="64"/>
  <c r="AM247" i="64"/>
  <c r="AJ247" i="64"/>
  <c r="AG247" i="64"/>
  <c r="AD247" i="64"/>
  <c r="BB246" i="64"/>
  <c r="AY246" i="64"/>
  <c r="AV246" i="64"/>
  <c r="AS246" i="64"/>
  <c r="AP246" i="64"/>
  <c r="AM246" i="64"/>
  <c r="AJ246" i="64"/>
  <c r="AG246" i="64"/>
  <c r="AD246" i="64"/>
  <c r="BB245" i="64"/>
  <c r="AY245" i="64"/>
  <c r="AV245" i="64"/>
  <c r="AS245" i="64"/>
  <c r="AP245" i="64"/>
  <c r="AM245" i="64"/>
  <c r="AJ245" i="64"/>
  <c r="AG245" i="64"/>
  <c r="AD245" i="64"/>
  <c r="BB244" i="64"/>
  <c r="AY244" i="64"/>
  <c r="AV244" i="64"/>
  <c r="AS244" i="64"/>
  <c r="AP244" i="64"/>
  <c r="AM244" i="64"/>
  <c r="AJ244" i="64"/>
  <c r="AG244" i="64"/>
  <c r="AD244" i="64"/>
  <c r="BB243" i="64"/>
  <c r="AY243" i="64"/>
  <c r="AV243" i="64"/>
  <c r="AS243" i="64"/>
  <c r="AP243" i="64"/>
  <c r="AM243" i="64"/>
  <c r="AJ243" i="64"/>
  <c r="AG243" i="64"/>
  <c r="AD243" i="64"/>
  <c r="BB242" i="64"/>
  <c r="AY242" i="64"/>
  <c r="AV242" i="64"/>
  <c r="AS242" i="64"/>
  <c r="AP242" i="64"/>
  <c r="AM242" i="64"/>
  <c r="AJ242" i="64"/>
  <c r="AG242" i="64"/>
  <c r="AD242" i="64"/>
  <c r="BB241" i="64"/>
  <c r="AY241" i="64"/>
  <c r="AV241" i="64"/>
  <c r="AS241" i="64"/>
  <c r="AP241" i="64"/>
  <c r="AM241" i="64"/>
  <c r="AJ241" i="64"/>
  <c r="AG241" i="64"/>
  <c r="AD241" i="64"/>
  <c r="BB240" i="64"/>
  <c r="AY240" i="64"/>
  <c r="AV240" i="64"/>
  <c r="AS240" i="64"/>
  <c r="AP240" i="64"/>
  <c r="AM240" i="64"/>
  <c r="AJ240" i="64"/>
  <c r="AG240" i="64"/>
  <c r="AD240" i="64"/>
  <c r="BB239" i="64"/>
  <c r="AY239" i="64"/>
  <c r="AV239" i="64"/>
  <c r="AS239" i="64"/>
  <c r="AP239" i="64"/>
  <c r="AM239" i="64"/>
  <c r="AJ239" i="64"/>
  <c r="AG239" i="64"/>
  <c r="AD239" i="64"/>
  <c r="BB238" i="64"/>
  <c r="AY238" i="64"/>
  <c r="AV238" i="64"/>
  <c r="AS238" i="64"/>
  <c r="AP238" i="64"/>
  <c r="AM238" i="64"/>
  <c r="AJ238" i="64"/>
  <c r="AG238" i="64"/>
  <c r="AD238" i="64"/>
  <c r="BB237" i="64"/>
  <c r="AY237" i="64"/>
  <c r="AV237" i="64"/>
  <c r="AS237" i="64"/>
  <c r="AP237" i="64"/>
  <c r="AM237" i="64"/>
  <c r="AJ237" i="64"/>
  <c r="AG237" i="64"/>
  <c r="AD237" i="64"/>
  <c r="BB236" i="64"/>
  <c r="AY236" i="64"/>
  <c r="AV236" i="64"/>
  <c r="AS236" i="64"/>
  <c r="AP236" i="64"/>
  <c r="AM236" i="64"/>
  <c r="AJ236" i="64"/>
  <c r="AG236" i="64"/>
  <c r="AD236" i="64"/>
  <c r="BB235" i="64"/>
  <c r="AY235" i="64"/>
  <c r="AV235" i="64"/>
  <c r="AS235" i="64"/>
  <c r="AP235" i="64"/>
  <c r="AM235" i="64"/>
  <c r="AJ235" i="64"/>
  <c r="AG235" i="64"/>
  <c r="AD235" i="64"/>
  <c r="BB234" i="64"/>
  <c r="AY234" i="64"/>
  <c r="AV234" i="64"/>
  <c r="AS234" i="64"/>
  <c r="AP234" i="64"/>
  <c r="AM234" i="64"/>
  <c r="AJ234" i="64"/>
  <c r="AG234" i="64"/>
  <c r="AD234" i="64"/>
  <c r="BB233" i="64"/>
  <c r="AY233" i="64"/>
  <c r="AV233" i="64"/>
  <c r="AS233" i="64"/>
  <c r="AP233" i="64"/>
  <c r="AM233" i="64"/>
  <c r="AJ233" i="64"/>
  <c r="AG233" i="64"/>
  <c r="AD233" i="64"/>
  <c r="BB232" i="64"/>
  <c r="AY232" i="64"/>
  <c r="AV232" i="64"/>
  <c r="AS232" i="64"/>
  <c r="AP232" i="64"/>
  <c r="AM232" i="64"/>
  <c r="AJ232" i="64"/>
  <c r="AG232" i="64"/>
  <c r="AD232" i="64"/>
  <c r="BB231" i="64"/>
  <c r="AY231" i="64"/>
  <c r="AV231" i="64"/>
  <c r="AS231" i="64"/>
  <c r="AP231" i="64"/>
  <c r="AM231" i="64"/>
  <c r="AJ231" i="64"/>
  <c r="AG231" i="64"/>
  <c r="AD231" i="64"/>
  <c r="BB230" i="64"/>
  <c r="AY230" i="64"/>
  <c r="AV230" i="64"/>
  <c r="AS230" i="64"/>
  <c r="AP230" i="64"/>
  <c r="AM230" i="64"/>
  <c r="AJ230" i="64"/>
  <c r="AG230" i="64"/>
  <c r="AD230" i="64"/>
  <c r="BB229" i="64"/>
  <c r="AY229" i="64"/>
  <c r="AV229" i="64"/>
  <c r="AS229" i="64"/>
  <c r="AP229" i="64"/>
  <c r="AM229" i="64"/>
  <c r="AJ229" i="64"/>
  <c r="AG229" i="64"/>
  <c r="AD229" i="64"/>
  <c r="BB228" i="64"/>
  <c r="AY228" i="64"/>
  <c r="AV228" i="64"/>
  <c r="AS228" i="64"/>
  <c r="AP228" i="64"/>
  <c r="AM228" i="64"/>
  <c r="AJ228" i="64"/>
  <c r="AG228" i="64"/>
  <c r="AD228" i="64"/>
  <c r="BB227" i="64"/>
  <c r="AY227" i="64"/>
  <c r="AV227" i="64"/>
  <c r="AS227" i="64"/>
  <c r="AP227" i="64"/>
  <c r="AM227" i="64"/>
  <c r="AJ227" i="64"/>
  <c r="AG227" i="64"/>
  <c r="AD227" i="64"/>
  <c r="BB226" i="64"/>
  <c r="AY226" i="64"/>
  <c r="AV226" i="64"/>
  <c r="AS226" i="64"/>
  <c r="AP226" i="64"/>
  <c r="AM226" i="64"/>
  <c r="AJ226" i="64"/>
  <c r="AG226" i="64"/>
  <c r="AD226" i="64"/>
  <c r="BB225" i="64"/>
  <c r="AY225" i="64"/>
  <c r="AV225" i="64"/>
  <c r="AS225" i="64"/>
  <c r="AP225" i="64"/>
  <c r="AM225" i="64"/>
  <c r="AJ225" i="64"/>
  <c r="AG225" i="64"/>
  <c r="AD225" i="64"/>
  <c r="BB224" i="64"/>
  <c r="AY224" i="64"/>
  <c r="AV224" i="64"/>
  <c r="AS224" i="64"/>
  <c r="AP224" i="64"/>
  <c r="AM224" i="64"/>
  <c r="AJ224" i="64"/>
  <c r="AG224" i="64"/>
  <c r="AD224" i="64"/>
  <c r="BB223" i="64"/>
  <c r="AY223" i="64"/>
  <c r="AV223" i="64"/>
  <c r="AS223" i="64"/>
  <c r="AP223" i="64"/>
  <c r="AM223" i="64"/>
  <c r="AJ223" i="64"/>
  <c r="AG223" i="64"/>
  <c r="AD223" i="64"/>
  <c r="BB222" i="64"/>
  <c r="AY222" i="64"/>
  <c r="AV222" i="64"/>
  <c r="AS222" i="64"/>
  <c r="AP222" i="64"/>
  <c r="AM222" i="64"/>
  <c r="AJ222" i="64"/>
  <c r="AG222" i="64"/>
  <c r="AD222" i="64"/>
  <c r="BB221" i="64"/>
  <c r="AY221" i="64"/>
  <c r="AV221" i="64"/>
  <c r="AS221" i="64"/>
  <c r="AP221" i="64"/>
  <c r="AM221" i="64"/>
  <c r="AJ221" i="64"/>
  <c r="AG221" i="64"/>
  <c r="AD221" i="64"/>
  <c r="BB220" i="64"/>
  <c r="AY220" i="64"/>
  <c r="AV220" i="64"/>
  <c r="AS220" i="64"/>
  <c r="AP220" i="64"/>
  <c r="AM220" i="64"/>
  <c r="AJ220" i="64"/>
  <c r="AG220" i="64"/>
  <c r="AD220" i="64"/>
  <c r="BB219" i="64"/>
  <c r="AY219" i="64"/>
  <c r="AV219" i="64"/>
  <c r="AS219" i="64"/>
  <c r="AP219" i="64"/>
  <c r="AM219" i="64"/>
  <c r="AJ219" i="64"/>
  <c r="AG219" i="64"/>
  <c r="AD219" i="64"/>
  <c r="BB218" i="64"/>
  <c r="AY218" i="64"/>
  <c r="AV218" i="64"/>
  <c r="AS218" i="64"/>
  <c r="AP218" i="64"/>
  <c r="AM218" i="64"/>
  <c r="AJ218" i="64"/>
  <c r="AG218" i="64"/>
  <c r="AD218" i="64"/>
  <c r="BB217" i="64"/>
  <c r="AY217" i="64"/>
  <c r="AV217" i="64"/>
  <c r="AS217" i="64"/>
  <c r="AP217" i="64"/>
  <c r="AM217" i="64"/>
  <c r="AJ217" i="64"/>
  <c r="AG217" i="64"/>
  <c r="AD217" i="64"/>
  <c r="BB216" i="64"/>
  <c r="AY216" i="64"/>
  <c r="AV216" i="64"/>
  <c r="AS216" i="64"/>
  <c r="AP216" i="64"/>
  <c r="AM216" i="64"/>
  <c r="AJ216" i="64"/>
  <c r="AG216" i="64"/>
  <c r="AD216" i="64"/>
  <c r="BB215" i="64"/>
  <c r="AY215" i="64"/>
  <c r="AV215" i="64"/>
  <c r="AS215" i="64"/>
  <c r="AP215" i="64"/>
  <c r="AM215" i="64"/>
  <c r="AJ215" i="64"/>
  <c r="AG215" i="64"/>
  <c r="AD215" i="64"/>
  <c r="BB214" i="64"/>
  <c r="AY214" i="64"/>
  <c r="AV214" i="64"/>
  <c r="AS214" i="64"/>
  <c r="AP214" i="64"/>
  <c r="AM214" i="64"/>
  <c r="AJ214" i="64"/>
  <c r="AG214" i="64"/>
  <c r="AD214" i="64"/>
  <c r="BB213" i="64"/>
  <c r="AY213" i="64"/>
  <c r="AV213" i="64"/>
  <c r="AS213" i="64"/>
  <c r="AP213" i="64"/>
  <c r="AM213" i="64"/>
  <c r="AJ213" i="64"/>
  <c r="AG213" i="64"/>
  <c r="AD213" i="64"/>
  <c r="BB212" i="64"/>
  <c r="AY212" i="64"/>
  <c r="AV212" i="64"/>
  <c r="AS212" i="64"/>
  <c r="AP212" i="64"/>
  <c r="AM212" i="64"/>
  <c r="AJ212" i="64"/>
  <c r="AG212" i="64"/>
  <c r="AD212" i="64"/>
  <c r="BB211" i="64"/>
  <c r="AY211" i="64"/>
  <c r="AV211" i="64"/>
  <c r="AS211" i="64"/>
  <c r="AP211" i="64"/>
  <c r="AM211" i="64"/>
  <c r="AJ211" i="64"/>
  <c r="AG211" i="64"/>
  <c r="AD211" i="64"/>
  <c r="BB210" i="64"/>
  <c r="AY210" i="64"/>
  <c r="AV210" i="64"/>
  <c r="AS210" i="64"/>
  <c r="AP210" i="64"/>
  <c r="AM210" i="64"/>
  <c r="AJ210" i="64"/>
  <c r="AG210" i="64"/>
  <c r="AD210" i="64"/>
  <c r="BB209" i="64"/>
  <c r="AY209" i="64"/>
  <c r="AV209" i="64"/>
  <c r="AS209" i="64"/>
  <c r="AP209" i="64"/>
  <c r="AM209" i="64"/>
  <c r="AJ209" i="64"/>
  <c r="AG209" i="64"/>
  <c r="AD209" i="64"/>
  <c r="BB208" i="64"/>
  <c r="AY208" i="64"/>
  <c r="AV208" i="64"/>
  <c r="AS208" i="64"/>
  <c r="AP208" i="64"/>
  <c r="AM208" i="64"/>
  <c r="AJ208" i="64"/>
  <c r="AG208" i="64"/>
  <c r="AD208" i="64"/>
  <c r="BB207" i="64"/>
  <c r="AY207" i="64"/>
  <c r="AV207" i="64"/>
  <c r="AS207" i="64"/>
  <c r="AP207" i="64"/>
  <c r="AM207" i="64"/>
  <c r="AJ207" i="64"/>
  <c r="AG207" i="64"/>
  <c r="AD207" i="64"/>
  <c r="BB206" i="64"/>
  <c r="AY206" i="64"/>
  <c r="AV206" i="64"/>
  <c r="AS206" i="64"/>
  <c r="AP206" i="64"/>
  <c r="AM206" i="64"/>
  <c r="AJ206" i="64"/>
  <c r="AG206" i="64"/>
  <c r="AD206" i="64"/>
  <c r="BB205" i="64"/>
  <c r="AY205" i="64"/>
  <c r="AV205" i="64"/>
  <c r="AS205" i="64"/>
  <c r="AP205" i="64"/>
  <c r="AM205" i="64"/>
  <c r="AJ205" i="64"/>
  <c r="AG205" i="64"/>
  <c r="AD205" i="64"/>
  <c r="BB204" i="64"/>
  <c r="AY204" i="64"/>
  <c r="AV204" i="64"/>
  <c r="AS204" i="64"/>
  <c r="AP204" i="64"/>
  <c r="AM204" i="64"/>
  <c r="AJ204" i="64"/>
  <c r="AG204" i="64"/>
  <c r="AD204" i="64"/>
  <c r="BB203" i="64"/>
  <c r="AY203" i="64"/>
  <c r="AV203" i="64"/>
  <c r="AS203" i="64"/>
  <c r="AP203" i="64"/>
  <c r="AM203" i="64"/>
  <c r="AJ203" i="64"/>
  <c r="AG203" i="64"/>
  <c r="AD203" i="64"/>
  <c r="BB202" i="64"/>
  <c r="AY202" i="64"/>
  <c r="AV202" i="64"/>
  <c r="AS202" i="64"/>
  <c r="AP202" i="64"/>
  <c r="AM202" i="64"/>
  <c r="AJ202" i="64"/>
  <c r="AG202" i="64"/>
  <c r="AD202" i="64"/>
  <c r="BB201" i="64"/>
  <c r="AY201" i="64"/>
  <c r="AV201" i="64"/>
  <c r="AS201" i="64"/>
  <c r="AP201" i="64"/>
  <c r="AM201" i="64"/>
  <c r="AJ201" i="64"/>
  <c r="AG201" i="64"/>
  <c r="AD201" i="64"/>
  <c r="BB200" i="64"/>
  <c r="AY200" i="64"/>
  <c r="AV200" i="64"/>
  <c r="AS200" i="64"/>
  <c r="AP200" i="64"/>
  <c r="AM200" i="64"/>
  <c r="AJ200" i="64"/>
  <c r="AG200" i="64"/>
  <c r="AD200" i="64"/>
  <c r="BB199" i="64"/>
  <c r="AY199" i="64"/>
  <c r="AV199" i="64"/>
  <c r="AS199" i="64"/>
  <c r="AP199" i="64"/>
  <c r="AM199" i="64"/>
  <c r="AJ199" i="64"/>
  <c r="AG199" i="64"/>
  <c r="AD199" i="64"/>
  <c r="BB198" i="64"/>
  <c r="AY198" i="64"/>
  <c r="AV198" i="64"/>
  <c r="AS198" i="64"/>
  <c r="AP198" i="64"/>
  <c r="AM198" i="64"/>
  <c r="AJ198" i="64"/>
  <c r="AG198" i="64"/>
  <c r="AD198" i="64"/>
  <c r="BB197" i="64"/>
  <c r="AY197" i="64"/>
  <c r="AV197" i="64"/>
  <c r="AS197" i="64"/>
  <c r="AP197" i="64"/>
  <c r="AM197" i="64"/>
  <c r="AJ197" i="64"/>
  <c r="AG197" i="64"/>
  <c r="AD197" i="64"/>
  <c r="BB196" i="64"/>
  <c r="AY196" i="64"/>
  <c r="AV196" i="64"/>
  <c r="AS196" i="64"/>
  <c r="AP196" i="64"/>
  <c r="AM196" i="64"/>
  <c r="AJ196" i="64"/>
  <c r="AG196" i="64"/>
  <c r="AD196" i="64"/>
  <c r="BB195" i="64"/>
  <c r="AY195" i="64"/>
  <c r="AV195" i="64"/>
  <c r="AS195" i="64"/>
  <c r="AP195" i="64"/>
  <c r="AM195" i="64"/>
  <c r="AJ195" i="64"/>
  <c r="AG195" i="64"/>
  <c r="AD195" i="64"/>
  <c r="BB194" i="64"/>
  <c r="AY194" i="64"/>
  <c r="AV194" i="64"/>
  <c r="AS194" i="64"/>
  <c r="AP194" i="64"/>
  <c r="AM194" i="64"/>
  <c r="AJ194" i="64"/>
  <c r="AG194" i="64"/>
  <c r="AD194" i="64"/>
  <c r="BB192" i="64"/>
  <c r="AY192" i="64"/>
  <c r="AV192" i="64"/>
  <c r="AS192" i="64"/>
  <c r="AP192" i="64"/>
  <c r="AM192" i="64"/>
  <c r="AJ192" i="64"/>
  <c r="AG192" i="64"/>
  <c r="AD192" i="64"/>
  <c r="BB191" i="64"/>
  <c r="AY191" i="64"/>
  <c r="AV191" i="64"/>
  <c r="AS191" i="64"/>
  <c r="AP191" i="64"/>
  <c r="AM191" i="64"/>
  <c r="AJ191" i="64"/>
  <c r="AG191" i="64"/>
  <c r="AD191" i="64"/>
  <c r="BB190" i="64"/>
  <c r="AY190" i="64"/>
  <c r="AV190" i="64"/>
  <c r="AS190" i="64"/>
  <c r="AP190" i="64"/>
  <c r="AM190" i="64"/>
  <c r="AJ190" i="64"/>
  <c r="AG190" i="64"/>
  <c r="AD190" i="64"/>
  <c r="BB189" i="64"/>
  <c r="AY189" i="64"/>
  <c r="AV189" i="64"/>
  <c r="AS189" i="64"/>
  <c r="AP189" i="64"/>
  <c r="AM189" i="64"/>
  <c r="AJ189" i="64"/>
  <c r="AG189" i="64"/>
  <c r="AD189" i="64"/>
  <c r="BB188" i="64"/>
  <c r="AY188" i="64"/>
  <c r="AV188" i="64"/>
  <c r="AS188" i="64"/>
  <c r="AP188" i="64"/>
  <c r="AM188" i="64"/>
  <c r="AJ188" i="64"/>
  <c r="AG188" i="64"/>
  <c r="AD188" i="64"/>
  <c r="BB187" i="64"/>
  <c r="AY187" i="64"/>
  <c r="AV187" i="64"/>
  <c r="AS187" i="64"/>
  <c r="AP187" i="64"/>
  <c r="AM187" i="64"/>
  <c r="AJ187" i="64"/>
  <c r="AG187" i="64"/>
  <c r="AD187" i="64"/>
  <c r="BB186" i="64"/>
  <c r="AY186" i="64"/>
  <c r="AV186" i="64"/>
  <c r="AS186" i="64"/>
  <c r="AP186" i="64"/>
  <c r="AM186" i="64"/>
  <c r="AJ186" i="64"/>
  <c r="AG186" i="64"/>
  <c r="AD186" i="64"/>
  <c r="BB185" i="64"/>
  <c r="AY185" i="64"/>
  <c r="AV185" i="64"/>
  <c r="AS185" i="64"/>
  <c r="AP185" i="64"/>
  <c r="AM185" i="64"/>
  <c r="AJ185" i="64"/>
  <c r="AG185" i="64"/>
  <c r="AD185" i="64"/>
  <c r="BB184" i="64"/>
  <c r="AY184" i="64"/>
  <c r="AV184" i="64"/>
  <c r="AS184" i="64"/>
  <c r="AP184" i="64"/>
  <c r="AM184" i="64"/>
  <c r="AJ184" i="64"/>
  <c r="AG184" i="64"/>
  <c r="AD184" i="64"/>
  <c r="BB183" i="64"/>
  <c r="AY183" i="64"/>
  <c r="AV183" i="64"/>
  <c r="AS183" i="64"/>
  <c r="AP183" i="64"/>
  <c r="AM183" i="64"/>
  <c r="AJ183" i="64"/>
  <c r="AG183" i="64"/>
  <c r="AD183" i="64"/>
  <c r="BB182" i="64"/>
  <c r="AY182" i="64"/>
  <c r="AV182" i="64"/>
  <c r="AS182" i="64"/>
  <c r="AP182" i="64"/>
  <c r="AM182" i="64"/>
  <c r="AJ182" i="64"/>
  <c r="AG182" i="64"/>
  <c r="AD182" i="64"/>
  <c r="BB181" i="64"/>
  <c r="AY181" i="64"/>
  <c r="AV181" i="64"/>
  <c r="AS181" i="64"/>
  <c r="AP181" i="64"/>
  <c r="AM181" i="64"/>
  <c r="AJ181" i="64"/>
  <c r="AG181" i="64"/>
  <c r="AD181" i="64"/>
  <c r="BB180" i="64"/>
  <c r="AY180" i="64"/>
  <c r="AV180" i="64"/>
  <c r="AS180" i="64"/>
  <c r="AP180" i="64"/>
  <c r="AM180" i="64"/>
  <c r="AJ180" i="64"/>
  <c r="AG180" i="64"/>
  <c r="AD180" i="64"/>
  <c r="BB179" i="64"/>
  <c r="AY179" i="64"/>
  <c r="AV179" i="64"/>
  <c r="AS179" i="64"/>
  <c r="AP179" i="64"/>
  <c r="AM179" i="64"/>
  <c r="AJ179" i="64"/>
  <c r="AG179" i="64"/>
  <c r="AD179" i="64"/>
  <c r="BB178" i="64"/>
  <c r="AY178" i="64"/>
  <c r="AV178" i="64"/>
  <c r="AS178" i="64"/>
  <c r="AP178" i="64"/>
  <c r="AM178" i="64"/>
  <c r="AJ178" i="64"/>
  <c r="AG178" i="64"/>
  <c r="AD178" i="64"/>
  <c r="BB177" i="64"/>
  <c r="AY177" i="64"/>
  <c r="AV177" i="64"/>
  <c r="AS177" i="64"/>
  <c r="AP177" i="64"/>
  <c r="AM177" i="64"/>
  <c r="AJ177" i="64"/>
  <c r="AG177" i="64"/>
  <c r="AD177" i="64"/>
  <c r="BB176" i="64"/>
  <c r="AY176" i="64"/>
  <c r="AV176" i="64"/>
  <c r="AS176" i="64"/>
  <c r="AP176" i="64"/>
  <c r="AM176" i="64"/>
  <c r="AJ176" i="64"/>
  <c r="AG176" i="64"/>
  <c r="AD176" i="64"/>
  <c r="BB175" i="64"/>
  <c r="AY175" i="64"/>
  <c r="AV175" i="64"/>
  <c r="AS175" i="64"/>
  <c r="AP175" i="64"/>
  <c r="AM175" i="64"/>
  <c r="AJ175" i="64"/>
  <c r="AG175" i="64"/>
  <c r="AD175" i="64"/>
  <c r="BB174" i="64"/>
  <c r="AY174" i="64"/>
  <c r="AV174" i="64"/>
  <c r="AS174" i="64"/>
  <c r="AP174" i="64"/>
  <c r="AM174" i="64"/>
  <c r="AJ174" i="64"/>
  <c r="AG174" i="64"/>
  <c r="AD174" i="64"/>
  <c r="BB173" i="64"/>
  <c r="AY173" i="64"/>
  <c r="AV173" i="64"/>
  <c r="AS173" i="64"/>
  <c r="AP173" i="64"/>
  <c r="AM173" i="64"/>
  <c r="AJ173" i="64"/>
  <c r="AG173" i="64"/>
  <c r="AD173" i="64"/>
  <c r="BB172" i="64"/>
  <c r="AY172" i="64"/>
  <c r="AV172" i="64"/>
  <c r="AS172" i="64"/>
  <c r="AP172" i="64"/>
  <c r="AM172" i="64"/>
  <c r="AJ172" i="64"/>
  <c r="AG172" i="64"/>
  <c r="AD172" i="64"/>
  <c r="BB171" i="64"/>
  <c r="AY171" i="64"/>
  <c r="AV171" i="64"/>
  <c r="AS171" i="64"/>
  <c r="AP171" i="64"/>
  <c r="AM171" i="64"/>
  <c r="AJ171" i="64"/>
  <c r="AG171" i="64"/>
  <c r="AD171" i="64"/>
  <c r="BB170" i="64"/>
  <c r="AY170" i="64"/>
  <c r="AV170" i="64"/>
  <c r="AS170" i="64"/>
  <c r="AP170" i="64"/>
  <c r="AM170" i="64"/>
  <c r="AJ170" i="64"/>
  <c r="AG170" i="64"/>
  <c r="AD170" i="64"/>
  <c r="BB169" i="64"/>
  <c r="AY169" i="64"/>
  <c r="AV169" i="64"/>
  <c r="AS169" i="64"/>
  <c r="AP169" i="64"/>
  <c r="AM169" i="64"/>
  <c r="AJ169" i="64"/>
  <c r="AG169" i="64"/>
  <c r="AD169" i="64"/>
  <c r="BB168" i="64"/>
  <c r="AY168" i="64"/>
  <c r="AV168" i="64"/>
  <c r="AS168" i="64"/>
  <c r="AP168" i="64"/>
  <c r="AM168" i="64"/>
  <c r="AJ168" i="64"/>
  <c r="AG168" i="64"/>
  <c r="AD168" i="64"/>
  <c r="BB167" i="64"/>
  <c r="AY167" i="64"/>
  <c r="AV167" i="64"/>
  <c r="AS167" i="64"/>
  <c r="AP167" i="64"/>
  <c r="AM167" i="64"/>
  <c r="AJ167" i="64"/>
  <c r="AG167" i="64"/>
  <c r="AD167" i="64"/>
  <c r="BB166" i="64"/>
  <c r="AY166" i="64"/>
  <c r="AV166" i="64"/>
  <c r="AS166" i="64"/>
  <c r="AP166" i="64"/>
  <c r="AM166" i="64"/>
  <c r="AJ166" i="64"/>
  <c r="AG166" i="64"/>
  <c r="AD166" i="64"/>
  <c r="BB165" i="64"/>
  <c r="AY165" i="64"/>
  <c r="AV165" i="64"/>
  <c r="AS165" i="64"/>
  <c r="AP165" i="64"/>
  <c r="AM165" i="64"/>
  <c r="AJ165" i="64"/>
  <c r="AG165" i="64"/>
  <c r="AD165" i="64"/>
  <c r="BB164" i="64"/>
  <c r="AY164" i="64"/>
  <c r="AV164" i="64"/>
  <c r="AS164" i="64"/>
  <c r="AP164" i="64"/>
  <c r="AM164" i="64"/>
  <c r="AJ164" i="64"/>
  <c r="AG164" i="64"/>
  <c r="AD164" i="64"/>
  <c r="BB163" i="64"/>
  <c r="AY163" i="64"/>
  <c r="AV163" i="64"/>
  <c r="AS163" i="64"/>
  <c r="AP163" i="64"/>
  <c r="AM163" i="64"/>
  <c r="AJ163" i="64"/>
  <c r="AG163" i="64"/>
  <c r="AD163" i="64"/>
  <c r="BB162" i="64"/>
  <c r="AY162" i="64"/>
  <c r="AV162" i="64"/>
  <c r="AS162" i="64"/>
  <c r="AP162" i="64"/>
  <c r="AM162" i="64"/>
  <c r="AJ162" i="64"/>
  <c r="AG162" i="64"/>
  <c r="AD162" i="64"/>
  <c r="BB161" i="64"/>
  <c r="AY161" i="64"/>
  <c r="AV161" i="64"/>
  <c r="AS161" i="64"/>
  <c r="AP161" i="64"/>
  <c r="AM161" i="64"/>
  <c r="AJ161" i="64"/>
  <c r="AG161" i="64"/>
  <c r="AD161" i="64"/>
  <c r="BB160" i="64"/>
  <c r="AY160" i="64"/>
  <c r="AV160" i="64"/>
  <c r="AS160" i="64"/>
  <c r="AP160" i="64"/>
  <c r="AM160" i="64"/>
  <c r="AJ160" i="64"/>
  <c r="AG160" i="64"/>
  <c r="AD160" i="64"/>
  <c r="BB159" i="64"/>
  <c r="AY159" i="64"/>
  <c r="AV159" i="64"/>
  <c r="AS159" i="64"/>
  <c r="AP159" i="64"/>
  <c r="AM159" i="64"/>
  <c r="AJ159" i="64"/>
  <c r="AG159" i="64"/>
  <c r="AD159" i="64"/>
  <c r="BB158" i="64"/>
  <c r="AY158" i="64"/>
  <c r="AV158" i="64"/>
  <c r="AS158" i="64"/>
  <c r="AP158" i="64"/>
  <c r="AM158" i="64"/>
  <c r="AJ158" i="64"/>
  <c r="AG158" i="64"/>
  <c r="AD158" i="64"/>
  <c r="BB157" i="64"/>
  <c r="AY157" i="64"/>
  <c r="AV157" i="64"/>
  <c r="AS157" i="64"/>
  <c r="AP157" i="64"/>
  <c r="AM157" i="64"/>
  <c r="AJ157" i="64"/>
  <c r="AG157" i="64"/>
  <c r="AD157" i="64"/>
  <c r="BB156" i="64"/>
  <c r="AY156" i="64"/>
  <c r="AV156" i="64"/>
  <c r="AS156" i="64"/>
  <c r="AP156" i="64"/>
  <c r="AM156" i="64"/>
  <c r="AJ156" i="64"/>
  <c r="AG156" i="64"/>
  <c r="AD156" i="64"/>
  <c r="BB155" i="64"/>
  <c r="AY155" i="64"/>
  <c r="AV155" i="64"/>
  <c r="AS155" i="64"/>
  <c r="AP155" i="64"/>
  <c r="AM155" i="64"/>
  <c r="AJ155" i="64"/>
  <c r="AG155" i="64"/>
  <c r="AD155" i="64"/>
  <c r="BB154" i="64"/>
  <c r="AY154" i="64"/>
  <c r="AV154" i="64"/>
  <c r="AS154" i="64"/>
  <c r="AP154" i="64"/>
  <c r="AM154" i="64"/>
  <c r="AJ154" i="64"/>
  <c r="AG154" i="64"/>
  <c r="AD154" i="64"/>
  <c r="BB153" i="64"/>
  <c r="AY153" i="64"/>
  <c r="AV153" i="64"/>
  <c r="AS153" i="64"/>
  <c r="AP153" i="64"/>
  <c r="AM153" i="64"/>
  <c r="AJ153" i="64"/>
  <c r="AG153" i="64"/>
  <c r="AD153" i="64"/>
  <c r="BB152" i="64"/>
  <c r="AY152" i="64"/>
  <c r="AV152" i="64"/>
  <c r="AS152" i="64"/>
  <c r="AP152" i="64"/>
  <c r="AM152" i="64"/>
  <c r="AJ152" i="64"/>
  <c r="AG152" i="64"/>
  <c r="AD152" i="64"/>
  <c r="BB151" i="64"/>
  <c r="AY151" i="64"/>
  <c r="AV151" i="64"/>
  <c r="AS151" i="64"/>
  <c r="AP151" i="64"/>
  <c r="AM151" i="64"/>
  <c r="AJ151" i="64"/>
  <c r="AG151" i="64"/>
  <c r="AD151" i="64"/>
  <c r="BB150" i="64"/>
  <c r="AY150" i="64"/>
  <c r="AV150" i="64"/>
  <c r="AS150" i="64"/>
  <c r="AP150" i="64"/>
  <c r="AM150" i="64"/>
  <c r="AJ150" i="64"/>
  <c r="AG150" i="64"/>
  <c r="AD150" i="64"/>
  <c r="BB149" i="64"/>
  <c r="AY149" i="64"/>
  <c r="AV149" i="64"/>
  <c r="AS149" i="64"/>
  <c r="AP149" i="64"/>
  <c r="AM149" i="64"/>
  <c r="AJ149" i="64"/>
  <c r="AG149" i="64"/>
  <c r="AD149" i="64"/>
  <c r="BB148" i="64"/>
  <c r="AY148" i="64"/>
  <c r="AV148" i="64"/>
  <c r="AS148" i="64"/>
  <c r="AP148" i="64"/>
  <c r="AM148" i="64"/>
  <c r="AJ148" i="64"/>
  <c r="AG148" i="64"/>
  <c r="AD148" i="64"/>
  <c r="BB147" i="64"/>
  <c r="AY147" i="64"/>
  <c r="AV147" i="64"/>
  <c r="AS147" i="64"/>
  <c r="AP147" i="64"/>
  <c r="AM147" i="64"/>
  <c r="AJ147" i="64"/>
  <c r="AG147" i="64"/>
  <c r="AD147" i="64"/>
  <c r="BB146" i="64"/>
  <c r="AY146" i="64"/>
  <c r="AV146" i="64"/>
  <c r="AS146" i="64"/>
  <c r="AP146" i="64"/>
  <c r="AM146" i="64"/>
  <c r="AJ146" i="64"/>
  <c r="AG146" i="64"/>
  <c r="AD146" i="64"/>
  <c r="BB145" i="64"/>
  <c r="AY145" i="64"/>
  <c r="AV145" i="64"/>
  <c r="AS145" i="64"/>
  <c r="AP145" i="64"/>
  <c r="AM145" i="64"/>
  <c r="AJ145" i="64"/>
  <c r="AG145" i="64"/>
  <c r="AD145" i="64"/>
  <c r="BB144" i="64"/>
  <c r="AY144" i="64"/>
  <c r="AV144" i="64"/>
  <c r="AS144" i="64"/>
  <c r="AP144" i="64"/>
  <c r="AM144" i="64"/>
  <c r="AJ144" i="64"/>
  <c r="AG144" i="64"/>
  <c r="AD144" i="64"/>
  <c r="BB143" i="64"/>
  <c r="AY143" i="64"/>
  <c r="AV143" i="64"/>
  <c r="AS143" i="64"/>
  <c r="AP143" i="64"/>
  <c r="AM143" i="64"/>
  <c r="AJ143" i="64"/>
  <c r="AG143" i="64"/>
  <c r="AD143" i="64"/>
  <c r="BB142" i="64"/>
  <c r="AY142" i="64"/>
  <c r="AV142" i="64"/>
  <c r="AS142" i="64"/>
  <c r="AP142" i="64"/>
  <c r="AM142" i="64"/>
  <c r="AJ142" i="64"/>
  <c r="AG142" i="64"/>
  <c r="AD142" i="64"/>
  <c r="BB141" i="64"/>
  <c r="AY141" i="64"/>
  <c r="AV141" i="64"/>
  <c r="AS141" i="64"/>
  <c r="AP141" i="64"/>
  <c r="AM141" i="64"/>
  <c r="AJ141" i="64"/>
  <c r="AG141" i="64"/>
  <c r="AD141" i="64"/>
  <c r="BB140" i="64"/>
  <c r="AY140" i="64"/>
  <c r="AV140" i="64"/>
  <c r="AS140" i="64"/>
  <c r="AP140" i="64"/>
  <c r="AM140" i="64"/>
  <c r="AJ140" i="64"/>
  <c r="AG140" i="64"/>
  <c r="AD140" i="64"/>
  <c r="BB139" i="64"/>
  <c r="AY139" i="64"/>
  <c r="AV139" i="64"/>
  <c r="AS139" i="64"/>
  <c r="AP139" i="64"/>
  <c r="AM139" i="64"/>
  <c r="AJ139" i="64"/>
  <c r="AG139" i="64"/>
  <c r="AD139" i="64"/>
  <c r="BB138" i="64"/>
  <c r="AY138" i="64"/>
  <c r="AV138" i="64"/>
  <c r="AS138" i="64"/>
  <c r="AP138" i="64"/>
  <c r="AM138" i="64"/>
  <c r="AJ138" i="64"/>
  <c r="AG138" i="64"/>
  <c r="AD138" i="64"/>
  <c r="BB137" i="64"/>
  <c r="AY137" i="64"/>
  <c r="AV137" i="64"/>
  <c r="AS137" i="64"/>
  <c r="AP137" i="64"/>
  <c r="AM137" i="64"/>
  <c r="AJ137" i="64"/>
  <c r="AG137" i="64"/>
  <c r="AD137" i="64"/>
  <c r="BB136" i="64"/>
  <c r="AY136" i="64"/>
  <c r="AV136" i="64"/>
  <c r="AS136" i="64"/>
  <c r="AP136" i="64"/>
  <c r="AM136" i="64"/>
  <c r="AJ136" i="64"/>
  <c r="AG136" i="64"/>
  <c r="AD136" i="64"/>
  <c r="BB135" i="64"/>
  <c r="AY135" i="64"/>
  <c r="AV135" i="64"/>
  <c r="AS135" i="64"/>
  <c r="AP135" i="64"/>
  <c r="AM135" i="64"/>
  <c r="AJ135" i="64"/>
  <c r="AG135" i="64"/>
  <c r="AD135" i="64"/>
  <c r="BB134" i="64"/>
  <c r="AY134" i="64"/>
  <c r="AV134" i="64"/>
  <c r="AS134" i="64"/>
  <c r="AP134" i="64"/>
  <c r="AM134" i="64"/>
  <c r="AJ134" i="64"/>
  <c r="AG134" i="64"/>
  <c r="AD134" i="64"/>
  <c r="BB133" i="64"/>
  <c r="AY133" i="64"/>
  <c r="AV133" i="64"/>
  <c r="AS133" i="64"/>
  <c r="AP133" i="64"/>
  <c r="AM133" i="64"/>
  <c r="AJ133" i="64"/>
  <c r="AG133" i="64"/>
  <c r="AD133" i="64"/>
  <c r="BB132" i="64"/>
  <c r="AY132" i="64"/>
  <c r="AV132" i="64"/>
  <c r="AS132" i="64"/>
  <c r="AP132" i="64"/>
  <c r="AM132" i="64"/>
  <c r="AJ132" i="64"/>
  <c r="AG132" i="64"/>
  <c r="AD132" i="64"/>
  <c r="BB131" i="64"/>
  <c r="AY131" i="64"/>
  <c r="AV131" i="64"/>
  <c r="AS131" i="64"/>
  <c r="AP131" i="64"/>
  <c r="AM131" i="64"/>
  <c r="AJ131" i="64"/>
  <c r="AG131" i="64"/>
  <c r="AD131" i="64"/>
  <c r="BB130" i="64"/>
  <c r="AY130" i="64"/>
  <c r="AV130" i="64"/>
  <c r="AS130" i="64"/>
  <c r="AP130" i="64"/>
  <c r="AM130" i="64"/>
  <c r="AJ130" i="64"/>
  <c r="AG130" i="64"/>
  <c r="AD130" i="64"/>
  <c r="BB129" i="64"/>
  <c r="AY129" i="64"/>
  <c r="AV129" i="64"/>
  <c r="AS129" i="64"/>
  <c r="AP129" i="64"/>
  <c r="AM129" i="64"/>
  <c r="AJ129" i="64"/>
  <c r="AG129" i="64"/>
  <c r="AD129" i="64"/>
  <c r="BB128" i="64"/>
  <c r="AY128" i="64"/>
  <c r="AV128" i="64"/>
  <c r="AS128" i="64"/>
  <c r="AP128" i="64"/>
  <c r="AM128" i="64"/>
  <c r="AJ128" i="64"/>
  <c r="AG128" i="64"/>
  <c r="AD128" i="64"/>
  <c r="BB127" i="64"/>
  <c r="AY127" i="64"/>
  <c r="AV127" i="64"/>
  <c r="AS127" i="64"/>
  <c r="AP127" i="64"/>
  <c r="AM127" i="64"/>
  <c r="AJ127" i="64"/>
  <c r="AG127" i="64"/>
  <c r="AD127" i="64"/>
  <c r="BB126" i="64"/>
  <c r="AY126" i="64"/>
  <c r="AV126" i="64"/>
  <c r="AS126" i="64"/>
  <c r="AP126" i="64"/>
  <c r="AM126" i="64"/>
  <c r="AJ126" i="64"/>
  <c r="AG126" i="64"/>
  <c r="AD126" i="64"/>
  <c r="BB125" i="64"/>
  <c r="AY125" i="64"/>
  <c r="AV125" i="64"/>
  <c r="AS125" i="64"/>
  <c r="AP125" i="64"/>
  <c r="AM125" i="64"/>
  <c r="AJ125" i="64"/>
  <c r="AG125" i="64"/>
  <c r="AD125" i="64"/>
  <c r="BB124" i="64"/>
  <c r="AY124" i="64"/>
  <c r="AV124" i="64"/>
  <c r="AS124" i="64"/>
  <c r="AP124" i="64"/>
  <c r="AM124" i="64"/>
  <c r="AJ124" i="64"/>
  <c r="AG124" i="64"/>
  <c r="AD124" i="64"/>
  <c r="BB123" i="64"/>
  <c r="AY123" i="64"/>
  <c r="AV123" i="64"/>
  <c r="AS123" i="64"/>
  <c r="AP123" i="64"/>
  <c r="AM123" i="64"/>
  <c r="AJ123" i="64"/>
  <c r="AG123" i="64"/>
  <c r="AD123" i="64"/>
  <c r="BB122" i="64"/>
  <c r="AY122" i="64"/>
  <c r="AV122" i="64"/>
  <c r="AS122" i="64"/>
  <c r="AP122" i="64"/>
  <c r="AM122" i="64"/>
  <c r="AJ122" i="64"/>
  <c r="AG122" i="64"/>
  <c r="AD122" i="64"/>
  <c r="BB121" i="64"/>
  <c r="AY121" i="64"/>
  <c r="AV121" i="64"/>
  <c r="AS121" i="64"/>
  <c r="AP121" i="64"/>
  <c r="AM121" i="64"/>
  <c r="AJ121" i="64"/>
  <c r="AG121" i="64"/>
  <c r="AD121" i="64"/>
  <c r="BB120" i="64"/>
  <c r="AY120" i="64"/>
  <c r="AV120" i="64"/>
  <c r="AS120" i="64"/>
  <c r="AP120" i="64"/>
  <c r="AM120" i="64"/>
  <c r="AJ120" i="64"/>
  <c r="AG120" i="64"/>
  <c r="AD120" i="64"/>
  <c r="BB119" i="64"/>
  <c r="AY119" i="64"/>
  <c r="AV119" i="64"/>
  <c r="AS119" i="64"/>
  <c r="AP119" i="64"/>
  <c r="AM119" i="64"/>
  <c r="AJ119" i="64"/>
  <c r="AG119" i="64"/>
  <c r="AD119" i="64"/>
  <c r="BB118" i="64"/>
  <c r="AY118" i="64"/>
  <c r="AV118" i="64"/>
  <c r="AS118" i="64"/>
  <c r="AP118" i="64"/>
  <c r="AM118" i="64"/>
  <c r="AJ118" i="64"/>
  <c r="AG118" i="64"/>
  <c r="AD118" i="64"/>
  <c r="BB117" i="64"/>
  <c r="AY117" i="64"/>
  <c r="AV117" i="64"/>
  <c r="AS117" i="64"/>
  <c r="AP117" i="64"/>
  <c r="AM117" i="64"/>
  <c r="AJ117" i="64"/>
  <c r="AG117" i="64"/>
  <c r="AD117" i="64"/>
  <c r="BB116" i="64"/>
  <c r="AY116" i="64"/>
  <c r="AV116" i="64"/>
  <c r="AS116" i="64"/>
  <c r="AP116" i="64"/>
  <c r="AM116" i="64"/>
  <c r="AJ116" i="64"/>
  <c r="AG116" i="64"/>
  <c r="AD116" i="64"/>
  <c r="BB115" i="64"/>
  <c r="AY115" i="64"/>
  <c r="AV115" i="64"/>
  <c r="AS115" i="64"/>
  <c r="AP115" i="64"/>
  <c r="AM115" i="64"/>
  <c r="AJ115" i="64"/>
  <c r="AG115" i="64"/>
  <c r="AD115" i="64"/>
  <c r="BB114" i="64"/>
  <c r="AY114" i="64"/>
  <c r="AV114" i="64"/>
  <c r="AS114" i="64"/>
  <c r="AP114" i="64"/>
  <c r="AM114" i="64"/>
  <c r="AJ114" i="64"/>
  <c r="AG114" i="64"/>
  <c r="AD114" i="64"/>
  <c r="BB113" i="64"/>
  <c r="AY113" i="64"/>
  <c r="AV113" i="64"/>
  <c r="AS113" i="64"/>
  <c r="AP113" i="64"/>
  <c r="AM113" i="64"/>
  <c r="AJ113" i="64"/>
  <c r="AG113" i="64"/>
  <c r="AD113" i="64"/>
  <c r="BB112" i="64"/>
  <c r="AY112" i="64"/>
  <c r="AV112" i="64"/>
  <c r="AS112" i="64"/>
  <c r="AP112" i="64"/>
  <c r="AM112" i="64"/>
  <c r="AJ112" i="64"/>
  <c r="AG112" i="64"/>
  <c r="AD112" i="64"/>
  <c r="BB111" i="64"/>
  <c r="AY111" i="64"/>
  <c r="AV111" i="64"/>
  <c r="AS111" i="64"/>
  <c r="AP111" i="64"/>
  <c r="AM111" i="64"/>
  <c r="AJ111" i="64"/>
  <c r="AG111" i="64"/>
  <c r="AD111" i="64"/>
  <c r="BB110" i="64"/>
  <c r="AY110" i="64"/>
  <c r="AV110" i="64"/>
  <c r="AS110" i="64"/>
  <c r="AP110" i="64"/>
  <c r="AM110" i="64"/>
  <c r="AJ110" i="64"/>
  <c r="AG110" i="64"/>
  <c r="AD110" i="64"/>
  <c r="BB109" i="64"/>
  <c r="AY109" i="64"/>
  <c r="AV109" i="64"/>
  <c r="AS109" i="64"/>
  <c r="AP109" i="64"/>
  <c r="AM109" i="64"/>
  <c r="AJ109" i="64"/>
  <c r="AG109" i="64"/>
  <c r="AD109" i="64"/>
  <c r="BB108" i="64"/>
  <c r="AY108" i="64"/>
  <c r="AV108" i="64"/>
  <c r="AS108" i="64"/>
  <c r="AP108" i="64"/>
  <c r="AM108" i="64"/>
  <c r="AJ108" i="64"/>
  <c r="AG108" i="64"/>
  <c r="AD108" i="64"/>
  <c r="BB107" i="64"/>
  <c r="AY107" i="64"/>
  <c r="AV107" i="64"/>
  <c r="AS107" i="64"/>
  <c r="AP107" i="64"/>
  <c r="AM107" i="64"/>
  <c r="AJ107" i="64"/>
  <c r="AG107" i="64"/>
  <c r="AD107" i="64"/>
  <c r="BB106" i="64"/>
  <c r="AY106" i="64"/>
  <c r="AV106" i="64"/>
  <c r="AS106" i="64"/>
  <c r="AP106" i="64"/>
  <c r="AM106" i="64"/>
  <c r="AJ106" i="64"/>
  <c r="AG106" i="64"/>
  <c r="AD106" i="64"/>
  <c r="BB105" i="64"/>
  <c r="AY105" i="64"/>
  <c r="AV105" i="64"/>
  <c r="AS105" i="64"/>
  <c r="AP105" i="64"/>
  <c r="AM105" i="64"/>
  <c r="AJ105" i="64"/>
  <c r="AG105" i="64"/>
  <c r="AD105" i="64"/>
  <c r="BB104" i="64"/>
  <c r="AY104" i="64"/>
  <c r="AV104" i="64"/>
  <c r="AS104" i="64"/>
  <c r="AP104" i="64"/>
  <c r="AM104" i="64"/>
  <c r="AJ104" i="64"/>
  <c r="AG104" i="64"/>
  <c r="AD104" i="64"/>
  <c r="BB103" i="64"/>
  <c r="AY103" i="64"/>
  <c r="AV103" i="64"/>
  <c r="AS103" i="64"/>
  <c r="AP103" i="64"/>
  <c r="AM103" i="64"/>
  <c r="AJ103" i="64"/>
  <c r="AG103" i="64"/>
  <c r="AD103" i="64"/>
  <c r="BB102" i="64"/>
  <c r="AY102" i="64"/>
  <c r="AV102" i="64"/>
  <c r="AS102" i="64"/>
  <c r="AP102" i="64"/>
  <c r="AM102" i="64"/>
  <c r="AJ102" i="64"/>
  <c r="AG102" i="64"/>
  <c r="AD102" i="64"/>
  <c r="BB101" i="64"/>
  <c r="AY101" i="64"/>
  <c r="AV101" i="64"/>
  <c r="AS101" i="64"/>
  <c r="AP101" i="64"/>
  <c r="AM101" i="64"/>
  <c r="AJ101" i="64"/>
  <c r="AG101" i="64"/>
  <c r="AD101" i="64"/>
  <c r="BB100" i="64"/>
  <c r="AY100" i="64"/>
  <c r="AV100" i="64"/>
  <c r="AS100" i="64"/>
  <c r="AP100" i="64"/>
  <c r="AM100" i="64"/>
  <c r="AJ100" i="64"/>
  <c r="AG100" i="64"/>
  <c r="AD100" i="64"/>
  <c r="BB99" i="64"/>
  <c r="AY99" i="64"/>
  <c r="AV99" i="64"/>
  <c r="AS99" i="64"/>
  <c r="AP99" i="64"/>
  <c r="AM99" i="64"/>
  <c r="AJ99" i="64"/>
  <c r="AG99" i="64"/>
  <c r="AD99" i="64"/>
  <c r="BB98" i="64"/>
  <c r="AY98" i="64"/>
  <c r="AV98" i="64"/>
  <c r="AS98" i="64"/>
  <c r="AP98" i="64"/>
  <c r="AM98" i="64"/>
  <c r="AJ98" i="64"/>
  <c r="AG98" i="64"/>
  <c r="AD98" i="64"/>
  <c r="BB97" i="64"/>
  <c r="AY97" i="64"/>
  <c r="AV97" i="64"/>
  <c r="AS97" i="64"/>
  <c r="AP97" i="64"/>
  <c r="AM97" i="64"/>
  <c r="AJ97" i="64"/>
  <c r="AG97" i="64"/>
  <c r="AD97" i="64"/>
  <c r="BB96" i="64"/>
  <c r="AY96" i="64"/>
  <c r="AV96" i="64"/>
  <c r="AS96" i="64"/>
  <c r="AP96" i="64"/>
  <c r="AM96" i="64"/>
  <c r="AJ96" i="64"/>
  <c r="AG96" i="64"/>
  <c r="AD96" i="64"/>
  <c r="BB95" i="64"/>
  <c r="AY95" i="64"/>
  <c r="AV95" i="64"/>
  <c r="AS95" i="64"/>
  <c r="AP95" i="64"/>
  <c r="AM95" i="64"/>
  <c r="AJ95" i="64"/>
  <c r="AG95" i="64"/>
  <c r="AD95" i="64"/>
  <c r="BB94" i="64"/>
  <c r="AY94" i="64"/>
  <c r="AV94" i="64"/>
  <c r="AS94" i="64"/>
  <c r="AP94" i="64"/>
  <c r="AM94" i="64"/>
  <c r="AJ94" i="64"/>
  <c r="AG94" i="64"/>
  <c r="AD94" i="64"/>
  <c r="BB93" i="64"/>
  <c r="AY93" i="64"/>
  <c r="AV93" i="64"/>
  <c r="AS93" i="64"/>
  <c r="AP93" i="64"/>
  <c r="AM93" i="64"/>
  <c r="AJ93" i="64"/>
  <c r="AG93" i="64"/>
  <c r="AD93" i="64"/>
  <c r="BB92" i="64"/>
  <c r="AY92" i="64"/>
  <c r="AV92" i="64"/>
  <c r="AS92" i="64"/>
  <c r="AP92" i="64"/>
  <c r="AM92" i="64"/>
  <c r="AJ92" i="64"/>
  <c r="AG92" i="64"/>
  <c r="AD92" i="64"/>
  <c r="BB91" i="64"/>
  <c r="AY91" i="64"/>
  <c r="AV91" i="64"/>
  <c r="AS91" i="64"/>
  <c r="AP91" i="64"/>
  <c r="AM91" i="64"/>
  <c r="AJ91" i="64"/>
  <c r="AG91" i="64"/>
  <c r="AD91" i="64"/>
  <c r="BB90" i="64"/>
  <c r="AY90" i="64"/>
  <c r="AV90" i="64"/>
  <c r="AS90" i="64"/>
  <c r="AP90" i="64"/>
  <c r="AM90" i="64"/>
  <c r="AJ90" i="64"/>
  <c r="AG90" i="64"/>
  <c r="AD90" i="64"/>
  <c r="BB89" i="64"/>
  <c r="AY89" i="64"/>
  <c r="AV89" i="64"/>
  <c r="AS89" i="64"/>
  <c r="AP89" i="64"/>
  <c r="AM89" i="64"/>
  <c r="AJ89" i="64"/>
  <c r="AG89" i="64"/>
  <c r="AD89" i="64"/>
  <c r="BB88" i="64"/>
  <c r="AY88" i="64"/>
  <c r="AV88" i="64"/>
  <c r="AS88" i="64"/>
  <c r="AP88" i="64"/>
  <c r="AM88" i="64"/>
  <c r="AJ88" i="64"/>
  <c r="AG88" i="64"/>
  <c r="AD88" i="64"/>
  <c r="BB87" i="64"/>
  <c r="AY87" i="64"/>
  <c r="AV87" i="64"/>
  <c r="AS87" i="64"/>
  <c r="AP87" i="64"/>
  <c r="AM87" i="64"/>
  <c r="AJ87" i="64"/>
  <c r="AG87" i="64"/>
  <c r="AD87" i="64"/>
  <c r="BB86" i="64"/>
  <c r="AY86" i="64"/>
  <c r="AV86" i="64"/>
  <c r="AS86" i="64"/>
  <c r="AP86" i="64"/>
  <c r="AM86" i="64"/>
  <c r="AJ86" i="64"/>
  <c r="AG86" i="64"/>
  <c r="AD86" i="64"/>
  <c r="BB85" i="64"/>
  <c r="AY85" i="64"/>
  <c r="AV85" i="64"/>
  <c r="AS85" i="64"/>
  <c r="AP85" i="64"/>
  <c r="AM85" i="64"/>
  <c r="AJ85" i="64"/>
  <c r="AG85" i="64"/>
  <c r="AD85" i="64"/>
  <c r="BB84" i="64"/>
  <c r="AY84" i="64"/>
  <c r="AV84" i="64"/>
  <c r="AS84" i="64"/>
  <c r="AP84" i="64"/>
  <c r="AM84" i="64"/>
  <c r="AJ84" i="64"/>
  <c r="AG84" i="64"/>
  <c r="AD84" i="64"/>
  <c r="BB83" i="64"/>
  <c r="AY83" i="64"/>
  <c r="AV83" i="64"/>
  <c r="AS83" i="64"/>
  <c r="AP83" i="64"/>
  <c r="AM83" i="64"/>
  <c r="AJ83" i="64"/>
  <c r="AG83" i="64"/>
  <c r="AD83" i="64"/>
  <c r="BB82" i="64"/>
  <c r="AY82" i="64"/>
  <c r="AV82" i="64"/>
  <c r="AS82" i="64"/>
  <c r="AP82" i="64"/>
  <c r="AM82" i="64"/>
  <c r="AJ82" i="64"/>
  <c r="AG82" i="64"/>
  <c r="AD82" i="64"/>
  <c r="BB81" i="64"/>
  <c r="AY81" i="64"/>
  <c r="AV81" i="64"/>
  <c r="AS81" i="64"/>
  <c r="AP81" i="64"/>
  <c r="AM81" i="64"/>
  <c r="AJ81" i="64"/>
  <c r="AG81" i="64"/>
  <c r="AD81" i="64"/>
  <c r="BB80" i="64"/>
  <c r="AY80" i="64"/>
  <c r="AV80" i="64"/>
  <c r="AS80" i="64"/>
  <c r="AP80" i="64"/>
  <c r="AM80" i="64"/>
  <c r="AJ80" i="64"/>
  <c r="AG80" i="64"/>
  <c r="AD80" i="64"/>
  <c r="BB79" i="64"/>
  <c r="AY79" i="64"/>
  <c r="AV79" i="64"/>
  <c r="AS79" i="64"/>
  <c r="AP79" i="64"/>
  <c r="AM79" i="64"/>
  <c r="AJ79" i="64"/>
  <c r="AG79" i="64"/>
  <c r="AD79" i="64"/>
  <c r="BB78" i="64"/>
  <c r="AY78" i="64"/>
  <c r="AV78" i="64"/>
  <c r="AS78" i="64"/>
  <c r="AP78" i="64"/>
  <c r="AM78" i="64"/>
  <c r="AJ78" i="64"/>
  <c r="AG78" i="64"/>
  <c r="AD78" i="64"/>
  <c r="BB77" i="64"/>
  <c r="AY77" i="64"/>
  <c r="AV77" i="64"/>
  <c r="AS77" i="64"/>
  <c r="AP77" i="64"/>
  <c r="AM77" i="64"/>
  <c r="AJ77" i="64"/>
  <c r="AG77" i="64"/>
  <c r="AD77" i="64"/>
  <c r="BB76" i="64"/>
  <c r="AY76" i="64"/>
  <c r="AV76" i="64"/>
  <c r="AS76" i="64"/>
  <c r="AP76" i="64"/>
  <c r="AM76" i="64"/>
  <c r="AJ76" i="64"/>
  <c r="AG76" i="64"/>
  <c r="AD76" i="64"/>
  <c r="BB75" i="64"/>
  <c r="AY75" i="64"/>
  <c r="AV75" i="64"/>
  <c r="AS75" i="64"/>
  <c r="AP75" i="64"/>
  <c r="AM75" i="64"/>
  <c r="AJ75" i="64"/>
  <c r="AG75" i="64"/>
  <c r="AD75" i="64"/>
  <c r="BB74" i="64"/>
  <c r="AY74" i="64"/>
  <c r="AV74" i="64"/>
  <c r="AS74" i="64"/>
  <c r="AP74" i="64"/>
  <c r="AM74" i="64"/>
  <c r="AJ74" i="64"/>
  <c r="AG74" i="64"/>
  <c r="AD74" i="64"/>
  <c r="BB73" i="64"/>
  <c r="AY73" i="64"/>
  <c r="AV73" i="64"/>
  <c r="AS73" i="64"/>
  <c r="AP73" i="64"/>
  <c r="AM73" i="64"/>
  <c r="AJ73" i="64"/>
  <c r="AG73" i="64"/>
  <c r="AD73" i="64"/>
  <c r="BB72" i="64"/>
  <c r="AY72" i="64"/>
  <c r="AV72" i="64"/>
  <c r="AS72" i="64"/>
  <c r="AP72" i="64"/>
  <c r="AM72" i="64"/>
  <c r="AJ72" i="64"/>
  <c r="AG72" i="64"/>
  <c r="AD72" i="64"/>
  <c r="BB71" i="64"/>
  <c r="AY71" i="64"/>
  <c r="AV71" i="64"/>
  <c r="AS71" i="64"/>
  <c r="AP71" i="64"/>
  <c r="AM71" i="64"/>
  <c r="AJ71" i="64"/>
  <c r="AG71" i="64"/>
  <c r="AD71" i="64"/>
  <c r="BB70" i="64"/>
  <c r="AY70" i="64"/>
  <c r="AV70" i="64"/>
  <c r="AS70" i="64"/>
  <c r="AP70" i="64"/>
  <c r="AM70" i="64"/>
  <c r="AJ70" i="64"/>
  <c r="AG70" i="64"/>
  <c r="AD70" i="64"/>
  <c r="BB69" i="64"/>
  <c r="AY69" i="64"/>
  <c r="AV69" i="64"/>
  <c r="AS69" i="64"/>
  <c r="AP69" i="64"/>
  <c r="AM69" i="64"/>
  <c r="AJ69" i="64"/>
  <c r="AG69" i="64"/>
  <c r="AD69" i="64"/>
  <c r="BB68" i="64"/>
  <c r="AY68" i="64"/>
  <c r="AV68" i="64"/>
  <c r="AS68" i="64"/>
  <c r="AP68" i="64"/>
  <c r="AM68" i="64"/>
  <c r="AJ68" i="64"/>
  <c r="AG68" i="64"/>
  <c r="AD68" i="64"/>
  <c r="BB67" i="64"/>
  <c r="AY67" i="64"/>
  <c r="AV67" i="64"/>
  <c r="AS67" i="64"/>
  <c r="AP67" i="64"/>
  <c r="AM67" i="64"/>
  <c r="AJ67" i="64"/>
  <c r="AG67" i="64"/>
  <c r="AD67" i="64"/>
  <c r="BB66" i="64"/>
  <c r="AY66" i="64"/>
  <c r="AV66" i="64"/>
  <c r="AS66" i="64"/>
  <c r="AP66" i="64"/>
  <c r="AM66" i="64"/>
  <c r="AJ66" i="64"/>
  <c r="AG66" i="64"/>
  <c r="AD66" i="64"/>
  <c r="BB65" i="64"/>
  <c r="AY65" i="64"/>
  <c r="AV65" i="64"/>
  <c r="AS65" i="64"/>
  <c r="AP65" i="64"/>
  <c r="AM65" i="64"/>
  <c r="AJ65" i="64"/>
  <c r="AG65" i="64"/>
  <c r="AD65" i="64"/>
  <c r="BB64" i="64"/>
  <c r="AY64" i="64"/>
  <c r="AV64" i="64"/>
  <c r="AS64" i="64"/>
  <c r="AP64" i="64"/>
  <c r="AM64" i="64"/>
  <c r="AJ64" i="64"/>
  <c r="AG64" i="64"/>
  <c r="AD64" i="64"/>
  <c r="BB63" i="64"/>
  <c r="AY63" i="64"/>
  <c r="AV63" i="64"/>
  <c r="AS63" i="64"/>
  <c r="AP63" i="64"/>
  <c r="AM63" i="64"/>
  <c r="AJ63" i="64"/>
  <c r="AG63" i="64"/>
  <c r="AD63" i="64"/>
  <c r="BB62" i="64"/>
  <c r="AY62" i="64"/>
  <c r="AV62" i="64"/>
  <c r="AS62" i="64"/>
  <c r="AP62" i="64"/>
  <c r="AM62" i="64"/>
  <c r="AJ62" i="64"/>
  <c r="AG62" i="64"/>
  <c r="AD62" i="64"/>
  <c r="BB61" i="64"/>
  <c r="AY61" i="64"/>
  <c r="AV61" i="64"/>
  <c r="AS61" i="64"/>
  <c r="AP61" i="64"/>
  <c r="AM61" i="64"/>
  <c r="AJ61" i="64"/>
  <c r="AG61" i="64"/>
  <c r="AD61" i="64"/>
  <c r="BB60" i="64"/>
  <c r="AY60" i="64"/>
  <c r="AV60" i="64"/>
  <c r="AS60" i="64"/>
  <c r="AP60" i="64"/>
  <c r="AM60" i="64"/>
  <c r="AJ60" i="64"/>
  <c r="AG60" i="64"/>
  <c r="AD60" i="64"/>
  <c r="BB59" i="64"/>
  <c r="AY59" i="64"/>
  <c r="AV59" i="64"/>
  <c r="AS59" i="64"/>
  <c r="AP59" i="64"/>
  <c r="AM59" i="64"/>
  <c r="AJ59" i="64"/>
  <c r="AG59" i="64"/>
  <c r="AD59" i="64"/>
  <c r="BB58" i="64"/>
  <c r="AY58" i="64"/>
  <c r="AV58" i="64"/>
  <c r="AS58" i="64"/>
  <c r="AP58" i="64"/>
  <c r="AM58" i="64"/>
  <c r="AJ58" i="64"/>
  <c r="AG58" i="64"/>
  <c r="AD58" i="64"/>
  <c r="BB57" i="64"/>
  <c r="AY57" i="64"/>
  <c r="AV57" i="64"/>
  <c r="AS57" i="64"/>
  <c r="AP57" i="64"/>
  <c r="AM57" i="64"/>
  <c r="AJ57" i="64"/>
  <c r="AG57" i="64"/>
  <c r="AD57" i="64"/>
  <c r="BB56" i="64"/>
  <c r="AY56" i="64"/>
  <c r="AV56" i="64"/>
  <c r="AS56" i="64"/>
  <c r="AP56" i="64"/>
  <c r="AM56" i="64"/>
  <c r="AJ56" i="64"/>
  <c r="AG56" i="64"/>
  <c r="AD56" i="64"/>
  <c r="BB55" i="64"/>
  <c r="AY55" i="64"/>
  <c r="AV55" i="64"/>
  <c r="AS55" i="64"/>
  <c r="AP55" i="64"/>
  <c r="AM55" i="64"/>
  <c r="AJ55" i="64"/>
  <c r="AG55" i="64"/>
  <c r="AD55" i="64"/>
  <c r="BB54" i="64"/>
  <c r="AY54" i="64"/>
  <c r="AV54" i="64"/>
  <c r="AS54" i="64"/>
  <c r="AP54" i="64"/>
  <c r="AM54" i="64"/>
  <c r="AJ54" i="64"/>
  <c r="AG54" i="64"/>
  <c r="AD54" i="64"/>
  <c r="BB53" i="64"/>
  <c r="AY53" i="64"/>
  <c r="AV53" i="64"/>
  <c r="AS53" i="64"/>
  <c r="AP53" i="64"/>
  <c r="AM53" i="64"/>
  <c r="AJ53" i="64"/>
  <c r="AG53" i="64"/>
  <c r="AD53" i="64"/>
  <c r="BB52" i="64"/>
  <c r="AY52" i="64"/>
  <c r="AV52" i="64"/>
  <c r="AS52" i="64"/>
  <c r="AP52" i="64"/>
  <c r="AM52" i="64"/>
  <c r="AJ52" i="64"/>
  <c r="AG52" i="64"/>
  <c r="AD52" i="64"/>
  <c r="BB51" i="64"/>
  <c r="AY51" i="64"/>
  <c r="AV51" i="64"/>
  <c r="AS51" i="64"/>
  <c r="AP51" i="64"/>
  <c r="AM51" i="64"/>
  <c r="AJ51" i="64"/>
  <c r="AG51" i="64"/>
  <c r="AD51" i="64"/>
  <c r="BB50" i="64"/>
  <c r="AY50" i="64"/>
  <c r="AV50" i="64"/>
  <c r="AS50" i="64"/>
  <c r="AP50" i="64"/>
  <c r="AM50" i="64"/>
  <c r="AJ50" i="64"/>
  <c r="AG50" i="64"/>
  <c r="AD50" i="64"/>
  <c r="BB49" i="64"/>
  <c r="AY49" i="64"/>
  <c r="AV49" i="64"/>
  <c r="AS49" i="64"/>
  <c r="AP49" i="64"/>
  <c r="AM49" i="64"/>
  <c r="AJ49" i="64"/>
  <c r="AG49" i="64"/>
  <c r="AD49" i="64"/>
  <c r="BB48" i="64"/>
  <c r="AY48" i="64"/>
  <c r="AV48" i="64"/>
  <c r="AS48" i="64"/>
  <c r="AP48" i="64"/>
  <c r="AM48" i="64"/>
  <c r="AJ48" i="64"/>
  <c r="AG48" i="64"/>
  <c r="AD48" i="64"/>
  <c r="BB47" i="64"/>
  <c r="AY47" i="64"/>
  <c r="AV47" i="64"/>
  <c r="AS47" i="64"/>
  <c r="AP47" i="64"/>
  <c r="AM47" i="64"/>
  <c r="AJ47" i="64"/>
  <c r="AG47" i="64"/>
  <c r="AD47" i="64"/>
  <c r="BB46" i="64"/>
  <c r="AY46" i="64"/>
  <c r="AV46" i="64"/>
  <c r="AS46" i="64"/>
  <c r="AP46" i="64"/>
  <c r="AM46" i="64"/>
  <c r="AJ46" i="64"/>
  <c r="AG46" i="64"/>
  <c r="AD46" i="64"/>
  <c r="BB45" i="64"/>
  <c r="AY45" i="64"/>
  <c r="AV45" i="64"/>
  <c r="AS45" i="64"/>
  <c r="AP45" i="64"/>
  <c r="AM45" i="64"/>
  <c r="AJ45" i="64"/>
  <c r="AG45" i="64"/>
  <c r="AD45" i="64"/>
  <c r="BB44" i="64"/>
  <c r="AY44" i="64"/>
  <c r="AV44" i="64"/>
  <c r="AS44" i="64"/>
  <c r="AP44" i="64"/>
  <c r="AM44" i="64"/>
  <c r="AJ44" i="64"/>
  <c r="AG44" i="64"/>
  <c r="AD44" i="64"/>
  <c r="BB43" i="64"/>
  <c r="AY43" i="64"/>
  <c r="AV43" i="64"/>
  <c r="AS43" i="64"/>
  <c r="AP43" i="64"/>
  <c r="AM43" i="64"/>
  <c r="AJ43" i="64"/>
  <c r="AG43" i="64"/>
  <c r="AD43" i="64"/>
  <c r="BB42" i="64"/>
  <c r="AY42" i="64"/>
  <c r="AV42" i="64"/>
  <c r="AS42" i="64"/>
  <c r="AP42" i="64"/>
  <c r="AM42" i="64"/>
  <c r="AJ42" i="64"/>
  <c r="AG42" i="64"/>
  <c r="AD42" i="64"/>
  <c r="BB41" i="64"/>
  <c r="AY41" i="64"/>
  <c r="AV41" i="64"/>
  <c r="AS41" i="64"/>
  <c r="AP41" i="64"/>
  <c r="AM41" i="64"/>
  <c r="AJ41" i="64"/>
  <c r="AG41" i="64"/>
  <c r="AD41" i="64"/>
  <c r="BB40" i="64"/>
  <c r="AY40" i="64"/>
  <c r="AV40" i="64"/>
  <c r="AS40" i="64"/>
  <c r="AP40" i="64"/>
  <c r="AM40" i="64"/>
  <c r="AJ40" i="64"/>
  <c r="AG40" i="64"/>
  <c r="AD40" i="64"/>
  <c r="BB39" i="64"/>
  <c r="AY39" i="64"/>
  <c r="AV39" i="64"/>
  <c r="AS39" i="64"/>
  <c r="AP39" i="64"/>
  <c r="AM39" i="64"/>
  <c r="AJ39" i="64"/>
  <c r="AG39" i="64"/>
  <c r="AD39" i="64"/>
  <c r="BB38" i="64"/>
  <c r="AY38" i="64"/>
  <c r="AV38" i="64"/>
  <c r="AS38" i="64"/>
  <c r="AP38" i="64"/>
  <c r="AM38" i="64"/>
  <c r="AJ38" i="64"/>
  <c r="AG38" i="64"/>
  <c r="AD38" i="64"/>
  <c r="BB37" i="64"/>
  <c r="AY37" i="64"/>
  <c r="AV37" i="64"/>
  <c r="AS37" i="64"/>
  <c r="AP37" i="64"/>
  <c r="AM37" i="64"/>
  <c r="AJ37" i="64"/>
  <c r="AG37" i="64"/>
  <c r="AD37" i="64"/>
  <c r="BB36" i="64"/>
  <c r="AY36" i="64"/>
  <c r="AV36" i="64"/>
  <c r="AS36" i="64"/>
  <c r="AP36" i="64"/>
  <c r="AM36" i="64"/>
  <c r="AJ36" i="64"/>
  <c r="AG36" i="64"/>
  <c r="AD36" i="64"/>
  <c r="BB35" i="64"/>
  <c r="AY35" i="64"/>
  <c r="AV35" i="64"/>
  <c r="AS35" i="64"/>
  <c r="AP35" i="64"/>
  <c r="AM35" i="64"/>
  <c r="AJ35" i="64"/>
  <c r="AG35" i="64"/>
  <c r="AD35" i="64"/>
  <c r="BB34" i="64"/>
  <c r="AY34" i="64"/>
  <c r="AV34" i="64"/>
  <c r="AS34" i="64"/>
  <c r="AP34" i="64"/>
  <c r="AM34" i="64"/>
  <c r="AJ34" i="64"/>
  <c r="AG34" i="64"/>
  <c r="AD34" i="64"/>
  <c r="BB33" i="64"/>
  <c r="AY33" i="64"/>
  <c r="AV33" i="64"/>
  <c r="AS33" i="64"/>
  <c r="AP33" i="64"/>
  <c r="AM33" i="64"/>
  <c r="AJ33" i="64"/>
  <c r="AG33" i="64"/>
  <c r="AD33" i="64"/>
  <c r="BB32" i="64"/>
  <c r="AY32" i="64"/>
  <c r="AV32" i="64"/>
  <c r="AS32" i="64"/>
  <c r="AP32" i="64"/>
  <c r="AM32" i="64"/>
  <c r="AJ32" i="64"/>
  <c r="AG32" i="64"/>
  <c r="AD32" i="64"/>
  <c r="BB31" i="64"/>
  <c r="AY31" i="64"/>
  <c r="AV31" i="64"/>
  <c r="AS31" i="64"/>
  <c r="AP31" i="64"/>
  <c r="AM31" i="64"/>
  <c r="AJ31" i="64"/>
  <c r="AG31" i="64"/>
  <c r="AD31" i="64"/>
  <c r="BB30" i="64"/>
  <c r="AY30" i="64"/>
  <c r="AV30" i="64"/>
  <c r="AS30" i="64"/>
  <c r="AP30" i="64"/>
  <c r="AM30" i="64"/>
  <c r="AJ30" i="64"/>
  <c r="AG30" i="64"/>
  <c r="AD30" i="64"/>
  <c r="BB29" i="64"/>
  <c r="AY29" i="64"/>
  <c r="AV29" i="64"/>
  <c r="AS29" i="64"/>
  <c r="AP29" i="64"/>
  <c r="AM29" i="64"/>
  <c r="AJ29" i="64"/>
  <c r="AG29" i="64"/>
  <c r="AD29" i="64"/>
  <c r="BB28" i="64"/>
  <c r="AY28" i="64"/>
  <c r="AV28" i="64"/>
  <c r="AS28" i="64"/>
  <c r="AP28" i="64"/>
  <c r="AM28" i="64"/>
  <c r="AJ28" i="64"/>
  <c r="AG28" i="64"/>
  <c r="AD28" i="64"/>
  <c r="BB27" i="64"/>
  <c r="AY27" i="64"/>
  <c r="AV27" i="64"/>
  <c r="AS27" i="64"/>
  <c r="AP27" i="64"/>
  <c r="AM27" i="64"/>
  <c r="AJ27" i="64"/>
  <c r="AG27" i="64"/>
  <c r="AD27" i="64"/>
  <c r="BB26" i="64"/>
  <c r="AY26" i="64"/>
  <c r="AV26" i="64"/>
  <c r="AS26" i="64"/>
  <c r="AP26" i="64"/>
  <c r="AM26" i="64"/>
  <c r="AJ26" i="64"/>
  <c r="AG26" i="64"/>
  <c r="AD26" i="64"/>
  <c r="BB25" i="64"/>
  <c r="AY25" i="64"/>
  <c r="AV25" i="64"/>
  <c r="AS25" i="64"/>
  <c r="AP25" i="64"/>
  <c r="AM25" i="64"/>
  <c r="AJ25" i="64"/>
  <c r="AG25" i="64"/>
  <c r="AD25" i="64"/>
  <c r="BB24" i="64"/>
  <c r="AY24" i="64"/>
  <c r="AV24" i="64"/>
  <c r="AS24" i="64"/>
  <c r="AP24" i="64"/>
  <c r="AM24" i="64"/>
  <c r="AJ24" i="64"/>
  <c r="AG24" i="64"/>
  <c r="AD24" i="64"/>
  <c r="BB23" i="64"/>
  <c r="AY23" i="64"/>
  <c r="AV23" i="64"/>
  <c r="AS23" i="64"/>
  <c r="AP23" i="64"/>
  <c r="AM23" i="64"/>
  <c r="AJ23" i="64"/>
  <c r="AG23" i="64"/>
  <c r="AD23" i="64"/>
  <c r="BB22" i="64"/>
  <c r="AY22" i="64"/>
  <c r="AV22" i="64"/>
  <c r="AS22" i="64"/>
  <c r="AP22" i="64"/>
  <c r="AM22" i="64"/>
  <c r="AJ22" i="64"/>
  <c r="AG22" i="64"/>
  <c r="AD22" i="64"/>
  <c r="BB21" i="64"/>
  <c r="AY21" i="64"/>
  <c r="AV21" i="64"/>
  <c r="AS21" i="64"/>
  <c r="AP21" i="64"/>
  <c r="AM21" i="64"/>
  <c r="AJ21" i="64"/>
  <c r="AG21" i="64"/>
  <c r="AD21" i="64"/>
  <c r="BB20" i="64"/>
  <c r="AY20" i="64"/>
  <c r="AV20" i="64"/>
  <c r="AS20" i="64"/>
  <c r="AP20" i="64"/>
  <c r="AM20" i="64"/>
  <c r="AJ20" i="64"/>
  <c r="AG20" i="64"/>
  <c r="AD20" i="64"/>
  <c r="BB19" i="64"/>
  <c r="AY19" i="64"/>
  <c r="AV19" i="64"/>
  <c r="AS19" i="64"/>
  <c r="AP19" i="64"/>
  <c r="AM19" i="64"/>
  <c r="AJ19" i="64"/>
  <c r="AG19" i="64"/>
  <c r="AD19" i="64"/>
  <c r="BB18" i="64"/>
  <c r="AY18" i="64"/>
  <c r="AV18" i="64"/>
  <c r="AS18" i="64"/>
  <c r="AP18" i="64"/>
  <c r="AM18" i="64"/>
  <c r="AJ18" i="64"/>
  <c r="AG18" i="64"/>
  <c r="AD18" i="64"/>
  <c r="BB17" i="64"/>
  <c r="AY17" i="64"/>
  <c r="AV17" i="64"/>
  <c r="AS17" i="64"/>
  <c r="AP17" i="64"/>
  <c r="AM17" i="64"/>
  <c r="AJ17" i="64"/>
  <c r="AG17" i="64"/>
  <c r="AD17" i="64"/>
  <c r="BB16" i="64"/>
  <c r="AY16" i="64"/>
  <c r="AV16" i="64"/>
  <c r="AS16" i="64"/>
  <c r="AP16" i="64"/>
  <c r="AM16" i="64"/>
  <c r="AJ16" i="64"/>
  <c r="AG16" i="64"/>
  <c r="AD16" i="64"/>
  <c r="BB15" i="64"/>
  <c r="AY15" i="64"/>
  <c r="AV15" i="64"/>
  <c r="AS15" i="64"/>
  <c r="AP15" i="64"/>
  <c r="AM15" i="64"/>
  <c r="AG15" i="64"/>
  <c r="AD15" i="64"/>
  <c r="Y5" i="64"/>
  <c r="F161" i="66" l="1"/>
  <c r="E164" i="66"/>
  <c r="E162" i="66"/>
  <c r="F162" i="66"/>
  <c r="E163" i="66"/>
  <c r="E167" i="66"/>
  <c r="E179" i="66" s="1"/>
  <c r="P179" i="66" s="1"/>
  <c r="F164" i="66"/>
  <c r="E165" i="66"/>
  <c r="E177" i="66" s="1"/>
  <c r="P177" i="66" s="1"/>
  <c r="E161" i="66"/>
  <c r="E166" i="66"/>
  <c r="E178" i="66" s="1"/>
  <c r="P178" i="66" s="1"/>
  <c r="AH8" i="64"/>
  <c r="AT4" i="64"/>
  <c r="AN2" i="64"/>
  <c r="AZ6" i="64"/>
  <c r="AE7" i="64"/>
  <c r="BC7" i="64"/>
  <c r="BF8" i="64"/>
  <c r="AB6" i="64"/>
  <c r="AP25" i="44"/>
  <c r="BI25" i="44" s="1"/>
  <c r="AP120" i="44"/>
  <c r="BI120" i="44" s="1"/>
  <c r="AP56" i="44"/>
  <c r="BI56" i="44" s="1"/>
  <c r="AP223" i="44"/>
  <c r="BI223" i="44" s="1"/>
  <c r="AP72" i="44"/>
  <c r="BI72" i="44" s="1"/>
  <c r="AA120" i="44"/>
  <c r="AA56" i="44"/>
  <c r="AA223" i="44"/>
  <c r="AA72" i="44"/>
  <c r="AP237" i="44"/>
  <c r="BI237" i="44" s="1"/>
  <c r="AP88" i="44"/>
  <c r="BI88" i="44" s="1"/>
  <c r="AA237" i="44"/>
  <c r="AA88" i="44"/>
  <c r="AP225" i="44"/>
  <c r="BI225" i="44" s="1"/>
  <c r="AP273" i="44"/>
  <c r="BI273" i="44" s="1"/>
  <c r="Z15" i="44"/>
  <c r="AP15" i="44"/>
  <c r="BI15" i="44" s="1"/>
  <c r="AA225" i="44"/>
  <c r="AA273" i="44"/>
  <c r="AP301" i="44"/>
  <c r="BI301" i="44" s="1"/>
  <c r="AA301" i="44"/>
  <c r="AP108" i="44"/>
  <c r="BI108" i="44" s="1"/>
  <c r="AP76" i="44"/>
  <c r="BI76" i="44" s="1"/>
  <c r="AP37" i="44"/>
  <c r="BI37" i="44" s="1"/>
  <c r="AP221" i="44"/>
  <c r="BI221" i="44" s="1"/>
  <c r="AA108" i="44"/>
  <c r="AA76" i="44"/>
  <c r="AA37" i="44"/>
  <c r="AT2" i="64"/>
  <c r="AW3" i="64"/>
  <c r="BS16" i="64" s="1"/>
  <c r="AB4" i="64"/>
  <c r="AZ4" i="64"/>
  <c r="BF6" i="64"/>
  <c r="AE5" i="64"/>
  <c r="BC5" i="64"/>
  <c r="AH6" i="64"/>
  <c r="AW5" i="64"/>
  <c r="BS18" i="64" s="1"/>
  <c r="AK7" i="64"/>
  <c r="AN8" i="64"/>
  <c r="AQ8" i="64"/>
  <c r="AB5" i="64"/>
  <c r="AE6" i="64"/>
  <c r="AH7" i="64"/>
  <c r="AQ2" i="64"/>
  <c r="AT3" i="64"/>
  <c r="AW4" i="64"/>
  <c r="BS17" i="64" s="1"/>
  <c r="AZ5" i="64"/>
  <c r="BC6" i="64"/>
  <c r="BF7" i="64"/>
  <c r="AB7" i="64"/>
  <c r="AE8" i="64"/>
  <c r="AK2" i="64"/>
  <c r="AN3" i="64"/>
  <c r="AQ4" i="64"/>
  <c r="AT5" i="64"/>
  <c r="AW6" i="64"/>
  <c r="BS19" i="64" s="1"/>
  <c r="AZ7" i="64"/>
  <c r="BC8" i="64"/>
  <c r="C43" i="66"/>
  <c r="C44" i="66"/>
  <c r="C42" i="66"/>
  <c r="C48" i="66"/>
  <c r="C47" i="66"/>
  <c r="C46" i="66"/>
  <c r="C45" i="66"/>
  <c r="BO8" i="64"/>
  <c r="BP21" i="64" s="1"/>
  <c r="BN7" i="64"/>
  <c r="BM6" i="64"/>
  <c r="BL5" i="64"/>
  <c r="BK4" i="64"/>
  <c r="C83" i="66"/>
  <c r="C56" i="66"/>
  <c r="BO7" i="64"/>
  <c r="BP20" i="64" s="1"/>
  <c r="BN6" i="64"/>
  <c r="BM5" i="64"/>
  <c r="BL4" i="64"/>
  <c r="BK3" i="64"/>
  <c r="C82" i="66"/>
  <c r="C55" i="66"/>
  <c r="BN3" i="64"/>
  <c r="BK8" i="64"/>
  <c r="C57" i="66"/>
  <c r="BO6" i="64"/>
  <c r="BP19" i="64" s="1"/>
  <c r="BN5" i="64"/>
  <c r="BM4" i="64"/>
  <c r="BL3" i="64"/>
  <c r="C81" i="66"/>
  <c r="C54" i="66"/>
  <c r="BO4" i="64"/>
  <c r="BP17" i="64" s="1"/>
  <c r="C79" i="66"/>
  <c r="BO5" i="64"/>
  <c r="BP18" i="64" s="1"/>
  <c r="BN4" i="64"/>
  <c r="BM3" i="64"/>
  <c r="BL2" i="64"/>
  <c r="BJ2" i="64"/>
  <c r="C80" i="66"/>
  <c r="BM2" i="64"/>
  <c r="C60" i="66"/>
  <c r="BO3" i="64"/>
  <c r="BP16" i="64" s="1"/>
  <c r="BN2" i="64"/>
  <c r="BL8" i="64"/>
  <c r="BK7" i="64"/>
  <c r="C78" i="66"/>
  <c r="C59" i="66"/>
  <c r="BM7" i="64"/>
  <c r="BL6" i="64"/>
  <c r="BO2" i="64"/>
  <c r="BP15" i="64" s="1"/>
  <c r="BM8" i="64"/>
  <c r="BL7" i="64"/>
  <c r="BK6" i="64"/>
  <c r="C58" i="66"/>
  <c r="BN8" i="64"/>
  <c r="BK5" i="64"/>
  <c r="C84" i="66"/>
  <c r="C31" i="66"/>
  <c r="C35" i="66"/>
  <c r="C34" i="66"/>
  <c r="C33" i="66"/>
  <c r="C32" i="66"/>
  <c r="C36" i="66"/>
  <c r="C30" i="66"/>
  <c r="D162" i="66"/>
  <c r="D165" i="66"/>
  <c r="C165" i="66"/>
  <c r="C177" i="66" s="1"/>
  <c r="N177" i="66" s="1"/>
  <c r="D163" i="66"/>
  <c r="C164" i="66"/>
  <c r="C176" i="66" s="1"/>
  <c r="N176" i="66" s="1"/>
  <c r="C166" i="66"/>
  <c r="C178" i="66" s="1"/>
  <c r="N178" i="66" s="1"/>
  <c r="C163" i="66"/>
  <c r="C175" i="66" s="1"/>
  <c r="N175" i="66" s="1"/>
  <c r="C173" i="66"/>
  <c r="N173" i="66" s="1"/>
  <c r="D167" i="66"/>
  <c r="C162" i="66"/>
  <c r="C174" i="66" s="1"/>
  <c r="N174" i="66" s="1"/>
  <c r="D166" i="66"/>
  <c r="C167" i="66"/>
  <c r="C179" i="66" s="1"/>
  <c r="N179" i="66" s="1"/>
  <c r="D164" i="66"/>
  <c r="AB8" i="64"/>
  <c r="AH2" i="64"/>
  <c r="AK3" i="64"/>
  <c r="AN4" i="64"/>
  <c r="AQ5" i="64"/>
  <c r="AT6" i="64"/>
  <c r="AW7" i="64"/>
  <c r="BS20" i="64" s="1"/>
  <c r="AZ8" i="64"/>
  <c r="BF2" i="64"/>
  <c r="AE2" i="64"/>
  <c r="AH3" i="64"/>
  <c r="AK4" i="64"/>
  <c r="AN5" i="64"/>
  <c r="AQ6" i="64"/>
  <c r="AT7" i="64"/>
  <c r="AW8" i="64"/>
  <c r="BS21" i="64" s="1"/>
  <c r="BC2" i="64"/>
  <c r="BF3" i="64"/>
  <c r="AB2" i="64"/>
  <c r="AE3" i="64"/>
  <c r="AH4" i="64"/>
  <c r="AK5" i="64"/>
  <c r="AN6" i="64"/>
  <c r="AQ7" i="64"/>
  <c r="AT8" i="64"/>
  <c r="AZ2" i="64"/>
  <c r="BC3" i="64"/>
  <c r="BF4" i="64"/>
  <c r="AQ3" i="64"/>
  <c r="AB3" i="64"/>
  <c r="AE4" i="64"/>
  <c r="AH5" i="64"/>
  <c r="AK6" i="64"/>
  <c r="AN7" i="64"/>
  <c r="AW2" i="64"/>
  <c r="AZ3" i="64"/>
  <c r="BC4" i="64"/>
  <c r="BF5" i="64"/>
  <c r="Y3" i="64"/>
  <c r="Y4" i="64"/>
  <c r="BJ3" i="64"/>
  <c r="Y6" i="64"/>
  <c r="Y7" i="64"/>
  <c r="Y8" i="64"/>
  <c r="Y13" i="44"/>
  <c r="AP64" i="44"/>
  <c r="BI64" i="44" s="1"/>
  <c r="AP33" i="44"/>
  <c r="BI33" i="44" s="1"/>
  <c r="AA214" i="44"/>
  <c r="Z214" i="44"/>
  <c r="F167" i="66" s="1"/>
  <c r="AA64" i="44"/>
  <c r="AA33" i="44"/>
  <c r="AP129" i="44"/>
  <c r="BI129" i="44" s="1"/>
  <c r="Z129" i="44"/>
  <c r="Z128" i="44"/>
  <c r="Z134" i="44"/>
  <c r="AP96" i="44"/>
  <c r="BI96" i="44" s="1"/>
  <c r="Z136" i="44"/>
  <c r="Z121" i="44"/>
  <c r="F163" i="66" s="1"/>
  <c r="AA96" i="44"/>
  <c r="Z118" i="44"/>
  <c r="BI48" i="44"/>
  <c r="BI17" i="44"/>
  <c r="BH16" i="44"/>
  <c r="BH33" i="44"/>
  <c r="BH17" i="44"/>
  <c r="AO13" i="44"/>
  <c r="BH24" i="44"/>
  <c r="BH48" i="44"/>
  <c r="AA304" i="44"/>
  <c r="AP304" i="44"/>
  <c r="BI304" i="44" s="1"/>
  <c r="AA77" i="44"/>
  <c r="AP77" i="44"/>
  <c r="BI77" i="44" s="1"/>
  <c r="AA226" i="44"/>
  <c r="AP226" i="44"/>
  <c r="BI226" i="44" s="1"/>
  <c r="AA122" i="44"/>
  <c r="AP122" i="44"/>
  <c r="BI122" i="44" s="1"/>
  <c r="AA27" i="44"/>
  <c r="AP27" i="44"/>
  <c r="BI27" i="44" s="1"/>
  <c r="AA274" i="44"/>
  <c r="AP274" i="44"/>
  <c r="BI274" i="44" s="1"/>
  <c r="AA247" i="44"/>
  <c r="AP247" i="44"/>
  <c r="BI247" i="44" s="1"/>
  <c r="AA228" i="44"/>
  <c r="AP228" i="44"/>
  <c r="BI228" i="44" s="1"/>
  <c r="M297" i="44"/>
  <c r="N297" i="44" s="1"/>
  <c r="O297" i="44" s="1"/>
  <c r="P297" i="44" s="1"/>
  <c r="AQ297" i="44"/>
  <c r="BJ297" i="44" s="1"/>
  <c r="AA200" i="44"/>
  <c r="AP200" i="44"/>
  <c r="BI200" i="44" s="1"/>
  <c r="AA256" i="44"/>
  <c r="AP256" i="44"/>
  <c r="BI256" i="44" s="1"/>
  <c r="AP152" i="44"/>
  <c r="BI152" i="44" s="1"/>
  <c r="AA152" i="44"/>
  <c r="AP63" i="44"/>
  <c r="BI63" i="44" s="1"/>
  <c r="AA63" i="44"/>
  <c r="AA149" i="44"/>
  <c r="AP149" i="44"/>
  <c r="BI149" i="44" s="1"/>
  <c r="AA47" i="44"/>
  <c r="AP47" i="44"/>
  <c r="BI47" i="44" s="1"/>
  <c r="AQ96" i="44"/>
  <c r="BJ96" i="44" s="1"/>
  <c r="AA201" i="44"/>
  <c r="AP201" i="44"/>
  <c r="BI201" i="44" s="1"/>
  <c r="M92" i="44"/>
  <c r="N92" i="44" s="1"/>
  <c r="O92" i="44" s="1"/>
  <c r="P92" i="44" s="1"/>
  <c r="AQ92" i="44"/>
  <c r="BJ92" i="44" s="1"/>
  <c r="AA31" i="44"/>
  <c r="AP31" i="44"/>
  <c r="BI31" i="44" s="1"/>
  <c r="M102" i="44"/>
  <c r="N102" i="44" s="1"/>
  <c r="O102" i="44" s="1"/>
  <c r="P102" i="44" s="1"/>
  <c r="AQ102" i="44"/>
  <c r="BJ102" i="44" s="1"/>
  <c r="AA288" i="44"/>
  <c r="AP288" i="44"/>
  <c r="BI288" i="44" s="1"/>
  <c r="M225" i="44"/>
  <c r="N225" i="44" s="1"/>
  <c r="O225" i="44" s="1"/>
  <c r="P225" i="44" s="1"/>
  <c r="AQ225" i="44"/>
  <c r="BJ225" i="44" s="1"/>
  <c r="AA190" i="44"/>
  <c r="AP190" i="44"/>
  <c r="BI190" i="44" s="1"/>
  <c r="AA160" i="44"/>
  <c r="AP160" i="44"/>
  <c r="BI160" i="44" s="1"/>
  <c r="AA277" i="44"/>
  <c r="AP277" i="44"/>
  <c r="BI277" i="44" s="1"/>
  <c r="M145" i="44"/>
  <c r="N145" i="44" s="1"/>
  <c r="O145" i="44" s="1"/>
  <c r="P145" i="44" s="1"/>
  <c r="AQ145" i="44"/>
  <c r="BJ145" i="44" s="1"/>
  <c r="AA109" i="44"/>
  <c r="AP109" i="44"/>
  <c r="BI109" i="44" s="1"/>
  <c r="AP71" i="44"/>
  <c r="BI71" i="44" s="1"/>
  <c r="AA71" i="44"/>
  <c r="AA36" i="44"/>
  <c r="AP36" i="44"/>
  <c r="BI36" i="44" s="1"/>
  <c r="AA300" i="44"/>
  <c r="AP300" i="44"/>
  <c r="BI300" i="44" s="1"/>
  <c r="AA245" i="44"/>
  <c r="AP245" i="44"/>
  <c r="BI245" i="44" s="1"/>
  <c r="AA220" i="44"/>
  <c r="AP220" i="44"/>
  <c r="BI220" i="44" s="1"/>
  <c r="AA189" i="44"/>
  <c r="AP189" i="44"/>
  <c r="BI189" i="44" s="1"/>
  <c r="AA151" i="44"/>
  <c r="AP151" i="44"/>
  <c r="BI151" i="44" s="1"/>
  <c r="AA115" i="44"/>
  <c r="AP115" i="44"/>
  <c r="BI115" i="44" s="1"/>
  <c r="AA89" i="44"/>
  <c r="AP89" i="44"/>
  <c r="BI89" i="44" s="1"/>
  <c r="AA50" i="44"/>
  <c r="AP50" i="44"/>
  <c r="BI50" i="44" s="1"/>
  <c r="AA19" i="44"/>
  <c r="AP19" i="44"/>
  <c r="BI19" i="44" s="1"/>
  <c r="AA143" i="44"/>
  <c r="AP143" i="44"/>
  <c r="BI143" i="44" s="1"/>
  <c r="AA266" i="44"/>
  <c r="AP266" i="44"/>
  <c r="BI266" i="44" s="1"/>
  <c r="AA148" i="44"/>
  <c r="AP148" i="44"/>
  <c r="BI148" i="44" s="1"/>
  <c r="AA296" i="44"/>
  <c r="AP296" i="44"/>
  <c r="BI296" i="44" s="1"/>
  <c r="AA168" i="44"/>
  <c r="AP168" i="44"/>
  <c r="BI168" i="44" s="1"/>
  <c r="AA44" i="44"/>
  <c r="AP44" i="44"/>
  <c r="BI44" i="44" s="1"/>
  <c r="AP95" i="44"/>
  <c r="BI95" i="44" s="1"/>
  <c r="AA95" i="44"/>
  <c r="AA178" i="44"/>
  <c r="AP178" i="44"/>
  <c r="BI178" i="44" s="1"/>
  <c r="AA257" i="44"/>
  <c r="AP257" i="44"/>
  <c r="BI257" i="44" s="1"/>
  <c r="AA260" i="44"/>
  <c r="AP260" i="44"/>
  <c r="BI260" i="44" s="1"/>
  <c r="AP232" i="44"/>
  <c r="BI232" i="44" s="1"/>
  <c r="AA232" i="44"/>
  <c r="AP224" i="44"/>
  <c r="BI224" i="44" s="1"/>
  <c r="AA224" i="44"/>
  <c r="M100" i="44"/>
  <c r="N100" i="44" s="1"/>
  <c r="O100" i="44" s="1"/>
  <c r="P100" i="44" s="1"/>
  <c r="AQ100" i="44"/>
  <c r="BJ100" i="44" s="1"/>
  <c r="AA298" i="44"/>
  <c r="AP298" i="44"/>
  <c r="BI298" i="44" s="1"/>
  <c r="AA106" i="44"/>
  <c r="AP106" i="44"/>
  <c r="BI106" i="44" s="1"/>
  <c r="M17" i="44"/>
  <c r="N17" i="44" s="1"/>
  <c r="O17" i="44" s="1"/>
  <c r="P17" i="44" s="1"/>
  <c r="AQ17" i="44"/>
  <c r="AA74" i="44"/>
  <c r="AP74" i="44"/>
  <c r="BI74" i="44" s="1"/>
  <c r="AA191" i="44"/>
  <c r="AP191" i="44"/>
  <c r="BI191" i="44" s="1"/>
  <c r="AA161" i="44"/>
  <c r="AP161" i="44"/>
  <c r="BI161" i="44" s="1"/>
  <c r="AA30" i="44"/>
  <c r="AP30" i="44"/>
  <c r="BI30" i="44" s="1"/>
  <c r="AA292" i="44"/>
  <c r="AP292" i="44"/>
  <c r="BI292" i="44" s="1"/>
  <c r="AA254" i="44"/>
  <c r="AP254" i="44"/>
  <c r="BI254" i="44" s="1"/>
  <c r="AA215" i="44"/>
  <c r="AP215" i="44"/>
  <c r="BI215" i="44" s="1"/>
  <c r="AA187" i="44"/>
  <c r="AP187" i="44"/>
  <c r="BI187" i="44" s="1"/>
  <c r="AA156" i="44"/>
  <c r="AP156" i="44"/>
  <c r="BI156" i="44" s="1"/>
  <c r="AA290" i="44"/>
  <c r="AP290" i="44"/>
  <c r="BI290" i="44" s="1"/>
  <c r="AA252" i="44"/>
  <c r="AP252" i="44"/>
  <c r="BI252" i="44" s="1"/>
  <c r="AA227" i="44"/>
  <c r="AP227" i="44"/>
  <c r="BI227" i="44" s="1"/>
  <c r="AA192" i="44"/>
  <c r="AP192" i="44"/>
  <c r="BI192" i="44" s="1"/>
  <c r="AA154" i="44"/>
  <c r="AP154" i="44"/>
  <c r="BI154" i="44" s="1"/>
  <c r="AA280" i="44"/>
  <c r="AP280" i="44"/>
  <c r="BI280" i="44" s="1"/>
  <c r="AA242" i="44"/>
  <c r="AP242" i="44"/>
  <c r="BI242" i="44" s="1"/>
  <c r="M217" i="44"/>
  <c r="N217" i="44" s="1"/>
  <c r="O217" i="44" s="1"/>
  <c r="P217" i="44" s="1"/>
  <c r="AQ217" i="44"/>
  <c r="BJ217" i="44" s="1"/>
  <c r="AA174" i="44"/>
  <c r="AP174" i="44"/>
  <c r="BI174" i="44" s="1"/>
  <c r="AP146" i="44"/>
  <c r="BI146" i="44" s="1"/>
  <c r="AA146" i="44"/>
  <c r="AP268" i="44"/>
  <c r="BI268" i="44" s="1"/>
  <c r="AA268" i="44"/>
  <c r="AA144" i="44"/>
  <c r="AP144" i="44"/>
  <c r="BI144" i="44" s="1"/>
  <c r="M88" i="44"/>
  <c r="N88" i="44" s="1"/>
  <c r="O88" i="44" s="1"/>
  <c r="P88" i="44" s="1"/>
  <c r="AQ88" i="44"/>
  <c r="BJ88" i="44" s="1"/>
  <c r="AA57" i="44"/>
  <c r="AP57" i="44"/>
  <c r="BI57" i="44" s="1"/>
  <c r="AA26" i="44"/>
  <c r="AP26" i="44"/>
  <c r="BI26" i="44" s="1"/>
  <c r="AA259" i="44"/>
  <c r="AP259" i="44"/>
  <c r="BI259" i="44" s="1"/>
  <c r="AA218" i="44"/>
  <c r="AP218" i="44"/>
  <c r="BI218" i="44" s="1"/>
  <c r="AA171" i="44"/>
  <c r="AP171" i="44"/>
  <c r="BI171" i="44" s="1"/>
  <c r="AA99" i="44"/>
  <c r="AP99" i="44"/>
  <c r="BI99" i="44" s="1"/>
  <c r="M68" i="44"/>
  <c r="N68" i="44" s="1"/>
  <c r="O68" i="44" s="1"/>
  <c r="P68" i="44" s="1"/>
  <c r="AQ68" i="44"/>
  <c r="BJ68" i="44" s="1"/>
  <c r="M41" i="44"/>
  <c r="N41" i="44" s="1"/>
  <c r="O41" i="44" s="1"/>
  <c r="P41" i="44" s="1"/>
  <c r="AQ41" i="44"/>
  <c r="BJ41" i="44" s="1"/>
  <c r="AA139" i="44"/>
  <c r="AP139" i="44"/>
  <c r="BI139" i="44" s="1"/>
  <c r="AA258" i="44"/>
  <c r="AP258" i="44"/>
  <c r="BI258" i="44" s="1"/>
  <c r="AA93" i="44"/>
  <c r="AP93" i="44"/>
  <c r="BI93" i="44" s="1"/>
  <c r="AA67" i="44"/>
  <c r="AP67" i="44"/>
  <c r="BI67" i="44" s="1"/>
  <c r="AA40" i="44"/>
  <c r="AP40" i="44"/>
  <c r="BI40" i="44" s="1"/>
  <c r="AA302" i="44"/>
  <c r="AP302" i="44"/>
  <c r="BI302" i="44" s="1"/>
  <c r="AA167" i="44"/>
  <c r="AP167" i="44"/>
  <c r="BI167" i="44" s="1"/>
  <c r="M52" i="44"/>
  <c r="N52" i="44" s="1"/>
  <c r="O52" i="44" s="1"/>
  <c r="P52" i="44" s="1"/>
  <c r="AQ52" i="44"/>
  <c r="BJ52" i="44" s="1"/>
  <c r="AA249" i="44"/>
  <c r="AP249" i="44"/>
  <c r="BI249" i="44" s="1"/>
  <c r="M223" i="44"/>
  <c r="N223" i="44" s="1"/>
  <c r="O223" i="44" s="1"/>
  <c r="P223" i="44" s="1"/>
  <c r="AQ223" i="44"/>
  <c r="BJ223" i="44" s="1"/>
  <c r="AA193" i="44"/>
  <c r="AP193" i="44"/>
  <c r="BI193" i="44" s="1"/>
  <c r="M153" i="44"/>
  <c r="N153" i="44" s="1"/>
  <c r="O153" i="44" s="1"/>
  <c r="P153" i="44" s="1"/>
  <c r="AQ153" i="44"/>
  <c r="BJ153" i="44" s="1"/>
  <c r="M112" i="44"/>
  <c r="N112" i="44" s="1"/>
  <c r="O112" i="44" s="1"/>
  <c r="P112" i="44" s="1"/>
  <c r="AQ112" i="44"/>
  <c r="BJ112" i="44" s="1"/>
  <c r="AA86" i="44"/>
  <c r="AP86" i="44"/>
  <c r="BI86" i="44" s="1"/>
  <c r="AA54" i="44"/>
  <c r="AP54" i="44"/>
  <c r="BI54" i="44" s="1"/>
  <c r="AA23" i="44"/>
  <c r="AP23" i="44"/>
  <c r="BI23" i="44" s="1"/>
  <c r="AQ214" i="44"/>
  <c r="BJ214" i="44" s="1"/>
  <c r="M37" i="44"/>
  <c r="N37" i="44" s="1"/>
  <c r="O37" i="44" s="1"/>
  <c r="P37" i="44" s="1"/>
  <c r="AQ37" i="44"/>
  <c r="BJ37" i="44" s="1"/>
  <c r="AA272" i="44"/>
  <c r="AP272" i="44"/>
  <c r="BI272" i="44" s="1"/>
  <c r="AA125" i="44"/>
  <c r="AP125" i="44"/>
  <c r="BI125" i="44" s="1"/>
  <c r="AA91" i="44"/>
  <c r="AP91" i="44"/>
  <c r="BI91" i="44" s="1"/>
  <c r="AA53" i="44"/>
  <c r="AP53" i="44"/>
  <c r="BI53" i="44" s="1"/>
  <c r="AA22" i="44"/>
  <c r="AP22" i="44"/>
  <c r="BI22" i="44" s="1"/>
  <c r="AA199" i="44"/>
  <c r="AP199" i="44"/>
  <c r="BI199" i="44" s="1"/>
  <c r="AA78" i="44"/>
  <c r="AP78" i="44"/>
  <c r="BI78" i="44" s="1"/>
  <c r="M84" i="44"/>
  <c r="N84" i="44" s="1"/>
  <c r="O84" i="44" s="1"/>
  <c r="P84" i="44" s="1"/>
  <c r="AQ84" i="44"/>
  <c r="BJ84" i="44" s="1"/>
  <c r="AA194" i="44"/>
  <c r="AP194" i="44"/>
  <c r="BI194" i="44" s="1"/>
  <c r="AA222" i="44"/>
  <c r="AP222" i="44"/>
  <c r="BI222" i="44" s="1"/>
  <c r="AA282" i="44"/>
  <c r="AP282" i="44"/>
  <c r="BI282" i="44" s="1"/>
  <c r="AA219" i="44"/>
  <c r="AP219" i="44"/>
  <c r="BI219" i="44" s="1"/>
  <c r="AA183" i="44"/>
  <c r="AP183" i="44"/>
  <c r="BI183" i="44" s="1"/>
  <c r="AA147" i="44"/>
  <c r="AP147" i="44"/>
  <c r="BI147" i="44" s="1"/>
  <c r="AA270" i="44"/>
  <c r="AP270" i="44"/>
  <c r="BI270" i="44" s="1"/>
  <c r="AA130" i="44"/>
  <c r="AP130" i="44"/>
  <c r="BI130" i="44" s="1"/>
  <c r="AA90" i="44"/>
  <c r="AP90" i="44"/>
  <c r="BI90" i="44" s="1"/>
  <c r="M64" i="44"/>
  <c r="N64" i="44" s="1"/>
  <c r="O64" i="44" s="1"/>
  <c r="P64" i="44" s="1"/>
  <c r="AQ64" i="44"/>
  <c r="BJ64" i="44" s="1"/>
  <c r="AA28" i="44"/>
  <c r="AP28" i="44"/>
  <c r="BI28" i="44" s="1"/>
  <c r="AA269" i="44"/>
  <c r="AP269" i="44"/>
  <c r="BI269" i="44" s="1"/>
  <c r="M237" i="44"/>
  <c r="N237" i="44" s="1"/>
  <c r="O237" i="44" s="1"/>
  <c r="P237" i="44" s="1"/>
  <c r="AQ237" i="44"/>
  <c r="BJ237" i="44" s="1"/>
  <c r="AA213" i="44"/>
  <c r="AP213" i="44"/>
  <c r="BI213" i="44" s="1"/>
  <c r="AA173" i="44"/>
  <c r="AP173" i="44"/>
  <c r="BI173" i="44" s="1"/>
  <c r="AA137" i="44"/>
  <c r="AP137" i="44"/>
  <c r="BI137" i="44" s="1"/>
  <c r="M108" i="44"/>
  <c r="N108" i="44" s="1"/>
  <c r="O108" i="44" s="1"/>
  <c r="P108" i="44" s="1"/>
  <c r="AQ108" i="44"/>
  <c r="BJ108" i="44" s="1"/>
  <c r="M76" i="44"/>
  <c r="N76" i="44" s="1"/>
  <c r="O76" i="44" s="1"/>
  <c r="P76" i="44" s="1"/>
  <c r="AQ76" i="44"/>
  <c r="BJ76" i="44" s="1"/>
  <c r="AA43" i="44"/>
  <c r="AP43" i="44"/>
  <c r="BI43" i="44" s="1"/>
  <c r="AA65" i="44"/>
  <c r="AP65" i="44"/>
  <c r="BI65" i="44" s="1"/>
  <c r="AA212" i="44"/>
  <c r="AP212" i="44"/>
  <c r="BI212" i="44" s="1"/>
  <c r="AA211" i="44"/>
  <c r="AP211" i="44"/>
  <c r="BI211" i="44" s="1"/>
  <c r="AA289" i="44"/>
  <c r="AP289" i="44"/>
  <c r="BI289" i="44" s="1"/>
  <c r="AA127" i="44"/>
  <c r="AP127" i="44"/>
  <c r="BI127" i="44" s="1"/>
  <c r="AA285" i="44"/>
  <c r="AP285" i="44"/>
  <c r="BI285" i="44" s="1"/>
  <c r="AA162" i="44"/>
  <c r="AP162" i="44"/>
  <c r="BI162" i="44" s="1"/>
  <c r="AA97" i="44"/>
  <c r="AP97" i="44"/>
  <c r="BI97" i="44" s="1"/>
  <c r="AA278" i="44"/>
  <c r="AP278" i="44"/>
  <c r="BI278" i="44" s="1"/>
  <c r="AA240" i="44"/>
  <c r="AP240" i="44"/>
  <c r="BI240" i="44" s="1"/>
  <c r="AA210" i="44"/>
  <c r="AP210" i="44"/>
  <c r="BI210" i="44" s="1"/>
  <c r="AA179" i="44"/>
  <c r="AP179" i="44"/>
  <c r="BI179" i="44" s="1"/>
  <c r="AA150" i="44"/>
  <c r="AP150" i="44"/>
  <c r="BI150" i="44" s="1"/>
  <c r="AA284" i="44"/>
  <c r="AP284" i="44"/>
  <c r="BI284" i="44" s="1"/>
  <c r="AA246" i="44"/>
  <c r="AP246" i="44"/>
  <c r="BI246" i="44" s="1"/>
  <c r="M221" i="44"/>
  <c r="N221" i="44" s="1"/>
  <c r="O221" i="44" s="1"/>
  <c r="P221" i="44" s="1"/>
  <c r="AQ221" i="44"/>
  <c r="BJ221" i="44" s="1"/>
  <c r="M185" i="44"/>
  <c r="N185" i="44" s="1"/>
  <c r="O185" i="44" s="1"/>
  <c r="P185" i="44" s="1"/>
  <c r="AQ185" i="44"/>
  <c r="BJ185" i="44" s="1"/>
  <c r="M273" i="44"/>
  <c r="N273" i="44" s="1"/>
  <c r="O273" i="44" s="1"/>
  <c r="P273" i="44" s="1"/>
  <c r="AQ273" i="44"/>
  <c r="BJ273" i="44" s="1"/>
  <c r="AA235" i="44"/>
  <c r="AP235" i="44"/>
  <c r="BI235" i="44" s="1"/>
  <c r="AA204" i="44"/>
  <c r="AP204" i="44"/>
  <c r="BI204" i="44" s="1"/>
  <c r="AA166" i="44"/>
  <c r="AP166" i="44"/>
  <c r="BI166" i="44" s="1"/>
  <c r="AA140" i="44"/>
  <c r="AP140" i="44"/>
  <c r="BI140" i="44" s="1"/>
  <c r="AA261" i="44"/>
  <c r="AP261" i="44"/>
  <c r="BI261" i="44" s="1"/>
  <c r="AA291" i="44"/>
  <c r="AP291" i="44"/>
  <c r="BI291" i="44" s="1"/>
  <c r="AA114" i="44"/>
  <c r="AP114" i="44"/>
  <c r="BI114" i="44" s="1"/>
  <c r="AA82" i="44"/>
  <c r="AP82" i="44"/>
  <c r="BI82" i="44" s="1"/>
  <c r="AA49" i="44"/>
  <c r="AP49" i="44"/>
  <c r="BI49" i="44" s="1"/>
  <c r="AA18" i="44"/>
  <c r="AP18" i="44"/>
  <c r="BI18" i="44" s="1"/>
  <c r="AA251" i="44"/>
  <c r="AP251" i="44"/>
  <c r="BI251" i="44" s="1"/>
  <c r="AA163" i="44"/>
  <c r="AP163" i="44"/>
  <c r="BI163" i="44" s="1"/>
  <c r="AA135" i="44"/>
  <c r="AP135" i="44"/>
  <c r="BI135" i="44" s="1"/>
  <c r="AA94" i="44"/>
  <c r="AP94" i="44"/>
  <c r="BI94" i="44" s="1"/>
  <c r="AA62" i="44"/>
  <c r="AP62" i="44"/>
  <c r="BI62" i="44" s="1"/>
  <c r="M33" i="44"/>
  <c r="N33" i="44" s="1"/>
  <c r="O33" i="44" s="1"/>
  <c r="P33" i="44" s="1"/>
  <c r="AQ33" i="44"/>
  <c r="AA119" i="44"/>
  <c r="AP119" i="44"/>
  <c r="BI119" i="44" s="1"/>
  <c r="AP87" i="44"/>
  <c r="BI87" i="44" s="1"/>
  <c r="AA87" i="44"/>
  <c r="AA61" i="44"/>
  <c r="AP61" i="44"/>
  <c r="BI61" i="44" s="1"/>
  <c r="AA32" i="44"/>
  <c r="AP32" i="44"/>
  <c r="BI32" i="44" s="1"/>
  <c r="AA255" i="44"/>
  <c r="AP255" i="44"/>
  <c r="BI255" i="44" s="1"/>
  <c r="AA131" i="44"/>
  <c r="AP131" i="44"/>
  <c r="BI131" i="44" s="1"/>
  <c r="M29" i="44"/>
  <c r="N29" i="44" s="1"/>
  <c r="O29" i="44" s="1"/>
  <c r="P29" i="44" s="1"/>
  <c r="AQ29" i="44"/>
  <c r="BJ29" i="44" s="1"/>
  <c r="AA241" i="44"/>
  <c r="AP241" i="44"/>
  <c r="BI241" i="44" s="1"/>
  <c r="AA216" i="44"/>
  <c r="AP216" i="44"/>
  <c r="BI216" i="44" s="1"/>
  <c r="AA177" i="44"/>
  <c r="AP177" i="44"/>
  <c r="BI177" i="44" s="1"/>
  <c r="AA141" i="44"/>
  <c r="AP141" i="44"/>
  <c r="BI141" i="44" s="1"/>
  <c r="M104" i="44"/>
  <c r="N104" i="44" s="1"/>
  <c r="O104" i="44" s="1"/>
  <c r="P104" i="44" s="1"/>
  <c r="AQ104" i="44"/>
  <c r="BJ104" i="44" s="1"/>
  <c r="AA79" i="44"/>
  <c r="AP79" i="44"/>
  <c r="BI79" i="44" s="1"/>
  <c r="AA46" i="44"/>
  <c r="AP46" i="44"/>
  <c r="BI46" i="44" s="1"/>
  <c r="AA159" i="44"/>
  <c r="AP159" i="44"/>
  <c r="BI159" i="44" s="1"/>
  <c r="AA295" i="44"/>
  <c r="AP295" i="44"/>
  <c r="BI295" i="44" s="1"/>
  <c r="AP248" i="44"/>
  <c r="BI248" i="44" s="1"/>
  <c r="AA248" i="44"/>
  <c r="M111" i="44"/>
  <c r="N111" i="44" s="1"/>
  <c r="O111" i="44" s="1"/>
  <c r="P111" i="44" s="1"/>
  <c r="AQ111" i="44"/>
  <c r="BJ111" i="44" s="1"/>
  <c r="AA85" i="44"/>
  <c r="AP85" i="44"/>
  <c r="BI85" i="44" s="1"/>
  <c r="AA45" i="44"/>
  <c r="AP45" i="44"/>
  <c r="BI45" i="44" s="1"/>
  <c r="AA263" i="44"/>
  <c r="AP263" i="44"/>
  <c r="BI263" i="44" s="1"/>
  <c r="AA175" i="44"/>
  <c r="AP175" i="44"/>
  <c r="BI175" i="44" s="1"/>
  <c r="AA198" i="44"/>
  <c r="AP198" i="44"/>
  <c r="BI198" i="44" s="1"/>
  <c r="AA182" i="44"/>
  <c r="AP182" i="44"/>
  <c r="BI182" i="44" s="1"/>
  <c r="AA197" i="44"/>
  <c r="AP197" i="44"/>
  <c r="BI197" i="44" s="1"/>
  <c r="AA294" i="44"/>
  <c r="AP294" i="44"/>
  <c r="BI294" i="44" s="1"/>
  <c r="M275" i="44"/>
  <c r="N275" i="44" s="1"/>
  <c r="O275" i="44" s="1"/>
  <c r="P275" i="44" s="1"/>
  <c r="AQ275" i="44"/>
  <c r="BJ275" i="44" s="1"/>
  <c r="AA34" i="44"/>
  <c r="AP34" i="44"/>
  <c r="BI34" i="44" s="1"/>
  <c r="AA195" i="44"/>
  <c r="AP195" i="44"/>
  <c r="BI195" i="44" s="1"/>
  <c r="AP75" i="44"/>
  <c r="BI75" i="44" s="1"/>
  <c r="AA75" i="44"/>
  <c r="M48" i="44"/>
  <c r="N48" i="44" s="1"/>
  <c r="O48" i="44" s="1"/>
  <c r="P48" i="44" s="1"/>
  <c r="AQ48" i="44"/>
  <c r="AA105" i="44"/>
  <c r="AP105" i="44"/>
  <c r="BI105" i="44" s="1"/>
  <c r="AA16" i="44"/>
  <c r="AP16" i="44"/>
  <c r="AA229" i="44"/>
  <c r="AP229" i="44"/>
  <c r="BI229" i="44" s="1"/>
  <c r="AA279" i="44"/>
  <c r="AP279" i="44"/>
  <c r="BI279" i="44" s="1"/>
  <c r="AA66" i="44"/>
  <c r="AP66" i="44"/>
  <c r="BI66" i="44" s="1"/>
  <c r="AA303" i="44"/>
  <c r="AP303" i="44"/>
  <c r="BI303" i="44" s="1"/>
  <c r="AA250" i="44"/>
  <c r="AP250" i="44"/>
  <c r="BI250" i="44" s="1"/>
  <c r="AA206" i="44"/>
  <c r="AP206" i="44"/>
  <c r="BI206" i="44" s="1"/>
  <c r="AA176" i="44"/>
  <c r="AP176" i="44"/>
  <c r="BI176" i="44" s="1"/>
  <c r="AA142" i="44"/>
  <c r="AP142" i="44"/>
  <c r="BI142" i="44" s="1"/>
  <c r="AA293" i="44"/>
  <c r="AP293" i="44"/>
  <c r="BI293" i="44" s="1"/>
  <c r="AP262" i="44"/>
  <c r="BI262" i="44" s="1"/>
  <c r="AA262" i="44"/>
  <c r="AA123" i="44"/>
  <c r="AP123" i="44"/>
  <c r="BI123" i="44" s="1"/>
  <c r="AA83" i="44"/>
  <c r="AP83" i="44"/>
  <c r="BI83" i="44" s="1"/>
  <c r="AA51" i="44"/>
  <c r="AP51" i="44"/>
  <c r="BI51" i="44" s="1"/>
  <c r="AA20" i="44"/>
  <c r="AP20" i="44"/>
  <c r="BI20" i="44" s="1"/>
  <c r="M231" i="44"/>
  <c r="N231" i="44" s="1"/>
  <c r="O231" i="44" s="1"/>
  <c r="P231" i="44" s="1"/>
  <c r="AQ231" i="44"/>
  <c r="BJ231" i="44" s="1"/>
  <c r="AA205" i="44"/>
  <c r="AP205" i="44"/>
  <c r="BI205" i="44" s="1"/>
  <c r="AA165" i="44"/>
  <c r="AP165" i="44"/>
  <c r="BI165" i="44" s="1"/>
  <c r="M129" i="44"/>
  <c r="N129" i="44" s="1"/>
  <c r="O129" i="44" s="1"/>
  <c r="P129" i="44" s="1"/>
  <c r="AQ129" i="44"/>
  <c r="BJ129" i="44" s="1"/>
  <c r="AA101" i="44"/>
  <c r="AP101" i="44"/>
  <c r="BI101" i="44" s="1"/>
  <c r="AA70" i="44"/>
  <c r="AP70" i="44"/>
  <c r="BI70" i="44" s="1"/>
  <c r="AA35" i="44"/>
  <c r="AP35" i="44"/>
  <c r="BI35" i="44" s="1"/>
  <c r="AA281" i="44"/>
  <c r="AP281" i="44"/>
  <c r="BI281" i="44" s="1"/>
  <c r="AA186" i="44"/>
  <c r="AP186" i="44"/>
  <c r="BI186" i="44" s="1"/>
  <c r="AA244" i="44"/>
  <c r="AP244" i="44"/>
  <c r="BI244" i="44" s="1"/>
  <c r="M116" i="44"/>
  <c r="N116" i="44" s="1"/>
  <c r="O116" i="44" s="1"/>
  <c r="P116" i="44" s="1"/>
  <c r="AQ116" i="44"/>
  <c r="BJ116" i="44" s="1"/>
  <c r="AA253" i="44"/>
  <c r="AP253" i="44"/>
  <c r="BI253" i="44" s="1"/>
  <c r="AA157" i="44"/>
  <c r="AP157" i="44"/>
  <c r="BI157" i="44" s="1"/>
  <c r="AA58" i="44"/>
  <c r="AP58" i="44"/>
  <c r="BI58" i="44" s="1"/>
  <c r="AA299" i="44"/>
  <c r="AP299" i="44"/>
  <c r="BI299" i="44" s="1"/>
  <c r="AA164" i="44"/>
  <c r="AP164" i="44"/>
  <c r="BI164" i="44" s="1"/>
  <c r="AA264" i="44"/>
  <c r="AP264" i="44"/>
  <c r="BI264" i="44" s="1"/>
  <c r="M181" i="44"/>
  <c r="N181" i="44" s="1"/>
  <c r="O181" i="44" s="1"/>
  <c r="P181" i="44" s="1"/>
  <c r="AQ181" i="44"/>
  <c r="BJ181" i="44" s="1"/>
  <c r="AA180" i="44"/>
  <c r="AP180" i="44"/>
  <c r="BI180" i="44" s="1"/>
  <c r="AA236" i="44"/>
  <c r="AP236" i="44"/>
  <c r="BI236" i="44" s="1"/>
  <c r="AA126" i="44"/>
  <c r="AP126" i="44"/>
  <c r="BI126" i="44" s="1"/>
  <c r="M60" i="44"/>
  <c r="N60" i="44" s="1"/>
  <c r="O60" i="44" s="1"/>
  <c r="P60" i="44" s="1"/>
  <c r="AQ60" i="44"/>
  <c r="BJ60" i="44" s="1"/>
  <c r="AP59" i="44"/>
  <c r="BI59" i="44" s="1"/>
  <c r="AA59" i="44"/>
  <c r="M132" i="44"/>
  <c r="N132" i="44" s="1"/>
  <c r="O132" i="44" s="1"/>
  <c r="P132" i="44" s="1"/>
  <c r="AQ132" i="44"/>
  <c r="BJ132" i="44" s="1"/>
  <c r="AA307" i="44"/>
  <c r="AP307" i="44"/>
  <c r="BI307" i="44" s="1"/>
  <c r="AA271" i="44"/>
  <c r="AP271" i="44"/>
  <c r="BI271" i="44" s="1"/>
  <c r="M233" i="44"/>
  <c r="N233" i="44" s="1"/>
  <c r="O233" i="44" s="1"/>
  <c r="P233" i="44" s="1"/>
  <c r="AQ233" i="44"/>
  <c r="BJ233" i="44" s="1"/>
  <c r="AA202" i="44"/>
  <c r="AP202" i="44"/>
  <c r="BI202" i="44" s="1"/>
  <c r="AA172" i="44"/>
  <c r="AP172" i="44"/>
  <c r="BI172" i="44" s="1"/>
  <c r="AA138" i="44"/>
  <c r="AP138" i="44"/>
  <c r="BI138" i="44" s="1"/>
  <c r="M305" i="44"/>
  <c r="N305" i="44" s="1"/>
  <c r="O305" i="44" s="1"/>
  <c r="P305" i="44" s="1"/>
  <c r="AQ305" i="44"/>
  <c r="BJ305" i="44" s="1"/>
  <c r="AA276" i="44"/>
  <c r="AP276" i="44"/>
  <c r="BI276" i="44" s="1"/>
  <c r="AA238" i="44"/>
  <c r="AP238" i="44"/>
  <c r="BI238" i="44" s="1"/>
  <c r="AA208" i="44"/>
  <c r="AP208" i="44"/>
  <c r="BI208" i="44" s="1"/>
  <c r="AA170" i="44"/>
  <c r="AP170" i="44"/>
  <c r="BI170" i="44" s="1"/>
  <c r="M301" i="44"/>
  <c r="N301" i="44" s="1"/>
  <c r="O301" i="44" s="1"/>
  <c r="P301" i="44" s="1"/>
  <c r="AQ301" i="44"/>
  <c r="BJ301" i="44" s="1"/>
  <c r="AA267" i="44"/>
  <c r="AP267" i="44"/>
  <c r="BI267" i="44" s="1"/>
  <c r="AP230" i="44"/>
  <c r="BI230" i="44" s="1"/>
  <c r="AA230" i="44"/>
  <c r="AA196" i="44"/>
  <c r="AP196" i="44"/>
  <c r="BI196" i="44" s="1"/>
  <c r="AA158" i="44"/>
  <c r="AP158" i="44"/>
  <c r="BI158" i="44" s="1"/>
  <c r="AA283" i="44"/>
  <c r="AP283" i="44"/>
  <c r="BI283" i="44" s="1"/>
  <c r="AA188" i="44"/>
  <c r="AP188" i="44"/>
  <c r="BI188" i="44" s="1"/>
  <c r="AA107" i="44"/>
  <c r="AP107" i="44"/>
  <c r="BI107" i="44" s="1"/>
  <c r="AA69" i="44"/>
  <c r="AP69" i="44"/>
  <c r="BI69" i="44" s="1"/>
  <c r="AA42" i="44"/>
  <c r="AP42" i="44"/>
  <c r="BI42" i="44" s="1"/>
  <c r="AA306" i="44"/>
  <c r="AP306" i="44"/>
  <c r="BI306" i="44" s="1"/>
  <c r="AA243" i="44"/>
  <c r="AP243" i="44"/>
  <c r="BI243" i="44" s="1"/>
  <c r="AA203" i="44"/>
  <c r="AP203" i="44"/>
  <c r="BI203" i="44" s="1"/>
  <c r="AA155" i="44"/>
  <c r="AP155" i="44"/>
  <c r="BI155" i="44" s="1"/>
  <c r="M120" i="44"/>
  <c r="N120" i="44" s="1"/>
  <c r="O120" i="44" s="1"/>
  <c r="P120" i="44" s="1"/>
  <c r="AQ120" i="44"/>
  <c r="BJ120" i="44" s="1"/>
  <c r="AA81" i="44"/>
  <c r="AP81" i="44"/>
  <c r="BI81" i="44" s="1"/>
  <c r="M56" i="44"/>
  <c r="N56" i="44" s="1"/>
  <c r="O56" i="44" s="1"/>
  <c r="P56" i="44" s="1"/>
  <c r="AQ56" i="44"/>
  <c r="BJ56" i="44" s="1"/>
  <c r="M25" i="44"/>
  <c r="N25" i="44" s="1"/>
  <c r="O25" i="44" s="1"/>
  <c r="P25" i="44" s="1"/>
  <c r="AQ25" i="44"/>
  <c r="BJ25" i="44" s="1"/>
  <c r="AA113" i="44"/>
  <c r="AP113" i="44"/>
  <c r="BI113" i="44" s="1"/>
  <c r="M80" i="44"/>
  <c r="N80" i="44" s="1"/>
  <c r="O80" i="44" s="1"/>
  <c r="P80" i="44" s="1"/>
  <c r="AQ80" i="44"/>
  <c r="BJ80" i="44" s="1"/>
  <c r="AA55" i="44"/>
  <c r="AP55" i="44"/>
  <c r="BI55" i="44" s="1"/>
  <c r="AA24" i="44"/>
  <c r="AP24" i="44"/>
  <c r="AA207" i="44"/>
  <c r="AP207" i="44"/>
  <c r="BI207" i="44" s="1"/>
  <c r="AA110" i="44"/>
  <c r="AP110" i="44"/>
  <c r="BI110" i="44" s="1"/>
  <c r="AA265" i="44"/>
  <c r="AP265" i="44"/>
  <c r="BI265" i="44" s="1"/>
  <c r="AA234" i="44"/>
  <c r="AP234" i="44"/>
  <c r="BI234" i="44" s="1"/>
  <c r="AA209" i="44"/>
  <c r="AP209" i="44"/>
  <c r="BI209" i="44" s="1"/>
  <c r="AA169" i="44"/>
  <c r="AP169" i="44"/>
  <c r="BI169" i="44" s="1"/>
  <c r="AA133" i="44"/>
  <c r="AP133" i="44"/>
  <c r="BI133" i="44" s="1"/>
  <c r="AA98" i="44"/>
  <c r="AP98" i="44"/>
  <c r="BI98" i="44" s="1"/>
  <c r="AA73" i="44"/>
  <c r="AP73" i="44"/>
  <c r="BI73" i="44" s="1"/>
  <c r="AA39" i="44"/>
  <c r="AP39" i="44"/>
  <c r="BI39" i="44" s="1"/>
  <c r="AP286" i="44"/>
  <c r="BI286" i="44" s="1"/>
  <c r="AA286" i="44"/>
  <c r="AA117" i="44"/>
  <c r="AP117" i="44"/>
  <c r="BI117" i="44" s="1"/>
  <c r="AA287" i="44"/>
  <c r="AP287" i="44"/>
  <c r="BI287" i="44" s="1"/>
  <c r="AA184" i="44"/>
  <c r="AP184" i="44"/>
  <c r="BI184" i="44" s="1"/>
  <c r="AA103" i="44"/>
  <c r="AP103" i="44"/>
  <c r="BI103" i="44" s="1"/>
  <c r="M72" i="44"/>
  <c r="N72" i="44" s="1"/>
  <c r="O72" i="44" s="1"/>
  <c r="P72" i="44" s="1"/>
  <c r="AQ72" i="44"/>
  <c r="BJ72" i="44" s="1"/>
  <c r="AA38" i="44"/>
  <c r="AP38" i="44"/>
  <c r="BI38" i="44" s="1"/>
  <c r="AA239" i="44"/>
  <c r="AP239" i="44"/>
  <c r="BI239" i="44" s="1"/>
  <c r="M124" i="44"/>
  <c r="N124" i="44" s="1"/>
  <c r="O124" i="44" s="1"/>
  <c r="P124" i="44" s="1"/>
  <c r="AQ124" i="44"/>
  <c r="BJ124" i="44" s="1"/>
  <c r="M21" i="44"/>
  <c r="N21" i="44" s="1"/>
  <c r="O21" i="44" s="1"/>
  <c r="P21" i="44" s="1"/>
  <c r="AQ21" i="44"/>
  <c r="BJ21" i="44" s="1"/>
  <c r="BJ7" i="64"/>
  <c r="BJ8" i="64"/>
  <c r="BJ6" i="64"/>
  <c r="BJ5" i="64"/>
  <c r="BJ4" i="64"/>
  <c r="AF68" i="44" l="1"/>
  <c r="AV68" i="44"/>
  <c r="AV217" i="44"/>
  <c r="AF217" i="44"/>
  <c r="AF100" i="44"/>
  <c r="AV100" i="44"/>
  <c r="BO100" i="44" s="1"/>
  <c r="AV17" i="44"/>
  <c r="BO17" i="44" s="1"/>
  <c r="AF17" i="44"/>
  <c r="AV225" i="44"/>
  <c r="AF225" i="44"/>
  <c r="AV120" i="44"/>
  <c r="BO120" i="44" s="1"/>
  <c r="AF120" i="44"/>
  <c r="AF60" i="44"/>
  <c r="AV60" i="44"/>
  <c r="BO60" i="44" s="1"/>
  <c r="AF181" i="44"/>
  <c r="AV181" i="44"/>
  <c r="BO181" i="44" s="1"/>
  <c r="AF76" i="44"/>
  <c r="AV76" i="44"/>
  <c r="AV64" i="44"/>
  <c r="AF64" i="44"/>
  <c r="AF21" i="44"/>
  <c r="AV21" i="44"/>
  <c r="AV72" i="44"/>
  <c r="BO72" i="44" s="1"/>
  <c r="AF72" i="44"/>
  <c r="AV25" i="44"/>
  <c r="BO25" i="44" s="1"/>
  <c r="AF25" i="44"/>
  <c r="AF231" i="44"/>
  <c r="AV231" i="44"/>
  <c r="AV104" i="44"/>
  <c r="AF104" i="44"/>
  <c r="AV33" i="44"/>
  <c r="AF33" i="44"/>
  <c r="AV273" i="44"/>
  <c r="AF273" i="44"/>
  <c r="AF108" i="44"/>
  <c r="AV108" i="44"/>
  <c r="AF237" i="44"/>
  <c r="AV237" i="44"/>
  <c r="BO237" i="44" s="1"/>
  <c r="AF124" i="44"/>
  <c r="AV124" i="44"/>
  <c r="BO124" i="44" s="1"/>
  <c r="AV56" i="44"/>
  <c r="AF56" i="44"/>
  <c r="AF301" i="44"/>
  <c r="AV301" i="44"/>
  <c r="AF132" i="44"/>
  <c r="AV132" i="44"/>
  <c r="AV129" i="44"/>
  <c r="AF129" i="44"/>
  <c r="AV48" i="44"/>
  <c r="AF48" i="44"/>
  <c r="AF275" i="44"/>
  <c r="AV275" i="44"/>
  <c r="AF29" i="44"/>
  <c r="AV29" i="44"/>
  <c r="AV185" i="44"/>
  <c r="BO185" i="44" s="1"/>
  <c r="AF185" i="44"/>
  <c r="AF84" i="44"/>
  <c r="AV84" i="44"/>
  <c r="AF37" i="44"/>
  <c r="AV37" i="44"/>
  <c r="AV297" i="44"/>
  <c r="AF297" i="44"/>
  <c r="AF223" i="44"/>
  <c r="AV223" i="44"/>
  <c r="BO223" i="44" s="1"/>
  <c r="AV145" i="44"/>
  <c r="BO145" i="44" s="1"/>
  <c r="AF145" i="44"/>
  <c r="AF92" i="44"/>
  <c r="AV92" i="44"/>
  <c r="AV112" i="44"/>
  <c r="AF112" i="44"/>
  <c r="AV80" i="44"/>
  <c r="BO80" i="44" s="1"/>
  <c r="AF80" i="44"/>
  <c r="AV305" i="44"/>
  <c r="BO305" i="44" s="1"/>
  <c r="AF305" i="44"/>
  <c r="AV233" i="44"/>
  <c r="BO233" i="44" s="1"/>
  <c r="AF233" i="44"/>
  <c r="AF116" i="44"/>
  <c r="AV116" i="44"/>
  <c r="BO116" i="44" s="1"/>
  <c r="AF111" i="44"/>
  <c r="AV111" i="44"/>
  <c r="BO111" i="44" s="1"/>
  <c r="AF221" i="44"/>
  <c r="AV221" i="44"/>
  <c r="AV153" i="44"/>
  <c r="AF153" i="44"/>
  <c r="AF52" i="44"/>
  <c r="AV52" i="44"/>
  <c r="BO52" i="44" s="1"/>
  <c r="AV41" i="44"/>
  <c r="BO41" i="44" s="1"/>
  <c r="AF41" i="44"/>
  <c r="AV88" i="44"/>
  <c r="BO88" i="44" s="1"/>
  <c r="AF88" i="44"/>
  <c r="AF102" i="44"/>
  <c r="AV102" i="44"/>
  <c r="BS15" i="64"/>
  <c r="BO21" i="44"/>
  <c r="BO231" i="44"/>
  <c r="BO33" i="44"/>
  <c r="BO273" i="44"/>
  <c r="BO64" i="44"/>
  <c r="BO92" i="44"/>
  <c r="BO56" i="44"/>
  <c r="BO48" i="44"/>
  <c r="BO29" i="44"/>
  <c r="BO37" i="44"/>
  <c r="BO297" i="44"/>
  <c r="BO76" i="44"/>
  <c r="BO104" i="44"/>
  <c r="BO108" i="44"/>
  <c r="BO225" i="44"/>
  <c r="BO301" i="44"/>
  <c r="BO132" i="44"/>
  <c r="BO129" i="44"/>
  <c r="BO275" i="44"/>
  <c r="BO84" i="44"/>
  <c r="BO112" i="44"/>
  <c r="BO221" i="44"/>
  <c r="BO153" i="44"/>
  <c r="BO102" i="44"/>
  <c r="BO68" i="44"/>
  <c r="BO217" i="44"/>
  <c r="AU233" i="44"/>
  <c r="AE233" i="44"/>
  <c r="AE181" i="44"/>
  <c r="AU181" i="44"/>
  <c r="BN181" i="44" s="1"/>
  <c r="AE21" i="44"/>
  <c r="AU21" i="44"/>
  <c r="BN21" i="44" s="1"/>
  <c r="AE72" i="44"/>
  <c r="AU72" i="44"/>
  <c r="BN72" i="44" s="1"/>
  <c r="AU25" i="44"/>
  <c r="BN25" i="44" s="1"/>
  <c r="AE25" i="44"/>
  <c r="AU231" i="44"/>
  <c r="AE231" i="44"/>
  <c r="AE104" i="44"/>
  <c r="AU104" i="44"/>
  <c r="BN104" i="44" s="1"/>
  <c r="AU33" i="44"/>
  <c r="BN33" i="44" s="1"/>
  <c r="AE33" i="44"/>
  <c r="AU273" i="44"/>
  <c r="BN273" i="44" s="1"/>
  <c r="AE273" i="44"/>
  <c r="AE108" i="44"/>
  <c r="AU108" i="44"/>
  <c r="BN108" i="44" s="1"/>
  <c r="AE237" i="44"/>
  <c r="AU237" i="44"/>
  <c r="BN237" i="44" s="1"/>
  <c r="AE124" i="44"/>
  <c r="AU124" i="44"/>
  <c r="BN124" i="44" s="1"/>
  <c r="AE56" i="44"/>
  <c r="AU56" i="44"/>
  <c r="BN56" i="44" s="1"/>
  <c r="AE301" i="44"/>
  <c r="AU301" i="44"/>
  <c r="BN301" i="44" s="1"/>
  <c r="AE132" i="44"/>
  <c r="AU132" i="44"/>
  <c r="BN132" i="44" s="1"/>
  <c r="AU129" i="44"/>
  <c r="BN129" i="44" s="1"/>
  <c r="AE129" i="44"/>
  <c r="AE48" i="44"/>
  <c r="AU48" i="44"/>
  <c r="BN48" i="44" s="1"/>
  <c r="AE275" i="44"/>
  <c r="AU275" i="44"/>
  <c r="BN275" i="44" s="1"/>
  <c r="AE29" i="44"/>
  <c r="AU29" i="44"/>
  <c r="BN29" i="44" s="1"/>
  <c r="AU185" i="44"/>
  <c r="BN185" i="44" s="1"/>
  <c r="AE185" i="44"/>
  <c r="AE84" i="44"/>
  <c r="AU84" i="44"/>
  <c r="BN84" i="44" s="1"/>
  <c r="AE37" i="44"/>
  <c r="AU37" i="44"/>
  <c r="BN37" i="44" s="1"/>
  <c r="AU297" i="44"/>
  <c r="BN297" i="44" s="1"/>
  <c r="AE297" i="44"/>
  <c r="AU223" i="44"/>
  <c r="BN223" i="44" s="1"/>
  <c r="AE223" i="44"/>
  <c r="AU17" i="44"/>
  <c r="BN17" i="44" s="1"/>
  <c r="AE17" i="44"/>
  <c r="AU145" i="44"/>
  <c r="BN145" i="44" s="1"/>
  <c r="AE145" i="44"/>
  <c r="AU225" i="44"/>
  <c r="BN225" i="44" s="1"/>
  <c r="AE225" i="44"/>
  <c r="AE92" i="44"/>
  <c r="AU92" i="44"/>
  <c r="BN92" i="44" s="1"/>
  <c r="AE112" i="44"/>
  <c r="AU112" i="44"/>
  <c r="BN112" i="44" s="1"/>
  <c r="AU305" i="44"/>
  <c r="BN305" i="44" s="1"/>
  <c r="AE305" i="44"/>
  <c r="AE116" i="44"/>
  <c r="AU116" i="44"/>
  <c r="BN116" i="44" s="1"/>
  <c r="AU111" i="44"/>
  <c r="BN111" i="44" s="1"/>
  <c r="AE111" i="44"/>
  <c r="AE221" i="44"/>
  <c r="AU221" i="44"/>
  <c r="BN221" i="44" s="1"/>
  <c r="AU153" i="44"/>
  <c r="BN153" i="44" s="1"/>
  <c r="AE153" i="44"/>
  <c r="AE52" i="44"/>
  <c r="AU52" i="44"/>
  <c r="BN52" i="44" s="1"/>
  <c r="AU41" i="44"/>
  <c r="BN41" i="44" s="1"/>
  <c r="AE41" i="44"/>
  <c r="AE88" i="44"/>
  <c r="AU88" i="44"/>
  <c r="BN88" i="44" s="1"/>
  <c r="AE102" i="44"/>
  <c r="AU102" i="44"/>
  <c r="BN102" i="44" s="1"/>
  <c r="AE60" i="44"/>
  <c r="AU60" i="44"/>
  <c r="BN60" i="44" s="1"/>
  <c r="AE76" i="44"/>
  <c r="AU76" i="44"/>
  <c r="BN76" i="44" s="1"/>
  <c r="AE64" i="44"/>
  <c r="AU64" i="44"/>
  <c r="BN64" i="44" s="1"/>
  <c r="AE80" i="44"/>
  <c r="AU80" i="44"/>
  <c r="BN80" i="44" s="1"/>
  <c r="AE120" i="44"/>
  <c r="AU120" i="44"/>
  <c r="BN120" i="44" s="1"/>
  <c r="AE68" i="44"/>
  <c r="AU68" i="44"/>
  <c r="BN68" i="44" s="1"/>
  <c r="AU217" i="44"/>
  <c r="AE217" i="44"/>
  <c r="AE100" i="44"/>
  <c r="AU100" i="44"/>
  <c r="BN100" i="44" s="1"/>
  <c r="BN231" i="44"/>
  <c r="BN233" i="44"/>
  <c r="BN217" i="44"/>
  <c r="G162" i="66"/>
  <c r="F165" i="66"/>
  <c r="G164" i="66"/>
  <c r="R164" i="66" s="1"/>
  <c r="G161" i="66"/>
  <c r="F166" i="66"/>
  <c r="G167" i="66"/>
  <c r="G179" i="66" s="1"/>
  <c r="R179" i="66" s="1"/>
  <c r="AD223" i="44"/>
  <c r="AT223" i="44"/>
  <c r="BM223" i="44" s="1"/>
  <c r="AD17" i="44"/>
  <c r="AT17" i="44"/>
  <c r="BM17" i="44" s="1"/>
  <c r="AD68" i="44"/>
  <c r="AT68" i="44"/>
  <c r="BM68" i="44" s="1"/>
  <c r="AD217" i="44"/>
  <c r="AT217" i="44"/>
  <c r="BM217" i="44" s="1"/>
  <c r="AD100" i="44"/>
  <c r="AT100" i="44"/>
  <c r="BM100" i="44" s="1"/>
  <c r="AD108" i="44"/>
  <c r="AT108" i="44"/>
  <c r="BM108" i="44" s="1"/>
  <c r="AD132" i="44"/>
  <c r="AT132" i="44"/>
  <c r="BM132" i="44" s="1"/>
  <c r="AD129" i="44"/>
  <c r="AT129" i="44"/>
  <c r="BM129" i="44" s="1"/>
  <c r="AD48" i="44"/>
  <c r="AT48" i="44"/>
  <c r="BM48" i="44" s="1"/>
  <c r="AD275" i="44"/>
  <c r="AT275" i="44"/>
  <c r="BM275" i="44" s="1"/>
  <c r="AD29" i="44"/>
  <c r="AT29" i="44"/>
  <c r="BM29" i="44" s="1"/>
  <c r="AD185" i="44"/>
  <c r="AT185" i="44"/>
  <c r="BM185" i="44" s="1"/>
  <c r="AD84" i="44"/>
  <c r="AT84" i="44"/>
  <c r="BM84" i="44" s="1"/>
  <c r="AD37" i="44"/>
  <c r="AT37" i="44"/>
  <c r="BM37" i="44" s="1"/>
  <c r="AD297" i="44"/>
  <c r="AT297" i="44"/>
  <c r="BM297" i="44" s="1"/>
  <c r="AD225" i="44"/>
  <c r="AT225" i="44"/>
  <c r="BM225" i="44" s="1"/>
  <c r="AD124" i="44"/>
  <c r="AT124" i="44"/>
  <c r="BM124" i="44" s="1"/>
  <c r="AD56" i="44"/>
  <c r="AT56" i="44"/>
  <c r="BM56" i="44" s="1"/>
  <c r="AD301" i="44"/>
  <c r="AT301" i="44"/>
  <c r="BM301" i="44" s="1"/>
  <c r="AD112" i="44"/>
  <c r="AT112" i="44"/>
  <c r="BM112" i="44" s="1"/>
  <c r="AD72" i="44"/>
  <c r="AT72" i="44"/>
  <c r="BM72" i="44" s="1"/>
  <c r="AD231" i="44"/>
  <c r="AT231" i="44"/>
  <c r="BM231" i="44" s="1"/>
  <c r="AD104" i="44"/>
  <c r="AT104" i="44"/>
  <c r="BM104" i="44" s="1"/>
  <c r="AD80" i="44"/>
  <c r="AT80" i="44"/>
  <c r="BM80" i="44" s="1"/>
  <c r="AD305" i="44"/>
  <c r="AT305" i="44"/>
  <c r="BM305" i="44" s="1"/>
  <c r="AD116" i="44"/>
  <c r="AT116" i="44"/>
  <c r="BM116" i="44" s="1"/>
  <c r="AD111" i="44"/>
  <c r="AT111" i="44"/>
  <c r="BM111" i="44" s="1"/>
  <c r="AD221" i="44"/>
  <c r="AT221" i="44"/>
  <c r="BM221" i="44" s="1"/>
  <c r="AD21" i="44"/>
  <c r="AT21" i="44"/>
  <c r="BM21" i="44" s="1"/>
  <c r="AD25" i="44"/>
  <c r="AT25" i="44"/>
  <c r="BM25" i="44" s="1"/>
  <c r="AD33" i="44"/>
  <c r="AT33" i="44"/>
  <c r="BM33" i="44" s="1"/>
  <c r="AD273" i="44"/>
  <c r="AT273" i="44"/>
  <c r="BM273" i="44" s="1"/>
  <c r="AD237" i="44"/>
  <c r="AT237" i="44"/>
  <c r="BM237" i="44" s="1"/>
  <c r="AD145" i="44"/>
  <c r="AT145" i="44"/>
  <c r="BM145" i="44" s="1"/>
  <c r="AD92" i="44"/>
  <c r="AT92" i="44"/>
  <c r="BM92" i="44" s="1"/>
  <c r="AD233" i="44"/>
  <c r="AT233" i="44"/>
  <c r="BM233" i="44" s="1"/>
  <c r="AD153" i="44"/>
  <c r="AT153" i="44"/>
  <c r="BM153" i="44" s="1"/>
  <c r="AD52" i="44"/>
  <c r="AT52" i="44"/>
  <c r="BM52" i="44" s="1"/>
  <c r="AD41" i="44"/>
  <c r="AT41" i="44"/>
  <c r="BM41" i="44" s="1"/>
  <c r="AD88" i="44"/>
  <c r="AT88" i="44"/>
  <c r="BM88" i="44" s="1"/>
  <c r="AD102" i="44"/>
  <c r="AT102" i="44"/>
  <c r="BM102" i="44" s="1"/>
  <c r="AD120" i="44"/>
  <c r="AT120" i="44"/>
  <c r="BM120" i="44" s="1"/>
  <c r="AD60" i="44"/>
  <c r="AT60" i="44"/>
  <c r="BM60" i="44" s="1"/>
  <c r="AD181" i="44"/>
  <c r="AT181" i="44"/>
  <c r="BM181" i="44" s="1"/>
  <c r="AD76" i="44"/>
  <c r="AT76" i="44"/>
  <c r="BM76" i="44" s="1"/>
  <c r="AD64" i="44"/>
  <c r="AT64" i="44"/>
  <c r="BM64" i="44" s="1"/>
  <c r="AC76" i="44"/>
  <c r="AS76" i="44"/>
  <c r="BL76" i="44" s="1"/>
  <c r="AC301" i="44"/>
  <c r="AS301" i="44"/>
  <c r="BL301" i="44" s="1"/>
  <c r="AC132" i="44"/>
  <c r="AS132" i="44"/>
  <c r="BL132" i="44" s="1"/>
  <c r="AC29" i="44"/>
  <c r="AS29" i="44"/>
  <c r="BL29" i="44" s="1"/>
  <c r="AS80" i="44"/>
  <c r="BL80" i="44" s="1"/>
  <c r="AC80" i="44"/>
  <c r="AC233" i="44"/>
  <c r="AS233" i="44"/>
  <c r="BL233" i="44" s="1"/>
  <c r="AC153" i="44"/>
  <c r="AS153" i="44"/>
  <c r="BL153" i="44" s="1"/>
  <c r="AC52" i="44"/>
  <c r="AS52" i="44"/>
  <c r="BL52" i="44" s="1"/>
  <c r="AC41" i="44"/>
  <c r="AS41" i="44"/>
  <c r="BL41" i="44" s="1"/>
  <c r="AS88" i="44"/>
  <c r="BL88" i="44" s="1"/>
  <c r="AC88" i="44"/>
  <c r="AS102" i="44"/>
  <c r="BL102" i="44" s="1"/>
  <c r="AC102" i="44"/>
  <c r="AC181" i="44"/>
  <c r="AS181" i="44"/>
  <c r="BL181" i="44" s="1"/>
  <c r="AS231" i="44"/>
  <c r="BL231" i="44" s="1"/>
  <c r="AC231" i="44"/>
  <c r="AS104" i="44"/>
  <c r="BL104" i="44" s="1"/>
  <c r="AC104" i="44"/>
  <c r="AC33" i="44"/>
  <c r="AS33" i="44"/>
  <c r="BL33" i="44" s="1"/>
  <c r="AC273" i="44"/>
  <c r="AS273" i="44"/>
  <c r="BL273" i="44" s="1"/>
  <c r="AC108" i="44"/>
  <c r="AS108" i="44"/>
  <c r="BL108" i="44" s="1"/>
  <c r="AC237" i="44"/>
  <c r="AS237" i="44"/>
  <c r="BL237" i="44" s="1"/>
  <c r="AS64" i="44"/>
  <c r="BL64" i="44" s="1"/>
  <c r="AC64" i="44"/>
  <c r="AC217" i="44"/>
  <c r="AS217" i="44"/>
  <c r="BL217" i="44" s="1"/>
  <c r="AC100" i="44"/>
  <c r="AS100" i="44"/>
  <c r="BL100" i="44" s="1"/>
  <c r="AC21" i="44"/>
  <c r="AS21" i="44"/>
  <c r="BL21" i="44" s="1"/>
  <c r="AS72" i="44"/>
  <c r="BL72" i="44" s="1"/>
  <c r="AC72" i="44"/>
  <c r="AC25" i="44"/>
  <c r="AS25" i="44"/>
  <c r="BL25" i="44" s="1"/>
  <c r="AS223" i="44"/>
  <c r="BL223" i="44" s="1"/>
  <c r="AC223" i="44"/>
  <c r="AC17" i="44"/>
  <c r="AS17" i="44"/>
  <c r="BL17" i="44" s="1"/>
  <c r="AC145" i="44"/>
  <c r="AS145" i="44"/>
  <c r="BL145" i="44" s="1"/>
  <c r="AC225" i="44"/>
  <c r="AS225" i="44"/>
  <c r="BL225" i="44" s="1"/>
  <c r="AC92" i="44"/>
  <c r="AS92" i="44"/>
  <c r="BL92" i="44" s="1"/>
  <c r="AS120" i="44"/>
  <c r="BL120" i="44" s="1"/>
  <c r="AC120" i="44"/>
  <c r="AC60" i="44"/>
  <c r="AS60" i="44"/>
  <c r="BL60" i="44" s="1"/>
  <c r="AC68" i="44"/>
  <c r="AS68" i="44"/>
  <c r="BL68" i="44" s="1"/>
  <c r="AC124" i="44"/>
  <c r="AS124" i="44"/>
  <c r="BL124" i="44" s="1"/>
  <c r="AS56" i="44"/>
  <c r="BL56" i="44" s="1"/>
  <c r="AC56" i="44"/>
  <c r="AS48" i="44"/>
  <c r="BL48" i="44" s="1"/>
  <c r="AC48" i="44"/>
  <c r="AC84" i="44"/>
  <c r="AS84" i="44"/>
  <c r="BL84" i="44" s="1"/>
  <c r="AC37" i="44"/>
  <c r="AS37" i="44"/>
  <c r="BL37" i="44" s="1"/>
  <c r="AC297" i="44"/>
  <c r="AS297" i="44"/>
  <c r="BL297" i="44" s="1"/>
  <c r="AS112" i="44"/>
  <c r="BL112" i="44" s="1"/>
  <c r="AC112" i="44"/>
  <c r="AC129" i="44"/>
  <c r="AS129" i="44"/>
  <c r="BL129" i="44" s="1"/>
  <c r="AS275" i="44"/>
  <c r="BL275" i="44" s="1"/>
  <c r="AC275" i="44"/>
  <c r="AC185" i="44"/>
  <c r="AS185" i="44"/>
  <c r="BL185" i="44" s="1"/>
  <c r="AC305" i="44"/>
  <c r="AS305" i="44"/>
  <c r="BL305" i="44" s="1"/>
  <c r="AC116" i="44"/>
  <c r="AS116" i="44"/>
  <c r="BL116" i="44" s="1"/>
  <c r="AS111" i="44"/>
  <c r="BL111" i="44" s="1"/>
  <c r="AC111" i="44"/>
  <c r="AC221" i="44"/>
  <c r="AS221" i="44"/>
  <c r="BL221" i="44" s="1"/>
  <c r="BL10" i="64"/>
  <c r="Y9" i="64"/>
  <c r="N30" i="66"/>
  <c r="BJ10" i="64"/>
  <c r="BO10" i="64"/>
  <c r="BN10" i="64"/>
  <c r="BM10" i="64"/>
  <c r="BK10" i="64"/>
  <c r="M96" i="44"/>
  <c r="N96" i="44" s="1"/>
  <c r="O96" i="44" s="1"/>
  <c r="P96" i="44" s="1"/>
  <c r="AA15" i="44"/>
  <c r="AQ15" i="44"/>
  <c r="BJ15" i="44" s="1"/>
  <c r="M214" i="44"/>
  <c r="N214" i="44" s="1"/>
  <c r="O214" i="44" s="1"/>
  <c r="P214" i="44" s="1"/>
  <c r="AY9" i="64"/>
  <c r="BS9" i="64" s="1"/>
  <c r="W49" i="66" s="1"/>
  <c r="AZ9" i="64"/>
  <c r="BC9" i="64"/>
  <c r="AN9" i="64"/>
  <c r="AT9" i="64"/>
  <c r="N34" i="66"/>
  <c r="N43" i="66"/>
  <c r="AQ9" i="64"/>
  <c r="BO19" i="64"/>
  <c r="O166" i="66"/>
  <c r="D178" i="66"/>
  <c r="O178" i="66" s="1"/>
  <c r="N33" i="66"/>
  <c r="N59" i="66"/>
  <c r="BM15" i="64"/>
  <c r="N79" i="66"/>
  <c r="BN18" i="64"/>
  <c r="BK16" i="64"/>
  <c r="BK17" i="64"/>
  <c r="AK9" i="64"/>
  <c r="C85" i="66"/>
  <c r="N78" i="66"/>
  <c r="N35" i="66"/>
  <c r="BL20" i="64"/>
  <c r="N54" i="66"/>
  <c r="N57" i="66"/>
  <c r="BM18" i="64"/>
  <c r="BM19" i="64"/>
  <c r="N47" i="66"/>
  <c r="N80" i="66"/>
  <c r="D179" i="66"/>
  <c r="O179" i="66" s="1"/>
  <c r="O167" i="66"/>
  <c r="AV9" i="64"/>
  <c r="AB9" i="64"/>
  <c r="AE9" i="64"/>
  <c r="D175" i="66"/>
  <c r="O175" i="66" s="1"/>
  <c r="O163" i="66"/>
  <c r="N31" i="66"/>
  <c r="BM21" i="64"/>
  <c r="BK20" i="64"/>
  <c r="N81" i="66"/>
  <c r="BK21" i="64"/>
  <c r="BN19" i="64"/>
  <c r="BN20" i="64"/>
  <c r="N46" i="66"/>
  <c r="N48" i="66"/>
  <c r="D173" i="66"/>
  <c r="O173" i="66" s="1"/>
  <c r="O161" i="66"/>
  <c r="N84" i="66"/>
  <c r="BO15" i="64"/>
  <c r="BL21" i="64"/>
  <c r="BL15" i="64"/>
  <c r="BN16" i="64"/>
  <c r="BO20" i="64"/>
  <c r="BO21" i="64"/>
  <c r="BB9" i="64"/>
  <c r="D176" i="66"/>
  <c r="O176" i="66" s="1"/>
  <c r="O164" i="66"/>
  <c r="D177" i="66"/>
  <c r="O177" i="66" s="1"/>
  <c r="O165" i="66"/>
  <c r="BK18" i="64"/>
  <c r="BN15" i="64"/>
  <c r="BM16" i="64"/>
  <c r="BK15" i="64"/>
  <c r="N55" i="66"/>
  <c r="N56" i="66"/>
  <c r="N45" i="66"/>
  <c r="N44" i="66"/>
  <c r="BO17" i="64"/>
  <c r="BL18" i="64"/>
  <c r="C49" i="66"/>
  <c r="N42" i="66"/>
  <c r="P167" i="66"/>
  <c r="AH9" i="64"/>
  <c r="O162" i="66"/>
  <c r="D174" i="66"/>
  <c r="O174" i="66" s="1"/>
  <c r="N36" i="66"/>
  <c r="BN21" i="64"/>
  <c r="BL19" i="64"/>
  <c r="BO16" i="64"/>
  <c r="BN17" i="64"/>
  <c r="BL16" i="64"/>
  <c r="N82" i="66"/>
  <c r="N83" i="66"/>
  <c r="BK19" i="64"/>
  <c r="BL17" i="64"/>
  <c r="AS9" i="64"/>
  <c r="BQ9" i="64" s="1"/>
  <c r="AW9" i="64"/>
  <c r="BF9" i="64"/>
  <c r="N32" i="66"/>
  <c r="N58" i="66"/>
  <c r="BM20" i="64"/>
  <c r="N60" i="66"/>
  <c r="BO18" i="64"/>
  <c r="BM17" i="64"/>
  <c r="P166" i="66"/>
  <c r="P165" i="66"/>
  <c r="F179" i="66"/>
  <c r="Q179" i="66" s="1"/>
  <c r="Q167" i="66"/>
  <c r="F173" i="66"/>
  <c r="Q173" i="66" s="1"/>
  <c r="Q161" i="66"/>
  <c r="F176" i="66"/>
  <c r="Q176" i="66" s="1"/>
  <c r="Q164" i="66"/>
  <c r="E174" i="66"/>
  <c r="P174" i="66" s="1"/>
  <c r="P162" i="66"/>
  <c r="F174" i="66"/>
  <c r="Q174" i="66" s="1"/>
  <c r="Q162" i="66"/>
  <c r="E173" i="66"/>
  <c r="P173" i="66" s="1"/>
  <c r="P161" i="66"/>
  <c r="E175" i="66"/>
  <c r="P175" i="66" s="1"/>
  <c r="P163" i="66"/>
  <c r="E176" i="66"/>
  <c r="P176" i="66" s="1"/>
  <c r="P164" i="66"/>
  <c r="Z13" i="44"/>
  <c r="M121" i="44"/>
  <c r="N121" i="44" s="1"/>
  <c r="O121" i="44" s="1"/>
  <c r="P121" i="44" s="1"/>
  <c r="AA121" i="44"/>
  <c r="G163" i="66" s="1"/>
  <c r="AQ121" i="44"/>
  <c r="BJ121" i="44" s="1"/>
  <c r="AR80" i="44"/>
  <c r="BK80" i="44" s="1"/>
  <c r="AB80" i="44"/>
  <c r="AR185" i="44"/>
  <c r="BK185" i="44" s="1"/>
  <c r="AB185" i="44"/>
  <c r="AR84" i="44"/>
  <c r="BK84" i="44" s="1"/>
  <c r="AB84" i="44"/>
  <c r="AR223" i="44"/>
  <c r="BK223" i="44" s="1"/>
  <c r="AB223" i="44"/>
  <c r="AR17" i="44"/>
  <c r="BK17" i="44" s="1"/>
  <c r="AB17" i="44"/>
  <c r="AR145" i="44"/>
  <c r="BK145" i="44" s="1"/>
  <c r="AB145" i="44"/>
  <c r="AR225" i="44"/>
  <c r="BK225" i="44" s="1"/>
  <c r="AB225" i="44"/>
  <c r="M136" i="44"/>
  <c r="N136" i="44" s="1"/>
  <c r="O136" i="44" s="1"/>
  <c r="P136" i="44" s="1"/>
  <c r="AA136" i="44"/>
  <c r="AQ136" i="44"/>
  <c r="BJ136" i="44" s="1"/>
  <c r="AR108" i="44"/>
  <c r="BK108" i="44" s="1"/>
  <c r="AB108" i="44"/>
  <c r="AR217" i="44"/>
  <c r="BK217" i="44" s="1"/>
  <c r="AB217" i="44"/>
  <c r="AR116" i="44"/>
  <c r="BK116" i="44" s="1"/>
  <c r="AB116" i="44"/>
  <c r="AR29" i="44"/>
  <c r="BK29" i="44" s="1"/>
  <c r="AB29" i="44"/>
  <c r="AR37" i="44"/>
  <c r="BK37" i="44" s="1"/>
  <c r="AB37" i="44"/>
  <c r="AR92" i="44"/>
  <c r="BK92" i="44" s="1"/>
  <c r="AB92" i="44"/>
  <c r="AR120" i="44"/>
  <c r="BK120" i="44" s="1"/>
  <c r="AB120" i="44"/>
  <c r="AR60" i="44"/>
  <c r="BK60" i="44" s="1"/>
  <c r="AB60" i="44"/>
  <c r="AR181" i="44"/>
  <c r="BK181" i="44" s="1"/>
  <c r="AB181" i="44"/>
  <c r="AR111" i="44"/>
  <c r="BK111" i="44" s="1"/>
  <c r="AB111" i="44"/>
  <c r="AR221" i="44"/>
  <c r="BK221" i="44" s="1"/>
  <c r="AB221" i="44"/>
  <c r="AB214" i="44"/>
  <c r="AR112" i="44"/>
  <c r="BK112" i="44" s="1"/>
  <c r="AB112" i="44"/>
  <c r="AR297" i="44"/>
  <c r="BK297" i="44" s="1"/>
  <c r="AB297" i="44"/>
  <c r="AR104" i="44"/>
  <c r="BK104" i="44" s="1"/>
  <c r="AB104" i="44"/>
  <c r="AR237" i="44"/>
  <c r="BK237" i="44" s="1"/>
  <c r="AB237" i="44"/>
  <c r="AR68" i="44"/>
  <c r="BK68" i="44" s="1"/>
  <c r="AB68" i="44"/>
  <c r="AR100" i="44"/>
  <c r="BK100" i="44" s="1"/>
  <c r="AB100" i="44"/>
  <c r="AR233" i="44"/>
  <c r="BK233" i="44" s="1"/>
  <c r="AB233" i="44"/>
  <c r="AR25" i="44"/>
  <c r="BK25" i="44" s="1"/>
  <c r="AB25" i="44"/>
  <c r="M118" i="44"/>
  <c r="N118" i="44" s="1"/>
  <c r="O118" i="44" s="1"/>
  <c r="P118" i="44" s="1"/>
  <c r="AA118" i="44"/>
  <c r="AQ118" i="44"/>
  <c r="BJ118" i="44" s="1"/>
  <c r="M134" i="44"/>
  <c r="N134" i="44" s="1"/>
  <c r="O134" i="44" s="1"/>
  <c r="P134" i="44" s="1"/>
  <c r="AA134" i="44"/>
  <c r="AQ134" i="44"/>
  <c r="BJ134" i="44" s="1"/>
  <c r="AR21" i="44"/>
  <c r="BK21" i="44" s="1"/>
  <c r="AB21" i="44"/>
  <c r="AR72" i="44"/>
  <c r="BK72" i="44" s="1"/>
  <c r="AB72" i="44"/>
  <c r="AR231" i="44"/>
  <c r="BK231" i="44" s="1"/>
  <c r="AB231" i="44"/>
  <c r="AR76" i="44"/>
  <c r="BK76" i="44" s="1"/>
  <c r="AB76" i="44"/>
  <c r="AR64" i="44"/>
  <c r="BK64" i="44" s="1"/>
  <c r="AB64" i="44"/>
  <c r="AR153" i="44"/>
  <c r="BK153" i="44" s="1"/>
  <c r="AB153" i="44"/>
  <c r="AR52" i="44"/>
  <c r="BK52" i="44" s="1"/>
  <c r="AB52" i="44"/>
  <c r="AR41" i="44"/>
  <c r="BK41" i="44" s="1"/>
  <c r="AB41" i="44"/>
  <c r="AR88" i="44"/>
  <c r="BK88" i="44" s="1"/>
  <c r="AB88" i="44"/>
  <c r="AR102" i="44"/>
  <c r="BK102" i="44" s="1"/>
  <c r="AB102" i="44"/>
  <c r="AR33" i="44"/>
  <c r="BK33" i="44" s="1"/>
  <c r="AB33" i="44"/>
  <c r="AR273" i="44"/>
  <c r="BK273" i="44" s="1"/>
  <c r="AB273" i="44"/>
  <c r="AR305" i="44"/>
  <c r="BK305" i="44" s="1"/>
  <c r="AB305" i="44"/>
  <c r="AR124" i="44"/>
  <c r="BK124" i="44" s="1"/>
  <c r="AB124" i="44"/>
  <c r="AR56" i="44"/>
  <c r="BK56" i="44" s="1"/>
  <c r="AB56" i="44"/>
  <c r="AR301" i="44"/>
  <c r="BK301" i="44" s="1"/>
  <c r="AB301" i="44"/>
  <c r="AR132" i="44"/>
  <c r="BK132" i="44" s="1"/>
  <c r="AB132" i="44"/>
  <c r="AR129" i="44"/>
  <c r="BK129" i="44" s="1"/>
  <c r="AB129" i="44"/>
  <c r="AR48" i="44"/>
  <c r="BK48" i="44" s="1"/>
  <c r="AB48" i="44"/>
  <c r="AR275" i="44"/>
  <c r="BK275" i="44" s="1"/>
  <c r="AB275" i="44"/>
  <c r="M128" i="44"/>
  <c r="N128" i="44" s="1"/>
  <c r="O128" i="44" s="1"/>
  <c r="P128" i="44" s="1"/>
  <c r="AA128" i="44"/>
  <c r="AQ128" i="44"/>
  <c r="BJ128" i="44" s="1"/>
  <c r="BI24" i="44"/>
  <c r="BJ48" i="44"/>
  <c r="BJ33" i="44"/>
  <c r="BI16" i="44"/>
  <c r="AP13" i="44"/>
  <c r="BJ17" i="44"/>
  <c r="M286" i="44"/>
  <c r="N286" i="44" s="1"/>
  <c r="O286" i="44" s="1"/>
  <c r="P286" i="44" s="1"/>
  <c r="AQ286" i="44"/>
  <c r="BJ286" i="44" s="1"/>
  <c r="M133" i="44"/>
  <c r="N133" i="44" s="1"/>
  <c r="O133" i="44" s="1"/>
  <c r="P133" i="44" s="1"/>
  <c r="AQ133" i="44"/>
  <c r="BJ133" i="44" s="1"/>
  <c r="M203" i="44"/>
  <c r="N203" i="44" s="1"/>
  <c r="O203" i="44" s="1"/>
  <c r="P203" i="44" s="1"/>
  <c r="AQ203" i="44"/>
  <c r="BJ203" i="44" s="1"/>
  <c r="M158" i="44"/>
  <c r="N158" i="44" s="1"/>
  <c r="O158" i="44" s="1"/>
  <c r="P158" i="44" s="1"/>
  <c r="AQ158" i="44"/>
  <c r="BJ158" i="44" s="1"/>
  <c r="M276" i="44"/>
  <c r="N276" i="44" s="1"/>
  <c r="O276" i="44" s="1"/>
  <c r="P276" i="44" s="1"/>
  <c r="AQ276" i="44"/>
  <c r="BJ276" i="44" s="1"/>
  <c r="M236" i="44"/>
  <c r="N236" i="44" s="1"/>
  <c r="O236" i="44" s="1"/>
  <c r="P236" i="44" s="1"/>
  <c r="AQ236" i="44"/>
  <c r="BJ236" i="44" s="1"/>
  <c r="M281" i="44"/>
  <c r="N281" i="44" s="1"/>
  <c r="O281" i="44" s="1"/>
  <c r="P281" i="44" s="1"/>
  <c r="AQ281" i="44"/>
  <c r="BJ281" i="44" s="1"/>
  <c r="M20" i="44"/>
  <c r="N20" i="44" s="1"/>
  <c r="O20" i="44" s="1"/>
  <c r="P20" i="44" s="1"/>
  <c r="AQ20" i="44"/>
  <c r="BJ20" i="44" s="1"/>
  <c r="M206" i="44"/>
  <c r="N206" i="44" s="1"/>
  <c r="O206" i="44" s="1"/>
  <c r="P206" i="44" s="1"/>
  <c r="AQ206" i="44"/>
  <c r="BJ206" i="44" s="1"/>
  <c r="M198" i="44"/>
  <c r="N198" i="44" s="1"/>
  <c r="O198" i="44" s="1"/>
  <c r="P198" i="44" s="1"/>
  <c r="AQ198" i="44"/>
  <c r="BJ198" i="44" s="1"/>
  <c r="M79" i="44"/>
  <c r="N79" i="44" s="1"/>
  <c r="O79" i="44" s="1"/>
  <c r="P79" i="44" s="1"/>
  <c r="AQ79" i="44"/>
  <c r="BJ79" i="44" s="1"/>
  <c r="M119" i="44"/>
  <c r="N119" i="44" s="1"/>
  <c r="O119" i="44" s="1"/>
  <c r="P119" i="44" s="1"/>
  <c r="AQ119" i="44"/>
  <c r="BJ119" i="44" s="1"/>
  <c r="M235" i="44"/>
  <c r="N235" i="44" s="1"/>
  <c r="O235" i="44" s="1"/>
  <c r="P235" i="44" s="1"/>
  <c r="AQ235" i="44"/>
  <c r="BJ235" i="44" s="1"/>
  <c r="M222" i="44"/>
  <c r="N222" i="44" s="1"/>
  <c r="O222" i="44" s="1"/>
  <c r="P222" i="44" s="1"/>
  <c r="AQ222" i="44"/>
  <c r="BJ222" i="44" s="1"/>
  <c r="M218" i="44"/>
  <c r="N218" i="44" s="1"/>
  <c r="O218" i="44" s="1"/>
  <c r="P218" i="44" s="1"/>
  <c r="AQ218" i="44"/>
  <c r="BJ218" i="44" s="1"/>
  <c r="M290" i="44"/>
  <c r="N290" i="44" s="1"/>
  <c r="O290" i="44" s="1"/>
  <c r="P290" i="44" s="1"/>
  <c r="AQ290" i="44"/>
  <c r="BJ290" i="44" s="1"/>
  <c r="M44" i="44"/>
  <c r="N44" i="44" s="1"/>
  <c r="O44" i="44" s="1"/>
  <c r="P44" i="44" s="1"/>
  <c r="AQ44" i="44"/>
  <c r="BJ44" i="44" s="1"/>
  <c r="M228" i="44"/>
  <c r="N228" i="44" s="1"/>
  <c r="O228" i="44" s="1"/>
  <c r="P228" i="44" s="1"/>
  <c r="AQ228" i="44"/>
  <c r="BJ228" i="44" s="1"/>
  <c r="M59" i="44"/>
  <c r="N59" i="44" s="1"/>
  <c r="O59" i="44" s="1"/>
  <c r="P59" i="44" s="1"/>
  <c r="AQ59" i="44"/>
  <c r="BJ59" i="44" s="1"/>
  <c r="M75" i="44"/>
  <c r="N75" i="44" s="1"/>
  <c r="O75" i="44" s="1"/>
  <c r="P75" i="44" s="1"/>
  <c r="AQ75" i="44"/>
  <c r="BJ75" i="44" s="1"/>
  <c r="M239" i="44"/>
  <c r="N239" i="44" s="1"/>
  <c r="O239" i="44" s="1"/>
  <c r="P239" i="44" s="1"/>
  <c r="AQ239" i="44"/>
  <c r="BJ239" i="44" s="1"/>
  <c r="M184" i="44"/>
  <c r="N184" i="44" s="1"/>
  <c r="O184" i="44" s="1"/>
  <c r="P184" i="44" s="1"/>
  <c r="AQ184" i="44"/>
  <c r="BJ184" i="44" s="1"/>
  <c r="M39" i="44"/>
  <c r="N39" i="44" s="1"/>
  <c r="O39" i="44" s="1"/>
  <c r="P39" i="44" s="1"/>
  <c r="AQ39" i="44"/>
  <c r="BJ39" i="44" s="1"/>
  <c r="M169" i="44"/>
  <c r="N169" i="44" s="1"/>
  <c r="O169" i="44" s="1"/>
  <c r="P169" i="44" s="1"/>
  <c r="AQ169" i="44"/>
  <c r="BJ169" i="44" s="1"/>
  <c r="M110" i="44"/>
  <c r="N110" i="44" s="1"/>
  <c r="O110" i="44" s="1"/>
  <c r="P110" i="44" s="1"/>
  <c r="AQ110" i="44"/>
  <c r="BJ110" i="44" s="1"/>
  <c r="M81" i="44"/>
  <c r="N81" i="44" s="1"/>
  <c r="O81" i="44" s="1"/>
  <c r="P81" i="44" s="1"/>
  <c r="AQ81" i="44"/>
  <c r="BJ81" i="44" s="1"/>
  <c r="M243" i="44"/>
  <c r="N243" i="44" s="1"/>
  <c r="O243" i="44" s="1"/>
  <c r="P243" i="44" s="1"/>
  <c r="AQ243" i="44"/>
  <c r="BJ243" i="44" s="1"/>
  <c r="M107" i="44"/>
  <c r="N107" i="44" s="1"/>
  <c r="O107" i="44" s="1"/>
  <c r="P107" i="44" s="1"/>
  <c r="AQ107" i="44"/>
  <c r="BJ107" i="44" s="1"/>
  <c r="M196" i="44"/>
  <c r="N196" i="44" s="1"/>
  <c r="O196" i="44" s="1"/>
  <c r="P196" i="44" s="1"/>
  <c r="AQ196" i="44"/>
  <c r="BJ196" i="44" s="1"/>
  <c r="M170" i="44"/>
  <c r="N170" i="44" s="1"/>
  <c r="O170" i="44" s="1"/>
  <c r="P170" i="44" s="1"/>
  <c r="AQ170" i="44"/>
  <c r="BJ170" i="44" s="1"/>
  <c r="M180" i="44"/>
  <c r="N180" i="44" s="1"/>
  <c r="O180" i="44" s="1"/>
  <c r="P180" i="44" s="1"/>
  <c r="AQ180" i="44"/>
  <c r="BJ180" i="44" s="1"/>
  <c r="M299" i="44"/>
  <c r="N299" i="44" s="1"/>
  <c r="O299" i="44" s="1"/>
  <c r="P299" i="44" s="1"/>
  <c r="AQ299" i="44"/>
  <c r="BJ299" i="44" s="1"/>
  <c r="M35" i="44"/>
  <c r="N35" i="44" s="1"/>
  <c r="O35" i="44" s="1"/>
  <c r="P35" i="44" s="1"/>
  <c r="AQ35" i="44"/>
  <c r="BJ35" i="44" s="1"/>
  <c r="M165" i="44"/>
  <c r="N165" i="44" s="1"/>
  <c r="O165" i="44" s="1"/>
  <c r="P165" i="44" s="1"/>
  <c r="AQ165" i="44"/>
  <c r="BJ165" i="44" s="1"/>
  <c r="M51" i="44"/>
  <c r="N51" i="44" s="1"/>
  <c r="O51" i="44" s="1"/>
  <c r="P51" i="44" s="1"/>
  <c r="AQ51" i="44"/>
  <c r="BJ51" i="44" s="1"/>
  <c r="M293" i="44"/>
  <c r="N293" i="44" s="1"/>
  <c r="O293" i="44" s="1"/>
  <c r="P293" i="44" s="1"/>
  <c r="AQ293" i="44"/>
  <c r="BJ293" i="44" s="1"/>
  <c r="M250" i="44"/>
  <c r="N250" i="44" s="1"/>
  <c r="O250" i="44" s="1"/>
  <c r="P250" i="44" s="1"/>
  <c r="AQ250" i="44"/>
  <c r="BJ250" i="44" s="1"/>
  <c r="M229" i="44"/>
  <c r="N229" i="44" s="1"/>
  <c r="O229" i="44" s="1"/>
  <c r="P229" i="44" s="1"/>
  <c r="AQ229" i="44"/>
  <c r="BJ229" i="44" s="1"/>
  <c r="M294" i="44"/>
  <c r="N294" i="44" s="1"/>
  <c r="O294" i="44" s="1"/>
  <c r="P294" i="44" s="1"/>
  <c r="AQ294" i="44"/>
  <c r="BJ294" i="44" s="1"/>
  <c r="M85" i="44"/>
  <c r="N85" i="44" s="1"/>
  <c r="O85" i="44" s="1"/>
  <c r="P85" i="44" s="1"/>
  <c r="AQ85" i="44"/>
  <c r="BJ85" i="44" s="1"/>
  <c r="M159" i="44"/>
  <c r="N159" i="44" s="1"/>
  <c r="O159" i="44" s="1"/>
  <c r="P159" i="44" s="1"/>
  <c r="AQ159" i="44"/>
  <c r="BJ159" i="44" s="1"/>
  <c r="M241" i="44"/>
  <c r="N241" i="44" s="1"/>
  <c r="O241" i="44" s="1"/>
  <c r="P241" i="44" s="1"/>
  <c r="AQ241" i="44"/>
  <c r="BJ241" i="44" s="1"/>
  <c r="M32" i="44"/>
  <c r="N32" i="44" s="1"/>
  <c r="O32" i="44" s="1"/>
  <c r="P32" i="44" s="1"/>
  <c r="AQ32" i="44"/>
  <c r="BJ32" i="44" s="1"/>
  <c r="M163" i="44"/>
  <c r="N163" i="44" s="1"/>
  <c r="O163" i="44" s="1"/>
  <c r="P163" i="44" s="1"/>
  <c r="AQ163" i="44"/>
  <c r="BJ163" i="44" s="1"/>
  <c r="AQ82" i="44"/>
  <c r="BJ82" i="44" s="1"/>
  <c r="M82" i="44"/>
  <c r="N82" i="44" s="1"/>
  <c r="O82" i="44" s="1"/>
  <c r="P82" i="44" s="1"/>
  <c r="M140" i="44"/>
  <c r="N140" i="44" s="1"/>
  <c r="O140" i="44" s="1"/>
  <c r="P140" i="44" s="1"/>
  <c r="AQ140" i="44"/>
  <c r="BJ140" i="44" s="1"/>
  <c r="M284" i="44"/>
  <c r="N284" i="44" s="1"/>
  <c r="O284" i="44" s="1"/>
  <c r="P284" i="44" s="1"/>
  <c r="AQ284" i="44"/>
  <c r="BJ284" i="44" s="1"/>
  <c r="M240" i="44"/>
  <c r="N240" i="44" s="1"/>
  <c r="O240" i="44" s="1"/>
  <c r="P240" i="44" s="1"/>
  <c r="AQ240" i="44"/>
  <c r="BJ240" i="44" s="1"/>
  <c r="M285" i="44"/>
  <c r="N285" i="44" s="1"/>
  <c r="O285" i="44" s="1"/>
  <c r="P285" i="44" s="1"/>
  <c r="AQ285" i="44"/>
  <c r="BJ285" i="44" s="1"/>
  <c r="M212" i="44"/>
  <c r="N212" i="44" s="1"/>
  <c r="O212" i="44" s="1"/>
  <c r="P212" i="44" s="1"/>
  <c r="AQ212" i="44"/>
  <c r="BJ212" i="44" s="1"/>
  <c r="AQ90" i="44"/>
  <c r="BJ90" i="44" s="1"/>
  <c r="M90" i="44"/>
  <c r="N90" i="44" s="1"/>
  <c r="O90" i="44" s="1"/>
  <c r="P90" i="44" s="1"/>
  <c r="M183" i="44"/>
  <c r="N183" i="44" s="1"/>
  <c r="O183" i="44" s="1"/>
  <c r="P183" i="44" s="1"/>
  <c r="AQ183" i="44"/>
  <c r="BJ183" i="44" s="1"/>
  <c r="M194" i="44"/>
  <c r="N194" i="44" s="1"/>
  <c r="O194" i="44" s="1"/>
  <c r="P194" i="44" s="1"/>
  <c r="AQ194" i="44"/>
  <c r="BJ194" i="44" s="1"/>
  <c r="M22" i="44"/>
  <c r="N22" i="44" s="1"/>
  <c r="O22" i="44" s="1"/>
  <c r="P22" i="44" s="1"/>
  <c r="AQ22" i="44"/>
  <c r="BJ22" i="44" s="1"/>
  <c r="M272" i="44"/>
  <c r="N272" i="44" s="1"/>
  <c r="O272" i="44" s="1"/>
  <c r="P272" i="44" s="1"/>
  <c r="AQ272" i="44"/>
  <c r="BJ272" i="44" s="1"/>
  <c r="M54" i="44"/>
  <c r="N54" i="44" s="1"/>
  <c r="O54" i="44" s="1"/>
  <c r="P54" i="44" s="1"/>
  <c r="AQ54" i="44"/>
  <c r="BJ54" i="44" s="1"/>
  <c r="M193" i="44"/>
  <c r="N193" i="44" s="1"/>
  <c r="O193" i="44" s="1"/>
  <c r="P193" i="44" s="1"/>
  <c r="AQ193" i="44"/>
  <c r="BJ193" i="44" s="1"/>
  <c r="M167" i="44"/>
  <c r="N167" i="44" s="1"/>
  <c r="O167" i="44" s="1"/>
  <c r="P167" i="44" s="1"/>
  <c r="AQ167" i="44"/>
  <c r="BJ167" i="44" s="1"/>
  <c r="M93" i="44"/>
  <c r="N93" i="44" s="1"/>
  <c r="O93" i="44" s="1"/>
  <c r="P93" i="44" s="1"/>
  <c r="AQ93" i="44"/>
  <c r="BJ93" i="44" s="1"/>
  <c r="M259" i="44"/>
  <c r="N259" i="44" s="1"/>
  <c r="O259" i="44" s="1"/>
  <c r="P259" i="44" s="1"/>
  <c r="AQ259" i="44"/>
  <c r="BJ259" i="44" s="1"/>
  <c r="M144" i="44"/>
  <c r="N144" i="44" s="1"/>
  <c r="O144" i="44" s="1"/>
  <c r="P144" i="44" s="1"/>
  <c r="AQ144" i="44"/>
  <c r="BJ144" i="44" s="1"/>
  <c r="M192" i="44"/>
  <c r="N192" i="44" s="1"/>
  <c r="O192" i="44" s="1"/>
  <c r="P192" i="44" s="1"/>
  <c r="AQ192" i="44"/>
  <c r="BJ192" i="44" s="1"/>
  <c r="M156" i="44"/>
  <c r="N156" i="44" s="1"/>
  <c r="O156" i="44" s="1"/>
  <c r="P156" i="44" s="1"/>
  <c r="AQ156" i="44"/>
  <c r="BJ156" i="44" s="1"/>
  <c r="M292" i="44"/>
  <c r="N292" i="44" s="1"/>
  <c r="O292" i="44" s="1"/>
  <c r="P292" i="44" s="1"/>
  <c r="AQ292" i="44"/>
  <c r="BJ292" i="44" s="1"/>
  <c r="M74" i="44"/>
  <c r="N74" i="44" s="1"/>
  <c r="O74" i="44" s="1"/>
  <c r="P74" i="44" s="1"/>
  <c r="AQ74" i="44"/>
  <c r="BJ74" i="44" s="1"/>
  <c r="M257" i="44"/>
  <c r="N257" i="44" s="1"/>
  <c r="O257" i="44" s="1"/>
  <c r="P257" i="44" s="1"/>
  <c r="AQ257" i="44"/>
  <c r="BJ257" i="44" s="1"/>
  <c r="M168" i="44"/>
  <c r="N168" i="44" s="1"/>
  <c r="O168" i="44" s="1"/>
  <c r="P168" i="44" s="1"/>
  <c r="AQ168" i="44"/>
  <c r="BJ168" i="44" s="1"/>
  <c r="M143" i="44"/>
  <c r="N143" i="44" s="1"/>
  <c r="O143" i="44" s="1"/>
  <c r="P143" i="44" s="1"/>
  <c r="AQ143" i="44"/>
  <c r="BJ143" i="44" s="1"/>
  <c r="M115" i="44"/>
  <c r="N115" i="44" s="1"/>
  <c r="O115" i="44" s="1"/>
  <c r="P115" i="44" s="1"/>
  <c r="AQ115" i="44"/>
  <c r="BJ115" i="44" s="1"/>
  <c r="M245" i="44"/>
  <c r="N245" i="44" s="1"/>
  <c r="O245" i="44" s="1"/>
  <c r="P245" i="44" s="1"/>
  <c r="AQ245" i="44"/>
  <c r="BJ245" i="44" s="1"/>
  <c r="M109" i="44"/>
  <c r="N109" i="44" s="1"/>
  <c r="O109" i="44" s="1"/>
  <c r="P109" i="44" s="1"/>
  <c r="AQ109" i="44"/>
  <c r="BJ109" i="44" s="1"/>
  <c r="M190" i="44"/>
  <c r="N190" i="44" s="1"/>
  <c r="O190" i="44" s="1"/>
  <c r="P190" i="44" s="1"/>
  <c r="AQ190" i="44"/>
  <c r="BJ190" i="44" s="1"/>
  <c r="M31" i="44"/>
  <c r="N31" i="44" s="1"/>
  <c r="O31" i="44" s="1"/>
  <c r="P31" i="44" s="1"/>
  <c r="AQ31" i="44"/>
  <c r="BJ31" i="44" s="1"/>
  <c r="M47" i="44"/>
  <c r="N47" i="44" s="1"/>
  <c r="O47" i="44" s="1"/>
  <c r="P47" i="44" s="1"/>
  <c r="AQ47" i="44"/>
  <c r="BJ47" i="44" s="1"/>
  <c r="M256" i="44"/>
  <c r="N256" i="44" s="1"/>
  <c r="O256" i="44" s="1"/>
  <c r="P256" i="44" s="1"/>
  <c r="AQ256" i="44"/>
  <c r="BJ256" i="44" s="1"/>
  <c r="M247" i="44"/>
  <c r="N247" i="44" s="1"/>
  <c r="O247" i="44" s="1"/>
  <c r="P247" i="44" s="1"/>
  <c r="AQ247" i="44"/>
  <c r="BJ247" i="44" s="1"/>
  <c r="M226" i="44"/>
  <c r="N226" i="44" s="1"/>
  <c r="O226" i="44" s="1"/>
  <c r="P226" i="44" s="1"/>
  <c r="AQ226" i="44"/>
  <c r="BJ226" i="44" s="1"/>
  <c r="M152" i="44"/>
  <c r="N152" i="44" s="1"/>
  <c r="O152" i="44" s="1"/>
  <c r="P152" i="44" s="1"/>
  <c r="AQ152" i="44"/>
  <c r="BJ152" i="44" s="1"/>
  <c r="M103" i="44"/>
  <c r="N103" i="44" s="1"/>
  <c r="O103" i="44" s="1"/>
  <c r="P103" i="44" s="1"/>
  <c r="AQ103" i="44"/>
  <c r="BJ103" i="44" s="1"/>
  <c r="AQ265" i="44"/>
  <c r="BJ265" i="44" s="1"/>
  <c r="M265" i="44"/>
  <c r="N265" i="44" s="1"/>
  <c r="O265" i="44" s="1"/>
  <c r="P265" i="44" s="1"/>
  <c r="M69" i="44"/>
  <c r="N69" i="44" s="1"/>
  <c r="O69" i="44" s="1"/>
  <c r="P69" i="44" s="1"/>
  <c r="AQ69" i="44"/>
  <c r="BJ69" i="44" s="1"/>
  <c r="M202" i="44"/>
  <c r="N202" i="44" s="1"/>
  <c r="O202" i="44" s="1"/>
  <c r="P202" i="44" s="1"/>
  <c r="AQ202" i="44"/>
  <c r="BJ202" i="44" s="1"/>
  <c r="M253" i="44"/>
  <c r="N253" i="44" s="1"/>
  <c r="O253" i="44" s="1"/>
  <c r="P253" i="44" s="1"/>
  <c r="AQ253" i="44"/>
  <c r="BJ253" i="44" s="1"/>
  <c r="M216" i="44"/>
  <c r="N216" i="44" s="1"/>
  <c r="O216" i="44" s="1"/>
  <c r="P216" i="44" s="1"/>
  <c r="AQ216" i="44"/>
  <c r="BJ216" i="44" s="1"/>
  <c r="M261" i="44"/>
  <c r="N261" i="44" s="1"/>
  <c r="O261" i="44" s="1"/>
  <c r="P261" i="44" s="1"/>
  <c r="AQ261" i="44"/>
  <c r="BJ261" i="44" s="1"/>
  <c r="M254" i="44"/>
  <c r="N254" i="44" s="1"/>
  <c r="O254" i="44" s="1"/>
  <c r="P254" i="44" s="1"/>
  <c r="AQ254" i="44"/>
  <c r="BJ254" i="44" s="1"/>
  <c r="M260" i="44"/>
  <c r="N260" i="44" s="1"/>
  <c r="O260" i="44" s="1"/>
  <c r="P260" i="44" s="1"/>
  <c r="AQ260" i="44"/>
  <c r="BJ260" i="44" s="1"/>
  <c r="M230" i="44"/>
  <c r="N230" i="44" s="1"/>
  <c r="O230" i="44" s="1"/>
  <c r="P230" i="44" s="1"/>
  <c r="AQ230" i="44"/>
  <c r="BJ230" i="44" s="1"/>
  <c r="M268" i="44"/>
  <c r="N268" i="44" s="1"/>
  <c r="O268" i="44" s="1"/>
  <c r="P268" i="44" s="1"/>
  <c r="AQ268" i="44"/>
  <c r="BJ268" i="44" s="1"/>
  <c r="M224" i="44"/>
  <c r="N224" i="44" s="1"/>
  <c r="O224" i="44" s="1"/>
  <c r="P224" i="44" s="1"/>
  <c r="AQ224" i="44"/>
  <c r="BJ224" i="44" s="1"/>
  <c r="M262" i="44"/>
  <c r="N262" i="44" s="1"/>
  <c r="O262" i="44" s="1"/>
  <c r="P262" i="44" s="1"/>
  <c r="AQ262" i="44"/>
  <c r="BJ262" i="44" s="1"/>
  <c r="M279" i="44"/>
  <c r="N279" i="44" s="1"/>
  <c r="O279" i="44" s="1"/>
  <c r="P279" i="44" s="1"/>
  <c r="AQ279" i="44"/>
  <c r="BJ279" i="44" s="1"/>
  <c r="M45" i="44"/>
  <c r="N45" i="44" s="1"/>
  <c r="O45" i="44" s="1"/>
  <c r="P45" i="44" s="1"/>
  <c r="AQ45" i="44"/>
  <c r="BJ45" i="44" s="1"/>
  <c r="M255" i="44"/>
  <c r="N255" i="44" s="1"/>
  <c r="O255" i="44" s="1"/>
  <c r="P255" i="44" s="1"/>
  <c r="AQ255" i="44"/>
  <c r="BJ255" i="44" s="1"/>
  <c r="M49" i="44"/>
  <c r="N49" i="44" s="1"/>
  <c r="O49" i="44" s="1"/>
  <c r="P49" i="44" s="1"/>
  <c r="AQ49" i="44"/>
  <c r="BJ49" i="44" s="1"/>
  <c r="M210" i="44"/>
  <c r="N210" i="44" s="1"/>
  <c r="O210" i="44" s="1"/>
  <c r="P210" i="44" s="1"/>
  <c r="AQ210" i="44"/>
  <c r="BJ210" i="44" s="1"/>
  <c r="M211" i="44"/>
  <c r="N211" i="44" s="1"/>
  <c r="O211" i="44" s="1"/>
  <c r="P211" i="44" s="1"/>
  <c r="AQ211" i="44"/>
  <c r="BJ211" i="44" s="1"/>
  <c r="M147" i="44"/>
  <c r="N147" i="44" s="1"/>
  <c r="O147" i="44" s="1"/>
  <c r="P147" i="44" s="1"/>
  <c r="AQ147" i="44"/>
  <c r="BJ147" i="44" s="1"/>
  <c r="M199" i="44"/>
  <c r="N199" i="44" s="1"/>
  <c r="O199" i="44" s="1"/>
  <c r="P199" i="44" s="1"/>
  <c r="AQ199" i="44"/>
  <c r="BJ199" i="44" s="1"/>
  <c r="M23" i="44"/>
  <c r="N23" i="44" s="1"/>
  <c r="O23" i="44" s="1"/>
  <c r="P23" i="44" s="1"/>
  <c r="AQ23" i="44"/>
  <c r="BJ23" i="44" s="1"/>
  <c r="M67" i="44"/>
  <c r="N67" i="44" s="1"/>
  <c r="O67" i="44" s="1"/>
  <c r="P67" i="44" s="1"/>
  <c r="AQ67" i="44"/>
  <c r="BJ67" i="44" s="1"/>
  <c r="M174" i="44"/>
  <c r="N174" i="44" s="1"/>
  <c r="O174" i="44" s="1"/>
  <c r="P174" i="44" s="1"/>
  <c r="AQ174" i="44"/>
  <c r="BJ174" i="44" s="1"/>
  <c r="M191" i="44"/>
  <c r="N191" i="44" s="1"/>
  <c r="O191" i="44" s="1"/>
  <c r="P191" i="44" s="1"/>
  <c r="AQ191" i="44"/>
  <c r="BJ191" i="44" s="1"/>
  <c r="M89" i="44"/>
  <c r="N89" i="44" s="1"/>
  <c r="O89" i="44" s="1"/>
  <c r="P89" i="44" s="1"/>
  <c r="AQ89" i="44"/>
  <c r="BJ89" i="44" s="1"/>
  <c r="M287" i="44"/>
  <c r="N287" i="44" s="1"/>
  <c r="O287" i="44" s="1"/>
  <c r="P287" i="44" s="1"/>
  <c r="AQ287" i="44"/>
  <c r="BJ287" i="44" s="1"/>
  <c r="M209" i="44"/>
  <c r="N209" i="44" s="1"/>
  <c r="O209" i="44" s="1"/>
  <c r="P209" i="44" s="1"/>
  <c r="AQ209" i="44"/>
  <c r="BJ209" i="44" s="1"/>
  <c r="AQ113" i="44"/>
  <c r="BJ113" i="44" s="1"/>
  <c r="M113" i="44"/>
  <c r="N113" i="44" s="1"/>
  <c r="O113" i="44" s="1"/>
  <c r="P113" i="44" s="1"/>
  <c r="AQ58" i="44"/>
  <c r="BJ58" i="44" s="1"/>
  <c r="M58" i="44"/>
  <c r="N58" i="44" s="1"/>
  <c r="O58" i="44" s="1"/>
  <c r="P58" i="44" s="1"/>
  <c r="M83" i="44"/>
  <c r="N83" i="44" s="1"/>
  <c r="O83" i="44" s="1"/>
  <c r="P83" i="44" s="1"/>
  <c r="AQ83" i="44"/>
  <c r="BJ83" i="44" s="1"/>
  <c r="M195" i="44"/>
  <c r="N195" i="44" s="1"/>
  <c r="O195" i="44" s="1"/>
  <c r="P195" i="44" s="1"/>
  <c r="AQ195" i="44"/>
  <c r="BJ195" i="44" s="1"/>
  <c r="M251" i="44"/>
  <c r="N251" i="44" s="1"/>
  <c r="O251" i="44" s="1"/>
  <c r="P251" i="44" s="1"/>
  <c r="AQ251" i="44"/>
  <c r="BJ251" i="44" s="1"/>
  <c r="M166" i="44"/>
  <c r="N166" i="44" s="1"/>
  <c r="O166" i="44" s="1"/>
  <c r="P166" i="44" s="1"/>
  <c r="AQ166" i="44"/>
  <c r="BJ166" i="44" s="1"/>
  <c r="M127" i="44"/>
  <c r="N127" i="44" s="1"/>
  <c r="O127" i="44" s="1"/>
  <c r="P127" i="44" s="1"/>
  <c r="AQ127" i="44"/>
  <c r="BJ127" i="44" s="1"/>
  <c r="M130" i="44"/>
  <c r="N130" i="44" s="1"/>
  <c r="O130" i="44" s="1"/>
  <c r="P130" i="44" s="1"/>
  <c r="AQ130" i="44"/>
  <c r="BJ130" i="44" s="1"/>
  <c r="M53" i="44"/>
  <c r="N53" i="44" s="1"/>
  <c r="O53" i="44" s="1"/>
  <c r="P53" i="44" s="1"/>
  <c r="AQ53" i="44"/>
  <c r="BJ53" i="44" s="1"/>
  <c r="M258" i="44"/>
  <c r="N258" i="44" s="1"/>
  <c r="O258" i="44" s="1"/>
  <c r="P258" i="44" s="1"/>
  <c r="AQ258" i="44"/>
  <c r="BJ258" i="44" s="1"/>
  <c r="M19" i="44"/>
  <c r="N19" i="44" s="1"/>
  <c r="O19" i="44" s="1"/>
  <c r="P19" i="44" s="1"/>
  <c r="AQ19" i="44"/>
  <c r="BJ19" i="44" s="1"/>
  <c r="M71" i="44"/>
  <c r="N71" i="44" s="1"/>
  <c r="O71" i="44" s="1"/>
  <c r="P71" i="44" s="1"/>
  <c r="AQ71" i="44"/>
  <c r="BJ71" i="44" s="1"/>
  <c r="M55" i="44"/>
  <c r="N55" i="44" s="1"/>
  <c r="O55" i="44" s="1"/>
  <c r="P55" i="44" s="1"/>
  <c r="AQ55" i="44"/>
  <c r="BJ55" i="44" s="1"/>
  <c r="M164" i="44"/>
  <c r="N164" i="44" s="1"/>
  <c r="O164" i="44" s="1"/>
  <c r="P164" i="44" s="1"/>
  <c r="AQ164" i="44"/>
  <c r="BJ164" i="44" s="1"/>
  <c r="M295" i="44"/>
  <c r="N295" i="44" s="1"/>
  <c r="O295" i="44" s="1"/>
  <c r="P295" i="44" s="1"/>
  <c r="AQ295" i="44"/>
  <c r="BJ295" i="44" s="1"/>
  <c r="M135" i="44"/>
  <c r="N135" i="44" s="1"/>
  <c r="O135" i="44" s="1"/>
  <c r="P135" i="44" s="1"/>
  <c r="AQ135" i="44"/>
  <c r="BJ135" i="44" s="1"/>
  <c r="M246" i="44"/>
  <c r="N246" i="44" s="1"/>
  <c r="O246" i="44" s="1"/>
  <c r="P246" i="44" s="1"/>
  <c r="AQ246" i="44"/>
  <c r="BJ246" i="44" s="1"/>
  <c r="M162" i="44"/>
  <c r="N162" i="44" s="1"/>
  <c r="O162" i="44" s="1"/>
  <c r="P162" i="44" s="1"/>
  <c r="AQ162" i="44"/>
  <c r="BJ162" i="44" s="1"/>
  <c r="M213" i="44"/>
  <c r="N213" i="44" s="1"/>
  <c r="O213" i="44" s="1"/>
  <c r="P213" i="44" s="1"/>
  <c r="AQ213" i="44"/>
  <c r="BJ213" i="44" s="1"/>
  <c r="M125" i="44"/>
  <c r="N125" i="44" s="1"/>
  <c r="O125" i="44" s="1"/>
  <c r="P125" i="44" s="1"/>
  <c r="AQ125" i="44"/>
  <c r="BJ125" i="44" s="1"/>
  <c r="M154" i="44"/>
  <c r="N154" i="44" s="1"/>
  <c r="O154" i="44" s="1"/>
  <c r="P154" i="44" s="1"/>
  <c r="AQ154" i="44"/>
  <c r="BJ154" i="44" s="1"/>
  <c r="M298" i="44"/>
  <c r="N298" i="44" s="1"/>
  <c r="O298" i="44" s="1"/>
  <c r="P298" i="44" s="1"/>
  <c r="AQ298" i="44"/>
  <c r="BJ298" i="44" s="1"/>
  <c r="M266" i="44"/>
  <c r="N266" i="44" s="1"/>
  <c r="O266" i="44" s="1"/>
  <c r="P266" i="44" s="1"/>
  <c r="AQ266" i="44"/>
  <c r="BJ266" i="44" s="1"/>
  <c r="M220" i="44"/>
  <c r="N220" i="44" s="1"/>
  <c r="O220" i="44" s="1"/>
  <c r="P220" i="44" s="1"/>
  <c r="AQ220" i="44"/>
  <c r="BJ220" i="44" s="1"/>
  <c r="M160" i="44"/>
  <c r="N160" i="44" s="1"/>
  <c r="O160" i="44" s="1"/>
  <c r="P160" i="44" s="1"/>
  <c r="AQ160" i="44"/>
  <c r="BJ160" i="44" s="1"/>
  <c r="M122" i="44"/>
  <c r="N122" i="44" s="1"/>
  <c r="O122" i="44" s="1"/>
  <c r="P122" i="44" s="1"/>
  <c r="AQ122" i="44"/>
  <c r="BJ122" i="44" s="1"/>
  <c r="M38" i="44"/>
  <c r="N38" i="44" s="1"/>
  <c r="O38" i="44" s="1"/>
  <c r="P38" i="44" s="1"/>
  <c r="AQ38" i="44"/>
  <c r="BJ38" i="44" s="1"/>
  <c r="M73" i="44"/>
  <c r="N73" i="44" s="1"/>
  <c r="O73" i="44" s="1"/>
  <c r="P73" i="44" s="1"/>
  <c r="AQ73" i="44"/>
  <c r="BJ73" i="44" s="1"/>
  <c r="M207" i="44"/>
  <c r="N207" i="44" s="1"/>
  <c r="O207" i="44" s="1"/>
  <c r="P207" i="44" s="1"/>
  <c r="AQ207" i="44"/>
  <c r="BJ207" i="44" s="1"/>
  <c r="M306" i="44"/>
  <c r="N306" i="44" s="1"/>
  <c r="O306" i="44" s="1"/>
  <c r="P306" i="44" s="1"/>
  <c r="AQ306" i="44"/>
  <c r="BJ306" i="44" s="1"/>
  <c r="AQ188" i="44"/>
  <c r="BJ188" i="44" s="1"/>
  <c r="M188" i="44"/>
  <c r="N188" i="44" s="1"/>
  <c r="O188" i="44" s="1"/>
  <c r="P188" i="44" s="1"/>
  <c r="M208" i="44"/>
  <c r="N208" i="44" s="1"/>
  <c r="O208" i="44" s="1"/>
  <c r="P208" i="44" s="1"/>
  <c r="AQ208" i="44"/>
  <c r="BJ208" i="44" s="1"/>
  <c r="M138" i="44"/>
  <c r="N138" i="44" s="1"/>
  <c r="O138" i="44" s="1"/>
  <c r="P138" i="44" s="1"/>
  <c r="AQ138" i="44"/>
  <c r="BJ138" i="44" s="1"/>
  <c r="M271" i="44"/>
  <c r="N271" i="44" s="1"/>
  <c r="O271" i="44" s="1"/>
  <c r="P271" i="44" s="1"/>
  <c r="AQ271" i="44"/>
  <c r="BJ271" i="44" s="1"/>
  <c r="M244" i="44"/>
  <c r="N244" i="44" s="1"/>
  <c r="O244" i="44" s="1"/>
  <c r="P244" i="44" s="1"/>
  <c r="AQ244" i="44"/>
  <c r="BJ244" i="44" s="1"/>
  <c r="M70" i="44"/>
  <c r="N70" i="44" s="1"/>
  <c r="O70" i="44" s="1"/>
  <c r="P70" i="44" s="1"/>
  <c r="AQ70" i="44"/>
  <c r="BJ70" i="44" s="1"/>
  <c r="M205" i="44"/>
  <c r="N205" i="44" s="1"/>
  <c r="O205" i="44" s="1"/>
  <c r="P205" i="44" s="1"/>
  <c r="AQ205" i="44"/>
  <c r="BJ205" i="44" s="1"/>
  <c r="M142" i="44"/>
  <c r="N142" i="44" s="1"/>
  <c r="O142" i="44" s="1"/>
  <c r="P142" i="44" s="1"/>
  <c r="AQ142" i="44"/>
  <c r="BJ142" i="44" s="1"/>
  <c r="M303" i="44"/>
  <c r="N303" i="44" s="1"/>
  <c r="O303" i="44" s="1"/>
  <c r="P303" i="44" s="1"/>
  <c r="AQ303" i="44"/>
  <c r="BJ303" i="44" s="1"/>
  <c r="M16" i="44"/>
  <c r="N16" i="44" s="1"/>
  <c r="O16" i="44" s="1"/>
  <c r="P16" i="44" s="1"/>
  <c r="AQ16" i="44"/>
  <c r="M197" i="44"/>
  <c r="N197" i="44" s="1"/>
  <c r="O197" i="44" s="1"/>
  <c r="P197" i="44" s="1"/>
  <c r="AQ197" i="44"/>
  <c r="BJ197" i="44" s="1"/>
  <c r="M175" i="44"/>
  <c r="N175" i="44" s="1"/>
  <c r="O175" i="44" s="1"/>
  <c r="P175" i="44" s="1"/>
  <c r="AQ175" i="44"/>
  <c r="BJ175" i="44" s="1"/>
  <c r="M15" i="44"/>
  <c r="N15" i="44" s="1"/>
  <c r="O15" i="44" s="1"/>
  <c r="P15" i="44" s="1"/>
  <c r="M141" i="44"/>
  <c r="N141" i="44" s="1"/>
  <c r="O141" i="44" s="1"/>
  <c r="P141" i="44" s="1"/>
  <c r="AQ141" i="44"/>
  <c r="BJ141" i="44" s="1"/>
  <c r="M61" i="44"/>
  <c r="N61" i="44" s="1"/>
  <c r="O61" i="44" s="1"/>
  <c r="P61" i="44" s="1"/>
  <c r="AQ61" i="44"/>
  <c r="BJ61" i="44" s="1"/>
  <c r="M62" i="44"/>
  <c r="N62" i="44" s="1"/>
  <c r="O62" i="44" s="1"/>
  <c r="P62" i="44" s="1"/>
  <c r="AQ62" i="44"/>
  <c r="BJ62" i="44" s="1"/>
  <c r="M114" i="44"/>
  <c r="N114" i="44" s="1"/>
  <c r="O114" i="44" s="1"/>
  <c r="P114" i="44" s="1"/>
  <c r="AQ114" i="44"/>
  <c r="BJ114" i="44" s="1"/>
  <c r="M150" i="44"/>
  <c r="N150" i="44" s="1"/>
  <c r="O150" i="44" s="1"/>
  <c r="P150" i="44" s="1"/>
  <c r="AQ150" i="44"/>
  <c r="BJ150" i="44" s="1"/>
  <c r="M278" i="44"/>
  <c r="N278" i="44" s="1"/>
  <c r="O278" i="44" s="1"/>
  <c r="P278" i="44" s="1"/>
  <c r="AQ278" i="44"/>
  <c r="BJ278" i="44" s="1"/>
  <c r="M65" i="44"/>
  <c r="N65" i="44" s="1"/>
  <c r="O65" i="44" s="1"/>
  <c r="P65" i="44" s="1"/>
  <c r="AQ65" i="44"/>
  <c r="BJ65" i="44" s="1"/>
  <c r="M137" i="44"/>
  <c r="N137" i="44" s="1"/>
  <c r="O137" i="44" s="1"/>
  <c r="P137" i="44" s="1"/>
  <c r="AQ137" i="44"/>
  <c r="BJ137" i="44" s="1"/>
  <c r="M269" i="44"/>
  <c r="N269" i="44" s="1"/>
  <c r="O269" i="44" s="1"/>
  <c r="P269" i="44" s="1"/>
  <c r="AQ269" i="44"/>
  <c r="BJ269" i="44" s="1"/>
  <c r="M219" i="44"/>
  <c r="N219" i="44" s="1"/>
  <c r="O219" i="44" s="1"/>
  <c r="P219" i="44" s="1"/>
  <c r="AQ219" i="44"/>
  <c r="BJ219" i="44" s="1"/>
  <c r="M86" i="44"/>
  <c r="N86" i="44" s="1"/>
  <c r="O86" i="44" s="1"/>
  <c r="P86" i="44" s="1"/>
  <c r="AQ86" i="44"/>
  <c r="BJ86" i="44" s="1"/>
  <c r="M302" i="44"/>
  <c r="N302" i="44" s="1"/>
  <c r="O302" i="44" s="1"/>
  <c r="P302" i="44" s="1"/>
  <c r="AQ302" i="44"/>
  <c r="BJ302" i="44" s="1"/>
  <c r="M99" i="44"/>
  <c r="N99" i="44" s="1"/>
  <c r="O99" i="44" s="1"/>
  <c r="P99" i="44" s="1"/>
  <c r="AQ99" i="44"/>
  <c r="BJ99" i="44" s="1"/>
  <c r="M26" i="44"/>
  <c r="N26" i="44" s="1"/>
  <c r="O26" i="44" s="1"/>
  <c r="P26" i="44" s="1"/>
  <c r="AQ26" i="44"/>
  <c r="BJ26" i="44" s="1"/>
  <c r="M242" i="44"/>
  <c r="N242" i="44" s="1"/>
  <c r="O242" i="44" s="1"/>
  <c r="P242" i="44" s="1"/>
  <c r="AQ242" i="44"/>
  <c r="BJ242" i="44" s="1"/>
  <c r="AQ227" i="44"/>
  <c r="BJ227" i="44" s="1"/>
  <c r="M227" i="44"/>
  <c r="N227" i="44" s="1"/>
  <c r="O227" i="44" s="1"/>
  <c r="P227" i="44" s="1"/>
  <c r="M187" i="44"/>
  <c r="N187" i="44" s="1"/>
  <c r="O187" i="44" s="1"/>
  <c r="P187" i="44" s="1"/>
  <c r="AQ187" i="44"/>
  <c r="BJ187" i="44" s="1"/>
  <c r="M30" i="44"/>
  <c r="N30" i="44" s="1"/>
  <c r="O30" i="44" s="1"/>
  <c r="P30" i="44" s="1"/>
  <c r="AQ30" i="44"/>
  <c r="BJ30" i="44" s="1"/>
  <c r="M178" i="44"/>
  <c r="N178" i="44" s="1"/>
  <c r="O178" i="44" s="1"/>
  <c r="P178" i="44" s="1"/>
  <c r="AQ178" i="44"/>
  <c r="BJ178" i="44" s="1"/>
  <c r="M296" i="44"/>
  <c r="N296" i="44" s="1"/>
  <c r="O296" i="44" s="1"/>
  <c r="P296" i="44" s="1"/>
  <c r="AQ296" i="44"/>
  <c r="BJ296" i="44" s="1"/>
  <c r="M151" i="44"/>
  <c r="N151" i="44" s="1"/>
  <c r="O151" i="44" s="1"/>
  <c r="P151" i="44" s="1"/>
  <c r="AQ151" i="44"/>
  <c r="BJ151" i="44" s="1"/>
  <c r="M300" i="44"/>
  <c r="N300" i="44" s="1"/>
  <c r="O300" i="44" s="1"/>
  <c r="P300" i="44" s="1"/>
  <c r="AQ300" i="44"/>
  <c r="BJ300" i="44" s="1"/>
  <c r="M149" i="44"/>
  <c r="N149" i="44" s="1"/>
  <c r="O149" i="44" s="1"/>
  <c r="P149" i="44" s="1"/>
  <c r="AQ149" i="44"/>
  <c r="BJ149" i="44" s="1"/>
  <c r="M200" i="44"/>
  <c r="N200" i="44" s="1"/>
  <c r="O200" i="44" s="1"/>
  <c r="P200" i="44" s="1"/>
  <c r="AQ200" i="44"/>
  <c r="BJ200" i="44" s="1"/>
  <c r="M274" i="44"/>
  <c r="N274" i="44" s="1"/>
  <c r="O274" i="44" s="1"/>
  <c r="P274" i="44" s="1"/>
  <c r="AQ274" i="44"/>
  <c r="BJ274" i="44" s="1"/>
  <c r="M77" i="44"/>
  <c r="N77" i="44" s="1"/>
  <c r="O77" i="44" s="1"/>
  <c r="P77" i="44" s="1"/>
  <c r="AQ77" i="44"/>
  <c r="BJ77" i="44" s="1"/>
  <c r="M248" i="44"/>
  <c r="N248" i="44" s="1"/>
  <c r="O248" i="44" s="1"/>
  <c r="P248" i="44" s="1"/>
  <c r="AQ248" i="44"/>
  <c r="BJ248" i="44" s="1"/>
  <c r="M87" i="44"/>
  <c r="N87" i="44" s="1"/>
  <c r="O87" i="44" s="1"/>
  <c r="P87" i="44" s="1"/>
  <c r="AQ87" i="44"/>
  <c r="BJ87" i="44" s="1"/>
  <c r="M146" i="44"/>
  <c r="N146" i="44" s="1"/>
  <c r="O146" i="44" s="1"/>
  <c r="P146" i="44" s="1"/>
  <c r="AQ146" i="44"/>
  <c r="BJ146" i="44" s="1"/>
  <c r="M232" i="44"/>
  <c r="N232" i="44" s="1"/>
  <c r="O232" i="44" s="1"/>
  <c r="P232" i="44" s="1"/>
  <c r="AQ232" i="44"/>
  <c r="BJ232" i="44" s="1"/>
  <c r="M95" i="44"/>
  <c r="N95" i="44" s="1"/>
  <c r="O95" i="44" s="1"/>
  <c r="P95" i="44" s="1"/>
  <c r="AQ95" i="44"/>
  <c r="BJ95" i="44" s="1"/>
  <c r="M63" i="44"/>
  <c r="N63" i="44" s="1"/>
  <c r="O63" i="44" s="1"/>
  <c r="P63" i="44" s="1"/>
  <c r="AQ63" i="44"/>
  <c r="BJ63" i="44" s="1"/>
  <c r="M117" i="44"/>
  <c r="N117" i="44" s="1"/>
  <c r="O117" i="44" s="1"/>
  <c r="P117" i="44" s="1"/>
  <c r="AQ117" i="44"/>
  <c r="BJ117" i="44" s="1"/>
  <c r="AQ98" i="44"/>
  <c r="BJ98" i="44" s="1"/>
  <c r="M98" i="44"/>
  <c r="N98" i="44" s="1"/>
  <c r="O98" i="44" s="1"/>
  <c r="P98" i="44" s="1"/>
  <c r="M234" i="44"/>
  <c r="N234" i="44" s="1"/>
  <c r="O234" i="44" s="1"/>
  <c r="P234" i="44" s="1"/>
  <c r="AQ234" i="44"/>
  <c r="BJ234" i="44" s="1"/>
  <c r="M24" i="44"/>
  <c r="N24" i="44" s="1"/>
  <c r="O24" i="44" s="1"/>
  <c r="P24" i="44" s="1"/>
  <c r="AQ24" i="44"/>
  <c r="M155" i="44"/>
  <c r="N155" i="44" s="1"/>
  <c r="O155" i="44" s="1"/>
  <c r="P155" i="44" s="1"/>
  <c r="AQ155" i="44"/>
  <c r="BJ155" i="44" s="1"/>
  <c r="M42" i="44"/>
  <c r="N42" i="44" s="1"/>
  <c r="O42" i="44" s="1"/>
  <c r="P42" i="44" s="1"/>
  <c r="AQ42" i="44"/>
  <c r="BJ42" i="44" s="1"/>
  <c r="M283" i="44"/>
  <c r="N283" i="44" s="1"/>
  <c r="O283" i="44" s="1"/>
  <c r="P283" i="44" s="1"/>
  <c r="AQ283" i="44"/>
  <c r="BJ283" i="44" s="1"/>
  <c r="M267" i="44"/>
  <c r="N267" i="44" s="1"/>
  <c r="O267" i="44" s="1"/>
  <c r="P267" i="44" s="1"/>
  <c r="AQ267" i="44"/>
  <c r="BJ267" i="44" s="1"/>
  <c r="M238" i="44"/>
  <c r="N238" i="44" s="1"/>
  <c r="O238" i="44" s="1"/>
  <c r="P238" i="44" s="1"/>
  <c r="AQ238" i="44"/>
  <c r="BJ238" i="44" s="1"/>
  <c r="M172" i="44"/>
  <c r="N172" i="44" s="1"/>
  <c r="O172" i="44" s="1"/>
  <c r="P172" i="44" s="1"/>
  <c r="AQ172" i="44"/>
  <c r="BJ172" i="44" s="1"/>
  <c r="M307" i="44"/>
  <c r="N307" i="44" s="1"/>
  <c r="O307" i="44" s="1"/>
  <c r="P307" i="44" s="1"/>
  <c r="AQ307" i="44"/>
  <c r="BJ307" i="44" s="1"/>
  <c r="M126" i="44"/>
  <c r="N126" i="44" s="1"/>
  <c r="O126" i="44" s="1"/>
  <c r="P126" i="44" s="1"/>
  <c r="AQ126" i="44"/>
  <c r="BJ126" i="44" s="1"/>
  <c r="M264" i="44"/>
  <c r="N264" i="44" s="1"/>
  <c r="O264" i="44" s="1"/>
  <c r="P264" i="44" s="1"/>
  <c r="AQ264" i="44"/>
  <c r="BJ264" i="44" s="1"/>
  <c r="M157" i="44"/>
  <c r="N157" i="44" s="1"/>
  <c r="O157" i="44" s="1"/>
  <c r="P157" i="44" s="1"/>
  <c r="AQ157" i="44"/>
  <c r="BJ157" i="44" s="1"/>
  <c r="M186" i="44"/>
  <c r="N186" i="44" s="1"/>
  <c r="O186" i="44" s="1"/>
  <c r="P186" i="44" s="1"/>
  <c r="AQ186" i="44"/>
  <c r="BJ186" i="44" s="1"/>
  <c r="M101" i="44"/>
  <c r="N101" i="44" s="1"/>
  <c r="O101" i="44" s="1"/>
  <c r="P101" i="44" s="1"/>
  <c r="AQ101" i="44"/>
  <c r="BJ101" i="44" s="1"/>
  <c r="M123" i="44"/>
  <c r="N123" i="44" s="1"/>
  <c r="O123" i="44" s="1"/>
  <c r="P123" i="44" s="1"/>
  <c r="AQ123" i="44"/>
  <c r="BJ123" i="44" s="1"/>
  <c r="M176" i="44"/>
  <c r="N176" i="44" s="1"/>
  <c r="O176" i="44" s="1"/>
  <c r="P176" i="44" s="1"/>
  <c r="AQ176" i="44"/>
  <c r="BJ176" i="44" s="1"/>
  <c r="AQ66" i="44"/>
  <c r="BJ66" i="44" s="1"/>
  <c r="M66" i="44"/>
  <c r="N66" i="44" s="1"/>
  <c r="O66" i="44" s="1"/>
  <c r="P66" i="44" s="1"/>
  <c r="M105" i="44"/>
  <c r="N105" i="44" s="1"/>
  <c r="O105" i="44" s="1"/>
  <c r="P105" i="44" s="1"/>
  <c r="AQ105" i="44"/>
  <c r="BJ105" i="44" s="1"/>
  <c r="M34" i="44"/>
  <c r="N34" i="44" s="1"/>
  <c r="O34" i="44" s="1"/>
  <c r="P34" i="44" s="1"/>
  <c r="AQ34" i="44"/>
  <c r="BJ34" i="44" s="1"/>
  <c r="M182" i="44"/>
  <c r="N182" i="44" s="1"/>
  <c r="O182" i="44" s="1"/>
  <c r="P182" i="44" s="1"/>
  <c r="AQ182" i="44"/>
  <c r="BJ182" i="44" s="1"/>
  <c r="M263" i="44"/>
  <c r="N263" i="44" s="1"/>
  <c r="O263" i="44" s="1"/>
  <c r="P263" i="44" s="1"/>
  <c r="AQ263" i="44"/>
  <c r="BJ263" i="44" s="1"/>
  <c r="M46" i="44"/>
  <c r="N46" i="44" s="1"/>
  <c r="O46" i="44" s="1"/>
  <c r="P46" i="44" s="1"/>
  <c r="AQ46" i="44"/>
  <c r="BJ46" i="44" s="1"/>
  <c r="M177" i="44"/>
  <c r="N177" i="44" s="1"/>
  <c r="O177" i="44" s="1"/>
  <c r="P177" i="44" s="1"/>
  <c r="AQ177" i="44"/>
  <c r="BJ177" i="44" s="1"/>
  <c r="M131" i="44"/>
  <c r="N131" i="44" s="1"/>
  <c r="O131" i="44" s="1"/>
  <c r="P131" i="44" s="1"/>
  <c r="AQ131" i="44"/>
  <c r="BJ131" i="44" s="1"/>
  <c r="AQ94" i="44"/>
  <c r="BJ94" i="44" s="1"/>
  <c r="M94" i="44"/>
  <c r="N94" i="44" s="1"/>
  <c r="O94" i="44" s="1"/>
  <c r="P94" i="44" s="1"/>
  <c r="M18" i="44"/>
  <c r="N18" i="44" s="1"/>
  <c r="O18" i="44" s="1"/>
  <c r="P18" i="44" s="1"/>
  <c r="AQ18" i="44"/>
  <c r="BJ18" i="44" s="1"/>
  <c r="M291" i="44"/>
  <c r="N291" i="44" s="1"/>
  <c r="O291" i="44" s="1"/>
  <c r="P291" i="44" s="1"/>
  <c r="AQ291" i="44"/>
  <c r="BJ291" i="44" s="1"/>
  <c r="M204" i="44"/>
  <c r="N204" i="44" s="1"/>
  <c r="O204" i="44" s="1"/>
  <c r="P204" i="44" s="1"/>
  <c r="AQ204" i="44"/>
  <c r="BJ204" i="44" s="1"/>
  <c r="M179" i="44"/>
  <c r="N179" i="44" s="1"/>
  <c r="O179" i="44" s="1"/>
  <c r="P179" i="44" s="1"/>
  <c r="AQ179" i="44"/>
  <c r="BJ179" i="44" s="1"/>
  <c r="M97" i="44"/>
  <c r="N97" i="44" s="1"/>
  <c r="O97" i="44" s="1"/>
  <c r="P97" i="44" s="1"/>
  <c r="AQ97" i="44"/>
  <c r="BJ97" i="44" s="1"/>
  <c r="M289" i="44"/>
  <c r="N289" i="44" s="1"/>
  <c r="O289" i="44" s="1"/>
  <c r="P289" i="44" s="1"/>
  <c r="AQ289" i="44"/>
  <c r="BJ289" i="44" s="1"/>
  <c r="M43" i="44"/>
  <c r="N43" i="44" s="1"/>
  <c r="O43" i="44" s="1"/>
  <c r="P43" i="44" s="1"/>
  <c r="AQ43" i="44"/>
  <c r="BJ43" i="44" s="1"/>
  <c r="M173" i="44"/>
  <c r="N173" i="44" s="1"/>
  <c r="O173" i="44" s="1"/>
  <c r="P173" i="44" s="1"/>
  <c r="AQ173" i="44"/>
  <c r="BJ173" i="44" s="1"/>
  <c r="M28" i="44"/>
  <c r="N28" i="44" s="1"/>
  <c r="O28" i="44" s="1"/>
  <c r="P28" i="44" s="1"/>
  <c r="AQ28" i="44"/>
  <c r="BJ28" i="44" s="1"/>
  <c r="M270" i="44"/>
  <c r="N270" i="44" s="1"/>
  <c r="O270" i="44" s="1"/>
  <c r="P270" i="44" s="1"/>
  <c r="AQ270" i="44"/>
  <c r="BJ270" i="44" s="1"/>
  <c r="M282" i="44"/>
  <c r="N282" i="44" s="1"/>
  <c r="O282" i="44" s="1"/>
  <c r="P282" i="44" s="1"/>
  <c r="AQ282" i="44"/>
  <c r="BJ282" i="44" s="1"/>
  <c r="AQ78" i="44"/>
  <c r="BJ78" i="44" s="1"/>
  <c r="M78" i="44"/>
  <c r="N78" i="44" s="1"/>
  <c r="O78" i="44" s="1"/>
  <c r="P78" i="44" s="1"/>
  <c r="M91" i="44"/>
  <c r="N91" i="44" s="1"/>
  <c r="O91" i="44" s="1"/>
  <c r="P91" i="44" s="1"/>
  <c r="AQ91" i="44"/>
  <c r="BJ91" i="44" s="1"/>
  <c r="M249" i="44"/>
  <c r="N249" i="44" s="1"/>
  <c r="O249" i="44" s="1"/>
  <c r="P249" i="44" s="1"/>
  <c r="AQ249" i="44"/>
  <c r="BJ249" i="44" s="1"/>
  <c r="M40" i="44"/>
  <c r="N40" i="44" s="1"/>
  <c r="O40" i="44" s="1"/>
  <c r="P40" i="44" s="1"/>
  <c r="AQ40" i="44"/>
  <c r="BJ40" i="44" s="1"/>
  <c r="M139" i="44"/>
  <c r="N139" i="44" s="1"/>
  <c r="O139" i="44" s="1"/>
  <c r="P139" i="44" s="1"/>
  <c r="AQ139" i="44"/>
  <c r="BJ139" i="44" s="1"/>
  <c r="M171" i="44"/>
  <c r="N171" i="44" s="1"/>
  <c r="O171" i="44" s="1"/>
  <c r="P171" i="44" s="1"/>
  <c r="AQ171" i="44"/>
  <c r="BJ171" i="44" s="1"/>
  <c r="M57" i="44"/>
  <c r="N57" i="44" s="1"/>
  <c r="O57" i="44" s="1"/>
  <c r="P57" i="44" s="1"/>
  <c r="AQ57" i="44"/>
  <c r="BJ57" i="44" s="1"/>
  <c r="M280" i="44"/>
  <c r="N280" i="44" s="1"/>
  <c r="O280" i="44" s="1"/>
  <c r="P280" i="44" s="1"/>
  <c r="AQ280" i="44"/>
  <c r="BJ280" i="44" s="1"/>
  <c r="M252" i="44"/>
  <c r="N252" i="44" s="1"/>
  <c r="O252" i="44" s="1"/>
  <c r="P252" i="44" s="1"/>
  <c r="AQ252" i="44"/>
  <c r="BJ252" i="44" s="1"/>
  <c r="M215" i="44"/>
  <c r="N215" i="44" s="1"/>
  <c r="O215" i="44" s="1"/>
  <c r="P215" i="44" s="1"/>
  <c r="AQ215" i="44"/>
  <c r="BJ215" i="44" s="1"/>
  <c r="M161" i="44"/>
  <c r="N161" i="44" s="1"/>
  <c r="O161" i="44" s="1"/>
  <c r="P161" i="44" s="1"/>
  <c r="AQ161" i="44"/>
  <c r="BJ161" i="44" s="1"/>
  <c r="M106" i="44"/>
  <c r="N106" i="44" s="1"/>
  <c r="O106" i="44" s="1"/>
  <c r="P106" i="44" s="1"/>
  <c r="AQ106" i="44"/>
  <c r="BJ106" i="44" s="1"/>
  <c r="AQ148" i="44"/>
  <c r="BJ148" i="44" s="1"/>
  <c r="M148" i="44"/>
  <c r="N148" i="44" s="1"/>
  <c r="O148" i="44" s="1"/>
  <c r="P148" i="44" s="1"/>
  <c r="M50" i="44"/>
  <c r="N50" i="44" s="1"/>
  <c r="O50" i="44" s="1"/>
  <c r="P50" i="44" s="1"/>
  <c r="AQ50" i="44"/>
  <c r="BJ50" i="44" s="1"/>
  <c r="M189" i="44"/>
  <c r="N189" i="44" s="1"/>
  <c r="O189" i="44" s="1"/>
  <c r="P189" i="44" s="1"/>
  <c r="AQ189" i="44"/>
  <c r="BJ189" i="44" s="1"/>
  <c r="M36" i="44"/>
  <c r="N36" i="44" s="1"/>
  <c r="O36" i="44" s="1"/>
  <c r="P36" i="44" s="1"/>
  <c r="AQ36" i="44"/>
  <c r="BJ36" i="44" s="1"/>
  <c r="M277" i="44"/>
  <c r="N277" i="44" s="1"/>
  <c r="O277" i="44" s="1"/>
  <c r="P277" i="44" s="1"/>
  <c r="AQ277" i="44"/>
  <c r="BJ277" i="44" s="1"/>
  <c r="M288" i="44"/>
  <c r="N288" i="44" s="1"/>
  <c r="O288" i="44" s="1"/>
  <c r="P288" i="44" s="1"/>
  <c r="AQ288" i="44"/>
  <c r="BJ288" i="44" s="1"/>
  <c r="M201" i="44"/>
  <c r="N201" i="44" s="1"/>
  <c r="O201" i="44" s="1"/>
  <c r="P201" i="44" s="1"/>
  <c r="AQ201" i="44"/>
  <c r="BJ201" i="44" s="1"/>
  <c r="M27" i="44"/>
  <c r="N27" i="44" s="1"/>
  <c r="O27" i="44" s="1"/>
  <c r="P27" i="44" s="1"/>
  <c r="AQ27" i="44"/>
  <c r="BJ27" i="44" s="1"/>
  <c r="M304" i="44"/>
  <c r="N304" i="44" s="1"/>
  <c r="O304" i="44" s="1"/>
  <c r="P304" i="44" s="1"/>
  <c r="AQ304" i="44"/>
  <c r="BJ304" i="44" s="1"/>
  <c r="BE9" i="64"/>
  <c r="BJ9" i="64"/>
  <c r="AG9" i="64"/>
  <c r="BM9" i="64" s="1"/>
  <c r="AD9" i="64"/>
  <c r="BL9" i="64" s="1"/>
  <c r="BP9" i="64"/>
  <c r="AA9" i="64"/>
  <c r="BK9" i="64" s="1"/>
  <c r="AJ9" i="64"/>
  <c r="BN9" i="64" s="1"/>
  <c r="AM9" i="64"/>
  <c r="BO9" i="64" s="1"/>
  <c r="BR9" i="64" l="1"/>
  <c r="V49" i="66" s="1"/>
  <c r="AS49" i="66" s="1"/>
  <c r="AF148" i="44"/>
  <c r="AV148" i="44"/>
  <c r="AF94" i="44"/>
  <c r="AV94" i="44"/>
  <c r="AF175" i="44"/>
  <c r="AV175" i="44"/>
  <c r="AV306" i="44"/>
  <c r="BO306" i="44" s="1"/>
  <c r="AF306" i="44"/>
  <c r="AV162" i="44"/>
  <c r="AF162" i="44"/>
  <c r="AF166" i="44"/>
  <c r="AV166" i="44"/>
  <c r="AV210" i="44"/>
  <c r="AF210" i="44"/>
  <c r="AV216" i="44"/>
  <c r="AF216" i="44"/>
  <c r="AF190" i="44"/>
  <c r="AV190" i="44"/>
  <c r="AF259" i="44"/>
  <c r="AV259" i="44"/>
  <c r="AF183" i="44"/>
  <c r="AV183" i="44"/>
  <c r="AF85" i="44"/>
  <c r="AV85" i="44"/>
  <c r="BO85" i="44" s="1"/>
  <c r="AF107" i="44"/>
  <c r="AV107" i="44"/>
  <c r="AF75" i="44"/>
  <c r="AV75" i="44"/>
  <c r="AF119" i="44"/>
  <c r="AV119" i="44"/>
  <c r="AV121" i="44"/>
  <c r="BO121" i="44" s="1"/>
  <c r="AF121" i="44"/>
  <c r="AV304" i="44"/>
  <c r="AF304" i="44"/>
  <c r="AF277" i="44"/>
  <c r="AV277" i="44"/>
  <c r="AF252" i="44"/>
  <c r="AV252" i="44"/>
  <c r="AF139" i="44"/>
  <c r="AV139" i="44"/>
  <c r="BO139" i="44" s="1"/>
  <c r="AF173" i="44"/>
  <c r="AV173" i="44"/>
  <c r="AF179" i="44"/>
  <c r="AV179" i="44"/>
  <c r="AF263" i="44"/>
  <c r="AV263" i="44"/>
  <c r="AV186" i="44"/>
  <c r="BO186" i="44" s="1"/>
  <c r="AF186" i="44"/>
  <c r="AF307" i="44"/>
  <c r="AV307" i="44"/>
  <c r="AF283" i="44"/>
  <c r="AV283" i="44"/>
  <c r="AV234" i="44"/>
  <c r="AF234" i="44"/>
  <c r="AF95" i="44"/>
  <c r="AV95" i="44"/>
  <c r="BO95" i="44" s="1"/>
  <c r="AV248" i="44"/>
  <c r="AF248" i="44"/>
  <c r="AF149" i="44"/>
  <c r="AV149" i="44"/>
  <c r="AV178" i="44"/>
  <c r="AF178" i="44"/>
  <c r="AV242" i="44"/>
  <c r="AF242" i="44"/>
  <c r="AF86" i="44"/>
  <c r="AV86" i="44"/>
  <c r="AV65" i="44"/>
  <c r="AF65" i="44"/>
  <c r="AF62" i="44"/>
  <c r="AV62" i="44"/>
  <c r="AV113" i="44"/>
  <c r="BO113" i="44" s="1"/>
  <c r="AF113" i="44"/>
  <c r="L162" i="66" s="1"/>
  <c r="L174" i="66" s="1"/>
  <c r="W174" i="66" s="1"/>
  <c r="AV90" i="44"/>
  <c r="AF90" i="44"/>
  <c r="AF215" i="44"/>
  <c r="AV215" i="44"/>
  <c r="AV97" i="44"/>
  <c r="AF97" i="44"/>
  <c r="AF267" i="44"/>
  <c r="AV267" i="44"/>
  <c r="BO267" i="44" s="1"/>
  <c r="AF302" i="44"/>
  <c r="AV302" i="44"/>
  <c r="AV58" i="44"/>
  <c r="AF58" i="44"/>
  <c r="AV136" i="44"/>
  <c r="AF136" i="44"/>
  <c r="AV66" i="44"/>
  <c r="BO66" i="44" s="1"/>
  <c r="AF66" i="44"/>
  <c r="AF271" i="44"/>
  <c r="AV271" i="44"/>
  <c r="AV298" i="44"/>
  <c r="AF298" i="44"/>
  <c r="AF164" i="44"/>
  <c r="AV164" i="44"/>
  <c r="AV89" i="44"/>
  <c r="BO89" i="44" s="1"/>
  <c r="AF89" i="44"/>
  <c r="AF279" i="44"/>
  <c r="AV279" i="44"/>
  <c r="AF247" i="44"/>
  <c r="AV247" i="44"/>
  <c r="AF143" i="44"/>
  <c r="AV143" i="44"/>
  <c r="AF54" i="44"/>
  <c r="AV54" i="44"/>
  <c r="BO54" i="44" s="1"/>
  <c r="AF163" i="44"/>
  <c r="AV163" i="44"/>
  <c r="AF299" i="44"/>
  <c r="AV299" i="44"/>
  <c r="AV290" i="44"/>
  <c r="AF290" i="44"/>
  <c r="AF158" i="44"/>
  <c r="AV158" i="44"/>
  <c r="BO158" i="44" s="1"/>
  <c r="AF197" i="44"/>
  <c r="AV197" i="44"/>
  <c r="AV138" i="44"/>
  <c r="BO138" i="44" s="1"/>
  <c r="AF138" i="44"/>
  <c r="AV160" i="44"/>
  <c r="AF160" i="44"/>
  <c r="AF246" i="44"/>
  <c r="AV246" i="44"/>
  <c r="BO246" i="44" s="1"/>
  <c r="AF53" i="44"/>
  <c r="AV53" i="44"/>
  <c r="AF251" i="44"/>
  <c r="AV251" i="44"/>
  <c r="AF191" i="44"/>
  <c r="AV191" i="44"/>
  <c r="AF199" i="44"/>
  <c r="AV199" i="44"/>
  <c r="BO199" i="44" s="1"/>
  <c r="AF262" i="44"/>
  <c r="AV262" i="44"/>
  <c r="AF260" i="44"/>
  <c r="AV260" i="44"/>
  <c r="AF253" i="44"/>
  <c r="AV253" i="44"/>
  <c r="AF103" i="44"/>
  <c r="AV103" i="44"/>
  <c r="BO103" i="44" s="1"/>
  <c r="AV256" i="44"/>
  <c r="AF256" i="44"/>
  <c r="AF109" i="44"/>
  <c r="AV109" i="44"/>
  <c r="AV168" i="44"/>
  <c r="AF168" i="44"/>
  <c r="AF156" i="44"/>
  <c r="AV156" i="44"/>
  <c r="BO156" i="44" s="1"/>
  <c r="AF93" i="44"/>
  <c r="AV93" i="44"/>
  <c r="AV272" i="44"/>
  <c r="BO272" i="44" s="1"/>
  <c r="AF272" i="44"/>
  <c r="AF284" i="44"/>
  <c r="AV284" i="44"/>
  <c r="AV32" i="44"/>
  <c r="BO32" i="44" s="1"/>
  <c r="AF32" i="44"/>
  <c r="AF294" i="44"/>
  <c r="AV294" i="44"/>
  <c r="AF51" i="44"/>
  <c r="AV51" i="44"/>
  <c r="AF180" i="44"/>
  <c r="AV180" i="44"/>
  <c r="AF243" i="44"/>
  <c r="AV243" i="44"/>
  <c r="BO243" i="44" s="1"/>
  <c r="AF39" i="44"/>
  <c r="AV39" i="44"/>
  <c r="AF59" i="44"/>
  <c r="AV59" i="44"/>
  <c r="AV218" i="44"/>
  <c r="AF218" i="44"/>
  <c r="AF79" i="44"/>
  <c r="AV79" i="44"/>
  <c r="BO79" i="44" s="1"/>
  <c r="AV281" i="44"/>
  <c r="AF281" i="44"/>
  <c r="AF203" i="44"/>
  <c r="AV203" i="44"/>
  <c r="AF134" i="44"/>
  <c r="AV134" i="44"/>
  <c r="AF214" i="44"/>
  <c r="AV214" i="44"/>
  <c r="BO214" i="44" s="1"/>
  <c r="AV288" i="44"/>
  <c r="AF288" i="44"/>
  <c r="AF91" i="44"/>
  <c r="AV91" i="44"/>
  <c r="AF46" i="44"/>
  <c r="AV46" i="44"/>
  <c r="AF126" i="44"/>
  <c r="AV126" i="44"/>
  <c r="BO126" i="44" s="1"/>
  <c r="AF87" i="44"/>
  <c r="AV87" i="44"/>
  <c r="AV296" i="44"/>
  <c r="AF296" i="44"/>
  <c r="AV137" i="44"/>
  <c r="AF137" i="44"/>
  <c r="AV265" i="44"/>
  <c r="BO265" i="44" s="1"/>
  <c r="AF265" i="44"/>
  <c r="AV98" i="44"/>
  <c r="AF98" i="44"/>
  <c r="AF205" i="44"/>
  <c r="AV205" i="44"/>
  <c r="AF207" i="44"/>
  <c r="AV207" i="44"/>
  <c r="AV154" i="44"/>
  <c r="BO154" i="44" s="1"/>
  <c r="AF154" i="44"/>
  <c r="AF55" i="44"/>
  <c r="AV55" i="44"/>
  <c r="AV49" i="44"/>
  <c r="BO49" i="44" s="1"/>
  <c r="AF49" i="44"/>
  <c r="AF27" i="44"/>
  <c r="AV27" i="44"/>
  <c r="AF36" i="44"/>
  <c r="AV36" i="44"/>
  <c r="BO36" i="44" s="1"/>
  <c r="AV106" i="44"/>
  <c r="AF106" i="44"/>
  <c r="AV280" i="44"/>
  <c r="AF280" i="44"/>
  <c r="AV40" i="44"/>
  <c r="AF40" i="44"/>
  <c r="AV282" i="44"/>
  <c r="BO282" i="44" s="1"/>
  <c r="AF282" i="44"/>
  <c r="AF43" i="44"/>
  <c r="AV43" i="44"/>
  <c r="AF204" i="44"/>
  <c r="AV204" i="44"/>
  <c r="AF131" i="44"/>
  <c r="AV131" i="44"/>
  <c r="AF182" i="44"/>
  <c r="AV182" i="44"/>
  <c r="BO182" i="44" s="1"/>
  <c r="AV176" i="44"/>
  <c r="AF176" i="44"/>
  <c r="AF157" i="44"/>
  <c r="AV157" i="44"/>
  <c r="AF172" i="44"/>
  <c r="AV172" i="44"/>
  <c r="AV42" i="44"/>
  <c r="BO42" i="44" s="1"/>
  <c r="AF42" i="44"/>
  <c r="AV232" i="44"/>
  <c r="AF232" i="44"/>
  <c r="AF77" i="44"/>
  <c r="AV77" i="44"/>
  <c r="AF300" i="44"/>
  <c r="AV300" i="44"/>
  <c r="AF30" i="44"/>
  <c r="AV30" i="44"/>
  <c r="BO30" i="44" s="1"/>
  <c r="AV26" i="44"/>
  <c r="AF26" i="44"/>
  <c r="AF219" i="44"/>
  <c r="AV219" i="44"/>
  <c r="AF278" i="44"/>
  <c r="AV278" i="44"/>
  <c r="AF61" i="44"/>
  <c r="AV61" i="44"/>
  <c r="BO61" i="44" s="1"/>
  <c r="AF171" i="44"/>
  <c r="AV171" i="44"/>
  <c r="AV18" i="44"/>
  <c r="AF18" i="44"/>
  <c r="AF101" i="44"/>
  <c r="AV101" i="44"/>
  <c r="AF63" i="44"/>
  <c r="AV63" i="44"/>
  <c r="BO63" i="44" s="1"/>
  <c r="AV200" i="44"/>
  <c r="AF200" i="44"/>
  <c r="AV114" i="44"/>
  <c r="BO114" i="44" s="1"/>
  <c r="AF114" i="44"/>
  <c r="AV128" i="44"/>
  <c r="AF128" i="44"/>
  <c r="AF142" i="44"/>
  <c r="AV142" i="44"/>
  <c r="BO142" i="44" s="1"/>
  <c r="AV122" i="44"/>
  <c r="AF122" i="44"/>
  <c r="AV258" i="44"/>
  <c r="BO258" i="44" s="1"/>
  <c r="AF258" i="44"/>
  <c r="AF23" i="44"/>
  <c r="AV23" i="44"/>
  <c r="AF230" i="44"/>
  <c r="AV230" i="44"/>
  <c r="BO230" i="44" s="1"/>
  <c r="AF292" i="44"/>
  <c r="AV292" i="44"/>
  <c r="AV240" i="44"/>
  <c r="AF240" i="44"/>
  <c r="AF293" i="44"/>
  <c r="AV293" i="44"/>
  <c r="AV169" i="44"/>
  <c r="BO169" i="44" s="1"/>
  <c r="AF169" i="44"/>
  <c r="AF20" i="44"/>
  <c r="AV20" i="44"/>
  <c r="AV16" i="44"/>
  <c r="BO16" i="44" s="1"/>
  <c r="AF16" i="44"/>
  <c r="AF70" i="44"/>
  <c r="AV70" i="44"/>
  <c r="AV208" i="44"/>
  <c r="BO208" i="44" s="1"/>
  <c r="AF208" i="44"/>
  <c r="AV73" i="44"/>
  <c r="AF73" i="44"/>
  <c r="AF220" i="44"/>
  <c r="AV220" i="44"/>
  <c r="AF125" i="44"/>
  <c r="AV125" i="44"/>
  <c r="AF135" i="44"/>
  <c r="AV135" i="44"/>
  <c r="BO135" i="44" s="1"/>
  <c r="AF71" i="44"/>
  <c r="AV71" i="44"/>
  <c r="AV130" i="44"/>
  <c r="BO130" i="44" s="1"/>
  <c r="AF130" i="44"/>
  <c r="AF195" i="44"/>
  <c r="AV195" i="44"/>
  <c r="AV209" i="44"/>
  <c r="BO209" i="44" s="1"/>
  <c r="AF209" i="44"/>
  <c r="AF174" i="44"/>
  <c r="AV174" i="44"/>
  <c r="AF147" i="44"/>
  <c r="AV147" i="44"/>
  <c r="BO147" i="44" s="1"/>
  <c r="AF255" i="44"/>
  <c r="AV255" i="44"/>
  <c r="AV224" i="44"/>
  <c r="AF224" i="44"/>
  <c r="AF254" i="44"/>
  <c r="AV254" i="44"/>
  <c r="AV202" i="44"/>
  <c r="BO202" i="44" s="1"/>
  <c r="AF202" i="44"/>
  <c r="AV152" i="44"/>
  <c r="AF152" i="44"/>
  <c r="AF47" i="44"/>
  <c r="AV47" i="44"/>
  <c r="BO47" i="44" s="1"/>
  <c r="AF245" i="44"/>
  <c r="AV245" i="44"/>
  <c r="AV257" i="44"/>
  <c r="BO257" i="44" s="1"/>
  <c r="AF257" i="44"/>
  <c r="AV192" i="44"/>
  <c r="AF192" i="44"/>
  <c r="AF167" i="44"/>
  <c r="AV167" i="44"/>
  <c r="BO167" i="44" s="1"/>
  <c r="AF22" i="44"/>
  <c r="AV22" i="44"/>
  <c r="AF212" i="44"/>
  <c r="AV212" i="44"/>
  <c r="BO212" i="44" s="1"/>
  <c r="AF140" i="44"/>
  <c r="AV140" i="44"/>
  <c r="AV241" i="44"/>
  <c r="BO241" i="44" s="1"/>
  <c r="AF241" i="44"/>
  <c r="AF229" i="44"/>
  <c r="AV229" i="44"/>
  <c r="AF165" i="44"/>
  <c r="AV165" i="44"/>
  <c r="BO165" i="44" s="1"/>
  <c r="AV170" i="44"/>
  <c r="AF170" i="44"/>
  <c r="AV81" i="44"/>
  <c r="BO81" i="44" s="1"/>
  <c r="AF81" i="44"/>
  <c r="AV184" i="44"/>
  <c r="AF184" i="44"/>
  <c r="AF228" i="44"/>
  <c r="AV228" i="44"/>
  <c r="BO228" i="44" s="1"/>
  <c r="AF222" i="44"/>
  <c r="AV222" i="44"/>
  <c r="AF198" i="44"/>
  <c r="AV198" i="44"/>
  <c r="BO198" i="44" s="1"/>
  <c r="AF236" i="44"/>
  <c r="AV236" i="44"/>
  <c r="AF133" i="44"/>
  <c r="AV133" i="44"/>
  <c r="AF78" i="44"/>
  <c r="AV78" i="44"/>
  <c r="AV201" i="44"/>
  <c r="BO201" i="44" s="1"/>
  <c r="AF201" i="44"/>
  <c r="AF189" i="44"/>
  <c r="AV189" i="44"/>
  <c r="AV161" i="44"/>
  <c r="AF161" i="44"/>
  <c r="AV57" i="44"/>
  <c r="AF57" i="44"/>
  <c r="AV249" i="44"/>
  <c r="BO249" i="44" s="1"/>
  <c r="AF249" i="44"/>
  <c r="AF270" i="44"/>
  <c r="AV270" i="44"/>
  <c r="AV289" i="44"/>
  <c r="BO289" i="44" s="1"/>
  <c r="AF289" i="44"/>
  <c r="AF291" i="44"/>
  <c r="AV291" i="44"/>
  <c r="AV177" i="44"/>
  <c r="BO177" i="44" s="1"/>
  <c r="AF177" i="44"/>
  <c r="AV34" i="44"/>
  <c r="AF34" i="44"/>
  <c r="AF123" i="44"/>
  <c r="AV123" i="44"/>
  <c r="BO123" i="44" s="1"/>
  <c r="AV264" i="44"/>
  <c r="AF264" i="44"/>
  <c r="AF238" i="44"/>
  <c r="AV238" i="44"/>
  <c r="BO238" i="44" s="1"/>
  <c r="AF155" i="44"/>
  <c r="AV155" i="44"/>
  <c r="AF117" i="44"/>
  <c r="AV117" i="44"/>
  <c r="BO117" i="44" s="1"/>
  <c r="AV146" i="44"/>
  <c r="AF146" i="44"/>
  <c r="AV274" i="44"/>
  <c r="BO274" i="44" s="1"/>
  <c r="AF274" i="44"/>
  <c r="AF151" i="44"/>
  <c r="AV151" i="44"/>
  <c r="AF187" i="44"/>
  <c r="AV187" i="44"/>
  <c r="AF99" i="44"/>
  <c r="AV99" i="44"/>
  <c r="AF269" i="44"/>
  <c r="AV269" i="44"/>
  <c r="BO269" i="44" s="1"/>
  <c r="AF150" i="44"/>
  <c r="AV150" i="44"/>
  <c r="AF141" i="44"/>
  <c r="AV141" i="44"/>
  <c r="BO141" i="44" s="1"/>
  <c r="AF188" i="44"/>
  <c r="AV188" i="44"/>
  <c r="AV82" i="44"/>
  <c r="BO82" i="44" s="1"/>
  <c r="AF82" i="44"/>
  <c r="AF118" i="44"/>
  <c r="AV118" i="44"/>
  <c r="AV96" i="44"/>
  <c r="BO96" i="44" s="1"/>
  <c r="AF96" i="44"/>
  <c r="AV50" i="44"/>
  <c r="AF50" i="44"/>
  <c r="AF28" i="44"/>
  <c r="AV28" i="44"/>
  <c r="BO28" i="44" s="1"/>
  <c r="AV105" i="44"/>
  <c r="AF105" i="44"/>
  <c r="AV24" i="44"/>
  <c r="AF24" i="44"/>
  <c r="AF227" i="44"/>
  <c r="AV227" i="44"/>
  <c r="AF15" i="44"/>
  <c r="AV15" i="44"/>
  <c r="BO15" i="44" s="1"/>
  <c r="AF303" i="44"/>
  <c r="AV303" i="44"/>
  <c r="BO303" i="44" s="1"/>
  <c r="AF244" i="44"/>
  <c r="AV244" i="44"/>
  <c r="BO244" i="44" s="1"/>
  <c r="AF38" i="44"/>
  <c r="AV38" i="44"/>
  <c r="AV266" i="44"/>
  <c r="BO266" i="44" s="1"/>
  <c r="AF266" i="44"/>
  <c r="AF213" i="44"/>
  <c r="AV213" i="44"/>
  <c r="AF295" i="44"/>
  <c r="AV295" i="44"/>
  <c r="BO295" i="44" s="1"/>
  <c r="AF19" i="44"/>
  <c r="AV19" i="44"/>
  <c r="AF127" i="44"/>
  <c r="AV127" i="44"/>
  <c r="BO127" i="44" s="1"/>
  <c r="AF83" i="44"/>
  <c r="AV83" i="44"/>
  <c r="BO83" i="44" s="1"/>
  <c r="AF287" i="44"/>
  <c r="AV287" i="44"/>
  <c r="BO287" i="44" s="1"/>
  <c r="AF67" i="44"/>
  <c r="AV67" i="44"/>
  <c r="AF211" i="44"/>
  <c r="AV211" i="44"/>
  <c r="BO211" i="44" s="1"/>
  <c r="AF45" i="44"/>
  <c r="AV45" i="44"/>
  <c r="AF268" i="44"/>
  <c r="AV268" i="44"/>
  <c r="BO268" i="44" s="1"/>
  <c r="AF261" i="44"/>
  <c r="AV261" i="44"/>
  <c r="AF69" i="44"/>
  <c r="AV69" i="44"/>
  <c r="BO69" i="44" s="1"/>
  <c r="AV226" i="44"/>
  <c r="AF226" i="44"/>
  <c r="AF31" i="44"/>
  <c r="AV31" i="44"/>
  <c r="BO31" i="44" s="1"/>
  <c r="AF115" i="44"/>
  <c r="AV115" i="44"/>
  <c r="AV74" i="44"/>
  <c r="BO74" i="44" s="1"/>
  <c r="AF74" i="44"/>
  <c r="AV144" i="44"/>
  <c r="AF144" i="44"/>
  <c r="AV193" i="44"/>
  <c r="AF193" i="44"/>
  <c r="AV194" i="44"/>
  <c r="AF194" i="44"/>
  <c r="AF285" i="44"/>
  <c r="AV285" i="44"/>
  <c r="BO285" i="44" s="1"/>
  <c r="AF159" i="44"/>
  <c r="AV159" i="44"/>
  <c r="BO159" i="44" s="1"/>
  <c r="AV250" i="44"/>
  <c r="AF250" i="44"/>
  <c r="AF35" i="44"/>
  <c r="AV35" i="44"/>
  <c r="AF196" i="44"/>
  <c r="AV196" i="44"/>
  <c r="BO196" i="44" s="1"/>
  <c r="AF110" i="44"/>
  <c r="AV110" i="44"/>
  <c r="AF239" i="44"/>
  <c r="AV239" i="44"/>
  <c r="BO239" i="44" s="1"/>
  <c r="AF44" i="44"/>
  <c r="AV44" i="44"/>
  <c r="AF235" i="44"/>
  <c r="AV235" i="44"/>
  <c r="BO235" i="44" s="1"/>
  <c r="AF206" i="44"/>
  <c r="AV206" i="44"/>
  <c r="BO206" i="44" s="1"/>
  <c r="AF276" i="44"/>
  <c r="AV276" i="44"/>
  <c r="BO276" i="44" s="1"/>
  <c r="AF286" i="44"/>
  <c r="AV286" i="44"/>
  <c r="BO148" i="44"/>
  <c r="BO78" i="44"/>
  <c r="BO94" i="44"/>
  <c r="BO175" i="44"/>
  <c r="BO271" i="44"/>
  <c r="BO122" i="44"/>
  <c r="BO298" i="44"/>
  <c r="BO162" i="44"/>
  <c r="BO164" i="44"/>
  <c r="BO166" i="44"/>
  <c r="BO23" i="44"/>
  <c r="BO210" i="44"/>
  <c r="BO279" i="44"/>
  <c r="BO216" i="44"/>
  <c r="BO247" i="44"/>
  <c r="BO190" i="44"/>
  <c r="BO143" i="44"/>
  <c r="BO292" i="44"/>
  <c r="BO259" i="44"/>
  <c r="BO183" i="44"/>
  <c r="BO240" i="44"/>
  <c r="BO163" i="44"/>
  <c r="BO293" i="44"/>
  <c r="BO299" i="44"/>
  <c r="BO107" i="44"/>
  <c r="BO75" i="44"/>
  <c r="BO290" i="44"/>
  <c r="BO119" i="44"/>
  <c r="BO20" i="44"/>
  <c r="BO288" i="44"/>
  <c r="BO105" i="44"/>
  <c r="BO87" i="44"/>
  <c r="BO304" i="44"/>
  <c r="BO173" i="44"/>
  <c r="BO307" i="44"/>
  <c r="BO178" i="44"/>
  <c r="BO248" i="44"/>
  <c r="BO62" i="44"/>
  <c r="BO98" i="44"/>
  <c r="BO197" i="44"/>
  <c r="BO205" i="44"/>
  <c r="BO207" i="44"/>
  <c r="BO160" i="44"/>
  <c r="BO55" i="44"/>
  <c r="BO53" i="44"/>
  <c r="BO251" i="44"/>
  <c r="BO191" i="44"/>
  <c r="BO262" i="44"/>
  <c r="BO260" i="44"/>
  <c r="BO253" i="44"/>
  <c r="BO256" i="44"/>
  <c r="BO109" i="44"/>
  <c r="BO168" i="44"/>
  <c r="BO93" i="44"/>
  <c r="BO284" i="44"/>
  <c r="BO294" i="44"/>
  <c r="BO51" i="44"/>
  <c r="BO180" i="44"/>
  <c r="BO39" i="44"/>
  <c r="BO59" i="44"/>
  <c r="BO218" i="44"/>
  <c r="BO281" i="44"/>
  <c r="BO203" i="44"/>
  <c r="BO134" i="44"/>
  <c r="BO50" i="44"/>
  <c r="BO18" i="44"/>
  <c r="BO296" i="44"/>
  <c r="BO128" i="44"/>
  <c r="BO136" i="44"/>
  <c r="BO252" i="44"/>
  <c r="BO86" i="44"/>
  <c r="BO215" i="44"/>
  <c r="BO46" i="44"/>
  <c r="BO24" i="44"/>
  <c r="BO200" i="44"/>
  <c r="BO234" i="44"/>
  <c r="BO65" i="44"/>
  <c r="BO106" i="44"/>
  <c r="BO43" i="44"/>
  <c r="BO172" i="44"/>
  <c r="BO232" i="44"/>
  <c r="BO219" i="44"/>
  <c r="BO278" i="44"/>
  <c r="BO70" i="44"/>
  <c r="BO73" i="44"/>
  <c r="BO220" i="44"/>
  <c r="BO125" i="44"/>
  <c r="BO71" i="44"/>
  <c r="BO195" i="44"/>
  <c r="BO174" i="44"/>
  <c r="BO255" i="44"/>
  <c r="BO224" i="44"/>
  <c r="BO254" i="44"/>
  <c r="BO152" i="44"/>
  <c r="BO245" i="44"/>
  <c r="BO192" i="44"/>
  <c r="BO22" i="44"/>
  <c r="BO140" i="44"/>
  <c r="BO229" i="44"/>
  <c r="BO170" i="44"/>
  <c r="BO184" i="44"/>
  <c r="BO222" i="44"/>
  <c r="BO236" i="44"/>
  <c r="BO133" i="44"/>
  <c r="BO171" i="44"/>
  <c r="BO97" i="44"/>
  <c r="BO101" i="44"/>
  <c r="BO137" i="44"/>
  <c r="BO58" i="44"/>
  <c r="BO277" i="44"/>
  <c r="BO179" i="44"/>
  <c r="BO283" i="44"/>
  <c r="BO149" i="44"/>
  <c r="BO27" i="44"/>
  <c r="BO280" i="44"/>
  <c r="BO131" i="44"/>
  <c r="BO157" i="44"/>
  <c r="BO300" i="44"/>
  <c r="BO57" i="44"/>
  <c r="BO270" i="44"/>
  <c r="BO291" i="44"/>
  <c r="BO34" i="44"/>
  <c r="BO264" i="44"/>
  <c r="BO155" i="44"/>
  <c r="BO146" i="44"/>
  <c r="BO151" i="44"/>
  <c r="BO187" i="44"/>
  <c r="BO99" i="44"/>
  <c r="BO150" i="44"/>
  <c r="BO188" i="44"/>
  <c r="BO118" i="44"/>
  <c r="BO263" i="44"/>
  <c r="BO242" i="44"/>
  <c r="BO90" i="44"/>
  <c r="BO40" i="44"/>
  <c r="BO204" i="44"/>
  <c r="BO176" i="44"/>
  <c r="BO77" i="44"/>
  <c r="BO26" i="44"/>
  <c r="BO189" i="44"/>
  <c r="BO161" i="44"/>
  <c r="BO227" i="44"/>
  <c r="BO38" i="44"/>
  <c r="BO213" i="44"/>
  <c r="BO19" i="44"/>
  <c r="BO67" i="44"/>
  <c r="BO45" i="44"/>
  <c r="BO261" i="44"/>
  <c r="BO226" i="44"/>
  <c r="BO115" i="44"/>
  <c r="BO144" i="44"/>
  <c r="BO193" i="44"/>
  <c r="BO194" i="44"/>
  <c r="BO250" i="44"/>
  <c r="BO35" i="44"/>
  <c r="BO110" i="44"/>
  <c r="BO44" i="44"/>
  <c r="BO286" i="44"/>
  <c r="BO91" i="44"/>
  <c r="BO302" i="44"/>
  <c r="N85" i="66"/>
  <c r="AE215" i="44"/>
  <c r="AU215" i="44"/>
  <c r="AU18" i="44"/>
  <c r="AE18" i="44"/>
  <c r="AE227" i="44"/>
  <c r="AU227" i="44"/>
  <c r="BN227" i="44" s="1"/>
  <c r="AU15" i="44"/>
  <c r="AE15" i="44"/>
  <c r="AE303" i="44"/>
  <c r="AU303" i="44"/>
  <c r="AE244" i="44"/>
  <c r="AU244" i="44"/>
  <c r="BN244" i="44" s="1"/>
  <c r="AE38" i="44"/>
  <c r="AU38" i="44"/>
  <c r="BN38" i="44" s="1"/>
  <c r="AU266" i="44"/>
  <c r="BN266" i="44" s="1"/>
  <c r="AE266" i="44"/>
  <c r="AE213" i="44"/>
  <c r="AU213" i="44"/>
  <c r="AU295" i="44"/>
  <c r="BN295" i="44" s="1"/>
  <c r="AE295" i="44"/>
  <c r="AE19" i="44"/>
  <c r="AU19" i="44"/>
  <c r="BN19" i="44" s="1"/>
  <c r="AU127" i="44"/>
  <c r="BN127" i="44" s="1"/>
  <c r="AE127" i="44"/>
  <c r="AE83" i="44"/>
  <c r="AU83" i="44"/>
  <c r="AU287" i="44"/>
  <c r="BN287" i="44" s="1"/>
  <c r="AE287" i="44"/>
  <c r="AE67" i="44"/>
  <c r="AU67" i="44"/>
  <c r="BN67" i="44" s="1"/>
  <c r="AE211" i="44"/>
  <c r="AU211" i="44"/>
  <c r="BN211" i="44" s="1"/>
  <c r="AE45" i="44"/>
  <c r="AU45" i="44"/>
  <c r="AE268" i="44"/>
  <c r="AU268" i="44"/>
  <c r="AE261" i="44"/>
  <c r="AU261" i="44"/>
  <c r="BN261" i="44" s="1"/>
  <c r="AE69" i="44"/>
  <c r="AU69" i="44"/>
  <c r="BN69" i="44" s="1"/>
  <c r="AU226" i="44"/>
  <c r="AE226" i="44"/>
  <c r="AU31" i="44"/>
  <c r="BN31" i="44" s="1"/>
  <c r="AE31" i="44"/>
  <c r="AE115" i="44"/>
  <c r="AU115" i="44"/>
  <c r="BN115" i="44" s="1"/>
  <c r="AU74" i="44"/>
  <c r="BN74" i="44" s="1"/>
  <c r="AE74" i="44"/>
  <c r="AE144" i="44"/>
  <c r="AU144" i="44"/>
  <c r="AU193" i="44"/>
  <c r="BN193" i="44" s="1"/>
  <c r="AE193" i="44"/>
  <c r="AU194" i="44"/>
  <c r="AE194" i="44"/>
  <c r="AE285" i="44"/>
  <c r="AU285" i="44"/>
  <c r="BN285" i="44" s="1"/>
  <c r="AE159" i="44"/>
  <c r="AU159" i="44"/>
  <c r="AU250" i="44"/>
  <c r="BN250" i="44" s="1"/>
  <c r="AE250" i="44"/>
  <c r="AE35" i="44"/>
  <c r="AU35" i="44"/>
  <c r="BN35" i="44" s="1"/>
  <c r="AE196" i="44"/>
  <c r="AU196" i="44"/>
  <c r="BN196" i="44" s="1"/>
  <c r="AE110" i="44"/>
  <c r="AU110" i="44"/>
  <c r="AU239" i="44"/>
  <c r="BN239" i="44" s="1"/>
  <c r="AE239" i="44"/>
  <c r="AE44" i="44"/>
  <c r="AU44" i="44"/>
  <c r="BN44" i="44" s="1"/>
  <c r="AE235" i="44"/>
  <c r="AU235" i="44"/>
  <c r="BN235" i="44" s="1"/>
  <c r="AE206" i="44"/>
  <c r="AU206" i="44"/>
  <c r="AE276" i="44"/>
  <c r="AU276" i="44"/>
  <c r="BN276" i="44" s="1"/>
  <c r="AE286" i="44"/>
  <c r="AU286" i="44"/>
  <c r="BN286" i="44" s="1"/>
  <c r="AU50" i="44"/>
  <c r="BN50" i="44" s="1"/>
  <c r="AE50" i="44"/>
  <c r="AE91" i="44"/>
  <c r="AU91" i="44"/>
  <c r="AE46" i="44"/>
  <c r="AU46" i="44"/>
  <c r="BN46" i="44" s="1"/>
  <c r="AE126" i="44"/>
  <c r="AU126" i="44"/>
  <c r="BN126" i="44" s="1"/>
  <c r="AU63" i="44"/>
  <c r="BN63" i="44" s="1"/>
  <c r="AE63" i="44"/>
  <c r="AE148" i="44"/>
  <c r="AU148" i="44"/>
  <c r="AE78" i="44"/>
  <c r="AU78" i="44"/>
  <c r="AE94" i="44"/>
  <c r="AU94" i="44"/>
  <c r="BN94" i="44" s="1"/>
  <c r="AU66" i="44"/>
  <c r="BN66" i="44" s="1"/>
  <c r="AE66" i="44"/>
  <c r="AU175" i="44"/>
  <c r="BN175" i="44" s="1"/>
  <c r="AE175" i="44"/>
  <c r="AE142" i="44"/>
  <c r="AU142" i="44"/>
  <c r="BN142" i="44" s="1"/>
  <c r="AE271" i="44"/>
  <c r="AU271" i="44"/>
  <c r="BN271" i="44" s="1"/>
  <c r="AU306" i="44"/>
  <c r="BN306" i="44" s="1"/>
  <c r="AE306" i="44"/>
  <c r="AU122" i="44"/>
  <c r="BN122" i="44" s="1"/>
  <c r="AE122" i="44"/>
  <c r="AU298" i="44"/>
  <c r="BN298" i="44" s="1"/>
  <c r="AE298" i="44"/>
  <c r="AU162" i="44"/>
  <c r="AE162" i="44"/>
  <c r="AE164" i="44"/>
  <c r="AU164" i="44"/>
  <c r="BN164" i="44" s="1"/>
  <c r="AU258" i="44"/>
  <c r="BN258" i="44" s="1"/>
  <c r="AE258" i="44"/>
  <c r="AE166" i="44"/>
  <c r="AU166" i="44"/>
  <c r="BN166" i="44" s="1"/>
  <c r="AU89" i="44"/>
  <c r="AE89" i="44"/>
  <c r="AU23" i="44"/>
  <c r="BN23" i="44" s="1"/>
  <c r="AE23" i="44"/>
  <c r="AU210" i="44"/>
  <c r="BN210" i="44" s="1"/>
  <c r="AE210" i="44"/>
  <c r="AU279" i="44"/>
  <c r="BN279" i="44" s="1"/>
  <c r="AE279" i="44"/>
  <c r="AE230" i="44"/>
  <c r="AU230" i="44"/>
  <c r="BN230" i="44" s="1"/>
  <c r="AE216" i="44"/>
  <c r="AU216" i="44"/>
  <c r="BN216" i="44" s="1"/>
  <c r="AE247" i="44"/>
  <c r="AU247" i="44"/>
  <c r="AE190" i="44"/>
  <c r="AU190" i="44"/>
  <c r="AE143" i="44"/>
  <c r="AU143" i="44"/>
  <c r="BN143" i="44" s="1"/>
  <c r="AE292" i="44"/>
  <c r="AU292" i="44"/>
  <c r="BN292" i="44" s="1"/>
  <c r="AE259" i="44"/>
  <c r="AU259" i="44"/>
  <c r="AE54" i="44"/>
  <c r="AU54" i="44"/>
  <c r="BN54" i="44" s="1"/>
  <c r="AU183" i="44"/>
  <c r="AE183" i="44"/>
  <c r="AE240" i="44"/>
  <c r="AU240" i="44"/>
  <c r="BN240" i="44" s="1"/>
  <c r="AE163" i="44"/>
  <c r="AU163" i="44"/>
  <c r="AE85" i="44"/>
  <c r="AU85" i="44"/>
  <c r="BN85" i="44" s="1"/>
  <c r="AE293" i="44"/>
  <c r="AU293" i="44"/>
  <c r="BN293" i="44" s="1"/>
  <c r="AE299" i="44"/>
  <c r="AU299" i="44"/>
  <c r="BN299" i="44" s="1"/>
  <c r="AE107" i="44"/>
  <c r="AU107" i="44"/>
  <c r="AU169" i="44"/>
  <c r="BN169" i="44" s="1"/>
  <c r="AE169" i="44"/>
  <c r="AE75" i="44"/>
  <c r="AU75" i="44"/>
  <c r="BN75" i="44" s="1"/>
  <c r="AU290" i="44"/>
  <c r="BN290" i="44" s="1"/>
  <c r="AE290" i="44"/>
  <c r="AU119" i="44"/>
  <c r="AE119" i="44"/>
  <c r="AE20" i="44"/>
  <c r="AU20" i="44"/>
  <c r="AE158" i="44"/>
  <c r="AU158" i="44"/>
  <c r="BN158" i="44" s="1"/>
  <c r="AU121" i="44"/>
  <c r="BN121" i="44" s="1"/>
  <c r="AE121" i="44"/>
  <c r="AE304" i="44"/>
  <c r="AU304" i="44"/>
  <c r="AE139" i="44"/>
  <c r="AU139" i="44"/>
  <c r="AE179" i="44"/>
  <c r="AU179" i="44"/>
  <c r="AE307" i="44"/>
  <c r="AU307" i="44"/>
  <c r="BN307" i="44" s="1"/>
  <c r="AE149" i="44"/>
  <c r="AU149" i="44"/>
  <c r="AE283" i="44"/>
  <c r="AU283" i="44"/>
  <c r="BN283" i="44" s="1"/>
  <c r="AE95" i="44"/>
  <c r="AU95" i="44"/>
  <c r="BN95" i="44" s="1"/>
  <c r="AU178" i="44"/>
  <c r="BN178" i="44" s="1"/>
  <c r="AE178" i="44"/>
  <c r="AE86" i="44"/>
  <c r="AU86" i="44"/>
  <c r="AE62" i="44"/>
  <c r="AU62" i="44"/>
  <c r="AU90" i="44"/>
  <c r="BN90" i="44" s="1"/>
  <c r="AE90" i="44"/>
  <c r="AE197" i="44"/>
  <c r="AU197" i="44"/>
  <c r="BN197" i="44" s="1"/>
  <c r="AE205" i="44"/>
  <c r="AU205" i="44"/>
  <c r="AU138" i="44"/>
  <c r="BN138" i="44" s="1"/>
  <c r="AE138" i="44"/>
  <c r="AE207" i="44"/>
  <c r="AU207" i="44"/>
  <c r="BN207" i="44" s="1"/>
  <c r="AE160" i="44"/>
  <c r="AU160" i="44"/>
  <c r="BN160" i="44" s="1"/>
  <c r="AU154" i="44"/>
  <c r="BN154" i="44" s="1"/>
  <c r="AE154" i="44"/>
  <c r="AE246" i="44"/>
  <c r="AU246" i="44"/>
  <c r="BN246" i="44" s="1"/>
  <c r="AE55" i="44"/>
  <c r="AU55" i="44"/>
  <c r="BN55" i="44" s="1"/>
  <c r="AE53" i="44"/>
  <c r="AU53" i="44"/>
  <c r="BN53" i="44" s="1"/>
  <c r="AE251" i="44"/>
  <c r="AU251" i="44"/>
  <c r="AE191" i="44"/>
  <c r="AU191" i="44"/>
  <c r="AU199" i="44"/>
  <c r="BN199" i="44" s="1"/>
  <c r="AE199" i="44"/>
  <c r="AU49" i="44"/>
  <c r="BN49" i="44" s="1"/>
  <c r="AE49" i="44"/>
  <c r="AE262" i="44"/>
  <c r="AU262" i="44"/>
  <c r="AE260" i="44"/>
  <c r="AU260" i="44"/>
  <c r="BN260" i="44" s="1"/>
  <c r="AE253" i="44"/>
  <c r="AU253" i="44"/>
  <c r="BN253" i="44" s="1"/>
  <c r="AU103" i="44"/>
  <c r="BN103" i="44" s="1"/>
  <c r="AE103" i="44"/>
  <c r="AE256" i="44"/>
  <c r="AU256" i="44"/>
  <c r="AE109" i="44"/>
  <c r="AU109" i="44"/>
  <c r="BN109" i="44" s="1"/>
  <c r="AE168" i="44"/>
  <c r="AU168" i="44"/>
  <c r="BN168" i="44" s="1"/>
  <c r="AE156" i="44"/>
  <c r="AU156" i="44"/>
  <c r="BN156" i="44" s="1"/>
  <c r="AE93" i="44"/>
  <c r="AU93" i="44"/>
  <c r="AE272" i="44"/>
  <c r="AU272" i="44"/>
  <c r="BN272" i="44" s="1"/>
  <c r="AE284" i="44"/>
  <c r="AU284" i="44"/>
  <c r="BN284" i="44" s="1"/>
  <c r="AE32" i="44"/>
  <c r="AU32" i="44"/>
  <c r="BN32" i="44" s="1"/>
  <c r="AE294" i="44"/>
  <c r="AU294" i="44"/>
  <c r="BN294" i="44" s="1"/>
  <c r="AE51" i="44"/>
  <c r="AU51" i="44"/>
  <c r="AE180" i="44"/>
  <c r="AU180" i="44"/>
  <c r="BN180" i="44" s="1"/>
  <c r="AE243" i="44"/>
  <c r="AU243" i="44"/>
  <c r="BN243" i="44" s="1"/>
  <c r="AU39" i="44"/>
  <c r="BN39" i="44" s="1"/>
  <c r="AE39" i="44"/>
  <c r="AE59" i="44"/>
  <c r="AU59" i="44"/>
  <c r="BN59" i="44" s="1"/>
  <c r="AU218" i="44"/>
  <c r="AE218" i="44"/>
  <c r="AE79" i="44"/>
  <c r="AU79" i="44"/>
  <c r="BN79" i="44" s="1"/>
  <c r="AU281" i="44"/>
  <c r="BN281" i="44" s="1"/>
  <c r="AE281" i="44"/>
  <c r="AE203" i="44"/>
  <c r="AU203" i="44"/>
  <c r="AE134" i="44"/>
  <c r="AU134" i="44"/>
  <c r="BN134" i="44" s="1"/>
  <c r="AE214" i="44"/>
  <c r="AU214" i="44"/>
  <c r="BN214" i="44" s="1"/>
  <c r="AE288" i="44"/>
  <c r="AU288" i="44"/>
  <c r="BN288" i="44" s="1"/>
  <c r="AE28" i="44"/>
  <c r="AU28" i="44"/>
  <c r="BN28" i="44" s="1"/>
  <c r="AE101" i="44"/>
  <c r="AU101" i="44"/>
  <c r="BN101" i="44" s="1"/>
  <c r="AE24" i="44"/>
  <c r="AU24" i="44"/>
  <c r="BN24" i="44" s="1"/>
  <c r="AE200" i="44"/>
  <c r="AU200" i="44"/>
  <c r="AE302" i="44"/>
  <c r="AU302" i="44"/>
  <c r="BN302" i="44" s="1"/>
  <c r="AU58" i="44"/>
  <c r="BN58" i="44" s="1"/>
  <c r="AE58" i="44"/>
  <c r="AU265" i="44"/>
  <c r="BN265" i="44" s="1"/>
  <c r="AE265" i="44"/>
  <c r="AE128" i="44"/>
  <c r="AU128" i="44"/>
  <c r="BN128" i="44" s="1"/>
  <c r="AE136" i="44"/>
  <c r="AU136" i="44"/>
  <c r="AE277" i="44"/>
  <c r="AU277" i="44"/>
  <c r="BN277" i="44" s="1"/>
  <c r="AE252" i="44"/>
  <c r="AU252" i="44"/>
  <c r="BN252" i="44" s="1"/>
  <c r="AE173" i="44"/>
  <c r="AU173" i="44"/>
  <c r="AE263" i="44"/>
  <c r="AU263" i="44"/>
  <c r="BN263" i="44" s="1"/>
  <c r="AU186" i="44"/>
  <c r="BN186" i="44" s="1"/>
  <c r="AE186" i="44"/>
  <c r="AU234" i="44"/>
  <c r="BN234" i="44" s="1"/>
  <c r="AE234" i="44"/>
  <c r="AE248" i="44"/>
  <c r="AU248" i="44"/>
  <c r="AU242" i="44"/>
  <c r="BN242" i="44" s="1"/>
  <c r="AE242" i="44"/>
  <c r="AU65" i="44"/>
  <c r="AE65" i="44"/>
  <c r="AU113" i="44"/>
  <c r="BN113" i="44" s="1"/>
  <c r="AE113" i="44"/>
  <c r="AU98" i="44"/>
  <c r="BN98" i="44" s="1"/>
  <c r="AE98" i="44"/>
  <c r="AE36" i="44"/>
  <c r="AU36" i="44"/>
  <c r="BN36" i="44" s="1"/>
  <c r="AE280" i="44"/>
  <c r="AU280" i="44"/>
  <c r="BN280" i="44" s="1"/>
  <c r="AU282" i="44"/>
  <c r="BN282" i="44" s="1"/>
  <c r="AE282" i="44"/>
  <c r="AE204" i="44"/>
  <c r="AU204" i="44"/>
  <c r="AE182" i="44"/>
  <c r="AU182" i="44"/>
  <c r="AE157" i="44"/>
  <c r="AU157" i="44"/>
  <c r="BN157" i="44" s="1"/>
  <c r="AU42" i="44"/>
  <c r="BN42" i="44" s="1"/>
  <c r="AE42" i="44"/>
  <c r="AE232" i="44"/>
  <c r="AU232" i="44"/>
  <c r="AE300" i="44"/>
  <c r="AU300" i="44"/>
  <c r="BN300" i="44" s="1"/>
  <c r="AU26" i="44"/>
  <c r="BN26" i="44" s="1"/>
  <c r="AE26" i="44"/>
  <c r="AE278" i="44"/>
  <c r="AU278" i="44"/>
  <c r="BN278" i="44" s="1"/>
  <c r="AE27" i="44"/>
  <c r="AU27" i="44"/>
  <c r="AU106" i="44"/>
  <c r="BN106" i="44" s="1"/>
  <c r="AE106" i="44"/>
  <c r="AE40" i="44"/>
  <c r="AU40" i="44"/>
  <c r="BN40" i="44" s="1"/>
  <c r="AE43" i="44"/>
  <c r="AU43" i="44"/>
  <c r="BN43" i="44" s="1"/>
  <c r="AE131" i="44"/>
  <c r="AU131" i="44"/>
  <c r="BN131" i="44" s="1"/>
  <c r="AE176" i="44"/>
  <c r="AU176" i="44"/>
  <c r="BN176" i="44" s="1"/>
  <c r="AE172" i="44"/>
  <c r="AU172" i="44"/>
  <c r="BN172" i="44" s="1"/>
  <c r="AE77" i="44"/>
  <c r="AU77" i="44"/>
  <c r="BN77" i="44" s="1"/>
  <c r="AE30" i="44"/>
  <c r="AU30" i="44"/>
  <c r="AE219" i="44"/>
  <c r="AU219" i="44"/>
  <c r="AE61" i="44"/>
  <c r="AU61" i="44"/>
  <c r="BN61" i="44" s="1"/>
  <c r="AE16" i="44"/>
  <c r="AU16" i="44"/>
  <c r="BN16" i="44" s="1"/>
  <c r="AE70" i="44"/>
  <c r="AU70" i="44"/>
  <c r="BN70" i="44" s="1"/>
  <c r="AE208" i="44"/>
  <c r="AU208" i="44"/>
  <c r="BN208" i="44" s="1"/>
  <c r="AU73" i="44"/>
  <c r="BN73" i="44" s="1"/>
  <c r="AE73" i="44"/>
  <c r="AE220" i="44"/>
  <c r="AU220" i="44"/>
  <c r="BN220" i="44" s="1"/>
  <c r="AE125" i="44"/>
  <c r="AU125" i="44"/>
  <c r="AE135" i="44"/>
  <c r="AU135" i="44"/>
  <c r="BN135" i="44" s="1"/>
  <c r="AU71" i="44"/>
  <c r="BN71" i="44" s="1"/>
  <c r="AE71" i="44"/>
  <c r="AU130" i="44"/>
  <c r="BN130" i="44" s="1"/>
  <c r="AE130" i="44"/>
  <c r="AE195" i="44"/>
  <c r="AU195" i="44"/>
  <c r="BN195" i="44" s="1"/>
  <c r="AU209" i="44"/>
  <c r="BN209" i="44" s="1"/>
  <c r="AE209" i="44"/>
  <c r="AE174" i="44"/>
  <c r="AU174" i="44"/>
  <c r="BN174" i="44" s="1"/>
  <c r="AE147" i="44"/>
  <c r="AU147" i="44"/>
  <c r="BN147" i="44" s="1"/>
  <c r="AU255" i="44"/>
  <c r="BN255" i="44" s="1"/>
  <c r="AE255" i="44"/>
  <c r="AE224" i="44"/>
  <c r="AU224" i="44"/>
  <c r="BN224" i="44" s="1"/>
  <c r="AE254" i="44"/>
  <c r="AU254" i="44"/>
  <c r="BN254" i="44" s="1"/>
  <c r="AU202" i="44"/>
  <c r="BN202" i="44" s="1"/>
  <c r="AE202" i="44"/>
  <c r="AE152" i="44"/>
  <c r="AU152" i="44"/>
  <c r="AE47" i="44"/>
  <c r="AU47" i="44"/>
  <c r="AE245" i="44"/>
  <c r="AU245" i="44"/>
  <c r="BN245" i="44" s="1"/>
  <c r="AU257" i="44"/>
  <c r="BN257" i="44" s="1"/>
  <c r="AE257" i="44"/>
  <c r="AE192" i="44"/>
  <c r="AU192" i="44"/>
  <c r="BN192" i="44" s="1"/>
  <c r="AU167" i="44"/>
  <c r="BN167" i="44" s="1"/>
  <c r="AE167" i="44"/>
  <c r="AE22" i="44"/>
  <c r="AU22" i="44"/>
  <c r="BN22" i="44" s="1"/>
  <c r="AE212" i="44"/>
  <c r="AU212" i="44"/>
  <c r="BN212" i="44" s="1"/>
  <c r="AE140" i="44"/>
  <c r="AU140" i="44"/>
  <c r="BN140" i="44" s="1"/>
  <c r="AU241" i="44"/>
  <c r="BN241" i="44" s="1"/>
  <c r="AE241" i="44"/>
  <c r="AE229" i="44"/>
  <c r="AU229" i="44"/>
  <c r="BN229" i="44" s="1"/>
  <c r="AE165" i="44"/>
  <c r="AU165" i="44"/>
  <c r="BN165" i="44" s="1"/>
  <c r="AU170" i="44"/>
  <c r="AE170" i="44"/>
  <c r="AU81" i="44"/>
  <c r="BN81" i="44" s="1"/>
  <c r="AE81" i="44"/>
  <c r="AE184" i="44"/>
  <c r="AU184" i="44"/>
  <c r="BN184" i="44" s="1"/>
  <c r="AE228" i="44"/>
  <c r="AU228" i="44"/>
  <c r="BN228" i="44" s="1"/>
  <c r="AE222" i="44"/>
  <c r="AU222" i="44"/>
  <c r="BN222" i="44" s="1"/>
  <c r="AE198" i="44"/>
  <c r="AU198" i="44"/>
  <c r="BN198" i="44" s="1"/>
  <c r="AE236" i="44"/>
  <c r="AU236" i="44"/>
  <c r="BN236" i="44" s="1"/>
  <c r="AE133" i="44"/>
  <c r="AU133" i="44"/>
  <c r="BN133" i="44" s="1"/>
  <c r="AE171" i="44"/>
  <c r="AU171" i="44"/>
  <c r="AU97" i="44"/>
  <c r="BN97" i="44" s="1"/>
  <c r="AE97" i="44"/>
  <c r="AU105" i="44"/>
  <c r="BN105" i="44" s="1"/>
  <c r="AE105" i="44"/>
  <c r="AE267" i="44"/>
  <c r="AU267" i="44"/>
  <c r="BN267" i="44" s="1"/>
  <c r="AE87" i="44"/>
  <c r="AU87" i="44"/>
  <c r="AE296" i="44"/>
  <c r="AU296" i="44"/>
  <c r="BN296" i="44" s="1"/>
  <c r="AU137" i="44"/>
  <c r="BN137" i="44" s="1"/>
  <c r="AE137" i="44"/>
  <c r="AU114" i="44"/>
  <c r="BN114" i="44" s="1"/>
  <c r="AE114" i="44"/>
  <c r="AU201" i="44"/>
  <c r="BN201" i="44" s="1"/>
  <c r="AE201" i="44"/>
  <c r="AE189" i="44"/>
  <c r="AU189" i="44"/>
  <c r="BN189" i="44" s="1"/>
  <c r="AU161" i="44"/>
  <c r="BN161" i="44" s="1"/>
  <c r="AE161" i="44"/>
  <c r="AU57" i="44"/>
  <c r="BN57" i="44" s="1"/>
  <c r="AE57" i="44"/>
  <c r="AU249" i="44"/>
  <c r="BN249" i="44" s="1"/>
  <c r="AE249" i="44"/>
  <c r="AE270" i="44"/>
  <c r="AU270" i="44"/>
  <c r="BN270" i="44" s="1"/>
  <c r="AU289" i="44"/>
  <c r="BN289" i="44" s="1"/>
  <c r="AE289" i="44"/>
  <c r="AE291" i="44"/>
  <c r="AU291" i="44"/>
  <c r="BN291" i="44" s="1"/>
  <c r="AU177" i="44"/>
  <c r="BN177" i="44" s="1"/>
  <c r="AE177" i="44"/>
  <c r="AU34" i="44"/>
  <c r="BN34" i="44" s="1"/>
  <c r="AE34" i="44"/>
  <c r="AE123" i="44"/>
  <c r="AU123" i="44"/>
  <c r="BN123" i="44" s="1"/>
  <c r="AE264" i="44"/>
  <c r="AU264" i="44"/>
  <c r="BN264" i="44" s="1"/>
  <c r="AE238" i="44"/>
  <c r="AU238" i="44"/>
  <c r="BN238" i="44" s="1"/>
  <c r="AE155" i="44"/>
  <c r="AU155" i="44"/>
  <c r="BN155" i="44" s="1"/>
  <c r="AE117" i="44"/>
  <c r="AU117" i="44"/>
  <c r="BN117" i="44" s="1"/>
  <c r="AU146" i="44"/>
  <c r="BN146" i="44" s="1"/>
  <c r="AE146" i="44"/>
  <c r="AU274" i="44"/>
  <c r="BN274" i="44" s="1"/>
  <c r="AE274" i="44"/>
  <c r="AU151" i="44"/>
  <c r="BN151" i="44" s="1"/>
  <c r="AE151" i="44"/>
  <c r="AE187" i="44"/>
  <c r="AU187" i="44"/>
  <c r="BN187" i="44" s="1"/>
  <c r="AE99" i="44"/>
  <c r="AU99" i="44"/>
  <c r="BN99" i="44" s="1"/>
  <c r="AE269" i="44"/>
  <c r="AU269" i="44"/>
  <c r="AE150" i="44"/>
  <c r="AU150" i="44"/>
  <c r="BN150" i="44" s="1"/>
  <c r="AE141" i="44"/>
  <c r="AU141" i="44"/>
  <c r="BN141" i="44" s="1"/>
  <c r="AE188" i="44"/>
  <c r="AU188" i="44"/>
  <c r="BN188" i="44" s="1"/>
  <c r="AU82" i="44"/>
  <c r="BN82" i="44" s="1"/>
  <c r="AE82" i="44"/>
  <c r="AE118" i="44"/>
  <c r="AU118" i="44"/>
  <c r="BN118" i="44" s="1"/>
  <c r="AE96" i="44"/>
  <c r="AU96" i="44"/>
  <c r="BN96" i="44" s="1"/>
  <c r="R162" i="66"/>
  <c r="BN148" i="44"/>
  <c r="BN78" i="44"/>
  <c r="BN162" i="44"/>
  <c r="BN89" i="44"/>
  <c r="BN247" i="44"/>
  <c r="BN190" i="44"/>
  <c r="BN259" i="44"/>
  <c r="BN183" i="44"/>
  <c r="BN163" i="44"/>
  <c r="BN107" i="44"/>
  <c r="BN119" i="44"/>
  <c r="BN20" i="44"/>
  <c r="BN83" i="44"/>
  <c r="BN171" i="44"/>
  <c r="BN149" i="44"/>
  <c r="BN86" i="44"/>
  <c r="BN205" i="44"/>
  <c r="BN251" i="44"/>
  <c r="BN191" i="44"/>
  <c r="BN262" i="44"/>
  <c r="BN256" i="44"/>
  <c r="BN93" i="44"/>
  <c r="BN51" i="44"/>
  <c r="BN218" i="44"/>
  <c r="BN203" i="44"/>
  <c r="BN136" i="44"/>
  <c r="AD15" i="44"/>
  <c r="BN91" i="44"/>
  <c r="BN200" i="44"/>
  <c r="BN304" i="44"/>
  <c r="BN179" i="44"/>
  <c r="BN248" i="44"/>
  <c r="BN65" i="44"/>
  <c r="BN204" i="44"/>
  <c r="BN30" i="44"/>
  <c r="BN219" i="44"/>
  <c r="BN125" i="44"/>
  <c r="BN152" i="44"/>
  <c r="BN47" i="44"/>
  <c r="BN170" i="44"/>
  <c r="BN139" i="44"/>
  <c r="BN173" i="44"/>
  <c r="BN62" i="44"/>
  <c r="BN27" i="44"/>
  <c r="BN182" i="44"/>
  <c r="BN232" i="44"/>
  <c r="BN269" i="44"/>
  <c r="BN303" i="44"/>
  <c r="BN213" i="44"/>
  <c r="BN45" i="44"/>
  <c r="BN268" i="44"/>
  <c r="BN226" i="44"/>
  <c r="BN144" i="44"/>
  <c r="BN194" i="44"/>
  <c r="BN159" i="44"/>
  <c r="BN110" i="44"/>
  <c r="BN206" i="44"/>
  <c r="BN215" i="44"/>
  <c r="BN18" i="44"/>
  <c r="BN87" i="44"/>
  <c r="G166" i="66"/>
  <c r="G165" i="66"/>
  <c r="AD227" i="44"/>
  <c r="AT227" i="44"/>
  <c r="BM227" i="44" s="1"/>
  <c r="AD38" i="44"/>
  <c r="AT38" i="44"/>
  <c r="BM38" i="44" s="1"/>
  <c r="AD127" i="44"/>
  <c r="AT127" i="44"/>
  <c r="BM127" i="44" s="1"/>
  <c r="AD67" i="44"/>
  <c r="AT67" i="44"/>
  <c r="BM67" i="44" s="1"/>
  <c r="AD226" i="44"/>
  <c r="AT226" i="44"/>
  <c r="BM226" i="44" s="1"/>
  <c r="AD74" i="44"/>
  <c r="AT74" i="44"/>
  <c r="BM74" i="44" s="1"/>
  <c r="AD285" i="44"/>
  <c r="AT285" i="44"/>
  <c r="BM285" i="44" s="1"/>
  <c r="AD196" i="44"/>
  <c r="AT196" i="44"/>
  <c r="BM196" i="44" s="1"/>
  <c r="AD206" i="44"/>
  <c r="AT206" i="44"/>
  <c r="BM206" i="44" s="1"/>
  <c r="AD50" i="44"/>
  <c r="AT50" i="44"/>
  <c r="BM50" i="44" s="1"/>
  <c r="AD28" i="44"/>
  <c r="AT28" i="44"/>
  <c r="BM28" i="44" s="1"/>
  <c r="AD101" i="44"/>
  <c r="AT101" i="44"/>
  <c r="BM101" i="44" s="1"/>
  <c r="AD63" i="44"/>
  <c r="AT63" i="44"/>
  <c r="BM63" i="44" s="1"/>
  <c r="AD302" i="44"/>
  <c r="AT302" i="44"/>
  <c r="BM302" i="44" s="1"/>
  <c r="AD114" i="44"/>
  <c r="AT114" i="44"/>
  <c r="BM114" i="44" s="1"/>
  <c r="AD277" i="44"/>
  <c r="AT277" i="44"/>
  <c r="BM277" i="44" s="1"/>
  <c r="AD263" i="44"/>
  <c r="AT263" i="44"/>
  <c r="BM263" i="44" s="1"/>
  <c r="AD307" i="44"/>
  <c r="AT307" i="44"/>
  <c r="BM307" i="44" s="1"/>
  <c r="AD248" i="44"/>
  <c r="AT248" i="44"/>
  <c r="BM248" i="44" s="1"/>
  <c r="AD86" i="44"/>
  <c r="AT86" i="44"/>
  <c r="BM86" i="44" s="1"/>
  <c r="AD90" i="44"/>
  <c r="AT90" i="44"/>
  <c r="BM90" i="44" s="1"/>
  <c r="AD98" i="44"/>
  <c r="AT98" i="44"/>
  <c r="BM98" i="44" s="1"/>
  <c r="AD197" i="44"/>
  <c r="AT197" i="44"/>
  <c r="BM197" i="44" s="1"/>
  <c r="AD205" i="44"/>
  <c r="AT205" i="44"/>
  <c r="BM205" i="44" s="1"/>
  <c r="AD138" i="44"/>
  <c r="AT138" i="44"/>
  <c r="BM138" i="44" s="1"/>
  <c r="AD207" i="44"/>
  <c r="AT207" i="44"/>
  <c r="BM207" i="44" s="1"/>
  <c r="AD160" i="44"/>
  <c r="AT160" i="44"/>
  <c r="BM160" i="44" s="1"/>
  <c r="AD154" i="44"/>
  <c r="AT154" i="44"/>
  <c r="BM154" i="44" s="1"/>
  <c r="AD246" i="44"/>
  <c r="AT246" i="44"/>
  <c r="BM246" i="44" s="1"/>
  <c r="AD55" i="44"/>
  <c r="AT55" i="44"/>
  <c r="BM55" i="44" s="1"/>
  <c r="AD53" i="44"/>
  <c r="AT53" i="44"/>
  <c r="BM53" i="44" s="1"/>
  <c r="AD251" i="44"/>
  <c r="AT251" i="44"/>
  <c r="BM251" i="44" s="1"/>
  <c r="AD191" i="44"/>
  <c r="AT191" i="44"/>
  <c r="BM191" i="44" s="1"/>
  <c r="AD199" i="44"/>
  <c r="AT199" i="44"/>
  <c r="BM199" i="44" s="1"/>
  <c r="AD49" i="44"/>
  <c r="AT49" i="44"/>
  <c r="BM49" i="44" s="1"/>
  <c r="AD262" i="44"/>
  <c r="AT262" i="44"/>
  <c r="BM262" i="44" s="1"/>
  <c r="AD260" i="44"/>
  <c r="AT260" i="44"/>
  <c r="BM260" i="44" s="1"/>
  <c r="AD253" i="44"/>
  <c r="AT253" i="44"/>
  <c r="BM253" i="44" s="1"/>
  <c r="AD103" i="44"/>
  <c r="AT103" i="44"/>
  <c r="BM103" i="44" s="1"/>
  <c r="AD256" i="44"/>
  <c r="AT256" i="44"/>
  <c r="BM256" i="44" s="1"/>
  <c r="AD109" i="44"/>
  <c r="AT109" i="44"/>
  <c r="BM109" i="44" s="1"/>
  <c r="AD168" i="44"/>
  <c r="AT168" i="44"/>
  <c r="BM168" i="44" s="1"/>
  <c r="AD156" i="44"/>
  <c r="AT156" i="44"/>
  <c r="BM156" i="44" s="1"/>
  <c r="AD93" i="44"/>
  <c r="AT93" i="44"/>
  <c r="BM93" i="44" s="1"/>
  <c r="AD272" i="44"/>
  <c r="AT272" i="44"/>
  <c r="BM272" i="44" s="1"/>
  <c r="AD284" i="44"/>
  <c r="AT284" i="44"/>
  <c r="BM284" i="44" s="1"/>
  <c r="AD32" i="44"/>
  <c r="AT32" i="44"/>
  <c r="BM32" i="44" s="1"/>
  <c r="AD294" i="44"/>
  <c r="AT294" i="44"/>
  <c r="BM294" i="44" s="1"/>
  <c r="AD51" i="44"/>
  <c r="AT51" i="44"/>
  <c r="BM51" i="44" s="1"/>
  <c r="AD180" i="44"/>
  <c r="AT180" i="44"/>
  <c r="BM180" i="44" s="1"/>
  <c r="AD243" i="44"/>
  <c r="AT243" i="44"/>
  <c r="BM243" i="44" s="1"/>
  <c r="AD39" i="44"/>
  <c r="AT39" i="44"/>
  <c r="BM39" i="44" s="1"/>
  <c r="AD59" i="44"/>
  <c r="AT59" i="44"/>
  <c r="BM59" i="44" s="1"/>
  <c r="AD218" i="44"/>
  <c r="AT218" i="44"/>
  <c r="BM218" i="44" s="1"/>
  <c r="AD79" i="44"/>
  <c r="AT79" i="44"/>
  <c r="BM79" i="44" s="1"/>
  <c r="AD281" i="44"/>
  <c r="AT281" i="44"/>
  <c r="BM281" i="44" s="1"/>
  <c r="AD203" i="44"/>
  <c r="AT203" i="44"/>
  <c r="BM203" i="44" s="1"/>
  <c r="AD134" i="44"/>
  <c r="AT134" i="44"/>
  <c r="BM134" i="44" s="1"/>
  <c r="AD303" i="44"/>
  <c r="AT303" i="44"/>
  <c r="BM303" i="44" s="1"/>
  <c r="AD266" i="44"/>
  <c r="AT266" i="44"/>
  <c r="BM266" i="44" s="1"/>
  <c r="AD83" i="44"/>
  <c r="AT83" i="44"/>
  <c r="BM83" i="44" s="1"/>
  <c r="AD211" i="44"/>
  <c r="AT211" i="44"/>
  <c r="BM211" i="44" s="1"/>
  <c r="AD69" i="44"/>
  <c r="AT69" i="44"/>
  <c r="BM69" i="44" s="1"/>
  <c r="AD115" i="44"/>
  <c r="AT115" i="44"/>
  <c r="BM115" i="44" s="1"/>
  <c r="AD194" i="44"/>
  <c r="AT194" i="44"/>
  <c r="BM194" i="44" s="1"/>
  <c r="AD250" i="44"/>
  <c r="AT250" i="44"/>
  <c r="BM250" i="44" s="1"/>
  <c r="AD110" i="44"/>
  <c r="AT110" i="44"/>
  <c r="BM110" i="44" s="1"/>
  <c r="AD276" i="44"/>
  <c r="AT276" i="44"/>
  <c r="BM276" i="44" s="1"/>
  <c r="AD91" i="44"/>
  <c r="AT91" i="44"/>
  <c r="BM91" i="44" s="1"/>
  <c r="AD46" i="44"/>
  <c r="AT46" i="44"/>
  <c r="BM46" i="44" s="1"/>
  <c r="AD126" i="44"/>
  <c r="AT126" i="44"/>
  <c r="BM126" i="44" s="1"/>
  <c r="AD87" i="44"/>
  <c r="AT87" i="44"/>
  <c r="BM87" i="44" s="1"/>
  <c r="AD58" i="44"/>
  <c r="AT58" i="44"/>
  <c r="BM58" i="44" s="1"/>
  <c r="AD265" i="44"/>
  <c r="AT265" i="44"/>
  <c r="BM265" i="44" s="1"/>
  <c r="AD128" i="44"/>
  <c r="AT128" i="44"/>
  <c r="BM128" i="44" s="1"/>
  <c r="AD252" i="44"/>
  <c r="AT252" i="44"/>
  <c r="BM252" i="44" s="1"/>
  <c r="AD139" i="44"/>
  <c r="AT139" i="44"/>
  <c r="BM139" i="44" s="1"/>
  <c r="AD179" i="44"/>
  <c r="AT179" i="44"/>
  <c r="BM179" i="44" s="1"/>
  <c r="AD186" i="44"/>
  <c r="AT186" i="44"/>
  <c r="BM186" i="44" s="1"/>
  <c r="AD95" i="44"/>
  <c r="AT95" i="44"/>
  <c r="BM95" i="44" s="1"/>
  <c r="AD178" i="44"/>
  <c r="AT178" i="44"/>
  <c r="BM178" i="44" s="1"/>
  <c r="AD36" i="44"/>
  <c r="AT36" i="44"/>
  <c r="BM36" i="44" s="1"/>
  <c r="AD280" i="44"/>
  <c r="AT280" i="44"/>
  <c r="BM280" i="44" s="1"/>
  <c r="AD282" i="44"/>
  <c r="AT282" i="44"/>
  <c r="BM282" i="44" s="1"/>
  <c r="AD43" i="44"/>
  <c r="AT43" i="44"/>
  <c r="BM43" i="44" s="1"/>
  <c r="AD204" i="44"/>
  <c r="AT204" i="44"/>
  <c r="BM204" i="44" s="1"/>
  <c r="AD131" i="44"/>
  <c r="AT131" i="44"/>
  <c r="BM131" i="44" s="1"/>
  <c r="AD182" i="44"/>
  <c r="AT182" i="44"/>
  <c r="BM182" i="44" s="1"/>
  <c r="AD176" i="44"/>
  <c r="AT176" i="44"/>
  <c r="BM176" i="44" s="1"/>
  <c r="AD157" i="44"/>
  <c r="AT157" i="44"/>
  <c r="BM157" i="44" s="1"/>
  <c r="AD172" i="44"/>
  <c r="AT172" i="44"/>
  <c r="BM172" i="44" s="1"/>
  <c r="AD42" i="44"/>
  <c r="AT42" i="44"/>
  <c r="BM42" i="44" s="1"/>
  <c r="AD232" i="44"/>
  <c r="AT232" i="44"/>
  <c r="BM232" i="44" s="1"/>
  <c r="AD77" i="44"/>
  <c r="AT77" i="44"/>
  <c r="BM77" i="44" s="1"/>
  <c r="AD300" i="44"/>
  <c r="AT300" i="44"/>
  <c r="BM300" i="44" s="1"/>
  <c r="AD30" i="44"/>
  <c r="AT30" i="44"/>
  <c r="BM30" i="44" s="1"/>
  <c r="AD26" i="44"/>
  <c r="AT26" i="44"/>
  <c r="BM26" i="44" s="1"/>
  <c r="AD219" i="44"/>
  <c r="AT219" i="44"/>
  <c r="BM219" i="44" s="1"/>
  <c r="AD278" i="44"/>
  <c r="AT278" i="44"/>
  <c r="BM278" i="44" s="1"/>
  <c r="AD61" i="44"/>
  <c r="AT61" i="44"/>
  <c r="BM61" i="44" s="1"/>
  <c r="AD214" i="44"/>
  <c r="AT214" i="44"/>
  <c r="BM214" i="44" s="1"/>
  <c r="AD19" i="44"/>
  <c r="AT19" i="44"/>
  <c r="BM19" i="44" s="1"/>
  <c r="AD268" i="44"/>
  <c r="AT268" i="44"/>
  <c r="BM268" i="44" s="1"/>
  <c r="AD144" i="44"/>
  <c r="AT144" i="44"/>
  <c r="BM144" i="44" s="1"/>
  <c r="AD159" i="44"/>
  <c r="AT159" i="44"/>
  <c r="BM159" i="44" s="1"/>
  <c r="AD239" i="44"/>
  <c r="AT239" i="44"/>
  <c r="BM239" i="44" s="1"/>
  <c r="AD288" i="44"/>
  <c r="AT288" i="44"/>
  <c r="BM288" i="44" s="1"/>
  <c r="AD97" i="44"/>
  <c r="AT97" i="44"/>
  <c r="BM97" i="44" s="1"/>
  <c r="AD267" i="44"/>
  <c r="AT267" i="44"/>
  <c r="BM267" i="44" s="1"/>
  <c r="AD296" i="44"/>
  <c r="AT296" i="44"/>
  <c r="BM296" i="44" s="1"/>
  <c r="AD173" i="44"/>
  <c r="AT173" i="44"/>
  <c r="BM173" i="44" s="1"/>
  <c r="AD234" i="44"/>
  <c r="AT234" i="44"/>
  <c r="BM234" i="44" s="1"/>
  <c r="AD149" i="44"/>
  <c r="AT149" i="44"/>
  <c r="BM149" i="44" s="1"/>
  <c r="AD65" i="44"/>
  <c r="AT65" i="44"/>
  <c r="BM65" i="44" s="1"/>
  <c r="AD62" i="44"/>
  <c r="AT62" i="44"/>
  <c r="BM62" i="44" s="1"/>
  <c r="AD113" i="44"/>
  <c r="AT113" i="44"/>
  <c r="BM113" i="44" s="1"/>
  <c r="AD106" i="44"/>
  <c r="AT106" i="44"/>
  <c r="BM106" i="44" s="1"/>
  <c r="AD16" i="44"/>
  <c r="AT16" i="44"/>
  <c r="BM16" i="44" s="1"/>
  <c r="AD70" i="44"/>
  <c r="AT70" i="44"/>
  <c r="BM70" i="44" s="1"/>
  <c r="AD208" i="44"/>
  <c r="AT208" i="44"/>
  <c r="BM208" i="44" s="1"/>
  <c r="AD73" i="44"/>
  <c r="AT73" i="44"/>
  <c r="BM73" i="44" s="1"/>
  <c r="AD220" i="44"/>
  <c r="AT220" i="44"/>
  <c r="BM220" i="44" s="1"/>
  <c r="AD125" i="44"/>
  <c r="AT125" i="44"/>
  <c r="BM125" i="44" s="1"/>
  <c r="AD135" i="44"/>
  <c r="AT135" i="44"/>
  <c r="BM135" i="44" s="1"/>
  <c r="AD71" i="44"/>
  <c r="AT71" i="44"/>
  <c r="BM71" i="44" s="1"/>
  <c r="AD130" i="44"/>
  <c r="AT130" i="44"/>
  <c r="BM130" i="44" s="1"/>
  <c r="AD195" i="44"/>
  <c r="AT195" i="44"/>
  <c r="BM195" i="44" s="1"/>
  <c r="AD209" i="44"/>
  <c r="AT209" i="44"/>
  <c r="BM209" i="44" s="1"/>
  <c r="AD174" i="44"/>
  <c r="AT174" i="44"/>
  <c r="BM174" i="44" s="1"/>
  <c r="AD147" i="44"/>
  <c r="AT147" i="44"/>
  <c r="BM147" i="44" s="1"/>
  <c r="AD255" i="44"/>
  <c r="AT255" i="44"/>
  <c r="BM255" i="44" s="1"/>
  <c r="AD224" i="44"/>
  <c r="AT224" i="44"/>
  <c r="BM224" i="44" s="1"/>
  <c r="AD254" i="44"/>
  <c r="AT254" i="44"/>
  <c r="BM254" i="44" s="1"/>
  <c r="AD202" i="44"/>
  <c r="AT202" i="44"/>
  <c r="BM202" i="44" s="1"/>
  <c r="AD152" i="44"/>
  <c r="AT152" i="44"/>
  <c r="BM152" i="44" s="1"/>
  <c r="AD47" i="44"/>
  <c r="AT47" i="44"/>
  <c r="BM47" i="44" s="1"/>
  <c r="AD245" i="44"/>
  <c r="AT245" i="44"/>
  <c r="BM245" i="44" s="1"/>
  <c r="AD257" i="44"/>
  <c r="AT257" i="44"/>
  <c r="BM257" i="44" s="1"/>
  <c r="AD192" i="44"/>
  <c r="AT192" i="44"/>
  <c r="BM192" i="44" s="1"/>
  <c r="AD167" i="44"/>
  <c r="AT167" i="44"/>
  <c r="BM167" i="44" s="1"/>
  <c r="AD22" i="44"/>
  <c r="AT22" i="44"/>
  <c r="BM22" i="44" s="1"/>
  <c r="AD212" i="44"/>
  <c r="AT212" i="44"/>
  <c r="BM212" i="44" s="1"/>
  <c r="AD140" i="44"/>
  <c r="AT140" i="44"/>
  <c r="BM140" i="44" s="1"/>
  <c r="AD241" i="44"/>
  <c r="AT241" i="44"/>
  <c r="BM241" i="44" s="1"/>
  <c r="AD229" i="44"/>
  <c r="AT229" i="44"/>
  <c r="BM229" i="44" s="1"/>
  <c r="AD165" i="44"/>
  <c r="AT165" i="44"/>
  <c r="BM165" i="44" s="1"/>
  <c r="AD170" i="44"/>
  <c r="AT170" i="44"/>
  <c r="BM170" i="44" s="1"/>
  <c r="AD81" i="44"/>
  <c r="AT81" i="44"/>
  <c r="BM81" i="44" s="1"/>
  <c r="AD184" i="44"/>
  <c r="AT184" i="44"/>
  <c r="BM184" i="44" s="1"/>
  <c r="AD228" i="44"/>
  <c r="AT228" i="44"/>
  <c r="BM228" i="44" s="1"/>
  <c r="AD222" i="44"/>
  <c r="AT222" i="44"/>
  <c r="BM222" i="44" s="1"/>
  <c r="AD198" i="44"/>
  <c r="AT198" i="44"/>
  <c r="BM198" i="44" s="1"/>
  <c r="AD236" i="44"/>
  <c r="AT236" i="44"/>
  <c r="BM236" i="44" s="1"/>
  <c r="AD133" i="44"/>
  <c r="AT133" i="44"/>
  <c r="BM133" i="44" s="1"/>
  <c r="AT15" i="44"/>
  <c r="AD295" i="44"/>
  <c r="AT295" i="44"/>
  <c r="BM295" i="44" s="1"/>
  <c r="AD261" i="44"/>
  <c r="AT261" i="44"/>
  <c r="BM261" i="44" s="1"/>
  <c r="AD193" i="44"/>
  <c r="AT193" i="44"/>
  <c r="BM193" i="44" s="1"/>
  <c r="AD44" i="44"/>
  <c r="AT44" i="44"/>
  <c r="BM44" i="44" s="1"/>
  <c r="AD215" i="44"/>
  <c r="AT215" i="44"/>
  <c r="BM215" i="44" s="1"/>
  <c r="AD105" i="44"/>
  <c r="AT105" i="44"/>
  <c r="BM105" i="44" s="1"/>
  <c r="AD136" i="44"/>
  <c r="AT136" i="44"/>
  <c r="BM136" i="44" s="1"/>
  <c r="AD304" i="44"/>
  <c r="AT304" i="44"/>
  <c r="BM304" i="44" s="1"/>
  <c r="AD283" i="44"/>
  <c r="AT283" i="44"/>
  <c r="BM283" i="44" s="1"/>
  <c r="AD242" i="44"/>
  <c r="AT242" i="44"/>
  <c r="BM242" i="44" s="1"/>
  <c r="AD27" i="44"/>
  <c r="AT27" i="44"/>
  <c r="BM27" i="44" s="1"/>
  <c r="AD40" i="44"/>
  <c r="AT40" i="44"/>
  <c r="BM40" i="44" s="1"/>
  <c r="AD201" i="44"/>
  <c r="AT201" i="44"/>
  <c r="BM201" i="44" s="1"/>
  <c r="AD189" i="44"/>
  <c r="AT189" i="44"/>
  <c r="BM189" i="44" s="1"/>
  <c r="AD161" i="44"/>
  <c r="AT161" i="44"/>
  <c r="BM161" i="44" s="1"/>
  <c r="AD57" i="44"/>
  <c r="AT57" i="44"/>
  <c r="BM57" i="44" s="1"/>
  <c r="AD249" i="44"/>
  <c r="AT249" i="44"/>
  <c r="BM249" i="44" s="1"/>
  <c r="AD270" i="44"/>
  <c r="AT270" i="44"/>
  <c r="BM270" i="44" s="1"/>
  <c r="AD289" i="44"/>
  <c r="AT289" i="44"/>
  <c r="BM289" i="44" s="1"/>
  <c r="AD291" i="44"/>
  <c r="AT291" i="44"/>
  <c r="BM291" i="44" s="1"/>
  <c r="AD177" i="44"/>
  <c r="AT177" i="44"/>
  <c r="BM177" i="44" s="1"/>
  <c r="AD34" i="44"/>
  <c r="AT34" i="44"/>
  <c r="BM34" i="44" s="1"/>
  <c r="AD123" i="44"/>
  <c r="AT123" i="44"/>
  <c r="BM123" i="44" s="1"/>
  <c r="AD264" i="44"/>
  <c r="AT264" i="44"/>
  <c r="BM264" i="44" s="1"/>
  <c r="AD238" i="44"/>
  <c r="AT238" i="44"/>
  <c r="BM238" i="44" s="1"/>
  <c r="AD155" i="44"/>
  <c r="AT155" i="44"/>
  <c r="BM155" i="44" s="1"/>
  <c r="AD117" i="44"/>
  <c r="AT117" i="44"/>
  <c r="BM117" i="44" s="1"/>
  <c r="AD146" i="44"/>
  <c r="AT146" i="44"/>
  <c r="BM146" i="44" s="1"/>
  <c r="AD274" i="44"/>
  <c r="AT274" i="44"/>
  <c r="BM274" i="44" s="1"/>
  <c r="AD151" i="44"/>
  <c r="AT151" i="44"/>
  <c r="BM151" i="44" s="1"/>
  <c r="AD187" i="44"/>
  <c r="AT187" i="44"/>
  <c r="BM187" i="44" s="1"/>
  <c r="AD99" i="44"/>
  <c r="AT99" i="44"/>
  <c r="BM99" i="44" s="1"/>
  <c r="AD269" i="44"/>
  <c r="AT269" i="44"/>
  <c r="BM269" i="44" s="1"/>
  <c r="AD150" i="44"/>
  <c r="AT150" i="44"/>
  <c r="BM150" i="44" s="1"/>
  <c r="AD141" i="44"/>
  <c r="AT141" i="44"/>
  <c r="BM141" i="44" s="1"/>
  <c r="AD188" i="44"/>
  <c r="AT188" i="44"/>
  <c r="BM188" i="44" s="1"/>
  <c r="AD82" i="44"/>
  <c r="AT82" i="44"/>
  <c r="BM82" i="44" s="1"/>
  <c r="AD118" i="44"/>
  <c r="AT118" i="44"/>
  <c r="BM118" i="44" s="1"/>
  <c r="AD96" i="44"/>
  <c r="AT96" i="44"/>
  <c r="BM96" i="44" s="1"/>
  <c r="AD244" i="44"/>
  <c r="AT244" i="44"/>
  <c r="BM244" i="44" s="1"/>
  <c r="AD213" i="44"/>
  <c r="AT213" i="44"/>
  <c r="BM213" i="44" s="1"/>
  <c r="AD287" i="44"/>
  <c r="AT287" i="44"/>
  <c r="BM287" i="44" s="1"/>
  <c r="AD45" i="44"/>
  <c r="AT45" i="44"/>
  <c r="BM45" i="44" s="1"/>
  <c r="AD31" i="44"/>
  <c r="AT31" i="44"/>
  <c r="BM31" i="44" s="1"/>
  <c r="AD35" i="44"/>
  <c r="AT35" i="44"/>
  <c r="BM35" i="44" s="1"/>
  <c r="AD235" i="44"/>
  <c r="AT235" i="44"/>
  <c r="BM235" i="44" s="1"/>
  <c r="AD286" i="44"/>
  <c r="AT286" i="44"/>
  <c r="BM286" i="44" s="1"/>
  <c r="AD171" i="44"/>
  <c r="AT171" i="44"/>
  <c r="BM171" i="44" s="1"/>
  <c r="AD18" i="44"/>
  <c r="AT18" i="44"/>
  <c r="BM18" i="44" s="1"/>
  <c r="AD24" i="44"/>
  <c r="AT24" i="44"/>
  <c r="BM24" i="44" s="1"/>
  <c r="AD200" i="44"/>
  <c r="AT200" i="44"/>
  <c r="BM200" i="44" s="1"/>
  <c r="AD137" i="44"/>
  <c r="AT137" i="44"/>
  <c r="BM137" i="44" s="1"/>
  <c r="AD148" i="44"/>
  <c r="AT148" i="44"/>
  <c r="BM148" i="44" s="1"/>
  <c r="AD78" i="44"/>
  <c r="AT78" i="44"/>
  <c r="BM78" i="44" s="1"/>
  <c r="AD94" i="44"/>
  <c r="AT94" i="44"/>
  <c r="BM94" i="44" s="1"/>
  <c r="AD66" i="44"/>
  <c r="AT66" i="44"/>
  <c r="BM66" i="44" s="1"/>
  <c r="AD175" i="44"/>
  <c r="AT175" i="44"/>
  <c r="BM175" i="44" s="1"/>
  <c r="AD142" i="44"/>
  <c r="AT142" i="44"/>
  <c r="BM142" i="44" s="1"/>
  <c r="AD271" i="44"/>
  <c r="AT271" i="44"/>
  <c r="BM271" i="44" s="1"/>
  <c r="AD306" i="44"/>
  <c r="AT306" i="44"/>
  <c r="BM306" i="44" s="1"/>
  <c r="AD122" i="44"/>
  <c r="AT122" i="44"/>
  <c r="BM122" i="44" s="1"/>
  <c r="AD298" i="44"/>
  <c r="AT298" i="44"/>
  <c r="BM298" i="44" s="1"/>
  <c r="AD162" i="44"/>
  <c r="AT162" i="44"/>
  <c r="BM162" i="44" s="1"/>
  <c r="AD164" i="44"/>
  <c r="AT164" i="44"/>
  <c r="BM164" i="44" s="1"/>
  <c r="AD258" i="44"/>
  <c r="AT258" i="44"/>
  <c r="BM258" i="44" s="1"/>
  <c r="AD166" i="44"/>
  <c r="AT166" i="44"/>
  <c r="BM166" i="44" s="1"/>
  <c r="AD89" i="44"/>
  <c r="AT89" i="44"/>
  <c r="BM89" i="44" s="1"/>
  <c r="AD23" i="44"/>
  <c r="AT23" i="44"/>
  <c r="BM23" i="44" s="1"/>
  <c r="AD210" i="44"/>
  <c r="AT210" i="44"/>
  <c r="BM210" i="44" s="1"/>
  <c r="AD279" i="44"/>
  <c r="AT279" i="44"/>
  <c r="BM279" i="44" s="1"/>
  <c r="AD230" i="44"/>
  <c r="AT230" i="44"/>
  <c r="BM230" i="44" s="1"/>
  <c r="AD216" i="44"/>
  <c r="AT216" i="44"/>
  <c r="BM216" i="44" s="1"/>
  <c r="AD247" i="44"/>
  <c r="AT247" i="44"/>
  <c r="BM247" i="44" s="1"/>
  <c r="AD190" i="44"/>
  <c r="AT190" i="44"/>
  <c r="BM190" i="44" s="1"/>
  <c r="AD143" i="44"/>
  <c r="AT143" i="44"/>
  <c r="BM143" i="44" s="1"/>
  <c r="AD292" i="44"/>
  <c r="AT292" i="44"/>
  <c r="BM292" i="44" s="1"/>
  <c r="AD259" i="44"/>
  <c r="AT259" i="44"/>
  <c r="BM259" i="44" s="1"/>
  <c r="AD54" i="44"/>
  <c r="AT54" i="44"/>
  <c r="BM54" i="44" s="1"/>
  <c r="AD183" i="44"/>
  <c r="AT183" i="44"/>
  <c r="BM183" i="44" s="1"/>
  <c r="AD240" i="44"/>
  <c r="AT240" i="44"/>
  <c r="BM240" i="44" s="1"/>
  <c r="AD163" i="44"/>
  <c r="AT163" i="44"/>
  <c r="BM163" i="44" s="1"/>
  <c r="AD85" i="44"/>
  <c r="AT85" i="44"/>
  <c r="BM85" i="44" s="1"/>
  <c r="AD293" i="44"/>
  <c r="AT293" i="44"/>
  <c r="BM293" i="44" s="1"/>
  <c r="AD299" i="44"/>
  <c r="AT299" i="44"/>
  <c r="BM299" i="44" s="1"/>
  <c r="AD107" i="44"/>
  <c r="AT107" i="44"/>
  <c r="BM107" i="44" s="1"/>
  <c r="AD169" i="44"/>
  <c r="AT169" i="44"/>
  <c r="BM169" i="44" s="1"/>
  <c r="AD75" i="44"/>
  <c r="AT75" i="44"/>
  <c r="BM75" i="44" s="1"/>
  <c r="AD290" i="44"/>
  <c r="AT290" i="44"/>
  <c r="BM290" i="44" s="1"/>
  <c r="AD119" i="44"/>
  <c r="AT119" i="44"/>
  <c r="BM119" i="44" s="1"/>
  <c r="AD20" i="44"/>
  <c r="AT20" i="44"/>
  <c r="BM20" i="44" s="1"/>
  <c r="AD158" i="44"/>
  <c r="AT158" i="44"/>
  <c r="BM158" i="44" s="1"/>
  <c r="AD121" i="44"/>
  <c r="AT121" i="44"/>
  <c r="BM121" i="44" s="1"/>
  <c r="AR96" i="44"/>
  <c r="BK96" i="44" s="1"/>
  <c r="AC201" i="44"/>
  <c r="AS201" i="44"/>
  <c r="BL201" i="44" s="1"/>
  <c r="AC57" i="44"/>
  <c r="AS57" i="44"/>
  <c r="BL57" i="44" s="1"/>
  <c r="AS270" i="44"/>
  <c r="BL270" i="44" s="1"/>
  <c r="AC270" i="44"/>
  <c r="AC291" i="44"/>
  <c r="AS291" i="44"/>
  <c r="BL291" i="44" s="1"/>
  <c r="AS123" i="44"/>
  <c r="BL123" i="44" s="1"/>
  <c r="AC123" i="44"/>
  <c r="AS238" i="44"/>
  <c r="BL238" i="44" s="1"/>
  <c r="AC238" i="44"/>
  <c r="AC146" i="44"/>
  <c r="AS146" i="44"/>
  <c r="BL146" i="44" s="1"/>
  <c r="AS151" i="44"/>
  <c r="BL151" i="44" s="1"/>
  <c r="AC151" i="44"/>
  <c r="AC269" i="44"/>
  <c r="AS269" i="44"/>
  <c r="BL269" i="44" s="1"/>
  <c r="AS150" i="44"/>
  <c r="BL150" i="44" s="1"/>
  <c r="AC150" i="44"/>
  <c r="AC188" i="44"/>
  <c r="AS188" i="44"/>
  <c r="BL188" i="44" s="1"/>
  <c r="AC82" i="44"/>
  <c r="AS82" i="44"/>
  <c r="BL82" i="44" s="1"/>
  <c r="AC227" i="44"/>
  <c r="AS227" i="44"/>
  <c r="BL227" i="44" s="1"/>
  <c r="AS38" i="44"/>
  <c r="BL38" i="44" s="1"/>
  <c r="AC38" i="44"/>
  <c r="AC213" i="44"/>
  <c r="AS213" i="44"/>
  <c r="BL213" i="44" s="1"/>
  <c r="AS127" i="44"/>
  <c r="BL127" i="44" s="1"/>
  <c r="AC127" i="44"/>
  <c r="AS67" i="44"/>
  <c r="BL67" i="44" s="1"/>
  <c r="AC67" i="44"/>
  <c r="AC268" i="44"/>
  <c r="AS268" i="44"/>
  <c r="BL268" i="44" s="1"/>
  <c r="AC69" i="44"/>
  <c r="AS69" i="44"/>
  <c r="BL69" i="44" s="1"/>
  <c r="AC115" i="44"/>
  <c r="AS115" i="44"/>
  <c r="BL115" i="44" s="1"/>
  <c r="AS144" i="44"/>
  <c r="BL144" i="44" s="1"/>
  <c r="AC144" i="44"/>
  <c r="AC194" i="44"/>
  <c r="AS194" i="44"/>
  <c r="BL194" i="44" s="1"/>
  <c r="AC285" i="44"/>
  <c r="AS285" i="44"/>
  <c r="BL285" i="44" s="1"/>
  <c r="AS159" i="44"/>
  <c r="BL159" i="44" s="1"/>
  <c r="AC159" i="44"/>
  <c r="AC196" i="44"/>
  <c r="AS196" i="44"/>
  <c r="BL196" i="44" s="1"/>
  <c r="AS239" i="44"/>
  <c r="BL239" i="44" s="1"/>
  <c r="AC239" i="44"/>
  <c r="AS206" i="44"/>
  <c r="BL206" i="44" s="1"/>
  <c r="AC206" i="44"/>
  <c r="AC50" i="44"/>
  <c r="AS50" i="44"/>
  <c r="BL50" i="44" s="1"/>
  <c r="AS91" i="44"/>
  <c r="BL91" i="44" s="1"/>
  <c r="AC91" i="44"/>
  <c r="AS46" i="44"/>
  <c r="BL46" i="44" s="1"/>
  <c r="AC46" i="44"/>
  <c r="AS267" i="44"/>
  <c r="BL267" i="44" s="1"/>
  <c r="AC267" i="44"/>
  <c r="AS200" i="44"/>
  <c r="BL200" i="44" s="1"/>
  <c r="AC200" i="44"/>
  <c r="AS128" i="44"/>
  <c r="BL128" i="44" s="1"/>
  <c r="AC128" i="44"/>
  <c r="AS78" i="44"/>
  <c r="BL78" i="44" s="1"/>
  <c r="AC78" i="44"/>
  <c r="AC306" i="44"/>
  <c r="AS306" i="44"/>
  <c r="BL306" i="44" s="1"/>
  <c r="AC210" i="44"/>
  <c r="AS210" i="44"/>
  <c r="BL210" i="44" s="1"/>
  <c r="AS216" i="44"/>
  <c r="BL216" i="44" s="1"/>
  <c r="AC216" i="44"/>
  <c r="AS190" i="44"/>
  <c r="BL190" i="44" s="1"/>
  <c r="AC190" i="44"/>
  <c r="AS54" i="44"/>
  <c r="BL54" i="44" s="1"/>
  <c r="AC54" i="44"/>
  <c r="AS163" i="44"/>
  <c r="BL163" i="44" s="1"/>
  <c r="AC163" i="44"/>
  <c r="AS107" i="44"/>
  <c r="BL107" i="44" s="1"/>
  <c r="AC107" i="44"/>
  <c r="AC290" i="44"/>
  <c r="AS290" i="44"/>
  <c r="BL290" i="44" s="1"/>
  <c r="AS304" i="44"/>
  <c r="BL304" i="44" s="1"/>
  <c r="AC304" i="44"/>
  <c r="AC277" i="44"/>
  <c r="AS277" i="44"/>
  <c r="BL277" i="44" s="1"/>
  <c r="AC252" i="44"/>
  <c r="AS252" i="44"/>
  <c r="BL252" i="44" s="1"/>
  <c r="AS139" i="44"/>
  <c r="BL139" i="44" s="1"/>
  <c r="AC139" i="44"/>
  <c r="AC173" i="44"/>
  <c r="AS173" i="44"/>
  <c r="BL173" i="44" s="1"/>
  <c r="AS179" i="44"/>
  <c r="BL179" i="44" s="1"/>
  <c r="AC179" i="44"/>
  <c r="AS263" i="44"/>
  <c r="BL263" i="44" s="1"/>
  <c r="AC263" i="44"/>
  <c r="AC186" i="44"/>
  <c r="AS186" i="44"/>
  <c r="BL186" i="44" s="1"/>
  <c r="AC307" i="44"/>
  <c r="AS307" i="44"/>
  <c r="BL307" i="44" s="1"/>
  <c r="AS283" i="44"/>
  <c r="BL283" i="44" s="1"/>
  <c r="AC283" i="44"/>
  <c r="AC234" i="44"/>
  <c r="AS234" i="44"/>
  <c r="BL234" i="44" s="1"/>
  <c r="AS95" i="44"/>
  <c r="BL95" i="44" s="1"/>
  <c r="AC95" i="44"/>
  <c r="AS248" i="44"/>
  <c r="BL248" i="44" s="1"/>
  <c r="AC248" i="44"/>
  <c r="AC149" i="44"/>
  <c r="AS149" i="44"/>
  <c r="BL149" i="44" s="1"/>
  <c r="AC178" i="44"/>
  <c r="AS178" i="44"/>
  <c r="BL178" i="44" s="1"/>
  <c r="AC242" i="44"/>
  <c r="AS242" i="44"/>
  <c r="BL242" i="44" s="1"/>
  <c r="AS86" i="44"/>
  <c r="BL86" i="44" s="1"/>
  <c r="AC86" i="44"/>
  <c r="AC65" i="44"/>
  <c r="AS65" i="44"/>
  <c r="BL65" i="44" s="1"/>
  <c r="AS62" i="44"/>
  <c r="BL62" i="44" s="1"/>
  <c r="AC62" i="44"/>
  <c r="AC113" i="44"/>
  <c r="AS113" i="44"/>
  <c r="BL113" i="44" s="1"/>
  <c r="AC90" i="44"/>
  <c r="AS90" i="44"/>
  <c r="BL90" i="44" s="1"/>
  <c r="AS136" i="44"/>
  <c r="BL136" i="44" s="1"/>
  <c r="AC136" i="44"/>
  <c r="AC189" i="44"/>
  <c r="AS189" i="44"/>
  <c r="BL189" i="44" s="1"/>
  <c r="AC249" i="44"/>
  <c r="AS249" i="44"/>
  <c r="BL249" i="44" s="1"/>
  <c r="AC289" i="44"/>
  <c r="AS289" i="44"/>
  <c r="BL289" i="44" s="1"/>
  <c r="AC34" i="44"/>
  <c r="AS34" i="44"/>
  <c r="BL34" i="44" s="1"/>
  <c r="AS264" i="44"/>
  <c r="BL264" i="44" s="1"/>
  <c r="AC264" i="44"/>
  <c r="AC155" i="44"/>
  <c r="AS155" i="44"/>
  <c r="BL155" i="44" s="1"/>
  <c r="AC274" i="44"/>
  <c r="AS274" i="44"/>
  <c r="BL274" i="44" s="1"/>
  <c r="AS187" i="44"/>
  <c r="BL187" i="44" s="1"/>
  <c r="AC187" i="44"/>
  <c r="AS15" i="44"/>
  <c r="BL15" i="44" s="1"/>
  <c r="AC15" i="44"/>
  <c r="AC244" i="44"/>
  <c r="AS244" i="44"/>
  <c r="BL244" i="44" s="1"/>
  <c r="AC266" i="44"/>
  <c r="AS266" i="44"/>
  <c r="BL266" i="44" s="1"/>
  <c r="AS295" i="44"/>
  <c r="BL295" i="44" s="1"/>
  <c r="AC295" i="44"/>
  <c r="AC83" i="44"/>
  <c r="AS83" i="44"/>
  <c r="BL83" i="44" s="1"/>
  <c r="AS287" i="44"/>
  <c r="BL287" i="44" s="1"/>
  <c r="AC287" i="44"/>
  <c r="AC45" i="44"/>
  <c r="AS45" i="44"/>
  <c r="BL45" i="44" s="1"/>
  <c r="AC261" i="44"/>
  <c r="AS261" i="44"/>
  <c r="BL261" i="44" s="1"/>
  <c r="AC226" i="44"/>
  <c r="AS226" i="44"/>
  <c r="BL226" i="44" s="1"/>
  <c r="AC74" i="44"/>
  <c r="AS74" i="44"/>
  <c r="BL74" i="44" s="1"/>
  <c r="AS35" i="44"/>
  <c r="BL35" i="44" s="1"/>
  <c r="AC35" i="44"/>
  <c r="AS110" i="44"/>
  <c r="BL110" i="44" s="1"/>
  <c r="AC110" i="44"/>
  <c r="AS235" i="44"/>
  <c r="BL235" i="44" s="1"/>
  <c r="AC235" i="44"/>
  <c r="AS286" i="44"/>
  <c r="BL286" i="44" s="1"/>
  <c r="AC286" i="44"/>
  <c r="AS96" i="44"/>
  <c r="BL96" i="44" s="1"/>
  <c r="AC96" i="44"/>
  <c r="AS288" i="44"/>
  <c r="BL288" i="44" s="1"/>
  <c r="AC288" i="44"/>
  <c r="AC171" i="44"/>
  <c r="AS171" i="44"/>
  <c r="BL171" i="44" s="1"/>
  <c r="AC97" i="44"/>
  <c r="AS97" i="44"/>
  <c r="BL97" i="44" s="1"/>
  <c r="AC105" i="44"/>
  <c r="AS105" i="44"/>
  <c r="BL105" i="44" s="1"/>
  <c r="AS24" i="44"/>
  <c r="BL24" i="44" s="1"/>
  <c r="AC24" i="44"/>
  <c r="AS87" i="44"/>
  <c r="BL87" i="44" s="1"/>
  <c r="AC87" i="44"/>
  <c r="AS302" i="44"/>
  <c r="BL302" i="44" s="1"/>
  <c r="AC302" i="44"/>
  <c r="AC66" i="44"/>
  <c r="AS66" i="44"/>
  <c r="BL66" i="44" s="1"/>
  <c r="AS142" i="44"/>
  <c r="BL142" i="44" s="1"/>
  <c r="AC142" i="44"/>
  <c r="AC298" i="44"/>
  <c r="AS298" i="44"/>
  <c r="BL298" i="44" s="1"/>
  <c r="AC164" i="44"/>
  <c r="AS164" i="44"/>
  <c r="BL164" i="44" s="1"/>
  <c r="AC89" i="44"/>
  <c r="AS89" i="44"/>
  <c r="BL89" i="44" s="1"/>
  <c r="AS143" i="44"/>
  <c r="BL143" i="44" s="1"/>
  <c r="AC143" i="44"/>
  <c r="AC259" i="44"/>
  <c r="AS259" i="44"/>
  <c r="BL259" i="44" s="1"/>
  <c r="AS240" i="44"/>
  <c r="BL240" i="44" s="1"/>
  <c r="AC240" i="44"/>
  <c r="AC299" i="44"/>
  <c r="AS299" i="44"/>
  <c r="BL299" i="44" s="1"/>
  <c r="AC75" i="44"/>
  <c r="AS75" i="44"/>
  <c r="BL75" i="44" s="1"/>
  <c r="AS158" i="44"/>
  <c r="BL158" i="44" s="1"/>
  <c r="AC158" i="44"/>
  <c r="AC138" i="44"/>
  <c r="AS138" i="44"/>
  <c r="BL138" i="44" s="1"/>
  <c r="AC154" i="44"/>
  <c r="AS154" i="44"/>
  <c r="BL154" i="44" s="1"/>
  <c r="AS55" i="44"/>
  <c r="BL55" i="44" s="1"/>
  <c r="AC55" i="44"/>
  <c r="AC53" i="44"/>
  <c r="AS53" i="44"/>
  <c r="BL53" i="44" s="1"/>
  <c r="AS191" i="44"/>
  <c r="BL191" i="44" s="1"/>
  <c r="AC191" i="44"/>
  <c r="AS199" i="44"/>
  <c r="BL199" i="44" s="1"/>
  <c r="AC199" i="44"/>
  <c r="AC49" i="44"/>
  <c r="AS49" i="44"/>
  <c r="BL49" i="44" s="1"/>
  <c r="AS262" i="44"/>
  <c r="BL262" i="44" s="1"/>
  <c r="AC262" i="44"/>
  <c r="AC260" i="44"/>
  <c r="AS260" i="44"/>
  <c r="BL260" i="44" s="1"/>
  <c r="AC253" i="44"/>
  <c r="AS253" i="44"/>
  <c r="BL253" i="44" s="1"/>
  <c r="AS103" i="44"/>
  <c r="BL103" i="44" s="1"/>
  <c r="AC103" i="44"/>
  <c r="AS256" i="44"/>
  <c r="BL256" i="44" s="1"/>
  <c r="AC256" i="44"/>
  <c r="AC109" i="44"/>
  <c r="AS109" i="44"/>
  <c r="BL109" i="44" s="1"/>
  <c r="AS168" i="44"/>
  <c r="BL168" i="44" s="1"/>
  <c r="AC168" i="44"/>
  <c r="AC156" i="44"/>
  <c r="AS156" i="44"/>
  <c r="BL156" i="44" s="1"/>
  <c r="AC93" i="44"/>
  <c r="AS93" i="44"/>
  <c r="BL93" i="44" s="1"/>
  <c r="AS272" i="44"/>
  <c r="BL272" i="44" s="1"/>
  <c r="AC272" i="44"/>
  <c r="AC284" i="44"/>
  <c r="AS284" i="44"/>
  <c r="BL284" i="44" s="1"/>
  <c r="AS32" i="44"/>
  <c r="BL32" i="44" s="1"/>
  <c r="AC32" i="44"/>
  <c r="AS294" i="44"/>
  <c r="BL294" i="44" s="1"/>
  <c r="AC294" i="44"/>
  <c r="AS51" i="44"/>
  <c r="BL51" i="44" s="1"/>
  <c r="AC51" i="44"/>
  <c r="AC180" i="44"/>
  <c r="AS180" i="44"/>
  <c r="BL180" i="44" s="1"/>
  <c r="AC243" i="44"/>
  <c r="AS243" i="44"/>
  <c r="BL243" i="44" s="1"/>
  <c r="AS39" i="44"/>
  <c r="BL39" i="44" s="1"/>
  <c r="AC39" i="44"/>
  <c r="AC59" i="44"/>
  <c r="AS59" i="44"/>
  <c r="BL59" i="44" s="1"/>
  <c r="AC218" i="44"/>
  <c r="AS218" i="44"/>
  <c r="BL218" i="44" s="1"/>
  <c r="AS79" i="44"/>
  <c r="BL79" i="44" s="1"/>
  <c r="AC79" i="44"/>
  <c r="AC281" i="44"/>
  <c r="AS281" i="44"/>
  <c r="BL281" i="44" s="1"/>
  <c r="AS203" i="44"/>
  <c r="BL203" i="44" s="1"/>
  <c r="AC203" i="44"/>
  <c r="AC121" i="44"/>
  <c r="AS121" i="44"/>
  <c r="BL121" i="44" s="1"/>
  <c r="AC161" i="44"/>
  <c r="AS161" i="44"/>
  <c r="BL161" i="44" s="1"/>
  <c r="AC177" i="44"/>
  <c r="AS177" i="44"/>
  <c r="BL177" i="44" s="1"/>
  <c r="AC117" i="44"/>
  <c r="AS117" i="44"/>
  <c r="BL117" i="44" s="1"/>
  <c r="AC99" i="44"/>
  <c r="AS99" i="44"/>
  <c r="BL99" i="44" s="1"/>
  <c r="AC141" i="44"/>
  <c r="AS141" i="44"/>
  <c r="BL141" i="44" s="1"/>
  <c r="AS303" i="44"/>
  <c r="BL303" i="44" s="1"/>
  <c r="AC303" i="44"/>
  <c r="AC19" i="44"/>
  <c r="AS19" i="44"/>
  <c r="BL19" i="44" s="1"/>
  <c r="AC211" i="44"/>
  <c r="AS211" i="44"/>
  <c r="BL211" i="44" s="1"/>
  <c r="AS31" i="44"/>
  <c r="BL31" i="44" s="1"/>
  <c r="AC31" i="44"/>
  <c r="AC193" i="44"/>
  <c r="AS193" i="44"/>
  <c r="BL193" i="44" s="1"/>
  <c r="AC250" i="44"/>
  <c r="AS250" i="44"/>
  <c r="BL250" i="44" s="1"/>
  <c r="AC44" i="44"/>
  <c r="AS44" i="44"/>
  <c r="BL44" i="44" s="1"/>
  <c r="AC276" i="44"/>
  <c r="AS276" i="44"/>
  <c r="BL276" i="44" s="1"/>
  <c r="AC28" i="44"/>
  <c r="AS28" i="44"/>
  <c r="BL28" i="44" s="1"/>
  <c r="AS126" i="44"/>
  <c r="BL126" i="44" s="1"/>
  <c r="AC126" i="44"/>
  <c r="AS296" i="44"/>
  <c r="BL296" i="44" s="1"/>
  <c r="AC296" i="44"/>
  <c r="AC114" i="44"/>
  <c r="AS114" i="44"/>
  <c r="BL114" i="44" s="1"/>
  <c r="AC265" i="44"/>
  <c r="AS265" i="44"/>
  <c r="BL265" i="44" s="1"/>
  <c r="AS271" i="44"/>
  <c r="BL271" i="44" s="1"/>
  <c r="AC271" i="44"/>
  <c r="AC258" i="44"/>
  <c r="AS258" i="44"/>
  <c r="BL258" i="44" s="1"/>
  <c r="AS279" i="44"/>
  <c r="BL279" i="44" s="1"/>
  <c r="AC279" i="44"/>
  <c r="AC292" i="44"/>
  <c r="AS292" i="44"/>
  <c r="BL292" i="44" s="1"/>
  <c r="AC85" i="44"/>
  <c r="AS85" i="44"/>
  <c r="BL85" i="44" s="1"/>
  <c r="AS119" i="44"/>
  <c r="BL119" i="44" s="1"/>
  <c r="AC119" i="44"/>
  <c r="AS214" i="44"/>
  <c r="BL214" i="44" s="1"/>
  <c r="AC214" i="44"/>
  <c r="AS215" i="44"/>
  <c r="BL215" i="44" s="1"/>
  <c r="AC215" i="44"/>
  <c r="AC18" i="44"/>
  <c r="AS18" i="44"/>
  <c r="BL18" i="44" s="1"/>
  <c r="AC101" i="44"/>
  <c r="AS101" i="44"/>
  <c r="BL101" i="44" s="1"/>
  <c r="AS63" i="44"/>
  <c r="BL63" i="44" s="1"/>
  <c r="AC63" i="44"/>
  <c r="AC137" i="44"/>
  <c r="AS137" i="44"/>
  <c r="BL137" i="44" s="1"/>
  <c r="AC58" i="44"/>
  <c r="AS58" i="44"/>
  <c r="BL58" i="44" s="1"/>
  <c r="AS118" i="44"/>
  <c r="BL118" i="44" s="1"/>
  <c r="AC118" i="44"/>
  <c r="AC148" i="44"/>
  <c r="AS148" i="44"/>
  <c r="BL148" i="44" s="1"/>
  <c r="AS94" i="44"/>
  <c r="BL94" i="44" s="1"/>
  <c r="AC94" i="44"/>
  <c r="AS175" i="44"/>
  <c r="BL175" i="44" s="1"/>
  <c r="AC175" i="44"/>
  <c r="AC122" i="44"/>
  <c r="AS122" i="44"/>
  <c r="BL122" i="44" s="1"/>
  <c r="AC162" i="44"/>
  <c r="AS162" i="44"/>
  <c r="BL162" i="44" s="1"/>
  <c r="AS166" i="44"/>
  <c r="BL166" i="44" s="1"/>
  <c r="AC166" i="44"/>
  <c r="AS23" i="44"/>
  <c r="BL23" i="44" s="1"/>
  <c r="AC23" i="44"/>
  <c r="AS230" i="44"/>
  <c r="BL230" i="44" s="1"/>
  <c r="AC230" i="44"/>
  <c r="AS247" i="44"/>
  <c r="BL247" i="44" s="1"/>
  <c r="AC247" i="44"/>
  <c r="AS183" i="44"/>
  <c r="BL183" i="44" s="1"/>
  <c r="AC183" i="44"/>
  <c r="AC293" i="44"/>
  <c r="AS293" i="44"/>
  <c r="BL293" i="44" s="1"/>
  <c r="AC169" i="44"/>
  <c r="AS169" i="44"/>
  <c r="BL169" i="44" s="1"/>
  <c r="AC20" i="44"/>
  <c r="AS20" i="44"/>
  <c r="AC98" i="44"/>
  <c r="AS98" i="44"/>
  <c r="BL98" i="44" s="1"/>
  <c r="AC197" i="44"/>
  <c r="AS197" i="44"/>
  <c r="BL197" i="44" s="1"/>
  <c r="AC205" i="44"/>
  <c r="AS205" i="44"/>
  <c r="BL205" i="44" s="1"/>
  <c r="AS207" i="44"/>
  <c r="BL207" i="44" s="1"/>
  <c r="AC207" i="44"/>
  <c r="AS160" i="44"/>
  <c r="BL160" i="44" s="1"/>
  <c r="AC160" i="44"/>
  <c r="AS246" i="44"/>
  <c r="BL246" i="44" s="1"/>
  <c r="AC246" i="44"/>
  <c r="AS251" i="44"/>
  <c r="BL251" i="44" s="1"/>
  <c r="AC251" i="44"/>
  <c r="AS27" i="44"/>
  <c r="BL27" i="44" s="1"/>
  <c r="AC27" i="44"/>
  <c r="AC36" i="44"/>
  <c r="AS36" i="44"/>
  <c r="BL36" i="44" s="1"/>
  <c r="AC106" i="44"/>
  <c r="AS106" i="44"/>
  <c r="BL106" i="44" s="1"/>
  <c r="AS280" i="44"/>
  <c r="BL280" i="44" s="1"/>
  <c r="AC280" i="44"/>
  <c r="AS40" i="44"/>
  <c r="BL40" i="44" s="1"/>
  <c r="AC40" i="44"/>
  <c r="AC282" i="44"/>
  <c r="AS282" i="44"/>
  <c r="BL282" i="44" s="1"/>
  <c r="AC43" i="44"/>
  <c r="AS43" i="44"/>
  <c r="BL43" i="44" s="1"/>
  <c r="AC204" i="44"/>
  <c r="AS204" i="44"/>
  <c r="BL204" i="44" s="1"/>
  <c r="AC131" i="44"/>
  <c r="AS131" i="44"/>
  <c r="BL131" i="44" s="1"/>
  <c r="AS182" i="44"/>
  <c r="BL182" i="44" s="1"/>
  <c r="AC182" i="44"/>
  <c r="AS176" i="44"/>
  <c r="BL176" i="44" s="1"/>
  <c r="AC176" i="44"/>
  <c r="AC157" i="44"/>
  <c r="AS157" i="44"/>
  <c r="BL157" i="44" s="1"/>
  <c r="AC172" i="44"/>
  <c r="AS172" i="44"/>
  <c r="BL172" i="44" s="1"/>
  <c r="AC42" i="44"/>
  <c r="AS42" i="44"/>
  <c r="BL42" i="44" s="1"/>
  <c r="AS232" i="44"/>
  <c r="BL232" i="44" s="1"/>
  <c r="AC232" i="44"/>
  <c r="AC77" i="44"/>
  <c r="AS77" i="44"/>
  <c r="BL77" i="44" s="1"/>
  <c r="AC300" i="44"/>
  <c r="AS300" i="44"/>
  <c r="BL300" i="44" s="1"/>
  <c r="AS30" i="44"/>
  <c r="BL30" i="44" s="1"/>
  <c r="AC30" i="44"/>
  <c r="AC26" i="44"/>
  <c r="AS26" i="44"/>
  <c r="BL26" i="44" s="1"/>
  <c r="AS219" i="44"/>
  <c r="BL219" i="44" s="1"/>
  <c r="AC219" i="44"/>
  <c r="AS278" i="44"/>
  <c r="BL278" i="44" s="1"/>
  <c r="AC278" i="44"/>
  <c r="AC61" i="44"/>
  <c r="AS61" i="44"/>
  <c r="BL61" i="44" s="1"/>
  <c r="AS16" i="44"/>
  <c r="BL16" i="44" s="1"/>
  <c r="AC16" i="44"/>
  <c r="AS70" i="44"/>
  <c r="BL70" i="44" s="1"/>
  <c r="AC70" i="44"/>
  <c r="AS208" i="44"/>
  <c r="BL208" i="44" s="1"/>
  <c r="AC208" i="44"/>
  <c r="AC73" i="44"/>
  <c r="AS73" i="44"/>
  <c r="BL73" i="44" s="1"/>
  <c r="AC220" i="44"/>
  <c r="AS220" i="44"/>
  <c r="BL220" i="44" s="1"/>
  <c r="AC125" i="44"/>
  <c r="AS125" i="44"/>
  <c r="BL125" i="44" s="1"/>
  <c r="AS135" i="44"/>
  <c r="BL135" i="44" s="1"/>
  <c r="AC135" i="44"/>
  <c r="AS71" i="44"/>
  <c r="BL71" i="44" s="1"/>
  <c r="AC71" i="44"/>
  <c r="AC130" i="44"/>
  <c r="AS130" i="44"/>
  <c r="BL130" i="44" s="1"/>
  <c r="AC195" i="44"/>
  <c r="AS195" i="44"/>
  <c r="BL195" i="44" s="1"/>
  <c r="AC209" i="44"/>
  <c r="AS209" i="44"/>
  <c r="BL209" i="44" s="1"/>
  <c r="AS174" i="44"/>
  <c r="BL174" i="44" s="1"/>
  <c r="AC174" i="44"/>
  <c r="AC147" i="44"/>
  <c r="AS147" i="44"/>
  <c r="BL147" i="44" s="1"/>
  <c r="AS255" i="44"/>
  <c r="BL255" i="44" s="1"/>
  <c r="AC255" i="44"/>
  <c r="AS224" i="44"/>
  <c r="BL224" i="44" s="1"/>
  <c r="AC224" i="44"/>
  <c r="AS254" i="44"/>
  <c r="BL254" i="44" s="1"/>
  <c r="AC254" i="44"/>
  <c r="AC202" i="44"/>
  <c r="AS202" i="44"/>
  <c r="BL202" i="44" s="1"/>
  <c r="AS152" i="44"/>
  <c r="BL152" i="44" s="1"/>
  <c r="AC152" i="44"/>
  <c r="AS47" i="44"/>
  <c r="BL47" i="44" s="1"/>
  <c r="AC47" i="44"/>
  <c r="AC245" i="44"/>
  <c r="AS245" i="44"/>
  <c r="BL245" i="44" s="1"/>
  <c r="AC257" i="44"/>
  <c r="AS257" i="44"/>
  <c r="BL257" i="44" s="1"/>
  <c r="AS192" i="44"/>
  <c r="BL192" i="44" s="1"/>
  <c r="AC192" i="44"/>
  <c r="AS167" i="44"/>
  <c r="BL167" i="44" s="1"/>
  <c r="AC167" i="44"/>
  <c r="AS22" i="44"/>
  <c r="BL22" i="44" s="1"/>
  <c r="AC22" i="44"/>
  <c r="AC212" i="44"/>
  <c r="AS212" i="44"/>
  <c r="BL212" i="44" s="1"/>
  <c r="AC140" i="44"/>
  <c r="AS140" i="44"/>
  <c r="BL140" i="44" s="1"/>
  <c r="AC241" i="44"/>
  <c r="AS241" i="44"/>
  <c r="BL241" i="44" s="1"/>
  <c r="AC229" i="44"/>
  <c r="AS229" i="44"/>
  <c r="BL229" i="44" s="1"/>
  <c r="AC165" i="44"/>
  <c r="AS165" i="44"/>
  <c r="BL165" i="44" s="1"/>
  <c r="AC170" i="44"/>
  <c r="AS170" i="44"/>
  <c r="BL170" i="44" s="1"/>
  <c r="AC81" i="44"/>
  <c r="AS81" i="44"/>
  <c r="BL81" i="44" s="1"/>
  <c r="AS184" i="44"/>
  <c r="BL184" i="44" s="1"/>
  <c r="AC184" i="44"/>
  <c r="AC228" i="44"/>
  <c r="AS228" i="44"/>
  <c r="BL228" i="44" s="1"/>
  <c r="AS222" i="44"/>
  <c r="BL222" i="44" s="1"/>
  <c r="AC222" i="44"/>
  <c r="AS198" i="44"/>
  <c r="BL198" i="44" s="1"/>
  <c r="AC198" i="44"/>
  <c r="AC236" i="44"/>
  <c r="AS236" i="44"/>
  <c r="BL236" i="44" s="1"/>
  <c r="AC133" i="44"/>
  <c r="AS133" i="44"/>
  <c r="BL133" i="44" s="1"/>
  <c r="AB96" i="44"/>
  <c r="AS134" i="44"/>
  <c r="BL134" i="44" s="1"/>
  <c r="AC134" i="44"/>
  <c r="AR214" i="44"/>
  <c r="BK214" i="44" s="1"/>
  <c r="AB15" i="44"/>
  <c r="AR15" i="44"/>
  <c r="BK15" i="44" s="1"/>
  <c r="G174" i="66"/>
  <c r="R174" i="66" s="1"/>
  <c r="N49" i="66"/>
  <c r="R167" i="66"/>
  <c r="G176" i="66"/>
  <c r="R176" i="66" s="1"/>
  <c r="F175" i="66"/>
  <c r="Q175" i="66" s="1"/>
  <c r="Q163" i="66"/>
  <c r="F178" i="66"/>
  <c r="Q178" i="66" s="1"/>
  <c r="Q166" i="66"/>
  <c r="G173" i="66"/>
  <c r="R173" i="66" s="1"/>
  <c r="R161" i="66"/>
  <c r="F177" i="66"/>
  <c r="Q177" i="66" s="1"/>
  <c r="Q165" i="66"/>
  <c r="AA13" i="44"/>
  <c r="AR215" i="44"/>
  <c r="BK215" i="44" s="1"/>
  <c r="AB215" i="44"/>
  <c r="AR267" i="44"/>
  <c r="BK267" i="44" s="1"/>
  <c r="AB267" i="44"/>
  <c r="AR148" i="44"/>
  <c r="BK148" i="44" s="1"/>
  <c r="AB148" i="44"/>
  <c r="AR66" i="44"/>
  <c r="BK66" i="44" s="1"/>
  <c r="AB66" i="44"/>
  <c r="AR175" i="44"/>
  <c r="BK175" i="44" s="1"/>
  <c r="AB175" i="44"/>
  <c r="AR271" i="44"/>
  <c r="BK271" i="44" s="1"/>
  <c r="AB271" i="44"/>
  <c r="AR122" i="44"/>
  <c r="BK122" i="44" s="1"/>
  <c r="AB122" i="44"/>
  <c r="AR162" i="44"/>
  <c r="BK162" i="44" s="1"/>
  <c r="AB162" i="44"/>
  <c r="AR258" i="44"/>
  <c r="BK258" i="44" s="1"/>
  <c r="AB258" i="44"/>
  <c r="AR166" i="44"/>
  <c r="BK166" i="44" s="1"/>
  <c r="AB166" i="44"/>
  <c r="AR210" i="44"/>
  <c r="BK210" i="44" s="1"/>
  <c r="AB210" i="44"/>
  <c r="AR230" i="44"/>
  <c r="BK230" i="44" s="1"/>
  <c r="AB230" i="44"/>
  <c r="AR216" i="44"/>
  <c r="BK216" i="44" s="1"/>
  <c r="AB216" i="44"/>
  <c r="AR247" i="44"/>
  <c r="BK247" i="44" s="1"/>
  <c r="AB247" i="44"/>
  <c r="AR143" i="44"/>
  <c r="BK143" i="44" s="1"/>
  <c r="AB143" i="44"/>
  <c r="AR259" i="44"/>
  <c r="BK259" i="44" s="1"/>
  <c r="AB259" i="44"/>
  <c r="AR54" i="44"/>
  <c r="BK54" i="44" s="1"/>
  <c r="AB54" i="44"/>
  <c r="AR240" i="44"/>
  <c r="BK240" i="44" s="1"/>
  <c r="AB240" i="44"/>
  <c r="AR293" i="44"/>
  <c r="BK293" i="44" s="1"/>
  <c r="AB293" i="44"/>
  <c r="AR107" i="44"/>
  <c r="BK107" i="44" s="1"/>
  <c r="AB107" i="44"/>
  <c r="AR75" i="44"/>
  <c r="BK75" i="44" s="1"/>
  <c r="AB75" i="44"/>
  <c r="AR290" i="44"/>
  <c r="BK290" i="44" s="1"/>
  <c r="AB290" i="44"/>
  <c r="AR119" i="44"/>
  <c r="BK119" i="44" s="1"/>
  <c r="AB119" i="44"/>
  <c r="AR20" i="44"/>
  <c r="BK20" i="44" s="1"/>
  <c r="AB20" i="44"/>
  <c r="AR128" i="44"/>
  <c r="BK128" i="44" s="1"/>
  <c r="AB128" i="44"/>
  <c r="AR118" i="44"/>
  <c r="BK118" i="44" s="1"/>
  <c r="AB118" i="44"/>
  <c r="AR304" i="44"/>
  <c r="BK304" i="44" s="1"/>
  <c r="AB304" i="44"/>
  <c r="AR277" i="44"/>
  <c r="BK277" i="44" s="1"/>
  <c r="AB277" i="44"/>
  <c r="AR252" i="44"/>
  <c r="BK252" i="44" s="1"/>
  <c r="AB252" i="44"/>
  <c r="AR139" i="44"/>
  <c r="BK139" i="44" s="1"/>
  <c r="AB139" i="44"/>
  <c r="AR173" i="44"/>
  <c r="BK173" i="44" s="1"/>
  <c r="AB173" i="44"/>
  <c r="AR179" i="44"/>
  <c r="BK179" i="44" s="1"/>
  <c r="AB179" i="44"/>
  <c r="AR263" i="44"/>
  <c r="BK263" i="44" s="1"/>
  <c r="AB263" i="44"/>
  <c r="AR186" i="44"/>
  <c r="BK186" i="44" s="1"/>
  <c r="AB186" i="44"/>
  <c r="AR307" i="44"/>
  <c r="BK307" i="44" s="1"/>
  <c r="AB307" i="44"/>
  <c r="AR283" i="44"/>
  <c r="BK283" i="44" s="1"/>
  <c r="AB283" i="44"/>
  <c r="AR234" i="44"/>
  <c r="BK234" i="44" s="1"/>
  <c r="AB234" i="44"/>
  <c r="AR95" i="44"/>
  <c r="BK95" i="44" s="1"/>
  <c r="AB95" i="44"/>
  <c r="AR248" i="44"/>
  <c r="BK248" i="44" s="1"/>
  <c r="AB248" i="44"/>
  <c r="AR149" i="44"/>
  <c r="BK149" i="44" s="1"/>
  <c r="AB149" i="44"/>
  <c r="AR178" i="44"/>
  <c r="BK178" i="44" s="1"/>
  <c r="AB178" i="44"/>
  <c r="AR242" i="44"/>
  <c r="BK242" i="44" s="1"/>
  <c r="AB242" i="44"/>
  <c r="AR86" i="44"/>
  <c r="BK86" i="44" s="1"/>
  <c r="AB86" i="44"/>
  <c r="AR65" i="44"/>
  <c r="BK65" i="44" s="1"/>
  <c r="AB65" i="44"/>
  <c r="AR62" i="44"/>
  <c r="BK62" i="44" s="1"/>
  <c r="AB62" i="44"/>
  <c r="AR113" i="44"/>
  <c r="BK113" i="44" s="1"/>
  <c r="AB113" i="44"/>
  <c r="AR90" i="44"/>
  <c r="BK90" i="44" s="1"/>
  <c r="AB90" i="44"/>
  <c r="AR50" i="44"/>
  <c r="BK50" i="44" s="1"/>
  <c r="AB50" i="44"/>
  <c r="AR91" i="44"/>
  <c r="BK91" i="44" s="1"/>
  <c r="AB91" i="44"/>
  <c r="AR18" i="44"/>
  <c r="BK18" i="44" s="1"/>
  <c r="AB18" i="44"/>
  <c r="AR101" i="44"/>
  <c r="BK101" i="44" s="1"/>
  <c r="AB101" i="44"/>
  <c r="AR63" i="44"/>
  <c r="BK63" i="44" s="1"/>
  <c r="AB63" i="44"/>
  <c r="AR137" i="44"/>
  <c r="BK137" i="44" s="1"/>
  <c r="AB137" i="44"/>
  <c r="AR78" i="44"/>
  <c r="BK78" i="44" s="1"/>
  <c r="AB78" i="44"/>
  <c r="AR94" i="44"/>
  <c r="BK94" i="44" s="1"/>
  <c r="AB94" i="44"/>
  <c r="AR142" i="44"/>
  <c r="BK142" i="44" s="1"/>
  <c r="AB142" i="44"/>
  <c r="AR306" i="44"/>
  <c r="BK306" i="44" s="1"/>
  <c r="AB306" i="44"/>
  <c r="AR298" i="44"/>
  <c r="BK298" i="44" s="1"/>
  <c r="AB298" i="44"/>
  <c r="AR164" i="44"/>
  <c r="BK164" i="44" s="1"/>
  <c r="AB164" i="44"/>
  <c r="AR89" i="44"/>
  <c r="BK89" i="44" s="1"/>
  <c r="AB89" i="44"/>
  <c r="AR23" i="44"/>
  <c r="BK23" i="44" s="1"/>
  <c r="AB23" i="44"/>
  <c r="AR279" i="44"/>
  <c r="BK279" i="44" s="1"/>
  <c r="AB279" i="44"/>
  <c r="AR190" i="44"/>
  <c r="BK190" i="44" s="1"/>
  <c r="AB190" i="44"/>
  <c r="AR292" i="44"/>
  <c r="BK292" i="44" s="1"/>
  <c r="AB292" i="44"/>
  <c r="AR183" i="44"/>
  <c r="BK183" i="44" s="1"/>
  <c r="AB183" i="44"/>
  <c r="AR163" i="44"/>
  <c r="BK163" i="44" s="1"/>
  <c r="AB163" i="44"/>
  <c r="AR85" i="44"/>
  <c r="BK85" i="44" s="1"/>
  <c r="AB85" i="44"/>
  <c r="AR299" i="44"/>
  <c r="BK299" i="44" s="1"/>
  <c r="AB299" i="44"/>
  <c r="AR169" i="44"/>
  <c r="BK169" i="44" s="1"/>
  <c r="AB169" i="44"/>
  <c r="AR158" i="44"/>
  <c r="BK158" i="44" s="1"/>
  <c r="AB158" i="44"/>
  <c r="AR98" i="44"/>
  <c r="BK98" i="44" s="1"/>
  <c r="AB98" i="44"/>
  <c r="AR197" i="44"/>
  <c r="BK197" i="44" s="1"/>
  <c r="AB197" i="44"/>
  <c r="AR205" i="44"/>
  <c r="BK205" i="44" s="1"/>
  <c r="AB205" i="44"/>
  <c r="AR138" i="44"/>
  <c r="BK138" i="44" s="1"/>
  <c r="AB138" i="44"/>
  <c r="AR207" i="44"/>
  <c r="BK207" i="44" s="1"/>
  <c r="AB207" i="44"/>
  <c r="AR160" i="44"/>
  <c r="BK160" i="44" s="1"/>
  <c r="AB160" i="44"/>
  <c r="AR154" i="44"/>
  <c r="BK154" i="44" s="1"/>
  <c r="AB154" i="44"/>
  <c r="AR246" i="44"/>
  <c r="BK246" i="44" s="1"/>
  <c r="AB246" i="44"/>
  <c r="AR55" i="44"/>
  <c r="BK55" i="44" s="1"/>
  <c r="AB55" i="44"/>
  <c r="AR53" i="44"/>
  <c r="BK53" i="44" s="1"/>
  <c r="AB53" i="44"/>
  <c r="AR251" i="44"/>
  <c r="BK251" i="44" s="1"/>
  <c r="AB251" i="44"/>
  <c r="AR191" i="44"/>
  <c r="BK191" i="44" s="1"/>
  <c r="AB191" i="44"/>
  <c r="AR199" i="44"/>
  <c r="BK199" i="44" s="1"/>
  <c r="AB199" i="44"/>
  <c r="AR49" i="44"/>
  <c r="BK49" i="44" s="1"/>
  <c r="AB49" i="44"/>
  <c r="AR262" i="44"/>
  <c r="BK262" i="44" s="1"/>
  <c r="AB262" i="44"/>
  <c r="AR260" i="44"/>
  <c r="BK260" i="44" s="1"/>
  <c r="AB260" i="44"/>
  <c r="AR253" i="44"/>
  <c r="BK253" i="44" s="1"/>
  <c r="AB253" i="44"/>
  <c r="AR103" i="44"/>
  <c r="BK103" i="44" s="1"/>
  <c r="AB103" i="44"/>
  <c r="AR256" i="44"/>
  <c r="BK256" i="44" s="1"/>
  <c r="AB256" i="44"/>
  <c r="AR109" i="44"/>
  <c r="BK109" i="44" s="1"/>
  <c r="AB109" i="44"/>
  <c r="AR168" i="44"/>
  <c r="BK168" i="44" s="1"/>
  <c r="AB168" i="44"/>
  <c r="AR156" i="44"/>
  <c r="BK156" i="44" s="1"/>
  <c r="AB156" i="44"/>
  <c r="AR93" i="44"/>
  <c r="BK93" i="44" s="1"/>
  <c r="AB93" i="44"/>
  <c r="AR272" i="44"/>
  <c r="BK272" i="44" s="1"/>
  <c r="AB272" i="44"/>
  <c r="AR284" i="44"/>
  <c r="BK284" i="44" s="1"/>
  <c r="AB284" i="44"/>
  <c r="AR32" i="44"/>
  <c r="BK32" i="44" s="1"/>
  <c r="AB32" i="44"/>
  <c r="AR294" i="44"/>
  <c r="BK294" i="44" s="1"/>
  <c r="AB294" i="44"/>
  <c r="AR51" i="44"/>
  <c r="BK51" i="44" s="1"/>
  <c r="AB51" i="44"/>
  <c r="AR180" i="44"/>
  <c r="BK180" i="44" s="1"/>
  <c r="AB180" i="44"/>
  <c r="AR243" i="44"/>
  <c r="BK243" i="44" s="1"/>
  <c r="AB243" i="44"/>
  <c r="AR39" i="44"/>
  <c r="BK39" i="44" s="1"/>
  <c r="AB39" i="44"/>
  <c r="AR59" i="44"/>
  <c r="BK59" i="44" s="1"/>
  <c r="AB59" i="44"/>
  <c r="AR218" i="44"/>
  <c r="BK218" i="44" s="1"/>
  <c r="AB218" i="44"/>
  <c r="AR79" i="44"/>
  <c r="BK79" i="44" s="1"/>
  <c r="AB79" i="44"/>
  <c r="AR281" i="44"/>
  <c r="BK281" i="44" s="1"/>
  <c r="AB281" i="44"/>
  <c r="AR203" i="44"/>
  <c r="BK203" i="44" s="1"/>
  <c r="AB203" i="44"/>
  <c r="AR46" i="44"/>
  <c r="BK46" i="44" s="1"/>
  <c r="AB46" i="44"/>
  <c r="AR27" i="44"/>
  <c r="BK27" i="44" s="1"/>
  <c r="AB27" i="44"/>
  <c r="AR61" i="44"/>
  <c r="BK61" i="44" s="1"/>
  <c r="AB61" i="44"/>
  <c r="AR136" i="44"/>
  <c r="BK136" i="44" s="1"/>
  <c r="AB136" i="44"/>
  <c r="AR97" i="44"/>
  <c r="BK97" i="44" s="1"/>
  <c r="AB97" i="44"/>
  <c r="AR36" i="44"/>
  <c r="BK36" i="44" s="1"/>
  <c r="AB36" i="44"/>
  <c r="AR40" i="44"/>
  <c r="BK40" i="44" s="1"/>
  <c r="AB40" i="44"/>
  <c r="AR43" i="44"/>
  <c r="BK43" i="44" s="1"/>
  <c r="AB43" i="44"/>
  <c r="AR131" i="44"/>
  <c r="BK131" i="44" s="1"/>
  <c r="AB131" i="44"/>
  <c r="AR157" i="44"/>
  <c r="BK157" i="44" s="1"/>
  <c r="AB157" i="44"/>
  <c r="AR232" i="44"/>
  <c r="BK232" i="44" s="1"/>
  <c r="AB232" i="44"/>
  <c r="AR26" i="44"/>
  <c r="BK26" i="44" s="1"/>
  <c r="AB26" i="44"/>
  <c r="AR16" i="44"/>
  <c r="BK16" i="44" s="1"/>
  <c r="AB16" i="44"/>
  <c r="AR70" i="44"/>
  <c r="BK70" i="44" s="1"/>
  <c r="AB70" i="44"/>
  <c r="AR208" i="44"/>
  <c r="BK208" i="44" s="1"/>
  <c r="AB208" i="44"/>
  <c r="AR73" i="44"/>
  <c r="BK73" i="44" s="1"/>
  <c r="AB73" i="44"/>
  <c r="AR220" i="44"/>
  <c r="BK220" i="44" s="1"/>
  <c r="AB220" i="44"/>
  <c r="AR125" i="44"/>
  <c r="BK125" i="44" s="1"/>
  <c r="AB125" i="44"/>
  <c r="AR135" i="44"/>
  <c r="BK135" i="44" s="1"/>
  <c r="AB135" i="44"/>
  <c r="AR71" i="44"/>
  <c r="BK71" i="44" s="1"/>
  <c r="AB71" i="44"/>
  <c r="AR130" i="44"/>
  <c r="BK130" i="44" s="1"/>
  <c r="AB130" i="44"/>
  <c r="AR195" i="44"/>
  <c r="BK195" i="44" s="1"/>
  <c r="AB195" i="44"/>
  <c r="AR209" i="44"/>
  <c r="BK209" i="44" s="1"/>
  <c r="AB209" i="44"/>
  <c r="AR174" i="44"/>
  <c r="BK174" i="44" s="1"/>
  <c r="AB174" i="44"/>
  <c r="AR147" i="44"/>
  <c r="BK147" i="44" s="1"/>
  <c r="AB147" i="44"/>
  <c r="AR255" i="44"/>
  <c r="BK255" i="44" s="1"/>
  <c r="AB255" i="44"/>
  <c r="AR224" i="44"/>
  <c r="BK224" i="44" s="1"/>
  <c r="AB224" i="44"/>
  <c r="AR254" i="44"/>
  <c r="BK254" i="44" s="1"/>
  <c r="AB254" i="44"/>
  <c r="AR202" i="44"/>
  <c r="BK202" i="44" s="1"/>
  <c r="AB202" i="44"/>
  <c r="AR152" i="44"/>
  <c r="BK152" i="44" s="1"/>
  <c r="AB152" i="44"/>
  <c r="AR47" i="44"/>
  <c r="BK47" i="44" s="1"/>
  <c r="AB47" i="44"/>
  <c r="AR245" i="44"/>
  <c r="BK245" i="44" s="1"/>
  <c r="AB245" i="44"/>
  <c r="AR257" i="44"/>
  <c r="BK257" i="44" s="1"/>
  <c r="AB257" i="44"/>
  <c r="AR192" i="44"/>
  <c r="BK192" i="44" s="1"/>
  <c r="AB192" i="44"/>
  <c r="AR167" i="44"/>
  <c r="BK167" i="44" s="1"/>
  <c r="AB167" i="44"/>
  <c r="AR22" i="44"/>
  <c r="BK22" i="44" s="1"/>
  <c r="AB22" i="44"/>
  <c r="AR212" i="44"/>
  <c r="BK212" i="44" s="1"/>
  <c r="AB212" i="44"/>
  <c r="AR140" i="44"/>
  <c r="BK140" i="44" s="1"/>
  <c r="AB140" i="44"/>
  <c r="AR241" i="44"/>
  <c r="BK241" i="44" s="1"/>
  <c r="AB241" i="44"/>
  <c r="AR229" i="44"/>
  <c r="BK229" i="44" s="1"/>
  <c r="AB229" i="44"/>
  <c r="AR165" i="44"/>
  <c r="BK165" i="44" s="1"/>
  <c r="AB165" i="44"/>
  <c r="AR170" i="44"/>
  <c r="BK170" i="44" s="1"/>
  <c r="AB170" i="44"/>
  <c r="AR81" i="44"/>
  <c r="BK81" i="44" s="1"/>
  <c r="AB81" i="44"/>
  <c r="AR184" i="44"/>
  <c r="BK184" i="44" s="1"/>
  <c r="AB184" i="44"/>
  <c r="AR228" i="44"/>
  <c r="BK228" i="44" s="1"/>
  <c r="AB228" i="44"/>
  <c r="AR222" i="44"/>
  <c r="BK222" i="44" s="1"/>
  <c r="AB222" i="44"/>
  <c r="AR198" i="44"/>
  <c r="BK198" i="44" s="1"/>
  <c r="AB198" i="44"/>
  <c r="AR236" i="44"/>
  <c r="BK236" i="44" s="1"/>
  <c r="AB236" i="44"/>
  <c r="AR133" i="44"/>
  <c r="BK133" i="44" s="1"/>
  <c r="AB133" i="44"/>
  <c r="AR288" i="44"/>
  <c r="BK288" i="44" s="1"/>
  <c r="AB288" i="44"/>
  <c r="AR171" i="44"/>
  <c r="BK171" i="44" s="1"/>
  <c r="AB171" i="44"/>
  <c r="AR28" i="44"/>
  <c r="BK28" i="44" s="1"/>
  <c r="AB28" i="44"/>
  <c r="AR105" i="44"/>
  <c r="BK105" i="44" s="1"/>
  <c r="AB105" i="44"/>
  <c r="AR126" i="44"/>
  <c r="BK126" i="44" s="1"/>
  <c r="AB126" i="44"/>
  <c r="AR24" i="44"/>
  <c r="BK24" i="44" s="1"/>
  <c r="AB24" i="44"/>
  <c r="AR87" i="44"/>
  <c r="BK87" i="44" s="1"/>
  <c r="AB87" i="44"/>
  <c r="AR200" i="44"/>
  <c r="BK200" i="44" s="1"/>
  <c r="AB200" i="44"/>
  <c r="AR296" i="44"/>
  <c r="BK296" i="44" s="1"/>
  <c r="AB296" i="44"/>
  <c r="AR302" i="44"/>
  <c r="BK302" i="44" s="1"/>
  <c r="AB302" i="44"/>
  <c r="AR114" i="44"/>
  <c r="BK114" i="44" s="1"/>
  <c r="AB114" i="44"/>
  <c r="AR58" i="44"/>
  <c r="BK58" i="44" s="1"/>
  <c r="AB58" i="44"/>
  <c r="AR265" i="44"/>
  <c r="BK265" i="44" s="1"/>
  <c r="AB265" i="44"/>
  <c r="AR106" i="44"/>
  <c r="BK106" i="44" s="1"/>
  <c r="AB106" i="44"/>
  <c r="AR282" i="44"/>
  <c r="BK282" i="44" s="1"/>
  <c r="AB282" i="44"/>
  <c r="AR182" i="44"/>
  <c r="BK182" i="44" s="1"/>
  <c r="AB182" i="44"/>
  <c r="AR172" i="44"/>
  <c r="BK172" i="44" s="1"/>
  <c r="AB172" i="44"/>
  <c r="AR300" i="44"/>
  <c r="BK300" i="44" s="1"/>
  <c r="AB300" i="44"/>
  <c r="AR278" i="44"/>
  <c r="BK278" i="44" s="1"/>
  <c r="AB278" i="44"/>
  <c r="AR201" i="44"/>
  <c r="BK201" i="44" s="1"/>
  <c r="AB201" i="44"/>
  <c r="AR189" i="44"/>
  <c r="BK189" i="44" s="1"/>
  <c r="AB189" i="44"/>
  <c r="AR161" i="44"/>
  <c r="BK161" i="44" s="1"/>
  <c r="AB161" i="44"/>
  <c r="AR57" i="44"/>
  <c r="BK57" i="44" s="1"/>
  <c r="AB57" i="44"/>
  <c r="AR249" i="44"/>
  <c r="BK249" i="44" s="1"/>
  <c r="AB249" i="44"/>
  <c r="AR270" i="44"/>
  <c r="BK270" i="44" s="1"/>
  <c r="AB270" i="44"/>
  <c r="AR289" i="44"/>
  <c r="BK289" i="44" s="1"/>
  <c r="AB289" i="44"/>
  <c r="AR291" i="44"/>
  <c r="BK291" i="44" s="1"/>
  <c r="AB291" i="44"/>
  <c r="AR177" i="44"/>
  <c r="BK177" i="44" s="1"/>
  <c r="AB177" i="44"/>
  <c r="AR34" i="44"/>
  <c r="BK34" i="44" s="1"/>
  <c r="AB34" i="44"/>
  <c r="AR123" i="44"/>
  <c r="BK123" i="44" s="1"/>
  <c r="AB123" i="44"/>
  <c r="AR264" i="44"/>
  <c r="BK264" i="44" s="1"/>
  <c r="AB264" i="44"/>
  <c r="AR238" i="44"/>
  <c r="BK238" i="44" s="1"/>
  <c r="AB238" i="44"/>
  <c r="AR155" i="44"/>
  <c r="BK155" i="44" s="1"/>
  <c r="AB155" i="44"/>
  <c r="AR117" i="44"/>
  <c r="BK117" i="44" s="1"/>
  <c r="AB117" i="44"/>
  <c r="AR146" i="44"/>
  <c r="BK146" i="44" s="1"/>
  <c r="AB146" i="44"/>
  <c r="AR151" i="44"/>
  <c r="BK151" i="44" s="1"/>
  <c r="AB151" i="44"/>
  <c r="AR187" i="44"/>
  <c r="BK187" i="44" s="1"/>
  <c r="AB187" i="44"/>
  <c r="AR99" i="44"/>
  <c r="BK99" i="44" s="1"/>
  <c r="AB99" i="44"/>
  <c r="AR269" i="44"/>
  <c r="BK269" i="44" s="1"/>
  <c r="AB269" i="44"/>
  <c r="AR150" i="44"/>
  <c r="BK150" i="44" s="1"/>
  <c r="AB150" i="44"/>
  <c r="AR141" i="44"/>
  <c r="BK141" i="44" s="1"/>
  <c r="AB141" i="44"/>
  <c r="AR188" i="44"/>
  <c r="BK188" i="44" s="1"/>
  <c r="AB188" i="44"/>
  <c r="AR82" i="44"/>
  <c r="BK82" i="44" s="1"/>
  <c r="AB82" i="44"/>
  <c r="AR134" i="44"/>
  <c r="BK134" i="44" s="1"/>
  <c r="AB134" i="44"/>
  <c r="AR280" i="44"/>
  <c r="BK280" i="44" s="1"/>
  <c r="AB280" i="44"/>
  <c r="AR204" i="44"/>
  <c r="BK204" i="44" s="1"/>
  <c r="AB204" i="44"/>
  <c r="AR176" i="44"/>
  <c r="BK176" i="44" s="1"/>
  <c r="AB176" i="44"/>
  <c r="AR42" i="44"/>
  <c r="BK42" i="44" s="1"/>
  <c r="AB42" i="44"/>
  <c r="AR77" i="44"/>
  <c r="BK77" i="44" s="1"/>
  <c r="AB77" i="44"/>
  <c r="AR30" i="44"/>
  <c r="BK30" i="44" s="1"/>
  <c r="AB30" i="44"/>
  <c r="AR219" i="44"/>
  <c r="BK219" i="44" s="1"/>
  <c r="AB219" i="44"/>
  <c r="AR274" i="44"/>
  <c r="BK274" i="44" s="1"/>
  <c r="AB274" i="44"/>
  <c r="AR227" i="44"/>
  <c r="BK227" i="44" s="1"/>
  <c r="AB227" i="44"/>
  <c r="AR303" i="44"/>
  <c r="BK303" i="44" s="1"/>
  <c r="AB303" i="44"/>
  <c r="AR244" i="44"/>
  <c r="BK244" i="44" s="1"/>
  <c r="AB244" i="44"/>
  <c r="AR38" i="44"/>
  <c r="BK38" i="44" s="1"/>
  <c r="AB38" i="44"/>
  <c r="AR266" i="44"/>
  <c r="BK266" i="44" s="1"/>
  <c r="AB266" i="44"/>
  <c r="AR213" i="44"/>
  <c r="BK213" i="44" s="1"/>
  <c r="AB213" i="44"/>
  <c r="AR295" i="44"/>
  <c r="BK295" i="44" s="1"/>
  <c r="AB295" i="44"/>
  <c r="AR19" i="44"/>
  <c r="BK19" i="44" s="1"/>
  <c r="AB19" i="44"/>
  <c r="AR127" i="44"/>
  <c r="BK127" i="44" s="1"/>
  <c r="AB127" i="44"/>
  <c r="AR83" i="44"/>
  <c r="BK83" i="44" s="1"/>
  <c r="AB83" i="44"/>
  <c r="AR287" i="44"/>
  <c r="BK287" i="44" s="1"/>
  <c r="AB287" i="44"/>
  <c r="AR67" i="44"/>
  <c r="BK67" i="44" s="1"/>
  <c r="AB67" i="44"/>
  <c r="AR211" i="44"/>
  <c r="BK211" i="44" s="1"/>
  <c r="AB211" i="44"/>
  <c r="AR45" i="44"/>
  <c r="BK45" i="44" s="1"/>
  <c r="AB45" i="44"/>
  <c r="AR268" i="44"/>
  <c r="BK268" i="44" s="1"/>
  <c r="AB268" i="44"/>
  <c r="AR261" i="44"/>
  <c r="BK261" i="44" s="1"/>
  <c r="AB261" i="44"/>
  <c r="AR69" i="44"/>
  <c r="BK69" i="44" s="1"/>
  <c r="AB69" i="44"/>
  <c r="AR226" i="44"/>
  <c r="BK226" i="44" s="1"/>
  <c r="AB226" i="44"/>
  <c r="AR31" i="44"/>
  <c r="BK31" i="44" s="1"/>
  <c r="AB31" i="44"/>
  <c r="AR115" i="44"/>
  <c r="BK115" i="44" s="1"/>
  <c r="AB115" i="44"/>
  <c r="AR74" i="44"/>
  <c r="BK74" i="44" s="1"/>
  <c r="AB74" i="44"/>
  <c r="AR144" i="44"/>
  <c r="BK144" i="44" s="1"/>
  <c r="AB144" i="44"/>
  <c r="AR193" i="44"/>
  <c r="BK193" i="44" s="1"/>
  <c r="AB193" i="44"/>
  <c r="AR194" i="44"/>
  <c r="BK194" i="44" s="1"/>
  <c r="AB194" i="44"/>
  <c r="AR285" i="44"/>
  <c r="BK285" i="44" s="1"/>
  <c r="AB285" i="44"/>
  <c r="AR159" i="44"/>
  <c r="BK159" i="44" s="1"/>
  <c r="AB159" i="44"/>
  <c r="AR250" i="44"/>
  <c r="BK250" i="44" s="1"/>
  <c r="AB250" i="44"/>
  <c r="AR35" i="44"/>
  <c r="BK35" i="44" s="1"/>
  <c r="AB35" i="44"/>
  <c r="AR196" i="44"/>
  <c r="BK196" i="44" s="1"/>
  <c r="AB196" i="44"/>
  <c r="AR110" i="44"/>
  <c r="BK110" i="44" s="1"/>
  <c r="AB110" i="44"/>
  <c r="AR239" i="44"/>
  <c r="BK239" i="44" s="1"/>
  <c r="AB239" i="44"/>
  <c r="AR44" i="44"/>
  <c r="BK44" i="44" s="1"/>
  <c r="AB44" i="44"/>
  <c r="AR235" i="44"/>
  <c r="BK235" i="44" s="1"/>
  <c r="AB235" i="44"/>
  <c r="AR206" i="44"/>
  <c r="BK206" i="44" s="1"/>
  <c r="AB206" i="44"/>
  <c r="AR276" i="44"/>
  <c r="BK276" i="44" s="1"/>
  <c r="AB276" i="44"/>
  <c r="AR286" i="44"/>
  <c r="BK286" i="44" s="1"/>
  <c r="AB286" i="44"/>
  <c r="AR121" i="44"/>
  <c r="BK121" i="44" s="1"/>
  <c r="AB121" i="44"/>
  <c r="BJ16" i="44"/>
  <c r="BJ24" i="44"/>
  <c r="AQ13" i="44"/>
  <c r="L164" i="66" l="1"/>
  <c r="L176" i="66" s="1"/>
  <c r="W176" i="66" s="1"/>
  <c r="L161" i="66"/>
  <c r="L173" i="66" s="1"/>
  <c r="W173" i="66" s="1"/>
  <c r="AF13" i="44"/>
  <c r="P13" i="44" s="1"/>
  <c r="L168" i="66" s="1"/>
  <c r="L163" i="66"/>
  <c r="L175" i="66" s="1"/>
  <c r="W175" i="66" s="1"/>
  <c r="L166" i="66"/>
  <c r="L178" i="66" s="1"/>
  <c r="W178" i="66" s="1"/>
  <c r="L165" i="66"/>
  <c r="L177" i="66" s="1"/>
  <c r="W177" i="66" s="1"/>
  <c r="L167" i="66"/>
  <c r="L179" i="66" s="1"/>
  <c r="W179" i="66" s="1"/>
  <c r="AV13" i="44"/>
  <c r="K161" i="66"/>
  <c r="W161" i="66" s="1"/>
  <c r="K162" i="66"/>
  <c r="W162" i="66" s="1"/>
  <c r="K166" i="66"/>
  <c r="K164" i="66"/>
  <c r="W164" i="66" s="1"/>
  <c r="K165" i="66"/>
  <c r="K167" i="66"/>
  <c r="K163" i="66"/>
  <c r="W163" i="66" s="1"/>
  <c r="AE13" i="44"/>
  <c r="I166" i="66"/>
  <c r="I178" i="66" s="1"/>
  <c r="T178" i="66" s="1"/>
  <c r="J164" i="66"/>
  <c r="J161" i="66"/>
  <c r="I167" i="66"/>
  <c r="I179" i="66" s="1"/>
  <c r="T179" i="66" s="1"/>
  <c r="H164" i="66"/>
  <c r="H167" i="66"/>
  <c r="J162" i="66"/>
  <c r="I162" i="66"/>
  <c r="I174" i="66" s="1"/>
  <c r="T174" i="66" s="1"/>
  <c r="I164" i="66"/>
  <c r="H162" i="66"/>
  <c r="H174" i="66" s="1"/>
  <c r="S174" i="66" s="1"/>
  <c r="AD13" i="44"/>
  <c r="J165" i="66"/>
  <c r="J163" i="66"/>
  <c r="J166" i="66"/>
  <c r="J167" i="66"/>
  <c r="I161" i="66"/>
  <c r="I163" i="66"/>
  <c r="I175" i="66" s="1"/>
  <c r="T175" i="66" s="1"/>
  <c r="I165" i="66"/>
  <c r="H161" i="66"/>
  <c r="H165" i="66"/>
  <c r="H163" i="66"/>
  <c r="H166" i="66"/>
  <c r="BM15" i="44"/>
  <c r="AT13" i="44"/>
  <c r="AC13" i="44"/>
  <c r="AS13" i="44"/>
  <c r="BL20" i="44"/>
  <c r="G177" i="66"/>
  <c r="R177" i="66" s="1"/>
  <c r="R165" i="66"/>
  <c r="G175" i="66"/>
  <c r="R175" i="66" s="1"/>
  <c r="R163" i="66"/>
  <c r="G178" i="66"/>
  <c r="R178" i="66" s="1"/>
  <c r="R166" i="66"/>
  <c r="AB13" i="44"/>
  <c r="AR13" i="44"/>
  <c r="Z307" i="52"/>
  <c r="Y307" i="52"/>
  <c r="X307" i="52"/>
  <c r="W307" i="52"/>
  <c r="V307" i="52"/>
  <c r="Z306" i="52"/>
  <c r="Y306" i="52"/>
  <c r="X306" i="52"/>
  <c r="W306" i="52"/>
  <c r="V306" i="52"/>
  <c r="Z305" i="52"/>
  <c r="Y305" i="52"/>
  <c r="X305" i="52"/>
  <c r="W305" i="52"/>
  <c r="V305" i="52"/>
  <c r="Z304" i="52"/>
  <c r="Y304" i="52"/>
  <c r="X304" i="52"/>
  <c r="W304" i="52"/>
  <c r="V304" i="52"/>
  <c r="Z303" i="52"/>
  <c r="Y303" i="52"/>
  <c r="X303" i="52"/>
  <c r="W303" i="52"/>
  <c r="V303" i="52"/>
  <c r="Z302" i="52"/>
  <c r="Y302" i="52"/>
  <c r="X302" i="52"/>
  <c r="W302" i="52"/>
  <c r="V302" i="52"/>
  <c r="Z301" i="52"/>
  <c r="Y301" i="52"/>
  <c r="X301" i="52"/>
  <c r="W301" i="52"/>
  <c r="V301" i="52"/>
  <c r="Z300" i="52"/>
  <c r="Y300" i="52"/>
  <c r="X300" i="52"/>
  <c r="W300" i="52"/>
  <c r="V300" i="52"/>
  <c r="Z299" i="52"/>
  <c r="Y299" i="52"/>
  <c r="X299" i="52"/>
  <c r="W299" i="52"/>
  <c r="V299" i="52"/>
  <c r="Z298" i="52"/>
  <c r="Y298" i="52"/>
  <c r="X298" i="52"/>
  <c r="W298" i="52"/>
  <c r="V298" i="52"/>
  <c r="Z297" i="52"/>
  <c r="Y297" i="52"/>
  <c r="X297" i="52"/>
  <c r="W297" i="52"/>
  <c r="V297" i="52"/>
  <c r="Z296" i="52"/>
  <c r="Y296" i="52"/>
  <c r="X296" i="52"/>
  <c r="W296" i="52"/>
  <c r="V296" i="52"/>
  <c r="Z295" i="52"/>
  <c r="Y295" i="52"/>
  <c r="X295" i="52"/>
  <c r="W295" i="52"/>
  <c r="V295" i="52"/>
  <c r="Z294" i="52"/>
  <c r="Y294" i="52"/>
  <c r="X294" i="52"/>
  <c r="W294" i="52"/>
  <c r="V294" i="52"/>
  <c r="Z293" i="52"/>
  <c r="Y293" i="52"/>
  <c r="X293" i="52"/>
  <c r="W293" i="52"/>
  <c r="V293" i="52"/>
  <c r="Z292" i="52"/>
  <c r="Y292" i="52"/>
  <c r="X292" i="52"/>
  <c r="W292" i="52"/>
  <c r="V292" i="52"/>
  <c r="Z291" i="52"/>
  <c r="Y291" i="52"/>
  <c r="X291" i="52"/>
  <c r="W291" i="52"/>
  <c r="V291" i="52"/>
  <c r="Z290" i="52"/>
  <c r="Y290" i="52"/>
  <c r="X290" i="52"/>
  <c r="W290" i="52"/>
  <c r="V290" i="52"/>
  <c r="Z289" i="52"/>
  <c r="Y289" i="52"/>
  <c r="X289" i="52"/>
  <c r="W289" i="52"/>
  <c r="V289" i="52"/>
  <c r="Z288" i="52"/>
  <c r="Y288" i="52"/>
  <c r="X288" i="52"/>
  <c r="W288" i="52"/>
  <c r="V288" i="52"/>
  <c r="Z287" i="52"/>
  <c r="Y287" i="52"/>
  <c r="X287" i="52"/>
  <c r="W287" i="52"/>
  <c r="V287" i="52"/>
  <c r="Z286" i="52"/>
  <c r="Y286" i="52"/>
  <c r="X286" i="52"/>
  <c r="W286" i="52"/>
  <c r="V286" i="52"/>
  <c r="Z285" i="52"/>
  <c r="Y285" i="52"/>
  <c r="X285" i="52"/>
  <c r="W285" i="52"/>
  <c r="V285" i="52"/>
  <c r="Z284" i="52"/>
  <c r="Y284" i="52"/>
  <c r="X284" i="52"/>
  <c r="W284" i="52"/>
  <c r="V284" i="52"/>
  <c r="Z283" i="52"/>
  <c r="Y283" i="52"/>
  <c r="X283" i="52"/>
  <c r="W283" i="52"/>
  <c r="V283" i="52"/>
  <c r="Z282" i="52"/>
  <c r="Y282" i="52"/>
  <c r="X282" i="52"/>
  <c r="W282" i="52"/>
  <c r="V282" i="52"/>
  <c r="Z281" i="52"/>
  <c r="Y281" i="52"/>
  <c r="X281" i="52"/>
  <c r="W281" i="52"/>
  <c r="V281" i="52"/>
  <c r="Z280" i="52"/>
  <c r="Y280" i="52"/>
  <c r="X280" i="52"/>
  <c r="W280" i="52"/>
  <c r="V280" i="52"/>
  <c r="Z279" i="52"/>
  <c r="Y279" i="52"/>
  <c r="X279" i="52"/>
  <c r="W279" i="52"/>
  <c r="V279" i="52"/>
  <c r="Z278" i="52"/>
  <c r="Y278" i="52"/>
  <c r="X278" i="52"/>
  <c r="W278" i="52"/>
  <c r="V278" i="52"/>
  <c r="Z277" i="52"/>
  <c r="Y277" i="52"/>
  <c r="X277" i="52"/>
  <c r="W277" i="52"/>
  <c r="V277" i="52"/>
  <c r="Z276" i="52"/>
  <c r="Y276" i="52"/>
  <c r="X276" i="52"/>
  <c r="W276" i="52"/>
  <c r="V276" i="52"/>
  <c r="Z275" i="52"/>
  <c r="Y275" i="52"/>
  <c r="X275" i="52"/>
  <c r="W275" i="52"/>
  <c r="V275" i="52"/>
  <c r="Z274" i="52"/>
  <c r="Y274" i="52"/>
  <c r="X274" i="52"/>
  <c r="W274" i="52"/>
  <c r="V274" i="52"/>
  <c r="Z273" i="52"/>
  <c r="Y273" i="52"/>
  <c r="X273" i="52"/>
  <c r="W273" i="52"/>
  <c r="V273" i="52"/>
  <c r="Z272" i="52"/>
  <c r="Y272" i="52"/>
  <c r="X272" i="52"/>
  <c r="W272" i="52"/>
  <c r="V272" i="52"/>
  <c r="Z271" i="52"/>
  <c r="Y271" i="52"/>
  <c r="X271" i="52"/>
  <c r="W271" i="52"/>
  <c r="V271" i="52"/>
  <c r="Z270" i="52"/>
  <c r="Y270" i="52"/>
  <c r="X270" i="52"/>
  <c r="W270" i="52"/>
  <c r="V270" i="52"/>
  <c r="Z269" i="52"/>
  <c r="Y269" i="52"/>
  <c r="X269" i="52"/>
  <c r="W269" i="52"/>
  <c r="V269" i="52"/>
  <c r="Z268" i="52"/>
  <c r="Y268" i="52"/>
  <c r="X268" i="52"/>
  <c r="W268" i="52"/>
  <c r="V268" i="52"/>
  <c r="Z267" i="52"/>
  <c r="Y267" i="52"/>
  <c r="X267" i="52"/>
  <c r="W267" i="52"/>
  <c r="V267" i="52"/>
  <c r="Z266" i="52"/>
  <c r="Y266" i="52"/>
  <c r="X266" i="52"/>
  <c r="W266" i="52"/>
  <c r="V266" i="52"/>
  <c r="Z265" i="52"/>
  <c r="Y265" i="52"/>
  <c r="X265" i="52"/>
  <c r="W265" i="52"/>
  <c r="V265" i="52"/>
  <c r="Z264" i="52"/>
  <c r="Y264" i="52"/>
  <c r="X264" i="52"/>
  <c r="W264" i="52"/>
  <c r="V264" i="52"/>
  <c r="Z263" i="52"/>
  <c r="Y263" i="52"/>
  <c r="X263" i="52"/>
  <c r="W263" i="52"/>
  <c r="V263" i="52"/>
  <c r="Z262" i="52"/>
  <c r="Y262" i="52"/>
  <c r="X262" i="52"/>
  <c r="W262" i="52"/>
  <c r="V262" i="52"/>
  <c r="Z261" i="52"/>
  <c r="Y261" i="52"/>
  <c r="X261" i="52"/>
  <c r="W261" i="52"/>
  <c r="V261" i="52"/>
  <c r="Z260" i="52"/>
  <c r="Y260" i="52"/>
  <c r="X260" i="52"/>
  <c r="W260" i="52"/>
  <c r="V260" i="52"/>
  <c r="Z259" i="52"/>
  <c r="Y259" i="52"/>
  <c r="X259" i="52"/>
  <c r="W259" i="52"/>
  <c r="V259" i="52"/>
  <c r="Z258" i="52"/>
  <c r="Y258" i="52"/>
  <c r="X258" i="52"/>
  <c r="W258" i="52"/>
  <c r="V258" i="52"/>
  <c r="Z257" i="52"/>
  <c r="Y257" i="52"/>
  <c r="X257" i="52"/>
  <c r="W257" i="52"/>
  <c r="V257" i="52"/>
  <c r="Z256" i="52"/>
  <c r="Y256" i="52"/>
  <c r="X256" i="52"/>
  <c r="W256" i="52"/>
  <c r="V256" i="52"/>
  <c r="Z255" i="52"/>
  <c r="Y255" i="52"/>
  <c r="X255" i="52"/>
  <c r="W255" i="52"/>
  <c r="V255" i="52"/>
  <c r="Z254" i="52"/>
  <c r="Y254" i="52"/>
  <c r="X254" i="52"/>
  <c r="W254" i="52"/>
  <c r="V254" i="52"/>
  <c r="Z253" i="52"/>
  <c r="Y253" i="52"/>
  <c r="X253" i="52"/>
  <c r="W253" i="52"/>
  <c r="V253" i="52"/>
  <c r="Z252" i="52"/>
  <c r="Y252" i="52"/>
  <c r="X252" i="52"/>
  <c r="W252" i="52"/>
  <c r="V252" i="52"/>
  <c r="Z251" i="52"/>
  <c r="Y251" i="52"/>
  <c r="X251" i="52"/>
  <c r="W251" i="52"/>
  <c r="V251" i="52"/>
  <c r="Z250" i="52"/>
  <c r="Y250" i="52"/>
  <c r="X250" i="52"/>
  <c r="W250" i="52"/>
  <c r="V250" i="52"/>
  <c r="Z249" i="52"/>
  <c r="Y249" i="52"/>
  <c r="X249" i="52"/>
  <c r="W249" i="52"/>
  <c r="V249" i="52"/>
  <c r="Z248" i="52"/>
  <c r="Y248" i="52"/>
  <c r="X248" i="52"/>
  <c r="W248" i="52"/>
  <c r="V248" i="52"/>
  <c r="Z247" i="52"/>
  <c r="Y247" i="52"/>
  <c r="X247" i="52"/>
  <c r="W247" i="52"/>
  <c r="V247" i="52"/>
  <c r="Z246" i="52"/>
  <c r="Y246" i="52"/>
  <c r="X246" i="52"/>
  <c r="W246" i="52"/>
  <c r="V246" i="52"/>
  <c r="Z245" i="52"/>
  <c r="Y245" i="52"/>
  <c r="X245" i="52"/>
  <c r="W245" i="52"/>
  <c r="V245" i="52"/>
  <c r="Z244" i="52"/>
  <c r="Y244" i="52"/>
  <c r="X244" i="52"/>
  <c r="W244" i="52"/>
  <c r="V244" i="52"/>
  <c r="Z243" i="52"/>
  <c r="Y243" i="52"/>
  <c r="X243" i="52"/>
  <c r="W243" i="52"/>
  <c r="V243" i="52"/>
  <c r="Z242" i="52"/>
  <c r="Y242" i="52"/>
  <c r="X242" i="52"/>
  <c r="W242" i="52"/>
  <c r="V242" i="52"/>
  <c r="Z241" i="52"/>
  <c r="Y241" i="52"/>
  <c r="X241" i="52"/>
  <c r="W241" i="52"/>
  <c r="V241" i="52"/>
  <c r="Z240" i="52"/>
  <c r="Y240" i="52"/>
  <c r="X240" i="52"/>
  <c r="W240" i="52"/>
  <c r="V240" i="52"/>
  <c r="Z239" i="52"/>
  <c r="Y239" i="52"/>
  <c r="X239" i="52"/>
  <c r="W239" i="52"/>
  <c r="V239" i="52"/>
  <c r="Z238" i="52"/>
  <c r="Y238" i="52"/>
  <c r="X238" i="52"/>
  <c r="W238" i="52"/>
  <c r="V238" i="52"/>
  <c r="Z237" i="52"/>
  <c r="Y237" i="52"/>
  <c r="X237" i="52"/>
  <c r="W237" i="52"/>
  <c r="V237" i="52"/>
  <c r="Z236" i="52"/>
  <c r="Y236" i="52"/>
  <c r="X236" i="52"/>
  <c r="W236" i="52"/>
  <c r="V236" i="52"/>
  <c r="Z235" i="52"/>
  <c r="Y235" i="52"/>
  <c r="X235" i="52"/>
  <c r="W235" i="52"/>
  <c r="V235" i="52"/>
  <c r="Z234" i="52"/>
  <c r="Y234" i="52"/>
  <c r="X234" i="52"/>
  <c r="W234" i="52"/>
  <c r="V234" i="52"/>
  <c r="Z233" i="52"/>
  <c r="Y233" i="52"/>
  <c r="X233" i="52"/>
  <c r="W233" i="52"/>
  <c r="V233" i="52"/>
  <c r="Z232" i="52"/>
  <c r="Y232" i="52"/>
  <c r="X232" i="52"/>
  <c r="W232" i="52"/>
  <c r="V232" i="52"/>
  <c r="Z231" i="52"/>
  <c r="Y231" i="52"/>
  <c r="X231" i="52"/>
  <c r="W231" i="52"/>
  <c r="V231" i="52"/>
  <c r="Z230" i="52"/>
  <c r="Y230" i="52"/>
  <c r="X230" i="52"/>
  <c r="W230" i="52"/>
  <c r="V230" i="52"/>
  <c r="Z229" i="52"/>
  <c r="Y229" i="52"/>
  <c r="X229" i="52"/>
  <c r="W229" i="52"/>
  <c r="V229" i="52"/>
  <c r="Z228" i="52"/>
  <c r="Y228" i="52"/>
  <c r="X228" i="52"/>
  <c r="W228" i="52"/>
  <c r="V228" i="52"/>
  <c r="Z227" i="52"/>
  <c r="Y227" i="52"/>
  <c r="X227" i="52"/>
  <c r="W227" i="52"/>
  <c r="V227" i="52"/>
  <c r="Z226" i="52"/>
  <c r="Y226" i="52"/>
  <c r="X226" i="52"/>
  <c r="W226" i="52"/>
  <c r="V226" i="52"/>
  <c r="Z225" i="52"/>
  <c r="Y225" i="52"/>
  <c r="X225" i="52"/>
  <c r="W225" i="52"/>
  <c r="V225" i="52"/>
  <c r="Z224" i="52"/>
  <c r="Y224" i="52"/>
  <c r="X224" i="52"/>
  <c r="W224" i="52"/>
  <c r="V224" i="52"/>
  <c r="Z223" i="52"/>
  <c r="Y223" i="52"/>
  <c r="X223" i="52"/>
  <c r="W223" i="52"/>
  <c r="V223" i="52"/>
  <c r="Z222" i="52"/>
  <c r="Y222" i="52"/>
  <c r="X222" i="52"/>
  <c r="W222" i="52"/>
  <c r="V222" i="52"/>
  <c r="Z221" i="52"/>
  <c r="Y221" i="52"/>
  <c r="X221" i="52"/>
  <c r="W221" i="52"/>
  <c r="V221" i="52"/>
  <c r="Z220" i="52"/>
  <c r="Y220" i="52"/>
  <c r="X220" i="52"/>
  <c r="W220" i="52"/>
  <c r="V220" i="52"/>
  <c r="Z219" i="52"/>
  <c r="Y219" i="52"/>
  <c r="X219" i="52"/>
  <c r="W219" i="52"/>
  <c r="V219" i="52"/>
  <c r="Z218" i="52"/>
  <c r="Y218" i="52"/>
  <c r="X218" i="52"/>
  <c r="W218" i="52"/>
  <c r="V218" i="52"/>
  <c r="Z217" i="52"/>
  <c r="Y217" i="52"/>
  <c r="X217" i="52"/>
  <c r="W217" i="52"/>
  <c r="V217" i="52"/>
  <c r="Z216" i="52"/>
  <c r="Y216" i="52"/>
  <c r="X216" i="52"/>
  <c r="W216" i="52"/>
  <c r="V216" i="52"/>
  <c r="Z215" i="52"/>
  <c r="Y215" i="52"/>
  <c r="X215" i="52"/>
  <c r="W215" i="52"/>
  <c r="V215" i="52"/>
  <c r="Z214" i="52"/>
  <c r="Y214" i="52"/>
  <c r="X214" i="52"/>
  <c r="W214" i="52"/>
  <c r="V214" i="52"/>
  <c r="Z213" i="52"/>
  <c r="Y213" i="52"/>
  <c r="X213" i="52"/>
  <c r="W213" i="52"/>
  <c r="V213" i="52"/>
  <c r="Z212" i="52"/>
  <c r="Y212" i="52"/>
  <c r="X212" i="52"/>
  <c r="W212" i="52"/>
  <c r="V212" i="52"/>
  <c r="Z211" i="52"/>
  <c r="Y211" i="52"/>
  <c r="X211" i="52"/>
  <c r="W211" i="52"/>
  <c r="V211" i="52"/>
  <c r="Z210" i="52"/>
  <c r="Y210" i="52"/>
  <c r="X210" i="52"/>
  <c r="W210" i="52"/>
  <c r="V210" i="52"/>
  <c r="Z209" i="52"/>
  <c r="Y209" i="52"/>
  <c r="X209" i="52"/>
  <c r="W209" i="52"/>
  <c r="V209" i="52"/>
  <c r="Z208" i="52"/>
  <c r="Y208" i="52"/>
  <c r="X208" i="52"/>
  <c r="W208" i="52"/>
  <c r="V208" i="52"/>
  <c r="Z207" i="52"/>
  <c r="Y207" i="52"/>
  <c r="X207" i="52"/>
  <c r="W207" i="52"/>
  <c r="V207" i="52"/>
  <c r="Z206" i="52"/>
  <c r="Y206" i="52"/>
  <c r="X206" i="52"/>
  <c r="W206" i="52"/>
  <c r="V206" i="52"/>
  <c r="Z205" i="52"/>
  <c r="Y205" i="52"/>
  <c r="X205" i="52"/>
  <c r="W205" i="52"/>
  <c r="V205" i="52"/>
  <c r="Z204" i="52"/>
  <c r="Y204" i="52"/>
  <c r="X204" i="52"/>
  <c r="W204" i="52"/>
  <c r="V204" i="52"/>
  <c r="Z203" i="52"/>
  <c r="Y203" i="52"/>
  <c r="X203" i="52"/>
  <c r="W203" i="52"/>
  <c r="V203" i="52"/>
  <c r="Z202" i="52"/>
  <c r="Y202" i="52"/>
  <c r="X202" i="52"/>
  <c r="W202" i="52"/>
  <c r="V202" i="52"/>
  <c r="Z201" i="52"/>
  <c r="Y201" i="52"/>
  <c r="X201" i="52"/>
  <c r="W201" i="52"/>
  <c r="V201" i="52"/>
  <c r="Z200" i="52"/>
  <c r="Y200" i="52"/>
  <c r="X200" i="52"/>
  <c r="W200" i="52"/>
  <c r="V200" i="52"/>
  <c r="Z199" i="52"/>
  <c r="Y199" i="52"/>
  <c r="X199" i="52"/>
  <c r="W199" i="52"/>
  <c r="V199" i="52"/>
  <c r="Z198" i="52"/>
  <c r="Y198" i="52"/>
  <c r="X198" i="52"/>
  <c r="W198" i="52"/>
  <c r="V198" i="52"/>
  <c r="Z197" i="52"/>
  <c r="Y197" i="52"/>
  <c r="X197" i="52"/>
  <c r="W197" i="52"/>
  <c r="V197" i="52"/>
  <c r="Z196" i="52"/>
  <c r="Y196" i="52"/>
  <c r="X196" i="52"/>
  <c r="W196" i="52"/>
  <c r="V196" i="52"/>
  <c r="Z195" i="52"/>
  <c r="Y195" i="52"/>
  <c r="X195" i="52"/>
  <c r="W195" i="52"/>
  <c r="V195" i="52"/>
  <c r="Z194" i="52"/>
  <c r="Y194" i="52"/>
  <c r="X194" i="52"/>
  <c r="W194" i="52"/>
  <c r="V194" i="52"/>
  <c r="Z193" i="52"/>
  <c r="Y193" i="52"/>
  <c r="X193" i="52"/>
  <c r="W193" i="52"/>
  <c r="V193" i="52"/>
  <c r="Z192" i="52"/>
  <c r="Y192" i="52"/>
  <c r="X192" i="52"/>
  <c r="W192" i="52"/>
  <c r="V192" i="52"/>
  <c r="Z191" i="52"/>
  <c r="Y191" i="52"/>
  <c r="X191" i="52"/>
  <c r="W191" i="52"/>
  <c r="V191" i="52"/>
  <c r="Z190" i="52"/>
  <c r="Y190" i="52"/>
  <c r="X190" i="52"/>
  <c r="W190" i="52"/>
  <c r="V190" i="52"/>
  <c r="Z189" i="52"/>
  <c r="Y189" i="52"/>
  <c r="X189" i="52"/>
  <c r="W189" i="52"/>
  <c r="V189" i="52"/>
  <c r="Z188" i="52"/>
  <c r="Y188" i="52"/>
  <c r="X188" i="52"/>
  <c r="W188" i="52"/>
  <c r="V188" i="52"/>
  <c r="Z187" i="52"/>
  <c r="Y187" i="52"/>
  <c r="X187" i="52"/>
  <c r="W187" i="52"/>
  <c r="V187" i="52"/>
  <c r="Z186" i="52"/>
  <c r="Y186" i="52"/>
  <c r="X186" i="52"/>
  <c r="W186" i="52"/>
  <c r="V186" i="52"/>
  <c r="Z185" i="52"/>
  <c r="Y185" i="52"/>
  <c r="X185" i="52"/>
  <c r="W185" i="52"/>
  <c r="V185" i="52"/>
  <c r="Z184" i="52"/>
  <c r="Y184" i="52"/>
  <c r="X184" i="52"/>
  <c r="W184" i="52"/>
  <c r="V184" i="52"/>
  <c r="Z183" i="52"/>
  <c r="Y183" i="52"/>
  <c r="X183" i="52"/>
  <c r="W183" i="52"/>
  <c r="V183" i="52"/>
  <c r="Z182" i="52"/>
  <c r="Y182" i="52"/>
  <c r="X182" i="52"/>
  <c r="W182" i="52"/>
  <c r="V182" i="52"/>
  <c r="Z181" i="52"/>
  <c r="Y181" i="52"/>
  <c r="X181" i="52"/>
  <c r="W181" i="52"/>
  <c r="V181" i="52"/>
  <c r="Z180" i="52"/>
  <c r="Y180" i="52"/>
  <c r="X180" i="52"/>
  <c r="W180" i="52"/>
  <c r="V180" i="52"/>
  <c r="Z179" i="52"/>
  <c r="Y179" i="52"/>
  <c r="X179" i="52"/>
  <c r="W179" i="52"/>
  <c r="V179" i="52"/>
  <c r="Z178" i="52"/>
  <c r="Y178" i="52"/>
  <c r="X178" i="52"/>
  <c r="W178" i="52"/>
  <c r="V178" i="52"/>
  <c r="Z177" i="52"/>
  <c r="Y177" i="52"/>
  <c r="X177" i="52"/>
  <c r="W177" i="52"/>
  <c r="V177" i="52"/>
  <c r="Z176" i="52"/>
  <c r="Y176" i="52"/>
  <c r="X176" i="52"/>
  <c r="W176" i="52"/>
  <c r="V176" i="52"/>
  <c r="Z175" i="52"/>
  <c r="Y175" i="52"/>
  <c r="X175" i="52"/>
  <c r="W175" i="52"/>
  <c r="V175" i="52"/>
  <c r="Z174" i="52"/>
  <c r="Y174" i="52"/>
  <c r="X174" i="52"/>
  <c r="W174" i="52"/>
  <c r="V174" i="52"/>
  <c r="Z173" i="52"/>
  <c r="Y173" i="52"/>
  <c r="X173" i="52"/>
  <c r="W173" i="52"/>
  <c r="V173" i="52"/>
  <c r="Z172" i="52"/>
  <c r="Y172" i="52"/>
  <c r="X172" i="52"/>
  <c r="W172" i="52"/>
  <c r="V172" i="52"/>
  <c r="Z171" i="52"/>
  <c r="Y171" i="52"/>
  <c r="X171" i="52"/>
  <c r="W171" i="52"/>
  <c r="V171" i="52"/>
  <c r="Z170" i="52"/>
  <c r="Y170" i="52"/>
  <c r="X170" i="52"/>
  <c r="W170" i="52"/>
  <c r="V170" i="52"/>
  <c r="Z169" i="52"/>
  <c r="Y169" i="52"/>
  <c r="X169" i="52"/>
  <c r="W169" i="52"/>
  <c r="V169" i="52"/>
  <c r="Z168" i="52"/>
  <c r="Y168" i="52"/>
  <c r="X168" i="52"/>
  <c r="W168" i="52"/>
  <c r="V168" i="52"/>
  <c r="Z167" i="52"/>
  <c r="Y167" i="52"/>
  <c r="X167" i="52"/>
  <c r="W167" i="52"/>
  <c r="V167" i="52"/>
  <c r="Z166" i="52"/>
  <c r="Y166" i="52"/>
  <c r="X166" i="52"/>
  <c r="W166" i="52"/>
  <c r="V166" i="52"/>
  <c r="Z165" i="52"/>
  <c r="Y165" i="52"/>
  <c r="X165" i="52"/>
  <c r="W165" i="52"/>
  <c r="V165" i="52"/>
  <c r="Z164" i="52"/>
  <c r="Y164" i="52"/>
  <c r="X164" i="52"/>
  <c r="W164" i="52"/>
  <c r="V164" i="52"/>
  <c r="Z163" i="52"/>
  <c r="Y163" i="52"/>
  <c r="X163" i="52"/>
  <c r="W163" i="52"/>
  <c r="V163" i="52"/>
  <c r="Z162" i="52"/>
  <c r="Y162" i="52"/>
  <c r="X162" i="52"/>
  <c r="W162" i="52"/>
  <c r="V162" i="52"/>
  <c r="Z161" i="52"/>
  <c r="Y161" i="52"/>
  <c r="X161" i="52"/>
  <c r="W161" i="52"/>
  <c r="V161" i="52"/>
  <c r="Z160" i="52"/>
  <c r="Y160" i="52"/>
  <c r="X160" i="52"/>
  <c r="W160" i="52"/>
  <c r="V160" i="52"/>
  <c r="Z159" i="52"/>
  <c r="Y159" i="52"/>
  <c r="X159" i="52"/>
  <c r="W159" i="52"/>
  <c r="V159" i="52"/>
  <c r="Z158" i="52"/>
  <c r="Y158" i="52"/>
  <c r="X158" i="52"/>
  <c r="W158" i="52"/>
  <c r="V158" i="52"/>
  <c r="Z157" i="52"/>
  <c r="Y157" i="52"/>
  <c r="X157" i="52"/>
  <c r="W157" i="52"/>
  <c r="V157" i="52"/>
  <c r="Z156" i="52"/>
  <c r="Y156" i="52"/>
  <c r="X156" i="52"/>
  <c r="W156" i="52"/>
  <c r="V156" i="52"/>
  <c r="Z155" i="52"/>
  <c r="Y155" i="52"/>
  <c r="X155" i="52"/>
  <c r="W155" i="52"/>
  <c r="V155" i="52"/>
  <c r="Z154" i="52"/>
  <c r="Y154" i="52"/>
  <c r="X154" i="52"/>
  <c r="W154" i="52"/>
  <c r="V154" i="52"/>
  <c r="Z153" i="52"/>
  <c r="Y153" i="52"/>
  <c r="X153" i="52"/>
  <c r="W153" i="52"/>
  <c r="V153" i="52"/>
  <c r="Z152" i="52"/>
  <c r="Y152" i="52"/>
  <c r="X152" i="52"/>
  <c r="W152" i="52"/>
  <c r="V152" i="52"/>
  <c r="Z151" i="52"/>
  <c r="Y151" i="52"/>
  <c r="X151" i="52"/>
  <c r="W151" i="52"/>
  <c r="V151" i="52"/>
  <c r="Z150" i="52"/>
  <c r="Y150" i="52"/>
  <c r="X150" i="52"/>
  <c r="W150" i="52"/>
  <c r="V150" i="52"/>
  <c r="Z149" i="52"/>
  <c r="Y149" i="52"/>
  <c r="X149" i="52"/>
  <c r="W149" i="52"/>
  <c r="V149" i="52"/>
  <c r="Z148" i="52"/>
  <c r="Y148" i="52"/>
  <c r="X148" i="52"/>
  <c r="W148" i="52"/>
  <c r="V148" i="52"/>
  <c r="Z147" i="52"/>
  <c r="Y147" i="52"/>
  <c r="X147" i="52"/>
  <c r="W147" i="52"/>
  <c r="V147" i="52"/>
  <c r="Z146" i="52"/>
  <c r="Y146" i="52"/>
  <c r="X146" i="52"/>
  <c r="W146" i="52"/>
  <c r="V146" i="52"/>
  <c r="Z145" i="52"/>
  <c r="Y145" i="52"/>
  <c r="X145" i="52"/>
  <c r="W145" i="52"/>
  <c r="V145" i="52"/>
  <c r="Z144" i="52"/>
  <c r="Y144" i="52"/>
  <c r="X144" i="52"/>
  <c r="W144" i="52"/>
  <c r="V144" i="52"/>
  <c r="Z143" i="52"/>
  <c r="Y143" i="52"/>
  <c r="X143" i="52"/>
  <c r="W143" i="52"/>
  <c r="V143" i="52"/>
  <c r="Z142" i="52"/>
  <c r="Y142" i="52"/>
  <c r="X142" i="52"/>
  <c r="W142" i="52"/>
  <c r="V142" i="52"/>
  <c r="Z141" i="52"/>
  <c r="Y141" i="52"/>
  <c r="X141" i="52"/>
  <c r="W141" i="52"/>
  <c r="V141" i="52"/>
  <c r="Z140" i="52"/>
  <c r="Y140" i="52"/>
  <c r="X140" i="52"/>
  <c r="W140" i="52"/>
  <c r="V140" i="52"/>
  <c r="Z139" i="52"/>
  <c r="Y139" i="52"/>
  <c r="X139" i="52"/>
  <c r="W139" i="52"/>
  <c r="V139" i="52"/>
  <c r="Z138" i="52"/>
  <c r="Y138" i="52"/>
  <c r="X138" i="52"/>
  <c r="W138" i="52"/>
  <c r="V138" i="52"/>
  <c r="Z137" i="52"/>
  <c r="Y137" i="52"/>
  <c r="X137" i="52"/>
  <c r="W137" i="52"/>
  <c r="V137" i="52"/>
  <c r="Z136" i="52"/>
  <c r="Y136" i="52"/>
  <c r="X136" i="52"/>
  <c r="W136" i="52"/>
  <c r="V136" i="52"/>
  <c r="Z135" i="52"/>
  <c r="Y135" i="52"/>
  <c r="X135" i="52"/>
  <c r="W135" i="52"/>
  <c r="V135" i="52"/>
  <c r="Z134" i="52"/>
  <c r="Y134" i="52"/>
  <c r="X134" i="52"/>
  <c r="W134" i="52"/>
  <c r="V134" i="52"/>
  <c r="Z133" i="52"/>
  <c r="Y133" i="52"/>
  <c r="X133" i="52"/>
  <c r="W133" i="52"/>
  <c r="V133" i="52"/>
  <c r="Z132" i="52"/>
  <c r="Y132" i="52"/>
  <c r="X132" i="52"/>
  <c r="W132" i="52"/>
  <c r="V132" i="52"/>
  <c r="Z131" i="52"/>
  <c r="Y131" i="52"/>
  <c r="X131" i="52"/>
  <c r="W131" i="52"/>
  <c r="V131" i="52"/>
  <c r="Z130" i="52"/>
  <c r="Y130" i="52"/>
  <c r="X130" i="52"/>
  <c r="W130" i="52"/>
  <c r="V130" i="52"/>
  <c r="Z129" i="52"/>
  <c r="Y129" i="52"/>
  <c r="X129" i="52"/>
  <c r="W129" i="52"/>
  <c r="V129" i="52"/>
  <c r="Z128" i="52"/>
  <c r="Y128" i="52"/>
  <c r="X128" i="52"/>
  <c r="W128" i="52"/>
  <c r="V128" i="52"/>
  <c r="Z127" i="52"/>
  <c r="Y127" i="52"/>
  <c r="X127" i="52"/>
  <c r="W127" i="52"/>
  <c r="V127" i="52"/>
  <c r="Z126" i="52"/>
  <c r="Y126" i="52"/>
  <c r="X126" i="52"/>
  <c r="W126" i="52"/>
  <c r="V126" i="52"/>
  <c r="Z125" i="52"/>
  <c r="Y125" i="52"/>
  <c r="X125" i="52"/>
  <c r="W125" i="52"/>
  <c r="V125" i="52"/>
  <c r="Z124" i="52"/>
  <c r="Y124" i="52"/>
  <c r="X124" i="52"/>
  <c r="W124" i="52"/>
  <c r="V124" i="52"/>
  <c r="Z123" i="52"/>
  <c r="Y123" i="52"/>
  <c r="X123" i="52"/>
  <c r="W123" i="52"/>
  <c r="V123" i="52"/>
  <c r="Z122" i="52"/>
  <c r="Y122" i="52"/>
  <c r="X122" i="52"/>
  <c r="W122" i="52"/>
  <c r="V122" i="52"/>
  <c r="Z121" i="52"/>
  <c r="Y121" i="52"/>
  <c r="X121" i="52"/>
  <c r="W121" i="52"/>
  <c r="V121" i="52"/>
  <c r="Z120" i="52"/>
  <c r="Y120" i="52"/>
  <c r="X120" i="52"/>
  <c r="W120" i="52"/>
  <c r="V120" i="52"/>
  <c r="Z119" i="52"/>
  <c r="Y119" i="52"/>
  <c r="X119" i="52"/>
  <c r="W119" i="52"/>
  <c r="V119" i="52"/>
  <c r="Z118" i="52"/>
  <c r="Y118" i="52"/>
  <c r="X118" i="52"/>
  <c r="W118" i="52"/>
  <c r="V118" i="52"/>
  <c r="Z117" i="52"/>
  <c r="Y117" i="52"/>
  <c r="X117" i="52"/>
  <c r="W117" i="52"/>
  <c r="V117" i="52"/>
  <c r="Z116" i="52"/>
  <c r="Y116" i="52"/>
  <c r="X116" i="52"/>
  <c r="W116" i="52"/>
  <c r="V116" i="52"/>
  <c r="Z115" i="52"/>
  <c r="Y115" i="52"/>
  <c r="X115" i="52"/>
  <c r="W115" i="52"/>
  <c r="V115" i="52"/>
  <c r="Z114" i="52"/>
  <c r="Y114" i="52"/>
  <c r="X114" i="52"/>
  <c r="W114" i="52"/>
  <c r="V114" i="52"/>
  <c r="Z113" i="52"/>
  <c r="Y113" i="52"/>
  <c r="X113" i="52"/>
  <c r="W113" i="52"/>
  <c r="V113" i="52"/>
  <c r="Z112" i="52"/>
  <c r="Y112" i="52"/>
  <c r="X112" i="52"/>
  <c r="W112" i="52"/>
  <c r="V112" i="52"/>
  <c r="Z111" i="52"/>
  <c r="Y111" i="52"/>
  <c r="X111" i="52"/>
  <c r="W111" i="52"/>
  <c r="V111" i="52"/>
  <c r="Z110" i="52"/>
  <c r="Y110" i="52"/>
  <c r="X110" i="52"/>
  <c r="W110" i="52"/>
  <c r="V110" i="52"/>
  <c r="Z109" i="52"/>
  <c r="Y109" i="52"/>
  <c r="X109" i="52"/>
  <c r="W109" i="52"/>
  <c r="V109" i="52"/>
  <c r="Z108" i="52"/>
  <c r="Y108" i="52"/>
  <c r="X108" i="52"/>
  <c r="W108" i="52"/>
  <c r="V108" i="52"/>
  <c r="Z107" i="52"/>
  <c r="Y107" i="52"/>
  <c r="X107" i="52"/>
  <c r="W107" i="52"/>
  <c r="V107" i="52"/>
  <c r="Z106" i="52"/>
  <c r="Y106" i="52"/>
  <c r="X106" i="52"/>
  <c r="W106" i="52"/>
  <c r="V106" i="52"/>
  <c r="Z105" i="52"/>
  <c r="Y105" i="52"/>
  <c r="X105" i="52"/>
  <c r="W105" i="52"/>
  <c r="V105" i="52"/>
  <c r="Z104" i="52"/>
  <c r="Y104" i="52"/>
  <c r="X104" i="52"/>
  <c r="W104" i="52"/>
  <c r="V104" i="52"/>
  <c r="Z103" i="52"/>
  <c r="Y103" i="52"/>
  <c r="X103" i="52"/>
  <c r="W103" i="52"/>
  <c r="V103" i="52"/>
  <c r="Z102" i="52"/>
  <c r="Y102" i="52"/>
  <c r="X102" i="52"/>
  <c r="W102" i="52"/>
  <c r="V102" i="52"/>
  <c r="Z101" i="52"/>
  <c r="Y101" i="52"/>
  <c r="X101" i="52"/>
  <c r="W101" i="52"/>
  <c r="V101" i="52"/>
  <c r="Z100" i="52"/>
  <c r="Y100" i="52"/>
  <c r="X100" i="52"/>
  <c r="W100" i="52"/>
  <c r="V100" i="52"/>
  <c r="Z99" i="52"/>
  <c r="Y99" i="52"/>
  <c r="X99" i="52"/>
  <c r="W99" i="52"/>
  <c r="V99" i="52"/>
  <c r="Z98" i="52"/>
  <c r="Y98" i="52"/>
  <c r="X98" i="52"/>
  <c r="W98" i="52"/>
  <c r="V98" i="52"/>
  <c r="Z97" i="52"/>
  <c r="Y97" i="52"/>
  <c r="X97" i="52"/>
  <c r="W97" i="52"/>
  <c r="V97" i="52"/>
  <c r="Z96" i="52"/>
  <c r="Y96" i="52"/>
  <c r="X96" i="52"/>
  <c r="W96" i="52"/>
  <c r="V96" i="52"/>
  <c r="Z95" i="52"/>
  <c r="Y95" i="52"/>
  <c r="X95" i="52"/>
  <c r="W95" i="52"/>
  <c r="V95" i="52"/>
  <c r="Z94" i="52"/>
  <c r="Y94" i="52"/>
  <c r="X94" i="52"/>
  <c r="W94" i="52"/>
  <c r="V94" i="52"/>
  <c r="Z93" i="52"/>
  <c r="Y93" i="52"/>
  <c r="X93" i="52"/>
  <c r="W93" i="52"/>
  <c r="V93" i="52"/>
  <c r="Z92" i="52"/>
  <c r="Y92" i="52"/>
  <c r="X92" i="52"/>
  <c r="W92" i="52"/>
  <c r="V92" i="52"/>
  <c r="Z91" i="52"/>
  <c r="Y91" i="52"/>
  <c r="X91" i="52"/>
  <c r="W91" i="52"/>
  <c r="V91" i="52"/>
  <c r="Z90" i="52"/>
  <c r="Y90" i="52"/>
  <c r="X90" i="52"/>
  <c r="W90" i="52"/>
  <c r="V90" i="52"/>
  <c r="Z89" i="52"/>
  <c r="Y89" i="52"/>
  <c r="X89" i="52"/>
  <c r="W89" i="52"/>
  <c r="V89" i="52"/>
  <c r="Z88" i="52"/>
  <c r="Y88" i="52"/>
  <c r="X88" i="52"/>
  <c r="W88" i="52"/>
  <c r="V88" i="52"/>
  <c r="Z87" i="52"/>
  <c r="Y87" i="52"/>
  <c r="X87" i="52"/>
  <c r="W87" i="52"/>
  <c r="V87" i="52"/>
  <c r="Z86" i="52"/>
  <c r="Y86" i="52"/>
  <c r="X86" i="52"/>
  <c r="W86" i="52"/>
  <c r="V86" i="52"/>
  <c r="Z85" i="52"/>
  <c r="Y85" i="52"/>
  <c r="X85" i="52"/>
  <c r="W85" i="52"/>
  <c r="V85" i="52"/>
  <c r="Z84" i="52"/>
  <c r="Y84" i="52"/>
  <c r="X84" i="52"/>
  <c r="W84" i="52"/>
  <c r="V84" i="52"/>
  <c r="Z83" i="52"/>
  <c r="Y83" i="52"/>
  <c r="X83" i="52"/>
  <c r="W83" i="52"/>
  <c r="V83" i="52"/>
  <c r="Z82" i="52"/>
  <c r="Y82" i="52"/>
  <c r="X82" i="52"/>
  <c r="W82" i="52"/>
  <c r="V82" i="52"/>
  <c r="Z81" i="52"/>
  <c r="Y81" i="52"/>
  <c r="X81" i="52"/>
  <c r="W81" i="52"/>
  <c r="V81" i="52"/>
  <c r="Z80" i="52"/>
  <c r="Y80" i="52"/>
  <c r="X80" i="52"/>
  <c r="W80" i="52"/>
  <c r="V80" i="52"/>
  <c r="Z79" i="52"/>
  <c r="Y79" i="52"/>
  <c r="X79" i="52"/>
  <c r="W79" i="52"/>
  <c r="V79" i="52"/>
  <c r="Z78" i="52"/>
  <c r="Y78" i="52"/>
  <c r="X78" i="52"/>
  <c r="W78" i="52"/>
  <c r="V78" i="52"/>
  <c r="Z77" i="52"/>
  <c r="Y77" i="52"/>
  <c r="X77" i="52"/>
  <c r="W77" i="52"/>
  <c r="V77" i="52"/>
  <c r="Z76" i="52"/>
  <c r="Y76" i="52"/>
  <c r="X76" i="52"/>
  <c r="W76" i="52"/>
  <c r="V76" i="52"/>
  <c r="Z75" i="52"/>
  <c r="Y75" i="52"/>
  <c r="X75" i="52"/>
  <c r="W75" i="52"/>
  <c r="V75" i="52"/>
  <c r="Z74" i="52"/>
  <c r="Y74" i="52"/>
  <c r="X74" i="52"/>
  <c r="W74" i="52"/>
  <c r="V74" i="52"/>
  <c r="Z73" i="52"/>
  <c r="Y73" i="52"/>
  <c r="X73" i="52"/>
  <c r="W73" i="52"/>
  <c r="V73" i="52"/>
  <c r="Z72" i="52"/>
  <c r="Y72" i="52"/>
  <c r="X72" i="52"/>
  <c r="W72" i="52"/>
  <c r="V72" i="52"/>
  <c r="Z71" i="52"/>
  <c r="Y71" i="52"/>
  <c r="X71" i="52"/>
  <c r="W71" i="52"/>
  <c r="V71" i="52"/>
  <c r="Z70" i="52"/>
  <c r="Y70" i="52"/>
  <c r="X70" i="52"/>
  <c r="W70" i="52"/>
  <c r="V70" i="52"/>
  <c r="Z69" i="52"/>
  <c r="Y69" i="52"/>
  <c r="X69" i="52"/>
  <c r="W69" i="52"/>
  <c r="V69" i="52"/>
  <c r="Z68" i="52"/>
  <c r="Y68" i="52"/>
  <c r="X68" i="52"/>
  <c r="W68" i="52"/>
  <c r="V68" i="52"/>
  <c r="Z67" i="52"/>
  <c r="Y67" i="52"/>
  <c r="X67" i="52"/>
  <c r="W67" i="52"/>
  <c r="V67" i="52"/>
  <c r="Z66" i="52"/>
  <c r="Y66" i="52"/>
  <c r="X66" i="52"/>
  <c r="W66" i="52"/>
  <c r="V66" i="52"/>
  <c r="Z65" i="52"/>
  <c r="Y65" i="52"/>
  <c r="X65" i="52"/>
  <c r="W65" i="52"/>
  <c r="V65" i="52"/>
  <c r="Z64" i="52"/>
  <c r="Y64" i="52"/>
  <c r="X64" i="52"/>
  <c r="W64" i="52"/>
  <c r="V64" i="52"/>
  <c r="Z63" i="52"/>
  <c r="Y63" i="52"/>
  <c r="X63" i="52"/>
  <c r="W63" i="52"/>
  <c r="V63" i="52"/>
  <c r="Z62" i="52"/>
  <c r="Y62" i="52"/>
  <c r="X62" i="52"/>
  <c r="W62" i="52"/>
  <c r="V62" i="52"/>
  <c r="Z61" i="52"/>
  <c r="Y61" i="52"/>
  <c r="X61" i="52"/>
  <c r="W61" i="52"/>
  <c r="V61" i="52"/>
  <c r="Z60" i="52"/>
  <c r="Y60" i="52"/>
  <c r="X60" i="52"/>
  <c r="W60" i="52"/>
  <c r="V60" i="52"/>
  <c r="Z59" i="52"/>
  <c r="Y59" i="52"/>
  <c r="X59" i="52"/>
  <c r="W59" i="52"/>
  <c r="V59" i="52"/>
  <c r="Z58" i="52"/>
  <c r="Y58" i="52"/>
  <c r="X58" i="52"/>
  <c r="W58" i="52"/>
  <c r="V58" i="52"/>
  <c r="Z57" i="52"/>
  <c r="Y57" i="52"/>
  <c r="X57" i="52"/>
  <c r="W57" i="52"/>
  <c r="V57" i="52"/>
  <c r="Z56" i="52"/>
  <c r="Y56" i="52"/>
  <c r="X56" i="52"/>
  <c r="W56" i="52"/>
  <c r="V56" i="52"/>
  <c r="Z55" i="52"/>
  <c r="Y55" i="52"/>
  <c r="X55" i="52"/>
  <c r="W55" i="52"/>
  <c r="V55" i="52"/>
  <c r="Z54" i="52"/>
  <c r="Y54" i="52"/>
  <c r="X54" i="52"/>
  <c r="W54" i="52"/>
  <c r="V54" i="52"/>
  <c r="Z53" i="52"/>
  <c r="Y53" i="52"/>
  <c r="X53" i="52"/>
  <c r="W53" i="52"/>
  <c r="V53" i="52"/>
  <c r="Z52" i="52"/>
  <c r="Y52" i="52"/>
  <c r="X52" i="52"/>
  <c r="W52" i="52"/>
  <c r="V52" i="52"/>
  <c r="Z51" i="52"/>
  <c r="Y51" i="52"/>
  <c r="X51" i="52"/>
  <c r="W51" i="52"/>
  <c r="V51" i="52"/>
  <c r="Z50" i="52"/>
  <c r="Y50" i="52"/>
  <c r="X50" i="52"/>
  <c r="W50" i="52"/>
  <c r="V50" i="52"/>
  <c r="Z49" i="52"/>
  <c r="Y49" i="52"/>
  <c r="X49" i="52"/>
  <c r="W49" i="52"/>
  <c r="V49" i="52"/>
  <c r="Z48" i="52"/>
  <c r="Y48" i="52"/>
  <c r="X48" i="52"/>
  <c r="W48" i="52"/>
  <c r="V48" i="52"/>
  <c r="Z47" i="52"/>
  <c r="Y47" i="52"/>
  <c r="X47" i="52"/>
  <c r="W47" i="52"/>
  <c r="V47" i="52"/>
  <c r="Z46" i="52"/>
  <c r="Y46" i="52"/>
  <c r="X46" i="52"/>
  <c r="W46" i="52"/>
  <c r="V46" i="52"/>
  <c r="Z45" i="52"/>
  <c r="Y45" i="52"/>
  <c r="X45" i="52"/>
  <c r="W45" i="52"/>
  <c r="V45" i="52"/>
  <c r="Z44" i="52"/>
  <c r="Y44" i="52"/>
  <c r="X44" i="52"/>
  <c r="W44" i="52"/>
  <c r="V44" i="52"/>
  <c r="Z43" i="52"/>
  <c r="Y43" i="52"/>
  <c r="X43" i="52"/>
  <c r="W43" i="52"/>
  <c r="V43" i="52"/>
  <c r="Z42" i="52"/>
  <c r="Y42" i="52"/>
  <c r="X42" i="52"/>
  <c r="W42" i="52"/>
  <c r="V42" i="52"/>
  <c r="Z41" i="52"/>
  <c r="Y41" i="52"/>
  <c r="X41" i="52"/>
  <c r="W41" i="52"/>
  <c r="V41" i="52"/>
  <c r="Z40" i="52"/>
  <c r="Y40" i="52"/>
  <c r="X40" i="52"/>
  <c r="W40" i="52"/>
  <c r="V40" i="52"/>
  <c r="Z39" i="52"/>
  <c r="Y39" i="52"/>
  <c r="X39" i="52"/>
  <c r="W39" i="52"/>
  <c r="V39" i="52"/>
  <c r="Z38" i="52"/>
  <c r="Y38" i="52"/>
  <c r="X38" i="52"/>
  <c r="W38" i="52"/>
  <c r="V38" i="52"/>
  <c r="Z37" i="52"/>
  <c r="Y37" i="52"/>
  <c r="X37" i="52"/>
  <c r="W37" i="52"/>
  <c r="V37" i="52"/>
  <c r="Z36" i="52"/>
  <c r="Y36" i="52"/>
  <c r="X36" i="52"/>
  <c r="W36" i="52"/>
  <c r="V36" i="52"/>
  <c r="Z35" i="52"/>
  <c r="Y35" i="52"/>
  <c r="X35" i="52"/>
  <c r="W35" i="52"/>
  <c r="V35" i="52"/>
  <c r="Z34" i="52"/>
  <c r="Y34" i="52"/>
  <c r="X34" i="52"/>
  <c r="W34" i="52"/>
  <c r="V34" i="52"/>
  <c r="Z33" i="52"/>
  <c r="Y33" i="52"/>
  <c r="X33" i="52"/>
  <c r="W33" i="52"/>
  <c r="V33" i="52"/>
  <c r="Z32" i="52"/>
  <c r="Y32" i="52"/>
  <c r="X32" i="52"/>
  <c r="W32" i="52"/>
  <c r="V32" i="52"/>
  <c r="Z31" i="52"/>
  <c r="Y31" i="52"/>
  <c r="X31" i="52"/>
  <c r="W31" i="52"/>
  <c r="V31" i="52"/>
  <c r="Z30" i="52"/>
  <c r="Y30" i="52"/>
  <c r="X30" i="52"/>
  <c r="W30" i="52"/>
  <c r="V30" i="52"/>
  <c r="Z29" i="52"/>
  <c r="Y29" i="52"/>
  <c r="X29" i="52"/>
  <c r="W29" i="52"/>
  <c r="V29" i="52"/>
  <c r="Z28" i="52"/>
  <c r="Y28" i="52"/>
  <c r="X28" i="52"/>
  <c r="W28" i="52"/>
  <c r="V28" i="52"/>
  <c r="Z27" i="52"/>
  <c r="Y27" i="52"/>
  <c r="X27" i="52"/>
  <c r="W27" i="52"/>
  <c r="V27" i="52"/>
  <c r="Z26" i="52"/>
  <c r="Y26" i="52"/>
  <c r="X26" i="52"/>
  <c r="W26" i="52"/>
  <c r="V26" i="52"/>
  <c r="Z25" i="52"/>
  <c r="Y25" i="52"/>
  <c r="X25" i="52"/>
  <c r="W25" i="52"/>
  <c r="V25" i="52"/>
  <c r="Z24" i="52"/>
  <c r="Y24" i="52"/>
  <c r="X24" i="52"/>
  <c r="W24" i="52"/>
  <c r="V24" i="52"/>
  <c r="Z23" i="52"/>
  <c r="Y23" i="52"/>
  <c r="X23" i="52"/>
  <c r="W23" i="52"/>
  <c r="V23" i="52"/>
  <c r="Z22" i="52"/>
  <c r="Y22" i="52"/>
  <c r="X22" i="52"/>
  <c r="W22" i="52"/>
  <c r="V22" i="52"/>
  <c r="Z21" i="52"/>
  <c r="Y21" i="52"/>
  <c r="X21" i="52"/>
  <c r="W21" i="52"/>
  <c r="V21" i="52"/>
  <c r="Z20" i="52"/>
  <c r="Y20" i="52"/>
  <c r="X20" i="52"/>
  <c r="W20" i="52"/>
  <c r="V20" i="52"/>
  <c r="Z19" i="52"/>
  <c r="Y19" i="52"/>
  <c r="X19" i="52"/>
  <c r="W19" i="52"/>
  <c r="V19" i="52"/>
  <c r="Z18" i="52"/>
  <c r="Y18" i="52"/>
  <c r="X18" i="52"/>
  <c r="W18" i="52"/>
  <c r="V18" i="52"/>
  <c r="Z17" i="52"/>
  <c r="Y17" i="52"/>
  <c r="X17" i="52"/>
  <c r="W17" i="52"/>
  <c r="V17" i="52"/>
  <c r="Z16" i="52"/>
  <c r="Y16" i="52"/>
  <c r="X16" i="52"/>
  <c r="W16" i="52"/>
  <c r="V16" i="52"/>
  <c r="Z15" i="52"/>
  <c r="Y15" i="52"/>
  <c r="X15" i="52"/>
  <c r="W15" i="52"/>
  <c r="V15" i="52"/>
  <c r="Z307" i="51"/>
  <c r="Y307" i="51"/>
  <c r="X307" i="51"/>
  <c r="W307" i="51"/>
  <c r="Z306" i="51"/>
  <c r="Y306" i="51"/>
  <c r="X306" i="51"/>
  <c r="W306" i="51"/>
  <c r="Z305" i="51"/>
  <c r="Y305" i="51"/>
  <c r="X305" i="51"/>
  <c r="W305" i="51"/>
  <c r="Z304" i="51"/>
  <c r="Y304" i="51"/>
  <c r="X304" i="51"/>
  <c r="W304" i="51"/>
  <c r="Z303" i="51"/>
  <c r="Y303" i="51"/>
  <c r="X303" i="51"/>
  <c r="W303" i="51"/>
  <c r="Z302" i="51"/>
  <c r="Y302" i="51"/>
  <c r="X302" i="51"/>
  <c r="W302" i="51"/>
  <c r="Z301" i="51"/>
  <c r="Y301" i="51"/>
  <c r="X301" i="51"/>
  <c r="W301" i="51"/>
  <c r="Z300" i="51"/>
  <c r="Y300" i="51"/>
  <c r="X300" i="51"/>
  <c r="W300" i="51"/>
  <c r="Z299" i="51"/>
  <c r="Y299" i="51"/>
  <c r="X299" i="51"/>
  <c r="W299" i="51"/>
  <c r="Z298" i="51"/>
  <c r="Y298" i="51"/>
  <c r="X298" i="51"/>
  <c r="W298" i="51"/>
  <c r="Z297" i="51"/>
  <c r="Y297" i="51"/>
  <c r="X297" i="51"/>
  <c r="W297" i="51"/>
  <c r="Z296" i="51"/>
  <c r="Y296" i="51"/>
  <c r="X296" i="51"/>
  <c r="W296" i="51"/>
  <c r="Z295" i="51"/>
  <c r="Y295" i="51"/>
  <c r="X295" i="51"/>
  <c r="W295" i="51"/>
  <c r="Z294" i="51"/>
  <c r="Y294" i="51"/>
  <c r="X294" i="51"/>
  <c r="W294" i="51"/>
  <c r="Z293" i="51"/>
  <c r="Y293" i="51"/>
  <c r="X293" i="51"/>
  <c r="W293" i="51"/>
  <c r="Z292" i="51"/>
  <c r="Y292" i="51"/>
  <c r="X292" i="51"/>
  <c r="W292" i="51"/>
  <c r="Z291" i="51"/>
  <c r="Y291" i="51"/>
  <c r="X291" i="51"/>
  <c r="W291" i="51"/>
  <c r="Z290" i="51"/>
  <c r="Y290" i="51"/>
  <c r="X290" i="51"/>
  <c r="W290" i="51"/>
  <c r="Z289" i="51"/>
  <c r="Y289" i="51"/>
  <c r="X289" i="51"/>
  <c r="W289" i="51"/>
  <c r="Z288" i="51"/>
  <c r="Y288" i="51"/>
  <c r="X288" i="51"/>
  <c r="W288" i="51"/>
  <c r="Z287" i="51"/>
  <c r="Y287" i="51"/>
  <c r="X287" i="51"/>
  <c r="W287" i="51"/>
  <c r="Z286" i="51"/>
  <c r="Y286" i="51"/>
  <c r="X286" i="51"/>
  <c r="W286" i="51"/>
  <c r="Z285" i="51"/>
  <c r="Y285" i="51"/>
  <c r="X285" i="51"/>
  <c r="W285" i="51"/>
  <c r="Z284" i="51"/>
  <c r="Y284" i="51"/>
  <c r="X284" i="51"/>
  <c r="W284" i="51"/>
  <c r="Z283" i="51"/>
  <c r="Y283" i="51"/>
  <c r="X283" i="51"/>
  <c r="W283" i="51"/>
  <c r="Z282" i="51"/>
  <c r="Y282" i="51"/>
  <c r="X282" i="51"/>
  <c r="W282" i="51"/>
  <c r="Z281" i="51"/>
  <c r="Y281" i="51"/>
  <c r="X281" i="51"/>
  <c r="W281" i="51"/>
  <c r="Z280" i="51"/>
  <c r="Y280" i="51"/>
  <c r="X280" i="51"/>
  <c r="W280" i="51"/>
  <c r="Z279" i="51"/>
  <c r="Y279" i="51"/>
  <c r="X279" i="51"/>
  <c r="W279" i="51"/>
  <c r="Z278" i="51"/>
  <c r="Y278" i="51"/>
  <c r="X278" i="51"/>
  <c r="W278" i="51"/>
  <c r="Z277" i="51"/>
  <c r="Y277" i="51"/>
  <c r="X277" i="51"/>
  <c r="W277" i="51"/>
  <c r="Z276" i="51"/>
  <c r="Y276" i="51"/>
  <c r="X276" i="51"/>
  <c r="W276" i="51"/>
  <c r="Z275" i="51"/>
  <c r="Y275" i="51"/>
  <c r="X275" i="51"/>
  <c r="W275" i="51"/>
  <c r="Z274" i="51"/>
  <c r="Y274" i="51"/>
  <c r="X274" i="51"/>
  <c r="W274" i="51"/>
  <c r="Z273" i="51"/>
  <c r="Y273" i="51"/>
  <c r="X273" i="51"/>
  <c r="W273" i="51"/>
  <c r="Z272" i="51"/>
  <c r="Y272" i="51"/>
  <c r="X272" i="51"/>
  <c r="W272" i="51"/>
  <c r="Z271" i="51"/>
  <c r="Y271" i="51"/>
  <c r="X271" i="51"/>
  <c r="W271" i="51"/>
  <c r="Z270" i="51"/>
  <c r="Y270" i="51"/>
  <c r="X270" i="51"/>
  <c r="W270" i="51"/>
  <c r="Z269" i="51"/>
  <c r="Y269" i="51"/>
  <c r="X269" i="51"/>
  <c r="W269" i="51"/>
  <c r="Z268" i="51"/>
  <c r="Y268" i="51"/>
  <c r="X268" i="51"/>
  <c r="W268" i="51"/>
  <c r="Z267" i="51"/>
  <c r="Y267" i="51"/>
  <c r="X267" i="51"/>
  <c r="W267" i="51"/>
  <c r="Z266" i="51"/>
  <c r="Y266" i="51"/>
  <c r="X266" i="51"/>
  <c r="W266" i="51"/>
  <c r="Z265" i="51"/>
  <c r="Y265" i="51"/>
  <c r="X265" i="51"/>
  <c r="W265" i="51"/>
  <c r="Z264" i="51"/>
  <c r="Y264" i="51"/>
  <c r="X264" i="51"/>
  <c r="W264" i="51"/>
  <c r="Z263" i="51"/>
  <c r="Y263" i="51"/>
  <c r="X263" i="51"/>
  <c r="W263" i="51"/>
  <c r="Z262" i="51"/>
  <c r="Y262" i="51"/>
  <c r="X262" i="51"/>
  <c r="W262" i="51"/>
  <c r="Z261" i="51"/>
  <c r="Y261" i="51"/>
  <c r="X261" i="51"/>
  <c r="W261" i="51"/>
  <c r="Z260" i="51"/>
  <c r="Y260" i="51"/>
  <c r="X260" i="51"/>
  <c r="W260" i="51"/>
  <c r="Z259" i="51"/>
  <c r="Y259" i="51"/>
  <c r="X259" i="51"/>
  <c r="W259" i="51"/>
  <c r="Z258" i="51"/>
  <c r="Y258" i="51"/>
  <c r="X258" i="51"/>
  <c r="W258" i="51"/>
  <c r="Z257" i="51"/>
  <c r="Y257" i="51"/>
  <c r="X257" i="51"/>
  <c r="W257" i="51"/>
  <c r="Z256" i="51"/>
  <c r="Y256" i="51"/>
  <c r="X256" i="51"/>
  <c r="W256" i="51"/>
  <c r="Z255" i="51"/>
  <c r="Y255" i="51"/>
  <c r="X255" i="51"/>
  <c r="W255" i="51"/>
  <c r="Z254" i="51"/>
  <c r="Y254" i="51"/>
  <c r="X254" i="51"/>
  <c r="W254" i="51"/>
  <c r="Z253" i="51"/>
  <c r="Y253" i="51"/>
  <c r="X253" i="51"/>
  <c r="W253" i="51"/>
  <c r="Z252" i="51"/>
  <c r="Y252" i="51"/>
  <c r="X252" i="51"/>
  <c r="W252" i="51"/>
  <c r="Z251" i="51"/>
  <c r="Y251" i="51"/>
  <c r="X251" i="51"/>
  <c r="W251" i="51"/>
  <c r="Z250" i="51"/>
  <c r="Y250" i="51"/>
  <c r="X250" i="51"/>
  <c r="W250" i="51"/>
  <c r="Z249" i="51"/>
  <c r="Y249" i="51"/>
  <c r="X249" i="51"/>
  <c r="W249" i="51"/>
  <c r="Z248" i="51"/>
  <c r="Y248" i="51"/>
  <c r="X248" i="51"/>
  <c r="W248" i="51"/>
  <c r="Z247" i="51"/>
  <c r="Y247" i="51"/>
  <c r="X247" i="51"/>
  <c r="W247" i="51"/>
  <c r="Z246" i="51"/>
  <c r="Y246" i="51"/>
  <c r="X246" i="51"/>
  <c r="W246" i="51"/>
  <c r="Z245" i="51"/>
  <c r="Y245" i="51"/>
  <c r="X245" i="51"/>
  <c r="W245" i="51"/>
  <c r="Z244" i="51"/>
  <c r="Y244" i="51"/>
  <c r="X244" i="51"/>
  <c r="W244" i="51"/>
  <c r="Z243" i="51"/>
  <c r="Y243" i="51"/>
  <c r="X243" i="51"/>
  <c r="W243" i="51"/>
  <c r="Z242" i="51"/>
  <c r="Y242" i="51"/>
  <c r="X242" i="51"/>
  <c r="W242" i="51"/>
  <c r="Z241" i="51"/>
  <c r="Y241" i="51"/>
  <c r="X241" i="51"/>
  <c r="W241" i="51"/>
  <c r="Z240" i="51"/>
  <c r="Y240" i="51"/>
  <c r="X240" i="51"/>
  <c r="W240" i="51"/>
  <c r="Z239" i="51"/>
  <c r="Y239" i="51"/>
  <c r="X239" i="51"/>
  <c r="W239" i="51"/>
  <c r="Z238" i="51"/>
  <c r="Y238" i="51"/>
  <c r="X238" i="51"/>
  <c r="W238" i="51"/>
  <c r="Z237" i="51"/>
  <c r="Y237" i="51"/>
  <c r="X237" i="51"/>
  <c r="W237" i="51"/>
  <c r="Z236" i="51"/>
  <c r="Y236" i="51"/>
  <c r="X236" i="51"/>
  <c r="W236" i="51"/>
  <c r="Z235" i="51"/>
  <c r="Y235" i="51"/>
  <c r="X235" i="51"/>
  <c r="W235" i="51"/>
  <c r="Z234" i="51"/>
  <c r="Y234" i="51"/>
  <c r="X234" i="51"/>
  <c r="W234" i="51"/>
  <c r="Z233" i="51"/>
  <c r="Y233" i="51"/>
  <c r="X233" i="51"/>
  <c r="W233" i="51"/>
  <c r="Z232" i="51"/>
  <c r="Y232" i="51"/>
  <c r="X232" i="51"/>
  <c r="W232" i="51"/>
  <c r="Z231" i="51"/>
  <c r="Y231" i="51"/>
  <c r="X231" i="51"/>
  <c r="W231" i="51"/>
  <c r="Z230" i="51"/>
  <c r="Y230" i="51"/>
  <c r="X230" i="51"/>
  <c r="W230" i="51"/>
  <c r="Z229" i="51"/>
  <c r="Y229" i="51"/>
  <c r="X229" i="51"/>
  <c r="W229" i="51"/>
  <c r="Z228" i="51"/>
  <c r="Y228" i="51"/>
  <c r="X228" i="51"/>
  <c r="W228" i="51"/>
  <c r="Z227" i="51"/>
  <c r="Y227" i="51"/>
  <c r="X227" i="51"/>
  <c r="W227" i="51"/>
  <c r="Z226" i="51"/>
  <c r="Y226" i="51"/>
  <c r="X226" i="51"/>
  <c r="W226" i="51"/>
  <c r="Z225" i="51"/>
  <c r="Y225" i="51"/>
  <c r="X225" i="51"/>
  <c r="W225" i="51"/>
  <c r="Z224" i="51"/>
  <c r="Y224" i="51"/>
  <c r="X224" i="51"/>
  <c r="W224" i="51"/>
  <c r="Z223" i="51"/>
  <c r="Y223" i="51"/>
  <c r="X223" i="51"/>
  <c r="W223" i="51"/>
  <c r="Z222" i="51"/>
  <c r="Y222" i="51"/>
  <c r="X222" i="51"/>
  <c r="W222" i="51"/>
  <c r="Z221" i="51"/>
  <c r="Y221" i="51"/>
  <c r="X221" i="51"/>
  <c r="W221" i="51"/>
  <c r="Z220" i="51"/>
  <c r="Y220" i="51"/>
  <c r="X220" i="51"/>
  <c r="W220" i="51"/>
  <c r="Z219" i="51"/>
  <c r="Y219" i="51"/>
  <c r="X219" i="51"/>
  <c r="W219" i="51"/>
  <c r="Z218" i="51"/>
  <c r="Y218" i="51"/>
  <c r="X218" i="51"/>
  <c r="W218" i="51"/>
  <c r="Z217" i="51"/>
  <c r="Y217" i="51"/>
  <c r="X217" i="51"/>
  <c r="W217" i="51"/>
  <c r="Z216" i="51"/>
  <c r="Y216" i="51"/>
  <c r="X216" i="51"/>
  <c r="W216" i="51"/>
  <c r="Z215" i="51"/>
  <c r="Y215" i="51"/>
  <c r="X215" i="51"/>
  <c r="W215" i="51"/>
  <c r="Z214" i="51"/>
  <c r="Y214" i="51"/>
  <c r="X214" i="51"/>
  <c r="W214" i="51"/>
  <c r="Z213" i="51"/>
  <c r="Y213" i="51"/>
  <c r="X213" i="51"/>
  <c r="W213" i="51"/>
  <c r="Z212" i="51"/>
  <c r="Y212" i="51"/>
  <c r="X212" i="51"/>
  <c r="W212" i="51"/>
  <c r="Z211" i="51"/>
  <c r="Y211" i="51"/>
  <c r="X211" i="51"/>
  <c r="W211" i="51"/>
  <c r="Z210" i="51"/>
  <c r="Y210" i="51"/>
  <c r="X210" i="51"/>
  <c r="W210" i="51"/>
  <c r="Z209" i="51"/>
  <c r="Y209" i="51"/>
  <c r="X209" i="51"/>
  <c r="W209" i="51"/>
  <c r="Z208" i="51"/>
  <c r="Y208" i="51"/>
  <c r="X208" i="51"/>
  <c r="W208" i="51"/>
  <c r="Z207" i="51"/>
  <c r="Y207" i="51"/>
  <c r="X207" i="51"/>
  <c r="W207" i="51"/>
  <c r="Z206" i="51"/>
  <c r="Y206" i="51"/>
  <c r="X206" i="51"/>
  <c r="W206" i="51"/>
  <c r="Z205" i="51"/>
  <c r="Y205" i="51"/>
  <c r="X205" i="51"/>
  <c r="W205" i="51"/>
  <c r="Z204" i="51"/>
  <c r="Y204" i="51"/>
  <c r="X204" i="51"/>
  <c r="W204" i="51"/>
  <c r="Z203" i="51"/>
  <c r="Y203" i="51"/>
  <c r="X203" i="51"/>
  <c r="W203" i="51"/>
  <c r="Z202" i="51"/>
  <c r="Y202" i="51"/>
  <c r="X202" i="51"/>
  <c r="W202" i="51"/>
  <c r="Z201" i="51"/>
  <c r="Y201" i="51"/>
  <c r="X201" i="51"/>
  <c r="W201" i="51"/>
  <c r="Z200" i="51"/>
  <c r="Y200" i="51"/>
  <c r="X200" i="51"/>
  <c r="W200" i="51"/>
  <c r="Z199" i="51"/>
  <c r="Y199" i="51"/>
  <c r="X199" i="51"/>
  <c r="W199" i="51"/>
  <c r="Z198" i="51"/>
  <c r="Y198" i="51"/>
  <c r="X198" i="51"/>
  <c r="W198" i="51"/>
  <c r="Z197" i="51"/>
  <c r="Y197" i="51"/>
  <c r="X197" i="51"/>
  <c r="W197" i="51"/>
  <c r="Z196" i="51"/>
  <c r="Y196" i="51"/>
  <c r="X196" i="51"/>
  <c r="W196" i="51"/>
  <c r="Z195" i="51"/>
  <c r="Y195" i="51"/>
  <c r="X195" i="51"/>
  <c r="W195" i="51"/>
  <c r="Z194" i="51"/>
  <c r="Y194" i="51"/>
  <c r="X194" i="51"/>
  <c r="W194" i="51"/>
  <c r="Z193" i="51"/>
  <c r="Y193" i="51"/>
  <c r="X193" i="51"/>
  <c r="W193" i="51"/>
  <c r="Z192" i="51"/>
  <c r="Y192" i="51"/>
  <c r="X192" i="51"/>
  <c r="W192" i="51"/>
  <c r="Z191" i="51"/>
  <c r="Y191" i="51"/>
  <c r="X191" i="51"/>
  <c r="W191" i="51"/>
  <c r="Z190" i="51"/>
  <c r="Y190" i="51"/>
  <c r="X190" i="51"/>
  <c r="W190" i="51"/>
  <c r="Z189" i="51"/>
  <c r="Y189" i="51"/>
  <c r="X189" i="51"/>
  <c r="W189" i="51"/>
  <c r="Z188" i="51"/>
  <c r="Y188" i="51"/>
  <c r="X188" i="51"/>
  <c r="W188" i="51"/>
  <c r="Z187" i="51"/>
  <c r="Y187" i="51"/>
  <c r="X187" i="51"/>
  <c r="W187" i="51"/>
  <c r="Z186" i="51"/>
  <c r="Y186" i="51"/>
  <c r="X186" i="51"/>
  <c r="W186" i="51"/>
  <c r="Z185" i="51"/>
  <c r="Y185" i="51"/>
  <c r="X185" i="51"/>
  <c r="W185" i="51"/>
  <c r="Z184" i="51"/>
  <c r="Y184" i="51"/>
  <c r="X184" i="51"/>
  <c r="W184" i="51"/>
  <c r="Z183" i="51"/>
  <c r="Y183" i="51"/>
  <c r="X183" i="51"/>
  <c r="W183" i="51"/>
  <c r="Z182" i="51"/>
  <c r="Y182" i="51"/>
  <c r="X182" i="51"/>
  <c r="W182" i="51"/>
  <c r="Z181" i="51"/>
  <c r="Y181" i="51"/>
  <c r="X181" i="51"/>
  <c r="W181" i="51"/>
  <c r="Z180" i="51"/>
  <c r="Y180" i="51"/>
  <c r="X180" i="51"/>
  <c r="W180" i="51"/>
  <c r="Z179" i="51"/>
  <c r="Y179" i="51"/>
  <c r="X179" i="51"/>
  <c r="W179" i="51"/>
  <c r="Z178" i="51"/>
  <c r="Y178" i="51"/>
  <c r="X178" i="51"/>
  <c r="W178" i="51"/>
  <c r="Z177" i="51"/>
  <c r="Y177" i="51"/>
  <c r="X177" i="51"/>
  <c r="W177" i="51"/>
  <c r="Z176" i="51"/>
  <c r="Y176" i="51"/>
  <c r="X176" i="51"/>
  <c r="W176" i="51"/>
  <c r="Z175" i="51"/>
  <c r="Y175" i="51"/>
  <c r="X175" i="51"/>
  <c r="W175" i="51"/>
  <c r="Z174" i="51"/>
  <c r="Y174" i="51"/>
  <c r="X174" i="51"/>
  <c r="W174" i="51"/>
  <c r="Z173" i="51"/>
  <c r="Y173" i="51"/>
  <c r="X173" i="51"/>
  <c r="W173" i="51"/>
  <c r="Z172" i="51"/>
  <c r="Y172" i="51"/>
  <c r="X172" i="51"/>
  <c r="W172" i="51"/>
  <c r="Z171" i="51"/>
  <c r="Y171" i="51"/>
  <c r="X171" i="51"/>
  <c r="W171" i="51"/>
  <c r="Z170" i="51"/>
  <c r="Y170" i="51"/>
  <c r="X170" i="51"/>
  <c r="W170" i="51"/>
  <c r="Z169" i="51"/>
  <c r="Y169" i="51"/>
  <c r="X169" i="51"/>
  <c r="W169" i="51"/>
  <c r="Z168" i="51"/>
  <c r="Y168" i="51"/>
  <c r="X168" i="51"/>
  <c r="W168" i="51"/>
  <c r="Z167" i="51"/>
  <c r="Y167" i="51"/>
  <c r="X167" i="51"/>
  <c r="W167" i="51"/>
  <c r="Z166" i="51"/>
  <c r="Y166" i="51"/>
  <c r="X166" i="51"/>
  <c r="W166" i="51"/>
  <c r="Z165" i="51"/>
  <c r="Y165" i="51"/>
  <c r="X165" i="51"/>
  <c r="W165" i="51"/>
  <c r="Z164" i="51"/>
  <c r="Y164" i="51"/>
  <c r="X164" i="51"/>
  <c r="W164" i="51"/>
  <c r="Z163" i="51"/>
  <c r="Y163" i="51"/>
  <c r="X163" i="51"/>
  <c r="W163" i="51"/>
  <c r="Z162" i="51"/>
  <c r="Y162" i="51"/>
  <c r="X162" i="51"/>
  <c r="W162" i="51"/>
  <c r="Z161" i="51"/>
  <c r="Y161" i="51"/>
  <c r="X161" i="51"/>
  <c r="W161" i="51"/>
  <c r="Z160" i="51"/>
  <c r="Y160" i="51"/>
  <c r="X160" i="51"/>
  <c r="W160" i="51"/>
  <c r="Z159" i="51"/>
  <c r="Y159" i="51"/>
  <c r="X159" i="51"/>
  <c r="W159" i="51"/>
  <c r="Z158" i="51"/>
  <c r="Y158" i="51"/>
  <c r="X158" i="51"/>
  <c r="W158" i="51"/>
  <c r="Z157" i="51"/>
  <c r="Y157" i="51"/>
  <c r="X157" i="51"/>
  <c r="W157" i="51"/>
  <c r="Z156" i="51"/>
  <c r="Y156" i="51"/>
  <c r="X156" i="51"/>
  <c r="W156" i="51"/>
  <c r="Z155" i="51"/>
  <c r="Y155" i="51"/>
  <c r="X155" i="51"/>
  <c r="W155" i="51"/>
  <c r="Z154" i="51"/>
  <c r="Y154" i="51"/>
  <c r="X154" i="51"/>
  <c r="W154" i="51"/>
  <c r="Z153" i="51"/>
  <c r="Y153" i="51"/>
  <c r="X153" i="51"/>
  <c r="W153" i="51"/>
  <c r="Z152" i="51"/>
  <c r="Y152" i="51"/>
  <c r="X152" i="51"/>
  <c r="W152" i="51"/>
  <c r="Z151" i="51"/>
  <c r="Y151" i="51"/>
  <c r="X151" i="51"/>
  <c r="W151" i="51"/>
  <c r="Z150" i="51"/>
  <c r="Y150" i="51"/>
  <c r="X150" i="51"/>
  <c r="W150" i="51"/>
  <c r="Z149" i="51"/>
  <c r="Y149" i="51"/>
  <c r="X149" i="51"/>
  <c r="W149" i="51"/>
  <c r="Z148" i="51"/>
  <c r="Y148" i="51"/>
  <c r="X148" i="51"/>
  <c r="W148" i="51"/>
  <c r="Z147" i="51"/>
  <c r="Y147" i="51"/>
  <c r="X147" i="51"/>
  <c r="W147" i="51"/>
  <c r="Z146" i="51"/>
  <c r="Y146" i="51"/>
  <c r="X146" i="51"/>
  <c r="W146" i="51"/>
  <c r="Z145" i="51"/>
  <c r="Y145" i="51"/>
  <c r="X145" i="51"/>
  <c r="W145" i="51"/>
  <c r="Z144" i="51"/>
  <c r="Y144" i="51"/>
  <c r="X144" i="51"/>
  <c r="W144" i="51"/>
  <c r="Z143" i="51"/>
  <c r="Y143" i="51"/>
  <c r="X143" i="51"/>
  <c r="W143" i="51"/>
  <c r="Z142" i="51"/>
  <c r="Y142" i="51"/>
  <c r="X142" i="51"/>
  <c r="W142" i="51"/>
  <c r="Z141" i="51"/>
  <c r="Y141" i="51"/>
  <c r="X141" i="51"/>
  <c r="W141" i="51"/>
  <c r="Z140" i="51"/>
  <c r="Y140" i="51"/>
  <c r="X140" i="51"/>
  <c r="W140" i="51"/>
  <c r="Z139" i="51"/>
  <c r="Y139" i="51"/>
  <c r="X139" i="51"/>
  <c r="W139" i="51"/>
  <c r="Z138" i="51"/>
  <c r="Y138" i="51"/>
  <c r="X138" i="51"/>
  <c r="W138" i="51"/>
  <c r="Z137" i="51"/>
  <c r="Y137" i="51"/>
  <c r="X137" i="51"/>
  <c r="W137" i="51"/>
  <c r="Z136" i="51"/>
  <c r="Y136" i="51"/>
  <c r="X136" i="51"/>
  <c r="W136" i="51"/>
  <c r="Z135" i="51"/>
  <c r="Y135" i="51"/>
  <c r="X135" i="51"/>
  <c r="W135" i="51"/>
  <c r="Z134" i="51"/>
  <c r="Y134" i="51"/>
  <c r="X134" i="51"/>
  <c r="W134" i="51"/>
  <c r="Z133" i="51"/>
  <c r="Y133" i="51"/>
  <c r="X133" i="51"/>
  <c r="W133" i="51"/>
  <c r="Z132" i="51"/>
  <c r="Y132" i="51"/>
  <c r="X132" i="51"/>
  <c r="W132" i="51"/>
  <c r="Z131" i="51"/>
  <c r="Y131" i="51"/>
  <c r="X131" i="51"/>
  <c r="W131" i="51"/>
  <c r="Z130" i="51"/>
  <c r="Y130" i="51"/>
  <c r="X130" i="51"/>
  <c r="W130" i="51"/>
  <c r="Z129" i="51"/>
  <c r="Y129" i="51"/>
  <c r="X129" i="51"/>
  <c r="W129" i="51"/>
  <c r="Z128" i="51"/>
  <c r="Y128" i="51"/>
  <c r="X128" i="51"/>
  <c r="W128" i="51"/>
  <c r="Z127" i="51"/>
  <c r="Y127" i="51"/>
  <c r="X127" i="51"/>
  <c r="W127" i="51"/>
  <c r="Z126" i="51"/>
  <c r="Y126" i="51"/>
  <c r="X126" i="51"/>
  <c r="W126" i="51"/>
  <c r="Z125" i="51"/>
  <c r="Y125" i="51"/>
  <c r="X125" i="51"/>
  <c r="W125" i="51"/>
  <c r="Z124" i="51"/>
  <c r="Y124" i="51"/>
  <c r="X124" i="51"/>
  <c r="W124" i="51"/>
  <c r="Z123" i="51"/>
  <c r="Y123" i="51"/>
  <c r="X123" i="51"/>
  <c r="W123" i="51"/>
  <c r="Z122" i="51"/>
  <c r="Y122" i="51"/>
  <c r="X122" i="51"/>
  <c r="W122" i="51"/>
  <c r="Z121" i="51"/>
  <c r="Y121" i="51"/>
  <c r="X121" i="51"/>
  <c r="W121" i="51"/>
  <c r="Z120" i="51"/>
  <c r="Y120" i="51"/>
  <c r="X120" i="51"/>
  <c r="W120" i="51"/>
  <c r="Z119" i="51"/>
  <c r="Y119" i="51"/>
  <c r="X119" i="51"/>
  <c r="W119" i="51"/>
  <c r="Z118" i="51"/>
  <c r="Y118" i="51"/>
  <c r="X118" i="51"/>
  <c r="W118" i="51"/>
  <c r="Z117" i="51"/>
  <c r="Y117" i="51"/>
  <c r="X117" i="51"/>
  <c r="W117" i="51"/>
  <c r="Z116" i="51"/>
  <c r="Y116" i="51"/>
  <c r="X116" i="51"/>
  <c r="W116" i="51"/>
  <c r="Z115" i="51"/>
  <c r="Y115" i="51"/>
  <c r="X115" i="51"/>
  <c r="W115" i="51"/>
  <c r="Z114" i="51"/>
  <c r="Y114" i="51"/>
  <c r="X114" i="51"/>
  <c r="W114" i="51"/>
  <c r="Z113" i="51"/>
  <c r="Y113" i="51"/>
  <c r="X113" i="51"/>
  <c r="W113" i="51"/>
  <c r="Z112" i="51"/>
  <c r="Y112" i="51"/>
  <c r="X112" i="51"/>
  <c r="W112" i="51"/>
  <c r="Z111" i="51"/>
  <c r="Y111" i="51"/>
  <c r="X111" i="51"/>
  <c r="W111" i="51"/>
  <c r="Z110" i="51"/>
  <c r="Y110" i="51"/>
  <c r="X110" i="51"/>
  <c r="W110" i="51"/>
  <c r="Z109" i="51"/>
  <c r="Y109" i="51"/>
  <c r="X109" i="51"/>
  <c r="W109" i="51"/>
  <c r="Z108" i="51"/>
  <c r="Y108" i="51"/>
  <c r="X108" i="51"/>
  <c r="W108" i="51"/>
  <c r="Z107" i="51"/>
  <c r="Y107" i="51"/>
  <c r="X107" i="51"/>
  <c r="W107" i="51"/>
  <c r="Z106" i="51"/>
  <c r="Y106" i="51"/>
  <c r="X106" i="51"/>
  <c r="W106" i="51"/>
  <c r="Z105" i="51"/>
  <c r="Y105" i="51"/>
  <c r="X105" i="51"/>
  <c r="W105" i="51"/>
  <c r="Z104" i="51"/>
  <c r="Y104" i="51"/>
  <c r="X104" i="51"/>
  <c r="W104" i="51"/>
  <c r="Z103" i="51"/>
  <c r="Y103" i="51"/>
  <c r="X103" i="51"/>
  <c r="W103" i="51"/>
  <c r="Z102" i="51"/>
  <c r="Y102" i="51"/>
  <c r="X102" i="51"/>
  <c r="W102" i="51"/>
  <c r="Z101" i="51"/>
  <c r="Y101" i="51"/>
  <c r="X101" i="51"/>
  <c r="W101" i="51"/>
  <c r="Z100" i="51"/>
  <c r="Y100" i="51"/>
  <c r="X100" i="51"/>
  <c r="W100" i="51"/>
  <c r="Z99" i="51"/>
  <c r="Y99" i="51"/>
  <c r="X99" i="51"/>
  <c r="W99" i="51"/>
  <c r="Z98" i="51"/>
  <c r="Y98" i="51"/>
  <c r="X98" i="51"/>
  <c r="W98" i="51"/>
  <c r="Z97" i="51"/>
  <c r="Y97" i="51"/>
  <c r="X97" i="51"/>
  <c r="W97" i="51"/>
  <c r="Z96" i="51"/>
  <c r="Y96" i="51"/>
  <c r="X96" i="51"/>
  <c r="W96" i="51"/>
  <c r="Z95" i="51"/>
  <c r="Y95" i="51"/>
  <c r="X95" i="51"/>
  <c r="W95" i="51"/>
  <c r="Z94" i="51"/>
  <c r="Y94" i="51"/>
  <c r="X94" i="51"/>
  <c r="W94" i="51"/>
  <c r="Z93" i="51"/>
  <c r="Y93" i="51"/>
  <c r="X93" i="51"/>
  <c r="W93" i="51"/>
  <c r="Z92" i="51"/>
  <c r="Y92" i="51"/>
  <c r="X92" i="51"/>
  <c r="W92" i="51"/>
  <c r="Z91" i="51"/>
  <c r="Y91" i="51"/>
  <c r="X91" i="51"/>
  <c r="W91" i="51"/>
  <c r="Z90" i="51"/>
  <c r="Y90" i="51"/>
  <c r="X90" i="51"/>
  <c r="W90" i="51"/>
  <c r="Z89" i="51"/>
  <c r="Y89" i="51"/>
  <c r="X89" i="51"/>
  <c r="W89" i="51"/>
  <c r="Z88" i="51"/>
  <c r="Y88" i="51"/>
  <c r="X88" i="51"/>
  <c r="W88" i="51"/>
  <c r="Z87" i="51"/>
  <c r="Y87" i="51"/>
  <c r="X87" i="51"/>
  <c r="W87" i="51"/>
  <c r="Z86" i="51"/>
  <c r="Y86" i="51"/>
  <c r="X86" i="51"/>
  <c r="W86" i="51"/>
  <c r="Z85" i="51"/>
  <c r="Y85" i="51"/>
  <c r="X85" i="51"/>
  <c r="W85" i="51"/>
  <c r="Z84" i="51"/>
  <c r="Y84" i="51"/>
  <c r="X84" i="51"/>
  <c r="W84" i="51"/>
  <c r="Z83" i="51"/>
  <c r="Y83" i="51"/>
  <c r="X83" i="51"/>
  <c r="W83" i="51"/>
  <c r="Z82" i="51"/>
  <c r="Y82" i="51"/>
  <c r="X82" i="51"/>
  <c r="W82" i="51"/>
  <c r="Z81" i="51"/>
  <c r="Y81" i="51"/>
  <c r="X81" i="51"/>
  <c r="W81" i="51"/>
  <c r="Z80" i="51"/>
  <c r="Y80" i="51"/>
  <c r="X80" i="51"/>
  <c r="W80" i="51"/>
  <c r="Z79" i="51"/>
  <c r="Y79" i="51"/>
  <c r="X79" i="51"/>
  <c r="W79" i="51"/>
  <c r="Z78" i="51"/>
  <c r="Y78" i="51"/>
  <c r="X78" i="51"/>
  <c r="W78" i="51"/>
  <c r="Z77" i="51"/>
  <c r="Y77" i="51"/>
  <c r="X77" i="51"/>
  <c r="W77" i="51"/>
  <c r="Z76" i="51"/>
  <c r="Y76" i="51"/>
  <c r="X76" i="51"/>
  <c r="W76" i="51"/>
  <c r="Z75" i="51"/>
  <c r="Y75" i="51"/>
  <c r="X75" i="51"/>
  <c r="W75" i="51"/>
  <c r="Z74" i="51"/>
  <c r="Y74" i="51"/>
  <c r="X74" i="51"/>
  <c r="W74" i="51"/>
  <c r="Z73" i="51"/>
  <c r="Y73" i="51"/>
  <c r="X73" i="51"/>
  <c r="W73" i="51"/>
  <c r="Z72" i="51"/>
  <c r="Y72" i="51"/>
  <c r="X72" i="51"/>
  <c r="W72" i="51"/>
  <c r="Z71" i="51"/>
  <c r="Y71" i="51"/>
  <c r="X71" i="51"/>
  <c r="W71" i="51"/>
  <c r="Z70" i="51"/>
  <c r="Y70" i="51"/>
  <c r="X70" i="51"/>
  <c r="W70" i="51"/>
  <c r="Z69" i="51"/>
  <c r="Y69" i="51"/>
  <c r="X69" i="51"/>
  <c r="W69" i="51"/>
  <c r="Z68" i="51"/>
  <c r="Y68" i="51"/>
  <c r="X68" i="51"/>
  <c r="W68" i="51"/>
  <c r="Z67" i="51"/>
  <c r="Y67" i="51"/>
  <c r="X67" i="51"/>
  <c r="W67" i="51"/>
  <c r="Z66" i="51"/>
  <c r="Y66" i="51"/>
  <c r="X66" i="51"/>
  <c r="W66" i="51"/>
  <c r="Z65" i="51"/>
  <c r="Y65" i="51"/>
  <c r="X65" i="51"/>
  <c r="W65" i="51"/>
  <c r="Z64" i="51"/>
  <c r="Y64" i="51"/>
  <c r="X64" i="51"/>
  <c r="W64" i="51"/>
  <c r="Z63" i="51"/>
  <c r="Y63" i="51"/>
  <c r="X63" i="51"/>
  <c r="W63" i="51"/>
  <c r="Z62" i="51"/>
  <c r="Y62" i="51"/>
  <c r="X62" i="51"/>
  <c r="W62" i="51"/>
  <c r="Z61" i="51"/>
  <c r="Y61" i="51"/>
  <c r="X61" i="51"/>
  <c r="W61" i="51"/>
  <c r="Z60" i="51"/>
  <c r="Y60" i="51"/>
  <c r="X60" i="51"/>
  <c r="W60" i="51"/>
  <c r="Z59" i="51"/>
  <c r="Y59" i="51"/>
  <c r="X59" i="51"/>
  <c r="W59" i="51"/>
  <c r="Z58" i="51"/>
  <c r="Y58" i="51"/>
  <c r="X58" i="51"/>
  <c r="W58" i="51"/>
  <c r="Z57" i="51"/>
  <c r="Y57" i="51"/>
  <c r="X57" i="51"/>
  <c r="W57" i="51"/>
  <c r="Z56" i="51"/>
  <c r="Y56" i="51"/>
  <c r="X56" i="51"/>
  <c r="W56" i="51"/>
  <c r="Z55" i="51"/>
  <c r="Y55" i="51"/>
  <c r="X55" i="51"/>
  <c r="W55" i="51"/>
  <c r="Z54" i="51"/>
  <c r="Y54" i="51"/>
  <c r="X54" i="51"/>
  <c r="W54" i="51"/>
  <c r="Z53" i="51"/>
  <c r="Y53" i="51"/>
  <c r="X53" i="51"/>
  <c r="W53" i="51"/>
  <c r="Z52" i="51"/>
  <c r="Y52" i="51"/>
  <c r="X52" i="51"/>
  <c r="W52" i="51"/>
  <c r="Z51" i="51"/>
  <c r="Y51" i="51"/>
  <c r="X51" i="51"/>
  <c r="W51" i="51"/>
  <c r="Z50" i="51"/>
  <c r="Y50" i="51"/>
  <c r="X50" i="51"/>
  <c r="W50" i="51"/>
  <c r="Z49" i="51"/>
  <c r="Y49" i="51"/>
  <c r="X49" i="51"/>
  <c r="W49" i="51"/>
  <c r="Z48" i="51"/>
  <c r="Y48" i="51"/>
  <c r="X48" i="51"/>
  <c r="W48" i="51"/>
  <c r="Z47" i="51"/>
  <c r="Y47" i="51"/>
  <c r="X47" i="51"/>
  <c r="W47" i="51"/>
  <c r="Z46" i="51"/>
  <c r="Y46" i="51"/>
  <c r="X46" i="51"/>
  <c r="W46" i="51"/>
  <c r="Z45" i="51"/>
  <c r="Y45" i="51"/>
  <c r="X45" i="51"/>
  <c r="W45" i="51"/>
  <c r="Z44" i="51"/>
  <c r="Y44" i="51"/>
  <c r="X44" i="51"/>
  <c r="W44" i="51"/>
  <c r="Z43" i="51"/>
  <c r="Y43" i="51"/>
  <c r="X43" i="51"/>
  <c r="W43" i="51"/>
  <c r="Z42" i="51"/>
  <c r="Y42" i="51"/>
  <c r="X42" i="51"/>
  <c r="W42" i="51"/>
  <c r="Z41" i="51"/>
  <c r="Y41" i="51"/>
  <c r="X41" i="51"/>
  <c r="W41" i="51"/>
  <c r="Z40" i="51"/>
  <c r="Y40" i="51"/>
  <c r="X40" i="51"/>
  <c r="W40" i="51"/>
  <c r="Z39" i="51"/>
  <c r="Y39" i="51"/>
  <c r="X39" i="51"/>
  <c r="W39" i="51"/>
  <c r="Z38" i="51"/>
  <c r="Y38" i="51"/>
  <c r="X38" i="51"/>
  <c r="W38" i="51"/>
  <c r="Z37" i="51"/>
  <c r="Y37" i="51"/>
  <c r="X37" i="51"/>
  <c r="W37" i="51"/>
  <c r="Z36" i="51"/>
  <c r="Y36" i="51"/>
  <c r="X36" i="51"/>
  <c r="W36" i="51"/>
  <c r="Z35" i="51"/>
  <c r="Y35" i="51"/>
  <c r="X35" i="51"/>
  <c r="W35" i="51"/>
  <c r="Z34" i="51"/>
  <c r="Y34" i="51"/>
  <c r="X34" i="51"/>
  <c r="W34" i="51"/>
  <c r="Z33" i="51"/>
  <c r="Y33" i="51"/>
  <c r="X33" i="51"/>
  <c r="W33" i="51"/>
  <c r="Z32" i="51"/>
  <c r="Y32" i="51"/>
  <c r="X32" i="51"/>
  <c r="W32" i="51"/>
  <c r="Z31" i="51"/>
  <c r="Y31" i="51"/>
  <c r="X31" i="51"/>
  <c r="W31" i="51"/>
  <c r="Z30" i="51"/>
  <c r="Y30" i="51"/>
  <c r="X30" i="51"/>
  <c r="W30" i="51"/>
  <c r="Z29" i="51"/>
  <c r="Y29" i="51"/>
  <c r="X29" i="51"/>
  <c r="W29" i="51"/>
  <c r="Z28" i="51"/>
  <c r="Y28" i="51"/>
  <c r="X28" i="51"/>
  <c r="W28" i="51"/>
  <c r="Z27" i="51"/>
  <c r="Y27" i="51"/>
  <c r="X27" i="51"/>
  <c r="W27" i="51"/>
  <c r="Z26" i="51"/>
  <c r="Y26" i="51"/>
  <c r="X26" i="51"/>
  <c r="W26" i="51"/>
  <c r="Z25" i="51"/>
  <c r="Y25" i="51"/>
  <c r="X25" i="51"/>
  <c r="W25" i="51"/>
  <c r="Z24" i="51"/>
  <c r="Y24" i="51"/>
  <c r="X24" i="51"/>
  <c r="W24" i="51"/>
  <c r="Z23" i="51"/>
  <c r="Y23" i="51"/>
  <c r="X23" i="51"/>
  <c r="W23" i="51"/>
  <c r="Z22" i="51"/>
  <c r="Y22" i="51"/>
  <c r="X22" i="51"/>
  <c r="W22" i="51"/>
  <c r="Z21" i="51"/>
  <c r="Y21" i="51"/>
  <c r="X21" i="51"/>
  <c r="W21" i="51"/>
  <c r="Z20" i="51"/>
  <c r="Y20" i="51"/>
  <c r="X20" i="51"/>
  <c r="W20" i="51"/>
  <c r="Z19" i="51"/>
  <c r="Y19" i="51"/>
  <c r="X19" i="51"/>
  <c r="W19" i="51"/>
  <c r="Z18" i="51"/>
  <c r="Y18" i="51"/>
  <c r="X18" i="51"/>
  <c r="W18" i="51"/>
  <c r="Z17" i="51"/>
  <c r="Y17" i="51"/>
  <c r="X17" i="51"/>
  <c r="W17" i="51"/>
  <c r="Z16" i="51"/>
  <c r="Y16" i="51"/>
  <c r="X16" i="51"/>
  <c r="W16" i="51"/>
  <c r="Z15" i="51"/>
  <c r="Y15" i="51"/>
  <c r="X15" i="51"/>
  <c r="W15" i="51"/>
  <c r="V15" i="56"/>
  <c r="Y307" i="56"/>
  <c r="X307" i="56"/>
  <c r="W307" i="56"/>
  <c r="V307" i="56"/>
  <c r="Y306" i="56"/>
  <c r="X306" i="56"/>
  <c r="W306" i="56"/>
  <c r="V306" i="56"/>
  <c r="Y305" i="56"/>
  <c r="X305" i="56"/>
  <c r="W305" i="56"/>
  <c r="V305" i="56"/>
  <c r="Y304" i="56"/>
  <c r="X304" i="56"/>
  <c r="W304" i="56"/>
  <c r="V304" i="56"/>
  <c r="Y303" i="56"/>
  <c r="X303" i="56"/>
  <c r="W303" i="56"/>
  <c r="V303" i="56"/>
  <c r="Y302" i="56"/>
  <c r="X302" i="56"/>
  <c r="W302" i="56"/>
  <c r="V302" i="56"/>
  <c r="Y301" i="56"/>
  <c r="X301" i="56"/>
  <c r="W301" i="56"/>
  <c r="V301" i="56"/>
  <c r="Y300" i="56"/>
  <c r="X300" i="56"/>
  <c r="W300" i="56"/>
  <c r="V300" i="56"/>
  <c r="Y299" i="56"/>
  <c r="X299" i="56"/>
  <c r="W299" i="56"/>
  <c r="V299" i="56"/>
  <c r="Y298" i="56"/>
  <c r="X298" i="56"/>
  <c r="W298" i="56"/>
  <c r="V298" i="56"/>
  <c r="Y297" i="56"/>
  <c r="X297" i="56"/>
  <c r="W297" i="56"/>
  <c r="V297" i="56"/>
  <c r="Y296" i="56"/>
  <c r="X296" i="56"/>
  <c r="W296" i="56"/>
  <c r="V296" i="56"/>
  <c r="Y295" i="56"/>
  <c r="X295" i="56"/>
  <c r="W295" i="56"/>
  <c r="V295" i="56"/>
  <c r="Y294" i="56"/>
  <c r="X294" i="56"/>
  <c r="W294" i="56"/>
  <c r="V294" i="56"/>
  <c r="Y293" i="56"/>
  <c r="X293" i="56"/>
  <c r="W293" i="56"/>
  <c r="V293" i="56"/>
  <c r="Y292" i="56"/>
  <c r="X292" i="56"/>
  <c r="W292" i="56"/>
  <c r="V292" i="56"/>
  <c r="Y291" i="56"/>
  <c r="X291" i="56"/>
  <c r="W291" i="56"/>
  <c r="V291" i="56"/>
  <c r="Y290" i="56"/>
  <c r="X290" i="56"/>
  <c r="W290" i="56"/>
  <c r="V290" i="56"/>
  <c r="Y289" i="56"/>
  <c r="X289" i="56"/>
  <c r="W289" i="56"/>
  <c r="V289" i="56"/>
  <c r="Y288" i="56"/>
  <c r="X288" i="56"/>
  <c r="W288" i="56"/>
  <c r="V288" i="56"/>
  <c r="Y287" i="56"/>
  <c r="X287" i="56"/>
  <c r="W287" i="56"/>
  <c r="V287" i="56"/>
  <c r="Y286" i="56"/>
  <c r="X286" i="56"/>
  <c r="W286" i="56"/>
  <c r="V286" i="56"/>
  <c r="Y285" i="56"/>
  <c r="X285" i="56"/>
  <c r="W285" i="56"/>
  <c r="V285" i="56"/>
  <c r="Y284" i="56"/>
  <c r="X284" i="56"/>
  <c r="W284" i="56"/>
  <c r="V284" i="56"/>
  <c r="Y283" i="56"/>
  <c r="X283" i="56"/>
  <c r="W283" i="56"/>
  <c r="V283" i="56"/>
  <c r="Y282" i="56"/>
  <c r="X282" i="56"/>
  <c r="W282" i="56"/>
  <c r="V282" i="56"/>
  <c r="Y281" i="56"/>
  <c r="X281" i="56"/>
  <c r="W281" i="56"/>
  <c r="V281" i="56"/>
  <c r="Y280" i="56"/>
  <c r="X280" i="56"/>
  <c r="W280" i="56"/>
  <c r="V280" i="56"/>
  <c r="Y279" i="56"/>
  <c r="X279" i="56"/>
  <c r="W279" i="56"/>
  <c r="V279" i="56"/>
  <c r="Y278" i="56"/>
  <c r="X278" i="56"/>
  <c r="W278" i="56"/>
  <c r="V278" i="56"/>
  <c r="Y277" i="56"/>
  <c r="X277" i="56"/>
  <c r="W277" i="56"/>
  <c r="V277" i="56"/>
  <c r="Y276" i="56"/>
  <c r="X276" i="56"/>
  <c r="W276" i="56"/>
  <c r="V276" i="56"/>
  <c r="Y275" i="56"/>
  <c r="X275" i="56"/>
  <c r="W275" i="56"/>
  <c r="V275" i="56"/>
  <c r="Y274" i="56"/>
  <c r="X274" i="56"/>
  <c r="W274" i="56"/>
  <c r="V274" i="56"/>
  <c r="Y273" i="56"/>
  <c r="X273" i="56"/>
  <c r="W273" i="56"/>
  <c r="V273" i="56"/>
  <c r="Y272" i="56"/>
  <c r="X272" i="56"/>
  <c r="W272" i="56"/>
  <c r="V272" i="56"/>
  <c r="Y271" i="56"/>
  <c r="X271" i="56"/>
  <c r="W271" i="56"/>
  <c r="V271" i="56"/>
  <c r="Y270" i="56"/>
  <c r="X270" i="56"/>
  <c r="W270" i="56"/>
  <c r="V270" i="56"/>
  <c r="Y269" i="56"/>
  <c r="X269" i="56"/>
  <c r="W269" i="56"/>
  <c r="V269" i="56"/>
  <c r="Y268" i="56"/>
  <c r="X268" i="56"/>
  <c r="W268" i="56"/>
  <c r="V268" i="56"/>
  <c r="Y267" i="56"/>
  <c r="X267" i="56"/>
  <c r="W267" i="56"/>
  <c r="V267" i="56"/>
  <c r="Y266" i="56"/>
  <c r="X266" i="56"/>
  <c r="W266" i="56"/>
  <c r="V266" i="56"/>
  <c r="Y265" i="56"/>
  <c r="X265" i="56"/>
  <c r="W265" i="56"/>
  <c r="V265" i="56"/>
  <c r="Y264" i="56"/>
  <c r="X264" i="56"/>
  <c r="W264" i="56"/>
  <c r="V264" i="56"/>
  <c r="Y263" i="56"/>
  <c r="X263" i="56"/>
  <c r="W263" i="56"/>
  <c r="V263" i="56"/>
  <c r="Y262" i="56"/>
  <c r="X262" i="56"/>
  <c r="W262" i="56"/>
  <c r="V262" i="56"/>
  <c r="Y261" i="56"/>
  <c r="X261" i="56"/>
  <c r="W261" i="56"/>
  <c r="V261" i="56"/>
  <c r="Y260" i="56"/>
  <c r="X260" i="56"/>
  <c r="W260" i="56"/>
  <c r="V260" i="56"/>
  <c r="Y259" i="56"/>
  <c r="X259" i="56"/>
  <c r="W259" i="56"/>
  <c r="V259" i="56"/>
  <c r="Y258" i="56"/>
  <c r="X258" i="56"/>
  <c r="W258" i="56"/>
  <c r="V258" i="56"/>
  <c r="Y257" i="56"/>
  <c r="X257" i="56"/>
  <c r="W257" i="56"/>
  <c r="V257" i="56"/>
  <c r="Y256" i="56"/>
  <c r="X256" i="56"/>
  <c r="W256" i="56"/>
  <c r="V256" i="56"/>
  <c r="Y255" i="56"/>
  <c r="X255" i="56"/>
  <c r="W255" i="56"/>
  <c r="V255" i="56"/>
  <c r="Y254" i="56"/>
  <c r="X254" i="56"/>
  <c r="W254" i="56"/>
  <c r="V254" i="56"/>
  <c r="Y253" i="56"/>
  <c r="X253" i="56"/>
  <c r="W253" i="56"/>
  <c r="V253" i="56"/>
  <c r="Y252" i="56"/>
  <c r="X252" i="56"/>
  <c r="W252" i="56"/>
  <c r="V252" i="56"/>
  <c r="Y251" i="56"/>
  <c r="X251" i="56"/>
  <c r="W251" i="56"/>
  <c r="V251" i="56"/>
  <c r="Y250" i="56"/>
  <c r="X250" i="56"/>
  <c r="W250" i="56"/>
  <c r="V250" i="56"/>
  <c r="Y249" i="56"/>
  <c r="X249" i="56"/>
  <c r="W249" i="56"/>
  <c r="V249" i="56"/>
  <c r="Y248" i="56"/>
  <c r="X248" i="56"/>
  <c r="W248" i="56"/>
  <c r="V248" i="56"/>
  <c r="Y247" i="56"/>
  <c r="X247" i="56"/>
  <c r="W247" i="56"/>
  <c r="V247" i="56"/>
  <c r="Y246" i="56"/>
  <c r="X246" i="56"/>
  <c r="W246" i="56"/>
  <c r="V246" i="56"/>
  <c r="Y245" i="56"/>
  <c r="X245" i="56"/>
  <c r="W245" i="56"/>
  <c r="V245" i="56"/>
  <c r="Y244" i="56"/>
  <c r="X244" i="56"/>
  <c r="W244" i="56"/>
  <c r="V244" i="56"/>
  <c r="Y243" i="56"/>
  <c r="X243" i="56"/>
  <c r="W243" i="56"/>
  <c r="V243" i="56"/>
  <c r="Y242" i="56"/>
  <c r="X242" i="56"/>
  <c r="W242" i="56"/>
  <c r="V242" i="56"/>
  <c r="Y241" i="56"/>
  <c r="X241" i="56"/>
  <c r="W241" i="56"/>
  <c r="V241" i="56"/>
  <c r="Y240" i="56"/>
  <c r="X240" i="56"/>
  <c r="W240" i="56"/>
  <c r="V240" i="56"/>
  <c r="Y239" i="56"/>
  <c r="X239" i="56"/>
  <c r="W239" i="56"/>
  <c r="V239" i="56"/>
  <c r="Y238" i="56"/>
  <c r="X238" i="56"/>
  <c r="W238" i="56"/>
  <c r="V238" i="56"/>
  <c r="Y237" i="56"/>
  <c r="X237" i="56"/>
  <c r="W237" i="56"/>
  <c r="V237" i="56"/>
  <c r="Y236" i="56"/>
  <c r="X236" i="56"/>
  <c r="W236" i="56"/>
  <c r="V236" i="56"/>
  <c r="Y235" i="56"/>
  <c r="X235" i="56"/>
  <c r="W235" i="56"/>
  <c r="V235" i="56"/>
  <c r="Y234" i="56"/>
  <c r="X234" i="56"/>
  <c r="W234" i="56"/>
  <c r="V234" i="56"/>
  <c r="Y233" i="56"/>
  <c r="X233" i="56"/>
  <c r="W233" i="56"/>
  <c r="V233" i="56"/>
  <c r="Y232" i="56"/>
  <c r="X232" i="56"/>
  <c r="W232" i="56"/>
  <c r="V232" i="56"/>
  <c r="Y231" i="56"/>
  <c r="X231" i="56"/>
  <c r="W231" i="56"/>
  <c r="V231" i="56"/>
  <c r="Y230" i="56"/>
  <c r="X230" i="56"/>
  <c r="W230" i="56"/>
  <c r="V230" i="56"/>
  <c r="Y229" i="56"/>
  <c r="X229" i="56"/>
  <c r="W229" i="56"/>
  <c r="V229" i="56"/>
  <c r="Y228" i="56"/>
  <c r="X228" i="56"/>
  <c r="W228" i="56"/>
  <c r="V228" i="56"/>
  <c r="Y227" i="56"/>
  <c r="X227" i="56"/>
  <c r="W227" i="56"/>
  <c r="V227" i="56"/>
  <c r="Y226" i="56"/>
  <c r="X226" i="56"/>
  <c r="W226" i="56"/>
  <c r="V226" i="56"/>
  <c r="Y225" i="56"/>
  <c r="X225" i="56"/>
  <c r="W225" i="56"/>
  <c r="V225" i="56"/>
  <c r="Y224" i="56"/>
  <c r="X224" i="56"/>
  <c r="W224" i="56"/>
  <c r="V224" i="56"/>
  <c r="Y223" i="56"/>
  <c r="X223" i="56"/>
  <c r="W223" i="56"/>
  <c r="V223" i="56"/>
  <c r="Y222" i="56"/>
  <c r="X222" i="56"/>
  <c r="W222" i="56"/>
  <c r="V222" i="56"/>
  <c r="Y221" i="56"/>
  <c r="X221" i="56"/>
  <c r="W221" i="56"/>
  <c r="V221" i="56"/>
  <c r="Y220" i="56"/>
  <c r="X220" i="56"/>
  <c r="W220" i="56"/>
  <c r="V220" i="56"/>
  <c r="Y219" i="56"/>
  <c r="X219" i="56"/>
  <c r="W219" i="56"/>
  <c r="V219" i="56"/>
  <c r="Y218" i="56"/>
  <c r="X218" i="56"/>
  <c r="W218" i="56"/>
  <c r="V218" i="56"/>
  <c r="Y217" i="56"/>
  <c r="X217" i="56"/>
  <c r="W217" i="56"/>
  <c r="V217" i="56"/>
  <c r="Y216" i="56"/>
  <c r="X216" i="56"/>
  <c r="W216" i="56"/>
  <c r="V216" i="56"/>
  <c r="Y215" i="56"/>
  <c r="X215" i="56"/>
  <c r="W215" i="56"/>
  <c r="V215" i="56"/>
  <c r="Y214" i="56"/>
  <c r="X214" i="56"/>
  <c r="W214" i="56"/>
  <c r="V214" i="56"/>
  <c r="Y213" i="56"/>
  <c r="X213" i="56"/>
  <c r="W213" i="56"/>
  <c r="V213" i="56"/>
  <c r="Y212" i="56"/>
  <c r="X212" i="56"/>
  <c r="W212" i="56"/>
  <c r="V212" i="56"/>
  <c r="Y211" i="56"/>
  <c r="X211" i="56"/>
  <c r="W211" i="56"/>
  <c r="V211" i="56"/>
  <c r="Y210" i="56"/>
  <c r="X210" i="56"/>
  <c r="W210" i="56"/>
  <c r="V210" i="56"/>
  <c r="Y209" i="56"/>
  <c r="X209" i="56"/>
  <c r="W209" i="56"/>
  <c r="V209" i="56"/>
  <c r="Y208" i="56"/>
  <c r="X208" i="56"/>
  <c r="W208" i="56"/>
  <c r="V208" i="56"/>
  <c r="Y207" i="56"/>
  <c r="X207" i="56"/>
  <c r="W207" i="56"/>
  <c r="V207" i="56"/>
  <c r="Y206" i="56"/>
  <c r="X206" i="56"/>
  <c r="W206" i="56"/>
  <c r="V206" i="56"/>
  <c r="Y205" i="56"/>
  <c r="X205" i="56"/>
  <c r="W205" i="56"/>
  <c r="V205" i="56"/>
  <c r="Y204" i="56"/>
  <c r="X204" i="56"/>
  <c r="W204" i="56"/>
  <c r="V204" i="56"/>
  <c r="Y203" i="56"/>
  <c r="X203" i="56"/>
  <c r="W203" i="56"/>
  <c r="V203" i="56"/>
  <c r="Y202" i="56"/>
  <c r="X202" i="56"/>
  <c r="W202" i="56"/>
  <c r="V202" i="56"/>
  <c r="Y201" i="56"/>
  <c r="X201" i="56"/>
  <c r="W201" i="56"/>
  <c r="V201" i="56"/>
  <c r="Y200" i="56"/>
  <c r="X200" i="56"/>
  <c r="W200" i="56"/>
  <c r="V200" i="56"/>
  <c r="Y199" i="56"/>
  <c r="X199" i="56"/>
  <c r="W199" i="56"/>
  <c r="V199" i="56"/>
  <c r="Y198" i="56"/>
  <c r="X198" i="56"/>
  <c r="W198" i="56"/>
  <c r="V198" i="56"/>
  <c r="Y197" i="56"/>
  <c r="X197" i="56"/>
  <c r="W197" i="56"/>
  <c r="V197" i="56"/>
  <c r="Y196" i="56"/>
  <c r="X196" i="56"/>
  <c r="W196" i="56"/>
  <c r="V196" i="56"/>
  <c r="Y195" i="56"/>
  <c r="X195" i="56"/>
  <c r="W195" i="56"/>
  <c r="V195" i="56"/>
  <c r="Y194" i="56"/>
  <c r="X194" i="56"/>
  <c r="W194" i="56"/>
  <c r="V194" i="56"/>
  <c r="Y193" i="56"/>
  <c r="X193" i="56"/>
  <c r="W193" i="56"/>
  <c r="V193" i="56"/>
  <c r="Y192" i="56"/>
  <c r="X192" i="56"/>
  <c r="W192" i="56"/>
  <c r="V192" i="56"/>
  <c r="Y191" i="56"/>
  <c r="X191" i="56"/>
  <c r="W191" i="56"/>
  <c r="V191" i="56"/>
  <c r="Y190" i="56"/>
  <c r="X190" i="56"/>
  <c r="W190" i="56"/>
  <c r="V190" i="56"/>
  <c r="Y189" i="56"/>
  <c r="X189" i="56"/>
  <c r="W189" i="56"/>
  <c r="V189" i="56"/>
  <c r="Y188" i="56"/>
  <c r="X188" i="56"/>
  <c r="W188" i="56"/>
  <c r="V188" i="56"/>
  <c r="Y187" i="56"/>
  <c r="X187" i="56"/>
  <c r="W187" i="56"/>
  <c r="V187" i="56"/>
  <c r="Y186" i="56"/>
  <c r="X186" i="56"/>
  <c r="W186" i="56"/>
  <c r="V186" i="56"/>
  <c r="Y185" i="56"/>
  <c r="X185" i="56"/>
  <c r="W185" i="56"/>
  <c r="V185" i="56"/>
  <c r="Y184" i="56"/>
  <c r="X184" i="56"/>
  <c r="W184" i="56"/>
  <c r="V184" i="56"/>
  <c r="Y183" i="56"/>
  <c r="X183" i="56"/>
  <c r="W183" i="56"/>
  <c r="V183" i="56"/>
  <c r="Y182" i="56"/>
  <c r="X182" i="56"/>
  <c r="W182" i="56"/>
  <c r="V182" i="56"/>
  <c r="Y181" i="56"/>
  <c r="X181" i="56"/>
  <c r="W181" i="56"/>
  <c r="V181" i="56"/>
  <c r="Y180" i="56"/>
  <c r="X180" i="56"/>
  <c r="W180" i="56"/>
  <c r="V180" i="56"/>
  <c r="Y179" i="56"/>
  <c r="X179" i="56"/>
  <c r="W179" i="56"/>
  <c r="V179" i="56"/>
  <c r="Y178" i="56"/>
  <c r="X178" i="56"/>
  <c r="W178" i="56"/>
  <c r="V178" i="56"/>
  <c r="Y177" i="56"/>
  <c r="X177" i="56"/>
  <c r="W177" i="56"/>
  <c r="V177" i="56"/>
  <c r="Y176" i="56"/>
  <c r="X176" i="56"/>
  <c r="W176" i="56"/>
  <c r="V176" i="56"/>
  <c r="Y175" i="56"/>
  <c r="X175" i="56"/>
  <c r="W175" i="56"/>
  <c r="V175" i="56"/>
  <c r="Y174" i="56"/>
  <c r="X174" i="56"/>
  <c r="W174" i="56"/>
  <c r="V174" i="56"/>
  <c r="Y173" i="56"/>
  <c r="X173" i="56"/>
  <c r="W173" i="56"/>
  <c r="V173" i="56"/>
  <c r="Y172" i="56"/>
  <c r="X172" i="56"/>
  <c r="W172" i="56"/>
  <c r="V172" i="56"/>
  <c r="Y171" i="56"/>
  <c r="X171" i="56"/>
  <c r="W171" i="56"/>
  <c r="V171" i="56"/>
  <c r="Y170" i="56"/>
  <c r="X170" i="56"/>
  <c r="W170" i="56"/>
  <c r="V170" i="56"/>
  <c r="Y169" i="56"/>
  <c r="X169" i="56"/>
  <c r="W169" i="56"/>
  <c r="V169" i="56"/>
  <c r="Y168" i="56"/>
  <c r="X168" i="56"/>
  <c r="W168" i="56"/>
  <c r="V168" i="56"/>
  <c r="Y167" i="56"/>
  <c r="X167" i="56"/>
  <c r="W167" i="56"/>
  <c r="V167" i="56"/>
  <c r="Y166" i="56"/>
  <c r="X166" i="56"/>
  <c r="W166" i="56"/>
  <c r="V166" i="56"/>
  <c r="Y165" i="56"/>
  <c r="X165" i="56"/>
  <c r="W165" i="56"/>
  <c r="V165" i="56"/>
  <c r="Y164" i="56"/>
  <c r="X164" i="56"/>
  <c r="W164" i="56"/>
  <c r="V164" i="56"/>
  <c r="Y163" i="56"/>
  <c r="X163" i="56"/>
  <c r="W163" i="56"/>
  <c r="V163" i="56"/>
  <c r="Y162" i="56"/>
  <c r="X162" i="56"/>
  <c r="W162" i="56"/>
  <c r="V162" i="56"/>
  <c r="Y161" i="56"/>
  <c r="X161" i="56"/>
  <c r="W161" i="56"/>
  <c r="V161" i="56"/>
  <c r="Y160" i="56"/>
  <c r="X160" i="56"/>
  <c r="W160" i="56"/>
  <c r="V160" i="56"/>
  <c r="Y159" i="56"/>
  <c r="X159" i="56"/>
  <c r="W159" i="56"/>
  <c r="V159" i="56"/>
  <c r="Y158" i="56"/>
  <c r="X158" i="56"/>
  <c r="W158" i="56"/>
  <c r="V158" i="56"/>
  <c r="Y157" i="56"/>
  <c r="X157" i="56"/>
  <c r="W157" i="56"/>
  <c r="V157" i="56"/>
  <c r="Y156" i="56"/>
  <c r="X156" i="56"/>
  <c r="W156" i="56"/>
  <c r="V156" i="56"/>
  <c r="Y155" i="56"/>
  <c r="X155" i="56"/>
  <c r="W155" i="56"/>
  <c r="V155" i="56"/>
  <c r="Y154" i="56"/>
  <c r="X154" i="56"/>
  <c r="W154" i="56"/>
  <c r="V154" i="56"/>
  <c r="Y153" i="56"/>
  <c r="X153" i="56"/>
  <c r="W153" i="56"/>
  <c r="V153" i="56"/>
  <c r="Y152" i="56"/>
  <c r="X152" i="56"/>
  <c r="W152" i="56"/>
  <c r="V152" i="56"/>
  <c r="Y151" i="56"/>
  <c r="X151" i="56"/>
  <c r="W151" i="56"/>
  <c r="V151" i="56"/>
  <c r="Y150" i="56"/>
  <c r="X150" i="56"/>
  <c r="W150" i="56"/>
  <c r="V150" i="56"/>
  <c r="Y149" i="56"/>
  <c r="X149" i="56"/>
  <c r="W149" i="56"/>
  <c r="V149" i="56"/>
  <c r="Y148" i="56"/>
  <c r="X148" i="56"/>
  <c r="W148" i="56"/>
  <c r="V148" i="56"/>
  <c r="Y147" i="56"/>
  <c r="X147" i="56"/>
  <c r="W147" i="56"/>
  <c r="V147" i="56"/>
  <c r="Y146" i="56"/>
  <c r="X146" i="56"/>
  <c r="W146" i="56"/>
  <c r="V146" i="56"/>
  <c r="Y145" i="56"/>
  <c r="X145" i="56"/>
  <c r="W145" i="56"/>
  <c r="V145" i="56"/>
  <c r="Y144" i="56"/>
  <c r="X144" i="56"/>
  <c r="W144" i="56"/>
  <c r="V144" i="56"/>
  <c r="Y143" i="56"/>
  <c r="X143" i="56"/>
  <c r="W143" i="56"/>
  <c r="V143" i="56"/>
  <c r="Y142" i="56"/>
  <c r="X142" i="56"/>
  <c r="W142" i="56"/>
  <c r="V142" i="56"/>
  <c r="Y141" i="56"/>
  <c r="X141" i="56"/>
  <c r="W141" i="56"/>
  <c r="V141" i="56"/>
  <c r="Y140" i="56"/>
  <c r="X140" i="56"/>
  <c r="W140" i="56"/>
  <c r="V140" i="56"/>
  <c r="Y139" i="56"/>
  <c r="X139" i="56"/>
  <c r="W139" i="56"/>
  <c r="V139" i="56"/>
  <c r="Y138" i="56"/>
  <c r="X138" i="56"/>
  <c r="W138" i="56"/>
  <c r="V138" i="56"/>
  <c r="Y137" i="56"/>
  <c r="X137" i="56"/>
  <c r="W137" i="56"/>
  <c r="V137" i="56"/>
  <c r="Y136" i="56"/>
  <c r="X136" i="56"/>
  <c r="W136" i="56"/>
  <c r="V136" i="56"/>
  <c r="Y135" i="56"/>
  <c r="X135" i="56"/>
  <c r="W135" i="56"/>
  <c r="V135" i="56"/>
  <c r="Y134" i="56"/>
  <c r="X134" i="56"/>
  <c r="W134" i="56"/>
  <c r="V134" i="56"/>
  <c r="Y133" i="56"/>
  <c r="X133" i="56"/>
  <c r="W133" i="56"/>
  <c r="V133" i="56"/>
  <c r="Y132" i="56"/>
  <c r="X132" i="56"/>
  <c r="W132" i="56"/>
  <c r="V132" i="56"/>
  <c r="Y131" i="56"/>
  <c r="X131" i="56"/>
  <c r="W131" i="56"/>
  <c r="V131" i="56"/>
  <c r="Y130" i="56"/>
  <c r="X130" i="56"/>
  <c r="W130" i="56"/>
  <c r="V130" i="56"/>
  <c r="Y129" i="56"/>
  <c r="X129" i="56"/>
  <c r="W129" i="56"/>
  <c r="V129" i="56"/>
  <c r="Y128" i="56"/>
  <c r="X128" i="56"/>
  <c r="W128" i="56"/>
  <c r="V128" i="56"/>
  <c r="Y127" i="56"/>
  <c r="X127" i="56"/>
  <c r="W127" i="56"/>
  <c r="V127" i="56"/>
  <c r="Y126" i="56"/>
  <c r="X126" i="56"/>
  <c r="W126" i="56"/>
  <c r="V126" i="56"/>
  <c r="Y125" i="56"/>
  <c r="X125" i="56"/>
  <c r="W125" i="56"/>
  <c r="V125" i="56"/>
  <c r="Y124" i="56"/>
  <c r="X124" i="56"/>
  <c r="W124" i="56"/>
  <c r="V124" i="56"/>
  <c r="Y123" i="56"/>
  <c r="X123" i="56"/>
  <c r="W123" i="56"/>
  <c r="V123" i="56"/>
  <c r="Y122" i="56"/>
  <c r="X122" i="56"/>
  <c r="W122" i="56"/>
  <c r="V122" i="56"/>
  <c r="Y121" i="56"/>
  <c r="X121" i="56"/>
  <c r="W121" i="56"/>
  <c r="V121" i="56"/>
  <c r="Y120" i="56"/>
  <c r="X120" i="56"/>
  <c r="W120" i="56"/>
  <c r="V120" i="56"/>
  <c r="Y119" i="56"/>
  <c r="X119" i="56"/>
  <c r="W119" i="56"/>
  <c r="V119" i="56"/>
  <c r="Y118" i="56"/>
  <c r="X118" i="56"/>
  <c r="W118" i="56"/>
  <c r="V118" i="56"/>
  <c r="Y117" i="56"/>
  <c r="X117" i="56"/>
  <c r="W117" i="56"/>
  <c r="V117" i="56"/>
  <c r="Y116" i="56"/>
  <c r="X116" i="56"/>
  <c r="W116" i="56"/>
  <c r="V116" i="56"/>
  <c r="Y115" i="56"/>
  <c r="X115" i="56"/>
  <c r="W115" i="56"/>
  <c r="V115" i="56"/>
  <c r="Y114" i="56"/>
  <c r="X114" i="56"/>
  <c r="W114" i="56"/>
  <c r="V114" i="56"/>
  <c r="Y113" i="56"/>
  <c r="X113" i="56"/>
  <c r="W113" i="56"/>
  <c r="V113" i="56"/>
  <c r="Y112" i="56"/>
  <c r="X112" i="56"/>
  <c r="W112" i="56"/>
  <c r="V112" i="56"/>
  <c r="Y111" i="56"/>
  <c r="X111" i="56"/>
  <c r="W111" i="56"/>
  <c r="V111" i="56"/>
  <c r="Y110" i="56"/>
  <c r="X110" i="56"/>
  <c r="W110" i="56"/>
  <c r="V110" i="56"/>
  <c r="Y109" i="56"/>
  <c r="X109" i="56"/>
  <c r="W109" i="56"/>
  <c r="V109" i="56"/>
  <c r="Y108" i="56"/>
  <c r="X108" i="56"/>
  <c r="W108" i="56"/>
  <c r="V108" i="56"/>
  <c r="Y107" i="56"/>
  <c r="X107" i="56"/>
  <c r="W107" i="56"/>
  <c r="V107" i="56"/>
  <c r="Y106" i="56"/>
  <c r="X106" i="56"/>
  <c r="W106" i="56"/>
  <c r="V106" i="56"/>
  <c r="Y105" i="56"/>
  <c r="X105" i="56"/>
  <c r="W105" i="56"/>
  <c r="V105" i="56"/>
  <c r="Y104" i="56"/>
  <c r="X104" i="56"/>
  <c r="W104" i="56"/>
  <c r="V104" i="56"/>
  <c r="Y103" i="56"/>
  <c r="X103" i="56"/>
  <c r="W103" i="56"/>
  <c r="V103" i="56"/>
  <c r="Y102" i="56"/>
  <c r="X102" i="56"/>
  <c r="W102" i="56"/>
  <c r="V102" i="56"/>
  <c r="Y101" i="56"/>
  <c r="X101" i="56"/>
  <c r="W101" i="56"/>
  <c r="V101" i="56"/>
  <c r="Y100" i="56"/>
  <c r="X100" i="56"/>
  <c r="W100" i="56"/>
  <c r="V100" i="56"/>
  <c r="Y99" i="56"/>
  <c r="X99" i="56"/>
  <c r="W99" i="56"/>
  <c r="V99" i="56"/>
  <c r="Y98" i="56"/>
  <c r="X98" i="56"/>
  <c r="W98" i="56"/>
  <c r="V98" i="56"/>
  <c r="Y97" i="56"/>
  <c r="X97" i="56"/>
  <c r="W97" i="56"/>
  <c r="V97" i="56"/>
  <c r="Y96" i="56"/>
  <c r="X96" i="56"/>
  <c r="W96" i="56"/>
  <c r="V96" i="56"/>
  <c r="Y95" i="56"/>
  <c r="X95" i="56"/>
  <c r="W95" i="56"/>
  <c r="V95" i="56"/>
  <c r="Y94" i="56"/>
  <c r="X94" i="56"/>
  <c r="W94" i="56"/>
  <c r="V94" i="56"/>
  <c r="Y93" i="56"/>
  <c r="X93" i="56"/>
  <c r="W93" i="56"/>
  <c r="V93" i="56"/>
  <c r="Y92" i="56"/>
  <c r="X92" i="56"/>
  <c r="W92" i="56"/>
  <c r="V92" i="56"/>
  <c r="Y91" i="56"/>
  <c r="X91" i="56"/>
  <c r="W91" i="56"/>
  <c r="V91" i="56"/>
  <c r="Y90" i="56"/>
  <c r="X90" i="56"/>
  <c r="W90" i="56"/>
  <c r="V90" i="56"/>
  <c r="Y89" i="56"/>
  <c r="X89" i="56"/>
  <c r="W89" i="56"/>
  <c r="V89" i="56"/>
  <c r="Y88" i="56"/>
  <c r="X88" i="56"/>
  <c r="W88" i="56"/>
  <c r="V88" i="56"/>
  <c r="Y87" i="56"/>
  <c r="X87" i="56"/>
  <c r="W87" i="56"/>
  <c r="V87" i="56"/>
  <c r="Y86" i="56"/>
  <c r="X86" i="56"/>
  <c r="W86" i="56"/>
  <c r="V86" i="56"/>
  <c r="Y85" i="56"/>
  <c r="X85" i="56"/>
  <c r="W85" i="56"/>
  <c r="V85" i="56"/>
  <c r="Y84" i="56"/>
  <c r="X84" i="56"/>
  <c r="W84" i="56"/>
  <c r="V84" i="56"/>
  <c r="Y83" i="56"/>
  <c r="X83" i="56"/>
  <c r="W83" i="56"/>
  <c r="V83" i="56"/>
  <c r="Y82" i="56"/>
  <c r="X82" i="56"/>
  <c r="W82" i="56"/>
  <c r="V82" i="56"/>
  <c r="Y81" i="56"/>
  <c r="X81" i="56"/>
  <c r="W81" i="56"/>
  <c r="V81" i="56"/>
  <c r="Y80" i="56"/>
  <c r="X80" i="56"/>
  <c r="W80" i="56"/>
  <c r="V80" i="56"/>
  <c r="Y79" i="56"/>
  <c r="X79" i="56"/>
  <c r="W79" i="56"/>
  <c r="V79" i="56"/>
  <c r="Y78" i="56"/>
  <c r="X78" i="56"/>
  <c r="W78" i="56"/>
  <c r="V78" i="56"/>
  <c r="Y77" i="56"/>
  <c r="X77" i="56"/>
  <c r="W77" i="56"/>
  <c r="V77" i="56"/>
  <c r="Y76" i="56"/>
  <c r="X76" i="56"/>
  <c r="W76" i="56"/>
  <c r="V76" i="56"/>
  <c r="Y75" i="56"/>
  <c r="X75" i="56"/>
  <c r="W75" i="56"/>
  <c r="V75" i="56"/>
  <c r="Y74" i="56"/>
  <c r="X74" i="56"/>
  <c r="W74" i="56"/>
  <c r="V74" i="56"/>
  <c r="Y73" i="56"/>
  <c r="X73" i="56"/>
  <c r="W73" i="56"/>
  <c r="V73" i="56"/>
  <c r="Y72" i="56"/>
  <c r="X72" i="56"/>
  <c r="W72" i="56"/>
  <c r="V72" i="56"/>
  <c r="Y71" i="56"/>
  <c r="X71" i="56"/>
  <c r="W71" i="56"/>
  <c r="V71" i="56"/>
  <c r="Y70" i="56"/>
  <c r="X70" i="56"/>
  <c r="W70" i="56"/>
  <c r="V70" i="56"/>
  <c r="Y69" i="56"/>
  <c r="X69" i="56"/>
  <c r="W69" i="56"/>
  <c r="V69" i="56"/>
  <c r="Y68" i="56"/>
  <c r="X68" i="56"/>
  <c r="W68" i="56"/>
  <c r="V68" i="56"/>
  <c r="Y67" i="56"/>
  <c r="X67" i="56"/>
  <c r="W67" i="56"/>
  <c r="V67" i="56"/>
  <c r="Y66" i="56"/>
  <c r="X66" i="56"/>
  <c r="W66" i="56"/>
  <c r="V66" i="56"/>
  <c r="Y65" i="56"/>
  <c r="X65" i="56"/>
  <c r="W65" i="56"/>
  <c r="V65" i="56"/>
  <c r="Y64" i="56"/>
  <c r="X64" i="56"/>
  <c r="W64" i="56"/>
  <c r="V64" i="56"/>
  <c r="Y63" i="56"/>
  <c r="X63" i="56"/>
  <c r="W63" i="56"/>
  <c r="V63" i="56"/>
  <c r="Y62" i="56"/>
  <c r="X62" i="56"/>
  <c r="W62" i="56"/>
  <c r="V62" i="56"/>
  <c r="Y61" i="56"/>
  <c r="X61" i="56"/>
  <c r="W61" i="56"/>
  <c r="V61" i="56"/>
  <c r="Y60" i="56"/>
  <c r="X60" i="56"/>
  <c r="W60" i="56"/>
  <c r="V60" i="56"/>
  <c r="Y59" i="56"/>
  <c r="X59" i="56"/>
  <c r="W59" i="56"/>
  <c r="V59" i="56"/>
  <c r="Y58" i="56"/>
  <c r="X58" i="56"/>
  <c r="W58" i="56"/>
  <c r="V58" i="56"/>
  <c r="Y57" i="56"/>
  <c r="X57" i="56"/>
  <c r="W57" i="56"/>
  <c r="V57" i="56"/>
  <c r="Y56" i="56"/>
  <c r="X56" i="56"/>
  <c r="W56" i="56"/>
  <c r="V56" i="56"/>
  <c r="Y55" i="56"/>
  <c r="X55" i="56"/>
  <c r="W55" i="56"/>
  <c r="V55" i="56"/>
  <c r="Y54" i="56"/>
  <c r="X54" i="56"/>
  <c r="W54" i="56"/>
  <c r="V54" i="56"/>
  <c r="Y53" i="56"/>
  <c r="X53" i="56"/>
  <c r="W53" i="56"/>
  <c r="V53" i="56"/>
  <c r="Y52" i="56"/>
  <c r="X52" i="56"/>
  <c r="W52" i="56"/>
  <c r="V52" i="56"/>
  <c r="Y51" i="56"/>
  <c r="X51" i="56"/>
  <c r="W51" i="56"/>
  <c r="V51" i="56"/>
  <c r="Y50" i="56"/>
  <c r="X50" i="56"/>
  <c r="W50" i="56"/>
  <c r="V50" i="56"/>
  <c r="Y49" i="56"/>
  <c r="X49" i="56"/>
  <c r="W49" i="56"/>
  <c r="V49" i="56"/>
  <c r="Y48" i="56"/>
  <c r="X48" i="56"/>
  <c r="W48" i="56"/>
  <c r="V48" i="56"/>
  <c r="Y47" i="56"/>
  <c r="X47" i="56"/>
  <c r="W47" i="56"/>
  <c r="V47" i="56"/>
  <c r="Y46" i="56"/>
  <c r="X46" i="56"/>
  <c r="W46" i="56"/>
  <c r="V46" i="56"/>
  <c r="Y45" i="56"/>
  <c r="X45" i="56"/>
  <c r="W45" i="56"/>
  <c r="V45" i="56"/>
  <c r="Y44" i="56"/>
  <c r="X44" i="56"/>
  <c r="W44" i="56"/>
  <c r="V44" i="56"/>
  <c r="Y43" i="56"/>
  <c r="X43" i="56"/>
  <c r="W43" i="56"/>
  <c r="V43" i="56"/>
  <c r="Y42" i="56"/>
  <c r="X42" i="56"/>
  <c r="W42" i="56"/>
  <c r="V42" i="56"/>
  <c r="Y41" i="56"/>
  <c r="X41" i="56"/>
  <c r="W41" i="56"/>
  <c r="V41" i="56"/>
  <c r="Y40" i="56"/>
  <c r="X40" i="56"/>
  <c r="W40" i="56"/>
  <c r="V40" i="56"/>
  <c r="Y39" i="56"/>
  <c r="X39" i="56"/>
  <c r="W39" i="56"/>
  <c r="V39" i="56"/>
  <c r="Y38" i="56"/>
  <c r="X38" i="56"/>
  <c r="W38" i="56"/>
  <c r="V38" i="56"/>
  <c r="Y37" i="56"/>
  <c r="X37" i="56"/>
  <c r="W37" i="56"/>
  <c r="V37" i="56"/>
  <c r="Y36" i="56"/>
  <c r="X36" i="56"/>
  <c r="W36" i="56"/>
  <c r="V36" i="56"/>
  <c r="Y35" i="56"/>
  <c r="X35" i="56"/>
  <c r="W35" i="56"/>
  <c r="V35" i="56"/>
  <c r="Y34" i="56"/>
  <c r="X34" i="56"/>
  <c r="W34" i="56"/>
  <c r="V34" i="56"/>
  <c r="Y33" i="56"/>
  <c r="X33" i="56"/>
  <c r="W33" i="56"/>
  <c r="V33" i="56"/>
  <c r="Y32" i="56"/>
  <c r="X32" i="56"/>
  <c r="W32" i="56"/>
  <c r="V32" i="56"/>
  <c r="Y31" i="56"/>
  <c r="X31" i="56"/>
  <c r="W31" i="56"/>
  <c r="V31" i="56"/>
  <c r="Y30" i="56"/>
  <c r="X30" i="56"/>
  <c r="W30" i="56"/>
  <c r="V30" i="56"/>
  <c r="Y29" i="56"/>
  <c r="X29" i="56"/>
  <c r="W29" i="56"/>
  <c r="V29" i="56"/>
  <c r="Y28" i="56"/>
  <c r="X28" i="56"/>
  <c r="W28" i="56"/>
  <c r="V28" i="56"/>
  <c r="Y27" i="56"/>
  <c r="X27" i="56"/>
  <c r="W27" i="56"/>
  <c r="V27" i="56"/>
  <c r="Y26" i="56"/>
  <c r="X26" i="56"/>
  <c r="W26" i="56"/>
  <c r="V26" i="56"/>
  <c r="Y25" i="56"/>
  <c r="X25" i="56"/>
  <c r="W25" i="56"/>
  <c r="V25" i="56"/>
  <c r="Y24" i="56"/>
  <c r="X24" i="56"/>
  <c r="W24" i="56"/>
  <c r="V24" i="56"/>
  <c r="Y23" i="56"/>
  <c r="X23" i="56"/>
  <c r="W23" i="56"/>
  <c r="V23" i="56"/>
  <c r="Y22" i="56"/>
  <c r="X22" i="56"/>
  <c r="W22" i="56"/>
  <c r="V22" i="56"/>
  <c r="Y21" i="56"/>
  <c r="X21" i="56"/>
  <c r="W21" i="56"/>
  <c r="V21" i="56"/>
  <c r="Y20" i="56"/>
  <c r="X20" i="56"/>
  <c r="W20" i="56"/>
  <c r="V20" i="56"/>
  <c r="Y19" i="56"/>
  <c r="X19" i="56"/>
  <c r="W19" i="56"/>
  <c r="V19" i="56"/>
  <c r="Y18" i="56"/>
  <c r="X18" i="56"/>
  <c r="W18" i="56"/>
  <c r="V18" i="56"/>
  <c r="Y17" i="56"/>
  <c r="X17" i="56"/>
  <c r="W17" i="56"/>
  <c r="V17" i="56"/>
  <c r="Y16" i="56"/>
  <c r="X16" i="56"/>
  <c r="W16" i="56"/>
  <c r="V16" i="56"/>
  <c r="Y15" i="56"/>
  <c r="X15" i="56"/>
  <c r="W15" i="56"/>
  <c r="Z307" i="47"/>
  <c r="Y307" i="47"/>
  <c r="X307" i="47"/>
  <c r="W307" i="47"/>
  <c r="V307" i="47"/>
  <c r="Z306" i="47"/>
  <c r="Y306" i="47"/>
  <c r="X306" i="47"/>
  <c r="W306" i="47"/>
  <c r="V306" i="47"/>
  <c r="Z305" i="47"/>
  <c r="Y305" i="47"/>
  <c r="X305" i="47"/>
  <c r="W305" i="47"/>
  <c r="V305" i="47"/>
  <c r="Z304" i="47"/>
  <c r="Y304" i="47"/>
  <c r="X304" i="47"/>
  <c r="W304" i="47"/>
  <c r="V304" i="47"/>
  <c r="Z303" i="47"/>
  <c r="Y303" i="47"/>
  <c r="X303" i="47"/>
  <c r="W303" i="47"/>
  <c r="V303" i="47"/>
  <c r="Z302" i="47"/>
  <c r="Y302" i="47"/>
  <c r="X302" i="47"/>
  <c r="W302" i="47"/>
  <c r="V302" i="47"/>
  <c r="Z301" i="47"/>
  <c r="Y301" i="47"/>
  <c r="X301" i="47"/>
  <c r="W301" i="47"/>
  <c r="V301" i="47"/>
  <c r="Z300" i="47"/>
  <c r="Y300" i="47"/>
  <c r="X300" i="47"/>
  <c r="W300" i="47"/>
  <c r="V300" i="47"/>
  <c r="Z299" i="47"/>
  <c r="Y299" i="47"/>
  <c r="X299" i="47"/>
  <c r="W299" i="47"/>
  <c r="V299" i="47"/>
  <c r="Z298" i="47"/>
  <c r="Y298" i="47"/>
  <c r="X298" i="47"/>
  <c r="W298" i="47"/>
  <c r="V298" i="47"/>
  <c r="Z297" i="47"/>
  <c r="Y297" i="47"/>
  <c r="X297" i="47"/>
  <c r="W297" i="47"/>
  <c r="V297" i="47"/>
  <c r="Z296" i="47"/>
  <c r="Y296" i="47"/>
  <c r="X296" i="47"/>
  <c r="W296" i="47"/>
  <c r="V296" i="47"/>
  <c r="Z295" i="47"/>
  <c r="Y295" i="47"/>
  <c r="X295" i="47"/>
  <c r="W295" i="47"/>
  <c r="V295" i="47"/>
  <c r="Z294" i="47"/>
  <c r="Y294" i="47"/>
  <c r="X294" i="47"/>
  <c r="W294" i="47"/>
  <c r="V294" i="47"/>
  <c r="Z293" i="47"/>
  <c r="Y293" i="47"/>
  <c r="X293" i="47"/>
  <c r="W293" i="47"/>
  <c r="V293" i="47"/>
  <c r="Z292" i="47"/>
  <c r="Y292" i="47"/>
  <c r="X292" i="47"/>
  <c r="W292" i="47"/>
  <c r="V292" i="47"/>
  <c r="Z291" i="47"/>
  <c r="Y291" i="47"/>
  <c r="X291" i="47"/>
  <c r="W291" i="47"/>
  <c r="V291" i="47"/>
  <c r="Z290" i="47"/>
  <c r="Y290" i="47"/>
  <c r="X290" i="47"/>
  <c r="W290" i="47"/>
  <c r="V290" i="47"/>
  <c r="Z289" i="47"/>
  <c r="Y289" i="47"/>
  <c r="X289" i="47"/>
  <c r="W289" i="47"/>
  <c r="V289" i="47"/>
  <c r="Z288" i="47"/>
  <c r="Y288" i="47"/>
  <c r="X288" i="47"/>
  <c r="W288" i="47"/>
  <c r="V288" i="47"/>
  <c r="Z287" i="47"/>
  <c r="Y287" i="47"/>
  <c r="X287" i="47"/>
  <c r="W287" i="47"/>
  <c r="V287" i="47"/>
  <c r="Z286" i="47"/>
  <c r="Y286" i="47"/>
  <c r="X286" i="47"/>
  <c r="W286" i="47"/>
  <c r="V286" i="47"/>
  <c r="Z285" i="47"/>
  <c r="Y285" i="47"/>
  <c r="X285" i="47"/>
  <c r="W285" i="47"/>
  <c r="V285" i="47"/>
  <c r="Z284" i="47"/>
  <c r="Y284" i="47"/>
  <c r="X284" i="47"/>
  <c r="W284" i="47"/>
  <c r="V284" i="47"/>
  <c r="Z283" i="47"/>
  <c r="Y283" i="47"/>
  <c r="X283" i="47"/>
  <c r="W283" i="47"/>
  <c r="V283" i="47"/>
  <c r="Z282" i="47"/>
  <c r="Y282" i="47"/>
  <c r="X282" i="47"/>
  <c r="W282" i="47"/>
  <c r="V282" i="47"/>
  <c r="Z281" i="47"/>
  <c r="Y281" i="47"/>
  <c r="X281" i="47"/>
  <c r="W281" i="47"/>
  <c r="V281" i="47"/>
  <c r="Z280" i="47"/>
  <c r="Y280" i="47"/>
  <c r="X280" i="47"/>
  <c r="W280" i="47"/>
  <c r="V280" i="47"/>
  <c r="Z279" i="47"/>
  <c r="Y279" i="47"/>
  <c r="X279" i="47"/>
  <c r="W279" i="47"/>
  <c r="V279" i="47"/>
  <c r="Z278" i="47"/>
  <c r="Y278" i="47"/>
  <c r="X278" i="47"/>
  <c r="W278" i="47"/>
  <c r="V278" i="47"/>
  <c r="Z277" i="47"/>
  <c r="Y277" i="47"/>
  <c r="X277" i="47"/>
  <c r="W277" i="47"/>
  <c r="V277" i="47"/>
  <c r="Z276" i="47"/>
  <c r="Y276" i="47"/>
  <c r="X276" i="47"/>
  <c r="W276" i="47"/>
  <c r="V276" i="47"/>
  <c r="Z275" i="47"/>
  <c r="Y275" i="47"/>
  <c r="X275" i="47"/>
  <c r="W275" i="47"/>
  <c r="V275" i="47"/>
  <c r="Z274" i="47"/>
  <c r="Y274" i="47"/>
  <c r="X274" i="47"/>
  <c r="W274" i="47"/>
  <c r="V274" i="47"/>
  <c r="Z273" i="47"/>
  <c r="Y273" i="47"/>
  <c r="X273" i="47"/>
  <c r="W273" i="47"/>
  <c r="V273" i="47"/>
  <c r="Z272" i="47"/>
  <c r="Y272" i="47"/>
  <c r="X272" i="47"/>
  <c r="W272" i="47"/>
  <c r="V272" i="47"/>
  <c r="Z271" i="47"/>
  <c r="Y271" i="47"/>
  <c r="X271" i="47"/>
  <c r="W271" i="47"/>
  <c r="V271" i="47"/>
  <c r="Z270" i="47"/>
  <c r="Y270" i="47"/>
  <c r="X270" i="47"/>
  <c r="W270" i="47"/>
  <c r="V270" i="47"/>
  <c r="Z269" i="47"/>
  <c r="Y269" i="47"/>
  <c r="X269" i="47"/>
  <c r="W269" i="47"/>
  <c r="V269" i="47"/>
  <c r="Z268" i="47"/>
  <c r="Y268" i="47"/>
  <c r="X268" i="47"/>
  <c r="W268" i="47"/>
  <c r="V268" i="47"/>
  <c r="Z267" i="47"/>
  <c r="Y267" i="47"/>
  <c r="X267" i="47"/>
  <c r="W267" i="47"/>
  <c r="V267" i="47"/>
  <c r="Z266" i="47"/>
  <c r="Y266" i="47"/>
  <c r="X266" i="47"/>
  <c r="W266" i="47"/>
  <c r="V266" i="47"/>
  <c r="Z265" i="47"/>
  <c r="Y265" i="47"/>
  <c r="X265" i="47"/>
  <c r="W265" i="47"/>
  <c r="V265" i="47"/>
  <c r="Z264" i="47"/>
  <c r="Y264" i="47"/>
  <c r="X264" i="47"/>
  <c r="W264" i="47"/>
  <c r="V264" i="47"/>
  <c r="Z263" i="47"/>
  <c r="Y263" i="47"/>
  <c r="X263" i="47"/>
  <c r="W263" i="47"/>
  <c r="V263" i="47"/>
  <c r="Z262" i="47"/>
  <c r="Y262" i="47"/>
  <c r="X262" i="47"/>
  <c r="W262" i="47"/>
  <c r="V262" i="47"/>
  <c r="Z261" i="47"/>
  <c r="Y261" i="47"/>
  <c r="X261" i="47"/>
  <c r="W261" i="47"/>
  <c r="V261" i="47"/>
  <c r="Z260" i="47"/>
  <c r="Y260" i="47"/>
  <c r="X260" i="47"/>
  <c r="W260" i="47"/>
  <c r="V260" i="47"/>
  <c r="Z259" i="47"/>
  <c r="Y259" i="47"/>
  <c r="X259" i="47"/>
  <c r="W259" i="47"/>
  <c r="V259" i="47"/>
  <c r="Z258" i="47"/>
  <c r="Y258" i="47"/>
  <c r="X258" i="47"/>
  <c r="W258" i="47"/>
  <c r="V258" i="47"/>
  <c r="Z257" i="47"/>
  <c r="Y257" i="47"/>
  <c r="X257" i="47"/>
  <c r="W257" i="47"/>
  <c r="V257" i="47"/>
  <c r="Z256" i="47"/>
  <c r="Y256" i="47"/>
  <c r="X256" i="47"/>
  <c r="W256" i="47"/>
  <c r="V256" i="47"/>
  <c r="Z255" i="47"/>
  <c r="Y255" i="47"/>
  <c r="X255" i="47"/>
  <c r="W255" i="47"/>
  <c r="V255" i="47"/>
  <c r="Z254" i="47"/>
  <c r="Y254" i="47"/>
  <c r="X254" i="47"/>
  <c r="W254" i="47"/>
  <c r="V254" i="47"/>
  <c r="Z253" i="47"/>
  <c r="Y253" i="47"/>
  <c r="X253" i="47"/>
  <c r="W253" i="47"/>
  <c r="V253" i="47"/>
  <c r="Z252" i="47"/>
  <c r="Y252" i="47"/>
  <c r="X252" i="47"/>
  <c r="W252" i="47"/>
  <c r="V252" i="47"/>
  <c r="Z251" i="47"/>
  <c r="Y251" i="47"/>
  <c r="X251" i="47"/>
  <c r="W251" i="47"/>
  <c r="V251" i="47"/>
  <c r="Z250" i="47"/>
  <c r="Y250" i="47"/>
  <c r="X250" i="47"/>
  <c r="W250" i="47"/>
  <c r="V250" i="47"/>
  <c r="Z249" i="47"/>
  <c r="Y249" i="47"/>
  <c r="X249" i="47"/>
  <c r="W249" i="47"/>
  <c r="V249" i="47"/>
  <c r="Z248" i="47"/>
  <c r="Y248" i="47"/>
  <c r="X248" i="47"/>
  <c r="W248" i="47"/>
  <c r="V248" i="47"/>
  <c r="Z247" i="47"/>
  <c r="Y247" i="47"/>
  <c r="X247" i="47"/>
  <c r="W247" i="47"/>
  <c r="V247" i="47"/>
  <c r="Z246" i="47"/>
  <c r="Y246" i="47"/>
  <c r="X246" i="47"/>
  <c r="W246" i="47"/>
  <c r="V246" i="47"/>
  <c r="Z245" i="47"/>
  <c r="Y245" i="47"/>
  <c r="X245" i="47"/>
  <c r="W245" i="47"/>
  <c r="V245" i="47"/>
  <c r="Z244" i="47"/>
  <c r="Y244" i="47"/>
  <c r="X244" i="47"/>
  <c r="W244" i="47"/>
  <c r="V244" i="47"/>
  <c r="Z243" i="47"/>
  <c r="Y243" i="47"/>
  <c r="X243" i="47"/>
  <c r="W243" i="47"/>
  <c r="V243" i="47"/>
  <c r="Z242" i="47"/>
  <c r="Y242" i="47"/>
  <c r="X242" i="47"/>
  <c r="W242" i="47"/>
  <c r="V242" i="47"/>
  <c r="Z241" i="47"/>
  <c r="Y241" i="47"/>
  <c r="X241" i="47"/>
  <c r="W241" i="47"/>
  <c r="V241" i="47"/>
  <c r="Z240" i="47"/>
  <c r="Y240" i="47"/>
  <c r="X240" i="47"/>
  <c r="W240" i="47"/>
  <c r="V240" i="47"/>
  <c r="Z239" i="47"/>
  <c r="Y239" i="47"/>
  <c r="X239" i="47"/>
  <c r="W239" i="47"/>
  <c r="V239" i="47"/>
  <c r="Z238" i="47"/>
  <c r="Y238" i="47"/>
  <c r="X238" i="47"/>
  <c r="W238" i="47"/>
  <c r="V238" i="47"/>
  <c r="Z237" i="47"/>
  <c r="Y237" i="47"/>
  <c r="X237" i="47"/>
  <c r="W237" i="47"/>
  <c r="V237" i="47"/>
  <c r="Z236" i="47"/>
  <c r="Y236" i="47"/>
  <c r="X236" i="47"/>
  <c r="W236" i="47"/>
  <c r="V236" i="47"/>
  <c r="Z235" i="47"/>
  <c r="Y235" i="47"/>
  <c r="X235" i="47"/>
  <c r="W235" i="47"/>
  <c r="V235" i="47"/>
  <c r="Z234" i="47"/>
  <c r="Y234" i="47"/>
  <c r="X234" i="47"/>
  <c r="W234" i="47"/>
  <c r="V234" i="47"/>
  <c r="Z233" i="47"/>
  <c r="Y233" i="47"/>
  <c r="X233" i="47"/>
  <c r="W233" i="47"/>
  <c r="V233" i="47"/>
  <c r="Z232" i="47"/>
  <c r="Y232" i="47"/>
  <c r="X232" i="47"/>
  <c r="W232" i="47"/>
  <c r="V232" i="47"/>
  <c r="Z231" i="47"/>
  <c r="Y231" i="47"/>
  <c r="X231" i="47"/>
  <c r="W231" i="47"/>
  <c r="V231" i="47"/>
  <c r="Z230" i="47"/>
  <c r="Y230" i="47"/>
  <c r="X230" i="47"/>
  <c r="W230" i="47"/>
  <c r="V230" i="47"/>
  <c r="Z229" i="47"/>
  <c r="Y229" i="47"/>
  <c r="X229" i="47"/>
  <c r="W229" i="47"/>
  <c r="V229" i="47"/>
  <c r="Z228" i="47"/>
  <c r="Y228" i="47"/>
  <c r="X228" i="47"/>
  <c r="W228" i="47"/>
  <c r="V228" i="47"/>
  <c r="Z227" i="47"/>
  <c r="Y227" i="47"/>
  <c r="X227" i="47"/>
  <c r="W227" i="47"/>
  <c r="V227" i="47"/>
  <c r="Z226" i="47"/>
  <c r="Y226" i="47"/>
  <c r="X226" i="47"/>
  <c r="W226" i="47"/>
  <c r="V226" i="47"/>
  <c r="Z225" i="47"/>
  <c r="Y225" i="47"/>
  <c r="X225" i="47"/>
  <c r="W225" i="47"/>
  <c r="V225" i="47"/>
  <c r="Z224" i="47"/>
  <c r="Y224" i="47"/>
  <c r="X224" i="47"/>
  <c r="W224" i="47"/>
  <c r="V224" i="47"/>
  <c r="Z223" i="47"/>
  <c r="Y223" i="47"/>
  <c r="X223" i="47"/>
  <c r="W223" i="47"/>
  <c r="V223" i="47"/>
  <c r="Z222" i="47"/>
  <c r="Y222" i="47"/>
  <c r="X222" i="47"/>
  <c r="W222" i="47"/>
  <c r="V222" i="47"/>
  <c r="Z221" i="47"/>
  <c r="Y221" i="47"/>
  <c r="X221" i="47"/>
  <c r="W221" i="47"/>
  <c r="V221" i="47"/>
  <c r="Z220" i="47"/>
  <c r="Y220" i="47"/>
  <c r="X220" i="47"/>
  <c r="W220" i="47"/>
  <c r="V220" i="47"/>
  <c r="Z219" i="47"/>
  <c r="Y219" i="47"/>
  <c r="X219" i="47"/>
  <c r="W219" i="47"/>
  <c r="V219" i="47"/>
  <c r="Z218" i="47"/>
  <c r="Y218" i="47"/>
  <c r="X218" i="47"/>
  <c r="W218" i="47"/>
  <c r="V218" i="47"/>
  <c r="Z217" i="47"/>
  <c r="Y217" i="47"/>
  <c r="X217" i="47"/>
  <c r="W217" i="47"/>
  <c r="V217" i="47"/>
  <c r="Z216" i="47"/>
  <c r="Y216" i="47"/>
  <c r="X216" i="47"/>
  <c r="W216" i="47"/>
  <c r="V216" i="47"/>
  <c r="Z215" i="47"/>
  <c r="Y215" i="47"/>
  <c r="X215" i="47"/>
  <c r="W215" i="47"/>
  <c r="V215" i="47"/>
  <c r="Z214" i="47"/>
  <c r="Y214" i="47"/>
  <c r="X214" i="47"/>
  <c r="W214" i="47"/>
  <c r="V214" i="47"/>
  <c r="Z213" i="47"/>
  <c r="Y213" i="47"/>
  <c r="X213" i="47"/>
  <c r="W213" i="47"/>
  <c r="V213" i="47"/>
  <c r="Z212" i="47"/>
  <c r="Y212" i="47"/>
  <c r="X212" i="47"/>
  <c r="W212" i="47"/>
  <c r="V212" i="47"/>
  <c r="Z211" i="47"/>
  <c r="Y211" i="47"/>
  <c r="X211" i="47"/>
  <c r="W211" i="47"/>
  <c r="V211" i="47"/>
  <c r="Z210" i="47"/>
  <c r="Y210" i="47"/>
  <c r="X210" i="47"/>
  <c r="W210" i="47"/>
  <c r="V210" i="47"/>
  <c r="Z209" i="47"/>
  <c r="Y209" i="47"/>
  <c r="X209" i="47"/>
  <c r="W209" i="47"/>
  <c r="V209" i="47"/>
  <c r="Z208" i="47"/>
  <c r="Y208" i="47"/>
  <c r="X208" i="47"/>
  <c r="W208" i="47"/>
  <c r="V208" i="47"/>
  <c r="Z207" i="47"/>
  <c r="Y207" i="47"/>
  <c r="X207" i="47"/>
  <c r="W207" i="47"/>
  <c r="V207" i="47"/>
  <c r="Z206" i="47"/>
  <c r="Y206" i="47"/>
  <c r="X206" i="47"/>
  <c r="W206" i="47"/>
  <c r="V206" i="47"/>
  <c r="Z205" i="47"/>
  <c r="Y205" i="47"/>
  <c r="X205" i="47"/>
  <c r="W205" i="47"/>
  <c r="V205" i="47"/>
  <c r="Z204" i="47"/>
  <c r="Y204" i="47"/>
  <c r="X204" i="47"/>
  <c r="W204" i="47"/>
  <c r="V204" i="47"/>
  <c r="Z203" i="47"/>
  <c r="Y203" i="47"/>
  <c r="X203" i="47"/>
  <c r="W203" i="47"/>
  <c r="V203" i="47"/>
  <c r="Z202" i="47"/>
  <c r="Y202" i="47"/>
  <c r="X202" i="47"/>
  <c r="W202" i="47"/>
  <c r="V202" i="47"/>
  <c r="Z201" i="47"/>
  <c r="Y201" i="47"/>
  <c r="X201" i="47"/>
  <c r="W201" i="47"/>
  <c r="V201" i="47"/>
  <c r="Z200" i="47"/>
  <c r="Y200" i="47"/>
  <c r="X200" i="47"/>
  <c r="W200" i="47"/>
  <c r="V200" i="47"/>
  <c r="Z199" i="47"/>
  <c r="Y199" i="47"/>
  <c r="X199" i="47"/>
  <c r="W199" i="47"/>
  <c r="V199" i="47"/>
  <c r="Z198" i="47"/>
  <c r="Y198" i="47"/>
  <c r="X198" i="47"/>
  <c r="W198" i="47"/>
  <c r="V198" i="47"/>
  <c r="Z197" i="47"/>
  <c r="Y197" i="47"/>
  <c r="X197" i="47"/>
  <c r="W197" i="47"/>
  <c r="V197" i="47"/>
  <c r="Z196" i="47"/>
  <c r="Y196" i="47"/>
  <c r="X196" i="47"/>
  <c r="W196" i="47"/>
  <c r="V196" i="47"/>
  <c r="Z195" i="47"/>
  <c r="Y195" i="47"/>
  <c r="X195" i="47"/>
  <c r="W195" i="47"/>
  <c r="V195" i="47"/>
  <c r="Z194" i="47"/>
  <c r="Y194" i="47"/>
  <c r="X194" i="47"/>
  <c r="W194" i="47"/>
  <c r="V194" i="47"/>
  <c r="Z193" i="47"/>
  <c r="Y193" i="47"/>
  <c r="X193" i="47"/>
  <c r="W193" i="47"/>
  <c r="V193" i="47"/>
  <c r="Z192" i="47"/>
  <c r="Y192" i="47"/>
  <c r="X192" i="47"/>
  <c r="W192" i="47"/>
  <c r="V192" i="47"/>
  <c r="Z191" i="47"/>
  <c r="Y191" i="47"/>
  <c r="X191" i="47"/>
  <c r="W191" i="47"/>
  <c r="V191" i="47"/>
  <c r="Z190" i="47"/>
  <c r="Y190" i="47"/>
  <c r="X190" i="47"/>
  <c r="W190" i="47"/>
  <c r="V190" i="47"/>
  <c r="Z189" i="47"/>
  <c r="Y189" i="47"/>
  <c r="X189" i="47"/>
  <c r="W189" i="47"/>
  <c r="V189" i="47"/>
  <c r="Z188" i="47"/>
  <c r="Y188" i="47"/>
  <c r="X188" i="47"/>
  <c r="W188" i="47"/>
  <c r="V188" i="47"/>
  <c r="Z187" i="47"/>
  <c r="Y187" i="47"/>
  <c r="X187" i="47"/>
  <c r="W187" i="47"/>
  <c r="V187" i="47"/>
  <c r="Z186" i="47"/>
  <c r="Y186" i="47"/>
  <c r="X186" i="47"/>
  <c r="W186" i="47"/>
  <c r="V186" i="47"/>
  <c r="Z185" i="47"/>
  <c r="Y185" i="47"/>
  <c r="X185" i="47"/>
  <c r="W185" i="47"/>
  <c r="V185" i="47"/>
  <c r="Z184" i="47"/>
  <c r="Y184" i="47"/>
  <c r="X184" i="47"/>
  <c r="W184" i="47"/>
  <c r="V184" i="47"/>
  <c r="Z183" i="47"/>
  <c r="Y183" i="47"/>
  <c r="X183" i="47"/>
  <c r="W183" i="47"/>
  <c r="V183" i="47"/>
  <c r="Z182" i="47"/>
  <c r="Y182" i="47"/>
  <c r="X182" i="47"/>
  <c r="W182" i="47"/>
  <c r="V182" i="47"/>
  <c r="Z181" i="47"/>
  <c r="Y181" i="47"/>
  <c r="X181" i="47"/>
  <c r="W181" i="47"/>
  <c r="V181" i="47"/>
  <c r="Z180" i="47"/>
  <c r="Y180" i="47"/>
  <c r="X180" i="47"/>
  <c r="W180" i="47"/>
  <c r="V180" i="47"/>
  <c r="Z179" i="47"/>
  <c r="Y179" i="47"/>
  <c r="X179" i="47"/>
  <c r="W179" i="47"/>
  <c r="V179" i="47"/>
  <c r="Z178" i="47"/>
  <c r="Y178" i="47"/>
  <c r="X178" i="47"/>
  <c r="W178" i="47"/>
  <c r="V178" i="47"/>
  <c r="Z177" i="47"/>
  <c r="Y177" i="47"/>
  <c r="X177" i="47"/>
  <c r="W177" i="47"/>
  <c r="V177" i="47"/>
  <c r="Z176" i="47"/>
  <c r="Y176" i="47"/>
  <c r="X176" i="47"/>
  <c r="W176" i="47"/>
  <c r="V176" i="47"/>
  <c r="Z175" i="47"/>
  <c r="Y175" i="47"/>
  <c r="X175" i="47"/>
  <c r="W175" i="47"/>
  <c r="V175" i="47"/>
  <c r="Z174" i="47"/>
  <c r="Y174" i="47"/>
  <c r="X174" i="47"/>
  <c r="W174" i="47"/>
  <c r="V174" i="47"/>
  <c r="Z173" i="47"/>
  <c r="Y173" i="47"/>
  <c r="X173" i="47"/>
  <c r="W173" i="47"/>
  <c r="V173" i="47"/>
  <c r="Z172" i="47"/>
  <c r="AQ172" i="47" s="1"/>
  <c r="Y172" i="47"/>
  <c r="X172" i="47"/>
  <c r="W172" i="47"/>
  <c r="V172" i="47"/>
  <c r="Z171" i="47"/>
  <c r="Y171" i="47"/>
  <c r="X171" i="47"/>
  <c r="W171" i="47"/>
  <c r="AN171" i="47" s="1"/>
  <c r="V171" i="47"/>
  <c r="Z170" i="47"/>
  <c r="Y170" i="47"/>
  <c r="X170" i="47"/>
  <c r="W170" i="47"/>
  <c r="V170" i="47"/>
  <c r="Z169" i="47"/>
  <c r="Y169" i="47"/>
  <c r="AP169" i="47" s="1"/>
  <c r="X169" i="47"/>
  <c r="W169" i="47"/>
  <c r="V169" i="47"/>
  <c r="Z168" i="47"/>
  <c r="Y168" i="47"/>
  <c r="X168" i="47"/>
  <c r="W168" i="47"/>
  <c r="V168" i="47"/>
  <c r="Z167" i="47"/>
  <c r="Y167" i="47"/>
  <c r="X167" i="47"/>
  <c r="W167" i="47"/>
  <c r="V167" i="47"/>
  <c r="Z166" i="47"/>
  <c r="Y166" i="47"/>
  <c r="X166" i="47"/>
  <c r="AO166" i="47" s="1"/>
  <c r="W166" i="47"/>
  <c r="V166" i="47"/>
  <c r="Z165" i="47"/>
  <c r="Y165" i="47"/>
  <c r="X165" i="47"/>
  <c r="W165" i="47"/>
  <c r="V165" i="47"/>
  <c r="Z164" i="47"/>
  <c r="AQ164" i="47" s="1"/>
  <c r="Y164" i="47"/>
  <c r="X164" i="47"/>
  <c r="W164" i="47"/>
  <c r="V164" i="47"/>
  <c r="Z163" i="47"/>
  <c r="Y163" i="47"/>
  <c r="X163" i="47"/>
  <c r="W163" i="47"/>
  <c r="AN163" i="47" s="1"/>
  <c r="V163" i="47"/>
  <c r="Z162" i="47"/>
  <c r="Y162" i="47"/>
  <c r="X162" i="47"/>
  <c r="W162" i="47"/>
  <c r="V162" i="47"/>
  <c r="Z161" i="47"/>
  <c r="Y161" i="47"/>
  <c r="AP161" i="47" s="1"/>
  <c r="X161" i="47"/>
  <c r="W161" i="47"/>
  <c r="V161" i="47"/>
  <c r="Z160" i="47"/>
  <c r="Y160" i="47"/>
  <c r="X160" i="47"/>
  <c r="W160" i="47"/>
  <c r="V160" i="47"/>
  <c r="Z159" i="47"/>
  <c r="Y159" i="47"/>
  <c r="X159" i="47"/>
  <c r="W159" i="47"/>
  <c r="V159" i="47"/>
  <c r="Z158" i="47"/>
  <c r="Y158" i="47"/>
  <c r="X158" i="47"/>
  <c r="AO158" i="47" s="1"/>
  <c r="W158" i="47"/>
  <c r="V158" i="47"/>
  <c r="Z157" i="47"/>
  <c r="Y157" i="47"/>
  <c r="X157" i="47"/>
  <c r="W157" i="47"/>
  <c r="V157" i="47"/>
  <c r="Z156" i="47"/>
  <c r="AQ156" i="47" s="1"/>
  <c r="Y156" i="47"/>
  <c r="X156" i="47"/>
  <c r="W156" i="47"/>
  <c r="V156" i="47"/>
  <c r="Z155" i="47"/>
  <c r="Y155" i="47"/>
  <c r="X155" i="47"/>
  <c r="W155" i="47"/>
  <c r="AN155" i="47" s="1"/>
  <c r="V155" i="47"/>
  <c r="Z154" i="47"/>
  <c r="Y154" i="47"/>
  <c r="X154" i="47"/>
  <c r="W154" i="47"/>
  <c r="V154" i="47"/>
  <c r="Z153" i="47"/>
  <c r="Y153" i="47"/>
  <c r="AP153" i="47" s="1"/>
  <c r="X153" i="47"/>
  <c r="W153" i="47"/>
  <c r="V153" i="47"/>
  <c r="Z152" i="47"/>
  <c r="Y152" i="47"/>
  <c r="X152" i="47"/>
  <c r="W152" i="47"/>
  <c r="V152" i="47"/>
  <c r="Z151" i="47"/>
  <c r="Y151" i="47"/>
  <c r="X151" i="47"/>
  <c r="W151" i="47"/>
  <c r="V151" i="47"/>
  <c r="Z150" i="47"/>
  <c r="Y150" i="47"/>
  <c r="X150" i="47"/>
  <c r="W150" i="47"/>
  <c r="V150" i="47"/>
  <c r="Z149" i="47"/>
  <c r="Y149" i="47"/>
  <c r="X149" i="47"/>
  <c r="W149" i="47"/>
  <c r="V149" i="47"/>
  <c r="Z148" i="47"/>
  <c r="AQ148" i="47" s="1"/>
  <c r="Y148" i="47"/>
  <c r="X148" i="47"/>
  <c r="W148" i="47"/>
  <c r="V148" i="47"/>
  <c r="Z147" i="47"/>
  <c r="Y147" i="47"/>
  <c r="X147" i="47"/>
  <c r="W147" i="47"/>
  <c r="V147" i="47"/>
  <c r="Z146" i="47"/>
  <c r="Y146" i="47"/>
  <c r="X146" i="47"/>
  <c r="W146" i="47"/>
  <c r="V146" i="47"/>
  <c r="Z145" i="47"/>
  <c r="Y145" i="47"/>
  <c r="X145" i="47"/>
  <c r="W145" i="47"/>
  <c r="V145" i="47"/>
  <c r="Z144" i="47"/>
  <c r="Y144" i="47"/>
  <c r="X144" i="47"/>
  <c r="W144" i="47"/>
  <c r="V144" i="47"/>
  <c r="Z143" i="47"/>
  <c r="Y143" i="47"/>
  <c r="X143" i="47"/>
  <c r="W143" i="47"/>
  <c r="V143" i="47"/>
  <c r="Z142" i="47"/>
  <c r="Y142" i="47"/>
  <c r="X142" i="47"/>
  <c r="W142" i="47"/>
  <c r="V142" i="47"/>
  <c r="Z141" i="47"/>
  <c r="Y141" i="47"/>
  <c r="X141" i="47"/>
  <c r="W141" i="47"/>
  <c r="V141" i="47"/>
  <c r="Z140" i="47"/>
  <c r="AQ140" i="47" s="1"/>
  <c r="Y140" i="47"/>
  <c r="X140" i="47"/>
  <c r="W140" i="47"/>
  <c r="V140" i="47"/>
  <c r="Z139" i="47"/>
  <c r="Y139" i="47"/>
  <c r="X139" i="47"/>
  <c r="W139" i="47"/>
  <c r="AN139" i="47" s="1"/>
  <c r="V139" i="47"/>
  <c r="Z138" i="47"/>
  <c r="Y138" i="47"/>
  <c r="X138" i="47"/>
  <c r="W138" i="47"/>
  <c r="V138" i="47"/>
  <c r="Z137" i="47"/>
  <c r="Y137" i="47"/>
  <c r="AP137" i="47" s="1"/>
  <c r="X137" i="47"/>
  <c r="W137" i="47"/>
  <c r="V137" i="47"/>
  <c r="Z136" i="47"/>
  <c r="Y136" i="47"/>
  <c r="X136" i="47"/>
  <c r="W136" i="47"/>
  <c r="V136" i="47"/>
  <c r="Z135" i="47"/>
  <c r="Y135" i="47"/>
  <c r="X135" i="47"/>
  <c r="W135" i="47"/>
  <c r="V135" i="47"/>
  <c r="Z134" i="47"/>
  <c r="Y134" i="47"/>
  <c r="X134" i="47"/>
  <c r="AO134" i="47" s="1"/>
  <c r="W134" i="47"/>
  <c r="V134" i="47"/>
  <c r="Z133" i="47"/>
  <c r="Y133" i="47"/>
  <c r="X133" i="47"/>
  <c r="W133" i="47"/>
  <c r="V133" i="47"/>
  <c r="Z132" i="47"/>
  <c r="AQ132" i="47" s="1"/>
  <c r="Y132" i="47"/>
  <c r="X132" i="47"/>
  <c r="W132" i="47"/>
  <c r="V132" i="47"/>
  <c r="Z131" i="47"/>
  <c r="Y131" i="47"/>
  <c r="X131" i="47"/>
  <c r="W131" i="47"/>
  <c r="AN131" i="47" s="1"/>
  <c r="V131" i="47"/>
  <c r="Z130" i="47"/>
  <c r="Y130" i="47"/>
  <c r="X130" i="47"/>
  <c r="W130" i="47"/>
  <c r="V130" i="47"/>
  <c r="Z129" i="47"/>
  <c r="Y129" i="47"/>
  <c r="AP129" i="47" s="1"/>
  <c r="X129" i="47"/>
  <c r="W129" i="47"/>
  <c r="V129" i="47"/>
  <c r="Z128" i="47"/>
  <c r="Y128" i="47"/>
  <c r="X128" i="47"/>
  <c r="W128" i="47"/>
  <c r="V128" i="47"/>
  <c r="Z127" i="47"/>
  <c r="Y127" i="47"/>
  <c r="X127" i="47"/>
  <c r="W127" i="47"/>
  <c r="V127" i="47"/>
  <c r="Z126" i="47"/>
  <c r="Y126" i="47"/>
  <c r="X126" i="47"/>
  <c r="AO126" i="47" s="1"/>
  <c r="W126" i="47"/>
  <c r="V126" i="47"/>
  <c r="Z125" i="47"/>
  <c r="Y125" i="47"/>
  <c r="X125" i="47"/>
  <c r="W125" i="47"/>
  <c r="V125" i="47"/>
  <c r="Z124" i="47"/>
  <c r="AQ124" i="47" s="1"/>
  <c r="Y124" i="47"/>
  <c r="X124" i="47"/>
  <c r="W124" i="47"/>
  <c r="V124" i="47"/>
  <c r="Z123" i="47"/>
  <c r="Y123" i="47"/>
  <c r="X123" i="47"/>
  <c r="W123" i="47"/>
  <c r="AN123" i="47" s="1"/>
  <c r="V123" i="47"/>
  <c r="Z122" i="47"/>
  <c r="Y122" i="47"/>
  <c r="X122" i="47"/>
  <c r="W122" i="47"/>
  <c r="V122" i="47"/>
  <c r="Z121" i="47"/>
  <c r="Y121" i="47"/>
  <c r="AP121" i="47" s="1"/>
  <c r="X121" i="47"/>
  <c r="W121" i="47"/>
  <c r="V121" i="47"/>
  <c r="Z120" i="47"/>
  <c r="Y120" i="47"/>
  <c r="X120" i="47"/>
  <c r="W120" i="47"/>
  <c r="V120" i="47"/>
  <c r="Z119" i="47"/>
  <c r="Y119" i="47"/>
  <c r="X119" i="47"/>
  <c r="W119" i="47"/>
  <c r="V119" i="47"/>
  <c r="Z118" i="47"/>
  <c r="Y118" i="47"/>
  <c r="X118" i="47"/>
  <c r="W118" i="47"/>
  <c r="V118" i="47"/>
  <c r="Z117" i="47"/>
  <c r="Y117" i="47"/>
  <c r="X117" i="47"/>
  <c r="W117" i="47"/>
  <c r="V117" i="47"/>
  <c r="Z116" i="47"/>
  <c r="Y116" i="47"/>
  <c r="X116" i="47"/>
  <c r="W116" i="47"/>
  <c r="V116" i="47"/>
  <c r="Z115" i="47"/>
  <c r="Y115" i="47"/>
  <c r="X115" i="47"/>
  <c r="W115" i="47"/>
  <c r="V115" i="47"/>
  <c r="Z114" i="47"/>
  <c r="Y114" i="47"/>
  <c r="X114" i="47"/>
  <c r="W114" i="47"/>
  <c r="V114" i="47"/>
  <c r="Z113" i="47"/>
  <c r="Y113" i="47"/>
  <c r="X113" i="47"/>
  <c r="W113" i="47"/>
  <c r="V113" i="47"/>
  <c r="Z112" i="47"/>
  <c r="Y112" i="47"/>
  <c r="X112" i="47"/>
  <c r="W112" i="47"/>
  <c r="V112" i="47"/>
  <c r="Z111" i="47"/>
  <c r="Y111" i="47"/>
  <c r="X111" i="47"/>
  <c r="W111" i="47"/>
  <c r="V111" i="47"/>
  <c r="Z110" i="47"/>
  <c r="Y110" i="47"/>
  <c r="X110" i="47"/>
  <c r="W110" i="47"/>
  <c r="V110" i="47"/>
  <c r="Z109" i="47"/>
  <c r="Y109" i="47"/>
  <c r="X109" i="47"/>
  <c r="W109" i="47"/>
  <c r="V109" i="47"/>
  <c r="Z108" i="47"/>
  <c r="Y108" i="47"/>
  <c r="X108" i="47"/>
  <c r="W108" i="47"/>
  <c r="V108" i="47"/>
  <c r="Z107" i="47"/>
  <c r="Y107" i="47"/>
  <c r="X107" i="47"/>
  <c r="W107" i="47"/>
  <c r="V107" i="47"/>
  <c r="Z106" i="47"/>
  <c r="Y106" i="47"/>
  <c r="X106" i="47"/>
  <c r="W106" i="47"/>
  <c r="V106" i="47"/>
  <c r="Z105" i="47"/>
  <c r="Y105" i="47"/>
  <c r="X105" i="47"/>
  <c r="W105" i="47"/>
  <c r="V105" i="47"/>
  <c r="Z104" i="47"/>
  <c r="Y104" i="47"/>
  <c r="X104" i="47"/>
  <c r="W104" i="47"/>
  <c r="V104" i="47"/>
  <c r="Z103" i="47"/>
  <c r="Y103" i="47"/>
  <c r="X103" i="47"/>
  <c r="W103" i="47"/>
  <c r="V103" i="47"/>
  <c r="Z102" i="47"/>
  <c r="Y102" i="47"/>
  <c r="X102" i="47"/>
  <c r="AO102" i="47" s="1"/>
  <c r="W102" i="47"/>
  <c r="V102" i="47"/>
  <c r="Z101" i="47"/>
  <c r="Y101" i="47"/>
  <c r="X101" i="47"/>
  <c r="W101" i="47"/>
  <c r="V101" i="47"/>
  <c r="Z100" i="47"/>
  <c r="AQ100" i="47" s="1"/>
  <c r="Y100" i="47"/>
  <c r="X100" i="47"/>
  <c r="W100" i="47"/>
  <c r="V100" i="47"/>
  <c r="Z99" i="47"/>
  <c r="Y99" i="47"/>
  <c r="X99" i="47"/>
  <c r="W99" i="47"/>
  <c r="AN99" i="47" s="1"/>
  <c r="V99" i="47"/>
  <c r="Z98" i="47"/>
  <c r="Y98" i="47"/>
  <c r="X98" i="47"/>
  <c r="W98" i="47"/>
  <c r="V98" i="47"/>
  <c r="Z97" i="47"/>
  <c r="Y97" i="47"/>
  <c r="AP97" i="47" s="1"/>
  <c r="X97" i="47"/>
  <c r="W97" i="47"/>
  <c r="V97" i="47"/>
  <c r="Z96" i="47"/>
  <c r="Y96" i="47"/>
  <c r="X96" i="47"/>
  <c r="W96" i="47"/>
  <c r="V96" i="47"/>
  <c r="Z95" i="47"/>
  <c r="Y95" i="47"/>
  <c r="X95" i="47"/>
  <c r="W95" i="47"/>
  <c r="V95" i="47"/>
  <c r="Z94" i="47"/>
  <c r="Y94" i="47"/>
  <c r="X94" i="47"/>
  <c r="W94" i="47"/>
  <c r="V94" i="47"/>
  <c r="Z93" i="47"/>
  <c r="Y93" i="47"/>
  <c r="X93" i="47"/>
  <c r="W93" i="47"/>
  <c r="V93" i="47"/>
  <c r="Z92" i="47"/>
  <c r="Y92" i="47"/>
  <c r="X92" i="47"/>
  <c r="W92" i="47"/>
  <c r="V92" i="47"/>
  <c r="Z91" i="47"/>
  <c r="Y91" i="47"/>
  <c r="X91" i="47"/>
  <c r="W91" i="47"/>
  <c r="V91" i="47"/>
  <c r="Z90" i="47"/>
  <c r="Y90" i="47"/>
  <c r="X90" i="47"/>
  <c r="W90" i="47"/>
  <c r="V90" i="47"/>
  <c r="Z89" i="47"/>
  <c r="Y89" i="47"/>
  <c r="AP89" i="47" s="1"/>
  <c r="X89" i="47"/>
  <c r="W89" i="47"/>
  <c r="V89" i="47"/>
  <c r="Z88" i="47"/>
  <c r="Y88" i="47"/>
  <c r="X88" i="47"/>
  <c r="W88" i="47"/>
  <c r="V88" i="47"/>
  <c r="Z87" i="47"/>
  <c r="Y87" i="47"/>
  <c r="X87" i="47"/>
  <c r="W87" i="47"/>
  <c r="V87" i="47"/>
  <c r="Z86" i="47"/>
  <c r="Y86" i="47"/>
  <c r="X86" i="47"/>
  <c r="W86" i="47"/>
  <c r="V86" i="47"/>
  <c r="Z85" i="47"/>
  <c r="Y85" i="47"/>
  <c r="X85" i="47"/>
  <c r="W85" i="47"/>
  <c r="V85" i="47"/>
  <c r="Z84" i="47"/>
  <c r="Y84" i="47"/>
  <c r="X84" i="47"/>
  <c r="W84" i="47"/>
  <c r="V84" i="47"/>
  <c r="Z83" i="47"/>
  <c r="Y83" i="47"/>
  <c r="X83" i="47"/>
  <c r="W83" i="47"/>
  <c r="V83" i="47"/>
  <c r="Z82" i="47"/>
  <c r="Y82" i="47"/>
  <c r="X82" i="47"/>
  <c r="W82" i="47"/>
  <c r="V82" i="47"/>
  <c r="Z81" i="47"/>
  <c r="Y81" i="47"/>
  <c r="AP81" i="47" s="1"/>
  <c r="X81" i="47"/>
  <c r="W81" i="47"/>
  <c r="V81" i="47"/>
  <c r="Z80" i="47"/>
  <c r="Y80" i="47"/>
  <c r="X80" i="47"/>
  <c r="W80" i="47"/>
  <c r="V80" i="47"/>
  <c r="Z79" i="47"/>
  <c r="Y79" i="47"/>
  <c r="X79" i="47"/>
  <c r="W79" i="47"/>
  <c r="V79" i="47"/>
  <c r="Z78" i="47"/>
  <c r="Y78" i="47"/>
  <c r="X78" i="47"/>
  <c r="W78" i="47"/>
  <c r="V78" i="47"/>
  <c r="Z77" i="47"/>
  <c r="Y77" i="47"/>
  <c r="X77" i="47"/>
  <c r="W77" i="47"/>
  <c r="V77" i="47"/>
  <c r="Z76" i="47"/>
  <c r="AQ76" i="47" s="1"/>
  <c r="Y76" i="47"/>
  <c r="X76" i="47"/>
  <c r="W76" i="47"/>
  <c r="V76" i="47"/>
  <c r="Z75" i="47"/>
  <c r="Y75" i="47"/>
  <c r="X75" i="47"/>
  <c r="W75" i="47"/>
  <c r="AN75" i="47" s="1"/>
  <c r="V75" i="47"/>
  <c r="Z74" i="47"/>
  <c r="Y74" i="47"/>
  <c r="X74" i="47"/>
  <c r="W74" i="47"/>
  <c r="V74" i="47"/>
  <c r="Z73" i="47"/>
  <c r="Y73" i="47"/>
  <c r="AP73" i="47" s="1"/>
  <c r="X73" i="47"/>
  <c r="W73" i="47"/>
  <c r="V73" i="47"/>
  <c r="Z72" i="47"/>
  <c r="Y72" i="47"/>
  <c r="X72" i="47"/>
  <c r="W72" i="47"/>
  <c r="V72" i="47"/>
  <c r="Z71" i="47"/>
  <c r="Y71" i="47"/>
  <c r="X71" i="47"/>
  <c r="W71" i="47"/>
  <c r="V71" i="47"/>
  <c r="Z70" i="47"/>
  <c r="Y70" i="47"/>
  <c r="X70" i="47"/>
  <c r="W70" i="47"/>
  <c r="V70" i="47"/>
  <c r="Z69" i="47"/>
  <c r="Y69" i="47"/>
  <c r="X69" i="47"/>
  <c r="W69" i="47"/>
  <c r="V69" i="47"/>
  <c r="Z68" i="47"/>
  <c r="AQ68" i="47" s="1"/>
  <c r="Y68" i="47"/>
  <c r="X68" i="47"/>
  <c r="W68" i="47"/>
  <c r="V68" i="47"/>
  <c r="Z67" i="47"/>
  <c r="Y67" i="47"/>
  <c r="X67" i="47"/>
  <c r="W67" i="47"/>
  <c r="AN67" i="47" s="1"/>
  <c r="V67" i="47"/>
  <c r="Z66" i="47"/>
  <c r="Y66" i="47"/>
  <c r="X66" i="47"/>
  <c r="W66" i="47"/>
  <c r="V66" i="47"/>
  <c r="Z65" i="47"/>
  <c r="Y65" i="47"/>
  <c r="AP65" i="47" s="1"/>
  <c r="X65" i="47"/>
  <c r="W65" i="47"/>
  <c r="V65" i="47"/>
  <c r="Z64" i="47"/>
  <c r="Y64" i="47"/>
  <c r="X64" i="47"/>
  <c r="W64" i="47"/>
  <c r="V64" i="47"/>
  <c r="Z63" i="47"/>
  <c r="Y63" i="47"/>
  <c r="X63" i="47"/>
  <c r="W63" i="47"/>
  <c r="V63" i="47"/>
  <c r="Z62" i="47"/>
  <c r="Y62" i="47"/>
  <c r="X62" i="47"/>
  <c r="W62" i="47"/>
  <c r="V62" i="47"/>
  <c r="Z61" i="47"/>
  <c r="Y61" i="47"/>
  <c r="X61" i="47"/>
  <c r="W61" i="47"/>
  <c r="V61" i="47"/>
  <c r="Z60" i="47"/>
  <c r="Y60" i="47"/>
  <c r="X60" i="47"/>
  <c r="W60" i="47"/>
  <c r="V60" i="47"/>
  <c r="Z59" i="47"/>
  <c r="Y59" i="47"/>
  <c r="X59" i="47"/>
  <c r="W59" i="47"/>
  <c r="V59" i="47"/>
  <c r="Z58" i="47"/>
  <c r="Y58" i="47"/>
  <c r="X58" i="47"/>
  <c r="W58" i="47"/>
  <c r="V58" i="47"/>
  <c r="Z57" i="47"/>
  <c r="Y57" i="47"/>
  <c r="X57" i="47"/>
  <c r="W57" i="47"/>
  <c r="V57" i="47"/>
  <c r="Z56" i="47"/>
  <c r="Y56" i="47"/>
  <c r="X56" i="47"/>
  <c r="W56" i="47"/>
  <c r="V56" i="47"/>
  <c r="Z55" i="47"/>
  <c r="Y55" i="47"/>
  <c r="X55" i="47"/>
  <c r="W55" i="47"/>
  <c r="V55" i="47"/>
  <c r="Z54" i="47"/>
  <c r="Y54" i="47"/>
  <c r="X54" i="47"/>
  <c r="W54" i="47"/>
  <c r="V54" i="47"/>
  <c r="Z53" i="47"/>
  <c r="Y53" i="47"/>
  <c r="X53" i="47"/>
  <c r="W53" i="47"/>
  <c r="V53" i="47"/>
  <c r="Z52" i="47"/>
  <c r="Y52" i="47"/>
  <c r="X52" i="47"/>
  <c r="W52" i="47"/>
  <c r="V52" i="47"/>
  <c r="Z51" i="47"/>
  <c r="Y51" i="47"/>
  <c r="X51" i="47"/>
  <c r="W51" i="47"/>
  <c r="AN51" i="47" s="1"/>
  <c r="V51" i="47"/>
  <c r="Z50" i="47"/>
  <c r="Y50" i="47"/>
  <c r="X50" i="47"/>
  <c r="W50" i="47"/>
  <c r="V50" i="47"/>
  <c r="Z49" i="47"/>
  <c r="Y49" i="47"/>
  <c r="AP49" i="47" s="1"/>
  <c r="X49" i="47"/>
  <c r="W49" i="47"/>
  <c r="V49" i="47"/>
  <c r="Z48" i="47"/>
  <c r="Y48" i="47"/>
  <c r="X48" i="47"/>
  <c r="W48" i="47"/>
  <c r="V48" i="47"/>
  <c r="Z47" i="47"/>
  <c r="Y47" i="47"/>
  <c r="X47" i="47"/>
  <c r="W47" i="47"/>
  <c r="V47" i="47"/>
  <c r="Z46" i="47"/>
  <c r="Y46" i="47"/>
  <c r="X46" i="47"/>
  <c r="AO46" i="47" s="1"/>
  <c r="W46" i="47"/>
  <c r="V46" i="47"/>
  <c r="Z45" i="47"/>
  <c r="Y45" i="47"/>
  <c r="X45" i="47"/>
  <c r="W45" i="47"/>
  <c r="V45" i="47"/>
  <c r="Z44" i="47"/>
  <c r="AQ44" i="47" s="1"/>
  <c r="Y44" i="47"/>
  <c r="X44" i="47"/>
  <c r="W44" i="47"/>
  <c r="V44" i="47"/>
  <c r="Z43" i="47"/>
  <c r="Y43" i="47"/>
  <c r="X43" i="47"/>
  <c r="W43" i="47"/>
  <c r="V43" i="47"/>
  <c r="Z42" i="47"/>
  <c r="Y42" i="47"/>
  <c r="X42" i="47"/>
  <c r="W42" i="47"/>
  <c r="V42" i="47"/>
  <c r="Z41" i="47"/>
  <c r="Y41" i="47"/>
  <c r="AP41" i="47" s="1"/>
  <c r="X41" i="47"/>
  <c r="W41" i="47"/>
  <c r="V41" i="47"/>
  <c r="Z40" i="47"/>
  <c r="Y40" i="47"/>
  <c r="X40" i="47"/>
  <c r="W40" i="47"/>
  <c r="V40" i="47"/>
  <c r="Z39" i="47"/>
  <c r="Y39" i="47"/>
  <c r="X39" i="47"/>
  <c r="W39" i="47"/>
  <c r="V39" i="47"/>
  <c r="Z38" i="47"/>
  <c r="Y38" i="47"/>
  <c r="X38" i="47"/>
  <c r="AO38" i="47" s="1"/>
  <c r="W38" i="47"/>
  <c r="V38" i="47"/>
  <c r="Z37" i="47"/>
  <c r="Y37" i="47"/>
  <c r="X37" i="47"/>
  <c r="W37" i="47"/>
  <c r="V37" i="47"/>
  <c r="Z36" i="47"/>
  <c r="AQ36" i="47" s="1"/>
  <c r="Y36" i="47"/>
  <c r="X36" i="47"/>
  <c r="W36" i="47"/>
  <c r="V36" i="47"/>
  <c r="Z35" i="47"/>
  <c r="Y35" i="47"/>
  <c r="X35" i="47"/>
  <c r="W35" i="47"/>
  <c r="AN35" i="47" s="1"/>
  <c r="V35" i="47"/>
  <c r="Z34" i="47"/>
  <c r="Y34" i="47"/>
  <c r="X34" i="47"/>
  <c r="W34" i="47"/>
  <c r="V34" i="47"/>
  <c r="Z33" i="47"/>
  <c r="Y33" i="47"/>
  <c r="AP33" i="47" s="1"/>
  <c r="X33" i="47"/>
  <c r="W33" i="47"/>
  <c r="V33" i="47"/>
  <c r="Z32" i="47"/>
  <c r="Y32" i="47"/>
  <c r="X32" i="47"/>
  <c r="W32" i="47"/>
  <c r="V32" i="47"/>
  <c r="Z31" i="47"/>
  <c r="Y31" i="47"/>
  <c r="X31" i="47"/>
  <c r="W31" i="47"/>
  <c r="V31" i="47"/>
  <c r="Z30" i="47"/>
  <c r="Y30" i="47"/>
  <c r="X30" i="47"/>
  <c r="W30" i="47"/>
  <c r="V30" i="47"/>
  <c r="Z29" i="47"/>
  <c r="Y29" i="47"/>
  <c r="X29" i="47"/>
  <c r="W29" i="47"/>
  <c r="V29" i="47"/>
  <c r="Z28" i="47"/>
  <c r="Y28" i="47"/>
  <c r="X28" i="47"/>
  <c r="W28" i="47"/>
  <c r="V28" i="47"/>
  <c r="Z27" i="47"/>
  <c r="Y27" i="47"/>
  <c r="X27" i="47"/>
  <c r="W27" i="47"/>
  <c r="V27" i="47"/>
  <c r="Z26" i="47"/>
  <c r="Y26" i="47"/>
  <c r="X26" i="47"/>
  <c r="W26" i="47"/>
  <c r="V26" i="47"/>
  <c r="Z25" i="47"/>
  <c r="Y25" i="47"/>
  <c r="AP25" i="47" s="1"/>
  <c r="X25" i="47"/>
  <c r="W25" i="47"/>
  <c r="V25" i="47"/>
  <c r="Z24" i="47"/>
  <c r="Y24" i="47"/>
  <c r="X24" i="47"/>
  <c r="W24" i="47"/>
  <c r="V24" i="47"/>
  <c r="Z23" i="47"/>
  <c r="Y23" i="47"/>
  <c r="X23" i="47"/>
  <c r="W23" i="47"/>
  <c r="V23" i="47"/>
  <c r="Z22" i="47"/>
  <c r="Y22" i="47"/>
  <c r="X22" i="47"/>
  <c r="W22" i="47"/>
  <c r="V22" i="47"/>
  <c r="Z21" i="47"/>
  <c r="Y21" i="47"/>
  <c r="X21" i="47"/>
  <c r="W21" i="47"/>
  <c r="V21" i="47"/>
  <c r="Z20" i="47"/>
  <c r="Y20" i="47"/>
  <c r="X20" i="47"/>
  <c r="W20" i="47"/>
  <c r="V20" i="47"/>
  <c r="Z19" i="47"/>
  <c r="Y19" i="47"/>
  <c r="X19" i="47"/>
  <c r="W19" i="47"/>
  <c r="V19" i="47"/>
  <c r="Z18" i="47"/>
  <c r="Y18" i="47"/>
  <c r="X18" i="47"/>
  <c r="W18" i="47"/>
  <c r="V18" i="47"/>
  <c r="Z17" i="47"/>
  <c r="Y17" i="47"/>
  <c r="X17" i="47"/>
  <c r="W17" i="47"/>
  <c r="V17" i="47"/>
  <c r="Z16" i="47"/>
  <c r="Y16" i="47"/>
  <c r="X16" i="47"/>
  <c r="W16" i="47"/>
  <c r="V16" i="47"/>
  <c r="Z15" i="47"/>
  <c r="Y15" i="47"/>
  <c r="X15" i="47"/>
  <c r="W15" i="47"/>
  <c r="V15" i="47"/>
  <c r="Z307" i="48"/>
  <c r="AK307" i="54" s="1"/>
  <c r="Y307" i="48"/>
  <c r="X307" i="48"/>
  <c r="W307" i="48"/>
  <c r="V307" i="48"/>
  <c r="Z306" i="48"/>
  <c r="AK306" i="54" s="1"/>
  <c r="Y306" i="48"/>
  <c r="X306" i="48"/>
  <c r="W306" i="48"/>
  <c r="V306" i="48"/>
  <c r="Z305" i="48"/>
  <c r="AK305" i="54" s="1"/>
  <c r="Y305" i="48"/>
  <c r="X305" i="48"/>
  <c r="W305" i="48"/>
  <c r="V305" i="48"/>
  <c r="Z304" i="48"/>
  <c r="AK304" i="54" s="1"/>
  <c r="Y304" i="48"/>
  <c r="X304" i="48"/>
  <c r="W304" i="48"/>
  <c r="V304" i="48"/>
  <c r="Z303" i="48"/>
  <c r="AK303" i="54" s="1"/>
  <c r="Y303" i="48"/>
  <c r="X303" i="48"/>
  <c r="W303" i="48"/>
  <c r="V303" i="48"/>
  <c r="Z302" i="48"/>
  <c r="AK302" i="54" s="1"/>
  <c r="Y302" i="48"/>
  <c r="X302" i="48"/>
  <c r="W302" i="48"/>
  <c r="V302" i="48"/>
  <c r="Z301" i="48"/>
  <c r="AK301" i="54" s="1"/>
  <c r="Y301" i="48"/>
  <c r="X301" i="48"/>
  <c r="W301" i="48"/>
  <c r="V301" i="48"/>
  <c r="Z300" i="48"/>
  <c r="AK300" i="54" s="1"/>
  <c r="Y300" i="48"/>
  <c r="X300" i="48"/>
  <c r="W300" i="48"/>
  <c r="V300" i="48"/>
  <c r="Z299" i="48"/>
  <c r="AK299" i="54" s="1"/>
  <c r="Y299" i="48"/>
  <c r="X299" i="48"/>
  <c r="W299" i="48"/>
  <c r="V299" i="48"/>
  <c r="Z298" i="48"/>
  <c r="AK298" i="54" s="1"/>
  <c r="Y298" i="48"/>
  <c r="X298" i="48"/>
  <c r="W298" i="48"/>
  <c r="V298" i="48"/>
  <c r="Z297" i="48"/>
  <c r="AK297" i="54" s="1"/>
  <c r="Y297" i="48"/>
  <c r="X297" i="48"/>
  <c r="W297" i="48"/>
  <c r="V297" i="48"/>
  <c r="Z296" i="48"/>
  <c r="AK296" i="54" s="1"/>
  <c r="Y296" i="48"/>
  <c r="X296" i="48"/>
  <c r="W296" i="48"/>
  <c r="V296" i="48"/>
  <c r="Z295" i="48"/>
  <c r="AK295" i="54" s="1"/>
  <c r="Y295" i="48"/>
  <c r="X295" i="48"/>
  <c r="W295" i="48"/>
  <c r="V295" i="48"/>
  <c r="Z294" i="48"/>
  <c r="AK294" i="54" s="1"/>
  <c r="Y294" i="48"/>
  <c r="X294" i="48"/>
  <c r="W294" i="48"/>
  <c r="V294" i="48"/>
  <c r="Z293" i="48"/>
  <c r="AK293" i="54" s="1"/>
  <c r="Y293" i="48"/>
  <c r="X293" i="48"/>
  <c r="W293" i="48"/>
  <c r="V293" i="48"/>
  <c r="Z292" i="48"/>
  <c r="AK292" i="54" s="1"/>
  <c r="Y292" i="48"/>
  <c r="X292" i="48"/>
  <c r="W292" i="48"/>
  <c r="V292" i="48"/>
  <c r="Z291" i="48"/>
  <c r="AK291" i="54" s="1"/>
  <c r="Y291" i="48"/>
  <c r="X291" i="48"/>
  <c r="W291" i="48"/>
  <c r="V291" i="48"/>
  <c r="Z290" i="48"/>
  <c r="AK290" i="54" s="1"/>
  <c r="Y290" i="48"/>
  <c r="X290" i="48"/>
  <c r="W290" i="48"/>
  <c r="V290" i="48"/>
  <c r="Z289" i="48"/>
  <c r="AK289" i="54" s="1"/>
  <c r="Y289" i="48"/>
  <c r="X289" i="48"/>
  <c r="W289" i="48"/>
  <c r="V289" i="48"/>
  <c r="Z288" i="48"/>
  <c r="AK288" i="54" s="1"/>
  <c r="Y288" i="48"/>
  <c r="X288" i="48"/>
  <c r="W288" i="48"/>
  <c r="V288" i="48"/>
  <c r="Z287" i="48"/>
  <c r="AK287" i="54" s="1"/>
  <c r="Y287" i="48"/>
  <c r="X287" i="48"/>
  <c r="W287" i="48"/>
  <c r="V287" i="48"/>
  <c r="Z286" i="48"/>
  <c r="AK286" i="54" s="1"/>
  <c r="Y286" i="48"/>
  <c r="X286" i="48"/>
  <c r="W286" i="48"/>
  <c r="V286" i="48"/>
  <c r="Z285" i="48"/>
  <c r="AK285" i="54" s="1"/>
  <c r="Y285" i="48"/>
  <c r="X285" i="48"/>
  <c r="W285" i="48"/>
  <c r="V285" i="48"/>
  <c r="Z284" i="48"/>
  <c r="AK284" i="54" s="1"/>
  <c r="Y284" i="48"/>
  <c r="X284" i="48"/>
  <c r="W284" i="48"/>
  <c r="V284" i="48"/>
  <c r="Z283" i="48"/>
  <c r="AK283" i="54" s="1"/>
  <c r="Y283" i="48"/>
  <c r="X283" i="48"/>
  <c r="W283" i="48"/>
  <c r="V283" i="48"/>
  <c r="Z282" i="48"/>
  <c r="AK282" i="54" s="1"/>
  <c r="Y282" i="48"/>
  <c r="X282" i="48"/>
  <c r="W282" i="48"/>
  <c r="V282" i="48"/>
  <c r="Z281" i="48"/>
  <c r="AK281" i="54" s="1"/>
  <c r="Y281" i="48"/>
  <c r="X281" i="48"/>
  <c r="W281" i="48"/>
  <c r="V281" i="48"/>
  <c r="Z280" i="48"/>
  <c r="AK280" i="54" s="1"/>
  <c r="Y280" i="48"/>
  <c r="X280" i="48"/>
  <c r="W280" i="48"/>
  <c r="V280" i="48"/>
  <c r="Z279" i="48"/>
  <c r="AK279" i="54" s="1"/>
  <c r="Y279" i="48"/>
  <c r="X279" i="48"/>
  <c r="W279" i="48"/>
  <c r="V279" i="48"/>
  <c r="Z278" i="48"/>
  <c r="AK278" i="54" s="1"/>
  <c r="Y278" i="48"/>
  <c r="X278" i="48"/>
  <c r="W278" i="48"/>
  <c r="V278" i="48"/>
  <c r="Z277" i="48"/>
  <c r="AK277" i="54" s="1"/>
  <c r="Y277" i="48"/>
  <c r="X277" i="48"/>
  <c r="W277" i="48"/>
  <c r="V277" i="48"/>
  <c r="Z276" i="48"/>
  <c r="AK276" i="54" s="1"/>
  <c r="Y276" i="48"/>
  <c r="X276" i="48"/>
  <c r="W276" i="48"/>
  <c r="V276" i="48"/>
  <c r="Z275" i="48"/>
  <c r="AK275" i="54" s="1"/>
  <c r="Y275" i="48"/>
  <c r="X275" i="48"/>
  <c r="W275" i="48"/>
  <c r="V275" i="48"/>
  <c r="Z274" i="48"/>
  <c r="AK274" i="54" s="1"/>
  <c r="Y274" i="48"/>
  <c r="X274" i="48"/>
  <c r="W274" i="48"/>
  <c r="V274" i="48"/>
  <c r="Z273" i="48"/>
  <c r="AK273" i="54" s="1"/>
  <c r="Y273" i="48"/>
  <c r="X273" i="48"/>
  <c r="W273" i="48"/>
  <c r="V273" i="48"/>
  <c r="Z272" i="48"/>
  <c r="AK272" i="54" s="1"/>
  <c r="Y272" i="48"/>
  <c r="X272" i="48"/>
  <c r="W272" i="48"/>
  <c r="V272" i="48"/>
  <c r="Z271" i="48"/>
  <c r="AK271" i="54" s="1"/>
  <c r="Y271" i="48"/>
  <c r="X271" i="48"/>
  <c r="W271" i="48"/>
  <c r="V271" i="48"/>
  <c r="Z270" i="48"/>
  <c r="AK270" i="54" s="1"/>
  <c r="Y270" i="48"/>
  <c r="X270" i="48"/>
  <c r="W270" i="48"/>
  <c r="V270" i="48"/>
  <c r="Z269" i="48"/>
  <c r="AK269" i="54" s="1"/>
  <c r="Y269" i="48"/>
  <c r="X269" i="48"/>
  <c r="W269" i="48"/>
  <c r="V269" i="48"/>
  <c r="Z268" i="48"/>
  <c r="AK268" i="54" s="1"/>
  <c r="Y268" i="48"/>
  <c r="X268" i="48"/>
  <c r="W268" i="48"/>
  <c r="V268" i="48"/>
  <c r="Z267" i="48"/>
  <c r="AK267" i="54" s="1"/>
  <c r="Y267" i="48"/>
  <c r="X267" i="48"/>
  <c r="W267" i="48"/>
  <c r="V267" i="48"/>
  <c r="Z266" i="48"/>
  <c r="AK266" i="54" s="1"/>
  <c r="Y266" i="48"/>
  <c r="X266" i="48"/>
  <c r="W266" i="48"/>
  <c r="V266" i="48"/>
  <c r="Z265" i="48"/>
  <c r="AK265" i="54" s="1"/>
  <c r="Y265" i="48"/>
  <c r="X265" i="48"/>
  <c r="W265" i="48"/>
  <c r="V265" i="48"/>
  <c r="Z264" i="48"/>
  <c r="AK264" i="54" s="1"/>
  <c r="Y264" i="48"/>
  <c r="X264" i="48"/>
  <c r="W264" i="48"/>
  <c r="V264" i="48"/>
  <c r="Z263" i="48"/>
  <c r="AK263" i="54" s="1"/>
  <c r="Y263" i="48"/>
  <c r="X263" i="48"/>
  <c r="W263" i="48"/>
  <c r="V263" i="48"/>
  <c r="Z262" i="48"/>
  <c r="AK262" i="54" s="1"/>
  <c r="Y262" i="48"/>
  <c r="X262" i="48"/>
  <c r="W262" i="48"/>
  <c r="V262" i="48"/>
  <c r="Z261" i="48"/>
  <c r="AK261" i="54" s="1"/>
  <c r="Y261" i="48"/>
  <c r="X261" i="48"/>
  <c r="W261" i="48"/>
  <c r="V261" i="48"/>
  <c r="Z260" i="48"/>
  <c r="AK260" i="54" s="1"/>
  <c r="Y260" i="48"/>
  <c r="X260" i="48"/>
  <c r="W260" i="48"/>
  <c r="V260" i="48"/>
  <c r="Z259" i="48"/>
  <c r="AK259" i="54" s="1"/>
  <c r="Y259" i="48"/>
  <c r="X259" i="48"/>
  <c r="W259" i="48"/>
  <c r="V259" i="48"/>
  <c r="Z258" i="48"/>
  <c r="AK258" i="54" s="1"/>
  <c r="Y258" i="48"/>
  <c r="X258" i="48"/>
  <c r="W258" i="48"/>
  <c r="V258" i="48"/>
  <c r="Z257" i="48"/>
  <c r="AK257" i="54" s="1"/>
  <c r="Y257" i="48"/>
  <c r="X257" i="48"/>
  <c r="W257" i="48"/>
  <c r="V257" i="48"/>
  <c r="Z256" i="48"/>
  <c r="AK256" i="54" s="1"/>
  <c r="Y256" i="48"/>
  <c r="X256" i="48"/>
  <c r="W256" i="48"/>
  <c r="V256" i="48"/>
  <c r="Z255" i="48"/>
  <c r="AK255" i="54" s="1"/>
  <c r="Y255" i="48"/>
  <c r="X255" i="48"/>
  <c r="W255" i="48"/>
  <c r="V255" i="48"/>
  <c r="Z254" i="48"/>
  <c r="AK254" i="54" s="1"/>
  <c r="Y254" i="48"/>
  <c r="X254" i="48"/>
  <c r="W254" i="48"/>
  <c r="V254" i="48"/>
  <c r="Z253" i="48"/>
  <c r="AK253" i="54" s="1"/>
  <c r="Y253" i="48"/>
  <c r="X253" i="48"/>
  <c r="W253" i="48"/>
  <c r="V253" i="48"/>
  <c r="Z252" i="48"/>
  <c r="AK252" i="54" s="1"/>
  <c r="Y252" i="48"/>
  <c r="X252" i="48"/>
  <c r="W252" i="48"/>
  <c r="V252" i="48"/>
  <c r="Z251" i="48"/>
  <c r="AK251" i="54" s="1"/>
  <c r="Y251" i="48"/>
  <c r="X251" i="48"/>
  <c r="W251" i="48"/>
  <c r="V251" i="48"/>
  <c r="Z250" i="48"/>
  <c r="AK250" i="54" s="1"/>
  <c r="Y250" i="48"/>
  <c r="X250" i="48"/>
  <c r="W250" i="48"/>
  <c r="V250" i="48"/>
  <c r="Z249" i="48"/>
  <c r="AK249" i="54" s="1"/>
  <c r="Y249" i="48"/>
  <c r="X249" i="48"/>
  <c r="W249" i="48"/>
  <c r="V249" i="48"/>
  <c r="Z248" i="48"/>
  <c r="AK248" i="54" s="1"/>
  <c r="Y248" i="48"/>
  <c r="X248" i="48"/>
  <c r="W248" i="48"/>
  <c r="V248" i="48"/>
  <c r="Z247" i="48"/>
  <c r="AK247" i="54" s="1"/>
  <c r="Y247" i="48"/>
  <c r="X247" i="48"/>
  <c r="W247" i="48"/>
  <c r="V247" i="48"/>
  <c r="Z246" i="48"/>
  <c r="AK246" i="54" s="1"/>
  <c r="Y246" i="48"/>
  <c r="X246" i="48"/>
  <c r="W246" i="48"/>
  <c r="V246" i="48"/>
  <c r="Z245" i="48"/>
  <c r="AK245" i="54" s="1"/>
  <c r="Y245" i="48"/>
  <c r="X245" i="48"/>
  <c r="W245" i="48"/>
  <c r="V245" i="48"/>
  <c r="Z244" i="48"/>
  <c r="AK244" i="54" s="1"/>
  <c r="Y244" i="48"/>
  <c r="X244" i="48"/>
  <c r="W244" i="48"/>
  <c r="V244" i="48"/>
  <c r="Z243" i="48"/>
  <c r="AK243" i="54" s="1"/>
  <c r="Y243" i="48"/>
  <c r="X243" i="48"/>
  <c r="W243" i="48"/>
  <c r="V243" i="48"/>
  <c r="Z242" i="48"/>
  <c r="AK242" i="54" s="1"/>
  <c r="Y242" i="48"/>
  <c r="X242" i="48"/>
  <c r="W242" i="48"/>
  <c r="V242" i="48"/>
  <c r="Z241" i="48"/>
  <c r="AK241" i="54" s="1"/>
  <c r="Y241" i="48"/>
  <c r="X241" i="48"/>
  <c r="W241" i="48"/>
  <c r="V241" i="48"/>
  <c r="Z240" i="48"/>
  <c r="AK240" i="54" s="1"/>
  <c r="Y240" i="48"/>
  <c r="X240" i="48"/>
  <c r="W240" i="48"/>
  <c r="V240" i="48"/>
  <c r="Z239" i="48"/>
  <c r="AK239" i="54" s="1"/>
  <c r="Y239" i="48"/>
  <c r="X239" i="48"/>
  <c r="W239" i="48"/>
  <c r="V239" i="48"/>
  <c r="Z238" i="48"/>
  <c r="AK238" i="54" s="1"/>
  <c r="Y238" i="48"/>
  <c r="X238" i="48"/>
  <c r="W238" i="48"/>
  <c r="V238" i="48"/>
  <c r="Z237" i="48"/>
  <c r="AK237" i="54" s="1"/>
  <c r="Y237" i="48"/>
  <c r="X237" i="48"/>
  <c r="W237" i="48"/>
  <c r="V237" i="48"/>
  <c r="Z236" i="48"/>
  <c r="AK236" i="54" s="1"/>
  <c r="Y236" i="48"/>
  <c r="X236" i="48"/>
  <c r="W236" i="48"/>
  <c r="V236" i="48"/>
  <c r="Z235" i="48"/>
  <c r="AK235" i="54" s="1"/>
  <c r="Y235" i="48"/>
  <c r="X235" i="48"/>
  <c r="W235" i="48"/>
  <c r="V235" i="48"/>
  <c r="Z234" i="48"/>
  <c r="AK234" i="54" s="1"/>
  <c r="Y234" i="48"/>
  <c r="X234" i="48"/>
  <c r="W234" i="48"/>
  <c r="V234" i="48"/>
  <c r="Z233" i="48"/>
  <c r="AK233" i="54" s="1"/>
  <c r="Y233" i="48"/>
  <c r="X233" i="48"/>
  <c r="W233" i="48"/>
  <c r="V233" i="48"/>
  <c r="Z232" i="48"/>
  <c r="AK232" i="54" s="1"/>
  <c r="Y232" i="48"/>
  <c r="X232" i="48"/>
  <c r="W232" i="48"/>
  <c r="V232" i="48"/>
  <c r="Z231" i="48"/>
  <c r="AK231" i="54" s="1"/>
  <c r="Y231" i="48"/>
  <c r="X231" i="48"/>
  <c r="W231" i="48"/>
  <c r="V231" i="48"/>
  <c r="Z230" i="48"/>
  <c r="AK230" i="54" s="1"/>
  <c r="Y230" i="48"/>
  <c r="X230" i="48"/>
  <c r="W230" i="48"/>
  <c r="V230" i="48"/>
  <c r="Z229" i="48"/>
  <c r="AK229" i="54" s="1"/>
  <c r="Y229" i="48"/>
  <c r="X229" i="48"/>
  <c r="W229" i="48"/>
  <c r="V229" i="48"/>
  <c r="Z228" i="48"/>
  <c r="AK228" i="54" s="1"/>
  <c r="Y228" i="48"/>
  <c r="X228" i="48"/>
  <c r="W228" i="48"/>
  <c r="V228" i="48"/>
  <c r="Z227" i="48"/>
  <c r="AK227" i="54" s="1"/>
  <c r="Y227" i="48"/>
  <c r="X227" i="48"/>
  <c r="W227" i="48"/>
  <c r="V227" i="48"/>
  <c r="Z226" i="48"/>
  <c r="AK226" i="54" s="1"/>
  <c r="Y226" i="48"/>
  <c r="X226" i="48"/>
  <c r="W226" i="48"/>
  <c r="V226" i="48"/>
  <c r="Z225" i="48"/>
  <c r="AK225" i="54" s="1"/>
  <c r="Y225" i="48"/>
  <c r="X225" i="48"/>
  <c r="W225" i="48"/>
  <c r="V225" i="48"/>
  <c r="Z224" i="48"/>
  <c r="AK224" i="54" s="1"/>
  <c r="Y224" i="48"/>
  <c r="X224" i="48"/>
  <c r="W224" i="48"/>
  <c r="V224" i="48"/>
  <c r="Z223" i="48"/>
  <c r="AK223" i="54" s="1"/>
  <c r="Y223" i="48"/>
  <c r="X223" i="48"/>
  <c r="W223" i="48"/>
  <c r="V223" i="48"/>
  <c r="Z222" i="48"/>
  <c r="AK222" i="54" s="1"/>
  <c r="Y222" i="48"/>
  <c r="X222" i="48"/>
  <c r="W222" i="48"/>
  <c r="V222" i="48"/>
  <c r="Z221" i="48"/>
  <c r="AK221" i="54" s="1"/>
  <c r="Y221" i="48"/>
  <c r="X221" i="48"/>
  <c r="W221" i="48"/>
  <c r="V221" i="48"/>
  <c r="Z220" i="48"/>
  <c r="AK220" i="54" s="1"/>
  <c r="Y220" i="48"/>
  <c r="X220" i="48"/>
  <c r="W220" i="48"/>
  <c r="V220" i="48"/>
  <c r="Z219" i="48"/>
  <c r="AK219" i="54" s="1"/>
  <c r="Y219" i="48"/>
  <c r="X219" i="48"/>
  <c r="W219" i="48"/>
  <c r="V219" i="48"/>
  <c r="Z218" i="48"/>
  <c r="AK218" i="54" s="1"/>
  <c r="Y218" i="48"/>
  <c r="X218" i="48"/>
  <c r="W218" i="48"/>
  <c r="V218" i="48"/>
  <c r="Z217" i="48"/>
  <c r="AK217" i="54" s="1"/>
  <c r="Y217" i="48"/>
  <c r="X217" i="48"/>
  <c r="W217" i="48"/>
  <c r="V217" i="48"/>
  <c r="Z216" i="48"/>
  <c r="AK216" i="54" s="1"/>
  <c r="Y216" i="48"/>
  <c r="X216" i="48"/>
  <c r="W216" i="48"/>
  <c r="V216" i="48"/>
  <c r="Z215" i="48"/>
  <c r="AK215" i="54" s="1"/>
  <c r="Y215" i="48"/>
  <c r="X215" i="48"/>
  <c r="W215" i="48"/>
  <c r="V215" i="48"/>
  <c r="Z214" i="48"/>
  <c r="AK214" i="54" s="1"/>
  <c r="Y214" i="48"/>
  <c r="X214" i="48"/>
  <c r="W214" i="48"/>
  <c r="V214" i="48"/>
  <c r="Z213" i="48"/>
  <c r="AK213" i="54" s="1"/>
  <c r="Y213" i="48"/>
  <c r="X213" i="48"/>
  <c r="W213" i="48"/>
  <c r="V213" i="48"/>
  <c r="Z212" i="48"/>
  <c r="AK212" i="54" s="1"/>
  <c r="Y212" i="48"/>
  <c r="X212" i="48"/>
  <c r="W212" i="48"/>
  <c r="V212" i="48"/>
  <c r="Z211" i="48"/>
  <c r="AK211" i="54" s="1"/>
  <c r="Y211" i="48"/>
  <c r="X211" i="48"/>
  <c r="W211" i="48"/>
  <c r="V211" i="48"/>
  <c r="Z210" i="48"/>
  <c r="AK210" i="54" s="1"/>
  <c r="Y210" i="48"/>
  <c r="X210" i="48"/>
  <c r="W210" i="48"/>
  <c r="V210" i="48"/>
  <c r="Z209" i="48"/>
  <c r="AK209" i="54" s="1"/>
  <c r="Y209" i="48"/>
  <c r="X209" i="48"/>
  <c r="W209" i="48"/>
  <c r="V209" i="48"/>
  <c r="Z208" i="48"/>
  <c r="AK208" i="54" s="1"/>
  <c r="Y208" i="48"/>
  <c r="X208" i="48"/>
  <c r="W208" i="48"/>
  <c r="V208" i="48"/>
  <c r="Z207" i="48"/>
  <c r="AK207" i="54" s="1"/>
  <c r="Y207" i="48"/>
  <c r="X207" i="48"/>
  <c r="W207" i="48"/>
  <c r="V207" i="48"/>
  <c r="Z206" i="48"/>
  <c r="AK206" i="54" s="1"/>
  <c r="Y206" i="48"/>
  <c r="X206" i="48"/>
  <c r="W206" i="48"/>
  <c r="V206" i="48"/>
  <c r="Z205" i="48"/>
  <c r="AK205" i="54" s="1"/>
  <c r="Y205" i="48"/>
  <c r="X205" i="48"/>
  <c r="W205" i="48"/>
  <c r="V205" i="48"/>
  <c r="Z204" i="48"/>
  <c r="AK204" i="54" s="1"/>
  <c r="Y204" i="48"/>
  <c r="X204" i="48"/>
  <c r="W204" i="48"/>
  <c r="V204" i="48"/>
  <c r="Z203" i="48"/>
  <c r="AK203" i="54" s="1"/>
  <c r="Y203" i="48"/>
  <c r="X203" i="48"/>
  <c r="W203" i="48"/>
  <c r="V203" i="48"/>
  <c r="Z202" i="48"/>
  <c r="AK202" i="54" s="1"/>
  <c r="Y202" i="48"/>
  <c r="X202" i="48"/>
  <c r="W202" i="48"/>
  <c r="V202" i="48"/>
  <c r="Z201" i="48"/>
  <c r="AK201" i="54" s="1"/>
  <c r="Y201" i="48"/>
  <c r="X201" i="48"/>
  <c r="W201" i="48"/>
  <c r="V201" i="48"/>
  <c r="Z200" i="48"/>
  <c r="AK200" i="54" s="1"/>
  <c r="Y200" i="48"/>
  <c r="X200" i="48"/>
  <c r="W200" i="48"/>
  <c r="V200" i="48"/>
  <c r="Z199" i="48"/>
  <c r="AK199" i="54" s="1"/>
  <c r="Y199" i="48"/>
  <c r="X199" i="48"/>
  <c r="W199" i="48"/>
  <c r="V199" i="48"/>
  <c r="Z198" i="48"/>
  <c r="AK198" i="54" s="1"/>
  <c r="Y198" i="48"/>
  <c r="X198" i="48"/>
  <c r="W198" i="48"/>
  <c r="V198" i="48"/>
  <c r="Z197" i="48"/>
  <c r="AK197" i="54" s="1"/>
  <c r="Y197" i="48"/>
  <c r="X197" i="48"/>
  <c r="W197" i="48"/>
  <c r="V197" i="48"/>
  <c r="Z196" i="48"/>
  <c r="AK196" i="54" s="1"/>
  <c r="Y196" i="48"/>
  <c r="X196" i="48"/>
  <c r="W196" i="48"/>
  <c r="V196" i="48"/>
  <c r="Z195" i="48"/>
  <c r="AK195" i="54" s="1"/>
  <c r="Y195" i="48"/>
  <c r="X195" i="48"/>
  <c r="W195" i="48"/>
  <c r="V195" i="48"/>
  <c r="Z194" i="48"/>
  <c r="AK194" i="54" s="1"/>
  <c r="Y194" i="48"/>
  <c r="X194" i="48"/>
  <c r="W194" i="48"/>
  <c r="V194" i="48"/>
  <c r="Z193" i="48"/>
  <c r="AK193" i="54" s="1"/>
  <c r="Y193" i="48"/>
  <c r="X193" i="48"/>
  <c r="W193" i="48"/>
  <c r="V193" i="48"/>
  <c r="Z192" i="48"/>
  <c r="AK192" i="54" s="1"/>
  <c r="Y192" i="48"/>
  <c r="X192" i="48"/>
  <c r="W192" i="48"/>
  <c r="V192" i="48"/>
  <c r="Z191" i="48"/>
  <c r="AK191" i="54" s="1"/>
  <c r="Y191" i="48"/>
  <c r="X191" i="48"/>
  <c r="W191" i="48"/>
  <c r="V191" i="48"/>
  <c r="Z190" i="48"/>
  <c r="AK190" i="54" s="1"/>
  <c r="Y190" i="48"/>
  <c r="X190" i="48"/>
  <c r="W190" i="48"/>
  <c r="V190" i="48"/>
  <c r="Z189" i="48"/>
  <c r="AK189" i="54" s="1"/>
  <c r="Y189" i="48"/>
  <c r="X189" i="48"/>
  <c r="W189" i="48"/>
  <c r="V189" i="48"/>
  <c r="Z188" i="48"/>
  <c r="AK188" i="54" s="1"/>
  <c r="Y188" i="48"/>
  <c r="X188" i="48"/>
  <c r="W188" i="48"/>
  <c r="V188" i="48"/>
  <c r="Z187" i="48"/>
  <c r="AK187" i="54" s="1"/>
  <c r="Y187" i="48"/>
  <c r="X187" i="48"/>
  <c r="W187" i="48"/>
  <c r="V187" i="48"/>
  <c r="Z186" i="48"/>
  <c r="AK186" i="54" s="1"/>
  <c r="Y186" i="48"/>
  <c r="X186" i="48"/>
  <c r="W186" i="48"/>
  <c r="V186" i="48"/>
  <c r="Z185" i="48"/>
  <c r="AK185" i="54" s="1"/>
  <c r="Y185" i="48"/>
  <c r="X185" i="48"/>
  <c r="W185" i="48"/>
  <c r="V185" i="48"/>
  <c r="Z184" i="48"/>
  <c r="AK184" i="54" s="1"/>
  <c r="Y184" i="48"/>
  <c r="X184" i="48"/>
  <c r="W184" i="48"/>
  <c r="V184" i="48"/>
  <c r="Z183" i="48"/>
  <c r="AK183" i="54" s="1"/>
  <c r="Y183" i="48"/>
  <c r="X183" i="48"/>
  <c r="W183" i="48"/>
  <c r="V183" i="48"/>
  <c r="Z182" i="48"/>
  <c r="AK182" i="54" s="1"/>
  <c r="Y182" i="48"/>
  <c r="X182" i="48"/>
  <c r="W182" i="48"/>
  <c r="V182" i="48"/>
  <c r="Z181" i="48"/>
  <c r="AK181" i="54" s="1"/>
  <c r="Y181" i="48"/>
  <c r="X181" i="48"/>
  <c r="W181" i="48"/>
  <c r="V181" i="48"/>
  <c r="Z180" i="48"/>
  <c r="AK180" i="54" s="1"/>
  <c r="Y180" i="48"/>
  <c r="X180" i="48"/>
  <c r="W180" i="48"/>
  <c r="V180" i="48"/>
  <c r="Z179" i="48"/>
  <c r="AK179" i="54" s="1"/>
  <c r="Y179" i="48"/>
  <c r="X179" i="48"/>
  <c r="W179" i="48"/>
  <c r="V179" i="48"/>
  <c r="Z178" i="48"/>
  <c r="AK178" i="54" s="1"/>
  <c r="Y178" i="48"/>
  <c r="X178" i="48"/>
  <c r="W178" i="48"/>
  <c r="V178" i="48"/>
  <c r="Z177" i="48"/>
  <c r="AK177" i="54" s="1"/>
  <c r="Y177" i="48"/>
  <c r="X177" i="48"/>
  <c r="W177" i="48"/>
  <c r="V177" i="48"/>
  <c r="Z176" i="48"/>
  <c r="AK176" i="54" s="1"/>
  <c r="Y176" i="48"/>
  <c r="X176" i="48"/>
  <c r="W176" i="48"/>
  <c r="V176" i="48"/>
  <c r="Z175" i="48"/>
  <c r="AK175" i="54" s="1"/>
  <c r="Y175" i="48"/>
  <c r="X175" i="48"/>
  <c r="W175" i="48"/>
  <c r="V175" i="48"/>
  <c r="Z174" i="48"/>
  <c r="AK174" i="54" s="1"/>
  <c r="Y174" i="48"/>
  <c r="X174" i="48"/>
  <c r="W174" i="48"/>
  <c r="V174" i="48"/>
  <c r="Z173" i="48"/>
  <c r="AK173" i="54" s="1"/>
  <c r="Y173" i="48"/>
  <c r="X173" i="48"/>
  <c r="W173" i="48"/>
  <c r="V173" i="48"/>
  <c r="Z172" i="48"/>
  <c r="AK172" i="54" s="1"/>
  <c r="Y172" i="48"/>
  <c r="X172" i="48"/>
  <c r="W172" i="48"/>
  <c r="V172" i="48"/>
  <c r="Z171" i="48"/>
  <c r="AK171" i="54" s="1"/>
  <c r="Y171" i="48"/>
  <c r="X171" i="48"/>
  <c r="W171" i="48"/>
  <c r="V171" i="48"/>
  <c r="Z170" i="48"/>
  <c r="AK170" i="54" s="1"/>
  <c r="Y170" i="48"/>
  <c r="X170" i="48"/>
  <c r="W170" i="48"/>
  <c r="V170" i="48"/>
  <c r="Z169" i="48"/>
  <c r="AK169" i="54" s="1"/>
  <c r="Y169" i="48"/>
  <c r="X169" i="48"/>
  <c r="W169" i="48"/>
  <c r="V169" i="48"/>
  <c r="Z168" i="48"/>
  <c r="AK168" i="54" s="1"/>
  <c r="Y168" i="48"/>
  <c r="X168" i="48"/>
  <c r="W168" i="48"/>
  <c r="V168" i="48"/>
  <c r="Z167" i="48"/>
  <c r="AK167" i="54" s="1"/>
  <c r="Y167" i="48"/>
  <c r="X167" i="48"/>
  <c r="W167" i="48"/>
  <c r="V167" i="48"/>
  <c r="Z166" i="48"/>
  <c r="AK166" i="54" s="1"/>
  <c r="Y166" i="48"/>
  <c r="X166" i="48"/>
  <c r="W166" i="48"/>
  <c r="V166" i="48"/>
  <c r="Z165" i="48"/>
  <c r="AK165" i="54" s="1"/>
  <c r="Y165" i="48"/>
  <c r="X165" i="48"/>
  <c r="W165" i="48"/>
  <c r="V165" i="48"/>
  <c r="Z164" i="48"/>
  <c r="AK164" i="54" s="1"/>
  <c r="Y164" i="48"/>
  <c r="X164" i="48"/>
  <c r="W164" i="48"/>
  <c r="V164" i="48"/>
  <c r="Z163" i="48"/>
  <c r="AK163" i="54" s="1"/>
  <c r="Y163" i="48"/>
  <c r="X163" i="48"/>
  <c r="W163" i="48"/>
  <c r="V163" i="48"/>
  <c r="Z162" i="48"/>
  <c r="AK162" i="54" s="1"/>
  <c r="Y162" i="48"/>
  <c r="X162" i="48"/>
  <c r="W162" i="48"/>
  <c r="V162" i="48"/>
  <c r="Z161" i="48"/>
  <c r="AK161" i="54" s="1"/>
  <c r="Y161" i="48"/>
  <c r="X161" i="48"/>
  <c r="W161" i="48"/>
  <c r="V161" i="48"/>
  <c r="Z160" i="48"/>
  <c r="AK160" i="54" s="1"/>
  <c r="Y160" i="48"/>
  <c r="X160" i="48"/>
  <c r="W160" i="48"/>
  <c r="V160" i="48"/>
  <c r="Z159" i="48"/>
  <c r="AK159" i="54" s="1"/>
  <c r="Y159" i="48"/>
  <c r="X159" i="48"/>
  <c r="W159" i="48"/>
  <c r="V159" i="48"/>
  <c r="Z158" i="48"/>
  <c r="AK158" i="54" s="1"/>
  <c r="Y158" i="48"/>
  <c r="X158" i="48"/>
  <c r="W158" i="48"/>
  <c r="V158" i="48"/>
  <c r="Z157" i="48"/>
  <c r="AK157" i="54" s="1"/>
  <c r="Y157" i="48"/>
  <c r="X157" i="48"/>
  <c r="W157" i="48"/>
  <c r="V157" i="48"/>
  <c r="Z156" i="48"/>
  <c r="AK156" i="54" s="1"/>
  <c r="Y156" i="48"/>
  <c r="X156" i="48"/>
  <c r="W156" i="48"/>
  <c r="V156" i="48"/>
  <c r="Z155" i="48"/>
  <c r="AK155" i="54" s="1"/>
  <c r="Y155" i="48"/>
  <c r="X155" i="48"/>
  <c r="W155" i="48"/>
  <c r="V155" i="48"/>
  <c r="Z154" i="48"/>
  <c r="AK154" i="54" s="1"/>
  <c r="Y154" i="48"/>
  <c r="X154" i="48"/>
  <c r="W154" i="48"/>
  <c r="V154" i="48"/>
  <c r="Z153" i="48"/>
  <c r="AK153" i="54" s="1"/>
  <c r="Y153" i="48"/>
  <c r="X153" i="48"/>
  <c r="W153" i="48"/>
  <c r="V153" i="48"/>
  <c r="Z152" i="48"/>
  <c r="AK152" i="54" s="1"/>
  <c r="Y152" i="48"/>
  <c r="X152" i="48"/>
  <c r="W152" i="48"/>
  <c r="V152" i="48"/>
  <c r="Z151" i="48"/>
  <c r="AK151" i="54" s="1"/>
  <c r="Y151" i="48"/>
  <c r="X151" i="48"/>
  <c r="W151" i="48"/>
  <c r="V151" i="48"/>
  <c r="Z150" i="48"/>
  <c r="AK150" i="54" s="1"/>
  <c r="Y150" i="48"/>
  <c r="X150" i="48"/>
  <c r="W150" i="48"/>
  <c r="V150" i="48"/>
  <c r="Z149" i="48"/>
  <c r="AK149" i="54" s="1"/>
  <c r="Y149" i="48"/>
  <c r="X149" i="48"/>
  <c r="W149" i="48"/>
  <c r="V149" i="48"/>
  <c r="Z148" i="48"/>
  <c r="AK148" i="54" s="1"/>
  <c r="Y148" i="48"/>
  <c r="X148" i="48"/>
  <c r="W148" i="48"/>
  <c r="V148" i="48"/>
  <c r="Z147" i="48"/>
  <c r="AK147" i="54" s="1"/>
  <c r="Y147" i="48"/>
  <c r="X147" i="48"/>
  <c r="W147" i="48"/>
  <c r="V147" i="48"/>
  <c r="Z146" i="48"/>
  <c r="AK146" i="54" s="1"/>
  <c r="Y146" i="48"/>
  <c r="X146" i="48"/>
  <c r="W146" i="48"/>
  <c r="V146" i="48"/>
  <c r="Z145" i="48"/>
  <c r="AK145" i="54" s="1"/>
  <c r="Y145" i="48"/>
  <c r="X145" i="48"/>
  <c r="W145" i="48"/>
  <c r="V145" i="48"/>
  <c r="Z144" i="48"/>
  <c r="AK144" i="54" s="1"/>
  <c r="Y144" i="48"/>
  <c r="X144" i="48"/>
  <c r="W144" i="48"/>
  <c r="V144" i="48"/>
  <c r="Z143" i="48"/>
  <c r="AK143" i="54" s="1"/>
  <c r="Y143" i="48"/>
  <c r="X143" i="48"/>
  <c r="W143" i="48"/>
  <c r="V143" i="48"/>
  <c r="Z142" i="48"/>
  <c r="AK142" i="54" s="1"/>
  <c r="Y142" i="48"/>
  <c r="X142" i="48"/>
  <c r="W142" i="48"/>
  <c r="V142" i="48"/>
  <c r="Z141" i="48"/>
  <c r="AK141" i="54" s="1"/>
  <c r="Y141" i="48"/>
  <c r="X141" i="48"/>
  <c r="W141" i="48"/>
  <c r="V141" i="48"/>
  <c r="Z140" i="48"/>
  <c r="AK140" i="54" s="1"/>
  <c r="Y140" i="48"/>
  <c r="X140" i="48"/>
  <c r="W140" i="48"/>
  <c r="V140" i="48"/>
  <c r="Z139" i="48"/>
  <c r="AK139" i="54" s="1"/>
  <c r="Y139" i="48"/>
  <c r="X139" i="48"/>
  <c r="W139" i="48"/>
  <c r="V139" i="48"/>
  <c r="Z138" i="48"/>
  <c r="AK138" i="54" s="1"/>
  <c r="Y138" i="48"/>
  <c r="X138" i="48"/>
  <c r="W138" i="48"/>
  <c r="V138" i="48"/>
  <c r="Z137" i="48"/>
  <c r="AK137" i="54" s="1"/>
  <c r="Y137" i="48"/>
  <c r="X137" i="48"/>
  <c r="W137" i="48"/>
  <c r="V137" i="48"/>
  <c r="Z136" i="48"/>
  <c r="AK136" i="54" s="1"/>
  <c r="Y136" i="48"/>
  <c r="X136" i="48"/>
  <c r="W136" i="48"/>
  <c r="V136" i="48"/>
  <c r="Z135" i="48"/>
  <c r="AK135" i="54" s="1"/>
  <c r="Y135" i="48"/>
  <c r="X135" i="48"/>
  <c r="W135" i="48"/>
  <c r="V135" i="48"/>
  <c r="Z134" i="48"/>
  <c r="AK134" i="54" s="1"/>
  <c r="Y134" i="48"/>
  <c r="X134" i="48"/>
  <c r="W134" i="48"/>
  <c r="V134" i="48"/>
  <c r="Z133" i="48"/>
  <c r="AK133" i="54" s="1"/>
  <c r="Y133" i="48"/>
  <c r="X133" i="48"/>
  <c r="W133" i="48"/>
  <c r="V133" i="48"/>
  <c r="Z132" i="48"/>
  <c r="AK132" i="54" s="1"/>
  <c r="Y132" i="48"/>
  <c r="X132" i="48"/>
  <c r="W132" i="48"/>
  <c r="V132" i="48"/>
  <c r="Z131" i="48"/>
  <c r="AK131" i="54" s="1"/>
  <c r="Y131" i="48"/>
  <c r="X131" i="48"/>
  <c r="W131" i="48"/>
  <c r="V131" i="48"/>
  <c r="Z130" i="48"/>
  <c r="AK130" i="54" s="1"/>
  <c r="Y130" i="48"/>
  <c r="X130" i="48"/>
  <c r="W130" i="48"/>
  <c r="V130" i="48"/>
  <c r="Z129" i="48"/>
  <c r="AK129" i="54" s="1"/>
  <c r="Y129" i="48"/>
  <c r="X129" i="48"/>
  <c r="W129" i="48"/>
  <c r="V129" i="48"/>
  <c r="Z128" i="48"/>
  <c r="AK128" i="54" s="1"/>
  <c r="Y128" i="48"/>
  <c r="X128" i="48"/>
  <c r="W128" i="48"/>
  <c r="V128" i="48"/>
  <c r="Z127" i="48"/>
  <c r="AK127" i="54" s="1"/>
  <c r="Y127" i="48"/>
  <c r="X127" i="48"/>
  <c r="W127" i="48"/>
  <c r="V127" i="48"/>
  <c r="Z126" i="48"/>
  <c r="AK126" i="54" s="1"/>
  <c r="Y126" i="48"/>
  <c r="X126" i="48"/>
  <c r="W126" i="48"/>
  <c r="V126" i="48"/>
  <c r="Z125" i="48"/>
  <c r="AK125" i="54" s="1"/>
  <c r="Y125" i="48"/>
  <c r="X125" i="48"/>
  <c r="W125" i="48"/>
  <c r="V125" i="48"/>
  <c r="Z124" i="48"/>
  <c r="AK124" i="54" s="1"/>
  <c r="Y124" i="48"/>
  <c r="X124" i="48"/>
  <c r="W124" i="48"/>
  <c r="V124" i="48"/>
  <c r="Z123" i="48"/>
  <c r="AK123" i="54" s="1"/>
  <c r="Y123" i="48"/>
  <c r="X123" i="48"/>
  <c r="W123" i="48"/>
  <c r="V123" i="48"/>
  <c r="Z122" i="48"/>
  <c r="AK122" i="54" s="1"/>
  <c r="Y122" i="48"/>
  <c r="X122" i="48"/>
  <c r="W122" i="48"/>
  <c r="V122" i="48"/>
  <c r="Z121" i="48"/>
  <c r="AK121" i="54" s="1"/>
  <c r="Y121" i="48"/>
  <c r="X121" i="48"/>
  <c r="W121" i="48"/>
  <c r="V121" i="48"/>
  <c r="Z120" i="48"/>
  <c r="AK120" i="54" s="1"/>
  <c r="Y120" i="48"/>
  <c r="X120" i="48"/>
  <c r="W120" i="48"/>
  <c r="V120" i="48"/>
  <c r="Z119" i="48"/>
  <c r="AK119" i="54" s="1"/>
  <c r="Y119" i="48"/>
  <c r="X119" i="48"/>
  <c r="W119" i="48"/>
  <c r="V119" i="48"/>
  <c r="Z118" i="48"/>
  <c r="AK118" i="54" s="1"/>
  <c r="Y118" i="48"/>
  <c r="X118" i="48"/>
  <c r="W118" i="48"/>
  <c r="V118" i="48"/>
  <c r="Z117" i="48"/>
  <c r="AK117" i="54" s="1"/>
  <c r="Y117" i="48"/>
  <c r="X117" i="48"/>
  <c r="W117" i="48"/>
  <c r="V117" i="48"/>
  <c r="Z116" i="48"/>
  <c r="AK116" i="54" s="1"/>
  <c r="Y116" i="48"/>
  <c r="X116" i="48"/>
  <c r="W116" i="48"/>
  <c r="V116" i="48"/>
  <c r="Z115" i="48"/>
  <c r="AK115" i="54" s="1"/>
  <c r="Y115" i="48"/>
  <c r="X115" i="48"/>
  <c r="W115" i="48"/>
  <c r="V115" i="48"/>
  <c r="Z114" i="48"/>
  <c r="AK114" i="54" s="1"/>
  <c r="Y114" i="48"/>
  <c r="X114" i="48"/>
  <c r="W114" i="48"/>
  <c r="V114" i="48"/>
  <c r="Z113" i="48"/>
  <c r="AK113" i="54" s="1"/>
  <c r="Y113" i="48"/>
  <c r="X113" i="48"/>
  <c r="W113" i="48"/>
  <c r="V113" i="48"/>
  <c r="Z112" i="48"/>
  <c r="AK112" i="54" s="1"/>
  <c r="Y112" i="48"/>
  <c r="X112" i="48"/>
  <c r="W112" i="48"/>
  <c r="V112" i="48"/>
  <c r="Z111" i="48"/>
  <c r="AK111" i="54" s="1"/>
  <c r="Y111" i="48"/>
  <c r="X111" i="48"/>
  <c r="W111" i="48"/>
  <c r="V111" i="48"/>
  <c r="Z110" i="48"/>
  <c r="AK110" i="54" s="1"/>
  <c r="Y110" i="48"/>
  <c r="X110" i="48"/>
  <c r="W110" i="48"/>
  <c r="V110" i="48"/>
  <c r="Z109" i="48"/>
  <c r="AK109" i="54" s="1"/>
  <c r="Y109" i="48"/>
  <c r="X109" i="48"/>
  <c r="W109" i="48"/>
  <c r="V109" i="48"/>
  <c r="Z108" i="48"/>
  <c r="AK108" i="54" s="1"/>
  <c r="Y108" i="48"/>
  <c r="X108" i="48"/>
  <c r="W108" i="48"/>
  <c r="V108" i="48"/>
  <c r="Z107" i="48"/>
  <c r="AK107" i="54" s="1"/>
  <c r="Y107" i="48"/>
  <c r="X107" i="48"/>
  <c r="W107" i="48"/>
  <c r="V107" i="48"/>
  <c r="Z106" i="48"/>
  <c r="AK106" i="54" s="1"/>
  <c r="Y106" i="48"/>
  <c r="X106" i="48"/>
  <c r="W106" i="48"/>
  <c r="V106" i="48"/>
  <c r="Z105" i="48"/>
  <c r="AK105" i="54" s="1"/>
  <c r="Y105" i="48"/>
  <c r="X105" i="48"/>
  <c r="W105" i="48"/>
  <c r="V105" i="48"/>
  <c r="Z104" i="48"/>
  <c r="AK104" i="54" s="1"/>
  <c r="Y104" i="48"/>
  <c r="X104" i="48"/>
  <c r="W104" i="48"/>
  <c r="V104" i="48"/>
  <c r="Z103" i="48"/>
  <c r="AK103" i="54" s="1"/>
  <c r="Y103" i="48"/>
  <c r="X103" i="48"/>
  <c r="W103" i="48"/>
  <c r="V103" i="48"/>
  <c r="Z102" i="48"/>
  <c r="AK102" i="54" s="1"/>
  <c r="Y102" i="48"/>
  <c r="X102" i="48"/>
  <c r="W102" i="48"/>
  <c r="V102" i="48"/>
  <c r="Z101" i="48"/>
  <c r="AK101" i="54" s="1"/>
  <c r="Y101" i="48"/>
  <c r="X101" i="48"/>
  <c r="W101" i="48"/>
  <c r="V101" i="48"/>
  <c r="Z100" i="48"/>
  <c r="AK100" i="54" s="1"/>
  <c r="Y100" i="48"/>
  <c r="X100" i="48"/>
  <c r="W100" i="48"/>
  <c r="V100" i="48"/>
  <c r="Z99" i="48"/>
  <c r="AK99" i="54" s="1"/>
  <c r="Y99" i="48"/>
  <c r="X99" i="48"/>
  <c r="W99" i="48"/>
  <c r="V99" i="48"/>
  <c r="Z98" i="48"/>
  <c r="AK98" i="54" s="1"/>
  <c r="Y98" i="48"/>
  <c r="X98" i="48"/>
  <c r="W98" i="48"/>
  <c r="V98" i="48"/>
  <c r="Z97" i="48"/>
  <c r="AK97" i="54" s="1"/>
  <c r="Y97" i="48"/>
  <c r="X97" i="48"/>
  <c r="W97" i="48"/>
  <c r="V97" i="48"/>
  <c r="Z96" i="48"/>
  <c r="AK96" i="54" s="1"/>
  <c r="Y96" i="48"/>
  <c r="X96" i="48"/>
  <c r="W96" i="48"/>
  <c r="V96" i="48"/>
  <c r="Z95" i="48"/>
  <c r="AK95" i="54" s="1"/>
  <c r="Y95" i="48"/>
  <c r="X95" i="48"/>
  <c r="W95" i="48"/>
  <c r="V95" i="48"/>
  <c r="Z94" i="48"/>
  <c r="AK94" i="54" s="1"/>
  <c r="Y94" i="48"/>
  <c r="X94" i="48"/>
  <c r="W94" i="48"/>
  <c r="V94" i="48"/>
  <c r="Z93" i="48"/>
  <c r="AK93" i="54" s="1"/>
  <c r="Y93" i="48"/>
  <c r="X93" i="48"/>
  <c r="W93" i="48"/>
  <c r="V93" i="48"/>
  <c r="Z92" i="48"/>
  <c r="AK92" i="54" s="1"/>
  <c r="Y92" i="48"/>
  <c r="X92" i="48"/>
  <c r="W92" i="48"/>
  <c r="V92" i="48"/>
  <c r="Z91" i="48"/>
  <c r="AK91" i="54" s="1"/>
  <c r="Y91" i="48"/>
  <c r="X91" i="48"/>
  <c r="W91" i="48"/>
  <c r="V91" i="48"/>
  <c r="Z90" i="48"/>
  <c r="AK90" i="54" s="1"/>
  <c r="Y90" i="48"/>
  <c r="X90" i="48"/>
  <c r="W90" i="48"/>
  <c r="V90" i="48"/>
  <c r="Z89" i="48"/>
  <c r="AK89" i="54" s="1"/>
  <c r="Y89" i="48"/>
  <c r="X89" i="48"/>
  <c r="W89" i="48"/>
  <c r="V89" i="48"/>
  <c r="Z88" i="48"/>
  <c r="AK88" i="54" s="1"/>
  <c r="Y88" i="48"/>
  <c r="X88" i="48"/>
  <c r="W88" i="48"/>
  <c r="V88" i="48"/>
  <c r="Z87" i="48"/>
  <c r="AK87" i="54" s="1"/>
  <c r="Y87" i="48"/>
  <c r="X87" i="48"/>
  <c r="W87" i="48"/>
  <c r="V87" i="48"/>
  <c r="Z86" i="48"/>
  <c r="AK86" i="54" s="1"/>
  <c r="Y86" i="48"/>
  <c r="X86" i="48"/>
  <c r="W86" i="48"/>
  <c r="V86" i="48"/>
  <c r="Z85" i="48"/>
  <c r="AK85" i="54" s="1"/>
  <c r="Y85" i="48"/>
  <c r="X85" i="48"/>
  <c r="W85" i="48"/>
  <c r="V85" i="48"/>
  <c r="Z84" i="48"/>
  <c r="AK84" i="54" s="1"/>
  <c r="Y84" i="48"/>
  <c r="X84" i="48"/>
  <c r="W84" i="48"/>
  <c r="V84" i="48"/>
  <c r="Z83" i="48"/>
  <c r="AK83" i="54" s="1"/>
  <c r="Y83" i="48"/>
  <c r="X83" i="48"/>
  <c r="W83" i="48"/>
  <c r="V83" i="48"/>
  <c r="Z82" i="48"/>
  <c r="AK82" i="54" s="1"/>
  <c r="Y82" i="48"/>
  <c r="X82" i="48"/>
  <c r="W82" i="48"/>
  <c r="V82" i="48"/>
  <c r="Z81" i="48"/>
  <c r="AK81" i="54" s="1"/>
  <c r="Y81" i="48"/>
  <c r="X81" i="48"/>
  <c r="W81" i="48"/>
  <c r="V81" i="48"/>
  <c r="Z80" i="48"/>
  <c r="AK80" i="54" s="1"/>
  <c r="Y80" i="48"/>
  <c r="X80" i="48"/>
  <c r="W80" i="48"/>
  <c r="V80" i="48"/>
  <c r="Z79" i="48"/>
  <c r="AK79" i="54" s="1"/>
  <c r="Y79" i="48"/>
  <c r="X79" i="48"/>
  <c r="W79" i="48"/>
  <c r="V79" i="48"/>
  <c r="Z78" i="48"/>
  <c r="AK78" i="54" s="1"/>
  <c r="Y78" i="48"/>
  <c r="X78" i="48"/>
  <c r="W78" i="48"/>
  <c r="V78" i="48"/>
  <c r="Z77" i="48"/>
  <c r="AK77" i="54" s="1"/>
  <c r="Y77" i="48"/>
  <c r="X77" i="48"/>
  <c r="W77" i="48"/>
  <c r="V77" i="48"/>
  <c r="Z76" i="48"/>
  <c r="AK76" i="54" s="1"/>
  <c r="Y76" i="48"/>
  <c r="X76" i="48"/>
  <c r="W76" i="48"/>
  <c r="V76" i="48"/>
  <c r="Z75" i="48"/>
  <c r="AK75" i="54" s="1"/>
  <c r="Y75" i="48"/>
  <c r="X75" i="48"/>
  <c r="W75" i="48"/>
  <c r="V75" i="48"/>
  <c r="Z74" i="48"/>
  <c r="AK74" i="54" s="1"/>
  <c r="Y74" i="48"/>
  <c r="X74" i="48"/>
  <c r="W74" i="48"/>
  <c r="V74" i="48"/>
  <c r="Z73" i="48"/>
  <c r="AK73" i="54" s="1"/>
  <c r="Y73" i="48"/>
  <c r="X73" i="48"/>
  <c r="W73" i="48"/>
  <c r="V73" i="48"/>
  <c r="Z72" i="48"/>
  <c r="AK72" i="54" s="1"/>
  <c r="Y72" i="48"/>
  <c r="X72" i="48"/>
  <c r="W72" i="48"/>
  <c r="V72" i="48"/>
  <c r="Z71" i="48"/>
  <c r="AK71" i="54" s="1"/>
  <c r="Y71" i="48"/>
  <c r="X71" i="48"/>
  <c r="W71" i="48"/>
  <c r="V71" i="48"/>
  <c r="Z70" i="48"/>
  <c r="AK70" i="54" s="1"/>
  <c r="Y70" i="48"/>
  <c r="X70" i="48"/>
  <c r="W70" i="48"/>
  <c r="V70" i="48"/>
  <c r="Z69" i="48"/>
  <c r="AK69" i="54" s="1"/>
  <c r="Y69" i="48"/>
  <c r="X69" i="48"/>
  <c r="W69" i="48"/>
  <c r="V69" i="48"/>
  <c r="Z68" i="48"/>
  <c r="AK68" i="54" s="1"/>
  <c r="Y68" i="48"/>
  <c r="X68" i="48"/>
  <c r="W68" i="48"/>
  <c r="V68" i="48"/>
  <c r="Z67" i="48"/>
  <c r="AK67" i="54" s="1"/>
  <c r="Y67" i="48"/>
  <c r="X67" i="48"/>
  <c r="W67" i="48"/>
  <c r="V67" i="48"/>
  <c r="Z66" i="48"/>
  <c r="AK66" i="54" s="1"/>
  <c r="Y66" i="48"/>
  <c r="X66" i="48"/>
  <c r="W66" i="48"/>
  <c r="V66" i="48"/>
  <c r="Z65" i="48"/>
  <c r="AK65" i="54" s="1"/>
  <c r="Y65" i="48"/>
  <c r="X65" i="48"/>
  <c r="W65" i="48"/>
  <c r="V65" i="48"/>
  <c r="Z64" i="48"/>
  <c r="AK64" i="54" s="1"/>
  <c r="Y64" i="48"/>
  <c r="X64" i="48"/>
  <c r="W64" i="48"/>
  <c r="V64" i="48"/>
  <c r="Z63" i="48"/>
  <c r="AK63" i="54" s="1"/>
  <c r="Y63" i="48"/>
  <c r="X63" i="48"/>
  <c r="W63" i="48"/>
  <c r="V63" i="48"/>
  <c r="Z62" i="48"/>
  <c r="AK62" i="54" s="1"/>
  <c r="Y62" i="48"/>
  <c r="X62" i="48"/>
  <c r="W62" i="48"/>
  <c r="V62" i="48"/>
  <c r="Z61" i="48"/>
  <c r="AK61" i="54" s="1"/>
  <c r="Y61" i="48"/>
  <c r="X61" i="48"/>
  <c r="W61" i="48"/>
  <c r="V61" i="48"/>
  <c r="Z60" i="48"/>
  <c r="AK60" i="54" s="1"/>
  <c r="Y60" i="48"/>
  <c r="X60" i="48"/>
  <c r="W60" i="48"/>
  <c r="V60" i="48"/>
  <c r="Z59" i="48"/>
  <c r="AK59" i="54" s="1"/>
  <c r="Y59" i="48"/>
  <c r="X59" i="48"/>
  <c r="W59" i="48"/>
  <c r="V59" i="48"/>
  <c r="Z58" i="48"/>
  <c r="AK58" i="54" s="1"/>
  <c r="Y58" i="48"/>
  <c r="X58" i="48"/>
  <c r="W58" i="48"/>
  <c r="V58" i="48"/>
  <c r="Z57" i="48"/>
  <c r="AK57" i="54" s="1"/>
  <c r="Y57" i="48"/>
  <c r="X57" i="48"/>
  <c r="W57" i="48"/>
  <c r="V57" i="48"/>
  <c r="Z56" i="48"/>
  <c r="AK56" i="54" s="1"/>
  <c r="Y56" i="48"/>
  <c r="X56" i="48"/>
  <c r="W56" i="48"/>
  <c r="V56" i="48"/>
  <c r="Z55" i="48"/>
  <c r="AK55" i="54" s="1"/>
  <c r="Y55" i="48"/>
  <c r="X55" i="48"/>
  <c r="W55" i="48"/>
  <c r="V55" i="48"/>
  <c r="Z54" i="48"/>
  <c r="AK54" i="54" s="1"/>
  <c r="Y54" i="48"/>
  <c r="X54" i="48"/>
  <c r="W54" i="48"/>
  <c r="V54" i="48"/>
  <c r="Z53" i="48"/>
  <c r="AK53" i="54" s="1"/>
  <c r="Y53" i="48"/>
  <c r="X53" i="48"/>
  <c r="W53" i="48"/>
  <c r="V53" i="48"/>
  <c r="Z52" i="48"/>
  <c r="AK52" i="54" s="1"/>
  <c r="Y52" i="48"/>
  <c r="X52" i="48"/>
  <c r="W52" i="48"/>
  <c r="V52" i="48"/>
  <c r="Z51" i="48"/>
  <c r="AK51" i="54" s="1"/>
  <c r="Y51" i="48"/>
  <c r="X51" i="48"/>
  <c r="W51" i="48"/>
  <c r="V51" i="48"/>
  <c r="Z50" i="48"/>
  <c r="AK50" i="54" s="1"/>
  <c r="Y50" i="48"/>
  <c r="X50" i="48"/>
  <c r="W50" i="48"/>
  <c r="V50" i="48"/>
  <c r="Z49" i="48"/>
  <c r="AK49" i="54" s="1"/>
  <c r="Y49" i="48"/>
  <c r="X49" i="48"/>
  <c r="W49" i="48"/>
  <c r="V49" i="48"/>
  <c r="Z48" i="48"/>
  <c r="AK48" i="54" s="1"/>
  <c r="Y48" i="48"/>
  <c r="X48" i="48"/>
  <c r="W48" i="48"/>
  <c r="V48" i="48"/>
  <c r="Z47" i="48"/>
  <c r="AK47" i="54" s="1"/>
  <c r="Y47" i="48"/>
  <c r="X47" i="48"/>
  <c r="W47" i="48"/>
  <c r="V47" i="48"/>
  <c r="Z46" i="48"/>
  <c r="AK46" i="54" s="1"/>
  <c r="Y46" i="48"/>
  <c r="X46" i="48"/>
  <c r="W46" i="48"/>
  <c r="V46" i="48"/>
  <c r="Z45" i="48"/>
  <c r="AK45" i="54" s="1"/>
  <c r="Y45" i="48"/>
  <c r="X45" i="48"/>
  <c r="W45" i="48"/>
  <c r="V45" i="48"/>
  <c r="Z44" i="48"/>
  <c r="AK44" i="54" s="1"/>
  <c r="Y44" i="48"/>
  <c r="X44" i="48"/>
  <c r="W44" i="48"/>
  <c r="V44" i="48"/>
  <c r="Z43" i="48"/>
  <c r="AK43" i="54" s="1"/>
  <c r="Y43" i="48"/>
  <c r="X43" i="48"/>
  <c r="W43" i="48"/>
  <c r="V43" i="48"/>
  <c r="Z42" i="48"/>
  <c r="AK42" i="54" s="1"/>
  <c r="Y42" i="48"/>
  <c r="X42" i="48"/>
  <c r="W42" i="48"/>
  <c r="V42" i="48"/>
  <c r="Z41" i="48"/>
  <c r="AK41" i="54" s="1"/>
  <c r="Y41" i="48"/>
  <c r="X41" i="48"/>
  <c r="W41" i="48"/>
  <c r="V41" i="48"/>
  <c r="Z40" i="48"/>
  <c r="AK40" i="54" s="1"/>
  <c r="Y40" i="48"/>
  <c r="X40" i="48"/>
  <c r="W40" i="48"/>
  <c r="V40" i="48"/>
  <c r="Z39" i="48"/>
  <c r="AK39" i="54" s="1"/>
  <c r="Y39" i="48"/>
  <c r="X39" i="48"/>
  <c r="W39" i="48"/>
  <c r="V39" i="48"/>
  <c r="Z38" i="48"/>
  <c r="AK38" i="54" s="1"/>
  <c r="Y38" i="48"/>
  <c r="X38" i="48"/>
  <c r="W38" i="48"/>
  <c r="V38" i="48"/>
  <c r="Z37" i="48"/>
  <c r="AK37" i="54" s="1"/>
  <c r="Y37" i="48"/>
  <c r="X37" i="48"/>
  <c r="W37" i="48"/>
  <c r="V37" i="48"/>
  <c r="Z36" i="48"/>
  <c r="AK36" i="54" s="1"/>
  <c r="Y36" i="48"/>
  <c r="X36" i="48"/>
  <c r="W36" i="48"/>
  <c r="V36" i="48"/>
  <c r="Z35" i="48"/>
  <c r="AK35" i="54" s="1"/>
  <c r="Y35" i="48"/>
  <c r="X35" i="48"/>
  <c r="W35" i="48"/>
  <c r="V35" i="48"/>
  <c r="Z34" i="48"/>
  <c r="AK34" i="54" s="1"/>
  <c r="Y34" i="48"/>
  <c r="X34" i="48"/>
  <c r="W34" i="48"/>
  <c r="V34" i="48"/>
  <c r="Z33" i="48"/>
  <c r="AK33" i="54" s="1"/>
  <c r="Y33" i="48"/>
  <c r="X33" i="48"/>
  <c r="W33" i="48"/>
  <c r="V33" i="48"/>
  <c r="Z32" i="48"/>
  <c r="AK32" i="54" s="1"/>
  <c r="Y32" i="48"/>
  <c r="X32" i="48"/>
  <c r="W32" i="48"/>
  <c r="V32" i="48"/>
  <c r="Z31" i="48"/>
  <c r="AK31" i="54" s="1"/>
  <c r="Y31" i="48"/>
  <c r="X31" i="48"/>
  <c r="W31" i="48"/>
  <c r="V31" i="48"/>
  <c r="Z30" i="48"/>
  <c r="AK30" i="54" s="1"/>
  <c r="Y30" i="48"/>
  <c r="X30" i="48"/>
  <c r="W30" i="48"/>
  <c r="V30" i="48"/>
  <c r="Z29" i="48"/>
  <c r="AK29" i="54" s="1"/>
  <c r="Y29" i="48"/>
  <c r="X29" i="48"/>
  <c r="W29" i="48"/>
  <c r="V29" i="48"/>
  <c r="Z28" i="48"/>
  <c r="AK28" i="54" s="1"/>
  <c r="Y28" i="48"/>
  <c r="X28" i="48"/>
  <c r="W28" i="48"/>
  <c r="V28" i="48"/>
  <c r="Z27" i="48"/>
  <c r="AK27" i="54" s="1"/>
  <c r="Y27" i="48"/>
  <c r="X27" i="48"/>
  <c r="W27" i="48"/>
  <c r="V27" i="48"/>
  <c r="Z26" i="48"/>
  <c r="AK26" i="54" s="1"/>
  <c r="Y26" i="48"/>
  <c r="X26" i="48"/>
  <c r="W26" i="48"/>
  <c r="V26" i="48"/>
  <c r="Z25" i="48"/>
  <c r="AK25" i="54" s="1"/>
  <c r="Y25" i="48"/>
  <c r="X25" i="48"/>
  <c r="W25" i="48"/>
  <c r="V25" i="48"/>
  <c r="Z24" i="48"/>
  <c r="AK24" i="54" s="1"/>
  <c r="Y24" i="48"/>
  <c r="X24" i="48"/>
  <c r="W24" i="48"/>
  <c r="V24" i="48"/>
  <c r="Z23" i="48"/>
  <c r="AK23" i="54" s="1"/>
  <c r="Y23" i="48"/>
  <c r="X23" i="48"/>
  <c r="W23" i="48"/>
  <c r="V23" i="48"/>
  <c r="Z22" i="48"/>
  <c r="AK22" i="54" s="1"/>
  <c r="Y22" i="48"/>
  <c r="X22" i="48"/>
  <c r="W22" i="48"/>
  <c r="V22" i="48"/>
  <c r="Z21" i="48"/>
  <c r="AK21" i="54" s="1"/>
  <c r="Y21" i="48"/>
  <c r="X21" i="48"/>
  <c r="W21" i="48"/>
  <c r="V21" i="48"/>
  <c r="Z20" i="48"/>
  <c r="AK20" i="54" s="1"/>
  <c r="Y20" i="48"/>
  <c r="X20" i="48"/>
  <c r="W20" i="48"/>
  <c r="V20" i="48"/>
  <c r="Z19" i="48"/>
  <c r="AK19" i="54" s="1"/>
  <c r="Y19" i="48"/>
  <c r="X19" i="48"/>
  <c r="W19" i="48"/>
  <c r="V19" i="48"/>
  <c r="Z18" i="48"/>
  <c r="AK18" i="54" s="1"/>
  <c r="Y18" i="48"/>
  <c r="X18" i="48"/>
  <c r="W18" i="48"/>
  <c r="V18" i="48"/>
  <c r="Z17" i="48"/>
  <c r="AK17" i="54" s="1"/>
  <c r="Y17" i="48"/>
  <c r="X17" i="48"/>
  <c r="W17" i="48"/>
  <c r="V17" i="48"/>
  <c r="Z16" i="48"/>
  <c r="AK16" i="54" s="1"/>
  <c r="Y16" i="48"/>
  <c r="X16" i="48"/>
  <c r="W16" i="48"/>
  <c r="V16" i="48"/>
  <c r="Z15" i="48"/>
  <c r="AK15" i="54" s="1"/>
  <c r="Y15" i="48"/>
  <c r="X15" i="48"/>
  <c r="W15" i="48"/>
  <c r="V15" i="48"/>
  <c r="E13" i="64"/>
  <c r="BB13" i="44" s="1"/>
  <c r="C7" i="56"/>
  <c r="F7" i="56"/>
  <c r="E7" i="56"/>
  <c r="D7" i="56"/>
  <c r="W165" i="66" l="1"/>
  <c r="W167" i="66"/>
  <c r="W166" i="66"/>
  <c r="O13" i="44"/>
  <c r="K168" i="66" s="1"/>
  <c r="K177" i="66"/>
  <c r="V177" i="66" s="1"/>
  <c r="K176" i="66"/>
  <c r="V176" i="66" s="1"/>
  <c r="K178" i="66"/>
  <c r="V178" i="66" s="1"/>
  <c r="K174" i="66"/>
  <c r="V174" i="66" s="1"/>
  <c r="K173" i="66"/>
  <c r="V173" i="66" s="1"/>
  <c r="K175" i="66"/>
  <c r="V175" i="66" s="1"/>
  <c r="K179" i="66"/>
  <c r="V179" i="66" s="1"/>
  <c r="J174" i="66"/>
  <c r="U174" i="66" s="1"/>
  <c r="V162" i="66"/>
  <c r="J178" i="66"/>
  <c r="U178" i="66" s="1"/>
  <c r="V166" i="66"/>
  <c r="J179" i="66"/>
  <c r="U179" i="66" s="1"/>
  <c r="V167" i="66"/>
  <c r="J175" i="66"/>
  <c r="U175" i="66" s="1"/>
  <c r="V163" i="66"/>
  <c r="J177" i="66"/>
  <c r="U177" i="66" s="1"/>
  <c r="V165" i="66"/>
  <c r="J173" i="66"/>
  <c r="U173" i="66" s="1"/>
  <c r="V161" i="66"/>
  <c r="J176" i="66"/>
  <c r="U176" i="66" s="1"/>
  <c r="V164" i="66"/>
  <c r="AU13" i="44"/>
  <c r="BN15" i="44"/>
  <c r="AP105" i="47"/>
  <c r="AQ20" i="47"/>
  <c r="AN15" i="47"/>
  <c r="U164" i="66"/>
  <c r="AO78" i="47"/>
  <c r="AQ84" i="47"/>
  <c r="AQ16" i="47"/>
  <c r="AO18" i="47"/>
  <c r="AP21" i="47"/>
  <c r="AN23" i="47"/>
  <c r="AQ24" i="47"/>
  <c r="AO26" i="47"/>
  <c r="AP29" i="47"/>
  <c r="AN31" i="47"/>
  <c r="AQ32" i="47"/>
  <c r="AO34" i="47"/>
  <c r="AP37" i="47"/>
  <c r="AN39" i="47"/>
  <c r="AQ40" i="47"/>
  <c r="AO42" i="47"/>
  <c r="AP45" i="47"/>
  <c r="AN47" i="47"/>
  <c r="AQ48" i="47"/>
  <c r="AO50" i="47"/>
  <c r="AP53" i="47"/>
  <c r="AN55" i="47"/>
  <c r="AQ56" i="47"/>
  <c r="AO58" i="47"/>
  <c r="AP61" i="47"/>
  <c r="AN63" i="47"/>
  <c r="AQ64" i="47"/>
  <c r="AO66" i="47"/>
  <c r="AP69" i="47"/>
  <c r="AO74" i="47"/>
  <c r="AP77" i="47"/>
  <c r="AN79" i="47"/>
  <c r="AQ80" i="47"/>
  <c r="AP85" i="47"/>
  <c r="AN87" i="47"/>
  <c r="AQ88" i="47"/>
  <c r="AO90" i="47"/>
  <c r="AP93" i="47"/>
  <c r="AN95" i="47"/>
  <c r="AQ96" i="47"/>
  <c r="AO98" i="47"/>
  <c r="AP101" i="47"/>
  <c r="AN103" i="47"/>
  <c r="AQ104" i="47"/>
  <c r="AO106" i="47"/>
  <c r="AP109" i="47"/>
  <c r="AN111" i="47"/>
  <c r="AQ112" i="47"/>
  <c r="AO114" i="47"/>
  <c r="AP117" i="47"/>
  <c r="AN119" i="47"/>
  <c r="AQ120" i="47"/>
  <c r="AP125" i="47"/>
  <c r="AN127" i="47"/>
  <c r="AQ128" i="47"/>
  <c r="AO130" i="47"/>
  <c r="AP133" i="47"/>
  <c r="AN135" i="47"/>
  <c r="AQ136" i="47"/>
  <c r="AO138" i="47"/>
  <c r="AP141" i="47"/>
  <c r="AN143" i="47"/>
  <c r="AQ144" i="47"/>
  <c r="AO146" i="47"/>
  <c r="AP149" i="47"/>
  <c r="AN151" i="47"/>
  <c r="AQ152" i="47"/>
  <c r="AP157" i="47"/>
  <c r="AN159" i="47"/>
  <c r="AQ160" i="47"/>
  <c r="AO162" i="47"/>
  <c r="AP165" i="47"/>
  <c r="AN167" i="47"/>
  <c r="AQ168" i="47"/>
  <c r="AO170" i="47"/>
  <c r="AP17" i="47"/>
  <c r="AP113" i="47"/>
  <c r="AP145" i="47"/>
  <c r="I176" i="66"/>
  <c r="T176" i="66" s="1"/>
  <c r="U163" i="66"/>
  <c r="U162" i="66"/>
  <c r="U166" i="66"/>
  <c r="U165" i="66"/>
  <c r="U167" i="66"/>
  <c r="I177" i="66"/>
  <c r="T177" i="66" s="1"/>
  <c r="AQ52" i="47"/>
  <c r="AP57" i="47"/>
  <c r="AO86" i="47"/>
  <c r="AN107" i="47"/>
  <c r="T161" i="66"/>
  <c r="U161" i="66"/>
  <c r="T163" i="66"/>
  <c r="T167" i="66"/>
  <c r="T164" i="66"/>
  <c r="T162" i="66"/>
  <c r="AQ205" i="47"/>
  <c r="AQ209" i="47"/>
  <c r="AQ217" i="47"/>
  <c r="AO235" i="47"/>
  <c r="AP242" i="47"/>
  <c r="AP246" i="47"/>
  <c r="AQ249" i="47"/>
  <c r="AP254" i="47"/>
  <c r="AQ257" i="47"/>
  <c r="AO259" i="47"/>
  <c r="AP262" i="47"/>
  <c r="AQ265" i="47"/>
  <c r="AO267" i="47"/>
  <c r="AP270" i="47"/>
  <c r="AQ273" i="47"/>
  <c r="AP274" i="47"/>
  <c r="AO275" i="47"/>
  <c r="AQ277" i="47"/>
  <c r="AP278" i="47"/>
  <c r="AQ281" i="47"/>
  <c r="AP282" i="47"/>
  <c r="AP286" i="47"/>
  <c r="AQ289" i="47"/>
  <c r="AP290" i="47"/>
  <c r="AO291" i="47"/>
  <c r="AQ293" i="47"/>
  <c r="AP294" i="47"/>
  <c r="AQ297" i="47"/>
  <c r="AP298" i="47"/>
  <c r="AQ301" i="47"/>
  <c r="AP302" i="47"/>
  <c r="AO303" i="47"/>
  <c r="AN304" i="47"/>
  <c r="AQ305" i="47"/>
  <c r="AP306" i="47"/>
  <c r="AO307" i="47"/>
  <c r="AO203" i="47"/>
  <c r="AP206" i="47"/>
  <c r="AO211" i="47"/>
  <c r="AO219" i="47"/>
  <c r="AQ225" i="47"/>
  <c r="AP230" i="47"/>
  <c r="AP234" i="47"/>
  <c r="AQ241" i="47"/>
  <c r="AP258" i="47"/>
  <c r="AQ18" i="47"/>
  <c r="AP23" i="47"/>
  <c r="AN25" i="47"/>
  <c r="AQ26" i="47"/>
  <c r="AO28" i="47"/>
  <c r="AP31" i="47"/>
  <c r="AP47" i="47"/>
  <c r="AQ50" i="47"/>
  <c r="AO52" i="47"/>
  <c r="AP55" i="47"/>
  <c r="AP63" i="47"/>
  <c r="AP71" i="47"/>
  <c r="AP75" i="47"/>
  <c r="AP79" i="47"/>
  <c r="AP83" i="47"/>
  <c r="AP87" i="47"/>
  <c r="AN89" i="47"/>
  <c r="AQ90" i="47"/>
  <c r="AP91" i="47"/>
  <c r="AO92" i="47"/>
  <c r="AN93" i="47"/>
  <c r="AQ94" i="47"/>
  <c r="AP95" i="47"/>
  <c r="AP99" i="47"/>
  <c r="AN101" i="47"/>
  <c r="AP103" i="47"/>
  <c r="AN105" i="47"/>
  <c r="AQ106" i="47"/>
  <c r="AP107" i="47"/>
  <c r="AO108" i="47"/>
  <c r="AN109" i="47"/>
  <c r="AQ110" i="47"/>
  <c r="AP111" i="47"/>
  <c r="AO112" i="47"/>
  <c r="AO207" i="47"/>
  <c r="AP210" i="47"/>
  <c r="AP214" i="47"/>
  <c r="AP218" i="47"/>
  <c r="AP222" i="47"/>
  <c r="AP226" i="47"/>
  <c r="AQ233" i="47"/>
  <c r="AO243" i="47"/>
  <c r="AO255" i="47"/>
  <c r="AP266" i="47"/>
  <c r="T165" i="66"/>
  <c r="AN113" i="47"/>
  <c r="AQ114" i="47"/>
  <c r="AP115" i="47"/>
  <c r="AN117" i="47"/>
  <c r="AQ118" i="47"/>
  <c r="AP119" i="47"/>
  <c r="AO120" i="47"/>
  <c r="AP123" i="47"/>
  <c r="AN125" i="47"/>
  <c r="AQ126" i="47"/>
  <c r="AP127" i="47"/>
  <c r="AO128" i="47"/>
  <c r="AN129" i="47"/>
  <c r="AQ130" i="47"/>
  <c r="AP131" i="47"/>
  <c r="AO132" i="47"/>
  <c r="AN133" i="47"/>
  <c r="AQ134" i="47"/>
  <c r="AP135" i="47"/>
  <c r="AO136" i="47"/>
  <c r="AN137" i="47"/>
  <c r="AQ138" i="47"/>
  <c r="AP139" i="47"/>
  <c r="AO140" i="47"/>
  <c r="AN141" i="47"/>
  <c r="AQ142" i="47"/>
  <c r="AP143" i="47"/>
  <c r="AO144" i="47"/>
  <c r="AN145" i="47"/>
  <c r="AQ146" i="47"/>
  <c r="AP147" i="47"/>
  <c r="AO148" i="47"/>
  <c r="AN149" i="47"/>
  <c r="AQ150" i="47"/>
  <c r="AP151" i="47"/>
  <c r="AO152" i="47"/>
  <c r="AN153" i="47"/>
  <c r="AQ154" i="47"/>
  <c r="AP155" i="47"/>
  <c r="AO156" i="47"/>
  <c r="AN157" i="47"/>
  <c r="AQ158" i="47"/>
  <c r="AP159" i="47"/>
  <c r="AO160" i="47"/>
  <c r="AN161" i="47"/>
  <c r="AQ162" i="47"/>
  <c r="AP163" i="47"/>
  <c r="AO164" i="47"/>
  <c r="AN165" i="47"/>
  <c r="AQ166" i="47"/>
  <c r="AP167" i="47"/>
  <c r="AO168" i="47"/>
  <c r="AN169" i="47"/>
  <c r="AQ170" i="47"/>
  <c r="AP171" i="47"/>
  <c r="AO172" i="47"/>
  <c r="AN173" i="47"/>
  <c r="AQ174" i="47"/>
  <c r="AP175" i="47"/>
  <c r="AO176" i="47"/>
  <c r="AQ178" i="47"/>
  <c r="AP179" i="47"/>
  <c r="AO180" i="47"/>
  <c r="AN181" i="47"/>
  <c r="AQ182" i="47"/>
  <c r="AP183" i="47"/>
  <c r="AO184" i="47"/>
  <c r="AN185" i="47"/>
  <c r="AQ186" i="47"/>
  <c r="AP187" i="47"/>
  <c r="AO188" i="47"/>
  <c r="AN189" i="47"/>
  <c r="AQ190" i="47"/>
  <c r="AP191" i="47"/>
  <c r="AO192" i="47"/>
  <c r="AN193" i="47"/>
  <c r="AP195" i="47"/>
  <c r="AN197" i="47"/>
  <c r="AQ198" i="47"/>
  <c r="AP199" i="47"/>
  <c r="AO200" i="47"/>
  <c r="AP203" i="47"/>
  <c r="AN205" i="47"/>
  <c r="AQ206" i="47"/>
  <c r="AP207" i="47"/>
  <c r="AO208" i="47"/>
  <c r="AN209" i="47"/>
  <c r="AQ210" i="47"/>
  <c r="AP211" i="47"/>
  <c r="AO212" i="47"/>
  <c r="AN213" i="47"/>
  <c r="AQ214" i="47"/>
  <c r="AP215" i="47"/>
  <c r="AO216" i="47"/>
  <c r="AP219" i="47"/>
  <c r="AN221" i="47"/>
  <c r="AQ222" i="47"/>
  <c r="AP223" i="47"/>
  <c r="AO224" i="47"/>
  <c r="AQ226" i="47"/>
  <c r="AP227" i="47"/>
  <c r="AO228" i="47"/>
  <c r="AN229" i="47"/>
  <c r="AQ230" i="47"/>
  <c r="AP231" i="47"/>
  <c r="AO232" i="47"/>
  <c r="AP235" i="47"/>
  <c r="AN237" i="47"/>
  <c r="AQ238" i="47"/>
  <c r="AP239" i="47"/>
  <c r="AO240" i="47"/>
  <c r="AN241" i="47"/>
  <c r="AQ242" i="47"/>
  <c r="AP243" i="47"/>
  <c r="AN245" i="47"/>
  <c r="AQ246" i="47"/>
  <c r="AP247" i="47"/>
  <c r="AO248" i="47"/>
  <c r="AN249" i="47"/>
  <c r="AQ250" i="47"/>
  <c r="AP251" i="47"/>
  <c r="AO252" i="47"/>
  <c r="AN253" i="47"/>
  <c r="AQ254" i="47"/>
  <c r="AP255" i="47"/>
  <c r="AO256" i="47"/>
  <c r="AN257" i="47"/>
  <c r="AQ258" i="47"/>
  <c r="AP259" i="47"/>
  <c r="AO260" i="47"/>
  <c r="AN261" i="47"/>
  <c r="AQ262" i="47"/>
  <c r="AP263" i="47"/>
  <c r="AO264" i="47"/>
  <c r="AN265" i="47"/>
  <c r="AQ266" i="47"/>
  <c r="AP267" i="47"/>
  <c r="AO268" i="47"/>
  <c r="AN269" i="47"/>
  <c r="AQ270" i="47"/>
  <c r="AP271" i="47"/>
  <c r="AO272" i="47"/>
  <c r="AN273" i="47"/>
  <c r="AQ274" i="47"/>
  <c r="AP275" i="47"/>
  <c r="AO276" i="47"/>
  <c r="AN277" i="47"/>
  <c r="AQ278" i="47"/>
  <c r="AP279" i="47"/>
  <c r="AO280" i="47"/>
  <c r="AP283" i="47"/>
  <c r="AO284" i="47"/>
  <c r="AN285" i="47"/>
  <c r="AQ286" i="47"/>
  <c r="AP287" i="47"/>
  <c r="AO288" i="47"/>
  <c r="AP291" i="47"/>
  <c r="AN293" i="47"/>
  <c r="AQ294" i="47"/>
  <c r="AP295" i="47"/>
  <c r="AO296" i="47"/>
  <c r="AQ298" i="47"/>
  <c r="AP299" i="47"/>
  <c r="AN301" i="47"/>
  <c r="AQ302" i="47"/>
  <c r="AP303" i="47"/>
  <c r="AO304" i="47"/>
  <c r="AN305" i="47"/>
  <c r="AQ306" i="47"/>
  <c r="AP307" i="47"/>
  <c r="AP172" i="47"/>
  <c r="AP180" i="47"/>
  <c r="AN182" i="47"/>
  <c r="AQ183" i="47"/>
  <c r="AQ191" i="47"/>
  <c r="AP196" i="47"/>
  <c r="AN198" i="47"/>
  <c r="AQ199" i="47"/>
  <c r="AP204" i="47"/>
  <c r="AN214" i="47"/>
  <c r="AQ215" i="47"/>
  <c r="AP220" i="47"/>
  <c r="AN222" i="47"/>
  <c r="AQ223" i="47"/>
  <c r="AP228" i="47"/>
  <c r="AN230" i="47"/>
  <c r="AQ231" i="47"/>
  <c r="AO233" i="47"/>
  <c r="AP236" i="47"/>
  <c r="AN238" i="47"/>
  <c r="AP244" i="47"/>
  <c r="AP252" i="47"/>
  <c r="AQ255" i="47"/>
  <c r="AP260" i="47"/>
  <c r="AN262" i="47"/>
  <c r="AQ263" i="47"/>
  <c r="AP268" i="47"/>
  <c r="AP276" i="47"/>
  <c r="AQ279" i="47"/>
  <c r="AO281" i="47"/>
  <c r="AN286" i="47"/>
  <c r="AQ287" i="47"/>
  <c r="AP292" i="47"/>
  <c r="AN294" i="47"/>
  <c r="AQ295" i="47"/>
  <c r="AP300" i="47"/>
  <c r="AN16" i="47"/>
  <c r="AQ17" i="47"/>
  <c r="AP18" i="47"/>
  <c r="AO19" i="47"/>
  <c r="AP22" i="47"/>
  <c r="AN24" i="47"/>
  <c r="AQ25" i="47"/>
  <c r="AP26" i="47"/>
  <c r="AO27" i="47"/>
  <c r="AN28" i="47"/>
  <c r="AQ29" i="47"/>
  <c r="AP30" i="47"/>
  <c r="AN32" i="47"/>
  <c r="AQ33" i="47"/>
  <c r="AP34" i="47"/>
  <c r="AO35" i="47"/>
  <c r="AN36" i="47"/>
  <c r="AQ37" i="47"/>
  <c r="AP38" i="47"/>
  <c r="AO39" i="47"/>
  <c r="AN40" i="47"/>
  <c r="AQ41" i="47"/>
  <c r="AP42" i="47"/>
  <c r="AO43" i="47"/>
  <c r="AN44" i="47"/>
  <c r="AQ45" i="47"/>
  <c r="AP46" i="47"/>
  <c r="AN48" i="47"/>
  <c r="AQ49" i="47"/>
  <c r="AP50" i="47"/>
  <c r="AO51" i="47"/>
  <c r="AP54" i="47"/>
  <c r="AN56" i="47"/>
  <c r="AQ57" i="47"/>
  <c r="AP58" i="47"/>
  <c r="AO59" i="47"/>
  <c r="AP62" i="47"/>
  <c r="AO63" i="47"/>
  <c r="AN64" i="47"/>
  <c r="AQ65" i="47"/>
  <c r="AP66" i="47"/>
  <c r="AO67" i="47"/>
  <c r="AN68" i="47"/>
  <c r="AQ69" i="47"/>
  <c r="AP70" i="47"/>
  <c r="AO71" i="47"/>
  <c r="AN72" i="47"/>
  <c r="AQ73" i="47"/>
  <c r="AP74" i="47"/>
  <c r="AO75" i="47"/>
  <c r="AN76" i="47"/>
  <c r="AQ77" i="47"/>
  <c r="AP78" i="47"/>
  <c r="AO79" i="47"/>
  <c r="AN80" i="47"/>
  <c r="AQ81" i="47"/>
  <c r="AO17" i="47"/>
  <c r="AP20" i="47"/>
  <c r="AN22" i="47"/>
  <c r="AQ23" i="47"/>
  <c r="AO25" i="47"/>
  <c r="AP28" i="47"/>
  <c r="AN30" i="47"/>
  <c r="AQ31" i="47"/>
  <c r="AO33" i="47"/>
  <c r="AP36" i="47"/>
  <c r="AN38" i="47"/>
  <c r="AQ39" i="47"/>
  <c r="AP44" i="47"/>
  <c r="AQ55" i="47"/>
  <c r="AP60" i="47"/>
  <c r="AQ63" i="47"/>
  <c r="AO65" i="47"/>
  <c r="AP68" i="47"/>
  <c r="AN70" i="47"/>
  <c r="AQ71" i="47"/>
  <c r="AO73" i="47"/>
  <c r="AP76" i="47"/>
  <c r="AN78" i="47"/>
  <c r="AQ79" i="47"/>
  <c r="AO81" i="47"/>
  <c r="AP84" i="47"/>
  <c r="AN86" i="47"/>
  <c r="AQ87" i="47"/>
  <c r="AO89" i="47"/>
  <c r="AP92" i="47"/>
  <c r="AN94" i="47"/>
  <c r="AQ95" i="47"/>
  <c r="AO97" i="47"/>
  <c r="AP100" i="47"/>
  <c r="AP108" i="47"/>
  <c r="AN110" i="47"/>
  <c r="AQ111" i="47"/>
  <c r="AO113" i="47"/>
  <c r="AP116" i="47"/>
  <c r="AN118" i="47"/>
  <c r="AQ119" i="47"/>
  <c r="AP124" i="47"/>
  <c r="AP132" i="47"/>
  <c r="AN134" i="47"/>
  <c r="AP140" i="47"/>
  <c r="AN142" i="47"/>
  <c r="AP173" i="47"/>
  <c r="AO174" i="47"/>
  <c r="AN175" i="47"/>
  <c r="AQ176" i="47"/>
  <c r="AP177" i="47"/>
  <c r="AO178" i="47"/>
  <c r="AN179" i="47"/>
  <c r="AP181" i="47"/>
  <c r="AN183" i="47"/>
  <c r="AQ184" i="47"/>
  <c r="AP185" i="47"/>
  <c r="AO186" i="47"/>
  <c r="AN187" i="47"/>
  <c r="AQ188" i="47"/>
  <c r="AP189" i="47"/>
  <c r="AN191" i="47"/>
  <c r="AQ192" i="47"/>
  <c r="AP193" i="47"/>
  <c r="AO194" i="47"/>
  <c r="AN195" i="47"/>
  <c r="AQ196" i="47"/>
  <c r="AP197" i="47"/>
  <c r="AO198" i="47"/>
  <c r="AP201" i="47"/>
  <c r="AP82" i="47"/>
  <c r="AO83" i="47"/>
  <c r="AN84" i="47"/>
  <c r="AQ85" i="47"/>
  <c r="AP86" i="47"/>
  <c r="AN88" i="47"/>
  <c r="AQ89" i="47"/>
  <c r="AP90" i="47"/>
  <c r="AO91" i="47"/>
  <c r="AP94" i="47"/>
  <c r="AN96" i="47"/>
  <c r="AQ97" i="47"/>
  <c r="AP98" i="47"/>
  <c r="AO99" i="47"/>
  <c r="AN100" i="47"/>
  <c r="AQ101" i="47"/>
  <c r="AP102" i="47"/>
  <c r="AN104" i="47"/>
  <c r="AQ105" i="47"/>
  <c r="AP106" i="47"/>
  <c r="AO107" i="47"/>
  <c r="AP110" i="47"/>
  <c r="AN112" i="47"/>
  <c r="AQ113" i="47"/>
  <c r="AP114" i="47"/>
  <c r="AO115" i="47"/>
  <c r="AP118" i="47"/>
  <c r="AN120" i="47"/>
  <c r="AQ121" i="47"/>
  <c r="AP122" i="47"/>
  <c r="AO123" i="47"/>
  <c r="AN124" i="47"/>
  <c r="AQ125" i="47"/>
  <c r="AP126" i="47"/>
  <c r="AN128" i="47"/>
  <c r="AQ129" i="47"/>
  <c r="AP130" i="47"/>
  <c r="AO131" i="47"/>
  <c r="AQ133" i="47"/>
  <c r="AP134" i="47"/>
  <c r="AN136" i="47"/>
  <c r="AQ137" i="47"/>
  <c r="AP138" i="47"/>
  <c r="AO139" i="47"/>
  <c r="AP142" i="47"/>
  <c r="AN144" i="47"/>
  <c r="AQ145" i="47"/>
  <c r="AP146" i="47"/>
  <c r="AO147" i="47"/>
  <c r="AP150" i="47"/>
  <c r="AN152" i="47"/>
  <c r="AQ153" i="47"/>
  <c r="AP154" i="47"/>
  <c r="AO155" i="47"/>
  <c r="AP158" i="47"/>
  <c r="AN160" i="47"/>
  <c r="AQ161" i="47"/>
  <c r="AP162" i="47"/>
  <c r="AO163" i="47"/>
  <c r="AP166" i="47"/>
  <c r="AN168" i="47"/>
  <c r="AQ169" i="47"/>
  <c r="AP170" i="47"/>
  <c r="AO171" i="47"/>
  <c r="AP174" i="47"/>
  <c r="AN176" i="47"/>
  <c r="AQ177" i="47"/>
  <c r="AP178" i="47"/>
  <c r="AO179" i="47"/>
  <c r="AP182" i="47"/>
  <c r="AN184" i="47"/>
  <c r="AQ185" i="47"/>
  <c r="AO187" i="47"/>
  <c r="AP190" i="47"/>
  <c r="AN192" i="47"/>
  <c r="AQ193" i="47"/>
  <c r="AP194" i="47"/>
  <c r="AO195" i="47"/>
  <c r="AN196" i="47"/>
  <c r="AQ197" i="47"/>
  <c r="AP198" i="47"/>
  <c r="AO199" i="47"/>
  <c r="AN200" i="47"/>
  <c r="AQ201" i="47"/>
  <c r="AP202" i="47"/>
  <c r="AQ143" i="47"/>
  <c r="AO145" i="47"/>
  <c r="AP148" i="47"/>
  <c r="AN150" i="47"/>
  <c r="AQ151" i="47"/>
  <c r="AO153" i="47"/>
  <c r="AP156" i="47"/>
  <c r="AN158" i="47"/>
  <c r="AP164" i="47"/>
  <c r="I173" i="66"/>
  <c r="T173" i="66" s="1"/>
  <c r="AN203" i="47"/>
  <c r="AQ204" i="47"/>
  <c r="AP205" i="47"/>
  <c r="AO206" i="47"/>
  <c r="AN207" i="47"/>
  <c r="AQ208" i="47"/>
  <c r="AP209" i="47"/>
  <c r="AN211" i="47"/>
  <c r="AQ212" i="47"/>
  <c r="AP213" i="47"/>
  <c r="AN215" i="47"/>
  <c r="AQ216" i="47"/>
  <c r="AP217" i="47"/>
  <c r="AN219" i="47"/>
  <c r="AP221" i="47"/>
  <c r="AN223" i="47"/>
  <c r="AQ224" i="47"/>
  <c r="AP225" i="47"/>
  <c r="AO226" i="47"/>
  <c r="AN227" i="47"/>
  <c r="AQ228" i="47"/>
  <c r="AP229" i="47"/>
  <c r="AN231" i="47"/>
  <c r="AQ232" i="47"/>
  <c r="AP233" i="47"/>
  <c r="AO234" i="47"/>
  <c r="AP237" i="47"/>
  <c r="AO238" i="47"/>
  <c r="AN239" i="47"/>
  <c r="AQ240" i="47"/>
  <c r="AP241" i="47"/>
  <c r="AO242" i="47"/>
  <c r="AN243" i="47"/>
  <c r="AQ244" i="47"/>
  <c r="AP245" i="47"/>
  <c r="AO246" i="47"/>
  <c r="AN247" i="47"/>
  <c r="AQ248" i="47"/>
  <c r="AP249" i="47"/>
  <c r="AO250" i="47"/>
  <c r="AN251" i="47"/>
  <c r="AQ252" i="47"/>
  <c r="AP253" i="47"/>
  <c r="AO254" i="47"/>
  <c r="AN255" i="47"/>
  <c r="AQ256" i="47"/>
  <c r="AP257" i="47"/>
  <c r="AO258" i="47"/>
  <c r="AP261" i="47"/>
  <c r="AN263" i="47"/>
  <c r="AQ264" i="47"/>
  <c r="AP265" i="47"/>
  <c r="AO266" i="47"/>
  <c r="AN267" i="47"/>
  <c r="AQ268" i="47"/>
  <c r="AP269" i="47"/>
  <c r="AO270" i="47"/>
  <c r="AN271" i="47"/>
  <c r="AQ272" i="47"/>
  <c r="AP273" i="47"/>
  <c r="AO274" i="47"/>
  <c r="AN275" i="47"/>
  <c r="AP277" i="47"/>
  <c r="AN279" i="47"/>
  <c r="AQ280" i="47"/>
  <c r="AP281" i="47"/>
  <c r="AN283" i="47"/>
  <c r="AQ284" i="47"/>
  <c r="AP285" i="47"/>
  <c r="AN287" i="47"/>
  <c r="AQ288" i="47"/>
  <c r="AP289" i="47"/>
  <c r="AO290" i="47"/>
  <c r="AN291" i="47"/>
  <c r="AQ292" i="47"/>
  <c r="AP293" i="47"/>
  <c r="AN295" i="47"/>
  <c r="AQ296" i="47"/>
  <c r="AP297" i="47"/>
  <c r="AN299" i="47"/>
  <c r="AQ300" i="47"/>
  <c r="AP301" i="47"/>
  <c r="AO302" i="47"/>
  <c r="AP305" i="47"/>
  <c r="AN307" i="47"/>
  <c r="AN204" i="47"/>
  <c r="AN208" i="47"/>
  <c r="AN212" i="47"/>
  <c r="AN216" i="47"/>
  <c r="AN224" i="47"/>
  <c r="AO227" i="47"/>
  <c r="AN232" i="47"/>
  <c r="AN236" i="47"/>
  <c r="AP238" i="47"/>
  <c r="AN240" i="47"/>
  <c r="AN248" i="47"/>
  <c r="AP250" i="47"/>
  <c r="AO251" i="47"/>
  <c r="AN256" i="47"/>
  <c r="AN264" i="47"/>
  <c r="AN272" i="47"/>
  <c r="AN280" i="47"/>
  <c r="AO283" i="47"/>
  <c r="AN288" i="47"/>
  <c r="AN292" i="47"/>
  <c r="AN296" i="47"/>
  <c r="AO299" i="47"/>
  <c r="H177" i="66"/>
  <c r="S177" i="66" s="1"/>
  <c r="T166" i="66"/>
  <c r="H176" i="66"/>
  <c r="S176" i="66" s="1"/>
  <c r="AO16" i="47"/>
  <c r="AP19" i="47"/>
  <c r="AN21" i="47"/>
  <c r="AQ22" i="47"/>
  <c r="AO24" i="47"/>
  <c r="AP27" i="47"/>
  <c r="AN29" i="47"/>
  <c r="AQ30" i="47"/>
  <c r="AO32" i="47"/>
  <c r="AP35" i="47"/>
  <c r="AN37" i="47"/>
  <c r="AQ38" i="47"/>
  <c r="AO40" i="47"/>
  <c r="AP43" i="47"/>
  <c r="AN45" i="47"/>
  <c r="AQ46" i="47"/>
  <c r="AO48" i="47"/>
  <c r="AP51" i="47"/>
  <c r="AN53" i="47"/>
  <c r="AQ54" i="47"/>
  <c r="AO56" i="47"/>
  <c r="AP59" i="47"/>
  <c r="AN61" i="47"/>
  <c r="AQ62" i="47"/>
  <c r="AO64" i="47"/>
  <c r="AP67" i="47"/>
  <c r="AN69" i="47"/>
  <c r="AQ70" i="47"/>
  <c r="AO72" i="47"/>
  <c r="AN77" i="47"/>
  <c r="AQ78" i="47"/>
  <c r="AO80" i="47"/>
  <c r="AN85" i="47"/>
  <c r="AQ86" i="47"/>
  <c r="AO88" i="47"/>
  <c r="AO96" i="47"/>
  <c r="AQ102" i="47"/>
  <c r="AO104" i="47"/>
  <c r="V9" i="47"/>
  <c r="V10" i="47"/>
  <c r="AP16" i="47"/>
  <c r="AN18" i="47"/>
  <c r="AQ19" i="47"/>
  <c r="AO21" i="47"/>
  <c r="AP24" i="47"/>
  <c r="AN26" i="47"/>
  <c r="AQ27" i="47"/>
  <c r="AO29" i="47"/>
  <c r="AP32" i="47"/>
  <c r="AN34" i="47"/>
  <c r="AQ35" i="47"/>
  <c r="AO37" i="47"/>
  <c r="AP40" i="47"/>
  <c r="AN42" i="47"/>
  <c r="AQ43" i="47"/>
  <c r="AO45" i="47"/>
  <c r="AP48" i="47"/>
  <c r="AN50" i="47"/>
  <c r="AQ51" i="47"/>
  <c r="AO53" i="47"/>
  <c r="AP56" i="47"/>
  <c r="AN58" i="47"/>
  <c r="AQ59" i="47"/>
  <c r="AO61" i="47"/>
  <c r="AP64" i="47"/>
  <c r="AN66" i="47"/>
  <c r="AQ67" i="47"/>
  <c r="AO69" i="47"/>
  <c r="AP72" i="47"/>
  <c r="AN74" i="47"/>
  <c r="AQ75" i="47"/>
  <c r="AO77" i="47"/>
  <c r="AP80" i="47"/>
  <c r="AN82" i="47"/>
  <c r="AQ83" i="47"/>
  <c r="AO85" i="47"/>
  <c r="AP88" i="47"/>
  <c r="AN90" i="47"/>
  <c r="AQ91" i="47"/>
  <c r="AO93" i="47"/>
  <c r="AP96" i="47"/>
  <c r="AN98" i="47"/>
  <c r="AQ99" i="47"/>
  <c r="AO101" i="47"/>
  <c r="AP104" i="47"/>
  <c r="AN106" i="47"/>
  <c r="AQ107" i="47"/>
  <c r="AO109" i="47"/>
  <c r="AP112" i="47"/>
  <c r="AN114" i="47"/>
  <c r="AQ115" i="47"/>
  <c r="AO117" i="47"/>
  <c r="AP120" i="47"/>
  <c r="AN122" i="47"/>
  <c r="AQ123" i="47"/>
  <c r="AO125" i="47"/>
  <c r="AP128" i="47"/>
  <c r="AN130" i="47"/>
  <c r="AQ131" i="47"/>
  <c r="AO133" i="47"/>
  <c r="AP136" i="47"/>
  <c r="AN138" i="47"/>
  <c r="AQ139" i="47"/>
  <c r="AO141" i="47"/>
  <c r="AP144" i="47"/>
  <c r="AN146" i="47"/>
  <c r="AQ147" i="47"/>
  <c r="AO149" i="47"/>
  <c r="AP152" i="47"/>
  <c r="AN154" i="47"/>
  <c r="AQ155" i="47"/>
  <c r="AO157" i="47"/>
  <c r="AP160" i="47"/>
  <c r="AN162" i="47"/>
  <c r="AQ163" i="47"/>
  <c r="AO165" i="47"/>
  <c r="AP168" i="47"/>
  <c r="AN170" i="47"/>
  <c r="AQ171" i="47"/>
  <c r="AO173" i="47"/>
  <c r="AP176" i="47"/>
  <c r="AN178" i="47"/>
  <c r="AQ179" i="47"/>
  <c r="AO181" i="47"/>
  <c r="AP184" i="47"/>
  <c r="AN186" i="47"/>
  <c r="AQ187" i="47"/>
  <c r="AO189" i="47"/>
  <c r="AP192" i="47"/>
  <c r="AN194" i="47"/>
  <c r="AQ195" i="47"/>
  <c r="AO197" i="47"/>
  <c r="AP200" i="47"/>
  <c r="AN202" i="47"/>
  <c r="AQ203" i="47"/>
  <c r="AO205" i="47"/>
  <c r="AP208" i="47"/>
  <c r="AN210" i="47"/>
  <c r="AQ211" i="47"/>
  <c r="AO213" i="47"/>
  <c r="AP216" i="47"/>
  <c r="AN218" i="47"/>
  <c r="AQ219" i="47"/>
  <c r="AO221" i="47"/>
  <c r="AP224" i="47"/>
  <c r="AN226" i="47"/>
  <c r="AQ227" i="47"/>
  <c r="AO229" i="47"/>
  <c r="AP232" i="47"/>
  <c r="AN234" i="47"/>
  <c r="AQ235" i="47"/>
  <c r="AO237" i="47"/>
  <c r="AP240" i="47"/>
  <c r="AN242" i="47"/>
  <c r="AQ243" i="47"/>
  <c r="AO245" i="47"/>
  <c r="AP248" i="47"/>
  <c r="AN250" i="47"/>
  <c r="AQ251" i="47"/>
  <c r="AO253" i="47"/>
  <c r="AP256" i="47"/>
  <c r="AN258" i="47"/>
  <c r="AQ259" i="47"/>
  <c r="AO261" i="47"/>
  <c r="AP264" i="47"/>
  <c r="AN266" i="47"/>
  <c r="AQ267" i="47"/>
  <c r="AO269" i="47"/>
  <c r="AP272" i="47"/>
  <c r="AN274" i="47"/>
  <c r="AQ275" i="47"/>
  <c r="AO277" i="47"/>
  <c r="AP280" i="47"/>
  <c r="AN282" i="47"/>
  <c r="AQ283" i="47"/>
  <c r="AO285" i="47"/>
  <c r="AP288" i="47"/>
  <c r="AN290" i="47"/>
  <c r="AQ291" i="47"/>
  <c r="AO293" i="47"/>
  <c r="AP296" i="47"/>
  <c r="AN298" i="47"/>
  <c r="AQ299" i="47"/>
  <c r="AO301" i="47"/>
  <c r="AP304" i="47"/>
  <c r="AN306" i="47"/>
  <c r="AQ307" i="47"/>
  <c r="W9" i="47"/>
  <c r="W10" i="47"/>
  <c r="AN71" i="47"/>
  <c r="AQ72" i="47"/>
  <c r="AO82" i="47"/>
  <c r="AO122" i="47"/>
  <c r="AO154" i="47"/>
  <c r="AN199" i="47"/>
  <c r="AQ200" i="47"/>
  <c r="AO202" i="47"/>
  <c r="AO210" i="47"/>
  <c r="AO218" i="47"/>
  <c r="AO282" i="47"/>
  <c r="AO298" i="47"/>
  <c r="AN303" i="47"/>
  <c r="AQ304" i="47"/>
  <c r="AO306" i="47"/>
  <c r="AO15" i="47"/>
  <c r="X9" i="47"/>
  <c r="X10" i="47"/>
  <c r="AN20" i="47"/>
  <c r="AQ21" i="47"/>
  <c r="AO23" i="47"/>
  <c r="AO31" i="47"/>
  <c r="AO47" i="47"/>
  <c r="AN52" i="47"/>
  <c r="AQ53" i="47"/>
  <c r="AO55" i="47"/>
  <c r="AN60" i="47"/>
  <c r="AQ61" i="47"/>
  <c r="AO87" i="47"/>
  <c r="AN92" i="47"/>
  <c r="AQ93" i="47"/>
  <c r="AO95" i="47"/>
  <c r="AO103" i="47"/>
  <c r="AN108" i="47"/>
  <c r="AQ109" i="47"/>
  <c r="AO111" i="47"/>
  <c r="AN116" i="47"/>
  <c r="AQ117" i="47"/>
  <c r="AO119" i="47"/>
  <c r="AO127" i="47"/>
  <c r="AN132" i="47"/>
  <c r="AO135" i="47"/>
  <c r="AN140" i="47"/>
  <c r="AQ141" i="47"/>
  <c r="AO143" i="47"/>
  <c r="AN148" i="47"/>
  <c r="AQ149" i="47"/>
  <c r="AO151" i="47"/>
  <c r="AN156" i="47"/>
  <c r="AQ157" i="47"/>
  <c r="AO159" i="47"/>
  <c r="AN164" i="47"/>
  <c r="AQ165" i="47"/>
  <c r="AO167" i="47"/>
  <c r="AN172" i="47"/>
  <c r="AQ173" i="47"/>
  <c r="AO175" i="47"/>
  <c r="AN180" i="47"/>
  <c r="AQ181" i="47"/>
  <c r="AO183" i="47"/>
  <c r="AP186" i="47"/>
  <c r="AN188" i="47"/>
  <c r="AQ189" i="47"/>
  <c r="AO191" i="47"/>
  <c r="AQ213" i="47"/>
  <c r="AO215" i="47"/>
  <c r="AN220" i="47"/>
  <c r="AQ221" i="47"/>
  <c r="AO223" i="47"/>
  <c r="AN228" i="47"/>
  <c r="AQ229" i="47"/>
  <c r="AO231" i="47"/>
  <c r="AQ237" i="47"/>
  <c r="AO239" i="47"/>
  <c r="AN244" i="47"/>
  <c r="AQ245" i="47"/>
  <c r="AO247" i="47"/>
  <c r="AN252" i="47"/>
  <c r="AQ253" i="47"/>
  <c r="AN260" i="47"/>
  <c r="AQ261" i="47"/>
  <c r="AO263" i="47"/>
  <c r="AN268" i="47"/>
  <c r="AQ269" i="47"/>
  <c r="AO271" i="47"/>
  <c r="AN276" i="47"/>
  <c r="AO279" i="47"/>
  <c r="AN284" i="47"/>
  <c r="AQ285" i="47"/>
  <c r="AO287" i="47"/>
  <c r="AO295" i="47"/>
  <c r="AN300" i="47"/>
  <c r="AP15" i="47"/>
  <c r="Y9" i="47"/>
  <c r="Y10" i="47"/>
  <c r="AN17" i="47"/>
  <c r="AO20" i="47"/>
  <c r="AN33" i="47"/>
  <c r="AQ34" i="47"/>
  <c r="AO36" i="47"/>
  <c r="AP39" i="47"/>
  <c r="AN41" i="47"/>
  <c r="AQ42" i="47"/>
  <c r="AO44" i="47"/>
  <c r="AN49" i="47"/>
  <c r="AN57" i="47"/>
  <c r="AQ58" i="47"/>
  <c r="AO60" i="47"/>
  <c r="AN65" i="47"/>
  <c r="AQ66" i="47"/>
  <c r="AO68" i="47"/>
  <c r="AN73" i="47"/>
  <c r="AQ74" i="47"/>
  <c r="AO76" i="47"/>
  <c r="AN81" i="47"/>
  <c r="AQ82" i="47"/>
  <c r="AO84" i="47"/>
  <c r="AN97" i="47"/>
  <c r="AQ98" i="47"/>
  <c r="AO100" i="47"/>
  <c r="AO116" i="47"/>
  <c r="AN121" i="47"/>
  <c r="AQ122" i="47"/>
  <c r="AO124" i="47"/>
  <c r="AN177" i="47"/>
  <c r="AQ194" i="47"/>
  <c r="AO196" i="47"/>
  <c r="AN201" i="47"/>
  <c r="AQ202" i="47"/>
  <c r="AO204" i="47"/>
  <c r="AN217" i="47"/>
  <c r="AQ218" i="47"/>
  <c r="AO220" i="47"/>
  <c r="AN225" i="47"/>
  <c r="AN233" i="47"/>
  <c r="AQ234" i="47"/>
  <c r="AO236" i="47"/>
  <c r="AO244" i="47"/>
  <c r="AN281" i="47"/>
  <c r="AQ282" i="47"/>
  <c r="AN289" i="47"/>
  <c r="AQ290" i="47"/>
  <c r="AO292" i="47"/>
  <c r="AN297" i="47"/>
  <c r="AO300" i="47"/>
  <c r="AQ15" i="47"/>
  <c r="Z9" i="47"/>
  <c r="Z10" i="47"/>
  <c r="AO41" i="47"/>
  <c r="AN46" i="47"/>
  <c r="AQ47" i="47"/>
  <c r="AO49" i="47"/>
  <c r="AP52" i="47"/>
  <c r="AN54" i="47"/>
  <c r="AO57" i="47"/>
  <c r="AN62" i="47"/>
  <c r="AN102" i="47"/>
  <c r="AQ103" i="47"/>
  <c r="AO105" i="47"/>
  <c r="AO121" i="47"/>
  <c r="AN126" i="47"/>
  <c r="AQ127" i="47"/>
  <c r="AO129" i="47"/>
  <c r="AQ135" i="47"/>
  <c r="AO137" i="47"/>
  <c r="AQ159" i="47"/>
  <c r="AO161" i="47"/>
  <c r="AN166" i="47"/>
  <c r="AQ167" i="47"/>
  <c r="AO169" i="47"/>
  <c r="AN174" i="47"/>
  <c r="AQ175" i="47"/>
  <c r="AO177" i="47"/>
  <c r="AO185" i="47"/>
  <c r="AP188" i="47"/>
  <c r="AN190" i="47"/>
  <c r="AO193" i="47"/>
  <c r="AO201" i="47"/>
  <c r="AN206" i="47"/>
  <c r="AQ207" i="47"/>
  <c r="AO209" i="47"/>
  <c r="AP212" i="47"/>
  <c r="AO217" i="47"/>
  <c r="AO225" i="47"/>
  <c r="AQ239" i="47"/>
  <c r="AO241" i="47"/>
  <c r="AN246" i="47"/>
  <c r="AQ247" i="47"/>
  <c r="AO249" i="47"/>
  <c r="AN254" i="47"/>
  <c r="AO257" i="47"/>
  <c r="AO265" i="47"/>
  <c r="AN270" i="47"/>
  <c r="AQ271" i="47"/>
  <c r="AO273" i="47"/>
  <c r="AN278" i="47"/>
  <c r="AP284" i="47"/>
  <c r="AO289" i="47"/>
  <c r="AO297" i="47"/>
  <c r="AN302" i="47"/>
  <c r="AQ303" i="47"/>
  <c r="AO305" i="47"/>
  <c r="AN19" i="47"/>
  <c r="AO22" i="47"/>
  <c r="AN27" i="47"/>
  <c r="AQ28" i="47"/>
  <c r="AO30" i="47"/>
  <c r="AN43" i="47"/>
  <c r="AO54" i="47"/>
  <c r="AN59" i="47"/>
  <c r="AQ60" i="47"/>
  <c r="AO62" i="47"/>
  <c r="AO70" i="47"/>
  <c r="AN83" i="47"/>
  <c r="AN91" i="47"/>
  <c r="AQ92" i="47"/>
  <c r="AO94" i="47"/>
  <c r="AQ108" i="47"/>
  <c r="AO110" i="47"/>
  <c r="AN115" i="47"/>
  <c r="AQ116" i="47"/>
  <c r="AO118" i="47"/>
  <c r="AO142" i="47"/>
  <c r="AN147" i="47"/>
  <c r="AO150" i="47"/>
  <c r="AQ180" i="47"/>
  <c r="AO182" i="47"/>
  <c r="AO190" i="47"/>
  <c r="AO214" i="47"/>
  <c r="AQ220" i="47"/>
  <c r="AO222" i="47"/>
  <c r="AO230" i="47"/>
  <c r="AN235" i="47"/>
  <c r="AQ236" i="47"/>
  <c r="AN259" i="47"/>
  <c r="AQ260" i="47"/>
  <c r="AO262" i="47"/>
  <c r="AQ276" i="47"/>
  <c r="AO278" i="47"/>
  <c r="AO286" i="47"/>
  <c r="AO294" i="47"/>
  <c r="S164" i="66"/>
  <c r="S165" i="66"/>
  <c r="S162" i="66"/>
  <c r="H173" i="66"/>
  <c r="S173" i="66" s="1"/>
  <c r="S161" i="66"/>
  <c r="H175" i="66"/>
  <c r="S175" i="66" s="1"/>
  <c r="S163" i="66"/>
  <c r="H179" i="66"/>
  <c r="S179" i="66" s="1"/>
  <c r="S167" i="66"/>
  <c r="H178" i="66"/>
  <c r="S178" i="66" s="1"/>
  <c r="S166" i="66"/>
  <c r="W168" i="66" l="1"/>
  <c r="AQ10" i="47"/>
  <c r="AO10" i="47"/>
  <c r="AO9" i="47"/>
  <c r="AN9" i="47"/>
  <c r="AQ9" i="47"/>
  <c r="AP9" i="47"/>
  <c r="AP10" i="47"/>
  <c r="AN10" i="47"/>
  <c r="T13" i="64"/>
  <c r="S13" i="64"/>
  <c r="R13" i="64"/>
  <c r="W180" i="66" s="1"/>
  <c r="Q13" i="64"/>
  <c r="L37" i="60" s="1"/>
  <c r="P13" i="64"/>
  <c r="BM13" i="44" s="1"/>
  <c r="O13" i="64"/>
  <c r="BL13" i="44" s="1"/>
  <c r="N13" i="64"/>
  <c r="BK13" i="44" s="1"/>
  <c r="M13" i="64"/>
  <c r="L13" i="64"/>
  <c r="K13" i="64"/>
  <c r="J13" i="64"/>
  <c r="I13" i="64"/>
  <c r="C37" i="60" s="1"/>
  <c r="H13" i="64"/>
  <c r="G13" i="64"/>
  <c r="F13" i="64"/>
  <c r="BC13" i="44" s="1"/>
  <c r="C28" i="60" l="1"/>
  <c r="C77" i="15" s="1"/>
  <c r="C32" i="60"/>
  <c r="C17" i="60"/>
  <c r="C16" i="60"/>
  <c r="C76" i="15" s="1"/>
  <c r="C11" i="60"/>
  <c r="C10" i="60"/>
  <c r="C33" i="60"/>
  <c r="C9" i="60"/>
  <c r="C24" i="60"/>
  <c r="C14" i="60"/>
  <c r="C26" i="60"/>
  <c r="C27" i="60"/>
  <c r="C8" i="60"/>
  <c r="C12" i="60"/>
  <c r="C23" i="60"/>
  <c r="C34" i="60"/>
  <c r="L26" i="60"/>
  <c r="L27" i="60"/>
  <c r="L10" i="60"/>
  <c r="L17" i="60"/>
  <c r="L11" i="60"/>
  <c r="L9" i="60"/>
  <c r="L12" i="60"/>
  <c r="L24" i="60"/>
  <c r="L23" i="60"/>
  <c r="CQ13" i="43"/>
  <c r="BO13" i="44"/>
  <c r="CP13" i="43"/>
  <c r="K37" i="60"/>
  <c r="V180" i="66"/>
  <c r="BN13" i="44"/>
  <c r="V13" i="42"/>
  <c r="BD13" i="44"/>
  <c r="CH13" i="43"/>
  <c r="BF13" i="44"/>
  <c r="CN81" i="45"/>
  <c r="BJ13" i="44"/>
  <c r="BG13" i="44"/>
  <c r="BH13" i="44"/>
  <c r="W13" i="42"/>
  <c r="BE13" i="44"/>
  <c r="AU81" i="45"/>
  <c r="CM81" i="45" s="1"/>
  <c r="BI13" i="44"/>
  <c r="U13" i="42"/>
  <c r="DC13" i="43" l="1"/>
  <c r="K11" i="60"/>
  <c r="K12" i="60"/>
  <c r="K9" i="60"/>
  <c r="K27" i="60"/>
  <c r="K26" i="60"/>
  <c r="K10" i="60"/>
  <c r="K24" i="60"/>
  <c r="K17" i="60"/>
  <c r="K23" i="60"/>
  <c r="DG81" i="45"/>
  <c r="CX81" i="45"/>
  <c r="BI334" i="43"/>
  <c r="BH334" i="43"/>
  <c r="BG334" i="43"/>
  <c r="BD334" i="43"/>
  <c r="BC334" i="43"/>
  <c r="BB334" i="43"/>
  <c r="AY334" i="43"/>
  <c r="AX334" i="43"/>
  <c r="AW334" i="43"/>
  <c r="AT334" i="43"/>
  <c r="AS334" i="43"/>
  <c r="AR334" i="43"/>
  <c r="AO334" i="43"/>
  <c r="AN334" i="43"/>
  <c r="AM334" i="43"/>
  <c r="AJ334" i="43"/>
  <c r="AI334" i="43"/>
  <c r="AH334" i="43"/>
  <c r="AE334" i="43"/>
  <c r="AD334" i="43"/>
  <c r="AC334" i="43"/>
  <c r="AA334" i="43"/>
  <c r="Z334" i="43"/>
  <c r="Y334" i="43"/>
  <c r="X334" i="43"/>
  <c r="V334" i="43"/>
  <c r="U334" i="43"/>
  <c r="T334" i="43"/>
  <c r="S334" i="43"/>
  <c r="Q334" i="43"/>
  <c r="P334" i="43"/>
  <c r="O334" i="43"/>
  <c r="N334" i="43"/>
  <c r="L334" i="43"/>
  <c r="K334" i="43"/>
  <c r="J334" i="43"/>
  <c r="I334" i="43"/>
  <c r="G334" i="43"/>
  <c r="F334" i="43"/>
  <c r="BI333" i="43"/>
  <c r="BH333" i="43"/>
  <c r="BG333" i="43"/>
  <c r="BD333" i="43"/>
  <c r="BC333" i="43"/>
  <c r="BB333" i="43"/>
  <c r="AY333" i="43"/>
  <c r="AX333" i="43"/>
  <c r="AW333" i="43"/>
  <c r="AT333" i="43"/>
  <c r="AS333" i="43"/>
  <c r="AR333" i="43"/>
  <c r="AO333" i="43"/>
  <c r="AN333" i="43"/>
  <c r="AM333" i="43"/>
  <c r="AJ333" i="43"/>
  <c r="AI333" i="43"/>
  <c r="AH333" i="43"/>
  <c r="AE333" i="43"/>
  <c r="AD333" i="43"/>
  <c r="AC333" i="43"/>
  <c r="AA333" i="43"/>
  <c r="Z333" i="43"/>
  <c r="Y333" i="43"/>
  <c r="X333" i="43"/>
  <c r="V333" i="43"/>
  <c r="U333" i="43"/>
  <c r="T333" i="43"/>
  <c r="S333" i="43"/>
  <c r="Q333" i="43"/>
  <c r="P333" i="43"/>
  <c r="O333" i="43"/>
  <c r="N333" i="43"/>
  <c r="L333" i="43"/>
  <c r="K333" i="43"/>
  <c r="J333" i="43"/>
  <c r="I333" i="43"/>
  <c r="G333" i="43"/>
  <c r="F333" i="43"/>
  <c r="BI332" i="43"/>
  <c r="BH332" i="43"/>
  <c r="BG332" i="43"/>
  <c r="BD332" i="43"/>
  <c r="BC332" i="43"/>
  <c r="BB332" i="43"/>
  <c r="AY332" i="43"/>
  <c r="AX332" i="43"/>
  <c r="AW332" i="43"/>
  <c r="AT332" i="43"/>
  <c r="AS332" i="43"/>
  <c r="AR332" i="43"/>
  <c r="AO332" i="43"/>
  <c r="AN332" i="43"/>
  <c r="AM332" i="43"/>
  <c r="AJ332" i="43"/>
  <c r="AI332" i="43"/>
  <c r="AH332" i="43"/>
  <c r="AE332" i="43"/>
  <c r="AD332" i="43"/>
  <c r="AC332" i="43"/>
  <c r="AA332" i="43"/>
  <c r="Z332" i="43"/>
  <c r="Y332" i="43"/>
  <c r="X332" i="43"/>
  <c r="V332" i="43"/>
  <c r="U332" i="43"/>
  <c r="T332" i="43"/>
  <c r="S332" i="43"/>
  <c r="Q332" i="43"/>
  <c r="P332" i="43"/>
  <c r="O332" i="43"/>
  <c r="N332" i="43"/>
  <c r="L332" i="43"/>
  <c r="K332" i="43"/>
  <c r="J332" i="43"/>
  <c r="I332" i="43"/>
  <c r="G332" i="43"/>
  <c r="F332" i="43"/>
  <c r="BI331" i="43"/>
  <c r="BH331" i="43"/>
  <c r="BG331" i="43"/>
  <c r="BD331" i="43"/>
  <c r="BC331" i="43"/>
  <c r="BB331" i="43"/>
  <c r="AY331" i="43"/>
  <c r="AX331" i="43"/>
  <c r="AW331" i="43"/>
  <c r="AT331" i="43"/>
  <c r="AS331" i="43"/>
  <c r="AR331" i="43"/>
  <c r="AO331" i="43"/>
  <c r="AN331" i="43"/>
  <c r="AM331" i="43"/>
  <c r="AJ331" i="43"/>
  <c r="AI331" i="43"/>
  <c r="AH331" i="43"/>
  <c r="AE331" i="43"/>
  <c r="AD331" i="43"/>
  <c r="AC331" i="43"/>
  <c r="AA331" i="43"/>
  <c r="Z331" i="43"/>
  <c r="Y331" i="43"/>
  <c r="X331" i="43"/>
  <c r="V331" i="43"/>
  <c r="U331" i="43"/>
  <c r="T331" i="43"/>
  <c r="S331" i="43"/>
  <c r="Q331" i="43"/>
  <c r="P331" i="43"/>
  <c r="O331" i="43"/>
  <c r="N331" i="43"/>
  <c r="L331" i="43"/>
  <c r="K331" i="43"/>
  <c r="J331" i="43"/>
  <c r="I331" i="43"/>
  <c r="G331" i="43"/>
  <c r="F331" i="43"/>
  <c r="BI330" i="43"/>
  <c r="BH330" i="43"/>
  <c r="BG330" i="43"/>
  <c r="BD330" i="43"/>
  <c r="BC330" i="43"/>
  <c r="BB330" i="43"/>
  <c r="AY330" i="43"/>
  <c r="AX330" i="43"/>
  <c r="AW330" i="43"/>
  <c r="AT330" i="43"/>
  <c r="AS330" i="43"/>
  <c r="AR330" i="43"/>
  <c r="AO330" i="43"/>
  <c r="AN330" i="43"/>
  <c r="AM330" i="43"/>
  <c r="AJ330" i="43"/>
  <c r="AI330" i="43"/>
  <c r="AH330" i="43"/>
  <c r="AE330" i="43"/>
  <c r="AD330" i="43"/>
  <c r="AC330" i="43"/>
  <c r="AA330" i="43"/>
  <c r="Z330" i="43"/>
  <c r="Y330" i="43"/>
  <c r="X330" i="43"/>
  <c r="V330" i="43"/>
  <c r="U330" i="43"/>
  <c r="T330" i="43"/>
  <c r="S330" i="43"/>
  <c r="Q330" i="43"/>
  <c r="P330" i="43"/>
  <c r="O330" i="43"/>
  <c r="N330" i="43"/>
  <c r="L330" i="43"/>
  <c r="K330" i="43"/>
  <c r="J330" i="43"/>
  <c r="I330" i="43"/>
  <c r="G330" i="43"/>
  <c r="F330" i="43"/>
  <c r="BI329" i="43"/>
  <c r="BH329" i="43"/>
  <c r="BG329" i="43"/>
  <c r="BD329" i="43"/>
  <c r="BC329" i="43"/>
  <c r="BB329" i="43"/>
  <c r="AY329" i="43"/>
  <c r="AX329" i="43"/>
  <c r="AW329" i="43"/>
  <c r="AT329" i="43"/>
  <c r="AS329" i="43"/>
  <c r="AR329" i="43"/>
  <c r="AO329" i="43"/>
  <c r="AN329" i="43"/>
  <c r="AM329" i="43"/>
  <c r="AJ329" i="43"/>
  <c r="AI329" i="43"/>
  <c r="AH329" i="43"/>
  <c r="AE329" i="43"/>
  <c r="AD329" i="43"/>
  <c r="AC329" i="43"/>
  <c r="AA329" i="43"/>
  <c r="Z329" i="43"/>
  <c r="Y329" i="43"/>
  <c r="X329" i="43"/>
  <c r="V329" i="43"/>
  <c r="U329" i="43"/>
  <c r="T329" i="43"/>
  <c r="S329" i="43"/>
  <c r="Q329" i="43"/>
  <c r="P329" i="43"/>
  <c r="O329" i="43"/>
  <c r="N329" i="43"/>
  <c r="L329" i="43"/>
  <c r="K329" i="43"/>
  <c r="J329" i="43"/>
  <c r="I329" i="43"/>
  <c r="G329" i="43"/>
  <c r="F329" i="43"/>
  <c r="BI328" i="43"/>
  <c r="BH328" i="43"/>
  <c r="BG328" i="43"/>
  <c r="BD328" i="43"/>
  <c r="BC328" i="43"/>
  <c r="BB328" i="43"/>
  <c r="AY328" i="43"/>
  <c r="AX328" i="43"/>
  <c r="AW328" i="43"/>
  <c r="AT328" i="43"/>
  <c r="AS328" i="43"/>
  <c r="AR328" i="43"/>
  <c r="AO328" i="43"/>
  <c r="AN328" i="43"/>
  <c r="AM328" i="43"/>
  <c r="AJ328" i="43"/>
  <c r="AI328" i="43"/>
  <c r="AH328" i="43"/>
  <c r="AE328" i="43"/>
  <c r="AD328" i="43"/>
  <c r="AC328" i="43"/>
  <c r="AA328" i="43"/>
  <c r="Z328" i="43"/>
  <c r="Y328" i="43"/>
  <c r="X328" i="43"/>
  <c r="V328" i="43"/>
  <c r="U328" i="43"/>
  <c r="T328" i="43"/>
  <c r="S328" i="43"/>
  <c r="Q328" i="43"/>
  <c r="P328" i="43"/>
  <c r="O328" i="43"/>
  <c r="N328" i="43"/>
  <c r="L328" i="43"/>
  <c r="K328" i="43"/>
  <c r="J328" i="43"/>
  <c r="I328" i="43"/>
  <c r="G328" i="43"/>
  <c r="F328" i="43"/>
  <c r="BI327" i="43"/>
  <c r="BH327" i="43"/>
  <c r="BG327" i="43"/>
  <c r="BD327" i="43"/>
  <c r="BC327" i="43"/>
  <c r="BB327" i="43"/>
  <c r="AY327" i="43"/>
  <c r="AX327" i="43"/>
  <c r="AW327" i="43"/>
  <c r="AT327" i="43"/>
  <c r="AS327" i="43"/>
  <c r="AR327" i="43"/>
  <c r="AO327" i="43"/>
  <c r="AN327" i="43"/>
  <c r="AM327" i="43"/>
  <c r="AJ327" i="43"/>
  <c r="AI327" i="43"/>
  <c r="AH327" i="43"/>
  <c r="AE327" i="43"/>
  <c r="AD327" i="43"/>
  <c r="AC327" i="43"/>
  <c r="AA327" i="43"/>
  <c r="Z327" i="43"/>
  <c r="Y327" i="43"/>
  <c r="X327" i="43"/>
  <c r="V327" i="43"/>
  <c r="U327" i="43"/>
  <c r="T327" i="43"/>
  <c r="S327" i="43"/>
  <c r="Q327" i="43"/>
  <c r="P327" i="43"/>
  <c r="O327" i="43"/>
  <c r="N327" i="43"/>
  <c r="L327" i="43"/>
  <c r="K327" i="43"/>
  <c r="J327" i="43"/>
  <c r="I327" i="43"/>
  <c r="G327" i="43"/>
  <c r="F327" i="43"/>
  <c r="BI326" i="43"/>
  <c r="BH326" i="43"/>
  <c r="BG326" i="43"/>
  <c r="BD326" i="43"/>
  <c r="BC326" i="43"/>
  <c r="BB326" i="43"/>
  <c r="AY326" i="43"/>
  <c r="AX326" i="43"/>
  <c r="AW326" i="43"/>
  <c r="AT326" i="43"/>
  <c r="AS326" i="43"/>
  <c r="AR326" i="43"/>
  <c r="AO326" i="43"/>
  <c r="AN326" i="43"/>
  <c r="AM326" i="43"/>
  <c r="AJ326" i="43"/>
  <c r="AI326" i="43"/>
  <c r="AH326" i="43"/>
  <c r="AE326" i="43"/>
  <c r="AD326" i="43"/>
  <c r="AC326" i="43"/>
  <c r="AA326" i="43"/>
  <c r="Z326" i="43"/>
  <c r="Y326" i="43"/>
  <c r="X326" i="43"/>
  <c r="V326" i="43"/>
  <c r="U326" i="43"/>
  <c r="T326" i="43"/>
  <c r="S326" i="43"/>
  <c r="Q326" i="43"/>
  <c r="P326" i="43"/>
  <c r="O326" i="43"/>
  <c r="N326" i="43"/>
  <c r="L326" i="43"/>
  <c r="K326" i="43"/>
  <c r="J326" i="43"/>
  <c r="I326" i="43"/>
  <c r="G326" i="43"/>
  <c r="F326" i="43"/>
  <c r="BI325" i="43"/>
  <c r="BH325" i="43"/>
  <c r="BG325" i="43"/>
  <c r="BD325" i="43"/>
  <c r="BC325" i="43"/>
  <c r="BB325" i="43"/>
  <c r="AY325" i="43"/>
  <c r="AX325" i="43"/>
  <c r="AW325" i="43"/>
  <c r="AT325" i="43"/>
  <c r="AS325" i="43"/>
  <c r="AR325" i="43"/>
  <c r="AO325" i="43"/>
  <c r="AN325" i="43"/>
  <c r="AM325" i="43"/>
  <c r="AJ325" i="43"/>
  <c r="AI325" i="43"/>
  <c r="AH325" i="43"/>
  <c r="AE325" i="43"/>
  <c r="AD325" i="43"/>
  <c r="AC325" i="43"/>
  <c r="AA325" i="43"/>
  <c r="Z325" i="43"/>
  <c r="Y325" i="43"/>
  <c r="X325" i="43"/>
  <c r="V325" i="43"/>
  <c r="U325" i="43"/>
  <c r="T325" i="43"/>
  <c r="S325" i="43"/>
  <c r="Q325" i="43"/>
  <c r="P325" i="43"/>
  <c r="O325" i="43"/>
  <c r="N325" i="43"/>
  <c r="L325" i="43"/>
  <c r="K325" i="43"/>
  <c r="J325" i="43"/>
  <c r="I325" i="43"/>
  <c r="G325" i="43"/>
  <c r="F325" i="43"/>
  <c r="BI324" i="43"/>
  <c r="BH324" i="43"/>
  <c r="BG324" i="43"/>
  <c r="BD324" i="43"/>
  <c r="BC324" i="43"/>
  <c r="BB324" i="43"/>
  <c r="AY324" i="43"/>
  <c r="AX324" i="43"/>
  <c r="AW324" i="43"/>
  <c r="AT324" i="43"/>
  <c r="AS324" i="43"/>
  <c r="AR324" i="43"/>
  <c r="AO324" i="43"/>
  <c r="AN324" i="43"/>
  <c r="AM324" i="43"/>
  <c r="AJ324" i="43"/>
  <c r="AI324" i="43"/>
  <c r="AH324" i="43"/>
  <c r="AE324" i="43"/>
  <c r="AD324" i="43"/>
  <c r="AC324" i="43"/>
  <c r="AA324" i="43"/>
  <c r="Z324" i="43"/>
  <c r="Y324" i="43"/>
  <c r="X324" i="43"/>
  <c r="V324" i="43"/>
  <c r="U324" i="43"/>
  <c r="T324" i="43"/>
  <c r="S324" i="43"/>
  <c r="Q324" i="43"/>
  <c r="P324" i="43"/>
  <c r="O324" i="43"/>
  <c r="N324" i="43"/>
  <c r="L324" i="43"/>
  <c r="K324" i="43"/>
  <c r="J324" i="43"/>
  <c r="I324" i="43"/>
  <c r="G324" i="43"/>
  <c r="F324" i="43"/>
  <c r="BI323" i="43"/>
  <c r="BH323" i="43"/>
  <c r="BG323" i="43"/>
  <c r="BD323" i="43"/>
  <c r="BC323" i="43"/>
  <c r="BB323" i="43"/>
  <c r="AY323" i="43"/>
  <c r="AX323" i="43"/>
  <c r="AW323" i="43"/>
  <c r="AT323" i="43"/>
  <c r="AS323" i="43"/>
  <c r="AR323" i="43"/>
  <c r="AO323" i="43"/>
  <c r="AN323" i="43"/>
  <c r="AM323" i="43"/>
  <c r="AJ323" i="43"/>
  <c r="AI323" i="43"/>
  <c r="AH323" i="43"/>
  <c r="AE323" i="43"/>
  <c r="AD323" i="43"/>
  <c r="AC323" i="43"/>
  <c r="AA323" i="43"/>
  <c r="Z323" i="43"/>
  <c r="Y323" i="43"/>
  <c r="X323" i="43"/>
  <c r="V323" i="43"/>
  <c r="U323" i="43"/>
  <c r="T323" i="43"/>
  <c r="S323" i="43"/>
  <c r="Q323" i="43"/>
  <c r="P323" i="43"/>
  <c r="O323" i="43"/>
  <c r="N323" i="43"/>
  <c r="L323" i="43"/>
  <c r="K323" i="43"/>
  <c r="J323" i="43"/>
  <c r="I323" i="43"/>
  <c r="G323" i="43"/>
  <c r="F323" i="43"/>
  <c r="BI322" i="43"/>
  <c r="BH322" i="43"/>
  <c r="BG322" i="43"/>
  <c r="BD322" i="43"/>
  <c r="BC322" i="43"/>
  <c r="BB322" i="43"/>
  <c r="AY322" i="43"/>
  <c r="AX322" i="43"/>
  <c r="AW322" i="43"/>
  <c r="AT322" i="43"/>
  <c r="AS322" i="43"/>
  <c r="AR322" i="43"/>
  <c r="AO322" i="43"/>
  <c r="AN322" i="43"/>
  <c r="AM322" i="43"/>
  <c r="AJ322" i="43"/>
  <c r="AI322" i="43"/>
  <c r="AH322" i="43"/>
  <c r="AE322" i="43"/>
  <c r="AD322" i="43"/>
  <c r="AC322" i="43"/>
  <c r="AA322" i="43"/>
  <c r="Z322" i="43"/>
  <c r="Y322" i="43"/>
  <c r="X322" i="43"/>
  <c r="V322" i="43"/>
  <c r="U322" i="43"/>
  <c r="T322" i="43"/>
  <c r="S322" i="43"/>
  <c r="Q322" i="43"/>
  <c r="P322" i="43"/>
  <c r="O322" i="43"/>
  <c r="N322" i="43"/>
  <c r="L322" i="43"/>
  <c r="K322" i="43"/>
  <c r="J322" i="43"/>
  <c r="I322" i="43"/>
  <c r="G322" i="43"/>
  <c r="F322" i="43"/>
  <c r="BI321" i="43"/>
  <c r="BH321" i="43"/>
  <c r="BG321" i="43"/>
  <c r="BD321" i="43"/>
  <c r="BC321" i="43"/>
  <c r="BB321" i="43"/>
  <c r="AY321" i="43"/>
  <c r="AX321" i="43"/>
  <c r="AW321" i="43"/>
  <c r="AT321" i="43"/>
  <c r="AS321" i="43"/>
  <c r="AR321" i="43"/>
  <c r="AO321" i="43"/>
  <c r="AN321" i="43"/>
  <c r="AM321" i="43"/>
  <c r="AJ321" i="43"/>
  <c r="AI321" i="43"/>
  <c r="AH321" i="43"/>
  <c r="AE321" i="43"/>
  <c r="AD321" i="43"/>
  <c r="AC321" i="43"/>
  <c r="AA321" i="43"/>
  <c r="Z321" i="43"/>
  <c r="Y321" i="43"/>
  <c r="X321" i="43"/>
  <c r="V321" i="43"/>
  <c r="U321" i="43"/>
  <c r="T321" i="43"/>
  <c r="S321" i="43"/>
  <c r="Q321" i="43"/>
  <c r="P321" i="43"/>
  <c r="O321" i="43"/>
  <c r="N321" i="43"/>
  <c r="L321" i="43"/>
  <c r="K321" i="43"/>
  <c r="J321" i="43"/>
  <c r="I321" i="43"/>
  <c r="G321" i="43"/>
  <c r="F321" i="43"/>
  <c r="BI320" i="43"/>
  <c r="BH320" i="43"/>
  <c r="BG320" i="43"/>
  <c r="BD320" i="43"/>
  <c r="BC320" i="43"/>
  <c r="BB320" i="43"/>
  <c r="AY320" i="43"/>
  <c r="AX320" i="43"/>
  <c r="AW320" i="43"/>
  <c r="AT320" i="43"/>
  <c r="AS320" i="43"/>
  <c r="AR320" i="43"/>
  <c r="AO320" i="43"/>
  <c r="AN320" i="43"/>
  <c r="AM320" i="43"/>
  <c r="AJ320" i="43"/>
  <c r="AI320" i="43"/>
  <c r="AH320" i="43"/>
  <c r="AE320" i="43"/>
  <c r="AD320" i="43"/>
  <c r="AC320" i="43"/>
  <c r="AA320" i="43"/>
  <c r="Z320" i="43"/>
  <c r="Y320" i="43"/>
  <c r="X320" i="43"/>
  <c r="V320" i="43"/>
  <c r="U320" i="43"/>
  <c r="T320" i="43"/>
  <c r="S320" i="43"/>
  <c r="Q320" i="43"/>
  <c r="P320" i="43"/>
  <c r="O320" i="43"/>
  <c r="N320" i="43"/>
  <c r="L320" i="43"/>
  <c r="K320" i="43"/>
  <c r="J320" i="43"/>
  <c r="I320" i="43"/>
  <c r="G320" i="43"/>
  <c r="F320" i="43"/>
  <c r="BI319" i="43"/>
  <c r="BH319" i="43"/>
  <c r="BG319" i="43"/>
  <c r="BD319" i="43"/>
  <c r="BC319" i="43"/>
  <c r="BB319" i="43"/>
  <c r="AY319" i="43"/>
  <c r="AX319" i="43"/>
  <c r="AW319" i="43"/>
  <c r="AT319" i="43"/>
  <c r="AS319" i="43"/>
  <c r="AR319" i="43"/>
  <c r="AO319" i="43"/>
  <c r="AN319" i="43"/>
  <c r="AM319" i="43"/>
  <c r="AJ319" i="43"/>
  <c r="AI319" i="43"/>
  <c r="AH319" i="43"/>
  <c r="AE319" i="43"/>
  <c r="AD319" i="43"/>
  <c r="AC319" i="43"/>
  <c r="AA319" i="43"/>
  <c r="Z319" i="43"/>
  <c r="Y319" i="43"/>
  <c r="X319" i="43"/>
  <c r="V319" i="43"/>
  <c r="U319" i="43"/>
  <c r="T319" i="43"/>
  <c r="S319" i="43"/>
  <c r="Q319" i="43"/>
  <c r="P319" i="43"/>
  <c r="O319" i="43"/>
  <c r="N319" i="43"/>
  <c r="L319" i="43"/>
  <c r="K319" i="43"/>
  <c r="J319" i="43"/>
  <c r="I319" i="43"/>
  <c r="G319" i="43"/>
  <c r="F319" i="43"/>
  <c r="BI318" i="43"/>
  <c r="BH318" i="43"/>
  <c r="BG318" i="43"/>
  <c r="BD318" i="43"/>
  <c r="BC318" i="43"/>
  <c r="BB318" i="43"/>
  <c r="AY318" i="43"/>
  <c r="AX318" i="43"/>
  <c r="AW318" i="43"/>
  <c r="AT318" i="43"/>
  <c r="AS318" i="43"/>
  <c r="AR318" i="43"/>
  <c r="AO318" i="43"/>
  <c r="AN318" i="43"/>
  <c r="AM318" i="43"/>
  <c r="AJ318" i="43"/>
  <c r="AI318" i="43"/>
  <c r="AH318" i="43"/>
  <c r="AE318" i="43"/>
  <c r="AD318" i="43"/>
  <c r="AC318" i="43"/>
  <c r="AA318" i="43"/>
  <c r="Z318" i="43"/>
  <c r="Y318" i="43"/>
  <c r="X318" i="43"/>
  <c r="V318" i="43"/>
  <c r="U318" i="43"/>
  <c r="T318" i="43"/>
  <c r="S318" i="43"/>
  <c r="Q318" i="43"/>
  <c r="P318" i="43"/>
  <c r="O318" i="43"/>
  <c r="N318" i="43"/>
  <c r="L318" i="43"/>
  <c r="K318" i="43"/>
  <c r="J318" i="43"/>
  <c r="I318" i="43"/>
  <c r="G318" i="43"/>
  <c r="F318" i="43"/>
  <c r="BI317" i="43"/>
  <c r="BH317" i="43"/>
  <c r="BG317" i="43"/>
  <c r="BD317" i="43"/>
  <c r="BC317" i="43"/>
  <c r="BB317" i="43"/>
  <c r="AY317" i="43"/>
  <c r="AX317" i="43"/>
  <c r="AW317" i="43"/>
  <c r="AT317" i="43"/>
  <c r="AS317" i="43"/>
  <c r="AR317" i="43"/>
  <c r="AO317" i="43"/>
  <c r="AN317" i="43"/>
  <c r="AM317" i="43"/>
  <c r="AJ317" i="43"/>
  <c r="AI317" i="43"/>
  <c r="AH317" i="43"/>
  <c r="AE317" i="43"/>
  <c r="AD317" i="43"/>
  <c r="AC317" i="43"/>
  <c r="AA317" i="43"/>
  <c r="Z317" i="43"/>
  <c r="Y317" i="43"/>
  <c r="X317" i="43"/>
  <c r="V317" i="43"/>
  <c r="U317" i="43"/>
  <c r="T317" i="43"/>
  <c r="S317" i="43"/>
  <c r="Q317" i="43"/>
  <c r="P317" i="43"/>
  <c r="O317" i="43"/>
  <c r="N317" i="43"/>
  <c r="L317" i="43"/>
  <c r="K317" i="43"/>
  <c r="J317" i="43"/>
  <c r="I317" i="43"/>
  <c r="G317" i="43"/>
  <c r="F317" i="43"/>
  <c r="E334" i="43"/>
  <c r="D334" i="43"/>
  <c r="E333" i="43"/>
  <c r="D333" i="43"/>
  <c r="E332" i="43"/>
  <c r="D332" i="43"/>
  <c r="E331" i="43"/>
  <c r="D331" i="43"/>
  <c r="E330" i="43"/>
  <c r="D330" i="43"/>
  <c r="E329" i="43"/>
  <c r="D329" i="43"/>
  <c r="E328" i="43"/>
  <c r="D328" i="43"/>
  <c r="E327" i="43"/>
  <c r="D327" i="43"/>
  <c r="E326" i="43"/>
  <c r="D326" i="43"/>
  <c r="E325" i="43"/>
  <c r="D325" i="43"/>
  <c r="E324" i="43"/>
  <c r="D324" i="43"/>
  <c r="E323" i="43"/>
  <c r="D323" i="43"/>
  <c r="E322" i="43"/>
  <c r="D322" i="43"/>
  <c r="E321" i="43"/>
  <c r="D321" i="43"/>
  <c r="E320" i="43"/>
  <c r="D320" i="43"/>
  <c r="E319" i="43"/>
  <c r="D319" i="43"/>
  <c r="E318" i="43"/>
  <c r="D318" i="43"/>
  <c r="E317" i="43"/>
  <c r="D317" i="43"/>
  <c r="H334" i="42"/>
  <c r="H333" i="42"/>
  <c r="H332" i="42"/>
  <c r="H331" i="42"/>
  <c r="H330" i="42"/>
  <c r="H329" i="42"/>
  <c r="H328" i="42"/>
  <c r="H327" i="42"/>
  <c r="H326" i="42"/>
  <c r="H325" i="42"/>
  <c r="H324" i="42"/>
  <c r="H323" i="42"/>
  <c r="H322" i="42"/>
  <c r="H321" i="42"/>
  <c r="H320" i="42"/>
  <c r="H319" i="42"/>
  <c r="H318" i="42"/>
  <c r="H317" i="42"/>
  <c r="G334" i="42"/>
  <c r="G333" i="42"/>
  <c r="G332" i="42"/>
  <c r="G331" i="42"/>
  <c r="G330" i="42"/>
  <c r="G329" i="42"/>
  <c r="G328" i="42"/>
  <c r="G327" i="42"/>
  <c r="G326" i="42"/>
  <c r="G325" i="42"/>
  <c r="G324" i="42"/>
  <c r="G323" i="42"/>
  <c r="G322" i="42"/>
  <c r="G321" i="42"/>
  <c r="G320" i="42"/>
  <c r="G319" i="42"/>
  <c r="G318" i="42"/>
  <c r="G317" i="42"/>
  <c r="F334" i="42"/>
  <c r="F333" i="42"/>
  <c r="F332" i="42"/>
  <c r="F331" i="42"/>
  <c r="F330" i="42"/>
  <c r="F329" i="42"/>
  <c r="F328" i="42"/>
  <c r="F327" i="42"/>
  <c r="F326" i="42"/>
  <c r="F325" i="42"/>
  <c r="F324" i="42"/>
  <c r="F323" i="42"/>
  <c r="F322" i="42"/>
  <c r="F321" i="42"/>
  <c r="F320" i="42"/>
  <c r="F319" i="42"/>
  <c r="F318" i="42"/>
  <c r="F317" i="42"/>
  <c r="M316" i="42"/>
  <c r="L316" i="42"/>
  <c r="K316" i="42"/>
  <c r="J316" i="42"/>
  <c r="I316" i="42"/>
  <c r="H316" i="42"/>
  <c r="G316" i="42"/>
  <c r="F316" i="42"/>
  <c r="E316" i="42"/>
  <c r="D316" i="42"/>
  <c r="BC336" i="43" l="1"/>
  <c r="I336" i="43"/>
  <c r="S336" i="43"/>
  <c r="K336" i="43"/>
  <c r="D336" i="43"/>
  <c r="U336" i="43"/>
  <c r="E336" i="43"/>
  <c r="J336" i="43"/>
  <c r="T336" i="43"/>
  <c r="BD336" i="43"/>
  <c r="F336" i="43"/>
  <c r="P336" i="43"/>
  <c r="Z336" i="43"/>
  <c r="N336" i="43"/>
  <c r="BB336" i="43"/>
  <c r="BG336" i="43"/>
  <c r="BH336" i="43"/>
  <c r="O336" i="43"/>
  <c r="Y336" i="43"/>
  <c r="BI336" i="43"/>
  <c r="AX336" i="43"/>
  <c r="AS336" i="43"/>
  <c r="AN336" i="43"/>
  <c r="AD336" i="43"/>
  <c r="AY336" i="43"/>
  <c r="AT336" i="43"/>
  <c r="AO336" i="43"/>
  <c r="AJ336" i="43"/>
  <c r="AE336" i="43"/>
  <c r="AI336" i="43"/>
  <c r="AW336" i="43"/>
  <c r="AR336" i="43"/>
  <c r="AM336" i="43"/>
  <c r="AH336" i="43"/>
  <c r="AC336" i="43"/>
  <c r="X336" i="43"/>
  <c r="V336" i="43"/>
  <c r="Q336" i="43"/>
  <c r="L336" i="43"/>
  <c r="G336" i="43"/>
  <c r="AA336" i="43"/>
  <c r="F336" i="42"/>
  <c r="H336" i="42"/>
  <c r="G336" i="42"/>
  <c r="Y13" i="45"/>
  <c r="X13" i="45"/>
  <c r="W13" i="45"/>
  <c r="V13" i="45"/>
  <c r="U13" i="45"/>
  <c r="T13" i="45"/>
  <c r="S13" i="45"/>
  <c r="R13" i="45"/>
  <c r="Q13" i="45"/>
  <c r="P13" i="45"/>
  <c r="O13" i="45"/>
  <c r="N13" i="45"/>
  <c r="M13" i="45"/>
  <c r="F13" i="56" l="1"/>
  <c r="Y13" i="56" s="1"/>
  <c r="E13" i="56"/>
  <c r="X13" i="56" s="1"/>
  <c r="D13" i="56"/>
  <c r="W13" i="56" s="1"/>
  <c r="C13" i="56"/>
  <c r="V13" i="56" s="1"/>
  <c r="G307" i="53"/>
  <c r="Z307" i="53" s="1"/>
  <c r="G306" i="53"/>
  <c r="Z306" i="53" s="1"/>
  <c r="G305" i="53"/>
  <c r="Z305" i="53" s="1"/>
  <c r="G304" i="53"/>
  <c r="Z304" i="53" s="1"/>
  <c r="G303" i="53"/>
  <c r="Z303" i="53" s="1"/>
  <c r="G302" i="53"/>
  <c r="Z302" i="53" s="1"/>
  <c r="G301" i="53"/>
  <c r="Z301" i="53" s="1"/>
  <c r="G300" i="53"/>
  <c r="Z300" i="53" s="1"/>
  <c r="G299" i="53"/>
  <c r="Z299" i="53" s="1"/>
  <c r="G298" i="53"/>
  <c r="Z298" i="53" s="1"/>
  <c r="G297" i="53"/>
  <c r="Z297" i="53" s="1"/>
  <c r="G296" i="53"/>
  <c r="Z296" i="53" s="1"/>
  <c r="G295" i="53"/>
  <c r="Z295" i="53" s="1"/>
  <c r="G294" i="53"/>
  <c r="Z294" i="53" s="1"/>
  <c r="G293" i="53"/>
  <c r="Z293" i="53" s="1"/>
  <c r="G292" i="53"/>
  <c r="Z292" i="53" s="1"/>
  <c r="G291" i="53"/>
  <c r="Z291" i="53" s="1"/>
  <c r="G290" i="53"/>
  <c r="Z290" i="53" s="1"/>
  <c r="G289" i="53"/>
  <c r="Z289" i="53" s="1"/>
  <c r="G288" i="53"/>
  <c r="Z288" i="53" s="1"/>
  <c r="G287" i="53"/>
  <c r="Z287" i="53" s="1"/>
  <c r="G286" i="53"/>
  <c r="Z286" i="53" s="1"/>
  <c r="G285" i="53"/>
  <c r="Z285" i="53" s="1"/>
  <c r="G284" i="53"/>
  <c r="Z284" i="53" s="1"/>
  <c r="G283" i="53"/>
  <c r="Z283" i="53" s="1"/>
  <c r="G282" i="53"/>
  <c r="Z282" i="53" s="1"/>
  <c r="G281" i="53"/>
  <c r="Z281" i="53" s="1"/>
  <c r="G280" i="53"/>
  <c r="Z280" i="53" s="1"/>
  <c r="G279" i="53"/>
  <c r="Z279" i="53" s="1"/>
  <c r="G278" i="53"/>
  <c r="Z278" i="53" s="1"/>
  <c r="G277" i="53"/>
  <c r="Z277" i="53" s="1"/>
  <c r="G276" i="53"/>
  <c r="Z276" i="53" s="1"/>
  <c r="G275" i="53"/>
  <c r="Z275" i="53" s="1"/>
  <c r="G274" i="53"/>
  <c r="Z274" i="53" s="1"/>
  <c r="G273" i="53"/>
  <c r="Z273" i="53" s="1"/>
  <c r="G272" i="53"/>
  <c r="Z272" i="53" s="1"/>
  <c r="G271" i="53"/>
  <c r="Z271" i="53" s="1"/>
  <c r="G270" i="53"/>
  <c r="Z270" i="53" s="1"/>
  <c r="G269" i="53"/>
  <c r="Z269" i="53" s="1"/>
  <c r="G268" i="53"/>
  <c r="Z268" i="53" s="1"/>
  <c r="G267" i="53"/>
  <c r="Z267" i="53" s="1"/>
  <c r="G266" i="53"/>
  <c r="Z266" i="53" s="1"/>
  <c r="G265" i="53"/>
  <c r="Z265" i="53" s="1"/>
  <c r="G264" i="53"/>
  <c r="Z264" i="53" s="1"/>
  <c r="G263" i="53"/>
  <c r="Z263" i="53" s="1"/>
  <c r="G262" i="53"/>
  <c r="Z262" i="53" s="1"/>
  <c r="G261" i="53"/>
  <c r="Z261" i="53" s="1"/>
  <c r="G260" i="53"/>
  <c r="Z260" i="53" s="1"/>
  <c r="G259" i="53"/>
  <c r="Z259" i="53" s="1"/>
  <c r="G258" i="53"/>
  <c r="Z258" i="53" s="1"/>
  <c r="G257" i="53"/>
  <c r="Z257" i="53" s="1"/>
  <c r="G256" i="53"/>
  <c r="Z256" i="53" s="1"/>
  <c r="G255" i="53"/>
  <c r="Z255" i="53" s="1"/>
  <c r="G254" i="53"/>
  <c r="Z254" i="53" s="1"/>
  <c r="G253" i="53"/>
  <c r="Z253" i="53" s="1"/>
  <c r="G252" i="53"/>
  <c r="Z252" i="53" s="1"/>
  <c r="G251" i="53"/>
  <c r="Z251" i="53" s="1"/>
  <c r="G250" i="53"/>
  <c r="Z250" i="53" s="1"/>
  <c r="G249" i="53"/>
  <c r="Z249" i="53" s="1"/>
  <c r="G248" i="53"/>
  <c r="Z248" i="53" s="1"/>
  <c r="G247" i="53"/>
  <c r="Z247" i="53" s="1"/>
  <c r="G246" i="53"/>
  <c r="Z246" i="53" s="1"/>
  <c r="G245" i="53"/>
  <c r="Z245" i="53" s="1"/>
  <c r="G244" i="53"/>
  <c r="Z244" i="53" s="1"/>
  <c r="G243" i="53"/>
  <c r="Z243" i="53" s="1"/>
  <c r="G242" i="53"/>
  <c r="Z242" i="53" s="1"/>
  <c r="G241" i="53"/>
  <c r="Z241" i="53" s="1"/>
  <c r="G240" i="53"/>
  <c r="Z240" i="53" s="1"/>
  <c r="G239" i="53"/>
  <c r="Z239" i="53" s="1"/>
  <c r="G238" i="53"/>
  <c r="Z238" i="53" s="1"/>
  <c r="G237" i="53"/>
  <c r="Z237" i="53" s="1"/>
  <c r="G236" i="53"/>
  <c r="Z236" i="53" s="1"/>
  <c r="G235" i="53"/>
  <c r="Z235" i="53" s="1"/>
  <c r="G234" i="53"/>
  <c r="Z234" i="53" s="1"/>
  <c r="G233" i="53"/>
  <c r="Z233" i="53" s="1"/>
  <c r="G232" i="53"/>
  <c r="Z232" i="53" s="1"/>
  <c r="G231" i="53"/>
  <c r="Z231" i="53" s="1"/>
  <c r="G230" i="53"/>
  <c r="Z230" i="53" s="1"/>
  <c r="G229" i="53"/>
  <c r="Z229" i="53" s="1"/>
  <c r="G228" i="53"/>
  <c r="Z228" i="53" s="1"/>
  <c r="G227" i="53"/>
  <c r="Z227" i="53" s="1"/>
  <c r="G226" i="53"/>
  <c r="Z226" i="53" s="1"/>
  <c r="G225" i="53"/>
  <c r="Z225" i="53" s="1"/>
  <c r="G224" i="53"/>
  <c r="Z224" i="53" s="1"/>
  <c r="G223" i="53"/>
  <c r="Z223" i="53" s="1"/>
  <c r="G222" i="53"/>
  <c r="Z222" i="53" s="1"/>
  <c r="G221" i="53"/>
  <c r="Z221" i="53" s="1"/>
  <c r="G220" i="53"/>
  <c r="Z220" i="53" s="1"/>
  <c r="G219" i="53"/>
  <c r="Z219" i="53" s="1"/>
  <c r="G218" i="53"/>
  <c r="Z218" i="53" s="1"/>
  <c r="G217" i="53"/>
  <c r="Z217" i="53" s="1"/>
  <c r="G216" i="53"/>
  <c r="Z216" i="53" s="1"/>
  <c r="G215" i="53"/>
  <c r="Z215" i="53" s="1"/>
  <c r="G214" i="53"/>
  <c r="Z214" i="53" s="1"/>
  <c r="G213" i="53"/>
  <c r="Z213" i="53" s="1"/>
  <c r="G212" i="53"/>
  <c r="Z212" i="53" s="1"/>
  <c r="G211" i="53"/>
  <c r="Z211" i="53" s="1"/>
  <c r="G210" i="53"/>
  <c r="Z210" i="53" s="1"/>
  <c r="G209" i="53"/>
  <c r="Z209" i="53" s="1"/>
  <c r="G208" i="53"/>
  <c r="Z208" i="53" s="1"/>
  <c r="G207" i="53"/>
  <c r="Z207" i="53" s="1"/>
  <c r="G206" i="53"/>
  <c r="Z206" i="53" s="1"/>
  <c r="G205" i="53"/>
  <c r="Z205" i="53" s="1"/>
  <c r="G204" i="53"/>
  <c r="Z204" i="53" s="1"/>
  <c r="G203" i="53"/>
  <c r="Z203" i="53" s="1"/>
  <c r="G202" i="53"/>
  <c r="Z202" i="53" s="1"/>
  <c r="G201" i="53"/>
  <c r="Z201" i="53" s="1"/>
  <c r="G200" i="53"/>
  <c r="Z200" i="53" s="1"/>
  <c r="G199" i="53"/>
  <c r="Z199" i="53" s="1"/>
  <c r="G198" i="53"/>
  <c r="Z198" i="53" s="1"/>
  <c r="G197" i="53"/>
  <c r="Z197" i="53" s="1"/>
  <c r="G196" i="53"/>
  <c r="Z196" i="53" s="1"/>
  <c r="G195" i="53"/>
  <c r="Z195" i="53" s="1"/>
  <c r="G194" i="53"/>
  <c r="Z194" i="53" s="1"/>
  <c r="G193" i="53"/>
  <c r="Z193" i="53" s="1"/>
  <c r="G192" i="53"/>
  <c r="Z192" i="53" s="1"/>
  <c r="G191" i="53"/>
  <c r="Z191" i="53" s="1"/>
  <c r="G190" i="53"/>
  <c r="Z190" i="53" s="1"/>
  <c r="G189" i="53"/>
  <c r="Z189" i="53" s="1"/>
  <c r="G188" i="53"/>
  <c r="Z188" i="53" s="1"/>
  <c r="G187" i="53"/>
  <c r="Z187" i="53" s="1"/>
  <c r="G186" i="53"/>
  <c r="Z186" i="53" s="1"/>
  <c r="G185" i="53"/>
  <c r="Z185" i="53" s="1"/>
  <c r="G184" i="53"/>
  <c r="Z184" i="53" s="1"/>
  <c r="G183" i="53"/>
  <c r="Z183" i="53" s="1"/>
  <c r="G182" i="53"/>
  <c r="Z182" i="53" s="1"/>
  <c r="G181" i="53"/>
  <c r="Z181" i="53" s="1"/>
  <c r="G180" i="53"/>
  <c r="Z180" i="53" s="1"/>
  <c r="G179" i="53"/>
  <c r="Z179" i="53" s="1"/>
  <c r="G178" i="53"/>
  <c r="Z178" i="53" s="1"/>
  <c r="G177" i="53"/>
  <c r="Z177" i="53" s="1"/>
  <c r="G176" i="53"/>
  <c r="Z176" i="53" s="1"/>
  <c r="G175" i="53"/>
  <c r="Z175" i="53" s="1"/>
  <c r="G174" i="53"/>
  <c r="Z174" i="53" s="1"/>
  <c r="G173" i="53"/>
  <c r="Z173" i="53" s="1"/>
  <c r="G172" i="53"/>
  <c r="Z172" i="53" s="1"/>
  <c r="G171" i="53"/>
  <c r="Z171" i="53" s="1"/>
  <c r="G170" i="53"/>
  <c r="Z170" i="53" s="1"/>
  <c r="G169" i="53"/>
  <c r="Z169" i="53" s="1"/>
  <c r="G168" i="53"/>
  <c r="Z168" i="53" s="1"/>
  <c r="G167" i="53"/>
  <c r="Z167" i="53" s="1"/>
  <c r="G166" i="53"/>
  <c r="Z166" i="53" s="1"/>
  <c r="G165" i="53"/>
  <c r="Z165" i="53" s="1"/>
  <c r="G164" i="53"/>
  <c r="Z164" i="53" s="1"/>
  <c r="G163" i="53"/>
  <c r="Z163" i="53" s="1"/>
  <c r="G162" i="53"/>
  <c r="Z162" i="53" s="1"/>
  <c r="G161" i="53"/>
  <c r="Z161" i="53" s="1"/>
  <c r="G160" i="53"/>
  <c r="Z160" i="53" s="1"/>
  <c r="G159" i="53"/>
  <c r="Z159" i="53" s="1"/>
  <c r="G158" i="53"/>
  <c r="Z158" i="53" s="1"/>
  <c r="G157" i="53"/>
  <c r="Z157" i="53" s="1"/>
  <c r="G156" i="53"/>
  <c r="Z156" i="53" s="1"/>
  <c r="G155" i="53"/>
  <c r="Z155" i="53" s="1"/>
  <c r="G154" i="53"/>
  <c r="Z154" i="53" s="1"/>
  <c r="G153" i="53"/>
  <c r="Z153" i="53" s="1"/>
  <c r="G152" i="53"/>
  <c r="Z152" i="53" s="1"/>
  <c r="G151" i="53"/>
  <c r="Z151" i="53" s="1"/>
  <c r="G150" i="53"/>
  <c r="Z150" i="53" s="1"/>
  <c r="G149" i="53"/>
  <c r="Z149" i="53" s="1"/>
  <c r="G148" i="53"/>
  <c r="Z148" i="53" s="1"/>
  <c r="G147" i="53"/>
  <c r="Z147" i="53" s="1"/>
  <c r="G146" i="53"/>
  <c r="Z146" i="53" s="1"/>
  <c r="G145" i="53"/>
  <c r="Z145" i="53" s="1"/>
  <c r="G144" i="53"/>
  <c r="Z144" i="53" s="1"/>
  <c r="G143" i="53"/>
  <c r="Z143" i="53" s="1"/>
  <c r="G142" i="53"/>
  <c r="Z142" i="53" s="1"/>
  <c r="G141" i="53"/>
  <c r="Z141" i="53" s="1"/>
  <c r="G140" i="53"/>
  <c r="Z140" i="53" s="1"/>
  <c r="G139" i="53"/>
  <c r="Z139" i="53" s="1"/>
  <c r="G138" i="53"/>
  <c r="Z138" i="53" s="1"/>
  <c r="G137" i="53"/>
  <c r="Z137" i="53" s="1"/>
  <c r="G136" i="53"/>
  <c r="Z136" i="53" s="1"/>
  <c r="G135" i="53"/>
  <c r="Z135" i="53" s="1"/>
  <c r="G134" i="53"/>
  <c r="Z134" i="53" s="1"/>
  <c r="G133" i="53"/>
  <c r="Z133" i="53" s="1"/>
  <c r="G132" i="53"/>
  <c r="Z132" i="53" s="1"/>
  <c r="G131" i="53"/>
  <c r="Z131" i="53" s="1"/>
  <c r="G130" i="53"/>
  <c r="Z130" i="53" s="1"/>
  <c r="G129" i="53"/>
  <c r="Z129" i="53" s="1"/>
  <c r="G128" i="53"/>
  <c r="Z128" i="53" s="1"/>
  <c r="G127" i="53"/>
  <c r="Z127" i="53" s="1"/>
  <c r="G126" i="53"/>
  <c r="Z126" i="53" s="1"/>
  <c r="G125" i="53"/>
  <c r="Z125" i="53" s="1"/>
  <c r="G124" i="53"/>
  <c r="Z124" i="53" s="1"/>
  <c r="G123" i="53"/>
  <c r="Z123" i="53" s="1"/>
  <c r="G122" i="53"/>
  <c r="Z122" i="53" s="1"/>
  <c r="G121" i="53"/>
  <c r="Z121" i="53" s="1"/>
  <c r="G120" i="53"/>
  <c r="Z120" i="53" s="1"/>
  <c r="G119" i="53"/>
  <c r="Z119" i="53" s="1"/>
  <c r="G118" i="53"/>
  <c r="Z118" i="53" s="1"/>
  <c r="G117" i="53"/>
  <c r="Z117" i="53" s="1"/>
  <c r="G116" i="53"/>
  <c r="Z116" i="53" s="1"/>
  <c r="G115" i="53"/>
  <c r="Z115" i="53" s="1"/>
  <c r="G114" i="53"/>
  <c r="Z114" i="53" s="1"/>
  <c r="G113" i="53"/>
  <c r="Z113" i="53" s="1"/>
  <c r="G112" i="53"/>
  <c r="Z112" i="53" s="1"/>
  <c r="G111" i="53"/>
  <c r="Z111" i="53" s="1"/>
  <c r="G110" i="53"/>
  <c r="Z110" i="53" s="1"/>
  <c r="G109" i="53"/>
  <c r="Z109" i="53" s="1"/>
  <c r="G108" i="53"/>
  <c r="Z108" i="53" s="1"/>
  <c r="G107" i="53"/>
  <c r="Z107" i="53" s="1"/>
  <c r="G106" i="53"/>
  <c r="Z106" i="53" s="1"/>
  <c r="G105" i="53"/>
  <c r="Z105" i="53" s="1"/>
  <c r="G104" i="53"/>
  <c r="Z104" i="53" s="1"/>
  <c r="G103" i="53"/>
  <c r="Z103" i="53" s="1"/>
  <c r="G102" i="53"/>
  <c r="Z102" i="53" s="1"/>
  <c r="G101" i="53"/>
  <c r="Z101" i="53" s="1"/>
  <c r="G100" i="53"/>
  <c r="Z100" i="53" s="1"/>
  <c r="G99" i="53"/>
  <c r="Z99" i="53" s="1"/>
  <c r="G98" i="53"/>
  <c r="Z98" i="53" s="1"/>
  <c r="G97" i="53"/>
  <c r="Z97" i="53" s="1"/>
  <c r="G96" i="53"/>
  <c r="Z96" i="53" s="1"/>
  <c r="G95" i="53"/>
  <c r="Z95" i="53" s="1"/>
  <c r="G94" i="53"/>
  <c r="Z94" i="53" s="1"/>
  <c r="G93" i="53"/>
  <c r="Z93" i="53" s="1"/>
  <c r="G92" i="53"/>
  <c r="Z92" i="53" s="1"/>
  <c r="G91" i="53"/>
  <c r="Z91" i="53" s="1"/>
  <c r="G90" i="53"/>
  <c r="Z90" i="53" s="1"/>
  <c r="G89" i="53"/>
  <c r="Z89" i="53" s="1"/>
  <c r="G88" i="53"/>
  <c r="Z88" i="53" s="1"/>
  <c r="G87" i="53"/>
  <c r="Z87" i="53" s="1"/>
  <c r="G86" i="53"/>
  <c r="Z86" i="53" s="1"/>
  <c r="G85" i="53"/>
  <c r="Z85" i="53" s="1"/>
  <c r="G84" i="53"/>
  <c r="Z84" i="53" s="1"/>
  <c r="G83" i="53"/>
  <c r="Z83" i="53" s="1"/>
  <c r="G82" i="53"/>
  <c r="Z82" i="53" s="1"/>
  <c r="G81" i="53"/>
  <c r="Z81" i="53" s="1"/>
  <c r="G80" i="53"/>
  <c r="Z80" i="53" s="1"/>
  <c r="G79" i="53"/>
  <c r="Z79" i="53" s="1"/>
  <c r="G78" i="53"/>
  <c r="Z78" i="53" s="1"/>
  <c r="G77" i="53"/>
  <c r="Z77" i="53" s="1"/>
  <c r="G76" i="53"/>
  <c r="Z76" i="53" s="1"/>
  <c r="G75" i="53"/>
  <c r="Z75" i="53" s="1"/>
  <c r="G74" i="53"/>
  <c r="Z74" i="53" s="1"/>
  <c r="G73" i="53"/>
  <c r="Z73" i="53" s="1"/>
  <c r="G72" i="53"/>
  <c r="Z72" i="53" s="1"/>
  <c r="G71" i="53"/>
  <c r="Z71" i="53" s="1"/>
  <c r="G70" i="53"/>
  <c r="Z70" i="53" s="1"/>
  <c r="G69" i="53"/>
  <c r="Z69" i="53" s="1"/>
  <c r="G68" i="53"/>
  <c r="Z68" i="53" s="1"/>
  <c r="G67" i="53"/>
  <c r="Z67" i="53" s="1"/>
  <c r="G66" i="53"/>
  <c r="Z66" i="53" s="1"/>
  <c r="G65" i="53"/>
  <c r="Z65" i="53" s="1"/>
  <c r="G64" i="53"/>
  <c r="Z64" i="53" s="1"/>
  <c r="G63" i="53"/>
  <c r="Z63" i="53" s="1"/>
  <c r="G62" i="53"/>
  <c r="Z62" i="53" s="1"/>
  <c r="G61" i="53"/>
  <c r="Z61" i="53" s="1"/>
  <c r="G60" i="53"/>
  <c r="Z60" i="53" s="1"/>
  <c r="G59" i="53"/>
  <c r="Z59" i="53" s="1"/>
  <c r="G58" i="53"/>
  <c r="Z58" i="53" s="1"/>
  <c r="G57" i="53"/>
  <c r="Z57" i="53" s="1"/>
  <c r="G56" i="53"/>
  <c r="Z56" i="53" s="1"/>
  <c r="G55" i="53"/>
  <c r="Z55" i="53" s="1"/>
  <c r="G54" i="53"/>
  <c r="Z54" i="53" s="1"/>
  <c r="G53" i="53"/>
  <c r="Z53" i="53" s="1"/>
  <c r="G52" i="53"/>
  <c r="Z52" i="53" s="1"/>
  <c r="G51" i="53"/>
  <c r="Z51" i="53" s="1"/>
  <c r="G50" i="53"/>
  <c r="Z50" i="53" s="1"/>
  <c r="G49" i="53"/>
  <c r="Z49" i="53" s="1"/>
  <c r="G48" i="53"/>
  <c r="Z48" i="53" s="1"/>
  <c r="G47" i="53"/>
  <c r="Z47" i="53" s="1"/>
  <c r="G46" i="53"/>
  <c r="Z46" i="53" s="1"/>
  <c r="G45" i="53"/>
  <c r="Z45" i="53" s="1"/>
  <c r="G44" i="53"/>
  <c r="Z44" i="53" s="1"/>
  <c r="G43" i="53"/>
  <c r="Z43" i="53" s="1"/>
  <c r="G42" i="53"/>
  <c r="Z42" i="53" s="1"/>
  <c r="G41" i="53"/>
  <c r="Z41" i="53" s="1"/>
  <c r="G40" i="53"/>
  <c r="Z40" i="53" s="1"/>
  <c r="G39" i="53"/>
  <c r="Z39" i="53" s="1"/>
  <c r="G38" i="53"/>
  <c r="Z38" i="53" s="1"/>
  <c r="G37" i="53"/>
  <c r="Z37" i="53" s="1"/>
  <c r="G36" i="53"/>
  <c r="Z36" i="53" s="1"/>
  <c r="G35" i="53"/>
  <c r="Z35" i="53" s="1"/>
  <c r="G34" i="53"/>
  <c r="Z34" i="53" s="1"/>
  <c r="G33" i="53"/>
  <c r="Z33" i="53" s="1"/>
  <c r="G32" i="53"/>
  <c r="Z32" i="53" s="1"/>
  <c r="G31" i="53"/>
  <c r="Z31" i="53" s="1"/>
  <c r="G30" i="53"/>
  <c r="Z30" i="53" s="1"/>
  <c r="G29" i="53"/>
  <c r="Z29" i="53" s="1"/>
  <c r="G28" i="53"/>
  <c r="Z28" i="53" s="1"/>
  <c r="G27" i="53"/>
  <c r="Z27" i="53" s="1"/>
  <c r="G26" i="53"/>
  <c r="Z26" i="53" s="1"/>
  <c r="G25" i="53"/>
  <c r="Z25" i="53" s="1"/>
  <c r="G24" i="53"/>
  <c r="Z24" i="53" s="1"/>
  <c r="G23" i="53"/>
  <c r="Z23" i="53" s="1"/>
  <c r="G22" i="53"/>
  <c r="Z22" i="53" s="1"/>
  <c r="G21" i="53"/>
  <c r="Z21" i="53" s="1"/>
  <c r="G20" i="53"/>
  <c r="Z20" i="53" s="1"/>
  <c r="G19" i="53"/>
  <c r="Z19" i="53" s="1"/>
  <c r="G18" i="53"/>
  <c r="Z18" i="53" s="1"/>
  <c r="G17" i="53"/>
  <c r="Z17" i="53" s="1"/>
  <c r="G16" i="53"/>
  <c r="Z16" i="53" s="1"/>
  <c r="G15" i="53"/>
  <c r="Z15" i="53" s="1"/>
  <c r="E307" i="53"/>
  <c r="X307" i="53" s="1"/>
  <c r="E306" i="53"/>
  <c r="X306" i="53" s="1"/>
  <c r="E305" i="53"/>
  <c r="X305" i="53" s="1"/>
  <c r="E304" i="53"/>
  <c r="X304" i="53" s="1"/>
  <c r="E303" i="53"/>
  <c r="X303" i="53" s="1"/>
  <c r="E302" i="53"/>
  <c r="X302" i="53" s="1"/>
  <c r="E301" i="53"/>
  <c r="X301" i="53" s="1"/>
  <c r="E300" i="53"/>
  <c r="X300" i="53" s="1"/>
  <c r="E299" i="53"/>
  <c r="X299" i="53" s="1"/>
  <c r="E298" i="53"/>
  <c r="X298" i="53" s="1"/>
  <c r="E297" i="53"/>
  <c r="X297" i="53" s="1"/>
  <c r="E296" i="53"/>
  <c r="X296" i="53" s="1"/>
  <c r="E295" i="53"/>
  <c r="X295" i="53" s="1"/>
  <c r="E294" i="53"/>
  <c r="X294" i="53" s="1"/>
  <c r="E293" i="53"/>
  <c r="X293" i="53" s="1"/>
  <c r="E292" i="53"/>
  <c r="X292" i="53" s="1"/>
  <c r="E291" i="53"/>
  <c r="X291" i="53" s="1"/>
  <c r="E290" i="53"/>
  <c r="X290" i="53" s="1"/>
  <c r="E289" i="53"/>
  <c r="X289" i="53" s="1"/>
  <c r="E288" i="53"/>
  <c r="X288" i="53" s="1"/>
  <c r="E287" i="53"/>
  <c r="X287" i="53" s="1"/>
  <c r="E286" i="53"/>
  <c r="X286" i="53" s="1"/>
  <c r="E285" i="53"/>
  <c r="X285" i="53" s="1"/>
  <c r="E284" i="53"/>
  <c r="X284" i="53" s="1"/>
  <c r="E283" i="53"/>
  <c r="X283" i="53" s="1"/>
  <c r="E282" i="53"/>
  <c r="X282" i="53" s="1"/>
  <c r="E281" i="53"/>
  <c r="X281" i="53" s="1"/>
  <c r="E280" i="53"/>
  <c r="X280" i="53" s="1"/>
  <c r="E279" i="53"/>
  <c r="X279" i="53" s="1"/>
  <c r="E278" i="53"/>
  <c r="X278" i="53" s="1"/>
  <c r="E277" i="53"/>
  <c r="X277" i="53" s="1"/>
  <c r="E276" i="53"/>
  <c r="X276" i="53" s="1"/>
  <c r="E275" i="53"/>
  <c r="X275" i="53" s="1"/>
  <c r="E274" i="53"/>
  <c r="X274" i="53" s="1"/>
  <c r="E273" i="53"/>
  <c r="X273" i="53" s="1"/>
  <c r="E272" i="53"/>
  <c r="X272" i="53" s="1"/>
  <c r="E271" i="53"/>
  <c r="X271" i="53" s="1"/>
  <c r="E270" i="53"/>
  <c r="X270" i="53" s="1"/>
  <c r="E269" i="53"/>
  <c r="X269" i="53" s="1"/>
  <c r="E268" i="53"/>
  <c r="X268" i="53" s="1"/>
  <c r="E267" i="53"/>
  <c r="X267" i="53" s="1"/>
  <c r="E266" i="53"/>
  <c r="X266" i="53" s="1"/>
  <c r="E265" i="53"/>
  <c r="X265" i="53" s="1"/>
  <c r="E264" i="53"/>
  <c r="X264" i="53" s="1"/>
  <c r="E263" i="53"/>
  <c r="X263" i="53" s="1"/>
  <c r="E262" i="53"/>
  <c r="X262" i="53" s="1"/>
  <c r="E261" i="53"/>
  <c r="X261" i="53" s="1"/>
  <c r="E260" i="53"/>
  <c r="X260" i="53" s="1"/>
  <c r="E259" i="53"/>
  <c r="X259" i="53" s="1"/>
  <c r="E258" i="53"/>
  <c r="X258" i="53" s="1"/>
  <c r="E257" i="53"/>
  <c r="X257" i="53" s="1"/>
  <c r="E256" i="53"/>
  <c r="X256" i="53" s="1"/>
  <c r="E255" i="53"/>
  <c r="X255" i="53" s="1"/>
  <c r="E254" i="53"/>
  <c r="X254" i="53" s="1"/>
  <c r="E253" i="53"/>
  <c r="X253" i="53" s="1"/>
  <c r="E252" i="53"/>
  <c r="X252" i="53" s="1"/>
  <c r="E251" i="53"/>
  <c r="X251" i="53" s="1"/>
  <c r="E250" i="53"/>
  <c r="X250" i="53" s="1"/>
  <c r="E249" i="53"/>
  <c r="X249" i="53" s="1"/>
  <c r="E248" i="53"/>
  <c r="X248" i="53" s="1"/>
  <c r="E247" i="53"/>
  <c r="X247" i="53" s="1"/>
  <c r="E246" i="53"/>
  <c r="X246" i="53" s="1"/>
  <c r="E245" i="53"/>
  <c r="X245" i="53" s="1"/>
  <c r="E244" i="53"/>
  <c r="X244" i="53" s="1"/>
  <c r="E243" i="53"/>
  <c r="X243" i="53" s="1"/>
  <c r="E242" i="53"/>
  <c r="X242" i="53" s="1"/>
  <c r="E241" i="53"/>
  <c r="X241" i="53" s="1"/>
  <c r="E240" i="53"/>
  <c r="X240" i="53" s="1"/>
  <c r="E239" i="53"/>
  <c r="X239" i="53" s="1"/>
  <c r="E238" i="53"/>
  <c r="X238" i="53" s="1"/>
  <c r="E237" i="53"/>
  <c r="X237" i="53" s="1"/>
  <c r="E236" i="53"/>
  <c r="X236" i="53" s="1"/>
  <c r="E235" i="53"/>
  <c r="X235" i="53" s="1"/>
  <c r="E234" i="53"/>
  <c r="X234" i="53" s="1"/>
  <c r="E233" i="53"/>
  <c r="X233" i="53" s="1"/>
  <c r="E232" i="53"/>
  <c r="X232" i="53" s="1"/>
  <c r="E231" i="53"/>
  <c r="X231" i="53" s="1"/>
  <c r="E230" i="53"/>
  <c r="X230" i="53" s="1"/>
  <c r="E229" i="53"/>
  <c r="X229" i="53" s="1"/>
  <c r="E228" i="53"/>
  <c r="X228" i="53" s="1"/>
  <c r="E227" i="53"/>
  <c r="X227" i="53" s="1"/>
  <c r="E226" i="53"/>
  <c r="X226" i="53" s="1"/>
  <c r="E225" i="53"/>
  <c r="X225" i="53" s="1"/>
  <c r="E224" i="53"/>
  <c r="X224" i="53" s="1"/>
  <c r="E223" i="53"/>
  <c r="X223" i="53" s="1"/>
  <c r="E222" i="53"/>
  <c r="X222" i="53" s="1"/>
  <c r="E221" i="53"/>
  <c r="X221" i="53" s="1"/>
  <c r="E220" i="53"/>
  <c r="X220" i="53" s="1"/>
  <c r="E219" i="53"/>
  <c r="X219" i="53" s="1"/>
  <c r="E218" i="53"/>
  <c r="X218" i="53" s="1"/>
  <c r="E217" i="53"/>
  <c r="X217" i="53" s="1"/>
  <c r="E216" i="53"/>
  <c r="X216" i="53" s="1"/>
  <c r="E215" i="53"/>
  <c r="X215" i="53" s="1"/>
  <c r="E214" i="53"/>
  <c r="X214" i="53" s="1"/>
  <c r="E213" i="53"/>
  <c r="X213" i="53" s="1"/>
  <c r="E212" i="53"/>
  <c r="X212" i="53" s="1"/>
  <c r="E211" i="53"/>
  <c r="X211" i="53" s="1"/>
  <c r="E210" i="53"/>
  <c r="X210" i="53" s="1"/>
  <c r="E209" i="53"/>
  <c r="X209" i="53" s="1"/>
  <c r="E208" i="53"/>
  <c r="X208" i="53" s="1"/>
  <c r="E207" i="53"/>
  <c r="X207" i="53" s="1"/>
  <c r="E206" i="53"/>
  <c r="X206" i="53" s="1"/>
  <c r="E205" i="53"/>
  <c r="X205" i="53" s="1"/>
  <c r="E204" i="53"/>
  <c r="X204" i="53" s="1"/>
  <c r="E203" i="53"/>
  <c r="X203" i="53" s="1"/>
  <c r="E202" i="53"/>
  <c r="X202" i="53" s="1"/>
  <c r="E201" i="53"/>
  <c r="X201" i="53" s="1"/>
  <c r="E200" i="53"/>
  <c r="X200" i="53" s="1"/>
  <c r="E199" i="53"/>
  <c r="X199" i="53" s="1"/>
  <c r="E198" i="53"/>
  <c r="X198" i="53" s="1"/>
  <c r="E197" i="53"/>
  <c r="X197" i="53" s="1"/>
  <c r="E196" i="53"/>
  <c r="X196" i="53" s="1"/>
  <c r="E195" i="53"/>
  <c r="X195" i="53" s="1"/>
  <c r="E194" i="53"/>
  <c r="X194" i="53" s="1"/>
  <c r="E193" i="53"/>
  <c r="X193" i="53" s="1"/>
  <c r="E192" i="53"/>
  <c r="X192" i="53" s="1"/>
  <c r="E191" i="53"/>
  <c r="X191" i="53" s="1"/>
  <c r="E190" i="53"/>
  <c r="X190" i="53" s="1"/>
  <c r="E189" i="53"/>
  <c r="X189" i="53" s="1"/>
  <c r="E188" i="53"/>
  <c r="X188" i="53" s="1"/>
  <c r="E187" i="53"/>
  <c r="X187" i="53" s="1"/>
  <c r="E186" i="53"/>
  <c r="X186" i="53" s="1"/>
  <c r="E185" i="53"/>
  <c r="X185" i="53" s="1"/>
  <c r="E184" i="53"/>
  <c r="X184" i="53" s="1"/>
  <c r="E183" i="53"/>
  <c r="X183" i="53" s="1"/>
  <c r="E182" i="53"/>
  <c r="X182" i="53" s="1"/>
  <c r="E181" i="53"/>
  <c r="X181" i="53" s="1"/>
  <c r="E180" i="53"/>
  <c r="X180" i="53" s="1"/>
  <c r="E179" i="53"/>
  <c r="X179" i="53" s="1"/>
  <c r="E178" i="53"/>
  <c r="X178" i="53" s="1"/>
  <c r="E177" i="53"/>
  <c r="X177" i="53" s="1"/>
  <c r="E176" i="53"/>
  <c r="X176" i="53" s="1"/>
  <c r="E175" i="53"/>
  <c r="X175" i="53" s="1"/>
  <c r="E174" i="53"/>
  <c r="X174" i="53" s="1"/>
  <c r="E173" i="53"/>
  <c r="X173" i="53" s="1"/>
  <c r="E172" i="53"/>
  <c r="X172" i="53" s="1"/>
  <c r="E171" i="53"/>
  <c r="X171" i="53" s="1"/>
  <c r="E170" i="53"/>
  <c r="X170" i="53" s="1"/>
  <c r="E169" i="53"/>
  <c r="X169" i="53" s="1"/>
  <c r="E168" i="53"/>
  <c r="X168" i="53" s="1"/>
  <c r="E167" i="53"/>
  <c r="X167" i="53" s="1"/>
  <c r="E166" i="53"/>
  <c r="X166" i="53" s="1"/>
  <c r="E165" i="53"/>
  <c r="X165" i="53" s="1"/>
  <c r="E164" i="53"/>
  <c r="X164" i="53" s="1"/>
  <c r="E163" i="53"/>
  <c r="X163" i="53" s="1"/>
  <c r="E162" i="53"/>
  <c r="X162" i="53" s="1"/>
  <c r="E161" i="53"/>
  <c r="X161" i="53" s="1"/>
  <c r="E160" i="53"/>
  <c r="X160" i="53" s="1"/>
  <c r="E159" i="53"/>
  <c r="X159" i="53" s="1"/>
  <c r="E158" i="53"/>
  <c r="X158" i="53" s="1"/>
  <c r="E157" i="53"/>
  <c r="X157" i="53" s="1"/>
  <c r="E156" i="53"/>
  <c r="X156" i="53" s="1"/>
  <c r="E155" i="53"/>
  <c r="X155" i="53" s="1"/>
  <c r="E154" i="53"/>
  <c r="X154" i="53" s="1"/>
  <c r="E153" i="53"/>
  <c r="X153" i="53" s="1"/>
  <c r="E152" i="53"/>
  <c r="X152" i="53" s="1"/>
  <c r="E151" i="53"/>
  <c r="X151" i="53" s="1"/>
  <c r="E150" i="53"/>
  <c r="X150" i="53" s="1"/>
  <c r="E149" i="53"/>
  <c r="X149" i="53" s="1"/>
  <c r="E148" i="53"/>
  <c r="X148" i="53" s="1"/>
  <c r="E147" i="53"/>
  <c r="X147" i="53" s="1"/>
  <c r="E146" i="53"/>
  <c r="X146" i="53" s="1"/>
  <c r="E145" i="53"/>
  <c r="X145" i="53" s="1"/>
  <c r="E144" i="53"/>
  <c r="X144" i="53" s="1"/>
  <c r="E143" i="53"/>
  <c r="X143" i="53" s="1"/>
  <c r="E142" i="53"/>
  <c r="X142" i="53" s="1"/>
  <c r="E141" i="53"/>
  <c r="X141" i="53" s="1"/>
  <c r="E140" i="53"/>
  <c r="X140" i="53" s="1"/>
  <c r="E139" i="53"/>
  <c r="X139" i="53" s="1"/>
  <c r="E138" i="53"/>
  <c r="X138" i="53" s="1"/>
  <c r="E137" i="53"/>
  <c r="X137" i="53" s="1"/>
  <c r="E136" i="53"/>
  <c r="X136" i="53" s="1"/>
  <c r="E135" i="53"/>
  <c r="X135" i="53" s="1"/>
  <c r="E134" i="53"/>
  <c r="X134" i="53" s="1"/>
  <c r="E133" i="53"/>
  <c r="X133" i="53" s="1"/>
  <c r="E132" i="53"/>
  <c r="X132" i="53" s="1"/>
  <c r="E131" i="53"/>
  <c r="X131" i="53" s="1"/>
  <c r="E130" i="53"/>
  <c r="X130" i="53" s="1"/>
  <c r="E129" i="53"/>
  <c r="X129" i="53" s="1"/>
  <c r="E128" i="53"/>
  <c r="X128" i="53" s="1"/>
  <c r="E127" i="53"/>
  <c r="X127" i="53" s="1"/>
  <c r="E126" i="53"/>
  <c r="X126" i="53" s="1"/>
  <c r="E125" i="53"/>
  <c r="X125" i="53" s="1"/>
  <c r="E124" i="53"/>
  <c r="X124" i="53" s="1"/>
  <c r="E123" i="53"/>
  <c r="X123" i="53" s="1"/>
  <c r="E122" i="53"/>
  <c r="X122" i="53" s="1"/>
  <c r="E121" i="53"/>
  <c r="X121" i="53" s="1"/>
  <c r="E120" i="53"/>
  <c r="X120" i="53" s="1"/>
  <c r="E119" i="53"/>
  <c r="X119" i="53" s="1"/>
  <c r="E118" i="53"/>
  <c r="X118" i="53" s="1"/>
  <c r="E117" i="53"/>
  <c r="X117" i="53" s="1"/>
  <c r="E116" i="53"/>
  <c r="X116" i="53" s="1"/>
  <c r="E115" i="53"/>
  <c r="X115" i="53" s="1"/>
  <c r="E114" i="53"/>
  <c r="X114" i="53" s="1"/>
  <c r="E113" i="53"/>
  <c r="X113" i="53" s="1"/>
  <c r="E112" i="53"/>
  <c r="X112" i="53" s="1"/>
  <c r="E111" i="53"/>
  <c r="X111" i="53" s="1"/>
  <c r="E110" i="53"/>
  <c r="X110" i="53" s="1"/>
  <c r="E109" i="53"/>
  <c r="X109" i="53" s="1"/>
  <c r="E108" i="53"/>
  <c r="X108" i="53" s="1"/>
  <c r="E107" i="53"/>
  <c r="X107" i="53" s="1"/>
  <c r="E106" i="53"/>
  <c r="X106" i="53" s="1"/>
  <c r="E105" i="53"/>
  <c r="X105" i="53" s="1"/>
  <c r="E104" i="53"/>
  <c r="X104" i="53" s="1"/>
  <c r="E103" i="53"/>
  <c r="X103" i="53" s="1"/>
  <c r="E102" i="53"/>
  <c r="X102" i="53" s="1"/>
  <c r="E101" i="53"/>
  <c r="X101" i="53" s="1"/>
  <c r="E100" i="53"/>
  <c r="X100" i="53" s="1"/>
  <c r="E99" i="53"/>
  <c r="X99" i="53" s="1"/>
  <c r="E98" i="53"/>
  <c r="X98" i="53" s="1"/>
  <c r="E97" i="53"/>
  <c r="X97" i="53" s="1"/>
  <c r="E96" i="53"/>
  <c r="X96" i="53" s="1"/>
  <c r="E95" i="53"/>
  <c r="X95" i="53" s="1"/>
  <c r="E94" i="53"/>
  <c r="X94" i="53" s="1"/>
  <c r="E93" i="53"/>
  <c r="X93" i="53" s="1"/>
  <c r="E92" i="53"/>
  <c r="X92" i="53" s="1"/>
  <c r="E91" i="53"/>
  <c r="X91" i="53" s="1"/>
  <c r="E90" i="53"/>
  <c r="X90" i="53" s="1"/>
  <c r="E89" i="53"/>
  <c r="X89" i="53" s="1"/>
  <c r="E88" i="53"/>
  <c r="X88" i="53" s="1"/>
  <c r="E87" i="53"/>
  <c r="X87" i="53" s="1"/>
  <c r="E86" i="53"/>
  <c r="X86" i="53" s="1"/>
  <c r="E85" i="53"/>
  <c r="X85" i="53" s="1"/>
  <c r="E84" i="53"/>
  <c r="X84" i="53" s="1"/>
  <c r="E83" i="53"/>
  <c r="X83" i="53" s="1"/>
  <c r="E82" i="53"/>
  <c r="X82" i="53" s="1"/>
  <c r="E81" i="53"/>
  <c r="X81" i="53" s="1"/>
  <c r="E80" i="53"/>
  <c r="X80" i="53" s="1"/>
  <c r="E79" i="53"/>
  <c r="X79" i="53" s="1"/>
  <c r="E78" i="53"/>
  <c r="X78" i="53" s="1"/>
  <c r="E77" i="53"/>
  <c r="X77" i="53" s="1"/>
  <c r="E76" i="53"/>
  <c r="X76" i="53" s="1"/>
  <c r="E75" i="53"/>
  <c r="X75" i="53" s="1"/>
  <c r="E74" i="53"/>
  <c r="X74" i="53" s="1"/>
  <c r="E73" i="53"/>
  <c r="X73" i="53" s="1"/>
  <c r="E72" i="53"/>
  <c r="X72" i="53" s="1"/>
  <c r="E71" i="53"/>
  <c r="X71" i="53" s="1"/>
  <c r="E70" i="53"/>
  <c r="X70" i="53" s="1"/>
  <c r="E69" i="53"/>
  <c r="X69" i="53" s="1"/>
  <c r="E68" i="53"/>
  <c r="X68" i="53" s="1"/>
  <c r="E67" i="53"/>
  <c r="X67" i="53" s="1"/>
  <c r="E66" i="53"/>
  <c r="X66" i="53" s="1"/>
  <c r="E65" i="53"/>
  <c r="X65" i="53" s="1"/>
  <c r="E64" i="53"/>
  <c r="X64" i="53" s="1"/>
  <c r="E63" i="53"/>
  <c r="X63" i="53" s="1"/>
  <c r="E62" i="53"/>
  <c r="X62" i="53" s="1"/>
  <c r="E61" i="53"/>
  <c r="X61" i="53" s="1"/>
  <c r="E60" i="53"/>
  <c r="X60" i="53" s="1"/>
  <c r="E59" i="53"/>
  <c r="X59" i="53" s="1"/>
  <c r="E58" i="53"/>
  <c r="X58" i="53" s="1"/>
  <c r="E57" i="53"/>
  <c r="X57" i="53" s="1"/>
  <c r="E56" i="53"/>
  <c r="X56" i="53" s="1"/>
  <c r="E55" i="53"/>
  <c r="X55" i="53" s="1"/>
  <c r="E54" i="53"/>
  <c r="X54" i="53" s="1"/>
  <c r="E53" i="53"/>
  <c r="X53" i="53" s="1"/>
  <c r="E52" i="53"/>
  <c r="X52" i="53" s="1"/>
  <c r="E51" i="53"/>
  <c r="X51" i="53" s="1"/>
  <c r="E50" i="53"/>
  <c r="X50" i="53" s="1"/>
  <c r="E49" i="53"/>
  <c r="X49" i="53" s="1"/>
  <c r="E48" i="53"/>
  <c r="X48" i="53" s="1"/>
  <c r="E47" i="53"/>
  <c r="X47" i="53" s="1"/>
  <c r="E46" i="53"/>
  <c r="X46" i="53" s="1"/>
  <c r="E45" i="53"/>
  <c r="X45" i="53" s="1"/>
  <c r="E44" i="53"/>
  <c r="X44" i="53" s="1"/>
  <c r="E43" i="53"/>
  <c r="X43" i="53" s="1"/>
  <c r="E42" i="53"/>
  <c r="X42" i="53" s="1"/>
  <c r="E41" i="53"/>
  <c r="X41" i="53" s="1"/>
  <c r="E40" i="53"/>
  <c r="X40" i="53" s="1"/>
  <c r="E39" i="53"/>
  <c r="X39" i="53" s="1"/>
  <c r="E38" i="53"/>
  <c r="X38" i="53" s="1"/>
  <c r="E37" i="53"/>
  <c r="X37" i="53" s="1"/>
  <c r="E36" i="53"/>
  <c r="X36" i="53" s="1"/>
  <c r="E35" i="53"/>
  <c r="X35" i="53" s="1"/>
  <c r="E34" i="53"/>
  <c r="X34" i="53" s="1"/>
  <c r="E33" i="53"/>
  <c r="X33" i="53" s="1"/>
  <c r="E32" i="53"/>
  <c r="X32" i="53" s="1"/>
  <c r="E31" i="53"/>
  <c r="X31" i="53" s="1"/>
  <c r="E30" i="53"/>
  <c r="X30" i="53" s="1"/>
  <c r="E29" i="53"/>
  <c r="X29" i="53" s="1"/>
  <c r="E28" i="53"/>
  <c r="X28" i="53" s="1"/>
  <c r="E27" i="53"/>
  <c r="X27" i="53" s="1"/>
  <c r="E26" i="53"/>
  <c r="X26" i="53" s="1"/>
  <c r="E25" i="53"/>
  <c r="X25" i="53" s="1"/>
  <c r="E24" i="53"/>
  <c r="X24" i="53" s="1"/>
  <c r="E23" i="53"/>
  <c r="X23" i="53" s="1"/>
  <c r="E22" i="53"/>
  <c r="X22" i="53" s="1"/>
  <c r="E21" i="53"/>
  <c r="X21" i="53" s="1"/>
  <c r="E20" i="53"/>
  <c r="X20" i="53" s="1"/>
  <c r="E19" i="53"/>
  <c r="X19" i="53" s="1"/>
  <c r="E18" i="53"/>
  <c r="X18" i="53" s="1"/>
  <c r="E17" i="53"/>
  <c r="X17" i="53" s="1"/>
  <c r="E16" i="53"/>
  <c r="X16" i="53" s="1"/>
  <c r="E15" i="53"/>
  <c r="X15" i="53" s="1"/>
  <c r="AA305" i="52"/>
  <c r="AA301" i="52"/>
  <c r="AA297" i="52"/>
  <c r="AA295" i="52"/>
  <c r="AA289" i="52"/>
  <c r="AA281" i="52"/>
  <c r="AA277" i="52"/>
  <c r="AA269" i="52"/>
  <c r="AA265" i="52"/>
  <c r="AA263" i="52"/>
  <c r="AA255" i="52"/>
  <c r="AA247" i="52"/>
  <c r="AA245" i="52"/>
  <c r="AA241" i="52"/>
  <c r="AA239" i="52"/>
  <c r="AA237" i="52"/>
  <c r="AA233" i="52"/>
  <c r="AA231" i="52"/>
  <c r="AA223" i="52"/>
  <c r="AA221" i="52"/>
  <c r="AA217" i="52"/>
  <c r="AA213" i="52"/>
  <c r="AA209" i="52"/>
  <c r="AA205" i="52"/>
  <c r="AA199" i="52"/>
  <c r="AA193" i="52"/>
  <c r="AA189" i="52"/>
  <c r="AA185" i="52"/>
  <c r="AA183" i="52"/>
  <c r="AA181" i="52"/>
  <c r="AA175" i="52"/>
  <c r="AA173" i="52"/>
  <c r="AA169" i="52"/>
  <c r="AA167" i="52"/>
  <c r="AA165" i="52"/>
  <c r="AA161" i="52"/>
  <c r="AA159" i="52"/>
  <c r="AA157" i="52"/>
  <c r="AA153" i="52"/>
  <c r="AA149" i="52"/>
  <c r="AA145" i="52"/>
  <c r="AA143" i="52"/>
  <c r="AA141" i="52"/>
  <c r="AA135" i="52"/>
  <c r="AA133" i="52"/>
  <c r="AA131" i="52"/>
  <c r="AA129" i="52"/>
  <c r="AA128" i="52"/>
  <c r="AA127" i="52"/>
  <c r="AA123" i="52"/>
  <c r="AA117" i="52"/>
  <c r="AA115" i="52"/>
  <c r="AA111" i="52"/>
  <c r="AA107" i="52"/>
  <c r="AA103" i="52"/>
  <c r="AA101" i="52"/>
  <c r="AA99" i="52"/>
  <c r="AA97" i="52"/>
  <c r="AA96" i="52"/>
  <c r="AA95" i="52"/>
  <c r="AA91" i="52"/>
  <c r="AA89" i="52"/>
  <c r="AA88" i="52"/>
  <c r="AA87" i="52"/>
  <c r="AA81" i="52"/>
  <c r="AA80" i="52"/>
  <c r="AA77" i="52"/>
  <c r="AA75" i="52"/>
  <c r="AA73" i="52"/>
  <c r="AA72" i="52"/>
  <c r="AA65" i="52"/>
  <c r="AA64" i="52"/>
  <c r="AA59" i="52"/>
  <c r="AA57" i="52"/>
  <c r="AA55" i="52"/>
  <c r="AA53" i="52"/>
  <c r="AA51" i="52"/>
  <c r="AA48" i="52"/>
  <c r="AA47" i="52"/>
  <c r="G13" i="52"/>
  <c r="F13" i="52"/>
  <c r="Y13" i="52" s="1"/>
  <c r="E13" i="52"/>
  <c r="X13" i="52" s="1"/>
  <c r="D13" i="52"/>
  <c r="W13" i="52" s="1"/>
  <c r="C13" i="52"/>
  <c r="V13" i="52" s="1"/>
  <c r="F13" i="51"/>
  <c r="Z13" i="51" s="1"/>
  <c r="E13" i="51"/>
  <c r="Y13" i="51" s="1"/>
  <c r="D13" i="51"/>
  <c r="X13" i="51" s="1"/>
  <c r="C13" i="51"/>
  <c r="W13" i="51" s="1"/>
  <c r="G13" i="50"/>
  <c r="F13" i="50"/>
  <c r="E13" i="50"/>
  <c r="D13" i="50"/>
  <c r="C13" i="50"/>
  <c r="N13" i="49"/>
  <c r="M13" i="49"/>
  <c r="L13" i="49"/>
  <c r="K13" i="49"/>
  <c r="J13" i="49"/>
  <c r="I13" i="49"/>
  <c r="H13" i="49"/>
  <c r="G13" i="49"/>
  <c r="F13" i="49"/>
  <c r="E13" i="49"/>
  <c r="D13" i="49"/>
  <c r="C13" i="49"/>
  <c r="AB281" i="52" l="1"/>
  <c r="AB167" i="52"/>
  <c r="AB97" i="52"/>
  <c r="AB111" i="52"/>
  <c r="AB305" i="52"/>
  <c r="Z13" i="52"/>
  <c r="AB185" i="52"/>
  <c r="AB91" i="52"/>
  <c r="AB149" i="52"/>
  <c r="AB51" i="52"/>
  <c r="AB193" i="52"/>
  <c r="AB72" i="52"/>
  <c r="AB81" i="52"/>
  <c r="AB153" i="52"/>
  <c r="AB117" i="52"/>
  <c r="AB209" i="52"/>
  <c r="AB223" i="52"/>
  <c r="AB295" i="52"/>
  <c r="AB87" i="52"/>
  <c r="AB245" i="52"/>
  <c r="AB183" i="52"/>
  <c r="AB129" i="52"/>
  <c r="AB221" i="52"/>
  <c r="AB241" i="52"/>
  <c r="AA17" i="52"/>
  <c r="AA108" i="52"/>
  <c r="AA142" i="52"/>
  <c r="AA226" i="52"/>
  <c r="AA253" i="52"/>
  <c r="AA18" i="52"/>
  <c r="AA26" i="52"/>
  <c r="AA34" i="52"/>
  <c r="AA41" i="52"/>
  <c r="AA71" i="52"/>
  <c r="AA85" i="52"/>
  <c r="AA94" i="52"/>
  <c r="AA98" i="52"/>
  <c r="AA109" i="52"/>
  <c r="AA120" i="52"/>
  <c r="AA137" i="52"/>
  <c r="AA147" i="52"/>
  <c r="AA152" i="52"/>
  <c r="AA164" i="52"/>
  <c r="AA184" i="52"/>
  <c r="AA194" i="52"/>
  <c r="AA211" i="52"/>
  <c r="AA222" i="52"/>
  <c r="AA227" i="52"/>
  <c r="AA238" i="52"/>
  <c r="AA242" i="52"/>
  <c r="AA254" i="52"/>
  <c r="AA259" i="52"/>
  <c r="AA271" i="52"/>
  <c r="AA283" i="52"/>
  <c r="AA296" i="52"/>
  <c r="AA302" i="52"/>
  <c r="AA307" i="52"/>
  <c r="AA25" i="52"/>
  <c r="AA119" i="52"/>
  <c r="AA172" i="52"/>
  <c r="AA210" i="52"/>
  <c r="AA258" i="52"/>
  <c r="AA19" i="52"/>
  <c r="AA27" i="52"/>
  <c r="AA35" i="52"/>
  <c r="AA42" i="52"/>
  <c r="AA52" i="52"/>
  <c r="AA60" i="52"/>
  <c r="AA76" i="52"/>
  <c r="AA86" i="52"/>
  <c r="AA90" i="52"/>
  <c r="AA104" i="52"/>
  <c r="AA110" i="52"/>
  <c r="AA116" i="52"/>
  <c r="AA121" i="52"/>
  <c r="AA132" i="52"/>
  <c r="AA138" i="52"/>
  <c r="AA168" i="52"/>
  <c r="AA179" i="52"/>
  <c r="AA190" i="52"/>
  <c r="AA212" i="52"/>
  <c r="AA243" i="52"/>
  <c r="AA248" i="52"/>
  <c r="AA272" i="52"/>
  <c r="AA278" i="52"/>
  <c r="AA284" i="52"/>
  <c r="AA290" i="52"/>
  <c r="AA303" i="52"/>
  <c r="AA70" i="52"/>
  <c r="AA136" i="52"/>
  <c r="AA178" i="52"/>
  <c r="AA20" i="52"/>
  <c r="AA28" i="52"/>
  <c r="AA36" i="52"/>
  <c r="AA43" i="52"/>
  <c r="AA56" i="52"/>
  <c r="AA61" i="52"/>
  <c r="AA66" i="52"/>
  <c r="AA105" i="52"/>
  <c r="AA122" i="52"/>
  <c r="AA139" i="52"/>
  <c r="AA144" i="52"/>
  <c r="AA148" i="52"/>
  <c r="AA174" i="52"/>
  <c r="AA180" i="52"/>
  <c r="AA191" i="52"/>
  <c r="AA195" i="52"/>
  <c r="AA200" i="52"/>
  <c r="AA206" i="52"/>
  <c r="AA218" i="52"/>
  <c r="AA228" i="52"/>
  <c r="AA234" i="52"/>
  <c r="AA244" i="52"/>
  <c r="AA249" i="52"/>
  <c r="AA260" i="52"/>
  <c r="AA266" i="52"/>
  <c r="AA279" i="52"/>
  <c r="AA285" i="52"/>
  <c r="AA291" i="52"/>
  <c r="AA304" i="52"/>
  <c r="AA21" i="52"/>
  <c r="AA29" i="52"/>
  <c r="AA37" i="52"/>
  <c r="AA44" i="52"/>
  <c r="AA62" i="52"/>
  <c r="AA67" i="52"/>
  <c r="AA82" i="52"/>
  <c r="AA100" i="52"/>
  <c r="AA106" i="52"/>
  <c r="AA140" i="52"/>
  <c r="AA158" i="52"/>
  <c r="AB161" i="52"/>
  <c r="AA186" i="52"/>
  <c r="AA192" i="52"/>
  <c r="AA201" i="52"/>
  <c r="AA207" i="52"/>
  <c r="AA229" i="52"/>
  <c r="AA235" i="52"/>
  <c r="AA250" i="52"/>
  <c r="AA261" i="52"/>
  <c r="AA267" i="52"/>
  <c r="AA273" i="52"/>
  <c r="AA280" i="52"/>
  <c r="AA286" i="52"/>
  <c r="AA292" i="52"/>
  <c r="AA298" i="52"/>
  <c r="AA151" i="52"/>
  <c r="AA232" i="52"/>
  <c r="AA264" i="52"/>
  <c r="AA306" i="52"/>
  <c r="AA22" i="52"/>
  <c r="AA30" i="52"/>
  <c r="AA38" i="52"/>
  <c r="AA49" i="52"/>
  <c r="AA68" i="52"/>
  <c r="AA78" i="52"/>
  <c r="AA112" i="52"/>
  <c r="AA118" i="52"/>
  <c r="AA134" i="52"/>
  <c r="AA154" i="52"/>
  <c r="AA162" i="52"/>
  <c r="AA166" i="52"/>
  <c r="AA196" i="52"/>
  <c r="AA202" i="52"/>
  <c r="AA208" i="52"/>
  <c r="AA219" i="52"/>
  <c r="AA224" i="52"/>
  <c r="AA230" i="52"/>
  <c r="AA236" i="52"/>
  <c r="AA240" i="52"/>
  <c r="AA256" i="52"/>
  <c r="AA262" i="52"/>
  <c r="AA268" i="52"/>
  <c r="AA274" i="52"/>
  <c r="AA293" i="52"/>
  <c r="AA299" i="52"/>
  <c r="AA33" i="52"/>
  <c r="AA126" i="52"/>
  <c r="AA216" i="52"/>
  <c r="AA15" i="52"/>
  <c r="AA23" i="52"/>
  <c r="AA31" i="52"/>
  <c r="AA39" i="52"/>
  <c r="AA45" i="52"/>
  <c r="AA50" i="52"/>
  <c r="AA54" i="52"/>
  <c r="AA58" i="52"/>
  <c r="AA63" i="52"/>
  <c r="AA83" i="52"/>
  <c r="AA92" i="52"/>
  <c r="AA113" i="52"/>
  <c r="AA124" i="52"/>
  <c r="AA155" i="52"/>
  <c r="AA170" i="52"/>
  <c r="AA176" i="52"/>
  <c r="AA182" i="52"/>
  <c r="AA187" i="52"/>
  <c r="AA197" i="52"/>
  <c r="AA203" i="52"/>
  <c r="AA214" i="52"/>
  <c r="AA220" i="52"/>
  <c r="AA246" i="52"/>
  <c r="AA251" i="52"/>
  <c r="AA275" i="52"/>
  <c r="AA287" i="52"/>
  <c r="AA294" i="52"/>
  <c r="AA300" i="52"/>
  <c r="AA40" i="52"/>
  <c r="AA93" i="52"/>
  <c r="AA270" i="52"/>
  <c r="AB16" i="52"/>
  <c r="AA16" i="52"/>
  <c r="AA24" i="52"/>
  <c r="AA32" i="52"/>
  <c r="AA46" i="52"/>
  <c r="AA69" i="52"/>
  <c r="AA74" i="52"/>
  <c r="AA79" i="52"/>
  <c r="AA84" i="52"/>
  <c r="AA102" i="52"/>
  <c r="AA114" i="52"/>
  <c r="AA125" i="52"/>
  <c r="AA130" i="52"/>
  <c r="AA146" i="52"/>
  <c r="AA150" i="52"/>
  <c r="AA156" i="52"/>
  <c r="AA160" i="52"/>
  <c r="AA163" i="52"/>
  <c r="AA171" i="52"/>
  <c r="AA177" i="52"/>
  <c r="AA188" i="52"/>
  <c r="AA198" i="52"/>
  <c r="AA204" i="52"/>
  <c r="AA215" i="52"/>
  <c r="AA225" i="52"/>
  <c r="AA252" i="52"/>
  <c r="AA257" i="52"/>
  <c r="AA276" i="52"/>
  <c r="AA282" i="52"/>
  <c r="AA288" i="52"/>
  <c r="G13" i="53"/>
  <c r="Z13" i="53" s="1"/>
  <c r="E13" i="53"/>
  <c r="X13" i="53" s="1"/>
  <c r="H13" i="52"/>
  <c r="H13" i="50"/>
  <c r="AB263" i="52" l="1"/>
  <c r="AB77" i="52"/>
  <c r="AB133" i="52"/>
  <c r="AB159" i="52"/>
  <c r="AB301" i="52"/>
  <c r="AC223" i="52"/>
  <c r="AC111" i="52"/>
  <c r="AB237" i="52"/>
  <c r="AC241" i="52"/>
  <c r="AB55" i="52"/>
  <c r="AC209" i="52"/>
  <c r="AB48" i="52"/>
  <c r="AB99" i="52"/>
  <c r="AC51" i="52"/>
  <c r="AB233" i="52"/>
  <c r="AB265" i="52"/>
  <c r="AD153" i="52"/>
  <c r="AB165" i="52"/>
  <c r="AC72" i="52"/>
  <c r="AB269" i="52"/>
  <c r="AC183" i="52"/>
  <c r="AA13" i="52"/>
  <c r="AB128" i="52"/>
  <c r="AB65" i="52"/>
  <c r="AC295" i="52"/>
  <c r="AB64" i="52"/>
  <c r="AC16" i="52"/>
  <c r="AB297" i="52"/>
  <c r="AB95" i="52"/>
  <c r="AB163" i="52"/>
  <c r="AB155" i="52"/>
  <c r="AB31" i="52"/>
  <c r="AB202" i="52"/>
  <c r="AB57" i="52"/>
  <c r="AC133" i="52"/>
  <c r="AB179" i="52"/>
  <c r="AB282" i="52"/>
  <c r="AB257" i="52"/>
  <c r="AB124" i="52"/>
  <c r="AB88" i="52"/>
  <c r="AB166" i="52"/>
  <c r="AB68" i="52"/>
  <c r="AB38" i="52"/>
  <c r="AB264" i="52"/>
  <c r="AB292" i="52"/>
  <c r="AB267" i="52"/>
  <c r="AB235" i="52"/>
  <c r="AB138" i="52"/>
  <c r="AB242" i="52"/>
  <c r="AB211" i="52"/>
  <c r="AB164" i="52"/>
  <c r="AB71" i="52"/>
  <c r="AB146" i="52"/>
  <c r="AB300" i="52"/>
  <c r="AB126" i="52"/>
  <c r="AC161" i="52"/>
  <c r="AC77" i="52"/>
  <c r="AB21" i="52"/>
  <c r="AB260" i="52"/>
  <c r="AB174" i="52"/>
  <c r="AB303" i="52"/>
  <c r="AB19" i="52"/>
  <c r="AB205" i="52"/>
  <c r="AB120" i="52"/>
  <c r="AB94" i="52"/>
  <c r="AB59" i="52"/>
  <c r="AB276" i="52"/>
  <c r="AB252" i="52"/>
  <c r="AB141" i="52"/>
  <c r="AB113" i="52"/>
  <c r="AB83" i="52"/>
  <c r="AB162" i="52"/>
  <c r="AB53" i="52"/>
  <c r="AB30" i="52"/>
  <c r="AB232" i="52"/>
  <c r="AB286" i="52"/>
  <c r="AB261" i="52"/>
  <c r="AB229" i="52"/>
  <c r="AB217" i="52"/>
  <c r="AB173" i="52"/>
  <c r="AB132" i="52"/>
  <c r="AB238" i="52"/>
  <c r="AB152" i="52"/>
  <c r="AB115" i="52"/>
  <c r="AB89" i="52"/>
  <c r="AB215" i="52"/>
  <c r="AB24" i="52"/>
  <c r="AB293" i="52"/>
  <c r="AB201" i="52"/>
  <c r="AC48" i="52"/>
  <c r="AB291" i="52"/>
  <c r="AB195" i="52"/>
  <c r="AB122" i="52"/>
  <c r="AB43" i="52"/>
  <c r="AC233" i="52"/>
  <c r="AB110" i="52"/>
  <c r="AB76" i="52"/>
  <c r="AB172" i="52"/>
  <c r="AB26" i="52"/>
  <c r="AB177" i="52"/>
  <c r="AB160" i="52"/>
  <c r="AB135" i="52"/>
  <c r="AB102" i="52"/>
  <c r="AB69" i="52"/>
  <c r="AB93" i="52"/>
  <c r="AB294" i="52"/>
  <c r="AB251" i="52"/>
  <c r="AB203" i="52"/>
  <c r="AB176" i="52"/>
  <c r="AC149" i="52"/>
  <c r="AB107" i="52"/>
  <c r="AB73" i="52"/>
  <c r="AB50" i="52"/>
  <c r="AB23" i="52"/>
  <c r="AB274" i="52"/>
  <c r="AB224" i="52"/>
  <c r="AB196" i="52"/>
  <c r="AB112" i="52"/>
  <c r="AB255" i="52"/>
  <c r="AB192" i="52"/>
  <c r="AB158" i="52"/>
  <c r="AC128" i="52"/>
  <c r="AB100" i="52"/>
  <c r="AB44" i="52"/>
  <c r="AB285" i="52"/>
  <c r="AB249" i="52"/>
  <c r="AB218" i="52"/>
  <c r="AB191" i="52"/>
  <c r="AB148" i="52"/>
  <c r="AB105" i="52"/>
  <c r="AB66" i="52"/>
  <c r="AB36" i="52"/>
  <c r="AB178" i="52"/>
  <c r="AB290" i="52"/>
  <c r="AC265" i="52"/>
  <c r="AB127" i="52"/>
  <c r="AB104" i="52"/>
  <c r="AC65" i="52"/>
  <c r="AB42" i="52"/>
  <c r="AB119" i="52"/>
  <c r="AB296" i="52"/>
  <c r="AB259" i="52"/>
  <c r="AB194" i="52"/>
  <c r="AB47" i="52"/>
  <c r="AB18" i="52"/>
  <c r="AB142" i="52"/>
  <c r="AB114" i="52"/>
  <c r="AB230" i="52"/>
  <c r="AB272" i="52"/>
  <c r="AB154" i="52"/>
  <c r="AB49" i="52"/>
  <c r="AB151" i="52"/>
  <c r="AB280" i="52"/>
  <c r="AB212" i="52"/>
  <c r="AB168" i="52"/>
  <c r="AB289" i="52"/>
  <c r="AB227" i="52"/>
  <c r="AB189" i="52"/>
  <c r="AB147" i="52"/>
  <c r="AB109" i="52"/>
  <c r="AB85" i="52"/>
  <c r="AB188" i="52"/>
  <c r="AB74" i="52"/>
  <c r="AB182" i="52"/>
  <c r="AB54" i="52"/>
  <c r="AB256" i="52"/>
  <c r="AB118" i="52"/>
  <c r="AB106" i="52"/>
  <c r="AB228" i="52"/>
  <c r="AB52" i="52"/>
  <c r="I13" i="52"/>
  <c r="AC269" i="52"/>
  <c r="AB22" i="52"/>
  <c r="AB231" i="52"/>
  <c r="AB204" i="52"/>
  <c r="AB171" i="52"/>
  <c r="AB156" i="52"/>
  <c r="AB130" i="52"/>
  <c r="AB84" i="52"/>
  <c r="AB46" i="52"/>
  <c r="AC301" i="52"/>
  <c r="AC64" i="52"/>
  <c r="AB287" i="52"/>
  <c r="AB246" i="52"/>
  <c r="AB197" i="52"/>
  <c r="AB170" i="52"/>
  <c r="AB96" i="52"/>
  <c r="AB63" i="52"/>
  <c r="AB45" i="52"/>
  <c r="AB15" i="52"/>
  <c r="AB33" i="52"/>
  <c r="AB268" i="52"/>
  <c r="AB240" i="52"/>
  <c r="AB219" i="52"/>
  <c r="AB175" i="52"/>
  <c r="AB250" i="52"/>
  <c r="AB213" i="52"/>
  <c r="AB186" i="52"/>
  <c r="AC87" i="52"/>
  <c r="AB67" i="52"/>
  <c r="AB37" i="52"/>
  <c r="AB304" i="52"/>
  <c r="AB279" i="52"/>
  <c r="AB244" i="52"/>
  <c r="AB206" i="52"/>
  <c r="AB144" i="52"/>
  <c r="AC99" i="52"/>
  <c r="AB61" i="52"/>
  <c r="AB28" i="52"/>
  <c r="AB136" i="52"/>
  <c r="AB284" i="52"/>
  <c r="AB248" i="52"/>
  <c r="AB199" i="52"/>
  <c r="AB157" i="52"/>
  <c r="AB121" i="52"/>
  <c r="AB90" i="52"/>
  <c r="AB60" i="52"/>
  <c r="AB35" i="52"/>
  <c r="AB258" i="52"/>
  <c r="AB25" i="52"/>
  <c r="AB254" i="52"/>
  <c r="AB103" i="52"/>
  <c r="AB80" i="52"/>
  <c r="AB41" i="52"/>
  <c r="AB253" i="52"/>
  <c r="AB108" i="52"/>
  <c r="AB275" i="52"/>
  <c r="AB271" i="52"/>
  <c r="AB145" i="52"/>
  <c r="AB288" i="52"/>
  <c r="AC129" i="52"/>
  <c r="AB169" i="52"/>
  <c r="AB134" i="52"/>
  <c r="AB78" i="52"/>
  <c r="AB306" i="52"/>
  <c r="AB298" i="52"/>
  <c r="AB273" i="52"/>
  <c r="AB239" i="52"/>
  <c r="AB143" i="52"/>
  <c r="AB283" i="52"/>
  <c r="AB247" i="52"/>
  <c r="AB222" i="52"/>
  <c r="AB184" i="52"/>
  <c r="AB137" i="52"/>
  <c r="AB75" i="52"/>
  <c r="AB214" i="52"/>
  <c r="AB302" i="52"/>
  <c r="AC305" i="52"/>
  <c r="AC237" i="52"/>
  <c r="AB101" i="52"/>
  <c r="AB181" i="52"/>
  <c r="AC263" i="52"/>
  <c r="AB225" i="52"/>
  <c r="AB198" i="52"/>
  <c r="AC167" i="52"/>
  <c r="AB150" i="52"/>
  <c r="AB125" i="52"/>
  <c r="AB79" i="52"/>
  <c r="AB32" i="52"/>
  <c r="AB270" i="52"/>
  <c r="AB40" i="52"/>
  <c r="AC281" i="52"/>
  <c r="AB220" i="52"/>
  <c r="AB187" i="52"/>
  <c r="AC159" i="52"/>
  <c r="AB92" i="52"/>
  <c r="AB58" i="52"/>
  <c r="AB39" i="52"/>
  <c r="AB216" i="52"/>
  <c r="AB299" i="52"/>
  <c r="AB262" i="52"/>
  <c r="AB236" i="52"/>
  <c r="AB208" i="52"/>
  <c r="AB123" i="52"/>
  <c r="AB207" i="52"/>
  <c r="AC165" i="52"/>
  <c r="AB140" i="52"/>
  <c r="AB82" i="52"/>
  <c r="AB62" i="52"/>
  <c r="AB29" i="52"/>
  <c r="AC297" i="52"/>
  <c r="AB266" i="52"/>
  <c r="AB234" i="52"/>
  <c r="AB200" i="52"/>
  <c r="AB180" i="52"/>
  <c r="AB139" i="52"/>
  <c r="AC95" i="52"/>
  <c r="AB56" i="52"/>
  <c r="AB20" i="52"/>
  <c r="AB70" i="52"/>
  <c r="AB278" i="52"/>
  <c r="AB243" i="52"/>
  <c r="AB190" i="52"/>
  <c r="AB116" i="52"/>
  <c r="AB86" i="52"/>
  <c r="AC55" i="52"/>
  <c r="AB27" i="52"/>
  <c r="AB210" i="52"/>
  <c r="AB307" i="52"/>
  <c r="AB277" i="52"/>
  <c r="AB131" i="52"/>
  <c r="AB98" i="52"/>
  <c r="AB34" i="52"/>
  <c r="AB226" i="52"/>
  <c r="AB17" i="52"/>
  <c r="AC81" i="52" l="1"/>
  <c r="AC245" i="52"/>
  <c r="AC97" i="52"/>
  <c r="AC117" i="52"/>
  <c r="L153" i="52"/>
  <c r="AE153" i="52" s="1"/>
  <c r="AD111" i="52"/>
  <c r="L295" i="52"/>
  <c r="L223" i="52"/>
  <c r="AC185" i="52"/>
  <c r="AD183" i="52"/>
  <c r="AC91" i="52"/>
  <c r="L209" i="52"/>
  <c r="AC193" i="52"/>
  <c r="L241" i="52"/>
  <c r="AD16" i="52"/>
  <c r="L51" i="52"/>
  <c r="AC221" i="52"/>
  <c r="AC153" i="52"/>
  <c r="AB13" i="52"/>
  <c r="AC307" i="52"/>
  <c r="L165" i="52"/>
  <c r="AD165" i="52"/>
  <c r="AC150" i="52"/>
  <c r="AC298" i="52"/>
  <c r="AC199" i="52"/>
  <c r="AC268" i="52"/>
  <c r="AC171" i="52"/>
  <c r="AC192" i="52"/>
  <c r="AC88" i="52"/>
  <c r="AC82" i="52"/>
  <c r="AD167" i="52"/>
  <c r="L167" i="52"/>
  <c r="AC84" i="52"/>
  <c r="AC106" i="52"/>
  <c r="AC182" i="52"/>
  <c r="AC109" i="52"/>
  <c r="AC289" i="52"/>
  <c r="AC280" i="52"/>
  <c r="AC18" i="52"/>
  <c r="L65" i="52"/>
  <c r="AD65" i="52"/>
  <c r="AC290" i="52"/>
  <c r="AC105" i="52"/>
  <c r="AC249" i="52"/>
  <c r="AC23" i="52"/>
  <c r="L149" i="52"/>
  <c r="AD149" i="52"/>
  <c r="AC294" i="52"/>
  <c r="AC135" i="52"/>
  <c r="AC110" i="52"/>
  <c r="AC122" i="52"/>
  <c r="AC201" i="52"/>
  <c r="AC238" i="52"/>
  <c r="AC229" i="52"/>
  <c r="AC30" i="52"/>
  <c r="AC113" i="52"/>
  <c r="AC205" i="52"/>
  <c r="AC174" i="52"/>
  <c r="L161" i="52"/>
  <c r="AD161" i="52"/>
  <c r="AC71" i="52"/>
  <c r="AC138" i="52"/>
  <c r="AC264" i="52"/>
  <c r="AC179" i="52"/>
  <c r="AC31" i="52"/>
  <c r="AC234" i="52"/>
  <c r="L305" i="52"/>
  <c r="AD305" i="52"/>
  <c r="AC254" i="52"/>
  <c r="AC63" i="52"/>
  <c r="AC58" i="52"/>
  <c r="AC296" i="52"/>
  <c r="AC98" i="52"/>
  <c r="AC210" i="52"/>
  <c r="AC116" i="52"/>
  <c r="AC70" i="52"/>
  <c r="AC139" i="52"/>
  <c r="AC266" i="52"/>
  <c r="AC207" i="52"/>
  <c r="AC262" i="52"/>
  <c r="AC220" i="52"/>
  <c r="AC32" i="52"/>
  <c r="AC181" i="52"/>
  <c r="AC302" i="52"/>
  <c r="AC184" i="52"/>
  <c r="AC143" i="52"/>
  <c r="AC306" i="52"/>
  <c r="AC169" i="52"/>
  <c r="AC271" i="52"/>
  <c r="AC41" i="52"/>
  <c r="AC25" i="52"/>
  <c r="AC90" i="52"/>
  <c r="AC248" i="52"/>
  <c r="AC61" i="52"/>
  <c r="AC206" i="52"/>
  <c r="AC37" i="52"/>
  <c r="AC175" i="52"/>
  <c r="AC33" i="52"/>
  <c r="AC96" i="52"/>
  <c r="AC287" i="52"/>
  <c r="AC204" i="52"/>
  <c r="L269" i="52"/>
  <c r="AD269" i="52"/>
  <c r="AC168" i="52"/>
  <c r="AC178" i="52"/>
  <c r="AC148" i="52"/>
  <c r="AC160" i="52"/>
  <c r="AC164" i="52"/>
  <c r="AC34" i="52"/>
  <c r="AC62" i="52"/>
  <c r="L263" i="52"/>
  <c r="AD263" i="52"/>
  <c r="AC134" i="52"/>
  <c r="AC28" i="52"/>
  <c r="AC46" i="52"/>
  <c r="AC224" i="52"/>
  <c r="AC92" i="52"/>
  <c r="AC186" i="52"/>
  <c r="AC118" i="52"/>
  <c r="AC74" i="52"/>
  <c r="AC147" i="52"/>
  <c r="AC151" i="52"/>
  <c r="AC230" i="52"/>
  <c r="AC47" i="52"/>
  <c r="AC119" i="52"/>
  <c r="AC104" i="52"/>
  <c r="AC285" i="52"/>
  <c r="AC100" i="52"/>
  <c r="AC255" i="52"/>
  <c r="L245" i="52"/>
  <c r="AD245" i="52"/>
  <c r="AC50" i="52"/>
  <c r="AC176" i="52"/>
  <c r="AC93" i="52"/>
  <c r="AC26" i="52"/>
  <c r="L233" i="52"/>
  <c r="AD233" i="52"/>
  <c r="AC195" i="52"/>
  <c r="AC293" i="52"/>
  <c r="AC89" i="52"/>
  <c r="AC132" i="52"/>
  <c r="AC261" i="52"/>
  <c r="AC53" i="52"/>
  <c r="AC141" i="52"/>
  <c r="AC59" i="52"/>
  <c r="AC19" i="52"/>
  <c r="AC260" i="52"/>
  <c r="AC126" i="52"/>
  <c r="AC235" i="52"/>
  <c r="AC38" i="52"/>
  <c r="AC124" i="52"/>
  <c r="L133" i="52"/>
  <c r="AD133" i="52"/>
  <c r="AC155" i="52"/>
  <c r="AC272" i="52"/>
  <c r="AC20" i="52"/>
  <c r="AC123" i="52"/>
  <c r="AC299" i="52"/>
  <c r="L281" i="52"/>
  <c r="AD281" i="52"/>
  <c r="AC79" i="52"/>
  <c r="AC198" i="52"/>
  <c r="AC101" i="52"/>
  <c r="AC214" i="52"/>
  <c r="AC222" i="52"/>
  <c r="AC239" i="52"/>
  <c r="L129" i="52"/>
  <c r="AD129" i="52"/>
  <c r="AC275" i="52"/>
  <c r="AC80" i="52"/>
  <c r="AC258" i="52"/>
  <c r="AC121" i="52"/>
  <c r="AC284" i="52"/>
  <c r="L99" i="52"/>
  <c r="AD99" i="52"/>
  <c r="AC244" i="52"/>
  <c r="AC67" i="52"/>
  <c r="AC219" i="52"/>
  <c r="AC15" i="52"/>
  <c r="J13" i="52"/>
  <c r="AC170" i="52"/>
  <c r="L64" i="52"/>
  <c r="AD64" i="52"/>
  <c r="AC130" i="52"/>
  <c r="AC231" i="52"/>
  <c r="AC52" i="52"/>
  <c r="AC256" i="52"/>
  <c r="AC194" i="52"/>
  <c r="AC68" i="52"/>
  <c r="AC278" i="52"/>
  <c r="AC236" i="52"/>
  <c r="AC137" i="52"/>
  <c r="AC60" i="52"/>
  <c r="AC131" i="52"/>
  <c r="AC180" i="52"/>
  <c r="AC140" i="52"/>
  <c r="L237" i="52"/>
  <c r="AD237" i="52"/>
  <c r="AC157" i="52"/>
  <c r="AC240" i="52"/>
  <c r="AC188" i="52"/>
  <c r="AC189" i="52"/>
  <c r="AC212" i="52"/>
  <c r="AC49" i="52"/>
  <c r="AC127" i="52"/>
  <c r="AC36" i="52"/>
  <c r="AC191" i="52"/>
  <c r="AD241" i="52"/>
  <c r="L128" i="52"/>
  <c r="AD128" i="52"/>
  <c r="AC112" i="52"/>
  <c r="AC274" i="52"/>
  <c r="AC73" i="52"/>
  <c r="AC203" i="52"/>
  <c r="AC69" i="52"/>
  <c r="AC177" i="52"/>
  <c r="AC172" i="52"/>
  <c r="L221" i="52"/>
  <c r="AD221" i="52"/>
  <c r="AC291" i="52"/>
  <c r="AC24" i="52"/>
  <c r="AC115" i="52"/>
  <c r="AC173" i="52"/>
  <c r="AC286" i="52"/>
  <c r="AC162" i="52"/>
  <c r="AC252" i="52"/>
  <c r="AC94" i="52"/>
  <c r="AC303" i="52"/>
  <c r="AC21" i="52"/>
  <c r="AC300" i="52"/>
  <c r="AC211" i="52"/>
  <c r="AC267" i="52"/>
  <c r="AC257" i="52"/>
  <c r="AC57" i="52"/>
  <c r="L193" i="52"/>
  <c r="AD193" i="52"/>
  <c r="AC86" i="52"/>
  <c r="AC187" i="52"/>
  <c r="AC145" i="52"/>
  <c r="L117" i="52"/>
  <c r="AD117" i="52"/>
  <c r="L91" i="52"/>
  <c r="AD91" i="52"/>
  <c r="AC27" i="52"/>
  <c r="L297" i="52"/>
  <c r="AD297" i="52"/>
  <c r="AC156" i="52"/>
  <c r="AC114" i="52"/>
  <c r="L55" i="52"/>
  <c r="AD55" i="52"/>
  <c r="AC56" i="52"/>
  <c r="AC200" i="52"/>
  <c r="AC208" i="52"/>
  <c r="AC216" i="52"/>
  <c r="L159" i="52"/>
  <c r="AD159" i="52"/>
  <c r="AC40" i="52"/>
  <c r="AC125" i="52"/>
  <c r="AC225" i="52"/>
  <c r="AC75" i="52"/>
  <c r="AC247" i="52"/>
  <c r="AC273" i="52"/>
  <c r="AC78" i="52"/>
  <c r="AC288" i="52"/>
  <c r="AC108" i="52"/>
  <c r="AC103" i="52"/>
  <c r="AC35" i="52"/>
  <c r="AC136" i="52"/>
  <c r="AC279" i="52"/>
  <c r="L87" i="52"/>
  <c r="AD87" i="52"/>
  <c r="AC213" i="52"/>
  <c r="AC45" i="52"/>
  <c r="AC197" i="52"/>
  <c r="L301" i="52"/>
  <c r="AD301" i="52"/>
  <c r="AC22" i="52"/>
  <c r="AC218" i="52"/>
  <c r="AC107" i="52"/>
  <c r="AC282" i="52"/>
  <c r="AC270" i="52"/>
  <c r="AC283" i="52"/>
  <c r="AC253" i="52"/>
  <c r="L185" i="52"/>
  <c r="AD185" i="52"/>
  <c r="AC246" i="52"/>
  <c r="AC17" i="52"/>
  <c r="AC190" i="52"/>
  <c r="L111" i="52"/>
  <c r="AC144" i="52"/>
  <c r="AC226" i="52"/>
  <c r="AC277" i="52"/>
  <c r="AC243" i="52"/>
  <c r="AC29" i="52"/>
  <c r="L95" i="52"/>
  <c r="AD95" i="52"/>
  <c r="AC39" i="52"/>
  <c r="AC304" i="52"/>
  <c r="AC250" i="52"/>
  <c r="AC228" i="52"/>
  <c r="AC54" i="52"/>
  <c r="AC85" i="52"/>
  <c r="AC227" i="52"/>
  <c r="AC154" i="52"/>
  <c r="AC142" i="52"/>
  <c r="AC259" i="52"/>
  <c r="AC42" i="52"/>
  <c r="L265" i="52"/>
  <c r="AD265" i="52"/>
  <c r="AC66" i="52"/>
  <c r="AC44" i="52"/>
  <c r="AC158" i="52"/>
  <c r="AC196" i="52"/>
  <c r="L97" i="52"/>
  <c r="AD97" i="52"/>
  <c r="AC251" i="52"/>
  <c r="AC102" i="52"/>
  <c r="AC76" i="52"/>
  <c r="AC43" i="52"/>
  <c r="L48" i="52"/>
  <c r="AD48" i="52"/>
  <c r="AC215" i="52"/>
  <c r="AC152" i="52"/>
  <c r="AC217" i="52"/>
  <c r="AC232" i="52"/>
  <c r="AC83" i="52"/>
  <c r="AC276" i="52"/>
  <c r="AC120" i="52"/>
  <c r="L81" i="52"/>
  <c r="AD81" i="52"/>
  <c r="L77" i="52"/>
  <c r="AD77" i="52"/>
  <c r="AC146" i="52"/>
  <c r="AC242" i="52"/>
  <c r="AC292" i="52"/>
  <c r="AC166" i="52"/>
  <c r="AC202" i="52"/>
  <c r="AC163" i="52"/>
  <c r="AD295" i="52" l="1"/>
  <c r="AD223" i="52"/>
  <c r="AD209" i="52"/>
  <c r="M153" i="52"/>
  <c r="N153" i="52" s="1"/>
  <c r="O153" i="52" s="1"/>
  <c r="AE55" i="52"/>
  <c r="M55" i="52"/>
  <c r="AE149" i="52"/>
  <c r="M149" i="52"/>
  <c r="AE133" i="52"/>
  <c r="M133" i="52"/>
  <c r="AE245" i="52"/>
  <c r="M245" i="52"/>
  <c r="AE305" i="52"/>
  <c r="M305" i="52"/>
  <c r="AE167" i="52"/>
  <c r="M167" i="52"/>
  <c r="AE301" i="52"/>
  <c r="M301" i="52"/>
  <c r="AE237" i="52"/>
  <c r="M237" i="52"/>
  <c r="AE65" i="52"/>
  <c r="M65" i="52"/>
  <c r="AE97" i="52"/>
  <c r="M97" i="52"/>
  <c r="AE209" i="52"/>
  <c r="M209" i="52"/>
  <c r="AE265" i="52"/>
  <c r="M265" i="52"/>
  <c r="AE223" i="52"/>
  <c r="M223" i="52"/>
  <c r="AE95" i="52"/>
  <c r="M95" i="52"/>
  <c r="AE117" i="52"/>
  <c r="M117" i="52"/>
  <c r="AE193" i="52"/>
  <c r="AE221" i="52"/>
  <c r="M221" i="52"/>
  <c r="AE128" i="52"/>
  <c r="M128" i="52"/>
  <c r="L183" i="52"/>
  <c r="AE165" i="52"/>
  <c r="M165" i="52"/>
  <c r="AE51" i="52"/>
  <c r="M51" i="52"/>
  <c r="AE111" i="52"/>
  <c r="M111" i="52"/>
  <c r="AE99" i="52"/>
  <c r="M99" i="52"/>
  <c r="AE281" i="52"/>
  <c r="M281" i="52"/>
  <c r="AE263" i="52"/>
  <c r="M263" i="52"/>
  <c r="AE269" i="52"/>
  <c r="M269" i="52"/>
  <c r="AE185" i="52"/>
  <c r="M185" i="52"/>
  <c r="AE91" i="52"/>
  <c r="M91" i="52"/>
  <c r="AE48" i="52"/>
  <c r="M48" i="52"/>
  <c r="AE295" i="52"/>
  <c r="M295" i="52"/>
  <c r="AE159" i="52"/>
  <c r="M159" i="52"/>
  <c r="AE297" i="52"/>
  <c r="M297" i="52"/>
  <c r="AE241" i="52"/>
  <c r="M241" i="52"/>
  <c r="AE64" i="52"/>
  <c r="M64" i="52"/>
  <c r="AE77" i="52"/>
  <c r="M77" i="52"/>
  <c r="AE87" i="52"/>
  <c r="M87" i="52"/>
  <c r="AE81" i="52"/>
  <c r="M81" i="52"/>
  <c r="AE129" i="52"/>
  <c r="M129" i="52"/>
  <c r="AE233" i="52"/>
  <c r="M233" i="52"/>
  <c r="AE161" i="52"/>
  <c r="M161" i="52"/>
  <c r="L16" i="52"/>
  <c r="AD51" i="52"/>
  <c r="L72" i="52"/>
  <c r="AD72" i="52"/>
  <c r="AC13" i="52"/>
  <c r="AD163" i="52"/>
  <c r="L163" i="52"/>
  <c r="L45" i="52"/>
  <c r="AD45" i="52"/>
  <c r="L57" i="52"/>
  <c r="AD57" i="52"/>
  <c r="L213" i="52"/>
  <c r="AD213" i="52"/>
  <c r="L78" i="52"/>
  <c r="AD78" i="52"/>
  <c r="L67" i="52"/>
  <c r="AD67" i="52"/>
  <c r="L121" i="52"/>
  <c r="AD121" i="52"/>
  <c r="L214" i="52"/>
  <c r="AD214" i="52"/>
  <c r="L272" i="52"/>
  <c r="AD272" i="52"/>
  <c r="L38" i="52"/>
  <c r="AD38" i="52"/>
  <c r="L19" i="52"/>
  <c r="AD19" i="52"/>
  <c r="L261" i="52"/>
  <c r="AD261" i="52"/>
  <c r="L176" i="52"/>
  <c r="AD176" i="52"/>
  <c r="L100" i="52"/>
  <c r="AD100" i="52"/>
  <c r="L74" i="52"/>
  <c r="AD74" i="52"/>
  <c r="L224" i="52"/>
  <c r="AD224" i="52"/>
  <c r="L33" i="52"/>
  <c r="AD33" i="52"/>
  <c r="L61" i="52"/>
  <c r="AD61" i="52"/>
  <c r="L41" i="52"/>
  <c r="AD41" i="52"/>
  <c r="L143" i="52"/>
  <c r="AD143" i="52"/>
  <c r="L32" i="52"/>
  <c r="AD32" i="52"/>
  <c r="L266" i="52"/>
  <c r="AD266" i="52"/>
  <c r="L210" i="52"/>
  <c r="AD210" i="52"/>
  <c r="L63" i="52"/>
  <c r="AD63" i="52"/>
  <c r="L31" i="52"/>
  <c r="AD31" i="52"/>
  <c r="L71" i="52"/>
  <c r="AD71" i="52"/>
  <c r="AD238" i="52"/>
  <c r="L238" i="52"/>
  <c r="L110" i="52"/>
  <c r="AD110" i="52"/>
  <c r="L290" i="52"/>
  <c r="AD290" i="52"/>
  <c r="L289" i="52"/>
  <c r="AD289" i="52"/>
  <c r="L84" i="52"/>
  <c r="AD84" i="52"/>
  <c r="AD192" i="52"/>
  <c r="L192" i="52"/>
  <c r="L298" i="52"/>
  <c r="AD298" i="52"/>
  <c r="L251" i="52"/>
  <c r="AD251" i="52"/>
  <c r="L17" i="52"/>
  <c r="AD17" i="52"/>
  <c r="L75" i="52"/>
  <c r="AD75" i="52"/>
  <c r="L115" i="52"/>
  <c r="AD115" i="52"/>
  <c r="L256" i="52"/>
  <c r="AD256" i="52"/>
  <c r="L152" i="52"/>
  <c r="AD152" i="52"/>
  <c r="L142" i="52"/>
  <c r="AD142" i="52"/>
  <c r="L243" i="52"/>
  <c r="AD243" i="52"/>
  <c r="L144" i="52"/>
  <c r="AD144" i="52"/>
  <c r="AD246" i="52"/>
  <c r="L246" i="52"/>
  <c r="L270" i="52"/>
  <c r="AD270" i="52"/>
  <c r="L22" i="52"/>
  <c r="AD22" i="52"/>
  <c r="L35" i="52"/>
  <c r="AD35" i="52"/>
  <c r="L225" i="52"/>
  <c r="AD225" i="52"/>
  <c r="L216" i="52"/>
  <c r="AD216" i="52"/>
  <c r="L27" i="52"/>
  <c r="AD27" i="52"/>
  <c r="L187" i="52"/>
  <c r="AD187" i="52"/>
  <c r="L257" i="52"/>
  <c r="AD257" i="52"/>
  <c r="L21" i="52"/>
  <c r="AD21" i="52"/>
  <c r="AD162" i="52"/>
  <c r="L162" i="52"/>
  <c r="L24" i="52"/>
  <c r="AD24" i="52"/>
  <c r="L177" i="52"/>
  <c r="AD177" i="52"/>
  <c r="L274" i="52"/>
  <c r="AD274" i="52"/>
  <c r="L191" i="52"/>
  <c r="AD191" i="52"/>
  <c r="L212" i="52"/>
  <c r="AD212" i="52"/>
  <c r="L157" i="52"/>
  <c r="AD157" i="52"/>
  <c r="L131" i="52"/>
  <c r="AD131" i="52"/>
  <c r="L278" i="52"/>
  <c r="AD278" i="52"/>
  <c r="L52" i="52"/>
  <c r="AD52" i="52"/>
  <c r="L170" i="52"/>
  <c r="AD170" i="52"/>
  <c r="AD118" i="52"/>
  <c r="L118" i="52"/>
  <c r="L62" i="52"/>
  <c r="AD62" i="52"/>
  <c r="L120" i="52"/>
  <c r="AD120" i="52"/>
  <c r="L44" i="52"/>
  <c r="AD44" i="52"/>
  <c r="L29" i="52"/>
  <c r="AD29" i="52"/>
  <c r="L136" i="52"/>
  <c r="AD136" i="52"/>
  <c r="L56" i="52"/>
  <c r="AD56" i="52"/>
  <c r="L300" i="52"/>
  <c r="AD300" i="52"/>
  <c r="L172" i="52"/>
  <c r="AD172" i="52"/>
  <c r="L180" i="52"/>
  <c r="AD180" i="52"/>
  <c r="L47" i="52"/>
  <c r="AD47" i="52"/>
  <c r="AD160" i="52"/>
  <c r="L160" i="52"/>
  <c r="AD146" i="52"/>
  <c r="L146" i="52"/>
  <c r="L85" i="52"/>
  <c r="AD85" i="52"/>
  <c r="AD54" i="52"/>
  <c r="L54" i="52"/>
  <c r="L244" i="52"/>
  <c r="AD244" i="52"/>
  <c r="L258" i="52"/>
  <c r="AD258" i="52"/>
  <c r="L101" i="52"/>
  <c r="AD101" i="52"/>
  <c r="L299" i="52"/>
  <c r="AD299" i="52"/>
  <c r="L155" i="52"/>
  <c r="AD155" i="52"/>
  <c r="L235" i="52"/>
  <c r="AD235" i="52"/>
  <c r="L59" i="52"/>
  <c r="AD59" i="52"/>
  <c r="L132" i="52"/>
  <c r="AD132" i="52"/>
  <c r="L50" i="52"/>
  <c r="AD50" i="52"/>
  <c r="L285" i="52"/>
  <c r="AD285" i="52"/>
  <c r="L230" i="52"/>
  <c r="AD230" i="52"/>
  <c r="L46" i="52"/>
  <c r="AD46" i="52"/>
  <c r="L148" i="52"/>
  <c r="AD148" i="52"/>
  <c r="L204" i="52"/>
  <c r="AD204" i="52"/>
  <c r="L175" i="52"/>
  <c r="AD175" i="52"/>
  <c r="L248" i="52"/>
  <c r="AD248" i="52"/>
  <c r="L271" i="52"/>
  <c r="AD271" i="52"/>
  <c r="L184" i="52"/>
  <c r="AD184" i="52"/>
  <c r="L220" i="52"/>
  <c r="AD220" i="52"/>
  <c r="L139" i="52"/>
  <c r="AD139" i="52"/>
  <c r="L98" i="52"/>
  <c r="AD98" i="52"/>
  <c r="AD254" i="52"/>
  <c r="L254" i="52"/>
  <c r="L179" i="52"/>
  <c r="AD179" i="52"/>
  <c r="L113" i="52"/>
  <c r="AD113" i="52"/>
  <c r="L23" i="52"/>
  <c r="AD23" i="52"/>
  <c r="L109" i="52"/>
  <c r="AD109" i="52"/>
  <c r="L171" i="52"/>
  <c r="AD171" i="52"/>
  <c r="L150" i="52"/>
  <c r="AD150" i="52"/>
  <c r="L43" i="52"/>
  <c r="AD43" i="52"/>
  <c r="L250" i="52"/>
  <c r="AD250" i="52"/>
  <c r="L283" i="52"/>
  <c r="AD283" i="52"/>
  <c r="L252" i="52"/>
  <c r="AD252" i="52"/>
  <c r="L73" i="52"/>
  <c r="AD73" i="52"/>
  <c r="L236" i="52"/>
  <c r="AD236" i="52"/>
  <c r="L202" i="52"/>
  <c r="AD202" i="52"/>
  <c r="L276" i="52"/>
  <c r="AD276" i="52"/>
  <c r="L76" i="52"/>
  <c r="AD76" i="52"/>
  <c r="L66" i="52"/>
  <c r="AD66" i="52"/>
  <c r="AD304" i="52"/>
  <c r="L304" i="52"/>
  <c r="L166" i="52"/>
  <c r="AD166" i="52"/>
  <c r="L83" i="52"/>
  <c r="AD83" i="52"/>
  <c r="L215" i="52"/>
  <c r="AD215" i="52"/>
  <c r="L196" i="52"/>
  <c r="AD196" i="52"/>
  <c r="L154" i="52"/>
  <c r="AD154" i="52"/>
  <c r="L39" i="52"/>
  <c r="AD39" i="52"/>
  <c r="L277" i="52"/>
  <c r="AD277" i="52"/>
  <c r="L282" i="52"/>
  <c r="AD282" i="52"/>
  <c r="L103" i="52"/>
  <c r="AD103" i="52"/>
  <c r="L273" i="52"/>
  <c r="AD273" i="52"/>
  <c r="L125" i="52"/>
  <c r="AD125" i="52"/>
  <c r="L208" i="52"/>
  <c r="AD208" i="52"/>
  <c r="L114" i="52"/>
  <c r="AD114" i="52"/>
  <c r="L86" i="52"/>
  <c r="AD86" i="52"/>
  <c r="L267" i="52"/>
  <c r="AD267" i="52"/>
  <c r="L303" i="52"/>
  <c r="AD303" i="52"/>
  <c r="AD286" i="52"/>
  <c r="L286" i="52"/>
  <c r="L291" i="52"/>
  <c r="AD291" i="52"/>
  <c r="L69" i="52"/>
  <c r="AD69" i="52"/>
  <c r="L112" i="52"/>
  <c r="AD112" i="52"/>
  <c r="L36" i="52"/>
  <c r="AD36" i="52"/>
  <c r="L189" i="52"/>
  <c r="AD189" i="52"/>
  <c r="L60" i="52"/>
  <c r="AD60" i="52"/>
  <c r="L68" i="52"/>
  <c r="AD68" i="52"/>
  <c r="L231" i="52"/>
  <c r="AD231" i="52"/>
  <c r="AD15" i="52"/>
  <c r="L15" i="52"/>
  <c r="M15" i="52" s="1"/>
  <c r="K13" i="52"/>
  <c r="L242" i="52"/>
  <c r="AD242" i="52"/>
  <c r="L240" i="52"/>
  <c r="AD240" i="52"/>
  <c r="L80" i="52"/>
  <c r="AD80" i="52"/>
  <c r="L239" i="52"/>
  <c r="AD239" i="52"/>
  <c r="AD198" i="52"/>
  <c r="L198" i="52"/>
  <c r="L123" i="52"/>
  <c r="AD123" i="52"/>
  <c r="L126" i="52"/>
  <c r="AD126" i="52"/>
  <c r="L141" i="52"/>
  <c r="AD141" i="52"/>
  <c r="L89" i="52"/>
  <c r="AD89" i="52"/>
  <c r="L26" i="52"/>
  <c r="AD26" i="52"/>
  <c r="L104" i="52"/>
  <c r="AD104" i="52"/>
  <c r="L151" i="52"/>
  <c r="AD151" i="52"/>
  <c r="L186" i="52"/>
  <c r="AD186" i="52"/>
  <c r="L28" i="52"/>
  <c r="AD28" i="52"/>
  <c r="L34" i="52"/>
  <c r="AD34" i="52"/>
  <c r="L178" i="52"/>
  <c r="AD178" i="52"/>
  <c r="L287" i="52"/>
  <c r="AD287" i="52"/>
  <c r="L37" i="52"/>
  <c r="AD37" i="52"/>
  <c r="L90" i="52"/>
  <c r="AD90" i="52"/>
  <c r="L169" i="52"/>
  <c r="AD169" i="52"/>
  <c r="L302" i="52"/>
  <c r="AD302" i="52"/>
  <c r="L262" i="52"/>
  <c r="AD262" i="52"/>
  <c r="L70" i="52"/>
  <c r="AD70" i="52"/>
  <c r="L296" i="52"/>
  <c r="AD296" i="52"/>
  <c r="L264" i="52"/>
  <c r="AD264" i="52"/>
  <c r="L174" i="52"/>
  <c r="AD174" i="52"/>
  <c r="L30" i="52"/>
  <c r="AD30" i="52"/>
  <c r="L201" i="52"/>
  <c r="AD201" i="52"/>
  <c r="L135" i="52"/>
  <c r="AD135" i="52"/>
  <c r="L249" i="52"/>
  <c r="AD249" i="52"/>
  <c r="L18" i="52"/>
  <c r="AD18" i="52"/>
  <c r="L182" i="52"/>
  <c r="AD182" i="52"/>
  <c r="L82" i="52"/>
  <c r="AD82" i="52"/>
  <c r="L268" i="52"/>
  <c r="AD268" i="52"/>
  <c r="L217" i="52"/>
  <c r="AD217" i="52"/>
  <c r="L288" i="52"/>
  <c r="AD288" i="52"/>
  <c r="L292" i="52"/>
  <c r="AD292" i="52"/>
  <c r="L232" i="52"/>
  <c r="AD232" i="52"/>
  <c r="L102" i="52"/>
  <c r="AD102" i="52"/>
  <c r="L158" i="52"/>
  <c r="AD158" i="52"/>
  <c r="L42" i="52"/>
  <c r="AD42" i="52"/>
  <c r="L228" i="52"/>
  <c r="AD228" i="52"/>
  <c r="L226" i="52"/>
  <c r="AD226" i="52"/>
  <c r="L190" i="52"/>
  <c r="AD190" i="52"/>
  <c r="L253" i="52"/>
  <c r="AD253" i="52"/>
  <c r="L107" i="52"/>
  <c r="AD107" i="52"/>
  <c r="L197" i="52"/>
  <c r="AD197" i="52"/>
  <c r="L279" i="52"/>
  <c r="AD279" i="52"/>
  <c r="L108" i="52"/>
  <c r="AD108" i="52"/>
  <c r="L247" i="52"/>
  <c r="AD247" i="52"/>
  <c r="L40" i="52"/>
  <c r="AD40" i="52"/>
  <c r="L200" i="52"/>
  <c r="AD200" i="52"/>
  <c r="L156" i="52"/>
  <c r="AD156" i="52"/>
  <c r="L211" i="52"/>
  <c r="AD211" i="52"/>
  <c r="L94" i="52"/>
  <c r="AD94" i="52"/>
  <c r="L173" i="52"/>
  <c r="AD173" i="52"/>
  <c r="L203" i="52"/>
  <c r="AD203" i="52"/>
  <c r="L127" i="52"/>
  <c r="AD127" i="52"/>
  <c r="L188" i="52"/>
  <c r="AD188" i="52"/>
  <c r="L140" i="52"/>
  <c r="AD140" i="52"/>
  <c r="L137" i="52"/>
  <c r="AD137" i="52"/>
  <c r="L194" i="52"/>
  <c r="AD194" i="52"/>
  <c r="L130" i="52"/>
  <c r="AD130" i="52"/>
  <c r="L205" i="52"/>
  <c r="AD205" i="52"/>
  <c r="L218" i="52"/>
  <c r="AD218" i="52"/>
  <c r="L145" i="52"/>
  <c r="AD145" i="52"/>
  <c r="L49" i="52"/>
  <c r="AD49" i="52"/>
  <c r="L195" i="52"/>
  <c r="AD195" i="52"/>
  <c r="L259" i="52"/>
  <c r="AD259" i="52"/>
  <c r="L227" i="52"/>
  <c r="AD227" i="52"/>
  <c r="L219" i="52"/>
  <c r="AD219" i="52"/>
  <c r="L284" i="52"/>
  <c r="AD284" i="52"/>
  <c r="L275" i="52"/>
  <c r="AD275" i="52"/>
  <c r="AD222" i="52"/>
  <c r="L222" i="52"/>
  <c r="L79" i="52"/>
  <c r="AD79" i="52"/>
  <c r="L20" i="52"/>
  <c r="AD20" i="52"/>
  <c r="L124" i="52"/>
  <c r="AD124" i="52"/>
  <c r="L260" i="52"/>
  <c r="AD260" i="52"/>
  <c r="L53" i="52"/>
  <c r="AD53" i="52"/>
  <c r="L293" i="52"/>
  <c r="AD293" i="52"/>
  <c r="L93" i="52"/>
  <c r="AD93" i="52"/>
  <c r="L255" i="52"/>
  <c r="AD255" i="52"/>
  <c r="L119" i="52"/>
  <c r="AD119" i="52"/>
  <c r="AD147" i="52"/>
  <c r="L147" i="52"/>
  <c r="L92" i="52"/>
  <c r="AD92" i="52"/>
  <c r="L134" i="52"/>
  <c r="AD134" i="52"/>
  <c r="L164" i="52"/>
  <c r="AD164" i="52"/>
  <c r="L168" i="52"/>
  <c r="AD168" i="52"/>
  <c r="L96" i="52"/>
  <c r="AD96" i="52"/>
  <c r="L206" i="52"/>
  <c r="AD206" i="52"/>
  <c r="L25" i="52"/>
  <c r="AD25" i="52"/>
  <c r="L306" i="52"/>
  <c r="AD306" i="52"/>
  <c r="L181" i="52"/>
  <c r="AD181" i="52"/>
  <c r="L207" i="52"/>
  <c r="AD207" i="52"/>
  <c r="L116" i="52"/>
  <c r="AD116" i="52"/>
  <c r="L58" i="52"/>
  <c r="AD58" i="52"/>
  <c r="L234" i="52"/>
  <c r="AD234" i="52"/>
  <c r="L138" i="52"/>
  <c r="AD138" i="52"/>
  <c r="L229" i="52"/>
  <c r="AD229" i="52"/>
  <c r="L122" i="52"/>
  <c r="AD122" i="52"/>
  <c r="L294" i="52"/>
  <c r="AD294" i="52"/>
  <c r="L105" i="52"/>
  <c r="AD105" i="52"/>
  <c r="L280" i="52"/>
  <c r="AD280" i="52"/>
  <c r="L106" i="52"/>
  <c r="AD106" i="52"/>
  <c r="L88" i="52"/>
  <c r="AD88" i="52"/>
  <c r="L199" i="52"/>
  <c r="AD199" i="52"/>
  <c r="L307" i="52"/>
  <c r="AD307" i="52"/>
  <c r="AH153" i="52" l="1"/>
  <c r="P153" i="52"/>
  <c r="AI153" i="52" s="1"/>
  <c r="AF153" i="52"/>
  <c r="N117" i="52"/>
  <c r="O117" i="52" s="1"/>
  <c r="AF117" i="52"/>
  <c r="N209" i="52"/>
  <c r="O209" i="52" s="1"/>
  <c r="AF209" i="52"/>
  <c r="N301" i="52"/>
  <c r="O301" i="52" s="1"/>
  <c r="AF301" i="52"/>
  <c r="N133" i="52"/>
  <c r="O133" i="52" s="1"/>
  <c r="AF133" i="52"/>
  <c r="N185" i="52"/>
  <c r="O185" i="52" s="1"/>
  <c r="AF185" i="52"/>
  <c r="N149" i="52"/>
  <c r="O149" i="52" s="1"/>
  <c r="AF149" i="52"/>
  <c r="N15" i="52"/>
  <c r="AF15" i="52"/>
  <c r="N129" i="52"/>
  <c r="O129" i="52" s="1"/>
  <c r="AF129" i="52"/>
  <c r="N64" i="52"/>
  <c r="O64" i="52" s="1"/>
  <c r="AF64" i="52"/>
  <c r="N295" i="52"/>
  <c r="O295" i="52" s="1"/>
  <c r="AF295" i="52"/>
  <c r="N269" i="52"/>
  <c r="O269" i="52" s="1"/>
  <c r="AF269" i="52"/>
  <c r="N111" i="52"/>
  <c r="O111" i="52" s="1"/>
  <c r="AF111" i="52"/>
  <c r="N159" i="52"/>
  <c r="O159" i="52" s="1"/>
  <c r="AF159" i="52"/>
  <c r="N128" i="52"/>
  <c r="O128" i="52" s="1"/>
  <c r="AF128" i="52"/>
  <c r="N221" i="52"/>
  <c r="O221" i="52" s="1"/>
  <c r="AF221" i="52"/>
  <c r="N223" i="52"/>
  <c r="O223" i="52" s="1"/>
  <c r="AF223" i="52"/>
  <c r="N65" i="52"/>
  <c r="O65" i="52" s="1"/>
  <c r="AF65" i="52"/>
  <c r="N305" i="52"/>
  <c r="O305" i="52" s="1"/>
  <c r="AF305" i="52"/>
  <c r="N55" i="52"/>
  <c r="O55" i="52" s="1"/>
  <c r="AF55" i="52"/>
  <c r="N77" i="52"/>
  <c r="O77" i="52" s="1"/>
  <c r="AF77" i="52"/>
  <c r="N97" i="52"/>
  <c r="O97" i="52" s="1"/>
  <c r="AF97" i="52"/>
  <c r="N81" i="52"/>
  <c r="O81" i="52" s="1"/>
  <c r="AF81" i="52"/>
  <c r="N241" i="52"/>
  <c r="O241" i="52" s="1"/>
  <c r="AF241" i="52"/>
  <c r="N48" i="52"/>
  <c r="O48" i="52" s="1"/>
  <c r="AF48" i="52"/>
  <c r="N263" i="52"/>
  <c r="O263" i="52" s="1"/>
  <c r="AF263" i="52"/>
  <c r="N51" i="52"/>
  <c r="O51" i="52" s="1"/>
  <c r="AF51" i="52"/>
  <c r="N233" i="52"/>
  <c r="O233" i="52" s="1"/>
  <c r="AF233" i="52"/>
  <c r="N95" i="52"/>
  <c r="O95" i="52" s="1"/>
  <c r="AF95" i="52"/>
  <c r="N193" i="52"/>
  <c r="O193" i="52" s="1"/>
  <c r="AF193" i="52"/>
  <c r="N265" i="52"/>
  <c r="O265" i="52" s="1"/>
  <c r="AF265" i="52"/>
  <c r="N237" i="52"/>
  <c r="O237" i="52" s="1"/>
  <c r="AF237" i="52"/>
  <c r="N245" i="52"/>
  <c r="O245" i="52" s="1"/>
  <c r="AF245" i="52"/>
  <c r="N99" i="52"/>
  <c r="O99" i="52" s="1"/>
  <c r="AF99" i="52"/>
  <c r="N167" i="52"/>
  <c r="O167" i="52" s="1"/>
  <c r="AF167" i="52"/>
  <c r="N161" i="52"/>
  <c r="O161" i="52" s="1"/>
  <c r="AF161" i="52"/>
  <c r="N87" i="52"/>
  <c r="O87" i="52" s="1"/>
  <c r="AF87" i="52"/>
  <c r="N297" i="52"/>
  <c r="O297" i="52" s="1"/>
  <c r="AF297" i="52"/>
  <c r="N91" i="52"/>
  <c r="O91" i="52" s="1"/>
  <c r="AF91" i="52"/>
  <c r="N281" i="52"/>
  <c r="O281" i="52" s="1"/>
  <c r="AF281" i="52"/>
  <c r="N165" i="52"/>
  <c r="O165" i="52" s="1"/>
  <c r="AF165" i="52"/>
  <c r="AG153" i="52"/>
  <c r="AE106" i="52"/>
  <c r="M106" i="52"/>
  <c r="AE306" i="52"/>
  <c r="M306" i="52"/>
  <c r="AE20" i="52"/>
  <c r="M20" i="52"/>
  <c r="AE173" i="52"/>
  <c r="M173" i="52"/>
  <c r="AE288" i="52"/>
  <c r="M288" i="52"/>
  <c r="AE238" i="52"/>
  <c r="M238" i="52"/>
  <c r="AE222" i="52"/>
  <c r="M222" i="52"/>
  <c r="AE231" i="52"/>
  <c r="M231" i="52"/>
  <c r="AE36" i="52"/>
  <c r="M36" i="52"/>
  <c r="AE114" i="52"/>
  <c r="M114" i="52"/>
  <c r="AE103" i="52"/>
  <c r="M103" i="52"/>
  <c r="AE154" i="52"/>
  <c r="M154" i="52"/>
  <c r="AE166" i="52"/>
  <c r="M166" i="52"/>
  <c r="AE276" i="52"/>
  <c r="M276" i="52"/>
  <c r="AE252" i="52"/>
  <c r="M252" i="52"/>
  <c r="AE150" i="52"/>
  <c r="M150" i="52"/>
  <c r="AE113" i="52"/>
  <c r="M113" i="52"/>
  <c r="AE139" i="52"/>
  <c r="M139" i="52"/>
  <c r="AE248" i="52"/>
  <c r="M248" i="52"/>
  <c r="AE46" i="52"/>
  <c r="M46" i="52"/>
  <c r="AE132" i="52"/>
  <c r="M132" i="52"/>
  <c r="AE299" i="52"/>
  <c r="M299" i="52"/>
  <c r="AE47" i="52"/>
  <c r="M47" i="52"/>
  <c r="AE56" i="52"/>
  <c r="M56" i="52"/>
  <c r="AE120" i="52"/>
  <c r="M120" i="52"/>
  <c r="AE52" i="52"/>
  <c r="M52" i="52"/>
  <c r="AE212" i="52"/>
  <c r="M212" i="52"/>
  <c r="AE24" i="52"/>
  <c r="M24" i="52"/>
  <c r="AE187" i="52"/>
  <c r="M187" i="52"/>
  <c r="AE35" i="52"/>
  <c r="M35" i="52"/>
  <c r="AE144" i="52"/>
  <c r="M144" i="52"/>
  <c r="AE256" i="52"/>
  <c r="M256" i="52"/>
  <c r="AE251" i="52"/>
  <c r="M251" i="52"/>
  <c r="AE289" i="52"/>
  <c r="M289" i="52"/>
  <c r="AE71" i="52"/>
  <c r="M71" i="52"/>
  <c r="AE266" i="52"/>
  <c r="M266" i="52"/>
  <c r="AE61" i="52"/>
  <c r="M61" i="52"/>
  <c r="AE100" i="52"/>
  <c r="M100" i="52"/>
  <c r="AE38" i="52"/>
  <c r="M38" i="52"/>
  <c r="AE67" i="52"/>
  <c r="M67" i="52"/>
  <c r="AE45" i="52"/>
  <c r="M45" i="52"/>
  <c r="AE16" i="52"/>
  <c r="M16" i="52"/>
  <c r="AE138" i="52"/>
  <c r="M138" i="52"/>
  <c r="AE134" i="52"/>
  <c r="M134" i="52"/>
  <c r="AE260" i="52"/>
  <c r="M260" i="52"/>
  <c r="AE227" i="52"/>
  <c r="M227" i="52"/>
  <c r="AE127" i="52"/>
  <c r="M127" i="52"/>
  <c r="AE107" i="52"/>
  <c r="M107" i="52"/>
  <c r="AE232" i="52"/>
  <c r="M232" i="52"/>
  <c r="AE174" i="52"/>
  <c r="M174" i="52"/>
  <c r="AE26" i="52"/>
  <c r="M26" i="52"/>
  <c r="AE162" i="52"/>
  <c r="M162" i="52"/>
  <c r="AE198" i="52"/>
  <c r="M198" i="52"/>
  <c r="AE68" i="52"/>
  <c r="M68" i="52"/>
  <c r="AE112" i="52"/>
  <c r="M112" i="52"/>
  <c r="AE303" i="52"/>
  <c r="M303" i="52"/>
  <c r="AE208" i="52"/>
  <c r="M208" i="52"/>
  <c r="AE282" i="52"/>
  <c r="M282" i="52"/>
  <c r="AE196" i="52"/>
  <c r="M196" i="52"/>
  <c r="AE202" i="52"/>
  <c r="M202" i="52"/>
  <c r="AE283" i="52"/>
  <c r="M283" i="52"/>
  <c r="AE171" i="52"/>
  <c r="AE179" i="52"/>
  <c r="M179" i="52"/>
  <c r="AE220" i="52"/>
  <c r="M220" i="52"/>
  <c r="AE175" i="52"/>
  <c r="M175" i="52"/>
  <c r="AE230" i="52"/>
  <c r="M230" i="52"/>
  <c r="AE59" i="52"/>
  <c r="M59" i="52"/>
  <c r="AE101" i="52"/>
  <c r="M101" i="52"/>
  <c r="AE85" i="52"/>
  <c r="M85" i="52"/>
  <c r="AE180" i="52"/>
  <c r="M180" i="52"/>
  <c r="AE136" i="52"/>
  <c r="M136" i="52"/>
  <c r="AE62" i="52"/>
  <c r="M62" i="52"/>
  <c r="AE278" i="52"/>
  <c r="M278" i="52"/>
  <c r="AE191" i="52"/>
  <c r="M191" i="52"/>
  <c r="AE27" i="52"/>
  <c r="M27" i="52"/>
  <c r="AE22" i="52"/>
  <c r="M22" i="52"/>
  <c r="AE243" i="52"/>
  <c r="M243" i="52"/>
  <c r="AE115" i="52"/>
  <c r="M115" i="52"/>
  <c r="AE298" i="52"/>
  <c r="M298" i="52"/>
  <c r="AE290" i="52"/>
  <c r="M290" i="52"/>
  <c r="AE31" i="52"/>
  <c r="M31" i="52"/>
  <c r="AE32" i="52"/>
  <c r="M32" i="52"/>
  <c r="AE33" i="52"/>
  <c r="M33" i="52"/>
  <c r="AE176" i="52"/>
  <c r="M176" i="52"/>
  <c r="AE272" i="52"/>
  <c r="M272" i="52"/>
  <c r="AE78" i="52"/>
  <c r="M78" i="52"/>
  <c r="AE105" i="52"/>
  <c r="M105" i="52"/>
  <c r="AE206" i="52"/>
  <c r="M206" i="52"/>
  <c r="AE145" i="52"/>
  <c r="M145" i="52"/>
  <c r="AE211" i="52"/>
  <c r="M211" i="52"/>
  <c r="AE228" i="52"/>
  <c r="M228" i="52"/>
  <c r="AE249" i="52"/>
  <c r="M249" i="52"/>
  <c r="AE262" i="52"/>
  <c r="M262" i="52"/>
  <c r="AE28" i="52"/>
  <c r="M28" i="52"/>
  <c r="AE240" i="52"/>
  <c r="M240" i="52"/>
  <c r="AE304" i="52"/>
  <c r="M304" i="52"/>
  <c r="AE163" i="52"/>
  <c r="M163" i="52"/>
  <c r="AE88" i="52"/>
  <c r="M88" i="52"/>
  <c r="AE294" i="52"/>
  <c r="M294" i="52"/>
  <c r="AE234" i="52"/>
  <c r="M234" i="52"/>
  <c r="AE181" i="52"/>
  <c r="M181" i="52"/>
  <c r="AE96" i="52"/>
  <c r="M96" i="52"/>
  <c r="AE92" i="52"/>
  <c r="M92" i="52"/>
  <c r="AE93" i="52"/>
  <c r="M93" i="52"/>
  <c r="AE124" i="52"/>
  <c r="M124" i="52"/>
  <c r="AE275" i="52"/>
  <c r="M275" i="52"/>
  <c r="AE259" i="52"/>
  <c r="M259" i="52"/>
  <c r="AE218" i="52"/>
  <c r="M218" i="52"/>
  <c r="AE137" i="52"/>
  <c r="M137" i="52"/>
  <c r="AE203" i="52"/>
  <c r="M203" i="52"/>
  <c r="AE156" i="52"/>
  <c r="M156" i="52"/>
  <c r="AE108" i="52"/>
  <c r="M108" i="52"/>
  <c r="AE253" i="52"/>
  <c r="M253" i="52"/>
  <c r="AE42" i="52"/>
  <c r="M42" i="52"/>
  <c r="AE292" i="52"/>
  <c r="M292" i="52"/>
  <c r="AE82" i="52"/>
  <c r="M82" i="52"/>
  <c r="AE135" i="52"/>
  <c r="M135" i="52"/>
  <c r="AE264" i="52"/>
  <c r="M264" i="52"/>
  <c r="AE302" i="52"/>
  <c r="M302" i="52"/>
  <c r="AE287" i="52"/>
  <c r="M287" i="52"/>
  <c r="AE186" i="52"/>
  <c r="M186" i="52"/>
  <c r="AE89" i="52"/>
  <c r="M89" i="52"/>
  <c r="AE242" i="52"/>
  <c r="M242" i="52"/>
  <c r="AE254" i="52"/>
  <c r="M254" i="52"/>
  <c r="AE146" i="52"/>
  <c r="M146" i="52"/>
  <c r="AE118" i="52"/>
  <c r="M118" i="52"/>
  <c r="AE192" i="52"/>
  <c r="M192" i="52"/>
  <c r="AE183" i="52"/>
  <c r="M183" i="52"/>
  <c r="AE199" i="52"/>
  <c r="M199" i="52"/>
  <c r="AE207" i="52"/>
  <c r="M207" i="52"/>
  <c r="AE255" i="52"/>
  <c r="M255" i="52"/>
  <c r="AE194" i="52"/>
  <c r="M194" i="52"/>
  <c r="AE247" i="52"/>
  <c r="M247" i="52"/>
  <c r="AE268" i="52"/>
  <c r="M268" i="52"/>
  <c r="AE37" i="52"/>
  <c r="M37" i="52"/>
  <c r="AE123" i="52"/>
  <c r="M123" i="52"/>
  <c r="AE147" i="52"/>
  <c r="M147" i="52"/>
  <c r="AE60" i="52"/>
  <c r="M60" i="52"/>
  <c r="AE69" i="52"/>
  <c r="M69" i="52"/>
  <c r="AE267" i="52"/>
  <c r="M267" i="52"/>
  <c r="AE125" i="52"/>
  <c r="M125" i="52"/>
  <c r="AE277" i="52"/>
  <c r="M277" i="52"/>
  <c r="AE215" i="52"/>
  <c r="M215" i="52"/>
  <c r="AE66" i="52"/>
  <c r="M66" i="52"/>
  <c r="AE236" i="52"/>
  <c r="M236" i="52"/>
  <c r="AE250" i="52"/>
  <c r="M250" i="52"/>
  <c r="AE109" i="52"/>
  <c r="M109" i="52"/>
  <c r="AE184" i="52"/>
  <c r="M184" i="52"/>
  <c r="AE204" i="52"/>
  <c r="M204" i="52"/>
  <c r="AE285" i="52"/>
  <c r="M285" i="52"/>
  <c r="AE235" i="52"/>
  <c r="M235" i="52"/>
  <c r="AE258" i="52"/>
  <c r="M258" i="52"/>
  <c r="AE172" i="52"/>
  <c r="M172" i="52"/>
  <c r="AE29" i="52"/>
  <c r="M29" i="52"/>
  <c r="AE131" i="52"/>
  <c r="M131" i="52"/>
  <c r="AE274" i="52"/>
  <c r="M274" i="52"/>
  <c r="AE21" i="52"/>
  <c r="M21" i="52"/>
  <c r="AE216" i="52"/>
  <c r="M216" i="52"/>
  <c r="AE270" i="52"/>
  <c r="M270" i="52"/>
  <c r="AE142" i="52"/>
  <c r="M142" i="52"/>
  <c r="AE75" i="52"/>
  <c r="M75" i="52"/>
  <c r="AE110" i="52"/>
  <c r="M110" i="52"/>
  <c r="AE63" i="52"/>
  <c r="M63" i="52"/>
  <c r="AE143" i="52"/>
  <c r="M143" i="52"/>
  <c r="AE224" i="52"/>
  <c r="M224" i="52"/>
  <c r="AE261" i="52"/>
  <c r="M261" i="52"/>
  <c r="AE214" i="52"/>
  <c r="M214" i="52"/>
  <c r="AE213" i="52"/>
  <c r="M213" i="52"/>
  <c r="AE122" i="52"/>
  <c r="M122" i="52"/>
  <c r="AE168" i="52"/>
  <c r="M168" i="52"/>
  <c r="AE293" i="52"/>
  <c r="M293" i="52"/>
  <c r="AE284" i="52"/>
  <c r="M284" i="52"/>
  <c r="AE205" i="52"/>
  <c r="M205" i="52"/>
  <c r="AE200" i="52"/>
  <c r="M200" i="52"/>
  <c r="AE190" i="52"/>
  <c r="M190" i="52"/>
  <c r="AE182" i="52"/>
  <c r="M182" i="52"/>
  <c r="AE296" i="52"/>
  <c r="M296" i="52"/>
  <c r="AE178" i="52"/>
  <c r="M178" i="52"/>
  <c r="AE141" i="52"/>
  <c r="M141" i="52"/>
  <c r="AE160" i="52"/>
  <c r="M160" i="52"/>
  <c r="AE189" i="52"/>
  <c r="M189" i="52"/>
  <c r="AE291" i="52"/>
  <c r="M291" i="52"/>
  <c r="AE86" i="52"/>
  <c r="M86" i="52"/>
  <c r="AE273" i="52"/>
  <c r="M273" i="52"/>
  <c r="AE39" i="52"/>
  <c r="M39" i="52"/>
  <c r="AE83" i="52"/>
  <c r="M83" i="52"/>
  <c r="AE76" i="52"/>
  <c r="M76" i="52"/>
  <c r="AE73" i="52"/>
  <c r="M73" i="52"/>
  <c r="AE43" i="52"/>
  <c r="M43" i="52"/>
  <c r="AE23" i="52"/>
  <c r="M23" i="52"/>
  <c r="AE98" i="52"/>
  <c r="M98" i="52"/>
  <c r="AE271" i="52"/>
  <c r="M271" i="52"/>
  <c r="AE148" i="52"/>
  <c r="M148" i="52"/>
  <c r="AE50" i="52"/>
  <c r="M50" i="52"/>
  <c r="AE155" i="52"/>
  <c r="M155" i="52"/>
  <c r="AE244" i="52"/>
  <c r="M244" i="52"/>
  <c r="AE300" i="52"/>
  <c r="M300" i="52"/>
  <c r="AE44" i="52"/>
  <c r="M44" i="52"/>
  <c r="AE170" i="52"/>
  <c r="M170" i="52"/>
  <c r="AE157" i="52"/>
  <c r="M157" i="52"/>
  <c r="AE177" i="52"/>
  <c r="M177" i="52"/>
  <c r="AE257" i="52"/>
  <c r="M257" i="52"/>
  <c r="AE225" i="52"/>
  <c r="M225" i="52"/>
  <c r="AE152" i="52"/>
  <c r="M152" i="52"/>
  <c r="AE17" i="52"/>
  <c r="M17" i="52"/>
  <c r="AE84" i="52"/>
  <c r="M84" i="52"/>
  <c r="AE210" i="52"/>
  <c r="M210" i="52"/>
  <c r="AE41" i="52"/>
  <c r="M41" i="52"/>
  <c r="AE74" i="52"/>
  <c r="M74" i="52"/>
  <c r="AE19" i="52"/>
  <c r="M19" i="52"/>
  <c r="AE121" i="52"/>
  <c r="M121" i="52"/>
  <c r="AE57" i="52"/>
  <c r="M57" i="52"/>
  <c r="AE72" i="52"/>
  <c r="M72" i="52"/>
  <c r="AE58" i="52"/>
  <c r="M58" i="52"/>
  <c r="AE195" i="52"/>
  <c r="M195" i="52"/>
  <c r="AE140" i="52"/>
  <c r="M140" i="52"/>
  <c r="AE279" i="52"/>
  <c r="M279" i="52"/>
  <c r="AE158" i="52"/>
  <c r="M158" i="52"/>
  <c r="AE201" i="52"/>
  <c r="M201" i="52"/>
  <c r="AE169" i="52"/>
  <c r="M169" i="52"/>
  <c r="AE151" i="52"/>
  <c r="M151" i="52"/>
  <c r="AE239" i="52"/>
  <c r="M239" i="52"/>
  <c r="AE246" i="52"/>
  <c r="M246" i="52"/>
  <c r="AE307" i="52"/>
  <c r="M307" i="52"/>
  <c r="AE280" i="52"/>
  <c r="M280" i="52"/>
  <c r="AE229" i="52"/>
  <c r="M229" i="52"/>
  <c r="AE116" i="52"/>
  <c r="M116" i="52"/>
  <c r="AE25" i="52"/>
  <c r="M25" i="52"/>
  <c r="AE164" i="52"/>
  <c r="M164" i="52"/>
  <c r="AE119" i="52"/>
  <c r="M119" i="52"/>
  <c r="AE53" i="52"/>
  <c r="M53" i="52"/>
  <c r="AE79" i="52"/>
  <c r="M79" i="52"/>
  <c r="AE219" i="52"/>
  <c r="M219" i="52"/>
  <c r="AE49" i="52"/>
  <c r="M49" i="52"/>
  <c r="AE130" i="52"/>
  <c r="M130" i="52"/>
  <c r="AE188" i="52"/>
  <c r="M188" i="52"/>
  <c r="AE94" i="52"/>
  <c r="M94" i="52"/>
  <c r="AE40" i="52"/>
  <c r="M40" i="52"/>
  <c r="AE197" i="52"/>
  <c r="M197" i="52"/>
  <c r="AE226" i="52"/>
  <c r="M226" i="52"/>
  <c r="AE102" i="52"/>
  <c r="M102" i="52"/>
  <c r="AE217" i="52"/>
  <c r="M217" i="52"/>
  <c r="AE18" i="52"/>
  <c r="M18" i="52"/>
  <c r="AE30" i="52"/>
  <c r="M30" i="52"/>
  <c r="AE70" i="52"/>
  <c r="M70" i="52"/>
  <c r="AE90" i="52"/>
  <c r="M90" i="52"/>
  <c r="AE34" i="52"/>
  <c r="M34" i="52"/>
  <c r="AE104" i="52"/>
  <c r="M104" i="52"/>
  <c r="AE126" i="52"/>
  <c r="M126" i="52"/>
  <c r="AE80" i="52"/>
  <c r="M80" i="52"/>
  <c r="AE286" i="52"/>
  <c r="M286" i="52"/>
  <c r="AE54" i="52"/>
  <c r="M54" i="52"/>
  <c r="AD13" i="52"/>
  <c r="L13" i="52"/>
  <c r="AE15" i="52"/>
  <c r="AH281" i="52" l="1"/>
  <c r="P281" i="52"/>
  <c r="AI281" i="52" s="1"/>
  <c r="AH161" i="52"/>
  <c r="P161" i="52"/>
  <c r="AI161" i="52" s="1"/>
  <c r="AH237" i="52"/>
  <c r="P237" i="52"/>
  <c r="AI237" i="52" s="1"/>
  <c r="AH233" i="52"/>
  <c r="P233" i="52"/>
  <c r="AI233" i="52" s="1"/>
  <c r="AH241" i="52"/>
  <c r="P241" i="52"/>
  <c r="AI241" i="52" s="1"/>
  <c r="AH55" i="52"/>
  <c r="P55" i="52"/>
  <c r="AI55" i="52" s="1"/>
  <c r="AH221" i="52"/>
  <c r="P221" i="52"/>
  <c r="AI221" i="52" s="1"/>
  <c r="AH269" i="52"/>
  <c r="P269" i="52"/>
  <c r="AI269" i="52" s="1"/>
  <c r="AH301" i="52"/>
  <c r="P301" i="52"/>
  <c r="AI301" i="52" s="1"/>
  <c r="AH91" i="52"/>
  <c r="P91" i="52"/>
  <c r="AI91" i="52" s="1"/>
  <c r="AH167" i="52"/>
  <c r="P167" i="52"/>
  <c r="AI167" i="52" s="1"/>
  <c r="AH265" i="52"/>
  <c r="P265" i="52"/>
  <c r="AI265" i="52" s="1"/>
  <c r="AH51" i="52"/>
  <c r="P51" i="52"/>
  <c r="AI51" i="52" s="1"/>
  <c r="AH81" i="52"/>
  <c r="P81" i="52"/>
  <c r="AI81" i="52" s="1"/>
  <c r="AH305" i="52"/>
  <c r="P305" i="52"/>
  <c r="AI305" i="52" s="1"/>
  <c r="AH128" i="52"/>
  <c r="P128" i="52"/>
  <c r="AI128" i="52" s="1"/>
  <c r="AH295" i="52"/>
  <c r="P295" i="52"/>
  <c r="AI295" i="52" s="1"/>
  <c r="AH149" i="52"/>
  <c r="P149" i="52"/>
  <c r="AI149" i="52" s="1"/>
  <c r="AH209" i="52"/>
  <c r="P209" i="52"/>
  <c r="AI209" i="52" s="1"/>
  <c r="AH297" i="52"/>
  <c r="P297" i="52"/>
  <c r="AI297" i="52" s="1"/>
  <c r="AH99" i="52"/>
  <c r="P99" i="52"/>
  <c r="AI99" i="52" s="1"/>
  <c r="AH193" i="52"/>
  <c r="P193" i="52"/>
  <c r="AI193" i="52" s="1"/>
  <c r="AH263" i="52"/>
  <c r="P263" i="52"/>
  <c r="AI263" i="52" s="1"/>
  <c r="AH97" i="52"/>
  <c r="P97" i="52"/>
  <c r="AI97" i="52" s="1"/>
  <c r="AH65" i="52"/>
  <c r="P65" i="52"/>
  <c r="AI65" i="52" s="1"/>
  <c r="AH159" i="52"/>
  <c r="P159" i="52"/>
  <c r="AI159" i="52" s="1"/>
  <c r="AH64" i="52"/>
  <c r="P64" i="52"/>
  <c r="AI64" i="52" s="1"/>
  <c r="AH185" i="52"/>
  <c r="P185" i="52"/>
  <c r="AI185" i="52" s="1"/>
  <c r="AH117" i="52"/>
  <c r="P117" i="52"/>
  <c r="AI117" i="52" s="1"/>
  <c r="AH165" i="52"/>
  <c r="P165" i="52"/>
  <c r="AI165" i="52" s="1"/>
  <c r="AH87" i="52"/>
  <c r="P87" i="52"/>
  <c r="AI87" i="52" s="1"/>
  <c r="AH245" i="52"/>
  <c r="P245" i="52"/>
  <c r="AI245" i="52" s="1"/>
  <c r="AH95" i="52"/>
  <c r="P95" i="52"/>
  <c r="AI95" i="52" s="1"/>
  <c r="AH48" i="52"/>
  <c r="P48" i="52"/>
  <c r="AI48" i="52" s="1"/>
  <c r="AH77" i="52"/>
  <c r="P77" i="52"/>
  <c r="AI77" i="52" s="1"/>
  <c r="AH223" i="52"/>
  <c r="P223" i="52"/>
  <c r="AI223" i="52" s="1"/>
  <c r="AH111" i="52"/>
  <c r="P111" i="52"/>
  <c r="AI111" i="52" s="1"/>
  <c r="AH129" i="52"/>
  <c r="P129" i="52"/>
  <c r="AI129" i="52" s="1"/>
  <c r="AH133" i="52"/>
  <c r="P133" i="52"/>
  <c r="AI133" i="52" s="1"/>
  <c r="AG15" i="52"/>
  <c r="O15" i="52"/>
  <c r="N49" i="52"/>
  <c r="O49" i="52" s="1"/>
  <c r="AF49" i="52"/>
  <c r="N58" i="52"/>
  <c r="O58" i="52" s="1"/>
  <c r="AF58" i="52"/>
  <c r="N84" i="52"/>
  <c r="O84" i="52" s="1"/>
  <c r="AF84" i="52"/>
  <c r="N23" i="52"/>
  <c r="O23" i="52" s="1"/>
  <c r="AF23" i="52"/>
  <c r="N291" i="52"/>
  <c r="O291" i="52" s="1"/>
  <c r="AF291" i="52"/>
  <c r="N178" i="52"/>
  <c r="O178" i="52" s="1"/>
  <c r="AF178" i="52"/>
  <c r="N168" i="52"/>
  <c r="O168" i="52" s="1"/>
  <c r="AF168" i="52"/>
  <c r="N261" i="52"/>
  <c r="O261" i="52" s="1"/>
  <c r="AF261" i="52"/>
  <c r="N216" i="52"/>
  <c r="O216" i="52" s="1"/>
  <c r="AF216" i="52"/>
  <c r="N29" i="52"/>
  <c r="O29" i="52" s="1"/>
  <c r="AF29" i="52"/>
  <c r="N250" i="52"/>
  <c r="O250" i="52" s="1"/>
  <c r="AF250" i="52"/>
  <c r="N60" i="52"/>
  <c r="O60" i="52" s="1"/>
  <c r="AF60" i="52"/>
  <c r="N207" i="52"/>
  <c r="O207" i="52" s="1"/>
  <c r="AF207" i="52"/>
  <c r="N118" i="52"/>
  <c r="O118" i="52" s="1"/>
  <c r="AF118" i="52"/>
  <c r="N89" i="52"/>
  <c r="O89" i="52" s="1"/>
  <c r="AF89" i="52"/>
  <c r="N264" i="52"/>
  <c r="O264" i="52" s="1"/>
  <c r="AF264" i="52"/>
  <c r="N203" i="52"/>
  <c r="O203" i="52" s="1"/>
  <c r="AF203" i="52"/>
  <c r="N275" i="52"/>
  <c r="O275" i="52" s="1"/>
  <c r="AF275" i="52"/>
  <c r="N96" i="52"/>
  <c r="O96" i="52" s="1"/>
  <c r="AF96" i="52"/>
  <c r="N88" i="52"/>
  <c r="O88" i="52" s="1"/>
  <c r="AF88" i="52"/>
  <c r="N28" i="52"/>
  <c r="O28" i="52" s="1"/>
  <c r="AF28" i="52"/>
  <c r="N211" i="52"/>
  <c r="O211" i="52" s="1"/>
  <c r="AF211" i="52"/>
  <c r="N78" i="52"/>
  <c r="O78" i="52" s="1"/>
  <c r="AF78" i="52"/>
  <c r="N32" i="52"/>
  <c r="O32" i="52" s="1"/>
  <c r="AF32" i="52"/>
  <c r="N115" i="52"/>
  <c r="O115" i="52" s="1"/>
  <c r="AF115" i="52"/>
  <c r="N191" i="52"/>
  <c r="O191" i="52" s="1"/>
  <c r="AF191" i="52"/>
  <c r="N180" i="52"/>
  <c r="O180" i="52" s="1"/>
  <c r="AF180" i="52"/>
  <c r="N230" i="52"/>
  <c r="O230" i="52" s="1"/>
  <c r="AF230" i="52"/>
  <c r="N171" i="52"/>
  <c r="O171" i="52" s="1"/>
  <c r="AF171" i="52"/>
  <c r="N282" i="52"/>
  <c r="O282" i="52" s="1"/>
  <c r="AF282" i="52"/>
  <c r="N68" i="52"/>
  <c r="O68" i="52" s="1"/>
  <c r="AF68" i="52"/>
  <c r="N174" i="52"/>
  <c r="O174" i="52" s="1"/>
  <c r="AF174" i="52"/>
  <c r="N227" i="52"/>
  <c r="O227" i="52" s="1"/>
  <c r="AF227" i="52"/>
  <c r="N16" i="52"/>
  <c r="O16" i="52" s="1"/>
  <c r="AF16" i="52"/>
  <c r="N100" i="52"/>
  <c r="O100" i="52" s="1"/>
  <c r="AF100" i="52"/>
  <c r="N289" i="52"/>
  <c r="O289" i="52" s="1"/>
  <c r="AF289" i="52"/>
  <c r="N35" i="52"/>
  <c r="O35" i="52" s="1"/>
  <c r="AF35" i="52"/>
  <c r="N52" i="52"/>
  <c r="O52" i="52" s="1"/>
  <c r="AF52" i="52"/>
  <c r="N299" i="52"/>
  <c r="O299" i="52" s="1"/>
  <c r="AF299" i="52"/>
  <c r="N139" i="52"/>
  <c r="O139" i="52" s="1"/>
  <c r="AF139" i="52"/>
  <c r="N276" i="52"/>
  <c r="O276" i="52" s="1"/>
  <c r="AF276" i="52"/>
  <c r="N114" i="52"/>
  <c r="O114" i="52" s="1"/>
  <c r="AF114" i="52"/>
  <c r="N238" i="52"/>
  <c r="O238" i="52" s="1"/>
  <c r="AF238" i="52"/>
  <c r="N306" i="52"/>
  <c r="O306" i="52" s="1"/>
  <c r="AF306" i="52"/>
  <c r="AG165" i="52"/>
  <c r="AG87" i="52"/>
  <c r="AG245" i="52"/>
  <c r="AG95" i="52"/>
  <c r="AG48" i="52"/>
  <c r="AG77" i="52"/>
  <c r="AG223" i="52"/>
  <c r="AG111" i="52"/>
  <c r="AG129" i="52"/>
  <c r="AG133" i="52"/>
  <c r="N119" i="52"/>
  <c r="O119" i="52" s="1"/>
  <c r="AF119" i="52"/>
  <c r="N50" i="52"/>
  <c r="O50" i="52" s="1"/>
  <c r="AF50" i="52"/>
  <c r="N83" i="52"/>
  <c r="O83" i="52" s="1"/>
  <c r="AF83" i="52"/>
  <c r="N200" i="52"/>
  <c r="O200" i="52" s="1"/>
  <c r="AF200" i="52"/>
  <c r="N110" i="52"/>
  <c r="O110" i="52" s="1"/>
  <c r="AF110" i="52"/>
  <c r="N285" i="52"/>
  <c r="O285" i="52" s="1"/>
  <c r="AF285" i="52"/>
  <c r="N277" i="52"/>
  <c r="O277" i="52" s="1"/>
  <c r="AF277" i="52"/>
  <c r="N268" i="52"/>
  <c r="O268" i="52" s="1"/>
  <c r="AF268" i="52"/>
  <c r="N42" i="52"/>
  <c r="O42" i="52" s="1"/>
  <c r="AF42" i="52"/>
  <c r="N217" i="52"/>
  <c r="O217" i="52" s="1"/>
  <c r="AF217" i="52"/>
  <c r="N239" i="52"/>
  <c r="O239" i="52" s="1"/>
  <c r="AF239" i="52"/>
  <c r="N257" i="52"/>
  <c r="O257" i="52" s="1"/>
  <c r="AF257" i="52"/>
  <c r="N70" i="52"/>
  <c r="O70" i="52" s="1"/>
  <c r="AF70" i="52"/>
  <c r="N94" i="52"/>
  <c r="O94" i="52" s="1"/>
  <c r="AF94" i="52"/>
  <c r="N164" i="52"/>
  <c r="O164" i="52" s="1"/>
  <c r="AF164" i="52"/>
  <c r="N151" i="52"/>
  <c r="O151" i="52" s="1"/>
  <c r="AF151" i="52"/>
  <c r="N279" i="52"/>
  <c r="O279" i="52" s="1"/>
  <c r="AF279" i="52"/>
  <c r="N74" i="52"/>
  <c r="O74" i="52" s="1"/>
  <c r="AF74" i="52"/>
  <c r="N177" i="52"/>
  <c r="O177" i="52" s="1"/>
  <c r="AF177" i="52"/>
  <c r="N148" i="52"/>
  <c r="O148" i="52" s="1"/>
  <c r="AF148" i="52"/>
  <c r="N39" i="52"/>
  <c r="O39" i="52" s="1"/>
  <c r="AF39" i="52"/>
  <c r="N189" i="52"/>
  <c r="O189" i="52" s="1"/>
  <c r="AF189" i="52"/>
  <c r="N205" i="52"/>
  <c r="O205" i="52" s="1"/>
  <c r="AF205" i="52"/>
  <c r="N75" i="52"/>
  <c r="O75" i="52" s="1"/>
  <c r="AF75" i="52"/>
  <c r="N172" i="52"/>
  <c r="O172" i="52" s="1"/>
  <c r="AF172" i="52"/>
  <c r="N236" i="52"/>
  <c r="O236" i="52" s="1"/>
  <c r="AF236" i="52"/>
  <c r="N147" i="52"/>
  <c r="O147" i="52" s="1"/>
  <c r="AF147" i="52"/>
  <c r="N146" i="52"/>
  <c r="O146" i="52" s="1"/>
  <c r="AF146" i="52"/>
  <c r="N253" i="52"/>
  <c r="O253" i="52" s="1"/>
  <c r="AF253" i="52"/>
  <c r="N124" i="52"/>
  <c r="O124" i="52" s="1"/>
  <c r="AF124" i="52"/>
  <c r="N163" i="52"/>
  <c r="O163" i="52" s="1"/>
  <c r="AF163" i="52"/>
  <c r="N145" i="52"/>
  <c r="O145" i="52" s="1"/>
  <c r="AF145" i="52"/>
  <c r="N272" i="52"/>
  <c r="O272" i="52" s="1"/>
  <c r="AF272" i="52"/>
  <c r="N31" i="52"/>
  <c r="O31" i="52" s="1"/>
  <c r="AF31" i="52"/>
  <c r="N278" i="52"/>
  <c r="O278" i="52" s="1"/>
  <c r="AF278" i="52"/>
  <c r="N85" i="52"/>
  <c r="O85" i="52" s="1"/>
  <c r="AF85" i="52"/>
  <c r="N175" i="52"/>
  <c r="O175" i="52" s="1"/>
  <c r="AF175" i="52"/>
  <c r="N283" i="52"/>
  <c r="O283" i="52" s="1"/>
  <c r="AF283" i="52"/>
  <c r="N208" i="52"/>
  <c r="O208" i="52" s="1"/>
  <c r="AF208" i="52"/>
  <c r="N198" i="52"/>
  <c r="O198" i="52" s="1"/>
  <c r="AF198" i="52"/>
  <c r="N232" i="52"/>
  <c r="O232" i="52" s="1"/>
  <c r="AF232" i="52"/>
  <c r="N260" i="52"/>
  <c r="O260" i="52" s="1"/>
  <c r="AF260" i="52"/>
  <c r="N45" i="52"/>
  <c r="O45" i="52" s="1"/>
  <c r="AF45" i="52"/>
  <c r="N61" i="52"/>
  <c r="O61" i="52" s="1"/>
  <c r="AF61" i="52"/>
  <c r="N251" i="52"/>
  <c r="O251" i="52" s="1"/>
  <c r="AF251" i="52"/>
  <c r="N187" i="52"/>
  <c r="O187" i="52" s="1"/>
  <c r="AF187" i="52"/>
  <c r="N120" i="52"/>
  <c r="O120" i="52" s="1"/>
  <c r="AF120" i="52"/>
  <c r="N132" i="52"/>
  <c r="O132" i="52" s="1"/>
  <c r="AF132" i="52"/>
  <c r="N113" i="52"/>
  <c r="O113" i="52" s="1"/>
  <c r="AF113" i="52"/>
  <c r="N166" i="52"/>
  <c r="O166" i="52" s="1"/>
  <c r="AF166" i="52"/>
  <c r="N36" i="52"/>
  <c r="O36" i="52" s="1"/>
  <c r="AF36" i="52"/>
  <c r="N288" i="52"/>
  <c r="O288" i="52" s="1"/>
  <c r="AF288" i="52"/>
  <c r="N106" i="52"/>
  <c r="O106" i="52" s="1"/>
  <c r="AF106" i="52"/>
  <c r="AG281" i="52"/>
  <c r="AG161" i="52"/>
  <c r="AG237" i="52"/>
  <c r="AG233" i="52"/>
  <c r="AG241" i="52"/>
  <c r="AG55" i="52"/>
  <c r="AG221" i="52"/>
  <c r="AG269" i="52"/>
  <c r="AG301" i="52"/>
  <c r="N90" i="52"/>
  <c r="O90" i="52" s="1"/>
  <c r="AF90" i="52"/>
  <c r="N19" i="52"/>
  <c r="O19" i="52" s="1"/>
  <c r="AF19" i="52"/>
  <c r="N44" i="52"/>
  <c r="O44" i="52" s="1"/>
  <c r="AF44" i="52"/>
  <c r="N126" i="52"/>
  <c r="O126" i="52" s="1"/>
  <c r="AF126" i="52"/>
  <c r="N102" i="52"/>
  <c r="O102" i="52" s="1"/>
  <c r="AF102" i="52"/>
  <c r="N219" i="52"/>
  <c r="O219" i="52" s="1"/>
  <c r="AF219" i="52"/>
  <c r="N280" i="52"/>
  <c r="O280" i="52" s="1"/>
  <c r="AF280" i="52"/>
  <c r="N72" i="52"/>
  <c r="O72" i="52" s="1"/>
  <c r="AF72" i="52"/>
  <c r="N17" i="52"/>
  <c r="O17" i="52" s="1"/>
  <c r="AF17" i="52"/>
  <c r="N300" i="52"/>
  <c r="O300" i="52" s="1"/>
  <c r="AF300" i="52"/>
  <c r="N43" i="52"/>
  <c r="O43" i="52" s="1"/>
  <c r="AF43" i="52"/>
  <c r="N296" i="52"/>
  <c r="O296" i="52" s="1"/>
  <c r="AF296" i="52"/>
  <c r="N122" i="52"/>
  <c r="O122" i="52" s="1"/>
  <c r="AF122" i="52"/>
  <c r="N224" i="52"/>
  <c r="O224" i="52" s="1"/>
  <c r="AF224" i="52"/>
  <c r="N21" i="52"/>
  <c r="O21" i="52" s="1"/>
  <c r="AF21" i="52"/>
  <c r="N204" i="52"/>
  <c r="O204" i="52" s="1"/>
  <c r="AF204" i="52"/>
  <c r="N125" i="52"/>
  <c r="O125" i="52" s="1"/>
  <c r="AF125" i="52"/>
  <c r="N247" i="52"/>
  <c r="O247" i="52" s="1"/>
  <c r="AF247" i="52"/>
  <c r="N199" i="52"/>
  <c r="O199" i="52" s="1"/>
  <c r="AF199" i="52"/>
  <c r="N186" i="52"/>
  <c r="O186" i="52" s="1"/>
  <c r="AF186" i="52"/>
  <c r="N135" i="52"/>
  <c r="O135" i="52" s="1"/>
  <c r="AF135" i="52"/>
  <c r="N137" i="52"/>
  <c r="O137" i="52" s="1"/>
  <c r="AF137" i="52"/>
  <c r="N181" i="52"/>
  <c r="O181" i="52" s="1"/>
  <c r="AF181" i="52"/>
  <c r="N262" i="52"/>
  <c r="O262" i="52" s="1"/>
  <c r="AF262" i="52"/>
  <c r="N243" i="52"/>
  <c r="O243" i="52" s="1"/>
  <c r="AF243" i="52"/>
  <c r="N40" i="52"/>
  <c r="O40" i="52" s="1"/>
  <c r="AF40" i="52"/>
  <c r="N229" i="52"/>
  <c r="O229" i="52" s="1"/>
  <c r="AF229" i="52"/>
  <c r="N226" i="52"/>
  <c r="O226" i="52" s="1"/>
  <c r="AF226" i="52"/>
  <c r="N79" i="52"/>
  <c r="O79" i="52" s="1"/>
  <c r="AF79" i="52"/>
  <c r="N307" i="52"/>
  <c r="O307" i="52" s="1"/>
  <c r="AF307" i="52"/>
  <c r="N57" i="52"/>
  <c r="O57" i="52" s="1"/>
  <c r="AF57" i="52"/>
  <c r="N244" i="52"/>
  <c r="O244" i="52" s="1"/>
  <c r="AF244" i="52"/>
  <c r="N271" i="52"/>
  <c r="O271" i="52" s="1"/>
  <c r="AF271" i="52"/>
  <c r="N273" i="52"/>
  <c r="O273" i="52" s="1"/>
  <c r="AF273" i="52"/>
  <c r="N213" i="52"/>
  <c r="O213" i="52" s="1"/>
  <c r="AF213" i="52"/>
  <c r="N274" i="52"/>
  <c r="O274" i="52" s="1"/>
  <c r="AF274" i="52"/>
  <c r="N184" i="52"/>
  <c r="O184" i="52" s="1"/>
  <c r="AF184" i="52"/>
  <c r="N267" i="52"/>
  <c r="O267" i="52" s="1"/>
  <c r="AF267" i="52"/>
  <c r="N194" i="52"/>
  <c r="O194" i="52" s="1"/>
  <c r="AF194" i="52"/>
  <c r="N254" i="52"/>
  <c r="O254" i="52" s="1"/>
  <c r="AF254" i="52"/>
  <c r="N82" i="52"/>
  <c r="O82" i="52" s="1"/>
  <c r="AF82" i="52"/>
  <c r="N93" i="52"/>
  <c r="O93" i="52" s="1"/>
  <c r="AF93" i="52"/>
  <c r="N304" i="52"/>
  <c r="O304" i="52" s="1"/>
  <c r="AF304" i="52"/>
  <c r="N206" i="52"/>
  <c r="O206" i="52" s="1"/>
  <c r="AF206" i="52"/>
  <c r="N290" i="52"/>
  <c r="O290" i="52" s="1"/>
  <c r="AF290" i="52"/>
  <c r="N22" i="52"/>
  <c r="O22" i="52" s="1"/>
  <c r="AF22" i="52"/>
  <c r="N62" i="52"/>
  <c r="O62" i="52" s="1"/>
  <c r="AF62" i="52"/>
  <c r="N101" i="52"/>
  <c r="O101" i="52" s="1"/>
  <c r="AF101" i="52"/>
  <c r="N202" i="52"/>
  <c r="O202" i="52" s="1"/>
  <c r="AF202" i="52"/>
  <c r="N303" i="52"/>
  <c r="O303" i="52" s="1"/>
  <c r="AF303" i="52"/>
  <c r="N162" i="52"/>
  <c r="O162" i="52" s="1"/>
  <c r="AF162" i="52"/>
  <c r="N107" i="52"/>
  <c r="O107" i="52" s="1"/>
  <c r="AF107" i="52"/>
  <c r="N134" i="52"/>
  <c r="O134" i="52" s="1"/>
  <c r="AF134" i="52"/>
  <c r="N67" i="52"/>
  <c r="O67" i="52" s="1"/>
  <c r="AF67" i="52"/>
  <c r="N266" i="52"/>
  <c r="O266" i="52" s="1"/>
  <c r="AF266" i="52"/>
  <c r="N256" i="52"/>
  <c r="O256" i="52" s="1"/>
  <c r="AF256" i="52"/>
  <c r="N24" i="52"/>
  <c r="O24" i="52" s="1"/>
  <c r="AF24" i="52"/>
  <c r="N56" i="52"/>
  <c r="O56" i="52" s="1"/>
  <c r="AF56" i="52"/>
  <c r="N46" i="52"/>
  <c r="O46" i="52" s="1"/>
  <c r="AF46" i="52"/>
  <c r="N150" i="52"/>
  <c r="O150" i="52" s="1"/>
  <c r="AF150" i="52"/>
  <c r="N154" i="52"/>
  <c r="O154" i="52" s="1"/>
  <c r="AF154" i="52"/>
  <c r="N231" i="52"/>
  <c r="O231" i="52" s="1"/>
  <c r="AF231" i="52"/>
  <c r="N173" i="52"/>
  <c r="O173" i="52" s="1"/>
  <c r="AF173" i="52"/>
  <c r="AG91" i="52"/>
  <c r="AG167" i="52"/>
  <c r="AG265" i="52"/>
  <c r="AG51" i="52"/>
  <c r="AG81" i="52"/>
  <c r="AG305" i="52"/>
  <c r="AG128" i="52"/>
  <c r="AG295" i="52"/>
  <c r="AG149" i="52"/>
  <c r="AG209" i="52"/>
  <c r="N80" i="52"/>
  <c r="O80" i="52" s="1"/>
  <c r="AF80" i="52"/>
  <c r="N158" i="52"/>
  <c r="O158" i="52" s="1"/>
  <c r="AF158" i="52"/>
  <c r="N54" i="52"/>
  <c r="O54" i="52" s="1"/>
  <c r="AF54" i="52"/>
  <c r="N104" i="52"/>
  <c r="O104" i="52" s="1"/>
  <c r="AF104" i="52"/>
  <c r="N30" i="52"/>
  <c r="O30" i="52" s="1"/>
  <c r="AF30" i="52"/>
  <c r="N188" i="52"/>
  <c r="O188" i="52" s="1"/>
  <c r="AF188" i="52"/>
  <c r="N25" i="52"/>
  <c r="O25" i="52" s="1"/>
  <c r="AF25" i="52"/>
  <c r="N169" i="52"/>
  <c r="O169" i="52" s="1"/>
  <c r="AF169" i="52"/>
  <c r="N140" i="52"/>
  <c r="O140" i="52" s="1"/>
  <c r="AF140" i="52"/>
  <c r="N41" i="52"/>
  <c r="O41" i="52" s="1"/>
  <c r="AF41" i="52"/>
  <c r="N152" i="52"/>
  <c r="O152" i="52" s="1"/>
  <c r="AF152" i="52"/>
  <c r="N157" i="52"/>
  <c r="O157" i="52" s="1"/>
  <c r="AF157" i="52"/>
  <c r="N73" i="52"/>
  <c r="O73" i="52" s="1"/>
  <c r="AF73" i="52"/>
  <c r="N160" i="52"/>
  <c r="O160" i="52" s="1"/>
  <c r="AF160" i="52"/>
  <c r="N182" i="52"/>
  <c r="O182" i="52" s="1"/>
  <c r="AF182" i="52"/>
  <c r="N284" i="52"/>
  <c r="O284" i="52" s="1"/>
  <c r="AF284" i="52"/>
  <c r="N143" i="52"/>
  <c r="O143" i="52" s="1"/>
  <c r="AF143" i="52"/>
  <c r="N142" i="52"/>
  <c r="O142" i="52" s="1"/>
  <c r="AF142" i="52"/>
  <c r="N258" i="52"/>
  <c r="O258" i="52" s="1"/>
  <c r="AF258" i="52"/>
  <c r="N66" i="52"/>
  <c r="O66" i="52" s="1"/>
  <c r="AF66" i="52"/>
  <c r="N123" i="52"/>
  <c r="O123" i="52" s="1"/>
  <c r="AF123" i="52"/>
  <c r="N183" i="52"/>
  <c r="O183" i="52" s="1"/>
  <c r="AF183" i="52"/>
  <c r="N287" i="52"/>
  <c r="O287" i="52" s="1"/>
  <c r="AF287" i="52"/>
  <c r="N108" i="52"/>
  <c r="O108" i="52" s="1"/>
  <c r="AF108" i="52"/>
  <c r="N218" i="52"/>
  <c r="O218" i="52" s="1"/>
  <c r="AF218" i="52"/>
  <c r="N234" i="52"/>
  <c r="O234" i="52" s="1"/>
  <c r="AF234" i="52"/>
  <c r="N249" i="52"/>
  <c r="O249" i="52" s="1"/>
  <c r="AF249" i="52"/>
  <c r="N176" i="52"/>
  <c r="O176" i="52" s="1"/>
  <c r="AF176" i="52"/>
  <c r="N220" i="52"/>
  <c r="O220" i="52" s="1"/>
  <c r="AF220" i="52"/>
  <c r="N286" i="52"/>
  <c r="O286" i="52" s="1"/>
  <c r="AF286" i="52"/>
  <c r="N34" i="52"/>
  <c r="O34" i="52" s="1"/>
  <c r="AF34" i="52"/>
  <c r="N18" i="52"/>
  <c r="O18" i="52" s="1"/>
  <c r="AF18" i="52"/>
  <c r="N197" i="52"/>
  <c r="O197" i="52" s="1"/>
  <c r="AF197" i="52"/>
  <c r="N130" i="52"/>
  <c r="O130" i="52" s="1"/>
  <c r="AF130" i="52"/>
  <c r="N53" i="52"/>
  <c r="O53" i="52" s="1"/>
  <c r="AF53" i="52"/>
  <c r="N116" i="52"/>
  <c r="O116" i="52" s="1"/>
  <c r="AF116" i="52"/>
  <c r="N246" i="52"/>
  <c r="O246" i="52" s="1"/>
  <c r="AF246" i="52"/>
  <c r="N201" i="52"/>
  <c r="O201" i="52" s="1"/>
  <c r="AF201" i="52"/>
  <c r="N195" i="52"/>
  <c r="O195" i="52" s="1"/>
  <c r="AF195" i="52"/>
  <c r="N121" i="52"/>
  <c r="O121" i="52" s="1"/>
  <c r="AF121" i="52"/>
  <c r="N210" i="52"/>
  <c r="O210" i="52" s="1"/>
  <c r="AF210" i="52"/>
  <c r="N225" i="52"/>
  <c r="O225" i="52" s="1"/>
  <c r="AF225" i="52"/>
  <c r="N170" i="52"/>
  <c r="O170" i="52" s="1"/>
  <c r="AF170" i="52"/>
  <c r="N155" i="52"/>
  <c r="O155" i="52" s="1"/>
  <c r="AF155" i="52"/>
  <c r="N98" i="52"/>
  <c r="O98" i="52" s="1"/>
  <c r="AF98" i="52"/>
  <c r="N76" i="52"/>
  <c r="O76" i="52" s="1"/>
  <c r="AF76" i="52"/>
  <c r="N86" i="52"/>
  <c r="O86" i="52" s="1"/>
  <c r="AF86" i="52"/>
  <c r="N141" i="52"/>
  <c r="O141" i="52" s="1"/>
  <c r="AF141" i="52"/>
  <c r="N190" i="52"/>
  <c r="O190" i="52" s="1"/>
  <c r="AF190" i="52"/>
  <c r="N293" i="52"/>
  <c r="O293" i="52" s="1"/>
  <c r="AF293" i="52"/>
  <c r="N214" i="52"/>
  <c r="O214" i="52" s="1"/>
  <c r="AF214" i="52"/>
  <c r="N63" i="52"/>
  <c r="O63" i="52" s="1"/>
  <c r="AF63" i="52"/>
  <c r="N270" i="52"/>
  <c r="O270" i="52" s="1"/>
  <c r="AF270" i="52"/>
  <c r="N131" i="52"/>
  <c r="O131" i="52" s="1"/>
  <c r="AF131" i="52"/>
  <c r="N235" i="52"/>
  <c r="O235" i="52" s="1"/>
  <c r="AF235" i="52"/>
  <c r="N109" i="52"/>
  <c r="O109" i="52" s="1"/>
  <c r="AF109" i="52"/>
  <c r="N215" i="52"/>
  <c r="O215" i="52" s="1"/>
  <c r="AF215" i="52"/>
  <c r="N69" i="52"/>
  <c r="O69" i="52" s="1"/>
  <c r="AF69" i="52"/>
  <c r="N37" i="52"/>
  <c r="O37" i="52" s="1"/>
  <c r="AF37" i="52"/>
  <c r="N255" i="52"/>
  <c r="O255" i="52" s="1"/>
  <c r="AF255" i="52"/>
  <c r="N192" i="52"/>
  <c r="O192" i="52" s="1"/>
  <c r="AF192" i="52"/>
  <c r="N242" i="52"/>
  <c r="O242" i="52" s="1"/>
  <c r="AF242" i="52"/>
  <c r="N302" i="52"/>
  <c r="O302" i="52" s="1"/>
  <c r="AF302" i="52"/>
  <c r="N292" i="52"/>
  <c r="O292" i="52" s="1"/>
  <c r="AF292" i="52"/>
  <c r="N156" i="52"/>
  <c r="O156" i="52" s="1"/>
  <c r="AF156" i="52"/>
  <c r="N259" i="52"/>
  <c r="O259" i="52" s="1"/>
  <c r="AF259" i="52"/>
  <c r="N92" i="52"/>
  <c r="O92" i="52" s="1"/>
  <c r="AF92" i="52"/>
  <c r="N294" i="52"/>
  <c r="O294" i="52" s="1"/>
  <c r="AF294" i="52"/>
  <c r="N240" i="52"/>
  <c r="O240" i="52" s="1"/>
  <c r="AF240" i="52"/>
  <c r="N228" i="52"/>
  <c r="O228" i="52" s="1"/>
  <c r="AF228" i="52"/>
  <c r="N105" i="52"/>
  <c r="O105" i="52" s="1"/>
  <c r="AF105" i="52"/>
  <c r="N33" i="52"/>
  <c r="O33" i="52" s="1"/>
  <c r="AF33" i="52"/>
  <c r="N298" i="52"/>
  <c r="O298" i="52" s="1"/>
  <c r="AF298" i="52"/>
  <c r="N27" i="52"/>
  <c r="O27" i="52" s="1"/>
  <c r="AF27" i="52"/>
  <c r="N136" i="52"/>
  <c r="O136" i="52" s="1"/>
  <c r="AF136" i="52"/>
  <c r="N59" i="52"/>
  <c r="O59" i="52" s="1"/>
  <c r="AF59" i="52"/>
  <c r="N179" i="52"/>
  <c r="O179" i="52" s="1"/>
  <c r="AF179" i="52"/>
  <c r="N196" i="52"/>
  <c r="O196" i="52" s="1"/>
  <c r="AF196" i="52"/>
  <c r="N112" i="52"/>
  <c r="O112" i="52" s="1"/>
  <c r="AF112" i="52"/>
  <c r="N26" i="52"/>
  <c r="O26" i="52" s="1"/>
  <c r="AF26" i="52"/>
  <c r="N127" i="52"/>
  <c r="O127" i="52" s="1"/>
  <c r="AF127" i="52"/>
  <c r="N138" i="52"/>
  <c r="O138" i="52" s="1"/>
  <c r="AF138" i="52"/>
  <c r="N38" i="52"/>
  <c r="O38" i="52" s="1"/>
  <c r="AF38" i="52"/>
  <c r="N71" i="52"/>
  <c r="O71" i="52" s="1"/>
  <c r="AF71" i="52"/>
  <c r="N144" i="52"/>
  <c r="O144" i="52" s="1"/>
  <c r="AF144" i="52"/>
  <c r="N212" i="52"/>
  <c r="O212" i="52" s="1"/>
  <c r="AF212" i="52"/>
  <c r="N47" i="52"/>
  <c r="O47" i="52" s="1"/>
  <c r="AF47" i="52"/>
  <c r="N248" i="52"/>
  <c r="O248" i="52" s="1"/>
  <c r="AF248" i="52"/>
  <c r="N252" i="52"/>
  <c r="O252" i="52" s="1"/>
  <c r="AF252" i="52"/>
  <c r="N103" i="52"/>
  <c r="O103" i="52" s="1"/>
  <c r="AF103" i="52"/>
  <c r="N222" i="52"/>
  <c r="O222" i="52" s="1"/>
  <c r="AF222" i="52"/>
  <c r="N20" i="52"/>
  <c r="O20" i="52" s="1"/>
  <c r="AF20" i="52"/>
  <c r="AG297" i="52"/>
  <c r="AG99" i="52"/>
  <c r="AG193" i="52"/>
  <c r="AG263" i="52"/>
  <c r="AG97" i="52"/>
  <c r="AG65" i="52"/>
  <c r="AG159" i="52"/>
  <c r="AG64" i="52"/>
  <c r="AG185" i="52"/>
  <c r="AG117" i="52"/>
  <c r="M13" i="52"/>
  <c r="AE13" i="52"/>
  <c r="AH103" i="52" l="1"/>
  <c r="P103" i="52"/>
  <c r="AI103" i="52" s="1"/>
  <c r="AH212" i="52"/>
  <c r="P212" i="52"/>
  <c r="AI212" i="52" s="1"/>
  <c r="AH138" i="52"/>
  <c r="P138" i="52"/>
  <c r="AI138" i="52" s="1"/>
  <c r="AH196" i="52"/>
  <c r="P196" i="52"/>
  <c r="AI196" i="52" s="1"/>
  <c r="AH27" i="52"/>
  <c r="P27" i="52"/>
  <c r="AI27" i="52" s="1"/>
  <c r="AH228" i="52"/>
  <c r="P228" i="52"/>
  <c r="AI228" i="52" s="1"/>
  <c r="AH259" i="52"/>
  <c r="P259" i="52"/>
  <c r="AI259" i="52" s="1"/>
  <c r="AH242" i="52"/>
  <c r="P242" i="52"/>
  <c r="AI242" i="52" s="1"/>
  <c r="AH69" i="52"/>
  <c r="P69" i="52"/>
  <c r="AI69" i="52" s="1"/>
  <c r="AH131" i="52"/>
  <c r="P131" i="52"/>
  <c r="AI131" i="52" s="1"/>
  <c r="AH293" i="52"/>
  <c r="P293" i="52"/>
  <c r="AI293" i="52" s="1"/>
  <c r="AH76" i="52"/>
  <c r="P76" i="52"/>
  <c r="AI76" i="52" s="1"/>
  <c r="AH225" i="52"/>
  <c r="P225" i="52"/>
  <c r="AI225" i="52" s="1"/>
  <c r="AH201" i="52"/>
  <c r="P201" i="52"/>
  <c r="AI201" i="52" s="1"/>
  <c r="AH130" i="52"/>
  <c r="P130" i="52"/>
  <c r="AI130" i="52" s="1"/>
  <c r="AH286" i="52"/>
  <c r="P286" i="52"/>
  <c r="AI286" i="52" s="1"/>
  <c r="AH234" i="52"/>
  <c r="P234" i="52"/>
  <c r="AI234" i="52" s="1"/>
  <c r="AH183" i="52"/>
  <c r="P183" i="52"/>
  <c r="AI183" i="52" s="1"/>
  <c r="AH142" i="52"/>
  <c r="P142" i="52"/>
  <c r="AI142" i="52" s="1"/>
  <c r="AH160" i="52"/>
  <c r="P160" i="52"/>
  <c r="AI160" i="52" s="1"/>
  <c r="AH41" i="52"/>
  <c r="P41" i="52"/>
  <c r="AI41" i="52" s="1"/>
  <c r="AH188" i="52"/>
  <c r="P188" i="52"/>
  <c r="AI188" i="52" s="1"/>
  <c r="AH158" i="52"/>
  <c r="P158" i="52"/>
  <c r="AI158" i="52" s="1"/>
  <c r="AH231" i="52"/>
  <c r="P231" i="52"/>
  <c r="AI231" i="52" s="1"/>
  <c r="AH56" i="52"/>
  <c r="P56" i="52"/>
  <c r="AI56" i="52" s="1"/>
  <c r="AH67" i="52"/>
  <c r="P67" i="52"/>
  <c r="AI67" i="52" s="1"/>
  <c r="AH303" i="52"/>
  <c r="P303" i="52"/>
  <c r="AI303" i="52" s="1"/>
  <c r="AH22" i="52"/>
  <c r="P22" i="52"/>
  <c r="AI22" i="52" s="1"/>
  <c r="AH93" i="52"/>
  <c r="P93" i="52"/>
  <c r="AI93" i="52" s="1"/>
  <c r="AH267" i="52"/>
  <c r="P267" i="52"/>
  <c r="AI267" i="52" s="1"/>
  <c r="AH273" i="52"/>
  <c r="P273" i="52"/>
  <c r="AI273" i="52" s="1"/>
  <c r="AH307" i="52"/>
  <c r="P307" i="52"/>
  <c r="AI307" i="52" s="1"/>
  <c r="AH40" i="52"/>
  <c r="P40" i="52"/>
  <c r="AI40" i="52" s="1"/>
  <c r="AH137" i="52"/>
  <c r="P137" i="52"/>
  <c r="AI137" i="52" s="1"/>
  <c r="AH247" i="52"/>
  <c r="P247" i="52"/>
  <c r="AI247" i="52" s="1"/>
  <c r="AH224" i="52"/>
  <c r="P224" i="52"/>
  <c r="AI224" i="52" s="1"/>
  <c r="AH300" i="52"/>
  <c r="P300" i="52"/>
  <c r="AI300" i="52" s="1"/>
  <c r="AH219" i="52"/>
  <c r="P219" i="52"/>
  <c r="AI219" i="52" s="1"/>
  <c r="AH19" i="52"/>
  <c r="P19" i="52"/>
  <c r="AI19" i="52" s="1"/>
  <c r="AH15" i="52"/>
  <c r="P15" i="52"/>
  <c r="AI15" i="52" s="1"/>
  <c r="AH36" i="52"/>
  <c r="P36" i="52"/>
  <c r="AI36" i="52" s="1"/>
  <c r="AH120" i="52"/>
  <c r="P120" i="52"/>
  <c r="AI120" i="52" s="1"/>
  <c r="AH45" i="52"/>
  <c r="P45" i="52"/>
  <c r="AI45" i="52" s="1"/>
  <c r="AH208" i="52"/>
  <c r="P208" i="52"/>
  <c r="AI208" i="52" s="1"/>
  <c r="AH278" i="52"/>
  <c r="P278" i="52"/>
  <c r="AI278" i="52" s="1"/>
  <c r="AH163" i="52"/>
  <c r="P163" i="52"/>
  <c r="AI163" i="52" s="1"/>
  <c r="AH147" i="52"/>
  <c r="P147" i="52"/>
  <c r="AI147" i="52" s="1"/>
  <c r="AH205" i="52"/>
  <c r="P205" i="52"/>
  <c r="AI205" i="52" s="1"/>
  <c r="AH177" i="52"/>
  <c r="P177" i="52"/>
  <c r="AI177" i="52" s="1"/>
  <c r="AH164" i="52"/>
  <c r="P164" i="52"/>
  <c r="AI164" i="52" s="1"/>
  <c r="AH239" i="52"/>
  <c r="P239" i="52"/>
  <c r="AI239" i="52" s="1"/>
  <c r="AH277" i="52"/>
  <c r="P277" i="52"/>
  <c r="AI277" i="52" s="1"/>
  <c r="AH83" i="52"/>
  <c r="P83" i="52"/>
  <c r="AI83" i="52" s="1"/>
  <c r="AH306" i="52"/>
  <c r="P306" i="52"/>
  <c r="AI306" i="52" s="1"/>
  <c r="AH139" i="52"/>
  <c r="P139" i="52"/>
  <c r="AI139" i="52" s="1"/>
  <c r="AH289" i="52"/>
  <c r="P289" i="52"/>
  <c r="AI289" i="52" s="1"/>
  <c r="AH174" i="52"/>
  <c r="P174" i="52"/>
  <c r="AI174" i="52" s="1"/>
  <c r="AH230" i="52"/>
  <c r="P230" i="52"/>
  <c r="AI230" i="52" s="1"/>
  <c r="AH32" i="52"/>
  <c r="P32" i="52"/>
  <c r="AI32" i="52" s="1"/>
  <c r="AH88" i="52"/>
  <c r="P88" i="52"/>
  <c r="AI88" i="52" s="1"/>
  <c r="AH264" i="52"/>
  <c r="P264" i="52"/>
  <c r="AI264" i="52" s="1"/>
  <c r="AH60" i="52"/>
  <c r="P60" i="52"/>
  <c r="AI60" i="52" s="1"/>
  <c r="AH261" i="52"/>
  <c r="P261" i="52"/>
  <c r="AI261" i="52" s="1"/>
  <c r="AH23" i="52"/>
  <c r="P23" i="52"/>
  <c r="AI23" i="52" s="1"/>
  <c r="AH252" i="52"/>
  <c r="P252" i="52"/>
  <c r="AI252" i="52" s="1"/>
  <c r="AH156" i="52"/>
  <c r="P156" i="52"/>
  <c r="AI156" i="52" s="1"/>
  <c r="AH210" i="52"/>
  <c r="P210" i="52"/>
  <c r="AI210" i="52" s="1"/>
  <c r="AH246" i="52"/>
  <c r="P246" i="52"/>
  <c r="AI246" i="52" s="1"/>
  <c r="AH197" i="52"/>
  <c r="P197" i="52"/>
  <c r="AI197" i="52" s="1"/>
  <c r="AH220" i="52"/>
  <c r="P220" i="52"/>
  <c r="AI220" i="52" s="1"/>
  <c r="AH218" i="52"/>
  <c r="P218" i="52"/>
  <c r="AI218" i="52" s="1"/>
  <c r="AH123" i="52"/>
  <c r="P123" i="52"/>
  <c r="AI123" i="52" s="1"/>
  <c r="AH143" i="52"/>
  <c r="P143" i="52"/>
  <c r="AI143" i="52" s="1"/>
  <c r="AH73" i="52"/>
  <c r="P73" i="52"/>
  <c r="AI73" i="52" s="1"/>
  <c r="AH140" i="52"/>
  <c r="P140" i="52"/>
  <c r="AI140" i="52" s="1"/>
  <c r="AH30" i="52"/>
  <c r="P30" i="52"/>
  <c r="AI30" i="52" s="1"/>
  <c r="AH80" i="52"/>
  <c r="P80" i="52"/>
  <c r="AI80" i="52" s="1"/>
  <c r="AH154" i="52"/>
  <c r="P154" i="52"/>
  <c r="AI154" i="52" s="1"/>
  <c r="AH24" i="52"/>
  <c r="P24" i="52"/>
  <c r="AI24" i="52" s="1"/>
  <c r="AH134" i="52"/>
  <c r="P134" i="52"/>
  <c r="AI134" i="52" s="1"/>
  <c r="AH202" i="52"/>
  <c r="P202" i="52"/>
  <c r="AI202" i="52" s="1"/>
  <c r="AH290" i="52"/>
  <c r="P290" i="52"/>
  <c r="AI290" i="52" s="1"/>
  <c r="AH82" i="52"/>
  <c r="P82" i="52"/>
  <c r="AI82" i="52" s="1"/>
  <c r="AH184" i="52"/>
  <c r="P184" i="52"/>
  <c r="AI184" i="52" s="1"/>
  <c r="AH271" i="52"/>
  <c r="P271" i="52"/>
  <c r="AI271" i="52" s="1"/>
  <c r="AH79" i="52"/>
  <c r="P79" i="52"/>
  <c r="AI79" i="52" s="1"/>
  <c r="AH243" i="52"/>
  <c r="P243" i="52"/>
  <c r="AI243" i="52" s="1"/>
  <c r="AH135" i="52"/>
  <c r="P135" i="52"/>
  <c r="AI135" i="52" s="1"/>
  <c r="AH125" i="52"/>
  <c r="P125" i="52"/>
  <c r="AI125" i="52" s="1"/>
  <c r="AH122" i="52"/>
  <c r="P122" i="52"/>
  <c r="AI122" i="52" s="1"/>
  <c r="AH17" i="52"/>
  <c r="P17" i="52"/>
  <c r="AI17" i="52" s="1"/>
  <c r="AH102" i="52"/>
  <c r="P102" i="52"/>
  <c r="AI102" i="52" s="1"/>
  <c r="AH90" i="52"/>
  <c r="P90" i="52"/>
  <c r="AI90" i="52" s="1"/>
  <c r="AH298" i="52"/>
  <c r="P298" i="52"/>
  <c r="AI298" i="52" s="1"/>
  <c r="AH192" i="52"/>
  <c r="P192" i="52"/>
  <c r="AI192" i="52" s="1"/>
  <c r="AH166" i="52"/>
  <c r="P166" i="52"/>
  <c r="AI166" i="52" s="1"/>
  <c r="AH187" i="52"/>
  <c r="P187" i="52"/>
  <c r="AI187" i="52" s="1"/>
  <c r="AH260" i="52"/>
  <c r="P260" i="52"/>
  <c r="AI260" i="52" s="1"/>
  <c r="AH283" i="52"/>
  <c r="P283" i="52"/>
  <c r="AI283" i="52" s="1"/>
  <c r="AH31" i="52"/>
  <c r="P31" i="52"/>
  <c r="AI31" i="52" s="1"/>
  <c r="AH124" i="52"/>
  <c r="P124" i="52"/>
  <c r="AI124" i="52" s="1"/>
  <c r="AH236" i="52"/>
  <c r="P236" i="52"/>
  <c r="AI236" i="52" s="1"/>
  <c r="AH189" i="52"/>
  <c r="P189" i="52"/>
  <c r="AI189" i="52" s="1"/>
  <c r="AH74" i="52"/>
  <c r="P74" i="52"/>
  <c r="AI74" i="52" s="1"/>
  <c r="AH94" i="52"/>
  <c r="P94" i="52"/>
  <c r="AI94" i="52" s="1"/>
  <c r="AH217" i="52"/>
  <c r="P217" i="52"/>
  <c r="AI217" i="52" s="1"/>
  <c r="AH285" i="52"/>
  <c r="P285" i="52"/>
  <c r="AI285" i="52" s="1"/>
  <c r="AH50" i="52"/>
  <c r="P50" i="52"/>
  <c r="AI50" i="52" s="1"/>
  <c r="AH238" i="52"/>
  <c r="P238" i="52"/>
  <c r="AI238" i="52" s="1"/>
  <c r="AH299" i="52"/>
  <c r="P299" i="52"/>
  <c r="AI299" i="52" s="1"/>
  <c r="AH100" i="52"/>
  <c r="P100" i="52"/>
  <c r="AI100" i="52" s="1"/>
  <c r="AH68" i="52"/>
  <c r="P68" i="52"/>
  <c r="AI68" i="52" s="1"/>
  <c r="AH180" i="52"/>
  <c r="P180" i="52"/>
  <c r="AI180" i="52" s="1"/>
  <c r="AH78" i="52"/>
  <c r="P78" i="52"/>
  <c r="AI78" i="52" s="1"/>
  <c r="AH96" i="52"/>
  <c r="P96" i="52"/>
  <c r="AI96" i="52" s="1"/>
  <c r="AH89" i="52"/>
  <c r="P89" i="52"/>
  <c r="AI89" i="52" s="1"/>
  <c r="AH250" i="52"/>
  <c r="P250" i="52"/>
  <c r="AI250" i="52" s="1"/>
  <c r="AH168" i="52"/>
  <c r="P168" i="52"/>
  <c r="AI168" i="52" s="1"/>
  <c r="AH84" i="52"/>
  <c r="P84" i="52"/>
  <c r="AI84" i="52" s="1"/>
  <c r="AH240" i="52"/>
  <c r="P240" i="52"/>
  <c r="AI240" i="52" s="1"/>
  <c r="AH270" i="52"/>
  <c r="P270" i="52"/>
  <c r="AI270" i="52" s="1"/>
  <c r="AH26" i="52"/>
  <c r="P26" i="52"/>
  <c r="AI26" i="52" s="1"/>
  <c r="AH292" i="52"/>
  <c r="P292" i="52"/>
  <c r="AI292" i="52" s="1"/>
  <c r="AH255" i="52"/>
  <c r="P255" i="52"/>
  <c r="AI255" i="52" s="1"/>
  <c r="AH109" i="52"/>
  <c r="P109" i="52"/>
  <c r="AI109" i="52" s="1"/>
  <c r="AH63" i="52"/>
  <c r="P63" i="52"/>
  <c r="AI63" i="52" s="1"/>
  <c r="AH141" i="52"/>
  <c r="P141" i="52"/>
  <c r="AI141" i="52" s="1"/>
  <c r="AH155" i="52"/>
  <c r="P155" i="52"/>
  <c r="AI155" i="52" s="1"/>
  <c r="AH121" i="52"/>
  <c r="P121" i="52"/>
  <c r="AI121" i="52" s="1"/>
  <c r="AH116" i="52"/>
  <c r="P116" i="52"/>
  <c r="AI116" i="52" s="1"/>
  <c r="AH18" i="52"/>
  <c r="P18" i="52"/>
  <c r="AI18" i="52" s="1"/>
  <c r="AH176" i="52"/>
  <c r="P176" i="52"/>
  <c r="AI176" i="52" s="1"/>
  <c r="AH108" i="52"/>
  <c r="P108" i="52"/>
  <c r="AI108" i="52" s="1"/>
  <c r="AH66" i="52"/>
  <c r="P66" i="52"/>
  <c r="AI66" i="52" s="1"/>
  <c r="AH284" i="52"/>
  <c r="P284" i="52"/>
  <c r="AI284" i="52" s="1"/>
  <c r="AH157" i="52"/>
  <c r="P157" i="52"/>
  <c r="AI157" i="52" s="1"/>
  <c r="AH169" i="52"/>
  <c r="P169" i="52"/>
  <c r="AI169" i="52" s="1"/>
  <c r="AH104" i="52"/>
  <c r="P104" i="52"/>
  <c r="AI104" i="52" s="1"/>
  <c r="AH150" i="52"/>
  <c r="P150" i="52"/>
  <c r="AI150" i="52" s="1"/>
  <c r="AH256" i="52"/>
  <c r="P256" i="52"/>
  <c r="AI256" i="52" s="1"/>
  <c r="AH107" i="52"/>
  <c r="P107" i="52"/>
  <c r="AI107" i="52" s="1"/>
  <c r="AH101" i="52"/>
  <c r="P101" i="52"/>
  <c r="AI101" i="52" s="1"/>
  <c r="AH206" i="52"/>
  <c r="P206" i="52"/>
  <c r="AI206" i="52" s="1"/>
  <c r="AH254" i="52"/>
  <c r="P254" i="52"/>
  <c r="AI254" i="52" s="1"/>
  <c r="AH274" i="52"/>
  <c r="P274" i="52"/>
  <c r="AI274" i="52" s="1"/>
  <c r="AH244" i="52"/>
  <c r="P244" i="52"/>
  <c r="AI244" i="52" s="1"/>
  <c r="AH226" i="52"/>
  <c r="P226" i="52"/>
  <c r="AI226" i="52" s="1"/>
  <c r="AH262" i="52"/>
  <c r="P262" i="52"/>
  <c r="AI262" i="52" s="1"/>
  <c r="AH186" i="52"/>
  <c r="P186" i="52"/>
  <c r="AI186" i="52" s="1"/>
  <c r="AH204" i="52"/>
  <c r="P204" i="52"/>
  <c r="AI204" i="52" s="1"/>
  <c r="AH296" i="52"/>
  <c r="P296" i="52"/>
  <c r="AI296" i="52" s="1"/>
  <c r="AH72" i="52"/>
  <c r="P72" i="52"/>
  <c r="AI72" i="52" s="1"/>
  <c r="AH126" i="52"/>
  <c r="P126" i="52"/>
  <c r="AI126" i="52" s="1"/>
  <c r="AH127" i="52"/>
  <c r="P127" i="52"/>
  <c r="AI127" i="52" s="1"/>
  <c r="AH190" i="52"/>
  <c r="P190" i="52"/>
  <c r="AI190" i="52" s="1"/>
  <c r="AH20" i="52"/>
  <c r="P20" i="52"/>
  <c r="AI20" i="52" s="1"/>
  <c r="AH59" i="52"/>
  <c r="P59" i="52"/>
  <c r="AI59" i="52" s="1"/>
  <c r="AH106" i="52"/>
  <c r="P106" i="52"/>
  <c r="AI106" i="52" s="1"/>
  <c r="AH113" i="52"/>
  <c r="P113" i="52"/>
  <c r="AI113" i="52" s="1"/>
  <c r="AH251" i="52"/>
  <c r="P251" i="52"/>
  <c r="AI251" i="52" s="1"/>
  <c r="AH232" i="52"/>
  <c r="P232" i="52"/>
  <c r="AI232" i="52" s="1"/>
  <c r="AH175" i="52"/>
  <c r="P175" i="52"/>
  <c r="AI175" i="52" s="1"/>
  <c r="AH272" i="52"/>
  <c r="P272" i="52"/>
  <c r="AI272" i="52" s="1"/>
  <c r="AH253" i="52"/>
  <c r="P253" i="52"/>
  <c r="AI253" i="52" s="1"/>
  <c r="AH172" i="52"/>
  <c r="P172" i="52"/>
  <c r="AI172" i="52" s="1"/>
  <c r="AH39" i="52"/>
  <c r="P39" i="52"/>
  <c r="AI39" i="52" s="1"/>
  <c r="AH279" i="52"/>
  <c r="P279" i="52"/>
  <c r="AI279" i="52" s="1"/>
  <c r="AH70" i="52"/>
  <c r="P70" i="52"/>
  <c r="AI70" i="52" s="1"/>
  <c r="AH42" i="52"/>
  <c r="P42" i="52"/>
  <c r="AI42" i="52" s="1"/>
  <c r="AH110" i="52"/>
  <c r="P110" i="52"/>
  <c r="AI110" i="52" s="1"/>
  <c r="AH119" i="52"/>
  <c r="P119" i="52"/>
  <c r="AI119" i="52" s="1"/>
  <c r="AH114" i="52"/>
  <c r="P114" i="52"/>
  <c r="AI114" i="52" s="1"/>
  <c r="AH52" i="52"/>
  <c r="P52" i="52"/>
  <c r="AI52" i="52" s="1"/>
  <c r="AH16" i="52"/>
  <c r="P16" i="52"/>
  <c r="AI16" i="52" s="1"/>
  <c r="AH282" i="52"/>
  <c r="P282" i="52"/>
  <c r="AI282" i="52" s="1"/>
  <c r="AH191" i="52"/>
  <c r="P191" i="52"/>
  <c r="AI191" i="52" s="1"/>
  <c r="AH211" i="52"/>
  <c r="P211" i="52"/>
  <c r="AI211" i="52" s="1"/>
  <c r="AH275" i="52"/>
  <c r="P275" i="52"/>
  <c r="AI275" i="52" s="1"/>
  <c r="AH118" i="52"/>
  <c r="P118" i="52"/>
  <c r="AI118" i="52" s="1"/>
  <c r="AH29" i="52"/>
  <c r="P29" i="52"/>
  <c r="AI29" i="52" s="1"/>
  <c r="AH178" i="52"/>
  <c r="P178" i="52"/>
  <c r="AI178" i="52" s="1"/>
  <c r="AH58" i="52"/>
  <c r="P58" i="52"/>
  <c r="AI58" i="52" s="1"/>
  <c r="AH144" i="52"/>
  <c r="P144" i="52"/>
  <c r="AI144" i="52" s="1"/>
  <c r="AH98" i="52"/>
  <c r="P98" i="52"/>
  <c r="AI98" i="52" s="1"/>
  <c r="AH71" i="52"/>
  <c r="P71" i="52"/>
  <c r="AI71" i="52" s="1"/>
  <c r="AH294" i="52"/>
  <c r="P294" i="52"/>
  <c r="AI294" i="52" s="1"/>
  <c r="AH47" i="52"/>
  <c r="P47" i="52"/>
  <c r="AI47" i="52" s="1"/>
  <c r="AH112" i="52"/>
  <c r="P112" i="52"/>
  <c r="AI112" i="52" s="1"/>
  <c r="AH136" i="52"/>
  <c r="P136" i="52"/>
  <c r="AI136" i="52" s="1"/>
  <c r="AH105" i="52"/>
  <c r="P105" i="52"/>
  <c r="AI105" i="52" s="1"/>
  <c r="AH92" i="52"/>
  <c r="P92" i="52"/>
  <c r="AI92" i="52" s="1"/>
  <c r="AH302" i="52"/>
  <c r="P302" i="52"/>
  <c r="AI302" i="52" s="1"/>
  <c r="AH37" i="52"/>
  <c r="P37" i="52"/>
  <c r="AI37" i="52" s="1"/>
  <c r="AH235" i="52"/>
  <c r="P235" i="52"/>
  <c r="AI235" i="52" s="1"/>
  <c r="AH214" i="52"/>
  <c r="P214" i="52"/>
  <c r="AI214" i="52" s="1"/>
  <c r="AH86" i="52"/>
  <c r="P86" i="52"/>
  <c r="AI86" i="52" s="1"/>
  <c r="AH170" i="52"/>
  <c r="P170" i="52"/>
  <c r="AI170" i="52" s="1"/>
  <c r="AH195" i="52"/>
  <c r="P195" i="52"/>
  <c r="AI195" i="52" s="1"/>
  <c r="AH53" i="52"/>
  <c r="P53" i="52"/>
  <c r="AI53" i="52" s="1"/>
  <c r="AH34" i="52"/>
  <c r="P34" i="52"/>
  <c r="AI34" i="52" s="1"/>
  <c r="AH249" i="52"/>
  <c r="P249" i="52"/>
  <c r="AI249" i="52" s="1"/>
  <c r="AH287" i="52"/>
  <c r="P287" i="52"/>
  <c r="AI287" i="52" s="1"/>
  <c r="AH258" i="52"/>
  <c r="P258" i="52"/>
  <c r="AI258" i="52" s="1"/>
  <c r="AH182" i="52"/>
  <c r="P182" i="52"/>
  <c r="AI182" i="52" s="1"/>
  <c r="AH152" i="52"/>
  <c r="P152" i="52"/>
  <c r="AI152" i="52" s="1"/>
  <c r="AH25" i="52"/>
  <c r="P25" i="52"/>
  <c r="AI25" i="52" s="1"/>
  <c r="AH54" i="52"/>
  <c r="P54" i="52"/>
  <c r="AI54" i="52" s="1"/>
  <c r="AH173" i="52"/>
  <c r="P173" i="52"/>
  <c r="AI173" i="52" s="1"/>
  <c r="AH46" i="52"/>
  <c r="P46" i="52"/>
  <c r="AI46" i="52" s="1"/>
  <c r="AH266" i="52"/>
  <c r="P266" i="52"/>
  <c r="AI266" i="52" s="1"/>
  <c r="AH162" i="52"/>
  <c r="P162" i="52"/>
  <c r="AI162" i="52" s="1"/>
  <c r="AH62" i="52"/>
  <c r="P62" i="52"/>
  <c r="AI62" i="52" s="1"/>
  <c r="AH304" i="52"/>
  <c r="P304" i="52"/>
  <c r="AI304" i="52" s="1"/>
  <c r="AH194" i="52"/>
  <c r="P194" i="52"/>
  <c r="AI194" i="52" s="1"/>
  <c r="AH213" i="52"/>
  <c r="P213" i="52"/>
  <c r="AI213" i="52" s="1"/>
  <c r="AH57" i="52"/>
  <c r="P57" i="52"/>
  <c r="AI57" i="52" s="1"/>
  <c r="AH229" i="52"/>
  <c r="P229" i="52"/>
  <c r="AI229" i="52" s="1"/>
  <c r="AH181" i="52"/>
  <c r="P181" i="52"/>
  <c r="AI181" i="52" s="1"/>
  <c r="AH199" i="52"/>
  <c r="P199" i="52"/>
  <c r="AI199" i="52" s="1"/>
  <c r="AH21" i="52"/>
  <c r="P21" i="52"/>
  <c r="AI21" i="52" s="1"/>
  <c r="AH43" i="52"/>
  <c r="P43" i="52"/>
  <c r="AI43" i="52" s="1"/>
  <c r="AH280" i="52"/>
  <c r="P280" i="52"/>
  <c r="AI280" i="52" s="1"/>
  <c r="AH44" i="52"/>
  <c r="P44" i="52"/>
  <c r="AI44" i="52" s="1"/>
  <c r="AH179" i="52"/>
  <c r="P179" i="52"/>
  <c r="AI179" i="52" s="1"/>
  <c r="AH215" i="52"/>
  <c r="P215" i="52"/>
  <c r="AI215" i="52" s="1"/>
  <c r="AH248" i="52"/>
  <c r="P248" i="52"/>
  <c r="AI248" i="52" s="1"/>
  <c r="AH33" i="52"/>
  <c r="P33" i="52"/>
  <c r="AI33" i="52" s="1"/>
  <c r="AH222" i="52"/>
  <c r="P222" i="52"/>
  <c r="AI222" i="52" s="1"/>
  <c r="AH38" i="52"/>
  <c r="P38" i="52"/>
  <c r="AI38" i="52" s="1"/>
  <c r="AH288" i="52"/>
  <c r="P288" i="52"/>
  <c r="AI288" i="52" s="1"/>
  <c r="AH132" i="52"/>
  <c r="P132" i="52"/>
  <c r="AI132" i="52" s="1"/>
  <c r="AH61" i="52"/>
  <c r="P61" i="52"/>
  <c r="AI61" i="52" s="1"/>
  <c r="AH198" i="52"/>
  <c r="P198" i="52"/>
  <c r="AI198" i="52" s="1"/>
  <c r="AH85" i="52"/>
  <c r="P85" i="52"/>
  <c r="AI85" i="52" s="1"/>
  <c r="AH145" i="52"/>
  <c r="P145" i="52"/>
  <c r="AI145" i="52" s="1"/>
  <c r="AH146" i="52"/>
  <c r="P146" i="52"/>
  <c r="AI146" i="52" s="1"/>
  <c r="AH75" i="52"/>
  <c r="P75" i="52"/>
  <c r="AI75" i="52" s="1"/>
  <c r="AH148" i="52"/>
  <c r="P148" i="52"/>
  <c r="AI148" i="52" s="1"/>
  <c r="AH151" i="52"/>
  <c r="P151" i="52"/>
  <c r="AI151" i="52" s="1"/>
  <c r="AH257" i="52"/>
  <c r="P257" i="52"/>
  <c r="AI257" i="52" s="1"/>
  <c r="AH268" i="52"/>
  <c r="P268" i="52"/>
  <c r="AI268" i="52" s="1"/>
  <c r="AH200" i="52"/>
  <c r="P200" i="52"/>
  <c r="AI200" i="52" s="1"/>
  <c r="AH276" i="52"/>
  <c r="P276" i="52"/>
  <c r="AI276" i="52" s="1"/>
  <c r="AH35" i="52"/>
  <c r="P35" i="52"/>
  <c r="AI35" i="52" s="1"/>
  <c r="AH227" i="52"/>
  <c r="P227" i="52"/>
  <c r="AI227" i="52" s="1"/>
  <c r="AH171" i="52"/>
  <c r="P171" i="52"/>
  <c r="AI171" i="52" s="1"/>
  <c r="AH115" i="52"/>
  <c r="P115" i="52"/>
  <c r="AI115" i="52" s="1"/>
  <c r="AH28" i="52"/>
  <c r="P28" i="52"/>
  <c r="AI28" i="52" s="1"/>
  <c r="AH203" i="52"/>
  <c r="P203" i="52"/>
  <c r="AI203" i="52" s="1"/>
  <c r="AH207" i="52"/>
  <c r="P207" i="52"/>
  <c r="AI207" i="52" s="1"/>
  <c r="AH216" i="52"/>
  <c r="P216" i="52"/>
  <c r="AI216" i="52" s="1"/>
  <c r="AH291" i="52"/>
  <c r="P291" i="52"/>
  <c r="AI291" i="52" s="1"/>
  <c r="AH49" i="52"/>
  <c r="P49" i="52"/>
  <c r="AI49" i="52" s="1"/>
  <c r="O13" i="52"/>
  <c r="AF13" i="52"/>
  <c r="AG38" i="52"/>
  <c r="AG105" i="52"/>
  <c r="AG235" i="52"/>
  <c r="AG53" i="52"/>
  <c r="AG182" i="52"/>
  <c r="AG150" i="52"/>
  <c r="AG226" i="52"/>
  <c r="AG126" i="52"/>
  <c r="AG124" i="52"/>
  <c r="AG32" i="52"/>
  <c r="AG112" i="52"/>
  <c r="AG170" i="52"/>
  <c r="AG287" i="52"/>
  <c r="AG54" i="52"/>
  <c r="AG256" i="52"/>
  <c r="AG244" i="52"/>
  <c r="AG296" i="52"/>
  <c r="AG166" i="52"/>
  <c r="AG31" i="52"/>
  <c r="AG94" i="52"/>
  <c r="AG174" i="52"/>
  <c r="AG60" i="52"/>
  <c r="AG222" i="52"/>
  <c r="AG136" i="52"/>
  <c r="AG214" i="52"/>
  <c r="AG34" i="52"/>
  <c r="AG152" i="52"/>
  <c r="AG206" i="52"/>
  <c r="AG262" i="52"/>
  <c r="AG283" i="52"/>
  <c r="AG217" i="52"/>
  <c r="AG139" i="52"/>
  <c r="AG261" i="52"/>
  <c r="AG103" i="52"/>
  <c r="AG212" i="52"/>
  <c r="AG138" i="52"/>
  <c r="AG196" i="52"/>
  <c r="AG27" i="52"/>
  <c r="AG228" i="52"/>
  <c r="AG259" i="52"/>
  <c r="AG242" i="52"/>
  <c r="AG69" i="52"/>
  <c r="AG131" i="52"/>
  <c r="AG293" i="52"/>
  <c r="AG76" i="52"/>
  <c r="AG225" i="52"/>
  <c r="AG201" i="52"/>
  <c r="AG130" i="52"/>
  <c r="AG286" i="52"/>
  <c r="AG234" i="52"/>
  <c r="AG183" i="52"/>
  <c r="AG142" i="52"/>
  <c r="AG160" i="52"/>
  <c r="AG41" i="52"/>
  <c r="AG188" i="52"/>
  <c r="AG158" i="52"/>
  <c r="AG173" i="52"/>
  <c r="AG46" i="52"/>
  <c r="AG266" i="52"/>
  <c r="AG162" i="52"/>
  <c r="AG62" i="52"/>
  <c r="AG304" i="52"/>
  <c r="AG194" i="52"/>
  <c r="AG213" i="52"/>
  <c r="AG57" i="52"/>
  <c r="AG229" i="52"/>
  <c r="AG181" i="52"/>
  <c r="AG199" i="52"/>
  <c r="AG21" i="52"/>
  <c r="AG43" i="52"/>
  <c r="AG280" i="52"/>
  <c r="AG44" i="52"/>
  <c r="AG106" i="52"/>
  <c r="AG113" i="52"/>
  <c r="AG251" i="52"/>
  <c r="AG232" i="52"/>
  <c r="AG175" i="52"/>
  <c r="AG272" i="52"/>
  <c r="AG253" i="52"/>
  <c r="AG172" i="52"/>
  <c r="AG39" i="52"/>
  <c r="AG279" i="52"/>
  <c r="AG70" i="52"/>
  <c r="AG42" i="52"/>
  <c r="AG110" i="52"/>
  <c r="AG119" i="52"/>
  <c r="AG238" i="52"/>
  <c r="AG299" i="52"/>
  <c r="AG100" i="52"/>
  <c r="AG68" i="52"/>
  <c r="AG180" i="52"/>
  <c r="AG78" i="52"/>
  <c r="AG96" i="52"/>
  <c r="AG89" i="52"/>
  <c r="AG250" i="52"/>
  <c r="AG168" i="52"/>
  <c r="AG84" i="52"/>
  <c r="AG47" i="52"/>
  <c r="AG86" i="52"/>
  <c r="AG25" i="52"/>
  <c r="AG101" i="52"/>
  <c r="AG186" i="52"/>
  <c r="AG187" i="52"/>
  <c r="AG74" i="52"/>
  <c r="AG50" i="52"/>
  <c r="AG289" i="52"/>
  <c r="AG88" i="52"/>
  <c r="AG92" i="52"/>
  <c r="AG249" i="52"/>
  <c r="AG254" i="52"/>
  <c r="AG189" i="52"/>
  <c r="AG306" i="52"/>
  <c r="AG23" i="52"/>
  <c r="N13" i="52"/>
  <c r="AG252" i="52"/>
  <c r="AG144" i="52"/>
  <c r="AG127" i="52"/>
  <c r="AG179" i="52"/>
  <c r="AG298" i="52"/>
  <c r="AG240" i="52"/>
  <c r="AG156" i="52"/>
  <c r="AG192" i="52"/>
  <c r="AG215" i="52"/>
  <c r="AG270" i="52"/>
  <c r="AG190" i="52"/>
  <c r="AG98" i="52"/>
  <c r="AG210" i="52"/>
  <c r="AG246" i="52"/>
  <c r="AG197" i="52"/>
  <c r="AG220" i="52"/>
  <c r="AG218" i="52"/>
  <c r="AG123" i="52"/>
  <c r="AG143" i="52"/>
  <c r="AG73" i="52"/>
  <c r="AG140" i="52"/>
  <c r="AG30" i="52"/>
  <c r="AG80" i="52"/>
  <c r="AG231" i="52"/>
  <c r="AG56" i="52"/>
  <c r="AG67" i="52"/>
  <c r="AG303" i="52"/>
  <c r="AG22" i="52"/>
  <c r="AG93" i="52"/>
  <c r="AG267" i="52"/>
  <c r="AG273" i="52"/>
  <c r="AG307" i="52"/>
  <c r="AG40" i="52"/>
  <c r="AG137" i="52"/>
  <c r="AG247" i="52"/>
  <c r="AG224" i="52"/>
  <c r="AG300" i="52"/>
  <c r="AG219" i="52"/>
  <c r="AG19" i="52"/>
  <c r="AG288" i="52"/>
  <c r="AG132" i="52"/>
  <c r="AG61" i="52"/>
  <c r="AG198" i="52"/>
  <c r="AG85" i="52"/>
  <c r="AG145" i="52"/>
  <c r="AG146" i="52"/>
  <c r="AG75" i="52"/>
  <c r="AG148" i="52"/>
  <c r="AG151" i="52"/>
  <c r="AG257" i="52"/>
  <c r="AG268" i="52"/>
  <c r="AG200" i="52"/>
  <c r="AG114" i="52"/>
  <c r="AG52" i="52"/>
  <c r="AG16" i="52"/>
  <c r="AG282" i="52"/>
  <c r="AG191" i="52"/>
  <c r="AG211" i="52"/>
  <c r="AG275" i="52"/>
  <c r="AG118" i="52"/>
  <c r="AG29" i="52"/>
  <c r="AG178" i="52"/>
  <c r="AG58" i="52"/>
  <c r="AG37" i="52"/>
  <c r="AG72" i="52"/>
  <c r="AG302" i="52"/>
  <c r="AG195" i="52"/>
  <c r="AG258" i="52"/>
  <c r="AG107" i="52"/>
  <c r="AG274" i="52"/>
  <c r="AG204" i="52"/>
  <c r="AG260" i="52"/>
  <c r="AG236" i="52"/>
  <c r="AG285" i="52"/>
  <c r="AG230" i="52"/>
  <c r="AG264" i="52"/>
  <c r="AG20" i="52"/>
  <c r="AG248" i="52"/>
  <c r="AG71" i="52"/>
  <c r="AG26" i="52"/>
  <c r="AG59" i="52"/>
  <c r="AG33" i="52"/>
  <c r="AG294" i="52"/>
  <c r="AG292" i="52"/>
  <c r="AG255" i="52"/>
  <c r="AG109" i="52"/>
  <c r="AG63" i="52"/>
  <c r="AG141" i="52"/>
  <c r="AG155" i="52"/>
  <c r="AG121" i="52"/>
  <c r="AG116" i="52"/>
  <c r="AG18" i="52"/>
  <c r="AG176" i="52"/>
  <c r="AG108" i="52"/>
  <c r="AG66" i="52"/>
  <c r="AG284" i="52"/>
  <c r="AG157" i="52"/>
  <c r="AG169" i="52"/>
  <c r="AG104" i="52"/>
  <c r="AG154" i="52"/>
  <c r="AG24" i="52"/>
  <c r="AG134" i="52"/>
  <c r="AG202" i="52"/>
  <c r="AG290" i="52"/>
  <c r="AG82" i="52"/>
  <c r="AG184" i="52"/>
  <c r="AG271" i="52"/>
  <c r="AG79" i="52"/>
  <c r="AG243" i="52"/>
  <c r="AG135" i="52"/>
  <c r="AG125" i="52"/>
  <c r="AG122" i="52"/>
  <c r="AG17" i="52"/>
  <c r="AG102" i="52"/>
  <c r="AG90" i="52"/>
  <c r="AG36" i="52"/>
  <c r="AG120" i="52"/>
  <c r="AG45" i="52"/>
  <c r="AG208" i="52"/>
  <c r="AG278" i="52"/>
  <c r="AG163" i="52"/>
  <c r="AG147" i="52"/>
  <c r="AG205" i="52"/>
  <c r="AG177" i="52"/>
  <c r="AG164" i="52"/>
  <c r="AG239" i="52"/>
  <c r="AG277" i="52"/>
  <c r="AG83" i="52"/>
  <c r="AG276" i="52"/>
  <c r="AG35" i="52"/>
  <c r="AG227" i="52"/>
  <c r="AG171" i="52"/>
  <c r="AG115" i="52"/>
  <c r="AG28" i="52"/>
  <c r="AG203" i="52"/>
  <c r="AG207" i="52"/>
  <c r="AG216" i="52"/>
  <c r="AG291" i="52"/>
  <c r="AG49" i="52"/>
  <c r="P13" i="52" l="1"/>
  <c r="AH13" i="52"/>
  <c r="W33" i="60"/>
  <c r="AG13" i="52"/>
  <c r="AI13" i="52" l="1"/>
  <c r="X33" i="60"/>
  <c r="L33" i="60" s="1"/>
  <c r="K33" i="60"/>
  <c r="G13" i="48"/>
  <c r="F13" i="48"/>
  <c r="E13" i="48"/>
  <c r="X13" i="48" s="1"/>
  <c r="D13" i="48"/>
  <c r="C13" i="48"/>
  <c r="V13" i="48" s="1"/>
  <c r="AA307" i="48"/>
  <c r="AL307" i="54" s="1"/>
  <c r="AA306" i="48"/>
  <c r="AL306" i="54" s="1"/>
  <c r="AA305" i="48"/>
  <c r="AL305" i="54" s="1"/>
  <c r="AA304" i="48"/>
  <c r="AL304" i="54" s="1"/>
  <c r="AA303" i="48"/>
  <c r="AL303" i="54" s="1"/>
  <c r="AA301" i="48"/>
  <c r="AL301" i="54" s="1"/>
  <c r="AA300" i="48"/>
  <c r="AL300" i="54" s="1"/>
  <c r="AA299" i="48"/>
  <c r="AL299" i="54" s="1"/>
  <c r="AA298" i="48"/>
  <c r="AL298" i="54" s="1"/>
  <c r="AA297" i="48"/>
  <c r="AL297" i="54" s="1"/>
  <c r="AA296" i="48"/>
  <c r="AL296" i="54" s="1"/>
  <c r="AA295" i="48"/>
  <c r="AL295" i="54" s="1"/>
  <c r="AA294" i="48"/>
  <c r="AL294" i="54" s="1"/>
  <c r="AA293" i="48"/>
  <c r="AL293" i="54" s="1"/>
  <c r="AA292" i="48"/>
  <c r="AL292" i="54" s="1"/>
  <c r="AA291" i="48"/>
  <c r="AL291" i="54" s="1"/>
  <c r="AA290" i="48"/>
  <c r="AL290" i="54" s="1"/>
  <c r="AA288" i="48"/>
  <c r="AL288" i="54" s="1"/>
  <c r="AA287" i="48"/>
  <c r="AL287" i="54" s="1"/>
  <c r="AA286" i="48"/>
  <c r="AL286" i="54" s="1"/>
  <c r="AA285" i="48"/>
  <c r="AL285" i="54" s="1"/>
  <c r="AA284" i="48"/>
  <c r="AL284" i="54" s="1"/>
  <c r="AA283" i="48"/>
  <c r="AL283" i="54" s="1"/>
  <c r="AA282" i="48"/>
  <c r="AL282" i="54" s="1"/>
  <c r="AA281" i="48"/>
  <c r="AL281" i="54" s="1"/>
  <c r="AA280" i="48"/>
  <c r="AL280" i="54" s="1"/>
  <c r="AA279" i="48"/>
  <c r="AL279" i="54" s="1"/>
  <c r="AA278" i="48"/>
  <c r="AL278" i="54" s="1"/>
  <c r="AA277" i="48"/>
  <c r="AL277" i="54" s="1"/>
  <c r="AA276" i="48"/>
  <c r="AL276" i="54" s="1"/>
  <c r="AA275" i="48"/>
  <c r="AL275" i="54" s="1"/>
  <c r="AA274" i="48"/>
  <c r="AL274" i="54" s="1"/>
  <c r="AA273" i="48"/>
  <c r="AL273" i="54" s="1"/>
  <c r="AA272" i="48"/>
  <c r="AL272" i="54" s="1"/>
  <c r="AA271" i="48"/>
  <c r="AL271" i="54" s="1"/>
  <c r="AA270" i="48"/>
  <c r="AL270" i="54" s="1"/>
  <c r="AA269" i="48"/>
  <c r="AL269" i="54" s="1"/>
  <c r="AA268" i="48"/>
  <c r="AL268" i="54" s="1"/>
  <c r="AA267" i="48"/>
  <c r="AL267" i="54" s="1"/>
  <c r="AA266" i="48"/>
  <c r="AL266" i="54" s="1"/>
  <c r="AA265" i="48"/>
  <c r="AL265" i="54" s="1"/>
  <c r="AA264" i="48"/>
  <c r="AL264" i="54" s="1"/>
  <c r="AA262" i="48"/>
  <c r="AL262" i="54" s="1"/>
  <c r="AA261" i="48"/>
  <c r="AL261" i="54" s="1"/>
  <c r="AA260" i="48"/>
  <c r="AL260" i="54" s="1"/>
  <c r="AA259" i="48"/>
  <c r="AL259" i="54" s="1"/>
  <c r="AA258" i="48"/>
  <c r="AL258" i="54" s="1"/>
  <c r="AA257" i="48"/>
  <c r="AL257" i="54" s="1"/>
  <c r="AA256" i="48"/>
  <c r="AL256" i="54" s="1"/>
  <c r="AA255" i="48"/>
  <c r="AL255" i="54" s="1"/>
  <c r="AA254" i="48"/>
  <c r="AL254" i="54" s="1"/>
  <c r="AA253" i="48"/>
  <c r="AL253" i="54" s="1"/>
  <c r="AA252" i="48"/>
  <c r="AL252" i="54" s="1"/>
  <c r="AA251" i="48"/>
  <c r="AL251" i="54" s="1"/>
  <c r="AA250" i="48"/>
  <c r="AL250" i="54" s="1"/>
  <c r="AA249" i="48"/>
  <c r="AL249" i="54" s="1"/>
  <c r="AA248" i="48"/>
  <c r="AL248" i="54" s="1"/>
  <c r="AA247" i="48"/>
  <c r="AL247" i="54" s="1"/>
  <c r="AA246" i="48"/>
  <c r="AL246" i="54" s="1"/>
  <c r="AA245" i="48"/>
  <c r="AL245" i="54" s="1"/>
  <c r="AA244" i="48"/>
  <c r="AL244" i="54" s="1"/>
  <c r="AA243" i="48"/>
  <c r="AL243" i="54" s="1"/>
  <c r="AA242" i="48"/>
  <c r="AL242" i="54" s="1"/>
  <c r="AA241" i="48"/>
  <c r="AL241" i="54" s="1"/>
  <c r="AA240" i="48"/>
  <c r="AL240" i="54" s="1"/>
  <c r="AA239" i="48"/>
  <c r="AL239" i="54" s="1"/>
  <c r="AA237" i="48"/>
  <c r="AL237" i="54" s="1"/>
  <c r="AA236" i="48"/>
  <c r="AL236" i="54" s="1"/>
  <c r="AA235" i="48"/>
  <c r="AL235" i="54" s="1"/>
  <c r="AA234" i="48"/>
  <c r="AL234" i="54" s="1"/>
  <c r="AA233" i="48"/>
  <c r="AL233" i="54" s="1"/>
  <c r="AA232" i="48"/>
  <c r="AL232" i="54" s="1"/>
  <c r="AA231" i="48"/>
  <c r="AL231" i="54" s="1"/>
  <c r="AA230" i="48"/>
  <c r="AL230" i="54" s="1"/>
  <c r="AA229" i="48"/>
  <c r="AL229" i="54" s="1"/>
  <c r="AA228" i="48"/>
  <c r="AL228" i="54" s="1"/>
  <c r="AA227" i="48"/>
  <c r="AL227" i="54" s="1"/>
  <c r="AA226" i="48"/>
  <c r="AL226" i="54" s="1"/>
  <c r="AA225" i="48"/>
  <c r="AL225" i="54" s="1"/>
  <c r="AA224" i="48"/>
  <c r="AL224" i="54" s="1"/>
  <c r="AA222" i="48"/>
  <c r="AL222" i="54" s="1"/>
  <c r="AA221" i="48"/>
  <c r="AL221" i="54" s="1"/>
  <c r="AA220" i="48"/>
  <c r="AL220" i="54" s="1"/>
  <c r="AA219" i="48"/>
  <c r="AL219" i="54" s="1"/>
  <c r="AA218" i="48"/>
  <c r="AL218" i="54" s="1"/>
  <c r="AA217" i="48"/>
  <c r="AL217" i="54" s="1"/>
  <c r="AA216" i="48"/>
  <c r="AL216" i="54" s="1"/>
  <c r="AA215" i="48"/>
  <c r="AL215" i="54" s="1"/>
  <c r="AA214" i="48"/>
  <c r="AL214" i="54" s="1"/>
  <c r="AA213" i="48"/>
  <c r="AL213" i="54" s="1"/>
  <c r="AA212" i="48"/>
  <c r="AL212" i="54" s="1"/>
  <c r="AA211" i="48"/>
  <c r="AL211" i="54" s="1"/>
  <c r="AA210" i="48"/>
  <c r="AL210" i="54" s="1"/>
  <c r="AA209" i="48"/>
  <c r="AL209" i="54" s="1"/>
  <c r="AA208" i="48"/>
  <c r="AL208" i="54" s="1"/>
  <c r="AA207" i="48"/>
  <c r="AL207" i="54" s="1"/>
  <c r="AA206" i="48"/>
  <c r="AL206" i="54" s="1"/>
  <c r="AA205" i="48"/>
  <c r="AL205" i="54" s="1"/>
  <c r="AA204" i="48"/>
  <c r="AL204" i="54" s="1"/>
  <c r="AA203" i="48"/>
  <c r="AL203" i="54" s="1"/>
  <c r="AA202" i="48"/>
  <c r="AL202" i="54" s="1"/>
  <c r="AA201" i="48"/>
  <c r="AL201" i="54" s="1"/>
  <c r="AA200" i="48"/>
  <c r="AL200" i="54" s="1"/>
  <c r="AA199" i="48"/>
  <c r="AL199" i="54" s="1"/>
  <c r="AA198" i="48"/>
  <c r="AL198" i="54" s="1"/>
  <c r="AA197" i="48"/>
  <c r="AL197" i="54" s="1"/>
  <c r="AA196" i="48"/>
  <c r="AL196" i="54" s="1"/>
  <c r="AA195" i="48"/>
  <c r="AL195" i="54" s="1"/>
  <c r="AA194" i="48"/>
  <c r="AL194" i="54" s="1"/>
  <c r="AA193" i="48"/>
  <c r="AL193" i="54" s="1"/>
  <c r="AA192" i="48"/>
  <c r="AL192" i="54" s="1"/>
  <c r="AA191" i="48"/>
  <c r="AL191" i="54" s="1"/>
  <c r="AA190" i="48"/>
  <c r="AL190" i="54" s="1"/>
  <c r="AA189" i="48"/>
  <c r="AL189" i="54" s="1"/>
  <c r="AA188" i="48"/>
  <c r="AL188" i="54" s="1"/>
  <c r="AA187" i="48"/>
  <c r="AL187" i="54" s="1"/>
  <c r="AA186" i="48"/>
  <c r="AL186" i="54" s="1"/>
  <c r="AA185" i="48"/>
  <c r="AL185" i="54" s="1"/>
  <c r="AA184" i="48"/>
  <c r="AL184" i="54" s="1"/>
  <c r="AA183" i="48"/>
  <c r="AL183" i="54" s="1"/>
  <c r="AA182" i="48"/>
  <c r="AL182" i="54" s="1"/>
  <c r="AA181" i="48"/>
  <c r="AL181" i="54" s="1"/>
  <c r="AA180" i="48"/>
  <c r="AL180" i="54" s="1"/>
  <c r="AA179" i="48"/>
  <c r="AL179" i="54" s="1"/>
  <c r="AA178" i="48"/>
  <c r="AL178" i="54" s="1"/>
  <c r="AA177" i="48"/>
  <c r="AL177" i="54" s="1"/>
  <c r="AA176" i="48"/>
  <c r="AL176" i="54" s="1"/>
  <c r="AA175" i="48"/>
  <c r="AL175" i="54" s="1"/>
  <c r="AA174" i="48"/>
  <c r="AL174" i="54" s="1"/>
  <c r="AA173" i="48"/>
  <c r="AL173" i="54" s="1"/>
  <c r="AA172" i="48"/>
  <c r="AL172" i="54" s="1"/>
  <c r="AA171" i="48"/>
  <c r="AL171" i="54" s="1"/>
  <c r="AA170" i="48"/>
  <c r="AL170" i="54" s="1"/>
  <c r="AA169" i="48"/>
  <c r="AL169" i="54" s="1"/>
  <c r="AA168" i="48"/>
  <c r="AL168" i="54" s="1"/>
  <c r="AA167" i="48"/>
  <c r="AL167" i="54" s="1"/>
  <c r="AA166" i="48"/>
  <c r="AL166" i="54" s="1"/>
  <c r="AA165" i="48"/>
  <c r="AL165" i="54" s="1"/>
  <c r="AA164" i="48"/>
  <c r="AL164" i="54" s="1"/>
  <c r="AA163" i="48"/>
  <c r="AL163" i="54" s="1"/>
  <c r="AA162" i="48"/>
  <c r="AL162" i="54" s="1"/>
  <c r="AA161" i="48"/>
  <c r="AL161" i="54" s="1"/>
  <c r="AA160" i="48"/>
  <c r="AL160" i="54" s="1"/>
  <c r="AA159" i="48"/>
  <c r="AL159" i="54" s="1"/>
  <c r="AA158" i="48"/>
  <c r="AL158" i="54" s="1"/>
  <c r="AA157" i="48"/>
  <c r="AL157" i="54" s="1"/>
  <c r="AA156" i="48"/>
  <c r="AL156" i="54" s="1"/>
  <c r="AA155" i="48"/>
  <c r="AL155" i="54" s="1"/>
  <c r="AA154" i="48"/>
  <c r="AL154" i="54" s="1"/>
  <c r="AA153" i="48"/>
  <c r="AL153" i="54" s="1"/>
  <c r="AA152" i="48"/>
  <c r="AL152" i="54" s="1"/>
  <c r="AA151" i="48"/>
  <c r="AL151" i="54" s="1"/>
  <c r="AA150" i="48"/>
  <c r="AL150" i="54" s="1"/>
  <c r="AA149" i="48"/>
  <c r="AL149" i="54" s="1"/>
  <c r="AA148" i="48"/>
  <c r="AL148" i="54" s="1"/>
  <c r="AA147" i="48"/>
  <c r="AL147" i="54" s="1"/>
  <c r="AA146" i="48"/>
  <c r="AL146" i="54" s="1"/>
  <c r="AA144" i="48"/>
  <c r="AL144" i="54" s="1"/>
  <c r="AA143" i="48"/>
  <c r="AL143" i="54" s="1"/>
  <c r="AA142" i="48"/>
  <c r="AL142" i="54" s="1"/>
  <c r="AA140" i="48"/>
  <c r="AL140" i="54" s="1"/>
  <c r="AA139" i="48"/>
  <c r="AL139" i="54" s="1"/>
  <c r="AA138" i="48"/>
  <c r="AL138" i="54" s="1"/>
  <c r="AA137" i="48"/>
  <c r="AL137" i="54" s="1"/>
  <c r="AA136" i="48"/>
  <c r="AL136" i="54" s="1"/>
  <c r="AA135" i="48"/>
  <c r="AL135" i="54" s="1"/>
  <c r="AA134" i="48"/>
  <c r="AL134" i="54" s="1"/>
  <c r="AA133" i="48"/>
  <c r="AL133" i="54" s="1"/>
  <c r="AA132" i="48"/>
  <c r="AL132" i="54" s="1"/>
  <c r="AA131" i="48"/>
  <c r="AL131" i="54" s="1"/>
  <c r="AA130" i="48"/>
  <c r="AL130" i="54" s="1"/>
  <c r="AA129" i="48"/>
  <c r="AL129" i="54" s="1"/>
  <c r="AA128" i="48"/>
  <c r="AL128" i="54" s="1"/>
  <c r="AA127" i="48"/>
  <c r="AL127" i="54" s="1"/>
  <c r="AA126" i="48"/>
  <c r="AL126" i="54" s="1"/>
  <c r="AA124" i="48"/>
  <c r="AL124" i="54" s="1"/>
  <c r="AA123" i="48"/>
  <c r="AL123" i="54" s="1"/>
  <c r="AA122" i="48"/>
  <c r="AL122" i="54" s="1"/>
  <c r="AA121" i="48"/>
  <c r="AL121" i="54" s="1"/>
  <c r="AA120" i="48"/>
  <c r="AL120" i="54" s="1"/>
  <c r="AA119" i="48"/>
  <c r="AL119" i="54" s="1"/>
  <c r="AA118" i="48"/>
  <c r="AL118" i="54" s="1"/>
  <c r="AA117" i="48"/>
  <c r="AL117" i="54" s="1"/>
  <c r="AA116" i="48"/>
  <c r="AL116" i="54" s="1"/>
  <c r="AA115" i="48"/>
  <c r="AL115" i="54" s="1"/>
  <c r="AA114" i="48"/>
  <c r="AL114" i="54" s="1"/>
  <c r="AA113" i="48"/>
  <c r="AL113" i="54" s="1"/>
  <c r="AA112" i="48"/>
  <c r="AL112" i="54" s="1"/>
  <c r="AA111" i="48"/>
  <c r="AL111" i="54" s="1"/>
  <c r="AA110" i="48"/>
  <c r="AL110" i="54" s="1"/>
  <c r="AA109" i="48"/>
  <c r="AL109" i="54" s="1"/>
  <c r="AA108" i="48"/>
  <c r="AL108" i="54" s="1"/>
  <c r="AA107" i="48"/>
  <c r="AL107" i="54" s="1"/>
  <c r="AA106" i="48"/>
  <c r="AL106" i="54" s="1"/>
  <c r="AA105" i="48"/>
  <c r="AL105" i="54" s="1"/>
  <c r="AA104" i="48"/>
  <c r="AL104" i="54" s="1"/>
  <c r="AA103" i="48"/>
  <c r="AL103" i="54" s="1"/>
  <c r="AA101" i="48"/>
  <c r="AL101" i="54" s="1"/>
  <c r="AA100" i="48"/>
  <c r="AL100" i="54" s="1"/>
  <c r="AA99" i="48"/>
  <c r="AL99" i="54" s="1"/>
  <c r="AA98" i="48"/>
  <c r="AL98" i="54" s="1"/>
  <c r="AA97" i="48"/>
  <c r="AL97" i="54" s="1"/>
  <c r="AA96" i="48"/>
  <c r="AL96" i="54" s="1"/>
  <c r="AA95" i="48"/>
  <c r="AL95" i="54" s="1"/>
  <c r="AA94" i="48"/>
  <c r="AL94" i="54" s="1"/>
  <c r="AA93" i="48"/>
  <c r="AL93" i="54" s="1"/>
  <c r="AA92" i="48"/>
  <c r="AL92" i="54" s="1"/>
  <c r="AA91" i="48"/>
  <c r="AL91" i="54" s="1"/>
  <c r="AA90" i="48"/>
  <c r="AL90" i="54" s="1"/>
  <c r="AA89" i="48"/>
  <c r="AL89" i="54" s="1"/>
  <c r="AA88" i="48"/>
  <c r="AL88" i="54" s="1"/>
  <c r="AA87" i="48"/>
  <c r="AL87" i="54" s="1"/>
  <c r="AA86" i="48"/>
  <c r="AL86" i="54" s="1"/>
  <c r="AA85" i="48"/>
  <c r="AL85" i="54" s="1"/>
  <c r="AA84" i="48"/>
  <c r="AL84" i="54" s="1"/>
  <c r="AA82" i="48"/>
  <c r="AL82" i="54" s="1"/>
  <c r="AA81" i="48"/>
  <c r="AL81" i="54" s="1"/>
  <c r="AA80" i="48"/>
  <c r="AL80" i="54" s="1"/>
  <c r="AA79" i="48"/>
  <c r="AL79" i="54" s="1"/>
  <c r="AA78" i="48"/>
  <c r="AL78" i="54" s="1"/>
  <c r="AA77" i="48"/>
  <c r="AL77" i="54" s="1"/>
  <c r="AA76" i="48"/>
  <c r="AL76" i="54" s="1"/>
  <c r="AA75" i="48"/>
  <c r="AL75" i="54" s="1"/>
  <c r="AA74" i="48"/>
  <c r="AL74" i="54" s="1"/>
  <c r="AA73" i="48"/>
  <c r="AL73" i="54" s="1"/>
  <c r="AA72" i="48"/>
  <c r="AL72" i="54" s="1"/>
  <c r="AA71" i="48"/>
  <c r="AL71" i="54" s="1"/>
  <c r="AA70" i="48"/>
  <c r="AL70" i="54" s="1"/>
  <c r="AA69" i="48"/>
  <c r="AL69" i="54" s="1"/>
  <c r="AA67" i="48"/>
  <c r="AL67" i="54" s="1"/>
  <c r="AA66" i="48"/>
  <c r="AL66" i="54" s="1"/>
  <c r="AA65" i="48"/>
  <c r="AL65" i="54" s="1"/>
  <c r="AA64" i="48"/>
  <c r="AL64" i="54" s="1"/>
  <c r="AA63" i="48"/>
  <c r="AL63" i="54" s="1"/>
  <c r="AA62" i="48"/>
  <c r="AL62" i="54" s="1"/>
  <c r="AA61" i="48"/>
  <c r="AL61" i="54" s="1"/>
  <c r="AA60" i="48"/>
  <c r="AL60" i="54" s="1"/>
  <c r="AA59" i="48"/>
  <c r="AL59" i="54" s="1"/>
  <c r="AA58" i="48"/>
  <c r="AL58" i="54" s="1"/>
  <c r="AA57" i="48"/>
  <c r="AL57" i="54" s="1"/>
  <c r="AA56" i="48"/>
  <c r="AL56" i="54" s="1"/>
  <c r="AA55" i="48"/>
  <c r="AL55" i="54" s="1"/>
  <c r="AA54" i="48"/>
  <c r="AL54" i="54" s="1"/>
  <c r="AA53" i="48"/>
  <c r="AL53" i="54" s="1"/>
  <c r="AA52" i="48"/>
  <c r="AL52" i="54" s="1"/>
  <c r="AA51" i="48"/>
  <c r="AL51" i="54" s="1"/>
  <c r="AA50" i="48"/>
  <c r="AL50" i="54" s="1"/>
  <c r="AA49" i="48"/>
  <c r="AL49" i="54" s="1"/>
  <c r="AA48" i="48"/>
  <c r="AL48" i="54" s="1"/>
  <c r="AA47" i="48"/>
  <c r="AL47" i="54" s="1"/>
  <c r="AA46" i="48"/>
  <c r="AL46" i="54" s="1"/>
  <c r="AA45" i="48"/>
  <c r="AL45" i="54" s="1"/>
  <c r="AA44" i="48"/>
  <c r="AL44" i="54" s="1"/>
  <c r="AA43" i="48"/>
  <c r="AL43" i="54" s="1"/>
  <c r="AA42" i="48"/>
  <c r="AL42" i="54" s="1"/>
  <c r="AA41" i="48"/>
  <c r="AL41" i="54" s="1"/>
  <c r="AA40" i="48"/>
  <c r="AL40" i="54" s="1"/>
  <c r="AA39" i="48"/>
  <c r="AL39" i="54" s="1"/>
  <c r="AA38" i="48"/>
  <c r="AL38" i="54" s="1"/>
  <c r="AA37" i="48"/>
  <c r="AL37" i="54" s="1"/>
  <c r="AA36" i="48"/>
  <c r="AL36" i="54" s="1"/>
  <c r="AA35" i="48"/>
  <c r="AL35" i="54" s="1"/>
  <c r="AA34" i="48"/>
  <c r="AL34" i="54" s="1"/>
  <c r="AA33" i="48"/>
  <c r="AL33" i="54" s="1"/>
  <c r="AA32" i="48"/>
  <c r="AL32" i="54" s="1"/>
  <c r="AA31" i="48"/>
  <c r="AL31" i="54" s="1"/>
  <c r="AA29" i="48"/>
  <c r="AL29" i="54" s="1"/>
  <c r="AA28" i="48"/>
  <c r="AL28" i="54" s="1"/>
  <c r="AA27" i="48"/>
  <c r="AL27" i="54" s="1"/>
  <c r="AA26" i="48"/>
  <c r="AL26" i="54" s="1"/>
  <c r="AA25" i="48"/>
  <c r="AL25" i="54" s="1"/>
  <c r="AA24" i="48"/>
  <c r="AL24" i="54" s="1"/>
  <c r="AA23" i="48"/>
  <c r="AL23" i="54" s="1"/>
  <c r="AA22" i="48"/>
  <c r="AL22" i="54" s="1"/>
  <c r="AA21" i="48"/>
  <c r="AL21" i="54" s="1"/>
  <c r="AA20" i="48"/>
  <c r="AL20" i="54" s="1"/>
  <c r="AA19" i="48"/>
  <c r="AL19" i="54" s="1"/>
  <c r="AA18" i="48"/>
  <c r="AL18" i="54" s="1"/>
  <c r="AA17" i="48"/>
  <c r="AL17" i="54" s="1"/>
  <c r="AA16" i="48"/>
  <c r="AL16" i="54" s="1"/>
  <c r="G13" i="47"/>
  <c r="F13" i="47"/>
  <c r="Y13" i="47" s="1"/>
  <c r="E13" i="47"/>
  <c r="D13" i="47"/>
  <c r="W13" i="47" s="1"/>
  <c r="C13" i="47"/>
  <c r="V13" i="47" s="1"/>
  <c r="Y11" i="45"/>
  <c r="X11" i="45"/>
  <c r="S11" i="45"/>
  <c r="O307" i="46"/>
  <c r="P307" i="46" s="1"/>
  <c r="O306" i="46"/>
  <c r="P306" i="46" s="1"/>
  <c r="O305" i="46"/>
  <c r="P305" i="46" s="1"/>
  <c r="O304" i="46"/>
  <c r="P304" i="46" s="1"/>
  <c r="O303" i="46"/>
  <c r="P303" i="46" s="1"/>
  <c r="O302" i="46"/>
  <c r="P302" i="46" s="1"/>
  <c r="O301" i="46"/>
  <c r="P301" i="46" s="1"/>
  <c r="O300" i="46"/>
  <c r="P300" i="46" s="1"/>
  <c r="O299" i="46"/>
  <c r="P299" i="46" s="1"/>
  <c r="O298" i="46"/>
  <c r="P298" i="46" s="1"/>
  <c r="O297" i="46"/>
  <c r="P297" i="46" s="1"/>
  <c r="O296" i="46"/>
  <c r="P296" i="46" s="1"/>
  <c r="O295" i="46"/>
  <c r="P295" i="46" s="1"/>
  <c r="O294" i="46"/>
  <c r="P294" i="46" s="1"/>
  <c r="O293" i="46"/>
  <c r="P293" i="46" s="1"/>
  <c r="O292" i="46"/>
  <c r="P292" i="46" s="1"/>
  <c r="O291" i="46"/>
  <c r="P291" i="46" s="1"/>
  <c r="O290" i="46"/>
  <c r="P290" i="46" s="1"/>
  <c r="O289" i="46"/>
  <c r="P289" i="46" s="1"/>
  <c r="O288" i="46"/>
  <c r="P288" i="46" s="1"/>
  <c r="O287" i="46"/>
  <c r="P287" i="46" s="1"/>
  <c r="O286" i="46"/>
  <c r="P286" i="46" s="1"/>
  <c r="O285" i="46"/>
  <c r="P285" i="46" s="1"/>
  <c r="O284" i="46"/>
  <c r="P284" i="46" s="1"/>
  <c r="O283" i="46"/>
  <c r="P283" i="46" s="1"/>
  <c r="O282" i="46"/>
  <c r="P282" i="46" s="1"/>
  <c r="O281" i="46"/>
  <c r="P281" i="46" s="1"/>
  <c r="O280" i="46"/>
  <c r="P280" i="46" s="1"/>
  <c r="O279" i="46"/>
  <c r="P279" i="46" s="1"/>
  <c r="O278" i="46"/>
  <c r="P278" i="46" s="1"/>
  <c r="O277" i="46"/>
  <c r="P277" i="46" s="1"/>
  <c r="O276" i="46"/>
  <c r="P276" i="46" s="1"/>
  <c r="O275" i="46"/>
  <c r="P275" i="46" s="1"/>
  <c r="O274" i="46"/>
  <c r="P274" i="46" s="1"/>
  <c r="O273" i="46"/>
  <c r="P273" i="46" s="1"/>
  <c r="O272" i="46"/>
  <c r="P272" i="46" s="1"/>
  <c r="O271" i="46"/>
  <c r="P271" i="46" s="1"/>
  <c r="O270" i="46"/>
  <c r="P270" i="46" s="1"/>
  <c r="O269" i="46"/>
  <c r="P269" i="46" s="1"/>
  <c r="O268" i="46"/>
  <c r="P268" i="46" s="1"/>
  <c r="O267" i="46"/>
  <c r="P267" i="46" s="1"/>
  <c r="O266" i="46"/>
  <c r="P266" i="46" s="1"/>
  <c r="O265" i="46"/>
  <c r="P265" i="46" s="1"/>
  <c r="O264" i="46"/>
  <c r="P264" i="46" s="1"/>
  <c r="O263" i="46"/>
  <c r="P263" i="46" s="1"/>
  <c r="O262" i="46"/>
  <c r="P262" i="46" s="1"/>
  <c r="O261" i="46"/>
  <c r="P261" i="46" s="1"/>
  <c r="O260" i="46"/>
  <c r="P260" i="46" s="1"/>
  <c r="O259" i="46"/>
  <c r="P259" i="46" s="1"/>
  <c r="O258" i="46"/>
  <c r="P258" i="46" s="1"/>
  <c r="O257" i="46"/>
  <c r="P257" i="46" s="1"/>
  <c r="O256" i="46"/>
  <c r="P256" i="46" s="1"/>
  <c r="O255" i="46"/>
  <c r="P255" i="46" s="1"/>
  <c r="O254" i="46"/>
  <c r="P254" i="46" s="1"/>
  <c r="O253" i="46"/>
  <c r="P253" i="46" s="1"/>
  <c r="O252" i="46"/>
  <c r="P252" i="46" s="1"/>
  <c r="O251" i="46"/>
  <c r="P251" i="46" s="1"/>
  <c r="O250" i="46"/>
  <c r="P250" i="46" s="1"/>
  <c r="O249" i="46"/>
  <c r="P249" i="46" s="1"/>
  <c r="O248" i="46"/>
  <c r="P248" i="46" s="1"/>
  <c r="O247" i="46"/>
  <c r="P247" i="46" s="1"/>
  <c r="O246" i="46"/>
  <c r="P246" i="46" s="1"/>
  <c r="O245" i="46"/>
  <c r="P245" i="46" s="1"/>
  <c r="O244" i="46"/>
  <c r="P244" i="46" s="1"/>
  <c r="O243" i="46"/>
  <c r="P243" i="46" s="1"/>
  <c r="O242" i="46"/>
  <c r="P242" i="46" s="1"/>
  <c r="O241" i="46"/>
  <c r="P241" i="46" s="1"/>
  <c r="O240" i="46"/>
  <c r="P240" i="46" s="1"/>
  <c r="O239" i="46"/>
  <c r="P239" i="46" s="1"/>
  <c r="O238" i="46"/>
  <c r="P238" i="46" s="1"/>
  <c r="O237" i="46"/>
  <c r="P237" i="46" s="1"/>
  <c r="O236" i="46"/>
  <c r="P236" i="46" s="1"/>
  <c r="O235" i="46"/>
  <c r="P235" i="46" s="1"/>
  <c r="O234" i="46"/>
  <c r="P234" i="46" s="1"/>
  <c r="O233" i="46"/>
  <c r="P233" i="46" s="1"/>
  <c r="O232" i="46"/>
  <c r="P232" i="46" s="1"/>
  <c r="O231" i="46"/>
  <c r="P231" i="46" s="1"/>
  <c r="O230" i="46"/>
  <c r="P230" i="46" s="1"/>
  <c r="O229" i="46"/>
  <c r="P229" i="46" s="1"/>
  <c r="O228" i="46"/>
  <c r="P228" i="46" s="1"/>
  <c r="O227" i="46"/>
  <c r="P227" i="46" s="1"/>
  <c r="O226" i="46"/>
  <c r="P226" i="46" s="1"/>
  <c r="O225" i="46"/>
  <c r="P225" i="46" s="1"/>
  <c r="O224" i="46"/>
  <c r="P224" i="46" s="1"/>
  <c r="O223" i="46"/>
  <c r="P223" i="46" s="1"/>
  <c r="O222" i="46"/>
  <c r="P222" i="46" s="1"/>
  <c r="O221" i="46"/>
  <c r="P221" i="46" s="1"/>
  <c r="O220" i="46"/>
  <c r="P220" i="46" s="1"/>
  <c r="O219" i="46"/>
  <c r="P219" i="46" s="1"/>
  <c r="O218" i="46"/>
  <c r="P218" i="46" s="1"/>
  <c r="O217" i="46"/>
  <c r="P217" i="46" s="1"/>
  <c r="O216" i="46"/>
  <c r="P216" i="46" s="1"/>
  <c r="O215" i="46"/>
  <c r="P215" i="46" s="1"/>
  <c r="O214" i="46"/>
  <c r="P214" i="46" s="1"/>
  <c r="O213" i="46"/>
  <c r="P213" i="46" s="1"/>
  <c r="O212" i="46"/>
  <c r="P212" i="46" s="1"/>
  <c r="O211" i="46"/>
  <c r="P211" i="46" s="1"/>
  <c r="O210" i="46"/>
  <c r="P210" i="46" s="1"/>
  <c r="O209" i="46"/>
  <c r="P209" i="46" s="1"/>
  <c r="O208" i="46"/>
  <c r="P208" i="46" s="1"/>
  <c r="O207" i="46"/>
  <c r="P207" i="46" s="1"/>
  <c r="O206" i="46"/>
  <c r="P206" i="46" s="1"/>
  <c r="O205" i="46"/>
  <c r="P205" i="46" s="1"/>
  <c r="O204" i="46"/>
  <c r="P204" i="46" s="1"/>
  <c r="O203" i="46"/>
  <c r="P203" i="46" s="1"/>
  <c r="O202" i="46"/>
  <c r="P202" i="46" s="1"/>
  <c r="O201" i="46"/>
  <c r="P201" i="46" s="1"/>
  <c r="O200" i="46"/>
  <c r="P200" i="46" s="1"/>
  <c r="O199" i="46"/>
  <c r="P199" i="46" s="1"/>
  <c r="O198" i="46"/>
  <c r="P198" i="46" s="1"/>
  <c r="O197" i="46"/>
  <c r="P197" i="46" s="1"/>
  <c r="O196" i="46"/>
  <c r="P196" i="46" s="1"/>
  <c r="O195" i="46"/>
  <c r="P195" i="46" s="1"/>
  <c r="O194" i="46"/>
  <c r="P194" i="46" s="1"/>
  <c r="O192" i="46"/>
  <c r="P192" i="46" s="1"/>
  <c r="O191" i="46"/>
  <c r="P191" i="46" s="1"/>
  <c r="O190" i="46"/>
  <c r="P190" i="46" s="1"/>
  <c r="O189" i="46"/>
  <c r="P189" i="46" s="1"/>
  <c r="O188" i="46"/>
  <c r="P188" i="46" s="1"/>
  <c r="O187" i="46"/>
  <c r="P187" i="46" s="1"/>
  <c r="O186" i="46"/>
  <c r="P186" i="46" s="1"/>
  <c r="O185" i="46"/>
  <c r="P185" i="46" s="1"/>
  <c r="O184" i="46"/>
  <c r="P184" i="46" s="1"/>
  <c r="O183" i="46"/>
  <c r="P183" i="46" s="1"/>
  <c r="O182" i="46"/>
  <c r="P182" i="46" s="1"/>
  <c r="O181" i="46"/>
  <c r="P181" i="46" s="1"/>
  <c r="O180" i="46"/>
  <c r="P180" i="46" s="1"/>
  <c r="O179" i="46"/>
  <c r="P179" i="46" s="1"/>
  <c r="O178" i="46"/>
  <c r="P178" i="46" s="1"/>
  <c r="O177" i="46"/>
  <c r="P177" i="46" s="1"/>
  <c r="O176" i="46"/>
  <c r="P176" i="46" s="1"/>
  <c r="O175" i="46"/>
  <c r="P175" i="46" s="1"/>
  <c r="O174" i="46"/>
  <c r="P174" i="46" s="1"/>
  <c r="O173" i="46"/>
  <c r="P173" i="46" s="1"/>
  <c r="O172" i="46"/>
  <c r="P172" i="46" s="1"/>
  <c r="O171" i="46"/>
  <c r="P171" i="46" s="1"/>
  <c r="O170" i="46"/>
  <c r="P170" i="46" s="1"/>
  <c r="O169" i="46"/>
  <c r="P169" i="46" s="1"/>
  <c r="O168" i="46"/>
  <c r="P168" i="46" s="1"/>
  <c r="O167" i="46"/>
  <c r="P167" i="46" s="1"/>
  <c r="O166" i="46"/>
  <c r="P166" i="46" s="1"/>
  <c r="O165" i="46"/>
  <c r="P165" i="46" s="1"/>
  <c r="O164" i="46"/>
  <c r="P164" i="46" s="1"/>
  <c r="O163" i="46"/>
  <c r="P163" i="46" s="1"/>
  <c r="O162" i="46"/>
  <c r="P162" i="46" s="1"/>
  <c r="O161" i="46"/>
  <c r="P161" i="46" s="1"/>
  <c r="O160" i="46"/>
  <c r="P160" i="46" s="1"/>
  <c r="O159" i="46"/>
  <c r="P159" i="46" s="1"/>
  <c r="O158" i="46"/>
  <c r="P158" i="46" s="1"/>
  <c r="O157" i="46"/>
  <c r="P157" i="46" s="1"/>
  <c r="O156" i="46"/>
  <c r="P156" i="46" s="1"/>
  <c r="O155" i="46"/>
  <c r="P155" i="46" s="1"/>
  <c r="O154" i="46"/>
  <c r="P154" i="46" s="1"/>
  <c r="O153" i="46"/>
  <c r="P153" i="46" s="1"/>
  <c r="O152" i="46"/>
  <c r="P152" i="46" s="1"/>
  <c r="O151" i="46"/>
  <c r="P151" i="46" s="1"/>
  <c r="O150" i="46"/>
  <c r="P150" i="46" s="1"/>
  <c r="O149" i="46"/>
  <c r="P149" i="46" s="1"/>
  <c r="O148" i="46"/>
  <c r="P148" i="46" s="1"/>
  <c r="O147" i="46"/>
  <c r="P147" i="46" s="1"/>
  <c r="O146" i="46"/>
  <c r="P146" i="46" s="1"/>
  <c r="O145" i="46"/>
  <c r="P145" i="46" s="1"/>
  <c r="O144" i="46"/>
  <c r="P144" i="46" s="1"/>
  <c r="O143" i="46"/>
  <c r="P143" i="46" s="1"/>
  <c r="O142" i="46"/>
  <c r="P142" i="46" s="1"/>
  <c r="O141" i="46"/>
  <c r="P141" i="46" s="1"/>
  <c r="O140" i="46"/>
  <c r="P140" i="46" s="1"/>
  <c r="O139" i="46"/>
  <c r="P139" i="46" s="1"/>
  <c r="O138" i="46"/>
  <c r="P138" i="46" s="1"/>
  <c r="O137" i="46"/>
  <c r="P137" i="46" s="1"/>
  <c r="O136" i="46"/>
  <c r="P136" i="46" s="1"/>
  <c r="O135" i="46"/>
  <c r="P135" i="46" s="1"/>
  <c r="O134" i="46"/>
  <c r="P134" i="46" s="1"/>
  <c r="O133" i="46"/>
  <c r="P133" i="46" s="1"/>
  <c r="O132" i="46"/>
  <c r="P132" i="46" s="1"/>
  <c r="O131" i="46"/>
  <c r="P131" i="46" s="1"/>
  <c r="O130" i="46"/>
  <c r="P130" i="46" s="1"/>
  <c r="O129" i="46"/>
  <c r="P129" i="46" s="1"/>
  <c r="O128" i="46"/>
  <c r="P128" i="46" s="1"/>
  <c r="O127" i="46"/>
  <c r="P127" i="46" s="1"/>
  <c r="O126" i="46"/>
  <c r="P126" i="46" s="1"/>
  <c r="O125" i="46"/>
  <c r="P125" i="46" s="1"/>
  <c r="O124" i="46"/>
  <c r="P124" i="46" s="1"/>
  <c r="O123" i="46"/>
  <c r="P123" i="46" s="1"/>
  <c r="O122" i="46"/>
  <c r="P122" i="46" s="1"/>
  <c r="O121" i="46"/>
  <c r="P121" i="46" s="1"/>
  <c r="O120" i="46"/>
  <c r="P120" i="46" s="1"/>
  <c r="O119" i="46"/>
  <c r="P119" i="46" s="1"/>
  <c r="O118" i="46"/>
  <c r="P118" i="46" s="1"/>
  <c r="O117" i="46"/>
  <c r="P117" i="46" s="1"/>
  <c r="O116" i="46"/>
  <c r="P116" i="46" s="1"/>
  <c r="O115" i="46"/>
  <c r="P115" i="46" s="1"/>
  <c r="O114" i="46"/>
  <c r="P114" i="46" s="1"/>
  <c r="O113" i="46"/>
  <c r="P113" i="46" s="1"/>
  <c r="O112" i="46"/>
  <c r="P112" i="46" s="1"/>
  <c r="O111" i="46"/>
  <c r="P111" i="46" s="1"/>
  <c r="O110" i="46"/>
  <c r="P110" i="46" s="1"/>
  <c r="O109" i="46"/>
  <c r="P109" i="46" s="1"/>
  <c r="O108" i="46"/>
  <c r="P108" i="46" s="1"/>
  <c r="O107" i="46"/>
  <c r="P107" i="46" s="1"/>
  <c r="O106" i="46"/>
  <c r="P106" i="46" s="1"/>
  <c r="O105" i="46"/>
  <c r="P105" i="46" s="1"/>
  <c r="O104" i="46"/>
  <c r="P104" i="46" s="1"/>
  <c r="O103" i="46"/>
  <c r="P103" i="46" s="1"/>
  <c r="O102" i="46"/>
  <c r="P102" i="46" s="1"/>
  <c r="O101" i="46"/>
  <c r="P101" i="46" s="1"/>
  <c r="O100" i="46"/>
  <c r="P100" i="46" s="1"/>
  <c r="O99" i="46"/>
  <c r="P99" i="46" s="1"/>
  <c r="O98" i="46"/>
  <c r="P98" i="46" s="1"/>
  <c r="O97" i="46"/>
  <c r="P97" i="46" s="1"/>
  <c r="O96" i="46"/>
  <c r="P96" i="46" s="1"/>
  <c r="O95" i="46"/>
  <c r="P95" i="46" s="1"/>
  <c r="O94" i="46"/>
  <c r="P94" i="46" s="1"/>
  <c r="O93" i="46"/>
  <c r="P93" i="46" s="1"/>
  <c r="O92" i="46"/>
  <c r="P92" i="46" s="1"/>
  <c r="O91" i="46"/>
  <c r="P91" i="46" s="1"/>
  <c r="O90" i="46"/>
  <c r="P90" i="46" s="1"/>
  <c r="O89" i="46"/>
  <c r="P89" i="46" s="1"/>
  <c r="O88" i="46"/>
  <c r="P88" i="46" s="1"/>
  <c r="O87" i="46"/>
  <c r="P87" i="46" s="1"/>
  <c r="O86" i="46"/>
  <c r="P86" i="46" s="1"/>
  <c r="O85" i="46"/>
  <c r="P85" i="46" s="1"/>
  <c r="O84" i="46"/>
  <c r="P84" i="46" s="1"/>
  <c r="O83" i="46"/>
  <c r="P83" i="46" s="1"/>
  <c r="O82" i="46"/>
  <c r="P82" i="46" s="1"/>
  <c r="O81" i="46"/>
  <c r="P81" i="46" s="1"/>
  <c r="O80" i="46"/>
  <c r="P80" i="46" s="1"/>
  <c r="O79" i="46"/>
  <c r="P79" i="46" s="1"/>
  <c r="O78" i="46"/>
  <c r="P78" i="46" s="1"/>
  <c r="O77" i="46"/>
  <c r="P77" i="46" s="1"/>
  <c r="O76" i="46"/>
  <c r="P76" i="46" s="1"/>
  <c r="O75" i="46"/>
  <c r="P75" i="46" s="1"/>
  <c r="O74" i="46"/>
  <c r="P74" i="46" s="1"/>
  <c r="O73" i="46"/>
  <c r="P73" i="46" s="1"/>
  <c r="O72" i="46"/>
  <c r="P72" i="46" s="1"/>
  <c r="O71" i="46"/>
  <c r="P71" i="46" s="1"/>
  <c r="O70" i="46"/>
  <c r="P70" i="46" s="1"/>
  <c r="O69" i="46"/>
  <c r="P69" i="46" s="1"/>
  <c r="O68" i="46"/>
  <c r="P68" i="46" s="1"/>
  <c r="O67" i="46"/>
  <c r="P67" i="46" s="1"/>
  <c r="O66" i="46"/>
  <c r="P66" i="46" s="1"/>
  <c r="O65" i="46"/>
  <c r="P65" i="46" s="1"/>
  <c r="O64" i="46"/>
  <c r="P64" i="46" s="1"/>
  <c r="O63" i="46"/>
  <c r="P63" i="46" s="1"/>
  <c r="O62" i="46"/>
  <c r="P62" i="46" s="1"/>
  <c r="O61" i="46"/>
  <c r="P61" i="46" s="1"/>
  <c r="O60" i="46"/>
  <c r="P60" i="46" s="1"/>
  <c r="O59" i="46"/>
  <c r="P59" i="46" s="1"/>
  <c r="O58" i="46"/>
  <c r="P58" i="46" s="1"/>
  <c r="O57" i="46"/>
  <c r="P57" i="46" s="1"/>
  <c r="O56" i="46"/>
  <c r="P56" i="46" s="1"/>
  <c r="O55" i="46"/>
  <c r="P55" i="46" s="1"/>
  <c r="O54" i="46"/>
  <c r="P54" i="46" s="1"/>
  <c r="O53" i="46"/>
  <c r="P53" i="46" s="1"/>
  <c r="O52" i="46"/>
  <c r="P52" i="46" s="1"/>
  <c r="O51" i="46"/>
  <c r="P51" i="46" s="1"/>
  <c r="O50" i="46"/>
  <c r="P50" i="46" s="1"/>
  <c r="O49" i="46"/>
  <c r="P49" i="46" s="1"/>
  <c r="O48" i="46"/>
  <c r="P48" i="46" s="1"/>
  <c r="O47" i="46"/>
  <c r="P47" i="46" s="1"/>
  <c r="O46" i="46"/>
  <c r="P46" i="46" s="1"/>
  <c r="O45" i="46"/>
  <c r="P45" i="46" s="1"/>
  <c r="O44" i="46"/>
  <c r="P44" i="46" s="1"/>
  <c r="O43" i="46"/>
  <c r="P43" i="46" s="1"/>
  <c r="O42" i="46"/>
  <c r="P42" i="46" s="1"/>
  <c r="O41" i="46"/>
  <c r="P41" i="46" s="1"/>
  <c r="O40" i="46"/>
  <c r="P40" i="46" s="1"/>
  <c r="O39" i="46"/>
  <c r="P39" i="46" s="1"/>
  <c r="O38" i="46"/>
  <c r="P38" i="46" s="1"/>
  <c r="O37" i="46"/>
  <c r="P37" i="46" s="1"/>
  <c r="O36" i="46"/>
  <c r="P36" i="46" s="1"/>
  <c r="O35" i="46"/>
  <c r="P35" i="46" s="1"/>
  <c r="O34" i="46"/>
  <c r="P34" i="46" s="1"/>
  <c r="O33" i="46"/>
  <c r="P33" i="46" s="1"/>
  <c r="O32" i="46"/>
  <c r="P32" i="46" s="1"/>
  <c r="O31" i="46"/>
  <c r="P31" i="46" s="1"/>
  <c r="O30" i="46"/>
  <c r="P30" i="46" s="1"/>
  <c r="O29" i="46"/>
  <c r="P29" i="46" s="1"/>
  <c r="O28" i="46"/>
  <c r="P28" i="46" s="1"/>
  <c r="O27" i="46"/>
  <c r="P27" i="46" s="1"/>
  <c r="O26" i="46"/>
  <c r="P26" i="46" s="1"/>
  <c r="O25" i="46"/>
  <c r="P25" i="46" s="1"/>
  <c r="O23" i="46"/>
  <c r="P23" i="46" s="1"/>
  <c r="O22" i="46"/>
  <c r="P22" i="46" s="1"/>
  <c r="O20" i="46"/>
  <c r="P20" i="46" s="1"/>
  <c r="O19" i="46"/>
  <c r="P19" i="46" s="1"/>
  <c r="O18" i="46"/>
  <c r="P18" i="46" s="1"/>
  <c r="O17" i="46"/>
  <c r="P17" i="46" s="1"/>
  <c r="O16" i="46"/>
  <c r="P16" i="46" s="1"/>
  <c r="F307" i="54"/>
  <c r="F306" i="54"/>
  <c r="F305" i="54"/>
  <c r="F304" i="54"/>
  <c r="F303" i="54"/>
  <c r="F302" i="54"/>
  <c r="F301" i="54"/>
  <c r="F300" i="54"/>
  <c r="F299" i="54"/>
  <c r="F298" i="54"/>
  <c r="F297" i="54"/>
  <c r="F296" i="54"/>
  <c r="F295" i="54"/>
  <c r="F294" i="54"/>
  <c r="F293" i="54"/>
  <c r="F292" i="54"/>
  <c r="F291" i="54"/>
  <c r="F290" i="54"/>
  <c r="F289" i="54"/>
  <c r="F288" i="54"/>
  <c r="F287" i="54"/>
  <c r="F286" i="54"/>
  <c r="F285" i="54"/>
  <c r="F284" i="54"/>
  <c r="F283" i="54"/>
  <c r="F282" i="54"/>
  <c r="F281" i="54"/>
  <c r="F280" i="54"/>
  <c r="F279" i="54"/>
  <c r="F278" i="54"/>
  <c r="F277" i="54"/>
  <c r="F276" i="54"/>
  <c r="F275" i="54"/>
  <c r="F274" i="54"/>
  <c r="F273" i="54"/>
  <c r="F272" i="54"/>
  <c r="F271" i="54"/>
  <c r="F270" i="54"/>
  <c r="F269" i="54"/>
  <c r="F268" i="54"/>
  <c r="F267" i="54"/>
  <c r="F266" i="54"/>
  <c r="F265" i="54"/>
  <c r="F264" i="54"/>
  <c r="F263" i="54"/>
  <c r="F262" i="54"/>
  <c r="F261" i="54"/>
  <c r="F260" i="54"/>
  <c r="F259" i="54"/>
  <c r="F258" i="54"/>
  <c r="F257" i="54"/>
  <c r="F256" i="54"/>
  <c r="F255" i="54"/>
  <c r="F254" i="54"/>
  <c r="F253" i="54"/>
  <c r="F252" i="54"/>
  <c r="F251" i="54"/>
  <c r="F250" i="54"/>
  <c r="F249" i="54"/>
  <c r="F248" i="54"/>
  <c r="F247" i="54"/>
  <c r="F246" i="54"/>
  <c r="F245" i="54"/>
  <c r="F244" i="54"/>
  <c r="F243" i="54"/>
  <c r="F242" i="54"/>
  <c r="F241" i="54"/>
  <c r="F240" i="54"/>
  <c r="F239" i="54"/>
  <c r="F238" i="54"/>
  <c r="F237" i="54"/>
  <c r="F236" i="54"/>
  <c r="F235" i="54"/>
  <c r="F234" i="54"/>
  <c r="F233" i="54"/>
  <c r="F232" i="54"/>
  <c r="F231" i="54"/>
  <c r="F230" i="54"/>
  <c r="F229" i="54"/>
  <c r="F228" i="54"/>
  <c r="F227" i="54"/>
  <c r="F226" i="54"/>
  <c r="F225" i="54"/>
  <c r="F224" i="54"/>
  <c r="F223" i="54"/>
  <c r="F222" i="54"/>
  <c r="F221" i="54"/>
  <c r="F220" i="54"/>
  <c r="F219" i="54"/>
  <c r="F218" i="54"/>
  <c r="F217" i="54"/>
  <c r="F216" i="54"/>
  <c r="F215" i="54"/>
  <c r="F214" i="54"/>
  <c r="F213" i="54"/>
  <c r="F212" i="54"/>
  <c r="F211" i="54"/>
  <c r="F210" i="54"/>
  <c r="F209" i="54"/>
  <c r="F208" i="54"/>
  <c r="F207" i="54"/>
  <c r="F206" i="54"/>
  <c r="F205" i="54"/>
  <c r="F204" i="54"/>
  <c r="F203" i="54"/>
  <c r="F202" i="54"/>
  <c r="F201" i="54"/>
  <c r="F200" i="54"/>
  <c r="F199" i="54"/>
  <c r="F198" i="54"/>
  <c r="F197" i="54"/>
  <c r="F196" i="54"/>
  <c r="F195" i="54"/>
  <c r="F194" i="54"/>
  <c r="F193" i="54"/>
  <c r="F192" i="54"/>
  <c r="F191" i="54"/>
  <c r="F190" i="54"/>
  <c r="F189" i="54"/>
  <c r="F188" i="54"/>
  <c r="F187" i="54"/>
  <c r="F186" i="54"/>
  <c r="F185" i="54"/>
  <c r="F184" i="54"/>
  <c r="F183" i="54"/>
  <c r="F182" i="54"/>
  <c r="F181" i="54"/>
  <c r="F180" i="54"/>
  <c r="F179" i="54"/>
  <c r="F178" i="54"/>
  <c r="F177" i="54"/>
  <c r="F176" i="54"/>
  <c r="F175" i="54"/>
  <c r="F174" i="54"/>
  <c r="F173" i="54"/>
  <c r="F172" i="54"/>
  <c r="F171" i="54"/>
  <c r="F170" i="54"/>
  <c r="F169" i="54"/>
  <c r="F168" i="54"/>
  <c r="F167" i="54"/>
  <c r="F166" i="54"/>
  <c r="F165" i="54"/>
  <c r="F164" i="54"/>
  <c r="F163" i="54"/>
  <c r="F162" i="54"/>
  <c r="F161" i="54"/>
  <c r="F160" i="54"/>
  <c r="F159" i="54"/>
  <c r="F158" i="54"/>
  <c r="F157" i="54"/>
  <c r="F156" i="54"/>
  <c r="F155" i="54"/>
  <c r="F154" i="54"/>
  <c r="F153" i="54"/>
  <c r="F152" i="54"/>
  <c r="F151" i="54"/>
  <c r="F150" i="54"/>
  <c r="F149" i="54"/>
  <c r="F148" i="54"/>
  <c r="F147" i="54"/>
  <c r="F146" i="54"/>
  <c r="F145" i="54"/>
  <c r="F144" i="54"/>
  <c r="F143" i="54"/>
  <c r="F142" i="54"/>
  <c r="F141" i="54"/>
  <c r="F140" i="54"/>
  <c r="F139" i="54"/>
  <c r="F138" i="54"/>
  <c r="F137" i="54"/>
  <c r="F136" i="54"/>
  <c r="F135" i="54"/>
  <c r="F134" i="54"/>
  <c r="F133" i="54"/>
  <c r="F132" i="54"/>
  <c r="F131" i="54"/>
  <c r="F130" i="54"/>
  <c r="F129" i="54"/>
  <c r="F128" i="54"/>
  <c r="F127" i="54"/>
  <c r="F126" i="54"/>
  <c r="F125" i="54"/>
  <c r="F124" i="54"/>
  <c r="F123" i="54"/>
  <c r="F122" i="54"/>
  <c r="F121" i="54"/>
  <c r="F120" i="54"/>
  <c r="F119" i="54"/>
  <c r="F118" i="54"/>
  <c r="F117" i="54"/>
  <c r="F116" i="54"/>
  <c r="F115" i="54"/>
  <c r="F114" i="54"/>
  <c r="F113" i="54"/>
  <c r="F112" i="54"/>
  <c r="F111" i="54"/>
  <c r="F110" i="54"/>
  <c r="F109" i="54"/>
  <c r="F108" i="54"/>
  <c r="F107" i="54"/>
  <c r="F106" i="54"/>
  <c r="F105" i="54"/>
  <c r="F104" i="54"/>
  <c r="F103" i="54"/>
  <c r="F102" i="54"/>
  <c r="F101" i="54"/>
  <c r="F100" i="54"/>
  <c r="F99" i="54"/>
  <c r="F98" i="54"/>
  <c r="F97" i="54"/>
  <c r="F96" i="54"/>
  <c r="F95" i="54"/>
  <c r="F94" i="54"/>
  <c r="F93" i="54"/>
  <c r="F92" i="54"/>
  <c r="F91" i="54"/>
  <c r="F90" i="54"/>
  <c r="F89" i="54"/>
  <c r="F88" i="54"/>
  <c r="F87" i="54"/>
  <c r="F86" i="54"/>
  <c r="F85" i="54"/>
  <c r="F84" i="54"/>
  <c r="F83" i="54"/>
  <c r="F82" i="54"/>
  <c r="F81" i="54"/>
  <c r="F80" i="54"/>
  <c r="F79" i="54"/>
  <c r="F78" i="54"/>
  <c r="F77" i="54"/>
  <c r="F76" i="54"/>
  <c r="F75" i="54"/>
  <c r="F74" i="54"/>
  <c r="F73" i="54"/>
  <c r="F72" i="54"/>
  <c r="F71" i="54"/>
  <c r="F70" i="54"/>
  <c r="F69" i="54"/>
  <c r="F68" i="54"/>
  <c r="F67" i="54"/>
  <c r="F66" i="54"/>
  <c r="F65" i="54"/>
  <c r="F64" i="54"/>
  <c r="F63" i="54"/>
  <c r="F62" i="54"/>
  <c r="F61" i="54"/>
  <c r="F60" i="54"/>
  <c r="F59" i="54"/>
  <c r="F58" i="54"/>
  <c r="F57" i="54"/>
  <c r="F56" i="54"/>
  <c r="F55" i="54"/>
  <c r="F54" i="54"/>
  <c r="F53" i="54"/>
  <c r="F52" i="54"/>
  <c r="F51" i="54"/>
  <c r="F50" i="54"/>
  <c r="F49" i="54"/>
  <c r="F48" i="54"/>
  <c r="F47" i="54"/>
  <c r="F47" i="57" s="1"/>
  <c r="F46" i="54"/>
  <c r="F45" i="54"/>
  <c r="F44" i="54"/>
  <c r="F43" i="54"/>
  <c r="F42" i="54"/>
  <c r="F41" i="54"/>
  <c r="F40" i="54"/>
  <c r="F39" i="54"/>
  <c r="F38" i="54"/>
  <c r="F37" i="54"/>
  <c r="F36" i="54"/>
  <c r="F35" i="54"/>
  <c r="F34" i="54"/>
  <c r="F33" i="54"/>
  <c r="F32" i="54"/>
  <c r="F31" i="54"/>
  <c r="F30" i="54"/>
  <c r="F29" i="54"/>
  <c r="F28" i="54"/>
  <c r="F27" i="54"/>
  <c r="F26" i="54"/>
  <c r="F25" i="54"/>
  <c r="F24" i="54"/>
  <c r="F23" i="54"/>
  <c r="F22" i="54"/>
  <c r="F21" i="54"/>
  <c r="F20" i="54"/>
  <c r="F19" i="54"/>
  <c r="F18" i="54"/>
  <c r="F17" i="54"/>
  <c r="F16" i="54"/>
  <c r="E307" i="54"/>
  <c r="E306" i="54"/>
  <c r="E305" i="54"/>
  <c r="E304" i="54"/>
  <c r="E303" i="54"/>
  <c r="E302" i="54"/>
  <c r="E301" i="54"/>
  <c r="E300" i="54"/>
  <c r="E299" i="54"/>
  <c r="E298" i="54"/>
  <c r="E297" i="54"/>
  <c r="E296" i="54"/>
  <c r="E295" i="54"/>
  <c r="E294" i="54"/>
  <c r="E293" i="54"/>
  <c r="E292" i="54"/>
  <c r="E291" i="54"/>
  <c r="E290" i="54"/>
  <c r="E289" i="54"/>
  <c r="E288" i="54"/>
  <c r="E287" i="54"/>
  <c r="E286" i="54"/>
  <c r="E285" i="54"/>
  <c r="E284" i="54"/>
  <c r="E283" i="54"/>
  <c r="E282" i="54"/>
  <c r="E281" i="54"/>
  <c r="E280" i="54"/>
  <c r="E279" i="54"/>
  <c r="E278" i="54"/>
  <c r="E277" i="54"/>
  <c r="E276" i="54"/>
  <c r="E275" i="54"/>
  <c r="E274" i="54"/>
  <c r="E273" i="54"/>
  <c r="E272" i="54"/>
  <c r="E271" i="54"/>
  <c r="E270" i="54"/>
  <c r="E269" i="54"/>
  <c r="E268" i="54"/>
  <c r="E267" i="54"/>
  <c r="E266" i="54"/>
  <c r="E265" i="54"/>
  <c r="E264" i="54"/>
  <c r="E263" i="54"/>
  <c r="E262" i="54"/>
  <c r="E261" i="54"/>
  <c r="E260" i="54"/>
  <c r="E259" i="54"/>
  <c r="E258" i="54"/>
  <c r="E257" i="54"/>
  <c r="E256" i="54"/>
  <c r="E255" i="54"/>
  <c r="E254" i="54"/>
  <c r="E253" i="54"/>
  <c r="E252" i="54"/>
  <c r="E251" i="54"/>
  <c r="E250" i="54"/>
  <c r="E249" i="54"/>
  <c r="E248" i="54"/>
  <c r="E247" i="54"/>
  <c r="E246" i="54"/>
  <c r="E245" i="54"/>
  <c r="E244" i="54"/>
  <c r="E243" i="54"/>
  <c r="E242" i="54"/>
  <c r="E241" i="54"/>
  <c r="E240" i="54"/>
  <c r="E239" i="54"/>
  <c r="E238" i="54"/>
  <c r="E237" i="54"/>
  <c r="E236" i="54"/>
  <c r="E235" i="54"/>
  <c r="E234" i="54"/>
  <c r="E233" i="54"/>
  <c r="E232" i="54"/>
  <c r="E231" i="54"/>
  <c r="E230" i="54"/>
  <c r="E229" i="54"/>
  <c r="E228" i="54"/>
  <c r="E227" i="54"/>
  <c r="E226" i="54"/>
  <c r="E225" i="54"/>
  <c r="E224" i="54"/>
  <c r="E223" i="54"/>
  <c r="E222" i="54"/>
  <c r="E221" i="54"/>
  <c r="E220" i="54"/>
  <c r="E219" i="54"/>
  <c r="E218" i="54"/>
  <c r="E217" i="54"/>
  <c r="E216" i="54"/>
  <c r="E215" i="54"/>
  <c r="E214" i="54"/>
  <c r="E213" i="54"/>
  <c r="E212" i="54"/>
  <c r="E211" i="54"/>
  <c r="E210" i="54"/>
  <c r="E209" i="54"/>
  <c r="E208" i="54"/>
  <c r="E207" i="54"/>
  <c r="E206" i="54"/>
  <c r="E205" i="54"/>
  <c r="E204" i="54"/>
  <c r="E203" i="54"/>
  <c r="E202" i="54"/>
  <c r="E201" i="54"/>
  <c r="E200" i="54"/>
  <c r="E199" i="54"/>
  <c r="E198" i="54"/>
  <c r="E197" i="54"/>
  <c r="E196" i="54"/>
  <c r="E195" i="54"/>
  <c r="E194" i="54"/>
  <c r="E193" i="54"/>
  <c r="E192" i="54"/>
  <c r="E191" i="54"/>
  <c r="E190" i="54"/>
  <c r="E189" i="54"/>
  <c r="E188" i="54"/>
  <c r="E187" i="54"/>
  <c r="E186" i="54"/>
  <c r="E185" i="54"/>
  <c r="E184" i="54"/>
  <c r="E183" i="54"/>
  <c r="E182" i="54"/>
  <c r="E181" i="54"/>
  <c r="E180" i="54"/>
  <c r="E179" i="54"/>
  <c r="E178" i="54"/>
  <c r="E177" i="54"/>
  <c r="E176" i="54"/>
  <c r="E175" i="54"/>
  <c r="E174" i="54"/>
  <c r="E173" i="54"/>
  <c r="E172" i="54"/>
  <c r="E171" i="54"/>
  <c r="E170" i="54"/>
  <c r="E169" i="54"/>
  <c r="E168" i="54"/>
  <c r="E167" i="54"/>
  <c r="E166" i="54"/>
  <c r="E165" i="54"/>
  <c r="E164" i="54"/>
  <c r="E163" i="54"/>
  <c r="E162" i="54"/>
  <c r="E161" i="54"/>
  <c r="E160" i="54"/>
  <c r="E159" i="54"/>
  <c r="E158" i="54"/>
  <c r="E157" i="54"/>
  <c r="E156" i="54"/>
  <c r="E155" i="54"/>
  <c r="E154" i="54"/>
  <c r="E153" i="54"/>
  <c r="E152" i="54"/>
  <c r="E151" i="54"/>
  <c r="E150" i="54"/>
  <c r="E149" i="54"/>
  <c r="E148" i="54"/>
  <c r="E147" i="54"/>
  <c r="E146" i="54"/>
  <c r="E145" i="54"/>
  <c r="E144" i="54"/>
  <c r="E143" i="54"/>
  <c r="E142" i="54"/>
  <c r="E141" i="54"/>
  <c r="E140" i="54"/>
  <c r="E139" i="54"/>
  <c r="E138" i="54"/>
  <c r="E137" i="54"/>
  <c r="E136" i="54"/>
  <c r="E135" i="54"/>
  <c r="E134" i="54"/>
  <c r="E133" i="54"/>
  <c r="E132" i="54"/>
  <c r="E131" i="54"/>
  <c r="E130" i="54"/>
  <c r="E129" i="54"/>
  <c r="E128" i="54"/>
  <c r="E127" i="54"/>
  <c r="E126" i="54"/>
  <c r="E125" i="54"/>
  <c r="E124" i="54"/>
  <c r="E123" i="54"/>
  <c r="E122" i="54"/>
  <c r="E121" i="54"/>
  <c r="E120" i="54"/>
  <c r="E119" i="54"/>
  <c r="E118" i="54"/>
  <c r="E117" i="54"/>
  <c r="E116" i="54"/>
  <c r="E115" i="54"/>
  <c r="E114" i="54"/>
  <c r="E113" i="54"/>
  <c r="E112" i="54"/>
  <c r="E111" i="54"/>
  <c r="E110" i="54"/>
  <c r="E109" i="54"/>
  <c r="E108" i="54"/>
  <c r="E107" i="54"/>
  <c r="E106" i="54"/>
  <c r="E105" i="54"/>
  <c r="E104" i="54"/>
  <c r="E103" i="54"/>
  <c r="E102" i="54"/>
  <c r="E101" i="54"/>
  <c r="E100" i="54"/>
  <c r="E99" i="54"/>
  <c r="E98" i="54"/>
  <c r="E97" i="54"/>
  <c r="E96" i="54"/>
  <c r="E95" i="54"/>
  <c r="E94" i="54"/>
  <c r="E93" i="54"/>
  <c r="E92" i="54"/>
  <c r="E91" i="54"/>
  <c r="E90" i="54"/>
  <c r="E89" i="54"/>
  <c r="E88" i="54"/>
  <c r="E87" i="54"/>
  <c r="E86" i="54"/>
  <c r="E85" i="54"/>
  <c r="E84" i="54"/>
  <c r="E83" i="54"/>
  <c r="E82" i="54"/>
  <c r="E81" i="54"/>
  <c r="E80" i="54"/>
  <c r="E79" i="54"/>
  <c r="E78" i="54"/>
  <c r="E77" i="54"/>
  <c r="E76" i="54"/>
  <c r="E75" i="54"/>
  <c r="E74" i="54"/>
  <c r="E73" i="54"/>
  <c r="E72" i="54"/>
  <c r="E71" i="54"/>
  <c r="E70" i="54"/>
  <c r="E69" i="54"/>
  <c r="E68" i="54"/>
  <c r="E67" i="54"/>
  <c r="E66" i="54"/>
  <c r="E65" i="54"/>
  <c r="E64" i="54"/>
  <c r="E63" i="54"/>
  <c r="E62" i="54"/>
  <c r="E61" i="54"/>
  <c r="E60" i="54"/>
  <c r="E59" i="54"/>
  <c r="E58" i="54"/>
  <c r="E57" i="54"/>
  <c r="E56" i="54"/>
  <c r="E55" i="54"/>
  <c r="E54" i="54"/>
  <c r="E53" i="54"/>
  <c r="E52" i="54"/>
  <c r="E51" i="54"/>
  <c r="E50" i="54"/>
  <c r="E49" i="54"/>
  <c r="E48" i="54"/>
  <c r="E47" i="54"/>
  <c r="E46" i="54"/>
  <c r="E45" i="54"/>
  <c r="E44" i="54"/>
  <c r="E43" i="54"/>
  <c r="E42" i="54"/>
  <c r="E41" i="54"/>
  <c r="E40" i="54"/>
  <c r="E39" i="54"/>
  <c r="E38" i="54"/>
  <c r="E37" i="54"/>
  <c r="E36" i="54"/>
  <c r="E35" i="54"/>
  <c r="E34" i="54"/>
  <c r="E33" i="54"/>
  <c r="E32" i="54"/>
  <c r="E31" i="54"/>
  <c r="E30" i="54"/>
  <c r="E29" i="54"/>
  <c r="E28" i="54"/>
  <c r="E27" i="54"/>
  <c r="E26" i="54"/>
  <c r="E25" i="54"/>
  <c r="E24" i="54"/>
  <c r="E23" i="54"/>
  <c r="E22" i="54"/>
  <c r="E21" i="54"/>
  <c r="E20" i="54"/>
  <c r="E19" i="54"/>
  <c r="E18" i="54"/>
  <c r="E17" i="54"/>
  <c r="E16" i="54"/>
  <c r="E15" i="54"/>
  <c r="D307" i="54"/>
  <c r="D306" i="54"/>
  <c r="D305" i="54"/>
  <c r="D304" i="54"/>
  <c r="D303" i="54"/>
  <c r="D302" i="54"/>
  <c r="D301" i="54"/>
  <c r="D300" i="54"/>
  <c r="D299" i="54"/>
  <c r="D298" i="54"/>
  <c r="D297" i="54"/>
  <c r="D296" i="54"/>
  <c r="D295" i="54"/>
  <c r="D294" i="54"/>
  <c r="D293" i="54"/>
  <c r="D292" i="54"/>
  <c r="D291" i="54"/>
  <c r="D290" i="54"/>
  <c r="D289" i="54"/>
  <c r="D288" i="54"/>
  <c r="D287" i="54"/>
  <c r="D286" i="54"/>
  <c r="D285" i="54"/>
  <c r="D284" i="54"/>
  <c r="D283" i="54"/>
  <c r="D282" i="54"/>
  <c r="D281" i="54"/>
  <c r="D280" i="54"/>
  <c r="D279" i="54"/>
  <c r="D278" i="54"/>
  <c r="D277" i="54"/>
  <c r="D276" i="54"/>
  <c r="D275" i="54"/>
  <c r="D274" i="54"/>
  <c r="D273" i="54"/>
  <c r="D272" i="54"/>
  <c r="D271" i="54"/>
  <c r="D270" i="54"/>
  <c r="D269" i="54"/>
  <c r="D268" i="54"/>
  <c r="D267" i="54"/>
  <c r="D266" i="54"/>
  <c r="D265" i="54"/>
  <c r="D264" i="54"/>
  <c r="D263" i="54"/>
  <c r="D262" i="54"/>
  <c r="D261" i="54"/>
  <c r="D260" i="54"/>
  <c r="D259" i="54"/>
  <c r="D258" i="54"/>
  <c r="D257" i="54"/>
  <c r="D256" i="54"/>
  <c r="D255" i="54"/>
  <c r="D254" i="54"/>
  <c r="D253" i="54"/>
  <c r="D252" i="54"/>
  <c r="D251" i="54"/>
  <c r="D250" i="54"/>
  <c r="D249" i="54"/>
  <c r="D248" i="54"/>
  <c r="D247" i="54"/>
  <c r="D246" i="54"/>
  <c r="D245" i="54"/>
  <c r="D244" i="54"/>
  <c r="D243" i="54"/>
  <c r="D242" i="54"/>
  <c r="D241" i="54"/>
  <c r="D240" i="54"/>
  <c r="D239" i="54"/>
  <c r="D238" i="54"/>
  <c r="D237" i="54"/>
  <c r="D236" i="54"/>
  <c r="D235" i="54"/>
  <c r="D234" i="54"/>
  <c r="D233" i="54"/>
  <c r="D232" i="54"/>
  <c r="D231" i="54"/>
  <c r="D230" i="54"/>
  <c r="D229" i="54"/>
  <c r="D228" i="54"/>
  <c r="D227" i="54"/>
  <c r="D226" i="54"/>
  <c r="D225" i="54"/>
  <c r="D224" i="54"/>
  <c r="D223" i="54"/>
  <c r="D222" i="54"/>
  <c r="D221" i="54"/>
  <c r="D220" i="54"/>
  <c r="D219" i="54"/>
  <c r="D218" i="54"/>
  <c r="D217" i="54"/>
  <c r="D216" i="54"/>
  <c r="D215" i="54"/>
  <c r="D214" i="54"/>
  <c r="D213" i="54"/>
  <c r="D212" i="54"/>
  <c r="D211" i="54"/>
  <c r="D210" i="54"/>
  <c r="D209" i="54"/>
  <c r="D208" i="54"/>
  <c r="D207" i="54"/>
  <c r="D206" i="54"/>
  <c r="D205" i="54"/>
  <c r="D204" i="54"/>
  <c r="D203" i="54"/>
  <c r="D202" i="54"/>
  <c r="D201" i="54"/>
  <c r="D200" i="54"/>
  <c r="D199" i="54"/>
  <c r="D198" i="54"/>
  <c r="D197" i="54"/>
  <c r="D196" i="54"/>
  <c r="D195" i="54"/>
  <c r="D194" i="54"/>
  <c r="D193" i="54"/>
  <c r="D192" i="54"/>
  <c r="D191" i="54"/>
  <c r="D190" i="54"/>
  <c r="D189" i="54"/>
  <c r="D188" i="54"/>
  <c r="D187" i="54"/>
  <c r="D186" i="54"/>
  <c r="D185" i="54"/>
  <c r="D184" i="54"/>
  <c r="D183" i="54"/>
  <c r="D182" i="54"/>
  <c r="D181" i="54"/>
  <c r="D180" i="54"/>
  <c r="D179" i="54"/>
  <c r="D178" i="54"/>
  <c r="D177" i="54"/>
  <c r="D176" i="54"/>
  <c r="D175" i="54"/>
  <c r="D174" i="54"/>
  <c r="D173" i="54"/>
  <c r="D172" i="54"/>
  <c r="D171" i="54"/>
  <c r="D170" i="54"/>
  <c r="D169" i="54"/>
  <c r="D168" i="54"/>
  <c r="D167" i="54"/>
  <c r="D166" i="54"/>
  <c r="D165" i="54"/>
  <c r="D164" i="54"/>
  <c r="D163" i="54"/>
  <c r="D162" i="54"/>
  <c r="D161" i="54"/>
  <c r="D160" i="54"/>
  <c r="D159" i="54"/>
  <c r="D158" i="54"/>
  <c r="D157" i="54"/>
  <c r="D156" i="54"/>
  <c r="D155" i="54"/>
  <c r="D154" i="54"/>
  <c r="D153" i="54"/>
  <c r="D152" i="54"/>
  <c r="D151" i="54"/>
  <c r="D150" i="54"/>
  <c r="D149" i="54"/>
  <c r="D148" i="54"/>
  <c r="D147" i="54"/>
  <c r="D146" i="54"/>
  <c r="D145" i="54"/>
  <c r="D144" i="54"/>
  <c r="D143" i="54"/>
  <c r="D142" i="54"/>
  <c r="D141" i="54"/>
  <c r="D140" i="54"/>
  <c r="D139" i="54"/>
  <c r="D138" i="54"/>
  <c r="D137" i="54"/>
  <c r="D136" i="54"/>
  <c r="D135" i="54"/>
  <c r="D134" i="54"/>
  <c r="D133" i="54"/>
  <c r="D132" i="54"/>
  <c r="D131" i="54"/>
  <c r="D130" i="54"/>
  <c r="D129" i="54"/>
  <c r="D128" i="54"/>
  <c r="D127" i="54"/>
  <c r="D126" i="54"/>
  <c r="D125" i="54"/>
  <c r="D124" i="54"/>
  <c r="D123" i="54"/>
  <c r="D122" i="54"/>
  <c r="D121" i="54"/>
  <c r="D120" i="54"/>
  <c r="D119" i="54"/>
  <c r="D118" i="54"/>
  <c r="D117" i="54"/>
  <c r="D116" i="54"/>
  <c r="D115" i="54"/>
  <c r="D114" i="54"/>
  <c r="D113" i="54"/>
  <c r="D112" i="54"/>
  <c r="D111" i="54"/>
  <c r="D110" i="54"/>
  <c r="D109" i="54"/>
  <c r="D108" i="54"/>
  <c r="D107" i="54"/>
  <c r="D106" i="54"/>
  <c r="D105" i="54"/>
  <c r="D104" i="54"/>
  <c r="D103" i="54"/>
  <c r="D102" i="54"/>
  <c r="D101" i="54"/>
  <c r="D100" i="54"/>
  <c r="D99" i="54"/>
  <c r="D98" i="54"/>
  <c r="D97" i="54"/>
  <c r="D96" i="54"/>
  <c r="D95" i="54"/>
  <c r="D94" i="54"/>
  <c r="D93" i="54"/>
  <c r="D92" i="54"/>
  <c r="D91" i="54"/>
  <c r="D90" i="54"/>
  <c r="D89" i="54"/>
  <c r="D88" i="54"/>
  <c r="D87" i="54"/>
  <c r="D86" i="54"/>
  <c r="D85" i="54"/>
  <c r="D84" i="54"/>
  <c r="D83" i="54"/>
  <c r="D82" i="54"/>
  <c r="D81" i="54"/>
  <c r="D80" i="54"/>
  <c r="D79" i="54"/>
  <c r="D78" i="54"/>
  <c r="D77" i="54"/>
  <c r="D76" i="54"/>
  <c r="D75" i="54"/>
  <c r="D74" i="54"/>
  <c r="D73" i="54"/>
  <c r="D72" i="54"/>
  <c r="D71" i="54"/>
  <c r="D70" i="54"/>
  <c r="D69" i="54"/>
  <c r="D68" i="54"/>
  <c r="D67" i="54"/>
  <c r="D66" i="54"/>
  <c r="D65" i="54"/>
  <c r="D64" i="54"/>
  <c r="D63" i="54"/>
  <c r="D62" i="54"/>
  <c r="D61" i="54"/>
  <c r="D60" i="54"/>
  <c r="D59" i="54"/>
  <c r="D58" i="54"/>
  <c r="D57" i="54"/>
  <c r="D56" i="54"/>
  <c r="D55" i="54"/>
  <c r="D54" i="54"/>
  <c r="D53" i="54"/>
  <c r="D52" i="54"/>
  <c r="D51" i="54"/>
  <c r="D50" i="54"/>
  <c r="D49" i="54"/>
  <c r="D48" i="54"/>
  <c r="D47" i="54"/>
  <c r="D46" i="54"/>
  <c r="D45" i="54"/>
  <c r="D44" i="54"/>
  <c r="D43" i="54"/>
  <c r="D42" i="54"/>
  <c r="D41" i="54"/>
  <c r="D40" i="54"/>
  <c r="D39" i="54"/>
  <c r="D38" i="54"/>
  <c r="D37" i="54"/>
  <c r="D36" i="54"/>
  <c r="D35" i="54"/>
  <c r="D34" i="54"/>
  <c r="D33" i="54"/>
  <c r="D32" i="54"/>
  <c r="D31" i="54"/>
  <c r="D30" i="54"/>
  <c r="D29" i="54"/>
  <c r="D28" i="54"/>
  <c r="D27" i="54"/>
  <c r="D26" i="54"/>
  <c r="D25" i="54"/>
  <c r="D24" i="54"/>
  <c r="D23" i="54"/>
  <c r="D22" i="54"/>
  <c r="D21" i="54"/>
  <c r="D20" i="54"/>
  <c r="D19" i="54"/>
  <c r="D18" i="54"/>
  <c r="D17" i="54"/>
  <c r="D16" i="54"/>
  <c r="D15" i="54"/>
  <c r="C307" i="54"/>
  <c r="C306" i="54"/>
  <c r="C305" i="54"/>
  <c r="C304" i="54"/>
  <c r="C303" i="54"/>
  <c r="C302" i="54"/>
  <c r="C301" i="54"/>
  <c r="C300" i="54"/>
  <c r="C299" i="54"/>
  <c r="C298" i="54"/>
  <c r="C297" i="54"/>
  <c r="C296" i="54"/>
  <c r="C295" i="54"/>
  <c r="C294" i="54"/>
  <c r="C293" i="54"/>
  <c r="C292" i="54"/>
  <c r="C291" i="54"/>
  <c r="C290" i="54"/>
  <c r="C289" i="54"/>
  <c r="C288" i="54"/>
  <c r="C287" i="54"/>
  <c r="C286" i="54"/>
  <c r="C285" i="54"/>
  <c r="C284" i="54"/>
  <c r="C283" i="54"/>
  <c r="C282" i="54"/>
  <c r="C281" i="54"/>
  <c r="C280" i="54"/>
  <c r="C279" i="54"/>
  <c r="C278" i="54"/>
  <c r="C277" i="54"/>
  <c r="C276" i="54"/>
  <c r="C275" i="54"/>
  <c r="C274" i="54"/>
  <c r="C273" i="54"/>
  <c r="C272" i="54"/>
  <c r="C271" i="54"/>
  <c r="C270" i="54"/>
  <c r="C269" i="54"/>
  <c r="C268" i="54"/>
  <c r="C267" i="54"/>
  <c r="C266" i="54"/>
  <c r="C265" i="54"/>
  <c r="C264" i="54"/>
  <c r="C263" i="54"/>
  <c r="C262" i="54"/>
  <c r="C261" i="54"/>
  <c r="C260" i="54"/>
  <c r="C259" i="54"/>
  <c r="C258" i="54"/>
  <c r="C257" i="54"/>
  <c r="C256" i="54"/>
  <c r="C255" i="54"/>
  <c r="C254" i="54"/>
  <c r="C253" i="54"/>
  <c r="C252" i="54"/>
  <c r="C251" i="54"/>
  <c r="C250" i="54"/>
  <c r="C249" i="54"/>
  <c r="C248" i="54"/>
  <c r="C247" i="54"/>
  <c r="C246" i="54"/>
  <c r="C245" i="54"/>
  <c r="C244" i="54"/>
  <c r="C243" i="54"/>
  <c r="C242" i="54"/>
  <c r="C241" i="54"/>
  <c r="C240" i="54"/>
  <c r="C239" i="54"/>
  <c r="C238" i="54"/>
  <c r="C237" i="54"/>
  <c r="C236" i="54"/>
  <c r="C235" i="54"/>
  <c r="C234" i="54"/>
  <c r="C233" i="54"/>
  <c r="C232" i="54"/>
  <c r="C231" i="54"/>
  <c r="C230" i="54"/>
  <c r="C229" i="54"/>
  <c r="C228" i="54"/>
  <c r="C227" i="54"/>
  <c r="C226" i="54"/>
  <c r="C225" i="54"/>
  <c r="C224" i="54"/>
  <c r="C223" i="54"/>
  <c r="C222" i="54"/>
  <c r="C221" i="54"/>
  <c r="C220" i="54"/>
  <c r="C219" i="54"/>
  <c r="C218" i="54"/>
  <c r="C217" i="54"/>
  <c r="C216" i="54"/>
  <c r="C215" i="54"/>
  <c r="C214" i="54"/>
  <c r="C213" i="54"/>
  <c r="C212" i="54"/>
  <c r="C211" i="54"/>
  <c r="C210" i="54"/>
  <c r="C209" i="54"/>
  <c r="C208" i="54"/>
  <c r="C207" i="54"/>
  <c r="C206" i="54"/>
  <c r="C205" i="54"/>
  <c r="C204" i="54"/>
  <c r="C203" i="54"/>
  <c r="C202" i="54"/>
  <c r="C201" i="54"/>
  <c r="C200" i="54"/>
  <c r="C199" i="54"/>
  <c r="C198" i="54"/>
  <c r="C197" i="54"/>
  <c r="C196" i="54"/>
  <c r="C195" i="54"/>
  <c r="C194" i="54"/>
  <c r="C193" i="54"/>
  <c r="C192" i="54"/>
  <c r="C191" i="54"/>
  <c r="C190" i="54"/>
  <c r="C189" i="54"/>
  <c r="C188" i="54"/>
  <c r="C187" i="54"/>
  <c r="C186" i="54"/>
  <c r="C185" i="54"/>
  <c r="C184" i="54"/>
  <c r="C183" i="54"/>
  <c r="C182" i="54"/>
  <c r="C181" i="54"/>
  <c r="C180" i="54"/>
  <c r="C179" i="54"/>
  <c r="C178" i="54"/>
  <c r="C177" i="54"/>
  <c r="C176" i="54"/>
  <c r="C175" i="54"/>
  <c r="C174" i="54"/>
  <c r="C173" i="54"/>
  <c r="C172" i="54"/>
  <c r="C171" i="54"/>
  <c r="C170" i="54"/>
  <c r="C169" i="54"/>
  <c r="C168" i="54"/>
  <c r="C167" i="54"/>
  <c r="C166" i="54"/>
  <c r="C165" i="54"/>
  <c r="C164" i="54"/>
  <c r="C163" i="54"/>
  <c r="C162" i="54"/>
  <c r="C161" i="54"/>
  <c r="C160" i="54"/>
  <c r="C159" i="54"/>
  <c r="C158" i="54"/>
  <c r="C157" i="54"/>
  <c r="C156" i="54"/>
  <c r="C155" i="54"/>
  <c r="C154" i="54"/>
  <c r="C153" i="54"/>
  <c r="C152" i="54"/>
  <c r="C151" i="54"/>
  <c r="C150" i="54"/>
  <c r="C149" i="54"/>
  <c r="C148" i="54"/>
  <c r="C147" i="54"/>
  <c r="C146" i="54"/>
  <c r="C145" i="54"/>
  <c r="C144" i="54"/>
  <c r="C143" i="54"/>
  <c r="C142" i="54"/>
  <c r="C141" i="54"/>
  <c r="C140" i="54"/>
  <c r="C139" i="54"/>
  <c r="C138" i="54"/>
  <c r="C137" i="54"/>
  <c r="C136" i="54"/>
  <c r="C135" i="54"/>
  <c r="C134" i="54"/>
  <c r="C133" i="54"/>
  <c r="C132" i="54"/>
  <c r="C131" i="54"/>
  <c r="C130" i="54"/>
  <c r="C129" i="54"/>
  <c r="C128" i="54"/>
  <c r="C127" i="54"/>
  <c r="C126" i="54"/>
  <c r="C125" i="54"/>
  <c r="C124" i="54"/>
  <c r="C123" i="54"/>
  <c r="C122" i="54"/>
  <c r="C121" i="54"/>
  <c r="C120" i="54"/>
  <c r="C119" i="54"/>
  <c r="C118" i="54"/>
  <c r="C117" i="54"/>
  <c r="C116" i="54"/>
  <c r="C115" i="54"/>
  <c r="C114" i="54"/>
  <c r="C113" i="54"/>
  <c r="C112" i="54"/>
  <c r="C111" i="54"/>
  <c r="C110" i="54"/>
  <c r="C109" i="54"/>
  <c r="C108" i="54"/>
  <c r="C107" i="54"/>
  <c r="C106" i="54"/>
  <c r="C105" i="54"/>
  <c r="C104" i="54"/>
  <c r="C103" i="54"/>
  <c r="C102" i="54"/>
  <c r="C101" i="54"/>
  <c r="C100" i="54"/>
  <c r="C99" i="54"/>
  <c r="C98" i="54"/>
  <c r="C97" i="54"/>
  <c r="C96" i="54"/>
  <c r="C95" i="54"/>
  <c r="C94" i="54"/>
  <c r="C93" i="54"/>
  <c r="C92" i="54"/>
  <c r="C91" i="54"/>
  <c r="C90" i="54"/>
  <c r="C89" i="54"/>
  <c r="C88" i="54"/>
  <c r="C87" i="54"/>
  <c r="C86" i="54"/>
  <c r="C85" i="54"/>
  <c r="C84" i="54"/>
  <c r="C83" i="54"/>
  <c r="C82" i="54"/>
  <c r="C81" i="54"/>
  <c r="C80" i="54"/>
  <c r="C79" i="54"/>
  <c r="C78" i="54"/>
  <c r="C77" i="54"/>
  <c r="C76" i="54"/>
  <c r="C75" i="54"/>
  <c r="C74" i="54"/>
  <c r="C73" i="54"/>
  <c r="C72" i="54"/>
  <c r="C71" i="54"/>
  <c r="C70" i="54"/>
  <c r="C69" i="54"/>
  <c r="C68" i="54"/>
  <c r="C67" i="54"/>
  <c r="C66" i="54"/>
  <c r="C65" i="54"/>
  <c r="C64" i="54"/>
  <c r="C63" i="54"/>
  <c r="C62" i="54"/>
  <c r="C61" i="54"/>
  <c r="C60" i="54"/>
  <c r="C59" i="54"/>
  <c r="C58" i="54"/>
  <c r="C57" i="54"/>
  <c r="C56" i="54"/>
  <c r="C55" i="54"/>
  <c r="C54" i="54"/>
  <c r="C53" i="54"/>
  <c r="C52" i="54"/>
  <c r="C51" i="54"/>
  <c r="C50" i="54"/>
  <c r="C49" i="54"/>
  <c r="C48" i="54"/>
  <c r="C47" i="54"/>
  <c r="C46" i="54"/>
  <c r="C45" i="54"/>
  <c r="C44" i="54"/>
  <c r="C43" i="54"/>
  <c r="C42" i="54"/>
  <c r="C41" i="54"/>
  <c r="C40" i="54"/>
  <c r="C39" i="54"/>
  <c r="C38" i="54"/>
  <c r="C37" i="54"/>
  <c r="C36" i="54"/>
  <c r="C35" i="54"/>
  <c r="C34" i="54"/>
  <c r="C33" i="54"/>
  <c r="C32" i="54"/>
  <c r="C31" i="54"/>
  <c r="C30" i="54"/>
  <c r="C29" i="54"/>
  <c r="C28" i="54"/>
  <c r="C27" i="54"/>
  <c r="C26" i="54"/>
  <c r="C25" i="54"/>
  <c r="C24" i="54"/>
  <c r="C23" i="54"/>
  <c r="C22" i="54"/>
  <c r="C21" i="54"/>
  <c r="C20" i="54"/>
  <c r="C19" i="54"/>
  <c r="C18" i="54"/>
  <c r="C17" i="54"/>
  <c r="C16" i="54"/>
  <c r="C15" i="54"/>
  <c r="AK13" i="45"/>
  <c r="AI13" i="45"/>
  <c r="AU302" i="45"/>
  <c r="CM302" i="45" s="1"/>
  <c r="BC301" i="45"/>
  <c r="BC295" i="45"/>
  <c r="AU294" i="45"/>
  <c r="CM294" i="45" s="1"/>
  <c r="BC293" i="45"/>
  <c r="AU286" i="45"/>
  <c r="CM286" i="45" s="1"/>
  <c r="BC285" i="45"/>
  <c r="BC279" i="45"/>
  <c r="AU278" i="45"/>
  <c r="CM278" i="45" s="1"/>
  <c r="BC277" i="45"/>
  <c r="AU270" i="45"/>
  <c r="CM270" i="45" s="1"/>
  <c r="BC263" i="45"/>
  <c r="AU262" i="45"/>
  <c r="CM262" i="45" s="1"/>
  <c r="BC261" i="45"/>
  <c r="BC257" i="45"/>
  <c r="AU254" i="45"/>
  <c r="CM254" i="45" s="1"/>
  <c r="BC253" i="45"/>
  <c r="AU246" i="45"/>
  <c r="CM246" i="45" s="1"/>
  <c r="BC245" i="45"/>
  <c r="AU238" i="45"/>
  <c r="CM238" i="45" s="1"/>
  <c r="AU230" i="45"/>
  <c r="CM230" i="45" s="1"/>
  <c r="BC229" i="45"/>
  <c r="AU222" i="45"/>
  <c r="CM222" i="45" s="1"/>
  <c r="BC221" i="45"/>
  <c r="BC215" i="45"/>
  <c r="AU214" i="45"/>
  <c r="CM214" i="45" s="1"/>
  <c r="BC213" i="45"/>
  <c r="AU206" i="45"/>
  <c r="CM206" i="45" s="1"/>
  <c r="AU198" i="45"/>
  <c r="CM198" i="45" s="1"/>
  <c r="BC197" i="45"/>
  <c r="BC193" i="45"/>
  <c r="AU190" i="45"/>
  <c r="CM190" i="45" s="1"/>
  <c r="BC189" i="45"/>
  <c r="BC183" i="45"/>
  <c r="AU182" i="45"/>
  <c r="CM182" i="45" s="1"/>
  <c r="BC181" i="45"/>
  <c r="AU174" i="45"/>
  <c r="CM174" i="45" s="1"/>
  <c r="BC173" i="45"/>
  <c r="BC171" i="45"/>
  <c r="AU166" i="45"/>
  <c r="CM166" i="45" s="1"/>
  <c r="BC165" i="45"/>
  <c r="AU158" i="45"/>
  <c r="CM158" i="45" s="1"/>
  <c r="AU134" i="45"/>
  <c r="CM134" i="45" s="1"/>
  <c r="BC129" i="45"/>
  <c r="AU118" i="45"/>
  <c r="CM118" i="45" s="1"/>
  <c r="AU102" i="45"/>
  <c r="CM102" i="45" s="1"/>
  <c r="BC98" i="45"/>
  <c r="AU86" i="45"/>
  <c r="CM86" i="45" s="1"/>
  <c r="AU70" i="45"/>
  <c r="CM70" i="45" s="1"/>
  <c r="AU54" i="45"/>
  <c r="CM54" i="45" s="1"/>
  <c r="AU39" i="45"/>
  <c r="CM39" i="45" s="1"/>
  <c r="AU23" i="45"/>
  <c r="CM23" i="45" s="1"/>
  <c r="AU301" i="45"/>
  <c r="CM301" i="45" s="1"/>
  <c r="AU298" i="45"/>
  <c r="CM298" i="45" s="1"/>
  <c r="AU293" i="45"/>
  <c r="CM293" i="45" s="1"/>
  <c r="AU290" i="45"/>
  <c r="CM290" i="45" s="1"/>
  <c r="AU282" i="45"/>
  <c r="CM282" i="45" s="1"/>
  <c r="AU279" i="45"/>
  <c r="CM279" i="45" s="1"/>
  <c r="AU274" i="45"/>
  <c r="CM274" i="45" s="1"/>
  <c r="AU264" i="45"/>
  <c r="CM264" i="45" s="1"/>
  <c r="AU263" i="45"/>
  <c r="CM263" i="45" s="1"/>
  <c r="AU261" i="45"/>
  <c r="CM261" i="45" s="1"/>
  <c r="AU253" i="45"/>
  <c r="CM253" i="45" s="1"/>
  <c r="AU250" i="45"/>
  <c r="CM250" i="45" s="1"/>
  <c r="AU245" i="45"/>
  <c r="CM245" i="45" s="1"/>
  <c r="AU242" i="45"/>
  <c r="CM242" i="45" s="1"/>
  <c r="AU237" i="45"/>
  <c r="CM237" i="45" s="1"/>
  <c r="AU234" i="45"/>
  <c r="CM234" i="45" s="1"/>
  <c r="AU232" i="45"/>
  <c r="CM232" i="45" s="1"/>
  <c r="AU231" i="45"/>
  <c r="CM231" i="45" s="1"/>
  <c r="AU226" i="45"/>
  <c r="CM226" i="45" s="1"/>
  <c r="AU223" i="45"/>
  <c r="CM223" i="45" s="1"/>
  <c r="AU221" i="45"/>
  <c r="CM221" i="45" s="1"/>
  <c r="AU216" i="45"/>
  <c r="CM216" i="45" s="1"/>
  <c r="AU215" i="45"/>
  <c r="CM215" i="45" s="1"/>
  <c r="AU213" i="45"/>
  <c r="CM213" i="45" s="1"/>
  <c r="AU205" i="45"/>
  <c r="CM205" i="45" s="1"/>
  <c r="AU197" i="45"/>
  <c r="CM197" i="45" s="1"/>
  <c r="AU194" i="45"/>
  <c r="CM194" i="45" s="1"/>
  <c r="AU189" i="45"/>
  <c r="CM189" i="45" s="1"/>
  <c r="AU186" i="45"/>
  <c r="CM186" i="45" s="1"/>
  <c r="AU184" i="45"/>
  <c r="CM184" i="45" s="1"/>
  <c r="AU183" i="45"/>
  <c r="CM183" i="45" s="1"/>
  <c r="AU165" i="45"/>
  <c r="CM165" i="45" s="1"/>
  <c r="AU159" i="45"/>
  <c r="CM159" i="45" s="1"/>
  <c r="AU147" i="45"/>
  <c r="CM147" i="45" s="1"/>
  <c r="AU135" i="45"/>
  <c r="CM135" i="45" s="1"/>
  <c r="AU120" i="45"/>
  <c r="CM120" i="45" s="1"/>
  <c r="AU119" i="45"/>
  <c r="CM119" i="45" s="1"/>
  <c r="AU98" i="45"/>
  <c r="CM98" i="45" s="1"/>
  <c r="CM89" i="45"/>
  <c r="AU79" i="45"/>
  <c r="CM79" i="45" s="1"/>
  <c r="AU63" i="45"/>
  <c r="CM63" i="45" s="1"/>
  <c r="AU25" i="45"/>
  <c r="CM25" i="45" s="1"/>
  <c r="AF13" i="45"/>
  <c r="AD13" i="45"/>
  <c r="AB13" i="45"/>
  <c r="F307" i="53"/>
  <c r="Y307" i="53" s="1"/>
  <c r="F306" i="53"/>
  <c r="Y306" i="53" s="1"/>
  <c r="F305" i="53"/>
  <c r="Y305" i="53" s="1"/>
  <c r="F304" i="53"/>
  <c r="Y304" i="53" s="1"/>
  <c r="F303" i="53"/>
  <c r="Y303" i="53" s="1"/>
  <c r="F302" i="53"/>
  <c r="Y302" i="53" s="1"/>
  <c r="F301" i="53"/>
  <c r="Y301" i="53" s="1"/>
  <c r="F300" i="53"/>
  <c r="Y300" i="53" s="1"/>
  <c r="F299" i="53"/>
  <c r="Y299" i="53" s="1"/>
  <c r="F298" i="53"/>
  <c r="Y298" i="53" s="1"/>
  <c r="F297" i="53"/>
  <c r="Y297" i="53" s="1"/>
  <c r="F296" i="53"/>
  <c r="Y296" i="53" s="1"/>
  <c r="F295" i="53"/>
  <c r="Y295" i="53" s="1"/>
  <c r="F294" i="53"/>
  <c r="Y294" i="53" s="1"/>
  <c r="F293" i="53"/>
  <c r="Y293" i="53" s="1"/>
  <c r="F292" i="53"/>
  <c r="Y292" i="53" s="1"/>
  <c r="F291" i="53"/>
  <c r="Y291" i="53" s="1"/>
  <c r="F290" i="53"/>
  <c r="Y290" i="53" s="1"/>
  <c r="F289" i="53"/>
  <c r="Y289" i="53" s="1"/>
  <c r="F288" i="53"/>
  <c r="Y288" i="53" s="1"/>
  <c r="F287" i="53"/>
  <c r="Y287" i="53" s="1"/>
  <c r="F286" i="53"/>
  <c r="Y286" i="53" s="1"/>
  <c r="F285" i="53"/>
  <c r="Y285" i="53" s="1"/>
  <c r="F284" i="53"/>
  <c r="Y284" i="53" s="1"/>
  <c r="F283" i="53"/>
  <c r="Y283" i="53" s="1"/>
  <c r="F282" i="53"/>
  <c r="Y282" i="53" s="1"/>
  <c r="F281" i="53"/>
  <c r="Y281" i="53" s="1"/>
  <c r="F280" i="53"/>
  <c r="Y280" i="53" s="1"/>
  <c r="F279" i="53"/>
  <c r="Y279" i="53" s="1"/>
  <c r="F278" i="53"/>
  <c r="Y278" i="53" s="1"/>
  <c r="F277" i="53"/>
  <c r="Y277" i="53" s="1"/>
  <c r="F276" i="53"/>
  <c r="Y276" i="53" s="1"/>
  <c r="F275" i="53"/>
  <c r="Y275" i="53" s="1"/>
  <c r="F274" i="53"/>
  <c r="Y274" i="53" s="1"/>
  <c r="F273" i="53"/>
  <c r="Y273" i="53" s="1"/>
  <c r="F272" i="53"/>
  <c r="Y272" i="53" s="1"/>
  <c r="F271" i="53"/>
  <c r="Y271" i="53" s="1"/>
  <c r="F270" i="53"/>
  <c r="Y270" i="53" s="1"/>
  <c r="F269" i="53"/>
  <c r="Y269" i="53" s="1"/>
  <c r="F268" i="53"/>
  <c r="Y268" i="53" s="1"/>
  <c r="F267" i="53"/>
  <c r="Y267" i="53" s="1"/>
  <c r="F266" i="53"/>
  <c r="Y266" i="53" s="1"/>
  <c r="F265" i="53"/>
  <c r="Y265" i="53" s="1"/>
  <c r="F264" i="53"/>
  <c r="Y264" i="53" s="1"/>
  <c r="F263" i="53"/>
  <c r="Y263" i="53" s="1"/>
  <c r="F262" i="53"/>
  <c r="Y262" i="53" s="1"/>
  <c r="F261" i="53"/>
  <c r="Y261" i="53" s="1"/>
  <c r="F260" i="53"/>
  <c r="Y260" i="53" s="1"/>
  <c r="F259" i="53"/>
  <c r="Y259" i="53" s="1"/>
  <c r="F258" i="53"/>
  <c r="Y258" i="53" s="1"/>
  <c r="F257" i="53"/>
  <c r="Y257" i="53" s="1"/>
  <c r="F256" i="53"/>
  <c r="Y256" i="53" s="1"/>
  <c r="F255" i="53"/>
  <c r="Y255" i="53" s="1"/>
  <c r="F254" i="53"/>
  <c r="Y254" i="53" s="1"/>
  <c r="F253" i="53"/>
  <c r="Y253" i="53" s="1"/>
  <c r="F252" i="53"/>
  <c r="Y252" i="53" s="1"/>
  <c r="F251" i="53"/>
  <c r="Y251" i="53" s="1"/>
  <c r="F250" i="53"/>
  <c r="Y250" i="53" s="1"/>
  <c r="F249" i="53"/>
  <c r="Y249" i="53" s="1"/>
  <c r="F248" i="53"/>
  <c r="Y248" i="53" s="1"/>
  <c r="F247" i="53"/>
  <c r="Y247" i="53" s="1"/>
  <c r="F246" i="53"/>
  <c r="Y246" i="53" s="1"/>
  <c r="F245" i="53"/>
  <c r="Y245" i="53" s="1"/>
  <c r="F244" i="53"/>
  <c r="Y244" i="53" s="1"/>
  <c r="F243" i="53"/>
  <c r="Y243" i="53" s="1"/>
  <c r="F242" i="53"/>
  <c r="Y242" i="53" s="1"/>
  <c r="F241" i="53"/>
  <c r="Y241" i="53" s="1"/>
  <c r="F240" i="53"/>
  <c r="Y240" i="53" s="1"/>
  <c r="F239" i="53"/>
  <c r="Y239" i="53" s="1"/>
  <c r="F238" i="53"/>
  <c r="Y238" i="53" s="1"/>
  <c r="F237" i="53"/>
  <c r="Y237" i="53" s="1"/>
  <c r="F236" i="53"/>
  <c r="Y236" i="53" s="1"/>
  <c r="F235" i="53"/>
  <c r="Y235" i="53" s="1"/>
  <c r="F234" i="53"/>
  <c r="Y234" i="53" s="1"/>
  <c r="F233" i="53"/>
  <c r="Y233" i="53" s="1"/>
  <c r="F232" i="53"/>
  <c r="Y232" i="53" s="1"/>
  <c r="F231" i="53"/>
  <c r="Y231" i="53" s="1"/>
  <c r="F230" i="53"/>
  <c r="Y230" i="53" s="1"/>
  <c r="F229" i="53"/>
  <c r="Y229" i="53" s="1"/>
  <c r="F228" i="53"/>
  <c r="Y228" i="53" s="1"/>
  <c r="F227" i="53"/>
  <c r="Y227" i="53" s="1"/>
  <c r="F226" i="53"/>
  <c r="Y226" i="53" s="1"/>
  <c r="F225" i="53"/>
  <c r="Y225" i="53" s="1"/>
  <c r="F224" i="53"/>
  <c r="Y224" i="53" s="1"/>
  <c r="F223" i="53"/>
  <c r="Y223" i="53" s="1"/>
  <c r="F222" i="53"/>
  <c r="Y222" i="53" s="1"/>
  <c r="F221" i="53"/>
  <c r="Y221" i="53" s="1"/>
  <c r="F220" i="53"/>
  <c r="Y220" i="53" s="1"/>
  <c r="F219" i="53"/>
  <c r="Y219" i="53" s="1"/>
  <c r="F218" i="53"/>
  <c r="Y218" i="53" s="1"/>
  <c r="F217" i="53"/>
  <c r="Y217" i="53" s="1"/>
  <c r="F216" i="53"/>
  <c r="Y216" i="53" s="1"/>
  <c r="F215" i="53"/>
  <c r="Y215" i="53" s="1"/>
  <c r="F214" i="53"/>
  <c r="Y214" i="53" s="1"/>
  <c r="F213" i="53"/>
  <c r="Y213" i="53" s="1"/>
  <c r="F212" i="53"/>
  <c r="Y212" i="53" s="1"/>
  <c r="F211" i="53"/>
  <c r="Y211" i="53" s="1"/>
  <c r="F210" i="53"/>
  <c r="Y210" i="53" s="1"/>
  <c r="F209" i="53"/>
  <c r="Y209" i="53" s="1"/>
  <c r="F208" i="53"/>
  <c r="Y208" i="53" s="1"/>
  <c r="F207" i="53"/>
  <c r="Y207" i="53" s="1"/>
  <c r="F206" i="53"/>
  <c r="Y206" i="53" s="1"/>
  <c r="F205" i="53"/>
  <c r="Y205" i="53" s="1"/>
  <c r="F204" i="53"/>
  <c r="Y204" i="53" s="1"/>
  <c r="F203" i="53"/>
  <c r="Y203" i="53" s="1"/>
  <c r="F202" i="53"/>
  <c r="Y202" i="53" s="1"/>
  <c r="F201" i="53"/>
  <c r="Y201" i="53" s="1"/>
  <c r="F200" i="53"/>
  <c r="Y200" i="53" s="1"/>
  <c r="F199" i="53"/>
  <c r="Y199" i="53" s="1"/>
  <c r="F198" i="53"/>
  <c r="Y198" i="53" s="1"/>
  <c r="F197" i="53"/>
  <c r="Y197" i="53" s="1"/>
  <c r="F196" i="53"/>
  <c r="Y196" i="53" s="1"/>
  <c r="F195" i="53"/>
  <c r="Y195" i="53" s="1"/>
  <c r="F194" i="53"/>
  <c r="Y194" i="53" s="1"/>
  <c r="F193" i="53"/>
  <c r="Y193" i="53" s="1"/>
  <c r="F192" i="53"/>
  <c r="Y192" i="53" s="1"/>
  <c r="F191" i="53"/>
  <c r="Y191" i="53" s="1"/>
  <c r="F190" i="53"/>
  <c r="Y190" i="53" s="1"/>
  <c r="F189" i="53"/>
  <c r="Y189" i="53" s="1"/>
  <c r="F188" i="53"/>
  <c r="Y188" i="53" s="1"/>
  <c r="F187" i="53"/>
  <c r="Y187" i="53" s="1"/>
  <c r="F186" i="53"/>
  <c r="Y186" i="53" s="1"/>
  <c r="F185" i="53"/>
  <c r="Y185" i="53" s="1"/>
  <c r="F184" i="53"/>
  <c r="Y184" i="53" s="1"/>
  <c r="F183" i="53"/>
  <c r="Y183" i="53" s="1"/>
  <c r="F182" i="53"/>
  <c r="Y182" i="53" s="1"/>
  <c r="F181" i="53"/>
  <c r="Y181" i="53" s="1"/>
  <c r="F180" i="53"/>
  <c r="Y180" i="53" s="1"/>
  <c r="F179" i="53"/>
  <c r="Y179" i="53" s="1"/>
  <c r="F178" i="53"/>
  <c r="Y178" i="53" s="1"/>
  <c r="F177" i="53"/>
  <c r="Y177" i="53" s="1"/>
  <c r="F176" i="53"/>
  <c r="Y176" i="53" s="1"/>
  <c r="F175" i="53"/>
  <c r="Y175" i="53" s="1"/>
  <c r="F174" i="53"/>
  <c r="Y174" i="53" s="1"/>
  <c r="F173" i="53"/>
  <c r="Y173" i="53" s="1"/>
  <c r="F172" i="53"/>
  <c r="Y172" i="53" s="1"/>
  <c r="F171" i="53"/>
  <c r="Y171" i="53" s="1"/>
  <c r="F170" i="53"/>
  <c r="Y170" i="53" s="1"/>
  <c r="F169" i="53"/>
  <c r="Y169" i="53" s="1"/>
  <c r="F168" i="53"/>
  <c r="Y168" i="53" s="1"/>
  <c r="F167" i="53"/>
  <c r="Y167" i="53" s="1"/>
  <c r="F166" i="53"/>
  <c r="Y166" i="53" s="1"/>
  <c r="F165" i="53"/>
  <c r="Y165" i="53" s="1"/>
  <c r="F164" i="53"/>
  <c r="Y164" i="53" s="1"/>
  <c r="F163" i="53"/>
  <c r="Y163" i="53" s="1"/>
  <c r="F162" i="53"/>
  <c r="Y162" i="53" s="1"/>
  <c r="F161" i="53"/>
  <c r="Y161" i="53" s="1"/>
  <c r="F160" i="53"/>
  <c r="Y160" i="53" s="1"/>
  <c r="F159" i="53"/>
  <c r="Y159" i="53" s="1"/>
  <c r="F158" i="53"/>
  <c r="Y158" i="53" s="1"/>
  <c r="F157" i="53"/>
  <c r="Y157" i="53" s="1"/>
  <c r="F156" i="53"/>
  <c r="Y156" i="53" s="1"/>
  <c r="F155" i="53"/>
  <c r="Y155" i="53" s="1"/>
  <c r="F154" i="53"/>
  <c r="Y154" i="53" s="1"/>
  <c r="F153" i="53"/>
  <c r="Y153" i="53" s="1"/>
  <c r="F152" i="53"/>
  <c r="Y152" i="53" s="1"/>
  <c r="F151" i="53"/>
  <c r="Y151" i="53" s="1"/>
  <c r="F150" i="53"/>
  <c r="Y150" i="53" s="1"/>
  <c r="F149" i="53"/>
  <c r="Y149" i="53" s="1"/>
  <c r="F148" i="53"/>
  <c r="Y148" i="53" s="1"/>
  <c r="F147" i="53"/>
  <c r="Y147" i="53" s="1"/>
  <c r="F146" i="53"/>
  <c r="Y146" i="53" s="1"/>
  <c r="F145" i="53"/>
  <c r="Y145" i="53" s="1"/>
  <c r="F144" i="53"/>
  <c r="Y144" i="53" s="1"/>
  <c r="F143" i="53"/>
  <c r="Y143" i="53" s="1"/>
  <c r="F142" i="53"/>
  <c r="Y142" i="53" s="1"/>
  <c r="F141" i="53"/>
  <c r="Y141" i="53" s="1"/>
  <c r="F140" i="53"/>
  <c r="Y140" i="53" s="1"/>
  <c r="F139" i="53"/>
  <c r="Y139" i="53" s="1"/>
  <c r="F138" i="53"/>
  <c r="Y138" i="53" s="1"/>
  <c r="F137" i="53"/>
  <c r="Y137" i="53" s="1"/>
  <c r="F136" i="53"/>
  <c r="Y136" i="53" s="1"/>
  <c r="F135" i="53"/>
  <c r="Y135" i="53" s="1"/>
  <c r="F134" i="53"/>
  <c r="Y134" i="53" s="1"/>
  <c r="F133" i="53"/>
  <c r="Y133" i="53" s="1"/>
  <c r="F132" i="53"/>
  <c r="Y132" i="53" s="1"/>
  <c r="F131" i="53"/>
  <c r="Y131" i="53" s="1"/>
  <c r="F130" i="53"/>
  <c r="Y130" i="53" s="1"/>
  <c r="F129" i="53"/>
  <c r="Y129" i="53" s="1"/>
  <c r="F128" i="53"/>
  <c r="Y128" i="53" s="1"/>
  <c r="F127" i="53"/>
  <c r="Y127" i="53" s="1"/>
  <c r="F126" i="53"/>
  <c r="Y126" i="53" s="1"/>
  <c r="F125" i="53"/>
  <c r="Y125" i="53" s="1"/>
  <c r="F124" i="53"/>
  <c r="Y124" i="53" s="1"/>
  <c r="F123" i="53"/>
  <c r="Y123" i="53" s="1"/>
  <c r="F122" i="53"/>
  <c r="Y122" i="53" s="1"/>
  <c r="F121" i="53"/>
  <c r="Y121" i="53" s="1"/>
  <c r="F120" i="53"/>
  <c r="Y120" i="53" s="1"/>
  <c r="F119" i="53"/>
  <c r="Y119" i="53" s="1"/>
  <c r="F118" i="53"/>
  <c r="Y118" i="53" s="1"/>
  <c r="F117" i="53"/>
  <c r="Y117" i="53" s="1"/>
  <c r="F116" i="53"/>
  <c r="Y116" i="53" s="1"/>
  <c r="F115" i="53"/>
  <c r="Y115" i="53" s="1"/>
  <c r="F114" i="53"/>
  <c r="Y114" i="53" s="1"/>
  <c r="F113" i="53"/>
  <c r="Y113" i="53" s="1"/>
  <c r="F112" i="53"/>
  <c r="Y112" i="53" s="1"/>
  <c r="F111" i="53"/>
  <c r="Y111" i="53" s="1"/>
  <c r="F110" i="53"/>
  <c r="Y110" i="53" s="1"/>
  <c r="F109" i="53"/>
  <c r="Y109" i="53" s="1"/>
  <c r="F108" i="53"/>
  <c r="Y108" i="53" s="1"/>
  <c r="F107" i="53"/>
  <c r="Y107" i="53" s="1"/>
  <c r="F106" i="53"/>
  <c r="Y106" i="53" s="1"/>
  <c r="F105" i="53"/>
  <c r="Y105" i="53" s="1"/>
  <c r="F104" i="53"/>
  <c r="Y104" i="53" s="1"/>
  <c r="F103" i="53"/>
  <c r="Y103" i="53" s="1"/>
  <c r="F102" i="53"/>
  <c r="Y102" i="53" s="1"/>
  <c r="F101" i="53"/>
  <c r="Y101" i="53" s="1"/>
  <c r="F100" i="53"/>
  <c r="Y100" i="53" s="1"/>
  <c r="F99" i="53"/>
  <c r="Y99" i="53" s="1"/>
  <c r="F98" i="53"/>
  <c r="Y98" i="53" s="1"/>
  <c r="F97" i="53"/>
  <c r="Y97" i="53" s="1"/>
  <c r="F96" i="53"/>
  <c r="Y96" i="53" s="1"/>
  <c r="F95" i="53"/>
  <c r="Y95" i="53" s="1"/>
  <c r="F94" i="53"/>
  <c r="Y94" i="53" s="1"/>
  <c r="F93" i="53"/>
  <c r="Y93" i="53" s="1"/>
  <c r="F92" i="53"/>
  <c r="Y92" i="53" s="1"/>
  <c r="F91" i="53"/>
  <c r="Y91" i="53" s="1"/>
  <c r="F90" i="53"/>
  <c r="Y90" i="53" s="1"/>
  <c r="F89" i="53"/>
  <c r="Y89" i="53" s="1"/>
  <c r="F88" i="53"/>
  <c r="Y88" i="53" s="1"/>
  <c r="F87" i="53"/>
  <c r="Y87" i="53" s="1"/>
  <c r="F86" i="53"/>
  <c r="Y86" i="53" s="1"/>
  <c r="F85" i="53"/>
  <c r="Y85" i="53" s="1"/>
  <c r="F84" i="53"/>
  <c r="Y84" i="53" s="1"/>
  <c r="F83" i="53"/>
  <c r="Y83" i="53" s="1"/>
  <c r="F82" i="53"/>
  <c r="Y82" i="53" s="1"/>
  <c r="F81" i="53"/>
  <c r="Y81" i="53" s="1"/>
  <c r="F80" i="53"/>
  <c r="Y80" i="53" s="1"/>
  <c r="F79" i="53"/>
  <c r="Y79" i="53" s="1"/>
  <c r="F78" i="53"/>
  <c r="Y78" i="53" s="1"/>
  <c r="F77" i="53"/>
  <c r="Y77" i="53" s="1"/>
  <c r="F76" i="53"/>
  <c r="Y76" i="53" s="1"/>
  <c r="F75" i="53"/>
  <c r="Y75" i="53" s="1"/>
  <c r="F74" i="53"/>
  <c r="Y74" i="53" s="1"/>
  <c r="F73" i="53"/>
  <c r="Y73" i="53" s="1"/>
  <c r="F72" i="53"/>
  <c r="Y72" i="53" s="1"/>
  <c r="F71" i="53"/>
  <c r="Y71" i="53" s="1"/>
  <c r="F70" i="53"/>
  <c r="Y70" i="53" s="1"/>
  <c r="F69" i="53"/>
  <c r="Y69" i="53" s="1"/>
  <c r="F68" i="53"/>
  <c r="Y68" i="53" s="1"/>
  <c r="F67" i="53"/>
  <c r="Y67" i="53" s="1"/>
  <c r="F66" i="53"/>
  <c r="Y66" i="53" s="1"/>
  <c r="F65" i="53"/>
  <c r="Y65" i="53" s="1"/>
  <c r="F64" i="53"/>
  <c r="Y64" i="53" s="1"/>
  <c r="F63" i="53"/>
  <c r="Y63" i="53" s="1"/>
  <c r="F62" i="53"/>
  <c r="Y62" i="53" s="1"/>
  <c r="F61" i="53"/>
  <c r="Y61" i="53" s="1"/>
  <c r="F60" i="53"/>
  <c r="Y60" i="53" s="1"/>
  <c r="F59" i="53"/>
  <c r="Y59" i="53" s="1"/>
  <c r="F58" i="53"/>
  <c r="Y58" i="53" s="1"/>
  <c r="F57" i="53"/>
  <c r="Y57" i="53" s="1"/>
  <c r="F56" i="53"/>
  <c r="Y56" i="53" s="1"/>
  <c r="F55" i="53"/>
  <c r="Y55" i="53" s="1"/>
  <c r="F54" i="53"/>
  <c r="Y54" i="53" s="1"/>
  <c r="F53" i="53"/>
  <c r="Y53" i="53" s="1"/>
  <c r="F52" i="53"/>
  <c r="Y52" i="53" s="1"/>
  <c r="F51" i="53"/>
  <c r="Y51" i="53" s="1"/>
  <c r="F50" i="53"/>
  <c r="Y50" i="53" s="1"/>
  <c r="F49" i="53"/>
  <c r="Y49" i="53" s="1"/>
  <c r="F48" i="53"/>
  <c r="Y48" i="53" s="1"/>
  <c r="F47" i="53"/>
  <c r="Y47" i="53" s="1"/>
  <c r="F46" i="53"/>
  <c r="Y46" i="53" s="1"/>
  <c r="F45" i="53"/>
  <c r="Y45" i="53" s="1"/>
  <c r="F44" i="53"/>
  <c r="Y44" i="53" s="1"/>
  <c r="F43" i="53"/>
  <c r="Y43" i="53" s="1"/>
  <c r="F42" i="53"/>
  <c r="Y42" i="53" s="1"/>
  <c r="F41" i="53"/>
  <c r="Y41" i="53" s="1"/>
  <c r="F40" i="53"/>
  <c r="Y40" i="53" s="1"/>
  <c r="F39" i="53"/>
  <c r="Y39" i="53" s="1"/>
  <c r="F38" i="53"/>
  <c r="Y38" i="53" s="1"/>
  <c r="F37" i="53"/>
  <c r="Y37" i="53" s="1"/>
  <c r="F36" i="53"/>
  <c r="Y36" i="53" s="1"/>
  <c r="F35" i="53"/>
  <c r="Y35" i="53" s="1"/>
  <c r="F34" i="53"/>
  <c r="Y34" i="53" s="1"/>
  <c r="F33" i="53"/>
  <c r="Y33" i="53" s="1"/>
  <c r="F32" i="53"/>
  <c r="Y32" i="53" s="1"/>
  <c r="F31" i="53"/>
  <c r="Y31" i="53" s="1"/>
  <c r="F30" i="53"/>
  <c r="Y30" i="53" s="1"/>
  <c r="F29" i="53"/>
  <c r="Y29" i="53" s="1"/>
  <c r="F28" i="53"/>
  <c r="Y28" i="53" s="1"/>
  <c r="F27" i="53"/>
  <c r="Y27" i="53" s="1"/>
  <c r="F26" i="53"/>
  <c r="Y26" i="53" s="1"/>
  <c r="F25" i="53"/>
  <c r="Y25" i="53" s="1"/>
  <c r="F24" i="53"/>
  <c r="Y24" i="53" s="1"/>
  <c r="F23" i="53"/>
  <c r="Y23" i="53" s="1"/>
  <c r="F22" i="53"/>
  <c r="Y22" i="53" s="1"/>
  <c r="F21" i="53"/>
  <c r="Y21" i="53" s="1"/>
  <c r="F20" i="53"/>
  <c r="Y20" i="53" s="1"/>
  <c r="F19" i="53"/>
  <c r="Y19" i="53" s="1"/>
  <c r="F18" i="53"/>
  <c r="Y18" i="53" s="1"/>
  <c r="F17" i="53"/>
  <c r="Y17" i="53" s="1"/>
  <c r="F16" i="53"/>
  <c r="Y16" i="53" s="1"/>
  <c r="F15" i="53"/>
  <c r="Y15" i="53" s="1"/>
  <c r="H13" i="45"/>
  <c r="N11" i="45" s="1"/>
  <c r="BN13" i="45"/>
  <c r="BV10" i="45" s="1"/>
  <c r="AZ13" i="45"/>
  <c r="AR13" i="45"/>
  <c r="AQ10" i="45"/>
  <c r="AP13" i="45"/>
  <c r="V11" i="45"/>
  <c r="L13" i="45"/>
  <c r="K13" i="45"/>
  <c r="J13" i="45"/>
  <c r="I13" i="45"/>
  <c r="G13" i="45"/>
  <c r="F13" i="45"/>
  <c r="E13" i="45"/>
  <c r="D13" i="45"/>
  <c r="C13" i="45"/>
  <c r="AR11" i="45" l="1"/>
  <c r="AP11" i="45"/>
  <c r="BN10" i="45"/>
  <c r="BC147" i="45"/>
  <c r="CN147" i="45" s="1"/>
  <c r="BC266" i="45"/>
  <c r="CN266" i="45" s="1"/>
  <c r="BC32" i="45"/>
  <c r="CN32" i="45" s="1"/>
  <c r="BC56" i="45"/>
  <c r="CN56" i="45" s="1"/>
  <c r="BC88" i="45"/>
  <c r="CN88" i="45" s="1"/>
  <c r="BC120" i="45"/>
  <c r="CN120" i="45" s="1"/>
  <c r="BC152" i="45"/>
  <c r="CN152" i="45" s="1"/>
  <c r="BC168" i="45"/>
  <c r="CN168" i="45" s="1"/>
  <c r="BC218" i="45"/>
  <c r="CN218" i="45" s="1"/>
  <c r="BC231" i="45"/>
  <c r="CN231" i="45" s="1"/>
  <c r="CX231" i="45" s="1"/>
  <c r="BC256" i="45"/>
  <c r="CN256" i="45" s="1"/>
  <c r="BK269" i="45"/>
  <c r="CO269" i="45" s="1"/>
  <c r="BC269" i="45"/>
  <c r="CN269" i="45" s="1"/>
  <c r="BC280" i="45"/>
  <c r="CN280" i="45" s="1"/>
  <c r="BC307" i="45"/>
  <c r="CN307" i="45" s="1"/>
  <c r="BC243" i="45"/>
  <c r="CN243" i="45" s="1"/>
  <c r="BC36" i="45"/>
  <c r="CN36" i="45" s="1"/>
  <c r="BC63" i="45"/>
  <c r="CN63" i="45" s="1"/>
  <c r="BK89" i="45"/>
  <c r="CO89" i="45" s="1"/>
  <c r="BC89" i="45"/>
  <c r="CN89" i="45" s="1"/>
  <c r="BC127" i="45"/>
  <c r="CN127" i="45" s="1"/>
  <c r="BC155" i="45"/>
  <c r="CN155" i="45" s="1"/>
  <c r="BC184" i="45"/>
  <c r="CN184" i="45" s="1"/>
  <c r="BC194" i="45"/>
  <c r="CN194" i="45" s="1"/>
  <c r="BC208" i="45"/>
  <c r="CN208" i="45" s="1"/>
  <c r="BC232" i="45"/>
  <c r="CN232" i="45" s="1"/>
  <c r="BC282" i="45"/>
  <c r="CN282" i="45" s="1"/>
  <c r="CX282" i="45" s="1"/>
  <c r="BC26" i="45"/>
  <c r="CN26" i="45" s="1"/>
  <c r="BK205" i="45"/>
  <c r="CO205" i="45" s="1"/>
  <c r="BC205" i="45"/>
  <c r="CN205" i="45" s="1"/>
  <c r="BC65" i="45"/>
  <c r="CN65" i="45" s="1"/>
  <c r="BC95" i="45"/>
  <c r="CN95" i="45" s="1"/>
  <c r="BC186" i="45"/>
  <c r="CN186" i="45" s="1"/>
  <c r="CX186" i="45" s="1"/>
  <c r="BC210" i="45"/>
  <c r="CN210" i="45" s="1"/>
  <c r="BC234" i="45"/>
  <c r="CN234" i="45" s="1"/>
  <c r="CX234" i="45" s="1"/>
  <c r="BC247" i="45"/>
  <c r="CN247" i="45" s="1"/>
  <c r="BC258" i="45"/>
  <c r="CN258" i="45" s="1"/>
  <c r="BC272" i="45"/>
  <c r="CN272" i="45" s="1"/>
  <c r="BC296" i="45"/>
  <c r="CN296" i="45" s="1"/>
  <c r="BC119" i="45"/>
  <c r="CN119" i="45" s="1"/>
  <c r="BC216" i="45"/>
  <c r="CN216" i="45" s="1"/>
  <c r="BC16" i="45"/>
  <c r="CN16" i="45" s="1"/>
  <c r="BC40" i="45"/>
  <c r="CN40" i="45" s="1"/>
  <c r="BC159" i="45"/>
  <c r="CN159" i="45" s="1"/>
  <c r="CX159" i="45" s="1"/>
  <c r="BC187" i="45"/>
  <c r="CN187" i="45" s="1"/>
  <c r="BC211" i="45"/>
  <c r="CN211" i="45" s="1"/>
  <c r="BC223" i="45"/>
  <c r="CN223" i="45" s="1"/>
  <c r="BK237" i="45"/>
  <c r="CO237" i="45" s="1"/>
  <c r="BC237" i="45"/>
  <c r="CN237" i="45" s="1"/>
  <c r="BC248" i="45"/>
  <c r="CN248" i="45" s="1"/>
  <c r="BC274" i="45"/>
  <c r="CN274" i="45" s="1"/>
  <c r="BC298" i="45"/>
  <c r="CN298" i="45" s="1"/>
  <c r="BC87" i="45"/>
  <c r="CN87" i="45" s="1"/>
  <c r="BC167" i="45"/>
  <c r="CN167" i="45" s="1"/>
  <c r="BC255" i="45"/>
  <c r="CN255" i="45" s="1"/>
  <c r="BC306" i="45"/>
  <c r="CN306" i="45" s="1"/>
  <c r="BC47" i="45"/>
  <c r="CN47" i="45" s="1"/>
  <c r="BC71" i="45"/>
  <c r="CN71" i="45" s="1"/>
  <c r="BC135" i="45"/>
  <c r="CN135" i="45" s="1"/>
  <c r="BC160" i="45"/>
  <c r="CN160" i="45" s="1"/>
  <c r="BC176" i="45"/>
  <c r="CN176" i="45" s="1"/>
  <c r="BC199" i="45"/>
  <c r="CN199" i="45" s="1"/>
  <c r="BC224" i="45"/>
  <c r="CN224" i="45" s="1"/>
  <c r="BC250" i="45"/>
  <c r="CN250" i="45" s="1"/>
  <c r="BC275" i="45"/>
  <c r="CN275" i="45" s="1"/>
  <c r="BC287" i="45"/>
  <c r="CN287" i="45" s="1"/>
  <c r="BC55" i="45"/>
  <c r="CN55" i="45" s="1"/>
  <c r="BC192" i="45"/>
  <c r="CN192" i="45" s="1"/>
  <c r="BC24" i="45"/>
  <c r="CN24" i="45" s="1"/>
  <c r="BC49" i="45"/>
  <c r="CN49" i="45" s="1"/>
  <c r="BC79" i="45"/>
  <c r="CN79" i="45" s="1"/>
  <c r="BC103" i="45"/>
  <c r="CN103" i="45" s="1"/>
  <c r="BK141" i="45"/>
  <c r="CO141" i="45" s="1"/>
  <c r="BC141" i="45"/>
  <c r="CN141" i="45" s="1"/>
  <c r="BC179" i="45"/>
  <c r="CN179" i="45" s="1"/>
  <c r="BC200" i="45"/>
  <c r="CN200" i="45" s="1"/>
  <c r="BC226" i="45"/>
  <c r="CN226" i="45" s="1"/>
  <c r="BC240" i="45"/>
  <c r="CN240" i="45" s="1"/>
  <c r="BC288" i="45"/>
  <c r="CN288" i="45" s="1"/>
  <c r="BK25" i="45"/>
  <c r="CO25" i="45" s="1"/>
  <c r="BC25" i="45"/>
  <c r="CN25" i="45" s="1"/>
  <c r="BC144" i="45"/>
  <c r="CN144" i="45" s="1"/>
  <c r="BC191" i="45"/>
  <c r="CN191" i="45" s="1"/>
  <c r="BC202" i="45"/>
  <c r="CN202" i="45" s="1"/>
  <c r="BC242" i="45"/>
  <c r="CN242" i="45" s="1"/>
  <c r="CX242" i="45" s="1"/>
  <c r="BC264" i="45"/>
  <c r="CN264" i="45" s="1"/>
  <c r="BC290" i="45"/>
  <c r="CN290" i="45" s="1"/>
  <c r="BC304" i="45"/>
  <c r="CN304" i="45" s="1"/>
  <c r="BV11" i="45"/>
  <c r="M13" i="46"/>
  <c r="U14" i="60" s="1"/>
  <c r="AN13" i="47"/>
  <c r="AK11" i="45"/>
  <c r="AW11" i="45"/>
  <c r="AZ11" i="45"/>
  <c r="AU287" i="45"/>
  <c r="CM287" i="45" s="1"/>
  <c r="AU202" i="45"/>
  <c r="CM202" i="45" s="1"/>
  <c r="AU173" i="45"/>
  <c r="CM173" i="45" s="1"/>
  <c r="AU103" i="45"/>
  <c r="CM103" i="45" s="1"/>
  <c r="AU269" i="45"/>
  <c r="CM269" i="45" s="1"/>
  <c r="AU65" i="45"/>
  <c r="CM65" i="45" s="1"/>
  <c r="AU258" i="45"/>
  <c r="CM258" i="45" s="1"/>
  <c r="AU191" i="45"/>
  <c r="CM191" i="45" s="1"/>
  <c r="AU171" i="45"/>
  <c r="CM171" i="45" s="1"/>
  <c r="AU295" i="45"/>
  <c r="CM295" i="45" s="1"/>
  <c r="AU181" i="45"/>
  <c r="CM181" i="45" s="1"/>
  <c r="AU200" i="45"/>
  <c r="CM200" i="45" s="1"/>
  <c r="AU248" i="45"/>
  <c r="CM248" i="45" s="1"/>
  <c r="AU229" i="45"/>
  <c r="CM229" i="45" s="1"/>
  <c r="AU277" i="45"/>
  <c r="CM277" i="45" s="1"/>
  <c r="AU306" i="45"/>
  <c r="CM306" i="45" s="1"/>
  <c r="AU247" i="45"/>
  <c r="CM247" i="45" s="1"/>
  <c r="AU266" i="45"/>
  <c r="CM266" i="45" s="1"/>
  <c r="AU160" i="45"/>
  <c r="CM160" i="45" s="1"/>
  <c r="AU210" i="45"/>
  <c r="CM210" i="45" s="1"/>
  <c r="AU32" i="45"/>
  <c r="CM32" i="45" s="1"/>
  <c r="AU199" i="45"/>
  <c r="CM199" i="45" s="1"/>
  <c r="AU218" i="45"/>
  <c r="CM218" i="45" s="1"/>
  <c r="AU304" i="45"/>
  <c r="CM304" i="45" s="1"/>
  <c r="AU285" i="45"/>
  <c r="CM285" i="45" s="1"/>
  <c r="AU87" i="45"/>
  <c r="CM87" i="45" s="1"/>
  <c r="AU127" i="45"/>
  <c r="CM127" i="45" s="1"/>
  <c r="AU167" i="45"/>
  <c r="CM167" i="45" s="1"/>
  <c r="AU255" i="45"/>
  <c r="CM255" i="45" s="1"/>
  <c r="AU272" i="45"/>
  <c r="CM272" i="45" s="1"/>
  <c r="AU288" i="45"/>
  <c r="CM288" i="45" s="1"/>
  <c r="AU88" i="45"/>
  <c r="CM88" i="45" s="1"/>
  <c r="AU168" i="45"/>
  <c r="CM168" i="45" s="1"/>
  <c r="AU240" i="45"/>
  <c r="CM240" i="45" s="1"/>
  <c r="AU256" i="45"/>
  <c r="CM256" i="45" s="1"/>
  <c r="AU144" i="45"/>
  <c r="CM144" i="45" s="1"/>
  <c r="AU208" i="45"/>
  <c r="CM208" i="45" s="1"/>
  <c r="AU224" i="45"/>
  <c r="CM224" i="45" s="1"/>
  <c r="AU47" i="45"/>
  <c r="CM47" i="45" s="1"/>
  <c r="AU95" i="45"/>
  <c r="CM95" i="45" s="1"/>
  <c r="AU192" i="45"/>
  <c r="CM192" i="45" s="1"/>
  <c r="AU55" i="45"/>
  <c r="AU152" i="45"/>
  <c r="CM152" i="45" s="1"/>
  <c r="AU176" i="45"/>
  <c r="CM176" i="45" s="1"/>
  <c r="AU280" i="45"/>
  <c r="CM280" i="45" s="1"/>
  <c r="AU296" i="45"/>
  <c r="CM296" i="45" s="1"/>
  <c r="BC190" i="45"/>
  <c r="CN190" i="45" s="1"/>
  <c r="AU251" i="45"/>
  <c r="CM251" i="45" s="1"/>
  <c r="AU267" i="45"/>
  <c r="CM267" i="45" s="1"/>
  <c r="AU155" i="45"/>
  <c r="CM155" i="45" s="1"/>
  <c r="AU71" i="45"/>
  <c r="CM71" i="45" s="1"/>
  <c r="AU179" i="45"/>
  <c r="CM179" i="45" s="1"/>
  <c r="AU211" i="45"/>
  <c r="CM211" i="45" s="1"/>
  <c r="AU243" i="45"/>
  <c r="CM243" i="45" s="1"/>
  <c r="AU275" i="45"/>
  <c r="CM275" i="45" s="1"/>
  <c r="AU307" i="45"/>
  <c r="CM307" i="45" s="1"/>
  <c r="BK245" i="45"/>
  <c r="CO245" i="45" s="1"/>
  <c r="CN245" i="45"/>
  <c r="BC254" i="45"/>
  <c r="CN254" i="45" s="1"/>
  <c r="AU276" i="45"/>
  <c r="CM276" i="45" s="1"/>
  <c r="AP10" i="45"/>
  <c r="G11" i="47"/>
  <c r="Z13" i="47"/>
  <c r="AQ13" i="47" s="1"/>
  <c r="E11" i="47"/>
  <c r="X13" i="47"/>
  <c r="AO13" i="47" s="1"/>
  <c r="D10" i="48"/>
  <c r="W13" i="48"/>
  <c r="F11" i="48"/>
  <c r="Y13" i="48"/>
  <c r="G11" i="48"/>
  <c r="Z13" i="48"/>
  <c r="E10" i="48"/>
  <c r="E11" i="48"/>
  <c r="AU31" i="45"/>
  <c r="CM31" i="45" s="1"/>
  <c r="BC91" i="45"/>
  <c r="AU91" i="45"/>
  <c r="CM91" i="45" s="1"/>
  <c r="AU107" i="45"/>
  <c r="CM107" i="45" s="1"/>
  <c r="BC123" i="45"/>
  <c r="AU123" i="45"/>
  <c r="CM123" i="45" s="1"/>
  <c r="AU139" i="45"/>
  <c r="CM139" i="45" s="1"/>
  <c r="AU203" i="45"/>
  <c r="CM203" i="45" s="1"/>
  <c r="BC219" i="45"/>
  <c r="AU219" i="45"/>
  <c r="CM219" i="45" s="1"/>
  <c r="AU235" i="45"/>
  <c r="CM235" i="45" s="1"/>
  <c r="AU283" i="45"/>
  <c r="CM283" i="45" s="1"/>
  <c r="AU299" i="45"/>
  <c r="CM299" i="45" s="1"/>
  <c r="BC59" i="45"/>
  <c r="AU59" i="45"/>
  <c r="CM59" i="45" s="1"/>
  <c r="BC75" i="45"/>
  <c r="AU75" i="45"/>
  <c r="CM75" i="45" s="1"/>
  <c r="AU20" i="45"/>
  <c r="CM20" i="45" s="1"/>
  <c r="BC28" i="45"/>
  <c r="AU28" i="45"/>
  <c r="CM28" i="45" s="1"/>
  <c r="BC44" i="45"/>
  <c r="AU44" i="45"/>
  <c r="CM44" i="45" s="1"/>
  <c r="CN165" i="45"/>
  <c r="CN181" i="45"/>
  <c r="CN197" i="45"/>
  <c r="CN213" i="45"/>
  <c r="BK229" i="45"/>
  <c r="CN229" i="45"/>
  <c r="CN261" i="45"/>
  <c r="CN277" i="45"/>
  <c r="CN293" i="45"/>
  <c r="AU94" i="45"/>
  <c r="CM94" i="45" s="1"/>
  <c r="AU110" i="45"/>
  <c r="CM110" i="45" s="1"/>
  <c r="AU126" i="45"/>
  <c r="CM126" i="45" s="1"/>
  <c r="AU142" i="45"/>
  <c r="CM142" i="45" s="1"/>
  <c r="BC142" i="45"/>
  <c r="CN142" i="45" s="1"/>
  <c r="AU46" i="45"/>
  <c r="CM46" i="45" s="1"/>
  <c r="AU62" i="45"/>
  <c r="CM62" i="45" s="1"/>
  <c r="AU78" i="45"/>
  <c r="CM78" i="45" s="1"/>
  <c r="BC151" i="45"/>
  <c r="AU151" i="45"/>
  <c r="CM151" i="45" s="1"/>
  <c r="AU40" i="45"/>
  <c r="CM40" i="45" s="1"/>
  <c r="AU129" i="45"/>
  <c r="CM129" i="45" s="1"/>
  <c r="AU212" i="45"/>
  <c r="CM212" i="45" s="1"/>
  <c r="BK206" i="45"/>
  <c r="AU16" i="45"/>
  <c r="CM16" i="45" s="1"/>
  <c r="AU193" i="45"/>
  <c r="CM193" i="45" s="1"/>
  <c r="AU148" i="45"/>
  <c r="CM148" i="45" s="1"/>
  <c r="AU24" i="45"/>
  <c r="CM24" i="45" s="1"/>
  <c r="AU244" i="45"/>
  <c r="CM244" i="45" s="1"/>
  <c r="AU56" i="45"/>
  <c r="CM56" i="45" s="1"/>
  <c r="AU187" i="45"/>
  <c r="CM187" i="45" s="1"/>
  <c r="AU180" i="45"/>
  <c r="CM180" i="45" s="1"/>
  <c r="AU36" i="45"/>
  <c r="CM36" i="45" s="1"/>
  <c r="D60" i="66"/>
  <c r="D59" i="66"/>
  <c r="D54" i="66"/>
  <c r="D58" i="66"/>
  <c r="D57" i="66"/>
  <c r="D56" i="66"/>
  <c r="D55" i="66"/>
  <c r="AB222" i="48"/>
  <c r="AM222" i="54" s="1"/>
  <c r="AB239" i="48"/>
  <c r="AM239" i="54" s="1"/>
  <c r="AB101" i="48"/>
  <c r="AM101" i="54" s="1"/>
  <c r="AB116" i="48"/>
  <c r="AM116" i="54" s="1"/>
  <c r="AB225" i="48"/>
  <c r="AM225" i="54" s="1"/>
  <c r="AB132" i="48"/>
  <c r="AM132" i="54" s="1"/>
  <c r="AB146" i="48"/>
  <c r="AM146" i="54" s="1"/>
  <c r="AB271" i="48"/>
  <c r="AM271" i="54" s="1"/>
  <c r="AB51" i="48"/>
  <c r="AM51" i="54" s="1"/>
  <c r="AB149" i="48"/>
  <c r="AM149" i="54" s="1"/>
  <c r="AA145" i="48"/>
  <c r="AL145" i="54" s="1"/>
  <c r="AA68" i="48"/>
  <c r="AL68" i="54" s="1"/>
  <c r="AA125" i="48"/>
  <c r="AL125" i="54" s="1"/>
  <c r="AA223" i="48"/>
  <c r="AL223" i="54" s="1"/>
  <c r="AA302" i="48"/>
  <c r="AL302" i="54" s="1"/>
  <c r="AA15" i="48"/>
  <c r="AL15" i="54" s="1"/>
  <c r="AA289" i="48"/>
  <c r="AL289" i="54" s="1"/>
  <c r="AA141" i="48"/>
  <c r="AL141" i="54" s="1"/>
  <c r="AA238" i="48"/>
  <c r="AL238" i="54" s="1"/>
  <c r="AA263" i="48"/>
  <c r="AL263" i="54" s="1"/>
  <c r="AA83" i="48"/>
  <c r="AL83" i="54" s="1"/>
  <c r="AA102" i="48"/>
  <c r="AL102" i="54" s="1"/>
  <c r="AA30" i="48"/>
  <c r="AL30" i="54" s="1"/>
  <c r="BH11" i="45"/>
  <c r="AR10" i="45"/>
  <c r="AU22" i="45"/>
  <c r="CM22" i="45" s="1"/>
  <c r="BC22" i="45"/>
  <c r="BC30" i="45"/>
  <c r="AU30" i="45"/>
  <c r="CM30" i="45" s="1"/>
  <c r="BC38" i="45"/>
  <c r="AU38" i="45"/>
  <c r="CM38" i="45" s="1"/>
  <c r="BC45" i="45"/>
  <c r="AU45" i="45"/>
  <c r="CM45" i="45" s="1"/>
  <c r="AU53" i="45"/>
  <c r="CM53" i="45" s="1"/>
  <c r="BC53" i="45"/>
  <c r="BC61" i="45"/>
  <c r="AU61" i="45"/>
  <c r="CM61" i="45" s="1"/>
  <c r="BC69" i="45"/>
  <c r="AU69" i="45"/>
  <c r="CM69" i="45" s="1"/>
  <c r="BC77" i="45"/>
  <c r="AU77" i="45"/>
  <c r="CM77" i="45" s="1"/>
  <c r="AU85" i="45"/>
  <c r="CM85" i="45" s="1"/>
  <c r="BC85" i="45"/>
  <c r="BC93" i="45"/>
  <c r="AU93" i="45"/>
  <c r="CM93" i="45" s="1"/>
  <c r="BC101" i="45"/>
  <c r="AU101" i="45"/>
  <c r="CM101" i="45" s="1"/>
  <c r="BC109" i="45"/>
  <c r="AU109" i="45"/>
  <c r="CM109" i="45" s="1"/>
  <c r="AU117" i="45"/>
  <c r="CM117" i="45" s="1"/>
  <c r="BC117" i="45"/>
  <c r="BC125" i="45"/>
  <c r="AU125" i="45"/>
  <c r="CM125" i="45" s="1"/>
  <c r="BC133" i="45"/>
  <c r="AU133" i="45"/>
  <c r="CM133" i="45" s="1"/>
  <c r="AU149" i="45"/>
  <c r="CM149" i="45" s="1"/>
  <c r="BC149" i="45"/>
  <c r="BK173" i="45"/>
  <c r="CN173" i="45"/>
  <c r="BK189" i="45"/>
  <c r="CN189" i="45"/>
  <c r="BK221" i="45"/>
  <c r="CN221" i="45"/>
  <c r="BK253" i="45"/>
  <c r="CN253" i="45"/>
  <c r="BK285" i="45"/>
  <c r="CN285" i="45"/>
  <c r="BK301" i="45"/>
  <c r="CN301" i="45"/>
  <c r="BC51" i="45"/>
  <c r="AU51" i="45"/>
  <c r="CM51" i="45" s="1"/>
  <c r="BC83" i="45"/>
  <c r="AU83" i="45"/>
  <c r="CM83" i="45" s="1"/>
  <c r="BC115" i="45"/>
  <c r="AU115" i="45"/>
  <c r="CM115" i="45" s="1"/>
  <c r="AZ10" i="45"/>
  <c r="I11" i="45"/>
  <c r="J11" i="45"/>
  <c r="BE10" i="45"/>
  <c r="AU141" i="45"/>
  <c r="CM141" i="45" s="1"/>
  <c r="BC19" i="45"/>
  <c r="AU19" i="45"/>
  <c r="CM19" i="45" s="1"/>
  <c r="BC27" i="45"/>
  <c r="AU27" i="45"/>
  <c r="CM27" i="45" s="1"/>
  <c r="BC35" i="45"/>
  <c r="AU35" i="45"/>
  <c r="CM35" i="45" s="1"/>
  <c r="BC43" i="45"/>
  <c r="AU43" i="45"/>
  <c r="CM43" i="45" s="1"/>
  <c r="BC50" i="45"/>
  <c r="AU50" i="45"/>
  <c r="CM50" i="45" s="1"/>
  <c r="BC58" i="45"/>
  <c r="AU58" i="45"/>
  <c r="CM58" i="45" s="1"/>
  <c r="BC66" i="45"/>
  <c r="AU66" i="45"/>
  <c r="CM66" i="45" s="1"/>
  <c r="BC74" i="45"/>
  <c r="AU74" i="45"/>
  <c r="CM74" i="45" s="1"/>
  <c r="BC82" i="45"/>
  <c r="AU82" i="45"/>
  <c r="CM82" i="45" s="1"/>
  <c r="BC90" i="45"/>
  <c r="AU90" i="45"/>
  <c r="CM90" i="45" s="1"/>
  <c r="BK98" i="45"/>
  <c r="CN98" i="45"/>
  <c r="BC106" i="45"/>
  <c r="AU106" i="45"/>
  <c r="CM106" i="45" s="1"/>
  <c r="BC114" i="45"/>
  <c r="AU114" i="45"/>
  <c r="CM114" i="45" s="1"/>
  <c r="BC122" i="45"/>
  <c r="AU122" i="45"/>
  <c r="CM122" i="45" s="1"/>
  <c r="BC130" i="45"/>
  <c r="AU130" i="45"/>
  <c r="CM130" i="45" s="1"/>
  <c r="BC138" i="45"/>
  <c r="AU138" i="45"/>
  <c r="CM138" i="45" s="1"/>
  <c r="BC146" i="45"/>
  <c r="AU146" i="45"/>
  <c r="CM146" i="45" s="1"/>
  <c r="BC154" i="45"/>
  <c r="AU154" i="45"/>
  <c r="CM154" i="45" s="1"/>
  <c r="BC162" i="45"/>
  <c r="AU162" i="45"/>
  <c r="CM162" i="45" s="1"/>
  <c r="BC170" i="45"/>
  <c r="AU170" i="45"/>
  <c r="CM170" i="45" s="1"/>
  <c r="BC178" i="45"/>
  <c r="AU178" i="45"/>
  <c r="CM178" i="45" s="1"/>
  <c r="AU49" i="45"/>
  <c r="CM49" i="45" s="1"/>
  <c r="BC163" i="45"/>
  <c r="AU163" i="45"/>
  <c r="CM163" i="45" s="1"/>
  <c r="BK171" i="45"/>
  <c r="CN171" i="45"/>
  <c r="BC195" i="45"/>
  <c r="AU195" i="45"/>
  <c r="CM195" i="45" s="1"/>
  <c r="BC227" i="45"/>
  <c r="AU227" i="45"/>
  <c r="CM227" i="45" s="1"/>
  <c r="BC259" i="45"/>
  <c r="AU259" i="45"/>
  <c r="CM259" i="45" s="1"/>
  <c r="BC291" i="45"/>
  <c r="AU291" i="45"/>
  <c r="CM291" i="45" s="1"/>
  <c r="AU150" i="45"/>
  <c r="CM150" i="45" s="1"/>
  <c r="BC150" i="45"/>
  <c r="BK254" i="45"/>
  <c r="BC111" i="45"/>
  <c r="AU111" i="45"/>
  <c r="CM111" i="45" s="1"/>
  <c r="BC143" i="45"/>
  <c r="AU143" i="45"/>
  <c r="CM143" i="45" s="1"/>
  <c r="BC175" i="45"/>
  <c r="AU175" i="45"/>
  <c r="CM175" i="45" s="1"/>
  <c r="BK183" i="45"/>
  <c r="CN183" i="45"/>
  <c r="BC207" i="45"/>
  <c r="AU207" i="45"/>
  <c r="CM207" i="45" s="1"/>
  <c r="BK215" i="45"/>
  <c r="CN215" i="45"/>
  <c r="BC239" i="45"/>
  <c r="AU239" i="45"/>
  <c r="CM239" i="45" s="1"/>
  <c r="BK263" i="45"/>
  <c r="CN263" i="45"/>
  <c r="BC271" i="45"/>
  <c r="AU271" i="45"/>
  <c r="CM271" i="45" s="1"/>
  <c r="BK279" i="45"/>
  <c r="CN279" i="45"/>
  <c r="BK295" i="45"/>
  <c r="CN295" i="45"/>
  <c r="BC303" i="45"/>
  <c r="AU303" i="45"/>
  <c r="CM303" i="45" s="1"/>
  <c r="BC157" i="45"/>
  <c r="AU157" i="45"/>
  <c r="CM157" i="45" s="1"/>
  <c r="AU26" i="45"/>
  <c r="CM26" i="45" s="1"/>
  <c r="AU257" i="45"/>
  <c r="CM257" i="45" s="1"/>
  <c r="BC17" i="45"/>
  <c r="AU17" i="45"/>
  <c r="CM17" i="45" s="1"/>
  <c r="BC33" i="45"/>
  <c r="AU33" i="45"/>
  <c r="CM33" i="45" s="1"/>
  <c r="BC41" i="45"/>
  <c r="AU41" i="45"/>
  <c r="CM41" i="45" s="1"/>
  <c r="BC48" i="45"/>
  <c r="AU48" i="45"/>
  <c r="CM48" i="45" s="1"/>
  <c r="BC64" i="45"/>
  <c r="AU64" i="45"/>
  <c r="CM64" i="45" s="1"/>
  <c r="BC72" i="45"/>
  <c r="AU72" i="45"/>
  <c r="CM72" i="45" s="1"/>
  <c r="BC80" i="45"/>
  <c r="AU80" i="45"/>
  <c r="CM80" i="45" s="1"/>
  <c r="BC96" i="45"/>
  <c r="AU96" i="45"/>
  <c r="CM96" i="45" s="1"/>
  <c r="BC104" i="45"/>
  <c r="AU104" i="45"/>
  <c r="CM104" i="45" s="1"/>
  <c r="BC112" i="45"/>
  <c r="AU112" i="45"/>
  <c r="CM112" i="45" s="1"/>
  <c r="BC128" i="45"/>
  <c r="AU128" i="45"/>
  <c r="CM128" i="45" s="1"/>
  <c r="BC136" i="45"/>
  <c r="AU136" i="45"/>
  <c r="CM136" i="45" s="1"/>
  <c r="BK129" i="45"/>
  <c r="CN129" i="45"/>
  <c r="BC153" i="45"/>
  <c r="AU153" i="45"/>
  <c r="CM153" i="45" s="1"/>
  <c r="BK193" i="45"/>
  <c r="CN193" i="45"/>
  <c r="BC217" i="45"/>
  <c r="AU217" i="45"/>
  <c r="CM217" i="45" s="1"/>
  <c r="BK257" i="45"/>
  <c r="CN257" i="45"/>
  <c r="BC281" i="45"/>
  <c r="AU281" i="45"/>
  <c r="CM281" i="45" s="1"/>
  <c r="BC99" i="45"/>
  <c r="AU99" i="45"/>
  <c r="CM99" i="45" s="1"/>
  <c r="BC131" i="45"/>
  <c r="AU131" i="45"/>
  <c r="CM131" i="45" s="1"/>
  <c r="BK142" i="45"/>
  <c r="BC23" i="45"/>
  <c r="BC39" i="45"/>
  <c r="BC54" i="45"/>
  <c r="BC70" i="45"/>
  <c r="BC86" i="45"/>
  <c r="BC102" i="45"/>
  <c r="BC118" i="45"/>
  <c r="BC134" i="45"/>
  <c r="BC166" i="45"/>
  <c r="BC182" i="45"/>
  <c r="BC198" i="45"/>
  <c r="BC214" i="45"/>
  <c r="BC230" i="45"/>
  <c r="BC246" i="45"/>
  <c r="BC262" i="45"/>
  <c r="BC278" i="45"/>
  <c r="BC294" i="45"/>
  <c r="AM13" i="45"/>
  <c r="AI10" i="45"/>
  <c r="AW10" i="45"/>
  <c r="BH10" i="45"/>
  <c r="AJ10" i="45"/>
  <c r="K11" i="45"/>
  <c r="AB11" i="45"/>
  <c r="AK10" i="45"/>
  <c r="L11" i="45"/>
  <c r="M11" i="45"/>
  <c r="AD11" i="45"/>
  <c r="P11" i="45"/>
  <c r="AF11" i="45"/>
  <c r="BM10" i="45"/>
  <c r="BE11" i="45"/>
  <c r="BN11" i="45"/>
  <c r="R11" i="45"/>
  <c r="AI11" i="45"/>
  <c r="V39" i="54"/>
  <c r="C39" i="65"/>
  <c r="V39" i="65" s="1"/>
  <c r="C39" i="57"/>
  <c r="V78" i="54"/>
  <c r="C78" i="65"/>
  <c r="V78" i="65" s="1"/>
  <c r="C78" i="57"/>
  <c r="V134" i="54"/>
  <c r="C134" i="65"/>
  <c r="V134" i="65" s="1"/>
  <c r="C134" i="57"/>
  <c r="V182" i="54"/>
  <c r="C182" i="65"/>
  <c r="V182" i="65" s="1"/>
  <c r="C182" i="57"/>
  <c r="V230" i="54"/>
  <c r="C230" i="65"/>
  <c r="V230" i="65" s="1"/>
  <c r="C230" i="57"/>
  <c r="V294" i="54"/>
  <c r="C294" i="65"/>
  <c r="V294" i="65" s="1"/>
  <c r="C294" i="57"/>
  <c r="D56" i="65"/>
  <c r="W56" i="65" s="1"/>
  <c r="W56" i="54"/>
  <c r="D56" i="57"/>
  <c r="W112" i="54"/>
  <c r="D112" i="65"/>
  <c r="W112" i="65" s="1"/>
  <c r="D112" i="57"/>
  <c r="W160" i="54"/>
  <c r="D160" i="65"/>
  <c r="W160" i="65" s="1"/>
  <c r="D160" i="57"/>
  <c r="W208" i="54"/>
  <c r="D208" i="65"/>
  <c r="W208" i="65" s="1"/>
  <c r="D208" i="57"/>
  <c r="W264" i="54"/>
  <c r="D264" i="65"/>
  <c r="W264" i="65" s="1"/>
  <c r="D264" i="57"/>
  <c r="E27" i="65"/>
  <c r="X27" i="65" s="1"/>
  <c r="E27" i="57"/>
  <c r="X27" i="54"/>
  <c r="E74" i="65"/>
  <c r="X74" i="65" s="1"/>
  <c r="X74" i="54"/>
  <c r="E74" i="57"/>
  <c r="X122" i="54"/>
  <c r="E122" i="65"/>
  <c r="X122" i="65" s="1"/>
  <c r="E122" i="57"/>
  <c r="X162" i="54"/>
  <c r="E162" i="65"/>
  <c r="X162" i="65" s="1"/>
  <c r="E162" i="57"/>
  <c r="X210" i="54"/>
  <c r="E210" i="65"/>
  <c r="X210" i="65" s="1"/>
  <c r="E210" i="57"/>
  <c r="X258" i="54"/>
  <c r="E258" i="65"/>
  <c r="X258" i="65" s="1"/>
  <c r="E258" i="57"/>
  <c r="X306" i="54"/>
  <c r="E306" i="65"/>
  <c r="X306" i="65" s="1"/>
  <c r="E306" i="57"/>
  <c r="F68" i="65"/>
  <c r="Y68" i="65" s="1"/>
  <c r="F68" i="57"/>
  <c r="Y68" i="54"/>
  <c r="Y132" i="54"/>
  <c r="F132" i="57"/>
  <c r="F132" i="65"/>
  <c r="Y132" i="65" s="1"/>
  <c r="Y180" i="54"/>
  <c r="F180" i="65"/>
  <c r="Y180" i="65" s="1"/>
  <c r="F180" i="57"/>
  <c r="Y228" i="54"/>
  <c r="F228" i="57"/>
  <c r="F228" i="65"/>
  <c r="Y228" i="65" s="1"/>
  <c r="F276" i="65"/>
  <c r="Y276" i="65" s="1"/>
  <c r="F276" i="57"/>
  <c r="Y276" i="54"/>
  <c r="G31" i="54"/>
  <c r="BE31" i="54" s="1"/>
  <c r="G94" i="54"/>
  <c r="BE94" i="54" s="1"/>
  <c r="G150" i="54"/>
  <c r="BE150" i="54" s="1"/>
  <c r="G198" i="54"/>
  <c r="BE198" i="54" s="1"/>
  <c r="G238" i="54"/>
  <c r="BE238" i="54" s="1"/>
  <c r="G294" i="54"/>
  <c r="BE294" i="54" s="1"/>
  <c r="C16" i="65"/>
  <c r="V16" i="65" s="1"/>
  <c r="C16" i="57"/>
  <c r="V16" i="54"/>
  <c r="C24" i="65"/>
  <c r="V24" i="65" s="1"/>
  <c r="V24" i="54"/>
  <c r="C24" i="57"/>
  <c r="C32" i="65"/>
  <c r="V32" i="65" s="1"/>
  <c r="V32" i="54"/>
  <c r="C32" i="57"/>
  <c r="C40" i="65"/>
  <c r="V40" i="65" s="1"/>
  <c r="V40" i="54"/>
  <c r="C40" i="57"/>
  <c r="C47" i="65"/>
  <c r="V47" i="65" s="1"/>
  <c r="V47" i="54"/>
  <c r="C47" i="57"/>
  <c r="C55" i="65"/>
  <c r="V55" i="65" s="1"/>
  <c r="V55" i="54"/>
  <c r="C55" i="57"/>
  <c r="C63" i="65"/>
  <c r="V63" i="65" s="1"/>
  <c r="C63" i="57"/>
  <c r="V63" i="54"/>
  <c r="C71" i="65"/>
  <c r="V71" i="65" s="1"/>
  <c r="V71" i="54"/>
  <c r="C71" i="57"/>
  <c r="C79" i="65"/>
  <c r="V79" i="65" s="1"/>
  <c r="C79" i="57"/>
  <c r="V79" i="54"/>
  <c r="C87" i="65"/>
  <c r="V87" i="65" s="1"/>
  <c r="C87" i="57"/>
  <c r="V87" i="54"/>
  <c r="C95" i="65"/>
  <c r="V95" i="65" s="1"/>
  <c r="V95" i="54"/>
  <c r="C95" i="57"/>
  <c r="C103" i="65"/>
  <c r="V103" i="65" s="1"/>
  <c r="C103" i="57"/>
  <c r="V103" i="54"/>
  <c r="C111" i="65"/>
  <c r="V111" i="65" s="1"/>
  <c r="V111" i="54"/>
  <c r="C111" i="57"/>
  <c r="C119" i="65"/>
  <c r="V119" i="65" s="1"/>
  <c r="V119" i="54"/>
  <c r="C119" i="57"/>
  <c r="C127" i="65"/>
  <c r="V127" i="65" s="1"/>
  <c r="C127" i="57"/>
  <c r="V127" i="54"/>
  <c r="C135" i="65"/>
  <c r="V135" i="65" s="1"/>
  <c r="V135" i="54"/>
  <c r="C135" i="57"/>
  <c r="C143" i="65"/>
  <c r="V143" i="65" s="1"/>
  <c r="V143" i="54"/>
  <c r="C143" i="57"/>
  <c r="C151" i="65"/>
  <c r="V151" i="65" s="1"/>
  <c r="V151" i="54"/>
  <c r="C151" i="57"/>
  <c r="C159" i="65"/>
  <c r="V159" i="65" s="1"/>
  <c r="V159" i="54"/>
  <c r="C159" i="57"/>
  <c r="C167" i="65"/>
  <c r="V167" i="65" s="1"/>
  <c r="V167" i="54"/>
  <c r="C167" i="57"/>
  <c r="C175" i="65"/>
  <c r="V175" i="65" s="1"/>
  <c r="V175" i="54"/>
  <c r="C175" i="57"/>
  <c r="C183" i="65"/>
  <c r="V183" i="65" s="1"/>
  <c r="V183" i="54"/>
  <c r="C183" i="57"/>
  <c r="V191" i="54"/>
  <c r="C191" i="65"/>
  <c r="V191" i="65" s="1"/>
  <c r="C191" i="57"/>
  <c r="V199" i="54"/>
  <c r="C199" i="65"/>
  <c r="V199" i="65" s="1"/>
  <c r="C199" i="57"/>
  <c r="V207" i="54"/>
  <c r="C207" i="65"/>
  <c r="V207" i="65" s="1"/>
  <c r="C207" i="57"/>
  <c r="V215" i="54"/>
  <c r="C215" i="65"/>
  <c r="V215" i="65" s="1"/>
  <c r="C215" i="57"/>
  <c r="V223" i="54"/>
  <c r="C223" i="65"/>
  <c r="V223" i="65" s="1"/>
  <c r="C223" i="57"/>
  <c r="V231" i="54"/>
  <c r="C231" i="65"/>
  <c r="V231" i="65" s="1"/>
  <c r="C231" i="57"/>
  <c r="V239" i="54"/>
  <c r="C239" i="65"/>
  <c r="V239" i="65" s="1"/>
  <c r="C239" i="57"/>
  <c r="V247" i="54"/>
  <c r="C247" i="65"/>
  <c r="V247" i="65" s="1"/>
  <c r="C247" i="57"/>
  <c r="V255" i="54"/>
  <c r="C255" i="65"/>
  <c r="V255" i="65" s="1"/>
  <c r="C255" i="57"/>
  <c r="V263" i="54"/>
  <c r="C263" i="65"/>
  <c r="V263" i="65" s="1"/>
  <c r="C263" i="57"/>
  <c r="V271" i="54"/>
  <c r="C271" i="65"/>
  <c r="V271" i="65" s="1"/>
  <c r="C271" i="57"/>
  <c r="V279" i="54"/>
  <c r="C279" i="65"/>
  <c r="V279" i="65" s="1"/>
  <c r="C279" i="57"/>
  <c r="V287" i="54"/>
  <c r="C287" i="65"/>
  <c r="V287" i="65" s="1"/>
  <c r="C287" i="57"/>
  <c r="V295" i="54"/>
  <c r="C295" i="65"/>
  <c r="V295" i="65" s="1"/>
  <c r="C295" i="57"/>
  <c r="V303" i="54"/>
  <c r="C303" i="65"/>
  <c r="V303" i="65" s="1"/>
  <c r="C303" i="57"/>
  <c r="D18" i="65"/>
  <c r="W18" i="65" s="1"/>
  <c r="D18" i="57"/>
  <c r="W18" i="54"/>
  <c r="D26" i="65"/>
  <c r="W26" i="65" s="1"/>
  <c r="W26" i="54"/>
  <c r="D26" i="57"/>
  <c r="W34" i="54"/>
  <c r="D34" i="65"/>
  <c r="W34" i="65" s="1"/>
  <c r="D34" i="57"/>
  <c r="D42" i="65"/>
  <c r="W42" i="65" s="1"/>
  <c r="D42" i="57"/>
  <c r="W42" i="54"/>
  <c r="D49" i="65"/>
  <c r="W49" i="65" s="1"/>
  <c r="W49" i="54"/>
  <c r="D49" i="57"/>
  <c r="D57" i="65"/>
  <c r="W57" i="65" s="1"/>
  <c r="W57" i="54"/>
  <c r="D57" i="57"/>
  <c r="W65" i="54"/>
  <c r="D65" i="65"/>
  <c r="W65" i="65" s="1"/>
  <c r="D65" i="57"/>
  <c r="D73" i="65"/>
  <c r="W73" i="65" s="1"/>
  <c r="W73" i="54"/>
  <c r="D73" i="57"/>
  <c r="D81" i="65"/>
  <c r="W81" i="65" s="1"/>
  <c r="D81" i="57"/>
  <c r="W81" i="54"/>
  <c r="D89" i="65"/>
  <c r="W89" i="65" s="1"/>
  <c r="W89" i="54"/>
  <c r="D89" i="57"/>
  <c r="D97" i="65"/>
  <c r="W97" i="65" s="1"/>
  <c r="W97" i="54"/>
  <c r="D97" i="57"/>
  <c r="D105" i="65"/>
  <c r="W105" i="65" s="1"/>
  <c r="D105" i="57"/>
  <c r="W105" i="54"/>
  <c r="D113" i="65"/>
  <c r="W113" i="65" s="1"/>
  <c r="D113" i="57"/>
  <c r="W113" i="54"/>
  <c r="D121" i="65"/>
  <c r="W121" i="65" s="1"/>
  <c r="W121" i="54"/>
  <c r="D121" i="57"/>
  <c r="D129" i="65"/>
  <c r="W129" i="65" s="1"/>
  <c r="W129" i="54"/>
  <c r="D129" i="57"/>
  <c r="D137" i="65"/>
  <c r="W137" i="65" s="1"/>
  <c r="D137" i="57"/>
  <c r="W137" i="54"/>
  <c r="D145" i="65"/>
  <c r="W145" i="65" s="1"/>
  <c r="W145" i="54"/>
  <c r="D145" i="57"/>
  <c r="D153" i="65"/>
  <c r="W153" i="65" s="1"/>
  <c r="W153" i="54"/>
  <c r="D153" i="57"/>
  <c r="D161" i="65"/>
  <c r="W161" i="65" s="1"/>
  <c r="W161" i="54"/>
  <c r="D161" i="57"/>
  <c r="D169" i="65"/>
  <c r="W169" i="65" s="1"/>
  <c r="W169" i="54"/>
  <c r="D169" i="57"/>
  <c r="D177" i="65"/>
  <c r="W177" i="65" s="1"/>
  <c r="W177" i="54"/>
  <c r="D177" i="57"/>
  <c r="D185" i="65"/>
  <c r="W185" i="65" s="1"/>
  <c r="W185" i="54"/>
  <c r="D185" i="57"/>
  <c r="D193" i="65"/>
  <c r="W193" i="65" s="1"/>
  <c r="W193" i="54"/>
  <c r="D193" i="57"/>
  <c r="D201" i="65"/>
  <c r="W201" i="65" s="1"/>
  <c r="W201" i="54"/>
  <c r="D201" i="57"/>
  <c r="D209" i="65"/>
  <c r="W209" i="65" s="1"/>
  <c r="W209" i="54"/>
  <c r="D209" i="57"/>
  <c r="D217" i="65"/>
  <c r="W217" i="65" s="1"/>
  <c r="W217" i="54"/>
  <c r="D217" i="57"/>
  <c r="D225" i="65"/>
  <c r="W225" i="65" s="1"/>
  <c r="W225" i="54"/>
  <c r="D225" i="57"/>
  <c r="D233" i="65"/>
  <c r="W233" i="65" s="1"/>
  <c r="W233" i="54"/>
  <c r="D233" i="57"/>
  <c r="D241" i="65"/>
  <c r="W241" i="65" s="1"/>
  <c r="W241" i="54"/>
  <c r="D241" i="57"/>
  <c r="D249" i="65"/>
  <c r="W249" i="65" s="1"/>
  <c r="W249" i="54"/>
  <c r="D249" i="57"/>
  <c r="D257" i="65"/>
  <c r="W257" i="65" s="1"/>
  <c r="W257" i="54"/>
  <c r="D257" i="57"/>
  <c r="D265" i="65"/>
  <c r="W265" i="65" s="1"/>
  <c r="W265" i="54"/>
  <c r="D265" i="57"/>
  <c r="D273" i="65"/>
  <c r="W273" i="65" s="1"/>
  <c r="W273" i="54"/>
  <c r="D273" i="57"/>
  <c r="W281" i="54"/>
  <c r="D281" i="57"/>
  <c r="D281" i="65"/>
  <c r="W281" i="65" s="1"/>
  <c r="D289" i="65"/>
  <c r="W289" i="65" s="1"/>
  <c r="W289" i="54"/>
  <c r="D289" i="57"/>
  <c r="W297" i="54"/>
  <c r="D297" i="65"/>
  <c r="W297" i="65" s="1"/>
  <c r="D297" i="57"/>
  <c r="D305" i="65"/>
  <c r="W305" i="65" s="1"/>
  <c r="W305" i="54"/>
  <c r="D305" i="57"/>
  <c r="E20" i="65"/>
  <c r="X20" i="65" s="1"/>
  <c r="X20" i="54"/>
  <c r="E20" i="57"/>
  <c r="E28" i="65"/>
  <c r="X28" i="65" s="1"/>
  <c r="X28" i="54"/>
  <c r="E28" i="57"/>
  <c r="E36" i="65"/>
  <c r="X36" i="65" s="1"/>
  <c r="E36" i="57"/>
  <c r="X36" i="54"/>
  <c r="E44" i="65"/>
  <c r="X44" i="65" s="1"/>
  <c r="X44" i="54"/>
  <c r="E44" i="57"/>
  <c r="E51" i="65"/>
  <c r="X51" i="65" s="1"/>
  <c r="E51" i="57"/>
  <c r="X51" i="54"/>
  <c r="E59" i="65"/>
  <c r="X59" i="65" s="1"/>
  <c r="E59" i="57"/>
  <c r="X59" i="54"/>
  <c r="E67" i="65"/>
  <c r="X67" i="65" s="1"/>
  <c r="E67" i="57"/>
  <c r="X67" i="54"/>
  <c r="E75" i="57"/>
  <c r="E75" i="65"/>
  <c r="X75" i="65" s="1"/>
  <c r="X75" i="54"/>
  <c r="E83" i="65"/>
  <c r="X83" i="65" s="1"/>
  <c r="E83" i="57"/>
  <c r="X83" i="54"/>
  <c r="E91" i="65"/>
  <c r="X91" i="65" s="1"/>
  <c r="X91" i="54"/>
  <c r="E91" i="57"/>
  <c r="E99" i="65"/>
  <c r="X99" i="65" s="1"/>
  <c r="E99" i="57"/>
  <c r="X99" i="54"/>
  <c r="E107" i="65"/>
  <c r="X107" i="65" s="1"/>
  <c r="E107" i="57"/>
  <c r="X107" i="54"/>
  <c r="E115" i="65"/>
  <c r="X115" i="65" s="1"/>
  <c r="E115" i="57"/>
  <c r="X115" i="54"/>
  <c r="E123" i="65"/>
  <c r="X123" i="65" s="1"/>
  <c r="X123" i="54"/>
  <c r="E123" i="57"/>
  <c r="E131" i="65"/>
  <c r="X131" i="65" s="1"/>
  <c r="X131" i="54"/>
  <c r="E131" i="57"/>
  <c r="E139" i="65"/>
  <c r="X139" i="65" s="1"/>
  <c r="E139" i="57"/>
  <c r="X139" i="54"/>
  <c r="E147" i="65"/>
  <c r="X147" i="65" s="1"/>
  <c r="X147" i="54"/>
  <c r="E147" i="57"/>
  <c r="E155" i="65"/>
  <c r="X155" i="65" s="1"/>
  <c r="E155" i="57"/>
  <c r="X155" i="54"/>
  <c r="E163" i="65"/>
  <c r="X163" i="65" s="1"/>
  <c r="X163" i="54"/>
  <c r="E163" i="57"/>
  <c r="E171" i="65"/>
  <c r="X171" i="65" s="1"/>
  <c r="E171" i="57"/>
  <c r="X171" i="54"/>
  <c r="E179" i="65"/>
  <c r="X179" i="65" s="1"/>
  <c r="X179" i="54"/>
  <c r="E179" i="57"/>
  <c r="X187" i="54"/>
  <c r="E187" i="65"/>
  <c r="X187" i="65" s="1"/>
  <c r="E187" i="57"/>
  <c r="X195" i="54"/>
  <c r="E195" i="57"/>
  <c r="E195" i="65"/>
  <c r="X195" i="65" s="1"/>
  <c r="X203" i="54"/>
  <c r="E203" i="57"/>
  <c r="E203" i="65"/>
  <c r="X203" i="65" s="1"/>
  <c r="X211" i="54"/>
  <c r="E211" i="65"/>
  <c r="X211" i="65" s="1"/>
  <c r="E211" i="57"/>
  <c r="X219" i="54"/>
  <c r="E219" i="65"/>
  <c r="X219" i="65" s="1"/>
  <c r="E219" i="57"/>
  <c r="X227" i="54"/>
  <c r="E227" i="57"/>
  <c r="E227" i="65"/>
  <c r="X227" i="65" s="1"/>
  <c r="X235" i="54"/>
  <c r="E235" i="57"/>
  <c r="E235" i="65"/>
  <c r="X235" i="65" s="1"/>
  <c r="X243" i="54"/>
  <c r="E243" i="65"/>
  <c r="X243" i="65" s="1"/>
  <c r="E243" i="57"/>
  <c r="X251" i="54"/>
  <c r="E251" i="65"/>
  <c r="X251" i="65" s="1"/>
  <c r="E251" i="57"/>
  <c r="X259" i="54"/>
  <c r="E259" i="57"/>
  <c r="E259" i="65"/>
  <c r="X259" i="65" s="1"/>
  <c r="X267" i="54"/>
  <c r="E267" i="57"/>
  <c r="E267" i="65"/>
  <c r="X267" i="65" s="1"/>
  <c r="X275" i="54"/>
  <c r="E275" i="65"/>
  <c r="X275" i="65" s="1"/>
  <c r="E275" i="57"/>
  <c r="X283" i="54"/>
  <c r="E283" i="65"/>
  <c r="X283" i="65" s="1"/>
  <c r="E283" i="57"/>
  <c r="X291" i="54"/>
  <c r="E291" i="57"/>
  <c r="E291" i="65"/>
  <c r="X291" i="65" s="1"/>
  <c r="X299" i="54"/>
  <c r="E299" i="57"/>
  <c r="E299" i="65"/>
  <c r="X299" i="65" s="1"/>
  <c r="X307" i="54"/>
  <c r="E307" i="65"/>
  <c r="X307" i="65" s="1"/>
  <c r="E307" i="57"/>
  <c r="F22" i="65"/>
  <c r="Y22" i="65" s="1"/>
  <c r="Y22" i="54"/>
  <c r="F22" i="57"/>
  <c r="F30" i="65"/>
  <c r="Y30" i="65" s="1"/>
  <c r="Y30" i="54"/>
  <c r="F30" i="57"/>
  <c r="F38" i="65"/>
  <c r="Y38" i="65" s="1"/>
  <c r="Y38" i="54"/>
  <c r="F38" i="57"/>
  <c r="F45" i="65"/>
  <c r="Y45" i="65" s="1"/>
  <c r="Y45" i="54"/>
  <c r="F45" i="57"/>
  <c r="F53" i="65"/>
  <c r="Y53" i="65" s="1"/>
  <c r="Y53" i="54"/>
  <c r="F53" i="57"/>
  <c r="F61" i="65"/>
  <c r="Y61" i="65" s="1"/>
  <c r="Y61" i="54"/>
  <c r="F61" i="57"/>
  <c r="F69" i="65"/>
  <c r="Y69" i="65" s="1"/>
  <c r="Y69" i="54"/>
  <c r="F69" i="57"/>
  <c r="F77" i="65"/>
  <c r="Y77" i="65" s="1"/>
  <c r="Y77" i="54"/>
  <c r="F77" i="57"/>
  <c r="Y85" i="54"/>
  <c r="F85" i="65"/>
  <c r="Y85" i="65" s="1"/>
  <c r="F85" i="57"/>
  <c r="Y93" i="54"/>
  <c r="F93" i="65"/>
  <c r="Y93" i="65" s="1"/>
  <c r="F93" i="57"/>
  <c r="Y101" i="54"/>
  <c r="F101" i="65"/>
  <c r="Y101" i="65" s="1"/>
  <c r="F101" i="57"/>
  <c r="Y109" i="54"/>
  <c r="F109" i="57"/>
  <c r="F109" i="65"/>
  <c r="Y109" i="65" s="1"/>
  <c r="Y117" i="54"/>
  <c r="F117" i="65"/>
  <c r="Y117" i="65" s="1"/>
  <c r="F117" i="57"/>
  <c r="Y125" i="54"/>
  <c r="F125" i="65"/>
  <c r="Y125" i="65" s="1"/>
  <c r="F125" i="57"/>
  <c r="Y133" i="54"/>
  <c r="F133" i="65"/>
  <c r="Y133" i="65" s="1"/>
  <c r="F133" i="57"/>
  <c r="Y141" i="54"/>
  <c r="F141" i="57"/>
  <c r="F141" i="65"/>
  <c r="Y141" i="65" s="1"/>
  <c r="Y149" i="54"/>
  <c r="F149" i="65"/>
  <c r="Y149" i="65" s="1"/>
  <c r="F149" i="57"/>
  <c r="Y157" i="54"/>
  <c r="F157" i="65"/>
  <c r="Y157" i="65" s="1"/>
  <c r="F157" i="57"/>
  <c r="Y165" i="54"/>
  <c r="F165" i="65"/>
  <c r="Y165" i="65" s="1"/>
  <c r="F165" i="57"/>
  <c r="Y173" i="54"/>
  <c r="F173" i="57"/>
  <c r="F173" i="65"/>
  <c r="Y173" i="65" s="1"/>
  <c r="Y181" i="54"/>
  <c r="F181" i="65"/>
  <c r="Y181" i="65" s="1"/>
  <c r="F181" i="57"/>
  <c r="Y189" i="54"/>
  <c r="F189" i="65"/>
  <c r="Y189" i="65" s="1"/>
  <c r="F189" i="57"/>
  <c r="Y197" i="54"/>
  <c r="F197" i="65"/>
  <c r="Y197" i="65" s="1"/>
  <c r="F197" i="57"/>
  <c r="Y205" i="54"/>
  <c r="F205" i="57"/>
  <c r="F205" i="65"/>
  <c r="Y205" i="65" s="1"/>
  <c r="Y213" i="54"/>
  <c r="F213" i="65"/>
  <c r="Y213" i="65" s="1"/>
  <c r="F213" i="57"/>
  <c r="Y221" i="54"/>
  <c r="F221" i="65"/>
  <c r="Y221" i="65" s="1"/>
  <c r="F221" i="57"/>
  <c r="Y229" i="54"/>
  <c r="F229" i="65"/>
  <c r="Y229" i="65" s="1"/>
  <c r="F229" i="57"/>
  <c r="Y237" i="54"/>
  <c r="F237" i="65"/>
  <c r="Y237" i="65" s="1"/>
  <c r="F237" i="57"/>
  <c r="Y245" i="54"/>
  <c r="F245" i="65"/>
  <c r="Y245" i="65" s="1"/>
  <c r="F245" i="57"/>
  <c r="Y253" i="54"/>
  <c r="F253" i="65"/>
  <c r="Y253" i="65" s="1"/>
  <c r="F253" i="57"/>
  <c r="Y261" i="54"/>
  <c r="F261" i="65"/>
  <c r="Y261" i="65" s="1"/>
  <c r="F261" i="57"/>
  <c r="Y269" i="54"/>
  <c r="F269" i="57"/>
  <c r="F269" i="65"/>
  <c r="Y269" i="65" s="1"/>
  <c r="Y277" i="54"/>
  <c r="F277" i="65"/>
  <c r="Y277" i="65" s="1"/>
  <c r="F277" i="57"/>
  <c r="Y285" i="54"/>
  <c r="F285" i="65"/>
  <c r="Y285" i="65" s="1"/>
  <c r="F285" i="57"/>
  <c r="Y293" i="54"/>
  <c r="F293" i="65"/>
  <c r="Y293" i="65" s="1"/>
  <c r="F293" i="57"/>
  <c r="Y301" i="54"/>
  <c r="F301" i="57"/>
  <c r="F301" i="65"/>
  <c r="Y301" i="65" s="1"/>
  <c r="G16" i="54"/>
  <c r="BE16" i="54" s="1"/>
  <c r="G24" i="54"/>
  <c r="BE24" i="54" s="1"/>
  <c r="G32" i="54"/>
  <c r="BE32" i="54" s="1"/>
  <c r="G40" i="54"/>
  <c r="BE40" i="54" s="1"/>
  <c r="G47" i="54"/>
  <c r="BE47" i="54" s="1"/>
  <c r="G55" i="54"/>
  <c r="BE55" i="54" s="1"/>
  <c r="G63" i="54"/>
  <c r="BE63" i="54" s="1"/>
  <c r="G71" i="54"/>
  <c r="BE71" i="54" s="1"/>
  <c r="G79" i="54"/>
  <c r="BE79" i="54" s="1"/>
  <c r="G87" i="54"/>
  <c r="BE87" i="54" s="1"/>
  <c r="G95" i="54"/>
  <c r="BE95" i="54" s="1"/>
  <c r="G103" i="54"/>
  <c r="BE103" i="54" s="1"/>
  <c r="G111" i="54"/>
  <c r="BE111" i="54" s="1"/>
  <c r="G119" i="54"/>
  <c r="BE119" i="54" s="1"/>
  <c r="G127" i="54"/>
  <c r="BE127" i="54" s="1"/>
  <c r="G135" i="54"/>
  <c r="BE135" i="54" s="1"/>
  <c r="G143" i="54"/>
  <c r="BE143" i="54" s="1"/>
  <c r="G151" i="54"/>
  <c r="BE151" i="54" s="1"/>
  <c r="G159" i="54"/>
  <c r="BE159" i="54" s="1"/>
  <c r="G167" i="54"/>
  <c r="BE167" i="54" s="1"/>
  <c r="G175" i="54"/>
  <c r="BE175" i="54" s="1"/>
  <c r="G183" i="54"/>
  <c r="BE183" i="54" s="1"/>
  <c r="G191" i="54"/>
  <c r="BE191" i="54" s="1"/>
  <c r="G199" i="54"/>
  <c r="BE199" i="54" s="1"/>
  <c r="G207" i="54"/>
  <c r="BE207" i="54" s="1"/>
  <c r="G215" i="54"/>
  <c r="BE215" i="54" s="1"/>
  <c r="G223" i="54"/>
  <c r="BE223" i="54" s="1"/>
  <c r="G231" i="54"/>
  <c r="BE231" i="54" s="1"/>
  <c r="G239" i="54"/>
  <c r="BE239" i="54" s="1"/>
  <c r="G247" i="54"/>
  <c r="BE247" i="54" s="1"/>
  <c r="G255" i="54"/>
  <c r="BE255" i="54" s="1"/>
  <c r="G263" i="54"/>
  <c r="BE263" i="54" s="1"/>
  <c r="G271" i="54"/>
  <c r="BE271" i="54" s="1"/>
  <c r="G279" i="54"/>
  <c r="BE279" i="54" s="1"/>
  <c r="G287" i="54"/>
  <c r="BE287" i="54" s="1"/>
  <c r="G295" i="54"/>
  <c r="BE295" i="54" s="1"/>
  <c r="G303" i="54"/>
  <c r="BE303" i="54" s="1"/>
  <c r="V62" i="54"/>
  <c r="C62" i="57"/>
  <c r="C62" i="65"/>
  <c r="V62" i="65" s="1"/>
  <c r="V126" i="54"/>
  <c r="C126" i="57"/>
  <c r="C126" i="65"/>
  <c r="V126" i="65" s="1"/>
  <c r="V190" i="54"/>
  <c r="C190" i="65"/>
  <c r="V190" i="65" s="1"/>
  <c r="C190" i="57"/>
  <c r="V238" i="54"/>
  <c r="C238" i="65"/>
  <c r="V238" i="65" s="1"/>
  <c r="C238" i="57"/>
  <c r="V286" i="54"/>
  <c r="C286" i="65"/>
  <c r="V286" i="65" s="1"/>
  <c r="C286" i="57"/>
  <c r="D48" i="65"/>
  <c r="W48" i="65" s="1"/>
  <c r="D48" i="57"/>
  <c r="W48" i="54"/>
  <c r="W96" i="54"/>
  <c r="D96" i="65"/>
  <c r="W96" i="65" s="1"/>
  <c r="D96" i="57"/>
  <c r="W144" i="54"/>
  <c r="D144" i="65"/>
  <c r="W144" i="65" s="1"/>
  <c r="D144" i="57"/>
  <c r="W200" i="54"/>
  <c r="D200" i="65"/>
  <c r="W200" i="65" s="1"/>
  <c r="D200" i="57"/>
  <c r="W256" i="54"/>
  <c r="D256" i="65"/>
  <c r="W256" i="65" s="1"/>
  <c r="D256" i="57"/>
  <c r="W304" i="54"/>
  <c r="D304" i="65"/>
  <c r="W304" i="65" s="1"/>
  <c r="D304" i="57"/>
  <c r="E66" i="65"/>
  <c r="X66" i="65" s="1"/>
  <c r="E66" i="57"/>
  <c r="X66" i="54"/>
  <c r="X130" i="54"/>
  <c r="E130" i="65"/>
  <c r="X130" i="65" s="1"/>
  <c r="E130" i="57"/>
  <c r="X178" i="54"/>
  <c r="E178" i="65"/>
  <c r="X178" i="65" s="1"/>
  <c r="E178" i="57"/>
  <c r="X218" i="54"/>
  <c r="E218" i="65"/>
  <c r="X218" i="65" s="1"/>
  <c r="E218" i="57"/>
  <c r="X266" i="54"/>
  <c r="E266" i="65"/>
  <c r="X266" i="65" s="1"/>
  <c r="E266" i="57"/>
  <c r="Y21" i="54"/>
  <c r="F21" i="57"/>
  <c r="F21" i="65"/>
  <c r="Y21" i="65" s="1"/>
  <c r="F76" i="65"/>
  <c r="Y76" i="65" s="1"/>
  <c r="F76" i="57"/>
  <c r="Y76" i="54"/>
  <c r="Y124" i="54"/>
  <c r="F124" i="65"/>
  <c r="Y124" i="65" s="1"/>
  <c r="F124" i="57"/>
  <c r="Y172" i="54"/>
  <c r="F172" i="65"/>
  <c r="Y172" i="65" s="1"/>
  <c r="F172" i="57"/>
  <c r="Y212" i="54"/>
  <c r="F212" i="65"/>
  <c r="Y212" i="65" s="1"/>
  <c r="F212" i="57"/>
  <c r="Y260" i="54"/>
  <c r="F260" i="57"/>
  <c r="F260" i="65"/>
  <c r="Y260" i="65" s="1"/>
  <c r="G15" i="54"/>
  <c r="BE15" i="54" s="1"/>
  <c r="G62" i="54"/>
  <c r="BE62" i="54" s="1"/>
  <c r="G118" i="54"/>
  <c r="BE118" i="54" s="1"/>
  <c r="G166" i="54"/>
  <c r="BE166" i="54" s="1"/>
  <c r="G222" i="54"/>
  <c r="BE222" i="54" s="1"/>
  <c r="G270" i="54"/>
  <c r="BE270" i="54" s="1"/>
  <c r="C17" i="65"/>
  <c r="V17" i="65" s="1"/>
  <c r="V17" i="54"/>
  <c r="C17" i="57"/>
  <c r="C25" i="65"/>
  <c r="V25" i="65" s="1"/>
  <c r="V25" i="54"/>
  <c r="C25" i="57"/>
  <c r="C33" i="65"/>
  <c r="V33" i="65" s="1"/>
  <c r="V33" i="54"/>
  <c r="C33" i="57"/>
  <c r="C41" i="65"/>
  <c r="V41" i="65" s="1"/>
  <c r="V41" i="54"/>
  <c r="C41" i="57"/>
  <c r="C48" i="65"/>
  <c r="V48" i="65" s="1"/>
  <c r="V48" i="54"/>
  <c r="C48" i="57"/>
  <c r="C56" i="65"/>
  <c r="V56" i="65" s="1"/>
  <c r="V56" i="54"/>
  <c r="C56" i="57"/>
  <c r="C64" i="65"/>
  <c r="V64" i="65" s="1"/>
  <c r="V64" i="54"/>
  <c r="C64" i="57"/>
  <c r="C72" i="65"/>
  <c r="V72" i="65" s="1"/>
  <c r="V72" i="54"/>
  <c r="C72" i="57"/>
  <c r="V80" i="54"/>
  <c r="C80" i="65"/>
  <c r="V80" i="65" s="1"/>
  <c r="C80" i="57"/>
  <c r="V88" i="54"/>
  <c r="C88" i="65"/>
  <c r="V88" i="65" s="1"/>
  <c r="C88" i="57"/>
  <c r="V96" i="54"/>
  <c r="C96" i="65"/>
  <c r="V96" i="65" s="1"/>
  <c r="C96" i="57"/>
  <c r="V104" i="54"/>
  <c r="C104" i="65"/>
  <c r="V104" i="65" s="1"/>
  <c r="C104" i="57"/>
  <c r="V112" i="54"/>
  <c r="C112" i="65"/>
  <c r="V112" i="65" s="1"/>
  <c r="C112" i="57"/>
  <c r="V120" i="54"/>
  <c r="C120" i="65"/>
  <c r="V120" i="65" s="1"/>
  <c r="C120" i="57"/>
  <c r="V128" i="54"/>
  <c r="C128" i="65"/>
  <c r="V128" i="65" s="1"/>
  <c r="C128" i="57"/>
  <c r="V136" i="54"/>
  <c r="C136" i="65"/>
  <c r="V136" i="65" s="1"/>
  <c r="C136" i="57"/>
  <c r="V144" i="54"/>
  <c r="C144" i="65"/>
  <c r="V144" i="65" s="1"/>
  <c r="C144" i="57"/>
  <c r="V152" i="54"/>
  <c r="C152" i="65"/>
  <c r="V152" i="65" s="1"/>
  <c r="C152" i="57"/>
  <c r="V160" i="54"/>
  <c r="C160" i="65"/>
  <c r="V160" i="65" s="1"/>
  <c r="C160" i="57"/>
  <c r="V168" i="54"/>
  <c r="C168" i="65"/>
  <c r="V168" i="65" s="1"/>
  <c r="C168" i="57"/>
  <c r="V176" i="54"/>
  <c r="C176" i="65"/>
  <c r="V176" i="65" s="1"/>
  <c r="C176" i="57"/>
  <c r="V184" i="54"/>
  <c r="C184" i="65"/>
  <c r="V184" i="65" s="1"/>
  <c r="C184" i="57"/>
  <c r="V192" i="54"/>
  <c r="C192" i="65"/>
  <c r="V192" i="65" s="1"/>
  <c r="C192" i="57"/>
  <c r="V200" i="54"/>
  <c r="C200" i="65"/>
  <c r="V200" i="65" s="1"/>
  <c r="C200" i="57"/>
  <c r="V208" i="54"/>
  <c r="C208" i="65"/>
  <c r="V208" i="65" s="1"/>
  <c r="C208" i="57"/>
  <c r="V216" i="54"/>
  <c r="C216" i="65"/>
  <c r="V216" i="65" s="1"/>
  <c r="C216" i="57"/>
  <c r="V224" i="54"/>
  <c r="C224" i="65"/>
  <c r="V224" i="65" s="1"/>
  <c r="C224" i="57"/>
  <c r="V232" i="54"/>
  <c r="C232" i="65"/>
  <c r="V232" i="65" s="1"/>
  <c r="C232" i="57"/>
  <c r="V240" i="54"/>
  <c r="C240" i="65"/>
  <c r="V240" i="65" s="1"/>
  <c r="C240" i="57"/>
  <c r="V248" i="54"/>
  <c r="C248" i="65"/>
  <c r="V248" i="65" s="1"/>
  <c r="C248" i="57"/>
  <c r="V256" i="54"/>
  <c r="C256" i="65"/>
  <c r="V256" i="65" s="1"/>
  <c r="C256" i="57"/>
  <c r="V264" i="54"/>
  <c r="C264" i="65"/>
  <c r="V264" i="65" s="1"/>
  <c r="C264" i="57"/>
  <c r="V272" i="54"/>
  <c r="C272" i="65"/>
  <c r="V272" i="65" s="1"/>
  <c r="C272" i="57"/>
  <c r="V280" i="54"/>
  <c r="C280" i="65"/>
  <c r="V280" i="65" s="1"/>
  <c r="C280" i="57"/>
  <c r="V288" i="54"/>
  <c r="C288" i="65"/>
  <c r="V288" i="65" s="1"/>
  <c r="C288" i="57"/>
  <c r="V296" i="54"/>
  <c r="C296" i="65"/>
  <c r="V296" i="65" s="1"/>
  <c r="C296" i="57"/>
  <c r="V304" i="54"/>
  <c r="C304" i="65"/>
  <c r="V304" i="65" s="1"/>
  <c r="C304" i="57"/>
  <c r="D19" i="65"/>
  <c r="W19" i="65" s="1"/>
  <c r="W19" i="54"/>
  <c r="D19" i="57"/>
  <c r="D27" i="65"/>
  <c r="W27" i="65" s="1"/>
  <c r="W27" i="54"/>
  <c r="D27" i="57"/>
  <c r="D35" i="65"/>
  <c r="W35" i="65" s="1"/>
  <c r="W35" i="54"/>
  <c r="D35" i="57"/>
  <c r="D43" i="65"/>
  <c r="W43" i="65" s="1"/>
  <c r="W43" i="54"/>
  <c r="D43" i="57"/>
  <c r="D50" i="65"/>
  <c r="W50" i="65" s="1"/>
  <c r="W50" i="54"/>
  <c r="D50" i="57"/>
  <c r="D58" i="65"/>
  <c r="W58" i="65" s="1"/>
  <c r="W58" i="54"/>
  <c r="D58" i="57"/>
  <c r="D66" i="65"/>
  <c r="W66" i="65" s="1"/>
  <c r="W66" i="54"/>
  <c r="D66" i="57"/>
  <c r="D74" i="65"/>
  <c r="W74" i="65" s="1"/>
  <c r="D74" i="57"/>
  <c r="W74" i="54"/>
  <c r="W82" i="54"/>
  <c r="D82" i="65"/>
  <c r="W82" i="65" s="1"/>
  <c r="D82" i="57"/>
  <c r="D90" i="65"/>
  <c r="W90" i="65" s="1"/>
  <c r="W90" i="54"/>
  <c r="D90" i="57"/>
  <c r="D98" i="65"/>
  <c r="W98" i="65" s="1"/>
  <c r="W98" i="54"/>
  <c r="D98" i="57"/>
  <c r="D106" i="65"/>
  <c r="W106" i="65" s="1"/>
  <c r="W106" i="54"/>
  <c r="D106" i="57"/>
  <c r="W114" i="54"/>
  <c r="D114" i="65"/>
  <c r="W114" i="65" s="1"/>
  <c r="D114" i="57"/>
  <c r="D122" i="65"/>
  <c r="W122" i="65" s="1"/>
  <c r="W122" i="54"/>
  <c r="D122" i="57"/>
  <c r="D130" i="65"/>
  <c r="W130" i="65" s="1"/>
  <c r="W130" i="54"/>
  <c r="D130" i="57"/>
  <c r="D138" i="65"/>
  <c r="W138" i="65" s="1"/>
  <c r="W138" i="54"/>
  <c r="D138" i="57"/>
  <c r="D146" i="65"/>
  <c r="W146" i="65" s="1"/>
  <c r="W146" i="54"/>
  <c r="D146" i="57"/>
  <c r="D154" i="65"/>
  <c r="W154" i="65" s="1"/>
  <c r="W154" i="54"/>
  <c r="D154" i="57"/>
  <c r="D162" i="65"/>
  <c r="W162" i="65" s="1"/>
  <c r="W162" i="54"/>
  <c r="D162" i="57"/>
  <c r="D170" i="65"/>
  <c r="W170" i="65" s="1"/>
  <c r="W170" i="54"/>
  <c r="D170" i="57"/>
  <c r="D178" i="65"/>
  <c r="W178" i="65" s="1"/>
  <c r="W178" i="54"/>
  <c r="D178" i="57"/>
  <c r="D186" i="65"/>
  <c r="W186" i="65" s="1"/>
  <c r="W186" i="54"/>
  <c r="D186" i="57"/>
  <c r="D194" i="65"/>
  <c r="W194" i="65" s="1"/>
  <c r="W194" i="54"/>
  <c r="D194" i="57"/>
  <c r="D202" i="65"/>
  <c r="W202" i="65" s="1"/>
  <c r="W202" i="54"/>
  <c r="D202" i="57"/>
  <c r="D210" i="65"/>
  <c r="W210" i="65" s="1"/>
  <c r="W210" i="54"/>
  <c r="D210" i="57"/>
  <c r="D218" i="65"/>
  <c r="W218" i="65" s="1"/>
  <c r="W218" i="54"/>
  <c r="D218" i="57"/>
  <c r="D226" i="65"/>
  <c r="W226" i="65" s="1"/>
  <c r="W226" i="54"/>
  <c r="D226" i="57"/>
  <c r="D234" i="65"/>
  <c r="W234" i="65" s="1"/>
  <c r="W234" i="54"/>
  <c r="D234" i="57"/>
  <c r="D242" i="65"/>
  <c r="W242" i="65" s="1"/>
  <c r="W242" i="54"/>
  <c r="D242" i="57"/>
  <c r="D250" i="65"/>
  <c r="W250" i="65" s="1"/>
  <c r="W250" i="54"/>
  <c r="D250" i="57"/>
  <c r="D258" i="65"/>
  <c r="W258" i="65" s="1"/>
  <c r="W258" i="54"/>
  <c r="D258" i="57"/>
  <c r="W266" i="54"/>
  <c r="D266" i="65"/>
  <c r="W266" i="65" s="1"/>
  <c r="D266" i="57"/>
  <c r="W274" i="54"/>
  <c r="D274" i="65"/>
  <c r="W274" i="65" s="1"/>
  <c r="D274" i="57"/>
  <c r="W282" i="54"/>
  <c r="D282" i="65"/>
  <c r="W282" i="65" s="1"/>
  <c r="D282" i="57"/>
  <c r="W290" i="54"/>
  <c r="D290" i="57"/>
  <c r="D290" i="65"/>
  <c r="W290" i="65" s="1"/>
  <c r="W298" i="54"/>
  <c r="D298" i="57"/>
  <c r="D298" i="65"/>
  <c r="W298" i="65" s="1"/>
  <c r="W306" i="54"/>
  <c r="D306" i="57"/>
  <c r="D306" i="65"/>
  <c r="W306" i="65" s="1"/>
  <c r="E21" i="65"/>
  <c r="X21" i="65" s="1"/>
  <c r="X21" i="54"/>
  <c r="E21" i="57"/>
  <c r="E29" i="65"/>
  <c r="X29" i="65" s="1"/>
  <c r="X29" i="54"/>
  <c r="E29" i="57"/>
  <c r="E37" i="65"/>
  <c r="X37" i="65" s="1"/>
  <c r="X37" i="54"/>
  <c r="E37" i="57"/>
  <c r="E52" i="65"/>
  <c r="X52" i="65" s="1"/>
  <c r="X52" i="54"/>
  <c r="E52" i="57"/>
  <c r="E60" i="65"/>
  <c r="X60" i="65" s="1"/>
  <c r="X60" i="54"/>
  <c r="E60" i="57"/>
  <c r="X68" i="54"/>
  <c r="E68" i="65"/>
  <c r="X68" i="65" s="1"/>
  <c r="E68" i="57"/>
  <c r="E76" i="65"/>
  <c r="X76" i="65" s="1"/>
  <c r="X76" i="54"/>
  <c r="E76" i="57"/>
  <c r="E84" i="65"/>
  <c r="X84" i="65" s="1"/>
  <c r="X84" i="54"/>
  <c r="E84" i="57"/>
  <c r="E92" i="65"/>
  <c r="X92" i="65" s="1"/>
  <c r="X92" i="54"/>
  <c r="E92" i="57"/>
  <c r="E100" i="65"/>
  <c r="X100" i="65" s="1"/>
  <c r="X100" i="54"/>
  <c r="E100" i="57"/>
  <c r="E108" i="65"/>
  <c r="X108" i="65" s="1"/>
  <c r="X108" i="54"/>
  <c r="E108" i="57"/>
  <c r="E116" i="65"/>
  <c r="X116" i="65" s="1"/>
  <c r="X116" i="54"/>
  <c r="E116" i="57"/>
  <c r="E124" i="65"/>
  <c r="X124" i="65" s="1"/>
  <c r="X124" i="54"/>
  <c r="E124" i="57"/>
  <c r="E132" i="65"/>
  <c r="X132" i="65" s="1"/>
  <c r="X132" i="54"/>
  <c r="E132" i="57"/>
  <c r="E140" i="65"/>
  <c r="X140" i="65" s="1"/>
  <c r="X140" i="54"/>
  <c r="E140" i="57"/>
  <c r="E148" i="65"/>
  <c r="X148" i="65" s="1"/>
  <c r="X148" i="54"/>
  <c r="E148" i="57"/>
  <c r="E156" i="65"/>
  <c r="X156" i="65" s="1"/>
  <c r="X156" i="54"/>
  <c r="E156" i="57"/>
  <c r="E164" i="65"/>
  <c r="X164" i="65" s="1"/>
  <c r="X164" i="54"/>
  <c r="E164" i="57"/>
  <c r="E172" i="65"/>
  <c r="X172" i="65" s="1"/>
  <c r="X172" i="54"/>
  <c r="E172" i="57"/>
  <c r="E180" i="65"/>
  <c r="X180" i="65" s="1"/>
  <c r="X180" i="54"/>
  <c r="E180" i="57"/>
  <c r="X188" i="54"/>
  <c r="E188" i="65"/>
  <c r="X188" i="65" s="1"/>
  <c r="E188" i="57"/>
  <c r="X196" i="54"/>
  <c r="E196" i="65"/>
  <c r="X196" i="65" s="1"/>
  <c r="E196" i="57"/>
  <c r="X204" i="54"/>
  <c r="E204" i="57"/>
  <c r="E204" i="65"/>
  <c r="X204" i="65" s="1"/>
  <c r="X212" i="54"/>
  <c r="E212" i="65"/>
  <c r="X212" i="65" s="1"/>
  <c r="E212" i="57"/>
  <c r="X220" i="54"/>
  <c r="E220" i="65"/>
  <c r="X220" i="65" s="1"/>
  <c r="E220" i="57"/>
  <c r="X228" i="54"/>
  <c r="E228" i="65"/>
  <c r="X228" i="65" s="1"/>
  <c r="E228" i="57"/>
  <c r="X236" i="54"/>
  <c r="E236" i="65"/>
  <c r="X236" i="65" s="1"/>
  <c r="E236" i="57"/>
  <c r="X244" i="54"/>
  <c r="E244" i="65"/>
  <c r="X244" i="65" s="1"/>
  <c r="E244" i="57"/>
  <c r="X252" i="54"/>
  <c r="E252" i="65"/>
  <c r="X252" i="65" s="1"/>
  <c r="E252" i="57"/>
  <c r="X260" i="54"/>
  <c r="E260" i="65"/>
  <c r="X260" i="65" s="1"/>
  <c r="E260" i="57"/>
  <c r="X268" i="54"/>
  <c r="E268" i="65"/>
  <c r="X268" i="65" s="1"/>
  <c r="E268" i="57"/>
  <c r="X276" i="54"/>
  <c r="E276" i="57"/>
  <c r="E276" i="65"/>
  <c r="X276" i="65" s="1"/>
  <c r="X284" i="54"/>
  <c r="E284" i="65"/>
  <c r="X284" i="65" s="1"/>
  <c r="E284" i="57"/>
  <c r="X292" i="54"/>
  <c r="E292" i="65"/>
  <c r="X292" i="65" s="1"/>
  <c r="E292" i="57"/>
  <c r="X300" i="54"/>
  <c r="E300" i="57"/>
  <c r="E300" i="65"/>
  <c r="X300" i="65" s="1"/>
  <c r="F13" i="46"/>
  <c r="F15" i="54"/>
  <c r="F23" i="65"/>
  <c r="Y23" i="65" s="1"/>
  <c r="Y23" i="54"/>
  <c r="F23" i="57"/>
  <c r="F31" i="65"/>
  <c r="Y31" i="65" s="1"/>
  <c r="Y31" i="54"/>
  <c r="F31" i="57"/>
  <c r="Y39" i="54"/>
  <c r="F39" i="65"/>
  <c r="Y39" i="65" s="1"/>
  <c r="F39" i="57"/>
  <c r="F46" i="65"/>
  <c r="Y46" i="65" s="1"/>
  <c r="Y46" i="54"/>
  <c r="F46" i="57"/>
  <c r="F54" i="65"/>
  <c r="Y54" i="65" s="1"/>
  <c r="Y54" i="54"/>
  <c r="F54" i="57"/>
  <c r="Y62" i="54"/>
  <c r="F62" i="65"/>
  <c r="Y62" i="65" s="1"/>
  <c r="F62" i="57"/>
  <c r="F70" i="65"/>
  <c r="Y70" i="65" s="1"/>
  <c r="Y70" i="54"/>
  <c r="F70" i="57"/>
  <c r="F78" i="65"/>
  <c r="Y78" i="65" s="1"/>
  <c r="Y78" i="54"/>
  <c r="F78" i="57"/>
  <c r="F86" i="65"/>
  <c r="Y86" i="65" s="1"/>
  <c r="Y86" i="54"/>
  <c r="F86" i="57"/>
  <c r="F94" i="65"/>
  <c r="Y94" i="65" s="1"/>
  <c r="Y94" i="54"/>
  <c r="F94" i="57"/>
  <c r="F102" i="65"/>
  <c r="Y102" i="65" s="1"/>
  <c r="Y102" i="54"/>
  <c r="F102" i="57"/>
  <c r="F110" i="65"/>
  <c r="Y110" i="65" s="1"/>
  <c r="Y110" i="54"/>
  <c r="F110" i="57"/>
  <c r="F118" i="65"/>
  <c r="Y118" i="65" s="1"/>
  <c r="Y118" i="54"/>
  <c r="F118" i="57"/>
  <c r="F126" i="65"/>
  <c r="Y126" i="65" s="1"/>
  <c r="Y126" i="54"/>
  <c r="F126" i="57"/>
  <c r="F134" i="65"/>
  <c r="Y134" i="65" s="1"/>
  <c r="Y134" i="54"/>
  <c r="F134" i="57"/>
  <c r="F142" i="65"/>
  <c r="Y142" i="65" s="1"/>
  <c r="Y142" i="54"/>
  <c r="F142" i="57"/>
  <c r="F150" i="65"/>
  <c r="Y150" i="65" s="1"/>
  <c r="Y150" i="54"/>
  <c r="F150" i="57"/>
  <c r="F158" i="65"/>
  <c r="Y158" i="65" s="1"/>
  <c r="Y158" i="54"/>
  <c r="F158" i="57"/>
  <c r="F166" i="65"/>
  <c r="Y166" i="65" s="1"/>
  <c r="Y166" i="54"/>
  <c r="F166" i="57"/>
  <c r="F174" i="65"/>
  <c r="Y174" i="65" s="1"/>
  <c r="Y174" i="54"/>
  <c r="F174" i="57"/>
  <c r="F182" i="65"/>
  <c r="Y182" i="65" s="1"/>
  <c r="Y182" i="54"/>
  <c r="F182" i="57"/>
  <c r="F190" i="65"/>
  <c r="Y190" i="65" s="1"/>
  <c r="Y190" i="54"/>
  <c r="F190" i="57"/>
  <c r="F198" i="65"/>
  <c r="Y198" i="65" s="1"/>
  <c r="Y198" i="54"/>
  <c r="F198" i="57"/>
  <c r="F206" i="65"/>
  <c r="Y206" i="65" s="1"/>
  <c r="Y206" i="54"/>
  <c r="F206" i="57"/>
  <c r="F214" i="65"/>
  <c r="Y214" i="65" s="1"/>
  <c r="Y214" i="54"/>
  <c r="F214" i="57"/>
  <c r="F222" i="65"/>
  <c r="Y222" i="65" s="1"/>
  <c r="Y222" i="54"/>
  <c r="F222" i="57"/>
  <c r="F230" i="65"/>
  <c r="Y230" i="65" s="1"/>
  <c r="Y230" i="54"/>
  <c r="F230" i="57"/>
  <c r="Y238" i="54"/>
  <c r="F238" i="65"/>
  <c r="Y238" i="65" s="1"/>
  <c r="F238" i="57"/>
  <c r="F246" i="65"/>
  <c r="Y246" i="65" s="1"/>
  <c r="Y246" i="54"/>
  <c r="F246" i="57"/>
  <c r="F254" i="65"/>
  <c r="Y254" i="65" s="1"/>
  <c r="Y254" i="54"/>
  <c r="F254" i="57"/>
  <c r="F262" i="65"/>
  <c r="Y262" i="65" s="1"/>
  <c r="Y262" i="54"/>
  <c r="F262" i="57"/>
  <c r="Y270" i="54"/>
  <c r="F270" i="65"/>
  <c r="Y270" i="65" s="1"/>
  <c r="F270" i="57"/>
  <c r="F278" i="65"/>
  <c r="Y278" i="65" s="1"/>
  <c r="F278" i="57"/>
  <c r="Y278" i="54"/>
  <c r="Y286" i="54"/>
  <c r="F286" i="65"/>
  <c r="Y286" i="65" s="1"/>
  <c r="F286" i="57"/>
  <c r="Y294" i="54"/>
  <c r="F294" i="57"/>
  <c r="F294" i="65"/>
  <c r="Y294" i="65" s="1"/>
  <c r="Y302" i="54"/>
  <c r="F302" i="57"/>
  <c r="F302" i="65"/>
  <c r="Y302" i="65" s="1"/>
  <c r="G17" i="54"/>
  <c r="BE17" i="54" s="1"/>
  <c r="G25" i="54"/>
  <c r="BE25" i="54" s="1"/>
  <c r="G33" i="54"/>
  <c r="BE33" i="54" s="1"/>
  <c r="G41" i="54"/>
  <c r="BE41" i="54" s="1"/>
  <c r="G48" i="54"/>
  <c r="BE48" i="54" s="1"/>
  <c r="G56" i="54"/>
  <c r="BE56" i="54" s="1"/>
  <c r="G64" i="54"/>
  <c r="BE64" i="54" s="1"/>
  <c r="G72" i="54"/>
  <c r="BE72" i="54" s="1"/>
  <c r="G80" i="54"/>
  <c r="BE80" i="54" s="1"/>
  <c r="G88" i="54"/>
  <c r="BE88" i="54" s="1"/>
  <c r="G96" i="54"/>
  <c r="BE96" i="54" s="1"/>
  <c r="G104" i="54"/>
  <c r="BE104" i="54" s="1"/>
  <c r="G112" i="54"/>
  <c r="BE112" i="54" s="1"/>
  <c r="G120" i="54"/>
  <c r="BE120" i="54" s="1"/>
  <c r="G128" i="54"/>
  <c r="BE128" i="54" s="1"/>
  <c r="G136" i="54"/>
  <c r="BE136" i="54" s="1"/>
  <c r="G144" i="54"/>
  <c r="BE144" i="54" s="1"/>
  <c r="G152" i="54"/>
  <c r="BE152" i="54" s="1"/>
  <c r="G160" i="54"/>
  <c r="BE160" i="54" s="1"/>
  <c r="G168" i="54"/>
  <c r="BE168" i="54" s="1"/>
  <c r="G176" i="54"/>
  <c r="BE176" i="54" s="1"/>
  <c r="G184" i="54"/>
  <c r="BE184" i="54" s="1"/>
  <c r="G192" i="54"/>
  <c r="BE192" i="54" s="1"/>
  <c r="G200" i="54"/>
  <c r="BE200" i="54" s="1"/>
  <c r="G208" i="54"/>
  <c r="BE208" i="54" s="1"/>
  <c r="G216" i="54"/>
  <c r="BE216" i="54" s="1"/>
  <c r="G224" i="54"/>
  <c r="BE224" i="54" s="1"/>
  <c r="G232" i="54"/>
  <c r="BE232" i="54" s="1"/>
  <c r="G240" i="54"/>
  <c r="BE240" i="54" s="1"/>
  <c r="G248" i="54"/>
  <c r="BE248" i="54" s="1"/>
  <c r="G256" i="54"/>
  <c r="BE256" i="54" s="1"/>
  <c r="G264" i="54"/>
  <c r="BE264" i="54" s="1"/>
  <c r="G272" i="54"/>
  <c r="BE272" i="54" s="1"/>
  <c r="G280" i="54"/>
  <c r="BE280" i="54" s="1"/>
  <c r="G288" i="54"/>
  <c r="BE288" i="54" s="1"/>
  <c r="G296" i="54"/>
  <c r="BE296" i="54" s="1"/>
  <c r="G304" i="54"/>
  <c r="BE304" i="54" s="1"/>
  <c r="V15" i="54"/>
  <c r="C15" i="57"/>
  <c r="C15" i="65"/>
  <c r="C7" i="54"/>
  <c r="C13" i="54"/>
  <c r="V13" i="54" s="1"/>
  <c r="V94" i="54"/>
  <c r="C94" i="65"/>
  <c r="V94" i="65" s="1"/>
  <c r="C94" i="57"/>
  <c r="V158" i="54"/>
  <c r="C158" i="65"/>
  <c r="V158" i="65" s="1"/>
  <c r="C158" i="57"/>
  <c r="V246" i="54"/>
  <c r="C246" i="65"/>
  <c r="V246" i="65" s="1"/>
  <c r="C246" i="57"/>
  <c r="D25" i="65"/>
  <c r="W25" i="65" s="1"/>
  <c r="W25" i="54"/>
  <c r="D25" i="57"/>
  <c r="W104" i="54"/>
  <c r="D104" i="65"/>
  <c r="W104" i="65" s="1"/>
  <c r="D104" i="57"/>
  <c r="W168" i="54"/>
  <c r="D168" i="65"/>
  <c r="W168" i="65" s="1"/>
  <c r="D168" i="57"/>
  <c r="W232" i="54"/>
  <c r="D232" i="65"/>
  <c r="W232" i="65" s="1"/>
  <c r="D232" i="57"/>
  <c r="E19" i="65"/>
  <c r="X19" i="65" s="1"/>
  <c r="E19" i="57"/>
  <c r="X19" i="54"/>
  <c r="X106" i="54"/>
  <c r="E106" i="65"/>
  <c r="X106" i="65" s="1"/>
  <c r="E106" i="57"/>
  <c r="X234" i="54"/>
  <c r="E234" i="65"/>
  <c r="X234" i="65" s="1"/>
  <c r="E234" i="57"/>
  <c r="Y108" i="54"/>
  <c r="F108" i="65"/>
  <c r="Y108" i="65" s="1"/>
  <c r="F108" i="57"/>
  <c r="G78" i="54"/>
  <c r="BE78" i="54" s="1"/>
  <c r="C18" i="65"/>
  <c r="V18" i="65" s="1"/>
  <c r="V18" i="54"/>
  <c r="C18" i="57"/>
  <c r="C26" i="65"/>
  <c r="V26" i="65" s="1"/>
  <c r="V26" i="54"/>
  <c r="C26" i="57"/>
  <c r="C34" i="65"/>
  <c r="V34" i="65" s="1"/>
  <c r="V34" i="54"/>
  <c r="C34" i="57"/>
  <c r="C42" i="65"/>
  <c r="V42" i="65" s="1"/>
  <c r="V42" i="54"/>
  <c r="C42" i="57"/>
  <c r="C49" i="65"/>
  <c r="V49" i="65" s="1"/>
  <c r="V49" i="54"/>
  <c r="C49" i="57"/>
  <c r="C57" i="65"/>
  <c r="V57" i="65" s="1"/>
  <c r="V57" i="54"/>
  <c r="C57" i="57"/>
  <c r="C65" i="65"/>
  <c r="V65" i="65" s="1"/>
  <c r="V65" i="54"/>
  <c r="C65" i="57"/>
  <c r="C73" i="65"/>
  <c r="V73" i="65" s="1"/>
  <c r="V73" i="54"/>
  <c r="C73" i="57"/>
  <c r="V81" i="54"/>
  <c r="C81" i="57"/>
  <c r="C81" i="65"/>
  <c r="V81" i="65" s="1"/>
  <c r="V89" i="54"/>
  <c r="C89" i="65"/>
  <c r="V89" i="65" s="1"/>
  <c r="C89" i="57"/>
  <c r="V97" i="54"/>
  <c r="C97" i="65"/>
  <c r="V97" i="65" s="1"/>
  <c r="C97" i="57"/>
  <c r="V105" i="54"/>
  <c r="C105" i="65"/>
  <c r="V105" i="65" s="1"/>
  <c r="C105" i="57"/>
  <c r="V113" i="54"/>
  <c r="C113" i="65"/>
  <c r="V113" i="65" s="1"/>
  <c r="C113" i="57"/>
  <c r="V121" i="54"/>
  <c r="C121" i="57"/>
  <c r="C121" i="65"/>
  <c r="V121" i="65" s="1"/>
  <c r="V129" i="54"/>
  <c r="C129" i="65"/>
  <c r="V129" i="65" s="1"/>
  <c r="C129" i="57"/>
  <c r="V137" i="54"/>
  <c r="C137" i="65"/>
  <c r="V137" i="65" s="1"/>
  <c r="C137" i="57"/>
  <c r="V145" i="54"/>
  <c r="C145" i="65"/>
  <c r="V145" i="65" s="1"/>
  <c r="C145" i="57"/>
  <c r="V153" i="54"/>
  <c r="C153" i="57"/>
  <c r="C153" i="65"/>
  <c r="V153" i="65" s="1"/>
  <c r="V161" i="54"/>
  <c r="C161" i="65"/>
  <c r="V161" i="65" s="1"/>
  <c r="C161" i="57"/>
  <c r="V169" i="54"/>
  <c r="C169" i="65"/>
  <c r="V169" i="65" s="1"/>
  <c r="C169" i="57"/>
  <c r="V177" i="54"/>
  <c r="C177" i="65"/>
  <c r="V177" i="65" s="1"/>
  <c r="C177" i="57"/>
  <c r="V185" i="54"/>
  <c r="C185" i="65"/>
  <c r="V185" i="65" s="1"/>
  <c r="C185" i="57"/>
  <c r="V193" i="54"/>
  <c r="C193" i="57"/>
  <c r="C193" i="65"/>
  <c r="V193" i="65" s="1"/>
  <c r="V201" i="54"/>
  <c r="C201" i="65"/>
  <c r="V201" i="65" s="1"/>
  <c r="C201" i="57"/>
  <c r="V209" i="54"/>
  <c r="C209" i="65"/>
  <c r="V209" i="65" s="1"/>
  <c r="C209" i="57"/>
  <c r="V217" i="54"/>
  <c r="C217" i="57"/>
  <c r="C217" i="65"/>
  <c r="V217" i="65" s="1"/>
  <c r="V225" i="54"/>
  <c r="C225" i="65"/>
  <c r="V225" i="65" s="1"/>
  <c r="C225" i="57"/>
  <c r="V233" i="54"/>
  <c r="C233" i="65"/>
  <c r="V233" i="65" s="1"/>
  <c r="C233" i="57"/>
  <c r="V241" i="54"/>
  <c r="C241" i="65"/>
  <c r="V241" i="65" s="1"/>
  <c r="C241" i="57"/>
  <c r="V249" i="54"/>
  <c r="C249" i="57"/>
  <c r="C249" i="65"/>
  <c r="V249" i="65" s="1"/>
  <c r="V257" i="54"/>
  <c r="C257" i="65"/>
  <c r="V257" i="65" s="1"/>
  <c r="C257" i="57"/>
  <c r="V265" i="54"/>
  <c r="C265" i="65"/>
  <c r="V265" i="65" s="1"/>
  <c r="C265" i="57"/>
  <c r="V273" i="54"/>
  <c r="C273" i="57"/>
  <c r="C273" i="65"/>
  <c r="V273" i="65" s="1"/>
  <c r="V281" i="54"/>
  <c r="C281" i="65"/>
  <c r="V281" i="65" s="1"/>
  <c r="C281" i="57"/>
  <c r="V289" i="54"/>
  <c r="C289" i="65"/>
  <c r="V289" i="65" s="1"/>
  <c r="C289" i="57"/>
  <c r="V297" i="54"/>
  <c r="C297" i="65"/>
  <c r="V297" i="65" s="1"/>
  <c r="C297" i="57"/>
  <c r="V305" i="54"/>
  <c r="C305" i="65"/>
  <c r="V305" i="65" s="1"/>
  <c r="C305" i="57"/>
  <c r="D20" i="65"/>
  <c r="W20" i="65" s="1"/>
  <c r="W20" i="54"/>
  <c r="D20" i="57"/>
  <c r="D28" i="65"/>
  <c r="W28" i="65" s="1"/>
  <c r="W28" i="54"/>
  <c r="D28" i="57"/>
  <c r="D36" i="65"/>
  <c r="W36" i="65" s="1"/>
  <c r="W36" i="54"/>
  <c r="D36" i="57"/>
  <c r="D44" i="65"/>
  <c r="W44" i="65" s="1"/>
  <c r="W44" i="54"/>
  <c r="D44" i="57"/>
  <c r="D51" i="65"/>
  <c r="W51" i="65" s="1"/>
  <c r="D51" i="57"/>
  <c r="W51" i="54"/>
  <c r="D59" i="65"/>
  <c r="W59" i="65" s="1"/>
  <c r="D59" i="57"/>
  <c r="W59" i="54"/>
  <c r="D67" i="65"/>
  <c r="W67" i="65" s="1"/>
  <c r="D67" i="57"/>
  <c r="W67" i="54"/>
  <c r="D75" i="65"/>
  <c r="W75" i="65" s="1"/>
  <c r="W75" i="54"/>
  <c r="D75" i="57"/>
  <c r="W83" i="54"/>
  <c r="D83" i="65"/>
  <c r="W83" i="65" s="1"/>
  <c r="D83" i="57"/>
  <c r="W91" i="54"/>
  <c r="D91" i="65"/>
  <c r="W91" i="65" s="1"/>
  <c r="D91" i="57"/>
  <c r="W99" i="54"/>
  <c r="D99" i="65"/>
  <c r="W99" i="65" s="1"/>
  <c r="D99" i="57"/>
  <c r="W107" i="54"/>
  <c r="D107" i="65"/>
  <c r="W107" i="65" s="1"/>
  <c r="D107" i="57"/>
  <c r="W115" i="54"/>
  <c r="D115" i="65"/>
  <c r="W115" i="65" s="1"/>
  <c r="D115" i="57"/>
  <c r="W123" i="54"/>
  <c r="D123" i="57"/>
  <c r="D123" i="65"/>
  <c r="W123" i="65" s="1"/>
  <c r="W131" i="54"/>
  <c r="D131" i="65"/>
  <c r="W131" i="65" s="1"/>
  <c r="D131" i="57"/>
  <c r="W139" i="54"/>
  <c r="D139" i="65"/>
  <c r="W139" i="65" s="1"/>
  <c r="D139" i="57"/>
  <c r="W147" i="54"/>
  <c r="D147" i="65"/>
  <c r="W147" i="65" s="1"/>
  <c r="D147" i="57"/>
  <c r="W155" i="54"/>
  <c r="D155" i="57"/>
  <c r="D155" i="65"/>
  <c r="W155" i="65" s="1"/>
  <c r="W163" i="54"/>
  <c r="D163" i="65"/>
  <c r="W163" i="65" s="1"/>
  <c r="D163" i="57"/>
  <c r="W171" i="54"/>
  <c r="D171" i="65"/>
  <c r="W171" i="65" s="1"/>
  <c r="D171" i="57"/>
  <c r="W179" i="54"/>
  <c r="D179" i="65"/>
  <c r="W179" i="65" s="1"/>
  <c r="D179" i="57"/>
  <c r="W187" i="54"/>
  <c r="D187" i="57"/>
  <c r="D187" i="65"/>
  <c r="W187" i="65" s="1"/>
  <c r="W195" i="54"/>
  <c r="D195" i="65"/>
  <c r="W195" i="65" s="1"/>
  <c r="D195" i="57"/>
  <c r="W203" i="54"/>
  <c r="D203" i="65"/>
  <c r="W203" i="65" s="1"/>
  <c r="D203" i="57"/>
  <c r="W211" i="54"/>
  <c r="D211" i="65"/>
  <c r="W211" i="65" s="1"/>
  <c r="D211" i="57"/>
  <c r="W219" i="54"/>
  <c r="D219" i="57"/>
  <c r="D219" i="65"/>
  <c r="W219" i="65" s="1"/>
  <c r="W227" i="54"/>
  <c r="D227" i="65"/>
  <c r="W227" i="65" s="1"/>
  <c r="D227" i="57"/>
  <c r="W235" i="54"/>
  <c r="D235" i="65"/>
  <c r="W235" i="65" s="1"/>
  <c r="D235" i="57"/>
  <c r="W243" i="54"/>
  <c r="D243" i="65"/>
  <c r="W243" i="65" s="1"/>
  <c r="D243" i="57"/>
  <c r="W251" i="54"/>
  <c r="D251" i="57"/>
  <c r="D251" i="65"/>
  <c r="W251" i="65" s="1"/>
  <c r="W259" i="54"/>
  <c r="D259" i="65"/>
  <c r="W259" i="65" s="1"/>
  <c r="D259" i="57"/>
  <c r="W267" i="54"/>
  <c r="D267" i="65"/>
  <c r="W267" i="65" s="1"/>
  <c r="D267" i="57"/>
  <c r="W275" i="54"/>
  <c r="D275" i="65"/>
  <c r="W275" i="65" s="1"/>
  <c r="D275" i="57"/>
  <c r="W283" i="54"/>
  <c r="D283" i="65"/>
  <c r="W283" i="65" s="1"/>
  <c r="D283" i="57"/>
  <c r="W291" i="54"/>
  <c r="D291" i="65"/>
  <c r="W291" i="65" s="1"/>
  <c r="D291" i="57"/>
  <c r="W299" i="54"/>
  <c r="D299" i="65"/>
  <c r="W299" i="65" s="1"/>
  <c r="D299" i="57"/>
  <c r="W307" i="54"/>
  <c r="D307" i="65"/>
  <c r="W307" i="65" s="1"/>
  <c r="D307" i="57"/>
  <c r="E22" i="65"/>
  <c r="X22" i="65" s="1"/>
  <c r="X22" i="54"/>
  <c r="E22" i="57"/>
  <c r="E30" i="65"/>
  <c r="X30" i="65" s="1"/>
  <c r="X30" i="54"/>
  <c r="E30" i="57"/>
  <c r="E38" i="65"/>
  <c r="X38" i="65" s="1"/>
  <c r="X38" i="54"/>
  <c r="E38" i="57"/>
  <c r="E45" i="65"/>
  <c r="X45" i="65" s="1"/>
  <c r="X45" i="54"/>
  <c r="E45" i="57"/>
  <c r="E53" i="65"/>
  <c r="X53" i="65" s="1"/>
  <c r="X53" i="54"/>
  <c r="E53" i="57"/>
  <c r="E61" i="65"/>
  <c r="X61" i="65" s="1"/>
  <c r="E61" i="57"/>
  <c r="X61" i="54"/>
  <c r="E69" i="65"/>
  <c r="X69" i="65" s="1"/>
  <c r="X69" i="54"/>
  <c r="E69" i="57"/>
  <c r="X77" i="54"/>
  <c r="E77" i="57"/>
  <c r="E77" i="65"/>
  <c r="X77" i="65" s="1"/>
  <c r="X85" i="54"/>
  <c r="E85" i="65"/>
  <c r="X85" i="65" s="1"/>
  <c r="E85" i="57"/>
  <c r="X93" i="54"/>
  <c r="E93" i="65"/>
  <c r="X93" i="65" s="1"/>
  <c r="E93" i="57"/>
  <c r="X101" i="54"/>
  <c r="E101" i="65"/>
  <c r="X101" i="65" s="1"/>
  <c r="E101" i="57"/>
  <c r="X109" i="54"/>
  <c r="E109" i="57"/>
  <c r="E109" i="65"/>
  <c r="X109" i="65" s="1"/>
  <c r="X117" i="54"/>
  <c r="E117" i="65"/>
  <c r="X117" i="65" s="1"/>
  <c r="E117" i="57"/>
  <c r="X125" i="54"/>
  <c r="E125" i="65"/>
  <c r="X125" i="65" s="1"/>
  <c r="E125" i="57"/>
  <c r="X133" i="54"/>
  <c r="E133" i="65"/>
  <c r="X133" i="65" s="1"/>
  <c r="E133" i="57"/>
  <c r="X141" i="54"/>
  <c r="E141" i="57"/>
  <c r="E141" i="65"/>
  <c r="X141" i="65" s="1"/>
  <c r="X149" i="54"/>
  <c r="E149" i="65"/>
  <c r="X149" i="65" s="1"/>
  <c r="E149" i="57"/>
  <c r="X157" i="54"/>
  <c r="E157" i="65"/>
  <c r="X157" i="65" s="1"/>
  <c r="E157" i="57"/>
  <c r="X165" i="54"/>
  <c r="E165" i="65"/>
  <c r="X165" i="65" s="1"/>
  <c r="E165" i="57"/>
  <c r="X173" i="54"/>
  <c r="E173" i="57"/>
  <c r="E173" i="65"/>
  <c r="X173" i="65" s="1"/>
  <c r="X181" i="54"/>
  <c r="E181" i="65"/>
  <c r="X181" i="65" s="1"/>
  <c r="E181" i="57"/>
  <c r="X189" i="54"/>
  <c r="E189" i="65"/>
  <c r="X189" i="65" s="1"/>
  <c r="E189" i="57"/>
  <c r="X197" i="54"/>
  <c r="E197" i="65"/>
  <c r="X197" i="65" s="1"/>
  <c r="E197" i="57"/>
  <c r="X205" i="54"/>
  <c r="E205" i="57"/>
  <c r="E205" i="65"/>
  <c r="X205" i="65" s="1"/>
  <c r="X213" i="54"/>
  <c r="E213" i="65"/>
  <c r="X213" i="65" s="1"/>
  <c r="E213" i="57"/>
  <c r="X221" i="54"/>
  <c r="E221" i="65"/>
  <c r="X221" i="65" s="1"/>
  <c r="E221" i="57"/>
  <c r="X229" i="54"/>
  <c r="E229" i="65"/>
  <c r="X229" i="65" s="1"/>
  <c r="E229" i="57"/>
  <c r="X237" i="54"/>
  <c r="E237" i="65"/>
  <c r="X237" i="65" s="1"/>
  <c r="E237" i="57"/>
  <c r="X245" i="54"/>
  <c r="E245" i="65"/>
  <c r="X245" i="65" s="1"/>
  <c r="E245" i="57"/>
  <c r="X253" i="54"/>
  <c r="E253" i="65"/>
  <c r="X253" i="65" s="1"/>
  <c r="E253" i="57"/>
  <c r="X261" i="54"/>
  <c r="E261" i="65"/>
  <c r="X261" i="65" s="1"/>
  <c r="E261" i="57"/>
  <c r="X269" i="54"/>
  <c r="E269" i="57"/>
  <c r="E269" i="65"/>
  <c r="X269" i="65" s="1"/>
  <c r="X277" i="54"/>
  <c r="E277" i="65"/>
  <c r="X277" i="65" s="1"/>
  <c r="E277" i="57"/>
  <c r="X285" i="54"/>
  <c r="E285" i="65"/>
  <c r="X285" i="65" s="1"/>
  <c r="E285" i="57"/>
  <c r="X293" i="54"/>
  <c r="E293" i="65"/>
  <c r="X293" i="65" s="1"/>
  <c r="E293" i="57"/>
  <c r="X301" i="54"/>
  <c r="E301" i="57"/>
  <c r="E301" i="65"/>
  <c r="X301" i="65" s="1"/>
  <c r="F16" i="65"/>
  <c r="Y16" i="65" s="1"/>
  <c r="Y16" i="54"/>
  <c r="F16" i="57"/>
  <c r="F24" i="65"/>
  <c r="Y24" i="65" s="1"/>
  <c r="Y24" i="54"/>
  <c r="F24" i="57"/>
  <c r="F32" i="65"/>
  <c r="Y32" i="65" s="1"/>
  <c r="Y32" i="54"/>
  <c r="F32" i="57"/>
  <c r="F40" i="65"/>
  <c r="Y40" i="65" s="1"/>
  <c r="Y40" i="54"/>
  <c r="F40" i="57"/>
  <c r="F47" i="65"/>
  <c r="Y47" i="65" s="1"/>
  <c r="Y47" i="54"/>
  <c r="F55" i="65"/>
  <c r="Y55" i="65" s="1"/>
  <c r="Y55" i="54"/>
  <c r="F55" i="57"/>
  <c r="F63" i="65"/>
  <c r="Y63" i="65" s="1"/>
  <c r="Y63" i="54"/>
  <c r="F63" i="57"/>
  <c r="F71" i="65"/>
  <c r="Y71" i="65" s="1"/>
  <c r="Y71" i="54"/>
  <c r="F71" i="57"/>
  <c r="F79" i="65"/>
  <c r="Y79" i="65" s="1"/>
  <c r="F79" i="57"/>
  <c r="Y79" i="54"/>
  <c r="F87" i="65"/>
  <c r="Y87" i="65" s="1"/>
  <c r="Y87" i="54"/>
  <c r="F87" i="57"/>
  <c r="F95" i="65"/>
  <c r="Y95" i="65" s="1"/>
  <c r="F95" i="57"/>
  <c r="Y95" i="54"/>
  <c r="F103" i="65"/>
  <c r="Y103" i="65" s="1"/>
  <c r="Y103" i="54"/>
  <c r="F103" i="57"/>
  <c r="F111" i="65"/>
  <c r="Y111" i="65" s="1"/>
  <c r="F111" i="57"/>
  <c r="Y111" i="54"/>
  <c r="F119" i="65"/>
  <c r="Y119" i="65" s="1"/>
  <c r="F119" i="57"/>
  <c r="Y119" i="54"/>
  <c r="F127" i="65"/>
  <c r="Y127" i="65" s="1"/>
  <c r="F127" i="57"/>
  <c r="Y127" i="54"/>
  <c r="F135" i="65"/>
  <c r="Y135" i="65" s="1"/>
  <c r="Y135" i="54"/>
  <c r="F135" i="57"/>
  <c r="F143" i="65"/>
  <c r="Y143" i="65" s="1"/>
  <c r="Y143" i="54"/>
  <c r="F143" i="57"/>
  <c r="F151" i="65"/>
  <c r="Y151" i="65" s="1"/>
  <c r="Y151" i="54"/>
  <c r="F151" i="57"/>
  <c r="F159" i="65"/>
  <c r="Y159" i="65" s="1"/>
  <c r="F159" i="57"/>
  <c r="Y159" i="54"/>
  <c r="F167" i="65"/>
  <c r="Y167" i="65" s="1"/>
  <c r="F167" i="57"/>
  <c r="Y167" i="54"/>
  <c r="F175" i="65"/>
  <c r="Y175" i="65" s="1"/>
  <c r="Y175" i="54"/>
  <c r="F175" i="57"/>
  <c r="F183" i="65"/>
  <c r="Y183" i="65" s="1"/>
  <c r="F183" i="57"/>
  <c r="Y183" i="54"/>
  <c r="F191" i="65"/>
  <c r="Y191" i="65" s="1"/>
  <c r="Y191" i="54"/>
  <c r="F191" i="57"/>
  <c r="F199" i="65"/>
  <c r="Y199" i="65" s="1"/>
  <c r="Y199" i="54"/>
  <c r="F199" i="57"/>
  <c r="F207" i="65"/>
  <c r="Y207" i="65" s="1"/>
  <c r="Y207" i="54"/>
  <c r="F207" i="57"/>
  <c r="F215" i="65"/>
  <c r="Y215" i="65" s="1"/>
  <c r="Y215" i="54"/>
  <c r="F215" i="57"/>
  <c r="F223" i="65"/>
  <c r="Y223" i="65" s="1"/>
  <c r="Y223" i="54"/>
  <c r="F223" i="57"/>
  <c r="F231" i="65"/>
  <c r="Y231" i="65" s="1"/>
  <c r="Y231" i="54"/>
  <c r="F231" i="57"/>
  <c r="F239" i="65"/>
  <c r="Y239" i="65" s="1"/>
  <c r="Y239" i="54"/>
  <c r="F239" i="57"/>
  <c r="F247" i="65"/>
  <c r="Y247" i="65" s="1"/>
  <c r="Y247" i="54"/>
  <c r="F247" i="57"/>
  <c r="F255" i="65"/>
  <c r="Y255" i="65" s="1"/>
  <c r="Y255" i="54"/>
  <c r="F255" i="57"/>
  <c r="Y263" i="54"/>
  <c r="F263" i="57"/>
  <c r="F263" i="65"/>
  <c r="Y263" i="65" s="1"/>
  <c r="Y271" i="54"/>
  <c r="F271" i="57"/>
  <c r="F271" i="65"/>
  <c r="Y271" i="65" s="1"/>
  <c r="Y279" i="54"/>
  <c r="F279" i="65"/>
  <c r="Y279" i="65" s="1"/>
  <c r="F279" i="57"/>
  <c r="Y287" i="54"/>
  <c r="F287" i="65"/>
  <c r="Y287" i="65" s="1"/>
  <c r="F287" i="57"/>
  <c r="Y295" i="54"/>
  <c r="F295" i="57"/>
  <c r="F295" i="65"/>
  <c r="Y295" i="65" s="1"/>
  <c r="Y303" i="54"/>
  <c r="F303" i="57"/>
  <c r="F303" i="65"/>
  <c r="Y303" i="65" s="1"/>
  <c r="G18" i="54"/>
  <c r="BE18" i="54" s="1"/>
  <c r="G26" i="54"/>
  <c r="BE26" i="54" s="1"/>
  <c r="G34" i="54"/>
  <c r="BE34" i="54" s="1"/>
  <c r="G42" i="54"/>
  <c r="BE42" i="54" s="1"/>
  <c r="G49" i="54"/>
  <c r="BE49" i="54" s="1"/>
  <c r="G57" i="54"/>
  <c r="BE57" i="54" s="1"/>
  <c r="G65" i="54"/>
  <c r="BE65" i="54" s="1"/>
  <c r="G73" i="54"/>
  <c r="BE73" i="54" s="1"/>
  <c r="G81" i="54"/>
  <c r="BE81" i="54" s="1"/>
  <c r="G89" i="54"/>
  <c r="BE89" i="54" s="1"/>
  <c r="G97" i="54"/>
  <c r="BE97" i="54" s="1"/>
  <c r="G105" i="54"/>
  <c r="BE105" i="54" s="1"/>
  <c r="G113" i="54"/>
  <c r="BE113" i="54" s="1"/>
  <c r="G121" i="54"/>
  <c r="BE121" i="54" s="1"/>
  <c r="G129" i="54"/>
  <c r="BE129" i="54" s="1"/>
  <c r="G137" i="54"/>
  <c r="BE137" i="54" s="1"/>
  <c r="G145" i="54"/>
  <c r="BE145" i="54" s="1"/>
  <c r="G153" i="54"/>
  <c r="BE153" i="54" s="1"/>
  <c r="G161" i="54"/>
  <c r="BE161" i="54" s="1"/>
  <c r="G169" i="54"/>
  <c r="BE169" i="54" s="1"/>
  <c r="G177" i="54"/>
  <c r="BE177" i="54" s="1"/>
  <c r="G185" i="54"/>
  <c r="BE185" i="54" s="1"/>
  <c r="G193" i="54"/>
  <c r="BE193" i="54" s="1"/>
  <c r="G201" i="54"/>
  <c r="BE201" i="54" s="1"/>
  <c r="G209" i="54"/>
  <c r="BE209" i="54" s="1"/>
  <c r="G217" i="54"/>
  <c r="BE217" i="54" s="1"/>
  <c r="G225" i="54"/>
  <c r="BE225" i="54" s="1"/>
  <c r="G233" i="54"/>
  <c r="BE233" i="54" s="1"/>
  <c r="G241" i="54"/>
  <c r="BE241" i="54" s="1"/>
  <c r="G249" i="54"/>
  <c r="BE249" i="54" s="1"/>
  <c r="G257" i="54"/>
  <c r="BE257" i="54" s="1"/>
  <c r="G265" i="54"/>
  <c r="BE265" i="54" s="1"/>
  <c r="G273" i="54"/>
  <c r="BE273" i="54" s="1"/>
  <c r="G281" i="54"/>
  <c r="BE281" i="54" s="1"/>
  <c r="G289" i="54"/>
  <c r="BE289" i="54" s="1"/>
  <c r="G297" i="54"/>
  <c r="BE297" i="54" s="1"/>
  <c r="G305" i="54"/>
  <c r="BE305" i="54" s="1"/>
  <c r="V31" i="54"/>
  <c r="C31" i="65"/>
  <c r="V31" i="65" s="1"/>
  <c r="C31" i="57"/>
  <c r="V86" i="54"/>
  <c r="C86" i="57"/>
  <c r="C86" i="65"/>
  <c r="V86" i="65" s="1"/>
  <c r="V142" i="54"/>
  <c r="C142" i="65"/>
  <c r="V142" i="65" s="1"/>
  <c r="C142" i="57"/>
  <c r="V198" i="54"/>
  <c r="C198" i="65"/>
  <c r="V198" i="65" s="1"/>
  <c r="C198" i="57"/>
  <c r="V254" i="54"/>
  <c r="C254" i="57"/>
  <c r="C254" i="65"/>
  <c r="V254" i="65" s="1"/>
  <c r="V302" i="54"/>
  <c r="C302" i="57"/>
  <c r="C302" i="65"/>
  <c r="V302" i="65" s="1"/>
  <c r="D64" i="65"/>
  <c r="W64" i="65" s="1"/>
  <c r="W64" i="54"/>
  <c r="D64" i="57"/>
  <c r="W120" i="54"/>
  <c r="D120" i="65"/>
  <c r="W120" i="65" s="1"/>
  <c r="D120" i="57"/>
  <c r="W176" i="54"/>
  <c r="D176" i="65"/>
  <c r="W176" i="65" s="1"/>
  <c r="D176" i="57"/>
  <c r="W224" i="54"/>
  <c r="D224" i="65"/>
  <c r="W224" i="65" s="1"/>
  <c r="D224" i="57"/>
  <c r="W280" i="54"/>
  <c r="D280" i="65"/>
  <c r="W280" i="65" s="1"/>
  <c r="D280" i="57"/>
  <c r="E43" i="65"/>
  <c r="X43" i="65" s="1"/>
  <c r="E43" i="57"/>
  <c r="X43" i="54"/>
  <c r="X82" i="54"/>
  <c r="E82" i="65"/>
  <c r="X82" i="65" s="1"/>
  <c r="E82" i="57"/>
  <c r="X138" i="54"/>
  <c r="E138" i="65"/>
  <c r="X138" i="65" s="1"/>
  <c r="E138" i="57"/>
  <c r="X186" i="54"/>
  <c r="E186" i="65"/>
  <c r="X186" i="65" s="1"/>
  <c r="E186" i="57"/>
  <c r="X242" i="54"/>
  <c r="E242" i="65"/>
  <c r="X242" i="65" s="1"/>
  <c r="E242" i="57"/>
  <c r="X298" i="54"/>
  <c r="E298" i="65"/>
  <c r="X298" i="65" s="1"/>
  <c r="E298" i="57"/>
  <c r="F52" i="65"/>
  <c r="Y52" i="65" s="1"/>
  <c r="Y52" i="54"/>
  <c r="F52" i="57"/>
  <c r="Y100" i="54"/>
  <c r="F100" i="57"/>
  <c r="F100" i="65"/>
  <c r="Y100" i="65" s="1"/>
  <c r="Y156" i="54"/>
  <c r="F156" i="65"/>
  <c r="Y156" i="65" s="1"/>
  <c r="F156" i="57"/>
  <c r="Y196" i="54"/>
  <c r="F196" i="65"/>
  <c r="Y196" i="65" s="1"/>
  <c r="F196" i="57"/>
  <c r="Y252" i="54"/>
  <c r="F252" i="65"/>
  <c r="Y252" i="65" s="1"/>
  <c r="F252" i="57"/>
  <c r="Y300" i="54"/>
  <c r="F300" i="65"/>
  <c r="Y300" i="65" s="1"/>
  <c r="F300" i="57"/>
  <c r="G54" i="54"/>
  <c r="BE54" i="54" s="1"/>
  <c r="G102" i="54"/>
  <c r="BE102" i="54" s="1"/>
  <c r="G142" i="54"/>
  <c r="BE142" i="54" s="1"/>
  <c r="G182" i="54"/>
  <c r="BE182" i="54" s="1"/>
  <c r="G230" i="54"/>
  <c r="BE230" i="54" s="1"/>
  <c r="G278" i="54"/>
  <c r="BE278" i="54" s="1"/>
  <c r="C19" i="65"/>
  <c r="V19" i="65" s="1"/>
  <c r="V19" i="54"/>
  <c r="C19" i="57"/>
  <c r="C27" i="65"/>
  <c r="V27" i="65" s="1"/>
  <c r="V27" i="54"/>
  <c r="C27" i="57"/>
  <c r="C35" i="65"/>
  <c r="V35" i="65" s="1"/>
  <c r="V35" i="54"/>
  <c r="C35" i="57"/>
  <c r="C43" i="65"/>
  <c r="V43" i="65" s="1"/>
  <c r="V43" i="54"/>
  <c r="C43" i="57"/>
  <c r="C50" i="65"/>
  <c r="V50" i="65" s="1"/>
  <c r="V50" i="54"/>
  <c r="C50" i="57"/>
  <c r="C58" i="65"/>
  <c r="V58" i="65" s="1"/>
  <c r="V58" i="54"/>
  <c r="C58" i="57"/>
  <c r="C66" i="65"/>
  <c r="V66" i="65" s="1"/>
  <c r="V66" i="54"/>
  <c r="C66" i="57"/>
  <c r="C74" i="65"/>
  <c r="V74" i="65" s="1"/>
  <c r="V74" i="54"/>
  <c r="C74" i="57"/>
  <c r="C82" i="65"/>
  <c r="V82" i="65" s="1"/>
  <c r="V82" i="54"/>
  <c r="C82" i="57"/>
  <c r="C90" i="65"/>
  <c r="V90" i="65" s="1"/>
  <c r="V90" i="54"/>
  <c r="C90" i="57"/>
  <c r="C98" i="65"/>
  <c r="V98" i="65" s="1"/>
  <c r="V98" i="54"/>
  <c r="C98" i="57"/>
  <c r="C106" i="65"/>
  <c r="V106" i="65" s="1"/>
  <c r="V106" i="54"/>
  <c r="C106" i="57"/>
  <c r="C114" i="65"/>
  <c r="V114" i="65" s="1"/>
  <c r="V114" i="54"/>
  <c r="C114" i="57"/>
  <c r="C122" i="65"/>
  <c r="V122" i="65" s="1"/>
  <c r="V122" i="54"/>
  <c r="C122" i="57"/>
  <c r="C130" i="65"/>
  <c r="V130" i="65" s="1"/>
  <c r="V130" i="54"/>
  <c r="C130" i="57"/>
  <c r="C138" i="65"/>
  <c r="V138" i="65" s="1"/>
  <c r="C138" i="57"/>
  <c r="V138" i="54"/>
  <c r="C146" i="65"/>
  <c r="V146" i="65" s="1"/>
  <c r="V146" i="54"/>
  <c r="C146" i="57"/>
  <c r="C154" i="65"/>
  <c r="V154" i="65" s="1"/>
  <c r="V154" i="54"/>
  <c r="C154" i="57"/>
  <c r="C162" i="65"/>
  <c r="V162" i="65" s="1"/>
  <c r="V162" i="54"/>
  <c r="C162" i="57"/>
  <c r="C170" i="65"/>
  <c r="V170" i="65" s="1"/>
  <c r="V170" i="54"/>
  <c r="C170" i="57"/>
  <c r="C178" i="65"/>
  <c r="V178" i="65" s="1"/>
  <c r="V178" i="54"/>
  <c r="C178" i="57"/>
  <c r="V186" i="54"/>
  <c r="C186" i="65"/>
  <c r="V186" i="65" s="1"/>
  <c r="C186" i="57"/>
  <c r="V194" i="54"/>
  <c r="C194" i="57"/>
  <c r="C194" i="65"/>
  <c r="V194" i="65" s="1"/>
  <c r="V202" i="54"/>
  <c r="C202" i="57"/>
  <c r="C202" i="65"/>
  <c r="V202" i="65" s="1"/>
  <c r="V210" i="54"/>
  <c r="C210" i="65"/>
  <c r="V210" i="65" s="1"/>
  <c r="C210" i="57"/>
  <c r="V218" i="54"/>
  <c r="C218" i="65"/>
  <c r="V218" i="65" s="1"/>
  <c r="C218" i="57"/>
  <c r="V226" i="54"/>
  <c r="C226" i="57"/>
  <c r="C226" i="65"/>
  <c r="V226" i="65" s="1"/>
  <c r="V234" i="54"/>
  <c r="C234" i="57"/>
  <c r="C234" i="65"/>
  <c r="V234" i="65" s="1"/>
  <c r="V242" i="54"/>
  <c r="C242" i="65"/>
  <c r="V242" i="65" s="1"/>
  <c r="C242" i="57"/>
  <c r="V250" i="54"/>
  <c r="C250" i="65"/>
  <c r="V250" i="65" s="1"/>
  <c r="C250" i="57"/>
  <c r="V258" i="54"/>
  <c r="C258" i="57"/>
  <c r="C258" i="65"/>
  <c r="V258" i="65" s="1"/>
  <c r="V266" i="54"/>
  <c r="C266" i="65"/>
  <c r="V266" i="65" s="1"/>
  <c r="C266" i="57"/>
  <c r="V274" i="54"/>
  <c r="C274" i="65"/>
  <c r="V274" i="65" s="1"/>
  <c r="C274" i="57"/>
  <c r="V282" i="54"/>
  <c r="C282" i="65"/>
  <c r="V282" i="65" s="1"/>
  <c r="C282" i="57"/>
  <c r="V290" i="54"/>
  <c r="C290" i="57"/>
  <c r="C290" i="65"/>
  <c r="V290" i="65" s="1"/>
  <c r="V298" i="54"/>
  <c r="C298" i="57"/>
  <c r="C298" i="65"/>
  <c r="V298" i="65" s="1"/>
  <c r="V306" i="54"/>
  <c r="C306" i="65"/>
  <c r="V306" i="65" s="1"/>
  <c r="C306" i="57"/>
  <c r="D21" i="65"/>
  <c r="W21" i="65" s="1"/>
  <c r="W21" i="54"/>
  <c r="D21" i="57"/>
  <c r="D29" i="65"/>
  <c r="W29" i="65" s="1"/>
  <c r="W29" i="54"/>
  <c r="D29" i="57"/>
  <c r="W37" i="54"/>
  <c r="D37" i="65"/>
  <c r="W37" i="65" s="1"/>
  <c r="D37" i="57"/>
  <c r="D52" i="65"/>
  <c r="W52" i="65" s="1"/>
  <c r="W52" i="54"/>
  <c r="D52" i="57"/>
  <c r="D60" i="65"/>
  <c r="W60" i="65" s="1"/>
  <c r="W60" i="54"/>
  <c r="D60" i="57"/>
  <c r="D68" i="65"/>
  <c r="W68" i="65" s="1"/>
  <c r="W68" i="54"/>
  <c r="D68" i="57"/>
  <c r="W76" i="54"/>
  <c r="D76" i="65"/>
  <c r="W76" i="65" s="1"/>
  <c r="D76" i="57"/>
  <c r="W84" i="54"/>
  <c r="D84" i="65"/>
  <c r="W84" i="65" s="1"/>
  <c r="D84" i="57"/>
  <c r="W92" i="54"/>
  <c r="D92" i="65"/>
  <c r="W92" i="65" s="1"/>
  <c r="D92" i="57"/>
  <c r="W100" i="54"/>
  <c r="D100" i="57"/>
  <c r="D100" i="65"/>
  <c r="W100" i="65" s="1"/>
  <c r="W108" i="54"/>
  <c r="D108" i="65"/>
  <c r="W108" i="65" s="1"/>
  <c r="D108" i="57"/>
  <c r="W116" i="54"/>
  <c r="D116" i="65"/>
  <c r="W116" i="65" s="1"/>
  <c r="D116" i="57"/>
  <c r="W124" i="54"/>
  <c r="D124" i="65"/>
  <c r="W124" i="65" s="1"/>
  <c r="D124" i="57"/>
  <c r="W132" i="54"/>
  <c r="D132" i="57"/>
  <c r="D132" i="65"/>
  <c r="W132" i="65" s="1"/>
  <c r="W140" i="54"/>
  <c r="D140" i="65"/>
  <c r="W140" i="65" s="1"/>
  <c r="D140" i="57"/>
  <c r="W148" i="54"/>
  <c r="D148" i="65"/>
  <c r="W148" i="65" s="1"/>
  <c r="D148" i="57"/>
  <c r="W156" i="54"/>
  <c r="D156" i="65"/>
  <c r="W156" i="65" s="1"/>
  <c r="D156" i="57"/>
  <c r="W164" i="54"/>
  <c r="D164" i="57"/>
  <c r="D164" i="65"/>
  <c r="W164" i="65" s="1"/>
  <c r="W172" i="54"/>
  <c r="D172" i="65"/>
  <c r="W172" i="65" s="1"/>
  <c r="D172" i="57"/>
  <c r="W180" i="54"/>
  <c r="D180" i="65"/>
  <c r="W180" i="65" s="1"/>
  <c r="D180" i="57"/>
  <c r="W188" i="54"/>
  <c r="D188" i="65"/>
  <c r="W188" i="65" s="1"/>
  <c r="D188" i="57"/>
  <c r="W196" i="54"/>
  <c r="D196" i="57"/>
  <c r="D196" i="65"/>
  <c r="W196" i="65" s="1"/>
  <c r="W204" i="54"/>
  <c r="D204" i="65"/>
  <c r="W204" i="65" s="1"/>
  <c r="D204" i="57"/>
  <c r="W212" i="54"/>
  <c r="D212" i="65"/>
  <c r="W212" i="65" s="1"/>
  <c r="D212" i="57"/>
  <c r="W220" i="54"/>
  <c r="D220" i="65"/>
  <c r="W220" i="65" s="1"/>
  <c r="D220" i="57"/>
  <c r="W228" i="54"/>
  <c r="D228" i="57"/>
  <c r="D228" i="65"/>
  <c r="W228" i="65" s="1"/>
  <c r="W236" i="54"/>
  <c r="D236" i="65"/>
  <c r="W236" i="65" s="1"/>
  <c r="D236" i="57"/>
  <c r="W244" i="54"/>
  <c r="D244" i="65"/>
  <c r="W244" i="65" s="1"/>
  <c r="D244" i="57"/>
  <c r="W252" i="54"/>
  <c r="D252" i="65"/>
  <c r="W252" i="65" s="1"/>
  <c r="D252" i="57"/>
  <c r="W260" i="54"/>
  <c r="D260" i="57"/>
  <c r="D260" i="65"/>
  <c r="W260" i="65" s="1"/>
  <c r="W268" i="54"/>
  <c r="D268" i="65"/>
  <c r="W268" i="65" s="1"/>
  <c r="D268" i="57"/>
  <c r="W276" i="54"/>
  <c r="D276" i="65"/>
  <c r="W276" i="65" s="1"/>
  <c r="D276" i="57"/>
  <c r="W284" i="54"/>
  <c r="D284" i="65"/>
  <c r="W284" i="65" s="1"/>
  <c r="D284" i="57"/>
  <c r="W292" i="54"/>
  <c r="D292" i="57"/>
  <c r="D292" i="65"/>
  <c r="W292" i="65" s="1"/>
  <c r="W300" i="54"/>
  <c r="D300" i="65"/>
  <c r="W300" i="65" s="1"/>
  <c r="D300" i="57"/>
  <c r="E15" i="65"/>
  <c r="X15" i="54"/>
  <c r="E15" i="57"/>
  <c r="E7" i="54"/>
  <c r="E13" i="54"/>
  <c r="X13" i="54" s="1"/>
  <c r="E23" i="57"/>
  <c r="E23" i="65"/>
  <c r="X23" i="65" s="1"/>
  <c r="X23" i="54"/>
  <c r="E31" i="65"/>
  <c r="X31" i="65" s="1"/>
  <c r="X31" i="54"/>
  <c r="E31" i="57"/>
  <c r="E39" i="57"/>
  <c r="X39" i="54"/>
  <c r="E39" i="65"/>
  <c r="X39" i="65" s="1"/>
  <c r="E46" i="65"/>
  <c r="X46" i="65" s="1"/>
  <c r="E46" i="57"/>
  <c r="X46" i="54"/>
  <c r="E54" i="65"/>
  <c r="X54" i="65" s="1"/>
  <c r="X54" i="54"/>
  <c r="E54" i="57"/>
  <c r="E62" i="65"/>
  <c r="X62" i="65" s="1"/>
  <c r="X62" i="54"/>
  <c r="E62" i="57"/>
  <c r="E70" i="65"/>
  <c r="X70" i="65" s="1"/>
  <c r="E70" i="57"/>
  <c r="X70" i="54"/>
  <c r="X78" i="54"/>
  <c r="E78" i="57"/>
  <c r="E78" i="65"/>
  <c r="X78" i="65" s="1"/>
  <c r="X86" i="54"/>
  <c r="E86" i="65"/>
  <c r="X86" i="65" s="1"/>
  <c r="E86" i="57"/>
  <c r="X94" i="54"/>
  <c r="E94" i="65"/>
  <c r="X94" i="65" s="1"/>
  <c r="E94" i="57"/>
  <c r="X102" i="54"/>
  <c r="E102" i="65"/>
  <c r="X102" i="65" s="1"/>
  <c r="E102" i="57"/>
  <c r="X110" i="54"/>
  <c r="E110" i="65"/>
  <c r="X110" i="65" s="1"/>
  <c r="E110" i="57"/>
  <c r="X118" i="54"/>
  <c r="E118" i="65"/>
  <c r="X118" i="65" s="1"/>
  <c r="E118" i="57"/>
  <c r="X126" i="54"/>
  <c r="E126" i="65"/>
  <c r="X126" i="65" s="1"/>
  <c r="E126" i="57"/>
  <c r="X134" i="54"/>
  <c r="E134" i="65"/>
  <c r="X134" i="65" s="1"/>
  <c r="E134" i="57"/>
  <c r="X142" i="54"/>
  <c r="E142" i="57"/>
  <c r="E142" i="65"/>
  <c r="X142" i="65" s="1"/>
  <c r="X150" i="54"/>
  <c r="E150" i="65"/>
  <c r="X150" i="65" s="1"/>
  <c r="E150" i="57"/>
  <c r="X158" i="54"/>
  <c r="E158" i="65"/>
  <c r="X158" i="65" s="1"/>
  <c r="E158" i="57"/>
  <c r="X166" i="54"/>
  <c r="E166" i="65"/>
  <c r="X166" i="65" s="1"/>
  <c r="E166" i="57"/>
  <c r="X174" i="54"/>
  <c r="E174" i="57"/>
  <c r="E174" i="65"/>
  <c r="X174" i="65" s="1"/>
  <c r="X182" i="54"/>
  <c r="E182" i="65"/>
  <c r="X182" i="65" s="1"/>
  <c r="E182" i="57"/>
  <c r="X190" i="54"/>
  <c r="E190" i="65"/>
  <c r="X190" i="65" s="1"/>
  <c r="E190" i="57"/>
  <c r="X198" i="54"/>
  <c r="E198" i="65"/>
  <c r="X198" i="65" s="1"/>
  <c r="E198" i="57"/>
  <c r="X206" i="54"/>
  <c r="E206" i="57"/>
  <c r="E206" i="65"/>
  <c r="X206" i="65" s="1"/>
  <c r="X214" i="54"/>
  <c r="E214" i="65"/>
  <c r="X214" i="65" s="1"/>
  <c r="E214" i="57"/>
  <c r="X222" i="54"/>
  <c r="E222" i="65"/>
  <c r="X222" i="65" s="1"/>
  <c r="E222" i="57"/>
  <c r="X230" i="54"/>
  <c r="E230" i="65"/>
  <c r="X230" i="65" s="1"/>
  <c r="E230" i="57"/>
  <c r="X238" i="54"/>
  <c r="E238" i="57"/>
  <c r="E238" i="65"/>
  <c r="X238" i="65" s="1"/>
  <c r="X246" i="54"/>
  <c r="E246" i="65"/>
  <c r="X246" i="65" s="1"/>
  <c r="E246" i="57"/>
  <c r="X254" i="54"/>
  <c r="E254" i="65"/>
  <c r="X254" i="65" s="1"/>
  <c r="E254" i="57"/>
  <c r="X262" i="54"/>
  <c r="E262" i="65"/>
  <c r="X262" i="65" s="1"/>
  <c r="E262" i="57"/>
  <c r="X270" i="54"/>
  <c r="E270" i="57"/>
  <c r="E270" i="65"/>
  <c r="X270" i="65" s="1"/>
  <c r="X278" i="54"/>
  <c r="E278" i="65"/>
  <c r="X278" i="65" s="1"/>
  <c r="E278" i="57"/>
  <c r="X286" i="54"/>
  <c r="E286" i="65"/>
  <c r="X286" i="65" s="1"/>
  <c r="E286" i="57"/>
  <c r="X294" i="54"/>
  <c r="E294" i="65"/>
  <c r="X294" i="65" s="1"/>
  <c r="E294" i="57"/>
  <c r="X302" i="54"/>
  <c r="E302" i="65"/>
  <c r="X302" i="65" s="1"/>
  <c r="E302" i="57"/>
  <c r="Y17" i="54"/>
  <c r="F17" i="65"/>
  <c r="Y17" i="65" s="1"/>
  <c r="F17" i="57"/>
  <c r="Y25" i="54"/>
  <c r="F25" i="57"/>
  <c r="F25" i="65"/>
  <c r="Y25" i="65" s="1"/>
  <c r="Y33" i="54"/>
  <c r="F33" i="57"/>
  <c r="F33" i="65"/>
  <c r="Y33" i="65" s="1"/>
  <c r="Y41" i="54"/>
  <c r="F41" i="65"/>
  <c r="Y41" i="65" s="1"/>
  <c r="F41" i="57"/>
  <c r="Y48" i="54"/>
  <c r="F48" i="65"/>
  <c r="Y48" i="65" s="1"/>
  <c r="F48" i="57"/>
  <c r="Y56" i="54"/>
  <c r="F56" i="65"/>
  <c r="Y56" i="65" s="1"/>
  <c r="F56" i="57"/>
  <c r="Y64" i="54"/>
  <c r="F64" i="57"/>
  <c r="F64" i="65"/>
  <c r="Y64" i="65" s="1"/>
  <c r="Y72" i="54"/>
  <c r="F72" i="57"/>
  <c r="F72" i="65"/>
  <c r="Y72" i="65" s="1"/>
  <c r="Y80" i="54"/>
  <c r="F80" i="65"/>
  <c r="Y80" i="65" s="1"/>
  <c r="F80" i="57"/>
  <c r="Y88" i="54"/>
  <c r="F88" i="65"/>
  <c r="Y88" i="65" s="1"/>
  <c r="F88" i="57"/>
  <c r="Y96" i="54"/>
  <c r="F96" i="57"/>
  <c r="F96" i="65"/>
  <c r="Y96" i="65" s="1"/>
  <c r="Y104" i="54"/>
  <c r="F104" i="65"/>
  <c r="Y104" i="65" s="1"/>
  <c r="F104" i="57"/>
  <c r="Y112" i="54"/>
  <c r="F112" i="65"/>
  <c r="Y112" i="65" s="1"/>
  <c r="F112" i="57"/>
  <c r="Y120" i="54"/>
  <c r="F120" i="65"/>
  <c r="Y120" i="65" s="1"/>
  <c r="F120" i="57"/>
  <c r="Y128" i="54"/>
  <c r="F128" i="57"/>
  <c r="F128" i="65"/>
  <c r="Y128" i="65" s="1"/>
  <c r="Y136" i="54"/>
  <c r="F136" i="65"/>
  <c r="Y136" i="65" s="1"/>
  <c r="F136" i="57"/>
  <c r="Y144" i="54"/>
  <c r="F144" i="65"/>
  <c r="Y144" i="65" s="1"/>
  <c r="F144" i="57"/>
  <c r="Y152" i="54"/>
  <c r="F152" i="65"/>
  <c r="Y152" i="65" s="1"/>
  <c r="F152" i="57"/>
  <c r="Y160" i="54"/>
  <c r="F160" i="65"/>
  <c r="Y160" i="65" s="1"/>
  <c r="F160" i="57"/>
  <c r="Y168" i="54"/>
  <c r="F168" i="65"/>
  <c r="Y168" i="65" s="1"/>
  <c r="F168" i="57"/>
  <c r="Y176" i="54"/>
  <c r="F176" i="57"/>
  <c r="F176" i="65"/>
  <c r="Y176" i="65" s="1"/>
  <c r="Y184" i="54"/>
  <c r="F184" i="65"/>
  <c r="Y184" i="65" s="1"/>
  <c r="F184" i="57"/>
  <c r="Y192" i="54"/>
  <c r="F192" i="57"/>
  <c r="F192" i="65"/>
  <c r="Y192" i="65" s="1"/>
  <c r="Y200" i="54"/>
  <c r="F200" i="65"/>
  <c r="Y200" i="65" s="1"/>
  <c r="F200" i="57"/>
  <c r="Y208" i="54"/>
  <c r="F208" i="65"/>
  <c r="Y208" i="65" s="1"/>
  <c r="F208" i="57"/>
  <c r="Y216" i="54"/>
  <c r="F216" i="65"/>
  <c r="Y216" i="65" s="1"/>
  <c r="F216" i="57"/>
  <c r="Y224" i="54"/>
  <c r="F224" i="65"/>
  <c r="Y224" i="65" s="1"/>
  <c r="F224" i="57"/>
  <c r="Y232" i="54"/>
  <c r="F232" i="57"/>
  <c r="F232" i="65"/>
  <c r="Y232" i="65" s="1"/>
  <c r="Y240" i="54"/>
  <c r="F240" i="65"/>
  <c r="Y240" i="65" s="1"/>
  <c r="F240" i="57"/>
  <c r="Y248" i="54"/>
  <c r="F248" i="57"/>
  <c r="F248" i="65"/>
  <c r="Y248" i="65" s="1"/>
  <c r="Y256" i="54"/>
  <c r="F256" i="65"/>
  <c r="Y256" i="65" s="1"/>
  <c r="F256" i="57"/>
  <c r="Y264" i="54"/>
  <c r="F264" i="65"/>
  <c r="Y264" i="65" s="1"/>
  <c r="F264" i="57"/>
  <c r="Y272" i="54"/>
  <c r="F272" i="57"/>
  <c r="F272" i="65"/>
  <c r="Y272" i="65" s="1"/>
  <c r="Y280" i="54"/>
  <c r="F280" i="65"/>
  <c r="Y280" i="65" s="1"/>
  <c r="F280" i="57"/>
  <c r="Y288" i="54"/>
  <c r="F288" i="65"/>
  <c r="Y288" i="65" s="1"/>
  <c r="F288" i="57"/>
  <c r="Y296" i="54"/>
  <c r="F296" i="65"/>
  <c r="Y296" i="65" s="1"/>
  <c r="F296" i="57"/>
  <c r="Y304" i="54"/>
  <c r="F304" i="57"/>
  <c r="F304" i="65"/>
  <c r="Y304" i="65" s="1"/>
  <c r="G19" i="54"/>
  <c r="BE19" i="54" s="1"/>
  <c r="G27" i="54"/>
  <c r="BE27" i="54" s="1"/>
  <c r="G35" i="54"/>
  <c r="BE35" i="54" s="1"/>
  <c r="G43" i="54"/>
  <c r="BE43" i="54" s="1"/>
  <c r="G50" i="54"/>
  <c r="BE50" i="54" s="1"/>
  <c r="G58" i="54"/>
  <c r="BE58" i="54" s="1"/>
  <c r="G66" i="54"/>
  <c r="BE66" i="54" s="1"/>
  <c r="G74" i="54"/>
  <c r="BE74" i="54" s="1"/>
  <c r="G82" i="54"/>
  <c r="BE82" i="54" s="1"/>
  <c r="G90" i="54"/>
  <c r="BE90" i="54" s="1"/>
  <c r="G98" i="54"/>
  <c r="BE98" i="54" s="1"/>
  <c r="G106" i="54"/>
  <c r="BE106" i="54" s="1"/>
  <c r="G114" i="54"/>
  <c r="BE114" i="54" s="1"/>
  <c r="G122" i="54"/>
  <c r="BE122" i="54" s="1"/>
  <c r="G130" i="54"/>
  <c r="BE130" i="54" s="1"/>
  <c r="G138" i="54"/>
  <c r="BE138" i="54" s="1"/>
  <c r="G146" i="54"/>
  <c r="BE146" i="54" s="1"/>
  <c r="G154" i="54"/>
  <c r="BE154" i="54" s="1"/>
  <c r="G162" i="54"/>
  <c r="BE162" i="54" s="1"/>
  <c r="G170" i="54"/>
  <c r="BE170" i="54" s="1"/>
  <c r="G178" i="54"/>
  <c r="BE178" i="54" s="1"/>
  <c r="G186" i="54"/>
  <c r="BE186" i="54" s="1"/>
  <c r="G194" i="54"/>
  <c r="BE194" i="54" s="1"/>
  <c r="G202" i="54"/>
  <c r="BE202" i="54" s="1"/>
  <c r="G210" i="54"/>
  <c r="BE210" i="54" s="1"/>
  <c r="G218" i="54"/>
  <c r="BE218" i="54" s="1"/>
  <c r="G226" i="54"/>
  <c r="BE226" i="54" s="1"/>
  <c r="G234" i="54"/>
  <c r="BE234" i="54" s="1"/>
  <c r="G242" i="54"/>
  <c r="BE242" i="54" s="1"/>
  <c r="G250" i="54"/>
  <c r="BE250" i="54" s="1"/>
  <c r="G258" i="54"/>
  <c r="BE258" i="54" s="1"/>
  <c r="G266" i="54"/>
  <c r="BE266" i="54" s="1"/>
  <c r="G274" i="54"/>
  <c r="BE274" i="54" s="1"/>
  <c r="G282" i="54"/>
  <c r="BE282" i="54" s="1"/>
  <c r="G290" i="54"/>
  <c r="BE290" i="54" s="1"/>
  <c r="G298" i="54"/>
  <c r="BE298" i="54" s="1"/>
  <c r="G306" i="54"/>
  <c r="BE306" i="54" s="1"/>
  <c r="V46" i="54"/>
  <c r="C46" i="65"/>
  <c r="V46" i="65" s="1"/>
  <c r="C46" i="57"/>
  <c r="V102" i="54"/>
  <c r="C102" i="65"/>
  <c r="V102" i="65" s="1"/>
  <c r="C102" i="57"/>
  <c r="V150" i="54"/>
  <c r="C150" i="65"/>
  <c r="V150" i="65" s="1"/>
  <c r="C150" i="57"/>
  <c r="V206" i="54"/>
  <c r="C206" i="57"/>
  <c r="C206" i="65"/>
  <c r="V206" i="65" s="1"/>
  <c r="V270" i="54"/>
  <c r="C270" i="65"/>
  <c r="V270" i="65" s="1"/>
  <c r="C270" i="57"/>
  <c r="D41" i="65"/>
  <c r="W41" i="65" s="1"/>
  <c r="W41" i="54"/>
  <c r="D41" i="57"/>
  <c r="W88" i="54"/>
  <c r="D88" i="65"/>
  <c r="W88" i="65" s="1"/>
  <c r="D88" i="57"/>
  <c r="W152" i="54"/>
  <c r="D152" i="65"/>
  <c r="W152" i="65" s="1"/>
  <c r="D152" i="57"/>
  <c r="W216" i="54"/>
  <c r="D216" i="65"/>
  <c r="W216" i="65" s="1"/>
  <c r="D216" i="57"/>
  <c r="W272" i="54"/>
  <c r="D272" i="65"/>
  <c r="W272" i="65" s="1"/>
  <c r="D272" i="57"/>
  <c r="E35" i="65"/>
  <c r="X35" i="65" s="1"/>
  <c r="X35" i="54"/>
  <c r="E35" i="57"/>
  <c r="X90" i="54"/>
  <c r="E90" i="65"/>
  <c r="X90" i="65" s="1"/>
  <c r="E90" i="57"/>
  <c r="X146" i="54"/>
  <c r="E146" i="65"/>
  <c r="X146" i="65" s="1"/>
  <c r="E146" i="57"/>
  <c r="X194" i="54"/>
  <c r="E194" i="65"/>
  <c r="X194" i="65" s="1"/>
  <c r="E194" i="57"/>
  <c r="X250" i="54"/>
  <c r="E250" i="65"/>
  <c r="X250" i="65" s="1"/>
  <c r="E250" i="57"/>
  <c r="X282" i="54"/>
  <c r="E282" i="65"/>
  <c r="X282" i="65" s="1"/>
  <c r="E282" i="57"/>
  <c r="F37" i="65"/>
  <c r="Y37" i="65" s="1"/>
  <c r="Y37" i="54"/>
  <c r="F37" i="57"/>
  <c r="Y84" i="54"/>
  <c r="F84" i="65"/>
  <c r="Y84" i="65" s="1"/>
  <c r="F84" i="57"/>
  <c r="Y140" i="54"/>
  <c r="F140" i="65"/>
  <c r="Y140" i="65" s="1"/>
  <c r="F140" i="57"/>
  <c r="Y188" i="54"/>
  <c r="F188" i="65"/>
  <c r="Y188" i="65" s="1"/>
  <c r="F188" i="57"/>
  <c r="Y236" i="54"/>
  <c r="F236" i="65"/>
  <c r="Y236" i="65" s="1"/>
  <c r="F236" i="57"/>
  <c r="Y284" i="54"/>
  <c r="F284" i="65"/>
  <c r="Y284" i="65" s="1"/>
  <c r="F284" i="57"/>
  <c r="G46" i="54"/>
  <c r="BE46" i="54" s="1"/>
  <c r="G110" i="54"/>
  <c r="BE110" i="54" s="1"/>
  <c r="G158" i="54"/>
  <c r="BE158" i="54" s="1"/>
  <c r="G206" i="54"/>
  <c r="BE206" i="54" s="1"/>
  <c r="G254" i="54"/>
  <c r="BE254" i="54" s="1"/>
  <c r="G286" i="54"/>
  <c r="BE286" i="54" s="1"/>
  <c r="C20" i="65"/>
  <c r="V20" i="65" s="1"/>
  <c r="C20" i="57"/>
  <c r="V20" i="54"/>
  <c r="C28" i="65"/>
  <c r="V28" i="65" s="1"/>
  <c r="V28" i="54"/>
  <c r="C28" i="57"/>
  <c r="C36" i="65"/>
  <c r="V36" i="65" s="1"/>
  <c r="V36" i="54"/>
  <c r="C36" i="57"/>
  <c r="C44" i="57"/>
  <c r="V44" i="54"/>
  <c r="C44" i="65"/>
  <c r="V44" i="65" s="1"/>
  <c r="C51" i="65"/>
  <c r="V51" i="65" s="1"/>
  <c r="V51" i="54"/>
  <c r="C51" i="57"/>
  <c r="C59" i="65"/>
  <c r="V59" i="65" s="1"/>
  <c r="V59" i="54"/>
  <c r="C59" i="57"/>
  <c r="C67" i="65"/>
  <c r="V67" i="65" s="1"/>
  <c r="V67" i="54"/>
  <c r="C67" i="57"/>
  <c r="C75" i="65"/>
  <c r="V75" i="65" s="1"/>
  <c r="V75" i="54"/>
  <c r="C75" i="57"/>
  <c r="C83" i="65"/>
  <c r="V83" i="65" s="1"/>
  <c r="V83" i="54"/>
  <c r="C83" i="57"/>
  <c r="C91" i="65"/>
  <c r="V91" i="65" s="1"/>
  <c r="V91" i="54"/>
  <c r="C91" i="57"/>
  <c r="C99" i="65"/>
  <c r="V99" i="65" s="1"/>
  <c r="V99" i="54"/>
  <c r="C99" i="57"/>
  <c r="C107" i="65"/>
  <c r="V107" i="65" s="1"/>
  <c r="V107" i="54"/>
  <c r="C107" i="57"/>
  <c r="C115" i="65"/>
  <c r="V115" i="65" s="1"/>
  <c r="V115" i="54"/>
  <c r="C115" i="57"/>
  <c r="C123" i="65"/>
  <c r="V123" i="65" s="1"/>
  <c r="V123" i="54"/>
  <c r="C123" i="57"/>
  <c r="C131" i="65"/>
  <c r="V131" i="65" s="1"/>
  <c r="V131" i="54"/>
  <c r="C131" i="57"/>
  <c r="C139" i="65"/>
  <c r="V139" i="65" s="1"/>
  <c r="V139" i="54"/>
  <c r="C139" i="57"/>
  <c r="C147" i="65"/>
  <c r="V147" i="65" s="1"/>
  <c r="V147" i="54"/>
  <c r="C147" i="57"/>
  <c r="C155" i="65"/>
  <c r="V155" i="65" s="1"/>
  <c r="V155" i="54"/>
  <c r="C155" i="57"/>
  <c r="C163" i="65"/>
  <c r="V163" i="65" s="1"/>
  <c r="V163" i="54"/>
  <c r="C163" i="57"/>
  <c r="C171" i="65"/>
  <c r="V171" i="65" s="1"/>
  <c r="V171" i="54"/>
  <c r="C171" i="57"/>
  <c r="C179" i="65"/>
  <c r="V179" i="65" s="1"/>
  <c r="V179" i="54"/>
  <c r="C179" i="57"/>
  <c r="V187" i="54"/>
  <c r="C187" i="65"/>
  <c r="V187" i="65" s="1"/>
  <c r="C187" i="57"/>
  <c r="V195" i="54"/>
  <c r="C195" i="65"/>
  <c r="V195" i="65" s="1"/>
  <c r="C195" i="57"/>
  <c r="V203" i="54"/>
  <c r="C203" i="57"/>
  <c r="C203" i="65"/>
  <c r="V203" i="65" s="1"/>
  <c r="V211" i="54"/>
  <c r="C211" i="65"/>
  <c r="V211" i="65" s="1"/>
  <c r="C211" i="57"/>
  <c r="V219" i="54"/>
  <c r="C219" i="65"/>
  <c r="V219" i="65" s="1"/>
  <c r="C219" i="57"/>
  <c r="V227" i="54"/>
  <c r="C227" i="65"/>
  <c r="V227" i="65" s="1"/>
  <c r="C227" i="57"/>
  <c r="V235" i="54"/>
  <c r="C235" i="57"/>
  <c r="C235" i="65"/>
  <c r="V235" i="65" s="1"/>
  <c r="V243" i="54"/>
  <c r="C243" i="65"/>
  <c r="V243" i="65" s="1"/>
  <c r="C243" i="57"/>
  <c r="V251" i="54"/>
  <c r="C251" i="65"/>
  <c r="V251" i="65" s="1"/>
  <c r="C251" i="57"/>
  <c r="V259" i="54"/>
  <c r="C259" i="65"/>
  <c r="V259" i="65" s="1"/>
  <c r="C259" i="57"/>
  <c r="V267" i="54"/>
  <c r="C267" i="57"/>
  <c r="C267" i="65"/>
  <c r="V267" i="65" s="1"/>
  <c r="V275" i="54"/>
  <c r="C275" i="65"/>
  <c r="V275" i="65" s="1"/>
  <c r="C275" i="57"/>
  <c r="V283" i="54"/>
  <c r="C283" i="65"/>
  <c r="V283" i="65" s="1"/>
  <c r="C283" i="57"/>
  <c r="V291" i="54"/>
  <c r="C291" i="65"/>
  <c r="V291" i="65" s="1"/>
  <c r="C291" i="57"/>
  <c r="V299" i="54"/>
  <c r="C299" i="57"/>
  <c r="C299" i="65"/>
  <c r="V299" i="65" s="1"/>
  <c r="V307" i="54"/>
  <c r="C307" i="65"/>
  <c r="V307" i="65" s="1"/>
  <c r="C307" i="57"/>
  <c r="D22" i="65"/>
  <c r="W22" i="65" s="1"/>
  <c r="W22" i="54"/>
  <c r="D22" i="57"/>
  <c r="D30" i="65"/>
  <c r="W30" i="65" s="1"/>
  <c r="W30" i="54"/>
  <c r="D30" i="57"/>
  <c r="D38" i="65"/>
  <c r="W38" i="65" s="1"/>
  <c r="W38" i="54"/>
  <c r="D38" i="57"/>
  <c r="D45" i="65"/>
  <c r="W45" i="65" s="1"/>
  <c r="W45" i="54"/>
  <c r="D45" i="57"/>
  <c r="W53" i="54"/>
  <c r="D53" i="65"/>
  <c r="W53" i="65" s="1"/>
  <c r="D53" i="57"/>
  <c r="D61" i="65"/>
  <c r="W61" i="65" s="1"/>
  <c r="W61" i="54"/>
  <c r="D61" i="57"/>
  <c r="D69" i="65"/>
  <c r="W69" i="65" s="1"/>
  <c r="W69" i="54"/>
  <c r="D69" i="57"/>
  <c r="D77" i="57"/>
  <c r="D77" i="65"/>
  <c r="W77" i="65" s="1"/>
  <c r="W77" i="54"/>
  <c r="D85" i="65"/>
  <c r="W85" i="65" s="1"/>
  <c r="W85" i="54"/>
  <c r="D85" i="57"/>
  <c r="D93" i="65"/>
  <c r="W93" i="65" s="1"/>
  <c r="D93" i="57"/>
  <c r="W93" i="54"/>
  <c r="D101" i="65"/>
  <c r="W101" i="65" s="1"/>
  <c r="W101" i="54"/>
  <c r="D101" i="57"/>
  <c r="D109" i="65"/>
  <c r="W109" i="65" s="1"/>
  <c r="D109" i="57"/>
  <c r="W109" i="54"/>
  <c r="D117" i="65"/>
  <c r="W117" i="65" s="1"/>
  <c r="W117" i="54"/>
  <c r="D117" i="57"/>
  <c r="D125" i="65"/>
  <c r="W125" i="65" s="1"/>
  <c r="W125" i="54"/>
  <c r="D125" i="57"/>
  <c r="D133" i="65"/>
  <c r="W133" i="65" s="1"/>
  <c r="W133" i="54"/>
  <c r="D133" i="57"/>
  <c r="D141" i="65"/>
  <c r="W141" i="65" s="1"/>
  <c r="W141" i="54"/>
  <c r="D141" i="57"/>
  <c r="D149" i="65"/>
  <c r="W149" i="65" s="1"/>
  <c r="D149" i="57"/>
  <c r="W149" i="54"/>
  <c r="D157" i="65"/>
  <c r="W157" i="65" s="1"/>
  <c r="W157" i="54"/>
  <c r="D157" i="57"/>
  <c r="D165" i="65"/>
  <c r="W165" i="65" s="1"/>
  <c r="W165" i="54"/>
  <c r="D165" i="57"/>
  <c r="D173" i="65"/>
  <c r="W173" i="65" s="1"/>
  <c r="W173" i="54"/>
  <c r="D173" i="57"/>
  <c r="D181" i="65"/>
  <c r="W181" i="65" s="1"/>
  <c r="D181" i="57"/>
  <c r="W181" i="54"/>
  <c r="D189" i="57"/>
  <c r="D189" i="65"/>
  <c r="W189" i="65" s="1"/>
  <c r="W189" i="54"/>
  <c r="D197" i="65"/>
  <c r="W197" i="65" s="1"/>
  <c r="W197" i="54"/>
  <c r="D197" i="57"/>
  <c r="D205" i="65"/>
  <c r="W205" i="65" s="1"/>
  <c r="D205" i="57"/>
  <c r="W205" i="54"/>
  <c r="D213" i="65"/>
  <c r="W213" i="65" s="1"/>
  <c r="W213" i="54"/>
  <c r="D213" i="57"/>
  <c r="D221" i="57"/>
  <c r="D221" i="65"/>
  <c r="W221" i="65" s="1"/>
  <c r="W221" i="54"/>
  <c r="D229" i="65"/>
  <c r="W229" i="65" s="1"/>
  <c r="W229" i="54"/>
  <c r="D229" i="57"/>
  <c r="D237" i="65"/>
  <c r="W237" i="65" s="1"/>
  <c r="W237" i="54"/>
  <c r="D237" i="57"/>
  <c r="D245" i="65"/>
  <c r="W245" i="65" s="1"/>
  <c r="W245" i="54"/>
  <c r="D245" i="57"/>
  <c r="W253" i="54"/>
  <c r="D253" i="57"/>
  <c r="D253" i="65"/>
  <c r="W253" i="65" s="1"/>
  <c r="W261" i="54"/>
  <c r="D261" i="65"/>
  <c r="W261" i="65" s="1"/>
  <c r="D261" i="57"/>
  <c r="W269" i="54"/>
  <c r="D269" i="57"/>
  <c r="D269" i="65"/>
  <c r="W269" i="65" s="1"/>
  <c r="W277" i="54"/>
  <c r="D277" i="57"/>
  <c r="D277" i="65"/>
  <c r="W277" i="65" s="1"/>
  <c r="W285" i="54"/>
  <c r="D285" i="65"/>
  <c r="W285" i="65" s="1"/>
  <c r="D285" i="57"/>
  <c r="D293" i="65"/>
  <c r="W293" i="65" s="1"/>
  <c r="W293" i="54"/>
  <c r="D293" i="57"/>
  <c r="W301" i="54"/>
  <c r="D301" i="65"/>
  <c r="W301" i="65" s="1"/>
  <c r="D301" i="57"/>
  <c r="E16" i="65"/>
  <c r="X16" i="65" s="1"/>
  <c r="X16" i="54"/>
  <c r="E16" i="57"/>
  <c r="E24" i="65"/>
  <c r="X24" i="65" s="1"/>
  <c r="X24" i="54"/>
  <c r="E24" i="57"/>
  <c r="E32" i="65"/>
  <c r="X32" i="65" s="1"/>
  <c r="E32" i="57"/>
  <c r="X32" i="54"/>
  <c r="E40" i="65"/>
  <c r="X40" i="65" s="1"/>
  <c r="X40" i="54"/>
  <c r="E40" i="57"/>
  <c r="E47" i="65"/>
  <c r="X47" i="65" s="1"/>
  <c r="X47" i="54"/>
  <c r="E47" i="57"/>
  <c r="E55" i="65"/>
  <c r="X55" i="65" s="1"/>
  <c r="E55" i="57"/>
  <c r="X55" i="54"/>
  <c r="E63" i="65"/>
  <c r="X63" i="65" s="1"/>
  <c r="E63" i="57"/>
  <c r="X63" i="54"/>
  <c r="E71" i="65"/>
  <c r="X71" i="65" s="1"/>
  <c r="E71" i="57"/>
  <c r="X71" i="54"/>
  <c r="E79" i="65"/>
  <c r="X79" i="65" s="1"/>
  <c r="X79" i="54"/>
  <c r="E79" i="57"/>
  <c r="E87" i="65"/>
  <c r="X87" i="65" s="1"/>
  <c r="X87" i="54"/>
  <c r="E87" i="57"/>
  <c r="E95" i="65"/>
  <c r="X95" i="65" s="1"/>
  <c r="X95" i="54"/>
  <c r="E95" i="57"/>
  <c r="E103" i="65"/>
  <c r="X103" i="65" s="1"/>
  <c r="X103" i="54"/>
  <c r="E103" i="57"/>
  <c r="E111" i="65"/>
  <c r="X111" i="65" s="1"/>
  <c r="X111" i="54"/>
  <c r="E111" i="57"/>
  <c r="E119" i="65"/>
  <c r="X119" i="65" s="1"/>
  <c r="X119" i="54"/>
  <c r="E119" i="57"/>
  <c r="E127" i="65"/>
  <c r="X127" i="65" s="1"/>
  <c r="X127" i="54"/>
  <c r="E127" i="57"/>
  <c r="E135" i="65"/>
  <c r="X135" i="65" s="1"/>
  <c r="X135" i="54"/>
  <c r="E135" i="57"/>
  <c r="E143" i="65"/>
  <c r="X143" i="65" s="1"/>
  <c r="X143" i="54"/>
  <c r="E143" i="57"/>
  <c r="E151" i="65"/>
  <c r="X151" i="65" s="1"/>
  <c r="X151" i="54"/>
  <c r="E151" i="57"/>
  <c r="E159" i="65"/>
  <c r="X159" i="65" s="1"/>
  <c r="X159" i="54"/>
  <c r="E159" i="57"/>
  <c r="E167" i="65"/>
  <c r="X167" i="65" s="1"/>
  <c r="X167" i="54"/>
  <c r="E167" i="57"/>
  <c r="E175" i="65"/>
  <c r="X175" i="65" s="1"/>
  <c r="X175" i="54"/>
  <c r="E175" i="57"/>
  <c r="E183" i="65"/>
  <c r="X183" i="65" s="1"/>
  <c r="X183" i="54"/>
  <c r="E183" i="57"/>
  <c r="X191" i="54"/>
  <c r="E191" i="57"/>
  <c r="E191" i="65"/>
  <c r="X191" i="65" s="1"/>
  <c r="X199" i="54"/>
  <c r="E199" i="57"/>
  <c r="E199" i="65"/>
  <c r="X199" i="65" s="1"/>
  <c r="X207" i="54"/>
  <c r="E207" i="65"/>
  <c r="X207" i="65" s="1"/>
  <c r="E207" i="57"/>
  <c r="X215" i="54"/>
  <c r="E215" i="65"/>
  <c r="X215" i="65" s="1"/>
  <c r="E215" i="57"/>
  <c r="X223" i="54"/>
  <c r="E223" i="57"/>
  <c r="E223" i="65"/>
  <c r="X223" i="65" s="1"/>
  <c r="X231" i="54"/>
  <c r="E231" i="57"/>
  <c r="E231" i="65"/>
  <c r="X231" i="65" s="1"/>
  <c r="X239" i="54"/>
  <c r="E239" i="65"/>
  <c r="X239" i="65" s="1"/>
  <c r="E239" i="57"/>
  <c r="X247" i="54"/>
  <c r="E247" i="65"/>
  <c r="X247" i="65" s="1"/>
  <c r="E247" i="57"/>
  <c r="X255" i="54"/>
  <c r="E255" i="57"/>
  <c r="E255" i="65"/>
  <c r="X255" i="65" s="1"/>
  <c r="X263" i="54"/>
  <c r="E263" i="57"/>
  <c r="E263" i="65"/>
  <c r="X263" i="65" s="1"/>
  <c r="X271" i="54"/>
  <c r="E271" i="65"/>
  <c r="X271" i="65" s="1"/>
  <c r="E271" i="57"/>
  <c r="X279" i="54"/>
  <c r="E279" i="65"/>
  <c r="X279" i="65" s="1"/>
  <c r="E279" i="57"/>
  <c r="X287" i="54"/>
  <c r="E287" i="57"/>
  <c r="E287" i="65"/>
  <c r="X287" i="65" s="1"/>
  <c r="X295" i="54"/>
  <c r="E295" i="57"/>
  <c r="E295" i="65"/>
  <c r="X295" i="65" s="1"/>
  <c r="X303" i="54"/>
  <c r="E303" i="65"/>
  <c r="X303" i="65" s="1"/>
  <c r="E303" i="57"/>
  <c r="F18" i="65"/>
  <c r="Y18" i="65" s="1"/>
  <c r="Y18" i="54"/>
  <c r="F18" i="57"/>
  <c r="F26" i="65"/>
  <c r="Y26" i="65" s="1"/>
  <c r="Y26" i="54"/>
  <c r="F26" i="57"/>
  <c r="F34" i="65"/>
  <c r="Y34" i="65" s="1"/>
  <c r="Y34" i="54"/>
  <c r="F34" i="57"/>
  <c r="F42" i="65"/>
  <c r="Y42" i="65" s="1"/>
  <c r="Y42" i="54"/>
  <c r="F42" i="57"/>
  <c r="F49" i="65"/>
  <c r="Y49" i="65" s="1"/>
  <c r="Y49" i="54"/>
  <c r="F49" i="57"/>
  <c r="F57" i="65"/>
  <c r="Y57" i="65" s="1"/>
  <c r="Y57" i="54"/>
  <c r="F57" i="57"/>
  <c r="F65" i="65"/>
  <c r="Y65" i="65" s="1"/>
  <c r="Y65" i="54"/>
  <c r="F65" i="57"/>
  <c r="F73" i="65"/>
  <c r="Y73" i="65" s="1"/>
  <c r="Y73" i="54"/>
  <c r="F73" i="57"/>
  <c r="Y81" i="54"/>
  <c r="F81" i="65"/>
  <c r="Y81" i="65" s="1"/>
  <c r="F81" i="57"/>
  <c r="Y89" i="54"/>
  <c r="F89" i="65"/>
  <c r="Y89" i="65" s="1"/>
  <c r="F89" i="57"/>
  <c r="Y97" i="54"/>
  <c r="F97" i="65"/>
  <c r="Y97" i="65" s="1"/>
  <c r="F97" i="57"/>
  <c r="Y105" i="54"/>
  <c r="F105" i="65"/>
  <c r="Y105" i="65" s="1"/>
  <c r="F105" i="57"/>
  <c r="Y113" i="54"/>
  <c r="F113" i="65"/>
  <c r="Y113" i="65" s="1"/>
  <c r="F113" i="57"/>
  <c r="Y121" i="54"/>
  <c r="F121" i="65"/>
  <c r="Y121" i="65" s="1"/>
  <c r="F121" i="57"/>
  <c r="Y129" i="54"/>
  <c r="F129" i="65"/>
  <c r="Y129" i="65" s="1"/>
  <c r="F129" i="57"/>
  <c r="Y137" i="54"/>
  <c r="F137" i="65"/>
  <c r="Y137" i="65" s="1"/>
  <c r="F137" i="57"/>
  <c r="Y145" i="54"/>
  <c r="F145" i="65"/>
  <c r="Y145" i="65" s="1"/>
  <c r="F145" i="57"/>
  <c r="Y153" i="54"/>
  <c r="F153" i="65"/>
  <c r="Y153" i="65" s="1"/>
  <c r="F153" i="57"/>
  <c r="Y161" i="54"/>
  <c r="F161" i="65"/>
  <c r="Y161" i="65" s="1"/>
  <c r="F161" i="57"/>
  <c r="Y169" i="54"/>
  <c r="F169" i="65"/>
  <c r="Y169" i="65" s="1"/>
  <c r="F169" i="57"/>
  <c r="Y177" i="54"/>
  <c r="F177" i="65"/>
  <c r="Y177" i="65" s="1"/>
  <c r="F177" i="57"/>
  <c r="Y185" i="54"/>
  <c r="F185" i="65"/>
  <c r="Y185" i="65" s="1"/>
  <c r="F185" i="57"/>
  <c r="Y193" i="54"/>
  <c r="F193" i="65"/>
  <c r="Y193" i="65" s="1"/>
  <c r="F193" i="57"/>
  <c r="Y201" i="54"/>
  <c r="F201" i="65"/>
  <c r="Y201" i="65" s="1"/>
  <c r="F201" i="57"/>
  <c r="Y209" i="54"/>
  <c r="F209" i="65"/>
  <c r="Y209" i="65" s="1"/>
  <c r="F209" i="57"/>
  <c r="Y217" i="54"/>
  <c r="F217" i="65"/>
  <c r="Y217" i="65" s="1"/>
  <c r="F217" i="57"/>
  <c r="Y225" i="54"/>
  <c r="F225" i="65"/>
  <c r="Y225" i="65" s="1"/>
  <c r="F225" i="57"/>
  <c r="Y233" i="54"/>
  <c r="F233" i="65"/>
  <c r="Y233" i="65" s="1"/>
  <c r="F233" i="57"/>
  <c r="Y241" i="54"/>
  <c r="F241" i="65"/>
  <c r="Y241" i="65" s="1"/>
  <c r="F241" i="57"/>
  <c r="Y249" i="54"/>
  <c r="F249" i="65"/>
  <c r="Y249" i="65" s="1"/>
  <c r="F249" i="57"/>
  <c r="Y257" i="54"/>
  <c r="F257" i="65"/>
  <c r="Y257" i="65" s="1"/>
  <c r="F257" i="57"/>
  <c r="Y265" i="54"/>
  <c r="F265" i="65"/>
  <c r="Y265" i="65" s="1"/>
  <c r="F265" i="57"/>
  <c r="Y273" i="54"/>
  <c r="F273" i="65"/>
  <c r="Y273" i="65" s="1"/>
  <c r="F273" i="57"/>
  <c r="Y281" i="54"/>
  <c r="F281" i="65"/>
  <c r="Y281" i="65" s="1"/>
  <c r="F281" i="57"/>
  <c r="Y289" i="54"/>
  <c r="F289" i="65"/>
  <c r="Y289" i="65" s="1"/>
  <c r="F289" i="57"/>
  <c r="Y297" i="54"/>
  <c r="F297" i="65"/>
  <c r="Y297" i="65" s="1"/>
  <c r="F297" i="57"/>
  <c r="Y305" i="54"/>
  <c r="F305" i="65"/>
  <c r="Y305" i="65" s="1"/>
  <c r="F305" i="57"/>
  <c r="G20" i="54"/>
  <c r="BE20" i="54" s="1"/>
  <c r="G28" i="54"/>
  <c r="BE28" i="54" s="1"/>
  <c r="G36" i="54"/>
  <c r="BE36" i="54" s="1"/>
  <c r="G44" i="54"/>
  <c r="BE44" i="54" s="1"/>
  <c r="G51" i="54"/>
  <c r="BE51" i="54" s="1"/>
  <c r="G59" i="54"/>
  <c r="BE59" i="54" s="1"/>
  <c r="G67" i="54"/>
  <c r="BE67" i="54" s="1"/>
  <c r="G75" i="54"/>
  <c r="BE75" i="54" s="1"/>
  <c r="G83" i="54"/>
  <c r="BE83" i="54" s="1"/>
  <c r="G91" i="54"/>
  <c r="BE91" i="54" s="1"/>
  <c r="G99" i="54"/>
  <c r="BE99" i="54" s="1"/>
  <c r="G107" i="54"/>
  <c r="BE107" i="54" s="1"/>
  <c r="G115" i="54"/>
  <c r="BE115" i="54" s="1"/>
  <c r="G123" i="54"/>
  <c r="BE123" i="54" s="1"/>
  <c r="G131" i="54"/>
  <c r="BE131" i="54" s="1"/>
  <c r="G139" i="54"/>
  <c r="BE139" i="54" s="1"/>
  <c r="G147" i="54"/>
  <c r="BE147" i="54" s="1"/>
  <c r="G155" i="54"/>
  <c r="BE155" i="54" s="1"/>
  <c r="G163" i="54"/>
  <c r="BE163" i="54" s="1"/>
  <c r="G171" i="54"/>
  <c r="BE171" i="54" s="1"/>
  <c r="G179" i="54"/>
  <c r="BE179" i="54" s="1"/>
  <c r="G187" i="54"/>
  <c r="BE187" i="54" s="1"/>
  <c r="G195" i="54"/>
  <c r="BE195" i="54" s="1"/>
  <c r="G203" i="54"/>
  <c r="BE203" i="54" s="1"/>
  <c r="G211" i="54"/>
  <c r="BE211" i="54" s="1"/>
  <c r="G219" i="54"/>
  <c r="BE219" i="54" s="1"/>
  <c r="G227" i="54"/>
  <c r="BE227" i="54" s="1"/>
  <c r="G235" i="54"/>
  <c r="BE235" i="54" s="1"/>
  <c r="G243" i="54"/>
  <c r="BE243" i="54" s="1"/>
  <c r="G251" i="54"/>
  <c r="BE251" i="54" s="1"/>
  <c r="G259" i="54"/>
  <c r="BE259" i="54" s="1"/>
  <c r="G267" i="54"/>
  <c r="BE267" i="54" s="1"/>
  <c r="G275" i="54"/>
  <c r="BE275" i="54" s="1"/>
  <c r="G283" i="54"/>
  <c r="BE283" i="54" s="1"/>
  <c r="G291" i="54"/>
  <c r="BE291" i="54" s="1"/>
  <c r="G299" i="54"/>
  <c r="BE299" i="54" s="1"/>
  <c r="G307" i="54"/>
  <c r="BE307" i="54" s="1"/>
  <c r="V54" i="54"/>
  <c r="C54" i="65"/>
  <c r="V54" i="65" s="1"/>
  <c r="C54" i="57"/>
  <c r="V110" i="54"/>
  <c r="C110" i="57"/>
  <c r="C110" i="65"/>
  <c r="V110" i="65" s="1"/>
  <c r="V166" i="54"/>
  <c r="C166" i="57"/>
  <c r="C166" i="65"/>
  <c r="V166" i="65" s="1"/>
  <c r="V214" i="54"/>
  <c r="C214" i="65"/>
  <c r="V214" i="65" s="1"/>
  <c r="C214" i="57"/>
  <c r="V262" i="54"/>
  <c r="C262" i="65"/>
  <c r="V262" i="65" s="1"/>
  <c r="C262" i="57"/>
  <c r="D17" i="65"/>
  <c r="W17" i="65" s="1"/>
  <c r="W17" i="54"/>
  <c r="D17" i="57"/>
  <c r="D72" i="65"/>
  <c r="W72" i="65" s="1"/>
  <c r="W72" i="54"/>
  <c r="D72" i="57"/>
  <c r="W128" i="54"/>
  <c r="D128" i="65"/>
  <c r="W128" i="65" s="1"/>
  <c r="D128" i="57"/>
  <c r="W184" i="54"/>
  <c r="D184" i="65"/>
  <c r="W184" i="65" s="1"/>
  <c r="D184" i="57"/>
  <c r="W248" i="54"/>
  <c r="D248" i="65"/>
  <c r="W248" i="65" s="1"/>
  <c r="D248" i="57"/>
  <c r="W296" i="54"/>
  <c r="D296" i="65"/>
  <c r="W296" i="65" s="1"/>
  <c r="D296" i="57"/>
  <c r="E58" i="65"/>
  <c r="X58" i="65" s="1"/>
  <c r="X58" i="54"/>
  <c r="E58" i="57"/>
  <c r="X114" i="54"/>
  <c r="E114" i="65"/>
  <c r="X114" i="65" s="1"/>
  <c r="E114" i="57"/>
  <c r="X170" i="54"/>
  <c r="E170" i="65"/>
  <c r="X170" i="65" s="1"/>
  <c r="E170" i="57"/>
  <c r="X226" i="54"/>
  <c r="E226" i="65"/>
  <c r="X226" i="65" s="1"/>
  <c r="E226" i="57"/>
  <c r="X290" i="54"/>
  <c r="E290" i="65"/>
  <c r="X290" i="65" s="1"/>
  <c r="E290" i="57"/>
  <c r="F29" i="65"/>
  <c r="Y29" i="65" s="1"/>
  <c r="Y29" i="54"/>
  <c r="F29" i="57"/>
  <c r="F60" i="65"/>
  <c r="Y60" i="65" s="1"/>
  <c r="Y60" i="54"/>
  <c r="F60" i="57"/>
  <c r="Y116" i="54"/>
  <c r="F116" i="65"/>
  <c r="Y116" i="65" s="1"/>
  <c r="F116" i="57"/>
  <c r="Y164" i="54"/>
  <c r="F164" i="57"/>
  <c r="F164" i="65"/>
  <c r="Y164" i="65" s="1"/>
  <c r="Y220" i="54"/>
  <c r="F220" i="65"/>
  <c r="Y220" i="65" s="1"/>
  <c r="F220" i="57"/>
  <c r="Y268" i="54"/>
  <c r="F268" i="65"/>
  <c r="Y268" i="65" s="1"/>
  <c r="F268" i="57"/>
  <c r="G23" i="54"/>
  <c r="BE23" i="54" s="1"/>
  <c r="G70" i="54"/>
  <c r="BE70" i="54" s="1"/>
  <c r="G126" i="54"/>
  <c r="BE126" i="54" s="1"/>
  <c r="G190" i="54"/>
  <c r="BE190" i="54" s="1"/>
  <c r="G246" i="54"/>
  <c r="BE246" i="54" s="1"/>
  <c r="G302" i="54"/>
  <c r="BE302" i="54" s="1"/>
  <c r="C21" i="65"/>
  <c r="V21" i="65" s="1"/>
  <c r="V21" i="54"/>
  <c r="C21" i="57"/>
  <c r="C29" i="65"/>
  <c r="V29" i="65" s="1"/>
  <c r="V29" i="54"/>
  <c r="C29" i="57"/>
  <c r="C37" i="65"/>
  <c r="V37" i="65" s="1"/>
  <c r="V37" i="54"/>
  <c r="C37" i="57"/>
  <c r="C52" i="65"/>
  <c r="V52" i="65" s="1"/>
  <c r="V52" i="54"/>
  <c r="C52" i="57"/>
  <c r="C60" i="65"/>
  <c r="V60" i="65" s="1"/>
  <c r="V60" i="54"/>
  <c r="C60" i="57"/>
  <c r="C68" i="65"/>
  <c r="V68" i="65" s="1"/>
  <c r="V68" i="54"/>
  <c r="C68" i="57"/>
  <c r="C76" i="65"/>
  <c r="V76" i="65" s="1"/>
  <c r="V76" i="54"/>
  <c r="C76" i="57"/>
  <c r="V84" i="54"/>
  <c r="C84" i="57"/>
  <c r="C84" i="65"/>
  <c r="V84" i="65" s="1"/>
  <c r="V92" i="54"/>
  <c r="C92" i="57"/>
  <c r="C92" i="65"/>
  <c r="V92" i="65" s="1"/>
  <c r="V100" i="54"/>
  <c r="C100" i="65"/>
  <c r="V100" i="65" s="1"/>
  <c r="C100" i="57"/>
  <c r="V108" i="54"/>
  <c r="C108" i="65"/>
  <c r="V108" i="65" s="1"/>
  <c r="C108" i="57"/>
  <c r="V116" i="54"/>
  <c r="C116" i="57"/>
  <c r="C116" i="65"/>
  <c r="V116" i="65" s="1"/>
  <c r="V124" i="54"/>
  <c r="C124" i="57"/>
  <c r="C124" i="65"/>
  <c r="V124" i="65" s="1"/>
  <c r="V132" i="54"/>
  <c r="C132" i="65"/>
  <c r="V132" i="65" s="1"/>
  <c r="C132" i="57"/>
  <c r="V140" i="54"/>
  <c r="C140" i="65"/>
  <c r="V140" i="65" s="1"/>
  <c r="C140" i="57"/>
  <c r="V148" i="54"/>
  <c r="C148" i="57"/>
  <c r="C148" i="65"/>
  <c r="V148" i="65" s="1"/>
  <c r="V156" i="54"/>
  <c r="C156" i="57"/>
  <c r="C156" i="65"/>
  <c r="V156" i="65" s="1"/>
  <c r="V164" i="54"/>
  <c r="C164" i="65"/>
  <c r="V164" i="65" s="1"/>
  <c r="C164" i="57"/>
  <c r="V172" i="54"/>
  <c r="C172" i="65"/>
  <c r="V172" i="65" s="1"/>
  <c r="C172" i="57"/>
  <c r="V180" i="54"/>
  <c r="C180" i="57"/>
  <c r="C180" i="65"/>
  <c r="V180" i="65" s="1"/>
  <c r="V188" i="54"/>
  <c r="C188" i="57"/>
  <c r="C188" i="65"/>
  <c r="V188" i="65" s="1"/>
  <c r="V196" i="54"/>
  <c r="C196" i="65"/>
  <c r="V196" i="65" s="1"/>
  <c r="C196" i="57"/>
  <c r="V204" i="54"/>
  <c r="C204" i="65"/>
  <c r="V204" i="65" s="1"/>
  <c r="C204" i="57"/>
  <c r="V212" i="54"/>
  <c r="C212" i="57"/>
  <c r="C212" i="65"/>
  <c r="V212" i="65" s="1"/>
  <c r="V220" i="54"/>
  <c r="C220" i="57"/>
  <c r="C220" i="65"/>
  <c r="V220" i="65" s="1"/>
  <c r="V228" i="54"/>
  <c r="C228" i="65"/>
  <c r="V228" i="65" s="1"/>
  <c r="C228" i="57"/>
  <c r="V236" i="54"/>
  <c r="C236" i="65"/>
  <c r="V236" i="65" s="1"/>
  <c r="C236" i="57"/>
  <c r="V244" i="54"/>
  <c r="C244" i="57"/>
  <c r="C244" i="65"/>
  <c r="V244" i="65" s="1"/>
  <c r="V252" i="54"/>
  <c r="C252" i="57"/>
  <c r="C252" i="65"/>
  <c r="V252" i="65" s="1"/>
  <c r="V260" i="54"/>
  <c r="C260" i="65"/>
  <c r="V260" i="65" s="1"/>
  <c r="C260" i="57"/>
  <c r="V268" i="54"/>
  <c r="C268" i="65"/>
  <c r="V268" i="65" s="1"/>
  <c r="C268" i="57"/>
  <c r="V276" i="54"/>
  <c r="C276" i="57"/>
  <c r="C276" i="65"/>
  <c r="V276" i="65" s="1"/>
  <c r="V284" i="54"/>
  <c r="C284" i="57"/>
  <c r="C284" i="65"/>
  <c r="V284" i="65" s="1"/>
  <c r="V292" i="54"/>
  <c r="C292" i="65"/>
  <c r="V292" i="65" s="1"/>
  <c r="C292" i="57"/>
  <c r="V300" i="54"/>
  <c r="C300" i="65"/>
  <c r="V300" i="65" s="1"/>
  <c r="C300" i="57"/>
  <c r="D15" i="65"/>
  <c r="D15" i="57"/>
  <c r="W15" i="54"/>
  <c r="D7" i="54"/>
  <c r="D13" i="54"/>
  <c r="W13" i="54" s="1"/>
  <c r="D23" i="65"/>
  <c r="W23" i="65" s="1"/>
  <c r="W23" i="54"/>
  <c r="D23" i="57"/>
  <c r="D31" i="65"/>
  <c r="W31" i="65" s="1"/>
  <c r="W31" i="54"/>
  <c r="D31" i="57"/>
  <c r="D39" i="65"/>
  <c r="W39" i="65" s="1"/>
  <c r="W39" i="54"/>
  <c r="D39" i="57"/>
  <c r="D46" i="65"/>
  <c r="W46" i="65" s="1"/>
  <c r="W46" i="54"/>
  <c r="D46" i="57"/>
  <c r="D54" i="65"/>
  <c r="W54" i="65" s="1"/>
  <c r="W54" i="54"/>
  <c r="D54" i="57"/>
  <c r="D62" i="65"/>
  <c r="W62" i="65" s="1"/>
  <c r="W62" i="54"/>
  <c r="D62" i="57"/>
  <c r="D70" i="65"/>
  <c r="W70" i="65" s="1"/>
  <c r="W70" i="54"/>
  <c r="D70" i="57"/>
  <c r="D78" i="65"/>
  <c r="W78" i="65" s="1"/>
  <c r="D78" i="57"/>
  <c r="W78" i="54"/>
  <c r="D86" i="65"/>
  <c r="W86" i="65" s="1"/>
  <c r="W86" i="54"/>
  <c r="D86" i="57"/>
  <c r="D94" i="65"/>
  <c r="W94" i="65" s="1"/>
  <c r="D94" i="57"/>
  <c r="W94" i="54"/>
  <c r="D102" i="65"/>
  <c r="W102" i="65" s="1"/>
  <c r="W102" i="54"/>
  <c r="D102" i="57"/>
  <c r="D110" i="65"/>
  <c r="W110" i="65" s="1"/>
  <c r="W110" i="54"/>
  <c r="D110" i="57"/>
  <c r="D118" i="65"/>
  <c r="W118" i="65" s="1"/>
  <c r="W118" i="54"/>
  <c r="D118" i="57"/>
  <c r="D126" i="65"/>
  <c r="W126" i="65" s="1"/>
  <c r="W126" i="54"/>
  <c r="D126" i="57"/>
  <c r="D134" i="65"/>
  <c r="W134" i="65" s="1"/>
  <c r="W134" i="54"/>
  <c r="D134" i="57"/>
  <c r="D142" i="65"/>
  <c r="W142" i="65" s="1"/>
  <c r="W142" i="54"/>
  <c r="D142" i="57"/>
  <c r="D150" i="65"/>
  <c r="W150" i="65" s="1"/>
  <c r="W150" i="54"/>
  <c r="D150" i="57"/>
  <c r="D158" i="65"/>
  <c r="W158" i="65" s="1"/>
  <c r="D158" i="57"/>
  <c r="W158" i="54"/>
  <c r="D166" i="65"/>
  <c r="W166" i="65" s="1"/>
  <c r="W166" i="54"/>
  <c r="D166" i="57"/>
  <c r="D174" i="65"/>
  <c r="W174" i="65" s="1"/>
  <c r="W174" i="54"/>
  <c r="D174" i="57"/>
  <c r="D182" i="65"/>
  <c r="W182" i="65" s="1"/>
  <c r="W182" i="54"/>
  <c r="D182" i="57"/>
  <c r="D190" i="65"/>
  <c r="W190" i="65" s="1"/>
  <c r="W190" i="54"/>
  <c r="D190" i="57"/>
  <c r="D198" i="65"/>
  <c r="W198" i="65" s="1"/>
  <c r="W198" i="54"/>
  <c r="D198" i="57"/>
  <c r="D206" i="65"/>
  <c r="W206" i="65" s="1"/>
  <c r="W206" i="54"/>
  <c r="D206" i="57"/>
  <c r="D214" i="65"/>
  <c r="W214" i="65" s="1"/>
  <c r="W214" i="54"/>
  <c r="D214" i="57"/>
  <c r="D222" i="65"/>
  <c r="W222" i="65" s="1"/>
  <c r="W222" i="54"/>
  <c r="D222" i="57"/>
  <c r="D230" i="65"/>
  <c r="W230" i="65" s="1"/>
  <c r="W230" i="54"/>
  <c r="D230" i="57"/>
  <c r="D238" i="65"/>
  <c r="W238" i="65" s="1"/>
  <c r="W238" i="54"/>
  <c r="D238" i="57"/>
  <c r="D246" i="65"/>
  <c r="W246" i="65" s="1"/>
  <c r="W246" i="54"/>
  <c r="D246" i="57"/>
  <c r="D254" i="65"/>
  <c r="W254" i="65" s="1"/>
  <c r="D254" i="57"/>
  <c r="W254" i="54"/>
  <c r="W262" i="54"/>
  <c r="D262" i="65"/>
  <c r="W262" i="65" s="1"/>
  <c r="D262" i="57"/>
  <c r="W270" i="54"/>
  <c r="D270" i="57"/>
  <c r="D270" i="65"/>
  <c r="W270" i="65" s="1"/>
  <c r="W278" i="54"/>
  <c r="D278" i="57"/>
  <c r="D278" i="65"/>
  <c r="W278" i="65" s="1"/>
  <c r="W286" i="54"/>
  <c r="D286" i="65"/>
  <c r="W286" i="65" s="1"/>
  <c r="D286" i="57"/>
  <c r="W294" i="54"/>
  <c r="D294" i="65"/>
  <c r="W294" i="65" s="1"/>
  <c r="D294" i="57"/>
  <c r="W302" i="54"/>
  <c r="D302" i="57"/>
  <c r="D302" i="65"/>
  <c r="W302" i="65" s="1"/>
  <c r="E17" i="65"/>
  <c r="X17" i="65" s="1"/>
  <c r="X17" i="54"/>
  <c r="E17" i="57"/>
  <c r="E25" i="65"/>
  <c r="X25" i="65" s="1"/>
  <c r="X25" i="54"/>
  <c r="E25" i="57"/>
  <c r="E33" i="65"/>
  <c r="X33" i="65" s="1"/>
  <c r="X33" i="54"/>
  <c r="E33" i="57"/>
  <c r="E41" i="65"/>
  <c r="X41" i="65" s="1"/>
  <c r="X41" i="54"/>
  <c r="E41" i="57"/>
  <c r="E48" i="65"/>
  <c r="X48" i="65" s="1"/>
  <c r="X48" i="54"/>
  <c r="E48" i="57"/>
  <c r="E56" i="65"/>
  <c r="X56" i="65" s="1"/>
  <c r="X56" i="54"/>
  <c r="E56" i="57"/>
  <c r="E64" i="65"/>
  <c r="X64" i="65" s="1"/>
  <c r="X64" i="54"/>
  <c r="E64" i="57"/>
  <c r="E72" i="65"/>
  <c r="X72" i="65" s="1"/>
  <c r="X72" i="54"/>
  <c r="E72" i="57"/>
  <c r="E80" i="65"/>
  <c r="X80" i="65" s="1"/>
  <c r="X80" i="54"/>
  <c r="E80" i="57"/>
  <c r="E88" i="65"/>
  <c r="X88" i="65" s="1"/>
  <c r="X88" i="54"/>
  <c r="E88" i="57"/>
  <c r="E96" i="65"/>
  <c r="X96" i="65" s="1"/>
  <c r="X96" i="54"/>
  <c r="E96" i="57"/>
  <c r="E104" i="65"/>
  <c r="X104" i="65" s="1"/>
  <c r="X104" i="54"/>
  <c r="E104" i="57"/>
  <c r="E112" i="65"/>
  <c r="X112" i="65" s="1"/>
  <c r="X112" i="54"/>
  <c r="E112" i="57"/>
  <c r="E120" i="65"/>
  <c r="X120" i="65" s="1"/>
  <c r="X120" i="54"/>
  <c r="E120" i="57"/>
  <c r="E128" i="65"/>
  <c r="X128" i="65" s="1"/>
  <c r="X128" i="54"/>
  <c r="E128" i="57"/>
  <c r="E136" i="65"/>
  <c r="X136" i="65" s="1"/>
  <c r="X136" i="54"/>
  <c r="E136" i="57"/>
  <c r="E144" i="65"/>
  <c r="X144" i="65" s="1"/>
  <c r="X144" i="54"/>
  <c r="E144" i="57"/>
  <c r="E152" i="65"/>
  <c r="X152" i="65" s="1"/>
  <c r="X152" i="54"/>
  <c r="E152" i="57"/>
  <c r="E160" i="65"/>
  <c r="X160" i="65" s="1"/>
  <c r="X160" i="54"/>
  <c r="E160" i="57"/>
  <c r="E168" i="65"/>
  <c r="X168" i="65" s="1"/>
  <c r="X168" i="54"/>
  <c r="E168" i="57"/>
  <c r="E176" i="65"/>
  <c r="X176" i="65" s="1"/>
  <c r="X176" i="54"/>
  <c r="E176" i="57"/>
  <c r="E184" i="65"/>
  <c r="X184" i="65" s="1"/>
  <c r="X184" i="54"/>
  <c r="E184" i="57"/>
  <c r="X192" i="54"/>
  <c r="E192" i="57"/>
  <c r="E192" i="65"/>
  <c r="X192" i="65" s="1"/>
  <c r="X200" i="54"/>
  <c r="E200" i="65"/>
  <c r="X200" i="65" s="1"/>
  <c r="E200" i="57"/>
  <c r="X208" i="54"/>
  <c r="E208" i="65"/>
  <c r="X208" i="65" s="1"/>
  <c r="E208" i="57"/>
  <c r="X216" i="54"/>
  <c r="E216" i="57"/>
  <c r="E216" i="65"/>
  <c r="X216" i="65" s="1"/>
  <c r="X224" i="54"/>
  <c r="E224" i="57"/>
  <c r="E224" i="65"/>
  <c r="X224" i="65" s="1"/>
  <c r="X232" i="54"/>
  <c r="E232" i="65"/>
  <c r="X232" i="65" s="1"/>
  <c r="E232" i="57"/>
  <c r="X240" i="54"/>
  <c r="E240" i="65"/>
  <c r="X240" i="65" s="1"/>
  <c r="E240" i="57"/>
  <c r="X248" i="54"/>
  <c r="E248" i="57"/>
  <c r="E248" i="65"/>
  <c r="X248" i="65" s="1"/>
  <c r="X256" i="54"/>
  <c r="E256" i="57"/>
  <c r="E256" i="65"/>
  <c r="X256" i="65" s="1"/>
  <c r="X264" i="54"/>
  <c r="E264" i="65"/>
  <c r="X264" i="65" s="1"/>
  <c r="E264" i="57"/>
  <c r="X272" i="54"/>
  <c r="E272" i="65"/>
  <c r="X272" i="65" s="1"/>
  <c r="E272" i="57"/>
  <c r="X280" i="54"/>
  <c r="E280" i="57"/>
  <c r="E280" i="65"/>
  <c r="X280" i="65" s="1"/>
  <c r="X288" i="54"/>
  <c r="E288" i="57"/>
  <c r="E288" i="65"/>
  <c r="X288" i="65" s="1"/>
  <c r="X296" i="54"/>
  <c r="E296" i="65"/>
  <c r="X296" i="65" s="1"/>
  <c r="E296" i="57"/>
  <c r="X304" i="54"/>
  <c r="E304" i="65"/>
  <c r="X304" i="65" s="1"/>
  <c r="E304" i="57"/>
  <c r="F19" i="65"/>
  <c r="Y19" i="65" s="1"/>
  <c r="Y19" i="54"/>
  <c r="F19" i="57"/>
  <c r="F27" i="65"/>
  <c r="Y27" i="65" s="1"/>
  <c r="Y27" i="54"/>
  <c r="F27" i="57"/>
  <c r="F35" i="65"/>
  <c r="Y35" i="65" s="1"/>
  <c r="Y35" i="54"/>
  <c r="F35" i="57"/>
  <c r="F43" i="65"/>
  <c r="Y43" i="65" s="1"/>
  <c r="Y43" i="54"/>
  <c r="F43" i="57"/>
  <c r="F50" i="65"/>
  <c r="Y50" i="65" s="1"/>
  <c r="Y50" i="54"/>
  <c r="F50" i="57"/>
  <c r="F58" i="65"/>
  <c r="Y58" i="65" s="1"/>
  <c r="Y58" i="54"/>
  <c r="F58" i="57"/>
  <c r="F66" i="65"/>
  <c r="Y66" i="65" s="1"/>
  <c r="Y66" i="54"/>
  <c r="F66" i="57"/>
  <c r="F74" i="65"/>
  <c r="Y74" i="65" s="1"/>
  <c r="Y74" i="54"/>
  <c r="F74" i="57"/>
  <c r="F82" i="65"/>
  <c r="Y82" i="65" s="1"/>
  <c r="Y82" i="54"/>
  <c r="F82" i="57"/>
  <c r="F90" i="65"/>
  <c r="Y90" i="65" s="1"/>
  <c r="Y90" i="54"/>
  <c r="F90" i="57"/>
  <c r="F98" i="65"/>
  <c r="Y98" i="65" s="1"/>
  <c r="Y98" i="54"/>
  <c r="F98" i="57"/>
  <c r="F106" i="65"/>
  <c r="Y106" i="65" s="1"/>
  <c r="Y106" i="54"/>
  <c r="F106" i="57"/>
  <c r="F114" i="65"/>
  <c r="Y114" i="65" s="1"/>
  <c r="Y114" i="54"/>
  <c r="F114" i="57"/>
  <c r="F122" i="65"/>
  <c r="Y122" i="65" s="1"/>
  <c r="Y122" i="54"/>
  <c r="F122" i="57"/>
  <c r="F130" i="65"/>
  <c r="Y130" i="65" s="1"/>
  <c r="Y130" i="54"/>
  <c r="F130" i="57"/>
  <c r="F138" i="65"/>
  <c r="Y138" i="65" s="1"/>
  <c r="Y138" i="54"/>
  <c r="F138" i="57"/>
  <c r="F146" i="65"/>
  <c r="Y146" i="65" s="1"/>
  <c r="Y146" i="54"/>
  <c r="F146" i="57"/>
  <c r="F154" i="65"/>
  <c r="Y154" i="65" s="1"/>
  <c r="Y154" i="54"/>
  <c r="F154" i="57"/>
  <c r="F162" i="65"/>
  <c r="Y162" i="65" s="1"/>
  <c r="Y162" i="54"/>
  <c r="F162" i="57"/>
  <c r="F170" i="65"/>
  <c r="Y170" i="65" s="1"/>
  <c r="Y170" i="54"/>
  <c r="F170" i="57"/>
  <c r="F178" i="65"/>
  <c r="Y178" i="65" s="1"/>
  <c r="Y178" i="54"/>
  <c r="F178" i="57"/>
  <c r="F186" i="65"/>
  <c r="Y186" i="65" s="1"/>
  <c r="Y186" i="54"/>
  <c r="F186" i="57"/>
  <c r="F194" i="65"/>
  <c r="Y194" i="65" s="1"/>
  <c r="Y194" i="54"/>
  <c r="F194" i="57"/>
  <c r="F202" i="65"/>
  <c r="Y202" i="65" s="1"/>
  <c r="Y202" i="54"/>
  <c r="F202" i="57"/>
  <c r="F210" i="65"/>
  <c r="Y210" i="65" s="1"/>
  <c r="F210" i="57"/>
  <c r="Y210" i="54"/>
  <c r="F218" i="65"/>
  <c r="Y218" i="65" s="1"/>
  <c r="Y218" i="54"/>
  <c r="F218" i="57"/>
  <c r="F226" i="65"/>
  <c r="Y226" i="65" s="1"/>
  <c r="Y226" i="54"/>
  <c r="F226" i="57"/>
  <c r="F234" i="65"/>
  <c r="Y234" i="65" s="1"/>
  <c r="Y234" i="54"/>
  <c r="F234" i="57"/>
  <c r="F242" i="65"/>
  <c r="Y242" i="65" s="1"/>
  <c r="F242" i="57"/>
  <c r="Y242" i="54"/>
  <c r="Y250" i="54"/>
  <c r="F250" i="65"/>
  <c r="Y250" i="65" s="1"/>
  <c r="F250" i="57"/>
  <c r="F258" i="57"/>
  <c r="F258" i="65"/>
  <c r="Y258" i="65" s="1"/>
  <c r="Y258" i="54"/>
  <c r="Y266" i="54"/>
  <c r="F266" i="65"/>
  <c r="Y266" i="65" s="1"/>
  <c r="F266" i="57"/>
  <c r="Y274" i="54"/>
  <c r="F274" i="57"/>
  <c r="F274" i="65"/>
  <c r="Y274" i="65" s="1"/>
  <c r="F282" i="65"/>
  <c r="Y282" i="65" s="1"/>
  <c r="Y282" i="54"/>
  <c r="F282" i="57"/>
  <c r="Y290" i="54"/>
  <c r="F290" i="57"/>
  <c r="F290" i="65"/>
  <c r="Y290" i="65" s="1"/>
  <c r="F298" i="65"/>
  <c r="Y298" i="65" s="1"/>
  <c r="F298" i="57"/>
  <c r="Y298" i="54"/>
  <c r="Y306" i="54"/>
  <c r="F306" i="65"/>
  <c r="Y306" i="65" s="1"/>
  <c r="F306" i="57"/>
  <c r="G21" i="54"/>
  <c r="BE21" i="54" s="1"/>
  <c r="G29" i="54"/>
  <c r="BE29" i="54" s="1"/>
  <c r="G37" i="54"/>
  <c r="BE37" i="54" s="1"/>
  <c r="G52" i="54"/>
  <c r="BE52" i="54" s="1"/>
  <c r="G60" i="54"/>
  <c r="BE60" i="54" s="1"/>
  <c r="G68" i="54"/>
  <c r="BE68" i="54" s="1"/>
  <c r="G76" i="54"/>
  <c r="BE76" i="54" s="1"/>
  <c r="G84" i="54"/>
  <c r="BE84" i="54" s="1"/>
  <c r="G92" i="54"/>
  <c r="BE92" i="54" s="1"/>
  <c r="G100" i="54"/>
  <c r="BE100" i="54" s="1"/>
  <c r="G108" i="54"/>
  <c r="BE108" i="54" s="1"/>
  <c r="G116" i="54"/>
  <c r="BE116" i="54" s="1"/>
  <c r="G124" i="54"/>
  <c r="BE124" i="54" s="1"/>
  <c r="G132" i="54"/>
  <c r="BE132" i="54" s="1"/>
  <c r="G140" i="54"/>
  <c r="BE140" i="54" s="1"/>
  <c r="G148" i="54"/>
  <c r="BE148" i="54" s="1"/>
  <c r="G156" i="54"/>
  <c r="BE156" i="54" s="1"/>
  <c r="G164" i="54"/>
  <c r="BE164" i="54" s="1"/>
  <c r="G172" i="54"/>
  <c r="BE172" i="54" s="1"/>
  <c r="G180" i="54"/>
  <c r="BE180" i="54" s="1"/>
  <c r="G188" i="54"/>
  <c r="BE188" i="54" s="1"/>
  <c r="G196" i="54"/>
  <c r="BE196" i="54" s="1"/>
  <c r="G204" i="54"/>
  <c r="BE204" i="54" s="1"/>
  <c r="G212" i="54"/>
  <c r="BE212" i="54" s="1"/>
  <c r="G220" i="54"/>
  <c r="BE220" i="54" s="1"/>
  <c r="G228" i="54"/>
  <c r="BE228" i="54" s="1"/>
  <c r="G236" i="54"/>
  <c r="BE236" i="54" s="1"/>
  <c r="G244" i="54"/>
  <c r="BE244" i="54" s="1"/>
  <c r="G252" i="54"/>
  <c r="BE252" i="54" s="1"/>
  <c r="G260" i="54"/>
  <c r="BE260" i="54" s="1"/>
  <c r="G268" i="54"/>
  <c r="BE268" i="54" s="1"/>
  <c r="G276" i="54"/>
  <c r="BE276" i="54" s="1"/>
  <c r="G284" i="54"/>
  <c r="BE284" i="54" s="1"/>
  <c r="G292" i="54"/>
  <c r="BE292" i="54" s="1"/>
  <c r="G300" i="54"/>
  <c r="BE300" i="54" s="1"/>
  <c r="V23" i="54"/>
  <c r="C23" i="57"/>
  <c r="C23" i="65"/>
  <c r="V23" i="65" s="1"/>
  <c r="V70" i="54"/>
  <c r="C70" i="65"/>
  <c r="V70" i="65" s="1"/>
  <c r="C70" i="57"/>
  <c r="V118" i="54"/>
  <c r="C118" i="65"/>
  <c r="V118" i="65" s="1"/>
  <c r="C118" i="57"/>
  <c r="V174" i="54"/>
  <c r="C174" i="65"/>
  <c r="V174" i="65" s="1"/>
  <c r="C174" i="57"/>
  <c r="V222" i="54"/>
  <c r="C222" i="57"/>
  <c r="C222" i="65"/>
  <c r="V222" i="65" s="1"/>
  <c r="V278" i="54"/>
  <c r="C278" i="57"/>
  <c r="C278" i="65"/>
  <c r="V278" i="65" s="1"/>
  <c r="D33" i="65"/>
  <c r="W33" i="65" s="1"/>
  <c r="W33" i="54"/>
  <c r="D33" i="57"/>
  <c r="W80" i="54"/>
  <c r="D80" i="65"/>
  <c r="W80" i="65" s="1"/>
  <c r="D80" i="57"/>
  <c r="W136" i="54"/>
  <c r="D136" i="65"/>
  <c r="W136" i="65" s="1"/>
  <c r="D136" i="57"/>
  <c r="W192" i="54"/>
  <c r="D192" i="65"/>
  <c r="W192" i="65" s="1"/>
  <c r="D192" i="57"/>
  <c r="W240" i="54"/>
  <c r="D240" i="65"/>
  <c r="W240" i="65" s="1"/>
  <c r="D240" i="57"/>
  <c r="W288" i="54"/>
  <c r="D288" i="65"/>
  <c r="W288" i="65" s="1"/>
  <c r="D288" i="57"/>
  <c r="E50" i="65"/>
  <c r="X50" i="65" s="1"/>
  <c r="X50" i="54"/>
  <c r="E50" i="57"/>
  <c r="X98" i="54"/>
  <c r="E98" i="65"/>
  <c r="X98" i="65" s="1"/>
  <c r="E98" i="57"/>
  <c r="X154" i="54"/>
  <c r="E154" i="65"/>
  <c r="X154" i="65" s="1"/>
  <c r="E154" i="57"/>
  <c r="X202" i="54"/>
  <c r="E202" i="65"/>
  <c r="X202" i="65" s="1"/>
  <c r="E202" i="57"/>
  <c r="X274" i="54"/>
  <c r="E274" i="65"/>
  <c r="X274" i="65" s="1"/>
  <c r="E274" i="57"/>
  <c r="Y92" i="54"/>
  <c r="F92" i="65"/>
  <c r="Y92" i="65" s="1"/>
  <c r="F92" i="57"/>
  <c r="Y148" i="54"/>
  <c r="F148" i="65"/>
  <c r="Y148" i="65" s="1"/>
  <c r="F148" i="57"/>
  <c r="Y204" i="54"/>
  <c r="F204" i="65"/>
  <c r="Y204" i="65" s="1"/>
  <c r="F204" i="57"/>
  <c r="Y244" i="54"/>
  <c r="F244" i="65"/>
  <c r="Y244" i="65" s="1"/>
  <c r="F244" i="57"/>
  <c r="Y292" i="54"/>
  <c r="F292" i="65"/>
  <c r="Y292" i="65" s="1"/>
  <c r="F292" i="57"/>
  <c r="G39" i="54"/>
  <c r="BE39" i="54" s="1"/>
  <c r="G86" i="54"/>
  <c r="BE86" i="54" s="1"/>
  <c r="G134" i="54"/>
  <c r="BE134" i="54" s="1"/>
  <c r="G174" i="54"/>
  <c r="BE174" i="54" s="1"/>
  <c r="G214" i="54"/>
  <c r="BE214" i="54" s="1"/>
  <c r="G262" i="54"/>
  <c r="BE262" i="54" s="1"/>
  <c r="C22" i="65"/>
  <c r="V22" i="65" s="1"/>
  <c r="C22" i="57"/>
  <c r="V22" i="54"/>
  <c r="C30" i="65"/>
  <c r="V30" i="65" s="1"/>
  <c r="C30" i="57"/>
  <c r="V30" i="54"/>
  <c r="C38" i="65"/>
  <c r="V38" i="65" s="1"/>
  <c r="V38" i="54"/>
  <c r="C38" i="57"/>
  <c r="C45" i="65"/>
  <c r="V45" i="65" s="1"/>
  <c r="C45" i="57"/>
  <c r="V45" i="54"/>
  <c r="C53" i="65"/>
  <c r="V53" i="65" s="1"/>
  <c r="C53" i="57"/>
  <c r="V53" i="54"/>
  <c r="C61" i="65"/>
  <c r="V61" i="65" s="1"/>
  <c r="C61" i="57"/>
  <c r="V61" i="54"/>
  <c r="C69" i="65"/>
  <c r="V69" i="65" s="1"/>
  <c r="C69" i="57"/>
  <c r="V69" i="54"/>
  <c r="V77" i="54"/>
  <c r="C77" i="65"/>
  <c r="V77" i="65" s="1"/>
  <c r="C77" i="57"/>
  <c r="V85" i="54"/>
  <c r="C85" i="65"/>
  <c r="V85" i="65" s="1"/>
  <c r="C85" i="57"/>
  <c r="V93" i="54"/>
  <c r="C93" i="57"/>
  <c r="C93" i="65"/>
  <c r="V93" i="65" s="1"/>
  <c r="V101" i="54"/>
  <c r="C101" i="57"/>
  <c r="C101" i="65"/>
  <c r="V101" i="65" s="1"/>
  <c r="V109" i="54"/>
  <c r="C109" i="65"/>
  <c r="V109" i="65" s="1"/>
  <c r="C109" i="57"/>
  <c r="V117" i="54"/>
  <c r="C117" i="65"/>
  <c r="V117" i="65" s="1"/>
  <c r="C117" i="57"/>
  <c r="V125" i="54"/>
  <c r="C125" i="57"/>
  <c r="C125" i="65"/>
  <c r="V125" i="65" s="1"/>
  <c r="V133" i="54"/>
  <c r="C133" i="57"/>
  <c r="C133" i="65"/>
  <c r="V133" i="65" s="1"/>
  <c r="V141" i="54"/>
  <c r="C141" i="65"/>
  <c r="V141" i="65" s="1"/>
  <c r="C141" i="57"/>
  <c r="V149" i="54"/>
  <c r="C149" i="65"/>
  <c r="V149" i="65" s="1"/>
  <c r="C149" i="57"/>
  <c r="V157" i="54"/>
  <c r="C157" i="57"/>
  <c r="C157" i="65"/>
  <c r="V157" i="65" s="1"/>
  <c r="V165" i="54"/>
  <c r="C165" i="57"/>
  <c r="C165" i="65"/>
  <c r="V165" i="65" s="1"/>
  <c r="V173" i="54"/>
  <c r="C173" i="65"/>
  <c r="V173" i="65" s="1"/>
  <c r="C173" i="57"/>
  <c r="V181" i="54"/>
  <c r="C181" i="65"/>
  <c r="V181" i="65" s="1"/>
  <c r="C181" i="57"/>
  <c r="V189" i="54"/>
  <c r="C189" i="57"/>
  <c r="C189" i="65"/>
  <c r="V189" i="65" s="1"/>
  <c r="V197" i="54"/>
  <c r="C197" i="57"/>
  <c r="C197" i="65"/>
  <c r="V197" i="65" s="1"/>
  <c r="V205" i="54"/>
  <c r="C205" i="65"/>
  <c r="V205" i="65" s="1"/>
  <c r="C205" i="57"/>
  <c r="V213" i="54"/>
  <c r="C213" i="65"/>
  <c r="V213" i="65" s="1"/>
  <c r="C213" i="57"/>
  <c r="V221" i="54"/>
  <c r="C221" i="57"/>
  <c r="C221" i="65"/>
  <c r="V221" i="65" s="1"/>
  <c r="V229" i="54"/>
  <c r="C229" i="57"/>
  <c r="C229" i="65"/>
  <c r="V229" i="65" s="1"/>
  <c r="V237" i="54"/>
  <c r="C237" i="65"/>
  <c r="V237" i="65" s="1"/>
  <c r="C237" i="57"/>
  <c r="V245" i="54"/>
  <c r="C245" i="65"/>
  <c r="V245" i="65" s="1"/>
  <c r="C245" i="57"/>
  <c r="V253" i="54"/>
  <c r="C253" i="57"/>
  <c r="C253" i="65"/>
  <c r="V253" i="65" s="1"/>
  <c r="V261" i="54"/>
  <c r="C261" i="57"/>
  <c r="C261" i="65"/>
  <c r="V261" i="65" s="1"/>
  <c r="V269" i="54"/>
  <c r="C269" i="65"/>
  <c r="V269" i="65" s="1"/>
  <c r="C269" i="57"/>
  <c r="V277" i="54"/>
  <c r="C277" i="65"/>
  <c r="V277" i="65" s="1"/>
  <c r="C277" i="57"/>
  <c r="V285" i="54"/>
  <c r="C285" i="57"/>
  <c r="C285" i="65"/>
  <c r="V285" i="65" s="1"/>
  <c r="V293" i="54"/>
  <c r="C293" i="57"/>
  <c r="C293" i="65"/>
  <c r="V293" i="65" s="1"/>
  <c r="V301" i="54"/>
  <c r="C301" i="65"/>
  <c r="V301" i="65" s="1"/>
  <c r="C301" i="57"/>
  <c r="W16" i="54"/>
  <c r="D16" i="57"/>
  <c r="D16" i="65"/>
  <c r="W16" i="65" s="1"/>
  <c r="W24" i="54"/>
  <c r="D24" i="65"/>
  <c r="W24" i="65" s="1"/>
  <c r="D24" i="57"/>
  <c r="W32" i="54"/>
  <c r="D32" i="65"/>
  <c r="W32" i="65" s="1"/>
  <c r="D32" i="57"/>
  <c r="W40" i="54"/>
  <c r="D40" i="65"/>
  <c r="W40" i="65" s="1"/>
  <c r="D40" i="57"/>
  <c r="W47" i="54"/>
  <c r="D47" i="57"/>
  <c r="D47" i="65"/>
  <c r="W47" i="65" s="1"/>
  <c r="W55" i="54"/>
  <c r="D55" i="57"/>
  <c r="D55" i="65"/>
  <c r="W55" i="65" s="1"/>
  <c r="W63" i="54"/>
  <c r="D63" i="65"/>
  <c r="W63" i="65" s="1"/>
  <c r="D63" i="57"/>
  <c r="W71" i="54"/>
  <c r="D71" i="65"/>
  <c r="W71" i="65" s="1"/>
  <c r="D71" i="57"/>
  <c r="W79" i="54"/>
  <c r="D79" i="57"/>
  <c r="D79" i="65"/>
  <c r="W79" i="65" s="1"/>
  <c r="W87" i="54"/>
  <c r="D87" i="65"/>
  <c r="W87" i="65" s="1"/>
  <c r="D87" i="57"/>
  <c r="W95" i="54"/>
  <c r="D95" i="65"/>
  <c r="W95" i="65" s="1"/>
  <c r="D95" i="57"/>
  <c r="W103" i="54"/>
  <c r="D103" i="57"/>
  <c r="D103" i="65"/>
  <c r="W103" i="65" s="1"/>
  <c r="W111" i="54"/>
  <c r="D111" i="57"/>
  <c r="D111" i="65"/>
  <c r="W111" i="65" s="1"/>
  <c r="W119" i="54"/>
  <c r="D119" i="65"/>
  <c r="W119" i="65" s="1"/>
  <c r="D119" i="57"/>
  <c r="W127" i="54"/>
  <c r="D127" i="65"/>
  <c r="W127" i="65" s="1"/>
  <c r="D127" i="57"/>
  <c r="W135" i="54"/>
  <c r="D135" i="65"/>
  <c r="W135" i="65" s="1"/>
  <c r="D135" i="57"/>
  <c r="W143" i="54"/>
  <c r="D143" i="57"/>
  <c r="D143" i="65"/>
  <c r="W143" i="65" s="1"/>
  <c r="W151" i="54"/>
  <c r="D151" i="65"/>
  <c r="W151" i="65" s="1"/>
  <c r="D151" i="57"/>
  <c r="W159" i="54"/>
  <c r="D159" i="65"/>
  <c r="W159" i="65" s="1"/>
  <c r="D159" i="57"/>
  <c r="W167" i="54"/>
  <c r="D167" i="65"/>
  <c r="W167" i="65" s="1"/>
  <c r="D167" i="57"/>
  <c r="W175" i="54"/>
  <c r="D175" i="65"/>
  <c r="W175" i="65" s="1"/>
  <c r="D175" i="57"/>
  <c r="W183" i="54"/>
  <c r="D183" i="57"/>
  <c r="D183" i="65"/>
  <c r="W183" i="65" s="1"/>
  <c r="W191" i="54"/>
  <c r="D191" i="57"/>
  <c r="D191" i="65"/>
  <c r="W191" i="65" s="1"/>
  <c r="W199" i="54"/>
  <c r="D199" i="65"/>
  <c r="W199" i="65" s="1"/>
  <c r="D199" i="57"/>
  <c r="W207" i="54"/>
  <c r="D207" i="65"/>
  <c r="W207" i="65" s="1"/>
  <c r="D207" i="57"/>
  <c r="W215" i="54"/>
  <c r="D215" i="65"/>
  <c r="W215" i="65" s="1"/>
  <c r="D215" i="57"/>
  <c r="W223" i="54"/>
  <c r="D223" i="57"/>
  <c r="D223" i="65"/>
  <c r="W223" i="65" s="1"/>
  <c r="W231" i="54"/>
  <c r="D231" i="57"/>
  <c r="D231" i="65"/>
  <c r="W231" i="65" s="1"/>
  <c r="W239" i="54"/>
  <c r="D239" i="65"/>
  <c r="W239" i="65" s="1"/>
  <c r="D239" i="57"/>
  <c r="W247" i="54"/>
  <c r="D247" i="65"/>
  <c r="W247" i="65" s="1"/>
  <c r="D247" i="57"/>
  <c r="W255" i="54"/>
  <c r="D255" i="65"/>
  <c r="W255" i="65" s="1"/>
  <c r="D255" i="57"/>
  <c r="W263" i="54"/>
  <c r="D263" i="65"/>
  <c r="W263" i="65" s="1"/>
  <c r="D263" i="57"/>
  <c r="W271" i="54"/>
  <c r="D271" i="57"/>
  <c r="D271" i="65"/>
  <c r="W271" i="65" s="1"/>
  <c r="W279" i="54"/>
  <c r="D279" i="65"/>
  <c r="W279" i="65" s="1"/>
  <c r="D279" i="57"/>
  <c r="W287" i="54"/>
  <c r="D287" i="65"/>
  <c r="W287" i="65" s="1"/>
  <c r="D287" i="57"/>
  <c r="W295" i="54"/>
  <c r="D295" i="65"/>
  <c r="W295" i="65" s="1"/>
  <c r="D295" i="57"/>
  <c r="W303" i="54"/>
  <c r="D303" i="65"/>
  <c r="W303" i="65" s="1"/>
  <c r="D303" i="57"/>
  <c r="X18" i="54"/>
  <c r="E18" i="65"/>
  <c r="X18" i="65" s="1"/>
  <c r="E18" i="57"/>
  <c r="X26" i="54"/>
  <c r="E26" i="57"/>
  <c r="E26" i="65"/>
  <c r="X26" i="65" s="1"/>
  <c r="X34" i="54"/>
  <c r="E34" i="57"/>
  <c r="E34" i="65"/>
  <c r="X34" i="65" s="1"/>
  <c r="X42" i="54"/>
  <c r="E42" i="65"/>
  <c r="X42" i="65" s="1"/>
  <c r="E42" i="57"/>
  <c r="X49" i="54"/>
  <c r="E49" i="57"/>
  <c r="E49" i="65"/>
  <c r="X49" i="65" s="1"/>
  <c r="X57" i="54"/>
  <c r="E57" i="65"/>
  <c r="X57" i="65" s="1"/>
  <c r="E57" i="57"/>
  <c r="X65" i="54"/>
  <c r="E65" i="57"/>
  <c r="E65" i="65"/>
  <c r="X65" i="65" s="1"/>
  <c r="X73" i="54"/>
  <c r="E73" i="65"/>
  <c r="X73" i="65" s="1"/>
  <c r="E73" i="57"/>
  <c r="X81" i="54"/>
  <c r="E81" i="65"/>
  <c r="X81" i="65" s="1"/>
  <c r="E81" i="57"/>
  <c r="X89" i="54"/>
  <c r="E89" i="57"/>
  <c r="E89" i="65"/>
  <c r="X89" i="65" s="1"/>
  <c r="X97" i="54"/>
  <c r="E97" i="65"/>
  <c r="X97" i="65" s="1"/>
  <c r="E97" i="57"/>
  <c r="X105" i="54"/>
  <c r="E105" i="65"/>
  <c r="X105" i="65" s="1"/>
  <c r="E105" i="57"/>
  <c r="X113" i="54"/>
  <c r="E113" i="65"/>
  <c r="X113" i="65" s="1"/>
  <c r="E113" i="57"/>
  <c r="X121" i="54"/>
  <c r="E121" i="65"/>
  <c r="X121" i="65" s="1"/>
  <c r="E121" i="57"/>
  <c r="X129" i="54"/>
  <c r="E129" i="65"/>
  <c r="X129" i="65" s="1"/>
  <c r="E129" i="57"/>
  <c r="X137" i="54"/>
  <c r="E137" i="65"/>
  <c r="X137" i="65" s="1"/>
  <c r="E137" i="57"/>
  <c r="X145" i="54"/>
  <c r="E145" i="65"/>
  <c r="X145" i="65" s="1"/>
  <c r="E145" i="57"/>
  <c r="X153" i="54"/>
  <c r="E153" i="57"/>
  <c r="E153" i="65"/>
  <c r="X153" i="65" s="1"/>
  <c r="X161" i="54"/>
  <c r="E161" i="65"/>
  <c r="X161" i="65" s="1"/>
  <c r="E161" i="57"/>
  <c r="X169" i="54"/>
  <c r="E169" i="65"/>
  <c r="X169" i="65" s="1"/>
  <c r="E169" i="57"/>
  <c r="X177" i="54"/>
  <c r="E177" i="57"/>
  <c r="E177" i="65"/>
  <c r="X177" i="65" s="1"/>
  <c r="X185" i="54"/>
  <c r="E185" i="65"/>
  <c r="X185" i="65" s="1"/>
  <c r="E185" i="57"/>
  <c r="X193" i="54"/>
  <c r="E193" i="57"/>
  <c r="E193" i="65"/>
  <c r="X193" i="65" s="1"/>
  <c r="X201" i="54"/>
  <c r="E201" i="65"/>
  <c r="X201" i="65" s="1"/>
  <c r="E201" i="57"/>
  <c r="X209" i="54"/>
  <c r="E209" i="57"/>
  <c r="E209" i="65"/>
  <c r="X209" i="65" s="1"/>
  <c r="X217" i="54"/>
  <c r="E217" i="57"/>
  <c r="E217" i="65"/>
  <c r="X217" i="65" s="1"/>
  <c r="X225" i="54"/>
  <c r="E225" i="65"/>
  <c r="X225" i="65" s="1"/>
  <c r="E225" i="57"/>
  <c r="X233" i="54"/>
  <c r="E233" i="65"/>
  <c r="X233" i="65" s="1"/>
  <c r="E233" i="57"/>
  <c r="X241" i="54"/>
  <c r="E241" i="65"/>
  <c r="X241" i="65" s="1"/>
  <c r="E241" i="57"/>
  <c r="X249" i="54"/>
  <c r="E249" i="65"/>
  <c r="X249" i="65" s="1"/>
  <c r="E249" i="57"/>
  <c r="X257" i="54"/>
  <c r="E257" i="65"/>
  <c r="X257" i="65" s="1"/>
  <c r="E257" i="57"/>
  <c r="X265" i="54"/>
  <c r="E265" i="57"/>
  <c r="E265" i="65"/>
  <c r="X265" i="65" s="1"/>
  <c r="X273" i="54"/>
  <c r="E273" i="65"/>
  <c r="X273" i="65" s="1"/>
  <c r="E273" i="57"/>
  <c r="X281" i="54"/>
  <c r="E281" i="65"/>
  <c r="X281" i="65" s="1"/>
  <c r="E281" i="57"/>
  <c r="X289" i="54"/>
  <c r="E289" i="65"/>
  <c r="X289" i="65" s="1"/>
  <c r="E289" i="57"/>
  <c r="X297" i="54"/>
  <c r="E297" i="65"/>
  <c r="X297" i="65" s="1"/>
  <c r="E297" i="57"/>
  <c r="X305" i="54"/>
  <c r="E305" i="65"/>
  <c r="X305" i="65" s="1"/>
  <c r="E305" i="57"/>
  <c r="F20" i="65"/>
  <c r="Y20" i="65" s="1"/>
  <c r="Y20" i="54"/>
  <c r="F20" i="57"/>
  <c r="F28" i="65"/>
  <c r="Y28" i="65" s="1"/>
  <c r="Y28" i="54"/>
  <c r="F28" i="57"/>
  <c r="F36" i="65"/>
  <c r="Y36" i="65" s="1"/>
  <c r="Y36" i="54"/>
  <c r="F36" i="57"/>
  <c r="F44" i="65"/>
  <c r="Y44" i="65" s="1"/>
  <c r="Y44" i="54"/>
  <c r="F44" i="57"/>
  <c r="F51" i="65"/>
  <c r="Y51" i="65" s="1"/>
  <c r="Y51" i="54"/>
  <c r="F51" i="57"/>
  <c r="F59" i="65"/>
  <c r="Y59" i="65" s="1"/>
  <c r="Y59" i="54"/>
  <c r="F59" i="57"/>
  <c r="F67" i="65"/>
  <c r="Y67" i="65" s="1"/>
  <c r="Y67" i="54"/>
  <c r="F67" i="57"/>
  <c r="F75" i="65"/>
  <c r="Y75" i="65" s="1"/>
  <c r="Y75" i="54"/>
  <c r="F75" i="57"/>
  <c r="F83" i="65"/>
  <c r="Y83" i="65" s="1"/>
  <c r="Y83" i="54"/>
  <c r="F83" i="57"/>
  <c r="F91" i="65"/>
  <c r="Y91" i="65" s="1"/>
  <c r="Y91" i="54"/>
  <c r="F91" i="57"/>
  <c r="F99" i="65"/>
  <c r="Y99" i="65" s="1"/>
  <c r="Y99" i="54"/>
  <c r="F99" i="57"/>
  <c r="F107" i="65"/>
  <c r="Y107" i="65" s="1"/>
  <c r="Y107" i="54"/>
  <c r="F107" i="57"/>
  <c r="F115" i="65"/>
  <c r="Y115" i="65" s="1"/>
  <c r="Y115" i="54"/>
  <c r="F115" i="57"/>
  <c r="F123" i="65"/>
  <c r="Y123" i="65" s="1"/>
  <c r="Y123" i="54"/>
  <c r="F123" i="57"/>
  <c r="F131" i="65"/>
  <c r="Y131" i="65" s="1"/>
  <c r="Y131" i="54"/>
  <c r="F131" i="57"/>
  <c r="F139" i="65"/>
  <c r="Y139" i="65" s="1"/>
  <c r="Y139" i="54"/>
  <c r="F139" i="57"/>
  <c r="F147" i="65"/>
  <c r="Y147" i="65" s="1"/>
  <c r="Y147" i="54"/>
  <c r="F147" i="57"/>
  <c r="F155" i="65"/>
  <c r="Y155" i="65" s="1"/>
  <c r="Y155" i="54"/>
  <c r="F155" i="57"/>
  <c r="F163" i="65"/>
  <c r="Y163" i="65" s="1"/>
  <c r="Y163" i="54"/>
  <c r="F163" i="57"/>
  <c r="F171" i="65"/>
  <c r="Y171" i="65" s="1"/>
  <c r="Y171" i="54"/>
  <c r="F171" i="57"/>
  <c r="F179" i="65"/>
  <c r="Y179" i="65" s="1"/>
  <c r="Y179" i="54"/>
  <c r="F179" i="57"/>
  <c r="F187" i="65"/>
  <c r="Y187" i="65" s="1"/>
  <c r="Y187" i="54"/>
  <c r="F187" i="57"/>
  <c r="F195" i="65"/>
  <c r="Y195" i="65" s="1"/>
  <c r="Y195" i="54"/>
  <c r="F195" i="57"/>
  <c r="F203" i="65"/>
  <c r="Y203" i="65" s="1"/>
  <c r="Y203" i="54"/>
  <c r="F203" i="57"/>
  <c r="F211" i="65"/>
  <c r="Y211" i="65" s="1"/>
  <c r="Y211" i="54"/>
  <c r="F211" i="57"/>
  <c r="F219" i="65"/>
  <c r="Y219" i="65" s="1"/>
  <c r="Y219" i="54"/>
  <c r="F219" i="57"/>
  <c r="F227" i="65"/>
  <c r="Y227" i="65" s="1"/>
  <c r="F227" i="57"/>
  <c r="Y227" i="54"/>
  <c r="Y235" i="54"/>
  <c r="F235" i="65"/>
  <c r="Y235" i="65" s="1"/>
  <c r="F235" i="57"/>
  <c r="F243" i="65"/>
  <c r="Y243" i="65" s="1"/>
  <c r="Y243" i="54"/>
  <c r="F243" i="57"/>
  <c r="Y251" i="54"/>
  <c r="F251" i="65"/>
  <c r="Y251" i="65" s="1"/>
  <c r="F251" i="57"/>
  <c r="F259" i="65"/>
  <c r="Y259" i="65" s="1"/>
  <c r="Y259" i="54"/>
  <c r="F259" i="57"/>
  <c r="Y267" i="54"/>
  <c r="F267" i="65"/>
  <c r="Y267" i="65" s="1"/>
  <c r="F267" i="57"/>
  <c r="Y275" i="54"/>
  <c r="F275" i="65"/>
  <c r="Y275" i="65" s="1"/>
  <c r="F275" i="57"/>
  <c r="Y283" i="54"/>
  <c r="F283" i="65"/>
  <c r="Y283" i="65" s="1"/>
  <c r="F283" i="57"/>
  <c r="Y291" i="54"/>
  <c r="F291" i="65"/>
  <c r="Y291" i="65" s="1"/>
  <c r="F291" i="57"/>
  <c r="Y299" i="54"/>
  <c r="F299" i="65"/>
  <c r="Y299" i="65" s="1"/>
  <c r="F299" i="57"/>
  <c r="Y307" i="54"/>
  <c r="F307" i="65"/>
  <c r="Y307" i="65" s="1"/>
  <c r="F307" i="57"/>
  <c r="G22" i="54"/>
  <c r="BE22" i="54" s="1"/>
  <c r="G30" i="54"/>
  <c r="BE30" i="54" s="1"/>
  <c r="G38" i="54"/>
  <c r="BE38" i="54" s="1"/>
  <c r="G45" i="54"/>
  <c r="BE45" i="54" s="1"/>
  <c r="G53" i="54"/>
  <c r="BE53" i="54" s="1"/>
  <c r="G61" i="54"/>
  <c r="BE61" i="54" s="1"/>
  <c r="G69" i="54"/>
  <c r="BE69" i="54" s="1"/>
  <c r="G77" i="54"/>
  <c r="BE77" i="54" s="1"/>
  <c r="G85" i="54"/>
  <c r="BE85" i="54" s="1"/>
  <c r="G93" i="54"/>
  <c r="BE93" i="54" s="1"/>
  <c r="G101" i="54"/>
  <c r="BE101" i="54" s="1"/>
  <c r="G109" i="54"/>
  <c r="BE109" i="54" s="1"/>
  <c r="G117" i="54"/>
  <c r="BE117" i="54" s="1"/>
  <c r="G125" i="54"/>
  <c r="BE125" i="54" s="1"/>
  <c r="G133" i="54"/>
  <c r="BE133" i="54" s="1"/>
  <c r="G141" i="54"/>
  <c r="BE141" i="54" s="1"/>
  <c r="G149" i="54"/>
  <c r="BE149" i="54" s="1"/>
  <c r="G157" i="54"/>
  <c r="BE157" i="54" s="1"/>
  <c r="G165" i="54"/>
  <c r="BE165" i="54" s="1"/>
  <c r="G173" i="54"/>
  <c r="BE173" i="54" s="1"/>
  <c r="G181" i="54"/>
  <c r="BE181" i="54" s="1"/>
  <c r="G189" i="54"/>
  <c r="BE189" i="54" s="1"/>
  <c r="G197" i="54"/>
  <c r="BE197" i="54" s="1"/>
  <c r="G205" i="54"/>
  <c r="BE205" i="54" s="1"/>
  <c r="G213" i="54"/>
  <c r="BE213" i="54" s="1"/>
  <c r="G221" i="54"/>
  <c r="BE221" i="54" s="1"/>
  <c r="G229" i="54"/>
  <c r="BE229" i="54" s="1"/>
  <c r="G237" i="54"/>
  <c r="BE237" i="54" s="1"/>
  <c r="G245" i="54"/>
  <c r="BE245" i="54" s="1"/>
  <c r="G253" i="54"/>
  <c r="BE253" i="54" s="1"/>
  <c r="G261" i="54"/>
  <c r="BE261" i="54" s="1"/>
  <c r="G269" i="54"/>
  <c r="BE269" i="54" s="1"/>
  <c r="G277" i="54"/>
  <c r="BE277" i="54" s="1"/>
  <c r="G285" i="54"/>
  <c r="BE285" i="54" s="1"/>
  <c r="G293" i="54"/>
  <c r="BE293" i="54" s="1"/>
  <c r="G301" i="54"/>
  <c r="BE301" i="54" s="1"/>
  <c r="D11" i="47"/>
  <c r="F10" i="48"/>
  <c r="H13" i="48"/>
  <c r="G10" i="48"/>
  <c r="D11" i="48"/>
  <c r="G10" i="47"/>
  <c r="F10" i="47"/>
  <c r="D10" i="47"/>
  <c r="E10" i="47"/>
  <c r="F11" i="47"/>
  <c r="N10" i="45"/>
  <c r="Q11" i="45"/>
  <c r="W11" i="45"/>
  <c r="U11" i="45"/>
  <c r="F13" i="53"/>
  <c r="Y13" i="53" s="1"/>
  <c r="O11" i="45"/>
  <c r="G13" i="46"/>
  <c r="E13" i="46"/>
  <c r="F11" i="46" s="1"/>
  <c r="D13" i="46"/>
  <c r="C13" i="46"/>
  <c r="AG13" i="45"/>
  <c r="P13" i="60" s="1"/>
  <c r="Z13" i="45"/>
  <c r="O13" i="60" s="1"/>
  <c r="C13" i="60" s="1"/>
  <c r="O15" i="60" l="1"/>
  <c r="C15" i="60" s="1"/>
  <c r="CM55" i="45"/>
  <c r="O21" i="46"/>
  <c r="BK190" i="45"/>
  <c r="CO190" i="45" s="1"/>
  <c r="C140" i="66"/>
  <c r="C141" i="66"/>
  <c r="C138" i="66"/>
  <c r="C143" i="66"/>
  <c r="C142" i="66"/>
  <c r="BE7" i="54"/>
  <c r="C144" i="66"/>
  <c r="C139" i="66"/>
  <c r="BQ237" i="45"/>
  <c r="CP237" i="45" s="1"/>
  <c r="DG141" i="45"/>
  <c r="DH141" i="45"/>
  <c r="DG87" i="45"/>
  <c r="DG296" i="45"/>
  <c r="DG144" i="45"/>
  <c r="DG250" i="45"/>
  <c r="DG306" i="45"/>
  <c r="DG155" i="45"/>
  <c r="DG47" i="45"/>
  <c r="DG168" i="45"/>
  <c r="CX135" i="45"/>
  <c r="DG135" i="45"/>
  <c r="DG142" i="45"/>
  <c r="DG240" i="45"/>
  <c r="DG275" i="45"/>
  <c r="DG56" i="45"/>
  <c r="DG304" i="45"/>
  <c r="DG202" i="45"/>
  <c r="DG191" i="45"/>
  <c r="DG24" i="45"/>
  <c r="DG237" i="45"/>
  <c r="DH237" i="45"/>
  <c r="DG65" i="45"/>
  <c r="DG40" i="45"/>
  <c r="DG280" i="45"/>
  <c r="CX119" i="45"/>
  <c r="DG119" i="45"/>
  <c r="DG288" i="45"/>
  <c r="DG257" i="45"/>
  <c r="DG129" i="45"/>
  <c r="DG171" i="45"/>
  <c r="DG264" i="45"/>
  <c r="DG184" i="45"/>
  <c r="DG192" i="45"/>
  <c r="DG167" i="45"/>
  <c r="DG226" i="45"/>
  <c r="DG103" i="45"/>
  <c r="CX298" i="45"/>
  <c r="DG298" i="45"/>
  <c r="CX223" i="45"/>
  <c r="DG223" i="45"/>
  <c r="DG256" i="45"/>
  <c r="DG243" i="45"/>
  <c r="DG189" i="45"/>
  <c r="DG71" i="45"/>
  <c r="DG301" i="45"/>
  <c r="DG173" i="45"/>
  <c r="DG32" i="45"/>
  <c r="DG277" i="45"/>
  <c r="DG197" i="45"/>
  <c r="DG216" i="45"/>
  <c r="DG79" i="45"/>
  <c r="DG127" i="45"/>
  <c r="DG210" i="45"/>
  <c r="DG272" i="45"/>
  <c r="DG215" i="45"/>
  <c r="DG293" i="45"/>
  <c r="DG179" i="45"/>
  <c r="DG208" i="45"/>
  <c r="DG200" i="45"/>
  <c r="DG248" i="45"/>
  <c r="DG274" i="45"/>
  <c r="DG263" i="45"/>
  <c r="DG183" i="45"/>
  <c r="DG98" i="45"/>
  <c r="DG205" i="45"/>
  <c r="DH205" i="45"/>
  <c r="DG55" i="45"/>
  <c r="DG152" i="45"/>
  <c r="DG160" i="45"/>
  <c r="DG63" i="45"/>
  <c r="CX120" i="45"/>
  <c r="DG120" i="45"/>
  <c r="DG242" i="45"/>
  <c r="DG25" i="45"/>
  <c r="DH25" i="45"/>
  <c r="DG224" i="45"/>
  <c r="DG186" i="45"/>
  <c r="DG194" i="45"/>
  <c r="DG231" i="45"/>
  <c r="DG279" i="45"/>
  <c r="DG176" i="45"/>
  <c r="DG290" i="45"/>
  <c r="DG269" i="45"/>
  <c r="DH269" i="45"/>
  <c r="DG253" i="45"/>
  <c r="DG187" i="45"/>
  <c r="DG266" i="45"/>
  <c r="DG254" i="45"/>
  <c r="DG285" i="45"/>
  <c r="DG221" i="45"/>
  <c r="DG261" i="45"/>
  <c r="DG181" i="45"/>
  <c r="DG307" i="45"/>
  <c r="DG88" i="45"/>
  <c r="DG258" i="45"/>
  <c r="CX25" i="45"/>
  <c r="CX226" i="45"/>
  <c r="DG36" i="45"/>
  <c r="DG232" i="45"/>
  <c r="DG255" i="45"/>
  <c r="DG234" i="45"/>
  <c r="DG213" i="45"/>
  <c r="DG287" i="45"/>
  <c r="DG193" i="45"/>
  <c r="DG295" i="45"/>
  <c r="DG16" i="45"/>
  <c r="DG245" i="45"/>
  <c r="DH245" i="45"/>
  <c r="DG211" i="45"/>
  <c r="DG199" i="45"/>
  <c r="CX290" i="45"/>
  <c r="DG49" i="45"/>
  <c r="DG95" i="45"/>
  <c r="DG282" i="45"/>
  <c r="DG159" i="45"/>
  <c r="DG26" i="45"/>
  <c r="DG218" i="45"/>
  <c r="DG89" i="45"/>
  <c r="DH89" i="45"/>
  <c r="DG190" i="45"/>
  <c r="DG229" i="45"/>
  <c r="DG165" i="45"/>
  <c r="DG147" i="45"/>
  <c r="CX194" i="45"/>
  <c r="DG247" i="45"/>
  <c r="BC238" i="45"/>
  <c r="CN238" i="45" s="1"/>
  <c r="BC222" i="45"/>
  <c r="CN222" i="45" s="1"/>
  <c r="BC270" i="45"/>
  <c r="CN270" i="45" s="1"/>
  <c r="BC78" i="45"/>
  <c r="CN78" i="45" s="1"/>
  <c r="BC126" i="45"/>
  <c r="CN126" i="45" s="1"/>
  <c r="BK119" i="45"/>
  <c r="CO119" i="45" s="1"/>
  <c r="DH119" i="45" s="1"/>
  <c r="BC174" i="45"/>
  <c r="CN174" i="45" s="1"/>
  <c r="BK158" i="45"/>
  <c r="CO158" i="45" s="1"/>
  <c r="BC158" i="45"/>
  <c r="BC206" i="45"/>
  <c r="CN206" i="45" s="1"/>
  <c r="BK277" i="45"/>
  <c r="CO277" i="45" s="1"/>
  <c r="BK197" i="45"/>
  <c r="CO197" i="45" s="1"/>
  <c r="BK299" i="45"/>
  <c r="CO299" i="45" s="1"/>
  <c r="BC299" i="45"/>
  <c r="CN299" i="45" s="1"/>
  <c r="BC203" i="45"/>
  <c r="CN203" i="45" s="1"/>
  <c r="BK251" i="45"/>
  <c r="CO251" i="45" s="1"/>
  <c r="BC251" i="45"/>
  <c r="BK264" i="45"/>
  <c r="CO264" i="45" s="1"/>
  <c r="CY264" i="45" s="1"/>
  <c r="BK144" i="45"/>
  <c r="CO144" i="45" s="1"/>
  <c r="DH144" i="45" s="1"/>
  <c r="BK226" i="45"/>
  <c r="CO226" i="45" s="1"/>
  <c r="BK103" i="45"/>
  <c r="CO103" i="45" s="1"/>
  <c r="CY103" i="45" s="1"/>
  <c r="BK192" i="45"/>
  <c r="CO192" i="45" s="1"/>
  <c r="CY192" i="45" s="1"/>
  <c r="BK250" i="45"/>
  <c r="CO250" i="45" s="1"/>
  <c r="CY250" i="45" s="1"/>
  <c r="BK160" i="45"/>
  <c r="CO160" i="45" s="1"/>
  <c r="CY160" i="45" s="1"/>
  <c r="BK306" i="45"/>
  <c r="CO306" i="45" s="1"/>
  <c r="CY306" i="45" s="1"/>
  <c r="BK298" i="45"/>
  <c r="CO298" i="45" s="1"/>
  <c r="DH298" i="45" s="1"/>
  <c r="BK223" i="45"/>
  <c r="CO223" i="45" s="1"/>
  <c r="BK40" i="45"/>
  <c r="CO40" i="45" s="1"/>
  <c r="BK296" i="45"/>
  <c r="CO296" i="45" s="1"/>
  <c r="CY296" i="45" s="1"/>
  <c r="BK234" i="45"/>
  <c r="CO234" i="45" s="1"/>
  <c r="BK65" i="45"/>
  <c r="CO65" i="45" s="1"/>
  <c r="CY65" i="45" s="1"/>
  <c r="BK232" i="45"/>
  <c r="CO232" i="45" s="1"/>
  <c r="BK155" i="45"/>
  <c r="CO155" i="45" s="1"/>
  <c r="CY155" i="45" s="1"/>
  <c r="BK36" i="45"/>
  <c r="CO36" i="45" s="1"/>
  <c r="BK168" i="45"/>
  <c r="CO168" i="45" s="1"/>
  <c r="BK56" i="45"/>
  <c r="CO56" i="45" s="1"/>
  <c r="CY56" i="45" s="1"/>
  <c r="BC62" i="45"/>
  <c r="CN62" i="45" s="1"/>
  <c r="BC110" i="45"/>
  <c r="CN110" i="45" s="1"/>
  <c r="BK261" i="45"/>
  <c r="CO261" i="45" s="1"/>
  <c r="CY261" i="45" s="1"/>
  <c r="BK181" i="45"/>
  <c r="CO181" i="45" s="1"/>
  <c r="BK20" i="45"/>
  <c r="CO20" i="45" s="1"/>
  <c r="BC20" i="45"/>
  <c r="CN20" i="45" s="1"/>
  <c r="BK283" i="45"/>
  <c r="CO283" i="45" s="1"/>
  <c r="BC283" i="45"/>
  <c r="CN283" i="45" s="1"/>
  <c r="BK139" i="45"/>
  <c r="CO139" i="45" s="1"/>
  <c r="BC139" i="45"/>
  <c r="CN139" i="45" s="1"/>
  <c r="BC67" i="45"/>
  <c r="CN67" i="45" s="1"/>
  <c r="BK242" i="45"/>
  <c r="CO242" i="45" s="1"/>
  <c r="BK200" i="45"/>
  <c r="CO200" i="45" s="1"/>
  <c r="DH200" i="45" s="1"/>
  <c r="BK79" i="45"/>
  <c r="CO79" i="45" s="1"/>
  <c r="BK55" i="45"/>
  <c r="CO55" i="45" s="1"/>
  <c r="CY55" i="45" s="1"/>
  <c r="BK224" i="45"/>
  <c r="CO224" i="45" s="1"/>
  <c r="CY224" i="45" s="1"/>
  <c r="BK135" i="45"/>
  <c r="CO135" i="45" s="1"/>
  <c r="CY135" i="45" s="1"/>
  <c r="BK255" i="45"/>
  <c r="CO255" i="45" s="1"/>
  <c r="BK274" i="45"/>
  <c r="CO274" i="45" s="1"/>
  <c r="BK211" i="45"/>
  <c r="CO211" i="45" s="1"/>
  <c r="BK16" i="45"/>
  <c r="CO16" i="45" s="1"/>
  <c r="BK272" i="45"/>
  <c r="CO272" i="45" s="1"/>
  <c r="BK210" i="45"/>
  <c r="CO210" i="45" s="1"/>
  <c r="BK208" i="45"/>
  <c r="CO208" i="45" s="1"/>
  <c r="BK127" i="45"/>
  <c r="CO127" i="45" s="1"/>
  <c r="CY127" i="45" s="1"/>
  <c r="BK243" i="45"/>
  <c r="CO243" i="45" s="1"/>
  <c r="BK256" i="45"/>
  <c r="CO256" i="45" s="1"/>
  <c r="BK152" i="45"/>
  <c r="CO152" i="45" s="1"/>
  <c r="DH152" i="45" s="1"/>
  <c r="CO32" i="45"/>
  <c r="DH32" i="45" s="1"/>
  <c r="BQ141" i="45"/>
  <c r="CP141" i="45" s="1"/>
  <c r="DI141" i="45" s="1"/>
  <c r="BK247" i="45"/>
  <c r="CO247" i="45" s="1"/>
  <c r="DH247" i="45" s="1"/>
  <c r="BC46" i="45"/>
  <c r="CN46" i="45" s="1"/>
  <c r="BK94" i="45"/>
  <c r="CO94" i="45" s="1"/>
  <c r="BC94" i="45"/>
  <c r="CN94" i="45" s="1"/>
  <c r="BC31" i="45"/>
  <c r="CN31" i="45" s="1"/>
  <c r="BK165" i="45"/>
  <c r="CO165" i="45" s="1"/>
  <c r="DH165" i="45" s="1"/>
  <c r="BK235" i="45"/>
  <c r="CO235" i="45" s="1"/>
  <c r="BC235" i="45"/>
  <c r="CN235" i="45" s="1"/>
  <c r="BC302" i="45"/>
  <c r="CN302" i="45" s="1"/>
  <c r="BK304" i="45"/>
  <c r="CO304" i="45" s="1"/>
  <c r="BK202" i="45"/>
  <c r="CO202" i="45" s="1"/>
  <c r="CY202" i="45" s="1"/>
  <c r="BK288" i="45"/>
  <c r="CO288" i="45" s="1"/>
  <c r="BK179" i="45"/>
  <c r="CO179" i="45" s="1"/>
  <c r="BK49" i="45"/>
  <c r="CO49" i="45" s="1"/>
  <c r="BK287" i="45"/>
  <c r="CO287" i="45" s="1"/>
  <c r="DH287" i="45" s="1"/>
  <c r="BK199" i="45"/>
  <c r="CO199" i="45" s="1"/>
  <c r="BK71" i="45"/>
  <c r="CO71" i="45" s="1"/>
  <c r="CY71" i="45" s="1"/>
  <c r="BK167" i="45"/>
  <c r="CO167" i="45" s="1"/>
  <c r="DH167" i="45" s="1"/>
  <c r="BK248" i="45"/>
  <c r="CO248" i="45" s="1"/>
  <c r="BK187" i="45"/>
  <c r="CO187" i="45" s="1"/>
  <c r="DH187" i="45" s="1"/>
  <c r="BK216" i="45"/>
  <c r="CO216" i="45" s="1"/>
  <c r="CY216" i="45" s="1"/>
  <c r="BK258" i="45"/>
  <c r="CO258" i="45" s="1"/>
  <c r="BK186" i="45"/>
  <c r="CO186" i="45" s="1"/>
  <c r="DH186" i="45" s="1"/>
  <c r="BK26" i="45"/>
  <c r="CO26" i="45" s="1"/>
  <c r="DH26" i="45" s="1"/>
  <c r="BK194" i="45"/>
  <c r="CO194" i="45" s="1"/>
  <c r="BK307" i="45"/>
  <c r="CO307" i="45" s="1"/>
  <c r="BK231" i="45"/>
  <c r="CO231" i="45" s="1"/>
  <c r="DH231" i="45" s="1"/>
  <c r="BK120" i="45"/>
  <c r="CO120" i="45" s="1"/>
  <c r="DH120" i="45" s="1"/>
  <c r="BK266" i="45"/>
  <c r="CO266" i="45" s="1"/>
  <c r="CY266" i="45" s="1"/>
  <c r="BQ261" i="45"/>
  <c r="CP261" i="45" s="1"/>
  <c r="BQ245" i="45"/>
  <c r="CP245" i="45" s="1"/>
  <c r="DI245" i="45" s="1"/>
  <c r="BC286" i="45"/>
  <c r="CN286" i="45" s="1"/>
  <c r="BK293" i="45"/>
  <c r="CO293" i="45" s="1"/>
  <c r="BK213" i="45"/>
  <c r="CO213" i="45" s="1"/>
  <c r="BC107" i="45"/>
  <c r="CN107" i="45" s="1"/>
  <c r="BK267" i="45"/>
  <c r="CO267" i="45" s="1"/>
  <c r="BC267" i="45"/>
  <c r="CN267" i="45" s="1"/>
  <c r="CX267" i="45" s="1"/>
  <c r="BK290" i="45"/>
  <c r="CO290" i="45" s="1"/>
  <c r="BK191" i="45"/>
  <c r="CO191" i="45" s="1"/>
  <c r="BK240" i="45"/>
  <c r="CO240" i="45" s="1"/>
  <c r="BK24" i="45"/>
  <c r="CO24" i="45" s="1"/>
  <c r="CY24" i="45" s="1"/>
  <c r="BK275" i="45"/>
  <c r="CO275" i="45" s="1"/>
  <c r="CY275" i="45" s="1"/>
  <c r="BK176" i="45"/>
  <c r="CO176" i="45" s="1"/>
  <c r="DH176" i="45" s="1"/>
  <c r="BK47" i="45"/>
  <c r="CO47" i="45" s="1"/>
  <c r="DH47" i="45" s="1"/>
  <c r="BK87" i="45"/>
  <c r="CO87" i="45" s="1"/>
  <c r="BK159" i="45"/>
  <c r="CO159" i="45" s="1"/>
  <c r="BK95" i="45"/>
  <c r="CO95" i="45" s="1"/>
  <c r="DH95" i="45" s="1"/>
  <c r="BK282" i="45"/>
  <c r="CO282" i="45" s="1"/>
  <c r="BK184" i="45"/>
  <c r="CO184" i="45" s="1"/>
  <c r="DH184" i="45" s="1"/>
  <c r="BK63" i="45"/>
  <c r="CO63" i="45" s="1"/>
  <c r="CY63" i="45" s="1"/>
  <c r="BK280" i="45"/>
  <c r="CO280" i="45" s="1"/>
  <c r="BK218" i="45"/>
  <c r="CO218" i="45" s="1"/>
  <c r="DH218" i="45" s="1"/>
  <c r="BK88" i="45"/>
  <c r="CO88" i="45" s="1"/>
  <c r="DH88" i="45" s="1"/>
  <c r="BK147" i="45"/>
  <c r="CO147" i="45" s="1"/>
  <c r="CX274" i="45"/>
  <c r="CX216" i="45"/>
  <c r="CX184" i="45"/>
  <c r="CX232" i="45"/>
  <c r="CY237" i="45"/>
  <c r="CY89" i="45"/>
  <c r="CY245" i="45"/>
  <c r="CY205" i="45"/>
  <c r="CY25" i="45"/>
  <c r="CY269" i="45"/>
  <c r="CY141" i="45"/>
  <c r="CX254" i="45"/>
  <c r="CX279" i="45"/>
  <c r="CX98" i="45"/>
  <c r="CX215" i="45"/>
  <c r="CX79" i="45"/>
  <c r="CX205" i="45"/>
  <c r="CX197" i="45"/>
  <c r="CX253" i="45"/>
  <c r="CX245" i="45"/>
  <c r="CX183" i="45"/>
  <c r="CX190" i="45"/>
  <c r="CX301" i="45"/>
  <c r="CX147" i="45"/>
  <c r="CX250" i="45"/>
  <c r="CX221" i="45"/>
  <c r="CX264" i="45"/>
  <c r="CX89" i="45"/>
  <c r="CX213" i="45"/>
  <c r="CX263" i="45"/>
  <c r="CX63" i="45"/>
  <c r="CX261" i="45"/>
  <c r="CX237" i="45"/>
  <c r="CX165" i="45"/>
  <c r="CX293" i="45"/>
  <c r="CX189" i="45"/>
  <c r="CX193" i="45"/>
  <c r="CX40" i="45"/>
  <c r="CX280" i="45"/>
  <c r="CX240" i="45"/>
  <c r="CX288" i="45"/>
  <c r="CX199" i="45"/>
  <c r="CX229" i="45"/>
  <c r="CX258" i="45"/>
  <c r="CX202" i="45"/>
  <c r="CX257" i="45"/>
  <c r="CX16" i="45"/>
  <c r="CX176" i="45"/>
  <c r="CX168" i="45"/>
  <c r="CX272" i="45"/>
  <c r="CX32" i="45"/>
  <c r="CX266" i="45"/>
  <c r="CX295" i="45"/>
  <c r="CX26" i="45"/>
  <c r="CX49" i="45"/>
  <c r="CX307" i="45"/>
  <c r="CX152" i="45"/>
  <c r="CX224" i="45"/>
  <c r="CX88" i="45"/>
  <c r="CX255" i="45"/>
  <c r="CX247" i="45"/>
  <c r="CX287" i="45"/>
  <c r="CX56" i="45"/>
  <c r="CX142" i="45"/>
  <c r="CX275" i="45"/>
  <c r="CX55" i="45"/>
  <c r="CX208" i="45"/>
  <c r="CX167" i="45"/>
  <c r="CX285" i="45"/>
  <c r="CX210" i="45"/>
  <c r="CX171" i="45"/>
  <c r="CX65" i="45"/>
  <c r="CX243" i="45"/>
  <c r="CX192" i="45"/>
  <c r="CX144" i="45"/>
  <c r="CX127" i="45"/>
  <c r="CX160" i="45"/>
  <c r="CX269" i="45"/>
  <c r="CX173" i="45"/>
  <c r="CX187" i="45"/>
  <c r="CX211" i="45"/>
  <c r="CX155" i="45"/>
  <c r="CX95" i="45"/>
  <c r="CX87" i="45"/>
  <c r="CX306" i="45"/>
  <c r="CX248" i="45"/>
  <c r="CX141" i="45"/>
  <c r="CX36" i="45"/>
  <c r="CX24" i="45"/>
  <c r="CX179" i="45"/>
  <c r="CX47" i="45"/>
  <c r="CX304" i="45"/>
  <c r="CX200" i="45"/>
  <c r="CX129" i="45"/>
  <c r="CX71" i="45"/>
  <c r="CX296" i="45"/>
  <c r="CX256" i="45"/>
  <c r="CX218" i="45"/>
  <c r="CX277" i="45"/>
  <c r="CX181" i="45"/>
  <c r="CX191" i="45"/>
  <c r="CX103" i="45"/>
  <c r="AP13" i="47"/>
  <c r="AM10" i="45"/>
  <c r="AM11" i="45"/>
  <c r="BK238" i="45"/>
  <c r="CO238" i="45" s="1"/>
  <c r="BK203" i="45"/>
  <c r="CO203" i="45" s="1"/>
  <c r="BK107" i="45"/>
  <c r="CO107" i="45" s="1"/>
  <c r="CN158" i="45"/>
  <c r="AB287" i="48"/>
  <c r="AM287" i="54" s="1"/>
  <c r="AB61" i="48"/>
  <c r="AM61" i="54" s="1"/>
  <c r="CN251" i="45"/>
  <c r="BK302" i="45"/>
  <c r="CO302" i="45" s="1"/>
  <c r="BC212" i="45"/>
  <c r="CN212" i="45" s="1"/>
  <c r="BK174" i="45"/>
  <c r="CO174" i="45" s="1"/>
  <c r="AU67" i="45"/>
  <c r="CM67" i="45" s="1"/>
  <c r="AB278" i="48"/>
  <c r="AM278" i="54" s="1"/>
  <c r="AB100" i="48"/>
  <c r="AM100" i="54" s="1"/>
  <c r="AB157" i="48"/>
  <c r="AM157" i="54" s="1"/>
  <c r="AB45" i="48"/>
  <c r="AM45" i="54" s="1"/>
  <c r="AB59" i="48"/>
  <c r="AM59" i="54" s="1"/>
  <c r="AB255" i="48"/>
  <c r="AM255" i="54" s="1"/>
  <c r="AB48" i="48"/>
  <c r="AM48" i="54" s="1"/>
  <c r="AC146" i="48"/>
  <c r="AN146" i="54" s="1"/>
  <c r="AA13" i="48"/>
  <c r="AU15" i="45"/>
  <c r="CM15" i="45" s="1"/>
  <c r="BC15" i="45"/>
  <c r="BK151" i="45"/>
  <c r="CN151" i="45"/>
  <c r="BK44" i="45"/>
  <c r="CN44" i="45"/>
  <c r="BK59" i="45"/>
  <c r="CN59" i="45"/>
  <c r="BK219" i="45"/>
  <c r="CN219" i="45"/>
  <c r="BK28" i="45"/>
  <c r="CN28" i="45"/>
  <c r="BK91" i="45"/>
  <c r="CN91" i="45"/>
  <c r="CO229" i="45"/>
  <c r="BK75" i="45"/>
  <c r="CN75" i="45"/>
  <c r="BK123" i="45"/>
  <c r="CN123" i="45"/>
  <c r="C61" i="66"/>
  <c r="AA58" i="66"/>
  <c r="AU58" i="66"/>
  <c r="O58" i="66"/>
  <c r="AA55" i="66"/>
  <c r="AU55" i="66"/>
  <c r="O55" i="66"/>
  <c r="AU54" i="66"/>
  <c r="AA54" i="66"/>
  <c r="O54" i="66"/>
  <c r="AU56" i="66"/>
  <c r="AA56" i="66"/>
  <c r="O56" i="66"/>
  <c r="AU59" i="66"/>
  <c r="AA59" i="66"/>
  <c r="O59" i="66"/>
  <c r="AU57" i="66"/>
  <c r="AA57" i="66"/>
  <c r="O57" i="66"/>
  <c r="AU60" i="66"/>
  <c r="AA60" i="66"/>
  <c r="O60" i="66"/>
  <c r="D61" i="66"/>
  <c r="C72" i="66"/>
  <c r="N72" i="66" s="1"/>
  <c r="C67" i="66"/>
  <c r="N67" i="66" s="1"/>
  <c r="C66" i="66"/>
  <c r="C71" i="66"/>
  <c r="N71" i="66" s="1"/>
  <c r="C68" i="66"/>
  <c r="N68" i="66" s="1"/>
  <c r="C70" i="66"/>
  <c r="N70" i="66" s="1"/>
  <c r="C69" i="66"/>
  <c r="N69" i="66" s="1"/>
  <c r="AB189" i="48"/>
  <c r="AM189" i="54" s="1"/>
  <c r="AB183" i="48"/>
  <c r="AM183" i="54" s="1"/>
  <c r="AB60" i="48"/>
  <c r="AM60" i="54" s="1"/>
  <c r="AB57" i="48"/>
  <c r="AM57" i="54" s="1"/>
  <c r="AB205" i="48"/>
  <c r="AM205" i="54" s="1"/>
  <c r="AB58" i="48"/>
  <c r="AM58" i="54" s="1"/>
  <c r="AB133" i="48"/>
  <c r="AM133" i="54" s="1"/>
  <c r="AB52" i="48"/>
  <c r="AM52" i="54" s="1"/>
  <c r="AB221" i="48"/>
  <c r="AM221" i="54" s="1"/>
  <c r="AB89" i="48"/>
  <c r="AM89" i="54" s="1"/>
  <c r="AB117" i="48"/>
  <c r="AM117" i="54" s="1"/>
  <c r="AB279" i="48"/>
  <c r="AM279" i="54" s="1"/>
  <c r="AB202" i="48"/>
  <c r="AM202" i="54" s="1"/>
  <c r="AB114" i="48"/>
  <c r="AM114" i="54" s="1"/>
  <c r="AB43" i="48"/>
  <c r="AM43" i="54" s="1"/>
  <c r="AB292" i="48"/>
  <c r="AM292" i="54" s="1"/>
  <c r="AB140" i="48"/>
  <c r="AM140" i="54" s="1"/>
  <c r="AB276" i="48"/>
  <c r="AM276" i="54" s="1"/>
  <c r="AB283" i="48"/>
  <c r="AM283" i="54" s="1"/>
  <c r="AB171" i="48"/>
  <c r="AM171" i="54" s="1"/>
  <c r="AB127" i="48"/>
  <c r="AM127" i="54" s="1"/>
  <c r="AB71" i="48"/>
  <c r="AM71" i="54" s="1"/>
  <c r="AB282" i="48"/>
  <c r="AM282" i="54" s="1"/>
  <c r="AB143" i="48"/>
  <c r="AM143" i="54" s="1"/>
  <c r="AB23" i="48"/>
  <c r="AM23" i="54" s="1"/>
  <c r="AB299" i="48"/>
  <c r="AM299" i="54" s="1"/>
  <c r="AB235" i="48"/>
  <c r="AM235" i="54" s="1"/>
  <c r="AB196" i="48"/>
  <c r="AM196" i="54" s="1"/>
  <c r="AB139" i="48"/>
  <c r="AM139" i="54" s="1"/>
  <c r="AB80" i="48"/>
  <c r="AM80" i="54" s="1"/>
  <c r="AB122" i="48"/>
  <c r="AM122" i="54" s="1"/>
  <c r="AB264" i="48"/>
  <c r="AM264" i="54" s="1"/>
  <c r="AB195" i="48"/>
  <c r="AM195" i="54" s="1"/>
  <c r="AB79" i="48"/>
  <c r="AM79" i="54" s="1"/>
  <c r="AB272" i="48"/>
  <c r="AM272" i="54" s="1"/>
  <c r="AB190" i="48"/>
  <c r="AM190" i="54" s="1"/>
  <c r="AB95" i="48"/>
  <c r="AM95" i="54" s="1"/>
  <c r="AB17" i="48"/>
  <c r="AM17" i="54" s="1"/>
  <c r="AC221" i="48"/>
  <c r="AN221" i="54" s="1"/>
  <c r="AC116" i="48"/>
  <c r="AN116" i="54" s="1"/>
  <c r="AB201" i="48"/>
  <c r="AM201" i="54" s="1"/>
  <c r="AB42" i="48"/>
  <c r="AM42" i="54" s="1"/>
  <c r="AC89" i="48"/>
  <c r="AN89" i="54" s="1"/>
  <c r="AB230" i="48"/>
  <c r="AM230" i="54" s="1"/>
  <c r="AB34" i="48"/>
  <c r="AM34" i="54" s="1"/>
  <c r="AB185" i="48"/>
  <c r="AM185" i="54" s="1"/>
  <c r="AC287" i="48"/>
  <c r="AN287" i="54" s="1"/>
  <c r="AC117" i="48"/>
  <c r="AN117" i="54" s="1"/>
  <c r="AB162" i="48"/>
  <c r="AM162" i="54" s="1"/>
  <c r="AB267" i="48"/>
  <c r="AM267" i="54" s="1"/>
  <c r="AB197" i="48"/>
  <c r="AM197" i="54" s="1"/>
  <c r="AB109" i="48"/>
  <c r="AM109" i="54" s="1"/>
  <c r="AB38" i="48"/>
  <c r="AM38" i="54" s="1"/>
  <c r="AB275" i="48"/>
  <c r="AM275" i="54" s="1"/>
  <c r="AB135" i="48"/>
  <c r="AM135" i="54" s="1"/>
  <c r="AB182" i="48"/>
  <c r="AM182" i="54" s="1"/>
  <c r="AB274" i="48"/>
  <c r="AM274" i="54" s="1"/>
  <c r="AB166" i="48"/>
  <c r="AM166" i="54" s="1"/>
  <c r="AB124" i="48"/>
  <c r="AM124" i="54" s="1"/>
  <c r="AB66" i="48"/>
  <c r="AM66" i="54" s="1"/>
  <c r="AB248" i="48"/>
  <c r="AM248" i="54" s="1"/>
  <c r="AB119" i="48"/>
  <c r="AM119" i="54" s="1"/>
  <c r="AB280" i="48"/>
  <c r="AM280" i="54" s="1"/>
  <c r="AB290" i="48"/>
  <c r="AM290" i="54" s="1"/>
  <c r="AB231" i="48"/>
  <c r="AM231" i="54" s="1"/>
  <c r="AB192" i="48"/>
  <c r="AM192" i="54" s="1"/>
  <c r="AB131" i="48"/>
  <c r="AM131" i="54" s="1"/>
  <c r="AB69" i="48"/>
  <c r="AM69" i="54" s="1"/>
  <c r="AB260" i="48"/>
  <c r="AM260" i="54" s="1"/>
  <c r="AB191" i="48"/>
  <c r="AM191" i="54" s="1"/>
  <c r="AB54" i="48"/>
  <c r="AM54" i="54" s="1"/>
  <c r="AB268" i="48"/>
  <c r="AM268" i="54" s="1"/>
  <c r="AB179" i="48"/>
  <c r="AM179" i="54" s="1"/>
  <c r="AB78" i="48"/>
  <c r="AM78" i="54" s="1"/>
  <c r="AB250" i="48"/>
  <c r="AM250" i="54" s="1"/>
  <c r="AB194" i="48"/>
  <c r="AM194" i="54" s="1"/>
  <c r="AB29" i="48"/>
  <c r="AM29" i="54" s="1"/>
  <c r="AB193" i="48"/>
  <c r="AM193" i="54" s="1"/>
  <c r="AB21" i="48"/>
  <c r="AM21" i="54" s="1"/>
  <c r="AC57" i="48"/>
  <c r="AN57" i="54" s="1"/>
  <c r="AB302" i="48"/>
  <c r="AM302" i="54" s="1"/>
  <c r="AB123" i="48"/>
  <c r="AM123" i="54" s="1"/>
  <c r="AB258" i="48"/>
  <c r="AM258" i="54" s="1"/>
  <c r="AB186" i="48"/>
  <c r="AM186" i="54" s="1"/>
  <c r="AB99" i="48"/>
  <c r="AM99" i="54" s="1"/>
  <c r="AB25" i="48"/>
  <c r="AM25" i="54" s="1"/>
  <c r="AB266" i="48"/>
  <c r="AM266" i="54" s="1"/>
  <c r="AB128" i="48"/>
  <c r="AM128" i="54" s="1"/>
  <c r="AB63" i="48"/>
  <c r="AM63" i="54" s="1"/>
  <c r="AB270" i="48"/>
  <c r="AM270" i="54" s="1"/>
  <c r="AB159" i="48"/>
  <c r="AM159" i="54" s="1"/>
  <c r="AB120" i="48"/>
  <c r="AM120" i="54" s="1"/>
  <c r="AB244" i="48"/>
  <c r="AM244" i="54" s="1"/>
  <c r="AB112" i="48"/>
  <c r="AM112" i="54" s="1"/>
  <c r="AB226" i="48"/>
  <c r="AM226" i="54" s="1"/>
  <c r="AB286" i="48"/>
  <c r="AM286" i="54" s="1"/>
  <c r="AB228" i="48"/>
  <c r="AM228" i="54" s="1"/>
  <c r="AB188" i="48"/>
  <c r="AM188" i="54" s="1"/>
  <c r="AB118" i="48"/>
  <c r="AM118" i="54" s="1"/>
  <c r="AB65" i="48"/>
  <c r="AM65" i="54" s="1"/>
  <c r="AB243" i="48"/>
  <c r="AM243" i="54" s="1"/>
  <c r="AB180" i="48"/>
  <c r="AM180" i="54" s="1"/>
  <c r="AB47" i="48"/>
  <c r="AM47" i="54" s="1"/>
  <c r="AB251" i="48"/>
  <c r="AM251" i="54" s="1"/>
  <c r="AB176" i="48"/>
  <c r="AM176" i="54" s="1"/>
  <c r="AB64" i="48"/>
  <c r="AM64" i="54" s="1"/>
  <c r="AC278" i="48"/>
  <c r="AN278" i="54" s="1"/>
  <c r="AC189" i="48"/>
  <c r="AN189" i="54" s="1"/>
  <c r="AC59" i="48"/>
  <c r="AN59" i="54" s="1"/>
  <c r="AB161" i="48"/>
  <c r="AM161" i="54" s="1"/>
  <c r="AB297" i="48"/>
  <c r="AM297" i="54" s="1"/>
  <c r="AB141" i="48"/>
  <c r="AM141" i="54" s="1"/>
  <c r="AC58" i="48"/>
  <c r="AN58" i="54" s="1"/>
  <c r="AB181" i="48"/>
  <c r="AM181" i="54" s="1"/>
  <c r="AB261" i="48"/>
  <c r="AM261" i="54" s="1"/>
  <c r="AB125" i="48"/>
  <c r="AM125" i="54" s="1"/>
  <c r="AC222" i="48"/>
  <c r="AN222" i="54" s="1"/>
  <c r="AC60" i="48"/>
  <c r="AN60" i="54" s="1"/>
  <c r="AB110" i="48"/>
  <c r="AM110" i="54" s="1"/>
  <c r="AB254" i="48"/>
  <c r="AM254" i="54" s="1"/>
  <c r="AB178" i="48"/>
  <c r="AM178" i="54" s="1"/>
  <c r="AB87" i="48"/>
  <c r="AM87" i="54" s="1"/>
  <c r="AB16" i="48"/>
  <c r="AM16" i="54" s="1"/>
  <c r="AB174" i="48"/>
  <c r="AM174" i="54" s="1"/>
  <c r="AB113" i="48"/>
  <c r="AM113" i="54" s="1"/>
  <c r="AB50" i="48"/>
  <c r="AM50" i="54" s="1"/>
  <c r="AB257" i="48"/>
  <c r="AM257" i="54" s="1"/>
  <c r="AB156" i="48"/>
  <c r="AM156" i="54" s="1"/>
  <c r="AB105" i="48"/>
  <c r="AM105" i="54" s="1"/>
  <c r="AB33" i="48"/>
  <c r="AM33" i="54" s="1"/>
  <c r="AB232" i="48"/>
  <c r="AM232" i="54" s="1"/>
  <c r="AB97" i="48"/>
  <c r="AM97" i="54" s="1"/>
  <c r="AB203" i="48"/>
  <c r="AM203" i="54" s="1"/>
  <c r="AB273" i="48"/>
  <c r="AM273" i="54" s="1"/>
  <c r="AB215" i="48"/>
  <c r="AM215" i="54" s="1"/>
  <c r="AB173" i="48"/>
  <c r="AM173" i="54" s="1"/>
  <c r="AB111" i="48"/>
  <c r="AM111" i="54" s="1"/>
  <c r="AB55" i="48"/>
  <c r="AM55" i="54" s="1"/>
  <c r="AB307" i="48"/>
  <c r="AM307" i="54" s="1"/>
  <c r="AB234" i="48"/>
  <c r="AM234" i="54" s="1"/>
  <c r="AB155" i="48"/>
  <c r="AM155" i="54" s="1"/>
  <c r="AB36" i="48"/>
  <c r="AM36" i="54" s="1"/>
  <c r="AB242" i="48"/>
  <c r="AM242" i="54" s="1"/>
  <c r="AB168" i="48"/>
  <c r="AM168" i="54" s="1"/>
  <c r="AB53" i="48"/>
  <c r="AM53" i="54" s="1"/>
  <c r="AB153" i="48"/>
  <c r="AM153" i="54" s="1"/>
  <c r="AB289" i="48"/>
  <c r="AM289" i="54" s="1"/>
  <c r="AC51" i="48"/>
  <c r="AN51" i="54" s="1"/>
  <c r="AB229" i="48"/>
  <c r="AM229" i="54" s="1"/>
  <c r="AB74" i="48"/>
  <c r="AM74" i="54" s="1"/>
  <c r="AB293" i="48"/>
  <c r="AM293" i="54" s="1"/>
  <c r="AB91" i="48"/>
  <c r="AM91" i="54" s="1"/>
  <c r="AB305" i="48"/>
  <c r="AM305" i="54" s="1"/>
  <c r="AB241" i="48"/>
  <c r="AM241" i="54" s="1"/>
  <c r="AB167" i="48"/>
  <c r="AM167" i="54" s="1"/>
  <c r="AB82" i="48"/>
  <c r="AM82" i="54" s="1"/>
  <c r="AB259" i="48"/>
  <c r="AM259" i="54" s="1"/>
  <c r="AB163" i="48"/>
  <c r="AM163" i="54" s="1"/>
  <c r="AB106" i="48"/>
  <c r="AM106" i="54" s="1"/>
  <c r="AB39" i="48"/>
  <c r="AM39" i="54" s="1"/>
  <c r="AB253" i="48"/>
  <c r="AM253" i="54" s="1"/>
  <c r="AB151" i="48"/>
  <c r="AM151" i="54" s="1"/>
  <c r="AB98" i="48"/>
  <c r="AM98" i="54" s="1"/>
  <c r="AB24" i="48"/>
  <c r="AM24" i="54" s="1"/>
  <c r="AB216" i="48"/>
  <c r="AM216" i="54" s="1"/>
  <c r="AB90" i="48"/>
  <c r="AM90" i="54" s="1"/>
  <c r="AB187" i="48"/>
  <c r="AM187" i="54" s="1"/>
  <c r="AB269" i="48"/>
  <c r="AM269" i="54" s="1"/>
  <c r="AB212" i="48"/>
  <c r="AM212" i="54" s="1"/>
  <c r="AB169" i="48"/>
  <c r="AM169" i="54" s="1"/>
  <c r="AB108" i="48"/>
  <c r="AM108" i="54" s="1"/>
  <c r="AB41" i="48"/>
  <c r="AM41" i="54" s="1"/>
  <c r="AB298" i="48"/>
  <c r="AM298" i="54" s="1"/>
  <c r="AB224" i="48"/>
  <c r="AM224" i="54" s="1"/>
  <c r="AB142" i="48"/>
  <c r="AM142" i="54" s="1"/>
  <c r="AB31" i="48"/>
  <c r="AM31" i="54" s="1"/>
  <c r="AB227" i="48"/>
  <c r="AM227" i="54" s="1"/>
  <c r="AB154" i="48"/>
  <c r="AM154" i="54" s="1"/>
  <c r="AB46" i="48"/>
  <c r="AM46" i="54" s="1"/>
  <c r="AC271" i="48"/>
  <c r="AN271" i="54" s="1"/>
  <c r="AC183" i="48"/>
  <c r="AN183" i="54" s="1"/>
  <c r="AC48" i="48"/>
  <c r="AN48" i="54" s="1"/>
  <c r="AB102" i="48"/>
  <c r="AM102" i="54" s="1"/>
  <c r="AB263" i="48"/>
  <c r="AM263" i="54" s="1"/>
  <c r="AC133" i="48"/>
  <c r="AN133" i="54" s="1"/>
  <c r="AC52" i="48"/>
  <c r="AN52" i="54" s="1"/>
  <c r="AB126" i="48"/>
  <c r="AM126" i="54" s="1"/>
  <c r="AC157" i="48"/>
  <c r="AN157" i="54" s="1"/>
  <c r="AB265" i="48"/>
  <c r="AM265" i="54" s="1"/>
  <c r="AB77" i="48"/>
  <c r="AM77" i="54" s="1"/>
  <c r="AB301" i="48"/>
  <c r="AM301" i="54" s="1"/>
  <c r="AB237" i="48"/>
  <c r="AM237" i="54" s="1"/>
  <c r="AB164" i="48"/>
  <c r="AM164" i="54" s="1"/>
  <c r="AB67" i="48"/>
  <c r="AM67" i="54" s="1"/>
  <c r="AB219" i="48"/>
  <c r="AM219" i="54" s="1"/>
  <c r="AB160" i="48"/>
  <c r="AM160" i="54" s="1"/>
  <c r="AB86" i="48"/>
  <c r="AM86" i="54" s="1"/>
  <c r="AB304" i="48"/>
  <c r="AM304" i="54" s="1"/>
  <c r="AB240" i="48"/>
  <c r="AM240" i="54" s="1"/>
  <c r="AB147" i="48"/>
  <c r="AM147" i="54" s="1"/>
  <c r="AB93" i="48"/>
  <c r="AM93" i="54" s="1"/>
  <c r="AB19" i="48"/>
  <c r="AM19" i="54" s="1"/>
  <c r="AB200" i="48"/>
  <c r="AM200" i="54" s="1"/>
  <c r="AB70" i="48"/>
  <c r="AM70" i="54" s="1"/>
  <c r="AB172" i="48"/>
  <c r="AM172" i="54" s="1"/>
  <c r="AB256" i="48"/>
  <c r="AM256" i="54" s="1"/>
  <c r="AB208" i="48"/>
  <c r="AM208" i="54" s="1"/>
  <c r="AB165" i="48"/>
  <c r="AM165" i="54" s="1"/>
  <c r="AB104" i="48"/>
  <c r="AM104" i="54" s="1"/>
  <c r="AB32" i="48"/>
  <c r="AM32" i="54" s="1"/>
  <c r="AB294" i="48"/>
  <c r="AM294" i="54" s="1"/>
  <c r="AB220" i="48"/>
  <c r="AM220" i="54" s="1"/>
  <c r="AB138" i="48"/>
  <c r="AM138" i="54" s="1"/>
  <c r="AB214" i="48"/>
  <c r="AM214" i="54" s="1"/>
  <c r="AB137" i="48"/>
  <c r="AM137" i="54" s="1"/>
  <c r="AB44" i="48"/>
  <c r="AM44" i="54" s="1"/>
  <c r="AB303" i="48"/>
  <c r="AM303" i="54" s="1"/>
  <c r="AB107" i="48"/>
  <c r="AM107" i="54" s="1"/>
  <c r="AC255" i="48"/>
  <c r="AN255" i="54" s="1"/>
  <c r="AC100" i="48"/>
  <c r="AN100" i="54" s="1"/>
  <c r="AC45" i="48"/>
  <c r="AN45" i="54" s="1"/>
  <c r="AB223" i="48"/>
  <c r="AM223" i="54" s="1"/>
  <c r="AB68" i="48"/>
  <c r="AM68" i="54" s="1"/>
  <c r="AB246" i="48"/>
  <c r="AM246" i="54" s="1"/>
  <c r="AB73" i="48"/>
  <c r="AM73" i="54" s="1"/>
  <c r="AB288" i="48"/>
  <c r="AM288" i="54" s="1"/>
  <c r="AB218" i="48"/>
  <c r="AM218" i="54" s="1"/>
  <c r="AB136" i="48"/>
  <c r="AM136" i="54" s="1"/>
  <c r="AB62" i="48"/>
  <c r="AM62" i="54" s="1"/>
  <c r="AB152" i="48"/>
  <c r="AM152" i="54" s="1"/>
  <c r="AB72" i="48"/>
  <c r="AM72" i="54" s="1"/>
  <c r="AB300" i="48"/>
  <c r="AM300" i="54" s="1"/>
  <c r="AB236" i="48"/>
  <c r="AM236" i="54" s="1"/>
  <c r="AB144" i="48"/>
  <c r="AM144" i="54" s="1"/>
  <c r="AB85" i="48"/>
  <c r="AM85" i="54" s="1"/>
  <c r="AB175" i="48"/>
  <c r="AM175" i="54" s="1"/>
  <c r="AB184" i="48"/>
  <c r="AM184" i="54" s="1"/>
  <c r="AB56" i="48"/>
  <c r="AM56" i="54" s="1"/>
  <c r="AB129" i="48"/>
  <c r="AM129" i="54" s="1"/>
  <c r="AB252" i="48"/>
  <c r="AM252" i="54" s="1"/>
  <c r="AB204" i="48"/>
  <c r="AM204" i="54" s="1"/>
  <c r="AB158" i="48"/>
  <c r="AM158" i="54" s="1"/>
  <c r="AB92" i="48"/>
  <c r="AM92" i="54" s="1"/>
  <c r="AB27" i="48"/>
  <c r="AM27" i="54" s="1"/>
  <c r="AB281" i="48"/>
  <c r="AM281" i="54" s="1"/>
  <c r="AB211" i="48"/>
  <c r="AM211" i="54" s="1"/>
  <c r="AB103" i="48"/>
  <c r="AM103" i="54" s="1"/>
  <c r="AB306" i="48"/>
  <c r="AM306" i="54" s="1"/>
  <c r="AB206" i="48"/>
  <c r="AM206" i="54" s="1"/>
  <c r="AB130" i="48"/>
  <c r="AM130" i="54" s="1"/>
  <c r="AB40" i="48"/>
  <c r="AM40" i="54" s="1"/>
  <c r="AC149" i="48"/>
  <c r="AN149" i="54" s="1"/>
  <c r="AB30" i="48"/>
  <c r="AM30" i="54" s="1"/>
  <c r="AB83" i="48"/>
  <c r="AM83" i="54" s="1"/>
  <c r="AB238" i="48"/>
  <c r="AM238" i="54" s="1"/>
  <c r="AC101" i="48"/>
  <c r="AN101" i="54" s="1"/>
  <c r="AB262" i="48"/>
  <c r="AM262" i="54" s="1"/>
  <c r="AB94" i="48"/>
  <c r="AM94" i="54" s="1"/>
  <c r="AB217" i="48"/>
  <c r="AM217" i="54" s="1"/>
  <c r="AB26" i="48"/>
  <c r="AM26" i="54" s="1"/>
  <c r="AB145" i="48"/>
  <c r="AM145" i="54" s="1"/>
  <c r="AB233" i="48"/>
  <c r="AM233" i="54" s="1"/>
  <c r="AB37" i="48"/>
  <c r="AM37" i="54" s="1"/>
  <c r="AB284" i="48"/>
  <c r="AM284" i="54" s="1"/>
  <c r="AB213" i="48"/>
  <c r="AM213" i="54" s="1"/>
  <c r="AB121" i="48"/>
  <c r="AM121" i="54" s="1"/>
  <c r="AB49" i="48"/>
  <c r="AM49" i="54" s="1"/>
  <c r="AB296" i="48"/>
  <c r="AM296" i="54" s="1"/>
  <c r="AB148" i="48"/>
  <c r="AM148" i="54" s="1"/>
  <c r="AB20" i="48"/>
  <c r="AM20" i="54" s="1"/>
  <c r="AB295" i="48"/>
  <c r="AM295" i="54" s="1"/>
  <c r="AB177" i="48"/>
  <c r="AM177" i="54" s="1"/>
  <c r="AB134" i="48"/>
  <c r="AM134" i="54" s="1"/>
  <c r="AB81" i="48"/>
  <c r="AM81" i="54" s="1"/>
  <c r="AB291" i="48"/>
  <c r="AM291" i="54" s="1"/>
  <c r="AB170" i="48"/>
  <c r="AM170" i="54" s="1"/>
  <c r="AB28" i="48"/>
  <c r="AM28" i="54" s="1"/>
  <c r="AB88" i="48"/>
  <c r="AM88" i="54" s="1"/>
  <c r="AB247" i="48"/>
  <c r="AM247" i="54" s="1"/>
  <c r="AB199" i="48"/>
  <c r="AM199" i="54" s="1"/>
  <c r="AB150" i="48"/>
  <c r="AM150" i="54" s="1"/>
  <c r="AB84" i="48"/>
  <c r="AM84" i="54" s="1"/>
  <c r="AB22" i="48"/>
  <c r="AM22" i="54" s="1"/>
  <c r="AB277" i="48"/>
  <c r="AM277" i="54" s="1"/>
  <c r="AB207" i="48"/>
  <c r="AM207" i="54" s="1"/>
  <c r="AB96" i="48"/>
  <c r="AM96" i="54" s="1"/>
  <c r="AB285" i="48"/>
  <c r="AM285" i="54" s="1"/>
  <c r="AB198" i="48"/>
  <c r="AM198" i="54" s="1"/>
  <c r="AB115" i="48"/>
  <c r="AM115" i="54" s="1"/>
  <c r="AB35" i="48"/>
  <c r="AM35" i="54" s="1"/>
  <c r="AB245" i="48"/>
  <c r="AM245" i="54" s="1"/>
  <c r="AB76" i="48"/>
  <c r="AM76" i="54" s="1"/>
  <c r="AB249" i="48"/>
  <c r="AM249" i="54" s="1"/>
  <c r="AB75" i="48"/>
  <c r="AM75" i="54" s="1"/>
  <c r="AC205" i="48"/>
  <c r="AN205" i="54" s="1"/>
  <c r="AC61" i="48"/>
  <c r="AN61" i="54" s="1"/>
  <c r="AB15" i="48"/>
  <c r="AM15" i="54" s="1"/>
  <c r="AB210" i="48"/>
  <c r="AM210" i="54" s="1"/>
  <c r="AB209" i="48"/>
  <c r="AM209" i="54" s="1"/>
  <c r="AB18" i="48"/>
  <c r="AM18" i="54" s="1"/>
  <c r="CN214" i="45"/>
  <c r="BK214" i="45"/>
  <c r="CN70" i="45"/>
  <c r="BK70" i="45"/>
  <c r="CO142" i="45"/>
  <c r="DH142" i="45" s="1"/>
  <c r="BC289" i="45"/>
  <c r="AU289" i="45"/>
  <c r="CM289" i="45" s="1"/>
  <c r="BC225" i="45"/>
  <c r="AU225" i="45"/>
  <c r="CM225" i="45" s="1"/>
  <c r="BK136" i="45"/>
  <c r="CN136" i="45"/>
  <c r="BK96" i="45"/>
  <c r="CN96" i="45"/>
  <c r="BK48" i="45"/>
  <c r="CN48" i="45"/>
  <c r="AU292" i="45"/>
  <c r="CM292" i="45" s="1"/>
  <c r="BC292" i="45"/>
  <c r="AU252" i="45"/>
  <c r="CM252" i="45" s="1"/>
  <c r="BC252" i="45"/>
  <c r="AU188" i="45"/>
  <c r="CM188" i="45" s="1"/>
  <c r="BC188" i="45"/>
  <c r="AU140" i="45"/>
  <c r="CM140" i="45" s="1"/>
  <c r="BC140" i="45"/>
  <c r="AU108" i="45"/>
  <c r="CM108" i="45" s="1"/>
  <c r="BC108" i="45"/>
  <c r="AU76" i="45"/>
  <c r="CM76" i="45" s="1"/>
  <c r="BC76" i="45"/>
  <c r="BK195" i="45"/>
  <c r="CN195" i="45"/>
  <c r="BK170" i="45"/>
  <c r="CN170" i="45"/>
  <c r="BK138" i="45"/>
  <c r="CN138" i="45"/>
  <c r="BK106" i="45"/>
  <c r="CN106" i="45"/>
  <c r="BK74" i="45"/>
  <c r="CN74" i="45"/>
  <c r="BK43" i="45"/>
  <c r="CN43" i="45"/>
  <c r="CN198" i="45"/>
  <c r="BK198" i="45"/>
  <c r="CN54" i="45"/>
  <c r="BK54" i="45"/>
  <c r="BK131" i="45"/>
  <c r="CN131" i="45"/>
  <c r="CO257" i="45"/>
  <c r="CO193" i="45"/>
  <c r="BK153" i="45"/>
  <c r="CN153" i="45"/>
  <c r="BC121" i="45"/>
  <c r="AU121" i="45"/>
  <c r="CM121" i="45" s="1"/>
  <c r="BC18" i="45"/>
  <c r="AU18" i="45"/>
  <c r="CM18" i="45" s="1"/>
  <c r="AT13" i="45"/>
  <c r="AT11" i="45" s="1"/>
  <c r="AU228" i="45"/>
  <c r="CM228" i="45" s="1"/>
  <c r="BC228" i="45"/>
  <c r="CO279" i="45"/>
  <c r="CO215" i="45"/>
  <c r="DH215" i="45" s="1"/>
  <c r="BK143" i="45"/>
  <c r="CN143" i="45"/>
  <c r="BK115" i="45"/>
  <c r="CN115" i="45"/>
  <c r="CO301" i="45"/>
  <c r="CO173" i="45"/>
  <c r="BK125" i="45"/>
  <c r="CN125" i="45"/>
  <c r="BK93" i="45"/>
  <c r="CN93" i="45"/>
  <c r="BK61" i="45"/>
  <c r="CN61" i="45"/>
  <c r="BK30" i="45"/>
  <c r="CN30" i="45"/>
  <c r="CN182" i="45"/>
  <c r="BK182" i="45"/>
  <c r="CN39" i="45"/>
  <c r="BK39" i="45"/>
  <c r="BC249" i="45"/>
  <c r="AU249" i="45"/>
  <c r="CM249" i="45" s="1"/>
  <c r="BC185" i="45"/>
  <c r="AU185" i="45"/>
  <c r="CM185" i="45" s="1"/>
  <c r="BK128" i="45"/>
  <c r="CN128" i="45"/>
  <c r="BK80" i="45"/>
  <c r="CN80" i="45"/>
  <c r="BK41" i="45"/>
  <c r="CN41" i="45"/>
  <c r="AU300" i="45"/>
  <c r="CM300" i="45" s="1"/>
  <c r="BC300" i="45"/>
  <c r="AU236" i="45"/>
  <c r="CM236" i="45" s="1"/>
  <c r="BC236" i="45"/>
  <c r="AU172" i="45"/>
  <c r="CM172" i="45" s="1"/>
  <c r="BC172" i="45"/>
  <c r="AU132" i="45"/>
  <c r="CM132" i="45" s="1"/>
  <c r="BC132" i="45"/>
  <c r="AU100" i="45"/>
  <c r="CM100" i="45" s="1"/>
  <c r="BC100" i="45"/>
  <c r="AU68" i="45"/>
  <c r="CM68" i="45" s="1"/>
  <c r="BC68" i="45"/>
  <c r="AU37" i="45"/>
  <c r="CM37" i="45" s="1"/>
  <c r="BC37" i="45"/>
  <c r="BK291" i="45"/>
  <c r="CN291" i="45"/>
  <c r="CO171" i="45"/>
  <c r="DH171" i="45" s="1"/>
  <c r="BK162" i="45"/>
  <c r="CN162" i="45"/>
  <c r="BK130" i="45"/>
  <c r="CN130" i="45"/>
  <c r="CO98" i="45"/>
  <c r="BK66" i="45"/>
  <c r="CN66" i="45"/>
  <c r="BK35" i="45"/>
  <c r="CN35" i="45"/>
  <c r="BK149" i="45"/>
  <c r="CN149" i="45"/>
  <c r="BK117" i="45"/>
  <c r="CN117" i="45"/>
  <c r="BK85" i="45"/>
  <c r="CN85" i="45"/>
  <c r="BK53" i="45"/>
  <c r="CN53" i="45"/>
  <c r="BK22" i="45"/>
  <c r="CN22" i="45"/>
  <c r="CN294" i="45"/>
  <c r="BK294" i="45"/>
  <c r="CN166" i="45"/>
  <c r="BK166" i="45"/>
  <c r="CN23" i="45"/>
  <c r="BK23" i="45"/>
  <c r="BK99" i="45"/>
  <c r="CN99" i="45"/>
  <c r="BK281" i="45"/>
  <c r="CN281" i="45"/>
  <c r="BK217" i="45"/>
  <c r="CN217" i="45"/>
  <c r="BC145" i="45"/>
  <c r="AU145" i="45"/>
  <c r="CM145" i="45" s="1"/>
  <c r="BC113" i="45"/>
  <c r="AU113" i="45"/>
  <c r="CM113" i="45" s="1"/>
  <c r="BC73" i="45"/>
  <c r="AU73" i="45"/>
  <c r="CM73" i="45" s="1"/>
  <c r="BC42" i="45"/>
  <c r="AU42" i="45"/>
  <c r="CM42" i="45" s="1"/>
  <c r="BK157" i="45"/>
  <c r="CN157" i="45"/>
  <c r="BK271" i="45"/>
  <c r="CN271" i="45"/>
  <c r="BK207" i="45"/>
  <c r="CN207" i="45"/>
  <c r="BK111" i="45"/>
  <c r="CN111" i="45"/>
  <c r="AU260" i="45"/>
  <c r="CM260" i="45" s="1"/>
  <c r="BC260" i="45"/>
  <c r="BK83" i="45"/>
  <c r="CN83" i="45"/>
  <c r="CO285" i="45"/>
  <c r="CO221" i="45"/>
  <c r="DH221" i="45" s="1"/>
  <c r="CN278" i="45"/>
  <c r="BK278" i="45"/>
  <c r="CN134" i="45"/>
  <c r="BK134" i="45"/>
  <c r="BC34" i="45"/>
  <c r="AU34" i="45"/>
  <c r="CM34" i="45" s="1"/>
  <c r="BK112" i="45"/>
  <c r="CN112" i="45"/>
  <c r="BK72" i="45"/>
  <c r="CN72" i="45"/>
  <c r="BK33" i="45"/>
  <c r="CN33" i="45"/>
  <c r="AU284" i="45"/>
  <c r="CM284" i="45" s="1"/>
  <c r="BC284" i="45"/>
  <c r="AU220" i="45"/>
  <c r="CM220" i="45" s="1"/>
  <c r="BC220" i="45"/>
  <c r="AU164" i="45"/>
  <c r="CM164" i="45" s="1"/>
  <c r="BC164" i="45"/>
  <c r="AU124" i="45"/>
  <c r="CM124" i="45" s="1"/>
  <c r="BC124" i="45"/>
  <c r="AU92" i="45"/>
  <c r="CM92" i="45" s="1"/>
  <c r="BC92" i="45"/>
  <c r="AU60" i="45"/>
  <c r="CM60" i="45" s="1"/>
  <c r="BC60" i="45"/>
  <c r="AU29" i="45"/>
  <c r="CM29" i="45" s="1"/>
  <c r="BC29" i="45"/>
  <c r="AU196" i="45"/>
  <c r="CM196" i="45" s="1"/>
  <c r="BC196" i="45"/>
  <c r="BK259" i="45"/>
  <c r="CN259" i="45"/>
  <c r="BK163" i="45"/>
  <c r="CN163" i="45"/>
  <c r="BK154" i="45"/>
  <c r="CN154" i="45"/>
  <c r="BK122" i="45"/>
  <c r="CN122" i="45"/>
  <c r="BK90" i="45"/>
  <c r="CN90" i="45"/>
  <c r="BK58" i="45"/>
  <c r="CN58" i="45"/>
  <c r="BK27" i="45"/>
  <c r="CN27" i="45"/>
  <c r="CN262" i="45"/>
  <c r="BK262" i="45"/>
  <c r="CN118" i="45"/>
  <c r="BK118" i="45"/>
  <c r="BC305" i="45"/>
  <c r="AU305" i="45"/>
  <c r="CM305" i="45" s="1"/>
  <c r="BC273" i="45"/>
  <c r="AU273" i="45"/>
  <c r="CM273" i="45" s="1"/>
  <c r="BC241" i="45"/>
  <c r="AU241" i="45"/>
  <c r="CM241" i="45" s="1"/>
  <c r="BC209" i="45"/>
  <c r="AU209" i="45"/>
  <c r="CM209" i="45" s="1"/>
  <c r="BC177" i="45"/>
  <c r="AU177" i="45"/>
  <c r="CM177" i="45" s="1"/>
  <c r="BC137" i="45"/>
  <c r="AU137" i="45"/>
  <c r="CM137" i="45" s="1"/>
  <c r="BC105" i="45"/>
  <c r="AU105" i="45"/>
  <c r="CM105" i="45" s="1"/>
  <c r="BK303" i="45"/>
  <c r="CN303" i="45"/>
  <c r="CO263" i="45"/>
  <c r="CO183" i="45"/>
  <c r="DH183" i="45" s="1"/>
  <c r="CO254" i="45"/>
  <c r="CN150" i="45"/>
  <c r="BK150" i="45"/>
  <c r="BK51" i="45"/>
  <c r="CN51" i="45"/>
  <c r="BK109" i="45"/>
  <c r="CN109" i="45"/>
  <c r="BK77" i="45"/>
  <c r="CN77" i="45"/>
  <c r="BK45" i="45"/>
  <c r="CN45" i="45"/>
  <c r="CN246" i="45"/>
  <c r="BK246" i="45"/>
  <c r="CN102" i="45"/>
  <c r="BK102" i="45"/>
  <c r="BC297" i="45"/>
  <c r="AU297" i="45"/>
  <c r="CM297" i="45" s="1"/>
  <c r="BC233" i="45"/>
  <c r="AU233" i="45"/>
  <c r="CM233" i="45" s="1"/>
  <c r="BC161" i="45"/>
  <c r="AU161" i="45"/>
  <c r="CM161" i="45" s="1"/>
  <c r="BC97" i="45"/>
  <c r="AU97" i="45"/>
  <c r="CM97" i="45" s="1"/>
  <c r="CO206" i="45"/>
  <c r="BC169" i="45"/>
  <c r="AU169" i="45"/>
  <c r="CM169" i="45" s="1"/>
  <c r="BK104" i="45"/>
  <c r="CN104" i="45"/>
  <c r="BK64" i="45"/>
  <c r="CN64" i="45"/>
  <c r="BK17" i="45"/>
  <c r="CN17" i="45"/>
  <c r="AU268" i="45"/>
  <c r="CM268" i="45" s="1"/>
  <c r="BC268" i="45"/>
  <c r="AU204" i="45"/>
  <c r="CM204" i="45" s="1"/>
  <c r="BC204" i="45"/>
  <c r="AU156" i="45"/>
  <c r="CM156" i="45" s="1"/>
  <c r="BC156" i="45"/>
  <c r="AU116" i="45"/>
  <c r="CM116" i="45" s="1"/>
  <c r="BC116" i="45"/>
  <c r="AU84" i="45"/>
  <c r="CM84" i="45" s="1"/>
  <c r="BC84" i="45"/>
  <c r="AU52" i="45"/>
  <c r="CM52" i="45" s="1"/>
  <c r="BC52" i="45"/>
  <c r="AU21" i="45"/>
  <c r="BC21" i="45"/>
  <c r="BK227" i="45"/>
  <c r="CN227" i="45"/>
  <c r="BK178" i="45"/>
  <c r="CN178" i="45"/>
  <c r="BK146" i="45"/>
  <c r="CN146" i="45"/>
  <c r="BK114" i="45"/>
  <c r="CN114" i="45"/>
  <c r="BK82" i="45"/>
  <c r="CN82" i="45"/>
  <c r="BK50" i="45"/>
  <c r="CN50" i="45"/>
  <c r="BK19" i="45"/>
  <c r="CN19" i="45"/>
  <c r="CN230" i="45"/>
  <c r="BK230" i="45"/>
  <c r="CN86" i="45"/>
  <c r="BK86" i="45"/>
  <c r="BC265" i="45"/>
  <c r="AU265" i="45"/>
  <c r="CM265" i="45" s="1"/>
  <c r="BC201" i="45"/>
  <c r="AU201" i="45"/>
  <c r="CM201" i="45" s="1"/>
  <c r="CO129" i="45"/>
  <c r="BC57" i="45"/>
  <c r="AU57" i="45"/>
  <c r="CM57" i="45" s="1"/>
  <c r="CO295" i="45"/>
  <c r="BK239" i="45"/>
  <c r="CN239" i="45"/>
  <c r="BK175" i="45"/>
  <c r="CN175" i="45"/>
  <c r="CO253" i="45"/>
  <c r="CO189" i="45"/>
  <c r="DH189" i="45" s="1"/>
  <c r="BK133" i="45"/>
  <c r="CN133" i="45"/>
  <c r="BK101" i="45"/>
  <c r="CN101" i="45"/>
  <c r="BK69" i="45"/>
  <c r="CN69" i="45"/>
  <c r="BK38" i="45"/>
  <c r="CN38" i="45"/>
  <c r="Y171" i="57"/>
  <c r="F178" i="68"/>
  <c r="F226" i="68"/>
  <c r="Y219" i="57"/>
  <c r="Y155" i="57"/>
  <c r="F162" i="68"/>
  <c r="F98" i="68"/>
  <c r="Y91" i="57"/>
  <c r="X129" i="57"/>
  <c r="E136" i="68"/>
  <c r="E33" i="68"/>
  <c r="X26" i="57"/>
  <c r="D174" i="68"/>
  <c r="W167" i="57"/>
  <c r="D47" i="68"/>
  <c r="W40" i="57"/>
  <c r="V293" i="57"/>
  <c r="C300" i="68"/>
  <c r="V229" i="57"/>
  <c r="C236" i="68"/>
  <c r="C148" i="68"/>
  <c r="V141" i="57"/>
  <c r="V101" i="57"/>
  <c r="C108" i="68"/>
  <c r="V77" i="57"/>
  <c r="C84" i="68"/>
  <c r="Z262" i="54"/>
  <c r="G262" i="57"/>
  <c r="AA262" i="51" s="1"/>
  <c r="G262" i="65"/>
  <c r="D247" i="68"/>
  <c r="W240" i="57"/>
  <c r="V118" i="57"/>
  <c r="C125" i="68"/>
  <c r="Y290" i="57"/>
  <c r="F297" i="68"/>
  <c r="Y202" i="57"/>
  <c r="F209" i="68"/>
  <c r="F145" i="68"/>
  <c r="Y138" i="57"/>
  <c r="Y74" i="57"/>
  <c r="F81" i="68"/>
  <c r="X304" i="57"/>
  <c r="E311" i="68"/>
  <c r="E247" i="68"/>
  <c r="X240" i="57"/>
  <c r="E183" i="68"/>
  <c r="X176" i="57"/>
  <c r="X112" i="57"/>
  <c r="E119" i="68"/>
  <c r="E55" i="68"/>
  <c r="X48" i="57"/>
  <c r="W302" i="57"/>
  <c r="D309" i="68"/>
  <c r="W214" i="57"/>
  <c r="D221" i="68"/>
  <c r="D157" i="68"/>
  <c r="W150" i="57"/>
  <c r="W86" i="57"/>
  <c r="D93" i="68"/>
  <c r="W23" i="57"/>
  <c r="D30" i="68"/>
  <c r="V300" i="57"/>
  <c r="C307" i="68"/>
  <c r="V236" i="57"/>
  <c r="C243" i="68"/>
  <c r="V172" i="57"/>
  <c r="C179" i="68"/>
  <c r="V108" i="57"/>
  <c r="C115" i="68"/>
  <c r="Z190" i="54"/>
  <c r="G190" i="57"/>
  <c r="AA190" i="51" s="1"/>
  <c r="G190" i="65"/>
  <c r="Y268" i="57"/>
  <c r="F275" i="68"/>
  <c r="X170" i="57"/>
  <c r="E177" i="68"/>
  <c r="W17" i="57"/>
  <c r="D24" i="68"/>
  <c r="Z283" i="54"/>
  <c r="G283" i="65"/>
  <c r="G283" i="57"/>
  <c r="AA283" i="51" s="1"/>
  <c r="Z251" i="54"/>
  <c r="G251" i="65"/>
  <c r="G251" i="57"/>
  <c r="AA251" i="51" s="1"/>
  <c r="Z219" i="54"/>
  <c r="G219" i="65"/>
  <c r="G219" i="57"/>
  <c r="AA219" i="51" s="1"/>
  <c r="Z187" i="54"/>
  <c r="G187" i="65"/>
  <c r="G187" i="57"/>
  <c r="AA187" i="51" s="1"/>
  <c r="Z155" i="54"/>
  <c r="G155" i="65"/>
  <c r="G155" i="57"/>
  <c r="AA155" i="51" s="1"/>
  <c r="Z123" i="54"/>
  <c r="G123" i="65"/>
  <c r="G123" i="57"/>
  <c r="AA123" i="51" s="1"/>
  <c r="Z91" i="54"/>
  <c r="G91" i="65"/>
  <c r="G91" i="57"/>
  <c r="AA91" i="51" s="1"/>
  <c r="Z59" i="54"/>
  <c r="G59" i="57"/>
  <c r="AA59" i="51" s="1"/>
  <c r="G59" i="65"/>
  <c r="Z28" i="54"/>
  <c r="G28" i="65"/>
  <c r="G28" i="57"/>
  <c r="AA28" i="51" s="1"/>
  <c r="F280" i="68"/>
  <c r="Y273" i="57"/>
  <c r="Y209" i="57"/>
  <c r="F216" i="68"/>
  <c r="F152" i="68"/>
  <c r="Y145" i="57"/>
  <c r="Y81" i="57"/>
  <c r="F88" i="68"/>
  <c r="F25" i="68"/>
  <c r="Y18" i="57"/>
  <c r="X247" i="57"/>
  <c r="E254" i="68"/>
  <c r="X183" i="57"/>
  <c r="E190" i="68"/>
  <c r="X119" i="57"/>
  <c r="E126" i="68"/>
  <c r="W285" i="57"/>
  <c r="D292" i="68"/>
  <c r="D188" i="68"/>
  <c r="W181" i="57"/>
  <c r="W157" i="57"/>
  <c r="D164" i="68"/>
  <c r="W77" i="57"/>
  <c r="D84" i="68"/>
  <c r="W30" i="57"/>
  <c r="D37" i="68"/>
  <c r="C266" i="68"/>
  <c r="V259" i="57"/>
  <c r="C202" i="68"/>
  <c r="V195" i="57"/>
  <c r="C138" i="68"/>
  <c r="V131" i="57"/>
  <c r="C74" i="68"/>
  <c r="V67" i="57"/>
  <c r="F44" i="68"/>
  <c r="Y37" i="57"/>
  <c r="D223" i="68"/>
  <c r="W216" i="57"/>
  <c r="V206" i="57"/>
  <c r="C213" i="68"/>
  <c r="C53" i="68"/>
  <c r="V46" i="57"/>
  <c r="F303" i="68"/>
  <c r="Y296" i="57"/>
  <c r="Y192" i="57"/>
  <c r="F199" i="68"/>
  <c r="Y168" i="57"/>
  <c r="F175" i="68"/>
  <c r="Y128" i="57"/>
  <c r="F135" i="68"/>
  <c r="Y104" i="57"/>
  <c r="F111" i="68"/>
  <c r="Y64" i="57"/>
  <c r="F71" i="68"/>
  <c r="F48" i="68"/>
  <c r="Y41" i="57"/>
  <c r="D44" i="68"/>
  <c r="W37" i="57"/>
  <c r="C297" i="68"/>
  <c r="V290" i="57"/>
  <c r="C273" i="68"/>
  <c r="V266" i="57"/>
  <c r="C233" i="68"/>
  <c r="V226" i="57"/>
  <c r="C81" i="68"/>
  <c r="V74" i="57"/>
  <c r="Z278" i="54"/>
  <c r="G278" i="65"/>
  <c r="G278" i="57"/>
  <c r="AA278" i="51" s="1"/>
  <c r="Z102" i="54"/>
  <c r="G102" i="57"/>
  <c r="AA102" i="51" s="1"/>
  <c r="G102" i="65"/>
  <c r="D287" i="68"/>
  <c r="W280" i="57"/>
  <c r="C309" i="68"/>
  <c r="V302" i="57"/>
  <c r="C149" i="68"/>
  <c r="V142" i="57"/>
  <c r="Y271" i="57"/>
  <c r="F278" i="68"/>
  <c r="F254" i="68"/>
  <c r="Y247" i="57"/>
  <c r="Y79" i="57"/>
  <c r="F86" i="68"/>
  <c r="Y55" i="57"/>
  <c r="F62" i="68"/>
  <c r="E292" i="68"/>
  <c r="X285" i="57"/>
  <c r="E228" i="68"/>
  <c r="X221" i="57"/>
  <c r="E164" i="68"/>
  <c r="X157" i="57"/>
  <c r="E100" i="68"/>
  <c r="X93" i="57"/>
  <c r="X30" i="57"/>
  <c r="E37" i="68"/>
  <c r="D266" i="68"/>
  <c r="W259" i="57"/>
  <c r="W219" i="57"/>
  <c r="D226" i="68"/>
  <c r="D202" i="68"/>
  <c r="W195" i="57"/>
  <c r="D162" i="68"/>
  <c r="W155" i="57"/>
  <c r="W131" i="57"/>
  <c r="D138" i="68"/>
  <c r="V297" i="57"/>
  <c r="C304" i="68"/>
  <c r="C240" i="68"/>
  <c r="V233" i="57"/>
  <c r="V193" i="57"/>
  <c r="C200" i="68"/>
  <c r="C176" i="68"/>
  <c r="V169" i="57"/>
  <c r="V105" i="57"/>
  <c r="C112" i="68"/>
  <c r="C49" i="68"/>
  <c r="V42" i="57"/>
  <c r="X19" i="57"/>
  <c r="E26" i="68"/>
  <c r="W104" i="57"/>
  <c r="D111" i="68"/>
  <c r="Z288" i="54"/>
  <c r="G288" i="57"/>
  <c r="AA288" i="51" s="1"/>
  <c r="G288" i="65"/>
  <c r="Z256" i="54"/>
  <c r="G256" i="57"/>
  <c r="AA256" i="51" s="1"/>
  <c r="G256" i="65"/>
  <c r="Z224" i="54"/>
  <c r="G224" i="57"/>
  <c r="AA224" i="51" s="1"/>
  <c r="G224" i="65"/>
  <c r="Z192" i="54"/>
  <c r="G192" i="57"/>
  <c r="AA192" i="51" s="1"/>
  <c r="G192" i="65"/>
  <c r="Z160" i="54"/>
  <c r="G160" i="65"/>
  <c r="G160" i="57"/>
  <c r="AA160" i="51" s="1"/>
  <c r="G128" i="65"/>
  <c r="Z128" i="54"/>
  <c r="G128" i="57"/>
  <c r="AA128" i="51" s="1"/>
  <c r="G96" i="57"/>
  <c r="AA96" i="51" s="1"/>
  <c r="G96" i="65"/>
  <c r="Z96" i="54"/>
  <c r="G64" i="65"/>
  <c r="Z64" i="54"/>
  <c r="G64" i="57"/>
  <c r="AA64" i="51" s="1"/>
  <c r="G33" i="65"/>
  <c r="Z33" i="54"/>
  <c r="G33" i="57"/>
  <c r="Y278" i="57"/>
  <c r="F285" i="68"/>
  <c r="F261" i="68"/>
  <c r="Y254" i="57"/>
  <c r="Y190" i="57"/>
  <c r="F197" i="68"/>
  <c r="Y126" i="57"/>
  <c r="F133" i="68"/>
  <c r="Y62" i="57"/>
  <c r="F69" i="68"/>
  <c r="X268" i="57"/>
  <c r="E275" i="68"/>
  <c r="E147" i="68"/>
  <c r="X140" i="57"/>
  <c r="E83" i="68"/>
  <c r="X76" i="57"/>
  <c r="W242" i="57"/>
  <c r="D249" i="68"/>
  <c r="W178" i="57"/>
  <c r="D185" i="68"/>
  <c r="D121" i="68"/>
  <c r="W114" i="57"/>
  <c r="W74" i="57"/>
  <c r="D81" i="68"/>
  <c r="D57" i="68"/>
  <c r="W50" i="57"/>
  <c r="C287" i="68"/>
  <c r="V280" i="57"/>
  <c r="C223" i="68"/>
  <c r="V216" i="57"/>
  <c r="C159" i="68"/>
  <c r="V152" i="57"/>
  <c r="C95" i="68"/>
  <c r="V88" i="57"/>
  <c r="V25" i="57"/>
  <c r="C32" i="68"/>
  <c r="Z222" i="54"/>
  <c r="G222" i="65"/>
  <c r="G222" i="57"/>
  <c r="AA222" i="51" s="1"/>
  <c r="G15" i="65"/>
  <c r="Z15" i="54"/>
  <c r="G7" i="54"/>
  <c r="G15" i="57"/>
  <c r="G13" i="54"/>
  <c r="Y172" i="57"/>
  <c r="F179" i="68"/>
  <c r="V238" i="57"/>
  <c r="C245" i="68"/>
  <c r="Z287" i="54"/>
  <c r="G287" i="65"/>
  <c r="G287" i="57"/>
  <c r="AA287" i="51" s="1"/>
  <c r="Z255" i="54"/>
  <c r="G255" i="57"/>
  <c r="AA255" i="51" s="1"/>
  <c r="G255" i="65"/>
  <c r="Z223" i="54"/>
  <c r="G223" i="57"/>
  <c r="AA223" i="51" s="1"/>
  <c r="G223" i="65"/>
  <c r="Z191" i="54"/>
  <c r="G191" i="57"/>
  <c r="AA191" i="51" s="1"/>
  <c r="G191" i="65"/>
  <c r="Z159" i="54"/>
  <c r="G159" i="65"/>
  <c r="G159" i="57"/>
  <c r="AA159" i="51" s="1"/>
  <c r="Z127" i="54"/>
  <c r="G127" i="57"/>
  <c r="AA127" i="51" s="1"/>
  <c r="G127" i="65"/>
  <c r="Z95" i="54"/>
  <c r="G95" i="57"/>
  <c r="AA95" i="51" s="1"/>
  <c r="G95" i="65"/>
  <c r="G63" i="65"/>
  <c r="Z63" i="54"/>
  <c r="G63" i="57"/>
  <c r="AA63" i="51" s="1"/>
  <c r="G32" i="65"/>
  <c r="Z32" i="54"/>
  <c r="G32" i="57"/>
  <c r="AA32" i="51" s="1"/>
  <c r="Y253" i="57"/>
  <c r="F260" i="68"/>
  <c r="Y189" i="57"/>
  <c r="F196" i="68"/>
  <c r="Y125" i="57"/>
  <c r="F132" i="68"/>
  <c r="Y61" i="57"/>
  <c r="F68" i="68"/>
  <c r="E170" i="68"/>
  <c r="X163" i="57"/>
  <c r="E66" i="68"/>
  <c r="X59" i="57"/>
  <c r="D272" i="68"/>
  <c r="W265" i="57"/>
  <c r="D208" i="68"/>
  <c r="W201" i="57"/>
  <c r="W73" i="57"/>
  <c r="D80" i="68"/>
  <c r="C310" i="68"/>
  <c r="V303" i="57"/>
  <c r="C246" i="68"/>
  <c r="V239" i="57"/>
  <c r="C182" i="68"/>
  <c r="V175" i="57"/>
  <c r="C118" i="68"/>
  <c r="V111" i="57"/>
  <c r="C54" i="68"/>
  <c r="V47" i="57"/>
  <c r="F75" i="68"/>
  <c r="Y68" i="57"/>
  <c r="E217" i="68"/>
  <c r="X210" i="57"/>
  <c r="W112" i="57"/>
  <c r="D119" i="68"/>
  <c r="X135" i="57"/>
  <c r="E142" i="68"/>
  <c r="Y283" i="57"/>
  <c r="F290" i="68"/>
  <c r="F35" i="68"/>
  <c r="Y28" i="57"/>
  <c r="X257" i="57"/>
  <c r="E264" i="68"/>
  <c r="E224" i="68"/>
  <c r="X217" i="57"/>
  <c r="X153" i="57"/>
  <c r="E160" i="68"/>
  <c r="X89" i="57"/>
  <c r="E96" i="68"/>
  <c r="D302" i="68"/>
  <c r="W295" i="57"/>
  <c r="W191" i="57"/>
  <c r="D198" i="68"/>
  <c r="V269" i="57"/>
  <c r="C276" i="68"/>
  <c r="C212" i="68"/>
  <c r="V205" i="57"/>
  <c r="V165" i="57"/>
  <c r="C172" i="68"/>
  <c r="Z86" i="54"/>
  <c r="G86" i="65"/>
  <c r="G86" i="57"/>
  <c r="AA86" i="51" s="1"/>
  <c r="F99" i="68"/>
  <c r="Y92" i="57"/>
  <c r="C285" i="68"/>
  <c r="V278" i="57"/>
  <c r="Y266" i="57"/>
  <c r="F273" i="68"/>
  <c r="Z293" i="54"/>
  <c r="G293" i="65"/>
  <c r="G293" i="57"/>
  <c r="AA293" i="51" s="1"/>
  <c r="Z261" i="54"/>
  <c r="G261" i="65"/>
  <c r="G261" i="57"/>
  <c r="AA261" i="51" s="1"/>
  <c r="Z229" i="54"/>
  <c r="G229" i="65"/>
  <c r="G229" i="57"/>
  <c r="AA229" i="51" s="1"/>
  <c r="Z197" i="54"/>
  <c r="G197" i="65"/>
  <c r="G197" i="57"/>
  <c r="AA197" i="51" s="1"/>
  <c r="Z165" i="54"/>
  <c r="G165" i="65"/>
  <c r="G165" i="57"/>
  <c r="AA165" i="51" s="1"/>
  <c r="Z133" i="54"/>
  <c r="G133" i="65"/>
  <c r="G133" i="57"/>
  <c r="AA133" i="51" s="1"/>
  <c r="Z101" i="54"/>
  <c r="G101" i="65"/>
  <c r="G101" i="57"/>
  <c r="AA101" i="51" s="1"/>
  <c r="Z69" i="54"/>
  <c r="G69" i="65"/>
  <c r="G69" i="57"/>
  <c r="AA69" i="51" s="1"/>
  <c r="Z38" i="54"/>
  <c r="G38" i="57"/>
  <c r="AA38" i="51" s="1"/>
  <c r="G38" i="65"/>
  <c r="F266" i="68"/>
  <c r="Y259" i="57"/>
  <c r="Y195" i="57"/>
  <c r="F202" i="68"/>
  <c r="Y131" i="57"/>
  <c r="F138" i="68"/>
  <c r="Y67" i="57"/>
  <c r="F74" i="68"/>
  <c r="X297" i="57"/>
  <c r="E304" i="68"/>
  <c r="X233" i="57"/>
  <c r="E240" i="68"/>
  <c r="X193" i="57"/>
  <c r="E200" i="68"/>
  <c r="E176" i="68"/>
  <c r="X169" i="57"/>
  <c r="E112" i="68"/>
  <c r="X105" i="57"/>
  <c r="E72" i="68"/>
  <c r="X65" i="57"/>
  <c r="X42" i="57"/>
  <c r="E49" i="68"/>
  <c r="D238" i="68"/>
  <c r="W231" i="57"/>
  <c r="D214" i="68"/>
  <c r="W207" i="57"/>
  <c r="D110" i="68"/>
  <c r="W103" i="57"/>
  <c r="V245" i="57"/>
  <c r="C252" i="68"/>
  <c r="V181" i="57"/>
  <c r="C188" i="68"/>
  <c r="V117" i="57"/>
  <c r="C124" i="68"/>
  <c r="X202" i="57"/>
  <c r="E209" i="68"/>
  <c r="D87" i="68"/>
  <c r="W80" i="57"/>
  <c r="Z300" i="54"/>
  <c r="G300" i="65"/>
  <c r="G300" i="57"/>
  <c r="AA300" i="51" s="1"/>
  <c r="Z268" i="54"/>
  <c r="G268" i="65"/>
  <c r="G268" i="57"/>
  <c r="AA268" i="51" s="1"/>
  <c r="Z236" i="54"/>
  <c r="G236" i="65"/>
  <c r="G236" i="57"/>
  <c r="AA236" i="51" s="1"/>
  <c r="Z204" i="54"/>
  <c r="G204" i="65"/>
  <c r="G204" i="57"/>
  <c r="AA204" i="51" s="1"/>
  <c r="Z172" i="54"/>
  <c r="G172" i="65"/>
  <c r="G172" i="57"/>
  <c r="AA172" i="51" s="1"/>
  <c r="Z140" i="54"/>
  <c r="G140" i="65"/>
  <c r="G140" i="57"/>
  <c r="AA140" i="51" s="1"/>
  <c r="Z108" i="54"/>
  <c r="G108" i="65"/>
  <c r="G108" i="57"/>
  <c r="AA108" i="51" s="1"/>
  <c r="G76" i="65"/>
  <c r="Z76" i="54"/>
  <c r="G76" i="57"/>
  <c r="AA76" i="51" s="1"/>
  <c r="Y306" i="57"/>
  <c r="F313" i="68"/>
  <c r="Y178" i="57"/>
  <c r="F185" i="68"/>
  <c r="F121" i="68"/>
  <c r="Y114" i="57"/>
  <c r="Y50" i="57"/>
  <c r="F57" i="68"/>
  <c r="X152" i="57"/>
  <c r="E159" i="68"/>
  <c r="E95" i="68"/>
  <c r="X88" i="57"/>
  <c r="X25" i="57"/>
  <c r="E32" i="68"/>
  <c r="D285" i="68"/>
  <c r="W278" i="57"/>
  <c r="D197" i="68"/>
  <c r="W190" i="57"/>
  <c r="D133" i="68"/>
  <c r="W126" i="57"/>
  <c r="W62" i="57"/>
  <c r="D69" i="68"/>
  <c r="C28" i="68"/>
  <c r="V21" i="57"/>
  <c r="Y116" i="57"/>
  <c r="F123" i="68"/>
  <c r="D303" i="68"/>
  <c r="W296" i="57"/>
  <c r="F256" i="68"/>
  <c r="Y249" i="57"/>
  <c r="Y185" i="57"/>
  <c r="F192" i="68"/>
  <c r="F128" i="68"/>
  <c r="Y121" i="57"/>
  <c r="Y57" i="57"/>
  <c r="F64" i="68"/>
  <c r="E166" i="68"/>
  <c r="X159" i="57"/>
  <c r="E102" i="68"/>
  <c r="X95" i="57"/>
  <c r="X55" i="57"/>
  <c r="E62" i="68"/>
  <c r="W261" i="57"/>
  <c r="D268" i="68"/>
  <c r="D204" i="68"/>
  <c r="W197" i="57"/>
  <c r="D140" i="68"/>
  <c r="W133" i="57"/>
  <c r="D100" i="68"/>
  <c r="W93" i="57"/>
  <c r="W69" i="57"/>
  <c r="D76" i="68"/>
  <c r="C178" i="68"/>
  <c r="V171" i="57"/>
  <c r="V107" i="57"/>
  <c r="C114" i="68"/>
  <c r="Z206" i="54"/>
  <c r="G206" i="65"/>
  <c r="G206" i="57"/>
  <c r="AA206" i="51" s="1"/>
  <c r="Y284" i="57"/>
  <c r="F291" i="68"/>
  <c r="X194" i="57"/>
  <c r="E201" i="68"/>
  <c r="D48" i="68"/>
  <c r="W41" i="57"/>
  <c r="Z282" i="54"/>
  <c r="G282" i="65"/>
  <c r="G282" i="57"/>
  <c r="AA282" i="51" s="1"/>
  <c r="Z250" i="54"/>
  <c r="G250" i="65"/>
  <c r="G250" i="57"/>
  <c r="AA250" i="51" s="1"/>
  <c r="Z218" i="54"/>
  <c r="G218" i="65"/>
  <c r="G218" i="57"/>
  <c r="AA218" i="51" s="1"/>
  <c r="Z186" i="54"/>
  <c r="G186" i="65"/>
  <c r="G186" i="57"/>
  <c r="AA186" i="51" s="1"/>
  <c r="Z154" i="54"/>
  <c r="G154" i="65"/>
  <c r="G154" i="57"/>
  <c r="AA154" i="51" s="1"/>
  <c r="Z122" i="54"/>
  <c r="G122" i="57"/>
  <c r="AA122" i="51" s="1"/>
  <c r="G122" i="65"/>
  <c r="Z90" i="54"/>
  <c r="G90" i="65"/>
  <c r="G90" i="57"/>
  <c r="AA90" i="51" s="1"/>
  <c r="Z58" i="54"/>
  <c r="G58" i="57"/>
  <c r="AA58" i="51" s="1"/>
  <c r="G58" i="65"/>
  <c r="Z27" i="54"/>
  <c r="G27" i="65"/>
  <c r="G27" i="57"/>
  <c r="AA27" i="51" s="1"/>
  <c r="F239" i="68"/>
  <c r="Y232" i="57"/>
  <c r="Y208" i="57"/>
  <c r="F215" i="68"/>
  <c r="Y144" i="57"/>
  <c r="F151" i="68"/>
  <c r="Y80" i="57"/>
  <c r="F87" i="68"/>
  <c r="Y17" i="57"/>
  <c r="F24" i="68"/>
  <c r="X270" i="57"/>
  <c r="E277" i="68"/>
  <c r="X246" i="57"/>
  <c r="E253" i="68"/>
  <c r="X206" i="57"/>
  <c r="E213" i="68"/>
  <c r="E189" i="68"/>
  <c r="X182" i="57"/>
  <c r="X142" i="57"/>
  <c r="E149" i="68"/>
  <c r="X118" i="57"/>
  <c r="E125" i="68"/>
  <c r="E85" i="68"/>
  <c r="X78" i="57"/>
  <c r="X54" i="57"/>
  <c r="E61" i="68"/>
  <c r="X39" i="57"/>
  <c r="E46" i="68"/>
  <c r="D299" i="68"/>
  <c r="W292" i="57"/>
  <c r="D275" i="68"/>
  <c r="W268" i="57"/>
  <c r="W228" i="57"/>
  <c r="D235" i="68"/>
  <c r="W204" i="57"/>
  <c r="D211" i="68"/>
  <c r="D171" i="68"/>
  <c r="W164" i="57"/>
  <c r="D147" i="68"/>
  <c r="W140" i="57"/>
  <c r="W100" i="57"/>
  <c r="D107" i="68"/>
  <c r="W76" i="57"/>
  <c r="D83" i="68"/>
  <c r="C313" i="68"/>
  <c r="V306" i="57"/>
  <c r="V242" i="57"/>
  <c r="C249" i="68"/>
  <c r="C209" i="68"/>
  <c r="V202" i="57"/>
  <c r="V178" i="57"/>
  <c r="C185" i="68"/>
  <c r="C145" i="68"/>
  <c r="V138" i="57"/>
  <c r="C121" i="68"/>
  <c r="V114" i="57"/>
  <c r="C57" i="68"/>
  <c r="V50" i="57"/>
  <c r="F107" i="68"/>
  <c r="Y100" i="57"/>
  <c r="E249" i="68"/>
  <c r="X242" i="57"/>
  <c r="W120" i="57"/>
  <c r="D127" i="68"/>
  <c r="Z305" i="54"/>
  <c r="G305" i="57"/>
  <c r="AA305" i="51" s="1"/>
  <c r="G305" i="65"/>
  <c r="Z273" i="54"/>
  <c r="G273" i="57"/>
  <c r="AA273" i="51" s="1"/>
  <c r="G273" i="65"/>
  <c r="Z241" i="54"/>
  <c r="G241" i="57"/>
  <c r="AA241" i="51" s="1"/>
  <c r="G241" i="65"/>
  <c r="Z209" i="54"/>
  <c r="G209" i="57"/>
  <c r="AA209" i="51" s="1"/>
  <c r="G209" i="65"/>
  <c r="G177" i="65"/>
  <c r="Z177" i="54"/>
  <c r="G177" i="57"/>
  <c r="AA177" i="51" s="1"/>
  <c r="Z145" i="54"/>
  <c r="G145" i="65"/>
  <c r="G145" i="57"/>
  <c r="AA145" i="51" s="1"/>
  <c r="Z113" i="54"/>
  <c r="G113" i="65"/>
  <c r="G113" i="57"/>
  <c r="AA113" i="51" s="1"/>
  <c r="G81" i="65"/>
  <c r="Z81" i="54"/>
  <c r="G81" i="57"/>
  <c r="AA81" i="51" s="1"/>
  <c r="Z49" i="54"/>
  <c r="G49" i="65"/>
  <c r="G49" i="57"/>
  <c r="AA49" i="51" s="1"/>
  <c r="Z18" i="54"/>
  <c r="G18" i="57"/>
  <c r="AA18" i="51" s="1"/>
  <c r="G18" i="65"/>
  <c r="F294" i="68"/>
  <c r="Y287" i="57"/>
  <c r="F230" i="68"/>
  <c r="Y223" i="57"/>
  <c r="Y183" i="57"/>
  <c r="F190" i="68"/>
  <c r="Y119" i="57"/>
  <c r="F126" i="68"/>
  <c r="Y32" i="57"/>
  <c r="F39" i="68"/>
  <c r="E268" i="68"/>
  <c r="X261" i="57"/>
  <c r="X197" i="57"/>
  <c r="E204" i="68"/>
  <c r="E140" i="68"/>
  <c r="X133" i="57"/>
  <c r="E76" i="68"/>
  <c r="X69" i="57"/>
  <c r="W299" i="57"/>
  <c r="D306" i="68"/>
  <c r="D242" i="68"/>
  <c r="W235" i="57"/>
  <c r="W171" i="57"/>
  <c r="D178" i="68"/>
  <c r="D114" i="68"/>
  <c r="W107" i="57"/>
  <c r="W67" i="57"/>
  <c r="D74" i="68"/>
  <c r="D51" i="68"/>
  <c r="W44" i="57"/>
  <c r="V209" i="57"/>
  <c r="C216" i="68"/>
  <c r="C152" i="68"/>
  <c r="V145" i="57"/>
  <c r="V18" i="57"/>
  <c r="C25" i="68"/>
  <c r="E241" i="68"/>
  <c r="X234" i="57"/>
  <c r="C165" i="68"/>
  <c r="V158" i="57"/>
  <c r="V15" i="65"/>
  <c r="C7" i="65"/>
  <c r="C13" i="65"/>
  <c r="V13" i="65" s="1"/>
  <c r="Y230" i="57"/>
  <c r="F237" i="68"/>
  <c r="Y166" i="57"/>
  <c r="F173" i="68"/>
  <c r="F109" i="68"/>
  <c r="Y102" i="57"/>
  <c r="Y39" i="57"/>
  <c r="F46" i="68"/>
  <c r="X244" i="57"/>
  <c r="E251" i="68"/>
  <c r="E211" i="68"/>
  <c r="X204" i="57"/>
  <c r="X180" i="57"/>
  <c r="E187" i="68"/>
  <c r="X116" i="57"/>
  <c r="E123" i="68"/>
  <c r="E59" i="68"/>
  <c r="X52" i="57"/>
  <c r="D313" i="68"/>
  <c r="W306" i="57"/>
  <c r="D289" i="68"/>
  <c r="W282" i="57"/>
  <c r="W218" i="57"/>
  <c r="D225" i="68"/>
  <c r="W154" i="57"/>
  <c r="D161" i="68"/>
  <c r="W90" i="57"/>
  <c r="D97" i="68"/>
  <c r="W27" i="57"/>
  <c r="D34" i="68"/>
  <c r="V256" i="57"/>
  <c r="C263" i="68"/>
  <c r="V192" i="57"/>
  <c r="C199" i="68"/>
  <c r="V128" i="57"/>
  <c r="C135" i="68"/>
  <c r="V64" i="57"/>
  <c r="C71" i="68"/>
  <c r="E73" i="68"/>
  <c r="X66" i="57"/>
  <c r="W200" i="57"/>
  <c r="D207" i="68"/>
  <c r="Y293" i="57"/>
  <c r="F300" i="68"/>
  <c r="F236" i="68"/>
  <c r="Y229" i="57"/>
  <c r="Y165" i="57"/>
  <c r="F172" i="68"/>
  <c r="F108" i="68"/>
  <c r="Y101" i="57"/>
  <c r="Y38" i="57"/>
  <c r="F45" i="68"/>
  <c r="E298" i="68"/>
  <c r="X291" i="57"/>
  <c r="X227" i="57"/>
  <c r="E234" i="68"/>
  <c r="X99" i="57"/>
  <c r="E106" i="68"/>
  <c r="X36" i="57"/>
  <c r="E43" i="68"/>
  <c r="W305" i="57"/>
  <c r="D312" i="68"/>
  <c r="D248" i="68"/>
  <c r="W241" i="57"/>
  <c r="W177" i="57"/>
  <c r="D184" i="68"/>
  <c r="W137" i="57"/>
  <c r="D144" i="68"/>
  <c r="D56" i="68"/>
  <c r="W49" i="57"/>
  <c r="C286" i="68"/>
  <c r="V279" i="57"/>
  <c r="C222" i="68"/>
  <c r="V215" i="57"/>
  <c r="V151" i="57"/>
  <c r="C158" i="68"/>
  <c r="V24" i="57"/>
  <c r="C31" i="68"/>
  <c r="Z238" i="54"/>
  <c r="G238" i="65"/>
  <c r="G238" i="57"/>
  <c r="AA238" i="51" s="1"/>
  <c r="Z31" i="54"/>
  <c r="G31" i="65"/>
  <c r="G31" i="57"/>
  <c r="AA31" i="51" s="1"/>
  <c r="Y180" i="57"/>
  <c r="F187" i="68"/>
  <c r="E81" i="68"/>
  <c r="X74" i="57"/>
  <c r="C237" i="68"/>
  <c r="V230" i="57"/>
  <c r="X273" i="57"/>
  <c r="E280" i="68"/>
  <c r="W271" i="57"/>
  <c r="D278" i="68"/>
  <c r="Y204" i="57"/>
  <c r="F211" i="68"/>
  <c r="F249" i="68"/>
  <c r="Y242" i="57"/>
  <c r="E287" i="68"/>
  <c r="X280" i="57"/>
  <c r="E135" i="68"/>
  <c r="X128" i="57"/>
  <c r="D301" i="68"/>
  <c r="W294" i="57"/>
  <c r="D237" i="68"/>
  <c r="W230" i="57"/>
  <c r="D109" i="68"/>
  <c r="W102" i="57"/>
  <c r="C91" i="68"/>
  <c r="V84" i="57"/>
  <c r="X290" i="57"/>
  <c r="E297" i="68"/>
  <c r="W128" i="57"/>
  <c r="D135" i="68"/>
  <c r="Z243" i="54"/>
  <c r="G243" i="65"/>
  <c r="G243" i="57"/>
  <c r="AA243" i="51" s="1"/>
  <c r="Z147" i="54"/>
  <c r="G147" i="65"/>
  <c r="G147" i="57"/>
  <c r="AA147" i="51" s="1"/>
  <c r="F296" i="68"/>
  <c r="Y289" i="57"/>
  <c r="Y225" i="57"/>
  <c r="F232" i="68"/>
  <c r="X32" i="57"/>
  <c r="E39" i="68"/>
  <c r="D180" i="68"/>
  <c r="W173" i="57"/>
  <c r="V235" i="57"/>
  <c r="C242" i="68"/>
  <c r="V150" i="57"/>
  <c r="C157" i="68"/>
  <c r="Y120" i="57"/>
  <c r="F127" i="68"/>
  <c r="X222" i="57"/>
  <c r="E229" i="68"/>
  <c r="X31" i="57"/>
  <c r="E38" i="68"/>
  <c r="W244" i="57"/>
  <c r="D251" i="68"/>
  <c r="Z230" i="54"/>
  <c r="G230" i="57"/>
  <c r="AA230" i="51" s="1"/>
  <c r="G230" i="65"/>
  <c r="Y199" i="57"/>
  <c r="F206" i="68"/>
  <c r="Z216" i="54"/>
  <c r="G216" i="57"/>
  <c r="AA216" i="51" s="1"/>
  <c r="G216" i="65"/>
  <c r="G88" i="65"/>
  <c r="G88" i="57"/>
  <c r="AA88" i="51" s="1"/>
  <c r="Z88" i="54"/>
  <c r="Y294" i="57"/>
  <c r="F301" i="68"/>
  <c r="X156" i="57"/>
  <c r="E163" i="68"/>
  <c r="W130" i="57"/>
  <c r="D137" i="68"/>
  <c r="V168" i="57"/>
  <c r="C175" i="68"/>
  <c r="Z166" i="54"/>
  <c r="G166" i="57"/>
  <c r="AA166" i="51" s="1"/>
  <c r="G166" i="65"/>
  <c r="Z215" i="54"/>
  <c r="G215" i="57"/>
  <c r="AA215" i="51" s="1"/>
  <c r="G215" i="65"/>
  <c r="Z87" i="54"/>
  <c r="G87" i="65"/>
  <c r="G87" i="57"/>
  <c r="AA87" i="51" s="1"/>
  <c r="Y77" i="57"/>
  <c r="F84" i="68"/>
  <c r="X267" i="57"/>
  <c r="E274" i="68"/>
  <c r="E146" i="68"/>
  <c r="X139" i="57"/>
  <c r="D120" i="68"/>
  <c r="W113" i="57"/>
  <c r="D33" i="68"/>
  <c r="W26" i="57"/>
  <c r="C94" i="68"/>
  <c r="V87" i="57"/>
  <c r="C85" i="68"/>
  <c r="V78" i="57"/>
  <c r="Z285" i="54"/>
  <c r="G285" i="65"/>
  <c r="G285" i="57"/>
  <c r="AA285" i="51" s="1"/>
  <c r="Z253" i="54"/>
  <c r="G253" i="57"/>
  <c r="AA253" i="51" s="1"/>
  <c r="G253" i="65"/>
  <c r="Z221" i="54"/>
  <c r="G221" i="57"/>
  <c r="AA221" i="51" s="1"/>
  <c r="G221" i="65"/>
  <c r="Z189" i="54"/>
  <c r="G189" i="65"/>
  <c r="G189" i="57"/>
  <c r="AA189" i="51" s="1"/>
  <c r="Z157" i="54"/>
  <c r="G157" i="57"/>
  <c r="AA157" i="51" s="1"/>
  <c r="G157" i="65"/>
  <c r="Z125" i="54"/>
  <c r="G125" i="65"/>
  <c r="G125" i="57"/>
  <c r="AA125" i="51" s="1"/>
  <c r="Z93" i="54"/>
  <c r="G93" i="57"/>
  <c r="AA93" i="51" s="1"/>
  <c r="G93" i="65"/>
  <c r="Z61" i="54"/>
  <c r="G61" i="65"/>
  <c r="G61" i="57"/>
  <c r="AA61" i="51" s="1"/>
  <c r="Z30" i="54"/>
  <c r="G30" i="57"/>
  <c r="AA30" i="51" s="1"/>
  <c r="G30" i="65"/>
  <c r="Y275" i="57"/>
  <c r="F282" i="68"/>
  <c r="Y211" i="57"/>
  <c r="F218" i="68"/>
  <c r="Y147" i="57"/>
  <c r="F154" i="68"/>
  <c r="F90" i="68"/>
  <c r="Y83" i="57"/>
  <c r="F27" i="68"/>
  <c r="Y20" i="57"/>
  <c r="X249" i="57"/>
  <c r="E256" i="68"/>
  <c r="E216" i="68"/>
  <c r="X209" i="57"/>
  <c r="E192" i="68"/>
  <c r="X185" i="57"/>
  <c r="X121" i="57"/>
  <c r="E128" i="68"/>
  <c r="X57" i="57"/>
  <c r="E64" i="68"/>
  <c r="D294" i="68"/>
  <c r="W287" i="57"/>
  <c r="D190" i="68"/>
  <c r="W183" i="57"/>
  <c r="W159" i="57"/>
  <c r="D166" i="68"/>
  <c r="W95" i="57"/>
  <c r="D102" i="68"/>
  <c r="W55" i="57"/>
  <c r="D62" i="68"/>
  <c r="D39" i="68"/>
  <c r="W32" i="57"/>
  <c r="C292" i="68"/>
  <c r="V285" i="57"/>
  <c r="C228" i="68"/>
  <c r="V221" i="57"/>
  <c r="C164" i="68"/>
  <c r="V157" i="57"/>
  <c r="C100" i="68"/>
  <c r="V93" i="57"/>
  <c r="C37" i="68"/>
  <c r="V30" i="57"/>
  <c r="D199" i="68"/>
  <c r="W192" i="57"/>
  <c r="C229" i="68"/>
  <c r="V222" i="57"/>
  <c r="V70" i="57"/>
  <c r="C77" i="68"/>
  <c r="Z292" i="54"/>
  <c r="G292" i="65"/>
  <c r="G292" i="57"/>
  <c r="AA292" i="51" s="1"/>
  <c r="Z260" i="54"/>
  <c r="G260" i="65"/>
  <c r="G260" i="57"/>
  <c r="AA260" i="51" s="1"/>
  <c r="Z228" i="54"/>
  <c r="G228" i="65"/>
  <c r="G228" i="57"/>
  <c r="AA228" i="51" s="1"/>
  <c r="Z196" i="54"/>
  <c r="G196" i="65"/>
  <c r="G196" i="57"/>
  <c r="AA196" i="51" s="1"/>
  <c r="G164" i="65"/>
  <c r="Z164" i="54"/>
  <c r="G164" i="57"/>
  <c r="AA164" i="51" s="1"/>
  <c r="G132" i="65"/>
  <c r="Z132" i="54"/>
  <c r="G132" i="57"/>
  <c r="AA132" i="51" s="1"/>
  <c r="Z100" i="54"/>
  <c r="G100" i="65"/>
  <c r="G100" i="57"/>
  <c r="AA100" i="51" s="1"/>
  <c r="Z68" i="54"/>
  <c r="G68" i="65"/>
  <c r="G68" i="57"/>
  <c r="AA68" i="51" s="1"/>
  <c r="Z37" i="54"/>
  <c r="G37" i="65"/>
  <c r="G37" i="57"/>
  <c r="AA37" i="51" s="1"/>
  <c r="F201" i="68"/>
  <c r="Y194" i="57"/>
  <c r="Y130" i="57"/>
  <c r="F137" i="68"/>
  <c r="Y66" i="57"/>
  <c r="F73" i="68"/>
  <c r="X296" i="57"/>
  <c r="E303" i="68"/>
  <c r="E263" i="68"/>
  <c r="X256" i="57"/>
  <c r="X232" i="57"/>
  <c r="E239" i="68"/>
  <c r="X192" i="57"/>
  <c r="E199" i="68"/>
  <c r="X168" i="57"/>
  <c r="E175" i="68"/>
  <c r="X104" i="57"/>
  <c r="E111" i="68"/>
  <c r="X41" i="57"/>
  <c r="E48" i="68"/>
  <c r="D213" i="68"/>
  <c r="W206" i="57"/>
  <c r="W142" i="57"/>
  <c r="D149" i="68"/>
  <c r="C299" i="68"/>
  <c r="V292" i="57"/>
  <c r="V252" i="57"/>
  <c r="C259" i="68"/>
  <c r="C235" i="68"/>
  <c r="V228" i="57"/>
  <c r="V188" i="57"/>
  <c r="C195" i="68"/>
  <c r="V164" i="57"/>
  <c r="C171" i="68"/>
  <c r="V124" i="57"/>
  <c r="C131" i="68"/>
  <c r="V100" i="57"/>
  <c r="C107" i="68"/>
  <c r="C44" i="68"/>
  <c r="V37" i="57"/>
  <c r="F227" i="68"/>
  <c r="Y220" i="57"/>
  <c r="X114" i="57"/>
  <c r="E121" i="68"/>
  <c r="V262" i="57"/>
  <c r="C269" i="68"/>
  <c r="Y265" i="57"/>
  <c r="F272" i="68"/>
  <c r="Y201" i="57"/>
  <c r="F208" i="68"/>
  <c r="Y137" i="57"/>
  <c r="F144" i="68"/>
  <c r="Y73" i="57"/>
  <c r="F80" i="68"/>
  <c r="X303" i="57"/>
  <c r="E310" i="68"/>
  <c r="X263" i="57"/>
  <c r="E270" i="68"/>
  <c r="E246" i="68"/>
  <c r="X239" i="57"/>
  <c r="E206" i="68"/>
  <c r="X199" i="57"/>
  <c r="X175" i="57"/>
  <c r="E182" i="68"/>
  <c r="X111" i="57"/>
  <c r="E118" i="68"/>
  <c r="X71" i="57"/>
  <c r="E78" i="68"/>
  <c r="X47" i="57"/>
  <c r="E54" i="68"/>
  <c r="D220" i="68"/>
  <c r="W213" i="57"/>
  <c r="D116" i="68"/>
  <c r="W109" i="57"/>
  <c r="W85" i="57"/>
  <c r="D92" i="68"/>
  <c r="D29" i="68"/>
  <c r="W22" i="57"/>
  <c r="V251" i="57"/>
  <c r="C258" i="68"/>
  <c r="V187" i="57"/>
  <c r="C194" i="68"/>
  <c r="C130" i="68"/>
  <c r="V123" i="57"/>
  <c r="V59" i="57"/>
  <c r="C66" i="68"/>
  <c r="V44" i="57"/>
  <c r="C51" i="68"/>
  <c r="V20" i="57"/>
  <c r="C27" i="68"/>
  <c r="Z158" i="54"/>
  <c r="G158" i="57"/>
  <c r="AA158" i="51" s="1"/>
  <c r="G158" i="65"/>
  <c r="X282" i="57"/>
  <c r="E289" i="68"/>
  <c r="D159" i="68"/>
  <c r="W152" i="57"/>
  <c r="Z306" i="54"/>
  <c r="G306" i="65"/>
  <c r="G306" i="57"/>
  <c r="AA306" i="51" s="1"/>
  <c r="Z274" i="54"/>
  <c r="G274" i="57"/>
  <c r="AA274" i="51" s="1"/>
  <c r="G274" i="65"/>
  <c r="Z242" i="54"/>
  <c r="G242" i="65"/>
  <c r="G242" i="57"/>
  <c r="AA242" i="51" s="1"/>
  <c r="Z210" i="54"/>
  <c r="G210" i="65"/>
  <c r="G210" i="57"/>
  <c r="AA210" i="51" s="1"/>
  <c r="Z178" i="54"/>
  <c r="G178" i="65"/>
  <c r="G178" i="57"/>
  <c r="AA178" i="51" s="1"/>
  <c r="Z146" i="54"/>
  <c r="G146" i="65"/>
  <c r="G146" i="57"/>
  <c r="AA146" i="51" s="1"/>
  <c r="Z114" i="54"/>
  <c r="G114" i="65"/>
  <c r="G114" i="57"/>
  <c r="AA114" i="51" s="1"/>
  <c r="Z82" i="54"/>
  <c r="G82" i="65"/>
  <c r="G82" i="57"/>
  <c r="AA82" i="51" s="1"/>
  <c r="Z50" i="54"/>
  <c r="G50" i="65"/>
  <c r="G50" i="57"/>
  <c r="AA50" i="51" s="1"/>
  <c r="Z19" i="54"/>
  <c r="G19" i="65"/>
  <c r="G19" i="57"/>
  <c r="AA19" i="51" s="1"/>
  <c r="F295" i="68"/>
  <c r="Y288" i="57"/>
  <c r="Y248" i="57"/>
  <c r="F255" i="68"/>
  <c r="F231" i="68"/>
  <c r="Y224" i="57"/>
  <c r="Y160" i="57"/>
  <c r="F167" i="68"/>
  <c r="E269" i="68"/>
  <c r="X262" i="57"/>
  <c r="X198" i="57"/>
  <c r="E205" i="68"/>
  <c r="E141" i="68"/>
  <c r="X134" i="57"/>
  <c r="W284" i="57"/>
  <c r="D291" i="68"/>
  <c r="D227" i="68"/>
  <c r="W220" i="57"/>
  <c r="W156" i="57"/>
  <c r="D163" i="68"/>
  <c r="D99" i="68"/>
  <c r="W92" i="57"/>
  <c r="D36" i="68"/>
  <c r="W29" i="57"/>
  <c r="V130" i="57"/>
  <c r="C137" i="68"/>
  <c r="V66" i="57"/>
  <c r="C73" i="68"/>
  <c r="Y52" i="57"/>
  <c r="F59" i="68"/>
  <c r="W224" i="57"/>
  <c r="D231" i="68"/>
  <c r="C261" i="68"/>
  <c r="V254" i="57"/>
  <c r="Z297" i="54"/>
  <c r="G297" i="57"/>
  <c r="AA297" i="51" s="1"/>
  <c r="G297" i="65"/>
  <c r="Z265" i="54"/>
  <c r="G265" i="57"/>
  <c r="AA265" i="51" s="1"/>
  <c r="G265" i="65"/>
  <c r="Z233" i="54"/>
  <c r="G233" i="57"/>
  <c r="AA233" i="51" s="1"/>
  <c r="G233" i="65"/>
  <c r="Z201" i="54"/>
  <c r="G201" i="57"/>
  <c r="AA201" i="51" s="1"/>
  <c r="G201" i="65"/>
  <c r="Z169" i="54"/>
  <c r="G169" i="65"/>
  <c r="G169" i="57"/>
  <c r="AA169" i="51" s="1"/>
  <c r="Z137" i="54"/>
  <c r="G137" i="65"/>
  <c r="G137" i="57"/>
  <c r="AA137" i="51" s="1"/>
  <c r="G105" i="65"/>
  <c r="Z105" i="54"/>
  <c r="G105" i="57"/>
  <c r="AA105" i="51" s="1"/>
  <c r="G73" i="65"/>
  <c r="Z73" i="54"/>
  <c r="G73" i="57"/>
  <c r="AA73" i="51" s="1"/>
  <c r="G42" i="65"/>
  <c r="Z42" i="54"/>
  <c r="G42" i="57"/>
  <c r="AA42" i="51" s="1"/>
  <c r="F270" i="68"/>
  <c r="Y263" i="57"/>
  <c r="Y239" i="57"/>
  <c r="F246" i="68"/>
  <c r="Y175" i="57"/>
  <c r="F182" i="68"/>
  <c r="Y47" i="57"/>
  <c r="F54" i="68"/>
  <c r="X301" i="57"/>
  <c r="E308" i="68"/>
  <c r="X277" i="57"/>
  <c r="E284" i="68"/>
  <c r="E220" i="68"/>
  <c r="X213" i="57"/>
  <c r="X173" i="57"/>
  <c r="E180" i="68"/>
  <c r="X149" i="57"/>
  <c r="E156" i="68"/>
  <c r="E116" i="68"/>
  <c r="X109" i="57"/>
  <c r="E92" i="68"/>
  <c r="X85" i="57"/>
  <c r="E29" i="68"/>
  <c r="X22" i="57"/>
  <c r="V289" i="57"/>
  <c r="C296" i="68"/>
  <c r="C256" i="68"/>
  <c r="V249" i="57"/>
  <c r="C232" i="68"/>
  <c r="V225" i="57"/>
  <c r="C168" i="68"/>
  <c r="V161" i="57"/>
  <c r="V121" i="57"/>
  <c r="C128" i="68"/>
  <c r="V97" i="57"/>
  <c r="C104" i="68"/>
  <c r="V34" i="57"/>
  <c r="C41" i="68"/>
  <c r="W25" i="57"/>
  <c r="D32" i="68"/>
  <c r="Y246" i="57"/>
  <c r="F253" i="68"/>
  <c r="Y182" i="57"/>
  <c r="F189" i="68"/>
  <c r="Y118" i="57"/>
  <c r="F125" i="68"/>
  <c r="Y54" i="57"/>
  <c r="F61" i="68"/>
  <c r="E267" i="68"/>
  <c r="X260" i="57"/>
  <c r="X196" i="57"/>
  <c r="E203" i="68"/>
  <c r="X132" i="57"/>
  <c r="E139" i="68"/>
  <c r="E75" i="68"/>
  <c r="X68" i="57"/>
  <c r="D241" i="68"/>
  <c r="W234" i="57"/>
  <c r="W170" i="57"/>
  <c r="D177" i="68"/>
  <c r="D113" i="68"/>
  <c r="W106" i="57"/>
  <c r="D50" i="68"/>
  <c r="W43" i="57"/>
  <c r="C279" i="68"/>
  <c r="V272" i="57"/>
  <c r="C215" i="68"/>
  <c r="V208" i="57"/>
  <c r="C151" i="68"/>
  <c r="V144" i="57"/>
  <c r="V80" i="57"/>
  <c r="C87" i="68"/>
  <c r="C24" i="68"/>
  <c r="V17" i="57"/>
  <c r="F267" i="68"/>
  <c r="Y260" i="57"/>
  <c r="F131" i="68"/>
  <c r="Y124" i="57"/>
  <c r="W304" i="57"/>
  <c r="D311" i="68"/>
  <c r="W48" i="57"/>
  <c r="D55" i="68"/>
  <c r="V190" i="57"/>
  <c r="C197" i="68"/>
  <c r="F276" i="68"/>
  <c r="Y269" i="57"/>
  <c r="Y245" i="57"/>
  <c r="F252" i="68"/>
  <c r="Y205" i="57"/>
  <c r="F212" i="68"/>
  <c r="Y181" i="57"/>
  <c r="F188" i="68"/>
  <c r="F148" i="68"/>
  <c r="Y141" i="57"/>
  <c r="Y117" i="57"/>
  <c r="F124" i="68"/>
  <c r="Y53" i="57"/>
  <c r="F60" i="68"/>
  <c r="X283" i="57"/>
  <c r="E290" i="68"/>
  <c r="E226" i="68"/>
  <c r="X219" i="57"/>
  <c r="E122" i="68"/>
  <c r="X115" i="57"/>
  <c r="E98" i="68"/>
  <c r="X91" i="57"/>
  <c r="X75" i="57"/>
  <c r="E82" i="68"/>
  <c r="X51" i="57"/>
  <c r="E58" i="68"/>
  <c r="E35" i="68"/>
  <c r="X28" i="57"/>
  <c r="W281" i="57"/>
  <c r="D288" i="68"/>
  <c r="W257" i="57"/>
  <c r="D264" i="68"/>
  <c r="D200" i="68"/>
  <c r="W193" i="57"/>
  <c r="D136" i="68"/>
  <c r="W129" i="57"/>
  <c r="W65" i="57"/>
  <c r="D72" i="68"/>
  <c r="C302" i="68"/>
  <c r="V295" i="57"/>
  <c r="V231" i="57"/>
  <c r="C238" i="68"/>
  <c r="V167" i="57"/>
  <c r="C174" i="68"/>
  <c r="C134" i="68"/>
  <c r="V127" i="57"/>
  <c r="V63" i="57"/>
  <c r="C70" i="68"/>
  <c r="C47" i="68"/>
  <c r="V40" i="57"/>
  <c r="Z198" i="54"/>
  <c r="G198" i="65"/>
  <c r="G198" i="57"/>
  <c r="AA198" i="51" s="1"/>
  <c r="X162" i="57"/>
  <c r="E169" i="68"/>
  <c r="D63" i="68"/>
  <c r="W56" i="57"/>
  <c r="Y235" i="57"/>
  <c r="F242" i="68"/>
  <c r="W16" i="57"/>
  <c r="D23" i="68"/>
  <c r="Z39" i="54"/>
  <c r="G39" i="65"/>
  <c r="G39" i="57"/>
  <c r="AA39" i="51" s="1"/>
  <c r="F97" i="68"/>
  <c r="Y90" i="57"/>
  <c r="C283" i="68"/>
  <c r="V276" i="57"/>
  <c r="Z307" i="54"/>
  <c r="G307" i="65"/>
  <c r="G307" i="57"/>
  <c r="AA307" i="51" s="1"/>
  <c r="G20" i="65"/>
  <c r="Z20" i="54"/>
  <c r="G20" i="57"/>
  <c r="AA20" i="51" s="1"/>
  <c r="D228" i="68"/>
  <c r="W221" i="57"/>
  <c r="V299" i="57"/>
  <c r="C306" i="68"/>
  <c r="V147" i="57"/>
  <c r="C154" i="68"/>
  <c r="C161" i="68"/>
  <c r="V154" i="57"/>
  <c r="C34" i="68"/>
  <c r="V27" i="57"/>
  <c r="E89" i="68"/>
  <c r="X82" i="57"/>
  <c r="F78" i="68"/>
  <c r="Y71" i="57"/>
  <c r="D90" i="68"/>
  <c r="W83" i="57"/>
  <c r="V57" i="57"/>
  <c r="C64" i="68"/>
  <c r="G152" i="57"/>
  <c r="AA152" i="51" s="1"/>
  <c r="G152" i="65"/>
  <c r="Z152" i="54"/>
  <c r="F149" i="68"/>
  <c r="Y142" i="57"/>
  <c r="X29" i="57"/>
  <c r="E36" i="68"/>
  <c r="D201" i="68"/>
  <c r="W194" i="57"/>
  <c r="D73" i="68"/>
  <c r="W66" i="57"/>
  <c r="V232" i="57"/>
  <c r="C239" i="68"/>
  <c r="C48" i="68"/>
  <c r="V41" i="57"/>
  <c r="X178" i="57"/>
  <c r="E185" i="68"/>
  <c r="Z279" i="54"/>
  <c r="G279" i="57"/>
  <c r="AA279" i="51" s="1"/>
  <c r="G279" i="65"/>
  <c r="Z119" i="54"/>
  <c r="G119" i="65"/>
  <c r="G119" i="57"/>
  <c r="AA119" i="51" s="1"/>
  <c r="X203" i="57"/>
  <c r="E210" i="68"/>
  <c r="C262" i="68"/>
  <c r="V255" i="57"/>
  <c r="D215" i="68"/>
  <c r="W208" i="57"/>
  <c r="Y251" i="57"/>
  <c r="F258" i="68"/>
  <c r="Y187" i="57"/>
  <c r="F194" i="68"/>
  <c r="Y123" i="57"/>
  <c r="Y59" i="57"/>
  <c r="F66" i="68"/>
  <c r="E296" i="68"/>
  <c r="X289" i="57"/>
  <c r="X225" i="57"/>
  <c r="E232" i="68"/>
  <c r="X161" i="57"/>
  <c r="E168" i="68"/>
  <c r="E104" i="68"/>
  <c r="X97" i="57"/>
  <c r="D270" i="68"/>
  <c r="W263" i="57"/>
  <c r="W223" i="57"/>
  <c r="D230" i="68"/>
  <c r="D206" i="68"/>
  <c r="W199" i="57"/>
  <c r="W135" i="57"/>
  <c r="D142" i="68"/>
  <c r="D78" i="68"/>
  <c r="W71" i="57"/>
  <c r="V301" i="57"/>
  <c r="C308" i="68"/>
  <c r="C268" i="68"/>
  <c r="V261" i="57"/>
  <c r="C244" i="68"/>
  <c r="V237" i="57"/>
  <c r="C204" i="68"/>
  <c r="V197" i="57"/>
  <c r="C180" i="68"/>
  <c r="V173" i="57"/>
  <c r="C140" i="68"/>
  <c r="V133" i="57"/>
  <c r="V109" i="57"/>
  <c r="C116" i="68"/>
  <c r="V69" i="57"/>
  <c r="C76" i="68"/>
  <c r="Z174" i="54"/>
  <c r="G174" i="65"/>
  <c r="G174" i="57"/>
  <c r="AA174" i="51" s="1"/>
  <c r="Y292" i="57"/>
  <c r="F299" i="68"/>
  <c r="X154" i="57"/>
  <c r="E161" i="68"/>
  <c r="W33" i="57"/>
  <c r="D40" i="68"/>
  <c r="Y234" i="57"/>
  <c r="F241" i="68"/>
  <c r="Y170" i="57"/>
  <c r="F177" i="68"/>
  <c r="Y106" i="57"/>
  <c r="F113" i="68"/>
  <c r="Y43" i="57"/>
  <c r="F50" i="68"/>
  <c r="X272" i="57"/>
  <c r="E279" i="68"/>
  <c r="X208" i="57"/>
  <c r="E215" i="68"/>
  <c r="X144" i="57"/>
  <c r="E151" i="68"/>
  <c r="E87" i="68"/>
  <c r="X80" i="57"/>
  <c r="E24" i="68"/>
  <c r="X17" i="57"/>
  <c r="W270" i="57"/>
  <c r="D277" i="68"/>
  <c r="W246" i="57"/>
  <c r="D253" i="68"/>
  <c r="D189" i="68"/>
  <c r="W182" i="57"/>
  <c r="W118" i="57"/>
  <c r="D125" i="68"/>
  <c r="W78" i="57"/>
  <c r="D85" i="68"/>
  <c r="W54" i="57"/>
  <c r="D61" i="68"/>
  <c r="C275" i="68"/>
  <c r="V268" i="57"/>
  <c r="C211" i="68"/>
  <c r="V204" i="57"/>
  <c r="C147" i="68"/>
  <c r="V140" i="57"/>
  <c r="V76" i="57"/>
  <c r="C83" i="68"/>
  <c r="Z302" i="54"/>
  <c r="G302" i="65"/>
  <c r="G302" i="57"/>
  <c r="AA302" i="51" s="1"/>
  <c r="Z70" i="54"/>
  <c r="G70" i="65"/>
  <c r="G70" i="57"/>
  <c r="AA70" i="51" s="1"/>
  <c r="F67" i="68"/>
  <c r="Y60" i="57"/>
  <c r="W248" i="57"/>
  <c r="D255" i="68"/>
  <c r="Z299" i="54"/>
  <c r="G299" i="65"/>
  <c r="G299" i="57"/>
  <c r="AA299" i="51" s="1"/>
  <c r="Z267" i="54"/>
  <c r="G267" i="65"/>
  <c r="G267" i="57"/>
  <c r="AA267" i="51" s="1"/>
  <c r="Z235" i="54"/>
  <c r="G235" i="65"/>
  <c r="G235" i="57"/>
  <c r="AA235" i="51" s="1"/>
  <c r="Z203" i="54"/>
  <c r="G203" i="65"/>
  <c r="G203" i="57"/>
  <c r="AA203" i="51" s="1"/>
  <c r="Z171" i="54"/>
  <c r="G171" i="65"/>
  <c r="G171" i="57"/>
  <c r="AA171" i="51" s="1"/>
  <c r="Z139" i="54"/>
  <c r="G139" i="65"/>
  <c r="G139" i="57"/>
  <c r="AA139" i="51" s="1"/>
  <c r="Z107" i="54"/>
  <c r="G107" i="65"/>
  <c r="G107" i="57"/>
  <c r="AA107" i="51" s="1"/>
  <c r="G75" i="65"/>
  <c r="Z75" i="54"/>
  <c r="G75" i="57"/>
  <c r="AA75" i="51" s="1"/>
  <c r="G44" i="65"/>
  <c r="Z44" i="54"/>
  <c r="G44" i="57"/>
  <c r="Y305" i="57"/>
  <c r="F312" i="68"/>
  <c r="Y241" i="57"/>
  <c r="F248" i="68"/>
  <c r="Y177" i="57"/>
  <c r="F184" i="68"/>
  <c r="Y113" i="57"/>
  <c r="F120" i="68"/>
  <c r="Y49" i="57"/>
  <c r="F56" i="68"/>
  <c r="X279" i="57"/>
  <c r="E286" i="68"/>
  <c r="X215" i="57"/>
  <c r="E222" i="68"/>
  <c r="E158" i="68"/>
  <c r="X151" i="57"/>
  <c r="X87" i="57"/>
  <c r="E94" i="68"/>
  <c r="X24" i="57"/>
  <c r="E31" i="68"/>
  <c r="D284" i="68"/>
  <c r="W277" i="57"/>
  <c r="W149" i="57"/>
  <c r="D156" i="68"/>
  <c r="D132" i="68"/>
  <c r="W125" i="57"/>
  <c r="W61" i="57"/>
  <c r="D68" i="68"/>
  <c r="V291" i="57"/>
  <c r="C298" i="68"/>
  <c r="V227" i="57"/>
  <c r="C234" i="68"/>
  <c r="V163" i="57"/>
  <c r="C170" i="68"/>
  <c r="V99" i="57"/>
  <c r="C106" i="68"/>
  <c r="C43" i="68"/>
  <c r="V36" i="57"/>
  <c r="Y236" i="57"/>
  <c r="F243" i="68"/>
  <c r="X146" i="57"/>
  <c r="E153" i="68"/>
  <c r="C277" i="68"/>
  <c r="V270" i="57"/>
  <c r="F271" i="68"/>
  <c r="Y264" i="57"/>
  <c r="Y200" i="57"/>
  <c r="F207" i="68"/>
  <c r="Y136" i="57"/>
  <c r="F143" i="68"/>
  <c r="F103" i="68"/>
  <c r="Y96" i="57"/>
  <c r="Y33" i="57"/>
  <c r="F40" i="68"/>
  <c r="E309" i="68"/>
  <c r="X302" i="57"/>
  <c r="X110" i="57"/>
  <c r="E117" i="68"/>
  <c r="X70" i="57"/>
  <c r="E77" i="68"/>
  <c r="X15" i="65"/>
  <c r="E13" i="65"/>
  <c r="X13" i="65" s="1"/>
  <c r="E7" i="65"/>
  <c r="W68" i="57"/>
  <c r="D75" i="68"/>
  <c r="V258" i="57"/>
  <c r="C265" i="68"/>
  <c r="V194" i="57"/>
  <c r="C201" i="68"/>
  <c r="V170" i="57"/>
  <c r="C177" i="68"/>
  <c r="C113" i="68"/>
  <c r="V106" i="57"/>
  <c r="V43" i="57"/>
  <c r="C50" i="68"/>
  <c r="Z182" i="54"/>
  <c r="G182" i="65"/>
  <c r="G182" i="57"/>
  <c r="AA182" i="51" s="1"/>
  <c r="Y300" i="57"/>
  <c r="F307" i="68"/>
  <c r="X186" i="57"/>
  <c r="E193" i="68"/>
  <c r="D71" i="68"/>
  <c r="W64" i="57"/>
  <c r="V86" i="57"/>
  <c r="C93" i="68"/>
  <c r="F310" i="68"/>
  <c r="Y303" i="57"/>
  <c r="Y279" i="57"/>
  <c r="F286" i="68"/>
  <c r="Y215" i="57"/>
  <c r="F222" i="68"/>
  <c r="Y151" i="57"/>
  <c r="F158" i="68"/>
  <c r="Y111" i="57"/>
  <c r="F118" i="68"/>
  <c r="Y87" i="57"/>
  <c r="F94" i="68"/>
  <c r="F31" i="68"/>
  <c r="Y24" i="57"/>
  <c r="X253" i="57"/>
  <c r="E260" i="68"/>
  <c r="X189" i="57"/>
  <c r="E196" i="68"/>
  <c r="X125" i="57"/>
  <c r="E132" i="68"/>
  <c r="W291" i="57"/>
  <c r="D298" i="68"/>
  <c r="D258" i="68"/>
  <c r="W251" i="57"/>
  <c r="D234" i="68"/>
  <c r="W227" i="57"/>
  <c r="D194" i="68"/>
  <c r="W187" i="57"/>
  <c r="W163" i="57"/>
  <c r="D170" i="68"/>
  <c r="W123" i="57"/>
  <c r="D130" i="68"/>
  <c r="D106" i="68"/>
  <c r="W99" i="57"/>
  <c r="D66" i="68"/>
  <c r="W59" i="57"/>
  <c r="D43" i="68"/>
  <c r="W36" i="57"/>
  <c r="V265" i="57"/>
  <c r="C272" i="68"/>
  <c r="C208" i="68"/>
  <c r="V201" i="57"/>
  <c r="V137" i="57"/>
  <c r="C144" i="68"/>
  <c r="V73" i="57"/>
  <c r="C80" i="68"/>
  <c r="Z78" i="54"/>
  <c r="G78" i="65"/>
  <c r="G78" i="57"/>
  <c r="AA78" i="51" s="1"/>
  <c r="E113" i="68"/>
  <c r="X106" i="57"/>
  <c r="C101" i="68"/>
  <c r="V94" i="57"/>
  <c r="Z304" i="54"/>
  <c r="G304" i="65"/>
  <c r="G304" i="57"/>
  <c r="AA304" i="51" s="1"/>
  <c r="Z272" i="54"/>
  <c r="G272" i="65"/>
  <c r="G272" i="57"/>
  <c r="AA272" i="51" s="1"/>
  <c r="Z240" i="54"/>
  <c r="G240" i="65"/>
  <c r="G240" i="57"/>
  <c r="AA240" i="51" s="1"/>
  <c r="Z208" i="54"/>
  <c r="G208" i="65"/>
  <c r="G208" i="57"/>
  <c r="AA208" i="51" s="1"/>
  <c r="G176" i="65"/>
  <c r="Z176" i="54"/>
  <c r="G176" i="57"/>
  <c r="AA176" i="51" s="1"/>
  <c r="G144" i="57"/>
  <c r="AA144" i="51" s="1"/>
  <c r="G144" i="65"/>
  <c r="Z144" i="54"/>
  <c r="G112" i="65"/>
  <c r="Z112" i="54"/>
  <c r="G112" i="57"/>
  <c r="AA112" i="51" s="1"/>
  <c r="G80" i="57"/>
  <c r="AA80" i="51" s="1"/>
  <c r="Z80" i="54"/>
  <c r="G80" i="65"/>
  <c r="Z48" i="54"/>
  <c r="G48" i="65"/>
  <c r="G48" i="57"/>
  <c r="G17" i="65"/>
  <c r="Z17" i="54"/>
  <c r="G17" i="57"/>
  <c r="Y286" i="57"/>
  <c r="F293" i="68"/>
  <c r="Y222" i="57"/>
  <c r="F229" i="68"/>
  <c r="Y158" i="57"/>
  <c r="F165" i="68"/>
  <c r="F101" i="68"/>
  <c r="Y94" i="57"/>
  <c r="F38" i="68"/>
  <c r="Y31" i="57"/>
  <c r="E243" i="68"/>
  <c r="X236" i="57"/>
  <c r="X172" i="57"/>
  <c r="E179" i="68"/>
  <c r="X108" i="57"/>
  <c r="E115" i="68"/>
  <c r="W298" i="57"/>
  <c r="D305" i="68"/>
  <c r="W274" i="57"/>
  <c r="D281" i="68"/>
  <c r="D217" i="68"/>
  <c r="W210" i="57"/>
  <c r="W146" i="57"/>
  <c r="D153" i="68"/>
  <c r="D89" i="68"/>
  <c r="W82" i="57"/>
  <c r="W19" i="57"/>
  <c r="D26" i="68"/>
  <c r="V248" i="57"/>
  <c r="C255" i="68"/>
  <c r="V184" i="57"/>
  <c r="C191" i="68"/>
  <c r="V120" i="57"/>
  <c r="C127" i="68"/>
  <c r="V56" i="57"/>
  <c r="C63" i="68"/>
  <c r="Z118" i="54"/>
  <c r="G118" i="65"/>
  <c r="G118" i="57"/>
  <c r="AA118" i="51" s="1"/>
  <c r="X266" i="57"/>
  <c r="E273" i="68"/>
  <c r="D151" i="68"/>
  <c r="W144" i="57"/>
  <c r="Z303" i="54"/>
  <c r="G303" i="57"/>
  <c r="AA303" i="51" s="1"/>
  <c r="G303" i="65"/>
  <c r="Z271" i="54"/>
  <c r="G271" i="65"/>
  <c r="G271" i="57"/>
  <c r="AA271" i="51" s="1"/>
  <c r="Z239" i="54"/>
  <c r="G239" i="65"/>
  <c r="G239" i="57"/>
  <c r="AA239" i="51" s="1"/>
  <c r="Z207" i="54"/>
  <c r="G207" i="65"/>
  <c r="G207" i="57"/>
  <c r="AA207" i="51" s="1"/>
  <c r="Z175" i="54"/>
  <c r="G175" i="65"/>
  <c r="G175" i="57"/>
  <c r="AA175" i="51" s="1"/>
  <c r="Z143" i="54"/>
  <c r="G143" i="65"/>
  <c r="G143" i="57"/>
  <c r="AA143" i="51" s="1"/>
  <c r="Z111" i="54"/>
  <c r="G111" i="57"/>
  <c r="AA111" i="51" s="1"/>
  <c r="G111" i="65"/>
  <c r="Z79" i="54"/>
  <c r="G79" i="65"/>
  <c r="G79" i="57"/>
  <c r="AA79" i="51" s="1"/>
  <c r="Z47" i="54"/>
  <c r="G47" i="65"/>
  <c r="G47" i="57"/>
  <c r="AA47" i="51" s="1"/>
  <c r="Z16" i="54"/>
  <c r="G16" i="57"/>
  <c r="G16" i="65"/>
  <c r="F292" i="68"/>
  <c r="Y285" i="57"/>
  <c r="Y221" i="57"/>
  <c r="F228" i="68"/>
  <c r="F164" i="68"/>
  <c r="Y157" i="57"/>
  <c r="Y93" i="57"/>
  <c r="F100" i="68"/>
  <c r="F37" i="68"/>
  <c r="Y30" i="57"/>
  <c r="E162" i="68"/>
  <c r="X155" i="57"/>
  <c r="E138" i="68"/>
  <c r="X131" i="57"/>
  <c r="W297" i="57"/>
  <c r="D304" i="68"/>
  <c r="W233" i="57"/>
  <c r="D240" i="68"/>
  <c r="W169" i="57"/>
  <c r="D176" i="68"/>
  <c r="V271" i="57"/>
  <c r="C278" i="68"/>
  <c r="V207" i="57"/>
  <c r="C214" i="68"/>
  <c r="V143" i="57"/>
  <c r="C150" i="68"/>
  <c r="V103" i="57"/>
  <c r="C110" i="68"/>
  <c r="Y276" i="57"/>
  <c r="F283" i="68"/>
  <c r="V182" i="57"/>
  <c r="C189" i="68"/>
  <c r="F51" i="68"/>
  <c r="Y44" i="57"/>
  <c r="E25" i="68"/>
  <c r="X18" i="57"/>
  <c r="W119" i="57"/>
  <c r="D126" i="68"/>
  <c r="V53" i="57"/>
  <c r="C60" i="68"/>
  <c r="X50" i="57"/>
  <c r="E57" i="68"/>
  <c r="Y282" i="57"/>
  <c r="F289" i="68"/>
  <c r="Y154" i="57"/>
  <c r="F161" i="68"/>
  <c r="D261" i="68"/>
  <c r="W254" i="57"/>
  <c r="C219" i="68"/>
  <c r="V212" i="57"/>
  <c r="Z275" i="54"/>
  <c r="G275" i="65"/>
  <c r="G275" i="57"/>
  <c r="AA275" i="51" s="1"/>
  <c r="G51" i="65"/>
  <c r="Z51" i="54"/>
  <c r="G51" i="57"/>
  <c r="AA51" i="51" s="1"/>
  <c r="Y34" i="57"/>
  <c r="F41" i="68"/>
  <c r="W301" i="57"/>
  <c r="D308" i="68"/>
  <c r="V211" i="57"/>
  <c r="C218" i="68"/>
  <c r="Y140" i="57"/>
  <c r="F147" i="68"/>
  <c r="Y184" i="57"/>
  <c r="F191" i="68"/>
  <c r="Y56" i="57"/>
  <c r="F63" i="68"/>
  <c r="W52" i="57"/>
  <c r="D59" i="68"/>
  <c r="V218" i="57"/>
  <c r="C225" i="68"/>
  <c r="G54" i="65"/>
  <c r="Z54" i="54"/>
  <c r="G54" i="57"/>
  <c r="AA54" i="51" s="1"/>
  <c r="Y135" i="57"/>
  <c r="F142" i="68"/>
  <c r="C280" i="68"/>
  <c r="V273" i="57"/>
  <c r="V15" i="57"/>
  <c r="C22" i="68"/>
  <c r="C13" i="57"/>
  <c r="G56" i="65"/>
  <c r="Z56" i="54"/>
  <c r="G56" i="57"/>
  <c r="AA56" i="51" s="1"/>
  <c r="Y78" i="57"/>
  <c r="F85" i="68"/>
  <c r="E227" i="68"/>
  <c r="X220" i="57"/>
  <c r="W258" i="57"/>
  <c r="D265" i="68"/>
  <c r="V104" i="57"/>
  <c r="C111" i="68"/>
  <c r="V62" i="57"/>
  <c r="C69" i="68"/>
  <c r="Z151" i="54"/>
  <c r="G151" i="57"/>
  <c r="AA151" i="51" s="1"/>
  <c r="G151" i="65"/>
  <c r="G24" i="65"/>
  <c r="Z24" i="54"/>
  <c r="G24" i="57"/>
  <c r="X307" i="57"/>
  <c r="E314" i="68"/>
  <c r="X243" i="57"/>
  <c r="E250" i="68"/>
  <c r="X306" i="57"/>
  <c r="E313" i="68"/>
  <c r="Z277" i="54"/>
  <c r="G277" i="57"/>
  <c r="AA277" i="51" s="1"/>
  <c r="G277" i="65"/>
  <c r="Z245" i="54"/>
  <c r="G245" i="57"/>
  <c r="AA245" i="51" s="1"/>
  <c r="G245" i="65"/>
  <c r="Z213" i="54"/>
  <c r="G213" i="65"/>
  <c r="G213" i="57"/>
  <c r="AA213" i="51" s="1"/>
  <c r="Z181" i="54"/>
  <c r="G181" i="65"/>
  <c r="G181" i="57"/>
  <c r="AA181" i="51" s="1"/>
  <c r="Z149" i="54"/>
  <c r="G149" i="65"/>
  <c r="G149" i="57"/>
  <c r="AA149" i="51" s="1"/>
  <c r="Z117" i="54"/>
  <c r="G117" i="65"/>
  <c r="G117" i="57"/>
  <c r="AA117" i="51" s="1"/>
  <c r="Z85" i="54"/>
  <c r="G85" i="65"/>
  <c r="G85" i="57"/>
  <c r="AA85" i="51" s="1"/>
  <c r="Z53" i="54"/>
  <c r="G53" i="65"/>
  <c r="G53" i="57"/>
  <c r="AA53" i="51" s="1"/>
  <c r="Z22" i="54"/>
  <c r="G22" i="65"/>
  <c r="G22" i="57"/>
  <c r="F298" i="68"/>
  <c r="Y291" i="57"/>
  <c r="Y163" i="57"/>
  <c r="F170" i="68"/>
  <c r="Y99" i="57"/>
  <c r="F106" i="68"/>
  <c r="Y36" i="57"/>
  <c r="F43" i="68"/>
  <c r="X201" i="57"/>
  <c r="E208" i="68"/>
  <c r="X137" i="57"/>
  <c r="E144" i="68"/>
  <c r="X73" i="57"/>
  <c r="E80" i="68"/>
  <c r="X34" i="57"/>
  <c r="E41" i="68"/>
  <c r="W303" i="57"/>
  <c r="D310" i="68"/>
  <c r="D246" i="68"/>
  <c r="W239" i="57"/>
  <c r="W175" i="57"/>
  <c r="D182" i="68"/>
  <c r="C284" i="68"/>
  <c r="V277" i="57"/>
  <c r="C220" i="68"/>
  <c r="V213" i="57"/>
  <c r="C156" i="68"/>
  <c r="V149" i="57"/>
  <c r="C92" i="68"/>
  <c r="V85" i="57"/>
  <c r="C52" i="68"/>
  <c r="V45" i="57"/>
  <c r="Y148" i="57"/>
  <c r="F155" i="68"/>
  <c r="D295" i="68"/>
  <c r="W288" i="57"/>
  <c r="C181" i="68"/>
  <c r="V174" i="57"/>
  <c r="Z284" i="54"/>
  <c r="G284" i="65"/>
  <c r="G284" i="57"/>
  <c r="AA284" i="51" s="1"/>
  <c r="Z252" i="54"/>
  <c r="G252" i="65"/>
  <c r="G252" i="57"/>
  <c r="AA252" i="51" s="1"/>
  <c r="Z220" i="54"/>
  <c r="G220" i="65"/>
  <c r="G220" i="57"/>
  <c r="AA220" i="51" s="1"/>
  <c r="Z188" i="54"/>
  <c r="G188" i="65"/>
  <c r="G188" i="57"/>
  <c r="AA188" i="51" s="1"/>
  <c r="G156" i="65"/>
  <c r="Z156" i="54"/>
  <c r="G156" i="57"/>
  <c r="AA156" i="51" s="1"/>
  <c r="G124" i="65"/>
  <c r="Z124" i="54"/>
  <c r="G124" i="57"/>
  <c r="AA124" i="51" s="1"/>
  <c r="G92" i="65"/>
  <c r="Z92" i="54"/>
  <c r="G92" i="57"/>
  <c r="AA92" i="51" s="1"/>
  <c r="Z60" i="54"/>
  <c r="G60" i="65"/>
  <c r="G60" i="57"/>
  <c r="AA60" i="51" s="1"/>
  <c r="Z29" i="54"/>
  <c r="G29" i="65"/>
  <c r="G29" i="57"/>
  <c r="AA29" i="51" s="1"/>
  <c r="F305" i="68"/>
  <c r="Y298" i="57"/>
  <c r="Y258" i="57"/>
  <c r="F265" i="68"/>
  <c r="F153" i="68"/>
  <c r="Y146" i="57"/>
  <c r="Y82" i="57"/>
  <c r="F89" i="68"/>
  <c r="F26" i="68"/>
  <c r="Y19" i="57"/>
  <c r="E191" i="68"/>
  <c r="X184" i="57"/>
  <c r="X120" i="57"/>
  <c r="E127" i="68"/>
  <c r="X56" i="57"/>
  <c r="E63" i="68"/>
  <c r="D293" i="68"/>
  <c r="W286" i="57"/>
  <c r="D229" i="68"/>
  <c r="W222" i="57"/>
  <c r="D38" i="68"/>
  <c r="W31" i="57"/>
  <c r="V52" i="57"/>
  <c r="C59" i="68"/>
  <c r="E233" i="68"/>
  <c r="X226" i="57"/>
  <c r="D79" i="68"/>
  <c r="W72" i="57"/>
  <c r="C117" i="68"/>
  <c r="V110" i="57"/>
  <c r="Y281" i="57"/>
  <c r="F288" i="68"/>
  <c r="F224" i="68"/>
  <c r="Y217" i="57"/>
  <c r="Y153" i="57"/>
  <c r="F160" i="68"/>
  <c r="F96" i="68"/>
  <c r="Y89" i="57"/>
  <c r="Y26" i="57"/>
  <c r="F33" i="68"/>
  <c r="X127" i="57"/>
  <c r="E134" i="68"/>
  <c r="D300" i="68"/>
  <c r="W293" i="57"/>
  <c r="W253" i="57"/>
  <c r="D260" i="68"/>
  <c r="D236" i="68"/>
  <c r="W229" i="57"/>
  <c r="D172" i="68"/>
  <c r="W165" i="57"/>
  <c r="W101" i="57"/>
  <c r="D108" i="68"/>
  <c r="D45" i="68"/>
  <c r="W38" i="57"/>
  <c r="V139" i="57"/>
  <c r="C146" i="68"/>
  <c r="V75" i="57"/>
  <c r="C82" i="68"/>
  <c r="Z286" i="54"/>
  <c r="G286" i="57"/>
  <c r="AA286" i="51" s="1"/>
  <c r="G286" i="65"/>
  <c r="Z110" i="54"/>
  <c r="G110" i="65"/>
  <c r="G110" i="57"/>
  <c r="AA110" i="51" s="1"/>
  <c r="F91" i="68"/>
  <c r="Y84" i="57"/>
  <c r="W272" i="57"/>
  <c r="D279" i="68"/>
  <c r="V102" i="57"/>
  <c r="C109" i="68"/>
  <c r="Z298" i="54"/>
  <c r="G298" i="57"/>
  <c r="AA298" i="51" s="1"/>
  <c r="G298" i="65"/>
  <c r="Z266" i="54"/>
  <c r="G266" i="65"/>
  <c r="G266" i="57"/>
  <c r="AA266" i="51" s="1"/>
  <c r="Z234" i="54"/>
  <c r="G234" i="65"/>
  <c r="G234" i="57"/>
  <c r="AA234" i="51" s="1"/>
  <c r="Z202" i="54"/>
  <c r="G202" i="57"/>
  <c r="AA202" i="51" s="1"/>
  <c r="G202" i="65"/>
  <c r="Z170" i="54"/>
  <c r="G170" i="65"/>
  <c r="G170" i="57"/>
  <c r="AA170" i="51" s="1"/>
  <c r="Z138" i="54"/>
  <c r="G138" i="57"/>
  <c r="AA138" i="51" s="1"/>
  <c r="G138" i="65"/>
  <c r="Z106" i="54"/>
  <c r="G106" i="65"/>
  <c r="G106" i="57"/>
  <c r="AA106" i="51" s="1"/>
  <c r="Z74" i="54"/>
  <c r="G74" i="57"/>
  <c r="AA74" i="51" s="1"/>
  <c r="G74" i="65"/>
  <c r="Z43" i="54"/>
  <c r="G43" i="65"/>
  <c r="G43" i="57"/>
  <c r="AA43" i="51" s="1"/>
  <c r="F247" i="68"/>
  <c r="Y240" i="57"/>
  <c r="Y112" i="57"/>
  <c r="F119" i="68"/>
  <c r="Y72" i="57"/>
  <c r="F79" i="68"/>
  <c r="Y48" i="57"/>
  <c r="F55" i="68"/>
  <c r="X278" i="57"/>
  <c r="E285" i="68"/>
  <c r="X238" i="57"/>
  <c r="E245" i="68"/>
  <c r="X214" i="57"/>
  <c r="E221" i="68"/>
  <c r="E181" i="68"/>
  <c r="X174" i="57"/>
  <c r="X150" i="57"/>
  <c r="E157" i="68"/>
  <c r="X86" i="57"/>
  <c r="E93" i="68"/>
  <c r="X46" i="57"/>
  <c r="E53" i="68"/>
  <c r="W300" i="57"/>
  <c r="D307" i="68"/>
  <c r="W260" i="57"/>
  <c r="D267" i="68"/>
  <c r="D243" i="68"/>
  <c r="W236" i="57"/>
  <c r="D203" i="68"/>
  <c r="W196" i="57"/>
  <c r="W172" i="57"/>
  <c r="D179" i="68"/>
  <c r="W132" i="57"/>
  <c r="D139" i="68"/>
  <c r="D115" i="68"/>
  <c r="W108" i="57"/>
  <c r="C305" i="68"/>
  <c r="V298" i="57"/>
  <c r="C281" i="68"/>
  <c r="V274" i="57"/>
  <c r="C241" i="68"/>
  <c r="V234" i="57"/>
  <c r="C217" i="68"/>
  <c r="V210" i="57"/>
  <c r="C153" i="68"/>
  <c r="V146" i="57"/>
  <c r="V82" i="57"/>
  <c r="C89" i="68"/>
  <c r="V19" i="57"/>
  <c r="C26" i="68"/>
  <c r="Y156" i="57"/>
  <c r="F163" i="68"/>
  <c r="C205" i="68"/>
  <c r="V198" i="57"/>
  <c r="Z289" i="54"/>
  <c r="G289" i="65"/>
  <c r="G289" i="57"/>
  <c r="AA289" i="51" s="1"/>
  <c r="Z257" i="54"/>
  <c r="G257" i="65"/>
  <c r="G257" i="57"/>
  <c r="AA257" i="51" s="1"/>
  <c r="Z225" i="54"/>
  <c r="G225" i="65"/>
  <c r="G225" i="57"/>
  <c r="AA225" i="51" s="1"/>
  <c r="Z193" i="54"/>
  <c r="G193" i="65"/>
  <c r="G193" i="57"/>
  <c r="AA193" i="51" s="1"/>
  <c r="G161" i="65"/>
  <c r="Z161" i="54"/>
  <c r="G161" i="57"/>
  <c r="AA161" i="51" s="1"/>
  <c r="G129" i="65"/>
  <c r="Z129" i="54"/>
  <c r="G129" i="57"/>
  <c r="AA129" i="51" s="1"/>
  <c r="G97" i="65"/>
  <c r="G97" i="57"/>
  <c r="AA97" i="51" s="1"/>
  <c r="Z97" i="54"/>
  <c r="G65" i="65"/>
  <c r="Z65" i="54"/>
  <c r="G65" i="57"/>
  <c r="AA65" i="51" s="1"/>
  <c r="G34" i="65"/>
  <c r="Z34" i="54"/>
  <c r="G34" i="57"/>
  <c r="AA34" i="51" s="1"/>
  <c r="Y255" i="57"/>
  <c r="F262" i="68"/>
  <c r="Y191" i="57"/>
  <c r="F198" i="68"/>
  <c r="Y63" i="57"/>
  <c r="F70" i="68"/>
  <c r="E300" i="68"/>
  <c r="X293" i="57"/>
  <c r="X229" i="57"/>
  <c r="E236" i="68"/>
  <c r="E172" i="68"/>
  <c r="X165" i="57"/>
  <c r="X101" i="57"/>
  <c r="E108" i="68"/>
  <c r="E68" i="68"/>
  <c r="X61" i="57"/>
  <c r="X38" i="57"/>
  <c r="E45" i="68"/>
  <c r="W267" i="57"/>
  <c r="D274" i="68"/>
  <c r="D210" i="68"/>
  <c r="W203" i="57"/>
  <c r="W139" i="57"/>
  <c r="D146" i="68"/>
  <c r="W75" i="57"/>
  <c r="D82" i="68"/>
  <c r="V305" i="57"/>
  <c r="C312" i="68"/>
  <c r="C248" i="68"/>
  <c r="V241" i="57"/>
  <c r="V177" i="57"/>
  <c r="C184" i="68"/>
  <c r="V113" i="57"/>
  <c r="C120" i="68"/>
  <c r="C56" i="68"/>
  <c r="V49" i="57"/>
  <c r="D175" i="68"/>
  <c r="W168" i="57"/>
  <c r="Y262" i="57"/>
  <c r="F269" i="68"/>
  <c r="F205" i="68"/>
  <c r="Y198" i="57"/>
  <c r="Y134" i="57"/>
  <c r="F141" i="68"/>
  <c r="Y70" i="57"/>
  <c r="F77" i="68"/>
  <c r="E307" i="68"/>
  <c r="X300" i="57"/>
  <c r="X212" i="57"/>
  <c r="E219" i="68"/>
  <c r="E155" i="68"/>
  <c r="X148" i="57"/>
  <c r="X84" i="57"/>
  <c r="E91" i="68"/>
  <c r="E28" i="68"/>
  <c r="X21" i="57"/>
  <c r="D257" i="68"/>
  <c r="W250" i="57"/>
  <c r="W186" i="57"/>
  <c r="D193" i="68"/>
  <c r="D129" i="68"/>
  <c r="W122" i="57"/>
  <c r="D65" i="68"/>
  <c r="W58" i="57"/>
  <c r="C295" i="68"/>
  <c r="V288" i="57"/>
  <c r="C231" i="68"/>
  <c r="V224" i="57"/>
  <c r="C167" i="68"/>
  <c r="V160" i="57"/>
  <c r="C103" i="68"/>
  <c r="V96" i="57"/>
  <c r="V33" i="57"/>
  <c r="C40" i="68"/>
  <c r="F219" i="68"/>
  <c r="Y212" i="57"/>
  <c r="E137" i="68"/>
  <c r="X130" i="57"/>
  <c r="V286" i="57"/>
  <c r="C293" i="68"/>
  <c r="Y261" i="57"/>
  <c r="F268" i="68"/>
  <c r="F204" i="68"/>
  <c r="Y197" i="57"/>
  <c r="Y133" i="57"/>
  <c r="F140" i="68"/>
  <c r="Y69" i="57"/>
  <c r="F76" i="68"/>
  <c r="X259" i="57"/>
  <c r="E266" i="68"/>
  <c r="E202" i="68"/>
  <c r="X195" i="57"/>
  <c r="X67" i="57"/>
  <c r="E74" i="68"/>
  <c r="E51" i="68"/>
  <c r="X44" i="57"/>
  <c r="D280" i="68"/>
  <c r="W273" i="57"/>
  <c r="W209" i="57"/>
  <c r="D216" i="68"/>
  <c r="D152" i="68"/>
  <c r="W145" i="57"/>
  <c r="W105" i="57"/>
  <c r="D112" i="68"/>
  <c r="D49" i="68"/>
  <c r="W42" i="57"/>
  <c r="V247" i="57"/>
  <c r="C254" i="68"/>
  <c r="C190" i="68"/>
  <c r="V183" i="57"/>
  <c r="C126" i="68"/>
  <c r="V119" i="57"/>
  <c r="V79" i="57"/>
  <c r="C86" i="68"/>
  <c r="V55" i="57"/>
  <c r="C62" i="68"/>
  <c r="V16" i="57"/>
  <c r="C23" i="68"/>
  <c r="Z150" i="54"/>
  <c r="G150" i="65"/>
  <c r="G150" i="57"/>
  <c r="AA150" i="51" s="1"/>
  <c r="F139" i="68"/>
  <c r="Y132" i="57"/>
  <c r="E265" i="68"/>
  <c r="X258" i="57"/>
  <c r="X27" i="57"/>
  <c r="E34" i="68"/>
  <c r="D167" i="68"/>
  <c r="W160" i="57"/>
  <c r="V39" i="57"/>
  <c r="C46" i="68"/>
  <c r="X145" i="57"/>
  <c r="E152" i="68"/>
  <c r="W247" i="57"/>
  <c r="D254" i="68"/>
  <c r="W143" i="57"/>
  <c r="D150" i="68"/>
  <c r="Y218" i="57"/>
  <c r="F225" i="68"/>
  <c r="F34" i="68"/>
  <c r="Y27" i="57"/>
  <c r="E71" i="68"/>
  <c r="X64" i="57"/>
  <c r="W39" i="57"/>
  <c r="D46" i="68"/>
  <c r="C155" i="68"/>
  <c r="V148" i="57"/>
  <c r="Z126" i="54"/>
  <c r="G126" i="57"/>
  <c r="AA126" i="51" s="1"/>
  <c r="G126" i="65"/>
  <c r="V166" i="57"/>
  <c r="C173" i="68"/>
  <c r="Z179" i="54"/>
  <c r="G179" i="65"/>
  <c r="G179" i="57"/>
  <c r="AA179" i="51" s="1"/>
  <c r="Z83" i="54"/>
  <c r="G83" i="65"/>
  <c r="G83" i="57"/>
  <c r="AA83" i="51" s="1"/>
  <c r="Y97" i="57"/>
  <c r="F104" i="68"/>
  <c r="X287" i="57"/>
  <c r="E294" i="68"/>
  <c r="V275" i="57"/>
  <c r="C282" i="68"/>
  <c r="V83" i="57"/>
  <c r="C90" i="68"/>
  <c r="X94" i="57"/>
  <c r="E101" i="68"/>
  <c r="X15" i="57"/>
  <c r="E22" i="68"/>
  <c r="E13" i="57"/>
  <c r="W116" i="57"/>
  <c r="D123" i="68"/>
  <c r="V90" i="57"/>
  <c r="C97" i="68"/>
  <c r="Y196" i="57"/>
  <c r="F203" i="68"/>
  <c r="Y159" i="57"/>
  <c r="F166" i="68"/>
  <c r="X45" i="57"/>
  <c r="E52" i="68"/>
  <c r="D218" i="68"/>
  <c r="W211" i="57"/>
  <c r="V81" i="57"/>
  <c r="C88" i="68"/>
  <c r="Z280" i="54"/>
  <c r="G280" i="57"/>
  <c r="AA280" i="51" s="1"/>
  <c r="G280" i="65"/>
  <c r="G184" i="65"/>
  <c r="Z184" i="54"/>
  <c r="G184" i="57"/>
  <c r="AA184" i="51" s="1"/>
  <c r="G25" i="65"/>
  <c r="Z25" i="54"/>
  <c r="G25" i="57"/>
  <c r="AA25" i="51" s="1"/>
  <c r="F213" i="68"/>
  <c r="Y206" i="57"/>
  <c r="Y15" i="54"/>
  <c r="F15" i="57"/>
  <c r="F130" i="68" s="1"/>
  <c r="F15" i="65"/>
  <c r="F7" i="54"/>
  <c r="F13" i="54"/>
  <c r="Y13" i="54" s="1"/>
  <c r="E99" i="68"/>
  <c r="X92" i="57"/>
  <c r="V296" i="57"/>
  <c r="C303" i="68"/>
  <c r="Y21" i="57"/>
  <c r="F28" i="68"/>
  <c r="Z183" i="54"/>
  <c r="G183" i="65"/>
  <c r="G183" i="57"/>
  <c r="AA183" i="51" s="1"/>
  <c r="Z55" i="54"/>
  <c r="G55" i="65"/>
  <c r="G55" i="57"/>
  <c r="AA55" i="51" s="1"/>
  <c r="X179" i="57"/>
  <c r="E186" i="68"/>
  <c r="D224" i="68"/>
  <c r="W217" i="57"/>
  <c r="D160" i="68"/>
  <c r="W153" i="57"/>
  <c r="W89" i="57"/>
  <c r="D96" i="68"/>
  <c r="C198" i="68"/>
  <c r="V191" i="57"/>
  <c r="F274" i="68"/>
  <c r="Y267" i="57"/>
  <c r="F234" i="68"/>
  <c r="Y227" i="57"/>
  <c r="F210" i="68"/>
  <c r="Y203" i="57"/>
  <c r="F146" i="68"/>
  <c r="Y139" i="57"/>
  <c r="Y75" i="57"/>
  <c r="F82" i="68"/>
  <c r="E312" i="68"/>
  <c r="X305" i="57"/>
  <c r="X265" i="57"/>
  <c r="E272" i="68"/>
  <c r="E248" i="68"/>
  <c r="X241" i="57"/>
  <c r="X113" i="57"/>
  <c r="E120" i="68"/>
  <c r="W279" i="57"/>
  <c r="D286" i="68"/>
  <c r="W215" i="57"/>
  <c r="D222" i="68"/>
  <c r="D158" i="68"/>
  <c r="W151" i="57"/>
  <c r="W111" i="57"/>
  <c r="D118" i="68"/>
  <c r="D94" i="68"/>
  <c r="W87" i="57"/>
  <c r="D54" i="68"/>
  <c r="W47" i="57"/>
  <c r="W24" i="57"/>
  <c r="D31" i="68"/>
  <c r="V22" i="57"/>
  <c r="C29" i="68"/>
  <c r="Z134" i="54"/>
  <c r="G134" i="57"/>
  <c r="AA134" i="51" s="1"/>
  <c r="G134" i="65"/>
  <c r="X274" i="57"/>
  <c r="E281" i="68"/>
  <c r="D143" i="68"/>
  <c r="W136" i="57"/>
  <c r="F281" i="68"/>
  <c r="Y274" i="57"/>
  <c r="Y250" i="57"/>
  <c r="F257" i="68"/>
  <c r="Y210" i="57"/>
  <c r="F217" i="68"/>
  <c r="Y186" i="57"/>
  <c r="F193" i="68"/>
  <c r="Y122" i="57"/>
  <c r="F129" i="68"/>
  <c r="Y58" i="57"/>
  <c r="F65" i="68"/>
  <c r="E255" i="68"/>
  <c r="X248" i="57"/>
  <c r="X160" i="57"/>
  <c r="E167" i="68"/>
  <c r="X96" i="57"/>
  <c r="E103" i="68"/>
  <c r="X33" i="57"/>
  <c r="E40" i="68"/>
  <c r="W262" i="57"/>
  <c r="D269" i="68"/>
  <c r="D205" i="68"/>
  <c r="W198" i="57"/>
  <c r="W158" i="57"/>
  <c r="D165" i="68"/>
  <c r="W134" i="57"/>
  <c r="D141" i="68"/>
  <c r="D101" i="68"/>
  <c r="W94" i="57"/>
  <c r="W70" i="57"/>
  <c r="D77" i="68"/>
  <c r="W15" i="57"/>
  <c r="D22" i="68"/>
  <c r="D13" i="57"/>
  <c r="V244" i="57"/>
  <c r="C251" i="68"/>
  <c r="V180" i="57"/>
  <c r="C187" i="68"/>
  <c r="V116" i="57"/>
  <c r="C123" i="68"/>
  <c r="C36" i="68"/>
  <c r="V29" i="57"/>
  <c r="Z246" i="54"/>
  <c r="G246" i="65"/>
  <c r="G246" i="57"/>
  <c r="AA246" i="51" s="1"/>
  <c r="G23" i="65"/>
  <c r="Z23" i="54"/>
  <c r="G23" i="57"/>
  <c r="AA23" i="51" s="1"/>
  <c r="X58" i="57"/>
  <c r="E65" i="68"/>
  <c r="V214" i="57"/>
  <c r="C221" i="68"/>
  <c r="Z291" i="54"/>
  <c r="G291" i="65"/>
  <c r="G291" i="57"/>
  <c r="AA291" i="51" s="1"/>
  <c r="Z259" i="54"/>
  <c r="G259" i="65"/>
  <c r="G259" i="57"/>
  <c r="AA259" i="51" s="1"/>
  <c r="Z227" i="54"/>
  <c r="G227" i="65"/>
  <c r="G227" i="57"/>
  <c r="AA227" i="51" s="1"/>
  <c r="Z195" i="54"/>
  <c r="G195" i="65"/>
  <c r="G195" i="57"/>
  <c r="AA195" i="51" s="1"/>
  <c r="Z163" i="54"/>
  <c r="G163" i="65"/>
  <c r="G163" i="57"/>
  <c r="AA163" i="51" s="1"/>
  <c r="Z131" i="54"/>
  <c r="G131" i="65"/>
  <c r="G131" i="57"/>
  <c r="AA131" i="51" s="1"/>
  <c r="Z99" i="54"/>
  <c r="G99" i="65"/>
  <c r="G99" i="57"/>
  <c r="AA99" i="51" s="1"/>
  <c r="Z67" i="54"/>
  <c r="G67" i="65"/>
  <c r="G67" i="57"/>
  <c r="AA67" i="51" s="1"/>
  <c r="Z36" i="54"/>
  <c r="G36" i="65"/>
  <c r="G36" i="57"/>
  <c r="AA36" i="51" s="1"/>
  <c r="Y257" i="57"/>
  <c r="F264" i="68"/>
  <c r="F200" i="68"/>
  <c r="Y193" i="57"/>
  <c r="Y129" i="57"/>
  <c r="F136" i="68"/>
  <c r="F72" i="68"/>
  <c r="Y65" i="57"/>
  <c r="E262" i="68"/>
  <c r="X255" i="57"/>
  <c r="X191" i="57"/>
  <c r="E198" i="68"/>
  <c r="E174" i="68"/>
  <c r="X167" i="57"/>
  <c r="X103" i="57"/>
  <c r="E110" i="68"/>
  <c r="E70" i="68"/>
  <c r="X63" i="57"/>
  <c r="E47" i="68"/>
  <c r="X40" i="57"/>
  <c r="W189" i="57"/>
  <c r="D196" i="68"/>
  <c r="D148" i="68"/>
  <c r="W141" i="57"/>
  <c r="C314" i="68"/>
  <c r="V307" i="57"/>
  <c r="C274" i="68"/>
  <c r="V267" i="57"/>
  <c r="C250" i="68"/>
  <c r="V243" i="57"/>
  <c r="C210" i="68"/>
  <c r="V203" i="57"/>
  <c r="C186" i="68"/>
  <c r="V179" i="57"/>
  <c r="C122" i="68"/>
  <c r="V115" i="57"/>
  <c r="V51" i="57"/>
  <c r="C58" i="68"/>
  <c r="X250" i="57"/>
  <c r="E257" i="68"/>
  <c r="W88" i="57"/>
  <c r="D95" i="68"/>
  <c r="Y304" i="57"/>
  <c r="F311" i="68"/>
  <c r="Y280" i="57"/>
  <c r="F287" i="68"/>
  <c r="Y216" i="57"/>
  <c r="F223" i="68"/>
  <c r="F183" i="68"/>
  <c r="Y176" i="57"/>
  <c r="Y152" i="57"/>
  <c r="F159" i="68"/>
  <c r="F95" i="68"/>
  <c r="Y88" i="57"/>
  <c r="E261" i="68"/>
  <c r="X254" i="57"/>
  <c r="X190" i="57"/>
  <c r="E197" i="68"/>
  <c r="X126" i="57"/>
  <c r="E133" i="68"/>
  <c r="X62" i="57"/>
  <c r="E69" i="68"/>
  <c r="D283" i="68"/>
  <c r="W276" i="57"/>
  <c r="W212" i="57"/>
  <c r="D219" i="68"/>
  <c r="D155" i="68"/>
  <c r="W148" i="57"/>
  <c r="W84" i="57"/>
  <c r="D91" i="68"/>
  <c r="D28" i="68"/>
  <c r="W21" i="57"/>
  <c r="C257" i="68"/>
  <c r="V250" i="57"/>
  <c r="C193" i="68"/>
  <c r="V186" i="57"/>
  <c r="C129" i="68"/>
  <c r="V122" i="57"/>
  <c r="V58" i="57"/>
  <c r="C65" i="68"/>
  <c r="Z142" i="54"/>
  <c r="G142" i="65"/>
  <c r="G142" i="57"/>
  <c r="AA142" i="51" s="1"/>
  <c r="X298" i="57"/>
  <c r="E305" i="68"/>
  <c r="X43" i="57"/>
  <c r="E50" i="68"/>
  <c r="W176" i="57"/>
  <c r="D183" i="68"/>
  <c r="C38" i="68"/>
  <c r="V31" i="57"/>
  <c r="Y231" i="57"/>
  <c r="F238" i="68"/>
  <c r="Y127" i="57"/>
  <c r="F134" i="68"/>
  <c r="F110" i="68"/>
  <c r="Y103" i="57"/>
  <c r="Y40" i="57"/>
  <c r="F47" i="68"/>
  <c r="D314" i="68"/>
  <c r="W307" i="57"/>
  <c r="W243" i="57"/>
  <c r="D250" i="68"/>
  <c r="D186" i="68"/>
  <c r="W179" i="57"/>
  <c r="D122" i="68"/>
  <c r="W115" i="57"/>
  <c r="C288" i="68"/>
  <c r="V281" i="57"/>
  <c r="C96" i="68"/>
  <c r="V89" i="57"/>
  <c r="V26" i="57"/>
  <c r="C33" i="68"/>
  <c r="Y108" i="57"/>
  <c r="F115" i="68"/>
  <c r="C253" i="68"/>
  <c r="V246" i="57"/>
  <c r="Z296" i="54"/>
  <c r="G296" i="65"/>
  <c r="G296" i="57"/>
  <c r="AA296" i="51" s="1"/>
  <c r="Z264" i="54"/>
  <c r="G264" i="65"/>
  <c r="G264" i="57"/>
  <c r="AA264" i="51" s="1"/>
  <c r="Z232" i="54"/>
  <c r="G232" i="65"/>
  <c r="G232" i="57"/>
  <c r="AA232" i="51" s="1"/>
  <c r="Z200" i="54"/>
  <c r="G200" i="65"/>
  <c r="G200" i="57"/>
  <c r="AA200" i="51" s="1"/>
  <c r="G168" i="65"/>
  <c r="G168" i="57"/>
  <c r="AA168" i="51" s="1"/>
  <c r="Z168" i="54"/>
  <c r="Z136" i="54"/>
  <c r="G136" i="65"/>
  <c r="G136" i="57"/>
  <c r="AA136" i="51" s="1"/>
  <c r="G104" i="65"/>
  <c r="Z104" i="54"/>
  <c r="G104" i="57"/>
  <c r="AA104" i="51" s="1"/>
  <c r="G72" i="65"/>
  <c r="Z72" i="54"/>
  <c r="G72" i="57"/>
  <c r="AA72" i="51" s="1"/>
  <c r="G41" i="65"/>
  <c r="Z41" i="54"/>
  <c r="G41" i="57"/>
  <c r="AA41" i="51" s="1"/>
  <c r="Y238" i="57"/>
  <c r="F245" i="68"/>
  <c r="Y174" i="57"/>
  <c r="F181" i="68"/>
  <c r="F117" i="68"/>
  <c r="Y110" i="57"/>
  <c r="Y46" i="57"/>
  <c r="F53" i="68"/>
  <c r="X276" i="57"/>
  <c r="E283" i="68"/>
  <c r="E259" i="68"/>
  <c r="X252" i="57"/>
  <c r="X188" i="57"/>
  <c r="E195" i="68"/>
  <c r="X124" i="57"/>
  <c r="E131" i="68"/>
  <c r="X60" i="57"/>
  <c r="E67" i="68"/>
  <c r="D233" i="68"/>
  <c r="W226" i="57"/>
  <c r="D169" i="68"/>
  <c r="W162" i="57"/>
  <c r="D105" i="68"/>
  <c r="W98" i="57"/>
  <c r="W35" i="57"/>
  <c r="D42" i="68"/>
  <c r="C271" i="68"/>
  <c r="V264" i="57"/>
  <c r="C207" i="68"/>
  <c r="V200" i="57"/>
  <c r="C143" i="68"/>
  <c r="V136" i="57"/>
  <c r="C79" i="68"/>
  <c r="V72" i="57"/>
  <c r="Z270" i="54"/>
  <c r="G270" i="65"/>
  <c r="G270" i="57"/>
  <c r="AA270" i="51" s="1"/>
  <c r="Z62" i="54"/>
  <c r="G62" i="65"/>
  <c r="G62" i="57"/>
  <c r="AA62" i="51" s="1"/>
  <c r="W256" i="57"/>
  <c r="D263" i="68"/>
  <c r="Z295" i="54"/>
  <c r="G295" i="57"/>
  <c r="AA295" i="51" s="1"/>
  <c r="G295" i="65"/>
  <c r="Z263" i="54"/>
  <c r="G263" i="65"/>
  <c r="G263" i="57"/>
  <c r="AA263" i="51" s="1"/>
  <c r="Z231" i="54"/>
  <c r="G231" i="65"/>
  <c r="G231" i="57"/>
  <c r="AA231" i="51" s="1"/>
  <c r="Z199" i="54"/>
  <c r="G199" i="57"/>
  <c r="AA199" i="51" s="1"/>
  <c r="G199" i="65"/>
  <c r="Z167" i="54"/>
  <c r="G167" i="65"/>
  <c r="G167" i="57"/>
  <c r="AA167" i="51" s="1"/>
  <c r="Z135" i="54"/>
  <c r="G135" i="57"/>
  <c r="AA135" i="51" s="1"/>
  <c r="G135" i="65"/>
  <c r="Z103" i="54"/>
  <c r="G103" i="65"/>
  <c r="G103" i="57"/>
  <c r="AA103" i="51" s="1"/>
  <c r="G71" i="65"/>
  <c r="G71" i="57"/>
  <c r="AA71" i="51" s="1"/>
  <c r="Z71" i="54"/>
  <c r="G40" i="57"/>
  <c r="AA40" i="51" s="1"/>
  <c r="G40" i="65"/>
  <c r="Z40" i="54"/>
  <c r="Y237" i="57"/>
  <c r="F244" i="68"/>
  <c r="F52" i="68"/>
  <c r="Y45" i="57"/>
  <c r="E306" i="68"/>
  <c r="X299" i="57"/>
  <c r="E282" i="68"/>
  <c r="X275" i="57"/>
  <c r="X235" i="57"/>
  <c r="E242" i="68"/>
  <c r="X211" i="57"/>
  <c r="E218" i="68"/>
  <c r="X171" i="57"/>
  <c r="E178" i="68"/>
  <c r="E154" i="68"/>
  <c r="X147" i="57"/>
  <c r="X107" i="57"/>
  <c r="E114" i="68"/>
  <c r="E27" i="68"/>
  <c r="X20" i="57"/>
  <c r="W249" i="57"/>
  <c r="D256" i="68"/>
  <c r="D192" i="68"/>
  <c r="W185" i="57"/>
  <c r="W121" i="57"/>
  <c r="D128" i="68"/>
  <c r="W81" i="57"/>
  <c r="D88" i="68"/>
  <c r="W57" i="57"/>
  <c r="D64" i="68"/>
  <c r="W18" i="57"/>
  <c r="D25" i="68"/>
  <c r="V287" i="57"/>
  <c r="C294" i="68"/>
  <c r="V223" i="57"/>
  <c r="C230" i="68"/>
  <c r="V159" i="57"/>
  <c r="C166" i="68"/>
  <c r="V95" i="57"/>
  <c r="C102" i="68"/>
  <c r="V32" i="57"/>
  <c r="C39" i="68"/>
  <c r="X122" i="57"/>
  <c r="E129" i="68"/>
  <c r="V294" i="57"/>
  <c r="C301" i="68"/>
  <c r="Y299" i="57"/>
  <c r="F306" i="68"/>
  <c r="Y107" i="57"/>
  <c r="F114" i="68"/>
  <c r="E88" i="68"/>
  <c r="X81" i="57"/>
  <c r="D86" i="68"/>
  <c r="W79" i="57"/>
  <c r="Z214" i="54"/>
  <c r="G214" i="65"/>
  <c r="G214" i="57"/>
  <c r="AA214" i="51" s="1"/>
  <c r="X216" i="57"/>
  <c r="E223" i="68"/>
  <c r="W166" i="57"/>
  <c r="D173" i="68"/>
  <c r="C67" i="68"/>
  <c r="V60" i="57"/>
  <c r="Z211" i="54"/>
  <c r="G211" i="65"/>
  <c r="G211" i="57"/>
  <c r="AA211" i="51" s="1"/>
  <c r="Z115" i="54"/>
  <c r="G115" i="65"/>
  <c r="G115" i="57"/>
  <c r="AA115" i="51" s="1"/>
  <c r="F168" i="68"/>
  <c r="Y161" i="57"/>
  <c r="E230" i="68"/>
  <c r="X223" i="57"/>
  <c r="D244" i="68"/>
  <c r="W237" i="57"/>
  <c r="W45" i="57"/>
  <c r="D52" i="68"/>
  <c r="E42" i="68"/>
  <c r="X35" i="57"/>
  <c r="Y272" i="57"/>
  <c r="F279" i="68"/>
  <c r="X286" i="57"/>
  <c r="E293" i="68"/>
  <c r="E165" i="68"/>
  <c r="X158" i="57"/>
  <c r="D187" i="68"/>
  <c r="W180" i="57"/>
  <c r="V282" i="57"/>
  <c r="C289" i="68"/>
  <c r="Y95" i="57"/>
  <c r="F102" i="68"/>
  <c r="E244" i="68"/>
  <c r="X237" i="57"/>
  <c r="D282" i="68"/>
  <c r="W275" i="57"/>
  <c r="D154" i="68"/>
  <c r="W147" i="57"/>
  <c r="W20" i="57"/>
  <c r="D27" i="68"/>
  <c r="C192" i="68"/>
  <c r="V185" i="57"/>
  <c r="W232" i="57"/>
  <c r="D239" i="68"/>
  <c r="Z248" i="54"/>
  <c r="G248" i="57"/>
  <c r="AA248" i="51" s="1"/>
  <c r="G248" i="65"/>
  <c r="Z120" i="54"/>
  <c r="G120" i="57"/>
  <c r="AA120" i="51" s="1"/>
  <c r="G120" i="65"/>
  <c r="F277" i="68"/>
  <c r="Y270" i="57"/>
  <c r="E291" i="68"/>
  <c r="X284" i="57"/>
  <c r="Z247" i="54"/>
  <c r="G247" i="65"/>
  <c r="G247" i="57"/>
  <c r="AA247" i="51" s="1"/>
  <c r="Z301" i="54"/>
  <c r="G301" i="65"/>
  <c r="G301" i="57"/>
  <c r="AA301" i="51" s="1"/>
  <c r="Z269" i="54"/>
  <c r="G269" i="57"/>
  <c r="AA269" i="51" s="1"/>
  <c r="G269" i="65"/>
  <c r="Z237" i="54"/>
  <c r="G237" i="65"/>
  <c r="G237" i="57"/>
  <c r="AA237" i="51" s="1"/>
  <c r="Z205" i="54"/>
  <c r="G205" i="65"/>
  <c r="G205" i="57"/>
  <c r="AA205" i="51" s="1"/>
  <c r="Z173" i="54"/>
  <c r="G173" i="57"/>
  <c r="AA173" i="51" s="1"/>
  <c r="G173" i="65"/>
  <c r="Z141" i="54"/>
  <c r="G141" i="65"/>
  <c r="G141" i="57"/>
  <c r="AA141" i="51" s="1"/>
  <c r="Z109" i="54"/>
  <c r="G109" i="57"/>
  <c r="AA109" i="51" s="1"/>
  <c r="G109" i="65"/>
  <c r="Z77" i="54"/>
  <c r="G77" i="65"/>
  <c r="G77" i="57"/>
  <c r="AA77" i="51" s="1"/>
  <c r="Z45" i="54"/>
  <c r="G45" i="65"/>
  <c r="G45" i="57"/>
  <c r="AA45" i="51" s="1"/>
  <c r="F314" i="68"/>
  <c r="Y307" i="57"/>
  <c r="F250" i="68"/>
  <c r="Y243" i="57"/>
  <c r="F186" i="68"/>
  <c r="Y179" i="57"/>
  <c r="Y115" i="57"/>
  <c r="F122" i="68"/>
  <c r="Y51" i="57"/>
  <c r="F58" i="68"/>
  <c r="X281" i="57"/>
  <c r="E288" i="68"/>
  <c r="X177" i="57"/>
  <c r="E184" i="68"/>
  <c r="X49" i="57"/>
  <c r="E56" i="68"/>
  <c r="W255" i="57"/>
  <c r="D262" i="68"/>
  <c r="D134" i="68"/>
  <c r="W127" i="57"/>
  <c r="W63" i="57"/>
  <c r="D70" i="68"/>
  <c r="V253" i="57"/>
  <c r="C260" i="68"/>
  <c r="V189" i="57"/>
  <c r="C196" i="68"/>
  <c r="V125" i="57"/>
  <c r="C132" i="68"/>
  <c r="C68" i="68"/>
  <c r="V61" i="57"/>
  <c r="V38" i="57"/>
  <c r="C45" i="68"/>
  <c r="Y244" i="57"/>
  <c r="F251" i="68"/>
  <c r="E105" i="68"/>
  <c r="X98" i="57"/>
  <c r="V23" i="57"/>
  <c r="C30" i="68"/>
  <c r="Z276" i="54"/>
  <c r="G276" i="65"/>
  <c r="G276" i="57"/>
  <c r="AA276" i="51" s="1"/>
  <c r="Z244" i="54"/>
  <c r="G244" i="65"/>
  <c r="G244" i="57"/>
  <c r="AA244" i="51" s="1"/>
  <c r="Z212" i="54"/>
  <c r="G212" i="65"/>
  <c r="G212" i="57"/>
  <c r="AA212" i="51" s="1"/>
  <c r="G180" i="65"/>
  <c r="Z180" i="54"/>
  <c r="G180" i="57"/>
  <c r="AA180" i="51" s="1"/>
  <c r="Z148" i="54"/>
  <c r="G148" i="65"/>
  <c r="G148" i="57"/>
  <c r="AA148" i="51" s="1"/>
  <c r="G116" i="65"/>
  <c r="Z116" i="54"/>
  <c r="G116" i="57"/>
  <c r="AA116" i="51" s="1"/>
  <c r="G84" i="65"/>
  <c r="Z84" i="54"/>
  <c r="G84" i="57"/>
  <c r="AA84" i="51" s="1"/>
  <c r="G52" i="65"/>
  <c r="Z52" i="54"/>
  <c r="G52" i="57"/>
  <c r="AA52" i="51" s="1"/>
  <c r="G21" i="65"/>
  <c r="G21" i="57"/>
  <c r="AA21" i="51" s="1"/>
  <c r="Z21" i="54"/>
  <c r="Y226" i="57"/>
  <c r="F233" i="68"/>
  <c r="Y162" i="57"/>
  <c r="F169" i="68"/>
  <c r="Y98" i="57"/>
  <c r="F105" i="68"/>
  <c r="F42" i="68"/>
  <c r="Y35" i="57"/>
  <c r="X288" i="57"/>
  <c r="E295" i="68"/>
  <c r="X264" i="57"/>
  <c r="E271" i="68"/>
  <c r="X224" i="57"/>
  <c r="E231" i="68"/>
  <c r="E207" i="68"/>
  <c r="X200" i="57"/>
  <c r="X136" i="57"/>
  <c r="E143" i="68"/>
  <c r="X72" i="57"/>
  <c r="E79" i="68"/>
  <c r="D245" i="68"/>
  <c r="W238" i="57"/>
  <c r="W174" i="57"/>
  <c r="D181" i="68"/>
  <c r="D117" i="68"/>
  <c r="W110" i="57"/>
  <c r="D53" i="68"/>
  <c r="W46" i="57"/>
  <c r="W15" i="65"/>
  <c r="D13" i="65"/>
  <c r="W13" i="65" s="1"/>
  <c r="D7" i="65"/>
  <c r="C291" i="68"/>
  <c r="V284" i="57"/>
  <c r="C267" i="68"/>
  <c r="V260" i="57"/>
  <c r="C227" i="68"/>
  <c r="V220" i="57"/>
  <c r="C203" i="68"/>
  <c r="V196" i="57"/>
  <c r="C163" i="68"/>
  <c r="V156" i="57"/>
  <c r="V132" i="57"/>
  <c r="C139" i="68"/>
  <c r="C99" i="68"/>
  <c r="V92" i="57"/>
  <c r="V68" i="57"/>
  <c r="C75" i="68"/>
  <c r="Y164" i="57"/>
  <c r="F171" i="68"/>
  <c r="F36" i="68"/>
  <c r="Y29" i="57"/>
  <c r="D191" i="68"/>
  <c r="W184" i="57"/>
  <c r="C61" i="68"/>
  <c r="V54" i="57"/>
  <c r="Y297" i="57"/>
  <c r="F304" i="68"/>
  <c r="Y233" i="57"/>
  <c r="F240" i="68"/>
  <c r="Y169" i="57"/>
  <c r="F176" i="68"/>
  <c r="Y105" i="57"/>
  <c r="F112" i="68"/>
  <c r="F49" i="68"/>
  <c r="Y42" i="57"/>
  <c r="X295" i="57"/>
  <c r="E302" i="68"/>
  <c r="X271" i="57"/>
  <c r="E278" i="68"/>
  <c r="X231" i="57"/>
  <c r="E238" i="68"/>
  <c r="X207" i="57"/>
  <c r="E214" i="68"/>
  <c r="E150" i="68"/>
  <c r="X143" i="57"/>
  <c r="X79" i="57"/>
  <c r="E86" i="68"/>
  <c r="X16" i="57"/>
  <c r="E23" i="68"/>
  <c r="W269" i="57"/>
  <c r="D276" i="68"/>
  <c r="W245" i="57"/>
  <c r="D252" i="68"/>
  <c r="D212" i="68"/>
  <c r="W205" i="57"/>
  <c r="W117" i="57"/>
  <c r="D124" i="68"/>
  <c r="W53" i="57"/>
  <c r="D60" i="68"/>
  <c r="C290" i="68"/>
  <c r="V283" i="57"/>
  <c r="C226" i="68"/>
  <c r="V219" i="57"/>
  <c r="V155" i="57"/>
  <c r="C162" i="68"/>
  <c r="V91" i="57"/>
  <c r="C98" i="68"/>
  <c r="C35" i="68"/>
  <c r="V28" i="57"/>
  <c r="Z254" i="54"/>
  <c r="G254" i="57"/>
  <c r="AA254" i="51" s="1"/>
  <c r="G254" i="65"/>
  <c r="G46" i="65"/>
  <c r="Z46" i="54"/>
  <c r="G46" i="57"/>
  <c r="AA46" i="51" s="1"/>
  <c r="Y188" i="57"/>
  <c r="F195" i="68"/>
  <c r="E97" i="68"/>
  <c r="X90" i="57"/>
  <c r="Z290" i="54"/>
  <c r="G290" i="65"/>
  <c r="G290" i="57"/>
  <c r="AA290" i="51" s="1"/>
  <c r="Z258" i="54"/>
  <c r="G258" i="57"/>
  <c r="AA258" i="51" s="1"/>
  <c r="G258" i="65"/>
  <c r="Z226" i="54"/>
  <c r="G226" i="65"/>
  <c r="G226" i="57"/>
  <c r="AA226" i="51" s="1"/>
  <c r="Z194" i="54"/>
  <c r="G194" i="65"/>
  <c r="G194" i="57"/>
  <c r="AA194" i="51" s="1"/>
  <c r="Z162" i="54"/>
  <c r="G162" i="65"/>
  <c r="G162" i="57"/>
  <c r="AA162" i="51" s="1"/>
  <c r="Z130" i="54"/>
  <c r="G130" i="57"/>
  <c r="AA130" i="51" s="1"/>
  <c r="G130" i="65"/>
  <c r="Z98" i="54"/>
  <c r="G98" i="65"/>
  <c r="G98" i="57"/>
  <c r="AA98" i="51" s="1"/>
  <c r="Z66" i="54"/>
  <c r="G66" i="65"/>
  <c r="G66" i="57"/>
  <c r="AA66" i="51" s="1"/>
  <c r="Z35" i="54"/>
  <c r="G35" i="65"/>
  <c r="G35" i="57"/>
  <c r="AA35" i="51" s="1"/>
  <c r="F263" i="68"/>
  <c r="Y256" i="57"/>
  <c r="F32" i="68"/>
  <c r="Y25" i="57"/>
  <c r="X294" i="57"/>
  <c r="E301" i="68"/>
  <c r="E237" i="68"/>
  <c r="X230" i="57"/>
  <c r="X166" i="57"/>
  <c r="E173" i="68"/>
  <c r="E109" i="68"/>
  <c r="X102" i="57"/>
  <c r="E30" i="68"/>
  <c r="X23" i="57"/>
  <c r="W252" i="57"/>
  <c r="D259" i="68"/>
  <c r="D195" i="68"/>
  <c r="W188" i="57"/>
  <c r="W124" i="57"/>
  <c r="D131" i="68"/>
  <c r="D67" i="68"/>
  <c r="W60" i="57"/>
  <c r="V162" i="57"/>
  <c r="C169" i="68"/>
  <c r="C105" i="68"/>
  <c r="V98" i="57"/>
  <c r="V35" i="57"/>
  <c r="C42" i="68"/>
  <c r="F259" i="68"/>
  <c r="Y252" i="57"/>
  <c r="E145" i="68"/>
  <c r="X138" i="57"/>
  <c r="Z281" i="54"/>
  <c r="G281" i="65"/>
  <c r="G281" i="57"/>
  <c r="AA281" i="51" s="1"/>
  <c r="Z249" i="54"/>
  <c r="G249" i="65"/>
  <c r="G249" i="57"/>
  <c r="AA249" i="51" s="1"/>
  <c r="Z217" i="54"/>
  <c r="G217" i="65"/>
  <c r="G217" i="57"/>
  <c r="AA217" i="51" s="1"/>
  <c r="Z185" i="54"/>
  <c r="G185" i="65"/>
  <c r="G185" i="57"/>
  <c r="AA185" i="51" s="1"/>
  <c r="G153" i="65"/>
  <c r="Z153" i="54"/>
  <c r="G153" i="57"/>
  <c r="AA153" i="51" s="1"/>
  <c r="G121" i="65"/>
  <c r="Z121" i="54"/>
  <c r="G121" i="57"/>
  <c r="AA121" i="51" s="1"/>
  <c r="G89" i="65"/>
  <c r="G89" i="57"/>
  <c r="AA89" i="51" s="1"/>
  <c r="Z89" i="54"/>
  <c r="G57" i="65"/>
  <c r="Z57" i="54"/>
  <c r="G57" i="57"/>
  <c r="AA57" i="51" s="1"/>
  <c r="G26" i="65"/>
  <c r="Z26" i="54"/>
  <c r="G26" i="57"/>
  <c r="AA26" i="51" s="1"/>
  <c r="Y295" i="57"/>
  <c r="F302" i="68"/>
  <c r="Y207" i="57"/>
  <c r="F214" i="68"/>
  <c r="F174" i="68"/>
  <c r="Y167" i="57"/>
  <c r="F150" i="68"/>
  <c r="Y143" i="57"/>
  <c r="Y16" i="57"/>
  <c r="F23" i="68"/>
  <c r="E276" i="68"/>
  <c r="X269" i="57"/>
  <c r="E252" i="68"/>
  <c r="X245" i="57"/>
  <c r="X205" i="57"/>
  <c r="E212" i="68"/>
  <c r="X181" i="57"/>
  <c r="E188" i="68"/>
  <c r="X141" i="57"/>
  <c r="E148" i="68"/>
  <c r="X117" i="57"/>
  <c r="E124" i="68"/>
  <c r="X77" i="57"/>
  <c r="E84" i="68"/>
  <c r="X53" i="57"/>
  <c r="E60" i="68"/>
  <c r="D290" i="68"/>
  <c r="W283" i="57"/>
  <c r="D98" i="68"/>
  <c r="W91" i="57"/>
  <c r="D58" i="68"/>
  <c r="W51" i="57"/>
  <c r="D35" i="68"/>
  <c r="W28" i="57"/>
  <c r="V257" i="57"/>
  <c r="C264" i="68"/>
  <c r="C224" i="68"/>
  <c r="V217" i="57"/>
  <c r="V153" i="57"/>
  <c r="C160" i="68"/>
  <c r="C136" i="68"/>
  <c r="V129" i="57"/>
  <c r="V65" i="57"/>
  <c r="C72" i="68"/>
  <c r="Y302" i="57"/>
  <c r="F309" i="68"/>
  <c r="F221" i="68"/>
  <c r="Y214" i="57"/>
  <c r="Y150" i="57"/>
  <c r="F157" i="68"/>
  <c r="Y86" i="57"/>
  <c r="F93" i="68"/>
  <c r="Y23" i="57"/>
  <c r="F30" i="68"/>
  <c r="E299" i="68"/>
  <c r="X292" i="57"/>
  <c r="X228" i="57"/>
  <c r="E235" i="68"/>
  <c r="X164" i="57"/>
  <c r="E171" i="68"/>
  <c r="X100" i="57"/>
  <c r="E107" i="68"/>
  <c r="X37" i="57"/>
  <c r="E44" i="68"/>
  <c r="D297" i="68"/>
  <c r="W290" i="57"/>
  <c r="D273" i="68"/>
  <c r="W266" i="57"/>
  <c r="D209" i="68"/>
  <c r="W202" i="57"/>
  <c r="W138" i="57"/>
  <c r="D145" i="68"/>
  <c r="V304" i="57"/>
  <c r="C311" i="68"/>
  <c r="V240" i="57"/>
  <c r="C247" i="68"/>
  <c r="V176" i="57"/>
  <c r="C183" i="68"/>
  <c r="V112" i="57"/>
  <c r="C119" i="68"/>
  <c r="C55" i="68"/>
  <c r="V48" i="57"/>
  <c r="Y76" i="57"/>
  <c r="F83" i="68"/>
  <c r="X218" i="57"/>
  <c r="E225" i="68"/>
  <c r="D103" i="68"/>
  <c r="W96" i="57"/>
  <c r="C133" i="68"/>
  <c r="V126" i="57"/>
  <c r="F308" i="68"/>
  <c r="Y301" i="57"/>
  <c r="Y277" i="57"/>
  <c r="F284" i="68"/>
  <c r="Y213" i="57"/>
  <c r="F220" i="68"/>
  <c r="F180" i="68"/>
  <c r="Y173" i="57"/>
  <c r="Y149" i="57"/>
  <c r="F156" i="68"/>
  <c r="Y109" i="57"/>
  <c r="F116" i="68"/>
  <c r="Y85" i="57"/>
  <c r="F92" i="68"/>
  <c r="Y22" i="57"/>
  <c r="F29" i="68"/>
  <c r="E258" i="68"/>
  <c r="X251" i="57"/>
  <c r="X187" i="57"/>
  <c r="E194" i="68"/>
  <c r="X123" i="57"/>
  <c r="E130" i="68"/>
  <c r="X83" i="57"/>
  <c r="E90" i="68"/>
  <c r="W289" i="57"/>
  <c r="D296" i="68"/>
  <c r="D232" i="68"/>
  <c r="W225" i="57"/>
  <c r="W161" i="57"/>
  <c r="D168" i="68"/>
  <c r="D104" i="68"/>
  <c r="W97" i="57"/>
  <c r="D41" i="68"/>
  <c r="W34" i="57"/>
  <c r="V263" i="57"/>
  <c r="C270" i="68"/>
  <c r="V199" i="57"/>
  <c r="C206" i="68"/>
  <c r="V135" i="57"/>
  <c r="C142" i="68"/>
  <c r="C78" i="68"/>
  <c r="V71" i="57"/>
  <c r="Z294" i="54"/>
  <c r="G294" i="57"/>
  <c r="AA294" i="51" s="1"/>
  <c r="G294" i="65"/>
  <c r="Z94" i="54"/>
  <c r="G94" i="57"/>
  <c r="AA94" i="51" s="1"/>
  <c r="G94" i="65"/>
  <c r="F235" i="68"/>
  <c r="Y228" i="57"/>
  <c r="D271" i="68"/>
  <c r="W264" i="57"/>
  <c r="V134" i="57"/>
  <c r="C141" i="68"/>
  <c r="H11" i="48"/>
  <c r="H10" i="48"/>
  <c r="I13" i="48"/>
  <c r="AG10" i="45"/>
  <c r="AG11" i="45"/>
  <c r="Z11" i="45"/>
  <c r="T10" i="45"/>
  <c r="Z10" i="45"/>
  <c r="T11" i="45"/>
  <c r="H13" i="46"/>
  <c r="P14" i="60" s="1"/>
  <c r="G11" i="46"/>
  <c r="G10" i="46"/>
  <c r="F10" i="46"/>
  <c r="D10" i="46"/>
  <c r="D11" i="46"/>
  <c r="E11" i="46"/>
  <c r="E10" i="46"/>
  <c r="CY176" i="45" l="1"/>
  <c r="O22" i="60"/>
  <c r="O25" i="60" s="1"/>
  <c r="O18" i="60"/>
  <c r="C18" i="60" s="1"/>
  <c r="CE205" i="45"/>
  <c r="CR205" i="45" s="1"/>
  <c r="CK205" i="45"/>
  <c r="CE141" i="45"/>
  <c r="CR141" i="45" s="1"/>
  <c r="CK141" i="45"/>
  <c r="BQ205" i="45"/>
  <c r="CP205" i="45" s="1"/>
  <c r="DI205" i="45" s="1"/>
  <c r="CE89" i="45"/>
  <c r="CR89" i="45" s="1"/>
  <c r="CK89" i="45"/>
  <c r="CE25" i="45"/>
  <c r="CR25" i="45" s="1"/>
  <c r="CK25" i="45"/>
  <c r="CE245" i="45"/>
  <c r="CR245" i="45" s="1"/>
  <c r="CK245" i="45"/>
  <c r="CE269" i="45"/>
  <c r="CR269" i="45" s="1"/>
  <c r="CK269" i="45"/>
  <c r="CE261" i="45"/>
  <c r="CR261" i="45" s="1"/>
  <c r="CK261" i="45"/>
  <c r="O13" i="46"/>
  <c r="W14" i="60" s="1"/>
  <c r="P21" i="46"/>
  <c r="P13" i="46" s="1"/>
  <c r="BQ269" i="45"/>
  <c r="CP269" i="45" s="1"/>
  <c r="DI269" i="45" s="1"/>
  <c r="BQ25" i="45"/>
  <c r="CP25" i="45" s="1"/>
  <c r="DI25" i="45" s="1"/>
  <c r="BQ235" i="45"/>
  <c r="CP235" i="45" s="1"/>
  <c r="BQ283" i="45"/>
  <c r="CP283" i="45" s="1"/>
  <c r="DI283" i="45" s="1"/>
  <c r="BQ89" i="45"/>
  <c r="CP89" i="45" s="1"/>
  <c r="DI89" i="45" s="1"/>
  <c r="BY261" i="45"/>
  <c r="CQ261" i="45" s="1"/>
  <c r="DJ261" i="45" s="1"/>
  <c r="CM21" i="45"/>
  <c r="BY141" i="45"/>
  <c r="CQ141" i="45" s="1"/>
  <c r="BY89" i="45"/>
  <c r="CQ89" i="45" s="1"/>
  <c r="BY205" i="45"/>
  <c r="CQ205" i="45" s="1"/>
  <c r="BY245" i="45"/>
  <c r="CQ245" i="45" s="1"/>
  <c r="BY269" i="45"/>
  <c r="CQ269" i="45" s="1"/>
  <c r="BY25" i="45"/>
  <c r="CQ25" i="45" s="1"/>
  <c r="BQ107" i="45"/>
  <c r="CP107" i="45" s="1"/>
  <c r="BK212" i="45"/>
  <c r="CO212" i="45" s="1"/>
  <c r="C17" i="66"/>
  <c r="CY32" i="45"/>
  <c r="CY152" i="45"/>
  <c r="CY287" i="45"/>
  <c r="CY298" i="45"/>
  <c r="CY144" i="45"/>
  <c r="CZ237" i="45"/>
  <c r="CZ261" i="45"/>
  <c r="CZ245" i="45"/>
  <c r="DI237" i="45"/>
  <c r="DI261" i="45"/>
  <c r="CZ141" i="45"/>
  <c r="CY218" i="45"/>
  <c r="CY282" i="45"/>
  <c r="CY240" i="45"/>
  <c r="CY49" i="45"/>
  <c r="CY79" i="45"/>
  <c r="CY181" i="45"/>
  <c r="CY232" i="45"/>
  <c r="CY226" i="45"/>
  <c r="DH232" i="45"/>
  <c r="DH79" i="45"/>
  <c r="DH304" i="45"/>
  <c r="CY211" i="45"/>
  <c r="CY210" i="45"/>
  <c r="CY256" i="45"/>
  <c r="CY191" i="45"/>
  <c r="CY36" i="45"/>
  <c r="DH229" i="45"/>
  <c r="DH49" i="45"/>
  <c r="DH55" i="45"/>
  <c r="DH263" i="45"/>
  <c r="DH208" i="45"/>
  <c r="DH272" i="45"/>
  <c r="DH216" i="45"/>
  <c r="DH173" i="45"/>
  <c r="DH243" i="45"/>
  <c r="DH192" i="45"/>
  <c r="DH129" i="45"/>
  <c r="DH155" i="45"/>
  <c r="DH296" i="45"/>
  <c r="CY307" i="45"/>
  <c r="CY272" i="45"/>
  <c r="CY280" i="45"/>
  <c r="CY95" i="45"/>
  <c r="CY213" i="45"/>
  <c r="CY194" i="45"/>
  <c r="CY223" i="45"/>
  <c r="DH16" i="45"/>
  <c r="DH213" i="45"/>
  <c r="DH36" i="45"/>
  <c r="DH307" i="45"/>
  <c r="DH285" i="45"/>
  <c r="DH253" i="45"/>
  <c r="DH279" i="45"/>
  <c r="DH224" i="45"/>
  <c r="DH280" i="45"/>
  <c r="DH24" i="45"/>
  <c r="DH56" i="45"/>
  <c r="DH135" i="45"/>
  <c r="CY16" i="45"/>
  <c r="CY179" i="45"/>
  <c r="CY258" i="45"/>
  <c r="CY168" i="45"/>
  <c r="CY248" i="45"/>
  <c r="CY274" i="45"/>
  <c r="CY87" i="45"/>
  <c r="CY247" i="45"/>
  <c r="CY208" i="45"/>
  <c r="CY197" i="45"/>
  <c r="DH190" i="45"/>
  <c r="DH159" i="45"/>
  <c r="DH274" i="45"/>
  <c r="DH179" i="45"/>
  <c r="DH210" i="45"/>
  <c r="DH197" i="45"/>
  <c r="DH301" i="45"/>
  <c r="DH256" i="45"/>
  <c r="DH103" i="45"/>
  <c r="DH257" i="45"/>
  <c r="DH306" i="45"/>
  <c r="CY47" i="45"/>
  <c r="CY40" i="45"/>
  <c r="CY243" i="45"/>
  <c r="CY167" i="45"/>
  <c r="CY290" i="45"/>
  <c r="CY26" i="45"/>
  <c r="CY187" i="45"/>
  <c r="CY199" i="45"/>
  <c r="CY288" i="45"/>
  <c r="CY242" i="45"/>
  <c r="CY234" i="45"/>
  <c r="CY277" i="45"/>
  <c r="DH199" i="45"/>
  <c r="DH295" i="45"/>
  <c r="DH234" i="45"/>
  <c r="DH181" i="45"/>
  <c r="DH63" i="45"/>
  <c r="DH40" i="45"/>
  <c r="DH191" i="45"/>
  <c r="DH275" i="45"/>
  <c r="DH87" i="45"/>
  <c r="CY120" i="45"/>
  <c r="CY293" i="45"/>
  <c r="CY304" i="45"/>
  <c r="CY200" i="45"/>
  <c r="CY255" i="45"/>
  <c r="CY165" i="45"/>
  <c r="DH147" i="45"/>
  <c r="DH282" i="45"/>
  <c r="DH254" i="45"/>
  <c r="DH160" i="45"/>
  <c r="DH98" i="45"/>
  <c r="DH248" i="45"/>
  <c r="DH293" i="45"/>
  <c r="DH127" i="45"/>
  <c r="DH277" i="45"/>
  <c r="DH223" i="45"/>
  <c r="DH226" i="45"/>
  <c r="DH264" i="45"/>
  <c r="DH288" i="45"/>
  <c r="DH168" i="45"/>
  <c r="DH250" i="45"/>
  <c r="CY159" i="45"/>
  <c r="CY147" i="45"/>
  <c r="CY184" i="45"/>
  <c r="CY231" i="45"/>
  <c r="CY186" i="45"/>
  <c r="DH211" i="45"/>
  <c r="DH193" i="45"/>
  <c r="DH255" i="45"/>
  <c r="DH258" i="45"/>
  <c r="DH261" i="45"/>
  <c r="DH266" i="45"/>
  <c r="DH290" i="45"/>
  <c r="DH194" i="45"/>
  <c r="DH242" i="45"/>
  <c r="DH71" i="45"/>
  <c r="DH65" i="45"/>
  <c r="DH202" i="45"/>
  <c r="DH240" i="45"/>
  <c r="DG31" i="45"/>
  <c r="CX31" i="45"/>
  <c r="DH302" i="45"/>
  <c r="DG302" i="45"/>
  <c r="CX302" i="45"/>
  <c r="DG235" i="45"/>
  <c r="DH235" i="45"/>
  <c r="DG270" i="45"/>
  <c r="CX270" i="45"/>
  <c r="CX109" i="45"/>
  <c r="DG109" i="45"/>
  <c r="DG134" i="45"/>
  <c r="DG294" i="45"/>
  <c r="DG182" i="45"/>
  <c r="DG43" i="45"/>
  <c r="DG170" i="45"/>
  <c r="DG96" i="45"/>
  <c r="DG67" i="45"/>
  <c r="DG299" i="45"/>
  <c r="DH299" i="45"/>
  <c r="DG139" i="45"/>
  <c r="DH139" i="45"/>
  <c r="CX94" i="45"/>
  <c r="DH94" i="45"/>
  <c r="DG94" i="45"/>
  <c r="CX203" i="45"/>
  <c r="DG203" i="45"/>
  <c r="DH203" i="45"/>
  <c r="CX174" i="45"/>
  <c r="DG174" i="45"/>
  <c r="DH174" i="45"/>
  <c r="CX238" i="45"/>
  <c r="DG238" i="45"/>
  <c r="DH238" i="45"/>
  <c r="DG133" i="45"/>
  <c r="DG50" i="45"/>
  <c r="DG178" i="45"/>
  <c r="DG104" i="45"/>
  <c r="DG102" i="45"/>
  <c r="DG262" i="45"/>
  <c r="DG90" i="45"/>
  <c r="DG259" i="45"/>
  <c r="DG72" i="45"/>
  <c r="DG157" i="45"/>
  <c r="DG99" i="45"/>
  <c r="DG22" i="45"/>
  <c r="DG149" i="45"/>
  <c r="DG291" i="45"/>
  <c r="DG30" i="45"/>
  <c r="DG153" i="45"/>
  <c r="DG91" i="45"/>
  <c r="DG44" i="45"/>
  <c r="CX46" i="45"/>
  <c r="DG46" i="45"/>
  <c r="DG38" i="45"/>
  <c r="CX82" i="45"/>
  <c r="DG82" i="45"/>
  <c r="DG227" i="45"/>
  <c r="DG246" i="45"/>
  <c r="CX122" i="45"/>
  <c r="DG122" i="45"/>
  <c r="DG112" i="45"/>
  <c r="CX111" i="45"/>
  <c r="DG111" i="45"/>
  <c r="DG53" i="45"/>
  <c r="DG130" i="45"/>
  <c r="DG41" i="45"/>
  <c r="DG61" i="45"/>
  <c r="DG212" i="45"/>
  <c r="CX123" i="45"/>
  <c r="DG123" i="45"/>
  <c r="DG28" i="45"/>
  <c r="CX151" i="45"/>
  <c r="DG151" i="45"/>
  <c r="DG158" i="45"/>
  <c r="DH158" i="45"/>
  <c r="CX286" i="45"/>
  <c r="DG286" i="45"/>
  <c r="CX126" i="45"/>
  <c r="DG126" i="45"/>
  <c r="DG54" i="45"/>
  <c r="DG86" i="45"/>
  <c r="DG45" i="45"/>
  <c r="CX303" i="45"/>
  <c r="DG303" i="45"/>
  <c r="DG23" i="45"/>
  <c r="DG143" i="45"/>
  <c r="DG198" i="45"/>
  <c r="DG106" i="45"/>
  <c r="CX195" i="45"/>
  <c r="DG195" i="45"/>
  <c r="DG70" i="45"/>
  <c r="CX110" i="45"/>
  <c r="DG110" i="45"/>
  <c r="CX78" i="45"/>
  <c r="DG78" i="45"/>
  <c r="DG51" i="45"/>
  <c r="DG74" i="45"/>
  <c r="DG20" i="45"/>
  <c r="DH20" i="45"/>
  <c r="DG69" i="45"/>
  <c r="DG175" i="45"/>
  <c r="DG114" i="45"/>
  <c r="DG17" i="45"/>
  <c r="DG150" i="45"/>
  <c r="DG27" i="45"/>
  <c r="DG154" i="45"/>
  <c r="DG207" i="45"/>
  <c r="DG217" i="45"/>
  <c r="DG85" i="45"/>
  <c r="DG35" i="45"/>
  <c r="CX162" i="45"/>
  <c r="DG162" i="45"/>
  <c r="DG80" i="45"/>
  <c r="DG93" i="45"/>
  <c r="DG115" i="45"/>
  <c r="DG75" i="45"/>
  <c r="DG219" i="45"/>
  <c r="DG267" i="45"/>
  <c r="DH267" i="45"/>
  <c r="CX62" i="45"/>
  <c r="DG62" i="45"/>
  <c r="CX206" i="45"/>
  <c r="DG206" i="45"/>
  <c r="DH206" i="45"/>
  <c r="DG251" i="45"/>
  <c r="DH251" i="45"/>
  <c r="DG230" i="45"/>
  <c r="DG77" i="45"/>
  <c r="DG166" i="45"/>
  <c r="DG39" i="45"/>
  <c r="CX138" i="45"/>
  <c r="DG138" i="45"/>
  <c r="DG48" i="45"/>
  <c r="DG214" i="45"/>
  <c r="DG278" i="45"/>
  <c r="DG136" i="45"/>
  <c r="CX101" i="45"/>
  <c r="DG101" i="45"/>
  <c r="DG239" i="45"/>
  <c r="DG19" i="45"/>
  <c r="DG146" i="45"/>
  <c r="DG64" i="45"/>
  <c r="DG118" i="45"/>
  <c r="DG58" i="45"/>
  <c r="DG163" i="45"/>
  <c r="DG33" i="45"/>
  <c r="DG83" i="45"/>
  <c r="DG271" i="45"/>
  <c r="DG281" i="45"/>
  <c r="DG117" i="45"/>
  <c r="DG66" i="45"/>
  <c r="DG128" i="45"/>
  <c r="CX125" i="45"/>
  <c r="DG125" i="45"/>
  <c r="DG131" i="45"/>
  <c r="DG59" i="45"/>
  <c r="DG283" i="45"/>
  <c r="DH283" i="45"/>
  <c r="CX107" i="45"/>
  <c r="DG107" i="45"/>
  <c r="DH107" i="45"/>
  <c r="CX222" i="45"/>
  <c r="DG222" i="45"/>
  <c r="BQ189" i="45"/>
  <c r="CP189" i="45" s="1"/>
  <c r="DI189" i="45" s="1"/>
  <c r="BQ183" i="45"/>
  <c r="CP183" i="45" s="1"/>
  <c r="DI183" i="45" s="1"/>
  <c r="BQ293" i="45"/>
  <c r="CP293" i="45" s="1"/>
  <c r="DI293" i="45" s="1"/>
  <c r="BQ181" i="45"/>
  <c r="CP181" i="45" s="1"/>
  <c r="BQ266" i="45"/>
  <c r="CP266" i="45" s="1"/>
  <c r="CZ266" i="45" s="1"/>
  <c r="BQ194" i="45"/>
  <c r="CP194" i="45" s="1"/>
  <c r="DI194" i="45" s="1"/>
  <c r="BQ216" i="45"/>
  <c r="CP216" i="45" s="1"/>
  <c r="DI216" i="45" s="1"/>
  <c r="BQ71" i="45"/>
  <c r="CP71" i="45" s="1"/>
  <c r="DI71" i="45" s="1"/>
  <c r="BQ179" i="45"/>
  <c r="CP179" i="45" s="1"/>
  <c r="BQ152" i="45"/>
  <c r="CP152" i="45" s="1"/>
  <c r="DI152" i="45" s="1"/>
  <c r="BQ208" i="45"/>
  <c r="CP208" i="45" s="1"/>
  <c r="BQ211" i="45"/>
  <c r="CP211" i="45" s="1"/>
  <c r="CZ211" i="45" s="1"/>
  <c r="BQ224" i="45"/>
  <c r="CP224" i="45" s="1"/>
  <c r="CZ224" i="45" s="1"/>
  <c r="BQ242" i="45"/>
  <c r="CP242" i="45" s="1"/>
  <c r="DI242" i="45" s="1"/>
  <c r="BQ155" i="45"/>
  <c r="CP155" i="45" s="1"/>
  <c r="BQ296" i="45"/>
  <c r="CP296" i="45" s="1"/>
  <c r="DI296" i="45" s="1"/>
  <c r="BQ306" i="45"/>
  <c r="CP306" i="45" s="1"/>
  <c r="BQ103" i="45"/>
  <c r="CP103" i="45" s="1"/>
  <c r="DI103" i="45" s="1"/>
  <c r="BQ257" i="45"/>
  <c r="CP257" i="45" s="1"/>
  <c r="BK62" i="45"/>
  <c r="CO62" i="45" s="1"/>
  <c r="BK222" i="45"/>
  <c r="CO222" i="45" s="1"/>
  <c r="CY222" i="45" s="1"/>
  <c r="BQ277" i="45"/>
  <c r="CP277" i="45" s="1"/>
  <c r="DI277" i="45" s="1"/>
  <c r="BQ88" i="45"/>
  <c r="CP88" i="45" s="1"/>
  <c r="BQ184" i="45"/>
  <c r="CP184" i="45" s="1"/>
  <c r="BQ87" i="45"/>
  <c r="CP87" i="45" s="1"/>
  <c r="BQ24" i="45"/>
  <c r="CP24" i="45" s="1"/>
  <c r="CZ24" i="45" s="1"/>
  <c r="BQ253" i="45"/>
  <c r="CP253" i="45" s="1"/>
  <c r="BQ263" i="45"/>
  <c r="CP263" i="45" s="1"/>
  <c r="DI263" i="45" s="1"/>
  <c r="BQ171" i="45"/>
  <c r="CP171" i="45" s="1"/>
  <c r="BQ215" i="45"/>
  <c r="CP215" i="45" s="1"/>
  <c r="BK110" i="45"/>
  <c r="CO110" i="45" s="1"/>
  <c r="CY110" i="45" s="1"/>
  <c r="BQ120" i="45"/>
  <c r="CP120" i="45" s="1"/>
  <c r="BQ26" i="45"/>
  <c r="CP26" i="45" s="1"/>
  <c r="BQ187" i="45"/>
  <c r="CP187" i="45" s="1"/>
  <c r="DI187" i="45" s="1"/>
  <c r="BQ199" i="45"/>
  <c r="CP199" i="45" s="1"/>
  <c r="DI199" i="45" s="1"/>
  <c r="BQ288" i="45"/>
  <c r="CP288" i="45" s="1"/>
  <c r="DI288" i="45" s="1"/>
  <c r="BQ256" i="45"/>
  <c r="CP256" i="45" s="1"/>
  <c r="BQ210" i="45"/>
  <c r="CP210" i="45" s="1"/>
  <c r="BQ274" i="45"/>
  <c r="CP274" i="45" s="1"/>
  <c r="BQ55" i="45"/>
  <c r="CP55" i="45" s="1"/>
  <c r="BQ56" i="45"/>
  <c r="CP56" i="45" s="1"/>
  <c r="BQ232" i="45"/>
  <c r="CP232" i="45" s="1"/>
  <c r="DI232" i="45" s="1"/>
  <c r="BQ40" i="45"/>
  <c r="CP40" i="45" s="1"/>
  <c r="BQ160" i="45"/>
  <c r="CP160" i="45" s="1"/>
  <c r="BQ226" i="45"/>
  <c r="CP226" i="45" s="1"/>
  <c r="DI226" i="45" s="1"/>
  <c r="BQ119" i="45"/>
  <c r="CP119" i="45" s="1"/>
  <c r="CZ119" i="45" s="1"/>
  <c r="BQ129" i="45"/>
  <c r="CP129" i="45" s="1"/>
  <c r="BQ229" i="45"/>
  <c r="CP229" i="45" s="1"/>
  <c r="DI229" i="45" s="1"/>
  <c r="BQ247" i="45"/>
  <c r="CP247" i="45" s="1"/>
  <c r="BQ218" i="45"/>
  <c r="CP218" i="45" s="1"/>
  <c r="BQ282" i="45"/>
  <c r="CP282" i="45" s="1"/>
  <c r="BQ47" i="45"/>
  <c r="CP47" i="45" s="1"/>
  <c r="BQ240" i="45"/>
  <c r="CP240" i="45" s="1"/>
  <c r="BQ206" i="45"/>
  <c r="CP206" i="45" s="1"/>
  <c r="BQ98" i="45"/>
  <c r="CP98" i="45" s="1"/>
  <c r="DI98" i="45" s="1"/>
  <c r="BQ173" i="45"/>
  <c r="CP173" i="45" s="1"/>
  <c r="BQ267" i="45"/>
  <c r="CP267" i="45" s="1"/>
  <c r="BQ279" i="45"/>
  <c r="CP279" i="45" s="1"/>
  <c r="BK78" i="45"/>
  <c r="CO78" i="45" s="1"/>
  <c r="CY78" i="45" s="1"/>
  <c r="BK286" i="45"/>
  <c r="CO286" i="45" s="1"/>
  <c r="BC244" i="45"/>
  <c r="CN244" i="45" s="1"/>
  <c r="BQ197" i="45"/>
  <c r="CP197" i="45" s="1"/>
  <c r="DI197" i="45" s="1"/>
  <c r="BQ231" i="45"/>
  <c r="CP231" i="45" s="1"/>
  <c r="BQ186" i="45"/>
  <c r="CP186" i="45" s="1"/>
  <c r="BQ248" i="45"/>
  <c r="CP248" i="45" s="1"/>
  <c r="BQ287" i="45"/>
  <c r="CP287" i="45" s="1"/>
  <c r="DI287" i="45" s="1"/>
  <c r="BQ202" i="45"/>
  <c r="CP202" i="45" s="1"/>
  <c r="BQ243" i="45"/>
  <c r="CP243" i="45" s="1"/>
  <c r="BQ272" i="45"/>
  <c r="CP272" i="45" s="1"/>
  <c r="BQ255" i="45"/>
  <c r="CP255" i="45" s="1"/>
  <c r="BQ79" i="45"/>
  <c r="CP79" i="45" s="1"/>
  <c r="DI79" i="45" s="1"/>
  <c r="BK67" i="45"/>
  <c r="CO67" i="45" s="1"/>
  <c r="CY67" i="45" s="1"/>
  <c r="BQ168" i="45"/>
  <c r="CP168" i="45" s="1"/>
  <c r="BQ65" i="45"/>
  <c r="CP65" i="45" s="1"/>
  <c r="BQ223" i="45"/>
  <c r="CP223" i="45" s="1"/>
  <c r="BQ250" i="45"/>
  <c r="CP250" i="45" s="1"/>
  <c r="BQ144" i="45"/>
  <c r="CP144" i="45" s="1"/>
  <c r="BQ221" i="45"/>
  <c r="CP221" i="45" s="1"/>
  <c r="BQ142" i="45"/>
  <c r="CP142" i="45" s="1"/>
  <c r="BK276" i="45"/>
  <c r="CO276" i="45" s="1"/>
  <c r="BC276" i="45"/>
  <c r="CN276" i="45" s="1"/>
  <c r="CX276" i="45" s="1"/>
  <c r="BQ165" i="45"/>
  <c r="CP165" i="45" s="1"/>
  <c r="DI165" i="45" s="1"/>
  <c r="BK31" i="45"/>
  <c r="CO31" i="45" s="1"/>
  <c r="BQ280" i="45"/>
  <c r="CP280" i="45" s="1"/>
  <c r="DI280" i="45" s="1"/>
  <c r="BQ95" i="45"/>
  <c r="CP95" i="45" s="1"/>
  <c r="BQ176" i="45"/>
  <c r="CP176" i="45" s="1"/>
  <c r="BQ191" i="45"/>
  <c r="CP191" i="45" s="1"/>
  <c r="BQ254" i="45"/>
  <c r="CP254" i="45" s="1"/>
  <c r="BQ158" i="45"/>
  <c r="CP158" i="45" s="1"/>
  <c r="BQ301" i="45"/>
  <c r="CP301" i="45" s="1"/>
  <c r="BK126" i="45"/>
  <c r="CO126" i="45" s="1"/>
  <c r="BK46" i="45"/>
  <c r="CO46" i="45" s="1"/>
  <c r="BC148" i="45"/>
  <c r="CN148" i="45" s="1"/>
  <c r="BK270" i="45"/>
  <c r="CO270" i="45" s="1"/>
  <c r="CY88" i="45"/>
  <c r="BQ307" i="45"/>
  <c r="CP307" i="45" s="1"/>
  <c r="BQ258" i="45"/>
  <c r="CP258" i="45" s="1"/>
  <c r="BQ167" i="45"/>
  <c r="CP167" i="45" s="1"/>
  <c r="DI167" i="45" s="1"/>
  <c r="BQ49" i="45"/>
  <c r="CP49" i="45" s="1"/>
  <c r="DI49" i="45" s="1"/>
  <c r="BQ304" i="45"/>
  <c r="CP304" i="45" s="1"/>
  <c r="BQ32" i="45"/>
  <c r="CP32" i="45" s="1"/>
  <c r="DI32" i="45" s="1"/>
  <c r="BQ127" i="45"/>
  <c r="CP127" i="45" s="1"/>
  <c r="BQ16" i="45"/>
  <c r="CP16" i="45" s="1"/>
  <c r="BQ135" i="45"/>
  <c r="CP135" i="45" s="1"/>
  <c r="BQ200" i="45"/>
  <c r="CP200" i="45" s="1"/>
  <c r="BQ36" i="45"/>
  <c r="CP36" i="45" s="1"/>
  <c r="BQ234" i="45"/>
  <c r="CP234" i="45" s="1"/>
  <c r="DI234" i="45" s="1"/>
  <c r="BQ298" i="45"/>
  <c r="CP298" i="45" s="1"/>
  <c r="BQ192" i="45"/>
  <c r="CP192" i="45" s="1"/>
  <c r="BQ264" i="45"/>
  <c r="CP264" i="45" s="1"/>
  <c r="DI264" i="45" s="1"/>
  <c r="BQ295" i="45"/>
  <c r="CP295" i="45" s="1"/>
  <c r="DI295" i="45" s="1"/>
  <c r="BQ285" i="45"/>
  <c r="CP285" i="45" s="1"/>
  <c r="BQ193" i="45"/>
  <c r="CP193" i="45" s="1"/>
  <c r="BC180" i="45"/>
  <c r="CN180" i="45" s="1"/>
  <c r="BQ213" i="45"/>
  <c r="CP213" i="45" s="1"/>
  <c r="BQ147" i="45"/>
  <c r="CP147" i="45" s="1"/>
  <c r="BQ63" i="45"/>
  <c r="CP63" i="45" s="1"/>
  <c r="DI63" i="45" s="1"/>
  <c r="BQ159" i="45"/>
  <c r="CP159" i="45" s="1"/>
  <c r="DI159" i="45" s="1"/>
  <c r="BQ275" i="45"/>
  <c r="CP275" i="45" s="1"/>
  <c r="BQ290" i="45"/>
  <c r="CP290" i="45" s="1"/>
  <c r="DI290" i="45" s="1"/>
  <c r="C5" i="66"/>
  <c r="N5" i="66" s="1"/>
  <c r="C20" i="66"/>
  <c r="N20" i="66" s="1"/>
  <c r="C22" i="66"/>
  <c r="N22" i="66" s="1"/>
  <c r="C6" i="66"/>
  <c r="N6" i="66" s="1"/>
  <c r="C19" i="66"/>
  <c r="N19" i="66" s="1"/>
  <c r="C10" i="66"/>
  <c r="N10" i="66" s="1"/>
  <c r="C8" i="66"/>
  <c r="N8" i="66" s="1"/>
  <c r="C18" i="66"/>
  <c r="N18" i="66" s="1"/>
  <c r="C21" i="66"/>
  <c r="N21" i="66" s="1"/>
  <c r="C23" i="66"/>
  <c r="N23" i="66" s="1"/>
  <c r="C11" i="66"/>
  <c r="N11" i="66" s="1"/>
  <c r="AA44" i="51"/>
  <c r="C7" i="66"/>
  <c r="N7" i="66" s="1"/>
  <c r="C9" i="66"/>
  <c r="N9" i="66" s="1"/>
  <c r="CY139" i="45"/>
  <c r="CY94" i="45"/>
  <c r="CY263" i="45"/>
  <c r="CY301" i="45"/>
  <c r="CY251" i="45"/>
  <c r="CY215" i="45"/>
  <c r="CY107" i="45"/>
  <c r="CY142" i="45"/>
  <c r="CY267" i="45"/>
  <c r="CY229" i="45"/>
  <c r="CY20" i="45"/>
  <c r="CY279" i="45"/>
  <c r="CY221" i="45"/>
  <c r="CY129" i="45"/>
  <c r="CY235" i="45"/>
  <c r="CY257" i="45"/>
  <c r="CY285" i="45"/>
  <c r="CY98" i="45"/>
  <c r="CY203" i="45"/>
  <c r="CY254" i="45"/>
  <c r="CY302" i="45"/>
  <c r="CY193" i="45"/>
  <c r="CY206" i="45"/>
  <c r="CY295" i="45"/>
  <c r="CY174" i="45"/>
  <c r="CY119" i="45"/>
  <c r="CY238" i="45"/>
  <c r="CY189" i="45"/>
  <c r="CY299" i="45"/>
  <c r="CY283" i="45"/>
  <c r="CY171" i="45"/>
  <c r="CY190" i="45"/>
  <c r="CY183" i="45"/>
  <c r="CY173" i="45"/>
  <c r="CY253" i="45"/>
  <c r="CX39" i="45"/>
  <c r="CX102" i="45"/>
  <c r="CX262" i="45"/>
  <c r="CX166" i="45"/>
  <c r="CX70" i="45"/>
  <c r="CX64" i="45"/>
  <c r="CX20" i="45"/>
  <c r="CX112" i="45"/>
  <c r="CX80" i="45"/>
  <c r="CX136" i="45"/>
  <c r="CY158" i="45"/>
  <c r="CX158" i="45"/>
  <c r="CX117" i="45"/>
  <c r="CX246" i="45"/>
  <c r="CX134" i="45"/>
  <c r="CX294" i="45"/>
  <c r="CX214" i="45"/>
  <c r="CX104" i="45"/>
  <c r="CX212" i="45"/>
  <c r="CX128" i="45"/>
  <c r="CX230" i="45"/>
  <c r="CX182" i="45"/>
  <c r="CX133" i="45"/>
  <c r="CX43" i="45"/>
  <c r="CX170" i="45"/>
  <c r="CX83" i="45"/>
  <c r="CX153" i="45"/>
  <c r="CX251" i="45"/>
  <c r="CX299" i="45"/>
  <c r="CX22" i="45"/>
  <c r="CX149" i="45"/>
  <c r="CX114" i="45"/>
  <c r="CX175" i="45"/>
  <c r="CX219" i="45"/>
  <c r="CX27" i="45"/>
  <c r="CX154" i="45"/>
  <c r="CX30" i="45"/>
  <c r="CX235" i="45"/>
  <c r="CX35" i="45"/>
  <c r="CX163" i="45"/>
  <c r="CX207" i="45"/>
  <c r="CX86" i="45"/>
  <c r="CX278" i="45"/>
  <c r="CX28" i="45"/>
  <c r="CX48" i="45"/>
  <c r="CX54" i="45"/>
  <c r="CX38" i="45"/>
  <c r="CX51" i="45"/>
  <c r="CX139" i="45"/>
  <c r="CX74" i="45"/>
  <c r="CX291" i="45"/>
  <c r="CX45" i="45"/>
  <c r="CX33" i="45"/>
  <c r="CX99" i="45"/>
  <c r="CX53" i="45"/>
  <c r="CX19" i="45"/>
  <c r="CX146" i="45"/>
  <c r="CX239" i="45"/>
  <c r="CX115" i="45"/>
  <c r="CX131" i="45"/>
  <c r="CX59" i="45"/>
  <c r="CX58" i="45"/>
  <c r="CX281" i="45"/>
  <c r="CX61" i="45"/>
  <c r="CX75" i="45"/>
  <c r="CX66" i="45"/>
  <c r="CX259" i="45"/>
  <c r="CX271" i="45"/>
  <c r="CX118" i="45"/>
  <c r="CX23" i="45"/>
  <c r="CX72" i="45"/>
  <c r="CX44" i="45"/>
  <c r="CX96" i="45"/>
  <c r="CX198" i="45"/>
  <c r="CX69" i="45"/>
  <c r="CX17" i="45"/>
  <c r="CX283" i="45"/>
  <c r="CX106" i="45"/>
  <c r="CX143" i="45"/>
  <c r="CX77" i="45"/>
  <c r="CX91" i="45"/>
  <c r="CX85" i="45"/>
  <c r="CX50" i="45"/>
  <c r="CX178" i="45"/>
  <c r="CX217" i="45"/>
  <c r="CX41" i="45"/>
  <c r="CX90" i="45"/>
  <c r="CX227" i="45"/>
  <c r="CX93" i="45"/>
  <c r="CX130" i="45"/>
  <c r="CX150" i="45"/>
  <c r="CX157" i="45"/>
  <c r="CX67" i="45"/>
  <c r="BQ78" i="45"/>
  <c r="BK148" i="45"/>
  <c r="CO148" i="45" s="1"/>
  <c r="N61" i="66"/>
  <c r="W9" i="57"/>
  <c r="W8" i="57"/>
  <c r="V9" i="57"/>
  <c r="V8" i="57"/>
  <c r="X9" i="57"/>
  <c r="X8" i="57"/>
  <c r="Z295" i="65"/>
  <c r="Z92" i="65"/>
  <c r="Z111" i="65"/>
  <c r="Z267" i="65"/>
  <c r="Z137" i="65"/>
  <c r="Z27" i="65"/>
  <c r="Z127" i="65"/>
  <c r="Z28" i="65"/>
  <c r="Z35" i="65"/>
  <c r="Z130" i="65"/>
  <c r="Z290" i="65"/>
  <c r="Z46" i="65"/>
  <c r="Z180" i="65"/>
  <c r="Z276" i="65"/>
  <c r="Z205" i="65"/>
  <c r="Z40" i="65"/>
  <c r="Z135" i="65"/>
  <c r="Z270" i="65"/>
  <c r="Z67" i="65"/>
  <c r="Z134" i="65"/>
  <c r="Z55" i="65"/>
  <c r="Z280" i="65"/>
  <c r="Z110" i="65"/>
  <c r="Z29" i="65"/>
  <c r="Z284" i="65"/>
  <c r="C96" i="66"/>
  <c r="N96" i="66" s="1"/>
  <c r="AA22" i="51"/>
  <c r="Z181" i="65"/>
  <c r="Z277" i="65"/>
  <c r="Z51" i="65"/>
  <c r="C93" i="66"/>
  <c r="N93" i="66" s="1"/>
  <c r="AA17" i="51"/>
  <c r="Z107" i="65"/>
  <c r="Z242" i="65"/>
  <c r="Z100" i="65"/>
  <c r="Z61" i="65"/>
  <c r="Z157" i="65"/>
  <c r="Z215" i="65"/>
  <c r="Z88" i="65"/>
  <c r="Z18" i="65"/>
  <c r="Z81" i="65"/>
  <c r="Z273" i="65"/>
  <c r="Z206" i="65"/>
  <c r="Z300" i="65"/>
  <c r="Z38" i="65"/>
  <c r="Z197" i="65"/>
  <c r="Z32" i="65"/>
  <c r="Z223" i="65"/>
  <c r="Z96" i="65"/>
  <c r="Z192" i="65"/>
  <c r="Z123" i="65"/>
  <c r="Z217" i="65"/>
  <c r="Z246" i="65"/>
  <c r="Z188" i="65"/>
  <c r="Z233" i="65"/>
  <c r="Z260" i="65"/>
  <c r="Z122" i="65"/>
  <c r="Z101" i="65"/>
  <c r="Z190" i="65"/>
  <c r="Z57" i="65"/>
  <c r="Z254" i="65"/>
  <c r="Z21" i="65"/>
  <c r="Z45" i="65"/>
  <c r="Z301" i="65"/>
  <c r="Z72" i="65"/>
  <c r="Z163" i="65"/>
  <c r="Z65" i="65"/>
  <c r="Z74" i="65"/>
  <c r="Z234" i="65"/>
  <c r="Z22" i="65"/>
  <c r="C90" i="66"/>
  <c r="AA24" i="51"/>
  <c r="Z207" i="65"/>
  <c r="Z303" i="65"/>
  <c r="Z118" i="65"/>
  <c r="Z176" i="65"/>
  <c r="Z272" i="65"/>
  <c r="Z203" i="65"/>
  <c r="Z70" i="65"/>
  <c r="Z279" i="65"/>
  <c r="Z20" i="65"/>
  <c r="Z82" i="65"/>
  <c r="Z196" i="65"/>
  <c r="Z253" i="65"/>
  <c r="Z216" i="65"/>
  <c r="Z243" i="65"/>
  <c r="Z177" i="65"/>
  <c r="Z58" i="65"/>
  <c r="Z218" i="65"/>
  <c r="Z140" i="65"/>
  <c r="Z293" i="65"/>
  <c r="Z15" i="56"/>
  <c r="C92" i="66"/>
  <c r="N92" i="66" s="1"/>
  <c r="AA33" i="51"/>
  <c r="Z288" i="65"/>
  <c r="Z59" i="65"/>
  <c r="Z219" i="65"/>
  <c r="Z121" i="65"/>
  <c r="Z84" i="65"/>
  <c r="Z214" i="65"/>
  <c r="Z225" i="65"/>
  <c r="Z43" i="65"/>
  <c r="Z85" i="65"/>
  <c r="Z119" i="65"/>
  <c r="Z42" i="65"/>
  <c r="Z164" i="65"/>
  <c r="Z204" i="65"/>
  <c r="Z287" i="65"/>
  <c r="Z283" i="65"/>
  <c r="Z94" i="65"/>
  <c r="Z153" i="65"/>
  <c r="Z249" i="65"/>
  <c r="Z226" i="65"/>
  <c r="Z116" i="65"/>
  <c r="Z212" i="65"/>
  <c r="Z141" i="65"/>
  <c r="Z120" i="65"/>
  <c r="Z231" i="65"/>
  <c r="Z168" i="65"/>
  <c r="Z264" i="65"/>
  <c r="Z142" i="65"/>
  <c r="Z259" i="65"/>
  <c r="Z179" i="65"/>
  <c r="Z161" i="65"/>
  <c r="Z257" i="65"/>
  <c r="Z286" i="65"/>
  <c r="Z124" i="65"/>
  <c r="Z220" i="65"/>
  <c r="Z117" i="65"/>
  <c r="Z275" i="65"/>
  <c r="Z47" i="65"/>
  <c r="Z17" i="65"/>
  <c r="Z299" i="65"/>
  <c r="Z39" i="65"/>
  <c r="Z73" i="65"/>
  <c r="Z169" i="65"/>
  <c r="Z265" i="65"/>
  <c r="Z178" i="65"/>
  <c r="Z274" i="65"/>
  <c r="Z37" i="65"/>
  <c r="Z292" i="65"/>
  <c r="Z93" i="65"/>
  <c r="Z31" i="65"/>
  <c r="Z113" i="65"/>
  <c r="Z209" i="65"/>
  <c r="Z236" i="65"/>
  <c r="Z133" i="65"/>
  <c r="Z86" i="65"/>
  <c r="Z278" i="65"/>
  <c r="Z194" i="65"/>
  <c r="Z232" i="65"/>
  <c r="Z83" i="65"/>
  <c r="Z129" i="65"/>
  <c r="Z138" i="65"/>
  <c r="C95" i="66"/>
  <c r="N95" i="66" s="1"/>
  <c r="AA16" i="51"/>
  <c r="Z66" i="65"/>
  <c r="Z237" i="65"/>
  <c r="Z115" i="65"/>
  <c r="Z99" i="65"/>
  <c r="Z183" i="65"/>
  <c r="Z170" i="65"/>
  <c r="Z60" i="65"/>
  <c r="Z213" i="65"/>
  <c r="Z24" i="65"/>
  <c r="Z56" i="65"/>
  <c r="Z143" i="65"/>
  <c r="C91" i="66"/>
  <c r="N91" i="66" s="1"/>
  <c r="AA48" i="51"/>
  <c r="Z112" i="65"/>
  <c r="Z208" i="65"/>
  <c r="Z78" i="65"/>
  <c r="Z44" i="65"/>
  <c r="Z139" i="65"/>
  <c r="Z152" i="65"/>
  <c r="Z307" i="65"/>
  <c r="Z19" i="65"/>
  <c r="Z166" i="65"/>
  <c r="Z305" i="65"/>
  <c r="Z154" i="65"/>
  <c r="Z229" i="65"/>
  <c r="Z63" i="65"/>
  <c r="Z159" i="65"/>
  <c r="Z255" i="65"/>
  <c r="Z222" i="65"/>
  <c r="Z33" i="65"/>
  <c r="Z224" i="65"/>
  <c r="Z155" i="65"/>
  <c r="Z262" i="65"/>
  <c r="Z184" i="65"/>
  <c r="Z271" i="65"/>
  <c r="Z146" i="65"/>
  <c r="Z282" i="65"/>
  <c r="Z89" i="65"/>
  <c r="Z185" i="65"/>
  <c r="Z162" i="65"/>
  <c r="Z258" i="65"/>
  <c r="Z52" i="65"/>
  <c r="Z148" i="65"/>
  <c r="Z77" i="65"/>
  <c r="Z173" i="65"/>
  <c r="Z247" i="65"/>
  <c r="Z71" i="65"/>
  <c r="Z167" i="65"/>
  <c r="Z104" i="65"/>
  <c r="Z200" i="65"/>
  <c r="Z195" i="65"/>
  <c r="Z25" i="65"/>
  <c r="Z150" i="65"/>
  <c r="Z97" i="65"/>
  <c r="Z193" i="65"/>
  <c r="Z266" i="65"/>
  <c r="Z53" i="65"/>
  <c r="Z151" i="65"/>
  <c r="Z239" i="65"/>
  <c r="Z48" i="65"/>
  <c r="Z304" i="65"/>
  <c r="Z182" i="65"/>
  <c r="Z235" i="65"/>
  <c r="Z302" i="65"/>
  <c r="Z174" i="65"/>
  <c r="Z201" i="65"/>
  <c r="Z114" i="65"/>
  <c r="Z158" i="65"/>
  <c r="Z132" i="65"/>
  <c r="Z228" i="65"/>
  <c r="Z30" i="65"/>
  <c r="Z189" i="65"/>
  <c r="Z49" i="65"/>
  <c r="Z250" i="65"/>
  <c r="Z76" i="65"/>
  <c r="Z172" i="65"/>
  <c r="Z69" i="65"/>
  <c r="Z95" i="65"/>
  <c r="Z128" i="65"/>
  <c r="Z251" i="65"/>
  <c r="Z227" i="65"/>
  <c r="Z281" i="65"/>
  <c r="Z244" i="65"/>
  <c r="Z269" i="65"/>
  <c r="Z248" i="65"/>
  <c r="Z263" i="65"/>
  <c r="Z62" i="65"/>
  <c r="Z296" i="65"/>
  <c r="Z36" i="65"/>
  <c r="Z291" i="65"/>
  <c r="Z23" i="65"/>
  <c r="Z289" i="65"/>
  <c r="Z106" i="65"/>
  <c r="Z202" i="65"/>
  <c r="Z156" i="65"/>
  <c r="Z252" i="65"/>
  <c r="Z149" i="65"/>
  <c r="Z245" i="65"/>
  <c r="Z54" i="65"/>
  <c r="Z79" i="65"/>
  <c r="Z144" i="65"/>
  <c r="Z198" i="65"/>
  <c r="Z105" i="65"/>
  <c r="Z297" i="65"/>
  <c r="Z210" i="65"/>
  <c r="Z68" i="65"/>
  <c r="Z285" i="65"/>
  <c r="Z238" i="65"/>
  <c r="Z145" i="65"/>
  <c r="Z241" i="65"/>
  <c r="Z90" i="65"/>
  <c r="Z268" i="65"/>
  <c r="Z165" i="65"/>
  <c r="Z191" i="65"/>
  <c r="Z91" i="65"/>
  <c r="Z294" i="65"/>
  <c r="Z26" i="65"/>
  <c r="Z98" i="65"/>
  <c r="Z109" i="65"/>
  <c r="Z211" i="65"/>
  <c r="Z103" i="65"/>
  <c r="Z199" i="65"/>
  <c r="Z41" i="65"/>
  <c r="Z136" i="65"/>
  <c r="Z131" i="65"/>
  <c r="Z126" i="65"/>
  <c r="Z34" i="65"/>
  <c r="Z298" i="65"/>
  <c r="Z16" i="65"/>
  <c r="Z175" i="65"/>
  <c r="Z80" i="65"/>
  <c r="Z240" i="65"/>
  <c r="Z75" i="65"/>
  <c r="Z171" i="65"/>
  <c r="Z50" i="65"/>
  <c r="Z306" i="65"/>
  <c r="Z125" i="65"/>
  <c r="Z221" i="65"/>
  <c r="Z87" i="65"/>
  <c r="Z230" i="65"/>
  <c r="Z147" i="65"/>
  <c r="Z186" i="65"/>
  <c r="Z108" i="65"/>
  <c r="Z261" i="65"/>
  <c r="C94" i="66"/>
  <c r="N94" i="66" s="1"/>
  <c r="AA15" i="51"/>
  <c r="G13" i="51"/>
  <c r="Z64" i="65"/>
  <c r="Z160" i="65"/>
  <c r="Z256" i="65"/>
  <c r="Z102" i="65"/>
  <c r="Z187" i="65"/>
  <c r="AC225" i="48"/>
  <c r="AN225" i="54" s="1"/>
  <c r="D81" i="66"/>
  <c r="AA17" i="47"/>
  <c r="AA83" i="47"/>
  <c r="AA274" i="47"/>
  <c r="AA65" i="47"/>
  <c r="AA62" i="47"/>
  <c r="AA264" i="47"/>
  <c r="AA41" i="47"/>
  <c r="AA300" i="47"/>
  <c r="D82" i="66"/>
  <c r="AA15" i="47"/>
  <c r="H13" i="47"/>
  <c r="AA178" i="47"/>
  <c r="AA186" i="47"/>
  <c r="AA104" i="47"/>
  <c r="AA128" i="47"/>
  <c r="AA302" i="47"/>
  <c r="AA84" i="47"/>
  <c r="AA152" i="47"/>
  <c r="AA192" i="47"/>
  <c r="AA66" i="47"/>
  <c r="AA28" i="47"/>
  <c r="AA51" i="47"/>
  <c r="AA106" i="47"/>
  <c r="AA270" i="47"/>
  <c r="AA198" i="47"/>
  <c r="AA21" i="47"/>
  <c r="AA130" i="47"/>
  <c r="AA275" i="47"/>
  <c r="AA263" i="47"/>
  <c r="AA131" i="47"/>
  <c r="AA278" i="47"/>
  <c r="AA49" i="47"/>
  <c r="AA209" i="47"/>
  <c r="AA110" i="47"/>
  <c r="AA276" i="47"/>
  <c r="AA201" i="47"/>
  <c r="AA188" i="47"/>
  <c r="AA99" i="47"/>
  <c r="AA189" i="47"/>
  <c r="AA101" i="47"/>
  <c r="AA258" i="47"/>
  <c r="AA19" i="47"/>
  <c r="AA171" i="47"/>
  <c r="AA180" i="47"/>
  <c r="AA214" i="47"/>
  <c r="AA250" i="47"/>
  <c r="AA218" i="47"/>
  <c r="AA76" i="47"/>
  <c r="AA111" i="47"/>
  <c r="AA297" i="47"/>
  <c r="AA20" i="47"/>
  <c r="AA228" i="47"/>
  <c r="AA27" i="47"/>
  <c r="AA32" i="47"/>
  <c r="AA105" i="47"/>
  <c r="AA174" i="47"/>
  <c r="AA74" i="47"/>
  <c r="AA85" i="47"/>
  <c r="AA166" i="47"/>
  <c r="AA205" i="47"/>
  <c r="AA87" i="47"/>
  <c r="AA281" i="47"/>
  <c r="AA38" i="47"/>
  <c r="AA82" i="47"/>
  <c r="AA251" i="47"/>
  <c r="AA210" i="47"/>
  <c r="D79" i="66"/>
  <c r="AA47" i="47"/>
  <c r="AA153" i="47"/>
  <c r="AA115" i="47"/>
  <c r="AA267" i="47"/>
  <c r="AA194" i="47"/>
  <c r="AA69" i="47"/>
  <c r="AA176" i="47"/>
  <c r="D78" i="66"/>
  <c r="AA24" i="47"/>
  <c r="AA283" i="47"/>
  <c r="AA46" i="47"/>
  <c r="AA125" i="47"/>
  <c r="AA134" i="47"/>
  <c r="AA185" i="47"/>
  <c r="AA109" i="47"/>
  <c r="AA293" i="47"/>
  <c r="AA98" i="47"/>
  <c r="AA107" i="47"/>
  <c r="AA45" i="47"/>
  <c r="AA146" i="47"/>
  <c r="AA299" i="47"/>
  <c r="AA89" i="47"/>
  <c r="AA127" i="47"/>
  <c r="AA221" i="47"/>
  <c r="AA79" i="47"/>
  <c r="AA262" i="47"/>
  <c r="I360" i="47"/>
  <c r="AA68" i="47"/>
  <c r="AA53" i="47"/>
  <c r="AA165" i="47"/>
  <c r="AA244" i="47"/>
  <c r="AA97" i="47"/>
  <c r="AA172" i="47"/>
  <c r="AA124" i="47"/>
  <c r="AA247" i="47"/>
  <c r="AA223" i="47"/>
  <c r="AA168" i="47"/>
  <c r="AA254" i="47"/>
  <c r="AA282" i="47"/>
  <c r="AA287" i="47"/>
  <c r="AA237" i="47"/>
  <c r="AA191" i="47"/>
  <c r="AA36" i="47"/>
  <c r="AA225" i="47"/>
  <c r="AA226" i="47"/>
  <c r="AA273" i="47"/>
  <c r="AA129" i="47"/>
  <c r="AA243" i="47"/>
  <c r="AA112" i="47"/>
  <c r="AA70" i="47"/>
  <c r="AA150" i="47"/>
  <c r="AA272" i="47"/>
  <c r="AA187" i="47"/>
  <c r="AA55" i="47"/>
  <c r="AA126" i="47"/>
  <c r="AA222" i="47"/>
  <c r="AA295" i="47"/>
  <c r="AA43" i="47"/>
  <c r="AA123" i="47"/>
  <c r="AA242" i="47"/>
  <c r="AA31" i="47"/>
  <c r="AA204" i="47"/>
  <c r="AA200" i="47"/>
  <c r="AA59" i="47"/>
  <c r="AA229" i="47"/>
  <c r="AA202" i="47"/>
  <c r="AA239" i="47"/>
  <c r="AA75" i="47"/>
  <c r="AA305" i="47"/>
  <c r="AA271" i="47"/>
  <c r="AA57" i="47"/>
  <c r="AA207" i="47"/>
  <c r="AA35" i="47"/>
  <c r="AA233" i="47"/>
  <c r="AA143" i="47"/>
  <c r="AA103" i="47"/>
  <c r="AA248" i="47"/>
  <c r="AA256" i="47"/>
  <c r="AA72" i="47"/>
  <c r="AA132" i="47"/>
  <c r="AA183" i="47"/>
  <c r="AA307" i="47"/>
  <c r="AA182" i="47"/>
  <c r="AA100" i="47"/>
  <c r="AA81" i="47"/>
  <c r="AA255" i="47"/>
  <c r="AA145" i="47"/>
  <c r="AA173" i="47"/>
  <c r="AA290" i="47"/>
  <c r="AA138" i="47"/>
  <c r="AA158" i="47"/>
  <c r="AA88" i="47"/>
  <c r="AA285" i="47"/>
  <c r="AA91" i="47"/>
  <c r="AA86" i="47"/>
  <c r="AA215" i="47"/>
  <c r="AA122" i="47"/>
  <c r="AA279" i="47"/>
  <c r="AA193" i="47"/>
  <c r="AA77" i="47"/>
  <c r="AA149" i="47"/>
  <c r="AA60" i="47"/>
  <c r="AA161" i="47"/>
  <c r="AA120" i="47"/>
  <c r="D83" i="66"/>
  <c r="AA16" i="47"/>
  <c r="AA52" i="47"/>
  <c r="AA177" i="47"/>
  <c r="AA184" i="47"/>
  <c r="AA241" i="47"/>
  <c r="AA133" i="47"/>
  <c r="AA277" i="47"/>
  <c r="AA139" i="47"/>
  <c r="AA155" i="47"/>
  <c r="AA160" i="47"/>
  <c r="AA284" i="47"/>
  <c r="AA141" i="47"/>
  <c r="AA199" i="47"/>
  <c r="AA220" i="47"/>
  <c r="AA67" i="47"/>
  <c r="AA92" i="47"/>
  <c r="AA253" i="47"/>
  <c r="AA175" i="47"/>
  <c r="AA39" i="47"/>
  <c r="AA298" i="47"/>
  <c r="AA235" i="47"/>
  <c r="AA232" i="47"/>
  <c r="AA78" i="47"/>
  <c r="AA213" i="47"/>
  <c r="AA179" i="47"/>
  <c r="AA224" i="47"/>
  <c r="AA260" i="47"/>
  <c r="AA164" i="47"/>
  <c r="AA157" i="47"/>
  <c r="AA73" i="47"/>
  <c r="AA265" i="47"/>
  <c r="AA246" i="47"/>
  <c r="AA135" i="47"/>
  <c r="AA268" i="47"/>
  <c r="AA42" i="47"/>
  <c r="AA147" i="47"/>
  <c r="AA61" i="47"/>
  <c r="AA216" i="47"/>
  <c r="AA140" i="47"/>
  <c r="AA292" i="47"/>
  <c r="AA151" i="47"/>
  <c r="AA96" i="47"/>
  <c r="AA245" i="47"/>
  <c r="AA71" i="47"/>
  <c r="AA159" i="47"/>
  <c r="AA288" i="47"/>
  <c r="AA137" i="47"/>
  <c r="AA212" i="47"/>
  <c r="AA234" i="47"/>
  <c r="AA261" i="47"/>
  <c r="AA48" i="47"/>
  <c r="AA116" i="47"/>
  <c r="AA219" i="47"/>
  <c r="AA249" i="47"/>
  <c r="AA289" i="47"/>
  <c r="AA148" i="47"/>
  <c r="AA301" i="47"/>
  <c r="AA257" i="47"/>
  <c r="AA114" i="47"/>
  <c r="AA40" i="47"/>
  <c r="AA266" i="47"/>
  <c r="AA163" i="47"/>
  <c r="AA195" i="47"/>
  <c r="AA217" i="47"/>
  <c r="AA142" i="47"/>
  <c r="AA196" i="47"/>
  <c r="AA56" i="47"/>
  <c r="AA29" i="47"/>
  <c r="AA206" i="47"/>
  <c r="AA280" i="47"/>
  <c r="AA63" i="47"/>
  <c r="AB207" i="47"/>
  <c r="AB172" i="47"/>
  <c r="AB57" i="47"/>
  <c r="AB97" i="47"/>
  <c r="AB218" i="47"/>
  <c r="AB87" i="47"/>
  <c r="AB174" i="47"/>
  <c r="AB117" i="47"/>
  <c r="AB280" i="47"/>
  <c r="AB235" i="47"/>
  <c r="AB271" i="47"/>
  <c r="AB244" i="47"/>
  <c r="AB250" i="47"/>
  <c r="AB306" i="47"/>
  <c r="AB183" i="47"/>
  <c r="AB162" i="47"/>
  <c r="AB206" i="47"/>
  <c r="AB298" i="47"/>
  <c r="AB305" i="47"/>
  <c r="AB165" i="47"/>
  <c r="AB214" i="47"/>
  <c r="AB42" i="47"/>
  <c r="AB238" i="47"/>
  <c r="I337" i="47"/>
  <c r="AB29" i="47"/>
  <c r="AB39" i="47"/>
  <c r="AB75" i="47"/>
  <c r="AB53" i="47"/>
  <c r="AB180" i="47"/>
  <c r="AB138" i="47"/>
  <c r="AB213" i="47"/>
  <c r="AB37" i="47"/>
  <c r="AB56" i="47"/>
  <c r="AB175" i="47"/>
  <c r="AB239" i="47"/>
  <c r="AB68" i="47"/>
  <c r="AB171" i="47"/>
  <c r="AB247" i="47"/>
  <c r="AB124" i="47"/>
  <c r="AB291" i="47"/>
  <c r="AB196" i="47"/>
  <c r="AB253" i="47"/>
  <c r="AB202" i="47"/>
  <c r="AB19" i="47"/>
  <c r="AB268" i="47"/>
  <c r="AB132" i="47"/>
  <c r="AB156" i="47"/>
  <c r="AB142" i="47"/>
  <c r="AB92" i="47"/>
  <c r="AB229" i="47"/>
  <c r="AB262" i="47"/>
  <c r="AB258" i="47"/>
  <c r="AB135" i="47"/>
  <c r="AB269" i="47"/>
  <c r="AB227" i="47"/>
  <c r="AB217" i="47"/>
  <c r="AB67" i="47"/>
  <c r="AB59" i="47"/>
  <c r="AB79" i="47"/>
  <c r="AB101" i="47"/>
  <c r="AB246" i="47"/>
  <c r="AB105" i="47"/>
  <c r="AB154" i="47"/>
  <c r="AB195" i="47"/>
  <c r="AB220" i="47"/>
  <c r="AB200" i="47"/>
  <c r="AB221" i="47"/>
  <c r="AB189" i="47"/>
  <c r="AB290" i="47"/>
  <c r="AB264" i="47"/>
  <c r="AB119" i="47"/>
  <c r="AB166" i="47"/>
  <c r="AB76" i="47"/>
  <c r="I330" i="47"/>
  <c r="AB41" i="47"/>
  <c r="AB263" i="47"/>
  <c r="AB65" i="47"/>
  <c r="AB211" i="47"/>
  <c r="AB266" i="47"/>
  <c r="AB141" i="47"/>
  <c r="AB31" i="47"/>
  <c r="AB89" i="47"/>
  <c r="AB188" i="47"/>
  <c r="AB265" i="47"/>
  <c r="AB169" i="47"/>
  <c r="AB259" i="47"/>
  <c r="AB40" i="47"/>
  <c r="AB284" i="47"/>
  <c r="AB242" i="47"/>
  <c r="AB299" i="47"/>
  <c r="AB201" i="47"/>
  <c r="AB205" i="47"/>
  <c r="AB32" i="47"/>
  <c r="AB30" i="47"/>
  <c r="AB114" i="47"/>
  <c r="AB160" i="47"/>
  <c r="AB123" i="47"/>
  <c r="AB146" i="47"/>
  <c r="AB276" i="47"/>
  <c r="AB173" i="47"/>
  <c r="AB62" i="47"/>
  <c r="AB240" i="47"/>
  <c r="AB257" i="47"/>
  <c r="AB155" i="47"/>
  <c r="AB43" i="47"/>
  <c r="AB45" i="47"/>
  <c r="AB110" i="47"/>
  <c r="AB73" i="47"/>
  <c r="AB256" i="47"/>
  <c r="AB50" i="47"/>
  <c r="AB301" i="47"/>
  <c r="AB139" i="47"/>
  <c r="AB295" i="47"/>
  <c r="AB107" i="47"/>
  <c r="AB209" i="47"/>
  <c r="AB231" i="47"/>
  <c r="AB208" i="47"/>
  <c r="AB296" i="47"/>
  <c r="AB148" i="47"/>
  <c r="AB277" i="47"/>
  <c r="AB222" i="47"/>
  <c r="AB98" i="47"/>
  <c r="AB49" i="47"/>
  <c r="AB145" i="47"/>
  <c r="AB27" i="47"/>
  <c r="AB203" i="47"/>
  <c r="AB289" i="47"/>
  <c r="AB133" i="47"/>
  <c r="AB126" i="47"/>
  <c r="AB293" i="47"/>
  <c r="AB278" i="47"/>
  <c r="AB113" i="47"/>
  <c r="AB248" i="47"/>
  <c r="AB26" i="47"/>
  <c r="AB249" i="47"/>
  <c r="AB241" i="47"/>
  <c r="AB55" i="47"/>
  <c r="AB109" i="47"/>
  <c r="AB131" i="47"/>
  <c r="AB157" i="47"/>
  <c r="AB167" i="47"/>
  <c r="AB236" i="47"/>
  <c r="AB219" i="47"/>
  <c r="AB184" i="47"/>
  <c r="AB187" i="47"/>
  <c r="AB72" i="47"/>
  <c r="AB150" i="47"/>
  <c r="AB90" i="47"/>
  <c r="AB136" i="47"/>
  <c r="AB163" i="47"/>
  <c r="AB125" i="47"/>
  <c r="AB116" i="47"/>
  <c r="AB130" i="47"/>
  <c r="AB177" i="47"/>
  <c r="AB199" i="47"/>
  <c r="AB272" i="47"/>
  <c r="AB255" i="47"/>
  <c r="AB228" i="47"/>
  <c r="AB134" i="47"/>
  <c r="AB204" i="47"/>
  <c r="AB63" i="47"/>
  <c r="AB23" i="47"/>
  <c r="AB275" i="47"/>
  <c r="AB127" i="47"/>
  <c r="AB261" i="47"/>
  <c r="AB232" i="47"/>
  <c r="AB99" i="47"/>
  <c r="I331" i="47"/>
  <c r="AB44" i="47"/>
  <c r="AB70" i="47"/>
  <c r="AB286" i="47"/>
  <c r="AB54" i="47"/>
  <c r="AB46" i="47"/>
  <c r="AB147" i="47"/>
  <c r="AB243" i="47"/>
  <c r="AB273" i="47"/>
  <c r="AB93" i="47"/>
  <c r="AB158" i="47"/>
  <c r="AB69" i="47"/>
  <c r="AB140" i="47"/>
  <c r="AB192" i="47"/>
  <c r="AB91" i="47"/>
  <c r="AB223" i="47"/>
  <c r="AB270" i="47"/>
  <c r="AB51" i="47"/>
  <c r="AB282" i="47"/>
  <c r="AB191" i="47"/>
  <c r="AB260" i="47"/>
  <c r="AB85" i="47"/>
  <c r="AB251" i="47"/>
  <c r="AB194" i="47"/>
  <c r="AB294" i="47"/>
  <c r="AB100" i="47"/>
  <c r="AB128" i="47"/>
  <c r="AB281" i="47"/>
  <c r="AB118" i="47"/>
  <c r="AB143" i="47"/>
  <c r="AB179" i="47"/>
  <c r="AB153" i="47"/>
  <c r="AB137" i="47"/>
  <c r="AB78" i="47"/>
  <c r="AB197" i="47"/>
  <c r="AB28" i="47"/>
  <c r="AB60" i="47"/>
  <c r="AB64" i="47"/>
  <c r="AB170" i="47"/>
  <c r="AB152" i="47"/>
  <c r="AB129" i="47"/>
  <c r="AB18" i="47"/>
  <c r="AB216" i="47"/>
  <c r="AB86" i="47"/>
  <c r="AB176" i="47"/>
  <c r="AB35" i="47"/>
  <c r="AB303" i="47"/>
  <c r="AB80" i="47"/>
  <c r="AB164" i="47"/>
  <c r="AB103" i="47"/>
  <c r="AB144" i="47"/>
  <c r="AB234" i="47"/>
  <c r="AB120" i="47"/>
  <c r="AB112" i="47"/>
  <c r="AB283" i="47"/>
  <c r="AB198" i="47"/>
  <c r="AB102" i="47"/>
  <c r="AB274" i="47"/>
  <c r="AB34" i="47"/>
  <c r="AB287" i="47"/>
  <c r="AB212" i="47"/>
  <c r="AB193" i="47"/>
  <c r="AB288" i="47"/>
  <c r="AB215" i="47"/>
  <c r="AB108" i="47"/>
  <c r="AB254" i="47"/>
  <c r="AB95" i="47"/>
  <c r="AB304" i="47"/>
  <c r="AB161" i="47"/>
  <c r="AB225" i="47"/>
  <c r="AB149" i="47"/>
  <c r="AB237" i="47"/>
  <c r="AB82" i="47"/>
  <c r="AB178" i="47"/>
  <c r="AB267" i="47"/>
  <c r="I363" i="47"/>
  <c r="AB104" i="47"/>
  <c r="AB297" i="47"/>
  <c r="AB66" i="47"/>
  <c r="AB84" i="47"/>
  <c r="AB182" i="47"/>
  <c r="AB307" i="47"/>
  <c r="AB224" i="47"/>
  <c r="AB74" i="47"/>
  <c r="AB111" i="47"/>
  <c r="AB83" i="47"/>
  <c r="AB181" i="47"/>
  <c r="AB233" i="47"/>
  <c r="AB252" i="47"/>
  <c r="AB94" i="47"/>
  <c r="AB58" i="47"/>
  <c r="AB25" i="47"/>
  <c r="AB61" i="47"/>
  <c r="AB210" i="47"/>
  <c r="AB245" i="47"/>
  <c r="AB159" i="47"/>
  <c r="AB88" i="47"/>
  <c r="AB230" i="47"/>
  <c r="AB279" i="47"/>
  <c r="AB122" i="47"/>
  <c r="AB168" i="47"/>
  <c r="AB190" i="47"/>
  <c r="AB36" i="47"/>
  <c r="AB77" i="47"/>
  <c r="AB38" i="47"/>
  <c r="AB151" i="47"/>
  <c r="AB81" i="47"/>
  <c r="AB292" i="47"/>
  <c r="AB186" i="47"/>
  <c r="AB302" i="47"/>
  <c r="AB20" i="47"/>
  <c r="AB226" i="47"/>
  <c r="AB121" i="47"/>
  <c r="AB71" i="47"/>
  <c r="AB115" i="47"/>
  <c r="AB285" i="47"/>
  <c r="AB300" i="47"/>
  <c r="AB106" i="47"/>
  <c r="AB96" i="47"/>
  <c r="AB21" i="47"/>
  <c r="AB48" i="47"/>
  <c r="AB185" i="47"/>
  <c r="I348" i="47"/>
  <c r="AB52" i="47"/>
  <c r="AA230" i="47"/>
  <c r="AA197" i="47"/>
  <c r="AA181" i="47"/>
  <c r="AA294" i="47"/>
  <c r="AA286" i="47"/>
  <c r="AA167" i="47"/>
  <c r="AA208" i="47"/>
  <c r="AA169" i="47"/>
  <c r="AA269" i="47"/>
  <c r="AA238" i="47"/>
  <c r="AA121" i="47"/>
  <c r="AA108" i="47"/>
  <c r="AA304" i="47"/>
  <c r="AA102" i="47"/>
  <c r="AA44" i="47"/>
  <c r="AA113" i="47"/>
  <c r="AA231" i="47"/>
  <c r="AA54" i="47"/>
  <c r="AA306" i="47"/>
  <c r="AA303" i="47"/>
  <c r="AA95" i="47"/>
  <c r="AA252" i="47"/>
  <c r="AA170" i="47"/>
  <c r="AA93" i="47"/>
  <c r="AA25" i="47"/>
  <c r="AA94" i="47"/>
  <c r="AA18" i="47"/>
  <c r="AA58" i="47"/>
  <c r="AA190" i="47"/>
  <c r="AA64" i="47"/>
  <c r="AA80" i="47"/>
  <c r="AA118" i="47"/>
  <c r="AA34" i="47"/>
  <c r="AA144" i="47"/>
  <c r="AA23" i="47"/>
  <c r="D80" i="66"/>
  <c r="AA33" i="47"/>
  <c r="AA90" i="47"/>
  <c r="AA236" i="47"/>
  <c r="I552" i="47"/>
  <c r="AA26" i="47"/>
  <c r="AA203" i="47"/>
  <c r="AA296" i="47"/>
  <c r="AA50" i="47"/>
  <c r="AA240" i="47"/>
  <c r="AA30" i="47"/>
  <c r="AA259" i="47"/>
  <c r="AA211" i="47"/>
  <c r="AA119" i="47"/>
  <c r="AA154" i="47"/>
  <c r="AA227" i="47"/>
  <c r="AA156" i="47"/>
  <c r="AA291" i="47"/>
  <c r="AA37" i="47"/>
  <c r="D84" i="66"/>
  <c r="AA22" i="47"/>
  <c r="AA162" i="47"/>
  <c r="AA117" i="47"/>
  <c r="AA136" i="47"/>
  <c r="AB13" i="48"/>
  <c r="H10" i="46"/>
  <c r="CO59" i="45"/>
  <c r="CO91" i="45"/>
  <c r="CO44" i="45"/>
  <c r="F57" i="66"/>
  <c r="Q57" i="66" s="1"/>
  <c r="F54" i="66"/>
  <c r="Q54" i="66" s="1"/>
  <c r="CO123" i="45"/>
  <c r="CO28" i="45"/>
  <c r="CO151" i="45"/>
  <c r="CN15" i="45"/>
  <c r="BK15" i="45"/>
  <c r="F56" i="66"/>
  <c r="Q56" i="66" s="1"/>
  <c r="CO75" i="45"/>
  <c r="CO219" i="45"/>
  <c r="F55" i="66"/>
  <c r="Q55" i="66" s="1"/>
  <c r="F60" i="66"/>
  <c r="Q60" i="66" s="1"/>
  <c r="F59" i="66"/>
  <c r="F58" i="66"/>
  <c r="AK58" i="66"/>
  <c r="AK55" i="66"/>
  <c r="AK60" i="66"/>
  <c r="AK56" i="66"/>
  <c r="AK54" i="66"/>
  <c r="AK59" i="66"/>
  <c r="AK57" i="66"/>
  <c r="AU61" i="66"/>
  <c r="AA61" i="66"/>
  <c r="O61" i="66"/>
  <c r="Z13" i="54"/>
  <c r="N66" i="66"/>
  <c r="C73" i="66"/>
  <c r="N73" i="66" s="1"/>
  <c r="AC132" i="48"/>
  <c r="AN132" i="54" s="1"/>
  <c r="AC239" i="48"/>
  <c r="AN239" i="54" s="1"/>
  <c r="J13" i="48"/>
  <c r="J11" i="48" s="1"/>
  <c r="AC210" i="48"/>
  <c r="AN210" i="54" s="1"/>
  <c r="AC75" i="48"/>
  <c r="AN75" i="54" s="1"/>
  <c r="AC35" i="48"/>
  <c r="AN35" i="54" s="1"/>
  <c r="AC96" i="48"/>
  <c r="AN96" i="54" s="1"/>
  <c r="AC84" i="48"/>
  <c r="AN84" i="54" s="1"/>
  <c r="AC88" i="48"/>
  <c r="AN88" i="54" s="1"/>
  <c r="AC81" i="48"/>
  <c r="AN81" i="54" s="1"/>
  <c r="AC20" i="48"/>
  <c r="AN20" i="54" s="1"/>
  <c r="AC121" i="48"/>
  <c r="AN121" i="54" s="1"/>
  <c r="AC233" i="48"/>
  <c r="AN233" i="54" s="1"/>
  <c r="AC94" i="48"/>
  <c r="AN94" i="54" s="1"/>
  <c r="AC83" i="48"/>
  <c r="AN83" i="54" s="1"/>
  <c r="AC40" i="48"/>
  <c r="AN40" i="54" s="1"/>
  <c r="AC103" i="48"/>
  <c r="AN103" i="54" s="1"/>
  <c r="AC92" i="48"/>
  <c r="AN92" i="54" s="1"/>
  <c r="AC129" i="48"/>
  <c r="AN129" i="54" s="1"/>
  <c r="AC85" i="48"/>
  <c r="AN85" i="54" s="1"/>
  <c r="AC72" i="48"/>
  <c r="AN72" i="54" s="1"/>
  <c r="AC218" i="48"/>
  <c r="AN218" i="54" s="1"/>
  <c r="AC68" i="48"/>
  <c r="AN68" i="54" s="1"/>
  <c r="AD255" i="48"/>
  <c r="AO255" i="54" s="1"/>
  <c r="AC137" i="48"/>
  <c r="AN137" i="54" s="1"/>
  <c r="AC294" i="48"/>
  <c r="AN294" i="54" s="1"/>
  <c r="AC208" i="48"/>
  <c r="AN208" i="54" s="1"/>
  <c r="AC200" i="48"/>
  <c r="AN200" i="54" s="1"/>
  <c r="AC240" i="48"/>
  <c r="AN240" i="54" s="1"/>
  <c r="AC219" i="48"/>
  <c r="AN219" i="54" s="1"/>
  <c r="AC301" i="48"/>
  <c r="AN301" i="54" s="1"/>
  <c r="AC126" i="48"/>
  <c r="AN126" i="54" s="1"/>
  <c r="AC102" i="48"/>
  <c r="AN102" i="54" s="1"/>
  <c r="AC46" i="48"/>
  <c r="AN46" i="54" s="1"/>
  <c r="AC142" i="48"/>
  <c r="AN142" i="54" s="1"/>
  <c r="AC108" i="48"/>
  <c r="AN108" i="54" s="1"/>
  <c r="AC187" i="48"/>
  <c r="AN187" i="54" s="1"/>
  <c r="AC98" i="48"/>
  <c r="AN98" i="54" s="1"/>
  <c r="AC106" i="48"/>
  <c r="AN106" i="54" s="1"/>
  <c r="AC167" i="48"/>
  <c r="AN167" i="54" s="1"/>
  <c r="AC293" i="48"/>
  <c r="AN293" i="54" s="1"/>
  <c r="AD132" i="48"/>
  <c r="AO132" i="54" s="1"/>
  <c r="AC168" i="48"/>
  <c r="AN168" i="54" s="1"/>
  <c r="AC234" i="48"/>
  <c r="AN234" i="54" s="1"/>
  <c r="AC173" i="48"/>
  <c r="AN173" i="54" s="1"/>
  <c r="AC97" i="48"/>
  <c r="AN97" i="54" s="1"/>
  <c r="AC156" i="48"/>
  <c r="AN156" i="54" s="1"/>
  <c r="AC174" i="48"/>
  <c r="AN174" i="54" s="1"/>
  <c r="AC254" i="48"/>
  <c r="AN254" i="54" s="1"/>
  <c r="AC125" i="48"/>
  <c r="AN125" i="54" s="1"/>
  <c r="AC141" i="48"/>
  <c r="AN141" i="54" s="1"/>
  <c r="AD189" i="48"/>
  <c r="AO189" i="54" s="1"/>
  <c r="AC251" i="48"/>
  <c r="AN251" i="54" s="1"/>
  <c r="AC65" i="48"/>
  <c r="AN65" i="54" s="1"/>
  <c r="AC286" i="48"/>
  <c r="AN286" i="54" s="1"/>
  <c r="AC63" i="48"/>
  <c r="AN63" i="54" s="1"/>
  <c r="AC99" i="48"/>
  <c r="AN99" i="54" s="1"/>
  <c r="AC302" i="48"/>
  <c r="AN302" i="54" s="1"/>
  <c r="AC193" i="48"/>
  <c r="AN193" i="54" s="1"/>
  <c r="AC78" i="48"/>
  <c r="AN78" i="54" s="1"/>
  <c r="AC191" i="48"/>
  <c r="AN191" i="54" s="1"/>
  <c r="AC192" i="48"/>
  <c r="AN192" i="54" s="1"/>
  <c r="AC119" i="48"/>
  <c r="AN119" i="54" s="1"/>
  <c r="AC166" i="48"/>
  <c r="AN166" i="54" s="1"/>
  <c r="AC275" i="48"/>
  <c r="AN275" i="54" s="1"/>
  <c r="AC267" i="48"/>
  <c r="AN267" i="54" s="1"/>
  <c r="AC185" i="48"/>
  <c r="AN185" i="54" s="1"/>
  <c r="AD225" i="48"/>
  <c r="AO225" i="54" s="1"/>
  <c r="AD221" i="48"/>
  <c r="AO221" i="54" s="1"/>
  <c r="AC272" i="48"/>
  <c r="AN272" i="54" s="1"/>
  <c r="AC122" i="48"/>
  <c r="AN122" i="54" s="1"/>
  <c r="AC235" i="48"/>
  <c r="AN235" i="54" s="1"/>
  <c r="AC282" i="48"/>
  <c r="AN282" i="54" s="1"/>
  <c r="AC283" i="48"/>
  <c r="AN283" i="54" s="1"/>
  <c r="AC43" i="48"/>
  <c r="AN43" i="54" s="1"/>
  <c r="AC15" i="48"/>
  <c r="AN15" i="54" s="1"/>
  <c r="AC249" i="48"/>
  <c r="AN249" i="54" s="1"/>
  <c r="AC115" i="48"/>
  <c r="AN115" i="54" s="1"/>
  <c r="AC207" i="48"/>
  <c r="AN207" i="54" s="1"/>
  <c r="AC150" i="48"/>
  <c r="AN150" i="54" s="1"/>
  <c r="AC28" i="48"/>
  <c r="AN28" i="54" s="1"/>
  <c r="AC134" i="48"/>
  <c r="AN134" i="54" s="1"/>
  <c r="AC148" i="48"/>
  <c r="AN148" i="54" s="1"/>
  <c r="AC213" i="48"/>
  <c r="AN213" i="54" s="1"/>
  <c r="AC145" i="48"/>
  <c r="AN145" i="54" s="1"/>
  <c r="AC262" i="48"/>
  <c r="AN262" i="54" s="1"/>
  <c r="AC30" i="48"/>
  <c r="AN30" i="54" s="1"/>
  <c r="AC130" i="48"/>
  <c r="AN130" i="54" s="1"/>
  <c r="AC211" i="48"/>
  <c r="AN211" i="54" s="1"/>
  <c r="AC158" i="48"/>
  <c r="AN158" i="54" s="1"/>
  <c r="AC56" i="48"/>
  <c r="AN56" i="54" s="1"/>
  <c r="AC144" i="48"/>
  <c r="AN144" i="54" s="1"/>
  <c r="AC152" i="48"/>
  <c r="AN152" i="54" s="1"/>
  <c r="AC288" i="48"/>
  <c r="AN288" i="54" s="1"/>
  <c r="AC223" i="48"/>
  <c r="AN223" i="54" s="1"/>
  <c r="AC107" i="48"/>
  <c r="AN107" i="54" s="1"/>
  <c r="AC214" i="48"/>
  <c r="AN214" i="54" s="1"/>
  <c r="AC32" i="48"/>
  <c r="AN32" i="54" s="1"/>
  <c r="AC256" i="48"/>
  <c r="AN256" i="54" s="1"/>
  <c r="AC19" i="48"/>
  <c r="AN19" i="54" s="1"/>
  <c r="AC304" i="48"/>
  <c r="AN304" i="54" s="1"/>
  <c r="AC67" i="48"/>
  <c r="AN67" i="54" s="1"/>
  <c r="AC77" i="48"/>
  <c r="AN77" i="54" s="1"/>
  <c r="AD52" i="48"/>
  <c r="AO52" i="54" s="1"/>
  <c r="AD48" i="48"/>
  <c r="AO48" i="54" s="1"/>
  <c r="AC154" i="48"/>
  <c r="AN154" i="54" s="1"/>
  <c r="AC224" i="48"/>
  <c r="AN224" i="54" s="1"/>
  <c r="AC169" i="48"/>
  <c r="AN169" i="54" s="1"/>
  <c r="AC90" i="48"/>
  <c r="AN90" i="54" s="1"/>
  <c r="AC151" i="48"/>
  <c r="AN151" i="54" s="1"/>
  <c r="AC163" i="48"/>
  <c r="AN163" i="54" s="1"/>
  <c r="AC241" i="48"/>
  <c r="AN241" i="54" s="1"/>
  <c r="AC74" i="48"/>
  <c r="AN74" i="54" s="1"/>
  <c r="AC289" i="48"/>
  <c r="AN289" i="54" s="1"/>
  <c r="AC242" i="48"/>
  <c r="AN242" i="54" s="1"/>
  <c r="AC307" i="48"/>
  <c r="AN307" i="54" s="1"/>
  <c r="AC215" i="48"/>
  <c r="AN215" i="54" s="1"/>
  <c r="AC232" i="48"/>
  <c r="AN232" i="54" s="1"/>
  <c r="AC257" i="48"/>
  <c r="AN257" i="54" s="1"/>
  <c r="AC16" i="48"/>
  <c r="AN16" i="54" s="1"/>
  <c r="AC110" i="48"/>
  <c r="AN110" i="54" s="1"/>
  <c r="AC261" i="48"/>
  <c r="AN261" i="54" s="1"/>
  <c r="AC297" i="48"/>
  <c r="AN297" i="54" s="1"/>
  <c r="AD278" i="48"/>
  <c r="AO278" i="54" s="1"/>
  <c r="AC47" i="48"/>
  <c r="AN47" i="54" s="1"/>
  <c r="AC118" i="48"/>
  <c r="AN118" i="54" s="1"/>
  <c r="AC226" i="48"/>
  <c r="AN226" i="54" s="1"/>
  <c r="AC120" i="48"/>
  <c r="AN120" i="54" s="1"/>
  <c r="AC128" i="48"/>
  <c r="AN128" i="54" s="1"/>
  <c r="AC186" i="48"/>
  <c r="AN186" i="54" s="1"/>
  <c r="AD57" i="48"/>
  <c r="AO57" i="54" s="1"/>
  <c r="AC29" i="48"/>
  <c r="AN29" i="54" s="1"/>
  <c r="AC179" i="48"/>
  <c r="AN179" i="54" s="1"/>
  <c r="AC260" i="48"/>
  <c r="AN260" i="54" s="1"/>
  <c r="AC231" i="48"/>
  <c r="AN231" i="54" s="1"/>
  <c r="AC248" i="48"/>
  <c r="AN248" i="54" s="1"/>
  <c r="AC274" i="48"/>
  <c r="AN274" i="54" s="1"/>
  <c r="AC38" i="48"/>
  <c r="AN38" i="54" s="1"/>
  <c r="AC162" i="48"/>
  <c r="AN162" i="54" s="1"/>
  <c r="AC34" i="48"/>
  <c r="AN34" i="54" s="1"/>
  <c r="AC42" i="48"/>
  <c r="AN42" i="54" s="1"/>
  <c r="AC17" i="48"/>
  <c r="AN17" i="54" s="1"/>
  <c r="AC79" i="48"/>
  <c r="AN79" i="54" s="1"/>
  <c r="AC80" i="48"/>
  <c r="AN80" i="54" s="1"/>
  <c r="AC299" i="48"/>
  <c r="AN299" i="54" s="1"/>
  <c r="AC71" i="48"/>
  <c r="AN71" i="54" s="1"/>
  <c r="AC276" i="48"/>
  <c r="AN276" i="54" s="1"/>
  <c r="AC114" i="48"/>
  <c r="AN114" i="54" s="1"/>
  <c r="AC18" i="48"/>
  <c r="AN18" i="54" s="1"/>
  <c r="AD61" i="48"/>
  <c r="AO61" i="54" s="1"/>
  <c r="AC76" i="48"/>
  <c r="AN76" i="54" s="1"/>
  <c r="AC198" i="48"/>
  <c r="AN198" i="54" s="1"/>
  <c r="AC277" i="48"/>
  <c r="AN277" i="54" s="1"/>
  <c r="AC199" i="48"/>
  <c r="AN199" i="54" s="1"/>
  <c r="AC170" i="48"/>
  <c r="AN170" i="54" s="1"/>
  <c r="AC177" i="48"/>
  <c r="AN177" i="54" s="1"/>
  <c r="AC296" i="48"/>
  <c r="AN296" i="54" s="1"/>
  <c r="AC284" i="48"/>
  <c r="AN284" i="54" s="1"/>
  <c r="AC26" i="48"/>
  <c r="AN26" i="54" s="1"/>
  <c r="AD101" i="48"/>
  <c r="AO101" i="54" s="1"/>
  <c r="AD149" i="48"/>
  <c r="AO149" i="54" s="1"/>
  <c r="AC206" i="48"/>
  <c r="AN206" i="54" s="1"/>
  <c r="AC281" i="48"/>
  <c r="AN281" i="54" s="1"/>
  <c r="AC204" i="48"/>
  <c r="AN204" i="54" s="1"/>
  <c r="AC184" i="48"/>
  <c r="AN184" i="54" s="1"/>
  <c r="AC236" i="48"/>
  <c r="AN236" i="54" s="1"/>
  <c r="AC62" i="48"/>
  <c r="AN62" i="54" s="1"/>
  <c r="AC73" i="48"/>
  <c r="AN73" i="54" s="1"/>
  <c r="AD45" i="48"/>
  <c r="AO45" i="54" s="1"/>
  <c r="AC303" i="48"/>
  <c r="AN303" i="54" s="1"/>
  <c r="AC138" i="48"/>
  <c r="AN138" i="54" s="1"/>
  <c r="AC104" i="48"/>
  <c r="AN104" i="54" s="1"/>
  <c r="AC172" i="48"/>
  <c r="AN172" i="54" s="1"/>
  <c r="AC93" i="48"/>
  <c r="AN93" i="54" s="1"/>
  <c r="AC86" i="48"/>
  <c r="AN86" i="54" s="1"/>
  <c r="AC164" i="48"/>
  <c r="AN164" i="54" s="1"/>
  <c r="AC265" i="48"/>
  <c r="AN265" i="54" s="1"/>
  <c r="AD133" i="48"/>
  <c r="AO133" i="54" s="1"/>
  <c r="AD183" i="48"/>
  <c r="AO183" i="54" s="1"/>
  <c r="AC227" i="48"/>
  <c r="AN227" i="54" s="1"/>
  <c r="AC298" i="48"/>
  <c r="AN298" i="54" s="1"/>
  <c r="AC212" i="48"/>
  <c r="AN212" i="54" s="1"/>
  <c r="AC216" i="48"/>
  <c r="AN216" i="54" s="1"/>
  <c r="AC253" i="48"/>
  <c r="AN253" i="54" s="1"/>
  <c r="AC259" i="48"/>
  <c r="AN259" i="54" s="1"/>
  <c r="AC305" i="48"/>
  <c r="AN305" i="54" s="1"/>
  <c r="AC229" i="48"/>
  <c r="AN229" i="54" s="1"/>
  <c r="AC153" i="48"/>
  <c r="AN153" i="54" s="1"/>
  <c r="AC36" i="48"/>
  <c r="AN36" i="54" s="1"/>
  <c r="AC55" i="48"/>
  <c r="AN55" i="54" s="1"/>
  <c r="AC273" i="48"/>
  <c r="AN273" i="54" s="1"/>
  <c r="AC33" i="48"/>
  <c r="AN33" i="54" s="1"/>
  <c r="AC50" i="48"/>
  <c r="AN50" i="54" s="1"/>
  <c r="AC87" i="48"/>
  <c r="AN87" i="54" s="1"/>
  <c r="AD60" i="48"/>
  <c r="AO60" i="54" s="1"/>
  <c r="AC181" i="48"/>
  <c r="AN181" i="54" s="1"/>
  <c r="AC161" i="48"/>
  <c r="AN161" i="54" s="1"/>
  <c r="AC64" i="48"/>
  <c r="AN64" i="54" s="1"/>
  <c r="AC180" i="48"/>
  <c r="AN180" i="54" s="1"/>
  <c r="AC188" i="48"/>
  <c r="AN188" i="54" s="1"/>
  <c r="AC112" i="48"/>
  <c r="AN112" i="54" s="1"/>
  <c r="AC159" i="48"/>
  <c r="AN159" i="54" s="1"/>
  <c r="AC266" i="48"/>
  <c r="AN266" i="54" s="1"/>
  <c r="AC258" i="48"/>
  <c r="AN258" i="54" s="1"/>
  <c r="AD146" i="48"/>
  <c r="AO146" i="54" s="1"/>
  <c r="AC194" i="48"/>
  <c r="AN194" i="54" s="1"/>
  <c r="AC268" i="48"/>
  <c r="AN268" i="54" s="1"/>
  <c r="AC69" i="48"/>
  <c r="AN69" i="54" s="1"/>
  <c r="AC290" i="48"/>
  <c r="AN290" i="54" s="1"/>
  <c r="AC66" i="48"/>
  <c r="AN66" i="54" s="1"/>
  <c r="AC182" i="48"/>
  <c r="AN182" i="54" s="1"/>
  <c r="AC109" i="48"/>
  <c r="AN109" i="54" s="1"/>
  <c r="AD117" i="48"/>
  <c r="AO117" i="54" s="1"/>
  <c r="AC230" i="48"/>
  <c r="AN230" i="54" s="1"/>
  <c r="AC201" i="48"/>
  <c r="AN201" i="54" s="1"/>
  <c r="AC95" i="48"/>
  <c r="AN95" i="54" s="1"/>
  <c r="AC195" i="48"/>
  <c r="AN195" i="54" s="1"/>
  <c r="AC139" i="48"/>
  <c r="AN139" i="54" s="1"/>
  <c r="AC23" i="48"/>
  <c r="AN23" i="54" s="1"/>
  <c r="AC127" i="48"/>
  <c r="AN127" i="54" s="1"/>
  <c r="AC140" i="48"/>
  <c r="AN140" i="54" s="1"/>
  <c r="AC202" i="48"/>
  <c r="AN202" i="54" s="1"/>
  <c r="AC209" i="48"/>
  <c r="AN209" i="54" s="1"/>
  <c r="AD205" i="48"/>
  <c r="AO205" i="54" s="1"/>
  <c r="AC245" i="48"/>
  <c r="AN245" i="54" s="1"/>
  <c r="AC285" i="48"/>
  <c r="AN285" i="54" s="1"/>
  <c r="AC22" i="48"/>
  <c r="AN22" i="54" s="1"/>
  <c r="AC247" i="48"/>
  <c r="AN247" i="54" s="1"/>
  <c r="AC291" i="48"/>
  <c r="AN291" i="54" s="1"/>
  <c r="AC295" i="48"/>
  <c r="AN295" i="54" s="1"/>
  <c r="AC49" i="48"/>
  <c r="AN49" i="54" s="1"/>
  <c r="AC37" i="48"/>
  <c r="AN37" i="54" s="1"/>
  <c r="AC217" i="48"/>
  <c r="AN217" i="54" s="1"/>
  <c r="AC238" i="48"/>
  <c r="AN238" i="54" s="1"/>
  <c r="AD239" i="48"/>
  <c r="AO239" i="54" s="1"/>
  <c r="AC306" i="48"/>
  <c r="AN306" i="54" s="1"/>
  <c r="AC27" i="48"/>
  <c r="AN27" i="54" s="1"/>
  <c r="AC252" i="48"/>
  <c r="AN252" i="54" s="1"/>
  <c r="AC175" i="48"/>
  <c r="AN175" i="54" s="1"/>
  <c r="AC300" i="48"/>
  <c r="AN300" i="54" s="1"/>
  <c r="AC136" i="48"/>
  <c r="AN136" i="54" s="1"/>
  <c r="AC246" i="48"/>
  <c r="AN246" i="54" s="1"/>
  <c r="AD100" i="48"/>
  <c r="AO100" i="54" s="1"/>
  <c r="AC44" i="48"/>
  <c r="AN44" i="54" s="1"/>
  <c r="AC220" i="48"/>
  <c r="AN220" i="54" s="1"/>
  <c r="AC165" i="48"/>
  <c r="AN165" i="54" s="1"/>
  <c r="AC70" i="48"/>
  <c r="AN70" i="54" s="1"/>
  <c r="AC147" i="48"/>
  <c r="AN147" i="54" s="1"/>
  <c r="AC160" i="48"/>
  <c r="AN160" i="54" s="1"/>
  <c r="AC237" i="48"/>
  <c r="AN237" i="54" s="1"/>
  <c r="AD157" i="48"/>
  <c r="AO157" i="54" s="1"/>
  <c r="AC263" i="48"/>
  <c r="AN263" i="54" s="1"/>
  <c r="AD271" i="48"/>
  <c r="AO271" i="54" s="1"/>
  <c r="AC31" i="48"/>
  <c r="AN31" i="54" s="1"/>
  <c r="AC41" i="48"/>
  <c r="AN41" i="54" s="1"/>
  <c r="AC269" i="48"/>
  <c r="AN269" i="54" s="1"/>
  <c r="AC24" i="48"/>
  <c r="AN24" i="54" s="1"/>
  <c r="AC39" i="48"/>
  <c r="AN39" i="54" s="1"/>
  <c r="AC82" i="48"/>
  <c r="AN82" i="54" s="1"/>
  <c r="AC91" i="48"/>
  <c r="AN91" i="54" s="1"/>
  <c r="AD51" i="48"/>
  <c r="AO51" i="54" s="1"/>
  <c r="AC53" i="48"/>
  <c r="AN53" i="54" s="1"/>
  <c r="AC155" i="48"/>
  <c r="AN155" i="54" s="1"/>
  <c r="AC111" i="48"/>
  <c r="AN111" i="54" s="1"/>
  <c r="AC203" i="48"/>
  <c r="AN203" i="54" s="1"/>
  <c r="AC105" i="48"/>
  <c r="AN105" i="54" s="1"/>
  <c r="AC113" i="48"/>
  <c r="AN113" i="54" s="1"/>
  <c r="AC178" i="48"/>
  <c r="AN178" i="54" s="1"/>
  <c r="AD222" i="48"/>
  <c r="AO222" i="54" s="1"/>
  <c r="AD58" i="48"/>
  <c r="AO58" i="54" s="1"/>
  <c r="AD59" i="48"/>
  <c r="AO59" i="54" s="1"/>
  <c r="AC176" i="48"/>
  <c r="AN176" i="54" s="1"/>
  <c r="AC243" i="48"/>
  <c r="AN243" i="54" s="1"/>
  <c r="AC228" i="48"/>
  <c r="AN228" i="54" s="1"/>
  <c r="AC244" i="48"/>
  <c r="AN244" i="54" s="1"/>
  <c r="AC270" i="48"/>
  <c r="AN270" i="54" s="1"/>
  <c r="AC25" i="48"/>
  <c r="AN25" i="54" s="1"/>
  <c r="AC123" i="48"/>
  <c r="AN123" i="54" s="1"/>
  <c r="AC21" i="48"/>
  <c r="AN21" i="54" s="1"/>
  <c r="AC250" i="48"/>
  <c r="AN250" i="54" s="1"/>
  <c r="AC54" i="48"/>
  <c r="AN54" i="54" s="1"/>
  <c r="AC131" i="48"/>
  <c r="AN131" i="54" s="1"/>
  <c r="AC280" i="48"/>
  <c r="AN280" i="54" s="1"/>
  <c r="AC124" i="48"/>
  <c r="AN124" i="54" s="1"/>
  <c r="AC135" i="48"/>
  <c r="AN135" i="54" s="1"/>
  <c r="AC197" i="48"/>
  <c r="AN197" i="54" s="1"/>
  <c r="AD287" i="48"/>
  <c r="AO287" i="54" s="1"/>
  <c r="AD89" i="48"/>
  <c r="AO89" i="54" s="1"/>
  <c r="AD116" i="48"/>
  <c r="AO116" i="54" s="1"/>
  <c r="AC190" i="48"/>
  <c r="AN190" i="54" s="1"/>
  <c r="AC264" i="48"/>
  <c r="AN264" i="54" s="1"/>
  <c r="AC196" i="48"/>
  <c r="AN196" i="54" s="1"/>
  <c r="AC143" i="48"/>
  <c r="AN143" i="54" s="1"/>
  <c r="AC171" i="48"/>
  <c r="AN171" i="54" s="1"/>
  <c r="AC292" i="48"/>
  <c r="AN292" i="54" s="1"/>
  <c r="AC279" i="48"/>
  <c r="AN279" i="54" s="1"/>
  <c r="CN116" i="45"/>
  <c r="BK116" i="45"/>
  <c r="CO246" i="45"/>
  <c r="DH246" i="45" s="1"/>
  <c r="CN60" i="45"/>
  <c r="BK60" i="45"/>
  <c r="CN220" i="45"/>
  <c r="BK220" i="45"/>
  <c r="CN260" i="45"/>
  <c r="BK260" i="45"/>
  <c r="CN132" i="45"/>
  <c r="BK132" i="45"/>
  <c r="BK18" i="45"/>
  <c r="CN18" i="45"/>
  <c r="CN140" i="45"/>
  <c r="BK140" i="45"/>
  <c r="CN292" i="45"/>
  <c r="BK292" i="45"/>
  <c r="CO69" i="45"/>
  <c r="BK265" i="45"/>
  <c r="CN265" i="45"/>
  <c r="CO114" i="45"/>
  <c r="CO104" i="45"/>
  <c r="DH104" i="45" s="1"/>
  <c r="BK97" i="45"/>
  <c r="CN97" i="45"/>
  <c r="CO51" i="45"/>
  <c r="BK137" i="45"/>
  <c r="CN137" i="45"/>
  <c r="BK273" i="45"/>
  <c r="CN273" i="45"/>
  <c r="CO90" i="45"/>
  <c r="CO163" i="45"/>
  <c r="CO33" i="45"/>
  <c r="BK34" i="45"/>
  <c r="CN34" i="45"/>
  <c r="CO157" i="45"/>
  <c r="BK113" i="45"/>
  <c r="CO99" i="45"/>
  <c r="CO22" i="45"/>
  <c r="DH22" i="45" s="1"/>
  <c r="CO149" i="45"/>
  <c r="CO291" i="45"/>
  <c r="CO30" i="45"/>
  <c r="CO138" i="45"/>
  <c r="CO86" i="45"/>
  <c r="BB13" i="45"/>
  <c r="BB11" i="45" s="1"/>
  <c r="BK21" i="45"/>
  <c r="CN21" i="45"/>
  <c r="CN156" i="45"/>
  <c r="BK156" i="45"/>
  <c r="CO150" i="45"/>
  <c r="CN92" i="45"/>
  <c r="BK92" i="45"/>
  <c r="CN284" i="45"/>
  <c r="BK284" i="45"/>
  <c r="CO134" i="45"/>
  <c r="CO23" i="45"/>
  <c r="CN37" i="45"/>
  <c r="BK37" i="45"/>
  <c r="CN172" i="45"/>
  <c r="BK172" i="45"/>
  <c r="CO39" i="45"/>
  <c r="BK81" i="45"/>
  <c r="CN188" i="45"/>
  <c r="BK188" i="45"/>
  <c r="CO101" i="45"/>
  <c r="BK57" i="45"/>
  <c r="CN57" i="45"/>
  <c r="CO19" i="45"/>
  <c r="CO146" i="45"/>
  <c r="BK169" i="45"/>
  <c r="CN169" i="45"/>
  <c r="CN161" i="45"/>
  <c r="BK161" i="45"/>
  <c r="CO45" i="45"/>
  <c r="DH45" i="45" s="1"/>
  <c r="CO303" i="45"/>
  <c r="BK177" i="45"/>
  <c r="CN177" i="45"/>
  <c r="CN305" i="45"/>
  <c r="BK305" i="45"/>
  <c r="CO122" i="45"/>
  <c r="CO259" i="45"/>
  <c r="CO72" i="45"/>
  <c r="CO83" i="45"/>
  <c r="DH83" i="45" s="1"/>
  <c r="CO111" i="45"/>
  <c r="DH111" i="45" s="1"/>
  <c r="BK145" i="45"/>
  <c r="CN145" i="45"/>
  <c r="CO53" i="45"/>
  <c r="CO130" i="45"/>
  <c r="CO41" i="45"/>
  <c r="BK185" i="45"/>
  <c r="CN185" i="45"/>
  <c r="CO61" i="45"/>
  <c r="DH61" i="45" s="1"/>
  <c r="CO43" i="45"/>
  <c r="CO170" i="45"/>
  <c r="CO48" i="45"/>
  <c r="CO230" i="45"/>
  <c r="CN52" i="45"/>
  <c r="BK52" i="45"/>
  <c r="CN204" i="45"/>
  <c r="BK204" i="45"/>
  <c r="CO118" i="45"/>
  <c r="CN196" i="45"/>
  <c r="BK196" i="45"/>
  <c r="CN124" i="45"/>
  <c r="BK124" i="45"/>
  <c r="CO278" i="45"/>
  <c r="CO166" i="45"/>
  <c r="CN68" i="45"/>
  <c r="BK68" i="45"/>
  <c r="CN236" i="45"/>
  <c r="BK236" i="45"/>
  <c r="CO182" i="45"/>
  <c r="DH182" i="45" s="1"/>
  <c r="CN228" i="45"/>
  <c r="BK228" i="45"/>
  <c r="BK121" i="45"/>
  <c r="CN121" i="45"/>
  <c r="CO131" i="45"/>
  <c r="CN76" i="45"/>
  <c r="BK76" i="45"/>
  <c r="CN252" i="45"/>
  <c r="BK252" i="45"/>
  <c r="CO70" i="45"/>
  <c r="CO133" i="45"/>
  <c r="CO175" i="45"/>
  <c r="DH175" i="45" s="1"/>
  <c r="CO50" i="45"/>
  <c r="CO178" i="45"/>
  <c r="CO17" i="45"/>
  <c r="BK233" i="45"/>
  <c r="CN233" i="45"/>
  <c r="CO77" i="45"/>
  <c r="BK209" i="45"/>
  <c r="CN209" i="45"/>
  <c r="CO27" i="45"/>
  <c r="DH27" i="45" s="1"/>
  <c r="CO154" i="45"/>
  <c r="CO112" i="45"/>
  <c r="CO207" i="45"/>
  <c r="BK42" i="45"/>
  <c r="CN42" i="45"/>
  <c r="CO217" i="45"/>
  <c r="CO85" i="45"/>
  <c r="DH85" i="45" s="1"/>
  <c r="CO35" i="45"/>
  <c r="CO162" i="45"/>
  <c r="CO80" i="45"/>
  <c r="BK249" i="45"/>
  <c r="CN249" i="45"/>
  <c r="CO93" i="45"/>
  <c r="CO115" i="45"/>
  <c r="CO54" i="45"/>
  <c r="CO74" i="45"/>
  <c r="CO96" i="45"/>
  <c r="BK225" i="45"/>
  <c r="CN225" i="45"/>
  <c r="CN84" i="45"/>
  <c r="BK84" i="45"/>
  <c r="CN268" i="45"/>
  <c r="BK268" i="45"/>
  <c r="CO102" i="45"/>
  <c r="CO262" i="45"/>
  <c r="CN29" i="45"/>
  <c r="BK29" i="45"/>
  <c r="CN164" i="45"/>
  <c r="BK164" i="45"/>
  <c r="CO294" i="45"/>
  <c r="CN100" i="45"/>
  <c r="BK100" i="45"/>
  <c r="CN300" i="45"/>
  <c r="BK300" i="45"/>
  <c r="AT10" i="45"/>
  <c r="CO153" i="45"/>
  <c r="DH153" i="45" s="1"/>
  <c r="CN108" i="45"/>
  <c r="BK108" i="45"/>
  <c r="CO214" i="45"/>
  <c r="DH214" i="45" s="1"/>
  <c r="CO38" i="45"/>
  <c r="DH38" i="45" s="1"/>
  <c r="CO239" i="45"/>
  <c r="BK201" i="45"/>
  <c r="CN201" i="45"/>
  <c r="CO82" i="45"/>
  <c r="CO227" i="45"/>
  <c r="CO64" i="45"/>
  <c r="BK297" i="45"/>
  <c r="CN297" i="45"/>
  <c r="CO109" i="45"/>
  <c r="BK105" i="45"/>
  <c r="CN105" i="45"/>
  <c r="BK241" i="45"/>
  <c r="CN241" i="45"/>
  <c r="CO58" i="45"/>
  <c r="CO271" i="45"/>
  <c r="BK73" i="45"/>
  <c r="CN73" i="45"/>
  <c r="CO281" i="45"/>
  <c r="CO117" i="45"/>
  <c r="CO66" i="45"/>
  <c r="DH66" i="45" s="1"/>
  <c r="CO128" i="45"/>
  <c r="CO125" i="45"/>
  <c r="CO143" i="45"/>
  <c r="AU13" i="45"/>
  <c r="CO198" i="45"/>
  <c r="CO106" i="45"/>
  <c r="CO195" i="45"/>
  <c r="CO136" i="45"/>
  <c r="BK289" i="45"/>
  <c r="CN289" i="45"/>
  <c r="Z263" i="57"/>
  <c r="G270" i="68"/>
  <c r="G303" i="68"/>
  <c r="Z296" i="57"/>
  <c r="Z16" i="57"/>
  <c r="G23" i="68"/>
  <c r="G128" i="68"/>
  <c r="Z121" i="57"/>
  <c r="G105" i="68"/>
  <c r="Z98" i="57"/>
  <c r="Z258" i="57"/>
  <c r="G265" i="68"/>
  <c r="G91" i="68"/>
  <c r="Z84" i="57"/>
  <c r="Z173" i="57"/>
  <c r="G180" i="68"/>
  <c r="G218" i="68"/>
  <c r="Z211" i="57"/>
  <c r="G110" i="68"/>
  <c r="Z103" i="57"/>
  <c r="Z136" i="57"/>
  <c r="G143" i="68"/>
  <c r="Z131" i="57"/>
  <c r="G138" i="68"/>
  <c r="Z161" i="57"/>
  <c r="G168" i="68"/>
  <c r="Z298" i="57"/>
  <c r="G305" i="68"/>
  <c r="Z110" i="57"/>
  <c r="G117" i="68"/>
  <c r="Z29" i="57"/>
  <c r="G36" i="68"/>
  <c r="G291" i="68"/>
  <c r="Z284" i="57"/>
  <c r="Z181" i="57"/>
  <c r="G188" i="68"/>
  <c r="G118" i="68"/>
  <c r="Z111" i="57"/>
  <c r="Z207" i="57"/>
  <c r="G214" i="68"/>
  <c r="Z118" i="57"/>
  <c r="G125" i="68"/>
  <c r="G183" i="68"/>
  <c r="Z176" i="57"/>
  <c r="Z107" i="57"/>
  <c r="G114" i="68"/>
  <c r="Z279" i="57"/>
  <c r="G286" i="68"/>
  <c r="G314" i="68"/>
  <c r="Z307" i="57"/>
  <c r="Z19" i="57"/>
  <c r="G26" i="68"/>
  <c r="Z132" i="57"/>
  <c r="G139" i="68"/>
  <c r="G260" i="68"/>
  <c r="Z253" i="57"/>
  <c r="Z216" i="57"/>
  <c r="G223" i="68"/>
  <c r="Z58" i="57"/>
  <c r="G65" i="68"/>
  <c r="Z154" i="57"/>
  <c r="G161" i="68"/>
  <c r="Z300" i="57"/>
  <c r="G307" i="68"/>
  <c r="Z197" i="57"/>
  <c r="G204" i="68"/>
  <c r="G102" i="68"/>
  <c r="Z95" i="57"/>
  <c r="Z64" i="57"/>
  <c r="G71" i="68"/>
  <c r="Z224" i="57"/>
  <c r="G231" i="68"/>
  <c r="Z91" i="57"/>
  <c r="G98" i="68"/>
  <c r="G288" i="68"/>
  <c r="Z281" i="57"/>
  <c r="Z36" i="57"/>
  <c r="G43" i="68"/>
  <c r="Z55" i="57"/>
  <c r="G62" i="68"/>
  <c r="G50" i="68"/>
  <c r="Z43" i="57"/>
  <c r="Z39" i="57"/>
  <c r="G46" i="68"/>
  <c r="Z169" i="57"/>
  <c r="G176" i="68"/>
  <c r="G164" i="68"/>
  <c r="Z157" i="57"/>
  <c r="Z31" i="57"/>
  <c r="G38" i="68"/>
  <c r="G25" i="68"/>
  <c r="Z18" i="57"/>
  <c r="G280" i="68"/>
  <c r="Z273" i="57"/>
  <c r="Z204" i="57"/>
  <c r="G211" i="68"/>
  <c r="G108" i="68"/>
  <c r="Z101" i="57"/>
  <c r="Z255" i="57"/>
  <c r="G262" i="68"/>
  <c r="Z294" i="57"/>
  <c r="G301" i="68"/>
  <c r="Z217" i="57"/>
  <c r="G224" i="68"/>
  <c r="Z194" i="57"/>
  <c r="G201" i="68"/>
  <c r="Z46" i="57"/>
  <c r="G53" i="68"/>
  <c r="Z180" i="57"/>
  <c r="G187" i="68"/>
  <c r="Z269" i="57"/>
  <c r="G276" i="68"/>
  <c r="G255" i="68"/>
  <c r="Z248" i="57"/>
  <c r="G221" i="68"/>
  <c r="Z214" i="57"/>
  <c r="Z232" i="57"/>
  <c r="G239" i="68"/>
  <c r="Z227" i="57"/>
  <c r="G234" i="68"/>
  <c r="Z246" i="57"/>
  <c r="G253" i="68"/>
  <c r="Z280" i="57"/>
  <c r="G287" i="68"/>
  <c r="E20" i="68"/>
  <c r="X13" i="57"/>
  <c r="Z179" i="57"/>
  <c r="G186" i="68"/>
  <c r="Z257" i="57"/>
  <c r="G264" i="68"/>
  <c r="Z138" i="57"/>
  <c r="G145" i="68"/>
  <c r="Z234" i="57"/>
  <c r="G241" i="68"/>
  <c r="Z124" i="57"/>
  <c r="G131" i="68"/>
  <c r="Z22" i="57"/>
  <c r="G29" i="68"/>
  <c r="Z24" i="57"/>
  <c r="G31" i="68"/>
  <c r="Z56" i="57"/>
  <c r="G63" i="68"/>
  <c r="Z275" i="57"/>
  <c r="G282" i="68"/>
  <c r="G54" i="68"/>
  <c r="Z47" i="57"/>
  <c r="Z17" i="57"/>
  <c r="G24" i="68"/>
  <c r="G87" i="68"/>
  <c r="Z80" i="57"/>
  <c r="G279" i="68"/>
  <c r="Z272" i="57"/>
  <c r="Z203" i="57"/>
  <c r="G210" i="68"/>
  <c r="G77" i="68"/>
  <c r="Z70" i="57"/>
  <c r="Z105" i="57"/>
  <c r="G112" i="68"/>
  <c r="Z265" i="57"/>
  <c r="G272" i="68"/>
  <c r="G121" i="68"/>
  <c r="Z114" i="57"/>
  <c r="G281" i="68"/>
  <c r="Z274" i="57"/>
  <c r="G235" i="68"/>
  <c r="Z228" i="57"/>
  <c r="Z93" i="57"/>
  <c r="G100" i="68"/>
  <c r="Z189" i="57"/>
  <c r="G196" i="68"/>
  <c r="Z49" i="57"/>
  <c r="G56" i="68"/>
  <c r="Z209" i="57"/>
  <c r="G216" i="68"/>
  <c r="Z250" i="57"/>
  <c r="G257" i="68"/>
  <c r="G147" i="68"/>
  <c r="Z140" i="57"/>
  <c r="Z293" i="57"/>
  <c r="G300" i="68"/>
  <c r="G93" i="68"/>
  <c r="Z86" i="57"/>
  <c r="Z32" i="57"/>
  <c r="G39" i="68"/>
  <c r="Z191" i="57"/>
  <c r="G198" i="68"/>
  <c r="Z287" i="57"/>
  <c r="G294" i="68"/>
  <c r="Z160" i="57"/>
  <c r="G167" i="68"/>
  <c r="Z187" i="57"/>
  <c r="G194" i="68"/>
  <c r="Z262" i="57"/>
  <c r="G269" i="68"/>
  <c r="G69" i="68"/>
  <c r="Z62" i="57"/>
  <c r="Z65" i="57"/>
  <c r="G72" i="68"/>
  <c r="Z202" i="57"/>
  <c r="G209" i="68"/>
  <c r="Z245" i="57"/>
  <c r="G252" i="68"/>
  <c r="Z267" i="57"/>
  <c r="G274" i="68"/>
  <c r="G44" i="68"/>
  <c r="Z37" i="57"/>
  <c r="Z292" i="57"/>
  <c r="G299" i="68"/>
  <c r="G222" i="68"/>
  <c r="Z215" i="57"/>
  <c r="G64" i="68"/>
  <c r="Z57" i="57"/>
  <c r="Z35" i="57"/>
  <c r="G42" i="68"/>
  <c r="Z290" i="57"/>
  <c r="G297" i="68"/>
  <c r="Z276" i="57"/>
  <c r="G283" i="68"/>
  <c r="Z109" i="57"/>
  <c r="G116" i="68"/>
  <c r="Z205" i="57"/>
  <c r="G212" i="68"/>
  <c r="Z199" i="57"/>
  <c r="G206" i="68"/>
  <c r="Z270" i="57"/>
  <c r="G277" i="68"/>
  <c r="Z72" i="57"/>
  <c r="G79" i="68"/>
  <c r="Z67" i="57"/>
  <c r="G74" i="68"/>
  <c r="Z183" i="57"/>
  <c r="G190" i="68"/>
  <c r="G32" i="68"/>
  <c r="Z25" i="57"/>
  <c r="E4" i="68"/>
  <c r="E3" i="68"/>
  <c r="E10" i="68"/>
  <c r="E2" i="68"/>
  <c r="E1" i="68"/>
  <c r="E7" i="68"/>
  <c r="E9" i="68"/>
  <c r="E8" i="68"/>
  <c r="Z220" i="57"/>
  <c r="G227" i="68"/>
  <c r="Z117" i="57"/>
  <c r="G124" i="68"/>
  <c r="Z277" i="57"/>
  <c r="G284" i="68"/>
  <c r="Z143" i="57"/>
  <c r="G150" i="68"/>
  <c r="Z303" i="57"/>
  <c r="G310" i="68"/>
  <c r="Z112" i="57"/>
  <c r="G119" i="68"/>
  <c r="Z44" i="57"/>
  <c r="G51" i="68"/>
  <c r="G306" i="68"/>
  <c r="Z299" i="57"/>
  <c r="G159" i="68"/>
  <c r="Z152" i="57"/>
  <c r="Z198" i="57"/>
  <c r="G205" i="68"/>
  <c r="Z210" i="57"/>
  <c r="G217" i="68"/>
  <c r="Z68" i="57"/>
  <c r="G75" i="68"/>
  <c r="Z285" i="57"/>
  <c r="G292" i="68"/>
  <c r="Z166" i="57"/>
  <c r="G173" i="68"/>
  <c r="Z238" i="57"/>
  <c r="G245" i="68"/>
  <c r="Z145" i="57"/>
  <c r="G152" i="68"/>
  <c r="Z305" i="57"/>
  <c r="G312" i="68"/>
  <c r="Z90" i="57"/>
  <c r="G97" i="68"/>
  <c r="Z236" i="57"/>
  <c r="G243" i="68"/>
  <c r="Z38" i="57"/>
  <c r="G45" i="68"/>
  <c r="G140" i="68"/>
  <c r="Z133" i="57"/>
  <c r="Z15" i="57"/>
  <c r="G22" i="68"/>
  <c r="G13" i="57"/>
  <c r="Z28" i="57"/>
  <c r="G35" i="68"/>
  <c r="Z283" i="57"/>
  <c r="G290" i="68"/>
  <c r="Z26" i="57"/>
  <c r="G33" i="68"/>
  <c r="Z244" i="57"/>
  <c r="G251" i="68"/>
  <c r="Z41" i="57"/>
  <c r="G48" i="68"/>
  <c r="Z291" i="57"/>
  <c r="G298" i="68"/>
  <c r="Z126" i="57"/>
  <c r="G133" i="68"/>
  <c r="G195" i="68"/>
  <c r="Z188" i="57"/>
  <c r="Z85" i="57"/>
  <c r="G92" i="68"/>
  <c r="G151" i="68"/>
  <c r="Z144" i="57"/>
  <c r="Z178" i="57"/>
  <c r="G185" i="68"/>
  <c r="Z113" i="57"/>
  <c r="G120" i="68"/>
  <c r="G258" i="68"/>
  <c r="Z251" i="57"/>
  <c r="G160" i="68"/>
  <c r="Z153" i="57"/>
  <c r="Z21" i="57"/>
  <c r="G28" i="68"/>
  <c r="G123" i="68"/>
  <c r="Z116" i="57"/>
  <c r="Z45" i="57"/>
  <c r="G52" i="68"/>
  <c r="Z301" i="57"/>
  <c r="G308" i="68"/>
  <c r="Z295" i="57"/>
  <c r="G302" i="68"/>
  <c r="G170" i="68"/>
  <c r="Z163" i="57"/>
  <c r="Z150" i="57"/>
  <c r="G157" i="68"/>
  <c r="G104" i="68"/>
  <c r="Z97" i="57"/>
  <c r="G200" i="68"/>
  <c r="Z193" i="57"/>
  <c r="G81" i="68"/>
  <c r="Z74" i="57"/>
  <c r="G177" i="68"/>
  <c r="Z170" i="57"/>
  <c r="G67" i="68"/>
  <c r="Z60" i="57"/>
  <c r="Z213" i="57"/>
  <c r="G220" i="68"/>
  <c r="Z54" i="57"/>
  <c r="G61" i="68"/>
  <c r="G246" i="68"/>
  <c r="Z239" i="57"/>
  <c r="Z208" i="57"/>
  <c r="G215" i="68"/>
  <c r="G85" i="68"/>
  <c r="Z78" i="57"/>
  <c r="G146" i="68"/>
  <c r="Z139" i="57"/>
  <c r="G49" i="68"/>
  <c r="Z42" i="57"/>
  <c r="G208" i="68"/>
  <c r="Z201" i="57"/>
  <c r="Z50" i="57"/>
  <c r="G57" i="68"/>
  <c r="Z306" i="57"/>
  <c r="G313" i="68"/>
  <c r="Z158" i="57"/>
  <c r="G165" i="68"/>
  <c r="G171" i="68"/>
  <c r="Z164" i="57"/>
  <c r="Z30" i="57"/>
  <c r="G37" i="68"/>
  <c r="Z125" i="57"/>
  <c r="G132" i="68"/>
  <c r="G94" i="68"/>
  <c r="Z87" i="57"/>
  <c r="Z147" i="57"/>
  <c r="G154" i="68"/>
  <c r="Z186" i="57"/>
  <c r="G193" i="68"/>
  <c r="Z76" i="57"/>
  <c r="G83" i="68"/>
  <c r="Z229" i="57"/>
  <c r="G236" i="68"/>
  <c r="Z127" i="57"/>
  <c r="G134" i="68"/>
  <c r="G263" i="68"/>
  <c r="Z256" i="57"/>
  <c r="Z102" i="57"/>
  <c r="G109" i="68"/>
  <c r="Z123" i="57"/>
  <c r="G130" i="68"/>
  <c r="G256" i="68"/>
  <c r="Z249" i="57"/>
  <c r="Z130" i="57"/>
  <c r="G137" i="68"/>
  <c r="Z226" i="57"/>
  <c r="G233" i="68"/>
  <c r="Z212" i="57"/>
  <c r="G219" i="68"/>
  <c r="Z141" i="57"/>
  <c r="G148" i="68"/>
  <c r="Z40" i="57"/>
  <c r="G47" i="68"/>
  <c r="G142" i="68"/>
  <c r="Z135" i="57"/>
  <c r="G238" i="68"/>
  <c r="Z231" i="57"/>
  <c r="Z168" i="57"/>
  <c r="G175" i="68"/>
  <c r="Z264" i="57"/>
  <c r="G271" i="68"/>
  <c r="Z142" i="57"/>
  <c r="G149" i="68"/>
  <c r="Z259" i="57"/>
  <c r="G266" i="68"/>
  <c r="D20" i="68"/>
  <c r="W13" i="57"/>
  <c r="Z134" i="57"/>
  <c r="G141" i="68"/>
  <c r="G41" i="68"/>
  <c r="Z34" i="57"/>
  <c r="Z289" i="57"/>
  <c r="G296" i="68"/>
  <c r="G273" i="68"/>
  <c r="Z266" i="57"/>
  <c r="Z286" i="57"/>
  <c r="G293" i="68"/>
  <c r="G163" i="68"/>
  <c r="Z156" i="57"/>
  <c r="Z53" i="57"/>
  <c r="G60" i="68"/>
  <c r="V13" i="57"/>
  <c r="C20" i="68"/>
  <c r="Z79" i="57"/>
  <c r="G86" i="68"/>
  <c r="Z48" i="57"/>
  <c r="G55" i="68"/>
  <c r="Z304" i="57"/>
  <c r="G311" i="68"/>
  <c r="G189" i="68"/>
  <c r="Z182" i="57"/>
  <c r="Z235" i="57"/>
  <c r="G242" i="68"/>
  <c r="Z302" i="57"/>
  <c r="G309" i="68"/>
  <c r="Z119" i="57"/>
  <c r="G126" i="68"/>
  <c r="Z137" i="57"/>
  <c r="G144" i="68"/>
  <c r="Z297" i="57"/>
  <c r="G304" i="68"/>
  <c r="Z146" i="57"/>
  <c r="G153" i="68"/>
  <c r="Z260" i="57"/>
  <c r="G267" i="68"/>
  <c r="Z81" i="57"/>
  <c r="G88" i="68"/>
  <c r="G248" i="68"/>
  <c r="Z241" i="57"/>
  <c r="Z27" i="57"/>
  <c r="G34" i="68"/>
  <c r="Z282" i="57"/>
  <c r="G289" i="68"/>
  <c r="Z172" i="57"/>
  <c r="G179" i="68"/>
  <c r="Z69" i="57"/>
  <c r="G76" i="68"/>
  <c r="G70" i="68"/>
  <c r="Z63" i="57"/>
  <c r="G230" i="68"/>
  <c r="Z223" i="57"/>
  <c r="Z219" i="57"/>
  <c r="G226" i="68"/>
  <c r="G197" i="68"/>
  <c r="Z190" i="57"/>
  <c r="Z66" i="57"/>
  <c r="G73" i="68"/>
  <c r="Z254" i="57"/>
  <c r="G261" i="68"/>
  <c r="Z52" i="57"/>
  <c r="G59" i="68"/>
  <c r="Z237" i="57"/>
  <c r="G244" i="68"/>
  <c r="Z115" i="57"/>
  <c r="G122" i="68"/>
  <c r="G111" i="68"/>
  <c r="Z104" i="57"/>
  <c r="G106" i="68"/>
  <c r="Z99" i="57"/>
  <c r="D4" i="68"/>
  <c r="D3" i="68"/>
  <c r="D7" i="68"/>
  <c r="D1" i="68"/>
  <c r="D9" i="68"/>
  <c r="D8" i="68"/>
  <c r="D2" i="68"/>
  <c r="D10" i="68"/>
  <c r="Y15" i="65"/>
  <c r="F13" i="65"/>
  <c r="Y13" i="65" s="1"/>
  <c r="F7" i="65"/>
  <c r="Z184" i="57"/>
  <c r="G191" i="68"/>
  <c r="G136" i="68"/>
  <c r="Z129" i="57"/>
  <c r="G113" i="68"/>
  <c r="Z106" i="57"/>
  <c r="Z252" i="57"/>
  <c r="G259" i="68"/>
  <c r="G156" i="68"/>
  <c r="Z149" i="57"/>
  <c r="Z151" i="57"/>
  <c r="G158" i="68"/>
  <c r="C1" i="68"/>
  <c r="C9" i="68"/>
  <c r="C4" i="68"/>
  <c r="C3" i="68"/>
  <c r="C8" i="68"/>
  <c r="C10" i="68"/>
  <c r="C2" i="68"/>
  <c r="C7" i="68"/>
  <c r="Z175" i="57"/>
  <c r="G182" i="68"/>
  <c r="G82" i="68"/>
  <c r="Z75" i="57"/>
  <c r="Z174" i="57"/>
  <c r="G181" i="68"/>
  <c r="Z20" i="57"/>
  <c r="G27" i="68"/>
  <c r="Z242" i="57"/>
  <c r="G249" i="68"/>
  <c r="G107" i="68"/>
  <c r="Z100" i="57"/>
  <c r="Z61" i="57"/>
  <c r="G68" i="68"/>
  <c r="G228" i="68"/>
  <c r="Z221" i="57"/>
  <c r="G95" i="68"/>
  <c r="Z88" i="57"/>
  <c r="Z230" i="57"/>
  <c r="G237" i="68"/>
  <c r="G184" i="68"/>
  <c r="Z177" i="57"/>
  <c r="G213" i="68"/>
  <c r="Z206" i="57"/>
  <c r="Z268" i="57"/>
  <c r="G275" i="68"/>
  <c r="Z165" i="57"/>
  <c r="G172" i="68"/>
  <c r="G166" i="68"/>
  <c r="Z159" i="57"/>
  <c r="Z15" i="65"/>
  <c r="G7" i="65"/>
  <c r="G13" i="65"/>
  <c r="Z13" i="65" s="1"/>
  <c r="Z33" i="57"/>
  <c r="G40" i="68"/>
  <c r="Z96" i="57"/>
  <c r="G103" i="68"/>
  <c r="Z192" i="57"/>
  <c r="G199" i="68"/>
  <c r="Z278" i="57"/>
  <c r="G285" i="68"/>
  <c r="G101" i="68"/>
  <c r="Z94" i="57"/>
  <c r="Z89" i="57"/>
  <c r="G96" i="68"/>
  <c r="Z185" i="57"/>
  <c r="G192" i="68"/>
  <c r="G169" i="68"/>
  <c r="Z162" i="57"/>
  <c r="G155" i="68"/>
  <c r="Z148" i="57"/>
  <c r="Z77" i="57"/>
  <c r="G84" i="68"/>
  <c r="G254" i="68"/>
  <c r="Z247" i="57"/>
  <c r="Z120" i="57"/>
  <c r="G127" i="68"/>
  <c r="Z71" i="57"/>
  <c r="G78" i="68"/>
  <c r="G174" i="68"/>
  <c r="Z167" i="57"/>
  <c r="G207" i="68"/>
  <c r="Z200" i="57"/>
  <c r="Z195" i="57"/>
  <c r="G202" i="68"/>
  <c r="Z23" i="57"/>
  <c r="G30" i="68"/>
  <c r="F22" i="68"/>
  <c r="Y15" i="57"/>
  <c r="F13" i="57"/>
  <c r="Z83" i="57"/>
  <c r="G90" i="68"/>
  <c r="G232" i="68"/>
  <c r="Z225" i="57"/>
  <c r="Z92" i="57"/>
  <c r="G99" i="68"/>
  <c r="Z51" i="57"/>
  <c r="G58" i="68"/>
  <c r="Z271" i="57"/>
  <c r="G278" i="68"/>
  <c r="G247" i="68"/>
  <c r="Z240" i="57"/>
  <c r="Z171" i="57"/>
  <c r="G178" i="68"/>
  <c r="Z73" i="57"/>
  <c r="G80" i="68"/>
  <c r="Z233" i="57"/>
  <c r="G240" i="68"/>
  <c r="Z82" i="57"/>
  <c r="G89" i="68"/>
  <c r="G203" i="68"/>
  <c r="Z196" i="57"/>
  <c r="G250" i="68"/>
  <c r="Z243" i="57"/>
  <c r="Z122" i="57"/>
  <c r="G129" i="68"/>
  <c r="Z218" i="57"/>
  <c r="G225" i="68"/>
  <c r="Z108" i="57"/>
  <c r="G115" i="68"/>
  <c r="Z261" i="57"/>
  <c r="G268" i="68"/>
  <c r="G229" i="68"/>
  <c r="Z222" i="57"/>
  <c r="Z128" i="57"/>
  <c r="G135" i="68"/>
  <c r="G295" i="68"/>
  <c r="Z288" i="57"/>
  <c r="G66" i="68"/>
  <c r="Z59" i="57"/>
  <c r="Z155" i="57"/>
  <c r="G162" i="68"/>
  <c r="I11" i="48"/>
  <c r="I10" i="48"/>
  <c r="I13" i="46"/>
  <c r="Q14" i="60" s="1"/>
  <c r="H11" i="46"/>
  <c r="C22" i="60" l="1"/>
  <c r="C75" i="15" s="1"/>
  <c r="DK205" i="45"/>
  <c r="CM13" i="45"/>
  <c r="R13" i="60"/>
  <c r="CZ205" i="45"/>
  <c r="BQ251" i="45"/>
  <c r="CP251" i="45" s="1"/>
  <c r="P11" i="46"/>
  <c r="X14" i="60"/>
  <c r="DK141" i="45"/>
  <c r="DK269" i="45"/>
  <c r="O30" i="60"/>
  <c r="C30" i="60" s="1"/>
  <c r="C25" i="60"/>
  <c r="CS261" i="45"/>
  <c r="DC261" i="45" s="1"/>
  <c r="CS89" i="45"/>
  <c r="DC89" i="45" s="1"/>
  <c r="CS269" i="45"/>
  <c r="DC269" i="45" s="1"/>
  <c r="CS141" i="45"/>
  <c r="DC141" i="45" s="1"/>
  <c r="CS245" i="45"/>
  <c r="DC245" i="45" s="1"/>
  <c r="CS205" i="45"/>
  <c r="DC205" i="45" s="1"/>
  <c r="CS25" i="45"/>
  <c r="DC25" i="45" s="1"/>
  <c r="BQ20" i="45"/>
  <c r="CP20" i="45" s="1"/>
  <c r="DI20" i="45" s="1"/>
  <c r="DA261" i="45"/>
  <c r="DK245" i="45"/>
  <c r="DK89" i="45"/>
  <c r="CE63" i="45"/>
  <c r="CR63" i="45" s="1"/>
  <c r="CK63" i="45"/>
  <c r="CE199" i="45"/>
  <c r="CR199" i="45" s="1"/>
  <c r="CK199" i="45"/>
  <c r="CE257" i="45"/>
  <c r="CR257" i="45" s="1"/>
  <c r="CK257" i="45"/>
  <c r="CE155" i="45"/>
  <c r="CR155" i="45" s="1"/>
  <c r="CK155" i="45"/>
  <c r="CE208" i="45"/>
  <c r="CR208" i="45" s="1"/>
  <c r="CK208" i="45"/>
  <c r="CE216" i="45"/>
  <c r="CR216" i="45" s="1"/>
  <c r="CK216" i="45"/>
  <c r="CE293" i="45"/>
  <c r="CR293" i="45" s="1"/>
  <c r="CK293" i="45"/>
  <c r="CV245" i="45"/>
  <c r="DE245" i="45"/>
  <c r="CW245" i="45"/>
  <c r="DF245" i="45"/>
  <c r="CE285" i="45"/>
  <c r="CR285" i="45" s="1"/>
  <c r="CK285" i="45"/>
  <c r="CE298" i="45"/>
  <c r="CR298" i="45" s="1"/>
  <c r="CK298" i="45"/>
  <c r="CE135" i="45"/>
  <c r="CR135" i="45" s="1"/>
  <c r="CK135" i="45"/>
  <c r="CE304" i="45"/>
  <c r="CR304" i="45" s="1"/>
  <c r="CK304" i="45"/>
  <c r="CE307" i="45"/>
  <c r="CR307" i="45" s="1"/>
  <c r="CK307" i="45"/>
  <c r="CE191" i="45"/>
  <c r="CR191" i="45" s="1"/>
  <c r="CK191" i="45"/>
  <c r="CE221" i="45"/>
  <c r="CR221" i="45" s="1"/>
  <c r="CK221" i="45"/>
  <c r="CE223" i="45"/>
  <c r="CR223" i="45" s="1"/>
  <c r="CK223" i="45"/>
  <c r="CE79" i="45"/>
  <c r="CR79" i="45" s="1"/>
  <c r="CK79" i="45"/>
  <c r="CE202" i="45"/>
  <c r="CR202" i="45" s="1"/>
  <c r="CK202" i="45"/>
  <c r="CE231" i="45"/>
  <c r="CR231" i="45" s="1"/>
  <c r="CK231" i="45"/>
  <c r="CE279" i="45"/>
  <c r="CR279" i="45" s="1"/>
  <c r="CK279" i="45"/>
  <c r="CE206" i="45"/>
  <c r="CR206" i="45" s="1"/>
  <c r="CK206" i="45"/>
  <c r="CE218" i="45"/>
  <c r="CR218" i="45" s="1"/>
  <c r="CK218" i="45"/>
  <c r="CE129" i="45"/>
  <c r="CR129" i="45" s="1"/>
  <c r="CK129" i="45"/>
  <c r="CE40" i="45"/>
  <c r="CR40" i="45" s="1"/>
  <c r="CK40" i="45"/>
  <c r="CE274" i="45"/>
  <c r="CR274" i="45" s="1"/>
  <c r="CK274" i="45"/>
  <c r="CE253" i="45"/>
  <c r="CR253" i="45" s="1"/>
  <c r="CK253" i="45"/>
  <c r="CE88" i="45"/>
  <c r="CR88" i="45" s="1"/>
  <c r="CK88" i="45"/>
  <c r="CE299" i="45"/>
  <c r="CR299" i="45" s="1"/>
  <c r="CK299" i="45"/>
  <c r="CE302" i="45"/>
  <c r="CR302" i="45" s="1"/>
  <c r="CK302" i="45"/>
  <c r="CV25" i="45"/>
  <c r="DE25" i="45"/>
  <c r="CW25" i="45"/>
  <c r="DF25" i="45"/>
  <c r="CE290" i="45"/>
  <c r="CR290" i="45" s="1"/>
  <c r="CK290" i="45"/>
  <c r="CE147" i="45"/>
  <c r="CR147" i="45" s="1"/>
  <c r="CK147" i="45"/>
  <c r="CE240" i="45"/>
  <c r="CR240" i="45" s="1"/>
  <c r="CK240" i="45"/>
  <c r="CE103" i="45"/>
  <c r="CR103" i="45" s="1"/>
  <c r="CK103" i="45"/>
  <c r="CE242" i="45"/>
  <c r="CR242" i="45" s="1"/>
  <c r="CK242" i="45"/>
  <c r="CE152" i="45"/>
  <c r="CR152" i="45" s="1"/>
  <c r="CK152" i="45"/>
  <c r="CE194" i="45"/>
  <c r="CR194" i="45" s="1"/>
  <c r="CK194" i="45"/>
  <c r="CE183" i="45"/>
  <c r="CR183" i="45" s="1"/>
  <c r="CK183" i="45"/>
  <c r="CE203" i="45"/>
  <c r="CR203" i="45" s="1"/>
  <c r="CK203" i="45"/>
  <c r="CE174" i="45"/>
  <c r="CR174" i="45" s="1"/>
  <c r="CK174" i="45"/>
  <c r="CE237" i="45"/>
  <c r="CR237" i="45" s="1"/>
  <c r="CK237" i="45"/>
  <c r="CE295" i="45"/>
  <c r="CR295" i="45" s="1"/>
  <c r="CK295" i="45"/>
  <c r="CE234" i="45"/>
  <c r="CR234" i="45" s="1"/>
  <c r="CK234" i="45"/>
  <c r="CE16" i="45"/>
  <c r="CR16" i="45" s="1"/>
  <c r="CK16" i="45"/>
  <c r="CE49" i="45"/>
  <c r="CR49" i="45" s="1"/>
  <c r="CK49" i="45"/>
  <c r="CE301" i="45"/>
  <c r="CR301" i="45" s="1"/>
  <c r="CK301" i="45"/>
  <c r="CE176" i="45"/>
  <c r="CR176" i="45" s="1"/>
  <c r="CK176" i="45"/>
  <c r="CE165" i="45"/>
  <c r="CR165" i="45" s="1"/>
  <c r="CK165" i="45"/>
  <c r="CE20" i="45"/>
  <c r="CR20" i="45" s="1"/>
  <c r="CK20" i="45"/>
  <c r="CE65" i="45"/>
  <c r="CR65" i="45" s="1"/>
  <c r="CK65" i="45"/>
  <c r="CE255" i="45"/>
  <c r="CR255" i="45" s="1"/>
  <c r="CK255" i="45"/>
  <c r="CE287" i="45"/>
  <c r="CR287" i="45" s="1"/>
  <c r="CK287" i="45"/>
  <c r="CE197" i="45"/>
  <c r="CR197" i="45" s="1"/>
  <c r="CK197" i="45"/>
  <c r="CE267" i="45"/>
  <c r="CR267" i="45" s="1"/>
  <c r="CK267" i="45"/>
  <c r="CE247" i="45"/>
  <c r="CR247" i="45" s="1"/>
  <c r="CK247" i="45"/>
  <c r="CE119" i="45"/>
  <c r="CR119" i="45" s="1"/>
  <c r="CK119" i="45"/>
  <c r="CE232" i="45"/>
  <c r="CR232" i="45" s="1"/>
  <c r="CK232" i="45"/>
  <c r="CE210" i="45"/>
  <c r="CR210" i="45" s="1"/>
  <c r="CK210" i="45"/>
  <c r="CE187" i="45"/>
  <c r="CR187" i="45" s="1"/>
  <c r="CK187" i="45"/>
  <c r="CE215" i="45"/>
  <c r="CR215" i="45" s="1"/>
  <c r="CK215" i="45"/>
  <c r="CE24" i="45"/>
  <c r="CR24" i="45" s="1"/>
  <c r="CK24" i="45"/>
  <c r="CE277" i="45"/>
  <c r="CR277" i="45" s="1"/>
  <c r="CK277" i="45"/>
  <c r="CE306" i="45"/>
  <c r="CR306" i="45" s="1"/>
  <c r="CK306" i="45"/>
  <c r="CE94" i="45"/>
  <c r="CR94" i="45" s="1"/>
  <c r="CK94" i="45"/>
  <c r="CE190" i="45"/>
  <c r="CR190" i="45" s="1"/>
  <c r="CK190" i="45"/>
  <c r="CV89" i="45"/>
  <c r="DE89" i="45"/>
  <c r="CW89" i="45"/>
  <c r="DF89" i="45"/>
  <c r="CE275" i="45"/>
  <c r="CR275" i="45" s="1"/>
  <c r="CK275" i="45"/>
  <c r="CE213" i="45"/>
  <c r="CR213" i="45" s="1"/>
  <c r="CK213" i="45"/>
  <c r="CE248" i="45"/>
  <c r="CR248" i="45" s="1"/>
  <c r="CK248" i="45"/>
  <c r="CE224" i="45"/>
  <c r="CR224" i="45" s="1"/>
  <c r="CK224" i="45"/>
  <c r="CE179" i="45"/>
  <c r="CR179" i="45" s="1"/>
  <c r="CK179" i="45"/>
  <c r="CE266" i="45"/>
  <c r="CR266" i="45" s="1"/>
  <c r="CK266" i="45"/>
  <c r="CE189" i="45"/>
  <c r="CR189" i="45" s="1"/>
  <c r="CK189" i="45"/>
  <c r="CE139" i="45"/>
  <c r="CR139" i="45" s="1"/>
  <c r="CK139" i="45"/>
  <c r="CE264" i="45"/>
  <c r="CR264" i="45" s="1"/>
  <c r="CK264" i="45"/>
  <c r="CE36" i="45"/>
  <c r="CR36" i="45" s="1"/>
  <c r="CK36" i="45"/>
  <c r="CE127" i="45"/>
  <c r="CR127" i="45" s="1"/>
  <c r="CK127" i="45"/>
  <c r="CE167" i="45"/>
  <c r="CR167" i="45" s="1"/>
  <c r="CK167" i="45"/>
  <c r="CE158" i="45"/>
  <c r="CR158" i="45" s="1"/>
  <c r="CK158" i="45"/>
  <c r="CE95" i="45"/>
  <c r="CR95" i="45" s="1"/>
  <c r="CK95" i="45"/>
  <c r="CE144" i="45"/>
  <c r="CR144" i="45" s="1"/>
  <c r="CK144" i="45"/>
  <c r="CE168" i="45"/>
  <c r="CR168" i="45" s="1"/>
  <c r="CK168" i="45"/>
  <c r="CE272" i="45"/>
  <c r="CR272" i="45" s="1"/>
  <c r="CK272" i="45"/>
  <c r="CE173" i="45"/>
  <c r="CR173" i="45" s="1"/>
  <c r="CK173" i="45"/>
  <c r="CE47" i="45"/>
  <c r="CR47" i="45" s="1"/>
  <c r="CK47" i="45"/>
  <c r="CE229" i="45"/>
  <c r="CR229" i="45" s="1"/>
  <c r="CK229" i="45"/>
  <c r="CE226" i="45"/>
  <c r="CR226" i="45" s="1"/>
  <c r="CK226" i="45"/>
  <c r="CE56" i="45"/>
  <c r="CR56" i="45" s="1"/>
  <c r="CK56" i="45"/>
  <c r="CE256" i="45"/>
  <c r="CR256" i="45" s="1"/>
  <c r="CK256" i="45"/>
  <c r="CE26" i="45"/>
  <c r="CR26" i="45" s="1"/>
  <c r="CK26" i="45"/>
  <c r="CE171" i="45"/>
  <c r="CR171" i="45" s="1"/>
  <c r="CK171" i="45"/>
  <c r="CE87" i="45"/>
  <c r="CR87" i="45" s="1"/>
  <c r="CK87" i="45"/>
  <c r="CE296" i="45"/>
  <c r="CR296" i="45" s="1"/>
  <c r="CK296" i="45"/>
  <c r="CE238" i="45"/>
  <c r="CR238" i="45" s="1"/>
  <c r="CK238" i="45"/>
  <c r="DA245" i="45"/>
  <c r="CE159" i="45"/>
  <c r="CR159" i="45" s="1"/>
  <c r="CK159" i="45"/>
  <c r="CE192" i="45"/>
  <c r="CR192" i="45" s="1"/>
  <c r="CK192" i="45"/>
  <c r="CE211" i="45"/>
  <c r="CR211" i="45" s="1"/>
  <c r="CK211" i="45"/>
  <c r="CE71" i="45"/>
  <c r="CR71" i="45" s="1"/>
  <c r="CK71" i="45"/>
  <c r="CE181" i="45"/>
  <c r="CR181" i="45" s="1"/>
  <c r="CK181" i="45"/>
  <c r="DK25" i="45"/>
  <c r="CV269" i="45"/>
  <c r="DE269" i="45"/>
  <c r="CW269" i="45"/>
  <c r="DF269" i="45"/>
  <c r="DE141" i="45"/>
  <c r="CV141" i="45"/>
  <c r="DF141" i="45"/>
  <c r="CW141" i="45"/>
  <c r="DE205" i="45"/>
  <c r="CV205" i="45"/>
  <c r="CW205" i="45"/>
  <c r="DF205" i="45"/>
  <c r="CE193" i="45"/>
  <c r="CR193" i="45" s="1"/>
  <c r="CE200" i="45"/>
  <c r="CR200" i="45" s="1"/>
  <c r="CK200" i="45"/>
  <c r="CE32" i="45"/>
  <c r="CR32" i="45" s="1"/>
  <c r="CK32" i="45"/>
  <c r="CE258" i="45"/>
  <c r="CR258" i="45" s="1"/>
  <c r="CK258" i="45"/>
  <c r="CE254" i="45"/>
  <c r="CR254" i="45" s="1"/>
  <c r="CK254" i="45"/>
  <c r="CE280" i="45"/>
  <c r="CR280" i="45" s="1"/>
  <c r="CK280" i="45"/>
  <c r="CE142" i="45"/>
  <c r="CR142" i="45" s="1"/>
  <c r="CK142" i="45"/>
  <c r="CE250" i="45"/>
  <c r="CR250" i="45" s="1"/>
  <c r="CK250" i="45"/>
  <c r="CE243" i="45"/>
  <c r="CR243" i="45" s="1"/>
  <c r="CK243" i="45"/>
  <c r="CE186" i="45"/>
  <c r="CR186" i="45" s="1"/>
  <c r="CK186" i="45"/>
  <c r="CE98" i="45"/>
  <c r="CR98" i="45" s="1"/>
  <c r="CK98" i="45"/>
  <c r="CE282" i="45"/>
  <c r="CR282" i="45" s="1"/>
  <c r="CK282" i="45"/>
  <c r="CE251" i="45"/>
  <c r="CR251" i="45" s="1"/>
  <c r="CK251" i="45"/>
  <c r="CE160" i="45"/>
  <c r="CR160" i="45" s="1"/>
  <c r="CK160" i="45"/>
  <c r="CE55" i="45"/>
  <c r="CR55" i="45" s="1"/>
  <c r="CK55" i="45"/>
  <c r="CE288" i="45"/>
  <c r="CR288" i="45" s="1"/>
  <c r="CK288" i="45"/>
  <c r="CE120" i="45"/>
  <c r="CR120" i="45" s="1"/>
  <c r="CK120" i="45"/>
  <c r="CE263" i="45"/>
  <c r="CR263" i="45" s="1"/>
  <c r="CK263" i="45"/>
  <c r="CE184" i="45"/>
  <c r="CR184" i="45" s="1"/>
  <c r="CK184" i="45"/>
  <c r="CV261" i="45"/>
  <c r="DE261" i="45"/>
  <c r="CW261" i="45"/>
  <c r="DF261" i="45"/>
  <c r="BY237" i="45"/>
  <c r="CQ237" i="45" s="1"/>
  <c r="BQ299" i="45"/>
  <c r="CP299" i="45" s="1"/>
  <c r="DI299" i="45" s="1"/>
  <c r="CZ269" i="45"/>
  <c r="CZ25" i="45"/>
  <c r="BQ190" i="45"/>
  <c r="CP190" i="45" s="1"/>
  <c r="DI190" i="45" s="1"/>
  <c r="BQ174" i="45"/>
  <c r="CP174" i="45" s="1"/>
  <c r="CZ174" i="45" s="1"/>
  <c r="BQ139" i="45"/>
  <c r="CP139" i="45" s="1"/>
  <c r="CZ139" i="45" s="1"/>
  <c r="BQ302" i="45"/>
  <c r="CP302" i="45" s="1"/>
  <c r="DI302" i="45" s="1"/>
  <c r="BQ276" i="45"/>
  <c r="CP276" i="45" s="1"/>
  <c r="DI276" i="45" s="1"/>
  <c r="CZ89" i="45"/>
  <c r="DA269" i="45"/>
  <c r="BQ238" i="45"/>
  <c r="CP238" i="45" s="1"/>
  <c r="DI238" i="45" s="1"/>
  <c r="DA141" i="45"/>
  <c r="DA89" i="45"/>
  <c r="DA25" i="45"/>
  <c r="K14" i="60"/>
  <c r="BC13" i="45"/>
  <c r="S13" i="60" s="1"/>
  <c r="DB261" i="45"/>
  <c r="DK261" i="45"/>
  <c r="DJ89" i="45"/>
  <c r="DB89" i="45"/>
  <c r="DJ141" i="45"/>
  <c r="DB141" i="45"/>
  <c r="DJ25" i="45"/>
  <c r="DB25" i="45"/>
  <c r="DJ205" i="45"/>
  <c r="DB205" i="45"/>
  <c r="DJ269" i="45"/>
  <c r="DB269" i="45"/>
  <c r="DJ245" i="45"/>
  <c r="DB245" i="45"/>
  <c r="BQ203" i="45"/>
  <c r="CP203" i="45" s="1"/>
  <c r="DI203" i="45" s="1"/>
  <c r="BQ94" i="45"/>
  <c r="CP94" i="45" s="1"/>
  <c r="CZ94" i="45" s="1"/>
  <c r="DA205" i="45"/>
  <c r="CZ103" i="45"/>
  <c r="BY301" i="45"/>
  <c r="CQ301" i="45" s="1"/>
  <c r="BY302" i="45"/>
  <c r="CQ302" i="45" s="1"/>
  <c r="BY304" i="45"/>
  <c r="CQ304" i="45" s="1"/>
  <c r="BY307" i="45"/>
  <c r="CQ307" i="45" s="1"/>
  <c r="DA307" i="45" s="1"/>
  <c r="BY306" i="45"/>
  <c r="CQ306" i="45" s="1"/>
  <c r="BY63" i="45"/>
  <c r="CQ63" i="45" s="1"/>
  <c r="BY103" i="45"/>
  <c r="CQ103" i="45" s="1"/>
  <c r="BY242" i="45"/>
  <c r="CQ242" i="45" s="1"/>
  <c r="BY152" i="45"/>
  <c r="CQ152" i="45" s="1"/>
  <c r="DJ152" i="45" s="1"/>
  <c r="BY194" i="45"/>
  <c r="CQ194" i="45" s="1"/>
  <c r="BY183" i="45"/>
  <c r="CQ183" i="45" s="1"/>
  <c r="CQ193" i="45"/>
  <c r="DA193" i="45" s="1"/>
  <c r="BY203" i="45"/>
  <c r="CQ203" i="45" s="1"/>
  <c r="BY234" i="45"/>
  <c r="CQ234" i="45" s="1"/>
  <c r="DJ234" i="45" s="1"/>
  <c r="BY16" i="45"/>
  <c r="CQ16" i="45" s="1"/>
  <c r="BY49" i="45"/>
  <c r="CQ49" i="45" s="1"/>
  <c r="BY94" i="45"/>
  <c r="CQ94" i="45" s="1"/>
  <c r="BY95" i="45"/>
  <c r="CQ95" i="45" s="1"/>
  <c r="BY20" i="45"/>
  <c r="CQ20" i="45" s="1"/>
  <c r="DJ20" i="45" s="1"/>
  <c r="BY65" i="45"/>
  <c r="CQ65" i="45" s="1"/>
  <c r="BY255" i="45"/>
  <c r="CQ255" i="45" s="1"/>
  <c r="BY287" i="45"/>
  <c r="CQ287" i="45" s="1"/>
  <c r="BY197" i="45"/>
  <c r="CQ197" i="45" s="1"/>
  <c r="BY267" i="45"/>
  <c r="CQ267" i="45" s="1"/>
  <c r="DJ267" i="45" s="1"/>
  <c r="BY206" i="45"/>
  <c r="CQ206" i="45" s="1"/>
  <c r="BY218" i="45"/>
  <c r="CQ218" i="45" s="1"/>
  <c r="BY251" i="45"/>
  <c r="CQ251" i="45" s="1"/>
  <c r="DJ251" i="45" s="1"/>
  <c r="BY226" i="45"/>
  <c r="CQ226" i="45" s="1"/>
  <c r="BY56" i="45"/>
  <c r="CQ56" i="45" s="1"/>
  <c r="BY256" i="45"/>
  <c r="CQ256" i="45" s="1"/>
  <c r="BY26" i="45"/>
  <c r="CQ26" i="45" s="1"/>
  <c r="BY171" i="45"/>
  <c r="CQ171" i="45" s="1"/>
  <c r="BY87" i="45"/>
  <c r="CQ87" i="45" s="1"/>
  <c r="BY290" i="45"/>
  <c r="CQ290" i="45" s="1"/>
  <c r="BY147" i="45"/>
  <c r="CQ147" i="45" s="1"/>
  <c r="DJ147" i="45" s="1"/>
  <c r="BY248" i="45"/>
  <c r="CQ248" i="45" s="1"/>
  <c r="BY240" i="45"/>
  <c r="CQ240" i="45" s="1"/>
  <c r="BY224" i="45"/>
  <c r="CQ224" i="45" s="1"/>
  <c r="BY179" i="45"/>
  <c r="CQ179" i="45" s="1"/>
  <c r="BY266" i="45"/>
  <c r="CQ266" i="45" s="1"/>
  <c r="BY189" i="45"/>
  <c r="CQ189" i="45" s="1"/>
  <c r="BY285" i="45"/>
  <c r="CQ285" i="45" s="1"/>
  <c r="DJ285" i="45" s="1"/>
  <c r="BY264" i="45"/>
  <c r="CQ264" i="45" s="1"/>
  <c r="BY36" i="45"/>
  <c r="CQ36" i="45" s="1"/>
  <c r="BY127" i="45"/>
  <c r="CQ127" i="45" s="1"/>
  <c r="BY167" i="45"/>
  <c r="CQ167" i="45" s="1"/>
  <c r="BY254" i="45"/>
  <c r="CQ254" i="45" s="1"/>
  <c r="BY280" i="45"/>
  <c r="CQ280" i="45" s="1"/>
  <c r="BY142" i="45"/>
  <c r="CQ142" i="45" s="1"/>
  <c r="BY144" i="45"/>
  <c r="CQ144" i="45" s="1"/>
  <c r="DJ144" i="45" s="1"/>
  <c r="BY168" i="45"/>
  <c r="CQ168" i="45" s="1"/>
  <c r="BY272" i="45"/>
  <c r="CQ272" i="45" s="1"/>
  <c r="BY173" i="45"/>
  <c r="CQ173" i="45" s="1"/>
  <c r="BY247" i="45"/>
  <c r="CQ247" i="45" s="1"/>
  <c r="BY139" i="45"/>
  <c r="CQ139" i="45" s="1"/>
  <c r="BY160" i="45"/>
  <c r="CQ160" i="45" s="1"/>
  <c r="BY55" i="45"/>
  <c r="CQ55" i="45" s="1"/>
  <c r="BY288" i="45"/>
  <c r="CQ288" i="45" s="1"/>
  <c r="DA288" i="45" s="1"/>
  <c r="BY120" i="45"/>
  <c r="CQ120" i="45" s="1"/>
  <c r="BY263" i="45"/>
  <c r="CQ263" i="45" s="1"/>
  <c r="BY184" i="45"/>
  <c r="CQ184" i="45" s="1"/>
  <c r="BY296" i="45"/>
  <c r="CQ296" i="45" s="1"/>
  <c r="BY275" i="45"/>
  <c r="CQ275" i="45" s="1"/>
  <c r="BY213" i="45"/>
  <c r="CQ213" i="45" s="1"/>
  <c r="BY192" i="45"/>
  <c r="CQ192" i="45" s="1"/>
  <c r="BY199" i="45"/>
  <c r="CQ199" i="45" s="1"/>
  <c r="DA199" i="45" s="1"/>
  <c r="BY257" i="45"/>
  <c r="CQ257" i="45" s="1"/>
  <c r="BY211" i="45"/>
  <c r="CQ211" i="45" s="1"/>
  <c r="BY71" i="45"/>
  <c r="CQ71" i="45" s="1"/>
  <c r="BY181" i="45"/>
  <c r="CQ181" i="45" s="1"/>
  <c r="BY200" i="45"/>
  <c r="CQ200" i="45" s="1"/>
  <c r="BY32" i="45"/>
  <c r="CQ32" i="45" s="1"/>
  <c r="BY258" i="45"/>
  <c r="CQ258" i="45" s="1"/>
  <c r="DA258" i="45" s="1"/>
  <c r="BY158" i="45"/>
  <c r="CQ158" i="45" s="1"/>
  <c r="BY191" i="45"/>
  <c r="CQ191" i="45" s="1"/>
  <c r="BY221" i="45"/>
  <c r="CQ221" i="45" s="1"/>
  <c r="BY250" i="45"/>
  <c r="CQ250" i="45" s="1"/>
  <c r="BY243" i="45"/>
  <c r="CQ243" i="45" s="1"/>
  <c r="BY186" i="45"/>
  <c r="CQ186" i="45" s="1"/>
  <c r="BY238" i="45"/>
  <c r="CQ238" i="45" s="1"/>
  <c r="BY47" i="45"/>
  <c r="CQ47" i="45" s="1"/>
  <c r="DJ47" i="45" s="1"/>
  <c r="BY229" i="45"/>
  <c r="CQ229" i="45" s="1"/>
  <c r="BY129" i="45"/>
  <c r="CQ129" i="45" s="1"/>
  <c r="BY40" i="45"/>
  <c r="CQ40" i="45" s="1"/>
  <c r="BY274" i="45"/>
  <c r="CQ274" i="45" s="1"/>
  <c r="BY253" i="45"/>
  <c r="CQ253" i="45" s="1"/>
  <c r="BY88" i="45"/>
  <c r="CQ88" i="45" s="1"/>
  <c r="BY159" i="45"/>
  <c r="CQ159" i="45" s="1"/>
  <c r="BY190" i="45"/>
  <c r="CQ190" i="45" s="1"/>
  <c r="BY155" i="45"/>
  <c r="CQ155" i="45" s="1"/>
  <c r="BY208" i="45"/>
  <c r="CQ208" i="45" s="1"/>
  <c r="BY216" i="45"/>
  <c r="CQ216" i="45" s="1"/>
  <c r="BY293" i="45"/>
  <c r="CQ293" i="45" s="1"/>
  <c r="BY295" i="45"/>
  <c r="CQ295" i="45" s="1"/>
  <c r="BY298" i="45"/>
  <c r="CQ298" i="45" s="1"/>
  <c r="BY135" i="45"/>
  <c r="CQ135" i="45" s="1"/>
  <c r="BY299" i="45"/>
  <c r="CQ299" i="45" s="1"/>
  <c r="BY176" i="45"/>
  <c r="CQ176" i="45" s="1"/>
  <c r="BY165" i="45"/>
  <c r="CQ165" i="45" s="1"/>
  <c r="BY174" i="45"/>
  <c r="CQ174" i="45" s="1"/>
  <c r="BY223" i="45"/>
  <c r="CQ223" i="45" s="1"/>
  <c r="BY79" i="45"/>
  <c r="CQ79" i="45" s="1"/>
  <c r="BY202" i="45"/>
  <c r="CQ202" i="45" s="1"/>
  <c r="BY231" i="45"/>
  <c r="CQ231" i="45" s="1"/>
  <c r="BY279" i="45"/>
  <c r="CQ279" i="45" s="1"/>
  <c r="DJ279" i="45" s="1"/>
  <c r="BY98" i="45"/>
  <c r="CQ98" i="45" s="1"/>
  <c r="BY282" i="45"/>
  <c r="CQ282" i="45" s="1"/>
  <c r="BY119" i="45"/>
  <c r="CQ119" i="45" s="1"/>
  <c r="BY232" i="45"/>
  <c r="CQ232" i="45" s="1"/>
  <c r="BY210" i="45"/>
  <c r="CQ210" i="45" s="1"/>
  <c r="BY187" i="45"/>
  <c r="CQ187" i="45" s="1"/>
  <c r="BY215" i="45"/>
  <c r="CQ215" i="45" s="1"/>
  <c r="DJ215" i="45" s="1"/>
  <c r="BY24" i="45"/>
  <c r="CQ24" i="45" s="1"/>
  <c r="BY277" i="45"/>
  <c r="CQ277" i="45" s="1"/>
  <c r="DI243" i="45"/>
  <c r="CZ251" i="45"/>
  <c r="DI251" i="45"/>
  <c r="CZ171" i="45"/>
  <c r="DI171" i="45"/>
  <c r="CZ285" i="45"/>
  <c r="DI285" i="45"/>
  <c r="CZ301" i="45"/>
  <c r="DI301" i="45"/>
  <c r="CZ254" i="45"/>
  <c r="DI254" i="45"/>
  <c r="CZ142" i="45"/>
  <c r="DI142" i="45"/>
  <c r="CZ256" i="45"/>
  <c r="CZ206" i="45"/>
  <c r="CZ158" i="45"/>
  <c r="CZ257" i="45"/>
  <c r="CZ16" i="45"/>
  <c r="CZ213" i="45"/>
  <c r="CZ248" i="45"/>
  <c r="CZ202" i="45"/>
  <c r="DI223" i="45"/>
  <c r="DI275" i="45"/>
  <c r="DI179" i="45"/>
  <c r="DI304" i="45"/>
  <c r="DI158" i="45"/>
  <c r="DI248" i="45"/>
  <c r="DI257" i="45"/>
  <c r="CZ127" i="45"/>
  <c r="CZ272" i="45"/>
  <c r="DI218" i="45"/>
  <c r="CZ215" i="45"/>
  <c r="CZ295" i="45"/>
  <c r="CZ193" i="45"/>
  <c r="CZ200" i="45"/>
  <c r="CZ258" i="45"/>
  <c r="CZ250" i="45"/>
  <c r="CZ186" i="45"/>
  <c r="CZ247" i="45"/>
  <c r="CZ288" i="45"/>
  <c r="CZ120" i="45"/>
  <c r="CZ184" i="45"/>
  <c r="CZ306" i="45"/>
  <c r="DI24" i="45"/>
  <c r="DI306" i="45"/>
  <c r="CZ267" i="45"/>
  <c r="CZ235" i="45"/>
  <c r="CZ159" i="45"/>
  <c r="CZ192" i="45"/>
  <c r="CZ240" i="45"/>
  <c r="CZ71" i="45"/>
  <c r="CZ181" i="45"/>
  <c r="DI186" i="45"/>
  <c r="DI224" i="45"/>
  <c r="DI192" i="45"/>
  <c r="DI258" i="45"/>
  <c r="DI55" i="45"/>
  <c r="DI87" i="45"/>
  <c r="CZ129" i="45"/>
  <c r="CZ226" i="45"/>
  <c r="CZ189" i="45"/>
  <c r="CZ253" i="45"/>
  <c r="CZ298" i="45"/>
  <c r="CZ135" i="45"/>
  <c r="CZ79" i="45"/>
  <c r="CZ231" i="45"/>
  <c r="CZ47" i="45"/>
  <c r="CZ274" i="45"/>
  <c r="CZ88" i="45"/>
  <c r="CZ296" i="45"/>
  <c r="DI247" i="45"/>
  <c r="DI240" i="45"/>
  <c r="DI211" i="45"/>
  <c r="DI147" i="45"/>
  <c r="DI298" i="45"/>
  <c r="DI200" i="45"/>
  <c r="DI266" i="45"/>
  <c r="DI144" i="45"/>
  <c r="DI307" i="45"/>
  <c r="DI235" i="45"/>
  <c r="DI274" i="45"/>
  <c r="DI88" i="45"/>
  <c r="DI155" i="45"/>
  <c r="CZ283" i="45"/>
  <c r="CZ98" i="45"/>
  <c r="CZ167" i="45"/>
  <c r="DI56" i="45"/>
  <c r="CZ221" i="45"/>
  <c r="CZ173" i="45"/>
  <c r="CZ293" i="45"/>
  <c r="CZ63" i="45"/>
  <c r="CZ199" i="45"/>
  <c r="CZ208" i="45"/>
  <c r="CZ216" i="45"/>
  <c r="DI231" i="45"/>
  <c r="DI213" i="45"/>
  <c r="DI208" i="45"/>
  <c r="DI36" i="45"/>
  <c r="DI135" i="45"/>
  <c r="DI191" i="45"/>
  <c r="DI250" i="45"/>
  <c r="DI253" i="45"/>
  <c r="DI267" i="45"/>
  <c r="DI206" i="45"/>
  <c r="DI210" i="45"/>
  <c r="DI215" i="45"/>
  <c r="DI119" i="45"/>
  <c r="CZ280" i="45"/>
  <c r="CZ107" i="45"/>
  <c r="CZ263" i="45"/>
  <c r="CZ277" i="45"/>
  <c r="CZ234" i="45"/>
  <c r="CZ49" i="45"/>
  <c r="CZ95" i="45"/>
  <c r="CZ65" i="45"/>
  <c r="CZ255" i="45"/>
  <c r="CZ287" i="45"/>
  <c r="CZ197" i="45"/>
  <c r="CZ282" i="45"/>
  <c r="CZ232" i="45"/>
  <c r="CZ187" i="45"/>
  <c r="DI26" i="45"/>
  <c r="DI181" i="45"/>
  <c r="DI282" i="45"/>
  <c r="DI193" i="45"/>
  <c r="DI16" i="45"/>
  <c r="DI176" i="45"/>
  <c r="DI65" i="45"/>
  <c r="DI255" i="45"/>
  <c r="DI47" i="45"/>
  <c r="DI160" i="45"/>
  <c r="DI256" i="45"/>
  <c r="DI221" i="45"/>
  <c r="DI107" i="45"/>
  <c r="CZ264" i="45"/>
  <c r="CZ183" i="45"/>
  <c r="CZ279" i="45"/>
  <c r="CZ229" i="45"/>
  <c r="CZ165" i="45"/>
  <c r="CZ290" i="45"/>
  <c r="CZ242" i="45"/>
  <c r="CZ152" i="45"/>
  <c r="CZ194" i="45"/>
  <c r="DI184" i="45"/>
  <c r="DI95" i="45"/>
  <c r="DI120" i="45"/>
  <c r="DI173" i="45"/>
  <c r="DI127" i="45"/>
  <c r="DI168" i="45"/>
  <c r="DI272" i="45"/>
  <c r="DI279" i="45"/>
  <c r="DI40" i="45"/>
  <c r="DI129" i="45"/>
  <c r="DI202" i="45"/>
  <c r="DH131" i="45"/>
  <c r="DH117" i="45"/>
  <c r="DH33" i="45"/>
  <c r="DH64" i="45"/>
  <c r="DH101" i="45"/>
  <c r="DH166" i="45"/>
  <c r="DH219" i="45"/>
  <c r="DH80" i="45"/>
  <c r="DH51" i="45"/>
  <c r="DH70" i="45"/>
  <c r="DH143" i="45"/>
  <c r="DH28" i="45"/>
  <c r="DH67" i="45"/>
  <c r="DH125" i="45"/>
  <c r="DH48" i="45"/>
  <c r="DH217" i="45"/>
  <c r="DH150" i="45"/>
  <c r="DH69" i="45"/>
  <c r="DH195" i="45"/>
  <c r="DH286" i="45"/>
  <c r="DH41" i="45"/>
  <c r="DH227" i="45"/>
  <c r="DH46" i="45"/>
  <c r="DH30" i="45"/>
  <c r="DH99" i="45"/>
  <c r="DH178" i="45"/>
  <c r="DH96" i="45"/>
  <c r="DH294" i="45"/>
  <c r="DH31" i="45"/>
  <c r="DH281" i="45"/>
  <c r="DH163" i="45"/>
  <c r="DH146" i="45"/>
  <c r="DH77" i="45"/>
  <c r="DH75" i="45"/>
  <c r="DH162" i="45"/>
  <c r="DH78" i="45"/>
  <c r="DH23" i="45"/>
  <c r="DH86" i="45"/>
  <c r="DH123" i="45"/>
  <c r="DH112" i="45"/>
  <c r="DH90" i="45"/>
  <c r="DH270" i="45"/>
  <c r="DH259" i="45"/>
  <c r="DH136" i="45"/>
  <c r="DH138" i="45"/>
  <c r="DH207" i="45"/>
  <c r="DH17" i="45"/>
  <c r="DH130" i="45"/>
  <c r="DH44" i="45"/>
  <c r="DH291" i="45"/>
  <c r="DH157" i="45"/>
  <c r="DH262" i="45"/>
  <c r="DH170" i="45"/>
  <c r="DH134" i="45"/>
  <c r="CY62" i="45"/>
  <c r="DH128" i="45"/>
  <c r="DH271" i="45"/>
  <c r="DH19" i="45"/>
  <c r="DH230" i="45"/>
  <c r="DH62" i="45"/>
  <c r="DH115" i="45"/>
  <c r="DH110" i="45"/>
  <c r="DH106" i="45"/>
  <c r="DH303" i="45"/>
  <c r="DH54" i="45"/>
  <c r="DH122" i="45"/>
  <c r="DH82" i="45"/>
  <c r="DH50" i="45"/>
  <c r="DH222" i="45"/>
  <c r="DH58" i="45"/>
  <c r="DH278" i="45"/>
  <c r="DH35" i="45"/>
  <c r="DH154" i="45"/>
  <c r="DH114" i="45"/>
  <c r="DH126" i="45"/>
  <c r="DH151" i="45"/>
  <c r="DH212" i="45"/>
  <c r="DH53" i="45"/>
  <c r="DH149" i="45"/>
  <c r="DH72" i="45"/>
  <c r="DH102" i="45"/>
  <c r="DH133" i="45"/>
  <c r="DH109" i="45"/>
  <c r="DH59" i="45"/>
  <c r="DH118" i="45"/>
  <c r="DH239" i="45"/>
  <c r="DH39" i="45"/>
  <c r="DH93" i="45"/>
  <c r="DH74" i="45"/>
  <c r="DH198" i="45"/>
  <c r="DH91" i="45"/>
  <c r="DH43" i="45"/>
  <c r="DG84" i="45"/>
  <c r="DG92" i="45"/>
  <c r="CX148" i="45"/>
  <c r="DG148" i="45"/>
  <c r="DH148" i="45"/>
  <c r="DG100" i="45"/>
  <c r="DG228" i="45"/>
  <c r="DG289" i="45"/>
  <c r="DG241" i="45"/>
  <c r="DG108" i="45"/>
  <c r="DG185" i="45"/>
  <c r="DG177" i="45"/>
  <c r="DG169" i="45"/>
  <c r="CX18" i="45"/>
  <c r="DG18" i="45"/>
  <c r="DG116" i="45"/>
  <c r="CX180" i="45"/>
  <c r="DG180" i="45"/>
  <c r="DG97" i="45"/>
  <c r="DG249" i="45"/>
  <c r="DG73" i="45"/>
  <c r="DG204" i="45"/>
  <c r="DG145" i="45"/>
  <c r="DG137" i="45"/>
  <c r="DG220" i="45"/>
  <c r="DG34" i="45"/>
  <c r="DG105" i="45"/>
  <c r="DG225" i="45"/>
  <c r="DG209" i="45"/>
  <c r="CX297" i="45"/>
  <c r="DG297" i="45"/>
  <c r="DG305" i="45"/>
  <c r="DG42" i="45"/>
  <c r="DG236" i="45"/>
  <c r="DG124" i="45"/>
  <c r="DG52" i="45"/>
  <c r="DG60" i="45"/>
  <c r="DG276" i="45"/>
  <c r="DH276" i="45"/>
  <c r="DG29" i="45"/>
  <c r="DG37" i="45"/>
  <c r="DG260" i="45"/>
  <c r="CX273" i="45"/>
  <c r="DG273" i="45"/>
  <c r="DG164" i="45"/>
  <c r="DG268" i="45"/>
  <c r="DG233" i="45"/>
  <c r="CX121" i="45"/>
  <c r="DG121" i="45"/>
  <c r="DG172" i="45"/>
  <c r="DG284" i="45"/>
  <c r="DG156" i="45"/>
  <c r="DG292" i="45"/>
  <c r="DG132" i="45"/>
  <c r="DG57" i="45"/>
  <c r="DG140" i="45"/>
  <c r="CX201" i="45"/>
  <c r="DG201" i="45"/>
  <c r="DG76" i="45"/>
  <c r="CX161" i="45"/>
  <c r="DG161" i="45"/>
  <c r="DG300" i="45"/>
  <c r="DG252" i="45"/>
  <c r="DG68" i="45"/>
  <c r="DG196" i="45"/>
  <c r="DG188" i="45"/>
  <c r="DG21" i="45"/>
  <c r="DG265" i="45"/>
  <c r="DG15" i="45"/>
  <c r="CX244" i="45"/>
  <c r="DG244" i="45"/>
  <c r="BQ195" i="45"/>
  <c r="CP195" i="45" s="1"/>
  <c r="BQ143" i="45"/>
  <c r="CP143" i="45" s="1"/>
  <c r="BQ117" i="45"/>
  <c r="CP117" i="45" s="1"/>
  <c r="BQ38" i="45"/>
  <c r="CP38" i="45" s="1"/>
  <c r="BQ154" i="45"/>
  <c r="CP154" i="45" s="1"/>
  <c r="DI154" i="45" s="1"/>
  <c r="BQ70" i="45"/>
  <c r="CP70" i="45" s="1"/>
  <c r="DI70" i="45" s="1"/>
  <c r="BQ131" i="45"/>
  <c r="CP131" i="45" s="1"/>
  <c r="BQ43" i="45"/>
  <c r="CP43" i="45" s="1"/>
  <c r="BQ41" i="45"/>
  <c r="BQ259" i="45"/>
  <c r="CP259" i="45" s="1"/>
  <c r="BQ303" i="45"/>
  <c r="CP303" i="45" s="1"/>
  <c r="BQ101" i="45"/>
  <c r="CP101" i="45" s="1"/>
  <c r="DI101" i="45" s="1"/>
  <c r="BQ39" i="45"/>
  <c r="CP39" i="45" s="1"/>
  <c r="BQ134" i="45"/>
  <c r="CP134" i="45" s="1"/>
  <c r="BQ150" i="45"/>
  <c r="CP150" i="45" s="1"/>
  <c r="BQ30" i="45"/>
  <c r="CP30" i="45" s="1"/>
  <c r="BQ22" i="45"/>
  <c r="BQ180" i="45"/>
  <c r="CP180" i="45" s="1"/>
  <c r="BK180" i="45"/>
  <c r="CO180" i="45" s="1"/>
  <c r="DH180" i="45" s="1"/>
  <c r="CZ275" i="45"/>
  <c r="CZ36" i="45"/>
  <c r="CZ218" i="45"/>
  <c r="CZ56" i="45"/>
  <c r="CZ26" i="45"/>
  <c r="BQ125" i="45"/>
  <c r="CP125" i="45" s="1"/>
  <c r="DI125" i="45" s="1"/>
  <c r="BQ227" i="45"/>
  <c r="CP227" i="45" s="1"/>
  <c r="DI227" i="45" s="1"/>
  <c r="BQ115" i="45"/>
  <c r="CP115" i="45" s="1"/>
  <c r="BQ162" i="45"/>
  <c r="CP162" i="45" s="1"/>
  <c r="DI162" i="45" s="1"/>
  <c r="BQ50" i="45"/>
  <c r="CP50" i="45" s="1"/>
  <c r="BQ45" i="45"/>
  <c r="CP45" i="45" s="1"/>
  <c r="DI45" i="45" s="1"/>
  <c r="BQ146" i="45"/>
  <c r="CP146" i="45" s="1"/>
  <c r="BQ104" i="45"/>
  <c r="CP104" i="45" s="1"/>
  <c r="BQ151" i="45"/>
  <c r="CP151" i="45" s="1"/>
  <c r="DI151" i="45" s="1"/>
  <c r="BQ44" i="45"/>
  <c r="CP44" i="45" s="1"/>
  <c r="BQ270" i="45"/>
  <c r="CP270" i="45" s="1"/>
  <c r="CZ270" i="45" s="1"/>
  <c r="CZ155" i="45"/>
  <c r="BQ106" i="45"/>
  <c r="CP106" i="45" s="1"/>
  <c r="BQ109" i="45"/>
  <c r="CP109" i="45" s="1"/>
  <c r="BQ96" i="45"/>
  <c r="CP96" i="45" s="1"/>
  <c r="BQ93" i="45"/>
  <c r="CP93" i="45" s="1"/>
  <c r="BQ27" i="45"/>
  <c r="CP27" i="45" s="1"/>
  <c r="BQ230" i="45"/>
  <c r="CP230" i="45" s="1"/>
  <c r="DI230" i="45" s="1"/>
  <c r="BQ130" i="45"/>
  <c r="CP130" i="45" s="1"/>
  <c r="DI130" i="45" s="1"/>
  <c r="BQ111" i="45"/>
  <c r="CP111" i="45" s="1"/>
  <c r="BQ122" i="45"/>
  <c r="CP122" i="45" s="1"/>
  <c r="BQ33" i="45"/>
  <c r="BQ219" i="45"/>
  <c r="CP219" i="45" s="1"/>
  <c r="CZ32" i="45"/>
  <c r="CZ160" i="45"/>
  <c r="BQ281" i="45"/>
  <c r="CP281" i="45" s="1"/>
  <c r="DI281" i="45" s="1"/>
  <c r="BQ58" i="45"/>
  <c r="CP58" i="45" s="1"/>
  <c r="DI58" i="45" s="1"/>
  <c r="BQ82" i="45"/>
  <c r="CP82" i="45" s="1"/>
  <c r="BQ214" i="45"/>
  <c r="CP214" i="45" s="1"/>
  <c r="BQ35" i="45"/>
  <c r="CP35" i="45" s="1"/>
  <c r="DI35" i="45" s="1"/>
  <c r="BQ207" i="45"/>
  <c r="CP207" i="45" s="1"/>
  <c r="DI207" i="45" s="1"/>
  <c r="BQ61" i="45"/>
  <c r="CP61" i="45" s="1"/>
  <c r="BQ19" i="45"/>
  <c r="BQ99" i="45"/>
  <c r="CP99" i="45" s="1"/>
  <c r="DI99" i="45" s="1"/>
  <c r="BQ69" i="45"/>
  <c r="CP69" i="45" s="1"/>
  <c r="BQ28" i="45"/>
  <c r="CP28" i="45" s="1"/>
  <c r="BQ91" i="45"/>
  <c r="CP91" i="45" s="1"/>
  <c r="DI91" i="45" s="1"/>
  <c r="BQ62" i="45"/>
  <c r="CP62" i="45" s="1"/>
  <c r="DI62" i="45" s="1"/>
  <c r="CZ144" i="45"/>
  <c r="CZ168" i="45"/>
  <c r="CZ87" i="45"/>
  <c r="BQ128" i="45"/>
  <c r="CP128" i="45" s="1"/>
  <c r="DI128" i="45" s="1"/>
  <c r="BQ74" i="45"/>
  <c r="CP74" i="45" s="1"/>
  <c r="BQ85" i="45"/>
  <c r="CP85" i="45" s="1"/>
  <c r="DI85" i="45" s="1"/>
  <c r="BQ175" i="45"/>
  <c r="CP175" i="45" s="1"/>
  <c r="DI175" i="45" s="1"/>
  <c r="BQ166" i="45"/>
  <c r="CP166" i="45" s="1"/>
  <c r="BQ118" i="45"/>
  <c r="CP118" i="45" s="1"/>
  <c r="DI118" i="45" s="1"/>
  <c r="BQ48" i="45"/>
  <c r="BQ53" i="45"/>
  <c r="CP53" i="45" s="1"/>
  <c r="DI53" i="45" s="1"/>
  <c r="BQ83" i="45"/>
  <c r="CP83" i="45" s="1"/>
  <c r="BQ138" i="45"/>
  <c r="CP138" i="45" s="1"/>
  <c r="DI138" i="45" s="1"/>
  <c r="BQ291" i="45"/>
  <c r="CP291" i="45" s="1"/>
  <c r="BQ163" i="45"/>
  <c r="CP163" i="45" s="1"/>
  <c r="BQ75" i="45"/>
  <c r="CP75" i="45" s="1"/>
  <c r="DI75" i="45" s="1"/>
  <c r="BK244" i="45"/>
  <c r="CO244" i="45" s="1"/>
  <c r="DH244" i="45" s="1"/>
  <c r="CZ304" i="45"/>
  <c r="CZ307" i="45"/>
  <c r="CZ40" i="45"/>
  <c r="BQ222" i="45"/>
  <c r="CP222" i="45" s="1"/>
  <c r="BQ136" i="45"/>
  <c r="CP136" i="45" s="1"/>
  <c r="BQ198" i="45"/>
  <c r="CP198" i="45" s="1"/>
  <c r="DI198" i="45" s="1"/>
  <c r="BQ262" i="45"/>
  <c r="CP262" i="45" s="1"/>
  <c r="DI262" i="45" s="1"/>
  <c r="BQ112" i="45"/>
  <c r="CP112" i="45" s="1"/>
  <c r="BQ17" i="45"/>
  <c r="BQ133" i="45"/>
  <c r="CP133" i="45" s="1"/>
  <c r="BQ212" i="45"/>
  <c r="CP212" i="45" s="1"/>
  <c r="BQ157" i="45"/>
  <c r="CP157" i="45" s="1"/>
  <c r="DI157" i="45" s="1"/>
  <c r="BQ51" i="45"/>
  <c r="CP51" i="45" s="1"/>
  <c r="DI51" i="45" s="1"/>
  <c r="BQ114" i="45"/>
  <c r="CP114" i="45" s="1"/>
  <c r="DI114" i="45" s="1"/>
  <c r="BQ123" i="45"/>
  <c r="CP123" i="45" s="1"/>
  <c r="DI123" i="45" s="1"/>
  <c r="BQ59" i="45"/>
  <c r="CP59" i="45" s="1"/>
  <c r="DI59" i="45" s="1"/>
  <c r="BQ46" i="45"/>
  <c r="CP46" i="45" s="1"/>
  <c r="CZ191" i="45"/>
  <c r="CZ243" i="45"/>
  <c r="CZ179" i="45"/>
  <c r="BQ294" i="45"/>
  <c r="CP294" i="45" s="1"/>
  <c r="BQ54" i="45"/>
  <c r="CP54" i="45" s="1"/>
  <c r="BQ182" i="45"/>
  <c r="CP182" i="45" s="1"/>
  <c r="DI182" i="45" s="1"/>
  <c r="BQ278" i="45"/>
  <c r="CP278" i="45" s="1"/>
  <c r="DI278" i="45" s="1"/>
  <c r="BQ170" i="45"/>
  <c r="CP170" i="45" s="1"/>
  <c r="BQ72" i="45"/>
  <c r="CP72" i="45" s="1"/>
  <c r="DI72" i="45" s="1"/>
  <c r="BQ23" i="45"/>
  <c r="CP23" i="45" s="1"/>
  <c r="BQ149" i="45"/>
  <c r="CP149" i="45" s="1"/>
  <c r="DI149" i="45" s="1"/>
  <c r="BQ90" i="45"/>
  <c r="CP90" i="45" s="1"/>
  <c r="DI90" i="45" s="1"/>
  <c r="CZ147" i="45"/>
  <c r="BQ31" i="45"/>
  <c r="CP31" i="45" s="1"/>
  <c r="DI31" i="45" s="1"/>
  <c r="BQ67" i="45"/>
  <c r="CP67" i="45" s="1"/>
  <c r="BQ286" i="45"/>
  <c r="CP286" i="45" s="1"/>
  <c r="CZ210" i="45"/>
  <c r="BQ110" i="45"/>
  <c r="CP110" i="45" s="1"/>
  <c r="DI110" i="45" s="1"/>
  <c r="BQ66" i="45"/>
  <c r="CP66" i="45" s="1"/>
  <c r="DI66" i="45" s="1"/>
  <c r="BQ271" i="45"/>
  <c r="CP271" i="45" s="1"/>
  <c r="DI271" i="45" s="1"/>
  <c r="BQ64" i="45"/>
  <c r="CP64" i="45" s="1"/>
  <c r="DI64" i="45" s="1"/>
  <c r="BQ239" i="45"/>
  <c r="CP239" i="45" s="1"/>
  <c r="BQ153" i="45"/>
  <c r="CP153" i="45" s="1"/>
  <c r="BQ102" i="45"/>
  <c r="CP102" i="45" s="1"/>
  <c r="BQ80" i="45"/>
  <c r="CP80" i="45" s="1"/>
  <c r="BQ217" i="45"/>
  <c r="CP217" i="45" s="1"/>
  <c r="DI217" i="45" s="1"/>
  <c r="BQ77" i="45"/>
  <c r="CP77" i="45" s="1"/>
  <c r="BQ178" i="45"/>
  <c r="CP178" i="45" s="1"/>
  <c r="BQ86" i="45"/>
  <c r="CP86" i="45" s="1"/>
  <c r="DI86" i="45" s="1"/>
  <c r="BQ246" i="45"/>
  <c r="CP246" i="45" s="1"/>
  <c r="DI246" i="45" s="1"/>
  <c r="BQ126" i="45"/>
  <c r="CP126" i="45" s="1"/>
  <c r="CZ126" i="45" s="1"/>
  <c r="CZ176" i="45"/>
  <c r="CZ223" i="45"/>
  <c r="CZ55" i="45"/>
  <c r="CP78" i="45"/>
  <c r="DI78" i="45" s="1"/>
  <c r="C24" i="66"/>
  <c r="N24" i="66" s="1"/>
  <c r="N17" i="66"/>
  <c r="CY118" i="45"/>
  <c r="CY54" i="45"/>
  <c r="CY246" i="45"/>
  <c r="CY262" i="45"/>
  <c r="CY178" i="45"/>
  <c r="CY91" i="45"/>
  <c r="CY64" i="45"/>
  <c r="CY43" i="45"/>
  <c r="CY239" i="45"/>
  <c r="CY59" i="45"/>
  <c r="CY45" i="45"/>
  <c r="CY138" i="45"/>
  <c r="CY117" i="45"/>
  <c r="CY33" i="45"/>
  <c r="CY162" i="45"/>
  <c r="CY50" i="45"/>
  <c r="CY41" i="45"/>
  <c r="CY153" i="45"/>
  <c r="CY101" i="45"/>
  <c r="CY291" i="45"/>
  <c r="CY17" i="45"/>
  <c r="CY131" i="45"/>
  <c r="CY281" i="45"/>
  <c r="CY163" i="45"/>
  <c r="CY35" i="45"/>
  <c r="CY286" i="45"/>
  <c r="CY214" i="45"/>
  <c r="CY102" i="45"/>
  <c r="CY133" i="45"/>
  <c r="CY130" i="45"/>
  <c r="CY30" i="45"/>
  <c r="CY149" i="45"/>
  <c r="CY125" i="45"/>
  <c r="CY271" i="45"/>
  <c r="CY227" i="45"/>
  <c r="CY151" i="45"/>
  <c r="CY85" i="45"/>
  <c r="CY126" i="45"/>
  <c r="CY182" i="45"/>
  <c r="CY53" i="45"/>
  <c r="CY112" i="45"/>
  <c r="CY22" i="45"/>
  <c r="CY72" i="45"/>
  <c r="CY83" i="45"/>
  <c r="CY82" i="45"/>
  <c r="CY28" i="45"/>
  <c r="CY217" i="45"/>
  <c r="CY46" i="45"/>
  <c r="CY278" i="45"/>
  <c r="CY294" i="45"/>
  <c r="CY70" i="45"/>
  <c r="CY39" i="45"/>
  <c r="CY148" i="45"/>
  <c r="CY111" i="45"/>
  <c r="CY276" i="45"/>
  <c r="CY99" i="45"/>
  <c r="CY259" i="45"/>
  <c r="CY219" i="45"/>
  <c r="CY90" i="45"/>
  <c r="CY195" i="45"/>
  <c r="CY38" i="45"/>
  <c r="CY123" i="45"/>
  <c r="CY207" i="45"/>
  <c r="CY230" i="45"/>
  <c r="CY136" i="45"/>
  <c r="CY154" i="45"/>
  <c r="CY150" i="45"/>
  <c r="CY157" i="45"/>
  <c r="CY114" i="45"/>
  <c r="CY75" i="45"/>
  <c r="CY51" i="45"/>
  <c r="CY106" i="45"/>
  <c r="CY212" i="45"/>
  <c r="CY58" i="45"/>
  <c r="CY270" i="45"/>
  <c r="CY23" i="45"/>
  <c r="CY86" i="45"/>
  <c r="CY134" i="45"/>
  <c r="CY166" i="45"/>
  <c r="CY74" i="45"/>
  <c r="CY27" i="45"/>
  <c r="CY96" i="45"/>
  <c r="CY146" i="45"/>
  <c r="CY122" i="45"/>
  <c r="CY175" i="45"/>
  <c r="CY128" i="45"/>
  <c r="CY115" i="45"/>
  <c r="CY143" i="45"/>
  <c r="CY109" i="45"/>
  <c r="CY31" i="45"/>
  <c r="CY198" i="45"/>
  <c r="CY61" i="45"/>
  <c r="CY44" i="45"/>
  <c r="CY77" i="45"/>
  <c r="CY170" i="45"/>
  <c r="CY19" i="45"/>
  <c r="CY303" i="45"/>
  <c r="CY48" i="45"/>
  <c r="CY69" i="45"/>
  <c r="CY66" i="45"/>
  <c r="CY93" i="45"/>
  <c r="CY80" i="45"/>
  <c r="CY104" i="45"/>
  <c r="CX204" i="45"/>
  <c r="CX76" i="45"/>
  <c r="CX196" i="45"/>
  <c r="CX188" i="45"/>
  <c r="CX92" i="45"/>
  <c r="CX116" i="45"/>
  <c r="CX300" i="45"/>
  <c r="CX84" i="45"/>
  <c r="CX236" i="45"/>
  <c r="CX29" i="45"/>
  <c r="CX37" i="45"/>
  <c r="CX21" i="45"/>
  <c r="CX73" i="45"/>
  <c r="CX137" i="45"/>
  <c r="CX108" i="45"/>
  <c r="CX52" i="45"/>
  <c r="CX132" i="45"/>
  <c r="CX100" i="45"/>
  <c r="CX220" i="45"/>
  <c r="CX68" i="45"/>
  <c r="CX241" i="45"/>
  <c r="CX34" i="45"/>
  <c r="CX249" i="45"/>
  <c r="CX209" i="45"/>
  <c r="CX185" i="45"/>
  <c r="CX305" i="45"/>
  <c r="CX15" i="45"/>
  <c r="CX233" i="45"/>
  <c r="G55" i="66"/>
  <c r="AD55" i="66" s="1"/>
  <c r="CN113" i="45"/>
  <c r="CX228" i="45"/>
  <c r="CX260" i="45"/>
  <c r="CX292" i="45"/>
  <c r="CX60" i="45"/>
  <c r="CX42" i="45"/>
  <c r="CX105" i="45"/>
  <c r="CX265" i="45"/>
  <c r="CX145" i="45"/>
  <c r="CX97" i="45"/>
  <c r="CX177" i="45"/>
  <c r="CX289" i="45"/>
  <c r="CX169" i="45"/>
  <c r="CX225" i="45"/>
  <c r="CX57" i="45"/>
  <c r="CX164" i="45"/>
  <c r="CX172" i="45"/>
  <c r="CX252" i="45"/>
  <c r="CX124" i="45"/>
  <c r="CX156" i="45"/>
  <c r="CX284" i="45"/>
  <c r="CX140" i="45"/>
  <c r="CX268" i="45"/>
  <c r="AS154" i="47"/>
  <c r="AR154" i="47"/>
  <c r="AR144" i="47"/>
  <c r="AS144" i="47"/>
  <c r="AS54" i="47"/>
  <c r="AR54" i="47"/>
  <c r="AR238" i="47"/>
  <c r="AS238" i="47"/>
  <c r="AR40" i="47"/>
  <c r="AS40" i="47"/>
  <c r="AS116" i="47"/>
  <c r="AR116" i="47"/>
  <c r="AR71" i="47"/>
  <c r="AS71" i="47"/>
  <c r="AS147" i="47"/>
  <c r="AR147" i="47"/>
  <c r="AS298" i="47"/>
  <c r="AR298" i="47"/>
  <c r="AS141" i="47"/>
  <c r="AR141" i="47"/>
  <c r="AR184" i="47"/>
  <c r="AS184" i="47"/>
  <c r="AS149" i="47"/>
  <c r="AR149" i="47"/>
  <c r="AS285" i="47"/>
  <c r="AR285" i="47"/>
  <c r="AS81" i="47"/>
  <c r="AR81" i="47"/>
  <c r="AR248" i="47"/>
  <c r="AS248" i="47"/>
  <c r="AS305" i="47"/>
  <c r="AR305" i="47"/>
  <c r="AR31" i="47"/>
  <c r="AS31" i="47"/>
  <c r="AS187" i="47"/>
  <c r="AR187" i="47"/>
  <c r="AS226" i="47"/>
  <c r="AR226" i="47"/>
  <c r="AR168" i="47"/>
  <c r="AS168" i="47"/>
  <c r="AS53" i="47"/>
  <c r="AR53" i="47"/>
  <c r="AS299" i="47"/>
  <c r="AR299" i="47"/>
  <c r="AR134" i="47"/>
  <c r="AS134" i="47"/>
  <c r="AS194" i="47"/>
  <c r="AR194" i="47"/>
  <c r="AS82" i="47"/>
  <c r="AR82" i="47"/>
  <c r="AS174" i="47"/>
  <c r="AR174" i="47"/>
  <c r="AS76" i="47"/>
  <c r="AR76" i="47"/>
  <c r="AS101" i="47"/>
  <c r="AR101" i="47"/>
  <c r="AS49" i="47"/>
  <c r="AR49" i="47"/>
  <c r="AR270" i="47"/>
  <c r="AS270" i="47"/>
  <c r="AS300" i="47"/>
  <c r="AR300" i="47"/>
  <c r="AS162" i="47"/>
  <c r="AR162" i="47"/>
  <c r="AS119" i="47"/>
  <c r="AR119" i="47"/>
  <c r="AS26" i="47"/>
  <c r="AR26" i="47"/>
  <c r="AS34" i="47"/>
  <c r="AR34" i="47"/>
  <c r="AS25" i="47"/>
  <c r="AR25" i="47"/>
  <c r="AS231" i="47"/>
  <c r="AR231" i="47"/>
  <c r="AS269" i="47"/>
  <c r="AR269" i="47"/>
  <c r="AR230" i="47"/>
  <c r="AS230" i="47"/>
  <c r="AR56" i="47"/>
  <c r="AS56" i="47"/>
  <c r="AS114" i="47"/>
  <c r="AR114" i="47"/>
  <c r="AR48" i="47"/>
  <c r="AS48" i="47"/>
  <c r="AS245" i="47"/>
  <c r="AR245" i="47"/>
  <c r="AS42" i="47"/>
  <c r="AR42" i="47"/>
  <c r="AS260" i="47"/>
  <c r="AR260" i="47"/>
  <c r="AR39" i="47"/>
  <c r="AS39" i="47"/>
  <c r="AS284" i="47"/>
  <c r="AR284" i="47"/>
  <c r="AS177" i="47"/>
  <c r="AR177" i="47"/>
  <c r="AS77" i="47"/>
  <c r="AR77" i="47"/>
  <c r="AR88" i="47"/>
  <c r="AS88" i="47"/>
  <c r="AS100" i="47"/>
  <c r="AR100" i="47"/>
  <c r="AS103" i="47"/>
  <c r="AR103" i="47"/>
  <c r="AS75" i="47"/>
  <c r="AR75" i="47"/>
  <c r="AS242" i="47"/>
  <c r="AR242" i="47"/>
  <c r="AR272" i="47"/>
  <c r="AS272" i="47"/>
  <c r="AS225" i="47"/>
  <c r="AR225" i="47"/>
  <c r="AS223" i="47"/>
  <c r="AR223" i="47"/>
  <c r="AS68" i="47"/>
  <c r="AR68" i="47"/>
  <c r="AS146" i="47"/>
  <c r="AR146" i="47"/>
  <c r="AS125" i="47"/>
  <c r="AR125" i="47"/>
  <c r="AS267" i="47"/>
  <c r="AR267" i="47"/>
  <c r="AS38" i="47"/>
  <c r="AR38" i="47"/>
  <c r="AS105" i="47"/>
  <c r="AR105" i="47"/>
  <c r="AS218" i="47"/>
  <c r="AR218" i="47"/>
  <c r="AS189" i="47"/>
  <c r="AR189" i="47"/>
  <c r="AR278" i="47"/>
  <c r="AS278" i="47"/>
  <c r="AS106" i="47"/>
  <c r="AR106" i="47"/>
  <c r="AR128" i="47"/>
  <c r="AS128" i="47"/>
  <c r="AS41" i="47"/>
  <c r="AR41" i="47"/>
  <c r="AR22" i="47"/>
  <c r="AS211" i="47"/>
  <c r="AR211" i="47"/>
  <c r="AR118" i="47"/>
  <c r="AS118" i="47"/>
  <c r="AS93" i="47"/>
  <c r="AR93" i="47"/>
  <c r="AS113" i="47"/>
  <c r="AR113" i="47"/>
  <c r="AS169" i="47"/>
  <c r="AR169" i="47"/>
  <c r="AS196" i="47"/>
  <c r="AR196" i="47"/>
  <c r="AS257" i="47"/>
  <c r="AR257" i="47"/>
  <c r="AS261" i="47"/>
  <c r="AR261" i="47"/>
  <c r="AR96" i="47"/>
  <c r="AS96" i="47"/>
  <c r="AS268" i="47"/>
  <c r="AR268" i="47"/>
  <c r="AR224" i="47"/>
  <c r="AS224" i="47"/>
  <c r="AS175" i="47"/>
  <c r="AR175" i="47"/>
  <c r="AR160" i="47"/>
  <c r="AS160" i="47"/>
  <c r="AS52" i="47"/>
  <c r="AR52" i="47"/>
  <c r="AS193" i="47"/>
  <c r="AR193" i="47"/>
  <c r="AR158" i="47"/>
  <c r="AS158" i="47"/>
  <c r="AR182" i="47"/>
  <c r="AS182" i="47"/>
  <c r="AS143" i="47"/>
  <c r="AR143" i="47"/>
  <c r="AS239" i="47"/>
  <c r="AR239" i="47"/>
  <c r="AS123" i="47"/>
  <c r="AR123" i="47"/>
  <c r="AR150" i="47"/>
  <c r="AS150" i="47"/>
  <c r="AS36" i="47"/>
  <c r="AR36" i="47"/>
  <c r="AS247" i="47"/>
  <c r="AR247" i="47"/>
  <c r="AS45" i="47"/>
  <c r="AR45" i="47"/>
  <c r="AS46" i="47"/>
  <c r="AR46" i="47"/>
  <c r="AS115" i="47"/>
  <c r="AR115" i="47"/>
  <c r="AS281" i="47"/>
  <c r="AR281" i="47"/>
  <c r="AR32" i="47"/>
  <c r="AS32" i="47"/>
  <c r="AS250" i="47"/>
  <c r="AR250" i="47"/>
  <c r="AS99" i="47"/>
  <c r="AR99" i="47"/>
  <c r="AS131" i="47"/>
  <c r="AR131" i="47"/>
  <c r="AS51" i="47"/>
  <c r="AR51" i="47"/>
  <c r="AR104" i="47"/>
  <c r="AS104" i="47"/>
  <c r="AR264" i="47"/>
  <c r="AS264" i="47"/>
  <c r="AS259" i="47"/>
  <c r="AR259" i="47"/>
  <c r="AS236" i="47"/>
  <c r="AR236" i="47"/>
  <c r="AR80" i="47"/>
  <c r="AS80" i="47"/>
  <c r="AS170" i="47"/>
  <c r="AR170" i="47"/>
  <c r="AS44" i="47"/>
  <c r="AR44" i="47"/>
  <c r="AR208" i="47"/>
  <c r="AS208" i="47"/>
  <c r="AR142" i="47"/>
  <c r="AS142" i="47"/>
  <c r="AS301" i="47"/>
  <c r="AR301" i="47"/>
  <c r="AS234" i="47"/>
  <c r="AR234" i="47"/>
  <c r="AS151" i="47"/>
  <c r="AR151" i="47"/>
  <c r="AS135" i="47"/>
  <c r="AR135" i="47"/>
  <c r="AS179" i="47"/>
  <c r="AR179" i="47"/>
  <c r="AS253" i="47"/>
  <c r="AR253" i="47"/>
  <c r="AS155" i="47"/>
  <c r="AR155" i="47"/>
  <c r="AR16" i="47"/>
  <c r="AS279" i="47"/>
  <c r="AR279" i="47"/>
  <c r="AS138" i="47"/>
  <c r="AR138" i="47"/>
  <c r="AS307" i="47"/>
  <c r="AR307" i="47"/>
  <c r="AS233" i="47"/>
  <c r="AR233" i="47"/>
  <c r="AS202" i="47"/>
  <c r="AR202" i="47"/>
  <c r="AS43" i="47"/>
  <c r="AR43" i="47"/>
  <c r="AS70" i="47"/>
  <c r="AR70" i="47"/>
  <c r="AS191" i="47"/>
  <c r="AR191" i="47"/>
  <c r="AS124" i="47"/>
  <c r="AR124" i="47"/>
  <c r="AS262" i="47"/>
  <c r="AR262" i="47"/>
  <c r="AS107" i="47"/>
  <c r="AR107" i="47"/>
  <c r="AS283" i="47"/>
  <c r="AR283" i="47"/>
  <c r="AS153" i="47"/>
  <c r="AR153" i="47"/>
  <c r="AS87" i="47"/>
  <c r="AR87" i="47"/>
  <c r="AS27" i="47"/>
  <c r="AR27" i="47"/>
  <c r="AS214" i="47"/>
  <c r="AR214" i="47"/>
  <c r="AS188" i="47"/>
  <c r="AR188" i="47"/>
  <c r="AS263" i="47"/>
  <c r="AR263" i="47"/>
  <c r="AS28" i="47"/>
  <c r="AR28" i="47"/>
  <c r="AS186" i="47"/>
  <c r="AR186" i="47"/>
  <c r="AS62" i="47"/>
  <c r="AR62" i="47"/>
  <c r="AS117" i="47"/>
  <c r="AR117" i="47"/>
  <c r="AS203" i="47"/>
  <c r="AR203" i="47"/>
  <c r="AR94" i="47"/>
  <c r="AS94" i="47"/>
  <c r="AS197" i="47"/>
  <c r="AR197" i="47"/>
  <c r="AS29" i="47"/>
  <c r="AR29" i="47"/>
  <c r="AS164" i="47"/>
  <c r="AR164" i="47"/>
  <c r="AR302" i="47"/>
  <c r="AS302" i="47"/>
  <c r="AS37" i="47"/>
  <c r="AR37" i="47"/>
  <c r="AS30" i="47"/>
  <c r="AR30" i="47"/>
  <c r="AS90" i="47"/>
  <c r="AR90" i="47"/>
  <c r="AR64" i="47"/>
  <c r="AS64" i="47"/>
  <c r="AS252" i="47"/>
  <c r="AR252" i="47"/>
  <c r="AR102" i="47"/>
  <c r="AS102" i="47"/>
  <c r="AS167" i="47"/>
  <c r="AR167" i="47"/>
  <c r="AS217" i="47"/>
  <c r="AR217" i="47"/>
  <c r="AS148" i="47"/>
  <c r="AR148" i="47"/>
  <c r="AS212" i="47"/>
  <c r="AR212" i="47"/>
  <c r="AS292" i="47"/>
  <c r="AR292" i="47"/>
  <c r="AR246" i="47"/>
  <c r="AS246" i="47"/>
  <c r="AS213" i="47"/>
  <c r="AR213" i="47"/>
  <c r="AS92" i="47"/>
  <c r="AR92" i="47"/>
  <c r="AS139" i="47"/>
  <c r="AR139" i="47"/>
  <c r="AS122" i="47"/>
  <c r="AR122" i="47"/>
  <c r="AS290" i="47"/>
  <c r="AR290" i="47"/>
  <c r="AS183" i="47"/>
  <c r="AR183" i="47"/>
  <c r="AS35" i="47"/>
  <c r="AR35" i="47"/>
  <c r="AS229" i="47"/>
  <c r="AR229" i="47"/>
  <c r="AS295" i="47"/>
  <c r="AR295" i="47"/>
  <c r="AR112" i="47"/>
  <c r="AS112" i="47"/>
  <c r="AS237" i="47"/>
  <c r="AR237" i="47"/>
  <c r="AS172" i="47"/>
  <c r="AR172" i="47"/>
  <c r="AR79" i="47"/>
  <c r="AS79" i="47"/>
  <c r="AS98" i="47"/>
  <c r="AR98" i="47"/>
  <c r="AR24" i="47"/>
  <c r="AR47" i="47"/>
  <c r="AS205" i="47"/>
  <c r="AR205" i="47"/>
  <c r="AS228" i="47"/>
  <c r="AR228" i="47"/>
  <c r="AS180" i="47"/>
  <c r="AR180" i="47"/>
  <c r="AS201" i="47"/>
  <c r="AR201" i="47"/>
  <c r="AS275" i="47"/>
  <c r="AR275" i="47"/>
  <c r="AS66" i="47"/>
  <c r="AR66" i="47"/>
  <c r="AS178" i="47"/>
  <c r="AR178" i="47"/>
  <c r="AS65" i="47"/>
  <c r="AR65" i="47"/>
  <c r="AS291" i="47"/>
  <c r="AR291" i="47"/>
  <c r="AR240" i="47"/>
  <c r="AS240" i="47"/>
  <c r="AR33" i="47"/>
  <c r="AR190" i="47"/>
  <c r="AS190" i="47"/>
  <c r="AS95" i="47"/>
  <c r="AR95" i="47"/>
  <c r="AR304" i="47"/>
  <c r="AS304" i="47"/>
  <c r="AS286" i="47"/>
  <c r="AR286" i="47"/>
  <c r="AR63" i="47"/>
  <c r="AS63" i="47"/>
  <c r="AS195" i="47"/>
  <c r="AR195" i="47"/>
  <c r="AS289" i="47"/>
  <c r="AR289" i="47"/>
  <c r="AS137" i="47"/>
  <c r="AR137" i="47"/>
  <c r="AS140" i="47"/>
  <c r="AR140" i="47"/>
  <c r="AS265" i="47"/>
  <c r="AR265" i="47"/>
  <c r="AS78" i="47"/>
  <c r="AR78" i="47"/>
  <c r="AS277" i="47"/>
  <c r="AR277" i="47"/>
  <c r="AR120" i="47"/>
  <c r="AS120" i="47"/>
  <c r="AS215" i="47"/>
  <c r="AR215" i="47"/>
  <c r="AS173" i="47"/>
  <c r="AR173" i="47"/>
  <c r="AS132" i="47"/>
  <c r="AR132" i="47"/>
  <c r="AS207" i="47"/>
  <c r="AR207" i="47"/>
  <c r="AS59" i="47"/>
  <c r="AR59" i="47"/>
  <c r="AS222" i="47"/>
  <c r="AR222" i="47"/>
  <c r="AS243" i="47"/>
  <c r="AR243" i="47"/>
  <c r="AS287" i="47"/>
  <c r="AR287" i="47"/>
  <c r="AS97" i="47"/>
  <c r="AR97" i="47"/>
  <c r="AS221" i="47"/>
  <c r="AR221" i="47"/>
  <c r="AS293" i="47"/>
  <c r="AR293" i="47"/>
  <c r="AR166" i="47"/>
  <c r="AS166" i="47"/>
  <c r="AS20" i="47"/>
  <c r="AR20" i="47"/>
  <c r="AS171" i="47"/>
  <c r="AR171" i="47"/>
  <c r="AS276" i="47"/>
  <c r="AR276" i="47"/>
  <c r="AS130" i="47"/>
  <c r="AR130" i="47"/>
  <c r="AR192" i="47"/>
  <c r="AS192" i="47"/>
  <c r="AS274" i="47"/>
  <c r="AR274" i="47"/>
  <c r="AS67" i="47"/>
  <c r="AR67" i="47"/>
  <c r="AS156" i="47"/>
  <c r="AR156" i="47"/>
  <c r="AS50" i="47"/>
  <c r="AR50" i="47"/>
  <c r="AS58" i="47"/>
  <c r="AR58" i="47"/>
  <c r="AS303" i="47"/>
  <c r="AR303" i="47"/>
  <c r="AS108" i="47"/>
  <c r="AR108" i="47"/>
  <c r="AR294" i="47"/>
  <c r="AS294" i="47"/>
  <c r="AR280" i="47"/>
  <c r="AS280" i="47"/>
  <c r="AS163" i="47"/>
  <c r="AR163" i="47"/>
  <c r="AS249" i="47"/>
  <c r="AR249" i="47"/>
  <c r="AR288" i="47"/>
  <c r="AS288" i="47"/>
  <c r="AR216" i="47"/>
  <c r="AS216" i="47"/>
  <c r="AS73" i="47"/>
  <c r="AR73" i="47"/>
  <c r="AR232" i="47"/>
  <c r="AS232" i="47"/>
  <c r="AS220" i="47"/>
  <c r="AR220" i="47"/>
  <c r="AS133" i="47"/>
  <c r="AR133" i="47"/>
  <c r="AS161" i="47"/>
  <c r="AR161" i="47"/>
  <c r="AR86" i="47"/>
  <c r="AS86" i="47"/>
  <c r="AS145" i="47"/>
  <c r="AR145" i="47"/>
  <c r="AR72" i="47"/>
  <c r="AS72" i="47"/>
  <c r="AS57" i="47"/>
  <c r="AR57" i="47"/>
  <c r="AR200" i="47"/>
  <c r="AS200" i="47"/>
  <c r="AR126" i="47"/>
  <c r="AS126" i="47"/>
  <c r="AS129" i="47"/>
  <c r="AR129" i="47"/>
  <c r="AS282" i="47"/>
  <c r="AR282" i="47"/>
  <c r="AS244" i="47"/>
  <c r="AR244" i="47"/>
  <c r="AS127" i="47"/>
  <c r="AR127" i="47"/>
  <c r="AS109" i="47"/>
  <c r="AR109" i="47"/>
  <c r="AR176" i="47"/>
  <c r="AS176" i="47"/>
  <c r="AS210" i="47"/>
  <c r="AR210" i="47"/>
  <c r="AS85" i="47"/>
  <c r="AR85" i="47"/>
  <c r="AS297" i="47"/>
  <c r="AR297" i="47"/>
  <c r="AS19" i="47"/>
  <c r="AR19" i="47"/>
  <c r="AR110" i="47"/>
  <c r="AS110" i="47"/>
  <c r="AS21" i="47"/>
  <c r="AR21" i="47"/>
  <c r="AR152" i="47"/>
  <c r="AS152" i="47"/>
  <c r="AA9" i="47"/>
  <c r="AA10" i="47"/>
  <c r="AR15" i="47"/>
  <c r="AS83" i="47"/>
  <c r="AR83" i="47"/>
  <c r="AR136" i="47"/>
  <c r="AS136" i="47"/>
  <c r="AS227" i="47"/>
  <c r="AR227" i="47"/>
  <c r="AR296" i="47"/>
  <c r="AS296" i="47"/>
  <c r="AR23" i="47"/>
  <c r="AS23" i="47"/>
  <c r="AS18" i="47"/>
  <c r="AR18" i="47"/>
  <c r="AS306" i="47"/>
  <c r="AR306" i="47"/>
  <c r="AS121" i="47"/>
  <c r="AR121" i="47"/>
  <c r="AS181" i="47"/>
  <c r="AR181" i="47"/>
  <c r="AR206" i="47"/>
  <c r="AS206" i="47"/>
  <c r="AS266" i="47"/>
  <c r="AR266" i="47"/>
  <c r="AS219" i="47"/>
  <c r="AR219" i="47"/>
  <c r="AS159" i="47"/>
  <c r="AR159" i="47"/>
  <c r="AS61" i="47"/>
  <c r="AR61" i="47"/>
  <c r="AS157" i="47"/>
  <c r="AR157" i="47"/>
  <c r="AS235" i="47"/>
  <c r="AR235" i="47"/>
  <c r="AS199" i="47"/>
  <c r="AR199" i="47"/>
  <c r="AS241" i="47"/>
  <c r="AR241" i="47"/>
  <c r="AS60" i="47"/>
  <c r="AR60" i="47"/>
  <c r="AS91" i="47"/>
  <c r="AR91" i="47"/>
  <c r="AR255" i="47"/>
  <c r="AS255" i="47"/>
  <c r="AR256" i="47"/>
  <c r="AS256" i="47"/>
  <c r="AS271" i="47"/>
  <c r="AR271" i="47"/>
  <c r="AS204" i="47"/>
  <c r="AR204" i="47"/>
  <c r="AR55" i="47"/>
  <c r="AS55" i="47"/>
  <c r="AS273" i="47"/>
  <c r="AR273" i="47"/>
  <c r="AR254" i="47"/>
  <c r="AS254" i="47"/>
  <c r="AS165" i="47"/>
  <c r="AR165" i="47"/>
  <c r="AS89" i="47"/>
  <c r="AR89" i="47"/>
  <c r="AS185" i="47"/>
  <c r="AR185" i="47"/>
  <c r="AS69" i="47"/>
  <c r="AR69" i="47"/>
  <c r="AS251" i="47"/>
  <c r="AR251" i="47"/>
  <c r="AS74" i="47"/>
  <c r="AR74" i="47"/>
  <c r="AS111" i="47"/>
  <c r="AR111" i="47"/>
  <c r="AS258" i="47"/>
  <c r="AR258" i="47"/>
  <c r="AS209" i="47"/>
  <c r="AR209" i="47"/>
  <c r="AR198" i="47"/>
  <c r="AS198" i="47"/>
  <c r="AS84" i="47"/>
  <c r="AR84" i="47"/>
  <c r="AR17" i="47"/>
  <c r="AE116" i="48"/>
  <c r="AP116" i="54" s="1"/>
  <c r="AE222" i="48"/>
  <c r="AP222" i="54" s="1"/>
  <c r="AE51" i="48"/>
  <c r="AP51" i="54" s="1"/>
  <c r="AE117" i="48"/>
  <c r="AP117" i="54" s="1"/>
  <c r="AE146" i="48"/>
  <c r="AP146" i="54" s="1"/>
  <c r="AE45" i="48"/>
  <c r="AP45" i="54" s="1"/>
  <c r="AE149" i="48"/>
  <c r="AP149" i="54" s="1"/>
  <c r="AE48" i="48"/>
  <c r="AP48" i="54" s="1"/>
  <c r="AE271" i="48"/>
  <c r="AP271" i="54" s="1"/>
  <c r="AE89" i="48"/>
  <c r="AP89" i="54" s="1"/>
  <c r="AE205" i="48"/>
  <c r="AP205" i="54" s="1"/>
  <c r="AE101" i="48"/>
  <c r="AP101" i="54" s="1"/>
  <c r="AE278" i="48"/>
  <c r="AP278" i="54" s="1"/>
  <c r="AE52" i="48"/>
  <c r="AP52" i="54" s="1"/>
  <c r="AE225" i="48"/>
  <c r="AP225" i="54" s="1"/>
  <c r="AE189" i="48"/>
  <c r="AP189" i="54" s="1"/>
  <c r="AE255" i="48"/>
  <c r="AP255" i="54" s="1"/>
  <c r="AE287" i="48"/>
  <c r="AP287" i="54" s="1"/>
  <c r="AE59" i="48"/>
  <c r="AP59" i="54" s="1"/>
  <c r="AE157" i="48"/>
  <c r="AP157" i="54" s="1"/>
  <c r="AE100" i="48"/>
  <c r="AP100" i="54" s="1"/>
  <c r="AE239" i="48"/>
  <c r="AP239" i="54" s="1"/>
  <c r="AE60" i="48"/>
  <c r="AP60" i="54" s="1"/>
  <c r="AE183" i="48"/>
  <c r="AP183" i="54" s="1"/>
  <c r="AE57" i="48"/>
  <c r="AP57" i="54" s="1"/>
  <c r="AE221" i="48"/>
  <c r="AP221" i="54" s="1"/>
  <c r="AE58" i="48"/>
  <c r="AP58" i="54" s="1"/>
  <c r="AE133" i="48"/>
  <c r="AP133" i="54" s="1"/>
  <c r="AE61" i="48"/>
  <c r="AP61" i="54" s="1"/>
  <c r="AE132" i="48"/>
  <c r="AP132" i="54" s="1"/>
  <c r="Y9" i="57"/>
  <c r="Y8" i="57"/>
  <c r="Z9" i="57"/>
  <c r="Z8" i="57"/>
  <c r="I366" i="47"/>
  <c r="Z125" i="56"/>
  <c r="Z149" i="56"/>
  <c r="Z304" i="56"/>
  <c r="Z134" i="56"/>
  <c r="Z256" i="56"/>
  <c r="Z75" i="56"/>
  <c r="Z165" i="56"/>
  <c r="Z36" i="56"/>
  <c r="Z174" i="56"/>
  <c r="Z258" i="56"/>
  <c r="Z229" i="56"/>
  <c r="Z73" i="56"/>
  <c r="Z168" i="56"/>
  <c r="Z85" i="56"/>
  <c r="Z196" i="56"/>
  <c r="Z21" i="56"/>
  <c r="Z46" i="56"/>
  <c r="Z261" i="56"/>
  <c r="Z230" i="56"/>
  <c r="Z306" i="56"/>
  <c r="Z240" i="56"/>
  <c r="Z298" i="56"/>
  <c r="Z136" i="56"/>
  <c r="Z211" i="56"/>
  <c r="Z294" i="56"/>
  <c r="Z268" i="56"/>
  <c r="Z238" i="56"/>
  <c r="Z297" i="56"/>
  <c r="Z79" i="56"/>
  <c r="Z252" i="56"/>
  <c r="Z289" i="56"/>
  <c r="Z296" i="56"/>
  <c r="Z269" i="56"/>
  <c r="Z251" i="56"/>
  <c r="Z172" i="56"/>
  <c r="Z189" i="56"/>
  <c r="Z158" i="56"/>
  <c r="Z302" i="56"/>
  <c r="Z48" i="56"/>
  <c r="Z266" i="56"/>
  <c r="Z25" i="56"/>
  <c r="Z167" i="56"/>
  <c r="Z77" i="56"/>
  <c r="Z162" i="56"/>
  <c r="Z146" i="56"/>
  <c r="Z155" i="56"/>
  <c r="Z255" i="56"/>
  <c r="Z154" i="56"/>
  <c r="Z307" i="56"/>
  <c r="Z78" i="56"/>
  <c r="Z143" i="56"/>
  <c r="Z60" i="56"/>
  <c r="Z115" i="56"/>
  <c r="Z138" i="56"/>
  <c r="Z194" i="56"/>
  <c r="Z236" i="56"/>
  <c r="Z93" i="56"/>
  <c r="Z178" i="56"/>
  <c r="Z39" i="56"/>
  <c r="Z275" i="56"/>
  <c r="Z286" i="56"/>
  <c r="Z259" i="56"/>
  <c r="Z231" i="56"/>
  <c r="Z116" i="56"/>
  <c r="Z94" i="56"/>
  <c r="Z164" i="56"/>
  <c r="Z43" i="56"/>
  <c r="Z121" i="56"/>
  <c r="Z140" i="56"/>
  <c r="Z243" i="56"/>
  <c r="Z82" i="56"/>
  <c r="Z203" i="56"/>
  <c r="Z303" i="56"/>
  <c r="Z234" i="56"/>
  <c r="Z72" i="56"/>
  <c r="Z254" i="56"/>
  <c r="Z122" i="56"/>
  <c r="Z246" i="56"/>
  <c r="Z96" i="56"/>
  <c r="Z38" i="56"/>
  <c r="Z81" i="56"/>
  <c r="Z157" i="56"/>
  <c r="Z107" i="56"/>
  <c r="Z181" i="56"/>
  <c r="Z110" i="56"/>
  <c r="Z67" i="56"/>
  <c r="Z205" i="56"/>
  <c r="Z290" i="56"/>
  <c r="Z127" i="56"/>
  <c r="Z111" i="56"/>
  <c r="Z16" i="56"/>
  <c r="Z145" i="56"/>
  <c r="Z248" i="56"/>
  <c r="Z132" i="56"/>
  <c r="Z104" i="56"/>
  <c r="Z262" i="56"/>
  <c r="Z213" i="56"/>
  <c r="Z133" i="56"/>
  <c r="Z124" i="56"/>
  <c r="Z153" i="56"/>
  <c r="Z288" i="56"/>
  <c r="Z70" i="56"/>
  <c r="Z163" i="56"/>
  <c r="Z192" i="56"/>
  <c r="Z215" i="56"/>
  <c r="Z242" i="56"/>
  <c r="Z28" i="56"/>
  <c r="Z160" i="56"/>
  <c r="Z147" i="56"/>
  <c r="Z26" i="56"/>
  <c r="Z106" i="56"/>
  <c r="Z69" i="56"/>
  <c r="Z150" i="56"/>
  <c r="Z282" i="56"/>
  <c r="Z19" i="56"/>
  <c r="Z232" i="56"/>
  <c r="Z274" i="56"/>
  <c r="Z179" i="56"/>
  <c r="Z204" i="56"/>
  <c r="Z293" i="56"/>
  <c r="Z118" i="56"/>
  <c r="Z101" i="56"/>
  <c r="Z197" i="56"/>
  <c r="Z273" i="56"/>
  <c r="Z277" i="56"/>
  <c r="Z267" i="56"/>
  <c r="G60" i="66"/>
  <c r="Z108" i="56"/>
  <c r="Z87" i="56"/>
  <c r="Z50" i="56"/>
  <c r="Z80" i="56"/>
  <c r="Z34" i="56"/>
  <c r="Z41" i="56"/>
  <c r="Z109" i="56"/>
  <c r="Z91" i="56"/>
  <c r="Z90" i="56"/>
  <c r="Z285" i="56"/>
  <c r="Z105" i="56"/>
  <c r="Z54" i="56"/>
  <c r="Z156" i="56"/>
  <c r="Z23" i="56"/>
  <c r="Z62" i="56"/>
  <c r="Z244" i="56"/>
  <c r="Z128" i="56"/>
  <c r="Z76" i="56"/>
  <c r="Z30" i="56"/>
  <c r="Z114" i="56"/>
  <c r="Z235" i="56"/>
  <c r="Z239" i="56"/>
  <c r="Z193" i="56"/>
  <c r="Z195" i="56"/>
  <c r="Z71" i="56"/>
  <c r="Z148" i="56"/>
  <c r="Z185" i="56"/>
  <c r="Z271" i="56"/>
  <c r="Z224" i="56"/>
  <c r="Z159" i="56"/>
  <c r="Z305" i="56"/>
  <c r="Z152" i="56"/>
  <c r="Z208" i="56"/>
  <c r="Z56" i="56"/>
  <c r="Z170" i="56"/>
  <c r="Z237" i="56"/>
  <c r="Z129" i="56"/>
  <c r="Z278" i="56"/>
  <c r="Z209" i="56"/>
  <c r="Z292" i="56"/>
  <c r="Z265" i="56"/>
  <c r="Z299" i="56"/>
  <c r="Z117" i="56"/>
  <c r="Z257" i="56"/>
  <c r="Z142" i="56"/>
  <c r="Z120" i="56"/>
  <c r="Z226" i="56"/>
  <c r="Z283" i="56"/>
  <c r="Z42" i="56"/>
  <c r="Z225" i="56"/>
  <c r="Z219" i="56"/>
  <c r="G13" i="56"/>
  <c r="Z13" i="56" s="1"/>
  <c r="Z218" i="56"/>
  <c r="Z216" i="56"/>
  <c r="Z20" i="56"/>
  <c r="Z272" i="56"/>
  <c r="Z207" i="56"/>
  <c r="Z74" i="56"/>
  <c r="Z301" i="56"/>
  <c r="Z57" i="56"/>
  <c r="Z260" i="56"/>
  <c r="Z217" i="56"/>
  <c r="Z223" i="56"/>
  <c r="Z300" i="56"/>
  <c r="Z18" i="56"/>
  <c r="Z61" i="56"/>
  <c r="Z280" i="56"/>
  <c r="Z270" i="56"/>
  <c r="Z276" i="56"/>
  <c r="Z130" i="56"/>
  <c r="Z27" i="56"/>
  <c r="Z92" i="56"/>
  <c r="Z131" i="56"/>
  <c r="Z144" i="56"/>
  <c r="Z49" i="56"/>
  <c r="Z44" i="56"/>
  <c r="Z29" i="56"/>
  <c r="Z187" i="56"/>
  <c r="Z64" i="56"/>
  <c r="G7" i="56"/>
  <c r="Z103" i="56"/>
  <c r="Z210" i="56"/>
  <c r="Z227" i="56"/>
  <c r="Z53" i="56"/>
  <c r="Z173" i="56"/>
  <c r="Z222" i="56"/>
  <c r="Z99" i="56"/>
  <c r="Z31" i="56"/>
  <c r="Z47" i="56"/>
  <c r="Z212" i="56"/>
  <c r="Z84" i="56"/>
  <c r="Z177" i="56"/>
  <c r="Z22" i="56"/>
  <c r="Z188" i="56"/>
  <c r="Z40" i="56"/>
  <c r="Z186" i="56"/>
  <c r="Z221" i="56"/>
  <c r="Z171" i="56"/>
  <c r="Z175" i="56"/>
  <c r="Z126" i="56"/>
  <c r="Z199" i="56"/>
  <c r="Z98" i="56"/>
  <c r="Z191" i="56"/>
  <c r="Z241" i="56"/>
  <c r="Z68" i="56"/>
  <c r="Z198" i="56"/>
  <c r="Z245" i="56"/>
  <c r="Z202" i="56"/>
  <c r="Z291" i="56"/>
  <c r="Z263" i="56"/>
  <c r="Z281" i="56"/>
  <c r="Z95" i="56"/>
  <c r="Z250" i="56"/>
  <c r="Z228" i="56"/>
  <c r="Z201" i="56"/>
  <c r="Z182" i="56"/>
  <c r="Z151" i="56"/>
  <c r="Z97" i="56"/>
  <c r="Z200" i="56"/>
  <c r="Z247" i="56"/>
  <c r="Z52" i="56"/>
  <c r="Z89" i="56"/>
  <c r="Z184" i="56"/>
  <c r="Z33" i="56"/>
  <c r="Z63" i="56"/>
  <c r="Z166" i="56"/>
  <c r="Z139" i="56"/>
  <c r="Z112" i="56"/>
  <c r="Z24" i="56"/>
  <c r="Z183" i="56"/>
  <c r="Z66" i="56"/>
  <c r="Z83" i="56"/>
  <c r="Z86" i="56"/>
  <c r="Z113" i="56"/>
  <c r="Z37" i="56"/>
  <c r="Z169" i="56"/>
  <c r="Z17" i="56"/>
  <c r="Z220" i="56"/>
  <c r="Z161" i="56"/>
  <c r="Z264" i="56"/>
  <c r="Z141" i="56"/>
  <c r="Z249" i="56"/>
  <c r="Z287" i="56"/>
  <c r="Z119" i="56"/>
  <c r="Z214" i="56"/>
  <c r="Z59" i="56"/>
  <c r="Z58" i="56"/>
  <c r="Z253" i="56"/>
  <c r="Z279" i="56"/>
  <c r="Z176" i="56"/>
  <c r="Z65" i="56"/>
  <c r="Z45" i="56"/>
  <c r="Z190" i="56"/>
  <c r="Z233" i="56"/>
  <c r="Z123" i="56"/>
  <c r="Z32" i="56"/>
  <c r="Z206" i="56"/>
  <c r="Z88" i="56"/>
  <c r="Z100" i="56"/>
  <c r="Z51" i="56"/>
  <c r="Z284" i="56"/>
  <c r="Z55" i="56"/>
  <c r="Z135" i="56"/>
  <c r="Z180" i="56"/>
  <c r="Z35" i="56"/>
  <c r="Z137" i="56"/>
  <c r="Z295" i="56"/>
  <c r="Z102" i="56"/>
  <c r="AA13" i="51"/>
  <c r="N90" i="66"/>
  <c r="C97" i="66"/>
  <c r="N97" i="66" s="1"/>
  <c r="I556" i="47"/>
  <c r="I519" i="47"/>
  <c r="I396" i="47"/>
  <c r="I380" i="47"/>
  <c r="I345" i="47"/>
  <c r="I610" i="47"/>
  <c r="I374" i="47"/>
  <c r="I483" i="47"/>
  <c r="I511" i="47"/>
  <c r="I489" i="47"/>
  <c r="I429" i="47"/>
  <c r="I600" i="47"/>
  <c r="I341" i="47"/>
  <c r="I568" i="47"/>
  <c r="I614" i="47"/>
  <c r="I469" i="47"/>
  <c r="I354" i="47"/>
  <c r="I527" i="47"/>
  <c r="I479" i="47"/>
  <c r="I393" i="47"/>
  <c r="I463" i="47"/>
  <c r="J10" i="48"/>
  <c r="I352" i="47"/>
  <c r="I434" i="47"/>
  <c r="I379" i="47"/>
  <c r="I372" i="47"/>
  <c r="I604" i="47"/>
  <c r="I389" i="47"/>
  <c r="I383" i="47"/>
  <c r="I449" i="47"/>
  <c r="I549" i="47"/>
  <c r="I538" i="47"/>
  <c r="I392" i="47"/>
  <c r="I382" i="47"/>
  <c r="I359" i="47"/>
  <c r="I554" i="47"/>
  <c r="I577" i="47"/>
  <c r="I608" i="47"/>
  <c r="I584" i="47"/>
  <c r="I529" i="47"/>
  <c r="I476" i="47"/>
  <c r="I558" i="47"/>
  <c r="I539" i="47"/>
  <c r="I385" i="47"/>
  <c r="I521" i="47"/>
  <c r="I596" i="47"/>
  <c r="I512" i="47"/>
  <c r="I536" i="47"/>
  <c r="I595" i="47"/>
  <c r="I571" i="47"/>
  <c r="I442" i="47"/>
  <c r="I507" i="47"/>
  <c r="I417" i="47"/>
  <c r="I472" i="47"/>
  <c r="I418" i="47"/>
  <c r="I565" i="47"/>
  <c r="I480" i="47"/>
  <c r="I491" i="47"/>
  <c r="I500" i="47"/>
  <c r="I572" i="47"/>
  <c r="I523" i="47"/>
  <c r="I439" i="47"/>
  <c r="I544" i="47"/>
  <c r="I586" i="47"/>
  <c r="I409" i="47"/>
  <c r="I370" i="47"/>
  <c r="I485" i="47"/>
  <c r="I497" i="47"/>
  <c r="I522" i="47"/>
  <c r="I528" i="47"/>
  <c r="I561" i="47"/>
  <c r="I562" i="47"/>
  <c r="I548" i="47"/>
  <c r="I455" i="47"/>
  <c r="I376" i="47"/>
  <c r="I454" i="47"/>
  <c r="I371" i="47"/>
  <c r="I440" i="47"/>
  <c r="I583" i="47"/>
  <c r="I533" i="47"/>
  <c r="I457" i="47"/>
  <c r="I531" i="47"/>
  <c r="I358" i="47"/>
  <c r="I589" i="47"/>
  <c r="I496" i="47"/>
  <c r="I470" i="47"/>
  <c r="I424" i="47"/>
  <c r="I344" i="47"/>
  <c r="I573" i="47"/>
  <c r="I432" i="47"/>
  <c r="I453" i="47"/>
  <c r="I412" i="47"/>
  <c r="I581" i="47"/>
  <c r="I540" i="47"/>
  <c r="I408" i="47"/>
  <c r="I593" i="47"/>
  <c r="I368" i="47"/>
  <c r="I520" i="47"/>
  <c r="I490" i="47"/>
  <c r="E78" i="66"/>
  <c r="AB24" i="47"/>
  <c r="AS24" i="47" s="1"/>
  <c r="I460" i="47"/>
  <c r="I410" i="47"/>
  <c r="I513" i="47"/>
  <c r="E82" i="66"/>
  <c r="AB15" i="47"/>
  <c r="AS15" i="47" s="1"/>
  <c r="I13" i="47"/>
  <c r="I407" i="47"/>
  <c r="I623" i="47"/>
  <c r="I587" i="47"/>
  <c r="I518" i="47"/>
  <c r="I386" i="47"/>
  <c r="I570" i="47"/>
  <c r="I481" i="47"/>
  <c r="I578" i="47"/>
  <c r="I405" i="47"/>
  <c r="I423" i="47"/>
  <c r="I501" i="47"/>
  <c r="I599" i="47"/>
  <c r="I398" i="47"/>
  <c r="I517" i="47"/>
  <c r="I365" i="47"/>
  <c r="I591" i="47"/>
  <c r="I618" i="47"/>
  <c r="I494" i="47"/>
  <c r="I356" i="47"/>
  <c r="I590" i="47"/>
  <c r="I543" i="47"/>
  <c r="I575" i="47"/>
  <c r="I612" i="47"/>
  <c r="I406" i="47"/>
  <c r="E81" i="66"/>
  <c r="AB17" i="47"/>
  <c r="AS17" i="47" s="1"/>
  <c r="I458" i="47"/>
  <c r="I582" i="47"/>
  <c r="I617" i="47"/>
  <c r="I535" i="47"/>
  <c r="I550" i="47"/>
  <c r="I475" i="47"/>
  <c r="I467" i="47"/>
  <c r="I377" i="47"/>
  <c r="I451" i="47"/>
  <c r="I473" i="47"/>
  <c r="I495" i="47"/>
  <c r="I551" i="47"/>
  <c r="I569" i="47"/>
  <c r="I515" i="47"/>
  <c r="I471" i="47"/>
  <c r="I557" i="47"/>
  <c r="I510" i="47"/>
  <c r="I532" i="47"/>
  <c r="I452" i="47"/>
  <c r="O84" i="66"/>
  <c r="AK84" i="66" s="1"/>
  <c r="AU84" i="66"/>
  <c r="AA84" i="66"/>
  <c r="I349" i="47"/>
  <c r="I506" i="47"/>
  <c r="I340" i="47"/>
  <c r="I411" i="47"/>
  <c r="I547" i="47"/>
  <c r="I620" i="47"/>
  <c r="I585" i="47"/>
  <c r="I602" i="47"/>
  <c r="I546" i="47"/>
  <c r="E83" i="66"/>
  <c r="AB16" i="47"/>
  <c r="AS16" i="47" s="1"/>
  <c r="I465" i="47"/>
  <c r="I438" i="47"/>
  <c r="I601" i="47"/>
  <c r="I606" i="47"/>
  <c r="I397" i="47"/>
  <c r="I499" i="47"/>
  <c r="I564" i="47"/>
  <c r="I350" i="47"/>
  <c r="I621" i="47"/>
  <c r="I545" i="47"/>
  <c r="I346" i="47"/>
  <c r="I611" i="47"/>
  <c r="I503" i="47"/>
  <c r="I428" i="47"/>
  <c r="I542" i="47"/>
  <c r="I553" i="47"/>
  <c r="I484" i="47"/>
  <c r="I488" i="47"/>
  <c r="I369" i="47"/>
  <c r="I395" i="47"/>
  <c r="I615" i="47"/>
  <c r="I414" i="47"/>
  <c r="I450" i="47"/>
  <c r="I339" i="47"/>
  <c r="I353" i="47"/>
  <c r="I482" i="47"/>
  <c r="I421" i="47"/>
  <c r="I335" i="47"/>
  <c r="I534" i="47"/>
  <c r="I487" i="47"/>
  <c r="I505" i="47"/>
  <c r="I592" i="47"/>
  <c r="I594" i="47"/>
  <c r="I446" i="47"/>
  <c r="I422" i="47"/>
  <c r="I508" i="47"/>
  <c r="I444" i="47"/>
  <c r="H11" i="47"/>
  <c r="H10" i="47"/>
  <c r="AA13" i="47"/>
  <c r="I580" i="47"/>
  <c r="I399" i="47"/>
  <c r="AU83" i="66"/>
  <c r="O83" i="66"/>
  <c r="AK83" i="66" s="1"/>
  <c r="AA83" i="66"/>
  <c r="I433" i="47"/>
  <c r="I619" i="47"/>
  <c r="AC300" i="47"/>
  <c r="AT300" i="47" s="1"/>
  <c r="I436" i="47"/>
  <c r="I404" i="47"/>
  <c r="I416" i="47"/>
  <c r="I448" i="47"/>
  <c r="I419" i="47"/>
  <c r="I391" i="47"/>
  <c r="I375" i="47"/>
  <c r="I588" i="47"/>
  <c r="I559" i="47"/>
  <c r="I541" i="47"/>
  <c r="I603" i="47"/>
  <c r="I413" i="47"/>
  <c r="I384" i="47"/>
  <c r="I537" i="47"/>
  <c r="I462" i="47"/>
  <c r="I609" i="47"/>
  <c r="I441" i="47"/>
  <c r="O78" i="66"/>
  <c r="AK78" i="66" s="1"/>
  <c r="D85" i="66"/>
  <c r="O85" i="66" s="1"/>
  <c r="AK85" i="66" s="1"/>
  <c r="AU78" i="66"/>
  <c r="AA78" i="66"/>
  <c r="I526" i="47"/>
  <c r="I597" i="47"/>
  <c r="I401" i="47"/>
  <c r="I347" i="47"/>
  <c r="I613" i="47"/>
  <c r="I566" i="47"/>
  <c r="I334" i="47"/>
  <c r="I415" i="47"/>
  <c r="I426" i="47"/>
  <c r="I447" i="47"/>
  <c r="I336" i="47"/>
  <c r="I367" i="47"/>
  <c r="I468" i="47"/>
  <c r="I420" i="47"/>
  <c r="I378" i="47"/>
  <c r="I332" i="47"/>
  <c r="AU79" i="66"/>
  <c r="O79" i="66"/>
  <c r="AK79" i="66" s="1"/>
  <c r="AA79" i="66"/>
  <c r="I607" i="47"/>
  <c r="I435" i="47"/>
  <c r="AU80" i="66"/>
  <c r="O80" i="66"/>
  <c r="AK80" i="66" s="1"/>
  <c r="AA80" i="66"/>
  <c r="E79" i="66"/>
  <c r="AB47" i="47"/>
  <c r="AS47" i="47" s="1"/>
  <c r="I430" i="47"/>
  <c r="I605" i="47"/>
  <c r="I364" i="47"/>
  <c r="I456" i="47"/>
  <c r="I357" i="47"/>
  <c r="I576" i="47"/>
  <c r="I394" i="47"/>
  <c r="I493" i="47"/>
  <c r="I492" i="47"/>
  <c r="I431" i="47"/>
  <c r="O82" i="66"/>
  <c r="AK82" i="66" s="1"/>
  <c r="AU82" i="66"/>
  <c r="AA82" i="66"/>
  <c r="E84" i="66"/>
  <c r="AB22" i="47"/>
  <c r="AS22" i="47" s="1"/>
  <c r="I355" i="47"/>
  <c r="I464" i="47"/>
  <c r="I387" i="47"/>
  <c r="I478" i="47"/>
  <c r="I338" i="47"/>
  <c r="I333" i="47"/>
  <c r="I486" i="47"/>
  <c r="I622" i="47"/>
  <c r="I437" i="47"/>
  <c r="I524" i="47"/>
  <c r="E80" i="66"/>
  <c r="AB33" i="47"/>
  <c r="AS33" i="47" s="1"/>
  <c r="I477" i="47"/>
  <c r="I509" i="47"/>
  <c r="I402" i="47"/>
  <c r="I474" i="47"/>
  <c r="I461" i="47"/>
  <c r="I498" i="47"/>
  <c r="I388" i="47"/>
  <c r="I459" i="47"/>
  <c r="I373" i="47"/>
  <c r="I555" i="47"/>
  <c r="I516" i="47"/>
  <c r="I466" i="47"/>
  <c r="I445" i="47"/>
  <c r="I351" i="47"/>
  <c r="I598" i="47"/>
  <c r="I563" i="47"/>
  <c r="I560" i="47"/>
  <c r="I443" i="47"/>
  <c r="I361" i="47"/>
  <c r="I425" i="47"/>
  <c r="I362" i="47"/>
  <c r="I567" i="47"/>
  <c r="I403" i="47"/>
  <c r="I390" i="47"/>
  <c r="I342" i="47"/>
  <c r="I427" i="47"/>
  <c r="I530" i="47"/>
  <c r="I574" i="47"/>
  <c r="I504" i="47"/>
  <c r="I525" i="47"/>
  <c r="I579" i="47"/>
  <c r="I514" i="47"/>
  <c r="I343" i="47"/>
  <c r="I400" i="47"/>
  <c r="I502" i="47"/>
  <c r="I616" i="47"/>
  <c r="I381" i="47"/>
  <c r="O81" i="66"/>
  <c r="AK81" i="66" s="1"/>
  <c r="AU81" i="66"/>
  <c r="AA81" i="66"/>
  <c r="AC13" i="48"/>
  <c r="I11" i="46"/>
  <c r="CO15" i="45"/>
  <c r="DH15" i="45" s="1"/>
  <c r="G54" i="66"/>
  <c r="AX54" i="66" s="1"/>
  <c r="G59" i="66"/>
  <c r="AD59" i="66" s="1"/>
  <c r="G56" i="66"/>
  <c r="AD56" i="66" s="1"/>
  <c r="G57" i="66"/>
  <c r="G58" i="66"/>
  <c r="Q58" i="66"/>
  <c r="F61" i="66"/>
  <c r="Q59" i="66"/>
  <c r="AK61" i="66"/>
  <c r="C145" i="66"/>
  <c r="C12" i="66"/>
  <c r="N12" i="66" s="1"/>
  <c r="AD171" i="48"/>
  <c r="AO171" i="54" s="1"/>
  <c r="AD190" i="48"/>
  <c r="AO190" i="54" s="1"/>
  <c r="AD197" i="48"/>
  <c r="AO197" i="54" s="1"/>
  <c r="AD131" i="48"/>
  <c r="AO131" i="54" s="1"/>
  <c r="AD123" i="48"/>
  <c r="AO123" i="54" s="1"/>
  <c r="AD228" i="48"/>
  <c r="AO228" i="54" s="1"/>
  <c r="AD105" i="48"/>
  <c r="AO105" i="54" s="1"/>
  <c r="AD53" i="48"/>
  <c r="AO53" i="54" s="1"/>
  <c r="AD39" i="48"/>
  <c r="AO39" i="54" s="1"/>
  <c r="AD31" i="48"/>
  <c r="AO31" i="54" s="1"/>
  <c r="AD237" i="48"/>
  <c r="AO237" i="54" s="1"/>
  <c r="AD165" i="48"/>
  <c r="AO165" i="54" s="1"/>
  <c r="AD246" i="48"/>
  <c r="AO246" i="54" s="1"/>
  <c r="AD252" i="48"/>
  <c r="AO252" i="54" s="1"/>
  <c r="AD238" i="48"/>
  <c r="AO238" i="54" s="1"/>
  <c r="AD295" i="48"/>
  <c r="AO295" i="54" s="1"/>
  <c r="AD285" i="48"/>
  <c r="AO285" i="54" s="1"/>
  <c r="AD202" i="48"/>
  <c r="AO202" i="54" s="1"/>
  <c r="AD139" i="48"/>
  <c r="AO139" i="54" s="1"/>
  <c r="AD230" i="48"/>
  <c r="AO230" i="54" s="1"/>
  <c r="AD66" i="48"/>
  <c r="AO66" i="54" s="1"/>
  <c r="AD194" i="48"/>
  <c r="AO194" i="54" s="1"/>
  <c r="AD159" i="48"/>
  <c r="AO159" i="54" s="1"/>
  <c r="AD64" i="48"/>
  <c r="AO64" i="54" s="1"/>
  <c r="AD87" i="48"/>
  <c r="AO87" i="54" s="1"/>
  <c r="AD55" i="48"/>
  <c r="AO55" i="54" s="1"/>
  <c r="AD305" i="48"/>
  <c r="AO305" i="54" s="1"/>
  <c r="AD212" i="48"/>
  <c r="AO212" i="54" s="1"/>
  <c r="AD93" i="48"/>
  <c r="AO93" i="54" s="1"/>
  <c r="AD303" i="48"/>
  <c r="AO303" i="54" s="1"/>
  <c r="AD236" i="48"/>
  <c r="AO236" i="54" s="1"/>
  <c r="AD206" i="48"/>
  <c r="AO206" i="54" s="1"/>
  <c r="AD284" i="48"/>
  <c r="AO284" i="54" s="1"/>
  <c r="AD199" i="48"/>
  <c r="AO199" i="54" s="1"/>
  <c r="AD71" i="48"/>
  <c r="AO71" i="54" s="1"/>
  <c r="AD17" i="48"/>
  <c r="AO17" i="54" s="1"/>
  <c r="AD38" i="48"/>
  <c r="AO38" i="54" s="1"/>
  <c r="AD260" i="48"/>
  <c r="AO260" i="54" s="1"/>
  <c r="AD186" i="48"/>
  <c r="AO186" i="54" s="1"/>
  <c r="AD118" i="48"/>
  <c r="AO118" i="54" s="1"/>
  <c r="AD261" i="48"/>
  <c r="AO261" i="54" s="1"/>
  <c r="AD232" i="48"/>
  <c r="AO232" i="54" s="1"/>
  <c r="AD289" i="48"/>
  <c r="AO289" i="54" s="1"/>
  <c r="AD151" i="48"/>
  <c r="AO151" i="54" s="1"/>
  <c r="AD154" i="48"/>
  <c r="AO154" i="54" s="1"/>
  <c r="AD67" i="48"/>
  <c r="AO67" i="54" s="1"/>
  <c r="AD32" i="48"/>
  <c r="AO32" i="54" s="1"/>
  <c r="AD288" i="48"/>
  <c r="AO288" i="54" s="1"/>
  <c r="AD158" i="48"/>
  <c r="AO158" i="54" s="1"/>
  <c r="AD262" i="48"/>
  <c r="AO262" i="54" s="1"/>
  <c r="AD134" i="48"/>
  <c r="AO134" i="54" s="1"/>
  <c r="AD115" i="48"/>
  <c r="AO115" i="54" s="1"/>
  <c r="AD283" i="48"/>
  <c r="AO283" i="54" s="1"/>
  <c r="AD272" i="48"/>
  <c r="AO272" i="54" s="1"/>
  <c r="AD267" i="48"/>
  <c r="AO267" i="54" s="1"/>
  <c r="AD192" i="48"/>
  <c r="AO192" i="54" s="1"/>
  <c r="AD302" i="48"/>
  <c r="AO302" i="54" s="1"/>
  <c r="AD286" i="48"/>
  <c r="AO286" i="54" s="1"/>
  <c r="AD141" i="48"/>
  <c r="AO141" i="54" s="1"/>
  <c r="AD156" i="48"/>
  <c r="AO156" i="54" s="1"/>
  <c r="AD168" i="48"/>
  <c r="AO168" i="54" s="1"/>
  <c r="AD106" i="48"/>
  <c r="AO106" i="54" s="1"/>
  <c r="AD142" i="48"/>
  <c r="AO142" i="54" s="1"/>
  <c r="AD301" i="48"/>
  <c r="AO301" i="54" s="1"/>
  <c r="AD208" i="48"/>
  <c r="AO208" i="54" s="1"/>
  <c r="AD68" i="48"/>
  <c r="AO68" i="54" s="1"/>
  <c r="AD129" i="48"/>
  <c r="AO129" i="54" s="1"/>
  <c r="AD83" i="48"/>
  <c r="AO83" i="54" s="1"/>
  <c r="AD20" i="48"/>
  <c r="AO20" i="54" s="1"/>
  <c r="AD96" i="48"/>
  <c r="AO96" i="54" s="1"/>
  <c r="AD143" i="48"/>
  <c r="AO143" i="54" s="1"/>
  <c r="AD135" i="48"/>
  <c r="AO135" i="54" s="1"/>
  <c r="AD54" i="48"/>
  <c r="AO54" i="54" s="1"/>
  <c r="AD25" i="48"/>
  <c r="AO25" i="54" s="1"/>
  <c r="AD243" i="48"/>
  <c r="AO243" i="54" s="1"/>
  <c r="AD203" i="48"/>
  <c r="AO203" i="54" s="1"/>
  <c r="AD24" i="48"/>
  <c r="AO24" i="54" s="1"/>
  <c r="AD160" i="48"/>
  <c r="AO160" i="54" s="1"/>
  <c r="AD220" i="48"/>
  <c r="AO220" i="54" s="1"/>
  <c r="AD136" i="48"/>
  <c r="AO136" i="54" s="1"/>
  <c r="AD27" i="48"/>
  <c r="AO27" i="54" s="1"/>
  <c r="AD217" i="48"/>
  <c r="AO217" i="54" s="1"/>
  <c r="AD291" i="48"/>
  <c r="AO291" i="54" s="1"/>
  <c r="AD245" i="48"/>
  <c r="AO245" i="54" s="1"/>
  <c r="AD140" i="48"/>
  <c r="AO140" i="54" s="1"/>
  <c r="AD195" i="48"/>
  <c r="AO195" i="54" s="1"/>
  <c r="AD290" i="48"/>
  <c r="AO290" i="54" s="1"/>
  <c r="AD112" i="48"/>
  <c r="AO112" i="54" s="1"/>
  <c r="AD161" i="48"/>
  <c r="AO161" i="54" s="1"/>
  <c r="AD50" i="48"/>
  <c r="AO50" i="54" s="1"/>
  <c r="AD36" i="48"/>
  <c r="AO36" i="54" s="1"/>
  <c r="AD259" i="48"/>
  <c r="AO259" i="54" s="1"/>
  <c r="AD298" i="48"/>
  <c r="AO298" i="54" s="1"/>
  <c r="AD265" i="48"/>
  <c r="AO265" i="54" s="1"/>
  <c r="AD172" i="48"/>
  <c r="AO172" i="54" s="1"/>
  <c r="AD184" i="48"/>
  <c r="AO184" i="54" s="1"/>
  <c r="AD296" i="48"/>
  <c r="AO296" i="54" s="1"/>
  <c r="AD277" i="48"/>
  <c r="AO277" i="54" s="1"/>
  <c r="AD18" i="48"/>
  <c r="AO18" i="54" s="1"/>
  <c r="AD299" i="48"/>
  <c r="AO299" i="54" s="1"/>
  <c r="AD42" i="48"/>
  <c r="AO42" i="54" s="1"/>
  <c r="AD274" i="48"/>
  <c r="AO274" i="54" s="1"/>
  <c r="AD179" i="48"/>
  <c r="AO179" i="54" s="1"/>
  <c r="AD128" i="48"/>
  <c r="AO128" i="54" s="1"/>
  <c r="AD47" i="48"/>
  <c r="AO47" i="54" s="1"/>
  <c r="AD110" i="48"/>
  <c r="AO110" i="54" s="1"/>
  <c r="AD215" i="48"/>
  <c r="AO215" i="54" s="1"/>
  <c r="AD74" i="48"/>
  <c r="AO74" i="54" s="1"/>
  <c r="AD90" i="48"/>
  <c r="AO90" i="54" s="1"/>
  <c r="AD304" i="48"/>
  <c r="AO304" i="54" s="1"/>
  <c r="AD214" i="48"/>
  <c r="AO214" i="54" s="1"/>
  <c r="AD152" i="48"/>
  <c r="AO152" i="54" s="1"/>
  <c r="AD211" i="48"/>
  <c r="AO211" i="54" s="1"/>
  <c r="AD145" i="48"/>
  <c r="AO145" i="54" s="1"/>
  <c r="AD28" i="48"/>
  <c r="AO28" i="54" s="1"/>
  <c r="AD249" i="48"/>
  <c r="AO249" i="54" s="1"/>
  <c r="AD282" i="48"/>
  <c r="AO282" i="54" s="1"/>
  <c r="AD275" i="48"/>
  <c r="AO275" i="54" s="1"/>
  <c r="AD191" i="48"/>
  <c r="AO191" i="54" s="1"/>
  <c r="AD99" i="48"/>
  <c r="AO99" i="54" s="1"/>
  <c r="AD65" i="48"/>
  <c r="AO65" i="54" s="1"/>
  <c r="AD125" i="48"/>
  <c r="AO125" i="54" s="1"/>
  <c r="AD97" i="48"/>
  <c r="AO97" i="54" s="1"/>
  <c r="AD98" i="48"/>
  <c r="AO98" i="54" s="1"/>
  <c r="AD46" i="48"/>
  <c r="AO46" i="54" s="1"/>
  <c r="AD219" i="48"/>
  <c r="AO219" i="54" s="1"/>
  <c r="AD294" i="48"/>
  <c r="AO294" i="54" s="1"/>
  <c r="AD218" i="48"/>
  <c r="AO218" i="54" s="1"/>
  <c r="AD92" i="48"/>
  <c r="AO92" i="54" s="1"/>
  <c r="AD94" i="48"/>
  <c r="AO94" i="54" s="1"/>
  <c r="AD81" i="48"/>
  <c r="AO81" i="54" s="1"/>
  <c r="AD35" i="48"/>
  <c r="AO35" i="54" s="1"/>
  <c r="AD279" i="48"/>
  <c r="AO279" i="54" s="1"/>
  <c r="AD196" i="48"/>
  <c r="AO196" i="54" s="1"/>
  <c r="AD124" i="48"/>
  <c r="AO124" i="54" s="1"/>
  <c r="AD250" i="48"/>
  <c r="AO250" i="54" s="1"/>
  <c r="AD270" i="48"/>
  <c r="AO270" i="54" s="1"/>
  <c r="AD176" i="48"/>
  <c r="AO176" i="54" s="1"/>
  <c r="AD178" i="48"/>
  <c r="AO178" i="54" s="1"/>
  <c r="AD111" i="48"/>
  <c r="AO111" i="54" s="1"/>
  <c r="AD91" i="48"/>
  <c r="AO91" i="54" s="1"/>
  <c r="AD269" i="48"/>
  <c r="AO269" i="54" s="1"/>
  <c r="AD263" i="48"/>
  <c r="AO263" i="54" s="1"/>
  <c r="AD147" i="48"/>
  <c r="AO147" i="54" s="1"/>
  <c r="AD44" i="48"/>
  <c r="AO44" i="54" s="1"/>
  <c r="AD300" i="48"/>
  <c r="AO300" i="54" s="1"/>
  <c r="AD306" i="48"/>
  <c r="AO306" i="54" s="1"/>
  <c r="AD37" i="48"/>
  <c r="AO37" i="54" s="1"/>
  <c r="AD247" i="48"/>
  <c r="AO247" i="54" s="1"/>
  <c r="AD127" i="48"/>
  <c r="AO127" i="54" s="1"/>
  <c r="AD95" i="48"/>
  <c r="AO95" i="54" s="1"/>
  <c r="AD109" i="48"/>
  <c r="AO109" i="54" s="1"/>
  <c r="AD69" i="48"/>
  <c r="AO69" i="54" s="1"/>
  <c r="AD258" i="48"/>
  <c r="AO258" i="54" s="1"/>
  <c r="AD188" i="48"/>
  <c r="AO188" i="54" s="1"/>
  <c r="AD181" i="48"/>
  <c r="AO181" i="54" s="1"/>
  <c r="AD33" i="48"/>
  <c r="AO33" i="54" s="1"/>
  <c r="AD153" i="48"/>
  <c r="AO153" i="54" s="1"/>
  <c r="AD253" i="48"/>
  <c r="AO253" i="54" s="1"/>
  <c r="AD227" i="48"/>
  <c r="AO227" i="54" s="1"/>
  <c r="AD164" i="48"/>
  <c r="AO164" i="54" s="1"/>
  <c r="AD104" i="48"/>
  <c r="AO104" i="54" s="1"/>
  <c r="AD73" i="48"/>
  <c r="AO73" i="54" s="1"/>
  <c r="AD204" i="48"/>
  <c r="AO204" i="54" s="1"/>
  <c r="AD177" i="48"/>
  <c r="AO177" i="54" s="1"/>
  <c r="AD198" i="48"/>
  <c r="AO198" i="54" s="1"/>
  <c r="AD114" i="48"/>
  <c r="AO114" i="54" s="1"/>
  <c r="AD80" i="48"/>
  <c r="AO80" i="54" s="1"/>
  <c r="AD34" i="48"/>
  <c r="AO34" i="54" s="1"/>
  <c r="AD248" i="48"/>
  <c r="AO248" i="54" s="1"/>
  <c r="AD29" i="48"/>
  <c r="AO29" i="54" s="1"/>
  <c r="AD120" i="48"/>
  <c r="AO120" i="54" s="1"/>
  <c r="AD16" i="48"/>
  <c r="AO16" i="54" s="1"/>
  <c r="AD307" i="48"/>
  <c r="AO307" i="54" s="1"/>
  <c r="AD241" i="48"/>
  <c r="AO241" i="54" s="1"/>
  <c r="AD169" i="48"/>
  <c r="AO169" i="54" s="1"/>
  <c r="AD19" i="48"/>
  <c r="AO19" i="54" s="1"/>
  <c r="AD107" i="48"/>
  <c r="AO107" i="54" s="1"/>
  <c r="AD144" i="48"/>
  <c r="AO144" i="54" s="1"/>
  <c r="AD130" i="48"/>
  <c r="AO130" i="54" s="1"/>
  <c r="AD213" i="48"/>
  <c r="AO213" i="54" s="1"/>
  <c r="AD150" i="48"/>
  <c r="AO150" i="54" s="1"/>
  <c r="AD15" i="48"/>
  <c r="AO15" i="54" s="1"/>
  <c r="K13" i="48"/>
  <c r="AD235" i="48"/>
  <c r="AO235" i="54" s="1"/>
  <c r="AD166" i="48"/>
  <c r="AO166" i="54" s="1"/>
  <c r="AD78" i="48"/>
  <c r="AO78" i="54" s="1"/>
  <c r="AD63" i="48"/>
  <c r="AO63" i="54" s="1"/>
  <c r="AD251" i="48"/>
  <c r="AO251" i="54" s="1"/>
  <c r="AD254" i="48"/>
  <c r="AO254" i="54" s="1"/>
  <c r="AD173" i="48"/>
  <c r="AO173" i="54" s="1"/>
  <c r="AD293" i="48"/>
  <c r="AO293" i="54" s="1"/>
  <c r="AD187" i="48"/>
  <c r="AO187" i="54" s="1"/>
  <c r="AD102" i="48"/>
  <c r="AO102" i="54" s="1"/>
  <c r="AD240" i="48"/>
  <c r="AO240" i="54" s="1"/>
  <c r="AD137" i="48"/>
  <c r="AO137" i="54" s="1"/>
  <c r="AD72" i="48"/>
  <c r="AO72" i="54" s="1"/>
  <c r="AD103" i="48"/>
  <c r="AO103" i="54" s="1"/>
  <c r="AD233" i="48"/>
  <c r="AO233" i="54" s="1"/>
  <c r="AD88" i="48"/>
  <c r="AO88" i="54" s="1"/>
  <c r="AD75" i="48"/>
  <c r="AO75" i="54" s="1"/>
  <c r="AD292" i="48"/>
  <c r="AO292" i="54" s="1"/>
  <c r="AD264" i="48"/>
  <c r="AO264" i="54" s="1"/>
  <c r="AD280" i="48"/>
  <c r="AO280" i="54" s="1"/>
  <c r="AD21" i="48"/>
  <c r="AO21" i="54" s="1"/>
  <c r="AD244" i="48"/>
  <c r="AO244" i="54" s="1"/>
  <c r="AD113" i="48"/>
  <c r="AO113" i="54" s="1"/>
  <c r="AD155" i="48"/>
  <c r="AO155" i="54" s="1"/>
  <c r="AD82" i="48"/>
  <c r="AO82" i="54" s="1"/>
  <c r="AD41" i="48"/>
  <c r="AO41" i="54" s="1"/>
  <c r="AD70" i="48"/>
  <c r="AO70" i="54" s="1"/>
  <c r="AD175" i="48"/>
  <c r="AO175" i="54" s="1"/>
  <c r="AD49" i="48"/>
  <c r="AO49" i="54" s="1"/>
  <c r="AD22" i="48"/>
  <c r="AO22" i="54" s="1"/>
  <c r="AD209" i="48"/>
  <c r="AO209" i="54" s="1"/>
  <c r="AD23" i="48"/>
  <c r="AO23" i="54" s="1"/>
  <c r="AD201" i="48"/>
  <c r="AO201" i="54" s="1"/>
  <c r="AD182" i="48"/>
  <c r="AO182" i="54" s="1"/>
  <c r="AD268" i="48"/>
  <c r="AO268" i="54" s="1"/>
  <c r="AD266" i="48"/>
  <c r="AO266" i="54" s="1"/>
  <c r="AD180" i="48"/>
  <c r="AO180" i="54" s="1"/>
  <c r="AD273" i="48"/>
  <c r="AO273" i="54" s="1"/>
  <c r="AD229" i="48"/>
  <c r="AO229" i="54" s="1"/>
  <c r="AD216" i="48"/>
  <c r="AO216" i="54" s="1"/>
  <c r="AD86" i="48"/>
  <c r="AO86" i="54" s="1"/>
  <c r="AD138" i="48"/>
  <c r="AO138" i="54" s="1"/>
  <c r="AD62" i="48"/>
  <c r="AO62" i="54" s="1"/>
  <c r="AD281" i="48"/>
  <c r="AO281" i="54" s="1"/>
  <c r="AD26" i="48"/>
  <c r="AO26" i="54" s="1"/>
  <c r="AD170" i="48"/>
  <c r="AO170" i="54" s="1"/>
  <c r="AD76" i="48"/>
  <c r="AO76" i="54" s="1"/>
  <c r="AD276" i="48"/>
  <c r="AO276" i="54" s="1"/>
  <c r="AD79" i="48"/>
  <c r="AO79" i="54" s="1"/>
  <c r="AD162" i="48"/>
  <c r="AO162" i="54" s="1"/>
  <c r="AD231" i="48"/>
  <c r="AO231" i="54" s="1"/>
  <c r="AD226" i="48"/>
  <c r="AO226" i="54" s="1"/>
  <c r="AD297" i="48"/>
  <c r="AO297" i="54" s="1"/>
  <c r="AD257" i="48"/>
  <c r="AO257" i="54" s="1"/>
  <c r="AD242" i="48"/>
  <c r="AO242" i="54" s="1"/>
  <c r="AD163" i="48"/>
  <c r="AO163" i="54" s="1"/>
  <c r="AD224" i="48"/>
  <c r="AO224" i="54" s="1"/>
  <c r="AD77" i="48"/>
  <c r="AO77" i="54" s="1"/>
  <c r="AD256" i="48"/>
  <c r="AO256" i="54" s="1"/>
  <c r="AD223" i="48"/>
  <c r="AO223" i="54" s="1"/>
  <c r="AD56" i="48"/>
  <c r="AO56" i="54" s="1"/>
  <c r="AD30" i="48"/>
  <c r="AO30" i="54" s="1"/>
  <c r="AD148" i="48"/>
  <c r="AO148" i="54" s="1"/>
  <c r="AD207" i="48"/>
  <c r="AO207" i="54" s="1"/>
  <c r="AD43" i="48"/>
  <c r="AO43" i="54" s="1"/>
  <c r="AD122" i="48"/>
  <c r="AO122" i="54" s="1"/>
  <c r="AD185" i="48"/>
  <c r="AO185" i="54" s="1"/>
  <c r="AD119" i="48"/>
  <c r="AO119" i="54" s="1"/>
  <c r="AD193" i="48"/>
  <c r="AO193" i="54" s="1"/>
  <c r="AD174" i="48"/>
  <c r="AO174" i="54" s="1"/>
  <c r="AD234" i="48"/>
  <c r="AO234" i="54" s="1"/>
  <c r="AD167" i="48"/>
  <c r="AO167" i="54" s="1"/>
  <c r="AD108" i="48"/>
  <c r="AO108" i="54" s="1"/>
  <c r="AD126" i="48"/>
  <c r="AO126" i="54" s="1"/>
  <c r="AD200" i="48"/>
  <c r="AO200" i="54" s="1"/>
  <c r="AD85" i="48"/>
  <c r="AO85" i="54" s="1"/>
  <c r="AD40" i="48"/>
  <c r="AO40" i="54" s="1"/>
  <c r="AD121" i="48"/>
  <c r="AO121" i="54" s="1"/>
  <c r="AD84" i="48"/>
  <c r="AO84" i="54" s="1"/>
  <c r="AD210" i="48"/>
  <c r="AO210" i="54" s="1"/>
  <c r="CO300" i="45"/>
  <c r="CO185" i="45"/>
  <c r="DH185" i="45" s="1"/>
  <c r="CO21" i="45"/>
  <c r="CO140" i="45"/>
  <c r="CO249" i="45"/>
  <c r="DH249" i="45" s="1"/>
  <c r="CO76" i="45"/>
  <c r="CO68" i="45"/>
  <c r="CO124" i="45"/>
  <c r="CO305" i="45"/>
  <c r="CO161" i="45"/>
  <c r="CO172" i="45"/>
  <c r="CO284" i="45"/>
  <c r="BB10" i="45"/>
  <c r="CO34" i="45"/>
  <c r="CO73" i="45"/>
  <c r="CO241" i="45"/>
  <c r="CO297" i="45"/>
  <c r="CO100" i="45"/>
  <c r="CO164" i="45"/>
  <c r="CO268" i="45"/>
  <c r="CO121" i="45"/>
  <c r="CO145" i="45"/>
  <c r="CO132" i="45"/>
  <c r="CO220" i="45"/>
  <c r="CO289" i="45"/>
  <c r="CO225" i="45"/>
  <c r="DH225" i="45" s="1"/>
  <c r="CO209" i="45"/>
  <c r="CO233" i="45"/>
  <c r="CO228" i="45"/>
  <c r="DH228" i="45" s="1"/>
  <c r="CO196" i="45"/>
  <c r="CO204" i="45"/>
  <c r="CO37" i="45"/>
  <c r="CO92" i="45"/>
  <c r="CO273" i="45"/>
  <c r="CO97" i="45"/>
  <c r="CO105" i="45"/>
  <c r="CO201" i="45"/>
  <c r="CO29" i="45"/>
  <c r="CO84" i="45"/>
  <c r="CO177" i="45"/>
  <c r="CO169" i="45"/>
  <c r="CO57" i="45"/>
  <c r="CO81" i="45"/>
  <c r="CO260" i="45"/>
  <c r="CO60" i="45"/>
  <c r="CO116" i="45"/>
  <c r="CO108" i="45"/>
  <c r="CO42" i="45"/>
  <c r="DH42" i="45" s="1"/>
  <c r="CO52" i="45"/>
  <c r="CO188" i="45"/>
  <c r="CO156" i="45"/>
  <c r="CO137" i="45"/>
  <c r="DH137" i="45" s="1"/>
  <c r="CO18" i="45"/>
  <c r="BJ13" i="45"/>
  <c r="CO292" i="45"/>
  <c r="CO252" i="45"/>
  <c r="CO236" i="45"/>
  <c r="CO265" i="45"/>
  <c r="D11" i="68"/>
  <c r="C5" i="68"/>
  <c r="C11" i="68"/>
  <c r="Z13" i="57"/>
  <c r="G20" i="68"/>
  <c r="O19" i="60" s="1"/>
  <c r="C19" i="60" s="1"/>
  <c r="Y13" i="57"/>
  <c r="F20" i="68"/>
  <c r="G7" i="68"/>
  <c r="G3" i="68"/>
  <c r="G9" i="68"/>
  <c r="G2" i="68"/>
  <c r="G8" i="68"/>
  <c r="G1" i="68"/>
  <c r="G4" i="68"/>
  <c r="G10" i="68"/>
  <c r="E11" i="68"/>
  <c r="F1" i="68"/>
  <c r="F9" i="68"/>
  <c r="F7" i="68"/>
  <c r="F4" i="68"/>
  <c r="F3" i="68"/>
  <c r="F2" i="68"/>
  <c r="F8" i="68"/>
  <c r="F10" i="68"/>
  <c r="E5" i="68"/>
  <c r="D5" i="68"/>
  <c r="DK129" i="45" l="1"/>
  <c r="DK237" i="45"/>
  <c r="DK206" i="45"/>
  <c r="DK139" i="45"/>
  <c r="DK26" i="45"/>
  <c r="DK63" i="45"/>
  <c r="DK247" i="45"/>
  <c r="DK223" i="45"/>
  <c r="DL141" i="45"/>
  <c r="DK250" i="45"/>
  <c r="CZ190" i="45"/>
  <c r="DK165" i="45"/>
  <c r="DK264" i="45"/>
  <c r="DK275" i="45"/>
  <c r="DK274" i="45"/>
  <c r="DK192" i="45"/>
  <c r="DK158" i="45"/>
  <c r="DK302" i="45"/>
  <c r="DK119" i="45"/>
  <c r="DK174" i="45"/>
  <c r="DK216" i="45"/>
  <c r="DK248" i="45"/>
  <c r="DK65" i="45"/>
  <c r="DK159" i="45"/>
  <c r="DK238" i="45"/>
  <c r="DK254" i="45"/>
  <c r="DK179" i="45"/>
  <c r="DK79" i="45"/>
  <c r="DK243" i="45"/>
  <c r="DK167" i="45"/>
  <c r="DK224" i="45"/>
  <c r="DK287" i="45"/>
  <c r="CZ20" i="45"/>
  <c r="CZ299" i="45"/>
  <c r="L14" i="60"/>
  <c r="BY283" i="45"/>
  <c r="CQ283" i="45" s="1"/>
  <c r="DJ283" i="45" s="1"/>
  <c r="DJ299" i="45"/>
  <c r="DL205" i="45"/>
  <c r="CZ302" i="45"/>
  <c r="DL89" i="45"/>
  <c r="DL261" i="45"/>
  <c r="DK277" i="45"/>
  <c r="DK98" i="45"/>
  <c r="DK155" i="45"/>
  <c r="DK183" i="45"/>
  <c r="DL269" i="45"/>
  <c r="DK231" i="45"/>
  <c r="DK135" i="45"/>
  <c r="DK189" i="45"/>
  <c r="DK301" i="45"/>
  <c r="DK88" i="45"/>
  <c r="DK210" i="45"/>
  <c r="DK295" i="45"/>
  <c r="DK103" i="45"/>
  <c r="DL245" i="45"/>
  <c r="DK296" i="45"/>
  <c r="DK256" i="45"/>
  <c r="DL25" i="45"/>
  <c r="DK221" i="45"/>
  <c r="DK127" i="45"/>
  <c r="CS184" i="45"/>
  <c r="DC184" i="45" s="1"/>
  <c r="CS55" i="45"/>
  <c r="DL55" i="45" s="1"/>
  <c r="CS98" i="45"/>
  <c r="DC98" i="45" s="1"/>
  <c r="CS142" i="45"/>
  <c r="DC142" i="45" s="1"/>
  <c r="CS32" i="45"/>
  <c r="DC32" i="45" s="1"/>
  <c r="CS296" i="45"/>
  <c r="DC296" i="45" s="1"/>
  <c r="CS256" i="45"/>
  <c r="DL256" i="45" s="1"/>
  <c r="CS47" i="45"/>
  <c r="DC47" i="45" s="1"/>
  <c r="CS144" i="45"/>
  <c r="DC144" i="45" s="1"/>
  <c r="CS127" i="45"/>
  <c r="DL127" i="45" s="1"/>
  <c r="CS189" i="45"/>
  <c r="DC189" i="45" s="1"/>
  <c r="CS248" i="45"/>
  <c r="DC248" i="45" s="1"/>
  <c r="CS277" i="45"/>
  <c r="DC277" i="45" s="1"/>
  <c r="CS210" i="45"/>
  <c r="DC210" i="45" s="1"/>
  <c r="CS267" i="45"/>
  <c r="DC267" i="45" s="1"/>
  <c r="CS65" i="45"/>
  <c r="DC65" i="45" s="1"/>
  <c r="CS301" i="45"/>
  <c r="DL301" i="45" s="1"/>
  <c r="CS295" i="45"/>
  <c r="DL295" i="45" s="1"/>
  <c r="CS183" i="45"/>
  <c r="DC183" i="45" s="1"/>
  <c r="CS103" i="45"/>
  <c r="DC103" i="45" s="1"/>
  <c r="CS88" i="45"/>
  <c r="DC88" i="45" s="1"/>
  <c r="CS129" i="45"/>
  <c r="DL129" i="45" s="1"/>
  <c r="CS231" i="45"/>
  <c r="CS221" i="45"/>
  <c r="DL221" i="45" s="1"/>
  <c r="CS135" i="45"/>
  <c r="DC135" i="45" s="1"/>
  <c r="CS155" i="45"/>
  <c r="DL155" i="45" s="1"/>
  <c r="CS192" i="45"/>
  <c r="DL192" i="45" s="1"/>
  <c r="CS263" i="45"/>
  <c r="DC263" i="45" s="1"/>
  <c r="CS160" i="45"/>
  <c r="DC160" i="45" s="1"/>
  <c r="CS186" i="45"/>
  <c r="DL186" i="45" s="1"/>
  <c r="CS280" i="45"/>
  <c r="DL280" i="45" s="1"/>
  <c r="CS200" i="45"/>
  <c r="DL200" i="45" s="1"/>
  <c r="CS87" i="45"/>
  <c r="DC87" i="45" s="1"/>
  <c r="CS56" i="45"/>
  <c r="DC56" i="45" s="1"/>
  <c r="CS173" i="45"/>
  <c r="DL173" i="45" s="1"/>
  <c r="CS95" i="45"/>
  <c r="DC95" i="45" s="1"/>
  <c r="CS36" i="45"/>
  <c r="DC36" i="45" s="1"/>
  <c r="CS266" i="45"/>
  <c r="DL266" i="45" s="1"/>
  <c r="CS213" i="45"/>
  <c r="DL213" i="45" s="1"/>
  <c r="CS190" i="45"/>
  <c r="DC190" i="45" s="1"/>
  <c r="CS24" i="45"/>
  <c r="DC24" i="45" s="1"/>
  <c r="CS232" i="45"/>
  <c r="DL232" i="45" s="1"/>
  <c r="CS197" i="45"/>
  <c r="DL197" i="45" s="1"/>
  <c r="CS20" i="45"/>
  <c r="DC20" i="45" s="1"/>
  <c r="CS49" i="45"/>
  <c r="DC49" i="45" s="1"/>
  <c r="CS237" i="45"/>
  <c r="DC237" i="45" s="1"/>
  <c r="CS194" i="45"/>
  <c r="DL194" i="45" s="1"/>
  <c r="CS240" i="45"/>
  <c r="DC240" i="45" s="1"/>
  <c r="CS253" i="45"/>
  <c r="DC253" i="45" s="1"/>
  <c r="CS218" i="45"/>
  <c r="DC218" i="45" s="1"/>
  <c r="CS202" i="45"/>
  <c r="DL202" i="45" s="1"/>
  <c r="CS191" i="45"/>
  <c r="DC191" i="45" s="1"/>
  <c r="CS298" i="45"/>
  <c r="DL298" i="45" s="1"/>
  <c r="CS293" i="45"/>
  <c r="DC293" i="45" s="1"/>
  <c r="CS257" i="45"/>
  <c r="DL257" i="45" s="1"/>
  <c r="CS181" i="45"/>
  <c r="DC181" i="45" s="1"/>
  <c r="CS159" i="45"/>
  <c r="DC159" i="45" s="1"/>
  <c r="CS120" i="45"/>
  <c r="DC120" i="45" s="1"/>
  <c r="CS251" i="45"/>
  <c r="DC251" i="45" s="1"/>
  <c r="CS243" i="45"/>
  <c r="DL243" i="45" s="1"/>
  <c r="CS254" i="45"/>
  <c r="DC254" i="45" s="1"/>
  <c r="CS193" i="45"/>
  <c r="DC193" i="45" s="1"/>
  <c r="CS171" i="45"/>
  <c r="DC171" i="45" s="1"/>
  <c r="CS226" i="45"/>
  <c r="DL226" i="45" s="1"/>
  <c r="CS272" i="45"/>
  <c r="DC272" i="45" s="1"/>
  <c r="CS158" i="45"/>
  <c r="DC158" i="45" s="1"/>
  <c r="CS264" i="45"/>
  <c r="DC264" i="45" s="1"/>
  <c r="CS179" i="45"/>
  <c r="DL179" i="45" s="1"/>
  <c r="CS275" i="45"/>
  <c r="DC275" i="45" s="1"/>
  <c r="CS94" i="45"/>
  <c r="DC94" i="45" s="1"/>
  <c r="CS215" i="45"/>
  <c r="DL215" i="45" s="1"/>
  <c r="CS119" i="45"/>
  <c r="DC119" i="45" s="1"/>
  <c r="CS287" i="45"/>
  <c r="DL287" i="45" s="1"/>
  <c r="CS165" i="45"/>
  <c r="DC165" i="45" s="1"/>
  <c r="CS16" i="45"/>
  <c r="DC16" i="45" s="1"/>
  <c r="CS174" i="45"/>
  <c r="DC174" i="45" s="1"/>
  <c r="CS152" i="45"/>
  <c r="DC152" i="45" s="1"/>
  <c r="CS147" i="45"/>
  <c r="DC147" i="45" s="1"/>
  <c r="CS302" i="45"/>
  <c r="DC302" i="45" s="1"/>
  <c r="CS274" i="45"/>
  <c r="DC274" i="45" s="1"/>
  <c r="CS206" i="45"/>
  <c r="DC206" i="45" s="1"/>
  <c r="CS79" i="45"/>
  <c r="DC79" i="45" s="1"/>
  <c r="CS307" i="45"/>
  <c r="DC307" i="45" s="1"/>
  <c r="CS285" i="45"/>
  <c r="DC285" i="45" s="1"/>
  <c r="CS216" i="45"/>
  <c r="DL216" i="45" s="1"/>
  <c r="CS199" i="45"/>
  <c r="DC199" i="45" s="1"/>
  <c r="CS71" i="45"/>
  <c r="DL71" i="45" s="1"/>
  <c r="CS288" i="45"/>
  <c r="DC288" i="45" s="1"/>
  <c r="CS282" i="45"/>
  <c r="DC282" i="45" s="1"/>
  <c r="CS250" i="45"/>
  <c r="DC250" i="45" s="1"/>
  <c r="CS258" i="45"/>
  <c r="DL258" i="45" s="1"/>
  <c r="CS238" i="45"/>
  <c r="DC238" i="45" s="1"/>
  <c r="CS26" i="45"/>
  <c r="DC26" i="45" s="1"/>
  <c r="CS229" i="45"/>
  <c r="DC229" i="45" s="1"/>
  <c r="CS168" i="45"/>
  <c r="DL168" i="45" s="1"/>
  <c r="CS167" i="45"/>
  <c r="DC167" i="45" s="1"/>
  <c r="CS139" i="45"/>
  <c r="DL139" i="45" s="1"/>
  <c r="CS224" i="45"/>
  <c r="DC224" i="45" s="1"/>
  <c r="CS306" i="45"/>
  <c r="DL306" i="45" s="1"/>
  <c r="CS187" i="45"/>
  <c r="DC187" i="45" s="1"/>
  <c r="CS247" i="45"/>
  <c r="DC247" i="45" s="1"/>
  <c r="CS255" i="45"/>
  <c r="DC255" i="45" s="1"/>
  <c r="CS176" i="45"/>
  <c r="DL176" i="45" s="1"/>
  <c r="CS234" i="45"/>
  <c r="DC234" i="45" s="1"/>
  <c r="CS203" i="45"/>
  <c r="DC203" i="45" s="1"/>
  <c r="CS242" i="45"/>
  <c r="DC242" i="45" s="1"/>
  <c r="CS290" i="45"/>
  <c r="DL290" i="45" s="1"/>
  <c r="CS299" i="45"/>
  <c r="DC299" i="45" s="1"/>
  <c r="CS40" i="45"/>
  <c r="DL40" i="45" s="1"/>
  <c r="CS279" i="45"/>
  <c r="DL279" i="45" s="1"/>
  <c r="CS223" i="45"/>
  <c r="DL223" i="45" s="1"/>
  <c r="CS304" i="45"/>
  <c r="DC304" i="45" s="1"/>
  <c r="CS208" i="45"/>
  <c r="DC208" i="45" s="1"/>
  <c r="CS63" i="45"/>
  <c r="DL63" i="45" s="1"/>
  <c r="CS211" i="45"/>
  <c r="DL211" i="45" s="1"/>
  <c r="DC257" i="45"/>
  <c r="DC256" i="45"/>
  <c r="DL47" i="45"/>
  <c r="DL267" i="45"/>
  <c r="DC231" i="45"/>
  <c r="DL231" i="45"/>
  <c r="DC221" i="45"/>
  <c r="DK181" i="45"/>
  <c r="DK187" i="45"/>
  <c r="DK242" i="45"/>
  <c r="DK40" i="45"/>
  <c r="DK71" i="45"/>
  <c r="DK255" i="45"/>
  <c r="DK306" i="45"/>
  <c r="DK282" i="45"/>
  <c r="DK208" i="45"/>
  <c r="DK176" i="45"/>
  <c r="DK229" i="45"/>
  <c r="DK168" i="45"/>
  <c r="DK304" i="45"/>
  <c r="DK290" i="45"/>
  <c r="DB237" i="45"/>
  <c r="DK232" i="45"/>
  <c r="DK293" i="45"/>
  <c r="DA215" i="45"/>
  <c r="DK272" i="45"/>
  <c r="DK226" i="45"/>
  <c r="DK120" i="45"/>
  <c r="DJ190" i="45"/>
  <c r="DK173" i="45"/>
  <c r="DK240" i="45"/>
  <c r="DK56" i="45"/>
  <c r="DK191" i="45"/>
  <c r="DK263" i="45"/>
  <c r="DK36" i="45"/>
  <c r="DK257" i="45"/>
  <c r="DJ237" i="45"/>
  <c r="DK218" i="45"/>
  <c r="DK95" i="45"/>
  <c r="DK194" i="45"/>
  <c r="DK87" i="45"/>
  <c r="DK202" i="45"/>
  <c r="DK298" i="45"/>
  <c r="DK186" i="45"/>
  <c r="DK200" i="45"/>
  <c r="DK213" i="45"/>
  <c r="DK160" i="45"/>
  <c r="DK280" i="45"/>
  <c r="DK171" i="45"/>
  <c r="DK49" i="45"/>
  <c r="DK253" i="45"/>
  <c r="DK197" i="45"/>
  <c r="CE59" i="45"/>
  <c r="CR59" i="45" s="1"/>
  <c r="CK59" i="45"/>
  <c r="CE157" i="45"/>
  <c r="CR157" i="45" s="1"/>
  <c r="CK157" i="45"/>
  <c r="CE112" i="45"/>
  <c r="CR112" i="45" s="1"/>
  <c r="CK112" i="45"/>
  <c r="CE222" i="45"/>
  <c r="CR222" i="45" s="1"/>
  <c r="CK222" i="45"/>
  <c r="CE163" i="45"/>
  <c r="CR163" i="45" s="1"/>
  <c r="CK163" i="45"/>
  <c r="CE53" i="45"/>
  <c r="CR53" i="45" s="1"/>
  <c r="CK53" i="45"/>
  <c r="CE175" i="45"/>
  <c r="CR175" i="45" s="1"/>
  <c r="CK175" i="45"/>
  <c r="CE44" i="45"/>
  <c r="CR44" i="45" s="1"/>
  <c r="CK44" i="45"/>
  <c r="CE45" i="45"/>
  <c r="CR45" i="45" s="1"/>
  <c r="CK45" i="45"/>
  <c r="CE227" i="45"/>
  <c r="CR227" i="45" s="1"/>
  <c r="CK227" i="45"/>
  <c r="CE150" i="45"/>
  <c r="CR150" i="45" s="1"/>
  <c r="CK150" i="45"/>
  <c r="CE303" i="45"/>
  <c r="CR303" i="45" s="1"/>
  <c r="CK303" i="45"/>
  <c r="CE131" i="45"/>
  <c r="CR131" i="45" s="1"/>
  <c r="CK131" i="45"/>
  <c r="CE117" i="45"/>
  <c r="CR117" i="45" s="1"/>
  <c r="CK117" i="45"/>
  <c r="CV296" i="45"/>
  <c r="DE296" i="45"/>
  <c r="CW296" i="45"/>
  <c r="DF296" i="45"/>
  <c r="DE256" i="45"/>
  <c r="CV256" i="45"/>
  <c r="CW256" i="45"/>
  <c r="DF256" i="45"/>
  <c r="CV47" i="45"/>
  <c r="DE47" i="45"/>
  <c r="CW47" i="45"/>
  <c r="DF47" i="45"/>
  <c r="DE144" i="45"/>
  <c r="CV144" i="45"/>
  <c r="DF144" i="45"/>
  <c r="CW144" i="45"/>
  <c r="CV127" i="45"/>
  <c r="DE127" i="45"/>
  <c r="DF127" i="45"/>
  <c r="CW127" i="45"/>
  <c r="CV189" i="45"/>
  <c r="DE189" i="45"/>
  <c r="CW189" i="45"/>
  <c r="DF189" i="45"/>
  <c r="CV248" i="45"/>
  <c r="DE248" i="45"/>
  <c r="DF248" i="45"/>
  <c r="CW248" i="45"/>
  <c r="CV277" i="45"/>
  <c r="DE277" i="45"/>
  <c r="CW277" i="45"/>
  <c r="DF277" i="45"/>
  <c r="CV210" i="45"/>
  <c r="DE210" i="45"/>
  <c r="DF210" i="45"/>
  <c r="CW210" i="45"/>
  <c r="CV267" i="45"/>
  <c r="DE267" i="45"/>
  <c r="CW267" i="45"/>
  <c r="DF267" i="45"/>
  <c r="CV65" i="45"/>
  <c r="DE65" i="45"/>
  <c r="DF65" i="45"/>
  <c r="CW65" i="45"/>
  <c r="DE301" i="45"/>
  <c r="CV301" i="45"/>
  <c r="CW301" i="45"/>
  <c r="DF301" i="45"/>
  <c r="CV295" i="45"/>
  <c r="DE295" i="45"/>
  <c r="CW295" i="45"/>
  <c r="DF295" i="45"/>
  <c r="CV183" i="45"/>
  <c r="DE183" i="45"/>
  <c r="CW183" i="45"/>
  <c r="DF183" i="45"/>
  <c r="CV103" i="45"/>
  <c r="DE103" i="45"/>
  <c r="CW103" i="45"/>
  <c r="DF103" i="45"/>
  <c r="CV88" i="45"/>
  <c r="DE88" i="45"/>
  <c r="DF88" i="45"/>
  <c r="CW88" i="45"/>
  <c r="CV129" i="45"/>
  <c r="DE129" i="45"/>
  <c r="DF129" i="45"/>
  <c r="CW129" i="45"/>
  <c r="CV231" i="45"/>
  <c r="DE231" i="45"/>
  <c r="CW231" i="45"/>
  <c r="DF231" i="45"/>
  <c r="CV221" i="45"/>
  <c r="DE221" i="45"/>
  <c r="DF221" i="45"/>
  <c r="CW221" i="45"/>
  <c r="CV135" i="45"/>
  <c r="DE135" i="45"/>
  <c r="DF135" i="45"/>
  <c r="CW135" i="45"/>
  <c r="CV155" i="45"/>
  <c r="DE155" i="45"/>
  <c r="CW155" i="45"/>
  <c r="DF155" i="45"/>
  <c r="CE86" i="45"/>
  <c r="CR86" i="45" s="1"/>
  <c r="CK86" i="45"/>
  <c r="CE80" i="45"/>
  <c r="CR80" i="45" s="1"/>
  <c r="CK80" i="45"/>
  <c r="CE64" i="45"/>
  <c r="CR64" i="45" s="1"/>
  <c r="CK64" i="45"/>
  <c r="CE90" i="45"/>
  <c r="CR90" i="45" s="1"/>
  <c r="CK90" i="45"/>
  <c r="CE170" i="45"/>
  <c r="CR170" i="45" s="1"/>
  <c r="CK170" i="45"/>
  <c r="CE294" i="45"/>
  <c r="CR294" i="45" s="1"/>
  <c r="CK294" i="45"/>
  <c r="CE69" i="45"/>
  <c r="CR69" i="45" s="1"/>
  <c r="CK69" i="45"/>
  <c r="CE207" i="45"/>
  <c r="CR207" i="45" s="1"/>
  <c r="CK207" i="45"/>
  <c r="CE58" i="45"/>
  <c r="CR58" i="45" s="1"/>
  <c r="CK58" i="45"/>
  <c r="CE33" i="45"/>
  <c r="CR33" i="45" s="1"/>
  <c r="CK33" i="45"/>
  <c r="CE230" i="45"/>
  <c r="CR230" i="45" s="1"/>
  <c r="CK230" i="45"/>
  <c r="CE109" i="45"/>
  <c r="CR109" i="45" s="1"/>
  <c r="CK109" i="45"/>
  <c r="CV263" i="45"/>
  <c r="DE263" i="45"/>
  <c r="CW263" i="45"/>
  <c r="DF263" i="45"/>
  <c r="DE160" i="45"/>
  <c r="CV160" i="45"/>
  <c r="DF160" i="45"/>
  <c r="CW160" i="45"/>
  <c r="CV186" i="45"/>
  <c r="DE186" i="45"/>
  <c r="DF186" i="45"/>
  <c r="CW186" i="45"/>
  <c r="CV280" i="45"/>
  <c r="DE280" i="45"/>
  <c r="DF280" i="45"/>
  <c r="CW280" i="45"/>
  <c r="CV200" i="45"/>
  <c r="DE200" i="45"/>
  <c r="DF200" i="45"/>
  <c r="CW200" i="45"/>
  <c r="CV192" i="45"/>
  <c r="DE192" i="45"/>
  <c r="DF192" i="45"/>
  <c r="CW192" i="45"/>
  <c r="CE286" i="45"/>
  <c r="CR286" i="45" s="1"/>
  <c r="CK286" i="45"/>
  <c r="CE123" i="45"/>
  <c r="CR123" i="45" s="1"/>
  <c r="CK123" i="45"/>
  <c r="CE212" i="45"/>
  <c r="CR212" i="45" s="1"/>
  <c r="CK212" i="45"/>
  <c r="CE262" i="45"/>
  <c r="CR262" i="45" s="1"/>
  <c r="CK262" i="45"/>
  <c r="CE291" i="45"/>
  <c r="CR291" i="45" s="1"/>
  <c r="CK291" i="45"/>
  <c r="CE48" i="45"/>
  <c r="CR48" i="45" s="1"/>
  <c r="CK48" i="45"/>
  <c r="CE85" i="45"/>
  <c r="CR85" i="45" s="1"/>
  <c r="CK85" i="45"/>
  <c r="CE151" i="45"/>
  <c r="CR151" i="45" s="1"/>
  <c r="CK151" i="45"/>
  <c r="CE50" i="45"/>
  <c r="CR50" i="45" s="1"/>
  <c r="CK50" i="45"/>
  <c r="CE125" i="45"/>
  <c r="CR125" i="45" s="1"/>
  <c r="CK125" i="45"/>
  <c r="CE180" i="45"/>
  <c r="CR180" i="45" s="1"/>
  <c r="CK180" i="45"/>
  <c r="CE134" i="45"/>
  <c r="CR134" i="45" s="1"/>
  <c r="CK134" i="45"/>
  <c r="CE259" i="45"/>
  <c r="CR259" i="45" s="1"/>
  <c r="CK259" i="45"/>
  <c r="CE70" i="45"/>
  <c r="CR70" i="45" s="1"/>
  <c r="CK70" i="45"/>
  <c r="CE143" i="45"/>
  <c r="CR143" i="45" s="1"/>
  <c r="CK143" i="45"/>
  <c r="DK32" i="45"/>
  <c r="DK55" i="45"/>
  <c r="DK142" i="45"/>
  <c r="CV87" i="45"/>
  <c r="DE87" i="45"/>
  <c r="DF87" i="45"/>
  <c r="CW87" i="45"/>
  <c r="CV56" i="45"/>
  <c r="DE56" i="45"/>
  <c r="DF56" i="45"/>
  <c r="CW56" i="45"/>
  <c r="CV173" i="45"/>
  <c r="DE173" i="45"/>
  <c r="CW173" i="45"/>
  <c r="DF173" i="45"/>
  <c r="CV95" i="45"/>
  <c r="DE95" i="45"/>
  <c r="DF95" i="45"/>
  <c r="CW95" i="45"/>
  <c r="CV36" i="45"/>
  <c r="DE36" i="45"/>
  <c r="DF36" i="45"/>
  <c r="CW36" i="45"/>
  <c r="CV266" i="45"/>
  <c r="DE266" i="45"/>
  <c r="CW266" i="45"/>
  <c r="DF266" i="45"/>
  <c r="CV213" i="45"/>
  <c r="DE213" i="45"/>
  <c r="CW213" i="45"/>
  <c r="DF213" i="45"/>
  <c r="CV190" i="45"/>
  <c r="DE190" i="45"/>
  <c r="DF190" i="45"/>
  <c r="CW190" i="45"/>
  <c r="CV24" i="45"/>
  <c r="DE24" i="45"/>
  <c r="CW24" i="45"/>
  <c r="DF24" i="45"/>
  <c r="CV232" i="45"/>
  <c r="DE232" i="45"/>
  <c r="CW232" i="45"/>
  <c r="DF232" i="45"/>
  <c r="CV197" i="45"/>
  <c r="DE197" i="45"/>
  <c r="CW197" i="45"/>
  <c r="DF197" i="45"/>
  <c r="CV20" i="45"/>
  <c r="DE20" i="45"/>
  <c r="CW20" i="45"/>
  <c r="DF20" i="45"/>
  <c r="CV49" i="45"/>
  <c r="DE49" i="45"/>
  <c r="CW49" i="45"/>
  <c r="DF49" i="45"/>
  <c r="DE237" i="45"/>
  <c r="CV237" i="45"/>
  <c r="DF237" i="45"/>
  <c r="CW237" i="45"/>
  <c r="CV194" i="45"/>
  <c r="DE194" i="45"/>
  <c r="DF194" i="45"/>
  <c r="CW194" i="45"/>
  <c r="CV240" i="45"/>
  <c r="DE240" i="45"/>
  <c r="DF240" i="45"/>
  <c r="CW240" i="45"/>
  <c r="CV253" i="45"/>
  <c r="DE253" i="45"/>
  <c r="CW253" i="45"/>
  <c r="DF253" i="45"/>
  <c r="CV218" i="45"/>
  <c r="DE218" i="45"/>
  <c r="DF218" i="45"/>
  <c r="CW218" i="45"/>
  <c r="CV202" i="45"/>
  <c r="DE202" i="45"/>
  <c r="DF202" i="45"/>
  <c r="CW202" i="45"/>
  <c r="CV191" i="45"/>
  <c r="DE191" i="45"/>
  <c r="DF191" i="45"/>
  <c r="CW191" i="45"/>
  <c r="CV298" i="45"/>
  <c r="DE298" i="45"/>
  <c r="CW298" i="45"/>
  <c r="DF298" i="45"/>
  <c r="CV293" i="45"/>
  <c r="DE293" i="45"/>
  <c r="CW293" i="45"/>
  <c r="DF293" i="45"/>
  <c r="CV257" i="45"/>
  <c r="DE257" i="45"/>
  <c r="DF257" i="45"/>
  <c r="CW257" i="45"/>
  <c r="CE178" i="45"/>
  <c r="CR178" i="45" s="1"/>
  <c r="CK178" i="45"/>
  <c r="CE102" i="45"/>
  <c r="CR102" i="45" s="1"/>
  <c r="CK102" i="45"/>
  <c r="CE271" i="45"/>
  <c r="CR271" i="45" s="1"/>
  <c r="CK271" i="45"/>
  <c r="CE149" i="45"/>
  <c r="CR149" i="45" s="1"/>
  <c r="CK149" i="45"/>
  <c r="CE278" i="45"/>
  <c r="CR278" i="45" s="1"/>
  <c r="CK278" i="45"/>
  <c r="CE62" i="45"/>
  <c r="CR62" i="45" s="1"/>
  <c r="CK62" i="45"/>
  <c r="CE99" i="45"/>
  <c r="CR99" i="45" s="1"/>
  <c r="CK99" i="45"/>
  <c r="CE35" i="45"/>
  <c r="CR35" i="45" s="1"/>
  <c r="CK35" i="45"/>
  <c r="CE281" i="45"/>
  <c r="CR281" i="45" s="1"/>
  <c r="CK281" i="45"/>
  <c r="CE122" i="45"/>
  <c r="CR122" i="45" s="1"/>
  <c r="CK122" i="45"/>
  <c r="CE27" i="45"/>
  <c r="CR27" i="45" s="1"/>
  <c r="CK27" i="45"/>
  <c r="CE106" i="45"/>
  <c r="CR106" i="45" s="1"/>
  <c r="CK106" i="45"/>
  <c r="CV120" i="45"/>
  <c r="DE120" i="45"/>
  <c r="CW120" i="45"/>
  <c r="DF120" i="45"/>
  <c r="CV251" i="45"/>
  <c r="DE251" i="45"/>
  <c r="DF251" i="45"/>
  <c r="CW251" i="45"/>
  <c r="CV243" i="45"/>
  <c r="DE243" i="45"/>
  <c r="DF243" i="45"/>
  <c r="CW243" i="45"/>
  <c r="CV254" i="45"/>
  <c r="DE254" i="45"/>
  <c r="CW254" i="45"/>
  <c r="DF254" i="45"/>
  <c r="CV193" i="45"/>
  <c r="DE193" i="45"/>
  <c r="DF193" i="45"/>
  <c r="CW193" i="45"/>
  <c r="CV181" i="45"/>
  <c r="DE181" i="45"/>
  <c r="DF181" i="45"/>
  <c r="CW181" i="45"/>
  <c r="CV159" i="45"/>
  <c r="DE159" i="45"/>
  <c r="DF159" i="45"/>
  <c r="CW159" i="45"/>
  <c r="CE67" i="45"/>
  <c r="CR67" i="45" s="1"/>
  <c r="CK67" i="45"/>
  <c r="CE114" i="45"/>
  <c r="CR114" i="45" s="1"/>
  <c r="CK114" i="45"/>
  <c r="CE133" i="45"/>
  <c r="CR133" i="45" s="1"/>
  <c r="CK133" i="45"/>
  <c r="CE198" i="45"/>
  <c r="CR198" i="45" s="1"/>
  <c r="CK198" i="45"/>
  <c r="CE138" i="45"/>
  <c r="CR138" i="45" s="1"/>
  <c r="CK138" i="45"/>
  <c r="CE118" i="45"/>
  <c r="CR118" i="45" s="1"/>
  <c r="CK118" i="45"/>
  <c r="CE74" i="45"/>
  <c r="CR74" i="45" s="1"/>
  <c r="CK74" i="45"/>
  <c r="CE104" i="45"/>
  <c r="CR104" i="45" s="1"/>
  <c r="CK104" i="45"/>
  <c r="CE162" i="45"/>
  <c r="CR162" i="45" s="1"/>
  <c r="CK162" i="45"/>
  <c r="CE22" i="45"/>
  <c r="CR22" i="45" s="1"/>
  <c r="CK22" i="45"/>
  <c r="CE39" i="45"/>
  <c r="CR39" i="45" s="1"/>
  <c r="CK39" i="45"/>
  <c r="CE41" i="45"/>
  <c r="CR41" i="45" s="1"/>
  <c r="CK41" i="45"/>
  <c r="CE154" i="45"/>
  <c r="CR154" i="45" s="1"/>
  <c r="CK154" i="45"/>
  <c r="CE195" i="45"/>
  <c r="CR195" i="45" s="1"/>
  <c r="CK195" i="45"/>
  <c r="CV171" i="45"/>
  <c r="DE171" i="45"/>
  <c r="DF171" i="45"/>
  <c r="CW171" i="45"/>
  <c r="CV226" i="45"/>
  <c r="DE226" i="45"/>
  <c r="DF226" i="45"/>
  <c r="CW226" i="45"/>
  <c r="CV272" i="45"/>
  <c r="DE272" i="45"/>
  <c r="DF272" i="45"/>
  <c r="CW272" i="45"/>
  <c r="CV158" i="45"/>
  <c r="DE158" i="45"/>
  <c r="CW158" i="45"/>
  <c r="DF158" i="45"/>
  <c r="CV264" i="45"/>
  <c r="DE264" i="45"/>
  <c r="DF264" i="45"/>
  <c r="CW264" i="45"/>
  <c r="CV179" i="45"/>
  <c r="DE179" i="45"/>
  <c r="DF179" i="45"/>
  <c r="CW179" i="45"/>
  <c r="CV275" i="45"/>
  <c r="DE275" i="45"/>
  <c r="CW275" i="45"/>
  <c r="DF275" i="45"/>
  <c r="CV94" i="45"/>
  <c r="DE94" i="45"/>
  <c r="DF94" i="45"/>
  <c r="CW94" i="45"/>
  <c r="CV215" i="45"/>
  <c r="DE215" i="45"/>
  <c r="CW215" i="45"/>
  <c r="DF215" i="45"/>
  <c r="CV119" i="45"/>
  <c r="DE119" i="45"/>
  <c r="DF119" i="45"/>
  <c r="CW119" i="45"/>
  <c r="CV287" i="45"/>
  <c r="DE287" i="45"/>
  <c r="DF287" i="45"/>
  <c r="CW287" i="45"/>
  <c r="CV165" i="45"/>
  <c r="DE165" i="45"/>
  <c r="CW165" i="45"/>
  <c r="DF165" i="45"/>
  <c r="CV16" i="45"/>
  <c r="DE16" i="45"/>
  <c r="DF16" i="45"/>
  <c r="CW16" i="45"/>
  <c r="CV174" i="45"/>
  <c r="DE174" i="45"/>
  <c r="DF174" i="45"/>
  <c r="CW174" i="45"/>
  <c r="CV152" i="45"/>
  <c r="DE152" i="45"/>
  <c r="CW152" i="45"/>
  <c r="DF152" i="45"/>
  <c r="CV147" i="45"/>
  <c r="DE147" i="45"/>
  <c r="DF147" i="45"/>
  <c r="CW147" i="45"/>
  <c r="CV302" i="45"/>
  <c r="DE302" i="45"/>
  <c r="CW302" i="45"/>
  <c r="DF302" i="45"/>
  <c r="CV274" i="45"/>
  <c r="DE274" i="45"/>
  <c r="DF274" i="45"/>
  <c r="CW274" i="45"/>
  <c r="CV206" i="45"/>
  <c r="DE206" i="45"/>
  <c r="DF206" i="45"/>
  <c r="CW206" i="45"/>
  <c r="CV79" i="45"/>
  <c r="DE79" i="45"/>
  <c r="CW79" i="45"/>
  <c r="DF79" i="45"/>
  <c r="CV307" i="45"/>
  <c r="DE307" i="45"/>
  <c r="CW307" i="45"/>
  <c r="DF307" i="45"/>
  <c r="CV285" i="45"/>
  <c r="DE285" i="45"/>
  <c r="CW285" i="45"/>
  <c r="DF285" i="45"/>
  <c r="CV216" i="45"/>
  <c r="DE216" i="45"/>
  <c r="CW216" i="45"/>
  <c r="DF216" i="45"/>
  <c r="CV199" i="45"/>
  <c r="DE199" i="45"/>
  <c r="DF199" i="45"/>
  <c r="CW199" i="45"/>
  <c r="CE126" i="45"/>
  <c r="CR126" i="45" s="1"/>
  <c r="CK126" i="45"/>
  <c r="CE77" i="45"/>
  <c r="CR77" i="45" s="1"/>
  <c r="CK77" i="45"/>
  <c r="CE153" i="45"/>
  <c r="CR153" i="45" s="1"/>
  <c r="CK153" i="45"/>
  <c r="CE66" i="45"/>
  <c r="CR66" i="45" s="1"/>
  <c r="CK66" i="45"/>
  <c r="CE23" i="45"/>
  <c r="CR23" i="45" s="1"/>
  <c r="CK23" i="45"/>
  <c r="CE182" i="45"/>
  <c r="CR182" i="45" s="1"/>
  <c r="CK182" i="45"/>
  <c r="CE91" i="45"/>
  <c r="CR91" i="45" s="1"/>
  <c r="CK91" i="45"/>
  <c r="CE19" i="45"/>
  <c r="CR19" i="45" s="1"/>
  <c r="CK19" i="45"/>
  <c r="CE214" i="45"/>
  <c r="CR214" i="45" s="1"/>
  <c r="CK214" i="45"/>
  <c r="CE111" i="45"/>
  <c r="CR111" i="45" s="1"/>
  <c r="CK111" i="45"/>
  <c r="CE93" i="45"/>
  <c r="CR93" i="45" s="1"/>
  <c r="CK93" i="45"/>
  <c r="DK16" i="45"/>
  <c r="DE288" i="45"/>
  <c r="CV288" i="45"/>
  <c r="DF288" i="45"/>
  <c r="CW288" i="45"/>
  <c r="CV282" i="45"/>
  <c r="DE282" i="45"/>
  <c r="DF282" i="45"/>
  <c r="CW282" i="45"/>
  <c r="CV250" i="45"/>
  <c r="DE250" i="45"/>
  <c r="DF250" i="45"/>
  <c r="CW250" i="45"/>
  <c r="CV258" i="45"/>
  <c r="DE258" i="45"/>
  <c r="CW258" i="45"/>
  <c r="DF258" i="45"/>
  <c r="CV71" i="45"/>
  <c r="DE71" i="45"/>
  <c r="CW71" i="45"/>
  <c r="DF71" i="45"/>
  <c r="CE31" i="45"/>
  <c r="CR31" i="45" s="1"/>
  <c r="CK31" i="45"/>
  <c r="CE46" i="45"/>
  <c r="CR46" i="45" s="1"/>
  <c r="CK46" i="45"/>
  <c r="CE51" i="45"/>
  <c r="CR51" i="45" s="1"/>
  <c r="CK51" i="45"/>
  <c r="CE17" i="45"/>
  <c r="CR17" i="45" s="1"/>
  <c r="CK17" i="45"/>
  <c r="CE136" i="45"/>
  <c r="CR136" i="45" s="1"/>
  <c r="CK136" i="45"/>
  <c r="CE75" i="45"/>
  <c r="CR75" i="45" s="1"/>
  <c r="CK75" i="45"/>
  <c r="CE83" i="45"/>
  <c r="CR83" i="45" s="1"/>
  <c r="CK83" i="45"/>
  <c r="CE166" i="45"/>
  <c r="CR166" i="45" s="1"/>
  <c r="CK166" i="45"/>
  <c r="CE128" i="45"/>
  <c r="CR128" i="45" s="1"/>
  <c r="CK128" i="45"/>
  <c r="CE270" i="45"/>
  <c r="CR270" i="45" s="1"/>
  <c r="CK270" i="45"/>
  <c r="CE146" i="45"/>
  <c r="CR146" i="45" s="1"/>
  <c r="CK146" i="45"/>
  <c r="CE115" i="45"/>
  <c r="CR115" i="45" s="1"/>
  <c r="CK115" i="45"/>
  <c r="CE30" i="45"/>
  <c r="CR30" i="45" s="1"/>
  <c r="CK30" i="45"/>
  <c r="CE101" i="45"/>
  <c r="CR101" i="45" s="1"/>
  <c r="CK101" i="45"/>
  <c r="CE43" i="45"/>
  <c r="CR43" i="45" s="1"/>
  <c r="CK43" i="45"/>
  <c r="CE38" i="45"/>
  <c r="CR38" i="45" s="1"/>
  <c r="CK38" i="45"/>
  <c r="DK184" i="45"/>
  <c r="CE235" i="45"/>
  <c r="CR235" i="45" s="1"/>
  <c r="CK235" i="45"/>
  <c r="CV238" i="45"/>
  <c r="DE238" i="45"/>
  <c r="DF238" i="45"/>
  <c r="CW238" i="45"/>
  <c r="CV26" i="45"/>
  <c r="DE26" i="45"/>
  <c r="DF26" i="45"/>
  <c r="CW26" i="45"/>
  <c r="CV229" i="45"/>
  <c r="DE229" i="45"/>
  <c r="DF229" i="45"/>
  <c r="CW229" i="45"/>
  <c r="CV168" i="45"/>
  <c r="DE168" i="45"/>
  <c r="CW168" i="45"/>
  <c r="DF168" i="45"/>
  <c r="CV167" i="45"/>
  <c r="DE167" i="45"/>
  <c r="CW167" i="45"/>
  <c r="DF167" i="45"/>
  <c r="CV139" i="45"/>
  <c r="DE139" i="45"/>
  <c r="DF139" i="45"/>
  <c r="CW139" i="45"/>
  <c r="DE224" i="45"/>
  <c r="CV224" i="45"/>
  <c r="CW224" i="45"/>
  <c r="DF224" i="45"/>
  <c r="CV306" i="45"/>
  <c r="DE306" i="45"/>
  <c r="DF306" i="45"/>
  <c r="CW306" i="45"/>
  <c r="CV187" i="45"/>
  <c r="DE187" i="45"/>
  <c r="DF187" i="45"/>
  <c r="CW187" i="45"/>
  <c r="CV247" i="45"/>
  <c r="DE247" i="45"/>
  <c r="DF247" i="45"/>
  <c r="CW247" i="45"/>
  <c r="DE255" i="45"/>
  <c r="CV255" i="45"/>
  <c r="CW255" i="45"/>
  <c r="DF255" i="45"/>
  <c r="CV176" i="45"/>
  <c r="DE176" i="45"/>
  <c r="DF176" i="45"/>
  <c r="CW176" i="45"/>
  <c r="CV234" i="45"/>
  <c r="DE234" i="45"/>
  <c r="CW234" i="45"/>
  <c r="DF234" i="45"/>
  <c r="CV203" i="45"/>
  <c r="DE203" i="45"/>
  <c r="CW203" i="45"/>
  <c r="DF203" i="45"/>
  <c r="CV242" i="45"/>
  <c r="DE242" i="45"/>
  <c r="CW242" i="45"/>
  <c r="DF242" i="45"/>
  <c r="CV290" i="45"/>
  <c r="DE290" i="45"/>
  <c r="CW290" i="45"/>
  <c r="DF290" i="45"/>
  <c r="CV299" i="45"/>
  <c r="DE299" i="45"/>
  <c r="CW299" i="45"/>
  <c r="DF299" i="45"/>
  <c r="CV40" i="45"/>
  <c r="DE40" i="45"/>
  <c r="CW40" i="45"/>
  <c r="DF40" i="45"/>
  <c r="CV279" i="45"/>
  <c r="DE279" i="45"/>
  <c r="CW279" i="45"/>
  <c r="DF279" i="45"/>
  <c r="CV223" i="45"/>
  <c r="DE223" i="45"/>
  <c r="CW223" i="45"/>
  <c r="DF223" i="45"/>
  <c r="CV304" i="45"/>
  <c r="DE304" i="45"/>
  <c r="CW304" i="45"/>
  <c r="DF304" i="45"/>
  <c r="CV208" i="45"/>
  <c r="DE208" i="45"/>
  <c r="DF208" i="45"/>
  <c r="CW208" i="45"/>
  <c r="CV63" i="45"/>
  <c r="DE63" i="45"/>
  <c r="DF63" i="45"/>
  <c r="CW63" i="45"/>
  <c r="CE78" i="45"/>
  <c r="CR78" i="45" s="1"/>
  <c r="CK78" i="45"/>
  <c r="CE246" i="45"/>
  <c r="CR246" i="45" s="1"/>
  <c r="CK246" i="45"/>
  <c r="CE217" i="45"/>
  <c r="CR217" i="45" s="1"/>
  <c r="CK217" i="45"/>
  <c r="CE239" i="45"/>
  <c r="CR239" i="45" s="1"/>
  <c r="CK239" i="45"/>
  <c r="CE110" i="45"/>
  <c r="CR110" i="45" s="1"/>
  <c r="CK110" i="45"/>
  <c r="CE72" i="45"/>
  <c r="CR72" i="45" s="1"/>
  <c r="CK72" i="45"/>
  <c r="CE54" i="45"/>
  <c r="CR54" i="45" s="1"/>
  <c r="CK54" i="45"/>
  <c r="CE28" i="45"/>
  <c r="CR28" i="45" s="1"/>
  <c r="CK28" i="45"/>
  <c r="CE61" i="45"/>
  <c r="CR61" i="45" s="1"/>
  <c r="CK61" i="45"/>
  <c r="CE82" i="45"/>
  <c r="CR82" i="45" s="1"/>
  <c r="CK82" i="45"/>
  <c r="CE219" i="45"/>
  <c r="CR219" i="45" s="1"/>
  <c r="CK219" i="45"/>
  <c r="CE130" i="45"/>
  <c r="CR130" i="45" s="1"/>
  <c r="CK130" i="45"/>
  <c r="CE96" i="45"/>
  <c r="CR96" i="45" s="1"/>
  <c r="CK96" i="45"/>
  <c r="CE148" i="45"/>
  <c r="CR148" i="45" s="1"/>
  <c r="CK148" i="45"/>
  <c r="DK211" i="45"/>
  <c r="CE107" i="45"/>
  <c r="CR107" i="45" s="1"/>
  <c r="CK107" i="45"/>
  <c r="CE283" i="45"/>
  <c r="CR283" i="45" s="1"/>
  <c r="CK283" i="45"/>
  <c r="CV184" i="45"/>
  <c r="DE184" i="45"/>
  <c r="CW184" i="45"/>
  <c r="DF184" i="45"/>
  <c r="DE55" i="45"/>
  <c r="CV55" i="45"/>
  <c r="CW55" i="45"/>
  <c r="DF55" i="45"/>
  <c r="CV98" i="45"/>
  <c r="DE98" i="45"/>
  <c r="CW98" i="45"/>
  <c r="DF98" i="45"/>
  <c r="CV142" i="45"/>
  <c r="DE142" i="45"/>
  <c r="DF142" i="45"/>
  <c r="CW142" i="45"/>
  <c r="CV32" i="45"/>
  <c r="DE32" i="45"/>
  <c r="DF32" i="45"/>
  <c r="CW32" i="45"/>
  <c r="CV211" i="45"/>
  <c r="DE211" i="45"/>
  <c r="CW211" i="45"/>
  <c r="DF211" i="45"/>
  <c r="BY235" i="45"/>
  <c r="CQ235" i="45" s="1"/>
  <c r="DA237" i="45"/>
  <c r="DI174" i="45"/>
  <c r="DI139" i="45"/>
  <c r="DJ258" i="45"/>
  <c r="DA144" i="45"/>
  <c r="DA285" i="45"/>
  <c r="DJ199" i="45"/>
  <c r="BY107" i="45"/>
  <c r="CQ107" i="45" s="1"/>
  <c r="CZ238" i="45"/>
  <c r="DK24" i="45"/>
  <c r="DJ288" i="45"/>
  <c r="DJ193" i="45"/>
  <c r="DA234" i="45"/>
  <c r="DA191" i="45"/>
  <c r="DA272" i="45"/>
  <c r="DA165" i="45"/>
  <c r="DA211" i="45"/>
  <c r="DA36" i="45"/>
  <c r="DA282" i="45"/>
  <c r="DA255" i="45"/>
  <c r="DA263" i="45"/>
  <c r="DA129" i="45"/>
  <c r="DA208" i="45"/>
  <c r="DA277" i="45"/>
  <c r="DJ307" i="45"/>
  <c r="DA56" i="45"/>
  <c r="DA20" i="45"/>
  <c r="DA251" i="45"/>
  <c r="DA47" i="45"/>
  <c r="DA279" i="45"/>
  <c r="DA299" i="45"/>
  <c r="DA190" i="45"/>
  <c r="DA147" i="45"/>
  <c r="DA229" i="45"/>
  <c r="DA264" i="45"/>
  <c r="DJ189" i="45"/>
  <c r="DA203" i="45"/>
  <c r="DJ302" i="45"/>
  <c r="DJ87" i="45"/>
  <c r="DA160" i="45"/>
  <c r="DA226" i="45"/>
  <c r="DA257" i="45"/>
  <c r="DA120" i="45"/>
  <c r="DA171" i="45"/>
  <c r="DA176" i="45"/>
  <c r="DA168" i="45"/>
  <c r="DA254" i="45"/>
  <c r="DA98" i="45"/>
  <c r="DA155" i="45"/>
  <c r="DA158" i="45"/>
  <c r="DB266" i="45"/>
  <c r="DK266" i="45"/>
  <c r="DB267" i="45"/>
  <c r="DK267" i="45"/>
  <c r="DB94" i="45"/>
  <c r="DK94" i="45"/>
  <c r="DB152" i="45"/>
  <c r="DK152" i="45"/>
  <c r="DA232" i="45"/>
  <c r="DA139" i="45"/>
  <c r="DA224" i="45"/>
  <c r="DA152" i="45"/>
  <c r="DA275" i="45"/>
  <c r="DB234" i="45"/>
  <c r="DK234" i="45"/>
  <c r="DA253" i="45"/>
  <c r="DA295" i="45"/>
  <c r="DA243" i="45"/>
  <c r="DJ266" i="45"/>
  <c r="DB203" i="45"/>
  <c r="DK203" i="45"/>
  <c r="DA267" i="45"/>
  <c r="DB215" i="45"/>
  <c r="DK215" i="45"/>
  <c r="DB279" i="45"/>
  <c r="DK279" i="45"/>
  <c r="DB299" i="45"/>
  <c r="DK299" i="45"/>
  <c r="DB190" i="45"/>
  <c r="DK190" i="45"/>
  <c r="DB47" i="45"/>
  <c r="DK47" i="45"/>
  <c r="DB258" i="45"/>
  <c r="DK258" i="45"/>
  <c r="DB199" i="45"/>
  <c r="DK199" i="45"/>
  <c r="DB288" i="45"/>
  <c r="DK288" i="45"/>
  <c r="DB144" i="45"/>
  <c r="DK144" i="45"/>
  <c r="DB285" i="45"/>
  <c r="DK285" i="45"/>
  <c r="DB147" i="45"/>
  <c r="DK147" i="45"/>
  <c r="DB251" i="45"/>
  <c r="DK251" i="45"/>
  <c r="DB20" i="45"/>
  <c r="DK20" i="45"/>
  <c r="DB193" i="45"/>
  <c r="DK193" i="45"/>
  <c r="DB307" i="45"/>
  <c r="DK307" i="45"/>
  <c r="DA301" i="45"/>
  <c r="DA266" i="45"/>
  <c r="DA79" i="45"/>
  <c r="DA174" i="45"/>
  <c r="DJ203" i="45"/>
  <c r="DI94" i="45"/>
  <c r="CZ203" i="45"/>
  <c r="DJ187" i="45"/>
  <c r="DB187" i="45"/>
  <c r="DJ231" i="45"/>
  <c r="DB231" i="45"/>
  <c r="DJ135" i="45"/>
  <c r="DB135" i="45"/>
  <c r="DJ159" i="45"/>
  <c r="DB159" i="45"/>
  <c r="DJ238" i="45"/>
  <c r="DB238" i="45"/>
  <c r="DJ32" i="45"/>
  <c r="DB32" i="45"/>
  <c r="DA192" i="45"/>
  <c r="DB192" i="45"/>
  <c r="DA55" i="45"/>
  <c r="DB55" i="45"/>
  <c r="DJ142" i="45"/>
  <c r="DB142" i="45"/>
  <c r="DJ290" i="45"/>
  <c r="DB290" i="45"/>
  <c r="DA218" i="45"/>
  <c r="DB218" i="45"/>
  <c r="DJ95" i="45"/>
  <c r="DB95" i="45"/>
  <c r="DJ183" i="45"/>
  <c r="DB183" i="45"/>
  <c r="DJ210" i="45"/>
  <c r="DB210" i="45"/>
  <c r="DJ202" i="45"/>
  <c r="DB202" i="45"/>
  <c r="DJ298" i="45"/>
  <c r="DB298" i="45"/>
  <c r="DJ88" i="45"/>
  <c r="DB88" i="45"/>
  <c r="DJ186" i="45"/>
  <c r="DB186" i="45"/>
  <c r="DJ200" i="45"/>
  <c r="DB200" i="45"/>
  <c r="DA213" i="45"/>
  <c r="DB213" i="45"/>
  <c r="DJ160" i="45"/>
  <c r="DB160" i="45"/>
  <c r="DA280" i="45"/>
  <c r="DB280" i="45"/>
  <c r="DA189" i="45"/>
  <c r="DB189" i="45"/>
  <c r="DA87" i="45"/>
  <c r="DB87" i="45"/>
  <c r="DJ206" i="45"/>
  <c r="DB206" i="45"/>
  <c r="DA194" i="45"/>
  <c r="DB194" i="45"/>
  <c r="DA302" i="45"/>
  <c r="DB302" i="45"/>
  <c r="DA94" i="45"/>
  <c r="DJ94" i="45"/>
  <c r="DJ232" i="45"/>
  <c r="DB232" i="45"/>
  <c r="DJ79" i="45"/>
  <c r="DB79" i="45"/>
  <c r="DJ295" i="45"/>
  <c r="DB295" i="45"/>
  <c r="DJ253" i="45"/>
  <c r="DB253" i="45"/>
  <c r="DJ243" i="45"/>
  <c r="DB243" i="45"/>
  <c r="DJ275" i="45"/>
  <c r="DB275" i="45"/>
  <c r="DJ139" i="45"/>
  <c r="DB139" i="45"/>
  <c r="DJ254" i="45"/>
  <c r="DB254" i="45"/>
  <c r="DJ171" i="45"/>
  <c r="DB171" i="45"/>
  <c r="DJ301" i="45"/>
  <c r="DB301" i="45"/>
  <c r="DJ304" i="45"/>
  <c r="DB304" i="45"/>
  <c r="DA119" i="45"/>
  <c r="DB119" i="45"/>
  <c r="DA223" i="45"/>
  <c r="DB223" i="45"/>
  <c r="DJ293" i="45"/>
  <c r="DB293" i="45"/>
  <c r="DA274" i="45"/>
  <c r="DB274" i="45"/>
  <c r="DJ250" i="45"/>
  <c r="DB250" i="45"/>
  <c r="DA181" i="45"/>
  <c r="DB181" i="45"/>
  <c r="DJ296" i="45"/>
  <c r="DB296" i="45"/>
  <c r="DA247" i="45"/>
  <c r="DB247" i="45"/>
  <c r="DJ167" i="45"/>
  <c r="DB167" i="45"/>
  <c r="DJ179" i="45"/>
  <c r="DB179" i="45"/>
  <c r="DJ26" i="45"/>
  <c r="DB26" i="45"/>
  <c r="DA197" i="45"/>
  <c r="DB197" i="45"/>
  <c r="DA49" i="45"/>
  <c r="DB49" i="45"/>
  <c r="DA242" i="45"/>
  <c r="DB242" i="45"/>
  <c r="DJ174" i="45"/>
  <c r="DB174" i="45"/>
  <c r="DJ216" i="45"/>
  <c r="DB216" i="45"/>
  <c r="DA40" i="45"/>
  <c r="DB40" i="45"/>
  <c r="DJ221" i="45"/>
  <c r="DB221" i="45"/>
  <c r="DJ71" i="45"/>
  <c r="DB71" i="45"/>
  <c r="DA184" i="45"/>
  <c r="DB184" i="45"/>
  <c r="DJ173" i="45"/>
  <c r="DB173" i="45"/>
  <c r="DJ127" i="45"/>
  <c r="DB127" i="45"/>
  <c r="DJ224" i="45"/>
  <c r="DB224" i="45"/>
  <c r="DJ256" i="45"/>
  <c r="DB256" i="45"/>
  <c r="DA287" i="45"/>
  <c r="DB287" i="45"/>
  <c r="DA16" i="45"/>
  <c r="DB16" i="45"/>
  <c r="DA103" i="45"/>
  <c r="DB103" i="45"/>
  <c r="DJ277" i="45"/>
  <c r="DB277" i="45"/>
  <c r="DJ282" i="45"/>
  <c r="DB282" i="45"/>
  <c r="DJ165" i="45"/>
  <c r="DB165" i="45"/>
  <c r="DJ208" i="45"/>
  <c r="DB208" i="45"/>
  <c r="DJ129" i="45"/>
  <c r="DB129" i="45"/>
  <c r="DJ191" i="45"/>
  <c r="DB191" i="45"/>
  <c r="DJ211" i="45"/>
  <c r="DB211" i="45"/>
  <c r="DJ263" i="45"/>
  <c r="DB263" i="45"/>
  <c r="DJ272" i="45"/>
  <c r="DB272" i="45"/>
  <c r="DJ36" i="45"/>
  <c r="DB36" i="45"/>
  <c r="DA240" i="45"/>
  <c r="DB240" i="45"/>
  <c r="DJ56" i="45"/>
  <c r="DB56" i="45"/>
  <c r="DJ255" i="45"/>
  <c r="DB255" i="45"/>
  <c r="DA63" i="45"/>
  <c r="DB63" i="45"/>
  <c r="DA24" i="45"/>
  <c r="DB24" i="45"/>
  <c r="DJ98" i="45"/>
  <c r="DB98" i="45"/>
  <c r="DJ176" i="45"/>
  <c r="DB176" i="45"/>
  <c r="DJ155" i="45"/>
  <c r="DB155" i="45"/>
  <c r="DJ229" i="45"/>
  <c r="DB229" i="45"/>
  <c r="DJ158" i="45"/>
  <c r="DB158" i="45"/>
  <c r="DJ257" i="45"/>
  <c r="DB257" i="45"/>
  <c r="DJ120" i="45"/>
  <c r="DB120" i="45"/>
  <c r="DJ168" i="45"/>
  <c r="DB168" i="45"/>
  <c r="DJ264" i="45"/>
  <c r="DB264" i="45"/>
  <c r="DA248" i="45"/>
  <c r="DB248" i="45"/>
  <c r="DJ226" i="45"/>
  <c r="DB226" i="45"/>
  <c r="DA65" i="45"/>
  <c r="DB65" i="45"/>
  <c r="DJ306" i="45"/>
  <c r="DB306" i="45"/>
  <c r="DJ65" i="45"/>
  <c r="DJ274" i="45"/>
  <c r="DJ63" i="45"/>
  <c r="DA26" i="45"/>
  <c r="DJ242" i="45"/>
  <c r="DJ181" i="45"/>
  <c r="DA250" i="45"/>
  <c r="DJ247" i="45"/>
  <c r="DJ248" i="45"/>
  <c r="DJ223" i="45"/>
  <c r="DA293" i="45"/>
  <c r="DA179" i="45"/>
  <c r="DA167" i="45"/>
  <c r="DJ197" i="45"/>
  <c r="DJ49" i="45"/>
  <c r="DA296" i="45"/>
  <c r="DA186" i="45"/>
  <c r="DA135" i="45"/>
  <c r="DA298" i="45"/>
  <c r="DJ194" i="45"/>
  <c r="DJ213" i="45"/>
  <c r="DJ280" i="45"/>
  <c r="DA210" i="45"/>
  <c r="DA200" i="45"/>
  <c r="DA206" i="45"/>
  <c r="DA202" i="45"/>
  <c r="DJ184" i="45"/>
  <c r="DA88" i="45"/>
  <c r="DA304" i="45"/>
  <c r="DA306" i="45"/>
  <c r="DA238" i="45"/>
  <c r="DA183" i="45"/>
  <c r="DJ240" i="45"/>
  <c r="DJ40" i="45"/>
  <c r="DJ218" i="45"/>
  <c r="DA187" i="45"/>
  <c r="DA290" i="45"/>
  <c r="DA32" i="45"/>
  <c r="DA142" i="45"/>
  <c r="DA159" i="45"/>
  <c r="DA95" i="45"/>
  <c r="DA127" i="45"/>
  <c r="DA221" i="45"/>
  <c r="DA71" i="45"/>
  <c r="DA173" i="45"/>
  <c r="DA256" i="45"/>
  <c r="DJ103" i="45"/>
  <c r="DJ16" i="45"/>
  <c r="BQ148" i="45"/>
  <c r="CP148" i="45" s="1"/>
  <c r="CZ148" i="45" s="1"/>
  <c r="DJ287" i="45"/>
  <c r="DJ119" i="45"/>
  <c r="DA216" i="45"/>
  <c r="BY303" i="45"/>
  <c r="CQ303" i="45" s="1"/>
  <c r="DK303" i="45" s="1"/>
  <c r="DJ55" i="45"/>
  <c r="DJ192" i="45"/>
  <c r="DA231" i="45"/>
  <c r="BY78" i="45"/>
  <c r="CQ78" i="45" s="1"/>
  <c r="BY28" i="45"/>
  <c r="CQ28" i="45" s="1"/>
  <c r="BY61" i="45"/>
  <c r="CQ61" i="45" s="1"/>
  <c r="BY82" i="45"/>
  <c r="CQ82" i="45" s="1"/>
  <c r="DA82" i="45" s="1"/>
  <c r="BY122" i="45"/>
  <c r="CQ122" i="45" s="1"/>
  <c r="BY27" i="45"/>
  <c r="CQ27" i="45" s="1"/>
  <c r="BY106" i="45"/>
  <c r="CQ106" i="45" s="1"/>
  <c r="BY150" i="45"/>
  <c r="CQ150" i="45" s="1"/>
  <c r="BY131" i="45"/>
  <c r="CQ131" i="45" s="1"/>
  <c r="DJ131" i="45" s="1"/>
  <c r="BY117" i="45"/>
  <c r="CQ117" i="45" s="1"/>
  <c r="BY246" i="45"/>
  <c r="CQ246" i="45" s="1"/>
  <c r="BY217" i="45"/>
  <c r="CQ217" i="45" s="1"/>
  <c r="DJ217" i="45" s="1"/>
  <c r="BY239" i="45"/>
  <c r="CQ239" i="45" s="1"/>
  <c r="BY67" i="45"/>
  <c r="CQ67" i="45" s="1"/>
  <c r="BY149" i="45"/>
  <c r="CQ149" i="45" s="1"/>
  <c r="BY278" i="45"/>
  <c r="CQ278" i="45" s="1"/>
  <c r="BY46" i="45"/>
  <c r="CQ46" i="45" s="1"/>
  <c r="DA46" i="45" s="1"/>
  <c r="BY114" i="45"/>
  <c r="CQ114" i="45" s="1"/>
  <c r="BY212" i="45"/>
  <c r="CQ212" i="45" s="1"/>
  <c r="BY262" i="45"/>
  <c r="CQ262" i="45" s="1"/>
  <c r="BY291" i="45"/>
  <c r="CQ291" i="45" s="1"/>
  <c r="BY48" i="45"/>
  <c r="CQ48" i="45" s="1"/>
  <c r="BY85" i="45"/>
  <c r="CQ85" i="45" s="1"/>
  <c r="BY146" i="45"/>
  <c r="CQ146" i="45" s="1"/>
  <c r="BY115" i="45"/>
  <c r="CQ115" i="45" s="1"/>
  <c r="DJ115" i="45" s="1"/>
  <c r="BY222" i="45"/>
  <c r="CQ222" i="45" s="1"/>
  <c r="DK222" i="45" s="1"/>
  <c r="BY69" i="45"/>
  <c r="CQ69" i="45" s="1"/>
  <c r="DJ69" i="45" s="1"/>
  <c r="BY207" i="45"/>
  <c r="CQ207" i="45" s="1"/>
  <c r="BY58" i="45"/>
  <c r="CQ58" i="45" s="1"/>
  <c r="BY111" i="45"/>
  <c r="CQ111" i="45" s="1"/>
  <c r="BY93" i="45"/>
  <c r="CQ93" i="45" s="1"/>
  <c r="BY180" i="45"/>
  <c r="CQ180" i="45" s="1"/>
  <c r="BY134" i="45"/>
  <c r="CQ134" i="45" s="1"/>
  <c r="DJ134" i="45" s="1"/>
  <c r="BY259" i="45"/>
  <c r="CQ259" i="45" s="1"/>
  <c r="BY70" i="45"/>
  <c r="CQ70" i="45" s="1"/>
  <c r="DA70" i="45" s="1"/>
  <c r="BY143" i="45"/>
  <c r="CQ143" i="45" s="1"/>
  <c r="BY86" i="45"/>
  <c r="CQ86" i="45" s="1"/>
  <c r="BY80" i="45"/>
  <c r="CQ80" i="45" s="1"/>
  <c r="BY64" i="45"/>
  <c r="CQ64" i="45" s="1"/>
  <c r="BY110" i="45"/>
  <c r="CQ110" i="45" s="1"/>
  <c r="BY31" i="45"/>
  <c r="CQ31" i="45" s="1"/>
  <c r="DA31" i="45" s="1"/>
  <c r="BY23" i="45"/>
  <c r="CQ23" i="45" s="1"/>
  <c r="BY182" i="45"/>
  <c r="CQ182" i="45" s="1"/>
  <c r="DJ182" i="45" s="1"/>
  <c r="BY51" i="45"/>
  <c r="CQ51" i="45" s="1"/>
  <c r="BY133" i="45"/>
  <c r="CQ133" i="45" s="1"/>
  <c r="BY198" i="45"/>
  <c r="CQ198" i="45" s="1"/>
  <c r="BY138" i="45"/>
  <c r="CQ138" i="45" s="1"/>
  <c r="BY118" i="45"/>
  <c r="CQ118" i="45" s="1"/>
  <c r="BY74" i="45"/>
  <c r="CQ74" i="45" s="1"/>
  <c r="DA74" i="45" s="1"/>
  <c r="BY44" i="45"/>
  <c r="CQ44" i="45" s="1"/>
  <c r="DK44" i="45" s="1"/>
  <c r="BY45" i="45"/>
  <c r="CQ45" i="45" s="1"/>
  <c r="BY227" i="45"/>
  <c r="CQ227" i="45" s="1"/>
  <c r="BY62" i="45"/>
  <c r="CQ62" i="45" s="1"/>
  <c r="BY99" i="45"/>
  <c r="CQ99" i="45" s="1"/>
  <c r="BY35" i="45"/>
  <c r="CQ35" i="45" s="1"/>
  <c r="BY281" i="45"/>
  <c r="CQ281" i="45" s="1"/>
  <c r="BY219" i="45"/>
  <c r="CQ219" i="45" s="1"/>
  <c r="DA219" i="45" s="1"/>
  <c r="BY130" i="45"/>
  <c r="CQ130" i="45" s="1"/>
  <c r="BY96" i="45"/>
  <c r="CQ96" i="45" s="1"/>
  <c r="BY22" i="45"/>
  <c r="CQ22" i="45" s="1"/>
  <c r="BY39" i="45"/>
  <c r="CQ39" i="45" s="1"/>
  <c r="BY41" i="45"/>
  <c r="CQ41" i="45" s="1"/>
  <c r="BY154" i="45"/>
  <c r="CQ154" i="45" s="1"/>
  <c r="BY195" i="45"/>
  <c r="CQ195" i="45" s="1"/>
  <c r="DJ24" i="45"/>
  <c r="BY126" i="45"/>
  <c r="CQ126" i="45" s="1"/>
  <c r="BY178" i="45"/>
  <c r="CQ178" i="45" s="1"/>
  <c r="BY102" i="45"/>
  <c r="CQ102" i="45" s="1"/>
  <c r="BY271" i="45"/>
  <c r="CQ271" i="45" s="1"/>
  <c r="BY72" i="45"/>
  <c r="CQ72" i="45" s="1"/>
  <c r="BY54" i="45"/>
  <c r="CQ54" i="45" s="1"/>
  <c r="BY59" i="45"/>
  <c r="CQ59" i="45" s="1"/>
  <c r="BY157" i="45"/>
  <c r="CQ157" i="45" s="1"/>
  <c r="DA157" i="45" s="1"/>
  <c r="BY17" i="45"/>
  <c r="CQ17" i="45" s="1"/>
  <c r="BY136" i="45"/>
  <c r="CQ136" i="45" s="1"/>
  <c r="BY75" i="45"/>
  <c r="CQ75" i="45" s="1"/>
  <c r="BY83" i="45"/>
  <c r="CQ83" i="45" s="1"/>
  <c r="BY166" i="45"/>
  <c r="CQ166" i="45" s="1"/>
  <c r="DK166" i="45" s="1"/>
  <c r="BY148" i="45"/>
  <c r="CQ148" i="45" s="1"/>
  <c r="BY151" i="45"/>
  <c r="CQ151" i="45" s="1"/>
  <c r="DK151" i="45" s="1"/>
  <c r="BY50" i="45"/>
  <c r="CQ50" i="45" s="1"/>
  <c r="DA50" i="45" s="1"/>
  <c r="BY125" i="45"/>
  <c r="CQ125" i="45" s="1"/>
  <c r="BY91" i="45"/>
  <c r="CQ91" i="45" s="1"/>
  <c r="BY19" i="45"/>
  <c r="CQ19" i="45" s="1"/>
  <c r="BY214" i="45"/>
  <c r="CQ214" i="45" s="1"/>
  <c r="BY33" i="45"/>
  <c r="CQ33" i="45" s="1"/>
  <c r="BY230" i="45"/>
  <c r="CQ230" i="45" s="1"/>
  <c r="BY109" i="45"/>
  <c r="CQ109" i="45" s="1"/>
  <c r="DK109" i="45" s="1"/>
  <c r="BY270" i="45"/>
  <c r="CQ270" i="45" s="1"/>
  <c r="BY30" i="45"/>
  <c r="CQ30" i="45" s="1"/>
  <c r="BY101" i="45"/>
  <c r="CQ101" i="45" s="1"/>
  <c r="BY43" i="45"/>
  <c r="CQ43" i="45" s="1"/>
  <c r="DJ43" i="45" s="1"/>
  <c r="BY38" i="45"/>
  <c r="CQ38" i="45" s="1"/>
  <c r="DK38" i="45" s="1"/>
  <c r="BY77" i="45"/>
  <c r="CQ77" i="45" s="1"/>
  <c r="BY153" i="45"/>
  <c r="CQ153" i="45" s="1"/>
  <c r="BY66" i="45"/>
  <c r="CQ66" i="45" s="1"/>
  <c r="BY286" i="45"/>
  <c r="CQ286" i="45" s="1"/>
  <c r="BY90" i="45"/>
  <c r="CQ90" i="45" s="1"/>
  <c r="DK90" i="45" s="1"/>
  <c r="BY170" i="45"/>
  <c r="CQ170" i="45" s="1"/>
  <c r="BY294" i="45"/>
  <c r="CQ294" i="45" s="1"/>
  <c r="BY123" i="45"/>
  <c r="CQ123" i="45" s="1"/>
  <c r="BY112" i="45"/>
  <c r="CQ112" i="45" s="1"/>
  <c r="BY163" i="45"/>
  <c r="CQ163" i="45" s="1"/>
  <c r="BY53" i="45"/>
  <c r="CQ53" i="45" s="1"/>
  <c r="DJ53" i="45" s="1"/>
  <c r="BY175" i="45"/>
  <c r="CQ175" i="45" s="1"/>
  <c r="BY128" i="45"/>
  <c r="CQ128" i="45" s="1"/>
  <c r="BY104" i="45"/>
  <c r="CQ104" i="45" s="1"/>
  <c r="BY162" i="45"/>
  <c r="CQ162" i="45" s="1"/>
  <c r="CZ31" i="45"/>
  <c r="CZ46" i="45"/>
  <c r="CZ286" i="45"/>
  <c r="DI126" i="45"/>
  <c r="CZ61" i="45"/>
  <c r="DI61" i="45"/>
  <c r="CZ82" i="45"/>
  <c r="DI82" i="45"/>
  <c r="CZ122" i="45"/>
  <c r="DI122" i="45"/>
  <c r="CZ27" i="45"/>
  <c r="DI27" i="45"/>
  <c r="CZ106" i="45"/>
  <c r="DI106" i="45"/>
  <c r="CZ150" i="45"/>
  <c r="DI150" i="45"/>
  <c r="CZ303" i="45"/>
  <c r="DI303" i="45"/>
  <c r="CZ131" i="45"/>
  <c r="DI131" i="45"/>
  <c r="CZ117" i="45"/>
  <c r="DI117" i="45"/>
  <c r="CZ104" i="45"/>
  <c r="CZ54" i="45"/>
  <c r="CZ28" i="45"/>
  <c r="CZ262" i="45"/>
  <c r="CZ93" i="45"/>
  <c r="CZ96" i="45"/>
  <c r="CZ166" i="45"/>
  <c r="CZ212" i="45"/>
  <c r="CZ80" i="45"/>
  <c r="CZ246" i="45"/>
  <c r="CZ102" i="45"/>
  <c r="CZ39" i="45"/>
  <c r="CZ118" i="45"/>
  <c r="CZ227" i="45"/>
  <c r="CZ219" i="45"/>
  <c r="DI46" i="45"/>
  <c r="DI39" i="45"/>
  <c r="DI166" i="45"/>
  <c r="CZ23" i="45"/>
  <c r="CZ143" i="45"/>
  <c r="CZ134" i="45"/>
  <c r="DI134" i="45"/>
  <c r="DI104" i="45"/>
  <c r="CZ294" i="45"/>
  <c r="CZ50" i="45"/>
  <c r="CZ133" i="45"/>
  <c r="CZ178" i="45"/>
  <c r="CZ51" i="45"/>
  <c r="CZ101" i="45"/>
  <c r="CZ38" i="45"/>
  <c r="CZ146" i="45"/>
  <c r="CZ281" i="45"/>
  <c r="CZ44" i="45"/>
  <c r="CZ222" i="45"/>
  <c r="DI80" i="45"/>
  <c r="DI222" i="45"/>
  <c r="CZ74" i="45"/>
  <c r="CZ153" i="45"/>
  <c r="CZ198" i="45"/>
  <c r="CZ111" i="45"/>
  <c r="CZ239" i="45"/>
  <c r="CZ163" i="45"/>
  <c r="CZ99" i="45"/>
  <c r="CZ195" i="45"/>
  <c r="CZ175" i="45"/>
  <c r="CZ128" i="45"/>
  <c r="CZ151" i="45"/>
  <c r="CZ110" i="45"/>
  <c r="DI270" i="45"/>
  <c r="DI96" i="45"/>
  <c r="DI146" i="45"/>
  <c r="DI286" i="45"/>
  <c r="CZ230" i="45"/>
  <c r="CZ109" i="45"/>
  <c r="CZ170" i="45"/>
  <c r="CZ64" i="45"/>
  <c r="CZ271" i="45"/>
  <c r="CZ291" i="45"/>
  <c r="CZ125" i="45"/>
  <c r="CZ83" i="45"/>
  <c r="CZ77" i="45"/>
  <c r="CZ59" i="45"/>
  <c r="CZ62" i="45"/>
  <c r="DI38" i="45"/>
  <c r="DI50" i="45"/>
  <c r="DI212" i="45"/>
  <c r="DI219" i="45"/>
  <c r="DI23" i="45"/>
  <c r="DI83" i="45"/>
  <c r="CZ115" i="45"/>
  <c r="CZ217" i="45"/>
  <c r="CZ259" i="45"/>
  <c r="CZ90" i="45"/>
  <c r="CZ154" i="45"/>
  <c r="CZ278" i="45"/>
  <c r="CZ58" i="45"/>
  <c r="CZ69" i="45"/>
  <c r="CZ66" i="45"/>
  <c r="CZ138" i="45"/>
  <c r="CZ85" i="45"/>
  <c r="CZ123" i="45"/>
  <c r="CZ78" i="45"/>
  <c r="DI111" i="45"/>
  <c r="DI163" i="45"/>
  <c r="DI77" i="45"/>
  <c r="DI69" i="45"/>
  <c r="DI259" i="45"/>
  <c r="DI133" i="45"/>
  <c r="DI102" i="45"/>
  <c r="DI28" i="45"/>
  <c r="DI54" i="45"/>
  <c r="DI67" i="45"/>
  <c r="DI93" i="45"/>
  <c r="DI195" i="45"/>
  <c r="CZ207" i="45"/>
  <c r="CZ182" i="45"/>
  <c r="CZ136" i="45"/>
  <c r="CZ30" i="45"/>
  <c r="CZ114" i="45"/>
  <c r="CZ86" i="45"/>
  <c r="CZ75" i="45"/>
  <c r="DI291" i="45"/>
  <c r="DI30" i="45"/>
  <c r="DI178" i="45"/>
  <c r="DI153" i="45"/>
  <c r="DI74" i="45"/>
  <c r="CZ53" i="45"/>
  <c r="CZ130" i="45"/>
  <c r="CZ157" i="45"/>
  <c r="CZ45" i="45"/>
  <c r="CZ35" i="45"/>
  <c r="CZ149" i="45"/>
  <c r="CZ70" i="45"/>
  <c r="CZ276" i="45"/>
  <c r="CZ162" i="45"/>
  <c r="CZ72" i="45"/>
  <c r="CZ214" i="45"/>
  <c r="CZ112" i="45"/>
  <c r="CZ43" i="45"/>
  <c r="CZ91" i="45"/>
  <c r="DI143" i="45"/>
  <c r="DI115" i="45"/>
  <c r="DI43" i="45"/>
  <c r="DI136" i="45"/>
  <c r="DI239" i="45"/>
  <c r="DI214" i="45"/>
  <c r="DI170" i="45"/>
  <c r="DI294" i="45"/>
  <c r="DI112" i="45"/>
  <c r="DI44" i="45"/>
  <c r="DI109" i="45"/>
  <c r="DH21" i="45"/>
  <c r="DH252" i="45"/>
  <c r="DH132" i="45"/>
  <c r="DH172" i="45"/>
  <c r="DH37" i="45"/>
  <c r="DH52" i="45"/>
  <c r="DH305" i="45"/>
  <c r="DH18" i="45"/>
  <c r="DH84" i="45"/>
  <c r="DH268" i="45"/>
  <c r="DH201" i="45"/>
  <c r="DH164" i="45"/>
  <c r="DH105" i="45"/>
  <c r="DH145" i="45"/>
  <c r="DH97" i="45"/>
  <c r="DH108" i="45"/>
  <c r="DH100" i="45"/>
  <c r="DH81" i="45"/>
  <c r="DH188" i="45"/>
  <c r="DH300" i="45"/>
  <c r="DH292" i="45"/>
  <c r="DH121" i="45"/>
  <c r="DH29" i="45"/>
  <c r="DH124" i="45"/>
  <c r="DH297" i="45"/>
  <c r="DH273" i="45"/>
  <c r="DH34" i="45"/>
  <c r="DH204" i="45"/>
  <c r="DH169" i="45"/>
  <c r="DH241" i="45"/>
  <c r="CY244" i="45"/>
  <c r="CY180" i="45"/>
  <c r="DI180" i="45"/>
  <c r="DH196" i="45"/>
  <c r="DH161" i="45"/>
  <c r="DH140" i="45"/>
  <c r="DH156" i="45"/>
  <c r="DH236" i="45"/>
  <c r="DH233" i="45"/>
  <c r="DH209" i="45"/>
  <c r="DH220" i="45"/>
  <c r="DH73" i="45"/>
  <c r="DH177" i="45"/>
  <c r="DH289" i="45"/>
  <c r="DH76" i="45"/>
  <c r="CY15" i="45"/>
  <c r="DH265" i="45"/>
  <c r="DH68" i="45"/>
  <c r="DH57" i="45"/>
  <c r="DH284" i="45"/>
  <c r="DH260" i="45"/>
  <c r="DH60" i="45"/>
  <c r="DH116" i="45"/>
  <c r="DH92" i="45"/>
  <c r="DG113" i="45"/>
  <c r="R60" i="66"/>
  <c r="AN60" i="66" s="1"/>
  <c r="BQ292" i="45"/>
  <c r="CP292" i="45" s="1"/>
  <c r="DI292" i="45" s="1"/>
  <c r="BQ113" i="45"/>
  <c r="CP113" i="45" s="1"/>
  <c r="BQ169" i="45"/>
  <c r="CP169" i="45" s="1"/>
  <c r="BQ233" i="45"/>
  <c r="CP233" i="45" s="1"/>
  <c r="DI233" i="45" s="1"/>
  <c r="BQ34" i="45"/>
  <c r="CP34" i="45" s="1"/>
  <c r="BQ161" i="45"/>
  <c r="CP161" i="45" s="1"/>
  <c r="BQ140" i="45"/>
  <c r="CP140" i="45" s="1"/>
  <c r="DI140" i="45" s="1"/>
  <c r="BQ156" i="45"/>
  <c r="CP156" i="45" s="1"/>
  <c r="BQ29" i="45"/>
  <c r="CP29" i="45" s="1"/>
  <c r="BQ196" i="45"/>
  <c r="CP196" i="45" s="1"/>
  <c r="BQ164" i="45"/>
  <c r="CP164" i="45" s="1"/>
  <c r="DI164" i="45" s="1"/>
  <c r="BQ241" i="45"/>
  <c r="CP241" i="45" s="1"/>
  <c r="CZ67" i="45"/>
  <c r="BQ42" i="45"/>
  <c r="CP42" i="45" s="1"/>
  <c r="BQ177" i="45"/>
  <c r="CP177" i="45" s="1"/>
  <c r="BQ209" i="45"/>
  <c r="CP209" i="45" s="1"/>
  <c r="BQ284" i="45"/>
  <c r="CP284" i="45" s="1"/>
  <c r="DI284" i="45" s="1"/>
  <c r="BQ305" i="45"/>
  <c r="CP305" i="45" s="1"/>
  <c r="DI305" i="45" s="1"/>
  <c r="BQ21" i="45"/>
  <c r="BQ185" i="45"/>
  <c r="CP185" i="45" s="1"/>
  <c r="DI185" i="45" s="1"/>
  <c r="BQ300" i="45"/>
  <c r="CP300" i="45" s="1"/>
  <c r="BQ18" i="45"/>
  <c r="CP18" i="45" s="1"/>
  <c r="BQ116" i="45"/>
  <c r="CP116" i="45" s="1"/>
  <c r="DI116" i="45" s="1"/>
  <c r="BQ92" i="45"/>
  <c r="CP92" i="45" s="1"/>
  <c r="BQ228" i="45"/>
  <c r="CP228" i="45" s="1"/>
  <c r="BQ289" i="45"/>
  <c r="CP289" i="45" s="1"/>
  <c r="BQ145" i="45"/>
  <c r="CP145" i="45" s="1"/>
  <c r="DI145" i="45" s="1"/>
  <c r="BQ100" i="45"/>
  <c r="CP100" i="45" s="1"/>
  <c r="DI100" i="45" s="1"/>
  <c r="BQ73" i="45"/>
  <c r="CP73" i="45" s="1"/>
  <c r="BQ124" i="45"/>
  <c r="BQ249" i="45"/>
  <c r="CP249" i="45" s="1"/>
  <c r="DI249" i="45" s="1"/>
  <c r="BQ188" i="45"/>
  <c r="CP188" i="45" s="1"/>
  <c r="DI188" i="45" s="1"/>
  <c r="BQ81" i="45"/>
  <c r="CP81" i="45" s="1"/>
  <c r="BQ97" i="45"/>
  <c r="CP97" i="45" s="1"/>
  <c r="CZ180" i="45"/>
  <c r="BQ172" i="45"/>
  <c r="CP172" i="45" s="1"/>
  <c r="DI172" i="45" s="1"/>
  <c r="BQ236" i="45"/>
  <c r="CP236" i="45" s="1"/>
  <c r="BQ60" i="45"/>
  <c r="CP60" i="45" s="1"/>
  <c r="DI60" i="45" s="1"/>
  <c r="BQ201" i="45"/>
  <c r="CP201" i="45" s="1"/>
  <c r="BQ37" i="45"/>
  <c r="CP37" i="45" s="1"/>
  <c r="BQ220" i="45"/>
  <c r="CP220" i="45" s="1"/>
  <c r="BQ121" i="45"/>
  <c r="CP121" i="45" s="1"/>
  <c r="BQ68" i="45"/>
  <c r="CP68" i="45" s="1"/>
  <c r="BQ137" i="45"/>
  <c r="CP137" i="45" s="1"/>
  <c r="DI137" i="45" s="1"/>
  <c r="BQ57" i="45"/>
  <c r="CP57" i="45" s="1"/>
  <c r="BQ273" i="45"/>
  <c r="CP273" i="45" s="1"/>
  <c r="DI273" i="45" s="1"/>
  <c r="BQ265" i="45"/>
  <c r="CP265" i="45" s="1"/>
  <c r="BQ252" i="45"/>
  <c r="CP252" i="45" s="1"/>
  <c r="BQ52" i="45"/>
  <c r="CP52" i="45" s="1"/>
  <c r="DI52" i="45" s="1"/>
  <c r="BQ108" i="45"/>
  <c r="CP108" i="45" s="1"/>
  <c r="BQ260" i="45"/>
  <c r="CP260" i="45" s="1"/>
  <c r="DI260" i="45" s="1"/>
  <c r="BQ84" i="45"/>
  <c r="CP84" i="45" s="1"/>
  <c r="BQ105" i="45"/>
  <c r="CP105" i="45" s="1"/>
  <c r="BQ204" i="45"/>
  <c r="CP204" i="45" s="1"/>
  <c r="DI204" i="45" s="1"/>
  <c r="BQ225" i="45"/>
  <c r="CP225" i="45" s="1"/>
  <c r="DI225" i="45" s="1"/>
  <c r="BQ132" i="45"/>
  <c r="CP132" i="45" s="1"/>
  <c r="BQ268" i="45"/>
  <c r="CP268" i="45" s="1"/>
  <c r="BQ297" i="45"/>
  <c r="CP297" i="45" s="1"/>
  <c r="DI297" i="45" s="1"/>
  <c r="BQ76" i="45"/>
  <c r="CP76" i="45" s="1"/>
  <c r="BQ244" i="45"/>
  <c r="CP244" i="45" s="1"/>
  <c r="CN13" i="45"/>
  <c r="CX13" i="45" s="1"/>
  <c r="BC11" i="45"/>
  <c r="AX55" i="66"/>
  <c r="R55" i="66"/>
  <c r="AN55" i="66" s="1"/>
  <c r="CP48" i="45"/>
  <c r="CP17" i="45"/>
  <c r="CP22" i="45"/>
  <c r="CP41" i="45"/>
  <c r="CP33" i="45"/>
  <c r="CP19" i="45"/>
  <c r="CY185" i="45"/>
  <c r="CY92" i="45"/>
  <c r="CY100" i="45"/>
  <c r="CY209" i="45"/>
  <c r="CY156" i="45"/>
  <c r="CY233" i="45"/>
  <c r="CY97" i="45"/>
  <c r="CY145" i="45"/>
  <c r="CY108" i="45"/>
  <c r="CY37" i="45"/>
  <c r="CY201" i="45"/>
  <c r="CY84" i="45"/>
  <c r="CY284" i="45"/>
  <c r="CY268" i="45"/>
  <c r="CY34" i="45"/>
  <c r="CY81" i="45"/>
  <c r="CY204" i="45"/>
  <c r="CY241" i="45"/>
  <c r="CY57" i="45"/>
  <c r="CY297" i="45"/>
  <c r="CY29" i="45"/>
  <c r="CY172" i="45"/>
  <c r="CY164" i="45"/>
  <c r="CY52" i="45"/>
  <c r="CY161" i="45"/>
  <c r="CY73" i="45"/>
  <c r="CY196" i="45"/>
  <c r="CY124" i="45"/>
  <c r="CY116" i="45"/>
  <c r="CY305" i="45"/>
  <c r="CY68" i="45"/>
  <c r="CY236" i="45"/>
  <c r="CY220" i="45"/>
  <c r="CY228" i="45"/>
  <c r="CY137" i="45"/>
  <c r="CY252" i="45"/>
  <c r="CY265" i="45"/>
  <c r="CY42" i="45"/>
  <c r="CY60" i="45"/>
  <c r="H55" i="66"/>
  <c r="CO113" i="45"/>
  <c r="CY169" i="45"/>
  <c r="CY76" i="45"/>
  <c r="CY21" i="45"/>
  <c r="CY260" i="45"/>
  <c r="CY300" i="45"/>
  <c r="CY273" i="45"/>
  <c r="CY132" i="45"/>
  <c r="CY225" i="45"/>
  <c r="CY177" i="45"/>
  <c r="CY18" i="45"/>
  <c r="CY249" i="45"/>
  <c r="CY188" i="45"/>
  <c r="CY140" i="45"/>
  <c r="CY289" i="45"/>
  <c r="CY121" i="45"/>
  <c r="CY292" i="45"/>
  <c r="CY105" i="45"/>
  <c r="CX113" i="45"/>
  <c r="C13" i="68"/>
  <c r="AB9" i="47"/>
  <c r="AB10" i="47"/>
  <c r="AR13" i="47"/>
  <c r="AS10" i="47"/>
  <c r="AS9" i="47"/>
  <c r="AR10" i="47"/>
  <c r="AR9" i="47"/>
  <c r="D13" i="68"/>
  <c r="E13" i="68"/>
  <c r="AF133" i="48"/>
  <c r="AQ133" i="54" s="1"/>
  <c r="O133" i="48"/>
  <c r="AF183" i="48"/>
  <c r="AQ183" i="54" s="1"/>
  <c r="O183" i="48"/>
  <c r="AF157" i="48"/>
  <c r="AQ157" i="54" s="1"/>
  <c r="O157" i="48"/>
  <c r="AF189" i="48"/>
  <c r="AQ189" i="54" s="1"/>
  <c r="O189" i="48"/>
  <c r="AF101" i="48"/>
  <c r="AQ101" i="54" s="1"/>
  <c r="O101" i="48"/>
  <c r="AF48" i="48"/>
  <c r="AQ48" i="54" s="1"/>
  <c r="O48" i="48"/>
  <c r="AF117" i="48"/>
  <c r="AQ117" i="54" s="1"/>
  <c r="O117" i="48"/>
  <c r="AF58" i="48"/>
  <c r="AQ58" i="54" s="1"/>
  <c r="O58" i="48"/>
  <c r="AF60" i="48"/>
  <c r="AQ60" i="54" s="1"/>
  <c r="O60" i="48"/>
  <c r="AF59" i="48"/>
  <c r="AQ59" i="54" s="1"/>
  <c r="O59" i="48"/>
  <c r="AF225" i="48"/>
  <c r="AQ225" i="54" s="1"/>
  <c r="O225" i="48"/>
  <c r="AF205" i="48"/>
  <c r="AQ205" i="54" s="1"/>
  <c r="O205" i="48"/>
  <c r="AF149" i="48"/>
  <c r="AQ149" i="54" s="1"/>
  <c r="O149" i="48"/>
  <c r="AF51" i="48"/>
  <c r="AQ51" i="54" s="1"/>
  <c r="O51" i="48"/>
  <c r="AF132" i="48"/>
  <c r="AQ132" i="54" s="1"/>
  <c r="O132" i="48"/>
  <c r="AF221" i="48"/>
  <c r="AQ221" i="54" s="1"/>
  <c r="O221" i="48"/>
  <c r="AF239" i="48"/>
  <c r="AQ239" i="54" s="1"/>
  <c r="O239" i="48"/>
  <c r="AF287" i="48"/>
  <c r="AQ287" i="54" s="1"/>
  <c r="O287" i="48"/>
  <c r="AF52" i="48"/>
  <c r="AQ52" i="54" s="1"/>
  <c r="O52" i="48"/>
  <c r="AF89" i="48"/>
  <c r="AQ89" i="54" s="1"/>
  <c r="O89" i="48"/>
  <c r="AF45" i="48"/>
  <c r="AQ45" i="54" s="1"/>
  <c r="O45" i="48"/>
  <c r="AF222" i="48"/>
  <c r="AQ222" i="54" s="1"/>
  <c r="O222" i="48"/>
  <c r="AF61" i="48"/>
  <c r="AQ61" i="54" s="1"/>
  <c r="O61" i="48"/>
  <c r="AF57" i="48"/>
  <c r="AQ57" i="54" s="1"/>
  <c r="O57" i="48"/>
  <c r="AF100" i="48"/>
  <c r="AQ100" i="54" s="1"/>
  <c r="O100" i="48"/>
  <c r="AF255" i="48"/>
  <c r="AQ255" i="54" s="1"/>
  <c r="O255" i="48"/>
  <c r="AF278" i="48"/>
  <c r="AQ278" i="54" s="1"/>
  <c r="O278" i="48"/>
  <c r="AF271" i="48"/>
  <c r="AQ271" i="54" s="1"/>
  <c r="O271" i="48"/>
  <c r="AF146" i="48"/>
  <c r="AQ146" i="54" s="1"/>
  <c r="O146" i="48"/>
  <c r="AF116" i="48"/>
  <c r="AQ116" i="54" s="1"/>
  <c r="O116" i="48"/>
  <c r="AF16" i="48"/>
  <c r="AQ16" i="54" s="1"/>
  <c r="O16" i="48"/>
  <c r="AE185" i="48"/>
  <c r="AP185" i="54" s="1"/>
  <c r="AE76" i="48"/>
  <c r="AP76" i="54" s="1"/>
  <c r="AE113" i="48"/>
  <c r="AP113" i="54" s="1"/>
  <c r="AE150" i="48"/>
  <c r="AP150" i="54" s="1"/>
  <c r="AE107" i="48"/>
  <c r="AP107" i="54" s="1"/>
  <c r="AE307" i="48"/>
  <c r="AP307" i="54" s="1"/>
  <c r="AE248" i="48"/>
  <c r="AP248" i="54" s="1"/>
  <c r="AE198" i="48"/>
  <c r="AP198" i="54" s="1"/>
  <c r="AE104" i="48"/>
  <c r="AP104" i="54" s="1"/>
  <c r="AE153" i="48"/>
  <c r="AP153" i="54" s="1"/>
  <c r="AE258" i="48"/>
  <c r="AP258" i="54" s="1"/>
  <c r="AE127" i="48"/>
  <c r="AP127" i="54" s="1"/>
  <c r="AE300" i="48"/>
  <c r="AP300" i="54" s="1"/>
  <c r="AE269" i="48"/>
  <c r="AP269" i="54" s="1"/>
  <c r="AE176" i="48"/>
  <c r="AP176" i="54" s="1"/>
  <c r="AE196" i="48"/>
  <c r="AP196" i="54" s="1"/>
  <c r="AE94" i="48"/>
  <c r="AP94" i="54" s="1"/>
  <c r="AE219" i="48"/>
  <c r="AP219" i="54" s="1"/>
  <c r="AE125" i="48"/>
  <c r="AP125" i="54" s="1"/>
  <c r="AE275" i="48"/>
  <c r="AP275" i="54" s="1"/>
  <c r="AE145" i="48"/>
  <c r="AP145" i="54" s="1"/>
  <c r="AE304" i="48"/>
  <c r="AP304" i="54" s="1"/>
  <c r="AE110" i="48"/>
  <c r="AP110" i="54" s="1"/>
  <c r="AE274" i="48"/>
  <c r="AP274" i="54" s="1"/>
  <c r="AE277" i="48"/>
  <c r="AP277" i="54" s="1"/>
  <c r="AE265" i="48"/>
  <c r="AP265" i="54" s="1"/>
  <c r="AE50" i="48"/>
  <c r="AP50" i="54" s="1"/>
  <c r="AE195" i="48"/>
  <c r="AP195" i="54" s="1"/>
  <c r="AE217" i="48"/>
  <c r="AP217" i="54" s="1"/>
  <c r="AE160" i="48"/>
  <c r="AP160" i="54" s="1"/>
  <c r="AE25" i="48"/>
  <c r="AP25" i="54" s="1"/>
  <c r="AE96" i="48"/>
  <c r="AP96" i="54" s="1"/>
  <c r="AE68" i="48"/>
  <c r="AP68" i="54" s="1"/>
  <c r="AE106" i="48"/>
  <c r="AP106" i="54" s="1"/>
  <c r="AE286" i="48"/>
  <c r="AP286" i="54" s="1"/>
  <c r="AE272" i="48"/>
  <c r="AP272" i="54" s="1"/>
  <c r="AE262" i="48"/>
  <c r="AP262" i="54" s="1"/>
  <c r="AE67" i="48"/>
  <c r="AP67" i="54" s="1"/>
  <c r="AE232" i="48"/>
  <c r="AP232" i="54" s="1"/>
  <c r="AE260" i="48"/>
  <c r="AP260" i="54" s="1"/>
  <c r="AE199" i="48"/>
  <c r="AP199" i="54" s="1"/>
  <c r="AE303" i="48"/>
  <c r="AP303" i="54" s="1"/>
  <c r="AE55" i="48"/>
  <c r="AP55" i="54" s="1"/>
  <c r="AE194" i="48"/>
  <c r="AP194" i="54" s="1"/>
  <c r="AE202" i="48"/>
  <c r="AP202" i="54" s="1"/>
  <c r="AE252" i="48"/>
  <c r="AP252" i="54" s="1"/>
  <c r="AE31" i="48"/>
  <c r="AP31" i="54" s="1"/>
  <c r="AE228" i="48"/>
  <c r="AP228" i="54" s="1"/>
  <c r="AE190" i="48"/>
  <c r="AP190" i="54" s="1"/>
  <c r="AE242" i="48"/>
  <c r="AP242" i="54" s="1"/>
  <c r="AE268" i="48"/>
  <c r="AP268" i="54" s="1"/>
  <c r="AE240" i="48"/>
  <c r="AP240" i="54" s="1"/>
  <c r="AE121" i="48"/>
  <c r="AP121" i="54" s="1"/>
  <c r="AE126" i="48"/>
  <c r="AP126" i="54" s="1"/>
  <c r="AE174" i="48"/>
  <c r="AP174" i="54" s="1"/>
  <c r="AE122" i="48"/>
  <c r="AP122" i="54" s="1"/>
  <c r="AE30" i="48"/>
  <c r="AP30" i="54" s="1"/>
  <c r="AE77" i="48"/>
  <c r="AP77" i="54" s="1"/>
  <c r="AE257" i="48"/>
  <c r="AP257" i="54" s="1"/>
  <c r="AE162" i="48"/>
  <c r="AP162" i="54" s="1"/>
  <c r="AE170" i="48"/>
  <c r="AP170" i="54" s="1"/>
  <c r="AE138" i="48"/>
  <c r="AP138" i="54" s="1"/>
  <c r="AE273" i="48"/>
  <c r="AP273" i="54" s="1"/>
  <c r="AE182" i="48"/>
  <c r="AP182" i="54" s="1"/>
  <c r="AE22" i="48"/>
  <c r="AP22" i="54" s="1"/>
  <c r="AE41" i="48"/>
  <c r="AP41" i="54" s="1"/>
  <c r="AE244" i="48"/>
  <c r="AP244" i="54" s="1"/>
  <c r="AE292" i="48"/>
  <c r="AP292" i="54" s="1"/>
  <c r="AE103" i="48"/>
  <c r="AP103" i="54" s="1"/>
  <c r="AE102" i="48"/>
  <c r="AP102" i="54" s="1"/>
  <c r="AE254" i="48"/>
  <c r="AP254" i="54" s="1"/>
  <c r="AE166" i="48"/>
  <c r="AP166" i="54" s="1"/>
  <c r="AE231" i="48"/>
  <c r="AP231" i="54" s="1"/>
  <c r="AE213" i="48"/>
  <c r="AP213" i="54" s="1"/>
  <c r="AE19" i="48"/>
  <c r="AP19" i="54" s="1"/>
  <c r="O19" i="48"/>
  <c r="AE34" i="48"/>
  <c r="AP34" i="54" s="1"/>
  <c r="AE177" i="48"/>
  <c r="AP177" i="54" s="1"/>
  <c r="AE164" i="48"/>
  <c r="AP164" i="54" s="1"/>
  <c r="AE33" i="48"/>
  <c r="AP33" i="54" s="1"/>
  <c r="AE69" i="48"/>
  <c r="AP69" i="54" s="1"/>
  <c r="AE247" i="48"/>
  <c r="AP247" i="54" s="1"/>
  <c r="AE44" i="48"/>
  <c r="AP44" i="54" s="1"/>
  <c r="AE91" i="48"/>
  <c r="AP91" i="54" s="1"/>
  <c r="AE270" i="48"/>
  <c r="AP270" i="54" s="1"/>
  <c r="AE279" i="48"/>
  <c r="AP279" i="54" s="1"/>
  <c r="AE92" i="48"/>
  <c r="AP92" i="54" s="1"/>
  <c r="AE46" i="48"/>
  <c r="AP46" i="54" s="1"/>
  <c r="AE65" i="48"/>
  <c r="AP65" i="54" s="1"/>
  <c r="AE282" i="48"/>
  <c r="AP282" i="54" s="1"/>
  <c r="AE211" i="48"/>
  <c r="AP211" i="54" s="1"/>
  <c r="AE90" i="48"/>
  <c r="AP90" i="54" s="1"/>
  <c r="AE47" i="48"/>
  <c r="AP47" i="54" s="1"/>
  <c r="AE42" i="48"/>
  <c r="AP42" i="54" s="1"/>
  <c r="AE296" i="48"/>
  <c r="AP296" i="54" s="1"/>
  <c r="AE298" i="48"/>
  <c r="AP298" i="54" s="1"/>
  <c r="AE161" i="48"/>
  <c r="AP161" i="54" s="1"/>
  <c r="AE140" i="48"/>
  <c r="AP140" i="54" s="1"/>
  <c r="AE27" i="48"/>
  <c r="AP27" i="54" s="1"/>
  <c r="AE24" i="48"/>
  <c r="AP24" i="54" s="1"/>
  <c r="AE54" i="48"/>
  <c r="AP54" i="54" s="1"/>
  <c r="AE20" i="48"/>
  <c r="AP20" i="54" s="1"/>
  <c r="AE208" i="48"/>
  <c r="AP208" i="54" s="1"/>
  <c r="AE168" i="48"/>
  <c r="AP168" i="54" s="1"/>
  <c r="AE302" i="48"/>
  <c r="AP302" i="54" s="1"/>
  <c r="AE283" i="48"/>
  <c r="AP283" i="54" s="1"/>
  <c r="AE158" i="48"/>
  <c r="AP158" i="54" s="1"/>
  <c r="AE154" i="48"/>
  <c r="AP154" i="54" s="1"/>
  <c r="AE261" i="48"/>
  <c r="AP261" i="54" s="1"/>
  <c r="AE38" i="48"/>
  <c r="AP38" i="54" s="1"/>
  <c r="AE284" i="48"/>
  <c r="AP284" i="54" s="1"/>
  <c r="AE93" i="48"/>
  <c r="AP93" i="54" s="1"/>
  <c r="AE87" i="48"/>
  <c r="AP87" i="54" s="1"/>
  <c r="AE66" i="48"/>
  <c r="AP66" i="54" s="1"/>
  <c r="AE285" i="48"/>
  <c r="AP285" i="54" s="1"/>
  <c r="AE246" i="48"/>
  <c r="AP246" i="54" s="1"/>
  <c r="AE39" i="48"/>
  <c r="AP39" i="54" s="1"/>
  <c r="AE123" i="48"/>
  <c r="AP123" i="54" s="1"/>
  <c r="AE171" i="48"/>
  <c r="AP171" i="54" s="1"/>
  <c r="AE200" i="48"/>
  <c r="AP200" i="54" s="1"/>
  <c r="AE209" i="48"/>
  <c r="AP209" i="54" s="1"/>
  <c r="AE40" i="48"/>
  <c r="AP40" i="54" s="1"/>
  <c r="AE108" i="48"/>
  <c r="AP108" i="54" s="1"/>
  <c r="AE193" i="48"/>
  <c r="AP193" i="54" s="1"/>
  <c r="AE43" i="48"/>
  <c r="AP43" i="54" s="1"/>
  <c r="AE56" i="48"/>
  <c r="AP56" i="54" s="1"/>
  <c r="AE224" i="48"/>
  <c r="AP224" i="54" s="1"/>
  <c r="AE297" i="48"/>
  <c r="AP297" i="54" s="1"/>
  <c r="AE79" i="48"/>
  <c r="AP79" i="54" s="1"/>
  <c r="AE26" i="48"/>
  <c r="AP26" i="54" s="1"/>
  <c r="AE86" i="48"/>
  <c r="AP86" i="54" s="1"/>
  <c r="AE180" i="48"/>
  <c r="AP180" i="54" s="1"/>
  <c r="AE201" i="48"/>
  <c r="AP201" i="54" s="1"/>
  <c r="AE49" i="48"/>
  <c r="AP49" i="54" s="1"/>
  <c r="AE82" i="48"/>
  <c r="AP82" i="54" s="1"/>
  <c r="AE21" i="48"/>
  <c r="AP21" i="54" s="1"/>
  <c r="AE75" i="48"/>
  <c r="AP75" i="54" s="1"/>
  <c r="AE72" i="48"/>
  <c r="AP72" i="54" s="1"/>
  <c r="AE187" i="48"/>
  <c r="AP187" i="54" s="1"/>
  <c r="AE251" i="48"/>
  <c r="AP251" i="54" s="1"/>
  <c r="AE235" i="48"/>
  <c r="AP235" i="54" s="1"/>
  <c r="AE84" i="48"/>
  <c r="AP84" i="54" s="1"/>
  <c r="AE256" i="48"/>
  <c r="AP256" i="54" s="1"/>
  <c r="AE62" i="48"/>
  <c r="AP62" i="54" s="1"/>
  <c r="AE264" i="48"/>
  <c r="AP264" i="54" s="1"/>
  <c r="AE173" i="48"/>
  <c r="AP173" i="54" s="1"/>
  <c r="AE130" i="48"/>
  <c r="AP130" i="54" s="1"/>
  <c r="AE169" i="48"/>
  <c r="AP169" i="54" s="1"/>
  <c r="AE120" i="48"/>
  <c r="AP120" i="54" s="1"/>
  <c r="AE80" i="48"/>
  <c r="AP80" i="54" s="1"/>
  <c r="AE204" i="48"/>
  <c r="AP204" i="54" s="1"/>
  <c r="AE227" i="48"/>
  <c r="AP227" i="54" s="1"/>
  <c r="AE181" i="48"/>
  <c r="AP181" i="54" s="1"/>
  <c r="AE109" i="48"/>
  <c r="AP109" i="54" s="1"/>
  <c r="AE37" i="48"/>
  <c r="AP37" i="54" s="1"/>
  <c r="AE147" i="48"/>
  <c r="AP147" i="54" s="1"/>
  <c r="AE111" i="48"/>
  <c r="AP111" i="54" s="1"/>
  <c r="AE250" i="48"/>
  <c r="AP250" i="54" s="1"/>
  <c r="AE35" i="48"/>
  <c r="AP35" i="54" s="1"/>
  <c r="AE218" i="48"/>
  <c r="AP218" i="54" s="1"/>
  <c r="AE98" i="48"/>
  <c r="AP98" i="54" s="1"/>
  <c r="AE99" i="48"/>
  <c r="AP99" i="54" s="1"/>
  <c r="AE249" i="48"/>
  <c r="AP249" i="54" s="1"/>
  <c r="AE152" i="48"/>
  <c r="AP152" i="54" s="1"/>
  <c r="AE74" i="48"/>
  <c r="AP74" i="54" s="1"/>
  <c r="AE128" i="48"/>
  <c r="AP128" i="54" s="1"/>
  <c r="AE299" i="48"/>
  <c r="AP299" i="54" s="1"/>
  <c r="AE184" i="48"/>
  <c r="AP184" i="54" s="1"/>
  <c r="AE259" i="48"/>
  <c r="AP259" i="54" s="1"/>
  <c r="AE112" i="48"/>
  <c r="AP112" i="54" s="1"/>
  <c r="AE245" i="48"/>
  <c r="AP245" i="54" s="1"/>
  <c r="AE136" i="48"/>
  <c r="AP136" i="54" s="1"/>
  <c r="AE203" i="48"/>
  <c r="AP203" i="54" s="1"/>
  <c r="AE135" i="48"/>
  <c r="AP135" i="54" s="1"/>
  <c r="AE83" i="48"/>
  <c r="AP83" i="54" s="1"/>
  <c r="AE301" i="48"/>
  <c r="AP301" i="54" s="1"/>
  <c r="AE156" i="48"/>
  <c r="AP156" i="54" s="1"/>
  <c r="AE192" i="48"/>
  <c r="AP192" i="54" s="1"/>
  <c r="AE115" i="48"/>
  <c r="AP115" i="54" s="1"/>
  <c r="AE288" i="48"/>
  <c r="AP288" i="54" s="1"/>
  <c r="AE151" i="48"/>
  <c r="AP151" i="54" s="1"/>
  <c r="AE118" i="48"/>
  <c r="AP118" i="54" s="1"/>
  <c r="AE17" i="48"/>
  <c r="AP17" i="54" s="1"/>
  <c r="AE206" i="48"/>
  <c r="AP206" i="54" s="1"/>
  <c r="AE212" i="48"/>
  <c r="AP212" i="54" s="1"/>
  <c r="AE64" i="48"/>
  <c r="AP64" i="54" s="1"/>
  <c r="AE230" i="48"/>
  <c r="AP230" i="54" s="1"/>
  <c r="AE295" i="48"/>
  <c r="AP295" i="54" s="1"/>
  <c r="AE165" i="48"/>
  <c r="AP165" i="54" s="1"/>
  <c r="AE53" i="48"/>
  <c r="AP53" i="54" s="1"/>
  <c r="AE131" i="48"/>
  <c r="AP131" i="54" s="1"/>
  <c r="AE234" i="48"/>
  <c r="AP234" i="54" s="1"/>
  <c r="AE70" i="48"/>
  <c r="AP70" i="54" s="1"/>
  <c r="AE210" i="48"/>
  <c r="AP210" i="54" s="1"/>
  <c r="AE85" i="48"/>
  <c r="AP85" i="54" s="1"/>
  <c r="AE167" i="48"/>
  <c r="AP167" i="54" s="1"/>
  <c r="AE119" i="48"/>
  <c r="AP119" i="54" s="1"/>
  <c r="AE207" i="48"/>
  <c r="AP207" i="54" s="1"/>
  <c r="AE223" i="48"/>
  <c r="AP223" i="54" s="1"/>
  <c r="AE163" i="48"/>
  <c r="AP163" i="54" s="1"/>
  <c r="AE226" i="48"/>
  <c r="AP226" i="54" s="1"/>
  <c r="AE276" i="48"/>
  <c r="AP276" i="54" s="1"/>
  <c r="AE281" i="48"/>
  <c r="AP281" i="54" s="1"/>
  <c r="AE216" i="48"/>
  <c r="AP216" i="54" s="1"/>
  <c r="AE266" i="48"/>
  <c r="AP266" i="54" s="1"/>
  <c r="AE23" i="48"/>
  <c r="AP23" i="54" s="1"/>
  <c r="AE175" i="48"/>
  <c r="AP175" i="54" s="1"/>
  <c r="AE155" i="48"/>
  <c r="AP155" i="54" s="1"/>
  <c r="AE280" i="48"/>
  <c r="AP280" i="54" s="1"/>
  <c r="AE88" i="48"/>
  <c r="AP88" i="54" s="1"/>
  <c r="AE137" i="48"/>
  <c r="AP137" i="54" s="1"/>
  <c r="AE293" i="48"/>
  <c r="AP293" i="54" s="1"/>
  <c r="AE63" i="48"/>
  <c r="AP63" i="54" s="1"/>
  <c r="AE148" i="48"/>
  <c r="AP148" i="54" s="1"/>
  <c r="AE229" i="48"/>
  <c r="AP229" i="54" s="1"/>
  <c r="AE233" i="48"/>
  <c r="AP233" i="54" s="1"/>
  <c r="AE78" i="48"/>
  <c r="AP78" i="54" s="1"/>
  <c r="AE15" i="48"/>
  <c r="AP15" i="54" s="1"/>
  <c r="AE144" i="48"/>
  <c r="AP144" i="54" s="1"/>
  <c r="AE241" i="48"/>
  <c r="AP241" i="54" s="1"/>
  <c r="AE29" i="48"/>
  <c r="AP29" i="54" s="1"/>
  <c r="AE114" i="48"/>
  <c r="AP114" i="54" s="1"/>
  <c r="AE73" i="48"/>
  <c r="AP73" i="54" s="1"/>
  <c r="AE253" i="48"/>
  <c r="AP253" i="54" s="1"/>
  <c r="AE188" i="48"/>
  <c r="AP188" i="54" s="1"/>
  <c r="AE95" i="48"/>
  <c r="AP95" i="54" s="1"/>
  <c r="AE306" i="48"/>
  <c r="AP306" i="54" s="1"/>
  <c r="AE263" i="48"/>
  <c r="AP263" i="54" s="1"/>
  <c r="AE178" i="48"/>
  <c r="AP178" i="54" s="1"/>
  <c r="AE124" i="48"/>
  <c r="AP124" i="54" s="1"/>
  <c r="AE81" i="48"/>
  <c r="AP81" i="54" s="1"/>
  <c r="AE294" i="48"/>
  <c r="AP294" i="54" s="1"/>
  <c r="AE97" i="48"/>
  <c r="AP97" i="54" s="1"/>
  <c r="AE191" i="48"/>
  <c r="AP191" i="54" s="1"/>
  <c r="AE28" i="48"/>
  <c r="AP28" i="54" s="1"/>
  <c r="AE214" i="48"/>
  <c r="AP214" i="54" s="1"/>
  <c r="AE215" i="48"/>
  <c r="AP215" i="54" s="1"/>
  <c r="AE179" i="48"/>
  <c r="AP179" i="54" s="1"/>
  <c r="AE18" i="48"/>
  <c r="AP18" i="54" s="1"/>
  <c r="AE172" i="48"/>
  <c r="AP172" i="54" s="1"/>
  <c r="AE36" i="48"/>
  <c r="AP36" i="54" s="1"/>
  <c r="AE290" i="48"/>
  <c r="AP290" i="54" s="1"/>
  <c r="AE291" i="48"/>
  <c r="AP291" i="54" s="1"/>
  <c r="AE220" i="48"/>
  <c r="AP220" i="54" s="1"/>
  <c r="AE243" i="48"/>
  <c r="AP243" i="54" s="1"/>
  <c r="AE143" i="48"/>
  <c r="AP143" i="54" s="1"/>
  <c r="AE129" i="48"/>
  <c r="AP129" i="54" s="1"/>
  <c r="AE142" i="48"/>
  <c r="AP142" i="54" s="1"/>
  <c r="AE141" i="48"/>
  <c r="AP141" i="54" s="1"/>
  <c r="AE267" i="48"/>
  <c r="AP267" i="54" s="1"/>
  <c r="AE134" i="48"/>
  <c r="AP134" i="54" s="1"/>
  <c r="AE32" i="48"/>
  <c r="AP32" i="54" s="1"/>
  <c r="AE289" i="48"/>
  <c r="AP289" i="54" s="1"/>
  <c r="AE186" i="48"/>
  <c r="AP186" i="54" s="1"/>
  <c r="AE71" i="48"/>
  <c r="AP71" i="54" s="1"/>
  <c r="AE236" i="48"/>
  <c r="AP236" i="54" s="1"/>
  <c r="AE305" i="48"/>
  <c r="AP305" i="54" s="1"/>
  <c r="AE159" i="48"/>
  <c r="AP159" i="54" s="1"/>
  <c r="AE139" i="48"/>
  <c r="AP139" i="54" s="1"/>
  <c r="AE238" i="48"/>
  <c r="AP238" i="54" s="1"/>
  <c r="AE237" i="48"/>
  <c r="AP237" i="54" s="1"/>
  <c r="AE105" i="48"/>
  <c r="AP105" i="54" s="1"/>
  <c r="AE197" i="48"/>
  <c r="AP197" i="54" s="1"/>
  <c r="AX60" i="66"/>
  <c r="AD60" i="66"/>
  <c r="H54" i="66"/>
  <c r="I328" i="47"/>
  <c r="AC223" i="47"/>
  <c r="AT223" i="47" s="1"/>
  <c r="AC212" i="47"/>
  <c r="AT212" i="47" s="1"/>
  <c r="AC215" i="47"/>
  <c r="AT215" i="47" s="1"/>
  <c r="AC303" i="47"/>
  <c r="AT303" i="47" s="1"/>
  <c r="AC59" i="47"/>
  <c r="AT59" i="47" s="1"/>
  <c r="AC164" i="47"/>
  <c r="AT164" i="47" s="1"/>
  <c r="AC216" i="47"/>
  <c r="AT216" i="47" s="1"/>
  <c r="AC117" i="47"/>
  <c r="AT117" i="47" s="1"/>
  <c r="AC264" i="47"/>
  <c r="AT264" i="47" s="1"/>
  <c r="AC203" i="47"/>
  <c r="AT203" i="47" s="1"/>
  <c r="AC94" i="47"/>
  <c r="AT94" i="47" s="1"/>
  <c r="AC39" i="47"/>
  <c r="AT39" i="47" s="1"/>
  <c r="AC150" i="47"/>
  <c r="AT150" i="47" s="1"/>
  <c r="AC69" i="47"/>
  <c r="AT69" i="47" s="1"/>
  <c r="AC298" i="47"/>
  <c r="AT298" i="47" s="1"/>
  <c r="AC119" i="47"/>
  <c r="AT119" i="47" s="1"/>
  <c r="AC29" i="47"/>
  <c r="AT29" i="47" s="1"/>
  <c r="F84" i="66"/>
  <c r="AC22" i="47"/>
  <c r="AT22" i="47" s="1"/>
  <c r="AC250" i="47"/>
  <c r="AT250" i="47" s="1"/>
  <c r="AC34" i="47"/>
  <c r="AT34" i="47" s="1"/>
  <c r="AC141" i="47"/>
  <c r="AT141" i="47" s="1"/>
  <c r="AC30" i="47"/>
  <c r="AT30" i="47" s="1"/>
  <c r="AC42" i="47"/>
  <c r="AT42" i="47" s="1"/>
  <c r="F81" i="66"/>
  <c r="AW81" i="66" s="1"/>
  <c r="AC17" i="47"/>
  <c r="AT17" i="47" s="1"/>
  <c r="AC301" i="47"/>
  <c r="AT301" i="47" s="1"/>
  <c r="AC93" i="47"/>
  <c r="AT93" i="47" s="1"/>
  <c r="AC124" i="47"/>
  <c r="AT124" i="47" s="1"/>
  <c r="AC259" i="47"/>
  <c r="AT259" i="47" s="1"/>
  <c r="AC104" i="47"/>
  <c r="AT104" i="47" s="1"/>
  <c r="AC98" i="47"/>
  <c r="AT98" i="47" s="1"/>
  <c r="AC135" i="47"/>
  <c r="AT135" i="47" s="1"/>
  <c r="AC152" i="47"/>
  <c r="AT152" i="47" s="1"/>
  <c r="AC302" i="47"/>
  <c r="AT302" i="47" s="1"/>
  <c r="AC239" i="47"/>
  <c r="AT239" i="47" s="1"/>
  <c r="AC118" i="47"/>
  <c r="AT118" i="47" s="1"/>
  <c r="AC233" i="47"/>
  <c r="AT233" i="47" s="1"/>
  <c r="AC114" i="47"/>
  <c r="AT114" i="47" s="1"/>
  <c r="AC291" i="47"/>
  <c r="AT291" i="47" s="1"/>
  <c r="AC295" i="47"/>
  <c r="AT295" i="47" s="1"/>
  <c r="AC83" i="47"/>
  <c r="AT83" i="47" s="1"/>
  <c r="AC225" i="47"/>
  <c r="AT225" i="47" s="1"/>
  <c r="AC149" i="47"/>
  <c r="AT149" i="47" s="1"/>
  <c r="AC37" i="47"/>
  <c r="AT37" i="47" s="1"/>
  <c r="F83" i="66"/>
  <c r="AC16" i="47"/>
  <c r="AT16" i="47" s="1"/>
  <c r="AC101" i="47"/>
  <c r="AT101" i="47" s="1"/>
  <c r="AC251" i="47"/>
  <c r="AT251" i="47" s="1"/>
  <c r="AC165" i="47"/>
  <c r="AT165" i="47" s="1"/>
  <c r="AC305" i="47"/>
  <c r="AT305" i="47" s="1"/>
  <c r="AC292" i="47"/>
  <c r="AT292" i="47" s="1"/>
  <c r="AC99" i="47"/>
  <c r="AT99" i="47" s="1"/>
  <c r="AC283" i="47"/>
  <c r="AT283" i="47" s="1"/>
  <c r="AC80" i="47"/>
  <c r="AT80" i="47" s="1"/>
  <c r="AC244" i="47"/>
  <c r="AT244" i="47" s="1"/>
  <c r="AC31" i="47"/>
  <c r="AT31" i="47" s="1"/>
  <c r="AC70" i="47"/>
  <c r="AT70" i="47" s="1"/>
  <c r="AC193" i="47"/>
  <c r="AT193" i="47" s="1"/>
  <c r="AC25" i="47"/>
  <c r="AT25" i="47" s="1"/>
  <c r="AC188" i="47"/>
  <c r="AT188" i="47" s="1"/>
  <c r="F82" i="66"/>
  <c r="AC15" i="47"/>
  <c r="J13" i="47"/>
  <c r="AC221" i="47"/>
  <c r="AT221" i="47" s="1"/>
  <c r="AC102" i="47"/>
  <c r="AT102" i="47" s="1"/>
  <c r="AC185" i="47"/>
  <c r="AT185" i="47" s="1"/>
  <c r="AC20" i="47"/>
  <c r="AT20" i="47" s="1"/>
  <c r="AC162" i="47"/>
  <c r="AT162" i="47" s="1"/>
  <c r="AC71" i="47"/>
  <c r="AT71" i="47" s="1"/>
  <c r="AC153" i="47"/>
  <c r="AT153" i="47" s="1"/>
  <c r="AC121" i="47"/>
  <c r="AT121" i="47" s="1"/>
  <c r="AC267" i="47"/>
  <c r="AT267" i="47" s="1"/>
  <c r="AC140" i="47"/>
  <c r="AT140" i="47" s="1"/>
  <c r="AC261" i="47"/>
  <c r="AT261" i="47" s="1"/>
  <c r="P82" i="66"/>
  <c r="AL82" i="66" s="1"/>
  <c r="AV82" i="66"/>
  <c r="AB82" i="66"/>
  <c r="AC48" i="47"/>
  <c r="AT48" i="47" s="1"/>
  <c r="AC230" i="47"/>
  <c r="AT230" i="47" s="1"/>
  <c r="AC44" i="47"/>
  <c r="AT44" i="47" s="1"/>
  <c r="AC286" i="47"/>
  <c r="AT286" i="47" s="1"/>
  <c r="AC249" i="47"/>
  <c r="AT249" i="47" s="1"/>
  <c r="AC50" i="47"/>
  <c r="AT50" i="47" s="1"/>
  <c r="AC89" i="47"/>
  <c r="AT89" i="47" s="1"/>
  <c r="AC116" i="47"/>
  <c r="AT116" i="47" s="1"/>
  <c r="AC32" i="47"/>
  <c r="AT32" i="47" s="1"/>
  <c r="AC296" i="47"/>
  <c r="AT296" i="47" s="1"/>
  <c r="AB80" i="66"/>
  <c r="AV80" i="66"/>
  <c r="P80" i="66"/>
  <c r="AL80" i="66" s="1"/>
  <c r="AC52" i="47"/>
  <c r="AT52" i="47" s="1"/>
  <c r="AC35" i="47"/>
  <c r="AT35" i="47" s="1"/>
  <c r="AC276" i="47"/>
  <c r="AT276" i="47" s="1"/>
  <c r="AC78" i="47"/>
  <c r="AT78" i="47" s="1"/>
  <c r="AC123" i="47"/>
  <c r="AT123" i="47" s="1"/>
  <c r="AC88" i="47"/>
  <c r="AT88" i="47" s="1"/>
  <c r="AC38" i="47"/>
  <c r="AT38" i="47" s="1"/>
  <c r="AC266" i="47"/>
  <c r="AT266" i="47" s="1"/>
  <c r="AC228" i="47"/>
  <c r="AT228" i="47" s="1"/>
  <c r="AC168" i="47"/>
  <c r="AT168" i="47" s="1"/>
  <c r="AC180" i="47"/>
  <c r="AT180" i="47" s="1"/>
  <c r="AC294" i="47"/>
  <c r="AT294" i="47" s="1"/>
  <c r="AC241" i="47"/>
  <c r="AT241" i="47" s="1"/>
  <c r="AC245" i="47"/>
  <c r="AT245" i="47" s="1"/>
  <c r="AC217" i="47"/>
  <c r="AT217" i="47" s="1"/>
  <c r="AC199" i="47"/>
  <c r="AT199" i="47" s="1"/>
  <c r="AC158" i="47"/>
  <c r="AT158" i="47" s="1"/>
  <c r="F79" i="66"/>
  <c r="AC47" i="47"/>
  <c r="AT47" i="47" s="1"/>
  <c r="AC197" i="47"/>
  <c r="AT197" i="47" s="1"/>
  <c r="AC85" i="47"/>
  <c r="AT85" i="47" s="1"/>
  <c r="AC184" i="47"/>
  <c r="AT184" i="47" s="1"/>
  <c r="AC211" i="47"/>
  <c r="AT211" i="47" s="1"/>
  <c r="AC36" i="47"/>
  <c r="AT36" i="47" s="1"/>
  <c r="AC178" i="47"/>
  <c r="AT178" i="47" s="1"/>
  <c r="AC167" i="47"/>
  <c r="AT167" i="47" s="1"/>
  <c r="AC63" i="47"/>
  <c r="AT63" i="47" s="1"/>
  <c r="AC190" i="47"/>
  <c r="AT190" i="47" s="1"/>
  <c r="AC92" i="47"/>
  <c r="AT92" i="47" s="1"/>
  <c r="AC213" i="47"/>
  <c r="AT213" i="47" s="1"/>
  <c r="AC201" i="47"/>
  <c r="AT201" i="47" s="1"/>
  <c r="AC79" i="47"/>
  <c r="AT79" i="47" s="1"/>
  <c r="AC207" i="47"/>
  <c r="AT207" i="47" s="1"/>
  <c r="AC108" i="47"/>
  <c r="AT108" i="47" s="1"/>
  <c r="AC229" i="47"/>
  <c r="AT229" i="47" s="1"/>
  <c r="AC64" i="47"/>
  <c r="AT64" i="47" s="1"/>
  <c r="AC130" i="47"/>
  <c r="AT130" i="47" s="1"/>
  <c r="AC171" i="47"/>
  <c r="AT171" i="47" s="1"/>
  <c r="AC74" i="47"/>
  <c r="AT74" i="47" s="1"/>
  <c r="AC182" i="47"/>
  <c r="AT182" i="47" s="1"/>
  <c r="AC82" i="47"/>
  <c r="AT82" i="47" s="1"/>
  <c r="AC278" i="47"/>
  <c r="AT278" i="47" s="1"/>
  <c r="AC214" i="47"/>
  <c r="AT214" i="47" s="1"/>
  <c r="AC287" i="47"/>
  <c r="AT287" i="47" s="1"/>
  <c r="AC87" i="47"/>
  <c r="AT87" i="47" s="1"/>
  <c r="AC252" i="47"/>
  <c r="AT252" i="47" s="1"/>
  <c r="AC256" i="47"/>
  <c r="AT256" i="47" s="1"/>
  <c r="AC142" i="47"/>
  <c r="AT142" i="47" s="1"/>
  <c r="AC113" i="47"/>
  <c r="AT113" i="47" s="1"/>
  <c r="AC279" i="47"/>
  <c r="AT279" i="47" s="1"/>
  <c r="AC91" i="47"/>
  <c r="AT91" i="47" s="1"/>
  <c r="AC226" i="47"/>
  <c r="AT226" i="47" s="1"/>
  <c r="AC224" i="47"/>
  <c r="AT224" i="47" s="1"/>
  <c r="AC231" i="47"/>
  <c r="AT231" i="47" s="1"/>
  <c r="AC219" i="47"/>
  <c r="AT219" i="47" s="1"/>
  <c r="AC41" i="47"/>
  <c r="AT41" i="47" s="1"/>
  <c r="AC204" i="47"/>
  <c r="AT204" i="47" s="1"/>
  <c r="AC23" i="47"/>
  <c r="AT23" i="47" s="1"/>
  <c r="AC209" i="47"/>
  <c r="AT209" i="47" s="1"/>
  <c r="AC27" i="47"/>
  <c r="AT27" i="47" s="1"/>
  <c r="AC109" i="47"/>
  <c r="AT109" i="47" s="1"/>
  <c r="AC242" i="47"/>
  <c r="AT242" i="47" s="1"/>
  <c r="AC134" i="47"/>
  <c r="AT134" i="47" s="1"/>
  <c r="AC139" i="47"/>
  <c r="AT139" i="47" s="1"/>
  <c r="AC280" i="47"/>
  <c r="AT280" i="47" s="1"/>
  <c r="AC156" i="47"/>
  <c r="AT156" i="47" s="1"/>
  <c r="AC277" i="47"/>
  <c r="AT277" i="47" s="1"/>
  <c r="AC73" i="47"/>
  <c r="AT73" i="47" s="1"/>
  <c r="AC159" i="47"/>
  <c r="AT159" i="47" s="1"/>
  <c r="AC66" i="47"/>
  <c r="AT66" i="47" s="1"/>
  <c r="AC172" i="47"/>
  <c r="AT172" i="47" s="1"/>
  <c r="AC293" i="47"/>
  <c r="AT293" i="47" s="1"/>
  <c r="AC51" i="47"/>
  <c r="AT51" i="47" s="1"/>
  <c r="AC258" i="47"/>
  <c r="AT258" i="47" s="1"/>
  <c r="AC54" i="47"/>
  <c r="AT54" i="47" s="1"/>
  <c r="AC151" i="47"/>
  <c r="AT151" i="47" s="1"/>
  <c r="AC272" i="47"/>
  <c r="AT272" i="47" s="1"/>
  <c r="AC146" i="47"/>
  <c r="AT146" i="47" s="1"/>
  <c r="AC97" i="47"/>
  <c r="AT97" i="47" s="1"/>
  <c r="AC183" i="47"/>
  <c r="AT183" i="47" s="1"/>
  <c r="AC86" i="47"/>
  <c r="AT86" i="47" s="1"/>
  <c r="AC195" i="47"/>
  <c r="AT195" i="47" s="1"/>
  <c r="AC90" i="47"/>
  <c r="AT90" i="47" s="1"/>
  <c r="AC307" i="47"/>
  <c r="AT307" i="47" s="1"/>
  <c r="AC235" i="47"/>
  <c r="AT235" i="47" s="1"/>
  <c r="AC131" i="47"/>
  <c r="AT131" i="47" s="1"/>
  <c r="AC61" i="47"/>
  <c r="AT61" i="47" s="1"/>
  <c r="AC187" i="47"/>
  <c r="AT187" i="47" s="1"/>
  <c r="AC290" i="47"/>
  <c r="AT290" i="47" s="1"/>
  <c r="AC144" i="47"/>
  <c r="AT144" i="47" s="1"/>
  <c r="AC46" i="47"/>
  <c r="AT46" i="47" s="1"/>
  <c r="AC19" i="47"/>
  <c r="AT19" i="47" s="1"/>
  <c r="AC112" i="47"/>
  <c r="AT112" i="47" s="1"/>
  <c r="AC268" i="47"/>
  <c r="AT268" i="47" s="1"/>
  <c r="AB79" i="66"/>
  <c r="AV79" i="66"/>
  <c r="P79" i="66"/>
  <c r="AL79" i="66" s="1"/>
  <c r="AC281" i="47"/>
  <c r="AT281" i="47" s="1"/>
  <c r="AC243" i="47"/>
  <c r="AT243" i="47" s="1"/>
  <c r="AC77" i="47"/>
  <c r="AT77" i="47" s="1"/>
  <c r="AC200" i="47"/>
  <c r="AT200" i="47" s="1"/>
  <c r="AC306" i="47"/>
  <c r="AT306" i="47" s="1"/>
  <c r="AC222" i="47"/>
  <c r="AT222" i="47" s="1"/>
  <c r="AC232" i="47"/>
  <c r="AT232" i="47" s="1"/>
  <c r="AC56" i="47"/>
  <c r="AT56" i="47" s="1"/>
  <c r="AC220" i="47"/>
  <c r="AT220" i="47" s="1"/>
  <c r="AC57" i="47"/>
  <c r="AT57" i="47" s="1"/>
  <c r="AC270" i="47"/>
  <c r="AT270" i="47" s="1"/>
  <c r="AC72" i="47"/>
  <c r="AT72" i="47" s="1"/>
  <c r="AC236" i="47"/>
  <c r="AT236" i="47" s="1"/>
  <c r="AC192" i="47"/>
  <c r="AT192" i="47" s="1"/>
  <c r="AC137" i="47"/>
  <c r="AT137" i="47" s="1"/>
  <c r="AC21" i="47"/>
  <c r="AT21" i="47" s="1"/>
  <c r="AC299" i="47"/>
  <c r="AT299" i="47" s="1"/>
  <c r="AC262" i="47"/>
  <c r="AT262" i="47" s="1"/>
  <c r="AC67" i="47"/>
  <c r="AT67" i="47" s="1"/>
  <c r="AC210" i="47"/>
  <c r="AT210" i="47" s="1"/>
  <c r="AC157" i="47"/>
  <c r="AT157" i="47" s="1"/>
  <c r="AC60" i="47"/>
  <c r="AT60" i="47" s="1"/>
  <c r="AC160" i="47"/>
  <c r="AT160" i="47" s="1"/>
  <c r="AC297" i="47"/>
  <c r="AT297" i="47" s="1"/>
  <c r="AC154" i="47"/>
  <c r="AT154" i="47" s="1"/>
  <c r="AC240" i="47"/>
  <c r="AT240" i="47" s="1"/>
  <c r="AC127" i="47"/>
  <c r="AT127" i="47" s="1"/>
  <c r="AC40" i="47"/>
  <c r="AT40" i="47" s="1"/>
  <c r="AC133" i="47"/>
  <c r="AT133" i="47" s="1"/>
  <c r="AC289" i="47"/>
  <c r="AT289" i="47" s="1"/>
  <c r="AC189" i="47"/>
  <c r="AT189" i="47" s="1"/>
  <c r="AC285" i="47"/>
  <c r="AT285" i="47" s="1"/>
  <c r="AC227" i="47"/>
  <c r="AT227" i="47" s="1"/>
  <c r="AC111" i="47"/>
  <c r="AT111" i="47" s="1"/>
  <c r="AC208" i="47"/>
  <c r="AT208" i="47" s="1"/>
  <c r="AC106" i="47"/>
  <c r="AT106" i="47" s="1"/>
  <c r="AU85" i="66"/>
  <c r="AA85" i="66"/>
  <c r="AC166" i="47"/>
  <c r="AT166" i="47" s="1"/>
  <c r="AC163" i="47"/>
  <c r="AT163" i="47" s="1"/>
  <c r="AC186" i="47"/>
  <c r="AT186" i="47" s="1"/>
  <c r="AC202" i="47"/>
  <c r="AT202" i="47" s="1"/>
  <c r="AC248" i="47"/>
  <c r="AT248" i="47" s="1"/>
  <c r="AC237" i="47"/>
  <c r="AT237" i="47" s="1"/>
  <c r="AC129" i="47"/>
  <c r="AT129" i="47" s="1"/>
  <c r="AC181" i="47"/>
  <c r="AT181" i="47" s="1"/>
  <c r="AC18" i="47"/>
  <c r="AT18" i="47" s="1"/>
  <c r="AC260" i="47"/>
  <c r="AT260" i="47" s="1"/>
  <c r="AC247" i="47"/>
  <c r="AT247" i="47" s="1"/>
  <c r="AC191" i="47"/>
  <c r="AT191" i="47" s="1"/>
  <c r="AB13" i="47"/>
  <c r="AS13" i="47" s="1"/>
  <c r="I10" i="47"/>
  <c r="I11" i="47"/>
  <c r="AV84" i="66"/>
  <c r="AB84" i="66"/>
  <c r="P84" i="66"/>
  <c r="AL84" i="66" s="1"/>
  <c r="AC145" i="47"/>
  <c r="AT145" i="47" s="1"/>
  <c r="AC55" i="47"/>
  <c r="AT55" i="47" s="1"/>
  <c r="AC177" i="47"/>
  <c r="AT177" i="47" s="1"/>
  <c r="AC84" i="47"/>
  <c r="AT84" i="47" s="1"/>
  <c r="AC205" i="47"/>
  <c r="AT205" i="47" s="1"/>
  <c r="AC81" i="47"/>
  <c r="AT81" i="47" s="1"/>
  <c r="AC43" i="47"/>
  <c r="AT43" i="47" s="1"/>
  <c r="AC126" i="47"/>
  <c r="AT126" i="47" s="1"/>
  <c r="AC284" i="47"/>
  <c r="AT284" i="47" s="1"/>
  <c r="AC155" i="47"/>
  <c r="AT155" i="47" s="1"/>
  <c r="AC128" i="47"/>
  <c r="AT128" i="47" s="1"/>
  <c r="AC58" i="47"/>
  <c r="AT58" i="47" s="1"/>
  <c r="AC169" i="47"/>
  <c r="AT169" i="47" s="1"/>
  <c r="AC120" i="47"/>
  <c r="AT120" i="47" s="1"/>
  <c r="AC238" i="47"/>
  <c r="AT238" i="47" s="1"/>
  <c r="AC96" i="47"/>
  <c r="AT96" i="47" s="1"/>
  <c r="AC62" i="47"/>
  <c r="AT62" i="47" s="1"/>
  <c r="AC45" i="47"/>
  <c r="AT45" i="47" s="1"/>
  <c r="AC161" i="47"/>
  <c r="AT161" i="47" s="1"/>
  <c r="AC274" i="47"/>
  <c r="AT274" i="47" s="1"/>
  <c r="AC49" i="47"/>
  <c r="AT49" i="47" s="1"/>
  <c r="AC76" i="47"/>
  <c r="AT76" i="47" s="1"/>
  <c r="AC275" i="47"/>
  <c r="AT275" i="47" s="1"/>
  <c r="AC75" i="47"/>
  <c r="AT75" i="47" s="1"/>
  <c r="AC218" i="47"/>
  <c r="AT218" i="47" s="1"/>
  <c r="AC257" i="47"/>
  <c r="AT257" i="47" s="1"/>
  <c r="AC95" i="47"/>
  <c r="AT95" i="47" s="1"/>
  <c r="AC107" i="47"/>
  <c r="AT107" i="47" s="1"/>
  <c r="AC254" i="47"/>
  <c r="AT254" i="47" s="1"/>
  <c r="AC132" i="47"/>
  <c r="AT132" i="47" s="1"/>
  <c r="AC253" i="47"/>
  <c r="AT253" i="47" s="1"/>
  <c r="AC110" i="47"/>
  <c r="AT110" i="47" s="1"/>
  <c r="AC198" i="47"/>
  <c r="AT198" i="47" s="1"/>
  <c r="AC28" i="47"/>
  <c r="AT28" i="47" s="1"/>
  <c r="AC170" i="47"/>
  <c r="AT170" i="47" s="1"/>
  <c r="AB83" i="66"/>
  <c r="AV83" i="66"/>
  <c r="P83" i="66"/>
  <c r="AL83" i="66" s="1"/>
  <c r="AC265" i="47"/>
  <c r="AT265" i="47" s="1"/>
  <c r="AC125" i="47"/>
  <c r="AT125" i="47" s="1"/>
  <c r="AC271" i="47"/>
  <c r="AT271" i="47" s="1"/>
  <c r="AC148" i="47"/>
  <c r="AT148" i="47" s="1"/>
  <c r="AC269" i="47"/>
  <c r="AT269" i="47" s="1"/>
  <c r="AC273" i="47"/>
  <c r="AT273" i="47" s="1"/>
  <c r="AC136" i="47"/>
  <c r="AT136" i="47" s="1"/>
  <c r="AC246" i="47"/>
  <c r="AT246" i="47" s="1"/>
  <c r="AC122" i="47"/>
  <c r="AT122" i="47" s="1"/>
  <c r="AC194" i="47"/>
  <c r="AT194" i="47" s="1"/>
  <c r="AC26" i="47"/>
  <c r="AT26" i="47" s="1"/>
  <c r="AC147" i="47"/>
  <c r="AT147" i="47" s="1"/>
  <c r="AC263" i="47"/>
  <c r="AT263" i="47" s="1"/>
  <c r="AC138" i="47"/>
  <c r="AT138" i="47" s="1"/>
  <c r="AC304" i="47"/>
  <c r="AT304" i="47" s="1"/>
  <c r="AC100" i="47"/>
  <c r="AT100" i="47" s="1"/>
  <c r="AC65" i="47"/>
  <c r="AT65" i="47" s="1"/>
  <c r="F78" i="66"/>
  <c r="AC24" i="47"/>
  <c r="AT24" i="47" s="1"/>
  <c r="AC115" i="47"/>
  <c r="AT115" i="47" s="1"/>
  <c r="AC255" i="47"/>
  <c r="AT255" i="47" s="1"/>
  <c r="AC173" i="47"/>
  <c r="AT173" i="47" s="1"/>
  <c r="AC179" i="47"/>
  <c r="AT179" i="47" s="1"/>
  <c r="AC68" i="47"/>
  <c r="AT68" i="47" s="1"/>
  <c r="AC53" i="47"/>
  <c r="AT53" i="47" s="1"/>
  <c r="AC174" i="47"/>
  <c r="AT174" i="47" s="1"/>
  <c r="AC282" i="47"/>
  <c r="AT282" i="47" s="1"/>
  <c r="AC143" i="47"/>
  <c r="AT143" i="47" s="1"/>
  <c r="AC103" i="47"/>
  <c r="AT103" i="47" s="1"/>
  <c r="AC206" i="47"/>
  <c r="AT206" i="47" s="1"/>
  <c r="F80" i="66"/>
  <c r="AC33" i="47"/>
  <c r="AT33" i="47" s="1"/>
  <c r="AC196" i="47"/>
  <c r="AT196" i="47" s="1"/>
  <c r="AC176" i="47"/>
  <c r="AT176" i="47" s="1"/>
  <c r="AC175" i="47"/>
  <c r="AT175" i="47" s="1"/>
  <c r="AC288" i="47"/>
  <c r="AT288" i="47" s="1"/>
  <c r="AC105" i="47"/>
  <c r="AT105" i="47" s="1"/>
  <c r="AC234" i="47"/>
  <c r="AT234" i="47" s="1"/>
  <c r="P81" i="66"/>
  <c r="AL81" i="66" s="1"/>
  <c r="AB81" i="66"/>
  <c r="AV81" i="66"/>
  <c r="AV78" i="66"/>
  <c r="E85" i="66"/>
  <c r="P85" i="66" s="1"/>
  <c r="AL85" i="66" s="1"/>
  <c r="AB78" i="66"/>
  <c r="P78" i="66"/>
  <c r="AL78" i="66" s="1"/>
  <c r="J11" i="46"/>
  <c r="H59" i="66"/>
  <c r="R54" i="66"/>
  <c r="AN54" i="66" s="1"/>
  <c r="AX56" i="66"/>
  <c r="R56" i="66"/>
  <c r="AN56" i="66" s="1"/>
  <c r="R59" i="66"/>
  <c r="AN59" i="66" s="1"/>
  <c r="H57" i="66"/>
  <c r="H60" i="66"/>
  <c r="AX59" i="66"/>
  <c r="AD54" i="66"/>
  <c r="H56" i="66"/>
  <c r="H58" i="66"/>
  <c r="R58" i="66"/>
  <c r="AN58" i="66" s="1"/>
  <c r="AX58" i="66"/>
  <c r="AD58" i="66"/>
  <c r="R57" i="66"/>
  <c r="AX57" i="66"/>
  <c r="AD57" i="66"/>
  <c r="G61" i="66"/>
  <c r="Q61" i="66"/>
  <c r="AD13" i="48"/>
  <c r="K11" i="48"/>
  <c r="K10" i="48"/>
  <c r="L13" i="48"/>
  <c r="AE16" i="48"/>
  <c r="AP16" i="54" s="1"/>
  <c r="BC10" i="45"/>
  <c r="BP13" i="45"/>
  <c r="BK13" i="45"/>
  <c r="T13" i="60" s="1"/>
  <c r="BJ11" i="45"/>
  <c r="BJ10" i="45"/>
  <c r="G5" i="68"/>
  <c r="F11" i="68"/>
  <c r="G11" i="68"/>
  <c r="F5" i="68"/>
  <c r="K13" i="46"/>
  <c r="S14" i="60" s="1"/>
  <c r="CP21" i="45" l="1"/>
  <c r="DI21" i="45" s="1"/>
  <c r="U13" i="60"/>
  <c r="DL274" i="45"/>
  <c r="DC226" i="45"/>
  <c r="DC213" i="45"/>
  <c r="DC280" i="45"/>
  <c r="DB283" i="45"/>
  <c r="DC301" i="45"/>
  <c r="DC200" i="45"/>
  <c r="DL65" i="45"/>
  <c r="DL184" i="45"/>
  <c r="DA283" i="45"/>
  <c r="DL135" i="45"/>
  <c r="DC71" i="45"/>
  <c r="DL171" i="45"/>
  <c r="DL302" i="45"/>
  <c r="DL119" i="45"/>
  <c r="DK64" i="45"/>
  <c r="DK112" i="45"/>
  <c r="DK230" i="45"/>
  <c r="DK85" i="45"/>
  <c r="DC176" i="45"/>
  <c r="DC215" i="45"/>
  <c r="DK281" i="45"/>
  <c r="DK278" i="45"/>
  <c r="DC55" i="45"/>
  <c r="DC155" i="45"/>
  <c r="DL95" i="45"/>
  <c r="DL203" i="45"/>
  <c r="DK180" i="45"/>
  <c r="DK150" i="45"/>
  <c r="DK83" i="45"/>
  <c r="DC243" i="45"/>
  <c r="DK212" i="45"/>
  <c r="DK175" i="45"/>
  <c r="DL160" i="45"/>
  <c r="DC298" i="45"/>
  <c r="DL49" i="45"/>
  <c r="DC186" i="45"/>
  <c r="DK146" i="45"/>
  <c r="DK101" i="45"/>
  <c r="DL296" i="45"/>
  <c r="DL32" i="45"/>
  <c r="DL247" i="45"/>
  <c r="DL36" i="45"/>
  <c r="DL277" i="45"/>
  <c r="DL26" i="45"/>
  <c r="DL254" i="45"/>
  <c r="DL88" i="45"/>
  <c r="DC216" i="45"/>
  <c r="DL285" i="45"/>
  <c r="DL275" i="45"/>
  <c r="DC40" i="45"/>
  <c r="DC179" i="45"/>
  <c r="DC129" i="45"/>
  <c r="DL210" i="45"/>
  <c r="DC266" i="45"/>
  <c r="DK214" i="45"/>
  <c r="DK39" i="45"/>
  <c r="DK133" i="45"/>
  <c r="DK239" i="45"/>
  <c r="DK178" i="45"/>
  <c r="DK126" i="45"/>
  <c r="DK130" i="45"/>
  <c r="DK23" i="45"/>
  <c r="DK28" i="45"/>
  <c r="DC279" i="45"/>
  <c r="DL229" i="45"/>
  <c r="DL237" i="45"/>
  <c r="DK66" i="45"/>
  <c r="DK195" i="45"/>
  <c r="DK118" i="45"/>
  <c r="DL255" i="45"/>
  <c r="DL152" i="45"/>
  <c r="DL293" i="45"/>
  <c r="DC139" i="45"/>
  <c r="DL189" i="45"/>
  <c r="DC127" i="45"/>
  <c r="DC223" i="45"/>
  <c r="DL183" i="45"/>
  <c r="DL144" i="45"/>
  <c r="DL307" i="45"/>
  <c r="DC287" i="45"/>
  <c r="DL272" i="45"/>
  <c r="DC197" i="45"/>
  <c r="DL282" i="45"/>
  <c r="DL206" i="45"/>
  <c r="DL251" i="45"/>
  <c r="DL253" i="45"/>
  <c r="DL24" i="45"/>
  <c r="DC173" i="45"/>
  <c r="DC295" i="45"/>
  <c r="DL98" i="45"/>
  <c r="DL159" i="45"/>
  <c r="DL87" i="45"/>
  <c r="DC194" i="45"/>
  <c r="DC192" i="45"/>
  <c r="DL224" i="45"/>
  <c r="DL250" i="45"/>
  <c r="DC232" i="45"/>
  <c r="DL174" i="45"/>
  <c r="DL56" i="45"/>
  <c r="DC202" i="45"/>
  <c r="DL103" i="45"/>
  <c r="DL248" i="45"/>
  <c r="DL142" i="45"/>
  <c r="DC63" i="45"/>
  <c r="DC290" i="45"/>
  <c r="DL16" i="45"/>
  <c r="DL218" i="45"/>
  <c r="DL208" i="45"/>
  <c r="DL242" i="45"/>
  <c r="DL263" i="45"/>
  <c r="DC306" i="45"/>
  <c r="DC258" i="45"/>
  <c r="DL264" i="45"/>
  <c r="DK110" i="45"/>
  <c r="DK77" i="45"/>
  <c r="DK198" i="45"/>
  <c r="DK111" i="45"/>
  <c r="DK62" i="45"/>
  <c r="DK122" i="45"/>
  <c r="DK102" i="45"/>
  <c r="DK104" i="45"/>
  <c r="DK96" i="45"/>
  <c r="CP124" i="45"/>
  <c r="DI124" i="45" s="1"/>
  <c r="DK61" i="45"/>
  <c r="DK78" i="45"/>
  <c r="DK80" i="45"/>
  <c r="DC211" i="45"/>
  <c r="DC168" i="45"/>
  <c r="DK123" i="45"/>
  <c r="DL199" i="45"/>
  <c r="DL79" i="45"/>
  <c r="DL147" i="45"/>
  <c r="DL165" i="45"/>
  <c r="DL94" i="45"/>
  <c r="DL158" i="45"/>
  <c r="DL193" i="45"/>
  <c r="DL120" i="45"/>
  <c r="DK227" i="45"/>
  <c r="DK125" i="45"/>
  <c r="DK117" i="45"/>
  <c r="DK270" i="45"/>
  <c r="DL304" i="45"/>
  <c r="DL299" i="45"/>
  <c r="DL234" i="45"/>
  <c r="DL187" i="45"/>
  <c r="DL167" i="45"/>
  <c r="DL238" i="45"/>
  <c r="DL288" i="45"/>
  <c r="DL181" i="45"/>
  <c r="DL191" i="45"/>
  <c r="DL240" i="45"/>
  <c r="DL20" i="45"/>
  <c r="DL190" i="45"/>
  <c r="CS130" i="45"/>
  <c r="DC130" i="45" s="1"/>
  <c r="CS28" i="45"/>
  <c r="DC28" i="45" s="1"/>
  <c r="CS239" i="45"/>
  <c r="DL239" i="45" s="1"/>
  <c r="CS214" i="45"/>
  <c r="DL214" i="45" s="1"/>
  <c r="CS23" i="45"/>
  <c r="DL23" i="45" s="1"/>
  <c r="CS126" i="45"/>
  <c r="DC126" i="45" s="1"/>
  <c r="CS39" i="45"/>
  <c r="DC39" i="45" s="1"/>
  <c r="CS74" i="45"/>
  <c r="DC74" i="45" s="1"/>
  <c r="CS133" i="45"/>
  <c r="DC133" i="45" s="1"/>
  <c r="CS281" i="45"/>
  <c r="DC281" i="45" s="1"/>
  <c r="CS278" i="45"/>
  <c r="DC278" i="45" s="1"/>
  <c r="CS178" i="45"/>
  <c r="DL178" i="45" s="1"/>
  <c r="CS107" i="45"/>
  <c r="DC107" i="45" s="1"/>
  <c r="CS43" i="45"/>
  <c r="DC43" i="45" s="1"/>
  <c r="CS146" i="45"/>
  <c r="DC146" i="45" s="1"/>
  <c r="CS83" i="45"/>
  <c r="DC83" i="45" s="1"/>
  <c r="CS51" i="45"/>
  <c r="DC51" i="45" s="1"/>
  <c r="CS143" i="45"/>
  <c r="DL143" i="45" s="1"/>
  <c r="CS180" i="45"/>
  <c r="DC180" i="45" s="1"/>
  <c r="CS85" i="45"/>
  <c r="DC85" i="45" s="1"/>
  <c r="CS212" i="45"/>
  <c r="DC212" i="45" s="1"/>
  <c r="CS230" i="45"/>
  <c r="DL230" i="45" s="1"/>
  <c r="CS69" i="45"/>
  <c r="DL69" i="45" s="1"/>
  <c r="CS64" i="45"/>
  <c r="DC64" i="45" s="1"/>
  <c r="CS150" i="45"/>
  <c r="DC150" i="45" s="1"/>
  <c r="CS175" i="45"/>
  <c r="DC175" i="45" s="1"/>
  <c r="CS112" i="45"/>
  <c r="DC112" i="45" s="1"/>
  <c r="CS219" i="45"/>
  <c r="DC219" i="45" s="1"/>
  <c r="CS54" i="45"/>
  <c r="DC54" i="45" s="1"/>
  <c r="CS217" i="45"/>
  <c r="DC217" i="45" s="1"/>
  <c r="CS19" i="45"/>
  <c r="DC19" i="45" s="1"/>
  <c r="CS66" i="45"/>
  <c r="DC66" i="45" s="1"/>
  <c r="CS195" i="45"/>
  <c r="DC195" i="45" s="1"/>
  <c r="CS22" i="45"/>
  <c r="DC22" i="45" s="1"/>
  <c r="CS118" i="45"/>
  <c r="DC118" i="45" s="1"/>
  <c r="CS114" i="45"/>
  <c r="DC114" i="45" s="1"/>
  <c r="CS106" i="45"/>
  <c r="DL106" i="45" s="1"/>
  <c r="CS35" i="45"/>
  <c r="DC35" i="45" s="1"/>
  <c r="CS149" i="45"/>
  <c r="DC149" i="45" s="1"/>
  <c r="CS101" i="45"/>
  <c r="DC101" i="45" s="1"/>
  <c r="CS270" i="45"/>
  <c r="DC270" i="45" s="1"/>
  <c r="CS75" i="45"/>
  <c r="DC75" i="45" s="1"/>
  <c r="CS46" i="45"/>
  <c r="DC46" i="45" s="1"/>
  <c r="CS70" i="45"/>
  <c r="DC70" i="45" s="1"/>
  <c r="CS125" i="45"/>
  <c r="DC125" i="45" s="1"/>
  <c r="CS48" i="45"/>
  <c r="DC48" i="45" s="1"/>
  <c r="CS123" i="45"/>
  <c r="DC123" i="45" s="1"/>
  <c r="CS33" i="45"/>
  <c r="DC33" i="45" s="1"/>
  <c r="CS294" i="45"/>
  <c r="DC294" i="45" s="1"/>
  <c r="CS80" i="45"/>
  <c r="DC80" i="45" s="1"/>
  <c r="CS117" i="45"/>
  <c r="DL117" i="45" s="1"/>
  <c r="CS227" i="45"/>
  <c r="DC227" i="45" s="1"/>
  <c r="CS53" i="45"/>
  <c r="DL53" i="45" s="1"/>
  <c r="CS157" i="45"/>
  <c r="DC157" i="45" s="1"/>
  <c r="CS148" i="45"/>
  <c r="DL148" i="45" s="1"/>
  <c r="CS82" i="45"/>
  <c r="DC82" i="45" s="1"/>
  <c r="CS72" i="45"/>
  <c r="DC72" i="45" s="1"/>
  <c r="CS246" i="45"/>
  <c r="DC246" i="45" s="1"/>
  <c r="CS235" i="45"/>
  <c r="DL235" i="45" s="1"/>
  <c r="CS93" i="45"/>
  <c r="DC93" i="45" s="1"/>
  <c r="CS91" i="45"/>
  <c r="DC91" i="45" s="1"/>
  <c r="CS153" i="45"/>
  <c r="DC153" i="45" s="1"/>
  <c r="CS154" i="45"/>
  <c r="DL154" i="45" s="1"/>
  <c r="CS162" i="45"/>
  <c r="DC162" i="45" s="1"/>
  <c r="CS138" i="45"/>
  <c r="DC138" i="45" s="1"/>
  <c r="CS67" i="45"/>
  <c r="DL67" i="45" s="1"/>
  <c r="CS27" i="45"/>
  <c r="DL27" i="45" s="1"/>
  <c r="CS99" i="45"/>
  <c r="DC99" i="45" s="1"/>
  <c r="CS271" i="45"/>
  <c r="DC271" i="45" s="1"/>
  <c r="CS30" i="45"/>
  <c r="DL30" i="45" s="1"/>
  <c r="CS128" i="45"/>
  <c r="DL128" i="45" s="1"/>
  <c r="CS136" i="45"/>
  <c r="DC136" i="45" s="1"/>
  <c r="CS31" i="45"/>
  <c r="DL31" i="45" s="1"/>
  <c r="CS259" i="45"/>
  <c r="DC259" i="45" s="1"/>
  <c r="CS50" i="45"/>
  <c r="DL50" i="45" s="1"/>
  <c r="CS291" i="45"/>
  <c r="DC291" i="45" s="1"/>
  <c r="CS286" i="45"/>
  <c r="DC286" i="45" s="1"/>
  <c r="CS58" i="45"/>
  <c r="DC58" i="45" s="1"/>
  <c r="CS170" i="45"/>
  <c r="DL170" i="45" s="1"/>
  <c r="CS86" i="45"/>
  <c r="DC86" i="45" s="1"/>
  <c r="CS131" i="45"/>
  <c r="DC131" i="45" s="1"/>
  <c r="CS45" i="45"/>
  <c r="DC45" i="45" s="1"/>
  <c r="CS163" i="45"/>
  <c r="DL163" i="45" s="1"/>
  <c r="CS59" i="45"/>
  <c r="DL59" i="45" s="1"/>
  <c r="CS96" i="45"/>
  <c r="DC96" i="45" s="1"/>
  <c r="CS61" i="45"/>
  <c r="DC61" i="45" s="1"/>
  <c r="CS110" i="45"/>
  <c r="DL110" i="45" s="1"/>
  <c r="CS78" i="45"/>
  <c r="DC78" i="45" s="1"/>
  <c r="CS111" i="45"/>
  <c r="DC111" i="45" s="1"/>
  <c r="CS182" i="45"/>
  <c r="DC182" i="45" s="1"/>
  <c r="CS77" i="45"/>
  <c r="DL77" i="45" s="1"/>
  <c r="CS41" i="45"/>
  <c r="DL41" i="45" s="1"/>
  <c r="CS104" i="45"/>
  <c r="DL104" i="45" s="1"/>
  <c r="CS198" i="45"/>
  <c r="DC198" i="45" s="1"/>
  <c r="CS122" i="45"/>
  <c r="DL122" i="45" s="1"/>
  <c r="CS62" i="45"/>
  <c r="DC62" i="45" s="1"/>
  <c r="CS102" i="45"/>
  <c r="DL102" i="45" s="1"/>
  <c r="CS283" i="45"/>
  <c r="DL283" i="45" s="1"/>
  <c r="CS38" i="45"/>
  <c r="DL38" i="45" s="1"/>
  <c r="CS115" i="45"/>
  <c r="DL115" i="45" s="1"/>
  <c r="CS166" i="45"/>
  <c r="DL166" i="45" s="1"/>
  <c r="CS17" i="45"/>
  <c r="DC17" i="45" s="1"/>
  <c r="CS134" i="45"/>
  <c r="DC134" i="45" s="1"/>
  <c r="CS151" i="45"/>
  <c r="DC151" i="45" s="1"/>
  <c r="CS262" i="45"/>
  <c r="DC262" i="45" s="1"/>
  <c r="CS109" i="45"/>
  <c r="DL109" i="45" s="1"/>
  <c r="CS207" i="45"/>
  <c r="DC207" i="45" s="1"/>
  <c r="CS90" i="45"/>
  <c r="DC90" i="45" s="1"/>
  <c r="CS303" i="45"/>
  <c r="DC303" i="45" s="1"/>
  <c r="CS44" i="45"/>
  <c r="DC44" i="45" s="1"/>
  <c r="CS222" i="45"/>
  <c r="DC222" i="45" s="1"/>
  <c r="DK283" i="45"/>
  <c r="DK91" i="45"/>
  <c r="DK246" i="45"/>
  <c r="DK114" i="45"/>
  <c r="DK153" i="45"/>
  <c r="DK54" i="45"/>
  <c r="DK154" i="45"/>
  <c r="DK35" i="45"/>
  <c r="DK138" i="45"/>
  <c r="DK93" i="45"/>
  <c r="DK149" i="45"/>
  <c r="DK106" i="45"/>
  <c r="DK235" i="45"/>
  <c r="BY276" i="45"/>
  <c r="CQ276" i="45" s="1"/>
  <c r="DJ276" i="45" s="1"/>
  <c r="DK72" i="45"/>
  <c r="DK99" i="45"/>
  <c r="DK67" i="45"/>
  <c r="DK27" i="45"/>
  <c r="DK162" i="45"/>
  <c r="DK271" i="45"/>
  <c r="DB235" i="45"/>
  <c r="DA198" i="45"/>
  <c r="DA80" i="45"/>
  <c r="DK128" i="45"/>
  <c r="DK170" i="45"/>
  <c r="DK136" i="45"/>
  <c r="DK45" i="45"/>
  <c r="DA235" i="45"/>
  <c r="DK30" i="45"/>
  <c r="DK259" i="45"/>
  <c r="DJ235" i="45"/>
  <c r="DK286" i="45"/>
  <c r="DK163" i="45"/>
  <c r="DK59" i="45"/>
  <c r="DK86" i="45"/>
  <c r="DK58" i="45"/>
  <c r="DK291" i="45"/>
  <c r="CE297" i="45"/>
  <c r="CR297" i="45" s="1"/>
  <c r="CK297" i="45"/>
  <c r="CE204" i="45"/>
  <c r="CR204" i="45" s="1"/>
  <c r="CK204" i="45"/>
  <c r="CE108" i="45"/>
  <c r="CR108" i="45" s="1"/>
  <c r="CK108" i="45"/>
  <c r="CE68" i="45"/>
  <c r="CR68" i="45" s="1"/>
  <c r="CK68" i="45"/>
  <c r="CE201" i="45"/>
  <c r="CR201" i="45" s="1"/>
  <c r="CK201" i="45"/>
  <c r="CE196" i="45"/>
  <c r="CR196" i="45" s="1"/>
  <c r="CK196" i="45"/>
  <c r="CE161" i="45"/>
  <c r="CR161" i="45" s="1"/>
  <c r="CK161" i="45"/>
  <c r="CE113" i="45"/>
  <c r="CR113" i="45" s="1"/>
  <c r="CK113" i="45"/>
  <c r="L55" i="66" s="1"/>
  <c r="W55" i="66" s="1"/>
  <c r="CV130" i="45"/>
  <c r="DE130" i="45"/>
  <c r="DF130" i="45"/>
  <c r="CW130" i="45"/>
  <c r="CV28" i="45"/>
  <c r="DE28" i="45"/>
  <c r="CW28" i="45"/>
  <c r="DF28" i="45"/>
  <c r="CV239" i="45"/>
  <c r="DE239" i="45"/>
  <c r="CW239" i="45"/>
  <c r="DF239" i="45"/>
  <c r="CV214" i="45"/>
  <c r="DE214" i="45"/>
  <c r="DF214" i="45"/>
  <c r="CW214" i="45"/>
  <c r="CV23" i="45"/>
  <c r="DE23" i="45"/>
  <c r="DF23" i="45"/>
  <c r="CW23" i="45"/>
  <c r="CV126" i="45"/>
  <c r="DE126" i="45"/>
  <c r="CW126" i="45"/>
  <c r="DF126" i="45"/>
  <c r="CV134" i="45"/>
  <c r="DE134" i="45"/>
  <c r="CW134" i="45"/>
  <c r="DF134" i="45"/>
  <c r="DE151" i="45"/>
  <c r="CV151" i="45"/>
  <c r="CW151" i="45"/>
  <c r="DF151" i="45"/>
  <c r="CV262" i="45"/>
  <c r="DE262" i="45"/>
  <c r="DF262" i="45"/>
  <c r="CW262" i="45"/>
  <c r="CV109" i="45"/>
  <c r="DE109" i="45"/>
  <c r="CW109" i="45"/>
  <c r="DF109" i="45"/>
  <c r="CV207" i="45"/>
  <c r="DE207" i="45"/>
  <c r="DF207" i="45"/>
  <c r="CW207" i="45"/>
  <c r="CV90" i="45"/>
  <c r="DE90" i="45"/>
  <c r="DF90" i="45"/>
  <c r="CW90" i="45"/>
  <c r="DE303" i="45"/>
  <c r="CV303" i="45"/>
  <c r="CW303" i="45"/>
  <c r="DF303" i="45"/>
  <c r="CV44" i="45"/>
  <c r="DE44" i="45"/>
  <c r="CW44" i="45"/>
  <c r="DF44" i="45"/>
  <c r="CV222" i="45"/>
  <c r="DE222" i="45"/>
  <c r="DF222" i="45"/>
  <c r="CW222" i="45"/>
  <c r="CE97" i="45"/>
  <c r="CR97" i="45" s="1"/>
  <c r="CK97" i="45"/>
  <c r="CE124" i="45"/>
  <c r="CK124" i="45"/>
  <c r="CE289" i="45"/>
  <c r="CR289" i="45" s="1"/>
  <c r="CK289" i="45"/>
  <c r="CE18" i="45"/>
  <c r="CR18" i="45" s="1"/>
  <c r="CK18" i="45"/>
  <c r="CE305" i="45"/>
  <c r="CR305" i="45" s="1"/>
  <c r="CK305" i="45"/>
  <c r="CE42" i="45"/>
  <c r="CR42" i="45" s="1"/>
  <c r="CK42" i="45"/>
  <c r="CV107" i="45"/>
  <c r="DE107" i="45"/>
  <c r="DF107" i="45"/>
  <c r="CW107" i="45"/>
  <c r="CV43" i="45"/>
  <c r="DE43" i="45"/>
  <c r="CW43" i="45"/>
  <c r="DF43" i="45"/>
  <c r="CV146" i="45"/>
  <c r="DE146" i="45"/>
  <c r="CW146" i="45"/>
  <c r="DF146" i="45"/>
  <c r="CV83" i="45"/>
  <c r="DE83" i="45"/>
  <c r="CW83" i="45"/>
  <c r="DF83" i="45"/>
  <c r="CV51" i="45"/>
  <c r="DE51" i="45"/>
  <c r="CW51" i="45"/>
  <c r="DF51" i="45"/>
  <c r="CV39" i="45"/>
  <c r="DE39" i="45"/>
  <c r="CW39" i="45"/>
  <c r="DF39" i="45"/>
  <c r="CV74" i="45"/>
  <c r="DE74" i="45"/>
  <c r="CW74" i="45"/>
  <c r="DF74" i="45"/>
  <c r="CV133" i="45"/>
  <c r="DE133" i="45"/>
  <c r="CW133" i="45"/>
  <c r="DF133" i="45"/>
  <c r="CV281" i="45"/>
  <c r="DE281" i="45"/>
  <c r="CW281" i="45"/>
  <c r="DF281" i="45"/>
  <c r="CV278" i="45"/>
  <c r="DE278" i="45"/>
  <c r="DF278" i="45"/>
  <c r="CW278" i="45"/>
  <c r="CV178" i="45"/>
  <c r="DE178" i="45"/>
  <c r="CW178" i="45"/>
  <c r="DF178" i="45"/>
  <c r="CE268" i="45"/>
  <c r="CR268" i="45" s="1"/>
  <c r="CK268" i="45"/>
  <c r="CE105" i="45"/>
  <c r="CR105" i="45" s="1"/>
  <c r="CK105" i="45"/>
  <c r="CE52" i="45"/>
  <c r="CR52" i="45" s="1"/>
  <c r="CK52" i="45"/>
  <c r="CE273" i="45"/>
  <c r="CR273" i="45" s="1"/>
  <c r="CK273" i="45"/>
  <c r="CE121" i="45"/>
  <c r="CR121" i="45" s="1"/>
  <c r="CK121" i="45"/>
  <c r="CE60" i="45"/>
  <c r="CR60" i="45" s="1"/>
  <c r="CK60" i="45"/>
  <c r="CE29" i="45"/>
  <c r="CR29" i="45" s="1"/>
  <c r="CK29" i="45"/>
  <c r="CE34" i="45"/>
  <c r="CR34" i="45" s="1"/>
  <c r="CK34" i="45"/>
  <c r="CE292" i="45"/>
  <c r="CR292" i="45" s="1"/>
  <c r="CK292" i="45"/>
  <c r="CV219" i="45"/>
  <c r="DE219" i="45"/>
  <c r="CW219" i="45"/>
  <c r="DF219" i="45"/>
  <c r="CV54" i="45"/>
  <c r="DE54" i="45"/>
  <c r="CW54" i="45"/>
  <c r="DF54" i="45"/>
  <c r="CV217" i="45"/>
  <c r="DE217" i="45"/>
  <c r="DF217" i="45"/>
  <c r="CW217" i="45"/>
  <c r="CV19" i="45"/>
  <c r="DE19" i="45"/>
  <c r="CW19" i="45"/>
  <c r="DF19" i="45"/>
  <c r="CV66" i="45"/>
  <c r="DE66" i="45"/>
  <c r="DF66" i="45"/>
  <c r="CW66" i="45"/>
  <c r="DE143" i="45"/>
  <c r="CV143" i="45"/>
  <c r="CW143" i="45"/>
  <c r="DF143" i="45"/>
  <c r="DE180" i="45"/>
  <c r="CV180" i="45"/>
  <c r="DF180" i="45"/>
  <c r="CW180" i="45"/>
  <c r="CV85" i="45"/>
  <c r="DE85" i="45"/>
  <c r="CW85" i="45"/>
  <c r="DF85" i="45"/>
  <c r="DE212" i="45"/>
  <c r="CV212" i="45"/>
  <c r="CW212" i="45"/>
  <c r="DF212" i="45"/>
  <c r="CV230" i="45"/>
  <c r="DE230" i="45"/>
  <c r="CW230" i="45"/>
  <c r="DF230" i="45"/>
  <c r="CV69" i="45"/>
  <c r="DE69" i="45"/>
  <c r="CW69" i="45"/>
  <c r="DF69" i="45"/>
  <c r="CV64" i="45"/>
  <c r="DE64" i="45"/>
  <c r="DF64" i="45"/>
  <c r="CW64" i="45"/>
  <c r="DE150" i="45"/>
  <c r="CV150" i="45"/>
  <c r="DF150" i="45"/>
  <c r="CW150" i="45"/>
  <c r="CV175" i="45"/>
  <c r="DE175" i="45"/>
  <c r="CW175" i="45"/>
  <c r="DF175" i="45"/>
  <c r="CV112" i="45"/>
  <c r="DE112" i="45"/>
  <c r="DF112" i="45"/>
  <c r="CW112" i="45"/>
  <c r="CE81" i="45"/>
  <c r="CR81" i="45" s="1"/>
  <c r="CK81" i="45"/>
  <c r="CE73" i="45"/>
  <c r="CR73" i="45" s="1"/>
  <c r="CK73" i="45"/>
  <c r="CE228" i="45"/>
  <c r="CR228" i="45" s="1"/>
  <c r="CK228" i="45"/>
  <c r="CE300" i="45"/>
  <c r="CR300" i="45" s="1"/>
  <c r="CK300" i="45"/>
  <c r="CE284" i="45"/>
  <c r="CR284" i="45" s="1"/>
  <c r="CK284" i="45"/>
  <c r="CE276" i="45"/>
  <c r="CR276" i="45" s="1"/>
  <c r="CK276" i="45"/>
  <c r="CV101" i="45"/>
  <c r="DE101" i="45"/>
  <c r="CW101" i="45"/>
  <c r="DF101" i="45"/>
  <c r="DE270" i="45"/>
  <c r="CV270" i="45"/>
  <c r="DF270" i="45"/>
  <c r="CW270" i="45"/>
  <c r="CV75" i="45"/>
  <c r="DE75" i="45"/>
  <c r="CW75" i="45"/>
  <c r="DF75" i="45"/>
  <c r="CV46" i="45"/>
  <c r="DE46" i="45"/>
  <c r="DF46" i="45"/>
  <c r="CW46" i="45"/>
  <c r="CV195" i="45"/>
  <c r="DE195" i="45"/>
  <c r="CW195" i="45"/>
  <c r="DF195" i="45"/>
  <c r="CV22" i="45"/>
  <c r="DE22" i="45"/>
  <c r="DF22" i="45"/>
  <c r="CW22" i="45"/>
  <c r="CV118" i="45"/>
  <c r="DE118" i="45"/>
  <c r="CW118" i="45"/>
  <c r="DF118" i="45"/>
  <c r="CV114" i="45"/>
  <c r="DE114" i="45"/>
  <c r="CW114" i="45"/>
  <c r="DF114" i="45"/>
  <c r="CV106" i="45"/>
  <c r="DE106" i="45"/>
  <c r="CW106" i="45"/>
  <c r="DF106" i="45"/>
  <c r="CV35" i="45"/>
  <c r="DE35" i="45"/>
  <c r="DF35" i="45"/>
  <c r="CW35" i="45"/>
  <c r="CV149" i="45"/>
  <c r="DE149" i="45"/>
  <c r="CW149" i="45"/>
  <c r="DF149" i="45"/>
  <c r="CE244" i="45"/>
  <c r="CR244" i="45" s="1"/>
  <c r="CK244" i="45"/>
  <c r="CE132" i="45"/>
  <c r="CR132" i="45" s="1"/>
  <c r="CK132" i="45"/>
  <c r="CE84" i="45"/>
  <c r="CR84" i="45" s="1"/>
  <c r="CK84" i="45"/>
  <c r="CE252" i="45"/>
  <c r="CR252" i="45" s="1"/>
  <c r="CK252" i="45"/>
  <c r="CE57" i="45"/>
  <c r="CR57" i="45" s="1"/>
  <c r="CK57" i="45"/>
  <c r="CE220" i="45"/>
  <c r="CR220" i="45" s="1"/>
  <c r="CK220" i="45"/>
  <c r="CE236" i="45"/>
  <c r="CR236" i="45" s="1"/>
  <c r="CK236" i="45"/>
  <c r="CE241" i="45"/>
  <c r="CR241" i="45" s="1"/>
  <c r="CK241" i="45"/>
  <c r="CE156" i="45"/>
  <c r="CR156" i="45" s="1"/>
  <c r="CK156" i="45"/>
  <c r="CE233" i="45"/>
  <c r="CR233" i="45" s="1"/>
  <c r="CK233" i="45"/>
  <c r="DK107" i="45"/>
  <c r="DE148" i="45"/>
  <c r="CV148" i="45"/>
  <c r="DF148" i="45"/>
  <c r="CW148" i="45"/>
  <c r="CV82" i="45"/>
  <c r="DE82" i="45"/>
  <c r="CW82" i="45"/>
  <c r="DF82" i="45"/>
  <c r="CV72" i="45"/>
  <c r="DE72" i="45"/>
  <c r="DF72" i="45"/>
  <c r="CW72" i="45"/>
  <c r="CV246" i="45"/>
  <c r="DE246" i="45"/>
  <c r="DF246" i="45"/>
  <c r="CW246" i="45"/>
  <c r="CV235" i="45"/>
  <c r="DE235" i="45"/>
  <c r="CW235" i="45"/>
  <c r="DF235" i="45"/>
  <c r="CV93" i="45"/>
  <c r="DE93" i="45"/>
  <c r="CW93" i="45"/>
  <c r="DF93" i="45"/>
  <c r="CV91" i="45"/>
  <c r="DE91" i="45"/>
  <c r="CW91" i="45"/>
  <c r="DF91" i="45"/>
  <c r="CV153" i="45"/>
  <c r="DE153" i="45"/>
  <c r="CW153" i="45"/>
  <c r="DF153" i="45"/>
  <c r="CV70" i="45"/>
  <c r="DE70" i="45"/>
  <c r="DF70" i="45"/>
  <c r="CW70" i="45"/>
  <c r="CV125" i="45"/>
  <c r="DE125" i="45"/>
  <c r="CW125" i="45"/>
  <c r="DF125" i="45"/>
  <c r="CV48" i="45"/>
  <c r="DE48" i="45"/>
  <c r="DF48" i="45"/>
  <c r="CW48" i="45"/>
  <c r="CV123" i="45"/>
  <c r="DE123" i="45"/>
  <c r="DF123" i="45"/>
  <c r="CW123" i="45"/>
  <c r="CV33" i="45"/>
  <c r="DE33" i="45"/>
  <c r="DF33" i="45"/>
  <c r="CW33" i="45"/>
  <c r="CV294" i="45"/>
  <c r="DE294" i="45"/>
  <c r="CW294" i="45"/>
  <c r="DF294" i="45"/>
  <c r="CV80" i="45"/>
  <c r="DE80" i="45"/>
  <c r="CW80" i="45"/>
  <c r="DF80" i="45"/>
  <c r="CV117" i="45"/>
  <c r="DE117" i="45"/>
  <c r="CW117" i="45"/>
  <c r="DF117" i="45"/>
  <c r="CV227" i="45"/>
  <c r="DE227" i="45"/>
  <c r="CW227" i="45"/>
  <c r="DF227" i="45"/>
  <c r="CV53" i="45"/>
  <c r="DE53" i="45"/>
  <c r="DF53" i="45"/>
  <c r="CW53" i="45"/>
  <c r="CV157" i="45"/>
  <c r="DE157" i="45"/>
  <c r="CW157" i="45"/>
  <c r="DF157" i="45"/>
  <c r="CE188" i="45"/>
  <c r="CR188" i="45" s="1"/>
  <c r="CK188" i="45"/>
  <c r="CE100" i="45"/>
  <c r="CR100" i="45" s="1"/>
  <c r="CK100" i="45"/>
  <c r="CE92" i="45"/>
  <c r="CR92" i="45" s="1"/>
  <c r="CK92" i="45"/>
  <c r="CE185" i="45"/>
  <c r="CR185" i="45" s="1"/>
  <c r="CK185" i="45"/>
  <c r="CE209" i="45"/>
  <c r="CR209" i="45" s="1"/>
  <c r="CK209" i="45"/>
  <c r="CV30" i="45"/>
  <c r="DE30" i="45"/>
  <c r="DF30" i="45"/>
  <c r="CW30" i="45"/>
  <c r="CV128" i="45"/>
  <c r="DE128" i="45"/>
  <c r="DF128" i="45"/>
  <c r="CW128" i="45"/>
  <c r="CV136" i="45"/>
  <c r="DE136" i="45"/>
  <c r="DF136" i="45"/>
  <c r="CW136" i="45"/>
  <c r="CV31" i="45"/>
  <c r="DE31" i="45"/>
  <c r="CW31" i="45"/>
  <c r="DF31" i="45"/>
  <c r="CV154" i="45"/>
  <c r="DE154" i="45"/>
  <c r="DF154" i="45"/>
  <c r="CW154" i="45"/>
  <c r="CV162" i="45"/>
  <c r="DE162" i="45"/>
  <c r="CW162" i="45"/>
  <c r="DF162" i="45"/>
  <c r="CV138" i="45"/>
  <c r="DE138" i="45"/>
  <c r="CW138" i="45"/>
  <c r="DF138" i="45"/>
  <c r="CV67" i="45"/>
  <c r="DE67" i="45"/>
  <c r="DF67" i="45"/>
  <c r="CW67" i="45"/>
  <c r="CV27" i="45"/>
  <c r="DE27" i="45"/>
  <c r="CW27" i="45"/>
  <c r="DF27" i="45"/>
  <c r="CV99" i="45"/>
  <c r="DE99" i="45"/>
  <c r="DF99" i="45"/>
  <c r="CW99" i="45"/>
  <c r="CV271" i="45"/>
  <c r="DE271" i="45"/>
  <c r="DF271" i="45"/>
  <c r="CW271" i="45"/>
  <c r="CE76" i="45"/>
  <c r="CR76" i="45" s="1"/>
  <c r="CK76" i="45"/>
  <c r="CE225" i="45"/>
  <c r="CR225" i="45" s="1"/>
  <c r="CK225" i="45"/>
  <c r="CE260" i="45"/>
  <c r="CR260" i="45" s="1"/>
  <c r="CK260" i="45"/>
  <c r="CE265" i="45"/>
  <c r="CR265" i="45" s="1"/>
  <c r="CK265" i="45"/>
  <c r="CE137" i="45"/>
  <c r="CR137" i="45" s="1"/>
  <c r="CK137" i="45"/>
  <c r="CE37" i="45"/>
  <c r="CR37" i="45" s="1"/>
  <c r="CK37" i="45"/>
  <c r="CE172" i="45"/>
  <c r="CR172" i="45" s="1"/>
  <c r="CK172" i="45"/>
  <c r="CE164" i="45"/>
  <c r="CR164" i="45" s="1"/>
  <c r="CK164" i="45"/>
  <c r="CE140" i="45"/>
  <c r="CR140" i="45" s="1"/>
  <c r="CK140" i="45"/>
  <c r="CE169" i="45"/>
  <c r="CR169" i="45" s="1"/>
  <c r="CK169" i="45"/>
  <c r="CV96" i="45"/>
  <c r="DE96" i="45"/>
  <c r="DF96" i="45"/>
  <c r="CW96" i="45"/>
  <c r="CV61" i="45"/>
  <c r="DE61" i="45"/>
  <c r="DF61" i="45"/>
  <c r="CW61" i="45"/>
  <c r="CV110" i="45"/>
  <c r="DE110" i="45"/>
  <c r="CW110" i="45"/>
  <c r="DF110" i="45"/>
  <c r="CV78" i="45"/>
  <c r="DE78" i="45"/>
  <c r="DF78" i="45"/>
  <c r="CW78" i="45"/>
  <c r="CV111" i="45"/>
  <c r="DE111" i="45"/>
  <c r="DF111" i="45"/>
  <c r="CW111" i="45"/>
  <c r="CV182" i="45"/>
  <c r="DE182" i="45"/>
  <c r="DF182" i="45"/>
  <c r="CW182" i="45"/>
  <c r="DE77" i="45"/>
  <c r="CV77" i="45"/>
  <c r="CW77" i="45"/>
  <c r="DF77" i="45"/>
  <c r="CV259" i="45"/>
  <c r="DE259" i="45"/>
  <c r="CW259" i="45"/>
  <c r="DF259" i="45"/>
  <c r="CV50" i="45"/>
  <c r="DE50" i="45"/>
  <c r="DF50" i="45"/>
  <c r="CW50" i="45"/>
  <c r="CV291" i="45"/>
  <c r="DE291" i="45"/>
  <c r="DF291" i="45"/>
  <c r="CW291" i="45"/>
  <c r="DE286" i="45"/>
  <c r="CV286" i="45"/>
  <c r="CW286" i="45"/>
  <c r="DF286" i="45"/>
  <c r="CV58" i="45"/>
  <c r="DE58" i="45"/>
  <c r="DF58" i="45"/>
  <c r="CW58" i="45"/>
  <c r="CV170" i="45"/>
  <c r="DE170" i="45"/>
  <c r="DF170" i="45"/>
  <c r="CW170" i="45"/>
  <c r="CV86" i="45"/>
  <c r="DE86" i="45"/>
  <c r="DF86" i="45"/>
  <c r="CW86" i="45"/>
  <c r="CV131" i="45"/>
  <c r="DE131" i="45"/>
  <c r="DF131" i="45"/>
  <c r="CW131" i="45"/>
  <c r="CV45" i="45"/>
  <c r="DE45" i="45"/>
  <c r="DF45" i="45"/>
  <c r="CW45" i="45"/>
  <c r="CV163" i="45"/>
  <c r="DE163" i="45"/>
  <c r="CW163" i="45"/>
  <c r="DF163" i="45"/>
  <c r="CV59" i="45"/>
  <c r="DE59" i="45"/>
  <c r="DF59" i="45"/>
  <c r="CW59" i="45"/>
  <c r="CE249" i="45"/>
  <c r="CR249" i="45" s="1"/>
  <c r="CK249" i="45"/>
  <c r="CE145" i="45"/>
  <c r="CR145" i="45" s="1"/>
  <c r="CK145" i="45"/>
  <c r="CE116" i="45"/>
  <c r="CR116" i="45" s="1"/>
  <c r="CK116" i="45"/>
  <c r="CE21" i="45"/>
  <c r="CK21" i="45"/>
  <c r="X13" i="60" s="1"/>
  <c r="CE177" i="45"/>
  <c r="CR177" i="45" s="1"/>
  <c r="CK177" i="45"/>
  <c r="CV283" i="45"/>
  <c r="DE283" i="45"/>
  <c r="DF283" i="45"/>
  <c r="CW283" i="45"/>
  <c r="CV38" i="45"/>
  <c r="DE38" i="45"/>
  <c r="DF38" i="45"/>
  <c r="CW38" i="45"/>
  <c r="CV115" i="45"/>
  <c r="DE115" i="45"/>
  <c r="CW115" i="45"/>
  <c r="DF115" i="45"/>
  <c r="CV166" i="45"/>
  <c r="DE166" i="45"/>
  <c r="DF166" i="45"/>
  <c r="CW166" i="45"/>
  <c r="CV17" i="45"/>
  <c r="DE17" i="45"/>
  <c r="CW17" i="45"/>
  <c r="DF17" i="45"/>
  <c r="DE41" i="45"/>
  <c r="CV41" i="45"/>
  <c r="CW41" i="45"/>
  <c r="DF41" i="45"/>
  <c r="CV104" i="45"/>
  <c r="DE104" i="45"/>
  <c r="DF104" i="45"/>
  <c r="CW104" i="45"/>
  <c r="CV198" i="45"/>
  <c r="DE198" i="45"/>
  <c r="DF198" i="45"/>
  <c r="CW198" i="45"/>
  <c r="CV122" i="45"/>
  <c r="DE122" i="45"/>
  <c r="DF122" i="45"/>
  <c r="CW122" i="45"/>
  <c r="CV62" i="45"/>
  <c r="DE62" i="45"/>
  <c r="CW62" i="45"/>
  <c r="DF62" i="45"/>
  <c r="CV102" i="45"/>
  <c r="DE102" i="45"/>
  <c r="CW102" i="45"/>
  <c r="DF102" i="45"/>
  <c r="AH278" i="48"/>
  <c r="AS278" i="54" s="1"/>
  <c r="P278" i="48"/>
  <c r="AI278" i="48" s="1"/>
  <c r="AT278" i="54" s="1"/>
  <c r="AH157" i="48"/>
  <c r="AS157" i="54" s="1"/>
  <c r="P157" i="48"/>
  <c r="AI157" i="48" s="1"/>
  <c r="AT157" i="54" s="1"/>
  <c r="AH16" i="48"/>
  <c r="AS16" i="54" s="1"/>
  <c r="P16" i="48"/>
  <c r="AI16" i="48" s="1"/>
  <c r="AT16" i="54" s="1"/>
  <c r="AH61" i="48"/>
  <c r="AS61" i="54" s="1"/>
  <c r="P61" i="48"/>
  <c r="AI61" i="48" s="1"/>
  <c r="AT61" i="54" s="1"/>
  <c r="AH52" i="48"/>
  <c r="AS52" i="54" s="1"/>
  <c r="P52" i="48"/>
  <c r="AI52" i="48" s="1"/>
  <c r="AT52" i="54" s="1"/>
  <c r="AH132" i="48"/>
  <c r="AS132" i="54" s="1"/>
  <c r="P132" i="48"/>
  <c r="AI132" i="48" s="1"/>
  <c r="AT132" i="54" s="1"/>
  <c r="AH225" i="48"/>
  <c r="AS225" i="54" s="1"/>
  <c r="P225" i="48"/>
  <c r="AI225" i="48" s="1"/>
  <c r="AT225" i="54" s="1"/>
  <c r="AH117" i="48"/>
  <c r="AS117" i="54" s="1"/>
  <c r="P117" i="48"/>
  <c r="AI117" i="48" s="1"/>
  <c r="AT117" i="54" s="1"/>
  <c r="AH116" i="48"/>
  <c r="AS116" i="54" s="1"/>
  <c r="P116" i="48"/>
  <c r="AI116" i="48" s="1"/>
  <c r="AT116" i="54" s="1"/>
  <c r="AH255" i="48"/>
  <c r="AS255" i="54" s="1"/>
  <c r="P255" i="48"/>
  <c r="AI255" i="48" s="1"/>
  <c r="AT255" i="54" s="1"/>
  <c r="AH222" i="48"/>
  <c r="AS222" i="54" s="1"/>
  <c r="P222" i="48"/>
  <c r="AI222" i="48" s="1"/>
  <c r="AT222" i="54" s="1"/>
  <c r="AH287" i="48"/>
  <c r="AS287" i="54" s="1"/>
  <c r="P287" i="48"/>
  <c r="AI287" i="48" s="1"/>
  <c r="AT287" i="54" s="1"/>
  <c r="AH51" i="48"/>
  <c r="AS51" i="54" s="1"/>
  <c r="P51" i="48"/>
  <c r="AI51" i="48" s="1"/>
  <c r="AT51" i="54" s="1"/>
  <c r="AH59" i="48"/>
  <c r="AS59" i="54" s="1"/>
  <c r="P59" i="48"/>
  <c r="AI59" i="48" s="1"/>
  <c r="AT59" i="54" s="1"/>
  <c r="AH48" i="48"/>
  <c r="AS48" i="54" s="1"/>
  <c r="P48" i="48"/>
  <c r="AI48" i="48" s="1"/>
  <c r="AT48" i="54" s="1"/>
  <c r="AH183" i="48"/>
  <c r="AS183" i="54" s="1"/>
  <c r="P183" i="48"/>
  <c r="AI183" i="48" s="1"/>
  <c r="AT183" i="54" s="1"/>
  <c r="AH19" i="48"/>
  <c r="AS19" i="54" s="1"/>
  <c r="P19" i="48"/>
  <c r="AI19" i="48" s="1"/>
  <c r="AT19" i="54" s="1"/>
  <c r="AH146" i="48"/>
  <c r="AS146" i="54" s="1"/>
  <c r="P146" i="48"/>
  <c r="AI146" i="48" s="1"/>
  <c r="AT146" i="54" s="1"/>
  <c r="AH100" i="48"/>
  <c r="AS100" i="54" s="1"/>
  <c r="P100" i="48"/>
  <c r="AI100" i="48" s="1"/>
  <c r="AT100" i="54" s="1"/>
  <c r="AH45" i="48"/>
  <c r="AS45" i="54" s="1"/>
  <c r="P45" i="48"/>
  <c r="AI45" i="48" s="1"/>
  <c r="AT45" i="54" s="1"/>
  <c r="AH239" i="48"/>
  <c r="AS239" i="54" s="1"/>
  <c r="P239" i="48"/>
  <c r="AI239" i="48" s="1"/>
  <c r="AT239" i="54" s="1"/>
  <c r="AH149" i="48"/>
  <c r="AS149" i="54" s="1"/>
  <c r="P149" i="48"/>
  <c r="AI149" i="48" s="1"/>
  <c r="AT149" i="54" s="1"/>
  <c r="AH60" i="48"/>
  <c r="AS60" i="54" s="1"/>
  <c r="P60" i="48"/>
  <c r="AI60" i="48" s="1"/>
  <c r="AT60" i="54" s="1"/>
  <c r="AH101" i="48"/>
  <c r="AS101" i="54" s="1"/>
  <c r="P101" i="48"/>
  <c r="AI101" i="48" s="1"/>
  <c r="AT101" i="54" s="1"/>
  <c r="AH133" i="48"/>
  <c r="AS133" i="54" s="1"/>
  <c r="P133" i="48"/>
  <c r="AI133" i="48" s="1"/>
  <c r="AT133" i="54" s="1"/>
  <c r="AH271" i="48"/>
  <c r="AS271" i="54" s="1"/>
  <c r="P271" i="48"/>
  <c r="AI271" i="48" s="1"/>
  <c r="AT271" i="54" s="1"/>
  <c r="AH57" i="48"/>
  <c r="AS57" i="54" s="1"/>
  <c r="P57" i="48"/>
  <c r="AI57" i="48" s="1"/>
  <c r="AT57" i="54" s="1"/>
  <c r="AH89" i="48"/>
  <c r="AS89" i="54" s="1"/>
  <c r="P89" i="48"/>
  <c r="AI89" i="48" s="1"/>
  <c r="AT89" i="54" s="1"/>
  <c r="AH221" i="48"/>
  <c r="AS221" i="54" s="1"/>
  <c r="P221" i="48"/>
  <c r="AI221" i="48" s="1"/>
  <c r="AT221" i="54" s="1"/>
  <c r="AH205" i="48"/>
  <c r="AS205" i="54" s="1"/>
  <c r="P205" i="48"/>
  <c r="AI205" i="48" s="1"/>
  <c r="AT205" i="54" s="1"/>
  <c r="AH58" i="48"/>
  <c r="AS58" i="54" s="1"/>
  <c r="P58" i="48"/>
  <c r="AI58" i="48" s="1"/>
  <c r="AT58" i="54" s="1"/>
  <c r="AH189" i="48"/>
  <c r="AS189" i="54" s="1"/>
  <c r="P189" i="48"/>
  <c r="AI189" i="48" s="1"/>
  <c r="AT189" i="54" s="1"/>
  <c r="DJ107" i="45"/>
  <c r="DB107" i="45"/>
  <c r="DA107" i="45"/>
  <c r="DA134" i="45"/>
  <c r="BY15" i="45"/>
  <c r="CQ15" i="45" s="1"/>
  <c r="J328" i="47"/>
  <c r="J337" i="47"/>
  <c r="J345" i="47"/>
  <c r="J353" i="47"/>
  <c r="J361" i="47"/>
  <c r="J369" i="47"/>
  <c r="J377" i="47"/>
  <c r="J385" i="47"/>
  <c r="J393" i="47"/>
  <c r="J401" i="47"/>
  <c r="J409" i="47"/>
  <c r="J417" i="47"/>
  <c r="J350" i="47"/>
  <c r="J390" i="47"/>
  <c r="J406" i="47"/>
  <c r="J343" i="47"/>
  <c r="J367" i="47"/>
  <c r="J383" i="47"/>
  <c r="J415" i="47"/>
  <c r="J360" i="47"/>
  <c r="J392" i="47"/>
  <c r="J330" i="47"/>
  <c r="J338" i="47"/>
  <c r="J346" i="47"/>
  <c r="J354" i="47"/>
  <c r="J362" i="47"/>
  <c r="J370" i="47"/>
  <c r="J378" i="47"/>
  <c r="J386" i="47"/>
  <c r="J394" i="47"/>
  <c r="J402" i="47"/>
  <c r="J410" i="47"/>
  <c r="J418" i="47"/>
  <c r="J358" i="47"/>
  <c r="J374" i="47"/>
  <c r="J382" i="47"/>
  <c r="J398" i="47"/>
  <c r="J335" i="47"/>
  <c r="J359" i="47"/>
  <c r="J391" i="47"/>
  <c r="J336" i="47"/>
  <c r="J368" i="47"/>
  <c r="J400" i="47"/>
  <c r="J331" i="47"/>
  <c r="J339" i="47"/>
  <c r="J347" i="47"/>
  <c r="J355" i="47"/>
  <c r="J363" i="47"/>
  <c r="J371" i="47"/>
  <c r="J379" i="47"/>
  <c r="J387" i="47"/>
  <c r="J395" i="47"/>
  <c r="J403" i="47"/>
  <c r="J411" i="47"/>
  <c r="J419" i="47"/>
  <c r="J366" i="47"/>
  <c r="J332" i="47"/>
  <c r="J340" i="47"/>
  <c r="J348" i="47"/>
  <c r="J356" i="47"/>
  <c r="J364" i="47"/>
  <c r="J372" i="47"/>
  <c r="J380" i="47"/>
  <c r="J388" i="47"/>
  <c r="J396" i="47"/>
  <c r="J404" i="47"/>
  <c r="J412" i="47"/>
  <c r="J420" i="47"/>
  <c r="J342" i="47"/>
  <c r="J414" i="47"/>
  <c r="J399" i="47"/>
  <c r="J352" i="47"/>
  <c r="J384" i="47"/>
  <c r="J408" i="47"/>
  <c r="J333" i="47"/>
  <c r="J341" i="47"/>
  <c r="J349" i="47"/>
  <c r="J357" i="47"/>
  <c r="J365" i="47"/>
  <c r="J373" i="47"/>
  <c r="J381" i="47"/>
  <c r="J389" i="47"/>
  <c r="J397" i="47"/>
  <c r="J405" i="47"/>
  <c r="J413" i="47"/>
  <c r="J334" i="47"/>
  <c r="J351" i="47"/>
  <c r="J375" i="47"/>
  <c r="J407" i="47"/>
  <c r="J344" i="47"/>
  <c r="J376" i="47"/>
  <c r="J416" i="47"/>
  <c r="AY60" i="66"/>
  <c r="DJ175" i="45"/>
  <c r="DA128" i="45"/>
  <c r="DA136" i="45"/>
  <c r="DJ70" i="45"/>
  <c r="DA61" i="45"/>
  <c r="DA45" i="45"/>
  <c r="DA212" i="45"/>
  <c r="DA182" i="45"/>
  <c r="DA96" i="45"/>
  <c r="DA53" i="45"/>
  <c r="DA170" i="45"/>
  <c r="DA104" i="45"/>
  <c r="DJ222" i="45"/>
  <c r="DA101" i="45"/>
  <c r="DA91" i="45"/>
  <c r="DA246" i="45"/>
  <c r="DA69" i="45"/>
  <c r="DA178" i="45"/>
  <c r="CO13" i="45"/>
  <c r="CY13" i="45" s="1"/>
  <c r="DA39" i="45"/>
  <c r="DJ157" i="45"/>
  <c r="DJ50" i="45"/>
  <c r="DJ291" i="45"/>
  <c r="DJ46" i="45"/>
  <c r="DA162" i="45"/>
  <c r="DJ74" i="45"/>
  <c r="DA115" i="45"/>
  <c r="DJ31" i="45"/>
  <c r="DA131" i="45"/>
  <c r="DA270" i="45"/>
  <c r="DB53" i="45"/>
  <c r="DK53" i="45"/>
  <c r="DB50" i="45"/>
  <c r="DK50" i="45"/>
  <c r="DB157" i="45"/>
  <c r="DK157" i="45"/>
  <c r="DB219" i="45"/>
  <c r="DK219" i="45"/>
  <c r="DB74" i="45"/>
  <c r="DK74" i="45"/>
  <c r="DB31" i="45"/>
  <c r="DK31" i="45"/>
  <c r="DB134" i="45"/>
  <c r="DK134" i="45"/>
  <c r="DB115" i="45"/>
  <c r="DK115" i="45"/>
  <c r="DB46" i="45"/>
  <c r="DK46" i="45"/>
  <c r="DB131" i="45"/>
  <c r="DK131" i="45"/>
  <c r="DA59" i="45"/>
  <c r="DB148" i="45"/>
  <c r="DK148" i="45"/>
  <c r="DB33" i="45"/>
  <c r="DK33" i="45"/>
  <c r="DB41" i="45"/>
  <c r="DK41" i="45"/>
  <c r="DB48" i="45"/>
  <c r="DK48" i="45"/>
  <c r="DB294" i="45"/>
  <c r="DK294" i="45"/>
  <c r="DB43" i="45"/>
  <c r="DK43" i="45"/>
  <c r="DB19" i="45"/>
  <c r="DK19" i="45"/>
  <c r="DB75" i="45"/>
  <c r="DK75" i="45"/>
  <c r="DB22" i="45"/>
  <c r="DK22" i="45"/>
  <c r="DB51" i="45"/>
  <c r="DK51" i="45"/>
  <c r="DB143" i="45"/>
  <c r="DK143" i="45"/>
  <c r="DB207" i="45"/>
  <c r="DK207" i="45"/>
  <c r="DB262" i="45"/>
  <c r="DK262" i="45"/>
  <c r="DB217" i="45"/>
  <c r="DK217" i="45"/>
  <c r="DB82" i="45"/>
  <c r="DK82" i="45"/>
  <c r="DB182" i="45"/>
  <c r="DK182" i="45"/>
  <c r="DB70" i="45"/>
  <c r="DK70" i="45"/>
  <c r="DB69" i="45"/>
  <c r="DK69" i="45"/>
  <c r="DB17" i="45"/>
  <c r="DK17" i="45"/>
  <c r="DJ143" i="45"/>
  <c r="DJ162" i="45"/>
  <c r="DB162" i="45"/>
  <c r="DJ123" i="45"/>
  <c r="DB123" i="45"/>
  <c r="DA38" i="45"/>
  <c r="DB38" i="45"/>
  <c r="DA214" i="45"/>
  <c r="DB214" i="45"/>
  <c r="DA83" i="45"/>
  <c r="DB83" i="45"/>
  <c r="DA271" i="45"/>
  <c r="DB271" i="45"/>
  <c r="DJ39" i="45"/>
  <c r="DB39" i="45"/>
  <c r="DA62" i="45"/>
  <c r="DB62" i="45"/>
  <c r="DJ133" i="45"/>
  <c r="DB133" i="45"/>
  <c r="DJ86" i="45"/>
  <c r="DB86" i="45"/>
  <c r="DJ58" i="45"/>
  <c r="DB58" i="45"/>
  <c r="DA291" i="45"/>
  <c r="DB291" i="45"/>
  <c r="DJ239" i="45"/>
  <c r="DB239" i="45"/>
  <c r="DJ122" i="45"/>
  <c r="DB122" i="45"/>
  <c r="DJ303" i="45"/>
  <c r="DB303" i="45"/>
  <c r="DJ104" i="45"/>
  <c r="DB104" i="45"/>
  <c r="DJ102" i="45"/>
  <c r="DB102" i="45"/>
  <c r="DJ227" i="45"/>
  <c r="DB227" i="45"/>
  <c r="DA102" i="45"/>
  <c r="DA227" i="45"/>
  <c r="DA43" i="45"/>
  <c r="DJ78" i="45"/>
  <c r="DB78" i="45"/>
  <c r="DJ294" i="45"/>
  <c r="DJ262" i="45"/>
  <c r="DJ128" i="45"/>
  <c r="DB128" i="45"/>
  <c r="DJ170" i="45"/>
  <c r="DB170" i="45"/>
  <c r="DJ101" i="45"/>
  <c r="DB101" i="45"/>
  <c r="DJ91" i="45"/>
  <c r="DB91" i="45"/>
  <c r="DJ136" i="45"/>
  <c r="DB136" i="45"/>
  <c r="DJ178" i="45"/>
  <c r="DB178" i="45"/>
  <c r="DJ96" i="45"/>
  <c r="DB96" i="45"/>
  <c r="DJ45" i="45"/>
  <c r="DB45" i="45"/>
  <c r="DJ212" i="45"/>
  <c r="DB212" i="45"/>
  <c r="DJ246" i="45"/>
  <c r="DB246" i="45"/>
  <c r="DJ61" i="45"/>
  <c r="DB61" i="45"/>
  <c r="DA217" i="45"/>
  <c r="DA207" i="45"/>
  <c r="DA75" i="45"/>
  <c r="DA175" i="45"/>
  <c r="DB175" i="45"/>
  <c r="DJ90" i="45"/>
  <c r="DB90" i="45"/>
  <c r="DJ30" i="45"/>
  <c r="DB30" i="45"/>
  <c r="DJ125" i="45"/>
  <c r="DB125" i="45"/>
  <c r="DJ126" i="45"/>
  <c r="DB126" i="45"/>
  <c r="DA130" i="45"/>
  <c r="DB130" i="45"/>
  <c r="DJ44" i="45"/>
  <c r="DB44" i="45"/>
  <c r="DJ23" i="45"/>
  <c r="DB23" i="45"/>
  <c r="DJ259" i="45"/>
  <c r="DB259" i="45"/>
  <c r="DA222" i="45"/>
  <c r="DB222" i="45"/>
  <c r="DA114" i="45"/>
  <c r="DB114" i="45"/>
  <c r="DA117" i="45"/>
  <c r="DB117" i="45"/>
  <c r="DA28" i="45"/>
  <c r="DB28" i="45"/>
  <c r="DA143" i="45"/>
  <c r="DA294" i="45"/>
  <c r="DJ51" i="45"/>
  <c r="DJ286" i="45"/>
  <c r="DB286" i="45"/>
  <c r="DJ270" i="45"/>
  <c r="DB270" i="45"/>
  <c r="DA262" i="45"/>
  <c r="DJ163" i="45"/>
  <c r="DB163" i="45"/>
  <c r="DJ66" i="45"/>
  <c r="DB66" i="45"/>
  <c r="DJ109" i="45"/>
  <c r="DB109" i="45"/>
  <c r="DJ151" i="45"/>
  <c r="DB151" i="45"/>
  <c r="DJ59" i="45"/>
  <c r="DB59" i="45"/>
  <c r="DJ195" i="45"/>
  <c r="DB195" i="45"/>
  <c r="DA281" i="45"/>
  <c r="DB281" i="45"/>
  <c r="DJ118" i="45"/>
  <c r="DB118" i="45"/>
  <c r="DA110" i="45"/>
  <c r="DB110" i="45"/>
  <c r="DJ180" i="45"/>
  <c r="DB180" i="45"/>
  <c r="DJ146" i="45"/>
  <c r="DB146" i="45"/>
  <c r="DJ278" i="45"/>
  <c r="DB278" i="45"/>
  <c r="DJ150" i="45"/>
  <c r="DB150" i="45"/>
  <c r="DA51" i="45"/>
  <c r="DJ219" i="45"/>
  <c r="DJ112" i="45"/>
  <c r="DB112" i="45"/>
  <c r="DJ153" i="45"/>
  <c r="DB153" i="45"/>
  <c r="DA230" i="45"/>
  <c r="DB230" i="45"/>
  <c r="DJ54" i="45"/>
  <c r="DB54" i="45"/>
  <c r="DJ154" i="45"/>
  <c r="DB154" i="45"/>
  <c r="DA35" i="45"/>
  <c r="DB35" i="45"/>
  <c r="DA138" i="45"/>
  <c r="DB138" i="45"/>
  <c r="DA64" i="45"/>
  <c r="DB64" i="45"/>
  <c r="DJ93" i="45"/>
  <c r="DB93" i="45"/>
  <c r="DJ85" i="45"/>
  <c r="DB85" i="45"/>
  <c r="DJ149" i="45"/>
  <c r="DB149" i="45"/>
  <c r="DJ106" i="45"/>
  <c r="DB106" i="45"/>
  <c r="DJ75" i="45"/>
  <c r="DJ207" i="45"/>
  <c r="DJ82" i="45"/>
  <c r="DJ77" i="45"/>
  <c r="DB77" i="45"/>
  <c r="DJ166" i="45"/>
  <c r="DB166" i="45"/>
  <c r="DA72" i="45"/>
  <c r="DB72" i="45"/>
  <c r="DJ99" i="45"/>
  <c r="DB99" i="45"/>
  <c r="DJ198" i="45"/>
  <c r="DB198" i="45"/>
  <c r="DJ80" i="45"/>
  <c r="DB80" i="45"/>
  <c r="DA111" i="45"/>
  <c r="DB111" i="45"/>
  <c r="DJ67" i="45"/>
  <c r="DB67" i="45"/>
  <c r="DA27" i="45"/>
  <c r="DB27" i="45"/>
  <c r="DA166" i="45"/>
  <c r="DJ72" i="45"/>
  <c r="DA77" i="45"/>
  <c r="DA99" i="45"/>
  <c r="DJ111" i="45"/>
  <c r="DJ27" i="45"/>
  <c r="DA67" i="45"/>
  <c r="DA85" i="45"/>
  <c r="DG8" i="45"/>
  <c r="DA149" i="45"/>
  <c r="DJ138" i="45"/>
  <c r="DA44" i="45"/>
  <c r="DJ130" i="45"/>
  <c r="DA125" i="45"/>
  <c r="DJ117" i="45"/>
  <c r="DA90" i="45"/>
  <c r="DJ114" i="45"/>
  <c r="DJ28" i="45"/>
  <c r="DJ38" i="45"/>
  <c r="DA30" i="45"/>
  <c r="DA259" i="45"/>
  <c r="DA23" i="45"/>
  <c r="DA133" i="45"/>
  <c r="DA122" i="45"/>
  <c r="DJ62" i="45"/>
  <c r="DA86" i="45"/>
  <c r="DJ271" i="45"/>
  <c r="DJ214" i="45"/>
  <c r="DA303" i="45"/>
  <c r="DA58" i="45"/>
  <c r="DA123" i="45"/>
  <c r="DJ83" i="45"/>
  <c r="DA239" i="45"/>
  <c r="DA146" i="45"/>
  <c r="DI148" i="45"/>
  <c r="DA195" i="45"/>
  <c r="DA109" i="45"/>
  <c r="DA180" i="45"/>
  <c r="DJ148" i="45"/>
  <c r="DA278" i="45"/>
  <c r="DA150" i="45"/>
  <c r="DA163" i="45"/>
  <c r="DJ110" i="45"/>
  <c r="DA66" i="45"/>
  <c r="DA148" i="45"/>
  <c r="DJ281" i="45"/>
  <c r="DA151" i="45"/>
  <c r="DA118" i="45"/>
  <c r="DJ64" i="45"/>
  <c r="DA112" i="45"/>
  <c r="DJ35" i="45"/>
  <c r="DA154" i="45"/>
  <c r="DA106" i="45"/>
  <c r="DJ230" i="45"/>
  <c r="DA153" i="45"/>
  <c r="DA54" i="45"/>
  <c r="DA93" i="45"/>
  <c r="DA126" i="45"/>
  <c r="BY305" i="45"/>
  <c r="CQ305" i="45" s="1"/>
  <c r="BY188" i="45"/>
  <c r="CQ188" i="45" s="1"/>
  <c r="BY100" i="45"/>
  <c r="CQ100" i="45" s="1"/>
  <c r="BY92" i="45"/>
  <c r="CQ92" i="45" s="1"/>
  <c r="BY185" i="45"/>
  <c r="CQ185" i="45" s="1"/>
  <c r="BY209" i="45"/>
  <c r="CQ209" i="45" s="1"/>
  <c r="BY76" i="45"/>
  <c r="CQ76" i="45" s="1"/>
  <c r="BY225" i="45"/>
  <c r="CQ225" i="45" s="1"/>
  <c r="BY260" i="45"/>
  <c r="CQ260" i="45" s="1"/>
  <c r="BY265" i="45"/>
  <c r="CQ265" i="45" s="1"/>
  <c r="BY137" i="45"/>
  <c r="CQ137" i="45" s="1"/>
  <c r="BY37" i="45"/>
  <c r="CQ37" i="45" s="1"/>
  <c r="BY172" i="45"/>
  <c r="CQ172" i="45" s="1"/>
  <c r="BY241" i="45"/>
  <c r="CQ241" i="45" s="1"/>
  <c r="BY156" i="45"/>
  <c r="CQ156" i="45" s="1"/>
  <c r="BY233" i="45"/>
  <c r="CQ233" i="45" s="1"/>
  <c r="BY249" i="45"/>
  <c r="CQ249" i="45" s="1"/>
  <c r="BY145" i="45"/>
  <c r="CQ145" i="45" s="1"/>
  <c r="BY116" i="45"/>
  <c r="CQ116" i="45" s="1"/>
  <c r="BY21" i="45"/>
  <c r="BY177" i="45"/>
  <c r="CQ177" i="45" s="1"/>
  <c r="DG9" i="45"/>
  <c r="BY297" i="45"/>
  <c r="CQ297" i="45" s="1"/>
  <c r="BY204" i="45"/>
  <c r="CQ204" i="45" s="1"/>
  <c r="DK204" i="45" s="1"/>
  <c r="BY108" i="45"/>
  <c r="CQ108" i="45" s="1"/>
  <c r="BY68" i="45"/>
  <c r="CQ68" i="45" s="1"/>
  <c r="BY201" i="45"/>
  <c r="CQ201" i="45" s="1"/>
  <c r="BY164" i="45"/>
  <c r="CQ164" i="45" s="1"/>
  <c r="BY140" i="45"/>
  <c r="CQ140" i="45" s="1"/>
  <c r="BY169" i="45"/>
  <c r="CQ169" i="45" s="1"/>
  <c r="BY97" i="45"/>
  <c r="CQ97" i="45" s="1"/>
  <c r="BY124" i="45"/>
  <c r="BY289" i="45"/>
  <c r="CQ289" i="45" s="1"/>
  <c r="BY18" i="45"/>
  <c r="CQ18" i="45" s="1"/>
  <c r="BY42" i="45"/>
  <c r="CQ42" i="45" s="1"/>
  <c r="DA286" i="45"/>
  <c r="CX9" i="45"/>
  <c r="BY268" i="45"/>
  <c r="CQ268" i="45" s="1"/>
  <c r="BY105" i="45"/>
  <c r="CQ105" i="45" s="1"/>
  <c r="BY52" i="45"/>
  <c r="CQ52" i="45" s="1"/>
  <c r="DJ52" i="45" s="1"/>
  <c r="BY273" i="45"/>
  <c r="CQ273" i="45" s="1"/>
  <c r="BY121" i="45"/>
  <c r="CQ121" i="45" s="1"/>
  <c r="BY60" i="45"/>
  <c r="CQ60" i="45" s="1"/>
  <c r="BY196" i="45"/>
  <c r="CQ196" i="45" s="1"/>
  <c r="BY161" i="45"/>
  <c r="CQ161" i="45" s="1"/>
  <c r="BY113" i="45"/>
  <c r="BY81" i="45"/>
  <c r="CQ81" i="45" s="1"/>
  <c r="DK81" i="45" s="1"/>
  <c r="BY73" i="45"/>
  <c r="CQ73" i="45" s="1"/>
  <c r="BY228" i="45"/>
  <c r="CQ228" i="45" s="1"/>
  <c r="BY300" i="45"/>
  <c r="CQ300" i="45" s="1"/>
  <c r="BY284" i="45"/>
  <c r="CQ284" i="45" s="1"/>
  <c r="DK284" i="45" s="1"/>
  <c r="BY244" i="45"/>
  <c r="CQ244" i="45" s="1"/>
  <c r="BY132" i="45"/>
  <c r="CQ132" i="45" s="1"/>
  <c r="BY84" i="45"/>
  <c r="CQ84" i="45" s="1"/>
  <c r="BY252" i="45"/>
  <c r="CQ252" i="45" s="1"/>
  <c r="BY57" i="45"/>
  <c r="CQ57" i="45" s="1"/>
  <c r="BY220" i="45"/>
  <c r="CQ220" i="45" s="1"/>
  <c r="BY236" i="45"/>
  <c r="CQ236" i="45" s="1"/>
  <c r="BY29" i="45"/>
  <c r="CQ29" i="45" s="1"/>
  <c r="BY34" i="45"/>
  <c r="CQ34" i="45" s="1"/>
  <c r="BY292" i="45"/>
  <c r="CQ292" i="45" s="1"/>
  <c r="DA78" i="45"/>
  <c r="BX13" i="45"/>
  <c r="CZ84" i="45"/>
  <c r="DI84" i="45"/>
  <c r="CZ252" i="45"/>
  <c r="DI252" i="45"/>
  <c r="CZ57" i="45"/>
  <c r="DI57" i="45"/>
  <c r="CZ220" i="45"/>
  <c r="DI220" i="45"/>
  <c r="CZ236" i="45"/>
  <c r="DI236" i="45"/>
  <c r="CZ29" i="45"/>
  <c r="DI29" i="45"/>
  <c r="CZ132" i="45"/>
  <c r="CZ289" i="45"/>
  <c r="CZ73" i="45"/>
  <c r="CZ196" i="45"/>
  <c r="CZ108" i="45"/>
  <c r="CZ241" i="45"/>
  <c r="CZ68" i="45"/>
  <c r="CZ209" i="45"/>
  <c r="CZ228" i="45"/>
  <c r="DJ22" i="45"/>
  <c r="DI22" i="45"/>
  <c r="DI228" i="45"/>
  <c r="DI68" i="45"/>
  <c r="CZ105" i="45"/>
  <c r="CZ60" i="45"/>
  <c r="CZ18" i="45"/>
  <c r="CZ188" i="45"/>
  <c r="CZ121" i="45"/>
  <c r="CZ164" i="45"/>
  <c r="CZ97" i="45"/>
  <c r="CZ92" i="45"/>
  <c r="DJ17" i="45"/>
  <c r="DI17" i="45"/>
  <c r="DI289" i="45"/>
  <c r="DI108" i="45"/>
  <c r="CZ34" i="45"/>
  <c r="DJ41" i="45"/>
  <c r="DI41" i="45"/>
  <c r="CZ244" i="45"/>
  <c r="DI34" i="45"/>
  <c r="CZ233" i="45"/>
  <c r="CZ169" i="45"/>
  <c r="CZ156" i="45"/>
  <c r="CZ76" i="45"/>
  <c r="CZ225" i="45"/>
  <c r="CZ37" i="45"/>
  <c r="CZ201" i="45"/>
  <c r="DJ48" i="45"/>
  <c r="DI48" i="45"/>
  <c r="DI196" i="45"/>
  <c r="CZ268" i="45"/>
  <c r="DI132" i="45"/>
  <c r="CZ284" i="45"/>
  <c r="CZ273" i="45"/>
  <c r="CZ177" i="45"/>
  <c r="CZ260" i="45"/>
  <c r="DI97" i="45"/>
  <c r="DI177" i="45"/>
  <c r="DI169" i="45"/>
  <c r="DI92" i="45"/>
  <c r="CZ300" i="45"/>
  <c r="CZ100" i="45"/>
  <c r="CZ265" i="45"/>
  <c r="CZ42" i="45"/>
  <c r="CZ81" i="45"/>
  <c r="CZ52" i="45"/>
  <c r="DI300" i="45"/>
  <c r="DI18" i="45"/>
  <c r="DI156" i="45"/>
  <c r="DI76" i="45"/>
  <c r="DI121" i="45"/>
  <c r="DI265" i="45"/>
  <c r="DI37" i="45"/>
  <c r="DJ19" i="45"/>
  <c r="DI19" i="45"/>
  <c r="DI81" i="45"/>
  <c r="DI241" i="45"/>
  <c r="DI201" i="45"/>
  <c r="DI105" i="45"/>
  <c r="CZ305" i="45"/>
  <c r="CZ116" i="45"/>
  <c r="CZ140" i="45"/>
  <c r="CZ292" i="45"/>
  <c r="CZ185" i="45"/>
  <c r="CZ137" i="45"/>
  <c r="CZ297" i="45"/>
  <c r="CZ172" i="45"/>
  <c r="CZ161" i="45"/>
  <c r="CZ204" i="45"/>
  <c r="CZ249" i="45"/>
  <c r="CZ21" i="45"/>
  <c r="CZ145" i="45"/>
  <c r="DJ33" i="45"/>
  <c r="DI33" i="45"/>
  <c r="DI244" i="45"/>
  <c r="DI73" i="45"/>
  <c r="DI209" i="45"/>
  <c r="DI42" i="45"/>
  <c r="DI268" i="45"/>
  <c r="DI161" i="45"/>
  <c r="DI113" i="45"/>
  <c r="DH113" i="45"/>
  <c r="J531" i="47"/>
  <c r="CZ41" i="45"/>
  <c r="DA41" i="45"/>
  <c r="CZ22" i="45"/>
  <c r="DA22" i="45"/>
  <c r="CZ19" i="45"/>
  <c r="DA19" i="45"/>
  <c r="CZ17" i="45"/>
  <c r="DA17" i="45"/>
  <c r="CZ33" i="45"/>
  <c r="DA33" i="45"/>
  <c r="CZ48" i="45"/>
  <c r="DA48" i="45"/>
  <c r="I54" i="66"/>
  <c r="T54" i="66" s="1"/>
  <c r="I57" i="66"/>
  <c r="T57" i="66" s="1"/>
  <c r="CX8" i="45"/>
  <c r="I60" i="66"/>
  <c r="AF60" i="66" s="1"/>
  <c r="I55" i="66"/>
  <c r="CP15" i="45"/>
  <c r="I58" i="66"/>
  <c r="AZ58" i="66" s="1"/>
  <c r="CZ113" i="45"/>
  <c r="I59" i="66"/>
  <c r="AF59" i="66" s="1"/>
  <c r="I56" i="66"/>
  <c r="AZ56" i="66" s="1"/>
  <c r="AE55" i="66"/>
  <c r="AY55" i="66"/>
  <c r="S55" i="66"/>
  <c r="AO55" i="66" s="1"/>
  <c r="CY113" i="45"/>
  <c r="CY8" i="45" s="1"/>
  <c r="AC9" i="47"/>
  <c r="AC10" i="47"/>
  <c r="AT15" i="47"/>
  <c r="AT9" i="47" s="1"/>
  <c r="F13" i="68"/>
  <c r="G13" i="68"/>
  <c r="AG19" i="48"/>
  <c r="AR19" i="54" s="1"/>
  <c r="AG116" i="48"/>
  <c r="AR116" i="54" s="1"/>
  <c r="AG255" i="48"/>
  <c r="AR255" i="54" s="1"/>
  <c r="AG222" i="48"/>
  <c r="AR222" i="54" s="1"/>
  <c r="AG287" i="48"/>
  <c r="AR287" i="54" s="1"/>
  <c r="AG51" i="48"/>
  <c r="AR51" i="54" s="1"/>
  <c r="AG59" i="48"/>
  <c r="AR59" i="54" s="1"/>
  <c r="AG48" i="48"/>
  <c r="AR48" i="54" s="1"/>
  <c r="AG183" i="48"/>
  <c r="AR183" i="54" s="1"/>
  <c r="AG149" i="48"/>
  <c r="AR149" i="54" s="1"/>
  <c r="AG146" i="48"/>
  <c r="AR146" i="54" s="1"/>
  <c r="AG45" i="48"/>
  <c r="AR45" i="54" s="1"/>
  <c r="AG60" i="48"/>
  <c r="AR60" i="54" s="1"/>
  <c r="AG133" i="48"/>
  <c r="AR133" i="54" s="1"/>
  <c r="AG271" i="48"/>
  <c r="AR271" i="54" s="1"/>
  <c r="AG57" i="48"/>
  <c r="AR57" i="54" s="1"/>
  <c r="AG89" i="48"/>
  <c r="AR89" i="54" s="1"/>
  <c r="AG221" i="48"/>
  <c r="AR221" i="54" s="1"/>
  <c r="AG205" i="48"/>
  <c r="AR205" i="54" s="1"/>
  <c r="AG58" i="48"/>
  <c r="AR58" i="54" s="1"/>
  <c r="AG189" i="48"/>
  <c r="AR189" i="54" s="1"/>
  <c r="AG239" i="48"/>
  <c r="AR239" i="54" s="1"/>
  <c r="AG101" i="48"/>
  <c r="AR101" i="54" s="1"/>
  <c r="AG100" i="48"/>
  <c r="AR100" i="54" s="1"/>
  <c r="AG16" i="48"/>
  <c r="AR16" i="54" s="1"/>
  <c r="AG278" i="48"/>
  <c r="AR278" i="54" s="1"/>
  <c r="AG61" i="48"/>
  <c r="AR61" i="54" s="1"/>
  <c r="AG52" i="48"/>
  <c r="AR52" i="54" s="1"/>
  <c r="AG132" i="48"/>
  <c r="AR132" i="54" s="1"/>
  <c r="AG225" i="48"/>
  <c r="AR225" i="54" s="1"/>
  <c r="AG117" i="48"/>
  <c r="AR117" i="54" s="1"/>
  <c r="AG157" i="48"/>
  <c r="AR157" i="54" s="1"/>
  <c r="AF159" i="48"/>
  <c r="AQ159" i="54" s="1"/>
  <c r="O159" i="48"/>
  <c r="AF267" i="48"/>
  <c r="AQ267" i="54" s="1"/>
  <c r="O267" i="48"/>
  <c r="AF179" i="48"/>
  <c r="AQ179" i="54" s="1"/>
  <c r="O179" i="48"/>
  <c r="AF95" i="48"/>
  <c r="AQ95" i="54" s="1"/>
  <c r="O95" i="48"/>
  <c r="AF23" i="48"/>
  <c r="AQ23" i="54" s="1"/>
  <c r="O23" i="48"/>
  <c r="AF207" i="48"/>
  <c r="AQ207" i="54" s="1"/>
  <c r="O207" i="48"/>
  <c r="AF53" i="48"/>
  <c r="AQ53" i="54" s="1"/>
  <c r="O53" i="48"/>
  <c r="AF135" i="48"/>
  <c r="AQ135" i="54" s="1"/>
  <c r="O135" i="48"/>
  <c r="AF250" i="48"/>
  <c r="AQ250" i="54" s="1"/>
  <c r="O250" i="48"/>
  <c r="AF80" i="48"/>
  <c r="AQ80" i="54" s="1"/>
  <c r="O80" i="48"/>
  <c r="AF72" i="48"/>
  <c r="AQ72" i="54" s="1"/>
  <c r="O72" i="48"/>
  <c r="AF26" i="48"/>
  <c r="AQ26" i="54" s="1"/>
  <c r="O26" i="48"/>
  <c r="AF56" i="48"/>
  <c r="AQ56" i="54" s="1"/>
  <c r="O56" i="48"/>
  <c r="AF123" i="48"/>
  <c r="AQ123" i="54" s="1"/>
  <c r="O123" i="48"/>
  <c r="AF38" i="48"/>
  <c r="AQ38" i="54" s="1"/>
  <c r="O38" i="48"/>
  <c r="AF20" i="48"/>
  <c r="AQ20" i="54" s="1"/>
  <c r="O20" i="48"/>
  <c r="AF42" i="48"/>
  <c r="AQ42" i="54" s="1"/>
  <c r="O42" i="48"/>
  <c r="AF279" i="48"/>
  <c r="AQ279" i="54" s="1"/>
  <c r="O279" i="48"/>
  <c r="AF247" i="48"/>
  <c r="AQ247" i="54" s="1"/>
  <c r="O247" i="48"/>
  <c r="AF177" i="48"/>
  <c r="AQ177" i="54" s="1"/>
  <c r="O177" i="48"/>
  <c r="AF103" i="48"/>
  <c r="AQ103" i="54" s="1"/>
  <c r="O103" i="48"/>
  <c r="AF22" i="48"/>
  <c r="AQ22" i="54" s="1"/>
  <c r="O22" i="48"/>
  <c r="AF170" i="48"/>
  <c r="AQ170" i="54" s="1"/>
  <c r="O170" i="48"/>
  <c r="AF30" i="48"/>
  <c r="AQ30" i="54" s="1"/>
  <c r="O30" i="48"/>
  <c r="AF121" i="48"/>
  <c r="AQ121" i="54" s="1"/>
  <c r="O121" i="48"/>
  <c r="AF190" i="48"/>
  <c r="AQ190" i="54" s="1"/>
  <c r="O190" i="48"/>
  <c r="AF199" i="48"/>
  <c r="AQ199" i="54" s="1"/>
  <c r="O199" i="48"/>
  <c r="AF262" i="48"/>
  <c r="AQ262" i="54" s="1"/>
  <c r="O262" i="48"/>
  <c r="AF68" i="48"/>
  <c r="AQ68" i="54" s="1"/>
  <c r="O68" i="48"/>
  <c r="AF217" i="48"/>
  <c r="AQ217" i="54" s="1"/>
  <c r="O217" i="48"/>
  <c r="AF277" i="48"/>
  <c r="AQ277" i="54" s="1"/>
  <c r="O277" i="48"/>
  <c r="AF145" i="48"/>
  <c r="AQ145" i="54" s="1"/>
  <c r="O145" i="48"/>
  <c r="AF94" i="48"/>
  <c r="AQ94" i="54" s="1"/>
  <c r="O94" i="48"/>
  <c r="AF300" i="48"/>
  <c r="AQ300" i="54" s="1"/>
  <c r="O300" i="48"/>
  <c r="AF104" i="48"/>
  <c r="AQ104" i="54" s="1"/>
  <c r="O104" i="48"/>
  <c r="AF107" i="48"/>
  <c r="AQ107" i="54" s="1"/>
  <c r="O107" i="48"/>
  <c r="AF185" i="48"/>
  <c r="AQ185" i="54" s="1"/>
  <c r="O185" i="48"/>
  <c r="AF105" i="48"/>
  <c r="AQ105" i="54" s="1"/>
  <c r="O105" i="48"/>
  <c r="AF143" i="48"/>
  <c r="AQ143" i="54" s="1"/>
  <c r="O143" i="48"/>
  <c r="AF124" i="48"/>
  <c r="AQ124" i="54" s="1"/>
  <c r="O124" i="48"/>
  <c r="AF15" i="48"/>
  <c r="AQ15" i="54" s="1"/>
  <c r="AF276" i="48"/>
  <c r="AQ276" i="54" s="1"/>
  <c r="O276" i="48"/>
  <c r="AF64" i="48"/>
  <c r="AQ64" i="54" s="1"/>
  <c r="O64" i="48"/>
  <c r="AF173" i="48"/>
  <c r="AQ173" i="54" s="1"/>
  <c r="O173" i="48"/>
  <c r="AF202" i="48"/>
  <c r="AQ202" i="54" s="1"/>
  <c r="O202" i="48"/>
  <c r="AF305" i="48"/>
  <c r="AQ305" i="54" s="1"/>
  <c r="O305" i="48"/>
  <c r="AF141" i="48"/>
  <c r="AQ141" i="54" s="1"/>
  <c r="O141" i="48"/>
  <c r="AF36" i="48"/>
  <c r="AQ36" i="54" s="1"/>
  <c r="O36" i="48"/>
  <c r="AF97" i="48"/>
  <c r="AQ97" i="54" s="1"/>
  <c r="O97" i="48"/>
  <c r="AF188" i="48"/>
  <c r="AQ188" i="54" s="1"/>
  <c r="O188" i="48"/>
  <c r="AF29" i="48"/>
  <c r="AQ29" i="54" s="1"/>
  <c r="O29" i="48"/>
  <c r="AF63" i="48"/>
  <c r="AQ63" i="54" s="1"/>
  <c r="O63" i="48"/>
  <c r="AF280" i="48"/>
  <c r="AQ280" i="54" s="1"/>
  <c r="O280" i="48"/>
  <c r="AF266" i="48"/>
  <c r="AQ266" i="54" s="1"/>
  <c r="O266" i="48"/>
  <c r="AF226" i="48"/>
  <c r="AQ226" i="54" s="1"/>
  <c r="O226" i="48"/>
  <c r="AF119" i="48"/>
  <c r="AQ119" i="54" s="1"/>
  <c r="O119" i="48"/>
  <c r="AF70" i="48"/>
  <c r="AQ70" i="54" s="1"/>
  <c r="O70" i="48"/>
  <c r="AF165" i="48"/>
  <c r="AQ165" i="54" s="1"/>
  <c r="O165" i="48"/>
  <c r="AF212" i="48"/>
  <c r="AQ212" i="54" s="1"/>
  <c r="O212" i="48"/>
  <c r="AF151" i="48"/>
  <c r="AQ151" i="54" s="1"/>
  <c r="O151" i="48"/>
  <c r="AF156" i="48"/>
  <c r="AQ156" i="54" s="1"/>
  <c r="O156" i="48"/>
  <c r="AF203" i="48"/>
  <c r="AQ203" i="54" s="1"/>
  <c r="O203" i="48"/>
  <c r="AF259" i="48"/>
  <c r="AQ259" i="54" s="1"/>
  <c r="O259" i="48"/>
  <c r="AF74" i="48"/>
  <c r="AQ74" i="54" s="1"/>
  <c r="O74" i="48"/>
  <c r="AF98" i="48"/>
  <c r="AQ98" i="54" s="1"/>
  <c r="O98" i="48"/>
  <c r="AF111" i="48"/>
  <c r="AQ111" i="54" s="1"/>
  <c r="O111" i="48"/>
  <c r="AF181" i="48"/>
  <c r="AQ181" i="54" s="1"/>
  <c r="O181" i="48"/>
  <c r="AF264" i="48"/>
  <c r="AQ264" i="54" s="1"/>
  <c r="O264" i="48"/>
  <c r="AF235" i="48"/>
  <c r="AQ235" i="54" s="1"/>
  <c r="O235" i="48"/>
  <c r="AF75" i="48"/>
  <c r="AQ75" i="54" s="1"/>
  <c r="O75" i="48"/>
  <c r="AF201" i="48"/>
  <c r="AQ201" i="54" s="1"/>
  <c r="O201" i="48"/>
  <c r="AF79" i="48"/>
  <c r="AQ79" i="54" s="1"/>
  <c r="O79" i="48"/>
  <c r="AF43" i="48"/>
  <c r="AQ43" i="54" s="1"/>
  <c r="O43" i="48"/>
  <c r="AF209" i="48"/>
  <c r="AQ209" i="54" s="1"/>
  <c r="O209" i="48"/>
  <c r="AF39" i="48"/>
  <c r="AQ39" i="54" s="1"/>
  <c r="O39" i="48"/>
  <c r="AF87" i="48"/>
  <c r="AQ87" i="54" s="1"/>
  <c r="O87" i="48"/>
  <c r="AF261" i="48"/>
  <c r="AQ261" i="54" s="1"/>
  <c r="O261" i="48"/>
  <c r="AF302" i="48"/>
  <c r="AQ302" i="54" s="1"/>
  <c r="O302" i="48"/>
  <c r="AF54" i="48"/>
  <c r="AQ54" i="54" s="1"/>
  <c r="O54" i="48"/>
  <c r="AF161" i="48"/>
  <c r="AQ161" i="54" s="1"/>
  <c r="O161" i="48"/>
  <c r="AF47" i="48"/>
  <c r="AQ47" i="54" s="1"/>
  <c r="O47" i="48"/>
  <c r="AF65" i="48"/>
  <c r="AQ65" i="54" s="1"/>
  <c r="O65" i="48"/>
  <c r="AF270" i="48"/>
  <c r="AQ270" i="54" s="1"/>
  <c r="O270" i="48"/>
  <c r="AF69" i="48"/>
  <c r="AQ69" i="54" s="1"/>
  <c r="O69" i="48"/>
  <c r="AF34" i="48"/>
  <c r="AQ34" i="54" s="1"/>
  <c r="O34" i="48"/>
  <c r="AF166" i="48"/>
  <c r="AQ166" i="54" s="1"/>
  <c r="O166" i="48"/>
  <c r="AF292" i="48"/>
  <c r="AQ292" i="54" s="1"/>
  <c r="O292" i="48"/>
  <c r="AF182" i="48"/>
  <c r="AQ182" i="54" s="1"/>
  <c r="O182" i="48"/>
  <c r="AF162" i="48"/>
  <c r="AQ162" i="54" s="1"/>
  <c r="O162" i="48"/>
  <c r="AF122" i="48"/>
  <c r="AQ122" i="54" s="1"/>
  <c r="O122" i="48"/>
  <c r="AF240" i="48"/>
  <c r="AQ240" i="54" s="1"/>
  <c r="O240" i="48"/>
  <c r="AF228" i="48"/>
  <c r="AQ228" i="54" s="1"/>
  <c r="O228" i="48"/>
  <c r="AF194" i="48"/>
  <c r="AQ194" i="54" s="1"/>
  <c r="O194" i="48"/>
  <c r="AF260" i="48"/>
  <c r="AQ260" i="54" s="1"/>
  <c r="O260" i="48"/>
  <c r="AF272" i="48"/>
  <c r="AQ272" i="54" s="1"/>
  <c r="O272" i="48"/>
  <c r="AF96" i="48"/>
  <c r="AQ96" i="54" s="1"/>
  <c r="O96" i="48"/>
  <c r="AF195" i="48"/>
  <c r="AQ195" i="54" s="1"/>
  <c r="O195" i="48"/>
  <c r="AF274" i="48"/>
  <c r="AQ274" i="54" s="1"/>
  <c r="O274" i="48"/>
  <c r="AF275" i="48"/>
  <c r="AQ275" i="54" s="1"/>
  <c r="O275" i="48"/>
  <c r="AF196" i="48"/>
  <c r="AQ196" i="54" s="1"/>
  <c r="O196" i="48"/>
  <c r="AF127" i="48"/>
  <c r="AQ127" i="54" s="1"/>
  <c r="O127" i="48"/>
  <c r="AF198" i="48"/>
  <c r="AQ198" i="54" s="1"/>
  <c r="O198" i="48"/>
  <c r="AF150" i="48"/>
  <c r="AQ150" i="54" s="1"/>
  <c r="O150" i="48"/>
  <c r="AF186" i="48"/>
  <c r="AQ186" i="54" s="1"/>
  <c r="O186" i="48"/>
  <c r="AF290" i="48"/>
  <c r="AQ290" i="54" s="1"/>
  <c r="O290" i="48"/>
  <c r="AF191" i="48"/>
  <c r="AQ191" i="54" s="1"/>
  <c r="O191" i="48"/>
  <c r="AF114" i="48"/>
  <c r="AQ114" i="54" s="1"/>
  <c r="O114" i="48"/>
  <c r="AF88" i="48"/>
  <c r="AQ88" i="54" s="1"/>
  <c r="O88" i="48"/>
  <c r="AF210" i="48"/>
  <c r="AQ210" i="54" s="1"/>
  <c r="O210" i="48"/>
  <c r="AF192" i="48"/>
  <c r="AQ192" i="54" s="1"/>
  <c r="O192" i="48"/>
  <c r="AF99" i="48"/>
  <c r="AQ99" i="54" s="1"/>
  <c r="O99" i="48"/>
  <c r="AF109" i="48"/>
  <c r="AQ109" i="54" s="1"/>
  <c r="O109" i="48"/>
  <c r="AF84" i="48"/>
  <c r="AQ84" i="54" s="1"/>
  <c r="O84" i="48"/>
  <c r="AF49" i="48"/>
  <c r="AQ49" i="54" s="1"/>
  <c r="O49" i="48"/>
  <c r="AF40" i="48"/>
  <c r="AQ40" i="54" s="1"/>
  <c r="O40" i="48"/>
  <c r="AF66" i="48"/>
  <c r="AQ66" i="54" s="1"/>
  <c r="O66" i="48"/>
  <c r="AF283" i="48"/>
  <c r="AQ283" i="54" s="1"/>
  <c r="O283" i="48"/>
  <c r="AF140" i="48"/>
  <c r="AQ140" i="54" s="1"/>
  <c r="O140" i="48"/>
  <c r="AF282" i="48"/>
  <c r="AQ282" i="54" s="1"/>
  <c r="O282" i="48"/>
  <c r="AF231" i="48"/>
  <c r="AQ231" i="54" s="1"/>
  <c r="O231" i="48"/>
  <c r="AF237" i="48"/>
  <c r="AQ237" i="54" s="1"/>
  <c r="O237" i="48"/>
  <c r="AF289" i="48"/>
  <c r="AQ289" i="54" s="1"/>
  <c r="O289" i="48"/>
  <c r="AF243" i="48"/>
  <c r="AQ243" i="54" s="1"/>
  <c r="O243" i="48"/>
  <c r="AF215" i="48"/>
  <c r="AQ215" i="54" s="1"/>
  <c r="O215" i="48"/>
  <c r="AF178" i="48"/>
  <c r="AQ178" i="54" s="1"/>
  <c r="O178" i="48"/>
  <c r="AF78" i="48"/>
  <c r="AQ78" i="54" s="1"/>
  <c r="O78" i="48"/>
  <c r="AF120" i="48"/>
  <c r="AQ120" i="54" s="1"/>
  <c r="O120" i="48"/>
  <c r="AF128" i="48"/>
  <c r="AQ128" i="54" s="1"/>
  <c r="O128" i="48"/>
  <c r="AF32" i="48"/>
  <c r="AQ32" i="54" s="1"/>
  <c r="O32" i="48"/>
  <c r="AF142" i="48"/>
  <c r="AQ142" i="54" s="1"/>
  <c r="O142" i="48"/>
  <c r="AF214" i="48"/>
  <c r="AQ214" i="54" s="1"/>
  <c r="O214" i="48"/>
  <c r="AF263" i="48"/>
  <c r="AQ263" i="54" s="1"/>
  <c r="O263" i="48"/>
  <c r="AF241" i="48"/>
  <c r="AQ241" i="54" s="1"/>
  <c r="O241" i="48"/>
  <c r="AF293" i="48"/>
  <c r="AQ293" i="54" s="1"/>
  <c r="O293" i="48"/>
  <c r="AF216" i="48"/>
  <c r="AQ216" i="54" s="1"/>
  <c r="O216" i="48"/>
  <c r="AF163" i="48"/>
  <c r="AQ163" i="54" s="1"/>
  <c r="O163" i="48"/>
  <c r="AF167" i="48"/>
  <c r="AQ167" i="54" s="1"/>
  <c r="O167" i="48"/>
  <c r="AF234" i="48"/>
  <c r="AQ234" i="54" s="1"/>
  <c r="O234" i="48"/>
  <c r="AF295" i="48"/>
  <c r="AQ295" i="54" s="1"/>
  <c r="O295" i="48"/>
  <c r="AF206" i="48"/>
  <c r="AQ206" i="54" s="1"/>
  <c r="O206" i="48"/>
  <c r="AF288" i="48"/>
  <c r="AQ288" i="54" s="1"/>
  <c r="O288" i="48"/>
  <c r="AF301" i="48"/>
  <c r="AQ301" i="54" s="1"/>
  <c r="O301" i="48"/>
  <c r="AF184" i="48"/>
  <c r="AQ184" i="54" s="1"/>
  <c r="O184" i="48"/>
  <c r="AF152" i="48"/>
  <c r="AQ152" i="54" s="1"/>
  <c r="O152" i="48"/>
  <c r="AF147" i="48"/>
  <c r="AQ147" i="54" s="1"/>
  <c r="O147" i="48"/>
  <c r="AF227" i="48"/>
  <c r="AQ227" i="54" s="1"/>
  <c r="O227" i="48"/>
  <c r="AF169" i="48"/>
  <c r="AQ169" i="54" s="1"/>
  <c r="O169" i="48"/>
  <c r="AF62" i="48"/>
  <c r="AQ62" i="54" s="1"/>
  <c r="O62" i="48"/>
  <c r="AF251" i="48"/>
  <c r="AQ251" i="54" s="1"/>
  <c r="O251" i="48"/>
  <c r="AF21" i="48"/>
  <c r="AQ21" i="54" s="1"/>
  <c r="O21" i="48"/>
  <c r="AF180" i="48"/>
  <c r="AQ180" i="54" s="1"/>
  <c r="O180" i="48"/>
  <c r="AF297" i="48"/>
  <c r="AQ297" i="54" s="1"/>
  <c r="O297" i="48"/>
  <c r="AF193" i="48"/>
  <c r="AQ193" i="54" s="1"/>
  <c r="O193" i="48"/>
  <c r="AF200" i="48"/>
  <c r="AQ200" i="54" s="1"/>
  <c r="O200" i="48"/>
  <c r="AF246" i="48"/>
  <c r="AQ246" i="54" s="1"/>
  <c r="O246" i="48"/>
  <c r="AF93" i="48"/>
  <c r="AQ93" i="54" s="1"/>
  <c r="O93" i="48"/>
  <c r="AF154" i="48"/>
  <c r="AQ154" i="54" s="1"/>
  <c r="O154" i="48"/>
  <c r="AF168" i="48"/>
  <c r="AQ168" i="54" s="1"/>
  <c r="O168" i="48"/>
  <c r="AF24" i="48"/>
  <c r="AQ24" i="54" s="1"/>
  <c r="O24" i="48"/>
  <c r="AF298" i="48"/>
  <c r="AQ298" i="54" s="1"/>
  <c r="O298" i="48"/>
  <c r="AF90" i="48"/>
  <c r="AQ90" i="54" s="1"/>
  <c r="O90" i="48"/>
  <c r="AF46" i="48"/>
  <c r="AQ46" i="54" s="1"/>
  <c r="O46" i="48"/>
  <c r="AF91" i="48"/>
  <c r="AQ91" i="54" s="1"/>
  <c r="O91" i="48"/>
  <c r="AF33" i="48"/>
  <c r="AQ33" i="54" s="1"/>
  <c r="O33" i="48"/>
  <c r="AF254" i="48"/>
  <c r="AQ254" i="54" s="1"/>
  <c r="O254" i="48"/>
  <c r="AF244" i="48"/>
  <c r="AQ244" i="54" s="1"/>
  <c r="O244" i="48"/>
  <c r="AF273" i="48"/>
  <c r="AQ273" i="54" s="1"/>
  <c r="O273" i="48"/>
  <c r="AF257" i="48"/>
  <c r="AQ257" i="54" s="1"/>
  <c r="O257" i="48"/>
  <c r="AF174" i="48"/>
  <c r="AQ174" i="54" s="1"/>
  <c r="O174" i="48"/>
  <c r="AF268" i="48"/>
  <c r="AQ268" i="54" s="1"/>
  <c r="O268" i="48"/>
  <c r="AF31" i="48"/>
  <c r="AQ31" i="54" s="1"/>
  <c r="O31" i="48"/>
  <c r="AF55" i="48"/>
  <c r="AQ55" i="54" s="1"/>
  <c r="O55" i="48"/>
  <c r="AF232" i="48"/>
  <c r="AQ232" i="54" s="1"/>
  <c r="O232" i="48"/>
  <c r="AF286" i="48"/>
  <c r="AQ286" i="54" s="1"/>
  <c r="O286" i="48"/>
  <c r="AF25" i="48"/>
  <c r="AQ25" i="54" s="1"/>
  <c r="O25" i="48"/>
  <c r="AF50" i="48"/>
  <c r="AQ50" i="54" s="1"/>
  <c r="O50" i="48"/>
  <c r="AF110" i="48"/>
  <c r="AQ110" i="54" s="1"/>
  <c r="O110" i="48"/>
  <c r="AF125" i="48"/>
  <c r="AQ125" i="54" s="1"/>
  <c r="O125" i="48"/>
  <c r="AF176" i="48"/>
  <c r="AQ176" i="54" s="1"/>
  <c r="O176" i="48"/>
  <c r="AF258" i="48"/>
  <c r="AQ258" i="54" s="1"/>
  <c r="O258" i="48"/>
  <c r="AF248" i="48"/>
  <c r="AQ248" i="54" s="1"/>
  <c r="O248" i="48"/>
  <c r="AF113" i="48"/>
  <c r="AQ113" i="54" s="1"/>
  <c r="O113" i="48"/>
  <c r="AF112" i="48"/>
  <c r="AQ112" i="54" s="1"/>
  <c r="O112" i="48"/>
  <c r="AF238" i="48"/>
  <c r="AQ238" i="54" s="1"/>
  <c r="O238" i="48"/>
  <c r="AF172" i="48"/>
  <c r="AQ172" i="54" s="1"/>
  <c r="O172" i="48"/>
  <c r="AF136" i="48"/>
  <c r="AQ136" i="54" s="1"/>
  <c r="O136" i="48"/>
  <c r="AF148" i="48"/>
  <c r="AQ148" i="54" s="1"/>
  <c r="O148" i="48"/>
  <c r="AF233" i="48"/>
  <c r="AQ233" i="54" s="1"/>
  <c r="O233" i="48"/>
  <c r="AF197" i="48"/>
  <c r="AQ197" i="54" s="1"/>
  <c r="O197" i="48"/>
  <c r="AF71" i="48"/>
  <c r="AQ71" i="54" s="1"/>
  <c r="O71" i="48"/>
  <c r="AF129" i="48"/>
  <c r="AQ129" i="54" s="1"/>
  <c r="O129" i="48"/>
  <c r="AF291" i="48"/>
  <c r="AQ291" i="54" s="1"/>
  <c r="O291" i="48"/>
  <c r="AF28" i="48"/>
  <c r="AQ28" i="54" s="1"/>
  <c r="O28" i="48"/>
  <c r="AF81" i="48"/>
  <c r="AQ81" i="54" s="1"/>
  <c r="O81" i="48"/>
  <c r="AF73" i="48"/>
  <c r="AQ73" i="54" s="1"/>
  <c r="O73" i="48"/>
  <c r="AF144" i="48"/>
  <c r="AQ144" i="54" s="1"/>
  <c r="O144" i="48"/>
  <c r="AF137" i="48"/>
  <c r="AQ137" i="54" s="1"/>
  <c r="O137" i="48"/>
  <c r="AF175" i="48"/>
  <c r="AQ175" i="54" s="1"/>
  <c r="O175" i="48"/>
  <c r="AF281" i="48"/>
  <c r="AQ281" i="54" s="1"/>
  <c r="O281" i="48"/>
  <c r="AF223" i="48"/>
  <c r="AQ223" i="54" s="1"/>
  <c r="O223" i="48"/>
  <c r="AF85" i="48"/>
  <c r="AQ85" i="54" s="1"/>
  <c r="O85" i="48"/>
  <c r="AF131" i="48"/>
  <c r="AQ131" i="54" s="1"/>
  <c r="O131" i="48"/>
  <c r="AF230" i="48"/>
  <c r="AQ230" i="54" s="1"/>
  <c r="O230" i="48"/>
  <c r="AF17" i="48"/>
  <c r="AQ17" i="54" s="1"/>
  <c r="O17" i="48"/>
  <c r="AF115" i="48"/>
  <c r="AQ115" i="54" s="1"/>
  <c r="O115" i="48"/>
  <c r="AF83" i="48"/>
  <c r="AQ83" i="54" s="1"/>
  <c r="O83" i="48"/>
  <c r="AF245" i="48"/>
  <c r="AQ245" i="54" s="1"/>
  <c r="O245" i="48"/>
  <c r="AF299" i="48"/>
  <c r="AQ299" i="54" s="1"/>
  <c r="O299" i="48"/>
  <c r="AF249" i="48"/>
  <c r="AQ249" i="54" s="1"/>
  <c r="O249" i="48"/>
  <c r="AF35" i="48"/>
  <c r="AQ35" i="54" s="1"/>
  <c r="O35" i="48"/>
  <c r="AF37" i="48"/>
  <c r="AQ37" i="54" s="1"/>
  <c r="O37" i="48"/>
  <c r="AF130" i="48"/>
  <c r="AQ130" i="54" s="1"/>
  <c r="O130" i="48"/>
  <c r="AF256" i="48"/>
  <c r="AQ256" i="54" s="1"/>
  <c r="O256" i="48"/>
  <c r="AF187" i="48"/>
  <c r="AQ187" i="54" s="1"/>
  <c r="O187" i="48"/>
  <c r="AF82" i="48"/>
  <c r="AQ82" i="54" s="1"/>
  <c r="O82" i="48"/>
  <c r="AF86" i="48"/>
  <c r="AQ86" i="54" s="1"/>
  <c r="O86" i="48"/>
  <c r="AF224" i="48"/>
  <c r="AQ224" i="54" s="1"/>
  <c r="O224" i="48"/>
  <c r="AF108" i="48"/>
  <c r="AQ108" i="54" s="1"/>
  <c r="O108" i="48"/>
  <c r="AF171" i="48"/>
  <c r="AQ171" i="54" s="1"/>
  <c r="O171" i="48"/>
  <c r="AF285" i="48"/>
  <c r="AQ285" i="54" s="1"/>
  <c r="O285" i="48"/>
  <c r="AF284" i="48"/>
  <c r="AQ284" i="54" s="1"/>
  <c r="O284" i="48"/>
  <c r="AF158" i="48"/>
  <c r="AQ158" i="54" s="1"/>
  <c r="O158" i="48"/>
  <c r="AF208" i="48"/>
  <c r="AQ208" i="54" s="1"/>
  <c r="O208" i="48"/>
  <c r="AF27" i="48"/>
  <c r="AQ27" i="54" s="1"/>
  <c r="O27" i="48"/>
  <c r="AF296" i="48"/>
  <c r="AQ296" i="54" s="1"/>
  <c r="O296" i="48"/>
  <c r="AF211" i="48"/>
  <c r="AQ211" i="54" s="1"/>
  <c r="O211" i="48"/>
  <c r="AF92" i="48"/>
  <c r="AQ92" i="54" s="1"/>
  <c r="O92" i="48"/>
  <c r="AF44" i="48"/>
  <c r="AQ44" i="54" s="1"/>
  <c r="O44" i="48"/>
  <c r="AF164" i="48"/>
  <c r="AQ164" i="54" s="1"/>
  <c r="O164" i="48"/>
  <c r="AF213" i="48"/>
  <c r="AQ213" i="54" s="1"/>
  <c r="O213" i="48"/>
  <c r="AF102" i="48"/>
  <c r="AQ102" i="54" s="1"/>
  <c r="O102" i="48"/>
  <c r="AF41" i="48"/>
  <c r="AQ41" i="54" s="1"/>
  <c r="O41" i="48"/>
  <c r="AF138" i="48"/>
  <c r="AQ138" i="54" s="1"/>
  <c r="O138" i="48"/>
  <c r="AF77" i="48"/>
  <c r="AQ77" i="54" s="1"/>
  <c r="O77" i="48"/>
  <c r="AF126" i="48"/>
  <c r="AQ126" i="54" s="1"/>
  <c r="O126" i="48"/>
  <c r="AF242" i="48"/>
  <c r="AQ242" i="54" s="1"/>
  <c r="O242" i="48"/>
  <c r="AF252" i="48"/>
  <c r="AQ252" i="54" s="1"/>
  <c r="O252" i="48"/>
  <c r="AF303" i="48"/>
  <c r="AQ303" i="54" s="1"/>
  <c r="O303" i="48"/>
  <c r="AF67" i="48"/>
  <c r="AQ67" i="54" s="1"/>
  <c r="O67" i="48"/>
  <c r="AF106" i="48"/>
  <c r="AQ106" i="54" s="1"/>
  <c r="O106" i="48"/>
  <c r="AF160" i="48"/>
  <c r="AQ160" i="54" s="1"/>
  <c r="O160" i="48"/>
  <c r="AF265" i="48"/>
  <c r="AQ265" i="54" s="1"/>
  <c r="O265" i="48"/>
  <c r="AF304" i="48"/>
  <c r="AQ304" i="54" s="1"/>
  <c r="O304" i="48"/>
  <c r="AF219" i="48"/>
  <c r="AQ219" i="54" s="1"/>
  <c r="O219" i="48"/>
  <c r="AF269" i="48"/>
  <c r="AQ269" i="54" s="1"/>
  <c r="O269" i="48"/>
  <c r="AF153" i="48"/>
  <c r="AQ153" i="54" s="1"/>
  <c r="O153" i="48"/>
  <c r="AF307" i="48"/>
  <c r="AQ307" i="54" s="1"/>
  <c r="O307" i="48"/>
  <c r="AF76" i="48"/>
  <c r="AQ76" i="54" s="1"/>
  <c r="O76" i="48"/>
  <c r="AF118" i="48"/>
  <c r="AQ118" i="54" s="1"/>
  <c r="O118" i="48"/>
  <c r="AF236" i="48"/>
  <c r="AQ236" i="54" s="1"/>
  <c r="O236" i="48"/>
  <c r="AF220" i="48"/>
  <c r="AQ220" i="54" s="1"/>
  <c r="O220" i="48"/>
  <c r="AF294" i="48"/>
  <c r="AQ294" i="54" s="1"/>
  <c r="O294" i="48"/>
  <c r="AF253" i="48"/>
  <c r="AQ253" i="54" s="1"/>
  <c r="O253" i="48"/>
  <c r="AF155" i="48"/>
  <c r="AQ155" i="54" s="1"/>
  <c r="O155" i="48"/>
  <c r="AF218" i="48"/>
  <c r="AQ218" i="54" s="1"/>
  <c r="O218" i="48"/>
  <c r="AF139" i="48"/>
  <c r="AQ139" i="54" s="1"/>
  <c r="O139" i="48"/>
  <c r="AF134" i="48"/>
  <c r="AQ134" i="54" s="1"/>
  <c r="O134" i="48"/>
  <c r="AF18" i="48"/>
  <c r="AQ18" i="54" s="1"/>
  <c r="O18" i="48"/>
  <c r="AF306" i="48"/>
  <c r="AQ306" i="54" s="1"/>
  <c r="O306" i="48"/>
  <c r="AF229" i="48"/>
  <c r="AQ229" i="54" s="1"/>
  <c r="O229" i="48"/>
  <c r="AF204" i="48"/>
  <c r="AQ204" i="54" s="1"/>
  <c r="O204" i="48"/>
  <c r="AY57" i="66"/>
  <c r="AY58" i="66"/>
  <c r="S59" i="66"/>
  <c r="AE56" i="66"/>
  <c r="M13" i="48"/>
  <c r="AF19" i="48"/>
  <c r="AQ19" i="54" s="1"/>
  <c r="J591" i="47"/>
  <c r="J598" i="47"/>
  <c r="J486" i="47"/>
  <c r="J495" i="47"/>
  <c r="J569" i="47"/>
  <c r="C156" i="66"/>
  <c r="AY54" i="66"/>
  <c r="AE54" i="66"/>
  <c r="S54" i="66"/>
  <c r="J465" i="47"/>
  <c r="J491" i="47"/>
  <c r="J454" i="47"/>
  <c r="J510" i="47"/>
  <c r="J589" i="47"/>
  <c r="J441" i="47"/>
  <c r="J557" i="47"/>
  <c r="J432" i="47"/>
  <c r="J573" i="47"/>
  <c r="J436" i="47"/>
  <c r="J471" i="47"/>
  <c r="J576" i="47"/>
  <c r="J553" i="47"/>
  <c r="J479" i="47"/>
  <c r="J505" i="47"/>
  <c r="J443" i="47"/>
  <c r="J584" i="47"/>
  <c r="J460" i="47"/>
  <c r="J447" i="47"/>
  <c r="J511" i="47"/>
  <c r="J462" i="47"/>
  <c r="J574" i="47"/>
  <c r="J472" i="47"/>
  <c r="J558" i="47"/>
  <c r="J547" i="47"/>
  <c r="J595" i="47"/>
  <c r="J568" i="47"/>
  <c r="J594" i="47"/>
  <c r="J487" i="47"/>
  <c r="J424" i="47"/>
  <c r="J529" i="47"/>
  <c r="J483" i="47"/>
  <c r="J500" i="47"/>
  <c r="J583" i="47"/>
  <c r="J601" i="47"/>
  <c r="J450" i="47"/>
  <c r="J572" i="47"/>
  <c r="J527" i="47"/>
  <c r="J489" i="47"/>
  <c r="J524" i="47"/>
  <c r="J492" i="47"/>
  <c r="J438" i="47"/>
  <c r="J585" i="47"/>
  <c r="J581" i="47"/>
  <c r="J548" i="47"/>
  <c r="J610" i="47"/>
  <c r="J501" i="47"/>
  <c r="J554" i="47"/>
  <c r="J493" i="47"/>
  <c r="J502" i="47"/>
  <c r="J516" i="47"/>
  <c r="J488" i="47"/>
  <c r="J525" i="47"/>
  <c r="J530" i="47"/>
  <c r="J545" i="47"/>
  <c r="J560" i="47"/>
  <c r="J490" i="47"/>
  <c r="J571" i="47"/>
  <c r="J514" i="47"/>
  <c r="J570" i="47"/>
  <c r="J534" i="47"/>
  <c r="J485" i="47"/>
  <c r="J600" i="47"/>
  <c r="J521" i="47"/>
  <c r="J461" i="47"/>
  <c r="J564" i="47"/>
  <c r="J482" i="47"/>
  <c r="J427" i="47"/>
  <c r="J605" i="47"/>
  <c r="J556" i="47"/>
  <c r="J578" i="47"/>
  <c r="J508" i="47"/>
  <c r="J428" i="47"/>
  <c r="J606" i="47"/>
  <c r="J551" i="47"/>
  <c r="J588" i="47"/>
  <c r="J475" i="47"/>
  <c r="J596" i="47"/>
  <c r="J425" i="47"/>
  <c r="J520" i="47"/>
  <c r="J540" i="47"/>
  <c r="J429" i="47"/>
  <c r="J446" i="47"/>
  <c r="J523" i="47"/>
  <c r="J494" i="47"/>
  <c r="J515" i="47"/>
  <c r="J439" i="47"/>
  <c r="J437" i="47"/>
  <c r="J477" i="47"/>
  <c r="J445" i="47"/>
  <c r="J613" i="47"/>
  <c r="J448" i="47"/>
  <c r="J453" i="47"/>
  <c r="J550" i="47"/>
  <c r="J579" i="47"/>
  <c r="J421" i="47"/>
  <c r="J512" i="47"/>
  <c r="J463" i="47"/>
  <c r="J562" i="47"/>
  <c r="J464" i="47"/>
  <c r="J597" i="47"/>
  <c r="J496" i="47"/>
  <c r="J565" i="47"/>
  <c r="J476" i="47"/>
  <c r="J423" i="47"/>
  <c r="J590" i="47"/>
  <c r="J442" i="47"/>
  <c r="J507" i="47"/>
  <c r="J497" i="47"/>
  <c r="J518" i="47"/>
  <c r="J543" i="47"/>
  <c r="J449" i="47"/>
  <c r="J470" i="47"/>
  <c r="J473" i="47"/>
  <c r="J615" i="47"/>
  <c r="J552" i="47"/>
  <c r="J622" i="47"/>
  <c r="J503" i="47"/>
  <c r="J623" i="47"/>
  <c r="J499" i="47"/>
  <c r="J467" i="47"/>
  <c r="J609" i="47"/>
  <c r="J455" i="47"/>
  <c r="J542" i="47"/>
  <c r="J458" i="47"/>
  <c r="J603" i="47"/>
  <c r="J498" i="47"/>
  <c r="J506" i="47"/>
  <c r="J513" i="47"/>
  <c r="J533" i="47"/>
  <c r="J444" i="47"/>
  <c r="J563" i="47"/>
  <c r="J422" i="47"/>
  <c r="J526" i="47"/>
  <c r="J593" i="47"/>
  <c r="J535" i="47"/>
  <c r="J517" i="47"/>
  <c r="J522" i="47"/>
  <c r="J586" i="47"/>
  <c r="J459" i="47"/>
  <c r="J431" i="47"/>
  <c r="J426" i="47"/>
  <c r="J604" i="47"/>
  <c r="J620" i="47"/>
  <c r="J452" i="47"/>
  <c r="J587" i="47"/>
  <c r="J536" i="47"/>
  <c r="J602" i="47"/>
  <c r="J621" i="47"/>
  <c r="J619" i="47"/>
  <c r="J544" i="47"/>
  <c r="J469" i="47"/>
  <c r="J577" i="47"/>
  <c r="J537" i="47"/>
  <c r="J599" i="47"/>
  <c r="J555" i="47"/>
  <c r="J538" i="47"/>
  <c r="J559" i="47"/>
  <c r="J474" i="47"/>
  <c r="J582" i="47"/>
  <c r="J592" i="47"/>
  <c r="J612" i="47"/>
  <c r="J546" i="47"/>
  <c r="J457" i="47"/>
  <c r="J607" i="47"/>
  <c r="J608" i="47"/>
  <c r="J478" i="47"/>
  <c r="J509" i="47"/>
  <c r="J481" i="47"/>
  <c r="J433" i="47"/>
  <c r="J541" i="47"/>
  <c r="J430" i="47"/>
  <c r="J618" i="47"/>
  <c r="J617" i="47"/>
  <c r="J614" i="47"/>
  <c r="J532" i="47"/>
  <c r="AC79" i="66"/>
  <c r="AW79" i="66"/>
  <c r="Q79" i="66"/>
  <c r="AM79" i="66" s="1"/>
  <c r="AW84" i="66"/>
  <c r="AC84" i="66"/>
  <c r="Q84" i="66"/>
  <c r="AM84" i="66" s="1"/>
  <c r="AB85" i="66"/>
  <c r="AV85" i="66"/>
  <c r="Q80" i="66"/>
  <c r="AM80" i="66" s="1"/>
  <c r="AW80" i="66"/>
  <c r="AC80" i="66"/>
  <c r="AW78" i="66"/>
  <c r="AC78" i="66"/>
  <c r="Q78" i="66"/>
  <c r="AM78" i="66" s="1"/>
  <c r="F85" i="66"/>
  <c r="Q85" i="66" s="1"/>
  <c r="AM85" i="66" s="1"/>
  <c r="AC13" i="47"/>
  <c r="AT13" i="47" s="1"/>
  <c r="J11" i="47"/>
  <c r="J616" i="47" s="1"/>
  <c r="J10" i="47"/>
  <c r="J549" i="47"/>
  <c r="J468" i="47"/>
  <c r="J575" i="47"/>
  <c r="J519" i="47"/>
  <c r="J480" i="47"/>
  <c r="J528" i="47"/>
  <c r="AC83" i="66"/>
  <c r="AW83" i="66"/>
  <c r="Q83" i="66"/>
  <c r="AM83" i="66" s="1"/>
  <c r="AW82" i="66"/>
  <c r="Q82" i="66"/>
  <c r="AM82" i="66" s="1"/>
  <c r="AC82" i="66"/>
  <c r="J611" i="47"/>
  <c r="J434" i="47"/>
  <c r="J451" i="47"/>
  <c r="J440" i="47"/>
  <c r="Q81" i="66"/>
  <c r="AM81" i="66" s="1"/>
  <c r="AC81" i="66"/>
  <c r="J435" i="47"/>
  <c r="J466" i="47"/>
  <c r="J580" i="47"/>
  <c r="J539" i="47"/>
  <c r="J561" i="47"/>
  <c r="J484" i="47"/>
  <c r="J456" i="47"/>
  <c r="J504" i="47"/>
  <c r="J567" i="47"/>
  <c r="J566" i="47"/>
  <c r="K11" i="46"/>
  <c r="AY59" i="66"/>
  <c r="AE59" i="66"/>
  <c r="S57" i="66"/>
  <c r="S56" i="66"/>
  <c r="AE57" i="66"/>
  <c r="S60" i="66"/>
  <c r="AY56" i="66"/>
  <c r="AE60" i="66"/>
  <c r="H61" i="66"/>
  <c r="S58" i="66"/>
  <c r="AE58" i="66"/>
  <c r="R61" i="66"/>
  <c r="AN57" i="66"/>
  <c r="AX61" i="66"/>
  <c r="AD61" i="66"/>
  <c r="AE13" i="48"/>
  <c r="L10" i="48"/>
  <c r="L11" i="48"/>
  <c r="BK10" i="45"/>
  <c r="BK11" i="45"/>
  <c r="BQ13" i="45"/>
  <c r="BP10" i="45"/>
  <c r="BP11" i="45"/>
  <c r="L13" i="46"/>
  <c r="T14" i="60" s="1"/>
  <c r="CQ21" i="45" l="1"/>
  <c r="V13" i="60"/>
  <c r="CR21" i="45"/>
  <c r="W13" i="60"/>
  <c r="DL46" i="45"/>
  <c r="DK300" i="45"/>
  <c r="DK34" i="45"/>
  <c r="DK244" i="45"/>
  <c r="DK196" i="45"/>
  <c r="DK18" i="45"/>
  <c r="DK273" i="45"/>
  <c r="DC239" i="45"/>
  <c r="DC117" i="45"/>
  <c r="DL118" i="45"/>
  <c r="DL278" i="45"/>
  <c r="DL180" i="45"/>
  <c r="DC178" i="45"/>
  <c r="DC214" i="45"/>
  <c r="DK100" i="45"/>
  <c r="DL51" i="45"/>
  <c r="DK121" i="45"/>
  <c r="DL133" i="45"/>
  <c r="DL39" i="45"/>
  <c r="DC230" i="45"/>
  <c r="DL195" i="45"/>
  <c r="DC102" i="45"/>
  <c r="DC27" i="45"/>
  <c r="DL112" i="45"/>
  <c r="DL130" i="45"/>
  <c r="DL72" i="45"/>
  <c r="DL111" i="45"/>
  <c r="DL131" i="45"/>
  <c r="DL150" i="45"/>
  <c r="DL138" i="45"/>
  <c r="DL270" i="45"/>
  <c r="DL217" i="45"/>
  <c r="DC31" i="45"/>
  <c r="DL294" i="45"/>
  <c r="DC69" i="45"/>
  <c r="DC30" i="45"/>
  <c r="DC41" i="45"/>
  <c r="DA276" i="45"/>
  <c r="DL125" i="45"/>
  <c r="DC53" i="45"/>
  <c r="DC23" i="45"/>
  <c r="DL99" i="45"/>
  <c r="DL286" i="45"/>
  <c r="DL82" i="45"/>
  <c r="DL74" i="45"/>
  <c r="DL162" i="45"/>
  <c r="CZ124" i="45"/>
  <c r="DL19" i="45"/>
  <c r="DC122" i="45"/>
  <c r="DL80" i="45"/>
  <c r="DL35" i="45"/>
  <c r="DC104" i="45"/>
  <c r="DC106" i="45"/>
  <c r="DK220" i="45"/>
  <c r="DK108" i="45"/>
  <c r="DK73" i="45"/>
  <c r="DK233" i="45"/>
  <c r="DL58" i="45"/>
  <c r="DK97" i="45"/>
  <c r="DL126" i="45"/>
  <c r="DL157" i="45"/>
  <c r="DK268" i="45"/>
  <c r="DL48" i="45"/>
  <c r="DK292" i="45"/>
  <c r="DK132" i="45"/>
  <c r="DK161" i="45"/>
  <c r="DL43" i="45"/>
  <c r="DK164" i="45"/>
  <c r="DK92" i="45"/>
  <c r="DL17" i="45"/>
  <c r="DC59" i="45"/>
  <c r="DC148" i="45"/>
  <c r="DL54" i="45"/>
  <c r="DL146" i="45"/>
  <c r="DL303" i="45"/>
  <c r="DL271" i="45"/>
  <c r="DL91" i="45"/>
  <c r="DL123" i="45"/>
  <c r="DL149" i="45"/>
  <c r="DL212" i="45"/>
  <c r="DL175" i="45"/>
  <c r="DL96" i="45"/>
  <c r="DL107" i="45"/>
  <c r="DC143" i="45"/>
  <c r="DK156" i="45"/>
  <c r="DL22" i="45"/>
  <c r="DL281" i="45"/>
  <c r="DL28" i="45"/>
  <c r="DL45" i="45"/>
  <c r="DL259" i="45"/>
  <c r="DL75" i="45"/>
  <c r="DC283" i="45"/>
  <c r="DL93" i="45"/>
  <c r="DL83" i="45"/>
  <c r="DL62" i="45"/>
  <c r="DL78" i="45"/>
  <c r="DL64" i="45"/>
  <c r="DL85" i="45"/>
  <c r="DL136" i="45"/>
  <c r="DC109" i="45"/>
  <c r="DK177" i="45"/>
  <c r="DK172" i="45"/>
  <c r="CR124" i="45"/>
  <c r="DK249" i="45"/>
  <c r="CQ124" i="45"/>
  <c r="DA124" i="45" s="1"/>
  <c r="DL44" i="45"/>
  <c r="DC163" i="45"/>
  <c r="DL90" i="45"/>
  <c r="DC166" i="45"/>
  <c r="DC110" i="45"/>
  <c r="DL291" i="45"/>
  <c r="DC235" i="45"/>
  <c r="DC115" i="45"/>
  <c r="DL86" i="45"/>
  <c r="DL262" i="45"/>
  <c r="DC77" i="45"/>
  <c r="DC154" i="45"/>
  <c r="DL151" i="45"/>
  <c r="L56" i="66"/>
  <c r="W56" i="66" s="1"/>
  <c r="DC50" i="45"/>
  <c r="DC67" i="45"/>
  <c r="DL227" i="45"/>
  <c r="L57" i="66"/>
  <c r="W57" i="66" s="1"/>
  <c r="DC170" i="45"/>
  <c r="DC38" i="45"/>
  <c r="DL70" i="45"/>
  <c r="DL101" i="45"/>
  <c r="DL114" i="45"/>
  <c r="DL66" i="45"/>
  <c r="DL219" i="45"/>
  <c r="DL33" i="45"/>
  <c r="DL246" i="45"/>
  <c r="DL222" i="45"/>
  <c r="DL207" i="45"/>
  <c r="DL134" i="45"/>
  <c r="DL153" i="45"/>
  <c r="DC128" i="45"/>
  <c r="CS177" i="45"/>
  <c r="DL177" i="45" s="1"/>
  <c r="CS249" i="45"/>
  <c r="DC249" i="45" s="1"/>
  <c r="CS172" i="45"/>
  <c r="DC172" i="45" s="1"/>
  <c r="CS260" i="45"/>
  <c r="DC260" i="45" s="1"/>
  <c r="CS100" i="45"/>
  <c r="DL100" i="45" s="1"/>
  <c r="CS233" i="45"/>
  <c r="DC233" i="45" s="1"/>
  <c r="CS220" i="45"/>
  <c r="DC220" i="45" s="1"/>
  <c r="CS132" i="45"/>
  <c r="DC132" i="45" s="1"/>
  <c r="CS276" i="45"/>
  <c r="DL276" i="45" s="1"/>
  <c r="CS73" i="45"/>
  <c r="DL73" i="45" s="1"/>
  <c r="CS292" i="45"/>
  <c r="DC292" i="45" s="1"/>
  <c r="CS121" i="45"/>
  <c r="DL121" i="45" s="1"/>
  <c r="CS268" i="45"/>
  <c r="DL268" i="45" s="1"/>
  <c r="CS305" i="45"/>
  <c r="DL305" i="45" s="1"/>
  <c r="CS97" i="45"/>
  <c r="DL97" i="45" s="1"/>
  <c r="CS161" i="45"/>
  <c r="DC161" i="45" s="1"/>
  <c r="CS108" i="45"/>
  <c r="DC108" i="45" s="1"/>
  <c r="DL198" i="45"/>
  <c r="DL182" i="45"/>
  <c r="DL61" i="45"/>
  <c r="CS21" i="45"/>
  <c r="DL21" i="45" s="1"/>
  <c r="CS169" i="45"/>
  <c r="DC169" i="45" s="1"/>
  <c r="CS37" i="45"/>
  <c r="DL37" i="45" s="1"/>
  <c r="CS225" i="45"/>
  <c r="DC225" i="45" s="1"/>
  <c r="CS209" i="45"/>
  <c r="DC209" i="45" s="1"/>
  <c r="CS188" i="45"/>
  <c r="DC188" i="45" s="1"/>
  <c r="CS156" i="45"/>
  <c r="DC156" i="45" s="1"/>
  <c r="CS57" i="45"/>
  <c r="DC57" i="45" s="1"/>
  <c r="CS244" i="45"/>
  <c r="DC244" i="45" s="1"/>
  <c r="CS284" i="45"/>
  <c r="DL284" i="45" s="1"/>
  <c r="CS81" i="45"/>
  <c r="DC81" i="45" s="1"/>
  <c r="CS34" i="45"/>
  <c r="DL34" i="45" s="1"/>
  <c r="CS273" i="45"/>
  <c r="DL273" i="45" s="1"/>
  <c r="CS18" i="45"/>
  <c r="DL18" i="45" s="1"/>
  <c r="CS196" i="45"/>
  <c r="DC196" i="45" s="1"/>
  <c r="CS204" i="45"/>
  <c r="DC204" i="45" s="1"/>
  <c r="CS116" i="45"/>
  <c r="DL116" i="45" s="1"/>
  <c r="CS140" i="45"/>
  <c r="DL140" i="45" s="1"/>
  <c r="CS137" i="45"/>
  <c r="DL137" i="45" s="1"/>
  <c r="CS76" i="45"/>
  <c r="DC76" i="45" s="1"/>
  <c r="CS185" i="45"/>
  <c r="DL185" i="45" s="1"/>
  <c r="L59" i="66"/>
  <c r="W59" i="66" s="1"/>
  <c r="CS241" i="45"/>
  <c r="DC241" i="45" s="1"/>
  <c r="CS252" i="45"/>
  <c r="DC252" i="45" s="1"/>
  <c r="CS300" i="45"/>
  <c r="DC300" i="45" s="1"/>
  <c r="CS29" i="45"/>
  <c r="DC29" i="45" s="1"/>
  <c r="CS52" i="45"/>
  <c r="DC52" i="45" s="1"/>
  <c r="CS289" i="45"/>
  <c r="DC289" i="45" s="1"/>
  <c r="CS201" i="45"/>
  <c r="DC201" i="45" s="1"/>
  <c r="CS297" i="45"/>
  <c r="DC297" i="45" s="1"/>
  <c r="CS145" i="45"/>
  <c r="DC145" i="45" s="1"/>
  <c r="CS164" i="45"/>
  <c r="DC164" i="45" s="1"/>
  <c r="CS265" i="45"/>
  <c r="DC265" i="45" s="1"/>
  <c r="CS92" i="45"/>
  <c r="DC92" i="45" s="1"/>
  <c r="CS236" i="45"/>
  <c r="DC236" i="45" s="1"/>
  <c r="CS84" i="45"/>
  <c r="DC84" i="45" s="1"/>
  <c r="CS228" i="45"/>
  <c r="DC228" i="45" s="1"/>
  <c r="CS60" i="45"/>
  <c r="DC60" i="45" s="1"/>
  <c r="CS105" i="45"/>
  <c r="DC105" i="45" s="1"/>
  <c r="CS42" i="45"/>
  <c r="DC42" i="45" s="1"/>
  <c r="CS124" i="45"/>
  <c r="CS113" i="45"/>
  <c r="DC113" i="45" s="1"/>
  <c r="CS68" i="45"/>
  <c r="DC68" i="45" s="1"/>
  <c r="L60" i="66"/>
  <c r="W60" i="66" s="1"/>
  <c r="L54" i="66"/>
  <c r="W54" i="66" s="1"/>
  <c r="DB276" i="45"/>
  <c r="DK76" i="45"/>
  <c r="DK29" i="45"/>
  <c r="DK201" i="45"/>
  <c r="DK289" i="45"/>
  <c r="DK276" i="45"/>
  <c r="DK252" i="45"/>
  <c r="DK105" i="45"/>
  <c r="DK297" i="45"/>
  <c r="DK241" i="45"/>
  <c r="DK169" i="45"/>
  <c r="DK209" i="45"/>
  <c r="DK37" i="45"/>
  <c r="DK225" i="45"/>
  <c r="DK84" i="45"/>
  <c r="K55" i="66"/>
  <c r="DK60" i="45"/>
  <c r="K60" i="66"/>
  <c r="DK236" i="45"/>
  <c r="DK68" i="45"/>
  <c r="DK228" i="45"/>
  <c r="K59" i="66"/>
  <c r="K57" i="66"/>
  <c r="DK140" i="45"/>
  <c r="DK185" i="45"/>
  <c r="K56" i="66"/>
  <c r="DK116" i="45"/>
  <c r="DK137" i="45"/>
  <c r="K54" i="66"/>
  <c r="CV177" i="45"/>
  <c r="DE177" i="45"/>
  <c r="DF177" i="45"/>
  <c r="CW177" i="45"/>
  <c r="CV249" i="45"/>
  <c r="DE249" i="45"/>
  <c r="DF249" i="45"/>
  <c r="CW249" i="45"/>
  <c r="CV172" i="45"/>
  <c r="DE172" i="45"/>
  <c r="DF172" i="45"/>
  <c r="CW172" i="45"/>
  <c r="CV260" i="45"/>
  <c r="DE260" i="45"/>
  <c r="DF260" i="45"/>
  <c r="CW260" i="45"/>
  <c r="CV100" i="45"/>
  <c r="DE100" i="45"/>
  <c r="CW100" i="45"/>
  <c r="DF100" i="45"/>
  <c r="CV228" i="45"/>
  <c r="DE228" i="45"/>
  <c r="DF228" i="45"/>
  <c r="CW228" i="45"/>
  <c r="CV60" i="45"/>
  <c r="DE60" i="45"/>
  <c r="DF60" i="45"/>
  <c r="CW60" i="45"/>
  <c r="CV105" i="45"/>
  <c r="DE105" i="45"/>
  <c r="CW105" i="45"/>
  <c r="DF105" i="45"/>
  <c r="CV42" i="45"/>
  <c r="DE42" i="45"/>
  <c r="DF42" i="45"/>
  <c r="CW42" i="45"/>
  <c r="CV124" i="45"/>
  <c r="DE124" i="45"/>
  <c r="DF124" i="45"/>
  <c r="CW124" i="45"/>
  <c r="CV113" i="45"/>
  <c r="DE113" i="45"/>
  <c r="CW113" i="45"/>
  <c r="DF113" i="45"/>
  <c r="CV68" i="45"/>
  <c r="DE68" i="45"/>
  <c r="DF68" i="45"/>
  <c r="CW68" i="45"/>
  <c r="DE233" i="45"/>
  <c r="CV233" i="45"/>
  <c r="CW233" i="45"/>
  <c r="DF233" i="45"/>
  <c r="CV220" i="45"/>
  <c r="DE220" i="45"/>
  <c r="DF220" i="45"/>
  <c r="CW220" i="45"/>
  <c r="CV132" i="45"/>
  <c r="DE132" i="45"/>
  <c r="CW132" i="45"/>
  <c r="DF132" i="45"/>
  <c r="DE276" i="45"/>
  <c r="CV276" i="45"/>
  <c r="DF276" i="45"/>
  <c r="CW276" i="45"/>
  <c r="CV21" i="45"/>
  <c r="DE21" i="45"/>
  <c r="CW21" i="45"/>
  <c r="DF21" i="45"/>
  <c r="DE169" i="45"/>
  <c r="CV169" i="45"/>
  <c r="DF169" i="45"/>
  <c r="CW169" i="45"/>
  <c r="CV37" i="45"/>
  <c r="DE37" i="45"/>
  <c r="DF37" i="45"/>
  <c r="CW37" i="45"/>
  <c r="CV225" i="45"/>
  <c r="DE225" i="45"/>
  <c r="CW225" i="45"/>
  <c r="DF225" i="45"/>
  <c r="CV209" i="45"/>
  <c r="DE209" i="45"/>
  <c r="CW209" i="45"/>
  <c r="DF209" i="45"/>
  <c r="CV188" i="45"/>
  <c r="DE188" i="45"/>
  <c r="DF188" i="45"/>
  <c r="CW188" i="45"/>
  <c r="DE73" i="45"/>
  <c r="CV73" i="45"/>
  <c r="CW73" i="45"/>
  <c r="DF73" i="45"/>
  <c r="CV292" i="45"/>
  <c r="DE292" i="45"/>
  <c r="DF292" i="45"/>
  <c r="CW292" i="45"/>
  <c r="CV121" i="45"/>
  <c r="DE121" i="45"/>
  <c r="CW121" i="45"/>
  <c r="DF121" i="45"/>
  <c r="CV268" i="45"/>
  <c r="DE268" i="45"/>
  <c r="DF268" i="45"/>
  <c r="CW268" i="45"/>
  <c r="CV305" i="45"/>
  <c r="DE305" i="45"/>
  <c r="DF305" i="45"/>
  <c r="CW305" i="45"/>
  <c r="CV97" i="45"/>
  <c r="DE97" i="45"/>
  <c r="DF97" i="45"/>
  <c r="CW97" i="45"/>
  <c r="CV161" i="45"/>
  <c r="DE161" i="45"/>
  <c r="CW161" i="45"/>
  <c r="DF161" i="45"/>
  <c r="CV108" i="45"/>
  <c r="DE108" i="45"/>
  <c r="DF108" i="45"/>
  <c r="CW108" i="45"/>
  <c r="CV156" i="45"/>
  <c r="DE156" i="45"/>
  <c r="CW156" i="45"/>
  <c r="DF156" i="45"/>
  <c r="CV57" i="45"/>
  <c r="DE57" i="45"/>
  <c r="DF57" i="45"/>
  <c r="CW57" i="45"/>
  <c r="CV244" i="45"/>
  <c r="DE244" i="45"/>
  <c r="DF244" i="45"/>
  <c r="CW244" i="45"/>
  <c r="CJ13" i="45"/>
  <c r="CK15" i="45"/>
  <c r="DE116" i="45"/>
  <c r="CV116" i="45"/>
  <c r="DF116" i="45"/>
  <c r="CW116" i="45"/>
  <c r="CV140" i="45"/>
  <c r="DE140" i="45"/>
  <c r="DF140" i="45"/>
  <c r="CW140" i="45"/>
  <c r="DE137" i="45"/>
  <c r="CV137" i="45"/>
  <c r="CW137" i="45"/>
  <c r="DF137" i="45"/>
  <c r="CV76" i="45"/>
  <c r="DE76" i="45"/>
  <c r="CW76" i="45"/>
  <c r="DF76" i="45"/>
  <c r="CV185" i="45"/>
  <c r="DE185" i="45"/>
  <c r="DF185" i="45"/>
  <c r="CW185" i="45"/>
  <c r="CV284" i="45"/>
  <c r="DE284" i="45"/>
  <c r="CW284" i="45"/>
  <c r="DF284" i="45"/>
  <c r="CV81" i="45"/>
  <c r="DE81" i="45"/>
  <c r="DF81" i="45"/>
  <c r="CW81" i="45"/>
  <c r="CV34" i="45"/>
  <c r="DE34" i="45"/>
  <c r="CW34" i="45"/>
  <c r="DF34" i="45"/>
  <c r="CV273" i="45"/>
  <c r="DE273" i="45"/>
  <c r="CW273" i="45"/>
  <c r="DF273" i="45"/>
  <c r="CV18" i="45"/>
  <c r="DE18" i="45"/>
  <c r="DF18" i="45"/>
  <c r="CW18" i="45"/>
  <c r="CV196" i="45"/>
  <c r="DE196" i="45"/>
  <c r="DF196" i="45"/>
  <c r="CW196" i="45"/>
  <c r="CV204" i="45"/>
  <c r="DE204" i="45"/>
  <c r="DF204" i="45"/>
  <c r="CW204" i="45"/>
  <c r="CV241" i="45"/>
  <c r="DE241" i="45"/>
  <c r="CW241" i="45"/>
  <c r="DF241" i="45"/>
  <c r="CV252" i="45"/>
  <c r="DE252" i="45"/>
  <c r="CW252" i="45"/>
  <c r="DF252" i="45"/>
  <c r="CV145" i="45"/>
  <c r="DE145" i="45"/>
  <c r="DF145" i="45"/>
  <c r="CW145" i="45"/>
  <c r="CV164" i="45"/>
  <c r="DE164" i="45"/>
  <c r="DF164" i="45"/>
  <c r="CW164" i="45"/>
  <c r="CV265" i="45"/>
  <c r="DE265" i="45"/>
  <c r="DF265" i="45"/>
  <c r="CW265" i="45"/>
  <c r="CV92" i="45"/>
  <c r="DE92" i="45"/>
  <c r="CW92" i="45"/>
  <c r="DF92" i="45"/>
  <c r="CV300" i="45"/>
  <c r="DE300" i="45"/>
  <c r="CW300" i="45"/>
  <c r="DF300" i="45"/>
  <c r="CV29" i="45"/>
  <c r="DE29" i="45"/>
  <c r="DF29" i="45"/>
  <c r="CW29" i="45"/>
  <c r="DE52" i="45"/>
  <c r="CV52" i="45"/>
  <c r="DF52" i="45"/>
  <c r="CW52" i="45"/>
  <c r="CV289" i="45"/>
  <c r="DE289" i="45"/>
  <c r="DF289" i="45"/>
  <c r="CW289" i="45"/>
  <c r="CV201" i="45"/>
  <c r="DE201" i="45"/>
  <c r="DF201" i="45"/>
  <c r="CW201" i="45"/>
  <c r="DE297" i="45"/>
  <c r="CV297" i="45"/>
  <c r="DF297" i="45"/>
  <c r="CW297" i="45"/>
  <c r="CV236" i="45"/>
  <c r="DE236" i="45"/>
  <c r="CW236" i="45"/>
  <c r="DF236" i="45"/>
  <c r="DE84" i="45"/>
  <c r="CV84" i="45"/>
  <c r="DF84" i="45"/>
  <c r="CW84" i="45"/>
  <c r="AH229" i="48"/>
  <c r="AS229" i="54" s="1"/>
  <c r="P229" i="48"/>
  <c r="AI229" i="48" s="1"/>
  <c r="AT229" i="54" s="1"/>
  <c r="AH139" i="48"/>
  <c r="AS139" i="54" s="1"/>
  <c r="P139" i="48"/>
  <c r="AI139" i="48" s="1"/>
  <c r="AT139" i="54" s="1"/>
  <c r="AH294" i="48"/>
  <c r="AS294" i="54" s="1"/>
  <c r="P294" i="48"/>
  <c r="AI294" i="48" s="1"/>
  <c r="AT294" i="54" s="1"/>
  <c r="AH76" i="48"/>
  <c r="AS76" i="54" s="1"/>
  <c r="P76" i="48"/>
  <c r="AI76" i="48" s="1"/>
  <c r="AT76" i="54" s="1"/>
  <c r="AH219" i="48"/>
  <c r="AS219" i="54" s="1"/>
  <c r="P219" i="48"/>
  <c r="AI219" i="48" s="1"/>
  <c r="AT219" i="54" s="1"/>
  <c r="AH106" i="48"/>
  <c r="AS106" i="54" s="1"/>
  <c r="P106" i="48"/>
  <c r="AI106" i="48" s="1"/>
  <c r="AT106" i="54" s="1"/>
  <c r="AH242" i="48"/>
  <c r="AS242" i="54" s="1"/>
  <c r="P242" i="48"/>
  <c r="AI242" i="48" s="1"/>
  <c r="AT242" i="54" s="1"/>
  <c r="AH41" i="48"/>
  <c r="AS41" i="54" s="1"/>
  <c r="P41" i="48"/>
  <c r="AI41" i="48" s="1"/>
  <c r="AT41" i="54" s="1"/>
  <c r="AH44" i="48"/>
  <c r="AS44" i="54" s="1"/>
  <c r="P44" i="48"/>
  <c r="AI44" i="48" s="1"/>
  <c r="AT44" i="54" s="1"/>
  <c r="AH27" i="48"/>
  <c r="AS27" i="54" s="1"/>
  <c r="P27" i="48"/>
  <c r="AI27" i="48" s="1"/>
  <c r="AT27" i="54" s="1"/>
  <c r="AH285" i="48"/>
  <c r="AS285" i="54" s="1"/>
  <c r="P285" i="48"/>
  <c r="AI285" i="48" s="1"/>
  <c r="AT285" i="54" s="1"/>
  <c r="AH86" i="48"/>
  <c r="AS86" i="54" s="1"/>
  <c r="P86" i="48"/>
  <c r="AI86" i="48" s="1"/>
  <c r="AT86" i="54" s="1"/>
  <c r="AH130" i="48"/>
  <c r="AS130" i="54" s="1"/>
  <c r="P130" i="48"/>
  <c r="AI130" i="48" s="1"/>
  <c r="AT130" i="54" s="1"/>
  <c r="AH299" i="48"/>
  <c r="AS299" i="54" s="1"/>
  <c r="P299" i="48"/>
  <c r="AI299" i="48" s="1"/>
  <c r="AT299" i="54" s="1"/>
  <c r="AH17" i="48"/>
  <c r="AS17" i="54" s="1"/>
  <c r="P17" i="48"/>
  <c r="AI17" i="48" s="1"/>
  <c r="AT17" i="54" s="1"/>
  <c r="AH223" i="48"/>
  <c r="AS223" i="54" s="1"/>
  <c r="P223" i="48"/>
  <c r="AI223" i="48" s="1"/>
  <c r="AT223" i="54" s="1"/>
  <c r="AH144" i="48"/>
  <c r="AS144" i="54" s="1"/>
  <c r="P144" i="48"/>
  <c r="AI144" i="48" s="1"/>
  <c r="AT144" i="54" s="1"/>
  <c r="AH291" i="48"/>
  <c r="AS291" i="54" s="1"/>
  <c r="P291" i="48"/>
  <c r="AI291" i="48" s="1"/>
  <c r="AT291" i="54" s="1"/>
  <c r="AH233" i="48"/>
  <c r="AS233" i="54" s="1"/>
  <c r="P233" i="48"/>
  <c r="AI233" i="48" s="1"/>
  <c r="AT233" i="54" s="1"/>
  <c r="AH238" i="48"/>
  <c r="AS238" i="54" s="1"/>
  <c r="P238" i="48"/>
  <c r="AI238" i="48" s="1"/>
  <c r="AT238" i="54" s="1"/>
  <c r="AH258" i="48"/>
  <c r="AS258" i="54" s="1"/>
  <c r="P258" i="48"/>
  <c r="AI258" i="48" s="1"/>
  <c r="AT258" i="54" s="1"/>
  <c r="AH50" i="48"/>
  <c r="AS50" i="54" s="1"/>
  <c r="P50" i="48"/>
  <c r="AI50" i="48" s="1"/>
  <c r="AT50" i="54" s="1"/>
  <c r="AH55" i="48"/>
  <c r="AS55" i="54" s="1"/>
  <c r="P55" i="48"/>
  <c r="AI55" i="48" s="1"/>
  <c r="AT55" i="54" s="1"/>
  <c r="AH257" i="48"/>
  <c r="AS257" i="54" s="1"/>
  <c r="P257" i="48"/>
  <c r="AI257" i="48" s="1"/>
  <c r="AT257" i="54" s="1"/>
  <c r="AH33" i="48"/>
  <c r="AS33" i="54" s="1"/>
  <c r="P33" i="48"/>
  <c r="AI33" i="48" s="1"/>
  <c r="AT33" i="54" s="1"/>
  <c r="AH298" i="48"/>
  <c r="AS298" i="54" s="1"/>
  <c r="P298" i="48"/>
  <c r="AI298" i="48" s="1"/>
  <c r="AT298" i="54" s="1"/>
  <c r="AH93" i="48"/>
  <c r="AS93" i="54" s="1"/>
  <c r="P93" i="48"/>
  <c r="AI93" i="48" s="1"/>
  <c r="AT93" i="54" s="1"/>
  <c r="AH297" i="48"/>
  <c r="AS297" i="54" s="1"/>
  <c r="P297" i="48"/>
  <c r="AI297" i="48" s="1"/>
  <c r="AT297" i="54" s="1"/>
  <c r="AH62" i="48"/>
  <c r="AS62" i="54" s="1"/>
  <c r="P62" i="48"/>
  <c r="AI62" i="48" s="1"/>
  <c r="AT62" i="54" s="1"/>
  <c r="AH152" i="48"/>
  <c r="AS152" i="54" s="1"/>
  <c r="P152" i="48"/>
  <c r="AI152" i="48" s="1"/>
  <c r="AT152" i="54" s="1"/>
  <c r="AH206" i="48"/>
  <c r="AS206" i="54" s="1"/>
  <c r="P206" i="48"/>
  <c r="AI206" i="48" s="1"/>
  <c r="AT206" i="54" s="1"/>
  <c r="AH163" i="48"/>
  <c r="AS163" i="54" s="1"/>
  <c r="P163" i="48"/>
  <c r="AI163" i="48" s="1"/>
  <c r="AT163" i="54" s="1"/>
  <c r="AH263" i="48"/>
  <c r="AS263" i="54" s="1"/>
  <c r="P263" i="48"/>
  <c r="AI263" i="48" s="1"/>
  <c r="AT263" i="54" s="1"/>
  <c r="AH128" i="48"/>
  <c r="AS128" i="54" s="1"/>
  <c r="P128" i="48"/>
  <c r="AI128" i="48" s="1"/>
  <c r="AT128" i="54" s="1"/>
  <c r="AH215" i="48"/>
  <c r="AS215" i="54" s="1"/>
  <c r="P215" i="48"/>
  <c r="AI215" i="48" s="1"/>
  <c r="AT215" i="54" s="1"/>
  <c r="AH231" i="48"/>
  <c r="AS231" i="54" s="1"/>
  <c r="P231" i="48"/>
  <c r="AI231" i="48" s="1"/>
  <c r="AT231" i="54" s="1"/>
  <c r="AH66" i="48"/>
  <c r="AS66" i="54" s="1"/>
  <c r="P66" i="48"/>
  <c r="AI66" i="48" s="1"/>
  <c r="AT66" i="54" s="1"/>
  <c r="AH109" i="48"/>
  <c r="AS109" i="54" s="1"/>
  <c r="P109" i="48"/>
  <c r="AI109" i="48" s="1"/>
  <c r="AT109" i="54" s="1"/>
  <c r="AH88" i="48"/>
  <c r="AS88" i="54" s="1"/>
  <c r="P88" i="48"/>
  <c r="AI88" i="48" s="1"/>
  <c r="AT88" i="54" s="1"/>
  <c r="AH186" i="48"/>
  <c r="AS186" i="54" s="1"/>
  <c r="P186" i="48"/>
  <c r="AI186" i="48" s="1"/>
  <c r="AT186" i="54" s="1"/>
  <c r="AH196" i="48"/>
  <c r="AS196" i="54" s="1"/>
  <c r="P196" i="48"/>
  <c r="AI196" i="48" s="1"/>
  <c r="AT196" i="54" s="1"/>
  <c r="AH96" i="48"/>
  <c r="AS96" i="54" s="1"/>
  <c r="P96" i="48"/>
  <c r="AI96" i="48" s="1"/>
  <c r="AT96" i="54" s="1"/>
  <c r="AH228" i="48"/>
  <c r="AS228" i="54" s="1"/>
  <c r="P228" i="48"/>
  <c r="AI228" i="48" s="1"/>
  <c r="AT228" i="54" s="1"/>
  <c r="AH182" i="48"/>
  <c r="AS182" i="54" s="1"/>
  <c r="P182" i="48"/>
  <c r="AI182" i="48" s="1"/>
  <c r="AT182" i="54" s="1"/>
  <c r="AH69" i="48"/>
  <c r="AS69" i="54" s="1"/>
  <c r="P69" i="48"/>
  <c r="AI69" i="48" s="1"/>
  <c r="AT69" i="54" s="1"/>
  <c r="AH161" i="48"/>
  <c r="AS161" i="54" s="1"/>
  <c r="P161" i="48"/>
  <c r="AI161" i="48" s="1"/>
  <c r="AT161" i="54" s="1"/>
  <c r="AH87" i="48"/>
  <c r="AS87" i="54" s="1"/>
  <c r="P87" i="48"/>
  <c r="AI87" i="48" s="1"/>
  <c r="AT87" i="54" s="1"/>
  <c r="AH79" i="48"/>
  <c r="AS79" i="54" s="1"/>
  <c r="P79" i="48"/>
  <c r="AI79" i="48" s="1"/>
  <c r="AT79" i="54" s="1"/>
  <c r="AH264" i="48"/>
  <c r="AS264" i="54" s="1"/>
  <c r="P264" i="48"/>
  <c r="AI264" i="48" s="1"/>
  <c r="AT264" i="54" s="1"/>
  <c r="AH74" i="48"/>
  <c r="AS74" i="54" s="1"/>
  <c r="P74" i="48"/>
  <c r="AI74" i="48" s="1"/>
  <c r="AT74" i="54" s="1"/>
  <c r="AH151" i="48"/>
  <c r="AS151" i="54" s="1"/>
  <c r="P151" i="48"/>
  <c r="AI151" i="48" s="1"/>
  <c r="AT151" i="54" s="1"/>
  <c r="AH119" i="48"/>
  <c r="AS119" i="54" s="1"/>
  <c r="P119" i="48"/>
  <c r="AI119" i="48" s="1"/>
  <c r="AT119" i="54" s="1"/>
  <c r="AH63" i="48"/>
  <c r="AS63" i="54" s="1"/>
  <c r="P63" i="48"/>
  <c r="AI63" i="48" s="1"/>
  <c r="AT63" i="54" s="1"/>
  <c r="AH36" i="48"/>
  <c r="AS36" i="54" s="1"/>
  <c r="P36" i="48"/>
  <c r="AI36" i="48" s="1"/>
  <c r="AT36" i="54" s="1"/>
  <c r="AH173" i="48"/>
  <c r="AS173" i="54" s="1"/>
  <c r="P173" i="48"/>
  <c r="AI173" i="48" s="1"/>
  <c r="AT173" i="54" s="1"/>
  <c r="AH124" i="48"/>
  <c r="AS124" i="54" s="1"/>
  <c r="P124" i="48"/>
  <c r="AI124" i="48" s="1"/>
  <c r="AT124" i="54" s="1"/>
  <c r="AH107" i="48"/>
  <c r="AS107" i="54" s="1"/>
  <c r="P107" i="48"/>
  <c r="AI107" i="48" s="1"/>
  <c r="AT107" i="54" s="1"/>
  <c r="AH145" i="48"/>
  <c r="AS145" i="54" s="1"/>
  <c r="P145" i="48"/>
  <c r="AI145" i="48" s="1"/>
  <c r="AT145" i="54" s="1"/>
  <c r="AH262" i="48"/>
  <c r="AS262" i="54" s="1"/>
  <c r="P262" i="48"/>
  <c r="AI262" i="48" s="1"/>
  <c r="AT262" i="54" s="1"/>
  <c r="AH30" i="48"/>
  <c r="AS30" i="54" s="1"/>
  <c r="P30" i="48"/>
  <c r="AI30" i="48" s="1"/>
  <c r="AT30" i="54" s="1"/>
  <c r="AH177" i="48"/>
  <c r="AS177" i="54" s="1"/>
  <c r="P177" i="48"/>
  <c r="AI177" i="48" s="1"/>
  <c r="AT177" i="54" s="1"/>
  <c r="AH20" i="48"/>
  <c r="AS20" i="54" s="1"/>
  <c r="P20" i="48"/>
  <c r="AI20" i="48" s="1"/>
  <c r="AT20" i="54" s="1"/>
  <c r="AH26" i="48"/>
  <c r="AS26" i="54" s="1"/>
  <c r="P26" i="48"/>
  <c r="AI26" i="48" s="1"/>
  <c r="AT26" i="54" s="1"/>
  <c r="AH135" i="48"/>
  <c r="AS135" i="54" s="1"/>
  <c r="P135" i="48"/>
  <c r="AI135" i="48" s="1"/>
  <c r="AT135" i="54" s="1"/>
  <c r="AH95" i="48"/>
  <c r="AS95" i="54" s="1"/>
  <c r="P95" i="48"/>
  <c r="AI95" i="48" s="1"/>
  <c r="AT95" i="54" s="1"/>
  <c r="AH306" i="48"/>
  <c r="AS306" i="54" s="1"/>
  <c r="P306" i="48"/>
  <c r="AI306" i="48" s="1"/>
  <c r="AT306" i="54" s="1"/>
  <c r="AH218" i="48"/>
  <c r="AS218" i="54" s="1"/>
  <c r="P218" i="48"/>
  <c r="AI218" i="48" s="1"/>
  <c r="AT218" i="54" s="1"/>
  <c r="AH220" i="48"/>
  <c r="AS220" i="54" s="1"/>
  <c r="P220" i="48"/>
  <c r="AI220" i="48" s="1"/>
  <c r="AT220" i="54" s="1"/>
  <c r="AH307" i="48"/>
  <c r="AS307" i="54" s="1"/>
  <c r="P307" i="48"/>
  <c r="AI307" i="48" s="1"/>
  <c r="AT307" i="54" s="1"/>
  <c r="AH304" i="48"/>
  <c r="AS304" i="54" s="1"/>
  <c r="P304" i="48"/>
  <c r="AI304" i="48" s="1"/>
  <c r="AT304" i="54" s="1"/>
  <c r="AH67" i="48"/>
  <c r="AS67" i="54" s="1"/>
  <c r="P67" i="48"/>
  <c r="AI67" i="48" s="1"/>
  <c r="AT67" i="54" s="1"/>
  <c r="AH126" i="48"/>
  <c r="AS126" i="54" s="1"/>
  <c r="P126" i="48"/>
  <c r="AI126" i="48" s="1"/>
  <c r="AT126" i="54" s="1"/>
  <c r="AH102" i="48"/>
  <c r="AS102" i="54" s="1"/>
  <c r="P102" i="48"/>
  <c r="AI102" i="48" s="1"/>
  <c r="AT102" i="54" s="1"/>
  <c r="AH92" i="48"/>
  <c r="AS92" i="54" s="1"/>
  <c r="P92" i="48"/>
  <c r="AI92" i="48" s="1"/>
  <c r="AT92" i="54" s="1"/>
  <c r="AH208" i="48"/>
  <c r="AS208" i="54" s="1"/>
  <c r="P208" i="48"/>
  <c r="AI208" i="48" s="1"/>
  <c r="AT208" i="54" s="1"/>
  <c r="AH171" i="48"/>
  <c r="AS171" i="54" s="1"/>
  <c r="P171" i="48"/>
  <c r="AI171" i="48" s="1"/>
  <c r="AT171" i="54" s="1"/>
  <c r="AH82" i="48"/>
  <c r="AS82" i="54" s="1"/>
  <c r="P82" i="48"/>
  <c r="AI82" i="48" s="1"/>
  <c r="AT82" i="54" s="1"/>
  <c r="AH37" i="48"/>
  <c r="AS37" i="54" s="1"/>
  <c r="P37" i="48"/>
  <c r="AI37" i="48" s="1"/>
  <c r="AT37" i="54" s="1"/>
  <c r="AH245" i="48"/>
  <c r="AS245" i="54" s="1"/>
  <c r="P245" i="48"/>
  <c r="AH230" i="48"/>
  <c r="AS230" i="54" s="1"/>
  <c r="P230" i="48"/>
  <c r="AI230" i="48" s="1"/>
  <c r="AT230" i="54" s="1"/>
  <c r="AH281" i="48"/>
  <c r="AS281" i="54" s="1"/>
  <c r="P281" i="48"/>
  <c r="AI281" i="48" s="1"/>
  <c r="AT281" i="54" s="1"/>
  <c r="AH73" i="48"/>
  <c r="AS73" i="54" s="1"/>
  <c r="P73" i="48"/>
  <c r="AI73" i="48" s="1"/>
  <c r="AT73" i="54" s="1"/>
  <c r="AH129" i="48"/>
  <c r="AS129" i="54" s="1"/>
  <c r="P129" i="48"/>
  <c r="AI129" i="48" s="1"/>
  <c r="AT129" i="54" s="1"/>
  <c r="AH148" i="48"/>
  <c r="AS148" i="54" s="1"/>
  <c r="P148" i="48"/>
  <c r="AI148" i="48" s="1"/>
  <c r="AT148" i="54" s="1"/>
  <c r="AH112" i="48"/>
  <c r="AS112" i="54" s="1"/>
  <c r="P112" i="48"/>
  <c r="AI112" i="48" s="1"/>
  <c r="AT112" i="54" s="1"/>
  <c r="AH176" i="48"/>
  <c r="AS176" i="54" s="1"/>
  <c r="P176" i="48"/>
  <c r="AI176" i="48" s="1"/>
  <c r="AT176" i="54" s="1"/>
  <c r="AH25" i="48"/>
  <c r="AS25" i="54" s="1"/>
  <c r="P25" i="48"/>
  <c r="AH31" i="48"/>
  <c r="AS31" i="54" s="1"/>
  <c r="P31" i="48"/>
  <c r="AI31" i="48" s="1"/>
  <c r="AT31" i="54" s="1"/>
  <c r="AH273" i="48"/>
  <c r="AS273" i="54" s="1"/>
  <c r="P273" i="48"/>
  <c r="AI273" i="48" s="1"/>
  <c r="AT273" i="54" s="1"/>
  <c r="AH91" i="48"/>
  <c r="AS91" i="54" s="1"/>
  <c r="P91" i="48"/>
  <c r="AI91" i="48" s="1"/>
  <c r="AT91" i="54" s="1"/>
  <c r="AH24" i="48"/>
  <c r="AS24" i="54" s="1"/>
  <c r="P24" i="48"/>
  <c r="AI24" i="48" s="1"/>
  <c r="AT24" i="54" s="1"/>
  <c r="AH246" i="48"/>
  <c r="AS246" i="54" s="1"/>
  <c r="P246" i="48"/>
  <c r="AI246" i="48" s="1"/>
  <c r="AT246" i="54" s="1"/>
  <c r="AH180" i="48"/>
  <c r="AS180" i="54" s="1"/>
  <c r="P180" i="48"/>
  <c r="AI180" i="48" s="1"/>
  <c r="AT180" i="54" s="1"/>
  <c r="AH169" i="48"/>
  <c r="AS169" i="54" s="1"/>
  <c r="P169" i="48"/>
  <c r="AI169" i="48" s="1"/>
  <c r="AT169" i="54" s="1"/>
  <c r="AH184" i="48"/>
  <c r="AS184" i="54" s="1"/>
  <c r="P184" i="48"/>
  <c r="AI184" i="48" s="1"/>
  <c r="AT184" i="54" s="1"/>
  <c r="AH295" i="48"/>
  <c r="AS295" i="54" s="1"/>
  <c r="P295" i="48"/>
  <c r="AI295" i="48" s="1"/>
  <c r="AT295" i="54" s="1"/>
  <c r="AH216" i="48"/>
  <c r="AS216" i="54" s="1"/>
  <c r="P216" i="48"/>
  <c r="AI216" i="48" s="1"/>
  <c r="AT216" i="54" s="1"/>
  <c r="AH214" i="48"/>
  <c r="AS214" i="54" s="1"/>
  <c r="P214" i="48"/>
  <c r="AI214" i="48" s="1"/>
  <c r="AT214" i="54" s="1"/>
  <c r="AH120" i="48"/>
  <c r="AS120" i="54" s="1"/>
  <c r="P120" i="48"/>
  <c r="AI120" i="48" s="1"/>
  <c r="AT120" i="54" s="1"/>
  <c r="AH243" i="48"/>
  <c r="AS243" i="54" s="1"/>
  <c r="P243" i="48"/>
  <c r="AI243" i="48" s="1"/>
  <c r="AT243" i="54" s="1"/>
  <c r="AH282" i="48"/>
  <c r="AS282" i="54" s="1"/>
  <c r="P282" i="48"/>
  <c r="AI282" i="48" s="1"/>
  <c r="AT282" i="54" s="1"/>
  <c r="AH40" i="48"/>
  <c r="AS40" i="54" s="1"/>
  <c r="P40" i="48"/>
  <c r="AI40" i="48" s="1"/>
  <c r="AT40" i="54" s="1"/>
  <c r="AH99" i="48"/>
  <c r="AS99" i="54" s="1"/>
  <c r="P99" i="48"/>
  <c r="AI99" i="48" s="1"/>
  <c r="AT99" i="54" s="1"/>
  <c r="AH114" i="48"/>
  <c r="AS114" i="54" s="1"/>
  <c r="P114" i="48"/>
  <c r="AI114" i="48" s="1"/>
  <c r="AT114" i="54" s="1"/>
  <c r="AH150" i="48"/>
  <c r="AS150" i="54" s="1"/>
  <c r="P150" i="48"/>
  <c r="AI150" i="48" s="1"/>
  <c r="AT150" i="54" s="1"/>
  <c r="AH275" i="48"/>
  <c r="AS275" i="54" s="1"/>
  <c r="P275" i="48"/>
  <c r="AI275" i="48" s="1"/>
  <c r="AT275" i="54" s="1"/>
  <c r="AH272" i="48"/>
  <c r="AS272" i="54" s="1"/>
  <c r="P272" i="48"/>
  <c r="AI272" i="48" s="1"/>
  <c r="AT272" i="54" s="1"/>
  <c r="AH240" i="48"/>
  <c r="AS240" i="54" s="1"/>
  <c r="P240" i="48"/>
  <c r="AI240" i="48" s="1"/>
  <c r="AT240" i="54" s="1"/>
  <c r="AH292" i="48"/>
  <c r="AS292" i="54" s="1"/>
  <c r="P292" i="48"/>
  <c r="AI292" i="48" s="1"/>
  <c r="AT292" i="54" s="1"/>
  <c r="AH270" i="48"/>
  <c r="AS270" i="54" s="1"/>
  <c r="P270" i="48"/>
  <c r="AI270" i="48" s="1"/>
  <c r="AT270" i="54" s="1"/>
  <c r="AH54" i="48"/>
  <c r="AS54" i="54" s="1"/>
  <c r="P54" i="48"/>
  <c r="AI54" i="48" s="1"/>
  <c r="AT54" i="54" s="1"/>
  <c r="AH39" i="48"/>
  <c r="AS39" i="54" s="1"/>
  <c r="P39" i="48"/>
  <c r="AI39" i="48" s="1"/>
  <c r="AT39" i="54" s="1"/>
  <c r="AH201" i="48"/>
  <c r="AS201" i="54" s="1"/>
  <c r="P201" i="48"/>
  <c r="AI201" i="48" s="1"/>
  <c r="AT201" i="54" s="1"/>
  <c r="AH181" i="48"/>
  <c r="AS181" i="54" s="1"/>
  <c r="P181" i="48"/>
  <c r="AI181" i="48" s="1"/>
  <c r="AT181" i="54" s="1"/>
  <c r="AH259" i="48"/>
  <c r="AS259" i="54" s="1"/>
  <c r="P259" i="48"/>
  <c r="AI259" i="48" s="1"/>
  <c r="AT259" i="54" s="1"/>
  <c r="AH212" i="48"/>
  <c r="AS212" i="54" s="1"/>
  <c r="P212" i="48"/>
  <c r="AI212" i="48" s="1"/>
  <c r="AT212" i="54" s="1"/>
  <c r="AH226" i="48"/>
  <c r="AS226" i="54" s="1"/>
  <c r="P226" i="48"/>
  <c r="AI226" i="48" s="1"/>
  <c r="AT226" i="54" s="1"/>
  <c r="AH29" i="48"/>
  <c r="AS29" i="54" s="1"/>
  <c r="P29" i="48"/>
  <c r="AI29" i="48" s="1"/>
  <c r="AT29" i="54" s="1"/>
  <c r="AH141" i="48"/>
  <c r="AS141" i="54" s="1"/>
  <c r="P141" i="48"/>
  <c r="AH64" i="48"/>
  <c r="AS64" i="54" s="1"/>
  <c r="P64" i="48"/>
  <c r="AI64" i="48" s="1"/>
  <c r="AT64" i="54" s="1"/>
  <c r="AH143" i="48"/>
  <c r="AS143" i="54" s="1"/>
  <c r="P143" i="48"/>
  <c r="AI143" i="48" s="1"/>
  <c r="AT143" i="54" s="1"/>
  <c r="AH104" i="48"/>
  <c r="AS104" i="54" s="1"/>
  <c r="P104" i="48"/>
  <c r="AI104" i="48" s="1"/>
  <c r="AT104" i="54" s="1"/>
  <c r="AH277" i="48"/>
  <c r="AS277" i="54" s="1"/>
  <c r="P277" i="48"/>
  <c r="AI277" i="48" s="1"/>
  <c r="AT277" i="54" s="1"/>
  <c r="AH199" i="48"/>
  <c r="AS199" i="54" s="1"/>
  <c r="P199" i="48"/>
  <c r="AI199" i="48" s="1"/>
  <c r="AT199" i="54" s="1"/>
  <c r="AH170" i="48"/>
  <c r="AS170" i="54" s="1"/>
  <c r="P170" i="48"/>
  <c r="AI170" i="48" s="1"/>
  <c r="AT170" i="54" s="1"/>
  <c r="AH247" i="48"/>
  <c r="AS247" i="54" s="1"/>
  <c r="P247" i="48"/>
  <c r="AI247" i="48" s="1"/>
  <c r="AT247" i="54" s="1"/>
  <c r="AH38" i="48"/>
  <c r="AS38" i="54" s="1"/>
  <c r="P38" i="48"/>
  <c r="AI38" i="48" s="1"/>
  <c r="AT38" i="54" s="1"/>
  <c r="AH72" i="48"/>
  <c r="AS72" i="54" s="1"/>
  <c r="P72" i="48"/>
  <c r="AI72" i="48" s="1"/>
  <c r="AT72" i="54" s="1"/>
  <c r="AH53" i="48"/>
  <c r="AS53" i="54" s="1"/>
  <c r="P53" i="48"/>
  <c r="AI53" i="48" s="1"/>
  <c r="AT53" i="54" s="1"/>
  <c r="AH179" i="48"/>
  <c r="AS179" i="54" s="1"/>
  <c r="P179" i="48"/>
  <c r="AI179" i="48" s="1"/>
  <c r="AT179" i="54" s="1"/>
  <c r="AH18" i="48"/>
  <c r="AS18" i="54" s="1"/>
  <c r="P18" i="48"/>
  <c r="AI18" i="48" s="1"/>
  <c r="AT18" i="54" s="1"/>
  <c r="AH155" i="48"/>
  <c r="AS155" i="54" s="1"/>
  <c r="P155" i="48"/>
  <c r="AI155" i="48" s="1"/>
  <c r="AT155" i="54" s="1"/>
  <c r="AH236" i="48"/>
  <c r="AS236" i="54" s="1"/>
  <c r="P236" i="48"/>
  <c r="AI236" i="48" s="1"/>
  <c r="AT236" i="54" s="1"/>
  <c r="AH153" i="48"/>
  <c r="AS153" i="54" s="1"/>
  <c r="P153" i="48"/>
  <c r="AI153" i="48" s="1"/>
  <c r="AT153" i="54" s="1"/>
  <c r="AH265" i="48"/>
  <c r="AS265" i="54" s="1"/>
  <c r="P265" i="48"/>
  <c r="AI265" i="48" s="1"/>
  <c r="AT265" i="54" s="1"/>
  <c r="AH303" i="48"/>
  <c r="AS303" i="54" s="1"/>
  <c r="P303" i="48"/>
  <c r="AI303" i="48" s="1"/>
  <c r="AT303" i="54" s="1"/>
  <c r="AH77" i="48"/>
  <c r="AS77" i="54" s="1"/>
  <c r="P77" i="48"/>
  <c r="AI77" i="48" s="1"/>
  <c r="AT77" i="54" s="1"/>
  <c r="AH213" i="48"/>
  <c r="AS213" i="54" s="1"/>
  <c r="P213" i="48"/>
  <c r="AI213" i="48" s="1"/>
  <c r="AT213" i="54" s="1"/>
  <c r="AH211" i="48"/>
  <c r="AS211" i="54" s="1"/>
  <c r="P211" i="48"/>
  <c r="AI211" i="48" s="1"/>
  <c r="AT211" i="54" s="1"/>
  <c r="AH158" i="48"/>
  <c r="AS158" i="54" s="1"/>
  <c r="P158" i="48"/>
  <c r="AI158" i="48" s="1"/>
  <c r="AT158" i="54" s="1"/>
  <c r="AH108" i="48"/>
  <c r="AS108" i="54" s="1"/>
  <c r="P108" i="48"/>
  <c r="AI108" i="48" s="1"/>
  <c r="AT108" i="54" s="1"/>
  <c r="AH187" i="48"/>
  <c r="AS187" i="54" s="1"/>
  <c r="P187" i="48"/>
  <c r="AI187" i="48" s="1"/>
  <c r="AT187" i="54" s="1"/>
  <c r="AH35" i="48"/>
  <c r="AS35" i="54" s="1"/>
  <c r="P35" i="48"/>
  <c r="AI35" i="48" s="1"/>
  <c r="AT35" i="54" s="1"/>
  <c r="AH83" i="48"/>
  <c r="AS83" i="54" s="1"/>
  <c r="P83" i="48"/>
  <c r="AI83" i="48" s="1"/>
  <c r="AT83" i="54" s="1"/>
  <c r="AH131" i="48"/>
  <c r="AS131" i="54" s="1"/>
  <c r="P131" i="48"/>
  <c r="AI131" i="48" s="1"/>
  <c r="AT131" i="54" s="1"/>
  <c r="AH175" i="48"/>
  <c r="AS175" i="54" s="1"/>
  <c r="P175" i="48"/>
  <c r="AI175" i="48" s="1"/>
  <c r="AT175" i="54" s="1"/>
  <c r="AH81" i="48"/>
  <c r="AS81" i="54" s="1"/>
  <c r="P81" i="48"/>
  <c r="AI81" i="48" s="1"/>
  <c r="AT81" i="54" s="1"/>
  <c r="AH71" i="48"/>
  <c r="AS71" i="54" s="1"/>
  <c r="P71" i="48"/>
  <c r="AI71" i="48" s="1"/>
  <c r="AT71" i="54" s="1"/>
  <c r="AH136" i="48"/>
  <c r="AS136" i="54" s="1"/>
  <c r="P136" i="48"/>
  <c r="AI136" i="48" s="1"/>
  <c r="AT136" i="54" s="1"/>
  <c r="AH113" i="48"/>
  <c r="AS113" i="54" s="1"/>
  <c r="P113" i="48"/>
  <c r="AI113" i="48" s="1"/>
  <c r="AT113" i="54" s="1"/>
  <c r="AH125" i="48"/>
  <c r="AS125" i="54" s="1"/>
  <c r="P125" i="48"/>
  <c r="AI125" i="48" s="1"/>
  <c r="AT125" i="54" s="1"/>
  <c r="AH286" i="48"/>
  <c r="AS286" i="54" s="1"/>
  <c r="P286" i="48"/>
  <c r="AI286" i="48" s="1"/>
  <c r="AT286" i="54" s="1"/>
  <c r="AH268" i="48"/>
  <c r="AS268" i="54" s="1"/>
  <c r="P268" i="48"/>
  <c r="AI268" i="48" s="1"/>
  <c r="AT268" i="54" s="1"/>
  <c r="AH244" i="48"/>
  <c r="AS244" i="54" s="1"/>
  <c r="P244" i="48"/>
  <c r="AI244" i="48" s="1"/>
  <c r="AT244" i="54" s="1"/>
  <c r="AH46" i="48"/>
  <c r="AS46" i="54" s="1"/>
  <c r="P46" i="48"/>
  <c r="AI46" i="48" s="1"/>
  <c r="AT46" i="54" s="1"/>
  <c r="AH168" i="48"/>
  <c r="AS168" i="54" s="1"/>
  <c r="P168" i="48"/>
  <c r="AI168" i="48" s="1"/>
  <c r="AT168" i="54" s="1"/>
  <c r="AH200" i="48"/>
  <c r="AS200" i="54" s="1"/>
  <c r="P200" i="48"/>
  <c r="AI200" i="48" s="1"/>
  <c r="AT200" i="54" s="1"/>
  <c r="AH21" i="48"/>
  <c r="AS21" i="54" s="1"/>
  <c r="P21" i="48"/>
  <c r="AI21" i="48" s="1"/>
  <c r="AT21" i="54" s="1"/>
  <c r="AH227" i="48"/>
  <c r="AS227" i="54" s="1"/>
  <c r="P227" i="48"/>
  <c r="AI227" i="48" s="1"/>
  <c r="AT227" i="54" s="1"/>
  <c r="AH301" i="48"/>
  <c r="AS301" i="54" s="1"/>
  <c r="P301" i="48"/>
  <c r="AI301" i="48" s="1"/>
  <c r="AT301" i="54" s="1"/>
  <c r="AH234" i="48"/>
  <c r="AS234" i="54" s="1"/>
  <c r="P234" i="48"/>
  <c r="AI234" i="48" s="1"/>
  <c r="AT234" i="54" s="1"/>
  <c r="AH293" i="48"/>
  <c r="AS293" i="54" s="1"/>
  <c r="P293" i="48"/>
  <c r="AI293" i="48" s="1"/>
  <c r="AT293" i="54" s="1"/>
  <c r="AH142" i="48"/>
  <c r="AS142" i="54" s="1"/>
  <c r="P142" i="48"/>
  <c r="AI142" i="48" s="1"/>
  <c r="AT142" i="54" s="1"/>
  <c r="AH78" i="48"/>
  <c r="AS78" i="54" s="1"/>
  <c r="P78" i="48"/>
  <c r="AI78" i="48" s="1"/>
  <c r="AT78" i="54" s="1"/>
  <c r="AH289" i="48"/>
  <c r="AS289" i="54" s="1"/>
  <c r="P289" i="48"/>
  <c r="AI289" i="48" s="1"/>
  <c r="AT289" i="54" s="1"/>
  <c r="AH140" i="48"/>
  <c r="AS140" i="54" s="1"/>
  <c r="P140" i="48"/>
  <c r="AI140" i="48" s="1"/>
  <c r="AT140" i="54" s="1"/>
  <c r="AH49" i="48"/>
  <c r="AS49" i="54" s="1"/>
  <c r="P49" i="48"/>
  <c r="AI49" i="48" s="1"/>
  <c r="AT49" i="54" s="1"/>
  <c r="AH192" i="48"/>
  <c r="AS192" i="54" s="1"/>
  <c r="P192" i="48"/>
  <c r="AI192" i="48" s="1"/>
  <c r="AT192" i="54" s="1"/>
  <c r="AH191" i="48"/>
  <c r="AS191" i="54" s="1"/>
  <c r="P191" i="48"/>
  <c r="AI191" i="48" s="1"/>
  <c r="AT191" i="54" s="1"/>
  <c r="AH198" i="48"/>
  <c r="AS198" i="54" s="1"/>
  <c r="P198" i="48"/>
  <c r="AI198" i="48" s="1"/>
  <c r="AT198" i="54" s="1"/>
  <c r="AH274" i="48"/>
  <c r="AS274" i="54" s="1"/>
  <c r="P274" i="48"/>
  <c r="AI274" i="48" s="1"/>
  <c r="AT274" i="54" s="1"/>
  <c r="AH260" i="48"/>
  <c r="AS260" i="54" s="1"/>
  <c r="P260" i="48"/>
  <c r="AI260" i="48" s="1"/>
  <c r="AT260" i="54" s="1"/>
  <c r="AH122" i="48"/>
  <c r="AS122" i="54" s="1"/>
  <c r="P122" i="48"/>
  <c r="AI122" i="48" s="1"/>
  <c r="AT122" i="54" s="1"/>
  <c r="AH166" i="48"/>
  <c r="AS166" i="54" s="1"/>
  <c r="P166" i="48"/>
  <c r="AI166" i="48" s="1"/>
  <c r="AT166" i="54" s="1"/>
  <c r="AH65" i="48"/>
  <c r="AS65" i="54" s="1"/>
  <c r="P65" i="48"/>
  <c r="AI65" i="48" s="1"/>
  <c r="AT65" i="54" s="1"/>
  <c r="AH302" i="48"/>
  <c r="AS302" i="54" s="1"/>
  <c r="P302" i="48"/>
  <c r="AI302" i="48" s="1"/>
  <c r="AT302" i="54" s="1"/>
  <c r="AH209" i="48"/>
  <c r="AS209" i="54" s="1"/>
  <c r="P209" i="48"/>
  <c r="AI209" i="48" s="1"/>
  <c r="AT209" i="54" s="1"/>
  <c r="AH75" i="48"/>
  <c r="AS75" i="54" s="1"/>
  <c r="P75" i="48"/>
  <c r="AI75" i="48" s="1"/>
  <c r="AT75" i="54" s="1"/>
  <c r="AH111" i="48"/>
  <c r="AS111" i="54" s="1"/>
  <c r="P111" i="48"/>
  <c r="AI111" i="48" s="1"/>
  <c r="AT111" i="54" s="1"/>
  <c r="AH203" i="48"/>
  <c r="AS203" i="54" s="1"/>
  <c r="P203" i="48"/>
  <c r="AI203" i="48" s="1"/>
  <c r="AT203" i="54" s="1"/>
  <c r="AH165" i="48"/>
  <c r="AS165" i="54" s="1"/>
  <c r="P165" i="48"/>
  <c r="AI165" i="48" s="1"/>
  <c r="AT165" i="54" s="1"/>
  <c r="AH266" i="48"/>
  <c r="AS266" i="54" s="1"/>
  <c r="P266" i="48"/>
  <c r="AI266" i="48" s="1"/>
  <c r="AT266" i="54" s="1"/>
  <c r="AH188" i="48"/>
  <c r="AS188" i="54" s="1"/>
  <c r="P188" i="48"/>
  <c r="AI188" i="48" s="1"/>
  <c r="AT188" i="54" s="1"/>
  <c r="AH305" i="48"/>
  <c r="AS305" i="54" s="1"/>
  <c r="P305" i="48"/>
  <c r="AI305" i="48" s="1"/>
  <c r="AT305" i="54" s="1"/>
  <c r="AH276" i="48"/>
  <c r="AS276" i="54" s="1"/>
  <c r="P276" i="48"/>
  <c r="AI276" i="48" s="1"/>
  <c r="AT276" i="54" s="1"/>
  <c r="AH105" i="48"/>
  <c r="AS105" i="54" s="1"/>
  <c r="P105" i="48"/>
  <c r="AI105" i="48" s="1"/>
  <c r="AT105" i="54" s="1"/>
  <c r="AH300" i="48"/>
  <c r="AS300" i="54" s="1"/>
  <c r="P300" i="48"/>
  <c r="AI300" i="48" s="1"/>
  <c r="AT300" i="54" s="1"/>
  <c r="AH217" i="48"/>
  <c r="AS217" i="54" s="1"/>
  <c r="P217" i="48"/>
  <c r="AI217" i="48" s="1"/>
  <c r="AT217" i="54" s="1"/>
  <c r="AH190" i="48"/>
  <c r="AS190" i="54" s="1"/>
  <c r="P190" i="48"/>
  <c r="AI190" i="48" s="1"/>
  <c r="AT190" i="54" s="1"/>
  <c r="AH22" i="48"/>
  <c r="AS22" i="54" s="1"/>
  <c r="P22" i="48"/>
  <c r="AI22" i="48" s="1"/>
  <c r="AT22" i="54" s="1"/>
  <c r="AH279" i="48"/>
  <c r="AS279" i="54" s="1"/>
  <c r="P279" i="48"/>
  <c r="AI279" i="48" s="1"/>
  <c r="AT279" i="54" s="1"/>
  <c r="AH123" i="48"/>
  <c r="AS123" i="54" s="1"/>
  <c r="P123" i="48"/>
  <c r="AI123" i="48" s="1"/>
  <c r="AT123" i="54" s="1"/>
  <c r="AH80" i="48"/>
  <c r="AS80" i="54" s="1"/>
  <c r="P80" i="48"/>
  <c r="AI80" i="48" s="1"/>
  <c r="AT80" i="54" s="1"/>
  <c r="AH207" i="48"/>
  <c r="AS207" i="54" s="1"/>
  <c r="P207" i="48"/>
  <c r="AI207" i="48" s="1"/>
  <c r="AT207" i="54" s="1"/>
  <c r="AH267" i="48"/>
  <c r="AS267" i="54" s="1"/>
  <c r="P267" i="48"/>
  <c r="AI267" i="48" s="1"/>
  <c r="AT267" i="54" s="1"/>
  <c r="AH204" i="48"/>
  <c r="AS204" i="54" s="1"/>
  <c r="P204" i="48"/>
  <c r="AI204" i="48" s="1"/>
  <c r="AT204" i="54" s="1"/>
  <c r="AH134" i="48"/>
  <c r="AS134" i="54" s="1"/>
  <c r="P134" i="48"/>
  <c r="AI134" i="48" s="1"/>
  <c r="AT134" i="54" s="1"/>
  <c r="AH253" i="48"/>
  <c r="AS253" i="54" s="1"/>
  <c r="P253" i="48"/>
  <c r="AI253" i="48" s="1"/>
  <c r="AT253" i="54" s="1"/>
  <c r="AH118" i="48"/>
  <c r="AS118" i="54" s="1"/>
  <c r="P118" i="48"/>
  <c r="AI118" i="48" s="1"/>
  <c r="AT118" i="54" s="1"/>
  <c r="AH269" i="48"/>
  <c r="AS269" i="54" s="1"/>
  <c r="P269" i="48"/>
  <c r="AH160" i="48"/>
  <c r="AS160" i="54" s="1"/>
  <c r="P160" i="48"/>
  <c r="AI160" i="48" s="1"/>
  <c r="AT160" i="54" s="1"/>
  <c r="AH252" i="48"/>
  <c r="AS252" i="54" s="1"/>
  <c r="P252" i="48"/>
  <c r="AI252" i="48" s="1"/>
  <c r="AT252" i="54" s="1"/>
  <c r="AH138" i="48"/>
  <c r="AS138" i="54" s="1"/>
  <c r="P138" i="48"/>
  <c r="AI138" i="48" s="1"/>
  <c r="AT138" i="54" s="1"/>
  <c r="AH164" i="48"/>
  <c r="AS164" i="54" s="1"/>
  <c r="P164" i="48"/>
  <c r="AI164" i="48" s="1"/>
  <c r="AT164" i="54" s="1"/>
  <c r="AH296" i="48"/>
  <c r="AS296" i="54" s="1"/>
  <c r="P296" i="48"/>
  <c r="AI296" i="48" s="1"/>
  <c r="AT296" i="54" s="1"/>
  <c r="AH284" i="48"/>
  <c r="AS284" i="54" s="1"/>
  <c r="P284" i="48"/>
  <c r="AI284" i="48" s="1"/>
  <c r="AT284" i="54" s="1"/>
  <c r="AH224" i="48"/>
  <c r="AS224" i="54" s="1"/>
  <c r="P224" i="48"/>
  <c r="AI224" i="48" s="1"/>
  <c r="AT224" i="54" s="1"/>
  <c r="AH256" i="48"/>
  <c r="AS256" i="54" s="1"/>
  <c r="P256" i="48"/>
  <c r="AI256" i="48" s="1"/>
  <c r="AT256" i="54" s="1"/>
  <c r="AH249" i="48"/>
  <c r="AS249" i="54" s="1"/>
  <c r="P249" i="48"/>
  <c r="AI249" i="48" s="1"/>
  <c r="AT249" i="54" s="1"/>
  <c r="AH115" i="48"/>
  <c r="AS115" i="54" s="1"/>
  <c r="P115" i="48"/>
  <c r="AI115" i="48" s="1"/>
  <c r="AT115" i="54" s="1"/>
  <c r="AH85" i="48"/>
  <c r="AS85" i="54" s="1"/>
  <c r="P85" i="48"/>
  <c r="AI85" i="48" s="1"/>
  <c r="AT85" i="54" s="1"/>
  <c r="AH137" i="48"/>
  <c r="AS137" i="54" s="1"/>
  <c r="P137" i="48"/>
  <c r="AI137" i="48" s="1"/>
  <c r="AT137" i="54" s="1"/>
  <c r="AH28" i="48"/>
  <c r="AS28" i="54" s="1"/>
  <c r="P28" i="48"/>
  <c r="AI28" i="48" s="1"/>
  <c r="AT28" i="54" s="1"/>
  <c r="AH197" i="48"/>
  <c r="AS197" i="54" s="1"/>
  <c r="P197" i="48"/>
  <c r="AI197" i="48" s="1"/>
  <c r="AT197" i="54" s="1"/>
  <c r="AH172" i="48"/>
  <c r="AS172" i="54" s="1"/>
  <c r="P172" i="48"/>
  <c r="AI172" i="48" s="1"/>
  <c r="AT172" i="54" s="1"/>
  <c r="AH248" i="48"/>
  <c r="AS248" i="54" s="1"/>
  <c r="P248" i="48"/>
  <c r="AI248" i="48" s="1"/>
  <c r="AT248" i="54" s="1"/>
  <c r="AH110" i="48"/>
  <c r="AS110" i="54" s="1"/>
  <c r="P110" i="48"/>
  <c r="AI110" i="48" s="1"/>
  <c r="AT110" i="54" s="1"/>
  <c r="AH232" i="48"/>
  <c r="AS232" i="54" s="1"/>
  <c r="P232" i="48"/>
  <c r="AI232" i="48" s="1"/>
  <c r="AT232" i="54" s="1"/>
  <c r="AH174" i="48"/>
  <c r="AS174" i="54" s="1"/>
  <c r="P174" i="48"/>
  <c r="AI174" i="48" s="1"/>
  <c r="AT174" i="54" s="1"/>
  <c r="AH254" i="48"/>
  <c r="AS254" i="54" s="1"/>
  <c r="P254" i="48"/>
  <c r="AI254" i="48" s="1"/>
  <c r="AT254" i="54" s="1"/>
  <c r="AH90" i="48"/>
  <c r="AS90" i="54" s="1"/>
  <c r="P90" i="48"/>
  <c r="AI90" i="48" s="1"/>
  <c r="AT90" i="54" s="1"/>
  <c r="AH154" i="48"/>
  <c r="AS154" i="54" s="1"/>
  <c r="P154" i="48"/>
  <c r="AI154" i="48" s="1"/>
  <c r="AT154" i="54" s="1"/>
  <c r="AH193" i="48"/>
  <c r="AS193" i="54" s="1"/>
  <c r="P193" i="48"/>
  <c r="AI193" i="48" s="1"/>
  <c r="AT193" i="54" s="1"/>
  <c r="AH251" i="48"/>
  <c r="AS251" i="54" s="1"/>
  <c r="P251" i="48"/>
  <c r="AI251" i="48" s="1"/>
  <c r="AT251" i="54" s="1"/>
  <c r="AH147" i="48"/>
  <c r="AS147" i="54" s="1"/>
  <c r="P147" i="48"/>
  <c r="AI147" i="48" s="1"/>
  <c r="AT147" i="54" s="1"/>
  <c r="AH288" i="48"/>
  <c r="AS288" i="54" s="1"/>
  <c r="P288" i="48"/>
  <c r="AI288" i="48" s="1"/>
  <c r="AT288" i="54" s="1"/>
  <c r="AH167" i="48"/>
  <c r="AS167" i="54" s="1"/>
  <c r="P167" i="48"/>
  <c r="AI167" i="48" s="1"/>
  <c r="AT167" i="54" s="1"/>
  <c r="AH241" i="48"/>
  <c r="AS241" i="54" s="1"/>
  <c r="P241" i="48"/>
  <c r="AI241" i="48" s="1"/>
  <c r="AT241" i="54" s="1"/>
  <c r="AH32" i="48"/>
  <c r="AS32" i="54" s="1"/>
  <c r="P32" i="48"/>
  <c r="AI32" i="48" s="1"/>
  <c r="AT32" i="54" s="1"/>
  <c r="AH178" i="48"/>
  <c r="AS178" i="54" s="1"/>
  <c r="P178" i="48"/>
  <c r="AI178" i="48" s="1"/>
  <c r="AT178" i="54" s="1"/>
  <c r="AH237" i="48"/>
  <c r="AS237" i="54" s="1"/>
  <c r="P237" i="48"/>
  <c r="AI237" i="48" s="1"/>
  <c r="AT237" i="54" s="1"/>
  <c r="AH283" i="48"/>
  <c r="AS283" i="54" s="1"/>
  <c r="P283" i="48"/>
  <c r="AI283" i="48" s="1"/>
  <c r="AT283" i="54" s="1"/>
  <c r="AH84" i="48"/>
  <c r="AS84" i="54" s="1"/>
  <c r="P84" i="48"/>
  <c r="AI84" i="48" s="1"/>
  <c r="AT84" i="54" s="1"/>
  <c r="AH210" i="48"/>
  <c r="AS210" i="54" s="1"/>
  <c r="P210" i="48"/>
  <c r="AI210" i="48" s="1"/>
  <c r="AT210" i="54" s="1"/>
  <c r="AH290" i="48"/>
  <c r="AS290" i="54" s="1"/>
  <c r="P290" i="48"/>
  <c r="AI290" i="48" s="1"/>
  <c r="AT290" i="54" s="1"/>
  <c r="AH127" i="48"/>
  <c r="AS127" i="54" s="1"/>
  <c r="P127" i="48"/>
  <c r="AI127" i="48" s="1"/>
  <c r="AT127" i="54" s="1"/>
  <c r="AH195" i="48"/>
  <c r="AS195" i="54" s="1"/>
  <c r="P195" i="48"/>
  <c r="AI195" i="48" s="1"/>
  <c r="AT195" i="54" s="1"/>
  <c r="AH194" i="48"/>
  <c r="AS194" i="54" s="1"/>
  <c r="P194" i="48"/>
  <c r="AI194" i="48" s="1"/>
  <c r="AT194" i="54" s="1"/>
  <c r="AH162" i="48"/>
  <c r="AS162" i="54" s="1"/>
  <c r="P162" i="48"/>
  <c r="AI162" i="48" s="1"/>
  <c r="AT162" i="54" s="1"/>
  <c r="AH34" i="48"/>
  <c r="AS34" i="54" s="1"/>
  <c r="P34" i="48"/>
  <c r="AI34" i="48" s="1"/>
  <c r="AT34" i="54" s="1"/>
  <c r="AH47" i="48"/>
  <c r="AS47" i="54" s="1"/>
  <c r="P47" i="48"/>
  <c r="AI47" i="48" s="1"/>
  <c r="AT47" i="54" s="1"/>
  <c r="AH261" i="48"/>
  <c r="AS261" i="54" s="1"/>
  <c r="P261" i="48"/>
  <c r="AH43" i="48"/>
  <c r="AS43" i="54" s="1"/>
  <c r="P43" i="48"/>
  <c r="AI43" i="48" s="1"/>
  <c r="AT43" i="54" s="1"/>
  <c r="AH235" i="48"/>
  <c r="AS235" i="54" s="1"/>
  <c r="P235" i="48"/>
  <c r="AI235" i="48" s="1"/>
  <c r="AT235" i="54" s="1"/>
  <c r="AH98" i="48"/>
  <c r="AS98" i="54" s="1"/>
  <c r="P98" i="48"/>
  <c r="AI98" i="48" s="1"/>
  <c r="AT98" i="54" s="1"/>
  <c r="AH156" i="48"/>
  <c r="AS156" i="54" s="1"/>
  <c r="P156" i="48"/>
  <c r="AI156" i="48" s="1"/>
  <c r="AT156" i="54" s="1"/>
  <c r="AH70" i="48"/>
  <c r="AS70" i="54" s="1"/>
  <c r="P70" i="48"/>
  <c r="AI70" i="48" s="1"/>
  <c r="AT70" i="54" s="1"/>
  <c r="AH280" i="48"/>
  <c r="AS280" i="54" s="1"/>
  <c r="P280" i="48"/>
  <c r="AI280" i="48" s="1"/>
  <c r="AT280" i="54" s="1"/>
  <c r="AH97" i="48"/>
  <c r="AS97" i="54" s="1"/>
  <c r="P97" i="48"/>
  <c r="AI97" i="48" s="1"/>
  <c r="AT97" i="54" s="1"/>
  <c r="AH202" i="48"/>
  <c r="AS202" i="54" s="1"/>
  <c r="P202" i="48"/>
  <c r="AI202" i="48" s="1"/>
  <c r="AT202" i="54" s="1"/>
  <c r="AH185" i="48"/>
  <c r="AS185" i="54" s="1"/>
  <c r="P185" i="48"/>
  <c r="AI185" i="48" s="1"/>
  <c r="AT185" i="54" s="1"/>
  <c r="AH94" i="48"/>
  <c r="AS94" i="54" s="1"/>
  <c r="P94" i="48"/>
  <c r="AI94" i="48" s="1"/>
  <c r="AT94" i="54" s="1"/>
  <c r="AH68" i="48"/>
  <c r="AS68" i="54" s="1"/>
  <c r="P68" i="48"/>
  <c r="AI68" i="48" s="1"/>
  <c r="AT68" i="54" s="1"/>
  <c r="AH121" i="48"/>
  <c r="AS121" i="54" s="1"/>
  <c r="P121" i="48"/>
  <c r="AI121" i="48" s="1"/>
  <c r="AT121" i="54" s="1"/>
  <c r="AH103" i="48"/>
  <c r="AS103" i="54" s="1"/>
  <c r="P103" i="48"/>
  <c r="AI103" i="48" s="1"/>
  <c r="AT103" i="54" s="1"/>
  <c r="AH42" i="48"/>
  <c r="AS42" i="54" s="1"/>
  <c r="P42" i="48"/>
  <c r="AI42" i="48" s="1"/>
  <c r="AT42" i="54" s="1"/>
  <c r="AH56" i="48"/>
  <c r="AS56" i="54" s="1"/>
  <c r="P56" i="48"/>
  <c r="AI56" i="48" s="1"/>
  <c r="AT56" i="54" s="1"/>
  <c r="AH250" i="48"/>
  <c r="AS250" i="54" s="1"/>
  <c r="P250" i="48"/>
  <c r="AI250" i="48" s="1"/>
  <c r="AT250" i="54" s="1"/>
  <c r="AH23" i="48"/>
  <c r="AS23" i="54" s="1"/>
  <c r="P23" i="48"/>
  <c r="AI23" i="48" s="1"/>
  <c r="AT23" i="54" s="1"/>
  <c r="AH159" i="48"/>
  <c r="AS159" i="54" s="1"/>
  <c r="P159" i="48"/>
  <c r="AI159" i="48" s="1"/>
  <c r="AT159" i="54" s="1"/>
  <c r="DA137" i="45"/>
  <c r="CE15" i="45"/>
  <c r="CD13" i="45"/>
  <c r="DA273" i="45"/>
  <c r="DA73" i="45"/>
  <c r="DA68" i="45"/>
  <c r="DJ100" i="45"/>
  <c r="DJ116" i="45"/>
  <c r="DB42" i="45"/>
  <c r="DK42" i="45"/>
  <c r="DB21" i="45"/>
  <c r="DK21" i="45"/>
  <c r="DB145" i="45"/>
  <c r="DK145" i="45"/>
  <c r="DB265" i="45"/>
  <c r="DK265" i="45"/>
  <c r="DB188" i="45"/>
  <c r="DK188" i="45"/>
  <c r="DA57" i="45"/>
  <c r="DK57" i="45"/>
  <c r="DB52" i="45"/>
  <c r="DK52" i="45"/>
  <c r="DB260" i="45"/>
  <c r="DK260" i="45"/>
  <c r="DJ305" i="45"/>
  <c r="DK305" i="45"/>
  <c r="CP13" i="45"/>
  <c r="AG15" i="48"/>
  <c r="AR15" i="54" s="1"/>
  <c r="O15" i="48"/>
  <c r="P15" i="48" s="1"/>
  <c r="DJ228" i="45"/>
  <c r="DB228" i="45"/>
  <c r="DJ289" i="45"/>
  <c r="DB289" i="45"/>
  <c r="DA265" i="45"/>
  <c r="DJ252" i="45"/>
  <c r="DB252" i="45"/>
  <c r="DJ81" i="45"/>
  <c r="DB81" i="45"/>
  <c r="DA105" i="45"/>
  <c r="DB105" i="45"/>
  <c r="DJ97" i="45"/>
  <c r="DB97" i="45"/>
  <c r="DA204" i="45"/>
  <c r="DB204" i="45"/>
  <c r="DJ233" i="45"/>
  <c r="DB233" i="45"/>
  <c r="DA225" i="45"/>
  <c r="DB225" i="45"/>
  <c r="DA305" i="45"/>
  <c r="DB305" i="45"/>
  <c r="DJ145" i="45"/>
  <c r="DJ84" i="45"/>
  <c r="DB84" i="45"/>
  <c r="DJ268" i="45"/>
  <c r="DB268" i="45"/>
  <c r="DA169" i="45"/>
  <c r="DB169" i="45"/>
  <c r="DA297" i="45"/>
  <c r="DB297" i="45"/>
  <c r="DA156" i="45"/>
  <c r="DB156" i="45"/>
  <c r="DJ76" i="45"/>
  <c r="DB76" i="45"/>
  <c r="DA289" i="45"/>
  <c r="DJ188" i="45"/>
  <c r="DJ292" i="45"/>
  <c r="DB292" i="45"/>
  <c r="DA132" i="45"/>
  <c r="DB132" i="45"/>
  <c r="DA161" i="45"/>
  <c r="DB161" i="45"/>
  <c r="DJ140" i="45"/>
  <c r="DB140" i="45"/>
  <c r="DJ241" i="45"/>
  <c r="DB241" i="45"/>
  <c r="DA209" i="45"/>
  <c r="DB209" i="45"/>
  <c r="DJ220" i="45"/>
  <c r="DB220" i="45"/>
  <c r="DJ273" i="45"/>
  <c r="DB273" i="45"/>
  <c r="DJ108" i="45"/>
  <c r="DB108" i="45"/>
  <c r="DA145" i="45"/>
  <c r="DJ265" i="45"/>
  <c r="DJ34" i="45"/>
  <c r="DB34" i="45"/>
  <c r="DA244" i="45"/>
  <c r="DB244" i="45"/>
  <c r="DA196" i="45"/>
  <c r="DB196" i="45"/>
  <c r="DA164" i="45"/>
  <c r="DB164" i="45"/>
  <c r="DA177" i="45"/>
  <c r="DB177" i="45"/>
  <c r="DJ172" i="45"/>
  <c r="DB172" i="45"/>
  <c r="DA185" i="45"/>
  <c r="DB185" i="45"/>
  <c r="DJ57" i="45"/>
  <c r="DB57" i="45"/>
  <c r="DA249" i="45"/>
  <c r="DB249" i="45"/>
  <c r="DA260" i="45"/>
  <c r="DA188" i="45"/>
  <c r="DA228" i="45"/>
  <c r="DJ249" i="45"/>
  <c r="DJ260" i="45"/>
  <c r="DJ29" i="45"/>
  <c r="DB29" i="45"/>
  <c r="DA284" i="45"/>
  <c r="DB284" i="45"/>
  <c r="DJ60" i="45"/>
  <c r="DB60" i="45"/>
  <c r="DJ201" i="45"/>
  <c r="DB201" i="45"/>
  <c r="DJ37" i="45"/>
  <c r="DB37" i="45"/>
  <c r="DJ92" i="45"/>
  <c r="DB92" i="45"/>
  <c r="DJ73" i="45"/>
  <c r="DB73" i="45"/>
  <c r="DA220" i="45"/>
  <c r="DA52" i="45"/>
  <c r="DA108" i="45"/>
  <c r="DJ236" i="45"/>
  <c r="DB236" i="45"/>
  <c r="DA300" i="45"/>
  <c r="DB300" i="45"/>
  <c r="DJ121" i="45"/>
  <c r="DB121" i="45"/>
  <c r="DJ18" i="45"/>
  <c r="DB18" i="45"/>
  <c r="DJ68" i="45"/>
  <c r="DB68" i="45"/>
  <c r="DA116" i="45"/>
  <c r="DB116" i="45"/>
  <c r="DJ137" i="45"/>
  <c r="DB137" i="45"/>
  <c r="DA100" i="45"/>
  <c r="DB100" i="45"/>
  <c r="DA34" i="45"/>
  <c r="DJ297" i="45"/>
  <c r="DA201" i="45"/>
  <c r="DJ185" i="45"/>
  <c r="DA92" i="45"/>
  <c r="DA172" i="45"/>
  <c r="DA268" i="45"/>
  <c r="DA81" i="45"/>
  <c r="DA97" i="45"/>
  <c r="DJ225" i="45"/>
  <c r="DJ105" i="45"/>
  <c r="DA252" i="45"/>
  <c r="DJ204" i="45"/>
  <c r="DA233" i="45"/>
  <c r="DA18" i="45"/>
  <c r="DJ300" i="45"/>
  <c r="J57" i="66"/>
  <c r="DA29" i="45"/>
  <c r="DA37" i="45"/>
  <c r="DJ284" i="45"/>
  <c r="DA60" i="45"/>
  <c r="DA121" i="45"/>
  <c r="DJ209" i="45"/>
  <c r="J58" i="66"/>
  <c r="DJ244" i="45"/>
  <c r="DJ177" i="45"/>
  <c r="DJ164" i="45"/>
  <c r="DJ196" i="45"/>
  <c r="DA236" i="45"/>
  <c r="DJ156" i="45"/>
  <c r="BX10" i="45"/>
  <c r="DA140" i="45"/>
  <c r="J56" i="66"/>
  <c r="BX11" i="45"/>
  <c r="DJ169" i="45"/>
  <c r="DA241" i="45"/>
  <c r="DA84" i="45"/>
  <c r="BY13" i="45"/>
  <c r="J59" i="66"/>
  <c r="DA76" i="45"/>
  <c r="J54" i="66"/>
  <c r="DJ161" i="45"/>
  <c r="J60" i="66"/>
  <c r="DA292" i="45"/>
  <c r="DA42" i="45"/>
  <c r="DJ42" i="45"/>
  <c r="DA21" i="45"/>
  <c r="DJ21" i="45"/>
  <c r="DJ132" i="45"/>
  <c r="CQ113" i="45"/>
  <c r="J55" i="66"/>
  <c r="DH8" i="45"/>
  <c r="DJ15" i="45"/>
  <c r="DI15" i="45"/>
  <c r="DH9" i="45"/>
  <c r="CZ15" i="45"/>
  <c r="AF54" i="66"/>
  <c r="AD18" i="47"/>
  <c r="AU18" i="47" s="1"/>
  <c r="AD26" i="47"/>
  <c r="AU26" i="47" s="1"/>
  <c r="AD30" i="47"/>
  <c r="AU30" i="47" s="1"/>
  <c r="AD34" i="47"/>
  <c r="AU34" i="47" s="1"/>
  <c r="AD38" i="47"/>
  <c r="AU38" i="47" s="1"/>
  <c r="AD42" i="47"/>
  <c r="AU42" i="47" s="1"/>
  <c r="AD46" i="47"/>
  <c r="AU46" i="47" s="1"/>
  <c r="AD50" i="47"/>
  <c r="AU50" i="47" s="1"/>
  <c r="AD54" i="47"/>
  <c r="AU54" i="47" s="1"/>
  <c r="AD58" i="47"/>
  <c r="AU58" i="47" s="1"/>
  <c r="AD62" i="47"/>
  <c r="AU62" i="47" s="1"/>
  <c r="AD66" i="47"/>
  <c r="AU66" i="47" s="1"/>
  <c r="AD70" i="47"/>
  <c r="AU70" i="47" s="1"/>
  <c r="AD74" i="47"/>
  <c r="AU74" i="47" s="1"/>
  <c r="AD78" i="47"/>
  <c r="AU78" i="47" s="1"/>
  <c r="AD82" i="47"/>
  <c r="AU82" i="47" s="1"/>
  <c r="AD86" i="47"/>
  <c r="AU86" i="47" s="1"/>
  <c r="AD90" i="47"/>
  <c r="AU90" i="47" s="1"/>
  <c r="AD94" i="47"/>
  <c r="AU94" i="47" s="1"/>
  <c r="AD98" i="47"/>
  <c r="AU98" i="47" s="1"/>
  <c r="AD102" i="47"/>
  <c r="AU102" i="47" s="1"/>
  <c r="AD106" i="47"/>
  <c r="AU106" i="47" s="1"/>
  <c r="AD110" i="47"/>
  <c r="AU110" i="47" s="1"/>
  <c r="AD114" i="47"/>
  <c r="AU114" i="47" s="1"/>
  <c r="AD118" i="47"/>
  <c r="AU118" i="47" s="1"/>
  <c r="AD122" i="47"/>
  <c r="AU122" i="47" s="1"/>
  <c r="AD126" i="47"/>
  <c r="AU126" i="47" s="1"/>
  <c r="AD130" i="47"/>
  <c r="AU130" i="47" s="1"/>
  <c r="AD134" i="47"/>
  <c r="AU134" i="47" s="1"/>
  <c r="AD138" i="47"/>
  <c r="AU138" i="47" s="1"/>
  <c r="AD142" i="47"/>
  <c r="AU142" i="47" s="1"/>
  <c r="AD146" i="47"/>
  <c r="AU146" i="47" s="1"/>
  <c r="AD150" i="47"/>
  <c r="AU150" i="47" s="1"/>
  <c r="AD154" i="47"/>
  <c r="AU154" i="47" s="1"/>
  <c r="AD158" i="47"/>
  <c r="AU158" i="47" s="1"/>
  <c r="AD162" i="47"/>
  <c r="AU162" i="47" s="1"/>
  <c r="AD166" i="47"/>
  <c r="AU166" i="47" s="1"/>
  <c r="AD170" i="47"/>
  <c r="AU170" i="47" s="1"/>
  <c r="AD174" i="47"/>
  <c r="AU174" i="47" s="1"/>
  <c r="AD178" i="47"/>
  <c r="AU178" i="47" s="1"/>
  <c r="AD182" i="47"/>
  <c r="AU182" i="47" s="1"/>
  <c r="AD186" i="47"/>
  <c r="AU186" i="47" s="1"/>
  <c r="AD190" i="47"/>
  <c r="AU190" i="47" s="1"/>
  <c r="AD194" i="47"/>
  <c r="AU194" i="47" s="1"/>
  <c r="AD198" i="47"/>
  <c r="AU198" i="47" s="1"/>
  <c r="AD202" i="47"/>
  <c r="AU202" i="47" s="1"/>
  <c r="AD206" i="47"/>
  <c r="AU206" i="47" s="1"/>
  <c r="AD210" i="47"/>
  <c r="AU210" i="47" s="1"/>
  <c r="AD214" i="47"/>
  <c r="AU214" i="47" s="1"/>
  <c r="AD218" i="47"/>
  <c r="AU218" i="47" s="1"/>
  <c r="AD222" i="47"/>
  <c r="AU222" i="47" s="1"/>
  <c r="AD226" i="47"/>
  <c r="AU226" i="47" s="1"/>
  <c r="AD230" i="47"/>
  <c r="AU230" i="47" s="1"/>
  <c r="AD234" i="47"/>
  <c r="AU234" i="47" s="1"/>
  <c r="AD238" i="47"/>
  <c r="AU238" i="47" s="1"/>
  <c r="AD242" i="47"/>
  <c r="AU242" i="47" s="1"/>
  <c r="AD246" i="47"/>
  <c r="AU246" i="47" s="1"/>
  <c r="AD250" i="47"/>
  <c r="AU250" i="47" s="1"/>
  <c r="AD254" i="47"/>
  <c r="AU254" i="47" s="1"/>
  <c r="AD258" i="47"/>
  <c r="AU258" i="47" s="1"/>
  <c r="AD262" i="47"/>
  <c r="AU262" i="47" s="1"/>
  <c r="AD266" i="47"/>
  <c r="AU266" i="47" s="1"/>
  <c r="AD270" i="47"/>
  <c r="AU270" i="47" s="1"/>
  <c r="AD274" i="47"/>
  <c r="AU274" i="47" s="1"/>
  <c r="AD278" i="47"/>
  <c r="AU278" i="47" s="1"/>
  <c r="AD282" i="47"/>
  <c r="AU282" i="47" s="1"/>
  <c r="AD286" i="47"/>
  <c r="AU286" i="47" s="1"/>
  <c r="AD290" i="47"/>
  <c r="AU290" i="47" s="1"/>
  <c r="AD294" i="47"/>
  <c r="AU294" i="47" s="1"/>
  <c r="AD298" i="47"/>
  <c r="AU298" i="47" s="1"/>
  <c r="AD302" i="47"/>
  <c r="AU302" i="47" s="1"/>
  <c r="AD306" i="47"/>
  <c r="AU306" i="47" s="1"/>
  <c r="AD19" i="47"/>
  <c r="AU19" i="47" s="1"/>
  <c r="AD23" i="47"/>
  <c r="AU23" i="47" s="1"/>
  <c r="AD27" i="47"/>
  <c r="AU27" i="47" s="1"/>
  <c r="AD31" i="47"/>
  <c r="AU31" i="47" s="1"/>
  <c r="AD35" i="47"/>
  <c r="AU35" i="47" s="1"/>
  <c r="AD39" i="47"/>
  <c r="AU39" i="47" s="1"/>
  <c r="AD43" i="47"/>
  <c r="AU43" i="47" s="1"/>
  <c r="AD47" i="47"/>
  <c r="AU47" i="47" s="1"/>
  <c r="AD51" i="47"/>
  <c r="AU51" i="47" s="1"/>
  <c r="AD55" i="47"/>
  <c r="AU55" i="47" s="1"/>
  <c r="AD59" i="47"/>
  <c r="AU59" i="47" s="1"/>
  <c r="AD63" i="47"/>
  <c r="AU63" i="47" s="1"/>
  <c r="AD67" i="47"/>
  <c r="AU67" i="47" s="1"/>
  <c r="AD71" i="47"/>
  <c r="AU71" i="47" s="1"/>
  <c r="AD75" i="47"/>
  <c r="AU75" i="47" s="1"/>
  <c r="AD79" i="47"/>
  <c r="AU79" i="47" s="1"/>
  <c r="AD83" i="47"/>
  <c r="AU83" i="47" s="1"/>
  <c r="AD87" i="47"/>
  <c r="AU87" i="47" s="1"/>
  <c r="AD91" i="47"/>
  <c r="AU91" i="47" s="1"/>
  <c r="AD95" i="47"/>
  <c r="AU95" i="47" s="1"/>
  <c r="AD99" i="47"/>
  <c r="AU99" i="47" s="1"/>
  <c r="AD103" i="47"/>
  <c r="AU103" i="47" s="1"/>
  <c r="AD107" i="47"/>
  <c r="AU107" i="47" s="1"/>
  <c r="AD111" i="47"/>
  <c r="AU111" i="47" s="1"/>
  <c r="AD115" i="47"/>
  <c r="AU115" i="47" s="1"/>
  <c r="AD119" i="47"/>
  <c r="AU119" i="47" s="1"/>
  <c r="AD123" i="47"/>
  <c r="AU123" i="47" s="1"/>
  <c r="AD127" i="47"/>
  <c r="AU127" i="47" s="1"/>
  <c r="AD131" i="47"/>
  <c r="AU131" i="47" s="1"/>
  <c r="AD135" i="47"/>
  <c r="AU135" i="47" s="1"/>
  <c r="AD139" i="47"/>
  <c r="AU139" i="47" s="1"/>
  <c r="AD143" i="47"/>
  <c r="AU143" i="47" s="1"/>
  <c r="AD147" i="47"/>
  <c r="AU147" i="47" s="1"/>
  <c r="AD151" i="47"/>
  <c r="AU151" i="47" s="1"/>
  <c r="AD155" i="47"/>
  <c r="AU155" i="47" s="1"/>
  <c r="AD159" i="47"/>
  <c r="AU159" i="47" s="1"/>
  <c r="AD163" i="47"/>
  <c r="AU163" i="47" s="1"/>
  <c r="AD167" i="47"/>
  <c r="AU167" i="47" s="1"/>
  <c r="AD171" i="47"/>
  <c r="AU171" i="47" s="1"/>
  <c r="AD175" i="47"/>
  <c r="AU175" i="47" s="1"/>
  <c r="AD179" i="47"/>
  <c r="AU179" i="47" s="1"/>
  <c r="AD183" i="47"/>
  <c r="AU183" i="47" s="1"/>
  <c r="AD187" i="47"/>
  <c r="AU187" i="47" s="1"/>
  <c r="AD191" i="47"/>
  <c r="AU191" i="47" s="1"/>
  <c r="AD195" i="47"/>
  <c r="AU195" i="47" s="1"/>
  <c r="AD199" i="47"/>
  <c r="AU199" i="47" s="1"/>
  <c r="AD203" i="47"/>
  <c r="AU203" i="47" s="1"/>
  <c r="AD207" i="47"/>
  <c r="AU207" i="47" s="1"/>
  <c r="AD211" i="47"/>
  <c r="AU211" i="47" s="1"/>
  <c r="AD215" i="47"/>
  <c r="AU215" i="47" s="1"/>
  <c r="AD219" i="47"/>
  <c r="AU219" i="47" s="1"/>
  <c r="AD223" i="47"/>
  <c r="AU223" i="47" s="1"/>
  <c r="AD227" i="47"/>
  <c r="AU227" i="47" s="1"/>
  <c r="AD231" i="47"/>
  <c r="AU231" i="47" s="1"/>
  <c r="AD235" i="47"/>
  <c r="AU235" i="47" s="1"/>
  <c r="AD239" i="47"/>
  <c r="AU239" i="47" s="1"/>
  <c r="AD243" i="47"/>
  <c r="AU243" i="47" s="1"/>
  <c r="AD247" i="47"/>
  <c r="AU247" i="47" s="1"/>
  <c r="AD251" i="47"/>
  <c r="AU251" i="47" s="1"/>
  <c r="AD255" i="47"/>
  <c r="AU255" i="47" s="1"/>
  <c r="AD259" i="47"/>
  <c r="AU259" i="47" s="1"/>
  <c r="AD263" i="47"/>
  <c r="AU263" i="47" s="1"/>
  <c r="AD267" i="47"/>
  <c r="AU267" i="47" s="1"/>
  <c r="AD271" i="47"/>
  <c r="AU271" i="47" s="1"/>
  <c r="AD275" i="47"/>
  <c r="AU275" i="47" s="1"/>
  <c r="AD279" i="47"/>
  <c r="AU279" i="47" s="1"/>
  <c r="AD283" i="47"/>
  <c r="AU283" i="47" s="1"/>
  <c r="AD287" i="47"/>
  <c r="AU287" i="47" s="1"/>
  <c r="AD291" i="47"/>
  <c r="AU291" i="47" s="1"/>
  <c r="AD295" i="47"/>
  <c r="AU295" i="47" s="1"/>
  <c r="AD299" i="47"/>
  <c r="AU299" i="47" s="1"/>
  <c r="AD303" i="47"/>
  <c r="AU303" i="47" s="1"/>
  <c r="AD307" i="47"/>
  <c r="AU307" i="47" s="1"/>
  <c r="AD20" i="47"/>
  <c r="AU20" i="47" s="1"/>
  <c r="AD28" i="47"/>
  <c r="AU28" i="47" s="1"/>
  <c r="AD32" i="47"/>
  <c r="AU32" i="47" s="1"/>
  <c r="AD36" i="47"/>
  <c r="AU36" i="47" s="1"/>
  <c r="AD40" i="47"/>
  <c r="AU40" i="47" s="1"/>
  <c r="AD44" i="47"/>
  <c r="AU44" i="47" s="1"/>
  <c r="AD52" i="47"/>
  <c r="AU52" i="47" s="1"/>
  <c r="AD56" i="47"/>
  <c r="AU56" i="47" s="1"/>
  <c r="AD60" i="47"/>
  <c r="AU60" i="47" s="1"/>
  <c r="AD64" i="47"/>
  <c r="AU64" i="47" s="1"/>
  <c r="AD68" i="47"/>
  <c r="AU68" i="47" s="1"/>
  <c r="AD72" i="47"/>
  <c r="AU72" i="47" s="1"/>
  <c r="AD76" i="47"/>
  <c r="AU76" i="47" s="1"/>
  <c r="AD80" i="47"/>
  <c r="AU80" i="47" s="1"/>
  <c r="AD84" i="47"/>
  <c r="AU84" i="47" s="1"/>
  <c r="AD88" i="47"/>
  <c r="AU88" i="47" s="1"/>
  <c r="AD92" i="47"/>
  <c r="AU92" i="47" s="1"/>
  <c r="AD96" i="47"/>
  <c r="AU96" i="47" s="1"/>
  <c r="AD100" i="47"/>
  <c r="AU100" i="47" s="1"/>
  <c r="AD104" i="47"/>
  <c r="AU104" i="47" s="1"/>
  <c r="AD108" i="47"/>
  <c r="AU108" i="47" s="1"/>
  <c r="AD112" i="47"/>
  <c r="AU112" i="47" s="1"/>
  <c r="AD116" i="47"/>
  <c r="AU116" i="47" s="1"/>
  <c r="AD120" i="47"/>
  <c r="AU120" i="47" s="1"/>
  <c r="AD124" i="47"/>
  <c r="AU124" i="47" s="1"/>
  <c r="AD128" i="47"/>
  <c r="AU128" i="47" s="1"/>
  <c r="AD132" i="47"/>
  <c r="AU132" i="47" s="1"/>
  <c r="AD136" i="47"/>
  <c r="AU136" i="47" s="1"/>
  <c r="AD140" i="47"/>
  <c r="AU140" i="47" s="1"/>
  <c r="AD144" i="47"/>
  <c r="AU144" i="47" s="1"/>
  <c r="AD148" i="47"/>
  <c r="AU148" i="47" s="1"/>
  <c r="AD152" i="47"/>
  <c r="AU152" i="47" s="1"/>
  <c r="AD156" i="47"/>
  <c r="AU156" i="47" s="1"/>
  <c r="AD160" i="47"/>
  <c r="AU160" i="47" s="1"/>
  <c r="AD164" i="47"/>
  <c r="AU164" i="47" s="1"/>
  <c r="AD168" i="47"/>
  <c r="AU168" i="47" s="1"/>
  <c r="AD172" i="47"/>
  <c r="AU172" i="47" s="1"/>
  <c r="AD176" i="47"/>
  <c r="AU176" i="47" s="1"/>
  <c r="AD180" i="47"/>
  <c r="AU180" i="47" s="1"/>
  <c r="AD184" i="47"/>
  <c r="AU184" i="47" s="1"/>
  <c r="AD188" i="47"/>
  <c r="AU188" i="47" s="1"/>
  <c r="AD192" i="47"/>
  <c r="AU192" i="47" s="1"/>
  <c r="AD196" i="47"/>
  <c r="AU196" i="47" s="1"/>
  <c r="AD200" i="47"/>
  <c r="AU200" i="47" s="1"/>
  <c r="AD204" i="47"/>
  <c r="AU204" i="47" s="1"/>
  <c r="AD208" i="47"/>
  <c r="AU208" i="47" s="1"/>
  <c r="AD212" i="47"/>
  <c r="AU212" i="47" s="1"/>
  <c r="AD216" i="47"/>
  <c r="AU216" i="47" s="1"/>
  <c r="AD220" i="47"/>
  <c r="AU220" i="47" s="1"/>
  <c r="AD224" i="47"/>
  <c r="AU224" i="47" s="1"/>
  <c r="AD228" i="47"/>
  <c r="AU228" i="47" s="1"/>
  <c r="AD232" i="47"/>
  <c r="AU232" i="47" s="1"/>
  <c r="AD236" i="47"/>
  <c r="AU236" i="47" s="1"/>
  <c r="AD240" i="47"/>
  <c r="AU240" i="47" s="1"/>
  <c r="AD244" i="47"/>
  <c r="AU244" i="47" s="1"/>
  <c r="AD248" i="47"/>
  <c r="AU248" i="47" s="1"/>
  <c r="AD252" i="47"/>
  <c r="AU252" i="47" s="1"/>
  <c r="AD256" i="47"/>
  <c r="AU256" i="47" s="1"/>
  <c r="AD260" i="47"/>
  <c r="AU260" i="47" s="1"/>
  <c r="AD264" i="47"/>
  <c r="AU264" i="47" s="1"/>
  <c r="AD268" i="47"/>
  <c r="AU268" i="47" s="1"/>
  <c r="AD272" i="47"/>
  <c r="AU272" i="47" s="1"/>
  <c r="AD276" i="47"/>
  <c r="AU276" i="47" s="1"/>
  <c r="AD280" i="47"/>
  <c r="AU280" i="47" s="1"/>
  <c r="AD284" i="47"/>
  <c r="AU284" i="47" s="1"/>
  <c r="AD288" i="47"/>
  <c r="AU288" i="47" s="1"/>
  <c r="AD292" i="47"/>
  <c r="AU292" i="47" s="1"/>
  <c r="AD296" i="47"/>
  <c r="AU296" i="47" s="1"/>
  <c r="AD300" i="47"/>
  <c r="AU300" i="47" s="1"/>
  <c r="AD304" i="47"/>
  <c r="AU304" i="47" s="1"/>
  <c r="AD21" i="47"/>
  <c r="AU21" i="47" s="1"/>
  <c r="AD25" i="47"/>
  <c r="AU25" i="47" s="1"/>
  <c r="AD29" i="47"/>
  <c r="AU29" i="47" s="1"/>
  <c r="AD37" i="47"/>
  <c r="AU37" i="47" s="1"/>
  <c r="AD41" i="47"/>
  <c r="AU41" i="47" s="1"/>
  <c r="AD45" i="47"/>
  <c r="AU45" i="47" s="1"/>
  <c r="AD49" i="47"/>
  <c r="AU49" i="47" s="1"/>
  <c r="AD53" i="47"/>
  <c r="AU53" i="47" s="1"/>
  <c r="AD57" i="47"/>
  <c r="AU57" i="47" s="1"/>
  <c r="AD61" i="47"/>
  <c r="AU61" i="47" s="1"/>
  <c r="AD65" i="47"/>
  <c r="AU65" i="47" s="1"/>
  <c r="AD69" i="47"/>
  <c r="AU69" i="47" s="1"/>
  <c r="AD73" i="47"/>
  <c r="AU73" i="47" s="1"/>
  <c r="AD77" i="47"/>
  <c r="AU77" i="47" s="1"/>
  <c r="AD81" i="47"/>
  <c r="AU81" i="47" s="1"/>
  <c r="AD85" i="47"/>
  <c r="AU85" i="47" s="1"/>
  <c r="AD89" i="47"/>
  <c r="AU89" i="47" s="1"/>
  <c r="AD93" i="47"/>
  <c r="AU93" i="47" s="1"/>
  <c r="AD97" i="47"/>
  <c r="AU97" i="47" s="1"/>
  <c r="AD101" i="47"/>
  <c r="AU101" i="47" s="1"/>
  <c r="AD105" i="47"/>
  <c r="AU105" i="47" s="1"/>
  <c r="AD109" i="47"/>
  <c r="AU109" i="47" s="1"/>
  <c r="AD113" i="47"/>
  <c r="AU113" i="47" s="1"/>
  <c r="AD117" i="47"/>
  <c r="AU117" i="47" s="1"/>
  <c r="AD121" i="47"/>
  <c r="AU121" i="47" s="1"/>
  <c r="AD125" i="47"/>
  <c r="AU125" i="47" s="1"/>
  <c r="AD129" i="47"/>
  <c r="AU129" i="47" s="1"/>
  <c r="AD133" i="47"/>
  <c r="AU133" i="47" s="1"/>
  <c r="AD137" i="47"/>
  <c r="AU137" i="47" s="1"/>
  <c r="AD141" i="47"/>
  <c r="AU141" i="47" s="1"/>
  <c r="AD145" i="47"/>
  <c r="AU145" i="47" s="1"/>
  <c r="AD149" i="47"/>
  <c r="AU149" i="47" s="1"/>
  <c r="AD153" i="47"/>
  <c r="AU153" i="47" s="1"/>
  <c r="AD157" i="47"/>
  <c r="AU157" i="47" s="1"/>
  <c r="AD161" i="47"/>
  <c r="AU161" i="47" s="1"/>
  <c r="AD165" i="47"/>
  <c r="AU165" i="47" s="1"/>
  <c r="AD169" i="47"/>
  <c r="AU169" i="47" s="1"/>
  <c r="AD173" i="47"/>
  <c r="AU173" i="47" s="1"/>
  <c r="AD177" i="47"/>
  <c r="AU177" i="47" s="1"/>
  <c r="AD181" i="47"/>
  <c r="AU181" i="47" s="1"/>
  <c r="AD185" i="47"/>
  <c r="AU185" i="47" s="1"/>
  <c r="AD189" i="47"/>
  <c r="AU189" i="47" s="1"/>
  <c r="AD193" i="47"/>
  <c r="AU193" i="47" s="1"/>
  <c r="AD197" i="47"/>
  <c r="AU197" i="47" s="1"/>
  <c r="AD201" i="47"/>
  <c r="AU201" i="47" s="1"/>
  <c r="AD205" i="47"/>
  <c r="AU205" i="47" s="1"/>
  <c r="AD209" i="47"/>
  <c r="AU209" i="47" s="1"/>
  <c r="AD213" i="47"/>
  <c r="AU213" i="47" s="1"/>
  <c r="AD217" i="47"/>
  <c r="AU217" i="47" s="1"/>
  <c r="AD221" i="47"/>
  <c r="AU221" i="47" s="1"/>
  <c r="AD225" i="47"/>
  <c r="AU225" i="47" s="1"/>
  <c r="AD229" i="47"/>
  <c r="AU229" i="47" s="1"/>
  <c r="AD233" i="47"/>
  <c r="AU233" i="47" s="1"/>
  <c r="AD237" i="47"/>
  <c r="AU237" i="47" s="1"/>
  <c r="AD241" i="47"/>
  <c r="AU241" i="47" s="1"/>
  <c r="AD245" i="47"/>
  <c r="AU245" i="47" s="1"/>
  <c r="AD249" i="47"/>
  <c r="AU249" i="47" s="1"/>
  <c r="AD253" i="47"/>
  <c r="AU253" i="47" s="1"/>
  <c r="AD257" i="47"/>
  <c r="AU257" i="47" s="1"/>
  <c r="AD261" i="47"/>
  <c r="AU261" i="47" s="1"/>
  <c r="AD265" i="47"/>
  <c r="AU265" i="47" s="1"/>
  <c r="AD269" i="47"/>
  <c r="AU269" i="47" s="1"/>
  <c r="AD273" i="47"/>
  <c r="AU273" i="47" s="1"/>
  <c r="AD277" i="47"/>
  <c r="AU277" i="47" s="1"/>
  <c r="AD281" i="47"/>
  <c r="AU281" i="47" s="1"/>
  <c r="AD285" i="47"/>
  <c r="AU285" i="47" s="1"/>
  <c r="AD289" i="47"/>
  <c r="AU289" i="47" s="1"/>
  <c r="AD293" i="47"/>
  <c r="AU293" i="47" s="1"/>
  <c r="AD297" i="47"/>
  <c r="AU297" i="47" s="1"/>
  <c r="AD301" i="47"/>
  <c r="AU301" i="47" s="1"/>
  <c r="AD305" i="47"/>
  <c r="AU305" i="47" s="1"/>
  <c r="DA15" i="45"/>
  <c r="AT10" i="47"/>
  <c r="AZ54" i="66"/>
  <c r="CY9" i="45"/>
  <c r="AZ57" i="66"/>
  <c r="AZ60" i="66"/>
  <c r="AF57" i="66"/>
  <c r="AZ59" i="66"/>
  <c r="AZ55" i="66"/>
  <c r="T58" i="66"/>
  <c r="AP58" i="66" s="1"/>
  <c r="AF58" i="66"/>
  <c r="AF55" i="66"/>
  <c r="I61" i="66"/>
  <c r="AZ61" i="66" s="1"/>
  <c r="T55" i="66"/>
  <c r="AP55" i="66" s="1"/>
  <c r="T56" i="66"/>
  <c r="AP56" i="66" s="1"/>
  <c r="T60" i="66"/>
  <c r="AP60" i="66" s="1"/>
  <c r="T59" i="66"/>
  <c r="AP59" i="66" s="1"/>
  <c r="AF56" i="66"/>
  <c r="AG306" i="48"/>
  <c r="AR306" i="54" s="1"/>
  <c r="AG126" i="48"/>
  <c r="AR126" i="54" s="1"/>
  <c r="AG281" i="48"/>
  <c r="AR281" i="54" s="1"/>
  <c r="AG31" i="48"/>
  <c r="AR31" i="54" s="1"/>
  <c r="AG169" i="48"/>
  <c r="AR169" i="54" s="1"/>
  <c r="AG120" i="48"/>
  <c r="AR120" i="54" s="1"/>
  <c r="AG114" i="48"/>
  <c r="AR114" i="54" s="1"/>
  <c r="AG54" i="48"/>
  <c r="AR54" i="54" s="1"/>
  <c r="AG226" i="48"/>
  <c r="AR226" i="54" s="1"/>
  <c r="AG199" i="48"/>
  <c r="AR199" i="54" s="1"/>
  <c r="AG307" i="48"/>
  <c r="AR307" i="54" s="1"/>
  <c r="AG82" i="48"/>
  <c r="AR82" i="54" s="1"/>
  <c r="AG129" i="48"/>
  <c r="AR129" i="54" s="1"/>
  <c r="AG246" i="48"/>
  <c r="AR246" i="54" s="1"/>
  <c r="AG282" i="48"/>
  <c r="AR282" i="54" s="1"/>
  <c r="AG240" i="48"/>
  <c r="AR240" i="54" s="1"/>
  <c r="AG212" i="48"/>
  <c r="AR212" i="54" s="1"/>
  <c r="AG277" i="48"/>
  <c r="AR277" i="54" s="1"/>
  <c r="AG179" i="48"/>
  <c r="AR179" i="54" s="1"/>
  <c r="AG102" i="48"/>
  <c r="AR102" i="54" s="1"/>
  <c r="AG112" i="48"/>
  <c r="AR112" i="54" s="1"/>
  <c r="AG216" i="48"/>
  <c r="AR216" i="54" s="1"/>
  <c r="AG270" i="48"/>
  <c r="AR270" i="54" s="1"/>
  <c r="AG141" i="48"/>
  <c r="AR141" i="54" s="1"/>
  <c r="AG53" i="48"/>
  <c r="AR53" i="54" s="1"/>
  <c r="AG18" i="48"/>
  <c r="AR18" i="54" s="1"/>
  <c r="AG155" i="48"/>
  <c r="AR155" i="54" s="1"/>
  <c r="AG236" i="48"/>
  <c r="AR236" i="54" s="1"/>
  <c r="AG153" i="48"/>
  <c r="AR153" i="54" s="1"/>
  <c r="AG265" i="48"/>
  <c r="AR265" i="54" s="1"/>
  <c r="AG303" i="48"/>
  <c r="AR303" i="54" s="1"/>
  <c r="AG77" i="48"/>
  <c r="AR77" i="54" s="1"/>
  <c r="AG213" i="48"/>
  <c r="AR213" i="54" s="1"/>
  <c r="AG211" i="48"/>
  <c r="AR211" i="54" s="1"/>
  <c r="AG158" i="48"/>
  <c r="AR158" i="54" s="1"/>
  <c r="AG108" i="48"/>
  <c r="AR108" i="54" s="1"/>
  <c r="AG187" i="48"/>
  <c r="AR187" i="54" s="1"/>
  <c r="AG35" i="48"/>
  <c r="AR35" i="54" s="1"/>
  <c r="AG83" i="48"/>
  <c r="AR83" i="54" s="1"/>
  <c r="AG131" i="48"/>
  <c r="AR131" i="54" s="1"/>
  <c r="AG175" i="48"/>
  <c r="AR175" i="54" s="1"/>
  <c r="AG81" i="48"/>
  <c r="AR81" i="54" s="1"/>
  <c r="AG71" i="48"/>
  <c r="AR71" i="54" s="1"/>
  <c r="AG136" i="48"/>
  <c r="AR136" i="54" s="1"/>
  <c r="AG113" i="48"/>
  <c r="AR113" i="54" s="1"/>
  <c r="AG125" i="48"/>
  <c r="AR125" i="54" s="1"/>
  <c r="AG286" i="48"/>
  <c r="AR286" i="54" s="1"/>
  <c r="AG268" i="48"/>
  <c r="AR268" i="54" s="1"/>
  <c r="AG244" i="48"/>
  <c r="AR244" i="54" s="1"/>
  <c r="AG46" i="48"/>
  <c r="AR46" i="54" s="1"/>
  <c r="AG168" i="48"/>
  <c r="AR168" i="54" s="1"/>
  <c r="AG200" i="48"/>
  <c r="AR200" i="54" s="1"/>
  <c r="AG21" i="48"/>
  <c r="AR21" i="54" s="1"/>
  <c r="AG227" i="48"/>
  <c r="AR227" i="54" s="1"/>
  <c r="AG301" i="48"/>
  <c r="AR301" i="54" s="1"/>
  <c r="AG234" i="48"/>
  <c r="AR234" i="54" s="1"/>
  <c r="AG293" i="48"/>
  <c r="AR293" i="54" s="1"/>
  <c r="AG142" i="48"/>
  <c r="AR142" i="54" s="1"/>
  <c r="AG78" i="48"/>
  <c r="AR78" i="54" s="1"/>
  <c r="AG289" i="48"/>
  <c r="AR289" i="54" s="1"/>
  <c r="AG140" i="48"/>
  <c r="AR140" i="54" s="1"/>
  <c r="AG49" i="48"/>
  <c r="AR49" i="54" s="1"/>
  <c r="AG192" i="48"/>
  <c r="AR192" i="54" s="1"/>
  <c r="AG191" i="48"/>
  <c r="AR191" i="54" s="1"/>
  <c r="AG198" i="48"/>
  <c r="AR198" i="54" s="1"/>
  <c r="AG274" i="48"/>
  <c r="AR274" i="54" s="1"/>
  <c r="AG260" i="48"/>
  <c r="AR260" i="54" s="1"/>
  <c r="AG122" i="48"/>
  <c r="AR122" i="54" s="1"/>
  <c r="AG166" i="48"/>
  <c r="AR166" i="54" s="1"/>
  <c r="AG65" i="48"/>
  <c r="AR65" i="54" s="1"/>
  <c r="AG302" i="48"/>
  <c r="AR302" i="54" s="1"/>
  <c r="AG209" i="48"/>
  <c r="AR209" i="54" s="1"/>
  <c r="AG75" i="48"/>
  <c r="AR75" i="54" s="1"/>
  <c r="AG111" i="48"/>
  <c r="AR111" i="54" s="1"/>
  <c r="AG203" i="48"/>
  <c r="AR203" i="54" s="1"/>
  <c r="AG165" i="48"/>
  <c r="AR165" i="54" s="1"/>
  <c r="AG266" i="48"/>
  <c r="AR266" i="54" s="1"/>
  <c r="AG188" i="48"/>
  <c r="AR188" i="54" s="1"/>
  <c r="AG305" i="48"/>
  <c r="AR305" i="54" s="1"/>
  <c r="AG276" i="48"/>
  <c r="AR276" i="54" s="1"/>
  <c r="AG105" i="48"/>
  <c r="AR105" i="54" s="1"/>
  <c r="AG300" i="48"/>
  <c r="AR300" i="54" s="1"/>
  <c r="AG217" i="48"/>
  <c r="AR217" i="54" s="1"/>
  <c r="AG190" i="48"/>
  <c r="AR190" i="54" s="1"/>
  <c r="AG22" i="48"/>
  <c r="AR22" i="54" s="1"/>
  <c r="AG279" i="48"/>
  <c r="AR279" i="54" s="1"/>
  <c r="AG123" i="48"/>
  <c r="AR123" i="54" s="1"/>
  <c r="AG80" i="48"/>
  <c r="AR80" i="54" s="1"/>
  <c r="AG207" i="48"/>
  <c r="AR207" i="54" s="1"/>
  <c r="AG267" i="48"/>
  <c r="AR267" i="54" s="1"/>
  <c r="AG67" i="48"/>
  <c r="AR67" i="54" s="1"/>
  <c r="AG245" i="48"/>
  <c r="AR245" i="54" s="1"/>
  <c r="AG25" i="48"/>
  <c r="AR25" i="54" s="1"/>
  <c r="AG180" i="48"/>
  <c r="AR180" i="54" s="1"/>
  <c r="AG243" i="48"/>
  <c r="AR243" i="54" s="1"/>
  <c r="AG150" i="48"/>
  <c r="AR150" i="54" s="1"/>
  <c r="AG39" i="48"/>
  <c r="AR39" i="54" s="1"/>
  <c r="AG29" i="48"/>
  <c r="AR29" i="54" s="1"/>
  <c r="AG170" i="48"/>
  <c r="AR170" i="54" s="1"/>
  <c r="AG218" i="48"/>
  <c r="AR218" i="54" s="1"/>
  <c r="AG171" i="48"/>
  <c r="AR171" i="54" s="1"/>
  <c r="AG73" i="48"/>
  <c r="AR73" i="54" s="1"/>
  <c r="AG273" i="48"/>
  <c r="AR273" i="54" s="1"/>
  <c r="AG214" i="48"/>
  <c r="AR214" i="54" s="1"/>
  <c r="AG275" i="48"/>
  <c r="AR275" i="54" s="1"/>
  <c r="AG259" i="48"/>
  <c r="AR259" i="54" s="1"/>
  <c r="AG104" i="48"/>
  <c r="AR104" i="54" s="1"/>
  <c r="AG38" i="48"/>
  <c r="AR38" i="54" s="1"/>
  <c r="AG204" i="48"/>
  <c r="AR204" i="54" s="1"/>
  <c r="AG134" i="48"/>
  <c r="AR134" i="54" s="1"/>
  <c r="AG253" i="48"/>
  <c r="AR253" i="54" s="1"/>
  <c r="AG118" i="48"/>
  <c r="AR118" i="54" s="1"/>
  <c r="AG269" i="48"/>
  <c r="AR269" i="54" s="1"/>
  <c r="AG160" i="48"/>
  <c r="AR160" i="54" s="1"/>
  <c r="AG252" i="48"/>
  <c r="AR252" i="54" s="1"/>
  <c r="AG138" i="48"/>
  <c r="AR138" i="54" s="1"/>
  <c r="AG164" i="48"/>
  <c r="AR164" i="54" s="1"/>
  <c r="AG296" i="48"/>
  <c r="AR296" i="54" s="1"/>
  <c r="AG284" i="48"/>
  <c r="AR284" i="54" s="1"/>
  <c r="AG224" i="48"/>
  <c r="AR224" i="54" s="1"/>
  <c r="AG256" i="48"/>
  <c r="AR256" i="54" s="1"/>
  <c r="AG249" i="48"/>
  <c r="AR249" i="54" s="1"/>
  <c r="AG115" i="48"/>
  <c r="AR115" i="54" s="1"/>
  <c r="AG85" i="48"/>
  <c r="AR85" i="54" s="1"/>
  <c r="AG137" i="48"/>
  <c r="AR137" i="54" s="1"/>
  <c r="AG28" i="48"/>
  <c r="AR28" i="54" s="1"/>
  <c r="AG197" i="48"/>
  <c r="AR197" i="54" s="1"/>
  <c r="AG172" i="48"/>
  <c r="AR172" i="54" s="1"/>
  <c r="AG248" i="48"/>
  <c r="AR248" i="54" s="1"/>
  <c r="AG110" i="48"/>
  <c r="AR110" i="54" s="1"/>
  <c r="AG232" i="48"/>
  <c r="AR232" i="54" s="1"/>
  <c r="AG174" i="48"/>
  <c r="AR174" i="54" s="1"/>
  <c r="AG254" i="48"/>
  <c r="AR254" i="54" s="1"/>
  <c r="AG90" i="48"/>
  <c r="AR90" i="54" s="1"/>
  <c r="AG154" i="48"/>
  <c r="AR154" i="54" s="1"/>
  <c r="AG193" i="48"/>
  <c r="AR193" i="54" s="1"/>
  <c r="AG251" i="48"/>
  <c r="AR251" i="54" s="1"/>
  <c r="AG147" i="48"/>
  <c r="AR147" i="54" s="1"/>
  <c r="AG288" i="48"/>
  <c r="AR288" i="54" s="1"/>
  <c r="AG167" i="48"/>
  <c r="AR167" i="54" s="1"/>
  <c r="AG241" i="48"/>
  <c r="AR241" i="54" s="1"/>
  <c r="AG32" i="48"/>
  <c r="AR32" i="54" s="1"/>
  <c r="AG178" i="48"/>
  <c r="AR178" i="54" s="1"/>
  <c r="AG237" i="48"/>
  <c r="AR237" i="54" s="1"/>
  <c r="AG283" i="48"/>
  <c r="AR283" i="54" s="1"/>
  <c r="AG84" i="48"/>
  <c r="AR84" i="54" s="1"/>
  <c r="AG210" i="48"/>
  <c r="AR210" i="54" s="1"/>
  <c r="AG290" i="48"/>
  <c r="AR290" i="54" s="1"/>
  <c r="AG127" i="48"/>
  <c r="AR127" i="54" s="1"/>
  <c r="AG195" i="48"/>
  <c r="AR195" i="54" s="1"/>
  <c r="AG194" i="48"/>
  <c r="AR194" i="54" s="1"/>
  <c r="AG162" i="48"/>
  <c r="AR162" i="54" s="1"/>
  <c r="AG34" i="48"/>
  <c r="AR34" i="54" s="1"/>
  <c r="AG47" i="48"/>
  <c r="AR47" i="54" s="1"/>
  <c r="AG261" i="48"/>
  <c r="AR261" i="54" s="1"/>
  <c r="AG43" i="48"/>
  <c r="AR43" i="54" s="1"/>
  <c r="AG235" i="48"/>
  <c r="AR235" i="54" s="1"/>
  <c r="AG98" i="48"/>
  <c r="AR98" i="54" s="1"/>
  <c r="AG156" i="48"/>
  <c r="AR156" i="54" s="1"/>
  <c r="AG70" i="48"/>
  <c r="AR70" i="54" s="1"/>
  <c r="AG280" i="48"/>
  <c r="AR280" i="54" s="1"/>
  <c r="AG97" i="48"/>
  <c r="AR97" i="54" s="1"/>
  <c r="AG202" i="48"/>
  <c r="AR202" i="54" s="1"/>
  <c r="AG185" i="48"/>
  <c r="AR185" i="54" s="1"/>
  <c r="AG94" i="48"/>
  <c r="AR94" i="54" s="1"/>
  <c r="AG68" i="48"/>
  <c r="AR68" i="54" s="1"/>
  <c r="AG121" i="48"/>
  <c r="AR121" i="54" s="1"/>
  <c r="AG103" i="48"/>
  <c r="AR103" i="54" s="1"/>
  <c r="AG42" i="48"/>
  <c r="AR42" i="54" s="1"/>
  <c r="AG56" i="48"/>
  <c r="AR56" i="54" s="1"/>
  <c r="AG250" i="48"/>
  <c r="AR250" i="54" s="1"/>
  <c r="AG23" i="48"/>
  <c r="AR23" i="54" s="1"/>
  <c r="AG159" i="48"/>
  <c r="AR159" i="54" s="1"/>
  <c r="AG304" i="48"/>
  <c r="AR304" i="54" s="1"/>
  <c r="AG208" i="48"/>
  <c r="AR208" i="54" s="1"/>
  <c r="AG230" i="48"/>
  <c r="AR230" i="54" s="1"/>
  <c r="AG176" i="48"/>
  <c r="AR176" i="54" s="1"/>
  <c r="AG24" i="48"/>
  <c r="AR24" i="54" s="1"/>
  <c r="AG295" i="48"/>
  <c r="AR295" i="54" s="1"/>
  <c r="AG99" i="48"/>
  <c r="AR99" i="54" s="1"/>
  <c r="AG292" i="48"/>
  <c r="AR292" i="54" s="1"/>
  <c r="AG181" i="48"/>
  <c r="AR181" i="54" s="1"/>
  <c r="AG143" i="48"/>
  <c r="AR143" i="54" s="1"/>
  <c r="AG72" i="48"/>
  <c r="AR72" i="54" s="1"/>
  <c r="AG220" i="48"/>
  <c r="AR220" i="54" s="1"/>
  <c r="AG92" i="48"/>
  <c r="AR92" i="54" s="1"/>
  <c r="AG37" i="48"/>
  <c r="AR37" i="54" s="1"/>
  <c r="AG148" i="48"/>
  <c r="AR148" i="54" s="1"/>
  <c r="AG91" i="48"/>
  <c r="AR91" i="54" s="1"/>
  <c r="AG184" i="48"/>
  <c r="AR184" i="54" s="1"/>
  <c r="AG40" i="48"/>
  <c r="AR40" i="54" s="1"/>
  <c r="AG272" i="48"/>
  <c r="AR272" i="54" s="1"/>
  <c r="AG201" i="48"/>
  <c r="AR201" i="54" s="1"/>
  <c r="AG64" i="48"/>
  <c r="AR64" i="54" s="1"/>
  <c r="AG247" i="48"/>
  <c r="AR247" i="54" s="1"/>
  <c r="AG229" i="48"/>
  <c r="AR229" i="54" s="1"/>
  <c r="AG139" i="48"/>
  <c r="AR139" i="54" s="1"/>
  <c r="AG294" i="48"/>
  <c r="AR294" i="54" s="1"/>
  <c r="AG76" i="48"/>
  <c r="AR76" i="54" s="1"/>
  <c r="AG219" i="48"/>
  <c r="AR219" i="54" s="1"/>
  <c r="AG106" i="48"/>
  <c r="AR106" i="54" s="1"/>
  <c r="AG242" i="48"/>
  <c r="AR242" i="54" s="1"/>
  <c r="AG41" i="48"/>
  <c r="AR41" i="54" s="1"/>
  <c r="AG44" i="48"/>
  <c r="AR44" i="54" s="1"/>
  <c r="AG27" i="48"/>
  <c r="AR27" i="54" s="1"/>
  <c r="AG285" i="48"/>
  <c r="AR285" i="54" s="1"/>
  <c r="AG86" i="48"/>
  <c r="AR86" i="54" s="1"/>
  <c r="AG130" i="48"/>
  <c r="AR130" i="54" s="1"/>
  <c r="AG299" i="48"/>
  <c r="AR299" i="54" s="1"/>
  <c r="AG17" i="48"/>
  <c r="AR17" i="54" s="1"/>
  <c r="AG223" i="48"/>
  <c r="AR223" i="54" s="1"/>
  <c r="AG144" i="48"/>
  <c r="AR144" i="54" s="1"/>
  <c r="AG291" i="48"/>
  <c r="AR291" i="54" s="1"/>
  <c r="AG233" i="48"/>
  <c r="AR233" i="54" s="1"/>
  <c r="AG238" i="48"/>
  <c r="AR238" i="54" s="1"/>
  <c r="AG258" i="48"/>
  <c r="AR258" i="54" s="1"/>
  <c r="AG50" i="48"/>
  <c r="AR50" i="54" s="1"/>
  <c r="AG55" i="48"/>
  <c r="AR55" i="54" s="1"/>
  <c r="AG257" i="48"/>
  <c r="AR257" i="54" s="1"/>
  <c r="AG33" i="48"/>
  <c r="AR33" i="54" s="1"/>
  <c r="AG298" i="48"/>
  <c r="AR298" i="54" s="1"/>
  <c r="AG93" i="48"/>
  <c r="AR93" i="54" s="1"/>
  <c r="AG297" i="48"/>
  <c r="AR297" i="54" s="1"/>
  <c r="AG62" i="48"/>
  <c r="AR62" i="54" s="1"/>
  <c r="AG152" i="48"/>
  <c r="AR152" i="54" s="1"/>
  <c r="AG206" i="48"/>
  <c r="AR206" i="54" s="1"/>
  <c r="AG163" i="48"/>
  <c r="AR163" i="54" s="1"/>
  <c r="AG263" i="48"/>
  <c r="AR263" i="54" s="1"/>
  <c r="AG128" i="48"/>
  <c r="AR128" i="54" s="1"/>
  <c r="AG215" i="48"/>
  <c r="AR215" i="54" s="1"/>
  <c r="AG231" i="48"/>
  <c r="AR231" i="54" s="1"/>
  <c r="AG66" i="48"/>
  <c r="AR66" i="54" s="1"/>
  <c r="AG109" i="48"/>
  <c r="AR109" i="54" s="1"/>
  <c r="AG88" i="48"/>
  <c r="AR88" i="54" s="1"/>
  <c r="AG186" i="48"/>
  <c r="AR186" i="54" s="1"/>
  <c r="AG196" i="48"/>
  <c r="AR196" i="54" s="1"/>
  <c r="AG96" i="48"/>
  <c r="AR96" i="54" s="1"/>
  <c r="AG228" i="48"/>
  <c r="AR228" i="54" s="1"/>
  <c r="AG182" i="48"/>
  <c r="AR182" i="54" s="1"/>
  <c r="AG69" i="48"/>
  <c r="AR69" i="54" s="1"/>
  <c r="AG161" i="48"/>
  <c r="AR161" i="54" s="1"/>
  <c r="AG87" i="48"/>
  <c r="AR87" i="54" s="1"/>
  <c r="AG79" i="48"/>
  <c r="AR79" i="54" s="1"/>
  <c r="AG264" i="48"/>
  <c r="AR264" i="54" s="1"/>
  <c r="AG74" i="48"/>
  <c r="AR74" i="54" s="1"/>
  <c r="AG151" i="48"/>
  <c r="AR151" i="54" s="1"/>
  <c r="AG119" i="48"/>
  <c r="AR119" i="54" s="1"/>
  <c r="AG63" i="48"/>
  <c r="AR63" i="54" s="1"/>
  <c r="AG36" i="48"/>
  <c r="AR36" i="54" s="1"/>
  <c r="AG173" i="48"/>
  <c r="AR173" i="54" s="1"/>
  <c r="AG124" i="48"/>
  <c r="AR124" i="54" s="1"/>
  <c r="AG107" i="48"/>
  <c r="AR107" i="54" s="1"/>
  <c r="AG145" i="48"/>
  <c r="AR145" i="54" s="1"/>
  <c r="AG262" i="48"/>
  <c r="AR262" i="54" s="1"/>
  <c r="AG30" i="48"/>
  <c r="AR30" i="54" s="1"/>
  <c r="AG177" i="48"/>
  <c r="AR177" i="54" s="1"/>
  <c r="AG20" i="48"/>
  <c r="AR20" i="54" s="1"/>
  <c r="AG26" i="48"/>
  <c r="AR26" i="54" s="1"/>
  <c r="AG135" i="48"/>
  <c r="AR135" i="54" s="1"/>
  <c r="AG95" i="48"/>
  <c r="AR95" i="54" s="1"/>
  <c r="AO59" i="66"/>
  <c r="N13" i="48"/>
  <c r="AO58" i="66"/>
  <c r="AY61" i="66"/>
  <c r="AO56" i="66"/>
  <c r="AO57" i="66"/>
  <c r="AP57" i="66"/>
  <c r="AO54" i="66"/>
  <c r="AP54" i="66"/>
  <c r="AO60" i="66"/>
  <c r="AF13" i="48"/>
  <c r="M11" i="48"/>
  <c r="M10" i="48"/>
  <c r="AW85" i="66"/>
  <c r="AC85" i="66"/>
  <c r="AE61" i="66"/>
  <c r="L11" i="46"/>
  <c r="S61" i="66"/>
  <c r="AN61" i="66"/>
  <c r="BQ10" i="45"/>
  <c r="BQ11" i="45"/>
  <c r="M11" i="46"/>
  <c r="N13" i="46"/>
  <c r="DK124" i="45" l="1"/>
  <c r="DL161" i="45"/>
  <c r="DJ124" i="45"/>
  <c r="DB124" i="45"/>
  <c r="DC137" i="45"/>
  <c r="DC37" i="45"/>
  <c r="DC124" i="45"/>
  <c r="DC97" i="45"/>
  <c r="DL220" i="45"/>
  <c r="DL172" i="45"/>
  <c r="DL57" i="45"/>
  <c r="DL204" i="45"/>
  <c r="DC121" i="45"/>
  <c r="DC100" i="45"/>
  <c r="DL164" i="45"/>
  <c r="DL108" i="45"/>
  <c r="DL260" i="45"/>
  <c r="DL292" i="45"/>
  <c r="DL52" i="45"/>
  <c r="DC18" i="45"/>
  <c r="DC273" i="45"/>
  <c r="DL300" i="45"/>
  <c r="DL209" i="45"/>
  <c r="DC268" i="45"/>
  <c r="DC185" i="45"/>
  <c r="DC177" i="45"/>
  <c r="DL42" i="45"/>
  <c r="DL225" i="45"/>
  <c r="DC34" i="45"/>
  <c r="DC73" i="45"/>
  <c r="DC284" i="45"/>
  <c r="DC305" i="45"/>
  <c r="DL132" i="45"/>
  <c r="DC276" i="45"/>
  <c r="DL92" i="45"/>
  <c r="DC116" i="45"/>
  <c r="DL244" i="45"/>
  <c r="DC21" i="45"/>
  <c r="DL169" i="45"/>
  <c r="DL233" i="45"/>
  <c r="DL249" i="45"/>
  <c r="DL297" i="45"/>
  <c r="DL188" i="45"/>
  <c r="DL29" i="45"/>
  <c r="AI25" i="48"/>
  <c r="AT25" i="54" s="1"/>
  <c r="AI245" i="48"/>
  <c r="AT245" i="54" s="1"/>
  <c r="AI261" i="48"/>
  <c r="AT261" i="54" s="1"/>
  <c r="AI141" i="48"/>
  <c r="AT141" i="54" s="1"/>
  <c r="AI269" i="48"/>
  <c r="AT269" i="54" s="1"/>
  <c r="DL201" i="45"/>
  <c r="DL76" i="45"/>
  <c r="DL289" i="45"/>
  <c r="DL252" i="45"/>
  <c r="DL236" i="45"/>
  <c r="DL105" i="45"/>
  <c r="DL68" i="45"/>
  <c r="BB54" i="66"/>
  <c r="DL241" i="45"/>
  <c r="DC140" i="45"/>
  <c r="DL145" i="45"/>
  <c r="DL84" i="45"/>
  <c r="DL196" i="45"/>
  <c r="DL81" i="45"/>
  <c r="DL156" i="45"/>
  <c r="BB59" i="66"/>
  <c r="DL113" i="45"/>
  <c r="DL60" i="45"/>
  <c r="CK13" i="45"/>
  <c r="L13" i="60" s="1"/>
  <c r="CS15" i="45"/>
  <c r="L58" i="66"/>
  <c r="W58" i="66" s="1"/>
  <c r="DL124" i="45"/>
  <c r="DL228" i="45"/>
  <c r="DL265" i="45"/>
  <c r="BD60" i="66"/>
  <c r="BC60" i="66"/>
  <c r="BD56" i="66"/>
  <c r="BC56" i="66"/>
  <c r="BD55" i="66"/>
  <c r="BC55" i="66"/>
  <c r="BD57" i="66"/>
  <c r="BC57" i="66"/>
  <c r="BD59" i="66"/>
  <c r="BC59" i="66"/>
  <c r="BD54" i="66"/>
  <c r="BC54" i="66"/>
  <c r="V60" i="66"/>
  <c r="AS60" i="66" s="1"/>
  <c r="AI60" i="66"/>
  <c r="V56" i="66"/>
  <c r="AS56" i="66" s="1"/>
  <c r="AI56" i="66"/>
  <c r="V55" i="66"/>
  <c r="AS55" i="66" s="1"/>
  <c r="AI55" i="66"/>
  <c r="V57" i="66"/>
  <c r="AS57" i="66" s="1"/>
  <c r="AI57" i="66"/>
  <c r="V59" i="66"/>
  <c r="AS59" i="66" s="1"/>
  <c r="AI59" i="66"/>
  <c r="V54" i="66"/>
  <c r="AS54" i="66" s="1"/>
  <c r="AI54" i="66"/>
  <c r="BB57" i="66"/>
  <c r="BB55" i="66"/>
  <c r="BB60" i="66"/>
  <c r="BB56" i="66"/>
  <c r="DE15" i="45"/>
  <c r="CV15" i="45"/>
  <c r="DF15" i="45"/>
  <c r="CW15" i="45"/>
  <c r="CW9" i="45" s="1"/>
  <c r="CJ10" i="45"/>
  <c r="CJ11" i="45"/>
  <c r="P13" i="48"/>
  <c r="AI15" i="48"/>
  <c r="AT15" i="54" s="1"/>
  <c r="CD11" i="45"/>
  <c r="BY10" i="45"/>
  <c r="CD10" i="45"/>
  <c r="K58" i="66"/>
  <c r="CR15" i="45"/>
  <c r="CE13" i="45"/>
  <c r="V14" i="60"/>
  <c r="O11" i="46"/>
  <c r="U56" i="66"/>
  <c r="AH56" i="66"/>
  <c r="U57" i="66"/>
  <c r="AH57" i="66"/>
  <c r="U59" i="66"/>
  <c r="AH59" i="66"/>
  <c r="U54" i="66"/>
  <c r="AH54" i="66"/>
  <c r="U58" i="66"/>
  <c r="U60" i="66"/>
  <c r="AH60" i="66"/>
  <c r="U55" i="66"/>
  <c r="AH55" i="66"/>
  <c r="DB113" i="45"/>
  <c r="DK113" i="45"/>
  <c r="J61" i="66"/>
  <c r="CQ13" i="45"/>
  <c r="AG57" i="66"/>
  <c r="O13" i="48"/>
  <c r="AH15" i="48"/>
  <c r="AS15" i="54" s="1"/>
  <c r="AG58" i="66"/>
  <c r="BA57" i="66"/>
  <c r="BA58" i="66"/>
  <c r="BA56" i="66"/>
  <c r="BA54" i="66"/>
  <c r="BY11" i="45"/>
  <c r="AG56" i="66"/>
  <c r="CZ9" i="45"/>
  <c r="AG54" i="66"/>
  <c r="BA60" i="66"/>
  <c r="AG59" i="66"/>
  <c r="CZ8" i="45"/>
  <c r="BA59" i="66"/>
  <c r="AG60" i="66"/>
  <c r="AG55" i="66"/>
  <c r="BA55" i="66"/>
  <c r="DJ113" i="45"/>
  <c r="DA113" i="45"/>
  <c r="DI8" i="45"/>
  <c r="DI9" i="45"/>
  <c r="AG13" i="48"/>
  <c r="G83" i="66"/>
  <c r="AD16" i="47"/>
  <c r="AU16" i="47" s="1"/>
  <c r="G80" i="66"/>
  <c r="AD33" i="47"/>
  <c r="AU33" i="47" s="1"/>
  <c r="G81" i="66"/>
  <c r="AD17" i="47"/>
  <c r="AU17" i="47" s="1"/>
  <c r="G78" i="66"/>
  <c r="AX78" i="66" s="1"/>
  <c r="AD24" i="47"/>
  <c r="AU24" i="47" s="1"/>
  <c r="AD22" i="47"/>
  <c r="AU22" i="47" s="1"/>
  <c r="G84" i="66"/>
  <c r="G79" i="66"/>
  <c r="AD48" i="47"/>
  <c r="AU48" i="47" s="1"/>
  <c r="N11" i="46"/>
  <c r="CZ13" i="45"/>
  <c r="T61" i="66"/>
  <c r="AF61" i="66"/>
  <c r="N10" i="48"/>
  <c r="N11" i="48"/>
  <c r="AO61" i="66"/>
  <c r="P11" i="48" l="1"/>
  <c r="AI13" i="48"/>
  <c r="X16" i="60"/>
  <c r="L61" i="66"/>
  <c r="W61" i="66" s="1"/>
  <c r="CS13" i="45"/>
  <c r="AI58" i="66"/>
  <c r="BD58" i="66"/>
  <c r="BC58" i="66"/>
  <c r="AR56" i="66"/>
  <c r="DC15" i="45"/>
  <c r="DC8" i="45" s="1"/>
  <c r="DL15" i="45"/>
  <c r="DJ8" i="45"/>
  <c r="CW8" i="45"/>
  <c r="DF8" i="45"/>
  <c r="DF9" i="45"/>
  <c r="CV9" i="45"/>
  <c r="CV8" i="45"/>
  <c r="DE9" i="45"/>
  <c r="DE8" i="45"/>
  <c r="CK10" i="45"/>
  <c r="CK11" i="45"/>
  <c r="P10" i="48"/>
  <c r="K61" i="66"/>
  <c r="CR13" i="45"/>
  <c r="CE10" i="45"/>
  <c r="CE11" i="45"/>
  <c r="DK15" i="45"/>
  <c r="DB15" i="45"/>
  <c r="DB8" i="45" s="1"/>
  <c r="V58" i="66"/>
  <c r="AH58" i="66"/>
  <c r="BB58" i="66"/>
  <c r="AQ56" i="66"/>
  <c r="AQ58" i="66"/>
  <c r="BA61" i="66"/>
  <c r="AH13" i="48"/>
  <c r="W16" i="60"/>
  <c r="AQ54" i="66"/>
  <c r="AR54" i="66"/>
  <c r="AQ55" i="66"/>
  <c r="AR55" i="66"/>
  <c r="AQ59" i="66"/>
  <c r="AR59" i="66"/>
  <c r="AQ60" i="66"/>
  <c r="AR60" i="66"/>
  <c r="AQ57" i="66"/>
  <c r="AR57" i="66"/>
  <c r="U61" i="66"/>
  <c r="DA13" i="45"/>
  <c r="AG61" i="66"/>
  <c r="O11" i="48"/>
  <c r="O10" i="48"/>
  <c r="DA9" i="45"/>
  <c r="DA8" i="45"/>
  <c r="DJ9" i="45"/>
  <c r="AP61" i="66"/>
  <c r="AX80" i="66"/>
  <c r="AD80" i="66"/>
  <c r="R80" i="66"/>
  <c r="AN80" i="66" s="1"/>
  <c r="AD79" i="66"/>
  <c r="R79" i="66"/>
  <c r="AN79" i="66" s="1"/>
  <c r="AX79" i="66"/>
  <c r="AD78" i="66"/>
  <c r="R78" i="66"/>
  <c r="AN78" i="66" s="1"/>
  <c r="AX84" i="66"/>
  <c r="R84" i="66"/>
  <c r="AN84" i="66" s="1"/>
  <c r="AD84" i="66"/>
  <c r="AD81" i="66"/>
  <c r="R81" i="66"/>
  <c r="AN81" i="66" s="1"/>
  <c r="AX81" i="66"/>
  <c r="R83" i="66"/>
  <c r="AN83" i="66" s="1"/>
  <c r="AX83" i="66"/>
  <c r="AD83" i="66"/>
  <c r="DC13" i="45" l="1"/>
  <c r="L16" i="60"/>
  <c r="L76" i="15" s="1"/>
  <c r="DC9" i="45"/>
  <c r="BD61" i="66"/>
  <c r="BC61" i="66"/>
  <c r="AR58" i="66"/>
  <c r="AS58" i="66"/>
  <c r="AH61" i="66"/>
  <c r="AI61" i="66"/>
  <c r="DL8" i="45"/>
  <c r="DL9" i="45"/>
  <c r="BB61" i="66"/>
  <c r="DB13" i="45"/>
  <c r="DK9" i="45"/>
  <c r="DK8" i="45"/>
  <c r="K13" i="60"/>
  <c r="V61" i="66"/>
  <c r="DB9" i="45"/>
  <c r="K16" i="60"/>
  <c r="K76" i="15" s="1"/>
  <c r="AQ61" i="66"/>
  <c r="BI13" i="43"/>
  <c r="BH13" i="43"/>
  <c r="BG13" i="43"/>
  <c r="BD13" i="43"/>
  <c r="BC13" i="43"/>
  <c r="BB13" i="43"/>
  <c r="AY13" i="43"/>
  <c r="AW13" i="43"/>
  <c r="AT13" i="43"/>
  <c r="AS13" i="43"/>
  <c r="AR13" i="43"/>
  <c r="AO13" i="43"/>
  <c r="AN13" i="43"/>
  <c r="AM13" i="43"/>
  <c r="AJ13" i="43"/>
  <c r="AI13" i="43"/>
  <c r="AH13" i="43"/>
  <c r="AE13" i="43"/>
  <c r="AD13" i="43"/>
  <c r="AC13" i="43"/>
  <c r="Z13" i="43"/>
  <c r="Y13" i="43"/>
  <c r="X13" i="43"/>
  <c r="U13" i="43"/>
  <c r="T13" i="43"/>
  <c r="S13" i="43"/>
  <c r="P13" i="43"/>
  <c r="O13" i="43"/>
  <c r="N13" i="43"/>
  <c r="K13" i="43"/>
  <c r="J13" i="43"/>
  <c r="I13" i="43"/>
  <c r="F13" i="43"/>
  <c r="E13" i="43"/>
  <c r="D13" i="43"/>
  <c r="C13" i="44" s="1"/>
  <c r="BJ305" i="43"/>
  <c r="CC305" i="43" s="1"/>
  <c r="CO305" i="43" s="1"/>
  <c r="DB305" i="43" s="1"/>
  <c r="BJ304" i="43"/>
  <c r="CC304" i="43" s="1"/>
  <c r="CO304" i="43" s="1"/>
  <c r="DB304" i="43" s="1"/>
  <c r="BJ303" i="43"/>
  <c r="CC303" i="43" s="1"/>
  <c r="CO303" i="43" s="1"/>
  <c r="DB303" i="43" s="1"/>
  <c r="BJ302" i="43"/>
  <c r="CC302" i="43" s="1"/>
  <c r="CO302" i="43" s="1"/>
  <c r="DB302" i="43" s="1"/>
  <c r="BJ301" i="43"/>
  <c r="CC301" i="43" s="1"/>
  <c r="CO301" i="43" s="1"/>
  <c r="DB301" i="43" s="1"/>
  <c r="BJ300" i="43"/>
  <c r="CC300" i="43" s="1"/>
  <c r="CO300" i="43" s="1"/>
  <c r="DB300" i="43" s="1"/>
  <c r="BJ299" i="43"/>
  <c r="CC299" i="43" s="1"/>
  <c r="CO299" i="43" s="1"/>
  <c r="DB299" i="43" s="1"/>
  <c r="BJ298" i="43"/>
  <c r="CC298" i="43" s="1"/>
  <c r="CO298" i="43" s="1"/>
  <c r="DB298" i="43" s="1"/>
  <c r="BJ297" i="43"/>
  <c r="CC297" i="43" s="1"/>
  <c r="CO297" i="43" s="1"/>
  <c r="DB297" i="43" s="1"/>
  <c r="BJ296" i="43"/>
  <c r="CC296" i="43" s="1"/>
  <c r="CO296" i="43" s="1"/>
  <c r="DB296" i="43" s="1"/>
  <c r="BJ295" i="43"/>
  <c r="CC295" i="43" s="1"/>
  <c r="CO295" i="43" s="1"/>
  <c r="DB295" i="43" s="1"/>
  <c r="BJ294" i="43"/>
  <c r="CC294" i="43" s="1"/>
  <c r="CO294" i="43" s="1"/>
  <c r="DB294" i="43" s="1"/>
  <c r="BJ293" i="43"/>
  <c r="CC293" i="43" s="1"/>
  <c r="CO293" i="43" s="1"/>
  <c r="DB293" i="43" s="1"/>
  <c r="BJ292" i="43"/>
  <c r="CC292" i="43" s="1"/>
  <c r="CO292" i="43" s="1"/>
  <c r="DB292" i="43" s="1"/>
  <c r="BJ291" i="43"/>
  <c r="CC291" i="43" s="1"/>
  <c r="CO291" i="43" s="1"/>
  <c r="DB291" i="43" s="1"/>
  <c r="BJ290" i="43"/>
  <c r="CC290" i="43" s="1"/>
  <c r="CO290" i="43" s="1"/>
  <c r="DB290" i="43" s="1"/>
  <c r="BJ289" i="43"/>
  <c r="CC289" i="43" s="1"/>
  <c r="CO289" i="43" s="1"/>
  <c r="DB289" i="43" s="1"/>
  <c r="BJ288" i="43"/>
  <c r="CC288" i="43" s="1"/>
  <c r="CO288" i="43" s="1"/>
  <c r="DB288" i="43" s="1"/>
  <c r="BJ287" i="43"/>
  <c r="CC287" i="43" s="1"/>
  <c r="CO287" i="43" s="1"/>
  <c r="DB287" i="43" s="1"/>
  <c r="BJ286" i="43"/>
  <c r="CC286" i="43" s="1"/>
  <c r="CO286" i="43" s="1"/>
  <c r="DB286" i="43" s="1"/>
  <c r="BJ285" i="43"/>
  <c r="CC285" i="43" s="1"/>
  <c r="CO285" i="43" s="1"/>
  <c r="DB285" i="43" s="1"/>
  <c r="BJ284" i="43"/>
  <c r="CC284" i="43" s="1"/>
  <c r="CO284" i="43" s="1"/>
  <c r="DB284" i="43" s="1"/>
  <c r="BJ283" i="43"/>
  <c r="CC283" i="43" s="1"/>
  <c r="CO283" i="43" s="1"/>
  <c r="DB283" i="43" s="1"/>
  <c r="BJ282" i="43"/>
  <c r="CC282" i="43" s="1"/>
  <c r="CO282" i="43" s="1"/>
  <c r="DB282" i="43" s="1"/>
  <c r="BJ281" i="43"/>
  <c r="CC281" i="43" s="1"/>
  <c r="CO281" i="43" s="1"/>
  <c r="DB281" i="43" s="1"/>
  <c r="BJ280" i="43"/>
  <c r="CC280" i="43" s="1"/>
  <c r="CO280" i="43" s="1"/>
  <c r="DB280" i="43" s="1"/>
  <c r="BJ279" i="43"/>
  <c r="CC279" i="43" s="1"/>
  <c r="CO279" i="43" s="1"/>
  <c r="DB279" i="43" s="1"/>
  <c r="BJ278" i="43"/>
  <c r="CC278" i="43" s="1"/>
  <c r="CO278" i="43" s="1"/>
  <c r="DB278" i="43" s="1"/>
  <c r="BJ277" i="43"/>
  <c r="CC277" i="43" s="1"/>
  <c r="CO277" i="43" s="1"/>
  <c r="DB277" i="43" s="1"/>
  <c r="BJ276" i="43"/>
  <c r="CC276" i="43" s="1"/>
  <c r="CO276" i="43" s="1"/>
  <c r="DB276" i="43" s="1"/>
  <c r="BJ275" i="43"/>
  <c r="CC275" i="43" s="1"/>
  <c r="CO275" i="43" s="1"/>
  <c r="DB275" i="43" s="1"/>
  <c r="BJ274" i="43"/>
  <c r="CC274" i="43" s="1"/>
  <c r="CO274" i="43" s="1"/>
  <c r="DB274" i="43" s="1"/>
  <c r="BJ273" i="43"/>
  <c r="CC273" i="43" s="1"/>
  <c r="CO273" i="43" s="1"/>
  <c r="DB273" i="43" s="1"/>
  <c r="BJ272" i="43"/>
  <c r="CC272" i="43" s="1"/>
  <c r="CO272" i="43" s="1"/>
  <c r="DB272" i="43" s="1"/>
  <c r="BJ271" i="43"/>
  <c r="CC271" i="43" s="1"/>
  <c r="CO271" i="43" s="1"/>
  <c r="DB271" i="43" s="1"/>
  <c r="BJ270" i="43"/>
  <c r="CC270" i="43" s="1"/>
  <c r="CO270" i="43" s="1"/>
  <c r="DB270" i="43" s="1"/>
  <c r="BJ269" i="43"/>
  <c r="CC269" i="43" s="1"/>
  <c r="CO269" i="43" s="1"/>
  <c r="DB269" i="43" s="1"/>
  <c r="BJ268" i="43"/>
  <c r="CC268" i="43" s="1"/>
  <c r="CO268" i="43" s="1"/>
  <c r="DB268" i="43" s="1"/>
  <c r="BJ267" i="43"/>
  <c r="CC267" i="43" s="1"/>
  <c r="CO267" i="43" s="1"/>
  <c r="DB267" i="43" s="1"/>
  <c r="BJ266" i="43"/>
  <c r="CC266" i="43" s="1"/>
  <c r="CO266" i="43" s="1"/>
  <c r="DB266" i="43" s="1"/>
  <c r="BJ265" i="43"/>
  <c r="CC265" i="43" s="1"/>
  <c r="CO265" i="43" s="1"/>
  <c r="DB265" i="43" s="1"/>
  <c r="BJ264" i="43"/>
  <c r="CC264" i="43" s="1"/>
  <c r="CO264" i="43" s="1"/>
  <c r="DB264" i="43" s="1"/>
  <c r="BJ263" i="43"/>
  <c r="CC263" i="43" s="1"/>
  <c r="CO263" i="43" s="1"/>
  <c r="DB263" i="43" s="1"/>
  <c r="BJ262" i="43"/>
  <c r="CC262" i="43" s="1"/>
  <c r="CO262" i="43" s="1"/>
  <c r="DB262" i="43" s="1"/>
  <c r="BJ261" i="43"/>
  <c r="CC261" i="43" s="1"/>
  <c r="CO261" i="43" s="1"/>
  <c r="DB261" i="43" s="1"/>
  <c r="BJ260" i="43"/>
  <c r="CC260" i="43" s="1"/>
  <c r="CO260" i="43" s="1"/>
  <c r="DB260" i="43" s="1"/>
  <c r="BJ259" i="43"/>
  <c r="CC259" i="43" s="1"/>
  <c r="CO259" i="43" s="1"/>
  <c r="DB259" i="43" s="1"/>
  <c r="BJ258" i="43"/>
  <c r="CC258" i="43" s="1"/>
  <c r="CO258" i="43" s="1"/>
  <c r="DB258" i="43" s="1"/>
  <c r="BJ257" i="43"/>
  <c r="CC257" i="43" s="1"/>
  <c r="CO257" i="43" s="1"/>
  <c r="DB257" i="43" s="1"/>
  <c r="BJ256" i="43"/>
  <c r="CC256" i="43" s="1"/>
  <c r="CO256" i="43" s="1"/>
  <c r="DB256" i="43" s="1"/>
  <c r="BJ255" i="43"/>
  <c r="CC255" i="43" s="1"/>
  <c r="CO255" i="43" s="1"/>
  <c r="DB255" i="43" s="1"/>
  <c r="BJ254" i="43"/>
  <c r="CC254" i="43" s="1"/>
  <c r="CO254" i="43" s="1"/>
  <c r="DB254" i="43" s="1"/>
  <c r="BJ253" i="43"/>
  <c r="CC253" i="43" s="1"/>
  <c r="CO253" i="43" s="1"/>
  <c r="DB253" i="43" s="1"/>
  <c r="BJ252" i="43"/>
  <c r="CC252" i="43" s="1"/>
  <c r="CO252" i="43" s="1"/>
  <c r="DB252" i="43" s="1"/>
  <c r="BJ251" i="43"/>
  <c r="CC251" i="43" s="1"/>
  <c r="CO251" i="43" s="1"/>
  <c r="DB251" i="43" s="1"/>
  <c r="BJ250" i="43"/>
  <c r="CC250" i="43" s="1"/>
  <c r="CO250" i="43" s="1"/>
  <c r="DB250" i="43" s="1"/>
  <c r="BJ249" i="43"/>
  <c r="CC249" i="43" s="1"/>
  <c r="CO249" i="43" s="1"/>
  <c r="DB249" i="43" s="1"/>
  <c r="BJ248" i="43"/>
  <c r="CC248" i="43" s="1"/>
  <c r="CO248" i="43" s="1"/>
  <c r="DB248" i="43" s="1"/>
  <c r="BJ247" i="43"/>
  <c r="CC247" i="43" s="1"/>
  <c r="CO247" i="43" s="1"/>
  <c r="DB247" i="43" s="1"/>
  <c r="BJ246" i="43"/>
  <c r="CC246" i="43" s="1"/>
  <c r="CO246" i="43" s="1"/>
  <c r="DB246" i="43" s="1"/>
  <c r="BJ245" i="43"/>
  <c r="CC245" i="43" s="1"/>
  <c r="CO245" i="43" s="1"/>
  <c r="DB245" i="43" s="1"/>
  <c r="BJ244" i="43"/>
  <c r="CC244" i="43" s="1"/>
  <c r="CO244" i="43" s="1"/>
  <c r="DB244" i="43" s="1"/>
  <c r="BJ243" i="43"/>
  <c r="CC243" i="43" s="1"/>
  <c r="CO243" i="43" s="1"/>
  <c r="DB243" i="43" s="1"/>
  <c r="BJ242" i="43"/>
  <c r="CC242" i="43" s="1"/>
  <c r="CO242" i="43" s="1"/>
  <c r="DB242" i="43" s="1"/>
  <c r="BJ241" i="43"/>
  <c r="CC241" i="43" s="1"/>
  <c r="CO241" i="43" s="1"/>
  <c r="DB241" i="43" s="1"/>
  <c r="BJ240" i="43"/>
  <c r="CC240" i="43" s="1"/>
  <c r="CO240" i="43" s="1"/>
  <c r="DB240" i="43" s="1"/>
  <c r="BJ239" i="43"/>
  <c r="CC239" i="43" s="1"/>
  <c r="CO239" i="43" s="1"/>
  <c r="DB239" i="43" s="1"/>
  <c r="BJ238" i="43"/>
  <c r="CC238" i="43" s="1"/>
  <c r="CO238" i="43" s="1"/>
  <c r="DB238" i="43" s="1"/>
  <c r="BJ237" i="43"/>
  <c r="CC237" i="43" s="1"/>
  <c r="CO237" i="43" s="1"/>
  <c r="DB237" i="43" s="1"/>
  <c r="BJ236" i="43"/>
  <c r="CC236" i="43" s="1"/>
  <c r="CO236" i="43" s="1"/>
  <c r="DB236" i="43" s="1"/>
  <c r="BJ235" i="43"/>
  <c r="CC235" i="43" s="1"/>
  <c r="CO235" i="43" s="1"/>
  <c r="DB235" i="43" s="1"/>
  <c r="BJ234" i="43"/>
  <c r="CC234" i="43" s="1"/>
  <c r="CO234" i="43" s="1"/>
  <c r="DB234" i="43" s="1"/>
  <c r="BJ233" i="43"/>
  <c r="CC233" i="43" s="1"/>
  <c r="CO233" i="43" s="1"/>
  <c r="DB233" i="43" s="1"/>
  <c r="BJ232" i="43"/>
  <c r="CC232" i="43" s="1"/>
  <c r="CO232" i="43" s="1"/>
  <c r="DB232" i="43" s="1"/>
  <c r="BJ231" i="43"/>
  <c r="CC231" i="43" s="1"/>
  <c r="CO231" i="43" s="1"/>
  <c r="DB231" i="43" s="1"/>
  <c r="BJ230" i="43"/>
  <c r="CC230" i="43" s="1"/>
  <c r="CO230" i="43" s="1"/>
  <c r="DB230" i="43" s="1"/>
  <c r="BJ229" i="43"/>
  <c r="CC229" i="43" s="1"/>
  <c r="CO229" i="43" s="1"/>
  <c r="DB229" i="43" s="1"/>
  <c r="BJ228" i="43"/>
  <c r="CC228" i="43" s="1"/>
  <c r="CO228" i="43" s="1"/>
  <c r="DB228" i="43" s="1"/>
  <c r="BJ227" i="43"/>
  <c r="CC227" i="43" s="1"/>
  <c r="CO227" i="43" s="1"/>
  <c r="DB227" i="43" s="1"/>
  <c r="BJ226" i="43"/>
  <c r="CC226" i="43" s="1"/>
  <c r="CO226" i="43" s="1"/>
  <c r="DB226" i="43" s="1"/>
  <c r="BJ225" i="43"/>
  <c r="CC225" i="43" s="1"/>
  <c r="CO225" i="43" s="1"/>
  <c r="DB225" i="43" s="1"/>
  <c r="BJ224" i="43"/>
  <c r="CC224" i="43" s="1"/>
  <c r="CO224" i="43" s="1"/>
  <c r="DB224" i="43" s="1"/>
  <c r="BJ223" i="43"/>
  <c r="CC223" i="43" s="1"/>
  <c r="CO223" i="43" s="1"/>
  <c r="DB223" i="43" s="1"/>
  <c r="BJ222" i="43"/>
  <c r="CC222" i="43" s="1"/>
  <c r="CO222" i="43" s="1"/>
  <c r="DB222" i="43" s="1"/>
  <c r="BJ221" i="43"/>
  <c r="CC221" i="43" s="1"/>
  <c r="CO221" i="43" s="1"/>
  <c r="DB221" i="43" s="1"/>
  <c r="BJ220" i="43"/>
  <c r="CC220" i="43" s="1"/>
  <c r="CO220" i="43" s="1"/>
  <c r="DB220" i="43" s="1"/>
  <c r="BJ219" i="43"/>
  <c r="CC219" i="43" s="1"/>
  <c r="CO219" i="43" s="1"/>
  <c r="DB219" i="43" s="1"/>
  <c r="BJ218" i="43"/>
  <c r="CC218" i="43" s="1"/>
  <c r="CO218" i="43" s="1"/>
  <c r="DB218" i="43" s="1"/>
  <c r="BJ217" i="43"/>
  <c r="CC217" i="43" s="1"/>
  <c r="CO217" i="43" s="1"/>
  <c r="DB217" i="43" s="1"/>
  <c r="BJ216" i="43"/>
  <c r="CC216" i="43" s="1"/>
  <c r="CO216" i="43" s="1"/>
  <c r="DB216" i="43" s="1"/>
  <c r="BJ215" i="43"/>
  <c r="CC215" i="43" s="1"/>
  <c r="CO215" i="43" s="1"/>
  <c r="DB215" i="43" s="1"/>
  <c r="BJ214" i="43"/>
  <c r="CC214" i="43" s="1"/>
  <c r="CO214" i="43" s="1"/>
  <c r="DB214" i="43" s="1"/>
  <c r="BJ213" i="43"/>
  <c r="CC213" i="43" s="1"/>
  <c r="CO213" i="43" s="1"/>
  <c r="DB213" i="43" s="1"/>
  <c r="BJ212" i="43"/>
  <c r="CC212" i="43" s="1"/>
  <c r="CO212" i="43" s="1"/>
  <c r="DB212" i="43" s="1"/>
  <c r="BJ211" i="43"/>
  <c r="CC211" i="43" s="1"/>
  <c r="CO211" i="43" s="1"/>
  <c r="DB211" i="43" s="1"/>
  <c r="BJ210" i="43"/>
  <c r="CC210" i="43" s="1"/>
  <c r="CO210" i="43" s="1"/>
  <c r="DB210" i="43" s="1"/>
  <c r="BJ209" i="43"/>
  <c r="CC209" i="43" s="1"/>
  <c r="CO209" i="43" s="1"/>
  <c r="DB209" i="43" s="1"/>
  <c r="BJ208" i="43"/>
  <c r="CC208" i="43" s="1"/>
  <c r="CO208" i="43" s="1"/>
  <c r="DB208" i="43" s="1"/>
  <c r="BJ207" i="43"/>
  <c r="CC207" i="43" s="1"/>
  <c r="CO207" i="43" s="1"/>
  <c r="DB207" i="43" s="1"/>
  <c r="BJ206" i="43"/>
  <c r="CC206" i="43" s="1"/>
  <c r="CO206" i="43" s="1"/>
  <c r="DB206" i="43" s="1"/>
  <c r="BJ205" i="43"/>
  <c r="CC205" i="43" s="1"/>
  <c r="CO205" i="43" s="1"/>
  <c r="DB205" i="43" s="1"/>
  <c r="BJ204" i="43"/>
  <c r="CC204" i="43" s="1"/>
  <c r="CO204" i="43" s="1"/>
  <c r="DB204" i="43" s="1"/>
  <c r="BJ203" i="43"/>
  <c r="CC203" i="43" s="1"/>
  <c r="CO203" i="43" s="1"/>
  <c r="DB203" i="43" s="1"/>
  <c r="BJ202" i="43"/>
  <c r="CC202" i="43" s="1"/>
  <c r="CO202" i="43" s="1"/>
  <c r="DB202" i="43" s="1"/>
  <c r="BJ201" i="43"/>
  <c r="CC201" i="43" s="1"/>
  <c r="CO201" i="43" s="1"/>
  <c r="DB201" i="43" s="1"/>
  <c r="BJ200" i="43"/>
  <c r="CC200" i="43" s="1"/>
  <c r="CO200" i="43" s="1"/>
  <c r="DB200" i="43" s="1"/>
  <c r="BJ199" i="43"/>
  <c r="CC199" i="43" s="1"/>
  <c r="CO199" i="43" s="1"/>
  <c r="DB199" i="43" s="1"/>
  <c r="BJ198" i="43"/>
  <c r="CC198" i="43" s="1"/>
  <c r="CO198" i="43" s="1"/>
  <c r="DB198" i="43" s="1"/>
  <c r="BJ197" i="43"/>
  <c r="CC197" i="43" s="1"/>
  <c r="CO197" i="43" s="1"/>
  <c r="DB197" i="43" s="1"/>
  <c r="BJ196" i="43"/>
  <c r="CC196" i="43" s="1"/>
  <c r="CO196" i="43" s="1"/>
  <c r="DB196" i="43" s="1"/>
  <c r="BJ195" i="43"/>
  <c r="CC195" i="43" s="1"/>
  <c r="CO195" i="43" s="1"/>
  <c r="DB195" i="43" s="1"/>
  <c r="BJ194" i="43"/>
  <c r="CC194" i="43" s="1"/>
  <c r="CO194" i="43" s="1"/>
  <c r="DB194" i="43" s="1"/>
  <c r="BJ193" i="43"/>
  <c r="CC193" i="43" s="1"/>
  <c r="DB193" i="43" s="1"/>
  <c r="BJ192" i="43"/>
  <c r="CC192" i="43" s="1"/>
  <c r="CO192" i="43" s="1"/>
  <c r="DB192" i="43" s="1"/>
  <c r="BJ191" i="43"/>
  <c r="CC191" i="43" s="1"/>
  <c r="CO191" i="43" s="1"/>
  <c r="DB191" i="43" s="1"/>
  <c r="BJ190" i="43"/>
  <c r="CC190" i="43" s="1"/>
  <c r="CO190" i="43" s="1"/>
  <c r="DB190" i="43" s="1"/>
  <c r="BJ189" i="43"/>
  <c r="CC189" i="43" s="1"/>
  <c r="CO189" i="43" s="1"/>
  <c r="DB189" i="43" s="1"/>
  <c r="BJ188" i="43"/>
  <c r="CC188" i="43" s="1"/>
  <c r="CO188" i="43" s="1"/>
  <c r="DB188" i="43" s="1"/>
  <c r="BJ187" i="43"/>
  <c r="CC187" i="43" s="1"/>
  <c r="CO187" i="43" s="1"/>
  <c r="DB187" i="43" s="1"/>
  <c r="BJ186" i="43"/>
  <c r="CC186" i="43" s="1"/>
  <c r="CO186" i="43" s="1"/>
  <c r="DB186" i="43" s="1"/>
  <c r="BJ185" i="43"/>
  <c r="CC185" i="43" s="1"/>
  <c r="CO185" i="43" s="1"/>
  <c r="DB185" i="43" s="1"/>
  <c r="BJ184" i="43"/>
  <c r="CC184" i="43" s="1"/>
  <c r="CO184" i="43" s="1"/>
  <c r="DB184" i="43" s="1"/>
  <c r="BJ183" i="43"/>
  <c r="CC183" i="43" s="1"/>
  <c r="CO183" i="43" s="1"/>
  <c r="DB183" i="43" s="1"/>
  <c r="BJ182" i="43"/>
  <c r="CC182" i="43" s="1"/>
  <c r="CO182" i="43" s="1"/>
  <c r="DB182" i="43" s="1"/>
  <c r="BJ181" i="43"/>
  <c r="CC181" i="43" s="1"/>
  <c r="CO181" i="43" s="1"/>
  <c r="DB181" i="43" s="1"/>
  <c r="BJ180" i="43"/>
  <c r="CC180" i="43" s="1"/>
  <c r="CO180" i="43" s="1"/>
  <c r="DB180" i="43" s="1"/>
  <c r="BJ179" i="43"/>
  <c r="CC179" i="43" s="1"/>
  <c r="CO179" i="43" s="1"/>
  <c r="DB179" i="43" s="1"/>
  <c r="BJ178" i="43"/>
  <c r="CC178" i="43" s="1"/>
  <c r="CO178" i="43" s="1"/>
  <c r="DB178" i="43" s="1"/>
  <c r="BJ177" i="43"/>
  <c r="CC177" i="43" s="1"/>
  <c r="CO177" i="43" s="1"/>
  <c r="DB177" i="43" s="1"/>
  <c r="BJ176" i="43"/>
  <c r="CC176" i="43" s="1"/>
  <c r="CO176" i="43" s="1"/>
  <c r="DB176" i="43" s="1"/>
  <c r="BJ175" i="43"/>
  <c r="CC175" i="43" s="1"/>
  <c r="CO175" i="43" s="1"/>
  <c r="DB175" i="43" s="1"/>
  <c r="BJ174" i="43"/>
  <c r="CC174" i="43" s="1"/>
  <c r="CO174" i="43" s="1"/>
  <c r="DB174" i="43" s="1"/>
  <c r="BJ173" i="43"/>
  <c r="CC173" i="43" s="1"/>
  <c r="CO173" i="43" s="1"/>
  <c r="DB173" i="43" s="1"/>
  <c r="BJ172" i="43"/>
  <c r="CC172" i="43" s="1"/>
  <c r="CO172" i="43" s="1"/>
  <c r="DB172" i="43" s="1"/>
  <c r="BJ171" i="43"/>
  <c r="CC171" i="43" s="1"/>
  <c r="CO171" i="43" s="1"/>
  <c r="DB171" i="43" s="1"/>
  <c r="BJ170" i="43"/>
  <c r="CC170" i="43" s="1"/>
  <c r="CO170" i="43" s="1"/>
  <c r="DB170" i="43" s="1"/>
  <c r="BJ169" i="43"/>
  <c r="CC169" i="43" s="1"/>
  <c r="CO169" i="43" s="1"/>
  <c r="DB169" i="43" s="1"/>
  <c r="BJ168" i="43"/>
  <c r="CC168" i="43" s="1"/>
  <c r="CO168" i="43" s="1"/>
  <c r="DB168" i="43" s="1"/>
  <c r="BJ167" i="43"/>
  <c r="CC167" i="43" s="1"/>
  <c r="CO167" i="43" s="1"/>
  <c r="DB167" i="43" s="1"/>
  <c r="BJ166" i="43"/>
  <c r="CC166" i="43" s="1"/>
  <c r="CO166" i="43" s="1"/>
  <c r="DB166" i="43" s="1"/>
  <c r="BJ165" i="43"/>
  <c r="CC165" i="43" s="1"/>
  <c r="CO165" i="43" s="1"/>
  <c r="DB165" i="43" s="1"/>
  <c r="BJ164" i="43"/>
  <c r="CC164" i="43" s="1"/>
  <c r="CO164" i="43" s="1"/>
  <c r="DB164" i="43" s="1"/>
  <c r="BJ163" i="43"/>
  <c r="CC163" i="43" s="1"/>
  <c r="CO163" i="43" s="1"/>
  <c r="DB163" i="43" s="1"/>
  <c r="BJ162" i="43"/>
  <c r="CC162" i="43" s="1"/>
  <c r="CO162" i="43" s="1"/>
  <c r="DB162" i="43" s="1"/>
  <c r="BJ161" i="43"/>
  <c r="CC161" i="43" s="1"/>
  <c r="CO161" i="43" s="1"/>
  <c r="DB161" i="43" s="1"/>
  <c r="BJ160" i="43"/>
  <c r="CC160" i="43" s="1"/>
  <c r="CO160" i="43" s="1"/>
  <c r="DB160" i="43" s="1"/>
  <c r="BJ159" i="43"/>
  <c r="CC159" i="43" s="1"/>
  <c r="CO159" i="43" s="1"/>
  <c r="DB159" i="43" s="1"/>
  <c r="BJ158" i="43"/>
  <c r="CC158" i="43" s="1"/>
  <c r="CO158" i="43" s="1"/>
  <c r="DB158" i="43" s="1"/>
  <c r="BJ157" i="43"/>
  <c r="CC157" i="43" s="1"/>
  <c r="CO157" i="43" s="1"/>
  <c r="DB157" i="43" s="1"/>
  <c r="BJ156" i="43"/>
  <c r="CC156" i="43" s="1"/>
  <c r="CO156" i="43" s="1"/>
  <c r="DB156" i="43" s="1"/>
  <c r="BJ155" i="43"/>
  <c r="CC155" i="43" s="1"/>
  <c r="CO155" i="43" s="1"/>
  <c r="DB155" i="43" s="1"/>
  <c r="BJ154" i="43"/>
  <c r="CC154" i="43" s="1"/>
  <c r="CO154" i="43" s="1"/>
  <c r="DB154" i="43" s="1"/>
  <c r="BJ153" i="43"/>
  <c r="CC153" i="43" s="1"/>
  <c r="CO153" i="43" s="1"/>
  <c r="DB153" i="43" s="1"/>
  <c r="BJ152" i="43"/>
  <c r="CC152" i="43" s="1"/>
  <c r="CO152" i="43" s="1"/>
  <c r="DB152" i="43" s="1"/>
  <c r="BJ151" i="43"/>
  <c r="CC151" i="43" s="1"/>
  <c r="CO151" i="43" s="1"/>
  <c r="DB151" i="43" s="1"/>
  <c r="BJ150" i="43"/>
  <c r="CC150" i="43" s="1"/>
  <c r="CO150" i="43" s="1"/>
  <c r="DB150" i="43" s="1"/>
  <c r="BJ149" i="43"/>
  <c r="CC149" i="43" s="1"/>
  <c r="CO149" i="43" s="1"/>
  <c r="DB149" i="43" s="1"/>
  <c r="BJ148" i="43"/>
  <c r="CC148" i="43" s="1"/>
  <c r="CO148" i="43" s="1"/>
  <c r="DB148" i="43" s="1"/>
  <c r="BJ147" i="43"/>
  <c r="CC147" i="43" s="1"/>
  <c r="CO147" i="43" s="1"/>
  <c r="DB147" i="43" s="1"/>
  <c r="BJ146" i="43"/>
  <c r="CC146" i="43" s="1"/>
  <c r="CO146" i="43" s="1"/>
  <c r="DB146" i="43" s="1"/>
  <c r="BJ145" i="43"/>
  <c r="CC145" i="43" s="1"/>
  <c r="CO145" i="43" s="1"/>
  <c r="DB145" i="43" s="1"/>
  <c r="BJ144" i="43"/>
  <c r="CC144" i="43" s="1"/>
  <c r="CO144" i="43" s="1"/>
  <c r="DB144" i="43" s="1"/>
  <c r="BJ143" i="43"/>
  <c r="CC143" i="43" s="1"/>
  <c r="CO143" i="43" s="1"/>
  <c r="DB143" i="43" s="1"/>
  <c r="BJ142" i="43"/>
  <c r="CC142" i="43" s="1"/>
  <c r="CO142" i="43" s="1"/>
  <c r="DB142" i="43" s="1"/>
  <c r="BJ141" i="43"/>
  <c r="CC141" i="43" s="1"/>
  <c r="CO141" i="43" s="1"/>
  <c r="DB141" i="43" s="1"/>
  <c r="BJ140" i="43"/>
  <c r="CC140" i="43" s="1"/>
  <c r="CO140" i="43" s="1"/>
  <c r="DB140" i="43" s="1"/>
  <c r="BJ139" i="43"/>
  <c r="CC139" i="43" s="1"/>
  <c r="CO139" i="43" s="1"/>
  <c r="DB139" i="43" s="1"/>
  <c r="BJ138" i="43"/>
  <c r="CC138" i="43" s="1"/>
  <c r="CO138" i="43" s="1"/>
  <c r="DB138" i="43" s="1"/>
  <c r="BJ137" i="43"/>
  <c r="CC137" i="43" s="1"/>
  <c r="CO137" i="43" s="1"/>
  <c r="DB137" i="43" s="1"/>
  <c r="BJ136" i="43"/>
  <c r="CC136" i="43" s="1"/>
  <c r="CO136" i="43" s="1"/>
  <c r="DB136" i="43" s="1"/>
  <c r="BJ135" i="43"/>
  <c r="CC135" i="43" s="1"/>
  <c r="CO135" i="43" s="1"/>
  <c r="DB135" i="43" s="1"/>
  <c r="BJ134" i="43"/>
  <c r="CC134" i="43" s="1"/>
  <c r="CO134" i="43" s="1"/>
  <c r="DB134" i="43" s="1"/>
  <c r="BJ133" i="43"/>
  <c r="CC133" i="43" s="1"/>
  <c r="CO133" i="43" s="1"/>
  <c r="DB133" i="43" s="1"/>
  <c r="BJ132" i="43"/>
  <c r="CC132" i="43" s="1"/>
  <c r="CO132" i="43" s="1"/>
  <c r="DB132" i="43" s="1"/>
  <c r="BJ131" i="43"/>
  <c r="CC131" i="43" s="1"/>
  <c r="CO131" i="43" s="1"/>
  <c r="DB131" i="43" s="1"/>
  <c r="BJ130" i="43"/>
  <c r="CC130" i="43" s="1"/>
  <c r="CO130" i="43" s="1"/>
  <c r="DB130" i="43" s="1"/>
  <c r="BJ129" i="43"/>
  <c r="CC129" i="43" s="1"/>
  <c r="CO129" i="43" s="1"/>
  <c r="DB129" i="43" s="1"/>
  <c r="BJ128" i="43"/>
  <c r="CC128" i="43" s="1"/>
  <c r="CO128" i="43" s="1"/>
  <c r="DB128" i="43" s="1"/>
  <c r="BJ127" i="43"/>
  <c r="CC127" i="43" s="1"/>
  <c r="CO127" i="43" s="1"/>
  <c r="DB127" i="43" s="1"/>
  <c r="BJ126" i="43"/>
  <c r="CC126" i="43" s="1"/>
  <c r="CO126" i="43" s="1"/>
  <c r="DB126" i="43" s="1"/>
  <c r="BJ125" i="43"/>
  <c r="CC125" i="43" s="1"/>
  <c r="CO125" i="43" s="1"/>
  <c r="DB125" i="43" s="1"/>
  <c r="BJ124" i="43"/>
  <c r="CC124" i="43" s="1"/>
  <c r="CO124" i="43" s="1"/>
  <c r="DB124" i="43" s="1"/>
  <c r="BJ123" i="43"/>
  <c r="CC123" i="43" s="1"/>
  <c r="CO123" i="43" s="1"/>
  <c r="DB123" i="43" s="1"/>
  <c r="BJ122" i="43"/>
  <c r="CC122" i="43" s="1"/>
  <c r="CO122" i="43" s="1"/>
  <c r="DB122" i="43" s="1"/>
  <c r="BJ121" i="43"/>
  <c r="CC121" i="43" s="1"/>
  <c r="CO121" i="43" s="1"/>
  <c r="DB121" i="43" s="1"/>
  <c r="BJ120" i="43"/>
  <c r="CC120" i="43" s="1"/>
  <c r="CO120" i="43" s="1"/>
  <c r="DB120" i="43" s="1"/>
  <c r="BJ119" i="43"/>
  <c r="CC119" i="43" s="1"/>
  <c r="CO119" i="43" s="1"/>
  <c r="DB119" i="43" s="1"/>
  <c r="BJ118" i="43"/>
  <c r="CC118" i="43" s="1"/>
  <c r="CO118" i="43" s="1"/>
  <c r="DB118" i="43" s="1"/>
  <c r="BJ117" i="43"/>
  <c r="CC117" i="43" s="1"/>
  <c r="CO117" i="43" s="1"/>
  <c r="DB117" i="43" s="1"/>
  <c r="BJ116" i="43"/>
  <c r="CC116" i="43" s="1"/>
  <c r="CO116" i="43" s="1"/>
  <c r="DB116" i="43" s="1"/>
  <c r="BJ115" i="43"/>
  <c r="CC115" i="43" s="1"/>
  <c r="CO115" i="43" s="1"/>
  <c r="DB115" i="43" s="1"/>
  <c r="BJ114" i="43"/>
  <c r="CC114" i="43" s="1"/>
  <c r="CO114" i="43" s="1"/>
  <c r="DB114" i="43" s="1"/>
  <c r="BJ113" i="43"/>
  <c r="CC113" i="43" s="1"/>
  <c r="CO113" i="43" s="1"/>
  <c r="DB113" i="43" s="1"/>
  <c r="BJ112" i="43"/>
  <c r="CC112" i="43" s="1"/>
  <c r="CO112" i="43" s="1"/>
  <c r="DB112" i="43" s="1"/>
  <c r="BJ111" i="43"/>
  <c r="CC111" i="43" s="1"/>
  <c r="CO111" i="43" s="1"/>
  <c r="DB111" i="43" s="1"/>
  <c r="BJ110" i="43"/>
  <c r="CC110" i="43" s="1"/>
  <c r="CO110" i="43" s="1"/>
  <c r="DB110" i="43" s="1"/>
  <c r="BJ109" i="43"/>
  <c r="CC109" i="43" s="1"/>
  <c r="CO109" i="43" s="1"/>
  <c r="DB109" i="43" s="1"/>
  <c r="BJ108" i="43"/>
  <c r="CC108" i="43" s="1"/>
  <c r="CO108" i="43" s="1"/>
  <c r="DB108" i="43" s="1"/>
  <c r="BJ107" i="43"/>
  <c r="CC107" i="43" s="1"/>
  <c r="CO107" i="43" s="1"/>
  <c r="DB107" i="43" s="1"/>
  <c r="BJ106" i="43"/>
  <c r="CC106" i="43" s="1"/>
  <c r="CO106" i="43" s="1"/>
  <c r="DB106" i="43" s="1"/>
  <c r="BJ105" i="43"/>
  <c r="CC105" i="43" s="1"/>
  <c r="CO105" i="43" s="1"/>
  <c r="DB105" i="43" s="1"/>
  <c r="BJ104" i="43"/>
  <c r="CC104" i="43" s="1"/>
  <c r="CO104" i="43" s="1"/>
  <c r="DB104" i="43" s="1"/>
  <c r="BJ103" i="43"/>
  <c r="CC103" i="43" s="1"/>
  <c r="CO103" i="43" s="1"/>
  <c r="DB103" i="43" s="1"/>
  <c r="BJ102" i="43"/>
  <c r="CC102" i="43" s="1"/>
  <c r="CO102" i="43" s="1"/>
  <c r="DB102" i="43" s="1"/>
  <c r="BJ101" i="43"/>
  <c r="CC101" i="43" s="1"/>
  <c r="CO101" i="43" s="1"/>
  <c r="DB101" i="43" s="1"/>
  <c r="BJ100" i="43"/>
  <c r="CC100" i="43" s="1"/>
  <c r="CO100" i="43" s="1"/>
  <c r="DB100" i="43" s="1"/>
  <c r="BJ99" i="43"/>
  <c r="CC99" i="43" s="1"/>
  <c r="CO99" i="43" s="1"/>
  <c r="DB99" i="43" s="1"/>
  <c r="BJ98" i="43"/>
  <c r="CC98" i="43" s="1"/>
  <c r="CO98" i="43" s="1"/>
  <c r="DB98" i="43" s="1"/>
  <c r="BJ97" i="43"/>
  <c r="CC97" i="43" s="1"/>
  <c r="CO97" i="43" s="1"/>
  <c r="DB97" i="43" s="1"/>
  <c r="BJ96" i="43"/>
  <c r="CC96" i="43" s="1"/>
  <c r="CO96" i="43" s="1"/>
  <c r="DB96" i="43" s="1"/>
  <c r="BJ95" i="43"/>
  <c r="CC95" i="43" s="1"/>
  <c r="CO95" i="43" s="1"/>
  <c r="DB95" i="43" s="1"/>
  <c r="BJ94" i="43"/>
  <c r="CC94" i="43" s="1"/>
  <c r="CO94" i="43" s="1"/>
  <c r="DB94" i="43" s="1"/>
  <c r="BJ93" i="43"/>
  <c r="CC93" i="43" s="1"/>
  <c r="CO93" i="43" s="1"/>
  <c r="DB93" i="43" s="1"/>
  <c r="BJ92" i="43"/>
  <c r="CC92" i="43" s="1"/>
  <c r="CO92" i="43" s="1"/>
  <c r="DB92" i="43" s="1"/>
  <c r="BJ91" i="43"/>
  <c r="CC91" i="43" s="1"/>
  <c r="CO91" i="43" s="1"/>
  <c r="DB91" i="43" s="1"/>
  <c r="BJ90" i="43"/>
  <c r="CC90" i="43" s="1"/>
  <c r="CO90" i="43" s="1"/>
  <c r="DB90" i="43" s="1"/>
  <c r="BJ89" i="43"/>
  <c r="CC89" i="43" s="1"/>
  <c r="CO89" i="43" s="1"/>
  <c r="DB89" i="43" s="1"/>
  <c r="BJ88" i="43"/>
  <c r="CC88" i="43" s="1"/>
  <c r="CO88" i="43" s="1"/>
  <c r="DB88" i="43" s="1"/>
  <c r="BJ87" i="43"/>
  <c r="CC87" i="43" s="1"/>
  <c r="CO87" i="43" s="1"/>
  <c r="DB87" i="43" s="1"/>
  <c r="BJ86" i="43"/>
  <c r="CC86" i="43" s="1"/>
  <c r="CO86" i="43" s="1"/>
  <c r="DB86" i="43" s="1"/>
  <c r="BJ85" i="43"/>
  <c r="CC85" i="43" s="1"/>
  <c r="CO85" i="43" s="1"/>
  <c r="DB85" i="43" s="1"/>
  <c r="BJ84" i="43"/>
  <c r="CC84" i="43" s="1"/>
  <c r="CO84" i="43" s="1"/>
  <c r="DB84" i="43" s="1"/>
  <c r="BJ83" i="43"/>
  <c r="CC83" i="43" s="1"/>
  <c r="CO83" i="43" s="1"/>
  <c r="DB83" i="43" s="1"/>
  <c r="BJ82" i="43"/>
  <c r="CC82" i="43" s="1"/>
  <c r="CO82" i="43" s="1"/>
  <c r="DB82" i="43" s="1"/>
  <c r="BJ81" i="43"/>
  <c r="CC81" i="43" s="1"/>
  <c r="CO81" i="43" s="1"/>
  <c r="DB81" i="43" s="1"/>
  <c r="BJ80" i="43"/>
  <c r="CC80" i="43" s="1"/>
  <c r="CO80" i="43" s="1"/>
  <c r="DB80" i="43" s="1"/>
  <c r="BJ79" i="43"/>
  <c r="CC79" i="43" s="1"/>
  <c r="CO79" i="43" s="1"/>
  <c r="DB79" i="43" s="1"/>
  <c r="BJ78" i="43"/>
  <c r="CC78" i="43" s="1"/>
  <c r="CO78" i="43" s="1"/>
  <c r="DB78" i="43" s="1"/>
  <c r="BJ77" i="43"/>
  <c r="CC77" i="43" s="1"/>
  <c r="CO77" i="43" s="1"/>
  <c r="DB77" i="43" s="1"/>
  <c r="BJ76" i="43"/>
  <c r="CC76" i="43" s="1"/>
  <c r="CO76" i="43" s="1"/>
  <c r="DB76" i="43" s="1"/>
  <c r="BJ75" i="43"/>
  <c r="CC75" i="43" s="1"/>
  <c r="CO75" i="43" s="1"/>
  <c r="DB75" i="43" s="1"/>
  <c r="BJ74" i="43"/>
  <c r="CC74" i="43" s="1"/>
  <c r="CO74" i="43" s="1"/>
  <c r="DB74" i="43" s="1"/>
  <c r="BJ73" i="43"/>
  <c r="CC73" i="43" s="1"/>
  <c r="CO73" i="43" s="1"/>
  <c r="DB73" i="43" s="1"/>
  <c r="BJ72" i="43"/>
  <c r="CC72" i="43" s="1"/>
  <c r="CO72" i="43" s="1"/>
  <c r="DB72" i="43" s="1"/>
  <c r="BJ71" i="43"/>
  <c r="CC71" i="43" s="1"/>
  <c r="CO71" i="43" s="1"/>
  <c r="DB71" i="43" s="1"/>
  <c r="BJ70" i="43"/>
  <c r="CC70" i="43" s="1"/>
  <c r="CO70" i="43" s="1"/>
  <c r="DB70" i="43" s="1"/>
  <c r="BJ69" i="43"/>
  <c r="CC69" i="43" s="1"/>
  <c r="CO69" i="43" s="1"/>
  <c r="DB69" i="43" s="1"/>
  <c r="BJ68" i="43"/>
  <c r="CC68" i="43" s="1"/>
  <c r="CO68" i="43" s="1"/>
  <c r="DB68" i="43" s="1"/>
  <c r="BJ67" i="43"/>
  <c r="CC67" i="43" s="1"/>
  <c r="CO67" i="43" s="1"/>
  <c r="DB67" i="43" s="1"/>
  <c r="BJ66" i="43"/>
  <c r="CC66" i="43" s="1"/>
  <c r="CO66" i="43" s="1"/>
  <c r="DB66" i="43" s="1"/>
  <c r="BJ65" i="43"/>
  <c r="CC65" i="43" s="1"/>
  <c r="CO65" i="43" s="1"/>
  <c r="DB65" i="43" s="1"/>
  <c r="BJ64" i="43"/>
  <c r="CC64" i="43" s="1"/>
  <c r="CO64" i="43" s="1"/>
  <c r="DB64" i="43" s="1"/>
  <c r="BJ63" i="43"/>
  <c r="CC63" i="43" s="1"/>
  <c r="CO63" i="43" s="1"/>
  <c r="DB63" i="43" s="1"/>
  <c r="BJ62" i="43"/>
  <c r="CC62" i="43" s="1"/>
  <c r="CO62" i="43" s="1"/>
  <c r="DB62" i="43" s="1"/>
  <c r="BJ61" i="43"/>
  <c r="CC61" i="43" s="1"/>
  <c r="CO61" i="43" s="1"/>
  <c r="DB61" i="43" s="1"/>
  <c r="BJ60" i="43"/>
  <c r="CC60" i="43" s="1"/>
  <c r="CO60" i="43" s="1"/>
  <c r="DB60" i="43" s="1"/>
  <c r="BJ59" i="43"/>
  <c r="CC59" i="43" s="1"/>
  <c r="CO59" i="43" s="1"/>
  <c r="DB59" i="43" s="1"/>
  <c r="BJ58" i="43"/>
  <c r="CC58" i="43" s="1"/>
  <c r="CO58" i="43" s="1"/>
  <c r="DB58" i="43" s="1"/>
  <c r="BJ57" i="43"/>
  <c r="CC57" i="43" s="1"/>
  <c r="CO57" i="43" s="1"/>
  <c r="DB57" i="43" s="1"/>
  <c r="BJ56" i="43"/>
  <c r="CC56" i="43" s="1"/>
  <c r="CO56" i="43" s="1"/>
  <c r="DB56" i="43" s="1"/>
  <c r="BJ55" i="43"/>
  <c r="CC55" i="43" s="1"/>
  <c r="CO55" i="43" s="1"/>
  <c r="DB55" i="43" s="1"/>
  <c r="BJ54" i="43"/>
  <c r="CC54" i="43" s="1"/>
  <c r="CO54" i="43" s="1"/>
  <c r="DB54" i="43" s="1"/>
  <c r="BJ53" i="43"/>
  <c r="CC53" i="43" s="1"/>
  <c r="CO53" i="43" s="1"/>
  <c r="DB53" i="43" s="1"/>
  <c r="BJ52" i="43"/>
  <c r="CC52" i="43" s="1"/>
  <c r="CO52" i="43" s="1"/>
  <c r="DB52" i="43" s="1"/>
  <c r="BJ51" i="43"/>
  <c r="CC51" i="43" s="1"/>
  <c r="CO51" i="43" s="1"/>
  <c r="DB51" i="43" s="1"/>
  <c r="BJ50" i="43"/>
  <c r="CC50" i="43" s="1"/>
  <c r="CO50" i="43" s="1"/>
  <c r="DB50" i="43" s="1"/>
  <c r="BJ49" i="43"/>
  <c r="CC49" i="43" s="1"/>
  <c r="CO49" i="43" s="1"/>
  <c r="DB49" i="43" s="1"/>
  <c r="BJ48" i="43"/>
  <c r="CC48" i="43" s="1"/>
  <c r="CO48" i="43" s="1"/>
  <c r="DB48" i="43" s="1"/>
  <c r="BJ47" i="43"/>
  <c r="CC47" i="43" s="1"/>
  <c r="CO47" i="43" s="1"/>
  <c r="DB47" i="43" s="1"/>
  <c r="BJ46" i="43"/>
  <c r="CC46" i="43" s="1"/>
  <c r="CO46" i="43" s="1"/>
  <c r="DB46" i="43" s="1"/>
  <c r="BJ45" i="43"/>
  <c r="CC45" i="43" s="1"/>
  <c r="CO45" i="43" s="1"/>
  <c r="DB45" i="43" s="1"/>
  <c r="BJ44" i="43"/>
  <c r="CC44" i="43" s="1"/>
  <c r="CO44" i="43" s="1"/>
  <c r="DB44" i="43" s="1"/>
  <c r="BJ43" i="43"/>
  <c r="CC43" i="43" s="1"/>
  <c r="CO43" i="43" s="1"/>
  <c r="DB43" i="43" s="1"/>
  <c r="BJ42" i="43"/>
  <c r="CC42" i="43" s="1"/>
  <c r="CO42" i="43" s="1"/>
  <c r="DB42" i="43" s="1"/>
  <c r="BJ41" i="43"/>
  <c r="CC41" i="43" s="1"/>
  <c r="CO41" i="43" s="1"/>
  <c r="DB41" i="43" s="1"/>
  <c r="BJ40" i="43"/>
  <c r="CC40" i="43" s="1"/>
  <c r="CO40" i="43" s="1"/>
  <c r="DB40" i="43" s="1"/>
  <c r="BJ39" i="43"/>
  <c r="CC39" i="43" s="1"/>
  <c r="CO39" i="43" s="1"/>
  <c r="DB39" i="43" s="1"/>
  <c r="BJ38" i="43"/>
  <c r="CC38" i="43" s="1"/>
  <c r="CO38" i="43" s="1"/>
  <c r="DB38" i="43" s="1"/>
  <c r="BJ37" i="43"/>
  <c r="CC37" i="43" s="1"/>
  <c r="CO37" i="43" s="1"/>
  <c r="DB37" i="43" s="1"/>
  <c r="BJ36" i="43"/>
  <c r="CC36" i="43" s="1"/>
  <c r="CO36" i="43" s="1"/>
  <c r="DB36" i="43" s="1"/>
  <c r="BJ35" i="43"/>
  <c r="CC35" i="43" s="1"/>
  <c r="CO35" i="43" s="1"/>
  <c r="DB35" i="43" s="1"/>
  <c r="BJ34" i="43"/>
  <c r="CC34" i="43" s="1"/>
  <c r="CO34" i="43" s="1"/>
  <c r="DB34" i="43" s="1"/>
  <c r="BJ33" i="43"/>
  <c r="CC33" i="43" s="1"/>
  <c r="CO33" i="43" s="1"/>
  <c r="DB33" i="43" s="1"/>
  <c r="BJ32" i="43"/>
  <c r="CC32" i="43" s="1"/>
  <c r="CO32" i="43" s="1"/>
  <c r="DB32" i="43" s="1"/>
  <c r="BJ31" i="43"/>
  <c r="CC31" i="43" s="1"/>
  <c r="CO31" i="43" s="1"/>
  <c r="DB31" i="43" s="1"/>
  <c r="BJ30" i="43"/>
  <c r="CC30" i="43" s="1"/>
  <c r="CO30" i="43" s="1"/>
  <c r="DB30" i="43" s="1"/>
  <c r="BJ29" i="43"/>
  <c r="CC29" i="43" s="1"/>
  <c r="CO29" i="43" s="1"/>
  <c r="DB29" i="43" s="1"/>
  <c r="BJ28" i="43"/>
  <c r="CC28" i="43" s="1"/>
  <c r="CO28" i="43" s="1"/>
  <c r="DB28" i="43" s="1"/>
  <c r="BJ27" i="43"/>
  <c r="CC27" i="43" s="1"/>
  <c r="CO27" i="43" s="1"/>
  <c r="DB27" i="43" s="1"/>
  <c r="BJ26" i="43"/>
  <c r="CC26" i="43" s="1"/>
  <c r="CO26" i="43" s="1"/>
  <c r="DB26" i="43" s="1"/>
  <c r="BJ25" i="43"/>
  <c r="CC25" i="43" s="1"/>
  <c r="CO25" i="43" s="1"/>
  <c r="DB25" i="43" s="1"/>
  <c r="BJ24" i="43"/>
  <c r="CC24" i="43" s="1"/>
  <c r="CO24" i="43" s="1"/>
  <c r="DB24" i="43" s="1"/>
  <c r="BJ23" i="43"/>
  <c r="CC23" i="43" s="1"/>
  <c r="CO23" i="43" s="1"/>
  <c r="DB23" i="43" s="1"/>
  <c r="BJ22" i="43"/>
  <c r="CC22" i="43" s="1"/>
  <c r="CO22" i="43" s="1"/>
  <c r="DB22" i="43" s="1"/>
  <c r="BJ21" i="43"/>
  <c r="CC21" i="43" s="1"/>
  <c r="CO21" i="43" s="1"/>
  <c r="DB21" i="43" s="1"/>
  <c r="BJ20" i="43"/>
  <c r="CC20" i="43" s="1"/>
  <c r="CO20" i="43" s="1"/>
  <c r="DB20" i="43" s="1"/>
  <c r="BJ19" i="43"/>
  <c r="CC19" i="43" s="1"/>
  <c r="CO19" i="43" s="1"/>
  <c r="DB19" i="43" s="1"/>
  <c r="BJ18" i="43"/>
  <c r="CC18" i="43" s="1"/>
  <c r="CO18" i="43" s="1"/>
  <c r="DB18" i="43" s="1"/>
  <c r="BJ17" i="43"/>
  <c r="CC17" i="43" s="1"/>
  <c r="CO17" i="43" s="1"/>
  <c r="DB17" i="43" s="1"/>
  <c r="BJ16" i="43"/>
  <c r="CC16" i="43" s="1"/>
  <c r="CO16" i="43" s="1"/>
  <c r="DB16" i="43" s="1"/>
  <c r="BJ15" i="43"/>
  <c r="CC15" i="43" s="1"/>
  <c r="CO15" i="43" s="1"/>
  <c r="DB15" i="43" s="1"/>
  <c r="BE305" i="43"/>
  <c r="CB305" i="43" s="1"/>
  <c r="CN305" i="43" s="1"/>
  <c r="BE304" i="43"/>
  <c r="CB304" i="43" s="1"/>
  <c r="CN304" i="43" s="1"/>
  <c r="BE303" i="43"/>
  <c r="CB303" i="43" s="1"/>
  <c r="CN303" i="43" s="1"/>
  <c r="BE302" i="43"/>
  <c r="CB302" i="43" s="1"/>
  <c r="CN302" i="43" s="1"/>
  <c r="BE301" i="43"/>
  <c r="CB301" i="43" s="1"/>
  <c r="CN301" i="43" s="1"/>
  <c r="BE300" i="43"/>
  <c r="CB300" i="43" s="1"/>
  <c r="CN300" i="43" s="1"/>
  <c r="BE299" i="43"/>
  <c r="CB299" i="43" s="1"/>
  <c r="CN299" i="43" s="1"/>
  <c r="BE298" i="43"/>
  <c r="CB298" i="43" s="1"/>
  <c r="CN298" i="43" s="1"/>
  <c r="BE297" i="43"/>
  <c r="CB297" i="43" s="1"/>
  <c r="CN297" i="43" s="1"/>
  <c r="BE296" i="43"/>
  <c r="CB296" i="43" s="1"/>
  <c r="CN296" i="43" s="1"/>
  <c r="BE295" i="43"/>
  <c r="CB295" i="43" s="1"/>
  <c r="CN295" i="43" s="1"/>
  <c r="BE294" i="43"/>
  <c r="CB294" i="43" s="1"/>
  <c r="CN294" i="43" s="1"/>
  <c r="BE293" i="43"/>
  <c r="CB293" i="43" s="1"/>
  <c r="CN293" i="43" s="1"/>
  <c r="BE292" i="43"/>
  <c r="CB292" i="43" s="1"/>
  <c r="CN292" i="43" s="1"/>
  <c r="BE291" i="43"/>
  <c r="CB291" i="43" s="1"/>
  <c r="CN291" i="43" s="1"/>
  <c r="BE290" i="43"/>
  <c r="CB290" i="43" s="1"/>
  <c r="CN290" i="43" s="1"/>
  <c r="BE289" i="43"/>
  <c r="CB289" i="43" s="1"/>
  <c r="CN289" i="43" s="1"/>
  <c r="BE288" i="43"/>
  <c r="CB288" i="43" s="1"/>
  <c r="CN288" i="43" s="1"/>
  <c r="BE287" i="43"/>
  <c r="CB287" i="43" s="1"/>
  <c r="CN287" i="43" s="1"/>
  <c r="BE286" i="43"/>
  <c r="CB286" i="43" s="1"/>
  <c r="CN286" i="43" s="1"/>
  <c r="BE285" i="43"/>
  <c r="CB285" i="43" s="1"/>
  <c r="CN285" i="43" s="1"/>
  <c r="BE284" i="43"/>
  <c r="CB284" i="43" s="1"/>
  <c r="CN284" i="43" s="1"/>
  <c r="BE283" i="43"/>
  <c r="CB283" i="43" s="1"/>
  <c r="CN283" i="43" s="1"/>
  <c r="BE282" i="43"/>
  <c r="CB282" i="43" s="1"/>
  <c r="CN282" i="43" s="1"/>
  <c r="BE281" i="43"/>
  <c r="CB281" i="43" s="1"/>
  <c r="CN281" i="43" s="1"/>
  <c r="BE280" i="43"/>
  <c r="CB280" i="43" s="1"/>
  <c r="CN280" i="43" s="1"/>
  <c r="BE279" i="43"/>
  <c r="CB279" i="43" s="1"/>
  <c r="CN279" i="43" s="1"/>
  <c r="BE278" i="43"/>
  <c r="CB278" i="43" s="1"/>
  <c r="CN278" i="43" s="1"/>
  <c r="BE277" i="43"/>
  <c r="CB277" i="43" s="1"/>
  <c r="CN277" i="43" s="1"/>
  <c r="BE276" i="43"/>
  <c r="CB276" i="43" s="1"/>
  <c r="CN276" i="43" s="1"/>
  <c r="BE275" i="43"/>
  <c r="CB275" i="43" s="1"/>
  <c r="CN275" i="43" s="1"/>
  <c r="BE274" i="43"/>
  <c r="CB274" i="43" s="1"/>
  <c r="CN274" i="43" s="1"/>
  <c r="BE273" i="43"/>
  <c r="CB273" i="43" s="1"/>
  <c r="CN273" i="43" s="1"/>
  <c r="BE272" i="43"/>
  <c r="CB272" i="43" s="1"/>
  <c r="CN272" i="43" s="1"/>
  <c r="BE271" i="43"/>
  <c r="CB271" i="43" s="1"/>
  <c r="CN271" i="43" s="1"/>
  <c r="BE270" i="43"/>
  <c r="CB270" i="43" s="1"/>
  <c r="CN270" i="43" s="1"/>
  <c r="BE269" i="43"/>
  <c r="CB269" i="43" s="1"/>
  <c r="CN269" i="43" s="1"/>
  <c r="BE268" i="43"/>
  <c r="CB268" i="43" s="1"/>
  <c r="CN268" i="43" s="1"/>
  <c r="BE267" i="43"/>
  <c r="CB267" i="43" s="1"/>
  <c r="CN267" i="43" s="1"/>
  <c r="BE266" i="43"/>
  <c r="CB266" i="43" s="1"/>
  <c r="CN266" i="43" s="1"/>
  <c r="BE265" i="43"/>
  <c r="CB265" i="43" s="1"/>
  <c r="CN265" i="43" s="1"/>
  <c r="BE264" i="43"/>
  <c r="CB264" i="43" s="1"/>
  <c r="CN264" i="43" s="1"/>
  <c r="BE263" i="43"/>
  <c r="CB263" i="43" s="1"/>
  <c r="CN263" i="43" s="1"/>
  <c r="BE262" i="43"/>
  <c r="CB262" i="43" s="1"/>
  <c r="CN262" i="43" s="1"/>
  <c r="BE261" i="43"/>
  <c r="CB261" i="43" s="1"/>
  <c r="CN261" i="43" s="1"/>
  <c r="BE260" i="43"/>
  <c r="CB260" i="43" s="1"/>
  <c r="CN260" i="43" s="1"/>
  <c r="BE259" i="43"/>
  <c r="CB259" i="43" s="1"/>
  <c r="CN259" i="43" s="1"/>
  <c r="BE258" i="43"/>
  <c r="CB258" i="43" s="1"/>
  <c r="CN258" i="43" s="1"/>
  <c r="BE257" i="43"/>
  <c r="CB257" i="43" s="1"/>
  <c r="CN257" i="43" s="1"/>
  <c r="BE256" i="43"/>
  <c r="CB256" i="43" s="1"/>
  <c r="CN256" i="43" s="1"/>
  <c r="BE255" i="43"/>
  <c r="CB255" i="43" s="1"/>
  <c r="CN255" i="43" s="1"/>
  <c r="BE254" i="43"/>
  <c r="CB254" i="43" s="1"/>
  <c r="CN254" i="43" s="1"/>
  <c r="BE253" i="43"/>
  <c r="CB253" i="43" s="1"/>
  <c r="CN253" i="43" s="1"/>
  <c r="BE252" i="43"/>
  <c r="CB252" i="43" s="1"/>
  <c r="CN252" i="43" s="1"/>
  <c r="BE251" i="43"/>
  <c r="CB251" i="43" s="1"/>
  <c r="CN251" i="43" s="1"/>
  <c r="BE250" i="43"/>
  <c r="CB250" i="43" s="1"/>
  <c r="CN250" i="43" s="1"/>
  <c r="BE249" i="43"/>
  <c r="CB249" i="43" s="1"/>
  <c r="CN249" i="43" s="1"/>
  <c r="BE248" i="43"/>
  <c r="CB248" i="43" s="1"/>
  <c r="CN248" i="43" s="1"/>
  <c r="BE247" i="43"/>
  <c r="CB247" i="43" s="1"/>
  <c r="CN247" i="43" s="1"/>
  <c r="BE246" i="43"/>
  <c r="CB246" i="43" s="1"/>
  <c r="CN246" i="43" s="1"/>
  <c r="BE245" i="43"/>
  <c r="CB245" i="43" s="1"/>
  <c r="CN245" i="43" s="1"/>
  <c r="BE244" i="43"/>
  <c r="CB244" i="43" s="1"/>
  <c r="CN244" i="43" s="1"/>
  <c r="BE243" i="43"/>
  <c r="CB243" i="43" s="1"/>
  <c r="CN243" i="43" s="1"/>
  <c r="BE242" i="43"/>
  <c r="CB242" i="43" s="1"/>
  <c r="CN242" i="43" s="1"/>
  <c r="BE241" i="43"/>
  <c r="CB241" i="43" s="1"/>
  <c r="CN241" i="43" s="1"/>
  <c r="BE240" i="43"/>
  <c r="CB240" i="43" s="1"/>
  <c r="CN240" i="43" s="1"/>
  <c r="BE239" i="43"/>
  <c r="CB239" i="43" s="1"/>
  <c r="CN239" i="43" s="1"/>
  <c r="BE238" i="43"/>
  <c r="CB238" i="43" s="1"/>
  <c r="CN238" i="43" s="1"/>
  <c r="BE237" i="43"/>
  <c r="CB237" i="43" s="1"/>
  <c r="CN237" i="43" s="1"/>
  <c r="BE236" i="43"/>
  <c r="CB236" i="43" s="1"/>
  <c r="CN236" i="43" s="1"/>
  <c r="BE235" i="43"/>
  <c r="CB235" i="43" s="1"/>
  <c r="CN235" i="43" s="1"/>
  <c r="BE234" i="43"/>
  <c r="CB234" i="43" s="1"/>
  <c r="CN234" i="43" s="1"/>
  <c r="BE233" i="43"/>
  <c r="CB233" i="43" s="1"/>
  <c r="CN233" i="43" s="1"/>
  <c r="BE232" i="43"/>
  <c r="CB232" i="43" s="1"/>
  <c r="CN232" i="43" s="1"/>
  <c r="BE231" i="43"/>
  <c r="CB231" i="43" s="1"/>
  <c r="CN231" i="43" s="1"/>
  <c r="BE230" i="43"/>
  <c r="CB230" i="43" s="1"/>
  <c r="CN230" i="43" s="1"/>
  <c r="BE229" i="43"/>
  <c r="CB229" i="43" s="1"/>
  <c r="CN229" i="43" s="1"/>
  <c r="BE228" i="43"/>
  <c r="CB228" i="43" s="1"/>
  <c r="CN228" i="43" s="1"/>
  <c r="BE227" i="43"/>
  <c r="CB227" i="43" s="1"/>
  <c r="CN227" i="43" s="1"/>
  <c r="BE226" i="43"/>
  <c r="CB226" i="43" s="1"/>
  <c r="CN226" i="43" s="1"/>
  <c r="BE225" i="43"/>
  <c r="CB225" i="43" s="1"/>
  <c r="CN225" i="43" s="1"/>
  <c r="BE224" i="43"/>
  <c r="CB224" i="43" s="1"/>
  <c r="CN224" i="43" s="1"/>
  <c r="BE223" i="43"/>
  <c r="CB223" i="43" s="1"/>
  <c r="CN223" i="43" s="1"/>
  <c r="BE222" i="43"/>
  <c r="CB222" i="43" s="1"/>
  <c r="CN222" i="43" s="1"/>
  <c r="BE221" i="43"/>
  <c r="CB221" i="43" s="1"/>
  <c r="CN221" i="43" s="1"/>
  <c r="BE220" i="43"/>
  <c r="CB220" i="43" s="1"/>
  <c r="CN220" i="43" s="1"/>
  <c r="BE219" i="43"/>
  <c r="CB219" i="43" s="1"/>
  <c r="CN219" i="43" s="1"/>
  <c r="BE218" i="43"/>
  <c r="CB218" i="43" s="1"/>
  <c r="CN218" i="43" s="1"/>
  <c r="BE217" i="43"/>
  <c r="CB217" i="43" s="1"/>
  <c r="CN217" i="43" s="1"/>
  <c r="BE216" i="43"/>
  <c r="CB216" i="43" s="1"/>
  <c r="CN216" i="43" s="1"/>
  <c r="BE215" i="43"/>
  <c r="CB215" i="43" s="1"/>
  <c r="CN215" i="43" s="1"/>
  <c r="BE214" i="43"/>
  <c r="CB214" i="43" s="1"/>
  <c r="CN214" i="43" s="1"/>
  <c r="BE213" i="43"/>
  <c r="CB213" i="43" s="1"/>
  <c r="CN213" i="43" s="1"/>
  <c r="BE212" i="43"/>
  <c r="CB212" i="43" s="1"/>
  <c r="CN212" i="43" s="1"/>
  <c r="BE211" i="43"/>
  <c r="CB211" i="43" s="1"/>
  <c r="CN211" i="43" s="1"/>
  <c r="BE210" i="43"/>
  <c r="CB210" i="43" s="1"/>
  <c r="CN210" i="43" s="1"/>
  <c r="BE209" i="43"/>
  <c r="CB209" i="43" s="1"/>
  <c r="CN209" i="43" s="1"/>
  <c r="BE208" i="43"/>
  <c r="CB208" i="43" s="1"/>
  <c r="CN208" i="43" s="1"/>
  <c r="BE207" i="43"/>
  <c r="CB207" i="43" s="1"/>
  <c r="CN207" i="43" s="1"/>
  <c r="BE206" i="43"/>
  <c r="CB206" i="43" s="1"/>
  <c r="CN206" i="43" s="1"/>
  <c r="BE205" i="43"/>
  <c r="CB205" i="43" s="1"/>
  <c r="CN205" i="43" s="1"/>
  <c r="BE204" i="43"/>
  <c r="CB204" i="43" s="1"/>
  <c r="CN204" i="43" s="1"/>
  <c r="BE203" i="43"/>
  <c r="CB203" i="43" s="1"/>
  <c r="CN203" i="43" s="1"/>
  <c r="BE202" i="43"/>
  <c r="CB202" i="43" s="1"/>
  <c r="CN202" i="43" s="1"/>
  <c r="BE201" i="43"/>
  <c r="CB201" i="43" s="1"/>
  <c r="CN201" i="43" s="1"/>
  <c r="BE200" i="43"/>
  <c r="CB200" i="43" s="1"/>
  <c r="CN200" i="43" s="1"/>
  <c r="BE199" i="43"/>
  <c r="CB199" i="43" s="1"/>
  <c r="CN199" i="43" s="1"/>
  <c r="BE198" i="43"/>
  <c r="CB198" i="43" s="1"/>
  <c r="CN198" i="43" s="1"/>
  <c r="BE197" i="43"/>
  <c r="CB197" i="43" s="1"/>
  <c r="CN197" i="43" s="1"/>
  <c r="BE196" i="43"/>
  <c r="CB196" i="43" s="1"/>
  <c r="CN196" i="43" s="1"/>
  <c r="BE195" i="43"/>
  <c r="CB195" i="43" s="1"/>
  <c r="CN195" i="43" s="1"/>
  <c r="BE194" i="43"/>
  <c r="CB194" i="43" s="1"/>
  <c r="CN194" i="43" s="1"/>
  <c r="BE193" i="43"/>
  <c r="CB193" i="43" s="1"/>
  <c r="BE192" i="43"/>
  <c r="CB192" i="43" s="1"/>
  <c r="CN192" i="43" s="1"/>
  <c r="BE191" i="43"/>
  <c r="CB191" i="43" s="1"/>
  <c r="CN191" i="43" s="1"/>
  <c r="BE190" i="43"/>
  <c r="CB190" i="43" s="1"/>
  <c r="CN190" i="43" s="1"/>
  <c r="BE189" i="43"/>
  <c r="CB189" i="43" s="1"/>
  <c r="CN189" i="43" s="1"/>
  <c r="BE188" i="43"/>
  <c r="CB188" i="43" s="1"/>
  <c r="CN188" i="43" s="1"/>
  <c r="BE187" i="43"/>
  <c r="CB187" i="43" s="1"/>
  <c r="CN187" i="43" s="1"/>
  <c r="BE186" i="43"/>
  <c r="CB186" i="43" s="1"/>
  <c r="CN186" i="43" s="1"/>
  <c r="BE185" i="43"/>
  <c r="CB185" i="43" s="1"/>
  <c r="CN185" i="43" s="1"/>
  <c r="BE184" i="43"/>
  <c r="CB184" i="43" s="1"/>
  <c r="CN184" i="43" s="1"/>
  <c r="BE183" i="43"/>
  <c r="CB183" i="43" s="1"/>
  <c r="CN183" i="43" s="1"/>
  <c r="BE182" i="43"/>
  <c r="CB182" i="43" s="1"/>
  <c r="CN182" i="43" s="1"/>
  <c r="BE181" i="43"/>
  <c r="CB181" i="43" s="1"/>
  <c r="CN181" i="43" s="1"/>
  <c r="BE180" i="43"/>
  <c r="CB180" i="43" s="1"/>
  <c r="CN180" i="43" s="1"/>
  <c r="BE179" i="43"/>
  <c r="CB179" i="43" s="1"/>
  <c r="CN179" i="43" s="1"/>
  <c r="BE178" i="43"/>
  <c r="CB178" i="43" s="1"/>
  <c r="CN178" i="43" s="1"/>
  <c r="BE177" i="43"/>
  <c r="CB177" i="43" s="1"/>
  <c r="CN177" i="43" s="1"/>
  <c r="BE176" i="43"/>
  <c r="CB176" i="43" s="1"/>
  <c r="CN176" i="43" s="1"/>
  <c r="BE175" i="43"/>
  <c r="CB175" i="43" s="1"/>
  <c r="CN175" i="43" s="1"/>
  <c r="BE174" i="43"/>
  <c r="CB174" i="43" s="1"/>
  <c r="CN174" i="43" s="1"/>
  <c r="BE173" i="43"/>
  <c r="CB173" i="43" s="1"/>
  <c r="CN173" i="43" s="1"/>
  <c r="BE172" i="43"/>
  <c r="CB172" i="43" s="1"/>
  <c r="CN172" i="43" s="1"/>
  <c r="BE171" i="43"/>
  <c r="CB171" i="43" s="1"/>
  <c r="CN171" i="43" s="1"/>
  <c r="BE170" i="43"/>
  <c r="CB170" i="43" s="1"/>
  <c r="CN170" i="43" s="1"/>
  <c r="BE169" i="43"/>
  <c r="CB169" i="43" s="1"/>
  <c r="CN169" i="43" s="1"/>
  <c r="BE168" i="43"/>
  <c r="CB168" i="43" s="1"/>
  <c r="CN168" i="43" s="1"/>
  <c r="BE167" i="43"/>
  <c r="CB167" i="43" s="1"/>
  <c r="CN167" i="43" s="1"/>
  <c r="BE166" i="43"/>
  <c r="CB166" i="43" s="1"/>
  <c r="CN166" i="43" s="1"/>
  <c r="BE165" i="43"/>
  <c r="CB165" i="43" s="1"/>
  <c r="CN165" i="43" s="1"/>
  <c r="BE164" i="43"/>
  <c r="CB164" i="43" s="1"/>
  <c r="CN164" i="43" s="1"/>
  <c r="BE163" i="43"/>
  <c r="CB163" i="43" s="1"/>
  <c r="CN163" i="43" s="1"/>
  <c r="BE162" i="43"/>
  <c r="CB162" i="43" s="1"/>
  <c r="CN162" i="43" s="1"/>
  <c r="BE161" i="43"/>
  <c r="CB161" i="43" s="1"/>
  <c r="CN161" i="43" s="1"/>
  <c r="BE160" i="43"/>
  <c r="CB160" i="43" s="1"/>
  <c r="CN160" i="43" s="1"/>
  <c r="BE159" i="43"/>
  <c r="CB159" i="43" s="1"/>
  <c r="CN159" i="43" s="1"/>
  <c r="BE158" i="43"/>
  <c r="CB158" i="43" s="1"/>
  <c r="CN158" i="43" s="1"/>
  <c r="BE157" i="43"/>
  <c r="CB157" i="43" s="1"/>
  <c r="CN157" i="43" s="1"/>
  <c r="BE156" i="43"/>
  <c r="CB156" i="43" s="1"/>
  <c r="CN156" i="43" s="1"/>
  <c r="BE155" i="43"/>
  <c r="CB155" i="43" s="1"/>
  <c r="CN155" i="43" s="1"/>
  <c r="BE154" i="43"/>
  <c r="CB154" i="43" s="1"/>
  <c r="CN154" i="43" s="1"/>
  <c r="BE153" i="43"/>
  <c r="CB153" i="43" s="1"/>
  <c r="CN153" i="43" s="1"/>
  <c r="BE152" i="43"/>
  <c r="CB152" i="43" s="1"/>
  <c r="CN152" i="43" s="1"/>
  <c r="BE151" i="43"/>
  <c r="CB151" i="43" s="1"/>
  <c r="CN151" i="43" s="1"/>
  <c r="BE150" i="43"/>
  <c r="CB150" i="43" s="1"/>
  <c r="CN150" i="43" s="1"/>
  <c r="BE149" i="43"/>
  <c r="CB149" i="43" s="1"/>
  <c r="CN149" i="43" s="1"/>
  <c r="BE148" i="43"/>
  <c r="CB148" i="43" s="1"/>
  <c r="CN148" i="43" s="1"/>
  <c r="BE147" i="43"/>
  <c r="CB147" i="43" s="1"/>
  <c r="CN147" i="43" s="1"/>
  <c r="BE146" i="43"/>
  <c r="CB146" i="43" s="1"/>
  <c r="CN146" i="43" s="1"/>
  <c r="BE145" i="43"/>
  <c r="CB145" i="43" s="1"/>
  <c r="CN145" i="43" s="1"/>
  <c r="BE144" i="43"/>
  <c r="CB144" i="43" s="1"/>
  <c r="CN144" i="43" s="1"/>
  <c r="BE143" i="43"/>
  <c r="CB143" i="43" s="1"/>
  <c r="CN143" i="43" s="1"/>
  <c r="BE142" i="43"/>
  <c r="CB142" i="43" s="1"/>
  <c r="CN142" i="43" s="1"/>
  <c r="BE141" i="43"/>
  <c r="CB141" i="43" s="1"/>
  <c r="CN141" i="43" s="1"/>
  <c r="BE140" i="43"/>
  <c r="CB140" i="43" s="1"/>
  <c r="CN140" i="43" s="1"/>
  <c r="BE139" i="43"/>
  <c r="CB139" i="43" s="1"/>
  <c r="CN139" i="43" s="1"/>
  <c r="BE138" i="43"/>
  <c r="CB138" i="43" s="1"/>
  <c r="CN138" i="43" s="1"/>
  <c r="BE137" i="43"/>
  <c r="CB137" i="43" s="1"/>
  <c r="CN137" i="43" s="1"/>
  <c r="BE136" i="43"/>
  <c r="CB136" i="43" s="1"/>
  <c r="CN136" i="43" s="1"/>
  <c r="BE135" i="43"/>
  <c r="CB135" i="43" s="1"/>
  <c r="CN135" i="43" s="1"/>
  <c r="BE134" i="43"/>
  <c r="CB134" i="43" s="1"/>
  <c r="CN134" i="43" s="1"/>
  <c r="BE133" i="43"/>
  <c r="CB133" i="43" s="1"/>
  <c r="CN133" i="43" s="1"/>
  <c r="BE132" i="43"/>
  <c r="CB132" i="43" s="1"/>
  <c r="CN132" i="43" s="1"/>
  <c r="BE131" i="43"/>
  <c r="CB131" i="43" s="1"/>
  <c r="CN131" i="43" s="1"/>
  <c r="BE130" i="43"/>
  <c r="CB130" i="43" s="1"/>
  <c r="CN130" i="43" s="1"/>
  <c r="BE129" i="43"/>
  <c r="CB129" i="43" s="1"/>
  <c r="CN129" i="43" s="1"/>
  <c r="BE128" i="43"/>
  <c r="CB128" i="43" s="1"/>
  <c r="CN128" i="43" s="1"/>
  <c r="BE127" i="43"/>
  <c r="CB127" i="43" s="1"/>
  <c r="CN127" i="43" s="1"/>
  <c r="BE126" i="43"/>
  <c r="CB126" i="43" s="1"/>
  <c r="CN126" i="43" s="1"/>
  <c r="BE125" i="43"/>
  <c r="CB125" i="43" s="1"/>
  <c r="CN125" i="43" s="1"/>
  <c r="BE124" i="43"/>
  <c r="CB124" i="43" s="1"/>
  <c r="CN124" i="43" s="1"/>
  <c r="BE123" i="43"/>
  <c r="CB123" i="43" s="1"/>
  <c r="CN123" i="43" s="1"/>
  <c r="BE122" i="43"/>
  <c r="CB122" i="43" s="1"/>
  <c r="CN122" i="43" s="1"/>
  <c r="BE121" i="43"/>
  <c r="CB121" i="43" s="1"/>
  <c r="CN121" i="43" s="1"/>
  <c r="BE120" i="43"/>
  <c r="CB120" i="43" s="1"/>
  <c r="CN120" i="43" s="1"/>
  <c r="BE119" i="43"/>
  <c r="CB119" i="43" s="1"/>
  <c r="CN119" i="43" s="1"/>
  <c r="BE118" i="43"/>
  <c r="CB118" i="43" s="1"/>
  <c r="CN118" i="43" s="1"/>
  <c r="BE117" i="43"/>
  <c r="CB117" i="43" s="1"/>
  <c r="CN117" i="43" s="1"/>
  <c r="BE116" i="43"/>
  <c r="CB116" i="43" s="1"/>
  <c r="CN116" i="43" s="1"/>
  <c r="BE115" i="43"/>
  <c r="CB115" i="43" s="1"/>
  <c r="CN115" i="43" s="1"/>
  <c r="BE114" i="43"/>
  <c r="CB114" i="43" s="1"/>
  <c r="CN114" i="43" s="1"/>
  <c r="BE113" i="43"/>
  <c r="CB113" i="43" s="1"/>
  <c r="CN113" i="43" s="1"/>
  <c r="BE112" i="43"/>
  <c r="CB112" i="43" s="1"/>
  <c r="CN112" i="43" s="1"/>
  <c r="BE111" i="43"/>
  <c r="CB111" i="43" s="1"/>
  <c r="CN111" i="43" s="1"/>
  <c r="BE110" i="43"/>
  <c r="CB110" i="43" s="1"/>
  <c r="CN110" i="43" s="1"/>
  <c r="BE109" i="43"/>
  <c r="CB109" i="43" s="1"/>
  <c r="CN109" i="43" s="1"/>
  <c r="BE108" i="43"/>
  <c r="CB108" i="43" s="1"/>
  <c r="CN108" i="43" s="1"/>
  <c r="BE107" i="43"/>
  <c r="CB107" i="43" s="1"/>
  <c r="CN107" i="43" s="1"/>
  <c r="BE106" i="43"/>
  <c r="CB106" i="43" s="1"/>
  <c r="CN106" i="43" s="1"/>
  <c r="BE105" i="43"/>
  <c r="CB105" i="43" s="1"/>
  <c r="CN105" i="43" s="1"/>
  <c r="BE104" i="43"/>
  <c r="CB104" i="43" s="1"/>
  <c r="CN104" i="43" s="1"/>
  <c r="BE103" i="43"/>
  <c r="CB103" i="43" s="1"/>
  <c r="CN103" i="43" s="1"/>
  <c r="BE102" i="43"/>
  <c r="CB102" i="43" s="1"/>
  <c r="CN102" i="43" s="1"/>
  <c r="BE101" i="43"/>
  <c r="CB101" i="43" s="1"/>
  <c r="CN101" i="43" s="1"/>
  <c r="BE100" i="43"/>
  <c r="CB100" i="43" s="1"/>
  <c r="CN100" i="43" s="1"/>
  <c r="BE99" i="43"/>
  <c r="CB99" i="43" s="1"/>
  <c r="CN99" i="43" s="1"/>
  <c r="BE98" i="43"/>
  <c r="CB98" i="43" s="1"/>
  <c r="CN98" i="43" s="1"/>
  <c r="BE97" i="43"/>
  <c r="CB97" i="43" s="1"/>
  <c r="CN97" i="43" s="1"/>
  <c r="BE96" i="43"/>
  <c r="CB96" i="43" s="1"/>
  <c r="CN96" i="43" s="1"/>
  <c r="BE95" i="43"/>
  <c r="CB95" i="43" s="1"/>
  <c r="CN95" i="43" s="1"/>
  <c r="BE94" i="43"/>
  <c r="CB94" i="43" s="1"/>
  <c r="CN94" i="43" s="1"/>
  <c r="BE93" i="43"/>
  <c r="CB93" i="43" s="1"/>
  <c r="CN93" i="43" s="1"/>
  <c r="BE92" i="43"/>
  <c r="CB92" i="43" s="1"/>
  <c r="CN92" i="43" s="1"/>
  <c r="BE91" i="43"/>
  <c r="CB91" i="43" s="1"/>
  <c r="CN91" i="43" s="1"/>
  <c r="BE90" i="43"/>
  <c r="CB90" i="43" s="1"/>
  <c r="CN90" i="43" s="1"/>
  <c r="BE89" i="43"/>
  <c r="CB89" i="43" s="1"/>
  <c r="CN89" i="43" s="1"/>
  <c r="BE88" i="43"/>
  <c r="CB88" i="43" s="1"/>
  <c r="CN88" i="43" s="1"/>
  <c r="BE87" i="43"/>
  <c r="CB87" i="43" s="1"/>
  <c r="CN87" i="43" s="1"/>
  <c r="BE86" i="43"/>
  <c r="CB86" i="43" s="1"/>
  <c r="CN86" i="43" s="1"/>
  <c r="BE85" i="43"/>
  <c r="CB85" i="43" s="1"/>
  <c r="CN85" i="43" s="1"/>
  <c r="BE84" i="43"/>
  <c r="CB84" i="43" s="1"/>
  <c r="CN84" i="43" s="1"/>
  <c r="BE83" i="43"/>
  <c r="CB83" i="43" s="1"/>
  <c r="CN83" i="43" s="1"/>
  <c r="BE82" i="43"/>
  <c r="CB82" i="43" s="1"/>
  <c r="CN82" i="43" s="1"/>
  <c r="BE81" i="43"/>
  <c r="CB81" i="43" s="1"/>
  <c r="CN81" i="43" s="1"/>
  <c r="BE80" i="43"/>
  <c r="CB80" i="43" s="1"/>
  <c r="CN80" i="43" s="1"/>
  <c r="BE79" i="43"/>
  <c r="CB79" i="43" s="1"/>
  <c r="CN79" i="43" s="1"/>
  <c r="BE78" i="43"/>
  <c r="CB78" i="43" s="1"/>
  <c r="CN78" i="43" s="1"/>
  <c r="BE77" i="43"/>
  <c r="CB77" i="43" s="1"/>
  <c r="CN77" i="43" s="1"/>
  <c r="BE76" i="43"/>
  <c r="CB76" i="43" s="1"/>
  <c r="CN76" i="43" s="1"/>
  <c r="BE75" i="43"/>
  <c r="CB75" i="43" s="1"/>
  <c r="CN75" i="43" s="1"/>
  <c r="BE74" i="43"/>
  <c r="CB74" i="43" s="1"/>
  <c r="CN74" i="43" s="1"/>
  <c r="BE73" i="43"/>
  <c r="CB73" i="43" s="1"/>
  <c r="CN73" i="43" s="1"/>
  <c r="BE72" i="43"/>
  <c r="CB72" i="43" s="1"/>
  <c r="CN72" i="43" s="1"/>
  <c r="BE71" i="43"/>
  <c r="CB71" i="43" s="1"/>
  <c r="CN71" i="43" s="1"/>
  <c r="BE70" i="43"/>
  <c r="CB70" i="43" s="1"/>
  <c r="CN70" i="43" s="1"/>
  <c r="BE69" i="43"/>
  <c r="CB69" i="43" s="1"/>
  <c r="CN69" i="43" s="1"/>
  <c r="BE68" i="43"/>
  <c r="CB68" i="43" s="1"/>
  <c r="CN68" i="43" s="1"/>
  <c r="BE67" i="43"/>
  <c r="CB67" i="43" s="1"/>
  <c r="CN67" i="43" s="1"/>
  <c r="BE66" i="43"/>
  <c r="CB66" i="43" s="1"/>
  <c r="CN66" i="43" s="1"/>
  <c r="BE65" i="43"/>
  <c r="CB65" i="43" s="1"/>
  <c r="CN65" i="43" s="1"/>
  <c r="BE64" i="43"/>
  <c r="CB64" i="43" s="1"/>
  <c r="CN64" i="43" s="1"/>
  <c r="BE63" i="43"/>
  <c r="CB63" i="43" s="1"/>
  <c r="CN63" i="43" s="1"/>
  <c r="BE62" i="43"/>
  <c r="CB62" i="43" s="1"/>
  <c r="CN62" i="43" s="1"/>
  <c r="BE61" i="43"/>
  <c r="CB61" i="43" s="1"/>
  <c r="CN61" i="43" s="1"/>
  <c r="BE60" i="43"/>
  <c r="CB60" i="43" s="1"/>
  <c r="CN60" i="43" s="1"/>
  <c r="BE59" i="43"/>
  <c r="CB59" i="43" s="1"/>
  <c r="CN59" i="43" s="1"/>
  <c r="BE58" i="43"/>
  <c r="CB58" i="43" s="1"/>
  <c r="CN58" i="43" s="1"/>
  <c r="BE57" i="43"/>
  <c r="CB57" i="43" s="1"/>
  <c r="CN57" i="43" s="1"/>
  <c r="BE56" i="43"/>
  <c r="CB56" i="43" s="1"/>
  <c r="CN56" i="43" s="1"/>
  <c r="BE55" i="43"/>
  <c r="CB55" i="43" s="1"/>
  <c r="CN55" i="43" s="1"/>
  <c r="BE54" i="43"/>
  <c r="CB54" i="43" s="1"/>
  <c r="CN54" i="43" s="1"/>
  <c r="BE53" i="43"/>
  <c r="CB53" i="43" s="1"/>
  <c r="CN53" i="43" s="1"/>
  <c r="BE52" i="43"/>
  <c r="CB52" i="43" s="1"/>
  <c r="CN52" i="43" s="1"/>
  <c r="BE51" i="43"/>
  <c r="CB51" i="43" s="1"/>
  <c r="CN51" i="43" s="1"/>
  <c r="BE50" i="43"/>
  <c r="CB50" i="43" s="1"/>
  <c r="CN50" i="43" s="1"/>
  <c r="BE49" i="43"/>
  <c r="CB49" i="43" s="1"/>
  <c r="CN49" i="43" s="1"/>
  <c r="BE48" i="43"/>
  <c r="BE47" i="43"/>
  <c r="CB47" i="43" s="1"/>
  <c r="CN47" i="43" s="1"/>
  <c r="BE46" i="43"/>
  <c r="CB46" i="43" s="1"/>
  <c r="CN46" i="43" s="1"/>
  <c r="BE45" i="43"/>
  <c r="CB45" i="43" s="1"/>
  <c r="CN45" i="43" s="1"/>
  <c r="BE44" i="43"/>
  <c r="CB44" i="43" s="1"/>
  <c r="CN44" i="43" s="1"/>
  <c r="BE43" i="43"/>
  <c r="CB43" i="43" s="1"/>
  <c r="CN43" i="43" s="1"/>
  <c r="BE42" i="43"/>
  <c r="CB42" i="43" s="1"/>
  <c r="CN42" i="43" s="1"/>
  <c r="BE41" i="43"/>
  <c r="CB41" i="43" s="1"/>
  <c r="CN41" i="43" s="1"/>
  <c r="BE40" i="43"/>
  <c r="CB40" i="43" s="1"/>
  <c r="CN40" i="43" s="1"/>
  <c r="BE39" i="43"/>
  <c r="CB39" i="43" s="1"/>
  <c r="CN39" i="43" s="1"/>
  <c r="BE38" i="43"/>
  <c r="CB38" i="43" s="1"/>
  <c r="CN38" i="43" s="1"/>
  <c r="BE37" i="43"/>
  <c r="CB37" i="43" s="1"/>
  <c r="CN37" i="43" s="1"/>
  <c r="BE36" i="43"/>
  <c r="CB36" i="43" s="1"/>
  <c r="CN36" i="43" s="1"/>
  <c r="BE35" i="43"/>
  <c r="CB35" i="43" s="1"/>
  <c r="CN35" i="43" s="1"/>
  <c r="BE34" i="43"/>
  <c r="CB34" i="43" s="1"/>
  <c r="CN34" i="43" s="1"/>
  <c r="BE33" i="43"/>
  <c r="BE32" i="43"/>
  <c r="CB32" i="43" s="1"/>
  <c r="CN32" i="43" s="1"/>
  <c r="BE31" i="43"/>
  <c r="CB31" i="43" s="1"/>
  <c r="CN31" i="43" s="1"/>
  <c r="BE30" i="43"/>
  <c r="CB30" i="43" s="1"/>
  <c r="CN30" i="43" s="1"/>
  <c r="BE29" i="43"/>
  <c r="CB29" i="43" s="1"/>
  <c r="CN29" i="43" s="1"/>
  <c r="BE28" i="43"/>
  <c r="CB28" i="43" s="1"/>
  <c r="CN28" i="43" s="1"/>
  <c r="BE27" i="43"/>
  <c r="CB27" i="43" s="1"/>
  <c r="CN27" i="43" s="1"/>
  <c r="BE26" i="43"/>
  <c r="CB26" i="43" s="1"/>
  <c r="CN26" i="43" s="1"/>
  <c r="BE25" i="43"/>
  <c r="CB25" i="43" s="1"/>
  <c r="CN25" i="43" s="1"/>
  <c r="BE24" i="43"/>
  <c r="BE23" i="43"/>
  <c r="CB23" i="43" s="1"/>
  <c r="CN23" i="43" s="1"/>
  <c r="BE22" i="43"/>
  <c r="BE21" i="43"/>
  <c r="CB21" i="43" s="1"/>
  <c r="CN21" i="43" s="1"/>
  <c r="BE20" i="43"/>
  <c r="CB20" i="43" s="1"/>
  <c r="CN20" i="43" s="1"/>
  <c r="BE19" i="43"/>
  <c r="CB19" i="43" s="1"/>
  <c r="CN19" i="43" s="1"/>
  <c r="BE18" i="43"/>
  <c r="CB18" i="43" s="1"/>
  <c r="CN18" i="43" s="1"/>
  <c r="BE17" i="43"/>
  <c r="BE16" i="43"/>
  <c r="BE15" i="43"/>
  <c r="CB15" i="43" s="1"/>
  <c r="CN15" i="43" s="1"/>
  <c r="AU307" i="43"/>
  <c r="AU306" i="43"/>
  <c r="AU305" i="43"/>
  <c r="BZ305" i="43" s="1"/>
  <c r="CL305" i="43" s="1"/>
  <c r="CY305" i="43" s="1"/>
  <c r="AU304" i="43"/>
  <c r="BZ304" i="43" s="1"/>
  <c r="CL304" i="43" s="1"/>
  <c r="CY304" i="43" s="1"/>
  <c r="AU303" i="43"/>
  <c r="BZ303" i="43" s="1"/>
  <c r="CL303" i="43" s="1"/>
  <c r="CY303" i="43" s="1"/>
  <c r="AU302" i="43"/>
  <c r="BZ302" i="43" s="1"/>
  <c r="CL302" i="43" s="1"/>
  <c r="CY302" i="43" s="1"/>
  <c r="AU301" i="43"/>
  <c r="BZ301" i="43" s="1"/>
  <c r="CL301" i="43" s="1"/>
  <c r="CY301" i="43" s="1"/>
  <c r="AU300" i="43"/>
  <c r="BZ300" i="43" s="1"/>
  <c r="CL300" i="43" s="1"/>
  <c r="CY300" i="43" s="1"/>
  <c r="AU299" i="43"/>
  <c r="BZ299" i="43" s="1"/>
  <c r="CL299" i="43" s="1"/>
  <c r="CY299" i="43" s="1"/>
  <c r="AU298" i="43"/>
  <c r="BZ298" i="43" s="1"/>
  <c r="CL298" i="43" s="1"/>
  <c r="CY298" i="43" s="1"/>
  <c r="AU297" i="43"/>
  <c r="BZ297" i="43" s="1"/>
  <c r="CL297" i="43" s="1"/>
  <c r="CY297" i="43" s="1"/>
  <c r="AU296" i="43"/>
  <c r="BZ296" i="43" s="1"/>
  <c r="CL296" i="43" s="1"/>
  <c r="CY296" i="43" s="1"/>
  <c r="AU295" i="43"/>
  <c r="BZ295" i="43" s="1"/>
  <c r="CL295" i="43" s="1"/>
  <c r="CY295" i="43" s="1"/>
  <c r="AU294" i="43"/>
  <c r="BZ294" i="43" s="1"/>
  <c r="CL294" i="43" s="1"/>
  <c r="CY294" i="43" s="1"/>
  <c r="AU293" i="43"/>
  <c r="BZ293" i="43" s="1"/>
  <c r="CL293" i="43" s="1"/>
  <c r="CY293" i="43" s="1"/>
  <c r="AU292" i="43"/>
  <c r="BZ292" i="43" s="1"/>
  <c r="CL292" i="43" s="1"/>
  <c r="CY292" i="43" s="1"/>
  <c r="AU291" i="43"/>
  <c r="BZ291" i="43" s="1"/>
  <c r="CL291" i="43" s="1"/>
  <c r="CY291" i="43" s="1"/>
  <c r="AU290" i="43"/>
  <c r="BZ290" i="43" s="1"/>
  <c r="CL290" i="43" s="1"/>
  <c r="CY290" i="43" s="1"/>
  <c r="AU289" i="43"/>
  <c r="BZ289" i="43" s="1"/>
  <c r="CL289" i="43" s="1"/>
  <c r="CY289" i="43" s="1"/>
  <c r="AU288" i="43"/>
  <c r="BZ288" i="43" s="1"/>
  <c r="CL288" i="43" s="1"/>
  <c r="CY288" i="43" s="1"/>
  <c r="AU287" i="43"/>
  <c r="BZ287" i="43" s="1"/>
  <c r="CL287" i="43" s="1"/>
  <c r="CY287" i="43" s="1"/>
  <c r="AU286" i="43"/>
  <c r="BZ286" i="43" s="1"/>
  <c r="CL286" i="43" s="1"/>
  <c r="CY286" i="43" s="1"/>
  <c r="AU285" i="43"/>
  <c r="BZ285" i="43" s="1"/>
  <c r="CL285" i="43" s="1"/>
  <c r="CY285" i="43" s="1"/>
  <c r="AU284" i="43"/>
  <c r="BZ284" i="43" s="1"/>
  <c r="CL284" i="43" s="1"/>
  <c r="CY284" i="43" s="1"/>
  <c r="AU283" i="43"/>
  <c r="BZ283" i="43" s="1"/>
  <c r="CL283" i="43" s="1"/>
  <c r="CY283" i="43" s="1"/>
  <c r="AU282" i="43"/>
  <c r="BZ282" i="43" s="1"/>
  <c r="CL282" i="43" s="1"/>
  <c r="CY282" i="43" s="1"/>
  <c r="AU281" i="43"/>
  <c r="BZ281" i="43" s="1"/>
  <c r="CL281" i="43" s="1"/>
  <c r="CY281" i="43" s="1"/>
  <c r="AU280" i="43"/>
  <c r="BZ280" i="43" s="1"/>
  <c r="CL280" i="43" s="1"/>
  <c r="CY280" i="43" s="1"/>
  <c r="AU279" i="43"/>
  <c r="BZ279" i="43" s="1"/>
  <c r="CL279" i="43" s="1"/>
  <c r="CY279" i="43" s="1"/>
  <c r="AU278" i="43"/>
  <c r="BZ278" i="43" s="1"/>
  <c r="CL278" i="43" s="1"/>
  <c r="CY278" i="43" s="1"/>
  <c r="AU277" i="43"/>
  <c r="BZ277" i="43" s="1"/>
  <c r="CL277" i="43" s="1"/>
  <c r="CY277" i="43" s="1"/>
  <c r="AU276" i="43"/>
  <c r="BZ276" i="43" s="1"/>
  <c r="CL276" i="43" s="1"/>
  <c r="CY276" i="43" s="1"/>
  <c r="AU275" i="43"/>
  <c r="BZ275" i="43" s="1"/>
  <c r="CL275" i="43" s="1"/>
  <c r="CY275" i="43" s="1"/>
  <c r="AU274" i="43"/>
  <c r="BZ274" i="43" s="1"/>
  <c r="CL274" i="43" s="1"/>
  <c r="CY274" i="43" s="1"/>
  <c r="AU273" i="43"/>
  <c r="BZ273" i="43" s="1"/>
  <c r="CL273" i="43" s="1"/>
  <c r="CY273" i="43" s="1"/>
  <c r="AU272" i="43"/>
  <c r="BZ272" i="43" s="1"/>
  <c r="CL272" i="43" s="1"/>
  <c r="CY272" i="43" s="1"/>
  <c r="AU271" i="43"/>
  <c r="BZ271" i="43" s="1"/>
  <c r="CL271" i="43" s="1"/>
  <c r="CY271" i="43" s="1"/>
  <c r="AU270" i="43"/>
  <c r="BZ270" i="43" s="1"/>
  <c r="CL270" i="43" s="1"/>
  <c r="CY270" i="43" s="1"/>
  <c r="AU269" i="43"/>
  <c r="BZ269" i="43" s="1"/>
  <c r="CL269" i="43" s="1"/>
  <c r="CY269" i="43" s="1"/>
  <c r="AU268" i="43"/>
  <c r="BZ268" i="43" s="1"/>
  <c r="CL268" i="43" s="1"/>
  <c r="CY268" i="43" s="1"/>
  <c r="AU267" i="43"/>
  <c r="BZ267" i="43" s="1"/>
  <c r="CL267" i="43" s="1"/>
  <c r="CY267" i="43" s="1"/>
  <c r="AU266" i="43"/>
  <c r="BZ266" i="43" s="1"/>
  <c r="CL266" i="43" s="1"/>
  <c r="CY266" i="43" s="1"/>
  <c r="AU265" i="43"/>
  <c r="BZ265" i="43" s="1"/>
  <c r="CL265" i="43" s="1"/>
  <c r="CY265" i="43" s="1"/>
  <c r="AU264" i="43"/>
  <c r="BZ264" i="43" s="1"/>
  <c r="CL264" i="43" s="1"/>
  <c r="CY264" i="43" s="1"/>
  <c r="AU263" i="43"/>
  <c r="BZ263" i="43" s="1"/>
  <c r="CL263" i="43" s="1"/>
  <c r="CY263" i="43" s="1"/>
  <c r="AU262" i="43"/>
  <c r="BZ262" i="43" s="1"/>
  <c r="CL262" i="43" s="1"/>
  <c r="CY262" i="43" s="1"/>
  <c r="AU261" i="43"/>
  <c r="BZ261" i="43" s="1"/>
  <c r="CL261" i="43" s="1"/>
  <c r="CY261" i="43" s="1"/>
  <c r="AU260" i="43"/>
  <c r="BZ260" i="43" s="1"/>
  <c r="CL260" i="43" s="1"/>
  <c r="CY260" i="43" s="1"/>
  <c r="AU259" i="43"/>
  <c r="BZ259" i="43" s="1"/>
  <c r="CL259" i="43" s="1"/>
  <c r="CY259" i="43" s="1"/>
  <c r="AU258" i="43"/>
  <c r="BZ258" i="43" s="1"/>
  <c r="CL258" i="43" s="1"/>
  <c r="CY258" i="43" s="1"/>
  <c r="AU257" i="43"/>
  <c r="BZ257" i="43" s="1"/>
  <c r="CL257" i="43" s="1"/>
  <c r="CY257" i="43" s="1"/>
  <c r="AU256" i="43"/>
  <c r="BZ256" i="43" s="1"/>
  <c r="CL256" i="43" s="1"/>
  <c r="CY256" i="43" s="1"/>
  <c r="AU255" i="43"/>
  <c r="BZ255" i="43" s="1"/>
  <c r="CL255" i="43" s="1"/>
  <c r="CY255" i="43" s="1"/>
  <c r="AU254" i="43"/>
  <c r="BZ254" i="43" s="1"/>
  <c r="CL254" i="43" s="1"/>
  <c r="CY254" i="43" s="1"/>
  <c r="AU253" i="43"/>
  <c r="BZ253" i="43" s="1"/>
  <c r="CL253" i="43" s="1"/>
  <c r="CY253" i="43" s="1"/>
  <c r="AU252" i="43"/>
  <c r="BZ252" i="43" s="1"/>
  <c r="CL252" i="43" s="1"/>
  <c r="CY252" i="43" s="1"/>
  <c r="AU251" i="43"/>
  <c r="BZ251" i="43" s="1"/>
  <c r="CL251" i="43" s="1"/>
  <c r="CY251" i="43" s="1"/>
  <c r="AU250" i="43"/>
  <c r="BZ250" i="43" s="1"/>
  <c r="CL250" i="43" s="1"/>
  <c r="CY250" i="43" s="1"/>
  <c r="AU249" i="43"/>
  <c r="BZ249" i="43" s="1"/>
  <c r="CL249" i="43" s="1"/>
  <c r="CY249" i="43" s="1"/>
  <c r="AU248" i="43"/>
  <c r="BZ248" i="43" s="1"/>
  <c r="CL248" i="43" s="1"/>
  <c r="CY248" i="43" s="1"/>
  <c r="AU247" i="43"/>
  <c r="BZ247" i="43" s="1"/>
  <c r="CL247" i="43" s="1"/>
  <c r="CY247" i="43" s="1"/>
  <c r="AU246" i="43"/>
  <c r="BZ246" i="43" s="1"/>
  <c r="CL246" i="43" s="1"/>
  <c r="CY246" i="43" s="1"/>
  <c r="AU245" i="43"/>
  <c r="BZ245" i="43" s="1"/>
  <c r="CL245" i="43" s="1"/>
  <c r="CY245" i="43" s="1"/>
  <c r="AU244" i="43"/>
  <c r="BZ244" i="43" s="1"/>
  <c r="CL244" i="43" s="1"/>
  <c r="CY244" i="43" s="1"/>
  <c r="AU243" i="43"/>
  <c r="BZ243" i="43" s="1"/>
  <c r="CL243" i="43" s="1"/>
  <c r="CY243" i="43" s="1"/>
  <c r="AU242" i="43"/>
  <c r="BZ242" i="43" s="1"/>
  <c r="CL242" i="43" s="1"/>
  <c r="CY242" i="43" s="1"/>
  <c r="AU241" i="43"/>
  <c r="BZ241" i="43" s="1"/>
  <c r="CL241" i="43" s="1"/>
  <c r="CY241" i="43" s="1"/>
  <c r="AU240" i="43"/>
  <c r="BZ240" i="43" s="1"/>
  <c r="CL240" i="43" s="1"/>
  <c r="CY240" i="43" s="1"/>
  <c r="AU239" i="43"/>
  <c r="BZ239" i="43" s="1"/>
  <c r="CL239" i="43" s="1"/>
  <c r="CY239" i="43" s="1"/>
  <c r="AU238" i="43"/>
  <c r="BZ238" i="43" s="1"/>
  <c r="CL238" i="43" s="1"/>
  <c r="CY238" i="43" s="1"/>
  <c r="AU237" i="43"/>
  <c r="BZ237" i="43" s="1"/>
  <c r="CL237" i="43" s="1"/>
  <c r="CY237" i="43" s="1"/>
  <c r="AU236" i="43"/>
  <c r="BZ236" i="43" s="1"/>
  <c r="CL236" i="43" s="1"/>
  <c r="CY236" i="43" s="1"/>
  <c r="AU235" i="43"/>
  <c r="BZ235" i="43" s="1"/>
  <c r="CL235" i="43" s="1"/>
  <c r="CY235" i="43" s="1"/>
  <c r="AU234" i="43"/>
  <c r="BZ234" i="43" s="1"/>
  <c r="CL234" i="43" s="1"/>
  <c r="CY234" i="43" s="1"/>
  <c r="AU233" i="43"/>
  <c r="BZ233" i="43" s="1"/>
  <c r="CL233" i="43" s="1"/>
  <c r="CY233" i="43" s="1"/>
  <c r="AU232" i="43"/>
  <c r="BZ232" i="43" s="1"/>
  <c r="CL232" i="43" s="1"/>
  <c r="CY232" i="43" s="1"/>
  <c r="AU231" i="43"/>
  <c r="BZ231" i="43" s="1"/>
  <c r="CL231" i="43" s="1"/>
  <c r="CY231" i="43" s="1"/>
  <c r="AU230" i="43"/>
  <c r="BZ230" i="43" s="1"/>
  <c r="CL230" i="43" s="1"/>
  <c r="CY230" i="43" s="1"/>
  <c r="AU229" i="43"/>
  <c r="BZ229" i="43" s="1"/>
  <c r="CL229" i="43" s="1"/>
  <c r="CY229" i="43" s="1"/>
  <c r="AU228" i="43"/>
  <c r="BZ228" i="43" s="1"/>
  <c r="CL228" i="43" s="1"/>
  <c r="CY228" i="43" s="1"/>
  <c r="AU227" i="43"/>
  <c r="BZ227" i="43" s="1"/>
  <c r="CL227" i="43" s="1"/>
  <c r="CY227" i="43" s="1"/>
  <c r="AU226" i="43"/>
  <c r="BZ226" i="43" s="1"/>
  <c r="CL226" i="43" s="1"/>
  <c r="CY226" i="43" s="1"/>
  <c r="AU225" i="43"/>
  <c r="BZ225" i="43" s="1"/>
  <c r="CL225" i="43" s="1"/>
  <c r="CY225" i="43" s="1"/>
  <c r="AU224" i="43"/>
  <c r="BZ224" i="43" s="1"/>
  <c r="CL224" i="43" s="1"/>
  <c r="CY224" i="43" s="1"/>
  <c r="AU223" i="43"/>
  <c r="BZ223" i="43" s="1"/>
  <c r="CL223" i="43" s="1"/>
  <c r="CY223" i="43" s="1"/>
  <c r="AU222" i="43"/>
  <c r="BZ222" i="43" s="1"/>
  <c r="CL222" i="43" s="1"/>
  <c r="CY222" i="43" s="1"/>
  <c r="AU221" i="43"/>
  <c r="BZ221" i="43" s="1"/>
  <c r="CL221" i="43" s="1"/>
  <c r="CY221" i="43" s="1"/>
  <c r="AU220" i="43"/>
  <c r="BZ220" i="43" s="1"/>
  <c r="CL220" i="43" s="1"/>
  <c r="CY220" i="43" s="1"/>
  <c r="AU219" i="43"/>
  <c r="BZ219" i="43" s="1"/>
  <c r="CL219" i="43" s="1"/>
  <c r="CY219" i="43" s="1"/>
  <c r="AU218" i="43"/>
  <c r="BZ218" i="43" s="1"/>
  <c r="CL218" i="43" s="1"/>
  <c r="CY218" i="43" s="1"/>
  <c r="AU217" i="43"/>
  <c r="BZ217" i="43" s="1"/>
  <c r="CL217" i="43" s="1"/>
  <c r="CY217" i="43" s="1"/>
  <c r="AU216" i="43"/>
  <c r="BZ216" i="43" s="1"/>
  <c r="CL216" i="43" s="1"/>
  <c r="CY216" i="43" s="1"/>
  <c r="AU215" i="43"/>
  <c r="BZ215" i="43" s="1"/>
  <c r="CL215" i="43" s="1"/>
  <c r="CY215" i="43" s="1"/>
  <c r="AU214" i="43"/>
  <c r="BZ214" i="43" s="1"/>
  <c r="CL214" i="43" s="1"/>
  <c r="CY214" i="43" s="1"/>
  <c r="AU213" i="43"/>
  <c r="BZ213" i="43" s="1"/>
  <c r="CL213" i="43" s="1"/>
  <c r="CY213" i="43" s="1"/>
  <c r="AU212" i="43"/>
  <c r="BZ212" i="43" s="1"/>
  <c r="CL212" i="43" s="1"/>
  <c r="CY212" i="43" s="1"/>
  <c r="AU211" i="43"/>
  <c r="BZ211" i="43" s="1"/>
  <c r="CL211" i="43" s="1"/>
  <c r="CY211" i="43" s="1"/>
  <c r="AU210" i="43"/>
  <c r="BZ210" i="43" s="1"/>
  <c r="CL210" i="43" s="1"/>
  <c r="CY210" i="43" s="1"/>
  <c r="AU209" i="43"/>
  <c r="BZ209" i="43" s="1"/>
  <c r="CL209" i="43" s="1"/>
  <c r="CY209" i="43" s="1"/>
  <c r="AU208" i="43"/>
  <c r="BZ208" i="43" s="1"/>
  <c r="CL208" i="43" s="1"/>
  <c r="CY208" i="43" s="1"/>
  <c r="AU207" i="43"/>
  <c r="BZ207" i="43" s="1"/>
  <c r="CL207" i="43" s="1"/>
  <c r="CY207" i="43" s="1"/>
  <c r="AU206" i="43"/>
  <c r="BZ206" i="43" s="1"/>
  <c r="CL206" i="43" s="1"/>
  <c r="CY206" i="43" s="1"/>
  <c r="AU205" i="43"/>
  <c r="BZ205" i="43" s="1"/>
  <c r="CL205" i="43" s="1"/>
  <c r="CY205" i="43" s="1"/>
  <c r="AU204" i="43"/>
  <c r="BZ204" i="43" s="1"/>
  <c r="CL204" i="43" s="1"/>
  <c r="CY204" i="43" s="1"/>
  <c r="AU203" i="43"/>
  <c r="BZ203" i="43" s="1"/>
  <c r="CL203" i="43" s="1"/>
  <c r="CY203" i="43" s="1"/>
  <c r="AU202" i="43"/>
  <c r="BZ202" i="43" s="1"/>
  <c r="CL202" i="43" s="1"/>
  <c r="CY202" i="43" s="1"/>
  <c r="AU201" i="43"/>
  <c r="BZ201" i="43" s="1"/>
  <c r="CL201" i="43" s="1"/>
  <c r="CY201" i="43" s="1"/>
  <c r="AU200" i="43"/>
  <c r="BZ200" i="43" s="1"/>
  <c r="CL200" i="43" s="1"/>
  <c r="CY200" i="43" s="1"/>
  <c r="AU199" i="43"/>
  <c r="BZ199" i="43" s="1"/>
  <c r="CL199" i="43" s="1"/>
  <c r="CY199" i="43" s="1"/>
  <c r="AU198" i="43"/>
  <c r="BZ198" i="43" s="1"/>
  <c r="CL198" i="43" s="1"/>
  <c r="CY198" i="43" s="1"/>
  <c r="AU197" i="43"/>
  <c r="BZ197" i="43" s="1"/>
  <c r="CL197" i="43" s="1"/>
  <c r="CY197" i="43" s="1"/>
  <c r="AU196" i="43"/>
  <c r="BZ196" i="43" s="1"/>
  <c r="CL196" i="43" s="1"/>
  <c r="CY196" i="43" s="1"/>
  <c r="AU195" i="43"/>
  <c r="BZ195" i="43" s="1"/>
  <c r="CL195" i="43" s="1"/>
  <c r="CY195" i="43" s="1"/>
  <c r="AU194" i="43"/>
  <c r="BZ194" i="43" s="1"/>
  <c r="CL194" i="43" s="1"/>
  <c r="CY194" i="43" s="1"/>
  <c r="AU193" i="43"/>
  <c r="BZ193" i="43" s="1"/>
  <c r="CL193" i="43" s="1"/>
  <c r="CY193" i="43" s="1"/>
  <c r="AU192" i="43"/>
  <c r="BZ192" i="43" s="1"/>
  <c r="CL192" i="43" s="1"/>
  <c r="CY192" i="43" s="1"/>
  <c r="AU191" i="43"/>
  <c r="BZ191" i="43" s="1"/>
  <c r="CL191" i="43" s="1"/>
  <c r="CY191" i="43" s="1"/>
  <c r="AU190" i="43"/>
  <c r="BZ190" i="43" s="1"/>
  <c r="CL190" i="43" s="1"/>
  <c r="CY190" i="43" s="1"/>
  <c r="AU189" i="43"/>
  <c r="BZ189" i="43" s="1"/>
  <c r="CL189" i="43" s="1"/>
  <c r="CY189" i="43" s="1"/>
  <c r="AU188" i="43"/>
  <c r="BZ188" i="43" s="1"/>
  <c r="CL188" i="43" s="1"/>
  <c r="CY188" i="43" s="1"/>
  <c r="AU187" i="43"/>
  <c r="BZ187" i="43" s="1"/>
  <c r="CL187" i="43" s="1"/>
  <c r="CY187" i="43" s="1"/>
  <c r="AU186" i="43"/>
  <c r="BZ186" i="43" s="1"/>
  <c r="CL186" i="43" s="1"/>
  <c r="CY186" i="43" s="1"/>
  <c r="AU185" i="43"/>
  <c r="BZ185" i="43" s="1"/>
  <c r="CL185" i="43" s="1"/>
  <c r="CY185" i="43" s="1"/>
  <c r="AU184" i="43"/>
  <c r="BZ184" i="43" s="1"/>
  <c r="CL184" i="43" s="1"/>
  <c r="CY184" i="43" s="1"/>
  <c r="AU183" i="43"/>
  <c r="BZ183" i="43" s="1"/>
  <c r="CL183" i="43" s="1"/>
  <c r="CY183" i="43" s="1"/>
  <c r="AU182" i="43"/>
  <c r="BZ182" i="43" s="1"/>
  <c r="CL182" i="43" s="1"/>
  <c r="CY182" i="43" s="1"/>
  <c r="AU181" i="43"/>
  <c r="BZ181" i="43" s="1"/>
  <c r="CL181" i="43" s="1"/>
  <c r="CY181" i="43" s="1"/>
  <c r="AU180" i="43"/>
  <c r="BZ180" i="43" s="1"/>
  <c r="CL180" i="43" s="1"/>
  <c r="CY180" i="43" s="1"/>
  <c r="AU179" i="43"/>
  <c r="BZ179" i="43" s="1"/>
  <c r="CL179" i="43" s="1"/>
  <c r="CY179" i="43" s="1"/>
  <c r="AU178" i="43"/>
  <c r="BZ178" i="43" s="1"/>
  <c r="CL178" i="43" s="1"/>
  <c r="CY178" i="43" s="1"/>
  <c r="AU177" i="43"/>
  <c r="BZ177" i="43" s="1"/>
  <c r="CL177" i="43" s="1"/>
  <c r="CY177" i="43" s="1"/>
  <c r="AU176" i="43"/>
  <c r="BZ176" i="43" s="1"/>
  <c r="CL176" i="43" s="1"/>
  <c r="CY176" i="43" s="1"/>
  <c r="AU175" i="43"/>
  <c r="BZ175" i="43" s="1"/>
  <c r="CL175" i="43" s="1"/>
  <c r="CY175" i="43" s="1"/>
  <c r="AU174" i="43"/>
  <c r="BZ174" i="43" s="1"/>
  <c r="CL174" i="43" s="1"/>
  <c r="CY174" i="43" s="1"/>
  <c r="AU173" i="43"/>
  <c r="BZ173" i="43" s="1"/>
  <c r="CL173" i="43" s="1"/>
  <c r="CY173" i="43" s="1"/>
  <c r="AU172" i="43"/>
  <c r="BZ172" i="43" s="1"/>
  <c r="CL172" i="43" s="1"/>
  <c r="CY172" i="43" s="1"/>
  <c r="AU171" i="43"/>
  <c r="BZ171" i="43" s="1"/>
  <c r="CL171" i="43" s="1"/>
  <c r="CY171" i="43" s="1"/>
  <c r="AU170" i="43"/>
  <c r="BZ170" i="43" s="1"/>
  <c r="CL170" i="43" s="1"/>
  <c r="CY170" i="43" s="1"/>
  <c r="AU169" i="43"/>
  <c r="BZ169" i="43" s="1"/>
  <c r="CL169" i="43" s="1"/>
  <c r="CY169" i="43" s="1"/>
  <c r="AU168" i="43"/>
  <c r="BZ168" i="43" s="1"/>
  <c r="CL168" i="43" s="1"/>
  <c r="CY168" i="43" s="1"/>
  <c r="AU167" i="43"/>
  <c r="BZ167" i="43" s="1"/>
  <c r="CL167" i="43" s="1"/>
  <c r="CY167" i="43" s="1"/>
  <c r="AU166" i="43"/>
  <c r="BZ166" i="43" s="1"/>
  <c r="CL166" i="43" s="1"/>
  <c r="CY166" i="43" s="1"/>
  <c r="AU165" i="43"/>
  <c r="BZ165" i="43" s="1"/>
  <c r="CL165" i="43" s="1"/>
  <c r="CY165" i="43" s="1"/>
  <c r="AU164" i="43"/>
  <c r="BZ164" i="43" s="1"/>
  <c r="CL164" i="43" s="1"/>
  <c r="CY164" i="43" s="1"/>
  <c r="AU163" i="43"/>
  <c r="BZ163" i="43" s="1"/>
  <c r="CL163" i="43" s="1"/>
  <c r="CY163" i="43" s="1"/>
  <c r="AU162" i="43"/>
  <c r="BZ162" i="43" s="1"/>
  <c r="CL162" i="43" s="1"/>
  <c r="CY162" i="43" s="1"/>
  <c r="AU161" i="43"/>
  <c r="BZ161" i="43" s="1"/>
  <c r="CL161" i="43" s="1"/>
  <c r="CY161" i="43" s="1"/>
  <c r="AU160" i="43"/>
  <c r="BZ160" i="43" s="1"/>
  <c r="CL160" i="43" s="1"/>
  <c r="CY160" i="43" s="1"/>
  <c r="AU159" i="43"/>
  <c r="BZ159" i="43" s="1"/>
  <c r="CL159" i="43" s="1"/>
  <c r="CY159" i="43" s="1"/>
  <c r="AU158" i="43"/>
  <c r="BZ158" i="43" s="1"/>
  <c r="CL158" i="43" s="1"/>
  <c r="CY158" i="43" s="1"/>
  <c r="AU157" i="43"/>
  <c r="BZ157" i="43" s="1"/>
  <c r="CL157" i="43" s="1"/>
  <c r="CY157" i="43" s="1"/>
  <c r="AU156" i="43"/>
  <c r="BZ156" i="43" s="1"/>
  <c r="CL156" i="43" s="1"/>
  <c r="CY156" i="43" s="1"/>
  <c r="AU155" i="43"/>
  <c r="BZ155" i="43" s="1"/>
  <c r="CL155" i="43" s="1"/>
  <c r="CY155" i="43" s="1"/>
  <c r="AU154" i="43"/>
  <c r="BZ154" i="43" s="1"/>
  <c r="CL154" i="43" s="1"/>
  <c r="CY154" i="43" s="1"/>
  <c r="AU153" i="43"/>
  <c r="BZ153" i="43" s="1"/>
  <c r="CL153" i="43" s="1"/>
  <c r="CY153" i="43" s="1"/>
  <c r="AU152" i="43"/>
  <c r="BZ152" i="43" s="1"/>
  <c r="CL152" i="43" s="1"/>
  <c r="CY152" i="43" s="1"/>
  <c r="AU151" i="43"/>
  <c r="BZ151" i="43" s="1"/>
  <c r="CL151" i="43" s="1"/>
  <c r="CY151" i="43" s="1"/>
  <c r="AU150" i="43"/>
  <c r="BZ150" i="43" s="1"/>
  <c r="CL150" i="43" s="1"/>
  <c r="CY150" i="43" s="1"/>
  <c r="AU149" i="43"/>
  <c r="BZ149" i="43" s="1"/>
  <c r="CL149" i="43" s="1"/>
  <c r="CY149" i="43" s="1"/>
  <c r="AU148" i="43"/>
  <c r="BZ148" i="43" s="1"/>
  <c r="CL148" i="43" s="1"/>
  <c r="CY148" i="43" s="1"/>
  <c r="AU147" i="43"/>
  <c r="BZ147" i="43" s="1"/>
  <c r="CL147" i="43" s="1"/>
  <c r="CY147" i="43" s="1"/>
  <c r="AU146" i="43"/>
  <c r="BZ146" i="43" s="1"/>
  <c r="CL146" i="43" s="1"/>
  <c r="CY146" i="43" s="1"/>
  <c r="AU145" i="43"/>
  <c r="BZ145" i="43" s="1"/>
  <c r="CL145" i="43" s="1"/>
  <c r="CY145" i="43" s="1"/>
  <c r="AU144" i="43"/>
  <c r="BZ144" i="43" s="1"/>
  <c r="CL144" i="43" s="1"/>
  <c r="CY144" i="43" s="1"/>
  <c r="AU143" i="43"/>
  <c r="BZ143" i="43" s="1"/>
  <c r="CL143" i="43" s="1"/>
  <c r="CY143" i="43" s="1"/>
  <c r="AU142" i="43"/>
  <c r="BZ142" i="43" s="1"/>
  <c r="CL142" i="43" s="1"/>
  <c r="CY142" i="43" s="1"/>
  <c r="AU141" i="43"/>
  <c r="BZ141" i="43" s="1"/>
  <c r="CL141" i="43" s="1"/>
  <c r="CY141" i="43" s="1"/>
  <c r="AU140" i="43"/>
  <c r="BZ140" i="43" s="1"/>
  <c r="CL140" i="43" s="1"/>
  <c r="CY140" i="43" s="1"/>
  <c r="AU139" i="43"/>
  <c r="BZ139" i="43" s="1"/>
  <c r="CL139" i="43" s="1"/>
  <c r="CY139" i="43" s="1"/>
  <c r="AU138" i="43"/>
  <c r="BZ138" i="43" s="1"/>
  <c r="CL138" i="43" s="1"/>
  <c r="CY138" i="43" s="1"/>
  <c r="AU137" i="43"/>
  <c r="BZ137" i="43" s="1"/>
  <c r="CL137" i="43" s="1"/>
  <c r="CY137" i="43" s="1"/>
  <c r="AU136" i="43"/>
  <c r="BZ136" i="43" s="1"/>
  <c r="CL136" i="43" s="1"/>
  <c r="CY136" i="43" s="1"/>
  <c r="AU135" i="43"/>
  <c r="BZ135" i="43" s="1"/>
  <c r="CL135" i="43" s="1"/>
  <c r="CY135" i="43" s="1"/>
  <c r="AU134" i="43"/>
  <c r="BZ134" i="43" s="1"/>
  <c r="CL134" i="43" s="1"/>
  <c r="CY134" i="43" s="1"/>
  <c r="AU133" i="43"/>
  <c r="BZ133" i="43" s="1"/>
  <c r="CL133" i="43" s="1"/>
  <c r="CY133" i="43" s="1"/>
  <c r="AU132" i="43"/>
  <c r="BZ132" i="43" s="1"/>
  <c r="CL132" i="43" s="1"/>
  <c r="CY132" i="43" s="1"/>
  <c r="AU131" i="43"/>
  <c r="BZ131" i="43" s="1"/>
  <c r="CL131" i="43" s="1"/>
  <c r="CY131" i="43" s="1"/>
  <c r="AU130" i="43"/>
  <c r="BZ130" i="43" s="1"/>
  <c r="CL130" i="43" s="1"/>
  <c r="CY130" i="43" s="1"/>
  <c r="AU129" i="43"/>
  <c r="BZ129" i="43" s="1"/>
  <c r="CL129" i="43" s="1"/>
  <c r="CY129" i="43" s="1"/>
  <c r="AU128" i="43"/>
  <c r="BZ128" i="43" s="1"/>
  <c r="CL128" i="43" s="1"/>
  <c r="CY128" i="43" s="1"/>
  <c r="AU127" i="43"/>
  <c r="BZ127" i="43" s="1"/>
  <c r="CL127" i="43" s="1"/>
  <c r="CY127" i="43" s="1"/>
  <c r="AU126" i="43"/>
  <c r="BZ126" i="43" s="1"/>
  <c r="CL126" i="43" s="1"/>
  <c r="CY126" i="43" s="1"/>
  <c r="AU125" i="43"/>
  <c r="BZ125" i="43" s="1"/>
  <c r="CL125" i="43" s="1"/>
  <c r="CY125" i="43" s="1"/>
  <c r="AU124" i="43"/>
  <c r="BZ124" i="43" s="1"/>
  <c r="CL124" i="43" s="1"/>
  <c r="CY124" i="43" s="1"/>
  <c r="AU123" i="43"/>
  <c r="BZ123" i="43" s="1"/>
  <c r="CL123" i="43" s="1"/>
  <c r="CY123" i="43" s="1"/>
  <c r="AU122" i="43"/>
  <c r="BZ122" i="43" s="1"/>
  <c r="CL122" i="43" s="1"/>
  <c r="CY122" i="43" s="1"/>
  <c r="AU121" i="43"/>
  <c r="BZ121" i="43" s="1"/>
  <c r="CL121" i="43" s="1"/>
  <c r="CY121" i="43" s="1"/>
  <c r="AU120" i="43"/>
  <c r="BZ120" i="43" s="1"/>
  <c r="CL120" i="43" s="1"/>
  <c r="CY120" i="43" s="1"/>
  <c r="AU119" i="43"/>
  <c r="BZ119" i="43" s="1"/>
  <c r="CL119" i="43" s="1"/>
  <c r="CY119" i="43" s="1"/>
  <c r="AU118" i="43"/>
  <c r="BZ118" i="43" s="1"/>
  <c r="CL118" i="43" s="1"/>
  <c r="CY118" i="43" s="1"/>
  <c r="AU117" i="43"/>
  <c r="BZ117" i="43" s="1"/>
  <c r="CL117" i="43" s="1"/>
  <c r="CY117" i="43" s="1"/>
  <c r="AU116" i="43"/>
  <c r="BZ116" i="43" s="1"/>
  <c r="CL116" i="43" s="1"/>
  <c r="CY116" i="43" s="1"/>
  <c r="AU115" i="43"/>
  <c r="BZ115" i="43" s="1"/>
  <c r="CL115" i="43" s="1"/>
  <c r="CY115" i="43" s="1"/>
  <c r="AU114" i="43"/>
  <c r="BZ114" i="43" s="1"/>
  <c r="CL114" i="43" s="1"/>
  <c r="CY114" i="43" s="1"/>
  <c r="AU113" i="43"/>
  <c r="BZ113" i="43" s="1"/>
  <c r="CL113" i="43" s="1"/>
  <c r="CY113" i="43" s="1"/>
  <c r="AU112" i="43"/>
  <c r="BZ112" i="43" s="1"/>
  <c r="CL112" i="43" s="1"/>
  <c r="CY112" i="43" s="1"/>
  <c r="AU111" i="43"/>
  <c r="BZ111" i="43" s="1"/>
  <c r="CL111" i="43" s="1"/>
  <c r="CY111" i="43" s="1"/>
  <c r="AU110" i="43"/>
  <c r="BZ110" i="43" s="1"/>
  <c r="CL110" i="43" s="1"/>
  <c r="CY110" i="43" s="1"/>
  <c r="AU109" i="43"/>
  <c r="BZ109" i="43" s="1"/>
  <c r="CL109" i="43" s="1"/>
  <c r="CY109" i="43" s="1"/>
  <c r="AU108" i="43"/>
  <c r="BZ108" i="43" s="1"/>
  <c r="CL108" i="43" s="1"/>
  <c r="CY108" i="43" s="1"/>
  <c r="AU107" i="43"/>
  <c r="BZ107" i="43" s="1"/>
  <c r="CL107" i="43" s="1"/>
  <c r="CY107" i="43" s="1"/>
  <c r="AU106" i="43"/>
  <c r="BZ106" i="43" s="1"/>
  <c r="CL106" i="43" s="1"/>
  <c r="CY106" i="43" s="1"/>
  <c r="AU105" i="43"/>
  <c r="BZ105" i="43" s="1"/>
  <c r="CL105" i="43" s="1"/>
  <c r="CY105" i="43" s="1"/>
  <c r="AU104" i="43"/>
  <c r="BZ104" i="43" s="1"/>
  <c r="CL104" i="43" s="1"/>
  <c r="CY104" i="43" s="1"/>
  <c r="AU103" i="43"/>
  <c r="BZ103" i="43" s="1"/>
  <c r="CL103" i="43" s="1"/>
  <c r="CY103" i="43" s="1"/>
  <c r="AU102" i="43"/>
  <c r="BZ102" i="43" s="1"/>
  <c r="CL102" i="43" s="1"/>
  <c r="CY102" i="43" s="1"/>
  <c r="AU101" i="43"/>
  <c r="BZ101" i="43" s="1"/>
  <c r="CL101" i="43" s="1"/>
  <c r="CY101" i="43" s="1"/>
  <c r="AU100" i="43"/>
  <c r="BZ100" i="43" s="1"/>
  <c r="CL100" i="43" s="1"/>
  <c r="CY100" i="43" s="1"/>
  <c r="AU99" i="43"/>
  <c r="BZ99" i="43" s="1"/>
  <c r="CL99" i="43" s="1"/>
  <c r="CY99" i="43" s="1"/>
  <c r="AU98" i="43"/>
  <c r="BZ98" i="43" s="1"/>
  <c r="CL98" i="43" s="1"/>
  <c r="CY98" i="43" s="1"/>
  <c r="AU97" i="43"/>
  <c r="BZ97" i="43" s="1"/>
  <c r="CL97" i="43" s="1"/>
  <c r="CY97" i="43" s="1"/>
  <c r="AU96" i="43"/>
  <c r="BZ96" i="43" s="1"/>
  <c r="CL96" i="43" s="1"/>
  <c r="CY96" i="43" s="1"/>
  <c r="AU95" i="43"/>
  <c r="BZ95" i="43" s="1"/>
  <c r="CL95" i="43" s="1"/>
  <c r="CY95" i="43" s="1"/>
  <c r="AU94" i="43"/>
  <c r="BZ94" i="43" s="1"/>
  <c r="CL94" i="43" s="1"/>
  <c r="CY94" i="43" s="1"/>
  <c r="AU93" i="43"/>
  <c r="BZ93" i="43" s="1"/>
  <c r="CL93" i="43" s="1"/>
  <c r="CY93" i="43" s="1"/>
  <c r="AU92" i="43"/>
  <c r="BZ92" i="43" s="1"/>
  <c r="CL92" i="43" s="1"/>
  <c r="CY92" i="43" s="1"/>
  <c r="AU91" i="43"/>
  <c r="BZ91" i="43" s="1"/>
  <c r="CL91" i="43" s="1"/>
  <c r="CY91" i="43" s="1"/>
  <c r="AU90" i="43"/>
  <c r="BZ90" i="43" s="1"/>
  <c r="CL90" i="43" s="1"/>
  <c r="CY90" i="43" s="1"/>
  <c r="AU89" i="43"/>
  <c r="BZ89" i="43" s="1"/>
  <c r="CL89" i="43" s="1"/>
  <c r="CY89" i="43" s="1"/>
  <c r="AU88" i="43"/>
  <c r="BZ88" i="43" s="1"/>
  <c r="CL88" i="43" s="1"/>
  <c r="CY88" i="43" s="1"/>
  <c r="AU87" i="43"/>
  <c r="BZ87" i="43" s="1"/>
  <c r="CL87" i="43" s="1"/>
  <c r="CY87" i="43" s="1"/>
  <c r="AU86" i="43"/>
  <c r="BZ86" i="43" s="1"/>
  <c r="CL86" i="43" s="1"/>
  <c r="CY86" i="43" s="1"/>
  <c r="AU85" i="43"/>
  <c r="BZ85" i="43" s="1"/>
  <c r="CL85" i="43" s="1"/>
  <c r="CY85" i="43" s="1"/>
  <c r="AU84" i="43"/>
  <c r="BZ84" i="43" s="1"/>
  <c r="CL84" i="43" s="1"/>
  <c r="CY84" i="43" s="1"/>
  <c r="AU83" i="43"/>
  <c r="BZ83" i="43" s="1"/>
  <c r="CL83" i="43" s="1"/>
  <c r="CY83" i="43" s="1"/>
  <c r="AU82" i="43"/>
  <c r="BZ82" i="43" s="1"/>
  <c r="CL82" i="43" s="1"/>
  <c r="CY82" i="43" s="1"/>
  <c r="AU80" i="43"/>
  <c r="BZ80" i="43" s="1"/>
  <c r="CL80" i="43" s="1"/>
  <c r="CY80" i="43" s="1"/>
  <c r="AU79" i="43"/>
  <c r="BZ79" i="43" s="1"/>
  <c r="CL79" i="43" s="1"/>
  <c r="CY79" i="43" s="1"/>
  <c r="AU78" i="43"/>
  <c r="BZ78" i="43" s="1"/>
  <c r="CL78" i="43" s="1"/>
  <c r="CY78" i="43" s="1"/>
  <c r="AU77" i="43"/>
  <c r="BZ77" i="43" s="1"/>
  <c r="CL77" i="43" s="1"/>
  <c r="CY77" i="43" s="1"/>
  <c r="AU76" i="43"/>
  <c r="BZ76" i="43" s="1"/>
  <c r="CL76" i="43" s="1"/>
  <c r="CY76" i="43" s="1"/>
  <c r="AU75" i="43"/>
  <c r="BZ75" i="43" s="1"/>
  <c r="CL75" i="43" s="1"/>
  <c r="CY75" i="43" s="1"/>
  <c r="AU74" i="43"/>
  <c r="BZ74" i="43" s="1"/>
  <c r="CL74" i="43" s="1"/>
  <c r="CY74" i="43" s="1"/>
  <c r="AU73" i="43"/>
  <c r="BZ73" i="43" s="1"/>
  <c r="CL73" i="43" s="1"/>
  <c r="CY73" i="43" s="1"/>
  <c r="AU72" i="43"/>
  <c r="BZ72" i="43" s="1"/>
  <c r="CL72" i="43" s="1"/>
  <c r="CY72" i="43" s="1"/>
  <c r="AU71" i="43"/>
  <c r="BZ71" i="43" s="1"/>
  <c r="CL71" i="43" s="1"/>
  <c r="CY71" i="43" s="1"/>
  <c r="AU70" i="43"/>
  <c r="BZ70" i="43" s="1"/>
  <c r="CL70" i="43" s="1"/>
  <c r="CY70" i="43" s="1"/>
  <c r="AU69" i="43"/>
  <c r="BZ69" i="43" s="1"/>
  <c r="CL69" i="43" s="1"/>
  <c r="CY69" i="43" s="1"/>
  <c r="AU68" i="43"/>
  <c r="BZ68" i="43" s="1"/>
  <c r="CL68" i="43" s="1"/>
  <c r="CY68" i="43" s="1"/>
  <c r="AU67" i="43"/>
  <c r="BZ67" i="43" s="1"/>
  <c r="CL67" i="43" s="1"/>
  <c r="CY67" i="43" s="1"/>
  <c r="AU66" i="43"/>
  <c r="BZ66" i="43" s="1"/>
  <c r="CL66" i="43" s="1"/>
  <c r="CY66" i="43" s="1"/>
  <c r="AU65" i="43"/>
  <c r="BZ65" i="43" s="1"/>
  <c r="CL65" i="43" s="1"/>
  <c r="CY65" i="43" s="1"/>
  <c r="AU64" i="43"/>
  <c r="BZ64" i="43" s="1"/>
  <c r="CL64" i="43" s="1"/>
  <c r="CY64" i="43" s="1"/>
  <c r="AU63" i="43"/>
  <c r="BZ63" i="43" s="1"/>
  <c r="CL63" i="43" s="1"/>
  <c r="CY63" i="43" s="1"/>
  <c r="AU62" i="43"/>
  <c r="BZ62" i="43" s="1"/>
  <c r="CL62" i="43" s="1"/>
  <c r="CY62" i="43" s="1"/>
  <c r="AU61" i="43"/>
  <c r="BZ61" i="43" s="1"/>
  <c r="CL61" i="43" s="1"/>
  <c r="CY61" i="43" s="1"/>
  <c r="AU60" i="43"/>
  <c r="BZ60" i="43" s="1"/>
  <c r="CL60" i="43" s="1"/>
  <c r="CY60" i="43" s="1"/>
  <c r="AU59" i="43"/>
  <c r="BZ59" i="43" s="1"/>
  <c r="CL59" i="43" s="1"/>
  <c r="CY59" i="43" s="1"/>
  <c r="AU58" i="43"/>
  <c r="BZ58" i="43" s="1"/>
  <c r="CL58" i="43" s="1"/>
  <c r="CY58" i="43" s="1"/>
  <c r="AU57" i="43"/>
  <c r="BZ57" i="43" s="1"/>
  <c r="CL57" i="43" s="1"/>
  <c r="CY57" i="43" s="1"/>
  <c r="AU56" i="43"/>
  <c r="BZ56" i="43" s="1"/>
  <c r="CL56" i="43" s="1"/>
  <c r="CY56" i="43" s="1"/>
  <c r="AU55" i="43"/>
  <c r="BZ55" i="43" s="1"/>
  <c r="CL55" i="43" s="1"/>
  <c r="CY55" i="43" s="1"/>
  <c r="AU54" i="43"/>
  <c r="BZ54" i="43" s="1"/>
  <c r="CL54" i="43" s="1"/>
  <c r="CY54" i="43" s="1"/>
  <c r="AU53" i="43"/>
  <c r="BZ53" i="43" s="1"/>
  <c r="CL53" i="43" s="1"/>
  <c r="CY53" i="43" s="1"/>
  <c r="AU52" i="43"/>
  <c r="BZ52" i="43" s="1"/>
  <c r="CL52" i="43" s="1"/>
  <c r="CY52" i="43" s="1"/>
  <c r="AU51" i="43"/>
  <c r="BZ51" i="43" s="1"/>
  <c r="CL51" i="43" s="1"/>
  <c r="CY51" i="43" s="1"/>
  <c r="AU50" i="43"/>
  <c r="BZ50" i="43" s="1"/>
  <c r="CL50" i="43" s="1"/>
  <c r="CY50" i="43" s="1"/>
  <c r="AU49" i="43"/>
  <c r="BZ49" i="43" s="1"/>
  <c r="CL49" i="43" s="1"/>
  <c r="CY49" i="43" s="1"/>
  <c r="AU48" i="43"/>
  <c r="BZ48" i="43" s="1"/>
  <c r="CL48" i="43" s="1"/>
  <c r="CY48" i="43" s="1"/>
  <c r="AU47" i="43"/>
  <c r="BZ47" i="43" s="1"/>
  <c r="CL47" i="43" s="1"/>
  <c r="CY47" i="43" s="1"/>
  <c r="AU46" i="43"/>
  <c r="BZ46" i="43" s="1"/>
  <c r="CL46" i="43" s="1"/>
  <c r="CY46" i="43" s="1"/>
  <c r="AU45" i="43"/>
  <c r="BZ45" i="43" s="1"/>
  <c r="CL45" i="43" s="1"/>
  <c r="CY45" i="43" s="1"/>
  <c r="AU44" i="43"/>
  <c r="BZ44" i="43" s="1"/>
  <c r="CL44" i="43" s="1"/>
  <c r="CY44" i="43" s="1"/>
  <c r="AU43" i="43"/>
  <c r="BZ43" i="43" s="1"/>
  <c r="CL43" i="43" s="1"/>
  <c r="CY43" i="43" s="1"/>
  <c r="AU42" i="43"/>
  <c r="BZ42" i="43" s="1"/>
  <c r="CL42" i="43" s="1"/>
  <c r="CY42" i="43" s="1"/>
  <c r="AU41" i="43"/>
  <c r="BZ41" i="43" s="1"/>
  <c r="CL41" i="43" s="1"/>
  <c r="CY41" i="43" s="1"/>
  <c r="AU40" i="43"/>
  <c r="BZ40" i="43" s="1"/>
  <c r="CL40" i="43" s="1"/>
  <c r="CY40" i="43" s="1"/>
  <c r="AU39" i="43"/>
  <c r="BZ39" i="43" s="1"/>
  <c r="CL39" i="43" s="1"/>
  <c r="CY39" i="43" s="1"/>
  <c r="AU38" i="43"/>
  <c r="BZ38" i="43" s="1"/>
  <c r="CL38" i="43" s="1"/>
  <c r="CY38" i="43" s="1"/>
  <c r="AU37" i="43"/>
  <c r="BZ37" i="43" s="1"/>
  <c r="CL37" i="43" s="1"/>
  <c r="CY37" i="43" s="1"/>
  <c r="AU36" i="43"/>
  <c r="BZ36" i="43" s="1"/>
  <c r="CL36" i="43" s="1"/>
  <c r="CY36" i="43" s="1"/>
  <c r="AU35" i="43"/>
  <c r="BZ35" i="43" s="1"/>
  <c r="CL35" i="43" s="1"/>
  <c r="CY35" i="43" s="1"/>
  <c r="AU34" i="43"/>
  <c r="BZ34" i="43" s="1"/>
  <c r="CL34" i="43" s="1"/>
  <c r="CY34" i="43" s="1"/>
  <c r="AU33" i="43"/>
  <c r="BZ33" i="43" s="1"/>
  <c r="CL33" i="43" s="1"/>
  <c r="CY33" i="43" s="1"/>
  <c r="AU32" i="43"/>
  <c r="BZ32" i="43" s="1"/>
  <c r="CL32" i="43" s="1"/>
  <c r="CY32" i="43" s="1"/>
  <c r="AU31" i="43"/>
  <c r="BZ31" i="43" s="1"/>
  <c r="CL31" i="43" s="1"/>
  <c r="CY31" i="43" s="1"/>
  <c r="AU30" i="43"/>
  <c r="BZ30" i="43" s="1"/>
  <c r="CL30" i="43" s="1"/>
  <c r="CY30" i="43" s="1"/>
  <c r="AU29" i="43"/>
  <c r="BZ29" i="43" s="1"/>
  <c r="CL29" i="43" s="1"/>
  <c r="CY29" i="43" s="1"/>
  <c r="AU28" i="43"/>
  <c r="BZ28" i="43" s="1"/>
  <c r="CL28" i="43" s="1"/>
  <c r="CY28" i="43" s="1"/>
  <c r="AU27" i="43"/>
  <c r="BZ27" i="43" s="1"/>
  <c r="CL27" i="43" s="1"/>
  <c r="CY27" i="43" s="1"/>
  <c r="AU26" i="43"/>
  <c r="BZ26" i="43" s="1"/>
  <c r="CL26" i="43" s="1"/>
  <c r="CY26" i="43" s="1"/>
  <c r="AU25" i="43"/>
  <c r="BZ25" i="43" s="1"/>
  <c r="CL25" i="43" s="1"/>
  <c r="CY25" i="43" s="1"/>
  <c r="AU24" i="43"/>
  <c r="BZ24" i="43" s="1"/>
  <c r="CL24" i="43" s="1"/>
  <c r="CY24" i="43" s="1"/>
  <c r="AU23" i="43"/>
  <c r="BZ23" i="43" s="1"/>
  <c r="CL23" i="43" s="1"/>
  <c r="CY23" i="43" s="1"/>
  <c r="AU22" i="43"/>
  <c r="BZ22" i="43" s="1"/>
  <c r="CL22" i="43" s="1"/>
  <c r="CY22" i="43" s="1"/>
  <c r="AU21" i="43"/>
  <c r="BZ21" i="43" s="1"/>
  <c r="CL21" i="43" s="1"/>
  <c r="CY21" i="43" s="1"/>
  <c r="AU20" i="43"/>
  <c r="BZ20" i="43" s="1"/>
  <c r="CL20" i="43" s="1"/>
  <c r="CY20" i="43" s="1"/>
  <c r="AU19" i="43"/>
  <c r="BZ19" i="43" s="1"/>
  <c r="CL19" i="43" s="1"/>
  <c r="CY19" i="43" s="1"/>
  <c r="AU18" i="43"/>
  <c r="BZ18" i="43" s="1"/>
  <c r="CL18" i="43" s="1"/>
  <c r="CY18" i="43" s="1"/>
  <c r="AU17" i="43"/>
  <c r="BZ17" i="43" s="1"/>
  <c r="CL17" i="43" s="1"/>
  <c r="CY17" i="43" s="1"/>
  <c r="AU16" i="43"/>
  <c r="BZ16" i="43" s="1"/>
  <c r="CL16" i="43" s="1"/>
  <c r="CY16" i="43" s="1"/>
  <c r="AU15" i="43"/>
  <c r="BZ15" i="43" s="1"/>
  <c r="CL15" i="43" s="1"/>
  <c r="CY15" i="43" s="1"/>
  <c r="AP307" i="43"/>
  <c r="AP306" i="43"/>
  <c r="AP305" i="43"/>
  <c r="BY305" i="43" s="1"/>
  <c r="CK305" i="43" s="1"/>
  <c r="AP304" i="43"/>
  <c r="BY304" i="43" s="1"/>
  <c r="CK304" i="43" s="1"/>
  <c r="AP303" i="43"/>
  <c r="BY303" i="43" s="1"/>
  <c r="CK303" i="43" s="1"/>
  <c r="AP302" i="43"/>
  <c r="BY302" i="43" s="1"/>
  <c r="CK302" i="43" s="1"/>
  <c r="AP301" i="43"/>
  <c r="BY301" i="43" s="1"/>
  <c r="CK301" i="43" s="1"/>
  <c r="AP300" i="43"/>
  <c r="BY300" i="43" s="1"/>
  <c r="CK300" i="43" s="1"/>
  <c r="AP299" i="43"/>
  <c r="BY299" i="43" s="1"/>
  <c r="CK299" i="43" s="1"/>
  <c r="AP298" i="43"/>
  <c r="BY298" i="43" s="1"/>
  <c r="CK298" i="43" s="1"/>
  <c r="AP297" i="43"/>
  <c r="BY297" i="43" s="1"/>
  <c r="CK297" i="43" s="1"/>
  <c r="AP296" i="43"/>
  <c r="BY296" i="43" s="1"/>
  <c r="CK296" i="43" s="1"/>
  <c r="AP295" i="43"/>
  <c r="BY295" i="43" s="1"/>
  <c r="CK295" i="43" s="1"/>
  <c r="AP294" i="43"/>
  <c r="BY294" i="43" s="1"/>
  <c r="CK294" i="43" s="1"/>
  <c r="AP293" i="43"/>
  <c r="BY293" i="43" s="1"/>
  <c r="CK293" i="43" s="1"/>
  <c r="AP292" i="43"/>
  <c r="BY292" i="43" s="1"/>
  <c r="CK292" i="43" s="1"/>
  <c r="AP291" i="43"/>
  <c r="BY291" i="43" s="1"/>
  <c r="CK291" i="43" s="1"/>
  <c r="AP290" i="43"/>
  <c r="BY290" i="43" s="1"/>
  <c r="CK290" i="43" s="1"/>
  <c r="AP289" i="43"/>
  <c r="BY289" i="43" s="1"/>
  <c r="CK289" i="43" s="1"/>
  <c r="AP288" i="43"/>
  <c r="BY288" i="43" s="1"/>
  <c r="CK288" i="43" s="1"/>
  <c r="AP287" i="43"/>
  <c r="BY287" i="43" s="1"/>
  <c r="CK287" i="43" s="1"/>
  <c r="AP286" i="43"/>
  <c r="BY286" i="43" s="1"/>
  <c r="CK286" i="43" s="1"/>
  <c r="AP285" i="43"/>
  <c r="BY285" i="43" s="1"/>
  <c r="CK285" i="43" s="1"/>
  <c r="AP284" i="43"/>
  <c r="BY284" i="43" s="1"/>
  <c r="CK284" i="43" s="1"/>
  <c r="AP283" i="43"/>
  <c r="BY283" i="43" s="1"/>
  <c r="CK283" i="43" s="1"/>
  <c r="AP282" i="43"/>
  <c r="BY282" i="43" s="1"/>
  <c r="CK282" i="43" s="1"/>
  <c r="AP281" i="43"/>
  <c r="BY281" i="43" s="1"/>
  <c r="CK281" i="43" s="1"/>
  <c r="AP280" i="43"/>
  <c r="BY280" i="43" s="1"/>
  <c r="CK280" i="43" s="1"/>
  <c r="AP279" i="43"/>
  <c r="BY279" i="43" s="1"/>
  <c r="CK279" i="43" s="1"/>
  <c r="AP278" i="43"/>
  <c r="BY278" i="43" s="1"/>
  <c r="CK278" i="43" s="1"/>
  <c r="AP277" i="43"/>
  <c r="BY277" i="43" s="1"/>
  <c r="CK277" i="43" s="1"/>
  <c r="AP276" i="43"/>
  <c r="BY276" i="43" s="1"/>
  <c r="CK276" i="43" s="1"/>
  <c r="AP275" i="43"/>
  <c r="BY275" i="43" s="1"/>
  <c r="CK275" i="43" s="1"/>
  <c r="AP274" i="43"/>
  <c r="BY274" i="43" s="1"/>
  <c r="CK274" i="43" s="1"/>
  <c r="AP273" i="43"/>
  <c r="BY273" i="43" s="1"/>
  <c r="CK273" i="43" s="1"/>
  <c r="AP272" i="43"/>
  <c r="BY272" i="43" s="1"/>
  <c r="CK272" i="43" s="1"/>
  <c r="AP271" i="43"/>
  <c r="BY271" i="43" s="1"/>
  <c r="CK271" i="43" s="1"/>
  <c r="AP270" i="43"/>
  <c r="BY270" i="43" s="1"/>
  <c r="CK270" i="43" s="1"/>
  <c r="AP269" i="43"/>
  <c r="BY269" i="43" s="1"/>
  <c r="CK269" i="43" s="1"/>
  <c r="AP268" i="43"/>
  <c r="BY268" i="43" s="1"/>
  <c r="CK268" i="43" s="1"/>
  <c r="AP267" i="43"/>
  <c r="BY267" i="43" s="1"/>
  <c r="CK267" i="43" s="1"/>
  <c r="AP266" i="43"/>
  <c r="BY266" i="43" s="1"/>
  <c r="CK266" i="43" s="1"/>
  <c r="AP265" i="43"/>
  <c r="BY265" i="43" s="1"/>
  <c r="CK265" i="43" s="1"/>
  <c r="AP264" i="43"/>
  <c r="BY264" i="43" s="1"/>
  <c r="CK264" i="43" s="1"/>
  <c r="AP263" i="43"/>
  <c r="BY263" i="43" s="1"/>
  <c r="CK263" i="43" s="1"/>
  <c r="AP262" i="43"/>
  <c r="BY262" i="43" s="1"/>
  <c r="CK262" i="43" s="1"/>
  <c r="AP261" i="43"/>
  <c r="BY261" i="43" s="1"/>
  <c r="CK261" i="43" s="1"/>
  <c r="AP260" i="43"/>
  <c r="BY260" i="43" s="1"/>
  <c r="CK260" i="43" s="1"/>
  <c r="AP259" i="43"/>
  <c r="BY259" i="43" s="1"/>
  <c r="CK259" i="43" s="1"/>
  <c r="AP258" i="43"/>
  <c r="BY258" i="43" s="1"/>
  <c r="CK258" i="43" s="1"/>
  <c r="AP257" i="43"/>
  <c r="BY257" i="43" s="1"/>
  <c r="CK257" i="43" s="1"/>
  <c r="AP256" i="43"/>
  <c r="BY256" i="43" s="1"/>
  <c r="CK256" i="43" s="1"/>
  <c r="AP255" i="43"/>
  <c r="BY255" i="43" s="1"/>
  <c r="CK255" i="43" s="1"/>
  <c r="AP254" i="43"/>
  <c r="BY254" i="43" s="1"/>
  <c r="CK254" i="43" s="1"/>
  <c r="AP253" i="43"/>
  <c r="BY253" i="43" s="1"/>
  <c r="CK253" i="43" s="1"/>
  <c r="AP252" i="43"/>
  <c r="BY252" i="43" s="1"/>
  <c r="CK252" i="43" s="1"/>
  <c r="AP251" i="43"/>
  <c r="BY251" i="43" s="1"/>
  <c r="CK251" i="43" s="1"/>
  <c r="AP250" i="43"/>
  <c r="BY250" i="43" s="1"/>
  <c r="CK250" i="43" s="1"/>
  <c r="AP249" i="43"/>
  <c r="BY249" i="43" s="1"/>
  <c r="CK249" i="43" s="1"/>
  <c r="AP248" i="43"/>
  <c r="BY248" i="43" s="1"/>
  <c r="CK248" i="43" s="1"/>
  <c r="AP247" i="43"/>
  <c r="BY247" i="43" s="1"/>
  <c r="CK247" i="43" s="1"/>
  <c r="AP246" i="43"/>
  <c r="BY246" i="43" s="1"/>
  <c r="CK246" i="43" s="1"/>
  <c r="AP245" i="43"/>
  <c r="BY245" i="43" s="1"/>
  <c r="CK245" i="43" s="1"/>
  <c r="AP244" i="43"/>
  <c r="BY244" i="43" s="1"/>
  <c r="CK244" i="43" s="1"/>
  <c r="AP243" i="43"/>
  <c r="BY243" i="43" s="1"/>
  <c r="CK243" i="43" s="1"/>
  <c r="AP242" i="43"/>
  <c r="BY242" i="43" s="1"/>
  <c r="CK242" i="43" s="1"/>
  <c r="AP241" i="43"/>
  <c r="BY241" i="43" s="1"/>
  <c r="CK241" i="43" s="1"/>
  <c r="AP240" i="43"/>
  <c r="BY240" i="43" s="1"/>
  <c r="CK240" i="43" s="1"/>
  <c r="AP239" i="43"/>
  <c r="BY239" i="43" s="1"/>
  <c r="CK239" i="43" s="1"/>
  <c r="AP238" i="43"/>
  <c r="BY238" i="43" s="1"/>
  <c r="CK238" i="43" s="1"/>
  <c r="AP237" i="43"/>
  <c r="BY237" i="43" s="1"/>
  <c r="CK237" i="43" s="1"/>
  <c r="AP236" i="43"/>
  <c r="BY236" i="43" s="1"/>
  <c r="CK236" i="43" s="1"/>
  <c r="AP235" i="43"/>
  <c r="BY235" i="43" s="1"/>
  <c r="CK235" i="43" s="1"/>
  <c r="AP234" i="43"/>
  <c r="BY234" i="43" s="1"/>
  <c r="CK234" i="43" s="1"/>
  <c r="AP233" i="43"/>
  <c r="BY233" i="43" s="1"/>
  <c r="CK233" i="43" s="1"/>
  <c r="AP232" i="43"/>
  <c r="BY232" i="43" s="1"/>
  <c r="CK232" i="43" s="1"/>
  <c r="AP231" i="43"/>
  <c r="BY231" i="43" s="1"/>
  <c r="CK231" i="43" s="1"/>
  <c r="AP230" i="43"/>
  <c r="BY230" i="43" s="1"/>
  <c r="CK230" i="43" s="1"/>
  <c r="AP229" i="43"/>
  <c r="BY229" i="43" s="1"/>
  <c r="CK229" i="43" s="1"/>
  <c r="AP228" i="43"/>
  <c r="BY228" i="43" s="1"/>
  <c r="CK228" i="43" s="1"/>
  <c r="AP227" i="43"/>
  <c r="BY227" i="43" s="1"/>
  <c r="CK227" i="43" s="1"/>
  <c r="AP226" i="43"/>
  <c r="BY226" i="43" s="1"/>
  <c r="CK226" i="43" s="1"/>
  <c r="AP225" i="43"/>
  <c r="BY225" i="43" s="1"/>
  <c r="CK225" i="43" s="1"/>
  <c r="AP224" i="43"/>
  <c r="BY224" i="43" s="1"/>
  <c r="CK224" i="43" s="1"/>
  <c r="AP223" i="43"/>
  <c r="BY223" i="43" s="1"/>
  <c r="CK223" i="43" s="1"/>
  <c r="AP222" i="43"/>
  <c r="BY222" i="43" s="1"/>
  <c r="CK222" i="43" s="1"/>
  <c r="AP221" i="43"/>
  <c r="BY221" i="43" s="1"/>
  <c r="CK221" i="43" s="1"/>
  <c r="AP220" i="43"/>
  <c r="BY220" i="43" s="1"/>
  <c r="CK220" i="43" s="1"/>
  <c r="AP219" i="43"/>
  <c r="BY219" i="43" s="1"/>
  <c r="CK219" i="43" s="1"/>
  <c r="AP218" i="43"/>
  <c r="BY218" i="43" s="1"/>
  <c r="CK218" i="43" s="1"/>
  <c r="AP217" i="43"/>
  <c r="BY217" i="43" s="1"/>
  <c r="CK217" i="43" s="1"/>
  <c r="AP216" i="43"/>
  <c r="BY216" i="43" s="1"/>
  <c r="CK216" i="43" s="1"/>
  <c r="AP215" i="43"/>
  <c r="BY215" i="43" s="1"/>
  <c r="CK215" i="43" s="1"/>
  <c r="AP214" i="43"/>
  <c r="BY214" i="43" s="1"/>
  <c r="CK214" i="43" s="1"/>
  <c r="AP213" i="43"/>
  <c r="BY213" i="43" s="1"/>
  <c r="CK213" i="43" s="1"/>
  <c r="AP212" i="43"/>
  <c r="BY212" i="43" s="1"/>
  <c r="CK212" i="43" s="1"/>
  <c r="AP211" i="43"/>
  <c r="BY211" i="43" s="1"/>
  <c r="CK211" i="43" s="1"/>
  <c r="AP210" i="43"/>
  <c r="BY210" i="43" s="1"/>
  <c r="CK210" i="43" s="1"/>
  <c r="AP209" i="43"/>
  <c r="BY209" i="43" s="1"/>
  <c r="CK209" i="43" s="1"/>
  <c r="AP208" i="43"/>
  <c r="BY208" i="43" s="1"/>
  <c r="CK208" i="43" s="1"/>
  <c r="AP207" i="43"/>
  <c r="BY207" i="43" s="1"/>
  <c r="CK207" i="43" s="1"/>
  <c r="AP206" i="43"/>
  <c r="BY206" i="43" s="1"/>
  <c r="CK206" i="43" s="1"/>
  <c r="AP205" i="43"/>
  <c r="BY205" i="43" s="1"/>
  <c r="CK205" i="43" s="1"/>
  <c r="AP204" i="43"/>
  <c r="BY204" i="43" s="1"/>
  <c r="CK204" i="43" s="1"/>
  <c r="AP203" i="43"/>
  <c r="BY203" i="43" s="1"/>
  <c r="CK203" i="43" s="1"/>
  <c r="AP202" i="43"/>
  <c r="BY202" i="43" s="1"/>
  <c r="CK202" i="43" s="1"/>
  <c r="AP201" i="43"/>
  <c r="BY201" i="43" s="1"/>
  <c r="CK201" i="43" s="1"/>
  <c r="AP200" i="43"/>
  <c r="BY200" i="43" s="1"/>
  <c r="CK200" i="43" s="1"/>
  <c r="AP199" i="43"/>
  <c r="BY199" i="43" s="1"/>
  <c r="CK199" i="43" s="1"/>
  <c r="AP198" i="43"/>
  <c r="BY198" i="43" s="1"/>
  <c r="CK198" i="43" s="1"/>
  <c r="AP197" i="43"/>
  <c r="BY197" i="43" s="1"/>
  <c r="CK197" i="43" s="1"/>
  <c r="AP196" i="43"/>
  <c r="BY196" i="43" s="1"/>
  <c r="CK196" i="43" s="1"/>
  <c r="AP195" i="43"/>
  <c r="BY195" i="43" s="1"/>
  <c r="CK195" i="43" s="1"/>
  <c r="AP194" i="43"/>
  <c r="BY194" i="43" s="1"/>
  <c r="CK194" i="43" s="1"/>
  <c r="AP193" i="43"/>
  <c r="BY193" i="43" s="1"/>
  <c r="CK193" i="43" s="1"/>
  <c r="AP192" i="43"/>
  <c r="BY192" i="43" s="1"/>
  <c r="CK192" i="43" s="1"/>
  <c r="AP191" i="43"/>
  <c r="BY191" i="43" s="1"/>
  <c r="CK191" i="43" s="1"/>
  <c r="AP190" i="43"/>
  <c r="BY190" i="43" s="1"/>
  <c r="CK190" i="43" s="1"/>
  <c r="AP189" i="43"/>
  <c r="BY189" i="43" s="1"/>
  <c r="CK189" i="43" s="1"/>
  <c r="AP188" i="43"/>
  <c r="BY188" i="43" s="1"/>
  <c r="CK188" i="43" s="1"/>
  <c r="AP187" i="43"/>
  <c r="BY187" i="43" s="1"/>
  <c r="CK187" i="43" s="1"/>
  <c r="AP186" i="43"/>
  <c r="BY186" i="43" s="1"/>
  <c r="CK186" i="43" s="1"/>
  <c r="AP185" i="43"/>
  <c r="BY185" i="43" s="1"/>
  <c r="CK185" i="43" s="1"/>
  <c r="AP184" i="43"/>
  <c r="BY184" i="43" s="1"/>
  <c r="CK184" i="43" s="1"/>
  <c r="AP183" i="43"/>
  <c r="BY183" i="43" s="1"/>
  <c r="CK183" i="43" s="1"/>
  <c r="AP182" i="43"/>
  <c r="BY182" i="43" s="1"/>
  <c r="CK182" i="43" s="1"/>
  <c r="AP181" i="43"/>
  <c r="BY181" i="43" s="1"/>
  <c r="CK181" i="43" s="1"/>
  <c r="AP180" i="43"/>
  <c r="BY180" i="43" s="1"/>
  <c r="CK180" i="43" s="1"/>
  <c r="AP179" i="43"/>
  <c r="BY179" i="43" s="1"/>
  <c r="CK179" i="43" s="1"/>
  <c r="AP178" i="43"/>
  <c r="BY178" i="43" s="1"/>
  <c r="CK178" i="43" s="1"/>
  <c r="AP177" i="43"/>
  <c r="BY177" i="43" s="1"/>
  <c r="CK177" i="43" s="1"/>
  <c r="AP176" i="43"/>
  <c r="BY176" i="43" s="1"/>
  <c r="CK176" i="43" s="1"/>
  <c r="AP175" i="43"/>
  <c r="BY175" i="43" s="1"/>
  <c r="CK175" i="43" s="1"/>
  <c r="AP174" i="43"/>
  <c r="BY174" i="43" s="1"/>
  <c r="CK174" i="43" s="1"/>
  <c r="AP173" i="43"/>
  <c r="BY173" i="43" s="1"/>
  <c r="CK173" i="43" s="1"/>
  <c r="AP172" i="43"/>
  <c r="BY172" i="43" s="1"/>
  <c r="CK172" i="43" s="1"/>
  <c r="AP171" i="43"/>
  <c r="BY171" i="43" s="1"/>
  <c r="CK171" i="43" s="1"/>
  <c r="AP170" i="43"/>
  <c r="BY170" i="43" s="1"/>
  <c r="CK170" i="43" s="1"/>
  <c r="AP169" i="43"/>
  <c r="BY169" i="43" s="1"/>
  <c r="CK169" i="43" s="1"/>
  <c r="AP168" i="43"/>
  <c r="BY168" i="43" s="1"/>
  <c r="CK168" i="43" s="1"/>
  <c r="AP167" i="43"/>
  <c r="BY167" i="43" s="1"/>
  <c r="CK167" i="43" s="1"/>
  <c r="AP166" i="43"/>
  <c r="BY166" i="43" s="1"/>
  <c r="CK166" i="43" s="1"/>
  <c r="AP165" i="43"/>
  <c r="BY165" i="43" s="1"/>
  <c r="CK165" i="43" s="1"/>
  <c r="AP164" i="43"/>
  <c r="BY164" i="43" s="1"/>
  <c r="CK164" i="43" s="1"/>
  <c r="AP163" i="43"/>
  <c r="BY163" i="43" s="1"/>
  <c r="CK163" i="43" s="1"/>
  <c r="AP162" i="43"/>
  <c r="BY162" i="43" s="1"/>
  <c r="CK162" i="43" s="1"/>
  <c r="AP161" i="43"/>
  <c r="BY161" i="43" s="1"/>
  <c r="CK161" i="43" s="1"/>
  <c r="AP160" i="43"/>
  <c r="BY160" i="43" s="1"/>
  <c r="CK160" i="43" s="1"/>
  <c r="AP159" i="43"/>
  <c r="BY159" i="43" s="1"/>
  <c r="CK159" i="43" s="1"/>
  <c r="AP158" i="43"/>
  <c r="BY158" i="43" s="1"/>
  <c r="CK158" i="43" s="1"/>
  <c r="AP157" i="43"/>
  <c r="BY157" i="43" s="1"/>
  <c r="CK157" i="43" s="1"/>
  <c r="AP156" i="43"/>
  <c r="BY156" i="43" s="1"/>
  <c r="CK156" i="43" s="1"/>
  <c r="AP155" i="43"/>
  <c r="BY155" i="43" s="1"/>
  <c r="CK155" i="43" s="1"/>
  <c r="AP154" i="43"/>
  <c r="BY154" i="43" s="1"/>
  <c r="CK154" i="43" s="1"/>
  <c r="AP153" i="43"/>
  <c r="BY153" i="43" s="1"/>
  <c r="CK153" i="43" s="1"/>
  <c r="AP152" i="43"/>
  <c r="BY152" i="43" s="1"/>
  <c r="CK152" i="43" s="1"/>
  <c r="AP151" i="43"/>
  <c r="BY151" i="43" s="1"/>
  <c r="CK151" i="43" s="1"/>
  <c r="AP150" i="43"/>
  <c r="BY150" i="43" s="1"/>
  <c r="CK150" i="43" s="1"/>
  <c r="AP149" i="43"/>
  <c r="BY149" i="43" s="1"/>
  <c r="CK149" i="43" s="1"/>
  <c r="AP148" i="43"/>
  <c r="BY148" i="43" s="1"/>
  <c r="CK148" i="43" s="1"/>
  <c r="AP147" i="43"/>
  <c r="BY147" i="43" s="1"/>
  <c r="CK147" i="43" s="1"/>
  <c r="AP146" i="43"/>
  <c r="BY146" i="43" s="1"/>
  <c r="CK146" i="43" s="1"/>
  <c r="AP145" i="43"/>
  <c r="BY145" i="43" s="1"/>
  <c r="CK145" i="43" s="1"/>
  <c r="AP144" i="43"/>
  <c r="BY144" i="43" s="1"/>
  <c r="CK144" i="43" s="1"/>
  <c r="AP143" i="43"/>
  <c r="BY143" i="43" s="1"/>
  <c r="CK143" i="43" s="1"/>
  <c r="AP142" i="43"/>
  <c r="BY142" i="43" s="1"/>
  <c r="CK142" i="43" s="1"/>
  <c r="AP141" i="43"/>
  <c r="BY141" i="43" s="1"/>
  <c r="CK141" i="43" s="1"/>
  <c r="AP140" i="43"/>
  <c r="BY140" i="43" s="1"/>
  <c r="CK140" i="43" s="1"/>
  <c r="AP139" i="43"/>
  <c r="BY139" i="43" s="1"/>
  <c r="CK139" i="43" s="1"/>
  <c r="AP138" i="43"/>
  <c r="BY138" i="43" s="1"/>
  <c r="CK138" i="43" s="1"/>
  <c r="AP137" i="43"/>
  <c r="BY137" i="43" s="1"/>
  <c r="CK137" i="43" s="1"/>
  <c r="AP136" i="43"/>
  <c r="BY136" i="43" s="1"/>
  <c r="CK136" i="43" s="1"/>
  <c r="AP135" i="43"/>
  <c r="BY135" i="43" s="1"/>
  <c r="CK135" i="43" s="1"/>
  <c r="AP134" i="43"/>
  <c r="BY134" i="43" s="1"/>
  <c r="CK134" i="43" s="1"/>
  <c r="AP133" i="43"/>
  <c r="BY133" i="43" s="1"/>
  <c r="CK133" i="43" s="1"/>
  <c r="AP132" i="43"/>
  <c r="BY132" i="43" s="1"/>
  <c r="CK132" i="43" s="1"/>
  <c r="AP131" i="43"/>
  <c r="BY131" i="43" s="1"/>
  <c r="CK131" i="43" s="1"/>
  <c r="AP130" i="43"/>
  <c r="BY130" i="43" s="1"/>
  <c r="CK130" i="43" s="1"/>
  <c r="AP129" i="43"/>
  <c r="BY129" i="43" s="1"/>
  <c r="CK129" i="43" s="1"/>
  <c r="AP128" i="43"/>
  <c r="BY128" i="43" s="1"/>
  <c r="CK128" i="43" s="1"/>
  <c r="AP127" i="43"/>
  <c r="BY127" i="43" s="1"/>
  <c r="CK127" i="43" s="1"/>
  <c r="AP126" i="43"/>
  <c r="BY126" i="43" s="1"/>
  <c r="CK126" i="43" s="1"/>
  <c r="AP125" i="43"/>
  <c r="BY125" i="43" s="1"/>
  <c r="CK125" i="43" s="1"/>
  <c r="AP124" i="43"/>
  <c r="BY124" i="43" s="1"/>
  <c r="CK124" i="43" s="1"/>
  <c r="AP123" i="43"/>
  <c r="BY123" i="43" s="1"/>
  <c r="CK123" i="43" s="1"/>
  <c r="AP122" i="43"/>
  <c r="BY122" i="43" s="1"/>
  <c r="CK122" i="43" s="1"/>
  <c r="AP121" i="43"/>
  <c r="BY121" i="43" s="1"/>
  <c r="CK121" i="43" s="1"/>
  <c r="AP120" i="43"/>
  <c r="BY120" i="43" s="1"/>
  <c r="CK120" i="43" s="1"/>
  <c r="AP119" i="43"/>
  <c r="BY119" i="43" s="1"/>
  <c r="CK119" i="43" s="1"/>
  <c r="AP118" i="43"/>
  <c r="BY118" i="43" s="1"/>
  <c r="CK118" i="43" s="1"/>
  <c r="AP117" i="43"/>
  <c r="BY117" i="43" s="1"/>
  <c r="CK117" i="43" s="1"/>
  <c r="AP116" i="43"/>
  <c r="BY116" i="43" s="1"/>
  <c r="CK116" i="43" s="1"/>
  <c r="AP115" i="43"/>
  <c r="BY115" i="43" s="1"/>
  <c r="CK115" i="43" s="1"/>
  <c r="AP114" i="43"/>
  <c r="BY114" i="43" s="1"/>
  <c r="CK114" i="43" s="1"/>
  <c r="AP113" i="43"/>
  <c r="BY113" i="43" s="1"/>
  <c r="CK113" i="43" s="1"/>
  <c r="AP112" i="43"/>
  <c r="BY112" i="43" s="1"/>
  <c r="CK112" i="43" s="1"/>
  <c r="AP111" i="43"/>
  <c r="BY111" i="43" s="1"/>
  <c r="CK111" i="43" s="1"/>
  <c r="AP110" i="43"/>
  <c r="BY110" i="43" s="1"/>
  <c r="CK110" i="43" s="1"/>
  <c r="AP109" i="43"/>
  <c r="BY109" i="43" s="1"/>
  <c r="CK109" i="43" s="1"/>
  <c r="AP108" i="43"/>
  <c r="BY108" i="43" s="1"/>
  <c r="CK108" i="43" s="1"/>
  <c r="AP107" i="43"/>
  <c r="BY107" i="43" s="1"/>
  <c r="CK107" i="43" s="1"/>
  <c r="AP106" i="43"/>
  <c r="BY106" i="43" s="1"/>
  <c r="CK106" i="43" s="1"/>
  <c r="AP105" i="43"/>
  <c r="BY105" i="43" s="1"/>
  <c r="CK105" i="43" s="1"/>
  <c r="AP104" i="43"/>
  <c r="BY104" i="43" s="1"/>
  <c r="CK104" i="43" s="1"/>
  <c r="AP103" i="43"/>
  <c r="BY103" i="43" s="1"/>
  <c r="CK103" i="43" s="1"/>
  <c r="AP102" i="43"/>
  <c r="BY102" i="43" s="1"/>
  <c r="CK102" i="43" s="1"/>
  <c r="AP101" i="43"/>
  <c r="BY101" i="43" s="1"/>
  <c r="CK101" i="43" s="1"/>
  <c r="AP100" i="43"/>
  <c r="BY100" i="43" s="1"/>
  <c r="CK100" i="43" s="1"/>
  <c r="AP99" i="43"/>
  <c r="BY99" i="43" s="1"/>
  <c r="CK99" i="43" s="1"/>
  <c r="AP98" i="43"/>
  <c r="BY98" i="43" s="1"/>
  <c r="CK98" i="43" s="1"/>
  <c r="AP97" i="43"/>
  <c r="BY97" i="43" s="1"/>
  <c r="CK97" i="43" s="1"/>
  <c r="AP96" i="43"/>
  <c r="BY96" i="43" s="1"/>
  <c r="CK96" i="43" s="1"/>
  <c r="AP95" i="43"/>
  <c r="BY95" i="43" s="1"/>
  <c r="CK95" i="43" s="1"/>
  <c r="AP94" i="43"/>
  <c r="BY94" i="43" s="1"/>
  <c r="CK94" i="43" s="1"/>
  <c r="AP93" i="43"/>
  <c r="BY93" i="43" s="1"/>
  <c r="CK93" i="43" s="1"/>
  <c r="AP92" i="43"/>
  <c r="BY92" i="43" s="1"/>
  <c r="CK92" i="43" s="1"/>
  <c r="AP91" i="43"/>
  <c r="BY91" i="43" s="1"/>
  <c r="CK91" i="43" s="1"/>
  <c r="AP90" i="43"/>
  <c r="BY90" i="43" s="1"/>
  <c r="CK90" i="43" s="1"/>
  <c r="AP89" i="43"/>
  <c r="BY89" i="43" s="1"/>
  <c r="CK89" i="43" s="1"/>
  <c r="AP88" i="43"/>
  <c r="BY88" i="43" s="1"/>
  <c r="CK88" i="43" s="1"/>
  <c r="AP87" i="43"/>
  <c r="BY87" i="43" s="1"/>
  <c r="CK87" i="43" s="1"/>
  <c r="AP86" i="43"/>
  <c r="BY86" i="43" s="1"/>
  <c r="CK86" i="43" s="1"/>
  <c r="AP85" i="43"/>
  <c r="BY85" i="43" s="1"/>
  <c r="CK85" i="43" s="1"/>
  <c r="AP84" i="43"/>
  <c r="BY84" i="43" s="1"/>
  <c r="CK84" i="43" s="1"/>
  <c r="AP83" i="43"/>
  <c r="BY83" i="43" s="1"/>
  <c r="CK83" i="43" s="1"/>
  <c r="AP82" i="43"/>
  <c r="BY82" i="43" s="1"/>
  <c r="CK82" i="43" s="1"/>
  <c r="AP80" i="43"/>
  <c r="BY80" i="43" s="1"/>
  <c r="CK80" i="43" s="1"/>
  <c r="AP79" i="43"/>
  <c r="BY79" i="43" s="1"/>
  <c r="CK79" i="43" s="1"/>
  <c r="AP78" i="43"/>
  <c r="BY78" i="43" s="1"/>
  <c r="CK78" i="43" s="1"/>
  <c r="AP77" i="43"/>
  <c r="BY77" i="43" s="1"/>
  <c r="CK77" i="43" s="1"/>
  <c r="AP76" i="43"/>
  <c r="BY76" i="43" s="1"/>
  <c r="CK76" i="43" s="1"/>
  <c r="AP75" i="43"/>
  <c r="BY75" i="43" s="1"/>
  <c r="CK75" i="43" s="1"/>
  <c r="AP74" i="43"/>
  <c r="BY74" i="43" s="1"/>
  <c r="CK74" i="43" s="1"/>
  <c r="AP73" i="43"/>
  <c r="BY73" i="43" s="1"/>
  <c r="CK73" i="43" s="1"/>
  <c r="AP72" i="43"/>
  <c r="BY72" i="43" s="1"/>
  <c r="CK72" i="43" s="1"/>
  <c r="AP71" i="43"/>
  <c r="BY71" i="43" s="1"/>
  <c r="CK71" i="43" s="1"/>
  <c r="AP70" i="43"/>
  <c r="BY70" i="43" s="1"/>
  <c r="CK70" i="43" s="1"/>
  <c r="AP69" i="43"/>
  <c r="BY69" i="43" s="1"/>
  <c r="CK69" i="43" s="1"/>
  <c r="AP68" i="43"/>
  <c r="BY68" i="43" s="1"/>
  <c r="CK68" i="43" s="1"/>
  <c r="AP67" i="43"/>
  <c r="BY67" i="43" s="1"/>
  <c r="CK67" i="43" s="1"/>
  <c r="AP66" i="43"/>
  <c r="BY66" i="43" s="1"/>
  <c r="CK66" i="43" s="1"/>
  <c r="AP65" i="43"/>
  <c r="BY65" i="43" s="1"/>
  <c r="CK65" i="43" s="1"/>
  <c r="AP64" i="43"/>
  <c r="BY64" i="43" s="1"/>
  <c r="CK64" i="43" s="1"/>
  <c r="AP63" i="43"/>
  <c r="BY63" i="43" s="1"/>
  <c r="CK63" i="43" s="1"/>
  <c r="AP62" i="43"/>
  <c r="BY62" i="43" s="1"/>
  <c r="CK62" i="43" s="1"/>
  <c r="AP61" i="43"/>
  <c r="BY61" i="43" s="1"/>
  <c r="CK61" i="43" s="1"/>
  <c r="AP60" i="43"/>
  <c r="BY60" i="43" s="1"/>
  <c r="CK60" i="43" s="1"/>
  <c r="AP59" i="43"/>
  <c r="BY59" i="43" s="1"/>
  <c r="CK59" i="43" s="1"/>
  <c r="AP58" i="43"/>
  <c r="BY58" i="43" s="1"/>
  <c r="CK58" i="43" s="1"/>
  <c r="AP57" i="43"/>
  <c r="BY57" i="43" s="1"/>
  <c r="CK57" i="43" s="1"/>
  <c r="AP56" i="43"/>
  <c r="BY56" i="43" s="1"/>
  <c r="CK56" i="43" s="1"/>
  <c r="AP55" i="43"/>
  <c r="BY55" i="43" s="1"/>
  <c r="CK55" i="43" s="1"/>
  <c r="AP54" i="43"/>
  <c r="BY54" i="43" s="1"/>
  <c r="CK54" i="43" s="1"/>
  <c r="AP53" i="43"/>
  <c r="BY53" i="43" s="1"/>
  <c r="CK53" i="43" s="1"/>
  <c r="AP52" i="43"/>
  <c r="BY52" i="43" s="1"/>
  <c r="CK52" i="43" s="1"/>
  <c r="AP51" i="43"/>
  <c r="BY51" i="43" s="1"/>
  <c r="CK51" i="43" s="1"/>
  <c r="AP50" i="43"/>
  <c r="BY50" i="43" s="1"/>
  <c r="CK50" i="43" s="1"/>
  <c r="AP49" i="43"/>
  <c r="BY49" i="43" s="1"/>
  <c r="CK49" i="43" s="1"/>
  <c r="AP48" i="43"/>
  <c r="BY48" i="43" s="1"/>
  <c r="CK48" i="43" s="1"/>
  <c r="AP47" i="43"/>
  <c r="BY47" i="43" s="1"/>
  <c r="CK47" i="43" s="1"/>
  <c r="AP46" i="43"/>
  <c r="BY46" i="43" s="1"/>
  <c r="CK46" i="43" s="1"/>
  <c r="AP45" i="43"/>
  <c r="BY45" i="43" s="1"/>
  <c r="CK45" i="43" s="1"/>
  <c r="AP44" i="43"/>
  <c r="BY44" i="43" s="1"/>
  <c r="CK44" i="43" s="1"/>
  <c r="AP43" i="43"/>
  <c r="BY43" i="43" s="1"/>
  <c r="CK43" i="43" s="1"/>
  <c r="AP42" i="43"/>
  <c r="BY42" i="43" s="1"/>
  <c r="CK42" i="43" s="1"/>
  <c r="AP41" i="43"/>
  <c r="BY41" i="43" s="1"/>
  <c r="CK41" i="43" s="1"/>
  <c r="AP40" i="43"/>
  <c r="BY40" i="43" s="1"/>
  <c r="CK40" i="43" s="1"/>
  <c r="AP39" i="43"/>
  <c r="BY39" i="43" s="1"/>
  <c r="CK39" i="43" s="1"/>
  <c r="AP38" i="43"/>
  <c r="BY38" i="43" s="1"/>
  <c r="CK38" i="43" s="1"/>
  <c r="AP37" i="43"/>
  <c r="BY37" i="43" s="1"/>
  <c r="CK37" i="43" s="1"/>
  <c r="AP36" i="43"/>
  <c r="BY36" i="43" s="1"/>
  <c r="CK36" i="43" s="1"/>
  <c r="AP35" i="43"/>
  <c r="BY35" i="43" s="1"/>
  <c r="CK35" i="43" s="1"/>
  <c r="AP34" i="43"/>
  <c r="BY34" i="43" s="1"/>
  <c r="CK34" i="43" s="1"/>
  <c r="AP33" i="43"/>
  <c r="BY33" i="43" s="1"/>
  <c r="CK33" i="43" s="1"/>
  <c r="AP32" i="43"/>
  <c r="BY32" i="43" s="1"/>
  <c r="CK32" i="43" s="1"/>
  <c r="AP31" i="43"/>
  <c r="BY31" i="43" s="1"/>
  <c r="CK31" i="43" s="1"/>
  <c r="AP30" i="43"/>
  <c r="BY30" i="43" s="1"/>
  <c r="CK30" i="43" s="1"/>
  <c r="AP29" i="43"/>
  <c r="BY29" i="43" s="1"/>
  <c r="CK29" i="43" s="1"/>
  <c r="AP28" i="43"/>
  <c r="BY28" i="43" s="1"/>
  <c r="CK28" i="43" s="1"/>
  <c r="AP27" i="43"/>
  <c r="BY27" i="43" s="1"/>
  <c r="CK27" i="43" s="1"/>
  <c r="AP26" i="43"/>
  <c r="BY26" i="43" s="1"/>
  <c r="CK26" i="43" s="1"/>
  <c r="AP25" i="43"/>
  <c r="BY25" i="43" s="1"/>
  <c r="CK25" i="43" s="1"/>
  <c r="AP24" i="43"/>
  <c r="BY24" i="43" s="1"/>
  <c r="CK24" i="43" s="1"/>
  <c r="AP23" i="43"/>
  <c r="BY23" i="43" s="1"/>
  <c r="CK23" i="43" s="1"/>
  <c r="AP22" i="43"/>
  <c r="BY22" i="43" s="1"/>
  <c r="CK22" i="43" s="1"/>
  <c r="AP21" i="43"/>
  <c r="BY21" i="43" s="1"/>
  <c r="CK21" i="43" s="1"/>
  <c r="AP20" i="43"/>
  <c r="BY20" i="43" s="1"/>
  <c r="CK20" i="43" s="1"/>
  <c r="AP19" i="43"/>
  <c r="BY19" i="43" s="1"/>
  <c r="CK19" i="43" s="1"/>
  <c r="AP18" i="43"/>
  <c r="BY18" i="43" s="1"/>
  <c r="CK18" i="43" s="1"/>
  <c r="AP17" i="43"/>
  <c r="BY17" i="43" s="1"/>
  <c r="CK17" i="43" s="1"/>
  <c r="AP16" i="43"/>
  <c r="BY16" i="43" s="1"/>
  <c r="CK16" i="43" s="1"/>
  <c r="BY15" i="43"/>
  <c r="CK15" i="43" s="1"/>
  <c r="AK307" i="43"/>
  <c r="AK306" i="43"/>
  <c r="AK305" i="43"/>
  <c r="BX305" i="43" s="1"/>
  <c r="CJ305" i="43" s="1"/>
  <c r="AK304" i="43"/>
  <c r="BX304" i="43" s="1"/>
  <c r="CJ304" i="43" s="1"/>
  <c r="AK303" i="43"/>
  <c r="BX303" i="43" s="1"/>
  <c r="CJ303" i="43" s="1"/>
  <c r="AK302" i="43"/>
  <c r="BX302" i="43" s="1"/>
  <c r="CJ302" i="43" s="1"/>
  <c r="AK301" i="43"/>
  <c r="BX301" i="43" s="1"/>
  <c r="CJ301" i="43" s="1"/>
  <c r="AK300" i="43"/>
  <c r="BX300" i="43" s="1"/>
  <c r="CJ300" i="43" s="1"/>
  <c r="AK299" i="43"/>
  <c r="BX299" i="43" s="1"/>
  <c r="CJ299" i="43" s="1"/>
  <c r="AK298" i="43"/>
  <c r="BX298" i="43" s="1"/>
  <c r="CJ298" i="43" s="1"/>
  <c r="AK297" i="43"/>
  <c r="BX297" i="43" s="1"/>
  <c r="CJ297" i="43" s="1"/>
  <c r="AK296" i="43"/>
  <c r="BX296" i="43" s="1"/>
  <c r="CJ296" i="43" s="1"/>
  <c r="AK295" i="43"/>
  <c r="BX295" i="43" s="1"/>
  <c r="CJ295" i="43" s="1"/>
  <c r="AK294" i="43"/>
  <c r="BX294" i="43" s="1"/>
  <c r="CJ294" i="43" s="1"/>
  <c r="AK293" i="43"/>
  <c r="BX293" i="43" s="1"/>
  <c r="CJ293" i="43" s="1"/>
  <c r="AK292" i="43"/>
  <c r="BX292" i="43" s="1"/>
  <c r="CJ292" i="43" s="1"/>
  <c r="AK291" i="43"/>
  <c r="BX291" i="43" s="1"/>
  <c r="CJ291" i="43" s="1"/>
  <c r="AK290" i="43"/>
  <c r="BX290" i="43" s="1"/>
  <c r="CJ290" i="43" s="1"/>
  <c r="AK289" i="43"/>
  <c r="BX289" i="43" s="1"/>
  <c r="CJ289" i="43" s="1"/>
  <c r="AK288" i="43"/>
  <c r="BX288" i="43" s="1"/>
  <c r="CJ288" i="43" s="1"/>
  <c r="AK287" i="43"/>
  <c r="BX287" i="43" s="1"/>
  <c r="CJ287" i="43" s="1"/>
  <c r="AK286" i="43"/>
  <c r="BX286" i="43" s="1"/>
  <c r="CJ286" i="43" s="1"/>
  <c r="AK285" i="43"/>
  <c r="BX285" i="43" s="1"/>
  <c r="CJ285" i="43" s="1"/>
  <c r="AK284" i="43"/>
  <c r="BX284" i="43" s="1"/>
  <c r="CJ284" i="43" s="1"/>
  <c r="AK283" i="43"/>
  <c r="BX283" i="43" s="1"/>
  <c r="CJ283" i="43" s="1"/>
  <c r="AK282" i="43"/>
  <c r="BX282" i="43" s="1"/>
  <c r="CJ282" i="43" s="1"/>
  <c r="AK281" i="43"/>
  <c r="BX281" i="43" s="1"/>
  <c r="CJ281" i="43" s="1"/>
  <c r="AK280" i="43"/>
  <c r="BX280" i="43" s="1"/>
  <c r="CJ280" i="43" s="1"/>
  <c r="AK279" i="43"/>
  <c r="BX279" i="43" s="1"/>
  <c r="CJ279" i="43" s="1"/>
  <c r="AK278" i="43"/>
  <c r="BX278" i="43" s="1"/>
  <c r="CJ278" i="43" s="1"/>
  <c r="AK277" i="43"/>
  <c r="BX277" i="43" s="1"/>
  <c r="CJ277" i="43" s="1"/>
  <c r="AK276" i="43"/>
  <c r="BX276" i="43" s="1"/>
  <c r="CJ276" i="43" s="1"/>
  <c r="AK275" i="43"/>
  <c r="BX275" i="43" s="1"/>
  <c r="CJ275" i="43" s="1"/>
  <c r="AK274" i="43"/>
  <c r="BX274" i="43" s="1"/>
  <c r="CJ274" i="43" s="1"/>
  <c r="AK273" i="43"/>
  <c r="BX273" i="43" s="1"/>
  <c r="CJ273" i="43" s="1"/>
  <c r="AK272" i="43"/>
  <c r="BX272" i="43" s="1"/>
  <c r="CJ272" i="43" s="1"/>
  <c r="AK271" i="43"/>
  <c r="BX271" i="43" s="1"/>
  <c r="CJ271" i="43" s="1"/>
  <c r="AK270" i="43"/>
  <c r="BX270" i="43" s="1"/>
  <c r="CJ270" i="43" s="1"/>
  <c r="AK269" i="43"/>
  <c r="BX269" i="43" s="1"/>
  <c r="CJ269" i="43" s="1"/>
  <c r="AK268" i="43"/>
  <c r="BX268" i="43" s="1"/>
  <c r="CJ268" i="43" s="1"/>
  <c r="AK267" i="43"/>
  <c r="BX267" i="43" s="1"/>
  <c r="CJ267" i="43" s="1"/>
  <c r="AK266" i="43"/>
  <c r="BX266" i="43" s="1"/>
  <c r="CJ266" i="43" s="1"/>
  <c r="AK265" i="43"/>
  <c r="BX265" i="43" s="1"/>
  <c r="CJ265" i="43" s="1"/>
  <c r="AK264" i="43"/>
  <c r="BX264" i="43" s="1"/>
  <c r="CJ264" i="43" s="1"/>
  <c r="AK263" i="43"/>
  <c r="BX263" i="43" s="1"/>
  <c r="CJ263" i="43" s="1"/>
  <c r="AK262" i="43"/>
  <c r="BX262" i="43" s="1"/>
  <c r="CJ262" i="43" s="1"/>
  <c r="AK261" i="43"/>
  <c r="BX261" i="43" s="1"/>
  <c r="CJ261" i="43" s="1"/>
  <c r="AK260" i="43"/>
  <c r="BX260" i="43" s="1"/>
  <c r="CJ260" i="43" s="1"/>
  <c r="AK259" i="43"/>
  <c r="BX259" i="43" s="1"/>
  <c r="CJ259" i="43" s="1"/>
  <c r="AK258" i="43"/>
  <c r="BX258" i="43" s="1"/>
  <c r="CJ258" i="43" s="1"/>
  <c r="AK257" i="43"/>
  <c r="BX257" i="43" s="1"/>
  <c r="CJ257" i="43" s="1"/>
  <c r="AK256" i="43"/>
  <c r="BX256" i="43" s="1"/>
  <c r="CJ256" i="43" s="1"/>
  <c r="AK255" i="43"/>
  <c r="BX255" i="43" s="1"/>
  <c r="CJ255" i="43" s="1"/>
  <c r="AK254" i="43"/>
  <c r="BX254" i="43" s="1"/>
  <c r="CJ254" i="43" s="1"/>
  <c r="AK253" i="43"/>
  <c r="BX253" i="43" s="1"/>
  <c r="CJ253" i="43" s="1"/>
  <c r="AK252" i="43"/>
  <c r="BX252" i="43" s="1"/>
  <c r="CJ252" i="43" s="1"/>
  <c r="AK251" i="43"/>
  <c r="BX251" i="43" s="1"/>
  <c r="CJ251" i="43" s="1"/>
  <c r="AK250" i="43"/>
  <c r="BX250" i="43" s="1"/>
  <c r="CJ250" i="43" s="1"/>
  <c r="AK249" i="43"/>
  <c r="BX249" i="43" s="1"/>
  <c r="CJ249" i="43" s="1"/>
  <c r="AK248" i="43"/>
  <c r="BX248" i="43" s="1"/>
  <c r="CJ248" i="43" s="1"/>
  <c r="AK247" i="43"/>
  <c r="BX247" i="43" s="1"/>
  <c r="CJ247" i="43" s="1"/>
  <c r="AK246" i="43"/>
  <c r="BX246" i="43" s="1"/>
  <c r="CJ246" i="43" s="1"/>
  <c r="AK245" i="43"/>
  <c r="BX245" i="43" s="1"/>
  <c r="CJ245" i="43" s="1"/>
  <c r="AK244" i="43"/>
  <c r="BX244" i="43" s="1"/>
  <c r="CJ244" i="43" s="1"/>
  <c r="AK243" i="43"/>
  <c r="BX243" i="43" s="1"/>
  <c r="CJ243" i="43" s="1"/>
  <c r="AK242" i="43"/>
  <c r="BX242" i="43" s="1"/>
  <c r="CJ242" i="43" s="1"/>
  <c r="AK241" i="43"/>
  <c r="BX241" i="43" s="1"/>
  <c r="CJ241" i="43" s="1"/>
  <c r="AK240" i="43"/>
  <c r="BX240" i="43" s="1"/>
  <c r="CJ240" i="43" s="1"/>
  <c r="AK239" i="43"/>
  <c r="BX239" i="43" s="1"/>
  <c r="CJ239" i="43" s="1"/>
  <c r="AK238" i="43"/>
  <c r="BX238" i="43" s="1"/>
  <c r="CJ238" i="43" s="1"/>
  <c r="AK237" i="43"/>
  <c r="BX237" i="43" s="1"/>
  <c r="CJ237" i="43" s="1"/>
  <c r="AK236" i="43"/>
  <c r="BX236" i="43" s="1"/>
  <c r="CJ236" i="43" s="1"/>
  <c r="AK235" i="43"/>
  <c r="BX235" i="43" s="1"/>
  <c r="CJ235" i="43" s="1"/>
  <c r="AK234" i="43"/>
  <c r="BX234" i="43" s="1"/>
  <c r="CJ234" i="43" s="1"/>
  <c r="AK233" i="43"/>
  <c r="BX233" i="43" s="1"/>
  <c r="CJ233" i="43" s="1"/>
  <c r="AK232" i="43"/>
  <c r="BX232" i="43" s="1"/>
  <c r="CJ232" i="43" s="1"/>
  <c r="AK231" i="43"/>
  <c r="BX231" i="43" s="1"/>
  <c r="CJ231" i="43" s="1"/>
  <c r="AK230" i="43"/>
  <c r="BX230" i="43" s="1"/>
  <c r="CJ230" i="43" s="1"/>
  <c r="AK229" i="43"/>
  <c r="BX229" i="43" s="1"/>
  <c r="CJ229" i="43" s="1"/>
  <c r="AK228" i="43"/>
  <c r="BX228" i="43" s="1"/>
  <c r="CJ228" i="43" s="1"/>
  <c r="AK227" i="43"/>
  <c r="BX227" i="43" s="1"/>
  <c r="CJ227" i="43" s="1"/>
  <c r="AK226" i="43"/>
  <c r="BX226" i="43" s="1"/>
  <c r="CJ226" i="43" s="1"/>
  <c r="AK225" i="43"/>
  <c r="BX225" i="43" s="1"/>
  <c r="CJ225" i="43" s="1"/>
  <c r="AK224" i="43"/>
  <c r="BX224" i="43" s="1"/>
  <c r="CJ224" i="43" s="1"/>
  <c r="AK223" i="43"/>
  <c r="BX223" i="43" s="1"/>
  <c r="CJ223" i="43" s="1"/>
  <c r="AK222" i="43"/>
  <c r="BX222" i="43" s="1"/>
  <c r="CJ222" i="43" s="1"/>
  <c r="AK221" i="43"/>
  <c r="BX221" i="43" s="1"/>
  <c r="CJ221" i="43" s="1"/>
  <c r="AK220" i="43"/>
  <c r="BX220" i="43" s="1"/>
  <c r="CJ220" i="43" s="1"/>
  <c r="AK219" i="43"/>
  <c r="BX219" i="43" s="1"/>
  <c r="CJ219" i="43" s="1"/>
  <c r="AK218" i="43"/>
  <c r="BX218" i="43" s="1"/>
  <c r="CJ218" i="43" s="1"/>
  <c r="AK217" i="43"/>
  <c r="BX217" i="43" s="1"/>
  <c r="CJ217" i="43" s="1"/>
  <c r="AK216" i="43"/>
  <c r="BX216" i="43" s="1"/>
  <c r="CJ216" i="43" s="1"/>
  <c r="AK215" i="43"/>
  <c r="BX215" i="43" s="1"/>
  <c r="CJ215" i="43" s="1"/>
  <c r="AK214" i="43"/>
  <c r="BX214" i="43" s="1"/>
  <c r="CJ214" i="43" s="1"/>
  <c r="AK213" i="43"/>
  <c r="BX213" i="43" s="1"/>
  <c r="CJ213" i="43" s="1"/>
  <c r="AK212" i="43"/>
  <c r="BX212" i="43" s="1"/>
  <c r="CJ212" i="43" s="1"/>
  <c r="AK211" i="43"/>
  <c r="BX211" i="43" s="1"/>
  <c r="CJ211" i="43" s="1"/>
  <c r="AK210" i="43"/>
  <c r="BX210" i="43" s="1"/>
  <c r="CJ210" i="43" s="1"/>
  <c r="AK209" i="43"/>
  <c r="BX209" i="43" s="1"/>
  <c r="CJ209" i="43" s="1"/>
  <c r="AK208" i="43"/>
  <c r="BX208" i="43" s="1"/>
  <c r="CJ208" i="43" s="1"/>
  <c r="AK207" i="43"/>
  <c r="BX207" i="43" s="1"/>
  <c r="CJ207" i="43" s="1"/>
  <c r="AK206" i="43"/>
  <c r="BX206" i="43" s="1"/>
  <c r="CJ206" i="43" s="1"/>
  <c r="AK205" i="43"/>
  <c r="BX205" i="43" s="1"/>
  <c r="CJ205" i="43" s="1"/>
  <c r="AK204" i="43"/>
  <c r="BX204" i="43" s="1"/>
  <c r="CJ204" i="43" s="1"/>
  <c r="AK203" i="43"/>
  <c r="BX203" i="43" s="1"/>
  <c r="CJ203" i="43" s="1"/>
  <c r="AK202" i="43"/>
  <c r="BX202" i="43" s="1"/>
  <c r="CJ202" i="43" s="1"/>
  <c r="AK201" i="43"/>
  <c r="BX201" i="43" s="1"/>
  <c r="CJ201" i="43" s="1"/>
  <c r="AK200" i="43"/>
  <c r="BX200" i="43" s="1"/>
  <c r="CJ200" i="43" s="1"/>
  <c r="AK199" i="43"/>
  <c r="BX199" i="43" s="1"/>
  <c r="CJ199" i="43" s="1"/>
  <c r="AK198" i="43"/>
  <c r="BX198" i="43" s="1"/>
  <c r="CJ198" i="43" s="1"/>
  <c r="AK197" i="43"/>
  <c r="BX197" i="43" s="1"/>
  <c r="CJ197" i="43" s="1"/>
  <c r="AK196" i="43"/>
  <c r="BX196" i="43" s="1"/>
  <c r="CJ196" i="43" s="1"/>
  <c r="AK195" i="43"/>
  <c r="BX195" i="43" s="1"/>
  <c r="CJ195" i="43" s="1"/>
  <c r="AK194" i="43"/>
  <c r="BX194" i="43" s="1"/>
  <c r="CJ194" i="43" s="1"/>
  <c r="AK193" i="43"/>
  <c r="BX193" i="43" s="1"/>
  <c r="CJ193" i="43" s="1"/>
  <c r="AK192" i="43"/>
  <c r="BX192" i="43" s="1"/>
  <c r="CJ192" i="43" s="1"/>
  <c r="AK191" i="43"/>
  <c r="BX191" i="43" s="1"/>
  <c r="CJ191" i="43" s="1"/>
  <c r="AK190" i="43"/>
  <c r="BX190" i="43" s="1"/>
  <c r="CJ190" i="43" s="1"/>
  <c r="AK189" i="43"/>
  <c r="BX189" i="43" s="1"/>
  <c r="CJ189" i="43" s="1"/>
  <c r="AK188" i="43"/>
  <c r="BX188" i="43" s="1"/>
  <c r="CJ188" i="43" s="1"/>
  <c r="AK187" i="43"/>
  <c r="BX187" i="43" s="1"/>
  <c r="CJ187" i="43" s="1"/>
  <c r="AK186" i="43"/>
  <c r="BX186" i="43" s="1"/>
  <c r="CJ186" i="43" s="1"/>
  <c r="AK185" i="43"/>
  <c r="BX185" i="43" s="1"/>
  <c r="CJ185" i="43" s="1"/>
  <c r="AK184" i="43"/>
  <c r="BX184" i="43" s="1"/>
  <c r="CJ184" i="43" s="1"/>
  <c r="AK183" i="43"/>
  <c r="BX183" i="43" s="1"/>
  <c r="CJ183" i="43" s="1"/>
  <c r="AK182" i="43"/>
  <c r="BX182" i="43" s="1"/>
  <c r="CJ182" i="43" s="1"/>
  <c r="AK181" i="43"/>
  <c r="BX181" i="43" s="1"/>
  <c r="CJ181" i="43" s="1"/>
  <c r="AK180" i="43"/>
  <c r="BX180" i="43" s="1"/>
  <c r="CJ180" i="43" s="1"/>
  <c r="AK179" i="43"/>
  <c r="BX179" i="43" s="1"/>
  <c r="CJ179" i="43" s="1"/>
  <c r="AK178" i="43"/>
  <c r="BX178" i="43" s="1"/>
  <c r="CJ178" i="43" s="1"/>
  <c r="AK177" i="43"/>
  <c r="BX177" i="43" s="1"/>
  <c r="CJ177" i="43" s="1"/>
  <c r="AK176" i="43"/>
  <c r="BX176" i="43" s="1"/>
  <c r="CJ176" i="43" s="1"/>
  <c r="AK175" i="43"/>
  <c r="BX175" i="43" s="1"/>
  <c r="CJ175" i="43" s="1"/>
  <c r="AK174" i="43"/>
  <c r="BX174" i="43" s="1"/>
  <c r="CJ174" i="43" s="1"/>
  <c r="AK173" i="43"/>
  <c r="BX173" i="43" s="1"/>
  <c r="CJ173" i="43" s="1"/>
  <c r="AK172" i="43"/>
  <c r="BX172" i="43" s="1"/>
  <c r="CJ172" i="43" s="1"/>
  <c r="AK171" i="43"/>
  <c r="BX171" i="43" s="1"/>
  <c r="CJ171" i="43" s="1"/>
  <c r="AK170" i="43"/>
  <c r="BX170" i="43" s="1"/>
  <c r="CJ170" i="43" s="1"/>
  <c r="AK169" i="43"/>
  <c r="BX169" i="43" s="1"/>
  <c r="CJ169" i="43" s="1"/>
  <c r="AK168" i="43"/>
  <c r="BX168" i="43" s="1"/>
  <c r="CJ168" i="43" s="1"/>
  <c r="AK167" i="43"/>
  <c r="BX167" i="43" s="1"/>
  <c r="CJ167" i="43" s="1"/>
  <c r="AK166" i="43"/>
  <c r="BX166" i="43" s="1"/>
  <c r="CJ166" i="43" s="1"/>
  <c r="AK165" i="43"/>
  <c r="BX165" i="43" s="1"/>
  <c r="CJ165" i="43" s="1"/>
  <c r="AK164" i="43"/>
  <c r="BX164" i="43" s="1"/>
  <c r="CJ164" i="43" s="1"/>
  <c r="AK163" i="43"/>
  <c r="BX163" i="43" s="1"/>
  <c r="CJ163" i="43" s="1"/>
  <c r="AK162" i="43"/>
  <c r="BX162" i="43" s="1"/>
  <c r="CJ162" i="43" s="1"/>
  <c r="AK161" i="43"/>
  <c r="BX161" i="43" s="1"/>
  <c r="CJ161" i="43" s="1"/>
  <c r="AK160" i="43"/>
  <c r="BX160" i="43" s="1"/>
  <c r="CJ160" i="43" s="1"/>
  <c r="AK159" i="43"/>
  <c r="BX159" i="43" s="1"/>
  <c r="CJ159" i="43" s="1"/>
  <c r="AK158" i="43"/>
  <c r="BX158" i="43" s="1"/>
  <c r="CJ158" i="43" s="1"/>
  <c r="AK157" i="43"/>
  <c r="BX157" i="43" s="1"/>
  <c r="CJ157" i="43" s="1"/>
  <c r="AK156" i="43"/>
  <c r="BX156" i="43" s="1"/>
  <c r="CJ156" i="43" s="1"/>
  <c r="AK155" i="43"/>
  <c r="BX155" i="43" s="1"/>
  <c r="CJ155" i="43" s="1"/>
  <c r="AK154" i="43"/>
  <c r="BX154" i="43" s="1"/>
  <c r="CJ154" i="43" s="1"/>
  <c r="AK153" i="43"/>
  <c r="BX153" i="43" s="1"/>
  <c r="CJ153" i="43" s="1"/>
  <c r="AK152" i="43"/>
  <c r="BX152" i="43" s="1"/>
  <c r="CJ152" i="43" s="1"/>
  <c r="AK151" i="43"/>
  <c r="BX151" i="43" s="1"/>
  <c r="CJ151" i="43" s="1"/>
  <c r="AK150" i="43"/>
  <c r="BX150" i="43" s="1"/>
  <c r="CJ150" i="43" s="1"/>
  <c r="AK149" i="43"/>
  <c r="BX149" i="43" s="1"/>
  <c r="CJ149" i="43" s="1"/>
  <c r="AK148" i="43"/>
  <c r="BX148" i="43" s="1"/>
  <c r="CJ148" i="43" s="1"/>
  <c r="AK147" i="43"/>
  <c r="BX147" i="43" s="1"/>
  <c r="CJ147" i="43" s="1"/>
  <c r="AK146" i="43"/>
  <c r="BX146" i="43" s="1"/>
  <c r="CJ146" i="43" s="1"/>
  <c r="AK145" i="43"/>
  <c r="BX145" i="43" s="1"/>
  <c r="CJ145" i="43" s="1"/>
  <c r="AK144" i="43"/>
  <c r="BX144" i="43" s="1"/>
  <c r="CJ144" i="43" s="1"/>
  <c r="AK143" i="43"/>
  <c r="BX143" i="43" s="1"/>
  <c r="CJ143" i="43" s="1"/>
  <c r="AK142" i="43"/>
  <c r="BX142" i="43" s="1"/>
  <c r="CJ142" i="43" s="1"/>
  <c r="AK141" i="43"/>
  <c r="BX141" i="43" s="1"/>
  <c r="CJ141" i="43" s="1"/>
  <c r="AK140" i="43"/>
  <c r="BX140" i="43" s="1"/>
  <c r="CJ140" i="43" s="1"/>
  <c r="AK139" i="43"/>
  <c r="BX139" i="43" s="1"/>
  <c r="CJ139" i="43" s="1"/>
  <c r="AK138" i="43"/>
  <c r="BX138" i="43" s="1"/>
  <c r="CJ138" i="43" s="1"/>
  <c r="AK137" i="43"/>
  <c r="BX137" i="43" s="1"/>
  <c r="CJ137" i="43" s="1"/>
  <c r="AK136" i="43"/>
  <c r="BX136" i="43" s="1"/>
  <c r="CJ136" i="43" s="1"/>
  <c r="AK135" i="43"/>
  <c r="BX135" i="43" s="1"/>
  <c r="CJ135" i="43" s="1"/>
  <c r="AK134" i="43"/>
  <c r="BX134" i="43" s="1"/>
  <c r="CJ134" i="43" s="1"/>
  <c r="AK133" i="43"/>
  <c r="BX133" i="43" s="1"/>
  <c r="CJ133" i="43" s="1"/>
  <c r="AK132" i="43"/>
  <c r="BX132" i="43" s="1"/>
  <c r="CJ132" i="43" s="1"/>
  <c r="AK131" i="43"/>
  <c r="BX131" i="43" s="1"/>
  <c r="CJ131" i="43" s="1"/>
  <c r="AK130" i="43"/>
  <c r="BX130" i="43" s="1"/>
  <c r="CJ130" i="43" s="1"/>
  <c r="AK129" i="43"/>
  <c r="BX129" i="43" s="1"/>
  <c r="CJ129" i="43" s="1"/>
  <c r="AK128" i="43"/>
  <c r="BX128" i="43" s="1"/>
  <c r="CJ128" i="43" s="1"/>
  <c r="AK127" i="43"/>
  <c r="BX127" i="43" s="1"/>
  <c r="CJ127" i="43" s="1"/>
  <c r="AK126" i="43"/>
  <c r="BX126" i="43" s="1"/>
  <c r="CJ126" i="43" s="1"/>
  <c r="AK125" i="43"/>
  <c r="BX125" i="43" s="1"/>
  <c r="CJ125" i="43" s="1"/>
  <c r="AK124" i="43"/>
  <c r="BX124" i="43" s="1"/>
  <c r="CJ124" i="43" s="1"/>
  <c r="AK123" i="43"/>
  <c r="BX123" i="43" s="1"/>
  <c r="CJ123" i="43" s="1"/>
  <c r="AK122" i="43"/>
  <c r="BX122" i="43" s="1"/>
  <c r="CJ122" i="43" s="1"/>
  <c r="AK121" i="43"/>
  <c r="BX121" i="43" s="1"/>
  <c r="CJ121" i="43" s="1"/>
  <c r="AK120" i="43"/>
  <c r="BX120" i="43" s="1"/>
  <c r="CJ120" i="43" s="1"/>
  <c r="AK119" i="43"/>
  <c r="BX119" i="43" s="1"/>
  <c r="CJ119" i="43" s="1"/>
  <c r="AK118" i="43"/>
  <c r="BX118" i="43" s="1"/>
  <c r="CJ118" i="43" s="1"/>
  <c r="AK117" i="43"/>
  <c r="BX117" i="43" s="1"/>
  <c r="CJ117" i="43" s="1"/>
  <c r="AK116" i="43"/>
  <c r="BX116" i="43" s="1"/>
  <c r="CJ116" i="43" s="1"/>
  <c r="AK115" i="43"/>
  <c r="BX115" i="43" s="1"/>
  <c r="CJ115" i="43" s="1"/>
  <c r="AK114" i="43"/>
  <c r="BX114" i="43" s="1"/>
  <c r="CJ114" i="43" s="1"/>
  <c r="AK113" i="43"/>
  <c r="BX113" i="43" s="1"/>
  <c r="CJ113" i="43" s="1"/>
  <c r="AK112" i="43"/>
  <c r="BX112" i="43" s="1"/>
  <c r="CJ112" i="43" s="1"/>
  <c r="AK111" i="43"/>
  <c r="BX111" i="43" s="1"/>
  <c r="CJ111" i="43" s="1"/>
  <c r="AK110" i="43"/>
  <c r="BX110" i="43" s="1"/>
  <c r="CJ110" i="43" s="1"/>
  <c r="AK109" i="43"/>
  <c r="BX109" i="43" s="1"/>
  <c r="CJ109" i="43" s="1"/>
  <c r="AK108" i="43"/>
  <c r="BX108" i="43" s="1"/>
  <c r="CJ108" i="43" s="1"/>
  <c r="AK107" i="43"/>
  <c r="BX107" i="43" s="1"/>
  <c r="CJ107" i="43" s="1"/>
  <c r="AK106" i="43"/>
  <c r="BX106" i="43" s="1"/>
  <c r="CJ106" i="43" s="1"/>
  <c r="AK105" i="43"/>
  <c r="BX105" i="43" s="1"/>
  <c r="CJ105" i="43" s="1"/>
  <c r="AK104" i="43"/>
  <c r="BX104" i="43" s="1"/>
  <c r="CJ104" i="43" s="1"/>
  <c r="AK103" i="43"/>
  <c r="BX103" i="43" s="1"/>
  <c r="CJ103" i="43" s="1"/>
  <c r="AK102" i="43"/>
  <c r="BX102" i="43" s="1"/>
  <c r="CJ102" i="43" s="1"/>
  <c r="AK101" i="43"/>
  <c r="BX101" i="43" s="1"/>
  <c r="CJ101" i="43" s="1"/>
  <c r="AK100" i="43"/>
  <c r="BX100" i="43" s="1"/>
  <c r="CJ100" i="43" s="1"/>
  <c r="AK99" i="43"/>
  <c r="BX99" i="43" s="1"/>
  <c r="CJ99" i="43" s="1"/>
  <c r="AK98" i="43"/>
  <c r="BX98" i="43" s="1"/>
  <c r="CJ98" i="43" s="1"/>
  <c r="AK97" i="43"/>
  <c r="BX97" i="43" s="1"/>
  <c r="CJ97" i="43" s="1"/>
  <c r="AK96" i="43"/>
  <c r="BX96" i="43" s="1"/>
  <c r="CJ96" i="43" s="1"/>
  <c r="AK95" i="43"/>
  <c r="BX95" i="43" s="1"/>
  <c r="CJ95" i="43" s="1"/>
  <c r="AK94" i="43"/>
  <c r="BX94" i="43" s="1"/>
  <c r="CJ94" i="43" s="1"/>
  <c r="AK93" i="43"/>
  <c r="BX93" i="43" s="1"/>
  <c r="CJ93" i="43" s="1"/>
  <c r="AK92" i="43"/>
  <c r="BX92" i="43" s="1"/>
  <c r="CJ92" i="43" s="1"/>
  <c r="AK91" i="43"/>
  <c r="BX91" i="43" s="1"/>
  <c r="CJ91" i="43" s="1"/>
  <c r="AK90" i="43"/>
  <c r="BX90" i="43" s="1"/>
  <c r="CJ90" i="43" s="1"/>
  <c r="AK89" i="43"/>
  <c r="BX89" i="43" s="1"/>
  <c r="CJ89" i="43" s="1"/>
  <c r="AK88" i="43"/>
  <c r="BX88" i="43" s="1"/>
  <c r="CJ88" i="43" s="1"/>
  <c r="AK87" i="43"/>
  <c r="BX87" i="43" s="1"/>
  <c r="CJ87" i="43" s="1"/>
  <c r="AK86" i="43"/>
  <c r="BX86" i="43" s="1"/>
  <c r="CJ86" i="43" s="1"/>
  <c r="AK85" i="43"/>
  <c r="BX85" i="43" s="1"/>
  <c r="CJ85" i="43" s="1"/>
  <c r="AK84" i="43"/>
  <c r="BX84" i="43" s="1"/>
  <c r="CJ84" i="43" s="1"/>
  <c r="AK83" i="43"/>
  <c r="BX83" i="43" s="1"/>
  <c r="CJ83" i="43" s="1"/>
  <c r="AK82" i="43"/>
  <c r="BX82" i="43" s="1"/>
  <c r="CJ82" i="43" s="1"/>
  <c r="AK80" i="43"/>
  <c r="BX80" i="43" s="1"/>
  <c r="CJ80" i="43" s="1"/>
  <c r="AK79" i="43"/>
  <c r="BX79" i="43" s="1"/>
  <c r="CJ79" i="43" s="1"/>
  <c r="AK78" i="43"/>
  <c r="BX78" i="43" s="1"/>
  <c r="CJ78" i="43" s="1"/>
  <c r="AK77" i="43"/>
  <c r="BX77" i="43" s="1"/>
  <c r="CJ77" i="43" s="1"/>
  <c r="AK76" i="43"/>
  <c r="BX76" i="43" s="1"/>
  <c r="CJ76" i="43" s="1"/>
  <c r="AK75" i="43"/>
  <c r="BX75" i="43" s="1"/>
  <c r="CJ75" i="43" s="1"/>
  <c r="AK74" i="43"/>
  <c r="BX74" i="43" s="1"/>
  <c r="CJ74" i="43" s="1"/>
  <c r="AK73" i="43"/>
  <c r="BX73" i="43" s="1"/>
  <c r="CJ73" i="43" s="1"/>
  <c r="AK72" i="43"/>
  <c r="BX72" i="43" s="1"/>
  <c r="CJ72" i="43" s="1"/>
  <c r="AK71" i="43"/>
  <c r="BX71" i="43" s="1"/>
  <c r="CJ71" i="43" s="1"/>
  <c r="AK70" i="43"/>
  <c r="BX70" i="43" s="1"/>
  <c r="CJ70" i="43" s="1"/>
  <c r="AK69" i="43"/>
  <c r="BX69" i="43" s="1"/>
  <c r="CJ69" i="43" s="1"/>
  <c r="AK68" i="43"/>
  <c r="BX68" i="43" s="1"/>
  <c r="CJ68" i="43" s="1"/>
  <c r="AK67" i="43"/>
  <c r="BX67" i="43" s="1"/>
  <c r="CJ67" i="43" s="1"/>
  <c r="AK66" i="43"/>
  <c r="BX66" i="43" s="1"/>
  <c r="CJ66" i="43" s="1"/>
  <c r="AK65" i="43"/>
  <c r="BX65" i="43" s="1"/>
  <c r="CJ65" i="43" s="1"/>
  <c r="AK64" i="43"/>
  <c r="BX64" i="43" s="1"/>
  <c r="CJ64" i="43" s="1"/>
  <c r="AK63" i="43"/>
  <c r="BX63" i="43" s="1"/>
  <c r="CJ63" i="43" s="1"/>
  <c r="AK62" i="43"/>
  <c r="BX62" i="43" s="1"/>
  <c r="CJ62" i="43" s="1"/>
  <c r="AK61" i="43"/>
  <c r="BX61" i="43" s="1"/>
  <c r="CJ61" i="43" s="1"/>
  <c r="AK60" i="43"/>
  <c r="BX60" i="43" s="1"/>
  <c r="CJ60" i="43" s="1"/>
  <c r="AK59" i="43"/>
  <c r="BX59" i="43" s="1"/>
  <c r="CJ59" i="43" s="1"/>
  <c r="AK58" i="43"/>
  <c r="BX58" i="43" s="1"/>
  <c r="CJ58" i="43" s="1"/>
  <c r="AK57" i="43"/>
  <c r="BX57" i="43" s="1"/>
  <c r="CJ57" i="43" s="1"/>
  <c r="AK56" i="43"/>
  <c r="BX56" i="43" s="1"/>
  <c r="CJ56" i="43" s="1"/>
  <c r="AK55" i="43"/>
  <c r="BX55" i="43" s="1"/>
  <c r="CJ55" i="43" s="1"/>
  <c r="AK54" i="43"/>
  <c r="BX54" i="43" s="1"/>
  <c r="CJ54" i="43" s="1"/>
  <c r="AK53" i="43"/>
  <c r="BX53" i="43" s="1"/>
  <c r="CJ53" i="43" s="1"/>
  <c r="AK52" i="43"/>
  <c r="BX52" i="43" s="1"/>
  <c r="CJ52" i="43" s="1"/>
  <c r="AK51" i="43"/>
  <c r="BX51" i="43" s="1"/>
  <c r="CJ51" i="43" s="1"/>
  <c r="AK50" i="43"/>
  <c r="BX50" i="43" s="1"/>
  <c r="CJ50" i="43" s="1"/>
  <c r="AK49" i="43"/>
  <c r="BX49" i="43" s="1"/>
  <c r="CJ49" i="43" s="1"/>
  <c r="AK48" i="43"/>
  <c r="BX48" i="43" s="1"/>
  <c r="CJ48" i="43" s="1"/>
  <c r="AK47" i="43"/>
  <c r="BX47" i="43" s="1"/>
  <c r="CJ47" i="43" s="1"/>
  <c r="AK46" i="43"/>
  <c r="BX46" i="43" s="1"/>
  <c r="CJ46" i="43" s="1"/>
  <c r="AK45" i="43"/>
  <c r="BX45" i="43" s="1"/>
  <c r="CJ45" i="43" s="1"/>
  <c r="AK44" i="43"/>
  <c r="BX44" i="43" s="1"/>
  <c r="CJ44" i="43" s="1"/>
  <c r="AK43" i="43"/>
  <c r="BX43" i="43" s="1"/>
  <c r="CJ43" i="43" s="1"/>
  <c r="AK42" i="43"/>
  <c r="BX42" i="43" s="1"/>
  <c r="CJ42" i="43" s="1"/>
  <c r="AK41" i="43"/>
  <c r="BX41" i="43" s="1"/>
  <c r="CJ41" i="43" s="1"/>
  <c r="AK40" i="43"/>
  <c r="BX40" i="43" s="1"/>
  <c r="CJ40" i="43" s="1"/>
  <c r="AK39" i="43"/>
  <c r="BX39" i="43" s="1"/>
  <c r="CJ39" i="43" s="1"/>
  <c r="AK38" i="43"/>
  <c r="BX38" i="43" s="1"/>
  <c r="CJ38" i="43" s="1"/>
  <c r="AK37" i="43"/>
  <c r="BX37" i="43" s="1"/>
  <c r="CJ37" i="43" s="1"/>
  <c r="AK36" i="43"/>
  <c r="BX36" i="43" s="1"/>
  <c r="CJ36" i="43" s="1"/>
  <c r="AK35" i="43"/>
  <c r="BX35" i="43" s="1"/>
  <c r="CJ35" i="43" s="1"/>
  <c r="AK34" i="43"/>
  <c r="BX34" i="43" s="1"/>
  <c r="CJ34" i="43" s="1"/>
  <c r="AK33" i="43"/>
  <c r="BX33" i="43" s="1"/>
  <c r="CJ33" i="43" s="1"/>
  <c r="AK32" i="43"/>
  <c r="BX32" i="43" s="1"/>
  <c r="CJ32" i="43" s="1"/>
  <c r="AK31" i="43"/>
  <c r="BX31" i="43" s="1"/>
  <c r="CJ31" i="43" s="1"/>
  <c r="AK30" i="43"/>
  <c r="BX30" i="43" s="1"/>
  <c r="CJ30" i="43" s="1"/>
  <c r="AK29" i="43"/>
  <c r="BX29" i="43" s="1"/>
  <c r="CJ29" i="43" s="1"/>
  <c r="AK28" i="43"/>
  <c r="BX28" i="43" s="1"/>
  <c r="CJ28" i="43" s="1"/>
  <c r="AK27" i="43"/>
  <c r="BX27" i="43" s="1"/>
  <c r="CJ27" i="43" s="1"/>
  <c r="AK26" i="43"/>
  <c r="BX26" i="43" s="1"/>
  <c r="CJ26" i="43" s="1"/>
  <c r="AK25" i="43"/>
  <c r="BX25" i="43" s="1"/>
  <c r="CJ25" i="43" s="1"/>
  <c r="AK24" i="43"/>
  <c r="BX24" i="43" s="1"/>
  <c r="CJ24" i="43" s="1"/>
  <c r="AK23" i="43"/>
  <c r="BX23" i="43" s="1"/>
  <c r="CJ23" i="43" s="1"/>
  <c r="AK22" i="43"/>
  <c r="BX22" i="43" s="1"/>
  <c r="CJ22" i="43" s="1"/>
  <c r="AK21" i="43"/>
  <c r="BX21" i="43" s="1"/>
  <c r="CJ21" i="43" s="1"/>
  <c r="AK20" i="43"/>
  <c r="BX20" i="43" s="1"/>
  <c r="CJ20" i="43" s="1"/>
  <c r="AK19" i="43"/>
  <c r="BX19" i="43" s="1"/>
  <c r="CJ19" i="43" s="1"/>
  <c r="AK18" i="43"/>
  <c r="BX18" i="43" s="1"/>
  <c r="CJ18" i="43" s="1"/>
  <c r="AK17" i="43"/>
  <c r="BX17" i="43" s="1"/>
  <c r="CJ17" i="43" s="1"/>
  <c r="AK16" i="43"/>
  <c r="BX16" i="43" s="1"/>
  <c r="CJ16" i="43" s="1"/>
  <c r="BX15" i="43"/>
  <c r="CJ15" i="43" s="1"/>
  <c r="D43" i="66"/>
  <c r="O43" i="66" s="1"/>
  <c r="H15" i="53"/>
  <c r="V13" i="43"/>
  <c r="AR61" i="66" l="1"/>
  <c r="AS61" i="66"/>
  <c r="BN11" i="43"/>
  <c r="BN10" i="43"/>
  <c r="BL10" i="43"/>
  <c r="BL11" i="43"/>
  <c r="DB4" i="43"/>
  <c r="DB5" i="43"/>
  <c r="BM10" i="43"/>
  <c r="BM11" i="43"/>
  <c r="DA15" i="43"/>
  <c r="CZ32" i="43"/>
  <c r="DA32" i="43"/>
  <c r="CZ40" i="43"/>
  <c r="DA40" i="43"/>
  <c r="CZ56" i="43"/>
  <c r="DA56" i="43"/>
  <c r="CZ64" i="43"/>
  <c r="DA64" i="43"/>
  <c r="CZ72" i="43"/>
  <c r="DA72" i="43"/>
  <c r="CZ80" i="43"/>
  <c r="DA80" i="43"/>
  <c r="CZ88" i="43"/>
  <c r="DA88" i="43"/>
  <c r="CZ96" i="43"/>
  <c r="DA96" i="43"/>
  <c r="CZ104" i="43"/>
  <c r="DA104" i="43"/>
  <c r="CZ112" i="43"/>
  <c r="DA112" i="43"/>
  <c r="CZ120" i="43"/>
  <c r="DA120" i="43"/>
  <c r="CZ128" i="43"/>
  <c r="DA128" i="43"/>
  <c r="CZ136" i="43"/>
  <c r="DA136" i="43"/>
  <c r="CZ144" i="43"/>
  <c r="DA144" i="43"/>
  <c r="CZ152" i="43"/>
  <c r="DA152" i="43"/>
  <c r="CZ160" i="43"/>
  <c r="DA160" i="43"/>
  <c r="CZ168" i="43"/>
  <c r="DA168" i="43"/>
  <c r="CZ176" i="43"/>
  <c r="DA176" i="43"/>
  <c r="CZ184" i="43"/>
  <c r="DA184" i="43"/>
  <c r="CZ192" i="43"/>
  <c r="DA192" i="43"/>
  <c r="CZ200" i="43"/>
  <c r="DA200" i="43"/>
  <c r="CZ208" i="43"/>
  <c r="DA208" i="43"/>
  <c r="CZ216" i="43"/>
  <c r="DA216" i="43"/>
  <c r="CZ224" i="43"/>
  <c r="DA224" i="43"/>
  <c r="CZ232" i="43"/>
  <c r="DA232" i="43"/>
  <c r="CZ240" i="43"/>
  <c r="DA240" i="43"/>
  <c r="CZ248" i="43"/>
  <c r="DA248" i="43"/>
  <c r="CZ256" i="43"/>
  <c r="DA256" i="43"/>
  <c r="CZ264" i="43"/>
  <c r="DA264" i="43"/>
  <c r="CZ272" i="43"/>
  <c r="DA272" i="43"/>
  <c r="CZ280" i="43"/>
  <c r="DA280" i="43"/>
  <c r="CZ288" i="43"/>
  <c r="DA288" i="43"/>
  <c r="CZ296" i="43"/>
  <c r="DA296" i="43"/>
  <c r="CZ304" i="43"/>
  <c r="DA304" i="43"/>
  <c r="CZ25" i="43"/>
  <c r="DA25" i="43"/>
  <c r="CZ41" i="43"/>
  <c r="DA41" i="43"/>
  <c r="CZ49" i="43"/>
  <c r="DA49" i="43"/>
  <c r="CZ57" i="43"/>
  <c r="DA57" i="43"/>
  <c r="CZ65" i="43"/>
  <c r="DA65" i="43"/>
  <c r="CZ73" i="43"/>
  <c r="DA73" i="43"/>
  <c r="CZ81" i="43"/>
  <c r="DA81" i="43"/>
  <c r="CZ89" i="43"/>
  <c r="DA89" i="43"/>
  <c r="CZ97" i="43"/>
  <c r="DA97" i="43"/>
  <c r="CZ105" i="43"/>
  <c r="DA105" i="43"/>
  <c r="CZ113" i="43"/>
  <c r="DA113" i="43"/>
  <c r="CZ121" i="43"/>
  <c r="DA121" i="43"/>
  <c r="CZ129" i="43"/>
  <c r="DA129" i="43"/>
  <c r="CZ137" i="43"/>
  <c r="DA137" i="43"/>
  <c r="CZ145" i="43"/>
  <c r="DA145" i="43"/>
  <c r="CZ153" i="43"/>
  <c r="DA153" i="43"/>
  <c r="CZ161" i="43"/>
  <c r="DA161" i="43"/>
  <c r="CZ169" i="43"/>
  <c r="DA169" i="43"/>
  <c r="CZ177" i="43"/>
  <c r="DA177" i="43"/>
  <c r="CZ185" i="43"/>
  <c r="DA185" i="43"/>
  <c r="CZ193" i="43"/>
  <c r="DA193" i="43"/>
  <c r="CZ201" i="43"/>
  <c r="DA201" i="43"/>
  <c r="CZ209" i="43"/>
  <c r="DA209" i="43"/>
  <c r="CZ217" i="43"/>
  <c r="DA217" i="43"/>
  <c r="CZ225" i="43"/>
  <c r="DA225" i="43"/>
  <c r="CZ233" i="43"/>
  <c r="DA233" i="43"/>
  <c r="CZ241" i="43"/>
  <c r="DA241" i="43"/>
  <c r="CZ249" i="43"/>
  <c r="DA249" i="43"/>
  <c r="CZ257" i="43"/>
  <c r="DA257" i="43"/>
  <c r="CZ265" i="43"/>
  <c r="DA265" i="43"/>
  <c r="CZ273" i="43"/>
  <c r="DA273" i="43"/>
  <c r="CZ281" i="43"/>
  <c r="DA281" i="43"/>
  <c r="CZ289" i="43"/>
  <c r="DA289" i="43"/>
  <c r="CZ297" i="43"/>
  <c r="DA297" i="43"/>
  <c r="CZ305" i="43"/>
  <c r="DA305" i="43"/>
  <c r="CZ18" i="43"/>
  <c r="DA18" i="43"/>
  <c r="CZ26" i="43"/>
  <c r="DA26" i="43"/>
  <c r="CZ34" i="43"/>
  <c r="DA34" i="43"/>
  <c r="CZ42" i="43"/>
  <c r="DA42" i="43"/>
  <c r="CZ50" i="43"/>
  <c r="DA50" i="43"/>
  <c r="CZ58" i="43"/>
  <c r="DA58" i="43"/>
  <c r="CZ66" i="43"/>
  <c r="DA66" i="43"/>
  <c r="CZ74" i="43"/>
  <c r="DA74" i="43"/>
  <c r="CZ82" i="43"/>
  <c r="DA82" i="43"/>
  <c r="CZ90" i="43"/>
  <c r="DA90" i="43"/>
  <c r="CZ98" i="43"/>
  <c r="DA98" i="43"/>
  <c r="CZ106" i="43"/>
  <c r="DA106" i="43"/>
  <c r="CZ114" i="43"/>
  <c r="DA114" i="43"/>
  <c r="CZ122" i="43"/>
  <c r="DA122" i="43"/>
  <c r="CZ130" i="43"/>
  <c r="DA130" i="43"/>
  <c r="CZ138" i="43"/>
  <c r="DA138" i="43"/>
  <c r="CZ146" i="43"/>
  <c r="DA146" i="43"/>
  <c r="CZ154" i="43"/>
  <c r="DA154" i="43"/>
  <c r="CZ162" i="43"/>
  <c r="DA162" i="43"/>
  <c r="CZ170" i="43"/>
  <c r="DA170" i="43"/>
  <c r="CZ178" i="43"/>
  <c r="DA178" i="43"/>
  <c r="CZ186" i="43"/>
  <c r="DA186" i="43"/>
  <c r="CZ194" i="43"/>
  <c r="DA194" i="43"/>
  <c r="CZ202" i="43"/>
  <c r="DA202" i="43"/>
  <c r="CZ210" i="43"/>
  <c r="DA210" i="43"/>
  <c r="CZ218" i="43"/>
  <c r="DA218" i="43"/>
  <c r="CZ226" i="43"/>
  <c r="DA226" i="43"/>
  <c r="CZ234" i="43"/>
  <c r="DA234" i="43"/>
  <c r="CZ242" i="43"/>
  <c r="DA242" i="43"/>
  <c r="CZ250" i="43"/>
  <c r="DA250" i="43"/>
  <c r="CZ258" i="43"/>
  <c r="DA258" i="43"/>
  <c r="CZ266" i="43"/>
  <c r="DA266" i="43"/>
  <c r="CZ274" i="43"/>
  <c r="DA274" i="43"/>
  <c r="CZ282" i="43"/>
  <c r="DA282" i="43"/>
  <c r="CZ290" i="43"/>
  <c r="DA290" i="43"/>
  <c r="CZ298" i="43"/>
  <c r="DA298" i="43"/>
  <c r="CZ19" i="43"/>
  <c r="DA19" i="43"/>
  <c r="CZ27" i="43"/>
  <c r="DA27" i="43"/>
  <c r="CZ35" i="43"/>
  <c r="DA35" i="43"/>
  <c r="CZ43" i="43"/>
  <c r="DA43" i="43"/>
  <c r="CZ51" i="43"/>
  <c r="DA51" i="43"/>
  <c r="CZ59" i="43"/>
  <c r="DA59" i="43"/>
  <c r="CZ67" i="43"/>
  <c r="DA67" i="43"/>
  <c r="CZ75" i="43"/>
  <c r="DA75" i="43"/>
  <c r="CZ83" i="43"/>
  <c r="DA83" i="43"/>
  <c r="CZ91" i="43"/>
  <c r="DA91" i="43"/>
  <c r="CZ99" i="43"/>
  <c r="DA99" i="43"/>
  <c r="CZ107" i="43"/>
  <c r="DA107" i="43"/>
  <c r="CZ115" i="43"/>
  <c r="DA115" i="43"/>
  <c r="CZ123" i="43"/>
  <c r="DA123" i="43"/>
  <c r="CZ131" i="43"/>
  <c r="DA131" i="43"/>
  <c r="CZ139" i="43"/>
  <c r="DA139" i="43"/>
  <c r="CZ147" i="43"/>
  <c r="DA147" i="43"/>
  <c r="CZ155" i="43"/>
  <c r="DA155" i="43"/>
  <c r="CZ163" i="43"/>
  <c r="DA163" i="43"/>
  <c r="CZ171" i="43"/>
  <c r="DA171" i="43"/>
  <c r="CZ179" i="43"/>
  <c r="DA179" i="43"/>
  <c r="CZ187" i="43"/>
  <c r="DA187" i="43"/>
  <c r="CZ195" i="43"/>
  <c r="DA195" i="43"/>
  <c r="CZ203" i="43"/>
  <c r="DA203" i="43"/>
  <c r="CZ211" i="43"/>
  <c r="DA211" i="43"/>
  <c r="CZ219" i="43"/>
  <c r="DA219" i="43"/>
  <c r="CZ227" i="43"/>
  <c r="DA227" i="43"/>
  <c r="CZ235" i="43"/>
  <c r="DA235" i="43"/>
  <c r="CZ243" i="43"/>
  <c r="DA243" i="43"/>
  <c r="CZ251" i="43"/>
  <c r="DA251" i="43"/>
  <c r="CZ259" i="43"/>
  <c r="DA259" i="43"/>
  <c r="CZ267" i="43"/>
  <c r="DA267" i="43"/>
  <c r="CZ275" i="43"/>
  <c r="DA275" i="43"/>
  <c r="CZ283" i="43"/>
  <c r="DA283" i="43"/>
  <c r="CZ291" i="43"/>
  <c r="DA291" i="43"/>
  <c r="CZ299" i="43"/>
  <c r="DA299" i="43"/>
  <c r="CZ20" i="43"/>
  <c r="DA20" i="43"/>
  <c r="CZ28" i="43"/>
  <c r="DA28" i="43"/>
  <c r="CZ36" i="43"/>
  <c r="DA36" i="43"/>
  <c r="CZ44" i="43"/>
  <c r="DA44" i="43"/>
  <c r="CZ52" i="43"/>
  <c r="DA52" i="43"/>
  <c r="CZ60" i="43"/>
  <c r="DA60" i="43"/>
  <c r="CZ68" i="43"/>
  <c r="DA68" i="43"/>
  <c r="CZ76" i="43"/>
  <c r="DA76" i="43"/>
  <c r="CZ84" i="43"/>
  <c r="DA84" i="43"/>
  <c r="CZ92" i="43"/>
  <c r="DA92" i="43"/>
  <c r="CZ100" i="43"/>
  <c r="DA100" i="43"/>
  <c r="CZ108" i="43"/>
  <c r="DA108" i="43"/>
  <c r="CZ116" i="43"/>
  <c r="DA116" i="43"/>
  <c r="CZ124" i="43"/>
  <c r="DA124" i="43"/>
  <c r="CZ132" i="43"/>
  <c r="DA132" i="43"/>
  <c r="CZ140" i="43"/>
  <c r="DA140" i="43"/>
  <c r="CZ148" i="43"/>
  <c r="DA148" i="43"/>
  <c r="CZ156" i="43"/>
  <c r="DA156" i="43"/>
  <c r="CZ164" i="43"/>
  <c r="DA164" i="43"/>
  <c r="CZ172" i="43"/>
  <c r="DA172" i="43"/>
  <c r="CZ180" i="43"/>
  <c r="DA180" i="43"/>
  <c r="CZ188" i="43"/>
  <c r="DA188" i="43"/>
  <c r="CZ196" i="43"/>
  <c r="DA196" i="43"/>
  <c r="CZ204" i="43"/>
  <c r="DA204" i="43"/>
  <c r="CZ212" i="43"/>
  <c r="DA212" i="43"/>
  <c r="CZ220" i="43"/>
  <c r="DA220" i="43"/>
  <c r="CZ228" i="43"/>
  <c r="DA228" i="43"/>
  <c r="CZ236" i="43"/>
  <c r="DA236" i="43"/>
  <c r="CZ244" i="43"/>
  <c r="DA244" i="43"/>
  <c r="CZ252" i="43"/>
  <c r="DA252" i="43"/>
  <c r="CZ260" i="43"/>
  <c r="DA260" i="43"/>
  <c r="CZ268" i="43"/>
  <c r="DA268" i="43"/>
  <c r="CZ276" i="43"/>
  <c r="DA276" i="43"/>
  <c r="CZ284" i="43"/>
  <c r="DA284" i="43"/>
  <c r="CZ292" i="43"/>
  <c r="DA292" i="43"/>
  <c r="CZ300" i="43"/>
  <c r="DA300" i="43"/>
  <c r="CZ21" i="43"/>
  <c r="DA21" i="43"/>
  <c r="CZ29" i="43"/>
  <c r="DA29" i="43"/>
  <c r="CZ37" i="43"/>
  <c r="DA37" i="43"/>
  <c r="CZ45" i="43"/>
  <c r="DA45" i="43"/>
  <c r="CZ53" i="43"/>
  <c r="DA53" i="43"/>
  <c r="CZ61" i="43"/>
  <c r="DA61" i="43"/>
  <c r="CZ69" i="43"/>
  <c r="DA69" i="43"/>
  <c r="CZ77" i="43"/>
  <c r="DA77" i="43"/>
  <c r="CZ85" i="43"/>
  <c r="DA85" i="43"/>
  <c r="CZ93" i="43"/>
  <c r="DA93" i="43"/>
  <c r="CZ101" i="43"/>
  <c r="DA101" i="43"/>
  <c r="CZ109" i="43"/>
  <c r="DA109" i="43"/>
  <c r="CZ117" i="43"/>
  <c r="DA117" i="43"/>
  <c r="CZ125" i="43"/>
  <c r="DA125" i="43"/>
  <c r="CZ133" i="43"/>
  <c r="DA133" i="43"/>
  <c r="CZ141" i="43"/>
  <c r="DA141" i="43"/>
  <c r="CZ149" i="43"/>
  <c r="DA149" i="43"/>
  <c r="CZ157" i="43"/>
  <c r="DA157" i="43"/>
  <c r="CZ165" i="43"/>
  <c r="DA165" i="43"/>
  <c r="CZ173" i="43"/>
  <c r="DA173" i="43"/>
  <c r="CZ181" i="43"/>
  <c r="DA181" i="43"/>
  <c r="CZ189" i="43"/>
  <c r="DA189" i="43"/>
  <c r="CZ197" i="43"/>
  <c r="DA197" i="43"/>
  <c r="CZ205" i="43"/>
  <c r="DA205" i="43"/>
  <c r="CZ213" i="43"/>
  <c r="DA213" i="43"/>
  <c r="CZ221" i="43"/>
  <c r="DA221" i="43"/>
  <c r="CZ229" i="43"/>
  <c r="DA229" i="43"/>
  <c r="CZ237" i="43"/>
  <c r="DA237" i="43"/>
  <c r="CZ245" i="43"/>
  <c r="DA245" i="43"/>
  <c r="CZ253" i="43"/>
  <c r="DA253" i="43"/>
  <c r="CZ261" i="43"/>
  <c r="DA261" i="43"/>
  <c r="CZ269" i="43"/>
  <c r="DA269" i="43"/>
  <c r="CZ277" i="43"/>
  <c r="DA277" i="43"/>
  <c r="CZ285" i="43"/>
  <c r="DA285" i="43"/>
  <c r="CZ293" i="43"/>
  <c r="DA293" i="43"/>
  <c r="CZ301" i="43"/>
  <c r="DA301" i="43"/>
  <c r="CZ30" i="43"/>
  <c r="DA30" i="43"/>
  <c r="CZ38" i="43"/>
  <c r="DA38" i="43"/>
  <c r="CZ46" i="43"/>
  <c r="DA46" i="43"/>
  <c r="CZ54" i="43"/>
  <c r="DA54" i="43"/>
  <c r="CZ62" i="43"/>
  <c r="DA62" i="43"/>
  <c r="CZ70" i="43"/>
  <c r="DA70" i="43"/>
  <c r="CZ78" i="43"/>
  <c r="DA78" i="43"/>
  <c r="CZ86" i="43"/>
  <c r="DA86" i="43"/>
  <c r="CZ94" i="43"/>
  <c r="DA94" i="43"/>
  <c r="CZ102" i="43"/>
  <c r="DA102" i="43"/>
  <c r="CZ110" i="43"/>
  <c r="DA110" i="43"/>
  <c r="CZ118" i="43"/>
  <c r="DA118" i="43"/>
  <c r="CZ126" i="43"/>
  <c r="DA126" i="43"/>
  <c r="CZ134" i="43"/>
  <c r="DA134" i="43"/>
  <c r="CZ142" i="43"/>
  <c r="DA142" i="43"/>
  <c r="CZ150" i="43"/>
  <c r="DA150" i="43"/>
  <c r="CZ158" i="43"/>
  <c r="DA158" i="43"/>
  <c r="CZ166" i="43"/>
  <c r="DA166" i="43"/>
  <c r="CZ174" i="43"/>
  <c r="DA174" i="43"/>
  <c r="CZ182" i="43"/>
  <c r="DA182" i="43"/>
  <c r="CZ190" i="43"/>
  <c r="DA190" i="43"/>
  <c r="CZ198" i="43"/>
  <c r="DA198" i="43"/>
  <c r="CZ206" i="43"/>
  <c r="DA206" i="43"/>
  <c r="CZ214" i="43"/>
  <c r="DA214" i="43"/>
  <c r="CZ222" i="43"/>
  <c r="DA222" i="43"/>
  <c r="CZ230" i="43"/>
  <c r="DA230" i="43"/>
  <c r="CZ238" i="43"/>
  <c r="DA238" i="43"/>
  <c r="CZ246" i="43"/>
  <c r="DA246" i="43"/>
  <c r="CZ254" i="43"/>
  <c r="DA254" i="43"/>
  <c r="CZ262" i="43"/>
  <c r="DA262" i="43"/>
  <c r="CZ270" i="43"/>
  <c r="DA270" i="43"/>
  <c r="CZ278" i="43"/>
  <c r="DA278" i="43"/>
  <c r="CZ286" i="43"/>
  <c r="DA286" i="43"/>
  <c r="CZ294" i="43"/>
  <c r="DA294" i="43"/>
  <c r="CZ302" i="43"/>
  <c r="DA302" i="43"/>
  <c r="CZ23" i="43"/>
  <c r="DA23" i="43"/>
  <c r="CZ31" i="43"/>
  <c r="DA31" i="43"/>
  <c r="CZ39" i="43"/>
  <c r="DA39" i="43"/>
  <c r="CZ47" i="43"/>
  <c r="DA47" i="43"/>
  <c r="CZ55" i="43"/>
  <c r="DA55" i="43"/>
  <c r="CZ63" i="43"/>
  <c r="DA63" i="43"/>
  <c r="CZ71" i="43"/>
  <c r="DA71" i="43"/>
  <c r="CZ79" i="43"/>
  <c r="DA79" i="43"/>
  <c r="CZ87" i="43"/>
  <c r="DA87" i="43"/>
  <c r="CZ95" i="43"/>
  <c r="DA95" i="43"/>
  <c r="CZ103" i="43"/>
  <c r="DA103" i="43"/>
  <c r="CZ111" i="43"/>
  <c r="DA111" i="43"/>
  <c r="CZ119" i="43"/>
  <c r="DA119" i="43"/>
  <c r="CZ127" i="43"/>
  <c r="DA127" i="43"/>
  <c r="CZ135" i="43"/>
  <c r="DA135" i="43"/>
  <c r="CZ143" i="43"/>
  <c r="DA143" i="43"/>
  <c r="CZ151" i="43"/>
  <c r="DA151" i="43"/>
  <c r="CZ159" i="43"/>
  <c r="DA159" i="43"/>
  <c r="CZ167" i="43"/>
  <c r="DA167" i="43"/>
  <c r="CZ175" i="43"/>
  <c r="DA175" i="43"/>
  <c r="CZ183" i="43"/>
  <c r="DA183" i="43"/>
  <c r="CZ191" i="43"/>
  <c r="DA191" i="43"/>
  <c r="CZ199" i="43"/>
  <c r="DA199" i="43"/>
  <c r="CZ207" i="43"/>
  <c r="DA207" i="43"/>
  <c r="CZ215" i="43"/>
  <c r="DA215" i="43"/>
  <c r="CZ223" i="43"/>
  <c r="DA223" i="43"/>
  <c r="CZ231" i="43"/>
  <c r="DA231" i="43"/>
  <c r="CZ239" i="43"/>
  <c r="DA239" i="43"/>
  <c r="CZ247" i="43"/>
  <c r="DA247" i="43"/>
  <c r="CZ255" i="43"/>
  <c r="DA255" i="43"/>
  <c r="CZ263" i="43"/>
  <c r="DA263" i="43"/>
  <c r="CZ271" i="43"/>
  <c r="DA271" i="43"/>
  <c r="CZ279" i="43"/>
  <c r="DA279" i="43"/>
  <c r="CZ287" i="43"/>
  <c r="DA287" i="43"/>
  <c r="CZ295" i="43"/>
  <c r="DA295" i="43"/>
  <c r="CZ303" i="43"/>
  <c r="DA303" i="43"/>
  <c r="E13" i="44"/>
  <c r="N10" i="43"/>
  <c r="N11" i="43"/>
  <c r="Z10" i="43"/>
  <c r="Z11" i="43"/>
  <c r="O10" i="43"/>
  <c r="O11" i="43"/>
  <c r="P10" i="43"/>
  <c r="P11" i="43"/>
  <c r="K11" i="43"/>
  <c r="K10" i="43"/>
  <c r="F13" i="44"/>
  <c r="S10" i="43"/>
  <c r="S11" i="43"/>
  <c r="T10" i="43"/>
  <c r="T11" i="43"/>
  <c r="Y10" i="43"/>
  <c r="Y11" i="43"/>
  <c r="AA11" i="43"/>
  <c r="AA10" i="43"/>
  <c r="D13" i="44"/>
  <c r="I10" i="43"/>
  <c r="I11" i="43"/>
  <c r="U10" i="43"/>
  <c r="U11" i="43"/>
  <c r="J10" i="43"/>
  <c r="J11" i="43"/>
  <c r="G13" i="44"/>
  <c r="X10" i="43"/>
  <c r="X11" i="43"/>
  <c r="N13" i="44"/>
  <c r="L38" i="60" s="1"/>
  <c r="CX17" i="43"/>
  <c r="CX33" i="43"/>
  <c r="CX49" i="43"/>
  <c r="CX57" i="43"/>
  <c r="CX73" i="43"/>
  <c r="CX82" i="43"/>
  <c r="CX90" i="43"/>
  <c r="CX98" i="43"/>
  <c r="CX106" i="43"/>
  <c r="CX114" i="43"/>
  <c r="CX122" i="43"/>
  <c r="CX130" i="43"/>
  <c r="CX138" i="43"/>
  <c r="CX146" i="43"/>
  <c r="CX154" i="43"/>
  <c r="CX162" i="43"/>
  <c r="CX170" i="43"/>
  <c r="CX178" i="43"/>
  <c r="CX186" i="43"/>
  <c r="CX194" i="43"/>
  <c r="CX202" i="43"/>
  <c r="CX210" i="43"/>
  <c r="CX218" i="43"/>
  <c r="CX226" i="43"/>
  <c r="CX234" i="43"/>
  <c r="CX242" i="43"/>
  <c r="CX250" i="43"/>
  <c r="CX258" i="43"/>
  <c r="CX266" i="43"/>
  <c r="CX274" i="43"/>
  <c r="CX282" i="43"/>
  <c r="CX290" i="43"/>
  <c r="CX298" i="43"/>
  <c r="CX25" i="43"/>
  <c r="CX41" i="43"/>
  <c r="CX65" i="43"/>
  <c r="CX22" i="43"/>
  <c r="CX62" i="43"/>
  <c r="CX78" i="43"/>
  <c r="CX111" i="43"/>
  <c r="CX127" i="43"/>
  <c r="CX143" i="43"/>
  <c r="CX175" i="43"/>
  <c r="CX207" i="43"/>
  <c r="CX231" i="43"/>
  <c r="CX263" i="43"/>
  <c r="CX271" i="43"/>
  <c r="CX279" i="43"/>
  <c r="CX303" i="43"/>
  <c r="CX46" i="43"/>
  <c r="CX70" i="43"/>
  <c r="CX95" i="43"/>
  <c r="CX103" i="43"/>
  <c r="CX135" i="43"/>
  <c r="CX159" i="43"/>
  <c r="CX183" i="43"/>
  <c r="CX199" i="43"/>
  <c r="CX223" i="43"/>
  <c r="CX255" i="43"/>
  <c r="CX287" i="43"/>
  <c r="CX30" i="43"/>
  <c r="CX38" i="43"/>
  <c r="CX54" i="43"/>
  <c r="CX87" i="43"/>
  <c r="CX119" i="43"/>
  <c r="CX151" i="43"/>
  <c r="CX167" i="43"/>
  <c r="CX191" i="43"/>
  <c r="CX215" i="43"/>
  <c r="CX239" i="43"/>
  <c r="CX247" i="43"/>
  <c r="CX295" i="43"/>
  <c r="CX161" i="43"/>
  <c r="CX169" i="43"/>
  <c r="CX177" i="43"/>
  <c r="CX185" i="43"/>
  <c r="CX193" i="43"/>
  <c r="CX201" i="43"/>
  <c r="CX209" i="43"/>
  <c r="CX217" i="43"/>
  <c r="CX225" i="43"/>
  <c r="CX233" i="43"/>
  <c r="CX241" i="43"/>
  <c r="CX249" i="43"/>
  <c r="CX257" i="43"/>
  <c r="CX265" i="43"/>
  <c r="CX273" i="43"/>
  <c r="CX281" i="43"/>
  <c r="CX289" i="43"/>
  <c r="CX297" i="43"/>
  <c r="CX305" i="43"/>
  <c r="CX288" i="43"/>
  <c r="CX45" i="43"/>
  <c r="CX61" i="43"/>
  <c r="CX69" i="43"/>
  <c r="CX77" i="43"/>
  <c r="CX86" i="43"/>
  <c r="CX94" i="43"/>
  <c r="CX102" i="43"/>
  <c r="CX110" i="43"/>
  <c r="CX118" i="43"/>
  <c r="CX126" i="43"/>
  <c r="CX134" i="43"/>
  <c r="CX142" i="43"/>
  <c r="CX150" i="43"/>
  <c r="CX158" i="43"/>
  <c r="CX166" i="43"/>
  <c r="CX174" i="43"/>
  <c r="CX182" i="43"/>
  <c r="CX190" i="43"/>
  <c r="CX198" i="43"/>
  <c r="CX206" i="43"/>
  <c r="CX214" i="43"/>
  <c r="CX222" i="43"/>
  <c r="CX230" i="43"/>
  <c r="CX238" i="43"/>
  <c r="CX246" i="43"/>
  <c r="CX254" i="43"/>
  <c r="CX262" i="43"/>
  <c r="CX270" i="43"/>
  <c r="CX278" i="43"/>
  <c r="CX286" i="43"/>
  <c r="CX294" i="43"/>
  <c r="CX302" i="43"/>
  <c r="CX19" i="43"/>
  <c r="CX27" i="43"/>
  <c r="CX35" i="43"/>
  <c r="CX43" i="43"/>
  <c r="CX51" i="43"/>
  <c r="CX59" i="43"/>
  <c r="CX67" i="43"/>
  <c r="CX75" i="43"/>
  <c r="CX84" i="43"/>
  <c r="CX92" i="43"/>
  <c r="CX100" i="43"/>
  <c r="CX108" i="43"/>
  <c r="CX116" i="43"/>
  <c r="CX124" i="43"/>
  <c r="CX132" i="43"/>
  <c r="CX140" i="43"/>
  <c r="CX148" i="43"/>
  <c r="CX156" i="43"/>
  <c r="CX164" i="43"/>
  <c r="CX172" i="43"/>
  <c r="CX180" i="43"/>
  <c r="CX188" i="43"/>
  <c r="CX196" i="43"/>
  <c r="CX204" i="43"/>
  <c r="CX212" i="43"/>
  <c r="CX220" i="43"/>
  <c r="CX228" i="43"/>
  <c r="CX236" i="43"/>
  <c r="CX244" i="43"/>
  <c r="CX252" i="43"/>
  <c r="CX260" i="43"/>
  <c r="CX268" i="43"/>
  <c r="CX276" i="43"/>
  <c r="CX284" i="43"/>
  <c r="CX292" i="43"/>
  <c r="CX300" i="43"/>
  <c r="CX18" i="43"/>
  <c r="CX26" i="43"/>
  <c r="CX34" i="43"/>
  <c r="CX42" i="43"/>
  <c r="CX50" i="43"/>
  <c r="CX58" i="43"/>
  <c r="CX66" i="43"/>
  <c r="CX74" i="43"/>
  <c r="CX83" i="43"/>
  <c r="CX91" i="43"/>
  <c r="CX99" i="43"/>
  <c r="CX107" i="43"/>
  <c r="CX115" i="43"/>
  <c r="CX123" i="43"/>
  <c r="CX131" i="43"/>
  <c r="CX139" i="43"/>
  <c r="CX147" i="43"/>
  <c r="CX155" i="43"/>
  <c r="CX163" i="43"/>
  <c r="CX171" i="43"/>
  <c r="CX179" i="43"/>
  <c r="CX187" i="43"/>
  <c r="CX195" i="43"/>
  <c r="CX203" i="43"/>
  <c r="CX211" i="43"/>
  <c r="CX219" i="43"/>
  <c r="CX227" i="43"/>
  <c r="CX235" i="43"/>
  <c r="CX243" i="43"/>
  <c r="CX251" i="43"/>
  <c r="CX259" i="43"/>
  <c r="CX267" i="43"/>
  <c r="CX275" i="43"/>
  <c r="CX283" i="43"/>
  <c r="CX291" i="43"/>
  <c r="CX299" i="43"/>
  <c r="J45" i="66"/>
  <c r="BJ323" i="43"/>
  <c r="J44" i="66"/>
  <c r="J47" i="66"/>
  <c r="J42" i="66"/>
  <c r="J43" i="66"/>
  <c r="J48" i="66"/>
  <c r="J46" i="66"/>
  <c r="BB46" i="66" s="1"/>
  <c r="H13" i="44"/>
  <c r="D168" i="66" s="1"/>
  <c r="AC10" i="43"/>
  <c r="AC11" i="43"/>
  <c r="AD11" i="43"/>
  <c r="AD10" i="43"/>
  <c r="AE11" i="43"/>
  <c r="AE10" i="43"/>
  <c r="I13" i="44"/>
  <c r="AH10" i="43"/>
  <c r="AH11" i="43"/>
  <c r="J13" i="44"/>
  <c r="F168" i="66" s="1"/>
  <c r="AM11" i="43"/>
  <c r="AM10" i="43"/>
  <c r="K13" i="44"/>
  <c r="G168" i="66" s="1"/>
  <c r="AR10" i="43"/>
  <c r="AR11" i="43"/>
  <c r="L13" i="44"/>
  <c r="H168" i="66" s="1"/>
  <c r="AW11" i="43"/>
  <c r="AW10" i="43"/>
  <c r="BB10" i="43"/>
  <c r="BB11" i="43"/>
  <c r="BD11" i="43"/>
  <c r="BD10" i="43"/>
  <c r="CX16" i="43"/>
  <c r="CX24" i="43"/>
  <c r="CX32" i="43"/>
  <c r="CX40" i="43"/>
  <c r="CX48" i="43"/>
  <c r="CX56" i="43"/>
  <c r="CX64" i="43"/>
  <c r="CX72" i="43"/>
  <c r="CX80" i="43"/>
  <c r="CX89" i="43"/>
  <c r="CX97" i="43"/>
  <c r="CX105" i="43"/>
  <c r="CX113" i="43"/>
  <c r="CX121" i="43"/>
  <c r="CX129" i="43"/>
  <c r="CX137" i="43"/>
  <c r="CX145" i="43"/>
  <c r="CX153" i="43"/>
  <c r="AY10" i="43"/>
  <c r="AY11" i="43"/>
  <c r="AT11" i="43"/>
  <c r="AT10" i="43"/>
  <c r="AJ10" i="43"/>
  <c r="AO10" i="43"/>
  <c r="AO11" i="43"/>
  <c r="AJ11" i="43"/>
  <c r="AI11" i="43"/>
  <c r="AI10" i="43"/>
  <c r="AN11" i="43"/>
  <c r="AN10" i="43"/>
  <c r="CX52" i="43"/>
  <c r="CX117" i="43"/>
  <c r="AS11" i="43"/>
  <c r="AS10" i="43"/>
  <c r="AX10" i="43"/>
  <c r="AX11" i="43"/>
  <c r="CX20" i="43"/>
  <c r="CX44" i="43"/>
  <c r="CX76" i="43"/>
  <c r="CX85" i="43"/>
  <c r="CX93" i="43"/>
  <c r="CX101" i="43"/>
  <c r="CX133" i="43"/>
  <c r="CX141" i="43"/>
  <c r="CX149" i="43"/>
  <c r="CX157" i="43"/>
  <c r="CX165" i="43"/>
  <c r="CX173" i="43"/>
  <c r="CX181" i="43"/>
  <c r="CX189" i="43"/>
  <c r="CX197" i="43"/>
  <c r="CX205" i="43"/>
  <c r="CX213" i="43"/>
  <c r="CX221" i="43"/>
  <c r="CX229" i="43"/>
  <c r="CX237" i="43"/>
  <c r="CX245" i="43"/>
  <c r="CX253" i="43"/>
  <c r="CX261" i="43"/>
  <c r="CX269" i="43"/>
  <c r="CX277" i="43"/>
  <c r="CX285" i="43"/>
  <c r="CX293" i="43"/>
  <c r="CX301" i="43"/>
  <c r="CX36" i="43"/>
  <c r="CX68" i="43"/>
  <c r="CX125" i="43"/>
  <c r="CX28" i="43"/>
  <c r="CX60" i="43"/>
  <c r="CX109" i="43"/>
  <c r="BC10" i="43"/>
  <c r="BC11" i="43"/>
  <c r="M13" i="44"/>
  <c r="I168" i="66" s="1"/>
  <c r="CB17" i="43"/>
  <c r="CN17" i="43" s="1"/>
  <c r="I45" i="66"/>
  <c r="CB33" i="43"/>
  <c r="CN33" i="43" s="1"/>
  <c r="I44" i="66"/>
  <c r="CZ15" i="43"/>
  <c r="I46" i="66"/>
  <c r="CB22" i="43"/>
  <c r="CN22" i="43" s="1"/>
  <c r="I48" i="66"/>
  <c r="CB16" i="43"/>
  <c r="CN16" i="43" s="1"/>
  <c r="I47" i="66"/>
  <c r="CB24" i="43"/>
  <c r="CN24" i="43" s="1"/>
  <c r="I42" i="66"/>
  <c r="CB48" i="43"/>
  <c r="CN48" i="43" s="1"/>
  <c r="I43" i="66"/>
  <c r="CX37" i="43"/>
  <c r="CX21" i="43"/>
  <c r="CX29" i="43"/>
  <c r="CX53" i="43"/>
  <c r="CX168" i="43"/>
  <c r="CX23" i="43"/>
  <c r="CX39" i="43"/>
  <c r="CX55" i="43"/>
  <c r="CX71" i="43"/>
  <c r="CX88" i="43"/>
  <c r="CX96" i="43"/>
  <c r="CX112" i="43"/>
  <c r="CX128" i="43"/>
  <c r="CX144" i="43"/>
  <c r="CX160" i="43"/>
  <c r="CX184" i="43"/>
  <c r="CX200" i="43"/>
  <c r="CX216" i="43"/>
  <c r="CX232" i="43"/>
  <c r="CX248" i="43"/>
  <c r="CX264" i="43"/>
  <c r="CX272" i="43"/>
  <c r="CX280" i="43"/>
  <c r="CX304" i="43"/>
  <c r="CY5" i="43"/>
  <c r="CY4" i="43"/>
  <c r="CX15" i="43"/>
  <c r="CX31" i="43"/>
  <c r="CX47" i="43"/>
  <c r="CX63" i="43"/>
  <c r="CX79" i="43"/>
  <c r="CX104" i="43"/>
  <c r="CX120" i="43"/>
  <c r="CX136" i="43"/>
  <c r="CX152" i="43"/>
  <c r="CX176" i="43"/>
  <c r="CX192" i="43"/>
  <c r="CX208" i="43"/>
  <c r="CX224" i="43"/>
  <c r="CX240" i="43"/>
  <c r="CX256" i="43"/>
  <c r="CX296" i="43"/>
  <c r="CW28" i="43"/>
  <c r="CV28" i="43"/>
  <c r="CW68" i="43"/>
  <c r="CV68" i="43"/>
  <c r="CV109" i="43"/>
  <c r="CW109" i="43"/>
  <c r="CV157" i="43"/>
  <c r="CW157" i="43"/>
  <c r="CV197" i="43"/>
  <c r="CW197" i="43"/>
  <c r="CV237" i="43"/>
  <c r="CW237" i="43"/>
  <c r="CW15" i="43"/>
  <c r="CV15" i="43"/>
  <c r="CW23" i="43"/>
  <c r="CV23" i="43"/>
  <c r="CW31" i="43"/>
  <c r="CV31" i="43"/>
  <c r="CW39" i="43"/>
  <c r="CV39" i="43"/>
  <c r="CW47" i="43"/>
  <c r="CV47" i="43"/>
  <c r="CW55" i="43"/>
  <c r="CV55" i="43"/>
  <c r="CW63" i="43"/>
  <c r="CV63" i="43"/>
  <c r="CW71" i="43"/>
  <c r="CV71" i="43"/>
  <c r="CW79" i="43"/>
  <c r="CV79" i="43"/>
  <c r="CW88" i="43"/>
  <c r="CV88" i="43"/>
  <c r="CW96" i="43"/>
  <c r="CV96" i="43"/>
  <c r="CW104" i="43"/>
  <c r="CV104" i="43"/>
  <c r="CW112" i="43"/>
  <c r="CV112" i="43"/>
  <c r="CW120" i="43"/>
  <c r="CV120" i="43"/>
  <c r="CW128" i="43"/>
  <c r="CV128" i="43"/>
  <c r="CW136" i="43"/>
  <c r="CV136" i="43"/>
  <c r="CW144" i="43"/>
  <c r="CV144" i="43"/>
  <c r="CW152" i="43"/>
  <c r="CV152" i="43"/>
  <c r="CW160" i="43"/>
  <c r="CV160" i="43"/>
  <c r="CW168" i="43"/>
  <c r="CV168" i="43"/>
  <c r="CW176" i="43"/>
  <c r="CV176" i="43"/>
  <c r="CW184" i="43"/>
  <c r="CV184" i="43"/>
  <c r="CW192" i="43"/>
  <c r="CV192" i="43"/>
  <c r="CW200" i="43"/>
  <c r="CV200" i="43"/>
  <c r="CW208" i="43"/>
  <c r="CV208" i="43"/>
  <c r="CW216" i="43"/>
  <c r="CV216" i="43"/>
  <c r="CW224" i="43"/>
  <c r="CV224" i="43"/>
  <c r="CW232" i="43"/>
  <c r="CV232" i="43"/>
  <c r="CW240" i="43"/>
  <c r="CV240" i="43"/>
  <c r="CW248" i="43"/>
  <c r="CV248" i="43"/>
  <c r="CW256" i="43"/>
  <c r="CV256" i="43"/>
  <c r="CW264" i="43"/>
  <c r="CV264" i="43"/>
  <c r="CW272" i="43"/>
  <c r="CV272" i="43"/>
  <c r="CW280" i="43"/>
  <c r="CV280" i="43"/>
  <c r="CW288" i="43"/>
  <c r="CV288" i="43"/>
  <c r="CW296" i="43"/>
  <c r="CV296" i="43"/>
  <c r="CW304" i="43"/>
  <c r="CV304" i="43"/>
  <c r="CW52" i="43"/>
  <c r="CV52" i="43"/>
  <c r="CV125" i="43"/>
  <c r="CW125" i="43"/>
  <c r="CW32" i="43"/>
  <c r="CV32" i="43"/>
  <c r="CW64" i="43"/>
  <c r="CV64" i="43"/>
  <c r="CV105" i="43"/>
  <c r="CW105" i="43"/>
  <c r="CV113" i="43"/>
  <c r="CW113" i="43"/>
  <c r="CV121" i="43"/>
  <c r="CW121" i="43"/>
  <c r="CV129" i="43"/>
  <c r="CW129" i="43"/>
  <c r="CV137" i="43"/>
  <c r="CW137" i="43"/>
  <c r="CV145" i="43"/>
  <c r="CW145" i="43"/>
  <c r="CV153" i="43"/>
  <c r="CW153" i="43"/>
  <c r="CV161" i="43"/>
  <c r="CW161" i="43"/>
  <c r="CV169" i="43"/>
  <c r="CW169" i="43"/>
  <c r="CV177" i="43"/>
  <c r="CW177" i="43"/>
  <c r="CV185" i="43"/>
  <c r="CW185" i="43"/>
  <c r="CV193" i="43"/>
  <c r="CW193" i="43"/>
  <c r="CV201" i="43"/>
  <c r="CW201" i="43"/>
  <c r="CV209" i="43"/>
  <c r="CW209" i="43"/>
  <c r="CV217" i="43"/>
  <c r="CW217" i="43"/>
  <c r="CV225" i="43"/>
  <c r="CW225" i="43"/>
  <c r="CV233" i="43"/>
  <c r="CW233" i="43"/>
  <c r="CV241" i="43"/>
  <c r="CW241" i="43"/>
  <c r="CV249" i="43"/>
  <c r="CW249" i="43"/>
  <c r="CV257" i="43"/>
  <c r="CW257" i="43"/>
  <c r="CV265" i="43"/>
  <c r="CW265" i="43"/>
  <c r="CV273" i="43"/>
  <c r="CW273" i="43"/>
  <c r="CV281" i="43"/>
  <c r="CW281" i="43"/>
  <c r="CV289" i="43"/>
  <c r="CW289" i="43"/>
  <c r="CV297" i="43"/>
  <c r="CW297" i="43"/>
  <c r="CV305" i="43"/>
  <c r="CW305" i="43"/>
  <c r="CW36" i="43"/>
  <c r="CV36" i="43"/>
  <c r="CV93" i="43"/>
  <c r="CW93" i="43"/>
  <c r="CV149" i="43"/>
  <c r="CW149" i="43"/>
  <c r="CW24" i="43"/>
  <c r="CV24" i="43"/>
  <c r="CW48" i="43"/>
  <c r="CV48" i="43"/>
  <c r="CW72" i="43"/>
  <c r="CV72" i="43"/>
  <c r="CW80" i="43"/>
  <c r="CV80" i="43"/>
  <c r="CV97" i="43"/>
  <c r="CW97" i="43"/>
  <c r="CV17" i="43"/>
  <c r="CW17" i="43"/>
  <c r="CV25" i="43"/>
  <c r="CW25" i="43"/>
  <c r="CV33" i="43"/>
  <c r="CW33" i="43"/>
  <c r="CV41" i="43"/>
  <c r="CW41" i="43"/>
  <c r="CV49" i="43"/>
  <c r="CW49" i="43"/>
  <c r="CV57" i="43"/>
  <c r="CW57" i="43"/>
  <c r="CV65" i="43"/>
  <c r="CW65" i="43"/>
  <c r="CV73" i="43"/>
  <c r="CW73" i="43"/>
  <c r="CV82" i="43"/>
  <c r="CW82" i="43"/>
  <c r="CV90" i="43"/>
  <c r="CW90" i="43"/>
  <c r="CV98" i="43"/>
  <c r="CW98" i="43"/>
  <c r="CV106" i="43"/>
  <c r="CW106" i="43"/>
  <c r="CV114" i="43"/>
  <c r="CW114" i="43"/>
  <c r="CV122" i="43"/>
  <c r="CW122" i="43"/>
  <c r="CV130" i="43"/>
  <c r="CW130" i="43"/>
  <c r="CV138" i="43"/>
  <c r="CW138" i="43"/>
  <c r="CV146" i="43"/>
  <c r="CW146" i="43"/>
  <c r="CV154" i="43"/>
  <c r="CW154" i="43"/>
  <c r="CV162" i="43"/>
  <c r="CW162" i="43"/>
  <c r="CV170" i="43"/>
  <c r="CW170" i="43"/>
  <c r="CV178" i="43"/>
  <c r="CW178" i="43"/>
  <c r="CV186" i="43"/>
  <c r="CW186" i="43"/>
  <c r="CV194" i="43"/>
  <c r="CW194" i="43"/>
  <c r="CV202" i="43"/>
  <c r="CW202" i="43"/>
  <c r="CV210" i="43"/>
  <c r="CW210" i="43"/>
  <c r="CV218" i="43"/>
  <c r="CW218" i="43"/>
  <c r="CV226" i="43"/>
  <c r="CW226" i="43"/>
  <c r="CV234" i="43"/>
  <c r="CW234" i="43"/>
  <c r="CV242" i="43"/>
  <c r="CW242" i="43"/>
  <c r="CV250" i="43"/>
  <c r="CW250" i="43"/>
  <c r="CV258" i="43"/>
  <c r="CW258" i="43"/>
  <c r="CV266" i="43"/>
  <c r="CW266" i="43"/>
  <c r="CV274" i="43"/>
  <c r="CW274" i="43"/>
  <c r="CV282" i="43"/>
  <c r="CW282" i="43"/>
  <c r="CV290" i="43"/>
  <c r="CW290" i="43"/>
  <c r="CW298" i="43"/>
  <c r="CV298" i="43"/>
  <c r="CW20" i="43"/>
  <c r="CV20" i="43"/>
  <c r="CW76" i="43"/>
  <c r="CV76" i="43"/>
  <c r="CV141" i="43"/>
  <c r="CW141" i="43"/>
  <c r="CW16" i="43"/>
  <c r="CV16" i="43"/>
  <c r="CW40" i="43"/>
  <c r="CV40" i="43"/>
  <c r="CW56" i="43"/>
  <c r="CV56" i="43"/>
  <c r="CV89" i="43"/>
  <c r="CW89" i="43"/>
  <c r="CW18" i="43"/>
  <c r="CV18" i="43"/>
  <c r="CV26" i="43"/>
  <c r="CW26" i="43"/>
  <c r="CV34" i="43"/>
  <c r="CW34" i="43"/>
  <c r="CV42" i="43"/>
  <c r="CW42" i="43"/>
  <c r="CV50" i="43"/>
  <c r="CW50" i="43"/>
  <c r="CV58" i="43"/>
  <c r="CW58" i="43"/>
  <c r="CV66" i="43"/>
  <c r="CW66" i="43"/>
  <c r="CV74" i="43"/>
  <c r="CW74" i="43"/>
  <c r="CW83" i="43"/>
  <c r="CV83" i="43"/>
  <c r="CW91" i="43"/>
  <c r="CV91" i="43"/>
  <c r="CW99" i="43"/>
  <c r="CV99" i="43"/>
  <c r="CW107" i="43"/>
  <c r="CV107" i="43"/>
  <c r="CW115" i="43"/>
  <c r="CV115" i="43"/>
  <c r="CW123" i="43"/>
  <c r="CV123" i="43"/>
  <c r="CW131" i="43"/>
  <c r="CV131" i="43"/>
  <c r="CW139" i="43"/>
  <c r="CV139" i="43"/>
  <c r="CW147" i="43"/>
  <c r="CV147" i="43"/>
  <c r="CW155" i="43"/>
  <c r="CV155" i="43"/>
  <c r="CW163" i="43"/>
  <c r="CV163" i="43"/>
  <c r="CW171" i="43"/>
  <c r="CV171" i="43"/>
  <c r="CW179" i="43"/>
  <c r="CV179" i="43"/>
  <c r="CW187" i="43"/>
  <c r="CV187" i="43"/>
  <c r="CW195" i="43"/>
  <c r="CV195" i="43"/>
  <c r="CW203" i="43"/>
  <c r="CV203" i="43"/>
  <c r="CW211" i="43"/>
  <c r="CV211" i="43"/>
  <c r="CW219" i="43"/>
  <c r="CV219" i="43"/>
  <c r="CW227" i="43"/>
  <c r="CV227" i="43"/>
  <c r="CW235" i="43"/>
  <c r="CV235" i="43"/>
  <c r="CW243" i="43"/>
  <c r="CV243" i="43"/>
  <c r="CW251" i="43"/>
  <c r="CV251" i="43"/>
  <c r="CW259" i="43"/>
  <c r="CV259" i="43"/>
  <c r="CW267" i="43"/>
  <c r="CV267" i="43"/>
  <c r="CW275" i="43"/>
  <c r="CV275" i="43"/>
  <c r="CW283" i="43"/>
  <c r="CV283" i="43"/>
  <c r="CW291" i="43"/>
  <c r="CV291" i="43"/>
  <c r="CW299" i="43"/>
  <c r="CV299" i="43"/>
  <c r="CV101" i="43"/>
  <c r="CW101" i="43"/>
  <c r="CW19" i="43"/>
  <c r="CV19" i="43"/>
  <c r="CW27" i="43"/>
  <c r="CV27" i="43"/>
  <c r="CW35" i="43"/>
  <c r="CV35" i="43"/>
  <c r="CW43" i="43"/>
  <c r="CV43" i="43"/>
  <c r="CW51" i="43"/>
  <c r="CV51" i="43"/>
  <c r="CW59" i="43"/>
  <c r="CV59" i="43"/>
  <c r="CW67" i="43"/>
  <c r="CV67" i="43"/>
  <c r="CW75" i="43"/>
  <c r="CV75" i="43"/>
  <c r="CW84" i="43"/>
  <c r="CV84" i="43"/>
  <c r="CW92" i="43"/>
  <c r="CV92" i="43"/>
  <c r="CW100" i="43"/>
  <c r="CV100" i="43"/>
  <c r="CW108" i="43"/>
  <c r="CV108" i="43"/>
  <c r="CW116" i="43"/>
  <c r="CV116" i="43"/>
  <c r="CW124" i="43"/>
  <c r="CV124" i="43"/>
  <c r="CW132" i="43"/>
  <c r="CV132" i="43"/>
  <c r="CW140" i="43"/>
  <c r="CV140" i="43"/>
  <c r="CW148" i="43"/>
  <c r="CV148" i="43"/>
  <c r="CW156" i="43"/>
  <c r="CV156" i="43"/>
  <c r="CW164" i="43"/>
  <c r="CV164" i="43"/>
  <c r="CW172" i="43"/>
  <c r="CV172" i="43"/>
  <c r="CW180" i="43"/>
  <c r="CV180" i="43"/>
  <c r="CW188" i="43"/>
  <c r="CV188" i="43"/>
  <c r="CW196" i="43"/>
  <c r="CV196" i="43"/>
  <c r="CW204" i="43"/>
  <c r="CV204" i="43"/>
  <c r="CW212" i="43"/>
  <c r="CV212" i="43"/>
  <c r="CW220" i="43"/>
  <c r="CV220" i="43"/>
  <c r="CW228" i="43"/>
  <c r="CV228" i="43"/>
  <c r="CW236" i="43"/>
  <c r="CV236" i="43"/>
  <c r="CW244" i="43"/>
  <c r="CV244" i="43"/>
  <c r="CW252" i="43"/>
  <c r="CV252" i="43"/>
  <c r="CW260" i="43"/>
  <c r="CV260" i="43"/>
  <c r="CW268" i="43"/>
  <c r="CV268" i="43"/>
  <c r="CW276" i="43"/>
  <c r="CV276" i="43"/>
  <c r="CW284" i="43"/>
  <c r="CV284" i="43"/>
  <c r="CW292" i="43"/>
  <c r="CV292" i="43"/>
  <c r="CW300" i="43"/>
  <c r="CV300" i="43"/>
  <c r="CV261" i="43"/>
  <c r="CW261" i="43"/>
  <c r="CV269" i="43"/>
  <c r="CW269" i="43"/>
  <c r="CV277" i="43"/>
  <c r="CW277" i="43"/>
  <c r="CV285" i="43"/>
  <c r="CW285" i="43"/>
  <c r="CV293" i="43"/>
  <c r="CW293" i="43"/>
  <c r="CV301" i="43"/>
  <c r="CW301" i="43"/>
  <c r="CW44" i="43"/>
  <c r="CV44" i="43"/>
  <c r="CV85" i="43"/>
  <c r="CW85" i="43"/>
  <c r="CV133" i="43"/>
  <c r="CW133" i="43"/>
  <c r="CV173" i="43"/>
  <c r="CW173" i="43"/>
  <c r="CV189" i="43"/>
  <c r="CW189" i="43"/>
  <c r="CV205" i="43"/>
  <c r="CW205" i="43"/>
  <c r="CV221" i="43"/>
  <c r="CW221" i="43"/>
  <c r="CV253" i="43"/>
  <c r="CW253" i="43"/>
  <c r="CV21" i="43"/>
  <c r="CW21" i="43"/>
  <c r="CV29" i="43"/>
  <c r="CW29" i="43"/>
  <c r="CV37" i="43"/>
  <c r="CW37" i="43"/>
  <c r="CV45" i="43"/>
  <c r="CW45" i="43"/>
  <c r="CV53" i="43"/>
  <c r="CW53" i="43"/>
  <c r="CV61" i="43"/>
  <c r="CW61" i="43"/>
  <c r="CV69" i="43"/>
  <c r="CW69" i="43"/>
  <c r="CV77" i="43"/>
  <c r="CW77" i="43"/>
  <c r="CV86" i="43"/>
  <c r="CW86" i="43"/>
  <c r="CV94" i="43"/>
  <c r="CW94" i="43"/>
  <c r="CV102" i="43"/>
  <c r="CW102" i="43"/>
  <c r="CV110" i="43"/>
  <c r="CW110" i="43"/>
  <c r="CV118" i="43"/>
  <c r="CW118" i="43"/>
  <c r="CV126" i="43"/>
  <c r="CW126" i="43"/>
  <c r="CV134" i="43"/>
  <c r="CW134" i="43"/>
  <c r="CV142" i="43"/>
  <c r="CW142" i="43"/>
  <c r="CV150" i="43"/>
  <c r="CW150" i="43"/>
  <c r="CV158" i="43"/>
  <c r="CW158" i="43"/>
  <c r="CV166" i="43"/>
  <c r="CW166" i="43"/>
  <c r="CV174" i="43"/>
  <c r="CW174" i="43"/>
  <c r="CV182" i="43"/>
  <c r="CW182" i="43"/>
  <c r="CV190" i="43"/>
  <c r="CW190" i="43"/>
  <c r="CV198" i="43"/>
  <c r="CW198" i="43"/>
  <c r="CV206" i="43"/>
  <c r="CW206" i="43"/>
  <c r="CV214" i="43"/>
  <c r="CW214" i="43"/>
  <c r="CV222" i="43"/>
  <c r="CW222" i="43"/>
  <c r="CV230" i="43"/>
  <c r="CW230" i="43"/>
  <c r="CV238" i="43"/>
  <c r="CW238" i="43"/>
  <c r="CV246" i="43"/>
  <c r="CW246" i="43"/>
  <c r="CV254" i="43"/>
  <c r="CW254" i="43"/>
  <c r="CV262" i="43"/>
  <c r="CW262" i="43"/>
  <c r="CV270" i="43"/>
  <c r="CW270" i="43"/>
  <c r="CV278" i="43"/>
  <c r="CW278" i="43"/>
  <c r="CV286" i="43"/>
  <c r="CW286" i="43"/>
  <c r="CW294" i="43"/>
  <c r="CV294" i="43"/>
  <c r="CW302" i="43"/>
  <c r="CV302" i="43"/>
  <c r="CW60" i="43"/>
  <c r="CV60" i="43"/>
  <c r="CV117" i="43"/>
  <c r="CW117" i="43"/>
  <c r="CV165" i="43"/>
  <c r="CW165" i="43"/>
  <c r="CV181" i="43"/>
  <c r="CW181" i="43"/>
  <c r="CV213" i="43"/>
  <c r="CW213" i="43"/>
  <c r="CV229" i="43"/>
  <c r="CW229" i="43"/>
  <c r="CV245" i="43"/>
  <c r="CW245" i="43"/>
  <c r="CV22" i="43"/>
  <c r="CW22" i="43"/>
  <c r="CV30" i="43"/>
  <c r="CW30" i="43"/>
  <c r="CV38" i="43"/>
  <c r="CW38" i="43"/>
  <c r="CV46" i="43"/>
  <c r="CW46" i="43"/>
  <c r="CV54" i="43"/>
  <c r="CW54" i="43"/>
  <c r="CV62" i="43"/>
  <c r="CW62" i="43"/>
  <c r="CV70" i="43"/>
  <c r="CW70" i="43"/>
  <c r="CV78" i="43"/>
  <c r="CW78" i="43"/>
  <c r="CW87" i="43"/>
  <c r="CV87" i="43"/>
  <c r="CW95" i="43"/>
  <c r="CV95" i="43"/>
  <c r="CW103" i="43"/>
  <c r="CV103" i="43"/>
  <c r="CW111" i="43"/>
  <c r="CV111" i="43"/>
  <c r="CW119" i="43"/>
  <c r="CV119" i="43"/>
  <c r="CW127" i="43"/>
  <c r="CV127" i="43"/>
  <c r="CW135" i="43"/>
  <c r="CV135" i="43"/>
  <c r="CW143" i="43"/>
  <c r="CV143" i="43"/>
  <c r="CW151" i="43"/>
  <c r="CV151" i="43"/>
  <c r="CW159" i="43"/>
  <c r="CV159" i="43"/>
  <c r="CW167" i="43"/>
  <c r="CV167" i="43"/>
  <c r="CW175" i="43"/>
  <c r="CV175" i="43"/>
  <c r="CW183" i="43"/>
  <c r="CV183" i="43"/>
  <c r="CW191" i="43"/>
  <c r="CV191" i="43"/>
  <c r="CW199" i="43"/>
  <c r="CV199" i="43"/>
  <c r="CW207" i="43"/>
  <c r="CV207" i="43"/>
  <c r="CW215" i="43"/>
  <c r="CV215" i="43"/>
  <c r="CW223" i="43"/>
  <c r="CV223" i="43"/>
  <c r="CW231" i="43"/>
  <c r="CV231" i="43"/>
  <c r="CW239" i="43"/>
  <c r="CV239" i="43"/>
  <c r="CW247" i="43"/>
  <c r="CV247" i="43"/>
  <c r="CW255" i="43"/>
  <c r="CV255" i="43"/>
  <c r="CW263" i="43"/>
  <c r="CV263" i="43"/>
  <c r="CW271" i="43"/>
  <c r="CV271" i="43"/>
  <c r="CW279" i="43"/>
  <c r="CV279" i="43"/>
  <c r="CW287" i="43"/>
  <c r="CV287" i="43"/>
  <c r="CW295" i="43"/>
  <c r="CV295" i="43"/>
  <c r="CW303" i="43"/>
  <c r="CV303" i="43"/>
  <c r="E43" i="66"/>
  <c r="P43" i="66" s="1"/>
  <c r="G43" i="66"/>
  <c r="R43" i="66" s="1"/>
  <c r="G42" i="66"/>
  <c r="R42" i="66" s="1"/>
  <c r="G47" i="66"/>
  <c r="R47" i="66" s="1"/>
  <c r="E47" i="66"/>
  <c r="P47" i="66" s="1"/>
  <c r="E42" i="66"/>
  <c r="P42" i="66" s="1"/>
  <c r="E44" i="66"/>
  <c r="P44" i="66" s="1"/>
  <c r="G45" i="66"/>
  <c r="R45" i="66" s="1"/>
  <c r="G44" i="66"/>
  <c r="R44" i="66" s="1"/>
  <c r="E45" i="66"/>
  <c r="P45" i="66" s="1"/>
  <c r="D48" i="66"/>
  <c r="O48" i="66" s="1"/>
  <c r="AK48" i="66" s="1"/>
  <c r="F48" i="66"/>
  <c r="Q48" i="66" s="1"/>
  <c r="D46" i="66"/>
  <c r="O46" i="66" s="1"/>
  <c r="H46" i="66"/>
  <c r="BD46" i="66" s="1"/>
  <c r="BJ333" i="43"/>
  <c r="F43" i="66"/>
  <c r="Q43" i="66" s="1"/>
  <c r="H47" i="66"/>
  <c r="BD47" i="66" s="1"/>
  <c r="H42" i="66"/>
  <c r="BD42" i="66" s="1"/>
  <c r="H43" i="66"/>
  <c r="BD43" i="66" s="1"/>
  <c r="BJ332" i="43"/>
  <c r="BJ331" i="43"/>
  <c r="D47" i="66"/>
  <c r="O47" i="66" s="1"/>
  <c r="AK47" i="66" s="1"/>
  <c r="F42" i="66"/>
  <c r="Q42" i="66" s="1"/>
  <c r="F45" i="66"/>
  <c r="Q45" i="66" s="1"/>
  <c r="H45" i="66"/>
  <c r="BD45" i="66" s="1"/>
  <c r="H44" i="66"/>
  <c r="BD44" i="66" s="1"/>
  <c r="H48" i="66"/>
  <c r="BD48" i="66" s="1"/>
  <c r="BE318" i="43"/>
  <c r="BE320" i="43"/>
  <c r="F46" i="66"/>
  <c r="Q46" i="66" s="1"/>
  <c r="D44" i="66"/>
  <c r="O44" i="66" s="1"/>
  <c r="AK44" i="66" s="1"/>
  <c r="F44" i="66"/>
  <c r="Q44" i="66" s="1"/>
  <c r="E48" i="66"/>
  <c r="P48" i="66" s="1"/>
  <c r="G48" i="66"/>
  <c r="R48" i="66" s="1"/>
  <c r="BJ322" i="43"/>
  <c r="D42" i="66"/>
  <c r="O42" i="66" s="1"/>
  <c r="AK42" i="66" s="1"/>
  <c r="F47" i="66"/>
  <c r="Q47" i="66" s="1"/>
  <c r="D45" i="66"/>
  <c r="O45" i="66" s="1"/>
  <c r="AK45" i="66" s="1"/>
  <c r="E46" i="66"/>
  <c r="P46" i="66" s="1"/>
  <c r="G46" i="66"/>
  <c r="R46" i="66" s="1"/>
  <c r="BJ327" i="43"/>
  <c r="BH11" i="43"/>
  <c r="BH10" i="43"/>
  <c r="BE321" i="43"/>
  <c r="BJ319" i="43"/>
  <c r="BJ330" i="43"/>
  <c r="BI10" i="43"/>
  <c r="BE325" i="43"/>
  <c r="BE326" i="43"/>
  <c r="BJ328" i="43"/>
  <c r="BE13" i="43"/>
  <c r="CB13" i="43" s="1"/>
  <c r="BE329" i="43"/>
  <c r="BE334" i="43"/>
  <c r="BE324" i="43"/>
  <c r="BJ317" i="43"/>
  <c r="BE332" i="43"/>
  <c r="BE331" i="43"/>
  <c r="BE327" i="43"/>
  <c r="BE333" i="43"/>
  <c r="BJ318" i="43"/>
  <c r="BJ320" i="43"/>
  <c r="BE319" i="43"/>
  <c r="BE323" i="43"/>
  <c r="BE330" i="43"/>
  <c r="BJ321" i="43"/>
  <c r="BE322" i="43"/>
  <c r="BE328" i="43"/>
  <c r="BJ325" i="43"/>
  <c r="BJ326" i="43"/>
  <c r="AK43" i="66"/>
  <c r="BE317" i="43"/>
  <c r="BJ13" i="43"/>
  <c r="BJ329" i="43"/>
  <c r="BJ334" i="43"/>
  <c r="BJ324" i="43"/>
  <c r="E168" i="66"/>
  <c r="C168" i="66"/>
  <c r="C180" i="66" s="1"/>
  <c r="N180" i="66" s="1"/>
  <c r="AZ321" i="43"/>
  <c r="AZ325" i="43"/>
  <c r="AZ326" i="43"/>
  <c r="AZ332" i="43"/>
  <c r="AZ331" i="43"/>
  <c r="AZ327" i="43"/>
  <c r="AZ333" i="43"/>
  <c r="AZ324" i="43"/>
  <c r="AZ319" i="43"/>
  <c r="AZ323" i="43"/>
  <c r="AZ330" i="43"/>
  <c r="AZ322" i="43"/>
  <c r="AZ328" i="43"/>
  <c r="AZ317" i="43"/>
  <c r="AZ329" i="43"/>
  <c r="AZ334" i="43"/>
  <c r="AZ318" i="43"/>
  <c r="AZ320" i="43"/>
  <c r="AU13" i="43"/>
  <c r="AU329" i="43"/>
  <c r="AU334" i="43"/>
  <c r="AU324" i="43"/>
  <c r="AU325" i="43"/>
  <c r="AU332" i="43"/>
  <c r="AU331" i="43"/>
  <c r="AU327" i="43"/>
  <c r="AU333" i="43"/>
  <c r="AU320" i="43"/>
  <c r="AU321" i="43"/>
  <c r="AU319" i="43"/>
  <c r="AU323" i="43"/>
  <c r="AU330" i="43"/>
  <c r="AU317" i="43"/>
  <c r="AU318" i="43"/>
  <c r="AU326" i="43"/>
  <c r="AU322" i="43"/>
  <c r="AU328" i="43"/>
  <c r="AP323" i="43"/>
  <c r="AP322" i="43"/>
  <c r="AP328" i="43"/>
  <c r="AP318" i="43"/>
  <c r="AP320" i="43"/>
  <c r="AP319" i="43"/>
  <c r="AP330" i="43"/>
  <c r="AP321" i="43"/>
  <c r="AP325" i="43"/>
  <c r="AP326" i="43"/>
  <c r="AP13" i="43"/>
  <c r="AP329" i="43"/>
  <c r="AP334" i="43"/>
  <c r="AP324" i="43"/>
  <c r="AP317" i="43"/>
  <c r="AP332" i="43"/>
  <c r="AP331" i="43"/>
  <c r="AP327" i="43"/>
  <c r="AP333" i="43"/>
  <c r="AK329" i="43"/>
  <c r="AK334" i="43"/>
  <c r="AK324" i="43"/>
  <c r="AK332" i="43"/>
  <c r="AK331" i="43"/>
  <c r="AK327" i="43"/>
  <c r="AK333" i="43"/>
  <c r="AK330" i="43"/>
  <c r="AK317" i="43"/>
  <c r="AK322" i="43"/>
  <c r="AK328" i="43"/>
  <c r="AK318" i="43"/>
  <c r="AK320" i="43"/>
  <c r="AK321" i="43"/>
  <c r="AK319" i="43"/>
  <c r="AK323" i="43"/>
  <c r="AK325" i="43"/>
  <c r="AK326" i="43"/>
  <c r="AF317" i="43"/>
  <c r="AF321" i="43"/>
  <c r="AF324" i="43"/>
  <c r="AF320" i="43"/>
  <c r="AF325" i="43"/>
  <c r="AF326" i="43"/>
  <c r="AF331" i="43"/>
  <c r="AF334" i="43"/>
  <c r="AF332" i="43"/>
  <c r="AF327" i="43"/>
  <c r="AF319" i="43"/>
  <c r="AF323" i="43"/>
  <c r="AF330" i="43"/>
  <c r="AF333" i="43"/>
  <c r="AF322" i="43"/>
  <c r="AF328" i="43"/>
  <c r="AF329" i="43"/>
  <c r="AF318" i="43"/>
  <c r="G13" i="43"/>
  <c r="Q13" i="43"/>
  <c r="AK13" i="43"/>
  <c r="L13" i="43"/>
  <c r="AF13" i="43"/>
  <c r="AZ13" i="43"/>
  <c r="BG10" i="43"/>
  <c r="BI11" i="43"/>
  <c r="BG11" i="43"/>
  <c r="J168" i="66" l="1"/>
  <c r="K38" i="60"/>
  <c r="AH43" i="66"/>
  <c r="BB43" i="66"/>
  <c r="AH47" i="66"/>
  <c r="BB47" i="66"/>
  <c r="AH45" i="66"/>
  <c r="BB45" i="66"/>
  <c r="AH48" i="66"/>
  <c r="BB48" i="66"/>
  <c r="AH44" i="66"/>
  <c r="BB44" i="66"/>
  <c r="AH42" i="66"/>
  <c r="BB42" i="66"/>
  <c r="U46" i="66"/>
  <c r="AR46" i="66" s="1"/>
  <c r="AH46" i="66"/>
  <c r="CC13" i="43"/>
  <c r="CO13" i="43" s="1"/>
  <c r="DB13" i="43" s="1"/>
  <c r="BO11" i="43"/>
  <c r="BO10" i="43"/>
  <c r="CZ48" i="43"/>
  <c r="DA48" i="43"/>
  <c r="CZ24" i="43"/>
  <c r="DA24" i="43"/>
  <c r="CZ33" i="43"/>
  <c r="DA33" i="43"/>
  <c r="CZ16" i="43"/>
  <c r="DA16" i="43"/>
  <c r="CZ17" i="43"/>
  <c r="DA17" i="43"/>
  <c r="CZ22" i="43"/>
  <c r="DA22" i="43"/>
  <c r="Q11" i="43"/>
  <c r="Q10" i="43"/>
  <c r="V10" i="43"/>
  <c r="V11" i="43"/>
  <c r="L11" i="43"/>
  <c r="L10" i="43"/>
  <c r="I180" i="66"/>
  <c r="T180" i="66" s="1"/>
  <c r="U168" i="66"/>
  <c r="U45" i="66"/>
  <c r="AR45" i="66" s="1"/>
  <c r="BJ11" i="43"/>
  <c r="U48" i="66"/>
  <c r="AR48" i="66" s="1"/>
  <c r="U44" i="66"/>
  <c r="AR44" i="66" s="1"/>
  <c r="J49" i="66"/>
  <c r="U43" i="66"/>
  <c r="AR43" i="66" s="1"/>
  <c r="U42" i="66"/>
  <c r="AR42" i="66" s="1"/>
  <c r="U47" i="66"/>
  <c r="AR47" i="66" s="1"/>
  <c r="BA42" i="66"/>
  <c r="AG42" i="66"/>
  <c r="BA48" i="66"/>
  <c r="AG48" i="66"/>
  <c r="BA44" i="66"/>
  <c r="AG44" i="66"/>
  <c r="BA43" i="66"/>
  <c r="AG43" i="66"/>
  <c r="BA47" i="66"/>
  <c r="AG47" i="66"/>
  <c r="BA46" i="66"/>
  <c r="AG46" i="66"/>
  <c r="BA45" i="66"/>
  <c r="AG45" i="66"/>
  <c r="AF11" i="43"/>
  <c r="AF10" i="43"/>
  <c r="BW13" i="43"/>
  <c r="CI13" i="43" s="1"/>
  <c r="CU13" i="43" s="1"/>
  <c r="T168" i="66"/>
  <c r="AK11" i="43"/>
  <c r="AK10" i="43"/>
  <c r="AP10" i="43"/>
  <c r="AP11" i="43"/>
  <c r="CX4" i="43"/>
  <c r="CX5" i="43"/>
  <c r="AU10" i="43"/>
  <c r="AU11" i="43"/>
  <c r="AZ10" i="43"/>
  <c r="AZ11" i="43"/>
  <c r="CN13" i="43"/>
  <c r="BE10" i="43"/>
  <c r="BE11" i="43"/>
  <c r="T44" i="66"/>
  <c r="T47" i="66"/>
  <c r="T45" i="66"/>
  <c r="T48" i="66"/>
  <c r="T42" i="66"/>
  <c r="I49" i="66"/>
  <c r="T43" i="66"/>
  <c r="T46" i="66"/>
  <c r="CA13" i="43"/>
  <c r="CM13" i="43" s="1"/>
  <c r="BZ13" i="43"/>
  <c r="CL13" i="43" s="1"/>
  <c r="BY13" i="43"/>
  <c r="CK13" i="43" s="1"/>
  <c r="BX13" i="43"/>
  <c r="CJ13" i="43" s="1"/>
  <c r="CV4" i="43"/>
  <c r="CV5" i="43"/>
  <c r="CW4" i="43"/>
  <c r="CW5" i="43"/>
  <c r="S48" i="66"/>
  <c r="AZ48" i="66"/>
  <c r="AF48" i="66"/>
  <c r="S46" i="66"/>
  <c r="AZ46" i="66"/>
  <c r="AF46" i="66"/>
  <c r="S44" i="66"/>
  <c r="AF44" i="66"/>
  <c r="AZ44" i="66"/>
  <c r="S43" i="66"/>
  <c r="AO43" i="66" s="1"/>
  <c r="AZ43" i="66"/>
  <c r="AF43" i="66"/>
  <c r="S45" i="66"/>
  <c r="AZ45" i="66"/>
  <c r="AF45" i="66"/>
  <c r="S42" i="66"/>
  <c r="AZ42" i="66"/>
  <c r="AF42" i="66"/>
  <c r="S47" i="66"/>
  <c r="AO47" i="66" s="1"/>
  <c r="AZ47" i="66"/>
  <c r="AF47" i="66"/>
  <c r="AN48" i="66"/>
  <c r="AN46" i="66"/>
  <c r="BE336" i="43"/>
  <c r="AN44" i="66"/>
  <c r="AN47" i="66"/>
  <c r="AN42" i="66"/>
  <c r="BJ10" i="43"/>
  <c r="AU42" i="66"/>
  <c r="AA42" i="66"/>
  <c r="AV44" i="66"/>
  <c r="AB44" i="66"/>
  <c r="AL47" i="66"/>
  <c r="AV48" i="66"/>
  <c r="AB48" i="66"/>
  <c r="AC48" i="66"/>
  <c r="AW48" i="66"/>
  <c r="AD47" i="66"/>
  <c r="AX47" i="66"/>
  <c r="AY46" i="66"/>
  <c r="AE46" i="66"/>
  <c r="AV47" i="66"/>
  <c r="AB47" i="66"/>
  <c r="AX42" i="66"/>
  <c r="G49" i="66"/>
  <c r="R49" i="66" s="1"/>
  <c r="AD42" i="66"/>
  <c r="AU43" i="66"/>
  <c r="AA43" i="66"/>
  <c r="AU45" i="66"/>
  <c r="AA45" i="66"/>
  <c r="AY47" i="66"/>
  <c r="AE47" i="66"/>
  <c r="AA48" i="66"/>
  <c r="AU48" i="66"/>
  <c r="AY48" i="66"/>
  <c r="AE48" i="66"/>
  <c r="AM43" i="66"/>
  <c r="AM45" i="66"/>
  <c r="AN43" i="66"/>
  <c r="AE43" i="66"/>
  <c r="AY43" i="66"/>
  <c r="AE45" i="66"/>
  <c r="AY45" i="66"/>
  <c r="AL43" i="66"/>
  <c r="AL45" i="66"/>
  <c r="BJ336" i="43"/>
  <c r="AW43" i="66"/>
  <c r="AC43" i="66"/>
  <c r="AC45" i="66"/>
  <c r="AW45" i="66"/>
  <c r="AD43" i="66"/>
  <c r="AX43" i="66"/>
  <c r="AV43" i="66"/>
  <c r="AB43" i="66"/>
  <c r="AV45" i="66"/>
  <c r="AB45" i="66"/>
  <c r="AL42" i="66"/>
  <c r="AM42" i="66"/>
  <c r="AX48" i="66"/>
  <c r="AD48" i="66"/>
  <c r="AX44" i="66"/>
  <c r="AD44" i="66"/>
  <c r="AM47" i="66"/>
  <c r="AB42" i="66"/>
  <c r="AV42" i="66"/>
  <c r="AW42" i="66"/>
  <c r="AC42" i="66"/>
  <c r="F49" i="66"/>
  <c r="Q49" i="66" s="1"/>
  <c r="AA44" i="66"/>
  <c r="AU44" i="66"/>
  <c r="AA47" i="66"/>
  <c r="AU47" i="66"/>
  <c r="H49" i="66"/>
  <c r="BD49" i="66" s="1"/>
  <c r="AY42" i="66"/>
  <c r="AE42" i="66"/>
  <c r="AK46" i="66"/>
  <c r="AW47" i="66"/>
  <c r="AC47" i="66"/>
  <c r="AM44" i="66"/>
  <c r="AN45" i="66"/>
  <c r="AE44" i="66"/>
  <c r="AY44" i="66"/>
  <c r="AD46" i="66"/>
  <c r="AX46" i="66"/>
  <c r="AL44" i="66"/>
  <c r="AL48" i="66"/>
  <c r="AW44" i="66"/>
  <c r="AC44" i="66"/>
  <c r="AM48" i="66"/>
  <c r="AX45" i="66"/>
  <c r="AD45" i="66"/>
  <c r="H180" i="66"/>
  <c r="S180" i="66" s="1"/>
  <c r="S168" i="66"/>
  <c r="G180" i="66"/>
  <c r="R180" i="66" s="1"/>
  <c r="R168" i="66"/>
  <c r="E180" i="66"/>
  <c r="P180" i="66" s="1"/>
  <c r="P168" i="66"/>
  <c r="F180" i="66"/>
  <c r="Q180" i="66" s="1"/>
  <c r="Q168" i="66"/>
  <c r="D180" i="66"/>
  <c r="O180" i="66" s="1"/>
  <c r="O168" i="66"/>
  <c r="AZ336" i="43"/>
  <c r="AU336" i="43"/>
  <c r="AP336" i="43"/>
  <c r="AK336" i="43"/>
  <c r="AF336" i="43"/>
  <c r="H13" i="42"/>
  <c r="G13" i="42"/>
  <c r="X13" i="42" s="1"/>
  <c r="D307" i="53"/>
  <c r="W307" i="53" s="1"/>
  <c r="D306" i="53"/>
  <c r="W306" i="53" s="1"/>
  <c r="D305" i="53"/>
  <c r="W305" i="53" s="1"/>
  <c r="D304" i="53"/>
  <c r="W304" i="53" s="1"/>
  <c r="D303" i="53"/>
  <c r="W303" i="53" s="1"/>
  <c r="D302" i="53"/>
  <c r="W302" i="53" s="1"/>
  <c r="D301" i="53"/>
  <c r="W301" i="53" s="1"/>
  <c r="D300" i="53"/>
  <c r="W300" i="53" s="1"/>
  <c r="D299" i="53"/>
  <c r="W299" i="53" s="1"/>
  <c r="D298" i="53"/>
  <c r="W298" i="53" s="1"/>
  <c r="D297" i="53"/>
  <c r="W297" i="53" s="1"/>
  <c r="D296" i="53"/>
  <c r="W296" i="53" s="1"/>
  <c r="D295" i="53"/>
  <c r="W295" i="53" s="1"/>
  <c r="D294" i="53"/>
  <c r="W294" i="53" s="1"/>
  <c r="D293" i="53"/>
  <c r="W293" i="53" s="1"/>
  <c r="D292" i="53"/>
  <c r="W292" i="53" s="1"/>
  <c r="D291" i="53"/>
  <c r="W291" i="53" s="1"/>
  <c r="D290" i="53"/>
  <c r="W290" i="53" s="1"/>
  <c r="D289" i="53"/>
  <c r="W289" i="53" s="1"/>
  <c r="D288" i="53"/>
  <c r="W288" i="53" s="1"/>
  <c r="D287" i="53"/>
  <c r="W287" i="53" s="1"/>
  <c r="D286" i="53"/>
  <c r="W286" i="53" s="1"/>
  <c r="D285" i="53"/>
  <c r="W285" i="53" s="1"/>
  <c r="D284" i="53"/>
  <c r="W284" i="53" s="1"/>
  <c r="D283" i="53"/>
  <c r="W283" i="53" s="1"/>
  <c r="D282" i="53"/>
  <c r="W282" i="53" s="1"/>
  <c r="D281" i="53"/>
  <c r="W281" i="53" s="1"/>
  <c r="D280" i="53"/>
  <c r="W280" i="53" s="1"/>
  <c r="D279" i="53"/>
  <c r="W279" i="53" s="1"/>
  <c r="D278" i="53"/>
  <c r="W278" i="53" s="1"/>
  <c r="D277" i="53"/>
  <c r="W277" i="53" s="1"/>
  <c r="D276" i="53"/>
  <c r="W276" i="53" s="1"/>
  <c r="D275" i="53"/>
  <c r="W275" i="53" s="1"/>
  <c r="D274" i="53"/>
  <c r="W274" i="53" s="1"/>
  <c r="D273" i="53"/>
  <c r="W273" i="53" s="1"/>
  <c r="D272" i="53"/>
  <c r="W272" i="53" s="1"/>
  <c r="D271" i="53"/>
  <c r="W271" i="53" s="1"/>
  <c r="D270" i="53"/>
  <c r="W270" i="53" s="1"/>
  <c r="D269" i="53"/>
  <c r="W269" i="53" s="1"/>
  <c r="D268" i="53"/>
  <c r="W268" i="53" s="1"/>
  <c r="D267" i="53"/>
  <c r="W267" i="53" s="1"/>
  <c r="D266" i="53"/>
  <c r="W266" i="53" s="1"/>
  <c r="D265" i="53"/>
  <c r="W265" i="53" s="1"/>
  <c r="D264" i="53"/>
  <c r="W264" i="53" s="1"/>
  <c r="D263" i="53"/>
  <c r="W263" i="53" s="1"/>
  <c r="D262" i="53"/>
  <c r="W262" i="53" s="1"/>
  <c r="D261" i="53"/>
  <c r="W261" i="53" s="1"/>
  <c r="D260" i="53"/>
  <c r="W260" i="53" s="1"/>
  <c r="D259" i="53"/>
  <c r="W259" i="53" s="1"/>
  <c r="D258" i="53"/>
  <c r="W258" i="53" s="1"/>
  <c r="D257" i="53"/>
  <c r="W257" i="53" s="1"/>
  <c r="D256" i="53"/>
  <c r="W256" i="53" s="1"/>
  <c r="D255" i="53"/>
  <c r="W255" i="53" s="1"/>
  <c r="D254" i="53"/>
  <c r="W254" i="53" s="1"/>
  <c r="D253" i="53"/>
  <c r="W253" i="53" s="1"/>
  <c r="D252" i="53"/>
  <c r="W252" i="53" s="1"/>
  <c r="D251" i="53"/>
  <c r="W251" i="53" s="1"/>
  <c r="D250" i="53"/>
  <c r="W250" i="53" s="1"/>
  <c r="D249" i="53"/>
  <c r="W249" i="53" s="1"/>
  <c r="D248" i="53"/>
  <c r="W248" i="53" s="1"/>
  <c r="D247" i="53"/>
  <c r="W247" i="53" s="1"/>
  <c r="D246" i="53"/>
  <c r="W246" i="53" s="1"/>
  <c r="D245" i="53"/>
  <c r="W245" i="53" s="1"/>
  <c r="D244" i="53"/>
  <c r="W244" i="53" s="1"/>
  <c r="D243" i="53"/>
  <c r="W243" i="53" s="1"/>
  <c r="D242" i="53"/>
  <c r="W242" i="53" s="1"/>
  <c r="D241" i="53"/>
  <c r="W241" i="53" s="1"/>
  <c r="D240" i="53"/>
  <c r="W240" i="53" s="1"/>
  <c r="D239" i="53"/>
  <c r="W239" i="53" s="1"/>
  <c r="D238" i="53"/>
  <c r="W238" i="53" s="1"/>
  <c r="D237" i="53"/>
  <c r="W237" i="53" s="1"/>
  <c r="D236" i="53"/>
  <c r="W236" i="53" s="1"/>
  <c r="D235" i="53"/>
  <c r="W235" i="53" s="1"/>
  <c r="D234" i="53"/>
  <c r="W234" i="53" s="1"/>
  <c r="D233" i="53"/>
  <c r="W233" i="53" s="1"/>
  <c r="D232" i="53"/>
  <c r="W232" i="53" s="1"/>
  <c r="D231" i="53"/>
  <c r="W231" i="53" s="1"/>
  <c r="D230" i="53"/>
  <c r="W230" i="53" s="1"/>
  <c r="D229" i="53"/>
  <c r="W229" i="53" s="1"/>
  <c r="D228" i="53"/>
  <c r="W228" i="53" s="1"/>
  <c r="D227" i="53"/>
  <c r="W227" i="53" s="1"/>
  <c r="D226" i="53"/>
  <c r="W226" i="53" s="1"/>
  <c r="D225" i="53"/>
  <c r="W225" i="53" s="1"/>
  <c r="D224" i="53"/>
  <c r="W224" i="53" s="1"/>
  <c r="D223" i="53"/>
  <c r="W223" i="53" s="1"/>
  <c r="D222" i="53"/>
  <c r="W222" i="53" s="1"/>
  <c r="D221" i="53"/>
  <c r="W221" i="53" s="1"/>
  <c r="D220" i="53"/>
  <c r="W220" i="53" s="1"/>
  <c r="D219" i="53"/>
  <c r="W219" i="53" s="1"/>
  <c r="D218" i="53"/>
  <c r="W218" i="53" s="1"/>
  <c r="D217" i="53"/>
  <c r="W217" i="53" s="1"/>
  <c r="D216" i="53"/>
  <c r="W216" i="53" s="1"/>
  <c r="D215" i="53"/>
  <c r="W215" i="53" s="1"/>
  <c r="D214" i="53"/>
  <c r="W214" i="53" s="1"/>
  <c r="D213" i="53"/>
  <c r="W213" i="53" s="1"/>
  <c r="D212" i="53"/>
  <c r="W212" i="53" s="1"/>
  <c r="D211" i="53"/>
  <c r="W211" i="53" s="1"/>
  <c r="D210" i="53"/>
  <c r="W210" i="53" s="1"/>
  <c r="D209" i="53"/>
  <c r="W209" i="53" s="1"/>
  <c r="D208" i="53"/>
  <c r="W208" i="53" s="1"/>
  <c r="D207" i="53"/>
  <c r="W207" i="53" s="1"/>
  <c r="D206" i="53"/>
  <c r="W206" i="53" s="1"/>
  <c r="D205" i="53"/>
  <c r="W205" i="53" s="1"/>
  <c r="D204" i="53"/>
  <c r="W204" i="53" s="1"/>
  <c r="D203" i="53"/>
  <c r="W203" i="53" s="1"/>
  <c r="D202" i="53"/>
  <c r="W202" i="53" s="1"/>
  <c r="D201" i="53"/>
  <c r="W201" i="53" s="1"/>
  <c r="D200" i="53"/>
  <c r="W200" i="53" s="1"/>
  <c r="D199" i="53"/>
  <c r="W199" i="53" s="1"/>
  <c r="D198" i="53"/>
  <c r="W198" i="53" s="1"/>
  <c r="D197" i="53"/>
  <c r="W197" i="53" s="1"/>
  <c r="D196" i="53"/>
  <c r="W196" i="53" s="1"/>
  <c r="D195" i="53"/>
  <c r="W195" i="53" s="1"/>
  <c r="D194" i="53"/>
  <c r="W194" i="53" s="1"/>
  <c r="D193" i="53"/>
  <c r="W193" i="53" s="1"/>
  <c r="D192" i="53"/>
  <c r="W192" i="53" s="1"/>
  <c r="D191" i="53"/>
  <c r="W191" i="53" s="1"/>
  <c r="D190" i="53"/>
  <c r="W190" i="53" s="1"/>
  <c r="D189" i="53"/>
  <c r="W189" i="53" s="1"/>
  <c r="D188" i="53"/>
  <c r="W188" i="53" s="1"/>
  <c r="D187" i="53"/>
  <c r="W187" i="53" s="1"/>
  <c r="D186" i="53"/>
  <c r="W186" i="53" s="1"/>
  <c r="D185" i="53"/>
  <c r="W185" i="53" s="1"/>
  <c r="D184" i="53"/>
  <c r="W184" i="53" s="1"/>
  <c r="D183" i="53"/>
  <c r="W183" i="53" s="1"/>
  <c r="D182" i="53"/>
  <c r="W182" i="53" s="1"/>
  <c r="D181" i="53"/>
  <c r="W181" i="53" s="1"/>
  <c r="D180" i="53"/>
  <c r="W180" i="53" s="1"/>
  <c r="D179" i="53"/>
  <c r="W179" i="53" s="1"/>
  <c r="D178" i="53"/>
  <c r="W178" i="53" s="1"/>
  <c r="D177" i="53"/>
  <c r="W177" i="53" s="1"/>
  <c r="D176" i="53"/>
  <c r="W176" i="53" s="1"/>
  <c r="D175" i="53"/>
  <c r="W175" i="53" s="1"/>
  <c r="D174" i="53"/>
  <c r="W174" i="53" s="1"/>
  <c r="D173" i="53"/>
  <c r="W173" i="53" s="1"/>
  <c r="D172" i="53"/>
  <c r="W172" i="53" s="1"/>
  <c r="D171" i="53"/>
  <c r="W171" i="53" s="1"/>
  <c r="D170" i="53"/>
  <c r="W170" i="53" s="1"/>
  <c r="D169" i="53"/>
  <c r="W169" i="53" s="1"/>
  <c r="D168" i="53"/>
  <c r="W168" i="53" s="1"/>
  <c r="D167" i="53"/>
  <c r="W167" i="53" s="1"/>
  <c r="D166" i="53"/>
  <c r="W166" i="53" s="1"/>
  <c r="D165" i="53"/>
  <c r="W165" i="53" s="1"/>
  <c r="D164" i="53"/>
  <c r="W164" i="53" s="1"/>
  <c r="D163" i="53"/>
  <c r="W163" i="53" s="1"/>
  <c r="D162" i="53"/>
  <c r="W162" i="53" s="1"/>
  <c r="D161" i="53"/>
  <c r="W161" i="53" s="1"/>
  <c r="D160" i="53"/>
  <c r="W160" i="53" s="1"/>
  <c r="D159" i="53"/>
  <c r="W159" i="53" s="1"/>
  <c r="D158" i="53"/>
  <c r="W158" i="53" s="1"/>
  <c r="D157" i="53"/>
  <c r="W157" i="53" s="1"/>
  <c r="D156" i="53"/>
  <c r="W156" i="53" s="1"/>
  <c r="D155" i="53"/>
  <c r="W155" i="53" s="1"/>
  <c r="D154" i="53"/>
  <c r="W154" i="53" s="1"/>
  <c r="D153" i="53"/>
  <c r="W153" i="53" s="1"/>
  <c r="D152" i="53"/>
  <c r="W152" i="53" s="1"/>
  <c r="D151" i="53"/>
  <c r="W151" i="53" s="1"/>
  <c r="D150" i="53"/>
  <c r="W150" i="53" s="1"/>
  <c r="D149" i="53"/>
  <c r="W149" i="53" s="1"/>
  <c r="D148" i="53"/>
  <c r="W148" i="53" s="1"/>
  <c r="D147" i="53"/>
  <c r="W147" i="53" s="1"/>
  <c r="D146" i="53"/>
  <c r="W146" i="53" s="1"/>
  <c r="D145" i="53"/>
  <c r="W145" i="53" s="1"/>
  <c r="D144" i="53"/>
  <c r="W144" i="53" s="1"/>
  <c r="D143" i="53"/>
  <c r="W143" i="53" s="1"/>
  <c r="D142" i="53"/>
  <c r="W142" i="53" s="1"/>
  <c r="D141" i="53"/>
  <c r="W141" i="53" s="1"/>
  <c r="D140" i="53"/>
  <c r="W140" i="53" s="1"/>
  <c r="D139" i="53"/>
  <c r="W139" i="53" s="1"/>
  <c r="D138" i="53"/>
  <c r="W138" i="53" s="1"/>
  <c r="D137" i="53"/>
  <c r="W137" i="53" s="1"/>
  <c r="D136" i="53"/>
  <c r="W136" i="53" s="1"/>
  <c r="D135" i="53"/>
  <c r="W135" i="53" s="1"/>
  <c r="D134" i="53"/>
  <c r="W134" i="53" s="1"/>
  <c r="D133" i="53"/>
  <c r="W133" i="53" s="1"/>
  <c r="D132" i="53"/>
  <c r="W132" i="53" s="1"/>
  <c r="D131" i="53"/>
  <c r="W131" i="53" s="1"/>
  <c r="D130" i="53"/>
  <c r="W130" i="53" s="1"/>
  <c r="D129" i="53"/>
  <c r="W129" i="53" s="1"/>
  <c r="D128" i="53"/>
  <c r="W128" i="53" s="1"/>
  <c r="D127" i="53"/>
  <c r="W127" i="53" s="1"/>
  <c r="D126" i="53"/>
  <c r="W126" i="53" s="1"/>
  <c r="D125" i="53"/>
  <c r="W125" i="53" s="1"/>
  <c r="D124" i="53"/>
  <c r="W124" i="53" s="1"/>
  <c r="D123" i="53"/>
  <c r="W123" i="53" s="1"/>
  <c r="D122" i="53"/>
  <c r="W122" i="53" s="1"/>
  <c r="D121" i="53"/>
  <c r="W121" i="53" s="1"/>
  <c r="D120" i="53"/>
  <c r="W120" i="53" s="1"/>
  <c r="D119" i="53"/>
  <c r="W119" i="53" s="1"/>
  <c r="D118" i="53"/>
  <c r="W118" i="53" s="1"/>
  <c r="D117" i="53"/>
  <c r="W117" i="53" s="1"/>
  <c r="D116" i="53"/>
  <c r="W116" i="53" s="1"/>
  <c r="D115" i="53"/>
  <c r="W115" i="53" s="1"/>
  <c r="D114" i="53"/>
  <c r="W114" i="53" s="1"/>
  <c r="D113" i="53"/>
  <c r="W113" i="53" s="1"/>
  <c r="D112" i="53"/>
  <c r="W112" i="53" s="1"/>
  <c r="D111" i="53"/>
  <c r="W111" i="53" s="1"/>
  <c r="D110" i="53"/>
  <c r="W110" i="53" s="1"/>
  <c r="D109" i="53"/>
  <c r="W109" i="53" s="1"/>
  <c r="D108" i="53"/>
  <c r="W108" i="53" s="1"/>
  <c r="D107" i="53"/>
  <c r="W107" i="53" s="1"/>
  <c r="D106" i="53"/>
  <c r="W106" i="53" s="1"/>
  <c r="D105" i="53"/>
  <c r="W105" i="53" s="1"/>
  <c r="D104" i="53"/>
  <c r="W104" i="53" s="1"/>
  <c r="D103" i="53"/>
  <c r="W103" i="53" s="1"/>
  <c r="D102" i="53"/>
  <c r="W102" i="53" s="1"/>
  <c r="D101" i="53"/>
  <c r="W101" i="53" s="1"/>
  <c r="D100" i="53"/>
  <c r="W100" i="53" s="1"/>
  <c r="D99" i="53"/>
  <c r="W99" i="53" s="1"/>
  <c r="D98" i="53"/>
  <c r="W98" i="53" s="1"/>
  <c r="D97" i="53"/>
  <c r="W97" i="53" s="1"/>
  <c r="D96" i="53"/>
  <c r="W96" i="53" s="1"/>
  <c r="D95" i="53"/>
  <c r="W95" i="53" s="1"/>
  <c r="D94" i="53"/>
  <c r="W94" i="53" s="1"/>
  <c r="D93" i="53"/>
  <c r="W93" i="53" s="1"/>
  <c r="D92" i="53"/>
  <c r="W92" i="53" s="1"/>
  <c r="D91" i="53"/>
  <c r="W91" i="53" s="1"/>
  <c r="D90" i="53"/>
  <c r="W90" i="53" s="1"/>
  <c r="D89" i="53"/>
  <c r="W89" i="53" s="1"/>
  <c r="D87" i="53"/>
  <c r="W87" i="53" s="1"/>
  <c r="D86" i="53"/>
  <c r="W86" i="53" s="1"/>
  <c r="D85" i="53"/>
  <c r="W85" i="53" s="1"/>
  <c r="D84" i="53"/>
  <c r="W84" i="53" s="1"/>
  <c r="D83" i="53"/>
  <c r="W83" i="53" s="1"/>
  <c r="D82" i="53"/>
  <c r="W82" i="53" s="1"/>
  <c r="D81" i="53"/>
  <c r="W81" i="53" s="1"/>
  <c r="D80" i="53"/>
  <c r="W80" i="53" s="1"/>
  <c r="D79" i="53"/>
  <c r="W79" i="53" s="1"/>
  <c r="D78" i="53"/>
  <c r="W78" i="53" s="1"/>
  <c r="D77" i="53"/>
  <c r="W77" i="53" s="1"/>
  <c r="D76" i="53"/>
  <c r="W76" i="53" s="1"/>
  <c r="D75" i="53"/>
  <c r="W75" i="53" s="1"/>
  <c r="D74" i="53"/>
  <c r="W74" i="53" s="1"/>
  <c r="D73" i="53"/>
  <c r="W73" i="53" s="1"/>
  <c r="D72" i="53"/>
  <c r="W72" i="53" s="1"/>
  <c r="D71" i="53"/>
  <c r="W71" i="53" s="1"/>
  <c r="D70" i="53"/>
  <c r="W70" i="53" s="1"/>
  <c r="D69" i="53"/>
  <c r="W69" i="53" s="1"/>
  <c r="D68" i="53"/>
  <c r="W68" i="53" s="1"/>
  <c r="D67" i="53"/>
  <c r="W67" i="53" s="1"/>
  <c r="D66" i="53"/>
  <c r="W66" i="53" s="1"/>
  <c r="D65" i="53"/>
  <c r="W65" i="53" s="1"/>
  <c r="D64" i="53"/>
  <c r="W64" i="53" s="1"/>
  <c r="D63" i="53"/>
  <c r="W63" i="53" s="1"/>
  <c r="D61" i="53"/>
  <c r="W61" i="53" s="1"/>
  <c r="D60" i="53"/>
  <c r="W60" i="53" s="1"/>
  <c r="D59" i="53"/>
  <c r="W59" i="53" s="1"/>
  <c r="D58" i="53"/>
  <c r="W58" i="53" s="1"/>
  <c r="D57" i="53"/>
  <c r="W57" i="53" s="1"/>
  <c r="D56" i="53"/>
  <c r="W56" i="53" s="1"/>
  <c r="D55" i="53"/>
  <c r="W55" i="53" s="1"/>
  <c r="D54" i="53"/>
  <c r="W54" i="53" s="1"/>
  <c r="D52" i="53"/>
  <c r="W52" i="53" s="1"/>
  <c r="D51" i="53"/>
  <c r="W51" i="53" s="1"/>
  <c r="D50" i="53"/>
  <c r="W50" i="53" s="1"/>
  <c r="D49" i="53"/>
  <c r="W49" i="53" s="1"/>
  <c r="D48" i="53"/>
  <c r="W48" i="53" s="1"/>
  <c r="D46" i="53"/>
  <c r="W46" i="53" s="1"/>
  <c r="D45" i="53"/>
  <c r="W45" i="53" s="1"/>
  <c r="D44" i="53"/>
  <c r="W44" i="53" s="1"/>
  <c r="D43" i="53"/>
  <c r="W43" i="53" s="1"/>
  <c r="D42" i="53"/>
  <c r="W42" i="53" s="1"/>
  <c r="D41" i="53"/>
  <c r="W41" i="53" s="1"/>
  <c r="D39" i="53"/>
  <c r="W39" i="53" s="1"/>
  <c r="D38" i="53"/>
  <c r="W38" i="53" s="1"/>
  <c r="D37" i="53"/>
  <c r="W37" i="53" s="1"/>
  <c r="D36" i="53"/>
  <c r="W36" i="53" s="1"/>
  <c r="D35" i="53"/>
  <c r="W35" i="53" s="1"/>
  <c r="D31" i="53"/>
  <c r="W31" i="53" s="1"/>
  <c r="D30" i="53"/>
  <c r="W30" i="53" s="1"/>
  <c r="D29" i="53"/>
  <c r="W29" i="53" s="1"/>
  <c r="D27" i="53"/>
  <c r="W27" i="53" s="1"/>
  <c r="D26" i="53"/>
  <c r="W26" i="53" s="1"/>
  <c r="D24" i="53"/>
  <c r="W24" i="53" s="1"/>
  <c r="D17" i="53"/>
  <c r="W17" i="53" s="1"/>
  <c r="C307" i="53"/>
  <c r="V307" i="53" s="1"/>
  <c r="C306" i="53"/>
  <c r="V306" i="53" s="1"/>
  <c r="C305" i="53"/>
  <c r="V305" i="53" s="1"/>
  <c r="C304" i="53"/>
  <c r="V304" i="53" s="1"/>
  <c r="C303" i="53"/>
  <c r="V303" i="53" s="1"/>
  <c r="C302" i="53"/>
  <c r="V302" i="53" s="1"/>
  <c r="C301" i="53"/>
  <c r="V301" i="53" s="1"/>
  <c r="C300" i="53"/>
  <c r="V300" i="53" s="1"/>
  <c r="C299" i="53"/>
  <c r="V299" i="53" s="1"/>
  <c r="C298" i="53"/>
  <c r="V298" i="53" s="1"/>
  <c r="C297" i="53"/>
  <c r="V297" i="53" s="1"/>
  <c r="C296" i="53"/>
  <c r="V296" i="53" s="1"/>
  <c r="C295" i="53"/>
  <c r="V295" i="53" s="1"/>
  <c r="C294" i="53"/>
  <c r="V294" i="53" s="1"/>
  <c r="C293" i="53"/>
  <c r="V293" i="53" s="1"/>
  <c r="C292" i="53"/>
  <c r="V292" i="53" s="1"/>
  <c r="C291" i="53"/>
  <c r="V291" i="53" s="1"/>
  <c r="C290" i="53"/>
  <c r="V290" i="53" s="1"/>
  <c r="C289" i="53"/>
  <c r="V289" i="53" s="1"/>
  <c r="C288" i="53"/>
  <c r="V288" i="53" s="1"/>
  <c r="C287" i="53"/>
  <c r="V287" i="53" s="1"/>
  <c r="C286" i="53"/>
  <c r="V286" i="53" s="1"/>
  <c r="C285" i="53"/>
  <c r="V285" i="53" s="1"/>
  <c r="C284" i="53"/>
  <c r="V284" i="53" s="1"/>
  <c r="C283" i="53"/>
  <c r="V283" i="53" s="1"/>
  <c r="C282" i="53"/>
  <c r="V282" i="53" s="1"/>
  <c r="C281" i="53"/>
  <c r="V281" i="53" s="1"/>
  <c r="C280" i="53"/>
  <c r="V280" i="53" s="1"/>
  <c r="C279" i="53"/>
  <c r="V279" i="53" s="1"/>
  <c r="C278" i="53"/>
  <c r="V278" i="53" s="1"/>
  <c r="C277" i="53"/>
  <c r="V277" i="53" s="1"/>
  <c r="C276" i="53"/>
  <c r="V276" i="53" s="1"/>
  <c r="C275" i="53"/>
  <c r="V275" i="53" s="1"/>
  <c r="C274" i="53"/>
  <c r="V274" i="53" s="1"/>
  <c r="C273" i="53"/>
  <c r="V273" i="53" s="1"/>
  <c r="C272" i="53"/>
  <c r="V272" i="53" s="1"/>
  <c r="C271" i="53"/>
  <c r="V271" i="53" s="1"/>
  <c r="C270" i="53"/>
  <c r="V270" i="53" s="1"/>
  <c r="C269" i="53"/>
  <c r="V269" i="53" s="1"/>
  <c r="C268" i="53"/>
  <c r="V268" i="53" s="1"/>
  <c r="C267" i="53"/>
  <c r="V267" i="53" s="1"/>
  <c r="C266" i="53"/>
  <c r="V266" i="53" s="1"/>
  <c r="C265" i="53"/>
  <c r="V265" i="53" s="1"/>
  <c r="C264" i="53"/>
  <c r="V264" i="53" s="1"/>
  <c r="C263" i="53"/>
  <c r="V263" i="53" s="1"/>
  <c r="C262" i="53"/>
  <c r="V262" i="53" s="1"/>
  <c r="C261" i="53"/>
  <c r="V261" i="53" s="1"/>
  <c r="C260" i="53"/>
  <c r="V260" i="53" s="1"/>
  <c r="C259" i="53"/>
  <c r="V259" i="53" s="1"/>
  <c r="C258" i="53"/>
  <c r="V258" i="53" s="1"/>
  <c r="C257" i="53"/>
  <c r="V257" i="53" s="1"/>
  <c r="C256" i="53"/>
  <c r="V256" i="53" s="1"/>
  <c r="C255" i="53"/>
  <c r="V255" i="53" s="1"/>
  <c r="C254" i="53"/>
  <c r="V254" i="53" s="1"/>
  <c r="C253" i="53"/>
  <c r="V253" i="53" s="1"/>
  <c r="C252" i="53"/>
  <c r="V252" i="53" s="1"/>
  <c r="C251" i="53"/>
  <c r="V251" i="53" s="1"/>
  <c r="C250" i="53"/>
  <c r="V250" i="53" s="1"/>
  <c r="C249" i="53"/>
  <c r="V249" i="53" s="1"/>
  <c r="C248" i="53"/>
  <c r="V248" i="53" s="1"/>
  <c r="C247" i="53"/>
  <c r="V247" i="53" s="1"/>
  <c r="C246" i="53"/>
  <c r="V246" i="53" s="1"/>
  <c r="C245" i="53"/>
  <c r="V245" i="53" s="1"/>
  <c r="C244" i="53"/>
  <c r="V244" i="53" s="1"/>
  <c r="C243" i="53"/>
  <c r="V243" i="53" s="1"/>
  <c r="C242" i="53"/>
  <c r="V242" i="53" s="1"/>
  <c r="C241" i="53"/>
  <c r="V241" i="53" s="1"/>
  <c r="C240" i="53"/>
  <c r="V240" i="53" s="1"/>
  <c r="C239" i="53"/>
  <c r="V239" i="53" s="1"/>
  <c r="C238" i="53"/>
  <c r="V238" i="53" s="1"/>
  <c r="C237" i="53"/>
  <c r="V237" i="53" s="1"/>
  <c r="C236" i="53"/>
  <c r="V236" i="53" s="1"/>
  <c r="C235" i="53"/>
  <c r="V235" i="53" s="1"/>
  <c r="C234" i="53"/>
  <c r="V234" i="53" s="1"/>
  <c r="C233" i="53"/>
  <c r="V233" i="53" s="1"/>
  <c r="C232" i="53"/>
  <c r="V232" i="53" s="1"/>
  <c r="C231" i="53"/>
  <c r="V231" i="53" s="1"/>
  <c r="C230" i="53"/>
  <c r="V230" i="53" s="1"/>
  <c r="C229" i="53"/>
  <c r="V229" i="53" s="1"/>
  <c r="C228" i="53"/>
  <c r="V228" i="53" s="1"/>
  <c r="C227" i="53"/>
  <c r="V227" i="53" s="1"/>
  <c r="C226" i="53"/>
  <c r="V226" i="53" s="1"/>
  <c r="C225" i="53"/>
  <c r="V225" i="53" s="1"/>
  <c r="C224" i="53"/>
  <c r="V224" i="53" s="1"/>
  <c r="C223" i="53"/>
  <c r="V223" i="53" s="1"/>
  <c r="C222" i="53"/>
  <c r="V222" i="53" s="1"/>
  <c r="C221" i="53"/>
  <c r="V221" i="53" s="1"/>
  <c r="C220" i="53"/>
  <c r="V220" i="53" s="1"/>
  <c r="C219" i="53"/>
  <c r="V219" i="53" s="1"/>
  <c r="C218" i="53"/>
  <c r="V218" i="53" s="1"/>
  <c r="C217" i="53"/>
  <c r="V217" i="53" s="1"/>
  <c r="C216" i="53"/>
  <c r="V216" i="53" s="1"/>
  <c r="C215" i="53"/>
  <c r="V215" i="53" s="1"/>
  <c r="C214" i="53"/>
  <c r="V214" i="53" s="1"/>
  <c r="C213" i="53"/>
  <c r="V213" i="53" s="1"/>
  <c r="C212" i="53"/>
  <c r="V212" i="53" s="1"/>
  <c r="C211" i="53"/>
  <c r="V211" i="53" s="1"/>
  <c r="C210" i="53"/>
  <c r="V210" i="53" s="1"/>
  <c r="C209" i="53"/>
  <c r="V209" i="53" s="1"/>
  <c r="C208" i="53"/>
  <c r="V208" i="53" s="1"/>
  <c r="C207" i="53"/>
  <c r="V207" i="53" s="1"/>
  <c r="C206" i="53"/>
  <c r="V206" i="53" s="1"/>
  <c r="C205" i="53"/>
  <c r="V205" i="53" s="1"/>
  <c r="C204" i="53"/>
  <c r="V204" i="53" s="1"/>
  <c r="C203" i="53"/>
  <c r="V203" i="53" s="1"/>
  <c r="C202" i="53"/>
  <c r="V202" i="53" s="1"/>
  <c r="C201" i="53"/>
  <c r="V201" i="53" s="1"/>
  <c r="C200" i="53"/>
  <c r="V200" i="53" s="1"/>
  <c r="C199" i="53"/>
  <c r="V199" i="53" s="1"/>
  <c r="C198" i="53"/>
  <c r="V198" i="53" s="1"/>
  <c r="C197" i="53"/>
  <c r="V197" i="53" s="1"/>
  <c r="C196" i="53"/>
  <c r="V196" i="53" s="1"/>
  <c r="C195" i="53"/>
  <c r="V195" i="53" s="1"/>
  <c r="C194" i="53"/>
  <c r="V194" i="53" s="1"/>
  <c r="C193" i="53"/>
  <c r="V193" i="53" s="1"/>
  <c r="C192" i="53"/>
  <c r="V192" i="53" s="1"/>
  <c r="C191" i="53"/>
  <c r="V191" i="53" s="1"/>
  <c r="C190" i="53"/>
  <c r="V190" i="53" s="1"/>
  <c r="C189" i="53"/>
  <c r="V189" i="53" s="1"/>
  <c r="C188" i="53"/>
  <c r="V188" i="53" s="1"/>
  <c r="C187" i="53"/>
  <c r="V187" i="53" s="1"/>
  <c r="C186" i="53"/>
  <c r="V186" i="53" s="1"/>
  <c r="C185" i="53"/>
  <c r="V185" i="53" s="1"/>
  <c r="C184" i="53"/>
  <c r="V184" i="53" s="1"/>
  <c r="C183" i="53"/>
  <c r="V183" i="53" s="1"/>
  <c r="C182" i="53"/>
  <c r="V182" i="53" s="1"/>
  <c r="C181" i="53"/>
  <c r="V181" i="53" s="1"/>
  <c r="C180" i="53"/>
  <c r="V180" i="53" s="1"/>
  <c r="C179" i="53"/>
  <c r="V179" i="53" s="1"/>
  <c r="C178" i="53"/>
  <c r="V178" i="53" s="1"/>
  <c r="C177" i="53"/>
  <c r="V177" i="53" s="1"/>
  <c r="C176" i="53"/>
  <c r="V176" i="53" s="1"/>
  <c r="C175" i="53"/>
  <c r="V175" i="53" s="1"/>
  <c r="C174" i="53"/>
  <c r="V174" i="53" s="1"/>
  <c r="C173" i="53"/>
  <c r="V173" i="53" s="1"/>
  <c r="C172" i="53"/>
  <c r="V172" i="53" s="1"/>
  <c r="C171" i="53"/>
  <c r="V171" i="53" s="1"/>
  <c r="C170" i="53"/>
  <c r="V170" i="53" s="1"/>
  <c r="C169" i="53"/>
  <c r="V169" i="53" s="1"/>
  <c r="C168" i="53"/>
  <c r="V168" i="53" s="1"/>
  <c r="C167" i="53"/>
  <c r="V167" i="53" s="1"/>
  <c r="C166" i="53"/>
  <c r="V166" i="53" s="1"/>
  <c r="C165" i="53"/>
  <c r="V165" i="53" s="1"/>
  <c r="C164" i="53"/>
  <c r="V164" i="53" s="1"/>
  <c r="C163" i="53"/>
  <c r="V163" i="53" s="1"/>
  <c r="C162" i="53"/>
  <c r="V162" i="53" s="1"/>
  <c r="C161" i="53"/>
  <c r="V161" i="53" s="1"/>
  <c r="C160" i="53"/>
  <c r="V160" i="53" s="1"/>
  <c r="C159" i="53"/>
  <c r="V159" i="53" s="1"/>
  <c r="C158" i="53"/>
  <c r="V158" i="53" s="1"/>
  <c r="C157" i="53"/>
  <c r="V157" i="53" s="1"/>
  <c r="C156" i="53"/>
  <c r="V156" i="53" s="1"/>
  <c r="C155" i="53"/>
  <c r="V155" i="53" s="1"/>
  <c r="C154" i="53"/>
  <c r="V154" i="53" s="1"/>
  <c r="C153" i="53"/>
  <c r="V153" i="53" s="1"/>
  <c r="C152" i="53"/>
  <c r="V152" i="53" s="1"/>
  <c r="C151" i="53"/>
  <c r="V151" i="53" s="1"/>
  <c r="C150" i="53"/>
  <c r="V150" i="53" s="1"/>
  <c r="C149" i="53"/>
  <c r="V149" i="53" s="1"/>
  <c r="C148" i="53"/>
  <c r="V148" i="53" s="1"/>
  <c r="C147" i="53"/>
  <c r="V147" i="53" s="1"/>
  <c r="C146" i="53"/>
  <c r="V146" i="53" s="1"/>
  <c r="C145" i="53"/>
  <c r="V145" i="53" s="1"/>
  <c r="C144" i="53"/>
  <c r="V144" i="53" s="1"/>
  <c r="C143" i="53"/>
  <c r="V143" i="53" s="1"/>
  <c r="C142" i="53"/>
  <c r="V142" i="53" s="1"/>
  <c r="C141" i="53"/>
  <c r="V141" i="53" s="1"/>
  <c r="C140" i="53"/>
  <c r="V140" i="53" s="1"/>
  <c r="C139" i="53"/>
  <c r="V139" i="53" s="1"/>
  <c r="C138" i="53"/>
  <c r="V138" i="53" s="1"/>
  <c r="C137" i="53"/>
  <c r="V137" i="53" s="1"/>
  <c r="C136" i="53"/>
  <c r="V136" i="53" s="1"/>
  <c r="C135" i="53"/>
  <c r="V135" i="53" s="1"/>
  <c r="C134" i="53"/>
  <c r="V134" i="53" s="1"/>
  <c r="C133" i="53"/>
  <c r="V133" i="53" s="1"/>
  <c r="C132" i="53"/>
  <c r="V132" i="53" s="1"/>
  <c r="C131" i="53"/>
  <c r="V131" i="53" s="1"/>
  <c r="C130" i="53"/>
  <c r="V130" i="53" s="1"/>
  <c r="C129" i="53"/>
  <c r="V129" i="53" s="1"/>
  <c r="C128" i="53"/>
  <c r="V128" i="53" s="1"/>
  <c r="C127" i="53"/>
  <c r="V127" i="53" s="1"/>
  <c r="C126" i="53"/>
  <c r="V126" i="53" s="1"/>
  <c r="C125" i="53"/>
  <c r="V125" i="53" s="1"/>
  <c r="C124" i="53"/>
  <c r="V124" i="53" s="1"/>
  <c r="C123" i="53"/>
  <c r="V123" i="53" s="1"/>
  <c r="C122" i="53"/>
  <c r="V122" i="53" s="1"/>
  <c r="C121" i="53"/>
  <c r="V121" i="53" s="1"/>
  <c r="C120" i="53"/>
  <c r="V120" i="53" s="1"/>
  <c r="C119" i="53"/>
  <c r="V119" i="53" s="1"/>
  <c r="C118" i="53"/>
  <c r="V118" i="53" s="1"/>
  <c r="C117" i="53"/>
  <c r="V117" i="53" s="1"/>
  <c r="C116" i="53"/>
  <c r="V116" i="53" s="1"/>
  <c r="C115" i="53"/>
  <c r="V115" i="53" s="1"/>
  <c r="C114" i="53"/>
  <c r="V114" i="53" s="1"/>
  <c r="C113" i="53"/>
  <c r="V113" i="53" s="1"/>
  <c r="C112" i="53"/>
  <c r="V112" i="53" s="1"/>
  <c r="C111" i="53"/>
  <c r="V111" i="53" s="1"/>
  <c r="C110" i="53"/>
  <c r="V110" i="53" s="1"/>
  <c r="C109" i="53"/>
  <c r="V109" i="53" s="1"/>
  <c r="C108" i="53"/>
  <c r="V108" i="53" s="1"/>
  <c r="C107" i="53"/>
  <c r="V107" i="53" s="1"/>
  <c r="C106" i="53"/>
  <c r="V106" i="53" s="1"/>
  <c r="C105" i="53"/>
  <c r="V105" i="53" s="1"/>
  <c r="C104" i="53"/>
  <c r="V104" i="53" s="1"/>
  <c r="C103" i="53"/>
  <c r="V103" i="53" s="1"/>
  <c r="C102" i="53"/>
  <c r="V102" i="53" s="1"/>
  <c r="C101" i="53"/>
  <c r="V101" i="53" s="1"/>
  <c r="C100" i="53"/>
  <c r="V100" i="53" s="1"/>
  <c r="C99" i="53"/>
  <c r="V99" i="53" s="1"/>
  <c r="C98" i="53"/>
  <c r="V98" i="53" s="1"/>
  <c r="C97" i="53"/>
  <c r="V97" i="53" s="1"/>
  <c r="C96" i="53"/>
  <c r="V96" i="53" s="1"/>
  <c r="C95" i="53"/>
  <c r="V95" i="53" s="1"/>
  <c r="C94" i="53"/>
  <c r="V94" i="53" s="1"/>
  <c r="C93" i="53"/>
  <c r="V93" i="53" s="1"/>
  <c r="C92" i="53"/>
  <c r="V92" i="53" s="1"/>
  <c r="C91" i="53"/>
  <c r="V91" i="53" s="1"/>
  <c r="C90" i="53"/>
  <c r="V90" i="53" s="1"/>
  <c r="C89" i="53"/>
  <c r="V89" i="53" s="1"/>
  <c r="C87" i="53"/>
  <c r="V87" i="53" s="1"/>
  <c r="C86" i="53"/>
  <c r="V86" i="53" s="1"/>
  <c r="C85" i="53"/>
  <c r="V85" i="53" s="1"/>
  <c r="C84" i="53"/>
  <c r="V84" i="53" s="1"/>
  <c r="C83" i="53"/>
  <c r="V83" i="53" s="1"/>
  <c r="C82" i="53"/>
  <c r="V82" i="53" s="1"/>
  <c r="C81" i="53"/>
  <c r="V81" i="53" s="1"/>
  <c r="C80" i="53"/>
  <c r="V80" i="53" s="1"/>
  <c r="C79" i="53"/>
  <c r="V79" i="53" s="1"/>
  <c r="C78" i="53"/>
  <c r="V78" i="53" s="1"/>
  <c r="C77" i="53"/>
  <c r="V77" i="53" s="1"/>
  <c r="C76" i="53"/>
  <c r="V76" i="53" s="1"/>
  <c r="C75" i="53"/>
  <c r="V75" i="53" s="1"/>
  <c r="C74" i="53"/>
  <c r="V74" i="53" s="1"/>
  <c r="C73" i="53"/>
  <c r="V73" i="53" s="1"/>
  <c r="C72" i="53"/>
  <c r="V72" i="53" s="1"/>
  <c r="C71" i="53"/>
  <c r="V71" i="53" s="1"/>
  <c r="C70" i="53"/>
  <c r="V70" i="53" s="1"/>
  <c r="C69" i="53"/>
  <c r="V69" i="53" s="1"/>
  <c r="C68" i="53"/>
  <c r="V68" i="53" s="1"/>
  <c r="C67" i="53"/>
  <c r="V67" i="53" s="1"/>
  <c r="C66" i="53"/>
  <c r="V66" i="53" s="1"/>
  <c r="C65" i="53"/>
  <c r="V65" i="53" s="1"/>
  <c r="C64" i="53"/>
  <c r="V64" i="53" s="1"/>
  <c r="C63" i="53"/>
  <c r="V63" i="53" s="1"/>
  <c r="C61" i="53"/>
  <c r="V61" i="53" s="1"/>
  <c r="C60" i="53"/>
  <c r="V60" i="53" s="1"/>
  <c r="C59" i="53"/>
  <c r="V59" i="53" s="1"/>
  <c r="C58" i="53"/>
  <c r="V58" i="53" s="1"/>
  <c r="C57" i="53"/>
  <c r="V57" i="53" s="1"/>
  <c r="C56" i="53"/>
  <c r="V56" i="53" s="1"/>
  <c r="C55" i="53"/>
  <c r="V55" i="53" s="1"/>
  <c r="C54" i="53"/>
  <c r="V54" i="53" s="1"/>
  <c r="C52" i="53"/>
  <c r="V52" i="53" s="1"/>
  <c r="C51" i="53"/>
  <c r="V51" i="53" s="1"/>
  <c r="C50" i="53"/>
  <c r="V50" i="53" s="1"/>
  <c r="C49" i="53"/>
  <c r="V49" i="53" s="1"/>
  <c r="C48" i="53"/>
  <c r="V48" i="53" s="1"/>
  <c r="C46" i="53"/>
  <c r="V46" i="53" s="1"/>
  <c r="C45" i="53"/>
  <c r="V45" i="53" s="1"/>
  <c r="C44" i="53"/>
  <c r="V44" i="53" s="1"/>
  <c r="C43" i="53"/>
  <c r="V43" i="53" s="1"/>
  <c r="C42" i="53"/>
  <c r="V42" i="53" s="1"/>
  <c r="C41" i="53"/>
  <c r="V41" i="53" s="1"/>
  <c r="C39" i="53"/>
  <c r="V39" i="53" s="1"/>
  <c r="C38" i="53"/>
  <c r="V38" i="53" s="1"/>
  <c r="C37" i="53"/>
  <c r="V37" i="53" s="1"/>
  <c r="C36" i="53"/>
  <c r="V36" i="53" s="1"/>
  <c r="C35" i="53"/>
  <c r="V35" i="53" s="1"/>
  <c r="C31" i="53"/>
  <c r="V31" i="53" s="1"/>
  <c r="C30" i="53"/>
  <c r="V30" i="53" s="1"/>
  <c r="C29" i="53"/>
  <c r="V29" i="53" s="1"/>
  <c r="C27" i="53"/>
  <c r="V27" i="53" s="1"/>
  <c r="C26" i="53"/>
  <c r="V26" i="53" s="1"/>
  <c r="C24" i="53"/>
  <c r="V24" i="53" s="1"/>
  <c r="C17" i="53"/>
  <c r="V17" i="53" s="1"/>
  <c r="J180" i="66" l="1"/>
  <c r="U180" i="66" s="1"/>
  <c r="V168" i="66"/>
  <c r="AQ46" i="66"/>
  <c r="DA13" i="43"/>
  <c r="AH49" i="66"/>
  <c r="BB49" i="66"/>
  <c r="CZ5" i="43"/>
  <c r="CZ4" i="43"/>
  <c r="DA4" i="43"/>
  <c r="DA5" i="43"/>
  <c r="AQ48" i="66"/>
  <c r="AQ43" i="66"/>
  <c r="AQ45" i="66"/>
  <c r="AQ44" i="66"/>
  <c r="U49" i="66"/>
  <c r="AR49" i="66" s="1"/>
  <c r="AQ42" i="66"/>
  <c r="AP46" i="66"/>
  <c r="AQ47" i="66"/>
  <c r="BA49" i="66"/>
  <c r="AG49" i="66"/>
  <c r="AP47" i="66"/>
  <c r="AP48" i="66"/>
  <c r="AP44" i="66"/>
  <c r="AP43" i="66"/>
  <c r="AP42" i="66"/>
  <c r="CZ13" i="43"/>
  <c r="CY13" i="43"/>
  <c r="T49" i="66"/>
  <c r="AP45" i="66"/>
  <c r="CX13" i="43"/>
  <c r="CV13" i="43"/>
  <c r="CW13" i="43"/>
  <c r="AO48" i="66"/>
  <c r="AO46" i="66"/>
  <c r="AO42" i="66"/>
  <c r="S49" i="66"/>
  <c r="AZ49" i="66"/>
  <c r="AF49" i="66"/>
  <c r="AO44" i="66"/>
  <c r="AO45" i="66"/>
  <c r="AN49" i="66"/>
  <c r="C37" i="66"/>
  <c r="N37" i="66" s="1"/>
  <c r="AL46" i="66"/>
  <c r="AE49" i="66"/>
  <c r="AY49" i="66"/>
  <c r="AV46" i="66"/>
  <c r="AB46" i="66"/>
  <c r="AW46" i="66"/>
  <c r="AC46" i="66"/>
  <c r="AA46" i="66"/>
  <c r="AU46" i="66"/>
  <c r="E49" i="66"/>
  <c r="AD49" i="66"/>
  <c r="AX49" i="66"/>
  <c r="AM46" i="66"/>
  <c r="D49" i="66"/>
  <c r="O49" i="66" s="1"/>
  <c r="AK49" i="66" s="1"/>
  <c r="Y13" i="42"/>
  <c r="G10" i="42"/>
  <c r="D318" i="42"/>
  <c r="C20" i="53"/>
  <c r="V20" i="53" s="1"/>
  <c r="D320" i="42"/>
  <c r="C28" i="53"/>
  <c r="V28" i="53" s="1"/>
  <c r="E329" i="42"/>
  <c r="D15" i="53"/>
  <c r="W15" i="53" s="1"/>
  <c r="E334" i="42"/>
  <c r="D23" i="53"/>
  <c r="W23" i="53" s="1"/>
  <c r="E324" i="42"/>
  <c r="D62" i="53"/>
  <c r="W62" i="53" s="1"/>
  <c r="D321" i="42"/>
  <c r="C21" i="53"/>
  <c r="V21" i="53" s="1"/>
  <c r="D325" i="42"/>
  <c r="C22" i="53"/>
  <c r="V22" i="53" s="1"/>
  <c r="D326" i="42"/>
  <c r="C53" i="53"/>
  <c r="V53" i="53" s="1"/>
  <c r="E332" i="42"/>
  <c r="D16" i="53"/>
  <c r="W16" i="53" s="1"/>
  <c r="E331" i="42"/>
  <c r="D32" i="53"/>
  <c r="W32" i="53" s="1"/>
  <c r="E327" i="42"/>
  <c r="D40" i="53"/>
  <c r="W40" i="53" s="1"/>
  <c r="E333" i="42"/>
  <c r="D47" i="53"/>
  <c r="W47" i="53" s="1"/>
  <c r="D329" i="42"/>
  <c r="C15" i="53"/>
  <c r="D324" i="42"/>
  <c r="C62" i="53"/>
  <c r="V62" i="53" s="1"/>
  <c r="E319" i="42"/>
  <c r="D25" i="53"/>
  <c r="W25" i="53" s="1"/>
  <c r="E323" i="42"/>
  <c r="D33" i="53"/>
  <c r="W33" i="53" s="1"/>
  <c r="E330" i="42"/>
  <c r="D88" i="53"/>
  <c r="W88" i="53" s="1"/>
  <c r="D331" i="42"/>
  <c r="C32" i="53"/>
  <c r="V32" i="53" s="1"/>
  <c r="D327" i="42"/>
  <c r="C40" i="53"/>
  <c r="V40" i="53" s="1"/>
  <c r="D333" i="42"/>
  <c r="C47" i="53"/>
  <c r="V47" i="53" s="1"/>
  <c r="E322" i="42"/>
  <c r="D18" i="53"/>
  <c r="W18" i="53" s="1"/>
  <c r="E328" i="42"/>
  <c r="D34" i="53"/>
  <c r="W34" i="53" s="1"/>
  <c r="D332" i="42"/>
  <c r="C16" i="53"/>
  <c r="V16" i="53" s="1"/>
  <c r="D319" i="42"/>
  <c r="C25" i="53"/>
  <c r="V25" i="53" s="1"/>
  <c r="D323" i="42"/>
  <c r="C33" i="53"/>
  <c r="V33" i="53" s="1"/>
  <c r="D330" i="42"/>
  <c r="C88" i="53"/>
  <c r="V88" i="53" s="1"/>
  <c r="E317" i="42"/>
  <c r="D19" i="53"/>
  <c r="W19" i="53" s="1"/>
  <c r="D317" i="42"/>
  <c r="C19" i="53"/>
  <c r="V19" i="53" s="1"/>
  <c r="D334" i="42"/>
  <c r="C23" i="53"/>
  <c r="V23" i="53" s="1"/>
  <c r="D322" i="42"/>
  <c r="C18" i="53"/>
  <c r="V18" i="53" s="1"/>
  <c r="D328" i="42"/>
  <c r="C34" i="53"/>
  <c r="V34" i="53" s="1"/>
  <c r="E318" i="42"/>
  <c r="D20" i="53"/>
  <c r="W20" i="53" s="1"/>
  <c r="E320" i="42"/>
  <c r="D28" i="53"/>
  <c r="W28" i="53" s="1"/>
  <c r="E321" i="42"/>
  <c r="D21" i="53"/>
  <c r="W21" i="53" s="1"/>
  <c r="E325" i="42"/>
  <c r="D22" i="53"/>
  <c r="W22" i="53" s="1"/>
  <c r="E326" i="42"/>
  <c r="D53" i="53"/>
  <c r="W53" i="53" s="1"/>
  <c r="H11" i="42"/>
  <c r="H10" i="42"/>
  <c r="G11" i="42"/>
  <c r="AQ49" i="66" l="1"/>
  <c r="AP49" i="66"/>
  <c r="AO49" i="66"/>
  <c r="AW49" i="66"/>
  <c r="P49" i="66"/>
  <c r="AC49" i="66"/>
  <c r="AV49" i="66"/>
  <c r="AB49" i="66"/>
  <c r="AA49" i="66"/>
  <c r="AU49" i="66"/>
  <c r="E336" i="42"/>
  <c r="D13" i="53"/>
  <c r="W13" i="53" s="1"/>
  <c r="C13" i="53"/>
  <c r="V13" i="53" s="1"/>
  <c r="D336" i="42"/>
  <c r="E10" i="42"/>
  <c r="E11" i="42"/>
  <c r="F11" i="42"/>
  <c r="F10" i="42"/>
  <c r="AL49" i="66" l="1"/>
  <c r="AM49" i="66"/>
  <c r="E54" i="66" l="1"/>
  <c r="AW54" i="66" l="1"/>
  <c r="AC54" i="66"/>
  <c r="P54" i="66"/>
  <c r="AV54" i="66"/>
  <c r="AB54" i="66"/>
  <c r="H123" i="53" l="1"/>
  <c r="Z123" i="42"/>
  <c r="Z98" i="42"/>
  <c r="H98" i="53"/>
  <c r="Z77" i="42"/>
  <c r="H77" i="53"/>
  <c r="Z82" i="42"/>
  <c r="H82" i="53"/>
  <c r="D30" i="66"/>
  <c r="Z24" i="42"/>
  <c r="H24" i="53"/>
  <c r="Z302" i="42"/>
  <c r="H302" i="53"/>
  <c r="Z29" i="42"/>
  <c r="H29" i="53"/>
  <c r="Z163" i="42"/>
  <c r="H163" i="53"/>
  <c r="Z44" i="42"/>
  <c r="H44" i="53"/>
  <c r="Z50" i="42"/>
  <c r="H50" i="53"/>
  <c r="Z114" i="42"/>
  <c r="H114" i="53"/>
  <c r="Z131" i="42"/>
  <c r="H131" i="53"/>
  <c r="Z160" i="42"/>
  <c r="H160" i="53"/>
  <c r="Z141" i="42"/>
  <c r="H141" i="53"/>
  <c r="Z303" i="42"/>
  <c r="H303" i="53"/>
  <c r="Z213" i="42"/>
  <c r="H213" i="53"/>
  <c r="Z245" i="42"/>
  <c r="H245" i="53"/>
  <c r="Z92" i="42"/>
  <c r="H92" i="53"/>
  <c r="I333" i="42"/>
  <c r="H47" i="53"/>
  <c r="I358" i="42"/>
  <c r="Z47" i="42"/>
  <c r="Z208" i="42"/>
  <c r="H208" i="53"/>
  <c r="Z103" i="42"/>
  <c r="H103" i="53"/>
  <c r="Z111" i="42"/>
  <c r="H111" i="53"/>
  <c r="Z288" i="42"/>
  <c r="H288" i="53"/>
  <c r="H233" i="53"/>
  <c r="Z233" i="42"/>
  <c r="Z158" i="42"/>
  <c r="H158" i="53"/>
  <c r="Z271" i="42"/>
  <c r="H271" i="53"/>
  <c r="Z253" i="42"/>
  <c r="H253" i="53"/>
  <c r="Z108" i="42"/>
  <c r="H108" i="53"/>
  <c r="Z68" i="42"/>
  <c r="H68" i="53"/>
  <c r="Z138" i="42"/>
  <c r="H138" i="53"/>
  <c r="H135" i="53"/>
  <c r="Z135" i="42"/>
  <c r="H119" i="53"/>
  <c r="Z119" i="42"/>
  <c r="Z30" i="42"/>
  <c r="H30" i="53"/>
  <c r="Z186" i="42"/>
  <c r="H186" i="53"/>
  <c r="Z241" i="42"/>
  <c r="H241" i="53"/>
  <c r="Z87" i="42"/>
  <c r="H87" i="53"/>
  <c r="H105" i="53"/>
  <c r="Z105" i="42"/>
  <c r="H203" i="53"/>
  <c r="Z203" i="42"/>
  <c r="Z276" i="42"/>
  <c r="H276" i="53"/>
  <c r="Z143" i="42"/>
  <c r="H143" i="53"/>
  <c r="H102" i="53"/>
  <c r="Z102" i="42"/>
  <c r="H112" i="53"/>
  <c r="Z112" i="42"/>
  <c r="Z206" i="42"/>
  <c r="H206" i="53"/>
  <c r="H294" i="53"/>
  <c r="Z294" i="42"/>
  <c r="Z256" i="42"/>
  <c r="H256" i="53"/>
  <c r="H178" i="53"/>
  <c r="Z178" i="42"/>
  <c r="Z84" i="42"/>
  <c r="H84" i="53"/>
  <c r="Z251" i="42"/>
  <c r="H251" i="53"/>
  <c r="Z224" i="42"/>
  <c r="H224" i="53"/>
  <c r="Z205" i="42"/>
  <c r="H205" i="53"/>
  <c r="Z198" i="42"/>
  <c r="H198" i="53"/>
  <c r="Z23" i="42"/>
  <c r="I359" i="42"/>
  <c r="I334" i="42"/>
  <c r="H23" i="53"/>
  <c r="Z221" i="42"/>
  <c r="H221" i="53"/>
  <c r="Z194" i="42"/>
  <c r="H194" i="53"/>
  <c r="Z298" i="42"/>
  <c r="H298" i="53"/>
  <c r="H307" i="53"/>
  <c r="Z307" i="42"/>
  <c r="Z137" i="42"/>
  <c r="H137" i="53"/>
  <c r="Z274" i="42"/>
  <c r="H274" i="53"/>
  <c r="Z65" i="42"/>
  <c r="H65" i="53"/>
  <c r="H234" i="53"/>
  <c r="Z234" i="42"/>
  <c r="Z130" i="42"/>
  <c r="H130" i="53"/>
  <c r="Z282" i="42"/>
  <c r="H282" i="53"/>
  <c r="Z210" i="42"/>
  <c r="H210" i="53"/>
  <c r="H36" i="53"/>
  <c r="Z36" i="42"/>
  <c r="Z147" i="42"/>
  <c r="H147" i="53"/>
  <c r="Z45" i="42"/>
  <c r="H45" i="53"/>
  <c r="Z46" i="42"/>
  <c r="H46" i="53"/>
  <c r="Z226" i="42"/>
  <c r="H226" i="53"/>
  <c r="H107" i="53"/>
  <c r="Z107" i="42"/>
  <c r="Z151" i="42"/>
  <c r="H151" i="53"/>
  <c r="Z43" i="42"/>
  <c r="H43" i="53"/>
  <c r="Z242" i="42"/>
  <c r="H242" i="53"/>
  <c r="I320" i="42"/>
  <c r="I345" i="42"/>
  <c r="Z28" i="42"/>
  <c r="H28" i="53"/>
  <c r="Z17" i="42"/>
  <c r="D33" i="66"/>
  <c r="H17" i="53"/>
  <c r="Z164" i="42"/>
  <c r="H164" i="53"/>
  <c r="Z153" i="42"/>
  <c r="H153" i="53"/>
  <c r="Z51" i="42"/>
  <c r="H51" i="53"/>
  <c r="Z192" i="42"/>
  <c r="H192" i="53"/>
  <c r="I356" i="42"/>
  <c r="Z32" i="42"/>
  <c r="I331" i="42"/>
  <c r="H32" i="53"/>
  <c r="I349" i="42"/>
  <c r="Z62" i="42"/>
  <c r="I324" i="42"/>
  <c r="H62" i="53"/>
  <c r="Z71" i="42"/>
  <c r="H71" i="53"/>
  <c r="I348" i="42"/>
  <c r="Z33" i="42"/>
  <c r="I323" i="42"/>
  <c r="H33" i="53"/>
  <c r="D32" i="66"/>
  <c r="Z292" i="42"/>
  <c r="H292" i="53"/>
  <c r="Z58" i="42"/>
  <c r="H58" i="53"/>
  <c r="Z110" i="42"/>
  <c r="H110" i="53"/>
  <c r="Z217" i="42"/>
  <c r="H217" i="53"/>
  <c r="Z145" i="42"/>
  <c r="H145" i="53"/>
  <c r="Z152" i="42"/>
  <c r="H152" i="53"/>
  <c r="H277" i="53"/>
  <c r="Z277" i="42"/>
  <c r="I355" i="42"/>
  <c r="Z88" i="42"/>
  <c r="I330" i="42"/>
  <c r="H88" i="53"/>
  <c r="H120" i="53"/>
  <c r="Z120" i="42"/>
  <c r="H16" i="53"/>
  <c r="D35" i="66"/>
  <c r="I357" i="42"/>
  <c r="Z16" i="42"/>
  <c r="I332" i="42"/>
  <c r="Z42" i="42"/>
  <c r="H42" i="53"/>
  <c r="Z281" i="42"/>
  <c r="H281" i="53"/>
  <c r="Z157" i="42"/>
  <c r="H157" i="53"/>
  <c r="Z55" i="42"/>
  <c r="H55" i="53"/>
  <c r="Z182" i="42"/>
  <c r="H182" i="53"/>
  <c r="Z190" i="42"/>
  <c r="H190" i="53"/>
  <c r="H223" i="53"/>
  <c r="Z223" i="42"/>
  <c r="Z220" i="42"/>
  <c r="H220" i="53"/>
  <c r="H116" i="53"/>
  <c r="Z116" i="42"/>
  <c r="Z41" i="42"/>
  <c r="H41" i="53"/>
  <c r="Z159" i="42"/>
  <c r="H159" i="53"/>
  <c r="Z289" i="42"/>
  <c r="H289" i="53"/>
  <c r="Z27" i="42"/>
  <c r="H27" i="53"/>
  <c r="Z162" i="42"/>
  <c r="H162" i="53"/>
  <c r="Z128" i="42"/>
  <c r="H128" i="53"/>
  <c r="H70" i="53"/>
  <c r="Z70" i="42"/>
  <c r="Z235" i="42"/>
  <c r="H235" i="53"/>
  <c r="Z117" i="42"/>
  <c r="H117" i="53"/>
  <c r="H53" i="53"/>
  <c r="I351" i="42"/>
  <c r="Z53" i="42"/>
  <c r="I326" i="42"/>
  <c r="H54" i="53"/>
  <c r="Z54" i="42"/>
  <c r="Z91" i="42"/>
  <c r="H91" i="53"/>
  <c r="Z263" i="42"/>
  <c r="H263" i="53"/>
  <c r="H134" i="53"/>
  <c r="Z134" i="42"/>
  <c r="Z168" i="42"/>
  <c r="H168" i="53"/>
  <c r="Z63" i="42"/>
  <c r="H63" i="53"/>
  <c r="Z278" i="42"/>
  <c r="H278" i="53"/>
  <c r="Z106" i="42"/>
  <c r="H106" i="53"/>
  <c r="Z26" i="42"/>
  <c r="H26" i="53"/>
  <c r="H293" i="53"/>
  <c r="Z293" i="42"/>
  <c r="H230" i="53"/>
  <c r="Z230" i="42"/>
  <c r="Z129" i="42"/>
  <c r="H129" i="53"/>
  <c r="Z301" i="42"/>
  <c r="H301" i="53"/>
  <c r="H78" i="53"/>
  <c r="Z78" i="42"/>
  <c r="Z189" i="42"/>
  <c r="H189" i="53"/>
  <c r="Z272" i="42"/>
  <c r="H272" i="53"/>
  <c r="Z15" i="42"/>
  <c r="I329" i="42"/>
  <c r="I13" i="42"/>
  <c r="D34" i="66"/>
  <c r="I354" i="42"/>
  <c r="Z227" i="42"/>
  <c r="H227" i="53"/>
  <c r="H295" i="53"/>
  <c r="Z295" i="42"/>
  <c r="H101" i="53"/>
  <c r="Z101" i="42"/>
  <c r="H37" i="53"/>
  <c r="I341" i="42"/>
  <c r="Z37" i="42"/>
  <c r="I352" i="42"/>
  <c r="Z40" i="42"/>
  <c r="I327" i="42"/>
  <c r="H40" i="53"/>
  <c r="Z214" i="42"/>
  <c r="H214" i="53"/>
  <c r="Z207" i="42"/>
  <c r="H207" i="53"/>
  <c r="Z104" i="42"/>
  <c r="H104" i="53"/>
  <c r="Z124" i="42"/>
  <c r="H124" i="53"/>
  <c r="Z172" i="42"/>
  <c r="H172" i="53"/>
  <c r="Z219" i="42"/>
  <c r="H219" i="53"/>
  <c r="H49" i="53"/>
  <c r="Z49" i="42"/>
  <c r="Z66" i="42"/>
  <c r="H66" i="53"/>
  <c r="H183" i="53"/>
  <c r="Z183" i="42"/>
  <c r="Z94" i="42"/>
  <c r="H94" i="53"/>
  <c r="Z96" i="42"/>
  <c r="H96" i="53"/>
  <c r="Z258" i="42"/>
  <c r="H258" i="53"/>
  <c r="I319" i="42"/>
  <c r="I344" i="42"/>
  <c r="Z25" i="42"/>
  <c r="H25" i="53"/>
  <c r="H260" i="53"/>
  <c r="Z260" i="42"/>
  <c r="Z171" i="42"/>
  <c r="H171" i="53"/>
  <c r="Z109" i="42"/>
  <c r="H109" i="53"/>
  <c r="H304" i="53"/>
  <c r="Z304" i="42"/>
  <c r="Z270" i="42"/>
  <c r="H270" i="53"/>
  <c r="H118" i="53"/>
  <c r="Z118" i="42"/>
  <c r="H184" i="53"/>
  <c r="Z184" i="42"/>
  <c r="H166" i="53"/>
  <c r="Z166" i="42"/>
  <c r="Z169" i="42"/>
  <c r="H169" i="53"/>
  <c r="Z60" i="42"/>
  <c r="H60" i="53"/>
  <c r="Z122" i="42"/>
  <c r="H122" i="53"/>
  <c r="Z296" i="42"/>
  <c r="H296" i="53"/>
  <c r="Z305" i="42"/>
  <c r="H305" i="53"/>
  <c r="Z170" i="42"/>
  <c r="H170" i="53"/>
  <c r="H191" i="53"/>
  <c r="Z191" i="42"/>
  <c r="Z48" i="42"/>
  <c r="H48" i="53"/>
  <c r="D31" i="66"/>
  <c r="Z262" i="42"/>
  <c r="H262" i="53"/>
  <c r="H236" i="53"/>
  <c r="Z236" i="42"/>
  <c r="Z165" i="42"/>
  <c r="H165" i="53"/>
  <c r="Z284" i="42"/>
  <c r="H284" i="53"/>
  <c r="Z200" i="42"/>
  <c r="H200" i="53"/>
  <c r="Z125" i="42"/>
  <c r="H125" i="53"/>
  <c r="H149" i="53"/>
  <c r="Z149" i="42"/>
  <c r="Z215" i="42"/>
  <c r="H215" i="53"/>
  <c r="Z231" i="42"/>
  <c r="H231" i="53"/>
  <c r="H67" i="53"/>
  <c r="Z67" i="42"/>
  <c r="Z72" i="42"/>
  <c r="H72" i="53"/>
  <c r="Z283" i="42"/>
  <c r="H283" i="53"/>
  <c r="H69" i="53"/>
  <c r="Z69" i="42"/>
  <c r="Z154" i="42"/>
  <c r="H154" i="53"/>
  <c r="Z85" i="42"/>
  <c r="H85" i="53"/>
  <c r="Z287" i="42"/>
  <c r="H287" i="53"/>
  <c r="Z83" i="42"/>
  <c r="H83" i="53"/>
  <c r="Z93" i="42"/>
  <c r="H93" i="53"/>
  <c r="D36" i="66"/>
  <c r="I350" i="42"/>
  <c r="H22" i="53"/>
  <c r="Z22" i="42"/>
  <c r="I325" i="42"/>
  <c r="Z80" i="42"/>
  <c r="H80" i="53"/>
  <c r="H244" i="53"/>
  <c r="Z244" i="42"/>
  <c r="Z89" i="42"/>
  <c r="H89" i="53"/>
  <c r="Z212" i="42"/>
  <c r="H212" i="53"/>
  <c r="H142" i="53"/>
  <c r="Z250" i="42"/>
  <c r="H250" i="53"/>
  <c r="Z197" i="42"/>
  <c r="H197" i="53"/>
  <c r="Z59" i="42"/>
  <c r="H59" i="53"/>
  <c r="Z218" i="42"/>
  <c r="H218" i="53"/>
  <c r="Z255" i="42"/>
  <c r="H255" i="53"/>
  <c r="Z297" i="42"/>
  <c r="H297" i="53"/>
  <c r="H196" i="53"/>
  <c r="Z196" i="42"/>
  <c r="H300" i="53"/>
  <c r="Z300" i="42"/>
  <c r="Z115" i="42"/>
  <c r="H115" i="53"/>
  <c r="Z187" i="42"/>
  <c r="H187" i="53"/>
  <c r="H280" i="53"/>
  <c r="Z280" i="42"/>
  <c r="Z254" i="42"/>
  <c r="H254" i="53"/>
  <c r="Z209" i="42"/>
  <c r="H209" i="53"/>
  <c r="H167" i="53"/>
  <c r="Z167" i="42"/>
  <c r="Z180" i="42"/>
  <c r="H180" i="53"/>
  <c r="Z139" i="42"/>
  <c r="H139" i="53"/>
  <c r="Z259" i="42"/>
  <c r="H259" i="53"/>
  <c r="Z306" i="42"/>
  <c r="H306" i="53"/>
  <c r="Z175" i="42"/>
  <c r="H175" i="53"/>
  <c r="Z201" i="42"/>
  <c r="H201" i="53"/>
  <c r="Z133" i="42"/>
  <c r="H133" i="53"/>
  <c r="Z155" i="42"/>
  <c r="H155" i="53"/>
  <c r="Z20" i="42"/>
  <c r="I318" i="42"/>
  <c r="H20" i="53"/>
  <c r="I343" i="42"/>
  <c r="Z76" i="42"/>
  <c r="H76" i="53"/>
  <c r="H39" i="53"/>
  <c r="Z39" i="42"/>
  <c r="Z246" i="42"/>
  <c r="H246" i="53"/>
  <c r="Z136" i="42"/>
  <c r="H136" i="53"/>
  <c r="Z199" i="42"/>
  <c r="H199" i="53"/>
  <c r="Z273" i="42"/>
  <c r="H273" i="53"/>
  <c r="Z222" i="42"/>
  <c r="H222" i="53"/>
  <c r="Z73" i="42"/>
  <c r="H73" i="53"/>
  <c r="Z228" i="42"/>
  <c r="H228" i="53"/>
  <c r="Z52" i="42"/>
  <c r="H52" i="53"/>
  <c r="I342" i="42"/>
  <c r="Z19" i="42"/>
  <c r="I317" i="42"/>
  <c r="H19" i="53"/>
  <c r="Z279" i="42"/>
  <c r="H279" i="53"/>
  <c r="Z239" i="42"/>
  <c r="H239" i="53"/>
  <c r="H177" i="53"/>
  <c r="Z177" i="42"/>
  <c r="Z150" i="42"/>
  <c r="H150" i="53"/>
  <c r="Z121" i="42"/>
  <c r="H121" i="53"/>
  <c r="Z243" i="42"/>
  <c r="H243" i="53"/>
  <c r="H267" i="53"/>
  <c r="Z267" i="42"/>
  <c r="Z132" i="42"/>
  <c r="H132" i="53"/>
  <c r="Z229" i="42"/>
  <c r="H229" i="53"/>
  <c r="H146" i="53"/>
  <c r="Z146" i="42"/>
  <c r="Z185" i="42"/>
  <c r="H185" i="53"/>
  <c r="Z35" i="42"/>
  <c r="H35" i="53"/>
  <c r="Z232" i="42"/>
  <c r="H232" i="53"/>
  <c r="Z86" i="42"/>
  <c r="H86" i="53"/>
  <c r="H237" i="53"/>
  <c r="Z237" i="42"/>
  <c r="Z57" i="42"/>
  <c r="H57" i="53"/>
  <c r="Z188" i="42"/>
  <c r="H188" i="53"/>
  <c r="H248" i="53"/>
  <c r="Z248" i="42"/>
  <c r="Z161" i="42"/>
  <c r="H161" i="53"/>
  <c r="H176" i="53"/>
  <c r="Z176" i="42"/>
  <c r="H247" i="53"/>
  <c r="Z247" i="42"/>
  <c r="Z181" i="42"/>
  <c r="H181" i="53"/>
  <c r="Z216" i="42"/>
  <c r="H216" i="53"/>
  <c r="Z257" i="42"/>
  <c r="H257" i="53"/>
  <c r="Z74" i="42"/>
  <c r="H74" i="53"/>
  <c r="H291" i="53"/>
  <c r="Z291" i="42"/>
  <c r="Z193" i="42"/>
  <c r="H193" i="53"/>
  <c r="Z144" i="42"/>
  <c r="H144" i="53"/>
  <c r="Z81" i="42"/>
  <c r="H81" i="53"/>
  <c r="H249" i="53"/>
  <c r="Z249" i="42"/>
  <c r="I347" i="42"/>
  <c r="Z18" i="42"/>
  <c r="I322" i="42"/>
  <c r="H18" i="53"/>
  <c r="Z61" i="42"/>
  <c r="H61" i="53"/>
  <c r="Z275" i="42"/>
  <c r="H275" i="53"/>
  <c r="H268" i="53"/>
  <c r="Z268" i="42"/>
  <c r="Z211" i="42"/>
  <c r="H211" i="53"/>
  <c r="Z140" i="42"/>
  <c r="H140" i="53"/>
  <c r="Z75" i="42"/>
  <c r="H75" i="53"/>
  <c r="Z225" i="42"/>
  <c r="H225" i="53"/>
  <c r="Z286" i="42"/>
  <c r="H286" i="53"/>
  <c r="Z126" i="42"/>
  <c r="H126" i="53"/>
  <c r="Z179" i="42"/>
  <c r="H179" i="53"/>
  <c r="Z240" i="42"/>
  <c r="H240" i="53"/>
  <c r="Z156" i="42"/>
  <c r="H156" i="53"/>
  <c r="Z195" i="42"/>
  <c r="H195" i="53"/>
  <c r="Z90" i="42"/>
  <c r="H90" i="53"/>
  <c r="Z127" i="42"/>
  <c r="H127" i="53"/>
  <c r="Z202" i="42"/>
  <c r="H202" i="53"/>
  <c r="Z174" i="42"/>
  <c r="H174" i="53"/>
  <c r="Z264" i="42"/>
  <c r="H264" i="53"/>
  <c r="Z113" i="42"/>
  <c r="H113" i="53"/>
  <c r="I353" i="42"/>
  <c r="Z34" i="42"/>
  <c r="I328" i="42"/>
  <c r="H34" i="53"/>
  <c r="Z265" i="42"/>
  <c r="H265" i="53"/>
  <c r="Z252" i="42"/>
  <c r="H252" i="53"/>
  <c r="I346" i="42"/>
  <c r="Z21" i="42"/>
  <c r="I321" i="42"/>
  <c r="H21" i="53"/>
  <c r="H238" i="53"/>
  <c r="Z238" i="42"/>
  <c r="Z64" i="42"/>
  <c r="H64" i="53"/>
  <c r="Z31" i="42"/>
  <c r="H31" i="53"/>
  <c r="Z56" i="42"/>
  <c r="H56" i="53"/>
  <c r="Z79" i="42"/>
  <c r="H79" i="53"/>
  <c r="Z290" i="42"/>
  <c r="H290" i="53"/>
  <c r="Z285" i="42"/>
  <c r="H285" i="53"/>
  <c r="Z204" i="42"/>
  <c r="H204" i="53"/>
  <c r="H173" i="53"/>
  <c r="Z173" i="42"/>
  <c r="Z261" i="42"/>
  <c r="H261" i="53"/>
  <c r="Z266" i="42"/>
  <c r="H266" i="53"/>
  <c r="Z99" i="42"/>
  <c r="H99" i="53"/>
  <c r="Z38" i="42"/>
  <c r="H38" i="53"/>
  <c r="Z95" i="42"/>
  <c r="H95" i="53"/>
  <c r="Z97" i="42"/>
  <c r="H97" i="53"/>
  <c r="H269" i="53"/>
  <c r="Z269" i="42"/>
  <c r="Z299" i="42"/>
  <c r="H299" i="53"/>
  <c r="Z100" i="42"/>
  <c r="H100" i="53"/>
  <c r="Z148" i="42"/>
  <c r="H148" i="53"/>
  <c r="AM54" i="66"/>
  <c r="AL54" i="66"/>
  <c r="AA126" i="42" l="1"/>
  <c r="I212" i="53"/>
  <c r="AB212" i="53" s="1"/>
  <c r="I18" i="53"/>
  <c r="I18" i="54" s="1"/>
  <c r="BG18" i="54" s="1"/>
  <c r="H268" i="54"/>
  <c r="BF268" i="54" s="1"/>
  <c r="AA268" i="53"/>
  <c r="AA237" i="53"/>
  <c r="H237" i="54"/>
  <c r="BF237" i="54" s="1"/>
  <c r="AA267" i="53"/>
  <c r="H267" i="54"/>
  <c r="BF267" i="54" s="1"/>
  <c r="H177" i="54"/>
  <c r="BF177" i="54" s="1"/>
  <c r="AA177" i="53"/>
  <c r="I361" i="42"/>
  <c r="AA99" i="53"/>
  <c r="H99" i="54"/>
  <c r="BF99" i="54" s="1"/>
  <c r="H204" i="54"/>
  <c r="BF204" i="54" s="1"/>
  <c r="AA204" i="53"/>
  <c r="AA56" i="53"/>
  <c r="H56" i="54"/>
  <c r="BF56" i="54" s="1"/>
  <c r="AA21" i="53"/>
  <c r="H21" i="54"/>
  <c r="BF21" i="54" s="1"/>
  <c r="AA34" i="53"/>
  <c r="H34" i="54"/>
  <c r="BF34" i="54" s="1"/>
  <c r="AA174" i="53"/>
  <c r="H174" i="54"/>
  <c r="BF174" i="54" s="1"/>
  <c r="H195" i="54"/>
  <c r="BF195" i="54" s="1"/>
  <c r="AA195" i="53"/>
  <c r="AA126" i="53"/>
  <c r="H126" i="54"/>
  <c r="BF126" i="54" s="1"/>
  <c r="H140" i="54"/>
  <c r="BF140" i="54" s="1"/>
  <c r="AA140" i="53"/>
  <c r="AA61" i="53"/>
  <c r="H61" i="54"/>
  <c r="BF61" i="54" s="1"/>
  <c r="H81" i="54"/>
  <c r="BF81" i="54" s="1"/>
  <c r="AA81" i="53"/>
  <c r="AA74" i="53"/>
  <c r="H74" i="54"/>
  <c r="BF74" i="54" s="1"/>
  <c r="AA188" i="53"/>
  <c r="H188" i="54"/>
  <c r="BF188" i="54" s="1"/>
  <c r="H232" i="54"/>
  <c r="BF232" i="54" s="1"/>
  <c r="AA232" i="53"/>
  <c r="AA229" i="53"/>
  <c r="H229" i="54"/>
  <c r="BF229" i="54" s="1"/>
  <c r="AA121" i="53"/>
  <c r="H121" i="54"/>
  <c r="BF121" i="54" s="1"/>
  <c r="AA279" i="53"/>
  <c r="H279" i="54"/>
  <c r="BF279" i="54" s="1"/>
  <c r="H228" i="54"/>
  <c r="BF228" i="54" s="1"/>
  <c r="AA228" i="53"/>
  <c r="AA199" i="53"/>
  <c r="H199" i="54"/>
  <c r="BF199" i="54" s="1"/>
  <c r="H76" i="54"/>
  <c r="BF76" i="54" s="1"/>
  <c r="AA76" i="53"/>
  <c r="AA133" i="53"/>
  <c r="H133" i="54"/>
  <c r="BF133" i="54" s="1"/>
  <c r="H259" i="54"/>
  <c r="BF259" i="54" s="1"/>
  <c r="AA259" i="53"/>
  <c r="H209" i="54"/>
  <c r="BF209" i="54" s="1"/>
  <c r="AA209" i="53"/>
  <c r="H115" i="54"/>
  <c r="BF115" i="54" s="1"/>
  <c r="AA115" i="53"/>
  <c r="AA255" i="53"/>
  <c r="H255" i="54"/>
  <c r="BF255" i="54" s="1"/>
  <c r="AA250" i="53"/>
  <c r="H250" i="54"/>
  <c r="BF250" i="54" s="1"/>
  <c r="AA269" i="53"/>
  <c r="H269" i="54"/>
  <c r="BF269" i="54" s="1"/>
  <c r="AA247" i="53"/>
  <c r="H247" i="54"/>
  <c r="BF247" i="54" s="1"/>
  <c r="AA244" i="53"/>
  <c r="H244" i="54"/>
  <c r="BF244" i="54" s="1"/>
  <c r="AA93" i="53"/>
  <c r="H93" i="54"/>
  <c r="BF93" i="54" s="1"/>
  <c r="H154" i="54"/>
  <c r="BF154" i="54" s="1"/>
  <c r="AA154" i="53"/>
  <c r="AA125" i="53"/>
  <c r="H125" i="54"/>
  <c r="BF125" i="54" s="1"/>
  <c r="H191" i="54"/>
  <c r="BF191" i="54" s="1"/>
  <c r="AA191" i="53"/>
  <c r="AA184" i="53"/>
  <c r="H184" i="54"/>
  <c r="BF184" i="54" s="1"/>
  <c r="AA183" i="53"/>
  <c r="H183" i="54"/>
  <c r="BF183" i="54" s="1"/>
  <c r="Z13" i="42"/>
  <c r="I10" i="42"/>
  <c r="D37" i="66"/>
  <c r="I11" i="42"/>
  <c r="H63" i="54"/>
  <c r="BF63" i="54" s="1"/>
  <c r="AA63" i="53"/>
  <c r="AA91" i="53"/>
  <c r="H91" i="54"/>
  <c r="BF91" i="54" s="1"/>
  <c r="AA117" i="53"/>
  <c r="H117" i="54"/>
  <c r="BF117" i="54" s="1"/>
  <c r="H162" i="54"/>
  <c r="BF162" i="54" s="1"/>
  <c r="AA162" i="53"/>
  <c r="AA41" i="53"/>
  <c r="H41" i="54"/>
  <c r="BF41" i="54" s="1"/>
  <c r="H190" i="54"/>
  <c r="BF190" i="54" s="1"/>
  <c r="AA190" i="53"/>
  <c r="H281" i="54"/>
  <c r="BF281" i="54" s="1"/>
  <c r="AA281" i="53"/>
  <c r="AA16" i="53"/>
  <c r="H16" i="54"/>
  <c r="BF16" i="54" s="1"/>
  <c r="AA277" i="53"/>
  <c r="H277" i="54"/>
  <c r="BF277" i="54" s="1"/>
  <c r="AA32" i="53"/>
  <c r="H32" i="54"/>
  <c r="BF32" i="54" s="1"/>
  <c r="H153" i="54"/>
  <c r="BF153" i="54" s="1"/>
  <c r="AA153" i="53"/>
  <c r="AA135" i="53"/>
  <c r="H135" i="54"/>
  <c r="BF135" i="54" s="1"/>
  <c r="H82" i="54"/>
  <c r="BF82" i="54" s="1"/>
  <c r="AA82" i="53"/>
  <c r="AA148" i="53"/>
  <c r="H148" i="54"/>
  <c r="BF148" i="54" s="1"/>
  <c r="H97" i="54"/>
  <c r="BF97" i="54" s="1"/>
  <c r="AA97" i="53"/>
  <c r="H266" i="54"/>
  <c r="BF266" i="54" s="1"/>
  <c r="AA266" i="53"/>
  <c r="AA285" i="53"/>
  <c r="H285" i="54"/>
  <c r="BF285" i="54" s="1"/>
  <c r="AA31" i="53"/>
  <c r="H31" i="54"/>
  <c r="BF31" i="54" s="1"/>
  <c r="H202" i="54"/>
  <c r="BF202" i="54" s="1"/>
  <c r="AA202" i="53"/>
  <c r="AA156" i="53"/>
  <c r="H156" i="54"/>
  <c r="BF156" i="54" s="1"/>
  <c r="AA286" i="53"/>
  <c r="H286" i="54"/>
  <c r="BF286" i="54" s="1"/>
  <c r="AA211" i="53"/>
  <c r="H211" i="54"/>
  <c r="BF211" i="54" s="1"/>
  <c r="AA18" i="53"/>
  <c r="H18" i="54"/>
  <c r="BF18" i="54" s="1"/>
  <c r="AA144" i="53"/>
  <c r="H144" i="54"/>
  <c r="BF144" i="54" s="1"/>
  <c r="H257" i="54"/>
  <c r="BF257" i="54" s="1"/>
  <c r="AA257" i="53"/>
  <c r="H57" i="54"/>
  <c r="BF57" i="54" s="1"/>
  <c r="AA57" i="53"/>
  <c r="H35" i="54"/>
  <c r="BF35" i="54" s="1"/>
  <c r="AA35" i="53"/>
  <c r="H132" i="54"/>
  <c r="BF132" i="54" s="1"/>
  <c r="AA132" i="53"/>
  <c r="AA150" i="53"/>
  <c r="H150" i="54"/>
  <c r="BF150" i="54" s="1"/>
  <c r="AA19" i="53"/>
  <c r="H19" i="54"/>
  <c r="BF19" i="54" s="1"/>
  <c r="AA73" i="53"/>
  <c r="H73" i="54"/>
  <c r="BF73" i="54" s="1"/>
  <c r="H136" i="54"/>
  <c r="BF136" i="54" s="1"/>
  <c r="AA136" i="53"/>
  <c r="AA201" i="53"/>
  <c r="H201" i="54"/>
  <c r="BF201" i="54" s="1"/>
  <c r="AA139" i="53"/>
  <c r="H139" i="54"/>
  <c r="BF139" i="54" s="1"/>
  <c r="AA254" i="53"/>
  <c r="H254" i="54"/>
  <c r="BF254" i="54" s="1"/>
  <c r="AA218" i="53"/>
  <c r="H218" i="54"/>
  <c r="BF218" i="54" s="1"/>
  <c r="AA80" i="53"/>
  <c r="H80" i="54"/>
  <c r="BF80" i="54" s="1"/>
  <c r="AA67" i="53"/>
  <c r="H67" i="54"/>
  <c r="BF67" i="54" s="1"/>
  <c r="H236" i="54"/>
  <c r="BF236" i="54" s="1"/>
  <c r="AA236" i="53"/>
  <c r="H170" i="54"/>
  <c r="BF170" i="54" s="1"/>
  <c r="AA170" i="53"/>
  <c r="AA60" i="53"/>
  <c r="H60" i="54"/>
  <c r="BF60" i="54" s="1"/>
  <c r="AA171" i="53"/>
  <c r="H171" i="54"/>
  <c r="BF171" i="54" s="1"/>
  <c r="H258" i="54"/>
  <c r="BF258" i="54" s="1"/>
  <c r="AA258" i="53"/>
  <c r="H66" i="54"/>
  <c r="BF66" i="54" s="1"/>
  <c r="AA66" i="53"/>
  <c r="AA124" i="53"/>
  <c r="H124" i="54"/>
  <c r="BF124" i="54" s="1"/>
  <c r="AA40" i="53"/>
  <c r="H40" i="54"/>
  <c r="BF40" i="54" s="1"/>
  <c r="AA101" i="53"/>
  <c r="H101" i="54"/>
  <c r="BF101" i="54" s="1"/>
  <c r="H13" i="53"/>
  <c r="AA13" i="53" s="1"/>
  <c r="H15" i="54"/>
  <c r="BF15" i="54" s="1"/>
  <c r="AA15" i="53"/>
  <c r="AA78" i="53"/>
  <c r="H78" i="54"/>
  <c r="BF78" i="54" s="1"/>
  <c r="AA293" i="53"/>
  <c r="H293" i="54"/>
  <c r="BF293" i="54" s="1"/>
  <c r="H152" i="54"/>
  <c r="BF152" i="54" s="1"/>
  <c r="AA152" i="53"/>
  <c r="H58" i="54"/>
  <c r="BF58" i="54" s="1"/>
  <c r="AA58" i="53"/>
  <c r="AA147" i="53"/>
  <c r="H147" i="54"/>
  <c r="BF147" i="54" s="1"/>
  <c r="AA130" i="53"/>
  <c r="H130" i="54"/>
  <c r="BF130" i="54" s="1"/>
  <c r="AA137" i="53"/>
  <c r="H137" i="54"/>
  <c r="BF137" i="54" s="1"/>
  <c r="H221" i="54"/>
  <c r="BF221" i="54" s="1"/>
  <c r="AA221" i="53"/>
  <c r="H205" i="54"/>
  <c r="BF205" i="54" s="1"/>
  <c r="AA205" i="53"/>
  <c r="AA186" i="53"/>
  <c r="H186" i="54"/>
  <c r="BF186" i="54" s="1"/>
  <c r="H138" i="54"/>
  <c r="BF138" i="54" s="1"/>
  <c r="AA138" i="53"/>
  <c r="H271" i="54"/>
  <c r="BF271" i="54" s="1"/>
  <c r="AA271" i="53"/>
  <c r="H111" i="54"/>
  <c r="BF111" i="54" s="1"/>
  <c r="AA111" i="53"/>
  <c r="AA47" i="53"/>
  <c r="H47" i="54"/>
  <c r="BF47" i="54" s="1"/>
  <c r="AA303" i="53"/>
  <c r="H303" i="54"/>
  <c r="BF303" i="54" s="1"/>
  <c r="AA114" i="53"/>
  <c r="H114" i="54"/>
  <c r="BF114" i="54" s="1"/>
  <c r="H29" i="54"/>
  <c r="BF29" i="54" s="1"/>
  <c r="AA29" i="53"/>
  <c r="AA176" i="53"/>
  <c r="H176" i="54"/>
  <c r="BF176" i="54" s="1"/>
  <c r="I336" i="42"/>
  <c r="AA20" i="53"/>
  <c r="H20" i="54"/>
  <c r="BF20" i="54" s="1"/>
  <c r="AA300" i="53"/>
  <c r="H300" i="54"/>
  <c r="BF300" i="54" s="1"/>
  <c r="AA142" i="53"/>
  <c r="H142" i="54"/>
  <c r="BF142" i="54" s="1"/>
  <c r="AA83" i="53"/>
  <c r="H83" i="54"/>
  <c r="BF83" i="54" s="1"/>
  <c r="AA231" i="53"/>
  <c r="H231" i="54"/>
  <c r="BF231" i="54" s="1"/>
  <c r="H200" i="54"/>
  <c r="BF200" i="54" s="1"/>
  <c r="AA200" i="53"/>
  <c r="H262" i="54"/>
  <c r="BF262" i="54" s="1"/>
  <c r="AA262" i="53"/>
  <c r="H118" i="54"/>
  <c r="BF118" i="54" s="1"/>
  <c r="AA118" i="53"/>
  <c r="AA301" i="53"/>
  <c r="H301" i="54"/>
  <c r="BF301" i="54" s="1"/>
  <c r="H26" i="54"/>
  <c r="BF26" i="54" s="1"/>
  <c r="AA26" i="53"/>
  <c r="AA168" i="53"/>
  <c r="H168" i="54"/>
  <c r="BF168" i="54" s="1"/>
  <c r="AA235" i="53"/>
  <c r="H235" i="54"/>
  <c r="BF235" i="54" s="1"/>
  <c r="H27" i="54"/>
  <c r="BF27" i="54" s="1"/>
  <c r="AA27" i="53"/>
  <c r="AA182" i="53"/>
  <c r="H182" i="54"/>
  <c r="BF182" i="54" s="1"/>
  <c r="H42" i="54"/>
  <c r="BF42" i="54" s="1"/>
  <c r="AA42" i="53"/>
  <c r="AA120" i="53"/>
  <c r="H120" i="54"/>
  <c r="BF120" i="54" s="1"/>
  <c r="AA71" i="53"/>
  <c r="H71" i="54"/>
  <c r="BF71" i="54" s="1"/>
  <c r="AA164" i="53"/>
  <c r="H164" i="54"/>
  <c r="BF164" i="54" s="1"/>
  <c r="AA107" i="53"/>
  <c r="H107" i="54"/>
  <c r="BF107" i="54" s="1"/>
  <c r="H178" i="54"/>
  <c r="BF178" i="54" s="1"/>
  <c r="AA178" i="53"/>
  <c r="AA112" i="53"/>
  <c r="H112" i="54"/>
  <c r="BF112" i="54" s="1"/>
  <c r="AA203" i="53"/>
  <c r="H203" i="54"/>
  <c r="BF203" i="54" s="1"/>
  <c r="AA77" i="53"/>
  <c r="H77" i="54"/>
  <c r="BF77" i="54" s="1"/>
  <c r="H100" i="54"/>
  <c r="BF100" i="54" s="1"/>
  <c r="AA100" i="53"/>
  <c r="AA95" i="53"/>
  <c r="H95" i="54"/>
  <c r="BF95" i="54" s="1"/>
  <c r="AA261" i="53"/>
  <c r="H261" i="54"/>
  <c r="BF261" i="54" s="1"/>
  <c r="AA290" i="53"/>
  <c r="H290" i="54"/>
  <c r="BF290" i="54" s="1"/>
  <c r="AA64" i="53"/>
  <c r="H64" i="54"/>
  <c r="BF64" i="54" s="1"/>
  <c r="AA252" i="53"/>
  <c r="H252" i="54"/>
  <c r="BF252" i="54" s="1"/>
  <c r="AA113" i="53"/>
  <c r="H113" i="54"/>
  <c r="BF113" i="54" s="1"/>
  <c r="AA127" i="53"/>
  <c r="H127" i="54"/>
  <c r="BF127" i="54" s="1"/>
  <c r="AA240" i="53"/>
  <c r="H240" i="54"/>
  <c r="BF240" i="54" s="1"/>
  <c r="H225" i="54"/>
  <c r="BF225" i="54" s="1"/>
  <c r="AA225" i="53"/>
  <c r="AA193" i="53"/>
  <c r="H193" i="54"/>
  <c r="BF193" i="54" s="1"/>
  <c r="AA216" i="53"/>
  <c r="H216" i="54"/>
  <c r="BF216" i="54" s="1"/>
  <c r="AA161" i="53"/>
  <c r="H161" i="54"/>
  <c r="BF161" i="54" s="1"/>
  <c r="H185" i="54"/>
  <c r="BF185" i="54" s="1"/>
  <c r="AA185" i="53"/>
  <c r="AA222" i="53"/>
  <c r="H222" i="54"/>
  <c r="BF222" i="54" s="1"/>
  <c r="AA246" i="53"/>
  <c r="H246" i="54"/>
  <c r="BF246" i="54" s="1"/>
  <c r="AA175" i="53"/>
  <c r="H175" i="54"/>
  <c r="BF175" i="54" s="1"/>
  <c r="AA180" i="53"/>
  <c r="H180" i="54"/>
  <c r="BF180" i="54" s="1"/>
  <c r="AA59" i="53"/>
  <c r="H59" i="54"/>
  <c r="BF59" i="54" s="1"/>
  <c r="AA212" i="53"/>
  <c r="H212" i="54"/>
  <c r="BF212" i="54" s="1"/>
  <c r="AA69" i="53"/>
  <c r="H69" i="54"/>
  <c r="BF69" i="54" s="1"/>
  <c r="AA305" i="53"/>
  <c r="H305" i="54"/>
  <c r="BF305" i="54" s="1"/>
  <c r="H169" i="54"/>
  <c r="BF169" i="54" s="1"/>
  <c r="AA169" i="53"/>
  <c r="H270" i="54"/>
  <c r="BF270" i="54" s="1"/>
  <c r="AA270" i="53"/>
  <c r="AA96" i="53"/>
  <c r="H96" i="54"/>
  <c r="BF96" i="54" s="1"/>
  <c r="H104" i="54"/>
  <c r="BF104" i="54" s="1"/>
  <c r="AA104" i="53"/>
  <c r="AA295" i="53"/>
  <c r="H295" i="54"/>
  <c r="BF295" i="54" s="1"/>
  <c r="AA54" i="53"/>
  <c r="H54" i="54"/>
  <c r="BF54" i="54" s="1"/>
  <c r="AA116" i="53"/>
  <c r="H116" i="54"/>
  <c r="BF116" i="54" s="1"/>
  <c r="AA88" i="53"/>
  <c r="H88" i="54"/>
  <c r="BF88" i="54" s="1"/>
  <c r="AA145" i="53"/>
  <c r="H145" i="54"/>
  <c r="BF145" i="54" s="1"/>
  <c r="H292" i="54"/>
  <c r="BF292" i="54" s="1"/>
  <c r="AA292" i="53"/>
  <c r="AA242" i="53"/>
  <c r="H242" i="54"/>
  <c r="BF242" i="54" s="1"/>
  <c r="AA226" i="53"/>
  <c r="H226" i="54"/>
  <c r="BF226" i="54" s="1"/>
  <c r="AA23" i="53"/>
  <c r="H23" i="54"/>
  <c r="BF23" i="54" s="1"/>
  <c r="H224" i="54"/>
  <c r="BF224" i="54" s="1"/>
  <c r="AA224" i="53"/>
  <c r="AA256" i="53"/>
  <c r="H256" i="54"/>
  <c r="BF256" i="54" s="1"/>
  <c r="AA30" i="53"/>
  <c r="H30" i="54"/>
  <c r="BF30" i="54" s="1"/>
  <c r="H68" i="54"/>
  <c r="BF68" i="54" s="1"/>
  <c r="AA68" i="53"/>
  <c r="AA158" i="53"/>
  <c r="H158" i="54"/>
  <c r="BF158" i="54" s="1"/>
  <c r="AA103" i="53"/>
  <c r="H103" i="54"/>
  <c r="BF103" i="54" s="1"/>
  <c r="AA92" i="53"/>
  <c r="H92" i="54"/>
  <c r="BF92" i="54" s="1"/>
  <c r="AA141" i="53"/>
  <c r="H141" i="54"/>
  <c r="BF141" i="54" s="1"/>
  <c r="H50" i="54"/>
  <c r="BF50" i="54" s="1"/>
  <c r="AA50" i="53"/>
  <c r="AA302" i="53"/>
  <c r="H302" i="54"/>
  <c r="BF302" i="54" s="1"/>
  <c r="H280" i="54"/>
  <c r="BF280" i="54" s="1"/>
  <c r="AA280" i="53"/>
  <c r="H196" i="54"/>
  <c r="BF196" i="54" s="1"/>
  <c r="AA196" i="53"/>
  <c r="AA287" i="53"/>
  <c r="H287" i="54"/>
  <c r="BF287" i="54" s="1"/>
  <c r="AA283" i="53"/>
  <c r="H283" i="54"/>
  <c r="BF283" i="54" s="1"/>
  <c r="H215" i="54"/>
  <c r="BF215" i="54" s="1"/>
  <c r="AA215" i="53"/>
  <c r="AA284" i="53"/>
  <c r="H284" i="54"/>
  <c r="BF284" i="54" s="1"/>
  <c r="AU31" i="66"/>
  <c r="AA31" i="66"/>
  <c r="O31" i="66"/>
  <c r="AK31" i="66" s="1"/>
  <c r="H260" i="54"/>
  <c r="BF260" i="54" s="1"/>
  <c r="AA260" i="53"/>
  <c r="H49" i="54"/>
  <c r="BF49" i="54" s="1"/>
  <c r="AA49" i="53"/>
  <c r="AA227" i="53"/>
  <c r="H227" i="54"/>
  <c r="BF227" i="54" s="1"/>
  <c r="AA272" i="53"/>
  <c r="H272" i="54"/>
  <c r="BF272" i="54" s="1"/>
  <c r="H129" i="54"/>
  <c r="BF129" i="54" s="1"/>
  <c r="AA129" i="53"/>
  <c r="H106" i="54"/>
  <c r="BF106" i="54" s="1"/>
  <c r="AA106" i="53"/>
  <c r="AA289" i="53"/>
  <c r="H289" i="54"/>
  <c r="BF289" i="54" s="1"/>
  <c r="H220" i="54"/>
  <c r="BF220" i="54" s="1"/>
  <c r="AA220" i="53"/>
  <c r="H55" i="54"/>
  <c r="BF55" i="54" s="1"/>
  <c r="AA55" i="53"/>
  <c r="AA62" i="53"/>
  <c r="H62" i="54"/>
  <c r="BF62" i="54" s="1"/>
  <c r="AA192" i="53"/>
  <c r="H192" i="54"/>
  <c r="BF192" i="54" s="1"/>
  <c r="AA17" i="53"/>
  <c r="H17" i="54"/>
  <c r="BF17" i="54" s="1"/>
  <c r="AA36" i="53"/>
  <c r="H36" i="54"/>
  <c r="BF36" i="54" s="1"/>
  <c r="H234" i="54"/>
  <c r="BF234" i="54" s="1"/>
  <c r="AA234" i="53"/>
  <c r="AA307" i="53"/>
  <c r="H307" i="54"/>
  <c r="BF307" i="54" s="1"/>
  <c r="AA102" i="53"/>
  <c r="H102" i="54"/>
  <c r="BF102" i="54" s="1"/>
  <c r="AA105" i="53"/>
  <c r="H105" i="54"/>
  <c r="BF105" i="54" s="1"/>
  <c r="H98" i="54"/>
  <c r="BF98" i="54" s="1"/>
  <c r="AA98" i="53"/>
  <c r="H299" i="54"/>
  <c r="BF299" i="54" s="1"/>
  <c r="AA299" i="53"/>
  <c r="AA38" i="53"/>
  <c r="H38" i="54"/>
  <c r="BF38" i="54" s="1"/>
  <c r="AA79" i="53"/>
  <c r="H79" i="54"/>
  <c r="BF79" i="54" s="1"/>
  <c r="H265" i="54"/>
  <c r="BF265" i="54" s="1"/>
  <c r="AA265" i="53"/>
  <c r="H264" i="54"/>
  <c r="BF264" i="54" s="1"/>
  <c r="AA264" i="53"/>
  <c r="H90" i="54"/>
  <c r="BF90" i="54" s="1"/>
  <c r="AA90" i="53"/>
  <c r="H179" i="54"/>
  <c r="BF179" i="54" s="1"/>
  <c r="AA179" i="53"/>
  <c r="H75" i="54"/>
  <c r="BF75" i="54" s="1"/>
  <c r="AA75" i="53"/>
  <c r="AA275" i="53"/>
  <c r="H275" i="54"/>
  <c r="BF275" i="54" s="1"/>
  <c r="AA181" i="53"/>
  <c r="H181" i="54"/>
  <c r="BF181" i="54" s="1"/>
  <c r="AA86" i="53"/>
  <c r="H86" i="54"/>
  <c r="BF86" i="54" s="1"/>
  <c r="AA243" i="53"/>
  <c r="H243" i="54"/>
  <c r="BF243" i="54" s="1"/>
  <c r="AA239" i="53"/>
  <c r="H239" i="54"/>
  <c r="BF239" i="54" s="1"/>
  <c r="AA52" i="53"/>
  <c r="H52" i="54"/>
  <c r="BF52" i="54" s="1"/>
  <c r="H273" i="54"/>
  <c r="BF273" i="54" s="1"/>
  <c r="AA273" i="53"/>
  <c r="AA155" i="53"/>
  <c r="H155" i="54"/>
  <c r="BF155" i="54" s="1"/>
  <c r="AA306" i="53"/>
  <c r="H306" i="54"/>
  <c r="BF306" i="54" s="1"/>
  <c r="AA187" i="53"/>
  <c r="H187" i="54"/>
  <c r="BF187" i="54" s="1"/>
  <c r="AA297" i="53"/>
  <c r="H297" i="54"/>
  <c r="BF297" i="54" s="1"/>
  <c r="AA197" i="53"/>
  <c r="H197" i="54"/>
  <c r="BF197" i="54" s="1"/>
  <c r="AA89" i="53"/>
  <c r="H89" i="54"/>
  <c r="BF89" i="54" s="1"/>
  <c r="AA22" i="53"/>
  <c r="H22" i="54"/>
  <c r="BF22" i="54" s="1"/>
  <c r="AA48" i="53"/>
  <c r="H48" i="54"/>
  <c r="BF48" i="54" s="1"/>
  <c r="AA296" i="53"/>
  <c r="H296" i="54"/>
  <c r="BF296" i="54" s="1"/>
  <c r="H25" i="54"/>
  <c r="BF25" i="54" s="1"/>
  <c r="AA25" i="53"/>
  <c r="AA94" i="53"/>
  <c r="H94" i="54"/>
  <c r="BF94" i="54" s="1"/>
  <c r="AA219" i="53"/>
  <c r="H219" i="54"/>
  <c r="BF219" i="54" s="1"/>
  <c r="AA207" i="53"/>
  <c r="H207" i="54"/>
  <c r="BF207" i="54" s="1"/>
  <c r="H134" i="54"/>
  <c r="BF134" i="54" s="1"/>
  <c r="AA134" i="53"/>
  <c r="AA70" i="53"/>
  <c r="H70" i="54"/>
  <c r="BF70" i="54" s="1"/>
  <c r="H217" i="54"/>
  <c r="BF217" i="54" s="1"/>
  <c r="AA217" i="53"/>
  <c r="AA32" i="66"/>
  <c r="O32" i="66"/>
  <c r="AK32" i="66" s="1"/>
  <c r="AU32" i="66"/>
  <c r="AU33" i="66"/>
  <c r="O33" i="66"/>
  <c r="AK33" i="66" s="1"/>
  <c r="AA33" i="66"/>
  <c r="AA43" i="53"/>
  <c r="H43" i="54"/>
  <c r="BF43" i="54" s="1"/>
  <c r="AA46" i="53"/>
  <c r="H46" i="54"/>
  <c r="BF46" i="54" s="1"/>
  <c r="AA210" i="53"/>
  <c r="H210" i="54"/>
  <c r="BF210" i="54" s="1"/>
  <c r="AA65" i="53"/>
  <c r="H65" i="54"/>
  <c r="BF65" i="54" s="1"/>
  <c r="H298" i="54"/>
  <c r="BF298" i="54" s="1"/>
  <c r="AA298" i="53"/>
  <c r="AA251" i="53"/>
  <c r="H251" i="54"/>
  <c r="BF251" i="54" s="1"/>
  <c r="AA143" i="53"/>
  <c r="H143" i="54"/>
  <c r="BF143" i="54" s="1"/>
  <c r="AA87" i="53"/>
  <c r="H87" i="54"/>
  <c r="BF87" i="54" s="1"/>
  <c r="AA108" i="53"/>
  <c r="H108" i="54"/>
  <c r="BF108" i="54" s="1"/>
  <c r="AA208" i="53"/>
  <c r="H208" i="54"/>
  <c r="BF208" i="54" s="1"/>
  <c r="H245" i="54"/>
  <c r="BF245" i="54" s="1"/>
  <c r="AA245" i="53"/>
  <c r="AA160" i="53"/>
  <c r="H160" i="54"/>
  <c r="BF160" i="54" s="1"/>
  <c r="H44" i="54"/>
  <c r="BF44" i="54" s="1"/>
  <c r="AA44" i="53"/>
  <c r="H24" i="54"/>
  <c r="BF24" i="54" s="1"/>
  <c r="AA24" i="53"/>
  <c r="H173" i="54"/>
  <c r="BF173" i="54" s="1"/>
  <c r="AA173" i="53"/>
  <c r="H238" i="54"/>
  <c r="BF238" i="54" s="1"/>
  <c r="AA238" i="53"/>
  <c r="H249" i="54"/>
  <c r="BF249" i="54" s="1"/>
  <c r="AA249" i="53"/>
  <c r="AA291" i="53"/>
  <c r="H291" i="54"/>
  <c r="BF291" i="54" s="1"/>
  <c r="AA248" i="53"/>
  <c r="H248" i="54"/>
  <c r="BF248" i="54" s="1"/>
  <c r="H146" i="54"/>
  <c r="BF146" i="54" s="1"/>
  <c r="AA146" i="53"/>
  <c r="AA39" i="53"/>
  <c r="H39" i="54"/>
  <c r="BF39" i="54" s="1"/>
  <c r="AA167" i="53"/>
  <c r="H167" i="54"/>
  <c r="BF167" i="54" s="1"/>
  <c r="AA85" i="53"/>
  <c r="H85" i="54"/>
  <c r="BF85" i="54" s="1"/>
  <c r="AA72" i="53"/>
  <c r="H72" i="54"/>
  <c r="BF72" i="54" s="1"/>
  <c r="AA165" i="53"/>
  <c r="H165" i="54"/>
  <c r="BF165" i="54" s="1"/>
  <c r="AA166" i="53"/>
  <c r="H166" i="54"/>
  <c r="BF166" i="54" s="1"/>
  <c r="AA304" i="53"/>
  <c r="H304" i="54"/>
  <c r="BF304" i="54" s="1"/>
  <c r="AA189" i="53"/>
  <c r="H189" i="54"/>
  <c r="BF189" i="54" s="1"/>
  <c r="AA278" i="53"/>
  <c r="H278" i="54"/>
  <c r="BF278" i="54" s="1"/>
  <c r="AA263" i="53"/>
  <c r="H263" i="54"/>
  <c r="BF263" i="54" s="1"/>
  <c r="AA128" i="53"/>
  <c r="H128" i="54"/>
  <c r="BF128" i="54" s="1"/>
  <c r="AA159" i="53"/>
  <c r="H159" i="54"/>
  <c r="BF159" i="54" s="1"/>
  <c r="H157" i="54"/>
  <c r="BF157" i="54" s="1"/>
  <c r="AA157" i="53"/>
  <c r="AA33" i="53"/>
  <c r="H33" i="54"/>
  <c r="BF33" i="54" s="1"/>
  <c r="AA51" i="53"/>
  <c r="H51" i="54"/>
  <c r="BF51" i="54" s="1"/>
  <c r="AA294" i="53"/>
  <c r="H294" i="54"/>
  <c r="BF294" i="54" s="1"/>
  <c r="AA119" i="53"/>
  <c r="H119" i="54"/>
  <c r="BF119" i="54" s="1"/>
  <c r="AA233" i="53"/>
  <c r="H233" i="54"/>
  <c r="BF233" i="54" s="1"/>
  <c r="O36" i="66"/>
  <c r="AK36" i="66" s="1"/>
  <c r="AA36" i="66"/>
  <c r="AU36" i="66"/>
  <c r="AA149" i="53"/>
  <c r="H149" i="54"/>
  <c r="BF149" i="54" s="1"/>
  <c r="AA122" i="53"/>
  <c r="H122" i="54"/>
  <c r="BF122" i="54" s="1"/>
  <c r="H109" i="54"/>
  <c r="BF109" i="54" s="1"/>
  <c r="AA109" i="53"/>
  <c r="AA172" i="53"/>
  <c r="H172" i="54"/>
  <c r="BF172" i="54" s="1"/>
  <c r="AA214" i="53"/>
  <c r="H214" i="54"/>
  <c r="BF214" i="54" s="1"/>
  <c r="H37" i="54"/>
  <c r="BF37" i="54" s="1"/>
  <c r="AA37" i="53"/>
  <c r="AU34" i="66"/>
  <c r="O34" i="66"/>
  <c r="AK34" i="66" s="1"/>
  <c r="AA34" i="66"/>
  <c r="AA230" i="53"/>
  <c r="H230" i="54"/>
  <c r="BF230" i="54" s="1"/>
  <c r="H53" i="54"/>
  <c r="BF53" i="54" s="1"/>
  <c r="AA53" i="53"/>
  <c r="AA223" i="53"/>
  <c r="H223" i="54"/>
  <c r="BF223" i="54" s="1"/>
  <c r="AA35" i="66"/>
  <c r="AU35" i="66"/>
  <c r="O35" i="66"/>
  <c r="AK35" i="66" s="1"/>
  <c r="AA110" i="53"/>
  <c r="H110" i="54"/>
  <c r="BF110" i="54" s="1"/>
  <c r="AA28" i="53"/>
  <c r="H28" i="54"/>
  <c r="BF28" i="54" s="1"/>
  <c r="AA151" i="53"/>
  <c r="H151" i="54"/>
  <c r="BF151" i="54" s="1"/>
  <c r="AA45" i="53"/>
  <c r="H45" i="54"/>
  <c r="BF45" i="54" s="1"/>
  <c r="AA282" i="53"/>
  <c r="H282" i="54"/>
  <c r="BF282" i="54" s="1"/>
  <c r="AA274" i="53"/>
  <c r="H274" i="54"/>
  <c r="BF274" i="54" s="1"/>
  <c r="H194" i="54"/>
  <c r="BF194" i="54" s="1"/>
  <c r="AA194" i="53"/>
  <c r="AA198" i="53"/>
  <c r="H198" i="54"/>
  <c r="BF198" i="54" s="1"/>
  <c r="AA84" i="53"/>
  <c r="H84" i="54"/>
  <c r="BF84" i="54" s="1"/>
  <c r="AA206" i="53"/>
  <c r="H206" i="54"/>
  <c r="BF206" i="54" s="1"/>
  <c r="AA276" i="53"/>
  <c r="H276" i="54"/>
  <c r="BF276" i="54" s="1"/>
  <c r="AA241" i="53"/>
  <c r="H241" i="54"/>
  <c r="BF241" i="54" s="1"/>
  <c r="AA253" i="53"/>
  <c r="H253" i="54"/>
  <c r="BF253" i="54" s="1"/>
  <c r="AA288" i="53"/>
  <c r="H288" i="54"/>
  <c r="BF288" i="54" s="1"/>
  <c r="AA213" i="53"/>
  <c r="H213" i="54"/>
  <c r="BF213" i="54" s="1"/>
  <c r="AA131" i="53"/>
  <c r="H131" i="54"/>
  <c r="BF131" i="54" s="1"/>
  <c r="AA163" i="53"/>
  <c r="H163" i="54"/>
  <c r="BF163" i="54" s="1"/>
  <c r="AU30" i="66"/>
  <c r="AA30" i="66"/>
  <c r="O30" i="66"/>
  <c r="AK30" i="66" s="1"/>
  <c r="AA123" i="53"/>
  <c r="H123" i="54"/>
  <c r="BF123" i="54" s="1"/>
  <c r="I260" i="53"/>
  <c r="AB260" i="53" s="1"/>
  <c r="AA278" i="42"/>
  <c r="I305" i="53"/>
  <c r="AB305" i="53" s="1"/>
  <c r="AA209" i="42"/>
  <c r="I193" i="53"/>
  <c r="AB193" i="53" s="1"/>
  <c r="I242" i="53"/>
  <c r="AB242" i="53" s="1"/>
  <c r="I99" i="53"/>
  <c r="AB99" i="53" s="1"/>
  <c r="AA72" i="42"/>
  <c r="AA42" i="42"/>
  <c r="I171" i="53"/>
  <c r="I171" i="54" s="1"/>
  <c r="BG171" i="54" s="1"/>
  <c r="I49" i="53"/>
  <c r="AB49" i="53" s="1"/>
  <c r="AA294" i="42"/>
  <c r="I197" i="53"/>
  <c r="AB197" i="53" s="1"/>
  <c r="AA275" i="42"/>
  <c r="AA306" i="42"/>
  <c r="AA274" i="42"/>
  <c r="AA174" i="42"/>
  <c r="AA191" i="42"/>
  <c r="AA82" i="42"/>
  <c r="AA63" i="42"/>
  <c r="AA248" i="42"/>
  <c r="AA221" i="42"/>
  <c r="AA224" i="42"/>
  <c r="AA188" i="42"/>
  <c r="AA153" i="42"/>
  <c r="I77" i="53"/>
  <c r="AB77" i="53" s="1"/>
  <c r="AA149" i="42"/>
  <c r="I16" i="53"/>
  <c r="AB16" i="53" s="1"/>
  <c r="AA267" i="42"/>
  <c r="AA68" i="42"/>
  <c r="AA301" i="42"/>
  <c r="AA256" i="42"/>
  <c r="AA282" i="42"/>
  <c r="AA175" i="42"/>
  <c r="I298" i="53"/>
  <c r="I151" i="53"/>
  <c r="I76" i="53"/>
  <c r="AB76" i="53" s="1"/>
  <c r="AA112" i="42"/>
  <c r="AA289" i="42"/>
  <c r="AA128" i="42"/>
  <c r="AA269" i="42"/>
  <c r="AA107" i="42"/>
  <c r="AA222" i="42"/>
  <c r="AA189" i="42"/>
  <c r="AA31" i="42"/>
  <c r="AA25" i="42"/>
  <c r="AA194" i="42"/>
  <c r="AA181" i="42"/>
  <c r="AA284" i="42"/>
  <c r="AA137" i="42"/>
  <c r="AA229" i="42"/>
  <c r="I247" i="53"/>
  <c r="AB247" i="53" s="1"/>
  <c r="AA127" i="42"/>
  <c r="AA29" i="42"/>
  <c r="I246" i="53"/>
  <c r="AA249" i="42"/>
  <c r="I214" i="53"/>
  <c r="AB214" i="53" s="1"/>
  <c r="AA241" i="42"/>
  <c r="AA155" i="42"/>
  <c r="AA273" i="42"/>
  <c r="AA78" i="42"/>
  <c r="I148" i="53"/>
  <c r="I201" i="53"/>
  <c r="AA38" i="42"/>
  <c r="I38" i="53"/>
  <c r="AA237" i="42"/>
  <c r="I237" i="53"/>
  <c r="AA238" i="42"/>
  <c r="I238" i="53"/>
  <c r="AA239" i="42"/>
  <c r="I239" i="53"/>
  <c r="AA291" i="42"/>
  <c r="I291" i="53"/>
  <c r="AA75" i="42"/>
  <c r="I75" i="53"/>
  <c r="AA283" i="42"/>
  <c r="I283" i="53"/>
  <c r="AA230" i="42"/>
  <c r="AA220" i="42"/>
  <c r="I220" i="53"/>
  <c r="AA240" i="42"/>
  <c r="I288" i="53"/>
  <c r="AA272" i="42"/>
  <c r="I272" i="53"/>
  <c r="AA245" i="42"/>
  <c r="I245" i="53"/>
  <c r="AA296" i="42"/>
  <c r="AA297" i="42"/>
  <c r="I297" i="53"/>
  <c r="AA190" i="42"/>
  <c r="I190" i="53"/>
  <c r="AA134" i="42"/>
  <c r="I134" i="53"/>
  <c r="AA119" i="42"/>
  <c r="I119" i="53"/>
  <c r="AA123" i="42"/>
  <c r="I123" i="53"/>
  <c r="AA81" i="42"/>
  <c r="I81" i="53"/>
  <c r="AA178" i="42"/>
  <c r="I178" i="53"/>
  <c r="AA121" i="42"/>
  <c r="I121" i="53"/>
  <c r="AA264" i="42"/>
  <c r="I264" i="53"/>
  <c r="AA116" i="42"/>
  <c r="I116" i="53"/>
  <c r="AA40" i="42"/>
  <c r="AA34" i="42"/>
  <c r="I34" i="53"/>
  <c r="AA263" i="42"/>
  <c r="I102" i="53"/>
  <c r="AA57" i="42"/>
  <c r="I57" i="53"/>
  <c r="AA60" i="42"/>
  <c r="I60" i="53"/>
  <c r="AA71" i="42"/>
  <c r="I71" i="53"/>
  <c r="AA146" i="42"/>
  <c r="I146" i="53"/>
  <c r="AA293" i="42"/>
  <c r="I293" i="53"/>
  <c r="AA45" i="42"/>
  <c r="I45" i="53"/>
  <c r="AA94" i="42"/>
  <c r="I94" i="53"/>
  <c r="AA154" i="42"/>
  <c r="I154" i="53"/>
  <c r="AA109" i="42"/>
  <c r="I109" i="53"/>
  <c r="AA43" i="42"/>
  <c r="AA251" i="42"/>
  <c r="AA236" i="42"/>
  <c r="I236" i="53"/>
  <c r="I158" i="53"/>
  <c r="AA32" i="42"/>
  <c r="I32" i="53"/>
  <c r="AA97" i="42"/>
  <c r="I97" i="53"/>
  <c r="AA95" i="42"/>
  <c r="I95" i="53"/>
  <c r="I143" i="53"/>
  <c r="AA173" i="42"/>
  <c r="I173" i="53"/>
  <c r="AA89" i="42"/>
  <c r="I89" i="53"/>
  <c r="AA22" i="42"/>
  <c r="I22" i="53"/>
  <c r="AA226" i="42"/>
  <c r="I226" i="53"/>
  <c r="AA150" i="42"/>
  <c r="I150" i="53"/>
  <c r="AA117" i="42"/>
  <c r="I117" i="53"/>
  <c r="AA244" i="42"/>
  <c r="I244" i="53"/>
  <c r="I300" i="53"/>
  <c r="AA88" i="42"/>
  <c r="I88" i="53"/>
  <c r="AA292" i="42"/>
  <c r="I292" i="53"/>
  <c r="I254" i="53"/>
  <c r="AA141" i="42"/>
  <c r="I141" i="53"/>
  <c r="I202" i="53"/>
  <c r="AA36" i="42"/>
  <c r="I36" i="53"/>
  <c r="AA28" i="42"/>
  <c r="AA172" i="42"/>
  <c r="I172" i="53"/>
  <c r="AA103" i="42"/>
  <c r="I103" i="53"/>
  <c r="AA132" i="42"/>
  <c r="I132" i="53"/>
  <c r="AA51" i="42"/>
  <c r="I51" i="53"/>
  <c r="AA257" i="42"/>
  <c r="I257" i="53"/>
  <c r="AA24" i="42"/>
  <c r="I24" i="53"/>
  <c r="AA215" i="42"/>
  <c r="I215" i="53"/>
  <c r="AA56" i="42"/>
  <c r="I56" i="53"/>
  <c r="AA21" i="42"/>
  <c r="I21" i="53"/>
  <c r="AA113" i="42"/>
  <c r="I113" i="53"/>
  <c r="AA208" i="42"/>
  <c r="I208" i="53"/>
  <c r="AA243" i="42"/>
  <c r="I243" i="53"/>
  <c r="AA183" i="42"/>
  <c r="I183" i="53"/>
  <c r="AA304" i="42"/>
  <c r="I304" i="53"/>
  <c r="AA280" i="42"/>
  <c r="I280" i="53"/>
  <c r="AA182" i="42"/>
  <c r="I182" i="53"/>
  <c r="AA250" i="42"/>
  <c r="I250" i="53"/>
  <c r="AA20" i="42"/>
  <c r="I20" i="53"/>
  <c r="AA199" i="42"/>
  <c r="I199" i="53"/>
  <c r="AA23" i="42"/>
  <c r="I23" i="53"/>
  <c r="AA164" i="42"/>
  <c r="I164" i="53"/>
  <c r="AA133" i="42"/>
  <c r="I133" i="53"/>
  <c r="AA253" i="42"/>
  <c r="I253" i="53"/>
  <c r="AA135" i="42"/>
  <c r="I135" i="53"/>
  <c r="AA131" i="42"/>
  <c r="I131" i="53"/>
  <c r="AA185" i="42"/>
  <c r="AA142" i="42"/>
  <c r="I142" i="53"/>
  <c r="AA58" i="42"/>
  <c r="I58" i="53"/>
  <c r="AA87" i="42"/>
  <c r="I87" i="53"/>
  <c r="AA287" i="42"/>
  <c r="I287" i="53"/>
  <c r="AA252" i="42"/>
  <c r="AA26" i="42"/>
  <c r="I26" i="53"/>
  <c r="AA259" i="42"/>
  <c r="I259" i="53"/>
  <c r="AA258" i="42"/>
  <c r="I258" i="53"/>
  <c r="AA19" i="42"/>
  <c r="I19" i="53"/>
  <c r="AA303" i="42"/>
  <c r="I303" i="53"/>
  <c r="AA290" i="42"/>
  <c r="I290" i="53"/>
  <c r="AA268" i="42"/>
  <c r="I268" i="53"/>
  <c r="AA218" i="42"/>
  <c r="I218" i="53"/>
  <c r="AA105" i="42"/>
  <c r="I105" i="53"/>
  <c r="AA168" i="42"/>
  <c r="I168" i="53"/>
  <c r="AA198" i="42"/>
  <c r="I198" i="53"/>
  <c r="AA223" i="42"/>
  <c r="I223" i="53"/>
  <c r="AA207" i="42"/>
  <c r="I207" i="53"/>
  <c r="AA67" i="42"/>
  <c r="AA187" i="42"/>
  <c r="I187" i="53"/>
  <c r="AA17" i="42"/>
  <c r="I17" i="53"/>
  <c r="AA85" i="42"/>
  <c r="I85" i="53"/>
  <c r="AA138" i="42"/>
  <c r="I138" i="53"/>
  <c r="AA165" i="42"/>
  <c r="I165" i="53"/>
  <c r="AA92" i="42"/>
  <c r="I92" i="53"/>
  <c r="AA196" i="42"/>
  <c r="I196" i="53"/>
  <c r="AA66" i="42"/>
  <c r="I66" i="53"/>
  <c r="AA210" i="42"/>
  <c r="AA65" i="42"/>
  <c r="I65" i="53"/>
  <c r="I206" i="53"/>
  <c r="AA93" i="42"/>
  <c r="I93" i="53"/>
  <c r="AA302" i="42"/>
  <c r="I302" i="53"/>
  <c r="AA159" i="42"/>
  <c r="I159" i="53"/>
  <c r="AA167" i="42"/>
  <c r="I167" i="53"/>
  <c r="AA227" i="42"/>
  <c r="I227" i="53"/>
  <c r="AA213" i="42"/>
  <c r="I213" i="53"/>
  <c r="AA33" i="42"/>
  <c r="I33" i="53"/>
  <c r="AA265" i="42"/>
  <c r="I265" i="53"/>
  <c r="AA96" i="42"/>
  <c r="I96" i="53"/>
  <c r="AA115" i="42"/>
  <c r="I115" i="53"/>
  <c r="AA80" i="42"/>
  <c r="I80" i="53"/>
  <c r="AA176" i="42"/>
  <c r="I176" i="53"/>
  <c r="AA91" i="42"/>
  <c r="I91" i="53"/>
  <c r="AA277" i="42"/>
  <c r="I277" i="53"/>
  <c r="D140" i="66" l="1"/>
  <c r="D138" i="66"/>
  <c r="D142" i="66"/>
  <c r="BF7" i="54"/>
  <c r="D143" i="66"/>
  <c r="D139" i="66"/>
  <c r="D144" i="66"/>
  <c r="D141" i="66"/>
  <c r="AA39" i="42"/>
  <c r="I161" i="53"/>
  <c r="AB161" i="53" s="1"/>
  <c r="I136" i="53"/>
  <c r="AB136" i="53" s="1"/>
  <c r="AA202" i="42"/>
  <c r="AA300" i="42"/>
  <c r="AA102" i="42"/>
  <c r="I203" i="53"/>
  <c r="I203" i="54" s="1"/>
  <c r="BG203" i="54" s="1"/>
  <c r="I185" i="53"/>
  <c r="AB185" i="53" s="1"/>
  <c r="I61" i="53"/>
  <c r="AB61" i="53" s="1"/>
  <c r="I28" i="53"/>
  <c r="I28" i="54" s="1"/>
  <c r="BG28" i="54" s="1"/>
  <c r="I169" i="53"/>
  <c r="I169" i="54" s="1"/>
  <c r="BG169" i="54" s="1"/>
  <c r="AA158" i="42"/>
  <c r="AA50" i="42"/>
  <c r="AA203" i="42"/>
  <c r="AA61" i="42"/>
  <c r="AA169" i="42"/>
  <c r="I217" i="53"/>
  <c r="AB217" i="53" s="1"/>
  <c r="I140" i="53"/>
  <c r="AB140" i="53" s="1"/>
  <c r="I255" i="53"/>
  <c r="AB255" i="53" s="1"/>
  <c r="I170" i="53"/>
  <c r="I170" i="54" s="1"/>
  <c r="BG170" i="54" s="1"/>
  <c r="AA48" i="42"/>
  <c r="I261" i="53"/>
  <c r="I261" i="54" s="1"/>
  <c r="BG261" i="54" s="1"/>
  <c r="AA217" i="42"/>
  <c r="I55" i="53"/>
  <c r="I55" i="54" s="1"/>
  <c r="BG55" i="54" s="1"/>
  <c r="AA73" i="42"/>
  <c r="AA206" i="42"/>
  <c r="AA254" i="42"/>
  <c r="I50" i="53"/>
  <c r="I50" i="54" s="1"/>
  <c r="BG50" i="54" s="1"/>
  <c r="I48" i="53"/>
  <c r="AB48" i="53" s="1"/>
  <c r="I67" i="53"/>
  <c r="AB67" i="53" s="1"/>
  <c r="AA140" i="42"/>
  <c r="AA255" i="42"/>
  <c r="AA170" i="42"/>
  <c r="I37" i="53"/>
  <c r="I37" i="54" s="1"/>
  <c r="BG37" i="54" s="1"/>
  <c r="AA261" i="42"/>
  <c r="I195" i="53"/>
  <c r="I195" i="54" s="1"/>
  <c r="BG195" i="54" s="1"/>
  <c r="I74" i="53"/>
  <c r="AB74" i="53" s="1"/>
  <c r="I279" i="53"/>
  <c r="I279" i="54" s="1"/>
  <c r="BG279" i="54" s="1"/>
  <c r="I228" i="53"/>
  <c r="I228" i="54" s="1"/>
  <c r="BG228" i="54" s="1"/>
  <c r="I98" i="53"/>
  <c r="AB98" i="53" s="1"/>
  <c r="AA44" i="42"/>
  <c r="I54" i="53"/>
  <c r="AB54" i="53" s="1"/>
  <c r="AA74" i="42"/>
  <c r="AA279" i="42"/>
  <c r="I59" i="53"/>
  <c r="AB59" i="53" s="1"/>
  <c r="I179" i="53"/>
  <c r="I179" i="54" s="1"/>
  <c r="BG179" i="54" s="1"/>
  <c r="I122" i="53"/>
  <c r="I122" i="54" s="1"/>
  <c r="BG122" i="54" s="1"/>
  <c r="J341" i="42"/>
  <c r="AA195" i="42"/>
  <c r="AA179" i="42"/>
  <c r="AA122" i="42"/>
  <c r="AA37" i="42"/>
  <c r="I40" i="53"/>
  <c r="AA54" i="42"/>
  <c r="AA163" i="42"/>
  <c r="AA46" i="42"/>
  <c r="I41" i="53"/>
  <c r="I41" i="54" s="1"/>
  <c r="BG41" i="54" s="1"/>
  <c r="I108" i="53"/>
  <c r="I108" i="54" s="1"/>
  <c r="BG108" i="54" s="1"/>
  <c r="I130" i="53"/>
  <c r="AB130" i="53" s="1"/>
  <c r="AA205" i="42"/>
  <c r="AA152" i="42"/>
  <c r="AA234" i="42"/>
  <c r="AA276" i="42"/>
  <c r="AA156" i="42"/>
  <c r="AA286" i="42"/>
  <c r="AA27" i="42"/>
  <c r="AA177" i="42"/>
  <c r="AA108" i="42"/>
  <c r="AA130" i="42"/>
  <c r="I211" i="53"/>
  <c r="AB211" i="53" s="1"/>
  <c r="I192" i="53"/>
  <c r="AB192" i="53" s="1"/>
  <c r="I160" i="53"/>
  <c r="AB160" i="53" s="1"/>
  <c r="I104" i="53"/>
  <c r="AB104" i="53" s="1"/>
  <c r="I144" i="53"/>
  <c r="AB144" i="53" s="1"/>
  <c r="I86" i="53"/>
  <c r="AB86" i="53" s="1"/>
  <c r="AA211" i="42"/>
  <c r="I84" i="53"/>
  <c r="AB84" i="53" s="1"/>
  <c r="AA262" i="42"/>
  <c r="AA160" i="42"/>
  <c r="AA104" i="42"/>
  <c r="AA144" i="42"/>
  <c r="AA86" i="42"/>
  <c r="I129" i="53"/>
  <c r="I129" i="54" s="1"/>
  <c r="BG129" i="54" s="1"/>
  <c r="I180" i="53"/>
  <c r="AA84" i="42"/>
  <c r="I210" i="53"/>
  <c r="I210" i="54" s="1"/>
  <c r="BG210" i="54" s="1"/>
  <c r="AA129" i="42"/>
  <c r="AA180" i="42"/>
  <c r="I43" i="53"/>
  <c r="I43" i="54" s="1"/>
  <c r="BG43" i="54" s="1"/>
  <c r="AA62" i="42"/>
  <c r="AA83" i="42"/>
  <c r="I70" i="53"/>
  <c r="AB70" i="53" s="1"/>
  <c r="I216" i="53"/>
  <c r="AB216" i="53" s="1"/>
  <c r="I139" i="53"/>
  <c r="I139" i="54" s="1"/>
  <c r="BG139" i="54" s="1"/>
  <c r="AA143" i="42"/>
  <c r="I69" i="53"/>
  <c r="AB69" i="53" s="1"/>
  <c r="AA288" i="42"/>
  <c r="AA201" i="42"/>
  <c r="I120" i="53"/>
  <c r="I120" i="54" s="1"/>
  <c r="BG120" i="54" s="1"/>
  <c r="AA216" i="42"/>
  <c r="AA139" i="42"/>
  <c r="I205" i="53"/>
  <c r="AB205" i="53" s="1"/>
  <c r="I152" i="53"/>
  <c r="AB152" i="53" s="1"/>
  <c r="I234" i="53"/>
  <c r="I234" i="54" s="1"/>
  <c r="BG234" i="54" s="1"/>
  <c r="I276" i="53"/>
  <c r="AB276" i="53" s="1"/>
  <c r="AA69" i="42"/>
  <c r="I156" i="53"/>
  <c r="I156" i="54" s="1"/>
  <c r="BG156" i="54" s="1"/>
  <c r="AA157" i="42"/>
  <c r="I278" i="53"/>
  <c r="AB278" i="53" s="1"/>
  <c r="I39" i="53"/>
  <c r="AB39" i="53" s="1"/>
  <c r="AA161" i="42"/>
  <c r="AA100" i="42"/>
  <c r="I200" i="53"/>
  <c r="I200" i="54" s="1"/>
  <c r="BG200" i="54" s="1"/>
  <c r="I231" i="53"/>
  <c r="AB231" i="53" s="1"/>
  <c r="AA186" i="42"/>
  <c r="I125" i="53"/>
  <c r="AB125" i="53" s="1"/>
  <c r="AA295" i="42"/>
  <c r="AA184" i="42"/>
  <c r="AA47" i="42"/>
  <c r="I124" i="53"/>
  <c r="I124" i="54" s="1"/>
  <c r="BG124" i="54" s="1"/>
  <c r="AA30" i="42"/>
  <c r="I145" i="53"/>
  <c r="AB145" i="53" s="1"/>
  <c r="AA79" i="42"/>
  <c r="AA52" i="42"/>
  <c r="AA166" i="42"/>
  <c r="I281" i="53"/>
  <c r="I281" i="54" s="1"/>
  <c r="BG281" i="54" s="1"/>
  <c r="I90" i="53"/>
  <c r="I90" i="54" s="1"/>
  <c r="BG90" i="54" s="1"/>
  <c r="AA266" i="42"/>
  <c r="AA232" i="42"/>
  <c r="I110" i="53"/>
  <c r="I110" i="54" s="1"/>
  <c r="BG110" i="54" s="1"/>
  <c r="AA225" i="42"/>
  <c r="AA219" i="42"/>
  <c r="AA118" i="42"/>
  <c r="AA233" i="42"/>
  <c r="AA35" i="42"/>
  <c r="AA162" i="42"/>
  <c r="I101" i="53"/>
  <c r="AB101" i="53" s="1"/>
  <c r="I271" i="53"/>
  <c r="I271" i="54" s="1"/>
  <c r="BG271" i="54" s="1"/>
  <c r="AA299" i="42"/>
  <c r="AA106" i="42"/>
  <c r="I147" i="53"/>
  <c r="AB147" i="53" s="1"/>
  <c r="AA114" i="42"/>
  <c r="AA53" i="42"/>
  <c r="AA270" i="42"/>
  <c r="AA307" i="42"/>
  <c r="I209" i="53"/>
  <c r="AB209" i="53" s="1"/>
  <c r="AA212" i="42"/>
  <c r="AA18" i="42"/>
  <c r="I294" i="53"/>
  <c r="AB294" i="53" s="1"/>
  <c r="I72" i="53"/>
  <c r="AB72" i="53" s="1"/>
  <c r="AA260" i="42"/>
  <c r="AA242" i="42"/>
  <c r="AA99" i="42"/>
  <c r="AA136" i="42"/>
  <c r="AA111" i="42"/>
  <c r="I126" i="53"/>
  <c r="AA49" i="42"/>
  <c r="AA193" i="42"/>
  <c r="I42" i="53"/>
  <c r="AA197" i="42"/>
  <c r="AA171" i="42"/>
  <c r="AA285" i="42"/>
  <c r="AA305" i="42"/>
  <c r="AA200" i="42"/>
  <c r="AA147" i="42"/>
  <c r="AA90" i="42"/>
  <c r="I47" i="53"/>
  <c r="I47" i="54" s="1"/>
  <c r="BG47" i="54" s="1"/>
  <c r="AA124" i="42"/>
  <c r="AA101" i="42"/>
  <c r="AA110" i="42"/>
  <c r="AA271" i="42"/>
  <c r="AA145" i="42"/>
  <c r="AA125" i="42"/>
  <c r="I186" i="53"/>
  <c r="AB186" i="53" s="1"/>
  <c r="J323" i="42"/>
  <c r="I114" i="53"/>
  <c r="AB114" i="53" s="1"/>
  <c r="I225" i="53"/>
  <c r="AB225" i="53" s="1"/>
  <c r="I162" i="53"/>
  <c r="I162" i="54" s="1"/>
  <c r="BG162" i="54" s="1"/>
  <c r="I266" i="53"/>
  <c r="AB266" i="53" s="1"/>
  <c r="I53" i="53"/>
  <c r="AB53" i="53" s="1"/>
  <c r="I106" i="53"/>
  <c r="AB106" i="53" s="1"/>
  <c r="J348" i="42"/>
  <c r="I30" i="53"/>
  <c r="I30" i="54" s="1"/>
  <c r="BG30" i="54" s="1"/>
  <c r="I166" i="53"/>
  <c r="AB166" i="53" s="1"/>
  <c r="I299" i="53"/>
  <c r="I299" i="54" s="1"/>
  <c r="BG299" i="54" s="1"/>
  <c r="I35" i="53"/>
  <c r="I35" i="54" s="1"/>
  <c r="BG35" i="54" s="1"/>
  <c r="I233" i="53"/>
  <c r="AB233" i="53" s="1"/>
  <c r="I79" i="53"/>
  <c r="I79" i="54" s="1"/>
  <c r="BG79" i="54" s="1"/>
  <c r="I270" i="53"/>
  <c r="I270" i="54" s="1"/>
  <c r="BG270" i="54" s="1"/>
  <c r="I118" i="53"/>
  <c r="AB118" i="53" s="1"/>
  <c r="I111" i="53"/>
  <c r="I111" i="54" s="1"/>
  <c r="BG111" i="54" s="1"/>
  <c r="I235" i="53"/>
  <c r="AA235" i="42"/>
  <c r="AA204" i="42"/>
  <c r="I204" i="53"/>
  <c r="AB18" i="53"/>
  <c r="I260" i="54"/>
  <c r="BG260" i="54" s="1"/>
  <c r="I212" i="54"/>
  <c r="BG212" i="54" s="1"/>
  <c r="I197" i="54"/>
  <c r="BG197" i="54" s="1"/>
  <c r="I99" i="54"/>
  <c r="BG99" i="54" s="1"/>
  <c r="H288" i="65"/>
  <c r="H288" i="57"/>
  <c r="AA288" i="54"/>
  <c r="H206" i="65"/>
  <c r="AA206" i="54"/>
  <c r="H206" i="57"/>
  <c r="H274" i="65"/>
  <c r="AA274" i="54"/>
  <c r="H274" i="57"/>
  <c r="AA28" i="54"/>
  <c r="H28" i="57"/>
  <c r="H28" i="65"/>
  <c r="H122" i="57"/>
  <c r="H122" i="65"/>
  <c r="AA122" i="54"/>
  <c r="H208" i="57"/>
  <c r="H208" i="65"/>
  <c r="AA208" i="54"/>
  <c r="H251" i="57"/>
  <c r="H251" i="65"/>
  <c r="AA251" i="54"/>
  <c r="H46" i="65"/>
  <c r="AA46" i="54"/>
  <c r="H46" i="57"/>
  <c r="H207" i="65"/>
  <c r="AA207" i="54"/>
  <c r="H207" i="57"/>
  <c r="AA296" i="54"/>
  <c r="H296" i="57"/>
  <c r="H296" i="65"/>
  <c r="H197" i="65"/>
  <c r="AA197" i="54"/>
  <c r="H197" i="57"/>
  <c r="H155" i="57"/>
  <c r="H155" i="65"/>
  <c r="AA155" i="54"/>
  <c r="H243" i="65"/>
  <c r="AA243" i="54"/>
  <c r="H243" i="57"/>
  <c r="AA62" i="54"/>
  <c r="H62" i="57"/>
  <c r="H62" i="65"/>
  <c r="H196" i="65"/>
  <c r="AA196" i="54"/>
  <c r="H196" i="57"/>
  <c r="H68" i="57"/>
  <c r="H68" i="65"/>
  <c r="AA68" i="54"/>
  <c r="H270" i="57"/>
  <c r="AA270" i="54"/>
  <c r="H270" i="65"/>
  <c r="AA77" i="54"/>
  <c r="H77" i="57"/>
  <c r="H77" i="65"/>
  <c r="AA107" i="54"/>
  <c r="H107" i="57"/>
  <c r="H107" i="65"/>
  <c r="AA168" i="54"/>
  <c r="H168" i="65"/>
  <c r="H168" i="57"/>
  <c r="H142" i="57"/>
  <c r="AA142" i="54"/>
  <c r="H142" i="65"/>
  <c r="AA40" i="54"/>
  <c r="H40" i="57"/>
  <c r="H40" i="65"/>
  <c r="AA171" i="54"/>
  <c r="H171" i="65"/>
  <c r="H171" i="57"/>
  <c r="H67" i="57"/>
  <c r="H67" i="65"/>
  <c r="AA67" i="54"/>
  <c r="AA139" i="54"/>
  <c r="H139" i="57"/>
  <c r="H139" i="65"/>
  <c r="H19" i="65"/>
  <c r="AA19" i="54"/>
  <c r="H19" i="57"/>
  <c r="H211" i="57"/>
  <c r="AA211" i="54"/>
  <c r="H211" i="65"/>
  <c r="H31" i="57"/>
  <c r="AA31" i="54"/>
  <c r="H31" i="65"/>
  <c r="AA148" i="54"/>
  <c r="H148" i="65"/>
  <c r="H148" i="57"/>
  <c r="AA32" i="54"/>
  <c r="H32" i="65"/>
  <c r="H32" i="57"/>
  <c r="H91" i="57"/>
  <c r="H91" i="65"/>
  <c r="AA91" i="54"/>
  <c r="AA115" i="54"/>
  <c r="H115" i="57"/>
  <c r="H115" i="65"/>
  <c r="H76" i="65"/>
  <c r="H76" i="57"/>
  <c r="AA76" i="54"/>
  <c r="H37" i="65"/>
  <c r="H37" i="57"/>
  <c r="AA37" i="54"/>
  <c r="H119" i="65"/>
  <c r="AA119" i="54"/>
  <c r="H119" i="57"/>
  <c r="H278" i="57"/>
  <c r="AA278" i="54"/>
  <c r="H278" i="65"/>
  <c r="H165" i="57"/>
  <c r="AA165" i="54"/>
  <c r="H165" i="65"/>
  <c r="H39" i="57"/>
  <c r="AA39" i="54"/>
  <c r="H39" i="65"/>
  <c r="D66" i="66"/>
  <c r="H24" i="57"/>
  <c r="AA24" i="54"/>
  <c r="H24" i="65"/>
  <c r="H75" i="57"/>
  <c r="H75" i="65"/>
  <c r="AA75" i="54"/>
  <c r="H265" i="57"/>
  <c r="AA265" i="54"/>
  <c r="H265" i="65"/>
  <c r="AA98" i="54"/>
  <c r="H98" i="57"/>
  <c r="H98" i="65"/>
  <c r="H234" i="57"/>
  <c r="AA234" i="54"/>
  <c r="H234" i="65"/>
  <c r="AA106" i="54"/>
  <c r="H106" i="65"/>
  <c r="H106" i="57"/>
  <c r="H49" i="57"/>
  <c r="AA49" i="54"/>
  <c r="H49" i="65"/>
  <c r="AA92" i="54"/>
  <c r="H92" i="57"/>
  <c r="H92" i="65"/>
  <c r="H30" i="65"/>
  <c r="AA30" i="54"/>
  <c r="H30" i="57"/>
  <c r="H226" i="57"/>
  <c r="AA226" i="54"/>
  <c r="H226" i="65"/>
  <c r="H88" i="57"/>
  <c r="H88" i="65"/>
  <c r="AA88" i="54"/>
  <c r="H295" i="65"/>
  <c r="H295" i="57"/>
  <c r="AA295" i="54"/>
  <c r="H59" i="57"/>
  <c r="H59" i="65"/>
  <c r="AA59" i="54"/>
  <c r="H222" i="65"/>
  <c r="H222" i="57"/>
  <c r="AA222" i="54"/>
  <c r="H193" i="65"/>
  <c r="H193" i="57"/>
  <c r="AA193" i="54"/>
  <c r="AA113" i="54"/>
  <c r="H113" i="57"/>
  <c r="H113" i="65"/>
  <c r="H261" i="57"/>
  <c r="H261" i="65"/>
  <c r="AA261" i="54"/>
  <c r="H42" i="57"/>
  <c r="H42" i="65"/>
  <c r="AA42" i="54"/>
  <c r="H262" i="65"/>
  <c r="H262" i="57"/>
  <c r="AA262" i="54"/>
  <c r="H147" i="65"/>
  <c r="H147" i="57"/>
  <c r="AA147" i="54"/>
  <c r="AA78" i="54"/>
  <c r="H78" i="65"/>
  <c r="H78" i="57"/>
  <c r="H57" i="57"/>
  <c r="AA57" i="54"/>
  <c r="H57" i="65"/>
  <c r="H190" i="65"/>
  <c r="AA190" i="54"/>
  <c r="H190" i="57"/>
  <c r="H183" i="65"/>
  <c r="H183" i="57"/>
  <c r="AA183" i="54"/>
  <c r="AA269" i="54"/>
  <c r="H269" i="65"/>
  <c r="H269" i="57"/>
  <c r="H199" i="65"/>
  <c r="H199" i="57"/>
  <c r="AA199" i="54"/>
  <c r="H229" i="57"/>
  <c r="H229" i="65"/>
  <c r="AA229" i="54"/>
  <c r="H56" i="65"/>
  <c r="AA56" i="54"/>
  <c r="H56" i="57"/>
  <c r="H177" i="57"/>
  <c r="AA177" i="54"/>
  <c r="H177" i="65"/>
  <c r="H163" i="57"/>
  <c r="H163" i="65"/>
  <c r="AA163" i="54"/>
  <c r="H253" i="57"/>
  <c r="AA253" i="54"/>
  <c r="H253" i="65"/>
  <c r="AA84" i="54"/>
  <c r="H84" i="65"/>
  <c r="H84" i="57"/>
  <c r="H282" i="65"/>
  <c r="AA282" i="54"/>
  <c r="H282" i="57"/>
  <c r="AA110" i="54"/>
  <c r="H110" i="65"/>
  <c r="H110" i="57"/>
  <c r="AA53" i="54"/>
  <c r="H53" i="57"/>
  <c r="H53" i="65"/>
  <c r="H214" i="65"/>
  <c r="H214" i="57"/>
  <c r="AA214" i="54"/>
  <c r="H149" i="57"/>
  <c r="H149" i="65"/>
  <c r="AA149" i="54"/>
  <c r="H157" i="65"/>
  <c r="AA157" i="54"/>
  <c r="H157" i="57"/>
  <c r="H249" i="65"/>
  <c r="AA249" i="54"/>
  <c r="H249" i="57"/>
  <c r="H108" i="57"/>
  <c r="H108" i="65"/>
  <c r="AA108" i="54"/>
  <c r="AA43" i="54"/>
  <c r="H43" i="57"/>
  <c r="H43" i="65"/>
  <c r="H219" i="65"/>
  <c r="H219" i="57"/>
  <c r="AA219" i="54"/>
  <c r="H48" i="57"/>
  <c r="D67" i="66"/>
  <c r="H48" i="65"/>
  <c r="AA48" i="54"/>
  <c r="AA297" i="54"/>
  <c r="H297" i="57"/>
  <c r="H297" i="65"/>
  <c r="AA86" i="54"/>
  <c r="H86" i="57"/>
  <c r="H86" i="65"/>
  <c r="H79" i="65"/>
  <c r="H79" i="57"/>
  <c r="AA79" i="54"/>
  <c r="H105" i="57"/>
  <c r="H105" i="65"/>
  <c r="AA105" i="54"/>
  <c r="AA36" i="54"/>
  <c r="H36" i="65"/>
  <c r="H36" i="57"/>
  <c r="AA215" i="54"/>
  <c r="H215" i="57"/>
  <c r="H215" i="65"/>
  <c r="H280" i="65"/>
  <c r="AA280" i="54"/>
  <c r="H280" i="57"/>
  <c r="AA169" i="54"/>
  <c r="H169" i="57"/>
  <c r="H169" i="65"/>
  <c r="H203" i="57"/>
  <c r="AA203" i="54"/>
  <c r="H203" i="65"/>
  <c r="H164" i="57"/>
  <c r="AA164" i="54"/>
  <c r="H164" i="65"/>
  <c r="AA182" i="54"/>
  <c r="H182" i="57"/>
  <c r="H182" i="65"/>
  <c r="H300" i="57"/>
  <c r="H300" i="65"/>
  <c r="AA300" i="54"/>
  <c r="AA29" i="54"/>
  <c r="H29" i="65"/>
  <c r="H29" i="57"/>
  <c r="H111" i="65"/>
  <c r="AA111" i="54"/>
  <c r="H111" i="57"/>
  <c r="H205" i="57"/>
  <c r="H205" i="65"/>
  <c r="AA205" i="54"/>
  <c r="AA124" i="54"/>
  <c r="H124" i="57"/>
  <c r="H124" i="65"/>
  <c r="AA60" i="54"/>
  <c r="H60" i="65"/>
  <c r="H60" i="57"/>
  <c r="H80" i="65"/>
  <c r="H80" i="57"/>
  <c r="AA80" i="54"/>
  <c r="H201" i="65"/>
  <c r="H201" i="57"/>
  <c r="AA201" i="54"/>
  <c r="AA150" i="54"/>
  <c r="H150" i="57"/>
  <c r="H150" i="65"/>
  <c r="AA286" i="54"/>
  <c r="H286" i="57"/>
  <c r="H286" i="65"/>
  <c r="H285" i="65"/>
  <c r="AA285" i="54"/>
  <c r="H285" i="57"/>
  <c r="H277" i="57"/>
  <c r="AA277" i="54"/>
  <c r="H277" i="65"/>
  <c r="H41" i="57"/>
  <c r="AA41" i="54"/>
  <c r="H41" i="65"/>
  <c r="H154" i="65"/>
  <c r="H154" i="57"/>
  <c r="AA154" i="54"/>
  <c r="AA209" i="54"/>
  <c r="H209" i="65"/>
  <c r="H209" i="57"/>
  <c r="H81" i="65"/>
  <c r="H81" i="57"/>
  <c r="AA81" i="54"/>
  <c r="H195" i="65"/>
  <c r="H195" i="57"/>
  <c r="AA195" i="54"/>
  <c r="H267" i="57"/>
  <c r="AA267" i="54"/>
  <c r="H267" i="65"/>
  <c r="AA230" i="54"/>
  <c r="H230" i="57"/>
  <c r="H230" i="65"/>
  <c r="H294" i="57"/>
  <c r="H294" i="65"/>
  <c r="AA294" i="54"/>
  <c r="H159" i="57"/>
  <c r="AA159" i="54"/>
  <c r="H159" i="65"/>
  <c r="H189" i="57"/>
  <c r="AA189" i="54"/>
  <c r="H189" i="65"/>
  <c r="AA72" i="54"/>
  <c r="H72" i="57"/>
  <c r="H72" i="65"/>
  <c r="AA44" i="54"/>
  <c r="H44" i="65"/>
  <c r="H44" i="57"/>
  <c r="H298" i="57"/>
  <c r="AA298" i="54"/>
  <c r="H298" i="65"/>
  <c r="H217" i="65"/>
  <c r="AA217" i="54"/>
  <c r="H217" i="57"/>
  <c r="AA273" i="54"/>
  <c r="H273" i="57"/>
  <c r="H273" i="65"/>
  <c r="AA179" i="54"/>
  <c r="H179" i="65"/>
  <c r="H179" i="57"/>
  <c r="H55" i="65"/>
  <c r="AA55" i="54"/>
  <c r="H55" i="57"/>
  <c r="AA129" i="54"/>
  <c r="H129" i="57"/>
  <c r="H129" i="65"/>
  <c r="H260" i="65"/>
  <c r="H260" i="57"/>
  <c r="AA260" i="54"/>
  <c r="H283" i="57"/>
  <c r="H283" i="65"/>
  <c r="AA283" i="54"/>
  <c r="H302" i="65"/>
  <c r="AA302" i="54"/>
  <c r="H302" i="57"/>
  <c r="AA103" i="54"/>
  <c r="H103" i="57"/>
  <c r="H103" i="65"/>
  <c r="AA256" i="54"/>
  <c r="H256" i="57"/>
  <c r="H256" i="65"/>
  <c r="H242" i="65"/>
  <c r="AA242" i="54"/>
  <c r="H242" i="57"/>
  <c r="AA116" i="54"/>
  <c r="H116" i="57"/>
  <c r="H116" i="65"/>
  <c r="H305" i="65"/>
  <c r="AA305" i="54"/>
  <c r="H305" i="57"/>
  <c r="H180" i="65"/>
  <c r="H180" i="57"/>
  <c r="AA180" i="54"/>
  <c r="AA252" i="54"/>
  <c r="H252" i="57"/>
  <c r="H252" i="65"/>
  <c r="H95" i="65"/>
  <c r="AA95" i="54"/>
  <c r="H95" i="57"/>
  <c r="AA26" i="54"/>
  <c r="H26" i="65"/>
  <c r="H26" i="57"/>
  <c r="H200" i="65"/>
  <c r="AA200" i="54"/>
  <c r="H200" i="57"/>
  <c r="H114" i="57"/>
  <c r="H114" i="65"/>
  <c r="AA114" i="54"/>
  <c r="H257" i="57"/>
  <c r="H257" i="65"/>
  <c r="AA257" i="54"/>
  <c r="H82" i="57"/>
  <c r="H82" i="65"/>
  <c r="AA82" i="54"/>
  <c r="H63" i="65"/>
  <c r="AA63" i="54"/>
  <c r="H63" i="57"/>
  <c r="AA184" i="54"/>
  <c r="H184" i="57"/>
  <c r="H184" i="65"/>
  <c r="H93" i="65"/>
  <c r="H93" i="57"/>
  <c r="AA93" i="54"/>
  <c r="H250" i="57"/>
  <c r="H250" i="65"/>
  <c r="AA250" i="54"/>
  <c r="H61" i="65"/>
  <c r="AA61" i="54"/>
  <c r="H61" i="57"/>
  <c r="H174" i="65"/>
  <c r="AA174" i="54"/>
  <c r="H174" i="57"/>
  <c r="AA131" i="54"/>
  <c r="H131" i="65"/>
  <c r="H131" i="57"/>
  <c r="H241" i="57"/>
  <c r="AA241" i="54"/>
  <c r="H241" i="65"/>
  <c r="AA198" i="54"/>
  <c r="H198" i="65"/>
  <c r="H198" i="57"/>
  <c r="H45" i="57"/>
  <c r="H45" i="65"/>
  <c r="AA45" i="54"/>
  <c r="H172" i="57"/>
  <c r="AA172" i="54"/>
  <c r="H172" i="65"/>
  <c r="AA146" i="54"/>
  <c r="H146" i="65"/>
  <c r="H146" i="57"/>
  <c r="H238" i="65"/>
  <c r="H238" i="57"/>
  <c r="AA238" i="54"/>
  <c r="H160" i="65"/>
  <c r="AA160" i="54"/>
  <c r="H160" i="57"/>
  <c r="H87" i="65"/>
  <c r="AA87" i="54"/>
  <c r="H87" i="57"/>
  <c r="H65" i="65"/>
  <c r="H65" i="57"/>
  <c r="AA65" i="54"/>
  <c r="H70" i="57"/>
  <c r="AA70" i="54"/>
  <c r="H70" i="65"/>
  <c r="H94" i="65"/>
  <c r="H94" i="57"/>
  <c r="AA94" i="54"/>
  <c r="H22" i="65"/>
  <c r="H22" i="57"/>
  <c r="D72" i="66"/>
  <c r="AA22" i="54"/>
  <c r="H187" i="65"/>
  <c r="H187" i="57"/>
  <c r="AA187" i="54"/>
  <c r="H52" i="57"/>
  <c r="AA52" i="54"/>
  <c r="H52" i="65"/>
  <c r="H181" i="65"/>
  <c r="AA181" i="54"/>
  <c r="H181" i="57"/>
  <c r="H38" i="65"/>
  <c r="AA38" i="54"/>
  <c r="H38" i="57"/>
  <c r="H102" i="57"/>
  <c r="AA102" i="54"/>
  <c r="H102" i="65"/>
  <c r="D69" i="66"/>
  <c r="H17" i="65"/>
  <c r="AA17" i="54"/>
  <c r="H17" i="57"/>
  <c r="H272" i="65"/>
  <c r="H272" i="57"/>
  <c r="AA272" i="54"/>
  <c r="H104" i="65"/>
  <c r="AA104" i="54"/>
  <c r="H104" i="57"/>
  <c r="H185" i="65"/>
  <c r="AA185" i="54"/>
  <c r="H185" i="57"/>
  <c r="H225" i="65"/>
  <c r="AA225" i="54"/>
  <c r="H225" i="57"/>
  <c r="H112" i="65"/>
  <c r="AA112" i="54"/>
  <c r="H112" i="57"/>
  <c r="H71" i="65"/>
  <c r="AA71" i="54"/>
  <c r="H71" i="57"/>
  <c r="H301" i="65"/>
  <c r="AA301" i="54"/>
  <c r="H301" i="57"/>
  <c r="AA231" i="54"/>
  <c r="H231" i="65"/>
  <c r="H231" i="57"/>
  <c r="H20" i="57"/>
  <c r="AA20" i="54"/>
  <c r="H20" i="65"/>
  <c r="H271" i="65"/>
  <c r="AA271" i="54"/>
  <c r="H271" i="57"/>
  <c r="H221" i="65"/>
  <c r="H221" i="57"/>
  <c r="AA221" i="54"/>
  <c r="AA58" i="54"/>
  <c r="H58" i="57"/>
  <c r="H58" i="65"/>
  <c r="D70" i="66"/>
  <c r="H7" i="54"/>
  <c r="AA15" i="54"/>
  <c r="H15" i="57"/>
  <c r="H15" i="65"/>
  <c r="H13" i="54"/>
  <c r="H218" i="65"/>
  <c r="AA218" i="54"/>
  <c r="H218" i="57"/>
  <c r="H144" i="57"/>
  <c r="H144" i="65"/>
  <c r="AA144" i="54"/>
  <c r="H156" i="57"/>
  <c r="AA156" i="54"/>
  <c r="H156" i="65"/>
  <c r="H135" i="57"/>
  <c r="AA135" i="54"/>
  <c r="H135" i="65"/>
  <c r="H16" i="57"/>
  <c r="H16" i="65"/>
  <c r="D71" i="66"/>
  <c r="AA16" i="54"/>
  <c r="H259" i="65"/>
  <c r="AA259" i="54"/>
  <c r="H259" i="57"/>
  <c r="H228" i="57"/>
  <c r="AA228" i="54"/>
  <c r="H228" i="65"/>
  <c r="AA232" i="54"/>
  <c r="H232" i="57"/>
  <c r="H232" i="65"/>
  <c r="AA204" i="54"/>
  <c r="H204" i="57"/>
  <c r="H204" i="65"/>
  <c r="AA237" i="54"/>
  <c r="H237" i="57"/>
  <c r="H237" i="65"/>
  <c r="H123" i="57"/>
  <c r="H123" i="65"/>
  <c r="AA123" i="54"/>
  <c r="AA51" i="54"/>
  <c r="H51" i="57"/>
  <c r="H51" i="65"/>
  <c r="H128" i="57"/>
  <c r="H128" i="65"/>
  <c r="AA128" i="54"/>
  <c r="H304" i="65"/>
  <c r="H304" i="57"/>
  <c r="AA304" i="54"/>
  <c r="H85" i="65"/>
  <c r="AA85" i="54"/>
  <c r="H85" i="57"/>
  <c r="AA248" i="54"/>
  <c r="H248" i="57"/>
  <c r="H248" i="65"/>
  <c r="AA90" i="54"/>
  <c r="H90" i="65"/>
  <c r="H90" i="57"/>
  <c r="AA220" i="54"/>
  <c r="H220" i="65"/>
  <c r="H220" i="57"/>
  <c r="AA287" i="54"/>
  <c r="H287" i="57"/>
  <c r="H287" i="65"/>
  <c r="H158" i="65"/>
  <c r="AA158" i="54"/>
  <c r="H158" i="57"/>
  <c r="AA54" i="54"/>
  <c r="H54" i="65"/>
  <c r="H54" i="57"/>
  <c r="H96" i="65"/>
  <c r="H96" i="57"/>
  <c r="AA96" i="54"/>
  <c r="H69" i="65"/>
  <c r="H69" i="57"/>
  <c r="AA69" i="54"/>
  <c r="H175" i="57"/>
  <c r="H175" i="65"/>
  <c r="AA175" i="54"/>
  <c r="H161" i="57"/>
  <c r="H161" i="65"/>
  <c r="AA161" i="54"/>
  <c r="H240" i="65"/>
  <c r="H240" i="57"/>
  <c r="AA240" i="54"/>
  <c r="H64" i="65"/>
  <c r="H64" i="57"/>
  <c r="AA64" i="54"/>
  <c r="H27" i="65"/>
  <c r="AA27" i="54"/>
  <c r="H27" i="57"/>
  <c r="H303" i="65"/>
  <c r="AA303" i="54"/>
  <c r="H303" i="57"/>
  <c r="AA137" i="54"/>
  <c r="H137" i="57"/>
  <c r="H137" i="65"/>
  <c r="H66" i="65"/>
  <c r="AA66" i="54"/>
  <c r="H66" i="57"/>
  <c r="H170" i="57"/>
  <c r="H170" i="65"/>
  <c r="AA170" i="54"/>
  <c r="H136" i="65"/>
  <c r="AA136" i="54"/>
  <c r="H136" i="57"/>
  <c r="H132" i="65"/>
  <c r="AA132" i="54"/>
  <c r="H132" i="57"/>
  <c r="H266" i="65"/>
  <c r="AA266" i="54"/>
  <c r="H266" i="57"/>
  <c r="H162" i="65"/>
  <c r="AA162" i="54"/>
  <c r="H162" i="57"/>
  <c r="AU37" i="66"/>
  <c r="AA37" i="66"/>
  <c r="O37" i="66"/>
  <c r="AK37" i="66" s="1"/>
  <c r="AA244" i="54"/>
  <c r="H244" i="65"/>
  <c r="H244" i="57"/>
  <c r="AA255" i="54"/>
  <c r="H255" i="57"/>
  <c r="H255" i="65"/>
  <c r="AA133" i="54"/>
  <c r="H133" i="57"/>
  <c r="H133" i="65"/>
  <c r="AA279" i="54"/>
  <c r="H279" i="57"/>
  <c r="H279" i="65"/>
  <c r="AA188" i="54"/>
  <c r="H188" i="65"/>
  <c r="H188" i="57"/>
  <c r="H34" i="57"/>
  <c r="AA34" i="54"/>
  <c r="H34" i="65"/>
  <c r="H99" i="57"/>
  <c r="H99" i="65"/>
  <c r="AA99" i="54"/>
  <c r="AA213" i="54"/>
  <c r="H213" i="57"/>
  <c r="H213" i="65"/>
  <c r="H276" i="65"/>
  <c r="AA276" i="54"/>
  <c r="H276" i="57"/>
  <c r="H151" i="65"/>
  <c r="H151" i="57"/>
  <c r="AA151" i="54"/>
  <c r="H173" i="65"/>
  <c r="H173" i="57"/>
  <c r="AA173" i="54"/>
  <c r="H143" i="65"/>
  <c r="H143" i="57"/>
  <c r="AA143" i="54"/>
  <c r="H210" i="57"/>
  <c r="H210" i="65"/>
  <c r="AA210" i="54"/>
  <c r="AA89" i="54"/>
  <c r="H89" i="65"/>
  <c r="H89" i="57"/>
  <c r="H306" i="65"/>
  <c r="AA306" i="54"/>
  <c r="H306" i="57"/>
  <c r="H239" i="65"/>
  <c r="AA239" i="54"/>
  <c r="H239" i="57"/>
  <c r="H275" i="57"/>
  <c r="H275" i="65"/>
  <c r="AA275" i="54"/>
  <c r="H307" i="65"/>
  <c r="H307" i="57"/>
  <c r="AA307" i="54"/>
  <c r="AA192" i="54"/>
  <c r="H192" i="65"/>
  <c r="H192" i="57"/>
  <c r="H289" i="65"/>
  <c r="H289" i="57"/>
  <c r="AA289" i="54"/>
  <c r="AA227" i="54"/>
  <c r="H227" i="57"/>
  <c r="H227" i="65"/>
  <c r="H50" i="65"/>
  <c r="H50" i="57"/>
  <c r="AA50" i="54"/>
  <c r="H224" i="65"/>
  <c r="H224" i="57"/>
  <c r="AA224" i="54"/>
  <c r="H292" i="57"/>
  <c r="AA292" i="54"/>
  <c r="H292" i="65"/>
  <c r="H100" i="65"/>
  <c r="AA100" i="54"/>
  <c r="H100" i="57"/>
  <c r="H120" i="65"/>
  <c r="H120" i="57"/>
  <c r="AA120" i="54"/>
  <c r="H235" i="65"/>
  <c r="AA235" i="54"/>
  <c r="H235" i="57"/>
  <c r="H83" i="57"/>
  <c r="H83" i="65"/>
  <c r="AA83" i="54"/>
  <c r="H138" i="65"/>
  <c r="AA138" i="54"/>
  <c r="H138" i="57"/>
  <c r="AA152" i="54"/>
  <c r="H152" i="57"/>
  <c r="H152" i="65"/>
  <c r="H101" i="65"/>
  <c r="AA101" i="54"/>
  <c r="H101" i="57"/>
  <c r="H254" i="57"/>
  <c r="H254" i="65"/>
  <c r="AA254" i="54"/>
  <c r="AA73" i="54"/>
  <c r="H73" i="57"/>
  <c r="H73" i="65"/>
  <c r="AA18" i="54"/>
  <c r="H18" i="57"/>
  <c r="H18" i="65"/>
  <c r="AA117" i="54"/>
  <c r="H117" i="57"/>
  <c r="H117" i="65"/>
  <c r="AA191" i="54"/>
  <c r="H191" i="65"/>
  <c r="H191" i="57"/>
  <c r="H140" i="57"/>
  <c r="AA140" i="54"/>
  <c r="H140" i="65"/>
  <c r="H194" i="65"/>
  <c r="H194" i="57"/>
  <c r="AA194" i="54"/>
  <c r="H223" i="57"/>
  <c r="AA223" i="54"/>
  <c r="H223" i="65"/>
  <c r="H109" i="57"/>
  <c r="H109" i="65"/>
  <c r="AA109" i="54"/>
  <c r="AA233" i="54"/>
  <c r="H233" i="57"/>
  <c r="H233" i="65"/>
  <c r="H33" i="57"/>
  <c r="D68" i="66"/>
  <c r="H33" i="65"/>
  <c r="AA33" i="54"/>
  <c r="H263" i="57"/>
  <c r="AA263" i="54"/>
  <c r="H263" i="65"/>
  <c r="H166" i="65"/>
  <c r="AA166" i="54"/>
  <c r="H166" i="57"/>
  <c r="H167" i="57"/>
  <c r="H167" i="65"/>
  <c r="AA167" i="54"/>
  <c r="H291" i="65"/>
  <c r="AA291" i="54"/>
  <c r="H291" i="57"/>
  <c r="H245" i="65"/>
  <c r="AA245" i="54"/>
  <c r="H245" i="57"/>
  <c r="H134" i="65"/>
  <c r="AA134" i="54"/>
  <c r="H134" i="57"/>
  <c r="H25" i="65"/>
  <c r="AA25" i="54"/>
  <c r="H25" i="57"/>
  <c r="AA264" i="54"/>
  <c r="H264" i="57"/>
  <c r="H264" i="65"/>
  <c r="AA299" i="54"/>
  <c r="H299" i="57"/>
  <c r="H299" i="65"/>
  <c r="H284" i="57"/>
  <c r="AA284" i="54"/>
  <c r="H284" i="65"/>
  <c r="H141" i="65"/>
  <c r="AA141" i="54"/>
  <c r="H141" i="57"/>
  <c r="H23" i="65"/>
  <c r="AA23" i="54"/>
  <c r="H23" i="57"/>
  <c r="AA145" i="54"/>
  <c r="H145" i="57"/>
  <c r="H145" i="65"/>
  <c r="H212" i="57"/>
  <c r="H212" i="65"/>
  <c r="AA212" i="54"/>
  <c r="AA246" i="54"/>
  <c r="H246" i="57"/>
  <c r="H246" i="65"/>
  <c r="AA216" i="54"/>
  <c r="H216" i="57"/>
  <c r="H216" i="65"/>
  <c r="H127" i="65"/>
  <c r="H127" i="57"/>
  <c r="AA127" i="54"/>
  <c r="H290" i="57"/>
  <c r="H290" i="65"/>
  <c r="AA290" i="54"/>
  <c r="AA178" i="54"/>
  <c r="H178" i="65"/>
  <c r="H178" i="57"/>
  <c r="AA118" i="54"/>
  <c r="H118" i="57"/>
  <c r="H118" i="65"/>
  <c r="H176" i="65"/>
  <c r="AA176" i="54"/>
  <c r="H176" i="57"/>
  <c r="H47" i="57"/>
  <c r="AA47" i="54"/>
  <c r="H47" i="65"/>
  <c r="AA186" i="54"/>
  <c r="H186" i="57"/>
  <c r="H186" i="65"/>
  <c r="AA130" i="54"/>
  <c r="H130" i="57"/>
  <c r="H130" i="65"/>
  <c r="H293" i="65"/>
  <c r="AA293" i="54"/>
  <c r="H293" i="57"/>
  <c r="H258" i="65"/>
  <c r="AA258" i="54"/>
  <c r="H258" i="57"/>
  <c r="AA236" i="54"/>
  <c r="H236" i="57"/>
  <c r="H236" i="65"/>
  <c r="H35" i="57"/>
  <c r="AA35" i="54"/>
  <c r="H35" i="65"/>
  <c r="H202" i="57"/>
  <c r="H202" i="65"/>
  <c r="AA202" i="54"/>
  <c r="H97" i="65"/>
  <c r="H97" i="57"/>
  <c r="AA97" i="54"/>
  <c r="AA153" i="54"/>
  <c r="H153" i="57"/>
  <c r="H153" i="65"/>
  <c r="AA281" i="54"/>
  <c r="H281" i="65"/>
  <c r="H281" i="57"/>
  <c r="H125" i="65"/>
  <c r="H125" i="57"/>
  <c r="AA125" i="54"/>
  <c r="H247" i="65"/>
  <c r="H247" i="57"/>
  <c r="AA247" i="54"/>
  <c r="H121" i="57"/>
  <c r="H121" i="65"/>
  <c r="AA121" i="54"/>
  <c r="H74" i="65"/>
  <c r="H74" i="57"/>
  <c r="AA74" i="54"/>
  <c r="H126" i="65"/>
  <c r="H126" i="57"/>
  <c r="AA126" i="54"/>
  <c r="AA21" i="54"/>
  <c r="H21" i="57"/>
  <c r="H21" i="65"/>
  <c r="H268" i="65"/>
  <c r="AA268" i="54"/>
  <c r="H268" i="57"/>
  <c r="I16" i="54"/>
  <c r="I49" i="54"/>
  <c r="BG49" i="54" s="1"/>
  <c r="I193" i="54"/>
  <c r="BG193" i="54" s="1"/>
  <c r="I112" i="53"/>
  <c r="I112" i="54" s="1"/>
  <c r="BG112" i="54" s="1"/>
  <c r="I305" i="54"/>
  <c r="BG305" i="54" s="1"/>
  <c r="I77" i="54"/>
  <c r="BG77" i="54" s="1"/>
  <c r="I242" i="54"/>
  <c r="BG242" i="54" s="1"/>
  <c r="I301" i="53"/>
  <c r="I301" i="54" s="1"/>
  <c r="BG301" i="54" s="1"/>
  <c r="AB171" i="53"/>
  <c r="J324" i="42"/>
  <c r="I184" i="53"/>
  <c r="I184" i="54" s="1"/>
  <c r="BG184" i="54" s="1"/>
  <c r="I137" i="53"/>
  <c r="AB137" i="53" s="1"/>
  <c r="I289" i="53"/>
  <c r="AB289" i="53" s="1"/>
  <c r="I27" i="53"/>
  <c r="I27" i="54" s="1"/>
  <c r="BG27" i="54" s="1"/>
  <c r="I29" i="53"/>
  <c r="I29" i="54" s="1"/>
  <c r="BG29" i="54" s="1"/>
  <c r="AA246" i="42"/>
  <c r="I127" i="53"/>
  <c r="AB127" i="53" s="1"/>
  <c r="I82" i="53"/>
  <c r="AB82" i="53" s="1"/>
  <c r="I189" i="53"/>
  <c r="AB189" i="53" s="1"/>
  <c r="I76" i="54"/>
  <c r="BG76" i="54" s="1"/>
  <c r="J349" i="42"/>
  <c r="J352" i="42"/>
  <c r="I62" i="53"/>
  <c r="AB62" i="53" s="1"/>
  <c r="AA148" i="42"/>
  <c r="I153" i="53"/>
  <c r="AB153" i="53" s="1"/>
  <c r="I157" i="53"/>
  <c r="AB157" i="53" s="1"/>
  <c r="I256" i="53"/>
  <c r="I256" i="54" s="1"/>
  <c r="BG256" i="54" s="1"/>
  <c r="I248" i="53"/>
  <c r="AB248" i="53" s="1"/>
  <c r="I224" i="53"/>
  <c r="I224" i="54" s="1"/>
  <c r="BG224" i="54" s="1"/>
  <c r="J344" i="42"/>
  <c r="E30" i="66"/>
  <c r="AB30" i="66" s="1"/>
  <c r="J342" i="42"/>
  <c r="I229" i="53"/>
  <c r="I229" i="54" s="1"/>
  <c r="BG229" i="54" s="1"/>
  <c r="AA120" i="42"/>
  <c r="E31" i="66"/>
  <c r="AV31" i="66" s="1"/>
  <c r="I175" i="53"/>
  <c r="I175" i="54" s="1"/>
  <c r="BG175" i="54" s="1"/>
  <c r="I100" i="53"/>
  <c r="AB100" i="53" s="1"/>
  <c r="J331" i="42"/>
  <c r="J356" i="42"/>
  <c r="I83" i="53"/>
  <c r="AB83" i="53" s="1"/>
  <c r="AA16" i="42"/>
  <c r="J358" i="42"/>
  <c r="J320" i="42"/>
  <c r="J347" i="42"/>
  <c r="AA281" i="42"/>
  <c r="I191" i="53"/>
  <c r="I282" i="53"/>
  <c r="I282" i="54" s="1"/>
  <c r="BG282" i="54" s="1"/>
  <c r="I107" i="53"/>
  <c r="I107" i="54" s="1"/>
  <c r="BG107" i="54" s="1"/>
  <c r="I194" i="53"/>
  <c r="I194" i="54" s="1"/>
  <c r="BG194" i="54" s="1"/>
  <c r="AA228" i="42"/>
  <c r="J325" i="42"/>
  <c r="J346" i="42"/>
  <c r="J332" i="42"/>
  <c r="J319" i="42"/>
  <c r="I181" i="53"/>
  <c r="AB181" i="53" s="1"/>
  <c r="I286" i="53"/>
  <c r="AB286" i="53" s="1"/>
  <c r="J333" i="42"/>
  <c r="J317" i="42"/>
  <c r="J321" i="42"/>
  <c r="J328" i="42"/>
  <c r="I44" i="53"/>
  <c r="AB44" i="53" s="1"/>
  <c r="I78" i="53"/>
  <c r="AA64" i="42"/>
  <c r="E35" i="66"/>
  <c r="AV35" i="66" s="1"/>
  <c r="I63" i="53"/>
  <c r="J334" i="42"/>
  <c r="J318" i="42"/>
  <c r="J330" i="42"/>
  <c r="J350" i="42"/>
  <c r="E33" i="66"/>
  <c r="AB33" i="66" s="1"/>
  <c r="I275" i="53"/>
  <c r="I275" i="54" s="1"/>
  <c r="BG275" i="54" s="1"/>
  <c r="I64" i="53"/>
  <c r="I64" i="54" s="1"/>
  <c r="BG64" i="54" s="1"/>
  <c r="AA192" i="42"/>
  <c r="AA98" i="42"/>
  <c r="J359" i="42"/>
  <c r="J343" i="42"/>
  <c r="I214" i="54"/>
  <c r="BG214" i="54" s="1"/>
  <c r="J355" i="42"/>
  <c r="J326" i="42"/>
  <c r="J327" i="42"/>
  <c r="AA59" i="42"/>
  <c r="E36" i="66"/>
  <c r="AV36" i="66" s="1"/>
  <c r="I155" i="53"/>
  <c r="I155" i="54" s="1"/>
  <c r="BG155" i="54" s="1"/>
  <c r="I52" i="53"/>
  <c r="I52" i="54" s="1"/>
  <c r="BG52" i="54" s="1"/>
  <c r="J345" i="42"/>
  <c r="J353" i="42"/>
  <c r="E32" i="66"/>
  <c r="AV32" i="66" s="1"/>
  <c r="AA231" i="42"/>
  <c r="J357" i="42"/>
  <c r="J351" i="42"/>
  <c r="I222" i="53"/>
  <c r="AB222" i="53" s="1"/>
  <c r="J322" i="42"/>
  <c r="AB246" i="53"/>
  <c r="I246" i="54"/>
  <c r="BG246" i="54" s="1"/>
  <c r="AA151" i="42"/>
  <c r="I68" i="53"/>
  <c r="I68" i="54" s="1"/>
  <c r="BG68" i="54" s="1"/>
  <c r="I232" i="53"/>
  <c r="AA247" i="42"/>
  <c r="I163" i="53"/>
  <c r="I31" i="53"/>
  <c r="I249" i="53"/>
  <c r="I249" i="54" s="1"/>
  <c r="BG249" i="54" s="1"/>
  <c r="AA298" i="42"/>
  <c r="I267" i="53"/>
  <c r="I46" i="53"/>
  <c r="I46" i="54" s="1"/>
  <c r="BG46" i="54" s="1"/>
  <c r="I269" i="53"/>
  <c r="AB269" i="53" s="1"/>
  <c r="I174" i="53"/>
  <c r="I174" i="54" s="1"/>
  <c r="BG174" i="54" s="1"/>
  <c r="AA55" i="42"/>
  <c r="I59" i="54"/>
  <c r="BG59" i="54" s="1"/>
  <c r="AB148" i="53"/>
  <c r="I148" i="54"/>
  <c r="BG148" i="54" s="1"/>
  <c r="I70" i="54"/>
  <c r="BG70" i="54" s="1"/>
  <c r="I151" i="54"/>
  <c r="BG151" i="54" s="1"/>
  <c r="AB151" i="53"/>
  <c r="AB298" i="53"/>
  <c r="I298" i="54"/>
  <c r="BG298" i="54" s="1"/>
  <c r="AA214" i="42"/>
  <c r="AA76" i="42"/>
  <c r="AA70" i="42"/>
  <c r="I177" i="53"/>
  <c r="I25" i="53"/>
  <c r="I128" i="53"/>
  <c r="I149" i="53"/>
  <c r="I188" i="53"/>
  <c r="I221" i="53"/>
  <c r="AA41" i="42"/>
  <c r="AA77" i="42"/>
  <c r="I73" i="53"/>
  <c r="I247" i="54"/>
  <c r="BG247" i="54" s="1"/>
  <c r="I219" i="53"/>
  <c r="AB219" i="53" s="1"/>
  <c r="I240" i="53"/>
  <c r="AB240" i="53" s="1"/>
  <c r="I207" i="54"/>
  <c r="BG207" i="54" s="1"/>
  <c r="AB207" i="53"/>
  <c r="AB176" i="53"/>
  <c r="I176" i="54"/>
  <c r="BG176" i="54" s="1"/>
  <c r="I227" i="54"/>
  <c r="BG227" i="54" s="1"/>
  <c r="AB227" i="53"/>
  <c r="I165" i="54"/>
  <c r="BG165" i="54" s="1"/>
  <c r="AB165" i="53"/>
  <c r="AB270" i="53"/>
  <c r="I290" i="54"/>
  <c r="BG290" i="54" s="1"/>
  <c r="AB290" i="53"/>
  <c r="I303" i="54"/>
  <c r="BG303" i="54" s="1"/>
  <c r="AB303" i="53"/>
  <c r="I258" i="54"/>
  <c r="BG258" i="54" s="1"/>
  <c r="AB258" i="53"/>
  <c r="AB26" i="53"/>
  <c r="I26" i="54"/>
  <c r="BG26" i="54" s="1"/>
  <c r="AB87" i="53"/>
  <c r="I87" i="54"/>
  <c r="BG87" i="54" s="1"/>
  <c r="I154" i="54"/>
  <c r="BG154" i="54" s="1"/>
  <c r="AB154" i="53"/>
  <c r="I40" i="54"/>
  <c r="BG40" i="54" s="1"/>
  <c r="AB40" i="53"/>
  <c r="AB178" i="53"/>
  <c r="I178" i="54"/>
  <c r="BG178" i="54" s="1"/>
  <c r="AB123" i="53"/>
  <c r="I123" i="54"/>
  <c r="BG123" i="54" s="1"/>
  <c r="I220" i="54"/>
  <c r="BG220" i="54" s="1"/>
  <c r="AB220" i="53"/>
  <c r="AB171" i="54"/>
  <c r="AV171" i="54" s="1"/>
  <c r="I171" i="57"/>
  <c r="I171" i="65"/>
  <c r="AB277" i="53"/>
  <c r="I277" i="54"/>
  <c r="BG277" i="54" s="1"/>
  <c r="AB96" i="53"/>
  <c r="I96" i="54"/>
  <c r="BG96" i="54" s="1"/>
  <c r="I196" i="54"/>
  <c r="BG196" i="54" s="1"/>
  <c r="AB196" i="53"/>
  <c r="I216" i="54"/>
  <c r="BG216" i="54" s="1"/>
  <c r="AB223" i="53"/>
  <c r="I223" i="54"/>
  <c r="BG223" i="54" s="1"/>
  <c r="I218" i="54"/>
  <c r="BG218" i="54" s="1"/>
  <c r="AB218" i="53"/>
  <c r="I131" i="54"/>
  <c r="BG131" i="54" s="1"/>
  <c r="AB131" i="53"/>
  <c r="AB182" i="53"/>
  <c r="I182" i="54"/>
  <c r="BG182" i="54" s="1"/>
  <c r="AB21" i="53"/>
  <c r="I21" i="54"/>
  <c r="BG21" i="54" s="1"/>
  <c r="AB56" i="53"/>
  <c r="I56" i="54"/>
  <c r="BG56" i="54" s="1"/>
  <c r="AB103" i="53"/>
  <c r="I103" i="54"/>
  <c r="BG103" i="54" s="1"/>
  <c r="AB172" i="53"/>
  <c r="I172" i="54"/>
  <c r="BG172" i="54" s="1"/>
  <c r="AB180" i="53"/>
  <c r="I180" i="54"/>
  <c r="BG180" i="54" s="1"/>
  <c r="AB254" i="53"/>
  <c r="I254" i="54"/>
  <c r="BG254" i="54" s="1"/>
  <c r="AB88" i="53"/>
  <c r="I88" i="54"/>
  <c r="BG88" i="54" s="1"/>
  <c r="AB117" i="53"/>
  <c r="I117" i="54"/>
  <c r="BG117" i="54" s="1"/>
  <c r="I226" i="54"/>
  <c r="BG226" i="54" s="1"/>
  <c r="AB226" i="53"/>
  <c r="I89" i="54"/>
  <c r="BG89" i="54" s="1"/>
  <c r="AB89" i="53"/>
  <c r="I109" i="54"/>
  <c r="BG109" i="54" s="1"/>
  <c r="AB109" i="53"/>
  <c r="AB146" i="53"/>
  <c r="I146" i="54"/>
  <c r="BG146" i="54" s="1"/>
  <c r="AB190" i="53"/>
  <c r="I190" i="54"/>
  <c r="BG190" i="54" s="1"/>
  <c r="AB18" i="54"/>
  <c r="AV18" i="54" s="1"/>
  <c r="I18" i="57"/>
  <c r="I18" i="65"/>
  <c r="I291" i="54"/>
  <c r="BG291" i="54" s="1"/>
  <c r="AB291" i="53"/>
  <c r="I238" i="54"/>
  <c r="BG238" i="54" s="1"/>
  <c r="AB238" i="53"/>
  <c r="I38" i="54"/>
  <c r="BG38" i="54" s="1"/>
  <c r="AB38" i="53"/>
  <c r="I206" i="54"/>
  <c r="BG206" i="54" s="1"/>
  <c r="AB206" i="53"/>
  <c r="AB138" i="53"/>
  <c r="I138" i="54"/>
  <c r="BG138" i="54" s="1"/>
  <c r="AB287" i="53"/>
  <c r="I287" i="54"/>
  <c r="BG287" i="54" s="1"/>
  <c r="I58" i="54"/>
  <c r="BG58" i="54" s="1"/>
  <c r="AB58" i="53"/>
  <c r="AB199" i="53"/>
  <c r="I199" i="54"/>
  <c r="BG199" i="54" s="1"/>
  <c r="I304" i="54"/>
  <c r="BG304" i="54" s="1"/>
  <c r="AB304" i="53"/>
  <c r="AB116" i="53"/>
  <c r="I116" i="54"/>
  <c r="BG116" i="54" s="1"/>
  <c r="AB119" i="53"/>
  <c r="I119" i="54"/>
  <c r="BG119" i="54" s="1"/>
  <c r="E34" i="66"/>
  <c r="AB272" i="53"/>
  <c r="I272" i="54"/>
  <c r="BG272" i="54" s="1"/>
  <c r="AB213" i="53"/>
  <c r="I213" i="54"/>
  <c r="BG213" i="54" s="1"/>
  <c r="AB167" i="53"/>
  <c r="I167" i="54"/>
  <c r="BG167" i="54" s="1"/>
  <c r="I302" i="54"/>
  <c r="BG302" i="54" s="1"/>
  <c r="AB302" i="53"/>
  <c r="AB85" i="53"/>
  <c r="I85" i="54"/>
  <c r="BG85" i="54" s="1"/>
  <c r="AB198" i="53"/>
  <c r="I198" i="54"/>
  <c r="BG198" i="54" s="1"/>
  <c r="AB168" i="53"/>
  <c r="I168" i="54"/>
  <c r="BG168" i="54" s="1"/>
  <c r="AB20" i="53"/>
  <c r="I20" i="54"/>
  <c r="BG20" i="54" s="1"/>
  <c r="AB280" i="53"/>
  <c r="I280" i="54"/>
  <c r="BG280" i="54" s="1"/>
  <c r="AB215" i="53"/>
  <c r="I215" i="54"/>
  <c r="BG215" i="54" s="1"/>
  <c r="I36" i="54"/>
  <c r="BG36" i="54" s="1"/>
  <c r="AB36" i="53"/>
  <c r="AB202" i="53"/>
  <c r="I202" i="54"/>
  <c r="BG202" i="54" s="1"/>
  <c r="I292" i="54"/>
  <c r="BG292" i="54" s="1"/>
  <c r="AB292" i="53"/>
  <c r="I173" i="54"/>
  <c r="BG173" i="54" s="1"/>
  <c r="AB173" i="53"/>
  <c r="AB97" i="53"/>
  <c r="I97" i="54"/>
  <c r="BG97" i="54" s="1"/>
  <c r="I45" i="54"/>
  <c r="BG45" i="54" s="1"/>
  <c r="AB45" i="53"/>
  <c r="AB71" i="53"/>
  <c r="I71" i="54"/>
  <c r="BG71" i="54" s="1"/>
  <c r="AB57" i="53"/>
  <c r="I57" i="54"/>
  <c r="BG57" i="54" s="1"/>
  <c r="I75" i="54"/>
  <c r="BG75" i="54" s="1"/>
  <c r="AB75" i="53"/>
  <c r="I74" i="54"/>
  <c r="BG74" i="54" s="1"/>
  <c r="I237" i="54"/>
  <c r="BG237" i="54" s="1"/>
  <c r="AB237" i="53"/>
  <c r="AB201" i="53"/>
  <c r="I201" i="54"/>
  <c r="BG201" i="54" s="1"/>
  <c r="AB159" i="53"/>
  <c r="I159" i="54"/>
  <c r="BG159" i="54" s="1"/>
  <c r="AB93" i="53"/>
  <c r="I93" i="54"/>
  <c r="BG93" i="54" s="1"/>
  <c r="I66" i="54"/>
  <c r="BG66" i="54" s="1"/>
  <c r="AB66" i="53"/>
  <c r="I19" i="54"/>
  <c r="BG19" i="54" s="1"/>
  <c r="AB19" i="53"/>
  <c r="AB183" i="53"/>
  <c r="I183" i="54"/>
  <c r="BG183" i="54" s="1"/>
  <c r="AB243" i="53"/>
  <c r="I243" i="54"/>
  <c r="BG243" i="54" s="1"/>
  <c r="AB300" i="53"/>
  <c r="I300" i="54"/>
  <c r="BG300" i="54" s="1"/>
  <c r="I34" i="54"/>
  <c r="BG34" i="54" s="1"/>
  <c r="AB34" i="53"/>
  <c r="I264" i="54"/>
  <c r="BG264" i="54" s="1"/>
  <c r="AB264" i="53"/>
  <c r="I84" i="54"/>
  <c r="BG84" i="54" s="1"/>
  <c r="AB297" i="53"/>
  <c r="I297" i="54"/>
  <c r="BG297" i="54" s="1"/>
  <c r="AB245" i="53"/>
  <c r="I245" i="54"/>
  <c r="BG245" i="54" s="1"/>
  <c r="AB288" i="53"/>
  <c r="I288" i="54"/>
  <c r="BG288" i="54" s="1"/>
  <c r="AB253" i="53"/>
  <c r="I253" i="54"/>
  <c r="BG253" i="54" s="1"/>
  <c r="I164" i="54"/>
  <c r="BG164" i="54" s="1"/>
  <c r="AB164" i="53"/>
  <c r="AB208" i="53"/>
  <c r="I208" i="54"/>
  <c r="BG208" i="54" s="1"/>
  <c r="AB24" i="53"/>
  <c r="I24" i="54"/>
  <c r="BG24" i="54" s="1"/>
  <c r="AB51" i="53"/>
  <c r="I51" i="54"/>
  <c r="BG51" i="54" s="1"/>
  <c r="I141" i="54"/>
  <c r="BG141" i="54" s="1"/>
  <c r="AB141" i="53"/>
  <c r="AB170" i="53"/>
  <c r="AB22" i="53"/>
  <c r="I22" i="54"/>
  <c r="BG22" i="54" s="1"/>
  <c r="I143" i="54"/>
  <c r="BG143" i="54" s="1"/>
  <c r="AB143" i="53"/>
  <c r="I32" i="54"/>
  <c r="BG32" i="54" s="1"/>
  <c r="AB32" i="53"/>
  <c r="AB158" i="53"/>
  <c r="I158" i="54"/>
  <c r="BG158" i="54" s="1"/>
  <c r="AB236" i="53"/>
  <c r="I236" i="54"/>
  <c r="BG236" i="54" s="1"/>
  <c r="I293" i="54"/>
  <c r="BG293" i="54" s="1"/>
  <c r="AB293" i="53"/>
  <c r="I60" i="54"/>
  <c r="BG60" i="54" s="1"/>
  <c r="AB60" i="53"/>
  <c r="AB102" i="53"/>
  <c r="I102" i="54"/>
  <c r="BG102" i="54" s="1"/>
  <c r="AB50" i="53"/>
  <c r="AB134" i="53"/>
  <c r="I134" i="54"/>
  <c r="BG134" i="54" s="1"/>
  <c r="AB265" i="53"/>
  <c r="I265" i="54"/>
  <c r="BG265" i="54" s="1"/>
  <c r="I17" i="54"/>
  <c r="BG17" i="54" s="1"/>
  <c r="AB17" i="53"/>
  <c r="AB91" i="53"/>
  <c r="I91" i="54"/>
  <c r="BG91" i="54" s="1"/>
  <c r="AB33" i="53"/>
  <c r="I33" i="54"/>
  <c r="BG33" i="54" s="1"/>
  <c r="AB65" i="53"/>
  <c r="I65" i="54"/>
  <c r="BG65" i="54" s="1"/>
  <c r="AB268" i="53"/>
  <c r="I268" i="54"/>
  <c r="BG268" i="54" s="1"/>
  <c r="I259" i="54"/>
  <c r="BG259" i="54" s="1"/>
  <c r="AB259" i="53"/>
  <c r="I142" i="54"/>
  <c r="BG142" i="54" s="1"/>
  <c r="AB142" i="53"/>
  <c r="AB244" i="53"/>
  <c r="I244" i="54"/>
  <c r="BG244" i="54" s="1"/>
  <c r="I121" i="54"/>
  <c r="BG121" i="54" s="1"/>
  <c r="AB121" i="53"/>
  <c r="AB81" i="53"/>
  <c r="I81" i="54"/>
  <c r="BG81" i="54" s="1"/>
  <c r="AB80" i="53"/>
  <c r="I80" i="54"/>
  <c r="BG80" i="54" s="1"/>
  <c r="AB115" i="53"/>
  <c r="I115" i="54"/>
  <c r="BG115" i="54" s="1"/>
  <c r="I92" i="54"/>
  <c r="BG92" i="54" s="1"/>
  <c r="AB92" i="53"/>
  <c r="AB187" i="53"/>
  <c r="I187" i="54"/>
  <c r="BG187" i="54" s="1"/>
  <c r="AB105" i="53"/>
  <c r="I105" i="54"/>
  <c r="BG105" i="54" s="1"/>
  <c r="AB135" i="53"/>
  <c r="I135" i="54"/>
  <c r="BG135" i="54" s="1"/>
  <c r="I133" i="54"/>
  <c r="BG133" i="54" s="1"/>
  <c r="AB133" i="53"/>
  <c r="AB23" i="53"/>
  <c r="I23" i="54"/>
  <c r="BG23" i="54" s="1"/>
  <c r="I250" i="54"/>
  <c r="BG250" i="54" s="1"/>
  <c r="AB250" i="53"/>
  <c r="I113" i="54"/>
  <c r="BG113" i="54" s="1"/>
  <c r="AB113" i="53"/>
  <c r="I257" i="54"/>
  <c r="BG257" i="54" s="1"/>
  <c r="AB257" i="53"/>
  <c r="I132" i="54"/>
  <c r="BG132" i="54" s="1"/>
  <c r="AB132" i="53"/>
  <c r="AB150" i="53"/>
  <c r="I150" i="54"/>
  <c r="BG150" i="54" s="1"/>
  <c r="AB95" i="53"/>
  <c r="I95" i="54"/>
  <c r="BG95" i="54" s="1"/>
  <c r="I48" i="54"/>
  <c r="BG48" i="54" s="1"/>
  <c r="AB94" i="53"/>
  <c r="I94" i="54"/>
  <c r="BG94" i="54" s="1"/>
  <c r="AB283" i="53"/>
  <c r="I283" i="54"/>
  <c r="BG283" i="54" s="1"/>
  <c r="I239" i="54"/>
  <c r="BG239" i="54" s="1"/>
  <c r="AB239" i="53"/>
  <c r="I147" i="54" l="1"/>
  <c r="BG147" i="54" s="1"/>
  <c r="I101" i="54"/>
  <c r="BG101" i="54" s="1"/>
  <c r="I61" i="54"/>
  <c r="BG61" i="54" s="1"/>
  <c r="AB200" i="53"/>
  <c r="AB43" i="53"/>
  <c r="AB279" i="53"/>
  <c r="I136" i="54"/>
  <c r="BG136" i="54" s="1"/>
  <c r="I161" i="54"/>
  <c r="BG161" i="54" s="1"/>
  <c r="I54" i="54"/>
  <c r="BG54" i="54" s="1"/>
  <c r="AB210" i="53"/>
  <c r="AB90" i="53"/>
  <c r="I16" i="65"/>
  <c r="AB16" i="65" s="1"/>
  <c r="BG16" i="54"/>
  <c r="I79" i="65"/>
  <c r="AB79" i="65" s="1"/>
  <c r="I211" i="54"/>
  <c r="BG211" i="54" s="1"/>
  <c r="I205" i="54"/>
  <c r="BG205" i="54" s="1"/>
  <c r="AB261" i="53"/>
  <c r="AB281" i="53"/>
  <c r="AB179" i="53"/>
  <c r="I67" i="54"/>
  <c r="BG67" i="54" s="1"/>
  <c r="I186" i="54"/>
  <c r="BG186" i="54" s="1"/>
  <c r="AB195" i="53"/>
  <c r="I98" i="54"/>
  <c r="BG98" i="54" s="1"/>
  <c r="I111" i="57"/>
  <c r="AB79" i="54"/>
  <c r="AV79" i="54" s="1"/>
  <c r="AB55" i="53"/>
  <c r="I185" i="54"/>
  <c r="BG185" i="54" s="1"/>
  <c r="I160" i="54"/>
  <c r="BG160" i="54" s="1"/>
  <c r="AB41" i="54"/>
  <c r="AV41" i="54" s="1"/>
  <c r="AB41" i="53"/>
  <c r="I217" i="54"/>
  <c r="BG217" i="54" s="1"/>
  <c r="I41" i="65"/>
  <c r="AB41" i="65" s="1"/>
  <c r="I41" i="57"/>
  <c r="I276" i="54"/>
  <c r="BG276" i="54" s="1"/>
  <c r="I104" i="54"/>
  <c r="BG104" i="54" s="1"/>
  <c r="I145" i="54"/>
  <c r="BG145" i="54" s="1"/>
  <c r="AB139" i="53"/>
  <c r="AB47" i="53"/>
  <c r="AB129" i="53"/>
  <c r="AB169" i="53"/>
  <c r="I130" i="54"/>
  <c r="BG130" i="54" s="1"/>
  <c r="AB203" i="53"/>
  <c r="AB271" i="53"/>
  <c r="AB120" i="53"/>
  <c r="I152" i="54"/>
  <c r="BG152" i="54" s="1"/>
  <c r="AB110" i="53"/>
  <c r="I192" i="54"/>
  <c r="BG192" i="54" s="1"/>
  <c r="AB124" i="53"/>
  <c r="I255" i="54"/>
  <c r="BG255" i="54" s="1"/>
  <c r="I86" i="54"/>
  <c r="BG86" i="54" s="1"/>
  <c r="AB122" i="53"/>
  <c r="AB156" i="53"/>
  <c r="AB228" i="53"/>
  <c r="I231" i="54"/>
  <c r="BG231" i="54" s="1"/>
  <c r="I125" i="54"/>
  <c r="BG125" i="54" s="1"/>
  <c r="D5" i="66"/>
  <c r="D22" i="66"/>
  <c r="D19" i="66"/>
  <c r="D21" i="66"/>
  <c r="D20" i="66"/>
  <c r="D18" i="66"/>
  <c r="D17" i="66"/>
  <c r="D23" i="66"/>
  <c r="D7" i="66"/>
  <c r="D6" i="66"/>
  <c r="D10" i="66"/>
  <c r="D8" i="66"/>
  <c r="D9" i="66"/>
  <c r="D11" i="66"/>
  <c r="AB108" i="53"/>
  <c r="I144" i="54"/>
  <c r="BG144" i="54" s="1"/>
  <c r="AB37" i="53"/>
  <c r="AB28" i="53"/>
  <c r="I140" i="54"/>
  <c r="BG140" i="54" s="1"/>
  <c r="AB234" i="53"/>
  <c r="I69" i="54"/>
  <c r="BG69" i="54" s="1"/>
  <c r="I209" i="54"/>
  <c r="BG209" i="54" s="1"/>
  <c r="I72" i="54"/>
  <c r="I278" i="54"/>
  <c r="BG278" i="54" s="1"/>
  <c r="I39" i="54"/>
  <c r="BG39" i="54" s="1"/>
  <c r="AB126" i="53"/>
  <c r="I126" i="54"/>
  <c r="BG126" i="54" s="1"/>
  <c r="I42" i="54"/>
  <c r="BG42" i="54" s="1"/>
  <c r="AB42" i="53"/>
  <c r="I294" i="54"/>
  <c r="BG294" i="54" s="1"/>
  <c r="I233" i="54"/>
  <c r="BG233" i="54" s="1"/>
  <c r="I260" i="65"/>
  <c r="AB260" i="56" s="1"/>
  <c r="I266" i="54"/>
  <c r="BG266" i="54" s="1"/>
  <c r="AB260" i="54"/>
  <c r="AV260" i="54" s="1"/>
  <c r="AB35" i="53"/>
  <c r="I53" i="54"/>
  <c r="BG53" i="54" s="1"/>
  <c r="AB30" i="53"/>
  <c r="I118" i="54"/>
  <c r="BG118" i="54" s="1"/>
  <c r="I225" i="54"/>
  <c r="BG225" i="54" s="1"/>
  <c r="I166" i="54"/>
  <c r="BG166" i="54" s="1"/>
  <c r="I114" i="54"/>
  <c r="BG114" i="54" s="1"/>
  <c r="I111" i="65"/>
  <c r="AB111" i="65" s="1"/>
  <c r="AB111" i="54"/>
  <c r="AV111" i="54" s="1"/>
  <c r="AB299" i="53"/>
  <c r="AB162" i="53"/>
  <c r="I260" i="57"/>
  <c r="AB260" i="57" s="1"/>
  <c r="I106" i="54"/>
  <c r="AB79" i="53"/>
  <c r="AB111" i="53"/>
  <c r="I79" i="57"/>
  <c r="AB204" i="53"/>
  <c r="I204" i="54"/>
  <c r="BG204" i="54" s="1"/>
  <c r="I235" i="54"/>
  <c r="BG235" i="54" s="1"/>
  <c r="AB235" i="53"/>
  <c r="AB212" i="54"/>
  <c r="AV212" i="54" s="1"/>
  <c r="I212" i="57"/>
  <c r="AB212" i="57" s="1"/>
  <c r="I212" i="65"/>
  <c r="AB212" i="65" s="1"/>
  <c r="I197" i="57"/>
  <c r="I197" i="65"/>
  <c r="AB197" i="65" s="1"/>
  <c r="AB197" i="54"/>
  <c r="AV197" i="54" s="1"/>
  <c r="AB99" i="54"/>
  <c r="AV99" i="54" s="1"/>
  <c r="I76" i="65"/>
  <c r="AB76" i="65" s="1"/>
  <c r="I99" i="57"/>
  <c r="I99" i="65"/>
  <c r="AB99" i="65" s="1"/>
  <c r="AB49" i="54"/>
  <c r="AV49" i="54" s="1"/>
  <c r="AB193" i="54"/>
  <c r="AV193" i="54" s="1"/>
  <c r="I193" i="65"/>
  <c r="AB193" i="65" s="1"/>
  <c r="I16" i="57"/>
  <c r="AB16" i="54"/>
  <c r="AV16" i="54" s="1"/>
  <c r="I49" i="57"/>
  <c r="O141" i="66"/>
  <c r="O140" i="66"/>
  <c r="O143" i="66"/>
  <c r="O139" i="66"/>
  <c r="O144" i="66"/>
  <c r="O138" i="66"/>
  <c r="I49" i="65"/>
  <c r="AB49" i="65" s="1"/>
  <c r="O142" i="66"/>
  <c r="AA21" i="65"/>
  <c r="H288" i="68"/>
  <c r="AB281" i="51"/>
  <c r="AA281" i="57"/>
  <c r="AA35" i="65"/>
  <c r="AA258" i="57"/>
  <c r="H265" i="68"/>
  <c r="AB258" i="51"/>
  <c r="AA130" i="65"/>
  <c r="AA47" i="65"/>
  <c r="AA118" i="65"/>
  <c r="AA216" i="65"/>
  <c r="H30" i="68"/>
  <c r="AB23" i="51"/>
  <c r="AA23" i="57"/>
  <c r="AA284" i="65"/>
  <c r="AA264" i="65"/>
  <c r="AB134" i="51"/>
  <c r="H141" i="68"/>
  <c r="AA134" i="57"/>
  <c r="AA291" i="57"/>
  <c r="H298" i="68"/>
  <c r="AB291" i="51"/>
  <c r="AB166" i="51"/>
  <c r="AA166" i="57"/>
  <c r="H173" i="68"/>
  <c r="AA140" i="57"/>
  <c r="H147" i="68"/>
  <c r="AB140" i="51"/>
  <c r="AB162" i="51"/>
  <c r="H169" i="68"/>
  <c r="AA162" i="57"/>
  <c r="H139" i="68"/>
  <c r="AA132" i="57"/>
  <c r="AB132" i="51"/>
  <c r="AA137" i="65"/>
  <c r="H34" i="68"/>
  <c r="AB27" i="51"/>
  <c r="AA27" i="57"/>
  <c r="AB158" i="51"/>
  <c r="AA158" i="57"/>
  <c r="H165" i="68"/>
  <c r="H227" i="68"/>
  <c r="AA220" i="57"/>
  <c r="AB220" i="51"/>
  <c r="AA248" i="65"/>
  <c r="AA51" i="65"/>
  <c r="AA237" i="65"/>
  <c r="AA232" i="65"/>
  <c r="AB259" i="51"/>
  <c r="AA259" i="57"/>
  <c r="H266" i="68"/>
  <c r="H23" i="68"/>
  <c r="AA16" i="57"/>
  <c r="AA58" i="65"/>
  <c r="H278" i="68"/>
  <c r="AB271" i="51"/>
  <c r="AA271" i="57"/>
  <c r="H238" i="68"/>
  <c r="AB231" i="51"/>
  <c r="AA231" i="57"/>
  <c r="H78" i="68"/>
  <c r="AB71" i="51"/>
  <c r="AA71" i="57"/>
  <c r="AA225" i="57"/>
  <c r="AB225" i="51"/>
  <c r="H232" i="68"/>
  <c r="AB104" i="51"/>
  <c r="AA104" i="57"/>
  <c r="H111" i="68"/>
  <c r="AA17" i="57"/>
  <c r="H24" i="68"/>
  <c r="AA94" i="65"/>
  <c r="AA65" i="65"/>
  <c r="AA160" i="65"/>
  <c r="H52" i="68"/>
  <c r="AB45" i="51"/>
  <c r="AA45" i="57"/>
  <c r="AB241" i="51"/>
  <c r="H248" i="68"/>
  <c r="AA241" i="57"/>
  <c r="AA174" i="65"/>
  <c r="AB250" i="51"/>
  <c r="H257" i="68"/>
  <c r="AA250" i="57"/>
  <c r="AA82" i="57"/>
  <c r="AB82" i="51"/>
  <c r="H89" i="68"/>
  <c r="H121" i="68"/>
  <c r="AA114" i="57"/>
  <c r="AB114" i="51"/>
  <c r="AA305" i="65"/>
  <c r="AA242" i="65"/>
  <c r="AA283" i="57"/>
  <c r="H290" i="68"/>
  <c r="AB283" i="51"/>
  <c r="AA217" i="65"/>
  <c r="AA189" i="57"/>
  <c r="AB189" i="51"/>
  <c r="H196" i="68"/>
  <c r="AA294" i="57"/>
  <c r="H301" i="68"/>
  <c r="AB294" i="51"/>
  <c r="H274" i="68"/>
  <c r="AB267" i="51"/>
  <c r="AA267" i="57"/>
  <c r="AA81" i="65"/>
  <c r="AA154" i="65"/>
  <c r="H284" i="68"/>
  <c r="AB277" i="51"/>
  <c r="AA277" i="57"/>
  <c r="AA201" i="65"/>
  <c r="AB205" i="51"/>
  <c r="AA205" i="57"/>
  <c r="H212" i="68"/>
  <c r="AB203" i="51"/>
  <c r="H210" i="68"/>
  <c r="AA203" i="57"/>
  <c r="AA280" i="65"/>
  <c r="AA79" i="65"/>
  <c r="AB79" i="56"/>
  <c r="H226" i="68"/>
  <c r="AA219" i="57"/>
  <c r="AB219" i="51"/>
  <c r="AA108" i="65"/>
  <c r="AB214" i="51"/>
  <c r="AA214" i="57"/>
  <c r="H221" i="68"/>
  <c r="AA110" i="65"/>
  <c r="AA84" i="65"/>
  <c r="AA163" i="65"/>
  <c r="AB199" i="51"/>
  <c r="H206" i="68"/>
  <c r="AA199" i="57"/>
  <c r="AA183" i="57"/>
  <c r="H190" i="68"/>
  <c r="AB183" i="51"/>
  <c r="AA147" i="57"/>
  <c r="H154" i="68"/>
  <c r="AB147" i="51"/>
  <c r="AA42" i="65"/>
  <c r="AA113" i="57"/>
  <c r="AB113" i="51"/>
  <c r="H120" i="68"/>
  <c r="AB222" i="51"/>
  <c r="H229" i="68"/>
  <c r="AA222" i="57"/>
  <c r="AB295" i="51"/>
  <c r="H302" i="68"/>
  <c r="AA295" i="57"/>
  <c r="H99" i="68"/>
  <c r="AB92" i="51"/>
  <c r="AA92" i="57"/>
  <c r="AA106" i="65"/>
  <c r="H105" i="68"/>
  <c r="AB98" i="51"/>
  <c r="AA98" i="57"/>
  <c r="AA75" i="65"/>
  <c r="AA39" i="65"/>
  <c r="AA278" i="65"/>
  <c r="AA115" i="65"/>
  <c r="AB32" i="51"/>
  <c r="AA32" i="57"/>
  <c r="H39" i="68"/>
  <c r="AA31" i="65"/>
  <c r="AB19" i="51"/>
  <c r="H26" i="68"/>
  <c r="AA19" i="57"/>
  <c r="AA40" i="65"/>
  <c r="AB168" i="51"/>
  <c r="AA168" i="57"/>
  <c r="H175" i="68"/>
  <c r="AA77" i="65"/>
  <c r="AA62" i="65"/>
  <c r="AA296" i="65"/>
  <c r="H53" i="68"/>
  <c r="AA46" i="57"/>
  <c r="AB46" i="51"/>
  <c r="AA28" i="65"/>
  <c r="AA206" i="57"/>
  <c r="H213" i="68"/>
  <c r="AB206" i="51"/>
  <c r="AB21" i="51"/>
  <c r="AA21" i="57"/>
  <c r="H28" i="68"/>
  <c r="AB74" i="51"/>
  <c r="H81" i="68"/>
  <c r="AA74" i="57"/>
  <c r="AB247" i="51"/>
  <c r="AA247" i="57"/>
  <c r="H254" i="68"/>
  <c r="AA281" i="65"/>
  <c r="H104" i="68"/>
  <c r="AB97" i="51"/>
  <c r="AA97" i="57"/>
  <c r="H137" i="68"/>
  <c r="AB130" i="51"/>
  <c r="AA130" i="57"/>
  <c r="H125" i="68"/>
  <c r="AA118" i="57"/>
  <c r="AB118" i="51"/>
  <c r="AA290" i="65"/>
  <c r="H223" i="68"/>
  <c r="AA216" i="57"/>
  <c r="AB216" i="51"/>
  <c r="AA212" i="65"/>
  <c r="AB264" i="51"/>
  <c r="AA264" i="57"/>
  <c r="H271" i="68"/>
  <c r="AA33" i="65"/>
  <c r="AA117" i="65"/>
  <c r="AA73" i="65"/>
  <c r="AA101" i="57"/>
  <c r="AB101" i="51"/>
  <c r="H108" i="68"/>
  <c r="H145" i="68"/>
  <c r="AA138" i="57"/>
  <c r="AB138" i="51"/>
  <c r="H242" i="68"/>
  <c r="AA235" i="57"/>
  <c r="AB235" i="51"/>
  <c r="AB100" i="51"/>
  <c r="H107" i="68"/>
  <c r="AA100" i="57"/>
  <c r="AA227" i="65"/>
  <c r="AB192" i="51"/>
  <c r="AA192" i="57"/>
  <c r="H199" i="68"/>
  <c r="AB306" i="51"/>
  <c r="H313" i="68"/>
  <c r="AA306" i="57"/>
  <c r="H283" i="68"/>
  <c r="AB276" i="51"/>
  <c r="AA276" i="57"/>
  <c r="AA188" i="57"/>
  <c r="H195" i="68"/>
  <c r="AB188" i="51"/>
  <c r="AA133" i="65"/>
  <c r="AB244" i="51"/>
  <c r="H251" i="68"/>
  <c r="AA244" i="57"/>
  <c r="AA170" i="65"/>
  <c r="AA137" i="57"/>
  <c r="H144" i="68"/>
  <c r="AB137" i="51"/>
  <c r="H247" i="68"/>
  <c r="AA240" i="57"/>
  <c r="AB240" i="51"/>
  <c r="AA175" i="65"/>
  <c r="AA96" i="57"/>
  <c r="H103" i="68"/>
  <c r="AB96" i="51"/>
  <c r="AA220" i="65"/>
  <c r="AB248" i="51"/>
  <c r="H255" i="68"/>
  <c r="AA248" i="57"/>
  <c r="AB304" i="51"/>
  <c r="H311" i="68"/>
  <c r="AA304" i="57"/>
  <c r="AB51" i="51"/>
  <c r="AA51" i="57"/>
  <c r="H58" i="68"/>
  <c r="AB237" i="51"/>
  <c r="H244" i="68"/>
  <c r="AA237" i="57"/>
  <c r="AB232" i="51"/>
  <c r="H239" i="68"/>
  <c r="AA232" i="57"/>
  <c r="AA135" i="65"/>
  <c r="AA13" i="54"/>
  <c r="AB58" i="51"/>
  <c r="AA58" i="57"/>
  <c r="H65" i="68"/>
  <c r="AA231" i="65"/>
  <c r="H45" i="68"/>
  <c r="AB38" i="51"/>
  <c r="AA38" i="57"/>
  <c r="AA52" i="65"/>
  <c r="AA219" i="65"/>
  <c r="AA108" i="57"/>
  <c r="H115" i="68"/>
  <c r="AB108" i="51"/>
  <c r="AA157" i="65"/>
  <c r="AA214" i="65"/>
  <c r="AB163" i="51"/>
  <c r="H170" i="68"/>
  <c r="AA163" i="57"/>
  <c r="AA56" i="65"/>
  <c r="AA199" i="65"/>
  <c r="AA183" i="65"/>
  <c r="AA57" i="57"/>
  <c r="H64" i="68"/>
  <c r="AB57" i="51"/>
  <c r="AA147" i="65"/>
  <c r="H49" i="68"/>
  <c r="AB42" i="51"/>
  <c r="AA42" i="57"/>
  <c r="AA222" i="65"/>
  <c r="AA295" i="65"/>
  <c r="AB226" i="51"/>
  <c r="H233" i="68"/>
  <c r="AA226" i="57"/>
  <c r="AA75" i="57"/>
  <c r="H82" i="68"/>
  <c r="AB75" i="51"/>
  <c r="AA37" i="57"/>
  <c r="AB37" i="51"/>
  <c r="H44" i="68"/>
  <c r="AB115" i="51"/>
  <c r="H122" i="68"/>
  <c r="AA115" i="57"/>
  <c r="AA32" i="65"/>
  <c r="AA67" i="65"/>
  <c r="AB40" i="51"/>
  <c r="AA40" i="57"/>
  <c r="H47" i="68"/>
  <c r="AA168" i="65"/>
  <c r="AA77" i="57"/>
  <c r="H84" i="68"/>
  <c r="AB77" i="51"/>
  <c r="AA68" i="65"/>
  <c r="AA62" i="57"/>
  <c r="H69" i="68"/>
  <c r="AB62" i="51"/>
  <c r="AA155" i="65"/>
  <c r="AA296" i="57"/>
  <c r="AB296" i="51"/>
  <c r="H303" i="68"/>
  <c r="AA208" i="65"/>
  <c r="H35" i="68"/>
  <c r="AB28" i="51"/>
  <c r="AA28" i="57"/>
  <c r="AA74" i="65"/>
  <c r="AA247" i="65"/>
  <c r="AA97" i="65"/>
  <c r="AB35" i="51"/>
  <c r="H42" i="68"/>
  <c r="AA35" i="57"/>
  <c r="AA258" i="65"/>
  <c r="AB47" i="51"/>
  <c r="H54" i="68"/>
  <c r="AA47" i="57"/>
  <c r="AB290" i="51"/>
  <c r="AA290" i="57"/>
  <c r="H297" i="68"/>
  <c r="AA212" i="57"/>
  <c r="H219" i="68"/>
  <c r="AB212" i="51"/>
  <c r="AA23" i="65"/>
  <c r="AA284" i="57"/>
  <c r="H291" i="68"/>
  <c r="AB284" i="51"/>
  <c r="AA134" i="65"/>
  <c r="AA291" i="65"/>
  <c r="AA166" i="65"/>
  <c r="O68" i="66"/>
  <c r="AK68" i="66" s="1"/>
  <c r="AA68" i="66"/>
  <c r="AU68" i="66"/>
  <c r="AA109" i="65"/>
  <c r="H201" i="68"/>
  <c r="AB194" i="51"/>
  <c r="AA194" i="57"/>
  <c r="AA191" i="57"/>
  <c r="AB191" i="51"/>
  <c r="H198" i="68"/>
  <c r="AA117" i="57"/>
  <c r="H124" i="68"/>
  <c r="AB117" i="51"/>
  <c r="AA73" i="57"/>
  <c r="H80" i="68"/>
  <c r="AB73" i="51"/>
  <c r="H231" i="68"/>
  <c r="AB224" i="51"/>
  <c r="AA224" i="57"/>
  <c r="H234" i="68"/>
  <c r="AA227" i="57"/>
  <c r="AB227" i="51"/>
  <c r="AA192" i="65"/>
  <c r="AA275" i="65"/>
  <c r="AA210" i="65"/>
  <c r="AB173" i="51"/>
  <c r="AA173" i="57"/>
  <c r="H180" i="68"/>
  <c r="AA99" i="65"/>
  <c r="AA188" i="65"/>
  <c r="H140" i="68"/>
  <c r="AA133" i="57"/>
  <c r="AB133" i="51"/>
  <c r="AA244" i="65"/>
  <c r="AA162" i="65"/>
  <c r="AA132" i="65"/>
  <c r="AA170" i="57"/>
  <c r="H177" i="68"/>
  <c r="AB170" i="51"/>
  <c r="AA27" i="65"/>
  <c r="AA240" i="65"/>
  <c r="AB175" i="51"/>
  <c r="H182" i="68"/>
  <c r="AA175" i="57"/>
  <c r="AA96" i="65"/>
  <c r="AA158" i="65"/>
  <c r="AA304" i="65"/>
  <c r="AA259" i="65"/>
  <c r="AA144" i="65"/>
  <c r="AA15" i="65"/>
  <c r="H13" i="65"/>
  <c r="AA13" i="65" s="1"/>
  <c r="H7" i="65"/>
  <c r="AA271" i="65"/>
  <c r="AA71" i="65"/>
  <c r="AA225" i="65"/>
  <c r="AA104" i="65"/>
  <c r="O72" i="66"/>
  <c r="AK72" i="66" s="1"/>
  <c r="AA72" i="66"/>
  <c r="AU72" i="66"/>
  <c r="AA70" i="65"/>
  <c r="H94" i="68"/>
  <c r="AB87" i="51"/>
  <c r="AA87" i="57"/>
  <c r="AA172" i="65"/>
  <c r="AB198" i="51"/>
  <c r="H205" i="68"/>
  <c r="AA198" i="57"/>
  <c r="AA131" i="57"/>
  <c r="AB131" i="51"/>
  <c r="H138" i="68"/>
  <c r="AA61" i="57"/>
  <c r="AB61" i="51"/>
  <c r="H68" i="68"/>
  <c r="AB63" i="51"/>
  <c r="AA63" i="57"/>
  <c r="H70" i="68"/>
  <c r="H207" i="68"/>
  <c r="AB200" i="51"/>
  <c r="AA200" i="57"/>
  <c r="AA95" i="57"/>
  <c r="AB95" i="51"/>
  <c r="H102" i="68"/>
  <c r="AA116" i="65"/>
  <c r="AA256" i="65"/>
  <c r="AB302" i="51"/>
  <c r="H309" i="68"/>
  <c r="AA302" i="57"/>
  <c r="AA55" i="57"/>
  <c r="H62" i="68"/>
  <c r="AB55" i="51"/>
  <c r="AA273" i="65"/>
  <c r="AA298" i="65"/>
  <c r="AA72" i="65"/>
  <c r="AA159" i="65"/>
  <c r="AA230" i="65"/>
  <c r="AB209" i="51"/>
  <c r="H216" i="68"/>
  <c r="AA209" i="57"/>
  <c r="AA41" i="65"/>
  <c r="AB41" i="56"/>
  <c r="H292" i="68"/>
  <c r="AA285" i="57"/>
  <c r="AB285" i="51"/>
  <c r="AA150" i="65"/>
  <c r="AA124" i="65"/>
  <c r="AA111" i="57"/>
  <c r="AB111" i="51"/>
  <c r="H118" i="68"/>
  <c r="AA164" i="65"/>
  <c r="AA169" i="65"/>
  <c r="AA215" i="65"/>
  <c r="AA86" i="65"/>
  <c r="AB39" i="51"/>
  <c r="H46" i="68"/>
  <c r="AA39" i="57"/>
  <c r="H285" i="68"/>
  <c r="AA278" i="57"/>
  <c r="AB278" i="51"/>
  <c r="AA37" i="65"/>
  <c r="AA31" i="57"/>
  <c r="AB31" i="51"/>
  <c r="H38" i="68"/>
  <c r="AA19" i="65"/>
  <c r="AA67" i="57"/>
  <c r="H74" i="68"/>
  <c r="AB67" i="51"/>
  <c r="AB68" i="51"/>
  <c r="H75" i="68"/>
  <c r="AA68" i="57"/>
  <c r="AB155" i="51"/>
  <c r="H162" i="68"/>
  <c r="AA155" i="57"/>
  <c r="AA46" i="65"/>
  <c r="H215" i="68"/>
  <c r="AA208" i="57"/>
  <c r="AB208" i="51"/>
  <c r="AA206" i="65"/>
  <c r="H40" i="68"/>
  <c r="AA33" i="57"/>
  <c r="AA109" i="57"/>
  <c r="AB109" i="51"/>
  <c r="H116" i="68"/>
  <c r="AA194" i="65"/>
  <c r="AA191" i="65"/>
  <c r="AA101" i="65"/>
  <c r="AA138" i="65"/>
  <c r="AA235" i="65"/>
  <c r="AA100" i="65"/>
  <c r="AA224" i="65"/>
  <c r="H282" i="68"/>
  <c r="AB275" i="51"/>
  <c r="AA275" i="57"/>
  <c r="AA306" i="65"/>
  <c r="AA210" i="57"/>
  <c r="H217" i="68"/>
  <c r="AB210" i="51"/>
  <c r="AA173" i="65"/>
  <c r="AA276" i="65"/>
  <c r="AA99" i="57"/>
  <c r="H106" i="68"/>
  <c r="AB99" i="51"/>
  <c r="AA135" i="57"/>
  <c r="H142" i="68"/>
  <c r="AB135" i="51"/>
  <c r="H151" i="68"/>
  <c r="AA144" i="57"/>
  <c r="AB144" i="51"/>
  <c r="AA15" i="57"/>
  <c r="H13" i="57"/>
  <c r="H22" i="68"/>
  <c r="AA17" i="65"/>
  <c r="AA38" i="65"/>
  <c r="H59" i="68"/>
  <c r="AB52" i="51"/>
  <c r="AA52" i="57"/>
  <c r="H29" i="68"/>
  <c r="AA22" i="57"/>
  <c r="H245" i="68"/>
  <c r="AA238" i="57"/>
  <c r="AB238" i="51"/>
  <c r="AA198" i="65"/>
  <c r="AA131" i="65"/>
  <c r="AB93" i="51"/>
  <c r="H100" i="68"/>
  <c r="AA93" i="57"/>
  <c r="AA257" i="65"/>
  <c r="AB180" i="51"/>
  <c r="AA180" i="57"/>
  <c r="H187" i="68"/>
  <c r="H123" i="68"/>
  <c r="AB116" i="51"/>
  <c r="AA116" i="57"/>
  <c r="AB256" i="51"/>
  <c r="AA256" i="57"/>
  <c r="H263" i="68"/>
  <c r="AB260" i="51"/>
  <c r="H267" i="68"/>
  <c r="AA260" i="57"/>
  <c r="AA273" i="57"/>
  <c r="H280" i="68"/>
  <c r="AB273" i="51"/>
  <c r="AB72" i="51"/>
  <c r="H79" i="68"/>
  <c r="AA72" i="57"/>
  <c r="AB230" i="51"/>
  <c r="H237" i="68"/>
  <c r="AA230" i="57"/>
  <c r="H202" i="68"/>
  <c r="AB195" i="51"/>
  <c r="AA195" i="57"/>
  <c r="AA209" i="65"/>
  <c r="H157" i="68"/>
  <c r="AB150" i="51"/>
  <c r="AA150" i="57"/>
  <c r="H87" i="68"/>
  <c r="AB80" i="51"/>
  <c r="AA80" i="57"/>
  <c r="AA124" i="57"/>
  <c r="AB124" i="51"/>
  <c r="H131" i="68"/>
  <c r="AA300" i="65"/>
  <c r="H176" i="68"/>
  <c r="AB169" i="51"/>
  <c r="AA169" i="57"/>
  <c r="AB215" i="51"/>
  <c r="H222" i="68"/>
  <c r="AA215" i="57"/>
  <c r="AA105" i="65"/>
  <c r="AB86" i="51"/>
  <c r="AA86" i="57"/>
  <c r="H93" i="68"/>
  <c r="AA48" i="65"/>
  <c r="AA43" i="65"/>
  <c r="H256" i="68"/>
  <c r="AB249" i="51"/>
  <c r="AA249" i="57"/>
  <c r="AA53" i="65"/>
  <c r="AB282" i="51"/>
  <c r="AA282" i="57"/>
  <c r="H289" i="68"/>
  <c r="AA253" i="65"/>
  <c r="AA177" i="65"/>
  <c r="H276" i="68"/>
  <c r="AB269" i="51"/>
  <c r="AA269" i="57"/>
  <c r="AB190" i="51"/>
  <c r="H197" i="68"/>
  <c r="AA190" i="57"/>
  <c r="AA78" i="57"/>
  <c r="H85" i="68"/>
  <c r="AB78" i="51"/>
  <c r="AB30" i="51"/>
  <c r="AA30" i="57"/>
  <c r="H37" i="68"/>
  <c r="AA49" i="65"/>
  <c r="AA234" i="65"/>
  <c r="AA265" i="65"/>
  <c r="AA24" i="65"/>
  <c r="H275" i="68"/>
  <c r="AA268" i="57"/>
  <c r="AB268" i="51"/>
  <c r="AA153" i="65"/>
  <c r="AA236" i="65"/>
  <c r="H300" i="68"/>
  <c r="AB293" i="51"/>
  <c r="AA293" i="57"/>
  <c r="AA186" i="65"/>
  <c r="H183" i="68"/>
  <c r="AA176" i="57"/>
  <c r="AB176" i="51"/>
  <c r="AB178" i="51"/>
  <c r="AA178" i="57"/>
  <c r="H185" i="68"/>
  <c r="AA246" i="65"/>
  <c r="AA145" i="65"/>
  <c r="AA141" i="57"/>
  <c r="AB141" i="51"/>
  <c r="H148" i="68"/>
  <c r="AA299" i="65"/>
  <c r="AB25" i="51"/>
  <c r="AA25" i="57"/>
  <c r="H32" i="68"/>
  <c r="AB245" i="51"/>
  <c r="AA245" i="57"/>
  <c r="H252" i="68"/>
  <c r="AA263" i="65"/>
  <c r="H273" i="68"/>
  <c r="AB266" i="51"/>
  <c r="AA266" i="57"/>
  <c r="H143" i="68"/>
  <c r="AB136" i="51"/>
  <c r="AA136" i="57"/>
  <c r="H73" i="68"/>
  <c r="AA66" i="57"/>
  <c r="AB66" i="51"/>
  <c r="H310" i="68"/>
  <c r="AB303" i="51"/>
  <c r="AA303" i="57"/>
  <c r="AA54" i="57"/>
  <c r="AB54" i="51"/>
  <c r="H61" i="68"/>
  <c r="AA287" i="65"/>
  <c r="AB90" i="51"/>
  <c r="H97" i="68"/>
  <c r="AA90" i="57"/>
  <c r="H92" i="68"/>
  <c r="AA85" i="57"/>
  <c r="AB85" i="51"/>
  <c r="AA204" i="65"/>
  <c r="AA228" i="65"/>
  <c r="AA20" i="65"/>
  <c r="AB301" i="51"/>
  <c r="H308" i="68"/>
  <c r="AA301" i="57"/>
  <c r="AA112" i="57"/>
  <c r="AB112" i="51"/>
  <c r="H119" i="68"/>
  <c r="AB185" i="51"/>
  <c r="H192" i="68"/>
  <c r="AA185" i="57"/>
  <c r="AU69" i="66"/>
  <c r="AA69" i="66"/>
  <c r="O69" i="66"/>
  <c r="AK69" i="66" s="1"/>
  <c r="AA22" i="65"/>
  <c r="H77" i="68"/>
  <c r="AA70" i="57"/>
  <c r="AB70" i="51"/>
  <c r="AA87" i="65"/>
  <c r="AA238" i="65"/>
  <c r="AB172" i="51"/>
  <c r="AA172" i="57"/>
  <c r="H179" i="68"/>
  <c r="AA61" i="65"/>
  <c r="AA93" i="65"/>
  <c r="AA63" i="65"/>
  <c r="AA257" i="57"/>
  <c r="H264" i="68"/>
  <c r="AB257" i="51"/>
  <c r="AA200" i="65"/>
  <c r="AA95" i="65"/>
  <c r="AA180" i="65"/>
  <c r="AA302" i="65"/>
  <c r="AA260" i="65"/>
  <c r="AA55" i="65"/>
  <c r="H305" i="68"/>
  <c r="AB298" i="51"/>
  <c r="AA298" i="57"/>
  <c r="AA159" i="57"/>
  <c r="H166" i="68"/>
  <c r="AB159" i="51"/>
  <c r="AA195" i="65"/>
  <c r="AB41" i="51"/>
  <c r="H48" i="68"/>
  <c r="AA41" i="57"/>
  <c r="AA285" i="65"/>
  <c r="AA80" i="65"/>
  <c r="AA111" i="65"/>
  <c r="H307" i="68"/>
  <c r="AA300" i="57"/>
  <c r="AB300" i="51"/>
  <c r="AB164" i="51"/>
  <c r="AA164" i="57"/>
  <c r="H171" i="68"/>
  <c r="H112" i="68"/>
  <c r="AB105" i="51"/>
  <c r="AA105" i="57"/>
  <c r="AB43" i="51"/>
  <c r="H50" i="68"/>
  <c r="AA43" i="57"/>
  <c r="AA149" i="65"/>
  <c r="AB53" i="51"/>
  <c r="AA53" i="57"/>
  <c r="H60" i="68"/>
  <c r="AA229" i="65"/>
  <c r="AA269" i="65"/>
  <c r="AA78" i="65"/>
  <c r="AA262" i="57"/>
  <c r="H269" i="68"/>
  <c r="AB262" i="51"/>
  <c r="AA261" i="65"/>
  <c r="H200" i="68"/>
  <c r="AA193" i="57"/>
  <c r="AB193" i="51"/>
  <c r="AA59" i="65"/>
  <c r="AA88" i="65"/>
  <c r="AA165" i="65"/>
  <c r="H126" i="68"/>
  <c r="AA119" i="57"/>
  <c r="AB119" i="51"/>
  <c r="H155" i="68"/>
  <c r="AB148" i="51"/>
  <c r="AA148" i="57"/>
  <c r="AA211" i="65"/>
  <c r="AA139" i="65"/>
  <c r="AA171" i="57"/>
  <c r="AB171" i="51"/>
  <c r="H178" i="68"/>
  <c r="AA142" i="65"/>
  <c r="AA107" i="65"/>
  <c r="AA270" i="65"/>
  <c r="AA196" i="57"/>
  <c r="H203" i="68"/>
  <c r="AB196" i="51"/>
  <c r="AA243" i="57"/>
  <c r="AB243" i="51"/>
  <c r="H250" i="68"/>
  <c r="AA197" i="57"/>
  <c r="AB197" i="51"/>
  <c r="H204" i="68"/>
  <c r="AB207" i="51"/>
  <c r="AA207" i="57"/>
  <c r="H214" i="68"/>
  <c r="AA274" i="57"/>
  <c r="AB274" i="51"/>
  <c r="H281" i="68"/>
  <c r="H133" i="68"/>
  <c r="AB126" i="51"/>
  <c r="AA126" i="57"/>
  <c r="AA121" i="65"/>
  <c r="AB125" i="51"/>
  <c r="H132" i="68"/>
  <c r="AA125" i="57"/>
  <c r="H160" i="68"/>
  <c r="AA153" i="57"/>
  <c r="AB153" i="51"/>
  <c r="AA202" i="65"/>
  <c r="H243" i="68"/>
  <c r="AB236" i="51"/>
  <c r="AA236" i="57"/>
  <c r="AA186" i="57"/>
  <c r="H193" i="68"/>
  <c r="AB186" i="51"/>
  <c r="AA178" i="65"/>
  <c r="H134" i="68"/>
  <c r="AA127" i="57"/>
  <c r="AB127" i="51"/>
  <c r="H253" i="68"/>
  <c r="AA246" i="57"/>
  <c r="AB246" i="51"/>
  <c r="AA145" i="57"/>
  <c r="AB145" i="51"/>
  <c r="H152" i="68"/>
  <c r="H306" i="68"/>
  <c r="AB299" i="51"/>
  <c r="AA299" i="57"/>
  <c r="AA167" i="65"/>
  <c r="AA233" i="65"/>
  <c r="AA223" i="65"/>
  <c r="AA18" i="65"/>
  <c r="AB18" i="56"/>
  <c r="AA152" i="65"/>
  <c r="AA292" i="65"/>
  <c r="AA239" i="57"/>
  <c r="AB239" i="51"/>
  <c r="H246" i="68"/>
  <c r="H96" i="68"/>
  <c r="AA89" i="57"/>
  <c r="AB89" i="51"/>
  <c r="AA213" i="65"/>
  <c r="AA34" i="65"/>
  <c r="AA279" i="65"/>
  <c r="AA255" i="65"/>
  <c r="AA64" i="57"/>
  <c r="AB64" i="51"/>
  <c r="H71" i="68"/>
  <c r="AA161" i="65"/>
  <c r="AA69" i="57"/>
  <c r="AB69" i="51"/>
  <c r="H76" i="68"/>
  <c r="AA54" i="65"/>
  <c r="AB287" i="51"/>
  <c r="AA287" i="57"/>
  <c r="H294" i="68"/>
  <c r="AA90" i="65"/>
  <c r="AA128" i="65"/>
  <c r="AA123" i="65"/>
  <c r="H211" i="68"/>
  <c r="AB204" i="51"/>
  <c r="AA204" i="57"/>
  <c r="AA156" i="65"/>
  <c r="AA218" i="57"/>
  <c r="AB218" i="51"/>
  <c r="H225" i="68"/>
  <c r="AB221" i="51"/>
  <c r="AA221" i="57"/>
  <c r="H228" i="68"/>
  <c r="AB272" i="51"/>
  <c r="H279" i="68"/>
  <c r="AA272" i="57"/>
  <c r="AA102" i="65"/>
  <c r="AA181" i="57"/>
  <c r="H188" i="68"/>
  <c r="AB181" i="51"/>
  <c r="AA67" i="66"/>
  <c r="O67" i="66"/>
  <c r="AK67" i="66" s="1"/>
  <c r="AU67" i="66"/>
  <c r="AA249" i="65"/>
  <c r="AA149" i="57"/>
  <c r="H156" i="68"/>
  <c r="AB149" i="51"/>
  <c r="AA282" i="65"/>
  <c r="H260" i="68"/>
  <c r="AB253" i="51"/>
  <c r="AA253" i="57"/>
  <c r="AB177" i="51"/>
  <c r="H184" i="68"/>
  <c r="AA177" i="57"/>
  <c r="AA229" i="57"/>
  <c r="H236" i="68"/>
  <c r="AB229" i="51"/>
  <c r="AA190" i="65"/>
  <c r="AA262" i="65"/>
  <c r="AA261" i="57"/>
  <c r="AB261" i="51"/>
  <c r="H268" i="68"/>
  <c r="AA193" i="65"/>
  <c r="H66" i="68"/>
  <c r="AA59" i="57"/>
  <c r="AB59" i="51"/>
  <c r="AB88" i="51"/>
  <c r="AA88" i="57"/>
  <c r="H95" i="68"/>
  <c r="AA30" i="65"/>
  <c r="H56" i="68"/>
  <c r="AB49" i="51"/>
  <c r="AA49" i="57"/>
  <c r="AA234" i="57"/>
  <c r="H241" i="68"/>
  <c r="AB234" i="51"/>
  <c r="AB265" i="51"/>
  <c r="H272" i="68"/>
  <c r="AA265" i="57"/>
  <c r="H31" i="68"/>
  <c r="AA24" i="57"/>
  <c r="AA76" i="57"/>
  <c r="AB76" i="51"/>
  <c r="H83" i="68"/>
  <c r="AA91" i="65"/>
  <c r="AA148" i="65"/>
  <c r="H146" i="68"/>
  <c r="AB139" i="51"/>
  <c r="AA139" i="57"/>
  <c r="AA171" i="65"/>
  <c r="AB171" i="56"/>
  <c r="AB107" i="51"/>
  <c r="H114" i="68"/>
  <c r="AA107" i="57"/>
  <c r="AA251" i="65"/>
  <c r="AA122" i="65"/>
  <c r="AB288" i="51"/>
  <c r="H295" i="68"/>
  <c r="AA288" i="57"/>
  <c r="AA268" i="65"/>
  <c r="AA126" i="65"/>
  <c r="AB121" i="51"/>
  <c r="AA121" i="57"/>
  <c r="H128" i="68"/>
  <c r="AA125" i="65"/>
  <c r="H209" i="68"/>
  <c r="AA202" i="57"/>
  <c r="AB202" i="51"/>
  <c r="AA293" i="65"/>
  <c r="AA176" i="65"/>
  <c r="AA127" i="65"/>
  <c r="AA141" i="65"/>
  <c r="AA25" i="65"/>
  <c r="AA245" i="65"/>
  <c r="H174" i="68"/>
  <c r="AA167" i="57"/>
  <c r="AB167" i="51"/>
  <c r="AB263" i="51"/>
  <c r="AA263" i="57"/>
  <c r="H270" i="68"/>
  <c r="H240" i="68"/>
  <c r="AB233" i="51"/>
  <c r="AA233" i="57"/>
  <c r="AA140" i="65"/>
  <c r="H25" i="68"/>
  <c r="AB18" i="51"/>
  <c r="AA18" i="57"/>
  <c r="AA254" i="65"/>
  <c r="H159" i="68"/>
  <c r="AB152" i="51"/>
  <c r="AA152" i="57"/>
  <c r="AA83" i="65"/>
  <c r="AA120" i="57"/>
  <c r="AB120" i="51"/>
  <c r="H127" i="68"/>
  <c r="H57" i="68"/>
  <c r="AB50" i="51"/>
  <c r="AA50" i="57"/>
  <c r="AB289" i="51"/>
  <c r="H296" i="68"/>
  <c r="AA289" i="57"/>
  <c r="H314" i="68"/>
  <c r="AA307" i="57"/>
  <c r="AB307" i="51"/>
  <c r="AA89" i="65"/>
  <c r="AA143" i="57"/>
  <c r="H150" i="68"/>
  <c r="AB143" i="51"/>
  <c r="H158" i="68"/>
  <c r="AB151" i="51"/>
  <c r="AA151" i="57"/>
  <c r="H220" i="68"/>
  <c r="AA213" i="57"/>
  <c r="AB213" i="51"/>
  <c r="H286" i="68"/>
  <c r="AA279" i="57"/>
  <c r="AB279" i="51"/>
  <c r="H262" i="68"/>
  <c r="AA255" i="57"/>
  <c r="AB255" i="51"/>
  <c r="AA266" i="65"/>
  <c r="AA136" i="65"/>
  <c r="AA66" i="65"/>
  <c r="AA303" i="65"/>
  <c r="AA64" i="65"/>
  <c r="AB161" i="51"/>
  <c r="H168" i="68"/>
  <c r="AA161" i="57"/>
  <c r="AA69" i="65"/>
  <c r="AA85" i="65"/>
  <c r="AB128" i="51"/>
  <c r="AA128" i="57"/>
  <c r="H135" i="68"/>
  <c r="AB123" i="51"/>
  <c r="AA123" i="57"/>
  <c r="H130" i="68"/>
  <c r="AA228" i="57"/>
  <c r="H235" i="68"/>
  <c r="AB228" i="51"/>
  <c r="AA71" i="66"/>
  <c r="AU71" i="66"/>
  <c r="O71" i="66"/>
  <c r="AK71" i="66" s="1"/>
  <c r="AA70" i="66"/>
  <c r="AU70" i="66"/>
  <c r="O70" i="66"/>
  <c r="AK70" i="66" s="1"/>
  <c r="AA221" i="65"/>
  <c r="H27" i="68"/>
  <c r="AA20" i="57"/>
  <c r="AB20" i="51"/>
  <c r="AA301" i="65"/>
  <c r="AA112" i="65"/>
  <c r="AA185" i="65"/>
  <c r="AA272" i="65"/>
  <c r="AA187" i="57"/>
  <c r="H194" i="68"/>
  <c r="AB187" i="51"/>
  <c r="AA160" i="57"/>
  <c r="H167" i="68"/>
  <c r="AB160" i="51"/>
  <c r="H153" i="68"/>
  <c r="AA146" i="57"/>
  <c r="AB146" i="51"/>
  <c r="AA241" i="65"/>
  <c r="H181" i="68"/>
  <c r="AB174" i="51"/>
  <c r="AA174" i="57"/>
  <c r="AA184" i="65"/>
  <c r="H33" i="68"/>
  <c r="AA26" i="57"/>
  <c r="AB26" i="51"/>
  <c r="AA252" i="65"/>
  <c r="H312" i="68"/>
  <c r="AB305" i="51"/>
  <c r="AA305" i="57"/>
  <c r="AA242" i="57"/>
  <c r="AB242" i="51"/>
  <c r="H249" i="68"/>
  <c r="AA103" i="65"/>
  <c r="AA129" i="65"/>
  <c r="AB179" i="51"/>
  <c r="H186" i="68"/>
  <c r="AA179" i="57"/>
  <c r="AA217" i="57"/>
  <c r="H224" i="68"/>
  <c r="AB217" i="51"/>
  <c r="AB44" i="51"/>
  <c r="H51" i="68"/>
  <c r="AA44" i="57"/>
  <c r="AA189" i="65"/>
  <c r="AA267" i="65"/>
  <c r="AA277" i="65"/>
  <c r="AA286" i="65"/>
  <c r="AB60" i="51"/>
  <c r="H67" i="68"/>
  <c r="AA60" i="57"/>
  <c r="AB29" i="51"/>
  <c r="AA29" i="57"/>
  <c r="H36" i="68"/>
  <c r="AA182" i="65"/>
  <c r="AA203" i="65"/>
  <c r="AB280" i="51"/>
  <c r="H287" i="68"/>
  <c r="AA280" i="57"/>
  <c r="AA36" i="57"/>
  <c r="H43" i="68"/>
  <c r="AB36" i="51"/>
  <c r="AA297" i="65"/>
  <c r="AA48" i="57"/>
  <c r="H55" i="68"/>
  <c r="AB165" i="51"/>
  <c r="AA165" i="57"/>
  <c r="H172" i="68"/>
  <c r="AA119" i="65"/>
  <c r="AA76" i="65"/>
  <c r="AB91" i="51"/>
  <c r="H98" i="68"/>
  <c r="AA91" i="57"/>
  <c r="AB211" i="51"/>
  <c r="H218" i="68"/>
  <c r="AA211" i="57"/>
  <c r="AA142" i="57"/>
  <c r="H149" i="68"/>
  <c r="AB142" i="51"/>
  <c r="H277" i="68"/>
  <c r="AA270" i="57"/>
  <c r="AB270" i="51"/>
  <c r="AA196" i="65"/>
  <c r="AA243" i="65"/>
  <c r="AA197" i="65"/>
  <c r="AA207" i="65"/>
  <c r="AB251" i="51"/>
  <c r="AA251" i="57"/>
  <c r="H258" i="68"/>
  <c r="H129" i="68"/>
  <c r="AB122" i="51"/>
  <c r="AA122" i="57"/>
  <c r="AA274" i="65"/>
  <c r="AA288" i="65"/>
  <c r="H230" i="68"/>
  <c r="AB223" i="51"/>
  <c r="AA223" i="57"/>
  <c r="H261" i="68"/>
  <c r="AA254" i="57"/>
  <c r="AB254" i="51"/>
  <c r="H90" i="68"/>
  <c r="AA83" i="57"/>
  <c r="AB83" i="51"/>
  <c r="AA120" i="65"/>
  <c r="AA292" i="57"/>
  <c r="H299" i="68"/>
  <c r="AB292" i="51"/>
  <c r="AA50" i="65"/>
  <c r="AA289" i="65"/>
  <c r="AA307" i="65"/>
  <c r="AA239" i="65"/>
  <c r="AA143" i="65"/>
  <c r="AA151" i="65"/>
  <c r="H41" i="68"/>
  <c r="AA34" i="57"/>
  <c r="AB34" i="51"/>
  <c r="AA16" i="65"/>
  <c r="AB16" i="56"/>
  <c r="AA156" i="57"/>
  <c r="AB156" i="51"/>
  <c r="H163" i="68"/>
  <c r="AA218" i="65"/>
  <c r="H109" i="68"/>
  <c r="AA102" i="57"/>
  <c r="AB102" i="51"/>
  <c r="AA181" i="65"/>
  <c r="AA187" i="65"/>
  <c r="AB94" i="51"/>
  <c r="H101" i="68"/>
  <c r="AA94" i="57"/>
  <c r="H72" i="68"/>
  <c r="AB65" i="51"/>
  <c r="AA65" i="57"/>
  <c r="AA146" i="65"/>
  <c r="AA45" i="65"/>
  <c r="AA250" i="65"/>
  <c r="H191" i="68"/>
  <c r="AA184" i="57"/>
  <c r="AB184" i="51"/>
  <c r="AA82" i="65"/>
  <c r="AA114" i="65"/>
  <c r="AA26" i="65"/>
  <c r="AB252" i="51"/>
  <c r="AA252" i="57"/>
  <c r="H259" i="68"/>
  <c r="H110" i="68"/>
  <c r="AA103" i="57"/>
  <c r="AB103" i="51"/>
  <c r="AA283" i="65"/>
  <c r="H136" i="68"/>
  <c r="AB129" i="51"/>
  <c r="AA129" i="57"/>
  <c r="AA179" i="65"/>
  <c r="AA44" i="65"/>
  <c r="AA294" i="65"/>
  <c r="AA81" i="57"/>
  <c r="AB81" i="51"/>
  <c r="H88" i="68"/>
  <c r="AA154" i="57"/>
  <c r="AB154" i="51"/>
  <c r="H161" i="68"/>
  <c r="AB286" i="51"/>
  <c r="H293" i="68"/>
  <c r="AA286" i="57"/>
  <c r="AB201" i="51"/>
  <c r="H208" i="68"/>
  <c r="AA201" i="57"/>
  <c r="AA60" i="65"/>
  <c r="AA205" i="65"/>
  <c r="AA29" i="65"/>
  <c r="AA182" i="57"/>
  <c r="AB182" i="51"/>
  <c r="H189" i="68"/>
  <c r="AA36" i="65"/>
  <c r="H86" i="68"/>
  <c r="AA79" i="57"/>
  <c r="AB79" i="51"/>
  <c r="AA297" i="57"/>
  <c r="AB297" i="51"/>
  <c r="H304" i="68"/>
  <c r="H164" i="68"/>
  <c r="AB157" i="51"/>
  <c r="AA157" i="57"/>
  <c r="H117" i="68"/>
  <c r="AA110" i="57"/>
  <c r="AB110" i="51"/>
  <c r="AB84" i="51"/>
  <c r="AA84" i="57"/>
  <c r="H91" i="68"/>
  <c r="AA56" i="57"/>
  <c r="AB56" i="51"/>
  <c r="H63" i="68"/>
  <c r="AA57" i="65"/>
  <c r="AA113" i="65"/>
  <c r="AA226" i="65"/>
  <c r="AA92" i="65"/>
  <c r="AA106" i="57"/>
  <c r="H113" i="68"/>
  <c r="AB106" i="51"/>
  <c r="AA98" i="65"/>
  <c r="D73" i="66"/>
  <c r="AU66" i="66"/>
  <c r="O66" i="66"/>
  <c r="AK66" i="66" s="1"/>
  <c r="AA66" i="66"/>
  <c r="AB246" i="54"/>
  <c r="AV246" i="54" s="1"/>
  <c r="I112" i="65"/>
  <c r="AB112" i="65" s="1"/>
  <c r="I193" i="57"/>
  <c r="I200" i="68" s="1"/>
  <c r="AB112" i="54"/>
  <c r="AV112" i="54" s="1"/>
  <c r="I112" i="57"/>
  <c r="I184" i="65"/>
  <c r="AB184" i="65" s="1"/>
  <c r="AB184" i="54"/>
  <c r="AV184" i="54" s="1"/>
  <c r="I82" i="54"/>
  <c r="BG82" i="54" s="1"/>
  <c r="I184" i="57"/>
  <c r="AB184" i="57" s="1"/>
  <c r="AB112" i="53"/>
  <c r="I137" i="54"/>
  <c r="BG137" i="54" s="1"/>
  <c r="I256" i="65"/>
  <c r="AB77" i="54"/>
  <c r="AV77" i="54" s="1"/>
  <c r="I77" i="65"/>
  <c r="AB77" i="65" s="1"/>
  <c r="I77" i="57"/>
  <c r="AB77" i="57" s="1"/>
  <c r="AB256" i="54"/>
  <c r="AV256" i="54" s="1"/>
  <c r="I256" i="57"/>
  <c r="I305" i="65"/>
  <c r="AB305" i="65" s="1"/>
  <c r="AB305" i="54"/>
  <c r="AV305" i="54" s="1"/>
  <c r="I305" i="57"/>
  <c r="AB229" i="53"/>
  <c r="I189" i="54"/>
  <c r="BG189" i="54" s="1"/>
  <c r="AB29" i="54"/>
  <c r="AV29" i="54" s="1"/>
  <c r="AB70" i="54"/>
  <c r="AV70" i="54" s="1"/>
  <c r="AB301" i="53"/>
  <c r="I242" i="65"/>
  <c r="AB242" i="65" s="1"/>
  <c r="I301" i="57"/>
  <c r="AB301" i="57" s="1"/>
  <c r="AB242" i="54"/>
  <c r="AV242" i="54" s="1"/>
  <c r="I301" i="65"/>
  <c r="AB301" i="65" s="1"/>
  <c r="I242" i="57"/>
  <c r="AB301" i="54"/>
  <c r="AV301" i="54" s="1"/>
  <c r="P30" i="66"/>
  <c r="AL30" i="66" s="1"/>
  <c r="AB224" i="53"/>
  <c r="AB184" i="53"/>
  <c r="I157" i="54"/>
  <c r="BG157" i="54" s="1"/>
  <c r="AB76" i="54"/>
  <c r="AV76" i="54" s="1"/>
  <c r="I76" i="57"/>
  <c r="AB64" i="54"/>
  <c r="AV64" i="54" s="1"/>
  <c r="I289" i="54"/>
  <c r="BG289" i="54" s="1"/>
  <c r="I224" i="65"/>
  <c r="AB224" i="65" s="1"/>
  <c r="AB224" i="54"/>
  <c r="AV224" i="54" s="1"/>
  <c r="I248" i="54"/>
  <c r="BG248" i="54" s="1"/>
  <c r="AB27" i="54"/>
  <c r="AV27" i="54" s="1"/>
  <c r="I27" i="57"/>
  <c r="AB29" i="53"/>
  <c r="I27" i="65"/>
  <c r="AB27" i="65" s="1"/>
  <c r="AB27" i="53"/>
  <c r="I29" i="65"/>
  <c r="AB29" i="65" s="1"/>
  <c r="I298" i="65"/>
  <c r="AB298" i="65" s="1"/>
  <c r="I29" i="57"/>
  <c r="AB64" i="53"/>
  <c r="I153" i="54"/>
  <c r="BG153" i="54" s="1"/>
  <c r="I127" i="54"/>
  <c r="BG127" i="54" s="1"/>
  <c r="AB229" i="54"/>
  <c r="AV229" i="54" s="1"/>
  <c r="AB194" i="54"/>
  <c r="AV194" i="54" s="1"/>
  <c r="I46" i="57"/>
  <c r="I62" i="54"/>
  <c r="BG62" i="54" s="1"/>
  <c r="I194" i="57"/>
  <c r="I201" i="68" s="1"/>
  <c r="AB175" i="53"/>
  <c r="I229" i="65"/>
  <c r="AB229" i="65" s="1"/>
  <c r="I229" i="57"/>
  <c r="AB229" i="57" s="1"/>
  <c r="I64" i="65"/>
  <c r="AB64" i="65" s="1"/>
  <c r="I246" i="57"/>
  <c r="AB246" i="57" s="1"/>
  <c r="I224" i="57"/>
  <c r="I231" i="68" s="1"/>
  <c r="I246" i="65"/>
  <c r="I175" i="57"/>
  <c r="I175" i="65"/>
  <c r="AB175" i="65" s="1"/>
  <c r="AB175" i="54"/>
  <c r="AV175" i="54" s="1"/>
  <c r="AB256" i="53"/>
  <c r="I52" i="65"/>
  <c r="AB52" i="65" s="1"/>
  <c r="I52" i="57"/>
  <c r="AB35" i="66"/>
  <c r="I286" i="54"/>
  <c r="BG286" i="54" s="1"/>
  <c r="I100" i="54"/>
  <c r="BG100" i="54" s="1"/>
  <c r="P35" i="66"/>
  <c r="AL35" i="66" s="1"/>
  <c r="I83" i="54"/>
  <c r="BG83" i="54" s="1"/>
  <c r="I214" i="65"/>
  <c r="AB214" i="65" s="1"/>
  <c r="AB31" i="66"/>
  <c r="AB52" i="54"/>
  <c r="AV52" i="54" s="1"/>
  <c r="AB107" i="54"/>
  <c r="AV107" i="54" s="1"/>
  <c r="AB214" i="54"/>
  <c r="AV214" i="54" s="1"/>
  <c r="I107" i="57"/>
  <c r="I70" i="57"/>
  <c r="AB70" i="57" s="1"/>
  <c r="AV30" i="66"/>
  <c r="AB107" i="53"/>
  <c r="AV33" i="66"/>
  <c r="I214" i="57"/>
  <c r="I107" i="65"/>
  <c r="AB107" i="65" s="1"/>
  <c r="I70" i="65"/>
  <c r="AB70" i="65" s="1"/>
  <c r="P31" i="66"/>
  <c r="AL31" i="66" s="1"/>
  <c r="AB52" i="53"/>
  <c r="I194" i="65"/>
  <c r="I64" i="57"/>
  <c r="AB275" i="54"/>
  <c r="AV275" i="54" s="1"/>
  <c r="I275" i="57"/>
  <c r="I59" i="65"/>
  <c r="AB59" i="65" s="1"/>
  <c r="AB194" i="53"/>
  <c r="I275" i="65"/>
  <c r="AB275" i="65" s="1"/>
  <c r="I59" i="57"/>
  <c r="AB59" i="54"/>
  <c r="AV59" i="54" s="1"/>
  <c r="AB282" i="53"/>
  <c r="AB275" i="53"/>
  <c r="AB46" i="54"/>
  <c r="AV46" i="54" s="1"/>
  <c r="I46" i="65"/>
  <c r="AB46" i="53"/>
  <c r="I68" i="65"/>
  <c r="AB68" i="65" s="1"/>
  <c r="P33" i="66"/>
  <c r="AL33" i="66" s="1"/>
  <c r="I44" i="54"/>
  <c r="BG44" i="54" s="1"/>
  <c r="AB281" i="54"/>
  <c r="AV281" i="54" s="1"/>
  <c r="I181" i="54"/>
  <c r="BG181" i="54" s="1"/>
  <c r="AB191" i="53"/>
  <c r="I191" i="54"/>
  <c r="BG191" i="54" s="1"/>
  <c r="I282" i="65"/>
  <c r="I282" i="57"/>
  <c r="P36" i="66"/>
  <c r="AL36" i="66" s="1"/>
  <c r="AB282" i="54"/>
  <c r="AV282" i="54" s="1"/>
  <c r="AB249" i="54"/>
  <c r="AV249" i="54" s="1"/>
  <c r="AB249" i="53"/>
  <c r="I249" i="57"/>
  <c r="AB249" i="57" s="1"/>
  <c r="I298" i="57"/>
  <c r="P32" i="66"/>
  <c r="AL32" i="66" s="1"/>
  <c r="AB155" i="53"/>
  <c r="AB78" i="53"/>
  <c r="I78" i="54"/>
  <c r="BG78" i="54" s="1"/>
  <c r="AB298" i="54"/>
  <c r="AV298" i="54" s="1"/>
  <c r="I68" i="57"/>
  <c r="AB68" i="57" s="1"/>
  <c r="I249" i="65"/>
  <c r="AB249" i="65" s="1"/>
  <c r="I55" i="57"/>
  <c r="AB55" i="57" s="1"/>
  <c r="AB148" i="54"/>
  <c r="AV148" i="54" s="1"/>
  <c r="AB68" i="54"/>
  <c r="AV68" i="54" s="1"/>
  <c r="I222" i="54"/>
  <c r="BG222" i="54" s="1"/>
  <c r="I148" i="65"/>
  <c r="I228" i="57"/>
  <c r="AB228" i="57" s="1"/>
  <c r="I151" i="57"/>
  <c r="AB151" i="57" s="1"/>
  <c r="I148" i="57"/>
  <c r="I228" i="65"/>
  <c r="I155" i="65"/>
  <c r="AB155" i="65" s="1"/>
  <c r="AB151" i="54"/>
  <c r="AV151" i="54" s="1"/>
  <c r="I174" i="65"/>
  <c r="AB174" i="65" s="1"/>
  <c r="AB36" i="66"/>
  <c r="AB32" i="66"/>
  <c r="AB228" i="54"/>
  <c r="AV228" i="54" s="1"/>
  <c r="I281" i="57"/>
  <c r="AB155" i="54"/>
  <c r="AV155" i="54" s="1"/>
  <c r="I151" i="65"/>
  <c r="AB151" i="65" s="1"/>
  <c r="AB174" i="54"/>
  <c r="AV174" i="54" s="1"/>
  <c r="AB68" i="53"/>
  <c r="AB63" i="53"/>
  <c r="I63" i="54"/>
  <c r="BG63" i="54" s="1"/>
  <c r="I281" i="65"/>
  <c r="I155" i="57"/>
  <c r="I174" i="57"/>
  <c r="AB174" i="53"/>
  <c r="AB163" i="53"/>
  <c r="I163" i="54"/>
  <c r="BG163" i="54" s="1"/>
  <c r="AB232" i="53"/>
  <c r="I232" i="54"/>
  <c r="BG232" i="54" s="1"/>
  <c r="I120" i="65"/>
  <c r="AB120" i="65" s="1"/>
  <c r="I55" i="65"/>
  <c r="AB55" i="65" s="1"/>
  <c r="AB55" i="54"/>
  <c r="AV55" i="54" s="1"/>
  <c r="I120" i="57"/>
  <c r="I267" i="54"/>
  <c r="BG267" i="54" s="1"/>
  <c r="AB267" i="53"/>
  <c r="AB120" i="54"/>
  <c r="AV120" i="54" s="1"/>
  <c r="I269" i="54"/>
  <c r="BG269" i="54" s="1"/>
  <c r="I31" i="54"/>
  <c r="BG31" i="54" s="1"/>
  <c r="AB31" i="53"/>
  <c r="AB188" i="53"/>
  <c r="I188" i="54"/>
  <c r="BG188" i="54" s="1"/>
  <c r="I149" i="54"/>
  <c r="BG149" i="54" s="1"/>
  <c r="AB149" i="53"/>
  <c r="I128" i="54"/>
  <c r="BG128" i="54" s="1"/>
  <c r="AB128" i="53"/>
  <c r="AB25" i="53"/>
  <c r="I25" i="54"/>
  <c r="BG25" i="54" s="1"/>
  <c r="I73" i="54"/>
  <c r="BG73" i="54" s="1"/>
  <c r="AB73" i="53"/>
  <c r="AB177" i="53"/>
  <c r="I177" i="54"/>
  <c r="BG177" i="54" s="1"/>
  <c r="AB221" i="53"/>
  <c r="I221" i="54"/>
  <c r="BG221" i="54" s="1"/>
  <c r="I247" i="57"/>
  <c r="AB247" i="57" s="1"/>
  <c r="I247" i="65"/>
  <c r="AB247" i="65" s="1"/>
  <c r="AB247" i="54"/>
  <c r="AV247" i="54" s="1"/>
  <c r="AB18" i="65"/>
  <c r="AB171" i="65"/>
  <c r="AB34" i="66"/>
  <c r="AV34" i="66"/>
  <c r="P34" i="66"/>
  <c r="AL34" i="66" s="1"/>
  <c r="I219" i="54"/>
  <c r="BG219" i="54" s="1"/>
  <c r="I240" i="54"/>
  <c r="BG240" i="54" s="1"/>
  <c r="E55" i="66"/>
  <c r="I230" i="53"/>
  <c r="AB253" i="54"/>
  <c r="AV253" i="54" s="1"/>
  <c r="I253" i="57"/>
  <c r="I253" i="65"/>
  <c r="I142" i="57"/>
  <c r="I142" i="65"/>
  <c r="AB142" i="54"/>
  <c r="AV142" i="54" s="1"/>
  <c r="AB60" i="54"/>
  <c r="AV60" i="54" s="1"/>
  <c r="I60" i="65"/>
  <c r="I60" i="57"/>
  <c r="I243" i="57"/>
  <c r="I243" i="65"/>
  <c r="AB243" i="54"/>
  <c r="AV243" i="54" s="1"/>
  <c r="I93" i="57"/>
  <c r="I93" i="65"/>
  <c r="AB93" i="54"/>
  <c r="AV93" i="54" s="1"/>
  <c r="I20" i="57"/>
  <c r="I20" i="65"/>
  <c r="AB20" i="54"/>
  <c r="AV20" i="54" s="1"/>
  <c r="AB85" i="54"/>
  <c r="AV85" i="54" s="1"/>
  <c r="I85" i="65"/>
  <c r="I85" i="57"/>
  <c r="AB238" i="54"/>
  <c r="AV238" i="54" s="1"/>
  <c r="I238" i="57"/>
  <c r="I238" i="65"/>
  <c r="AB190" i="54"/>
  <c r="AV190" i="54" s="1"/>
  <c r="I190" i="57"/>
  <c r="I190" i="65"/>
  <c r="I172" i="57"/>
  <c r="I172" i="65"/>
  <c r="AB172" i="54"/>
  <c r="AV172" i="54" s="1"/>
  <c r="I196" i="57"/>
  <c r="AB196" i="54"/>
  <c r="AV196" i="54" s="1"/>
  <c r="I196" i="65"/>
  <c r="AB171" i="57"/>
  <c r="AB33" i="54"/>
  <c r="AV33" i="54" s="1"/>
  <c r="I33" i="57"/>
  <c r="I33" i="65"/>
  <c r="AB203" i="54"/>
  <c r="AV203" i="54" s="1"/>
  <c r="I203" i="65"/>
  <c r="I203" i="57"/>
  <c r="AB113" i="54"/>
  <c r="AV113" i="54" s="1"/>
  <c r="I113" i="57"/>
  <c r="I113" i="65"/>
  <c r="AB132" i="54"/>
  <c r="AV132" i="54" s="1"/>
  <c r="I132" i="57"/>
  <c r="I132" i="65"/>
  <c r="I105" i="65"/>
  <c r="AB105" i="54"/>
  <c r="AV105" i="54" s="1"/>
  <c r="I105" i="57"/>
  <c r="I115" i="57"/>
  <c r="AB115" i="54"/>
  <c r="AV115" i="54" s="1"/>
  <c r="I115" i="65"/>
  <c r="I158" i="65"/>
  <c r="I158" i="57"/>
  <c r="AB158" i="54"/>
  <c r="AV158" i="54" s="1"/>
  <c r="I24" i="57"/>
  <c r="AB24" i="54"/>
  <c r="AV24" i="54" s="1"/>
  <c r="I24" i="65"/>
  <c r="I245" i="57"/>
  <c r="I245" i="65"/>
  <c r="AB245" i="54"/>
  <c r="AV245" i="54" s="1"/>
  <c r="AB84" i="54"/>
  <c r="AV84" i="54" s="1"/>
  <c r="I84" i="65"/>
  <c r="I84" i="57"/>
  <c r="AB71" i="54"/>
  <c r="AV71" i="54" s="1"/>
  <c r="I71" i="57"/>
  <c r="I71" i="65"/>
  <c r="I202" i="65"/>
  <c r="AB202" i="54"/>
  <c r="AV202" i="54" s="1"/>
  <c r="I202" i="57"/>
  <c r="I110" i="65"/>
  <c r="AB110" i="54"/>
  <c r="AV110" i="54" s="1"/>
  <c r="I110" i="57"/>
  <c r="I119" i="65"/>
  <c r="I119" i="57"/>
  <c r="AB119" i="54"/>
  <c r="AV119" i="54" s="1"/>
  <c r="I206" i="57"/>
  <c r="I206" i="65"/>
  <c r="AB206" i="54"/>
  <c r="AV206" i="54" s="1"/>
  <c r="AB146" i="54"/>
  <c r="AV146" i="54" s="1"/>
  <c r="I146" i="57"/>
  <c r="I146" i="65"/>
  <c r="I117" i="65"/>
  <c r="I117" i="57"/>
  <c r="AB117" i="54"/>
  <c r="AV117" i="54" s="1"/>
  <c r="I179" i="57"/>
  <c r="I179" i="65"/>
  <c r="AB179" i="54"/>
  <c r="AV179" i="54" s="1"/>
  <c r="I131" i="65"/>
  <c r="I131" i="57"/>
  <c r="AB131" i="54"/>
  <c r="AV131" i="54" s="1"/>
  <c r="AB277" i="54"/>
  <c r="AV277" i="54" s="1"/>
  <c r="I277" i="57"/>
  <c r="I277" i="65"/>
  <c r="AB303" i="54"/>
  <c r="AV303" i="54" s="1"/>
  <c r="I303" i="57"/>
  <c r="I303" i="65"/>
  <c r="I165" i="65"/>
  <c r="I165" i="57"/>
  <c r="AB165" i="54"/>
  <c r="AV165" i="54" s="1"/>
  <c r="I244" i="65"/>
  <c r="I244" i="57"/>
  <c r="AB244" i="54"/>
  <c r="AV244" i="54" s="1"/>
  <c r="AB102" i="54"/>
  <c r="AV102" i="54" s="1"/>
  <c r="I102" i="65"/>
  <c r="I102" i="57"/>
  <c r="I48" i="57"/>
  <c r="I48" i="65"/>
  <c r="AB48" i="54"/>
  <c r="AV48" i="54" s="1"/>
  <c r="I169" i="65"/>
  <c r="AB169" i="54"/>
  <c r="AV169" i="54" s="1"/>
  <c r="I169" i="57"/>
  <c r="I133" i="57"/>
  <c r="AB133" i="54"/>
  <c r="AV133" i="54" s="1"/>
  <c r="I133" i="65"/>
  <c r="I80" i="57"/>
  <c r="I80" i="65"/>
  <c r="AB80" i="54"/>
  <c r="AV80" i="54" s="1"/>
  <c r="AB271" i="54"/>
  <c r="AV271" i="54" s="1"/>
  <c r="I271" i="65"/>
  <c r="I271" i="57"/>
  <c r="I134" i="65"/>
  <c r="AB134" i="54"/>
  <c r="AV134" i="54" s="1"/>
  <c r="I134" i="57"/>
  <c r="AB293" i="54"/>
  <c r="AV293" i="54" s="1"/>
  <c r="I293" i="65"/>
  <c r="I293" i="57"/>
  <c r="I159" i="65"/>
  <c r="I159" i="57"/>
  <c r="AB159" i="54"/>
  <c r="AV159" i="54" s="1"/>
  <c r="AB237" i="54"/>
  <c r="AV237" i="54" s="1"/>
  <c r="I237" i="65"/>
  <c r="I237" i="57"/>
  <c r="AA15" i="42"/>
  <c r="J354" i="42"/>
  <c r="J361" i="42" s="1"/>
  <c r="J329" i="42"/>
  <c r="J336" i="42" s="1"/>
  <c r="I15" i="53"/>
  <c r="J13" i="42"/>
  <c r="I291" i="57"/>
  <c r="AB291" i="54"/>
  <c r="AV291" i="54" s="1"/>
  <c r="I291" i="65"/>
  <c r="AB109" i="54"/>
  <c r="AV109" i="54" s="1"/>
  <c r="I109" i="65"/>
  <c r="I109" i="57"/>
  <c r="I89" i="57"/>
  <c r="AB89" i="54"/>
  <c r="AV89" i="54" s="1"/>
  <c r="I89" i="65"/>
  <c r="I103" i="65"/>
  <c r="I103" i="57"/>
  <c r="AB103" i="54"/>
  <c r="AV103" i="54" s="1"/>
  <c r="AB223" i="54"/>
  <c r="AV223" i="54" s="1"/>
  <c r="I223" i="65"/>
  <c r="I223" i="57"/>
  <c r="I108" i="65"/>
  <c r="AB108" i="54"/>
  <c r="AV108" i="54" s="1"/>
  <c r="I108" i="57"/>
  <c r="I123" i="57"/>
  <c r="AB123" i="54"/>
  <c r="AV123" i="54" s="1"/>
  <c r="I123" i="65"/>
  <c r="AB26" i="54"/>
  <c r="AV26" i="54" s="1"/>
  <c r="I26" i="57"/>
  <c r="I26" i="65"/>
  <c r="AB94" i="54"/>
  <c r="AV94" i="54" s="1"/>
  <c r="I94" i="57"/>
  <c r="I94" i="65"/>
  <c r="I250" i="65"/>
  <c r="AB250" i="54"/>
  <c r="AV250" i="54" s="1"/>
  <c r="I250" i="57"/>
  <c r="AB95" i="54"/>
  <c r="AV95" i="54" s="1"/>
  <c r="I95" i="65"/>
  <c r="I95" i="57"/>
  <c r="I135" i="65"/>
  <c r="I135" i="57"/>
  <c r="AB135" i="54"/>
  <c r="AV135" i="54" s="1"/>
  <c r="AB90" i="54"/>
  <c r="AV90" i="54" s="1"/>
  <c r="I90" i="57"/>
  <c r="I90" i="65"/>
  <c r="I141" i="57"/>
  <c r="I141" i="65"/>
  <c r="AB141" i="54"/>
  <c r="AV141" i="54" s="1"/>
  <c r="I74" i="57"/>
  <c r="AB74" i="54"/>
  <c r="AV74" i="54" s="1"/>
  <c r="I74" i="65"/>
  <c r="AB168" i="54"/>
  <c r="AV168" i="54" s="1"/>
  <c r="I168" i="65"/>
  <c r="I168" i="57"/>
  <c r="AB116" i="54"/>
  <c r="AV116" i="54" s="1"/>
  <c r="I116" i="65"/>
  <c r="I116" i="57"/>
  <c r="I304" i="57"/>
  <c r="I304" i="65"/>
  <c r="AB304" i="54"/>
  <c r="AV304" i="54" s="1"/>
  <c r="AB18" i="57"/>
  <c r="I25" i="68"/>
  <c r="I218" i="57"/>
  <c r="I218" i="65"/>
  <c r="AB218" i="54"/>
  <c r="AV218" i="54" s="1"/>
  <c r="AB139" i="54"/>
  <c r="AV139" i="54" s="1"/>
  <c r="I139" i="65"/>
  <c r="I139" i="57"/>
  <c r="I220" i="57"/>
  <c r="I220" i="65"/>
  <c r="AB220" i="54"/>
  <c r="AV220" i="54" s="1"/>
  <c r="I154" i="65"/>
  <c r="AB154" i="54"/>
  <c r="AV154" i="54" s="1"/>
  <c r="I154" i="57"/>
  <c r="I290" i="57"/>
  <c r="I290" i="65"/>
  <c r="AB290" i="54"/>
  <c r="AV290" i="54" s="1"/>
  <c r="I270" i="57"/>
  <c r="I270" i="65"/>
  <c r="AB270" i="54"/>
  <c r="AV270" i="54" s="1"/>
  <c r="I176" i="57"/>
  <c r="AB176" i="54"/>
  <c r="AV176" i="54" s="1"/>
  <c r="I176" i="65"/>
  <c r="AB30" i="54"/>
  <c r="AV30" i="54" s="1"/>
  <c r="I30" i="57"/>
  <c r="I30" i="65"/>
  <c r="AB150" i="54"/>
  <c r="AV150" i="54" s="1"/>
  <c r="I150" i="57"/>
  <c r="I150" i="65"/>
  <c r="I279" i="57"/>
  <c r="I279" i="65"/>
  <c r="AB279" i="54"/>
  <c r="AV279" i="54" s="1"/>
  <c r="I261" i="65"/>
  <c r="AB261" i="54"/>
  <c r="AV261" i="54" s="1"/>
  <c r="I261" i="57"/>
  <c r="AB124" i="54"/>
  <c r="AV124" i="54" s="1"/>
  <c r="I124" i="65"/>
  <c r="I124" i="57"/>
  <c r="AB92" i="54"/>
  <c r="AV92" i="54" s="1"/>
  <c r="I92" i="57"/>
  <c r="I92" i="65"/>
  <c r="AB81" i="54"/>
  <c r="AV81" i="54" s="1"/>
  <c r="I81" i="65"/>
  <c r="I81" i="57"/>
  <c r="I91" i="57"/>
  <c r="I91" i="65"/>
  <c r="AB91" i="54"/>
  <c r="AV91" i="54" s="1"/>
  <c r="I50" i="65"/>
  <c r="AB50" i="54"/>
  <c r="AV50" i="54" s="1"/>
  <c r="I50" i="57"/>
  <c r="AB200" i="54"/>
  <c r="AV200" i="54" s="1"/>
  <c r="I200" i="57"/>
  <c r="I200" i="65"/>
  <c r="AB32" i="54"/>
  <c r="AV32" i="54" s="1"/>
  <c r="I32" i="57"/>
  <c r="I32" i="65"/>
  <c r="I234" i="57"/>
  <c r="AB234" i="54"/>
  <c r="AV234" i="54" s="1"/>
  <c r="I234" i="65"/>
  <c r="I162" i="57"/>
  <c r="AB162" i="54"/>
  <c r="AV162" i="54" s="1"/>
  <c r="I162" i="65"/>
  <c r="I164" i="57"/>
  <c r="I164" i="65"/>
  <c r="AB164" i="54"/>
  <c r="AV164" i="54" s="1"/>
  <c r="I264" i="65"/>
  <c r="I264" i="57"/>
  <c r="AB264" i="54"/>
  <c r="AV264" i="54" s="1"/>
  <c r="I183" i="65"/>
  <c r="I183" i="57"/>
  <c r="AB183" i="54"/>
  <c r="AV183" i="54" s="1"/>
  <c r="AB19" i="54"/>
  <c r="AV19" i="54" s="1"/>
  <c r="I19" i="65"/>
  <c r="I19" i="57"/>
  <c r="I66" i="65"/>
  <c r="AB66" i="54"/>
  <c r="AV66" i="54" s="1"/>
  <c r="I66" i="57"/>
  <c r="I45" i="57"/>
  <c r="AB45" i="54"/>
  <c r="AV45" i="54" s="1"/>
  <c r="I45" i="65"/>
  <c r="I97" i="57"/>
  <c r="I97" i="65"/>
  <c r="AB97" i="54"/>
  <c r="AV97" i="54" s="1"/>
  <c r="AB122" i="54"/>
  <c r="AV122" i="54" s="1"/>
  <c r="I122" i="65"/>
  <c r="I122" i="57"/>
  <c r="I292" i="65"/>
  <c r="AB292" i="54"/>
  <c r="AV292" i="54" s="1"/>
  <c r="I292" i="57"/>
  <c r="I36" i="65"/>
  <c r="I36" i="57"/>
  <c r="AB36" i="54"/>
  <c r="AV36" i="54" s="1"/>
  <c r="I302" i="57"/>
  <c r="I302" i="65"/>
  <c r="AB302" i="54"/>
  <c r="AV302" i="54" s="1"/>
  <c r="I272" i="65"/>
  <c r="I272" i="57"/>
  <c r="AB272" i="54"/>
  <c r="AV272" i="54" s="1"/>
  <c r="I138" i="57"/>
  <c r="I138" i="65"/>
  <c r="AB138" i="54"/>
  <c r="AV138" i="54" s="1"/>
  <c r="I195" i="57"/>
  <c r="I195" i="65"/>
  <c r="AB195" i="54"/>
  <c r="AV195" i="54" s="1"/>
  <c r="I226" i="65"/>
  <c r="I226" i="57"/>
  <c r="AB226" i="54"/>
  <c r="AV226" i="54" s="1"/>
  <c r="AB88" i="54"/>
  <c r="AV88" i="54" s="1"/>
  <c r="I88" i="57"/>
  <c r="I88" i="65"/>
  <c r="I56" i="57"/>
  <c r="I56" i="65"/>
  <c r="AB56" i="54"/>
  <c r="AV56" i="54" s="1"/>
  <c r="AB178" i="54"/>
  <c r="AV178" i="54" s="1"/>
  <c r="I178" i="65"/>
  <c r="I178" i="57"/>
  <c r="AB207" i="54"/>
  <c r="AV207" i="54" s="1"/>
  <c r="I207" i="57"/>
  <c r="I207" i="65"/>
  <c r="I283" i="65"/>
  <c r="AB283" i="54"/>
  <c r="AV283" i="54" s="1"/>
  <c r="I283" i="57"/>
  <c r="I208" i="65"/>
  <c r="I208" i="57"/>
  <c r="AB208" i="54"/>
  <c r="AV208" i="54" s="1"/>
  <c r="AB199" i="54"/>
  <c r="AV199" i="54" s="1"/>
  <c r="I199" i="65"/>
  <c r="I199" i="57"/>
  <c r="AB58" i="54"/>
  <c r="AV58" i="54" s="1"/>
  <c r="I58" i="57"/>
  <c r="I58" i="65"/>
  <c r="I35" i="57"/>
  <c r="I35" i="65"/>
  <c r="AB35" i="54"/>
  <c r="AV35" i="54" s="1"/>
  <c r="I182" i="57"/>
  <c r="I182" i="65"/>
  <c r="AB182" i="54"/>
  <c r="AV182" i="54" s="1"/>
  <c r="I156" i="65"/>
  <c r="I156" i="57"/>
  <c r="AB156" i="54"/>
  <c r="AV156" i="54" s="1"/>
  <c r="AB87" i="54"/>
  <c r="AV87" i="54" s="1"/>
  <c r="I87" i="65"/>
  <c r="I87" i="57"/>
  <c r="AB129" i="54"/>
  <c r="AV129" i="54" s="1"/>
  <c r="I129" i="57"/>
  <c r="I129" i="65"/>
  <c r="I198" i="65"/>
  <c r="AB198" i="54"/>
  <c r="AV198" i="54" s="1"/>
  <c r="I198" i="57"/>
  <c r="I167" i="57"/>
  <c r="I167" i="65"/>
  <c r="AB167" i="54"/>
  <c r="AV167" i="54" s="1"/>
  <c r="AB239" i="54"/>
  <c r="AV239" i="54" s="1"/>
  <c r="I239" i="57"/>
  <c r="I239" i="65"/>
  <c r="I257" i="57"/>
  <c r="I257" i="65"/>
  <c r="AB257" i="54"/>
  <c r="AV257" i="54" s="1"/>
  <c r="I187" i="65"/>
  <c r="I187" i="57"/>
  <c r="AB187" i="54"/>
  <c r="AV187" i="54" s="1"/>
  <c r="AB143" i="54"/>
  <c r="AV143" i="54" s="1"/>
  <c r="I143" i="57"/>
  <c r="I143" i="65"/>
  <c r="I170" i="65"/>
  <c r="I170" i="57"/>
  <c r="AB170" i="54"/>
  <c r="AV170" i="54" s="1"/>
  <c r="I297" i="57"/>
  <c r="I297" i="65"/>
  <c r="AB297" i="54"/>
  <c r="AV297" i="54" s="1"/>
  <c r="I37" i="65"/>
  <c r="AB37" i="54"/>
  <c r="AV37" i="54" s="1"/>
  <c r="I37" i="57"/>
  <c r="I75" i="57"/>
  <c r="I75" i="65"/>
  <c r="AB75" i="54"/>
  <c r="AV75" i="54" s="1"/>
  <c r="I147" i="65"/>
  <c r="I147" i="57"/>
  <c r="AB147" i="54"/>
  <c r="AV147" i="54" s="1"/>
  <c r="I28" i="57"/>
  <c r="AB28" i="54"/>
  <c r="AV28" i="54" s="1"/>
  <c r="I28" i="65"/>
  <c r="I215" i="57"/>
  <c r="AB215" i="54"/>
  <c r="AV215" i="54" s="1"/>
  <c r="I215" i="65"/>
  <c r="I280" i="57"/>
  <c r="AB280" i="54"/>
  <c r="AV280" i="54" s="1"/>
  <c r="I280" i="65"/>
  <c r="I47" i="65"/>
  <c r="AB47" i="54"/>
  <c r="AV47" i="54" s="1"/>
  <c r="I47" i="57"/>
  <c r="I287" i="57"/>
  <c r="AB287" i="54"/>
  <c r="AV287" i="54" s="1"/>
  <c r="I287" i="65"/>
  <c r="I210" i="57"/>
  <c r="AB210" i="54"/>
  <c r="AV210" i="54" s="1"/>
  <c r="I210" i="65"/>
  <c r="AB38" i="54"/>
  <c r="AV38" i="54" s="1"/>
  <c r="I38" i="65"/>
  <c r="I38" i="57"/>
  <c r="I254" i="65"/>
  <c r="I254" i="57"/>
  <c r="AB254" i="54"/>
  <c r="AV254" i="54" s="1"/>
  <c r="I21" i="57"/>
  <c r="AB21" i="54"/>
  <c r="AV21" i="54" s="1"/>
  <c r="I21" i="65"/>
  <c r="I216" i="57"/>
  <c r="I216" i="65"/>
  <c r="AB216" i="54"/>
  <c r="AV216" i="54" s="1"/>
  <c r="AB40" i="54"/>
  <c r="AV40" i="54" s="1"/>
  <c r="I40" i="65"/>
  <c r="I40" i="57"/>
  <c r="AB227" i="54"/>
  <c r="AV227" i="54" s="1"/>
  <c r="I227" i="57"/>
  <c r="I227" i="65"/>
  <c r="I101" i="57"/>
  <c r="AB101" i="54"/>
  <c r="AV101" i="54" s="1"/>
  <c r="I101" i="65"/>
  <c r="I23" i="57"/>
  <c r="I23" i="65"/>
  <c r="AB23" i="54"/>
  <c r="AV23" i="54" s="1"/>
  <c r="I121" i="57"/>
  <c r="AB121" i="54"/>
  <c r="AV121" i="54" s="1"/>
  <c r="I121" i="65"/>
  <c r="I259" i="57"/>
  <c r="I259" i="65"/>
  <c r="AB259" i="54"/>
  <c r="AV259" i="54" s="1"/>
  <c r="I268" i="57"/>
  <c r="I268" i="65"/>
  <c r="AB268" i="54"/>
  <c r="AV268" i="54" s="1"/>
  <c r="AB65" i="54"/>
  <c r="AV65" i="54" s="1"/>
  <c r="I65" i="65"/>
  <c r="I65" i="57"/>
  <c r="AB17" i="54"/>
  <c r="AV17" i="54" s="1"/>
  <c r="I17" i="57"/>
  <c r="I17" i="65"/>
  <c r="I265" i="65"/>
  <c r="I265" i="57"/>
  <c r="AB265" i="54"/>
  <c r="AV265" i="54" s="1"/>
  <c r="AB299" i="54"/>
  <c r="AV299" i="54" s="1"/>
  <c r="I299" i="65"/>
  <c r="I299" i="57"/>
  <c r="I236" i="65"/>
  <c r="AB236" i="54"/>
  <c r="AV236" i="54" s="1"/>
  <c r="I236" i="57"/>
  <c r="AB22" i="54"/>
  <c r="AV22" i="54" s="1"/>
  <c r="I22" i="57"/>
  <c r="I22" i="65"/>
  <c r="I51" i="57"/>
  <c r="AB51" i="54"/>
  <c r="AV51" i="54" s="1"/>
  <c r="I51" i="65"/>
  <c r="AB288" i="54"/>
  <c r="AV288" i="54" s="1"/>
  <c r="I288" i="57"/>
  <c r="I288" i="65"/>
  <c r="AB34" i="54"/>
  <c r="AV34" i="54" s="1"/>
  <c r="I34" i="65"/>
  <c r="I34" i="57"/>
  <c r="I300" i="65"/>
  <c r="I300" i="57"/>
  <c r="AB300" i="54"/>
  <c r="AV300" i="54" s="1"/>
  <c r="I201" i="65"/>
  <c r="I201" i="57"/>
  <c r="AB201" i="54"/>
  <c r="AV201" i="54" s="1"/>
  <c r="AB57" i="54"/>
  <c r="AV57" i="54" s="1"/>
  <c r="I57" i="65"/>
  <c r="I57" i="57"/>
  <c r="I173" i="57"/>
  <c r="AB173" i="54"/>
  <c r="AV173" i="54" s="1"/>
  <c r="I173" i="65"/>
  <c r="AB213" i="54"/>
  <c r="AV213" i="54" s="1"/>
  <c r="I213" i="57"/>
  <c r="I213" i="65"/>
  <c r="I43" i="57"/>
  <c r="AB43" i="54"/>
  <c r="AV43" i="54" s="1"/>
  <c r="I43" i="65"/>
  <c r="AB180" i="54"/>
  <c r="AV180" i="54" s="1"/>
  <c r="I180" i="57"/>
  <c r="I180" i="65"/>
  <c r="I61" i="57"/>
  <c r="I61" i="65"/>
  <c r="AB61" i="54"/>
  <c r="AV61" i="54" s="1"/>
  <c r="I96" i="57"/>
  <c r="I96" i="65"/>
  <c r="AB96" i="54"/>
  <c r="AV96" i="54" s="1"/>
  <c r="I258" i="65"/>
  <c r="I258" i="57"/>
  <c r="AB258" i="54"/>
  <c r="AV258" i="54" s="1"/>
  <c r="I155" i="68" l="1"/>
  <c r="I59" i="68"/>
  <c r="I118" i="68"/>
  <c r="I106" i="68"/>
  <c r="I56" i="68"/>
  <c r="I53" i="68"/>
  <c r="I204" i="68"/>
  <c r="I86" i="68"/>
  <c r="I48" i="68"/>
  <c r="AA5" i="66"/>
  <c r="O5" i="66"/>
  <c r="AB161" i="54"/>
  <c r="AV161" i="54" s="1"/>
  <c r="I161" i="65"/>
  <c r="AB161" i="65" s="1"/>
  <c r="I161" i="57"/>
  <c r="AB161" i="57" s="1"/>
  <c r="I211" i="65"/>
  <c r="AB211" i="65" s="1"/>
  <c r="I136" i="65"/>
  <c r="AB136" i="65" s="1"/>
  <c r="I136" i="57"/>
  <c r="AB136" i="57" s="1"/>
  <c r="AB136" i="54"/>
  <c r="AV136" i="54" s="1"/>
  <c r="I54" i="65"/>
  <c r="AB54" i="65" s="1"/>
  <c r="I54" i="57"/>
  <c r="AB54" i="57" s="1"/>
  <c r="AB54" i="54"/>
  <c r="AV54" i="54" s="1"/>
  <c r="AB211" i="54"/>
  <c r="AV211" i="54" s="1"/>
  <c r="I217" i="57"/>
  <c r="I211" i="57"/>
  <c r="AB211" i="57" s="1"/>
  <c r="AB217" i="54"/>
  <c r="AV217" i="54" s="1"/>
  <c r="I205" i="57"/>
  <c r="AB205" i="57" s="1"/>
  <c r="I205" i="65"/>
  <c r="AB205" i="65" s="1"/>
  <c r="AB205" i="54"/>
  <c r="AV205" i="54" s="1"/>
  <c r="E138" i="66"/>
  <c r="P138" i="66" s="1"/>
  <c r="I276" i="57"/>
  <c r="I283" i="68" s="1"/>
  <c r="AB104" i="54"/>
  <c r="AV104" i="54" s="1"/>
  <c r="AB185" i="54"/>
  <c r="AV185" i="54" s="1"/>
  <c r="I185" i="57"/>
  <c r="AB185" i="57" s="1"/>
  <c r="I106" i="65"/>
  <c r="AB106" i="65" s="1"/>
  <c r="BG106" i="54"/>
  <c r="I72" i="57"/>
  <c r="I79" i="68" s="1"/>
  <c r="BG72" i="54"/>
  <c r="I185" i="65"/>
  <c r="AB185" i="65" s="1"/>
  <c r="I104" i="57"/>
  <c r="I111" i="68" s="1"/>
  <c r="AB41" i="57"/>
  <c r="I104" i="65"/>
  <c r="AB104" i="65" s="1"/>
  <c r="I160" i="57"/>
  <c r="AB160" i="57" s="1"/>
  <c r="I160" i="65"/>
  <c r="AB160" i="65" s="1"/>
  <c r="AB186" i="54"/>
  <c r="AV186" i="54" s="1"/>
  <c r="AB160" i="54"/>
  <c r="AV160" i="54" s="1"/>
  <c r="I67" i="65"/>
  <c r="AB67" i="65" s="1"/>
  <c r="I67" i="57"/>
  <c r="AB67" i="54"/>
  <c r="AV67" i="54" s="1"/>
  <c r="I186" i="57"/>
  <c r="AB186" i="57" s="1"/>
  <c r="I98" i="65"/>
  <c r="AB98" i="65" s="1"/>
  <c r="I98" i="57"/>
  <c r="I105" i="68" s="1"/>
  <c r="I217" i="65"/>
  <c r="AB217" i="65" s="1"/>
  <c r="AB192" i="54"/>
  <c r="AV192" i="54" s="1"/>
  <c r="AB98" i="54"/>
  <c r="AV98" i="54" s="1"/>
  <c r="I186" i="65"/>
  <c r="AB186" i="65" s="1"/>
  <c r="AB144" i="54"/>
  <c r="AV144" i="54" s="1"/>
  <c r="AB111" i="57"/>
  <c r="AB152" i="54"/>
  <c r="AV152" i="54" s="1"/>
  <c r="AB233" i="54"/>
  <c r="AV233" i="54" s="1"/>
  <c r="AB276" i="54"/>
  <c r="AV276" i="54" s="1"/>
  <c r="I276" i="65"/>
  <c r="AB276" i="65" s="1"/>
  <c r="I231" i="65"/>
  <c r="AB231" i="65" s="1"/>
  <c r="AB231" i="54"/>
  <c r="AV231" i="54" s="1"/>
  <c r="AB145" i="54"/>
  <c r="AV145" i="54" s="1"/>
  <c r="I145" i="57"/>
  <c r="AB145" i="57" s="1"/>
  <c r="I145" i="65"/>
  <c r="AB145" i="65" s="1"/>
  <c r="I86" i="57"/>
  <c r="I93" i="68" s="1"/>
  <c r="I86" i="65"/>
  <c r="AB86" i="65" s="1"/>
  <c r="I140" i="65"/>
  <c r="AB140" i="65" s="1"/>
  <c r="I140" i="57"/>
  <c r="I147" i="68" s="1"/>
  <c r="AB140" i="54"/>
  <c r="AV140" i="54" s="1"/>
  <c r="AB86" i="54"/>
  <c r="AV86" i="54" s="1"/>
  <c r="I125" i="57"/>
  <c r="AB125" i="57" s="1"/>
  <c r="AB69" i="54"/>
  <c r="AV69" i="54" s="1"/>
  <c r="I53" i="57"/>
  <c r="I60" i="68" s="1"/>
  <c r="I255" i="57"/>
  <c r="AB255" i="57" s="1"/>
  <c r="AB255" i="54"/>
  <c r="AV255" i="54" s="1"/>
  <c r="I255" i="65"/>
  <c r="AB255" i="65" s="1"/>
  <c r="I130" i="57"/>
  <c r="AB130" i="57" s="1"/>
  <c r="I152" i="57"/>
  <c r="AB152" i="57" s="1"/>
  <c r="AB130" i="54"/>
  <c r="AV130" i="54" s="1"/>
  <c r="I130" i="65"/>
  <c r="AB130" i="65" s="1"/>
  <c r="I152" i="65"/>
  <c r="AB152" i="65" s="1"/>
  <c r="AB125" i="54"/>
  <c r="AV125" i="54" s="1"/>
  <c r="I144" i="57"/>
  <c r="I151" i="68" s="1"/>
  <c r="I233" i="57"/>
  <c r="I240" i="68" s="1"/>
  <c r="I125" i="65"/>
  <c r="AB125" i="65" s="1"/>
  <c r="I144" i="65"/>
  <c r="AB144" i="65" s="1"/>
  <c r="I192" i="57"/>
  <c r="AB192" i="57" s="1"/>
  <c r="I192" i="65"/>
  <c r="I233" i="65"/>
  <c r="AB233" i="65" s="1"/>
  <c r="I231" i="57"/>
  <c r="AB231" i="57" s="1"/>
  <c r="I69" i="65"/>
  <c r="AB69" i="65" s="1"/>
  <c r="AB114" i="54"/>
  <c r="AV114" i="54" s="1"/>
  <c r="AB260" i="65"/>
  <c r="I69" i="57"/>
  <c r="I76" i="68" s="1"/>
  <c r="O17" i="66"/>
  <c r="D24" i="66"/>
  <c r="AA17" i="66"/>
  <c r="O18" i="66"/>
  <c r="AK18" i="66" s="1"/>
  <c r="AA18" i="66"/>
  <c r="O20" i="66"/>
  <c r="AK20" i="66" s="1"/>
  <c r="AA20" i="66"/>
  <c r="O21" i="66"/>
  <c r="AK21" i="66" s="1"/>
  <c r="AA21" i="66"/>
  <c r="O19" i="66"/>
  <c r="AK19" i="66" s="1"/>
  <c r="AA19" i="66"/>
  <c r="O22" i="66"/>
  <c r="AK22" i="66" s="1"/>
  <c r="AA22" i="66"/>
  <c r="I23" i="68"/>
  <c r="O23" i="66"/>
  <c r="AK23" i="66" s="1"/>
  <c r="AA23" i="66"/>
  <c r="I53" i="65"/>
  <c r="AB53" i="65" s="1"/>
  <c r="I114" i="65"/>
  <c r="AB114" i="65" s="1"/>
  <c r="I114" i="57"/>
  <c r="I121" i="68" s="1"/>
  <c r="AB111" i="56"/>
  <c r="AB53" i="54"/>
  <c r="AV53" i="54" s="1"/>
  <c r="AB266" i="54"/>
  <c r="AV266" i="54" s="1"/>
  <c r="I118" i="65"/>
  <c r="AB118" i="65" s="1"/>
  <c r="AB118" i="54"/>
  <c r="AV118" i="54" s="1"/>
  <c r="I266" i="65"/>
  <c r="AB266" i="65" s="1"/>
  <c r="I118" i="57"/>
  <c r="I125" i="68" s="1"/>
  <c r="I266" i="57"/>
  <c r="AB266" i="57" s="1"/>
  <c r="I166" i="57"/>
  <c r="I166" i="65"/>
  <c r="AB166" i="65" s="1"/>
  <c r="AB166" i="54"/>
  <c r="AV166" i="54" s="1"/>
  <c r="I72" i="65"/>
  <c r="AB72" i="65" s="1"/>
  <c r="AB72" i="54"/>
  <c r="AV72" i="54" s="1"/>
  <c r="AB209" i="54"/>
  <c r="AV209" i="54" s="1"/>
  <c r="I209" i="65"/>
  <c r="AB209" i="65" s="1"/>
  <c r="I209" i="57"/>
  <c r="AC209" i="51" s="1"/>
  <c r="I42" i="57"/>
  <c r="AB42" i="54"/>
  <c r="AV42" i="54" s="1"/>
  <c r="I42" i="65"/>
  <c r="AB42" i="65" s="1"/>
  <c r="I126" i="65"/>
  <c r="AB126" i="65" s="1"/>
  <c r="I126" i="57"/>
  <c r="AB126" i="54"/>
  <c r="AV126" i="54" s="1"/>
  <c r="AB39" i="54"/>
  <c r="AV39" i="54" s="1"/>
  <c r="I39" i="65"/>
  <c r="AB39" i="65" s="1"/>
  <c r="I39" i="57"/>
  <c r="AC39" i="51" s="1"/>
  <c r="I294" i="57"/>
  <c r="AC294" i="51" s="1"/>
  <c r="I294" i="65"/>
  <c r="AB294" i="65" s="1"/>
  <c r="AB294" i="54"/>
  <c r="AV294" i="54" s="1"/>
  <c r="I278" i="65"/>
  <c r="AB278" i="65" s="1"/>
  <c r="I278" i="57"/>
  <c r="AC278" i="51" s="1"/>
  <c r="AB278" i="54"/>
  <c r="AV278" i="54" s="1"/>
  <c r="AB212" i="56"/>
  <c r="I267" i="68"/>
  <c r="AB225" i="54"/>
  <c r="AV225" i="54" s="1"/>
  <c r="I225" i="57"/>
  <c r="I225" i="65"/>
  <c r="AB225" i="65" s="1"/>
  <c r="AB79" i="57"/>
  <c r="AB106" i="54"/>
  <c r="AV106" i="54" s="1"/>
  <c r="I106" i="57"/>
  <c r="AC106" i="51" s="1"/>
  <c r="AB235" i="54"/>
  <c r="AV235" i="54" s="1"/>
  <c r="I235" i="65"/>
  <c r="AB235" i="65" s="1"/>
  <c r="I235" i="57"/>
  <c r="AC235" i="51" s="1"/>
  <c r="I204" i="65"/>
  <c r="AB204" i="65" s="1"/>
  <c r="AB204" i="54"/>
  <c r="AV204" i="54" s="1"/>
  <c r="I204" i="57"/>
  <c r="AC204" i="51" s="1"/>
  <c r="AB106" i="56"/>
  <c r="AB197" i="57"/>
  <c r="AB197" i="56"/>
  <c r="I219" i="68"/>
  <c r="AB76" i="56"/>
  <c r="AB99" i="57"/>
  <c r="AB99" i="56"/>
  <c r="AB193" i="56"/>
  <c r="I191" i="68"/>
  <c r="AB16" i="57"/>
  <c r="AC16" i="51"/>
  <c r="AB186" i="56"/>
  <c r="AB161" i="56"/>
  <c r="AC256" i="51"/>
  <c r="AB281" i="56"/>
  <c r="AB305" i="56"/>
  <c r="AB112" i="57"/>
  <c r="AB256" i="57"/>
  <c r="AB49" i="56"/>
  <c r="AB193" i="57"/>
  <c r="AA9" i="57"/>
  <c r="AA8" i="57"/>
  <c r="AB228" i="56"/>
  <c r="AC49" i="51"/>
  <c r="AB49" i="57"/>
  <c r="AC197" i="51"/>
  <c r="AB46" i="56"/>
  <c r="AB194" i="56"/>
  <c r="AC111" i="51"/>
  <c r="AC260" i="51"/>
  <c r="AC282" i="51"/>
  <c r="AC193" i="51"/>
  <c r="AC41" i="51"/>
  <c r="AB282" i="56"/>
  <c r="AB231" i="56"/>
  <c r="AC99" i="51"/>
  <c r="AC298" i="51"/>
  <c r="AC112" i="51"/>
  <c r="AC125" i="51"/>
  <c r="AB246" i="56"/>
  <c r="AC242" i="51"/>
  <c r="AC126" i="51"/>
  <c r="AC212" i="51"/>
  <c r="AC171" i="51"/>
  <c r="AC175" i="51"/>
  <c r="AC231" i="51"/>
  <c r="AB256" i="56"/>
  <c r="AC161" i="51"/>
  <c r="AB77" i="56"/>
  <c r="AB148" i="56"/>
  <c r="AB157" i="54"/>
  <c r="AV157" i="54" s="1"/>
  <c r="AC281" i="51"/>
  <c r="AC18" i="51"/>
  <c r="I157" i="57"/>
  <c r="I164" i="68" s="1"/>
  <c r="AC77" i="51"/>
  <c r="AC305" i="51"/>
  <c r="AC64" i="51"/>
  <c r="AC98" i="51"/>
  <c r="AC27" i="51"/>
  <c r="AC186" i="51"/>
  <c r="AC192" i="51"/>
  <c r="AC155" i="51"/>
  <c r="AC72" i="51"/>
  <c r="AC79" i="51"/>
  <c r="AC184" i="51"/>
  <c r="AB242" i="56"/>
  <c r="AB256" i="65"/>
  <c r="AB112" i="56"/>
  <c r="AC107" i="51"/>
  <c r="AA57" i="56"/>
  <c r="AA274" i="56"/>
  <c r="AA207" i="56"/>
  <c r="AA297" i="56"/>
  <c r="AA203" i="56"/>
  <c r="AA189" i="56"/>
  <c r="AA69" i="56"/>
  <c r="AA303" i="56"/>
  <c r="AA30" i="56"/>
  <c r="AA193" i="56"/>
  <c r="AA190" i="56"/>
  <c r="AA107" i="56"/>
  <c r="AA211" i="56"/>
  <c r="AA55" i="56"/>
  <c r="AA95" i="56"/>
  <c r="AA93" i="56"/>
  <c r="AA145" i="56"/>
  <c r="AA153" i="56"/>
  <c r="AA53" i="56"/>
  <c r="AA198" i="56"/>
  <c r="H10" i="68"/>
  <c r="H1" i="68"/>
  <c r="H7" i="68"/>
  <c r="H3" i="68"/>
  <c r="H8" i="68"/>
  <c r="H4" i="68"/>
  <c r="H9" i="68"/>
  <c r="H2" i="68"/>
  <c r="AA138" i="56"/>
  <c r="AA19" i="56"/>
  <c r="AA215" i="56"/>
  <c r="AA124" i="56"/>
  <c r="AA72" i="56"/>
  <c r="AA96" i="56"/>
  <c r="AA244" i="56"/>
  <c r="AA99" i="56"/>
  <c r="AA192" i="56"/>
  <c r="AA175" i="56"/>
  <c r="AA170" i="56"/>
  <c r="AA290" i="56"/>
  <c r="AA110" i="56"/>
  <c r="AA160" i="56"/>
  <c r="AB17" i="51"/>
  <c r="D93" i="66"/>
  <c r="AA248" i="56"/>
  <c r="AA118" i="56"/>
  <c r="AA29" i="56"/>
  <c r="AA82" i="56"/>
  <c r="AA187" i="56"/>
  <c r="AA239" i="56"/>
  <c r="AA301" i="56"/>
  <c r="AA66" i="56"/>
  <c r="AA254" i="56"/>
  <c r="AA141" i="56"/>
  <c r="AA126" i="56"/>
  <c r="AA122" i="56"/>
  <c r="AA102" i="56"/>
  <c r="AA123" i="56"/>
  <c r="AA213" i="56"/>
  <c r="AA292" i="56"/>
  <c r="AA233" i="56"/>
  <c r="AA178" i="56"/>
  <c r="AA202" i="56"/>
  <c r="AA121" i="56"/>
  <c r="AA142" i="56"/>
  <c r="AA165" i="56"/>
  <c r="AA269" i="56"/>
  <c r="AA80" i="56"/>
  <c r="AA260" i="56"/>
  <c r="AA200" i="56"/>
  <c r="AA87" i="56"/>
  <c r="AA204" i="56"/>
  <c r="AA287" i="56"/>
  <c r="AA246" i="56"/>
  <c r="AA186" i="56"/>
  <c r="AA234" i="56"/>
  <c r="AA177" i="56"/>
  <c r="H20" i="68"/>
  <c r="AA13" i="57"/>
  <c r="AA173" i="56"/>
  <c r="AA206" i="56"/>
  <c r="AA169" i="56"/>
  <c r="AA71" i="56"/>
  <c r="AA144" i="56"/>
  <c r="AA166" i="56"/>
  <c r="AA155" i="56"/>
  <c r="AA73" i="56"/>
  <c r="AA28" i="56"/>
  <c r="AA115" i="56"/>
  <c r="AA174" i="56"/>
  <c r="O8" i="66"/>
  <c r="AK8" i="66" s="1"/>
  <c r="AA8" i="66"/>
  <c r="AA284" i="56"/>
  <c r="AA35" i="56"/>
  <c r="AB137" i="54"/>
  <c r="AV137" i="54" s="1"/>
  <c r="AA146" i="56"/>
  <c r="AA218" i="56"/>
  <c r="AA307" i="56"/>
  <c r="AA197" i="56"/>
  <c r="AA182" i="56"/>
  <c r="AA286" i="56"/>
  <c r="AA184" i="56"/>
  <c r="AA272" i="56"/>
  <c r="AA140" i="56"/>
  <c r="AA251" i="56"/>
  <c r="AA282" i="56"/>
  <c r="AA128" i="56"/>
  <c r="AA54" i="56"/>
  <c r="AA88" i="56"/>
  <c r="AA261" i="56"/>
  <c r="AA229" i="56"/>
  <c r="AA285" i="56"/>
  <c r="AA61" i="56"/>
  <c r="AA263" i="56"/>
  <c r="AA257" i="56"/>
  <c r="D94" i="66"/>
  <c r="H13" i="51"/>
  <c r="AB15" i="51"/>
  <c r="AA224" i="56"/>
  <c r="AA150" i="56"/>
  <c r="AA298" i="56"/>
  <c r="AA172" i="56"/>
  <c r="AA259" i="56"/>
  <c r="AA23" i="56"/>
  <c r="AA97" i="56"/>
  <c r="AA32" i="56"/>
  <c r="AA222" i="56"/>
  <c r="AA135" i="56"/>
  <c r="AA281" i="56"/>
  <c r="AA77" i="56"/>
  <c r="AA42" i="56"/>
  <c r="AA79" i="56"/>
  <c r="AA154" i="56"/>
  <c r="AA65" i="56"/>
  <c r="AA58" i="56"/>
  <c r="AA232" i="56"/>
  <c r="AA47" i="56"/>
  <c r="AC174" i="51"/>
  <c r="AC29" i="51"/>
  <c r="AA92" i="56"/>
  <c r="AA294" i="56"/>
  <c r="AA181" i="56"/>
  <c r="AA120" i="56"/>
  <c r="D145" i="66"/>
  <c r="O145" i="66" s="1"/>
  <c r="AA129" i="56"/>
  <c r="AA136" i="56"/>
  <c r="AA268" i="56"/>
  <c r="D90" i="66"/>
  <c r="AB24" i="51"/>
  <c r="AA167" i="56"/>
  <c r="AA302" i="56"/>
  <c r="AA299" i="56"/>
  <c r="AA49" i="56"/>
  <c r="AA253" i="56"/>
  <c r="O9" i="66"/>
  <c r="AK9" i="66" s="1"/>
  <c r="AA9" i="66"/>
  <c r="AA101" i="56"/>
  <c r="AA164" i="56"/>
  <c r="AA271" i="56"/>
  <c r="AA291" i="56"/>
  <c r="AA168" i="56"/>
  <c r="AA183" i="56"/>
  <c r="AA231" i="56"/>
  <c r="AA220" i="56"/>
  <c r="AA227" i="56"/>
  <c r="AA117" i="56"/>
  <c r="AA212" i="56"/>
  <c r="AA31" i="56"/>
  <c r="AA278" i="56"/>
  <c r="AA81" i="56"/>
  <c r="AA137" i="56"/>
  <c r="AU73" i="66"/>
  <c r="AA73" i="66"/>
  <c r="O73" i="66"/>
  <c r="AK73" i="66" s="1"/>
  <c r="AA36" i="56"/>
  <c r="AA205" i="56"/>
  <c r="AA26" i="56"/>
  <c r="AA151" i="56"/>
  <c r="AA243" i="56"/>
  <c r="AA76" i="56"/>
  <c r="AA277" i="56"/>
  <c r="AA185" i="56"/>
  <c r="AA83" i="56"/>
  <c r="AA127" i="56"/>
  <c r="AA148" i="56"/>
  <c r="AA156" i="56"/>
  <c r="AA90" i="56"/>
  <c r="AA255" i="56"/>
  <c r="AA152" i="56"/>
  <c r="AA59" i="56"/>
  <c r="AA20" i="56"/>
  <c r="AA105" i="56"/>
  <c r="AA100" i="56"/>
  <c r="AA191" i="56"/>
  <c r="AA273" i="56"/>
  <c r="AA256" i="56"/>
  <c r="AA304" i="56"/>
  <c r="AA210" i="56"/>
  <c r="AA247" i="56"/>
  <c r="AA208" i="56"/>
  <c r="AA214" i="56"/>
  <c r="AA219" i="56"/>
  <c r="AA39" i="56"/>
  <c r="AA106" i="56"/>
  <c r="AA163" i="56"/>
  <c r="AA280" i="56"/>
  <c r="AA242" i="56"/>
  <c r="AA94" i="56"/>
  <c r="AA98" i="56"/>
  <c r="AA226" i="56"/>
  <c r="AA60" i="56"/>
  <c r="AA44" i="56"/>
  <c r="AA283" i="56"/>
  <c r="AA289" i="56"/>
  <c r="AA245" i="56"/>
  <c r="AA125" i="56"/>
  <c r="AA18" i="56"/>
  <c r="AA270" i="56"/>
  <c r="AA43" i="56"/>
  <c r="AA300" i="56"/>
  <c r="AA38" i="56"/>
  <c r="AA306" i="56"/>
  <c r="AB33" i="51"/>
  <c r="D92" i="66"/>
  <c r="AA86" i="56"/>
  <c r="AA230" i="56"/>
  <c r="AA104" i="56"/>
  <c r="AA132" i="56"/>
  <c r="AA109" i="56"/>
  <c r="AA134" i="56"/>
  <c r="AA258" i="56"/>
  <c r="AA68" i="56"/>
  <c r="AA199" i="56"/>
  <c r="AA52" i="56"/>
  <c r="AA33" i="56"/>
  <c r="AA201" i="56"/>
  <c r="AA305" i="56"/>
  <c r="D95" i="66"/>
  <c r="AB16" i="51"/>
  <c r="AA237" i="56"/>
  <c r="AA130" i="56"/>
  <c r="AA250" i="56"/>
  <c r="AA143" i="56"/>
  <c r="AA288" i="56"/>
  <c r="AA119" i="56"/>
  <c r="AB48" i="51"/>
  <c r="D91" i="66"/>
  <c r="AA103" i="56"/>
  <c r="AA252" i="56"/>
  <c r="AA112" i="56"/>
  <c r="AA221" i="56"/>
  <c r="AA64" i="56"/>
  <c r="AA266" i="56"/>
  <c r="AA89" i="56"/>
  <c r="AA176" i="56"/>
  <c r="AA91" i="56"/>
  <c r="D12" i="66"/>
  <c r="AA262" i="56"/>
  <c r="AA161" i="56"/>
  <c r="AA279" i="56"/>
  <c r="AA78" i="56"/>
  <c r="AA180" i="56"/>
  <c r="AA63" i="56"/>
  <c r="AA236" i="56"/>
  <c r="AA24" i="56"/>
  <c r="AB22" i="51"/>
  <c r="D96" i="66"/>
  <c r="AA276" i="56"/>
  <c r="AA194" i="56"/>
  <c r="O7" i="66"/>
  <c r="AK7" i="66" s="1"/>
  <c r="AA7" i="66"/>
  <c r="AA46" i="56"/>
  <c r="AA37" i="56"/>
  <c r="AA159" i="56"/>
  <c r="AA116" i="56"/>
  <c r="AA225" i="56"/>
  <c r="AA158" i="56"/>
  <c r="AA240" i="56"/>
  <c r="AA162" i="56"/>
  <c r="AA188" i="56"/>
  <c r="AA275" i="56"/>
  <c r="AA74" i="56"/>
  <c r="AA147" i="56"/>
  <c r="AA157" i="56"/>
  <c r="AA133" i="56"/>
  <c r="AA296" i="56"/>
  <c r="AA75" i="56"/>
  <c r="AA108" i="56"/>
  <c r="O10" i="66"/>
  <c r="AK10" i="66" s="1"/>
  <c r="AA10" i="66"/>
  <c r="AA216" i="56"/>
  <c r="AA113" i="56"/>
  <c r="AA179" i="56"/>
  <c r="AA114" i="56"/>
  <c r="AA45" i="56"/>
  <c r="AA16" i="56"/>
  <c r="AA50" i="56"/>
  <c r="AA196" i="56"/>
  <c r="O6" i="66"/>
  <c r="AK6" i="66" s="1"/>
  <c r="AA6" i="66"/>
  <c r="AA267" i="56"/>
  <c r="AA241" i="56"/>
  <c r="AA85" i="56"/>
  <c r="AA25" i="56"/>
  <c r="AA293" i="56"/>
  <c r="AA171" i="56"/>
  <c r="AA249" i="56"/>
  <c r="AA34" i="56"/>
  <c r="AA223" i="56"/>
  <c r="AA139" i="56"/>
  <c r="AA149" i="56"/>
  <c r="AA111" i="56"/>
  <c r="AA195" i="56"/>
  <c r="AA238" i="56"/>
  <c r="AA22" i="56"/>
  <c r="AA228" i="56"/>
  <c r="AA265" i="56"/>
  <c r="AA48" i="56"/>
  <c r="AA209" i="56"/>
  <c r="AA131" i="56"/>
  <c r="O11" i="66"/>
  <c r="AK11" i="66" s="1"/>
  <c r="AA11" i="66"/>
  <c r="AA17" i="56"/>
  <c r="AA235" i="56"/>
  <c r="AA41" i="56"/>
  <c r="AA70" i="56"/>
  <c r="AA15" i="56"/>
  <c r="H13" i="56"/>
  <c r="AA13" i="56" s="1"/>
  <c r="H7" i="56"/>
  <c r="AA27" i="56"/>
  <c r="AA67" i="56"/>
  <c r="AA295" i="56"/>
  <c r="AA56" i="56"/>
  <c r="AA62" i="56"/>
  <c r="AA40" i="56"/>
  <c r="AA84" i="56"/>
  <c r="AA217" i="56"/>
  <c r="AA51" i="56"/>
  <c r="AA264" i="56"/>
  <c r="AA21" i="56"/>
  <c r="I82" i="65"/>
  <c r="AB82" i="56" s="1"/>
  <c r="AB189" i="54"/>
  <c r="AV189" i="54" s="1"/>
  <c r="AB184" i="56"/>
  <c r="I137" i="65"/>
  <c r="AB137" i="65" s="1"/>
  <c r="AB82" i="54"/>
  <c r="AV82" i="54" s="1"/>
  <c r="I137" i="57"/>
  <c r="AB137" i="57" s="1"/>
  <c r="AB29" i="56"/>
  <c r="I82" i="57"/>
  <c r="I89" i="68" s="1"/>
  <c r="AB305" i="57"/>
  <c r="I189" i="57"/>
  <c r="AC189" i="51" s="1"/>
  <c r="I189" i="65"/>
  <c r="AB189" i="65" s="1"/>
  <c r="AC136" i="51"/>
  <c r="AC76" i="51"/>
  <c r="AB76" i="57"/>
  <c r="AC301" i="51"/>
  <c r="I308" i="68"/>
  <c r="AB242" i="57"/>
  <c r="AB301" i="56"/>
  <c r="I249" i="68"/>
  <c r="I157" i="65"/>
  <c r="AB157" i="65" s="1"/>
  <c r="AB136" i="56"/>
  <c r="AB289" i="54"/>
  <c r="AV289" i="54" s="1"/>
  <c r="AB27" i="57"/>
  <c r="AB246" i="65"/>
  <c r="I289" i="65"/>
  <c r="AB289" i="56" s="1"/>
  <c r="I34" i="68"/>
  <c r="AB29" i="57"/>
  <c r="AB298" i="56"/>
  <c r="I36" i="68"/>
  <c r="I153" i="57"/>
  <c r="AB153" i="57" s="1"/>
  <c r="AC229" i="51"/>
  <c r="I236" i="68"/>
  <c r="I289" i="57"/>
  <c r="I296" i="68" s="1"/>
  <c r="I248" i="57"/>
  <c r="AB248" i="57" s="1"/>
  <c r="AC194" i="51"/>
  <c r="AB194" i="57"/>
  <c r="AB224" i="56"/>
  <c r="I100" i="57"/>
  <c r="AC100" i="51" s="1"/>
  <c r="I127" i="57"/>
  <c r="AB127" i="57" s="1"/>
  <c r="AB248" i="54"/>
  <c r="AV248" i="54" s="1"/>
  <c r="I62" i="57"/>
  <c r="I69" i="68" s="1"/>
  <c r="AB62" i="54"/>
  <c r="AV62" i="54" s="1"/>
  <c r="I62" i="65"/>
  <c r="AB62" i="65" s="1"/>
  <c r="I248" i="65"/>
  <c r="AB248" i="56" s="1"/>
  <c r="AB27" i="56"/>
  <c r="I153" i="65"/>
  <c r="AB153" i="56" s="1"/>
  <c r="I127" i="65"/>
  <c r="AB127" i="65" s="1"/>
  <c r="AB175" i="56"/>
  <c r="AB153" i="54"/>
  <c r="AV153" i="54" s="1"/>
  <c r="AB127" i="54"/>
  <c r="AV127" i="54" s="1"/>
  <c r="AB46" i="57"/>
  <c r="I253" i="68"/>
  <c r="AB70" i="56"/>
  <c r="AB52" i="56"/>
  <c r="AB64" i="56"/>
  <c r="AC246" i="51"/>
  <c r="AC46" i="51"/>
  <c r="AC224" i="51"/>
  <c r="AB224" i="57"/>
  <c r="AB229" i="56"/>
  <c r="AC249" i="51"/>
  <c r="I256" i="68"/>
  <c r="AB148" i="57"/>
  <c r="AB175" i="57"/>
  <c r="AB214" i="56"/>
  <c r="AC214" i="51"/>
  <c r="AB214" i="57"/>
  <c r="AC148" i="51"/>
  <c r="I71" i="68"/>
  <c r="AB59" i="57"/>
  <c r="AC59" i="51"/>
  <c r="AB64" i="57"/>
  <c r="AB46" i="65"/>
  <c r="I181" i="68"/>
  <c r="AB55" i="56"/>
  <c r="AC70" i="51"/>
  <c r="I77" i="68"/>
  <c r="AB107" i="56"/>
  <c r="I286" i="65"/>
  <c r="AB286" i="65" s="1"/>
  <c r="I286" i="57"/>
  <c r="I293" i="68" s="1"/>
  <c r="AB233" i="56"/>
  <c r="I222" i="57"/>
  <c r="I229" i="68" s="1"/>
  <c r="AB286" i="54"/>
  <c r="AV286" i="54" s="1"/>
  <c r="AB228" i="65"/>
  <c r="AB275" i="56"/>
  <c r="AB83" i="54"/>
  <c r="AV83" i="54" s="1"/>
  <c r="AB194" i="65"/>
  <c r="AB98" i="56"/>
  <c r="I83" i="57"/>
  <c r="AB83" i="57" s="1"/>
  <c r="AC247" i="51"/>
  <c r="I83" i="65"/>
  <c r="AB83" i="65" s="1"/>
  <c r="AB107" i="57"/>
  <c r="I305" i="68"/>
  <c r="AC275" i="51"/>
  <c r="AB222" i="54"/>
  <c r="AV222" i="54" s="1"/>
  <c r="AB298" i="57"/>
  <c r="AC52" i="51"/>
  <c r="AB275" i="57"/>
  <c r="AB52" i="57"/>
  <c r="I288" i="68"/>
  <c r="AB249" i="56"/>
  <c r="I100" i="65"/>
  <c r="AB100" i="65" s="1"/>
  <c r="AB68" i="56"/>
  <c r="AC151" i="51"/>
  <c r="I158" i="68"/>
  <c r="AB100" i="54"/>
  <c r="AV100" i="54" s="1"/>
  <c r="AB174" i="57"/>
  <c r="I222" i="65"/>
  <c r="AB222" i="65" s="1"/>
  <c r="I44" i="65"/>
  <c r="AB59" i="56"/>
  <c r="AB155" i="56"/>
  <c r="I44" i="57"/>
  <c r="AB44" i="54"/>
  <c r="AV44" i="54" s="1"/>
  <c r="AB281" i="65"/>
  <c r="AB282" i="57"/>
  <c r="I181" i="57"/>
  <c r="AB181" i="57" s="1"/>
  <c r="I181" i="65"/>
  <c r="AB181" i="65" s="1"/>
  <c r="I289" i="68"/>
  <c r="AB181" i="54"/>
  <c r="AV181" i="54" s="1"/>
  <c r="AB281" i="57"/>
  <c r="I235" i="68"/>
  <c r="AB282" i="65"/>
  <c r="AB148" i="65"/>
  <c r="I191" i="65"/>
  <c r="AB191" i="54"/>
  <c r="AV191" i="54" s="1"/>
  <c r="I191" i="57"/>
  <c r="AC55" i="51"/>
  <c r="AC228" i="51"/>
  <c r="I62" i="68"/>
  <c r="I75" i="68"/>
  <c r="AB155" i="57"/>
  <c r="I162" i="68"/>
  <c r="I78" i="65"/>
  <c r="I78" i="57"/>
  <c r="AB78" i="54"/>
  <c r="AV78" i="54" s="1"/>
  <c r="AC68" i="51"/>
  <c r="AB151" i="56"/>
  <c r="AB120" i="56"/>
  <c r="AB174" i="56"/>
  <c r="I63" i="57"/>
  <c r="I83" i="68" s="1"/>
  <c r="AB63" i="54"/>
  <c r="AV63" i="54" s="1"/>
  <c r="I63" i="65"/>
  <c r="AC120" i="51"/>
  <c r="AB269" i="54"/>
  <c r="AV269" i="54" s="1"/>
  <c r="I269" i="57"/>
  <c r="I312" i="68" s="1"/>
  <c r="I269" i="65"/>
  <c r="AB120" i="57"/>
  <c r="I232" i="57"/>
  <c r="I243" i="68" s="1"/>
  <c r="AB232" i="54"/>
  <c r="AV232" i="54" s="1"/>
  <c r="I232" i="65"/>
  <c r="I163" i="57"/>
  <c r="I163" i="68" s="1"/>
  <c r="I163" i="65"/>
  <c r="AB163" i="54"/>
  <c r="AV163" i="54" s="1"/>
  <c r="I31" i="65"/>
  <c r="AB31" i="54"/>
  <c r="AV31" i="54" s="1"/>
  <c r="I31" i="57"/>
  <c r="I277" i="68" s="1"/>
  <c r="I267" i="57"/>
  <c r="I178" i="68" s="1"/>
  <c r="AB267" i="54"/>
  <c r="AV267" i="54" s="1"/>
  <c r="I267" i="65"/>
  <c r="I221" i="57"/>
  <c r="I221" i="65"/>
  <c r="AB221" i="54"/>
  <c r="AV221" i="54" s="1"/>
  <c r="I25" i="65"/>
  <c r="AB25" i="54"/>
  <c r="AV25" i="54" s="1"/>
  <c r="I25" i="57"/>
  <c r="AB128" i="54"/>
  <c r="AV128" i="54" s="1"/>
  <c r="I128" i="65"/>
  <c r="I128" i="57"/>
  <c r="I119" i="68" s="1"/>
  <c r="I177" i="57"/>
  <c r="I221" i="68" s="1"/>
  <c r="AB177" i="54"/>
  <c r="AV177" i="54" s="1"/>
  <c r="I177" i="65"/>
  <c r="I149" i="65"/>
  <c r="I149" i="57"/>
  <c r="AB149" i="54"/>
  <c r="AV149" i="54" s="1"/>
  <c r="I188" i="65"/>
  <c r="AB188" i="54"/>
  <c r="AV188" i="54" s="1"/>
  <c r="I188" i="57"/>
  <c r="I223" i="68" s="1"/>
  <c r="AB73" i="54"/>
  <c r="AV73" i="54" s="1"/>
  <c r="I73" i="65"/>
  <c r="I73" i="57"/>
  <c r="I84" i="68" s="1"/>
  <c r="AB247" i="56"/>
  <c r="AB219" i="54"/>
  <c r="AV219" i="54" s="1"/>
  <c r="I219" i="57"/>
  <c r="AB219" i="57" s="1"/>
  <c r="I219" i="65"/>
  <c r="AB219" i="65" s="1"/>
  <c r="AB299" i="65"/>
  <c r="AB299" i="56"/>
  <c r="AB300" i="65"/>
  <c r="AB300" i="56"/>
  <c r="AB34" i="65"/>
  <c r="AB34" i="56"/>
  <c r="AB140" i="56"/>
  <c r="AB121" i="65"/>
  <c r="AB121" i="56"/>
  <c r="AB40" i="65"/>
  <c r="AB40" i="56"/>
  <c r="AB143" i="65"/>
  <c r="AB143" i="56"/>
  <c r="AB199" i="65"/>
  <c r="AB207" i="65"/>
  <c r="AB207" i="56"/>
  <c r="AB56" i="65"/>
  <c r="AB56" i="56"/>
  <c r="AB88" i="65"/>
  <c r="AB88" i="56"/>
  <c r="AB45" i="65"/>
  <c r="AB45" i="56"/>
  <c r="AB183" i="65"/>
  <c r="AB183" i="56"/>
  <c r="AB279" i="65"/>
  <c r="AB279" i="56"/>
  <c r="AB150" i="65"/>
  <c r="AB150" i="56"/>
  <c r="AB270" i="65"/>
  <c r="AB74" i="65"/>
  <c r="AB74" i="56"/>
  <c r="AB103" i="65"/>
  <c r="AB103" i="56"/>
  <c r="AB109" i="65"/>
  <c r="AB293" i="65"/>
  <c r="AB293" i="56"/>
  <c r="AB144" i="56"/>
  <c r="AB165" i="65"/>
  <c r="AB165" i="56"/>
  <c r="AB131" i="65"/>
  <c r="AB131" i="56"/>
  <c r="AB202" i="65"/>
  <c r="AB202" i="56"/>
  <c r="AB132" i="65"/>
  <c r="AB132" i="56"/>
  <c r="AB93" i="65"/>
  <c r="AB93" i="56"/>
  <c r="AB60" i="65"/>
  <c r="AB60" i="56"/>
  <c r="AB265" i="65"/>
  <c r="AB265" i="56"/>
  <c r="AB53" i="56"/>
  <c r="AB43" i="65"/>
  <c r="AB43" i="56"/>
  <c r="AB276" i="56"/>
  <c r="AB21" i="65"/>
  <c r="AB287" i="65"/>
  <c r="AB287" i="56"/>
  <c r="AB87" i="65"/>
  <c r="AB87" i="56"/>
  <c r="AB35" i="65"/>
  <c r="AB35" i="56"/>
  <c r="AB283" i="65"/>
  <c r="AB283" i="56"/>
  <c r="AB234" i="65"/>
  <c r="AB234" i="56"/>
  <c r="AB124" i="65"/>
  <c r="AB124" i="56"/>
  <c r="AB218" i="65"/>
  <c r="AB218" i="56"/>
  <c r="AB135" i="65"/>
  <c r="AB135" i="56"/>
  <c r="AB250" i="65"/>
  <c r="AB250" i="56"/>
  <c r="AB179" i="65"/>
  <c r="AB179" i="56"/>
  <c r="AB84" i="65"/>
  <c r="AB84" i="56"/>
  <c r="AB142" i="65"/>
  <c r="AB142" i="56"/>
  <c r="AB201" i="65"/>
  <c r="AB201" i="56"/>
  <c r="AB96" i="65"/>
  <c r="AB96" i="56"/>
  <c r="AB173" i="65"/>
  <c r="AB173" i="56"/>
  <c r="AB65" i="65"/>
  <c r="AB65" i="56"/>
  <c r="AB297" i="65"/>
  <c r="AB187" i="65"/>
  <c r="AB187" i="56"/>
  <c r="AB182" i="65"/>
  <c r="AB182" i="56"/>
  <c r="AB97" i="65"/>
  <c r="AB97" i="56"/>
  <c r="AB264" i="65"/>
  <c r="AB32" i="65"/>
  <c r="AB32" i="56"/>
  <c r="AB81" i="65"/>
  <c r="AB81" i="56"/>
  <c r="AB30" i="65"/>
  <c r="AB30" i="56"/>
  <c r="AB152" i="56"/>
  <c r="AB223" i="65"/>
  <c r="AB223" i="56"/>
  <c r="AB89" i="65"/>
  <c r="AB89" i="56"/>
  <c r="AB102" i="65"/>
  <c r="AB303" i="65"/>
  <c r="AB303" i="56"/>
  <c r="AB115" i="65"/>
  <c r="AB115" i="56"/>
  <c r="AB33" i="65"/>
  <c r="AB33" i="56"/>
  <c r="AB253" i="65"/>
  <c r="AB258" i="65"/>
  <c r="AB258" i="56"/>
  <c r="AB160" i="56"/>
  <c r="AB213" i="65"/>
  <c r="AB213" i="56"/>
  <c r="AB57" i="65"/>
  <c r="AB57" i="56"/>
  <c r="AB259" i="65"/>
  <c r="AB259" i="56"/>
  <c r="AB227" i="65"/>
  <c r="AB227" i="56"/>
  <c r="AB216" i="65"/>
  <c r="AB216" i="56"/>
  <c r="AB254" i="65"/>
  <c r="AB254" i="56"/>
  <c r="AB38" i="65"/>
  <c r="AB215" i="65"/>
  <c r="AB215" i="56"/>
  <c r="AB257" i="65"/>
  <c r="AB257" i="56"/>
  <c r="AB198" i="65"/>
  <c r="AB156" i="65"/>
  <c r="AB156" i="56"/>
  <c r="AB302" i="65"/>
  <c r="AB302" i="56"/>
  <c r="AB139" i="65"/>
  <c r="AB139" i="56"/>
  <c r="AB90" i="65"/>
  <c r="AB277" i="65"/>
  <c r="AB277" i="56"/>
  <c r="AB146" i="65"/>
  <c r="AB146" i="56"/>
  <c r="AB158" i="65"/>
  <c r="AB158" i="56"/>
  <c r="AB86" i="56"/>
  <c r="AB243" i="65"/>
  <c r="AB243" i="56"/>
  <c r="AB239" i="65"/>
  <c r="AB239" i="56"/>
  <c r="AB167" i="65"/>
  <c r="AB167" i="56"/>
  <c r="AB129" i="65"/>
  <c r="AB58" i="65"/>
  <c r="AB58" i="56"/>
  <c r="AB138" i="65"/>
  <c r="AB138" i="56"/>
  <c r="AB292" i="65"/>
  <c r="AB292" i="56"/>
  <c r="AB19" i="65"/>
  <c r="AB162" i="65"/>
  <c r="AB162" i="56"/>
  <c r="AB92" i="65"/>
  <c r="AB92" i="56"/>
  <c r="AB290" i="65"/>
  <c r="AB290" i="56"/>
  <c r="AB95" i="65"/>
  <c r="AB94" i="65"/>
  <c r="AB94" i="56"/>
  <c r="AB291" i="65"/>
  <c r="AB291" i="56"/>
  <c r="AB159" i="65"/>
  <c r="AB159" i="56"/>
  <c r="AB133" i="65"/>
  <c r="AB133" i="56"/>
  <c r="AB169" i="65"/>
  <c r="AB169" i="56"/>
  <c r="AB48" i="65"/>
  <c r="AB48" i="56"/>
  <c r="AB24" i="65"/>
  <c r="AB24" i="56"/>
  <c r="AB203" i="65"/>
  <c r="AB225" i="56"/>
  <c r="AB51" i="65"/>
  <c r="AB51" i="56"/>
  <c r="AB236" i="65"/>
  <c r="AB236" i="56"/>
  <c r="AB211" i="56"/>
  <c r="AB37" i="65"/>
  <c r="AB37" i="56"/>
  <c r="AB226" i="65"/>
  <c r="AB226" i="56"/>
  <c r="AB195" i="65"/>
  <c r="AB195" i="56"/>
  <c r="AB50" i="65"/>
  <c r="AB50" i="56"/>
  <c r="AB104" i="56"/>
  <c r="AB154" i="65"/>
  <c r="AB154" i="56"/>
  <c r="AB304" i="65"/>
  <c r="AB304" i="56"/>
  <c r="AB168" i="65"/>
  <c r="AB168" i="56"/>
  <c r="AB141" i="65"/>
  <c r="AB141" i="56"/>
  <c r="AB134" i="65"/>
  <c r="AB134" i="56"/>
  <c r="AB271" i="65"/>
  <c r="AB271" i="56"/>
  <c r="AB80" i="65"/>
  <c r="AB80" i="56"/>
  <c r="AB105" i="65"/>
  <c r="AB105" i="56"/>
  <c r="AB113" i="65"/>
  <c r="AB113" i="56"/>
  <c r="AB172" i="65"/>
  <c r="AB172" i="56"/>
  <c r="AB238" i="65"/>
  <c r="AB238" i="56"/>
  <c r="AB145" i="56"/>
  <c r="AB20" i="65"/>
  <c r="AB20" i="56"/>
  <c r="AB217" i="56"/>
  <c r="AB67" i="56"/>
  <c r="AB272" i="65"/>
  <c r="AB272" i="56"/>
  <c r="AB122" i="65"/>
  <c r="AB122" i="56"/>
  <c r="AB91" i="65"/>
  <c r="AB91" i="56"/>
  <c r="AB176" i="65"/>
  <c r="AB176" i="56"/>
  <c r="AB220" i="65"/>
  <c r="AB220" i="56"/>
  <c r="AB237" i="65"/>
  <c r="AB237" i="56"/>
  <c r="AB244" i="65"/>
  <c r="AB244" i="56"/>
  <c r="AB117" i="65"/>
  <c r="AB117" i="56"/>
  <c r="AB119" i="65"/>
  <c r="AB119" i="56"/>
  <c r="AB110" i="65"/>
  <c r="AB110" i="56"/>
  <c r="AB196" i="65"/>
  <c r="AB196" i="56"/>
  <c r="AB185" i="56"/>
  <c r="AB190" i="65"/>
  <c r="AB190" i="56"/>
  <c r="AB85" i="65"/>
  <c r="AB85" i="56"/>
  <c r="AB54" i="56"/>
  <c r="AB288" i="65"/>
  <c r="AB288" i="56"/>
  <c r="AB180" i="65"/>
  <c r="AB180" i="56"/>
  <c r="AB28" i="65"/>
  <c r="AB28" i="56"/>
  <c r="AB75" i="65"/>
  <c r="AB75" i="56"/>
  <c r="AB61" i="65"/>
  <c r="AB61" i="56"/>
  <c r="AB22" i="65"/>
  <c r="AB22" i="56"/>
  <c r="AB17" i="65"/>
  <c r="AB17" i="56"/>
  <c r="AB268" i="65"/>
  <c r="AB268" i="56"/>
  <c r="AB23" i="65"/>
  <c r="AB23" i="56"/>
  <c r="AB101" i="65"/>
  <c r="AB101" i="56"/>
  <c r="AB210" i="65"/>
  <c r="AB210" i="56"/>
  <c r="AB47" i="65"/>
  <c r="AB47" i="56"/>
  <c r="AB280" i="65"/>
  <c r="AB280" i="56"/>
  <c r="AB147" i="65"/>
  <c r="AB147" i="56"/>
  <c r="AB205" i="56"/>
  <c r="AB170" i="65"/>
  <c r="AB170" i="56"/>
  <c r="AB208" i="65"/>
  <c r="AB208" i="56"/>
  <c r="AB178" i="65"/>
  <c r="AB178" i="56"/>
  <c r="AB36" i="65"/>
  <c r="AB36" i="56"/>
  <c r="AB66" i="65"/>
  <c r="AB66" i="56"/>
  <c r="AB164" i="65"/>
  <c r="AB164" i="56"/>
  <c r="AB200" i="65"/>
  <c r="AB200" i="56"/>
  <c r="AB261" i="65"/>
  <c r="AB261" i="56"/>
  <c r="AB116" i="65"/>
  <c r="AB116" i="56"/>
  <c r="AB26" i="65"/>
  <c r="AB26" i="56"/>
  <c r="AB123" i="65"/>
  <c r="AB123" i="56"/>
  <c r="AB108" i="65"/>
  <c r="AB108" i="56"/>
  <c r="AB206" i="65"/>
  <c r="AB206" i="56"/>
  <c r="AB71" i="65"/>
  <c r="AB71" i="56"/>
  <c r="AB245" i="65"/>
  <c r="AB245" i="56"/>
  <c r="AB240" i="54"/>
  <c r="AV240" i="54" s="1"/>
  <c r="I240" i="57"/>
  <c r="I247" i="68" s="1"/>
  <c r="I240" i="65"/>
  <c r="E37" i="66"/>
  <c r="AC55" i="66"/>
  <c r="AW55" i="66"/>
  <c r="P55" i="66"/>
  <c r="AB55" i="66"/>
  <c r="AV55" i="66"/>
  <c r="I251" i="53"/>
  <c r="I251" i="54" s="1"/>
  <c r="BG251" i="54" s="1"/>
  <c r="I241" i="53"/>
  <c r="AB241" i="53" s="1"/>
  <c r="AB230" i="53"/>
  <c r="I230" i="54"/>
  <c r="BG230" i="54" s="1"/>
  <c r="E139" i="66" s="1"/>
  <c r="I262" i="53"/>
  <c r="I252" i="53"/>
  <c r="I50" i="68"/>
  <c r="AB43" i="57"/>
  <c r="I108" i="68"/>
  <c r="AB101" i="57"/>
  <c r="I94" i="68"/>
  <c r="AB87" i="57"/>
  <c r="AB58" i="57"/>
  <c r="I65" i="68"/>
  <c r="I95" i="68"/>
  <c r="AB88" i="57"/>
  <c r="I207" i="68"/>
  <c r="AB200" i="57"/>
  <c r="I225" i="68"/>
  <c r="AB218" i="57"/>
  <c r="AB135" i="57"/>
  <c r="I142" i="68"/>
  <c r="AB108" i="57"/>
  <c r="I15" i="54"/>
  <c r="BG15" i="54" s="1"/>
  <c r="AB15" i="53"/>
  <c r="I251" i="68"/>
  <c r="AB244" i="57"/>
  <c r="I186" i="68"/>
  <c r="AB179" i="57"/>
  <c r="AB238" i="57"/>
  <c r="I245" i="68"/>
  <c r="I72" i="68"/>
  <c r="AB65" i="57"/>
  <c r="AB257" i="57"/>
  <c r="I264" i="68"/>
  <c r="AB156" i="57"/>
  <c r="I215" i="68"/>
  <c r="AB208" i="57"/>
  <c r="I63" i="68"/>
  <c r="AB56" i="57"/>
  <c r="I279" i="68"/>
  <c r="AB272" i="57"/>
  <c r="I309" i="68"/>
  <c r="AB302" i="57"/>
  <c r="I104" i="68"/>
  <c r="AB97" i="57"/>
  <c r="AB45" i="57"/>
  <c r="I52" i="68"/>
  <c r="AB234" i="57"/>
  <c r="I241" i="68"/>
  <c r="I99" i="68"/>
  <c r="AB92" i="57"/>
  <c r="I37" i="68"/>
  <c r="AB30" i="57"/>
  <c r="AB176" i="57"/>
  <c r="I183" i="68"/>
  <c r="AB270" i="57"/>
  <c r="I257" i="68"/>
  <c r="AB250" i="57"/>
  <c r="AB165" i="57"/>
  <c r="I172" i="68"/>
  <c r="I284" i="68"/>
  <c r="AB277" i="57"/>
  <c r="AB33" i="57"/>
  <c r="I40" i="68"/>
  <c r="I197" i="68"/>
  <c r="AB190" i="57"/>
  <c r="AB93" i="57"/>
  <c r="I100" i="68"/>
  <c r="I149" i="68"/>
  <c r="AB142" i="57"/>
  <c r="AB258" i="57"/>
  <c r="I265" i="68"/>
  <c r="I220" i="68"/>
  <c r="AB213" i="57"/>
  <c r="AB57" i="57"/>
  <c r="I64" i="68"/>
  <c r="I295" i="68"/>
  <c r="AB288" i="57"/>
  <c r="AB236" i="57"/>
  <c r="I47" i="68"/>
  <c r="AB40" i="57"/>
  <c r="AB21" i="57"/>
  <c r="I28" i="68"/>
  <c r="AB254" i="57"/>
  <c r="AB38" i="57"/>
  <c r="AB210" i="57"/>
  <c r="I217" i="68"/>
  <c r="AB199" i="57"/>
  <c r="I206" i="68"/>
  <c r="AB122" i="57"/>
  <c r="I129" i="68"/>
  <c r="I190" i="68"/>
  <c r="AB183" i="57"/>
  <c r="I57" i="68"/>
  <c r="AB50" i="57"/>
  <c r="I311" i="68"/>
  <c r="AB304" i="57"/>
  <c r="I97" i="68"/>
  <c r="AB90" i="57"/>
  <c r="AB123" i="57"/>
  <c r="I166" i="68"/>
  <c r="AB159" i="57"/>
  <c r="AB271" i="57"/>
  <c r="I278" i="68"/>
  <c r="I109" i="68"/>
  <c r="AB102" i="57"/>
  <c r="I153" i="68"/>
  <c r="AB146" i="57"/>
  <c r="I117" i="68"/>
  <c r="AB110" i="57"/>
  <c r="I91" i="68"/>
  <c r="AB84" i="57"/>
  <c r="I252" i="68"/>
  <c r="AB245" i="57"/>
  <c r="AB24" i="57"/>
  <c r="I31" i="68"/>
  <c r="I139" i="68"/>
  <c r="AB132" i="57"/>
  <c r="I210" i="68"/>
  <c r="AB203" i="57"/>
  <c r="I27" i="68"/>
  <c r="AB20" i="57"/>
  <c r="I58" i="68"/>
  <c r="AB51" i="57"/>
  <c r="I187" i="68"/>
  <c r="AB180" i="57"/>
  <c r="AB300" i="57"/>
  <c r="I307" i="68"/>
  <c r="I41" i="68"/>
  <c r="AB34" i="57"/>
  <c r="I272" i="68"/>
  <c r="AB265" i="57"/>
  <c r="I275" i="68"/>
  <c r="AB268" i="57"/>
  <c r="I234" i="68"/>
  <c r="AB227" i="57"/>
  <c r="AB216" i="57"/>
  <c r="AB47" i="57"/>
  <c r="I54" i="68"/>
  <c r="I222" i="68"/>
  <c r="AB215" i="57"/>
  <c r="I44" i="68"/>
  <c r="AB37" i="57"/>
  <c r="AB143" i="57"/>
  <c r="I150" i="68"/>
  <c r="I205" i="68"/>
  <c r="AB198" i="57"/>
  <c r="I233" i="68"/>
  <c r="AB226" i="57"/>
  <c r="I39" i="68"/>
  <c r="AB32" i="57"/>
  <c r="I98" i="68"/>
  <c r="AB91" i="57"/>
  <c r="I88" i="68"/>
  <c r="AB81" i="57"/>
  <c r="I101" i="68"/>
  <c r="AB94" i="57"/>
  <c r="I141" i="68"/>
  <c r="AB134" i="57"/>
  <c r="I124" i="68"/>
  <c r="AB117" i="57"/>
  <c r="I78" i="68"/>
  <c r="AB71" i="57"/>
  <c r="I112" i="68"/>
  <c r="AB105" i="57"/>
  <c r="I120" i="68"/>
  <c r="AB113" i="57"/>
  <c r="AB60" i="57"/>
  <c r="I68" i="68"/>
  <c r="AB61" i="57"/>
  <c r="I180" i="68"/>
  <c r="AB173" i="57"/>
  <c r="AB299" i="57"/>
  <c r="I306" i="68"/>
  <c r="I294" i="68"/>
  <c r="AB287" i="57"/>
  <c r="AB147" i="57"/>
  <c r="I154" i="68"/>
  <c r="I304" i="68"/>
  <c r="AB297" i="57"/>
  <c r="I246" i="68"/>
  <c r="AB239" i="57"/>
  <c r="I290" i="68"/>
  <c r="AB283" i="57"/>
  <c r="AB162" i="57"/>
  <c r="I169" i="68"/>
  <c r="AB154" i="57"/>
  <c r="I161" i="68"/>
  <c r="I227" i="68"/>
  <c r="AB220" i="57"/>
  <c r="I123" i="68"/>
  <c r="AB116" i="57"/>
  <c r="I175" i="68"/>
  <c r="AB168" i="57"/>
  <c r="I148" i="68"/>
  <c r="AB141" i="57"/>
  <c r="AB95" i="57"/>
  <c r="I102" i="68"/>
  <c r="I230" i="68"/>
  <c r="AB223" i="57"/>
  <c r="AB89" i="57"/>
  <c r="I96" i="68"/>
  <c r="I244" i="68"/>
  <c r="AB237" i="57"/>
  <c r="I138" i="68"/>
  <c r="AB131" i="57"/>
  <c r="AB253" i="57"/>
  <c r="I82" i="68"/>
  <c r="AB75" i="57"/>
  <c r="I174" i="68"/>
  <c r="AB167" i="57"/>
  <c r="I136" i="68"/>
  <c r="AB129" i="57"/>
  <c r="AB182" i="57"/>
  <c r="I189" i="68"/>
  <c r="I297" i="68"/>
  <c r="AB290" i="57"/>
  <c r="I81" i="68"/>
  <c r="AB74" i="57"/>
  <c r="AB103" i="57"/>
  <c r="I110" i="68"/>
  <c r="AB303" i="57"/>
  <c r="I122" i="68"/>
  <c r="AB115" i="57"/>
  <c r="I128" i="68"/>
  <c r="AB121" i="57"/>
  <c r="I103" i="68"/>
  <c r="AB96" i="57"/>
  <c r="AB201" i="57"/>
  <c r="I208" i="68"/>
  <c r="AB259" i="57"/>
  <c r="I30" i="68"/>
  <c r="AB23" i="57"/>
  <c r="I177" i="68"/>
  <c r="AB170" i="57"/>
  <c r="I194" i="68"/>
  <c r="AB187" i="57"/>
  <c r="AB35" i="57"/>
  <c r="I42" i="68"/>
  <c r="I214" i="68"/>
  <c r="AB207" i="57"/>
  <c r="I185" i="68"/>
  <c r="AB178" i="57"/>
  <c r="AB138" i="57"/>
  <c r="I43" i="68"/>
  <c r="AB36" i="57"/>
  <c r="I73" i="68"/>
  <c r="AB66" i="57"/>
  <c r="I26" i="68"/>
  <c r="AB19" i="57"/>
  <c r="I271" i="68"/>
  <c r="AB264" i="57"/>
  <c r="I171" i="68"/>
  <c r="AB164" i="57"/>
  <c r="I131" i="68"/>
  <c r="AB124" i="57"/>
  <c r="I268" i="68"/>
  <c r="AB261" i="57"/>
  <c r="I286" i="68"/>
  <c r="AB279" i="57"/>
  <c r="I157" i="68"/>
  <c r="AB150" i="57"/>
  <c r="I116" i="68"/>
  <c r="AB109" i="57"/>
  <c r="I298" i="68"/>
  <c r="AB291" i="57"/>
  <c r="I300" i="68"/>
  <c r="AB293" i="57"/>
  <c r="AB169" i="57"/>
  <c r="I176" i="68"/>
  <c r="I55" i="68"/>
  <c r="AB48" i="57"/>
  <c r="I213" i="68"/>
  <c r="AB206" i="57"/>
  <c r="I126" i="68"/>
  <c r="AB119" i="57"/>
  <c r="I92" i="68"/>
  <c r="AB85" i="57"/>
  <c r="I29" i="68"/>
  <c r="AB22" i="57"/>
  <c r="I24" i="68"/>
  <c r="AB17" i="57"/>
  <c r="AB280" i="57"/>
  <c r="I287" i="68"/>
  <c r="I35" i="68"/>
  <c r="AB28" i="57"/>
  <c r="I202" i="68"/>
  <c r="AB195" i="57"/>
  <c r="I299" i="68"/>
  <c r="AB292" i="57"/>
  <c r="I146" i="68"/>
  <c r="AB139" i="57"/>
  <c r="I33" i="68"/>
  <c r="AB26" i="57"/>
  <c r="AA13" i="42"/>
  <c r="J10" i="42"/>
  <c r="J11" i="42"/>
  <c r="I87" i="68"/>
  <c r="AB80" i="57"/>
  <c r="I140" i="68"/>
  <c r="AB133" i="57"/>
  <c r="I209" i="68"/>
  <c r="AB202" i="57"/>
  <c r="AB158" i="57"/>
  <c r="I165" i="68"/>
  <c r="I203" i="68"/>
  <c r="AB196" i="57"/>
  <c r="I179" i="68"/>
  <c r="AB172" i="57"/>
  <c r="I250" i="68"/>
  <c r="AB243" i="57"/>
  <c r="I145" i="68" l="1"/>
  <c r="I182" i="68"/>
  <c r="I224" i="68"/>
  <c r="I232" i="68"/>
  <c r="I263" i="68"/>
  <c r="I127" i="68"/>
  <c r="I66" i="68"/>
  <c r="I282" i="68"/>
  <c r="I168" i="68"/>
  <c r="I192" i="68"/>
  <c r="AB276" i="57"/>
  <c r="I167" i="68"/>
  <c r="I212" i="68"/>
  <c r="I143" i="68"/>
  <c r="I61" i="68"/>
  <c r="AB104" i="57"/>
  <c r="I218" i="68"/>
  <c r="AB217" i="57"/>
  <c r="AB67" i="57"/>
  <c r="AB98" i="57"/>
  <c r="AB72" i="57"/>
  <c r="AB114" i="57"/>
  <c r="I193" i="68"/>
  <c r="I152" i="68"/>
  <c r="AB86" i="57"/>
  <c r="AB53" i="57"/>
  <c r="I262" i="68"/>
  <c r="AB140" i="57"/>
  <c r="AB192" i="65"/>
  <c r="I159" i="68"/>
  <c r="I132" i="68"/>
  <c r="AB166" i="57"/>
  <c r="I137" i="68"/>
  <c r="I238" i="68"/>
  <c r="I199" i="68"/>
  <c r="E5" i="66"/>
  <c r="AB5" i="66" s="1"/>
  <c r="AB118" i="57"/>
  <c r="AB144" i="57"/>
  <c r="AB69" i="57"/>
  <c r="AB69" i="56"/>
  <c r="AB266" i="56"/>
  <c r="AB130" i="56"/>
  <c r="AB255" i="56"/>
  <c r="AC42" i="51"/>
  <c r="AB114" i="56"/>
  <c r="AB233" i="57"/>
  <c r="AC233" i="51"/>
  <c r="AB125" i="56"/>
  <c r="I273" i="68"/>
  <c r="AB118" i="56"/>
  <c r="AB166" i="56"/>
  <c r="AB225" i="57"/>
  <c r="AC266" i="51"/>
  <c r="AC225" i="51"/>
  <c r="I51" i="68"/>
  <c r="O24" i="66"/>
  <c r="AK24" i="66" s="1"/>
  <c r="AA24" i="66"/>
  <c r="AB44" i="65"/>
  <c r="AK17" i="66"/>
  <c r="E17" i="66"/>
  <c r="AB254" i="42"/>
  <c r="J210" i="53"/>
  <c r="AB83" i="42"/>
  <c r="AB237" i="42"/>
  <c r="AB202" i="42"/>
  <c r="AB209" i="57"/>
  <c r="I216" i="68"/>
  <c r="AB278" i="57"/>
  <c r="I285" i="68"/>
  <c r="I46" i="68"/>
  <c r="AB39" i="57"/>
  <c r="I301" i="68"/>
  <c r="AB294" i="57"/>
  <c r="AB42" i="57"/>
  <c r="I49" i="68"/>
  <c r="AB126" i="57"/>
  <c r="I133" i="68"/>
  <c r="I113" i="68"/>
  <c r="AB106" i="57"/>
  <c r="AB235" i="57"/>
  <c r="I242" i="68"/>
  <c r="I211" i="68"/>
  <c r="AB204" i="57"/>
  <c r="J110" i="53"/>
  <c r="AB157" i="57"/>
  <c r="AC157" i="51"/>
  <c r="I196" i="68"/>
  <c r="AB192" i="56"/>
  <c r="O154" i="66"/>
  <c r="O151" i="66"/>
  <c r="AB137" i="56"/>
  <c r="O155" i="66"/>
  <c r="AB189" i="56"/>
  <c r="O153" i="66"/>
  <c r="O152" i="66"/>
  <c r="O150" i="66"/>
  <c r="H11" i="68"/>
  <c r="AB189" i="57"/>
  <c r="AU96" i="66"/>
  <c r="AA96" i="66"/>
  <c r="O96" i="66"/>
  <c r="AK96" i="66" s="1"/>
  <c r="AA92" i="66"/>
  <c r="AU92" i="66"/>
  <c r="O92" i="66"/>
  <c r="AK92" i="66" s="1"/>
  <c r="D97" i="66"/>
  <c r="AA90" i="66"/>
  <c r="AU90" i="66"/>
  <c r="O90" i="66"/>
  <c r="AK90" i="66" s="1"/>
  <c r="O12" i="66"/>
  <c r="AK12" i="66" s="1"/>
  <c r="AA12" i="66"/>
  <c r="AC137" i="51"/>
  <c r="I144" i="68"/>
  <c r="AB13" i="51"/>
  <c r="H5" i="68"/>
  <c r="AK5" i="66"/>
  <c r="AA94" i="66"/>
  <c r="O94" i="66"/>
  <c r="AK94" i="66" s="1"/>
  <c r="AU94" i="66"/>
  <c r="O95" i="66"/>
  <c r="AK95" i="66" s="1"/>
  <c r="AU95" i="66"/>
  <c r="AA95" i="66"/>
  <c r="AA91" i="66"/>
  <c r="AU91" i="66"/>
  <c r="O91" i="66"/>
  <c r="AK91" i="66" s="1"/>
  <c r="AU93" i="66"/>
  <c r="AA93" i="66"/>
  <c r="O93" i="66"/>
  <c r="AK93" i="66" s="1"/>
  <c r="AB82" i="65"/>
  <c r="AB82" i="57"/>
  <c r="AC82" i="51"/>
  <c r="AB157" i="56"/>
  <c r="I255" i="68"/>
  <c r="I160" i="68"/>
  <c r="AC127" i="51"/>
  <c r="AB248" i="65"/>
  <c r="AB289" i="65"/>
  <c r="AC153" i="51"/>
  <c r="I134" i="68"/>
  <c r="AB127" i="56"/>
  <c r="AC248" i="51"/>
  <c r="AB62" i="57"/>
  <c r="AC62" i="51"/>
  <c r="AC289" i="51"/>
  <c r="AB289" i="57"/>
  <c r="AB62" i="56"/>
  <c r="AB153" i="65"/>
  <c r="AB100" i="57"/>
  <c r="I107" i="68"/>
  <c r="AC222" i="51"/>
  <c r="AB83" i="56"/>
  <c r="AB222" i="57"/>
  <c r="I188" i="68"/>
  <c r="AC181" i="51"/>
  <c r="AB286" i="56"/>
  <c r="AB44" i="57"/>
  <c r="AB286" i="57"/>
  <c r="AC286" i="51"/>
  <c r="I90" i="68"/>
  <c r="AC83" i="51"/>
  <c r="AB222" i="56"/>
  <c r="AC44" i="51"/>
  <c r="AB191" i="57"/>
  <c r="AC191" i="51"/>
  <c r="I198" i="68"/>
  <c r="AB191" i="65"/>
  <c r="AC63" i="51"/>
  <c r="AB63" i="57"/>
  <c r="AB78" i="65"/>
  <c r="AB63" i="65"/>
  <c r="AB78" i="57"/>
  <c r="AC78" i="51"/>
  <c r="I85" i="68"/>
  <c r="AB31" i="65"/>
  <c r="AB267" i="65"/>
  <c r="I274" i="68"/>
  <c r="AC267" i="51"/>
  <c r="AB267" i="57"/>
  <c r="AB232" i="65"/>
  <c r="AB163" i="65"/>
  <c r="AB269" i="65"/>
  <c r="I38" i="68"/>
  <c r="AB31" i="57"/>
  <c r="AC31" i="51"/>
  <c r="AB163" i="57"/>
  <c r="AC163" i="51"/>
  <c r="I170" i="68"/>
  <c r="I239" i="68"/>
  <c r="AB232" i="57"/>
  <c r="AC232" i="51"/>
  <c r="I276" i="68"/>
  <c r="AB269" i="57"/>
  <c r="AC269" i="51"/>
  <c r="I195" i="68"/>
  <c r="AB188" i="57"/>
  <c r="AC188" i="51"/>
  <c r="AB177" i="65"/>
  <c r="AB25" i="57"/>
  <c r="AC25" i="51"/>
  <c r="I32" i="68"/>
  <c r="AB188" i="65"/>
  <c r="AB177" i="57"/>
  <c r="AC177" i="51"/>
  <c r="AB25" i="65"/>
  <c r="AB73" i="57"/>
  <c r="I80" i="68"/>
  <c r="AC73" i="51"/>
  <c r="I135" i="68"/>
  <c r="AB128" i="57"/>
  <c r="AC128" i="51"/>
  <c r="AB73" i="65"/>
  <c r="I156" i="68"/>
  <c r="AB149" i="57"/>
  <c r="AC149" i="51"/>
  <c r="AB128" i="65"/>
  <c r="AB221" i="65"/>
  <c r="AB149" i="65"/>
  <c r="I228" i="68"/>
  <c r="AB221" i="57"/>
  <c r="AC221" i="51"/>
  <c r="AB219" i="56"/>
  <c r="I226" i="68"/>
  <c r="AB240" i="57"/>
  <c r="AB21" i="56"/>
  <c r="AB38" i="56"/>
  <c r="AB240" i="65"/>
  <c r="AB240" i="56"/>
  <c r="AB95" i="56"/>
  <c r="AB297" i="56"/>
  <c r="AB270" i="56"/>
  <c r="AB264" i="56"/>
  <c r="AB203" i="56"/>
  <c r="AB129" i="56"/>
  <c r="AB253" i="56"/>
  <c r="AB19" i="56"/>
  <c r="AB102" i="56"/>
  <c r="AB199" i="56"/>
  <c r="AB198" i="56"/>
  <c r="AB109" i="56"/>
  <c r="AB90" i="56"/>
  <c r="AV37" i="66"/>
  <c r="AB37" i="66"/>
  <c r="P37" i="66"/>
  <c r="AL37" i="66" s="1"/>
  <c r="AM55" i="66"/>
  <c r="AL55" i="66"/>
  <c r="AB251" i="53"/>
  <c r="I241" i="54"/>
  <c r="P139" i="66"/>
  <c r="I230" i="57"/>
  <c r="AB230" i="54"/>
  <c r="AV230" i="54" s="1"/>
  <c r="I230" i="65"/>
  <c r="E18" i="66" s="1"/>
  <c r="AB252" i="53"/>
  <c r="I252" i="54"/>
  <c r="BG252" i="54" s="1"/>
  <c r="I263" i="53"/>
  <c r="AB262" i="53"/>
  <c r="I262" i="54"/>
  <c r="BG262" i="54" s="1"/>
  <c r="I273" i="53"/>
  <c r="I251" i="57"/>
  <c r="I173" i="68" s="1"/>
  <c r="AB251" i="54"/>
  <c r="AV251" i="54" s="1"/>
  <c r="I251" i="65"/>
  <c r="AC182" i="51"/>
  <c r="AC116" i="51"/>
  <c r="AC154" i="51"/>
  <c r="AC283" i="51"/>
  <c r="AC104" i="51"/>
  <c r="AC81" i="51"/>
  <c r="AC216" i="51"/>
  <c r="AC180" i="51"/>
  <c r="AC203" i="51"/>
  <c r="AC110" i="51"/>
  <c r="AC210" i="51"/>
  <c r="AC254" i="51"/>
  <c r="AC276" i="51"/>
  <c r="AC236" i="51"/>
  <c r="AC142" i="51"/>
  <c r="AC54" i="51"/>
  <c r="AC135" i="51"/>
  <c r="AC28" i="51"/>
  <c r="AC169" i="51"/>
  <c r="AC293" i="51"/>
  <c r="AC150" i="51"/>
  <c r="AC261" i="51"/>
  <c r="AC164" i="51"/>
  <c r="AC66" i="51"/>
  <c r="AC259" i="51"/>
  <c r="AC115" i="51"/>
  <c r="AC129" i="51"/>
  <c r="AC162" i="51"/>
  <c r="AC239" i="51"/>
  <c r="AC140" i="51"/>
  <c r="AC198" i="51"/>
  <c r="AC227" i="51"/>
  <c r="AC265" i="51"/>
  <c r="AC145" i="51"/>
  <c r="AC84" i="51"/>
  <c r="AC211" i="51"/>
  <c r="AC213" i="51"/>
  <c r="AC165" i="51"/>
  <c r="AC97" i="51"/>
  <c r="AC272" i="51"/>
  <c r="AC208" i="51"/>
  <c r="AC238" i="51"/>
  <c r="AC43" i="51"/>
  <c r="AC80" i="51"/>
  <c r="AC185" i="51"/>
  <c r="AC35" i="51"/>
  <c r="AC170" i="51"/>
  <c r="AC237" i="51"/>
  <c r="AC223" i="51"/>
  <c r="AC71" i="51"/>
  <c r="AC134" i="51"/>
  <c r="AC67" i="51"/>
  <c r="AC143" i="51"/>
  <c r="AC34" i="51"/>
  <c r="AC24" i="51"/>
  <c r="AC183" i="51"/>
  <c r="AC118" i="51"/>
  <c r="AC250" i="51"/>
  <c r="AC176" i="51"/>
  <c r="AC179" i="51"/>
  <c r="AC200" i="51"/>
  <c r="AC88" i="51"/>
  <c r="AC87" i="51"/>
  <c r="AC22" i="51"/>
  <c r="AC206" i="51"/>
  <c r="AC36" i="51"/>
  <c r="AC121" i="51"/>
  <c r="AC290" i="51"/>
  <c r="AC280" i="51"/>
  <c r="AC48" i="51"/>
  <c r="AC291" i="51"/>
  <c r="AC264" i="51"/>
  <c r="AC287" i="51"/>
  <c r="AC60" i="51"/>
  <c r="AC91" i="51"/>
  <c r="AC226" i="51"/>
  <c r="AC37" i="51"/>
  <c r="AC215" i="51"/>
  <c r="AC132" i="51"/>
  <c r="AC123" i="51"/>
  <c r="AC38" i="51"/>
  <c r="AC21" i="51"/>
  <c r="AC258" i="51"/>
  <c r="AC86" i="51"/>
  <c r="AC270" i="51"/>
  <c r="AC244" i="51"/>
  <c r="AC108" i="51"/>
  <c r="AC139" i="51"/>
  <c r="AC17" i="51"/>
  <c r="AC85" i="51"/>
  <c r="AC144" i="51"/>
  <c r="AC114" i="51"/>
  <c r="AC279" i="51"/>
  <c r="AC124" i="51"/>
  <c r="AC201" i="51"/>
  <c r="AC103" i="51"/>
  <c r="AC217" i="51"/>
  <c r="AC297" i="51"/>
  <c r="AC160" i="51"/>
  <c r="AC173" i="51"/>
  <c r="AC61" i="51"/>
  <c r="AC20" i="51"/>
  <c r="AC102" i="51"/>
  <c r="AC56" i="51"/>
  <c r="I15" i="65"/>
  <c r="AB15" i="54"/>
  <c r="AV15" i="54" s="1"/>
  <c r="AC101" i="51"/>
  <c r="AC195" i="51"/>
  <c r="AC119" i="51"/>
  <c r="AC138" i="51"/>
  <c r="AC207" i="51"/>
  <c r="AC187" i="51"/>
  <c r="AC74" i="51"/>
  <c r="AC75" i="51"/>
  <c r="AC168" i="51"/>
  <c r="AC220" i="51"/>
  <c r="AC105" i="51"/>
  <c r="AC117" i="51"/>
  <c r="AC94" i="51"/>
  <c r="AC166" i="51"/>
  <c r="AC300" i="51"/>
  <c r="AC90" i="51"/>
  <c r="AC40" i="51"/>
  <c r="AC288" i="51"/>
  <c r="AC93" i="51"/>
  <c r="AC30" i="51"/>
  <c r="AC257" i="51"/>
  <c r="AC218" i="51"/>
  <c r="AC58" i="51"/>
  <c r="AC130" i="51"/>
  <c r="AC292" i="51"/>
  <c r="AC109" i="51"/>
  <c r="AC19" i="51"/>
  <c r="AC178" i="51"/>
  <c r="AC23" i="51"/>
  <c r="AC303" i="51"/>
  <c r="AC69" i="51"/>
  <c r="AC253" i="51"/>
  <c r="AC141" i="51"/>
  <c r="AC299" i="51"/>
  <c r="AC53" i="51"/>
  <c r="AC113" i="51"/>
  <c r="AC32" i="51"/>
  <c r="AC205" i="51"/>
  <c r="AC47" i="51"/>
  <c r="AC268" i="51"/>
  <c r="AC245" i="51"/>
  <c r="AC159" i="51"/>
  <c r="AC304" i="51"/>
  <c r="AC199" i="51"/>
  <c r="AC57" i="51"/>
  <c r="AC190" i="51"/>
  <c r="AC277" i="51"/>
  <c r="AC92" i="51"/>
  <c r="AC45" i="51"/>
  <c r="AC302" i="51"/>
  <c r="AC156" i="51"/>
  <c r="AC152" i="51"/>
  <c r="AC243" i="51"/>
  <c r="AC158" i="51"/>
  <c r="AC133" i="51"/>
  <c r="AC26" i="51"/>
  <c r="AC172" i="51"/>
  <c r="AC196" i="51"/>
  <c r="AC202" i="51"/>
  <c r="AC96" i="51"/>
  <c r="AC167" i="51"/>
  <c r="AC131" i="51"/>
  <c r="AC89" i="51"/>
  <c r="AC95" i="51"/>
  <c r="AC147" i="51"/>
  <c r="AC255" i="51"/>
  <c r="AC51" i="51"/>
  <c r="AC146" i="51"/>
  <c r="AC271" i="51"/>
  <c r="AC50" i="51"/>
  <c r="AC122" i="51"/>
  <c r="AC33" i="51"/>
  <c r="AC234" i="51"/>
  <c r="AC65" i="51"/>
  <c r="I45" i="68" l="1"/>
  <c r="E67" i="66"/>
  <c r="AB67" i="66" s="1"/>
  <c r="BG241" i="54"/>
  <c r="AB158" i="42"/>
  <c r="AB281" i="42"/>
  <c r="J219" i="53"/>
  <c r="J219" i="54" s="1"/>
  <c r="BH219" i="54" s="1"/>
  <c r="AB153" i="42"/>
  <c r="J146" i="53"/>
  <c r="J146" i="54" s="1"/>
  <c r="BH146" i="54" s="1"/>
  <c r="J32" i="53"/>
  <c r="AC32" i="53" s="1"/>
  <c r="J55" i="53"/>
  <c r="AC55" i="53" s="1"/>
  <c r="J161" i="53"/>
  <c r="AC161" i="53" s="1"/>
  <c r="J274" i="53"/>
  <c r="AB134" i="42"/>
  <c r="AB41" i="42"/>
  <c r="J53" i="53"/>
  <c r="AC53" i="53" s="1"/>
  <c r="J41" i="53"/>
  <c r="J41" i="54" s="1"/>
  <c r="BH41" i="54" s="1"/>
  <c r="J18" i="53"/>
  <c r="J18" i="54" s="1"/>
  <c r="BH18" i="54" s="1"/>
  <c r="AB209" i="42"/>
  <c r="AB172" i="42"/>
  <c r="J262" i="53"/>
  <c r="AB307" i="42"/>
  <c r="J172" i="53"/>
  <c r="AC172" i="53" s="1"/>
  <c r="J70" i="53"/>
  <c r="AC70" i="53" s="1"/>
  <c r="J292" i="53"/>
  <c r="AC292" i="53" s="1"/>
  <c r="AB226" i="42"/>
  <c r="AB70" i="42"/>
  <c r="J207" i="53"/>
  <c r="J207" i="54" s="1"/>
  <c r="BH207" i="54" s="1"/>
  <c r="AB188" i="42"/>
  <c r="AB232" i="42"/>
  <c r="J285" i="53"/>
  <c r="J285" i="54" s="1"/>
  <c r="BH285" i="54" s="1"/>
  <c r="J272" i="53"/>
  <c r="AC272" i="53" s="1"/>
  <c r="AB171" i="42"/>
  <c r="J217" i="53"/>
  <c r="AC217" i="53" s="1"/>
  <c r="AB108" i="42"/>
  <c r="J171" i="53"/>
  <c r="AC171" i="53" s="1"/>
  <c r="J236" i="53"/>
  <c r="AC236" i="53" s="1"/>
  <c r="J72" i="53"/>
  <c r="AC72" i="53" s="1"/>
  <c r="J263" i="53"/>
  <c r="AC263" i="53" s="1"/>
  <c r="J20" i="53"/>
  <c r="J20" i="54" s="1"/>
  <c r="BH20" i="54" s="1"/>
  <c r="J279" i="53"/>
  <c r="AC279" i="53" s="1"/>
  <c r="J286" i="53"/>
  <c r="J286" i="54" s="1"/>
  <c r="BH286" i="54" s="1"/>
  <c r="AB238" i="42"/>
  <c r="J300" i="53"/>
  <c r="J300" i="54" s="1"/>
  <c r="BH300" i="54" s="1"/>
  <c r="AB197" i="42"/>
  <c r="AB235" i="42"/>
  <c r="J46" i="53"/>
  <c r="AC46" i="53" s="1"/>
  <c r="J198" i="53"/>
  <c r="AC198" i="53" s="1"/>
  <c r="J261" i="53"/>
  <c r="AC261" i="53" s="1"/>
  <c r="AB261" i="42"/>
  <c r="AB270" i="42"/>
  <c r="AB58" i="42"/>
  <c r="AB66" i="42"/>
  <c r="J60" i="53"/>
  <c r="J60" i="54" s="1"/>
  <c r="BH60" i="54" s="1"/>
  <c r="J296" i="53"/>
  <c r="J296" i="54" s="1"/>
  <c r="BH296" i="54" s="1"/>
  <c r="AB296" i="42"/>
  <c r="J160" i="53"/>
  <c r="J160" i="54" s="1"/>
  <c r="BH160" i="54" s="1"/>
  <c r="J27" i="53"/>
  <c r="J27" i="54" s="1"/>
  <c r="BH27" i="54" s="1"/>
  <c r="J62" i="53"/>
  <c r="AC62" i="53" s="1"/>
  <c r="J169" i="53"/>
  <c r="AC169" i="53" s="1"/>
  <c r="AB177" i="42"/>
  <c r="J162" i="53"/>
  <c r="AC162" i="53" s="1"/>
  <c r="J244" i="53"/>
  <c r="J244" i="54" s="1"/>
  <c r="BH244" i="54" s="1"/>
  <c r="AB230" i="42"/>
  <c r="J82" i="53"/>
  <c r="AC82" i="53" s="1"/>
  <c r="J182" i="53"/>
  <c r="J182" i="54" s="1"/>
  <c r="BH182" i="54" s="1"/>
  <c r="J213" i="53"/>
  <c r="AC213" i="53" s="1"/>
  <c r="J85" i="53"/>
  <c r="AC85" i="53" s="1"/>
  <c r="AB213" i="42"/>
  <c r="AB26" i="42"/>
  <c r="J116" i="53"/>
  <c r="AC116" i="53" s="1"/>
  <c r="J140" i="53"/>
  <c r="AC140" i="53" s="1"/>
  <c r="J34" i="53"/>
  <c r="AC34" i="53" s="1"/>
  <c r="J166" i="53"/>
  <c r="J166" i="54" s="1"/>
  <c r="BH166" i="54" s="1"/>
  <c r="AB166" i="42"/>
  <c r="AB250" i="42"/>
  <c r="J126" i="53"/>
  <c r="J126" i="54" s="1"/>
  <c r="BH126" i="54" s="1"/>
  <c r="J84" i="53"/>
  <c r="J84" i="54" s="1"/>
  <c r="BH84" i="54" s="1"/>
  <c r="AB303" i="42"/>
  <c r="J19" i="53"/>
  <c r="J19" i="54" s="1"/>
  <c r="BH19" i="54" s="1"/>
  <c r="AB222" i="42"/>
  <c r="J222" i="53"/>
  <c r="AC222" i="53" s="1"/>
  <c r="AB15" i="42"/>
  <c r="P5" i="66"/>
  <c r="AL5" i="66" s="1"/>
  <c r="C103" i="66"/>
  <c r="E90" i="66"/>
  <c r="P90" i="66" s="1"/>
  <c r="AL90" i="66" s="1"/>
  <c r="K341" i="42"/>
  <c r="AB214" i="42"/>
  <c r="J112" i="53"/>
  <c r="J112" i="54" s="1"/>
  <c r="BH112" i="54" s="1"/>
  <c r="AB136" i="42"/>
  <c r="AB82" i="42"/>
  <c r="AB73" i="42"/>
  <c r="J252" i="53"/>
  <c r="AC252" i="53" s="1"/>
  <c r="J124" i="53"/>
  <c r="AC124" i="53" s="1"/>
  <c r="AB114" i="42"/>
  <c r="J212" i="53"/>
  <c r="J212" i="54" s="1"/>
  <c r="BH212" i="54" s="1"/>
  <c r="J63" i="53"/>
  <c r="J63" i="54" s="1"/>
  <c r="BH63" i="54" s="1"/>
  <c r="J125" i="53"/>
  <c r="J125" i="54" s="1"/>
  <c r="BH125" i="54" s="1"/>
  <c r="AB187" i="42"/>
  <c r="J276" i="53"/>
  <c r="AC276" i="53" s="1"/>
  <c r="AB243" i="42"/>
  <c r="J306" i="53"/>
  <c r="AC306" i="53" s="1"/>
  <c r="AB263" i="42"/>
  <c r="AB90" i="42"/>
  <c r="J98" i="53"/>
  <c r="AC98" i="53" s="1"/>
  <c r="J81" i="53"/>
  <c r="J81" i="54" s="1"/>
  <c r="BH81" i="54" s="1"/>
  <c r="J122" i="53"/>
  <c r="J122" i="54" s="1"/>
  <c r="BH122" i="54" s="1"/>
  <c r="AB49" i="42"/>
  <c r="AB32" i="42"/>
  <c r="J230" i="53"/>
  <c r="AC230" i="53" s="1"/>
  <c r="J154" i="53"/>
  <c r="J154" i="54" s="1"/>
  <c r="BH154" i="54" s="1"/>
  <c r="AB300" i="42"/>
  <c r="AB183" i="42"/>
  <c r="J297" i="53"/>
  <c r="AC297" i="53" s="1"/>
  <c r="AB186" i="42"/>
  <c r="J113" i="53"/>
  <c r="AC113" i="53" s="1"/>
  <c r="J96" i="53"/>
  <c r="AC96" i="53" s="1"/>
  <c r="J294" i="53"/>
  <c r="J294" i="54" s="1"/>
  <c r="BH294" i="54" s="1"/>
  <c r="AB218" i="42"/>
  <c r="AB302" i="42"/>
  <c r="J205" i="53"/>
  <c r="AC205" i="53" s="1"/>
  <c r="AB80" i="42"/>
  <c r="J91" i="53"/>
  <c r="AC91" i="53" s="1"/>
  <c r="J111" i="53"/>
  <c r="AC111" i="53" s="1"/>
  <c r="AB84" i="42"/>
  <c r="J52" i="53"/>
  <c r="J52" i="54" s="1"/>
  <c r="BH52" i="54" s="1"/>
  <c r="AB220" i="42"/>
  <c r="AB86" i="42"/>
  <c r="AB141" i="42"/>
  <c r="J269" i="53"/>
  <c r="J269" i="54" s="1"/>
  <c r="BH269" i="54" s="1"/>
  <c r="J293" i="53"/>
  <c r="J293" i="54" s="1"/>
  <c r="BH293" i="54" s="1"/>
  <c r="AB103" i="42"/>
  <c r="J307" i="53"/>
  <c r="J307" i="54" s="1"/>
  <c r="BH307" i="54" s="1"/>
  <c r="AB65" i="42"/>
  <c r="AB128" i="42"/>
  <c r="AB163" i="42"/>
  <c r="J59" i="53"/>
  <c r="J59" i="54" s="1"/>
  <c r="BH59" i="54" s="1"/>
  <c r="AB239" i="42"/>
  <c r="J247" i="53"/>
  <c r="J247" i="54" s="1"/>
  <c r="BH247" i="54" s="1"/>
  <c r="AB256" i="42"/>
  <c r="J148" i="53"/>
  <c r="J148" i="54" s="1"/>
  <c r="BH148" i="54" s="1"/>
  <c r="AB170" i="42"/>
  <c r="J204" i="53"/>
  <c r="AC204" i="53" s="1"/>
  <c r="J95" i="53"/>
  <c r="J95" i="54" s="1"/>
  <c r="BH95" i="54" s="1"/>
  <c r="J278" i="53"/>
  <c r="J278" i="54" s="1"/>
  <c r="BH278" i="54" s="1"/>
  <c r="J107" i="53"/>
  <c r="J107" i="54" s="1"/>
  <c r="BH107" i="54" s="1"/>
  <c r="J90" i="53"/>
  <c r="AC90" i="53" s="1"/>
  <c r="AB81" i="42"/>
  <c r="J153" i="53"/>
  <c r="AC153" i="53" s="1"/>
  <c r="AB198" i="42"/>
  <c r="J49" i="53"/>
  <c r="J49" i="54" s="1"/>
  <c r="BH49" i="54" s="1"/>
  <c r="AB145" i="42"/>
  <c r="AB96" i="42"/>
  <c r="J218" i="53"/>
  <c r="AC218" i="53" s="1"/>
  <c r="J302" i="53"/>
  <c r="AC302" i="53" s="1"/>
  <c r="AB205" i="42"/>
  <c r="J250" i="53"/>
  <c r="AC250" i="53" s="1"/>
  <c r="AB142" i="42"/>
  <c r="AB37" i="42"/>
  <c r="AB56" i="42"/>
  <c r="J267" i="53"/>
  <c r="J267" i="54" s="1"/>
  <c r="BH267" i="54" s="1"/>
  <c r="J97" i="53"/>
  <c r="J97" i="54" s="1"/>
  <c r="BH97" i="54" s="1"/>
  <c r="AB252" i="42"/>
  <c r="J163" i="53"/>
  <c r="AC163" i="53" s="1"/>
  <c r="AB224" i="42"/>
  <c r="AB124" i="42"/>
  <c r="J51" i="53"/>
  <c r="AC51" i="53" s="1"/>
  <c r="J215" i="53"/>
  <c r="AC215" i="53" s="1"/>
  <c r="AB59" i="42"/>
  <c r="AB42" i="42"/>
  <c r="J190" i="53"/>
  <c r="AC190" i="53" s="1"/>
  <c r="J149" i="53"/>
  <c r="J149" i="54" s="1"/>
  <c r="BH149" i="54" s="1"/>
  <c r="J86" i="53"/>
  <c r="J86" i="54" s="1"/>
  <c r="BH86" i="54" s="1"/>
  <c r="AB212" i="42"/>
  <c r="AB210" i="42"/>
  <c r="J193" i="53"/>
  <c r="J193" i="54" s="1"/>
  <c r="BH193" i="54" s="1"/>
  <c r="AB247" i="42"/>
  <c r="J201" i="53"/>
  <c r="AC201" i="53" s="1"/>
  <c r="J184" i="53"/>
  <c r="J184" i="54" s="1"/>
  <c r="BH184" i="54" s="1"/>
  <c r="J228" i="53"/>
  <c r="AC228" i="53" s="1"/>
  <c r="AB269" i="42"/>
  <c r="J291" i="53"/>
  <c r="J291" i="54" s="1"/>
  <c r="BH291" i="54" s="1"/>
  <c r="AB57" i="42"/>
  <c r="AB148" i="42"/>
  <c r="J179" i="53"/>
  <c r="AC179" i="53" s="1"/>
  <c r="J48" i="53"/>
  <c r="J48" i="54" s="1"/>
  <c r="BH48" i="54" s="1"/>
  <c r="J246" i="53"/>
  <c r="J246" i="54" s="1"/>
  <c r="BH246" i="54" s="1"/>
  <c r="J103" i="53"/>
  <c r="J103" i="54" s="1"/>
  <c r="BH103" i="54" s="1"/>
  <c r="AB276" i="42"/>
  <c r="J211" i="53"/>
  <c r="J211" i="54" s="1"/>
  <c r="BH211" i="54" s="1"/>
  <c r="J138" i="53"/>
  <c r="J138" i="54" s="1"/>
  <c r="BH138" i="54" s="1"/>
  <c r="AB204" i="42"/>
  <c r="J104" i="53"/>
  <c r="J104" i="54" s="1"/>
  <c r="BH104" i="54" s="1"/>
  <c r="AB112" i="42"/>
  <c r="AB95" i="42"/>
  <c r="J167" i="53"/>
  <c r="J167" i="54" s="1"/>
  <c r="BH167" i="54" s="1"/>
  <c r="J136" i="53"/>
  <c r="J136" i="54" s="1"/>
  <c r="BH136" i="54" s="1"/>
  <c r="AB278" i="42"/>
  <c r="AB168" i="42"/>
  <c r="J37" i="53"/>
  <c r="J37" i="54" s="1"/>
  <c r="BH37" i="54" s="1"/>
  <c r="J92" i="53"/>
  <c r="J92" i="54" s="1"/>
  <c r="BH92" i="54" s="1"/>
  <c r="J195" i="53"/>
  <c r="J195" i="54" s="1"/>
  <c r="BH195" i="54" s="1"/>
  <c r="AB97" i="42"/>
  <c r="AB24" i="42"/>
  <c r="AB100" i="42"/>
  <c r="J224" i="53"/>
  <c r="AC224" i="53" s="1"/>
  <c r="AB51" i="42"/>
  <c r="AB118" i="42"/>
  <c r="J105" i="53"/>
  <c r="AC105" i="53" s="1"/>
  <c r="AB149" i="42"/>
  <c r="J83" i="53"/>
  <c r="J83" i="54" s="1"/>
  <c r="BH83" i="54" s="1"/>
  <c r="J305" i="53"/>
  <c r="AC305" i="53" s="1"/>
  <c r="AB193" i="42"/>
  <c r="AB173" i="42"/>
  <c r="J253" i="53"/>
  <c r="J253" i="54" s="1"/>
  <c r="BH253" i="54" s="1"/>
  <c r="AB228" i="42"/>
  <c r="AB61" i="42"/>
  <c r="J225" i="53"/>
  <c r="AC225" i="53" s="1"/>
  <c r="J57" i="53"/>
  <c r="J57" i="54" s="1"/>
  <c r="BH57" i="54" s="1"/>
  <c r="J40" i="53"/>
  <c r="J40" i="54" s="1"/>
  <c r="BH40" i="54" s="1"/>
  <c r="J44" i="53"/>
  <c r="AC44" i="53" s="1"/>
  <c r="AB246" i="42"/>
  <c r="J258" i="53"/>
  <c r="J258" i="54" s="1"/>
  <c r="BH258" i="54" s="1"/>
  <c r="J242" i="53"/>
  <c r="AC242" i="53" s="1"/>
  <c r="AB211" i="42"/>
  <c r="AB138" i="42"/>
  <c r="J121" i="53"/>
  <c r="J121" i="54" s="1"/>
  <c r="BH121" i="54" s="1"/>
  <c r="J277" i="53"/>
  <c r="J277" i="54" s="1"/>
  <c r="BH277" i="54" s="1"/>
  <c r="AB234" i="42"/>
  <c r="AB71" i="42"/>
  <c r="J202" i="53"/>
  <c r="J202" i="54" s="1"/>
  <c r="BH202" i="54" s="1"/>
  <c r="J65" i="53"/>
  <c r="AC65" i="53" s="1"/>
  <c r="AB195" i="42"/>
  <c r="J128" i="53"/>
  <c r="J128" i="54" s="1"/>
  <c r="BH128" i="54" s="1"/>
  <c r="J100" i="53"/>
  <c r="J100" i="54" s="1"/>
  <c r="BH100" i="54" s="1"/>
  <c r="J220" i="53"/>
  <c r="J220" i="54" s="1"/>
  <c r="BH220" i="54" s="1"/>
  <c r="AB305" i="42"/>
  <c r="J141" i="53"/>
  <c r="J141" i="54" s="1"/>
  <c r="BH141" i="54" s="1"/>
  <c r="AB253" i="42"/>
  <c r="J256" i="53"/>
  <c r="J256" i="54" s="1"/>
  <c r="BH256" i="54" s="1"/>
  <c r="AB225" i="42"/>
  <c r="J152" i="53"/>
  <c r="AC152" i="53" s="1"/>
  <c r="AB44" i="42"/>
  <c r="AB242" i="42"/>
  <c r="J214" i="53"/>
  <c r="AC214" i="53" s="1"/>
  <c r="J188" i="53"/>
  <c r="J188" i="54" s="1"/>
  <c r="BH188" i="54" s="1"/>
  <c r="J243" i="53"/>
  <c r="J243" i="54" s="1"/>
  <c r="BH243" i="54" s="1"/>
  <c r="J251" i="53"/>
  <c r="AC251" i="53" s="1"/>
  <c r="J155" i="53"/>
  <c r="J155" i="54" s="1"/>
  <c r="BH155" i="54" s="1"/>
  <c r="AB275" i="42"/>
  <c r="AB219" i="42"/>
  <c r="AB273" i="42"/>
  <c r="J283" i="53"/>
  <c r="J283" i="54" s="1"/>
  <c r="BH283" i="54" s="1"/>
  <c r="AB241" i="42"/>
  <c r="AB284" i="42"/>
  <c r="J119" i="53"/>
  <c r="J119" i="54" s="1"/>
  <c r="BH119" i="54" s="1"/>
  <c r="J120" i="53"/>
  <c r="AC120" i="53" s="1"/>
  <c r="J180" i="53"/>
  <c r="AC180" i="53" s="1"/>
  <c r="J115" i="53"/>
  <c r="AC115" i="53" s="1"/>
  <c r="AB182" i="42"/>
  <c r="AB178" i="42"/>
  <c r="AB150" i="42"/>
  <c r="AB46" i="42"/>
  <c r="AB140" i="42"/>
  <c r="AB292" i="42"/>
  <c r="J43" i="53"/>
  <c r="AC43" i="53" s="1"/>
  <c r="J102" i="53"/>
  <c r="AC102" i="53" s="1"/>
  <c r="J26" i="53"/>
  <c r="AC26" i="53" s="1"/>
  <c r="AB272" i="42"/>
  <c r="J78" i="53"/>
  <c r="AC78" i="53" s="1"/>
  <c r="J79" i="53"/>
  <c r="J79" i="54" s="1"/>
  <c r="BH79" i="54" s="1"/>
  <c r="AB89" i="42"/>
  <c r="J16" i="53"/>
  <c r="J16" i="54" s="1"/>
  <c r="BH16" i="54" s="1"/>
  <c r="J130" i="53"/>
  <c r="AC130" i="53" s="1"/>
  <c r="K318" i="42"/>
  <c r="K348" i="42"/>
  <c r="AB143" i="42"/>
  <c r="J273" i="53"/>
  <c r="J273" i="54" s="1"/>
  <c r="BH273" i="54" s="1"/>
  <c r="J241" i="53"/>
  <c r="J241" i="54" s="1"/>
  <c r="BH241" i="54" s="1"/>
  <c r="AB180" i="42"/>
  <c r="J88" i="53"/>
  <c r="AC88" i="53" s="1"/>
  <c r="AB156" i="42"/>
  <c r="AB279" i="42"/>
  <c r="AB233" i="42"/>
  <c r="J303" i="53"/>
  <c r="AC303" i="53" s="1"/>
  <c r="J47" i="53"/>
  <c r="AC47" i="53" s="1"/>
  <c r="AB257" i="42"/>
  <c r="J196" i="53"/>
  <c r="J196" i="54" s="1"/>
  <c r="BH196" i="54" s="1"/>
  <c r="J25" i="53"/>
  <c r="AC25" i="53" s="1"/>
  <c r="AB76" i="42"/>
  <c r="J117" i="53"/>
  <c r="AC117" i="53" s="1"/>
  <c r="J199" i="53"/>
  <c r="AC199" i="53" s="1"/>
  <c r="AB43" i="42"/>
  <c r="AB102" i="42"/>
  <c r="J133" i="53"/>
  <c r="J133" i="54" s="1"/>
  <c r="BH133" i="54" s="1"/>
  <c r="AB17" i="42"/>
  <c r="AB78" i="42"/>
  <c r="AB79" i="42"/>
  <c r="AB36" i="42"/>
  <c r="AB280" i="42"/>
  <c r="AB130" i="42"/>
  <c r="AB21" i="42"/>
  <c r="AB101" i="42"/>
  <c r="J143" i="53"/>
  <c r="AC143" i="53" s="1"/>
  <c r="AB290" i="42"/>
  <c r="AB126" i="42"/>
  <c r="J137" i="53"/>
  <c r="AC137" i="53" s="1"/>
  <c r="AB285" i="42"/>
  <c r="J156" i="53"/>
  <c r="J156" i="54" s="1"/>
  <c r="BH156" i="54" s="1"/>
  <c r="J76" i="53"/>
  <c r="AC76" i="53" s="1"/>
  <c r="AB117" i="42"/>
  <c r="AB199" i="42"/>
  <c r="AB110" i="42"/>
  <c r="AB34" i="42"/>
  <c r="AB133" i="42"/>
  <c r="J17" i="53"/>
  <c r="J17" i="54" s="1"/>
  <c r="BH17" i="54" s="1"/>
  <c r="J134" i="53"/>
  <c r="AC134" i="53" s="1"/>
  <c r="J36" i="53"/>
  <c r="J36" i="54" s="1"/>
  <c r="BH36" i="54" s="1"/>
  <c r="J280" i="53"/>
  <c r="AC280" i="53" s="1"/>
  <c r="AB231" i="42"/>
  <c r="J295" i="53"/>
  <c r="AC295" i="53" s="1"/>
  <c r="AB194" i="42"/>
  <c r="J131" i="53"/>
  <c r="J131" i="54" s="1"/>
  <c r="BH131" i="54" s="1"/>
  <c r="AB64" i="42"/>
  <c r="J197" i="53"/>
  <c r="J197" i="54" s="1"/>
  <c r="BH197" i="54" s="1"/>
  <c r="P18" i="66"/>
  <c r="AB18" i="66"/>
  <c r="P17" i="66"/>
  <c r="AB17" i="66"/>
  <c r="AB85" i="42"/>
  <c r="AB60" i="42"/>
  <c r="AB107" i="42"/>
  <c r="AB174" i="42"/>
  <c r="J174" i="53"/>
  <c r="J174" i="54" s="1"/>
  <c r="BH174" i="54" s="1"/>
  <c r="AB206" i="42"/>
  <c r="J39" i="53"/>
  <c r="AC39" i="53" s="1"/>
  <c r="AB259" i="42"/>
  <c r="AB282" i="42"/>
  <c r="J268" i="53"/>
  <c r="J268" i="54" s="1"/>
  <c r="BH268" i="54" s="1"/>
  <c r="AB216" i="42"/>
  <c r="J129" i="53"/>
  <c r="J129" i="54" s="1"/>
  <c r="BH129" i="54" s="1"/>
  <c r="AB289" i="42"/>
  <c r="J168" i="53"/>
  <c r="J168" i="54" s="1"/>
  <c r="BH168" i="54" s="1"/>
  <c r="J231" i="53"/>
  <c r="AC231" i="53" s="1"/>
  <c r="J127" i="53"/>
  <c r="J127" i="54" s="1"/>
  <c r="BH127" i="54" s="1"/>
  <c r="J232" i="53"/>
  <c r="AC232" i="53" s="1"/>
  <c r="AB295" i="42"/>
  <c r="AB18" i="42"/>
  <c r="AB131" i="42"/>
  <c r="J185" i="53"/>
  <c r="J185" i="54" s="1"/>
  <c r="BH185" i="54" s="1"/>
  <c r="J298" i="53"/>
  <c r="AC298" i="53" s="1"/>
  <c r="J249" i="53"/>
  <c r="AC249" i="53" s="1"/>
  <c r="AB67" i="42"/>
  <c r="J35" i="53"/>
  <c r="AC35" i="53" s="1"/>
  <c r="J68" i="53"/>
  <c r="AC68" i="53" s="1"/>
  <c r="J80" i="53"/>
  <c r="AC80" i="53" s="1"/>
  <c r="AB99" i="42"/>
  <c r="AB185" i="42"/>
  <c r="J266" i="53"/>
  <c r="AC266" i="53" s="1"/>
  <c r="AB249" i="42"/>
  <c r="J67" i="53"/>
  <c r="J67" i="54" s="1"/>
  <c r="BH67" i="54" s="1"/>
  <c r="AB35" i="42"/>
  <c r="AB68" i="42"/>
  <c r="AB23" i="42"/>
  <c r="AB266" i="42"/>
  <c r="J194" i="53"/>
  <c r="J194" i="54" s="1"/>
  <c r="BH194" i="54" s="1"/>
  <c r="J101" i="53"/>
  <c r="J101" i="54" s="1"/>
  <c r="BH101" i="54" s="1"/>
  <c r="J181" i="53"/>
  <c r="J181" i="54" s="1"/>
  <c r="BH181" i="54" s="1"/>
  <c r="AB221" i="42"/>
  <c r="AB31" i="42"/>
  <c r="AB164" i="42"/>
  <c r="AB260" i="42"/>
  <c r="J30" i="53"/>
  <c r="J30" i="54" s="1"/>
  <c r="BH30" i="54" s="1"/>
  <c r="K328" i="42"/>
  <c r="K333" i="42"/>
  <c r="F31" i="66"/>
  <c r="Q31" i="66" s="1"/>
  <c r="AM31" i="66" s="1"/>
  <c r="K350" i="42"/>
  <c r="K331" i="42"/>
  <c r="K344" i="42"/>
  <c r="K355" i="42"/>
  <c r="K342" i="42"/>
  <c r="K349" i="42"/>
  <c r="AB121" i="42"/>
  <c r="AB104" i="42"/>
  <c r="AB251" i="42"/>
  <c r="J234" i="53"/>
  <c r="AC234" i="53" s="1"/>
  <c r="AB167" i="42"/>
  <c r="J71" i="53"/>
  <c r="AC71" i="53" s="1"/>
  <c r="J275" i="53"/>
  <c r="J275" i="54" s="1"/>
  <c r="BH275" i="54" s="1"/>
  <c r="AB200" i="42"/>
  <c r="K352" i="42"/>
  <c r="J75" i="53"/>
  <c r="AC75" i="53" s="1"/>
  <c r="J287" i="53"/>
  <c r="AC287" i="53" s="1"/>
  <c r="J304" i="53"/>
  <c r="AC304" i="53" s="1"/>
  <c r="AB301" i="42"/>
  <c r="J77" i="53"/>
  <c r="J77" i="54" s="1"/>
  <c r="BH77" i="54" s="1"/>
  <c r="K346" i="42"/>
  <c r="AB22" i="42"/>
  <c r="J284" i="53"/>
  <c r="AC284" i="53" s="1"/>
  <c r="AB146" i="42"/>
  <c r="AB129" i="42"/>
  <c r="AB268" i="42"/>
  <c r="J29" i="53"/>
  <c r="J29" i="54" s="1"/>
  <c r="BH29" i="54" s="1"/>
  <c r="J259" i="53"/>
  <c r="J259" i="54" s="1"/>
  <c r="BH259" i="54" s="1"/>
  <c r="AB192" i="42"/>
  <c r="AB39" i="42"/>
  <c r="J45" i="53"/>
  <c r="AC45" i="53" s="1"/>
  <c r="AB265" i="42"/>
  <c r="AB248" i="42"/>
  <c r="J165" i="53"/>
  <c r="AC165" i="53" s="1"/>
  <c r="F33" i="66"/>
  <c r="AW33" i="66" s="1"/>
  <c r="K343" i="42"/>
  <c r="AB75" i="42"/>
  <c r="J200" i="53"/>
  <c r="J200" i="54" s="1"/>
  <c r="BH200" i="54" s="1"/>
  <c r="AB127" i="42"/>
  <c r="AB30" i="42"/>
  <c r="K321" i="42"/>
  <c r="AB255" i="42"/>
  <c r="K359" i="42"/>
  <c r="J282" i="53"/>
  <c r="AC282" i="53" s="1"/>
  <c r="J151" i="53"/>
  <c r="AC151" i="53" s="1"/>
  <c r="J54" i="53"/>
  <c r="J54" i="54" s="1"/>
  <c r="BH54" i="54" s="1"/>
  <c r="J208" i="53"/>
  <c r="AC208" i="53" s="1"/>
  <c r="AB50" i="42"/>
  <c r="J175" i="53"/>
  <c r="J175" i="54" s="1"/>
  <c r="BH175" i="54" s="1"/>
  <c r="J227" i="53"/>
  <c r="AC227" i="53" s="1"/>
  <c r="J288" i="53"/>
  <c r="AC288" i="53" s="1"/>
  <c r="J271" i="53"/>
  <c r="J271" i="54" s="1"/>
  <c r="BH271" i="54" s="1"/>
  <c r="J245" i="53"/>
  <c r="J245" i="54" s="1"/>
  <c r="BH245" i="54" s="1"/>
  <c r="AB123" i="42"/>
  <c r="J106" i="53"/>
  <c r="J106" i="54" s="1"/>
  <c r="BH106" i="54" s="1"/>
  <c r="J254" i="53"/>
  <c r="J254" i="54" s="1"/>
  <c r="BH254" i="54" s="1"/>
  <c r="J87" i="53"/>
  <c r="J87" i="54" s="1"/>
  <c r="BH87" i="54" s="1"/>
  <c r="J147" i="53"/>
  <c r="AC147" i="53" s="1"/>
  <c r="AB74" i="42"/>
  <c r="J289" i="53"/>
  <c r="AC289" i="53" s="1"/>
  <c r="K326" i="42"/>
  <c r="K356" i="42"/>
  <c r="J132" i="53"/>
  <c r="AC132" i="53" s="1"/>
  <c r="AB229" i="42"/>
  <c r="J240" i="53"/>
  <c r="J240" i="54" s="1"/>
  <c r="BH240" i="54" s="1"/>
  <c r="K322" i="42"/>
  <c r="AB77" i="42"/>
  <c r="J301" i="53"/>
  <c r="AC301" i="53" s="1"/>
  <c r="AB287" i="42"/>
  <c r="J157" i="53"/>
  <c r="J157" i="54" s="1"/>
  <c r="BH157" i="54" s="1"/>
  <c r="AB299" i="42"/>
  <c r="AB54" i="42"/>
  <c r="J50" i="53"/>
  <c r="AC50" i="53" s="1"/>
  <c r="F30" i="66"/>
  <c r="AW30" i="66" s="1"/>
  <c r="AB227" i="42"/>
  <c r="AB288" i="42"/>
  <c r="AB271" i="42"/>
  <c r="AB245" i="42"/>
  <c r="AB106" i="42"/>
  <c r="AB87" i="42"/>
  <c r="J74" i="53"/>
  <c r="AC74" i="53" s="1"/>
  <c r="K353" i="42"/>
  <c r="K332" i="42"/>
  <c r="K351" i="42"/>
  <c r="J229" i="53"/>
  <c r="J229" i="54" s="1"/>
  <c r="BH229" i="54" s="1"/>
  <c r="K347" i="42"/>
  <c r="K324" i="42"/>
  <c r="J203" i="53"/>
  <c r="J203" i="54" s="1"/>
  <c r="BH203" i="54" s="1"/>
  <c r="AB33" i="42"/>
  <c r="AB157" i="42"/>
  <c r="K325" i="42"/>
  <c r="J135" i="53"/>
  <c r="J135" i="54" s="1"/>
  <c r="BH135" i="54" s="1"/>
  <c r="AB38" i="42"/>
  <c r="K319" i="42"/>
  <c r="K357" i="42"/>
  <c r="J109" i="53"/>
  <c r="J109" i="54" s="1"/>
  <c r="BH109" i="54" s="1"/>
  <c r="J189" i="53"/>
  <c r="J189" i="54" s="1"/>
  <c r="BH189" i="54" s="1"/>
  <c r="AB93" i="42"/>
  <c r="J176" i="53"/>
  <c r="J176" i="54" s="1"/>
  <c r="BH176" i="54" s="1"/>
  <c r="J223" i="53"/>
  <c r="J223" i="54" s="1"/>
  <c r="BH223" i="54" s="1"/>
  <c r="K345" i="42"/>
  <c r="AB203" i="42"/>
  <c r="F32" i="66"/>
  <c r="Q32" i="66" s="1"/>
  <c r="AM32" i="66" s="1"/>
  <c r="K334" i="42"/>
  <c r="F36" i="66"/>
  <c r="AC36" i="66" s="1"/>
  <c r="K330" i="42"/>
  <c r="AB135" i="42"/>
  <c r="J38" i="53"/>
  <c r="AC38" i="53" s="1"/>
  <c r="F35" i="66"/>
  <c r="AC35" i="66" s="1"/>
  <c r="AB109" i="42"/>
  <c r="K320" i="42"/>
  <c r="J33" i="53"/>
  <c r="AC33" i="53" s="1"/>
  <c r="K317" i="42"/>
  <c r="J22" i="53"/>
  <c r="J22" i="54" s="1"/>
  <c r="BH22" i="54" s="1"/>
  <c r="K358" i="42"/>
  <c r="J144" i="53"/>
  <c r="AC144" i="53" s="1"/>
  <c r="J159" i="53"/>
  <c r="J159" i="54" s="1"/>
  <c r="BH159" i="54" s="1"/>
  <c r="AB69" i="42"/>
  <c r="AB28" i="42"/>
  <c r="AB139" i="42"/>
  <c r="J264" i="53"/>
  <c r="AC264" i="53" s="1"/>
  <c r="AB191" i="42"/>
  <c r="J94" i="53"/>
  <c r="J94" i="54" s="1"/>
  <c r="BH94" i="54" s="1"/>
  <c r="K323" i="42"/>
  <c r="K327" i="42"/>
  <c r="AB209" i="56"/>
  <c r="V76" i="70"/>
  <c r="V98" i="70"/>
  <c r="V81" i="70"/>
  <c r="V165" i="70"/>
  <c r="V51" i="70"/>
  <c r="V261" i="70"/>
  <c r="V144" i="70"/>
  <c r="V189" i="70"/>
  <c r="V252" i="70"/>
  <c r="V204" i="70"/>
  <c r="V162" i="70"/>
  <c r="V145" i="70"/>
  <c r="V229" i="70"/>
  <c r="V291" i="70"/>
  <c r="V174" i="70"/>
  <c r="V208" i="70"/>
  <c r="V253" i="70"/>
  <c r="V163" i="70"/>
  <c r="V107" i="70"/>
  <c r="V226" i="70"/>
  <c r="V209" i="70"/>
  <c r="V293" i="70"/>
  <c r="V196" i="70"/>
  <c r="V71" i="70"/>
  <c r="V272" i="70"/>
  <c r="V102" i="70"/>
  <c r="V75" i="70"/>
  <c r="V298" i="70"/>
  <c r="V73" i="70"/>
  <c r="V56" i="70"/>
  <c r="V28" i="70"/>
  <c r="V83" i="70"/>
  <c r="V186" i="70"/>
  <c r="V119" i="70"/>
  <c r="V99" i="70"/>
  <c r="V243" i="70"/>
  <c r="V154" i="70"/>
  <c r="V215" i="70"/>
  <c r="V198" i="70"/>
  <c r="V211" i="70"/>
  <c r="V50" i="70"/>
  <c r="V33" i="70"/>
  <c r="V181" i="70"/>
  <c r="V140" i="70"/>
  <c r="V74" i="70"/>
  <c r="V296" i="70"/>
  <c r="V277" i="70"/>
  <c r="V132" i="70"/>
  <c r="V238" i="70"/>
  <c r="V192" i="70"/>
  <c r="V175" i="70"/>
  <c r="V219" i="70"/>
  <c r="V52" i="70"/>
  <c r="V216" i="70"/>
  <c r="V143" i="70"/>
  <c r="V284" i="70"/>
  <c r="V139" i="70"/>
  <c r="V170" i="70"/>
  <c r="V39" i="70"/>
  <c r="V237" i="70"/>
  <c r="V249" i="70"/>
  <c r="V233" i="70"/>
  <c r="V63" i="70"/>
  <c r="V205" i="70"/>
  <c r="V190" i="70"/>
  <c r="V93" i="70"/>
  <c r="V263" i="70"/>
  <c r="V25" i="70"/>
  <c r="V8" i="70"/>
  <c r="V70" i="70"/>
  <c r="V7" i="70"/>
  <c r="V49" i="70"/>
  <c r="V271" i="70"/>
  <c r="V100" i="70"/>
  <c r="V180" i="70"/>
  <c r="V84" i="70"/>
  <c r="V167" i="70"/>
  <c r="V150" i="70"/>
  <c r="V60" i="70"/>
  <c r="V66" i="70"/>
  <c r="V191" i="70"/>
  <c r="V118" i="70"/>
  <c r="V21" i="70"/>
  <c r="V123" i="70"/>
  <c r="V220" i="70"/>
  <c r="V231" i="70"/>
  <c r="V214" i="70"/>
  <c r="V19" i="70"/>
  <c r="V130" i="70"/>
  <c r="V255" i="70"/>
  <c r="V182" i="70"/>
  <c r="V85" i="70"/>
  <c r="V68" i="70"/>
  <c r="V292" i="70"/>
  <c r="V295" i="70"/>
  <c r="V278" i="70"/>
  <c r="V172" i="70"/>
  <c r="V194" i="70"/>
  <c r="V24" i="70"/>
  <c r="V246" i="70"/>
  <c r="V148" i="70"/>
  <c r="V290" i="70"/>
  <c r="V273" i="70"/>
  <c r="V142" i="70"/>
  <c r="V45" i="70"/>
  <c r="V199" i="70"/>
  <c r="V41" i="70"/>
  <c r="V166" i="70"/>
  <c r="V13" i="70"/>
  <c r="V275" i="70"/>
  <c r="V137" i="70"/>
  <c r="V120" i="70"/>
  <c r="V259" i="70"/>
  <c r="V20" i="70"/>
  <c r="V250" i="70"/>
  <c r="V183" i="70"/>
  <c r="V30" i="70"/>
  <c r="V36" i="70"/>
  <c r="V218" i="70"/>
  <c r="V279" i="70"/>
  <c r="V262" i="70"/>
  <c r="V236" i="70"/>
  <c r="V114" i="70"/>
  <c r="V97" i="70"/>
  <c r="V245" i="70"/>
  <c r="V78" i="70"/>
  <c r="V138" i="70"/>
  <c r="V65" i="70"/>
  <c r="V126" i="70"/>
  <c r="V29" i="70"/>
  <c r="V135" i="70"/>
  <c r="V256" i="70"/>
  <c r="V239" i="70"/>
  <c r="V156" i="70"/>
  <c r="V197" i="70"/>
  <c r="V280" i="70"/>
  <c r="V207" i="70"/>
  <c r="V112" i="70"/>
  <c r="V95" i="70"/>
  <c r="V268" i="70"/>
  <c r="V242" i="70"/>
  <c r="V225" i="70"/>
  <c r="V158" i="70"/>
  <c r="V62" i="70"/>
  <c r="V266" i="70"/>
  <c r="V193" i="70"/>
  <c r="V254" i="70"/>
  <c r="V157" i="70"/>
  <c r="V160" i="70"/>
  <c r="V89" i="70"/>
  <c r="V72" i="70"/>
  <c r="V11" i="70"/>
  <c r="V32" i="70"/>
  <c r="V113" i="70"/>
  <c r="V40" i="70"/>
  <c r="V23" i="70"/>
  <c r="V221" i="70"/>
  <c r="V57" i="70"/>
  <c r="V153" i="70"/>
  <c r="V136" i="70"/>
  <c r="V228" i="70"/>
  <c r="V288" i="70"/>
  <c r="V177" i="70"/>
  <c r="V104" i="70"/>
  <c r="V87" i="70"/>
  <c r="V285" i="70"/>
  <c r="V18" i="70"/>
  <c r="V217" i="70"/>
  <c r="V200" i="70"/>
  <c r="V53" i="70"/>
  <c r="V82" i="70"/>
  <c r="V241" i="70"/>
  <c r="V168" i="70"/>
  <c r="V149" i="70"/>
  <c r="V133" i="70"/>
  <c r="V64" i="70"/>
  <c r="V47" i="70"/>
  <c r="V43" i="70"/>
  <c r="V258" i="70"/>
  <c r="V88" i="70"/>
  <c r="V15" i="70"/>
  <c r="V91" i="70"/>
  <c r="V115" i="70"/>
  <c r="V42" i="70"/>
  <c r="V206" i="70"/>
  <c r="V109" i="70"/>
  <c r="V96" i="70"/>
  <c r="V105" i="70"/>
  <c r="V230" i="70"/>
  <c r="V77" i="70"/>
  <c r="V203" i="70"/>
  <c r="V201" i="70"/>
  <c r="V184" i="70"/>
  <c r="V164" i="70"/>
  <c r="V244" i="70"/>
  <c r="V54" i="70"/>
  <c r="V247" i="70"/>
  <c r="V260" i="70"/>
  <c r="V116" i="70"/>
  <c r="V282" i="70"/>
  <c r="V48" i="70"/>
  <c r="V31" i="70"/>
  <c r="V35" i="70"/>
  <c r="V178" i="70"/>
  <c r="V161" i="70"/>
  <c r="V94" i="70"/>
  <c r="V267" i="70"/>
  <c r="V202" i="70"/>
  <c r="V129" i="70"/>
  <c r="V108" i="70"/>
  <c r="V34" i="70"/>
  <c r="V17" i="70"/>
  <c r="V101" i="70"/>
  <c r="V124" i="70"/>
  <c r="V69" i="70"/>
  <c r="V80" i="70"/>
  <c r="V125" i="70"/>
  <c r="V27" i="70"/>
  <c r="V121" i="70"/>
  <c r="V176" i="70"/>
  <c r="V159" i="70"/>
  <c r="V212" i="70"/>
  <c r="V44" i="70"/>
  <c r="V289" i="70"/>
  <c r="V222" i="70"/>
  <c r="V22" i="70"/>
  <c r="V235" i="70"/>
  <c r="V257" i="70"/>
  <c r="V240" i="70"/>
  <c r="V223" i="70"/>
  <c r="V155" i="70"/>
  <c r="V12" i="70"/>
  <c r="V58" i="70"/>
  <c r="V286" i="70"/>
  <c r="V251" i="70"/>
  <c r="V185" i="70"/>
  <c r="V26" i="70"/>
  <c r="V9" i="70"/>
  <c r="V287" i="70"/>
  <c r="V92" i="70"/>
  <c r="V59" i="70"/>
  <c r="V122" i="70"/>
  <c r="V55" i="70"/>
  <c r="V188" i="70"/>
  <c r="V14" i="70"/>
  <c r="V90" i="70"/>
  <c r="V151" i="70"/>
  <c r="V134" i="70"/>
  <c r="V210" i="70"/>
  <c r="V281" i="70"/>
  <c r="V264" i="70"/>
  <c r="V117" i="70"/>
  <c r="V274" i="70"/>
  <c r="V10" i="70"/>
  <c r="V232" i="70"/>
  <c r="V213" i="70"/>
  <c r="V227" i="70"/>
  <c r="V110" i="70"/>
  <c r="V128" i="70"/>
  <c r="V111" i="70"/>
  <c r="V276" i="70"/>
  <c r="V171" i="70"/>
  <c r="V152" i="70"/>
  <c r="V79" i="70"/>
  <c r="V46" i="70"/>
  <c r="V147" i="70"/>
  <c r="V106" i="70"/>
  <c r="V270" i="70"/>
  <c r="V173" i="70"/>
  <c r="V224" i="70"/>
  <c r="V169" i="70"/>
  <c r="V294" i="70"/>
  <c r="V141" i="70"/>
  <c r="V38" i="70"/>
  <c r="V265" i="70"/>
  <c r="V248" i="70"/>
  <c r="V37" i="70"/>
  <c r="V187" i="70"/>
  <c r="V131" i="70"/>
  <c r="V16" i="70"/>
  <c r="V61" i="70"/>
  <c r="V67" i="70"/>
  <c r="V283" i="70"/>
  <c r="V195" i="70"/>
  <c r="V179" i="70"/>
  <c r="V234" i="70"/>
  <c r="V103" i="70"/>
  <c r="V86" i="70"/>
  <c r="V146" i="70"/>
  <c r="V297" i="70"/>
  <c r="V127" i="70"/>
  <c r="V269" i="70"/>
  <c r="AB42" i="56"/>
  <c r="AB72" i="56"/>
  <c r="AB294" i="56"/>
  <c r="AB39" i="56"/>
  <c r="AB126" i="56"/>
  <c r="AB278" i="56"/>
  <c r="AB235" i="56"/>
  <c r="AB204" i="56"/>
  <c r="J274" i="54"/>
  <c r="BH274" i="54" s="1"/>
  <c r="AC274" i="53"/>
  <c r="AC110" i="53"/>
  <c r="J110" i="54"/>
  <c r="BH110" i="54" s="1"/>
  <c r="AC219" i="53"/>
  <c r="AC285" i="53"/>
  <c r="J210" i="54"/>
  <c r="BH210" i="54" s="1"/>
  <c r="AC210" i="53"/>
  <c r="AC126" i="53"/>
  <c r="AC262" i="53"/>
  <c r="J262" i="54"/>
  <c r="BH262" i="54" s="1"/>
  <c r="H13" i="68"/>
  <c r="P149" i="66"/>
  <c r="AU97" i="66"/>
  <c r="AA97" i="66"/>
  <c r="O97" i="66"/>
  <c r="AK97" i="66" s="1"/>
  <c r="O149" i="66"/>
  <c r="D156" i="66"/>
  <c r="O156" i="66" s="1"/>
  <c r="AB44" i="56"/>
  <c r="AB100" i="56"/>
  <c r="AB181" i="56"/>
  <c r="AB191" i="56"/>
  <c r="AB78" i="56"/>
  <c r="AB63" i="56"/>
  <c r="AB232" i="56"/>
  <c r="AB267" i="56"/>
  <c r="AB31" i="56"/>
  <c r="AB269" i="56"/>
  <c r="AB163" i="56"/>
  <c r="AB128" i="56"/>
  <c r="AB149" i="56"/>
  <c r="AB177" i="56"/>
  <c r="AB73" i="56"/>
  <c r="AB188" i="56"/>
  <c r="AB221" i="56"/>
  <c r="AB25" i="56"/>
  <c r="AC240" i="51"/>
  <c r="AC219" i="51"/>
  <c r="AB230" i="65"/>
  <c r="AB251" i="65"/>
  <c r="I241" i="57"/>
  <c r="I67" i="68" s="1"/>
  <c r="I241" i="65"/>
  <c r="AB241" i="54"/>
  <c r="AV241" i="54" s="1"/>
  <c r="I237" i="68"/>
  <c r="AB230" i="57"/>
  <c r="I258" i="68"/>
  <c r="AB251" i="57"/>
  <c r="I263" i="54"/>
  <c r="BG263" i="54" s="1"/>
  <c r="AB263" i="53"/>
  <c r="I274" i="53"/>
  <c r="I262" i="65"/>
  <c r="AB262" i="54"/>
  <c r="AV262" i="54" s="1"/>
  <c r="I262" i="57"/>
  <c r="I70" i="68" s="1"/>
  <c r="I252" i="57"/>
  <c r="I310" i="68" s="1"/>
  <c r="I252" i="65"/>
  <c r="AB252" i="54"/>
  <c r="AV252" i="54" s="1"/>
  <c r="I273" i="54"/>
  <c r="BG273" i="54" s="1"/>
  <c r="AB273" i="53"/>
  <c r="I284" i="53"/>
  <c r="AB15" i="65"/>
  <c r="J162" i="54" l="1"/>
  <c r="BH162" i="54" s="1"/>
  <c r="J116" i="54"/>
  <c r="BH116" i="54" s="1"/>
  <c r="J70" i="54"/>
  <c r="BH70" i="54" s="1"/>
  <c r="J53" i="54"/>
  <c r="BH53" i="54" s="1"/>
  <c r="P67" i="66"/>
  <c r="AL67" i="66" s="1"/>
  <c r="AV67" i="66"/>
  <c r="AC296" i="53"/>
  <c r="AC244" i="53"/>
  <c r="J51" i="54"/>
  <c r="BH51" i="54" s="1"/>
  <c r="J62" i="54"/>
  <c r="BH62" i="54" s="1"/>
  <c r="AC18" i="53"/>
  <c r="AC146" i="53"/>
  <c r="AC182" i="53"/>
  <c r="J32" i="54"/>
  <c r="BH32" i="54" s="1"/>
  <c r="J261" i="54"/>
  <c r="BH261" i="54" s="1"/>
  <c r="J115" i="54"/>
  <c r="J171" i="54"/>
  <c r="BH171" i="54" s="1"/>
  <c r="AC300" i="53"/>
  <c r="J263" i="54"/>
  <c r="BH263" i="54" s="1"/>
  <c r="AC20" i="53"/>
  <c r="J55" i="54"/>
  <c r="BH55" i="54" s="1"/>
  <c r="J161" i="54"/>
  <c r="BH161" i="54" s="1"/>
  <c r="J213" i="54"/>
  <c r="AC41" i="53"/>
  <c r="AC133" i="53"/>
  <c r="AC195" i="53"/>
  <c r="J217" i="54"/>
  <c r="BH217" i="54" s="1"/>
  <c r="F34" i="66"/>
  <c r="AW34" i="66" s="1"/>
  <c r="J272" i="54"/>
  <c r="AC207" i="53"/>
  <c r="AV90" i="66"/>
  <c r="AB90" i="66"/>
  <c r="J34" i="54"/>
  <c r="J279" i="54"/>
  <c r="J172" i="54"/>
  <c r="BH172" i="54" s="1"/>
  <c r="J91" i="54"/>
  <c r="J292" i="54"/>
  <c r="J292" i="57" s="1"/>
  <c r="J236" i="54"/>
  <c r="J124" i="54"/>
  <c r="BH124" i="54" s="1"/>
  <c r="J46" i="54"/>
  <c r="AC148" i="53"/>
  <c r="J72" i="54"/>
  <c r="BH72" i="54" s="1"/>
  <c r="AC27" i="53"/>
  <c r="AC166" i="53"/>
  <c r="AC246" i="53"/>
  <c r="J85" i="54"/>
  <c r="J198" i="54"/>
  <c r="BH198" i="54" s="1"/>
  <c r="AC60" i="53"/>
  <c r="AC286" i="53"/>
  <c r="K329" i="42"/>
  <c r="K336" i="42" s="1"/>
  <c r="AC107" i="53"/>
  <c r="AC84" i="53"/>
  <c r="J140" i="54"/>
  <c r="AC19" i="53"/>
  <c r="J117" i="54"/>
  <c r="BH117" i="54" s="1"/>
  <c r="AC112" i="53"/>
  <c r="J230" i="54"/>
  <c r="AC243" i="53"/>
  <c r="J169" i="54"/>
  <c r="BH169" i="54" s="1"/>
  <c r="J250" i="54"/>
  <c r="BH250" i="54" s="1"/>
  <c r="J153" i="54"/>
  <c r="BH153" i="54" s="1"/>
  <c r="AC79" i="53"/>
  <c r="AC160" i="53"/>
  <c r="K13" i="42"/>
  <c r="K354" i="42"/>
  <c r="K361" i="42" s="1"/>
  <c r="J15" i="53"/>
  <c r="J15" i="54" s="1"/>
  <c r="BH15" i="54" s="1"/>
  <c r="J82" i="54"/>
  <c r="BH82" i="54" s="1"/>
  <c r="J147" i="54"/>
  <c r="BH147" i="54" s="1"/>
  <c r="AC307" i="53"/>
  <c r="J165" i="54"/>
  <c r="AC294" i="53"/>
  <c r="AC36" i="53"/>
  <c r="J306" i="54"/>
  <c r="BH306" i="54" s="1"/>
  <c r="J190" i="54"/>
  <c r="J76" i="54"/>
  <c r="BH76" i="54" s="1"/>
  <c r="J224" i="54"/>
  <c r="AC184" i="53"/>
  <c r="AC258" i="53"/>
  <c r="AC154" i="53"/>
  <c r="AC253" i="53"/>
  <c r="AC167" i="53"/>
  <c r="J199" i="54"/>
  <c r="J251" i="54"/>
  <c r="J65" i="54"/>
  <c r="AC119" i="53"/>
  <c r="AC52" i="53"/>
  <c r="J222" i="54"/>
  <c r="AC188" i="53"/>
  <c r="J96" i="54"/>
  <c r="BH96" i="54" s="1"/>
  <c r="J218" i="54"/>
  <c r="AC220" i="53"/>
  <c r="AC269" i="53"/>
  <c r="AC196" i="53"/>
  <c r="AC122" i="53"/>
  <c r="AC100" i="53"/>
  <c r="AC278" i="53"/>
  <c r="J225" i="54"/>
  <c r="BH225" i="54" s="1"/>
  <c r="AC54" i="53"/>
  <c r="J102" i="54"/>
  <c r="J297" i="54"/>
  <c r="AC125" i="53"/>
  <c r="AC241" i="53"/>
  <c r="AC59" i="53"/>
  <c r="AC81" i="53"/>
  <c r="AC138" i="53"/>
  <c r="J249" i="54"/>
  <c r="AC211" i="53"/>
  <c r="AC48" i="53"/>
  <c r="J252" i="54"/>
  <c r="J68" i="54"/>
  <c r="AC240" i="53"/>
  <c r="J105" i="54"/>
  <c r="AC63" i="53"/>
  <c r="J98" i="54"/>
  <c r="AC141" i="53"/>
  <c r="AC92" i="53"/>
  <c r="AC30" i="53"/>
  <c r="AC101" i="53"/>
  <c r="AC291" i="53"/>
  <c r="AC97" i="53"/>
  <c r="AC95" i="53"/>
  <c r="AC67" i="53"/>
  <c r="AC128" i="53"/>
  <c r="J205" i="54"/>
  <c r="J201" i="54"/>
  <c r="AL18" i="66"/>
  <c r="J44" i="54"/>
  <c r="J152" i="54"/>
  <c r="BH152" i="54" s="1"/>
  <c r="AC176" i="53"/>
  <c r="AC157" i="53"/>
  <c r="AC181" i="53"/>
  <c r="AC103" i="53"/>
  <c r="J227" i="54"/>
  <c r="BH227" i="54" s="1"/>
  <c r="J215" i="54"/>
  <c r="AC168" i="53"/>
  <c r="AC268" i="53"/>
  <c r="AC131" i="53"/>
  <c r="AC57" i="53"/>
  <c r="J163" i="54"/>
  <c r="J80" i="54"/>
  <c r="AC83" i="53"/>
  <c r="AC149" i="53"/>
  <c r="J33" i="54"/>
  <c r="AC202" i="53"/>
  <c r="J144" i="54"/>
  <c r="J280" i="54"/>
  <c r="BH280" i="54" s="1"/>
  <c r="AC121" i="53"/>
  <c r="AC174" i="53"/>
  <c r="AC256" i="53"/>
  <c r="AC193" i="53"/>
  <c r="J137" i="54"/>
  <c r="J26" i="54"/>
  <c r="BH26" i="54" s="1"/>
  <c r="J228" i="54"/>
  <c r="BH228" i="54" s="1"/>
  <c r="J50" i="54"/>
  <c r="AC175" i="53"/>
  <c r="AC49" i="53"/>
  <c r="J74" i="54"/>
  <c r="AC87" i="53"/>
  <c r="AC104" i="53"/>
  <c r="J204" i="54"/>
  <c r="AC37" i="53"/>
  <c r="AC247" i="53"/>
  <c r="J305" i="54"/>
  <c r="BH305" i="54" s="1"/>
  <c r="AC212" i="53"/>
  <c r="J120" i="54"/>
  <c r="J276" i="54"/>
  <c r="AC293" i="53"/>
  <c r="J288" i="54"/>
  <c r="J208" i="54"/>
  <c r="AC86" i="53"/>
  <c r="AC16" i="53"/>
  <c r="J111" i="54"/>
  <c r="J90" i="54"/>
  <c r="J302" i="54"/>
  <c r="J113" i="54"/>
  <c r="BH113" i="54" s="1"/>
  <c r="J143" i="54"/>
  <c r="AC155" i="53"/>
  <c r="J179" i="54"/>
  <c r="AC267" i="53"/>
  <c r="AC136" i="53"/>
  <c r="AC223" i="53"/>
  <c r="J242" i="54"/>
  <c r="J214" i="54"/>
  <c r="J303" i="54"/>
  <c r="AC277" i="53"/>
  <c r="AC135" i="53"/>
  <c r="J45" i="54"/>
  <c r="J88" i="54"/>
  <c r="AC40" i="53"/>
  <c r="AC283" i="53"/>
  <c r="J43" i="54"/>
  <c r="J231" i="54"/>
  <c r="J132" i="54"/>
  <c r="J25" i="54"/>
  <c r="J75" i="54"/>
  <c r="AC29" i="53"/>
  <c r="J266" i="54"/>
  <c r="J284" i="54"/>
  <c r="J47" i="54"/>
  <c r="AC129" i="53"/>
  <c r="AC273" i="53"/>
  <c r="AC194" i="53"/>
  <c r="J287" i="54"/>
  <c r="BH287" i="54" s="1"/>
  <c r="AC106" i="53"/>
  <c r="AC200" i="53"/>
  <c r="AC17" i="53"/>
  <c r="J71" i="54"/>
  <c r="AC197" i="53"/>
  <c r="AC109" i="53"/>
  <c r="AC159" i="53"/>
  <c r="J130" i="54"/>
  <c r="BH130" i="54" s="1"/>
  <c r="J295" i="54"/>
  <c r="BH295" i="54" s="1"/>
  <c r="J78" i="54"/>
  <c r="J180" i="54"/>
  <c r="J35" i="54"/>
  <c r="AC254" i="53"/>
  <c r="J39" i="54"/>
  <c r="BH39" i="54" s="1"/>
  <c r="J134" i="54"/>
  <c r="AC203" i="53"/>
  <c r="AC156" i="53"/>
  <c r="AC22" i="53"/>
  <c r="J289" i="54"/>
  <c r="AC127" i="53"/>
  <c r="AC77" i="53"/>
  <c r="AC275" i="53"/>
  <c r="J151" i="54"/>
  <c r="J298" i="54"/>
  <c r="AC185" i="53"/>
  <c r="J232" i="54"/>
  <c r="AC189" i="53"/>
  <c r="AC229" i="53"/>
  <c r="AC259" i="53"/>
  <c r="AL17" i="66"/>
  <c r="Q30" i="66"/>
  <c r="AM30" i="66" s="1"/>
  <c r="AW31" i="66"/>
  <c r="AC30" i="66"/>
  <c r="AC31" i="66"/>
  <c r="AW32" i="66"/>
  <c r="AC32" i="66"/>
  <c r="AC33" i="66"/>
  <c r="Q33" i="66"/>
  <c r="AM33" i="66" s="1"/>
  <c r="Q36" i="66"/>
  <c r="AM36" i="66" s="1"/>
  <c r="AW36" i="66"/>
  <c r="J264" i="54"/>
  <c r="J234" i="54"/>
  <c r="J38" i="54"/>
  <c r="J304" i="54"/>
  <c r="AC94" i="53"/>
  <c r="AC245" i="53"/>
  <c r="J282" i="54"/>
  <c r="AW35" i="66"/>
  <c r="J301" i="54"/>
  <c r="BH301" i="54" s="1"/>
  <c r="AC271" i="53"/>
  <c r="Q35" i="66"/>
  <c r="AM35" i="66" s="1"/>
  <c r="N146" i="70"/>
  <c r="W146" i="70"/>
  <c r="N179" i="70"/>
  <c r="W179" i="70"/>
  <c r="N61" i="70"/>
  <c r="W61" i="70"/>
  <c r="W37" i="70"/>
  <c r="N37" i="70"/>
  <c r="N141" i="70"/>
  <c r="W141" i="70"/>
  <c r="N173" i="70"/>
  <c r="W173" i="70"/>
  <c r="N46" i="70"/>
  <c r="W46" i="70"/>
  <c r="N276" i="70"/>
  <c r="W276" i="70"/>
  <c r="N227" i="70"/>
  <c r="W227" i="70"/>
  <c r="N274" i="70"/>
  <c r="W274" i="70"/>
  <c r="N210" i="70"/>
  <c r="W210" i="70"/>
  <c r="N14" i="70"/>
  <c r="W14" i="70"/>
  <c r="W59" i="70"/>
  <c r="N59" i="70"/>
  <c r="N26" i="70"/>
  <c r="W26" i="70"/>
  <c r="N58" i="70"/>
  <c r="W58" i="70"/>
  <c r="W240" i="70"/>
  <c r="N240" i="70"/>
  <c r="N222" i="70"/>
  <c r="W222" i="70"/>
  <c r="N159" i="70"/>
  <c r="W159" i="70"/>
  <c r="N27" i="70"/>
  <c r="W27" i="70"/>
  <c r="N124" i="70"/>
  <c r="W124" i="70"/>
  <c r="N108" i="70"/>
  <c r="W108" i="70"/>
  <c r="N94" i="70"/>
  <c r="W94" i="70"/>
  <c r="N31" i="70"/>
  <c r="W31" i="70"/>
  <c r="W260" i="70"/>
  <c r="N260" i="70"/>
  <c r="W164" i="70"/>
  <c r="N164" i="70"/>
  <c r="N77" i="70"/>
  <c r="W77" i="70"/>
  <c r="N109" i="70"/>
  <c r="W109" i="70"/>
  <c r="N91" i="70"/>
  <c r="W91" i="70"/>
  <c r="N43" i="70"/>
  <c r="W43" i="70"/>
  <c r="N82" i="70"/>
  <c r="W82" i="70"/>
  <c r="N18" i="70"/>
  <c r="W18" i="70"/>
  <c r="N177" i="70"/>
  <c r="W177" i="70"/>
  <c r="W153" i="70"/>
  <c r="N153" i="70"/>
  <c r="N40" i="70"/>
  <c r="W40" i="70"/>
  <c r="N72" i="70"/>
  <c r="W72" i="70"/>
  <c r="N254" i="70"/>
  <c r="W254" i="70"/>
  <c r="N158" i="70"/>
  <c r="W158" i="70"/>
  <c r="N95" i="70"/>
  <c r="W95" i="70"/>
  <c r="W197" i="70"/>
  <c r="N197" i="70"/>
  <c r="W135" i="70"/>
  <c r="N135" i="70"/>
  <c r="W138" i="70"/>
  <c r="N138" i="70"/>
  <c r="N114" i="70"/>
  <c r="W114" i="70"/>
  <c r="N218" i="70"/>
  <c r="W218" i="70"/>
  <c r="N250" i="70"/>
  <c r="W250" i="70"/>
  <c r="N137" i="70"/>
  <c r="W137" i="70"/>
  <c r="N41" i="70"/>
  <c r="W41" i="70"/>
  <c r="N273" i="70"/>
  <c r="W273" i="70"/>
  <c r="N24" i="70"/>
  <c r="W24" i="70"/>
  <c r="W295" i="70"/>
  <c r="N295" i="70"/>
  <c r="W182" i="70"/>
  <c r="N182" i="70"/>
  <c r="W214" i="70"/>
  <c r="N214" i="70"/>
  <c r="N21" i="70"/>
  <c r="W21" i="70"/>
  <c r="N60" i="70"/>
  <c r="W60" i="70"/>
  <c r="N180" i="70"/>
  <c r="W180" i="70"/>
  <c r="N7" i="70"/>
  <c r="W7" i="70"/>
  <c r="W263" i="70"/>
  <c r="N263" i="70"/>
  <c r="N63" i="70"/>
  <c r="W63" i="70"/>
  <c r="W39" i="70"/>
  <c r="N39" i="70"/>
  <c r="N143" i="70"/>
  <c r="W143" i="70"/>
  <c r="N175" i="70"/>
  <c r="W175" i="70"/>
  <c r="N277" i="70"/>
  <c r="W277" i="70"/>
  <c r="N181" i="70"/>
  <c r="W181" i="70"/>
  <c r="N198" i="70"/>
  <c r="W198" i="70"/>
  <c r="N99" i="70"/>
  <c r="W99" i="70"/>
  <c r="N28" i="70"/>
  <c r="W28" i="70"/>
  <c r="W75" i="70"/>
  <c r="N75" i="70"/>
  <c r="W196" i="70"/>
  <c r="N196" i="70"/>
  <c r="W107" i="70"/>
  <c r="N107" i="70"/>
  <c r="N174" i="70"/>
  <c r="W174" i="70"/>
  <c r="W162" i="70"/>
  <c r="W144" i="70"/>
  <c r="N144" i="70"/>
  <c r="N81" i="70"/>
  <c r="W81" i="70"/>
  <c r="N269" i="70"/>
  <c r="W269" i="70"/>
  <c r="W86" i="70"/>
  <c r="N86" i="70"/>
  <c r="N195" i="70"/>
  <c r="W195" i="70"/>
  <c r="W16" i="70"/>
  <c r="N16" i="70"/>
  <c r="N248" i="70"/>
  <c r="W248" i="70"/>
  <c r="N294" i="70"/>
  <c r="W294" i="70"/>
  <c r="N270" i="70"/>
  <c r="W270" i="70"/>
  <c r="N79" i="70"/>
  <c r="W79" i="70"/>
  <c r="N111" i="70"/>
  <c r="W111" i="70"/>
  <c r="N213" i="70"/>
  <c r="W213" i="70"/>
  <c r="N117" i="70"/>
  <c r="W117" i="70"/>
  <c r="N134" i="70"/>
  <c r="W134" i="70"/>
  <c r="N188" i="70"/>
  <c r="W188" i="70"/>
  <c r="N92" i="70"/>
  <c r="W92" i="70"/>
  <c r="W185" i="70"/>
  <c r="N185" i="70"/>
  <c r="N12" i="70"/>
  <c r="W12" i="70"/>
  <c r="N257" i="70"/>
  <c r="W257" i="70"/>
  <c r="N289" i="70"/>
  <c r="W289" i="70"/>
  <c r="W176" i="70"/>
  <c r="N176" i="70"/>
  <c r="N125" i="70"/>
  <c r="W125" i="70"/>
  <c r="W101" i="70"/>
  <c r="N101" i="70"/>
  <c r="N129" i="70"/>
  <c r="W129" i="70"/>
  <c r="N161" i="70"/>
  <c r="W161" i="70"/>
  <c r="W48" i="70"/>
  <c r="N48" i="70"/>
  <c r="N247" i="70"/>
  <c r="W247" i="70"/>
  <c r="W184" i="70"/>
  <c r="N230" i="70"/>
  <c r="W230" i="70"/>
  <c r="N206" i="70"/>
  <c r="W206" i="70"/>
  <c r="N15" i="70"/>
  <c r="W15" i="70"/>
  <c r="N47" i="70"/>
  <c r="W47" i="70"/>
  <c r="N149" i="70"/>
  <c r="W149" i="70"/>
  <c r="N53" i="70"/>
  <c r="W53" i="70"/>
  <c r="N285" i="70"/>
  <c r="W285" i="70"/>
  <c r="N288" i="70"/>
  <c r="W288" i="70"/>
  <c r="W57" i="70"/>
  <c r="N57" i="70"/>
  <c r="N113" i="70"/>
  <c r="W113" i="70"/>
  <c r="W89" i="70"/>
  <c r="N89" i="70"/>
  <c r="N193" i="70"/>
  <c r="W193" i="70"/>
  <c r="N225" i="70"/>
  <c r="W225" i="70"/>
  <c r="W112" i="70"/>
  <c r="N112" i="70"/>
  <c r="N156" i="70"/>
  <c r="W156" i="70"/>
  <c r="N29" i="70"/>
  <c r="W29" i="70"/>
  <c r="N78" i="70"/>
  <c r="W78" i="70"/>
  <c r="N236" i="70"/>
  <c r="W236" i="70"/>
  <c r="W36" i="70"/>
  <c r="N36" i="70"/>
  <c r="N20" i="70"/>
  <c r="W20" i="70"/>
  <c r="N275" i="70"/>
  <c r="W275" i="70"/>
  <c r="W199" i="70"/>
  <c r="N199" i="70"/>
  <c r="N290" i="70"/>
  <c r="W290" i="70"/>
  <c r="N194" i="70"/>
  <c r="W194" i="70"/>
  <c r="W292" i="70"/>
  <c r="N292" i="70"/>
  <c r="N255" i="70"/>
  <c r="W255" i="70"/>
  <c r="W231" i="70"/>
  <c r="N231" i="70"/>
  <c r="W118" i="70"/>
  <c r="N118" i="70"/>
  <c r="W150" i="70"/>
  <c r="N150" i="70"/>
  <c r="W100" i="70"/>
  <c r="N100" i="70"/>
  <c r="N70" i="70"/>
  <c r="W70" i="70"/>
  <c r="N93" i="70"/>
  <c r="W93" i="70"/>
  <c r="N233" i="70"/>
  <c r="W233" i="70"/>
  <c r="W170" i="70"/>
  <c r="N170" i="70"/>
  <c r="N216" i="70"/>
  <c r="W216" i="70"/>
  <c r="N192" i="70"/>
  <c r="W192" i="70"/>
  <c r="N296" i="70"/>
  <c r="W296" i="70"/>
  <c r="N33" i="70"/>
  <c r="W33" i="70"/>
  <c r="N215" i="70"/>
  <c r="W215" i="70"/>
  <c r="N119" i="70"/>
  <c r="W119" i="70"/>
  <c r="N56" i="70"/>
  <c r="W56" i="70"/>
  <c r="N102" i="70"/>
  <c r="W102" i="70"/>
  <c r="W293" i="70"/>
  <c r="N293" i="70"/>
  <c r="N163" i="70"/>
  <c r="W163" i="70"/>
  <c r="N291" i="70"/>
  <c r="W291" i="70"/>
  <c r="N204" i="70"/>
  <c r="W204" i="70"/>
  <c r="W261" i="70"/>
  <c r="N261" i="70"/>
  <c r="N98" i="70"/>
  <c r="W98" i="70"/>
  <c r="N127" i="70"/>
  <c r="W127" i="70"/>
  <c r="W103" i="70"/>
  <c r="N103" i="70"/>
  <c r="N283" i="70"/>
  <c r="W283" i="70"/>
  <c r="N131" i="70"/>
  <c r="W131" i="70"/>
  <c r="N265" i="70"/>
  <c r="W265" i="70"/>
  <c r="N169" i="70"/>
  <c r="W169" i="70"/>
  <c r="W106" i="70"/>
  <c r="N106" i="70"/>
  <c r="N152" i="70"/>
  <c r="W152" i="70"/>
  <c r="N128" i="70"/>
  <c r="W128" i="70"/>
  <c r="N232" i="70"/>
  <c r="W232" i="70"/>
  <c r="N264" i="70"/>
  <c r="W264" i="70"/>
  <c r="N151" i="70"/>
  <c r="W151" i="70"/>
  <c r="N55" i="70"/>
  <c r="W55" i="70"/>
  <c r="N287" i="70"/>
  <c r="W287" i="70"/>
  <c r="N251" i="70"/>
  <c r="W251" i="70"/>
  <c r="N155" i="70"/>
  <c r="W155" i="70"/>
  <c r="W235" i="70"/>
  <c r="N235" i="70"/>
  <c r="N44" i="70"/>
  <c r="W44" i="70"/>
  <c r="W80" i="70"/>
  <c r="N80" i="70"/>
  <c r="N17" i="70"/>
  <c r="W17" i="70"/>
  <c r="W202" i="70"/>
  <c r="N202" i="70"/>
  <c r="N178" i="70"/>
  <c r="W178" i="70"/>
  <c r="N282" i="70"/>
  <c r="W282" i="70"/>
  <c r="W54" i="70"/>
  <c r="N54" i="70"/>
  <c r="N201" i="70"/>
  <c r="W201" i="70"/>
  <c r="N105" i="70"/>
  <c r="W105" i="70"/>
  <c r="W42" i="70"/>
  <c r="N42" i="70"/>
  <c r="N88" i="70"/>
  <c r="W88" i="70"/>
  <c r="N64" i="70"/>
  <c r="W64" i="70"/>
  <c r="L4" i="70"/>
  <c r="N168" i="70"/>
  <c r="W168" i="70"/>
  <c r="N200" i="70"/>
  <c r="W200" i="70"/>
  <c r="N87" i="70"/>
  <c r="W87" i="70"/>
  <c r="W228" i="70"/>
  <c r="N228" i="70"/>
  <c r="N221" i="70"/>
  <c r="W221" i="70"/>
  <c r="W32" i="70"/>
  <c r="N32" i="70"/>
  <c r="N160" i="70"/>
  <c r="W160" i="70"/>
  <c r="W266" i="70"/>
  <c r="N266" i="70"/>
  <c r="N242" i="70"/>
  <c r="W242" i="70"/>
  <c r="N207" i="70"/>
  <c r="W207" i="70"/>
  <c r="N239" i="70"/>
  <c r="W239" i="70"/>
  <c r="N126" i="70"/>
  <c r="W126" i="70"/>
  <c r="N245" i="70"/>
  <c r="W245" i="70"/>
  <c r="N262" i="70"/>
  <c r="W262" i="70"/>
  <c r="N30" i="70"/>
  <c r="W30" i="70"/>
  <c r="N259" i="70"/>
  <c r="W259" i="70"/>
  <c r="N13" i="70"/>
  <c r="W13" i="70"/>
  <c r="N45" i="70"/>
  <c r="W45" i="70"/>
  <c r="N148" i="70"/>
  <c r="W148" i="70"/>
  <c r="N172" i="70"/>
  <c r="W172" i="70"/>
  <c r="W68" i="70"/>
  <c r="N68" i="70"/>
  <c r="N130" i="70"/>
  <c r="W130" i="70"/>
  <c r="N220" i="70"/>
  <c r="W220" i="70"/>
  <c r="N191" i="70"/>
  <c r="W191" i="70"/>
  <c r="W167" i="70"/>
  <c r="N167" i="70"/>
  <c r="N271" i="70"/>
  <c r="W271" i="70"/>
  <c r="N8" i="70"/>
  <c r="W8" i="70"/>
  <c r="N190" i="70"/>
  <c r="W190" i="70"/>
  <c r="W249" i="70"/>
  <c r="N249" i="70"/>
  <c r="W139" i="70"/>
  <c r="N139" i="70"/>
  <c r="N52" i="70"/>
  <c r="W52" i="70"/>
  <c r="N238" i="70"/>
  <c r="W238" i="70"/>
  <c r="W74" i="70"/>
  <c r="N74" i="70"/>
  <c r="N50" i="70"/>
  <c r="W50" i="70"/>
  <c r="N154" i="70"/>
  <c r="W154" i="70"/>
  <c r="N186" i="70"/>
  <c r="W186" i="70"/>
  <c r="N73" i="70"/>
  <c r="W73" i="70"/>
  <c r="W272" i="70"/>
  <c r="N272" i="70"/>
  <c r="N209" i="70"/>
  <c r="W209" i="70"/>
  <c r="N253" i="70"/>
  <c r="W253" i="70"/>
  <c r="W229" i="70"/>
  <c r="N229" i="70"/>
  <c r="N252" i="70"/>
  <c r="W252" i="70"/>
  <c r="W51" i="70"/>
  <c r="N51" i="70"/>
  <c r="N76" i="70"/>
  <c r="W76" i="70"/>
  <c r="N297" i="70"/>
  <c r="W297" i="70"/>
  <c r="W234" i="70"/>
  <c r="N234" i="70"/>
  <c r="N67" i="70"/>
  <c r="W67" i="70"/>
  <c r="N187" i="70"/>
  <c r="W187" i="70"/>
  <c r="N38" i="70"/>
  <c r="W38" i="70"/>
  <c r="N224" i="70"/>
  <c r="W224" i="70"/>
  <c r="N147" i="70"/>
  <c r="W147" i="70"/>
  <c r="W171" i="70"/>
  <c r="N171" i="70"/>
  <c r="N110" i="70"/>
  <c r="W110" i="70"/>
  <c r="W10" i="70"/>
  <c r="N10" i="70"/>
  <c r="W281" i="70"/>
  <c r="N281" i="70"/>
  <c r="N90" i="70"/>
  <c r="W90" i="70"/>
  <c r="N122" i="70"/>
  <c r="W122" i="70"/>
  <c r="N9" i="70"/>
  <c r="W9" i="70"/>
  <c r="N286" i="70"/>
  <c r="W286" i="70"/>
  <c r="N223" i="70"/>
  <c r="W223" i="70"/>
  <c r="W22" i="70"/>
  <c r="N22" i="70"/>
  <c r="N212" i="70"/>
  <c r="W212" i="70"/>
  <c r="W121" i="70"/>
  <c r="N121" i="70"/>
  <c r="W69" i="70"/>
  <c r="N69" i="70"/>
  <c r="N34" i="70"/>
  <c r="W34" i="70"/>
  <c r="W267" i="70"/>
  <c r="N267" i="70"/>
  <c r="N35" i="70"/>
  <c r="W35" i="70"/>
  <c r="N116" i="70"/>
  <c r="W116" i="70"/>
  <c r="N244" i="70"/>
  <c r="W244" i="70"/>
  <c r="W203" i="70"/>
  <c r="N203" i="70"/>
  <c r="N96" i="70"/>
  <c r="W96" i="70"/>
  <c r="N115" i="70"/>
  <c r="W115" i="70"/>
  <c r="N258" i="70"/>
  <c r="W258" i="70"/>
  <c r="W133" i="70"/>
  <c r="N133" i="70"/>
  <c r="N241" i="70"/>
  <c r="W241" i="70"/>
  <c r="W217" i="70"/>
  <c r="N217" i="70"/>
  <c r="N104" i="70"/>
  <c r="W104" i="70"/>
  <c r="N136" i="70"/>
  <c r="W136" i="70"/>
  <c r="N23" i="70"/>
  <c r="W23" i="70"/>
  <c r="W11" i="70"/>
  <c r="N11" i="70"/>
  <c r="N157" i="70"/>
  <c r="W157" i="70"/>
  <c r="N62" i="70"/>
  <c r="W62" i="70"/>
  <c r="N268" i="70"/>
  <c r="W268" i="70"/>
  <c r="N280" i="70"/>
  <c r="W280" i="70"/>
  <c r="N256" i="70"/>
  <c r="W256" i="70"/>
  <c r="N65" i="70"/>
  <c r="W65" i="70"/>
  <c r="N97" i="70"/>
  <c r="W97" i="70"/>
  <c r="N279" i="70"/>
  <c r="W279" i="70"/>
  <c r="N183" i="70"/>
  <c r="W183" i="70"/>
  <c r="N120" i="70"/>
  <c r="W120" i="70"/>
  <c r="N166" i="70"/>
  <c r="W166" i="70"/>
  <c r="N142" i="70"/>
  <c r="W142" i="70"/>
  <c r="W246" i="70"/>
  <c r="N246" i="70"/>
  <c r="W278" i="70"/>
  <c r="N278" i="70"/>
  <c r="N85" i="70"/>
  <c r="W85" i="70"/>
  <c r="N19" i="70"/>
  <c r="W19" i="70"/>
  <c r="N123" i="70"/>
  <c r="W123" i="70"/>
  <c r="N66" i="70"/>
  <c r="W66" i="70"/>
  <c r="N84" i="70"/>
  <c r="W84" i="70"/>
  <c r="N49" i="70"/>
  <c r="W49" i="70"/>
  <c r="W25" i="70"/>
  <c r="N25" i="70"/>
  <c r="N205" i="70"/>
  <c r="W205" i="70"/>
  <c r="N237" i="70"/>
  <c r="W237" i="70"/>
  <c r="N284" i="70"/>
  <c r="W284" i="70"/>
  <c r="N219" i="70"/>
  <c r="W219" i="70"/>
  <c r="W132" i="70"/>
  <c r="N132" i="70"/>
  <c r="N140" i="70"/>
  <c r="W140" i="70"/>
  <c r="N211" i="70"/>
  <c r="W211" i="70"/>
  <c r="N243" i="70"/>
  <c r="W243" i="70"/>
  <c r="N83" i="70"/>
  <c r="W83" i="70"/>
  <c r="W298" i="70"/>
  <c r="N298" i="70"/>
  <c r="W71" i="70"/>
  <c r="N71" i="70"/>
  <c r="N226" i="70"/>
  <c r="W226" i="70"/>
  <c r="W208" i="70"/>
  <c r="N208" i="70"/>
  <c r="N145" i="70"/>
  <c r="W145" i="70"/>
  <c r="N189" i="70"/>
  <c r="W189" i="70"/>
  <c r="W165" i="70"/>
  <c r="N165" i="70"/>
  <c r="AC121" i="54"/>
  <c r="AW121" i="54" s="1"/>
  <c r="J121" i="57"/>
  <c r="J121" i="65"/>
  <c r="J246" i="65"/>
  <c r="J246" i="57"/>
  <c r="AC246" i="54"/>
  <c r="AW246" i="54" s="1"/>
  <c r="J174" i="57"/>
  <c r="J174" i="65"/>
  <c r="AC174" i="54"/>
  <c r="AW174" i="54" s="1"/>
  <c r="J291" i="57"/>
  <c r="AC291" i="54"/>
  <c r="AW291" i="54" s="1"/>
  <c r="J291" i="65"/>
  <c r="J253" i="57"/>
  <c r="AC253" i="54"/>
  <c r="AW253" i="54" s="1"/>
  <c r="J253" i="65"/>
  <c r="J41" i="65"/>
  <c r="AC41" i="54"/>
  <c r="AW41" i="54" s="1"/>
  <c r="J41" i="57"/>
  <c r="AC136" i="54"/>
  <c r="AW136" i="54" s="1"/>
  <c r="J136" i="65"/>
  <c r="J136" i="57"/>
  <c r="AC77" i="54"/>
  <c r="AW77" i="54" s="1"/>
  <c r="J77" i="65"/>
  <c r="J77" i="57"/>
  <c r="J127" i="65"/>
  <c r="J127" i="57"/>
  <c r="AC127" i="54"/>
  <c r="AW127" i="54" s="1"/>
  <c r="AC278" i="54"/>
  <c r="AW278" i="54" s="1"/>
  <c r="J278" i="57"/>
  <c r="J278" i="65"/>
  <c r="J112" i="65"/>
  <c r="AC112" i="54"/>
  <c r="AW112" i="54" s="1"/>
  <c r="J112" i="57"/>
  <c r="J129" i="57"/>
  <c r="AC129" i="54"/>
  <c r="AW129" i="54" s="1"/>
  <c r="J129" i="65"/>
  <c r="AC210" i="54"/>
  <c r="AW210" i="54" s="1"/>
  <c r="J210" i="57"/>
  <c r="J210" i="65"/>
  <c r="J274" i="57"/>
  <c r="AC274" i="54"/>
  <c r="AW274" i="54" s="1"/>
  <c r="J274" i="65"/>
  <c r="AC274" i="65" s="1"/>
  <c r="J109" i="65"/>
  <c r="AC109" i="54"/>
  <c r="AW109" i="54" s="1"/>
  <c r="J109" i="57"/>
  <c r="J27" i="65"/>
  <c r="J27" i="57"/>
  <c r="AC27" i="54"/>
  <c r="AW27" i="54" s="1"/>
  <c r="AC154" i="54"/>
  <c r="AW154" i="54" s="1"/>
  <c r="J154" i="65"/>
  <c r="J154" i="57"/>
  <c r="J148" i="57"/>
  <c r="J148" i="65"/>
  <c r="AC148" i="54"/>
  <c r="AW148" i="54" s="1"/>
  <c r="J106" i="65"/>
  <c r="AC106" i="54"/>
  <c r="AW106" i="54" s="1"/>
  <c r="J106" i="57"/>
  <c r="AC185" i="54"/>
  <c r="AW185" i="54" s="1"/>
  <c r="J185" i="57"/>
  <c r="J185" i="65"/>
  <c r="J286" i="57"/>
  <c r="J286" i="65"/>
  <c r="AC286" i="54"/>
  <c r="AW286" i="54" s="1"/>
  <c r="J131" i="65"/>
  <c r="AC131" i="54"/>
  <c r="AW131" i="54" s="1"/>
  <c r="J131" i="57"/>
  <c r="AC166" i="54"/>
  <c r="AW166" i="54" s="1"/>
  <c r="J166" i="65"/>
  <c r="J166" i="57"/>
  <c r="J219" i="65"/>
  <c r="AC219" i="54"/>
  <c r="AW219" i="54" s="1"/>
  <c r="J219" i="57"/>
  <c r="J59" i="65"/>
  <c r="J59" i="57"/>
  <c r="AC59" i="54"/>
  <c r="AW59" i="54" s="1"/>
  <c r="J149" i="65"/>
  <c r="J149" i="57"/>
  <c r="AC149" i="54"/>
  <c r="AW149" i="54" s="1"/>
  <c r="J92" i="65"/>
  <c r="AC92" i="54"/>
  <c r="AW92" i="54" s="1"/>
  <c r="J92" i="57"/>
  <c r="J283" i="65"/>
  <c r="J283" i="57"/>
  <c r="AC283" i="54"/>
  <c r="AW283" i="54" s="1"/>
  <c r="AC202" i="54"/>
  <c r="AW202" i="54" s="1"/>
  <c r="J202" i="57"/>
  <c r="J202" i="65"/>
  <c r="AC240" i="54"/>
  <c r="AW240" i="54" s="1"/>
  <c r="J240" i="57"/>
  <c r="J240" i="65"/>
  <c r="AC100" i="54"/>
  <c r="AW100" i="54" s="1"/>
  <c r="J100" i="57"/>
  <c r="J100" i="65"/>
  <c r="J157" i="57"/>
  <c r="AC157" i="54"/>
  <c r="AW157" i="54" s="1"/>
  <c r="J157" i="65"/>
  <c r="J16" i="57"/>
  <c r="AC16" i="54"/>
  <c r="AW16" i="54" s="1"/>
  <c r="J16" i="65"/>
  <c r="J245" i="57"/>
  <c r="J245" i="65"/>
  <c r="AC245" i="54"/>
  <c r="AW245" i="54" s="1"/>
  <c r="AC175" i="54"/>
  <c r="AW175" i="54" s="1"/>
  <c r="J175" i="57"/>
  <c r="J175" i="65"/>
  <c r="AC200" i="54"/>
  <c r="AW200" i="54" s="1"/>
  <c r="J200" i="65"/>
  <c r="J200" i="57"/>
  <c r="J36" i="57"/>
  <c r="AC36" i="54"/>
  <c r="AW36" i="54" s="1"/>
  <c r="J36" i="65"/>
  <c r="AC243" i="54"/>
  <c r="AW243" i="54" s="1"/>
  <c r="J243" i="65"/>
  <c r="J243" i="57"/>
  <c r="J146" i="65"/>
  <c r="AC146" i="54"/>
  <c r="AW146" i="54" s="1"/>
  <c r="J146" i="57"/>
  <c r="AC307" i="54"/>
  <c r="AW307" i="54" s="1"/>
  <c r="J307" i="65"/>
  <c r="AC307" i="65" s="1"/>
  <c r="J307" i="57"/>
  <c r="AC57" i="54"/>
  <c r="AW57" i="54" s="1"/>
  <c r="J57" i="65"/>
  <c r="J57" i="57"/>
  <c r="J156" i="65"/>
  <c r="AC156" i="54"/>
  <c r="AW156" i="54" s="1"/>
  <c r="J156" i="57"/>
  <c r="J160" i="65"/>
  <c r="J160" i="57"/>
  <c r="AC160" i="54"/>
  <c r="AW160" i="54" s="1"/>
  <c r="AC259" i="54"/>
  <c r="AW259" i="54" s="1"/>
  <c r="J259" i="57"/>
  <c r="J259" i="65"/>
  <c r="J197" i="57"/>
  <c r="J197" i="65"/>
  <c r="AC197" i="54"/>
  <c r="AW197" i="54" s="1"/>
  <c r="AC262" i="54"/>
  <c r="AW262" i="54" s="1"/>
  <c r="J262" i="65"/>
  <c r="AC262" i="65" s="1"/>
  <c r="J262" i="57"/>
  <c r="J244" i="57"/>
  <c r="J244" i="65"/>
  <c r="AC244" i="54"/>
  <c r="AW244" i="54" s="1"/>
  <c r="J193" i="65"/>
  <c r="J193" i="57"/>
  <c r="AC193" i="54"/>
  <c r="AW193" i="54" s="1"/>
  <c r="J52" i="65"/>
  <c r="J52" i="57"/>
  <c r="AC52" i="54"/>
  <c r="AW52" i="54" s="1"/>
  <c r="J293" i="65"/>
  <c r="AC293" i="54"/>
  <c r="AW293" i="54" s="1"/>
  <c r="J293" i="57"/>
  <c r="J181" i="57"/>
  <c r="J181" i="65"/>
  <c r="AC181" i="54"/>
  <c r="AW181" i="54" s="1"/>
  <c r="J285" i="65"/>
  <c r="AC285" i="65" s="1"/>
  <c r="J285" i="57"/>
  <c r="AC285" i="54"/>
  <c r="AW285" i="54" s="1"/>
  <c r="J79" i="65"/>
  <c r="AC79" i="54"/>
  <c r="AW79" i="54" s="1"/>
  <c r="J79" i="57"/>
  <c r="J296" i="57"/>
  <c r="J296" i="65"/>
  <c r="AC296" i="65" s="1"/>
  <c r="AC296" i="54"/>
  <c r="AW296" i="54" s="1"/>
  <c r="J60" i="65"/>
  <c r="AC60" i="54"/>
  <c r="AW60" i="54" s="1"/>
  <c r="J60" i="57"/>
  <c r="AC277" i="54"/>
  <c r="AW277" i="54" s="1"/>
  <c r="J277" i="65"/>
  <c r="J277" i="57"/>
  <c r="AC70" i="54"/>
  <c r="AW70" i="54" s="1"/>
  <c r="J70" i="65"/>
  <c r="J70" i="57"/>
  <c r="AC203" i="54"/>
  <c r="AW203" i="54" s="1"/>
  <c r="J203" i="57"/>
  <c r="J203" i="65"/>
  <c r="AC294" i="54"/>
  <c r="AW294" i="54" s="1"/>
  <c r="J294" i="57"/>
  <c r="J294" i="65"/>
  <c r="J49" i="57"/>
  <c r="AC49" i="54"/>
  <c r="AW49" i="54" s="1"/>
  <c r="J49" i="65"/>
  <c r="J48" i="65"/>
  <c r="J48" i="57"/>
  <c r="AC48" i="54"/>
  <c r="AW48" i="54" s="1"/>
  <c r="AC269" i="54"/>
  <c r="AW269" i="54" s="1"/>
  <c r="J269" i="65"/>
  <c r="J269" i="57"/>
  <c r="J212" i="57"/>
  <c r="AC212" i="54"/>
  <c r="AW212" i="54" s="1"/>
  <c r="J212" i="65"/>
  <c r="J95" i="57"/>
  <c r="AC95" i="54"/>
  <c r="AW95" i="54" s="1"/>
  <c r="J95" i="65"/>
  <c r="AC138" i="54"/>
  <c r="AW138" i="54" s="1"/>
  <c r="J138" i="57"/>
  <c r="J138" i="65"/>
  <c r="AC167" i="54"/>
  <c r="AW167" i="54" s="1"/>
  <c r="J167" i="57"/>
  <c r="J167" i="65"/>
  <c r="J87" i="65"/>
  <c r="J87" i="57"/>
  <c r="AC87" i="54"/>
  <c r="AW87" i="54" s="1"/>
  <c r="J19" i="65"/>
  <c r="J19" i="57"/>
  <c r="AC19" i="54"/>
  <c r="AW19" i="54" s="1"/>
  <c r="J94" i="65"/>
  <c r="J94" i="57"/>
  <c r="AC94" i="54"/>
  <c r="AW94" i="54" s="1"/>
  <c r="J241" i="65"/>
  <c r="AC241" i="65" s="1"/>
  <c r="AC241" i="54"/>
  <c r="AW241" i="54" s="1"/>
  <c r="J241" i="57"/>
  <c r="J247" i="57"/>
  <c r="J247" i="65"/>
  <c r="AC247" i="54"/>
  <c r="AW247" i="54" s="1"/>
  <c r="J220" i="65"/>
  <c r="AC220" i="54"/>
  <c r="AW220" i="54" s="1"/>
  <c r="J220" i="57"/>
  <c r="J119" i="65"/>
  <c r="J119" i="57"/>
  <c r="AC119" i="54"/>
  <c r="AW119" i="54" s="1"/>
  <c r="J101" i="57"/>
  <c r="J101" i="65"/>
  <c r="AC101" i="54"/>
  <c r="AW101" i="54" s="1"/>
  <c r="J229" i="65"/>
  <c r="J229" i="57"/>
  <c r="AC229" i="54"/>
  <c r="AW229" i="54" s="1"/>
  <c r="AC125" i="54"/>
  <c r="AW125" i="54" s="1"/>
  <c r="J125" i="57"/>
  <c r="J125" i="65"/>
  <c r="J20" i="57"/>
  <c r="AC20" i="54"/>
  <c r="AW20" i="54" s="1"/>
  <c r="J20" i="65"/>
  <c r="J126" i="57"/>
  <c r="J126" i="65"/>
  <c r="AC126" i="54"/>
  <c r="AW126" i="54" s="1"/>
  <c r="AC184" i="54"/>
  <c r="AW184" i="54" s="1"/>
  <c r="J184" i="57"/>
  <c r="J184" i="65"/>
  <c r="J155" i="65"/>
  <c r="AC155" i="54"/>
  <c r="AW155" i="54" s="1"/>
  <c r="J155" i="57"/>
  <c r="J176" i="57"/>
  <c r="J176" i="65"/>
  <c r="AC176" i="54"/>
  <c r="AW176" i="54" s="1"/>
  <c r="J135" i="57"/>
  <c r="AC135" i="54"/>
  <c r="AW135" i="54" s="1"/>
  <c r="J135" i="65"/>
  <c r="AC97" i="54"/>
  <c r="AW97" i="54" s="1"/>
  <c r="J97" i="65"/>
  <c r="J97" i="57"/>
  <c r="AC194" i="54"/>
  <c r="AW194" i="54" s="1"/>
  <c r="J194" i="65"/>
  <c r="J194" i="57"/>
  <c r="J107" i="65"/>
  <c r="J107" i="57"/>
  <c r="AC107" i="54"/>
  <c r="AW107" i="54" s="1"/>
  <c r="J211" i="65"/>
  <c r="AC211" i="54"/>
  <c r="AW211" i="54" s="1"/>
  <c r="J211" i="57"/>
  <c r="J196" i="57"/>
  <c r="J196" i="65"/>
  <c r="AC196" i="54"/>
  <c r="AW196" i="54" s="1"/>
  <c r="AC103" i="54"/>
  <c r="AW103" i="54" s="1"/>
  <c r="J103" i="65"/>
  <c r="J103" i="57"/>
  <c r="J271" i="65"/>
  <c r="J271" i="57"/>
  <c r="AC271" i="54"/>
  <c r="AW271" i="54" s="1"/>
  <c r="J81" i="65"/>
  <c r="J81" i="57"/>
  <c r="AC81" i="54"/>
  <c r="AW81" i="54" s="1"/>
  <c r="J17" i="65"/>
  <c r="J17" i="57"/>
  <c r="AC17" i="54"/>
  <c r="AW17" i="54" s="1"/>
  <c r="AC188" i="54"/>
  <c r="AW188" i="54" s="1"/>
  <c r="J188" i="65"/>
  <c r="J188" i="57"/>
  <c r="J159" i="57"/>
  <c r="AC159" i="54"/>
  <c r="AW159" i="54" s="1"/>
  <c r="J159" i="65"/>
  <c r="AC275" i="54"/>
  <c r="AW275" i="54" s="1"/>
  <c r="J275" i="65"/>
  <c r="J275" i="57"/>
  <c r="AC207" i="54"/>
  <c r="AW207" i="54" s="1"/>
  <c r="J207" i="65"/>
  <c r="J207" i="57"/>
  <c r="J273" i="65"/>
  <c r="AC273" i="65" s="1"/>
  <c r="AC273" i="54"/>
  <c r="AW273" i="54" s="1"/>
  <c r="J273" i="57"/>
  <c r="J300" i="57"/>
  <c r="AC300" i="54"/>
  <c r="AW300" i="54" s="1"/>
  <c r="J300" i="65"/>
  <c r="J18" i="65"/>
  <c r="J18" i="57"/>
  <c r="AC18" i="54"/>
  <c r="AW18" i="54" s="1"/>
  <c r="J223" i="57"/>
  <c r="AC223" i="54"/>
  <c r="AW223" i="54" s="1"/>
  <c r="J223" i="65"/>
  <c r="J104" i="65"/>
  <c r="J104" i="57"/>
  <c r="AC104" i="54"/>
  <c r="AW104" i="54" s="1"/>
  <c r="AC258" i="54"/>
  <c r="AW258" i="54" s="1"/>
  <c r="J258" i="65"/>
  <c r="J258" i="57"/>
  <c r="J63" i="57"/>
  <c r="AC63" i="54"/>
  <c r="AW63" i="54" s="1"/>
  <c r="J63" i="65"/>
  <c r="AC122" i="54"/>
  <c r="AW122" i="54" s="1"/>
  <c r="J122" i="65"/>
  <c r="J122" i="57"/>
  <c r="AC256" i="54"/>
  <c r="AW256" i="54" s="1"/>
  <c r="J256" i="57"/>
  <c r="J256" i="65"/>
  <c r="J67" i="65"/>
  <c r="AC67" i="54"/>
  <c r="AW67" i="54" s="1"/>
  <c r="J67" i="57"/>
  <c r="J30" i="57"/>
  <c r="J30" i="65"/>
  <c r="AC30" i="54"/>
  <c r="AW30" i="54" s="1"/>
  <c r="J54" i="65"/>
  <c r="J54" i="57"/>
  <c r="AC54" i="54"/>
  <c r="AW54" i="54" s="1"/>
  <c r="J133" i="65"/>
  <c r="J133" i="57"/>
  <c r="AC133" i="54"/>
  <c r="AW133" i="54" s="1"/>
  <c r="AC37" i="54"/>
  <c r="AW37" i="54" s="1"/>
  <c r="J37" i="65"/>
  <c r="J37" i="57"/>
  <c r="J279" i="57"/>
  <c r="AC141" i="54"/>
  <c r="AW141" i="54" s="1"/>
  <c r="J141" i="57"/>
  <c r="J141" i="65"/>
  <c r="J29" i="57"/>
  <c r="AC29" i="54"/>
  <c r="AW29" i="54" s="1"/>
  <c r="J29" i="65"/>
  <c r="AC128" i="54"/>
  <c r="AW128" i="54" s="1"/>
  <c r="J128" i="57"/>
  <c r="J128" i="65"/>
  <c r="AC40" i="54"/>
  <c r="AW40" i="54" s="1"/>
  <c r="J40" i="57"/>
  <c r="J40" i="65"/>
  <c r="J182" i="65"/>
  <c r="J182" i="57"/>
  <c r="AC182" i="54"/>
  <c r="AW182" i="54" s="1"/>
  <c r="J116" i="65"/>
  <c r="AC116" i="54"/>
  <c r="AW116" i="54" s="1"/>
  <c r="J116" i="57"/>
  <c r="J162" i="57"/>
  <c r="J162" i="65"/>
  <c r="AC162" i="54"/>
  <c r="AW162" i="54" s="1"/>
  <c r="J189" i="57"/>
  <c r="AC189" i="54"/>
  <c r="AW189" i="54" s="1"/>
  <c r="J189" i="65"/>
  <c r="J267" i="65"/>
  <c r="AC267" i="54"/>
  <c r="AW267" i="54" s="1"/>
  <c r="J267" i="57"/>
  <c r="AC86" i="54"/>
  <c r="AW86" i="54" s="1"/>
  <c r="J86" i="57"/>
  <c r="J86" i="65"/>
  <c r="AC254" i="54"/>
  <c r="AW254" i="54" s="1"/>
  <c r="J254" i="65"/>
  <c r="J254" i="57"/>
  <c r="J168" i="65"/>
  <c r="J168" i="57"/>
  <c r="AC168" i="54"/>
  <c r="AW168" i="54" s="1"/>
  <c r="AC268" i="54"/>
  <c r="AW268" i="54" s="1"/>
  <c r="J268" i="57"/>
  <c r="J268" i="65"/>
  <c r="J84" i="57"/>
  <c r="J84" i="65"/>
  <c r="AC84" i="54"/>
  <c r="AW84" i="54" s="1"/>
  <c r="J110" i="65"/>
  <c r="AC110" i="54"/>
  <c r="AW110" i="54" s="1"/>
  <c r="J110" i="57"/>
  <c r="J195" i="57"/>
  <c r="AC195" i="54"/>
  <c r="AW195" i="54" s="1"/>
  <c r="J195" i="65"/>
  <c r="J83" i="65"/>
  <c r="AC83" i="54"/>
  <c r="AW83" i="54" s="1"/>
  <c r="J83" i="57"/>
  <c r="J22" i="57"/>
  <c r="J22" i="65"/>
  <c r="AC22" i="54"/>
  <c r="AW22" i="54" s="1"/>
  <c r="AB251" i="56"/>
  <c r="AB230" i="56"/>
  <c r="AB262" i="65"/>
  <c r="AB252" i="65"/>
  <c r="AB241" i="65"/>
  <c r="AB241" i="57"/>
  <c r="I248" i="68"/>
  <c r="E91" i="66"/>
  <c r="AB91" i="66" s="1"/>
  <c r="AC230" i="51"/>
  <c r="AB274" i="53"/>
  <c r="I274" i="54"/>
  <c r="I285" i="53"/>
  <c r="I284" i="54"/>
  <c r="AB284" i="53"/>
  <c r="I269" i="68"/>
  <c r="AB262" i="57"/>
  <c r="I306" i="53"/>
  <c r="I295" i="53"/>
  <c r="I263" i="57"/>
  <c r="I254" i="68" s="1"/>
  <c r="AB263" i="54"/>
  <c r="AV263" i="54" s="1"/>
  <c r="I263" i="65"/>
  <c r="AC251" i="51"/>
  <c r="I259" i="68"/>
  <c r="AB252" i="57"/>
  <c r="I273" i="57"/>
  <c r="I260" i="68" s="1"/>
  <c r="I273" i="65"/>
  <c r="AB273" i="54"/>
  <c r="AV273" i="54" s="1"/>
  <c r="J53" i="65" l="1"/>
  <c r="J53" i="57"/>
  <c r="AC53" i="54"/>
  <c r="AW53" i="54" s="1"/>
  <c r="J51" i="65"/>
  <c r="J51" i="57"/>
  <c r="AC261" i="54"/>
  <c r="AW261" i="54" s="1"/>
  <c r="AC51" i="54"/>
  <c r="AW51" i="54" s="1"/>
  <c r="J62" i="65"/>
  <c r="AC62" i="65" s="1"/>
  <c r="AC62" i="54"/>
  <c r="AW62" i="54" s="1"/>
  <c r="J62" i="57"/>
  <c r="AC62" i="57" s="1"/>
  <c r="J263" i="65"/>
  <c r="AC263" i="65" s="1"/>
  <c r="J172" i="65"/>
  <c r="AC172" i="65" s="1"/>
  <c r="J217" i="65"/>
  <c r="AC217" i="65" s="1"/>
  <c r="J55" i="57"/>
  <c r="AC55" i="57" s="1"/>
  <c r="J32" i="65"/>
  <c r="J32" i="57"/>
  <c r="J39" i="68" s="1"/>
  <c r="AC32" i="54"/>
  <c r="AW32" i="54" s="1"/>
  <c r="J292" i="65"/>
  <c r="J292" i="56" s="1"/>
  <c r="AR292" i="56" s="1"/>
  <c r="J55" i="65"/>
  <c r="AC55" i="65" s="1"/>
  <c r="AC55" i="54"/>
  <c r="AW55" i="54" s="1"/>
  <c r="J261" i="57"/>
  <c r="AD261" i="51" s="1"/>
  <c r="J147" i="57"/>
  <c r="AC147" i="57" s="1"/>
  <c r="E66" i="66"/>
  <c r="AB66" i="66" s="1"/>
  <c r="BG274" i="54"/>
  <c r="E72" i="66"/>
  <c r="AV72" i="66" s="1"/>
  <c r="BG284" i="54"/>
  <c r="E144" i="66" s="1"/>
  <c r="P144" i="66" s="1"/>
  <c r="J143" i="65"/>
  <c r="J143" i="56" s="1"/>
  <c r="AR143" i="56" s="1"/>
  <c r="BH143" i="54"/>
  <c r="AC288" i="54"/>
  <c r="AW288" i="54" s="1"/>
  <c r="BH288" i="54"/>
  <c r="J304" i="57"/>
  <c r="BH304" i="54"/>
  <c r="J214" i="65"/>
  <c r="AC214" i="65" s="1"/>
  <c r="BH214" i="54"/>
  <c r="AC222" i="54"/>
  <c r="AW222" i="54" s="1"/>
  <c r="BH222" i="54"/>
  <c r="J213" i="57"/>
  <c r="J220" i="68" s="1"/>
  <c r="BH213" i="54"/>
  <c r="AC231" i="54"/>
  <c r="AW231" i="54" s="1"/>
  <c r="BH231" i="54"/>
  <c r="J289" i="57"/>
  <c r="AC289" i="57" s="1"/>
  <c r="BH289" i="54"/>
  <c r="J180" i="65"/>
  <c r="J180" i="56" s="1"/>
  <c r="AR180" i="56" s="1"/>
  <c r="BH180" i="54"/>
  <c r="AC284" i="54"/>
  <c r="AW284" i="54" s="1"/>
  <c r="BH284" i="54"/>
  <c r="AC242" i="54"/>
  <c r="AW242" i="54" s="1"/>
  <c r="BH242" i="54"/>
  <c r="J302" i="65"/>
  <c r="AC302" i="65" s="1"/>
  <c r="BH302" i="54"/>
  <c r="J276" i="57"/>
  <c r="AC276" i="57" s="1"/>
  <c r="BH276" i="54"/>
  <c r="J215" i="65"/>
  <c r="AC215" i="65" s="1"/>
  <c r="BH215" i="54"/>
  <c r="J165" i="65"/>
  <c r="AC165" i="65" s="1"/>
  <c r="BH165" i="54"/>
  <c r="J236" i="65"/>
  <c r="J236" i="56" s="1"/>
  <c r="AR236" i="56" s="1"/>
  <c r="BH236" i="54"/>
  <c r="J303" i="65"/>
  <c r="AC303" i="65" s="1"/>
  <c r="BH303" i="54"/>
  <c r="AC234" i="54"/>
  <c r="AW234" i="54" s="1"/>
  <c r="BH234" i="54"/>
  <c r="AC232" i="54"/>
  <c r="AW232" i="54" s="1"/>
  <c r="BH232" i="54"/>
  <c r="J266" i="65"/>
  <c r="AC266" i="65" s="1"/>
  <c r="BH266" i="54"/>
  <c r="J201" i="57"/>
  <c r="AD201" i="51" s="1"/>
  <c r="BH201" i="54"/>
  <c r="AC252" i="54"/>
  <c r="AW252" i="54" s="1"/>
  <c r="BH252" i="54"/>
  <c r="AC292" i="54"/>
  <c r="AW292" i="54" s="1"/>
  <c r="BH292" i="54"/>
  <c r="J272" i="57"/>
  <c r="AD272" i="51" s="1"/>
  <c r="BH272" i="54"/>
  <c r="J204" i="65"/>
  <c r="J204" i="56" s="1"/>
  <c r="AR204" i="56" s="1"/>
  <c r="BH204" i="54"/>
  <c r="J264" i="65"/>
  <c r="AC264" i="65" s="1"/>
  <c r="BH264" i="54"/>
  <c r="AC205" i="54"/>
  <c r="AW205" i="54" s="1"/>
  <c r="BH205" i="54"/>
  <c r="J297" i="65"/>
  <c r="J297" i="56" s="1"/>
  <c r="AR297" i="56" s="1"/>
  <c r="BH297" i="54"/>
  <c r="J224" i="57"/>
  <c r="BH224" i="54"/>
  <c r="J250" i="57"/>
  <c r="AD250" i="51" s="1"/>
  <c r="J298" i="65"/>
  <c r="J298" i="56" s="1"/>
  <c r="AR298" i="56" s="1"/>
  <c r="BH298" i="54"/>
  <c r="J163" i="65"/>
  <c r="AC163" i="65" s="1"/>
  <c r="BH163" i="54"/>
  <c r="J251" i="57"/>
  <c r="AD251" i="51" s="1"/>
  <c r="BH251" i="54"/>
  <c r="J282" i="57"/>
  <c r="AC282" i="57" s="1"/>
  <c r="BH282" i="54"/>
  <c r="J151" i="57"/>
  <c r="AC151" i="57" s="1"/>
  <c r="BH151" i="54"/>
  <c r="J179" i="65"/>
  <c r="J179" i="56" s="1"/>
  <c r="AR179" i="56" s="1"/>
  <c r="BH179" i="54"/>
  <c r="J249" i="57"/>
  <c r="BH249" i="54"/>
  <c r="J218" i="65"/>
  <c r="AC218" i="65" s="1"/>
  <c r="BH218" i="54"/>
  <c r="J199" i="65"/>
  <c r="AC199" i="65" s="1"/>
  <c r="BH199" i="54"/>
  <c r="J190" i="65"/>
  <c r="J190" i="56" s="1"/>
  <c r="AR190" i="56" s="1"/>
  <c r="BH190" i="54"/>
  <c r="J279" i="65"/>
  <c r="AC279" i="65" s="1"/>
  <c r="BH279" i="54"/>
  <c r="J147" i="65"/>
  <c r="AC147" i="65" s="1"/>
  <c r="J208" i="57"/>
  <c r="AD208" i="51" s="1"/>
  <c r="BH208" i="54"/>
  <c r="J144" i="57"/>
  <c r="BH144" i="54"/>
  <c r="J230" i="57"/>
  <c r="AD230" i="51" s="1"/>
  <c r="BH230" i="54"/>
  <c r="J75" i="57"/>
  <c r="BH75" i="54"/>
  <c r="AC45" i="54"/>
  <c r="AW45" i="54" s="1"/>
  <c r="BH45" i="54"/>
  <c r="AC102" i="54"/>
  <c r="AW102" i="54" s="1"/>
  <c r="BH102" i="54"/>
  <c r="AC50" i="54"/>
  <c r="AW50" i="54" s="1"/>
  <c r="BH50" i="54"/>
  <c r="J132" i="65"/>
  <c r="AC132" i="65" s="1"/>
  <c r="BH132" i="54"/>
  <c r="AC34" i="54"/>
  <c r="AW34" i="54" s="1"/>
  <c r="BH34" i="54"/>
  <c r="J134" i="65"/>
  <c r="AC134" i="65" s="1"/>
  <c r="BH134" i="54"/>
  <c r="J105" i="57"/>
  <c r="BH105" i="54"/>
  <c r="J46" i="65"/>
  <c r="AC46" i="65" s="1"/>
  <c r="BH46" i="54"/>
  <c r="J35" i="65"/>
  <c r="J35" i="56" s="1"/>
  <c r="AR35" i="56" s="1"/>
  <c r="BH35" i="54"/>
  <c r="J71" i="65"/>
  <c r="J71" i="56" s="1"/>
  <c r="AR71" i="56" s="1"/>
  <c r="BH71" i="54"/>
  <c r="J47" i="65"/>
  <c r="AC47" i="65" s="1"/>
  <c r="BH47" i="54"/>
  <c r="J43" i="57"/>
  <c r="J50" i="68" s="1"/>
  <c r="BH43" i="54"/>
  <c r="AC137" i="54"/>
  <c r="AW137" i="54" s="1"/>
  <c r="BH137" i="54"/>
  <c r="AC33" i="54"/>
  <c r="AW33" i="54" s="1"/>
  <c r="BH33" i="54"/>
  <c r="J44" i="65"/>
  <c r="AC44" i="65" s="1"/>
  <c r="BH44" i="54"/>
  <c r="J115" i="65"/>
  <c r="AC115" i="65" s="1"/>
  <c r="BH115" i="54"/>
  <c r="J25" i="57"/>
  <c r="BH25" i="54"/>
  <c r="AC72" i="54"/>
  <c r="AW72" i="54" s="1"/>
  <c r="AC38" i="54"/>
  <c r="AW38" i="54" s="1"/>
  <c r="BH38" i="54"/>
  <c r="J68" i="65"/>
  <c r="AC68" i="65" s="1"/>
  <c r="BH68" i="54"/>
  <c r="J85" i="65"/>
  <c r="J85" i="56" s="1"/>
  <c r="AR85" i="56" s="1"/>
  <c r="BH85" i="54"/>
  <c r="J98" i="57"/>
  <c r="BH98" i="54"/>
  <c r="AC78" i="54"/>
  <c r="AW78" i="54" s="1"/>
  <c r="BH78" i="54"/>
  <c r="J90" i="57"/>
  <c r="AC90" i="57" s="1"/>
  <c r="BH90" i="54"/>
  <c r="AC120" i="54"/>
  <c r="AW120" i="54" s="1"/>
  <c r="BH120" i="54"/>
  <c r="J74" i="57"/>
  <c r="AD74" i="51" s="1"/>
  <c r="BH74" i="54"/>
  <c r="AC140" i="54"/>
  <c r="AW140" i="54" s="1"/>
  <c r="BH140" i="54"/>
  <c r="J88" i="57"/>
  <c r="AD88" i="51" s="1"/>
  <c r="BH88" i="54"/>
  <c r="AC111" i="54"/>
  <c r="AW111" i="54" s="1"/>
  <c r="BH111" i="54"/>
  <c r="J80" i="57"/>
  <c r="AC80" i="57" s="1"/>
  <c r="BH80" i="54"/>
  <c r="AC65" i="54"/>
  <c r="AW65" i="54" s="1"/>
  <c r="BH65" i="54"/>
  <c r="J91" i="65"/>
  <c r="AC91" i="65" s="1"/>
  <c r="BH91" i="54"/>
  <c r="J261" i="65"/>
  <c r="AC261" i="65" s="1"/>
  <c r="AC115" i="54"/>
  <c r="AW115" i="54" s="1"/>
  <c r="J115" i="57"/>
  <c r="AC115" i="57" s="1"/>
  <c r="J171" i="57"/>
  <c r="AC171" i="57" s="1"/>
  <c r="AC171" i="54"/>
  <c r="AW171" i="54" s="1"/>
  <c r="J171" i="65"/>
  <c r="AC171" i="65" s="1"/>
  <c r="AC230" i="54"/>
  <c r="AW230" i="54" s="1"/>
  <c r="AC199" i="54"/>
  <c r="AW199" i="54" s="1"/>
  <c r="J172" i="57"/>
  <c r="AC172" i="57" s="1"/>
  <c r="J263" i="57"/>
  <c r="AC263" i="57" s="1"/>
  <c r="AC172" i="54"/>
  <c r="AW172" i="54" s="1"/>
  <c r="AC263" i="54"/>
  <c r="AW263" i="54" s="1"/>
  <c r="AC217" i="54"/>
  <c r="AW217" i="54" s="1"/>
  <c r="J217" i="57"/>
  <c r="AD217" i="51" s="1"/>
  <c r="AC236" i="54"/>
  <c r="AW236" i="54" s="1"/>
  <c r="J161" i="65"/>
  <c r="AC161" i="65" s="1"/>
  <c r="J198" i="57"/>
  <c r="AC198" i="57" s="1"/>
  <c r="J213" i="65"/>
  <c r="AC213" i="65" s="1"/>
  <c r="AC213" i="54"/>
  <c r="AW213" i="54" s="1"/>
  <c r="W6" i="70"/>
  <c r="J161" i="57"/>
  <c r="AC161" i="54"/>
  <c r="AW161" i="54" s="1"/>
  <c r="J236" i="57"/>
  <c r="AC236" i="57" s="1"/>
  <c r="AC15" i="53"/>
  <c r="J72" i="65"/>
  <c r="AC72" i="65" s="1"/>
  <c r="AC279" i="54"/>
  <c r="AW279" i="54" s="1"/>
  <c r="J72" i="57"/>
  <c r="AD72" i="51" s="1"/>
  <c r="J230" i="65"/>
  <c r="AC230" i="65" s="1"/>
  <c r="J46" i="57"/>
  <c r="AC46" i="57" s="1"/>
  <c r="J34" i="65"/>
  <c r="AC34" i="65" s="1"/>
  <c r="J34" i="57"/>
  <c r="AD34" i="51" s="1"/>
  <c r="Q34" i="66"/>
  <c r="AM34" i="66" s="1"/>
  <c r="AC250" i="54"/>
  <c r="AW250" i="54" s="1"/>
  <c r="AC272" i="54"/>
  <c r="AW272" i="54" s="1"/>
  <c r="J198" i="65"/>
  <c r="AC198" i="65" s="1"/>
  <c r="J272" i="65"/>
  <c r="AC272" i="65" s="1"/>
  <c r="AC34" i="66"/>
  <c r="AC198" i="54"/>
  <c r="AW198" i="54" s="1"/>
  <c r="AC91" i="54"/>
  <c r="AW91" i="54" s="1"/>
  <c r="J76" i="65"/>
  <c r="AC76" i="65" s="1"/>
  <c r="J251" i="65"/>
  <c r="AC251" i="65" s="1"/>
  <c r="J82" i="57"/>
  <c r="J89" i="68" s="1"/>
  <c r="J82" i="65"/>
  <c r="AC82" i="65" s="1"/>
  <c r="J169" i="57"/>
  <c r="AD169" i="51" s="1"/>
  <c r="AC169" i="54"/>
  <c r="AW169" i="54" s="1"/>
  <c r="AC82" i="54"/>
  <c r="AW82" i="54" s="1"/>
  <c r="J169" i="65"/>
  <c r="AC169" i="65" s="1"/>
  <c r="J91" i="57"/>
  <c r="AC91" i="57" s="1"/>
  <c r="J124" i="57"/>
  <c r="AD124" i="51" s="1"/>
  <c r="J124" i="65"/>
  <c r="AC124" i="65" s="1"/>
  <c r="AC117" i="54"/>
  <c r="AW117" i="54" s="1"/>
  <c r="AC46" i="54"/>
  <c r="AW46" i="54" s="1"/>
  <c r="AC124" i="54"/>
  <c r="AW124" i="54" s="1"/>
  <c r="J117" i="57"/>
  <c r="AC117" i="57" s="1"/>
  <c r="AC85" i="54"/>
  <c r="AW85" i="54" s="1"/>
  <c r="J306" i="65"/>
  <c r="AC306" i="65" s="1"/>
  <c r="J306" i="57"/>
  <c r="J140" i="65"/>
  <c r="AC140" i="65" s="1"/>
  <c r="J85" i="57"/>
  <c r="AD85" i="51" s="1"/>
  <c r="K10" i="42"/>
  <c r="J117" i="65"/>
  <c r="AC117" i="65" s="1"/>
  <c r="K11" i="42"/>
  <c r="AB13" i="42"/>
  <c r="F37" i="66"/>
  <c r="AC37" i="66" s="1"/>
  <c r="J250" i="65"/>
  <c r="AC250" i="65" s="1"/>
  <c r="AC147" i="54"/>
  <c r="AW147" i="54" s="1"/>
  <c r="J140" i="57"/>
  <c r="AD140" i="51" s="1"/>
  <c r="J224" i="65"/>
  <c r="J224" i="56" s="1"/>
  <c r="AR224" i="56" s="1"/>
  <c r="AC224" i="54"/>
  <c r="AW224" i="54" s="1"/>
  <c r="AC306" i="54"/>
  <c r="AW306" i="54" s="1"/>
  <c r="AC153" i="54"/>
  <c r="AW153" i="54" s="1"/>
  <c r="J153" i="57"/>
  <c r="AC153" i="57" s="1"/>
  <c r="J153" i="65"/>
  <c r="AC153" i="65" s="1"/>
  <c r="AC68" i="54"/>
  <c r="AW68" i="54" s="1"/>
  <c r="J302" i="57"/>
  <c r="AC302" i="57" s="1"/>
  <c r="J165" i="57"/>
  <c r="AC165" i="57" s="1"/>
  <c r="AC165" i="54"/>
  <c r="AW165" i="54" s="1"/>
  <c r="J222" i="65"/>
  <c r="AC222" i="65" s="1"/>
  <c r="J76" i="57"/>
  <c r="AD76" i="51" s="1"/>
  <c r="AC76" i="54"/>
  <c r="AW76" i="54" s="1"/>
  <c r="J190" i="57"/>
  <c r="AC190" i="54"/>
  <c r="AW190" i="54" s="1"/>
  <c r="J199" i="57"/>
  <c r="AD199" i="51" s="1"/>
  <c r="AC251" i="54"/>
  <c r="AW251" i="54" s="1"/>
  <c r="J222" i="57"/>
  <c r="J229" i="68" s="1"/>
  <c r="AC305" i="54"/>
  <c r="AW305" i="54" s="1"/>
  <c r="AC249" i="54"/>
  <c r="AW249" i="54" s="1"/>
  <c r="J249" i="65"/>
  <c r="J249" i="56" s="1"/>
  <c r="AR249" i="56" s="1"/>
  <c r="J102" i="57"/>
  <c r="J65" i="65"/>
  <c r="AC65" i="65" s="1"/>
  <c r="AC218" i="54"/>
  <c r="AW218" i="54" s="1"/>
  <c r="J102" i="65"/>
  <c r="AC102" i="65" s="1"/>
  <c r="J65" i="57"/>
  <c r="AC65" i="57" s="1"/>
  <c r="J218" i="57"/>
  <c r="J96" i="57"/>
  <c r="AC96" i="57" s="1"/>
  <c r="J96" i="65"/>
  <c r="AC96" i="65" s="1"/>
  <c r="AC96" i="54"/>
  <c r="AW96" i="54" s="1"/>
  <c r="J201" i="65"/>
  <c r="AC201" i="65" s="1"/>
  <c r="AC201" i="54"/>
  <c r="AW201" i="54" s="1"/>
  <c r="J252" i="57"/>
  <c r="J205" i="65"/>
  <c r="AC205" i="65" s="1"/>
  <c r="J44" i="57"/>
  <c r="AC44" i="57" s="1"/>
  <c r="J137" i="57"/>
  <c r="AC137" i="57" s="1"/>
  <c r="AC105" i="54"/>
  <c r="AW105" i="54" s="1"/>
  <c r="AC143" i="54"/>
  <c r="AW143" i="54" s="1"/>
  <c r="AC204" i="54"/>
  <c r="AW204" i="54" s="1"/>
  <c r="J105" i="65"/>
  <c r="AC105" i="65" s="1"/>
  <c r="J26" i="65"/>
  <c r="AC26" i="65" s="1"/>
  <c r="J152" i="65"/>
  <c r="AC152" i="65" s="1"/>
  <c r="J152" i="57"/>
  <c r="AC152" i="57" s="1"/>
  <c r="AC225" i="54"/>
  <c r="AW225" i="54" s="1"/>
  <c r="J225" i="65"/>
  <c r="AC225" i="65" s="1"/>
  <c r="J225" i="57"/>
  <c r="AC225" i="57" s="1"/>
  <c r="J205" i="57"/>
  <c r="J212" i="68" s="1"/>
  <c r="J88" i="65"/>
  <c r="AC88" i="65" s="1"/>
  <c r="AC297" i="54"/>
  <c r="AW297" i="54" s="1"/>
  <c r="J297" i="57"/>
  <c r="AD297" i="51" s="1"/>
  <c r="J280" i="57"/>
  <c r="AD280" i="51" s="1"/>
  <c r="AC98" i="54"/>
  <c r="AW98" i="54" s="1"/>
  <c r="J144" i="65"/>
  <c r="AC144" i="65" s="1"/>
  <c r="J208" i="65"/>
  <c r="AC208" i="65" s="1"/>
  <c r="J50" i="57"/>
  <c r="AC50" i="57" s="1"/>
  <c r="J68" i="57"/>
  <c r="J75" i="68" s="1"/>
  <c r="J98" i="65"/>
  <c r="AC98" i="65" s="1"/>
  <c r="AC280" i="54"/>
  <c r="AW280" i="54" s="1"/>
  <c r="J276" i="65"/>
  <c r="AC276" i="65" s="1"/>
  <c r="J295" i="57"/>
  <c r="J302" i="68" s="1"/>
  <c r="J280" i="65"/>
  <c r="J280" i="56" s="1"/>
  <c r="AR280" i="56" s="1"/>
  <c r="J252" i="65"/>
  <c r="AC252" i="65" s="1"/>
  <c r="J215" i="57"/>
  <c r="J50" i="65"/>
  <c r="J50" i="56" s="1"/>
  <c r="AR50" i="56" s="1"/>
  <c r="AC276" i="54"/>
  <c r="AW276" i="54" s="1"/>
  <c r="AC215" i="54"/>
  <c r="AW215" i="54" s="1"/>
  <c r="AC44" i="54"/>
  <c r="AW44" i="54" s="1"/>
  <c r="J137" i="65"/>
  <c r="AC137" i="65" s="1"/>
  <c r="J33" i="57"/>
  <c r="AC33" i="57" s="1"/>
  <c r="J163" i="57"/>
  <c r="AC163" i="57" s="1"/>
  <c r="AC163" i="54"/>
  <c r="AW163" i="54" s="1"/>
  <c r="J33" i="65"/>
  <c r="AC33" i="65" s="1"/>
  <c r="J45" i="57"/>
  <c r="J52" i="68" s="1"/>
  <c r="J288" i="57"/>
  <c r="AC288" i="57" s="1"/>
  <c r="AC152" i="54"/>
  <c r="AW152" i="54" s="1"/>
  <c r="AC26" i="54"/>
  <c r="AW26" i="54" s="1"/>
  <c r="J143" i="57"/>
  <c r="J150" i="68" s="1"/>
  <c r="J111" i="57"/>
  <c r="J204" i="57"/>
  <c r="AD204" i="51" s="1"/>
  <c r="J80" i="65"/>
  <c r="AC80" i="65" s="1"/>
  <c r="J228" i="57"/>
  <c r="AD228" i="51" s="1"/>
  <c r="J130" i="57"/>
  <c r="AC130" i="57" s="1"/>
  <c r="J227" i="65"/>
  <c r="J227" i="56" s="1"/>
  <c r="AR227" i="56" s="1"/>
  <c r="J74" i="65"/>
  <c r="AC74" i="65" s="1"/>
  <c r="AC227" i="54"/>
  <c r="AW227" i="54" s="1"/>
  <c r="J71" i="57"/>
  <c r="AC80" i="54"/>
  <c r="AW80" i="54" s="1"/>
  <c r="AC303" i="54"/>
  <c r="AW303" i="54" s="1"/>
  <c r="J120" i="57"/>
  <c r="AD120" i="51" s="1"/>
  <c r="J26" i="57"/>
  <c r="J227" i="57"/>
  <c r="AC227" i="57" s="1"/>
  <c r="J228" i="65"/>
  <c r="AC228" i="65" s="1"/>
  <c r="AC144" i="54"/>
  <c r="AW144" i="54" s="1"/>
  <c r="AC287" i="54"/>
  <c r="AW287" i="54" s="1"/>
  <c r="AC228" i="54"/>
  <c r="AW228" i="54" s="1"/>
  <c r="J288" i="65"/>
  <c r="J288" i="56" s="1"/>
  <c r="AR288" i="56" s="1"/>
  <c r="J111" i="65"/>
  <c r="J111" i="56" s="1"/>
  <c r="AR111" i="56" s="1"/>
  <c r="J43" i="65"/>
  <c r="AC43" i="65" s="1"/>
  <c r="AC71" i="54"/>
  <c r="AW71" i="54" s="1"/>
  <c r="AC43" i="54"/>
  <c r="AW43" i="54" s="1"/>
  <c r="AC208" i="54"/>
  <c r="AW208" i="54" s="1"/>
  <c r="AC74" i="54"/>
  <c r="AW74" i="54" s="1"/>
  <c r="J120" i="65"/>
  <c r="AC120" i="65" s="1"/>
  <c r="AC130" i="54"/>
  <c r="AW130" i="54" s="1"/>
  <c r="J287" i="65"/>
  <c r="AC287" i="65" s="1"/>
  <c r="J47" i="57"/>
  <c r="AD47" i="51" s="1"/>
  <c r="AC75" i="54"/>
  <c r="AW75" i="54" s="1"/>
  <c r="AC90" i="54"/>
  <c r="AW90" i="54" s="1"/>
  <c r="J130" i="65"/>
  <c r="J287" i="57"/>
  <c r="J294" i="68" s="1"/>
  <c r="AC47" i="54"/>
  <c r="AW47" i="54" s="1"/>
  <c r="J75" i="65"/>
  <c r="AC75" i="65" s="1"/>
  <c r="J90" i="65"/>
  <c r="AC90" i="65" s="1"/>
  <c r="J305" i="57"/>
  <c r="J312" i="68" s="1"/>
  <c r="J113" i="65"/>
  <c r="AC113" i="65" s="1"/>
  <c r="J231" i="65"/>
  <c r="J231" i="56" s="1"/>
  <c r="AR231" i="56" s="1"/>
  <c r="J305" i="65"/>
  <c r="J305" i="56" s="1"/>
  <c r="AR305" i="56" s="1"/>
  <c r="J242" i="57"/>
  <c r="AD242" i="51" s="1"/>
  <c r="AC302" i="54"/>
  <c r="AW302" i="54" s="1"/>
  <c r="J242" i="65"/>
  <c r="AC242" i="65" s="1"/>
  <c r="J231" i="57"/>
  <c r="J238" i="68" s="1"/>
  <c r="AC295" i="54"/>
  <c r="AW295" i="54" s="1"/>
  <c r="J179" i="57"/>
  <c r="J186" i="68" s="1"/>
  <c r="AC179" i="54"/>
  <c r="AW179" i="54" s="1"/>
  <c r="J45" i="65"/>
  <c r="AC45" i="65" s="1"/>
  <c r="J38" i="65"/>
  <c r="AC38" i="65" s="1"/>
  <c r="J214" i="57"/>
  <c r="AD214" i="51" s="1"/>
  <c r="AC39" i="54"/>
  <c r="AW39" i="54" s="1"/>
  <c r="J113" i="57"/>
  <c r="J132" i="57"/>
  <c r="J139" i="68" s="1"/>
  <c r="J234" i="65"/>
  <c r="AC234" i="65" s="1"/>
  <c r="AC214" i="54"/>
  <c r="AW214" i="54" s="1"/>
  <c r="AC113" i="54"/>
  <c r="AW113" i="54" s="1"/>
  <c r="AC282" i="54"/>
  <c r="AW282" i="54" s="1"/>
  <c r="AC88" i="54"/>
  <c r="AW88" i="54" s="1"/>
  <c r="J303" i="57"/>
  <c r="AD303" i="51" s="1"/>
  <c r="J39" i="65"/>
  <c r="AC39" i="65" s="1"/>
  <c r="AC266" i="54"/>
  <c r="AW266" i="54" s="1"/>
  <c r="J232" i="57"/>
  <c r="AC232" i="57" s="1"/>
  <c r="J38" i="57"/>
  <c r="AC38" i="57" s="1"/>
  <c r="J78" i="57"/>
  <c r="J25" i="65"/>
  <c r="AC25" i="65" s="1"/>
  <c r="J284" i="65"/>
  <c r="AC284" i="65" s="1"/>
  <c r="J39" i="57"/>
  <c r="AC39" i="57" s="1"/>
  <c r="AC132" i="54"/>
  <c r="AW132" i="54" s="1"/>
  <c r="J266" i="57"/>
  <c r="AC266" i="57" s="1"/>
  <c r="J78" i="65"/>
  <c r="J78" i="56" s="1"/>
  <c r="AR78" i="56" s="1"/>
  <c r="J284" i="57"/>
  <c r="AC284" i="57" s="1"/>
  <c r="AC25" i="54"/>
  <c r="AW25" i="54" s="1"/>
  <c r="AC134" i="54"/>
  <c r="AW134" i="54" s="1"/>
  <c r="AC180" i="54"/>
  <c r="AW180" i="54" s="1"/>
  <c r="J134" i="57"/>
  <c r="J141" i="68" s="1"/>
  <c r="J232" i="65"/>
  <c r="AC232" i="65" s="1"/>
  <c r="J180" i="57"/>
  <c r="AC180" i="57" s="1"/>
  <c r="J264" i="57"/>
  <c r="J271" i="68" s="1"/>
  <c r="AC304" i="54"/>
  <c r="AW304" i="54" s="1"/>
  <c r="J295" i="65"/>
  <c r="AC295" i="65" s="1"/>
  <c r="J298" i="57"/>
  <c r="AC298" i="57" s="1"/>
  <c r="J234" i="57"/>
  <c r="J241" i="68" s="1"/>
  <c r="AC298" i="54"/>
  <c r="AW298" i="54" s="1"/>
  <c r="J282" i="65"/>
  <c r="AC35" i="54"/>
  <c r="AW35" i="54" s="1"/>
  <c r="AC151" i="54"/>
  <c r="AW151" i="54" s="1"/>
  <c r="J289" i="65"/>
  <c r="AC289" i="65" s="1"/>
  <c r="J35" i="57"/>
  <c r="J42" i="68" s="1"/>
  <c r="J151" i="65"/>
  <c r="J151" i="56" s="1"/>
  <c r="AR151" i="56" s="1"/>
  <c r="AC289" i="54"/>
  <c r="AW289" i="54" s="1"/>
  <c r="AC264" i="54"/>
  <c r="AW264" i="54" s="1"/>
  <c r="J304" i="65"/>
  <c r="J262" i="56"/>
  <c r="J301" i="65"/>
  <c r="J301" i="56" s="1"/>
  <c r="AR301" i="56" s="1"/>
  <c r="AC301" i="54"/>
  <c r="AW301" i="54" s="1"/>
  <c r="J301" i="57"/>
  <c r="AD301" i="51" s="1"/>
  <c r="X226" i="70"/>
  <c r="O226" i="70"/>
  <c r="X243" i="70"/>
  <c r="O243" i="70"/>
  <c r="O219" i="70"/>
  <c r="X219" i="70"/>
  <c r="X123" i="70"/>
  <c r="O123" i="70"/>
  <c r="O183" i="70"/>
  <c r="X183" i="70"/>
  <c r="O256" i="70"/>
  <c r="X256" i="70"/>
  <c r="O157" i="70"/>
  <c r="X157" i="70"/>
  <c r="O104" i="70"/>
  <c r="X104" i="70"/>
  <c r="X212" i="70"/>
  <c r="O212" i="70"/>
  <c r="O9" i="70"/>
  <c r="X9" i="70"/>
  <c r="X224" i="70"/>
  <c r="O224" i="70"/>
  <c r="O252" i="70"/>
  <c r="X252" i="70"/>
  <c r="O50" i="70"/>
  <c r="X50" i="70"/>
  <c r="X271" i="70"/>
  <c r="O271" i="70"/>
  <c r="X130" i="70"/>
  <c r="O130" i="70"/>
  <c r="O45" i="70"/>
  <c r="X45" i="70"/>
  <c r="X262" i="70"/>
  <c r="O262" i="70"/>
  <c r="O207" i="70"/>
  <c r="X207" i="70"/>
  <c r="X200" i="70"/>
  <c r="O200" i="70"/>
  <c r="V4" i="70"/>
  <c r="O64" i="70"/>
  <c r="X64" i="70"/>
  <c r="O201" i="70"/>
  <c r="X201" i="70"/>
  <c r="O55" i="70"/>
  <c r="X55" i="70"/>
  <c r="O128" i="70"/>
  <c r="X128" i="70"/>
  <c r="O265" i="70"/>
  <c r="X265" i="70"/>
  <c r="X127" i="70"/>
  <c r="O127" i="70"/>
  <c r="O291" i="70"/>
  <c r="X291" i="70"/>
  <c r="O56" i="70"/>
  <c r="X56" i="70"/>
  <c r="O296" i="70"/>
  <c r="X296" i="70"/>
  <c r="O233" i="70"/>
  <c r="X233" i="70"/>
  <c r="O275" i="70"/>
  <c r="X275" i="70"/>
  <c r="O78" i="70"/>
  <c r="X78" i="70"/>
  <c r="O225" i="70"/>
  <c r="X225" i="70"/>
  <c r="O149" i="70"/>
  <c r="X149" i="70"/>
  <c r="O176" i="70"/>
  <c r="X176" i="70"/>
  <c r="O185" i="70"/>
  <c r="X185" i="70"/>
  <c r="X144" i="70"/>
  <c r="O144" i="70"/>
  <c r="X196" i="70"/>
  <c r="O196" i="70"/>
  <c r="X214" i="70"/>
  <c r="O214" i="70"/>
  <c r="X197" i="70"/>
  <c r="O197" i="70"/>
  <c r="X260" i="70"/>
  <c r="O260" i="70"/>
  <c r="O240" i="70"/>
  <c r="X240" i="70"/>
  <c r="O37" i="70"/>
  <c r="X37" i="70"/>
  <c r="X71" i="70"/>
  <c r="O71" i="70"/>
  <c r="O11" i="70"/>
  <c r="X11" i="70"/>
  <c r="X217" i="70"/>
  <c r="O217" i="70"/>
  <c r="O22" i="70"/>
  <c r="X22" i="70"/>
  <c r="O229" i="70"/>
  <c r="X229" i="70"/>
  <c r="X74" i="70"/>
  <c r="O74" i="70"/>
  <c r="X249" i="70"/>
  <c r="O249" i="70"/>
  <c r="O167" i="70"/>
  <c r="X167" i="70"/>
  <c r="X68" i="70"/>
  <c r="O68" i="70"/>
  <c r="O54" i="70"/>
  <c r="X54" i="70"/>
  <c r="X118" i="70"/>
  <c r="O118" i="70"/>
  <c r="O230" i="70"/>
  <c r="X230" i="70"/>
  <c r="X161" i="70"/>
  <c r="O161" i="70"/>
  <c r="O117" i="70"/>
  <c r="X117" i="70"/>
  <c r="X270" i="70"/>
  <c r="O270" i="70"/>
  <c r="O195" i="70"/>
  <c r="X195" i="70"/>
  <c r="O198" i="70"/>
  <c r="X198" i="70"/>
  <c r="X143" i="70"/>
  <c r="O143" i="70"/>
  <c r="O7" i="70"/>
  <c r="X7" i="70"/>
  <c r="X273" i="70"/>
  <c r="O273" i="70"/>
  <c r="O218" i="70"/>
  <c r="X218" i="70"/>
  <c r="X72" i="70"/>
  <c r="O72" i="70"/>
  <c r="O18" i="70"/>
  <c r="X18" i="70"/>
  <c r="O91" i="70"/>
  <c r="X91" i="70"/>
  <c r="O124" i="70"/>
  <c r="X124" i="70"/>
  <c r="X14" i="70"/>
  <c r="O14" i="70"/>
  <c r="O276" i="70"/>
  <c r="X276" i="70"/>
  <c r="X189" i="70"/>
  <c r="O189" i="70"/>
  <c r="O211" i="70"/>
  <c r="X211" i="70"/>
  <c r="O284" i="70"/>
  <c r="X284" i="70"/>
  <c r="O49" i="70"/>
  <c r="X49" i="70"/>
  <c r="O19" i="70"/>
  <c r="X19" i="70"/>
  <c r="X142" i="70"/>
  <c r="O142" i="70"/>
  <c r="O279" i="70"/>
  <c r="X279" i="70"/>
  <c r="O280" i="70"/>
  <c r="X280" i="70"/>
  <c r="O258" i="70"/>
  <c r="X258" i="70"/>
  <c r="O244" i="70"/>
  <c r="X244" i="70"/>
  <c r="O34" i="70"/>
  <c r="X34" i="70"/>
  <c r="X122" i="70"/>
  <c r="O122" i="70"/>
  <c r="O110" i="70"/>
  <c r="X110" i="70"/>
  <c r="O38" i="70"/>
  <c r="X38" i="70"/>
  <c r="X297" i="70"/>
  <c r="O297" i="70"/>
  <c r="O73" i="70"/>
  <c r="X73" i="70"/>
  <c r="O13" i="70"/>
  <c r="X13" i="70"/>
  <c r="O245" i="70"/>
  <c r="X245" i="70"/>
  <c r="X242" i="70"/>
  <c r="O242" i="70"/>
  <c r="O221" i="70"/>
  <c r="X221" i="70"/>
  <c r="O168" i="70"/>
  <c r="X168" i="70"/>
  <c r="X88" i="70"/>
  <c r="O88" i="70"/>
  <c r="X17" i="70"/>
  <c r="O17" i="70"/>
  <c r="O155" i="70"/>
  <c r="X155" i="70"/>
  <c r="O151" i="70"/>
  <c r="X151" i="70"/>
  <c r="O152" i="70"/>
  <c r="X152" i="70"/>
  <c r="O131" i="70"/>
  <c r="X131" i="70"/>
  <c r="X98" i="70"/>
  <c r="O98" i="70"/>
  <c r="O163" i="70"/>
  <c r="X163" i="70"/>
  <c r="X119" i="70"/>
  <c r="O119" i="70"/>
  <c r="O192" i="70"/>
  <c r="X192" i="70"/>
  <c r="O93" i="70"/>
  <c r="X93" i="70"/>
  <c r="O194" i="70"/>
  <c r="X194" i="70"/>
  <c r="O20" i="70"/>
  <c r="X20" i="70"/>
  <c r="O29" i="70"/>
  <c r="X29" i="70"/>
  <c r="O193" i="70"/>
  <c r="X193" i="70"/>
  <c r="O288" i="70"/>
  <c r="X288" i="70"/>
  <c r="X86" i="70"/>
  <c r="O86" i="70"/>
  <c r="O75" i="70"/>
  <c r="X75" i="70"/>
  <c r="O39" i="70"/>
  <c r="X39" i="70"/>
  <c r="O182" i="70"/>
  <c r="X182" i="70"/>
  <c r="X298" i="70"/>
  <c r="O298" i="70"/>
  <c r="O69" i="70"/>
  <c r="X69" i="70"/>
  <c r="X171" i="70"/>
  <c r="O171" i="70"/>
  <c r="O266" i="70"/>
  <c r="X266" i="70"/>
  <c r="O228" i="70"/>
  <c r="X228" i="70"/>
  <c r="X42" i="70"/>
  <c r="O42" i="70"/>
  <c r="X80" i="70"/>
  <c r="O80" i="70"/>
  <c r="X106" i="70"/>
  <c r="O106" i="70"/>
  <c r="X261" i="70"/>
  <c r="O261" i="70"/>
  <c r="O293" i="70"/>
  <c r="X293" i="70"/>
  <c r="O231" i="70"/>
  <c r="X231" i="70"/>
  <c r="O36" i="70"/>
  <c r="X36" i="70"/>
  <c r="X89" i="70"/>
  <c r="O89" i="70"/>
  <c r="O47" i="70"/>
  <c r="X47" i="70"/>
  <c r="O184" i="70"/>
  <c r="X184" i="70"/>
  <c r="O129" i="70"/>
  <c r="X129" i="70"/>
  <c r="X289" i="70"/>
  <c r="O289" i="70"/>
  <c r="X92" i="70"/>
  <c r="O92" i="70"/>
  <c r="O213" i="70"/>
  <c r="X213" i="70"/>
  <c r="O294" i="70"/>
  <c r="X294" i="70"/>
  <c r="O162" i="70"/>
  <c r="X162" i="70"/>
  <c r="X181" i="70"/>
  <c r="O181" i="70"/>
  <c r="O180" i="70"/>
  <c r="X180" i="70"/>
  <c r="X41" i="70"/>
  <c r="O41" i="70"/>
  <c r="X114" i="70"/>
  <c r="O114" i="70"/>
  <c r="O95" i="70"/>
  <c r="X95" i="70"/>
  <c r="O40" i="70"/>
  <c r="X40" i="70"/>
  <c r="O82" i="70"/>
  <c r="X82" i="70"/>
  <c r="O109" i="70"/>
  <c r="X109" i="70"/>
  <c r="O31" i="70"/>
  <c r="X31" i="70"/>
  <c r="O27" i="70"/>
  <c r="X27" i="70"/>
  <c r="O58" i="70"/>
  <c r="X58" i="70"/>
  <c r="O210" i="70"/>
  <c r="X210" i="70"/>
  <c r="O46" i="70"/>
  <c r="X46" i="70"/>
  <c r="X61" i="70"/>
  <c r="O61" i="70"/>
  <c r="X145" i="70"/>
  <c r="O145" i="70"/>
  <c r="O140" i="70"/>
  <c r="X140" i="70"/>
  <c r="O237" i="70"/>
  <c r="X237" i="70"/>
  <c r="X84" i="70"/>
  <c r="O84" i="70"/>
  <c r="O85" i="70"/>
  <c r="X85" i="70"/>
  <c r="O166" i="70"/>
  <c r="X166" i="70"/>
  <c r="O97" i="70"/>
  <c r="X97" i="70"/>
  <c r="O268" i="70"/>
  <c r="X268" i="70"/>
  <c r="O23" i="70"/>
  <c r="X23" i="70"/>
  <c r="O241" i="70"/>
  <c r="X241" i="70"/>
  <c r="X115" i="70"/>
  <c r="O115" i="70"/>
  <c r="O116" i="70"/>
  <c r="X116" i="70"/>
  <c r="O223" i="70"/>
  <c r="X223" i="70"/>
  <c r="O90" i="70"/>
  <c r="X90" i="70"/>
  <c r="O187" i="70"/>
  <c r="X187" i="70"/>
  <c r="X76" i="70"/>
  <c r="O76" i="70"/>
  <c r="O253" i="70"/>
  <c r="X253" i="70"/>
  <c r="O186" i="70"/>
  <c r="X186" i="70"/>
  <c r="O238" i="70"/>
  <c r="X238" i="70"/>
  <c r="O190" i="70"/>
  <c r="X190" i="70"/>
  <c r="O191" i="70"/>
  <c r="X191" i="70"/>
  <c r="O172" i="70"/>
  <c r="X172" i="70"/>
  <c r="X259" i="70"/>
  <c r="O259" i="70"/>
  <c r="O126" i="70"/>
  <c r="X126" i="70"/>
  <c r="O282" i="70"/>
  <c r="X282" i="70"/>
  <c r="X251" i="70"/>
  <c r="O251" i="70"/>
  <c r="O264" i="70"/>
  <c r="X264" i="70"/>
  <c r="O283" i="70"/>
  <c r="X283" i="70"/>
  <c r="O215" i="70"/>
  <c r="X215" i="70"/>
  <c r="X216" i="70"/>
  <c r="O216" i="70"/>
  <c r="O70" i="70"/>
  <c r="X70" i="70"/>
  <c r="O290" i="70"/>
  <c r="X290" i="70"/>
  <c r="O156" i="70"/>
  <c r="X156" i="70"/>
  <c r="O285" i="70"/>
  <c r="X285" i="70"/>
  <c r="O101" i="70"/>
  <c r="X101" i="70"/>
  <c r="O295" i="70"/>
  <c r="X295" i="70"/>
  <c r="O138" i="70"/>
  <c r="X138" i="70"/>
  <c r="X153" i="70"/>
  <c r="O153" i="70"/>
  <c r="J15" i="65"/>
  <c r="AC15" i="54"/>
  <c r="AW15" i="54" s="1"/>
  <c r="O208" i="70"/>
  <c r="X208" i="70"/>
  <c r="X132" i="70"/>
  <c r="O132" i="70"/>
  <c r="X278" i="70"/>
  <c r="O278" i="70"/>
  <c r="O121" i="70"/>
  <c r="X121" i="70"/>
  <c r="O281" i="70"/>
  <c r="X281" i="70"/>
  <c r="X51" i="70"/>
  <c r="O51" i="70"/>
  <c r="X103" i="70"/>
  <c r="O103" i="70"/>
  <c r="X170" i="70"/>
  <c r="O170" i="70"/>
  <c r="O100" i="70"/>
  <c r="X100" i="70"/>
  <c r="X199" i="70"/>
  <c r="O199" i="70"/>
  <c r="O112" i="70"/>
  <c r="X112" i="70"/>
  <c r="O15" i="70"/>
  <c r="X15" i="70"/>
  <c r="X247" i="70"/>
  <c r="O247" i="70"/>
  <c r="O257" i="70"/>
  <c r="X257" i="70"/>
  <c r="X188" i="70"/>
  <c r="O188" i="70"/>
  <c r="O111" i="70"/>
  <c r="X111" i="70"/>
  <c r="O248" i="70"/>
  <c r="X248" i="70"/>
  <c r="O269" i="70"/>
  <c r="X269" i="70"/>
  <c r="O174" i="70"/>
  <c r="X174" i="70"/>
  <c r="O28" i="70"/>
  <c r="X28" i="70"/>
  <c r="O277" i="70"/>
  <c r="X277" i="70"/>
  <c r="O63" i="70"/>
  <c r="X63" i="70"/>
  <c r="X60" i="70"/>
  <c r="O60" i="70"/>
  <c r="O137" i="70"/>
  <c r="X137" i="70"/>
  <c r="X158" i="70"/>
  <c r="O158" i="70"/>
  <c r="X77" i="70"/>
  <c r="O77" i="70"/>
  <c r="O94" i="70"/>
  <c r="X94" i="70"/>
  <c r="O159" i="70"/>
  <c r="X159" i="70"/>
  <c r="O26" i="70"/>
  <c r="X26" i="70"/>
  <c r="X274" i="70"/>
  <c r="O274" i="70"/>
  <c r="O173" i="70"/>
  <c r="X173" i="70"/>
  <c r="O179" i="70"/>
  <c r="X179" i="70"/>
  <c r="O83" i="70"/>
  <c r="X83" i="70"/>
  <c r="X205" i="70"/>
  <c r="O205" i="70"/>
  <c r="O66" i="70"/>
  <c r="X66" i="70"/>
  <c r="O120" i="70"/>
  <c r="X120" i="70"/>
  <c r="O65" i="70"/>
  <c r="X65" i="70"/>
  <c r="O62" i="70"/>
  <c r="X62" i="70"/>
  <c r="O136" i="70"/>
  <c r="X136" i="70"/>
  <c r="X96" i="70"/>
  <c r="O96" i="70"/>
  <c r="O35" i="70"/>
  <c r="X35" i="70"/>
  <c r="X286" i="70"/>
  <c r="O286" i="70"/>
  <c r="O147" i="70"/>
  <c r="X147" i="70"/>
  <c r="O67" i="70"/>
  <c r="X67" i="70"/>
  <c r="O209" i="70"/>
  <c r="X209" i="70"/>
  <c r="O154" i="70"/>
  <c r="X154" i="70"/>
  <c r="O52" i="70"/>
  <c r="X52" i="70"/>
  <c r="O8" i="70"/>
  <c r="X8" i="70"/>
  <c r="O220" i="70"/>
  <c r="X220" i="70"/>
  <c r="O148" i="70"/>
  <c r="X148" i="70"/>
  <c r="O30" i="70"/>
  <c r="X30" i="70"/>
  <c r="O239" i="70"/>
  <c r="X239" i="70"/>
  <c r="O160" i="70"/>
  <c r="X160" i="70"/>
  <c r="O87" i="70"/>
  <c r="X87" i="70"/>
  <c r="O105" i="70"/>
  <c r="X105" i="70"/>
  <c r="O178" i="70"/>
  <c r="X178" i="70"/>
  <c r="O44" i="70"/>
  <c r="X44" i="70"/>
  <c r="O287" i="70"/>
  <c r="X287" i="70"/>
  <c r="O232" i="70"/>
  <c r="X232" i="70"/>
  <c r="X169" i="70"/>
  <c r="O169" i="70"/>
  <c r="X204" i="70"/>
  <c r="O204" i="70"/>
  <c r="O102" i="70"/>
  <c r="X102" i="70"/>
  <c r="X33" i="70"/>
  <c r="O33" i="70"/>
  <c r="X255" i="70"/>
  <c r="O255" i="70"/>
  <c r="O236" i="70"/>
  <c r="X236" i="70"/>
  <c r="O113" i="70"/>
  <c r="X113" i="70"/>
  <c r="X53" i="70"/>
  <c r="O53" i="70"/>
  <c r="X48" i="70"/>
  <c r="O48" i="70"/>
  <c r="X16" i="70"/>
  <c r="O16" i="70"/>
  <c r="X107" i="70"/>
  <c r="O107" i="70"/>
  <c r="O263" i="70"/>
  <c r="X263" i="70"/>
  <c r="X135" i="70"/>
  <c r="O135" i="70"/>
  <c r="O164" i="70"/>
  <c r="X164" i="70"/>
  <c r="X59" i="70"/>
  <c r="O59" i="70"/>
  <c r="O165" i="70"/>
  <c r="X165" i="70"/>
  <c r="O25" i="70"/>
  <c r="X25" i="70"/>
  <c r="O246" i="70"/>
  <c r="X246" i="70"/>
  <c r="X133" i="70"/>
  <c r="O133" i="70"/>
  <c r="X203" i="70"/>
  <c r="O203" i="70"/>
  <c r="O267" i="70"/>
  <c r="X267" i="70"/>
  <c r="O10" i="70"/>
  <c r="X10" i="70"/>
  <c r="O234" i="70"/>
  <c r="X234" i="70"/>
  <c r="X272" i="70"/>
  <c r="O272" i="70"/>
  <c r="O139" i="70"/>
  <c r="X139" i="70"/>
  <c r="X32" i="70"/>
  <c r="O32" i="70"/>
  <c r="M4" i="70"/>
  <c r="O202" i="70"/>
  <c r="X202" i="70"/>
  <c r="O235" i="70"/>
  <c r="X235" i="70"/>
  <c r="O150" i="70"/>
  <c r="X150" i="70"/>
  <c r="O292" i="70"/>
  <c r="X292" i="70"/>
  <c r="O57" i="70"/>
  <c r="X57" i="70"/>
  <c r="O206" i="70"/>
  <c r="X206" i="70"/>
  <c r="O125" i="70"/>
  <c r="X125" i="70"/>
  <c r="O12" i="70"/>
  <c r="X12" i="70"/>
  <c r="X134" i="70"/>
  <c r="O134" i="70"/>
  <c r="O79" i="70"/>
  <c r="X79" i="70"/>
  <c r="O81" i="70"/>
  <c r="X81" i="70"/>
  <c r="X99" i="70"/>
  <c r="O99" i="70"/>
  <c r="O175" i="70"/>
  <c r="X175" i="70"/>
  <c r="O21" i="70"/>
  <c r="X21" i="70"/>
  <c r="O24" i="70"/>
  <c r="X24" i="70"/>
  <c r="X250" i="70"/>
  <c r="O250" i="70"/>
  <c r="O254" i="70"/>
  <c r="X254" i="70"/>
  <c r="O177" i="70"/>
  <c r="X177" i="70"/>
  <c r="O43" i="70"/>
  <c r="X43" i="70"/>
  <c r="O108" i="70"/>
  <c r="X108" i="70"/>
  <c r="O222" i="70"/>
  <c r="X222" i="70"/>
  <c r="X227" i="70"/>
  <c r="O227" i="70"/>
  <c r="X141" i="70"/>
  <c r="O141" i="70"/>
  <c r="O146" i="70"/>
  <c r="X146" i="70"/>
  <c r="AD241" i="51"/>
  <c r="AC95" i="65"/>
  <c r="J95" i="56"/>
  <c r="AR95" i="56" s="1"/>
  <c r="AC32" i="65"/>
  <c r="J32" i="56"/>
  <c r="AR32" i="56" s="1"/>
  <c r="AC77" i="65"/>
  <c r="J77" i="56"/>
  <c r="AR77" i="56" s="1"/>
  <c r="AC141" i="57"/>
  <c r="AD141" i="51"/>
  <c r="J148" i="68"/>
  <c r="AC83" i="57"/>
  <c r="J90" i="68"/>
  <c r="AD83" i="51"/>
  <c r="J218" i="68"/>
  <c r="AC211" i="57"/>
  <c r="AD211" i="51"/>
  <c r="AD171" i="51"/>
  <c r="AC212" i="65"/>
  <c r="J212" i="56"/>
  <c r="AR212" i="56" s="1"/>
  <c r="AC131" i="57"/>
  <c r="J138" i="68"/>
  <c r="AD131" i="51"/>
  <c r="AD210" i="51"/>
  <c r="AC210" i="57"/>
  <c r="J217" i="68"/>
  <c r="J241" i="56"/>
  <c r="AC22" i="65"/>
  <c r="J22" i="56"/>
  <c r="AR22" i="56" s="1"/>
  <c r="AC168" i="57"/>
  <c r="AD168" i="51"/>
  <c r="AC29" i="65"/>
  <c r="J29" i="56"/>
  <c r="AR29" i="56" s="1"/>
  <c r="AD173" i="51"/>
  <c r="AD279" i="51"/>
  <c r="AC279" i="57"/>
  <c r="AC37" i="57"/>
  <c r="J44" i="68"/>
  <c r="AD37" i="51"/>
  <c r="AD221" i="51"/>
  <c r="AD67" i="51"/>
  <c r="AC67" i="57"/>
  <c r="J74" i="68"/>
  <c r="AC256" i="65"/>
  <c r="J256" i="56"/>
  <c r="AR256" i="56" s="1"/>
  <c r="AC122" i="57"/>
  <c r="AD122" i="51"/>
  <c r="J265" i="68"/>
  <c r="AC258" i="57"/>
  <c r="AD258" i="51"/>
  <c r="AC223" i="65"/>
  <c r="J223" i="56"/>
  <c r="AR223" i="56" s="1"/>
  <c r="AD118" i="51"/>
  <c r="J307" i="68"/>
  <c r="AD300" i="51"/>
  <c r="AC300" i="57"/>
  <c r="AD233" i="51"/>
  <c r="AD159" i="51"/>
  <c r="J166" i="68"/>
  <c r="AC159" i="57"/>
  <c r="AC81" i="57"/>
  <c r="J88" i="68"/>
  <c r="AD81" i="51"/>
  <c r="AC103" i="65"/>
  <c r="J103" i="56"/>
  <c r="AR103" i="56" s="1"/>
  <c r="AD123" i="51"/>
  <c r="AC97" i="65"/>
  <c r="J97" i="56"/>
  <c r="AR97" i="56" s="1"/>
  <c r="AD209" i="51"/>
  <c r="AC126" i="65"/>
  <c r="J126" i="56"/>
  <c r="AR126" i="56" s="1"/>
  <c r="AD125" i="51"/>
  <c r="J132" i="68"/>
  <c r="AC125" i="57"/>
  <c r="AC101" i="65"/>
  <c r="J101" i="56"/>
  <c r="AR101" i="56" s="1"/>
  <c r="AC247" i="65"/>
  <c r="J247" i="56"/>
  <c r="AR247" i="56" s="1"/>
  <c r="J101" i="68"/>
  <c r="AC94" i="57"/>
  <c r="AD94" i="51"/>
  <c r="AC167" i="57"/>
  <c r="J174" i="68"/>
  <c r="AD167" i="51"/>
  <c r="AD48" i="51"/>
  <c r="J55" i="68"/>
  <c r="AC48" i="57"/>
  <c r="AC49" i="65"/>
  <c r="J49" i="56"/>
  <c r="AR49" i="56" s="1"/>
  <c r="AC203" i="65"/>
  <c r="J203" i="56"/>
  <c r="AR203" i="56" s="1"/>
  <c r="AC277" i="57"/>
  <c r="AD277" i="51"/>
  <c r="J284" i="68"/>
  <c r="J269" i="68"/>
  <c r="AC262" i="57"/>
  <c r="AC259" i="65"/>
  <c r="J259" i="56"/>
  <c r="AR259" i="56" s="1"/>
  <c r="J64" i="68"/>
  <c r="AC57" i="57"/>
  <c r="AD57" i="51"/>
  <c r="J153" i="68"/>
  <c r="AD146" i="51"/>
  <c r="AC146" i="57"/>
  <c r="AC36" i="65"/>
  <c r="J36" i="56"/>
  <c r="AR36" i="56" s="1"/>
  <c r="AD32" i="51"/>
  <c r="AD202" i="51"/>
  <c r="AC202" i="57"/>
  <c r="J99" i="68"/>
  <c r="AC92" i="57"/>
  <c r="AD92" i="51"/>
  <c r="AC166" i="65"/>
  <c r="J166" i="56"/>
  <c r="AR166" i="56" s="1"/>
  <c r="AC148" i="65"/>
  <c r="J148" i="56"/>
  <c r="AR148" i="56" s="1"/>
  <c r="AC154" i="65"/>
  <c r="J154" i="56"/>
  <c r="AR154" i="56" s="1"/>
  <c r="AC27" i="57"/>
  <c r="J34" i="68"/>
  <c r="AD27" i="51"/>
  <c r="AC112" i="65"/>
  <c r="J112" i="56"/>
  <c r="AR112" i="56" s="1"/>
  <c r="J260" i="68"/>
  <c r="AD253" i="51"/>
  <c r="AC253" i="57"/>
  <c r="J181" i="68"/>
  <c r="AC174" i="57"/>
  <c r="AD174" i="51"/>
  <c r="AD22" i="51"/>
  <c r="AC22" i="57"/>
  <c r="J29" i="68"/>
  <c r="J263" i="68"/>
  <c r="AD256" i="51"/>
  <c r="AC256" i="57"/>
  <c r="AC258" i="65"/>
  <c r="J258" i="56"/>
  <c r="AR258" i="56" s="1"/>
  <c r="AD126" i="51"/>
  <c r="AC126" i="57"/>
  <c r="J133" i="68"/>
  <c r="AC292" i="57"/>
  <c r="AD292" i="51"/>
  <c r="AD101" i="51"/>
  <c r="J108" i="68"/>
  <c r="AC101" i="57"/>
  <c r="AD55" i="51"/>
  <c r="AD247" i="51"/>
  <c r="J254" i="68"/>
  <c r="AC247" i="57"/>
  <c r="AC94" i="65"/>
  <c r="J94" i="56"/>
  <c r="AR94" i="56" s="1"/>
  <c r="J102" i="68"/>
  <c r="AC95" i="57"/>
  <c r="AD95" i="51"/>
  <c r="J219" i="68"/>
  <c r="AC212" i="57"/>
  <c r="AD212" i="51"/>
  <c r="AC48" i="65"/>
  <c r="J48" i="56"/>
  <c r="AR48" i="56" s="1"/>
  <c r="J210" i="68"/>
  <c r="AC203" i="57"/>
  <c r="AD203" i="51"/>
  <c r="AC277" i="65"/>
  <c r="J277" i="56"/>
  <c r="AR277" i="56" s="1"/>
  <c r="AD178" i="51"/>
  <c r="AD31" i="51"/>
  <c r="AC181" i="65"/>
  <c r="J181" i="56"/>
  <c r="AR181" i="56" s="1"/>
  <c r="AD52" i="51"/>
  <c r="AC52" i="57"/>
  <c r="AC197" i="65"/>
  <c r="J197" i="56"/>
  <c r="AR197" i="56" s="1"/>
  <c r="AD259" i="51"/>
  <c r="J266" i="68"/>
  <c r="AC259" i="57"/>
  <c r="AC160" i="57"/>
  <c r="AD160" i="51"/>
  <c r="AC57" i="65"/>
  <c r="J57" i="56"/>
  <c r="AR57" i="56" s="1"/>
  <c r="AD16" i="51"/>
  <c r="AC16" i="57"/>
  <c r="J23" i="68"/>
  <c r="AC157" i="57"/>
  <c r="AD157" i="51"/>
  <c r="AD158" i="51"/>
  <c r="AD59" i="51"/>
  <c r="AC59" i="57"/>
  <c r="AC131" i="65"/>
  <c r="J131" i="56"/>
  <c r="AR131" i="56" s="1"/>
  <c r="AD170" i="51"/>
  <c r="AD148" i="51"/>
  <c r="AC148" i="57"/>
  <c r="AC27" i="65"/>
  <c r="J27" i="56"/>
  <c r="AR27" i="56" s="1"/>
  <c r="AD93" i="51"/>
  <c r="J281" i="68"/>
  <c r="AC274" i="57"/>
  <c r="AC110" i="65"/>
  <c r="J110" i="56"/>
  <c r="AR110" i="56" s="1"/>
  <c r="AC188" i="65"/>
  <c r="J188" i="56"/>
  <c r="AR188" i="56" s="1"/>
  <c r="AC103" i="57"/>
  <c r="AD103" i="51"/>
  <c r="AC135" i="65"/>
  <c r="J135" i="56"/>
  <c r="AR135" i="56" s="1"/>
  <c r="AC16" i="65"/>
  <c r="J16" i="56"/>
  <c r="AR16" i="56" s="1"/>
  <c r="AC202" i="65"/>
  <c r="J202" i="56"/>
  <c r="AR202" i="56" s="1"/>
  <c r="AD154" i="51"/>
  <c r="AC154" i="57"/>
  <c r="AC278" i="57"/>
  <c r="AD278" i="51"/>
  <c r="AD121" i="51"/>
  <c r="J128" i="68"/>
  <c r="AC121" i="57"/>
  <c r="AD290" i="51"/>
  <c r="AC84" i="65"/>
  <c r="J84" i="56"/>
  <c r="AR84" i="56" s="1"/>
  <c r="AD254" i="51"/>
  <c r="AC254" i="57"/>
  <c r="J261" i="68"/>
  <c r="AD183" i="51"/>
  <c r="AD142" i="51"/>
  <c r="AD42" i="51"/>
  <c r="AC83" i="65"/>
  <c r="J83" i="56"/>
  <c r="AR83" i="56" s="1"/>
  <c r="AC168" i="65"/>
  <c r="J168" i="56"/>
  <c r="AR168" i="56" s="1"/>
  <c r="AC254" i="65"/>
  <c r="J254" i="56"/>
  <c r="AR254" i="56" s="1"/>
  <c r="AC162" i="65"/>
  <c r="J162" i="56"/>
  <c r="AR162" i="56" s="1"/>
  <c r="AC81" i="65"/>
  <c r="J81" i="56"/>
  <c r="AR81" i="56" s="1"/>
  <c r="AC211" i="65"/>
  <c r="J211" i="56"/>
  <c r="AR211" i="56" s="1"/>
  <c r="AD135" i="51"/>
  <c r="J142" i="68"/>
  <c r="AC135" i="57"/>
  <c r="AC20" i="57"/>
  <c r="J27" i="68"/>
  <c r="AD20" i="51"/>
  <c r="AC162" i="57"/>
  <c r="AD162" i="51"/>
  <c r="AC182" i="65"/>
  <c r="J182" i="56"/>
  <c r="AR182" i="56" s="1"/>
  <c r="AD29" i="51"/>
  <c r="AC29" i="57"/>
  <c r="J36" i="68"/>
  <c r="AC54" i="65"/>
  <c r="J54" i="56"/>
  <c r="AR54" i="56" s="1"/>
  <c r="AC67" i="65"/>
  <c r="J67" i="56"/>
  <c r="AR67" i="56" s="1"/>
  <c r="AD73" i="51"/>
  <c r="AD223" i="51"/>
  <c r="J230" i="68"/>
  <c r="AC223" i="57"/>
  <c r="AD270" i="51"/>
  <c r="J214" i="68"/>
  <c r="AD207" i="51"/>
  <c r="AC207" i="57"/>
  <c r="J282" i="68"/>
  <c r="AC275" i="57"/>
  <c r="AD275" i="51"/>
  <c r="AD49" i="51"/>
  <c r="J56" i="68"/>
  <c r="AC49" i="57"/>
  <c r="AD187" i="51"/>
  <c r="AC181" i="57"/>
  <c r="J188" i="68"/>
  <c r="AD181" i="51"/>
  <c r="AC52" i="65"/>
  <c r="J52" i="56"/>
  <c r="AR52" i="56" s="1"/>
  <c r="AC197" i="57"/>
  <c r="J204" i="68"/>
  <c r="AD197" i="51"/>
  <c r="AC160" i="65"/>
  <c r="J160" i="56"/>
  <c r="AR160" i="56" s="1"/>
  <c r="AC146" i="65"/>
  <c r="J146" i="56"/>
  <c r="AR146" i="56" s="1"/>
  <c r="AD36" i="51"/>
  <c r="AC36" i="57"/>
  <c r="J43" i="68"/>
  <c r="AD235" i="51"/>
  <c r="AD239" i="51"/>
  <c r="AC92" i="65"/>
  <c r="J92" i="56"/>
  <c r="AR92" i="56" s="1"/>
  <c r="AC59" i="65"/>
  <c r="J59" i="56"/>
  <c r="AR59" i="56" s="1"/>
  <c r="AC129" i="65"/>
  <c r="J129" i="56"/>
  <c r="AR129" i="56" s="1"/>
  <c r="J48" i="68"/>
  <c r="AC41" i="57"/>
  <c r="AD41" i="51"/>
  <c r="AC291" i="65"/>
  <c r="J291" i="56"/>
  <c r="AR291" i="56" s="1"/>
  <c r="AC195" i="65"/>
  <c r="J195" i="56"/>
  <c r="AR195" i="56" s="1"/>
  <c r="AC97" i="57"/>
  <c r="J104" i="68"/>
  <c r="AD97" i="51"/>
  <c r="AC20" i="65"/>
  <c r="J20" i="56"/>
  <c r="AR20" i="56" s="1"/>
  <c r="AD56" i="51"/>
  <c r="AC157" i="65"/>
  <c r="J157" i="56"/>
  <c r="AR157" i="56" s="1"/>
  <c r="AC136" i="65"/>
  <c r="J136" i="56"/>
  <c r="AR136" i="56" s="1"/>
  <c r="AC195" i="57"/>
  <c r="AD195" i="51"/>
  <c r="J202" i="68"/>
  <c r="J91" i="68"/>
  <c r="AC84" i="57"/>
  <c r="AD84" i="51"/>
  <c r="AD238" i="51"/>
  <c r="AD177" i="51"/>
  <c r="J189" i="68"/>
  <c r="AC182" i="57"/>
  <c r="AD182" i="51"/>
  <c r="AC37" i="65"/>
  <c r="J37" i="56"/>
  <c r="AR37" i="56" s="1"/>
  <c r="AD54" i="51"/>
  <c r="J61" i="68"/>
  <c r="AC54" i="57"/>
  <c r="AC122" i="65"/>
  <c r="J122" i="56"/>
  <c r="AR122" i="56" s="1"/>
  <c r="AD114" i="51"/>
  <c r="AD110" i="51"/>
  <c r="J117" i="68"/>
  <c r="AC110" i="57"/>
  <c r="AC268" i="65"/>
  <c r="J268" i="56"/>
  <c r="AR268" i="56" s="1"/>
  <c r="AD18" i="51"/>
  <c r="AC18" i="57"/>
  <c r="J25" i="68"/>
  <c r="AD186" i="51"/>
  <c r="AC207" i="65"/>
  <c r="J207" i="56"/>
  <c r="AR207" i="56" s="1"/>
  <c r="AC275" i="65"/>
  <c r="J275" i="56"/>
  <c r="AR275" i="56" s="1"/>
  <c r="AD61" i="51"/>
  <c r="AD194" i="51"/>
  <c r="J201" i="68"/>
  <c r="AC194" i="57"/>
  <c r="AD260" i="51"/>
  <c r="J162" i="68"/>
  <c r="AD155" i="51"/>
  <c r="AC155" i="57"/>
  <c r="AC184" i="65"/>
  <c r="J184" i="56"/>
  <c r="AR184" i="56" s="1"/>
  <c r="AC51" i="65"/>
  <c r="J51" i="56"/>
  <c r="AR51" i="56" s="1"/>
  <c r="J227" i="68"/>
  <c r="AD220" i="51"/>
  <c r="AC220" i="57"/>
  <c r="J248" i="68"/>
  <c r="AC241" i="57"/>
  <c r="AC53" i="65"/>
  <c r="J53" i="56"/>
  <c r="AR53" i="56" s="1"/>
  <c r="AC138" i="65"/>
  <c r="J138" i="56"/>
  <c r="AR138" i="56" s="1"/>
  <c r="AC269" i="57"/>
  <c r="AD269" i="51"/>
  <c r="AC100" i="65"/>
  <c r="J100" i="56"/>
  <c r="AR100" i="56" s="1"/>
  <c r="AC240" i="65"/>
  <c r="J240" i="56"/>
  <c r="AR240" i="56" s="1"/>
  <c r="J226" i="68"/>
  <c r="AC219" i="57"/>
  <c r="AD219" i="51"/>
  <c r="AC185" i="65"/>
  <c r="J185" i="56"/>
  <c r="AR185" i="56" s="1"/>
  <c r="AD106" i="51"/>
  <c r="J113" i="68"/>
  <c r="AC106" i="57"/>
  <c r="AD23" i="51"/>
  <c r="AD109" i="51"/>
  <c r="J116" i="68"/>
  <c r="AC109" i="57"/>
  <c r="AC127" i="57"/>
  <c r="AD127" i="51"/>
  <c r="AD257" i="51"/>
  <c r="AD246" i="51"/>
  <c r="AC246" i="57"/>
  <c r="J253" i="68"/>
  <c r="AD28" i="51"/>
  <c r="AD64" i="51"/>
  <c r="AC125" i="65"/>
  <c r="J125" i="56"/>
  <c r="AR125" i="56" s="1"/>
  <c r="AC167" i="65"/>
  <c r="J167" i="56"/>
  <c r="AR167" i="56" s="1"/>
  <c r="J173" i="68"/>
  <c r="AC166" i="57"/>
  <c r="AD166" i="51"/>
  <c r="AC174" i="65"/>
  <c r="J174" i="56"/>
  <c r="AR174" i="56" s="1"/>
  <c r="J275" i="68"/>
  <c r="AC268" i="57"/>
  <c r="AD268" i="51"/>
  <c r="AD216" i="51"/>
  <c r="AC86" i="65"/>
  <c r="J86" i="56"/>
  <c r="AR86" i="56" s="1"/>
  <c r="J274" i="68"/>
  <c r="AC267" i="57"/>
  <c r="AD267" i="51"/>
  <c r="AC189" i="65"/>
  <c r="J189" i="56"/>
  <c r="AR189" i="56" s="1"/>
  <c r="AD116" i="51"/>
  <c r="J123" i="68"/>
  <c r="AC116" i="57"/>
  <c r="AC40" i="65"/>
  <c r="J40" i="56"/>
  <c r="AR40" i="56" s="1"/>
  <c r="AC128" i="65"/>
  <c r="J128" i="56"/>
  <c r="AR128" i="56" s="1"/>
  <c r="AC141" i="65"/>
  <c r="J141" i="56"/>
  <c r="AR141" i="56" s="1"/>
  <c r="AC63" i="65"/>
  <c r="J63" i="56"/>
  <c r="AR63" i="56" s="1"/>
  <c r="AC18" i="65"/>
  <c r="J18" i="56"/>
  <c r="AR18" i="56" s="1"/>
  <c r="AD69" i="51"/>
  <c r="AC17" i="57"/>
  <c r="AD17" i="51"/>
  <c r="J278" i="68"/>
  <c r="AD271" i="51"/>
  <c r="AC271" i="57"/>
  <c r="J311" i="68"/>
  <c r="AC304" i="57"/>
  <c r="AD304" i="51"/>
  <c r="AC196" i="65"/>
  <c r="J196" i="56"/>
  <c r="AR196" i="56" s="1"/>
  <c r="AD107" i="51"/>
  <c r="AC107" i="57"/>
  <c r="J114" i="68"/>
  <c r="AC194" i="65"/>
  <c r="J194" i="56"/>
  <c r="AR194" i="56" s="1"/>
  <c r="AC176" i="65"/>
  <c r="J176" i="56"/>
  <c r="AR176" i="56" s="1"/>
  <c r="AC184" i="57"/>
  <c r="AD184" i="51"/>
  <c r="J191" i="68"/>
  <c r="J58" i="68"/>
  <c r="AC51" i="57"/>
  <c r="AD51" i="51"/>
  <c r="AD299" i="51"/>
  <c r="AD229" i="51"/>
  <c r="J236" i="68"/>
  <c r="AC229" i="57"/>
  <c r="AC119" i="57"/>
  <c r="J126" i="68"/>
  <c r="AD119" i="51"/>
  <c r="AD19" i="51"/>
  <c r="J26" i="68"/>
  <c r="AC19" i="57"/>
  <c r="AD87" i="51"/>
  <c r="AC87" i="57"/>
  <c r="J94" i="68"/>
  <c r="J60" i="68"/>
  <c r="AD53" i="51"/>
  <c r="AC53" i="57"/>
  <c r="J145" i="68"/>
  <c r="AC138" i="57"/>
  <c r="AD138" i="51"/>
  <c r="AC269" i="65"/>
  <c r="J269" i="56"/>
  <c r="AR269" i="56" s="1"/>
  <c r="AC294" i="65"/>
  <c r="J294" i="56"/>
  <c r="AR294" i="56" s="1"/>
  <c r="AD70" i="51"/>
  <c r="AC70" i="57"/>
  <c r="AC60" i="57"/>
  <c r="J67" i="68"/>
  <c r="AD60" i="51"/>
  <c r="AD144" i="51"/>
  <c r="AD79" i="51"/>
  <c r="AC79" i="57"/>
  <c r="J86" i="68"/>
  <c r="AD293" i="51"/>
  <c r="AC293" i="57"/>
  <c r="J300" i="68"/>
  <c r="AC156" i="57"/>
  <c r="AD156" i="51"/>
  <c r="J314" i="68"/>
  <c r="AC307" i="57"/>
  <c r="AC243" i="57"/>
  <c r="J250" i="68"/>
  <c r="AD243" i="51"/>
  <c r="AD200" i="51"/>
  <c r="J207" i="68"/>
  <c r="AC200" i="57"/>
  <c r="AC175" i="65"/>
  <c r="J175" i="56"/>
  <c r="AR175" i="56" s="1"/>
  <c r="AC100" i="57"/>
  <c r="J107" i="68"/>
  <c r="AD100" i="51"/>
  <c r="J247" i="68"/>
  <c r="AC240" i="57"/>
  <c r="AD240" i="51"/>
  <c r="AD66" i="51"/>
  <c r="AD191" i="51"/>
  <c r="AC286" i="65"/>
  <c r="J286" i="56"/>
  <c r="AR286" i="56" s="1"/>
  <c r="J192" i="68"/>
  <c r="AC185" i="57"/>
  <c r="AD185" i="51"/>
  <c r="AD145" i="51"/>
  <c r="AC129" i="57"/>
  <c r="AD129" i="51"/>
  <c r="AC127" i="65"/>
  <c r="J127" i="56"/>
  <c r="AR127" i="56" s="1"/>
  <c r="AD281" i="51"/>
  <c r="AC41" i="65"/>
  <c r="J41" i="56"/>
  <c r="AR41" i="56" s="1"/>
  <c r="AC291" i="57"/>
  <c r="AD291" i="51"/>
  <c r="J298" i="68"/>
  <c r="AC246" i="65"/>
  <c r="J246" i="56"/>
  <c r="AR246" i="56" s="1"/>
  <c r="AD99" i="51"/>
  <c r="AC17" i="65"/>
  <c r="J17" i="56"/>
  <c r="AR17" i="56" s="1"/>
  <c r="AD196" i="51"/>
  <c r="J203" i="68"/>
  <c r="AC196" i="57"/>
  <c r="AC155" i="65"/>
  <c r="J155" i="56"/>
  <c r="AR155" i="56" s="1"/>
  <c r="J293" i="68"/>
  <c r="AC286" i="57"/>
  <c r="AD286" i="51"/>
  <c r="AD255" i="51"/>
  <c r="AC106" i="65"/>
  <c r="J106" i="56"/>
  <c r="AR106" i="56" s="1"/>
  <c r="AC109" i="65"/>
  <c r="J109" i="56"/>
  <c r="AR109" i="56" s="1"/>
  <c r="AD150" i="51"/>
  <c r="AC86" i="57"/>
  <c r="AD86" i="51"/>
  <c r="AD40" i="51"/>
  <c r="AC40" i="57"/>
  <c r="J47" i="68"/>
  <c r="AC128" i="57"/>
  <c r="J135" i="68"/>
  <c r="AD128" i="51"/>
  <c r="AD248" i="51"/>
  <c r="J140" i="68"/>
  <c r="AC133" i="57"/>
  <c r="AD133" i="51"/>
  <c r="AC30" i="65"/>
  <c r="J30" i="56"/>
  <c r="AR30" i="56" s="1"/>
  <c r="AD104" i="51"/>
  <c r="J111" i="68"/>
  <c r="AC104" i="57"/>
  <c r="AC271" i="65"/>
  <c r="J271" i="56"/>
  <c r="AR271" i="56" s="1"/>
  <c r="AC107" i="65"/>
  <c r="J107" i="56"/>
  <c r="AR107" i="56" s="1"/>
  <c r="AD176" i="51"/>
  <c r="AC176" i="57"/>
  <c r="J183" i="68"/>
  <c r="AC229" i="65"/>
  <c r="J229" i="56"/>
  <c r="AR229" i="56" s="1"/>
  <c r="AC119" i="65"/>
  <c r="J119" i="56"/>
  <c r="AR119" i="56" s="1"/>
  <c r="AC220" i="65"/>
  <c r="J220" i="56"/>
  <c r="AR220" i="56" s="1"/>
  <c r="AC19" i="65"/>
  <c r="J19" i="56"/>
  <c r="AR19" i="56" s="1"/>
  <c r="AC87" i="65"/>
  <c r="J87" i="56"/>
  <c r="AR87" i="56" s="1"/>
  <c r="AD237" i="51"/>
  <c r="AD294" i="51"/>
  <c r="AC294" i="57"/>
  <c r="J301" i="68"/>
  <c r="AC70" i="65"/>
  <c r="J70" i="56"/>
  <c r="AR70" i="56" s="1"/>
  <c r="AC285" i="57"/>
  <c r="AD193" i="51"/>
  <c r="J200" i="68"/>
  <c r="AC193" i="57"/>
  <c r="AC244" i="65"/>
  <c r="J244" i="56"/>
  <c r="AR244" i="56" s="1"/>
  <c r="AD139" i="51"/>
  <c r="AC243" i="65"/>
  <c r="J243" i="56"/>
  <c r="AR243" i="56" s="1"/>
  <c r="AC200" i="65"/>
  <c r="J200" i="56"/>
  <c r="AR200" i="56" s="1"/>
  <c r="AD175" i="51"/>
  <c r="AC175" i="57"/>
  <c r="J182" i="68"/>
  <c r="AC245" i="65"/>
  <c r="J245" i="56"/>
  <c r="AR245" i="56" s="1"/>
  <c r="AD283" i="51"/>
  <c r="J290" i="68"/>
  <c r="AC283" i="57"/>
  <c r="AD164" i="51"/>
  <c r="AC149" i="57"/>
  <c r="AD149" i="51"/>
  <c r="AC219" i="65"/>
  <c r="J219" i="56"/>
  <c r="AR219" i="56" s="1"/>
  <c r="AD21" i="51"/>
  <c r="AC267" i="65"/>
  <c r="J267" i="56"/>
  <c r="AR267" i="56" s="1"/>
  <c r="AD89" i="51"/>
  <c r="AD226" i="51"/>
  <c r="AD189" i="51"/>
  <c r="AC189" i="57"/>
  <c r="AC116" i="65"/>
  <c r="J116" i="56"/>
  <c r="AR116" i="56" s="1"/>
  <c r="AC133" i="65"/>
  <c r="J133" i="56"/>
  <c r="AR133" i="56" s="1"/>
  <c r="J37" i="68"/>
  <c r="AC30" i="57"/>
  <c r="AD30" i="51"/>
  <c r="AD58" i="51"/>
  <c r="J70" i="68"/>
  <c r="AC63" i="57"/>
  <c r="AD63" i="51"/>
  <c r="AC104" i="65"/>
  <c r="J104" i="56"/>
  <c r="AR104" i="56" s="1"/>
  <c r="AD62" i="51"/>
  <c r="AC300" i="65"/>
  <c r="J300" i="56"/>
  <c r="AR300" i="56" s="1"/>
  <c r="AC273" i="57"/>
  <c r="AC159" i="65"/>
  <c r="J159" i="56"/>
  <c r="AR159" i="56" s="1"/>
  <c r="AD192" i="51"/>
  <c r="J195" i="68"/>
  <c r="AC188" i="57"/>
  <c r="AD188" i="51"/>
  <c r="AC60" i="65"/>
  <c r="J60" i="56"/>
  <c r="AR60" i="56" s="1"/>
  <c r="AC296" i="57"/>
  <c r="J303" i="68"/>
  <c r="AC79" i="65"/>
  <c r="J79" i="56"/>
  <c r="AR79" i="56" s="1"/>
  <c r="AD206" i="51"/>
  <c r="AC293" i="65"/>
  <c r="J293" i="56"/>
  <c r="AR293" i="56" s="1"/>
  <c r="AC193" i="65"/>
  <c r="J193" i="56"/>
  <c r="AR193" i="56" s="1"/>
  <c r="AD244" i="51"/>
  <c r="J251" i="68"/>
  <c r="AC244" i="57"/>
  <c r="AD108" i="51"/>
  <c r="AC156" i="65"/>
  <c r="J156" i="56"/>
  <c r="AR156" i="56" s="1"/>
  <c r="J252" i="68"/>
  <c r="AC245" i="57"/>
  <c r="AD245" i="51"/>
  <c r="AC283" i="65"/>
  <c r="J283" i="56"/>
  <c r="AR283" i="56" s="1"/>
  <c r="AC149" i="65"/>
  <c r="J149" i="56"/>
  <c r="AR149" i="56" s="1"/>
  <c r="AC210" i="65"/>
  <c r="J210" i="56"/>
  <c r="AR210" i="56" s="1"/>
  <c r="AD265" i="51"/>
  <c r="J119" i="68"/>
  <c r="AD112" i="51"/>
  <c r="AC112" i="57"/>
  <c r="AC278" i="65"/>
  <c r="J278" i="56"/>
  <c r="AR278" i="56" s="1"/>
  <c r="AC77" i="57"/>
  <c r="AD77" i="51"/>
  <c r="AC136" i="57"/>
  <c r="AD136" i="51"/>
  <c r="J143" i="68"/>
  <c r="AC253" i="65"/>
  <c r="J253" i="56"/>
  <c r="AR253" i="56" s="1"/>
  <c r="AC121" i="65"/>
  <c r="J121" i="56"/>
  <c r="AR121" i="56" s="1"/>
  <c r="P150" i="66"/>
  <c r="AB262" i="56"/>
  <c r="AB252" i="56"/>
  <c r="AC241" i="51"/>
  <c r="AB241" i="56"/>
  <c r="AB273" i="65"/>
  <c r="J273" i="56"/>
  <c r="AR273" i="56" s="1"/>
  <c r="AV91" i="66"/>
  <c r="P91" i="66"/>
  <c r="AC252" i="51"/>
  <c r="AB263" i="65"/>
  <c r="AB295" i="53"/>
  <c r="I295" i="54"/>
  <c r="BG295" i="54" s="1"/>
  <c r="I306" i="54"/>
  <c r="BG306" i="54" s="1"/>
  <c r="E142" i="66" s="1"/>
  <c r="AB306" i="53"/>
  <c r="I274" i="57"/>
  <c r="I261" i="68" s="1"/>
  <c r="I274" i="65"/>
  <c r="AB274" i="54"/>
  <c r="AV274" i="54" s="1"/>
  <c r="AB263" i="57"/>
  <c r="AC262" i="51"/>
  <c r="I280" i="68"/>
  <c r="AB273" i="57"/>
  <c r="I284" i="57"/>
  <c r="E11" i="66" s="1"/>
  <c r="P11" i="66" s="1"/>
  <c r="I284" i="65"/>
  <c r="E23" i="66" s="1"/>
  <c r="AB284" i="54"/>
  <c r="AV284" i="54" s="1"/>
  <c r="AB285" i="53"/>
  <c r="I285" i="54"/>
  <c r="BG285" i="54" s="1"/>
  <c r="B7" i="15"/>
  <c r="A306" i="3"/>
  <c r="J151" i="68" l="1"/>
  <c r="J32" i="68"/>
  <c r="J197" i="68"/>
  <c r="J313" i="68"/>
  <c r="J231" i="68"/>
  <c r="P66" i="66"/>
  <c r="AV66" i="66"/>
  <c r="AC179" i="65"/>
  <c r="AC190" i="65"/>
  <c r="AC32" i="57"/>
  <c r="C12" i="15"/>
  <c r="C14" i="15"/>
  <c r="C22" i="15"/>
  <c r="C33" i="15"/>
  <c r="C15" i="15"/>
  <c r="C23" i="15"/>
  <c r="C16" i="15"/>
  <c r="C37" i="15"/>
  <c r="C17" i="15"/>
  <c r="C25" i="15"/>
  <c r="C38" i="15"/>
  <c r="C18" i="15"/>
  <c r="C19" i="15"/>
  <c r="C30" i="15"/>
  <c r="C20" i="15"/>
  <c r="C31" i="15"/>
  <c r="U15" i="15"/>
  <c r="U30" i="15"/>
  <c r="U23" i="15"/>
  <c r="U22" i="15"/>
  <c r="U12" i="15"/>
  <c r="U16" i="15"/>
  <c r="U38" i="15"/>
  <c r="U20" i="15"/>
  <c r="U19" i="15"/>
  <c r="U17" i="15"/>
  <c r="U18" i="15"/>
  <c r="U31" i="15"/>
  <c r="AC144" i="57"/>
  <c r="J178" i="68"/>
  <c r="J165" i="56"/>
  <c r="AR165" i="56" s="1"/>
  <c r="AC71" i="65"/>
  <c r="J134" i="56"/>
  <c r="AR134" i="56" s="1"/>
  <c r="J55" i="56"/>
  <c r="AR55" i="56" s="1"/>
  <c r="J62" i="56"/>
  <c r="AR62" i="56" s="1"/>
  <c r="J263" i="56"/>
  <c r="AR263" i="56" s="1"/>
  <c r="J163" i="56"/>
  <c r="AR163" i="56" s="1"/>
  <c r="J62" i="68"/>
  <c r="J69" i="68"/>
  <c r="AC292" i="65"/>
  <c r="S12" i="15"/>
  <c r="S17" i="15"/>
  <c r="S16" i="15"/>
  <c r="S15" i="15"/>
  <c r="S23" i="15"/>
  <c r="S18" i="15"/>
  <c r="S31" i="15"/>
  <c r="S30" i="15"/>
  <c r="S38" i="15"/>
  <c r="S20" i="15"/>
  <c r="S19" i="15"/>
  <c r="S22" i="15"/>
  <c r="J172" i="56"/>
  <c r="AR172" i="56" s="1"/>
  <c r="J217" i="56"/>
  <c r="AR217" i="56" s="1"/>
  <c r="J186" i="53"/>
  <c r="J23" i="53"/>
  <c r="AB152" i="42"/>
  <c r="AB25" i="42"/>
  <c r="AB91" i="42"/>
  <c r="AB181" i="42"/>
  <c r="AB154" i="42"/>
  <c r="AB264" i="42"/>
  <c r="AB175" i="42"/>
  <c r="J73" i="53"/>
  <c r="J158" i="53"/>
  <c r="AB155" i="42"/>
  <c r="AB47" i="42"/>
  <c r="J123" i="53"/>
  <c r="AB159" i="42"/>
  <c r="J178" i="53"/>
  <c r="J28" i="53"/>
  <c r="J150" i="53"/>
  <c r="AB113" i="42"/>
  <c r="AB294" i="42"/>
  <c r="J139" i="53"/>
  <c r="AB298" i="42"/>
  <c r="AB297" i="42"/>
  <c r="AB223" i="42"/>
  <c r="AB207" i="42"/>
  <c r="J69" i="53"/>
  <c r="AB179" i="42"/>
  <c r="J66" i="53"/>
  <c r="J31" i="53"/>
  <c r="AB72" i="42"/>
  <c r="J108" i="53"/>
  <c r="AB19" i="42"/>
  <c r="AB189" i="42"/>
  <c r="J260" i="53"/>
  <c r="AB274" i="42"/>
  <c r="AB122" i="42"/>
  <c r="AB116" i="42"/>
  <c r="J56" i="53"/>
  <c r="J118" i="53"/>
  <c r="J177" i="53"/>
  <c r="J61" i="53"/>
  <c r="AB208" i="42"/>
  <c r="J216" i="53"/>
  <c r="AB165" i="42"/>
  <c r="AB53" i="42"/>
  <c r="AB111" i="42"/>
  <c r="J209" i="53"/>
  <c r="J192" i="53"/>
  <c r="J239" i="53"/>
  <c r="AB119" i="42"/>
  <c r="J89" i="53"/>
  <c r="AB196" i="42"/>
  <c r="J187" i="53"/>
  <c r="J233" i="53"/>
  <c r="AB291" i="42"/>
  <c r="J21" i="53"/>
  <c r="AB147" i="42"/>
  <c r="AB304" i="42"/>
  <c r="J299" i="53"/>
  <c r="J183" i="53"/>
  <c r="J145" i="53"/>
  <c r="J114" i="53"/>
  <c r="AB151" i="42"/>
  <c r="AB215" i="42"/>
  <c r="AB160" i="42"/>
  <c r="AB88" i="42"/>
  <c r="AB236" i="42"/>
  <c r="AB63" i="42"/>
  <c r="J173" i="53"/>
  <c r="AB48" i="42"/>
  <c r="J257" i="53"/>
  <c r="AB267" i="42"/>
  <c r="AB244" i="42"/>
  <c r="AB40" i="42"/>
  <c r="AB293" i="42"/>
  <c r="J248" i="53"/>
  <c r="AB137" i="42"/>
  <c r="AB262" i="42"/>
  <c r="J58" i="53"/>
  <c r="AB306" i="42"/>
  <c r="J99" i="53"/>
  <c r="AB45" i="42"/>
  <c r="AB125" i="42"/>
  <c r="J290" i="53"/>
  <c r="AB217" i="42"/>
  <c r="AB20" i="42"/>
  <c r="AB184" i="42"/>
  <c r="AB161" i="42"/>
  <c r="AB144" i="42"/>
  <c r="J255" i="53"/>
  <c r="AB62" i="42"/>
  <c r="J164" i="53"/>
  <c r="AB29" i="42"/>
  <c r="J42" i="53"/>
  <c r="J235" i="53"/>
  <c r="J142" i="53"/>
  <c r="AB162" i="42"/>
  <c r="AB169" i="42"/>
  <c r="J226" i="53"/>
  <c r="AB98" i="42"/>
  <c r="AB94" i="42"/>
  <c r="J93" i="53"/>
  <c r="AB27" i="42"/>
  <c r="AB105" i="42"/>
  <c r="AB52" i="42"/>
  <c r="J237" i="53"/>
  <c r="J24" i="53"/>
  <c r="J191" i="53"/>
  <c r="J281" i="53"/>
  <c r="J170" i="53"/>
  <c r="AB240" i="42"/>
  <c r="AB120" i="42"/>
  <c r="J221" i="53"/>
  <c r="AB258" i="42"/>
  <c r="J265" i="53"/>
  <c r="AB16" i="42"/>
  <c r="AB176" i="42"/>
  <c r="J238" i="53"/>
  <c r="J206" i="53"/>
  <c r="AB132" i="42"/>
  <c r="AB286" i="42"/>
  <c r="AB277" i="42"/>
  <c r="AB115" i="42"/>
  <c r="AB55" i="42"/>
  <c r="AB283" i="42"/>
  <c r="AB201" i="42"/>
  <c r="AB190" i="42"/>
  <c r="J64" i="53"/>
  <c r="J270" i="53"/>
  <c r="AB92" i="42"/>
  <c r="P72" i="66"/>
  <c r="AL72" i="66" s="1"/>
  <c r="AB72" i="66"/>
  <c r="AC236" i="65"/>
  <c r="J81" i="68"/>
  <c r="J154" i="68"/>
  <c r="AD147" i="51"/>
  <c r="J213" i="56"/>
  <c r="AR213" i="56" s="1"/>
  <c r="AC261" i="57"/>
  <c r="J158" i="68"/>
  <c r="AD98" i="51"/>
  <c r="J268" i="68"/>
  <c r="AD75" i="51"/>
  <c r="J283" i="68"/>
  <c r="AC204" i="65"/>
  <c r="AC180" i="65"/>
  <c r="AD43" i="51"/>
  <c r="AC143" i="65"/>
  <c r="AD276" i="51"/>
  <c r="AC75" i="57"/>
  <c r="J132" i="56"/>
  <c r="AR132" i="56" s="1"/>
  <c r="J208" i="68"/>
  <c r="AD224" i="51"/>
  <c r="AC201" i="57"/>
  <c r="J115" i="56"/>
  <c r="AR115" i="56" s="1"/>
  <c r="AC224" i="57"/>
  <c r="J46" i="56"/>
  <c r="AR46" i="56" s="1"/>
  <c r="J303" i="56"/>
  <c r="AR303" i="56" s="1"/>
  <c r="AC43" i="57"/>
  <c r="AC250" i="57"/>
  <c r="AC25" i="57"/>
  <c r="AC35" i="65"/>
  <c r="AD213" i="51"/>
  <c r="AC213" i="57"/>
  <c r="AD25" i="51"/>
  <c r="J264" i="56"/>
  <c r="AR264" i="56" s="1"/>
  <c r="J215" i="56"/>
  <c r="AR215" i="56" s="1"/>
  <c r="J72" i="56"/>
  <c r="AR72" i="56" s="1"/>
  <c r="AC208" i="57"/>
  <c r="AC85" i="65"/>
  <c r="J147" i="56"/>
  <c r="AR147" i="56" s="1"/>
  <c r="J261" i="56"/>
  <c r="AR261" i="56" s="1"/>
  <c r="J218" i="56"/>
  <c r="AR218" i="56" s="1"/>
  <c r="J289" i="68"/>
  <c r="AD282" i="51"/>
  <c r="AC272" i="57"/>
  <c r="AC297" i="65"/>
  <c r="J279" i="68"/>
  <c r="AD289" i="51"/>
  <c r="J266" i="56"/>
  <c r="AR266" i="56" s="1"/>
  <c r="J302" i="56"/>
  <c r="AR302" i="56" s="1"/>
  <c r="J214" i="56"/>
  <c r="AR214" i="56" s="1"/>
  <c r="AC230" i="57"/>
  <c r="J44" i="56"/>
  <c r="AR44" i="56" s="1"/>
  <c r="AD105" i="51"/>
  <c r="AC98" i="57"/>
  <c r="AC298" i="65"/>
  <c r="AC251" i="57"/>
  <c r="AD151" i="51"/>
  <c r="AD80" i="51"/>
  <c r="AC74" i="57"/>
  <c r="J199" i="56"/>
  <c r="AR199" i="56" s="1"/>
  <c r="J258" i="68"/>
  <c r="AC249" i="57"/>
  <c r="AD249" i="51"/>
  <c r="J279" i="56"/>
  <c r="AR279" i="56" s="1"/>
  <c r="AC262" i="56"/>
  <c r="AR262" i="56"/>
  <c r="AC241" i="56"/>
  <c r="AR241" i="56"/>
  <c r="J91" i="56"/>
  <c r="AR91" i="56" s="1"/>
  <c r="J95" i="68"/>
  <c r="AC88" i="57"/>
  <c r="J68" i="56"/>
  <c r="AR68" i="56" s="1"/>
  <c r="J47" i="56"/>
  <c r="AR47" i="56" s="1"/>
  <c r="AC105" i="57"/>
  <c r="AD46" i="51"/>
  <c r="AD90" i="51"/>
  <c r="J97" i="68"/>
  <c r="J122" i="68"/>
  <c r="AD115" i="51"/>
  <c r="J171" i="56"/>
  <c r="AR171" i="56" s="1"/>
  <c r="J124" i="68"/>
  <c r="AD198" i="51"/>
  <c r="J243" i="68"/>
  <c r="AD236" i="51"/>
  <c r="J179" i="68"/>
  <c r="AD172" i="51"/>
  <c r="J270" i="68"/>
  <c r="J161" i="56"/>
  <c r="J224" i="68"/>
  <c r="AC217" i="57"/>
  <c r="AC161" i="57"/>
  <c r="AC72" i="57"/>
  <c r="J98" i="68"/>
  <c r="AD91" i="51"/>
  <c r="AD161" i="51"/>
  <c r="J169" i="56"/>
  <c r="AR169" i="56" s="1"/>
  <c r="AC224" i="65"/>
  <c r="J76" i="56"/>
  <c r="AR76" i="56" s="1"/>
  <c r="J34" i="56"/>
  <c r="J92" i="68"/>
  <c r="AC85" i="57"/>
  <c r="J41" i="68"/>
  <c r="AC34" i="57"/>
  <c r="AD117" i="51"/>
  <c r="J251" i="56"/>
  <c r="AC82" i="57"/>
  <c r="J198" i="56"/>
  <c r="AC124" i="57"/>
  <c r="J230" i="56"/>
  <c r="AR230" i="56" s="1"/>
  <c r="AD82" i="51"/>
  <c r="J53" i="68"/>
  <c r="J131" i="68"/>
  <c r="AC306" i="57"/>
  <c r="J272" i="56"/>
  <c r="J82" i="56"/>
  <c r="AC140" i="57"/>
  <c r="J153" i="56"/>
  <c r="AR153" i="56" s="1"/>
  <c r="J140" i="56"/>
  <c r="J124" i="56"/>
  <c r="AR124" i="56" s="1"/>
  <c r="AC169" i="57"/>
  <c r="J176" i="68"/>
  <c r="AD302" i="51"/>
  <c r="J309" i="68"/>
  <c r="AD190" i="51"/>
  <c r="AC190" i="57"/>
  <c r="AC76" i="57"/>
  <c r="J83" i="68"/>
  <c r="AC205" i="57"/>
  <c r="J26" i="56"/>
  <c r="AR26" i="56" s="1"/>
  <c r="AD205" i="51"/>
  <c r="J208" i="56"/>
  <c r="AD137" i="51"/>
  <c r="J201" i="56"/>
  <c r="J117" i="56"/>
  <c r="AR117" i="56" s="1"/>
  <c r="J144" i="68"/>
  <c r="AW37" i="66"/>
  <c r="AC297" i="57"/>
  <c r="Q37" i="66"/>
  <c r="AM37" i="66" s="1"/>
  <c r="J222" i="56"/>
  <c r="AR222" i="56" s="1"/>
  <c r="AC102" i="57"/>
  <c r="J96" i="56"/>
  <c r="AD102" i="51"/>
  <c r="AD153" i="51"/>
  <c r="J250" i="56"/>
  <c r="AR250" i="56" s="1"/>
  <c r="AD218" i="51"/>
  <c r="AD288" i="51"/>
  <c r="J172" i="68"/>
  <c r="AC218" i="57"/>
  <c r="AD165" i="51"/>
  <c r="J304" i="68"/>
  <c r="AD65" i="51"/>
  <c r="AD222" i="51"/>
  <c r="J72" i="68"/>
  <c r="AC222" i="57"/>
  <c r="AC249" i="65"/>
  <c r="J65" i="56"/>
  <c r="AD96" i="51"/>
  <c r="AC199" i="57"/>
  <c r="J206" i="68"/>
  <c r="J205" i="56"/>
  <c r="AR205" i="56" s="1"/>
  <c r="J88" i="56"/>
  <c r="J152" i="56"/>
  <c r="J75" i="56"/>
  <c r="AC252" i="57"/>
  <c r="J159" i="68"/>
  <c r="J259" i="68"/>
  <c r="J102" i="56"/>
  <c r="AD152" i="51"/>
  <c r="J144" i="56"/>
  <c r="AR144" i="56" s="1"/>
  <c r="AC295" i="57"/>
  <c r="AC143" i="57"/>
  <c r="AD44" i="51"/>
  <c r="J105" i="56"/>
  <c r="AR105" i="56" s="1"/>
  <c r="AD143" i="51"/>
  <c r="J51" i="68"/>
  <c r="AD225" i="51"/>
  <c r="AC242" i="57"/>
  <c r="AC111" i="57"/>
  <c r="AD111" i="51"/>
  <c r="AD132" i="51"/>
  <c r="J225" i="56"/>
  <c r="AR225" i="56" s="1"/>
  <c r="AD215" i="51"/>
  <c r="AD134" i="51"/>
  <c r="AC280" i="57"/>
  <c r="J43" i="56"/>
  <c r="J287" i="68"/>
  <c r="J113" i="56"/>
  <c r="AR113" i="56" s="1"/>
  <c r="J235" i="68"/>
  <c r="AD33" i="51"/>
  <c r="AC228" i="57"/>
  <c r="J40" i="68"/>
  <c r="J287" i="56"/>
  <c r="AC215" i="57"/>
  <c r="AC280" i="65"/>
  <c r="AD26" i="51"/>
  <c r="J211" i="68"/>
  <c r="J57" i="68"/>
  <c r="AD39" i="51"/>
  <c r="AD68" i="51"/>
  <c r="AC26" i="57"/>
  <c r="AD232" i="51"/>
  <c r="AC204" i="57"/>
  <c r="J33" i="56"/>
  <c r="AR33" i="56" s="1"/>
  <c r="J239" i="68"/>
  <c r="AD50" i="51"/>
  <c r="J98" i="56"/>
  <c r="J252" i="56"/>
  <c r="AR252" i="56" s="1"/>
  <c r="AC111" i="65"/>
  <c r="J137" i="56"/>
  <c r="AD305" i="51"/>
  <c r="AC214" i="57"/>
  <c r="AC68" i="57"/>
  <c r="J295" i="68"/>
  <c r="J234" i="68"/>
  <c r="AC50" i="65"/>
  <c r="J80" i="56"/>
  <c r="AD163" i="51"/>
  <c r="J276" i="56"/>
  <c r="AC45" i="57"/>
  <c r="J130" i="56"/>
  <c r="AR130" i="56" s="1"/>
  <c r="AC120" i="57"/>
  <c r="J45" i="68"/>
  <c r="AD45" i="51"/>
  <c r="J54" i="68"/>
  <c r="AC35" i="57"/>
  <c r="J137" i="68"/>
  <c r="J90" i="56"/>
  <c r="J127" i="68"/>
  <c r="AD71" i="51"/>
  <c r="AC130" i="65"/>
  <c r="AD130" i="51"/>
  <c r="J78" i="68"/>
  <c r="J45" i="56"/>
  <c r="AC231" i="65"/>
  <c r="AC78" i="65"/>
  <c r="AC71" i="57"/>
  <c r="AD38" i="51"/>
  <c r="J242" i="56"/>
  <c r="J234" i="56"/>
  <c r="Q12" i="15"/>
  <c r="O12" i="15"/>
  <c r="M12" i="15"/>
  <c r="J38" i="60"/>
  <c r="F38" i="60"/>
  <c r="V33" i="60"/>
  <c r="V9" i="60"/>
  <c r="I38" i="60"/>
  <c r="E38" i="60"/>
  <c r="V17" i="60"/>
  <c r="V12" i="60"/>
  <c r="J37" i="60"/>
  <c r="H38" i="60"/>
  <c r="D38" i="60"/>
  <c r="V16" i="60"/>
  <c r="V11" i="60"/>
  <c r="I37" i="60"/>
  <c r="G38" i="60"/>
  <c r="V10" i="60"/>
  <c r="AC227" i="65"/>
  <c r="AC47" i="57"/>
  <c r="AD179" i="51"/>
  <c r="AC288" i="65"/>
  <c r="J120" i="56"/>
  <c r="J232" i="56"/>
  <c r="AD227" i="51"/>
  <c r="AD287" i="51"/>
  <c r="J25" i="56"/>
  <c r="AR25" i="56" s="1"/>
  <c r="AC179" i="57"/>
  <c r="AD35" i="51"/>
  <c r="AC301" i="57"/>
  <c r="AC301" i="65"/>
  <c r="AC287" i="57"/>
  <c r="J39" i="56"/>
  <c r="AC305" i="57"/>
  <c r="AC132" i="57"/>
  <c r="J228" i="56"/>
  <c r="AR228" i="56" s="1"/>
  <c r="AC303" i="57"/>
  <c r="J74" i="56"/>
  <c r="AC305" i="65"/>
  <c r="AC113" i="57"/>
  <c r="AD113" i="51"/>
  <c r="AD298" i="51"/>
  <c r="AC78" i="57"/>
  <c r="AD231" i="51"/>
  <c r="AD180" i="51"/>
  <c r="AD78" i="51"/>
  <c r="J120" i="68"/>
  <c r="J85" i="68"/>
  <c r="AC231" i="57"/>
  <c r="J38" i="56"/>
  <c r="AR38" i="56" s="1"/>
  <c r="AD266" i="51"/>
  <c r="J310" i="68"/>
  <c r="AD264" i="51"/>
  <c r="J289" i="56"/>
  <c r="AC264" i="57"/>
  <c r="AC151" i="65"/>
  <c r="J304" i="56"/>
  <c r="J282" i="56"/>
  <c r="AR282" i="56" s="1"/>
  <c r="J273" i="68"/>
  <c r="J187" i="68"/>
  <c r="J305" i="68"/>
  <c r="AC282" i="65"/>
  <c r="J308" i="68"/>
  <c r="AC134" i="57"/>
  <c r="AD234" i="51"/>
  <c r="AC234" i="57"/>
  <c r="AC304" i="65"/>
  <c r="P23" i="66"/>
  <c r="AB23" i="66"/>
  <c r="P146" i="70"/>
  <c r="Y146" i="70"/>
  <c r="P108" i="70"/>
  <c r="Y108" i="70"/>
  <c r="P12" i="70"/>
  <c r="Y12" i="70"/>
  <c r="P292" i="70"/>
  <c r="Y292" i="70"/>
  <c r="P133" i="70"/>
  <c r="Y133" i="70"/>
  <c r="P59" i="70"/>
  <c r="Y59" i="70"/>
  <c r="P107" i="70"/>
  <c r="Y107" i="70"/>
  <c r="P286" i="70"/>
  <c r="Y286" i="70"/>
  <c r="P205" i="70"/>
  <c r="Y205" i="70"/>
  <c r="P274" i="70"/>
  <c r="Y274" i="70"/>
  <c r="P77" i="70"/>
  <c r="Y77" i="70"/>
  <c r="P199" i="70"/>
  <c r="Y199" i="70"/>
  <c r="P51" i="70"/>
  <c r="Y51" i="70"/>
  <c r="P132" i="70"/>
  <c r="Y132" i="70"/>
  <c r="P153" i="70"/>
  <c r="Y153" i="70"/>
  <c r="P216" i="70"/>
  <c r="Y216" i="70"/>
  <c r="P251" i="70"/>
  <c r="Y251" i="70"/>
  <c r="P114" i="70"/>
  <c r="Y114" i="70"/>
  <c r="P289" i="70"/>
  <c r="Y289" i="70"/>
  <c r="P89" i="70"/>
  <c r="Y89" i="70"/>
  <c r="P261" i="70"/>
  <c r="Y261" i="70"/>
  <c r="P298" i="70"/>
  <c r="Y298" i="70"/>
  <c r="Y86" i="70"/>
  <c r="P86" i="70"/>
  <c r="P119" i="70"/>
  <c r="Y119" i="70"/>
  <c r="P88" i="70"/>
  <c r="Y88" i="70"/>
  <c r="P142" i="70"/>
  <c r="Y142" i="70"/>
  <c r="P161" i="70"/>
  <c r="Y161" i="70"/>
  <c r="P68" i="70"/>
  <c r="Y68" i="70"/>
  <c r="P71" i="70"/>
  <c r="Y71" i="70"/>
  <c r="P197" i="70"/>
  <c r="Y197" i="70"/>
  <c r="P123" i="70"/>
  <c r="Y123" i="70"/>
  <c r="P141" i="70"/>
  <c r="Y141" i="70"/>
  <c r="X6" i="70"/>
  <c r="O6" i="70"/>
  <c r="N4" i="70"/>
  <c r="N2" i="70" s="1"/>
  <c r="P234" i="70"/>
  <c r="Y234" i="70"/>
  <c r="P113" i="70"/>
  <c r="Y113" i="70"/>
  <c r="P102" i="70"/>
  <c r="Y102" i="70"/>
  <c r="P287" i="70"/>
  <c r="Y287" i="70"/>
  <c r="P87" i="70"/>
  <c r="Y87" i="70"/>
  <c r="P148" i="70"/>
  <c r="Y148" i="70"/>
  <c r="P154" i="70"/>
  <c r="Y154" i="70"/>
  <c r="Y62" i="70"/>
  <c r="P62" i="70"/>
  <c r="P63" i="70"/>
  <c r="Y63" i="70"/>
  <c r="P269" i="70"/>
  <c r="Y269" i="70"/>
  <c r="P257" i="70"/>
  <c r="Y257" i="70"/>
  <c r="P285" i="70"/>
  <c r="Y285" i="70"/>
  <c r="P172" i="70"/>
  <c r="Y172" i="70"/>
  <c r="Y186" i="70"/>
  <c r="P186" i="70"/>
  <c r="P90" i="70"/>
  <c r="Y90" i="70"/>
  <c r="P241" i="70"/>
  <c r="Y241" i="70"/>
  <c r="P166" i="70"/>
  <c r="Y166" i="70"/>
  <c r="P140" i="70"/>
  <c r="Y140" i="70"/>
  <c r="P210" i="70"/>
  <c r="Y210" i="70"/>
  <c r="P109" i="70"/>
  <c r="Y109" i="70"/>
  <c r="P162" i="70"/>
  <c r="Y162" i="70"/>
  <c r="P228" i="70"/>
  <c r="Y228" i="70"/>
  <c r="P20" i="70"/>
  <c r="Y20" i="70"/>
  <c r="P152" i="70"/>
  <c r="Y152" i="70"/>
  <c r="P245" i="70"/>
  <c r="Y245" i="70"/>
  <c r="P38" i="70"/>
  <c r="Y38" i="70"/>
  <c r="P244" i="70"/>
  <c r="Y244" i="70"/>
  <c r="P211" i="70"/>
  <c r="Y211" i="70"/>
  <c r="P124" i="70"/>
  <c r="Y124" i="70"/>
  <c r="P218" i="70"/>
  <c r="Y218" i="70"/>
  <c r="P198" i="70"/>
  <c r="Y198" i="70"/>
  <c r="P229" i="70"/>
  <c r="Y229" i="70"/>
  <c r="P185" i="70"/>
  <c r="Y185" i="70"/>
  <c r="P78" i="70"/>
  <c r="Y78" i="70"/>
  <c r="P56" i="70"/>
  <c r="Y56" i="70"/>
  <c r="P128" i="70"/>
  <c r="Y128" i="70"/>
  <c r="P45" i="70"/>
  <c r="Y45" i="70"/>
  <c r="P252" i="70"/>
  <c r="Y252" i="70"/>
  <c r="P104" i="70"/>
  <c r="Y104" i="70"/>
  <c r="P43" i="70"/>
  <c r="Y43" i="70"/>
  <c r="Y24" i="70"/>
  <c r="P24" i="70"/>
  <c r="P81" i="70"/>
  <c r="Y81" i="70"/>
  <c r="P125" i="70"/>
  <c r="Y125" i="70"/>
  <c r="P150" i="70"/>
  <c r="Y150" i="70"/>
  <c r="P32" i="70"/>
  <c r="Y32" i="70"/>
  <c r="P16" i="70"/>
  <c r="Y16" i="70"/>
  <c r="P204" i="70"/>
  <c r="Y204" i="70"/>
  <c r="P158" i="70"/>
  <c r="Y158" i="70"/>
  <c r="Y247" i="70"/>
  <c r="P247" i="70"/>
  <c r="Y145" i="70"/>
  <c r="P145" i="70"/>
  <c r="P41" i="70"/>
  <c r="Y41" i="70"/>
  <c r="P106" i="70"/>
  <c r="Y106" i="70"/>
  <c r="P189" i="70"/>
  <c r="Y189" i="70"/>
  <c r="P273" i="70"/>
  <c r="Y273" i="70"/>
  <c r="P214" i="70"/>
  <c r="Y214" i="70"/>
  <c r="P200" i="70"/>
  <c r="Y200" i="70"/>
  <c r="P130" i="70"/>
  <c r="Y130" i="70"/>
  <c r="P224" i="70"/>
  <c r="Y224" i="70"/>
  <c r="P227" i="70"/>
  <c r="Y227" i="70"/>
  <c r="P10" i="70"/>
  <c r="Y10" i="70"/>
  <c r="P246" i="70"/>
  <c r="Y246" i="70"/>
  <c r="P164" i="70"/>
  <c r="Y164" i="70"/>
  <c r="P236" i="70"/>
  <c r="Y236" i="70"/>
  <c r="P44" i="70"/>
  <c r="Y44" i="70"/>
  <c r="P160" i="70"/>
  <c r="Y160" i="70"/>
  <c r="P220" i="70"/>
  <c r="Y220" i="70"/>
  <c r="Y209" i="70"/>
  <c r="P209" i="70"/>
  <c r="Y35" i="70"/>
  <c r="P35" i="70"/>
  <c r="P65" i="70"/>
  <c r="Y65" i="70"/>
  <c r="Y83" i="70"/>
  <c r="P83" i="70"/>
  <c r="P26" i="70"/>
  <c r="Y26" i="70"/>
  <c r="P277" i="70"/>
  <c r="Y277" i="70"/>
  <c r="P248" i="70"/>
  <c r="Y248" i="70"/>
  <c r="Y100" i="70"/>
  <c r="P100" i="70"/>
  <c r="P281" i="70"/>
  <c r="Y281" i="70"/>
  <c r="P208" i="70"/>
  <c r="Y208" i="70"/>
  <c r="Y138" i="70"/>
  <c r="P138" i="70"/>
  <c r="Y156" i="70"/>
  <c r="P156" i="70"/>
  <c r="P215" i="70"/>
  <c r="Y215" i="70"/>
  <c r="P282" i="70"/>
  <c r="Y282" i="70"/>
  <c r="P191" i="70"/>
  <c r="Y191" i="70"/>
  <c r="P253" i="70"/>
  <c r="Y253" i="70"/>
  <c r="P223" i="70"/>
  <c r="Y223" i="70"/>
  <c r="P23" i="70"/>
  <c r="Y23" i="70"/>
  <c r="Y85" i="70"/>
  <c r="P85" i="70"/>
  <c r="P58" i="70"/>
  <c r="Y58" i="70"/>
  <c r="P82" i="70"/>
  <c r="Y82" i="70"/>
  <c r="P294" i="70"/>
  <c r="Y294" i="70"/>
  <c r="Y129" i="70"/>
  <c r="P129" i="70"/>
  <c r="P36" i="70"/>
  <c r="Y36" i="70"/>
  <c r="P266" i="70"/>
  <c r="Y266" i="70"/>
  <c r="P182" i="70"/>
  <c r="Y182" i="70"/>
  <c r="P288" i="70"/>
  <c r="Y288" i="70"/>
  <c r="Y194" i="70"/>
  <c r="P194" i="70"/>
  <c r="Y163" i="70"/>
  <c r="P163" i="70"/>
  <c r="P151" i="70"/>
  <c r="Y151" i="70"/>
  <c r="P168" i="70"/>
  <c r="Y168" i="70"/>
  <c r="P13" i="70"/>
  <c r="Y13" i="70"/>
  <c r="P110" i="70"/>
  <c r="Y110" i="70"/>
  <c r="P258" i="70"/>
  <c r="Y258" i="70"/>
  <c r="P19" i="70"/>
  <c r="Y19" i="70"/>
  <c r="P91" i="70"/>
  <c r="Y91" i="70"/>
  <c r="P195" i="70"/>
  <c r="Y195" i="70"/>
  <c r="Y230" i="70"/>
  <c r="P230" i="70"/>
  <c r="P167" i="70"/>
  <c r="Y167" i="70"/>
  <c r="P22" i="70"/>
  <c r="Y22" i="70"/>
  <c r="P37" i="70"/>
  <c r="Y37" i="70"/>
  <c r="P176" i="70"/>
  <c r="Y176" i="70"/>
  <c r="P275" i="70"/>
  <c r="Y275" i="70"/>
  <c r="P291" i="70"/>
  <c r="Y291" i="70"/>
  <c r="Y55" i="70"/>
  <c r="P55" i="70"/>
  <c r="Y157" i="70"/>
  <c r="P157" i="70"/>
  <c r="Y219" i="70"/>
  <c r="P219" i="70"/>
  <c r="P177" i="70"/>
  <c r="Y177" i="70"/>
  <c r="Y21" i="70"/>
  <c r="P21" i="70"/>
  <c r="P79" i="70"/>
  <c r="Y79" i="70"/>
  <c r="P206" i="70"/>
  <c r="Y206" i="70"/>
  <c r="P235" i="70"/>
  <c r="Y235" i="70"/>
  <c r="P135" i="70"/>
  <c r="Y135" i="70"/>
  <c r="P48" i="70"/>
  <c r="Y48" i="70"/>
  <c r="P255" i="70"/>
  <c r="Y255" i="70"/>
  <c r="P169" i="70"/>
  <c r="Y169" i="70"/>
  <c r="P96" i="70"/>
  <c r="Y96" i="70"/>
  <c r="P170" i="70"/>
  <c r="Y170" i="70"/>
  <c r="P76" i="70"/>
  <c r="Y76" i="70"/>
  <c r="Y84" i="70"/>
  <c r="P84" i="70"/>
  <c r="P61" i="70"/>
  <c r="Y61" i="70"/>
  <c r="P80" i="70"/>
  <c r="Y80" i="70"/>
  <c r="P171" i="70"/>
  <c r="Y171" i="70"/>
  <c r="P98" i="70"/>
  <c r="Y98" i="70"/>
  <c r="P122" i="70"/>
  <c r="Y122" i="70"/>
  <c r="P270" i="70"/>
  <c r="Y270" i="70"/>
  <c r="P118" i="70"/>
  <c r="Y118" i="70"/>
  <c r="P249" i="70"/>
  <c r="Y249" i="70"/>
  <c r="P217" i="70"/>
  <c r="Y217" i="70"/>
  <c r="P196" i="70"/>
  <c r="Y196" i="70"/>
  <c r="P127" i="70"/>
  <c r="Y127" i="70"/>
  <c r="P271" i="70"/>
  <c r="Y271" i="70"/>
  <c r="P243" i="70"/>
  <c r="Y243" i="70"/>
  <c r="P134" i="70"/>
  <c r="Y134" i="70"/>
  <c r="P139" i="70"/>
  <c r="Y139" i="70"/>
  <c r="P267" i="70"/>
  <c r="Y267" i="70"/>
  <c r="P25" i="70"/>
  <c r="Y25" i="70"/>
  <c r="P178" i="70"/>
  <c r="Y178" i="70"/>
  <c r="Y239" i="70"/>
  <c r="P239" i="70"/>
  <c r="Y8" i="70"/>
  <c r="P8" i="70"/>
  <c r="P67" i="70"/>
  <c r="Y67" i="70"/>
  <c r="P120" i="70"/>
  <c r="Y120" i="70"/>
  <c r="P179" i="70"/>
  <c r="Y179" i="70"/>
  <c r="P159" i="70"/>
  <c r="Y159" i="70"/>
  <c r="P137" i="70"/>
  <c r="Y137" i="70"/>
  <c r="P28" i="70"/>
  <c r="Y28" i="70"/>
  <c r="P111" i="70"/>
  <c r="Y111" i="70"/>
  <c r="P15" i="70"/>
  <c r="Y15" i="70"/>
  <c r="P121" i="70"/>
  <c r="Y121" i="70"/>
  <c r="AC15" i="65"/>
  <c r="P295" i="70"/>
  <c r="Y295" i="70"/>
  <c r="P290" i="70"/>
  <c r="Y290" i="70"/>
  <c r="P283" i="70"/>
  <c r="Y283" i="70"/>
  <c r="P126" i="70"/>
  <c r="Y126" i="70"/>
  <c r="P190" i="70"/>
  <c r="Y190" i="70"/>
  <c r="P116" i="70"/>
  <c r="Y116" i="70"/>
  <c r="P268" i="70"/>
  <c r="Y268" i="70"/>
  <c r="P27" i="70"/>
  <c r="Y27" i="70"/>
  <c r="P40" i="70"/>
  <c r="Y40" i="70"/>
  <c r="P180" i="70"/>
  <c r="Y180" i="70"/>
  <c r="P213" i="70"/>
  <c r="Y213" i="70"/>
  <c r="P184" i="70"/>
  <c r="Y184" i="70"/>
  <c r="P231" i="70"/>
  <c r="Y231" i="70"/>
  <c r="Y39" i="70"/>
  <c r="P39" i="70"/>
  <c r="P193" i="70"/>
  <c r="Y193" i="70"/>
  <c r="P93" i="70"/>
  <c r="Y93" i="70"/>
  <c r="Y155" i="70"/>
  <c r="P155" i="70"/>
  <c r="P221" i="70"/>
  <c r="Y221" i="70"/>
  <c r="P73" i="70"/>
  <c r="Y73" i="70"/>
  <c r="P280" i="70"/>
  <c r="Y280" i="70"/>
  <c r="P49" i="70"/>
  <c r="Y49" i="70"/>
  <c r="P276" i="70"/>
  <c r="Y276" i="70"/>
  <c r="P18" i="70"/>
  <c r="Y18" i="70"/>
  <c r="P7" i="70"/>
  <c r="Y7" i="70"/>
  <c r="Y240" i="70"/>
  <c r="P240" i="70"/>
  <c r="P149" i="70"/>
  <c r="Y149" i="70"/>
  <c r="P233" i="70"/>
  <c r="Y233" i="70"/>
  <c r="P201" i="70"/>
  <c r="Y201" i="70"/>
  <c r="P207" i="70"/>
  <c r="Y207" i="70"/>
  <c r="P9" i="70"/>
  <c r="Y9" i="70"/>
  <c r="P256" i="70"/>
  <c r="Y256" i="70"/>
  <c r="P222" i="70"/>
  <c r="Y222" i="70"/>
  <c r="P254" i="70"/>
  <c r="Y254" i="70"/>
  <c r="P175" i="70"/>
  <c r="Y175" i="70"/>
  <c r="P57" i="70"/>
  <c r="Y57" i="70"/>
  <c r="P202" i="70"/>
  <c r="Y202" i="70"/>
  <c r="P272" i="70"/>
  <c r="Y272" i="70"/>
  <c r="P203" i="70"/>
  <c r="Y203" i="70"/>
  <c r="P53" i="70"/>
  <c r="Y53" i="70"/>
  <c r="P33" i="70"/>
  <c r="Y33" i="70"/>
  <c r="P60" i="70"/>
  <c r="Y60" i="70"/>
  <c r="P188" i="70"/>
  <c r="Y188" i="70"/>
  <c r="Y103" i="70"/>
  <c r="P103" i="70"/>
  <c r="Y278" i="70"/>
  <c r="P278" i="70"/>
  <c r="P259" i="70"/>
  <c r="Y259" i="70"/>
  <c r="P115" i="70"/>
  <c r="Y115" i="70"/>
  <c r="P181" i="70"/>
  <c r="Y181" i="70"/>
  <c r="P92" i="70"/>
  <c r="Y92" i="70"/>
  <c r="P42" i="70"/>
  <c r="Y42" i="70"/>
  <c r="P17" i="70"/>
  <c r="Y17" i="70"/>
  <c r="P242" i="70"/>
  <c r="Y242" i="70"/>
  <c r="P297" i="70"/>
  <c r="Y297" i="70"/>
  <c r="P14" i="70"/>
  <c r="Y14" i="70"/>
  <c r="P72" i="70"/>
  <c r="Y72" i="70"/>
  <c r="P143" i="70"/>
  <c r="Y143" i="70"/>
  <c r="P74" i="70"/>
  <c r="Y74" i="70"/>
  <c r="Y260" i="70"/>
  <c r="P260" i="70"/>
  <c r="P144" i="70"/>
  <c r="Y144" i="70"/>
  <c r="P262" i="70"/>
  <c r="Y262" i="70"/>
  <c r="P212" i="70"/>
  <c r="Y212" i="70"/>
  <c r="P226" i="70"/>
  <c r="Y226" i="70"/>
  <c r="P250" i="70"/>
  <c r="Y250" i="70"/>
  <c r="P99" i="70"/>
  <c r="Y99" i="70"/>
  <c r="P165" i="70"/>
  <c r="Y165" i="70"/>
  <c r="P263" i="70"/>
  <c r="Y263" i="70"/>
  <c r="Y232" i="70"/>
  <c r="P232" i="70"/>
  <c r="P105" i="70"/>
  <c r="Y105" i="70"/>
  <c r="P30" i="70"/>
  <c r="Y30" i="70"/>
  <c r="P52" i="70"/>
  <c r="Y52" i="70"/>
  <c r="P147" i="70"/>
  <c r="Y147" i="70"/>
  <c r="P136" i="70"/>
  <c r="Y136" i="70"/>
  <c r="P66" i="70"/>
  <c r="Y66" i="70"/>
  <c r="P173" i="70"/>
  <c r="Y173" i="70"/>
  <c r="P94" i="70"/>
  <c r="Y94" i="70"/>
  <c r="P174" i="70"/>
  <c r="Y174" i="70"/>
  <c r="P112" i="70"/>
  <c r="Y112" i="70"/>
  <c r="Y101" i="70"/>
  <c r="P101" i="70"/>
  <c r="P70" i="70"/>
  <c r="Y70" i="70"/>
  <c r="P264" i="70"/>
  <c r="Y264" i="70"/>
  <c r="P238" i="70"/>
  <c r="Y238" i="70"/>
  <c r="P187" i="70"/>
  <c r="Y187" i="70"/>
  <c r="P97" i="70"/>
  <c r="Y97" i="70"/>
  <c r="P237" i="70"/>
  <c r="Y237" i="70"/>
  <c r="P46" i="70"/>
  <c r="Y46" i="70"/>
  <c r="P31" i="70"/>
  <c r="Y31" i="70"/>
  <c r="Y95" i="70"/>
  <c r="P95" i="70"/>
  <c r="P47" i="70"/>
  <c r="Y47" i="70"/>
  <c r="P293" i="70"/>
  <c r="Y293" i="70"/>
  <c r="P69" i="70"/>
  <c r="Y69" i="70"/>
  <c r="P75" i="70"/>
  <c r="Y75" i="70"/>
  <c r="P29" i="70"/>
  <c r="Y29" i="70"/>
  <c r="P192" i="70"/>
  <c r="Y192" i="70"/>
  <c r="P131" i="70"/>
  <c r="Y131" i="70"/>
  <c r="P34" i="70"/>
  <c r="Y34" i="70"/>
  <c r="P279" i="70"/>
  <c r="Y279" i="70"/>
  <c r="P284" i="70"/>
  <c r="Y284" i="70"/>
  <c r="P117" i="70"/>
  <c r="Y117" i="70"/>
  <c r="P54" i="70"/>
  <c r="Y54" i="70"/>
  <c r="P11" i="70"/>
  <c r="Y11" i="70"/>
  <c r="P225" i="70"/>
  <c r="Y225" i="70"/>
  <c r="Y296" i="70"/>
  <c r="P296" i="70"/>
  <c r="Y265" i="70"/>
  <c r="P265" i="70"/>
  <c r="Y64" i="70"/>
  <c r="P64" i="70"/>
  <c r="P50" i="70"/>
  <c r="Y50" i="70"/>
  <c r="P183" i="70"/>
  <c r="Y183" i="70"/>
  <c r="U17" i="60"/>
  <c r="U23" i="60" s="1"/>
  <c r="U10" i="60"/>
  <c r="U11" i="60"/>
  <c r="U33" i="60"/>
  <c r="U16" i="60"/>
  <c r="U12" i="60"/>
  <c r="U9" i="60"/>
  <c r="AC50" i="56"/>
  <c r="AC193" i="56"/>
  <c r="AC116" i="56"/>
  <c r="AC245" i="56"/>
  <c r="AC17" i="56"/>
  <c r="AC297" i="56"/>
  <c r="AC121" i="56"/>
  <c r="AC149" i="56"/>
  <c r="AC156" i="56"/>
  <c r="AC300" i="56"/>
  <c r="AC70" i="56"/>
  <c r="AC19" i="56"/>
  <c r="AC127" i="56"/>
  <c r="AC196" i="56"/>
  <c r="AC174" i="56"/>
  <c r="AC291" i="56"/>
  <c r="AC92" i="56"/>
  <c r="AC67" i="56"/>
  <c r="AC162" i="56"/>
  <c r="AC168" i="56"/>
  <c r="AC84" i="56"/>
  <c r="AC16" i="56"/>
  <c r="AC94" i="56"/>
  <c r="AC259" i="56"/>
  <c r="AC49" i="56"/>
  <c r="AC244" i="56"/>
  <c r="AC210" i="56"/>
  <c r="AC293" i="56"/>
  <c r="AC298" i="56"/>
  <c r="AC41" i="56"/>
  <c r="AC286" i="56"/>
  <c r="AC294" i="56"/>
  <c r="AC100" i="56"/>
  <c r="AC275" i="56"/>
  <c r="AC20" i="56"/>
  <c r="AC129" i="56"/>
  <c r="AC288" i="56"/>
  <c r="AC57" i="56"/>
  <c r="AC197" i="56"/>
  <c r="AC231" i="56"/>
  <c r="AC78" i="56"/>
  <c r="AC159" i="56"/>
  <c r="AC220" i="56"/>
  <c r="AC180" i="56"/>
  <c r="AC106" i="56"/>
  <c r="AC155" i="56"/>
  <c r="AC249" i="56"/>
  <c r="AC224" i="56"/>
  <c r="AC40" i="56"/>
  <c r="AC301" i="56"/>
  <c r="AC185" i="56"/>
  <c r="AC138" i="56"/>
  <c r="AC122" i="56"/>
  <c r="AC195" i="56"/>
  <c r="AC211" i="56"/>
  <c r="AC83" i="56"/>
  <c r="AC202" i="56"/>
  <c r="AC188" i="56"/>
  <c r="AC27" i="56"/>
  <c r="AC35" i="56"/>
  <c r="AC223" i="56"/>
  <c r="AC256" i="56"/>
  <c r="AC22" i="56"/>
  <c r="AC227" i="56"/>
  <c r="AC190" i="56"/>
  <c r="AC60" i="56"/>
  <c r="AC267" i="56"/>
  <c r="AC175" i="56"/>
  <c r="AC194" i="56"/>
  <c r="AC18" i="56"/>
  <c r="AC51" i="56"/>
  <c r="AC207" i="56"/>
  <c r="AC160" i="56"/>
  <c r="AC110" i="56"/>
  <c r="AC112" i="56"/>
  <c r="AC36" i="56"/>
  <c r="AC247" i="56"/>
  <c r="AC103" i="56"/>
  <c r="AC71" i="56"/>
  <c r="AC29" i="56"/>
  <c r="AC212" i="56"/>
  <c r="AC111" i="56"/>
  <c r="AC77" i="56"/>
  <c r="AC253" i="56"/>
  <c r="AC133" i="56"/>
  <c r="AC107" i="56"/>
  <c r="AC283" i="56"/>
  <c r="AD24" i="51"/>
  <c r="AC200" i="56"/>
  <c r="AC119" i="56"/>
  <c r="AC246" i="56"/>
  <c r="AC176" i="56"/>
  <c r="AC141" i="56"/>
  <c r="AC86" i="56"/>
  <c r="AC53" i="56"/>
  <c r="AC268" i="56"/>
  <c r="AC143" i="56"/>
  <c r="AC157" i="56"/>
  <c r="AC305" i="56"/>
  <c r="AC52" i="56"/>
  <c r="AC54" i="56"/>
  <c r="AC131" i="56"/>
  <c r="AC181" i="56"/>
  <c r="AC48" i="56"/>
  <c r="AC166" i="56"/>
  <c r="AC126" i="56"/>
  <c r="AC179" i="56"/>
  <c r="AC32" i="56"/>
  <c r="AC30" i="56"/>
  <c r="AC278" i="56"/>
  <c r="AC134" i="56"/>
  <c r="AC85" i="56"/>
  <c r="AC271" i="56"/>
  <c r="AC109" i="56"/>
  <c r="AC167" i="56"/>
  <c r="AC184" i="56"/>
  <c r="AC136" i="56"/>
  <c r="AC165" i="56"/>
  <c r="AC135" i="56"/>
  <c r="AC258" i="56"/>
  <c r="AC154" i="56"/>
  <c r="AC101" i="56"/>
  <c r="AC151" i="56"/>
  <c r="AC219" i="56"/>
  <c r="AC280" i="56"/>
  <c r="AC243" i="56"/>
  <c r="AC87" i="56"/>
  <c r="AC229" i="56"/>
  <c r="AC269" i="56"/>
  <c r="AC128" i="56"/>
  <c r="AC59" i="56"/>
  <c r="AC146" i="56"/>
  <c r="AC81" i="56"/>
  <c r="AC254" i="56"/>
  <c r="AC203" i="56"/>
  <c r="AC97" i="56"/>
  <c r="AC204" i="56"/>
  <c r="AC236" i="56"/>
  <c r="AC95" i="56"/>
  <c r="AC79" i="56"/>
  <c r="AC104" i="56"/>
  <c r="AC63" i="56"/>
  <c r="AC189" i="56"/>
  <c r="AC125" i="56"/>
  <c r="AC240" i="56"/>
  <c r="AC37" i="56"/>
  <c r="AC182" i="56"/>
  <c r="AC277" i="56"/>
  <c r="AC148" i="56"/>
  <c r="AC292" i="56"/>
  <c r="AL66" i="66"/>
  <c r="P19" i="60"/>
  <c r="D19" i="60" s="1"/>
  <c r="E25" i="15" s="1"/>
  <c r="AB284" i="65"/>
  <c r="J284" i="56"/>
  <c r="AR284" i="56" s="1"/>
  <c r="AB273" i="56"/>
  <c r="AB274" i="65"/>
  <c r="J274" i="56"/>
  <c r="AR274" i="56" s="1"/>
  <c r="I12" i="15"/>
  <c r="G12" i="15"/>
  <c r="E12" i="15"/>
  <c r="K12" i="15"/>
  <c r="C109" i="66"/>
  <c r="E59" i="66"/>
  <c r="E56" i="66"/>
  <c r="E58" i="66"/>
  <c r="E60" i="66"/>
  <c r="E57" i="66"/>
  <c r="H37" i="60"/>
  <c r="P32" i="60"/>
  <c r="R28" i="60"/>
  <c r="Q16" i="60"/>
  <c r="S9" i="60"/>
  <c r="G37" i="60"/>
  <c r="Q28" i="60"/>
  <c r="P16" i="60"/>
  <c r="F37" i="60"/>
  <c r="T33" i="60"/>
  <c r="P28" i="60"/>
  <c r="R9" i="60"/>
  <c r="S16" i="60"/>
  <c r="R16" i="60"/>
  <c r="E37" i="60"/>
  <c r="S33" i="60"/>
  <c r="T17" i="60"/>
  <c r="Q9" i="60"/>
  <c r="D37" i="60"/>
  <c r="R33" i="60"/>
  <c r="S17" i="60"/>
  <c r="P9" i="60"/>
  <c r="P17" i="60"/>
  <c r="Q33" i="60"/>
  <c r="T16" i="60"/>
  <c r="R17" i="60"/>
  <c r="P33" i="60"/>
  <c r="P24" i="60"/>
  <c r="Q17" i="60"/>
  <c r="T9" i="60"/>
  <c r="T10" i="60"/>
  <c r="Q12" i="60"/>
  <c r="S11" i="60"/>
  <c r="Q11" i="60"/>
  <c r="Q10" i="60"/>
  <c r="R12" i="60"/>
  <c r="Q8" i="60"/>
  <c r="T11" i="60"/>
  <c r="S12" i="60"/>
  <c r="S10" i="60"/>
  <c r="R8" i="60"/>
  <c r="P12" i="60"/>
  <c r="R10" i="60"/>
  <c r="R11" i="60"/>
  <c r="P11" i="60"/>
  <c r="P8" i="60"/>
  <c r="T12" i="60"/>
  <c r="P10" i="60"/>
  <c r="AL91" i="66"/>
  <c r="AB11" i="66"/>
  <c r="AB263" i="56"/>
  <c r="I296" i="53"/>
  <c r="AB296" i="53" s="1"/>
  <c r="I307" i="53"/>
  <c r="I307" i="54" s="1"/>
  <c r="BG307" i="54" s="1"/>
  <c r="AN13" i="45"/>
  <c r="Q13" i="60" s="1"/>
  <c r="AC263" i="51"/>
  <c r="AD252" i="51"/>
  <c r="I285" i="57"/>
  <c r="I266" i="68" s="1"/>
  <c r="I285" i="65"/>
  <c r="J285" i="56" s="1"/>
  <c r="AR285" i="56" s="1"/>
  <c r="AB285" i="54"/>
  <c r="AV285" i="54" s="1"/>
  <c r="AD262" i="51"/>
  <c r="AC273" i="51"/>
  <c r="I281" i="68"/>
  <c r="AB274" i="57"/>
  <c r="AC273" i="56"/>
  <c r="I306" i="65"/>
  <c r="E21" i="66" s="1"/>
  <c r="AB306" i="54"/>
  <c r="AV306" i="54" s="1"/>
  <c r="I306" i="57"/>
  <c r="I184" i="68" s="1"/>
  <c r="I295" i="57"/>
  <c r="I270" i="68" s="1"/>
  <c r="AB295" i="54"/>
  <c r="AV295" i="54" s="1"/>
  <c r="I295" i="65"/>
  <c r="I291" i="68"/>
  <c r="AB284" i="57"/>
  <c r="E96" i="66"/>
  <c r="AC217" i="56" l="1"/>
  <c r="AC163" i="56"/>
  <c r="C39" i="15"/>
  <c r="C21" i="15"/>
  <c r="V16" i="15"/>
  <c r="V17" i="15"/>
  <c r="V18" i="15"/>
  <c r="V15" i="15"/>
  <c r="V19" i="15"/>
  <c r="AC55" i="56"/>
  <c r="AC62" i="56"/>
  <c r="AC215" i="56"/>
  <c r="AC47" i="56"/>
  <c r="AC72" i="56"/>
  <c r="AC213" i="56"/>
  <c r="AC172" i="56"/>
  <c r="AC279" i="56"/>
  <c r="J64" i="54"/>
  <c r="AC64" i="53"/>
  <c r="AC191" i="53"/>
  <c r="J191" i="54"/>
  <c r="AC142" i="53"/>
  <c r="J142" i="54"/>
  <c r="J164" i="54"/>
  <c r="AC164" i="53"/>
  <c r="J290" i="54"/>
  <c r="AC290" i="53"/>
  <c r="AC248" i="53"/>
  <c r="J248" i="54"/>
  <c r="J183" i="54"/>
  <c r="AC183" i="53"/>
  <c r="J21" i="54"/>
  <c r="AC21" i="53"/>
  <c r="J13" i="53"/>
  <c r="AC13" i="53" s="1"/>
  <c r="AC192" i="53"/>
  <c r="J192" i="54"/>
  <c r="J177" i="54"/>
  <c r="AC177" i="53"/>
  <c r="AC66" i="53"/>
  <c r="J66" i="54"/>
  <c r="AC178" i="53"/>
  <c r="J178" i="54"/>
  <c r="AC206" i="53"/>
  <c r="J206" i="54"/>
  <c r="AC265" i="53"/>
  <c r="J265" i="54"/>
  <c r="J24" i="54"/>
  <c r="AC24" i="53"/>
  <c r="J226" i="54"/>
  <c r="AC226" i="53"/>
  <c r="AC235" i="53"/>
  <c r="J235" i="54"/>
  <c r="J58" i="54"/>
  <c r="AC58" i="53"/>
  <c r="AC257" i="53"/>
  <c r="J257" i="54"/>
  <c r="J299" i="54"/>
  <c r="AC299" i="53"/>
  <c r="AC89" i="53"/>
  <c r="J89" i="54"/>
  <c r="AC209" i="53"/>
  <c r="J209" i="54"/>
  <c r="J216" i="54"/>
  <c r="AC216" i="53"/>
  <c r="J118" i="54"/>
  <c r="AC118" i="53"/>
  <c r="J108" i="54"/>
  <c r="AC108" i="53"/>
  <c r="AC158" i="53"/>
  <c r="J158" i="54"/>
  <c r="AC238" i="53"/>
  <c r="J238" i="54"/>
  <c r="J170" i="54"/>
  <c r="AC170" i="53"/>
  <c r="J237" i="54"/>
  <c r="AC237" i="53"/>
  <c r="J93" i="54"/>
  <c r="AC93" i="53"/>
  <c r="AC42" i="53"/>
  <c r="J42" i="54"/>
  <c r="J255" i="54"/>
  <c r="AC255" i="53"/>
  <c r="AC114" i="53"/>
  <c r="J114" i="54"/>
  <c r="J233" i="54"/>
  <c r="AC233" i="53"/>
  <c r="AC56" i="53"/>
  <c r="J56" i="54"/>
  <c r="AC260" i="53"/>
  <c r="J260" i="54"/>
  <c r="AC69" i="53"/>
  <c r="J69" i="54"/>
  <c r="AC150" i="53"/>
  <c r="J150" i="54"/>
  <c r="AC123" i="53"/>
  <c r="J123" i="54"/>
  <c r="J73" i="54"/>
  <c r="AC73" i="53"/>
  <c r="AC23" i="53"/>
  <c r="J23" i="54"/>
  <c r="AC270" i="53"/>
  <c r="J270" i="54"/>
  <c r="AC221" i="53"/>
  <c r="J221" i="54"/>
  <c r="AC281" i="53"/>
  <c r="J281" i="54"/>
  <c r="AC99" i="53"/>
  <c r="J99" i="54"/>
  <c r="J173" i="54"/>
  <c r="AC173" i="53"/>
  <c r="AC145" i="53"/>
  <c r="J145" i="54"/>
  <c r="AC187" i="53"/>
  <c r="J187" i="54"/>
  <c r="J239" i="54"/>
  <c r="AC239" i="53"/>
  <c r="J61" i="54"/>
  <c r="AC61" i="53"/>
  <c r="AC31" i="53"/>
  <c r="J31" i="54"/>
  <c r="AC139" i="53"/>
  <c r="J139" i="54"/>
  <c r="AC28" i="53"/>
  <c r="J28" i="54"/>
  <c r="J186" i="54"/>
  <c r="AC186" i="53"/>
  <c r="CV13" i="45"/>
  <c r="E13" i="60"/>
  <c r="G19" i="15" s="1"/>
  <c r="AC147" i="56"/>
  <c r="AC115" i="56"/>
  <c r="AC218" i="56"/>
  <c r="AC132" i="56"/>
  <c r="AC266" i="56"/>
  <c r="AC303" i="56"/>
  <c r="AC46" i="56"/>
  <c r="AC199" i="56"/>
  <c r="AC261" i="56"/>
  <c r="AC44" i="56"/>
  <c r="AC264" i="56"/>
  <c r="AC169" i="56"/>
  <c r="AC214" i="56"/>
  <c r="AC68" i="56"/>
  <c r="AC302" i="56"/>
  <c r="E141" i="66"/>
  <c r="E143" i="66"/>
  <c r="AC171" i="56"/>
  <c r="AC91" i="56"/>
  <c r="AC208" i="56"/>
  <c r="AR208" i="56"/>
  <c r="AC198" i="56"/>
  <c r="AR198" i="56"/>
  <c r="AC232" i="56"/>
  <c r="AR232" i="56"/>
  <c r="AC276" i="56"/>
  <c r="AR276" i="56"/>
  <c r="AC272" i="56"/>
  <c r="AR272" i="56"/>
  <c r="AC251" i="56"/>
  <c r="AR251" i="56"/>
  <c r="AC234" i="56"/>
  <c r="AR234" i="56"/>
  <c r="AC289" i="56"/>
  <c r="AR289" i="56"/>
  <c r="AC242" i="56"/>
  <c r="AR242" i="56"/>
  <c r="AC152" i="56"/>
  <c r="AR152" i="56"/>
  <c r="AC161" i="56"/>
  <c r="AR161" i="56"/>
  <c r="AC304" i="56"/>
  <c r="AR304" i="56"/>
  <c r="AC287" i="56"/>
  <c r="AR287" i="56"/>
  <c r="AC201" i="56"/>
  <c r="AR201" i="56"/>
  <c r="AC74" i="56"/>
  <c r="AR74" i="56"/>
  <c r="AC80" i="56"/>
  <c r="AR80" i="56"/>
  <c r="AC75" i="56"/>
  <c r="AR75" i="56"/>
  <c r="AC137" i="56"/>
  <c r="AR137" i="56"/>
  <c r="AC43" i="56"/>
  <c r="AR43" i="56"/>
  <c r="AC65" i="56"/>
  <c r="AR65" i="56"/>
  <c r="AC140" i="56"/>
  <c r="AR140" i="56"/>
  <c r="AC39" i="56"/>
  <c r="AR39" i="56"/>
  <c r="AC88" i="56"/>
  <c r="AR88" i="56"/>
  <c r="AC96" i="56"/>
  <c r="AR96" i="56"/>
  <c r="AC90" i="56"/>
  <c r="AR90" i="56"/>
  <c r="AC98" i="56"/>
  <c r="AR98" i="56"/>
  <c r="AC102" i="56"/>
  <c r="AR102" i="56"/>
  <c r="AC82" i="56"/>
  <c r="AR82" i="56"/>
  <c r="AC34" i="56"/>
  <c r="AR34" i="56"/>
  <c r="AC120" i="56"/>
  <c r="AR120" i="56"/>
  <c r="AC45" i="56"/>
  <c r="AR45" i="56"/>
  <c r="AC153" i="56"/>
  <c r="AC230" i="56"/>
  <c r="AC76" i="56"/>
  <c r="AC222" i="56"/>
  <c r="AC205" i="56"/>
  <c r="AC124" i="56"/>
  <c r="AC117" i="56"/>
  <c r="AC225" i="56"/>
  <c r="H16" i="60"/>
  <c r="H76" i="15" s="1"/>
  <c r="AC26" i="56"/>
  <c r="AC250" i="56"/>
  <c r="AC113" i="56"/>
  <c r="AC33" i="56"/>
  <c r="AC105" i="56"/>
  <c r="AC144" i="56"/>
  <c r="AC252" i="56"/>
  <c r="E12" i="60"/>
  <c r="AC130" i="56"/>
  <c r="F91" i="66"/>
  <c r="AC91" i="66" s="1"/>
  <c r="AC38" i="56"/>
  <c r="AC228" i="56"/>
  <c r="AC25" i="56"/>
  <c r="F90" i="66"/>
  <c r="AC90" i="66" s="1"/>
  <c r="AL23" i="66"/>
  <c r="J10" i="60"/>
  <c r="Q16" i="15" s="1"/>
  <c r="T16" i="15" s="1"/>
  <c r="J11" i="60"/>
  <c r="Q17" i="15" s="1"/>
  <c r="T17" i="15" s="1"/>
  <c r="J12" i="60"/>
  <c r="Q18" i="15" s="1"/>
  <c r="T18" i="15" s="1"/>
  <c r="J16" i="60"/>
  <c r="J14" i="60"/>
  <c r="Q20" i="15" s="1"/>
  <c r="J33" i="60"/>
  <c r="Q38" i="15" s="1"/>
  <c r="V23" i="60"/>
  <c r="J17" i="60"/>
  <c r="Q23" i="15" s="1"/>
  <c r="J26" i="60"/>
  <c r="J27" i="60"/>
  <c r="J9" i="60"/>
  <c r="Q15" i="15" s="1"/>
  <c r="T15" i="15" s="1"/>
  <c r="J13" i="60"/>
  <c r="Q19" i="15" s="1"/>
  <c r="T19" i="15" s="1"/>
  <c r="H11" i="60"/>
  <c r="M17" i="15" s="1"/>
  <c r="H10" i="60"/>
  <c r="M16" i="15" s="1"/>
  <c r="D24" i="60"/>
  <c r="E31" i="15" s="1"/>
  <c r="D11" i="60"/>
  <c r="E17" i="15" s="1"/>
  <c r="F17" i="15" s="1"/>
  <c r="AC282" i="56"/>
  <c r="H9" i="60"/>
  <c r="M15" i="15" s="1"/>
  <c r="G12" i="60"/>
  <c r="K18" i="15" s="1"/>
  <c r="G16" i="60"/>
  <c r="G76" i="15" s="1"/>
  <c r="P21" i="66"/>
  <c r="AB21" i="66"/>
  <c r="E8" i="60"/>
  <c r="G14" i="15" s="1"/>
  <c r="D33" i="60"/>
  <c r="E10" i="60"/>
  <c r="G16" i="15" s="1"/>
  <c r="D10" i="60"/>
  <c r="D12" i="60"/>
  <c r="E18" i="15" s="1"/>
  <c r="F18" i="15" s="1"/>
  <c r="E11" i="60"/>
  <c r="G17" i="15" s="1"/>
  <c r="D9" i="60"/>
  <c r="E15" i="15" s="1"/>
  <c r="F15" i="15" s="1"/>
  <c r="E14" i="60"/>
  <c r="G20" i="15" s="1"/>
  <c r="Q265" i="70"/>
  <c r="Z265" i="70"/>
  <c r="Q95" i="70"/>
  <c r="Z95" i="70"/>
  <c r="Q232" i="70"/>
  <c r="Z232" i="70"/>
  <c r="Q33" i="70"/>
  <c r="Z33" i="70"/>
  <c r="Q202" i="70"/>
  <c r="Z202" i="70"/>
  <c r="Q222" i="70"/>
  <c r="Z222" i="70"/>
  <c r="Q201" i="70"/>
  <c r="Z201" i="70"/>
  <c r="Q7" i="70"/>
  <c r="Z7" i="70"/>
  <c r="Q280" i="70"/>
  <c r="Z280" i="70"/>
  <c r="Q93" i="70"/>
  <c r="Z93" i="70"/>
  <c r="Q184" i="70"/>
  <c r="Z184" i="70"/>
  <c r="Q27" i="70"/>
  <c r="Z27" i="70"/>
  <c r="Q126" i="70"/>
  <c r="Z126" i="70"/>
  <c r="Q28" i="70"/>
  <c r="Z28" i="70"/>
  <c r="Q120" i="70"/>
  <c r="Z120" i="70"/>
  <c r="Q178" i="70"/>
  <c r="Z178" i="70"/>
  <c r="Q134" i="70"/>
  <c r="Z134" i="70"/>
  <c r="Q196" i="70"/>
  <c r="Z196" i="70"/>
  <c r="Q270" i="70"/>
  <c r="Z270" i="70"/>
  <c r="Q80" i="70"/>
  <c r="Z80" i="70"/>
  <c r="Q170" i="70"/>
  <c r="Z170" i="70"/>
  <c r="Q48" i="70"/>
  <c r="Z48" i="70"/>
  <c r="Q79" i="70"/>
  <c r="Z79" i="70"/>
  <c r="Q176" i="70"/>
  <c r="Z176" i="70"/>
  <c r="Q258" i="70"/>
  <c r="Z258" i="70"/>
  <c r="Q151" i="70"/>
  <c r="Z151" i="70"/>
  <c r="Q182" i="70"/>
  <c r="Z182" i="70"/>
  <c r="Q294" i="70"/>
  <c r="Z294" i="70"/>
  <c r="Q23" i="70"/>
  <c r="Z23" i="70"/>
  <c r="Q282" i="70"/>
  <c r="Z282" i="70"/>
  <c r="Q208" i="70"/>
  <c r="Z208" i="70"/>
  <c r="Q277" i="70"/>
  <c r="Z277" i="70"/>
  <c r="Q44" i="70"/>
  <c r="Z44" i="70"/>
  <c r="Q10" i="70"/>
  <c r="Z10" i="70"/>
  <c r="Q200" i="70"/>
  <c r="Z200" i="70"/>
  <c r="Q106" i="70"/>
  <c r="Z106" i="70"/>
  <c r="Q158" i="70"/>
  <c r="Z158" i="70"/>
  <c r="Q150" i="70"/>
  <c r="Z150" i="70"/>
  <c r="Q43" i="70"/>
  <c r="Z43" i="70"/>
  <c r="Q186" i="70"/>
  <c r="Z186" i="70"/>
  <c r="Q141" i="70"/>
  <c r="Z141" i="70"/>
  <c r="Q68" i="70"/>
  <c r="Z68" i="70"/>
  <c r="Q119" i="70"/>
  <c r="Z119" i="70"/>
  <c r="Q89" i="70"/>
  <c r="Z89" i="70"/>
  <c r="Q216" i="70"/>
  <c r="Z216" i="70"/>
  <c r="Q199" i="70"/>
  <c r="Z199" i="70"/>
  <c r="Q286" i="70"/>
  <c r="Z286" i="70"/>
  <c r="Z292" i="70"/>
  <c r="Q292" i="70"/>
  <c r="Q54" i="70"/>
  <c r="Z54" i="70"/>
  <c r="Q34" i="70"/>
  <c r="Z34" i="70"/>
  <c r="Q75" i="70"/>
  <c r="Z75" i="70"/>
  <c r="Q97" i="70"/>
  <c r="Z97" i="70"/>
  <c r="Q70" i="70"/>
  <c r="Z70" i="70"/>
  <c r="Z94" i="70"/>
  <c r="Q94" i="70"/>
  <c r="Q147" i="70"/>
  <c r="Z147" i="70"/>
  <c r="Q250" i="70"/>
  <c r="Z250" i="70"/>
  <c r="Q144" i="70"/>
  <c r="Z144" i="70"/>
  <c r="Q72" i="70"/>
  <c r="Z72" i="70"/>
  <c r="Q17" i="70"/>
  <c r="Z17" i="70"/>
  <c r="Q115" i="70"/>
  <c r="Z115" i="70"/>
  <c r="Q103" i="70"/>
  <c r="Z103" i="70"/>
  <c r="Q21" i="70"/>
  <c r="Z21" i="70"/>
  <c r="Q55" i="70"/>
  <c r="Z55" i="70"/>
  <c r="Q163" i="70"/>
  <c r="Z163" i="70"/>
  <c r="Q209" i="70"/>
  <c r="Z209" i="70"/>
  <c r="Q78" i="70"/>
  <c r="Z78" i="70"/>
  <c r="Q218" i="70"/>
  <c r="Z218" i="70"/>
  <c r="Q38" i="70"/>
  <c r="Z38" i="70"/>
  <c r="Q228" i="70"/>
  <c r="Z228" i="70"/>
  <c r="Q140" i="70"/>
  <c r="Z140" i="70"/>
  <c r="Q269" i="70"/>
  <c r="Z269" i="70"/>
  <c r="Q148" i="70"/>
  <c r="Z148" i="70"/>
  <c r="Q113" i="70"/>
  <c r="Z113" i="70"/>
  <c r="Q86" i="70"/>
  <c r="Z86" i="70"/>
  <c r="Q296" i="70"/>
  <c r="Z296" i="70"/>
  <c r="Q101" i="70"/>
  <c r="Z101" i="70"/>
  <c r="Q260" i="70"/>
  <c r="Z260" i="70"/>
  <c r="Q53" i="70"/>
  <c r="Z53" i="70"/>
  <c r="Q57" i="70"/>
  <c r="Z57" i="70"/>
  <c r="Q256" i="70"/>
  <c r="Z256" i="70"/>
  <c r="Q233" i="70"/>
  <c r="Z233" i="70"/>
  <c r="Q18" i="70"/>
  <c r="Z18" i="70"/>
  <c r="Q73" i="70"/>
  <c r="Z73" i="70"/>
  <c r="Q193" i="70"/>
  <c r="Z193" i="70"/>
  <c r="Q213" i="70"/>
  <c r="Z213" i="70"/>
  <c r="Q268" i="70"/>
  <c r="Z268" i="70"/>
  <c r="Q283" i="70"/>
  <c r="Z283" i="70"/>
  <c r="Q121" i="70"/>
  <c r="Z121" i="70"/>
  <c r="Q137" i="70"/>
  <c r="Z137" i="70"/>
  <c r="Q67" i="70"/>
  <c r="Z67" i="70"/>
  <c r="Q25" i="70"/>
  <c r="Z25" i="70"/>
  <c r="Q243" i="70"/>
  <c r="Z243" i="70"/>
  <c r="Z217" i="70"/>
  <c r="Q217" i="70"/>
  <c r="Q122" i="70"/>
  <c r="Z122" i="70"/>
  <c r="Q61" i="70"/>
  <c r="Z61" i="70"/>
  <c r="Q96" i="70"/>
  <c r="Z96" i="70"/>
  <c r="Q135" i="70"/>
  <c r="Z135" i="70"/>
  <c r="Q37" i="70"/>
  <c r="Z37" i="70"/>
  <c r="Q195" i="70"/>
  <c r="Z195" i="70"/>
  <c r="Q110" i="70"/>
  <c r="Z110" i="70"/>
  <c r="Q266" i="70"/>
  <c r="Z266" i="70"/>
  <c r="Q82" i="70"/>
  <c r="Z82" i="70"/>
  <c r="Q223" i="70"/>
  <c r="Z223" i="70"/>
  <c r="Q215" i="70"/>
  <c r="Z215" i="70"/>
  <c r="Q281" i="70"/>
  <c r="Z281" i="70"/>
  <c r="Q26" i="70"/>
  <c r="Z26" i="70"/>
  <c r="Q236" i="70"/>
  <c r="Z236" i="70"/>
  <c r="Q227" i="70"/>
  <c r="Z227" i="70"/>
  <c r="Q214" i="70"/>
  <c r="Z214" i="70"/>
  <c r="Q41" i="70"/>
  <c r="Z41" i="70"/>
  <c r="Q204" i="70"/>
  <c r="Z204" i="70"/>
  <c r="Q125" i="70"/>
  <c r="Z125" i="70"/>
  <c r="Q104" i="70"/>
  <c r="Z104" i="70"/>
  <c r="Q123" i="70"/>
  <c r="Z123" i="70"/>
  <c r="Q161" i="70"/>
  <c r="Z161" i="70"/>
  <c r="Q289" i="70"/>
  <c r="Z289" i="70"/>
  <c r="Q153" i="70"/>
  <c r="Z153" i="70"/>
  <c r="Q77" i="70"/>
  <c r="Z77" i="70"/>
  <c r="Q107" i="70"/>
  <c r="Z107" i="70"/>
  <c r="Q12" i="70"/>
  <c r="Z12" i="70"/>
  <c r="Q183" i="70"/>
  <c r="Z183" i="70"/>
  <c r="Q117" i="70"/>
  <c r="Z117" i="70"/>
  <c r="Q131" i="70"/>
  <c r="Z131" i="70"/>
  <c r="Q69" i="70"/>
  <c r="Z69" i="70"/>
  <c r="Q31" i="70"/>
  <c r="Z31" i="70"/>
  <c r="Q187" i="70"/>
  <c r="Z187" i="70"/>
  <c r="Q173" i="70"/>
  <c r="Z173" i="70"/>
  <c r="Q52" i="70"/>
  <c r="Z52" i="70"/>
  <c r="Q263" i="70"/>
  <c r="Z263" i="70"/>
  <c r="Q226" i="70"/>
  <c r="Z226" i="70"/>
  <c r="Q14" i="70"/>
  <c r="Z14" i="70"/>
  <c r="Q42" i="70"/>
  <c r="Z42" i="70"/>
  <c r="Q259" i="70"/>
  <c r="Z259" i="70"/>
  <c r="Q39" i="70"/>
  <c r="Z39" i="70"/>
  <c r="Q8" i="70"/>
  <c r="Z8" i="70"/>
  <c r="Q84" i="70"/>
  <c r="Z84" i="70"/>
  <c r="Q194" i="70"/>
  <c r="Z194" i="70"/>
  <c r="Q156" i="70"/>
  <c r="Z156" i="70"/>
  <c r="Z100" i="70"/>
  <c r="Q100" i="70"/>
  <c r="Q83" i="70"/>
  <c r="Z83" i="70"/>
  <c r="Q145" i="70"/>
  <c r="Z145" i="70"/>
  <c r="Q185" i="70"/>
  <c r="Z185" i="70"/>
  <c r="Q124" i="70"/>
  <c r="Z124" i="70"/>
  <c r="Q245" i="70"/>
  <c r="Z245" i="70"/>
  <c r="Q162" i="70"/>
  <c r="Z162" i="70"/>
  <c r="Q166" i="70"/>
  <c r="Z166" i="70"/>
  <c r="Q172" i="70"/>
  <c r="Z172" i="70"/>
  <c r="Q63" i="70"/>
  <c r="Z63" i="70"/>
  <c r="Q87" i="70"/>
  <c r="Z87" i="70"/>
  <c r="Q234" i="70"/>
  <c r="Z234" i="70"/>
  <c r="Q188" i="70"/>
  <c r="Z188" i="70"/>
  <c r="Q203" i="70"/>
  <c r="Z203" i="70"/>
  <c r="Q175" i="70"/>
  <c r="Z175" i="70"/>
  <c r="Q9" i="70"/>
  <c r="Z9" i="70"/>
  <c r="Q149" i="70"/>
  <c r="Z149" i="70"/>
  <c r="Q276" i="70"/>
  <c r="Z276" i="70"/>
  <c r="Q221" i="70"/>
  <c r="Z221" i="70"/>
  <c r="Q180" i="70"/>
  <c r="Z180" i="70"/>
  <c r="Q116" i="70"/>
  <c r="Z116" i="70"/>
  <c r="Q290" i="70"/>
  <c r="Z290" i="70"/>
  <c r="Q15" i="70"/>
  <c r="Z15" i="70"/>
  <c r="Q159" i="70"/>
  <c r="Z159" i="70"/>
  <c r="Q267" i="70"/>
  <c r="Z267" i="70"/>
  <c r="Q271" i="70"/>
  <c r="Z271" i="70"/>
  <c r="Q249" i="70"/>
  <c r="Z249" i="70"/>
  <c r="Q98" i="70"/>
  <c r="Z98" i="70"/>
  <c r="Q169" i="70"/>
  <c r="Z169" i="70"/>
  <c r="Q235" i="70"/>
  <c r="Z235" i="70"/>
  <c r="Z177" i="70"/>
  <c r="Q177" i="70"/>
  <c r="Q291" i="70"/>
  <c r="Z291" i="70"/>
  <c r="Q22" i="70"/>
  <c r="Z22" i="70"/>
  <c r="Z91" i="70"/>
  <c r="Q91" i="70"/>
  <c r="Q13" i="70"/>
  <c r="Z13" i="70"/>
  <c r="Q36" i="70"/>
  <c r="Z36" i="70"/>
  <c r="Q58" i="70"/>
  <c r="Z58" i="70"/>
  <c r="Q253" i="70"/>
  <c r="Z253" i="70"/>
  <c r="Q220" i="70"/>
  <c r="Z220" i="70"/>
  <c r="Q164" i="70"/>
  <c r="Z164" i="70"/>
  <c r="Q224" i="70"/>
  <c r="Z224" i="70"/>
  <c r="Q273" i="70"/>
  <c r="Z273" i="70"/>
  <c r="Q16" i="70"/>
  <c r="Z16" i="70"/>
  <c r="Q81" i="70"/>
  <c r="Z81" i="70"/>
  <c r="Q252" i="70"/>
  <c r="Z252" i="70"/>
  <c r="Q62" i="70"/>
  <c r="Z62" i="70"/>
  <c r="Q197" i="70"/>
  <c r="Z197" i="70"/>
  <c r="Q142" i="70"/>
  <c r="Z142" i="70"/>
  <c r="Q298" i="70"/>
  <c r="Z298" i="70"/>
  <c r="Q114" i="70"/>
  <c r="Z114" i="70"/>
  <c r="Q132" i="70"/>
  <c r="Z132" i="70"/>
  <c r="Q274" i="70"/>
  <c r="Z274" i="70"/>
  <c r="Q59" i="70"/>
  <c r="Z59" i="70"/>
  <c r="Q108" i="70"/>
  <c r="Z108" i="70"/>
  <c r="Q50" i="70"/>
  <c r="Z50" i="70"/>
  <c r="Q225" i="70"/>
  <c r="Z225" i="70"/>
  <c r="Z284" i="70"/>
  <c r="Q284" i="70"/>
  <c r="Q192" i="70"/>
  <c r="Z192" i="70"/>
  <c r="Q293" i="70"/>
  <c r="Z293" i="70"/>
  <c r="Q46" i="70"/>
  <c r="Z46" i="70"/>
  <c r="Q238" i="70"/>
  <c r="Z238" i="70"/>
  <c r="Q112" i="70"/>
  <c r="Z112" i="70"/>
  <c r="Q66" i="70"/>
  <c r="Z66" i="70"/>
  <c r="Q30" i="70"/>
  <c r="Z30" i="70"/>
  <c r="Q165" i="70"/>
  <c r="Z165" i="70"/>
  <c r="Q212" i="70"/>
  <c r="Z212" i="70"/>
  <c r="Q74" i="70"/>
  <c r="Z74" i="70"/>
  <c r="Q297" i="70"/>
  <c r="Z297" i="70"/>
  <c r="Q92" i="70"/>
  <c r="Z92" i="70"/>
  <c r="Q240" i="70"/>
  <c r="Z240" i="70"/>
  <c r="Q155" i="70"/>
  <c r="Z155" i="70"/>
  <c r="Q239" i="70"/>
  <c r="Z239" i="70"/>
  <c r="Q219" i="70"/>
  <c r="Z219" i="70"/>
  <c r="Q129" i="70"/>
  <c r="Z129" i="70"/>
  <c r="Q85" i="70"/>
  <c r="Z85" i="70"/>
  <c r="Q138" i="70"/>
  <c r="Z138" i="70"/>
  <c r="Q247" i="70"/>
  <c r="Z247" i="70"/>
  <c r="Q24" i="70"/>
  <c r="Z24" i="70"/>
  <c r="Q128" i="70"/>
  <c r="Z128" i="70"/>
  <c r="Q229" i="70"/>
  <c r="Z229" i="70"/>
  <c r="Q211" i="70"/>
  <c r="Z211" i="70"/>
  <c r="Q152" i="70"/>
  <c r="Z152" i="70"/>
  <c r="Q109" i="70"/>
  <c r="Z109" i="70"/>
  <c r="Q241" i="70"/>
  <c r="Z241" i="70"/>
  <c r="Q285" i="70"/>
  <c r="Z285" i="70"/>
  <c r="Q287" i="70"/>
  <c r="Z287" i="70"/>
  <c r="P6" i="70"/>
  <c r="Z6" i="70" s="1"/>
  <c r="Y6" i="70"/>
  <c r="O4" i="70"/>
  <c r="O2" i="70" s="1"/>
  <c r="Q64" i="70"/>
  <c r="Z64" i="70"/>
  <c r="Q60" i="70"/>
  <c r="Z60" i="70"/>
  <c r="Q272" i="70"/>
  <c r="Z272" i="70"/>
  <c r="Q254" i="70"/>
  <c r="Z254" i="70"/>
  <c r="Q207" i="70"/>
  <c r="Z207" i="70"/>
  <c r="Q49" i="70"/>
  <c r="Z49" i="70"/>
  <c r="Q231" i="70"/>
  <c r="Z231" i="70"/>
  <c r="Q40" i="70"/>
  <c r="Z40" i="70"/>
  <c r="Q190" i="70"/>
  <c r="Z190" i="70"/>
  <c r="Q295" i="70"/>
  <c r="Z295" i="70"/>
  <c r="Q111" i="70"/>
  <c r="Z111" i="70"/>
  <c r="Q179" i="70"/>
  <c r="Z179" i="70"/>
  <c r="Q139" i="70"/>
  <c r="Z139" i="70"/>
  <c r="Q127" i="70"/>
  <c r="Z127" i="70"/>
  <c r="Q118" i="70"/>
  <c r="Z118" i="70"/>
  <c r="Q171" i="70"/>
  <c r="Z171" i="70"/>
  <c r="Q76" i="70"/>
  <c r="Z76" i="70"/>
  <c r="Q255" i="70"/>
  <c r="Z255" i="70"/>
  <c r="Q206" i="70"/>
  <c r="Z206" i="70"/>
  <c r="Q275" i="70"/>
  <c r="Z275" i="70"/>
  <c r="Q167" i="70"/>
  <c r="Z167" i="70"/>
  <c r="Q19" i="70"/>
  <c r="Z19" i="70"/>
  <c r="Q168" i="70"/>
  <c r="Z168" i="70"/>
  <c r="Q288" i="70"/>
  <c r="Z288" i="70"/>
  <c r="Q191" i="70"/>
  <c r="Z191" i="70"/>
  <c r="Q248" i="70"/>
  <c r="Z248" i="70"/>
  <c r="Q65" i="70"/>
  <c r="Z65" i="70"/>
  <c r="Q160" i="70"/>
  <c r="Z160" i="70"/>
  <c r="Q246" i="70"/>
  <c r="Z246" i="70"/>
  <c r="Q130" i="70"/>
  <c r="Z130" i="70"/>
  <c r="Q189" i="70"/>
  <c r="Z189" i="70"/>
  <c r="Q32" i="70"/>
  <c r="Z32" i="70"/>
  <c r="Q45" i="70"/>
  <c r="Z45" i="70"/>
  <c r="Q71" i="70"/>
  <c r="Z71" i="70"/>
  <c r="Q88" i="70"/>
  <c r="Z88" i="70"/>
  <c r="Q261" i="70"/>
  <c r="Z261" i="70"/>
  <c r="Q251" i="70"/>
  <c r="Z251" i="70"/>
  <c r="Q51" i="70"/>
  <c r="Z51" i="70"/>
  <c r="Q205" i="70"/>
  <c r="Z205" i="70"/>
  <c r="Q133" i="70"/>
  <c r="Z133" i="70"/>
  <c r="Q146" i="70"/>
  <c r="Z146" i="70"/>
  <c r="Q11" i="70"/>
  <c r="Z11" i="70"/>
  <c r="Q279" i="70"/>
  <c r="Z279" i="70"/>
  <c r="Q29" i="70"/>
  <c r="Z29" i="70"/>
  <c r="Q47" i="70"/>
  <c r="Z47" i="70"/>
  <c r="Q237" i="70"/>
  <c r="Z237" i="70"/>
  <c r="Q264" i="70"/>
  <c r="Z264" i="70"/>
  <c r="Q174" i="70"/>
  <c r="Z174" i="70"/>
  <c r="Q136" i="70"/>
  <c r="Z136" i="70"/>
  <c r="Q105" i="70"/>
  <c r="Z105" i="70"/>
  <c r="Q99" i="70"/>
  <c r="Z99" i="70"/>
  <c r="Z262" i="70"/>
  <c r="Q262" i="70"/>
  <c r="Q143" i="70"/>
  <c r="Z143" i="70"/>
  <c r="Q242" i="70"/>
  <c r="Z242" i="70"/>
  <c r="Q181" i="70"/>
  <c r="Z181" i="70"/>
  <c r="Q278" i="70"/>
  <c r="Z278" i="70"/>
  <c r="Q157" i="70"/>
  <c r="Z157" i="70"/>
  <c r="Q230" i="70"/>
  <c r="Z230" i="70"/>
  <c r="Q35" i="70"/>
  <c r="Z35" i="70"/>
  <c r="Q56" i="70"/>
  <c r="Z56" i="70"/>
  <c r="Q198" i="70"/>
  <c r="Z198" i="70"/>
  <c r="Q244" i="70"/>
  <c r="Z244" i="70"/>
  <c r="Q20" i="70"/>
  <c r="Z20" i="70"/>
  <c r="Q210" i="70"/>
  <c r="Z210" i="70"/>
  <c r="Q90" i="70"/>
  <c r="Z90" i="70"/>
  <c r="Q257" i="70"/>
  <c r="Z257" i="70"/>
  <c r="Q154" i="70"/>
  <c r="Z154" i="70"/>
  <c r="Q102" i="70"/>
  <c r="Z102" i="70"/>
  <c r="G13" i="60"/>
  <c r="K19" i="15" s="1"/>
  <c r="E16" i="60"/>
  <c r="E76" i="15" s="1"/>
  <c r="E9" i="60"/>
  <c r="G15" i="15" s="1"/>
  <c r="H33" i="60"/>
  <c r="M38" i="15" s="1"/>
  <c r="H13" i="60"/>
  <c r="M19" i="15" s="1"/>
  <c r="P142" i="66"/>
  <c r="H12" i="60"/>
  <c r="M18" i="15" s="1"/>
  <c r="F8" i="60"/>
  <c r="I14" i="15" s="1"/>
  <c r="G11" i="60"/>
  <c r="K17" i="15" s="1"/>
  <c r="E17" i="60"/>
  <c r="G23" i="15" s="1"/>
  <c r="G17" i="60"/>
  <c r="K23" i="15" s="1"/>
  <c r="F9" i="60"/>
  <c r="I15" i="15" s="1"/>
  <c r="H14" i="60"/>
  <c r="D8" i="60"/>
  <c r="G10" i="60"/>
  <c r="K16" i="15" s="1"/>
  <c r="E33" i="60"/>
  <c r="G38" i="15" s="1"/>
  <c r="F33" i="60"/>
  <c r="I38" i="15" s="1"/>
  <c r="G33" i="60"/>
  <c r="K38" i="15" s="1"/>
  <c r="G14" i="60"/>
  <c r="K20" i="15" s="1"/>
  <c r="D16" i="60"/>
  <c r="D76" i="15" s="1"/>
  <c r="F28" i="60"/>
  <c r="F77" i="15" s="1"/>
  <c r="D26" i="60"/>
  <c r="D27" i="60"/>
  <c r="E26" i="60"/>
  <c r="E27" i="60"/>
  <c r="E28" i="60"/>
  <c r="E77" i="15" s="1"/>
  <c r="D32" i="60"/>
  <c r="E37" i="15" s="1"/>
  <c r="F11" i="60"/>
  <c r="I17" i="15" s="1"/>
  <c r="D17" i="60"/>
  <c r="E23" i="15" s="1"/>
  <c r="F16" i="60"/>
  <c r="F76" i="15" s="1"/>
  <c r="H26" i="60"/>
  <c r="H27" i="60"/>
  <c r="F13" i="60"/>
  <c r="I19" i="15" s="1"/>
  <c r="F14" i="60"/>
  <c r="I20" i="15" s="1"/>
  <c r="G26" i="60"/>
  <c r="G27" i="60"/>
  <c r="D13" i="60"/>
  <c r="E19" i="15" s="1"/>
  <c r="F19" i="15" s="1"/>
  <c r="F12" i="60"/>
  <c r="I18" i="15" s="1"/>
  <c r="D14" i="60"/>
  <c r="E20" i="15" s="1"/>
  <c r="H17" i="60"/>
  <c r="M23" i="15" s="1"/>
  <c r="D28" i="60"/>
  <c r="D77" i="15" s="1"/>
  <c r="G9" i="60"/>
  <c r="K15" i="15" s="1"/>
  <c r="I23" i="60"/>
  <c r="O30" i="15" s="1"/>
  <c r="F10" i="60"/>
  <c r="I16" i="15" s="1"/>
  <c r="F17" i="60"/>
  <c r="I23" i="15" s="1"/>
  <c r="F27" i="60"/>
  <c r="F26" i="60"/>
  <c r="I26" i="60"/>
  <c r="I27" i="60"/>
  <c r="I11" i="60"/>
  <c r="O17" i="15" s="1"/>
  <c r="I10" i="60"/>
  <c r="O16" i="15" s="1"/>
  <c r="I17" i="60"/>
  <c r="O23" i="15" s="1"/>
  <c r="I33" i="60"/>
  <c r="O38" i="15" s="1"/>
  <c r="I14" i="60"/>
  <c r="O20" i="15" s="1"/>
  <c r="I16" i="60"/>
  <c r="I12" i="60"/>
  <c r="O18" i="15" s="1"/>
  <c r="I9" i="60"/>
  <c r="O15" i="15" s="1"/>
  <c r="I13" i="60"/>
  <c r="O19" i="15" s="1"/>
  <c r="AN11" i="45"/>
  <c r="AU11" i="45"/>
  <c r="AB274" i="56"/>
  <c r="AB284" i="56"/>
  <c r="AB306" i="65"/>
  <c r="J306" i="56"/>
  <c r="AR306" i="56" s="1"/>
  <c r="AB295" i="65"/>
  <c r="J295" i="56"/>
  <c r="AR295" i="56" s="1"/>
  <c r="E16" i="15"/>
  <c r="F16" i="15" s="1"/>
  <c r="G18" i="15"/>
  <c r="AC263" i="56"/>
  <c r="AW57" i="66"/>
  <c r="AC57" i="66"/>
  <c r="P57" i="66"/>
  <c r="AV57" i="66"/>
  <c r="AB57" i="66"/>
  <c r="AC60" i="66"/>
  <c r="AW60" i="66"/>
  <c r="P60" i="66"/>
  <c r="AV60" i="66"/>
  <c r="AB60" i="66"/>
  <c r="AC58" i="66"/>
  <c r="AW58" i="66"/>
  <c r="P58" i="66"/>
  <c r="AV58" i="66"/>
  <c r="AB58" i="66"/>
  <c r="AW56" i="66"/>
  <c r="AC56" i="66"/>
  <c r="P56" i="66"/>
  <c r="AB56" i="66"/>
  <c r="AV56" i="66"/>
  <c r="E61" i="66"/>
  <c r="AC59" i="66"/>
  <c r="AW59" i="66"/>
  <c r="P59" i="66"/>
  <c r="AB59" i="66"/>
  <c r="AV59" i="66"/>
  <c r="E38" i="15"/>
  <c r="M20" i="15"/>
  <c r="R15" i="60"/>
  <c r="F15" i="60" s="1"/>
  <c r="P23" i="60"/>
  <c r="D23" i="60" s="1"/>
  <c r="P15" i="60"/>
  <c r="D15" i="60" s="1"/>
  <c r="E14" i="15"/>
  <c r="F14" i="15" s="1"/>
  <c r="Q23" i="60"/>
  <c r="E23" i="60" s="1"/>
  <c r="R23" i="60"/>
  <c r="F23" i="60" s="1"/>
  <c r="T23" i="60"/>
  <c r="H23" i="60" s="1"/>
  <c r="S23" i="60"/>
  <c r="G23" i="60" s="1"/>
  <c r="P34" i="60"/>
  <c r="D34" i="60" s="1"/>
  <c r="I296" i="54"/>
  <c r="AB307" i="53"/>
  <c r="AV96" i="66"/>
  <c r="AB96" i="66"/>
  <c r="P96" i="66"/>
  <c r="AL96" i="66" s="1"/>
  <c r="E69" i="66"/>
  <c r="E71" i="66"/>
  <c r="AL11" i="66"/>
  <c r="I13" i="53"/>
  <c r="AB13" i="53" s="1"/>
  <c r="AN10" i="45"/>
  <c r="AU10" i="45"/>
  <c r="AC274" i="51"/>
  <c r="AB306" i="57"/>
  <c r="I313" i="68"/>
  <c r="AC274" i="56"/>
  <c r="AB285" i="65"/>
  <c r="AB285" i="56"/>
  <c r="AC284" i="56"/>
  <c r="AD273" i="51"/>
  <c r="I292" i="68"/>
  <c r="AB285" i="57"/>
  <c r="AD263" i="51"/>
  <c r="AC284" i="51"/>
  <c r="F96" i="66"/>
  <c r="I302" i="68"/>
  <c r="AB295" i="57"/>
  <c r="I307" i="65"/>
  <c r="I307" i="57"/>
  <c r="AB307" i="54"/>
  <c r="AV307" i="54" s="1"/>
  <c r="I114" i="68" l="1"/>
  <c r="E6" i="66"/>
  <c r="C24" i="15"/>
  <c r="C29" i="15"/>
  <c r="CW13" i="45"/>
  <c r="BH31" i="54"/>
  <c r="J31" i="57"/>
  <c r="AC31" i="54"/>
  <c r="AW31" i="54" s="1"/>
  <c r="J31" i="65"/>
  <c r="BH145" i="54"/>
  <c r="J145" i="65"/>
  <c r="J145" i="57"/>
  <c r="AC145" i="54"/>
  <c r="AW145" i="54" s="1"/>
  <c r="BH221" i="54"/>
  <c r="J221" i="65"/>
  <c r="AC221" i="54"/>
  <c r="AW221" i="54" s="1"/>
  <c r="J221" i="57"/>
  <c r="J237" i="68" s="1"/>
  <c r="BH123" i="54"/>
  <c r="J123" i="65"/>
  <c r="J123" i="57"/>
  <c r="J93" i="68" s="1"/>
  <c r="AC123" i="54"/>
  <c r="AW123" i="54" s="1"/>
  <c r="BH56" i="54"/>
  <c r="J56" i="65"/>
  <c r="AC56" i="54"/>
  <c r="AW56" i="54" s="1"/>
  <c r="J56" i="57"/>
  <c r="J82" i="68" s="1"/>
  <c r="BH42" i="54"/>
  <c r="AC42" i="54"/>
  <c r="AW42" i="54" s="1"/>
  <c r="J42" i="65"/>
  <c r="J42" i="57"/>
  <c r="J24" i="68" s="1"/>
  <c r="BH238" i="54"/>
  <c r="J238" i="65"/>
  <c r="J238" i="57"/>
  <c r="J46" i="68" s="1"/>
  <c r="AC238" i="54"/>
  <c r="AW238" i="54" s="1"/>
  <c r="BH118" i="54"/>
  <c r="J118" i="57"/>
  <c r="J209" i="68" s="1"/>
  <c r="AC118" i="54"/>
  <c r="AW118" i="54" s="1"/>
  <c r="J118" i="65"/>
  <c r="BH299" i="54"/>
  <c r="AC299" i="54"/>
  <c r="AW299" i="54" s="1"/>
  <c r="J299" i="57"/>
  <c r="J299" i="65"/>
  <c r="BH226" i="54"/>
  <c r="J226" i="57"/>
  <c r="AC226" i="54"/>
  <c r="AW226" i="54" s="1"/>
  <c r="J226" i="65"/>
  <c r="BH257" i="54"/>
  <c r="J257" i="65"/>
  <c r="J257" i="57"/>
  <c r="AC257" i="54"/>
  <c r="AW257" i="54" s="1"/>
  <c r="BH66" i="54"/>
  <c r="J66" i="65"/>
  <c r="J66" i="57"/>
  <c r="AC66" i="54"/>
  <c r="AW66" i="54" s="1"/>
  <c r="BH21" i="54"/>
  <c r="J21" i="65"/>
  <c r="J21" i="57"/>
  <c r="J77" i="68" s="1"/>
  <c r="AC21" i="54"/>
  <c r="AW21" i="54" s="1"/>
  <c r="F69" i="66"/>
  <c r="Q69" i="66" s="1"/>
  <c r="J13" i="54"/>
  <c r="AC13" i="54" s="1"/>
  <c r="J7" i="54"/>
  <c r="D113" i="66" s="1"/>
  <c r="BH164" i="54"/>
  <c r="J164" i="65"/>
  <c r="J164" i="57"/>
  <c r="J296" i="68" s="1"/>
  <c r="AC164" i="54"/>
  <c r="AW164" i="54" s="1"/>
  <c r="BH270" i="54"/>
  <c r="J270" i="57"/>
  <c r="J257" i="68" s="1"/>
  <c r="J270" i="65"/>
  <c r="AC270" i="54"/>
  <c r="AW270" i="54" s="1"/>
  <c r="BH150" i="54"/>
  <c r="J150" i="57"/>
  <c r="J292" i="68" s="1"/>
  <c r="J150" i="65"/>
  <c r="AC150" i="54"/>
  <c r="AW150" i="54" s="1"/>
  <c r="BH216" i="54"/>
  <c r="J216" i="57"/>
  <c r="J168" i="68" s="1"/>
  <c r="AC216" i="54"/>
  <c r="AW216" i="54" s="1"/>
  <c r="J216" i="65"/>
  <c r="BH24" i="54"/>
  <c r="J24" i="65"/>
  <c r="J24" i="57"/>
  <c r="AC24" i="54"/>
  <c r="AW24" i="54" s="1"/>
  <c r="F66" i="66"/>
  <c r="BH142" i="54"/>
  <c r="AC142" i="54"/>
  <c r="AW142" i="54" s="1"/>
  <c r="J142" i="65"/>
  <c r="J142" i="57"/>
  <c r="J291" i="68" s="1"/>
  <c r="BH186" i="54"/>
  <c r="J186" i="65"/>
  <c r="AC186" i="54"/>
  <c r="AW186" i="54" s="1"/>
  <c r="J186" i="57"/>
  <c r="J222" i="68" s="1"/>
  <c r="BH61" i="54"/>
  <c r="J61" i="65"/>
  <c r="J61" i="57"/>
  <c r="J196" i="68" s="1"/>
  <c r="AC61" i="54"/>
  <c r="AW61" i="54" s="1"/>
  <c r="F71" i="66"/>
  <c r="Q71" i="66" s="1"/>
  <c r="BH173" i="54"/>
  <c r="AC173" i="54"/>
  <c r="AW173" i="54" s="1"/>
  <c r="J173" i="65"/>
  <c r="J173" i="57"/>
  <c r="J103" i="68" s="1"/>
  <c r="BH233" i="54"/>
  <c r="J233" i="57"/>
  <c r="AC233" i="54"/>
  <c r="AW233" i="54" s="1"/>
  <c r="J233" i="65"/>
  <c r="BH93" i="54"/>
  <c r="J93" i="65"/>
  <c r="AC93" i="54"/>
  <c r="AW93" i="54" s="1"/>
  <c r="J93" i="57"/>
  <c r="J285" i="68" s="1"/>
  <c r="BH158" i="54"/>
  <c r="J158" i="65"/>
  <c r="AC158" i="54"/>
  <c r="AW158" i="54" s="1"/>
  <c r="J158" i="57"/>
  <c r="BH209" i="54"/>
  <c r="AC209" i="54"/>
  <c r="AW209" i="54" s="1"/>
  <c r="J209" i="57"/>
  <c r="J232" i="68" s="1"/>
  <c r="J209" i="65"/>
  <c r="BH265" i="54"/>
  <c r="AC265" i="54"/>
  <c r="AW265" i="54" s="1"/>
  <c r="J265" i="65"/>
  <c r="J265" i="57"/>
  <c r="J256" i="68" s="1"/>
  <c r="BH183" i="54"/>
  <c r="AC183" i="54"/>
  <c r="AW183" i="54" s="1"/>
  <c r="J183" i="65"/>
  <c r="J183" i="57"/>
  <c r="BH28" i="54"/>
  <c r="J28" i="65"/>
  <c r="J28" i="57"/>
  <c r="J79" i="68" s="1"/>
  <c r="AC28" i="54"/>
  <c r="AW28" i="54" s="1"/>
  <c r="BH99" i="54"/>
  <c r="J99" i="57"/>
  <c r="J286" i="68" s="1"/>
  <c r="AC99" i="54"/>
  <c r="AW99" i="54" s="1"/>
  <c r="J99" i="65"/>
  <c r="BH23" i="54"/>
  <c r="AC23" i="54"/>
  <c r="AW23" i="54" s="1"/>
  <c r="J23" i="65"/>
  <c r="J23" i="57"/>
  <c r="J276" i="68" s="1"/>
  <c r="F72" i="66"/>
  <c r="BH69" i="54"/>
  <c r="J69" i="57"/>
  <c r="J280" i="68" s="1"/>
  <c r="AC69" i="54"/>
  <c r="AW69" i="54" s="1"/>
  <c r="J69" i="65"/>
  <c r="BH114" i="54"/>
  <c r="AC114" i="54"/>
  <c r="AW114" i="54" s="1"/>
  <c r="J114" i="57"/>
  <c r="J114" i="65"/>
  <c r="BH58" i="54"/>
  <c r="J58" i="57"/>
  <c r="J58" i="65"/>
  <c r="AC58" i="54"/>
  <c r="AW58" i="54" s="1"/>
  <c r="F70" i="66"/>
  <c r="Q70" i="66" s="1"/>
  <c r="BH177" i="54"/>
  <c r="AC177" i="54"/>
  <c r="AW177" i="54" s="1"/>
  <c r="J177" i="65"/>
  <c r="J177" i="57"/>
  <c r="J221" i="68" s="1"/>
  <c r="BH248" i="54"/>
  <c r="J248" i="65"/>
  <c r="J248" i="57"/>
  <c r="J249" i="68" s="1"/>
  <c r="AC248" i="54"/>
  <c r="AW248" i="54" s="1"/>
  <c r="BH191" i="54"/>
  <c r="AC191" i="54"/>
  <c r="AW191" i="54" s="1"/>
  <c r="J191" i="57"/>
  <c r="J299" i="68" s="1"/>
  <c r="J191" i="65"/>
  <c r="BH239" i="54"/>
  <c r="J239" i="57"/>
  <c r="AC239" i="54"/>
  <c r="AW239" i="54" s="1"/>
  <c r="J239" i="65"/>
  <c r="BH237" i="54"/>
  <c r="J237" i="57"/>
  <c r="J237" i="65"/>
  <c r="AC237" i="54"/>
  <c r="AW237" i="54" s="1"/>
  <c r="BH89" i="54"/>
  <c r="J89" i="57"/>
  <c r="J87" i="68" s="1"/>
  <c r="J89" i="65"/>
  <c r="AC89" i="54"/>
  <c r="AW89" i="54" s="1"/>
  <c r="BH235" i="54"/>
  <c r="J235" i="65"/>
  <c r="AC235" i="54"/>
  <c r="AW235" i="54" s="1"/>
  <c r="J235" i="57"/>
  <c r="J66" i="68" s="1"/>
  <c r="BH206" i="54"/>
  <c r="J206" i="57"/>
  <c r="AC206" i="54"/>
  <c r="AW206" i="54" s="1"/>
  <c r="J206" i="65"/>
  <c r="BH192" i="54"/>
  <c r="J192" i="65"/>
  <c r="AC192" i="54"/>
  <c r="AW192" i="54" s="1"/>
  <c r="J192" i="57"/>
  <c r="J225" i="68" s="1"/>
  <c r="BH139" i="54"/>
  <c r="J139" i="65"/>
  <c r="J139" i="57"/>
  <c r="J215" i="68" s="1"/>
  <c r="AC139" i="54"/>
  <c r="AW139" i="54" s="1"/>
  <c r="BH187" i="54"/>
  <c r="J187" i="57"/>
  <c r="J105" i="68" s="1"/>
  <c r="AC187" i="54"/>
  <c r="AW187" i="54" s="1"/>
  <c r="J187" i="65"/>
  <c r="BH281" i="54"/>
  <c r="J281" i="57"/>
  <c r="J110" i="68" s="1"/>
  <c r="AC281" i="54"/>
  <c r="AW281" i="54" s="1"/>
  <c r="J281" i="65"/>
  <c r="BH260" i="54"/>
  <c r="AC260" i="54"/>
  <c r="AW260" i="54" s="1"/>
  <c r="J260" i="65"/>
  <c r="J260" i="57"/>
  <c r="J118" i="68" s="1"/>
  <c r="BH108" i="54"/>
  <c r="J108" i="57"/>
  <c r="J205" i="68" s="1"/>
  <c r="J108" i="65"/>
  <c r="AC108" i="54"/>
  <c r="AW108" i="54" s="1"/>
  <c r="BH73" i="54"/>
  <c r="AC73" i="54"/>
  <c r="AW73" i="54" s="1"/>
  <c r="J73" i="65"/>
  <c r="J73" i="57"/>
  <c r="J84" i="68" s="1"/>
  <c r="F68" i="66"/>
  <c r="Q68" i="66" s="1"/>
  <c r="BH255" i="54"/>
  <c r="J255" i="65"/>
  <c r="AC255" i="54"/>
  <c r="AW255" i="54" s="1"/>
  <c r="J255" i="57"/>
  <c r="J109" i="68" s="1"/>
  <c r="BH170" i="54"/>
  <c r="J170" i="57"/>
  <c r="J59" i="68" s="1"/>
  <c r="AC170" i="54"/>
  <c r="AW170" i="54" s="1"/>
  <c r="J170" i="65"/>
  <c r="BH178" i="54"/>
  <c r="J178" i="65"/>
  <c r="J178" i="57"/>
  <c r="AC178" i="54"/>
  <c r="AW178" i="54" s="1"/>
  <c r="BH290" i="54"/>
  <c r="AC290" i="54"/>
  <c r="AW290" i="54" s="1"/>
  <c r="J290" i="57"/>
  <c r="J112" i="68" s="1"/>
  <c r="J290" i="65"/>
  <c r="BH64" i="54"/>
  <c r="AC64" i="54"/>
  <c r="AW64" i="54" s="1"/>
  <c r="J64" i="65"/>
  <c r="J64" i="57"/>
  <c r="J33" i="68" s="1"/>
  <c r="F67" i="66"/>
  <c r="I296" i="57"/>
  <c r="BG296" i="54"/>
  <c r="Q22" i="15"/>
  <c r="J76" i="15"/>
  <c r="AW91" i="66"/>
  <c r="Q91" i="66"/>
  <c r="AM91" i="66" s="1"/>
  <c r="Q90" i="66"/>
  <c r="AM90" i="66" s="1"/>
  <c r="AW90" i="66"/>
  <c r="R19" i="15"/>
  <c r="R16" i="15"/>
  <c r="R17" i="15"/>
  <c r="R18" i="15"/>
  <c r="R15" i="15"/>
  <c r="AL21" i="66"/>
  <c r="J23" i="60"/>
  <c r="Q30" i="15"/>
  <c r="E22" i="66"/>
  <c r="E20" i="66"/>
  <c r="R257" i="70"/>
  <c r="AA257" i="70"/>
  <c r="R244" i="70"/>
  <c r="AA244" i="70"/>
  <c r="R230" i="70"/>
  <c r="AA230" i="70"/>
  <c r="R242" i="70"/>
  <c r="AA242" i="70"/>
  <c r="R105" i="70"/>
  <c r="AA105" i="70"/>
  <c r="AA237" i="70"/>
  <c r="R237" i="70"/>
  <c r="R11" i="70"/>
  <c r="AA11" i="70"/>
  <c r="R51" i="70"/>
  <c r="AA51" i="70"/>
  <c r="R71" i="70"/>
  <c r="AA71" i="70"/>
  <c r="R130" i="70"/>
  <c r="AA130" i="70"/>
  <c r="R248" i="70"/>
  <c r="AA248" i="70"/>
  <c r="R19" i="70"/>
  <c r="AA19" i="70"/>
  <c r="R255" i="70"/>
  <c r="AA255" i="70"/>
  <c r="R127" i="70"/>
  <c r="AA127" i="70"/>
  <c r="R295" i="70"/>
  <c r="AA295" i="70"/>
  <c r="R49" i="70"/>
  <c r="AA49" i="70"/>
  <c r="R60" i="70"/>
  <c r="AA60" i="70"/>
  <c r="R284" i="70"/>
  <c r="AA284" i="70"/>
  <c r="R100" i="70"/>
  <c r="AA100" i="70"/>
  <c r="R285" i="70"/>
  <c r="AA285" i="70"/>
  <c r="R211" i="70"/>
  <c r="AA211" i="70"/>
  <c r="R247" i="70"/>
  <c r="AA247" i="70"/>
  <c r="R219" i="70"/>
  <c r="AA219" i="70"/>
  <c r="R92" i="70"/>
  <c r="AA92" i="70"/>
  <c r="R165" i="70"/>
  <c r="AA165" i="70"/>
  <c r="R238" i="70"/>
  <c r="AA238" i="70"/>
  <c r="R59" i="70"/>
  <c r="AA59" i="70"/>
  <c r="R298" i="70"/>
  <c r="AA298" i="70"/>
  <c r="R252" i="70"/>
  <c r="AA252" i="70"/>
  <c r="R224" i="70"/>
  <c r="AA224" i="70"/>
  <c r="R58" i="70"/>
  <c r="AA58" i="70"/>
  <c r="R22" i="70"/>
  <c r="AA22" i="70"/>
  <c r="R169" i="70"/>
  <c r="AA169" i="70"/>
  <c r="R267" i="70"/>
  <c r="AA267" i="70"/>
  <c r="R116" i="70"/>
  <c r="AA116" i="70"/>
  <c r="R149" i="70"/>
  <c r="AA149" i="70"/>
  <c r="R188" i="70"/>
  <c r="AA188" i="70"/>
  <c r="R172" i="70"/>
  <c r="AA172" i="70"/>
  <c r="R124" i="70"/>
  <c r="AA124" i="70"/>
  <c r="R8" i="70"/>
  <c r="AA8" i="70"/>
  <c r="R14" i="70"/>
  <c r="AA14" i="70"/>
  <c r="AA173" i="70"/>
  <c r="R173" i="70"/>
  <c r="R131" i="70"/>
  <c r="AA131" i="70"/>
  <c r="R107" i="70"/>
  <c r="AA107" i="70"/>
  <c r="R161" i="70"/>
  <c r="AA161" i="70"/>
  <c r="R204" i="70"/>
  <c r="AA204" i="70"/>
  <c r="R236" i="70"/>
  <c r="AA236" i="70"/>
  <c r="R223" i="70"/>
  <c r="AA223" i="70"/>
  <c r="R195" i="70"/>
  <c r="AA195" i="70"/>
  <c r="R61" i="70"/>
  <c r="AA61" i="70"/>
  <c r="R25" i="70"/>
  <c r="AA25" i="70"/>
  <c r="R283" i="70"/>
  <c r="AA283" i="70"/>
  <c r="R73" i="70"/>
  <c r="AA73" i="70"/>
  <c r="R57" i="70"/>
  <c r="AA57" i="70"/>
  <c r="R296" i="70"/>
  <c r="AA296" i="70"/>
  <c r="R269" i="70"/>
  <c r="AA269" i="70"/>
  <c r="R218" i="70"/>
  <c r="AA218" i="70"/>
  <c r="R55" i="70"/>
  <c r="AA55" i="70"/>
  <c r="R17" i="70"/>
  <c r="AA17" i="70"/>
  <c r="R147" i="70"/>
  <c r="AA147" i="70"/>
  <c r="R75" i="70"/>
  <c r="AA75" i="70"/>
  <c r="R286" i="70"/>
  <c r="AA286" i="70"/>
  <c r="R119" i="70"/>
  <c r="AA119" i="70"/>
  <c r="R43" i="70"/>
  <c r="AA43" i="70"/>
  <c r="R200" i="70"/>
  <c r="AA200" i="70"/>
  <c r="R208" i="70"/>
  <c r="AA208" i="70"/>
  <c r="R182" i="70"/>
  <c r="AA182" i="70"/>
  <c r="R79" i="70"/>
  <c r="AA79" i="70"/>
  <c r="R270" i="70"/>
  <c r="AA270" i="70"/>
  <c r="R120" i="70"/>
  <c r="AA120" i="70"/>
  <c r="R27" i="70"/>
  <c r="AA27" i="70"/>
  <c r="R7" i="70"/>
  <c r="AA7" i="70"/>
  <c r="R33" i="70"/>
  <c r="AA33" i="70"/>
  <c r="R90" i="70"/>
  <c r="AA90" i="70"/>
  <c r="R198" i="70"/>
  <c r="AA198" i="70"/>
  <c r="R157" i="70"/>
  <c r="AA157" i="70"/>
  <c r="R143" i="70"/>
  <c r="AA143" i="70"/>
  <c r="R136" i="70"/>
  <c r="AA136" i="70"/>
  <c r="R47" i="70"/>
  <c r="AA47" i="70"/>
  <c r="R146" i="70"/>
  <c r="AA146" i="70"/>
  <c r="R251" i="70"/>
  <c r="AA251" i="70"/>
  <c r="R45" i="70"/>
  <c r="AA45" i="70"/>
  <c r="R246" i="70"/>
  <c r="AA246" i="70"/>
  <c r="R191" i="70"/>
  <c r="AA191" i="70"/>
  <c r="R167" i="70"/>
  <c r="AA167" i="70"/>
  <c r="R76" i="70"/>
  <c r="AA76" i="70"/>
  <c r="AA139" i="70"/>
  <c r="R139" i="70"/>
  <c r="R190" i="70"/>
  <c r="AA190" i="70"/>
  <c r="R207" i="70"/>
  <c r="AA207" i="70"/>
  <c r="AA64" i="70"/>
  <c r="R64" i="70"/>
  <c r="R94" i="70"/>
  <c r="AA94" i="70"/>
  <c r="R262" i="70"/>
  <c r="AA262" i="70"/>
  <c r="R241" i="70"/>
  <c r="AA241" i="70"/>
  <c r="R229" i="70"/>
  <c r="AA229" i="70"/>
  <c r="R138" i="70"/>
  <c r="AA138" i="70"/>
  <c r="R239" i="70"/>
  <c r="AA239" i="70"/>
  <c r="R297" i="70"/>
  <c r="AA297" i="70"/>
  <c r="AA30" i="70"/>
  <c r="R30" i="70"/>
  <c r="R46" i="70"/>
  <c r="AA46" i="70"/>
  <c r="R225" i="70"/>
  <c r="AA225" i="70"/>
  <c r="R274" i="70"/>
  <c r="AA274" i="70"/>
  <c r="R142" i="70"/>
  <c r="AA142" i="70"/>
  <c r="R81" i="70"/>
  <c r="AA81" i="70"/>
  <c r="R164" i="70"/>
  <c r="AA164" i="70"/>
  <c r="R36" i="70"/>
  <c r="AA36" i="70"/>
  <c r="R291" i="70"/>
  <c r="AA291" i="70"/>
  <c r="R98" i="70"/>
  <c r="AA98" i="70"/>
  <c r="R159" i="70"/>
  <c r="AA159" i="70"/>
  <c r="R180" i="70"/>
  <c r="AA180" i="70"/>
  <c r="R9" i="70"/>
  <c r="AA9" i="70"/>
  <c r="R234" i="70"/>
  <c r="AA234" i="70"/>
  <c r="R166" i="70"/>
  <c r="AA166" i="70"/>
  <c r="R185" i="70"/>
  <c r="AA185" i="70"/>
  <c r="R156" i="70"/>
  <c r="AA156" i="70"/>
  <c r="R39" i="70"/>
  <c r="AA39" i="70"/>
  <c r="R226" i="70"/>
  <c r="AA226" i="70"/>
  <c r="R187" i="70"/>
  <c r="AA187" i="70"/>
  <c r="R117" i="70"/>
  <c r="AA117" i="70"/>
  <c r="R77" i="70"/>
  <c r="AA77" i="70"/>
  <c r="AA123" i="70"/>
  <c r="R123" i="70"/>
  <c r="R41" i="70"/>
  <c r="AA41" i="70"/>
  <c r="R26" i="70"/>
  <c r="AA26" i="70"/>
  <c r="R82" i="70"/>
  <c r="AA82" i="70"/>
  <c r="R37" i="70"/>
  <c r="AA37" i="70"/>
  <c r="R122" i="70"/>
  <c r="AA122" i="70"/>
  <c r="R67" i="70"/>
  <c r="AA67" i="70"/>
  <c r="R268" i="70"/>
  <c r="AA268" i="70"/>
  <c r="R18" i="70"/>
  <c r="AA18" i="70"/>
  <c r="AA53" i="70"/>
  <c r="R53" i="70"/>
  <c r="R86" i="70"/>
  <c r="AA86" i="70"/>
  <c r="R140" i="70"/>
  <c r="AA140" i="70"/>
  <c r="R78" i="70"/>
  <c r="AA78" i="70"/>
  <c r="R21" i="70"/>
  <c r="AA21" i="70"/>
  <c r="R72" i="70"/>
  <c r="AA72" i="70"/>
  <c r="R34" i="70"/>
  <c r="AA34" i="70"/>
  <c r="R199" i="70"/>
  <c r="AA199" i="70"/>
  <c r="R68" i="70"/>
  <c r="AA68" i="70"/>
  <c r="R150" i="70"/>
  <c r="AA150" i="70"/>
  <c r="R10" i="70"/>
  <c r="AA10" i="70"/>
  <c r="R282" i="70"/>
  <c r="AA282" i="70"/>
  <c r="R151" i="70"/>
  <c r="AA151" i="70"/>
  <c r="R48" i="70"/>
  <c r="AA48" i="70"/>
  <c r="R196" i="70"/>
  <c r="AA196" i="70"/>
  <c r="R28" i="70"/>
  <c r="AA28" i="70"/>
  <c r="R184" i="70"/>
  <c r="AA184" i="70"/>
  <c r="R201" i="70"/>
  <c r="AA201" i="70"/>
  <c r="R232" i="70"/>
  <c r="AA232" i="70"/>
  <c r="R102" i="70"/>
  <c r="AA102" i="70"/>
  <c r="R210" i="70"/>
  <c r="AA210" i="70"/>
  <c r="R56" i="70"/>
  <c r="AA56" i="70"/>
  <c r="AA278" i="70"/>
  <c r="R278" i="70"/>
  <c r="R174" i="70"/>
  <c r="AA174" i="70"/>
  <c r="AA29" i="70"/>
  <c r="R29" i="70"/>
  <c r="R133" i="70"/>
  <c r="AA133" i="70"/>
  <c r="R261" i="70"/>
  <c r="AA261" i="70"/>
  <c r="R32" i="70"/>
  <c r="AA32" i="70"/>
  <c r="R160" i="70"/>
  <c r="AA160" i="70"/>
  <c r="R288" i="70"/>
  <c r="AA288" i="70"/>
  <c r="R275" i="70"/>
  <c r="AA275" i="70"/>
  <c r="R171" i="70"/>
  <c r="AA171" i="70"/>
  <c r="R179" i="70"/>
  <c r="AA179" i="70"/>
  <c r="R40" i="70"/>
  <c r="AA40" i="70"/>
  <c r="R254" i="70"/>
  <c r="AA254" i="70"/>
  <c r="R177" i="70"/>
  <c r="AA177" i="70"/>
  <c r="R217" i="70"/>
  <c r="AA217" i="70"/>
  <c r="Q6" i="70"/>
  <c r="P4" i="70"/>
  <c r="P2" i="70" s="1"/>
  <c r="R109" i="70"/>
  <c r="AA109" i="70"/>
  <c r="R128" i="70"/>
  <c r="AA128" i="70"/>
  <c r="R85" i="70"/>
  <c r="AA85" i="70"/>
  <c r="R155" i="70"/>
  <c r="AA155" i="70"/>
  <c r="R74" i="70"/>
  <c r="AA74" i="70"/>
  <c r="R66" i="70"/>
  <c r="AA66" i="70"/>
  <c r="R293" i="70"/>
  <c r="AA293" i="70"/>
  <c r="R50" i="70"/>
  <c r="AA50" i="70"/>
  <c r="R132" i="70"/>
  <c r="AA132" i="70"/>
  <c r="R197" i="70"/>
  <c r="AA197" i="70"/>
  <c r="R16" i="70"/>
  <c r="AA16" i="70"/>
  <c r="R220" i="70"/>
  <c r="AA220" i="70"/>
  <c r="R13" i="70"/>
  <c r="AA13" i="70"/>
  <c r="R249" i="70"/>
  <c r="AA249" i="70"/>
  <c r="R15" i="70"/>
  <c r="AA15" i="70"/>
  <c r="R221" i="70"/>
  <c r="AA221" i="70"/>
  <c r="R175" i="70"/>
  <c r="AA175" i="70"/>
  <c r="R87" i="70"/>
  <c r="AA87" i="70"/>
  <c r="R162" i="70"/>
  <c r="AA162" i="70"/>
  <c r="R145" i="70"/>
  <c r="AA145" i="70"/>
  <c r="R194" i="70"/>
  <c r="AA194" i="70"/>
  <c r="R259" i="70"/>
  <c r="AA259" i="70"/>
  <c r="R263" i="70"/>
  <c r="AA263" i="70"/>
  <c r="R31" i="70"/>
  <c r="AA31" i="70"/>
  <c r="R183" i="70"/>
  <c r="AA183" i="70"/>
  <c r="R153" i="70"/>
  <c r="AA153" i="70"/>
  <c r="AA104" i="70"/>
  <c r="R104" i="70"/>
  <c r="R214" i="70"/>
  <c r="AA214" i="70"/>
  <c r="R281" i="70"/>
  <c r="AA281" i="70"/>
  <c r="R266" i="70"/>
  <c r="AA266" i="70"/>
  <c r="R135" i="70"/>
  <c r="AA135" i="70"/>
  <c r="R137" i="70"/>
  <c r="AA137" i="70"/>
  <c r="AA213" i="70"/>
  <c r="R213" i="70"/>
  <c r="R233" i="70"/>
  <c r="AA233" i="70"/>
  <c r="R260" i="70"/>
  <c r="AA260" i="70"/>
  <c r="R113" i="70"/>
  <c r="AA113" i="70"/>
  <c r="R228" i="70"/>
  <c r="AA228" i="70"/>
  <c r="R209" i="70"/>
  <c r="AA209" i="70"/>
  <c r="R103" i="70"/>
  <c r="AA103" i="70"/>
  <c r="R144" i="70"/>
  <c r="AA144" i="70"/>
  <c r="R70" i="70"/>
  <c r="AA70" i="70"/>
  <c r="R54" i="70"/>
  <c r="AA54" i="70"/>
  <c r="R216" i="70"/>
  <c r="AA216" i="70"/>
  <c r="R141" i="70"/>
  <c r="AA141" i="70"/>
  <c r="R158" i="70"/>
  <c r="AA158" i="70"/>
  <c r="R44" i="70"/>
  <c r="AA44" i="70"/>
  <c r="R23" i="70"/>
  <c r="AA23" i="70"/>
  <c r="R258" i="70"/>
  <c r="AA258" i="70"/>
  <c r="R170" i="70"/>
  <c r="AA170" i="70"/>
  <c r="R134" i="70"/>
  <c r="AA134" i="70"/>
  <c r="AA93" i="70"/>
  <c r="R93" i="70"/>
  <c r="R222" i="70"/>
  <c r="AA222" i="70"/>
  <c r="R95" i="70"/>
  <c r="AA95" i="70"/>
  <c r="R154" i="70"/>
  <c r="AA154" i="70"/>
  <c r="R20" i="70"/>
  <c r="AA20" i="70"/>
  <c r="R35" i="70"/>
  <c r="AA35" i="70"/>
  <c r="R181" i="70"/>
  <c r="AA181" i="70"/>
  <c r="R99" i="70"/>
  <c r="AA99" i="70"/>
  <c r="R264" i="70"/>
  <c r="AA264" i="70"/>
  <c r="R279" i="70"/>
  <c r="AA279" i="70"/>
  <c r="R205" i="70"/>
  <c r="AA205" i="70"/>
  <c r="R88" i="70"/>
  <c r="AA88" i="70"/>
  <c r="R189" i="70"/>
  <c r="AA189" i="70"/>
  <c r="R65" i="70"/>
  <c r="AA65" i="70"/>
  <c r="R168" i="70"/>
  <c r="AA168" i="70"/>
  <c r="R206" i="70"/>
  <c r="AA206" i="70"/>
  <c r="R118" i="70"/>
  <c r="AA118" i="70"/>
  <c r="R111" i="70"/>
  <c r="AA111" i="70"/>
  <c r="R231" i="70"/>
  <c r="AA231" i="70"/>
  <c r="R272" i="70"/>
  <c r="AA272" i="70"/>
  <c r="R91" i="70"/>
  <c r="AA91" i="70"/>
  <c r="R292" i="70"/>
  <c r="AA292" i="70"/>
  <c r="R287" i="70"/>
  <c r="AA287" i="70"/>
  <c r="R152" i="70"/>
  <c r="AA152" i="70"/>
  <c r="AA24" i="70"/>
  <c r="R24" i="70"/>
  <c r="R129" i="70"/>
  <c r="AA129" i="70"/>
  <c r="R240" i="70"/>
  <c r="AA240" i="70"/>
  <c r="R212" i="70"/>
  <c r="AA212" i="70"/>
  <c r="R112" i="70"/>
  <c r="AA112" i="70"/>
  <c r="R192" i="70"/>
  <c r="AA192" i="70"/>
  <c r="AA108" i="70"/>
  <c r="R108" i="70"/>
  <c r="R114" i="70"/>
  <c r="AA114" i="70"/>
  <c r="R62" i="70"/>
  <c r="AA62" i="70"/>
  <c r="R273" i="70"/>
  <c r="AA273" i="70"/>
  <c r="R253" i="70"/>
  <c r="AA253" i="70"/>
  <c r="R235" i="70"/>
  <c r="AA235" i="70"/>
  <c r="R271" i="70"/>
  <c r="AA271" i="70"/>
  <c r="R290" i="70"/>
  <c r="AA290" i="70"/>
  <c r="R276" i="70"/>
  <c r="AA276" i="70"/>
  <c r="R203" i="70"/>
  <c r="AA203" i="70"/>
  <c r="R63" i="70"/>
  <c r="AA63" i="70"/>
  <c r="R245" i="70"/>
  <c r="AA245" i="70"/>
  <c r="R83" i="70"/>
  <c r="AA83" i="70"/>
  <c r="R84" i="70"/>
  <c r="AA84" i="70"/>
  <c r="R42" i="70"/>
  <c r="AA42" i="70"/>
  <c r="R52" i="70"/>
  <c r="AA52" i="70"/>
  <c r="R69" i="70"/>
  <c r="AA69" i="70"/>
  <c r="R12" i="70"/>
  <c r="AA12" i="70"/>
  <c r="R289" i="70"/>
  <c r="AA289" i="70"/>
  <c r="R125" i="70"/>
  <c r="AA125" i="70"/>
  <c r="R227" i="70"/>
  <c r="AA227" i="70"/>
  <c r="R215" i="70"/>
  <c r="AA215" i="70"/>
  <c r="R110" i="70"/>
  <c r="AA110" i="70"/>
  <c r="AA96" i="70"/>
  <c r="R96" i="70"/>
  <c r="R243" i="70"/>
  <c r="AA243" i="70"/>
  <c r="R121" i="70"/>
  <c r="AA121" i="70"/>
  <c r="R193" i="70"/>
  <c r="AA193" i="70"/>
  <c r="R256" i="70"/>
  <c r="AA256" i="70"/>
  <c r="R101" i="70"/>
  <c r="AA101" i="70"/>
  <c r="AA148" i="70"/>
  <c r="R148" i="70"/>
  <c r="R38" i="70"/>
  <c r="AA38" i="70"/>
  <c r="R163" i="70"/>
  <c r="AA163" i="70"/>
  <c r="R115" i="70"/>
  <c r="AA115" i="70"/>
  <c r="R250" i="70"/>
  <c r="AA250" i="70"/>
  <c r="R97" i="70"/>
  <c r="AA97" i="70"/>
  <c r="R89" i="70"/>
  <c r="AA89" i="70"/>
  <c r="R186" i="70"/>
  <c r="AA186" i="70"/>
  <c r="R106" i="70"/>
  <c r="AA106" i="70"/>
  <c r="R277" i="70"/>
  <c r="AA277" i="70"/>
  <c r="R294" i="70"/>
  <c r="AA294" i="70"/>
  <c r="R176" i="70"/>
  <c r="AA176" i="70"/>
  <c r="R80" i="70"/>
  <c r="AA80" i="70"/>
  <c r="R178" i="70"/>
  <c r="AA178" i="70"/>
  <c r="R126" i="70"/>
  <c r="AA126" i="70"/>
  <c r="AA280" i="70"/>
  <c r="R280" i="70"/>
  <c r="R202" i="70"/>
  <c r="AA202" i="70"/>
  <c r="R265" i="70"/>
  <c r="AA265" i="70"/>
  <c r="E68" i="66"/>
  <c r="AV68" i="66" s="1"/>
  <c r="P18" i="15"/>
  <c r="P15" i="15"/>
  <c r="P16" i="15"/>
  <c r="P17" i="15"/>
  <c r="I76" i="15"/>
  <c r="O22" i="15"/>
  <c r="J19" i="15"/>
  <c r="P19" i="15"/>
  <c r="Q15" i="60"/>
  <c r="E15" i="60" s="1"/>
  <c r="L18" i="15"/>
  <c r="P155" i="66"/>
  <c r="I13" i="54"/>
  <c r="I296" i="65"/>
  <c r="I7" i="65" s="1"/>
  <c r="AB306" i="56"/>
  <c r="AB296" i="54"/>
  <c r="AV296" i="54" s="1"/>
  <c r="AB295" i="56"/>
  <c r="I7" i="54"/>
  <c r="C113" i="66" s="1"/>
  <c r="E70" i="66"/>
  <c r="AB307" i="65"/>
  <c r="J307" i="56"/>
  <c r="AR307" i="56" s="1"/>
  <c r="I33" i="15"/>
  <c r="G33" i="15"/>
  <c r="E33" i="15"/>
  <c r="M22" i="15"/>
  <c r="K22" i="15"/>
  <c r="I22" i="15"/>
  <c r="G22" i="15"/>
  <c r="E22" i="15"/>
  <c r="L16" i="15"/>
  <c r="J16" i="15"/>
  <c r="N18" i="15"/>
  <c r="H17" i="15"/>
  <c r="H16" i="15"/>
  <c r="N17" i="15"/>
  <c r="N16" i="15"/>
  <c r="J17" i="15"/>
  <c r="H18" i="15"/>
  <c r="J18" i="15"/>
  <c r="L17" i="15"/>
  <c r="AC61" i="66"/>
  <c r="AW61" i="66"/>
  <c r="P61" i="66"/>
  <c r="AB61" i="66"/>
  <c r="AV61" i="66"/>
  <c r="AM58" i="66"/>
  <c r="AL58" i="66"/>
  <c r="AM59" i="66"/>
  <c r="AL59" i="66"/>
  <c r="AM56" i="66"/>
  <c r="AL56" i="66"/>
  <c r="AM57" i="66"/>
  <c r="AL57" i="66"/>
  <c r="AM60" i="66"/>
  <c r="AL60" i="66"/>
  <c r="E21" i="15"/>
  <c r="N15" i="15"/>
  <c r="H14" i="15"/>
  <c r="H15" i="15"/>
  <c r="L15" i="15"/>
  <c r="L19" i="15"/>
  <c r="N19" i="15"/>
  <c r="I21" i="15"/>
  <c r="J14" i="15"/>
  <c r="E39" i="15"/>
  <c r="J15" i="15"/>
  <c r="M30" i="15"/>
  <c r="I30" i="15"/>
  <c r="K30" i="15"/>
  <c r="G30" i="15"/>
  <c r="E30" i="15"/>
  <c r="P18" i="60"/>
  <c r="D18" i="60" s="1"/>
  <c r="P22" i="60"/>
  <c r="D22" i="60" s="1"/>
  <c r="R22" i="60"/>
  <c r="F22" i="60" s="1"/>
  <c r="R18" i="60"/>
  <c r="F18" i="60" s="1"/>
  <c r="AW96" i="66"/>
  <c r="AC96" i="66"/>
  <c r="Q96" i="66"/>
  <c r="AM96" i="66" s="1"/>
  <c r="AV71" i="66"/>
  <c r="AB71" i="66"/>
  <c r="P71" i="66"/>
  <c r="AB69" i="66"/>
  <c r="AV69" i="66"/>
  <c r="P69" i="66"/>
  <c r="AD284" i="51"/>
  <c r="AB307" i="57"/>
  <c r="I314" i="68"/>
  <c r="AC295" i="51"/>
  <c r="AC285" i="56"/>
  <c r="AD274" i="51"/>
  <c r="AC295" i="56"/>
  <c r="AC285" i="51"/>
  <c r="AC306" i="56"/>
  <c r="I303" i="68"/>
  <c r="AC306" i="51"/>
  <c r="J175" i="68" l="1"/>
  <c r="J156" i="68"/>
  <c r="J155" i="68"/>
  <c r="J169" i="68"/>
  <c r="J161" i="68"/>
  <c r="J136" i="68"/>
  <c r="J170" i="68"/>
  <c r="J164" i="68"/>
  <c r="J167" i="68"/>
  <c r="J160" i="68"/>
  <c r="J163" i="68"/>
  <c r="J147" i="68"/>
  <c r="J129" i="68"/>
  <c r="J134" i="68"/>
  <c r="E7" i="66"/>
  <c r="P7" i="66" s="1"/>
  <c r="I74" i="68"/>
  <c r="AB6" i="66"/>
  <c r="P6" i="66"/>
  <c r="AL6" i="66" s="1"/>
  <c r="C104" i="66"/>
  <c r="C32" i="15"/>
  <c r="C35" i="15" s="1"/>
  <c r="C42" i="15"/>
  <c r="AB296" i="57"/>
  <c r="AC71" i="66"/>
  <c r="AW71" i="66"/>
  <c r="F138" i="66"/>
  <c r="Q138" i="66" s="1"/>
  <c r="AW69" i="66"/>
  <c r="AC69" i="66"/>
  <c r="F144" i="66"/>
  <c r="Q144" i="66" s="1"/>
  <c r="F139" i="66"/>
  <c r="Q139" i="66" s="1"/>
  <c r="AC178" i="65"/>
  <c r="J178" i="56"/>
  <c r="J255" i="56"/>
  <c r="AC255" i="65"/>
  <c r="J108" i="56"/>
  <c r="AC108" i="65"/>
  <c r="J146" i="68"/>
  <c r="AC139" i="57"/>
  <c r="AC206" i="65"/>
  <c r="J206" i="56"/>
  <c r="AC239" i="65"/>
  <c r="J239" i="56"/>
  <c r="AC28" i="65"/>
  <c r="J28" i="56"/>
  <c r="AC265" i="65"/>
  <c r="J265" i="56"/>
  <c r="J149" i="68"/>
  <c r="AC142" i="57"/>
  <c r="AC226" i="65"/>
  <c r="J226" i="56"/>
  <c r="AC118" i="65"/>
  <c r="J118" i="56"/>
  <c r="AC42" i="57"/>
  <c r="J49" i="68"/>
  <c r="AC108" i="57"/>
  <c r="J288" i="68"/>
  <c r="AC281" i="57"/>
  <c r="J139" i="56"/>
  <c r="AC139" i="65"/>
  <c r="J89" i="56"/>
  <c r="AC89" i="65"/>
  <c r="J255" i="68"/>
  <c r="AC248" i="57"/>
  <c r="J69" i="56"/>
  <c r="AC69" i="65"/>
  <c r="AC158" i="65"/>
  <c r="J158" i="56"/>
  <c r="AC233" i="57"/>
  <c r="J240" i="68"/>
  <c r="AC61" i="57"/>
  <c r="J68" i="68"/>
  <c r="AC142" i="65"/>
  <c r="J142" i="56"/>
  <c r="AC216" i="65"/>
  <c r="J216" i="56"/>
  <c r="AC66" i="57"/>
  <c r="J73" i="68"/>
  <c r="J42" i="56"/>
  <c r="AC42" i="65"/>
  <c r="AC123" i="57"/>
  <c r="J152" i="68"/>
  <c r="AC145" i="57"/>
  <c r="AC290" i="65"/>
  <c r="J290" i="56"/>
  <c r="J170" i="56"/>
  <c r="AC170" i="65"/>
  <c r="F19" i="66"/>
  <c r="Q19" i="66" s="1"/>
  <c r="J213" i="68"/>
  <c r="AC206" i="57"/>
  <c r="J96" i="68"/>
  <c r="AC89" i="57"/>
  <c r="J246" i="68"/>
  <c r="AC239" i="57"/>
  <c r="AC248" i="65"/>
  <c r="J248" i="56"/>
  <c r="J58" i="56"/>
  <c r="AC58" i="65"/>
  <c r="F21" i="66"/>
  <c r="AC99" i="65"/>
  <c r="J99" i="56"/>
  <c r="AC61" i="65"/>
  <c r="J61" i="56"/>
  <c r="F22" i="66"/>
  <c r="Q22" i="66" s="1"/>
  <c r="AC270" i="65"/>
  <c r="J270" i="56"/>
  <c r="AC66" i="65"/>
  <c r="J66" i="56"/>
  <c r="J233" i="68"/>
  <c r="AC226" i="57"/>
  <c r="J125" i="68"/>
  <c r="AC118" i="57"/>
  <c r="J123" i="56"/>
  <c r="AC123" i="65"/>
  <c r="AC145" i="65"/>
  <c r="J145" i="56"/>
  <c r="AC58" i="57"/>
  <c r="J65" i="68"/>
  <c r="AC69" i="57"/>
  <c r="J76" i="68"/>
  <c r="J190" i="68"/>
  <c r="AC183" i="57"/>
  <c r="AC209" i="65"/>
  <c r="J209" i="56"/>
  <c r="J100" i="68"/>
  <c r="AC93" i="57"/>
  <c r="AC173" i="57"/>
  <c r="J180" i="68"/>
  <c r="F143" i="66"/>
  <c r="Q143" i="66" s="1"/>
  <c r="J223" i="68"/>
  <c r="AC216" i="57"/>
  <c r="AC270" i="57"/>
  <c r="J277" i="68"/>
  <c r="AC73" i="65"/>
  <c r="J73" i="56"/>
  <c r="AC260" i="65"/>
  <c r="J260" i="56"/>
  <c r="AC192" i="57"/>
  <c r="J199" i="68"/>
  <c r="AC235" i="57"/>
  <c r="J242" i="68"/>
  <c r="J191" i="56"/>
  <c r="AC191" i="65"/>
  <c r="J184" i="68"/>
  <c r="AC177" i="57"/>
  <c r="F142" i="66"/>
  <c r="Q142" i="66" s="1"/>
  <c r="AC99" i="57"/>
  <c r="J106" i="68"/>
  <c r="J183" i="56"/>
  <c r="AC183" i="65"/>
  <c r="AC209" i="57"/>
  <c r="J216" i="68"/>
  <c r="AC173" i="65"/>
  <c r="J173" i="56"/>
  <c r="AC186" i="57"/>
  <c r="J193" i="68"/>
  <c r="AC66" i="66"/>
  <c r="AW66" i="66"/>
  <c r="Q66" i="66"/>
  <c r="AM66" i="66" s="1"/>
  <c r="F73" i="66"/>
  <c r="Q73" i="66" s="1"/>
  <c r="AW7" i="54"/>
  <c r="AW6" i="54" s="1"/>
  <c r="AC299" i="65"/>
  <c r="J299" i="56"/>
  <c r="AC56" i="57"/>
  <c r="J63" i="68"/>
  <c r="AC221" i="57"/>
  <c r="J228" i="68"/>
  <c r="AC31" i="65"/>
  <c r="J31" i="56"/>
  <c r="AW67" i="66"/>
  <c r="AC67" i="66"/>
  <c r="Q67" i="66"/>
  <c r="AM67" i="66" s="1"/>
  <c r="J194" i="68"/>
  <c r="AC187" i="57"/>
  <c r="J237" i="56"/>
  <c r="AC237" i="65"/>
  <c r="J198" i="68"/>
  <c r="AC191" i="57"/>
  <c r="AC177" i="65"/>
  <c r="J177" i="56"/>
  <c r="AC114" i="65"/>
  <c r="J114" i="56"/>
  <c r="Q72" i="66"/>
  <c r="AM72" i="66" s="1"/>
  <c r="AC72" i="66"/>
  <c r="AW72" i="66"/>
  <c r="J93" i="56"/>
  <c r="AC93" i="65"/>
  <c r="J28" i="68"/>
  <c r="AC21" i="57"/>
  <c r="J264" i="68"/>
  <c r="AC257" i="57"/>
  <c r="J306" i="68"/>
  <c r="AC299" i="57"/>
  <c r="AC238" i="57"/>
  <c r="J245" i="68"/>
  <c r="AC290" i="57"/>
  <c r="J297" i="68"/>
  <c r="AC260" i="57"/>
  <c r="J267" i="68"/>
  <c r="AC64" i="57"/>
  <c r="J71" i="68"/>
  <c r="F6" i="66"/>
  <c r="AC255" i="57"/>
  <c r="J262" i="68"/>
  <c r="F140" i="66"/>
  <c r="AC192" i="65"/>
  <c r="J192" i="56"/>
  <c r="AC235" i="65"/>
  <c r="J235" i="56"/>
  <c r="J244" i="68"/>
  <c r="AC237" i="57"/>
  <c r="J121" i="68"/>
  <c r="AC114" i="57"/>
  <c r="AC23" i="57"/>
  <c r="J30" i="68"/>
  <c r="F11" i="66"/>
  <c r="AC186" i="65"/>
  <c r="J186" i="56"/>
  <c r="J31" i="68"/>
  <c r="AC24" i="57"/>
  <c r="F5" i="66"/>
  <c r="AC150" i="65"/>
  <c r="J150" i="56"/>
  <c r="AC164" i="57"/>
  <c r="J171" i="68"/>
  <c r="AC21" i="65"/>
  <c r="J21" i="56"/>
  <c r="J13" i="65"/>
  <c r="AC13" i="65" s="1"/>
  <c r="F20" i="66"/>
  <c r="Q20" i="66" s="1"/>
  <c r="J7" i="65"/>
  <c r="AC257" i="65"/>
  <c r="J257" i="56"/>
  <c r="AC238" i="65"/>
  <c r="J238" i="56"/>
  <c r="AC56" i="65"/>
  <c r="J56" i="56"/>
  <c r="J221" i="56"/>
  <c r="AC221" i="65"/>
  <c r="AC31" i="57"/>
  <c r="J38" i="68"/>
  <c r="AC73" i="57"/>
  <c r="J80" i="68"/>
  <c r="AC187" i="65"/>
  <c r="J187" i="56"/>
  <c r="J177" i="68"/>
  <c r="AC170" i="57"/>
  <c r="F7" i="66"/>
  <c r="AC7" i="66" s="1"/>
  <c r="AC64" i="65"/>
  <c r="J64" i="56"/>
  <c r="F18" i="66"/>
  <c r="J185" i="68"/>
  <c r="AC178" i="57"/>
  <c r="AC281" i="65"/>
  <c r="J281" i="56"/>
  <c r="AC23" i="65"/>
  <c r="J23" i="56"/>
  <c r="F23" i="66"/>
  <c r="AC28" i="57"/>
  <c r="J35" i="68"/>
  <c r="J272" i="68"/>
  <c r="AC265" i="57"/>
  <c r="J165" i="68"/>
  <c r="AC158" i="57"/>
  <c r="AC233" i="65"/>
  <c r="J233" i="56"/>
  <c r="AC24" i="65"/>
  <c r="J24" i="56"/>
  <c r="F17" i="66"/>
  <c r="AC150" i="57"/>
  <c r="J157" i="68"/>
  <c r="AC164" i="65"/>
  <c r="J164" i="56"/>
  <c r="BH7" i="54"/>
  <c r="F141" i="66"/>
  <c r="Q141" i="66" s="1"/>
  <c r="BG7" i="54"/>
  <c r="E140" i="66"/>
  <c r="AB296" i="65"/>
  <c r="E19" i="66"/>
  <c r="P20" i="66"/>
  <c r="AB20" i="66"/>
  <c r="P22" i="66"/>
  <c r="AB22" i="66"/>
  <c r="AC68" i="66"/>
  <c r="E73" i="66"/>
  <c r="AB73" i="66" s="1"/>
  <c r="AW68" i="66"/>
  <c r="P68" i="66"/>
  <c r="AL68" i="66" s="1"/>
  <c r="AB68" i="66"/>
  <c r="AB202" i="70"/>
  <c r="S202" i="70"/>
  <c r="AB80" i="70"/>
  <c r="S80" i="70"/>
  <c r="S106" i="70"/>
  <c r="AB106" i="70"/>
  <c r="AB250" i="70"/>
  <c r="S250" i="70"/>
  <c r="AB121" i="70"/>
  <c r="S121" i="70"/>
  <c r="AB215" i="70"/>
  <c r="S215" i="70"/>
  <c r="AB12" i="70"/>
  <c r="S12" i="70"/>
  <c r="AB84" i="70"/>
  <c r="S84" i="70"/>
  <c r="AB203" i="70"/>
  <c r="S203" i="70"/>
  <c r="AB235" i="70"/>
  <c r="S235" i="70"/>
  <c r="AB114" i="70"/>
  <c r="S114" i="70"/>
  <c r="S212" i="70"/>
  <c r="AB212" i="70"/>
  <c r="AB152" i="70"/>
  <c r="S152" i="70"/>
  <c r="AB272" i="70"/>
  <c r="S272" i="70"/>
  <c r="AB206" i="70"/>
  <c r="S206" i="70"/>
  <c r="AB88" i="70"/>
  <c r="S88" i="70"/>
  <c r="S99" i="70"/>
  <c r="AB99" i="70"/>
  <c r="S154" i="70"/>
  <c r="AB154" i="70"/>
  <c r="AB134" i="70"/>
  <c r="S134" i="70"/>
  <c r="S44" i="70"/>
  <c r="AB44" i="70"/>
  <c r="AB54" i="70"/>
  <c r="S54" i="70"/>
  <c r="S209" i="70"/>
  <c r="AB209" i="70"/>
  <c r="S233" i="70"/>
  <c r="AB233" i="70"/>
  <c r="S266" i="70"/>
  <c r="AB266" i="70"/>
  <c r="AB153" i="70"/>
  <c r="S153" i="70"/>
  <c r="AB259" i="70"/>
  <c r="S259" i="70"/>
  <c r="S87" i="70"/>
  <c r="AB87" i="70"/>
  <c r="AB249" i="70"/>
  <c r="S249" i="70"/>
  <c r="AB197" i="70"/>
  <c r="S197" i="70"/>
  <c r="AB66" i="70"/>
  <c r="S66" i="70"/>
  <c r="S128" i="70"/>
  <c r="AB128" i="70"/>
  <c r="S123" i="70"/>
  <c r="AB123" i="70"/>
  <c r="S280" i="70"/>
  <c r="AB280" i="70"/>
  <c r="AB108" i="70"/>
  <c r="S108" i="70"/>
  <c r="AB213" i="70"/>
  <c r="S213" i="70"/>
  <c r="AB177" i="70"/>
  <c r="S177" i="70"/>
  <c r="S171" i="70"/>
  <c r="AB171" i="70"/>
  <c r="AB32" i="70"/>
  <c r="S32" i="70"/>
  <c r="AB174" i="70"/>
  <c r="S174" i="70"/>
  <c r="S102" i="70"/>
  <c r="AB102" i="70"/>
  <c r="AB28" i="70"/>
  <c r="S28" i="70"/>
  <c r="S282" i="70"/>
  <c r="AB282" i="70"/>
  <c r="AB199" i="70"/>
  <c r="S199" i="70"/>
  <c r="AB78" i="70"/>
  <c r="S78" i="70"/>
  <c r="AB18" i="70"/>
  <c r="S18" i="70"/>
  <c r="AB37" i="70"/>
  <c r="S37" i="70"/>
  <c r="S226" i="70"/>
  <c r="AB226" i="70"/>
  <c r="AB166" i="70"/>
  <c r="S166" i="70"/>
  <c r="AB159" i="70"/>
  <c r="S159" i="70"/>
  <c r="AB164" i="70"/>
  <c r="S164" i="70"/>
  <c r="S225" i="70"/>
  <c r="AB225" i="70"/>
  <c r="AB239" i="70"/>
  <c r="S239" i="70"/>
  <c r="S262" i="70"/>
  <c r="AB262" i="70"/>
  <c r="AB190" i="70"/>
  <c r="S190" i="70"/>
  <c r="AB191" i="70"/>
  <c r="S191" i="70"/>
  <c r="AB146" i="70"/>
  <c r="S146" i="70"/>
  <c r="AB157" i="70"/>
  <c r="S157" i="70"/>
  <c r="AB7" i="70"/>
  <c r="S7" i="70"/>
  <c r="AB79" i="70"/>
  <c r="S79" i="70"/>
  <c r="AB43" i="70"/>
  <c r="S43" i="70"/>
  <c r="AB147" i="70"/>
  <c r="S147" i="70"/>
  <c r="AB269" i="70"/>
  <c r="S269" i="70"/>
  <c r="S283" i="70"/>
  <c r="AB283" i="70"/>
  <c r="S223" i="70"/>
  <c r="AB223" i="70"/>
  <c r="AB107" i="70"/>
  <c r="S107" i="70"/>
  <c r="AB8" i="70"/>
  <c r="S8" i="70"/>
  <c r="AB149" i="70"/>
  <c r="S149" i="70"/>
  <c r="S22" i="70"/>
  <c r="AB22" i="70"/>
  <c r="AB298" i="70"/>
  <c r="S298" i="70"/>
  <c r="AB92" i="70"/>
  <c r="S92" i="70"/>
  <c r="AB285" i="70"/>
  <c r="S285" i="70"/>
  <c r="AB49" i="70"/>
  <c r="S49" i="70"/>
  <c r="AB19" i="70"/>
  <c r="S19" i="70"/>
  <c r="AB51" i="70"/>
  <c r="S51" i="70"/>
  <c r="AB242" i="70"/>
  <c r="S242" i="70"/>
  <c r="S176" i="70"/>
  <c r="AB176" i="70"/>
  <c r="AB186" i="70"/>
  <c r="S186" i="70"/>
  <c r="S115" i="70"/>
  <c r="AB115" i="70"/>
  <c r="AB101" i="70"/>
  <c r="S101" i="70"/>
  <c r="S243" i="70"/>
  <c r="AB243" i="70"/>
  <c r="AB227" i="70"/>
  <c r="S227" i="70"/>
  <c r="S69" i="70"/>
  <c r="AB69" i="70"/>
  <c r="AB83" i="70"/>
  <c r="S83" i="70"/>
  <c r="AB276" i="70"/>
  <c r="S276" i="70"/>
  <c r="AB253" i="70"/>
  <c r="S253" i="70"/>
  <c r="AB240" i="70"/>
  <c r="S240" i="70"/>
  <c r="S287" i="70"/>
  <c r="AB287" i="70"/>
  <c r="S231" i="70"/>
  <c r="AB231" i="70"/>
  <c r="AB168" i="70"/>
  <c r="S168" i="70"/>
  <c r="S205" i="70"/>
  <c r="AB205" i="70"/>
  <c r="AB181" i="70"/>
  <c r="S181" i="70"/>
  <c r="S95" i="70"/>
  <c r="AB95" i="70"/>
  <c r="S170" i="70"/>
  <c r="AB170" i="70"/>
  <c r="S158" i="70"/>
  <c r="AB158" i="70"/>
  <c r="AB70" i="70"/>
  <c r="S70" i="70"/>
  <c r="AB228" i="70"/>
  <c r="S228" i="70"/>
  <c r="AB281" i="70"/>
  <c r="S281" i="70"/>
  <c r="AB183" i="70"/>
  <c r="S183" i="70"/>
  <c r="S194" i="70"/>
  <c r="AB194" i="70"/>
  <c r="AB175" i="70"/>
  <c r="S175" i="70"/>
  <c r="S13" i="70"/>
  <c r="AB13" i="70"/>
  <c r="AB132" i="70"/>
  <c r="S132" i="70"/>
  <c r="AB74" i="70"/>
  <c r="S74" i="70"/>
  <c r="AB109" i="70"/>
  <c r="S109" i="70"/>
  <c r="S278" i="70"/>
  <c r="AB278" i="70"/>
  <c r="AB139" i="70"/>
  <c r="S139" i="70"/>
  <c r="S96" i="70"/>
  <c r="AB96" i="70"/>
  <c r="AB254" i="70"/>
  <c r="S254" i="70"/>
  <c r="AB275" i="70"/>
  <c r="S275" i="70"/>
  <c r="S261" i="70"/>
  <c r="AB261" i="70"/>
  <c r="S232" i="70"/>
  <c r="AB232" i="70"/>
  <c r="AB196" i="70"/>
  <c r="S196" i="70"/>
  <c r="S10" i="70"/>
  <c r="AB10" i="70"/>
  <c r="S34" i="70"/>
  <c r="AB34" i="70"/>
  <c r="AB140" i="70"/>
  <c r="S140" i="70"/>
  <c r="AB268" i="70"/>
  <c r="S268" i="70"/>
  <c r="AB82" i="70"/>
  <c r="S82" i="70"/>
  <c r="AB77" i="70"/>
  <c r="S77" i="70"/>
  <c r="AB39" i="70"/>
  <c r="S39" i="70"/>
  <c r="AB234" i="70"/>
  <c r="S234" i="70"/>
  <c r="AB98" i="70"/>
  <c r="S98" i="70"/>
  <c r="AB81" i="70"/>
  <c r="S81" i="70"/>
  <c r="AB46" i="70"/>
  <c r="S46" i="70"/>
  <c r="S138" i="70"/>
  <c r="AB138" i="70"/>
  <c r="S94" i="70"/>
  <c r="AB94" i="70"/>
  <c r="AB246" i="70"/>
  <c r="S246" i="70"/>
  <c r="S47" i="70"/>
  <c r="AB47" i="70"/>
  <c r="S198" i="70"/>
  <c r="AB198" i="70"/>
  <c r="AB27" i="70"/>
  <c r="S27" i="70"/>
  <c r="S182" i="70"/>
  <c r="AB182" i="70"/>
  <c r="S119" i="70"/>
  <c r="AB119" i="70"/>
  <c r="AB17" i="70"/>
  <c r="S17" i="70"/>
  <c r="AB296" i="70"/>
  <c r="S296" i="70"/>
  <c r="AB25" i="70"/>
  <c r="S25" i="70"/>
  <c r="S236" i="70"/>
  <c r="AB236" i="70"/>
  <c r="S131" i="70"/>
  <c r="AB131" i="70"/>
  <c r="AB124" i="70"/>
  <c r="S124" i="70"/>
  <c r="AB116" i="70"/>
  <c r="S116" i="70"/>
  <c r="AB58" i="70"/>
  <c r="S58" i="70"/>
  <c r="AB59" i="70"/>
  <c r="S59" i="70"/>
  <c r="AB219" i="70"/>
  <c r="S219" i="70"/>
  <c r="AB100" i="70"/>
  <c r="S100" i="70"/>
  <c r="AB295" i="70"/>
  <c r="S295" i="70"/>
  <c r="AB248" i="70"/>
  <c r="S248" i="70"/>
  <c r="AB11" i="70"/>
  <c r="S11" i="70"/>
  <c r="AB230" i="70"/>
  <c r="S230" i="70"/>
  <c r="AB126" i="70"/>
  <c r="S126" i="70"/>
  <c r="S294" i="70"/>
  <c r="AB294" i="70"/>
  <c r="AB89" i="70"/>
  <c r="S89" i="70"/>
  <c r="AB163" i="70"/>
  <c r="S163" i="70"/>
  <c r="AB256" i="70"/>
  <c r="S256" i="70"/>
  <c r="AB125" i="70"/>
  <c r="S125" i="70"/>
  <c r="S52" i="70"/>
  <c r="AB52" i="70"/>
  <c r="S245" i="70"/>
  <c r="AB245" i="70"/>
  <c r="AB290" i="70"/>
  <c r="S290" i="70"/>
  <c r="AB273" i="70"/>
  <c r="S273" i="70"/>
  <c r="AB192" i="70"/>
  <c r="S192" i="70"/>
  <c r="AB129" i="70"/>
  <c r="S129" i="70"/>
  <c r="AB292" i="70"/>
  <c r="S292" i="70"/>
  <c r="AB111" i="70"/>
  <c r="S111" i="70"/>
  <c r="AB65" i="70"/>
  <c r="S65" i="70"/>
  <c r="S279" i="70"/>
  <c r="AB279" i="70"/>
  <c r="S35" i="70"/>
  <c r="AB35" i="70"/>
  <c r="AB222" i="70"/>
  <c r="S222" i="70"/>
  <c r="AB258" i="70"/>
  <c r="S258" i="70"/>
  <c r="S141" i="70"/>
  <c r="AB141" i="70"/>
  <c r="S144" i="70"/>
  <c r="AB144" i="70"/>
  <c r="AB113" i="70"/>
  <c r="S113" i="70"/>
  <c r="AB137" i="70"/>
  <c r="S137" i="70"/>
  <c r="S214" i="70"/>
  <c r="AB214" i="70"/>
  <c r="S31" i="70"/>
  <c r="AB31" i="70"/>
  <c r="AB145" i="70"/>
  <c r="S145" i="70"/>
  <c r="AB221" i="70"/>
  <c r="S221" i="70"/>
  <c r="AB220" i="70"/>
  <c r="S220" i="70"/>
  <c r="S50" i="70"/>
  <c r="AB50" i="70"/>
  <c r="AB155" i="70"/>
  <c r="S155" i="70"/>
  <c r="S30" i="70"/>
  <c r="AB30" i="70"/>
  <c r="S64" i="70"/>
  <c r="AB64" i="70"/>
  <c r="S173" i="70"/>
  <c r="AB173" i="70"/>
  <c r="AB237" i="70"/>
  <c r="S237" i="70"/>
  <c r="AB24" i="70"/>
  <c r="S24" i="70"/>
  <c r="S93" i="70"/>
  <c r="AB93" i="70"/>
  <c r="AB104" i="70"/>
  <c r="S104" i="70"/>
  <c r="R6" i="70"/>
  <c r="AA6" i="70"/>
  <c r="Q4" i="70"/>
  <c r="Q2" i="70" s="1"/>
  <c r="S40" i="70"/>
  <c r="AB40" i="70"/>
  <c r="AB288" i="70"/>
  <c r="S288" i="70"/>
  <c r="S133" i="70"/>
  <c r="AB133" i="70"/>
  <c r="AB56" i="70"/>
  <c r="S56" i="70"/>
  <c r="S201" i="70"/>
  <c r="AB201" i="70"/>
  <c r="AB48" i="70"/>
  <c r="S48" i="70"/>
  <c r="AB150" i="70"/>
  <c r="S150" i="70"/>
  <c r="AB72" i="70"/>
  <c r="S72" i="70"/>
  <c r="S86" i="70"/>
  <c r="AB86" i="70"/>
  <c r="S67" i="70"/>
  <c r="AB67" i="70"/>
  <c r="S26" i="70"/>
  <c r="AB26" i="70"/>
  <c r="S117" i="70"/>
  <c r="AB117" i="70"/>
  <c r="AB156" i="70"/>
  <c r="S156" i="70"/>
  <c r="AB9" i="70"/>
  <c r="S9" i="70"/>
  <c r="AB291" i="70"/>
  <c r="S291" i="70"/>
  <c r="AB142" i="70"/>
  <c r="S142" i="70"/>
  <c r="AB229" i="70"/>
  <c r="S229" i="70"/>
  <c r="S76" i="70"/>
  <c r="AB76" i="70"/>
  <c r="S45" i="70"/>
  <c r="AB45" i="70"/>
  <c r="AB136" i="70"/>
  <c r="S136" i="70"/>
  <c r="AB90" i="70"/>
  <c r="S90" i="70"/>
  <c r="AB120" i="70"/>
  <c r="S120" i="70"/>
  <c r="AB208" i="70"/>
  <c r="S208" i="70"/>
  <c r="S286" i="70"/>
  <c r="AB286" i="70"/>
  <c r="AB55" i="70"/>
  <c r="S55" i="70"/>
  <c r="AB57" i="70"/>
  <c r="S57" i="70"/>
  <c r="AB61" i="70"/>
  <c r="S61" i="70"/>
  <c r="S204" i="70"/>
  <c r="AB204" i="70"/>
  <c r="AB172" i="70"/>
  <c r="S172" i="70"/>
  <c r="AB267" i="70"/>
  <c r="S267" i="70"/>
  <c r="AB224" i="70"/>
  <c r="S224" i="70"/>
  <c r="AB238" i="70"/>
  <c r="S238" i="70"/>
  <c r="S247" i="70"/>
  <c r="AB247" i="70"/>
  <c r="AB284" i="70"/>
  <c r="S284" i="70"/>
  <c r="AB127" i="70"/>
  <c r="S127" i="70"/>
  <c r="AB130" i="70"/>
  <c r="S130" i="70"/>
  <c r="AB244" i="70"/>
  <c r="S244" i="70"/>
  <c r="AB265" i="70"/>
  <c r="S265" i="70"/>
  <c r="AB178" i="70"/>
  <c r="S178" i="70"/>
  <c r="AB277" i="70"/>
  <c r="S277" i="70"/>
  <c r="S97" i="70"/>
  <c r="AB97" i="70"/>
  <c r="AB38" i="70"/>
  <c r="S38" i="70"/>
  <c r="AB193" i="70"/>
  <c r="S193" i="70"/>
  <c r="S110" i="70"/>
  <c r="AB110" i="70"/>
  <c r="AB289" i="70"/>
  <c r="S289" i="70"/>
  <c r="AB42" i="70"/>
  <c r="S42" i="70"/>
  <c r="AB63" i="70"/>
  <c r="S63" i="70"/>
  <c r="S271" i="70"/>
  <c r="AB271" i="70"/>
  <c r="AB62" i="70"/>
  <c r="S62" i="70"/>
  <c r="AB112" i="70"/>
  <c r="S112" i="70"/>
  <c r="AB91" i="70"/>
  <c r="S91" i="70"/>
  <c r="S118" i="70"/>
  <c r="AB118" i="70"/>
  <c r="AB189" i="70"/>
  <c r="S189" i="70"/>
  <c r="AB264" i="70"/>
  <c r="S264" i="70"/>
  <c r="AB20" i="70"/>
  <c r="S20" i="70"/>
  <c r="S23" i="70"/>
  <c r="AB23" i="70"/>
  <c r="S216" i="70"/>
  <c r="AB216" i="70"/>
  <c r="AB103" i="70"/>
  <c r="S103" i="70"/>
  <c r="S260" i="70"/>
  <c r="AB260" i="70"/>
  <c r="AB135" i="70"/>
  <c r="S135" i="70"/>
  <c r="AB263" i="70"/>
  <c r="S263" i="70"/>
  <c r="AB162" i="70"/>
  <c r="S162" i="70"/>
  <c r="AB15" i="70"/>
  <c r="S15" i="70"/>
  <c r="AB16" i="70"/>
  <c r="S16" i="70"/>
  <c r="AB293" i="70"/>
  <c r="S293" i="70"/>
  <c r="AB85" i="70"/>
  <c r="S85" i="70"/>
  <c r="AB29" i="70"/>
  <c r="S29" i="70"/>
  <c r="AB53" i="70"/>
  <c r="S53" i="70"/>
  <c r="S148" i="70"/>
  <c r="AB148" i="70"/>
  <c r="AB217" i="70"/>
  <c r="S217" i="70"/>
  <c r="AB179" i="70"/>
  <c r="S179" i="70"/>
  <c r="AB160" i="70"/>
  <c r="S160" i="70"/>
  <c r="AB210" i="70"/>
  <c r="S210" i="70"/>
  <c r="AB184" i="70"/>
  <c r="S184" i="70"/>
  <c r="AB151" i="70"/>
  <c r="S151" i="70"/>
  <c r="AB68" i="70"/>
  <c r="S68" i="70"/>
  <c r="S21" i="70"/>
  <c r="AB21" i="70"/>
  <c r="AB122" i="70"/>
  <c r="S122" i="70"/>
  <c r="S41" i="70"/>
  <c r="AB41" i="70"/>
  <c r="AB187" i="70"/>
  <c r="S187" i="70"/>
  <c r="AB185" i="70"/>
  <c r="S185" i="70"/>
  <c r="S180" i="70"/>
  <c r="AB180" i="70"/>
  <c r="S36" i="70"/>
  <c r="AB36" i="70"/>
  <c r="AB274" i="70"/>
  <c r="S274" i="70"/>
  <c r="AB297" i="70"/>
  <c r="S297" i="70"/>
  <c r="AB241" i="70"/>
  <c r="S241" i="70"/>
  <c r="AB207" i="70"/>
  <c r="S207" i="70"/>
  <c r="AB167" i="70"/>
  <c r="S167" i="70"/>
  <c r="AB251" i="70"/>
  <c r="S251" i="70"/>
  <c r="AB143" i="70"/>
  <c r="S143" i="70"/>
  <c r="AB33" i="70"/>
  <c r="S33" i="70"/>
  <c r="AB270" i="70"/>
  <c r="S270" i="70"/>
  <c r="AB200" i="70"/>
  <c r="S200" i="70"/>
  <c r="AB75" i="70"/>
  <c r="S75" i="70"/>
  <c r="AB218" i="70"/>
  <c r="S218" i="70"/>
  <c r="S73" i="70"/>
  <c r="AB73" i="70"/>
  <c r="S195" i="70"/>
  <c r="AB195" i="70"/>
  <c r="AB161" i="70"/>
  <c r="S161" i="70"/>
  <c r="AB14" i="70"/>
  <c r="S14" i="70"/>
  <c r="AB188" i="70"/>
  <c r="S188" i="70"/>
  <c r="AB169" i="70"/>
  <c r="S169" i="70"/>
  <c r="AB252" i="70"/>
  <c r="S252" i="70"/>
  <c r="S165" i="70"/>
  <c r="AB165" i="70"/>
  <c r="S211" i="70"/>
  <c r="AB211" i="70"/>
  <c r="AB60" i="70"/>
  <c r="S60" i="70"/>
  <c r="AB255" i="70"/>
  <c r="S255" i="70"/>
  <c r="AB71" i="70"/>
  <c r="S71" i="70"/>
  <c r="AB105" i="70"/>
  <c r="S105" i="70"/>
  <c r="AB257" i="70"/>
  <c r="S257" i="70"/>
  <c r="G21" i="15"/>
  <c r="G24" i="15" s="1"/>
  <c r="H19" i="15"/>
  <c r="P141" i="66"/>
  <c r="P143" i="66"/>
  <c r="Q18" i="60"/>
  <c r="E18" i="60" s="1"/>
  <c r="Q22" i="60"/>
  <c r="E22" i="60" s="1"/>
  <c r="E75" i="15" s="1"/>
  <c r="AV7" i="54"/>
  <c r="AV6" i="54" s="1"/>
  <c r="AB13" i="54"/>
  <c r="I13" i="65"/>
  <c r="AB13" i="65" s="1"/>
  <c r="J11" i="54"/>
  <c r="I11" i="54"/>
  <c r="AB307" i="56"/>
  <c r="AB70" i="66"/>
  <c r="AV70" i="66"/>
  <c r="AW70" i="66"/>
  <c r="P70" i="66"/>
  <c r="AC70" i="66"/>
  <c r="J33" i="15"/>
  <c r="H33" i="15"/>
  <c r="AM61" i="66"/>
  <c r="AL61" i="66"/>
  <c r="E24" i="15"/>
  <c r="E29" i="15"/>
  <c r="E32" i="15" s="1"/>
  <c r="E35" i="15" s="1"/>
  <c r="I29" i="15"/>
  <c r="I24" i="15"/>
  <c r="P25" i="60"/>
  <c r="D25" i="60" s="1"/>
  <c r="D75" i="15"/>
  <c r="F75" i="15"/>
  <c r="E93" i="66"/>
  <c r="E95" i="66"/>
  <c r="AM69" i="66"/>
  <c r="AL69" i="66"/>
  <c r="E92" i="66"/>
  <c r="AM71" i="66"/>
  <c r="AL71" i="66"/>
  <c r="AD306" i="51"/>
  <c r="AC307" i="51"/>
  <c r="AC307" i="56"/>
  <c r="AD295" i="51"/>
  <c r="AC296" i="51"/>
  <c r="AD285" i="51"/>
  <c r="C105" i="66" l="1"/>
  <c r="AB7" i="66"/>
  <c r="F145" i="66"/>
  <c r="AC22" i="66"/>
  <c r="AC23" i="66"/>
  <c r="Q23" i="66"/>
  <c r="AM23" i="66" s="1"/>
  <c r="AR164" i="56"/>
  <c r="AC164" i="56"/>
  <c r="AR23" i="56"/>
  <c r="AC23" i="56"/>
  <c r="AR235" i="56"/>
  <c r="AC235" i="56"/>
  <c r="AR93" i="56"/>
  <c r="AC93" i="56"/>
  <c r="AR173" i="56"/>
  <c r="AC173" i="56"/>
  <c r="AR270" i="56"/>
  <c r="AC270" i="56"/>
  <c r="AR158" i="56"/>
  <c r="AC158" i="56"/>
  <c r="AR118" i="56"/>
  <c r="AC118" i="56"/>
  <c r="AR265" i="56"/>
  <c r="AC265" i="56"/>
  <c r="D109" i="66"/>
  <c r="Q11" i="66"/>
  <c r="AM11" i="66" s="1"/>
  <c r="AC11" i="66"/>
  <c r="AR31" i="56"/>
  <c r="AC31" i="56"/>
  <c r="AR260" i="56"/>
  <c r="AC260" i="56"/>
  <c r="AR123" i="56"/>
  <c r="AC123" i="56"/>
  <c r="AR58" i="56"/>
  <c r="AC58" i="56"/>
  <c r="AR142" i="56"/>
  <c r="AC142" i="56"/>
  <c r="AR139" i="56"/>
  <c r="AC139" i="56"/>
  <c r="D105" i="66"/>
  <c r="Q7" i="66"/>
  <c r="AM7" i="66" s="1"/>
  <c r="AR150" i="56"/>
  <c r="AC150" i="56"/>
  <c r="AR192" i="56"/>
  <c r="AC192" i="56"/>
  <c r="AR248" i="56"/>
  <c r="AC248" i="56"/>
  <c r="AR226" i="56"/>
  <c r="AC226" i="56"/>
  <c r="AR28" i="56"/>
  <c r="AC28" i="56"/>
  <c r="AR281" i="56"/>
  <c r="AC281" i="56"/>
  <c r="AR237" i="56"/>
  <c r="AC237" i="56"/>
  <c r="AR73" i="56"/>
  <c r="AC73" i="56"/>
  <c r="AR61" i="56"/>
  <c r="AC61" i="56"/>
  <c r="AR69" i="56"/>
  <c r="AC69" i="56"/>
  <c r="AR108" i="56"/>
  <c r="AC108" i="56"/>
  <c r="AC17" i="66"/>
  <c r="Q17" i="66"/>
  <c r="AM17" i="66" s="1"/>
  <c r="F24" i="66"/>
  <c r="Q24" i="66" s="1"/>
  <c r="AR221" i="56"/>
  <c r="AC221" i="56"/>
  <c r="AR114" i="56"/>
  <c r="AC114" i="56"/>
  <c r="AR191" i="56"/>
  <c r="AC191" i="56"/>
  <c r="AR170" i="56"/>
  <c r="AC170" i="56"/>
  <c r="AR42" i="56"/>
  <c r="AC42" i="56"/>
  <c r="AR239" i="56"/>
  <c r="AC239" i="56"/>
  <c r="AC5" i="66"/>
  <c r="D103" i="66"/>
  <c r="Q5" i="66"/>
  <c r="AM5" i="66" s="1"/>
  <c r="AR24" i="56"/>
  <c r="AC24" i="56"/>
  <c r="AR187" i="56"/>
  <c r="AC187" i="56"/>
  <c r="AR56" i="56"/>
  <c r="AC56" i="56"/>
  <c r="AR183" i="56"/>
  <c r="AC183" i="56"/>
  <c r="AR99" i="56"/>
  <c r="AC99" i="56"/>
  <c r="AR290" i="56"/>
  <c r="AC290" i="56"/>
  <c r="AR255" i="56"/>
  <c r="AC255" i="56"/>
  <c r="Q18" i="66"/>
  <c r="AM18" i="66" s="1"/>
  <c r="AC18" i="66"/>
  <c r="AR21" i="56"/>
  <c r="AC21" i="56"/>
  <c r="AR177" i="56"/>
  <c r="AC177" i="56"/>
  <c r="AR209" i="56"/>
  <c r="AC209" i="56"/>
  <c r="AR145" i="56"/>
  <c r="AC145" i="56"/>
  <c r="AR66" i="56"/>
  <c r="AC66" i="56"/>
  <c r="AR206" i="56"/>
  <c r="AC206" i="56"/>
  <c r="AR178" i="56"/>
  <c r="AC178" i="56"/>
  <c r="AR257" i="56"/>
  <c r="AC257" i="56"/>
  <c r="AC20" i="66"/>
  <c r="AR233" i="56"/>
  <c r="AC233" i="56"/>
  <c r="AR64" i="56"/>
  <c r="AC64" i="56"/>
  <c r="AR238" i="56"/>
  <c r="AC238" i="56"/>
  <c r="AR186" i="56"/>
  <c r="AC186" i="56"/>
  <c r="D104" i="66"/>
  <c r="AC6" i="66"/>
  <c r="Q6" i="66"/>
  <c r="AM6" i="66" s="1"/>
  <c r="AR299" i="56"/>
  <c r="AC299" i="56"/>
  <c r="Q21" i="66"/>
  <c r="AM21" i="66" s="1"/>
  <c r="AC21" i="66"/>
  <c r="AR216" i="56"/>
  <c r="AC216" i="56"/>
  <c r="AR89" i="56"/>
  <c r="AC89" i="56"/>
  <c r="AM68" i="66"/>
  <c r="AL22" i="66"/>
  <c r="AM22" i="66"/>
  <c r="AL20" i="66"/>
  <c r="AM20" i="66"/>
  <c r="P19" i="66"/>
  <c r="AB19" i="66"/>
  <c r="E24" i="66"/>
  <c r="AC19" i="66"/>
  <c r="AW73" i="66"/>
  <c r="AC73" i="66"/>
  <c r="P73" i="66"/>
  <c r="AL73" i="66" s="1"/>
  <c r="AV73" i="66"/>
  <c r="T255" i="70"/>
  <c r="AD255" i="70" s="1"/>
  <c r="AC255" i="70"/>
  <c r="T252" i="70"/>
  <c r="AD252" i="70" s="1"/>
  <c r="AC252" i="70"/>
  <c r="T161" i="70"/>
  <c r="AD161" i="70" s="1"/>
  <c r="AC161" i="70"/>
  <c r="T75" i="70"/>
  <c r="AD75" i="70" s="1"/>
  <c r="AC75" i="70"/>
  <c r="AC143" i="70"/>
  <c r="T143" i="70"/>
  <c r="AD143" i="70" s="1"/>
  <c r="T241" i="70"/>
  <c r="AD241" i="70" s="1"/>
  <c r="AC241" i="70"/>
  <c r="T122" i="70"/>
  <c r="AD122" i="70" s="1"/>
  <c r="AC122" i="70"/>
  <c r="T184" i="70"/>
  <c r="AD184" i="70" s="1"/>
  <c r="AC184" i="70"/>
  <c r="AC217" i="70"/>
  <c r="T217" i="70"/>
  <c r="AD217" i="70" s="1"/>
  <c r="T85" i="70"/>
  <c r="AD85" i="70" s="1"/>
  <c r="AC85" i="70"/>
  <c r="AC162" i="70"/>
  <c r="T162" i="70"/>
  <c r="AD162" i="70" s="1"/>
  <c r="T103" i="70"/>
  <c r="AD103" i="70" s="1"/>
  <c r="AC103" i="70"/>
  <c r="T264" i="70"/>
  <c r="AD264" i="70" s="1"/>
  <c r="AC264" i="70"/>
  <c r="AC112" i="70"/>
  <c r="T112" i="70"/>
  <c r="AD112" i="70" s="1"/>
  <c r="T42" i="70"/>
  <c r="AD42" i="70" s="1"/>
  <c r="AC42" i="70"/>
  <c r="T38" i="70"/>
  <c r="AD38" i="70" s="1"/>
  <c r="AC38" i="70"/>
  <c r="T265" i="70"/>
  <c r="AD265" i="70" s="1"/>
  <c r="AC265" i="70"/>
  <c r="AC284" i="70"/>
  <c r="T284" i="70"/>
  <c r="AD284" i="70" s="1"/>
  <c r="T267" i="70"/>
  <c r="AD267" i="70" s="1"/>
  <c r="AC267" i="70"/>
  <c r="AC57" i="70"/>
  <c r="T57" i="70"/>
  <c r="AD57" i="70" s="1"/>
  <c r="T120" i="70"/>
  <c r="AD120" i="70" s="1"/>
  <c r="AC120" i="70"/>
  <c r="T9" i="70"/>
  <c r="AD9" i="70" s="1"/>
  <c r="AC9" i="70"/>
  <c r="T48" i="70"/>
  <c r="AD48" i="70" s="1"/>
  <c r="AC48" i="70"/>
  <c r="AC288" i="70"/>
  <c r="T288" i="70"/>
  <c r="AD288" i="70" s="1"/>
  <c r="T173" i="70"/>
  <c r="AD173" i="70" s="1"/>
  <c r="AC173" i="70"/>
  <c r="T50" i="70"/>
  <c r="AD50" i="70" s="1"/>
  <c r="AC50" i="70"/>
  <c r="T31" i="70"/>
  <c r="AD31" i="70" s="1"/>
  <c r="AC31" i="70"/>
  <c r="AC144" i="70"/>
  <c r="T144" i="70"/>
  <c r="AD144" i="70" s="1"/>
  <c r="T35" i="70"/>
  <c r="AD35" i="70" s="1"/>
  <c r="AC35" i="70"/>
  <c r="T236" i="70"/>
  <c r="AD236" i="70" s="1"/>
  <c r="AC236" i="70"/>
  <c r="AC119" i="70"/>
  <c r="T119" i="70"/>
  <c r="AD119" i="70" s="1"/>
  <c r="T47" i="70"/>
  <c r="AD47" i="70" s="1"/>
  <c r="AC47" i="70"/>
  <c r="T232" i="70"/>
  <c r="AD232" i="70" s="1"/>
  <c r="AC232" i="70"/>
  <c r="T96" i="70"/>
  <c r="AD96" i="70" s="1"/>
  <c r="AC96" i="70"/>
  <c r="AC194" i="70"/>
  <c r="T194" i="70"/>
  <c r="AD194" i="70" s="1"/>
  <c r="T287" i="70"/>
  <c r="AD287" i="70" s="1"/>
  <c r="AC287" i="70"/>
  <c r="T283" i="70"/>
  <c r="AD283" i="70" s="1"/>
  <c r="AC283" i="70"/>
  <c r="T225" i="70"/>
  <c r="AD225" i="70" s="1"/>
  <c r="AC225" i="70"/>
  <c r="AC226" i="70"/>
  <c r="T226" i="70"/>
  <c r="AD226" i="70" s="1"/>
  <c r="AC128" i="70"/>
  <c r="T128" i="70"/>
  <c r="AD128" i="70" s="1"/>
  <c r="AC87" i="70"/>
  <c r="T87" i="70"/>
  <c r="AD87" i="70" s="1"/>
  <c r="T233" i="70"/>
  <c r="AD233" i="70" s="1"/>
  <c r="AC233" i="70"/>
  <c r="T106" i="70"/>
  <c r="AD106" i="70" s="1"/>
  <c r="AC106" i="70"/>
  <c r="T180" i="70"/>
  <c r="AD180" i="70" s="1"/>
  <c r="AC180" i="70"/>
  <c r="T76" i="70"/>
  <c r="AD76" i="70" s="1"/>
  <c r="AC76" i="70"/>
  <c r="T67" i="70"/>
  <c r="AD67" i="70" s="1"/>
  <c r="AC67" i="70"/>
  <c r="AC220" i="70"/>
  <c r="T220" i="70"/>
  <c r="AD220" i="70" s="1"/>
  <c r="T129" i="70"/>
  <c r="AD129" i="70" s="1"/>
  <c r="AC129" i="70"/>
  <c r="T163" i="70"/>
  <c r="AD163" i="70" s="1"/>
  <c r="AC163" i="70"/>
  <c r="AC230" i="70"/>
  <c r="T230" i="70"/>
  <c r="AD230" i="70" s="1"/>
  <c r="T100" i="70"/>
  <c r="AD100" i="70" s="1"/>
  <c r="AC100" i="70"/>
  <c r="AC116" i="70"/>
  <c r="T116" i="70"/>
  <c r="AD116" i="70" s="1"/>
  <c r="AC25" i="70"/>
  <c r="T25" i="70"/>
  <c r="AD25" i="70" s="1"/>
  <c r="T246" i="70"/>
  <c r="AD246" i="70" s="1"/>
  <c r="AC246" i="70"/>
  <c r="T81" i="70"/>
  <c r="AD81" i="70" s="1"/>
  <c r="AC81" i="70"/>
  <c r="T77" i="70"/>
  <c r="AD77" i="70" s="1"/>
  <c r="AC77" i="70"/>
  <c r="AC139" i="70"/>
  <c r="T139" i="70"/>
  <c r="AD139" i="70" s="1"/>
  <c r="AC132" i="70"/>
  <c r="T132" i="70"/>
  <c r="AD132" i="70" s="1"/>
  <c r="AC183" i="70"/>
  <c r="T183" i="70"/>
  <c r="AD183" i="70" s="1"/>
  <c r="AC240" i="70"/>
  <c r="T240" i="70"/>
  <c r="AD240" i="70" s="1"/>
  <c r="T51" i="70"/>
  <c r="AD51" i="70" s="1"/>
  <c r="AC51" i="70"/>
  <c r="AC92" i="70"/>
  <c r="T92" i="70"/>
  <c r="AD92" i="70" s="1"/>
  <c r="T8" i="70"/>
  <c r="AD8" i="70" s="1"/>
  <c r="AC8" i="70"/>
  <c r="AC269" i="70"/>
  <c r="T269" i="70"/>
  <c r="AD269" i="70" s="1"/>
  <c r="AC7" i="70"/>
  <c r="T7" i="70"/>
  <c r="AD7" i="70" s="1"/>
  <c r="T190" i="70"/>
  <c r="AD190" i="70" s="1"/>
  <c r="AC190" i="70"/>
  <c r="T164" i="70"/>
  <c r="AD164" i="70" s="1"/>
  <c r="AC164" i="70"/>
  <c r="T37" i="70"/>
  <c r="AD37" i="70" s="1"/>
  <c r="AC37" i="70"/>
  <c r="T32" i="70"/>
  <c r="AD32" i="70" s="1"/>
  <c r="AC32" i="70"/>
  <c r="T108" i="70"/>
  <c r="AD108" i="70" s="1"/>
  <c r="AC108" i="70"/>
  <c r="T66" i="70"/>
  <c r="AD66" i="70" s="1"/>
  <c r="AC66" i="70"/>
  <c r="T259" i="70"/>
  <c r="AD259" i="70" s="1"/>
  <c r="AC259" i="70"/>
  <c r="T272" i="70"/>
  <c r="AD272" i="70" s="1"/>
  <c r="AC272" i="70"/>
  <c r="AC235" i="70"/>
  <c r="T235" i="70"/>
  <c r="AD235" i="70" s="1"/>
  <c r="T215" i="70"/>
  <c r="AD215" i="70" s="1"/>
  <c r="AC215" i="70"/>
  <c r="T80" i="70"/>
  <c r="AD80" i="70" s="1"/>
  <c r="AC80" i="70"/>
  <c r="AC257" i="70"/>
  <c r="T257" i="70"/>
  <c r="AD257" i="70" s="1"/>
  <c r="T60" i="70"/>
  <c r="AD60" i="70" s="1"/>
  <c r="AC60" i="70"/>
  <c r="T169" i="70"/>
  <c r="AD169" i="70" s="1"/>
  <c r="AC169" i="70"/>
  <c r="AC200" i="70"/>
  <c r="T200" i="70"/>
  <c r="AD200" i="70" s="1"/>
  <c r="AC251" i="70"/>
  <c r="T251" i="70"/>
  <c r="AD251" i="70" s="1"/>
  <c r="T297" i="70"/>
  <c r="AD297" i="70" s="1"/>
  <c r="AC297" i="70"/>
  <c r="T185" i="70"/>
  <c r="AD185" i="70" s="1"/>
  <c r="AC185" i="70"/>
  <c r="AC210" i="70"/>
  <c r="T210" i="70"/>
  <c r="AD210" i="70" s="1"/>
  <c r="T293" i="70"/>
  <c r="AD293" i="70" s="1"/>
  <c r="AC293" i="70"/>
  <c r="T263" i="70"/>
  <c r="AD263" i="70" s="1"/>
  <c r="AC263" i="70"/>
  <c r="T189" i="70"/>
  <c r="AD189" i="70" s="1"/>
  <c r="AC189" i="70"/>
  <c r="AC62" i="70"/>
  <c r="T62" i="70"/>
  <c r="AD62" i="70" s="1"/>
  <c r="T289" i="70"/>
  <c r="AD289" i="70" s="1"/>
  <c r="AC289" i="70"/>
  <c r="T244" i="70"/>
  <c r="AD244" i="70" s="1"/>
  <c r="AC244" i="70"/>
  <c r="T172" i="70"/>
  <c r="AD172" i="70" s="1"/>
  <c r="AC172" i="70"/>
  <c r="T55" i="70"/>
  <c r="AD55" i="70" s="1"/>
  <c r="AC55" i="70"/>
  <c r="AC90" i="70"/>
  <c r="T90" i="70"/>
  <c r="AD90" i="70" s="1"/>
  <c r="AC229" i="70"/>
  <c r="T229" i="70"/>
  <c r="AD229" i="70" s="1"/>
  <c r="T156" i="70"/>
  <c r="AD156" i="70" s="1"/>
  <c r="AC156" i="70"/>
  <c r="AC93" i="70"/>
  <c r="T93" i="70"/>
  <c r="AD93" i="70" s="1"/>
  <c r="T64" i="70"/>
  <c r="AD64" i="70" s="1"/>
  <c r="AC64" i="70"/>
  <c r="T214" i="70"/>
  <c r="AD214" i="70" s="1"/>
  <c r="AC214" i="70"/>
  <c r="T141" i="70"/>
  <c r="AD141" i="70" s="1"/>
  <c r="AC141" i="70"/>
  <c r="AC279" i="70"/>
  <c r="T279" i="70"/>
  <c r="AD279" i="70" s="1"/>
  <c r="T245" i="70"/>
  <c r="AD245" i="70" s="1"/>
  <c r="AC245" i="70"/>
  <c r="T182" i="70"/>
  <c r="AD182" i="70" s="1"/>
  <c r="AC182" i="70"/>
  <c r="T34" i="70"/>
  <c r="AD34" i="70" s="1"/>
  <c r="AC34" i="70"/>
  <c r="T261" i="70"/>
  <c r="AD261" i="70" s="1"/>
  <c r="AC261" i="70"/>
  <c r="T158" i="70"/>
  <c r="AD158" i="70" s="1"/>
  <c r="AC158" i="70"/>
  <c r="T205" i="70"/>
  <c r="AD205" i="70" s="1"/>
  <c r="AC205" i="70"/>
  <c r="T69" i="70"/>
  <c r="AD69" i="70" s="1"/>
  <c r="AC69" i="70"/>
  <c r="AC115" i="70"/>
  <c r="T115" i="70"/>
  <c r="AD115" i="70" s="1"/>
  <c r="AC282" i="70"/>
  <c r="T282" i="70"/>
  <c r="AD282" i="70" s="1"/>
  <c r="AC209" i="70"/>
  <c r="T209" i="70"/>
  <c r="AD209" i="70" s="1"/>
  <c r="T154" i="70"/>
  <c r="AD154" i="70" s="1"/>
  <c r="AC154" i="70"/>
  <c r="AC195" i="70"/>
  <c r="T195" i="70"/>
  <c r="AD195" i="70" s="1"/>
  <c r="T21" i="70"/>
  <c r="AD21" i="70" s="1"/>
  <c r="AC21" i="70"/>
  <c r="AC148" i="70"/>
  <c r="T148" i="70"/>
  <c r="AD148" i="70" s="1"/>
  <c r="AC216" i="70"/>
  <c r="T216" i="70"/>
  <c r="AD216" i="70" s="1"/>
  <c r="AC97" i="70"/>
  <c r="T97" i="70"/>
  <c r="AD97" i="70" s="1"/>
  <c r="T247" i="70"/>
  <c r="AD247" i="70" s="1"/>
  <c r="AC247" i="70"/>
  <c r="T86" i="70"/>
  <c r="AD86" i="70" s="1"/>
  <c r="AC86" i="70"/>
  <c r="T201" i="70"/>
  <c r="AD201" i="70" s="1"/>
  <c r="AC201" i="70"/>
  <c r="T40" i="70"/>
  <c r="AD40" i="70" s="1"/>
  <c r="AC40" i="70"/>
  <c r="T24" i="70"/>
  <c r="AD24" i="70" s="1"/>
  <c r="AC24" i="70"/>
  <c r="AC221" i="70"/>
  <c r="T221" i="70"/>
  <c r="AD221" i="70" s="1"/>
  <c r="T137" i="70"/>
  <c r="AD137" i="70" s="1"/>
  <c r="AC137" i="70"/>
  <c r="T258" i="70"/>
  <c r="AD258" i="70" s="1"/>
  <c r="AC258" i="70"/>
  <c r="AC65" i="70"/>
  <c r="T65" i="70"/>
  <c r="AD65" i="70" s="1"/>
  <c r="T192" i="70"/>
  <c r="AD192" i="70" s="1"/>
  <c r="AC192" i="70"/>
  <c r="T89" i="70"/>
  <c r="AD89" i="70" s="1"/>
  <c r="AC89" i="70"/>
  <c r="T11" i="70"/>
  <c r="AD11" i="70" s="1"/>
  <c r="AC11" i="70"/>
  <c r="AC219" i="70"/>
  <c r="T219" i="70"/>
  <c r="AD219" i="70" s="1"/>
  <c r="T124" i="70"/>
  <c r="AD124" i="70" s="1"/>
  <c r="AC124" i="70"/>
  <c r="T296" i="70"/>
  <c r="AD296" i="70" s="1"/>
  <c r="AC296" i="70"/>
  <c r="AC27" i="70"/>
  <c r="T27" i="70"/>
  <c r="AD27" i="70" s="1"/>
  <c r="T98" i="70"/>
  <c r="AD98" i="70" s="1"/>
  <c r="AC98" i="70"/>
  <c r="AC82" i="70"/>
  <c r="T82" i="70"/>
  <c r="AD82" i="70" s="1"/>
  <c r="AC275" i="70"/>
  <c r="T275" i="70"/>
  <c r="AD275" i="70" s="1"/>
  <c r="T281" i="70"/>
  <c r="AD281" i="70" s="1"/>
  <c r="AC281" i="70"/>
  <c r="AC168" i="70"/>
  <c r="T168" i="70"/>
  <c r="AD168" i="70" s="1"/>
  <c r="T253" i="70"/>
  <c r="AD253" i="70" s="1"/>
  <c r="AC253" i="70"/>
  <c r="AC227" i="70"/>
  <c r="T227" i="70"/>
  <c r="AD227" i="70" s="1"/>
  <c r="T186" i="70"/>
  <c r="AD186" i="70" s="1"/>
  <c r="AC186" i="70"/>
  <c r="T19" i="70"/>
  <c r="AD19" i="70" s="1"/>
  <c r="AC19" i="70"/>
  <c r="AC298" i="70"/>
  <c r="T298" i="70"/>
  <c r="AD298" i="70" s="1"/>
  <c r="T107" i="70"/>
  <c r="AD107" i="70" s="1"/>
  <c r="AC107" i="70"/>
  <c r="T147" i="70"/>
  <c r="AD147" i="70" s="1"/>
  <c r="AC147" i="70"/>
  <c r="T157" i="70"/>
  <c r="AD157" i="70" s="1"/>
  <c r="AC157" i="70"/>
  <c r="T159" i="70"/>
  <c r="AD159" i="70" s="1"/>
  <c r="AC159" i="70"/>
  <c r="T18" i="70"/>
  <c r="AD18" i="70" s="1"/>
  <c r="AC18" i="70"/>
  <c r="T28" i="70"/>
  <c r="AD28" i="70" s="1"/>
  <c r="AC28" i="70"/>
  <c r="T197" i="70"/>
  <c r="AD197" i="70" s="1"/>
  <c r="AC197" i="70"/>
  <c r="T153" i="70"/>
  <c r="AD153" i="70" s="1"/>
  <c r="AC153" i="70"/>
  <c r="AC54" i="70"/>
  <c r="T54" i="70"/>
  <c r="AD54" i="70" s="1"/>
  <c r="AC152" i="70"/>
  <c r="T152" i="70"/>
  <c r="AD152" i="70" s="1"/>
  <c r="T203" i="70"/>
  <c r="AD203" i="70" s="1"/>
  <c r="AC203" i="70"/>
  <c r="T121" i="70"/>
  <c r="AD121" i="70" s="1"/>
  <c r="AC121" i="70"/>
  <c r="T202" i="70"/>
  <c r="AD202" i="70" s="1"/>
  <c r="AC202" i="70"/>
  <c r="AC105" i="70"/>
  <c r="T105" i="70"/>
  <c r="AD105" i="70" s="1"/>
  <c r="AC188" i="70"/>
  <c r="T188" i="70"/>
  <c r="AD188" i="70" s="1"/>
  <c r="T270" i="70"/>
  <c r="AD270" i="70" s="1"/>
  <c r="AC270" i="70"/>
  <c r="T167" i="70"/>
  <c r="AD167" i="70" s="1"/>
  <c r="AC167" i="70"/>
  <c r="T274" i="70"/>
  <c r="AD274" i="70" s="1"/>
  <c r="AC274" i="70"/>
  <c r="AC187" i="70"/>
  <c r="T187" i="70"/>
  <c r="AD187" i="70" s="1"/>
  <c r="T68" i="70"/>
  <c r="AD68" i="70" s="1"/>
  <c r="AC68" i="70"/>
  <c r="T160" i="70"/>
  <c r="AD160" i="70" s="1"/>
  <c r="AC160" i="70"/>
  <c r="T53" i="70"/>
  <c r="AD53" i="70" s="1"/>
  <c r="AC53" i="70"/>
  <c r="AC16" i="70"/>
  <c r="T16" i="70"/>
  <c r="AD16" i="70" s="1"/>
  <c r="T135" i="70"/>
  <c r="AD135" i="70" s="1"/>
  <c r="AC135" i="70"/>
  <c r="T277" i="70"/>
  <c r="AD277" i="70" s="1"/>
  <c r="AC277" i="70"/>
  <c r="T130" i="70"/>
  <c r="AD130" i="70" s="1"/>
  <c r="AC130" i="70"/>
  <c r="T238" i="70"/>
  <c r="AD238" i="70" s="1"/>
  <c r="AC238" i="70"/>
  <c r="T136" i="70"/>
  <c r="AD136" i="70" s="1"/>
  <c r="AC136" i="70"/>
  <c r="T142" i="70"/>
  <c r="AD142" i="70" s="1"/>
  <c r="AC142" i="70"/>
  <c r="T72" i="70"/>
  <c r="AD72" i="70" s="1"/>
  <c r="AC72" i="70"/>
  <c r="T56" i="70"/>
  <c r="AD56" i="70" s="1"/>
  <c r="AC56" i="70"/>
  <c r="T30" i="70"/>
  <c r="AD30" i="70" s="1"/>
  <c r="AC30" i="70"/>
  <c r="AC52" i="70"/>
  <c r="T52" i="70"/>
  <c r="AD52" i="70" s="1"/>
  <c r="AC94" i="70"/>
  <c r="T94" i="70"/>
  <c r="AD94" i="70" s="1"/>
  <c r="AC10" i="70"/>
  <c r="T10" i="70"/>
  <c r="AD10" i="70" s="1"/>
  <c r="T278" i="70"/>
  <c r="AD278" i="70" s="1"/>
  <c r="AC278" i="70"/>
  <c r="AC13" i="70"/>
  <c r="T13" i="70"/>
  <c r="AD13" i="70" s="1"/>
  <c r="T170" i="70"/>
  <c r="AD170" i="70" s="1"/>
  <c r="AC170" i="70"/>
  <c r="T262" i="70"/>
  <c r="AD262" i="70" s="1"/>
  <c r="AC262" i="70"/>
  <c r="T171" i="70"/>
  <c r="AD171" i="70" s="1"/>
  <c r="AC171" i="70"/>
  <c r="T280" i="70"/>
  <c r="AD280" i="70" s="1"/>
  <c r="AC280" i="70"/>
  <c r="T99" i="70"/>
  <c r="AD99" i="70" s="1"/>
  <c r="AC99" i="70"/>
  <c r="T211" i="70"/>
  <c r="AD211" i="70" s="1"/>
  <c r="AC211" i="70"/>
  <c r="T73" i="70"/>
  <c r="AD73" i="70" s="1"/>
  <c r="AC73" i="70"/>
  <c r="T23" i="70"/>
  <c r="AD23" i="70" s="1"/>
  <c r="AC23" i="70"/>
  <c r="T118" i="70"/>
  <c r="AD118" i="70" s="1"/>
  <c r="AC118" i="70"/>
  <c r="T271" i="70"/>
  <c r="AD271" i="70" s="1"/>
  <c r="AC271" i="70"/>
  <c r="AC110" i="70"/>
  <c r="T110" i="70"/>
  <c r="AD110" i="70" s="1"/>
  <c r="T204" i="70"/>
  <c r="AD204" i="70" s="1"/>
  <c r="AC204" i="70"/>
  <c r="T286" i="70"/>
  <c r="AD286" i="70" s="1"/>
  <c r="AC286" i="70"/>
  <c r="AC117" i="70"/>
  <c r="T117" i="70"/>
  <c r="AD117" i="70" s="1"/>
  <c r="T237" i="70"/>
  <c r="AD237" i="70" s="1"/>
  <c r="AC237" i="70"/>
  <c r="AC155" i="70"/>
  <c r="T155" i="70"/>
  <c r="AD155" i="70" s="1"/>
  <c r="AC145" i="70"/>
  <c r="T145" i="70"/>
  <c r="AD145" i="70" s="1"/>
  <c r="T113" i="70"/>
  <c r="AD113" i="70" s="1"/>
  <c r="AC113" i="70"/>
  <c r="T222" i="70"/>
  <c r="AD222" i="70" s="1"/>
  <c r="AC222" i="70"/>
  <c r="AC111" i="70"/>
  <c r="T111" i="70"/>
  <c r="AD111" i="70" s="1"/>
  <c r="T273" i="70"/>
  <c r="AD273" i="70" s="1"/>
  <c r="AC273" i="70"/>
  <c r="T125" i="70"/>
  <c r="AD125" i="70" s="1"/>
  <c r="AC125" i="70"/>
  <c r="AC248" i="70"/>
  <c r="T248" i="70"/>
  <c r="AD248" i="70" s="1"/>
  <c r="T59" i="70"/>
  <c r="AD59" i="70" s="1"/>
  <c r="AC59" i="70"/>
  <c r="AC17" i="70"/>
  <c r="T17" i="70"/>
  <c r="AD17" i="70" s="1"/>
  <c r="T234" i="70"/>
  <c r="AD234" i="70" s="1"/>
  <c r="AC234" i="70"/>
  <c r="T268" i="70"/>
  <c r="AD268" i="70" s="1"/>
  <c r="AC268" i="70"/>
  <c r="T196" i="70"/>
  <c r="AD196" i="70" s="1"/>
  <c r="AC196" i="70"/>
  <c r="T254" i="70"/>
  <c r="AD254" i="70" s="1"/>
  <c r="AC254" i="70"/>
  <c r="AC109" i="70"/>
  <c r="T109" i="70"/>
  <c r="AD109" i="70" s="1"/>
  <c r="T175" i="70"/>
  <c r="AD175" i="70" s="1"/>
  <c r="AC175" i="70"/>
  <c r="T228" i="70"/>
  <c r="AD228" i="70" s="1"/>
  <c r="AC228" i="70"/>
  <c r="T276" i="70"/>
  <c r="AD276" i="70" s="1"/>
  <c r="AC276" i="70"/>
  <c r="T49" i="70"/>
  <c r="AD49" i="70" s="1"/>
  <c r="AC49" i="70"/>
  <c r="T43" i="70"/>
  <c r="AD43" i="70" s="1"/>
  <c r="AC43" i="70"/>
  <c r="T146" i="70"/>
  <c r="AD146" i="70" s="1"/>
  <c r="AC146" i="70"/>
  <c r="AC239" i="70"/>
  <c r="T239" i="70"/>
  <c r="AD239" i="70" s="1"/>
  <c r="T166" i="70"/>
  <c r="AD166" i="70" s="1"/>
  <c r="AC166" i="70"/>
  <c r="T78" i="70"/>
  <c r="AD78" i="70" s="1"/>
  <c r="AC78" i="70"/>
  <c r="T177" i="70"/>
  <c r="AD177" i="70" s="1"/>
  <c r="AC177" i="70"/>
  <c r="T249" i="70"/>
  <c r="AD249" i="70" s="1"/>
  <c r="AC249" i="70"/>
  <c r="AC88" i="70"/>
  <c r="T88" i="70"/>
  <c r="AD88" i="70" s="1"/>
  <c r="T84" i="70"/>
  <c r="AD84" i="70" s="1"/>
  <c r="AC84" i="70"/>
  <c r="T250" i="70"/>
  <c r="AD250" i="70" s="1"/>
  <c r="AC250" i="70"/>
  <c r="T71" i="70"/>
  <c r="AD71" i="70" s="1"/>
  <c r="AC71" i="70"/>
  <c r="AC14" i="70"/>
  <c r="T14" i="70"/>
  <c r="AD14" i="70" s="1"/>
  <c r="T218" i="70"/>
  <c r="AD218" i="70" s="1"/>
  <c r="AC218" i="70"/>
  <c r="T33" i="70"/>
  <c r="AD33" i="70" s="1"/>
  <c r="AC33" i="70"/>
  <c r="T207" i="70"/>
  <c r="AD207" i="70" s="1"/>
  <c r="AC207" i="70"/>
  <c r="T151" i="70"/>
  <c r="AD151" i="70" s="1"/>
  <c r="AC151" i="70"/>
  <c r="T179" i="70"/>
  <c r="AD179" i="70" s="1"/>
  <c r="AC179" i="70"/>
  <c r="T29" i="70"/>
  <c r="AD29" i="70" s="1"/>
  <c r="AC29" i="70"/>
  <c r="T15" i="70"/>
  <c r="AD15" i="70" s="1"/>
  <c r="AC15" i="70"/>
  <c r="T20" i="70"/>
  <c r="AD20" i="70" s="1"/>
  <c r="AC20" i="70"/>
  <c r="T91" i="70"/>
  <c r="AD91" i="70" s="1"/>
  <c r="AC91" i="70"/>
  <c r="T63" i="70"/>
  <c r="AD63" i="70" s="1"/>
  <c r="AC63" i="70"/>
  <c r="T193" i="70"/>
  <c r="AD193" i="70" s="1"/>
  <c r="AC193" i="70"/>
  <c r="T178" i="70"/>
  <c r="AD178" i="70" s="1"/>
  <c r="AC178" i="70"/>
  <c r="T127" i="70"/>
  <c r="AD127" i="70" s="1"/>
  <c r="AC127" i="70"/>
  <c r="T224" i="70"/>
  <c r="AD224" i="70" s="1"/>
  <c r="AC224" i="70"/>
  <c r="T61" i="70"/>
  <c r="AD61" i="70" s="1"/>
  <c r="AC61" i="70"/>
  <c r="T208" i="70"/>
  <c r="AD208" i="70" s="1"/>
  <c r="AC208" i="70"/>
  <c r="T291" i="70"/>
  <c r="AD291" i="70" s="1"/>
  <c r="AC291" i="70"/>
  <c r="T150" i="70"/>
  <c r="AD150" i="70" s="1"/>
  <c r="AC150" i="70"/>
  <c r="AB6" i="70"/>
  <c r="S6" i="70"/>
  <c r="T6" i="70" s="1"/>
  <c r="R4" i="70"/>
  <c r="R2" i="70" s="1"/>
  <c r="T294" i="70"/>
  <c r="AD294" i="70" s="1"/>
  <c r="AC294" i="70"/>
  <c r="AC131" i="70"/>
  <c r="T131" i="70"/>
  <c r="AD131" i="70" s="1"/>
  <c r="T198" i="70"/>
  <c r="AD198" i="70" s="1"/>
  <c r="AC198" i="70"/>
  <c r="T138" i="70"/>
  <c r="AD138" i="70" s="1"/>
  <c r="AC138" i="70"/>
  <c r="T95" i="70"/>
  <c r="AD95" i="70" s="1"/>
  <c r="AC95" i="70"/>
  <c r="AC231" i="70"/>
  <c r="T231" i="70"/>
  <c r="AD231" i="70" s="1"/>
  <c r="AC243" i="70"/>
  <c r="T243" i="70"/>
  <c r="AD243" i="70" s="1"/>
  <c r="AC176" i="70"/>
  <c r="T176" i="70"/>
  <c r="AD176" i="70" s="1"/>
  <c r="T22" i="70"/>
  <c r="AD22" i="70" s="1"/>
  <c r="AC22" i="70"/>
  <c r="T223" i="70"/>
  <c r="AD223" i="70" s="1"/>
  <c r="AC223" i="70"/>
  <c r="AC102" i="70"/>
  <c r="T102" i="70"/>
  <c r="AD102" i="70" s="1"/>
  <c r="T123" i="70"/>
  <c r="AD123" i="70" s="1"/>
  <c r="AC123" i="70"/>
  <c r="T266" i="70"/>
  <c r="AD266" i="70" s="1"/>
  <c r="AC266" i="70"/>
  <c r="T44" i="70"/>
  <c r="AD44" i="70" s="1"/>
  <c r="AC44" i="70"/>
  <c r="T212" i="70"/>
  <c r="AD212" i="70" s="1"/>
  <c r="AC212" i="70"/>
  <c r="AC165" i="70"/>
  <c r="T165" i="70"/>
  <c r="AD165" i="70" s="1"/>
  <c r="T36" i="70"/>
  <c r="AD36" i="70" s="1"/>
  <c r="AC36" i="70"/>
  <c r="T41" i="70"/>
  <c r="AD41" i="70" s="1"/>
  <c r="AC41" i="70"/>
  <c r="T260" i="70"/>
  <c r="AD260" i="70" s="1"/>
  <c r="AC260" i="70"/>
  <c r="T45" i="70"/>
  <c r="AD45" i="70" s="1"/>
  <c r="AC45" i="70"/>
  <c r="AC26" i="70"/>
  <c r="T26" i="70"/>
  <c r="AD26" i="70" s="1"/>
  <c r="T133" i="70"/>
  <c r="AD133" i="70" s="1"/>
  <c r="AC133" i="70"/>
  <c r="T104" i="70"/>
  <c r="AD104" i="70" s="1"/>
  <c r="AC104" i="70"/>
  <c r="T292" i="70"/>
  <c r="AD292" i="70" s="1"/>
  <c r="AC292" i="70"/>
  <c r="AC290" i="70"/>
  <c r="T290" i="70"/>
  <c r="AD290" i="70" s="1"/>
  <c r="T256" i="70"/>
  <c r="AD256" i="70" s="1"/>
  <c r="AC256" i="70"/>
  <c r="T126" i="70"/>
  <c r="AD126" i="70" s="1"/>
  <c r="AC126" i="70"/>
  <c r="T295" i="70"/>
  <c r="AD295" i="70" s="1"/>
  <c r="AC295" i="70"/>
  <c r="T58" i="70"/>
  <c r="AD58" i="70" s="1"/>
  <c r="AC58" i="70"/>
  <c r="T46" i="70"/>
  <c r="AD46" i="70" s="1"/>
  <c r="AC46" i="70"/>
  <c r="T39" i="70"/>
  <c r="AD39" i="70" s="1"/>
  <c r="AC39" i="70"/>
  <c r="T140" i="70"/>
  <c r="AD140" i="70" s="1"/>
  <c r="AC140" i="70"/>
  <c r="T74" i="70"/>
  <c r="AD74" i="70" s="1"/>
  <c r="AC74" i="70"/>
  <c r="AC70" i="70"/>
  <c r="T70" i="70"/>
  <c r="AD70" i="70" s="1"/>
  <c r="T181" i="70"/>
  <c r="AD181" i="70" s="1"/>
  <c r="AC181" i="70"/>
  <c r="T83" i="70"/>
  <c r="AD83" i="70" s="1"/>
  <c r="AC83" i="70"/>
  <c r="AC101" i="70"/>
  <c r="T101" i="70"/>
  <c r="AD101" i="70" s="1"/>
  <c r="T242" i="70"/>
  <c r="AD242" i="70" s="1"/>
  <c r="AC242" i="70"/>
  <c r="T285" i="70"/>
  <c r="AD285" i="70" s="1"/>
  <c r="AC285" i="70"/>
  <c r="AC149" i="70"/>
  <c r="T149" i="70"/>
  <c r="AD149" i="70" s="1"/>
  <c r="T79" i="70"/>
  <c r="AD79" i="70" s="1"/>
  <c r="AC79" i="70"/>
  <c r="T191" i="70"/>
  <c r="AD191" i="70" s="1"/>
  <c r="AC191" i="70"/>
  <c r="T199" i="70"/>
  <c r="AD199" i="70" s="1"/>
  <c r="AC199" i="70"/>
  <c r="T174" i="70"/>
  <c r="AD174" i="70" s="1"/>
  <c r="AC174" i="70"/>
  <c r="T213" i="70"/>
  <c r="AD213" i="70" s="1"/>
  <c r="AC213" i="70"/>
  <c r="T134" i="70"/>
  <c r="AD134" i="70" s="1"/>
  <c r="AC134" i="70"/>
  <c r="AC206" i="70"/>
  <c r="T206" i="70"/>
  <c r="AD206" i="70" s="1"/>
  <c r="T114" i="70"/>
  <c r="AD114" i="70" s="1"/>
  <c r="AC114" i="70"/>
  <c r="AC12" i="70"/>
  <c r="T12" i="70"/>
  <c r="AD12" i="70" s="1"/>
  <c r="G29" i="15"/>
  <c r="P140" i="66"/>
  <c r="Q140" i="66"/>
  <c r="E145" i="66"/>
  <c r="P152" i="66"/>
  <c r="P154" i="66"/>
  <c r="J296" i="56"/>
  <c r="AR296" i="56" s="1"/>
  <c r="AB296" i="56"/>
  <c r="P151" i="66"/>
  <c r="AM70" i="66"/>
  <c r="AL70" i="66"/>
  <c r="E42" i="15"/>
  <c r="P30" i="60"/>
  <c r="D30" i="60" s="1"/>
  <c r="AV95" i="66"/>
  <c r="AB95" i="66"/>
  <c r="P95" i="66"/>
  <c r="AB92" i="66"/>
  <c r="AV92" i="66"/>
  <c r="P92" i="66"/>
  <c r="F92" i="66"/>
  <c r="F93" i="66"/>
  <c r="F95" i="66"/>
  <c r="AB93" i="66"/>
  <c r="AV93" i="66"/>
  <c r="P93" i="66"/>
  <c r="AL93" i="66" s="1"/>
  <c r="AL7" i="66"/>
  <c r="AD296" i="51"/>
  <c r="AD307" i="51"/>
  <c r="F150" i="66" l="1"/>
  <c r="Q150" i="66" s="1"/>
  <c r="F151" i="66"/>
  <c r="Q151" i="66" s="1"/>
  <c r="F152" i="66"/>
  <c r="Q152" i="66" s="1"/>
  <c r="F149" i="66"/>
  <c r="Q149" i="66" s="1"/>
  <c r="F154" i="66"/>
  <c r="Q154" i="66" s="1"/>
  <c r="F155" i="66"/>
  <c r="Q155" i="66" s="1"/>
  <c r="P24" i="66"/>
  <c r="AB24" i="66"/>
  <c r="AC24" i="66"/>
  <c r="AL19" i="66"/>
  <c r="AM19" i="66"/>
  <c r="AM73" i="66"/>
  <c r="S4" i="70"/>
  <c r="S2" i="70" s="1"/>
  <c r="AC6" i="70"/>
  <c r="AC4" i="70" s="1"/>
  <c r="AL6" i="70" s="1"/>
  <c r="P145" i="66"/>
  <c r="Q145" i="66"/>
  <c r="AC296" i="56"/>
  <c r="AL95" i="66"/>
  <c r="AW95" i="66"/>
  <c r="AC95" i="66"/>
  <c r="Q95" i="66"/>
  <c r="AM95" i="66" s="1"/>
  <c r="AC93" i="66"/>
  <c r="AW93" i="66"/>
  <c r="Q93" i="66"/>
  <c r="AC92" i="66"/>
  <c r="AW92" i="66"/>
  <c r="Q92" i="66"/>
  <c r="AM92" i="66" s="1"/>
  <c r="AL92" i="66"/>
  <c r="AL24" i="66" l="1"/>
  <c r="AM24" i="66"/>
  <c r="AL138" i="70"/>
  <c r="AL245" i="70"/>
  <c r="AL151" i="70"/>
  <c r="AL229" i="70"/>
  <c r="AL22" i="70"/>
  <c r="AL263" i="70"/>
  <c r="AL131" i="70"/>
  <c r="AL167" i="70"/>
  <c r="AL102" i="70"/>
  <c r="AL257" i="70"/>
  <c r="AL295" i="70"/>
  <c r="AL232" i="70"/>
  <c r="AL294" i="70"/>
  <c r="AL67" i="70"/>
  <c r="AL268" i="70"/>
  <c r="AL183" i="70"/>
  <c r="AL251" i="70"/>
  <c r="AL10" i="70"/>
  <c r="AL109" i="70"/>
  <c r="AL140" i="70"/>
  <c r="AL283" i="70"/>
  <c r="AL64" i="70"/>
  <c r="AL132" i="70"/>
  <c r="AL221" i="70"/>
  <c r="AL95" i="70"/>
  <c r="AL297" i="70"/>
  <c r="AL159" i="70"/>
  <c r="AL278" i="70"/>
  <c r="AL175" i="70"/>
  <c r="AL291" i="70"/>
  <c r="AL119" i="70"/>
  <c r="AL223" i="70"/>
  <c r="AL191" i="70"/>
  <c r="AL31" i="70"/>
  <c r="AL172" i="70"/>
  <c r="AL137" i="70"/>
  <c r="AL202" i="70"/>
  <c r="AL23" i="70"/>
  <c r="AL177" i="70"/>
  <c r="AL243" i="70"/>
  <c r="AL288" i="70"/>
  <c r="AL62" i="70"/>
  <c r="AL152" i="70"/>
  <c r="AL239" i="70"/>
  <c r="AL285" i="70"/>
  <c r="AL38" i="70"/>
  <c r="AL129" i="70"/>
  <c r="AL147" i="70"/>
  <c r="AL254" i="70"/>
  <c r="AL61" i="70"/>
  <c r="AL12" i="70"/>
  <c r="AL9" i="70"/>
  <c r="AL171" i="70"/>
  <c r="AL194" i="70"/>
  <c r="AL155" i="70"/>
  <c r="AL8" i="70"/>
  <c r="AL170" i="70"/>
  <c r="AL139" i="70"/>
  <c r="AL158" i="70"/>
  <c r="AL125" i="70"/>
  <c r="AL26" i="70"/>
  <c r="AL50" i="70"/>
  <c r="AL78" i="70"/>
  <c r="AL275" i="70"/>
  <c r="AL111" i="70"/>
  <c r="AL41" i="70"/>
  <c r="AL161" i="70"/>
  <c r="AL164" i="70"/>
  <c r="AL141" i="70"/>
  <c r="AL296" i="70"/>
  <c r="AL160" i="70"/>
  <c r="AL33" i="70"/>
  <c r="AL269" i="70"/>
  <c r="AL93" i="70"/>
  <c r="AL212" i="70"/>
  <c r="AL77" i="70"/>
  <c r="AL40" i="70"/>
  <c r="AL99" i="70"/>
  <c r="AD6" i="70"/>
  <c r="T4" i="70"/>
  <c r="T2" i="70" s="1"/>
  <c r="AL83" i="70"/>
  <c r="AL98" i="70"/>
  <c r="AL79" i="70"/>
  <c r="AL86" i="70"/>
  <c r="AL134" i="70"/>
  <c r="AL156" i="70"/>
  <c r="AL250" i="70"/>
  <c r="AL240" i="70"/>
  <c r="AL105" i="70"/>
  <c r="AL199" i="70"/>
  <c r="AL276" i="70"/>
  <c r="AL264" i="70"/>
  <c r="AL272" i="70"/>
  <c r="AL238" i="70"/>
  <c r="AL20" i="70"/>
  <c r="AL266" i="70"/>
  <c r="AL213" i="70"/>
  <c r="AL244" i="70"/>
  <c r="AL121" i="70"/>
  <c r="AL73" i="70"/>
  <c r="AL231" i="70"/>
  <c r="AL226" i="70"/>
  <c r="AL206" i="70"/>
  <c r="AL90" i="70"/>
  <c r="AL65" i="70"/>
  <c r="AL188" i="70"/>
  <c r="AL88" i="70"/>
  <c r="AL123" i="70"/>
  <c r="AL174" i="70"/>
  <c r="AL265" i="70"/>
  <c r="AL163" i="70"/>
  <c r="AL19" i="70"/>
  <c r="AL56" i="70"/>
  <c r="AL234" i="70"/>
  <c r="AL178" i="70"/>
  <c r="AL290" i="70"/>
  <c r="AL82" i="70"/>
  <c r="AL36" i="70"/>
  <c r="AL236" i="70"/>
  <c r="AL192" i="70"/>
  <c r="AL270" i="70"/>
  <c r="AL84" i="70"/>
  <c r="AL162" i="70"/>
  <c r="AL227" i="70"/>
  <c r="AL133" i="70"/>
  <c r="AL122" i="70"/>
  <c r="AL66" i="70"/>
  <c r="AL34" i="70"/>
  <c r="AL277" i="70"/>
  <c r="AL29" i="70"/>
  <c r="AL279" i="70"/>
  <c r="AL27" i="70"/>
  <c r="AL145" i="70"/>
  <c r="AL260" i="70"/>
  <c r="AL70" i="70"/>
  <c r="AL55" i="70"/>
  <c r="AL258" i="70"/>
  <c r="AL118" i="70"/>
  <c r="AL249" i="70"/>
  <c r="AL7" i="70"/>
  <c r="AL219" i="70"/>
  <c r="AL187" i="70"/>
  <c r="AL117" i="70"/>
  <c r="AL14" i="70"/>
  <c r="AL114" i="70"/>
  <c r="AL120" i="70"/>
  <c r="AL21" i="70"/>
  <c r="AL157" i="70"/>
  <c r="AL208" i="70"/>
  <c r="AL235" i="70"/>
  <c r="AL248" i="70"/>
  <c r="AL252" i="70"/>
  <c r="AL96" i="70"/>
  <c r="AL190" i="70"/>
  <c r="AL214" i="70"/>
  <c r="AL124" i="70"/>
  <c r="AL68" i="70"/>
  <c r="AL237" i="70"/>
  <c r="AL218" i="70"/>
  <c r="AL220" i="70"/>
  <c r="AL52" i="70"/>
  <c r="AL256" i="70"/>
  <c r="AL106" i="70"/>
  <c r="AL215" i="70"/>
  <c r="AL69" i="70"/>
  <c r="AL142" i="70"/>
  <c r="AL59" i="70"/>
  <c r="AL63" i="70"/>
  <c r="AL128" i="70"/>
  <c r="AL104" i="70"/>
  <c r="AL47" i="70"/>
  <c r="AL11" i="70"/>
  <c r="AL274" i="70"/>
  <c r="AL286" i="70"/>
  <c r="AL71" i="70"/>
  <c r="AL32" i="70"/>
  <c r="AL153" i="70"/>
  <c r="AL44" i="70"/>
  <c r="AL204" i="70"/>
  <c r="AL76" i="70"/>
  <c r="AL143" i="70"/>
  <c r="AL16" i="70"/>
  <c r="AL45" i="70"/>
  <c r="AL173" i="70"/>
  <c r="AL293" i="70"/>
  <c r="AL247" i="70"/>
  <c r="AL197" i="70"/>
  <c r="AL262" i="70"/>
  <c r="AL49" i="70"/>
  <c r="AL112" i="70"/>
  <c r="AL209" i="70"/>
  <c r="AL298" i="70"/>
  <c r="AL241" i="70"/>
  <c r="AL225" i="70"/>
  <c r="AL108" i="70"/>
  <c r="AL182" i="70"/>
  <c r="AL135" i="70"/>
  <c r="AL222" i="70"/>
  <c r="AL179" i="70"/>
  <c r="AL216" i="70"/>
  <c r="AL13" i="70"/>
  <c r="AL46" i="70"/>
  <c r="AL42" i="70"/>
  <c r="AL169" i="70"/>
  <c r="AL154" i="70"/>
  <c r="AL107" i="70"/>
  <c r="AL196" i="70"/>
  <c r="AL224" i="70"/>
  <c r="AL115" i="70"/>
  <c r="AL17" i="70"/>
  <c r="AL126" i="70"/>
  <c r="AL75" i="70"/>
  <c r="AL287" i="70"/>
  <c r="AL37" i="70"/>
  <c r="AL53" i="70"/>
  <c r="AL207" i="70"/>
  <c r="AL176" i="70"/>
  <c r="AL149" i="70"/>
  <c r="AL217" i="70"/>
  <c r="AL87" i="70"/>
  <c r="AL168" i="70"/>
  <c r="AL292" i="70"/>
  <c r="AL35" i="70"/>
  <c r="AL51" i="70"/>
  <c r="AL289" i="70"/>
  <c r="AL24" i="70"/>
  <c r="AL203" i="70"/>
  <c r="AL211" i="70"/>
  <c r="AL166" i="70"/>
  <c r="AL101" i="70"/>
  <c r="AL284" i="70"/>
  <c r="AL230" i="70"/>
  <c r="AL148" i="70"/>
  <c r="AL58" i="70"/>
  <c r="AL85" i="70"/>
  <c r="AL233" i="70"/>
  <c r="AL205" i="70"/>
  <c r="AL253" i="70"/>
  <c r="AL136" i="70"/>
  <c r="AL91" i="70"/>
  <c r="AL54" i="70"/>
  <c r="AL267" i="70"/>
  <c r="AL100" i="70"/>
  <c r="AL185" i="70"/>
  <c r="AL18" i="70"/>
  <c r="AL228" i="70"/>
  <c r="AL150" i="70"/>
  <c r="AL200" i="70"/>
  <c r="AL195" i="70"/>
  <c r="AL94" i="70"/>
  <c r="AL39" i="70"/>
  <c r="AL184" i="70"/>
  <c r="AL259" i="70"/>
  <c r="AL261" i="70"/>
  <c r="AL281" i="70"/>
  <c r="AL130" i="70"/>
  <c r="AL273" i="70"/>
  <c r="AL15" i="70"/>
  <c r="AL25" i="70"/>
  <c r="AL113" i="70"/>
  <c r="AL92" i="70"/>
  <c r="AL110" i="70"/>
  <c r="AL246" i="70"/>
  <c r="AL43" i="70"/>
  <c r="AL89" i="70"/>
  <c r="AL144" i="70"/>
  <c r="AL28" i="70"/>
  <c r="AL282" i="70"/>
  <c r="AL255" i="70"/>
  <c r="AL271" i="70"/>
  <c r="AL74" i="70"/>
  <c r="AL60" i="70"/>
  <c r="AL30" i="70"/>
  <c r="AL127" i="70"/>
  <c r="AL242" i="70"/>
  <c r="AL48" i="70"/>
  <c r="AL81" i="70"/>
  <c r="AL189" i="70"/>
  <c r="AL201" i="70"/>
  <c r="AL280" i="70"/>
  <c r="AL146" i="70"/>
  <c r="AL57" i="70"/>
  <c r="AL116" i="70"/>
  <c r="AL210" i="70"/>
  <c r="AL97" i="70"/>
  <c r="AL198" i="70"/>
  <c r="AL181" i="70"/>
  <c r="AL103" i="70"/>
  <c r="AL180" i="70"/>
  <c r="AL80" i="70"/>
  <c r="AL186" i="70"/>
  <c r="AL72" i="70"/>
  <c r="AL193" i="70"/>
  <c r="AL165" i="70"/>
  <c r="AM93" i="66"/>
  <c r="AL4" i="70" l="1"/>
  <c r="AD4" i="70"/>
  <c r="AM114" i="70" l="1"/>
  <c r="AM17" i="70"/>
  <c r="AM115" i="70"/>
  <c r="AM276" i="70"/>
  <c r="AM170" i="70"/>
  <c r="AM28" i="70"/>
  <c r="AM181" i="70"/>
  <c r="AM198" i="70"/>
  <c r="AM231" i="70"/>
  <c r="AM177" i="70"/>
  <c r="AM23" i="70"/>
  <c r="AM137" i="70"/>
  <c r="AM172" i="70"/>
  <c r="AM31" i="70"/>
  <c r="AM171" i="70"/>
  <c r="AM86" i="70"/>
  <c r="AM246" i="70"/>
  <c r="AM79" i="70"/>
  <c r="AM90" i="70"/>
  <c r="AM234" i="70"/>
  <c r="AM76" i="70"/>
  <c r="AM118" i="70"/>
  <c r="AM33" i="70"/>
  <c r="AM141" i="70"/>
  <c r="AM87" i="70"/>
  <c r="AM49" i="70"/>
  <c r="AM174" i="70"/>
  <c r="AM123" i="70"/>
  <c r="AM128" i="70"/>
  <c r="AM61" i="70"/>
  <c r="AM254" i="70"/>
  <c r="AM147" i="70"/>
  <c r="AM129" i="70"/>
  <c r="AM38" i="70"/>
  <c r="AM39" i="70"/>
  <c r="AM13" i="70"/>
  <c r="AM216" i="70"/>
  <c r="AM70" i="70"/>
  <c r="AM131" i="70"/>
  <c r="AM146" i="70"/>
  <c r="AM280" i="70"/>
  <c r="AM201" i="70"/>
  <c r="AM189" i="70"/>
  <c r="AM81" i="70"/>
  <c r="AM48" i="70"/>
  <c r="AM133" i="70"/>
  <c r="AM248" i="70"/>
  <c r="AM235" i="70"/>
  <c r="AM291" i="70"/>
  <c r="AM175" i="70"/>
  <c r="AM278" i="70"/>
  <c r="AM159" i="70"/>
  <c r="AM297" i="70"/>
  <c r="AM95" i="70"/>
  <c r="AM134" i="70"/>
  <c r="AM20" i="70"/>
  <c r="AM125" i="70"/>
  <c r="AM238" i="70"/>
  <c r="AM158" i="70"/>
  <c r="AM272" i="70"/>
  <c r="AM149" i="70"/>
  <c r="AM145" i="70"/>
  <c r="AM27" i="70"/>
  <c r="AM279" i="70"/>
  <c r="AM193" i="70"/>
  <c r="AM72" i="70"/>
  <c r="AM186" i="70"/>
  <c r="AM80" i="70"/>
  <c r="AM180" i="70"/>
  <c r="AM103" i="70"/>
  <c r="AM126" i="70"/>
  <c r="AM52" i="70"/>
  <c r="AM220" i="70"/>
  <c r="AM150" i="70"/>
  <c r="AM228" i="70"/>
  <c r="AM18" i="70"/>
  <c r="AM185" i="70"/>
  <c r="AM100" i="70"/>
  <c r="AM267" i="70"/>
  <c r="AM41" i="70"/>
  <c r="AM82" i="70"/>
  <c r="AM290" i="70"/>
  <c r="AM127" i="70"/>
  <c r="AM268" i="70"/>
  <c r="AM30" i="70"/>
  <c r="AM60" i="70"/>
  <c r="AM67" i="70"/>
  <c r="AM74" i="70"/>
  <c r="AM294" i="70"/>
  <c r="AM139" i="70"/>
  <c r="AM242" i="70"/>
  <c r="AM151" i="70"/>
  <c r="AM113" i="70"/>
  <c r="AM98" i="70"/>
  <c r="AM245" i="70"/>
  <c r="AM32" i="70"/>
  <c r="AM283" i="70"/>
  <c r="AM292" i="70"/>
  <c r="AM258" i="70"/>
  <c r="AM164" i="70"/>
  <c r="AM84" i="70"/>
  <c r="AM236" i="70"/>
  <c r="AM197" i="70"/>
  <c r="AM83" i="70"/>
  <c r="AM138" i="70"/>
  <c r="AM93" i="70"/>
  <c r="AM269" i="70"/>
  <c r="AM191" i="70"/>
  <c r="AM15" i="70"/>
  <c r="AM273" i="70"/>
  <c r="AM130" i="70"/>
  <c r="AM281" i="70"/>
  <c r="AM261" i="70"/>
  <c r="AM259" i="70"/>
  <c r="AM184" i="70"/>
  <c r="AM104" i="70"/>
  <c r="AM227" i="70"/>
  <c r="AM162" i="70"/>
  <c r="AM224" i="70"/>
  <c r="AM196" i="70"/>
  <c r="AM107" i="70"/>
  <c r="AM154" i="70"/>
  <c r="AM169" i="70"/>
  <c r="AM42" i="70"/>
  <c r="AM44" i="70"/>
  <c r="AM26" i="70"/>
  <c r="AM91" i="70"/>
  <c r="AM136" i="70"/>
  <c r="AM253" i="70"/>
  <c r="AM205" i="70"/>
  <c r="AM233" i="70"/>
  <c r="AM85" i="70"/>
  <c r="AM58" i="70"/>
  <c r="AM109" i="70"/>
  <c r="AM10" i="70"/>
  <c r="AM251" i="70"/>
  <c r="AM25" i="70"/>
  <c r="AM165" i="70"/>
  <c r="AM64" i="70"/>
  <c r="AM232" i="70"/>
  <c r="AM255" i="70"/>
  <c r="AM140" i="70"/>
  <c r="AM105" i="70"/>
  <c r="AM240" i="70"/>
  <c r="AM144" i="70"/>
  <c r="AM207" i="70"/>
  <c r="AM53" i="70"/>
  <c r="AM37" i="70"/>
  <c r="AM287" i="70"/>
  <c r="AM75" i="70"/>
  <c r="AM260" i="70"/>
  <c r="AM111" i="70"/>
  <c r="AM275" i="70"/>
  <c r="AM226" i="70"/>
  <c r="AM63" i="70"/>
  <c r="AM59" i="70"/>
  <c r="AM142" i="70"/>
  <c r="AM69" i="70"/>
  <c r="AM215" i="70"/>
  <c r="AM106" i="70"/>
  <c r="AM223" i="70"/>
  <c r="AM110" i="70"/>
  <c r="AM229" i="70"/>
  <c r="AM92" i="70"/>
  <c r="AM12" i="70"/>
  <c r="AM179" i="70"/>
  <c r="AM222" i="70"/>
  <c r="AM135" i="70"/>
  <c r="AM182" i="70"/>
  <c r="AM108" i="70"/>
  <c r="AM225" i="70"/>
  <c r="AM241" i="70"/>
  <c r="AM282" i="70"/>
  <c r="AM257" i="70"/>
  <c r="AM271" i="70"/>
  <c r="AM51" i="70"/>
  <c r="AM35" i="70"/>
  <c r="AM277" i="70"/>
  <c r="AM132" i="70"/>
  <c r="AM237" i="70"/>
  <c r="AM68" i="70"/>
  <c r="AM214" i="70"/>
  <c r="AM190" i="70"/>
  <c r="AM252" i="70"/>
  <c r="AM168" i="70"/>
  <c r="AM166" i="70"/>
  <c r="AM211" i="70"/>
  <c r="AM203" i="70"/>
  <c r="AM289" i="70"/>
  <c r="AM173" i="70"/>
  <c r="AM210" i="70"/>
  <c r="AM116" i="70"/>
  <c r="AM160" i="70"/>
  <c r="AM161" i="70"/>
  <c r="AM192" i="70"/>
  <c r="AM36" i="70"/>
  <c r="AM247" i="70"/>
  <c r="AM295" i="70"/>
  <c r="AM239" i="70"/>
  <c r="AM152" i="70"/>
  <c r="AM62" i="70"/>
  <c r="AM288" i="70"/>
  <c r="AM206" i="70"/>
  <c r="AM71" i="70"/>
  <c r="AM286" i="70"/>
  <c r="AM274" i="70"/>
  <c r="AM11" i="70"/>
  <c r="AM47" i="70"/>
  <c r="AM212" i="70"/>
  <c r="AM155" i="70"/>
  <c r="AM194" i="70"/>
  <c r="AM29" i="70"/>
  <c r="AM34" i="70"/>
  <c r="AM66" i="70"/>
  <c r="AM122" i="70"/>
  <c r="AM221" i="70"/>
  <c r="AM218" i="70"/>
  <c r="AM124" i="70"/>
  <c r="AM96" i="70"/>
  <c r="AM176" i="70"/>
  <c r="AM24" i="70"/>
  <c r="AM249" i="70"/>
  <c r="AM199" i="70"/>
  <c r="AM270" i="70"/>
  <c r="AM16" i="70"/>
  <c r="AM217" i="70"/>
  <c r="AM262" i="70"/>
  <c r="AM120" i="70"/>
  <c r="AM45" i="70"/>
  <c r="AM94" i="70"/>
  <c r="AM195" i="70"/>
  <c r="AM200" i="70"/>
  <c r="AM243" i="70"/>
  <c r="AM99" i="70"/>
  <c r="AM40" i="70"/>
  <c r="AM77" i="70"/>
  <c r="AM285" i="70"/>
  <c r="AM183" i="70"/>
  <c r="AM250" i="70"/>
  <c r="AM204" i="70"/>
  <c r="AM167" i="70"/>
  <c r="AM89" i="70"/>
  <c r="AM156" i="70"/>
  <c r="AM8" i="70"/>
  <c r="AM46" i="70"/>
  <c r="AM148" i="70"/>
  <c r="AM230" i="70"/>
  <c r="AM284" i="70"/>
  <c r="AM101" i="70"/>
  <c r="AM78" i="70"/>
  <c r="AM73" i="70"/>
  <c r="AM121" i="70"/>
  <c r="AM244" i="70"/>
  <c r="AM50" i="70"/>
  <c r="AM213" i="70"/>
  <c r="AM266" i="70"/>
  <c r="AM14" i="70"/>
  <c r="AM117" i="70"/>
  <c r="AM187" i="70"/>
  <c r="AM219" i="70"/>
  <c r="AM143" i="70"/>
  <c r="AM208" i="70"/>
  <c r="AM157" i="70"/>
  <c r="AM21" i="70"/>
  <c r="AM163" i="70"/>
  <c r="AM265" i="70"/>
  <c r="AM54" i="70"/>
  <c r="AM202" i="70"/>
  <c r="AM256" i="70"/>
  <c r="AM298" i="70"/>
  <c r="AM209" i="70"/>
  <c r="AM112" i="70"/>
  <c r="AM43" i="70"/>
  <c r="AM153" i="70"/>
  <c r="AM263" i="70"/>
  <c r="AM9" i="70"/>
  <c r="AM22" i="70"/>
  <c r="AM88" i="70"/>
  <c r="AM188" i="70"/>
  <c r="AM65" i="70"/>
  <c r="AM7" i="70"/>
  <c r="AM178" i="70"/>
  <c r="AM56" i="70"/>
  <c r="AM19" i="70"/>
  <c r="AM264" i="70"/>
  <c r="AM97" i="70"/>
  <c r="AM57" i="70"/>
  <c r="AM102" i="70"/>
  <c r="AM55" i="70"/>
  <c r="AM119" i="70"/>
  <c r="AM296" i="70"/>
  <c r="AM293" i="70"/>
  <c r="AM6" i="70"/>
  <c r="OG23" i="3"/>
  <c r="OF23" i="3"/>
  <c r="OE23" i="3"/>
  <c r="OD23" i="3"/>
  <c r="OC23" i="3"/>
  <c r="NY316" i="3"/>
  <c r="NX316" i="3"/>
  <c r="NW316" i="3"/>
  <c r="NV316" i="3"/>
  <c r="NU316" i="3"/>
  <c r="NT316" i="3"/>
  <c r="NS316" i="3"/>
  <c r="NY315" i="3"/>
  <c r="NX315" i="3"/>
  <c r="NW315" i="3"/>
  <c r="NV315" i="3"/>
  <c r="NU315" i="3"/>
  <c r="NT315" i="3"/>
  <c r="NS315" i="3"/>
  <c r="NY314" i="3"/>
  <c r="NX314" i="3"/>
  <c r="NW314" i="3"/>
  <c r="NV314" i="3"/>
  <c r="NU314" i="3"/>
  <c r="NT314" i="3"/>
  <c r="NS314" i="3"/>
  <c r="NY313" i="3"/>
  <c r="NX313" i="3"/>
  <c r="NW313" i="3"/>
  <c r="NV313" i="3"/>
  <c r="NU313" i="3"/>
  <c r="NT313" i="3"/>
  <c r="NS313" i="3"/>
  <c r="NY312" i="3"/>
  <c r="NX312" i="3"/>
  <c r="NW312" i="3"/>
  <c r="NV312" i="3"/>
  <c r="NU312" i="3"/>
  <c r="NT312" i="3"/>
  <c r="NS312" i="3"/>
  <c r="NY311" i="3"/>
  <c r="NX311" i="3"/>
  <c r="NW311" i="3"/>
  <c r="NV311" i="3"/>
  <c r="NU311" i="3"/>
  <c r="NT311" i="3"/>
  <c r="NS311" i="3"/>
  <c r="NY310" i="3"/>
  <c r="NX310" i="3"/>
  <c r="NW310" i="3"/>
  <c r="NV310" i="3"/>
  <c r="NU310" i="3"/>
  <c r="NT310" i="3"/>
  <c r="NS310" i="3"/>
  <c r="NY309" i="3"/>
  <c r="NX309" i="3"/>
  <c r="NW309" i="3"/>
  <c r="NV309" i="3"/>
  <c r="NU309" i="3"/>
  <c r="NT309" i="3"/>
  <c r="NS309" i="3"/>
  <c r="NY308" i="3"/>
  <c r="NX308" i="3"/>
  <c r="NW308" i="3"/>
  <c r="NV308" i="3"/>
  <c r="NU308" i="3"/>
  <c r="NT308" i="3"/>
  <c r="NS308" i="3"/>
  <c r="NY307" i="3"/>
  <c r="NX307" i="3"/>
  <c r="NW307" i="3"/>
  <c r="NV307" i="3"/>
  <c r="NU307" i="3"/>
  <c r="NT307" i="3"/>
  <c r="NS307" i="3"/>
  <c r="NY306" i="3"/>
  <c r="NX306" i="3"/>
  <c r="NW306" i="3"/>
  <c r="NV306" i="3"/>
  <c r="NU306" i="3"/>
  <c r="NT306" i="3"/>
  <c r="NS306" i="3"/>
  <c r="NY305" i="3"/>
  <c r="NX305" i="3"/>
  <c r="NW305" i="3"/>
  <c r="NV305" i="3"/>
  <c r="NU305" i="3"/>
  <c r="NT305" i="3"/>
  <c r="NS305" i="3"/>
  <c r="NY304" i="3"/>
  <c r="NX304" i="3"/>
  <c r="NW304" i="3"/>
  <c r="NV304" i="3"/>
  <c r="NU304" i="3"/>
  <c r="NT304" i="3"/>
  <c r="NS304" i="3"/>
  <c r="NY303" i="3"/>
  <c r="NX303" i="3"/>
  <c r="NW303" i="3"/>
  <c r="NV303" i="3"/>
  <c r="NU303" i="3"/>
  <c r="NT303" i="3"/>
  <c r="NS303" i="3"/>
  <c r="NY302" i="3"/>
  <c r="NX302" i="3"/>
  <c r="NW302" i="3"/>
  <c r="NV302" i="3"/>
  <c r="NU302" i="3"/>
  <c r="NT302" i="3"/>
  <c r="NS302" i="3"/>
  <c r="NY301" i="3"/>
  <c r="NX301" i="3"/>
  <c r="NW301" i="3"/>
  <c r="NV301" i="3"/>
  <c r="NU301" i="3"/>
  <c r="NT301" i="3"/>
  <c r="NS301" i="3"/>
  <c r="NY300" i="3"/>
  <c r="NX300" i="3"/>
  <c r="NW300" i="3"/>
  <c r="NV300" i="3"/>
  <c r="NU300" i="3"/>
  <c r="NT300" i="3"/>
  <c r="NS300" i="3"/>
  <c r="NY299" i="3"/>
  <c r="NX299" i="3"/>
  <c r="NW299" i="3"/>
  <c r="NV299" i="3"/>
  <c r="NU299" i="3"/>
  <c r="NT299" i="3"/>
  <c r="NS299" i="3"/>
  <c r="NY298" i="3"/>
  <c r="NX298" i="3"/>
  <c r="NW298" i="3"/>
  <c r="NV298" i="3"/>
  <c r="NU298" i="3"/>
  <c r="NT298" i="3"/>
  <c r="NS298" i="3"/>
  <c r="NY297" i="3"/>
  <c r="NX297" i="3"/>
  <c r="NW297" i="3"/>
  <c r="NV297" i="3"/>
  <c r="NU297" i="3"/>
  <c r="NT297" i="3"/>
  <c r="NS297" i="3"/>
  <c r="NY296" i="3"/>
  <c r="NX296" i="3"/>
  <c r="NW296" i="3"/>
  <c r="NV296" i="3"/>
  <c r="NU296" i="3"/>
  <c r="NT296" i="3"/>
  <c r="NS296" i="3"/>
  <c r="NY295" i="3"/>
  <c r="NX295" i="3"/>
  <c r="NW295" i="3"/>
  <c r="NV295" i="3"/>
  <c r="NU295" i="3"/>
  <c r="NT295" i="3"/>
  <c r="NS295" i="3"/>
  <c r="NY294" i="3"/>
  <c r="NX294" i="3"/>
  <c r="NW294" i="3"/>
  <c r="NV294" i="3"/>
  <c r="NU294" i="3"/>
  <c r="NT294" i="3"/>
  <c r="NS294" i="3"/>
  <c r="NY293" i="3"/>
  <c r="NX293" i="3"/>
  <c r="NW293" i="3"/>
  <c r="NV293" i="3"/>
  <c r="NU293" i="3"/>
  <c r="NT293" i="3"/>
  <c r="NS293" i="3"/>
  <c r="NY292" i="3"/>
  <c r="NX292" i="3"/>
  <c r="NW292" i="3"/>
  <c r="NV292" i="3"/>
  <c r="NU292" i="3"/>
  <c r="NT292" i="3"/>
  <c r="NS292" i="3"/>
  <c r="NY291" i="3"/>
  <c r="NX291" i="3"/>
  <c r="NW291" i="3"/>
  <c r="NV291" i="3"/>
  <c r="NU291" i="3"/>
  <c r="NT291" i="3"/>
  <c r="NS291" i="3"/>
  <c r="NY290" i="3"/>
  <c r="NX290" i="3"/>
  <c r="NW290" i="3"/>
  <c r="NV290" i="3"/>
  <c r="NU290" i="3"/>
  <c r="NT290" i="3"/>
  <c r="NS290" i="3"/>
  <c r="NY289" i="3"/>
  <c r="NX289" i="3"/>
  <c r="NW289" i="3"/>
  <c r="NV289" i="3"/>
  <c r="NU289" i="3"/>
  <c r="NT289" i="3"/>
  <c r="NS289" i="3"/>
  <c r="NY288" i="3"/>
  <c r="NX288" i="3"/>
  <c r="NW288" i="3"/>
  <c r="NV288" i="3"/>
  <c r="NU288" i="3"/>
  <c r="NT288" i="3"/>
  <c r="NS288" i="3"/>
  <c r="NY287" i="3"/>
  <c r="NX287" i="3"/>
  <c r="NW287" i="3"/>
  <c r="NV287" i="3"/>
  <c r="NU287" i="3"/>
  <c r="NT287" i="3"/>
  <c r="NS287" i="3"/>
  <c r="NY286" i="3"/>
  <c r="NX286" i="3"/>
  <c r="NW286" i="3"/>
  <c r="NV286" i="3"/>
  <c r="NU286" i="3"/>
  <c r="NT286" i="3"/>
  <c r="NS286" i="3"/>
  <c r="NY285" i="3"/>
  <c r="NX285" i="3"/>
  <c r="NW285" i="3"/>
  <c r="NV285" i="3"/>
  <c r="NU285" i="3"/>
  <c r="NT285" i="3"/>
  <c r="NS285" i="3"/>
  <c r="NY284" i="3"/>
  <c r="NX284" i="3"/>
  <c r="NW284" i="3"/>
  <c r="NV284" i="3"/>
  <c r="NU284" i="3"/>
  <c r="NT284" i="3"/>
  <c r="NS284" i="3"/>
  <c r="NY283" i="3"/>
  <c r="NX283" i="3"/>
  <c r="NW283" i="3"/>
  <c r="NV283" i="3"/>
  <c r="NU283" i="3"/>
  <c r="NT283" i="3"/>
  <c r="NS283" i="3"/>
  <c r="NY282" i="3"/>
  <c r="NX282" i="3"/>
  <c r="NW282" i="3"/>
  <c r="NV282" i="3"/>
  <c r="NU282" i="3"/>
  <c r="NT282" i="3"/>
  <c r="NS282" i="3"/>
  <c r="NY281" i="3"/>
  <c r="NX281" i="3"/>
  <c r="NW281" i="3"/>
  <c r="NV281" i="3"/>
  <c r="NU281" i="3"/>
  <c r="NT281" i="3"/>
  <c r="NS281" i="3"/>
  <c r="NY280" i="3"/>
  <c r="NX280" i="3"/>
  <c r="NW280" i="3"/>
  <c r="NV280" i="3"/>
  <c r="NU280" i="3"/>
  <c r="NT280" i="3"/>
  <c r="NS280" i="3"/>
  <c r="NY279" i="3"/>
  <c r="NX279" i="3"/>
  <c r="NW279" i="3"/>
  <c r="NV279" i="3"/>
  <c r="NU279" i="3"/>
  <c r="NT279" i="3"/>
  <c r="NS279" i="3"/>
  <c r="NY278" i="3"/>
  <c r="NX278" i="3"/>
  <c r="NW278" i="3"/>
  <c r="NV278" i="3"/>
  <c r="NU278" i="3"/>
  <c r="NT278" i="3"/>
  <c r="NS278" i="3"/>
  <c r="NY277" i="3"/>
  <c r="NX277" i="3"/>
  <c r="NW277" i="3"/>
  <c r="NV277" i="3"/>
  <c r="NU277" i="3"/>
  <c r="NT277" i="3"/>
  <c r="NS277" i="3"/>
  <c r="NY276" i="3"/>
  <c r="NX276" i="3"/>
  <c r="NW276" i="3"/>
  <c r="NV276" i="3"/>
  <c r="NU276" i="3"/>
  <c r="NT276" i="3"/>
  <c r="NS276" i="3"/>
  <c r="NY275" i="3"/>
  <c r="NX275" i="3"/>
  <c r="NW275" i="3"/>
  <c r="NV275" i="3"/>
  <c r="NU275" i="3"/>
  <c r="NT275" i="3"/>
  <c r="NS275" i="3"/>
  <c r="NY274" i="3"/>
  <c r="NX274" i="3"/>
  <c r="NW274" i="3"/>
  <c r="NV274" i="3"/>
  <c r="NU274" i="3"/>
  <c r="NT274" i="3"/>
  <c r="NS274" i="3"/>
  <c r="NY273" i="3"/>
  <c r="NX273" i="3"/>
  <c r="NW273" i="3"/>
  <c r="NV273" i="3"/>
  <c r="NU273" i="3"/>
  <c r="NT273" i="3"/>
  <c r="NS273" i="3"/>
  <c r="NY272" i="3"/>
  <c r="NX272" i="3"/>
  <c r="NW272" i="3"/>
  <c r="NV272" i="3"/>
  <c r="NU272" i="3"/>
  <c r="NT272" i="3"/>
  <c r="NS272" i="3"/>
  <c r="NY271" i="3"/>
  <c r="NX271" i="3"/>
  <c r="NW271" i="3"/>
  <c r="NV271" i="3"/>
  <c r="NU271" i="3"/>
  <c r="NT271" i="3"/>
  <c r="NS271" i="3"/>
  <c r="NY270" i="3"/>
  <c r="NX270" i="3"/>
  <c r="NW270" i="3"/>
  <c r="NV270" i="3"/>
  <c r="NU270" i="3"/>
  <c r="NT270" i="3"/>
  <c r="NS270" i="3"/>
  <c r="NY269" i="3"/>
  <c r="NX269" i="3"/>
  <c r="NW269" i="3"/>
  <c r="NV269" i="3"/>
  <c r="NU269" i="3"/>
  <c r="NT269" i="3"/>
  <c r="NS269" i="3"/>
  <c r="NY268" i="3"/>
  <c r="NX268" i="3"/>
  <c r="NW268" i="3"/>
  <c r="NV268" i="3"/>
  <c r="NU268" i="3"/>
  <c r="NT268" i="3"/>
  <c r="NS268" i="3"/>
  <c r="NY267" i="3"/>
  <c r="NX267" i="3"/>
  <c r="NW267" i="3"/>
  <c r="NV267" i="3"/>
  <c r="NU267" i="3"/>
  <c r="NT267" i="3"/>
  <c r="NS267" i="3"/>
  <c r="NY266" i="3"/>
  <c r="NX266" i="3"/>
  <c r="NW266" i="3"/>
  <c r="NV266" i="3"/>
  <c r="NU266" i="3"/>
  <c r="NT266" i="3"/>
  <c r="NS266" i="3"/>
  <c r="NY265" i="3"/>
  <c r="NX265" i="3"/>
  <c r="NW265" i="3"/>
  <c r="NV265" i="3"/>
  <c r="NU265" i="3"/>
  <c r="NT265" i="3"/>
  <c r="NS265" i="3"/>
  <c r="NY264" i="3"/>
  <c r="NX264" i="3"/>
  <c r="NW264" i="3"/>
  <c r="NV264" i="3"/>
  <c r="NU264" i="3"/>
  <c r="NT264" i="3"/>
  <c r="NS264" i="3"/>
  <c r="NY263" i="3"/>
  <c r="NX263" i="3"/>
  <c r="NW263" i="3"/>
  <c r="NV263" i="3"/>
  <c r="NU263" i="3"/>
  <c r="NT263" i="3"/>
  <c r="NS263" i="3"/>
  <c r="NY262" i="3"/>
  <c r="NX262" i="3"/>
  <c r="NW262" i="3"/>
  <c r="NV262" i="3"/>
  <c r="NU262" i="3"/>
  <c r="NT262" i="3"/>
  <c r="NS262" i="3"/>
  <c r="NY261" i="3"/>
  <c r="NX261" i="3"/>
  <c r="NW261" i="3"/>
  <c r="NV261" i="3"/>
  <c r="NU261" i="3"/>
  <c r="NT261" i="3"/>
  <c r="NS261" i="3"/>
  <c r="NY260" i="3"/>
  <c r="NX260" i="3"/>
  <c r="NW260" i="3"/>
  <c r="NV260" i="3"/>
  <c r="NU260" i="3"/>
  <c r="NT260" i="3"/>
  <c r="NS260" i="3"/>
  <c r="NY259" i="3"/>
  <c r="NX259" i="3"/>
  <c r="NW259" i="3"/>
  <c r="NV259" i="3"/>
  <c r="NU259" i="3"/>
  <c r="NT259" i="3"/>
  <c r="NS259" i="3"/>
  <c r="NY258" i="3"/>
  <c r="NX258" i="3"/>
  <c r="NW258" i="3"/>
  <c r="NV258" i="3"/>
  <c r="NU258" i="3"/>
  <c r="NT258" i="3"/>
  <c r="NS258" i="3"/>
  <c r="NY257" i="3"/>
  <c r="NX257" i="3"/>
  <c r="NW257" i="3"/>
  <c r="NV257" i="3"/>
  <c r="NU257" i="3"/>
  <c r="NT257" i="3"/>
  <c r="NS257" i="3"/>
  <c r="NY256" i="3"/>
  <c r="NX256" i="3"/>
  <c r="NW256" i="3"/>
  <c r="NV256" i="3"/>
  <c r="NU256" i="3"/>
  <c r="NT256" i="3"/>
  <c r="NS256" i="3"/>
  <c r="NY255" i="3"/>
  <c r="NX255" i="3"/>
  <c r="NW255" i="3"/>
  <c r="NV255" i="3"/>
  <c r="NU255" i="3"/>
  <c r="NT255" i="3"/>
  <c r="NS255" i="3"/>
  <c r="NY254" i="3"/>
  <c r="NX254" i="3"/>
  <c r="NW254" i="3"/>
  <c r="NV254" i="3"/>
  <c r="NU254" i="3"/>
  <c r="NT254" i="3"/>
  <c r="NS254" i="3"/>
  <c r="NY253" i="3"/>
  <c r="NX253" i="3"/>
  <c r="NW253" i="3"/>
  <c r="NV253" i="3"/>
  <c r="NU253" i="3"/>
  <c r="NT253" i="3"/>
  <c r="NS253" i="3"/>
  <c r="NY252" i="3"/>
  <c r="NX252" i="3"/>
  <c r="NW252" i="3"/>
  <c r="NV252" i="3"/>
  <c r="NU252" i="3"/>
  <c r="NT252" i="3"/>
  <c r="NS252" i="3"/>
  <c r="NY251" i="3"/>
  <c r="NX251" i="3"/>
  <c r="NW251" i="3"/>
  <c r="NV251" i="3"/>
  <c r="NU251" i="3"/>
  <c r="NT251" i="3"/>
  <c r="NS251" i="3"/>
  <c r="NY250" i="3"/>
  <c r="NX250" i="3"/>
  <c r="NW250" i="3"/>
  <c r="NV250" i="3"/>
  <c r="NU250" i="3"/>
  <c r="NT250" i="3"/>
  <c r="NS250" i="3"/>
  <c r="NY249" i="3"/>
  <c r="NX249" i="3"/>
  <c r="NW249" i="3"/>
  <c r="NV249" i="3"/>
  <c r="NU249" i="3"/>
  <c r="NT249" i="3"/>
  <c r="NS249" i="3"/>
  <c r="NY248" i="3"/>
  <c r="NX248" i="3"/>
  <c r="NW248" i="3"/>
  <c r="NV248" i="3"/>
  <c r="NU248" i="3"/>
  <c r="NT248" i="3"/>
  <c r="NS248" i="3"/>
  <c r="NY247" i="3"/>
  <c r="NX247" i="3"/>
  <c r="NW247" i="3"/>
  <c r="NV247" i="3"/>
  <c r="NU247" i="3"/>
  <c r="NT247" i="3"/>
  <c r="NS247" i="3"/>
  <c r="NY246" i="3"/>
  <c r="NX246" i="3"/>
  <c r="NW246" i="3"/>
  <c r="NV246" i="3"/>
  <c r="NU246" i="3"/>
  <c r="NT246" i="3"/>
  <c r="NS246" i="3"/>
  <c r="NY245" i="3"/>
  <c r="NX245" i="3"/>
  <c r="NW245" i="3"/>
  <c r="NV245" i="3"/>
  <c r="NU245" i="3"/>
  <c r="NT245" i="3"/>
  <c r="NS245" i="3"/>
  <c r="NY244" i="3"/>
  <c r="NX244" i="3"/>
  <c r="NW244" i="3"/>
  <c r="NV244" i="3"/>
  <c r="NU244" i="3"/>
  <c r="NT244" i="3"/>
  <c r="NS244" i="3"/>
  <c r="NY243" i="3"/>
  <c r="NX243" i="3"/>
  <c r="NW243" i="3"/>
  <c r="NV243" i="3"/>
  <c r="NU243" i="3"/>
  <c r="NT243" i="3"/>
  <c r="NS243" i="3"/>
  <c r="NY242" i="3"/>
  <c r="NX242" i="3"/>
  <c r="NW242" i="3"/>
  <c r="NV242" i="3"/>
  <c r="NU242" i="3"/>
  <c r="NT242" i="3"/>
  <c r="NS242" i="3"/>
  <c r="NY241" i="3"/>
  <c r="NX241" i="3"/>
  <c r="NW241" i="3"/>
  <c r="NV241" i="3"/>
  <c r="NU241" i="3"/>
  <c r="NT241" i="3"/>
  <c r="NS241" i="3"/>
  <c r="NY240" i="3"/>
  <c r="NX240" i="3"/>
  <c r="NW240" i="3"/>
  <c r="NV240" i="3"/>
  <c r="NU240" i="3"/>
  <c r="NT240" i="3"/>
  <c r="NS240" i="3"/>
  <c r="NY239" i="3"/>
  <c r="NX239" i="3"/>
  <c r="NW239" i="3"/>
  <c r="NV239" i="3"/>
  <c r="NU239" i="3"/>
  <c r="NT239" i="3"/>
  <c r="NS239" i="3"/>
  <c r="NY238" i="3"/>
  <c r="NX238" i="3"/>
  <c r="NW238" i="3"/>
  <c r="NV238" i="3"/>
  <c r="NU238" i="3"/>
  <c r="NT238" i="3"/>
  <c r="NS238" i="3"/>
  <c r="NY237" i="3"/>
  <c r="NX237" i="3"/>
  <c r="NW237" i="3"/>
  <c r="NV237" i="3"/>
  <c r="NU237" i="3"/>
  <c r="NT237" i="3"/>
  <c r="NS237" i="3"/>
  <c r="NY236" i="3"/>
  <c r="NX236" i="3"/>
  <c r="NW236" i="3"/>
  <c r="NV236" i="3"/>
  <c r="NU236" i="3"/>
  <c r="NT236" i="3"/>
  <c r="NS236" i="3"/>
  <c r="NY235" i="3"/>
  <c r="NX235" i="3"/>
  <c r="NW235" i="3"/>
  <c r="NV235" i="3"/>
  <c r="NU235" i="3"/>
  <c r="NT235" i="3"/>
  <c r="NS235" i="3"/>
  <c r="NY234" i="3"/>
  <c r="NX234" i="3"/>
  <c r="NW234" i="3"/>
  <c r="NV234" i="3"/>
  <c r="NU234" i="3"/>
  <c r="NT234" i="3"/>
  <c r="NS234" i="3"/>
  <c r="NY233" i="3"/>
  <c r="NX233" i="3"/>
  <c r="NW233" i="3"/>
  <c r="NV233" i="3"/>
  <c r="NU233" i="3"/>
  <c r="NT233" i="3"/>
  <c r="NS233" i="3"/>
  <c r="NY232" i="3"/>
  <c r="NX232" i="3"/>
  <c r="NW232" i="3"/>
  <c r="NV232" i="3"/>
  <c r="NU232" i="3"/>
  <c r="NT232" i="3"/>
  <c r="NS232" i="3"/>
  <c r="NY231" i="3"/>
  <c r="NX231" i="3"/>
  <c r="NW231" i="3"/>
  <c r="NV231" i="3"/>
  <c r="NU231" i="3"/>
  <c r="NT231" i="3"/>
  <c r="NS231" i="3"/>
  <c r="NY230" i="3"/>
  <c r="NX230" i="3"/>
  <c r="NW230" i="3"/>
  <c r="NV230" i="3"/>
  <c r="NU230" i="3"/>
  <c r="NT230" i="3"/>
  <c r="NS230" i="3"/>
  <c r="NY229" i="3"/>
  <c r="NX229" i="3"/>
  <c r="NW229" i="3"/>
  <c r="NV229" i="3"/>
  <c r="NU229" i="3"/>
  <c r="NT229" i="3"/>
  <c r="NS229" i="3"/>
  <c r="NY228" i="3"/>
  <c r="NX228" i="3"/>
  <c r="NW228" i="3"/>
  <c r="NV228" i="3"/>
  <c r="NU228" i="3"/>
  <c r="NT228" i="3"/>
  <c r="NS228" i="3"/>
  <c r="NY227" i="3"/>
  <c r="NX227" i="3"/>
  <c r="NW227" i="3"/>
  <c r="NV227" i="3"/>
  <c r="NU227" i="3"/>
  <c r="NT227" i="3"/>
  <c r="NS227" i="3"/>
  <c r="NY226" i="3"/>
  <c r="NX226" i="3"/>
  <c r="NW226" i="3"/>
  <c r="NV226" i="3"/>
  <c r="NU226" i="3"/>
  <c r="NT226" i="3"/>
  <c r="NS226" i="3"/>
  <c r="NY225" i="3"/>
  <c r="NX225" i="3"/>
  <c r="NW225" i="3"/>
  <c r="NV225" i="3"/>
  <c r="NU225" i="3"/>
  <c r="NT225" i="3"/>
  <c r="NS225" i="3"/>
  <c r="NY224" i="3"/>
  <c r="NX224" i="3"/>
  <c r="NW224" i="3"/>
  <c r="NV224" i="3"/>
  <c r="NU224" i="3"/>
  <c r="NT224" i="3"/>
  <c r="NS224" i="3"/>
  <c r="NY223" i="3"/>
  <c r="NX223" i="3"/>
  <c r="NW223" i="3"/>
  <c r="NV223" i="3"/>
  <c r="NU223" i="3"/>
  <c r="NT223" i="3"/>
  <c r="NS223" i="3"/>
  <c r="NY222" i="3"/>
  <c r="NX222" i="3"/>
  <c r="NW222" i="3"/>
  <c r="NV222" i="3"/>
  <c r="NU222" i="3"/>
  <c r="NT222" i="3"/>
  <c r="NS222" i="3"/>
  <c r="NY221" i="3"/>
  <c r="NX221" i="3"/>
  <c r="NW221" i="3"/>
  <c r="NV221" i="3"/>
  <c r="NU221" i="3"/>
  <c r="NT221" i="3"/>
  <c r="NS221" i="3"/>
  <c r="NY220" i="3"/>
  <c r="NX220" i="3"/>
  <c r="NW220" i="3"/>
  <c r="NV220" i="3"/>
  <c r="NU220" i="3"/>
  <c r="NT220" i="3"/>
  <c r="NS220" i="3"/>
  <c r="NY219" i="3"/>
  <c r="NX219" i="3"/>
  <c r="NW219" i="3"/>
  <c r="NV219" i="3"/>
  <c r="NU219" i="3"/>
  <c r="NT219" i="3"/>
  <c r="NS219" i="3"/>
  <c r="NY218" i="3"/>
  <c r="NX218" i="3"/>
  <c r="NW218" i="3"/>
  <c r="NV218" i="3"/>
  <c r="NU218" i="3"/>
  <c r="NT218" i="3"/>
  <c r="NS218" i="3"/>
  <c r="NY217" i="3"/>
  <c r="NX217" i="3"/>
  <c r="NW217" i="3"/>
  <c r="NV217" i="3"/>
  <c r="NU217" i="3"/>
  <c r="NT217" i="3"/>
  <c r="NS217" i="3"/>
  <c r="NY216" i="3"/>
  <c r="NX216" i="3"/>
  <c r="NW216" i="3"/>
  <c r="NV216" i="3"/>
  <c r="NU216" i="3"/>
  <c r="NT216" i="3"/>
  <c r="NS216" i="3"/>
  <c r="NY215" i="3"/>
  <c r="NX215" i="3"/>
  <c r="NW215" i="3"/>
  <c r="NV215" i="3"/>
  <c r="NU215" i="3"/>
  <c r="NT215" i="3"/>
  <c r="NS215" i="3"/>
  <c r="NY214" i="3"/>
  <c r="NX214" i="3"/>
  <c r="NW214" i="3"/>
  <c r="NV214" i="3"/>
  <c r="NU214" i="3"/>
  <c r="NT214" i="3"/>
  <c r="NS214" i="3"/>
  <c r="NY213" i="3"/>
  <c r="NX213" i="3"/>
  <c r="NW213" i="3"/>
  <c r="NV213" i="3"/>
  <c r="NU213" i="3"/>
  <c r="NT213" i="3"/>
  <c r="NS213" i="3"/>
  <c r="NY212" i="3"/>
  <c r="NX212" i="3"/>
  <c r="NW212" i="3"/>
  <c r="NV212" i="3"/>
  <c r="NU212" i="3"/>
  <c r="NT212" i="3"/>
  <c r="NS212" i="3"/>
  <c r="NY211" i="3"/>
  <c r="NX211" i="3"/>
  <c r="NW211" i="3"/>
  <c r="NV211" i="3"/>
  <c r="NU211" i="3"/>
  <c r="NT211" i="3"/>
  <c r="NS211" i="3"/>
  <c r="NY210" i="3"/>
  <c r="NX210" i="3"/>
  <c r="NW210" i="3"/>
  <c r="NV210" i="3"/>
  <c r="NU210" i="3"/>
  <c r="NT210" i="3"/>
  <c r="NS210" i="3"/>
  <c r="NY209" i="3"/>
  <c r="NX209" i="3"/>
  <c r="NW209" i="3"/>
  <c r="NV209" i="3"/>
  <c r="NU209" i="3"/>
  <c r="NT209" i="3"/>
  <c r="NS209" i="3"/>
  <c r="NY208" i="3"/>
  <c r="NX208" i="3"/>
  <c r="NW208" i="3"/>
  <c r="NV208" i="3"/>
  <c r="NU208" i="3"/>
  <c r="NT208" i="3"/>
  <c r="NS208" i="3"/>
  <c r="NY207" i="3"/>
  <c r="NX207" i="3"/>
  <c r="NW207" i="3"/>
  <c r="NV207" i="3"/>
  <c r="NU207" i="3"/>
  <c r="NT207" i="3"/>
  <c r="NS207" i="3"/>
  <c r="NY206" i="3"/>
  <c r="NX206" i="3"/>
  <c r="NW206" i="3"/>
  <c r="NV206" i="3"/>
  <c r="NU206" i="3"/>
  <c r="NT206" i="3"/>
  <c r="NS206" i="3"/>
  <c r="NY205" i="3"/>
  <c r="NX205" i="3"/>
  <c r="NW205" i="3"/>
  <c r="NV205" i="3"/>
  <c r="NU205" i="3"/>
  <c r="NT205" i="3"/>
  <c r="NS205" i="3"/>
  <c r="NY204" i="3"/>
  <c r="NX204" i="3"/>
  <c r="NW204" i="3"/>
  <c r="NV204" i="3"/>
  <c r="NU204" i="3"/>
  <c r="NT204" i="3"/>
  <c r="NS204" i="3"/>
  <c r="NY203" i="3"/>
  <c r="NX203" i="3"/>
  <c r="NW203" i="3"/>
  <c r="NV203" i="3"/>
  <c r="NU203" i="3"/>
  <c r="NT203" i="3"/>
  <c r="NS203" i="3"/>
  <c r="NY202" i="3"/>
  <c r="NX202" i="3"/>
  <c r="NW202" i="3"/>
  <c r="NV202" i="3"/>
  <c r="NU202" i="3"/>
  <c r="NT202" i="3"/>
  <c r="NS202" i="3"/>
  <c r="NY201" i="3"/>
  <c r="NX201" i="3"/>
  <c r="NW201" i="3"/>
  <c r="NV201" i="3"/>
  <c r="NU201" i="3"/>
  <c r="NT201" i="3"/>
  <c r="NS201" i="3"/>
  <c r="NY200" i="3"/>
  <c r="NX200" i="3"/>
  <c r="NW200" i="3"/>
  <c r="NV200" i="3"/>
  <c r="NU200" i="3"/>
  <c r="NT200" i="3"/>
  <c r="NS200" i="3"/>
  <c r="NY199" i="3"/>
  <c r="NX199" i="3"/>
  <c r="NW199" i="3"/>
  <c r="NV199" i="3"/>
  <c r="NU199" i="3"/>
  <c r="NT199" i="3"/>
  <c r="NS199" i="3"/>
  <c r="NY198" i="3"/>
  <c r="NX198" i="3"/>
  <c r="NW198" i="3"/>
  <c r="NV198" i="3"/>
  <c r="NU198" i="3"/>
  <c r="NT198" i="3"/>
  <c r="NS198" i="3"/>
  <c r="NY197" i="3"/>
  <c r="NX197" i="3"/>
  <c r="NW197" i="3"/>
  <c r="NV197" i="3"/>
  <c r="NU197" i="3"/>
  <c r="NT197" i="3"/>
  <c r="NS197" i="3"/>
  <c r="NY196" i="3"/>
  <c r="NX196" i="3"/>
  <c r="NW196" i="3"/>
  <c r="NV196" i="3"/>
  <c r="NU196" i="3"/>
  <c r="NT196" i="3"/>
  <c r="NS196" i="3"/>
  <c r="NY195" i="3"/>
  <c r="NX195" i="3"/>
  <c r="NW195" i="3"/>
  <c r="NV195" i="3"/>
  <c r="NU195" i="3"/>
  <c r="NT195" i="3"/>
  <c r="NS195" i="3"/>
  <c r="NY194" i="3"/>
  <c r="NX194" i="3"/>
  <c r="NW194" i="3"/>
  <c r="NV194" i="3"/>
  <c r="NU194" i="3"/>
  <c r="NT194" i="3"/>
  <c r="NS194" i="3"/>
  <c r="NY193" i="3"/>
  <c r="NX193" i="3"/>
  <c r="NW193" i="3"/>
  <c r="NV193" i="3"/>
  <c r="NU193" i="3"/>
  <c r="NT193" i="3"/>
  <c r="NS193" i="3"/>
  <c r="NY192" i="3"/>
  <c r="NX192" i="3"/>
  <c r="NW192" i="3"/>
  <c r="NV192" i="3"/>
  <c r="NU192" i="3"/>
  <c r="NT192" i="3"/>
  <c r="NS192" i="3"/>
  <c r="NY191" i="3"/>
  <c r="NX191" i="3"/>
  <c r="NW191" i="3"/>
  <c r="NV191" i="3"/>
  <c r="NU191" i="3"/>
  <c r="NT191" i="3"/>
  <c r="NS191" i="3"/>
  <c r="NY190" i="3"/>
  <c r="NX190" i="3"/>
  <c r="NW190" i="3"/>
  <c r="NV190" i="3"/>
  <c r="NU190" i="3"/>
  <c r="NT190" i="3"/>
  <c r="NS190" i="3"/>
  <c r="NY189" i="3"/>
  <c r="NX189" i="3"/>
  <c r="NW189" i="3"/>
  <c r="NV189" i="3"/>
  <c r="NU189" i="3"/>
  <c r="NT189" i="3"/>
  <c r="NS189" i="3"/>
  <c r="NY188" i="3"/>
  <c r="NX188" i="3"/>
  <c r="NW188" i="3"/>
  <c r="NV188" i="3"/>
  <c r="NU188" i="3"/>
  <c r="NT188" i="3"/>
  <c r="NS188" i="3"/>
  <c r="NY187" i="3"/>
  <c r="NX187" i="3"/>
  <c r="NW187" i="3"/>
  <c r="NV187" i="3"/>
  <c r="NU187" i="3"/>
  <c r="NT187" i="3"/>
  <c r="NS187" i="3"/>
  <c r="NY186" i="3"/>
  <c r="NX186" i="3"/>
  <c r="NW186" i="3"/>
  <c r="NV186" i="3"/>
  <c r="NU186" i="3"/>
  <c r="NT186" i="3"/>
  <c r="NS186" i="3"/>
  <c r="NY185" i="3"/>
  <c r="NX185" i="3"/>
  <c r="NW185" i="3"/>
  <c r="NV185" i="3"/>
  <c r="NU185" i="3"/>
  <c r="NT185" i="3"/>
  <c r="NS185" i="3"/>
  <c r="NY184" i="3"/>
  <c r="NX184" i="3"/>
  <c r="NW184" i="3"/>
  <c r="NV184" i="3"/>
  <c r="NU184" i="3"/>
  <c r="NT184" i="3"/>
  <c r="NS184" i="3"/>
  <c r="NY183" i="3"/>
  <c r="NX183" i="3"/>
  <c r="NW183" i="3"/>
  <c r="NV183" i="3"/>
  <c r="NU183" i="3"/>
  <c r="NT183" i="3"/>
  <c r="NS183" i="3"/>
  <c r="NY182" i="3"/>
  <c r="NX182" i="3"/>
  <c r="NW182" i="3"/>
  <c r="NV182" i="3"/>
  <c r="NU182" i="3"/>
  <c r="NT182" i="3"/>
  <c r="NS182" i="3"/>
  <c r="NY181" i="3"/>
  <c r="NX181" i="3"/>
  <c r="NW181" i="3"/>
  <c r="NV181" i="3"/>
  <c r="NU181" i="3"/>
  <c r="NT181" i="3"/>
  <c r="NS181" i="3"/>
  <c r="NY180" i="3"/>
  <c r="NX180" i="3"/>
  <c r="NW180" i="3"/>
  <c r="NV180" i="3"/>
  <c r="NU180" i="3"/>
  <c r="NT180" i="3"/>
  <c r="NS180" i="3"/>
  <c r="NY179" i="3"/>
  <c r="NX179" i="3"/>
  <c r="NW179" i="3"/>
  <c r="NV179" i="3"/>
  <c r="NU179" i="3"/>
  <c r="NT179" i="3"/>
  <c r="NS179" i="3"/>
  <c r="NY178" i="3"/>
  <c r="NX178" i="3"/>
  <c r="NW178" i="3"/>
  <c r="NV178" i="3"/>
  <c r="NU178" i="3"/>
  <c r="NT178" i="3"/>
  <c r="NS178" i="3"/>
  <c r="NY177" i="3"/>
  <c r="NX177" i="3"/>
  <c r="NW177" i="3"/>
  <c r="NV177" i="3"/>
  <c r="NU177" i="3"/>
  <c r="NT177" i="3"/>
  <c r="NS177" i="3"/>
  <c r="NY176" i="3"/>
  <c r="NX176" i="3"/>
  <c r="NW176" i="3"/>
  <c r="NV176" i="3"/>
  <c r="NU176" i="3"/>
  <c r="NT176" i="3"/>
  <c r="NS176" i="3"/>
  <c r="NY175" i="3"/>
  <c r="NX175" i="3"/>
  <c r="NW175" i="3"/>
  <c r="NV175" i="3"/>
  <c r="NU175" i="3"/>
  <c r="NT175" i="3"/>
  <c r="NS175" i="3"/>
  <c r="NY174" i="3"/>
  <c r="NX174" i="3"/>
  <c r="NW174" i="3"/>
  <c r="NV174" i="3"/>
  <c r="NU174" i="3"/>
  <c r="NT174" i="3"/>
  <c r="NS174" i="3"/>
  <c r="NY173" i="3"/>
  <c r="NX173" i="3"/>
  <c r="NW173" i="3"/>
  <c r="NV173" i="3"/>
  <c r="NU173" i="3"/>
  <c r="NT173" i="3"/>
  <c r="NS173" i="3"/>
  <c r="NY172" i="3"/>
  <c r="NX172" i="3"/>
  <c r="NW172" i="3"/>
  <c r="NV172" i="3"/>
  <c r="NU172" i="3"/>
  <c r="NT172" i="3"/>
  <c r="NS172" i="3"/>
  <c r="NY171" i="3"/>
  <c r="NX171" i="3"/>
  <c r="NW171" i="3"/>
  <c r="NV171" i="3"/>
  <c r="NU171" i="3"/>
  <c r="NT171" i="3"/>
  <c r="NS171" i="3"/>
  <c r="NY170" i="3"/>
  <c r="NX170" i="3"/>
  <c r="NW170" i="3"/>
  <c r="NV170" i="3"/>
  <c r="NU170" i="3"/>
  <c r="NT170" i="3"/>
  <c r="NS170" i="3"/>
  <c r="NY169" i="3"/>
  <c r="NX169" i="3"/>
  <c r="NW169" i="3"/>
  <c r="NV169" i="3"/>
  <c r="NU169" i="3"/>
  <c r="NT169" i="3"/>
  <c r="NS169" i="3"/>
  <c r="NY168" i="3"/>
  <c r="NX168" i="3"/>
  <c r="NW168" i="3"/>
  <c r="NV168" i="3"/>
  <c r="NU168" i="3"/>
  <c r="NT168" i="3"/>
  <c r="NS168" i="3"/>
  <c r="NY167" i="3"/>
  <c r="NX167" i="3"/>
  <c r="NW167" i="3"/>
  <c r="NV167" i="3"/>
  <c r="NU167" i="3"/>
  <c r="NT167" i="3"/>
  <c r="NS167" i="3"/>
  <c r="NY166" i="3"/>
  <c r="NX166" i="3"/>
  <c r="NW166" i="3"/>
  <c r="NV166" i="3"/>
  <c r="NU166" i="3"/>
  <c r="NT166" i="3"/>
  <c r="NS166" i="3"/>
  <c r="NY165" i="3"/>
  <c r="NX165" i="3"/>
  <c r="NW165" i="3"/>
  <c r="NV165" i="3"/>
  <c r="NU165" i="3"/>
  <c r="NT165" i="3"/>
  <c r="NS165" i="3"/>
  <c r="NY164" i="3"/>
  <c r="NX164" i="3"/>
  <c r="NW164" i="3"/>
  <c r="NV164" i="3"/>
  <c r="NU164" i="3"/>
  <c r="NT164" i="3"/>
  <c r="NS164" i="3"/>
  <c r="NY163" i="3"/>
  <c r="NX163" i="3"/>
  <c r="NW163" i="3"/>
  <c r="NV163" i="3"/>
  <c r="NU163" i="3"/>
  <c r="NT163" i="3"/>
  <c r="NS163" i="3"/>
  <c r="NY162" i="3"/>
  <c r="NX162" i="3"/>
  <c r="NW162" i="3"/>
  <c r="NV162" i="3"/>
  <c r="NU162" i="3"/>
  <c r="NT162" i="3"/>
  <c r="NS162" i="3"/>
  <c r="NY161" i="3"/>
  <c r="NX161" i="3"/>
  <c r="NW161" i="3"/>
  <c r="NV161" i="3"/>
  <c r="NU161" i="3"/>
  <c r="NT161" i="3"/>
  <c r="NS161" i="3"/>
  <c r="NY160" i="3"/>
  <c r="NX160" i="3"/>
  <c r="NW160" i="3"/>
  <c r="NV160" i="3"/>
  <c r="NU160" i="3"/>
  <c r="NT160" i="3"/>
  <c r="NS160" i="3"/>
  <c r="NY159" i="3"/>
  <c r="NX159" i="3"/>
  <c r="NW159" i="3"/>
  <c r="NV159" i="3"/>
  <c r="NU159" i="3"/>
  <c r="NT159" i="3"/>
  <c r="NS159" i="3"/>
  <c r="NY158" i="3"/>
  <c r="NX158" i="3"/>
  <c r="NW158" i="3"/>
  <c r="NV158" i="3"/>
  <c r="NU158" i="3"/>
  <c r="NT158" i="3"/>
  <c r="NS158" i="3"/>
  <c r="NY157" i="3"/>
  <c r="NX157" i="3"/>
  <c r="NW157" i="3"/>
  <c r="NV157" i="3"/>
  <c r="NU157" i="3"/>
  <c r="NT157" i="3"/>
  <c r="NS157" i="3"/>
  <c r="NY156" i="3"/>
  <c r="NX156" i="3"/>
  <c r="NW156" i="3"/>
  <c r="NV156" i="3"/>
  <c r="NU156" i="3"/>
  <c r="NT156" i="3"/>
  <c r="NS156" i="3"/>
  <c r="NY155" i="3"/>
  <c r="NX155" i="3"/>
  <c r="NW155" i="3"/>
  <c r="NV155" i="3"/>
  <c r="NU155" i="3"/>
  <c r="NT155" i="3"/>
  <c r="NS155" i="3"/>
  <c r="NY154" i="3"/>
  <c r="NX154" i="3"/>
  <c r="NW154" i="3"/>
  <c r="NV154" i="3"/>
  <c r="NU154" i="3"/>
  <c r="NT154" i="3"/>
  <c r="NS154" i="3"/>
  <c r="NY153" i="3"/>
  <c r="NX153" i="3"/>
  <c r="NW153" i="3"/>
  <c r="NV153" i="3"/>
  <c r="NU153" i="3"/>
  <c r="NT153" i="3"/>
  <c r="NS153" i="3"/>
  <c r="NY152" i="3"/>
  <c r="NX152" i="3"/>
  <c r="NW152" i="3"/>
  <c r="NV152" i="3"/>
  <c r="NU152" i="3"/>
  <c r="NT152" i="3"/>
  <c r="NS152" i="3"/>
  <c r="NY151" i="3"/>
  <c r="NX151" i="3"/>
  <c r="NW151" i="3"/>
  <c r="NV151" i="3"/>
  <c r="NU151" i="3"/>
  <c r="NT151" i="3"/>
  <c r="NS151" i="3"/>
  <c r="NY150" i="3"/>
  <c r="NX150" i="3"/>
  <c r="NW150" i="3"/>
  <c r="NV150" i="3"/>
  <c r="NU150" i="3"/>
  <c r="NT150" i="3"/>
  <c r="NS150" i="3"/>
  <c r="NY149" i="3"/>
  <c r="NX149" i="3"/>
  <c r="NW149" i="3"/>
  <c r="NV149" i="3"/>
  <c r="NU149" i="3"/>
  <c r="NT149" i="3"/>
  <c r="NS149" i="3"/>
  <c r="NY148" i="3"/>
  <c r="NX148" i="3"/>
  <c r="NW148" i="3"/>
  <c r="NV148" i="3"/>
  <c r="NU148" i="3"/>
  <c r="NT148" i="3"/>
  <c r="NS148" i="3"/>
  <c r="NY147" i="3"/>
  <c r="NX147" i="3"/>
  <c r="NW147" i="3"/>
  <c r="NV147" i="3"/>
  <c r="NU147" i="3"/>
  <c r="NT147" i="3"/>
  <c r="NS147" i="3"/>
  <c r="NY146" i="3"/>
  <c r="NX146" i="3"/>
  <c r="NW146" i="3"/>
  <c r="NV146" i="3"/>
  <c r="NU146" i="3"/>
  <c r="NT146" i="3"/>
  <c r="NS146" i="3"/>
  <c r="NY145" i="3"/>
  <c r="NX145" i="3"/>
  <c r="NW145" i="3"/>
  <c r="NV145" i="3"/>
  <c r="NU145" i="3"/>
  <c r="NT145" i="3"/>
  <c r="NS145" i="3"/>
  <c r="NY144" i="3"/>
  <c r="NX144" i="3"/>
  <c r="NW144" i="3"/>
  <c r="NV144" i="3"/>
  <c r="NU144" i="3"/>
  <c r="NT144" i="3"/>
  <c r="NS144" i="3"/>
  <c r="NY143" i="3"/>
  <c r="NX143" i="3"/>
  <c r="NW143" i="3"/>
  <c r="NV143" i="3"/>
  <c r="NU143" i="3"/>
  <c r="NT143" i="3"/>
  <c r="NS143" i="3"/>
  <c r="NY142" i="3"/>
  <c r="NX142" i="3"/>
  <c r="NW142" i="3"/>
  <c r="NV142" i="3"/>
  <c r="NU142" i="3"/>
  <c r="NT142" i="3"/>
  <c r="NS142" i="3"/>
  <c r="NY141" i="3"/>
  <c r="NX141" i="3"/>
  <c r="NW141" i="3"/>
  <c r="NV141" i="3"/>
  <c r="NU141" i="3"/>
  <c r="NT141" i="3"/>
  <c r="NS141" i="3"/>
  <c r="NY140" i="3"/>
  <c r="NX140" i="3"/>
  <c r="NW140" i="3"/>
  <c r="NV140" i="3"/>
  <c r="NU140" i="3"/>
  <c r="NT140" i="3"/>
  <c r="NS140" i="3"/>
  <c r="NY139" i="3"/>
  <c r="NX139" i="3"/>
  <c r="NW139" i="3"/>
  <c r="NV139" i="3"/>
  <c r="NU139" i="3"/>
  <c r="NT139" i="3"/>
  <c r="NS139" i="3"/>
  <c r="NY138" i="3"/>
  <c r="NX138" i="3"/>
  <c r="NW138" i="3"/>
  <c r="NV138" i="3"/>
  <c r="NU138" i="3"/>
  <c r="NT138" i="3"/>
  <c r="NS138" i="3"/>
  <c r="NY137" i="3"/>
  <c r="NX137" i="3"/>
  <c r="NW137" i="3"/>
  <c r="NV137" i="3"/>
  <c r="NU137" i="3"/>
  <c r="NT137" i="3"/>
  <c r="NS137" i="3"/>
  <c r="NY136" i="3"/>
  <c r="NX136" i="3"/>
  <c r="NW136" i="3"/>
  <c r="NV136" i="3"/>
  <c r="NU136" i="3"/>
  <c r="NT136" i="3"/>
  <c r="NS136" i="3"/>
  <c r="NY135" i="3"/>
  <c r="NX135" i="3"/>
  <c r="NW135" i="3"/>
  <c r="NV135" i="3"/>
  <c r="NU135" i="3"/>
  <c r="NT135" i="3"/>
  <c r="NS135" i="3"/>
  <c r="NY134" i="3"/>
  <c r="NX134" i="3"/>
  <c r="NW134" i="3"/>
  <c r="NV134" i="3"/>
  <c r="NU134" i="3"/>
  <c r="NT134" i="3"/>
  <c r="NS134" i="3"/>
  <c r="NY133" i="3"/>
  <c r="NX133" i="3"/>
  <c r="NW133" i="3"/>
  <c r="NV133" i="3"/>
  <c r="NU133" i="3"/>
  <c r="NT133" i="3"/>
  <c r="NS133" i="3"/>
  <c r="NY132" i="3"/>
  <c r="NX132" i="3"/>
  <c r="NW132" i="3"/>
  <c r="NV132" i="3"/>
  <c r="NU132" i="3"/>
  <c r="NT132" i="3"/>
  <c r="NS132" i="3"/>
  <c r="NY131" i="3"/>
  <c r="NX131" i="3"/>
  <c r="NW131" i="3"/>
  <c r="NV131" i="3"/>
  <c r="NU131" i="3"/>
  <c r="NT131" i="3"/>
  <c r="NS131" i="3"/>
  <c r="NY130" i="3"/>
  <c r="NX130" i="3"/>
  <c r="NW130" i="3"/>
  <c r="NV130" i="3"/>
  <c r="NU130" i="3"/>
  <c r="NT130" i="3"/>
  <c r="NS130" i="3"/>
  <c r="NY129" i="3"/>
  <c r="NX129" i="3"/>
  <c r="NW129" i="3"/>
  <c r="NV129" i="3"/>
  <c r="NU129" i="3"/>
  <c r="NT129" i="3"/>
  <c r="NS129" i="3"/>
  <c r="NY128" i="3"/>
  <c r="NX128" i="3"/>
  <c r="NW128" i="3"/>
  <c r="NV128" i="3"/>
  <c r="NU128" i="3"/>
  <c r="NT128" i="3"/>
  <c r="NS128" i="3"/>
  <c r="NY127" i="3"/>
  <c r="NX127" i="3"/>
  <c r="NW127" i="3"/>
  <c r="NV127" i="3"/>
  <c r="NU127" i="3"/>
  <c r="NT127" i="3"/>
  <c r="NS127" i="3"/>
  <c r="NY126" i="3"/>
  <c r="NX126" i="3"/>
  <c r="NW126" i="3"/>
  <c r="NV126" i="3"/>
  <c r="NU126" i="3"/>
  <c r="NT126" i="3"/>
  <c r="NS126" i="3"/>
  <c r="NY125" i="3"/>
  <c r="NX125" i="3"/>
  <c r="NW125" i="3"/>
  <c r="NV125" i="3"/>
  <c r="NU125" i="3"/>
  <c r="NT125" i="3"/>
  <c r="NS125" i="3"/>
  <c r="NY124" i="3"/>
  <c r="NX124" i="3"/>
  <c r="NW124" i="3"/>
  <c r="NV124" i="3"/>
  <c r="NU124" i="3"/>
  <c r="NT124" i="3"/>
  <c r="NS124" i="3"/>
  <c r="NY123" i="3"/>
  <c r="NX123" i="3"/>
  <c r="NW123" i="3"/>
  <c r="NV123" i="3"/>
  <c r="NU123" i="3"/>
  <c r="NT123" i="3"/>
  <c r="NS123" i="3"/>
  <c r="NY122" i="3"/>
  <c r="NX122" i="3"/>
  <c r="NW122" i="3"/>
  <c r="NV122" i="3"/>
  <c r="NU122" i="3"/>
  <c r="NT122" i="3"/>
  <c r="NS122" i="3"/>
  <c r="NY121" i="3"/>
  <c r="NX121" i="3"/>
  <c r="NW121" i="3"/>
  <c r="NV121" i="3"/>
  <c r="NU121" i="3"/>
  <c r="NT121" i="3"/>
  <c r="NS121" i="3"/>
  <c r="NY120" i="3"/>
  <c r="NX120" i="3"/>
  <c r="NW120" i="3"/>
  <c r="NV120" i="3"/>
  <c r="NU120" i="3"/>
  <c r="NT120" i="3"/>
  <c r="NS120" i="3"/>
  <c r="NY119" i="3"/>
  <c r="NX119" i="3"/>
  <c r="NW119" i="3"/>
  <c r="NV119" i="3"/>
  <c r="NU119" i="3"/>
  <c r="NT119" i="3"/>
  <c r="NS119" i="3"/>
  <c r="NY118" i="3"/>
  <c r="NX118" i="3"/>
  <c r="NW118" i="3"/>
  <c r="NV118" i="3"/>
  <c r="NU118" i="3"/>
  <c r="NT118" i="3"/>
  <c r="NS118" i="3"/>
  <c r="NY117" i="3"/>
  <c r="NX117" i="3"/>
  <c r="NW117" i="3"/>
  <c r="NV117" i="3"/>
  <c r="NU117" i="3"/>
  <c r="NT117" i="3"/>
  <c r="NS117" i="3"/>
  <c r="NY116" i="3"/>
  <c r="NX116" i="3"/>
  <c r="NW116" i="3"/>
  <c r="NV116" i="3"/>
  <c r="NU116" i="3"/>
  <c r="NT116" i="3"/>
  <c r="NS116" i="3"/>
  <c r="NY115" i="3"/>
  <c r="NX115" i="3"/>
  <c r="NW115" i="3"/>
  <c r="NV115" i="3"/>
  <c r="NU115" i="3"/>
  <c r="NT115" i="3"/>
  <c r="NS115" i="3"/>
  <c r="NY114" i="3"/>
  <c r="NX114" i="3"/>
  <c r="NW114" i="3"/>
  <c r="NV114" i="3"/>
  <c r="NU114" i="3"/>
  <c r="NT114" i="3"/>
  <c r="NS114" i="3"/>
  <c r="NY113" i="3"/>
  <c r="NX113" i="3"/>
  <c r="NW113" i="3"/>
  <c r="NV113" i="3"/>
  <c r="NU113" i="3"/>
  <c r="NT113" i="3"/>
  <c r="NS113" i="3"/>
  <c r="NY112" i="3"/>
  <c r="NX112" i="3"/>
  <c r="NW112" i="3"/>
  <c r="NV112" i="3"/>
  <c r="NU112" i="3"/>
  <c r="NT112" i="3"/>
  <c r="NS112" i="3"/>
  <c r="NY111" i="3"/>
  <c r="NX111" i="3"/>
  <c r="NW111" i="3"/>
  <c r="NV111" i="3"/>
  <c r="NU111" i="3"/>
  <c r="NT111" i="3"/>
  <c r="NS111" i="3"/>
  <c r="NY110" i="3"/>
  <c r="NX110" i="3"/>
  <c r="NW110" i="3"/>
  <c r="NV110" i="3"/>
  <c r="NU110" i="3"/>
  <c r="NT110" i="3"/>
  <c r="NS110" i="3"/>
  <c r="NY109" i="3"/>
  <c r="NX109" i="3"/>
  <c r="NW109" i="3"/>
  <c r="NV109" i="3"/>
  <c r="NU109" i="3"/>
  <c r="NT109" i="3"/>
  <c r="NS109" i="3"/>
  <c r="NY108" i="3"/>
  <c r="NX108" i="3"/>
  <c r="NW108" i="3"/>
  <c r="NV108" i="3"/>
  <c r="NU108" i="3"/>
  <c r="NT108" i="3"/>
  <c r="NS108" i="3"/>
  <c r="NY107" i="3"/>
  <c r="NX107" i="3"/>
  <c r="NW107" i="3"/>
  <c r="NV107" i="3"/>
  <c r="NU107" i="3"/>
  <c r="NT107" i="3"/>
  <c r="NS107" i="3"/>
  <c r="NY106" i="3"/>
  <c r="NX106" i="3"/>
  <c r="NW106" i="3"/>
  <c r="NV106" i="3"/>
  <c r="NU106" i="3"/>
  <c r="NT106" i="3"/>
  <c r="NS106" i="3"/>
  <c r="NY105" i="3"/>
  <c r="NX105" i="3"/>
  <c r="NW105" i="3"/>
  <c r="NV105" i="3"/>
  <c r="NU105" i="3"/>
  <c r="NT105" i="3"/>
  <c r="NS105" i="3"/>
  <c r="NY104" i="3"/>
  <c r="NX104" i="3"/>
  <c r="NW104" i="3"/>
  <c r="NV104" i="3"/>
  <c r="NU104" i="3"/>
  <c r="NT104" i="3"/>
  <c r="NS104" i="3"/>
  <c r="NY103" i="3"/>
  <c r="NX103" i="3"/>
  <c r="NW103" i="3"/>
  <c r="NV103" i="3"/>
  <c r="NU103" i="3"/>
  <c r="NT103" i="3"/>
  <c r="NS103" i="3"/>
  <c r="NY102" i="3"/>
  <c r="NX102" i="3"/>
  <c r="NW102" i="3"/>
  <c r="NV102" i="3"/>
  <c r="NU102" i="3"/>
  <c r="NT102" i="3"/>
  <c r="NS102" i="3"/>
  <c r="NY101" i="3"/>
  <c r="NX101" i="3"/>
  <c r="NW101" i="3"/>
  <c r="NV101" i="3"/>
  <c r="NU101" i="3"/>
  <c r="NT101" i="3"/>
  <c r="NS101" i="3"/>
  <c r="NY100" i="3"/>
  <c r="NX100" i="3"/>
  <c r="NW100" i="3"/>
  <c r="NV100" i="3"/>
  <c r="NU100" i="3"/>
  <c r="NT100" i="3"/>
  <c r="NS100" i="3"/>
  <c r="NY99" i="3"/>
  <c r="NX99" i="3"/>
  <c r="NW99" i="3"/>
  <c r="NV99" i="3"/>
  <c r="NU99" i="3"/>
  <c r="NT99" i="3"/>
  <c r="NS99" i="3"/>
  <c r="NY98" i="3"/>
  <c r="NX98" i="3"/>
  <c r="NW98" i="3"/>
  <c r="NV98" i="3"/>
  <c r="NU98" i="3"/>
  <c r="NT98" i="3"/>
  <c r="NS98" i="3"/>
  <c r="NY97" i="3"/>
  <c r="NX97" i="3"/>
  <c r="NW97" i="3"/>
  <c r="NV97" i="3"/>
  <c r="NU97" i="3"/>
  <c r="NT97" i="3"/>
  <c r="NS97" i="3"/>
  <c r="NY96" i="3"/>
  <c r="NX96" i="3"/>
  <c r="NW96" i="3"/>
  <c r="NV96" i="3"/>
  <c r="NU96" i="3"/>
  <c r="NT96" i="3"/>
  <c r="NS96" i="3"/>
  <c r="NY95" i="3"/>
  <c r="NX95" i="3"/>
  <c r="NW95" i="3"/>
  <c r="NV95" i="3"/>
  <c r="NU95" i="3"/>
  <c r="NT95" i="3"/>
  <c r="NS95" i="3"/>
  <c r="NY94" i="3"/>
  <c r="NX94" i="3"/>
  <c r="NW94" i="3"/>
  <c r="NV94" i="3"/>
  <c r="NU94" i="3"/>
  <c r="NT94" i="3"/>
  <c r="NS94" i="3"/>
  <c r="NY93" i="3"/>
  <c r="NX93" i="3"/>
  <c r="NW93" i="3"/>
  <c r="NV93" i="3"/>
  <c r="NU93" i="3"/>
  <c r="NT93" i="3"/>
  <c r="NS93" i="3"/>
  <c r="NY92" i="3"/>
  <c r="NX92" i="3"/>
  <c r="NW92" i="3"/>
  <c r="NV92" i="3"/>
  <c r="NU92" i="3"/>
  <c r="NT92" i="3"/>
  <c r="NS92" i="3"/>
  <c r="NY91" i="3"/>
  <c r="NX91" i="3"/>
  <c r="NW91" i="3"/>
  <c r="NV91" i="3"/>
  <c r="NU91" i="3"/>
  <c r="NT91" i="3"/>
  <c r="NS91" i="3"/>
  <c r="NY90" i="3"/>
  <c r="NX90" i="3"/>
  <c r="NW90" i="3"/>
  <c r="NV90" i="3"/>
  <c r="NU90" i="3"/>
  <c r="NT90" i="3"/>
  <c r="NS90" i="3"/>
  <c r="NY89" i="3"/>
  <c r="NX89" i="3"/>
  <c r="NW89" i="3"/>
  <c r="NV89" i="3"/>
  <c r="NU89" i="3"/>
  <c r="NT89" i="3"/>
  <c r="NS89" i="3"/>
  <c r="NY88" i="3"/>
  <c r="NX88" i="3"/>
  <c r="NW88" i="3"/>
  <c r="NV88" i="3"/>
  <c r="NU88" i="3"/>
  <c r="NT88" i="3"/>
  <c r="NS88" i="3"/>
  <c r="NY87" i="3"/>
  <c r="NX87" i="3"/>
  <c r="NW87" i="3"/>
  <c r="NV87" i="3"/>
  <c r="NU87" i="3"/>
  <c r="NT87" i="3"/>
  <c r="NS87" i="3"/>
  <c r="NY86" i="3"/>
  <c r="NX86" i="3"/>
  <c r="NW86" i="3"/>
  <c r="NV86" i="3"/>
  <c r="NU86" i="3"/>
  <c r="NT86" i="3"/>
  <c r="NS86" i="3"/>
  <c r="NY85" i="3"/>
  <c r="NX85" i="3"/>
  <c r="NW85" i="3"/>
  <c r="NV85" i="3"/>
  <c r="NU85" i="3"/>
  <c r="NT85" i="3"/>
  <c r="NS85" i="3"/>
  <c r="NY84" i="3"/>
  <c r="NX84" i="3"/>
  <c r="NW84" i="3"/>
  <c r="NV84" i="3"/>
  <c r="NU84" i="3"/>
  <c r="NT84" i="3"/>
  <c r="NS84" i="3"/>
  <c r="NY83" i="3"/>
  <c r="NX83" i="3"/>
  <c r="NW83" i="3"/>
  <c r="NV83" i="3"/>
  <c r="NU83" i="3"/>
  <c r="NT83" i="3"/>
  <c r="NS83" i="3"/>
  <c r="NY82" i="3"/>
  <c r="NX82" i="3"/>
  <c r="NW82" i="3"/>
  <c r="NV82" i="3"/>
  <c r="NU82" i="3"/>
  <c r="NT82" i="3"/>
  <c r="NS82" i="3"/>
  <c r="NY81" i="3"/>
  <c r="NX81" i="3"/>
  <c r="NW81" i="3"/>
  <c r="NV81" i="3"/>
  <c r="NU81" i="3"/>
  <c r="NT81" i="3"/>
  <c r="NS81" i="3"/>
  <c r="NY80" i="3"/>
  <c r="NX80" i="3"/>
  <c r="NW80" i="3"/>
  <c r="NV80" i="3"/>
  <c r="NU80" i="3"/>
  <c r="NT80" i="3"/>
  <c r="NS80" i="3"/>
  <c r="NY79" i="3"/>
  <c r="NX79" i="3"/>
  <c r="NW79" i="3"/>
  <c r="NV79" i="3"/>
  <c r="NU79" i="3"/>
  <c r="NT79" i="3"/>
  <c r="NS79" i="3"/>
  <c r="NY78" i="3"/>
  <c r="NX78" i="3"/>
  <c r="NW78" i="3"/>
  <c r="NV78" i="3"/>
  <c r="NU78" i="3"/>
  <c r="NT78" i="3"/>
  <c r="NS78" i="3"/>
  <c r="NY77" i="3"/>
  <c r="NX77" i="3"/>
  <c r="NW77" i="3"/>
  <c r="NV77" i="3"/>
  <c r="NU77" i="3"/>
  <c r="NT77" i="3"/>
  <c r="NS77" i="3"/>
  <c r="NY76" i="3"/>
  <c r="NX76" i="3"/>
  <c r="NW76" i="3"/>
  <c r="NV76" i="3"/>
  <c r="NU76" i="3"/>
  <c r="NT76" i="3"/>
  <c r="NS76" i="3"/>
  <c r="NY75" i="3"/>
  <c r="NX75" i="3"/>
  <c r="NW75" i="3"/>
  <c r="NV75" i="3"/>
  <c r="NU75" i="3"/>
  <c r="NT75" i="3"/>
  <c r="NS75" i="3"/>
  <c r="NY74" i="3"/>
  <c r="NX74" i="3"/>
  <c r="NW74" i="3"/>
  <c r="NV74" i="3"/>
  <c r="NU74" i="3"/>
  <c r="NT74" i="3"/>
  <c r="NS74" i="3"/>
  <c r="NY73" i="3"/>
  <c r="NX73" i="3"/>
  <c r="NW73" i="3"/>
  <c r="NV73" i="3"/>
  <c r="NU73" i="3"/>
  <c r="NT73" i="3"/>
  <c r="NS73" i="3"/>
  <c r="NY72" i="3"/>
  <c r="NX72" i="3"/>
  <c r="NW72" i="3"/>
  <c r="NV72" i="3"/>
  <c r="NU72" i="3"/>
  <c r="NT72" i="3"/>
  <c r="NS72" i="3"/>
  <c r="NY71" i="3"/>
  <c r="NX71" i="3"/>
  <c r="NW71" i="3"/>
  <c r="NV71" i="3"/>
  <c r="NU71" i="3"/>
  <c r="NT71" i="3"/>
  <c r="NS71" i="3"/>
  <c r="NY70" i="3"/>
  <c r="NX70" i="3"/>
  <c r="NW70" i="3"/>
  <c r="NV70" i="3"/>
  <c r="NU70" i="3"/>
  <c r="NT70" i="3"/>
  <c r="NS70" i="3"/>
  <c r="NY69" i="3"/>
  <c r="NX69" i="3"/>
  <c r="NW69" i="3"/>
  <c r="NV69" i="3"/>
  <c r="NU69" i="3"/>
  <c r="NT69" i="3"/>
  <c r="NS69" i="3"/>
  <c r="NY68" i="3"/>
  <c r="NX68" i="3"/>
  <c r="NW68" i="3"/>
  <c r="NV68" i="3"/>
  <c r="NU68" i="3"/>
  <c r="NT68" i="3"/>
  <c r="NS68" i="3"/>
  <c r="NY67" i="3"/>
  <c r="NX67" i="3"/>
  <c r="NW67" i="3"/>
  <c r="NV67" i="3"/>
  <c r="NU67" i="3"/>
  <c r="NT67" i="3"/>
  <c r="NS67" i="3"/>
  <c r="NY66" i="3"/>
  <c r="NX66" i="3"/>
  <c r="NW66" i="3"/>
  <c r="NV66" i="3"/>
  <c r="NU66" i="3"/>
  <c r="NT66" i="3"/>
  <c r="NS66" i="3"/>
  <c r="NY65" i="3"/>
  <c r="NX65" i="3"/>
  <c r="NW65" i="3"/>
  <c r="NV65" i="3"/>
  <c r="NU65" i="3"/>
  <c r="NT65" i="3"/>
  <c r="NS65" i="3"/>
  <c r="NY64" i="3"/>
  <c r="NX64" i="3"/>
  <c r="NW64" i="3"/>
  <c r="NV64" i="3"/>
  <c r="NU64" i="3"/>
  <c r="NT64" i="3"/>
  <c r="NS64" i="3"/>
  <c r="NY63" i="3"/>
  <c r="NX63" i="3"/>
  <c r="NW63" i="3"/>
  <c r="NV63" i="3"/>
  <c r="NU63" i="3"/>
  <c r="NT63" i="3"/>
  <c r="NS63" i="3"/>
  <c r="NY62" i="3"/>
  <c r="NX62" i="3"/>
  <c r="NW62" i="3"/>
  <c r="NV62" i="3"/>
  <c r="NU62" i="3"/>
  <c r="NT62" i="3"/>
  <c r="NS62" i="3"/>
  <c r="NY61" i="3"/>
  <c r="NX61" i="3"/>
  <c r="NW61" i="3"/>
  <c r="NV61" i="3"/>
  <c r="NU61" i="3"/>
  <c r="NT61" i="3"/>
  <c r="NS61" i="3"/>
  <c r="NY60" i="3"/>
  <c r="NX60" i="3"/>
  <c r="NW60" i="3"/>
  <c r="NV60" i="3"/>
  <c r="NU60" i="3"/>
  <c r="NT60" i="3"/>
  <c r="NS60" i="3"/>
  <c r="NY59" i="3"/>
  <c r="NX59" i="3"/>
  <c r="NW59" i="3"/>
  <c r="NV59" i="3"/>
  <c r="NU59" i="3"/>
  <c r="NT59" i="3"/>
  <c r="NS59" i="3"/>
  <c r="NY58" i="3"/>
  <c r="NX58" i="3"/>
  <c r="NW58" i="3"/>
  <c r="NV58" i="3"/>
  <c r="NU58" i="3"/>
  <c r="NT58" i="3"/>
  <c r="NS58" i="3"/>
  <c r="NY57" i="3"/>
  <c r="NX57" i="3"/>
  <c r="NW57" i="3"/>
  <c r="NV57" i="3"/>
  <c r="NU57" i="3"/>
  <c r="NT57" i="3"/>
  <c r="NS57" i="3"/>
  <c r="NY56" i="3"/>
  <c r="NX56" i="3"/>
  <c r="NW56" i="3"/>
  <c r="NV56" i="3"/>
  <c r="NU56" i="3"/>
  <c r="NT56" i="3"/>
  <c r="NS56" i="3"/>
  <c r="NY55" i="3"/>
  <c r="NX55" i="3"/>
  <c r="NW55" i="3"/>
  <c r="NV55" i="3"/>
  <c r="NU55" i="3"/>
  <c r="NT55" i="3"/>
  <c r="NS55" i="3"/>
  <c r="NY54" i="3"/>
  <c r="NX54" i="3"/>
  <c r="NW54" i="3"/>
  <c r="NV54" i="3"/>
  <c r="NU54" i="3"/>
  <c r="NT54" i="3"/>
  <c r="NS54" i="3"/>
  <c r="NY53" i="3"/>
  <c r="NX53" i="3"/>
  <c r="NW53" i="3"/>
  <c r="NV53" i="3"/>
  <c r="NU53" i="3"/>
  <c r="NT53" i="3"/>
  <c r="NS53" i="3"/>
  <c r="NY52" i="3"/>
  <c r="NX52" i="3"/>
  <c r="NW52" i="3"/>
  <c r="NV52" i="3"/>
  <c r="NU52" i="3"/>
  <c r="NT52" i="3"/>
  <c r="NS52" i="3"/>
  <c r="NY51" i="3"/>
  <c r="NX51" i="3"/>
  <c r="NW51" i="3"/>
  <c r="NV51" i="3"/>
  <c r="NU51" i="3"/>
  <c r="NT51" i="3"/>
  <c r="NS51" i="3"/>
  <c r="NY50" i="3"/>
  <c r="NX50" i="3"/>
  <c r="NW50" i="3"/>
  <c r="NV50" i="3"/>
  <c r="NU50" i="3"/>
  <c r="NT50" i="3"/>
  <c r="NS50" i="3"/>
  <c r="NY49" i="3"/>
  <c r="NX49" i="3"/>
  <c r="NW49" i="3"/>
  <c r="NV49" i="3"/>
  <c r="NU49" i="3"/>
  <c r="NT49" i="3"/>
  <c r="NS49" i="3"/>
  <c r="NY48" i="3"/>
  <c r="NX48" i="3"/>
  <c r="NW48" i="3"/>
  <c r="NV48" i="3"/>
  <c r="NU48" i="3"/>
  <c r="NT48" i="3"/>
  <c r="NS48" i="3"/>
  <c r="NY47" i="3"/>
  <c r="NX47" i="3"/>
  <c r="NW47" i="3"/>
  <c r="NV47" i="3"/>
  <c r="NU47" i="3"/>
  <c r="NT47" i="3"/>
  <c r="NS47" i="3"/>
  <c r="NY46" i="3"/>
  <c r="NX46" i="3"/>
  <c r="NW46" i="3"/>
  <c r="NV46" i="3"/>
  <c r="NU46" i="3"/>
  <c r="NT46" i="3"/>
  <c r="NS46" i="3"/>
  <c r="NY45" i="3"/>
  <c r="NX45" i="3"/>
  <c r="NW45" i="3"/>
  <c r="NV45" i="3"/>
  <c r="NU45" i="3"/>
  <c r="NT45" i="3"/>
  <c r="NS45" i="3"/>
  <c r="NY44" i="3"/>
  <c r="NX44" i="3"/>
  <c r="NW44" i="3"/>
  <c r="NV44" i="3"/>
  <c r="NU44" i="3"/>
  <c r="NT44" i="3"/>
  <c r="NS44" i="3"/>
  <c r="NY43" i="3"/>
  <c r="NX43" i="3"/>
  <c r="NW43" i="3"/>
  <c r="NV43" i="3"/>
  <c r="NU43" i="3"/>
  <c r="NT43" i="3"/>
  <c r="NS43" i="3"/>
  <c r="NY42" i="3"/>
  <c r="NX42" i="3"/>
  <c r="NW42" i="3"/>
  <c r="NV42" i="3"/>
  <c r="NU42" i="3"/>
  <c r="NT42" i="3"/>
  <c r="NS42" i="3"/>
  <c r="NY41" i="3"/>
  <c r="NX41" i="3"/>
  <c r="NW41" i="3"/>
  <c r="NV41" i="3"/>
  <c r="NU41" i="3"/>
  <c r="NT41" i="3"/>
  <c r="NS41" i="3"/>
  <c r="NY40" i="3"/>
  <c r="NX40" i="3"/>
  <c r="NW40" i="3"/>
  <c r="NV40" i="3"/>
  <c r="NU40" i="3"/>
  <c r="NT40" i="3"/>
  <c r="NS40" i="3"/>
  <c r="NY39" i="3"/>
  <c r="NX39" i="3"/>
  <c r="NW39" i="3"/>
  <c r="NV39" i="3"/>
  <c r="NU39" i="3"/>
  <c r="NT39" i="3"/>
  <c r="NS39" i="3"/>
  <c r="NY38" i="3"/>
  <c r="NX38" i="3"/>
  <c r="NW38" i="3"/>
  <c r="NV38" i="3"/>
  <c r="NU38" i="3"/>
  <c r="NT38" i="3"/>
  <c r="NS38" i="3"/>
  <c r="NY37" i="3"/>
  <c r="NX37" i="3"/>
  <c r="NW37" i="3"/>
  <c r="NV37" i="3"/>
  <c r="NU37" i="3"/>
  <c r="NT37" i="3"/>
  <c r="NS37" i="3"/>
  <c r="NY36" i="3"/>
  <c r="NX36" i="3"/>
  <c r="NW36" i="3"/>
  <c r="NV36" i="3"/>
  <c r="NU36" i="3"/>
  <c r="NT36" i="3"/>
  <c r="NS36" i="3"/>
  <c r="NY35" i="3"/>
  <c r="NX35" i="3"/>
  <c r="NW35" i="3"/>
  <c r="NV35" i="3"/>
  <c r="NU35" i="3"/>
  <c r="NT35" i="3"/>
  <c r="NS35" i="3"/>
  <c r="NY34" i="3"/>
  <c r="NX34" i="3"/>
  <c r="NW34" i="3"/>
  <c r="NV34" i="3"/>
  <c r="NU34" i="3"/>
  <c r="NT34" i="3"/>
  <c r="NS34" i="3"/>
  <c r="NY33" i="3"/>
  <c r="NX33" i="3"/>
  <c r="NW33" i="3"/>
  <c r="NV33" i="3"/>
  <c r="NU33" i="3"/>
  <c r="NT33" i="3"/>
  <c r="NS33" i="3"/>
  <c r="NY32" i="3"/>
  <c r="NX32" i="3"/>
  <c r="NW32" i="3"/>
  <c r="NV32" i="3"/>
  <c r="NU32" i="3"/>
  <c r="NT32" i="3"/>
  <c r="NS32" i="3"/>
  <c r="NY31" i="3"/>
  <c r="NX31" i="3"/>
  <c r="NW31" i="3"/>
  <c r="NV31" i="3"/>
  <c r="NU31" i="3"/>
  <c r="NT31" i="3"/>
  <c r="NS31" i="3"/>
  <c r="NY30" i="3"/>
  <c r="NX30" i="3"/>
  <c r="NW30" i="3"/>
  <c r="NV30" i="3"/>
  <c r="NU30" i="3"/>
  <c r="NT30" i="3"/>
  <c r="NS30" i="3"/>
  <c r="NY29" i="3"/>
  <c r="NX29" i="3"/>
  <c r="NW29" i="3"/>
  <c r="NV29" i="3"/>
  <c r="NU29" i="3"/>
  <c r="NT29" i="3"/>
  <c r="NS29" i="3"/>
  <c r="NY28" i="3"/>
  <c r="NX28" i="3"/>
  <c r="NW28" i="3"/>
  <c r="NV28" i="3"/>
  <c r="NU28" i="3"/>
  <c r="NT28" i="3"/>
  <c r="NS28" i="3"/>
  <c r="NY27" i="3"/>
  <c r="NX27" i="3"/>
  <c r="NW27" i="3"/>
  <c r="NV27" i="3"/>
  <c r="NU27" i="3"/>
  <c r="NT27" i="3"/>
  <c r="NS27" i="3"/>
  <c r="NY26" i="3"/>
  <c r="NX26" i="3"/>
  <c r="NW26" i="3"/>
  <c r="NV26" i="3"/>
  <c r="NU26" i="3"/>
  <c r="NT26" i="3"/>
  <c r="NS26" i="3"/>
  <c r="NY25" i="3"/>
  <c r="NX25" i="3"/>
  <c r="NW25" i="3"/>
  <c r="NV25" i="3"/>
  <c r="NU25" i="3"/>
  <c r="NT25" i="3"/>
  <c r="NS25" i="3"/>
  <c r="NY24" i="3"/>
  <c r="NX24" i="3"/>
  <c r="NW24" i="3"/>
  <c r="NV24" i="3"/>
  <c r="NU24" i="3"/>
  <c r="NT24" i="3"/>
  <c r="NS24" i="3"/>
  <c r="NY23" i="3"/>
  <c r="NX23" i="3"/>
  <c r="NW23" i="3"/>
  <c r="NV23" i="3"/>
  <c r="NU23" i="3"/>
  <c r="NT23" i="3"/>
  <c r="NS23" i="3"/>
  <c r="NP316" i="3"/>
  <c r="NO316" i="3"/>
  <c r="NN316" i="3"/>
  <c r="NP315" i="3"/>
  <c r="NO315" i="3"/>
  <c r="NN315" i="3"/>
  <c r="NP314" i="3"/>
  <c r="NO314" i="3"/>
  <c r="NN314" i="3"/>
  <c r="NP313" i="3"/>
  <c r="NO313" i="3"/>
  <c r="NN313" i="3"/>
  <c r="NP312" i="3"/>
  <c r="NO312" i="3"/>
  <c r="NN312" i="3"/>
  <c r="NP311" i="3"/>
  <c r="NO311" i="3"/>
  <c r="NN311" i="3"/>
  <c r="NP310" i="3"/>
  <c r="NO310" i="3"/>
  <c r="NN310" i="3"/>
  <c r="NP309" i="3"/>
  <c r="NO309" i="3"/>
  <c r="NN309" i="3"/>
  <c r="NP308" i="3"/>
  <c r="NO308" i="3"/>
  <c r="NN308" i="3"/>
  <c r="NP307" i="3"/>
  <c r="NO307" i="3"/>
  <c r="NN307" i="3"/>
  <c r="NP306" i="3"/>
  <c r="NO306" i="3"/>
  <c r="NN306" i="3"/>
  <c r="NP305" i="3"/>
  <c r="NO305" i="3"/>
  <c r="NN305" i="3"/>
  <c r="NP304" i="3"/>
  <c r="NO304" i="3"/>
  <c r="NN304" i="3"/>
  <c r="NP303" i="3"/>
  <c r="NO303" i="3"/>
  <c r="NN303" i="3"/>
  <c r="NP302" i="3"/>
  <c r="NO302" i="3"/>
  <c r="NN302" i="3"/>
  <c r="NP301" i="3"/>
  <c r="NO301" i="3"/>
  <c r="NN301" i="3"/>
  <c r="NP300" i="3"/>
  <c r="NO300" i="3"/>
  <c r="NN300" i="3"/>
  <c r="NP299" i="3"/>
  <c r="NO299" i="3"/>
  <c r="NN299" i="3"/>
  <c r="NP298" i="3"/>
  <c r="NO298" i="3"/>
  <c r="NN298" i="3"/>
  <c r="NP297" i="3"/>
  <c r="NO297" i="3"/>
  <c r="NN297" i="3"/>
  <c r="NP296" i="3"/>
  <c r="NO296" i="3"/>
  <c r="NN296" i="3"/>
  <c r="NP295" i="3"/>
  <c r="NO295" i="3"/>
  <c r="NN295" i="3"/>
  <c r="NP294" i="3"/>
  <c r="NO294" i="3"/>
  <c r="NN294" i="3"/>
  <c r="NP293" i="3"/>
  <c r="NO293" i="3"/>
  <c r="NN293" i="3"/>
  <c r="NP292" i="3"/>
  <c r="NO292" i="3"/>
  <c r="NN292" i="3"/>
  <c r="NP291" i="3"/>
  <c r="NO291" i="3"/>
  <c r="NN291" i="3"/>
  <c r="NP290" i="3"/>
  <c r="NO290" i="3"/>
  <c r="NN290" i="3"/>
  <c r="NP289" i="3"/>
  <c r="NO289" i="3"/>
  <c r="NN289" i="3"/>
  <c r="NP288" i="3"/>
  <c r="NO288" i="3"/>
  <c r="NN288" i="3"/>
  <c r="NP287" i="3"/>
  <c r="NO287" i="3"/>
  <c r="NN287" i="3"/>
  <c r="NP286" i="3"/>
  <c r="NO286" i="3"/>
  <c r="NN286" i="3"/>
  <c r="NP285" i="3"/>
  <c r="NO285" i="3"/>
  <c r="NN285" i="3"/>
  <c r="NP284" i="3"/>
  <c r="NO284" i="3"/>
  <c r="NN284" i="3"/>
  <c r="NP283" i="3"/>
  <c r="NO283" i="3"/>
  <c r="NN283" i="3"/>
  <c r="NP282" i="3"/>
  <c r="NO282" i="3"/>
  <c r="NN282" i="3"/>
  <c r="NP281" i="3"/>
  <c r="NO281" i="3"/>
  <c r="NN281" i="3"/>
  <c r="NP280" i="3"/>
  <c r="NO280" i="3"/>
  <c r="NN280" i="3"/>
  <c r="NP279" i="3"/>
  <c r="NO279" i="3"/>
  <c r="NN279" i="3"/>
  <c r="NP278" i="3"/>
  <c r="NO278" i="3"/>
  <c r="NN278" i="3"/>
  <c r="NP277" i="3"/>
  <c r="NO277" i="3"/>
  <c r="NN277" i="3"/>
  <c r="NP276" i="3"/>
  <c r="NO276" i="3"/>
  <c r="NN276" i="3"/>
  <c r="NP275" i="3"/>
  <c r="NO275" i="3"/>
  <c r="NN275" i="3"/>
  <c r="NP274" i="3"/>
  <c r="NO274" i="3"/>
  <c r="NN274" i="3"/>
  <c r="NP273" i="3"/>
  <c r="NO273" i="3"/>
  <c r="NN273" i="3"/>
  <c r="NP272" i="3"/>
  <c r="NO272" i="3"/>
  <c r="NN272" i="3"/>
  <c r="NP271" i="3"/>
  <c r="NO271" i="3"/>
  <c r="NN271" i="3"/>
  <c r="NP270" i="3"/>
  <c r="NO270" i="3"/>
  <c r="NN270" i="3"/>
  <c r="NP269" i="3"/>
  <c r="NO269" i="3"/>
  <c r="NN269" i="3"/>
  <c r="NP268" i="3"/>
  <c r="NO268" i="3"/>
  <c r="NN268" i="3"/>
  <c r="NP267" i="3"/>
  <c r="NO267" i="3"/>
  <c r="NN267" i="3"/>
  <c r="NP266" i="3"/>
  <c r="NO266" i="3"/>
  <c r="NN266" i="3"/>
  <c r="NP265" i="3"/>
  <c r="NO265" i="3"/>
  <c r="NN265" i="3"/>
  <c r="NP264" i="3"/>
  <c r="NO264" i="3"/>
  <c r="NN264" i="3"/>
  <c r="NP263" i="3"/>
  <c r="NO263" i="3"/>
  <c r="NN263" i="3"/>
  <c r="NP262" i="3"/>
  <c r="NO262" i="3"/>
  <c r="NN262" i="3"/>
  <c r="NP261" i="3"/>
  <c r="NO261" i="3"/>
  <c r="NN261" i="3"/>
  <c r="NP260" i="3"/>
  <c r="NO260" i="3"/>
  <c r="NN260" i="3"/>
  <c r="NP259" i="3"/>
  <c r="NO259" i="3"/>
  <c r="NN259" i="3"/>
  <c r="NP258" i="3"/>
  <c r="NO258" i="3"/>
  <c r="NN258" i="3"/>
  <c r="NP257" i="3"/>
  <c r="NO257" i="3"/>
  <c r="NN257" i="3"/>
  <c r="NP256" i="3"/>
  <c r="NO256" i="3"/>
  <c r="NN256" i="3"/>
  <c r="NP255" i="3"/>
  <c r="NO255" i="3"/>
  <c r="NN255" i="3"/>
  <c r="NP254" i="3"/>
  <c r="NO254" i="3"/>
  <c r="NN254" i="3"/>
  <c r="NP253" i="3"/>
  <c r="NO253" i="3"/>
  <c r="NN253" i="3"/>
  <c r="NP252" i="3"/>
  <c r="NO252" i="3"/>
  <c r="NN252" i="3"/>
  <c r="NP251" i="3"/>
  <c r="NO251" i="3"/>
  <c r="NN251" i="3"/>
  <c r="NP250" i="3"/>
  <c r="NO250" i="3"/>
  <c r="NN250" i="3"/>
  <c r="NP249" i="3"/>
  <c r="NO249" i="3"/>
  <c r="NN249" i="3"/>
  <c r="NP248" i="3"/>
  <c r="NO248" i="3"/>
  <c r="NN248" i="3"/>
  <c r="NP247" i="3"/>
  <c r="NO247" i="3"/>
  <c r="NN247" i="3"/>
  <c r="NP246" i="3"/>
  <c r="NO246" i="3"/>
  <c r="NN246" i="3"/>
  <c r="NP245" i="3"/>
  <c r="NO245" i="3"/>
  <c r="NN245" i="3"/>
  <c r="NP244" i="3"/>
  <c r="NO244" i="3"/>
  <c r="NN244" i="3"/>
  <c r="NP243" i="3"/>
  <c r="NO243" i="3"/>
  <c r="NN243" i="3"/>
  <c r="NP242" i="3"/>
  <c r="NO242" i="3"/>
  <c r="NN242" i="3"/>
  <c r="NP241" i="3"/>
  <c r="NO241" i="3"/>
  <c r="NN241" i="3"/>
  <c r="NP240" i="3"/>
  <c r="NO240" i="3"/>
  <c r="NN240" i="3"/>
  <c r="NP239" i="3"/>
  <c r="NO239" i="3"/>
  <c r="NN239" i="3"/>
  <c r="NP238" i="3"/>
  <c r="NO238" i="3"/>
  <c r="NN238" i="3"/>
  <c r="NP237" i="3"/>
  <c r="NO237" i="3"/>
  <c r="NN237" i="3"/>
  <c r="NP236" i="3"/>
  <c r="NO236" i="3"/>
  <c r="NN236" i="3"/>
  <c r="NP235" i="3"/>
  <c r="NO235" i="3"/>
  <c r="NN235" i="3"/>
  <c r="NP234" i="3"/>
  <c r="NO234" i="3"/>
  <c r="NN234" i="3"/>
  <c r="NP233" i="3"/>
  <c r="NO233" i="3"/>
  <c r="NN233" i="3"/>
  <c r="NP232" i="3"/>
  <c r="NO232" i="3"/>
  <c r="NN232" i="3"/>
  <c r="NP231" i="3"/>
  <c r="NO231" i="3"/>
  <c r="NN231" i="3"/>
  <c r="NP230" i="3"/>
  <c r="NO230" i="3"/>
  <c r="NN230" i="3"/>
  <c r="NP229" i="3"/>
  <c r="NO229" i="3"/>
  <c r="NN229" i="3"/>
  <c r="NP228" i="3"/>
  <c r="NO228" i="3"/>
  <c r="NN228" i="3"/>
  <c r="NP227" i="3"/>
  <c r="NO227" i="3"/>
  <c r="NN227" i="3"/>
  <c r="NP226" i="3"/>
  <c r="NO226" i="3"/>
  <c r="NN226" i="3"/>
  <c r="NP225" i="3"/>
  <c r="NO225" i="3"/>
  <c r="NN225" i="3"/>
  <c r="NP224" i="3"/>
  <c r="NO224" i="3"/>
  <c r="NN224" i="3"/>
  <c r="NP223" i="3"/>
  <c r="NO223" i="3"/>
  <c r="NN223" i="3"/>
  <c r="NP222" i="3"/>
  <c r="NO222" i="3"/>
  <c r="NN222" i="3"/>
  <c r="NP221" i="3"/>
  <c r="NO221" i="3"/>
  <c r="NN221" i="3"/>
  <c r="NP220" i="3"/>
  <c r="NO220" i="3"/>
  <c r="NN220" i="3"/>
  <c r="NP219" i="3"/>
  <c r="NO219" i="3"/>
  <c r="NN219" i="3"/>
  <c r="NP218" i="3"/>
  <c r="NO218" i="3"/>
  <c r="NN218" i="3"/>
  <c r="NP217" i="3"/>
  <c r="NO217" i="3"/>
  <c r="NN217" i="3"/>
  <c r="NP216" i="3"/>
  <c r="NO216" i="3"/>
  <c r="NN216" i="3"/>
  <c r="NP215" i="3"/>
  <c r="NO215" i="3"/>
  <c r="NN215" i="3"/>
  <c r="NP214" i="3"/>
  <c r="NO214" i="3"/>
  <c r="NN214" i="3"/>
  <c r="NP213" i="3"/>
  <c r="NO213" i="3"/>
  <c r="NN213" i="3"/>
  <c r="NP212" i="3"/>
  <c r="NO212" i="3"/>
  <c r="NN212" i="3"/>
  <c r="NP211" i="3"/>
  <c r="NO211" i="3"/>
  <c r="NN211" i="3"/>
  <c r="NP210" i="3"/>
  <c r="NO210" i="3"/>
  <c r="NN210" i="3"/>
  <c r="NP209" i="3"/>
  <c r="NO209" i="3"/>
  <c r="NN209" i="3"/>
  <c r="NP208" i="3"/>
  <c r="NO208" i="3"/>
  <c r="NN208" i="3"/>
  <c r="NP207" i="3"/>
  <c r="NO207" i="3"/>
  <c r="NN207" i="3"/>
  <c r="NP206" i="3"/>
  <c r="NO206" i="3"/>
  <c r="NN206" i="3"/>
  <c r="NP205" i="3"/>
  <c r="NO205" i="3"/>
  <c r="NN205" i="3"/>
  <c r="NP204" i="3"/>
  <c r="NO204" i="3"/>
  <c r="NN204" i="3"/>
  <c r="NP203" i="3"/>
  <c r="NO203" i="3"/>
  <c r="NN203" i="3"/>
  <c r="NP202" i="3"/>
  <c r="NO202" i="3"/>
  <c r="NN202" i="3"/>
  <c r="NP201" i="3"/>
  <c r="NO201" i="3"/>
  <c r="NN201" i="3"/>
  <c r="NP200" i="3"/>
  <c r="NO200" i="3"/>
  <c r="NN200" i="3"/>
  <c r="NP199" i="3"/>
  <c r="NO199" i="3"/>
  <c r="NN199" i="3"/>
  <c r="NP198" i="3"/>
  <c r="NO198" i="3"/>
  <c r="NN198" i="3"/>
  <c r="NP197" i="3"/>
  <c r="NO197" i="3"/>
  <c r="NN197" i="3"/>
  <c r="NP196" i="3"/>
  <c r="NO196" i="3"/>
  <c r="NN196" i="3"/>
  <c r="NP195" i="3"/>
  <c r="NO195" i="3"/>
  <c r="NN195" i="3"/>
  <c r="NP194" i="3"/>
  <c r="NO194" i="3"/>
  <c r="NN194" i="3"/>
  <c r="NP193" i="3"/>
  <c r="NO193" i="3"/>
  <c r="NN193" i="3"/>
  <c r="NP192" i="3"/>
  <c r="NO192" i="3"/>
  <c r="NN192" i="3"/>
  <c r="NP191" i="3"/>
  <c r="NO191" i="3"/>
  <c r="NN191" i="3"/>
  <c r="NP190" i="3"/>
  <c r="NO190" i="3"/>
  <c r="NN190" i="3"/>
  <c r="NP189" i="3"/>
  <c r="NO189" i="3"/>
  <c r="NN189" i="3"/>
  <c r="NP188" i="3"/>
  <c r="NO188" i="3"/>
  <c r="NN188" i="3"/>
  <c r="NP187" i="3"/>
  <c r="NO187" i="3"/>
  <c r="NN187" i="3"/>
  <c r="NP186" i="3"/>
  <c r="NO186" i="3"/>
  <c r="NN186" i="3"/>
  <c r="NP185" i="3"/>
  <c r="NO185" i="3"/>
  <c r="NN185" i="3"/>
  <c r="NP184" i="3"/>
  <c r="NO184" i="3"/>
  <c r="NN184" i="3"/>
  <c r="NP183" i="3"/>
  <c r="NO183" i="3"/>
  <c r="NN183" i="3"/>
  <c r="NP182" i="3"/>
  <c r="NO182" i="3"/>
  <c r="NN182" i="3"/>
  <c r="NP181" i="3"/>
  <c r="NO181" i="3"/>
  <c r="NN181" i="3"/>
  <c r="NP180" i="3"/>
  <c r="NO180" i="3"/>
  <c r="NN180" i="3"/>
  <c r="NP179" i="3"/>
  <c r="NO179" i="3"/>
  <c r="NN179" i="3"/>
  <c r="NP178" i="3"/>
  <c r="NO178" i="3"/>
  <c r="NN178" i="3"/>
  <c r="NP177" i="3"/>
  <c r="NO177" i="3"/>
  <c r="NN177" i="3"/>
  <c r="NP176" i="3"/>
  <c r="NO176" i="3"/>
  <c r="NN176" i="3"/>
  <c r="NP175" i="3"/>
  <c r="NO175" i="3"/>
  <c r="NN175" i="3"/>
  <c r="NP174" i="3"/>
  <c r="NO174" i="3"/>
  <c r="NN174" i="3"/>
  <c r="NP173" i="3"/>
  <c r="NO173" i="3"/>
  <c r="NN173" i="3"/>
  <c r="NP172" i="3"/>
  <c r="NO172" i="3"/>
  <c r="NN172" i="3"/>
  <c r="NP171" i="3"/>
  <c r="NO171" i="3"/>
  <c r="NN171" i="3"/>
  <c r="NP170" i="3"/>
  <c r="NO170" i="3"/>
  <c r="NN170" i="3"/>
  <c r="NP169" i="3"/>
  <c r="NO169" i="3"/>
  <c r="NN169" i="3"/>
  <c r="NP168" i="3"/>
  <c r="NO168" i="3"/>
  <c r="NN168" i="3"/>
  <c r="NP167" i="3"/>
  <c r="NO167" i="3"/>
  <c r="NN167" i="3"/>
  <c r="NP166" i="3"/>
  <c r="NO166" i="3"/>
  <c r="NN166" i="3"/>
  <c r="NP165" i="3"/>
  <c r="NO165" i="3"/>
  <c r="NN165" i="3"/>
  <c r="NP164" i="3"/>
  <c r="NO164" i="3"/>
  <c r="NN164" i="3"/>
  <c r="NP163" i="3"/>
  <c r="NO163" i="3"/>
  <c r="NN163" i="3"/>
  <c r="NP162" i="3"/>
  <c r="NO162" i="3"/>
  <c r="NN162" i="3"/>
  <c r="NP161" i="3"/>
  <c r="NO161" i="3"/>
  <c r="NN161" i="3"/>
  <c r="NP160" i="3"/>
  <c r="NO160" i="3"/>
  <c r="NN160" i="3"/>
  <c r="NP159" i="3"/>
  <c r="NO159" i="3"/>
  <c r="NN159" i="3"/>
  <c r="NP158" i="3"/>
  <c r="NO158" i="3"/>
  <c r="NN158" i="3"/>
  <c r="NP157" i="3"/>
  <c r="NO157" i="3"/>
  <c r="NN157" i="3"/>
  <c r="NP156" i="3"/>
  <c r="NO156" i="3"/>
  <c r="NN156" i="3"/>
  <c r="NP155" i="3"/>
  <c r="NO155" i="3"/>
  <c r="NN155" i="3"/>
  <c r="NP154" i="3"/>
  <c r="NO154" i="3"/>
  <c r="NN154" i="3"/>
  <c r="NP153" i="3"/>
  <c r="NO153" i="3"/>
  <c r="NN153" i="3"/>
  <c r="NP152" i="3"/>
  <c r="NO152" i="3"/>
  <c r="NN152" i="3"/>
  <c r="NP151" i="3"/>
  <c r="NO151" i="3"/>
  <c r="NN151" i="3"/>
  <c r="NP150" i="3"/>
  <c r="NO150" i="3"/>
  <c r="NN150" i="3"/>
  <c r="NP149" i="3"/>
  <c r="NO149" i="3"/>
  <c r="NN149" i="3"/>
  <c r="NP148" i="3"/>
  <c r="NO148" i="3"/>
  <c r="NN148" i="3"/>
  <c r="NP147" i="3"/>
  <c r="NO147" i="3"/>
  <c r="NN147" i="3"/>
  <c r="NP146" i="3"/>
  <c r="NO146" i="3"/>
  <c r="NN146" i="3"/>
  <c r="NP145" i="3"/>
  <c r="NO145" i="3"/>
  <c r="NN145" i="3"/>
  <c r="NP144" i="3"/>
  <c r="NO144" i="3"/>
  <c r="NN144" i="3"/>
  <c r="NP143" i="3"/>
  <c r="NO143" i="3"/>
  <c r="NN143" i="3"/>
  <c r="NP142" i="3"/>
  <c r="NO142" i="3"/>
  <c r="NN142" i="3"/>
  <c r="NP141" i="3"/>
  <c r="NO141" i="3"/>
  <c r="NN141" i="3"/>
  <c r="NP140" i="3"/>
  <c r="NO140" i="3"/>
  <c r="NN140" i="3"/>
  <c r="NP139" i="3"/>
  <c r="NO139" i="3"/>
  <c r="NN139" i="3"/>
  <c r="NP138" i="3"/>
  <c r="NO138" i="3"/>
  <c r="NN138" i="3"/>
  <c r="NP137" i="3"/>
  <c r="NO137" i="3"/>
  <c r="NN137" i="3"/>
  <c r="NP136" i="3"/>
  <c r="NO136" i="3"/>
  <c r="NN136" i="3"/>
  <c r="NP135" i="3"/>
  <c r="NO135" i="3"/>
  <c r="NN135" i="3"/>
  <c r="NP134" i="3"/>
  <c r="NO134" i="3"/>
  <c r="NN134" i="3"/>
  <c r="NP133" i="3"/>
  <c r="NO133" i="3"/>
  <c r="NN133" i="3"/>
  <c r="NP132" i="3"/>
  <c r="NO132" i="3"/>
  <c r="NN132" i="3"/>
  <c r="NP131" i="3"/>
  <c r="NO131" i="3"/>
  <c r="NN131" i="3"/>
  <c r="NP130" i="3"/>
  <c r="NO130" i="3"/>
  <c r="NN130" i="3"/>
  <c r="NP129" i="3"/>
  <c r="NO129" i="3"/>
  <c r="NN129" i="3"/>
  <c r="NP128" i="3"/>
  <c r="NO128" i="3"/>
  <c r="NN128" i="3"/>
  <c r="NP127" i="3"/>
  <c r="NO127" i="3"/>
  <c r="NN127" i="3"/>
  <c r="NP126" i="3"/>
  <c r="NO126" i="3"/>
  <c r="NN126" i="3"/>
  <c r="NP125" i="3"/>
  <c r="NO125" i="3"/>
  <c r="NN125" i="3"/>
  <c r="NP124" i="3"/>
  <c r="NO124" i="3"/>
  <c r="NN124" i="3"/>
  <c r="NP123" i="3"/>
  <c r="NO123" i="3"/>
  <c r="NN123" i="3"/>
  <c r="NP122" i="3"/>
  <c r="NO122" i="3"/>
  <c r="NN122" i="3"/>
  <c r="NP121" i="3"/>
  <c r="NO121" i="3"/>
  <c r="NN121" i="3"/>
  <c r="NP120" i="3"/>
  <c r="NO120" i="3"/>
  <c r="NN120" i="3"/>
  <c r="NP119" i="3"/>
  <c r="NO119" i="3"/>
  <c r="NN119" i="3"/>
  <c r="NP118" i="3"/>
  <c r="NO118" i="3"/>
  <c r="NN118" i="3"/>
  <c r="NP117" i="3"/>
  <c r="NO117" i="3"/>
  <c r="NN117" i="3"/>
  <c r="NP116" i="3"/>
  <c r="NO116" i="3"/>
  <c r="NN116" i="3"/>
  <c r="NP115" i="3"/>
  <c r="NO115" i="3"/>
  <c r="NN115" i="3"/>
  <c r="NP114" i="3"/>
  <c r="NO114" i="3"/>
  <c r="NN114" i="3"/>
  <c r="NP113" i="3"/>
  <c r="NO113" i="3"/>
  <c r="NN113" i="3"/>
  <c r="NP112" i="3"/>
  <c r="NO112" i="3"/>
  <c r="NN112" i="3"/>
  <c r="NP111" i="3"/>
  <c r="NO111" i="3"/>
  <c r="NN111" i="3"/>
  <c r="NP110" i="3"/>
  <c r="NO110" i="3"/>
  <c r="NN110" i="3"/>
  <c r="NP109" i="3"/>
  <c r="NO109" i="3"/>
  <c r="NN109" i="3"/>
  <c r="NP108" i="3"/>
  <c r="NO108" i="3"/>
  <c r="NN108" i="3"/>
  <c r="NP107" i="3"/>
  <c r="NO107" i="3"/>
  <c r="NN107" i="3"/>
  <c r="NP106" i="3"/>
  <c r="NO106" i="3"/>
  <c r="NN106" i="3"/>
  <c r="NP105" i="3"/>
  <c r="NO105" i="3"/>
  <c r="NN105" i="3"/>
  <c r="NP104" i="3"/>
  <c r="NO104" i="3"/>
  <c r="NN104" i="3"/>
  <c r="NP103" i="3"/>
  <c r="NO103" i="3"/>
  <c r="NN103" i="3"/>
  <c r="NP102" i="3"/>
  <c r="NO102" i="3"/>
  <c r="NN102" i="3"/>
  <c r="NP101" i="3"/>
  <c r="NO101" i="3"/>
  <c r="NN101" i="3"/>
  <c r="NP100" i="3"/>
  <c r="NO100" i="3"/>
  <c r="NN100" i="3"/>
  <c r="NP99" i="3"/>
  <c r="NO99" i="3"/>
  <c r="NN99" i="3"/>
  <c r="NP98" i="3"/>
  <c r="NO98" i="3"/>
  <c r="NN98" i="3"/>
  <c r="NP97" i="3"/>
  <c r="NO97" i="3"/>
  <c r="NN97" i="3"/>
  <c r="NP96" i="3"/>
  <c r="NO96" i="3"/>
  <c r="NN96" i="3"/>
  <c r="NP95" i="3"/>
  <c r="NO95" i="3"/>
  <c r="NN95" i="3"/>
  <c r="NP94" i="3"/>
  <c r="NO94" i="3"/>
  <c r="NN94" i="3"/>
  <c r="NP93" i="3"/>
  <c r="NO93" i="3"/>
  <c r="NN93" i="3"/>
  <c r="NP92" i="3"/>
  <c r="NO92" i="3"/>
  <c r="NN92" i="3"/>
  <c r="NP91" i="3"/>
  <c r="NO91" i="3"/>
  <c r="NN91" i="3"/>
  <c r="NP90" i="3"/>
  <c r="NO90" i="3"/>
  <c r="NN90" i="3"/>
  <c r="NP89" i="3"/>
  <c r="NO89" i="3"/>
  <c r="NN89" i="3"/>
  <c r="NP88" i="3"/>
  <c r="NO88" i="3"/>
  <c r="NN88" i="3"/>
  <c r="NP87" i="3"/>
  <c r="NO87" i="3"/>
  <c r="NN87" i="3"/>
  <c r="NP86" i="3"/>
  <c r="NO86" i="3"/>
  <c r="NN86" i="3"/>
  <c r="NP85" i="3"/>
  <c r="NO85" i="3"/>
  <c r="NN85" i="3"/>
  <c r="NP84" i="3"/>
  <c r="NO84" i="3"/>
  <c r="NN84" i="3"/>
  <c r="NP83" i="3"/>
  <c r="NO83" i="3"/>
  <c r="NN83" i="3"/>
  <c r="NP82" i="3"/>
  <c r="NO82" i="3"/>
  <c r="NN82" i="3"/>
  <c r="NP81" i="3"/>
  <c r="NO81" i="3"/>
  <c r="NN81" i="3"/>
  <c r="NP80" i="3"/>
  <c r="NO80" i="3"/>
  <c r="NN80" i="3"/>
  <c r="NP79" i="3"/>
  <c r="NO79" i="3"/>
  <c r="NN79" i="3"/>
  <c r="NP78" i="3"/>
  <c r="NO78" i="3"/>
  <c r="NN78" i="3"/>
  <c r="NP77" i="3"/>
  <c r="NO77" i="3"/>
  <c r="NN77" i="3"/>
  <c r="NP76" i="3"/>
  <c r="NO76" i="3"/>
  <c r="NN76" i="3"/>
  <c r="NP75" i="3"/>
  <c r="NO75" i="3"/>
  <c r="NN75" i="3"/>
  <c r="NP74" i="3"/>
  <c r="NO74" i="3"/>
  <c r="NN74" i="3"/>
  <c r="NP73" i="3"/>
  <c r="NO73" i="3"/>
  <c r="NN73" i="3"/>
  <c r="NP72" i="3"/>
  <c r="NO72" i="3"/>
  <c r="NN72" i="3"/>
  <c r="NP71" i="3"/>
  <c r="NO71" i="3"/>
  <c r="NN71" i="3"/>
  <c r="NP70" i="3"/>
  <c r="NO70" i="3"/>
  <c r="NN70" i="3"/>
  <c r="NP69" i="3"/>
  <c r="NO69" i="3"/>
  <c r="NN69" i="3"/>
  <c r="NP68" i="3"/>
  <c r="NO68" i="3"/>
  <c r="NN68" i="3"/>
  <c r="NP67" i="3"/>
  <c r="NO67" i="3"/>
  <c r="NN67" i="3"/>
  <c r="NP66" i="3"/>
  <c r="NO66" i="3"/>
  <c r="NN66" i="3"/>
  <c r="NP65" i="3"/>
  <c r="NO65" i="3"/>
  <c r="NN65" i="3"/>
  <c r="NP64" i="3"/>
  <c r="NO64" i="3"/>
  <c r="NN64" i="3"/>
  <c r="NP63" i="3"/>
  <c r="NO63" i="3"/>
  <c r="NN63" i="3"/>
  <c r="NP62" i="3"/>
  <c r="NO62" i="3"/>
  <c r="NN62" i="3"/>
  <c r="NP61" i="3"/>
  <c r="NO61" i="3"/>
  <c r="NN61" i="3"/>
  <c r="NP60" i="3"/>
  <c r="NO60" i="3"/>
  <c r="NN60" i="3"/>
  <c r="NP59" i="3"/>
  <c r="NO59" i="3"/>
  <c r="NN59" i="3"/>
  <c r="NP58" i="3"/>
  <c r="NO58" i="3"/>
  <c r="NN58" i="3"/>
  <c r="NP57" i="3"/>
  <c r="NO57" i="3"/>
  <c r="NN57" i="3"/>
  <c r="NP56" i="3"/>
  <c r="NO56" i="3"/>
  <c r="NN56" i="3"/>
  <c r="NP55" i="3"/>
  <c r="NO55" i="3"/>
  <c r="NN55" i="3"/>
  <c r="NP54" i="3"/>
  <c r="NO54" i="3"/>
  <c r="NN54" i="3"/>
  <c r="NP53" i="3"/>
  <c r="NO53" i="3"/>
  <c r="NN53" i="3"/>
  <c r="NP52" i="3"/>
  <c r="NO52" i="3"/>
  <c r="NN52" i="3"/>
  <c r="NP51" i="3"/>
  <c r="NO51" i="3"/>
  <c r="NN51" i="3"/>
  <c r="NP50" i="3"/>
  <c r="NO50" i="3"/>
  <c r="NN50" i="3"/>
  <c r="NP49" i="3"/>
  <c r="NO49" i="3"/>
  <c r="NN49" i="3"/>
  <c r="NP48" i="3"/>
  <c r="NO48" i="3"/>
  <c r="NN48" i="3"/>
  <c r="NP47" i="3"/>
  <c r="NO47" i="3"/>
  <c r="NN47" i="3"/>
  <c r="NP46" i="3"/>
  <c r="NO46" i="3"/>
  <c r="NN46" i="3"/>
  <c r="NP45" i="3"/>
  <c r="NO45" i="3"/>
  <c r="NN45" i="3"/>
  <c r="NP44" i="3"/>
  <c r="NO44" i="3"/>
  <c r="NN44" i="3"/>
  <c r="NP43" i="3"/>
  <c r="NO43" i="3"/>
  <c r="NN43" i="3"/>
  <c r="NP42" i="3"/>
  <c r="NO42" i="3"/>
  <c r="NN42" i="3"/>
  <c r="NP41" i="3"/>
  <c r="NO41" i="3"/>
  <c r="NN41" i="3"/>
  <c r="NP40" i="3"/>
  <c r="NO40" i="3"/>
  <c r="NN40" i="3"/>
  <c r="NP39" i="3"/>
  <c r="NO39" i="3"/>
  <c r="NN39" i="3"/>
  <c r="NP38" i="3"/>
  <c r="NO38" i="3"/>
  <c r="NN38" i="3"/>
  <c r="NP37" i="3"/>
  <c r="NO37" i="3"/>
  <c r="NN37" i="3"/>
  <c r="NP36" i="3"/>
  <c r="NO36" i="3"/>
  <c r="NN36" i="3"/>
  <c r="NP35" i="3"/>
  <c r="NO35" i="3"/>
  <c r="NN35" i="3"/>
  <c r="NP34" i="3"/>
  <c r="NO34" i="3"/>
  <c r="NN34" i="3"/>
  <c r="NP33" i="3"/>
  <c r="NO33" i="3"/>
  <c r="NN33" i="3"/>
  <c r="NP32" i="3"/>
  <c r="NO32" i="3"/>
  <c r="NN32" i="3"/>
  <c r="NP31" i="3"/>
  <c r="NO31" i="3"/>
  <c r="NN31" i="3"/>
  <c r="NP30" i="3"/>
  <c r="NO30" i="3"/>
  <c r="NN30" i="3"/>
  <c r="NP29" i="3"/>
  <c r="NO29" i="3"/>
  <c r="NN29" i="3"/>
  <c r="NP28" i="3"/>
  <c r="NO28" i="3"/>
  <c r="NN28" i="3"/>
  <c r="NP27" i="3"/>
  <c r="NO27" i="3"/>
  <c r="NN27" i="3"/>
  <c r="NP26" i="3"/>
  <c r="NO26" i="3"/>
  <c r="NN26" i="3"/>
  <c r="NP25" i="3"/>
  <c r="NO25" i="3"/>
  <c r="NN25" i="3"/>
  <c r="NP24" i="3"/>
  <c r="NO24" i="3"/>
  <c r="NN24" i="3"/>
  <c r="NP23" i="3"/>
  <c r="NO23" i="3"/>
  <c r="NN23" i="3"/>
  <c r="NK316" i="3"/>
  <c r="NJ316" i="3"/>
  <c r="NI316" i="3"/>
  <c r="NK315" i="3"/>
  <c r="NJ315" i="3"/>
  <c r="NI315" i="3"/>
  <c r="NK314" i="3"/>
  <c r="NJ314" i="3"/>
  <c r="NI314" i="3"/>
  <c r="NK313" i="3"/>
  <c r="NJ313" i="3"/>
  <c r="NI313" i="3"/>
  <c r="NK312" i="3"/>
  <c r="NJ312" i="3"/>
  <c r="NI312" i="3"/>
  <c r="NK311" i="3"/>
  <c r="NJ311" i="3"/>
  <c r="NI311" i="3"/>
  <c r="NK310" i="3"/>
  <c r="NJ310" i="3"/>
  <c r="NI310" i="3"/>
  <c r="NK309" i="3"/>
  <c r="NJ309" i="3"/>
  <c r="NI309" i="3"/>
  <c r="NK308" i="3"/>
  <c r="NJ308" i="3"/>
  <c r="NI308" i="3"/>
  <c r="NK307" i="3"/>
  <c r="NJ307" i="3"/>
  <c r="NI307" i="3"/>
  <c r="NK306" i="3"/>
  <c r="NJ306" i="3"/>
  <c r="NI306" i="3"/>
  <c r="NK305" i="3"/>
  <c r="NJ305" i="3"/>
  <c r="NI305" i="3"/>
  <c r="NK304" i="3"/>
  <c r="NJ304" i="3"/>
  <c r="NI304" i="3"/>
  <c r="NK303" i="3"/>
  <c r="NJ303" i="3"/>
  <c r="NI303" i="3"/>
  <c r="NK302" i="3"/>
  <c r="NJ302" i="3"/>
  <c r="NI302" i="3"/>
  <c r="NK301" i="3"/>
  <c r="NJ301" i="3"/>
  <c r="NI301" i="3"/>
  <c r="NK300" i="3"/>
  <c r="NJ300" i="3"/>
  <c r="NI300" i="3"/>
  <c r="NK299" i="3"/>
  <c r="NJ299" i="3"/>
  <c r="NI299" i="3"/>
  <c r="NK298" i="3"/>
  <c r="NJ298" i="3"/>
  <c r="NI298" i="3"/>
  <c r="NK297" i="3"/>
  <c r="NJ297" i="3"/>
  <c r="NI297" i="3"/>
  <c r="NK296" i="3"/>
  <c r="NJ296" i="3"/>
  <c r="NI296" i="3"/>
  <c r="NK295" i="3"/>
  <c r="NJ295" i="3"/>
  <c r="NI295" i="3"/>
  <c r="NK294" i="3"/>
  <c r="NJ294" i="3"/>
  <c r="NI294" i="3"/>
  <c r="NK293" i="3"/>
  <c r="NJ293" i="3"/>
  <c r="NI293" i="3"/>
  <c r="NK292" i="3"/>
  <c r="NJ292" i="3"/>
  <c r="NI292" i="3"/>
  <c r="NK291" i="3"/>
  <c r="NJ291" i="3"/>
  <c r="NI291" i="3"/>
  <c r="NK290" i="3"/>
  <c r="NJ290" i="3"/>
  <c r="NI290" i="3"/>
  <c r="NK289" i="3"/>
  <c r="NJ289" i="3"/>
  <c r="NI289" i="3"/>
  <c r="NK288" i="3"/>
  <c r="NJ288" i="3"/>
  <c r="NI288" i="3"/>
  <c r="NK287" i="3"/>
  <c r="NJ287" i="3"/>
  <c r="NI287" i="3"/>
  <c r="NK286" i="3"/>
  <c r="NJ286" i="3"/>
  <c r="NI286" i="3"/>
  <c r="NK285" i="3"/>
  <c r="NJ285" i="3"/>
  <c r="NI285" i="3"/>
  <c r="NK284" i="3"/>
  <c r="NJ284" i="3"/>
  <c r="NI284" i="3"/>
  <c r="NK283" i="3"/>
  <c r="NJ283" i="3"/>
  <c r="NI283" i="3"/>
  <c r="NK282" i="3"/>
  <c r="NJ282" i="3"/>
  <c r="NI282" i="3"/>
  <c r="NK281" i="3"/>
  <c r="NJ281" i="3"/>
  <c r="NI281" i="3"/>
  <c r="NK280" i="3"/>
  <c r="NJ280" i="3"/>
  <c r="NI280" i="3"/>
  <c r="NK279" i="3"/>
  <c r="NJ279" i="3"/>
  <c r="NI279" i="3"/>
  <c r="NK278" i="3"/>
  <c r="NJ278" i="3"/>
  <c r="NI278" i="3"/>
  <c r="NK277" i="3"/>
  <c r="NJ277" i="3"/>
  <c r="NI277" i="3"/>
  <c r="NK276" i="3"/>
  <c r="NJ276" i="3"/>
  <c r="NI276" i="3"/>
  <c r="NK275" i="3"/>
  <c r="NJ275" i="3"/>
  <c r="NI275" i="3"/>
  <c r="NK274" i="3"/>
  <c r="NJ274" i="3"/>
  <c r="NI274" i="3"/>
  <c r="NK273" i="3"/>
  <c r="NJ273" i="3"/>
  <c r="NI273" i="3"/>
  <c r="NK272" i="3"/>
  <c r="NJ272" i="3"/>
  <c r="NI272" i="3"/>
  <c r="NK271" i="3"/>
  <c r="NJ271" i="3"/>
  <c r="NI271" i="3"/>
  <c r="NK270" i="3"/>
  <c r="NJ270" i="3"/>
  <c r="NI270" i="3"/>
  <c r="NK269" i="3"/>
  <c r="NJ269" i="3"/>
  <c r="NI269" i="3"/>
  <c r="NK268" i="3"/>
  <c r="NJ268" i="3"/>
  <c r="NI268" i="3"/>
  <c r="NK267" i="3"/>
  <c r="NJ267" i="3"/>
  <c r="NI267" i="3"/>
  <c r="NK266" i="3"/>
  <c r="NJ266" i="3"/>
  <c r="NI266" i="3"/>
  <c r="NK265" i="3"/>
  <c r="NJ265" i="3"/>
  <c r="NI265" i="3"/>
  <c r="NK264" i="3"/>
  <c r="NJ264" i="3"/>
  <c r="NI264" i="3"/>
  <c r="NK263" i="3"/>
  <c r="NJ263" i="3"/>
  <c r="NI263" i="3"/>
  <c r="NK262" i="3"/>
  <c r="NJ262" i="3"/>
  <c r="NI262" i="3"/>
  <c r="NK261" i="3"/>
  <c r="NJ261" i="3"/>
  <c r="NI261" i="3"/>
  <c r="NK260" i="3"/>
  <c r="NJ260" i="3"/>
  <c r="NI260" i="3"/>
  <c r="NK259" i="3"/>
  <c r="NJ259" i="3"/>
  <c r="NI259" i="3"/>
  <c r="NK258" i="3"/>
  <c r="NJ258" i="3"/>
  <c r="NI258" i="3"/>
  <c r="NK257" i="3"/>
  <c r="NJ257" i="3"/>
  <c r="NI257" i="3"/>
  <c r="NK256" i="3"/>
  <c r="NJ256" i="3"/>
  <c r="NI256" i="3"/>
  <c r="NK255" i="3"/>
  <c r="NJ255" i="3"/>
  <c r="NI255" i="3"/>
  <c r="NK254" i="3"/>
  <c r="NJ254" i="3"/>
  <c r="NI254" i="3"/>
  <c r="NK253" i="3"/>
  <c r="NJ253" i="3"/>
  <c r="NI253" i="3"/>
  <c r="NK252" i="3"/>
  <c r="NJ252" i="3"/>
  <c r="NI252" i="3"/>
  <c r="NK251" i="3"/>
  <c r="NJ251" i="3"/>
  <c r="NI251" i="3"/>
  <c r="NK250" i="3"/>
  <c r="NJ250" i="3"/>
  <c r="NI250" i="3"/>
  <c r="NK249" i="3"/>
  <c r="NJ249" i="3"/>
  <c r="NI249" i="3"/>
  <c r="NK248" i="3"/>
  <c r="NJ248" i="3"/>
  <c r="NI248" i="3"/>
  <c r="NK247" i="3"/>
  <c r="NJ247" i="3"/>
  <c r="NI247" i="3"/>
  <c r="NK246" i="3"/>
  <c r="NJ246" i="3"/>
  <c r="NI246" i="3"/>
  <c r="NK245" i="3"/>
  <c r="NJ245" i="3"/>
  <c r="NI245" i="3"/>
  <c r="NK244" i="3"/>
  <c r="NJ244" i="3"/>
  <c r="NI244" i="3"/>
  <c r="NK243" i="3"/>
  <c r="NJ243" i="3"/>
  <c r="NI243" i="3"/>
  <c r="NK242" i="3"/>
  <c r="NJ242" i="3"/>
  <c r="NI242" i="3"/>
  <c r="NK241" i="3"/>
  <c r="NJ241" i="3"/>
  <c r="NI241" i="3"/>
  <c r="NK240" i="3"/>
  <c r="NJ240" i="3"/>
  <c r="NI240" i="3"/>
  <c r="NK239" i="3"/>
  <c r="NJ239" i="3"/>
  <c r="NI239" i="3"/>
  <c r="NK238" i="3"/>
  <c r="NJ238" i="3"/>
  <c r="NI238" i="3"/>
  <c r="NK237" i="3"/>
  <c r="NJ237" i="3"/>
  <c r="NI237" i="3"/>
  <c r="NK236" i="3"/>
  <c r="NJ236" i="3"/>
  <c r="NI236" i="3"/>
  <c r="NK235" i="3"/>
  <c r="NJ235" i="3"/>
  <c r="NI235" i="3"/>
  <c r="NK234" i="3"/>
  <c r="NJ234" i="3"/>
  <c r="NI234" i="3"/>
  <c r="NK233" i="3"/>
  <c r="NJ233" i="3"/>
  <c r="NI233" i="3"/>
  <c r="NK232" i="3"/>
  <c r="NJ232" i="3"/>
  <c r="NI232" i="3"/>
  <c r="NK231" i="3"/>
  <c r="NJ231" i="3"/>
  <c r="NI231" i="3"/>
  <c r="NK230" i="3"/>
  <c r="NJ230" i="3"/>
  <c r="NI230" i="3"/>
  <c r="NK229" i="3"/>
  <c r="NJ229" i="3"/>
  <c r="NI229" i="3"/>
  <c r="NK228" i="3"/>
  <c r="NJ228" i="3"/>
  <c r="NI228" i="3"/>
  <c r="NK227" i="3"/>
  <c r="NJ227" i="3"/>
  <c r="NI227" i="3"/>
  <c r="NK226" i="3"/>
  <c r="NJ226" i="3"/>
  <c r="NI226" i="3"/>
  <c r="NK225" i="3"/>
  <c r="NJ225" i="3"/>
  <c r="NI225" i="3"/>
  <c r="NK224" i="3"/>
  <c r="NJ224" i="3"/>
  <c r="NI224" i="3"/>
  <c r="NK223" i="3"/>
  <c r="NJ223" i="3"/>
  <c r="NI223" i="3"/>
  <c r="NK222" i="3"/>
  <c r="NJ222" i="3"/>
  <c r="NI222" i="3"/>
  <c r="NK221" i="3"/>
  <c r="NJ221" i="3"/>
  <c r="NI221" i="3"/>
  <c r="NK220" i="3"/>
  <c r="NJ220" i="3"/>
  <c r="NI220" i="3"/>
  <c r="NK219" i="3"/>
  <c r="NJ219" i="3"/>
  <c r="NI219" i="3"/>
  <c r="NK218" i="3"/>
  <c r="NJ218" i="3"/>
  <c r="NI218" i="3"/>
  <c r="NK217" i="3"/>
  <c r="NJ217" i="3"/>
  <c r="NI217" i="3"/>
  <c r="NK216" i="3"/>
  <c r="NJ216" i="3"/>
  <c r="NI216" i="3"/>
  <c r="NK215" i="3"/>
  <c r="NJ215" i="3"/>
  <c r="NI215" i="3"/>
  <c r="NK214" i="3"/>
  <c r="NJ214" i="3"/>
  <c r="NI214" i="3"/>
  <c r="NK213" i="3"/>
  <c r="NJ213" i="3"/>
  <c r="NI213" i="3"/>
  <c r="NK212" i="3"/>
  <c r="NJ212" i="3"/>
  <c r="NI212" i="3"/>
  <c r="NK211" i="3"/>
  <c r="NJ211" i="3"/>
  <c r="NI211" i="3"/>
  <c r="NK210" i="3"/>
  <c r="NJ210" i="3"/>
  <c r="NI210" i="3"/>
  <c r="NK209" i="3"/>
  <c r="NJ209" i="3"/>
  <c r="NI209" i="3"/>
  <c r="NK208" i="3"/>
  <c r="NJ208" i="3"/>
  <c r="NI208" i="3"/>
  <c r="NK207" i="3"/>
  <c r="NJ207" i="3"/>
  <c r="NI207" i="3"/>
  <c r="NK206" i="3"/>
  <c r="NJ206" i="3"/>
  <c r="NI206" i="3"/>
  <c r="NK205" i="3"/>
  <c r="NJ205" i="3"/>
  <c r="NI205" i="3"/>
  <c r="NK204" i="3"/>
  <c r="NJ204" i="3"/>
  <c r="NI204" i="3"/>
  <c r="NK203" i="3"/>
  <c r="NJ203" i="3"/>
  <c r="NI203" i="3"/>
  <c r="NK202" i="3"/>
  <c r="NJ202" i="3"/>
  <c r="NI202" i="3"/>
  <c r="NK201" i="3"/>
  <c r="NJ201" i="3"/>
  <c r="NI201" i="3"/>
  <c r="NK200" i="3"/>
  <c r="NJ200" i="3"/>
  <c r="NI200" i="3"/>
  <c r="NK199" i="3"/>
  <c r="NJ199" i="3"/>
  <c r="NI199" i="3"/>
  <c r="NK198" i="3"/>
  <c r="NJ198" i="3"/>
  <c r="NI198" i="3"/>
  <c r="NK197" i="3"/>
  <c r="NJ197" i="3"/>
  <c r="NI197" i="3"/>
  <c r="NK196" i="3"/>
  <c r="NJ196" i="3"/>
  <c r="NI196" i="3"/>
  <c r="NK195" i="3"/>
  <c r="NJ195" i="3"/>
  <c r="NI195" i="3"/>
  <c r="NK194" i="3"/>
  <c r="NJ194" i="3"/>
  <c r="NI194" i="3"/>
  <c r="NK193" i="3"/>
  <c r="NJ193" i="3"/>
  <c r="NI193" i="3"/>
  <c r="NK192" i="3"/>
  <c r="NJ192" i="3"/>
  <c r="NI192" i="3"/>
  <c r="NK191" i="3"/>
  <c r="NJ191" i="3"/>
  <c r="NI191" i="3"/>
  <c r="NK190" i="3"/>
  <c r="NJ190" i="3"/>
  <c r="NI190" i="3"/>
  <c r="NK189" i="3"/>
  <c r="NJ189" i="3"/>
  <c r="NI189" i="3"/>
  <c r="NK188" i="3"/>
  <c r="NJ188" i="3"/>
  <c r="NI188" i="3"/>
  <c r="NK187" i="3"/>
  <c r="NJ187" i="3"/>
  <c r="NI187" i="3"/>
  <c r="NK186" i="3"/>
  <c r="NJ186" i="3"/>
  <c r="NI186" i="3"/>
  <c r="NK185" i="3"/>
  <c r="NJ185" i="3"/>
  <c r="NI185" i="3"/>
  <c r="NK184" i="3"/>
  <c r="NJ184" i="3"/>
  <c r="NI184" i="3"/>
  <c r="NK183" i="3"/>
  <c r="NJ183" i="3"/>
  <c r="NI183" i="3"/>
  <c r="NK182" i="3"/>
  <c r="NJ182" i="3"/>
  <c r="NI182" i="3"/>
  <c r="NK181" i="3"/>
  <c r="NJ181" i="3"/>
  <c r="NI181" i="3"/>
  <c r="NK180" i="3"/>
  <c r="NJ180" i="3"/>
  <c r="NI180" i="3"/>
  <c r="NK179" i="3"/>
  <c r="NJ179" i="3"/>
  <c r="NI179" i="3"/>
  <c r="NK178" i="3"/>
  <c r="NJ178" i="3"/>
  <c r="NI178" i="3"/>
  <c r="NK177" i="3"/>
  <c r="NJ177" i="3"/>
  <c r="NI177" i="3"/>
  <c r="NK176" i="3"/>
  <c r="NJ176" i="3"/>
  <c r="NI176" i="3"/>
  <c r="NK175" i="3"/>
  <c r="NJ175" i="3"/>
  <c r="NI175" i="3"/>
  <c r="NK174" i="3"/>
  <c r="NJ174" i="3"/>
  <c r="NI174" i="3"/>
  <c r="NK173" i="3"/>
  <c r="NJ173" i="3"/>
  <c r="NI173" i="3"/>
  <c r="NK172" i="3"/>
  <c r="NJ172" i="3"/>
  <c r="NI172" i="3"/>
  <c r="NK171" i="3"/>
  <c r="NJ171" i="3"/>
  <c r="NI171" i="3"/>
  <c r="NK170" i="3"/>
  <c r="NJ170" i="3"/>
  <c r="NI170" i="3"/>
  <c r="NK169" i="3"/>
  <c r="NJ169" i="3"/>
  <c r="NI169" i="3"/>
  <c r="NK168" i="3"/>
  <c r="NJ168" i="3"/>
  <c r="NI168" i="3"/>
  <c r="NK167" i="3"/>
  <c r="NJ167" i="3"/>
  <c r="NI167" i="3"/>
  <c r="NK166" i="3"/>
  <c r="NJ166" i="3"/>
  <c r="NI166" i="3"/>
  <c r="NK165" i="3"/>
  <c r="NJ165" i="3"/>
  <c r="NI165" i="3"/>
  <c r="NK164" i="3"/>
  <c r="NJ164" i="3"/>
  <c r="NI164" i="3"/>
  <c r="NK163" i="3"/>
  <c r="NJ163" i="3"/>
  <c r="NI163" i="3"/>
  <c r="NK162" i="3"/>
  <c r="NJ162" i="3"/>
  <c r="NI162" i="3"/>
  <c r="NK161" i="3"/>
  <c r="NJ161" i="3"/>
  <c r="NI161" i="3"/>
  <c r="NK160" i="3"/>
  <c r="NJ160" i="3"/>
  <c r="NI160" i="3"/>
  <c r="NK159" i="3"/>
  <c r="NJ159" i="3"/>
  <c r="NI159" i="3"/>
  <c r="NK158" i="3"/>
  <c r="NJ158" i="3"/>
  <c r="NI158" i="3"/>
  <c r="NK157" i="3"/>
  <c r="NJ157" i="3"/>
  <c r="NI157" i="3"/>
  <c r="NK156" i="3"/>
  <c r="NJ156" i="3"/>
  <c r="NI156" i="3"/>
  <c r="NK155" i="3"/>
  <c r="NJ155" i="3"/>
  <c r="NI155" i="3"/>
  <c r="NK154" i="3"/>
  <c r="NJ154" i="3"/>
  <c r="NI154" i="3"/>
  <c r="NK153" i="3"/>
  <c r="NJ153" i="3"/>
  <c r="NI153" i="3"/>
  <c r="NK152" i="3"/>
  <c r="NJ152" i="3"/>
  <c r="NI152" i="3"/>
  <c r="NK151" i="3"/>
  <c r="NJ151" i="3"/>
  <c r="NI151" i="3"/>
  <c r="NK150" i="3"/>
  <c r="NJ150" i="3"/>
  <c r="NI150" i="3"/>
  <c r="NK149" i="3"/>
  <c r="NJ149" i="3"/>
  <c r="NI149" i="3"/>
  <c r="NK148" i="3"/>
  <c r="NJ148" i="3"/>
  <c r="NI148" i="3"/>
  <c r="NK147" i="3"/>
  <c r="NJ147" i="3"/>
  <c r="NI147" i="3"/>
  <c r="NK146" i="3"/>
  <c r="NJ146" i="3"/>
  <c r="NI146" i="3"/>
  <c r="NK145" i="3"/>
  <c r="NJ145" i="3"/>
  <c r="NI145" i="3"/>
  <c r="NK144" i="3"/>
  <c r="NJ144" i="3"/>
  <c r="NI144" i="3"/>
  <c r="NK143" i="3"/>
  <c r="NJ143" i="3"/>
  <c r="NI143" i="3"/>
  <c r="NK142" i="3"/>
  <c r="NJ142" i="3"/>
  <c r="NI142" i="3"/>
  <c r="NK141" i="3"/>
  <c r="NJ141" i="3"/>
  <c r="NI141" i="3"/>
  <c r="NK140" i="3"/>
  <c r="NJ140" i="3"/>
  <c r="NI140" i="3"/>
  <c r="NK139" i="3"/>
  <c r="NJ139" i="3"/>
  <c r="NI139" i="3"/>
  <c r="NK138" i="3"/>
  <c r="NJ138" i="3"/>
  <c r="NI138" i="3"/>
  <c r="NK137" i="3"/>
  <c r="NJ137" i="3"/>
  <c r="NI137" i="3"/>
  <c r="NK136" i="3"/>
  <c r="NJ136" i="3"/>
  <c r="NI136" i="3"/>
  <c r="NK135" i="3"/>
  <c r="NJ135" i="3"/>
  <c r="NI135" i="3"/>
  <c r="NK134" i="3"/>
  <c r="NJ134" i="3"/>
  <c r="NI134" i="3"/>
  <c r="NK133" i="3"/>
  <c r="NJ133" i="3"/>
  <c r="NI133" i="3"/>
  <c r="NK132" i="3"/>
  <c r="NJ132" i="3"/>
  <c r="NI132" i="3"/>
  <c r="NK131" i="3"/>
  <c r="NJ131" i="3"/>
  <c r="NI131" i="3"/>
  <c r="NK130" i="3"/>
  <c r="NJ130" i="3"/>
  <c r="NI130" i="3"/>
  <c r="NK129" i="3"/>
  <c r="NJ129" i="3"/>
  <c r="NI129" i="3"/>
  <c r="NK128" i="3"/>
  <c r="NJ128" i="3"/>
  <c r="NI128" i="3"/>
  <c r="NK127" i="3"/>
  <c r="NJ127" i="3"/>
  <c r="NI127" i="3"/>
  <c r="NK126" i="3"/>
  <c r="NJ126" i="3"/>
  <c r="NI126" i="3"/>
  <c r="NK125" i="3"/>
  <c r="NJ125" i="3"/>
  <c r="NI125" i="3"/>
  <c r="NK124" i="3"/>
  <c r="NJ124" i="3"/>
  <c r="NI124" i="3"/>
  <c r="NK123" i="3"/>
  <c r="NJ123" i="3"/>
  <c r="NI123" i="3"/>
  <c r="NK122" i="3"/>
  <c r="NJ122" i="3"/>
  <c r="NI122" i="3"/>
  <c r="NK121" i="3"/>
  <c r="NJ121" i="3"/>
  <c r="NI121" i="3"/>
  <c r="NK120" i="3"/>
  <c r="NJ120" i="3"/>
  <c r="NI120" i="3"/>
  <c r="NK119" i="3"/>
  <c r="NJ119" i="3"/>
  <c r="NI119" i="3"/>
  <c r="NK118" i="3"/>
  <c r="NJ118" i="3"/>
  <c r="NI118" i="3"/>
  <c r="NK117" i="3"/>
  <c r="NJ117" i="3"/>
  <c r="NI117" i="3"/>
  <c r="NK116" i="3"/>
  <c r="NJ116" i="3"/>
  <c r="NI116" i="3"/>
  <c r="NK115" i="3"/>
  <c r="NJ115" i="3"/>
  <c r="NI115" i="3"/>
  <c r="NK114" i="3"/>
  <c r="NJ114" i="3"/>
  <c r="NI114" i="3"/>
  <c r="NK113" i="3"/>
  <c r="NJ113" i="3"/>
  <c r="NI113" i="3"/>
  <c r="NK112" i="3"/>
  <c r="NJ112" i="3"/>
  <c r="NI112" i="3"/>
  <c r="NK111" i="3"/>
  <c r="NJ111" i="3"/>
  <c r="NI111" i="3"/>
  <c r="NK110" i="3"/>
  <c r="NJ110" i="3"/>
  <c r="NI110" i="3"/>
  <c r="NK109" i="3"/>
  <c r="NJ109" i="3"/>
  <c r="NI109" i="3"/>
  <c r="NK108" i="3"/>
  <c r="NJ108" i="3"/>
  <c r="NI108" i="3"/>
  <c r="NK107" i="3"/>
  <c r="NJ107" i="3"/>
  <c r="NI107" i="3"/>
  <c r="NK106" i="3"/>
  <c r="NJ106" i="3"/>
  <c r="NI106" i="3"/>
  <c r="NK105" i="3"/>
  <c r="NJ105" i="3"/>
  <c r="NI105" i="3"/>
  <c r="NK104" i="3"/>
  <c r="NJ104" i="3"/>
  <c r="NI104" i="3"/>
  <c r="NK103" i="3"/>
  <c r="NJ103" i="3"/>
  <c r="NI103" i="3"/>
  <c r="NK102" i="3"/>
  <c r="NJ102" i="3"/>
  <c r="NI102" i="3"/>
  <c r="NK101" i="3"/>
  <c r="NJ101" i="3"/>
  <c r="NI101" i="3"/>
  <c r="NK100" i="3"/>
  <c r="NJ100" i="3"/>
  <c r="NI100" i="3"/>
  <c r="NK99" i="3"/>
  <c r="NJ99" i="3"/>
  <c r="NI99" i="3"/>
  <c r="NK98" i="3"/>
  <c r="NJ98" i="3"/>
  <c r="NI98" i="3"/>
  <c r="NK97" i="3"/>
  <c r="NJ97" i="3"/>
  <c r="NI97" i="3"/>
  <c r="NK96" i="3"/>
  <c r="NJ96" i="3"/>
  <c r="NI96" i="3"/>
  <c r="NK95" i="3"/>
  <c r="NJ95" i="3"/>
  <c r="NI95" i="3"/>
  <c r="NK94" i="3"/>
  <c r="NJ94" i="3"/>
  <c r="NI94" i="3"/>
  <c r="NK93" i="3"/>
  <c r="NJ93" i="3"/>
  <c r="NI93" i="3"/>
  <c r="NK92" i="3"/>
  <c r="NJ92" i="3"/>
  <c r="NI92" i="3"/>
  <c r="NK91" i="3"/>
  <c r="NJ91" i="3"/>
  <c r="NI91" i="3"/>
  <c r="NK90" i="3"/>
  <c r="NJ90" i="3"/>
  <c r="NI90" i="3"/>
  <c r="NK89" i="3"/>
  <c r="NJ89" i="3"/>
  <c r="NI89" i="3"/>
  <c r="NK88" i="3"/>
  <c r="NJ88" i="3"/>
  <c r="NI88" i="3"/>
  <c r="NK87" i="3"/>
  <c r="NJ87" i="3"/>
  <c r="NI87" i="3"/>
  <c r="NK86" i="3"/>
  <c r="NJ86" i="3"/>
  <c r="NI86" i="3"/>
  <c r="NK85" i="3"/>
  <c r="NJ85" i="3"/>
  <c r="NI85" i="3"/>
  <c r="NK84" i="3"/>
  <c r="NJ84" i="3"/>
  <c r="NI84" i="3"/>
  <c r="NK83" i="3"/>
  <c r="NJ83" i="3"/>
  <c r="NI83" i="3"/>
  <c r="NK82" i="3"/>
  <c r="NJ82" i="3"/>
  <c r="NI82" i="3"/>
  <c r="NK81" i="3"/>
  <c r="NJ81" i="3"/>
  <c r="NI81" i="3"/>
  <c r="NK80" i="3"/>
  <c r="NJ80" i="3"/>
  <c r="NI80" i="3"/>
  <c r="NK79" i="3"/>
  <c r="NJ79" i="3"/>
  <c r="NI79" i="3"/>
  <c r="NK78" i="3"/>
  <c r="NJ78" i="3"/>
  <c r="NI78" i="3"/>
  <c r="NK77" i="3"/>
  <c r="NJ77" i="3"/>
  <c r="NI77" i="3"/>
  <c r="NK76" i="3"/>
  <c r="NJ76" i="3"/>
  <c r="NI76" i="3"/>
  <c r="NK75" i="3"/>
  <c r="NJ75" i="3"/>
  <c r="NI75" i="3"/>
  <c r="NK74" i="3"/>
  <c r="NJ74" i="3"/>
  <c r="NI74" i="3"/>
  <c r="NK73" i="3"/>
  <c r="NJ73" i="3"/>
  <c r="NI73" i="3"/>
  <c r="NK72" i="3"/>
  <c r="NJ72" i="3"/>
  <c r="NI72" i="3"/>
  <c r="NK71" i="3"/>
  <c r="NJ71" i="3"/>
  <c r="NI71" i="3"/>
  <c r="NK70" i="3"/>
  <c r="NJ70" i="3"/>
  <c r="NI70" i="3"/>
  <c r="NK69" i="3"/>
  <c r="NJ69" i="3"/>
  <c r="NI69" i="3"/>
  <c r="NK68" i="3"/>
  <c r="NJ68" i="3"/>
  <c r="NI68" i="3"/>
  <c r="NK67" i="3"/>
  <c r="NJ67" i="3"/>
  <c r="NI67" i="3"/>
  <c r="NK66" i="3"/>
  <c r="NJ66" i="3"/>
  <c r="NI66" i="3"/>
  <c r="NK65" i="3"/>
  <c r="NJ65" i="3"/>
  <c r="NI65" i="3"/>
  <c r="NK64" i="3"/>
  <c r="NJ64" i="3"/>
  <c r="NI64" i="3"/>
  <c r="NK63" i="3"/>
  <c r="NJ63" i="3"/>
  <c r="NI63" i="3"/>
  <c r="NK62" i="3"/>
  <c r="NJ62" i="3"/>
  <c r="NI62" i="3"/>
  <c r="NK61" i="3"/>
  <c r="NJ61" i="3"/>
  <c r="NI61" i="3"/>
  <c r="NK60" i="3"/>
  <c r="NJ60" i="3"/>
  <c r="NI60" i="3"/>
  <c r="NK59" i="3"/>
  <c r="NJ59" i="3"/>
  <c r="NI59" i="3"/>
  <c r="NK58" i="3"/>
  <c r="NJ58" i="3"/>
  <c r="NI58" i="3"/>
  <c r="NK57" i="3"/>
  <c r="NJ57" i="3"/>
  <c r="NI57" i="3"/>
  <c r="NK56" i="3"/>
  <c r="NJ56" i="3"/>
  <c r="NI56" i="3"/>
  <c r="NK55" i="3"/>
  <c r="NJ55" i="3"/>
  <c r="NI55" i="3"/>
  <c r="NK54" i="3"/>
  <c r="NJ54" i="3"/>
  <c r="NI54" i="3"/>
  <c r="NK53" i="3"/>
  <c r="NJ53" i="3"/>
  <c r="NI53" i="3"/>
  <c r="NK52" i="3"/>
  <c r="NJ52" i="3"/>
  <c r="NI52" i="3"/>
  <c r="NK51" i="3"/>
  <c r="NJ51" i="3"/>
  <c r="NI51" i="3"/>
  <c r="NK50" i="3"/>
  <c r="NJ50" i="3"/>
  <c r="NI50" i="3"/>
  <c r="NK49" i="3"/>
  <c r="NJ49" i="3"/>
  <c r="NI49" i="3"/>
  <c r="NK48" i="3"/>
  <c r="NJ48" i="3"/>
  <c r="NI48" i="3"/>
  <c r="NK47" i="3"/>
  <c r="NJ47" i="3"/>
  <c r="NI47" i="3"/>
  <c r="NK46" i="3"/>
  <c r="NJ46" i="3"/>
  <c r="NI46" i="3"/>
  <c r="NK45" i="3"/>
  <c r="NJ45" i="3"/>
  <c r="NI45" i="3"/>
  <c r="NK44" i="3"/>
  <c r="NJ44" i="3"/>
  <c r="NI44" i="3"/>
  <c r="NK43" i="3"/>
  <c r="NJ43" i="3"/>
  <c r="NI43" i="3"/>
  <c r="NK42" i="3"/>
  <c r="NJ42" i="3"/>
  <c r="NI42" i="3"/>
  <c r="NK41" i="3"/>
  <c r="NJ41" i="3"/>
  <c r="NI41" i="3"/>
  <c r="NK40" i="3"/>
  <c r="NJ40" i="3"/>
  <c r="NI40" i="3"/>
  <c r="NK39" i="3"/>
  <c r="NJ39" i="3"/>
  <c r="NI39" i="3"/>
  <c r="NK38" i="3"/>
  <c r="NJ38" i="3"/>
  <c r="NI38" i="3"/>
  <c r="NK37" i="3"/>
  <c r="NJ37" i="3"/>
  <c r="NI37" i="3"/>
  <c r="NK36" i="3"/>
  <c r="NJ36" i="3"/>
  <c r="NI36" i="3"/>
  <c r="NK35" i="3"/>
  <c r="NJ35" i="3"/>
  <c r="NI35" i="3"/>
  <c r="NK34" i="3"/>
  <c r="NJ34" i="3"/>
  <c r="NI34" i="3"/>
  <c r="NK33" i="3"/>
  <c r="NJ33" i="3"/>
  <c r="NI33" i="3"/>
  <c r="NK32" i="3"/>
  <c r="NJ32" i="3"/>
  <c r="NI32" i="3"/>
  <c r="NK31" i="3"/>
  <c r="NJ31" i="3"/>
  <c r="NI31" i="3"/>
  <c r="NK30" i="3"/>
  <c r="NJ30" i="3"/>
  <c r="NI30" i="3"/>
  <c r="NK29" i="3"/>
  <c r="NJ29" i="3"/>
  <c r="NI29" i="3"/>
  <c r="NK28" i="3"/>
  <c r="NJ28" i="3"/>
  <c r="NI28" i="3"/>
  <c r="NK27" i="3"/>
  <c r="NJ27" i="3"/>
  <c r="NI27" i="3"/>
  <c r="NK26" i="3"/>
  <c r="NJ26" i="3"/>
  <c r="NI26" i="3"/>
  <c r="NK25" i="3"/>
  <c r="NJ25" i="3"/>
  <c r="NI25" i="3"/>
  <c r="NK24" i="3"/>
  <c r="NJ24" i="3"/>
  <c r="NI24" i="3"/>
  <c r="NK23" i="3"/>
  <c r="NJ23" i="3"/>
  <c r="NI23" i="3"/>
  <c r="NF316" i="3"/>
  <c r="NE316" i="3"/>
  <c r="ND316" i="3"/>
  <c r="NF315" i="3"/>
  <c r="NE315" i="3"/>
  <c r="ND315" i="3"/>
  <c r="NF314" i="3"/>
  <c r="NE314" i="3"/>
  <c r="ND314" i="3"/>
  <c r="NF313" i="3"/>
  <c r="NE313" i="3"/>
  <c r="ND313" i="3"/>
  <c r="NF312" i="3"/>
  <c r="NE312" i="3"/>
  <c r="ND312" i="3"/>
  <c r="NF311" i="3"/>
  <c r="NE311" i="3"/>
  <c r="ND311" i="3"/>
  <c r="NF310" i="3"/>
  <c r="NE310" i="3"/>
  <c r="ND310" i="3"/>
  <c r="NF309" i="3"/>
  <c r="NE309" i="3"/>
  <c r="ND309" i="3"/>
  <c r="NF308" i="3"/>
  <c r="NE308" i="3"/>
  <c r="ND308" i="3"/>
  <c r="NF307" i="3"/>
  <c r="NE307" i="3"/>
  <c r="ND307" i="3"/>
  <c r="NF306" i="3"/>
  <c r="NE306" i="3"/>
  <c r="ND306" i="3"/>
  <c r="NF305" i="3"/>
  <c r="NE305" i="3"/>
  <c r="ND305" i="3"/>
  <c r="NF304" i="3"/>
  <c r="NE304" i="3"/>
  <c r="ND304" i="3"/>
  <c r="NF303" i="3"/>
  <c r="NE303" i="3"/>
  <c r="ND303" i="3"/>
  <c r="NF302" i="3"/>
  <c r="NE302" i="3"/>
  <c r="ND302" i="3"/>
  <c r="NF301" i="3"/>
  <c r="NE301" i="3"/>
  <c r="ND301" i="3"/>
  <c r="NF300" i="3"/>
  <c r="NE300" i="3"/>
  <c r="ND300" i="3"/>
  <c r="NF299" i="3"/>
  <c r="NE299" i="3"/>
  <c r="ND299" i="3"/>
  <c r="NF298" i="3"/>
  <c r="NE298" i="3"/>
  <c r="ND298" i="3"/>
  <c r="NF297" i="3"/>
  <c r="NE297" i="3"/>
  <c r="ND297" i="3"/>
  <c r="NF296" i="3"/>
  <c r="NE296" i="3"/>
  <c r="ND296" i="3"/>
  <c r="NF295" i="3"/>
  <c r="NE295" i="3"/>
  <c r="ND295" i="3"/>
  <c r="NF294" i="3"/>
  <c r="NE294" i="3"/>
  <c r="ND294" i="3"/>
  <c r="NF293" i="3"/>
  <c r="NE293" i="3"/>
  <c r="ND293" i="3"/>
  <c r="NF292" i="3"/>
  <c r="NE292" i="3"/>
  <c r="ND292" i="3"/>
  <c r="NF291" i="3"/>
  <c r="NE291" i="3"/>
  <c r="ND291" i="3"/>
  <c r="NF290" i="3"/>
  <c r="NE290" i="3"/>
  <c r="ND290" i="3"/>
  <c r="NF289" i="3"/>
  <c r="NE289" i="3"/>
  <c r="ND289" i="3"/>
  <c r="NF288" i="3"/>
  <c r="NE288" i="3"/>
  <c r="ND288" i="3"/>
  <c r="NF287" i="3"/>
  <c r="NE287" i="3"/>
  <c r="ND287" i="3"/>
  <c r="NF286" i="3"/>
  <c r="NE286" i="3"/>
  <c r="ND286" i="3"/>
  <c r="NF285" i="3"/>
  <c r="NE285" i="3"/>
  <c r="ND285" i="3"/>
  <c r="NF284" i="3"/>
  <c r="NE284" i="3"/>
  <c r="ND284" i="3"/>
  <c r="NF283" i="3"/>
  <c r="NE283" i="3"/>
  <c r="ND283" i="3"/>
  <c r="NF282" i="3"/>
  <c r="NE282" i="3"/>
  <c r="ND282" i="3"/>
  <c r="NF281" i="3"/>
  <c r="NE281" i="3"/>
  <c r="ND281" i="3"/>
  <c r="NF280" i="3"/>
  <c r="NE280" i="3"/>
  <c r="ND280" i="3"/>
  <c r="NF279" i="3"/>
  <c r="NE279" i="3"/>
  <c r="ND279" i="3"/>
  <c r="NF278" i="3"/>
  <c r="NE278" i="3"/>
  <c r="ND278" i="3"/>
  <c r="NF277" i="3"/>
  <c r="NE277" i="3"/>
  <c r="ND277" i="3"/>
  <c r="NF276" i="3"/>
  <c r="NE276" i="3"/>
  <c r="ND276" i="3"/>
  <c r="NF275" i="3"/>
  <c r="NE275" i="3"/>
  <c r="ND275" i="3"/>
  <c r="NF274" i="3"/>
  <c r="NE274" i="3"/>
  <c r="ND274" i="3"/>
  <c r="NF273" i="3"/>
  <c r="NE273" i="3"/>
  <c r="ND273" i="3"/>
  <c r="NF272" i="3"/>
  <c r="NE272" i="3"/>
  <c r="ND272" i="3"/>
  <c r="NF271" i="3"/>
  <c r="NE271" i="3"/>
  <c r="ND271" i="3"/>
  <c r="NF270" i="3"/>
  <c r="NE270" i="3"/>
  <c r="ND270" i="3"/>
  <c r="NF269" i="3"/>
  <c r="NE269" i="3"/>
  <c r="ND269" i="3"/>
  <c r="NF268" i="3"/>
  <c r="NE268" i="3"/>
  <c r="ND268" i="3"/>
  <c r="NF267" i="3"/>
  <c r="NE267" i="3"/>
  <c r="ND267" i="3"/>
  <c r="NF266" i="3"/>
  <c r="NE266" i="3"/>
  <c r="ND266" i="3"/>
  <c r="NF265" i="3"/>
  <c r="NE265" i="3"/>
  <c r="ND265" i="3"/>
  <c r="NF264" i="3"/>
  <c r="NE264" i="3"/>
  <c r="ND264" i="3"/>
  <c r="NF263" i="3"/>
  <c r="NE263" i="3"/>
  <c r="ND263" i="3"/>
  <c r="NF262" i="3"/>
  <c r="NE262" i="3"/>
  <c r="ND262" i="3"/>
  <c r="NF261" i="3"/>
  <c r="NE261" i="3"/>
  <c r="ND261" i="3"/>
  <c r="NF260" i="3"/>
  <c r="NE260" i="3"/>
  <c r="ND260" i="3"/>
  <c r="NF259" i="3"/>
  <c r="NE259" i="3"/>
  <c r="ND259" i="3"/>
  <c r="NF258" i="3"/>
  <c r="NE258" i="3"/>
  <c r="ND258" i="3"/>
  <c r="NF257" i="3"/>
  <c r="NE257" i="3"/>
  <c r="ND257" i="3"/>
  <c r="NF256" i="3"/>
  <c r="NE256" i="3"/>
  <c r="ND256" i="3"/>
  <c r="NF255" i="3"/>
  <c r="NE255" i="3"/>
  <c r="ND255" i="3"/>
  <c r="NF254" i="3"/>
  <c r="NE254" i="3"/>
  <c r="ND254" i="3"/>
  <c r="NF253" i="3"/>
  <c r="NE253" i="3"/>
  <c r="ND253" i="3"/>
  <c r="NF252" i="3"/>
  <c r="NE252" i="3"/>
  <c r="ND252" i="3"/>
  <c r="NF251" i="3"/>
  <c r="NE251" i="3"/>
  <c r="ND251" i="3"/>
  <c r="NF250" i="3"/>
  <c r="NE250" i="3"/>
  <c r="ND250" i="3"/>
  <c r="NF249" i="3"/>
  <c r="NE249" i="3"/>
  <c r="ND249" i="3"/>
  <c r="NF248" i="3"/>
  <c r="NE248" i="3"/>
  <c r="ND248" i="3"/>
  <c r="NF247" i="3"/>
  <c r="NE247" i="3"/>
  <c r="ND247" i="3"/>
  <c r="NF246" i="3"/>
  <c r="NE246" i="3"/>
  <c r="ND246" i="3"/>
  <c r="NF245" i="3"/>
  <c r="NE245" i="3"/>
  <c r="ND245" i="3"/>
  <c r="NF244" i="3"/>
  <c r="NE244" i="3"/>
  <c r="ND244" i="3"/>
  <c r="NF243" i="3"/>
  <c r="NE243" i="3"/>
  <c r="ND243" i="3"/>
  <c r="NF242" i="3"/>
  <c r="NE242" i="3"/>
  <c r="ND242" i="3"/>
  <c r="NF241" i="3"/>
  <c r="NE241" i="3"/>
  <c r="ND241" i="3"/>
  <c r="NF240" i="3"/>
  <c r="NE240" i="3"/>
  <c r="ND240" i="3"/>
  <c r="NF239" i="3"/>
  <c r="NE239" i="3"/>
  <c r="ND239" i="3"/>
  <c r="NF238" i="3"/>
  <c r="NE238" i="3"/>
  <c r="ND238" i="3"/>
  <c r="NF237" i="3"/>
  <c r="NE237" i="3"/>
  <c r="ND237" i="3"/>
  <c r="NF236" i="3"/>
  <c r="NE236" i="3"/>
  <c r="ND236" i="3"/>
  <c r="NF235" i="3"/>
  <c r="NE235" i="3"/>
  <c r="ND235" i="3"/>
  <c r="NF234" i="3"/>
  <c r="NE234" i="3"/>
  <c r="ND234" i="3"/>
  <c r="NF233" i="3"/>
  <c r="NE233" i="3"/>
  <c r="ND233" i="3"/>
  <c r="NF232" i="3"/>
  <c r="NE232" i="3"/>
  <c r="ND232" i="3"/>
  <c r="NF231" i="3"/>
  <c r="NE231" i="3"/>
  <c r="ND231" i="3"/>
  <c r="NF230" i="3"/>
  <c r="NE230" i="3"/>
  <c r="ND230" i="3"/>
  <c r="NF229" i="3"/>
  <c r="NE229" i="3"/>
  <c r="ND229" i="3"/>
  <c r="NF228" i="3"/>
  <c r="NE228" i="3"/>
  <c r="ND228" i="3"/>
  <c r="NF227" i="3"/>
  <c r="NE227" i="3"/>
  <c r="ND227" i="3"/>
  <c r="NF226" i="3"/>
  <c r="NE226" i="3"/>
  <c r="ND226" i="3"/>
  <c r="NF225" i="3"/>
  <c r="NE225" i="3"/>
  <c r="ND225" i="3"/>
  <c r="NF224" i="3"/>
  <c r="NE224" i="3"/>
  <c r="ND224" i="3"/>
  <c r="NF223" i="3"/>
  <c r="NE223" i="3"/>
  <c r="ND223" i="3"/>
  <c r="NF222" i="3"/>
  <c r="NE222" i="3"/>
  <c r="ND222" i="3"/>
  <c r="NF221" i="3"/>
  <c r="NE221" i="3"/>
  <c r="ND221" i="3"/>
  <c r="NF220" i="3"/>
  <c r="NE220" i="3"/>
  <c r="ND220" i="3"/>
  <c r="NF219" i="3"/>
  <c r="NE219" i="3"/>
  <c r="ND219" i="3"/>
  <c r="NF218" i="3"/>
  <c r="NE218" i="3"/>
  <c r="ND218" i="3"/>
  <c r="NF217" i="3"/>
  <c r="NE217" i="3"/>
  <c r="ND217" i="3"/>
  <c r="NF216" i="3"/>
  <c r="NE216" i="3"/>
  <c r="ND216" i="3"/>
  <c r="NF215" i="3"/>
  <c r="NE215" i="3"/>
  <c r="ND215" i="3"/>
  <c r="NF214" i="3"/>
  <c r="NE214" i="3"/>
  <c r="ND214" i="3"/>
  <c r="NF213" i="3"/>
  <c r="NE213" i="3"/>
  <c r="ND213" i="3"/>
  <c r="NF212" i="3"/>
  <c r="NE212" i="3"/>
  <c r="ND212" i="3"/>
  <c r="NF211" i="3"/>
  <c r="NE211" i="3"/>
  <c r="ND211" i="3"/>
  <c r="NF210" i="3"/>
  <c r="NE210" i="3"/>
  <c r="ND210" i="3"/>
  <c r="NF209" i="3"/>
  <c r="NE209" i="3"/>
  <c r="ND209" i="3"/>
  <c r="NF208" i="3"/>
  <c r="NE208" i="3"/>
  <c r="ND208" i="3"/>
  <c r="NF207" i="3"/>
  <c r="NE207" i="3"/>
  <c r="ND207" i="3"/>
  <c r="NF206" i="3"/>
  <c r="NE206" i="3"/>
  <c r="ND206" i="3"/>
  <c r="NF205" i="3"/>
  <c r="NE205" i="3"/>
  <c r="ND205" i="3"/>
  <c r="NF204" i="3"/>
  <c r="NE204" i="3"/>
  <c r="ND204" i="3"/>
  <c r="NF203" i="3"/>
  <c r="NE203" i="3"/>
  <c r="ND203" i="3"/>
  <c r="NF202" i="3"/>
  <c r="NE202" i="3"/>
  <c r="ND202" i="3"/>
  <c r="NF201" i="3"/>
  <c r="NE201" i="3"/>
  <c r="ND201" i="3"/>
  <c r="NF200" i="3"/>
  <c r="NE200" i="3"/>
  <c r="ND200" i="3"/>
  <c r="NF199" i="3"/>
  <c r="NE199" i="3"/>
  <c r="ND199" i="3"/>
  <c r="NF198" i="3"/>
  <c r="NE198" i="3"/>
  <c r="ND198" i="3"/>
  <c r="NF197" i="3"/>
  <c r="NE197" i="3"/>
  <c r="ND197" i="3"/>
  <c r="NF196" i="3"/>
  <c r="NE196" i="3"/>
  <c r="ND196" i="3"/>
  <c r="NF195" i="3"/>
  <c r="NE195" i="3"/>
  <c r="ND195" i="3"/>
  <c r="NF194" i="3"/>
  <c r="NE194" i="3"/>
  <c r="ND194" i="3"/>
  <c r="NF193" i="3"/>
  <c r="NE193" i="3"/>
  <c r="ND193" i="3"/>
  <c r="NF192" i="3"/>
  <c r="NE192" i="3"/>
  <c r="ND192" i="3"/>
  <c r="NF191" i="3"/>
  <c r="NE191" i="3"/>
  <c r="ND191" i="3"/>
  <c r="NF190" i="3"/>
  <c r="NE190" i="3"/>
  <c r="ND190" i="3"/>
  <c r="NF189" i="3"/>
  <c r="NE189" i="3"/>
  <c r="ND189" i="3"/>
  <c r="NF188" i="3"/>
  <c r="NE188" i="3"/>
  <c r="ND188" i="3"/>
  <c r="NF187" i="3"/>
  <c r="NE187" i="3"/>
  <c r="ND187" i="3"/>
  <c r="NF186" i="3"/>
  <c r="NE186" i="3"/>
  <c r="ND186" i="3"/>
  <c r="NF185" i="3"/>
  <c r="NE185" i="3"/>
  <c r="ND185" i="3"/>
  <c r="NF184" i="3"/>
  <c r="NE184" i="3"/>
  <c r="ND184" i="3"/>
  <c r="NF183" i="3"/>
  <c r="NE183" i="3"/>
  <c r="ND183" i="3"/>
  <c r="NF182" i="3"/>
  <c r="NE182" i="3"/>
  <c r="ND182" i="3"/>
  <c r="NF181" i="3"/>
  <c r="NE181" i="3"/>
  <c r="ND181" i="3"/>
  <c r="NF180" i="3"/>
  <c r="NE180" i="3"/>
  <c r="ND180" i="3"/>
  <c r="NF179" i="3"/>
  <c r="NE179" i="3"/>
  <c r="ND179" i="3"/>
  <c r="NF178" i="3"/>
  <c r="NE178" i="3"/>
  <c r="ND178" i="3"/>
  <c r="NF177" i="3"/>
  <c r="NE177" i="3"/>
  <c r="ND177" i="3"/>
  <c r="NF176" i="3"/>
  <c r="NE176" i="3"/>
  <c r="ND176" i="3"/>
  <c r="NF175" i="3"/>
  <c r="NE175" i="3"/>
  <c r="ND175" i="3"/>
  <c r="NF174" i="3"/>
  <c r="NE174" i="3"/>
  <c r="ND174" i="3"/>
  <c r="NF173" i="3"/>
  <c r="NE173" i="3"/>
  <c r="ND173" i="3"/>
  <c r="NF172" i="3"/>
  <c r="NE172" i="3"/>
  <c r="ND172" i="3"/>
  <c r="NF171" i="3"/>
  <c r="NE171" i="3"/>
  <c r="ND171" i="3"/>
  <c r="NF170" i="3"/>
  <c r="NE170" i="3"/>
  <c r="ND170" i="3"/>
  <c r="NF169" i="3"/>
  <c r="NE169" i="3"/>
  <c r="ND169" i="3"/>
  <c r="NF168" i="3"/>
  <c r="NE168" i="3"/>
  <c r="ND168" i="3"/>
  <c r="NF167" i="3"/>
  <c r="NE167" i="3"/>
  <c r="ND167" i="3"/>
  <c r="NF166" i="3"/>
  <c r="NE166" i="3"/>
  <c r="ND166" i="3"/>
  <c r="NF165" i="3"/>
  <c r="NE165" i="3"/>
  <c r="ND165" i="3"/>
  <c r="NF164" i="3"/>
  <c r="NE164" i="3"/>
  <c r="ND164" i="3"/>
  <c r="NF163" i="3"/>
  <c r="NE163" i="3"/>
  <c r="ND163" i="3"/>
  <c r="NF162" i="3"/>
  <c r="NE162" i="3"/>
  <c r="ND162" i="3"/>
  <c r="NF161" i="3"/>
  <c r="NE161" i="3"/>
  <c r="ND161" i="3"/>
  <c r="NF160" i="3"/>
  <c r="NE160" i="3"/>
  <c r="ND160" i="3"/>
  <c r="NF159" i="3"/>
  <c r="NE159" i="3"/>
  <c r="ND159" i="3"/>
  <c r="NF158" i="3"/>
  <c r="NE158" i="3"/>
  <c r="ND158" i="3"/>
  <c r="NF157" i="3"/>
  <c r="NE157" i="3"/>
  <c r="ND157" i="3"/>
  <c r="NF156" i="3"/>
  <c r="NE156" i="3"/>
  <c r="ND156" i="3"/>
  <c r="NF155" i="3"/>
  <c r="NE155" i="3"/>
  <c r="ND155" i="3"/>
  <c r="NF154" i="3"/>
  <c r="NE154" i="3"/>
  <c r="ND154" i="3"/>
  <c r="NF153" i="3"/>
  <c r="NE153" i="3"/>
  <c r="ND153" i="3"/>
  <c r="NF152" i="3"/>
  <c r="NE152" i="3"/>
  <c r="ND152" i="3"/>
  <c r="NF151" i="3"/>
  <c r="NE151" i="3"/>
  <c r="ND151" i="3"/>
  <c r="NF150" i="3"/>
  <c r="NE150" i="3"/>
  <c r="ND150" i="3"/>
  <c r="NF149" i="3"/>
  <c r="NE149" i="3"/>
  <c r="ND149" i="3"/>
  <c r="NF148" i="3"/>
  <c r="NE148" i="3"/>
  <c r="ND148" i="3"/>
  <c r="NF147" i="3"/>
  <c r="NE147" i="3"/>
  <c r="ND147" i="3"/>
  <c r="NF146" i="3"/>
  <c r="NE146" i="3"/>
  <c r="ND146" i="3"/>
  <c r="NF145" i="3"/>
  <c r="NE145" i="3"/>
  <c r="ND145" i="3"/>
  <c r="NF144" i="3"/>
  <c r="NE144" i="3"/>
  <c r="ND144" i="3"/>
  <c r="NF143" i="3"/>
  <c r="NE143" i="3"/>
  <c r="ND143" i="3"/>
  <c r="NF142" i="3"/>
  <c r="NE142" i="3"/>
  <c r="ND142" i="3"/>
  <c r="NF141" i="3"/>
  <c r="NE141" i="3"/>
  <c r="ND141" i="3"/>
  <c r="NF140" i="3"/>
  <c r="NE140" i="3"/>
  <c r="ND140" i="3"/>
  <c r="NF139" i="3"/>
  <c r="NE139" i="3"/>
  <c r="ND139" i="3"/>
  <c r="NF138" i="3"/>
  <c r="NE138" i="3"/>
  <c r="ND138" i="3"/>
  <c r="NF137" i="3"/>
  <c r="NE137" i="3"/>
  <c r="ND137" i="3"/>
  <c r="NF136" i="3"/>
  <c r="NE136" i="3"/>
  <c r="ND136" i="3"/>
  <c r="NF135" i="3"/>
  <c r="NE135" i="3"/>
  <c r="ND135" i="3"/>
  <c r="NF134" i="3"/>
  <c r="NE134" i="3"/>
  <c r="ND134" i="3"/>
  <c r="NF133" i="3"/>
  <c r="NE133" i="3"/>
  <c r="ND133" i="3"/>
  <c r="NF132" i="3"/>
  <c r="NE132" i="3"/>
  <c r="ND132" i="3"/>
  <c r="NF131" i="3"/>
  <c r="NE131" i="3"/>
  <c r="ND131" i="3"/>
  <c r="NF130" i="3"/>
  <c r="NE130" i="3"/>
  <c r="ND130" i="3"/>
  <c r="NF129" i="3"/>
  <c r="NE129" i="3"/>
  <c r="ND129" i="3"/>
  <c r="NF128" i="3"/>
  <c r="NE128" i="3"/>
  <c r="ND128" i="3"/>
  <c r="NF127" i="3"/>
  <c r="NE127" i="3"/>
  <c r="ND127" i="3"/>
  <c r="NF126" i="3"/>
  <c r="NE126" i="3"/>
  <c r="ND126" i="3"/>
  <c r="NF125" i="3"/>
  <c r="NE125" i="3"/>
  <c r="ND125" i="3"/>
  <c r="NF124" i="3"/>
  <c r="NE124" i="3"/>
  <c r="ND124" i="3"/>
  <c r="NF123" i="3"/>
  <c r="NE123" i="3"/>
  <c r="ND123" i="3"/>
  <c r="NF122" i="3"/>
  <c r="NE122" i="3"/>
  <c r="ND122" i="3"/>
  <c r="NF121" i="3"/>
  <c r="NE121" i="3"/>
  <c r="ND121" i="3"/>
  <c r="NF120" i="3"/>
  <c r="NE120" i="3"/>
  <c r="ND120" i="3"/>
  <c r="NF119" i="3"/>
  <c r="NE119" i="3"/>
  <c r="ND119" i="3"/>
  <c r="NF118" i="3"/>
  <c r="NE118" i="3"/>
  <c r="ND118" i="3"/>
  <c r="NF117" i="3"/>
  <c r="NE117" i="3"/>
  <c r="ND117" i="3"/>
  <c r="NF116" i="3"/>
  <c r="NE116" i="3"/>
  <c r="ND116" i="3"/>
  <c r="NF115" i="3"/>
  <c r="NE115" i="3"/>
  <c r="ND115" i="3"/>
  <c r="NF114" i="3"/>
  <c r="NE114" i="3"/>
  <c r="ND114" i="3"/>
  <c r="NF113" i="3"/>
  <c r="NE113" i="3"/>
  <c r="ND113" i="3"/>
  <c r="NF112" i="3"/>
  <c r="NE112" i="3"/>
  <c r="ND112" i="3"/>
  <c r="NF111" i="3"/>
  <c r="NE111" i="3"/>
  <c r="ND111" i="3"/>
  <c r="NF110" i="3"/>
  <c r="NE110" i="3"/>
  <c r="ND110" i="3"/>
  <c r="NF109" i="3"/>
  <c r="NE109" i="3"/>
  <c r="ND109" i="3"/>
  <c r="NF108" i="3"/>
  <c r="NE108" i="3"/>
  <c r="ND108" i="3"/>
  <c r="NF107" i="3"/>
  <c r="NE107" i="3"/>
  <c r="ND107" i="3"/>
  <c r="NF106" i="3"/>
  <c r="NE106" i="3"/>
  <c r="ND106" i="3"/>
  <c r="NF105" i="3"/>
  <c r="NE105" i="3"/>
  <c r="ND105" i="3"/>
  <c r="NF104" i="3"/>
  <c r="NE104" i="3"/>
  <c r="ND104" i="3"/>
  <c r="NF103" i="3"/>
  <c r="NE103" i="3"/>
  <c r="ND103" i="3"/>
  <c r="NF102" i="3"/>
  <c r="NE102" i="3"/>
  <c r="ND102" i="3"/>
  <c r="NF101" i="3"/>
  <c r="NE101" i="3"/>
  <c r="ND101" i="3"/>
  <c r="NF100" i="3"/>
  <c r="NE100" i="3"/>
  <c r="ND100" i="3"/>
  <c r="NF99" i="3"/>
  <c r="NE99" i="3"/>
  <c r="ND99" i="3"/>
  <c r="NF98" i="3"/>
  <c r="NE98" i="3"/>
  <c r="ND98" i="3"/>
  <c r="NF97" i="3"/>
  <c r="NE97" i="3"/>
  <c r="ND97" i="3"/>
  <c r="NF96" i="3"/>
  <c r="NE96" i="3"/>
  <c r="ND96" i="3"/>
  <c r="NF95" i="3"/>
  <c r="NE95" i="3"/>
  <c r="ND95" i="3"/>
  <c r="NF94" i="3"/>
  <c r="NE94" i="3"/>
  <c r="ND94" i="3"/>
  <c r="NF93" i="3"/>
  <c r="NE93" i="3"/>
  <c r="ND93" i="3"/>
  <c r="NF92" i="3"/>
  <c r="NE92" i="3"/>
  <c r="ND92" i="3"/>
  <c r="NF91" i="3"/>
  <c r="NE91" i="3"/>
  <c r="ND91" i="3"/>
  <c r="NF90" i="3"/>
  <c r="NE90" i="3"/>
  <c r="ND90" i="3"/>
  <c r="NF89" i="3"/>
  <c r="NE89" i="3"/>
  <c r="ND89" i="3"/>
  <c r="NF88" i="3"/>
  <c r="NE88" i="3"/>
  <c r="ND88" i="3"/>
  <c r="NF87" i="3"/>
  <c r="NE87" i="3"/>
  <c r="ND87" i="3"/>
  <c r="NF86" i="3"/>
  <c r="NE86" i="3"/>
  <c r="ND86" i="3"/>
  <c r="NF85" i="3"/>
  <c r="NE85" i="3"/>
  <c r="ND85" i="3"/>
  <c r="NF84" i="3"/>
  <c r="NE84" i="3"/>
  <c r="ND84" i="3"/>
  <c r="NF83" i="3"/>
  <c r="NE83" i="3"/>
  <c r="ND83" i="3"/>
  <c r="NF82" i="3"/>
  <c r="NE82" i="3"/>
  <c r="ND82" i="3"/>
  <c r="NF81" i="3"/>
  <c r="NE81" i="3"/>
  <c r="ND81" i="3"/>
  <c r="NF80" i="3"/>
  <c r="NE80" i="3"/>
  <c r="ND80" i="3"/>
  <c r="NF79" i="3"/>
  <c r="NE79" i="3"/>
  <c r="ND79" i="3"/>
  <c r="NF78" i="3"/>
  <c r="NE78" i="3"/>
  <c r="ND78" i="3"/>
  <c r="NF77" i="3"/>
  <c r="NE77" i="3"/>
  <c r="ND77" i="3"/>
  <c r="NF76" i="3"/>
  <c r="NE76" i="3"/>
  <c r="ND76" i="3"/>
  <c r="NF75" i="3"/>
  <c r="NE75" i="3"/>
  <c r="ND75" i="3"/>
  <c r="NF74" i="3"/>
  <c r="NE74" i="3"/>
  <c r="ND74" i="3"/>
  <c r="NF73" i="3"/>
  <c r="NE73" i="3"/>
  <c r="ND73" i="3"/>
  <c r="NF72" i="3"/>
  <c r="NE72" i="3"/>
  <c r="ND72" i="3"/>
  <c r="NF71" i="3"/>
  <c r="NE71" i="3"/>
  <c r="ND71" i="3"/>
  <c r="NF70" i="3"/>
  <c r="NE70" i="3"/>
  <c r="ND70" i="3"/>
  <c r="NF69" i="3"/>
  <c r="NE69" i="3"/>
  <c r="ND69" i="3"/>
  <c r="NF68" i="3"/>
  <c r="NE68" i="3"/>
  <c r="ND68" i="3"/>
  <c r="NF67" i="3"/>
  <c r="NE67" i="3"/>
  <c r="ND67" i="3"/>
  <c r="NF66" i="3"/>
  <c r="NE66" i="3"/>
  <c r="ND66" i="3"/>
  <c r="NF65" i="3"/>
  <c r="NE65" i="3"/>
  <c r="ND65" i="3"/>
  <c r="NF64" i="3"/>
  <c r="NE64" i="3"/>
  <c r="ND64" i="3"/>
  <c r="NF63" i="3"/>
  <c r="NE63" i="3"/>
  <c r="ND63" i="3"/>
  <c r="NF62" i="3"/>
  <c r="NE62" i="3"/>
  <c r="ND62" i="3"/>
  <c r="NF61" i="3"/>
  <c r="NE61" i="3"/>
  <c r="ND61" i="3"/>
  <c r="NF60" i="3"/>
  <c r="NE60" i="3"/>
  <c r="ND60" i="3"/>
  <c r="NF59" i="3"/>
  <c r="NE59" i="3"/>
  <c r="ND59" i="3"/>
  <c r="NF58" i="3"/>
  <c r="NE58" i="3"/>
  <c r="ND58" i="3"/>
  <c r="NF57" i="3"/>
  <c r="NE57" i="3"/>
  <c r="ND57" i="3"/>
  <c r="NF56" i="3"/>
  <c r="NE56" i="3"/>
  <c r="ND56" i="3"/>
  <c r="NF55" i="3"/>
  <c r="NE55" i="3"/>
  <c r="ND55" i="3"/>
  <c r="NF54" i="3"/>
  <c r="NE54" i="3"/>
  <c r="ND54" i="3"/>
  <c r="NF53" i="3"/>
  <c r="NE53" i="3"/>
  <c r="ND53" i="3"/>
  <c r="NF52" i="3"/>
  <c r="NE52" i="3"/>
  <c r="ND52" i="3"/>
  <c r="NF51" i="3"/>
  <c r="NE51" i="3"/>
  <c r="ND51" i="3"/>
  <c r="NF50" i="3"/>
  <c r="NE50" i="3"/>
  <c r="ND50" i="3"/>
  <c r="NF49" i="3"/>
  <c r="NE49" i="3"/>
  <c r="ND49" i="3"/>
  <c r="NF48" i="3"/>
  <c r="NE48" i="3"/>
  <c r="ND48" i="3"/>
  <c r="NF47" i="3"/>
  <c r="NE47" i="3"/>
  <c r="ND47" i="3"/>
  <c r="NF46" i="3"/>
  <c r="NE46" i="3"/>
  <c r="ND46" i="3"/>
  <c r="NF45" i="3"/>
  <c r="NE45" i="3"/>
  <c r="ND45" i="3"/>
  <c r="NF44" i="3"/>
  <c r="NE44" i="3"/>
  <c r="ND44" i="3"/>
  <c r="NF43" i="3"/>
  <c r="NE43" i="3"/>
  <c r="ND43" i="3"/>
  <c r="NF42" i="3"/>
  <c r="NE42" i="3"/>
  <c r="ND42" i="3"/>
  <c r="NF41" i="3"/>
  <c r="NE41" i="3"/>
  <c r="ND41" i="3"/>
  <c r="NF40" i="3"/>
  <c r="NE40" i="3"/>
  <c r="ND40" i="3"/>
  <c r="NF39" i="3"/>
  <c r="NE39" i="3"/>
  <c r="ND39" i="3"/>
  <c r="NF38" i="3"/>
  <c r="NE38" i="3"/>
  <c r="ND38" i="3"/>
  <c r="NF37" i="3"/>
  <c r="NE37" i="3"/>
  <c r="ND37" i="3"/>
  <c r="NF36" i="3"/>
  <c r="NE36" i="3"/>
  <c r="ND36" i="3"/>
  <c r="NF35" i="3"/>
  <c r="NE35" i="3"/>
  <c r="ND35" i="3"/>
  <c r="NF34" i="3"/>
  <c r="NE34" i="3"/>
  <c r="ND34" i="3"/>
  <c r="NF33" i="3"/>
  <c r="NE33" i="3"/>
  <c r="ND33" i="3"/>
  <c r="NF32" i="3"/>
  <c r="NE32" i="3"/>
  <c r="ND32" i="3"/>
  <c r="NF31" i="3"/>
  <c r="NE31" i="3"/>
  <c r="ND31" i="3"/>
  <c r="NF30" i="3"/>
  <c r="NE30" i="3"/>
  <c r="ND30" i="3"/>
  <c r="NF29" i="3"/>
  <c r="NE29" i="3"/>
  <c r="ND29" i="3"/>
  <c r="NF28" i="3"/>
  <c r="NE28" i="3"/>
  <c r="ND28" i="3"/>
  <c r="NF27" i="3"/>
  <c r="NE27" i="3"/>
  <c r="ND27" i="3"/>
  <c r="NF26" i="3"/>
  <c r="NE26" i="3"/>
  <c r="ND26" i="3"/>
  <c r="NF25" i="3"/>
  <c r="NE25" i="3"/>
  <c r="ND25" i="3"/>
  <c r="NF24" i="3"/>
  <c r="NE24" i="3"/>
  <c r="ND24" i="3"/>
  <c r="NF23" i="3"/>
  <c r="NE23" i="3"/>
  <c r="ND23" i="3"/>
  <c r="Y4" i="70"/>
  <c r="X4" i="70"/>
  <c r="AA4" i="70"/>
  <c r="Z4" i="70"/>
  <c r="AB4" i="70"/>
  <c r="W4" i="70"/>
  <c r="AF6" i="70" s="1"/>
  <c r="AM4" i="70" l="1"/>
  <c r="AG97" i="70"/>
  <c r="AG259" i="70"/>
  <c r="AG129" i="70"/>
  <c r="AG292" i="70"/>
  <c r="AG223" i="70"/>
  <c r="AG91" i="70"/>
  <c r="AG182" i="70"/>
  <c r="AG255" i="70"/>
  <c r="AG216" i="70"/>
  <c r="AG297" i="70"/>
  <c r="AG176" i="70"/>
  <c r="AG44" i="70"/>
  <c r="AG134" i="70"/>
  <c r="AG52" i="70"/>
  <c r="AG33" i="70"/>
  <c r="AG160" i="70"/>
  <c r="AG205" i="70"/>
  <c r="AG225" i="70"/>
  <c r="AG22" i="70"/>
  <c r="AG73" i="70"/>
  <c r="AG138" i="70"/>
  <c r="AG204" i="70"/>
  <c r="AG174" i="70"/>
  <c r="AG66" i="70"/>
  <c r="AG64" i="70"/>
  <c r="AG276" i="70"/>
  <c r="AG72" i="70"/>
  <c r="AG158" i="70"/>
  <c r="AG145" i="70"/>
  <c r="AG71" i="70"/>
  <c r="AG164" i="70"/>
  <c r="AG130" i="70"/>
  <c r="AG254" i="70"/>
  <c r="AG267" i="70"/>
  <c r="AG189" i="70"/>
  <c r="AG207" i="70"/>
  <c r="AG246" i="70"/>
  <c r="AG107" i="70"/>
  <c r="AG293" i="70"/>
  <c r="AG237" i="70"/>
  <c r="AG193" i="70"/>
  <c r="AG253" i="70"/>
  <c r="AG250" i="70"/>
  <c r="AG258" i="70"/>
  <c r="AG194" i="70"/>
  <c r="AG50" i="70"/>
  <c r="AG298" i="70"/>
  <c r="AG6" i="70"/>
  <c r="AG285" i="70"/>
  <c r="AG16" i="70"/>
  <c r="AG172" i="70"/>
  <c r="AG197" i="70"/>
  <c r="AG257" i="70"/>
  <c r="AG57" i="70"/>
  <c r="AG26" i="70"/>
  <c r="AG77" i="70"/>
  <c r="AG144" i="70"/>
  <c r="AG92" i="70"/>
  <c r="AG49" i="70"/>
  <c r="AG289" i="70"/>
  <c r="AG265" i="70"/>
  <c r="AG294" i="70"/>
  <c r="AG271" i="70"/>
  <c r="AG84" i="70"/>
  <c r="AG65" i="70"/>
  <c r="AG75" i="70"/>
  <c r="AG83" i="70"/>
  <c r="AG139" i="70"/>
  <c r="AG45" i="70"/>
  <c r="AG229" i="70"/>
  <c r="AG230" i="70"/>
  <c r="AG81" i="70"/>
  <c r="AG148" i="70"/>
  <c r="AG247" i="70"/>
  <c r="AG105" i="70"/>
  <c r="AG118" i="70"/>
  <c r="AG62" i="70"/>
  <c r="AG178" i="70"/>
  <c r="AG37" i="70"/>
  <c r="AG214" i="70"/>
  <c r="AG136" i="70"/>
  <c r="AG8" i="70"/>
  <c r="AG248" i="70"/>
  <c r="AG200" i="70"/>
  <c r="AG142" i="70"/>
  <c r="AG119" i="70"/>
  <c r="AG121" i="70"/>
  <c r="AG173" i="70"/>
  <c r="AG51" i="70"/>
  <c r="AG149" i="70"/>
  <c r="AG238" i="70"/>
  <c r="AG221" i="70"/>
  <c r="AG168" i="70"/>
  <c r="AG36" i="70"/>
  <c r="AG251" i="70"/>
  <c r="AG9" i="70"/>
  <c r="AG69" i="70"/>
  <c r="AG100" i="70"/>
  <c r="AG85" i="70"/>
  <c r="AG202" i="70"/>
  <c r="AG175" i="70"/>
  <c r="AG201" i="70"/>
  <c r="AG132" i="70"/>
  <c r="AG108" i="70"/>
  <c r="AG141" i="70"/>
  <c r="AG192" i="70"/>
  <c r="AG263" i="70"/>
  <c r="AG54" i="70"/>
  <c r="AG203" i="70"/>
  <c r="AG275" i="70"/>
  <c r="AG146" i="70"/>
  <c r="AG10" i="70"/>
  <c r="AG279" i="70"/>
  <c r="AG43" i="70"/>
  <c r="AG127" i="70"/>
  <c r="AG185" i="70"/>
  <c r="AG195" i="70"/>
  <c r="AG236" i="70"/>
  <c r="AG232" i="70"/>
  <c r="AG89" i="70"/>
  <c r="AG116" i="70"/>
  <c r="AG287" i="70"/>
  <c r="AG152" i="70"/>
  <c r="AG111" i="70"/>
  <c r="AG198" i="70"/>
  <c r="AG220" i="70"/>
  <c r="AG167" i="70"/>
  <c r="AG53" i="70"/>
  <c r="AG187" i="70"/>
  <c r="AG86" i="70"/>
  <c r="AG191" i="70"/>
  <c r="AG113" i="70"/>
  <c r="AG235" i="70"/>
  <c r="AG133" i="70"/>
  <c r="AG27" i="70"/>
  <c r="AG212" i="70"/>
  <c r="AG217" i="70"/>
  <c r="AG122" i="70"/>
  <c r="AG124" i="70"/>
  <c r="AG140" i="70"/>
  <c r="AG135" i="70"/>
  <c r="AG184" i="70"/>
  <c r="AG88" i="70"/>
  <c r="AG210" i="70"/>
  <c r="AG11" i="70"/>
  <c r="AG104" i="70"/>
  <c r="AG74" i="70"/>
  <c r="AG59" i="70"/>
  <c r="AG39" i="70"/>
  <c r="AG224" i="70"/>
  <c r="AG114" i="70"/>
  <c r="AG190" i="70"/>
  <c r="AG154" i="70"/>
  <c r="AG35" i="70"/>
  <c r="AG79" i="70"/>
  <c r="AG21" i="70"/>
  <c r="AG46" i="70"/>
  <c r="AG286" i="70"/>
  <c r="AG278" i="70"/>
  <c r="AG42" i="70"/>
  <c r="AG226" i="70"/>
  <c r="AG63" i="70"/>
  <c r="AG110" i="70"/>
  <c r="AG233" i="70"/>
  <c r="AG241" i="70"/>
  <c r="AG155" i="70"/>
  <c r="AG41" i="70"/>
  <c r="AG156" i="70"/>
  <c r="AG266" i="70"/>
  <c r="AG93" i="70"/>
  <c r="AG94" i="70"/>
  <c r="AG150" i="70"/>
  <c r="AG120" i="70"/>
  <c r="AG20" i="70"/>
  <c r="AG125" i="70"/>
  <c r="AG14" i="70"/>
  <c r="AG169" i="70"/>
  <c r="AG47" i="70"/>
  <c r="AG151" i="70"/>
  <c r="AG240" i="70"/>
  <c r="AG112" i="70"/>
  <c r="AG98" i="70"/>
  <c r="AG227" i="70"/>
  <c r="AG219" i="70"/>
  <c r="AG15" i="70"/>
  <c r="AG245" i="70"/>
  <c r="AG206" i="70"/>
  <c r="AG78" i="70"/>
  <c r="AG18" i="70"/>
  <c r="AG165" i="70"/>
  <c r="AG170" i="70"/>
  <c r="AG29" i="70"/>
  <c r="AG163" i="70"/>
  <c r="AG31" i="70"/>
  <c r="AG171" i="70"/>
  <c r="AG228" i="70"/>
  <c r="AG115" i="70"/>
  <c r="AG131" i="70"/>
  <c r="AG186" i="70"/>
  <c r="AG284" i="70"/>
  <c r="AG181" i="70"/>
  <c r="AG218" i="70"/>
  <c r="AG290" i="70"/>
  <c r="AG56" i="70"/>
  <c r="AG82" i="70"/>
  <c r="AG24" i="70"/>
  <c r="AG262" i="70"/>
  <c r="AG242" i="70"/>
  <c r="AG268" i="70"/>
  <c r="AG55" i="70"/>
  <c r="AG153" i="70"/>
  <c r="AG239" i="70"/>
  <c r="AG270" i="70"/>
  <c r="AG215" i="70"/>
  <c r="AG99" i="70"/>
  <c r="AG30" i="70"/>
  <c r="AG252" i="70"/>
  <c r="AG117" i="70"/>
  <c r="AG68" i="70"/>
  <c r="AG61" i="70"/>
  <c r="AG23" i="70"/>
  <c r="AG264" i="70"/>
  <c r="AG296" i="70"/>
  <c r="AG277" i="70"/>
  <c r="AG12" i="70"/>
  <c r="AG90" i="70"/>
  <c r="AG96" i="70"/>
  <c r="AG208" i="70"/>
  <c r="AG67" i="70"/>
  <c r="AG162" i="70"/>
  <c r="AG283" i="70"/>
  <c r="AG209" i="70"/>
  <c r="AG222" i="70"/>
  <c r="AG32" i="70"/>
  <c r="AG143" i="70"/>
  <c r="AG244" i="70"/>
  <c r="AG102" i="70"/>
  <c r="AG95" i="70"/>
  <c r="AG157" i="70"/>
  <c r="AG48" i="70"/>
  <c r="AG196" i="70"/>
  <c r="AG137" i="70"/>
  <c r="AG183" i="70"/>
  <c r="AG273" i="70"/>
  <c r="AG281" i="70"/>
  <c r="AG126" i="70"/>
  <c r="AG40" i="70"/>
  <c r="AG34" i="70"/>
  <c r="AG76" i="70"/>
  <c r="AG234" i="70"/>
  <c r="AG260" i="70"/>
  <c r="AG7" i="70"/>
  <c r="AG188" i="70"/>
  <c r="AG13" i="70"/>
  <c r="AG103" i="70"/>
  <c r="AG291" i="70"/>
  <c r="AG70" i="70"/>
  <c r="AG288" i="70"/>
  <c r="AG274" i="70"/>
  <c r="AG249" i="70"/>
  <c r="AG19" i="70"/>
  <c r="AG128" i="70"/>
  <c r="AG243" i="70"/>
  <c r="AG58" i="70"/>
  <c r="AG211" i="70"/>
  <c r="AG269" i="70"/>
  <c r="AG17" i="70"/>
  <c r="AG109" i="70"/>
  <c r="AG101" i="70"/>
  <c r="AG272" i="70"/>
  <c r="AG161" i="70"/>
  <c r="AG159" i="70"/>
  <c r="AG256" i="70"/>
  <c r="AG80" i="70"/>
  <c r="AG213" i="70"/>
  <c r="AG123" i="70"/>
  <c r="AG38" i="70"/>
  <c r="AG87" i="70"/>
  <c r="AG60" i="70"/>
  <c r="AG177" i="70"/>
  <c r="AG261" i="70"/>
  <c r="AG106" i="70"/>
  <c r="AG282" i="70"/>
  <c r="AG147" i="70"/>
  <c r="AG166" i="70"/>
  <c r="AG280" i="70"/>
  <c r="AG180" i="70"/>
  <c r="AG199" i="70"/>
  <c r="AG231" i="70"/>
  <c r="AG295" i="70"/>
  <c r="AG25" i="70"/>
  <c r="AG28" i="70"/>
  <c r="AG179" i="70"/>
  <c r="AH97" i="70"/>
  <c r="AH91" i="70"/>
  <c r="AH292" i="70"/>
  <c r="AH44" i="70"/>
  <c r="AH182" i="70"/>
  <c r="AH129" i="70"/>
  <c r="AH176" i="70"/>
  <c r="AH259" i="70"/>
  <c r="AH223" i="70"/>
  <c r="AH297" i="70"/>
  <c r="AH52" i="70"/>
  <c r="AH216" i="70"/>
  <c r="AH134" i="70"/>
  <c r="AH255" i="70"/>
  <c r="AH72" i="70"/>
  <c r="AH295" i="70"/>
  <c r="AH270" i="70"/>
  <c r="AH117" i="70"/>
  <c r="AH267" i="70"/>
  <c r="AH89" i="70"/>
  <c r="AH169" i="70"/>
  <c r="AH283" i="70"/>
  <c r="AH187" i="70"/>
  <c r="AH69" i="70"/>
  <c r="AH168" i="70"/>
  <c r="AH142" i="70"/>
  <c r="AH16" i="70"/>
  <c r="AH19" i="70"/>
  <c r="AH287" i="70"/>
  <c r="AH235" i="70"/>
  <c r="AH170" i="70"/>
  <c r="AH14" i="70"/>
  <c r="AH42" i="70"/>
  <c r="AH39" i="70"/>
  <c r="AH133" i="70"/>
  <c r="AH37" i="70"/>
  <c r="AH139" i="70"/>
  <c r="AH197" i="70"/>
  <c r="AH276" i="70"/>
  <c r="AH198" i="70"/>
  <c r="AH145" i="70"/>
  <c r="AH268" i="70"/>
  <c r="AH284" i="70"/>
  <c r="AH71" i="70"/>
  <c r="AH147" i="70"/>
  <c r="AH177" i="70"/>
  <c r="AH123" i="70"/>
  <c r="AH256" i="70"/>
  <c r="AH101" i="70"/>
  <c r="AH211" i="70"/>
  <c r="AH274" i="70"/>
  <c r="AH188" i="70"/>
  <c r="AH76" i="70"/>
  <c r="AH281" i="70"/>
  <c r="AH196" i="70"/>
  <c r="AH102" i="70"/>
  <c r="AH222" i="70"/>
  <c r="AH28" i="70"/>
  <c r="AH12" i="70"/>
  <c r="AH130" i="70"/>
  <c r="AH185" i="70"/>
  <c r="AH10" i="70"/>
  <c r="AH108" i="70"/>
  <c r="AH290" i="70"/>
  <c r="AH54" i="70"/>
  <c r="AH167" i="70"/>
  <c r="AH163" i="70"/>
  <c r="AH18" i="70"/>
  <c r="AH15" i="70"/>
  <c r="AH112" i="70"/>
  <c r="AH20" i="70"/>
  <c r="AH93" i="70"/>
  <c r="AH155" i="70"/>
  <c r="AH63" i="70"/>
  <c r="AH286" i="70"/>
  <c r="AH79" i="70"/>
  <c r="AH114" i="70"/>
  <c r="AH74" i="70"/>
  <c r="AH210" i="70"/>
  <c r="AH140" i="70"/>
  <c r="AH212" i="70"/>
  <c r="AH56" i="70"/>
  <c r="AH141" i="70"/>
  <c r="AH138" i="70"/>
  <c r="AH205" i="70"/>
  <c r="AH220" i="70"/>
  <c r="AH202" i="70"/>
  <c r="AH51" i="70"/>
  <c r="AH136" i="70"/>
  <c r="AH62" i="70"/>
  <c r="AH148" i="70"/>
  <c r="AH229" i="70"/>
  <c r="AH75" i="70"/>
  <c r="AH294" i="70"/>
  <c r="AH92" i="70"/>
  <c r="AH57" i="70"/>
  <c r="AH50" i="70"/>
  <c r="AH253" i="70"/>
  <c r="AH162" i="70"/>
  <c r="AH154" i="70"/>
  <c r="AH121" i="70"/>
  <c r="AH24" i="70"/>
  <c r="AH239" i="70"/>
  <c r="AH242" i="70"/>
  <c r="AH237" i="70"/>
  <c r="AH35" i="70"/>
  <c r="AH27" i="70"/>
  <c r="AH73" i="70"/>
  <c r="AH160" i="70"/>
  <c r="AH264" i="70"/>
  <c r="AH214" i="70"/>
  <c r="AH257" i="70"/>
  <c r="AH90" i="70"/>
  <c r="AH64" i="70"/>
  <c r="AH246" i="70"/>
  <c r="AH30" i="70"/>
  <c r="AH82" i="70"/>
  <c r="AH218" i="70"/>
  <c r="AH277" i="70"/>
  <c r="AH180" i="70"/>
  <c r="AH282" i="70"/>
  <c r="AH60" i="70"/>
  <c r="AH159" i="70"/>
  <c r="AH109" i="70"/>
  <c r="AH128" i="70"/>
  <c r="AH291" i="70"/>
  <c r="AH7" i="70"/>
  <c r="AH34" i="70"/>
  <c r="AH273" i="70"/>
  <c r="AH48" i="70"/>
  <c r="AH244" i="70"/>
  <c r="AH209" i="70"/>
  <c r="AH191" i="70"/>
  <c r="AH186" i="70"/>
  <c r="AH68" i="70"/>
  <c r="AH232" i="70"/>
  <c r="AH127" i="70"/>
  <c r="AH158" i="70"/>
  <c r="AH252" i="70"/>
  <c r="AH263" i="70"/>
  <c r="AH164" i="70"/>
  <c r="AH29" i="70"/>
  <c r="AH78" i="70"/>
  <c r="AH219" i="70"/>
  <c r="AH240" i="70"/>
  <c r="AH120" i="70"/>
  <c r="AH266" i="70"/>
  <c r="AH241" i="70"/>
  <c r="AH226" i="70"/>
  <c r="AH46" i="70"/>
  <c r="AH224" i="70"/>
  <c r="AH104" i="70"/>
  <c r="AH88" i="70"/>
  <c r="AH124" i="70"/>
  <c r="AH208" i="70"/>
  <c r="AH66" i="70"/>
  <c r="AH67" i="70"/>
  <c r="AH132" i="70"/>
  <c r="AH85" i="70"/>
  <c r="AH9" i="70"/>
  <c r="AH221" i="70"/>
  <c r="AH173" i="70"/>
  <c r="AH200" i="70"/>
  <c r="AH118" i="70"/>
  <c r="AH45" i="70"/>
  <c r="AH65" i="70"/>
  <c r="AH265" i="70"/>
  <c r="AH144" i="70"/>
  <c r="AH285" i="70"/>
  <c r="AH194" i="70"/>
  <c r="AH231" i="70"/>
  <c r="AH293" i="70"/>
  <c r="AH192" i="70"/>
  <c r="AH106" i="70"/>
  <c r="AH213" i="70"/>
  <c r="AH17" i="70"/>
  <c r="AH103" i="70"/>
  <c r="AH40" i="70"/>
  <c r="AH227" i="70"/>
  <c r="AH156" i="70"/>
  <c r="AH11" i="70"/>
  <c r="AH22" i="70"/>
  <c r="AH201" i="70"/>
  <c r="AH84" i="70"/>
  <c r="AH258" i="70"/>
  <c r="AH243" i="70"/>
  <c r="AH279" i="70"/>
  <c r="AH111" i="70"/>
  <c r="AH99" i="70"/>
  <c r="AH262" i="70"/>
  <c r="AH280" i="70"/>
  <c r="AH157" i="70"/>
  <c r="AH236" i="70"/>
  <c r="AH43" i="70"/>
  <c r="AH152" i="70"/>
  <c r="AH174" i="70"/>
  <c r="AH33" i="70"/>
  <c r="AH100" i="70"/>
  <c r="AH248" i="70"/>
  <c r="AH105" i="70"/>
  <c r="AH146" i="70"/>
  <c r="AH296" i="70"/>
  <c r="AH87" i="70"/>
  <c r="AH161" i="70"/>
  <c r="AH288" i="70"/>
  <c r="AH260" i="70"/>
  <c r="AH143" i="70"/>
  <c r="AH189" i="70"/>
  <c r="AH61" i="70"/>
  <c r="AH151" i="70"/>
  <c r="AH233" i="70"/>
  <c r="AH184" i="70"/>
  <c r="AH25" i="70"/>
  <c r="AH251" i="70"/>
  <c r="AH81" i="70"/>
  <c r="AH77" i="70"/>
  <c r="AH55" i="70"/>
  <c r="AH149" i="70"/>
  <c r="AH83" i="70"/>
  <c r="AH275" i="70"/>
  <c r="AH23" i="70"/>
  <c r="AH215" i="70"/>
  <c r="AH113" i="70"/>
  <c r="AH107" i="70"/>
  <c r="AH131" i="70"/>
  <c r="AH171" i="70"/>
  <c r="AH166" i="70"/>
  <c r="AH261" i="70"/>
  <c r="AH38" i="70"/>
  <c r="AH80" i="70"/>
  <c r="AH272" i="70"/>
  <c r="AH269" i="70"/>
  <c r="AH249" i="70"/>
  <c r="AH70" i="70"/>
  <c r="AH13" i="70"/>
  <c r="AH234" i="70"/>
  <c r="AH126" i="70"/>
  <c r="AH137" i="70"/>
  <c r="AH95" i="70"/>
  <c r="AH32" i="70"/>
  <c r="AH179" i="70"/>
  <c r="AH181" i="70"/>
  <c r="AH199" i="70"/>
  <c r="AH116" i="70"/>
  <c r="AH195" i="70"/>
  <c r="AH193" i="70"/>
  <c r="AH207" i="70"/>
  <c r="AH254" i="70"/>
  <c r="AH31" i="70"/>
  <c r="AH165" i="70"/>
  <c r="AH245" i="70"/>
  <c r="AH98" i="70"/>
  <c r="AH47" i="70"/>
  <c r="AH125" i="70"/>
  <c r="AH94" i="70"/>
  <c r="AH110" i="70"/>
  <c r="AH278" i="70"/>
  <c r="AH21" i="70"/>
  <c r="AH59" i="70"/>
  <c r="AH135" i="70"/>
  <c r="AH217" i="70"/>
  <c r="AH203" i="70"/>
  <c r="AH225" i="70"/>
  <c r="AH86" i="70"/>
  <c r="AH228" i="70"/>
  <c r="AH175" i="70"/>
  <c r="AH36" i="70"/>
  <c r="AH119" i="70"/>
  <c r="AH8" i="70"/>
  <c r="AH178" i="70"/>
  <c r="AH247" i="70"/>
  <c r="AH230" i="70"/>
  <c r="AH271" i="70"/>
  <c r="AH49" i="70"/>
  <c r="AH26" i="70"/>
  <c r="AH172" i="70"/>
  <c r="AH298" i="70"/>
  <c r="AH250" i="70"/>
  <c r="AH153" i="70"/>
  <c r="AH58" i="70"/>
  <c r="AH183" i="70"/>
  <c r="AH96" i="70"/>
  <c r="AH115" i="70"/>
  <c r="AH206" i="70"/>
  <c r="AH150" i="70"/>
  <c r="AH122" i="70"/>
  <c r="AH53" i="70"/>
  <c r="AH238" i="70"/>
  <c r="AH289" i="70"/>
  <c r="AH6" i="70"/>
  <c r="AH41" i="70"/>
  <c r="AH190" i="70"/>
  <c r="AH204" i="70"/>
  <c r="AJ292" i="70"/>
  <c r="AJ182" i="70"/>
  <c r="AJ91" i="70"/>
  <c r="AJ97" i="70"/>
  <c r="AJ176" i="70"/>
  <c r="AJ216" i="70"/>
  <c r="AJ44" i="70"/>
  <c r="AJ297" i="70"/>
  <c r="AJ52" i="70"/>
  <c r="AJ223" i="70"/>
  <c r="AJ259" i="70"/>
  <c r="AJ129" i="70"/>
  <c r="AJ134" i="70"/>
  <c r="AJ255" i="70"/>
  <c r="AJ148" i="70"/>
  <c r="AJ219" i="70"/>
  <c r="AJ61" i="70"/>
  <c r="AJ102" i="70"/>
  <c r="AJ93" i="70"/>
  <c r="AJ51" i="70"/>
  <c r="AJ166" i="70"/>
  <c r="AJ72" i="70"/>
  <c r="AJ30" i="70"/>
  <c r="AJ191" i="70"/>
  <c r="AJ226" i="70"/>
  <c r="AJ144" i="70"/>
  <c r="AJ248" i="70"/>
  <c r="AJ162" i="70"/>
  <c r="AJ143" i="70"/>
  <c r="AJ42" i="70"/>
  <c r="AJ37" i="70"/>
  <c r="AJ199" i="70"/>
  <c r="AJ204" i="70"/>
  <c r="AJ165" i="70"/>
  <c r="AJ23" i="70"/>
  <c r="AJ242" i="70"/>
  <c r="AJ95" i="70"/>
  <c r="AJ147" i="70"/>
  <c r="AJ203" i="70"/>
  <c r="AJ35" i="70"/>
  <c r="AJ53" i="70"/>
  <c r="AJ222" i="70"/>
  <c r="AJ155" i="70"/>
  <c r="AJ136" i="70"/>
  <c r="AJ269" i="70"/>
  <c r="AJ295" i="70"/>
  <c r="AJ82" i="70"/>
  <c r="AJ48" i="70"/>
  <c r="AJ120" i="70"/>
  <c r="AJ173" i="70"/>
  <c r="AJ237" i="70"/>
  <c r="AJ181" i="70"/>
  <c r="AJ87" i="70"/>
  <c r="AJ206" i="70"/>
  <c r="AJ22" i="70"/>
  <c r="AJ280" i="70"/>
  <c r="AJ243" i="70"/>
  <c r="AJ171" i="70"/>
  <c r="AJ268" i="70"/>
  <c r="AJ118" i="70"/>
  <c r="AJ234" i="70"/>
  <c r="AJ111" i="70"/>
  <c r="AJ256" i="70"/>
  <c r="AJ10" i="70"/>
  <c r="AJ74" i="70"/>
  <c r="AJ294" i="70"/>
  <c r="AJ31" i="70"/>
  <c r="AJ169" i="70"/>
  <c r="AJ60" i="70"/>
  <c r="AJ252" i="70"/>
  <c r="AJ208" i="70"/>
  <c r="AJ194" i="70"/>
  <c r="AJ254" i="70"/>
  <c r="AJ213" i="70"/>
  <c r="AJ115" i="70"/>
  <c r="AJ122" i="70"/>
  <c r="AJ197" i="70"/>
  <c r="AJ172" i="70"/>
  <c r="AJ195" i="70"/>
  <c r="AJ263" i="70"/>
  <c r="AJ34" i="70"/>
  <c r="AJ207" i="70"/>
  <c r="AJ18" i="70"/>
  <c r="AJ157" i="70"/>
  <c r="AJ16" i="70"/>
  <c r="AJ240" i="70"/>
  <c r="AJ214" i="70"/>
  <c r="AJ103" i="70"/>
  <c r="AJ261" i="70"/>
  <c r="AJ137" i="70"/>
  <c r="AJ241" i="70"/>
  <c r="AJ13" i="70"/>
  <c r="AJ15" i="70"/>
  <c r="AJ33" i="70"/>
  <c r="AJ225" i="70"/>
  <c r="AJ29" i="70"/>
  <c r="AJ217" i="70"/>
  <c r="AJ293" i="70"/>
  <c r="AJ184" i="70"/>
  <c r="AJ86" i="70"/>
  <c r="AJ230" i="70"/>
  <c r="AJ149" i="70"/>
  <c r="AJ192" i="70"/>
  <c r="AJ28" i="70"/>
  <c r="AJ62" i="70"/>
  <c r="AJ270" i="70"/>
  <c r="AJ68" i="70"/>
  <c r="AJ65" i="70"/>
  <c r="AJ296" i="70"/>
  <c r="AJ154" i="70"/>
  <c r="AJ245" i="70"/>
  <c r="AJ101" i="70"/>
  <c r="AJ117" i="70"/>
  <c r="AJ99" i="70"/>
  <c r="AJ39" i="70"/>
  <c r="AJ105" i="70"/>
  <c r="AJ153" i="70"/>
  <c r="AJ98" i="70"/>
  <c r="AJ265" i="70"/>
  <c r="AJ121" i="70"/>
  <c r="AJ177" i="70"/>
  <c r="AJ130" i="70"/>
  <c r="AJ79" i="70"/>
  <c r="AJ229" i="70"/>
  <c r="AJ32" i="70"/>
  <c r="AJ267" i="70"/>
  <c r="AJ180" i="70"/>
  <c r="AJ127" i="70"/>
  <c r="AJ88" i="70"/>
  <c r="AJ113" i="70"/>
  <c r="AJ126" i="70"/>
  <c r="AJ106" i="70"/>
  <c r="AJ235" i="70"/>
  <c r="AJ11" i="70"/>
  <c r="AJ289" i="70"/>
  <c r="AJ135" i="70"/>
  <c r="AJ83" i="70"/>
  <c r="AJ178" i="70"/>
  <c r="AJ283" i="70"/>
  <c r="AJ47" i="70"/>
  <c r="AJ36" i="70"/>
  <c r="AJ12" i="70"/>
  <c r="AJ246" i="70"/>
  <c r="AJ38" i="70"/>
  <c r="AJ6" i="70"/>
  <c r="AJ284" i="70"/>
  <c r="AJ185" i="70"/>
  <c r="AJ114" i="70"/>
  <c r="AJ75" i="70"/>
  <c r="AJ116" i="70"/>
  <c r="AJ89" i="70"/>
  <c r="AJ282" i="70"/>
  <c r="AJ186" i="70"/>
  <c r="AJ46" i="70"/>
  <c r="AJ45" i="70"/>
  <c r="AJ73" i="70"/>
  <c r="AJ228" i="70"/>
  <c r="AJ58" i="70"/>
  <c r="AJ150" i="70"/>
  <c r="AJ251" i="70"/>
  <c r="AJ272" i="70"/>
  <c r="AJ190" i="70"/>
  <c r="AJ179" i="70"/>
  <c r="AJ210" i="70"/>
  <c r="AJ271" i="70"/>
  <c r="AJ274" i="70"/>
  <c r="AJ167" i="70"/>
  <c r="AJ56" i="70"/>
  <c r="AJ253" i="70"/>
  <c r="AJ59" i="70"/>
  <c r="AJ168" i="70"/>
  <c r="AJ7" i="70"/>
  <c r="AJ78" i="70"/>
  <c r="AJ85" i="70"/>
  <c r="AJ239" i="70"/>
  <c r="AJ119" i="70"/>
  <c r="AJ19" i="70"/>
  <c r="AJ227" i="70"/>
  <c r="AJ25" i="70"/>
  <c r="AJ43" i="70"/>
  <c r="AJ279" i="70"/>
  <c r="AJ175" i="70"/>
  <c r="AJ201" i="70"/>
  <c r="AJ108" i="70"/>
  <c r="AJ277" i="70"/>
  <c r="AJ264" i="70"/>
  <c r="AJ84" i="70"/>
  <c r="AJ142" i="70"/>
  <c r="AJ236" i="70"/>
  <c r="AJ110" i="70"/>
  <c r="AJ211" i="70"/>
  <c r="AJ290" i="70"/>
  <c r="AJ140" i="70"/>
  <c r="AJ57" i="70"/>
  <c r="AJ94" i="70"/>
  <c r="AJ187" i="70"/>
  <c r="AJ159" i="70"/>
  <c r="AJ164" i="70"/>
  <c r="AJ67" i="70"/>
  <c r="AJ27" i="70"/>
  <c r="AJ21" i="70"/>
  <c r="AJ17" i="70"/>
  <c r="AJ170" i="70"/>
  <c r="AJ90" i="70"/>
  <c r="AJ258" i="70"/>
  <c r="AJ24" i="70"/>
  <c r="AJ275" i="70"/>
  <c r="AJ196" i="70"/>
  <c r="AJ128" i="70"/>
  <c r="AJ287" i="70"/>
  <c r="AJ286" i="70"/>
  <c r="AJ232" i="70"/>
  <c r="AJ288" i="70"/>
  <c r="AJ55" i="70"/>
  <c r="AJ123" i="70"/>
  <c r="AJ54" i="70"/>
  <c r="AJ212" i="70"/>
  <c r="AJ50" i="70"/>
  <c r="AJ278" i="70"/>
  <c r="AJ69" i="70"/>
  <c r="AJ109" i="70"/>
  <c r="AJ158" i="70"/>
  <c r="AJ124" i="70"/>
  <c r="AJ285" i="70"/>
  <c r="AJ257" i="70"/>
  <c r="AJ146" i="70"/>
  <c r="AJ260" i="70"/>
  <c r="AJ81" i="70"/>
  <c r="AJ193" i="70"/>
  <c r="AJ198" i="70"/>
  <c r="AJ125" i="70"/>
  <c r="AJ298" i="70"/>
  <c r="AJ233" i="70"/>
  <c r="AJ9" i="70"/>
  <c r="AJ145" i="70"/>
  <c r="AJ281" i="70"/>
  <c r="AJ112" i="70"/>
  <c r="AJ220" i="70"/>
  <c r="AJ100" i="70"/>
  <c r="AJ49" i="70"/>
  <c r="AJ64" i="70"/>
  <c r="AJ244" i="70"/>
  <c r="AJ266" i="70"/>
  <c r="AJ200" i="70"/>
  <c r="AJ160" i="70"/>
  <c r="AJ231" i="70"/>
  <c r="AJ40" i="70"/>
  <c r="AJ156" i="70"/>
  <c r="AJ238" i="70"/>
  <c r="AJ70" i="70"/>
  <c r="AJ174" i="70"/>
  <c r="AJ26" i="70"/>
  <c r="AJ202" i="70"/>
  <c r="AJ107" i="70"/>
  <c r="AJ20" i="70"/>
  <c r="AJ161" i="70"/>
  <c r="AJ188" i="70"/>
  <c r="AJ138" i="70"/>
  <c r="AJ8" i="70"/>
  <c r="AJ273" i="70"/>
  <c r="AJ221" i="70"/>
  <c r="AJ250" i="70"/>
  <c r="AJ14" i="70"/>
  <c r="AJ41" i="70"/>
  <c r="AJ141" i="70"/>
  <c r="AJ133" i="70"/>
  <c r="AJ92" i="70"/>
  <c r="AJ66" i="70"/>
  <c r="AJ151" i="70"/>
  <c r="AJ76" i="70"/>
  <c r="AJ205" i="70"/>
  <c r="AJ247" i="70"/>
  <c r="AJ291" i="70"/>
  <c r="AJ132" i="70"/>
  <c r="AJ215" i="70"/>
  <c r="AJ96" i="70"/>
  <c r="AJ77" i="70"/>
  <c r="AJ152" i="70"/>
  <c r="AJ209" i="70"/>
  <c r="AJ163" i="70"/>
  <c r="AJ71" i="70"/>
  <c r="AJ63" i="70"/>
  <c r="AJ249" i="70"/>
  <c r="AJ218" i="70"/>
  <c r="AJ224" i="70"/>
  <c r="AJ131" i="70"/>
  <c r="AJ189" i="70"/>
  <c r="AJ139" i="70"/>
  <c r="AJ80" i="70"/>
  <c r="AJ262" i="70"/>
  <c r="AJ104" i="70"/>
  <c r="AJ183" i="70"/>
  <c r="AJ276" i="70"/>
  <c r="AF97" i="70"/>
  <c r="AF182" i="70"/>
  <c r="AF52" i="70"/>
  <c r="AF91" i="70"/>
  <c r="AF216" i="70"/>
  <c r="AF176" i="70"/>
  <c r="AF223" i="70"/>
  <c r="AF292" i="70"/>
  <c r="AF129" i="70"/>
  <c r="AF297" i="70"/>
  <c r="AF255" i="70"/>
  <c r="AF134" i="70"/>
  <c r="AF259" i="70"/>
  <c r="AF44" i="70"/>
  <c r="AF74" i="70"/>
  <c r="AF205" i="70"/>
  <c r="AF23" i="70"/>
  <c r="AF242" i="70"/>
  <c r="AF104" i="70"/>
  <c r="AF144" i="70"/>
  <c r="AF192" i="70"/>
  <c r="AF281" i="70"/>
  <c r="AF11" i="70"/>
  <c r="AF77" i="70"/>
  <c r="AF228" i="70"/>
  <c r="AF273" i="70"/>
  <c r="AF127" i="70"/>
  <c r="AF26" i="70"/>
  <c r="AF167" i="70"/>
  <c r="AF183" i="70"/>
  <c r="AF57" i="70"/>
  <c r="AF130" i="70"/>
  <c r="AF137" i="70"/>
  <c r="AF210" i="70"/>
  <c r="AF257" i="70"/>
  <c r="AF117" i="70"/>
  <c r="AF262" i="70"/>
  <c r="AF43" i="70"/>
  <c r="AF197" i="70"/>
  <c r="AF164" i="70"/>
  <c r="AF24" i="70"/>
  <c r="AF88" i="70"/>
  <c r="AF172" i="70"/>
  <c r="AF171" i="70"/>
  <c r="AF196" i="70"/>
  <c r="AF184" i="70"/>
  <c r="AF16" i="70"/>
  <c r="AF220" i="70"/>
  <c r="AF235" i="70"/>
  <c r="AF180" i="70"/>
  <c r="AF29" i="70"/>
  <c r="AF201" i="70"/>
  <c r="AF283" i="70"/>
  <c r="AF280" i="70"/>
  <c r="AF170" i="70"/>
  <c r="AF66" i="70"/>
  <c r="AF82" i="70"/>
  <c r="AF166" i="70"/>
  <c r="AF165" i="70"/>
  <c r="AF175" i="70"/>
  <c r="AF147" i="70"/>
  <c r="AF287" i="70"/>
  <c r="AF202" i="70"/>
  <c r="AF193" i="70"/>
  <c r="AF282" i="70"/>
  <c r="AF18" i="70"/>
  <c r="AF85" i="70"/>
  <c r="AF146" i="70"/>
  <c r="AF78" i="70"/>
  <c r="AF261" i="70"/>
  <c r="AF206" i="70"/>
  <c r="AF100" i="70"/>
  <c r="AF177" i="70"/>
  <c r="AF15" i="70"/>
  <c r="AF198" i="70"/>
  <c r="AF30" i="70"/>
  <c r="AF59" i="70"/>
  <c r="AF103" i="70"/>
  <c r="AF75" i="70"/>
  <c r="AF211" i="70"/>
  <c r="AF13" i="70"/>
  <c r="AF264" i="70"/>
  <c r="AF12" i="70"/>
  <c r="AF58" i="70"/>
  <c r="AF244" i="70"/>
  <c r="AF122" i="70"/>
  <c r="AF35" i="70"/>
  <c r="AF143" i="70"/>
  <c r="AF238" i="70"/>
  <c r="AF191" i="70"/>
  <c r="AF132" i="70"/>
  <c r="AF60" i="70"/>
  <c r="AF219" i="70"/>
  <c r="AF204" i="70"/>
  <c r="AF28" i="70"/>
  <c r="AF215" i="70"/>
  <c r="AF48" i="70"/>
  <c r="AF87" i="70"/>
  <c r="AF135" i="70"/>
  <c r="AF227" i="70"/>
  <c r="AF285" i="70"/>
  <c r="AF9" i="70"/>
  <c r="AF61" i="70"/>
  <c r="AF113" i="70"/>
  <c r="AF99" i="70"/>
  <c r="AF157" i="70"/>
  <c r="AF98" i="70"/>
  <c r="AF140" i="70"/>
  <c r="AF251" i="70"/>
  <c r="AF67" i="70"/>
  <c r="AF71" i="70"/>
  <c r="AF38" i="70"/>
  <c r="AF95" i="70"/>
  <c r="AF116" i="70"/>
  <c r="AF279" i="70"/>
  <c r="AF36" i="70"/>
  <c r="AF298" i="70"/>
  <c r="AF290" i="70"/>
  <c r="AF31" i="70"/>
  <c r="AF123" i="70"/>
  <c r="AF102" i="70"/>
  <c r="AF112" i="70"/>
  <c r="AF124" i="70"/>
  <c r="AF168" i="70"/>
  <c r="AF50" i="70"/>
  <c r="AF63" i="70"/>
  <c r="AF207" i="70"/>
  <c r="AF276" i="70"/>
  <c r="AF286" i="70"/>
  <c r="AF296" i="70"/>
  <c r="AF46" i="70"/>
  <c r="AF54" i="70"/>
  <c r="AF294" i="70"/>
  <c r="AF76" i="70"/>
  <c r="AF265" i="70"/>
  <c r="AF289" i="70"/>
  <c r="AF40" i="70"/>
  <c r="AF49" i="70"/>
  <c r="AF268" i="70"/>
  <c r="AF92" i="70"/>
  <c r="AF231" i="70"/>
  <c r="AF21" i="70"/>
  <c r="AF131" i="70"/>
  <c r="AF195" i="70"/>
  <c r="AF65" i="70"/>
  <c r="AF188" i="70"/>
  <c r="AF84" i="70"/>
  <c r="AF241" i="70"/>
  <c r="AF221" i="70"/>
  <c r="AF64" i="70"/>
  <c r="AF213" i="70"/>
  <c r="AF151" i="70"/>
  <c r="AF260" i="70"/>
  <c r="AF14" i="70"/>
  <c r="AF173" i="70"/>
  <c r="AF218" i="70"/>
  <c r="AF161" i="70"/>
  <c r="AF125" i="70"/>
  <c r="AF121" i="70"/>
  <c r="AF96" i="70"/>
  <c r="AF272" i="70"/>
  <c r="AF20" i="70"/>
  <c r="AF119" i="70"/>
  <c r="AF86" i="70"/>
  <c r="AF101" i="70"/>
  <c r="AF120" i="70"/>
  <c r="AF142" i="70"/>
  <c r="AF111" i="70"/>
  <c r="AF109" i="70"/>
  <c r="AF150" i="70"/>
  <c r="AF200" i="70"/>
  <c r="AF293" i="70"/>
  <c r="AF17" i="70"/>
  <c r="AF94" i="70"/>
  <c r="AF248" i="70"/>
  <c r="AF295" i="70"/>
  <c r="AF270" i="70"/>
  <c r="AF89" i="70"/>
  <c r="AF8" i="70"/>
  <c r="AF90" i="70"/>
  <c r="AF239" i="70"/>
  <c r="AF93" i="70"/>
  <c r="AF136" i="70"/>
  <c r="AF181" i="70"/>
  <c r="AF269" i="70"/>
  <c r="AF266" i="70"/>
  <c r="AF214" i="70"/>
  <c r="AF187" i="70"/>
  <c r="AF153" i="70"/>
  <c r="AF152" i="70"/>
  <c r="AF128" i="70"/>
  <c r="AF110" i="70"/>
  <c r="AF247" i="70"/>
  <c r="AF246" i="70"/>
  <c r="AF19" i="70"/>
  <c r="AF148" i="70"/>
  <c r="AF203" i="70"/>
  <c r="AF249" i="70"/>
  <c r="AF226" i="70"/>
  <c r="AF277" i="70"/>
  <c r="AF55" i="70"/>
  <c r="AF42" i="70"/>
  <c r="AF81" i="70"/>
  <c r="AF186" i="70"/>
  <c r="AF274" i="70"/>
  <c r="AF278" i="70"/>
  <c r="AF230" i="70"/>
  <c r="AF236" i="70"/>
  <c r="AF22" i="70"/>
  <c r="AF288" i="70"/>
  <c r="AF229" i="70"/>
  <c r="AF70" i="70"/>
  <c r="AF45" i="70"/>
  <c r="AF115" i="70"/>
  <c r="AF114" i="70"/>
  <c r="AF34" i="70"/>
  <c r="AF224" i="70"/>
  <c r="AF53" i="70"/>
  <c r="AF39" i="70"/>
  <c r="AF199" i="70"/>
  <c r="AF139" i="70"/>
  <c r="AF291" i="70"/>
  <c r="AF83" i="70"/>
  <c r="AF37" i="70"/>
  <c r="AF41" i="70"/>
  <c r="AF185" i="70"/>
  <c r="AF155" i="70"/>
  <c r="AF79" i="70"/>
  <c r="AF108" i="70"/>
  <c r="AF194" i="70"/>
  <c r="AF263" i="70"/>
  <c r="AF163" i="70"/>
  <c r="AF232" i="70"/>
  <c r="AF105" i="70"/>
  <c r="AF275" i="70"/>
  <c r="AF7" i="70"/>
  <c r="AF80" i="70"/>
  <c r="AF32" i="70"/>
  <c r="AF154" i="70"/>
  <c r="AF284" i="70"/>
  <c r="AF47" i="70"/>
  <c r="AF212" i="70"/>
  <c r="AF250" i="70"/>
  <c r="AF149" i="70"/>
  <c r="AF145" i="70"/>
  <c r="AF208" i="70"/>
  <c r="AF222" i="70"/>
  <c r="AF256" i="70"/>
  <c r="AF254" i="70"/>
  <c r="AF169" i="70"/>
  <c r="AF27" i="70"/>
  <c r="AF138" i="70"/>
  <c r="AF253" i="70"/>
  <c r="AF271" i="70"/>
  <c r="AF25" i="70"/>
  <c r="AF68" i="70"/>
  <c r="AF159" i="70"/>
  <c r="AF209" i="70"/>
  <c r="AF267" i="70"/>
  <c r="AF243" i="70"/>
  <c r="AF10" i="70"/>
  <c r="AF160" i="70"/>
  <c r="AF252" i="70"/>
  <c r="AF126" i="70"/>
  <c r="AF234" i="70"/>
  <c r="AF233" i="70"/>
  <c r="AF51" i="70"/>
  <c r="AF118" i="70"/>
  <c r="AF133" i="70"/>
  <c r="AF190" i="70"/>
  <c r="AF237" i="70"/>
  <c r="AF72" i="70"/>
  <c r="AF33" i="70"/>
  <c r="AF179" i="70"/>
  <c r="AF106" i="70"/>
  <c r="AF174" i="70"/>
  <c r="AF158" i="70"/>
  <c r="AF162" i="70"/>
  <c r="AF245" i="70"/>
  <c r="AF56" i="70"/>
  <c r="AF69" i="70"/>
  <c r="AF156" i="70"/>
  <c r="AF107" i="70"/>
  <c r="AF189" i="70"/>
  <c r="AF73" i="70"/>
  <c r="AF178" i="70"/>
  <c r="AF141" i="70"/>
  <c r="AF240" i="70"/>
  <c r="AF62" i="70"/>
  <c r="AF225" i="70"/>
  <c r="AF217" i="70"/>
  <c r="AF258" i="70"/>
  <c r="AK292" i="70"/>
  <c r="AK97" i="70"/>
  <c r="AK91" i="70"/>
  <c r="AK176" i="70"/>
  <c r="AK182" i="70"/>
  <c r="AK52" i="70"/>
  <c r="AK129" i="70"/>
  <c r="AK44" i="70"/>
  <c r="AK259" i="70"/>
  <c r="AK223" i="70"/>
  <c r="AK216" i="70"/>
  <c r="AK297" i="70"/>
  <c r="AK255" i="70"/>
  <c r="AK134" i="70"/>
  <c r="AK111" i="70"/>
  <c r="AK171" i="70"/>
  <c r="AK206" i="70"/>
  <c r="AK173" i="70"/>
  <c r="AK295" i="70"/>
  <c r="AK222" i="70"/>
  <c r="AK147" i="70"/>
  <c r="AK165" i="70"/>
  <c r="AK42" i="70"/>
  <c r="AK144" i="70"/>
  <c r="AK72" i="70"/>
  <c r="AK102" i="70"/>
  <c r="AK195" i="70"/>
  <c r="AK194" i="70"/>
  <c r="AK10" i="70"/>
  <c r="AK131" i="70"/>
  <c r="AK28" i="70"/>
  <c r="AK77" i="70"/>
  <c r="AK291" i="70"/>
  <c r="AK151" i="70"/>
  <c r="AK261" i="70"/>
  <c r="AK16" i="70"/>
  <c r="AK161" i="70"/>
  <c r="AK202" i="70"/>
  <c r="AK220" i="70"/>
  <c r="AK9" i="70"/>
  <c r="AK198" i="70"/>
  <c r="AK146" i="70"/>
  <c r="AK158" i="70"/>
  <c r="AK50" i="70"/>
  <c r="AK55" i="70"/>
  <c r="AK287" i="70"/>
  <c r="AK24" i="70"/>
  <c r="AK17" i="70"/>
  <c r="AK164" i="70"/>
  <c r="AK57" i="70"/>
  <c r="AK110" i="70"/>
  <c r="AK218" i="70"/>
  <c r="AK160" i="70"/>
  <c r="AK245" i="70"/>
  <c r="AK68" i="70"/>
  <c r="AK163" i="70"/>
  <c r="AK293" i="70"/>
  <c r="AK33" i="70"/>
  <c r="AK241" i="70"/>
  <c r="AK250" i="70"/>
  <c r="AK18" i="70"/>
  <c r="AK231" i="70"/>
  <c r="AK190" i="70"/>
  <c r="AK12" i="70"/>
  <c r="AK11" i="70"/>
  <c r="AK113" i="70"/>
  <c r="AK267" i="70"/>
  <c r="AK98" i="70"/>
  <c r="AK208" i="70"/>
  <c r="AK39" i="70"/>
  <c r="AK209" i="70"/>
  <c r="AK15" i="70"/>
  <c r="AK221" i="70"/>
  <c r="AK99" i="70"/>
  <c r="AK181" i="70"/>
  <c r="AK136" i="70"/>
  <c r="AK242" i="70"/>
  <c r="AK162" i="70"/>
  <c r="AK51" i="70"/>
  <c r="AK122" i="70"/>
  <c r="AK139" i="70"/>
  <c r="AK149" i="70"/>
  <c r="AK205" i="70"/>
  <c r="AK20" i="70"/>
  <c r="AK49" i="70"/>
  <c r="AK81" i="70"/>
  <c r="AK54" i="70"/>
  <c r="AK196" i="70"/>
  <c r="AK187" i="70"/>
  <c r="AK174" i="70"/>
  <c r="AK63" i="70"/>
  <c r="AK29" i="70"/>
  <c r="AK273" i="70"/>
  <c r="AK22" i="70"/>
  <c r="AK203" i="70"/>
  <c r="AK37" i="70"/>
  <c r="AK30" i="70"/>
  <c r="AK294" i="70"/>
  <c r="AK132" i="70"/>
  <c r="AK141" i="70"/>
  <c r="AK263" i="70"/>
  <c r="AK124" i="70"/>
  <c r="AK286" i="70"/>
  <c r="AK211" i="70"/>
  <c r="AK104" i="70"/>
  <c r="AK225" i="70"/>
  <c r="AK8" i="70"/>
  <c r="AK80" i="70"/>
  <c r="AK168" i="70"/>
  <c r="AK179" i="70"/>
  <c r="AK185" i="70"/>
  <c r="AK289" i="70"/>
  <c r="AK265" i="70"/>
  <c r="AK74" i="70"/>
  <c r="AK264" i="70"/>
  <c r="AK86" i="70"/>
  <c r="AK175" i="70"/>
  <c r="AK227" i="70"/>
  <c r="AK85" i="70"/>
  <c r="AK59" i="70"/>
  <c r="AK274" i="70"/>
  <c r="AK58" i="70"/>
  <c r="AK46" i="70"/>
  <c r="AK116" i="70"/>
  <c r="AK284" i="70"/>
  <c r="AK178" i="70"/>
  <c r="AK130" i="70"/>
  <c r="AK256" i="70"/>
  <c r="AK249" i="70"/>
  <c r="AK137" i="70"/>
  <c r="AK266" i="70"/>
  <c r="AK118" i="70"/>
  <c r="AK214" i="70"/>
  <c r="AK281" i="70"/>
  <c r="AK69" i="70"/>
  <c r="AK90" i="70"/>
  <c r="AK142" i="70"/>
  <c r="AK296" i="70"/>
  <c r="AK201" i="70"/>
  <c r="AK82" i="70"/>
  <c r="AK93" i="70"/>
  <c r="AK189" i="70"/>
  <c r="AK76" i="70"/>
  <c r="AK145" i="70"/>
  <c r="AK278" i="70"/>
  <c r="AK275" i="70"/>
  <c r="AK67" i="70"/>
  <c r="AK184" i="70"/>
  <c r="AK156" i="70"/>
  <c r="AK200" i="70"/>
  <c r="AK167" i="70"/>
  <c r="AK246" i="70"/>
  <c r="AK254" i="70"/>
  <c r="AK234" i="70"/>
  <c r="AK243" i="70"/>
  <c r="AK87" i="70"/>
  <c r="AK120" i="70"/>
  <c r="AK269" i="70"/>
  <c r="AK53" i="70"/>
  <c r="AK95" i="70"/>
  <c r="AK204" i="70"/>
  <c r="AK143" i="70"/>
  <c r="AK226" i="70"/>
  <c r="AK166" i="70"/>
  <c r="AK61" i="70"/>
  <c r="AK197" i="70"/>
  <c r="AK252" i="70"/>
  <c r="AK262" i="70"/>
  <c r="AK224" i="70"/>
  <c r="AK192" i="70"/>
  <c r="AK96" i="70"/>
  <c r="AK247" i="70"/>
  <c r="AK92" i="70"/>
  <c r="AK14" i="70"/>
  <c r="AK157" i="70"/>
  <c r="AK34" i="70"/>
  <c r="AK107" i="70"/>
  <c r="AK64" i="70"/>
  <c r="AK112" i="70"/>
  <c r="AK233" i="70"/>
  <c r="AK193" i="70"/>
  <c r="AK257" i="70"/>
  <c r="AK109" i="70"/>
  <c r="AK212" i="70"/>
  <c r="AK288" i="70"/>
  <c r="AK128" i="70"/>
  <c r="AK258" i="70"/>
  <c r="AK21" i="70"/>
  <c r="AK159" i="70"/>
  <c r="AK140" i="70"/>
  <c r="AK236" i="70"/>
  <c r="AK41" i="70"/>
  <c r="AK244" i="70"/>
  <c r="AK154" i="70"/>
  <c r="AK217" i="70"/>
  <c r="AK207" i="70"/>
  <c r="AK48" i="70"/>
  <c r="AK138" i="70"/>
  <c r="AK285" i="70"/>
  <c r="AK290" i="70"/>
  <c r="AK155" i="70"/>
  <c r="AK148" i="70"/>
  <c r="AK62" i="70"/>
  <c r="AK240" i="70"/>
  <c r="AK100" i="70"/>
  <c r="AK123" i="70"/>
  <c r="AK94" i="70"/>
  <c r="AK103" i="70"/>
  <c r="AK25" i="70"/>
  <c r="AK89" i="70"/>
  <c r="AK180" i="70"/>
  <c r="AK101" i="70"/>
  <c r="AK277" i="70"/>
  <c r="AK26" i="70"/>
  <c r="AK279" i="70"/>
  <c r="AK19" i="70"/>
  <c r="AK78" i="70"/>
  <c r="AK253" i="70"/>
  <c r="AK271" i="70"/>
  <c r="AK272" i="70"/>
  <c r="AK228" i="70"/>
  <c r="AK186" i="70"/>
  <c r="AK75" i="70"/>
  <c r="AK6" i="70"/>
  <c r="AK36" i="70"/>
  <c r="AK83" i="70"/>
  <c r="AK235" i="70"/>
  <c r="AK88" i="70"/>
  <c r="AK32" i="70"/>
  <c r="AK177" i="70"/>
  <c r="AK172" i="70"/>
  <c r="AK60" i="70"/>
  <c r="AK280" i="70"/>
  <c r="AK35" i="70"/>
  <c r="AK199" i="70"/>
  <c r="AK191" i="70"/>
  <c r="AK219" i="70"/>
  <c r="AK169" i="70"/>
  <c r="AK270" i="70"/>
  <c r="AK215" i="70"/>
  <c r="AK133" i="70"/>
  <c r="AK153" i="70"/>
  <c r="AK298" i="70"/>
  <c r="AK232" i="70"/>
  <c r="AK27" i="70"/>
  <c r="AK276" i="70"/>
  <c r="AK152" i="70"/>
  <c r="AK13" i="70"/>
  <c r="AK70" i="70"/>
  <c r="AK237" i="70"/>
  <c r="AK23" i="70"/>
  <c r="AK248" i="70"/>
  <c r="AK213" i="70"/>
  <c r="AK230" i="70"/>
  <c r="AK188" i="70"/>
  <c r="AK260" i="70"/>
  <c r="AK170" i="70"/>
  <c r="AK40" i="70"/>
  <c r="AK65" i="70"/>
  <c r="AK66" i="70"/>
  <c r="AK239" i="70"/>
  <c r="AK150" i="70"/>
  <c r="AK283" i="70"/>
  <c r="AK79" i="70"/>
  <c r="AK105" i="70"/>
  <c r="AK108" i="70"/>
  <c r="AK238" i="70"/>
  <c r="AK43" i="70"/>
  <c r="AK119" i="70"/>
  <c r="AK7" i="70"/>
  <c r="AK56" i="70"/>
  <c r="AK210" i="70"/>
  <c r="AK251" i="70"/>
  <c r="AK73" i="70"/>
  <c r="AK282" i="70"/>
  <c r="AK114" i="70"/>
  <c r="AK38" i="70"/>
  <c r="AK47" i="70"/>
  <c r="AK135" i="70"/>
  <c r="AK106" i="70"/>
  <c r="AK127" i="70"/>
  <c r="AK229" i="70"/>
  <c r="AK121" i="70"/>
  <c r="AK115" i="70"/>
  <c r="AK31" i="70"/>
  <c r="AK117" i="70"/>
  <c r="AK268" i="70"/>
  <c r="AK125" i="70"/>
  <c r="AK183" i="70"/>
  <c r="AK71" i="70"/>
  <c r="AK84" i="70"/>
  <c r="AK45" i="70"/>
  <c r="AK126" i="70"/>
  <c r="AI182" i="70"/>
  <c r="AI292" i="70"/>
  <c r="AI97" i="70"/>
  <c r="AI91" i="70"/>
  <c r="AI176" i="70"/>
  <c r="AI216" i="70"/>
  <c r="AI259" i="70"/>
  <c r="AI129" i="70"/>
  <c r="AI297" i="70"/>
  <c r="AI223" i="70"/>
  <c r="AI44" i="70"/>
  <c r="AI52" i="70"/>
  <c r="AI255" i="70"/>
  <c r="AI134" i="70"/>
  <c r="AI137" i="70"/>
  <c r="AI103" i="70"/>
  <c r="AI214" i="70"/>
  <c r="AI221" i="70"/>
  <c r="AI127" i="70"/>
  <c r="AI30" i="70"/>
  <c r="AI166" i="70"/>
  <c r="AI18" i="70"/>
  <c r="AI26" i="70"/>
  <c r="AI175" i="70"/>
  <c r="AI195" i="70"/>
  <c r="AI80" i="70"/>
  <c r="AI174" i="70"/>
  <c r="AI279" i="70"/>
  <c r="AI172" i="70"/>
  <c r="AI245" i="70"/>
  <c r="AI70" i="70"/>
  <c r="AI43" i="70"/>
  <c r="AI197" i="70"/>
  <c r="AI139" i="70"/>
  <c r="AI238" i="70"/>
  <c r="AI25" i="70"/>
  <c r="AI122" i="70"/>
  <c r="AI154" i="70"/>
  <c r="AI156" i="70"/>
  <c r="AI227" i="70"/>
  <c r="AI115" i="70"/>
  <c r="AI189" i="70"/>
  <c r="AI40" i="70"/>
  <c r="AI19" i="70"/>
  <c r="AI213" i="70"/>
  <c r="AI296" i="70"/>
  <c r="AI231" i="70"/>
  <c r="AI119" i="70"/>
  <c r="AI254" i="70"/>
  <c r="AI131" i="70"/>
  <c r="AI160" i="70"/>
  <c r="AI239" i="70"/>
  <c r="AI194" i="70"/>
  <c r="AI65" i="70"/>
  <c r="AI200" i="70"/>
  <c r="AI85" i="70"/>
  <c r="AI208" i="70"/>
  <c r="AI224" i="70"/>
  <c r="AI266" i="70"/>
  <c r="AI78" i="70"/>
  <c r="AI252" i="70"/>
  <c r="AI68" i="70"/>
  <c r="AI244" i="70"/>
  <c r="AI7" i="70"/>
  <c r="AI60" i="70"/>
  <c r="AI218" i="70"/>
  <c r="AI64" i="70"/>
  <c r="AI168" i="70"/>
  <c r="AI169" i="70"/>
  <c r="AI270" i="70"/>
  <c r="AI49" i="70"/>
  <c r="AI59" i="70"/>
  <c r="AI31" i="70"/>
  <c r="AI249" i="70"/>
  <c r="AI100" i="70"/>
  <c r="AI253" i="70"/>
  <c r="AI294" i="70"/>
  <c r="AI62" i="70"/>
  <c r="AI220" i="70"/>
  <c r="AI56" i="70"/>
  <c r="AI74" i="70"/>
  <c r="AI63" i="70"/>
  <c r="AI112" i="70"/>
  <c r="AI167" i="70"/>
  <c r="AI10" i="70"/>
  <c r="AI28" i="70"/>
  <c r="AI281" i="70"/>
  <c r="AI274" i="70"/>
  <c r="AI256" i="70"/>
  <c r="AI71" i="70"/>
  <c r="AI145" i="70"/>
  <c r="AI275" i="70"/>
  <c r="AI143" i="70"/>
  <c r="AI27" i="70"/>
  <c r="AI226" i="70"/>
  <c r="AI159" i="70"/>
  <c r="AI72" i="70"/>
  <c r="AI51" i="70"/>
  <c r="AI130" i="70"/>
  <c r="AI178" i="70"/>
  <c r="AI235" i="70"/>
  <c r="AI126" i="70"/>
  <c r="AI191" i="70"/>
  <c r="AI267" i="70"/>
  <c r="AI157" i="70"/>
  <c r="AI79" i="70"/>
  <c r="AI211" i="70"/>
  <c r="AI230" i="70"/>
  <c r="AI125" i="70"/>
  <c r="AI179" i="70"/>
  <c r="AI171" i="70"/>
  <c r="AI152" i="70"/>
  <c r="AI198" i="70"/>
  <c r="AI190" i="70"/>
  <c r="AI243" i="70"/>
  <c r="AI86" i="70"/>
  <c r="AI193" i="70"/>
  <c r="AI272" i="70"/>
  <c r="AI280" i="70"/>
  <c r="AI77" i="70"/>
  <c r="AI81" i="70"/>
  <c r="AI251" i="70"/>
  <c r="AI22" i="70"/>
  <c r="AI184" i="70"/>
  <c r="AI150" i="70"/>
  <c r="AI206" i="70"/>
  <c r="AI96" i="70"/>
  <c r="AI260" i="70"/>
  <c r="AI58" i="70"/>
  <c r="AI87" i="70"/>
  <c r="AI293" i="70"/>
  <c r="AI146" i="70"/>
  <c r="AI228" i="70"/>
  <c r="AI181" i="70"/>
  <c r="AI215" i="70"/>
  <c r="AI257" i="70"/>
  <c r="AI73" i="70"/>
  <c r="AI237" i="70"/>
  <c r="AI217" i="70"/>
  <c r="AI285" i="70"/>
  <c r="AI45" i="70"/>
  <c r="AI173" i="70"/>
  <c r="AI132" i="70"/>
  <c r="AI124" i="70"/>
  <c r="AI46" i="70"/>
  <c r="AI120" i="70"/>
  <c r="AI29" i="70"/>
  <c r="AI158" i="70"/>
  <c r="AI186" i="70"/>
  <c r="AI48" i="70"/>
  <c r="AI291" i="70"/>
  <c r="AI109" i="70"/>
  <c r="AI282" i="70"/>
  <c r="AI82" i="70"/>
  <c r="AI225" i="70"/>
  <c r="AI69" i="70"/>
  <c r="AI89" i="70"/>
  <c r="AI295" i="70"/>
  <c r="AI247" i="70"/>
  <c r="AI278" i="70"/>
  <c r="AI116" i="70"/>
  <c r="AI269" i="70"/>
  <c r="AI33" i="70"/>
  <c r="AI50" i="70"/>
  <c r="AI75" i="70"/>
  <c r="AI136" i="70"/>
  <c r="AI205" i="70"/>
  <c r="AI212" i="70"/>
  <c r="AI114" i="70"/>
  <c r="AI155" i="70"/>
  <c r="AI15" i="70"/>
  <c r="AI54" i="70"/>
  <c r="AI185" i="70"/>
  <c r="AI222" i="70"/>
  <c r="AI76" i="70"/>
  <c r="AI123" i="70"/>
  <c r="AI284" i="70"/>
  <c r="AI204" i="70"/>
  <c r="AI41" i="70"/>
  <c r="AI135" i="70"/>
  <c r="AI261" i="70"/>
  <c r="AI289" i="70"/>
  <c r="AI37" i="70"/>
  <c r="AI90" i="70"/>
  <c r="AI14" i="70"/>
  <c r="AI106" i="70"/>
  <c r="AI21" i="70"/>
  <c r="AI113" i="70"/>
  <c r="AI88" i="70"/>
  <c r="AI273" i="70"/>
  <c r="AI16" i="70"/>
  <c r="AI32" i="70"/>
  <c r="AI138" i="70"/>
  <c r="AI290" i="70"/>
  <c r="AI177" i="70"/>
  <c r="AI83" i="70"/>
  <c r="AI24" i="70"/>
  <c r="AI199" i="70"/>
  <c r="AI258" i="70"/>
  <c r="AI201" i="70"/>
  <c r="AI11" i="70"/>
  <c r="AI170" i="70"/>
  <c r="AI17" i="70"/>
  <c r="AI250" i="70"/>
  <c r="AI248" i="70"/>
  <c r="AI144" i="70"/>
  <c r="AI67" i="70"/>
  <c r="AI164" i="70"/>
  <c r="AI187" i="70"/>
  <c r="AI94" i="70"/>
  <c r="AI229" i="70"/>
  <c r="AI93" i="70"/>
  <c r="AI188" i="70"/>
  <c r="AI36" i="70"/>
  <c r="AI207" i="70"/>
  <c r="AI13" i="70"/>
  <c r="AI105" i="70"/>
  <c r="AI149" i="70"/>
  <c r="AI111" i="70"/>
  <c r="AI276" i="70"/>
  <c r="AI55" i="70"/>
  <c r="AI110" i="70"/>
  <c r="AI95" i="70"/>
  <c r="AI107" i="70"/>
  <c r="AI6" i="70"/>
  <c r="AI84" i="70"/>
  <c r="AI121" i="70"/>
  <c r="AI53" i="70"/>
  <c r="AI133" i="70"/>
  <c r="AI39" i="70"/>
  <c r="AI233" i="70"/>
  <c r="AI151" i="70"/>
  <c r="AI61" i="70"/>
  <c r="AI287" i="70"/>
  <c r="AI183" i="70"/>
  <c r="AI288" i="70"/>
  <c r="AI161" i="70"/>
  <c r="AI192" i="70"/>
  <c r="AI153" i="70"/>
  <c r="AI271" i="70"/>
  <c r="AI47" i="70"/>
  <c r="AI38" i="70"/>
  <c r="AI236" i="70"/>
  <c r="AI264" i="70"/>
  <c r="AI35" i="70"/>
  <c r="AI242" i="70"/>
  <c r="AI99" i="70"/>
  <c r="AI265" i="70"/>
  <c r="AI118" i="70"/>
  <c r="AI9" i="70"/>
  <c r="AI66" i="70"/>
  <c r="AI104" i="70"/>
  <c r="AI241" i="70"/>
  <c r="AI219" i="70"/>
  <c r="AI263" i="70"/>
  <c r="AI232" i="70"/>
  <c r="AI209" i="70"/>
  <c r="AI34" i="70"/>
  <c r="AI128" i="70"/>
  <c r="AI277" i="70"/>
  <c r="AI246" i="70"/>
  <c r="AI142" i="70"/>
  <c r="AI283" i="70"/>
  <c r="AI117" i="70"/>
  <c r="AI298" i="70"/>
  <c r="AI203" i="70"/>
  <c r="AI98" i="70"/>
  <c r="AI234" i="70"/>
  <c r="AI23" i="70"/>
  <c r="AI262" i="70"/>
  <c r="AI92" i="70"/>
  <c r="AI148" i="70"/>
  <c r="AI202" i="70"/>
  <c r="AI141" i="70"/>
  <c r="AI210" i="70"/>
  <c r="AI286" i="70"/>
  <c r="AI20" i="70"/>
  <c r="AI163" i="70"/>
  <c r="AI108" i="70"/>
  <c r="AI12" i="70"/>
  <c r="AI196" i="70"/>
  <c r="AI101" i="70"/>
  <c r="AI147" i="70"/>
  <c r="AI268" i="70"/>
  <c r="AI165" i="70"/>
  <c r="AI42" i="70"/>
  <c r="AI162" i="70"/>
  <c r="AI240" i="70"/>
  <c r="AI180" i="70"/>
  <c r="AI8" i="70"/>
  <c r="AI57" i="70"/>
  <c r="AI140" i="70"/>
  <c r="AI102" i="70"/>
  <c r="AK4" i="70" l="1"/>
  <c r="AF4" i="70"/>
  <c r="AH4" i="70"/>
  <c r="AJ4" i="70"/>
  <c r="AI4" i="70"/>
  <c r="AG4" i="70"/>
  <c r="AD15" i="47" l="1"/>
  <c r="G82" i="66"/>
  <c r="R82" i="66" s="1"/>
  <c r="AN82" i="66" s="1"/>
  <c r="K13" i="47"/>
  <c r="L5" i="47" s="1"/>
  <c r="L230" i="47" s="1"/>
  <c r="L72" i="47" l="1"/>
  <c r="L136" i="47"/>
  <c r="L200" i="47"/>
  <c r="L264" i="47"/>
  <c r="L124" i="47"/>
  <c r="L49" i="47"/>
  <c r="L113" i="47"/>
  <c r="L177" i="47"/>
  <c r="L241" i="47"/>
  <c r="L305" i="47"/>
  <c r="L260" i="47"/>
  <c r="L74" i="47"/>
  <c r="L138" i="47"/>
  <c r="L202" i="47"/>
  <c r="L266" i="47"/>
  <c r="L140" i="47"/>
  <c r="L51" i="47"/>
  <c r="L115" i="47"/>
  <c r="L179" i="47"/>
  <c r="L243" i="47"/>
  <c r="L307" i="47"/>
  <c r="L284" i="47"/>
  <c r="L69" i="47"/>
  <c r="L133" i="47"/>
  <c r="L197" i="47"/>
  <c r="L261" i="47"/>
  <c r="L276" i="47"/>
  <c r="L78" i="47"/>
  <c r="L142" i="47"/>
  <c r="L206" i="47"/>
  <c r="L270" i="47"/>
  <c r="L47" i="47"/>
  <c r="L111" i="47"/>
  <c r="L175" i="47"/>
  <c r="L239" i="47"/>
  <c r="L303" i="47"/>
  <c r="L304" i="47"/>
  <c r="L25" i="47"/>
  <c r="L89" i="47"/>
  <c r="L281" i="47"/>
  <c r="L114" i="47"/>
  <c r="L27" i="47"/>
  <c r="L212" i="47"/>
  <c r="L301" i="47"/>
  <c r="L182" i="47"/>
  <c r="L151" i="47"/>
  <c r="L130" i="47"/>
  <c r="L299" i="47"/>
  <c r="L70" i="47"/>
  <c r="L167" i="47"/>
  <c r="L16" i="47"/>
  <c r="L80" i="47"/>
  <c r="L144" i="47"/>
  <c r="L208" i="47"/>
  <c r="L272" i="47"/>
  <c r="L172" i="47"/>
  <c r="L57" i="47"/>
  <c r="L121" i="47"/>
  <c r="L185" i="47"/>
  <c r="L249" i="47"/>
  <c r="L20" i="47"/>
  <c r="L18" i="47"/>
  <c r="L82" i="47"/>
  <c r="L146" i="47"/>
  <c r="L210" i="47"/>
  <c r="L274" i="47"/>
  <c r="L220" i="47"/>
  <c r="L59" i="47"/>
  <c r="L123" i="47"/>
  <c r="L187" i="47"/>
  <c r="L251" i="47"/>
  <c r="L52" i="47"/>
  <c r="L292" i="47"/>
  <c r="L77" i="47"/>
  <c r="L141" i="47"/>
  <c r="L205" i="47"/>
  <c r="L269" i="47"/>
  <c r="L22" i="47"/>
  <c r="L86" i="47"/>
  <c r="L150" i="47"/>
  <c r="L214" i="47"/>
  <c r="L278" i="47"/>
  <c r="L55" i="47"/>
  <c r="L119" i="47"/>
  <c r="L183" i="47"/>
  <c r="L247" i="47"/>
  <c r="L36" i="47"/>
  <c r="L176" i="47"/>
  <c r="L217" i="47"/>
  <c r="L50" i="47"/>
  <c r="L91" i="47"/>
  <c r="L283" i="47"/>
  <c r="L109" i="47"/>
  <c r="L54" i="47"/>
  <c r="L87" i="47"/>
  <c r="L252" i="47"/>
  <c r="L258" i="47"/>
  <c r="L235" i="47"/>
  <c r="L196" i="47"/>
  <c r="L103" i="47"/>
  <c r="L24" i="47"/>
  <c r="L88" i="47"/>
  <c r="L152" i="47"/>
  <c r="L216" i="47"/>
  <c r="L280" i="47"/>
  <c r="L236" i="47"/>
  <c r="L65" i="47"/>
  <c r="L129" i="47"/>
  <c r="L193" i="47"/>
  <c r="L257" i="47"/>
  <c r="L60" i="47"/>
  <c r="L26" i="47"/>
  <c r="L90" i="47"/>
  <c r="L154" i="47"/>
  <c r="L218" i="47"/>
  <c r="L282" i="47"/>
  <c r="L244" i="47"/>
  <c r="L67" i="47"/>
  <c r="L131" i="47"/>
  <c r="L195" i="47"/>
  <c r="L259" i="47"/>
  <c r="L132" i="47"/>
  <c r="L21" i="47"/>
  <c r="L85" i="47"/>
  <c r="L149" i="47"/>
  <c r="L213" i="47"/>
  <c r="L277" i="47"/>
  <c r="L30" i="47"/>
  <c r="L94" i="47"/>
  <c r="L158" i="47"/>
  <c r="L222" i="47"/>
  <c r="L286" i="47"/>
  <c r="L63" i="47"/>
  <c r="L127" i="47"/>
  <c r="L191" i="47"/>
  <c r="L255" i="47"/>
  <c r="L92" i="47"/>
  <c r="L48" i="47"/>
  <c r="L153" i="47"/>
  <c r="L116" i="47"/>
  <c r="L306" i="47"/>
  <c r="L219" i="47"/>
  <c r="L173" i="47"/>
  <c r="L246" i="47"/>
  <c r="L279" i="47"/>
  <c r="L43" i="47"/>
  <c r="L125" i="47"/>
  <c r="L262" i="47"/>
  <c r="L295" i="47"/>
  <c r="L32" i="47"/>
  <c r="L96" i="47"/>
  <c r="L160" i="47"/>
  <c r="L224" i="47"/>
  <c r="L288" i="47"/>
  <c r="L300" i="47"/>
  <c r="L73" i="47"/>
  <c r="L137" i="47"/>
  <c r="L201" i="47"/>
  <c r="L265" i="47"/>
  <c r="L68" i="47"/>
  <c r="L34" i="47"/>
  <c r="L98" i="47"/>
  <c r="L162" i="47"/>
  <c r="L226" i="47"/>
  <c r="L290" i="47"/>
  <c r="L15" i="47"/>
  <c r="L75" i="47"/>
  <c r="L139" i="47"/>
  <c r="L203" i="47"/>
  <c r="L267" i="47"/>
  <c r="L180" i="47"/>
  <c r="L29" i="47"/>
  <c r="L93" i="47"/>
  <c r="L157" i="47"/>
  <c r="L221" i="47"/>
  <c r="L285" i="47"/>
  <c r="L38" i="47"/>
  <c r="L102" i="47"/>
  <c r="L166" i="47"/>
  <c r="L294" i="47"/>
  <c r="L71" i="47"/>
  <c r="L135" i="47"/>
  <c r="L199" i="47"/>
  <c r="L263" i="47"/>
  <c r="L108" i="47"/>
  <c r="L112" i="47"/>
  <c r="L242" i="47"/>
  <c r="L45" i="47"/>
  <c r="L118" i="47"/>
  <c r="L215" i="47"/>
  <c r="L107" i="47"/>
  <c r="L268" i="47"/>
  <c r="L253" i="47"/>
  <c r="L39" i="47"/>
  <c r="L40" i="47"/>
  <c r="L104" i="47"/>
  <c r="L168" i="47"/>
  <c r="L232" i="47"/>
  <c r="L296" i="47"/>
  <c r="L17" i="47"/>
  <c r="L81" i="47"/>
  <c r="L145" i="47"/>
  <c r="L209" i="47"/>
  <c r="L273" i="47"/>
  <c r="L76" i="47"/>
  <c r="L42" i="47"/>
  <c r="L106" i="47"/>
  <c r="L170" i="47"/>
  <c r="L234" i="47"/>
  <c r="L298" i="47"/>
  <c r="L19" i="47"/>
  <c r="L83" i="47"/>
  <c r="L147" i="47"/>
  <c r="L211" i="47"/>
  <c r="L275" i="47"/>
  <c r="L188" i="47"/>
  <c r="L37" i="47"/>
  <c r="L101" i="47"/>
  <c r="L165" i="47"/>
  <c r="L229" i="47"/>
  <c r="L293" i="47"/>
  <c r="L46" i="47"/>
  <c r="L110" i="47"/>
  <c r="L174" i="47"/>
  <c r="L238" i="47"/>
  <c r="L302" i="47"/>
  <c r="L79" i="47"/>
  <c r="L143" i="47"/>
  <c r="L207" i="47"/>
  <c r="L271" i="47"/>
  <c r="L148" i="47"/>
  <c r="L240" i="47"/>
  <c r="L178" i="47"/>
  <c r="L155" i="47"/>
  <c r="L237" i="47"/>
  <c r="L23" i="47"/>
  <c r="L100" i="47"/>
  <c r="L61" i="47"/>
  <c r="L134" i="47"/>
  <c r="L231" i="47"/>
  <c r="L56" i="47"/>
  <c r="L120" i="47"/>
  <c r="L184" i="47"/>
  <c r="L248" i="47"/>
  <c r="L28" i="47"/>
  <c r="L33" i="47"/>
  <c r="L97" i="47"/>
  <c r="L161" i="47"/>
  <c r="L225" i="47"/>
  <c r="L289" i="47"/>
  <c r="L156" i="47"/>
  <c r="L58" i="47"/>
  <c r="L122" i="47"/>
  <c r="L186" i="47"/>
  <c r="L250" i="47"/>
  <c r="L44" i="47"/>
  <c r="L35" i="47"/>
  <c r="L99" i="47"/>
  <c r="L163" i="47"/>
  <c r="L227" i="47"/>
  <c r="L291" i="47"/>
  <c r="L228" i="47"/>
  <c r="L53" i="47"/>
  <c r="L117" i="47"/>
  <c r="L181" i="47"/>
  <c r="L245" i="47"/>
  <c r="L164" i="47"/>
  <c r="L62" i="47"/>
  <c r="L126" i="47"/>
  <c r="L190" i="47"/>
  <c r="L254" i="47"/>
  <c r="L31" i="47"/>
  <c r="L95" i="47"/>
  <c r="L159" i="47"/>
  <c r="L223" i="47"/>
  <c r="L287" i="47"/>
  <c r="L64" i="47"/>
  <c r="L128" i="47"/>
  <c r="L192" i="47"/>
  <c r="L256" i="47"/>
  <c r="L84" i="47"/>
  <c r="L41" i="47"/>
  <c r="L105" i="47"/>
  <c r="L169" i="47"/>
  <c r="L233" i="47"/>
  <c r="L297" i="47"/>
  <c r="L204" i="47"/>
  <c r="L66" i="47"/>
  <c r="L194" i="47"/>
  <c r="L171" i="47"/>
  <c r="L189" i="47"/>
  <c r="L198" i="47"/>
  <c r="AE29" i="47"/>
  <c r="AV29" i="47" s="1"/>
  <c r="K612" i="47"/>
  <c r="K559" i="47"/>
  <c r="K488" i="47"/>
  <c r="K614" i="47"/>
  <c r="K479" i="47"/>
  <c r="K537" i="47"/>
  <c r="K405" i="47"/>
  <c r="K349" i="47"/>
  <c r="K579" i="47"/>
  <c r="K372" i="47"/>
  <c r="K418" i="47"/>
  <c r="K547" i="47"/>
  <c r="K540" i="47"/>
  <c r="K420" i="47"/>
  <c r="K445" i="47"/>
  <c r="K546" i="47"/>
  <c r="K460" i="47"/>
  <c r="K549" i="47"/>
  <c r="K567" i="47"/>
  <c r="K553" i="47"/>
  <c r="K511" i="47"/>
  <c r="K513" i="47"/>
  <c r="K335" i="47"/>
  <c r="K402" i="47"/>
  <c r="K348" i="47"/>
  <c r="K528" i="47"/>
  <c r="K374" i="47"/>
  <c r="K492" i="47"/>
  <c r="K371" i="47"/>
  <c r="K353" i="47"/>
  <c r="K533" i="47"/>
  <c r="K468" i="47"/>
  <c r="K505" i="47"/>
  <c r="K387" i="47"/>
  <c r="K364" i="47"/>
  <c r="K331" i="47"/>
  <c r="K352" i="47"/>
  <c r="K467" i="47"/>
  <c r="K381" i="47"/>
  <c r="K386" i="47"/>
  <c r="K416" i="47"/>
  <c r="K377" i="47"/>
  <c r="K485" i="47"/>
  <c r="K548" i="47"/>
  <c r="K493" i="47"/>
  <c r="K611" i="47"/>
  <c r="K596" i="47"/>
  <c r="K404" i="47"/>
  <c r="K429" i="47"/>
  <c r="K456" i="47"/>
  <c r="K523" i="47"/>
  <c r="K616" i="47"/>
  <c r="K506" i="47"/>
  <c r="K457" i="47"/>
  <c r="K590" i="47"/>
  <c r="K586" i="47"/>
  <c r="K556" i="47"/>
  <c r="K498" i="47"/>
  <c r="K458" i="47"/>
  <c r="K551" i="47"/>
  <c r="K560" i="47"/>
  <c r="K342" i="47"/>
  <c r="K572" i="47"/>
  <c r="K400" i="47"/>
  <c r="K441" i="47"/>
  <c r="K621" i="47"/>
  <c r="K332" i="47"/>
  <c r="K524" i="47"/>
  <c r="K427" i="47"/>
  <c r="K514" i="47"/>
  <c r="K494" i="47"/>
  <c r="K521" i="47"/>
  <c r="K368" i="47"/>
  <c r="K576" i="47"/>
  <c r="K333" i="47"/>
  <c r="K481" i="47"/>
  <c r="K507" i="47"/>
  <c r="K365" i="47"/>
  <c r="K462" i="47"/>
  <c r="K569" i="47"/>
  <c r="K489" i="47"/>
  <c r="K545" i="47"/>
  <c r="K608" i="47"/>
  <c r="K520" i="47"/>
  <c r="K334" i="47"/>
  <c r="K490" i="47"/>
  <c r="K355" i="47"/>
  <c r="K483" i="47"/>
  <c r="K360" i="47"/>
  <c r="K442" i="47"/>
  <c r="K448" i="47"/>
  <c r="K378" i="47"/>
  <c r="K437" i="47"/>
  <c r="K604" i="47"/>
  <c r="K403" i="47"/>
  <c r="K563" i="47"/>
  <c r="K375" i="47"/>
  <c r="K428" i="47"/>
  <c r="K593" i="47"/>
  <c r="K454" i="47"/>
  <c r="K354" i="47"/>
  <c r="K383" i="47"/>
  <c r="K602" i="47"/>
  <c r="K424" i="47"/>
  <c r="K583" i="47"/>
  <c r="K382" i="47"/>
  <c r="K388" i="47"/>
  <c r="K603" i="47"/>
  <c r="K438" i="47"/>
  <c r="K606" i="47"/>
  <c r="K343" i="47"/>
  <c r="K515" i="47"/>
  <c r="K433" i="47"/>
  <c r="K341" i="47"/>
  <c r="K421" i="47"/>
  <c r="K497" i="47"/>
  <c r="K516" i="47"/>
  <c r="K578" i="47"/>
  <c r="K529" i="47"/>
  <c r="K367" i="47"/>
  <c r="K600" i="47"/>
  <c r="K595" i="47"/>
  <c r="K10" i="47"/>
  <c r="K501" i="47"/>
  <c r="K346" i="47"/>
  <c r="K544" i="47"/>
  <c r="K605" i="47"/>
  <c r="K568" i="47"/>
  <c r="K11" i="47"/>
  <c r="K591" i="47"/>
  <c r="K340" i="47"/>
  <c r="K615" i="47"/>
  <c r="K487" i="47"/>
  <c r="K469" i="47"/>
  <c r="K410" i="47"/>
  <c r="K587" i="47"/>
  <c r="K422" i="47"/>
  <c r="K450" i="47"/>
  <c r="K376" i="47"/>
  <c r="K484" i="47"/>
  <c r="K398" i="47"/>
  <c r="K519" i="47"/>
  <c r="K453" i="47"/>
  <c r="K459" i="47"/>
  <c r="K585" i="47"/>
  <c r="K426" i="47"/>
  <c r="K407" i="47"/>
  <c r="K598" i="47"/>
  <c r="K396" i="47"/>
  <c r="K597" i="47"/>
  <c r="K539" i="47"/>
  <c r="K476" i="47"/>
  <c r="K356" i="47"/>
  <c r="K415" i="47"/>
  <c r="K542" i="47"/>
  <c r="K502" i="47"/>
  <c r="K508" i="47"/>
  <c r="K394" i="47"/>
  <c r="K525" i="47"/>
  <c r="K465" i="47"/>
  <c r="K594" i="47"/>
  <c r="K509" i="47"/>
  <c r="K461" i="47"/>
  <c r="K449" i="47"/>
  <c r="K619" i="47"/>
  <c r="K430" i="47"/>
  <c r="K543" i="47"/>
  <c r="K435" i="47"/>
  <c r="K573" i="47"/>
  <c r="K623" i="47"/>
  <c r="K599" i="47"/>
  <c r="K552" i="47"/>
  <c r="K366" i="47"/>
  <c r="K504" i="47"/>
  <c r="K503" i="47"/>
  <c r="K413" i="47"/>
  <c r="K496" i="47"/>
  <c r="K358" i="47"/>
  <c r="K617" i="47"/>
  <c r="K444" i="47"/>
  <c r="K466" i="47"/>
  <c r="K409" i="47"/>
  <c r="K566" i="47"/>
  <c r="K574" i="47"/>
  <c r="K455" i="47"/>
  <c r="K330" i="47"/>
  <c r="K584" i="47"/>
  <c r="K419" i="47"/>
  <c r="K527" i="47"/>
  <c r="K452" i="47"/>
  <c r="K518" i="47"/>
  <c r="K534" i="47"/>
  <c r="K362" i="47"/>
  <c r="K432" i="47"/>
  <c r="K344" i="47"/>
  <c r="K436" i="47"/>
  <c r="K345" i="47"/>
  <c r="K474" i="47"/>
  <c r="K589" i="47"/>
  <c r="K395" i="47"/>
  <c r="K473" i="47"/>
  <c r="K379" i="47"/>
  <c r="K561" i="47"/>
  <c r="K380" i="47"/>
  <c r="K478" i="47"/>
  <c r="K622" i="47"/>
  <c r="K538" i="47"/>
  <c r="K601" i="47"/>
  <c r="K351" i="47"/>
  <c r="K384" i="47"/>
  <c r="K570" i="47"/>
  <c r="K530" i="47"/>
  <c r="K357" i="47"/>
  <c r="K451" i="47"/>
  <c r="K397" i="47"/>
  <c r="K536" i="47"/>
  <c r="K392" i="47"/>
  <c r="K425" i="47"/>
  <c r="K339" i="47"/>
  <c r="K620" i="47"/>
  <c r="K609" i="47"/>
  <c r="K423" i="47"/>
  <c r="K338" i="47"/>
  <c r="K370" i="47"/>
  <c r="K373" i="47"/>
  <c r="K363" i="47"/>
  <c r="K565" i="47"/>
  <c r="K522" i="47"/>
  <c r="K607" i="47"/>
  <c r="K613" i="47"/>
  <c r="K443" i="47"/>
  <c r="K526" i="47"/>
  <c r="K414" i="47"/>
  <c r="K359" i="47"/>
  <c r="K412" i="47"/>
  <c r="K486" i="47"/>
  <c r="K577" i="47"/>
  <c r="K350" i="47"/>
  <c r="K447" i="47"/>
  <c r="K610" i="47"/>
  <c r="K618" i="47"/>
  <c r="K557" i="47"/>
  <c r="K439" i="47"/>
  <c r="K480" i="47"/>
  <c r="K411" i="47"/>
  <c r="K417" i="47"/>
  <c r="K562" i="47"/>
  <c r="K575" i="47"/>
  <c r="K581" i="47"/>
  <c r="K499" i="47"/>
  <c r="K328" i="47"/>
  <c r="K463" i="47"/>
  <c r="K406" i="47"/>
  <c r="K571" i="47"/>
  <c r="K464" i="47"/>
  <c r="K401" i="47"/>
  <c r="K385" i="47"/>
  <c r="K361" i="47"/>
  <c r="K393" i="47"/>
  <c r="K440" i="47"/>
  <c r="AD13" i="47"/>
  <c r="AU13" i="47" s="1"/>
  <c r="K477" i="47"/>
  <c r="K582" i="47"/>
  <c r="K472" i="47"/>
  <c r="K434" i="47"/>
  <c r="K390" i="47"/>
  <c r="K408" i="47"/>
  <c r="K431" i="47"/>
  <c r="K541" i="47"/>
  <c r="K337" i="47"/>
  <c r="K535" i="47"/>
  <c r="K495" i="47"/>
  <c r="K399" i="47"/>
  <c r="K475" i="47"/>
  <c r="K482" i="47"/>
  <c r="K491" i="47"/>
  <c r="K470" i="47"/>
  <c r="K588" i="47"/>
  <c r="K532" i="47"/>
  <c r="K389" i="47"/>
  <c r="K391" i="47"/>
  <c r="K510" i="47"/>
  <c r="K554" i="47"/>
  <c r="K369" i="47"/>
  <c r="K517" i="47"/>
  <c r="K512" i="47"/>
  <c r="K336" i="47"/>
  <c r="K564" i="47"/>
  <c r="K446" i="47"/>
  <c r="K471" i="47"/>
  <c r="K558" i="47"/>
  <c r="K531" i="47"/>
  <c r="K550" i="47"/>
  <c r="K592" i="47"/>
  <c r="K347" i="47"/>
  <c r="K500" i="47"/>
  <c r="K555" i="47"/>
  <c r="K580" i="47"/>
  <c r="S28" i="60"/>
  <c r="G85" i="66"/>
  <c r="R85" i="66" s="1"/>
  <c r="AN85" i="66" s="1"/>
  <c r="AX82" i="66"/>
  <c r="AD82" i="66"/>
  <c r="AD10" i="47"/>
  <c r="AD9" i="47"/>
  <c r="AU15" i="47"/>
  <c r="AE203" i="47" l="1"/>
  <c r="AV203" i="47" s="1"/>
  <c r="AE187" i="47"/>
  <c r="AV187" i="47" s="1"/>
  <c r="AE271" i="47"/>
  <c r="AV271" i="47" s="1"/>
  <c r="AE21" i="47"/>
  <c r="AV21" i="47" s="1"/>
  <c r="AE134" i="47"/>
  <c r="AV134" i="47" s="1"/>
  <c r="AE163" i="47"/>
  <c r="AV163" i="47" s="1"/>
  <c r="AE92" i="47"/>
  <c r="AV92" i="47" s="1"/>
  <c r="AE43" i="47"/>
  <c r="AV43" i="47" s="1"/>
  <c r="AE118" i="47"/>
  <c r="AV118" i="47" s="1"/>
  <c r="AE183" i="47"/>
  <c r="AV183" i="47" s="1"/>
  <c r="AE294" i="47"/>
  <c r="AV294" i="47" s="1"/>
  <c r="AE36" i="47"/>
  <c r="AV36" i="47" s="1"/>
  <c r="AE69" i="47"/>
  <c r="AV69" i="47" s="1"/>
  <c r="AE274" i="47"/>
  <c r="AV274" i="47" s="1"/>
  <c r="AE23" i="47"/>
  <c r="AV23" i="47" s="1"/>
  <c r="AE28" i="47"/>
  <c r="AV28" i="47" s="1"/>
  <c r="AE116" i="47"/>
  <c r="AV116" i="47" s="1"/>
  <c r="AE244" i="47"/>
  <c r="AV244" i="47" s="1"/>
  <c r="AE143" i="47"/>
  <c r="AV143" i="47" s="1"/>
  <c r="AE147" i="47"/>
  <c r="AV147" i="47" s="1"/>
  <c r="AE201" i="47"/>
  <c r="AV201" i="47" s="1"/>
  <c r="AE270" i="47"/>
  <c r="AV270" i="47" s="1"/>
  <c r="AE233" i="47"/>
  <c r="AV233" i="47" s="1"/>
  <c r="AE191" i="47"/>
  <c r="AV191" i="47" s="1"/>
  <c r="AE298" i="47"/>
  <c r="AV298" i="47" s="1"/>
  <c r="AE136" i="47"/>
  <c r="AV136" i="47" s="1"/>
  <c r="AE220" i="47"/>
  <c r="AV220" i="47" s="1"/>
  <c r="AE286" i="47"/>
  <c r="AV286" i="47" s="1"/>
  <c r="AE133" i="47"/>
  <c r="AV133" i="47" s="1"/>
  <c r="AE88" i="47"/>
  <c r="AV88" i="47" s="1"/>
  <c r="AE209" i="47"/>
  <c r="AV209" i="47" s="1"/>
  <c r="AE276" i="47"/>
  <c r="AV276" i="47" s="1"/>
  <c r="AE123" i="47"/>
  <c r="AV123" i="47" s="1"/>
  <c r="AE166" i="47"/>
  <c r="AV166" i="47" s="1"/>
  <c r="AE305" i="47"/>
  <c r="AV305" i="47" s="1"/>
  <c r="AE61" i="47"/>
  <c r="AV61" i="47" s="1"/>
  <c r="AE55" i="47"/>
  <c r="AV55" i="47" s="1"/>
  <c r="AE51" i="47"/>
  <c r="AV51" i="47" s="1"/>
  <c r="AE113" i="47"/>
  <c r="AV113" i="47" s="1"/>
  <c r="AE80" i="47"/>
  <c r="AV80" i="47" s="1"/>
  <c r="AE207" i="47"/>
  <c r="AV207" i="47" s="1"/>
  <c r="AE31" i="47"/>
  <c r="AV31" i="47" s="1"/>
  <c r="AE292" i="47"/>
  <c r="AV292" i="47" s="1"/>
  <c r="AE121" i="47"/>
  <c r="AV121" i="47" s="1"/>
  <c r="AE279" i="47"/>
  <c r="AV279" i="47" s="1"/>
  <c r="AE247" i="47"/>
  <c r="AV247" i="47" s="1"/>
  <c r="AE26" i="47"/>
  <c r="AV26" i="47" s="1"/>
  <c r="AE127" i="47"/>
  <c r="AV127" i="47" s="1"/>
  <c r="AE195" i="47"/>
  <c r="AV195" i="47" s="1"/>
  <c r="AE293" i="47"/>
  <c r="AV293" i="47" s="1"/>
  <c r="AE52" i="47"/>
  <c r="AV52" i="47" s="1"/>
  <c r="AE27" i="47"/>
  <c r="AV27" i="47" s="1"/>
  <c r="AE186" i="47"/>
  <c r="AV186" i="47" s="1"/>
  <c r="AE38" i="47"/>
  <c r="AV38" i="47" s="1"/>
  <c r="AE222" i="47"/>
  <c r="AV222" i="47" s="1"/>
  <c r="AE214" i="47"/>
  <c r="AV214" i="47" s="1"/>
  <c r="AE241" i="47"/>
  <c r="AV241" i="47" s="1"/>
  <c r="AE107" i="47"/>
  <c r="AV107" i="47" s="1"/>
  <c r="AE112" i="47"/>
  <c r="AV112" i="47" s="1"/>
  <c r="AE95" i="47"/>
  <c r="AV95" i="47" s="1"/>
  <c r="AE138" i="47"/>
  <c r="AV138" i="47" s="1"/>
  <c r="AE53" i="47"/>
  <c r="AV53" i="47" s="1"/>
  <c r="AE109" i="47"/>
  <c r="AV109" i="47" s="1"/>
  <c r="AE219" i="47"/>
  <c r="AV219" i="47" s="1"/>
  <c r="AE224" i="47"/>
  <c r="AV224" i="47" s="1"/>
  <c r="AE47" i="47"/>
  <c r="AV47" i="47" s="1"/>
  <c r="AE237" i="47"/>
  <c r="AV237" i="47" s="1"/>
  <c r="AE48" i="47"/>
  <c r="AV48" i="47" s="1"/>
  <c r="H79" i="66"/>
  <c r="AE17" i="47"/>
  <c r="AV17" i="47" s="1"/>
  <c r="H81" i="66"/>
  <c r="AE16" i="47"/>
  <c r="AV16" i="47" s="1"/>
  <c r="H83" i="66"/>
  <c r="AE157" i="47"/>
  <c r="AV157" i="47" s="1"/>
  <c r="AE217" i="47"/>
  <c r="AV217" i="47" s="1"/>
  <c r="AE82" i="47"/>
  <c r="AV82" i="47" s="1"/>
  <c r="AE64" i="47"/>
  <c r="AV64" i="47" s="1"/>
  <c r="AE184" i="47"/>
  <c r="AV184" i="47" s="1"/>
  <c r="AE245" i="47"/>
  <c r="AV245" i="47" s="1"/>
  <c r="AE167" i="47"/>
  <c r="AV167" i="47" s="1"/>
  <c r="AE71" i="47"/>
  <c r="AV71" i="47" s="1"/>
  <c r="AE86" i="47"/>
  <c r="AV86" i="47" s="1"/>
  <c r="AE238" i="47"/>
  <c r="AV238" i="47" s="1"/>
  <c r="AE170" i="47"/>
  <c r="AV170" i="47" s="1"/>
  <c r="AE100" i="47"/>
  <c r="AV100" i="47" s="1"/>
  <c r="AE248" i="47"/>
  <c r="AV248" i="47" s="1"/>
  <c r="AE255" i="47"/>
  <c r="AV255" i="47" s="1"/>
  <c r="AE161" i="47"/>
  <c r="AV161" i="47" s="1"/>
  <c r="AE301" i="47"/>
  <c r="AV301" i="47" s="1"/>
  <c r="AE77" i="47"/>
  <c r="AV77" i="47" s="1"/>
  <c r="AE210" i="47"/>
  <c r="AV210" i="47" s="1"/>
  <c r="AE141" i="47"/>
  <c r="AV141" i="47" s="1"/>
  <c r="AE140" i="47"/>
  <c r="AV140" i="47" s="1"/>
  <c r="AE119" i="47"/>
  <c r="AV119" i="47" s="1"/>
  <c r="AE307" i="47"/>
  <c r="AV307" i="47" s="1"/>
  <c r="AE176" i="47"/>
  <c r="AV176" i="47" s="1"/>
  <c r="AE93" i="47"/>
  <c r="AV93" i="47" s="1"/>
  <c r="AE225" i="47"/>
  <c r="AV225" i="47" s="1"/>
  <c r="AE181" i="47"/>
  <c r="AV181" i="47" s="1"/>
  <c r="AE24" i="47"/>
  <c r="AV24" i="47" s="1"/>
  <c r="H78" i="66"/>
  <c r="AE190" i="47"/>
  <c r="AV190" i="47" s="1"/>
  <c r="AE105" i="47"/>
  <c r="AV105" i="47" s="1"/>
  <c r="AE155" i="47"/>
  <c r="AV155" i="47" s="1"/>
  <c r="AE125" i="47"/>
  <c r="AV125" i="47" s="1"/>
  <c r="AE148" i="47"/>
  <c r="AV148" i="47" s="1"/>
  <c r="AE226" i="47"/>
  <c r="AV226" i="47" s="1"/>
  <c r="AE198" i="47"/>
  <c r="AV198" i="47" s="1"/>
  <c r="AE102" i="47"/>
  <c r="AV102" i="47" s="1"/>
  <c r="AE41" i="47"/>
  <c r="AV41" i="47" s="1"/>
  <c r="AE213" i="47"/>
  <c r="AV213" i="47" s="1"/>
  <c r="AE145" i="47"/>
  <c r="AV145" i="47" s="1"/>
  <c r="AE215" i="47"/>
  <c r="AV215" i="47" s="1"/>
  <c r="AE256" i="47"/>
  <c r="AV256" i="47" s="1"/>
  <c r="AE85" i="47"/>
  <c r="AV85" i="47" s="1"/>
  <c r="AE142" i="47"/>
  <c r="AV142" i="47" s="1"/>
  <c r="AE153" i="47"/>
  <c r="AV153" i="47" s="1"/>
  <c r="AE151" i="47"/>
  <c r="AV151" i="47" s="1"/>
  <c r="AE200" i="47"/>
  <c r="AV200" i="47" s="1"/>
  <c r="AE251" i="47"/>
  <c r="AV251" i="47" s="1"/>
  <c r="AE168" i="47"/>
  <c r="AV168" i="47" s="1"/>
  <c r="AE263" i="47"/>
  <c r="AV263" i="47" s="1"/>
  <c r="AE239" i="47"/>
  <c r="AV239" i="47" s="1"/>
  <c r="AE57" i="47"/>
  <c r="AV57" i="47" s="1"/>
  <c r="AE180" i="47"/>
  <c r="AV180" i="47" s="1"/>
  <c r="AE108" i="47"/>
  <c r="AV108" i="47" s="1"/>
  <c r="AE192" i="47"/>
  <c r="AV192" i="47" s="1"/>
  <c r="AE230" i="47"/>
  <c r="AV230" i="47" s="1"/>
  <c r="AE72" i="47"/>
  <c r="AV72" i="47" s="1"/>
  <c r="AE259" i="47"/>
  <c r="AV259" i="47" s="1"/>
  <c r="AE257" i="47"/>
  <c r="AV257" i="47" s="1"/>
  <c r="AE172" i="47"/>
  <c r="AV172" i="47" s="1"/>
  <c r="AE206" i="47"/>
  <c r="AV206" i="47" s="1"/>
  <c r="AE44" i="47"/>
  <c r="AV44" i="47" s="1"/>
  <c r="AE177" i="47"/>
  <c r="AV177" i="47" s="1"/>
  <c r="AE49" i="47"/>
  <c r="AV49" i="47" s="1"/>
  <c r="AE174" i="47"/>
  <c r="AV174" i="47" s="1"/>
  <c r="AE306" i="47"/>
  <c r="AV306" i="47" s="1"/>
  <c r="AU10" i="47"/>
  <c r="AU9" i="47"/>
  <c r="AE94" i="47"/>
  <c r="AV94" i="47" s="1"/>
  <c r="AE182" i="47"/>
  <c r="AV182" i="47" s="1"/>
  <c r="AE171" i="47"/>
  <c r="AV171" i="47" s="1"/>
  <c r="AE42" i="47"/>
  <c r="AV42" i="47" s="1"/>
  <c r="AE304" i="47"/>
  <c r="AV304" i="47" s="1"/>
  <c r="AE265" i="47"/>
  <c r="AV265" i="47" s="1"/>
  <c r="AE87" i="47"/>
  <c r="AV87" i="47" s="1"/>
  <c r="AE60" i="47"/>
  <c r="AV60" i="47" s="1"/>
  <c r="AE50" i="47"/>
  <c r="AV50" i="47" s="1"/>
  <c r="AE30" i="47"/>
  <c r="AV30" i="47" s="1"/>
  <c r="AE235" i="47"/>
  <c r="AV235" i="47" s="1"/>
  <c r="AE173" i="47"/>
  <c r="AV173" i="47" s="1"/>
  <c r="AE154" i="47"/>
  <c r="AV154" i="47" s="1"/>
  <c r="AE273" i="47"/>
  <c r="AV273" i="47" s="1"/>
  <c r="AE81" i="47"/>
  <c r="AV81" i="47" s="1"/>
  <c r="AE227" i="47"/>
  <c r="AV227" i="47" s="1"/>
  <c r="AE269" i="47"/>
  <c r="AV269" i="47" s="1"/>
  <c r="AE158" i="47"/>
  <c r="AV158" i="47" s="1"/>
  <c r="AE258" i="47"/>
  <c r="AV258" i="47" s="1"/>
  <c r="AE211" i="47"/>
  <c r="AV211" i="47" s="1"/>
  <c r="AE97" i="47"/>
  <c r="AV97" i="47" s="1"/>
  <c r="AE242" i="47"/>
  <c r="AV242" i="47" s="1"/>
  <c r="AE120" i="47"/>
  <c r="AV120" i="47" s="1"/>
  <c r="AE146" i="47"/>
  <c r="AV146" i="47" s="1"/>
  <c r="AE299" i="47"/>
  <c r="AV299" i="47" s="1"/>
  <c r="AE236" i="47"/>
  <c r="AV236" i="47" s="1"/>
  <c r="AE135" i="47"/>
  <c r="AV135" i="47" s="1"/>
  <c r="AE196" i="47"/>
  <c r="AV196" i="47" s="1"/>
  <c r="AE68" i="47"/>
  <c r="AV68" i="47" s="1"/>
  <c r="AE179" i="47"/>
  <c r="AV179" i="47" s="1"/>
  <c r="AE283" i="47"/>
  <c r="AV283" i="47" s="1"/>
  <c r="AE261" i="47"/>
  <c r="AV261" i="47" s="1"/>
  <c r="AE185" i="47"/>
  <c r="AV185" i="47" s="1"/>
  <c r="AE266" i="47"/>
  <c r="AV266" i="47" s="1"/>
  <c r="AE297" i="47"/>
  <c r="AV297" i="47" s="1"/>
  <c r="AE275" i="47"/>
  <c r="AV275" i="47" s="1"/>
  <c r="AE37" i="47"/>
  <c r="AV37" i="47" s="1"/>
  <c r="AE221" i="47"/>
  <c r="AV221" i="47" s="1"/>
  <c r="AE232" i="47"/>
  <c r="AV232" i="47" s="1"/>
  <c r="AE178" i="47"/>
  <c r="AV178" i="47" s="1"/>
  <c r="AE124" i="47"/>
  <c r="AV124" i="47" s="1"/>
  <c r="AE111" i="47"/>
  <c r="AV111" i="47" s="1"/>
  <c r="AE252" i="47"/>
  <c r="AV252" i="47" s="1"/>
  <c r="AE290" i="47"/>
  <c r="AV290" i="47" s="1"/>
  <c r="AE122" i="47"/>
  <c r="AV122" i="47" s="1"/>
  <c r="AE62" i="47"/>
  <c r="AV62" i="47" s="1"/>
  <c r="AE284" i="47"/>
  <c r="AV284" i="47" s="1"/>
  <c r="AE243" i="47"/>
  <c r="AV243" i="47" s="1"/>
  <c r="AE160" i="47"/>
  <c r="AV160" i="47" s="1"/>
  <c r="AE139" i="47"/>
  <c r="AV139" i="47" s="1"/>
  <c r="AE162" i="47"/>
  <c r="AV162" i="47" s="1"/>
  <c r="AE84" i="47"/>
  <c r="AV84" i="47" s="1"/>
  <c r="AE132" i="47"/>
  <c r="AV132" i="47" s="1"/>
  <c r="AE32" i="47"/>
  <c r="AV32" i="47" s="1"/>
  <c r="AE149" i="47"/>
  <c r="AV149" i="47" s="1"/>
  <c r="AE216" i="47"/>
  <c r="AV216" i="47" s="1"/>
  <c r="AE267" i="47"/>
  <c r="AV267" i="47" s="1"/>
  <c r="AE98" i="47"/>
  <c r="AV98" i="47" s="1"/>
  <c r="AE218" i="47"/>
  <c r="AV218" i="47" s="1"/>
  <c r="AE212" i="47"/>
  <c r="AV212" i="47" s="1"/>
  <c r="AE208" i="47"/>
  <c r="AV208" i="47" s="1"/>
  <c r="AE288" i="47"/>
  <c r="AV288" i="47" s="1"/>
  <c r="AE18" i="47"/>
  <c r="AV18" i="47" s="1"/>
  <c r="AE285" i="47"/>
  <c r="AV285" i="47" s="1"/>
  <c r="K33" i="15"/>
  <c r="G28" i="60"/>
  <c r="G77" i="15" s="1"/>
  <c r="AE175" i="47"/>
  <c r="AV175" i="47" s="1"/>
  <c r="AE205" i="47"/>
  <c r="AV205" i="47" s="1"/>
  <c r="AE278" i="47"/>
  <c r="AV278" i="47" s="1"/>
  <c r="AE144" i="47"/>
  <c r="AV144" i="47" s="1"/>
  <c r="AE74" i="47"/>
  <c r="AV74" i="47" s="1"/>
  <c r="AE228" i="47"/>
  <c r="AV228" i="47" s="1"/>
  <c r="AE262" i="47"/>
  <c r="AV262" i="47" s="1"/>
  <c r="AE40" i="47"/>
  <c r="AV40" i="47" s="1"/>
  <c r="AE302" i="47"/>
  <c r="AV302" i="47" s="1"/>
  <c r="AE56" i="47"/>
  <c r="AV56" i="47" s="1"/>
  <c r="AE126" i="47"/>
  <c r="AV126" i="47" s="1"/>
  <c r="AE75" i="47"/>
  <c r="AV75" i="47" s="1"/>
  <c r="AE137" i="47"/>
  <c r="AV137" i="47" s="1"/>
  <c r="AE103" i="47"/>
  <c r="AV103" i="47" s="1"/>
  <c r="AE63" i="47"/>
  <c r="AV63" i="47" s="1"/>
  <c r="AE101" i="47"/>
  <c r="AV101" i="47" s="1"/>
  <c r="AE35" i="47"/>
  <c r="AV35" i="47" s="1"/>
  <c r="AE34" i="47"/>
  <c r="AV34" i="47" s="1"/>
  <c r="AE131" i="47"/>
  <c r="AV131" i="47" s="1"/>
  <c r="AE33" i="47"/>
  <c r="AV33" i="47" s="1"/>
  <c r="H80" i="66"/>
  <c r="AE129" i="47"/>
  <c r="AV129" i="47" s="1"/>
  <c r="AD85" i="66"/>
  <c r="AX85" i="66"/>
  <c r="AE70" i="47"/>
  <c r="AV70" i="47" s="1"/>
  <c r="AE115" i="47"/>
  <c r="AV115" i="47" s="1"/>
  <c r="AE204" i="47"/>
  <c r="AV204" i="47" s="1"/>
  <c r="AE272" i="47"/>
  <c r="AV272" i="47" s="1"/>
  <c r="AE260" i="47"/>
  <c r="AV260" i="47" s="1"/>
  <c r="AE76" i="47"/>
  <c r="AV76" i="47" s="1"/>
  <c r="AE117" i="47"/>
  <c r="AV117" i="47" s="1"/>
  <c r="AE39" i="47"/>
  <c r="AV39" i="47" s="1"/>
  <c r="AE193" i="47"/>
  <c r="AV193" i="47" s="1"/>
  <c r="AE300" i="47"/>
  <c r="AV300" i="47" s="1"/>
  <c r="AE130" i="47"/>
  <c r="AV130" i="47" s="1"/>
  <c r="AE164" i="47"/>
  <c r="AV164" i="47" s="1"/>
  <c r="AE78" i="47"/>
  <c r="AV78" i="47" s="1"/>
  <c r="AE59" i="47"/>
  <c r="AV59" i="47" s="1"/>
  <c r="AE202" i="47"/>
  <c r="AV202" i="47" s="1"/>
  <c r="AE254" i="47"/>
  <c r="AV254" i="47" s="1"/>
  <c r="AE240" i="47"/>
  <c r="AV240" i="47" s="1"/>
  <c r="AE110" i="47"/>
  <c r="AV110" i="47" s="1"/>
  <c r="AE223" i="47"/>
  <c r="AV223" i="47" s="1"/>
  <c r="AE291" i="47"/>
  <c r="AV291" i="47" s="1"/>
  <c r="AE45" i="47"/>
  <c r="AV45" i="47" s="1"/>
  <c r="AE58" i="47"/>
  <c r="AV58" i="47" s="1"/>
  <c r="AE150" i="47"/>
  <c r="AV150" i="47" s="1"/>
  <c r="AE128" i="47"/>
  <c r="AV128" i="47" s="1"/>
  <c r="AE189" i="47"/>
  <c r="AV189" i="47" s="1"/>
  <c r="AE91" i="47"/>
  <c r="AV91" i="47" s="1"/>
  <c r="AE289" i="47"/>
  <c r="AV289" i="47" s="1"/>
  <c r="AE89" i="47"/>
  <c r="AV89" i="47" s="1"/>
  <c r="AE73" i="47"/>
  <c r="AV73" i="47" s="1"/>
  <c r="AE152" i="47"/>
  <c r="AV152" i="47" s="1"/>
  <c r="AE246" i="47"/>
  <c r="AV246" i="47" s="1"/>
  <c r="AE296" i="47"/>
  <c r="AV296" i="47" s="1"/>
  <c r="AE83" i="47"/>
  <c r="AV83" i="47" s="1"/>
  <c r="AE104" i="47"/>
  <c r="AV104" i="47" s="1"/>
  <c r="AE96" i="47"/>
  <c r="AV96" i="47" s="1"/>
  <c r="AE46" i="47"/>
  <c r="AV46" i="47" s="1"/>
  <c r="AE268" i="47"/>
  <c r="AV268" i="47" s="1"/>
  <c r="AE231" i="47"/>
  <c r="AV231" i="47" s="1"/>
  <c r="AE20" i="47"/>
  <c r="AV20" i="47" s="1"/>
  <c r="AE194" i="47"/>
  <c r="AV194" i="47" s="1"/>
  <c r="AE79" i="47"/>
  <c r="AV79" i="47" s="1"/>
  <c r="AE106" i="47"/>
  <c r="AV106" i="47" s="1"/>
  <c r="AE19" i="47"/>
  <c r="AV19" i="47" s="1"/>
  <c r="AE99" i="47"/>
  <c r="AV99" i="47" s="1"/>
  <c r="AE54" i="47"/>
  <c r="AV54" i="47" s="1"/>
  <c r="AE234" i="47"/>
  <c r="AV234" i="47" s="1"/>
  <c r="AE277" i="47"/>
  <c r="AV277" i="47" s="1"/>
  <c r="AE197" i="47"/>
  <c r="AV197" i="47" s="1"/>
  <c r="AE90" i="47"/>
  <c r="AV90" i="47" s="1"/>
  <c r="AE114" i="47"/>
  <c r="AV114" i="47" s="1"/>
  <c r="AE303" i="47"/>
  <c r="AV303" i="47" s="1"/>
  <c r="AE282" i="47"/>
  <c r="AV282" i="47" s="1"/>
  <c r="AE188" i="47"/>
  <c r="AV188" i="47" s="1"/>
  <c r="AE156" i="47"/>
  <c r="AV156" i="47" s="1"/>
  <c r="AE250" i="47"/>
  <c r="AV250" i="47" s="1"/>
  <c r="AE249" i="47"/>
  <c r="AV249" i="47" s="1"/>
  <c r="AE295" i="47"/>
  <c r="AV295" i="47" s="1"/>
  <c r="AE199" i="47"/>
  <c r="AV199" i="47" s="1"/>
  <c r="AE264" i="47"/>
  <c r="AV264" i="47" s="1"/>
  <c r="AE159" i="47"/>
  <c r="AV159" i="47" s="1"/>
  <c r="AE25" i="47"/>
  <c r="AV25" i="47" s="1"/>
  <c r="AE229" i="47"/>
  <c r="AV229" i="47" s="1"/>
  <c r="AE169" i="47"/>
  <c r="AV169" i="47" s="1"/>
  <c r="AE165" i="47"/>
  <c r="AV165" i="47" s="1"/>
  <c r="AE281" i="47"/>
  <c r="AV281" i="47" s="1"/>
  <c r="AE67" i="47"/>
  <c r="AV67" i="47" s="1"/>
  <c r="AE65" i="47"/>
  <c r="AV65" i="47" s="1"/>
  <c r="AE280" i="47"/>
  <c r="AV280" i="47" s="1"/>
  <c r="AE287" i="47"/>
  <c r="AV287" i="47" s="1"/>
  <c r="AE66" i="47"/>
  <c r="AV66" i="47" s="1"/>
  <c r="AE22" i="47"/>
  <c r="AV22" i="47" s="1"/>
  <c r="H84" i="66"/>
  <c r="AE253" i="47"/>
  <c r="AV253" i="47" s="1"/>
  <c r="AY80" i="66" l="1"/>
  <c r="AE80" i="66"/>
  <c r="S80" i="66"/>
  <c r="AO80" i="66" s="1"/>
  <c r="AY79" i="66"/>
  <c r="AE79" i="66"/>
  <c r="S79" i="66"/>
  <c r="AO79" i="66" s="1"/>
  <c r="L33" i="15"/>
  <c r="AY83" i="66"/>
  <c r="AE83" i="66"/>
  <c r="S83" i="66"/>
  <c r="AO83" i="66" s="1"/>
  <c r="AY84" i="66"/>
  <c r="AE84" i="66"/>
  <c r="S84" i="66"/>
  <c r="AO84" i="66" s="1"/>
  <c r="AY81" i="66"/>
  <c r="AE81" i="66"/>
  <c r="S81" i="66"/>
  <c r="AO81" i="66" s="1"/>
  <c r="AE78" i="66"/>
  <c r="AY78" i="66"/>
  <c r="S78" i="66"/>
  <c r="AO78" i="66" s="1"/>
  <c r="L13" i="50" l="1"/>
  <c r="M13" i="50"/>
  <c r="J15" i="56"/>
  <c r="AR15" i="56" s="1"/>
  <c r="I15" i="57"/>
  <c r="I130" i="68" l="1"/>
  <c r="E8" i="66"/>
  <c r="I7" i="57"/>
  <c r="I115" i="68"/>
  <c r="E10" i="66"/>
  <c r="AR13" i="56"/>
  <c r="F153" i="66"/>
  <c r="N13" i="50"/>
  <c r="V24" i="60" s="1"/>
  <c r="K13" i="50"/>
  <c r="J15" i="57"/>
  <c r="J13" i="50"/>
  <c r="T24" i="60"/>
  <c r="U24" i="60"/>
  <c r="AB15" i="57"/>
  <c r="E9" i="66"/>
  <c r="I13" i="57"/>
  <c r="I22" i="68"/>
  <c r="I13" i="50"/>
  <c r="AB8" i="66" l="1"/>
  <c r="P8" i="66"/>
  <c r="AL8" i="66" s="1"/>
  <c r="C106" i="66"/>
  <c r="F8" i="66"/>
  <c r="J130" i="68"/>
  <c r="J7" i="57"/>
  <c r="J115" i="68"/>
  <c r="F10" i="66"/>
  <c r="P10" i="66"/>
  <c r="AL10" i="66" s="1"/>
  <c r="C108" i="66"/>
  <c r="AB10" i="66"/>
  <c r="J24" i="60"/>
  <c r="Q31" i="15" s="1"/>
  <c r="AC15" i="51"/>
  <c r="E94" i="66"/>
  <c r="I13" i="51"/>
  <c r="AB8" i="57"/>
  <c r="AB9" i="57"/>
  <c r="S24" i="60"/>
  <c r="AB9" i="66"/>
  <c r="C107" i="66"/>
  <c r="E12" i="66"/>
  <c r="P9" i="66"/>
  <c r="J13" i="57"/>
  <c r="AC15" i="57"/>
  <c r="F9" i="66"/>
  <c r="J22" i="68"/>
  <c r="I3" i="68"/>
  <c r="I9" i="68"/>
  <c r="I8" i="68"/>
  <c r="I2" i="68"/>
  <c r="I7" i="68"/>
  <c r="I4" i="68"/>
  <c r="I1" i="68"/>
  <c r="I10" i="68"/>
  <c r="I24" i="60"/>
  <c r="O31" i="15" s="1"/>
  <c r="Q24" i="60"/>
  <c r="I7" i="56"/>
  <c r="C114" i="66" s="1"/>
  <c r="AB15" i="56"/>
  <c r="I13" i="56"/>
  <c r="AB13" i="56" s="1"/>
  <c r="AB13" i="57"/>
  <c r="I20" i="68"/>
  <c r="Q19" i="60" s="1"/>
  <c r="H24" i="60"/>
  <c r="M31" i="15" s="1"/>
  <c r="R24" i="60"/>
  <c r="AC8" i="66" l="1"/>
  <c r="Q8" i="66"/>
  <c r="AM8" i="66" s="1"/>
  <c r="D106" i="66"/>
  <c r="AC10" i="66"/>
  <c r="Q10" i="66"/>
  <c r="AM10" i="66" s="1"/>
  <c r="D108" i="66"/>
  <c r="I11" i="68"/>
  <c r="J3" i="68"/>
  <c r="C123" i="66" s="1"/>
  <c r="J8" i="68"/>
  <c r="C128" i="66" s="1"/>
  <c r="J4" i="68"/>
  <c r="C124" i="66" s="1"/>
  <c r="J10" i="68"/>
  <c r="C130" i="66" s="1"/>
  <c r="J2" i="68"/>
  <c r="C122" i="66" s="1"/>
  <c r="J9" i="68"/>
  <c r="C129" i="66" s="1"/>
  <c r="J1" i="68"/>
  <c r="J7" i="68"/>
  <c r="AV94" i="66"/>
  <c r="P94" i="66"/>
  <c r="AL94" i="66" s="1"/>
  <c r="AB94" i="66"/>
  <c r="E97" i="66"/>
  <c r="I31" i="15"/>
  <c r="F24" i="60"/>
  <c r="R25" i="60"/>
  <c r="D107" i="66"/>
  <c r="AC9" i="66"/>
  <c r="Q9" i="66"/>
  <c r="F12" i="66"/>
  <c r="E19" i="60"/>
  <c r="G25" i="15" s="1"/>
  <c r="AC15" i="56"/>
  <c r="J7" i="56"/>
  <c r="D114" i="66" s="1"/>
  <c r="J13" i="56"/>
  <c r="AC13" i="56" s="1"/>
  <c r="AC8" i="57"/>
  <c r="AC9" i="57"/>
  <c r="AL9" i="66"/>
  <c r="G24" i="60"/>
  <c r="K31" i="15"/>
  <c r="Q32" i="60"/>
  <c r="AC13" i="51"/>
  <c r="J13" i="51"/>
  <c r="P153" i="66"/>
  <c r="E156" i="66"/>
  <c r="P156" i="66" s="1"/>
  <c r="E24" i="60"/>
  <c r="G31" i="15"/>
  <c r="Q25" i="60"/>
  <c r="I5" i="68"/>
  <c r="AC13" i="57"/>
  <c r="J20" i="68"/>
  <c r="R19" i="60" s="1"/>
  <c r="AB12" i="66"/>
  <c r="C110" i="66"/>
  <c r="P12" i="66"/>
  <c r="AD15" i="51"/>
  <c r="F94" i="66"/>
  <c r="I13" i="68" l="1"/>
  <c r="AL12" i="66"/>
  <c r="AD13" i="51"/>
  <c r="R32" i="60"/>
  <c r="F25" i="60"/>
  <c r="R30" i="60"/>
  <c r="F30" i="60" s="1"/>
  <c r="Q30" i="60"/>
  <c r="E30" i="60" s="1"/>
  <c r="E25" i="60"/>
  <c r="D110" i="66"/>
  <c r="AC12" i="66"/>
  <c r="Q12" i="66"/>
  <c r="AM12" i="66" s="1"/>
  <c r="AV97" i="66"/>
  <c r="P97" i="66"/>
  <c r="AL97" i="66" s="1"/>
  <c r="AB97" i="66"/>
  <c r="C127" i="66"/>
  <c r="J11" i="68"/>
  <c r="AW94" i="66"/>
  <c r="AC94" i="66"/>
  <c r="Q94" i="66"/>
  <c r="AM94" i="66" s="1"/>
  <c r="F97" i="66"/>
  <c r="F19" i="60"/>
  <c r="I25" i="15" s="1"/>
  <c r="G42" i="15"/>
  <c r="G32" i="15"/>
  <c r="G35" i="15" s="1"/>
  <c r="AM9" i="66"/>
  <c r="I42" i="15"/>
  <c r="I32" i="15"/>
  <c r="I35" i="15" s="1"/>
  <c r="C121" i="66"/>
  <c r="J5" i="68"/>
  <c r="C125" i="66" s="1"/>
  <c r="E32" i="60"/>
  <c r="G37" i="15" s="1"/>
  <c r="Q34" i="60"/>
  <c r="E34" i="60" s="1"/>
  <c r="Q153" i="66"/>
  <c r="F156" i="66"/>
  <c r="Q156" i="66" s="1"/>
  <c r="G39" i="15" l="1"/>
  <c r="H37" i="15"/>
  <c r="AC97" i="66"/>
  <c r="AW97" i="66"/>
  <c r="Q97" i="66"/>
  <c r="AM97" i="66" s="1"/>
  <c r="J13" i="68"/>
  <c r="C131" i="66"/>
  <c r="C133" i="66" s="1"/>
  <c r="F32" i="60"/>
  <c r="I37" i="15" s="1"/>
  <c r="R34" i="60"/>
  <c r="F34" i="60" s="1"/>
  <c r="I39" i="15" l="1"/>
  <c r="J37" i="15"/>
  <c r="AC301" i="42" l="1"/>
  <c r="K261" i="53"/>
  <c r="AC261" i="42"/>
  <c r="K240" i="53"/>
  <c r="AC240" i="42"/>
  <c r="AC253" i="42"/>
  <c r="AC241" i="42"/>
  <c r="K221" i="53"/>
  <c r="AD221" i="53" s="1"/>
  <c r="K191" i="53"/>
  <c r="AC171" i="42"/>
  <c r="AC153" i="42"/>
  <c r="AC133" i="42"/>
  <c r="K121" i="53"/>
  <c r="K113" i="53"/>
  <c r="K80" i="53"/>
  <c r="K81" i="53"/>
  <c r="K43" i="53"/>
  <c r="K23" i="53"/>
  <c r="K20" i="53"/>
  <c r="K116" i="53"/>
  <c r="K149" i="53"/>
  <c r="K256" i="53"/>
  <c r="AD256" i="53" s="1"/>
  <c r="AC116" i="42"/>
  <c r="AC57" i="42"/>
  <c r="K122" i="53"/>
  <c r="AD122" i="53" s="1"/>
  <c r="K187" i="53"/>
  <c r="AD187" i="53" s="1"/>
  <c r="AC175" i="42"/>
  <c r="K278" i="53"/>
  <c r="K185" i="53"/>
  <c r="K119" i="53"/>
  <c r="K119" i="54" s="1"/>
  <c r="K56" i="53"/>
  <c r="K106" i="53"/>
  <c r="K106" i="54" s="1"/>
  <c r="AC16" i="42"/>
  <c r="K249" i="53"/>
  <c r="AC286" i="42"/>
  <c r="K182" i="53"/>
  <c r="K182" i="54" s="1"/>
  <c r="K66" i="53"/>
  <c r="K277" i="53"/>
  <c r="AC292" i="42"/>
  <c r="AC138" i="42"/>
  <c r="K204" i="53"/>
  <c r="AD204" i="53" s="1"/>
  <c r="K257" i="53"/>
  <c r="K58" i="53"/>
  <c r="K58" i="54" s="1"/>
  <c r="AC195" i="42"/>
  <c r="K179" i="53"/>
  <c r="K39" i="53"/>
  <c r="AD39" i="53" s="1"/>
  <c r="K265" i="53"/>
  <c r="K265" i="54" s="1"/>
  <c r="K265" i="57" s="1"/>
  <c r="K94" i="53"/>
  <c r="K94" i="54" s="1"/>
  <c r="AD94" i="54" s="1"/>
  <c r="AX94" i="54" s="1"/>
  <c r="K236" i="53"/>
  <c r="K236" i="54" s="1"/>
  <c r="K236" i="65" s="1"/>
  <c r="AC159" i="42"/>
  <c r="K169" i="53"/>
  <c r="K199" i="53"/>
  <c r="AC238" i="42"/>
  <c r="AC198" i="42"/>
  <c r="K17" i="53"/>
  <c r="AC242" i="42"/>
  <c r="K55" i="53"/>
  <c r="K192" i="53"/>
  <c r="AC102" i="42"/>
  <c r="K147" i="53"/>
  <c r="AC24" i="42"/>
  <c r="K26" i="53"/>
  <c r="K84" i="53"/>
  <c r="K117" i="53"/>
  <c r="AC209" i="42"/>
  <c r="AC307" i="42"/>
  <c r="K212" i="53"/>
  <c r="K144" i="53"/>
  <c r="K134" i="53"/>
  <c r="K167" i="53"/>
  <c r="AC29" i="42"/>
  <c r="K207" i="53"/>
  <c r="K274" i="53"/>
  <c r="K152" i="53"/>
  <c r="K22" i="53"/>
  <c r="K227" i="53"/>
  <c r="K208" i="53"/>
  <c r="AC132" i="42"/>
  <c r="AC104" i="42"/>
  <c r="K219" i="53"/>
  <c r="K19" i="53"/>
  <c r="K295" i="53"/>
  <c r="AC174" i="42"/>
  <c r="K158" i="53"/>
  <c r="K141" i="53" l="1"/>
  <c r="AC141" i="42"/>
  <c r="K184" i="53"/>
  <c r="AC184" i="42"/>
  <c r="K197" i="53"/>
  <c r="AC197" i="42"/>
  <c r="K244" i="53"/>
  <c r="K244" i="54" s="1"/>
  <c r="BI244" i="54" s="1"/>
  <c r="AC244" i="42"/>
  <c r="K269" i="53"/>
  <c r="AC269" i="42"/>
  <c r="K196" i="53"/>
  <c r="AD196" i="53" s="1"/>
  <c r="AC196" i="42"/>
  <c r="K262" i="53"/>
  <c r="AD262" i="53" s="1"/>
  <c r="AC262" i="42"/>
  <c r="K96" i="53"/>
  <c r="AD96" i="53" s="1"/>
  <c r="AC96" i="42"/>
  <c r="K246" i="53"/>
  <c r="K246" i="54" s="1"/>
  <c r="AC246" i="42"/>
  <c r="K40" i="53"/>
  <c r="AC40" i="42"/>
  <c r="K263" i="53"/>
  <c r="AC263" i="42"/>
  <c r="K254" i="53"/>
  <c r="AC254" i="42"/>
  <c r="K294" i="53"/>
  <c r="K294" i="54" s="1"/>
  <c r="BI294" i="54" s="1"/>
  <c r="AC294" i="42"/>
  <c r="K165" i="53"/>
  <c r="AC165" i="42"/>
  <c r="AC35" i="42"/>
  <c r="K35" i="53"/>
  <c r="K135" i="53"/>
  <c r="AD135" i="53" s="1"/>
  <c r="AC135" i="42"/>
  <c r="AC127" i="42"/>
  <c r="K127" i="53"/>
  <c r="AD127" i="53" s="1"/>
  <c r="K97" i="53"/>
  <c r="AC97" i="42"/>
  <c r="K37" i="53"/>
  <c r="K37" i="54" s="1"/>
  <c r="K37" i="57" s="1"/>
  <c r="AC37" i="42"/>
  <c r="L341" i="42"/>
  <c r="K28" i="53"/>
  <c r="K28" i="54" s="1"/>
  <c r="K28" i="65" s="1"/>
  <c r="AC28" i="42"/>
  <c r="AC186" i="42"/>
  <c r="K186" i="53"/>
  <c r="AD186" i="53" s="1"/>
  <c r="K234" i="53"/>
  <c r="AC234" i="42"/>
  <c r="L328" i="42"/>
  <c r="K82" i="53"/>
  <c r="AD82" i="53" s="1"/>
  <c r="K59" i="53"/>
  <c r="K59" i="54" s="1"/>
  <c r="AC59" i="42"/>
  <c r="K172" i="53"/>
  <c r="AC172" i="42"/>
  <c r="K108" i="53"/>
  <c r="K108" i="54" s="1"/>
  <c r="AC108" i="42"/>
  <c r="K285" i="53"/>
  <c r="AD285" i="53" s="1"/>
  <c r="AC285" i="42"/>
  <c r="K276" i="53"/>
  <c r="AD276" i="53" s="1"/>
  <c r="AC276" i="42"/>
  <c r="AC289" i="42"/>
  <c r="K289" i="53"/>
  <c r="AD289" i="53" s="1"/>
  <c r="AC145" i="42"/>
  <c r="K145" i="53"/>
  <c r="K145" i="54" s="1"/>
  <c r="K178" i="53"/>
  <c r="AD178" i="53" s="1"/>
  <c r="AC178" i="42"/>
  <c r="K67" i="53"/>
  <c r="AD67" i="53" s="1"/>
  <c r="AC67" i="42"/>
  <c r="L353" i="42"/>
  <c r="AC22" i="42"/>
  <c r="AC274" i="42"/>
  <c r="AC26" i="42"/>
  <c r="AC55" i="42"/>
  <c r="AC256" i="42"/>
  <c r="AC149" i="42"/>
  <c r="K195" i="53"/>
  <c r="AD195" i="53" s="1"/>
  <c r="AD236" i="53"/>
  <c r="K270" i="53"/>
  <c r="AD182" i="53"/>
  <c r="AC219" i="42"/>
  <c r="AC212" i="42"/>
  <c r="AC66" i="42"/>
  <c r="AC106" i="42"/>
  <c r="AC122" i="42"/>
  <c r="AC43" i="42"/>
  <c r="K150" i="53"/>
  <c r="L354" i="42"/>
  <c r="L331" i="42"/>
  <c r="AC227" i="42"/>
  <c r="AC207" i="42"/>
  <c r="AC84" i="42"/>
  <c r="AC169" i="42"/>
  <c r="AC204" i="42"/>
  <c r="K16" i="53"/>
  <c r="K16" i="54" s="1"/>
  <c r="AD106" i="53"/>
  <c r="K159" i="53"/>
  <c r="AC20" i="42"/>
  <c r="AC131" i="42"/>
  <c r="K290" i="53"/>
  <c r="AD290" i="53" s="1"/>
  <c r="K301" i="53"/>
  <c r="AD301" i="53" s="1"/>
  <c r="AC19" i="42"/>
  <c r="AC144" i="42"/>
  <c r="AC39" i="42"/>
  <c r="AC179" i="42"/>
  <c r="AC278" i="42"/>
  <c r="K122" i="54"/>
  <c r="AD122" i="54" s="1"/>
  <c r="AX122" i="54" s="1"/>
  <c r="AC113" i="42"/>
  <c r="K52" i="53"/>
  <c r="AC52" i="42"/>
  <c r="L322" i="42"/>
  <c r="AC139" i="42"/>
  <c r="K139" i="53"/>
  <c r="AC248" i="42"/>
  <c r="K248" i="53"/>
  <c r="AD97" i="53"/>
  <c r="K97" i="54"/>
  <c r="AD167" i="53"/>
  <c r="K167" i="54"/>
  <c r="K147" i="54"/>
  <c r="AD147" i="53"/>
  <c r="AD277" i="53"/>
  <c r="K277" i="54"/>
  <c r="AD278" i="53"/>
  <c r="K278" i="54"/>
  <c r="K247" i="53"/>
  <c r="AC247" i="42"/>
  <c r="K129" i="53"/>
  <c r="AC129" i="42"/>
  <c r="L355" i="42"/>
  <c r="K88" i="53"/>
  <c r="AC88" i="42"/>
  <c r="L330" i="42"/>
  <c r="K295" i="54"/>
  <c r="AD295" i="53"/>
  <c r="AC154" i="42"/>
  <c r="K154" i="53"/>
  <c r="K79" i="53"/>
  <c r="AC79" i="42"/>
  <c r="K272" i="53"/>
  <c r="AC272" i="42"/>
  <c r="K22" i="54"/>
  <c r="AD22" i="53"/>
  <c r="K274" i="54"/>
  <c r="AD274" i="53"/>
  <c r="K134" i="54"/>
  <c r="AD134" i="53"/>
  <c r="K64" i="53"/>
  <c r="AC64" i="42"/>
  <c r="L327" i="42"/>
  <c r="AC188" i="42"/>
  <c r="L358" i="42"/>
  <c r="K188" i="53"/>
  <c r="K68" i="53"/>
  <c r="AC68" i="42"/>
  <c r="AD26" i="53"/>
  <c r="K26" i="54"/>
  <c r="K55" i="54"/>
  <c r="AD55" i="53"/>
  <c r="K42" i="53"/>
  <c r="AC42" i="42"/>
  <c r="L342" i="42"/>
  <c r="AC245" i="42"/>
  <c r="K245" i="53"/>
  <c r="K257" i="54"/>
  <c r="AD257" i="53"/>
  <c r="K275" i="53"/>
  <c r="AC275" i="42"/>
  <c r="G31" i="66"/>
  <c r="K48" i="53"/>
  <c r="AC48" i="42"/>
  <c r="AC109" i="42"/>
  <c r="K109" i="53"/>
  <c r="K112" i="53"/>
  <c r="AC112" i="42"/>
  <c r="K218" i="53"/>
  <c r="AC218" i="42"/>
  <c r="K149" i="54"/>
  <c r="AD149" i="53"/>
  <c r="AC206" i="42"/>
  <c r="K206" i="53"/>
  <c r="AC85" i="42"/>
  <c r="K85" i="53"/>
  <c r="K287" i="53"/>
  <c r="AC287" i="42"/>
  <c r="K105" i="53"/>
  <c r="AC105" i="42"/>
  <c r="K197" i="54"/>
  <c r="AD197" i="53"/>
  <c r="AD165" i="53"/>
  <c r="K165" i="54"/>
  <c r="AC128" i="42"/>
  <c r="K128" i="53"/>
  <c r="AD108" i="53"/>
  <c r="K252" i="53"/>
  <c r="AC252" i="42"/>
  <c r="K194" i="53"/>
  <c r="AC194" i="42"/>
  <c r="AC189" i="42"/>
  <c r="K189" i="53"/>
  <c r="K304" i="53"/>
  <c r="AC304" i="42"/>
  <c r="K208" i="54"/>
  <c r="AD208" i="53"/>
  <c r="K78" i="53"/>
  <c r="AC78" i="42"/>
  <c r="AD265" i="57"/>
  <c r="K157" i="53"/>
  <c r="AC157" i="42"/>
  <c r="K249" i="54"/>
  <c r="AD249" i="53"/>
  <c r="AC162" i="42"/>
  <c r="L325" i="42"/>
  <c r="K162" i="53"/>
  <c r="L350" i="42"/>
  <c r="AD185" i="53"/>
  <c r="K185" i="54"/>
  <c r="K87" i="53"/>
  <c r="AC87" i="42"/>
  <c r="AC282" i="42"/>
  <c r="K282" i="53"/>
  <c r="L329" i="42"/>
  <c r="AC137" i="42"/>
  <c r="K137" i="53"/>
  <c r="K219" i="54"/>
  <c r="AD219" i="53"/>
  <c r="K152" i="54"/>
  <c r="AD152" i="53"/>
  <c r="K228" i="53"/>
  <c r="AC228" i="42"/>
  <c r="K99" i="53"/>
  <c r="AC99" i="42"/>
  <c r="K124" i="53"/>
  <c r="AC124" i="42"/>
  <c r="K192" i="54"/>
  <c r="AD192" i="53"/>
  <c r="K45" i="53"/>
  <c r="AC45" i="42"/>
  <c r="AC76" i="42"/>
  <c r="K76" i="53"/>
  <c r="K172" i="54"/>
  <c r="AD172" i="53"/>
  <c r="K155" i="53"/>
  <c r="AC155" i="42"/>
  <c r="K226" i="53"/>
  <c r="AC226" i="42"/>
  <c r="L319" i="42"/>
  <c r="K142" i="53"/>
  <c r="AC142" i="42"/>
  <c r="AC65" i="42"/>
  <c r="K65" i="53"/>
  <c r="L347" i="42"/>
  <c r="AC44" i="42"/>
  <c r="K44" i="53"/>
  <c r="K235" i="53"/>
  <c r="AC235" i="42"/>
  <c r="AC166" i="42"/>
  <c r="K166" i="53"/>
  <c r="K145" i="65"/>
  <c r="K145" i="57"/>
  <c r="BI145" i="54"/>
  <c r="AD145" i="54"/>
  <c r="AX145" i="54" s="1"/>
  <c r="K46" i="53"/>
  <c r="AC46" i="42"/>
  <c r="K225" i="53"/>
  <c r="AC225" i="42"/>
  <c r="BI16" i="54"/>
  <c r="K16" i="57"/>
  <c r="K16" i="65"/>
  <c r="AD16" i="54"/>
  <c r="AX16" i="54" s="1"/>
  <c r="K19" i="54"/>
  <c r="AD19" i="53"/>
  <c r="AD117" i="53"/>
  <c r="K117" i="54"/>
  <c r="K179" i="54"/>
  <c r="AD179" i="53"/>
  <c r="K306" i="53"/>
  <c r="AC306" i="42"/>
  <c r="K118" i="53"/>
  <c r="AC118" i="42"/>
  <c r="AC255" i="42"/>
  <c r="K255" i="53"/>
  <c r="K158" i="54"/>
  <c r="AD158" i="53"/>
  <c r="AD227" i="53"/>
  <c r="K227" i="54"/>
  <c r="K114" i="53"/>
  <c r="AC114" i="42"/>
  <c r="AD207" i="53"/>
  <c r="K207" i="54"/>
  <c r="K84" i="54"/>
  <c r="AD84" i="53"/>
  <c r="K284" i="53"/>
  <c r="AC284" i="42"/>
  <c r="K232" i="53"/>
  <c r="AC232" i="42"/>
  <c r="K17" i="54"/>
  <c r="AD17" i="53"/>
  <c r="K169" i="54"/>
  <c r="AD169" i="53"/>
  <c r="AC115" i="42"/>
  <c r="K115" i="53"/>
  <c r="K98" i="53"/>
  <c r="AC98" i="42"/>
  <c r="K302" i="53"/>
  <c r="AC302" i="42"/>
  <c r="K222" i="53"/>
  <c r="AC222" i="42"/>
  <c r="K288" i="53"/>
  <c r="AC288" i="42"/>
  <c r="AC72" i="42"/>
  <c r="K72" i="53"/>
  <c r="K216" i="53"/>
  <c r="AC216" i="42"/>
  <c r="AC156" i="42"/>
  <c r="K156" i="53"/>
  <c r="AC86" i="42"/>
  <c r="K86" i="53"/>
  <c r="K268" i="53"/>
  <c r="AC268" i="42"/>
  <c r="K177" i="53"/>
  <c r="AC177" i="42"/>
  <c r="K144" i="54"/>
  <c r="AD144" i="53"/>
  <c r="L318" i="42"/>
  <c r="K75" i="53"/>
  <c r="AC75" i="42"/>
  <c r="K36" i="53"/>
  <c r="AC36" i="42"/>
  <c r="L344" i="42"/>
  <c r="AC259" i="42"/>
  <c r="K259" i="53"/>
  <c r="AD56" i="53"/>
  <c r="K56" i="54"/>
  <c r="L320" i="42"/>
  <c r="K38" i="53"/>
  <c r="AC38" i="42"/>
  <c r="K254" i="54"/>
  <c r="AD254" i="53"/>
  <c r="K298" i="53"/>
  <c r="AC298" i="42"/>
  <c r="AD184" i="53"/>
  <c r="K184" i="54"/>
  <c r="K49" i="53"/>
  <c r="AC49" i="42"/>
  <c r="K279" i="53"/>
  <c r="AC279" i="42"/>
  <c r="AC217" i="42"/>
  <c r="K217" i="53"/>
  <c r="AC148" i="42"/>
  <c r="K148" i="53"/>
  <c r="K146" i="53"/>
  <c r="AC146" i="42"/>
  <c r="K107" i="53"/>
  <c r="AC107" i="42"/>
  <c r="L356" i="42"/>
  <c r="K168" i="53"/>
  <c r="AC168" i="42"/>
  <c r="AC299" i="42"/>
  <c r="K299" i="53"/>
  <c r="AC296" i="42"/>
  <c r="K296" i="53"/>
  <c r="K269" i="54"/>
  <c r="AD269" i="53"/>
  <c r="K234" i="54"/>
  <c r="AD234" i="53"/>
  <c r="K119" i="65"/>
  <c r="K119" i="57"/>
  <c r="K212" i="54"/>
  <c r="AD212" i="53"/>
  <c r="AD66" i="53"/>
  <c r="K66" i="54"/>
  <c r="G35" i="66"/>
  <c r="BI106" i="54"/>
  <c r="K106" i="65"/>
  <c r="K106" i="57"/>
  <c r="K246" i="57"/>
  <c r="BI246" i="54"/>
  <c r="AD246" i="54"/>
  <c r="AX246" i="54" s="1"/>
  <c r="K29" i="53"/>
  <c r="L352" i="42"/>
  <c r="K69" i="53"/>
  <c r="K239" i="53"/>
  <c r="K242" i="53"/>
  <c r="AD246" i="53"/>
  <c r="K204" i="54"/>
  <c r="K20" i="54"/>
  <c r="AD20" i="53"/>
  <c r="AD23" i="53"/>
  <c r="K23" i="54"/>
  <c r="K58" i="65"/>
  <c r="AD58" i="54"/>
  <c r="AX58" i="54" s="1"/>
  <c r="K58" i="57"/>
  <c r="BI58" i="54"/>
  <c r="K264" i="53"/>
  <c r="L326" i="42"/>
  <c r="AC53" i="42"/>
  <c r="L351" i="42"/>
  <c r="K53" i="53"/>
  <c r="AC295" i="42"/>
  <c r="AC125" i="42"/>
  <c r="AC208" i="42"/>
  <c r="AC205" i="42"/>
  <c r="AC152" i="42"/>
  <c r="AC134" i="42"/>
  <c r="AC27" i="42"/>
  <c r="AC117" i="42"/>
  <c r="AC224" i="42"/>
  <c r="AC192" i="42"/>
  <c r="AC34" i="42"/>
  <c r="AC32" i="42"/>
  <c r="AC199" i="42"/>
  <c r="AC18" i="42"/>
  <c r="AC297" i="42"/>
  <c r="AC265" i="42"/>
  <c r="L324" i="42"/>
  <c r="AC257" i="42"/>
  <c r="AC277" i="42"/>
  <c r="AC92" i="42"/>
  <c r="AC249" i="42"/>
  <c r="AC176" i="42"/>
  <c r="AC185" i="42"/>
  <c r="AC214" i="42"/>
  <c r="K209" i="53"/>
  <c r="AC187" i="42"/>
  <c r="K25" i="53"/>
  <c r="K104" i="53"/>
  <c r="K266" i="53"/>
  <c r="K32" i="53"/>
  <c r="AD94" i="53"/>
  <c r="K132" i="53"/>
  <c r="K39" i="54"/>
  <c r="K196" i="54"/>
  <c r="K187" i="54"/>
  <c r="K102" i="53"/>
  <c r="K246" i="65"/>
  <c r="K159" i="54"/>
  <c r="AD159" i="53"/>
  <c r="AD236" i="65"/>
  <c r="K236" i="56"/>
  <c r="AD265" i="54"/>
  <c r="AX265" i="54" s="1"/>
  <c r="BI265" i="54"/>
  <c r="K265" i="65"/>
  <c r="K307" i="53"/>
  <c r="L332" i="42"/>
  <c r="K292" i="53"/>
  <c r="K138" i="53"/>
  <c r="K34" i="53"/>
  <c r="K15" i="53"/>
  <c r="AD58" i="53"/>
  <c r="AD265" i="53"/>
  <c r="K127" i="54"/>
  <c r="K135" i="54"/>
  <c r="AD106" i="54"/>
  <c r="AX106" i="54" s="1"/>
  <c r="K41" i="53"/>
  <c r="AC41" i="42"/>
  <c r="BI94" i="54"/>
  <c r="K94" i="57"/>
  <c r="K94" i="65"/>
  <c r="K256" i="54"/>
  <c r="AD119" i="54"/>
  <c r="AX119" i="54" s="1"/>
  <c r="K199" i="54"/>
  <c r="AD199" i="53"/>
  <c r="L317" i="42"/>
  <c r="L13" i="42"/>
  <c r="AC158" i="42"/>
  <c r="AC215" i="42"/>
  <c r="AC82" i="42"/>
  <c r="AC237" i="42"/>
  <c r="AC77" i="42"/>
  <c r="AC147" i="42"/>
  <c r="L333" i="42"/>
  <c r="AC236" i="42"/>
  <c r="AC62" i="42"/>
  <c r="L345" i="42"/>
  <c r="AC229" i="42"/>
  <c r="AD294" i="53"/>
  <c r="AC182" i="42"/>
  <c r="L357" i="42"/>
  <c r="AC89" i="42"/>
  <c r="AC56" i="42"/>
  <c r="AC136" i="42"/>
  <c r="AC305" i="42"/>
  <c r="K54" i="53"/>
  <c r="K175" i="53"/>
  <c r="AD16" i="53"/>
  <c r="K18" i="53"/>
  <c r="AD244" i="53"/>
  <c r="L334" i="42"/>
  <c r="AC23" i="42"/>
  <c r="G33" i="66"/>
  <c r="AD236" i="54"/>
  <c r="AX236" i="54" s="1"/>
  <c r="K236" i="57"/>
  <c r="BI236" i="54"/>
  <c r="K198" i="53"/>
  <c r="K285" i="54"/>
  <c r="K126" i="53"/>
  <c r="L359" i="42"/>
  <c r="K33" i="53"/>
  <c r="G32" i="66"/>
  <c r="AC33" i="42"/>
  <c r="L323" i="42"/>
  <c r="L348" i="42"/>
  <c r="K31" i="53"/>
  <c r="AC31" i="42"/>
  <c r="K202" i="53"/>
  <c r="K182" i="57"/>
  <c r="BI182" i="54"/>
  <c r="K182" i="65"/>
  <c r="AD182" i="54"/>
  <c r="AX182" i="54" s="1"/>
  <c r="AD119" i="53"/>
  <c r="K238" i="53"/>
  <c r="AC15" i="42"/>
  <c r="G36" i="66"/>
  <c r="G30" i="66"/>
  <c r="K95" i="53"/>
  <c r="K82" i="54"/>
  <c r="K286" i="53"/>
  <c r="K174" i="53"/>
  <c r="K24" i="53"/>
  <c r="K186" i="54"/>
  <c r="AD294" i="54"/>
  <c r="AX294" i="54" s="1"/>
  <c r="K294" i="57"/>
  <c r="K294" i="65"/>
  <c r="K164" i="53"/>
  <c r="G34" i="66"/>
  <c r="K116" i="54"/>
  <c r="AD116" i="53"/>
  <c r="AC167" i="42"/>
  <c r="AC258" i="42"/>
  <c r="AC47" i="42"/>
  <c r="AC17" i="42"/>
  <c r="AC94" i="42"/>
  <c r="L349" i="42"/>
  <c r="AC58" i="42"/>
  <c r="AC267" i="42"/>
  <c r="AC119" i="42"/>
  <c r="AC74" i="42"/>
  <c r="AD145" i="53"/>
  <c r="K57" i="53"/>
  <c r="K195" i="54"/>
  <c r="K262" i="54"/>
  <c r="BI119" i="54"/>
  <c r="K43" i="54"/>
  <c r="AD43" i="53"/>
  <c r="AC30" i="42"/>
  <c r="K70" i="53"/>
  <c r="AC70" i="42"/>
  <c r="K63" i="53"/>
  <c r="AC63" i="42"/>
  <c r="K83" i="53"/>
  <c r="AC83" i="42"/>
  <c r="L346" i="42"/>
  <c r="L343" i="42"/>
  <c r="AC21" i="42"/>
  <c r="AC73" i="42"/>
  <c r="K73" i="53"/>
  <c r="L321" i="42"/>
  <c r="AC51" i="42"/>
  <c r="K51" i="53"/>
  <c r="K93" i="53"/>
  <c r="AC93" i="42"/>
  <c r="AC50" i="42"/>
  <c r="AC60" i="42"/>
  <c r="AC71" i="42"/>
  <c r="K71" i="53"/>
  <c r="AC61" i="42"/>
  <c r="K81" i="54"/>
  <c r="AD81" i="53"/>
  <c r="K80" i="54"/>
  <c r="AD80" i="53"/>
  <c r="K91" i="53"/>
  <c r="AC91" i="42"/>
  <c r="K103" i="53"/>
  <c r="AC103" i="42"/>
  <c r="K90" i="53"/>
  <c r="AC90" i="42"/>
  <c r="AC81" i="42"/>
  <c r="AC80" i="42"/>
  <c r="K100" i="53"/>
  <c r="AC100" i="42"/>
  <c r="K113" i="54"/>
  <c r="AD113" i="53"/>
  <c r="K101" i="53"/>
  <c r="AC101" i="42"/>
  <c r="K110" i="53"/>
  <c r="AC110" i="42"/>
  <c r="K111" i="53"/>
  <c r="AC111" i="42"/>
  <c r="AC121" i="42"/>
  <c r="K120" i="53"/>
  <c r="AC120" i="42"/>
  <c r="AC163" i="42"/>
  <c r="K163" i="53"/>
  <c r="K121" i="54"/>
  <c r="AD121" i="53"/>
  <c r="AC161" i="42"/>
  <c r="K161" i="53"/>
  <c r="K270" i="54"/>
  <c r="AD270" i="53"/>
  <c r="K201" i="53"/>
  <c r="AC201" i="42"/>
  <c r="AC123" i="42"/>
  <c r="AD150" i="53"/>
  <c r="K150" i="54"/>
  <c r="K223" i="53"/>
  <c r="AC223" i="42"/>
  <c r="K151" i="53"/>
  <c r="AC151" i="42"/>
  <c r="K160" i="53"/>
  <c r="AC160" i="42"/>
  <c r="AC130" i="42"/>
  <c r="K130" i="53"/>
  <c r="AC251" i="42"/>
  <c r="K251" i="53"/>
  <c r="K140" i="53"/>
  <c r="K193" i="53"/>
  <c r="AC193" i="42"/>
  <c r="AC190" i="42"/>
  <c r="K213" i="53"/>
  <c r="AC213" i="42"/>
  <c r="K143" i="53"/>
  <c r="AC143" i="42"/>
  <c r="K183" i="53"/>
  <c r="AC181" i="42"/>
  <c r="K181" i="53"/>
  <c r="K203" i="53"/>
  <c r="K141" i="54"/>
  <c r="AD141" i="53"/>
  <c r="K173" i="53"/>
  <c r="AC173" i="42"/>
  <c r="AC170" i="42"/>
  <c r="K170" i="53"/>
  <c r="AC191" i="42"/>
  <c r="AC220" i="42"/>
  <c r="K220" i="53"/>
  <c r="K191" i="54"/>
  <c r="AD191" i="53"/>
  <c r="AC200" i="42"/>
  <c r="K210" i="53"/>
  <c r="AC210" i="42"/>
  <c r="K240" i="54"/>
  <c r="AD240" i="53"/>
  <c r="K231" i="53"/>
  <c r="AC231" i="42"/>
  <c r="K263" i="54"/>
  <c r="AD263" i="53"/>
  <c r="K253" i="53"/>
  <c r="AC303" i="42"/>
  <c r="K303" i="53"/>
  <c r="K233" i="53"/>
  <c r="AC233" i="42"/>
  <c r="AD261" i="53"/>
  <c r="K261" i="54"/>
  <c r="AC180" i="42"/>
  <c r="K221" i="54"/>
  <c r="K260" i="53"/>
  <c r="AC260" i="42"/>
  <c r="K293" i="53"/>
  <c r="AC293" i="42"/>
  <c r="K300" i="53"/>
  <c r="AC300" i="42"/>
  <c r="AC211" i="42"/>
  <c r="AC250" i="42"/>
  <c r="K280" i="53"/>
  <c r="AC280" i="42"/>
  <c r="K281" i="53"/>
  <c r="K301" i="54"/>
  <c r="K243" i="53"/>
  <c r="AC243" i="42"/>
  <c r="K230" i="53"/>
  <c r="AC230" i="42"/>
  <c r="AC273" i="42"/>
  <c r="K273" i="53"/>
  <c r="AC283" i="42"/>
  <c r="AC271" i="42"/>
  <c r="K291" i="53"/>
  <c r="K67" i="54" l="1"/>
  <c r="AD28" i="53"/>
  <c r="BI28" i="54"/>
  <c r="AD59" i="53"/>
  <c r="K28" i="57"/>
  <c r="AD28" i="54"/>
  <c r="AX28" i="54" s="1"/>
  <c r="K276" i="54"/>
  <c r="K178" i="54"/>
  <c r="K178" i="65" s="1"/>
  <c r="AW2" i="70"/>
  <c r="K96" i="54"/>
  <c r="AD244" i="54"/>
  <c r="AX244" i="54" s="1"/>
  <c r="BI37" i="54"/>
  <c r="K244" i="65"/>
  <c r="K289" i="54"/>
  <c r="BI122" i="54"/>
  <c r="K244" i="57"/>
  <c r="AD244" i="57" s="1"/>
  <c r="K122" i="57"/>
  <c r="K290" i="54"/>
  <c r="K122" i="65"/>
  <c r="K122" i="56" s="1"/>
  <c r="AD37" i="53"/>
  <c r="K35" i="54"/>
  <c r="AD35" i="53"/>
  <c r="K37" i="65"/>
  <c r="AD37" i="54"/>
  <c r="AX37" i="54" s="1"/>
  <c r="K40" i="54"/>
  <c r="AD40" i="53"/>
  <c r="L336" i="42"/>
  <c r="K25" i="54"/>
  <c r="AD25" i="53"/>
  <c r="AD58" i="65"/>
  <c r="K58" i="56"/>
  <c r="BI192" i="54"/>
  <c r="K192" i="57"/>
  <c r="K192" i="65"/>
  <c r="AD192" i="54"/>
  <c r="AX192" i="54" s="1"/>
  <c r="K78" i="54"/>
  <c r="AD78" i="53"/>
  <c r="K105" i="54"/>
  <c r="AD105" i="53"/>
  <c r="AD287" i="53"/>
  <c r="K287" i="54"/>
  <c r="K274" i="57"/>
  <c r="BI274" i="54"/>
  <c r="AD274" i="54"/>
  <c r="AX274" i="54" s="1"/>
  <c r="K274" i="65"/>
  <c r="AD129" i="53"/>
  <c r="K129" i="54"/>
  <c r="AD243" i="53"/>
  <c r="K243" i="54"/>
  <c r="K260" i="54"/>
  <c r="AD260" i="53"/>
  <c r="AD173" i="53"/>
  <c r="K173" i="54"/>
  <c r="AD213" i="53"/>
  <c r="K213" i="54"/>
  <c r="K251" i="54"/>
  <c r="AD251" i="53"/>
  <c r="BI270" i="54"/>
  <c r="K270" i="57"/>
  <c r="K270" i="65"/>
  <c r="AD270" i="54"/>
  <c r="AX270" i="54" s="1"/>
  <c r="AD121" i="54"/>
  <c r="AX121" i="54" s="1"/>
  <c r="K121" i="65"/>
  <c r="K121" i="57"/>
  <c r="BI121" i="54"/>
  <c r="K110" i="54"/>
  <c r="AD110" i="53"/>
  <c r="K80" i="65"/>
  <c r="K80" i="57"/>
  <c r="AD80" i="54"/>
  <c r="AX80" i="54" s="1"/>
  <c r="BI80" i="54"/>
  <c r="K83" i="54"/>
  <c r="AD83" i="53"/>
  <c r="K294" i="56"/>
  <c r="AD294" i="65"/>
  <c r="K95" i="54"/>
  <c r="AD95" i="53"/>
  <c r="AD126" i="53"/>
  <c r="K126" i="54"/>
  <c r="K18" i="54"/>
  <c r="AD18" i="53"/>
  <c r="AD41" i="53"/>
  <c r="K41" i="54"/>
  <c r="AD15" i="53"/>
  <c r="K15" i="54"/>
  <c r="K23" i="65"/>
  <c r="AD23" i="54"/>
  <c r="AX23" i="54" s="1"/>
  <c r="BI23" i="54"/>
  <c r="K23" i="57"/>
  <c r="K239" i="54"/>
  <c r="AD239" i="53"/>
  <c r="AD106" i="65"/>
  <c r="K106" i="56"/>
  <c r="AD28" i="65"/>
  <c r="K28" i="56"/>
  <c r="K234" i="57"/>
  <c r="K234" i="65"/>
  <c r="AD234" i="54"/>
  <c r="AX234" i="54" s="1"/>
  <c r="BI234" i="54"/>
  <c r="AD168" i="53"/>
  <c r="K168" i="54"/>
  <c r="K217" i="54"/>
  <c r="AD217" i="53"/>
  <c r="K184" i="65"/>
  <c r="BI184" i="54"/>
  <c r="K184" i="57"/>
  <c r="AD184" i="54"/>
  <c r="AX184" i="54" s="1"/>
  <c r="AD268" i="53"/>
  <c r="K268" i="54"/>
  <c r="K98" i="54"/>
  <c r="AD98" i="53"/>
  <c r="K232" i="54"/>
  <c r="AD232" i="53"/>
  <c r="AD114" i="53"/>
  <c r="K114" i="54"/>
  <c r="K118" i="54"/>
  <c r="AD118" i="53"/>
  <c r="K19" i="65"/>
  <c r="K19" i="57"/>
  <c r="AD19" i="54"/>
  <c r="AX19" i="54" s="1"/>
  <c r="BI19" i="54"/>
  <c r="K142" i="54"/>
  <c r="AD142" i="53"/>
  <c r="AD87" i="53"/>
  <c r="K87" i="54"/>
  <c r="K249" i="57"/>
  <c r="AD249" i="54"/>
  <c r="AX249" i="54" s="1"/>
  <c r="BI249" i="54"/>
  <c r="K249" i="65"/>
  <c r="AD128" i="53"/>
  <c r="K128" i="54"/>
  <c r="K85" i="54"/>
  <c r="AD85" i="53"/>
  <c r="K275" i="54"/>
  <c r="AD275" i="53"/>
  <c r="AD248" i="53"/>
  <c r="K248" i="54"/>
  <c r="K240" i="57"/>
  <c r="AD240" i="54"/>
  <c r="AX240" i="54" s="1"/>
  <c r="K240" i="65"/>
  <c r="BI240" i="54"/>
  <c r="K43" i="65"/>
  <c r="AD43" i="54"/>
  <c r="AX43" i="54" s="1"/>
  <c r="K43" i="57"/>
  <c r="BI43" i="54"/>
  <c r="AD37" i="57"/>
  <c r="AD196" i="54"/>
  <c r="AX196" i="54" s="1"/>
  <c r="K196" i="57"/>
  <c r="K196" i="65"/>
  <c r="BI196" i="54"/>
  <c r="AD106" i="57"/>
  <c r="K49" i="54"/>
  <c r="AD49" i="53"/>
  <c r="AD225" i="53"/>
  <c r="K225" i="54"/>
  <c r="AD152" i="54"/>
  <c r="AX152" i="54" s="1"/>
  <c r="K152" i="65"/>
  <c r="K152" i="57"/>
  <c r="BI152" i="54"/>
  <c r="BI301" i="54"/>
  <c r="K301" i="65"/>
  <c r="K301" i="57"/>
  <c r="AD301" i="54"/>
  <c r="AX301" i="54" s="1"/>
  <c r="K191" i="65"/>
  <c r="AD191" i="54"/>
  <c r="AX191" i="54" s="1"/>
  <c r="BI191" i="54"/>
  <c r="K191" i="57"/>
  <c r="K203" i="54"/>
  <c r="AD203" i="53"/>
  <c r="K120" i="54"/>
  <c r="AD120" i="53"/>
  <c r="K71" i="54"/>
  <c r="AD71" i="53"/>
  <c r="K51" i="54"/>
  <c r="AD51" i="53"/>
  <c r="AD294" i="57"/>
  <c r="K67" i="57"/>
  <c r="BI67" i="54"/>
  <c r="K67" i="65"/>
  <c r="AD67" i="54"/>
  <c r="AX67" i="54" s="1"/>
  <c r="AX30" i="66"/>
  <c r="R30" i="66"/>
  <c r="AN30" i="66" s="1"/>
  <c r="AD30" i="66"/>
  <c r="AD182" i="57"/>
  <c r="R33" i="66"/>
  <c r="AN33" i="66" s="1"/>
  <c r="AX33" i="66"/>
  <c r="AD33" i="66"/>
  <c r="AD199" i="54"/>
  <c r="AX199" i="54" s="1"/>
  <c r="K199" i="57"/>
  <c r="K199" i="65"/>
  <c r="BI199" i="54"/>
  <c r="K39" i="57"/>
  <c r="AD39" i="54"/>
  <c r="AX39" i="54" s="1"/>
  <c r="K39" i="65"/>
  <c r="BI39" i="54"/>
  <c r="K209" i="54"/>
  <c r="AD209" i="53"/>
  <c r="AD69" i="53"/>
  <c r="K69" i="54"/>
  <c r="BI56" i="54"/>
  <c r="K56" i="65"/>
  <c r="AD56" i="54"/>
  <c r="AX56" i="54" s="1"/>
  <c r="K56" i="57"/>
  <c r="K75" i="54"/>
  <c r="AD75" i="53"/>
  <c r="K86" i="54"/>
  <c r="AD86" i="53"/>
  <c r="K115" i="54"/>
  <c r="AD115" i="53"/>
  <c r="K227" i="65"/>
  <c r="AD227" i="54"/>
  <c r="AX227" i="54" s="1"/>
  <c r="K227" i="57"/>
  <c r="BI227" i="54"/>
  <c r="AD46" i="53"/>
  <c r="K46" i="54"/>
  <c r="K172" i="65"/>
  <c r="AD172" i="54"/>
  <c r="AX172" i="54" s="1"/>
  <c r="BI172" i="54"/>
  <c r="K172" i="57"/>
  <c r="AD124" i="53"/>
  <c r="K124" i="54"/>
  <c r="AD219" i="54"/>
  <c r="AX219" i="54" s="1"/>
  <c r="K219" i="57"/>
  <c r="K219" i="65"/>
  <c r="BI219" i="54"/>
  <c r="K185" i="65"/>
  <c r="K185" i="57"/>
  <c r="AD185" i="54"/>
  <c r="AX185" i="54" s="1"/>
  <c r="BI185" i="54"/>
  <c r="K208" i="65"/>
  <c r="K208" i="57"/>
  <c r="AD208" i="54"/>
  <c r="AX208" i="54" s="1"/>
  <c r="BI208" i="54"/>
  <c r="AD194" i="53"/>
  <c r="K194" i="54"/>
  <c r="AD112" i="53"/>
  <c r="K112" i="54"/>
  <c r="K55" i="57"/>
  <c r="BI55" i="54"/>
  <c r="K55" i="65"/>
  <c r="AD55" i="54"/>
  <c r="AX55" i="54" s="1"/>
  <c r="BI22" i="54"/>
  <c r="AD22" i="54"/>
  <c r="AX22" i="54" s="1"/>
  <c r="K22" i="65"/>
  <c r="K22" i="57"/>
  <c r="K295" i="57"/>
  <c r="K295" i="65"/>
  <c r="BI295" i="54"/>
  <c r="AD295" i="54"/>
  <c r="AX295" i="54" s="1"/>
  <c r="AD247" i="53"/>
  <c r="K247" i="54"/>
  <c r="AD147" i="54"/>
  <c r="AX147" i="54" s="1"/>
  <c r="K147" i="57"/>
  <c r="K147" i="65"/>
  <c r="BI147" i="54"/>
  <c r="K244" i="56"/>
  <c r="AD244" i="65"/>
  <c r="AD53" i="53"/>
  <c r="K53" i="54"/>
  <c r="K36" i="54"/>
  <c r="AD36" i="53"/>
  <c r="AX36" i="66"/>
  <c r="AD36" i="66"/>
  <c r="R36" i="66"/>
  <c r="AN36" i="66" s="1"/>
  <c r="AD202" i="53"/>
  <c r="K202" i="54"/>
  <c r="AD285" i="54"/>
  <c r="AX285" i="54" s="1"/>
  <c r="K285" i="57"/>
  <c r="K285" i="65"/>
  <c r="BI285" i="54"/>
  <c r="K135" i="57"/>
  <c r="BI135" i="54"/>
  <c r="K135" i="65"/>
  <c r="AD135" i="54"/>
  <c r="AX135" i="54" s="1"/>
  <c r="R35" i="66"/>
  <c r="AN35" i="66" s="1"/>
  <c r="AD35" i="66"/>
  <c r="AX35" i="66"/>
  <c r="K269" i="65"/>
  <c r="K269" i="57"/>
  <c r="BI269" i="54"/>
  <c r="AD269" i="54"/>
  <c r="AX269" i="54" s="1"/>
  <c r="K288" i="54"/>
  <c r="AD288" i="53"/>
  <c r="K284" i="54"/>
  <c r="AD284" i="53"/>
  <c r="K306" i="54"/>
  <c r="AD306" i="53"/>
  <c r="K16" i="56"/>
  <c r="AD16" i="65"/>
  <c r="AD44" i="53"/>
  <c r="K44" i="54"/>
  <c r="K76" i="54"/>
  <c r="AD76" i="53"/>
  <c r="K137" i="54"/>
  <c r="AD137" i="53"/>
  <c r="AD157" i="53"/>
  <c r="K157" i="54"/>
  <c r="K165" i="57"/>
  <c r="K165" i="65"/>
  <c r="AD165" i="54"/>
  <c r="AX165" i="54" s="1"/>
  <c r="BI165" i="54"/>
  <c r="K206" i="54"/>
  <c r="AD206" i="53"/>
  <c r="AD109" i="53"/>
  <c r="K109" i="54"/>
  <c r="K257" i="65"/>
  <c r="K257" i="57"/>
  <c r="AD257" i="54"/>
  <c r="AX257" i="54" s="1"/>
  <c r="BI257" i="54"/>
  <c r="K26" i="65"/>
  <c r="AD26" i="54"/>
  <c r="AX26" i="54" s="1"/>
  <c r="K26" i="57"/>
  <c r="BI26" i="54"/>
  <c r="K167" i="65"/>
  <c r="K167" i="57"/>
  <c r="AD167" i="54"/>
  <c r="AX167" i="54" s="1"/>
  <c r="BI167" i="54"/>
  <c r="K139" i="54"/>
  <c r="AD139" i="53"/>
  <c r="AD57" i="53"/>
  <c r="K57" i="54"/>
  <c r="AD164" i="53"/>
  <c r="K164" i="54"/>
  <c r="K82" i="57"/>
  <c r="K82" i="65"/>
  <c r="AD82" i="54"/>
  <c r="AX82" i="54" s="1"/>
  <c r="BI82" i="54"/>
  <c r="AD218" i="53"/>
  <c r="K218" i="54"/>
  <c r="K290" i="65"/>
  <c r="AD290" i="54"/>
  <c r="AX290" i="54" s="1"/>
  <c r="K290" i="57"/>
  <c r="BI290" i="54"/>
  <c r="K253" i="54"/>
  <c r="AD253" i="53"/>
  <c r="AD281" i="53"/>
  <c r="K281" i="54"/>
  <c r="AX32" i="66"/>
  <c r="AD32" i="66"/>
  <c r="R32" i="66"/>
  <c r="AN32" i="66" s="1"/>
  <c r="K175" i="54"/>
  <c r="AD175" i="53"/>
  <c r="K34" i="54"/>
  <c r="AD34" i="53"/>
  <c r="K132" i="54"/>
  <c r="AD132" i="53"/>
  <c r="AD273" i="53"/>
  <c r="K273" i="54"/>
  <c r="K261" i="65"/>
  <c r="AD261" i="54"/>
  <c r="AX261" i="54" s="1"/>
  <c r="BI261" i="54"/>
  <c r="K261" i="57"/>
  <c r="K263" i="65"/>
  <c r="K263" i="57"/>
  <c r="AD263" i="54"/>
  <c r="AX263" i="54" s="1"/>
  <c r="BI263" i="54"/>
  <c r="AD193" i="53"/>
  <c r="K193" i="54"/>
  <c r="AD161" i="53"/>
  <c r="K161" i="54"/>
  <c r="K24" i="54"/>
  <c r="AD24" i="53"/>
  <c r="K33" i="54"/>
  <c r="AD33" i="53"/>
  <c r="K198" i="54"/>
  <c r="AD198" i="53"/>
  <c r="K54" i="54"/>
  <c r="AD54" i="53"/>
  <c r="K256" i="57"/>
  <c r="K256" i="65"/>
  <c r="BI256" i="54"/>
  <c r="AD256" i="54"/>
  <c r="AX256" i="54" s="1"/>
  <c r="K127" i="65"/>
  <c r="K127" i="57"/>
  <c r="BI127" i="54"/>
  <c r="AD127" i="54"/>
  <c r="AX127" i="54" s="1"/>
  <c r="AD138" i="53"/>
  <c r="K138" i="54"/>
  <c r="K264" i="54"/>
  <c r="AD264" i="53"/>
  <c r="K20" i="57"/>
  <c r="BI20" i="54"/>
  <c r="K20" i="65"/>
  <c r="AD20" i="54"/>
  <c r="AX20" i="54" s="1"/>
  <c r="AD29" i="53"/>
  <c r="K29" i="54"/>
  <c r="K66" i="65"/>
  <c r="BI66" i="54"/>
  <c r="K66" i="57"/>
  <c r="AD66" i="54"/>
  <c r="AX66" i="54" s="1"/>
  <c r="AD296" i="53"/>
  <c r="K296" i="54"/>
  <c r="AD107" i="53"/>
  <c r="K107" i="54"/>
  <c r="AD279" i="53"/>
  <c r="K279" i="54"/>
  <c r="AD298" i="53"/>
  <c r="K298" i="54"/>
  <c r="K254" i="57"/>
  <c r="K254" i="65"/>
  <c r="AD254" i="54"/>
  <c r="AX254" i="54" s="1"/>
  <c r="BI254" i="54"/>
  <c r="AD259" i="53"/>
  <c r="K259" i="54"/>
  <c r="AD156" i="53"/>
  <c r="K156" i="54"/>
  <c r="AD16" i="57"/>
  <c r="AD226" i="53"/>
  <c r="K226" i="54"/>
  <c r="K99" i="54"/>
  <c r="AD99" i="53"/>
  <c r="K304" i="54"/>
  <c r="AD304" i="53"/>
  <c r="K252" i="54"/>
  <c r="AD252" i="53"/>
  <c r="K245" i="54"/>
  <c r="AD245" i="53"/>
  <c r="K64" i="54"/>
  <c r="AD64" i="53"/>
  <c r="K272" i="54"/>
  <c r="AD272" i="53"/>
  <c r="AD151" i="53"/>
  <c r="K151" i="54"/>
  <c r="K182" i="56"/>
  <c r="AD182" i="65"/>
  <c r="K265" i="56"/>
  <c r="AD265" i="65"/>
  <c r="K242" i="54"/>
  <c r="AD242" i="53"/>
  <c r="K72" i="54"/>
  <c r="AD72" i="53"/>
  <c r="AD42" i="53"/>
  <c r="K42" i="54"/>
  <c r="K221" i="57"/>
  <c r="AD221" i="54"/>
  <c r="AX221" i="54" s="1"/>
  <c r="K221" i="65"/>
  <c r="BI221" i="54"/>
  <c r="AD223" i="53"/>
  <c r="K223" i="54"/>
  <c r="AD220" i="53"/>
  <c r="K220" i="54"/>
  <c r="K141" i="57"/>
  <c r="AD141" i="54"/>
  <c r="AX141" i="54" s="1"/>
  <c r="BI141" i="54"/>
  <c r="K141" i="65"/>
  <c r="AD181" i="53"/>
  <c r="K181" i="54"/>
  <c r="K130" i="54"/>
  <c r="AD130" i="53"/>
  <c r="K150" i="65"/>
  <c r="AD150" i="54"/>
  <c r="AX150" i="54" s="1"/>
  <c r="BI150" i="54"/>
  <c r="K150" i="57"/>
  <c r="K101" i="54"/>
  <c r="AD101" i="53"/>
  <c r="K90" i="54"/>
  <c r="AD90" i="53"/>
  <c r="K81" i="57"/>
  <c r="K81" i="65"/>
  <c r="AD81" i="54"/>
  <c r="AX81" i="54" s="1"/>
  <c r="BI81" i="54"/>
  <c r="AD63" i="53"/>
  <c r="K63" i="54"/>
  <c r="K186" i="65"/>
  <c r="AD186" i="54"/>
  <c r="AX186" i="54" s="1"/>
  <c r="K186" i="57"/>
  <c r="BI186" i="54"/>
  <c r="K280" i="54"/>
  <c r="AD280" i="53"/>
  <c r="K300" i="54"/>
  <c r="AD300" i="53"/>
  <c r="AD183" i="53"/>
  <c r="K183" i="54"/>
  <c r="K113" i="65"/>
  <c r="AD113" i="54"/>
  <c r="AX113" i="54" s="1"/>
  <c r="K113" i="57"/>
  <c r="BI113" i="54"/>
  <c r="AD103" i="53"/>
  <c r="K103" i="54"/>
  <c r="AD73" i="53"/>
  <c r="K73" i="54"/>
  <c r="K70" i="54"/>
  <c r="AD70" i="53"/>
  <c r="BI116" i="54"/>
  <c r="K116" i="65"/>
  <c r="K116" i="57"/>
  <c r="AD116" i="54"/>
  <c r="AX116" i="54" s="1"/>
  <c r="AD174" i="53"/>
  <c r="K174" i="54"/>
  <c r="K238" i="54"/>
  <c r="AD238" i="53"/>
  <c r="AD94" i="65"/>
  <c r="K94" i="56"/>
  <c r="AD292" i="53"/>
  <c r="K292" i="54"/>
  <c r="AD236" i="56"/>
  <c r="AS236" i="56"/>
  <c r="AD246" i="65"/>
  <c r="K246" i="56"/>
  <c r="K32" i="54"/>
  <c r="AD32" i="53"/>
  <c r="K204" i="57"/>
  <c r="BI204" i="54"/>
  <c r="K204" i="65"/>
  <c r="AD204" i="54"/>
  <c r="AX204" i="54" s="1"/>
  <c r="AD212" i="54"/>
  <c r="AX212" i="54" s="1"/>
  <c r="K212" i="57"/>
  <c r="K212" i="65"/>
  <c r="BI212" i="54"/>
  <c r="AD144" i="54"/>
  <c r="AX144" i="54" s="1"/>
  <c r="K144" i="65"/>
  <c r="K144" i="57"/>
  <c r="BI144" i="54"/>
  <c r="AD222" i="53"/>
  <c r="K222" i="54"/>
  <c r="BI169" i="54"/>
  <c r="K169" i="57"/>
  <c r="K169" i="65"/>
  <c r="AD169" i="54"/>
  <c r="AX169" i="54" s="1"/>
  <c r="K84" i="57"/>
  <c r="AD84" i="54"/>
  <c r="AX84" i="54" s="1"/>
  <c r="BI84" i="54"/>
  <c r="K84" i="65"/>
  <c r="K158" i="65"/>
  <c r="AD158" i="54"/>
  <c r="AX158" i="54" s="1"/>
  <c r="K158" i="57"/>
  <c r="BI158" i="54"/>
  <c r="K179" i="57"/>
  <c r="K179" i="65"/>
  <c r="BI179" i="54"/>
  <c r="AD179" i="54"/>
  <c r="AX179" i="54" s="1"/>
  <c r="AD145" i="57"/>
  <c r="K162" i="54"/>
  <c r="AD162" i="53"/>
  <c r="AD88" i="53"/>
  <c r="K88" i="54"/>
  <c r="K278" i="65"/>
  <c r="K278" i="57"/>
  <c r="AD278" i="54"/>
  <c r="AX278" i="54" s="1"/>
  <c r="BI278" i="54"/>
  <c r="K97" i="57"/>
  <c r="K97" i="65"/>
  <c r="BI97" i="54"/>
  <c r="AD97" i="54"/>
  <c r="AX97" i="54" s="1"/>
  <c r="K159" i="57"/>
  <c r="K159" i="65"/>
  <c r="BI159" i="54"/>
  <c r="AD159" i="54"/>
  <c r="AX159" i="54" s="1"/>
  <c r="K140" i="54"/>
  <c r="AD140" i="53"/>
  <c r="AD160" i="53"/>
  <c r="K160" i="54"/>
  <c r="AD163" i="53"/>
  <c r="K163" i="54"/>
  <c r="K262" i="65"/>
  <c r="K262" i="57"/>
  <c r="BI262" i="54"/>
  <c r="AD262" i="54"/>
  <c r="AX262" i="54" s="1"/>
  <c r="K289" i="65"/>
  <c r="K289" i="57"/>
  <c r="AD289" i="54"/>
  <c r="AX289" i="54" s="1"/>
  <c r="BI289" i="54"/>
  <c r="AD236" i="57"/>
  <c r="AD94" i="57"/>
  <c r="K102" i="54"/>
  <c r="AD102" i="53"/>
  <c r="AD266" i="53"/>
  <c r="K266" i="54"/>
  <c r="AD58" i="57"/>
  <c r="AD119" i="57"/>
  <c r="AD299" i="53"/>
  <c r="K299" i="54"/>
  <c r="AD146" i="53"/>
  <c r="K146" i="54"/>
  <c r="AD38" i="53"/>
  <c r="K38" i="54"/>
  <c r="K207" i="57"/>
  <c r="AD207" i="54"/>
  <c r="AX207" i="54" s="1"/>
  <c r="BI207" i="54"/>
  <c r="K207" i="65"/>
  <c r="AD255" i="53"/>
  <c r="K255" i="54"/>
  <c r="K117" i="57"/>
  <c r="AD117" i="54"/>
  <c r="AX117" i="54" s="1"/>
  <c r="BI117" i="54"/>
  <c r="K117" i="65"/>
  <c r="K145" i="56"/>
  <c r="AD145" i="65"/>
  <c r="K235" i="54"/>
  <c r="AD235" i="53"/>
  <c r="AD65" i="53"/>
  <c r="K65" i="54"/>
  <c r="K155" i="54"/>
  <c r="AD155" i="53"/>
  <c r="AD45" i="53"/>
  <c r="K45" i="54"/>
  <c r="K228" i="54"/>
  <c r="AD228" i="53"/>
  <c r="K282" i="54"/>
  <c r="AD282" i="53"/>
  <c r="AE265" i="51"/>
  <c r="K197" i="57"/>
  <c r="AD197" i="54"/>
  <c r="AX197" i="54" s="1"/>
  <c r="BI197" i="54"/>
  <c r="K197" i="65"/>
  <c r="K59" i="57"/>
  <c r="BI59" i="54"/>
  <c r="K59" i="65"/>
  <c r="AD59" i="54"/>
  <c r="AX59" i="54" s="1"/>
  <c r="K149" i="65"/>
  <c r="BI149" i="54"/>
  <c r="K149" i="57"/>
  <c r="AD149" i="54"/>
  <c r="AX149" i="54" s="1"/>
  <c r="AD48" i="53"/>
  <c r="K48" i="54"/>
  <c r="L361" i="42"/>
  <c r="K68" i="54"/>
  <c r="AD68" i="53"/>
  <c r="K134" i="57"/>
  <c r="BI134" i="54"/>
  <c r="K134" i="65"/>
  <c r="AD134" i="54"/>
  <c r="AX134" i="54" s="1"/>
  <c r="K79" i="54"/>
  <c r="AD79" i="53"/>
  <c r="K303" i="54"/>
  <c r="AD303" i="53"/>
  <c r="AD231" i="53"/>
  <c r="K231" i="54"/>
  <c r="K170" i="54"/>
  <c r="AD170" i="53"/>
  <c r="K291" i="54"/>
  <c r="AD291" i="53"/>
  <c r="K230" i="54"/>
  <c r="AD230" i="53"/>
  <c r="AD293" i="53"/>
  <c r="K293" i="54"/>
  <c r="K233" i="54"/>
  <c r="AD233" i="53"/>
  <c r="K210" i="54"/>
  <c r="AD210" i="53"/>
  <c r="K143" i="54"/>
  <c r="AD143" i="53"/>
  <c r="K201" i="54"/>
  <c r="AD201" i="53"/>
  <c r="K111" i="54"/>
  <c r="AD111" i="53"/>
  <c r="K100" i="54"/>
  <c r="AD100" i="53"/>
  <c r="K91" i="54"/>
  <c r="AD91" i="53"/>
  <c r="K93" i="54"/>
  <c r="AD93" i="53"/>
  <c r="AD195" i="54"/>
  <c r="AX195" i="54" s="1"/>
  <c r="K195" i="65"/>
  <c r="BI195" i="54"/>
  <c r="K195" i="57"/>
  <c r="R34" i="66"/>
  <c r="AN34" i="66" s="1"/>
  <c r="AD34" i="66"/>
  <c r="AX34" i="66"/>
  <c r="K286" i="54"/>
  <c r="AD286" i="53"/>
  <c r="K31" i="54"/>
  <c r="AD31" i="53"/>
  <c r="G37" i="66"/>
  <c r="L10" i="42"/>
  <c r="S8" i="60"/>
  <c r="L11" i="42"/>
  <c r="AC13" i="42"/>
  <c r="K307" i="54"/>
  <c r="AD307" i="53"/>
  <c r="AD187" i="54"/>
  <c r="AX187" i="54" s="1"/>
  <c r="K187" i="57"/>
  <c r="K187" i="65"/>
  <c r="BI187" i="54"/>
  <c r="K104" i="54"/>
  <c r="AD104" i="53"/>
  <c r="K253" i="68"/>
  <c r="AD246" i="57"/>
  <c r="AD28" i="57"/>
  <c r="AD119" i="65"/>
  <c r="K119" i="56"/>
  <c r="AD148" i="53"/>
  <c r="K148" i="54"/>
  <c r="K276" i="57"/>
  <c r="K276" i="65"/>
  <c r="AD276" i="54"/>
  <c r="AX276" i="54" s="1"/>
  <c r="BI276" i="54"/>
  <c r="K177" i="54"/>
  <c r="AD177" i="53"/>
  <c r="AD216" i="53"/>
  <c r="K216" i="54"/>
  <c r="AD302" i="53"/>
  <c r="K302" i="54"/>
  <c r="BI17" i="54"/>
  <c r="AD17" i="54"/>
  <c r="AX17" i="54" s="1"/>
  <c r="K17" i="65"/>
  <c r="K17" i="57"/>
  <c r="AD166" i="53"/>
  <c r="K166" i="54"/>
  <c r="AD189" i="53"/>
  <c r="K189" i="54"/>
  <c r="K108" i="57"/>
  <c r="AD108" i="54"/>
  <c r="AX108" i="54" s="1"/>
  <c r="K108" i="65"/>
  <c r="BI108" i="54"/>
  <c r="AX31" i="66"/>
  <c r="AD31" i="66"/>
  <c r="R31" i="66"/>
  <c r="AN31" i="66" s="1"/>
  <c r="K188" i="54"/>
  <c r="AD188" i="53"/>
  <c r="K154" i="54"/>
  <c r="AD154" i="53"/>
  <c r="K277" i="57"/>
  <c r="K277" i="65"/>
  <c r="AD277" i="54"/>
  <c r="AX277" i="54" s="1"/>
  <c r="BI277" i="54"/>
  <c r="AD96" i="54"/>
  <c r="AX96" i="54" s="1"/>
  <c r="K96" i="57"/>
  <c r="K96" i="65"/>
  <c r="BI96" i="54"/>
  <c r="AD52" i="53"/>
  <c r="K52" i="54"/>
  <c r="BI178" i="54" l="1"/>
  <c r="AD178" i="54"/>
  <c r="AX178" i="54" s="1"/>
  <c r="K178" i="57"/>
  <c r="AD122" i="57"/>
  <c r="AD122" i="65"/>
  <c r="K251" i="68"/>
  <c r="AX6" i="70"/>
  <c r="M15" i="42" s="1"/>
  <c r="AX271" i="70"/>
  <c r="M280" i="42" s="1"/>
  <c r="AX252" i="70"/>
  <c r="M261" i="42" s="1"/>
  <c r="AX244" i="70"/>
  <c r="M253" i="42" s="1"/>
  <c r="AX211" i="70"/>
  <c r="M220" i="42" s="1"/>
  <c r="AX192" i="70"/>
  <c r="M201" i="42" s="1"/>
  <c r="AX162" i="70"/>
  <c r="M171" i="42" s="1"/>
  <c r="AX154" i="70"/>
  <c r="M163" i="42" s="1"/>
  <c r="AX122" i="70"/>
  <c r="M131" i="42" s="1"/>
  <c r="AX102" i="70"/>
  <c r="M111" i="42" s="1"/>
  <c r="AX71" i="70"/>
  <c r="M80" i="42" s="1"/>
  <c r="AX52" i="70"/>
  <c r="M61" i="42" s="1"/>
  <c r="AX44" i="70"/>
  <c r="M53" i="42" s="1"/>
  <c r="AX12" i="70"/>
  <c r="M21" i="42" s="1"/>
  <c r="AX273" i="70"/>
  <c r="M282" i="42" s="1"/>
  <c r="AX295" i="70"/>
  <c r="M304" i="42" s="1"/>
  <c r="AX65" i="70"/>
  <c r="M74" i="42" s="1"/>
  <c r="AX98" i="70"/>
  <c r="M107" i="42" s="1"/>
  <c r="AX137" i="70"/>
  <c r="M146" i="42" s="1"/>
  <c r="AX255" i="70"/>
  <c r="M264" i="42" s="1"/>
  <c r="AX7" i="70"/>
  <c r="M16" i="42" s="1"/>
  <c r="AX57" i="70"/>
  <c r="M66" i="42" s="1"/>
  <c r="AX195" i="70"/>
  <c r="M204" i="42" s="1"/>
  <c r="AX119" i="70"/>
  <c r="M128" i="42" s="1"/>
  <c r="AX190" i="70"/>
  <c r="M199" i="42" s="1"/>
  <c r="AX8" i="70"/>
  <c r="M17" i="42" s="1"/>
  <c r="AX223" i="70"/>
  <c r="M232" i="42" s="1"/>
  <c r="AX93" i="70"/>
  <c r="M102" i="42" s="1"/>
  <c r="AX15" i="70"/>
  <c r="M24" i="42" s="1"/>
  <c r="AX59" i="70"/>
  <c r="M68" i="42" s="1"/>
  <c r="AX200" i="70"/>
  <c r="M209" i="42" s="1"/>
  <c r="AX203" i="70"/>
  <c r="M212" i="42" s="1"/>
  <c r="AX135" i="70"/>
  <c r="M144" i="42" s="1"/>
  <c r="AX193" i="70"/>
  <c r="M202" i="42" s="1"/>
  <c r="AX143" i="70"/>
  <c r="M152" i="42" s="1"/>
  <c r="AX109" i="70"/>
  <c r="M118" i="42" s="1"/>
  <c r="AX67" i="70"/>
  <c r="M76" i="42" s="1"/>
  <c r="AX141" i="70"/>
  <c r="M150" i="42" s="1"/>
  <c r="AX260" i="70"/>
  <c r="M269" i="42" s="1"/>
  <c r="AX173" i="70"/>
  <c r="M182" i="42" s="1"/>
  <c r="AX55" i="70"/>
  <c r="M64" i="42" s="1"/>
  <c r="AX292" i="70"/>
  <c r="M301" i="42" s="1"/>
  <c r="AX272" i="70"/>
  <c r="M281" i="42" s="1"/>
  <c r="AX224" i="70"/>
  <c r="M233" i="42" s="1"/>
  <c r="AX182" i="70"/>
  <c r="M191" i="42" s="1"/>
  <c r="AX142" i="70"/>
  <c r="M151" i="42" s="1"/>
  <c r="AX124" i="70"/>
  <c r="M133" i="42" s="1"/>
  <c r="AX92" i="70"/>
  <c r="M101" i="42" s="1"/>
  <c r="AX51" i="70"/>
  <c r="M60" i="42" s="1"/>
  <c r="AX21" i="70"/>
  <c r="M30" i="42" s="1"/>
  <c r="AX24" i="70"/>
  <c r="M33" i="42" s="1"/>
  <c r="AX247" i="70"/>
  <c r="M256" i="42" s="1"/>
  <c r="AX58" i="70"/>
  <c r="M67" i="42" s="1"/>
  <c r="AX127" i="70"/>
  <c r="M136" i="42" s="1"/>
  <c r="AX77" i="70"/>
  <c r="M86" i="42" s="1"/>
  <c r="AX205" i="70"/>
  <c r="M214" i="42" s="1"/>
  <c r="AX147" i="70"/>
  <c r="M156" i="42" s="1"/>
  <c r="AX207" i="70"/>
  <c r="M216" i="42" s="1"/>
  <c r="AX80" i="70"/>
  <c r="M89" i="42" s="1"/>
  <c r="AX270" i="70"/>
  <c r="M279" i="42" s="1"/>
  <c r="AX243" i="70"/>
  <c r="M252" i="42" s="1"/>
  <c r="AX186" i="70"/>
  <c r="M195" i="42" s="1"/>
  <c r="AX236" i="70"/>
  <c r="M245" i="42" s="1"/>
  <c r="AX227" i="70"/>
  <c r="M236" i="42" s="1"/>
  <c r="AX288" i="70"/>
  <c r="M297" i="42" s="1"/>
  <c r="AX56" i="70"/>
  <c r="M65" i="42" s="1"/>
  <c r="AX120" i="70"/>
  <c r="M129" i="42" s="1"/>
  <c r="AX217" i="70"/>
  <c r="M226" i="42" s="1"/>
  <c r="AX228" i="70"/>
  <c r="M237" i="42" s="1"/>
  <c r="AX69" i="70"/>
  <c r="M78" i="42" s="1"/>
  <c r="AX95" i="70"/>
  <c r="M104" i="42" s="1"/>
  <c r="AX116" i="70"/>
  <c r="M125" i="42" s="1"/>
  <c r="AX163" i="70"/>
  <c r="M172" i="42" s="1"/>
  <c r="AX172" i="70"/>
  <c r="M181" i="42" s="1"/>
  <c r="AX216" i="70"/>
  <c r="M225" i="42" s="1"/>
  <c r="AX103" i="70"/>
  <c r="M112" i="42" s="1"/>
  <c r="AX85" i="70"/>
  <c r="M94" i="42" s="1"/>
  <c r="AX169" i="70"/>
  <c r="M178" i="42" s="1"/>
  <c r="AX267" i="70"/>
  <c r="M276" i="42" s="1"/>
  <c r="AX261" i="70"/>
  <c r="M270" i="42" s="1"/>
  <c r="AX241" i="70"/>
  <c r="M250" i="42" s="1"/>
  <c r="AX232" i="70"/>
  <c r="M241" i="42" s="1"/>
  <c r="AX212" i="70"/>
  <c r="M221" i="42" s="1"/>
  <c r="AX174" i="70"/>
  <c r="M183" i="42" s="1"/>
  <c r="AX132" i="70"/>
  <c r="M141" i="42" s="1"/>
  <c r="AX104" i="70"/>
  <c r="M113" i="42" s="1"/>
  <c r="AX72" i="70"/>
  <c r="M81" i="42" s="1"/>
  <c r="AX64" i="70"/>
  <c r="M73" i="42" s="1"/>
  <c r="AX34" i="70"/>
  <c r="M43" i="42" s="1"/>
  <c r="AX14" i="70"/>
  <c r="M23" i="42" s="1"/>
  <c r="AX287" i="70"/>
  <c r="M296" i="42" s="1"/>
  <c r="AX276" i="70"/>
  <c r="M285" i="42" s="1"/>
  <c r="AX113" i="70"/>
  <c r="M122" i="42" s="1"/>
  <c r="AX230" i="70"/>
  <c r="M239" i="42" s="1"/>
  <c r="AX176" i="70"/>
  <c r="M185" i="42" s="1"/>
  <c r="AX157" i="70"/>
  <c r="M166" i="42" s="1"/>
  <c r="AX297" i="70"/>
  <c r="M306" i="42" s="1"/>
  <c r="AX279" i="70"/>
  <c r="M288" i="42" s="1"/>
  <c r="AX213" i="70"/>
  <c r="M222" i="42" s="1"/>
  <c r="AX100" i="70"/>
  <c r="M109" i="42" s="1"/>
  <c r="AX39" i="70"/>
  <c r="M48" i="42" s="1"/>
  <c r="AX99" i="70"/>
  <c r="M108" i="42" s="1"/>
  <c r="AX30" i="70"/>
  <c r="M39" i="42" s="1"/>
  <c r="AX257" i="70"/>
  <c r="M266" i="42" s="1"/>
  <c r="AX229" i="70"/>
  <c r="M238" i="42" s="1"/>
  <c r="AX233" i="70"/>
  <c r="M242" i="42" s="1"/>
  <c r="AX36" i="70"/>
  <c r="M45" i="42" s="1"/>
  <c r="AX138" i="70"/>
  <c r="M147" i="42" s="1"/>
  <c r="AX16" i="70"/>
  <c r="M25" i="42" s="1"/>
  <c r="AX66" i="70"/>
  <c r="M75" i="42" s="1"/>
  <c r="AX298" i="70"/>
  <c r="M307" i="42" s="1"/>
  <c r="AX18" i="70"/>
  <c r="M27" i="42" s="1"/>
  <c r="AX26" i="70"/>
  <c r="M35" i="42" s="1"/>
  <c r="AX90" i="70"/>
  <c r="M99" i="42" s="1"/>
  <c r="AX105" i="70"/>
  <c r="M114" i="42" s="1"/>
  <c r="AX13" i="70"/>
  <c r="M22" i="42" s="1"/>
  <c r="AX218" i="70"/>
  <c r="M227" i="42" s="1"/>
  <c r="AX45" i="70"/>
  <c r="M54" i="42" s="1"/>
  <c r="AX286" i="70"/>
  <c r="M295" i="42" s="1"/>
  <c r="AX191" i="70"/>
  <c r="M200" i="42" s="1"/>
  <c r="AX82" i="70"/>
  <c r="M91" i="42" s="1"/>
  <c r="AX166" i="70"/>
  <c r="M175" i="42" s="1"/>
  <c r="AX129" i="70"/>
  <c r="M138" i="42" s="1"/>
  <c r="AX38" i="70"/>
  <c r="M47" i="42" s="1"/>
  <c r="AX280" i="70"/>
  <c r="M289" i="42" s="1"/>
  <c r="AX291" i="70"/>
  <c r="M300" i="42" s="1"/>
  <c r="AX262" i="70"/>
  <c r="M271" i="42" s="1"/>
  <c r="AX254" i="70"/>
  <c r="M263" i="42" s="1"/>
  <c r="AX202" i="70"/>
  <c r="M211" i="42" s="1"/>
  <c r="AX194" i="70"/>
  <c r="M203" i="42" s="1"/>
  <c r="AX161" i="70"/>
  <c r="M170" i="42" s="1"/>
  <c r="AX144" i="70"/>
  <c r="M153" i="42" s="1"/>
  <c r="AX111" i="70"/>
  <c r="M120" i="42" s="1"/>
  <c r="AX54" i="70"/>
  <c r="M63" i="42" s="1"/>
  <c r="AX225" i="70"/>
  <c r="M234" i="42" s="1"/>
  <c r="AX168" i="70"/>
  <c r="M177" i="42" s="1"/>
  <c r="AX159" i="70"/>
  <c r="M168" i="42" s="1"/>
  <c r="AX177" i="70"/>
  <c r="M186" i="42" s="1"/>
  <c r="AX153" i="70"/>
  <c r="M162" i="42" s="1"/>
  <c r="AX208" i="70"/>
  <c r="M217" i="42" s="1"/>
  <c r="AX240" i="70"/>
  <c r="M249" i="42" s="1"/>
  <c r="AX226" i="70"/>
  <c r="M235" i="42" s="1"/>
  <c r="AX268" i="70"/>
  <c r="M277" i="42" s="1"/>
  <c r="AX258" i="70"/>
  <c r="M267" i="42" s="1"/>
  <c r="AX19" i="70"/>
  <c r="M28" i="42" s="1"/>
  <c r="AX28" i="70"/>
  <c r="M37" i="42" s="1"/>
  <c r="AX40" i="70"/>
  <c r="M49" i="42" s="1"/>
  <c r="AX9" i="70"/>
  <c r="M18" i="42" s="1"/>
  <c r="AX46" i="70"/>
  <c r="M55" i="42" s="1"/>
  <c r="AX17" i="70"/>
  <c r="M26" i="42" s="1"/>
  <c r="AX75" i="70"/>
  <c r="M84" i="42" s="1"/>
  <c r="AX155" i="70"/>
  <c r="M164" i="42" s="1"/>
  <c r="AX125" i="70"/>
  <c r="M134" i="42" s="1"/>
  <c r="AX197" i="70"/>
  <c r="M206" i="42" s="1"/>
  <c r="AX146" i="70"/>
  <c r="M155" i="42" s="1"/>
  <c r="AX29" i="70"/>
  <c r="M38" i="42" s="1"/>
  <c r="AX206" i="70"/>
  <c r="M215" i="42" s="1"/>
  <c r="AX114" i="70"/>
  <c r="M123" i="42" s="1"/>
  <c r="AX290" i="70"/>
  <c r="M299" i="42" s="1"/>
  <c r="AX293" i="70"/>
  <c r="M302" i="42" s="1"/>
  <c r="AX150" i="70"/>
  <c r="M159" i="42" s="1"/>
  <c r="AX123" i="70"/>
  <c r="M132" i="42" s="1"/>
  <c r="AX294" i="70"/>
  <c r="M303" i="42" s="1"/>
  <c r="AX242" i="70"/>
  <c r="M251" i="42" s="1"/>
  <c r="AX222" i="70"/>
  <c r="M231" i="42" s="1"/>
  <c r="AX214" i="70"/>
  <c r="M223" i="42" s="1"/>
  <c r="AX181" i="70"/>
  <c r="M190" i="42" s="1"/>
  <c r="AX164" i="70"/>
  <c r="M173" i="42" s="1"/>
  <c r="AX112" i="70"/>
  <c r="M121" i="42" s="1"/>
  <c r="AX91" i="70"/>
  <c r="M100" i="42" s="1"/>
  <c r="AX84" i="70"/>
  <c r="M93" i="42" s="1"/>
  <c r="AX42" i="70"/>
  <c r="M51" i="42" s="1"/>
  <c r="AX22" i="70"/>
  <c r="M31" i="42" s="1"/>
  <c r="AX140" i="70"/>
  <c r="M149" i="42" s="1"/>
  <c r="AX37" i="70"/>
  <c r="M46" i="42" s="1"/>
  <c r="AX107" i="70"/>
  <c r="M116" i="42" s="1"/>
  <c r="AX259" i="70"/>
  <c r="M268" i="42" s="1"/>
  <c r="AX88" i="70"/>
  <c r="M97" i="42" s="1"/>
  <c r="AX78" i="70"/>
  <c r="M87" i="42" s="1"/>
  <c r="AX110" i="70"/>
  <c r="M119" i="42" s="1"/>
  <c r="AX185" i="70"/>
  <c r="M194" i="42" s="1"/>
  <c r="AX63" i="70"/>
  <c r="M72" i="42" s="1"/>
  <c r="AX118" i="70"/>
  <c r="M127" i="42" s="1"/>
  <c r="AX220" i="70"/>
  <c r="M229" i="42" s="1"/>
  <c r="AX126" i="70"/>
  <c r="M135" i="42" s="1"/>
  <c r="AX170" i="70"/>
  <c r="M179" i="42" s="1"/>
  <c r="AX89" i="70"/>
  <c r="M98" i="42" s="1"/>
  <c r="AX106" i="70"/>
  <c r="M115" i="42" s="1"/>
  <c r="AX27" i="70"/>
  <c r="M36" i="42" s="1"/>
  <c r="AX23" i="70"/>
  <c r="M32" i="42" s="1"/>
  <c r="AX96" i="70"/>
  <c r="M105" i="42" s="1"/>
  <c r="AX289" i="70"/>
  <c r="M298" i="42" s="1"/>
  <c r="AX278" i="70"/>
  <c r="M287" i="42" s="1"/>
  <c r="AX60" i="70"/>
  <c r="M69" i="42" s="1"/>
  <c r="AX285" i="70"/>
  <c r="M294" i="42" s="1"/>
  <c r="AX219" i="70"/>
  <c r="M228" i="42" s="1"/>
  <c r="AX196" i="70"/>
  <c r="M205" i="42" s="1"/>
  <c r="AX253" i="70"/>
  <c r="M262" i="42" s="1"/>
  <c r="AX70" i="70"/>
  <c r="M79" i="42" s="1"/>
  <c r="AX128" i="70"/>
  <c r="M137" i="42" s="1"/>
  <c r="AX165" i="70"/>
  <c r="M174" i="42" s="1"/>
  <c r="AX234" i="70"/>
  <c r="M243" i="42" s="1"/>
  <c r="AX32" i="70"/>
  <c r="M41" i="42" s="1"/>
  <c r="AX250" i="70"/>
  <c r="M259" i="42" s="1"/>
  <c r="AX188" i="70"/>
  <c r="M197" i="42" s="1"/>
  <c r="AX68" i="70"/>
  <c r="M77" i="42" s="1"/>
  <c r="AX263" i="70"/>
  <c r="M272" i="42" s="1"/>
  <c r="AX281" i="70"/>
  <c r="M290" i="42" s="1"/>
  <c r="AX274" i="70"/>
  <c r="M283" i="42" s="1"/>
  <c r="AX221" i="70"/>
  <c r="M230" i="42" s="1"/>
  <c r="AX201" i="70"/>
  <c r="M210" i="42" s="1"/>
  <c r="AX171" i="70"/>
  <c r="M180" i="42" s="1"/>
  <c r="AX152" i="70"/>
  <c r="M161" i="42" s="1"/>
  <c r="AX131" i="70"/>
  <c r="M140" i="42" s="1"/>
  <c r="AX81" i="70"/>
  <c r="M90" i="42" s="1"/>
  <c r="AX62" i="70"/>
  <c r="M71" i="42" s="1"/>
  <c r="AX41" i="70"/>
  <c r="M50" i="42" s="1"/>
  <c r="AX117" i="70"/>
  <c r="M126" i="42" s="1"/>
  <c r="AX48" i="70"/>
  <c r="M57" i="42" s="1"/>
  <c r="AX178" i="70"/>
  <c r="M187" i="42" s="1"/>
  <c r="AX180" i="70"/>
  <c r="M189" i="42" s="1"/>
  <c r="AX237" i="70"/>
  <c r="M246" i="42" s="1"/>
  <c r="AX97" i="70"/>
  <c r="M106" i="42" s="1"/>
  <c r="AX277" i="70"/>
  <c r="M286" i="42" s="1"/>
  <c r="AX239" i="70"/>
  <c r="M248" i="42" s="1"/>
  <c r="AX283" i="70"/>
  <c r="M292" i="42" s="1"/>
  <c r="AX266" i="70"/>
  <c r="M275" i="42" s="1"/>
  <c r="AX248" i="70"/>
  <c r="M257" i="42" s="1"/>
  <c r="AX256" i="70"/>
  <c r="M265" i="42" s="1"/>
  <c r="AX35" i="70"/>
  <c r="M44" i="42" s="1"/>
  <c r="AX160" i="70"/>
  <c r="M169" i="42" s="1"/>
  <c r="AX189" i="70"/>
  <c r="M198" i="42" s="1"/>
  <c r="AX33" i="70"/>
  <c r="M42" i="42" s="1"/>
  <c r="AX175" i="70"/>
  <c r="M184" i="42" s="1"/>
  <c r="AX275" i="70"/>
  <c r="M284" i="42" s="1"/>
  <c r="AX215" i="70"/>
  <c r="M224" i="42" s="1"/>
  <c r="AX50" i="70"/>
  <c r="M59" i="42" s="1"/>
  <c r="AX179" i="70"/>
  <c r="M188" i="42" s="1"/>
  <c r="AX115" i="70"/>
  <c r="M124" i="42" s="1"/>
  <c r="AX158" i="70"/>
  <c r="M167" i="42" s="1"/>
  <c r="AX198" i="70"/>
  <c r="M207" i="42" s="1"/>
  <c r="AX265" i="70"/>
  <c r="M274" i="42" s="1"/>
  <c r="AX86" i="70"/>
  <c r="M95" i="42" s="1"/>
  <c r="AX199" i="70"/>
  <c r="M208" i="42" s="1"/>
  <c r="AX43" i="70"/>
  <c r="M52" i="42" s="1"/>
  <c r="AX246" i="70"/>
  <c r="M255" i="42" s="1"/>
  <c r="AX251" i="70"/>
  <c r="M260" i="42" s="1"/>
  <c r="AX121" i="70"/>
  <c r="M130" i="42" s="1"/>
  <c r="AX235" i="70"/>
  <c r="M244" i="42" s="1"/>
  <c r="AX167" i="70"/>
  <c r="M176" i="42" s="1"/>
  <c r="AX49" i="70"/>
  <c r="M58" i="42" s="1"/>
  <c r="AX25" i="70"/>
  <c r="M34" i="42" s="1"/>
  <c r="AX136" i="70"/>
  <c r="M145" i="42" s="1"/>
  <c r="AX210" i="70"/>
  <c r="M219" i="42" s="1"/>
  <c r="AX282" i="70"/>
  <c r="M291" i="42" s="1"/>
  <c r="AX264" i="70"/>
  <c r="M273" i="42" s="1"/>
  <c r="AX231" i="70"/>
  <c r="M240" i="42" s="1"/>
  <c r="AX204" i="70"/>
  <c r="M213" i="42" s="1"/>
  <c r="AX184" i="70"/>
  <c r="M193" i="42" s="1"/>
  <c r="AX151" i="70"/>
  <c r="M160" i="42" s="1"/>
  <c r="AX134" i="70"/>
  <c r="M143" i="42" s="1"/>
  <c r="AX101" i="70"/>
  <c r="M110" i="42" s="1"/>
  <c r="AX94" i="70"/>
  <c r="M103" i="42" s="1"/>
  <c r="AX74" i="70"/>
  <c r="M83" i="42" s="1"/>
  <c r="AX31" i="70"/>
  <c r="M40" i="42" s="1"/>
  <c r="AX11" i="70"/>
  <c r="M20" i="42" s="1"/>
  <c r="AX187" i="70"/>
  <c r="M196" i="42" s="1"/>
  <c r="AX296" i="70"/>
  <c r="M305" i="42" s="1"/>
  <c r="AX87" i="70"/>
  <c r="M96" i="42" s="1"/>
  <c r="AX209" i="70"/>
  <c r="M218" i="42" s="1"/>
  <c r="AX47" i="70"/>
  <c r="M56" i="42" s="1"/>
  <c r="AX139" i="70"/>
  <c r="M148" i="42" s="1"/>
  <c r="AX83" i="70"/>
  <c r="M92" i="42" s="1"/>
  <c r="AX130" i="70"/>
  <c r="M139" i="42" s="1"/>
  <c r="AX53" i="70"/>
  <c r="M62" i="42" s="1"/>
  <c r="AX156" i="70"/>
  <c r="M165" i="42" s="1"/>
  <c r="AX79" i="70"/>
  <c r="M88" i="42" s="1"/>
  <c r="AX183" i="70"/>
  <c r="M192" i="42" s="1"/>
  <c r="AX133" i="70"/>
  <c r="M142" i="42" s="1"/>
  <c r="AX249" i="70"/>
  <c r="M258" i="42" s="1"/>
  <c r="AX108" i="70"/>
  <c r="M117" i="42" s="1"/>
  <c r="AX238" i="70"/>
  <c r="M247" i="42" s="1"/>
  <c r="AX76" i="70"/>
  <c r="M85" i="42" s="1"/>
  <c r="AX73" i="70"/>
  <c r="M82" i="42" s="1"/>
  <c r="AX245" i="70"/>
  <c r="M254" i="42" s="1"/>
  <c r="AX145" i="70"/>
  <c r="M154" i="42" s="1"/>
  <c r="AX149" i="70"/>
  <c r="M158" i="42" s="1"/>
  <c r="AX284" i="70"/>
  <c r="M293" i="42" s="1"/>
  <c r="AX61" i="70"/>
  <c r="M70" i="42" s="1"/>
  <c r="AX269" i="70"/>
  <c r="M278" i="42" s="1"/>
  <c r="AX148" i="70"/>
  <c r="M157" i="42" s="1"/>
  <c r="AX20" i="70"/>
  <c r="M29" i="42" s="1"/>
  <c r="AX10" i="70"/>
  <c r="M19" i="42" s="1"/>
  <c r="AD40" i="54"/>
  <c r="AX40" i="54" s="1"/>
  <c r="BI40" i="54"/>
  <c r="K40" i="65"/>
  <c r="K40" i="57"/>
  <c r="K37" i="56"/>
  <c r="AD37" i="65"/>
  <c r="AD35" i="54"/>
  <c r="AX35" i="54" s="1"/>
  <c r="K35" i="65"/>
  <c r="BI35" i="54"/>
  <c r="K35" i="57"/>
  <c r="AD143" i="54"/>
  <c r="AX143" i="54" s="1"/>
  <c r="K143" i="57"/>
  <c r="BI143" i="54"/>
  <c r="K143" i="65"/>
  <c r="K235" i="57"/>
  <c r="K235" i="65"/>
  <c r="BI235" i="54"/>
  <c r="AD235" i="54"/>
  <c r="AX235" i="54" s="1"/>
  <c r="BI160" i="54"/>
  <c r="K160" i="65"/>
  <c r="K160" i="57"/>
  <c r="AD160" i="54"/>
  <c r="AX160" i="54" s="1"/>
  <c r="AD167" i="57"/>
  <c r="K288" i="65"/>
  <c r="K288" i="57"/>
  <c r="BI288" i="54"/>
  <c r="AD288" i="54"/>
  <c r="AX288" i="54" s="1"/>
  <c r="AD244" i="56"/>
  <c r="AS244" i="56"/>
  <c r="K178" i="56"/>
  <c r="AD178" i="65"/>
  <c r="K209" i="65"/>
  <c r="K209" i="57"/>
  <c r="BI209" i="54"/>
  <c r="AD209" i="54"/>
  <c r="AX209" i="54" s="1"/>
  <c r="K51" i="65"/>
  <c r="K51" i="57"/>
  <c r="AD51" i="54"/>
  <c r="AX51" i="54" s="1"/>
  <c r="BI51" i="54"/>
  <c r="AD301" i="57"/>
  <c r="K247" i="68"/>
  <c r="AD240" i="57"/>
  <c r="AD142" i="54"/>
  <c r="AX142" i="54" s="1"/>
  <c r="K142" i="65"/>
  <c r="K142" i="57"/>
  <c r="BI142" i="54"/>
  <c r="K234" i="56"/>
  <c r="AD234" i="65"/>
  <c r="K192" i="56"/>
  <c r="AD192" i="65"/>
  <c r="K277" i="56"/>
  <c r="AD277" i="65"/>
  <c r="K216" i="57"/>
  <c r="K216" i="65"/>
  <c r="AD216" i="54"/>
  <c r="AX216" i="54" s="1"/>
  <c r="BI216" i="54"/>
  <c r="AD148" i="54"/>
  <c r="AX148" i="54" s="1"/>
  <c r="K148" i="65"/>
  <c r="K148" i="57"/>
  <c r="K152" i="68" s="1"/>
  <c r="BI148" i="54"/>
  <c r="K195" i="56"/>
  <c r="AD195" i="65"/>
  <c r="AD134" i="57"/>
  <c r="K45" i="57"/>
  <c r="K45" i="65"/>
  <c r="AD45" i="54"/>
  <c r="AX45" i="54" s="1"/>
  <c r="BI45" i="54"/>
  <c r="AD207" i="65"/>
  <c r="K207" i="56"/>
  <c r="K299" i="65"/>
  <c r="BI299" i="54"/>
  <c r="K299" i="57"/>
  <c r="K272" i="68" s="1"/>
  <c r="AD299" i="54"/>
  <c r="AX299" i="54" s="1"/>
  <c r="AE236" i="51"/>
  <c r="AD262" i="65"/>
  <c r="K262" i="56"/>
  <c r="AD158" i="57"/>
  <c r="K169" i="56"/>
  <c r="AD169" i="65"/>
  <c r="AD204" i="57"/>
  <c r="K292" i="57"/>
  <c r="AD292" i="54"/>
  <c r="AX292" i="54" s="1"/>
  <c r="K292" i="65"/>
  <c r="BI292" i="54"/>
  <c r="AD238" i="54"/>
  <c r="AX238" i="54" s="1"/>
  <c r="K238" i="65"/>
  <c r="K238" i="57"/>
  <c r="BI238" i="54"/>
  <c r="K70" i="65"/>
  <c r="K70" i="57"/>
  <c r="AD70" i="54"/>
  <c r="AX70" i="54" s="1"/>
  <c r="BI70" i="54"/>
  <c r="AD113" i="65"/>
  <c r="K113" i="56"/>
  <c r="K183" i="65"/>
  <c r="AD183" i="54"/>
  <c r="AX183" i="54" s="1"/>
  <c r="BI183" i="54"/>
  <c r="K183" i="57"/>
  <c r="AD150" i="57"/>
  <c r="K141" i="56"/>
  <c r="AD141" i="65"/>
  <c r="AS265" i="56"/>
  <c r="AD265" i="56"/>
  <c r="K245" i="65"/>
  <c r="K245" i="57"/>
  <c r="BI245" i="54"/>
  <c r="AD245" i="54"/>
  <c r="AX245" i="54" s="1"/>
  <c r="AD66" i="65"/>
  <c r="K66" i="56"/>
  <c r="K264" i="65"/>
  <c r="K264" i="57"/>
  <c r="BI264" i="54"/>
  <c r="AD264" i="54"/>
  <c r="AX264" i="54" s="1"/>
  <c r="K54" i="65"/>
  <c r="K54" i="57"/>
  <c r="AD54" i="54"/>
  <c r="AX54" i="54" s="1"/>
  <c r="BI54" i="54"/>
  <c r="BI24" i="54"/>
  <c r="G66" i="66"/>
  <c r="K24" i="57"/>
  <c r="K24" i="65"/>
  <c r="AD24" i="54"/>
  <c r="AX24" i="54" s="1"/>
  <c r="K132" i="65"/>
  <c r="K132" i="57"/>
  <c r="AD132" i="54"/>
  <c r="AX132" i="54" s="1"/>
  <c r="BI132" i="54"/>
  <c r="AD175" i="54"/>
  <c r="AX175" i="54" s="1"/>
  <c r="K175" i="57"/>
  <c r="K175" i="65"/>
  <c r="BI175" i="54"/>
  <c r="K164" i="65"/>
  <c r="AD164" i="54"/>
  <c r="AX164" i="54" s="1"/>
  <c r="K164" i="57"/>
  <c r="BI164" i="54"/>
  <c r="K167" i="56"/>
  <c r="AD167" i="65"/>
  <c r="K257" i="56"/>
  <c r="AD257" i="65"/>
  <c r="AD137" i="54"/>
  <c r="AX137" i="54" s="1"/>
  <c r="K137" i="57"/>
  <c r="K137" i="65"/>
  <c r="BI137" i="54"/>
  <c r="AS16" i="56"/>
  <c r="AD16" i="56"/>
  <c r="AD285" i="65"/>
  <c r="K285" i="56"/>
  <c r="AD295" i="65"/>
  <c r="K295" i="56"/>
  <c r="AD55" i="65"/>
  <c r="K55" i="56"/>
  <c r="K46" i="65"/>
  <c r="BI46" i="54"/>
  <c r="AD46" i="54"/>
  <c r="AX46" i="54" s="1"/>
  <c r="K46" i="57"/>
  <c r="K199" i="56"/>
  <c r="AD199" i="65"/>
  <c r="AE182" i="51"/>
  <c r="AD301" i="65"/>
  <c r="K301" i="56"/>
  <c r="K248" i="57"/>
  <c r="AD248" i="54"/>
  <c r="AX248" i="54" s="1"/>
  <c r="K248" i="65"/>
  <c r="BI248" i="54"/>
  <c r="AD249" i="65"/>
  <c r="K249" i="56"/>
  <c r="AD118" i="54"/>
  <c r="AX118" i="54" s="1"/>
  <c r="K118" i="65"/>
  <c r="BI118" i="54"/>
  <c r="K118" i="57"/>
  <c r="K184" i="56"/>
  <c r="AD184" i="65"/>
  <c r="K241" i="68"/>
  <c r="AD234" i="57"/>
  <c r="K41" i="57"/>
  <c r="K23" i="68" s="1"/>
  <c r="K41" i="65"/>
  <c r="AD41" i="54"/>
  <c r="AX41" i="54" s="1"/>
  <c r="BI41" i="54"/>
  <c r="AD80" i="57"/>
  <c r="AD243" i="54"/>
  <c r="AX243" i="54" s="1"/>
  <c r="K243" i="57"/>
  <c r="BI243" i="54"/>
  <c r="K243" i="65"/>
  <c r="K287" i="65"/>
  <c r="K287" i="57"/>
  <c r="BI287" i="54"/>
  <c r="AD287" i="54"/>
  <c r="AX287" i="54" s="1"/>
  <c r="K199" i="68"/>
  <c r="AD192" i="57"/>
  <c r="K144" i="56"/>
  <c r="AD144" i="65"/>
  <c r="K101" i="65"/>
  <c r="K101" i="57"/>
  <c r="K35" i="68" s="1"/>
  <c r="AD101" i="54"/>
  <c r="AX101" i="54" s="1"/>
  <c r="BI101" i="54"/>
  <c r="K279" i="65"/>
  <c r="K279" i="57"/>
  <c r="BI279" i="54"/>
  <c r="AD279" i="54"/>
  <c r="AX279" i="54" s="1"/>
  <c r="AD253" i="54"/>
  <c r="AX253" i="54" s="1"/>
  <c r="K253" i="57"/>
  <c r="BI253" i="54"/>
  <c r="K253" i="65"/>
  <c r="AD257" i="57"/>
  <c r="AD67" i="57"/>
  <c r="AD196" i="57"/>
  <c r="K43" i="56"/>
  <c r="AD43" i="65"/>
  <c r="AD268" i="54"/>
  <c r="AX268" i="54" s="1"/>
  <c r="K268" i="65"/>
  <c r="K268" i="57"/>
  <c r="BI268" i="54"/>
  <c r="AD23" i="57"/>
  <c r="K30" i="68"/>
  <c r="AD95" i="54"/>
  <c r="AX95" i="54" s="1"/>
  <c r="K95" i="65"/>
  <c r="K95" i="57"/>
  <c r="BI95" i="54"/>
  <c r="AD260" i="54"/>
  <c r="AX260" i="54" s="1"/>
  <c r="K260" i="65"/>
  <c r="BI260" i="54"/>
  <c r="K260" i="57"/>
  <c r="AD274" i="57"/>
  <c r="AD277" i="57"/>
  <c r="AD17" i="57"/>
  <c r="AE246" i="51"/>
  <c r="AD307" i="54"/>
  <c r="AX307" i="54" s="1"/>
  <c r="K307" i="57"/>
  <c r="BI307" i="54"/>
  <c r="K307" i="65"/>
  <c r="K100" i="57"/>
  <c r="AD100" i="54"/>
  <c r="AX100" i="54" s="1"/>
  <c r="K100" i="65"/>
  <c r="BI100" i="54"/>
  <c r="AE250" i="51"/>
  <c r="AD149" i="65"/>
  <c r="K149" i="56"/>
  <c r="AD197" i="57"/>
  <c r="AD145" i="56"/>
  <c r="AS145" i="56"/>
  <c r="AE58" i="51"/>
  <c r="BI163" i="54"/>
  <c r="K163" i="57"/>
  <c r="K163" i="65"/>
  <c r="AD163" i="54"/>
  <c r="AX163" i="54" s="1"/>
  <c r="K159" i="56"/>
  <c r="AD159" i="65"/>
  <c r="AD278" i="57"/>
  <c r="AE145" i="51"/>
  <c r="AD169" i="57"/>
  <c r="BI174" i="54"/>
  <c r="K174" i="57"/>
  <c r="K174" i="65"/>
  <c r="AD174" i="54"/>
  <c r="AX174" i="54" s="1"/>
  <c r="K73" i="65"/>
  <c r="K73" i="57"/>
  <c r="BI73" i="54"/>
  <c r="AD73" i="54"/>
  <c r="AX73" i="54" s="1"/>
  <c r="AE171" i="51"/>
  <c r="AD280" i="54"/>
  <c r="AX280" i="54" s="1"/>
  <c r="K280" i="57"/>
  <c r="BI280" i="54"/>
  <c r="K280" i="65"/>
  <c r="K107" i="65"/>
  <c r="K107" i="57"/>
  <c r="BI107" i="54"/>
  <c r="AD107" i="54"/>
  <c r="AX107" i="54" s="1"/>
  <c r="K29" i="57"/>
  <c r="K29" i="65"/>
  <c r="BI29" i="54"/>
  <c r="AD29" i="54"/>
  <c r="AX29" i="54" s="1"/>
  <c r="AD127" i="57"/>
  <c r="K261" i="56"/>
  <c r="AD261" i="65"/>
  <c r="AD290" i="57"/>
  <c r="K297" i="68"/>
  <c r="AD139" i="54"/>
  <c r="AX139" i="54" s="1"/>
  <c r="K139" i="65"/>
  <c r="K139" i="57"/>
  <c r="BI139" i="54"/>
  <c r="K109" i="57"/>
  <c r="K109" i="65"/>
  <c r="AD109" i="54"/>
  <c r="AX109" i="54" s="1"/>
  <c r="BI109" i="54"/>
  <c r="AD285" i="57"/>
  <c r="K292" i="68"/>
  <c r="AD147" i="65"/>
  <c r="K147" i="56"/>
  <c r="K302" i="68"/>
  <c r="AD295" i="57"/>
  <c r="K194" i="65"/>
  <c r="BI194" i="54"/>
  <c r="AD194" i="54"/>
  <c r="AX194" i="54" s="1"/>
  <c r="K194" i="57"/>
  <c r="K192" i="68"/>
  <c r="AD185" i="57"/>
  <c r="AD172" i="57"/>
  <c r="BI86" i="54"/>
  <c r="K86" i="57"/>
  <c r="K86" i="65"/>
  <c r="AD86" i="54"/>
  <c r="AX86" i="54" s="1"/>
  <c r="AD39" i="65"/>
  <c r="K39" i="56"/>
  <c r="K206" i="68"/>
  <c r="AD199" i="57"/>
  <c r="K71" i="65"/>
  <c r="K71" i="57"/>
  <c r="AD71" i="54"/>
  <c r="AX71" i="54" s="1"/>
  <c r="BI71" i="54"/>
  <c r="AD203" i="54"/>
  <c r="AX203" i="54" s="1"/>
  <c r="BI203" i="54"/>
  <c r="K203" i="65"/>
  <c r="K203" i="57"/>
  <c r="K49" i="57"/>
  <c r="K129" i="68" s="1"/>
  <c r="K49" i="65"/>
  <c r="BI49" i="54"/>
  <c r="AD49" i="54"/>
  <c r="AX49" i="54" s="1"/>
  <c r="K114" i="57"/>
  <c r="K114" i="65"/>
  <c r="AD114" i="54"/>
  <c r="AX114" i="54" s="1"/>
  <c r="BI114" i="54"/>
  <c r="AS28" i="56"/>
  <c r="AD28" i="56"/>
  <c r="AD294" i="56"/>
  <c r="AS294" i="56"/>
  <c r="K80" i="56"/>
  <c r="AD80" i="65"/>
  <c r="K270" i="56"/>
  <c r="AD270" i="65"/>
  <c r="K293" i="65"/>
  <c r="K293" i="57"/>
  <c r="AD293" i="54"/>
  <c r="AX293" i="54" s="1"/>
  <c r="BI293" i="54"/>
  <c r="K266" i="57"/>
  <c r="K266" i="65"/>
  <c r="AD266" i="54"/>
  <c r="AX266" i="54" s="1"/>
  <c r="BI266" i="54"/>
  <c r="K17" i="56"/>
  <c r="AD17" i="65"/>
  <c r="AD119" i="56"/>
  <c r="AS119" i="56"/>
  <c r="AE122" i="51"/>
  <c r="K230" i="57"/>
  <c r="BI230" i="54"/>
  <c r="K230" i="65"/>
  <c r="AD230" i="54"/>
  <c r="AX230" i="54" s="1"/>
  <c r="K68" i="65"/>
  <c r="K68" i="57"/>
  <c r="AD68" i="54"/>
  <c r="AX68" i="54" s="1"/>
  <c r="BI68" i="54"/>
  <c r="AD117" i="65"/>
  <c r="K117" i="56"/>
  <c r="BI102" i="54"/>
  <c r="K102" i="65"/>
  <c r="AD102" i="54"/>
  <c r="AX102" i="54" s="1"/>
  <c r="K102" i="57"/>
  <c r="BI140" i="54"/>
  <c r="K140" i="65"/>
  <c r="K140" i="57"/>
  <c r="AD140" i="54"/>
  <c r="AX140" i="54" s="1"/>
  <c r="AD159" i="57"/>
  <c r="AD278" i="65"/>
  <c r="K278" i="56"/>
  <c r="AD158" i="65"/>
  <c r="K158" i="56"/>
  <c r="K212" i="56"/>
  <c r="AD212" i="65"/>
  <c r="K32" i="65"/>
  <c r="AD32" i="54"/>
  <c r="AX32" i="54" s="1"/>
  <c r="BI32" i="54"/>
  <c r="K32" i="57"/>
  <c r="AD94" i="56"/>
  <c r="AS94" i="56"/>
  <c r="K81" i="56"/>
  <c r="AD81" i="65"/>
  <c r="AD221" i="65"/>
  <c r="K221" i="56"/>
  <c r="AS182" i="56"/>
  <c r="AD182" i="56"/>
  <c r="K252" i="57"/>
  <c r="BI252" i="54"/>
  <c r="K252" i="65"/>
  <c r="AD252" i="54"/>
  <c r="AX252" i="54" s="1"/>
  <c r="AE16" i="51"/>
  <c r="AD127" i="65"/>
  <c r="K127" i="56"/>
  <c r="K198" i="65"/>
  <c r="AD198" i="54"/>
  <c r="AX198" i="54" s="1"/>
  <c r="K198" i="57"/>
  <c r="BI198" i="54"/>
  <c r="K273" i="57"/>
  <c r="AD273" i="54"/>
  <c r="AX273" i="54" s="1"/>
  <c r="K273" i="65"/>
  <c r="BI273" i="54"/>
  <c r="AS122" i="56"/>
  <c r="AD122" i="56"/>
  <c r="BI57" i="54"/>
  <c r="K57" i="65"/>
  <c r="AD57" i="54"/>
  <c r="AX57" i="54" s="1"/>
  <c r="K57" i="57"/>
  <c r="AD26" i="57"/>
  <c r="K76" i="65"/>
  <c r="K76" i="57"/>
  <c r="BI76" i="54"/>
  <c r="AD76" i="54"/>
  <c r="AX76" i="54" s="1"/>
  <c r="AD269" i="57"/>
  <c r="K276" i="68"/>
  <c r="AD147" i="57"/>
  <c r="K29" i="68"/>
  <c r="AD22" i="57"/>
  <c r="AD55" i="57"/>
  <c r="K62" i="68"/>
  <c r="K185" i="56"/>
  <c r="AD185" i="65"/>
  <c r="AE294" i="51"/>
  <c r="K198" i="68"/>
  <c r="AD191" i="57"/>
  <c r="K217" i="57"/>
  <c r="BI217" i="54"/>
  <c r="K217" i="65"/>
  <c r="AD217" i="54"/>
  <c r="AX217" i="54" s="1"/>
  <c r="K23" i="56"/>
  <c r="AD23" i="65"/>
  <c r="AD270" i="57"/>
  <c r="AD129" i="54"/>
  <c r="AX129" i="54" s="1"/>
  <c r="K129" i="57"/>
  <c r="BI129" i="54"/>
  <c r="K129" i="65"/>
  <c r="AD58" i="56"/>
  <c r="AS58" i="56"/>
  <c r="R37" i="66"/>
  <c r="AN37" i="66" s="1"/>
  <c r="AD37" i="66"/>
  <c r="AX37" i="66"/>
  <c r="K91" i="65"/>
  <c r="BI91" i="54"/>
  <c r="K91" i="57"/>
  <c r="AD91" i="54"/>
  <c r="AX91" i="54" s="1"/>
  <c r="K228" i="57"/>
  <c r="K65" i="68" s="1"/>
  <c r="AD228" i="54"/>
  <c r="AX228" i="54" s="1"/>
  <c r="K228" i="65"/>
  <c r="BI228" i="54"/>
  <c r="BI115" i="54"/>
  <c r="K115" i="65"/>
  <c r="K115" i="57"/>
  <c r="K141" i="68" s="1"/>
  <c r="AD115" i="54"/>
  <c r="AX115" i="54" s="1"/>
  <c r="K96" i="56"/>
  <c r="AD96" i="65"/>
  <c r="K296" i="68"/>
  <c r="AD289" i="57"/>
  <c r="K88" i="65"/>
  <c r="BI88" i="54"/>
  <c r="K88" i="57"/>
  <c r="K284" i="68" s="1"/>
  <c r="AD88" i="54"/>
  <c r="AX88" i="54" s="1"/>
  <c r="AD84" i="65"/>
  <c r="K84" i="56"/>
  <c r="AD246" i="56"/>
  <c r="AS246" i="56"/>
  <c r="AD186" i="57"/>
  <c r="K193" i="68"/>
  <c r="AD81" i="57"/>
  <c r="BI296" i="54"/>
  <c r="K296" i="57"/>
  <c r="K74" i="68" s="1"/>
  <c r="AD296" i="54"/>
  <c r="AX296" i="54" s="1"/>
  <c r="K296" i="65"/>
  <c r="AD290" i="65"/>
  <c r="K290" i="56"/>
  <c r="K165" i="56"/>
  <c r="AD165" i="65"/>
  <c r="BI44" i="54"/>
  <c r="K44" i="57"/>
  <c r="AD44" i="54"/>
  <c r="AX44" i="54" s="1"/>
  <c r="K44" i="65"/>
  <c r="BI306" i="54"/>
  <c r="K306" i="65"/>
  <c r="AD306" i="54"/>
  <c r="AX306" i="54" s="1"/>
  <c r="K306" i="57"/>
  <c r="AD306" i="57" s="1"/>
  <c r="K269" i="56"/>
  <c r="AD269" i="65"/>
  <c r="K202" i="57"/>
  <c r="K301" i="68" s="1"/>
  <c r="AD202" i="54"/>
  <c r="AX202" i="54" s="1"/>
  <c r="K202" i="65"/>
  <c r="BI202" i="54"/>
  <c r="K36" i="57"/>
  <c r="K36" i="65"/>
  <c r="AD36" i="54"/>
  <c r="AX36" i="54" s="1"/>
  <c r="BI36" i="54"/>
  <c r="AD22" i="65"/>
  <c r="K22" i="56"/>
  <c r="AD112" i="54"/>
  <c r="AX112" i="54" s="1"/>
  <c r="K112" i="57"/>
  <c r="K112" i="65"/>
  <c r="BI112" i="54"/>
  <c r="AD227" i="57"/>
  <c r="K75" i="65"/>
  <c r="AD75" i="54"/>
  <c r="AX75" i="54" s="1"/>
  <c r="K75" i="57"/>
  <c r="BI75" i="54"/>
  <c r="K46" i="68"/>
  <c r="AD39" i="57"/>
  <c r="K120" i="57"/>
  <c r="AD120" i="54"/>
  <c r="AX120" i="54" s="1"/>
  <c r="BI120" i="54"/>
  <c r="K120" i="65"/>
  <c r="AD152" i="57"/>
  <c r="AE37" i="51"/>
  <c r="K275" i="65"/>
  <c r="K275" i="57"/>
  <c r="BI275" i="54"/>
  <c r="AD275" i="54"/>
  <c r="AX275" i="54" s="1"/>
  <c r="AD249" i="57"/>
  <c r="K256" i="68"/>
  <c r="BI168" i="54"/>
  <c r="AD168" i="54"/>
  <c r="AX168" i="54" s="1"/>
  <c r="K168" i="57"/>
  <c r="K157" i="68" s="1"/>
  <c r="K168" i="65"/>
  <c r="AD106" i="56"/>
  <c r="AS106" i="56"/>
  <c r="AD18" i="54"/>
  <c r="AX18" i="54" s="1"/>
  <c r="K18" i="57"/>
  <c r="K18" i="65"/>
  <c r="BI18" i="54"/>
  <c r="BI110" i="54"/>
  <c r="K110" i="65"/>
  <c r="AD110" i="54"/>
  <c r="AX110" i="54" s="1"/>
  <c r="K110" i="57"/>
  <c r="K105" i="57"/>
  <c r="BI105" i="54"/>
  <c r="K105" i="65"/>
  <c r="AD105" i="54"/>
  <c r="AX105" i="54" s="1"/>
  <c r="K283" i="68"/>
  <c r="AD276" i="57"/>
  <c r="K231" i="65"/>
  <c r="K231" i="57"/>
  <c r="AD231" i="54"/>
  <c r="AX231" i="54" s="1"/>
  <c r="BI231" i="54"/>
  <c r="AD300" i="54"/>
  <c r="AX300" i="54" s="1"/>
  <c r="K300" i="57"/>
  <c r="K159" i="68" s="1"/>
  <c r="BI300" i="54"/>
  <c r="K300" i="65"/>
  <c r="K259" i="65"/>
  <c r="K259" i="57"/>
  <c r="AD259" i="54"/>
  <c r="AX259" i="54" s="1"/>
  <c r="BI259" i="54"/>
  <c r="AD82" i="57"/>
  <c r="K89" i="68"/>
  <c r="K59" i="56"/>
  <c r="AD59" i="65"/>
  <c r="AD155" i="54"/>
  <c r="AX155" i="54" s="1"/>
  <c r="K155" i="65"/>
  <c r="K155" i="57"/>
  <c r="BI155" i="54"/>
  <c r="K222" i="65"/>
  <c r="K222" i="57"/>
  <c r="BI222" i="54"/>
  <c r="AD222" i="54"/>
  <c r="AX222" i="54" s="1"/>
  <c r="K219" i="68"/>
  <c r="AD212" i="57"/>
  <c r="K103" i="65"/>
  <c r="BI103" i="54"/>
  <c r="K103" i="57"/>
  <c r="AD103" i="54"/>
  <c r="AX103" i="54" s="1"/>
  <c r="K150" i="56"/>
  <c r="AD150" i="65"/>
  <c r="AD141" i="57"/>
  <c r="K148" i="68"/>
  <c r="K254" i="56"/>
  <c r="AD254" i="65"/>
  <c r="K52" i="57"/>
  <c r="K52" i="65"/>
  <c r="AD52" i="54"/>
  <c r="AX52" i="54" s="1"/>
  <c r="BI52" i="54"/>
  <c r="AD96" i="57"/>
  <c r="AD108" i="57"/>
  <c r="K31" i="57"/>
  <c r="K277" i="68" s="1"/>
  <c r="K31" i="65"/>
  <c r="AD31" i="54"/>
  <c r="AX31" i="54" s="1"/>
  <c r="BI31" i="54"/>
  <c r="AD210" i="54"/>
  <c r="AX210" i="54" s="1"/>
  <c r="BI210" i="54"/>
  <c r="K210" i="65"/>
  <c r="K210" i="57"/>
  <c r="K291" i="65"/>
  <c r="K291" i="57"/>
  <c r="AD291" i="54"/>
  <c r="AX291" i="54" s="1"/>
  <c r="BI291" i="54"/>
  <c r="AD79" i="54"/>
  <c r="AX79" i="54" s="1"/>
  <c r="BI79" i="54"/>
  <c r="K79" i="57"/>
  <c r="K79" i="65"/>
  <c r="BI48" i="54"/>
  <c r="K48" i="57"/>
  <c r="K48" i="65"/>
  <c r="AD48" i="54"/>
  <c r="AX48" i="54" s="1"/>
  <c r="K65" i="65"/>
  <c r="K65" i="57"/>
  <c r="AD65" i="54"/>
  <c r="AX65" i="54" s="1"/>
  <c r="BI65" i="54"/>
  <c r="BI38" i="54"/>
  <c r="K38" i="65"/>
  <c r="K38" i="57"/>
  <c r="K166" i="68" s="1"/>
  <c r="AD38" i="54"/>
  <c r="AX38" i="54" s="1"/>
  <c r="AE119" i="51"/>
  <c r="K289" i="56"/>
  <c r="AD289" i="65"/>
  <c r="AD116" i="57"/>
  <c r="BI220" i="54"/>
  <c r="K220" i="65"/>
  <c r="K220" i="57"/>
  <c r="AD220" i="54"/>
  <c r="AX220" i="54" s="1"/>
  <c r="AD221" i="57"/>
  <c r="K228" i="68"/>
  <c r="K72" i="65"/>
  <c r="K72" i="57"/>
  <c r="K281" i="68" s="1"/>
  <c r="AD72" i="54"/>
  <c r="AX72" i="54" s="1"/>
  <c r="BI72" i="54"/>
  <c r="K272" i="65"/>
  <c r="K272" i="57"/>
  <c r="BI272" i="54"/>
  <c r="AD272" i="54"/>
  <c r="AX272" i="54" s="1"/>
  <c r="BI304" i="54"/>
  <c r="K304" i="65"/>
  <c r="AD304" i="54"/>
  <c r="AX304" i="54" s="1"/>
  <c r="K304" i="57"/>
  <c r="K261" i="68"/>
  <c r="AD254" i="57"/>
  <c r="K20" i="56"/>
  <c r="AD20" i="65"/>
  <c r="BI33" i="54"/>
  <c r="K33" i="57"/>
  <c r="K33" i="65"/>
  <c r="AD33" i="54"/>
  <c r="AX33" i="54" s="1"/>
  <c r="K161" i="57"/>
  <c r="K161" i="65"/>
  <c r="AD161" i="54"/>
  <c r="AX161" i="54" s="1"/>
  <c r="BI161" i="54"/>
  <c r="AD263" i="57"/>
  <c r="K270" i="68"/>
  <c r="BI281" i="54"/>
  <c r="K281" i="57"/>
  <c r="K281" i="65"/>
  <c r="AD281" i="54"/>
  <c r="AX281" i="54" s="1"/>
  <c r="BI218" i="54"/>
  <c r="K218" i="65"/>
  <c r="K218" i="57"/>
  <c r="K44" i="68" s="1"/>
  <c r="AD218" i="54"/>
  <c r="AX218" i="54" s="1"/>
  <c r="AE244" i="51"/>
  <c r="AD26" i="65"/>
  <c r="K26" i="56"/>
  <c r="K206" i="65"/>
  <c r="BI206" i="54"/>
  <c r="K206" i="57"/>
  <c r="AD206" i="54"/>
  <c r="AX206" i="54" s="1"/>
  <c r="AD165" i="57"/>
  <c r="K135" i="56"/>
  <c r="AD135" i="65"/>
  <c r="K53" i="65"/>
  <c r="K53" i="57"/>
  <c r="AD53" i="54"/>
  <c r="AX53" i="54" s="1"/>
  <c r="BI53" i="54"/>
  <c r="AD247" i="54"/>
  <c r="AX247" i="54" s="1"/>
  <c r="K247" i="57"/>
  <c r="BI247" i="54"/>
  <c r="K247" i="65"/>
  <c r="K219" i="56"/>
  <c r="AD219" i="65"/>
  <c r="AD172" i="65"/>
  <c r="K172" i="56"/>
  <c r="K63" i="68"/>
  <c r="AD56" i="57"/>
  <c r="K69" i="57"/>
  <c r="K69" i="65"/>
  <c r="BI69" i="54"/>
  <c r="AD69" i="54"/>
  <c r="AX69" i="54" s="1"/>
  <c r="AD152" i="65"/>
  <c r="K152" i="56"/>
  <c r="AE106" i="51"/>
  <c r="K87" i="65"/>
  <c r="BI87" i="54"/>
  <c r="K87" i="57"/>
  <c r="K203" i="68" s="1"/>
  <c r="AD87" i="54"/>
  <c r="AX87" i="54" s="1"/>
  <c r="K232" i="57"/>
  <c r="K243" i="68" s="1"/>
  <c r="BI232" i="54"/>
  <c r="AD232" i="54"/>
  <c r="AX232" i="54" s="1"/>
  <c r="K232" i="65"/>
  <c r="K126" i="57"/>
  <c r="K211" i="68" s="1"/>
  <c r="K126" i="65"/>
  <c r="AD126" i="54"/>
  <c r="AX126" i="54" s="1"/>
  <c r="BI126" i="54"/>
  <c r="K173" i="65"/>
  <c r="BI173" i="54"/>
  <c r="AD173" i="54"/>
  <c r="AX173" i="54" s="1"/>
  <c r="K173" i="57"/>
  <c r="K103" i="68" s="1"/>
  <c r="AD274" i="65"/>
  <c r="K274" i="56"/>
  <c r="K166" i="65"/>
  <c r="K166" i="57"/>
  <c r="K101" i="68" s="1"/>
  <c r="AD166" i="54"/>
  <c r="AX166" i="54" s="1"/>
  <c r="BI166" i="54"/>
  <c r="K156" i="68"/>
  <c r="AD149" i="57"/>
  <c r="BI226" i="54"/>
  <c r="K226" i="65"/>
  <c r="K226" i="57"/>
  <c r="AD226" i="54"/>
  <c r="AX226" i="54" s="1"/>
  <c r="K108" i="56"/>
  <c r="AD108" i="65"/>
  <c r="K154" i="57"/>
  <c r="K154" i="65"/>
  <c r="AD154" i="54"/>
  <c r="AX154" i="54" s="1"/>
  <c r="BI154" i="54"/>
  <c r="AD177" i="54"/>
  <c r="AX177" i="54" s="1"/>
  <c r="K177" i="57"/>
  <c r="K177" i="65"/>
  <c r="BI177" i="54"/>
  <c r="AD104" i="54"/>
  <c r="AX104" i="54" s="1"/>
  <c r="K104" i="57"/>
  <c r="BI104" i="54"/>
  <c r="K104" i="65"/>
  <c r="K188" i="65"/>
  <c r="K188" i="57"/>
  <c r="AD188" i="54"/>
  <c r="AX188" i="54" s="1"/>
  <c r="BI188" i="54"/>
  <c r="K189" i="65"/>
  <c r="AD189" i="54"/>
  <c r="AX189" i="54" s="1"/>
  <c r="K189" i="57"/>
  <c r="BI189" i="54"/>
  <c r="K187" i="56"/>
  <c r="AD187" i="65"/>
  <c r="S15" i="60"/>
  <c r="G8" i="60"/>
  <c r="K14" i="15"/>
  <c r="K93" i="65"/>
  <c r="K93" i="57"/>
  <c r="K285" i="68" s="1"/>
  <c r="AD93" i="54"/>
  <c r="AX93" i="54" s="1"/>
  <c r="BI93" i="54"/>
  <c r="K201" i="65"/>
  <c r="K201" i="57"/>
  <c r="AD201" i="54"/>
  <c r="AX201" i="54" s="1"/>
  <c r="BI201" i="54"/>
  <c r="K66" i="68"/>
  <c r="AD59" i="57"/>
  <c r="K282" i="57"/>
  <c r="K264" i="68" s="1"/>
  <c r="AD282" i="54"/>
  <c r="AX282" i="54" s="1"/>
  <c r="K282" i="65"/>
  <c r="BI282" i="54"/>
  <c r="K124" i="68"/>
  <c r="AD117" i="57"/>
  <c r="AE94" i="51"/>
  <c r="AD97" i="65"/>
  <c r="K97" i="56"/>
  <c r="K179" i="56"/>
  <c r="AD179" i="65"/>
  <c r="K116" i="56"/>
  <c r="AD116" i="65"/>
  <c r="K186" i="56"/>
  <c r="AD186" i="65"/>
  <c r="K90" i="65"/>
  <c r="AD90" i="54"/>
  <c r="AX90" i="54" s="1"/>
  <c r="K90" i="57"/>
  <c r="K88" i="68" s="1"/>
  <c r="BI90" i="54"/>
  <c r="BI130" i="54"/>
  <c r="AD130" i="54"/>
  <c r="AX130" i="54" s="1"/>
  <c r="K130" i="65"/>
  <c r="K130" i="57"/>
  <c r="BI42" i="54"/>
  <c r="K42" i="65"/>
  <c r="K42" i="57"/>
  <c r="K24" i="68" s="1"/>
  <c r="AD42" i="54"/>
  <c r="AX42" i="54" s="1"/>
  <c r="K151" i="65"/>
  <c r="AD151" i="54"/>
  <c r="AX151" i="54" s="1"/>
  <c r="BI151" i="54"/>
  <c r="K151" i="57"/>
  <c r="AD156" i="54"/>
  <c r="AX156" i="54" s="1"/>
  <c r="K156" i="57"/>
  <c r="K154" i="68" s="1"/>
  <c r="K156" i="65"/>
  <c r="BI156" i="54"/>
  <c r="K298" i="65"/>
  <c r="K298" i="57"/>
  <c r="BI298" i="54"/>
  <c r="AD298" i="54"/>
  <c r="AX298" i="54" s="1"/>
  <c r="BI138" i="54"/>
  <c r="K138" i="65"/>
  <c r="K138" i="57"/>
  <c r="AD138" i="54"/>
  <c r="AX138" i="54" s="1"/>
  <c r="K256" i="56"/>
  <c r="AD256" i="65"/>
  <c r="AD263" i="65"/>
  <c r="K263" i="56"/>
  <c r="K157" i="65"/>
  <c r="AD157" i="54"/>
  <c r="AX157" i="54" s="1"/>
  <c r="K157" i="57"/>
  <c r="BI157" i="54"/>
  <c r="K284" i="65"/>
  <c r="K284" i="57"/>
  <c r="BI284" i="54"/>
  <c r="AD284" i="54"/>
  <c r="AX284" i="54" s="1"/>
  <c r="K215" i="68"/>
  <c r="AD208" i="57"/>
  <c r="AD219" i="57"/>
  <c r="K226" i="68"/>
  <c r="AD227" i="65"/>
  <c r="K227" i="56"/>
  <c r="K67" i="56"/>
  <c r="AD67" i="65"/>
  <c r="AD191" i="65"/>
  <c r="K191" i="56"/>
  <c r="K50" i="68"/>
  <c r="AD43" i="57"/>
  <c r="K240" i="56"/>
  <c r="AD240" i="65"/>
  <c r="K85" i="65"/>
  <c r="K85" i="57"/>
  <c r="K134" i="68" s="1"/>
  <c r="AD85" i="54"/>
  <c r="AX85" i="54" s="1"/>
  <c r="BI85" i="54"/>
  <c r="AD19" i="57"/>
  <c r="K26" i="68"/>
  <c r="K128" i="68"/>
  <c r="AD121" i="57"/>
  <c r="K251" i="65"/>
  <c r="AD251" i="54"/>
  <c r="AX251" i="54" s="1"/>
  <c r="BI251" i="54"/>
  <c r="K251" i="57"/>
  <c r="K78" i="57"/>
  <c r="K78" i="65"/>
  <c r="BI78" i="54"/>
  <c r="AD78" i="54"/>
  <c r="AX78" i="54" s="1"/>
  <c r="K25" i="65"/>
  <c r="K25" i="57"/>
  <c r="AD25" i="54"/>
  <c r="AX25" i="54" s="1"/>
  <c r="BI25" i="54"/>
  <c r="K269" i="68"/>
  <c r="AD262" i="57"/>
  <c r="BI223" i="54"/>
  <c r="K223" i="65"/>
  <c r="AD223" i="54"/>
  <c r="AX223" i="54" s="1"/>
  <c r="K223" i="57"/>
  <c r="AD124" i="54"/>
  <c r="AX124" i="54" s="1"/>
  <c r="K124" i="65"/>
  <c r="K124" i="57"/>
  <c r="BI124" i="54"/>
  <c r="K111" i="57"/>
  <c r="AD111" i="54"/>
  <c r="AX111" i="54" s="1"/>
  <c r="K111" i="65"/>
  <c r="BI111" i="54"/>
  <c r="AD207" i="57"/>
  <c r="K302" i="57"/>
  <c r="BI302" i="54"/>
  <c r="K302" i="65"/>
  <c r="AD302" i="54"/>
  <c r="AX302" i="54" s="1"/>
  <c r="K276" i="56"/>
  <c r="AD276" i="65"/>
  <c r="AE28" i="51"/>
  <c r="AD187" i="57"/>
  <c r="AD286" i="54"/>
  <c r="AX286" i="54" s="1"/>
  <c r="K286" i="57"/>
  <c r="K286" i="65"/>
  <c r="BI286" i="54"/>
  <c r="AD195" i="57"/>
  <c r="K202" i="68"/>
  <c r="K233" i="57"/>
  <c r="AD233" i="54"/>
  <c r="AX233" i="54" s="1"/>
  <c r="BI233" i="54"/>
  <c r="K233" i="65"/>
  <c r="AD170" i="54"/>
  <c r="AX170" i="54" s="1"/>
  <c r="BI170" i="54"/>
  <c r="K170" i="57"/>
  <c r="K170" i="65"/>
  <c r="K303" i="57"/>
  <c r="K113" i="68" s="1"/>
  <c r="K303" i="65"/>
  <c r="AD303" i="54"/>
  <c r="AX303" i="54" s="1"/>
  <c r="BI303" i="54"/>
  <c r="AD134" i="65"/>
  <c r="K134" i="56"/>
  <c r="AD197" i="65"/>
  <c r="K197" i="56"/>
  <c r="K255" i="65"/>
  <c r="BI255" i="54"/>
  <c r="K255" i="57"/>
  <c r="AD255" i="54"/>
  <c r="AX255" i="54" s="1"/>
  <c r="K146" i="65"/>
  <c r="BI146" i="54"/>
  <c r="AD146" i="54"/>
  <c r="AX146" i="54" s="1"/>
  <c r="K146" i="57"/>
  <c r="AD97" i="57"/>
  <c r="K104" i="68"/>
  <c r="K162" i="65"/>
  <c r="AD162" i="54"/>
  <c r="AX162" i="54" s="1"/>
  <c r="BI162" i="54"/>
  <c r="K162" i="57"/>
  <c r="AD179" i="57"/>
  <c r="K186" i="68"/>
  <c r="K91" i="68"/>
  <c r="AD84" i="57"/>
  <c r="AD144" i="57"/>
  <c r="K151" i="68"/>
  <c r="K204" i="56"/>
  <c r="AD204" i="65"/>
  <c r="AD113" i="57"/>
  <c r="K120" i="68"/>
  <c r="K63" i="65"/>
  <c r="BI63" i="54"/>
  <c r="K63" i="57"/>
  <c r="AD63" i="54"/>
  <c r="AX63" i="54" s="1"/>
  <c r="BI181" i="54"/>
  <c r="K181" i="65"/>
  <c r="K181" i="57"/>
  <c r="AD181" i="54"/>
  <c r="AX181" i="54" s="1"/>
  <c r="AE180" i="51"/>
  <c r="K242" i="57"/>
  <c r="K308" i="68" s="1"/>
  <c r="K242" i="65"/>
  <c r="BI242" i="54"/>
  <c r="AD242" i="54"/>
  <c r="AX242" i="54" s="1"/>
  <c r="AD64" i="54"/>
  <c r="AX64" i="54" s="1"/>
  <c r="K64" i="65"/>
  <c r="BI64" i="54"/>
  <c r="K64" i="57"/>
  <c r="K33" i="68" s="1"/>
  <c r="BI99" i="54"/>
  <c r="K99" i="65"/>
  <c r="AD99" i="54"/>
  <c r="AX99" i="54" s="1"/>
  <c r="K99" i="57"/>
  <c r="AD66" i="57"/>
  <c r="K73" i="68"/>
  <c r="K27" i="68"/>
  <c r="AD20" i="57"/>
  <c r="AD256" i="57"/>
  <c r="K263" i="68"/>
  <c r="K193" i="57"/>
  <c r="AD193" i="54"/>
  <c r="AX193" i="54" s="1"/>
  <c r="K193" i="65"/>
  <c r="BI193" i="54"/>
  <c r="K268" i="68"/>
  <c r="AD261" i="57"/>
  <c r="AD34" i="54"/>
  <c r="AX34" i="54" s="1"/>
  <c r="K34" i="57"/>
  <c r="K189" i="68" s="1"/>
  <c r="BI34" i="54"/>
  <c r="K34" i="65"/>
  <c r="K82" i="56"/>
  <c r="AD82" i="65"/>
  <c r="AD135" i="57"/>
  <c r="K142" i="68"/>
  <c r="K185" i="68"/>
  <c r="AD178" i="57"/>
  <c r="K208" i="56"/>
  <c r="AD208" i="65"/>
  <c r="AD56" i="65"/>
  <c r="K56" i="56"/>
  <c r="AE89" i="51"/>
  <c r="K225" i="65"/>
  <c r="AD225" i="54"/>
  <c r="AX225" i="54" s="1"/>
  <c r="K225" i="57"/>
  <c r="BI225" i="54"/>
  <c r="K196" i="56"/>
  <c r="AD196" i="65"/>
  <c r="K128" i="57"/>
  <c r="K128" i="65"/>
  <c r="AD128" i="54"/>
  <c r="AX128" i="54" s="1"/>
  <c r="BI128" i="54"/>
  <c r="K19" i="56"/>
  <c r="AD19" i="65"/>
  <c r="K98" i="65"/>
  <c r="BI98" i="54"/>
  <c r="AD98" i="54"/>
  <c r="AX98" i="54" s="1"/>
  <c r="K98" i="57"/>
  <c r="K123" i="68" s="1"/>
  <c r="AD184" i="57"/>
  <c r="K191" i="68"/>
  <c r="K239" i="57"/>
  <c r="K239" i="65"/>
  <c r="BI239" i="54"/>
  <c r="AD239" i="54"/>
  <c r="AX239" i="54" s="1"/>
  <c r="K15" i="57"/>
  <c r="K115" i="68" s="1"/>
  <c r="AD15" i="54"/>
  <c r="AX15" i="54" s="1"/>
  <c r="BI15" i="54"/>
  <c r="K15" i="65"/>
  <c r="K83" i="57"/>
  <c r="K83" i="65"/>
  <c r="AD83" i="54"/>
  <c r="AX83" i="54" s="1"/>
  <c r="BI83" i="54"/>
  <c r="K121" i="56"/>
  <c r="AD121" i="65"/>
  <c r="K213" i="57"/>
  <c r="AD213" i="54"/>
  <c r="AX213" i="54" s="1"/>
  <c r="K213" i="65"/>
  <c r="BI213" i="54"/>
  <c r="K179" i="68" l="1"/>
  <c r="K174" i="68"/>
  <c r="AC291" i="42"/>
  <c r="K190" i="53"/>
  <c r="K271" i="53"/>
  <c r="K133" i="53"/>
  <c r="L133" i="53"/>
  <c r="K171" i="53"/>
  <c r="K258" i="53"/>
  <c r="AC164" i="42"/>
  <c r="K200" i="53"/>
  <c r="L200" i="53"/>
  <c r="AC266" i="42"/>
  <c r="K125" i="53"/>
  <c r="AC140" i="42"/>
  <c r="K77" i="53"/>
  <c r="M358" i="42"/>
  <c r="K123" i="53"/>
  <c r="AC54" i="42"/>
  <c r="AC239" i="42"/>
  <c r="K136" i="53"/>
  <c r="AD136" i="42"/>
  <c r="AC150" i="42"/>
  <c r="K21" i="53"/>
  <c r="K205" i="53"/>
  <c r="K215" i="53"/>
  <c r="L215" i="53"/>
  <c r="AC25" i="42"/>
  <c r="K237" i="53"/>
  <c r="K229" i="53"/>
  <c r="K267" i="53"/>
  <c r="M345" i="42"/>
  <c r="K27" i="53"/>
  <c r="AC270" i="42"/>
  <c r="K305" i="53"/>
  <c r="K224" i="53"/>
  <c r="AD224" i="42"/>
  <c r="K180" i="53"/>
  <c r="K153" i="53"/>
  <c r="K47" i="53"/>
  <c r="AC183" i="42"/>
  <c r="L183" i="53"/>
  <c r="AC264" i="42"/>
  <c r="K61" i="53"/>
  <c r="AC290" i="42"/>
  <c r="K214" i="53"/>
  <c r="M332" i="42"/>
  <c r="K62" i="53"/>
  <c r="AC95" i="42"/>
  <c r="AC221" i="42"/>
  <c r="K89" i="53"/>
  <c r="AD89" i="42"/>
  <c r="AC281" i="42"/>
  <c r="K176" i="53"/>
  <c r="AC126" i="42"/>
  <c r="AC69" i="42"/>
  <c r="M346" i="42"/>
  <c r="AC203" i="42"/>
  <c r="K241" i="53"/>
  <c r="K30" i="53"/>
  <c r="AC202" i="42"/>
  <c r="M344" i="42"/>
  <c r="K92" i="53"/>
  <c r="K50" i="53"/>
  <c r="K283" i="53"/>
  <c r="K211" i="53"/>
  <c r="AD211" i="42"/>
  <c r="K250" i="53"/>
  <c r="K297" i="53"/>
  <c r="K60" i="53"/>
  <c r="K74" i="53"/>
  <c r="M317" i="42"/>
  <c r="K131" i="53"/>
  <c r="AX4" i="70"/>
  <c r="AD35" i="65"/>
  <c r="K35" i="56"/>
  <c r="AD37" i="56"/>
  <c r="AS37" i="56"/>
  <c r="K47" i="68"/>
  <c r="AD40" i="57"/>
  <c r="AE40" i="51"/>
  <c r="AD40" i="65"/>
  <c r="K40" i="56"/>
  <c r="AE35" i="51"/>
  <c r="AD35" i="57"/>
  <c r="K42" i="68"/>
  <c r="K15" i="56"/>
  <c r="AD15" i="65"/>
  <c r="AD196" i="56"/>
  <c r="AS196" i="56"/>
  <c r="K303" i="56"/>
  <c r="AD303" i="65"/>
  <c r="AE207" i="51"/>
  <c r="AD284" i="65"/>
  <c r="K284" i="56"/>
  <c r="K156" i="56"/>
  <c r="AD156" i="65"/>
  <c r="AD188" i="57"/>
  <c r="K195" i="68"/>
  <c r="AE56" i="51"/>
  <c r="K288" i="68"/>
  <c r="AD281" i="57"/>
  <c r="AD304" i="65"/>
  <c r="K304" i="56"/>
  <c r="K231" i="56"/>
  <c r="AD231" i="65"/>
  <c r="AD142" i="42"/>
  <c r="L142" i="53"/>
  <c r="AD35" i="42"/>
  <c r="L35" i="53"/>
  <c r="L42" i="53"/>
  <c r="AD42" i="42"/>
  <c r="L288" i="53"/>
  <c r="AD288" i="42"/>
  <c r="L64" i="53"/>
  <c r="AD64" i="42"/>
  <c r="L102" i="53"/>
  <c r="AD102" i="42"/>
  <c r="L72" i="53"/>
  <c r="AD72" i="42"/>
  <c r="L80" i="53"/>
  <c r="AD80" i="42"/>
  <c r="AD140" i="42"/>
  <c r="L140" i="53"/>
  <c r="K210" i="68"/>
  <c r="AD203" i="57"/>
  <c r="AE215" i="51"/>
  <c r="AD248" i="57"/>
  <c r="K255" i="68"/>
  <c r="AS113" i="56"/>
  <c r="AD113" i="56"/>
  <c r="K240" i="68"/>
  <c r="AD233" i="57"/>
  <c r="K302" i="56"/>
  <c r="AD302" i="65"/>
  <c r="AD191" i="56"/>
  <c r="AS191" i="56"/>
  <c r="K138" i="56"/>
  <c r="AD138" i="65"/>
  <c r="K163" i="68"/>
  <c r="AD156" i="57"/>
  <c r="AD42" i="65"/>
  <c r="K42" i="56"/>
  <c r="AD179" i="56"/>
  <c r="AS179" i="56"/>
  <c r="K289" i="68"/>
  <c r="AD282" i="57"/>
  <c r="AD187" i="56"/>
  <c r="AS187" i="56"/>
  <c r="K188" i="56"/>
  <c r="AD188" i="65"/>
  <c r="AE27" i="51"/>
  <c r="K94" i="68"/>
  <c r="AD87" i="57"/>
  <c r="AD172" i="56"/>
  <c r="AS172" i="56"/>
  <c r="AE241" i="51"/>
  <c r="AD79" i="65"/>
  <c r="K79" i="56"/>
  <c r="K300" i="56"/>
  <c r="AD300" i="65"/>
  <c r="AE276" i="51"/>
  <c r="AE211" i="51"/>
  <c r="K25" i="68"/>
  <c r="AD18" i="57"/>
  <c r="AD168" i="65"/>
  <c r="K168" i="56"/>
  <c r="AE249" i="51"/>
  <c r="AD120" i="57"/>
  <c r="K127" i="68"/>
  <c r="K306" i="56"/>
  <c r="AD306" i="65"/>
  <c r="AD290" i="56"/>
  <c r="AS290" i="56"/>
  <c r="AE186" i="51"/>
  <c r="AD115" i="57"/>
  <c r="K122" i="68"/>
  <c r="AD91" i="57"/>
  <c r="K98" i="68"/>
  <c r="AD185" i="56"/>
  <c r="AS185" i="56"/>
  <c r="K83" i="68"/>
  <c r="AD76" i="57"/>
  <c r="AE267" i="51"/>
  <c r="K140" i="56"/>
  <c r="AD140" i="65"/>
  <c r="AE92" i="51"/>
  <c r="M352" i="42"/>
  <c r="AD40" i="42"/>
  <c r="L40" i="53"/>
  <c r="M327" i="42"/>
  <c r="AD257" i="42"/>
  <c r="L257" i="53"/>
  <c r="AD292" i="42"/>
  <c r="L292" i="53"/>
  <c r="L118" i="53"/>
  <c r="AD118" i="42"/>
  <c r="L229" i="53"/>
  <c r="AD229" i="42"/>
  <c r="L135" i="53"/>
  <c r="AD135" i="42"/>
  <c r="H30" i="66"/>
  <c r="AD24" i="42"/>
  <c r="L24" i="53"/>
  <c r="L66" i="53"/>
  <c r="AD66" i="42"/>
  <c r="L177" i="53"/>
  <c r="AD177" i="42"/>
  <c r="L56" i="53"/>
  <c r="AD56" i="42"/>
  <c r="L245" i="53"/>
  <c r="AD245" i="42"/>
  <c r="AD254" i="42"/>
  <c r="L254" i="53"/>
  <c r="AD196" i="42"/>
  <c r="L196" i="53"/>
  <c r="AD67" i="42"/>
  <c r="L67" i="53"/>
  <c r="AD139" i="42"/>
  <c r="L139" i="53"/>
  <c r="L31" i="53"/>
  <c r="AD31" i="42"/>
  <c r="AD175" i="42"/>
  <c r="L175" i="53"/>
  <c r="AD289" i="42"/>
  <c r="L289" i="53"/>
  <c r="AD158" i="42"/>
  <c r="L158" i="53"/>
  <c r="AD206" i="42"/>
  <c r="L206" i="53"/>
  <c r="AD29" i="42"/>
  <c r="L29" i="53"/>
  <c r="L43" i="53"/>
  <c r="AD43" i="42"/>
  <c r="AD239" i="42"/>
  <c r="L239" i="53"/>
  <c r="AD166" i="42"/>
  <c r="L166" i="53"/>
  <c r="AD144" i="42"/>
  <c r="L144" i="53"/>
  <c r="L63" i="53"/>
  <c r="AD63" i="42"/>
  <c r="L91" i="53"/>
  <c r="AD91" i="42"/>
  <c r="AD111" i="42"/>
  <c r="L111" i="53"/>
  <c r="L131" i="53"/>
  <c r="AD131" i="42"/>
  <c r="L160" i="53"/>
  <c r="AD160" i="42"/>
  <c r="L181" i="53"/>
  <c r="AD181" i="42"/>
  <c r="AD191" i="42"/>
  <c r="L191" i="53"/>
  <c r="L263" i="53"/>
  <c r="AD263" i="42"/>
  <c r="AD293" i="42"/>
  <c r="L293" i="53"/>
  <c r="K300" i="68"/>
  <c r="AD293" i="57"/>
  <c r="AE61" i="51"/>
  <c r="AD203" i="65"/>
  <c r="K203" i="56"/>
  <c r="AD86" i="65"/>
  <c r="K86" i="56"/>
  <c r="AE185" i="51"/>
  <c r="AD147" i="56"/>
  <c r="AS147" i="56"/>
  <c r="AD109" i="57"/>
  <c r="AE290" i="51"/>
  <c r="K114" i="68"/>
  <c r="AD107" i="57"/>
  <c r="AD280" i="57"/>
  <c r="K287" i="68"/>
  <c r="AD163" i="57"/>
  <c r="AD279" i="57"/>
  <c r="K286" i="68"/>
  <c r="K48" i="68"/>
  <c r="AD41" i="57"/>
  <c r="K118" i="56"/>
  <c r="AD118" i="65"/>
  <c r="AS301" i="56"/>
  <c r="AD301" i="56"/>
  <c r="K144" i="68"/>
  <c r="AD137" i="57"/>
  <c r="AD167" i="56"/>
  <c r="AS167" i="56"/>
  <c r="AD54" i="65"/>
  <c r="K54" i="56"/>
  <c r="AD262" i="56"/>
  <c r="AS262" i="56"/>
  <c r="AD45" i="65"/>
  <c r="K45" i="56"/>
  <c r="K155" i="68"/>
  <c r="AD148" i="57"/>
  <c r="AS277" i="56"/>
  <c r="AD277" i="56"/>
  <c r="K216" i="68"/>
  <c r="AD209" i="57"/>
  <c r="AD160" i="65"/>
  <c r="K160" i="56"/>
  <c r="AD143" i="57"/>
  <c r="K296" i="56"/>
  <c r="AD296" i="65"/>
  <c r="AD140" i="57"/>
  <c r="L84" i="53"/>
  <c r="AD84" i="42"/>
  <c r="L88" i="53"/>
  <c r="M330" i="42"/>
  <c r="AD88" i="42"/>
  <c r="M355" i="42"/>
  <c r="L275" i="53"/>
  <c r="AD275" i="42"/>
  <c r="AD186" i="42"/>
  <c r="L186" i="53"/>
  <c r="AD190" i="42"/>
  <c r="L190" i="53"/>
  <c r="K73" i="56"/>
  <c r="AD73" i="65"/>
  <c r="AD144" i="56"/>
  <c r="AS144" i="56"/>
  <c r="AE204" i="51"/>
  <c r="K167" i="68"/>
  <c r="AD160" i="57"/>
  <c r="AD239" i="57"/>
  <c r="K246" i="68"/>
  <c r="AE20" i="51"/>
  <c r="AD242" i="57"/>
  <c r="K249" i="68"/>
  <c r="AD162" i="65"/>
  <c r="K162" i="56"/>
  <c r="AD255" i="65"/>
  <c r="K255" i="56"/>
  <c r="K310" i="68"/>
  <c r="AD303" i="57"/>
  <c r="AD121" i="56"/>
  <c r="AS121" i="56"/>
  <c r="AD19" i="56"/>
  <c r="AS19" i="56"/>
  <c r="K232" i="68"/>
  <c r="AD225" i="57"/>
  <c r="AD208" i="56"/>
  <c r="AS208" i="56"/>
  <c r="AD64" i="57"/>
  <c r="K71" i="68"/>
  <c r="AD146" i="57"/>
  <c r="AS197" i="56"/>
  <c r="AD197" i="56"/>
  <c r="K170" i="56"/>
  <c r="AD170" i="65"/>
  <c r="AD124" i="57"/>
  <c r="K131" i="68"/>
  <c r="AE262" i="51"/>
  <c r="K78" i="56"/>
  <c r="AD78" i="65"/>
  <c r="AE121" i="51"/>
  <c r="K92" i="68"/>
  <c r="AD85" i="57"/>
  <c r="AE200" i="51"/>
  <c r="AD104" i="65"/>
  <c r="K104" i="56"/>
  <c r="AD173" i="65"/>
  <c r="K173" i="56"/>
  <c r="AD161" i="65"/>
  <c r="K161" i="56"/>
  <c r="AD20" i="56"/>
  <c r="AS20" i="56"/>
  <c r="K72" i="68"/>
  <c r="AD65" i="57"/>
  <c r="AD79" i="57"/>
  <c r="K86" i="68"/>
  <c r="K298" i="68"/>
  <c r="AD291" i="57"/>
  <c r="K31" i="56"/>
  <c r="AD31" i="65"/>
  <c r="AE96" i="51"/>
  <c r="K110" i="68"/>
  <c r="AD103" i="57"/>
  <c r="K229" i="68"/>
  <c r="AD222" i="57"/>
  <c r="AD155" i="57"/>
  <c r="AD168" i="57"/>
  <c r="K175" i="68"/>
  <c r="AD75" i="65"/>
  <c r="K75" i="56"/>
  <c r="AS22" i="56"/>
  <c r="AD22" i="56"/>
  <c r="K202" i="56"/>
  <c r="AD202" i="65"/>
  <c r="AD296" i="57"/>
  <c r="AD88" i="65"/>
  <c r="K88" i="56"/>
  <c r="AD115" i="65"/>
  <c r="K115" i="56"/>
  <c r="AD129" i="65"/>
  <c r="K129" i="56"/>
  <c r="AE270" i="51"/>
  <c r="AD76" i="65"/>
  <c r="K76" i="56"/>
  <c r="AD252" i="57"/>
  <c r="K259" i="68"/>
  <c r="AD32" i="57"/>
  <c r="K39" i="68"/>
  <c r="AD278" i="56"/>
  <c r="AS278" i="56"/>
  <c r="AS117" i="56"/>
  <c r="AD117" i="56"/>
  <c r="AE305" i="51"/>
  <c r="L269" i="53"/>
  <c r="AD269" i="42"/>
  <c r="AD145" i="42"/>
  <c r="L145" i="53"/>
  <c r="L44" i="53"/>
  <c r="AD44" i="42"/>
  <c r="L124" i="53"/>
  <c r="AD124" i="42"/>
  <c r="L68" i="53"/>
  <c r="AD68" i="42"/>
  <c r="L187" i="53"/>
  <c r="AD187" i="42"/>
  <c r="L185" i="53"/>
  <c r="AD185" i="42"/>
  <c r="L17" i="53"/>
  <c r="AD17" i="42"/>
  <c r="L296" i="53"/>
  <c r="AD296" i="42"/>
  <c r="L258" i="53"/>
  <c r="AD258" i="42"/>
  <c r="AD107" i="42"/>
  <c r="L107" i="53"/>
  <c r="L28" i="53"/>
  <c r="AD28" i="42"/>
  <c r="L235" i="53"/>
  <c r="AD235" i="42"/>
  <c r="L169" i="53"/>
  <c r="AD169" i="42"/>
  <c r="AD237" i="42"/>
  <c r="L237" i="53"/>
  <c r="AD272" i="42"/>
  <c r="L272" i="53"/>
  <c r="AD125" i="42"/>
  <c r="L125" i="53"/>
  <c r="L212" i="53"/>
  <c r="AD212" i="42"/>
  <c r="AD16" i="42"/>
  <c r="L16" i="53"/>
  <c r="AD262" i="42"/>
  <c r="L262" i="53"/>
  <c r="AD192" i="42"/>
  <c r="L192" i="53"/>
  <c r="L294" i="53"/>
  <c r="AD294" i="42"/>
  <c r="L184" i="53"/>
  <c r="AD184" i="42"/>
  <c r="L30" i="53"/>
  <c r="AD30" i="42"/>
  <c r="L178" i="53"/>
  <c r="AD178" i="42"/>
  <c r="L155" i="53"/>
  <c r="AD155" i="42"/>
  <c r="AD148" i="42"/>
  <c r="L148" i="53"/>
  <c r="L60" i="53"/>
  <c r="AD60" i="42"/>
  <c r="L103" i="53"/>
  <c r="AD103" i="42"/>
  <c r="AD171" i="42"/>
  <c r="L171" i="53"/>
  <c r="L153" i="53"/>
  <c r="AD153" i="42"/>
  <c r="AD180" i="42"/>
  <c r="L180" i="53"/>
  <c r="AD220" i="42"/>
  <c r="L220" i="53"/>
  <c r="AD210" i="42"/>
  <c r="L210" i="53"/>
  <c r="L233" i="53"/>
  <c r="AD233" i="42"/>
  <c r="L261" i="53"/>
  <c r="AD261" i="42"/>
  <c r="AD293" i="65"/>
  <c r="K293" i="56"/>
  <c r="K114" i="56"/>
  <c r="AD114" i="65"/>
  <c r="AE199" i="51"/>
  <c r="AD86" i="57"/>
  <c r="K201" i="68"/>
  <c r="AD194" i="57"/>
  <c r="AD107" i="65"/>
  <c r="K107" i="56"/>
  <c r="K174" i="56"/>
  <c r="AD174" i="65"/>
  <c r="AE277" i="51"/>
  <c r="AD268" i="57"/>
  <c r="K275" i="68"/>
  <c r="AE190" i="51"/>
  <c r="AD279" i="65"/>
  <c r="K279" i="56"/>
  <c r="AD46" i="65"/>
  <c r="K46" i="56"/>
  <c r="AD285" i="56"/>
  <c r="AS285" i="56"/>
  <c r="G17" i="66"/>
  <c r="K24" i="56"/>
  <c r="AD24" i="65"/>
  <c r="K252" i="68"/>
  <c r="AD245" i="57"/>
  <c r="AE150" i="51"/>
  <c r="AD169" i="56"/>
  <c r="AS169" i="56"/>
  <c r="AD299" i="65"/>
  <c r="K299" i="56"/>
  <c r="K52" i="68"/>
  <c r="AD45" i="57"/>
  <c r="K148" i="56"/>
  <c r="AD148" i="65"/>
  <c r="AD142" i="57"/>
  <c r="AE301" i="51"/>
  <c r="K209" i="56"/>
  <c r="AD209" i="65"/>
  <c r="K295" i="68"/>
  <c r="AD288" i="57"/>
  <c r="K18" i="56"/>
  <c r="AD18" i="65"/>
  <c r="AD88" i="57"/>
  <c r="K95" i="68"/>
  <c r="L255" i="53"/>
  <c r="AD255" i="42"/>
  <c r="L57" i="53"/>
  <c r="AD57" i="42"/>
  <c r="AD27" i="42"/>
  <c r="L27" i="53"/>
  <c r="AD219" i="42"/>
  <c r="L219" i="53"/>
  <c r="AD121" i="42"/>
  <c r="L121" i="53"/>
  <c r="L251" i="53"/>
  <c r="AD251" i="42"/>
  <c r="AD141" i="56"/>
  <c r="AS141" i="56"/>
  <c r="AE229" i="51"/>
  <c r="K34" i="56"/>
  <c r="AD34" i="65"/>
  <c r="K63" i="56"/>
  <c r="AD63" i="65"/>
  <c r="AD170" i="57"/>
  <c r="K177" i="68"/>
  <c r="AE187" i="51"/>
  <c r="AD302" i="57"/>
  <c r="K309" i="68"/>
  <c r="K111" i="56"/>
  <c r="AD111" i="65"/>
  <c r="K124" i="56"/>
  <c r="AD124" i="65"/>
  <c r="K85" i="68"/>
  <c r="AD78" i="57"/>
  <c r="AD85" i="65"/>
  <c r="K85" i="56"/>
  <c r="AS263" i="56"/>
  <c r="AD263" i="56"/>
  <c r="AD151" i="57"/>
  <c r="K97" i="68"/>
  <c r="AD90" i="57"/>
  <c r="AE153" i="51"/>
  <c r="AE59" i="51"/>
  <c r="K100" i="68"/>
  <c r="AD93" i="57"/>
  <c r="AD189" i="57"/>
  <c r="AD226" i="57"/>
  <c r="K233" i="68"/>
  <c r="AD166" i="57"/>
  <c r="K173" i="68"/>
  <c r="K87" i="56"/>
  <c r="AD87" i="65"/>
  <c r="AD53" i="57"/>
  <c r="AD206" i="57"/>
  <c r="K213" i="68"/>
  <c r="AD218" i="57"/>
  <c r="K225" i="68"/>
  <c r="AD161" i="57"/>
  <c r="AD72" i="57"/>
  <c r="K79" i="68"/>
  <c r="AE116" i="51"/>
  <c r="K65" i="56"/>
  <c r="AD65" i="65"/>
  <c r="K291" i="56"/>
  <c r="AD291" i="65"/>
  <c r="AD31" i="57"/>
  <c r="K38" i="68"/>
  <c r="AD254" i="56"/>
  <c r="AS254" i="56"/>
  <c r="AD222" i="65"/>
  <c r="K222" i="56"/>
  <c r="K155" i="56"/>
  <c r="AD155" i="65"/>
  <c r="K307" i="68"/>
  <c r="AD300" i="57"/>
  <c r="AD110" i="57"/>
  <c r="K117" i="68"/>
  <c r="AE152" i="51"/>
  <c r="AD44" i="65"/>
  <c r="K44" i="56"/>
  <c r="K91" i="56"/>
  <c r="AD91" i="65"/>
  <c r="AE147" i="51"/>
  <c r="AD221" i="56"/>
  <c r="AS221" i="56"/>
  <c r="AD102" i="57"/>
  <c r="K109" i="68"/>
  <c r="AD266" i="42"/>
  <c r="L266" i="53"/>
  <c r="AD285" i="42"/>
  <c r="L285" i="53"/>
  <c r="AD172" i="42"/>
  <c r="L172" i="53"/>
  <c r="L194" i="53"/>
  <c r="AD194" i="42"/>
  <c r="L209" i="53"/>
  <c r="AD209" i="42"/>
  <c r="L19" i="53"/>
  <c r="AD19" i="42"/>
  <c r="L138" i="53"/>
  <c r="AD138" i="42"/>
  <c r="L246" i="53"/>
  <c r="AD246" i="42"/>
  <c r="L274" i="53"/>
  <c r="AD274" i="42"/>
  <c r="L287" i="53"/>
  <c r="AD287" i="42"/>
  <c r="AD149" i="42"/>
  <c r="L149" i="53"/>
  <c r="L21" i="53"/>
  <c r="AD21" i="42"/>
  <c r="L94" i="53"/>
  <c r="AD94" i="42"/>
  <c r="L165" i="53"/>
  <c r="AD165" i="42"/>
  <c r="L15" i="53"/>
  <c r="AD15" i="42"/>
  <c r="L106" i="53"/>
  <c r="AD106" i="42"/>
  <c r="L39" i="53"/>
  <c r="AD39" i="42"/>
  <c r="AD238" i="42"/>
  <c r="L238" i="53"/>
  <c r="AD104" i="42"/>
  <c r="L104" i="53"/>
  <c r="M356" i="42"/>
  <c r="M331" i="42"/>
  <c r="L32" i="53"/>
  <c r="AD32" i="42"/>
  <c r="AD132" i="42"/>
  <c r="L132" i="53"/>
  <c r="L199" i="53"/>
  <c r="AD199" i="42"/>
  <c r="AD36" i="42"/>
  <c r="L36" i="53"/>
  <c r="AD116" i="42"/>
  <c r="L116" i="53"/>
  <c r="AD152" i="42"/>
  <c r="L152" i="53"/>
  <c r="AD259" i="42"/>
  <c r="L259" i="53"/>
  <c r="AD85" i="42"/>
  <c r="L85" i="53"/>
  <c r="AD51" i="42"/>
  <c r="L51" i="53"/>
  <c r="L90" i="53"/>
  <c r="AD90" i="42"/>
  <c r="L273" i="53"/>
  <c r="AD273" i="42"/>
  <c r="L223" i="53"/>
  <c r="AD223" i="42"/>
  <c r="L253" i="53"/>
  <c r="AD253" i="42"/>
  <c r="L241" i="53"/>
  <c r="AD241" i="42"/>
  <c r="AD243" i="42"/>
  <c r="L243" i="53"/>
  <c r="AD280" i="42"/>
  <c r="L280" i="53"/>
  <c r="L300" i="53"/>
  <c r="AD300" i="42"/>
  <c r="AD114" i="57"/>
  <c r="K121" i="68"/>
  <c r="AD39" i="56"/>
  <c r="AS39" i="56"/>
  <c r="AD139" i="57"/>
  <c r="K146" i="68"/>
  <c r="AD174" i="57"/>
  <c r="AE278" i="51"/>
  <c r="AE197" i="51"/>
  <c r="AD100" i="65"/>
  <c r="K100" i="56"/>
  <c r="AD95" i="57"/>
  <c r="K102" i="68"/>
  <c r="AD268" i="65"/>
  <c r="K268" i="56"/>
  <c r="AD253" i="65"/>
  <c r="K253" i="56"/>
  <c r="AE258" i="51"/>
  <c r="AD287" i="57"/>
  <c r="K294" i="68"/>
  <c r="AE80" i="51"/>
  <c r="AS249" i="56"/>
  <c r="AD249" i="56"/>
  <c r="AD55" i="56"/>
  <c r="AS55" i="56"/>
  <c r="K171" i="68"/>
  <c r="AD164" i="57"/>
  <c r="K31" i="68"/>
  <c r="AD24" i="57"/>
  <c r="AD245" i="65"/>
  <c r="K245" i="56"/>
  <c r="AD292" i="65"/>
  <c r="K292" i="56"/>
  <c r="K142" i="56"/>
  <c r="AD142" i="65"/>
  <c r="K288" i="56"/>
  <c r="AD288" i="65"/>
  <c r="K220" i="68"/>
  <c r="AD213" i="57"/>
  <c r="AD98" i="65"/>
  <c r="K98" i="56"/>
  <c r="K242" i="56"/>
  <c r="AD242" i="65"/>
  <c r="AE84" i="51"/>
  <c r="AE43" i="51"/>
  <c r="AE271" i="51"/>
  <c r="AD42" i="57"/>
  <c r="K49" i="68"/>
  <c r="K184" i="68"/>
  <c r="AD177" i="57"/>
  <c r="AE149" i="51"/>
  <c r="AE165" i="51"/>
  <c r="AS150" i="56"/>
  <c r="AD150" i="56"/>
  <c r="AE82" i="51"/>
  <c r="K82" i="68"/>
  <c r="AD75" i="57"/>
  <c r="AD165" i="56"/>
  <c r="AS165" i="56"/>
  <c r="K57" i="56"/>
  <c r="AD57" i="65"/>
  <c r="AD232" i="42"/>
  <c r="L232" i="53"/>
  <c r="AD234" i="56"/>
  <c r="AS234" i="56"/>
  <c r="AD204" i="56"/>
  <c r="AS204" i="56"/>
  <c r="AE195" i="51"/>
  <c r="AS97" i="56"/>
  <c r="AD97" i="56"/>
  <c r="K93" i="56"/>
  <c r="AD93" i="65"/>
  <c r="K111" i="68"/>
  <c r="AD104" i="57"/>
  <c r="K154" i="56"/>
  <c r="AD154" i="65"/>
  <c r="K226" i="56"/>
  <c r="AD226" i="65"/>
  <c r="AD166" i="65"/>
  <c r="K166" i="56"/>
  <c r="AD232" i="65"/>
  <c r="K232" i="56"/>
  <c r="K69" i="56"/>
  <c r="AD69" i="65"/>
  <c r="AD219" i="56"/>
  <c r="AS219" i="56"/>
  <c r="K53" i="56"/>
  <c r="AD53" i="65"/>
  <c r="AD218" i="65"/>
  <c r="K218" i="56"/>
  <c r="AE297" i="51"/>
  <c r="AD272" i="57"/>
  <c r="K72" i="56"/>
  <c r="AD72" i="65"/>
  <c r="K227" i="68"/>
  <c r="AD220" i="57"/>
  <c r="AD210" i="57"/>
  <c r="K103" i="56"/>
  <c r="AD103" i="65"/>
  <c r="AE50" i="51"/>
  <c r="AD275" i="57"/>
  <c r="K282" i="68"/>
  <c r="AE39" i="51"/>
  <c r="AD202" i="57"/>
  <c r="K209" i="68"/>
  <c r="K136" i="68"/>
  <c r="AD129" i="57"/>
  <c r="AD23" i="56"/>
  <c r="AS23" i="56"/>
  <c r="AE55" i="51"/>
  <c r="AD198" i="57"/>
  <c r="K205" i="68"/>
  <c r="AD137" i="42"/>
  <c r="L137" i="53"/>
  <c r="L174" i="53"/>
  <c r="AD174" i="42"/>
  <c r="AD134" i="42"/>
  <c r="L134" i="53"/>
  <c r="AD65" i="42"/>
  <c r="L65" i="53"/>
  <c r="L278" i="53"/>
  <c r="AD278" i="42"/>
  <c r="AD205" i="42"/>
  <c r="L205" i="53"/>
  <c r="L236" i="53"/>
  <c r="AD236" i="42"/>
  <c r="L58" i="53"/>
  <c r="AD58" i="42"/>
  <c r="L204" i="53"/>
  <c r="AD204" i="42"/>
  <c r="L52" i="53"/>
  <c r="AD52" i="42"/>
  <c r="L86" i="53"/>
  <c r="AD86" i="42"/>
  <c r="L96" i="53"/>
  <c r="AD96" i="42"/>
  <c r="AD298" i="42"/>
  <c r="L298" i="53"/>
  <c r="AD105" i="42"/>
  <c r="L105" i="53"/>
  <c r="L248" i="53"/>
  <c r="AD248" i="42"/>
  <c r="AD48" i="42"/>
  <c r="L48" i="53"/>
  <c r="L189" i="53"/>
  <c r="AD189" i="42"/>
  <c r="AD122" i="42"/>
  <c r="L122" i="53"/>
  <c r="AD75" i="42"/>
  <c r="L75" i="53"/>
  <c r="M334" i="42"/>
  <c r="AD23" i="42"/>
  <c r="L23" i="53"/>
  <c r="M359" i="42"/>
  <c r="AD182" i="42"/>
  <c r="L182" i="53"/>
  <c r="AD129" i="42"/>
  <c r="L129" i="53"/>
  <c r="AD198" i="42"/>
  <c r="L198" i="53"/>
  <c r="AD247" i="42"/>
  <c r="L247" i="53"/>
  <c r="AD128" i="42"/>
  <c r="L128" i="53"/>
  <c r="L83" i="53"/>
  <c r="AD83" i="42"/>
  <c r="L41" i="53"/>
  <c r="AD41" i="42"/>
  <c r="L113" i="53"/>
  <c r="AD113" i="42"/>
  <c r="AD161" i="42"/>
  <c r="L161" i="53"/>
  <c r="L270" i="53"/>
  <c r="AD270" i="42"/>
  <c r="AD151" i="42"/>
  <c r="L151" i="53"/>
  <c r="L303" i="53"/>
  <c r="AD303" i="42"/>
  <c r="AD240" i="42"/>
  <c r="L240" i="53"/>
  <c r="L230" i="53"/>
  <c r="AD230" i="42"/>
  <c r="AD281" i="42"/>
  <c r="L281" i="53"/>
  <c r="AD270" i="56"/>
  <c r="AS270" i="56"/>
  <c r="AD139" i="65"/>
  <c r="K139" i="56"/>
  <c r="K95" i="56"/>
  <c r="AD95" i="65"/>
  <c r="K287" i="56"/>
  <c r="AD287" i="65"/>
  <c r="AE234" i="51"/>
  <c r="K139" i="68"/>
  <c r="AD132" i="57"/>
  <c r="R66" i="66"/>
  <c r="AN66" i="66" s="1"/>
  <c r="AD66" i="66"/>
  <c r="AX66" i="66"/>
  <c r="K271" i="68"/>
  <c r="AD264" i="57"/>
  <c r="AD183" i="57"/>
  <c r="K190" i="68"/>
  <c r="AD70" i="57"/>
  <c r="AE214" i="51"/>
  <c r="AD178" i="56"/>
  <c r="AS178" i="56"/>
  <c r="K252" i="56"/>
  <c r="AD252" i="65"/>
  <c r="AD158" i="56"/>
  <c r="AS158" i="56"/>
  <c r="AD162" i="42"/>
  <c r="L162" i="53"/>
  <c r="L264" i="53"/>
  <c r="AD264" i="42"/>
  <c r="L218" i="53"/>
  <c r="AD218" i="42"/>
  <c r="L95" i="53"/>
  <c r="AD95" i="42"/>
  <c r="L59" i="53"/>
  <c r="AD59" i="42"/>
  <c r="L147" i="53"/>
  <c r="AD147" i="42"/>
  <c r="L123" i="53"/>
  <c r="AD123" i="42"/>
  <c r="AD193" i="42"/>
  <c r="L193" i="53"/>
  <c r="L283" i="53"/>
  <c r="AD283" i="42"/>
  <c r="AD109" i="65"/>
  <c r="K109" i="56"/>
  <c r="AD163" i="65"/>
  <c r="K163" i="56"/>
  <c r="K260" i="56"/>
  <c r="AD260" i="65"/>
  <c r="AE23" i="51"/>
  <c r="AE257" i="51"/>
  <c r="AE192" i="51"/>
  <c r="AD41" i="65"/>
  <c r="K41" i="56"/>
  <c r="AD137" i="65"/>
  <c r="K137" i="56"/>
  <c r="AD54" i="57"/>
  <c r="K238" i="56"/>
  <c r="AD238" i="65"/>
  <c r="AD299" i="57"/>
  <c r="AE97" i="51"/>
  <c r="AE30" i="51"/>
  <c r="K83" i="56"/>
  <c r="AD83" i="65"/>
  <c r="AD98" i="57"/>
  <c r="K105" i="68"/>
  <c r="AE178" i="51"/>
  <c r="AD34" i="57"/>
  <c r="K41" i="68"/>
  <c r="K193" i="56"/>
  <c r="AD193" i="65"/>
  <c r="AE256" i="51"/>
  <c r="AE66" i="51"/>
  <c r="AE179" i="51"/>
  <c r="K146" i="56"/>
  <c r="AD146" i="65"/>
  <c r="K118" i="68"/>
  <c r="AD111" i="57"/>
  <c r="AD223" i="57"/>
  <c r="AD240" i="56"/>
  <c r="AS240" i="56"/>
  <c r="AE219" i="51"/>
  <c r="AD157" i="57"/>
  <c r="K164" i="68"/>
  <c r="K305" i="68"/>
  <c r="AD298" i="57"/>
  <c r="K90" i="56"/>
  <c r="AD90" i="65"/>
  <c r="AE117" i="51"/>
  <c r="L14" i="15"/>
  <c r="K21" i="15"/>
  <c r="AD189" i="65"/>
  <c r="K189" i="56"/>
  <c r="AD154" i="57"/>
  <c r="K161" i="68"/>
  <c r="AS274" i="56"/>
  <c r="AD274" i="56"/>
  <c r="K76" i="68"/>
  <c r="AD69" i="57"/>
  <c r="AD247" i="65"/>
  <c r="K247" i="56"/>
  <c r="AD206" i="65"/>
  <c r="K206" i="56"/>
  <c r="K33" i="56"/>
  <c r="AD33" i="65"/>
  <c r="AE254" i="51"/>
  <c r="K272" i="56"/>
  <c r="AD272" i="65"/>
  <c r="AE221" i="51"/>
  <c r="K220" i="56"/>
  <c r="AD220" i="65"/>
  <c r="AD38" i="57"/>
  <c r="K45" i="68"/>
  <c r="K48" i="56"/>
  <c r="AD48" i="65"/>
  <c r="K210" i="56"/>
  <c r="AD210" i="65"/>
  <c r="K52" i="56"/>
  <c r="AD52" i="65"/>
  <c r="AE141" i="51"/>
  <c r="K105" i="56"/>
  <c r="AD105" i="65"/>
  <c r="K110" i="56"/>
  <c r="AD110" i="65"/>
  <c r="AD275" i="65"/>
  <c r="K275" i="56"/>
  <c r="AE227" i="51"/>
  <c r="AD44" i="57"/>
  <c r="AD84" i="56"/>
  <c r="AS84" i="56"/>
  <c r="AE289" i="51"/>
  <c r="K228" i="56"/>
  <c r="AD228" i="65"/>
  <c r="AE191" i="51"/>
  <c r="AE22" i="51"/>
  <c r="AE26" i="51"/>
  <c r="AD32" i="65"/>
  <c r="K32" i="56"/>
  <c r="K102" i="56"/>
  <c r="AD102" i="65"/>
  <c r="AD115" i="42"/>
  <c r="L115" i="53"/>
  <c r="AD38" i="42"/>
  <c r="L38" i="53"/>
  <c r="AD108" i="42"/>
  <c r="L108" i="53"/>
  <c r="L117" i="53"/>
  <c r="AD117" i="42"/>
  <c r="L109" i="53"/>
  <c r="AD109" i="42"/>
  <c r="M324" i="42"/>
  <c r="L62" i="53"/>
  <c r="M349" i="42"/>
  <c r="AD62" i="42"/>
  <c r="L217" i="53"/>
  <c r="AD217" i="42"/>
  <c r="L188" i="53"/>
  <c r="AD188" i="42"/>
  <c r="L256" i="53"/>
  <c r="AD256" i="42"/>
  <c r="L302" i="53"/>
  <c r="AD302" i="42"/>
  <c r="AD33" i="42"/>
  <c r="L33" i="53"/>
  <c r="L76" i="53"/>
  <c r="AD76" i="42"/>
  <c r="AD78" i="42"/>
  <c r="L78" i="53"/>
  <c r="AD114" i="42"/>
  <c r="L114" i="53"/>
  <c r="L20" i="53"/>
  <c r="AD20" i="42"/>
  <c r="L45" i="53"/>
  <c r="AD45" i="42"/>
  <c r="L79" i="53"/>
  <c r="AD79" i="42"/>
  <c r="L156" i="53"/>
  <c r="AD156" i="42"/>
  <c r="L146" i="53"/>
  <c r="AD146" i="42"/>
  <c r="AD297" i="42"/>
  <c r="L297" i="53"/>
  <c r="AD252" i="42"/>
  <c r="L252" i="53"/>
  <c r="L306" i="53"/>
  <c r="AD306" i="42"/>
  <c r="AD225" i="42"/>
  <c r="L225" i="53"/>
  <c r="AD176" i="42"/>
  <c r="L176" i="53"/>
  <c r="L70" i="53"/>
  <c r="AD70" i="42"/>
  <c r="L73" i="53"/>
  <c r="AD73" i="42"/>
  <c r="L101" i="53"/>
  <c r="AD101" i="42"/>
  <c r="L213" i="53"/>
  <c r="AD213" i="42"/>
  <c r="L173" i="53"/>
  <c r="AD173" i="42"/>
  <c r="L130" i="53"/>
  <c r="AD130" i="42"/>
  <c r="L260" i="53"/>
  <c r="AD260" i="42"/>
  <c r="AD271" i="42"/>
  <c r="L271" i="53"/>
  <c r="AD290" i="42"/>
  <c r="L290" i="53"/>
  <c r="K266" i="56"/>
  <c r="AD266" i="65"/>
  <c r="AE172" i="51"/>
  <c r="AD194" i="65"/>
  <c r="K194" i="56"/>
  <c r="AE285" i="51"/>
  <c r="K29" i="56"/>
  <c r="AD29" i="65"/>
  <c r="AD100" i="57"/>
  <c r="K107" i="68"/>
  <c r="AE274" i="51"/>
  <c r="AD253" i="57"/>
  <c r="K260" i="68"/>
  <c r="AD101" i="57"/>
  <c r="K108" i="68"/>
  <c r="AD243" i="65"/>
  <c r="K243" i="56"/>
  <c r="AS295" i="56"/>
  <c r="AD295" i="56"/>
  <c r="AE77" i="51"/>
  <c r="K164" i="56"/>
  <c r="AD164" i="65"/>
  <c r="AD132" i="65"/>
  <c r="K132" i="56"/>
  <c r="G138" i="66"/>
  <c r="K264" i="56"/>
  <c r="AD264" i="65"/>
  <c r="K70" i="56"/>
  <c r="AD70" i="65"/>
  <c r="AD292" i="57"/>
  <c r="K299" i="68"/>
  <c r="AE158" i="51"/>
  <c r="AD207" i="56"/>
  <c r="AS207" i="56"/>
  <c r="AE134" i="51"/>
  <c r="AD51" i="57"/>
  <c r="K58" i="68"/>
  <c r="AD235" i="65"/>
  <c r="K235" i="56"/>
  <c r="AD112" i="57"/>
  <c r="AD217" i="57"/>
  <c r="K224" i="68"/>
  <c r="AD230" i="57"/>
  <c r="K237" i="68"/>
  <c r="L226" i="53"/>
  <c r="AD226" i="42"/>
  <c r="L87" i="53"/>
  <c r="AD87" i="42"/>
  <c r="AD168" i="42"/>
  <c r="L168" i="53"/>
  <c r="L92" i="53"/>
  <c r="AD92" i="42"/>
  <c r="L53" i="53"/>
  <c r="AD53" i="42"/>
  <c r="AE127" i="51"/>
  <c r="AD175" i="57"/>
  <c r="K182" i="68"/>
  <c r="AE135" i="51"/>
  <c r="AD63" i="57"/>
  <c r="K70" i="68"/>
  <c r="AE261" i="51"/>
  <c r="AE184" i="51"/>
  <c r="AD225" i="65"/>
  <c r="K225" i="56"/>
  <c r="K64" i="56"/>
  <c r="AD64" i="65"/>
  <c r="AD134" i="56"/>
  <c r="AS134" i="56"/>
  <c r="AD251" i="57"/>
  <c r="K22" i="68"/>
  <c r="AD15" i="57"/>
  <c r="K128" i="56"/>
  <c r="AD128" i="65"/>
  <c r="AD181" i="57"/>
  <c r="K213" i="56"/>
  <c r="AD213" i="65"/>
  <c r="K90" i="68"/>
  <c r="AD83" i="57"/>
  <c r="K135" i="68"/>
  <c r="AD128" i="57"/>
  <c r="K106" i="68"/>
  <c r="AD99" i="57"/>
  <c r="AD181" i="65"/>
  <c r="K181" i="56"/>
  <c r="AE113" i="51"/>
  <c r="AD162" i="57"/>
  <c r="K169" i="68"/>
  <c r="AE283" i="51"/>
  <c r="K233" i="56"/>
  <c r="AD233" i="65"/>
  <c r="AD286" i="65"/>
  <c r="K286" i="56"/>
  <c r="AD25" i="57"/>
  <c r="AD67" i="56"/>
  <c r="AS67" i="56"/>
  <c r="AD256" i="56"/>
  <c r="AS256" i="56"/>
  <c r="AD298" i="65"/>
  <c r="K298" i="56"/>
  <c r="AD151" i="65"/>
  <c r="K151" i="56"/>
  <c r="AD130" i="57"/>
  <c r="K137" i="68"/>
  <c r="AS152" i="56"/>
  <c r="AD152" i="56"/>
  <c r="AD135" i="56"/>
  <c r="AS135" i="56"/>
  <c r="AD26" i="56"/>
  <c r="AS26" i="56"/>
  <c r="AE263" i="51"/>
  <c r="AD33" i="57"/>
  <c r="K40" i="68"/>
  <c r="K311" i="68"/>
  <c r="AD304" i="57"/>
  <c r="AD38" i="65"/>
  <c r="K38" i="56"/>
  <c r="AD48" i="57"/>
  <c r="K55" i="68"/>
  <c r="AE108" i="51"/>
  <c r="AD52" i="57"/>
  <c r="K59" i="68"/>
  <c r="AE136" i="51"/>
  <c r="AD59" i="56"/>
  <c r="AS59" i="56"/>
  <c r="K120" i="56"/>
  <c r="AD120" i="65"/>
  <c r="AD269" i="56"/>
  <c r="AS269" i="56"/>
  <c r="AE81" i="51"/>
  <c r="AD217" i="65"/>
  <c r="K217" i="56"/>
  <c r="AE269" i="51"/>
  <c r="AD57" i="57"/>
  <c r="K64" i="68"/>
  <c r="K273" i="56"/>
  <c r="AD273" i="65"/>
  <c r="K198" i="56"/>
  <c r="AD198" i="65"/>
  <c r="AS81" i="56"/>
  <c r="AD81" i="56"/>
  <c r="AE159" i="51"/>
  <c r="AD68" i="57"/>
  <c r="K75" i="68"/>
  <c r="AD230" i="65"/>
  <c r="K230" i="56"/>
  <c r="L99" i="53"/>
  <c r="AD99" i="42"/>
  <c r="AD222" i="42"/>
  <c r="L222" i="53"/>
  <c r="L154" i="53"/>
  <c r="AD154" i="42"/>
  <c r="L25" i="53"/>
  <c r="AD25" i="42"/>
  <c r="L164" i="53"/>
  <c r="AD164" i="42"/>
  <c r="L47" i="53"/>
  <c r="AD47" i="42"/>
  <c r="L22" i="53"/>
  <c r="M350" i="42"/>
  <c r="M325" i="42"/>
  <c r="AD22" i="42"/>
  <c r="L295" i="53"/>
  <c r="AD295" i="42"/>
  <c r="M347" i="42"/>
  <c r="M322" i="42"/>
  <c r="L18" i="53"/>
  <c r="AD18" i="42"/>
  <c r="AD307" i="42"/>
  <c r="L307" i="53"/>
  <c r="L61" i="53"/>
  <c r="AD61" i="42"/>
  <c r="AD46" i="42"/>
  <c r="L46" i="53"/>
  <c r="AD216" i="42"/>
  <c r="L216" i="53"/>
  <c r="L26" i="53"/>
  <c r="AD26" i="42"/>
  <c r="L197" i="53"/>
  <c r="AD197" i="42"/>
  <c r="L112" i="53"/>
  <c r="AD112" i="42"/>
  <c r="L208" i="53"/>
  <c r="AD208" i="42"/>
  <c r="L286" i="53"/>
  <c r="AD286" i="42"/>
  <c r="L167" i="53"/>
  <c r="AD167" i="42"/>
  <c r="AD268" i="42"/>
  <c r="L268" i="53"/>
  <c r="L159" i="53"/>
  <c r="AD159" i="42"/>
  <c r="L244" i="53"/>
  <c r="AD244" i="42"/>
  <c r="AD276" i="42"/>
  <c r="L276" i="53"/>
  <c r="AD305" i="42"/>
  <c r="L305" i="53"/>
  <c r="L50" i="53"/>
  <c r="AD50" i="42"/>
  <c r="L71" i="53"/>
  <c r="AD71" i="42"/>
  <c r="L100" i="53"/>
  <c r="AD100" i="42"/>
  <c r="L120" i="53"/>
  <c r="AD120" i="42"/>
  <c r="L141" i="53"/>
  <c r="AD141" i="42"/>
  <c r="L150" i="53"/>
  <c r="AD150" i="42"/>
  <c r="AD291" i="42"/>
  <c r="L291" i="53"/>
  <c r="L301" i="53"/>
  <c r="AD301" i="42"/>
  <c r="L221" i="53"/>
  <c r="AD221" i="42"/>
  <c r="AS17" i="56"/>
  <c r="AD17" i="56"/>
  <c r="AD266" i="57"/>
  <c r="K273" i="68"/>
  <c r="AS80" i="56"/>
  <c r="AD80" i="56"/>
  <c r="K49" i="56"/>
  <c r="AD49" i="65"/>
  <c r="AD71" i="57"/>
  <c r="K78" i="68"/>
  <c r="AD29" i="57"/>
  <c r="K36" i="68"/>
  <c r="AD159" i="56"/>
  <c r="AS159" i="56"/>
  <c r="AD149" i="56"/>
  <c r="AS149" i="56"/>
  <c r="AD307" i="65"/>
  <c r="K307" i="56"/>
  <c r="AD260" i="57"/>
  <c r="K267" i="68"/>
  <c r="AD43" i="56"/>
  <c r="AS43" i="56"/>
  <c r="AD101" i="65"/>
  <c r="K101" i="56"/>
  <c r="AD184" i="56"/>
  <c r="AS184" i="56"/>
  <c r="K248" i="56"/>
  <c r="AD248" i="65"/>
  <c r="AS199" i="56"/>
  <c r="AD199" i="56"/>
  <c r="AS66" i="56"/>
  <c r="AD66" i="56"/>
  <c r="K216" i="56"/>
  <c r="AD216" i="65"/>
  <c r="AS192" i="56"/>
  <c r="AD192" i="56"/>
  <c r="AE240" i="51"/>
  <c r="K51" i="56"/>
  <c r="AD51" i="65"/>
  <c r="AE167" i="51"/>
  <c r="K242" i="68"/>
  <c r="AD235" i="57"/>
  <c r="K239" i="56"/>
  <c r="AD239" i="65"/>
  <c r="K99" i="56"/>
  <c r="AD99" i="65"/>
  <c r="AE208" i="51"/>
  <c r="AD138" i="57"/>
  <c r="K201" i="56"/>
  <c r="AD201" i="65"/>
  <c r="K133" i="68"/>
  <c r="AD126" i="57"/>
  <c r="K259" i="56"/>
  <c r="AD259" i="65"/>
  <c r="AD36" i="57"/>
  <c r="K43" i="68"/>
  <c r="AD273" i="57"/>
  <c r="K280" i="68"/>
  <c r="K314" i="68"/>
  <c r="AD307" i="57"/>
  <c r="AD56" i="56"/>
  <c r="AS56" i="56"/>
  <c r="AD82" i="56"/>
  <c r="AS82" i="56"/>
  <c r="AD193" i="57"/>
  <c r="K200" i="68"/>
  <c r="AE144" i="51"/>
  <c r="AD255" i="57"/>
  <c r="K262" i="68"/>
  <c r="K293" i="68"/>
  <c r="AD286" i="57"/>
  <c r="AD276" i="56"/>
  <c r="AS276" i="56"/>
  <c r="K223" i="56"/>
  <c r="AD223" i="65"/>
  <c r="AD25" i="65"/>
  <c r="K25" i="56"/>
  <c r="AD251" i="65"/>
  <c r="K251" i="56"/>
  <c r="AE19" i="51"/>
  <c r="AD227" i="56"/>
  <c r="AS227" i="56"/>
  <c r="K291" i="68"/>
  <c r="AD284" i="57"/>
  <c r="K157" i="56"/>
  <c r="AD157" i="65"/>
  <c r="K130" i="56"/>
  <c r="AD130" i="65"/>
  <c r="AS186" i="56"/>
  <c r="AD186" i="56"/>
  <c r="AS116" i="56"/>
  <c r="AD116" i="56"/>
  <c r="K282" i="56"/>
  <c r="AD282" i="65"/>
  <c r="K208" i="68"/>
  <c r="AD201" i="57"/>
  <c r="G15" i="60"/>
  <c r="S18" i="60"/>
  <c r="G18" i="60" s="1"/>
  <c r="S22" i="60"/>
  <c r="K177" i="56"/>
  <c r="AD177" i="65"/>
  <c r="AD108" i="56"/>
  <c r="AS108" i="56"/>
  <c r="AD173" i="57"/>
  <c r="AD126" i="65"/>
  <c r="K126" i="56"/>
  <c r="AD232" i="57"/>
  <c r="AD247" i="57"/>
  <c r="K254" i="68"/>
  <c r="K281" i="56"/>
  <c r="AD281" i="65"/>
  <c r="AD289" i="56"/>
  <c r="AS289" i="56"/>
  <c r="AE47" i="51"/>
  <c r="AE131" i="51"/>
  <c r="AE212" i="51"/>
  <c r="K266" i="68"/>
  <c r="AD259" i="57"/>
  <c r="K238" i="68"/>
  <c r="AD231" i="57"/>
  <c r="K112" i="68"/>
  <c r="AD105" i="57"/>
  <c r="AE123" i="51"/>
  <c r="AD112" i="65"/>
  <c r="K112" i="56"/>
  <c r="K36" i="56"/>
  <c r="AD36" i="65"/>
  <c r="K313" i="68"/>
  <c r="AS96" i="56"/>
  <c r="AD96" i="56"/>
  <c r="AD228" i="57"/>
  <c r="K235" i="68"/>
  <c r="AD127" i="56"/>
  <c r="AS127" i="56"/>
  <c r="AD212" i="56"/>
  <c r="AS212" i="56"/>
  <c r="K68" i="56"/>
  <c r="AD68" i="65"/>
  <c r="L277" i="53"/>
  <c r="AD277" i="42"/>
  <c r="AD227" i="42"/>
  <c r="L227" i="53"/>
  <c r="AD127" i="42"/>
  <c r="L127" i="53"/>
  <c r="L282" i="53"/>
  <c r="AD282" i="42"/>
  <c r="L207" i="53"/>
  <c r="AD207" i="42"/>
  <c r="L157" i="53"/>
  <c r="AD157" i="42"/>
  <c r="AD265" i="42"/>
  <c r="L265" i="53"/>
  <c r="L179" i="53"/>
  <c r="AD179" i="42"/>
  <c r="L98" i="53"/>
  <c r="AD98" i="42"/>
  <c r="L242" i="53"/>
  <c r="AD242" i="42"/>
  <c r="L55" i="53"/>
  <c r="AD55" i="42"/>
  <c r="L82" i="53"/>
  <c r="AD82" i="42"/>
  <c r="L249" i="53"/>
  <c r="AD249" i="42"/>
  <c r="L284" i="53"/>
  <c r="AD284" i="42"/>
  <c r="AD54" i="42"/>
  <c r="L54" i="53"/>
  <c r="L304" i="53"/>
  <c r="AD304" i="42"/>
  <c r="L49" i="53"/>
  <c r="AD49" i="42"/>
  <c r="AD228" i="42"/>
  <c r="L228" i="53"/>
  <c r="AD126" i="42"/>
  <c r="L126" i="53"/>
  <c r="L234" i="53"/>
  <c r="AD234" i="42"/>
  <c r="L279" i="53"/>
  <c r="AD279" i="42"/>
  <c r="AD37" i="42"/>
  <c r="M341" i="42"/>
  <c r="L37" i="53"/>
  <c r="AD97" i="42"/>
  <c r="L97" i="53"/>
  <c r="L195" i="53"/>
  <c r="AD195" i="42"/>
  <c r="AD299" i="42"/>
  <c r="L299" i="53"/>
  <c r="AD119" i="42"/>
  <c r="L119" i="53"/>
  <c r="L34" i="53"/>
  <c r="M353" i="42"/>
  <c r="M328" i="42"/>
  <c r="AD34" i="42"/>
  <c r="L93" i="53"/>
  <c r="AD93" i="42"/>
  <c r="L81" i="53"/>
  <c r="AD81" i="42"/>
  <c r="AD110" i="42"/>
  <c r="L110" i="53"/>
  <c r="L163" i="53"/>
  <c r="AD163" i="42"/>
  <c r="AD201" i="42"/>
  <c r="L201" i="53"/>
  <c r="L170" i="53"/>
  <c r="AD170" i="42"/>
  <c r="L203" i="53"/>
  <c r="AD203" i="42"/>
  <c r="L143" i="53"/>
  <c r="AD143" i="42"/>
  <c r="L231" i="53"/>
  <c r="AD231" i="42"/>
  <c r="AD250" i="42"/>
  <c r="L250" i="53"/>
  <c r="AD49" i="57"/>
  <c r="K56" i="68"/>
  <c r="K71" i="56"/>
  <c r="AD71" i="65"/>
  <c r="AE205" i="51"/>
  <c r="AE295" i="51"/>
  <c r="AD261" i="56"/>
  <c r="AS261" i="56"/>
  <c r="AD280" i="65"/>
  <c r="K280" i="56"/>
  <c r="K80" i="68"/>
  <c r="AD73" i="57"/>
  <c r="AE169" i="51"/>
  <c r="AE224" i="51"/>
  <c r="AE17" i="51"/>
  <c r="AE196" i="51"/>
  <c r="AE67" i="51"/>
  <c r="K250" i="68"/>
  <c r="AD243" i="57"/>
  <c r="K125" i="68"/>
  <c r="AD118" i="57"/>
  <c r="AD46" i="57"/>
  <c r="AD257" i="56"/>
  <c r="AS257" i="56"/>
  <c r="K175" i="56"/>
  <c r="AD175" i="65"/>
  <c r="AD183" i="65"/>
  <c r="K183" i="56"/>
  <c r="AD238" i="57"/>
  <c r="K245" i="68"/>
  <c r="AD195" i="56"/>
  <c r="AS195" i="56"/>
  <c r="AD216" i="57"/>
  <c r="K223" i="68"/>
  <c r="K143" i="56"/>
  <c r="AD143" i="65"/>
  <c r="AD123" i="53" l="1"/>
  <c r="K123" i="54"/>
  <c r="AD131" i="53"/>
  <c r="K131" i="54"/>
  <c r="AD283" i="53"/>
  <c r="K283" i="54"/>
  <c r="K27" i="54"/>
  <c r="AD27" i="53"/>
  <c r="K205" i="54"/>
  <c r="AD205" i="53"/>
  <c r="AD258" i="53"/>
  <c r="K258" i="54"/>
  <c r="AD211" i="53"/>
  <c r="K211" i="54"/>
  <c r="AD50" i="53"/>
  <c r="K50" i="54"/>
  <c r="K62" i="54"/>
  <c r="AD62" i="53"/>
  <c r="AD47" i="53"/>
  <c r="K47" i="54"/>
  <c r="AD77" i="53"/>
  <c r="K77" i="54"/>
  <c r="AD171" i="53"/>
  <c r="K171" i="54"/>
  <c r="K74" i="54"/>
  <c r="AD74" i="53"/>
  <c r="K92" i="54"/>
  <c r="AD92" i="53"/>
  <c r="AD153" i="53"/>
  <c r="K153" i="54"/>
  <c r="K267" i="54"/>
  <c r="AD267" i="53"/>
  <c r="K60" i="54"/>
  <c r="AD60" i="53"/>
  <c r="K176" i="54"/>
  <c r="AD176" i="53"/>
  <c r="AD214" i="53"/>
  <c r="K214" i="54"/>
  <c r="G72" i="66" s="1"/>
  <c r="AD180" i="53"/>
  <c r="K180" i="54"/>
  <c r="AD229" i="53"/>
  <c r="K229" i="54"/>
  <c r="K215" i="54"/>
  <c r="AD215" i="53"/>
  <c r="AD297" i="53"/>
  <c r="K297" i="54"/>
  <c r="K237" i="54"/>
  <c r="AD237" i="54" s="1"/>
  <c r="AX237" i="54" s="1"/>
  <c r="AD237" i="53"/>
  <c r="AD136" i="53"/>
  <c r="K136" i="54"/>
  <c r="AD271" i="53"/>
  <c r="K271" i="54"/>
  <c r="AD250" i="53"/>
  <c r="K250" i="54"/>
  <c r="K30" i="54"/>
  <c r="AD30" i="53"/>
  <c r="K61" i="54"/>
  <c r="AD61" i="53"/>
  <c r="K224" i="54"/>
  <c r="AD224" i="53"/>
  <c r="AD190" i="53"/>
  <c r="K190" i="54"/>
  <c r="K241" i="54"/>
  <c r="AD241" i="53"/>
  <c r="AD89" i="53"/>
  <c r="K89" i="54"/>
  <c r="K305" i="54"/>
  <c r="AD305" i="53"/>
  <c r="K200" i="54"/>
  <c r="AD200" i="53"/>
  <c r="K133" i="54"/>
  <c r="AD133" i="53"/>
  <c r="AD125" i="53"/>
  <c r="K125" i="54"/>
  <c r="K21" i="54"/>
  <c r="AD21" i="53"/>
  <c r="K13" i="53"/>
  <c r="AD13" i="53" s="1"/>
  <c r="AD215" i="42"/>
  <c r="AD183" i="42"/>
  <c r="L136" i="53"/>
  <c r="AE136" i="53" s="1"/>
  <c r="M321" i="42"/>
  <c r="M354" i="42"/>
  <c r="H31" i="66"/>
  <c r="AY31" i="66" s="1"/>
  <c r="L267" i="53"/>
  <c r="M329" i="42"/>
  <c r="AD267" i="42"/>
  <c r="M318" i="42"/>
  <c r="H32" i="66"/>
  <c r="S32" i="66" s="1"/>
  <c r="AO32" i="66" s="1"/>
  <c r="M13" i="42"/>
  <c r="N6" i="42" s="1"/>
  <c r="AD74" i="42"/>
  <c r="M351" i="42"/>
  <c r="M343" i="42"/>
  <c r="M348" i="42"/>
  <c r="AD77" i="42"/>
  <c r="M320" i="42"/>
  <c r="H36" i="66"/>
  <c r="AY36" i="66" s="1"/>
  <c r="L74" i="53"/>
  <c r="L74" i="54" s="1"/>
  <c r="M326" i="42"/>
  <c r="AD133" i="42"/>
  <c r="L69" i="53"/>
  <c r="L77" i="53"/>
  <c r="L77" i="54" s="1"/>
  <c r="AD214" i="42"/>
  <c r="AD202" i="42"/>
  <c r="M357" i="42"/>
  <c r="M333" i="42"/>
  <c r="AD69" i="42"/>
  <c r="L214" i="53"/>
  <c r="AE214" i="53" s="1"/>
  <c r="L202" i="53"/>
  <c r="M342" i="42"/>
  <c r="M319" i="42"/>
  <c r="M323" i="42"/>
  <c r="AD74" i="54"/>
  <c r="AX74" i="54" s="1"/>
  <c r="K74" i="65"/>
  <c r="BI74" i="54"/>
  <c r="K74" i="57"/>
  <c r="K60" i="57"/>
  <c r="K279" i="68" s="1"/>
  <c r="K60" i="65"/>
  <c r="AD60" i="54"/>
  <c r="AX60" i="54" s="1"/>
  <c r="BI60" i="54"/>
  <c r="BI176" i="54"/>
  <c r="K176" i="65"/>
  <c r="K176" i="57"/>
  <c r="K60" i="68" s="1"/>
  <c r="AD176" i="54"/>
  <c r="AX176" i="54" s="1"/>
  <c r="K62" i="65"/>
  <c r="BI62" i="54"/>
  <c r="AD62" i="54"/>
  <c r="AX62" i="54" s="1"/>
  <c r="K62" i="57"/>
  <c r="K51" i="68" s="1"/>
  <c r="H35" i="66"/>
  <c r="S35" i="66" s="1"/>
  <c r="AO35" i="66" s="1"/>
  <c r="H34" i="66"/>
  <c r="AY34" i="66" s="1"/>
  <c r="H33" i="66"/>
  <c r="AE33" i="66" s="1"/>
  <c r="AD200" i="42"/>
  <c r="L224" i="53"/>
  <c r="AE224" i="53" s="1"/>
  <c r="L89" i="53"/>
  <c r="AE89" i="53" s="1"/>
  <c r="L211" i="53"/>
  <c r="AD40" i="56"/>
  <c r="AS40" i="56"/>
  <c r="AS35" i="56"/>
  <c r="AD35" i="56"/>
  <c r="L50" i="54"/>
  <c r="AE50" i="53"/>
  <c r="AE222" i="53"/>
  <c r="L222" i="54"/>
  <c r="AE63" i="51"/>
  <c r="L226" i="54"/>
  <c r="AE226" i="53"/>
  <c r="AE100" i="51"/>
  <c r="L33" i="54"/>
  <c r="AE33" i="53"/>
  <c r="AE264" i="51"/>
  <c r="L240" i="54"/>
  <c r="AE240" i="53"/>
  <c r="AE122" i="53"/>
  <c r="L122" i="54"/>
  <c r="L58" i="54"/>
  <c r="AE58" i="53"/>
  <c r="AE36" i="53"/>
  <c r="L36" i="54"/>
  <c r="AD87" i="56"/>
  <c r="AS87" i="56"/>
  <c r="AE143" i="51"/>
  <c r="AY30" i="66"/>
  <c r="S30" i="66"/>
  <c r="AO30" i="66" s="1"/>
  <c r="AE30" i="66"/>
  <c r="AE18" i="51"/>
  <c r="AE248" i="51"/>
  <c r="AE102" i="53"/>
  <c r="L102" i="54"/>
  <c r="AD156" i="56"/>
  <c r="AS156" i="56"/>
  <c r="AE73" i="51"/>
  <c r="L250" i="54"/>
  <c r="AE250" i="53"/>
  <c r="AE119" i="53"/>
  <c r="L119" i="54"/>
  <c r="L37" i="54"/>
  <c r="AE37" i="53"/>
  <c r="AE55" i="53"/>
  <c r="L55" i="54"/>
  <c r="AE284" i="51"/>
  <c r="AD25" i="56"/>
  <c r="AS25" i="56"/>
  <c r="AE36" i="51"/>
  <c r="AS307" i="56"/>
  <c r="AD307" i="56"/>
  <c r="AE71" i="51"/>
  <c r="AE266" i="51"/>
  <c r="L291" i="54"/>
  <c r="AE291" i="53"/>
  <c r="L305" i="54"/>
  <c r="AE305" i="53"/>
  <c r="L268" i="54"/>
  <c r="AE268" i="53"/>
  <c r="L46" i="54"/>
  <c r="AE46" i="53"/>
  <c r="AE74" i="53"/>
  <c r="AE304" i="51"/>
  <c r="AE25" i="51"/>
  <c r="AE162" i="51"/>
  <c r="AE99" i="51"/>
  <c r="AS213" i="56"/>
  <c r="AD213" i="56"/>
  <c r="AD128" i="56"/>
  <c r="AS128" i="56"/>
  <c r="AE251" i="51"/>
  <c r="AE112" i="51"/>
  <c r="AS132" i="56"/>
  <c r="AD132" i="56"/>
  <c r="AE260" i="53"/>
  <c r="L260" i="54"/>
  <c r="AE133" i="53"/>
  <c r="L133" i="54"/>
  <c r="L79" i="54"/>
  <c r="AE79" i="53"/>
  <c r="L38" i="54"/>
  <c r="AE38" i="53"/>
  <c r="AS228" i="56"/>
  <c r="AD228" i="56"/>
  <c r="AD52" i="56"/>
  <c r="AS52" i="56"/>
  <c r="AE38" i="51"/>
  <c r="AD247" i="56"/>
  <c r="AS247" i="56"/>
  <c r="AE157" i="51"/>
  <c r="AD146" i="56"/>
  <c r="AS146" i="56"/>
  <c r="AE54" i="51"/>
  <c r="L123" i="54"/>
  <c r="AE123" i="53"/>
  <c r="L218" i="54"/>
  <c r="AE218" i="53"/>
  <c r="L134" i="54"/>
  <c r="AE134" i="53"/>
  <c r="AD103" i="56"/>
  <c r="AS103" i="56"/>
  <c r="AE202" i="53"/>
  <c r="L202" i="54"/>
  <c r="AE75" i="51"/>
  <c r="G90" i="66"/>
  <c r="AE24" i="51"/>
  <c r="L223" i="54"/>
  <c r="AE223" i="53"/>
  <c r="AE106" i="53"/>
  <c r="L106" i="54"/>
  <c r="AE165" i="53"/>
  <c r="L165" i="54"/>
  <c r="L138" i="54"/>
  <c r="AE138" i="53"/>
  <c r="L194" i="54"/>
  <c r="AE194" i="53"/>
  <c r="AD155" i="56"/>
  <c r="AS155" i="56"/>
  <c r="AE189" i="51"/>
  <c r="AD34" i="56"/>
  <c r="AS34" i="56"/>
  <c r="AD209" i="56"/>
  <c r="AS209" i="56"/>
  <c r="AD107" i="56"/>
  <c r="AS107" i="56"/>
  <c r="L148" i="54"/>
  <c r="AE148" i="53"/>
  <c r="AE16" i="53"/>
  <c r="L16" i="54"/>
  <c r="AE235" i="53"/>
  <c r="L235" i="54"/>
  <c r="L258" i="54"/>
  <c r="AE258" i="53"/>
  <c r="AE145" i="53"/>
  <c r="L145" i="54"/>
  <c r="AE252" i="51"/>
  <c r="AD31" i="56"/>
  <c r="AS31" i="56"/>
  <c r="AE65" i="51"/>
  <c r="AD161" i="56"/>
  <c r="AS161" i="56"/>
  <c r="AD170" i="56"/>
  <c r="AS170" i="56"/>
  <c r="L275" i="54"/>
  <c r="AE275" i="53"/>
  <c r="AE140" i="51"/>
  <c r="AD86" i="56"/>
  <c r="AS86" i="56"/>
  <c r="AE131" i="53"/>
  <c r="L131" i="54"/>
  <c r="L56" i="54"/>
  <c r="AE56" i="53"/>
  <c r="L292" i="54"/>
  <c r="AE292" i="53"/>
  <c r="AE87" i="51"/>
  <c r="L142" i="54"/>
  <c r="AE142" i="53"/>
  <c r="AD284" i="56"/>
  <c r="AS284" i="56"/>
  <c r="AE34" i="53"/>
  <c r="L34" i="54"/>
  <c r="AE220" i="51"/>
  <c r="AE280" i="53"/>
  <c r="L280" i="54"/>
  <c r="AE218" i="51"/>
  <c r="AD148" i="56"/>
  <c r="AS148" i="56"/>
  <c r="AE86" i="51"/>
  <c r="L30" i="54"/>
  <c r="AE30" i="53"/>
  <c r="L185" i="54"/>
  <c r="AE185" i="53"/>
  <c r="AE144" i="53"/>
  <c r="L144" i="54"/>
  <c r="AE115" i="51"/>
  <c r="AD280" i="56"/>
  <c r="AS280" i="56"/>
  <c r="AE170" i="53"/>
  <c r="L170" i="54"/>
  <c r="L81" i="54"/>
  <c r="AE81" i="53"/>
  <c r="L228" i="54"/>
  <c r="AE228" i="53"/>
  <c r="AE227" i="53"/>
  <c r="L227" i="54"/>
  <c r="AE105" i="51"/>
  <c r="AE232" i="51"/>
  <c r="AE286" i="51"/>
  <c r="AE193" i="51"/>
  <c r="AD99" i="56"/>
  <c r="AS99" i="56"/>
  <c r="AE120" i="53"/>
  <c r="L120" i="54"/>
  <c r="L112" i="54"/>
  <c r="AE112" i="53"/>
  <c r="AE68" i="51"/>
  <c r="AE33" i="51"/>
  <c r="AD286" i="56"/>
  <c r="AS286" i="56"/>
  <c r="AE92" i="53"/>
  <c r="L92" i="54"/>
  <c r="AS235" i="56"/>
  <c r="AD235" i="56"/>
  <c r="AE253" i="51"/>
  <c r="AE176" i="53"/>
  <c r="L176" i="54"/>
  <c r="L297" i="54"/>
  <c r="AE297" i="53"/>
  <c r="L78" i="54"/>
  <c r="AE78" i="53"/>
  <c r="AE217" i="53"/>
  <c r="L217" i="54"/>
  <c r="L109" i="54"/>
  <c r="AE109" i="53"/>
  <c r="AE44" i="51"/>
  <c r="AS272" i="56"/>
  <c r="AD272" i="56"/>
  <c r="AE154" i="51"/>
  <c r="AE111" i="51"/>
  <c r="AS109" i="56"/>
  <c r="AD109" i="56"/>
  <c r="AD252" i="56"/>
  <c r="AS252" i="56"/>
  <c r="AE70" i="51"/>
  <c r="L247" i="54"/>
  <c r="AE247" i="53"/>
  <c r="L248" i="54"/>
  <c r="AE248" i="53"/>
  <c r="AE86" i="53"/>
  <c r="L86" i="54"/>
  <c r="L236" i="54"/>
  <c r="AE236" i="53"/>
  <c r="AS218" i="56"/>
  <c r="AD218" i="56"/>
  <c r="AS69" i="56"/>
  <c r="AD69" i="56"/>
  <c r="AS154" i="56"/>
  <c r="AD154" i="56"/>
  <c r="AD288" i="56"/>
  <c r="AS288" i="56"/>
  <c r="AE287" i="51"/>
  <c r="AE174" i="51"/>
  <c r="AE243" i="53"/>
  <c r="L243" i="54"/>
  <c r="AE259" i="53"/>
  <c r="L259" i="54"/>
  <c r="L104" i="54"/>
  <c r="AE104" i="53"/>
  <c r="AE172" i="53"/>
  <c r="L172" i="54"/>
  <c r="AE102" i="51"/>
  <c r="AS222" i="56"/>
  <c r="AD222" i="56"/>
  <c r="AE72" i="51"/>
  <c r="AE166" i="51"/>
  <c r="L27" i="54"/>
  <c r="AE27" i="53"/>
  <c r="AE88" i="51"/>
  <c r="L233" i="54"/>
  <c r="AE233" i="53"/>
  <c r="AE153" i="53"/>
  <c r="L153" i="54"/>
  <c r="L184" i="54"/>
  <c r="AE184" i="53"/>
  <c r="L272" i="54"/>
  <c r="AE272" i="53"/>
  <c r="AE187" i="53"/>
  <c r="L187" i="54"/>
  <c r="AD129" i="56"/>
  <c r="AS129" i="56"/>
  <c r="AE296" i="51"/>
  <c r="AE222" i="51"/>
  <c r="AD78" i="56"/>
  <c r="AS78" i="56"/>
  <c r="AE64" i="51"/>
  <c r="AE225" i="51"/>
  <c r="AE41" i="51"/>
  <c r="AE109" i="51"/>
  <c r="L191" i="54"/>
  <c r="AE191" i="53"/>
  <c r="L111" i="54"/>
  <c r="AE111" i="53"/>
  <c r="AE166" i="53"/>
  <c r="L166" i="54"/>
  <c r="AE206" i="53"/>
  <c r="L206" i="54"/>
  <c r="L175" i="54"/>
  <c r="AE175" i="53"/>
  <c r="AE196" i="53"/>
  <c r="L196" i="54"/>
  <c r="L135" i="54"/>
  <c r="AE135" i="53"/>
  <c r="AE120" i="51"/>
  <c r="L200" i="54"/>
  <c r="AE200" i="53"/>
  <c r="L64" i="54"/>
  <c r="AE64" i="53"/>
  <c r="AD163" i="56"/>
  <c r="AS163" i="56"/>
  <c r="L128" i="54"/>
  <c r="AE128" i="53"/>
  <c r="R17" i="66"/>
  <c r="AN17" i="66" s="1"/>
  <c r="AD17" i="66"/>
  <c r="AD174" i="56"/>
  <c r="AS174" i="56"/>
  <c r="L261" i="54"/>
  <c r="AE261" i="53"/>
  <c r="L60" i="54"/>
  <c r="AE60" i="53"/>
  <c r="L125" i="54"/>
  <c r="AE125" i="53"/>
  <c r="L44" i="54"/>
  <c r="AE44" i="53"/>
  <c r="AS75" i="56"/>
  <c r="AD75" i="56"/>
  <c r="AS162" i="56"/>
  <c r="AD162" i="56"/>
  <c r="AE137" i="51"/>
  <c r="AE29" i="53"/>
  <c r="L29" i="54"/>
  <c r="L67" i="54"/>
  <c r="AE67" i="53"/>
  <c r="L224" i="54"/>
  <c r="AS79" i="56"/>
  <c r="AD79" i="56"/>
  <c r="AD143" i="56"/>
  <c r="AS143" i="56"/>
  <c r="AE243" i="51"/>
  <c r="AE238" i="51"/>
  <c r="L201" i="54"/>
  <c r="AE201" i="53"/>
  <c r="L299" i="54"/>
  <c r="AE299" i="53"/>
  <c r="L284" i="54"/>
  <c r="AE284" i="53"/>
  <c r="L242" i="54"/>
  <c r="AE242" i="53"/>
  <c r="L157" i="54"/>
  <c r="AE157" i="53"/>
  <c r="AE228" i="51"/>
  <c r="AD36" i="56"/>
  <c r="AS36" i="56"/>
  <c r="AS126" i="56"/>
  <c r="AD126" i="56"/>
  <c r="AE307" i="51"/>
  <c r="AD259" i="56"/>
  <c r="AS259" i="56"/>
  <c r="AD201" i="56"/>
  <c r="AS201" i="56"/>
  <c r="AD216" i="56"/>
  <c r="AS216" i="56"/>
  <c r="AD49" i="56"/>
  <c r="AS49" i="56"/>
  <c r="AE276" i="53"/>
  <c r="L276" i="54"/>
  <c r="AE99" i="53"/>
  <c r="L99" i="54"/>
  <c r="AS198" i="56"/>
  <c r="AD198" i="56"/>
  <c r="AD217" i="56"/>
  <c r="AS217" i="56"/>
  <c r="AD120" i="56"/>
  <c r="AS120" i="56"/>
  <c r="AE48" i="51"/>
  <c r="AE130" i="51"/>
  <c r="AE128" i="51"/>
  <c r="AE181" i="51"/>
  <c r="L168" i="54"/>
  <c r="AE168" i="53"/>
  <c r="AE230" i="51"/>
  <c r="AE292" i="51"/>
  <c r="AD29" i="56"/>
  <c r="AS29" i="56"/>
  <c r="AD266" i="56"/>
  <c r="AS266" i="56"/>
  <c r="AE130" i="53"/>
  <c r="L130" i="54"/>
  <c r="L101" i="54"/>
  <c r="AE101" i="53"/>
  <c r="L45" i="54"/>
  <c r="AE45" i="53"/>
  <c r="AE115" i="53"/>
  <c r="L115" i="54"/>
  <c r="AD110" i="56"/>
  <c r="AS110" i="56"/>
  <c r="AS210" i="56"/>
  <c r="AD210" i="56"/>
  <c r="AD90" i="56"/>
  <c r="AS90" i="56"/>
  <c r="L147" i="54"/>
  <c r="AE147" i="53"/>
  <c r="L264" i="54"/>
  <c r="AE264" i="53"/>
  <c r="AD287" i="56"/>
  <c r="AS287" i="56"/>
  <c r="AE303" i="53"/>
  <c r="L303" i="54"/>
  <c r="L113" i="54"/>
  <c r="AE113" i="53"/>
  <c r="AE23" i="53"/>
  <c r="L23" i="54"/>
  <c r="L189" i="54"/>
  <c r="AE189" i="53"/>
  <c r="AE105" i="53"/>
  <c r="L105" i="54"/>
  <c r="AE205" i="53"/>
  <c r="L205" i="54"/>
  <c r="AS232" i="56"/>
  <c r="AD232" i="56"/>
  <c r="AE104" i="51"/>
  <c r="AS57" i="56"/>
  <c r="AD57" i="56"/>
  <c r="AE177" i="51"/>
  <c r="AE95" i="51"/>
  <c r="AE273" i="53"/>
  <c r="L273" i="54"/>
  <c r="L199" i="54"/>
  <c r="AE199" i="53"/>
  <c r="L15" i="54"/>
  <c r="AE15" i="53"/>
  <c r="AE94" i="53"/>
  <c r="L94" i="54"/>
  <c r="L287" i="54"/>
  <c r="AE287" i="53"/>
  <c r="AD291" i="56"/>
  <c r="AS291" i="56"/>
  <c r="AE206" i="51"/>
  <c r="AE90" i="51"/>
  <c r="AD124" i="56"/>
  <c r="AS124" i="56"/>
  <c r="AE45" i="51"/>
  <c r="AE210" i="53"/>
  <c r="L210" i="54"/>
  <c r="L171" i="54"/>
  <c r="AE171" i="53"/>
  <c r="AE28" i="53"/>
  <c r="L28" i="54"/>
  <c r="L296" i="54"/>
  <c r="AE296" i="53"/>
  <c r="AD76" i="56"/>
  <c r="AS76" i="56"/>
  <c r="AE168" i="51"/>
  <c r="AE291" i="51"/>
  <c r="AD173" i="56"/>
  <c r="AS173" i="56"/>
  <c r="AE160" i="51"/>
  <c r="AD73" i="56"/>
  <c r="AS73" i="56"/>
  <c r="AD160" i="56"/>
  <c r="AS160" i="56"/>
  <c r="AE148" i="51"/>
  <c r="AD54" i="56"/>
  <c r="AS54" i="56"/>
  <c r="AE280" i="51"/>
  <c r="AD203" i="56"/>
  <c r="AS203" i="56"/>
  <c r="AE177" i="53"/>
  <c r="L177" i="54"/>
  <c r="AE257" i="53"/>
  <c r="L257" i="54"/>
  <c r="AE282" i="51"/>
  <c r="AE156" i="51"/>
  <c r="AE118" i="51"/>
  <c r="AE54" i="53"/>
  <c r="L54" i="54"/>
  <c r="AD101" i="56"/>
  <c r="AS101" i="56"/>
  <c r="R138" i="66"/>
  <c r="AE231" i="53"/>
  <c r="L231" i="54"/>
  <c r="AS177" i="56"/>
  <c r="AD177" i="56"/>
  <c r="AD130" i="56"/>
  <c r="AS130" i="56"/>
  <c r="AD223" i="56"/>
  <c r="AS223" i="56"/>
  <c r="AE255" i="51"/>
  <c r="AD239" i="56"/>
  <c r="AS239" i="56"/>
  <c r="AD51" i="56"/>
  <c r="AS51" i="56"/>
  <c r="AD248" i="56"/>
  <c r="AS248" i="56"/>
  <c r="L150" i="54"/>
  <c r="AE150" i="53"/>
  <c r="L100" i="54"/>
  <c r="AE100" i="53"/>
  <c r="AE167" i="53"/>
  <c r="L167" i="54"/>
  <c r="L197" i="54"/>
  <c r="AE197" i="53"/>
  <c r="AE61" i="53"/>
  <c r="L61" i="54"/>
  <c r="L295" i="54"/>
  <c r="AE295" i="53"/>
  <c r="L215" i="54"/>
  <c r="AE215" i="53"/>
  <c r="AE52" i="51"/>
  <c r="AS164" i="56"/>
  <c r="AD164" i="56"/>
  <c r="L290" i="54"/>
  <c r="AE290" i="53"/>
  <c r="L225" i="54"/>
  <c r="AE225" i="53"/>
  <c r="L302" i="54"/>
  <c r="AE302" i="53"/>
  <c r="L117" i="54"/>
  <c r="AE117" i="53"/>
  <c r="AD189" i="56"/>
  <c r="AS189" i="56"/>
  <c r="AS193" i="56"/>
  <c r="AD193" i="56"/>
  <c r="AE98" i="51"/>
  <c r="AD137" i="56"/>
  <c r="AS137" i="56"/>
  <c r="AE162" i="53"/>
  <c r="L162" i="54"/>
  <c r="AE183" i="51"/>
  <c r="L281" i="54"/>
  <c r="AE281" i="53"/>
  <c r="AE151" i="53"/>
  <c r="L151" i="54"/>
  <c r="L198" i="54"/>
  <c r="AE198" i="53"/>
  <c r="L52" i="54"/>
  <c r="AE52" i="53"/>
  <c r="AE174" i="53"/>
  <c r="L174" i="54"/>
  <c r="AE198" i="51"/>
  <c r="AE129" i="51"/>
  <c r="AS72" i="56"/>
  <c r="AD72" i="56"/>
  <c r="AD98" i="56"/>
  <c r="AS98" i="56"/>
  <c r="AD142" i="56"/>
  <c r="AS142" i="56"/>
  <c r="AD100" i="56"/>
  <c r="AS100" i="56"/>
  <c r="AE152" i="53"/>
  <c r="L152" i="54"/>
  <c r="AE132" i="53"/>
  <c r="L132" i="54"/>
  <c r="L238" i="54"/>
  <c r="AE238" i="53"/>
  <c r="AE19" i="53"/>
  <c r="L19" i="54"/>
  <c r="L285" i="54"/>
  <c r="AE285" i="53"/>
  <c r="AD91" i="56"/>
  <c r="AS91" i="56"/>
  <c r="AE110" i="51"/>
  <c r="AE161" i="51"/>
  <c r="AE93" i="51"/>
  <c r="AE170" i="51"/>
  <c r="AD18" i="56"/>
  <c r="AS18" i="56"/>
  <c r="AD299" i="56"/>
  <c r="AS299" i="56"/>
  <c r="AD46" i="56"/>
  <c r="AS46" i="56"/>
  <c r="AE268" i="51"/>
  <c r="AE194" i="51"/>
  <c r="AD114" i="56"/>
  <c r="AS114" i="56"/>
  <c r="AE155" i="53"/>
  <c r="L155" i="54"/>
  <c r="L294" i="54"/>
  <c r="AE294" i="53"/>
  <c r="AE237" i="53"/>
  <c r="L237" i="54"/>
  <c r="L68" i="54"/>
  <c r="AE68" i="53"/>
  <c r="L269" i="54"/>
  <c r="AE269" i="53"/>
  <c r="AD115" i="56"/>
  <c r="AS115" i="56"/>
  <c r="AD202" i="56"/>
  <c r="AS202" i="56"/>
  <c r="AE103" i="51"/>
  <c r="AE303" i="51"/>
  <c r="AE242" i="51"/>
  <c r="AE190" i="53"/>
  <c r="L190" i="54"/>
  <c r="AD296" i="56"/>
  <c r="AS296" i="56"/>
  <c r="AE107" i="51"/>
  <c r="L293" i="54"/>
  <c r="AE293" i="53"/>
  <c r="L239" i="54"/>
  <c r="AE239" i="53"/>
  <c r="L158" i="54"/>
  <c r="AE158" i="53"/>
  <c r="AE254" i="53"/>
  <c r="L254" i="54"/>
  <c r="L229" i="54"/>
  <c r="AE229" i="53"/>
  <c r="L80" i="54"/>
  <c r="AE80" i="53"/>
  <c r="L288" i="54"/>
  <c r="AE288" i="53"/>
  <c r="AD231" i="56"/>
  <c r="AS231" i="56"/>
  <c r="AE126" i="53"/>
  <c r="L126" i="54"/>
  <c r="AE201" i="51"/>
  <c r="AE141" i="53"/>
  <c r="L141" i="54"/>
  <c r="AE208" i="53"/>
  <c r="L208" i="54"/>
  <c r="AS225" i="56"/>
  <c r="AD225" i="56"/>
  <c r="AE175" i="51"/>
  <c r="L69" i="54"/>
  <c r="AE69" i="53"/>
  <c r="AE188" i="53"/>
  <c r="L188" i="54"/>
  <c r="AE182" i="53"/>
  <c r="L182" i="54"/>
  <c r="L96" i="54"/>
  <c r="AE96" i="53"/>
  <c r="AS226" i="56"/>
  <c r="AD226" i="56"/>
  <c r="AE85" i="53"/>
  <c r="L85" i="54"/>
  <c r="AE149" i="53"/>
  <c r="L149" i="54"/>
  <c r="AD183" i="56"/>
  <c r="AS183" i="56"/>
  <c r="AD71" i="56"/>
  <c r="AS71" i="56"/>
  <c r="L93" i="54"/>
  <c r="AE93" i="53"/>
  <c r="AD112" i="56"/>
  <c r="AS112" i="56"/>
  <c r="AD281" i="56"/>
  <c r="AS281" i="56"/>
  <c r="AS282" i="56"/>
  <c r="AD282" i="56"/>
  <c r="AE216" i="51"/>
  <c r="AE46" i="51"/>
  <c r="L279" i="54"/>
  <c r="AE279" i="53"/>
  <c r="L49" i="54"/>
  <c r="AE49" i="53"/>
  <c r="AE249" i="53"/>
  <c r="L249" i="54"/>
  <c r="L98" i="54"/>
  <c r="AE98" i="53"/>
  <c r="L207" i="54"/>
  <c r="AE207" i="53"/>
  <c r="L277" i="54"/>
  <c r="AE277" i="53"/>
  <c r="AE231" i="51"/>
  <c r="AE247" i="51"/>
  <c r="S25" i="60"/>
  <c r="G22" i="60"/>
  <c r="G75" i="15" s="1"/>
  <c r="AE273" i="51"/>
  <c r="AE126" i="51"/>
  <c r="AE29" i="51"/>
  <c r="L307" i="54"/>
  <c r="AE307" i="53"/>
  <c r="L47" i="54"/>
  <c r="AE47" i="53"/>
  <c r="AE25" i="53"/>
  <c r="L25" i="54"/>
  <c r="AD273" i="56"/>
  <c r="AS273" i="56"/>
  <c r="AS38" i="56"/>
  <c r="AD38" i="56"/>
  <c r="AS151" i="56"/>
  <c r="AD151" i="56"/>
  <c r="AS233" i="56"/>
  <c r="AD233" i="56"/>
  <c r="AD181" i="56"/>
  <c r="AS181" i="56"/>
  <c r="AD70" i="56"/>
  <c r="AS70" i="56"/>
  <c r="AD243" i="56"/>
  <c r="AS243" i="56"/>
  <c r="L173" i="54"/>
  <c r="AE173" i="53"/>
  <c r="L73" i="54"/>
  <c r="AE73" i="53"/>
  <c r="AE146" i="53"/>
  <c r="L146" i="54"/>
  <c r="L20" i="54"/>
  <c r="AE20" i="53"/>
  <c r="L76" i="54"/>
  <c r="AE76" i="53"/>
  <c r="L108" i="54"/>
  <c r="AE108" i="53"/>
  <c r="AD105" i="56"/>
  <c r="AS105" i="56"/>
  <c r="AS48" i="56"/>
  <c r="AD48" i="56"/>
  <c r="AE69" i="51"/>
  <c r="AE298" i="51"/>
  <c r="AE283" i="53"/>
  <c r="L283" i="54"/>
  <c r="AE59" i="53"/>
  <c r="L59" i="54"/>
  <c r="L41" i="54"/>
  <c r="AE41" i="53"/>
  <c r="L298" i="54"/>
  <c r="AE298" i="53"/>
  <c r="AE137" i="53"/>
  <c r="L137" i="54"/>
  <c r="AE275" i="51"/>
  <c r="AE210" i="51"/>
  <c r="AD53" i="56"/>
  <c r="AS53" i="56"/>
  <c r="AD166" i="56"/>
  <c r="AS166" i="56"/>
  <c r="AD292" i="56"/>
  <c r="AS292" i="56"/>
  <c r="AS253" i="56"/>
  <c r="AD253" i="56"/>
  <c r="AE114" i="51"/>
  <c r="L241" i="54"/>
  <c r="AE241" i="53"/>
  <c r="L90" i="54"/>
  <c r="AE90" i="53"/>
  <c r="AE274" i="53"/>
  <c r="L274" i="54"/>
  <c r="AS44" i="56"/>
  <c r="AD44" i="56"/>
  <c r="AS65" i="56"/>
  <c r="AD65" i="56"/>
  <c r="AE226" i="51"/>
  <c r="AD85" i="56"/>
  <c r="AS85" i="56"/>
  <c r="AD111" i="56"/>
  <c r="AS111" i="56"/>
  <c r="L251" i="54"/>
  <c r="AE251" i="53"/>
  <c r="L57" i="54"/>
  <c r="AE57" i="53"/>
  <c r="AE245" i="51"/>
  <c r="AS293" i="56"/>
  <c r="AD293" i="56"/>
  <c r="L220" i="54"/>
  <c r="AE220" i="53"/>
  <c r="AE192" i="53"/>
  <c r="L192" i="54"/>
  <c r="L17" i="54"/>
  <c r="AE17" i="53"/>
  <c r="AD104" i="56"/>
  <c r="AS104" i="56"/>
  <c r="AE85" i="51"/>
  <c r="L88" i="54"/>
  <c r="AE88" i="53"/>
  <c r="AE279" i="51"/>
  <c r="AE181" i="53"/>
  <c r="L181" i="54"/>
  <c r="L91" i="54"/>
  <c r="AE91" i="53"/>
  <c r="AE31" i="53"/>
  <c r="L31" i="54"/>
  <c r="L66" i="54"/>
  <c r="AE66" i="53"/>
  <c r="AE76" i="51"/>
  <c r="AE91" i="51"/>
  <c r="AD168" i="56"/>
  <c r="AS168" i="56"/>
  <c r="AD188" i="56"/>
  <c r="AS188" i="56"/>
  <c r="AD138" i="56"/>
  <c r="AS138" i="56"/>
  <c r="AD302" i="56"/>
  <c r="AS302" i="56"/>
  <c r="AD304" i="56"/>
  <c r="AS304" i="56"/>
  <c r="AE265" i="53"/>
  <c r="L265" i="54"/>
  <c r="L22" i="54"/>
  <c r="AE22" i="53"/>
  <c r="AD242" i="56"/>
  <c r="AS242" i="56"/>
  <c r="AE302" i="51"/>
  <c r="AE49" i="51"/>
  <c r="AE143" i="53"/>
  <c r="L143" i="54"/>
  <c r="L163" i="54"/>
  <c r="AE163" i="53"/>
  <c r="AE195" i="53"/>
  <c r="L195" i="54"/>
  <c r="AE138" i="51"/>
  <c r="AE260" i="51"/>
  <c r="AE221" i="53"/>
  <c r="L221" i="54"/>
  <c r="AE183" i="53"/>
  <c r="L183" i="54"/>
  <c r="L71" i="54"/>
  <c r="AE71" i="53"/>
  <c r="L244" i="54"/>
  <c r="AE244" i="53"/>
  <c r="AE286" i="53"/>
  <c r="L286" i="54"/>
  <c r="L26" i="54"/>
  <c r="AE26" i="53"/>
  <c r="AE267" i="53"/>
  <c r="L267" i="54"/>
  <c r="AE15" i="51"/>
  <c r="L87" i="54"/>
  <c r="AE87" i="53"/>
  <c r="AE217" i="51"/>
  <c r="AE51" i="51"/>
  <c r="AD194" i="56"/>
  <c r="AS194" i="56"/>
  <c r="L271" i="54"/>
  <c r="AE271" i="53"/>
  <c r="L256" i="54"/>
  <c r="AE256" i="53"/>
  <c r="AD102" i="56"/>
  <c r="AS102" i="56"/>
  <c r="AD220" i="56"/>
  <c r="AS220" i="56"/>
  <c r="AS33" i="56"/>
  <c r="AD33" i="56"/>
  <c r="K29" i="15"/>
  <c r="K42" i="15" s="1"/>
  <c r="K24" i="15"/>
  <c r="AD83" i="56"/>
  <c r="AS83" i="56"/>
  <c r="AE299" i="51"/>
  <c r="AD41" i="56"/>
  <c r="AS41" i="56"/>
  <c r="L193" i="54"/>
  <c r="AE193" i="53"/>
  <c r="L129" i="54"/>
  <c r="AE129" i="53"/>
  <c r="L75" i="54"/>
  <c r="AE75" i="53"/>
  <c r="L48" i="54"/>
  <c r="AE48" i="53"/>
  <c r="L204" i="54"/>
  <c r="AE204" i="53"/>
  <c r="AE278" i="53"/>
  <c r="L278" i="54"/>
  <c r="AE272" i="51"/>
  <c r="AE232" i="53"/>
  <c r="L232" i="54"/>
  <c r="AE42" i="51"/>
  <c r="AE213" i="51"/>
  <c r="L51" i="54"/>
  <c r="AE51" i="53"/>
  <c r="L116" i="54"/>
  <c r="AE116" i="53"/>
  <c r="AE266" i="53"/>
  <c r="L266" i="54"/>
  <c r="AE53" i="51"/>
  <c r="AE151" i="51"/>
  <c r="AE121" i="53"/>
  <c r="L121" i="54"/>
  <c r="AE288" i="51"/>
  <c r="AE142" i="51"/>
  <c r="AD279" i="56"/>
  <c r="AS279" i="56"/>
  <c r="L103" i="54"/>
  <c r="AE103" i="53"/>
  <c r="L178" i="54"/>
  <c r="AE178" i="53"/>
  <c r="AE107" i="53"/>
  <c r="L107" i="54"/>
  <c r="L124" i="54"/>
  <c r="AE124" i="53"/>
  <c r="AS88" i="56"/>
  <c r="AD88" i="56"/>
  <c r="AE155" i="51"/>
  <c r="AE124" i="51"/>
  <c r="AE146" i="51"/>
  <c r="AS255" i="56"/>
  <c r="AD255" i="56"/>
  <c r="L186" i="54"/>
  <c r="AE186" i="53"/>
  <c r="AS45" i="56"/>
  <c r="AD45" i="56"/>
  <c r="AE163" i="51"/>
  <c r="L289" i="54"/>
  <c r="AE289" i="53"/>
  <c r="L139" i="54"/>
  <c r="AE139" i="53"/>
  <c r="L24" i="54"/>
  <c r="AE24" i="53"/>
  <c r="L118" i="54"/>
  <c r="AE118" i="53"/>
  <c r="L40" i="54"/>
  <c r="AE40" i="53"/>
  <c r="AE203" i="51"/>
  <c r="L72" i="54"/>
  <c r="AE72" i="53"/>
  <c r="AE42" i="53"/>
  <c r="L42" i="54"/>
  <c r="AE188" i="51"/>
  <c r="AD303" i="56"/>
  <c r="AS303" i="56"/>
  <c r="AD15" i="56"/>
  <c r="AS15" i="56"/>
  <c r="AE203" i="53"/>
  <c r="L203" i="54"/>
  <c r="L127" i="54"/>
  <c r="AE127" i="53"/>
  <c r="AE235" i="51"/>
  <c r="AE301" i="53"/>
  <c r="L301" i="54"/>
  <c r="L159" i="54"/>
  <c r="AE159" i="53"/>
  <c r="L18" i="54"/>
  <c r="AE18" i="53"/>
  <c r="AD230" i="56"/>
  <c r="AS230" i="56"/>
  <c r="AE57" i="51"/>
  <c r="L53" i="54"/>
  <c r="AE53" i="53"/>
  <c r="L252" i="54"/>
  <c r="AE252" i="53"/>
  <c r="L114" i="54"/>
  <c r="AE114" i="53"/>
  <c r="AD275" i="56"/>
  <c r="AS275" i="56"/>
  <c r="AD238" i="56"/>
  <c r="AS238" i="56"/>
  <c r="AD95" i="56"/>
  <c r="AS95" i="56"/>
  <c r="L161" i="54"/>
  <c r="AE161" i="53"/>
  <c r="AE219" i="53"/>
  <c r="L219" i="54"/>
  <c r="AS157" i="56"/>
  <c r="AD157" i="56"/>
  <c r="AD175" i="56"/>
  <c r="AS175" i="56"/>
  <c r="AE110" i="53"/>
  <c r="L110" i="54"/>
  <c r="L97" i="54"/>
  <c r="AE97" i="53"/>
  <c r="L234" i="54"/>
  <c r="AE234" i="53"/>
  <c r="L304" i="54"/>
  <c r="AE304" i="53"/>
  <c r="L82" i="54"/>
  <c r="AE82" i="53"/>
  <c r="L179" i="54"/>
  <c r="AE179" i="53"/>
  <c r="AE282" i="53"/>
  <c r="L282" i="54"/>
  <c r="AD68" i="56"/>
  <c r="AS68" i="56"/>
  <c r="AE306" i="51"/>
  <c r="AE259" i="51"/>
  <c r="AE173" i="51"/>
  <c r="AS251" i="56"/>
  <c r="AD251" i="56"/>
  <c r="L216" i="54"/>
  <c r="AE216" i="53"/>
  <c r="L164" i="54"/>
  <c r="AE164" i="53"/>
  <c r="L154" i="54"/>
  <c r="AE154" i="53"/>
  <c r="AD298" i="56"/>
  <c r="AS298" i="56"/>
  <c r="AE83" i="51"/>
  <c r="AD64" i="56"/>
  <c r="AS64" i="56"/>
  <c r="AD264" i="56"/>
  <c r="AS264" i="56"/>
  <c r="AE101" i="51"/>
  <c r="AE213" i="53"/>
  <c r="L213" i="54"/>
  <c r="L70" i="54"/>
  <c r="AE70" i="53"/>
  <c r="L306" i="54"/>
  <c r="AE306" i="53"/>
  <c r="L156" i="54"/>
  <c r="AE156" i="53"/>
  <c r="L62" i="54"/>
  <c r="AE62" i="53"/>
  <c r="AD32" i="56"/>
  <c r="AS32" i="56"/>
  <c r="AD206" i="56"/>
  <c r="AS206" i="56"/>
  <c r="AE223" i="51"/>
  <c r="AE34" i="51"/>
  <c r="AS260" i="56"/>
  <c r="AD260" i="56"/>
  <c r="AE95" i="53"/>
  <c r="L95" i="54"/>
  <c r="AE132" i="51"/>
  <c r="AS139" i="56"/>
  <c r="AD139" i="56"/>
  <c r="L230" i="54"/>
  <c r="AE230" i="53"/>
  <c r="L270" i="54"/>
  <c r="AE270" i="53"/>
  <c r="AE83" i="53"/>
  <c r="L83" i="54"/>
  <c r="AE65" i="53"/>
  <c r="L65" i="54"/>
  <c r="AE202" i="51"/>
  <c r="AD93" i="56"/>
  <c r="AS93" i="56"/>
  <c r="AS245" i="56"/>
  <c r="AD245" i="56"/>
  <c r="AE164" i="51"/>
  <c r="AS268" i="56"/>
  <c r="AD268" i="56"/>
  <c r="AE139" i="51"/>
  <c r="AE300" i="53"/>
  <c r="L300" i="54"/>
  <c r="L253" i="54"/>
  <c r="AE253" i="53"/>
  <c r="L32" i="54"/>
  <c r="AE32" i="53"/>
  <c r="AE39" i="53"/>
  <c r="L39" i="54"/>
  <c r="T8" i="60"/>
  <c r="H37" i="66"/>
  <c r="M11" i="42"/>
  <c r="M10" i="42"/>
  <c r="AD13" i="42"/>
  <c r="L21" i="54"/>
  <c r="AE21" i="53"/>
  <c r="AE246" i="53"/>
  <c r="L246" i="54"/>
  <c r="L209" i="54"/>
  <c r="AE209" i="53"/>
  <c r="AE300" i="51"/>
  <c r="AE31" i="51"/>
  <c r="AE78" i="51"/>
  <c r="AD63" i="56"/>
  <c r="AS63" i="56"/>
  <c r="L255" i="54"/>
  <c r="AE255" i="53"/>
  <c r="AS24" i="56"/>
  <c r="AD24" i="56"/>
  <c r="L180" i="54"/>
  <c r="AE180" i="53"/>
  <c r="L262" i="54"/>
  <c r="AE262" i="53"/>
  <c r="AE212" i="53"/>
  <c r="L212" i="54"/>
  <c r="L169" i="54"/>
  <c r="AE169" i="53"/>
  <c r="AE32" i="51"/>
  <c r="AE79" i="51"/>
  <c r="AE239" i="51"/>
  <c r="AE84" i="53"/>
  <c r="L84" i="54"/>
  <c r="AE209" i="51"/>
  <c r="AD118" i="56"/>
  <c r="AS118" i="56"/>
  <c r="AE293" i="51"/>
  <c r="L263" i="54"/>
  <c r="AE263" i="53"/>
  <c r="L160" i="54"/>
  <c r="AE160" i="53"/>
  <c r="L63" i="54"/>
  <c r="AE63" i="53"/>
  <c r="L43" i="54"/>
  <c r="AE43" i="53"/>
  <c r="L245" i="54"/>
  <c r="AE245" i="53"/>
  <c r="AD140" i="56"/>
  <c r="AS140" i="56"/>
  <c r="AD306" i="56"/>
  <c r="AS306" i="56"/>
  <c r="AD300" i="56"/>
  <c r="AS300" i="56"/>
  <c r="AD42" i="56"/>
  <c r="AS42" i="56"/>
  <c r="AE233" i="51"/>
  <c r="L140" i="54"/>
  <c r="AE140" i="53"/>
  <c r="L35" i="54"/>
  <c r="AE35" i="53"/>
  <c r="AE281" i="51"/>
  <c r="L89" i="54" l="1"/>
  <c r="G68" i="66"/>
  <c r="G71" i="66"/>
  <c r="AD71" i="66" s="1"/>
  <c r="K237" i="57"/>
  <c r="BI237" i="54"/>
  <c r="K237" i="65"/>
  <c r="AE32" i="66"/>
  <c r="BI180" i="54"/>
  <c r="K180" i="57"/>
  <c r="K162" i="68" s="1"/>
  <c r="AD180" i="54"/>
  <c r="AX180" i="54" s="1"/>
  <c r="K180" i="65"/>
  <c r="K241" i="65"/>
  <c r="K241" i="57"/>
  <c r="BI241" i="54"/>
  <c r="AD241" i="54"/>
  <c r="AX241" i="54" s="1"/>
  <c r="BI30" i="54"/>
  <c r="K30" i="65"/>
  <c r="K30" i="57"/>
  <c r="AD30" i="54"/>
  <c r="AX30" i="54" s="1"/>
  <c r="K267" i="65"/>
  <c r="BI267" i="54"/>
  <c r="AD267" i="54"/>
  <c r="AX267" i="54" s="1"/>
  <c r="K267" i="57"/>
  <c r="K170" i="68" s="1"/>
  <c r="BI27" i="54"/>
  <c r="K27" i="57"/>
  <c r="K188" i="68" s="1"/>
  <c r="K27" i="65"/>
  <c r="AD27" i="54"/>
  <c r="AX27" i="54" s="1"/>
  <c r="K171" i="57"/>
  <c r="AD171" i="54"/>
  <c r="AX171" i="54" s="1"/>
  <c r="BI171" i="54"/>
  <c r="K171" i="65"/>
  <c r="L136" i="54"/>
  <c r="AE136" i="54" s="1"/>
  <c r="AY136" i="54" s="1"/>
  <c r="BI190" i="54"/>
  <c r="K190" i="65"/>
  <c r="K190" i="57"/>
  <c r="AD190" i="54"/>
  <c r="AX190" i="54" s="1"/>
  <c r="K250" i="57"/>
  <c r="AD250" i="54"/>
  <c r="AX250" i="54" s="1"/>
  <c r="BI250" i="54"/>
  <c r="K250" i="65"/>
  <c r="K297" i="57"/>
  <c r="AD297" i="54"/>
  <c r="AX297" i="54" s="1"/>
  <c r="BI297" i="54"/>
  <c r="K297" i="65"/>
  <c r="K214" i="57"/>
  <c r="K303" i="68" s="1"/>
  <c r="AD214" i="54"/>
  <c r="AX214" i="54" s="1"/>
  <c r="K214" i="65"/>
  <c r="BI214" i="54"/>
  <c r="BI153" i="54"/>
  <c r="K153" i="65"/>
  <c r="K153" i="57"/>
  <c r="K217" i="68" s="1"/>
  <c r="AD153" i="54"/>
  <c r="AX153" i="54" s="1"/>
  <c r="AD77" i="54"/>
  <c r="AX77" i="54" s="1"/>
  <c r="K77" i="65"/>
  <c r="BI77" i="54"/>
  <c r="G140" i="66" s="1"/>
  <c r="R140" i="66" s="1"/>
  <c r="K77" i="57"/>
  <c r="K53" i="68" s="1"/>
  <c r="BI211" i="54"/>
  <c r="K211" i="57"/>
  <c r="K234" i="68" s="1"/>
  <c r="K211" i="65"/>
  <c r="AD211" i="54"/>
  <c r="AX211" i="54" s="1"/>
  <c r="K283" i="57"/>
  <c r="AD283" i="54"/>
  <c r="AX283" i="54" s="1"/>
  <c r="BI283" i="54"/>
  <c r="K283" i="65"/>
  <c r="AY32" i="66"/>
  <c r="K200" i="57"/>
  <c r="K61" i="68" s="1"/>
  <c r="K200" i="65"/>
  <c r="AD200" i="54"/>
  <c r="AX200" i="54" s="1"/>
  <c r="BI200" i="54"/>
  <c r="K50" i="57"/>
  <c r="K32" i="68" s="1"/>
  <c r="K50" i="65"/>
  <c r="AD50" i="54"/>
  <c r="AX50" i="54" s="1"/>
  <c r="BI50" i="54"/>
  <c r="G139" i="66" s="1"/>
  <c r="R139" i="66" s="1"/>
  <c r="G67" i="66"/>
  <c r="R67" i="66" s="1"/>
  <c r="AN67" i="66" s="1"/>
  <c r="BI271" i="54"/>
  <c r="K271" i="57"/>
  <c r="K258" i="68" s="1"/>
  <c r="AD271" i="54"/>
  <c r="AX271" i="54" s="1"/>
  <c r="K271" i="65"/>
  <c r="K47" i="57"/>
  <c r="K194" i="68" s="1"/>
  <c r="BI47" i="54"/>
  <c r="K47" i="65"/>
  <c r="AD47" i="54"/>
  <c r="AX47" i="54" s="1"/>
  <c r="K258" i="57"/>
  <c r="K176" i="68" s="1"/>
  <c r="BI258" i="54"/>
  <c r="K258" i="65"/>
  <c r="AD258" i="54"/>
  <c r="AX258" i="54" s="1"/>
  <c r="K131" i="65"/>
  <c r="AD131" i="54"/>
  <c r="AX131" i="54" s="1"/>
  <c r="BI131" i="54"/>
  <c r="K131" i="57"/>
  <c r="K13" i="54"/>
  <c r="K11" i="54" s="1"/>
  <c r="K305" i="57"/>
  <c r="AD305" i="54"/>
  <c r="AX305" i="54" s="1"/>
  <c r="BI305" i="54"/>
  <c r="K305" i="65"/>
  <c r="AD224" i="54"/>
  <c r="AX224" i="54" s="1"/>
  <c r="BI224" i="54"/>
  <c r="K224" i="57"/>
  <c r="K239" i="68" s="1"/>
  <c r="K224" i="65"/>
  <c r="K215" i="65"/>
  <c r="K215" i="57"/>
  <c r="AD215" i="54"/>
  <c r="AX215" i="54" s="1"/>
  <c r="BI215" i="54"/>
  <c r="BI92" i="54"/>
  <c r="AD92" i="54"/>
  <c r="AX92" i="54" s="1"/>
  <c r="K92" i="65"/>
  <c r="K92" i="57"/>
  <c r="K204" i="68" s="1"/>
  <c r="AD89" i="54"/>
  <c r="AX89" i="54" s="1"/>
  <c r="K89" i="65"/>
  <c r="K89" i="57"/>
  <c r="K87" i="68" s="1"/>
  <c r="BI89" i="54"/>
  <c r="BI136" i="54"/>
  <c r="AD136" i="54"/>
  <c r="AX136" i="54" s="1"/>
  <c r="K136" i="65"/>
  <c r="K136" i="57"/>
  <c r="K214" i="68" s="1"/>
  <c r="K229" i="57"/>
  <c r="K306" i="68" s="1"/>
  <c r="AD229" i="54"/>
  <c r="AX229" i="54" s="1"/>
  <c r="BI229" i="54"/>
  <c r="K229" i="65"/>
  <c r="K123" i="57"/>
  <c r="K93" i="68" s="1"/>
  <c r="K123" i="65"/>
  <c r="BI123" i="54"/>
  <c r="AD123" i="54"/>
  <c r="AX123" i="54" s="1"/>
  <c r="K7" i="54"/>
  <c r="E113" i="66" s="1"/>
  <c r="BI61" i="54"/>
  <c r="K61" i="57"/>
  <c r="K196" i="68" s="1"/>
  <c r="K61" i="65"/>
  <c r="AD61" i="54"/>
  <c r="AX61" i="54" s="1"/>
  <c r="K205" i="65"/>
  <c r="BI205" i="54"/>
  <c r="K205" i="57"/>
  <c r="K230" i="68" s="1"/>
  <c r="AD205" i="54"/>
  <c r="AX205" i="54" s="1"/>
  <c r="BI133" i="54"/>
  <c r="AD133" i="54"/>
  <c r="AX133" i="54" s="1"/>
  <c r="K133" i="57"/>
  <c r="K133" i="65"/>
  <c r="G70" i="66"/>
  <c r="AD125" i="54"/>
  <c r="AX125" i="54" s="1"/>
  <c r="K125" i="57"/>
  <c r="K125" i="65"/>
  <c r="BI125" i="54"/>
  <c r="K21" i="65"/>
  <c r="AD21" i="54"/>
  <c r="AX21" i="54" s="1"/>
  <c r="BI21" i="54"/>
  <c r="K21" i="57"/>
  <c r="K77" i="68" s="1"/>
  <c r="G69" i="66"/>
  <c r="N23" i="42"/>
  <c r="N31" i="42"/>
  <c r="N39" i="42"/>
  <c r="N47" i="42"/>
  <c r="N55" i="42"/>
  <c r="N63" i="42"/>
  <c r="N71" i="42"/>
  <c r="N79" i="42"/>
  <c r="N87" i="42"/>
  <c r="N95" i="42"/>
  <c r="N103" i="42"/>
  <c r="N111" i="42"/>
  <c r="N119" i="42"/>
  <c r="N127" i="42"/>
  <c r="N135" i="42"/>
  <c r="N143" i="42"/>
  <c r="N151" i="42"/>
  <c r="N159" i="42"/>
  <c r="N167" i="42"/>
  <c r="N175" i="42"/>
  <c r="N183" i="42"/>
  <c r="N191" i="42"/>
  <c r="N199" i="42"/>
  <c r="N207" i="42"/>
  <c r="N215" i="42"/>
  <c r="N223" i="42"/>
  <c r="N231" i="42"/>
  <c r="N239" i="42"/>
  <c r="N247" i="42"/>
  <c r="N255" i="42"/>
  <c r="N263" i="42"/>
  <c r="N271" i="42"/>
  <c r="N279" i="42"/>
  <c r="N287" i="42"/>
  <c r="N295" i="42"/>
  <c r="N303" i="42"/>
  <c r="N70" i="42"/>
  <c r="N150" i="42"/>
  <c r="N206" i="42"/>
  <c r="N246" i="42"/>
  <c r="N302" i="42"/>
  <c r="N16" i="42"/>
  <c r="N24" i="42"/>
  <c r="N32" i="42"/>
  <c r="N40" i="42"/>
  <c r="N48" i="42"/>
  <c r="N56" i="42"/>
  <c r="N64" i="42"/>
  <c r="N72" i="42"/>
  <c r="N80" i="42"/>
  <c r="N88" i="42"/>
  <c r="N96" i="42"/>
  <c r="N104" i="42"/>
  <c r="N112" i="42"/>
  <c r="N120" i="42"/>
  <c r="N128" i="42"/>
  <c r="N136" i="42"/>
  <c r="N144" i="42"/>
  <c r="N152" i="42"/>
  <c r="N160" i="42"/>
  <c r="N168" i="42"/>
  <c r="N176" i="42"/>
  <c r="N184" i="42"/>
  <c r="N192" i="42"/>
  <c r="N200" i="42"/>
  <c r="N208" i="42"/>
  <c r="N216" i="42"/>
  <c r="N224" i="42"/>
  <c r="N232" i="42"/>
  <c r="N240" i="42"/>
  <c r="N248" i="42"/>
  <c r="N256" i="42"/>
  <c r="N264" i="42"/>
  <c r="N272" i="42"/>
  <c r="N280" i="42"/>
  <c r="N288" i="42"/>
  <c r="N296" i="42"/>
  <c r="N304" i="42"/>
  <c r="N78" i="42"/>
  <c r="N174" i="42"/>
  <c r="N238" i="42"/>
  <c r="N286" i="42"/>
  <c r="N17" i="42"/>
  <c r="N25" i="42"/>
  <c r="N33" i="42"/>
  <c r="N41" i="42"/>
  <c r="N49" i="42"/>
  <c r="N57" i="42"/>
  <c r="N65" i="42"/>
  <c r="N73" i="42"/>
  <c r="N81" i="42"/>
  <c r="N89" i="42"/>
  <c r="N97" i="42"/>
  <c r="N105" i="42"/>
  <c r="N113" i="42"/>
  <c r="N121" i="42"/>
  <c r="N129" i="42"/>
  <c r="N137" i="42"/>
  <c r="N145" i="42"/>
  <c r="N153" i="42"/>
  <c r="N161" i="42"/>
  <c r="N169" i="42"/>
  <c r="N177" i="42"/>
  <c r="N185" i="42"/>
  <c r="N193" i="42"/>
  <c r="N201" i="42"/>
  <c r="N209" i="42"/>
  <c r="N217" i="42"/>
  <c r="N225" i="42"/>
  <c r="N233" i="42"/>
  <c r="N241" i="42"/>
  <c r="N249" i="42"/>
  <c r="N257" i="42"/>
  <c r="N265" i="42"/>
  <c r="N273" i="42"/>
  <c r="N281" i="42"/>
  <c r="N289" i="42"/>
  <c r="N297" i="42"/>
  <c r="N305" i="42"/>
  <c r="N54" i="42"/>
  <c r="N62" i="42"/>
  <c r="N102" i="42"/>
  <c r="N118" i="42"/>
  <c r="N158" i="42"/>
  <c r="N198" i="42"/>
  <c r="N254" i="42"/>
  <c r="N18" i="42"/>
  <c r="N26" i="42"/>
  <c r="N34" i="42"/>
  <c r="N42" i="42"/>
  <c r="N50" i="42"/>
  <c r="N58" i="42"/>
  <c r="N66" i="42"/>
  <c r="N74" i="42"/>
  <c r="N82" i="42"/>
  <c r="N90" i="42"/>
  <c r="N98" i="42"/>
  <c r="N106" i="42"/>
  <c r="N114" i="42"/>
  <c r="N122" i="42"/>
  <c r="N130" i="42"/>
  <c r="N138" i="42"/>
  <c r="N146" i="42"/>
  <c r="N154" i="42"/>
  <c r="N162" i="42"/>
  <c r="N170" i="42"/>
  <c r="N178" i="42"/>
  <c r="N186" i="42"/>
  <c r="N194" i="42"/>
  <c r="N202" i="42"/>
  <c r="N210" i="42"/>
  <c r="N218" i="42"/>
  <c r="N226" i="42"/>
  <c r="N234" i="42"/>
  <c r="N242" i="42"/>
  <c r="N250" i="42"/>
  <c r="N258" i="42"/>
  <c r="N266" i="42"/>
  <c r="N274" i="42"/>
  <c r="N282" i="42"/>
  <c r="N290" i="42"/>
  <c r="N298" i="42"/>
  <c r="N306" i="42"/>
  <c r="N46" i="42"/>
  <c r="N142" i="42"/>
  <c r="N222" i="42"/>
  <c r="N270" i="42"/>
  <c r="N19" i="42"/>
  <c r="N27" i="42"/>
  <c r="N35" i="42"/>
  <c r="N43" i="42"/>
  <c r="N51" i="42"/>
  <c r="N59" i="42"/>
  <c r="N67" i="42"/>
  <c r="N75" i="42"/>
  <c r="N83" i="42"/>
  <c r="N91" i="42"/>
  <c r="N99" i="42"/>
  <c r="N107" i="42"/>
  <c r="N115" i="42"/>
  <c r="N123" i="42"/>
  <c r="N131" i="42"/>
  <c r="N139" i="42"/>
  <c r="N147" i="42"/>
  <c r="N155" i="42"/>
  <c r="N163" i="42"/>
  <c r="N171" i="42"/>
  <c r="N179" i="42"/>
  <c r="N187" i="42"/>
  <c r="N195" i="42"/>
  <c r="N203" i="42"/>
  <c r="N211" i="42"/>
  <c r="N219" i="42"/>
  <c r="N227" i="42"/>
  <c r="N235" i="42"/>
  <c r="N243" i="42"/>
  <c r="N251" i="42"/>
  <c r="N259" i="42"/>
  <c r="N267" i="42"/>
  <c r="N275" i="42"/>
  <c r="N283" i="42"/>
  <c r="N291" i="42"/>
  <c r="N299" i="42"/>
  <c r="N307" i="42"/>
  <c r="N38" i="42"/>
  <c r="N86" i="42"/>
  <c r="N126" i="42"/>
  <c r="N190" i="42"/>
  <c r="N262" i="42"/>
  <c r="N20" i="42"/>
  <c r="N28" i="42"/>
  <c r="N36" i="42"/>
  <c r="N44" i="42"/>
  <c r="N52" i="42"/>
  <c r="N60" i="42"/>
  <c r="N68" i="42"/>
  <c r="N76" i="42"/>
  <c r="N84" i="42"/>
  <c r="N92" i="42"/>
  <c r="N100" i="42"/>
  <c r="N108" i="42"/>
  <c r="N116" i="42"/>
  <c r="N124" i="42"/>
  <c r="N132" i="42"/>
  <c r="N140" i="42"/>
  <c r="N148" i="42"/>
  <c r="N156" i="42"/>
  <c r="N164" i="42"/>
  <c r="N172" i="42"/>
  <c r="N180" i="42"/>
  <c r="N188" i="42"/>
  <c r="N196" i="42"/>
  <c r="N204" i="42"/>
  <c r="N212" i="42"/>
  <c r="N220" i="42"/>
  <c r="N228" i="42"/>
  <c r="N236" i="42"/>
  <c r="N244" i="42"/>
  <c r="N252" i="42"/>
  <c r="N260" i="42"/>
  <c r="N268" i="42"/>
  <c r="N276" i="42"/>
  <c r="N284" i="42"/>
  <c r="N292" i="42"/>
  <c r="N300" i="42"/>
  <c r="N15" i="42"/>
  <c r="N30" i="42"/>
  <c r="N110" i="42"/>
  <c r="N166" i="42"/>
  <c r="N214" i="42"/>
  <c r="N278" i="42"/>
  <c r="N21" i="42"/>
  <c r="N29" i="42"/>
  <c r="N37" i="42"/>
  <c r="N45" i="42"/>
  <c r="N53" i="42"/>
  <c r="N61" i="42"/>
  <c r="N69" i="42"/>
  <c r="N77" i="42"/>
  <c r="N85" i="42"/>
  <c r="N93" i="42"/>
  <c r="N101" i="42"/>
  <c r="N109" i="42"/>
  <c r="N117" i="42"/>
  <c r="N125" i="42"/>
  <c r="N133" i="42"/>
  <c r="N141" i="42"/>
  <c r="N149" i="42"/>
  <c r="N157" i="42"/>
  <c r="N165" i="42"/>
  <c r="N173" i="42"/>
  <c r="N181" i="42"/>
  <c r="N189" i="42"/>
  <c r="N197" i="42"/>
  <c r="N205" i="42"/>
  <c r="N213" i="42"/>
  <c r="N221" i="42"/>
  <c r="N229" i="42"/>
  <c r="N237" i="42"/>
  <c r="N245" i="42"/>
  <c r="N253" i="42"/>
  <c r="N261" i="42"/>
  <c r="N269" i="42"/>
  <c r="N277" i="42"/>
  <c r="N285" i="42"/>
  <c r="N293" i="42"/>
  <c r="N301" i="42"/>
  <c r="N22" i="42"/>
  <c r="N94" i="42"/>
  <c r="N134" i="42"/>
  <c r="N182" i="42"/>
  <c r="N230" i="42"/>
  <c r="N294" i="42"/>
  <c r="L214" i="54"/>
  <c r="L214" i="65" s="1"/>
  <c r="AY33" i="66"/>
  <c r="S33" i="66"/>
  <c r="AO33" i="66" s="1"/>
  <c r="AE31" i="66"/>
  <c r="M336" i="42"/>
  <c r="AE35" i="66"/>
  <c r="S31" i="66"/>
  <c r="AO31" i="66" s="1"/>
  <c r="S34" i="66"/>
  <c r="AO34" i="66" s="1"/>
  <c r="AY35" i="66"/>
  <c r="AE36" i="66"/>
  <c r="AE34" i="66"/>
  <c r="M361" i="42"/>
  <c r="AE77" i="53"/>
  <c r="S36" i="66"/>
  <c r="AO36" i="66" s="1"/>
  <c r="L13" i="53"/>
  <c r="AE13" i="53" s="1"/>
  <c r="L211" i="54"/>
  <c r="L211" i="57" s="1"/>
  <c r="AE211" i="53"/>
  <c r="AD176" i="57"/>
  <c r="K183" i="68"/>
  <c r="AE176" i="51"/>
  <c r="K60" i="56"/>
  <c r="AD60" i="65"/>
  <c r="AD62" i="65"/>
  <c r="K62" i="56"/>
  <c r="G19" i="66"/>
  <c r="AD176" i="65"/>
  <c r="K176" i="56"/>
  <c r="AD60" i="57"/>
  <c r="K67" i="68"/>
  <c r="R71" i="66"/>
  <c r="AN71" i="66" s="1"/>
  <c r="K244" i="68"/>
  <c r="AD237" i="57"/>
  <c r="K81" i="68"/>
  <c r="AD74" i="57"/>
  <c r="R72" i="66"/>
  <c r="AN72" i="66" s="1"/>
  <c r="AD72" i="66"/>
  <c r="AX72" i="66"/>
  <c r="AX68" i="66"/>
  <c r="AD68" i="66"/>
  <c r="R68" i="66"/>
  <c r="AN68" i="66" s="1"/>
  <c r="K237" i="56"/>
  <c r="AD237" i="65"/>
  <c r="K74" i="56"/>
  <c r="AD74" i="65"/>
  <c r="K69" i="68"/>
  <c r="AD62" i="57"/>
  <c r="L263" i="57"/>
  <c r="L263" i="65"/>
  <c r="BJ263" i="54"/>
  <c r="AE263" i="54"/>
  <c r="AY263" i="54" s="1"/>
  <c r="L90" i="57"/>
  <c r="L90" i="65"/>
  <c r="AE90" i="54"/>
  <c r="AY90" i="54" s="1"/>
  <c r="BJ90" i="54"/>
  <c r="L269" i="57"/>
  <c r="BJ269" i="54"/>
  <c r="L269" i="65"/>
  <c r="AE269" i="54"/>
  <c r="AY269" i="54" s="1"/>
  <c r="L177" i="57"/>
  <c r="BJ177" i="54"/>
  <c r="L177" i="65"/>
  <c r="AE177" i="54"/>
  <c r="AY177" i="54" s="1"/>
  <c r="L224" i="57"/>
  <c r="L224" i="65"/>
  <c r="AE224" i="54"/>
  <c r="AY224" i="54" s="1"/>
  <c r="BJ224" i="54"/>
  <c r="L125" i="57"/>
  <c r="L125" i="65"/>
  <c r="AE125" i="54"/>
  <c r="AY125" i="54" s="1"/>
  <c r="BJ125" i="54"/>
  <c r="L196" i="57"/>
  <c r="BJ196" i="54"/>
  <c r="L196" i="65"/>
  <c r="AE196" i="54"/>
  <c r="AY196" i="54" s="1"/>
  <c r="L217" i="57"/>
  <c r="AE217" i="54"/>
  <c r="AY217" i="54" s="1"/>
  <c r="BJ217" i="54"/>
  <c r="L217" i="65"/>
  <c r="L144" i="57"/>
  <c r="BJ144" i="54"/>
  <c r="AE144" i="54"/>
  <c r="AY144" i="54" s="1"/>
  <c r="L144" i="65"/>
  <c r="L55" i="57"/>
  <c r="L55" i="65"/>
  <c r="BJ55" i="54"/>
  <c r="AE55" i="54"/>
  <c r="AY55" i="54" s="1"/>
  <c r="L270" i="57"/>
  <c r="AE270" i="54"/>
  <c r="AY270" i="54" s="1"/>
  <c r="BJ270" i="54"/>
  <c r="L270" i="65"/>
  <c r="L95" i="57"/>
  <c r="BJ95" i="54"/>
  <c r="AE95" i="54"/>
  <c r="AY95" i="54" s="1"/>
  <c r="L95" i="65"/>
  <c r="L62" i="57"/>
  <c r="AE62" i="54"/>
  <c r="AY62" i="54" s="1"/>
  <c r="BJ62" i="54"/>
  <c r="L62" i="65"/>
  <c r="L282" i="57"/>
  <c r="L282" i="65"/>
  <c r="AE282" i="54"/>
  <c r="AY282" i="54" s="1"/>
  <c r="BJ282" i="54"/>
  <c r="L53" i="57"/>
  <c r="L53" i="65"/>
  <c r="AE53" i="54"/>
  <c r="AY53" i="54" s="1"/>
  <c r="BJ53" i="54"/>
  <c r="L203" i="57"/>
  <c r="L203" i="65"/>
  <c r="AE203" i="54"/>
  <c r="AY203" i="54" s="1"/>
  <c r="BJ203" i="54"/>
  <c r="L129" i="57"/>
  <c r="AE129" i="54"/>
  <c r="AY129" i="54" s="1"/>
  <c r="L129" i="65"/>
  <c r="BJ129" i="54"/>
  <c r="L163" i="57"/>
  <c r="BJ163" i="54"/>
  <c r="AE163" i="54"/>
  <c r="AY163" i="54" s="1"/>
  <c r="L163" i="65"/>
  <c r="L88" i="57"/>
  <c r="L88" i="65"/>
  <c r="AE88" i="54"/>
  <c r="AY88" i="54" s="1"/>
  <c r="BJ88" i="54"/>
  <c r="L192" i="57"/>
  <c r="L192" i="65"/>
  <c r="BJ192" i="54"/>
  <c r="AE192" i="54"/>
  <c r="AY192" i="54" s="1"/>
  <c r="L146" i="57"/>
  <c r="AE146" i="54"/>
  <c r="AY146" i="54" s="1"/>
  <c r="L146" i="65"/>
  <c r="BJ146" i="54"/>
  <c r="L98" i="57"/>
  <c r="L98" i="65"/>
  <c r="AE98" i="54"/>
  <c r="AY98" i="54" s="1"/>
  <c r="BJ98" i="54"/>
  <c r="L208" i="57"/>
  <c r="AE208" i="54"/>
  <c r="AY208" i="54" s="1"/>
  <c r="BJ208" i="54"/>
  <c r="L208" i="65"/>
  <c r="L80" i="57"/>
  <c r="L80" i="65"/>
  <c r="AE80" i="54"/>
  <c r="AY80" i="54" s="1"/>
  <c r="BJ80" i="54"/>
  <c r="L239" i="57"/>
  <c r="L239" i="65"/>
  <c r="AE239" i="54"/>
  <c r="AY239" i="54" s="1"/>
  <c r="BJ239" i="54"/>
  <c r="L190" i="57"/>
  <c r="AE190" i="54"/>
  <c r="AY190" i="54" s="1"/>
  <c r="L190" i="65"/>
  <c r="BJ190" i="54"/>
  <c r="L225" i="57"/>
  <c r="L225" i="65"/>
  <c r="AE225" i="54"/>
  <c r="AY225" i="54" s="1"/>
  <c r="BJ225" i="54"/>
  <c r="L150" i="57"/>
  <c r="BJ150" i="54"/>
  <c r="AE150" i="54"/>
  <c r="AY150" i="54" s="1"/>
  <c r="L150" i="65"/>
  <c r="L115" i="57"/>
  <c r="BJ115" i="54"/>
  <c r="L115" i="65"/>
  <c r="AE115" i="54"/>
  <c r="AY115" i="54" s="1"/>
  <c r="L99" i="57"/>
  <c r="BJ99" i="54"/>
  <c r="L99" i="65"/>
  <c r="AE99" i="54"/>
  <c r="AY99" i="54" s="1"/>
  <c r="L64" i="57"/>
  <c r="AE64" i="54"/>
  <c r="AY64" i="54" s="1"/>
  <c r="L64" i="65"/>
  <c r="BJ64" i="54"/>
  <c r="L111" i="57"/>
  <c r="AE111" i="54"/>
  <c r="AY111" i="54" s="1"/>
  <c r="L111" i="65"/>
  <c r="BJ111" i="54"/>
  <c r="L272" i="57"/>
  <c r="L272" i="65"/>
  <c r="AE272" i="54"/>
  <c r="AY272" i="54" s="1"/>
  <c r="BJ272" i="54"/>
  <c r="L259" i="57"/>
  <c r="L259" i="65"/>
  <c r="BJ259" i="54"/>
  <c r="AE259" i="54"/>
  <c r="AY259" i="54" s="1"/>
  <c r="L227" i="57"/>
  <c r="L227" i="65"/>
  <c r="AE227" i="54"/>
  <c r="AY227" i="54" s="1"/>
  <c r="BJ227" i="54"/>
  <c r="L145" i="57"/>
  <c r="L145" i="65"/>
  <c r="AE145" i="54"/>
  <c r="AY145" i="54" s="1"/>
  <c r="BJ145" i="54"/>
  <c r="L38" i="57"/>
  <c r="L38" i="65"/>
  <c r="AE38" i="54"/>
  <c r="AY38" i="54" s="1"/>
  <c r="BJ38" i="54"/>
  <c r="AE291" i="54"/>
  <c r="AY291" i="54" s="1"/>
  <c r="L291" i="57"/>
  <c r="BJ291" i="54"/>
  <c r="L291" i="65"/>
  <c r="L32" i="57"/>
  <c r="BJ32" i="54"/>
  <c r="AE32" i="54"/>
  <c r="AY32" i="54" s="1"/>
  <c r="L32" i="65"/>
  <c r="L154" i="57"/>
  <c r="AE154" i="54"/>
  <c r="AY154" i="54" s="1"/>
  <c r="BJ154" i="54"/>
  <c r="L154" i="65"/>
  <c r="L221" i="57"/>
  <c r="L221" i="65"/>
  <c r="BJ221" i="54"/>
  <c r="AE221" i="54"/>
  <c r="AY221" i="54" s="1"/>
  <c r="L188" i="57"/>
  <c r="L188" i="65"/>
  <c r="AE188" i="54"/>
  <c r="AY188" i="54" s="1"/>
  <c r="BJ188" i="54"/>
  <c r="L52" i="57"/>
  <c r="BJ52" i="54"/>
  <c r="AE52" i="54"/>
  <c r="AY52" i="54" s="1"/>
  <c r="L52" i="65"/>
  <c r="L94" i="57"/>
  <c r="AE94" i="54"/>
  <c r="AY94" i="54" s="1"/>
  <c r="BJ94" i="54"/>
  <c r="L94" i="65"/>
  <c r="L284" i="57"/>
  <c r="AE284" i="54"/>
  <c r="AY284" i="54" s="1"/>
  <c r="L284" i="65"/>
  <c r="BJ284" i="54"/>
  <c r="L104" i="57"/>
  <c r="L104" i="65"/>
  <c r="AE104" i="54"/>
  <c r="AY104" i="54" s="1"/>
  <c r="BJ104" i="54"/>
  <c r="L292" i="57"/>
  <c r="AE292" i="54"/>
  <c r="AY292" i="54" s="1"/>
  <c r="L292" i="65"/>
  <c r="BJ292" i="54"/>
  <c r="L50" i="57"/>
  <c r="L50" i="65"/>
  <c r="AE50" i="54"/>
  <c r="AY50" i="54" s="1"/>
  <c r="BJ50" i="54"/>
  <c r="L43" i="57"/>
  <c r="L43" i="65"/>
  <c r="BJ43" i="54"/>
  <c r="AE43" i="54"/>
  <c r="AY43" i="54" s="1"/>
  <c r="L164" i="57"/>
  <c r="BJ164" i="54"/>
  <c r="L164" i="65"/>
  <c r="AE164" i="54"/>
  <c r="AY164" i="54" s="1"/>
  <c r="L234" i="57"/>
  <c r="L234" i="65"/>
  <c r="BJ234" i="54"/>
  <c r="AE234" i="54"/>
  <c r="AY234" i="54" s="1"/>
  <c r="L159" i="57"/>
  <c r="AE159" i="54"/>
  <c r="AY159" i="54" s="1"/>
  <c r="BJ159" i="54"/>
  <c r="L159" i="65"/>
  <c r="L72" i="57"/>
  <c r="L72" i="65"/>
  <c r="AE72" i="54"/>
  <c r="AY72" i="54" s="1"/>
  <c r="BJ72" i="54"/>
  <c r="L24" i="57"/>
  <c r="BJ24" i="54"/>
  <c r="H66" i="66"/>
  <c r="L24" i="65"/>
  <c r="AE24" i="54"/>
  <c r="AY24" i="54" s="1"/>
  <c r="L178" i="57"/>
  <c r="BJ178" i="54"/>
  <c r="L178" i="65"/>
  <c r="AE178" i="54"/>
  <c r="AY178" i="54" s="1"/>
  <c r="L266" i="57"/>
  <c r="AE266" i="54"/>
  <c r="AY266" i="54" s="1"/>
  <c r="BJ266" i="54"/>
  <c r="L266" i="65"/>
  <c r="L256" i="57"/>
  <c r="L256" i="65"/>
  <c r="AE256" i="54"/>
  <c r="AY256" i="54" s="1"/>
  <c r="BJ256" i="54"/>
  <c r="L143" i="57"/>
  <c r="AE143" i="54"/>
  <c r="AY143" i="54" s="1"/>
  <c r="L143" i="65"/>
  <c r="BJ143" i="54"/>
  <c r="L241" i="57"/>
  <c r="L241" i="65"/>
  <c r="BJ241" i="54"/>
  <c r="AE241" i="54"/>
  <c r="AY241" i="54" s="1"/>
  <c r="L47" i="57"/>
  <c r="AE47" i="54"/>
  <c r="AY47" i="54" s="1"/>
  <c r="L47" i="65"/>
  <c r="BJ47" i="54"/>
  <c r="L249" i="57"/>
  <c r="AE249" i="54"/>
  <c r="AY249" i="54" s="1"/>
  <c r="BJ249" i="54"/>
  <c r="L249" i="65"/>
  <c r="L68" i="57"/>
  <c r="AE68" i="54"/>
  <c r="AY68" i="54" s="1"/>
  <c r="BJ68" i="54"/>
  <c r="L68" i="65"/>
  <c r="L198" i="57"/>
  <c r="L198" i="65"/>
  <c r="AE198" i="54"/>
  <c r="AY198" i="54" s="1"/>
  <c r="BJ198" i="54"/>
  <c r="L189" i="57"/>
  <c r="L189" i="65"/>
  <c r="AE189" i="54"/>
  <c r="AY189" i="54" s="1"/>
  <c r="BJ189" i="54"/>
  <c r="L299" i="57"/>
  <c r="L299" i="65"/>
  <c r="BJ299" i="54"/>
  <c r="AE299" i="54"/>
  <c r="AY299" i="54" s="1"/>
  <c r="L67" i="57"/>
  <c r="AE67" i="54"/>
  <c r="AY67" i="54" s="1"/>
  <c r="L67" i="65"/>
  <c r="BJ67" i="54"/>
  <c r="L60" i="57"/>
  <c r="AE60" i="54"/>
  <c r="AY60" i="54" s="1"/>
  <c r="L60" i="65"/>
  <c r="BJ60" i="54"/>
  <c r="L248" i="57"/>
  <c r="BJ248" i="54"/>
  <c r="L248" i="65"/>
  <c r="AE248" i="54"/>
  <c r="AY248" i="54" s="1"/>
  <c r="L56" i="57"/>
  <c r="BJ56" i="54"/>
  <c r="L56" i="65"/>
  <c r="AE56" i="54"/>
  <c r="AY56" i="54" s="1"/>
  <c r="L148" i="57"/>
  <c r="L148" i="65"/>
  <c r="AE148" i="54"/>
  <c r="AY148" i="54" s="1"/>
  <c r="BJ148" i="54"/>
  <c r="L194" i="57"/>
  <c r="AE194" i="54"/>
  <c r="AY194" i="54" s="1"/>
  <c r="BJ194" i="54"/>
  <c r="L194" i="65"/>
  <c r="L223" i="57"/>
  <c r="AE223" i="54"/>
  <c r="AY223" i="54" s="1"/>
  <c r="L223" i="65"/>
  <c r="BJ223" i="54"/>
  <c r="L123" i="57"/>
  <c r="BJ123" i="54"/>
  <c r="AE123" i="54"/>
  <c r="AY123" i="54" s="1"/>
  <c r="L123" i="65"/>
  <c r="L240" i="57"/>
  <c r="AE240" i="54"/>
  <c r="AY240" i="54" s="1"/>
  <c r="L240" i="65"/>
  <c r="BJ240" i="54"/>
  <c r="L226" i="57"/>
  <c r="AE226" i="54"/>
  <c r="AY226" i="54" s="1"/>
  <c r="L226" i="65"/>
  <c r="BJ226" i="54"/>
  <c r="L304" i="57"/>
  <c r="L304" i="65"/>
  <c r="AE304" i="54"/>
  <c r="AY304" i="54" s="1"/>
  <c r="BJ304" i="54"/>
  <c r="L18" i="57"/>
  <c r="L18" i="65"/>
  <c r="AE18" i="54"/>
  <c r="AY18" i="54" s="1"/>
  <c r="BJ18" i="54"/>
  <c r="L118" i="57"/>
  <c r="L118" i="65"/>
  <c r="BJ118" i="54"/>
  <c r="AE118" i="54"/>
  <c r="AY118" i="54" s="1"/>
  <c r="L17" i="57"/>
  <c r="H69" i="66"/>
  <c r="BJ17" i="54"/>
  <c r="AE17" i="54"/>
  <c r="AY17" i="54" s="1"/>
  <c r="L17" i="65"/>
  <c r="L20" i="57"/>
  <c r="L20" i="65"/>
  <c r="AE20" i="54"/>
  <c r="AY20" i="54" s="1"/>
  <c r="BJ20" i="54"/>
  <c r="L28" i="57"/>
  <c r="L28" i="65"/>
  <c r="AE28" i="54"/>
  <c r="AY28" i="54" s="1"/>
  <c r="BJ28" i="54"/>
  <c r="L169" i="57"/>
  <c r="L169" i="65"/>
  <c r="BJ169" i="54"/>
  <c r="AE169" i="54"/>
  <c r="AY169" i="54" s="1"/>
  <c r="L209" i="57"/>
  <c r="L209" i="65"/>
  <c r="AE209" i="54"/>
  <c r="AY209" i="54" s="1"/>
  <c r="BJ209" i="54"/>
  <c r="AE253" i="54"/>
  <c r="AY253" i="54" s="1"/>
  <c r="L253" i="57"/>
  <c r="BJ253" i="54"/>
  <c r="L253" i="65"/>
  <c r="L212" i="57"/>
  <c r="AE212" i="54"/>
  <c r="AY212" i="54" s="1"/>
  <c r="BJ212" i="54"/>
  <c r="L212" i="65"/>
  <c r="G149" i="66"/>
  <c r="L246" i="57"/>
  <c r="L246" i="65"/>
  <c r="AE246" i="54"/>
  <c r="AY246" i="54" s="1"/>
  <c r="BJ246" i="54"/>
  <c r="AE37" i="66"/>
  <c r="AY37" i="66"/>
  <c r="S37" i="66"/>
  <c r="AO37" i="66" s="1"/>
  <c r="AE300" i="54"/>
  <c r="AY300" i="54" s="1"/>
  <c r="L300" i="57"/>
  <c r="L300" i="65"/>
  <c r="BJ300" i="54"/>
  <c r="L230" i="57"/>
  <c r="L230" i="65"/>
  <c r="BJ230" i="54"/>
  <c r="AE230" i="54"/>
  <c r="AY230" i="54" s="1"/>
  <c r="L156" i="57"/>
  <c r="L156" i="65"/>
  <c r="BJ156" i="54"/>
  <c r="AE156" i="54"/>
  <c r="AY156" i="54" s="1"/>
  <c r="L77" i="57"/>
  <c r="L77" i="65"/>
  <c r="BJ77" i="54"/>
  <c r="AE77" i="54"/>
  <c r="AY77" i="54" s="1"/>
  <c r="L301" i="57"/>
  <c r="L301" i="65"/>
  <c r="AE301" i="54"/>
  <c r="AY301" i="54" s="1"/>
  <c r="BJ301" i="54"/>
  <c r="L124" i="57"/>
  <c r="L124" i="65"/>
  <c r="BJ124" i="54"/>
  <c r="AE124" i="54"/>
  <c r="AY124" i="54" s="1"/>
  <c r="L204" i="57"/>
  <c r="L204" i="65"/>
  <c r="AE204" i="54"/>
  <c r="AY204" i="54" s="1"/>
  <c r="BJ204" i="54"/>
  <c r="L193" i="57"/>
  <c r="BJ193" i="54"/>
  <c r="AE193" i="54"/>
  <c r="AY193" i="54" s="1"/>
  <c r="L193" i="65"/>
  <c r="L244" i="57"/>
  <c r="BJ244" i="54"/>
  <c r="AE244" i="54"/>
  <c r="AY244" i="54" s="1"/>
  <c r="L244" i="65"/>
  <c r="L91" i="57"/>
  <c r="L91" i="65"/>
  <c r="AE91" i="54"/>
  <c r="AY91" i="54" s="1"/>
  <c r="BJ91" i="54"/>
  <c r="L57" i="57"/>
  <c r="L57" i="65"/>
  <c r="AE57" i="54"/>
  <c r="AY57" i="54" s="1"/>
  <c r="BJ57" i="54"/>
  <c r="L69" i="57"/>
  <c r="L69" i="65"/>
  <c r="AE69" i="54"/>
  <c r="AY69" i="54" s="1"/>
  <c r="BJ69" i="54"/>
  <c r="L141" i="57"/>
  <c r="L141" i="65"/>
  <c r="AE141" i="54"/>
  <c r="AY141" i="54" s="1"/>
  <c r="BJ141" i="54"/>
  <c r="L229" i="57"/>
  <c r="L229" i="65"/>
  <c r="AE229" i="54"/>
  <c r="AY229" i="54" s="1"/>
  <c r="BJ229" i="54"/>
  <c r="L293" i="57"/>
  <c r="BJ293" i="54"/>
  <c r="AE293" i="54"/>
  <c r="AY293" i="54" s="1"/>
  <c r="L293" i="65"/>
  <c r="L237" i="57"/>
  <c r="L237" i="65"/>
  <c r="BJ237" i="54"/>
  <c r="AE237" i="54"/>
  <c r="AY237" i="54" s="1"/>
  <c r="L151" i="57"/>
  <c r="AE151" i="54"/>
  <c r="AY151" i="54" s="1"/>
  <c r="L151" i="65"/>
  <c r="BJ151" i="54"/>
  <c r="L117" i="57"/>
  <c r="AE117" i="54"/>
  <c r="AY117" i="54" s="1"/>
  <c r="BJ117" i="54"/>
  <c r="L117" i="65"/>
  <c r="BJ290" i="54"/>
  <c r="L290" i="57"/>
  <c r="L290" i="65"/>
  <c r="AE290" i="54"/>
  <c r="AY290" i="54" s="1"/>
  <c r="L197" i="57"/>
  <c r="AE197" i="54"/>
  <c r="AY197" i="54" s="1"/>
  <c r="BJ197" i="54"/>
  <c r="L197" i="65"/>
  <c r="L23" i="57"/>
  <c r="AE23" i="54"/>
  <c r="AY23" i="54" s="1"/>
  <c r="BJ23" i="54"/>
  <c r="L23" i="65"/>
  <c r="L276" i="57"/>
  <c r="AE276" i="54"/>
  <c r="AY276" i="54" s="1"/>
  <c r="L276" i="65"/>
  <c r="BJ276" i="54"/>
  <c r="L29" i="57"/>
  <c r="L29" i="65"/>
  <c r="AE29" i="54"/>
  <c r="AY29" i="54" s="1"/>
  <c r="BJ29" i="54"/>
  <c r="L200" i="57"/>
  <c r="L200" i="65"/>
  <c r="AE200" i="54"/>
  <c r="AY200" i="54" s="1"/>
  <c r="BJ200" i="54"/>
  <c r="L175" i="57"/>
  <c r="L175" i="65"/>
  <c r="AE175" i="54"/>
  <c r="AY175" i="54" s="1"/>
  <c r="BJ175" i="54"/>
  <c r="L191" i="57"/>
  <c r="L191" i="65"/>
  <c r="AE191" i="54"/>
  <c r="AY191" i="54" s="1"/>
  <c r="BJ191" i="54"/>
  <c r="L184" i="57"/>
  <c r="L184" i="65"/>
  <c r="BJ184" i="54"/>
  <c r="AE184" i="54"/>
  <c r="AY184" i="54" s="1"/>
  <c r="L27" i="57"/>
  <c r="L27" i="65"/>
  <c r="BJ27" i="54"/>
  <c r="AE27" i="54"/>
  <c r="AY27" i="54" s="1"/>
  <c r="L243" i="57"/>
  <c r="L243" i="65"/>
  <c r="AE243" i="54"/>
  <c r="AY243" i="54" s="1"/>
  <c r="BJ243" i="54"/>
  <c r="L78" i="57"/>
  <c r="AE78" i="54"/>
  <c r="AY78" i="54" s="1"/>
  <c r="L78" i="65"/>
  <c r="BJ78" i="54"/>
  <c r="L112" i="57"/>
  <c r="L112" i="65"/>
  <c r="BJ112" i="54"/>
  <c r="AE112" i="54"/>
  <c r="AY112" i="54" s="1"/>
  <c r="L131" i="57"/>
  <c r="L131" i="65"/>
  <c r="AE131" i="54"/>
  <c r="AY131" i="54" s="1"/>
  <c r="BJ131" i="54"/>
  <c r="L275" i="57"/>
  <c r="AE275" i="54"/>
  <c r="AY275" i="54" s="1"/>
  <c r="L275" i="65"/>
  <c r="BJ275" i="54"/>
  <c r="L79" i="57"/>
  <c r="BJ79" i="54"/>
  <c r="AE79" i="54"/>
  <c r="AY79" i="54" s="1"/>
  <c r="L79" i="65"/>
  <c r="L46" i="57"/>
  <c r="AE46" i="54"/>
  <c r="AY46" i="54" s="1"/>
  <c r="L46" i="65"/>
  <c r="BJ46" i="54"/>
  <c r="L37" i="57"/>
  <c r="L37" i="65"/>
  <c r="BJ37" i="54"/>
  <c r="AE37" i="54"/>
  <c r="AY37" i="54" s="1"/>
  <c r="L36" i="57"/>
  <c r="BJ36" i="54"/>
  <c r="L36" i="65"/>
  <c r="AE36" i="54"/>
  <c r="AY36" i="54" s="1"/>
  <c r="L245" i="57"/>
  <c r="AE245" i="54"/>
  <c r="AY245" i="54" s="1"/>
  <c r="L245" i="65"/>
  <c r="BJ245" i="54"/>
  <c r="L180" i="57"/>
  <c r="AE180" i="54"/>
  <c r="AY180" i="54" s="1"/>
  <c r="L180" i="65"/>
  <c r="BJ180" i="54"/>
  <c r="L31" i="57"/>
  <c r="BJ31" i="54"/>
  <c r="L31" i="65"/>
  <c r="AE31" i="54"/>
  <c r="AY31" i="54" s="1"/>
  <c r="L216" i="57"/>
  <c r="L216" i="65"/>
  <c r="AE216" i="54"/>
  <c r="AY216" i="54" s="1"/>
  <c r="BJ216" i="54"/>
  <c r="L179" i="57"/>
  <c r="AE179" i="54"/>
  <c r="AY179" i="54" s="1"/>
  <c r="L179" i="65"/>
  <c r="BJ179" i="54"/>
  <c r="L97" i="57"/>
  <c r="BJ97" i="54"/>
  <c r="AE97" i="54"/>
  <c r="AY97" i="54" s="1"/>
  <c r="L97" i="65"/>
  <c r="L139" i="57"/>
  <c r="L139" i="65"/>
  <c r="AE139" i="54"/>
  <c r="AY139" i="54" s="1"/>
  <c r="BJ139" i="54"/>
  <c r="L103" i="57"/>
  <c r="L103" i="65"/>
  <c r="BJ103" i="54"/>
  <c r="AE103" i="54"/>
  <c r="AY103" i="54" s="1"/>
  <c r="L121" i="57"/>
  <c r="L121" i="65"/>
  <c r="BJ121" i="54"/>
  <c r="AE121" i="54"/>
  <c r="AY121" i="54" s="1"/>
  <c r="L232" i="57"/>
  <c r="L232" i="65"/>
  <c r="AE232" i="54"/>
  <c r="AY232" i="54" s="1"/>
  <c r="BJ232" i="54"/>
  <c r="L267" i="57"/>
  <c r="AE267" i="54"/>
  <c r="AY267" i="54" s="1"/>
  <c r="L267" i="65"/>
  <c r="BJ267" i="54"/>
  <c r="L181" i="57"/>
  <c r="L181" i="65"/>
  <c r="AE181" i="54"/>
  <c r="AY181" i="54" s="1"/>
  <c r="BJ181" i="54"/>
  <c r="L220" i="57"/>
  <c r="L220" i="65"/>
  <c r="AE220" i="54"/>
  <c r="AY220" i="54" s="1"/>
  <c r="BJ220" i="54"/>
  <c r="L41" i="57"/>
  <c r="AE41" i="54"/>
  <c r="AY41" i="54" s="1"/>
  <c r="BJ41" i="54"/>
  <c r="L41" i="65"/>
  <c r="L108" i="57"/>
  <c r="BJ108" i="54"/>
  <c r="AE108" i="54"/>
  <c r="AY108" i="54" s="1"/>
  <c r="L108" i="65"/>
  <c r="L73" i="57"/>
  <c r="AE73" i="54"/>
  <c r="AY73" i="54" s="1"/>
  <c r="L73" i="65"/>
  <c r="BJ73" i="54"/>
  <c r="L307" i="57"/>
  <c r="AE307" i="54"/>
  <c r="AY307" i="54" s="1"/>
  <c r="BJ307" i="54"/>
  <c r="L307" i="65"/>
  <c r="L254" i="57"/>
  <c r="L254" i="65"/>
  <c r="AE254" i="54"/>
  <c r="AY254" i="54" s="1"/>
  <c r="BJ254" i="54"/>
  <c r="L238" i="57"/>
  <c r="AE238" i="54"/>
  <c r="AY238" i="54" s="1"/>
  <c r="L238" i="65"/>
  <c r="BJ238" i="54"/>
  <c r="L162" i="57"/>
  <c r="L162" i="65"/>
  <c r="AE162" i="54"/>
  <c r="AY162" i="54" s="1"/>
  <c r="BJ162" i="54"/>
  <c r="L167" i="57"/>
  <c r="L167" i="65"/>
  <c r="BJ167" i="54"/>
  <c r="AE167" i="54"/>
  <c r="AY167" i="54" s="1"/>
  <c r="AE15" i="54"/>
  <c r="AY15" i="54" s="1"/>
  <c r="BJ15" i="54"/>
  <c r="L15" i="65"/>
  <c r="L45" i="57"/>
  <c r="BJ45" i="54"/>
  <c r="AE45" i="54"/>
  <c r="AY45" i="54" s="1"/>
  <c r="L45" i="65"/>
  <c r="L168" i="57"/>
  <c r="BJ168" i="54"/>
  <c r="L168" i="65"/>
  <c r="AE168" i="54"/>
  <c r="AY168" i="54" s="1"/>
  <c r="L157" i="57"/>
  <c r="BJ157" i="54"/>
  <c r="L157" i="65"/>
  <c r="AE157" i="54"/>
  <c r="AY157" i="54" s="1"/>
  <c r="L201" i="57"/>
  <c r="AE201" i="54"/>
  <c r="AY201" i="54" s="1"/>
  <c r="L201" i="65"/>
  <c r="BJ201" i="54"/>
  <c r="L261" i="57"/>
  <c r="AE261" i="54"/>
  <c r="AY261" i="54" s="1"/>
  <c r="BJ261" i="54"/>
  <c r="L261" i="65"/>
  <c r="L128" i="57"/>
  <c r="BJ128" i="54"/>
  <c r="L128" i="65"/>
  <c r="AE128" i="54"/>
  <c r="AY128" i="54" s="1"/>
  <c r="L206" i="57"/>
  <c r="L206" i="65"/>
  <c r="AE206" i="54"/>
  <c r="AY206" i="54" s="1"/>
  <c r="BJ206" i="54"/>
  <c r="L153" i="57"/>
  <c r="AE153" i="54"/>
  <c r="AY153" i="54" s="1"/>
  <c r="L153" i="65"/>
  <c r="BJ153" i="54"/>
  <c r="L247" i="57"/>
  <c r="L247" i="65"/>
  <c r="BJ247" i="54"/>
  <c r="AE247" i="54"/>
  <c r="AY247" i="54" s="1"/>
  <c r="L120" i="57"/>
  <c r="L120" i="65"/>
  <c r="AE120" i="54"/>
  <c r="AY120" i="54" s="1"/>
  <c r="BJ120" i="54"/>
  <c r="L228" i="57"/>
  <c r="AE228" i="54"/>
  <c r="AY228" i="54" s="1"/>
  <c r="BJ228" i="54"/>
  <c r="L228" i="65"/>
  <c r="L142" i="57"/>
  <c r="L142" i="65"/>
  <c r="AE142" i="54"/>
  <c r="AY142" i="54" s="1"/>
  <c r="BJ142" i="54"/>
  <c r="L258" i="57"/>
  <c r="BJ258" i="54"/>
  <c r="L258" i="65"/>
  <c r="AE258" i="54"/>
  <c r="AY258" i="54" s="1"/>
  <c r="L138" i="57"/>
  <c r="L138" i="65"/>
  <c r="AE138" i="54"/>
  <c r="AY138" i="54" s="1"/>
  <c r="BJ138" i="54"/>
  <c r="R90" i="66"/>
  <c r="AN90" i="66" s="1"/>
  <c r="AD90" i="66"/>
  <c r="AX90" i="66"/>
  <c r="L133" i="57"/>
  <c r="AE133" i="54"/>
  <c r="AY133" i="54" s="1"/>
  <c r="L133" i="65"/>
  <c r="BJ133" i="54"/>
  <c r="L119" i="57"/>
  <c r="AE119" i="54"/>
  <c r="AY119" i="54" s="1"/>
  <c r="BJ119" i="54"/>
  <c r="L119" i="65"/>
  <c r="L140" i="57"/>
  <c r="L140" i="65"/>
  <c r="AE140" i="54"/>
  <c r="AY140" i="54" s="1"/>
  <c r="BJ140" i="54"/>
  <c r="L127" i="57"/>
  <c r="AE127" i="54"/>
  <c r="AY127" i="54" s="1"/>
  <c r="BJ127" i="54"/>
  <c r="L127" i="65"/>
  <c r="L286" i="57"/>
  <c r="L286" i="65"/>
  <c r="AE286" i="54"/>
  <c r="AY286" i="54" s="1"/>
  <c r="BJ286" i="54"/>
  <c r="L298" i="57"/>
  <c r="L298" i="65"/>
  <c r="BJ298" i="54"/>
  <c r="AE298" i="54"/>
  <c r="AY298" i="54" s="1"/>
  <c r="L218" i="57"/>
  <c r="L218" i="65"/>
  <c r="AE218" i="54"/>
  <c r="AY218" i="54" s="1"/>
  <c r="BJ218" i="54"/>
  <c r="M14" i="15"/>
  <c r="T15" i="60"/>
  <c r="H8" i="60"/>
  <c r="L110" i="57"/>
  <c r="L110" i="65"/>
  <c r="AE110" i="54"/>
  <c r="AY110" i="54" s="1"/>
  <c r="BJ110" i="54"/>
  <c r="L219" i="57"/>
  <c r="L219" i="65"/>
  <c r="AE219" i="54"/>
  <c r="AY219" i="54" s="1"/>
  <c r="BJ219" i="54"/>
  <c r="L114" i="57"/>
  <c r="L114" i="65"/>
  <c r="AE114" i="54"/>
  <c r="AY114" i="54" s="1"/>
  <c r="BJ114" i="54"/>
  <c r="L186" i="57"/>
  <c r="AE186" i="54"/>
  <c r="AY186" i="54" s="1"/>
  <c r="L186" i="65"/>
  <c r="BJ186" i="54"/>
  <c r="L116" i="57"/>
  <c r="L116" i="65"/>
  <c r="AE116" i="54"/>
  <c r="AY116" i="54" s="1"/>
  <c r="BJ116" i="54"/>
  <c r="L48" i="57"/>
  <c r="BJ48" i="54"/>
  <c r="H67" i="66"/>
  <c r="L48" i="65"/>
  <c r="AE48" i="54"/>
  <c r="AY48" i="54" s="1"/>
  <c r="K32" i="15"/>
  <c r="K35" i="15" s="1"/>
  <c r="L71" i="57"/>
  <c r="L71" i="65"/>
  <c r="BJ71" i="54"/>
  <c r="AE71" i="54"/>
  <c r="AY71" i="54" s="1"/>
  <c r="L251" i="57"/>
  <c r="AE251" i="57" s="1"/>
  <c r="L251" i="65"/>
  <c r="BJ251" i="54"/>
  <c r="AE251" i="54"/>
  <c r="AY251" i="54" s="1"/>
  <c r="L274" i="57"/>
  <c r="AE274" i="54"/>
  <c r="AY274" i="54" s="1"/>
  <c r="L274" i="65"/>
  <c r="BJ274" i="54"/>
  <c r="L137" i="57"/>
  <c r="L137" i="65"/>
  <c r="BJ137" i="54"/>
  <c r="AE137" i="54"/>
  <c r="AY137" i="54" s="1"/>
  <c r="L59" i="57"/>
  <c r="AE59" i="54"/>
  <c r="AY59" i="54" s="1"/>
  <c r="L59" i="65"/>
  <c r="BJ59" i="54"/>
  <c r="L277" i="57"/>
  <c r="L277" i="65"/>
  <c r="AE277" i="54"/>
  <c r="AY277" i="54" s="1"/>
  <c r="BJ277" i="54"/>
  <c r="L49" i="57"/>
  <c r="L49" i="65"/>
  <c r="AE49" i="54"/>
  <c r="AY49" i="54" s="1"/>
  <c r="BJ49" i="54"/>
  <c r="L149" i="57"/>
  <c r="L149" i="65"/>
  <c r="BJ149" i="54"/>
  <c r="AE149" i="54"/>
  <c r="AY149" i="54" s="1"/>
  <c r="L96" i="57"/>
  <c r="L96" i="65"/>
  <c r="AE96" i="54"/>
  <c r="AY96" i="54" s="1"/>
  <c r="BJ96" i="54"/>
  <c r="L285" i="57"/>
  <c r="L285" i="65"/>
  <c r="BJ285" i="54"/>
  <c r="AE285" i="54"/>
  <c r="AY285" i="54" s="1"/>
  <c r="L132" i="57"/>
  <c r="L132" i="65"/>
  <c r="AE132" i="54"/>
  <c r="AY132" i="54" s="1"/>
  <c r="BJ132" i="54"/>
  <c r="L174" i="57"/>
  <c r="L174" i="65"/>
  <c r="AE174" i="54"/>
  <c r="AY174" i="54" s="1"/>
  <c r="BJ174" i="54"/>
  <c r="L215" i="57"/>
  <c r="BJ215" i="54"/>
  <c r="AE215" i="54"/>
  <c r="AY215" i="54" s="1"/>
  <c r="L215" i="65"/>
  <c r="L205" i="57"/>
  <c r="L205" i="65"/>
  <c r="AE205" i="54"/>
  <c r="AY205" i="54" s="1"/>
  <c r="BJ205" i="54"/>
  <c r="L264" i="57"/>
  <c r="AE264" i="54"/>
  <c r="AY264" i="54" s="1"/>
  <c r="L264" i="65"/>
  <c r="BJ264" i="54"/>
  <c r="L172" i="57"/>
  <c r="AE172" i="57" s="1"/>
  <c r="AE172" i="54"/>
  <c r="AY172" i="54" s="1"/>
  <c r="L172" i="65"/>
  <c r="BJ172" i="54"/>
  <c r="L297" i="57"/>
  <c r="AE297" i="54"/>
  <c r="AY297" i="54" s="1"/>
  <c r="L297" i="65"/>
  <c r="BJ297" i="54"/>
  <c r="L92" i="57"/>
  <c r="BJ92" i="54"/>
  <c r="AE92" i="54"/>
  <c r="AY92" i="54" s="1"/>
  <c r="L92" i="65"/>
  <c r="L185" i="57"/>
  <c r="AE185" i="54"/>
  <c r="AY185" i="54" s="1"/>
  <c r="L185" i="65"/>
  <c r="BJ185" i="54"/>
  <c r="L235" i="57"/>
  <c r="L235" i="65"/>
  <c r="AE235" i="54"/>
  <c r="AY235" i="54" s="1"/>
  <c r="BJ235" i="54"/>
  <c r="L165" i="57"/>
  <c r="L165" i="65"/>
  <c r="AE165" i="54"/>
  <c r="AY165" i="54" s="1"/>
  <c r="BJ165" i="54"/>
  <c r="L268" i="57"/>
  <c r="AE268" i="54"/>
  <c r="AY268" i="54" s="1"/>
  <c r="L268" i="65"/>
  <c r="BJ268" i="54"/>
  <c r="L102" i="57"/>
  <c r="BJ102" i="54"/>
  <c r="L102" i="65"/>
  <c r="AE102" i="54"/>
  <c r="AY102" i="54" s="1"/>
  <c r="L222" i="57"/>
  <c r="L222" i="65"/>
  <c r="AE222" i="54"/>
  <c r="AY222" i="54" s="1"/>
  <c r="BJ222" i="54"/>
  <c r="L87" i="57"/>
  <c r="L87" i="65"/>
  <c r="AE87" i="54"/>
  <c r="AY87" i="54" s="1"/>
  <c r="BJ87" i="54"/>
  <c r="L61" i="57"/>
  <c r="L61" i="65"/>
  <c r="AE61" i="54"/>
  <c r="AY61" i="54" s="1"/>
  <c r="BJ61" i="54"/>
  <c r="L202" i="57"/>
  <c r="L202" i="65"/>
  <c r="AE202" i="54"/>
  <c r="AY202" i="54" s="1"/>
  <c r="BJ202" i="54"/>
  <c r="L63" i="57"/>
  <c r="AE63" i="54"/>
  <c r="AY63" i="54" s="1"/>
  <c r="L63" i="65"/>
  <c r="BJ63" i="54"/>
  <c r="L65" i="57"/>
  <c r="L65" i="65"/>
  <c r="AE65" i="54"/>
  <c r="AY65" i="54" s="1"/>
  <c r="BJ65" i="54"/>
  <c r="L255" i="57"/>
  <c r="L255" i="65"/>
  <c r="AE255" i="54"/>
  <c r="AY255" i="54" s="1"/>
  <c r="BJ255" i="54"/>
  <c r="L39" i="57"/>
  <c r="BJ39" i="54"/>
  <c r="AE39" i="54"/>
  <c r="AY39" i="54" s="1"/>
  <c r="L39" i="65"/>
  <c r="L306" i="57"/>
  <c r="AE306" i="54"/>
  <c r="AY306" i="54" s="1"/>
  <c r="L306" i="65"/>
  <c r="BJ306" i="54"/>
  <c r="L35" i="57"/>
  <c r="L35" i="65"/>
  <c r="BJ35" i="54"/>
  <c r="AE35" i="54"/>
  <c r="AY35" i="54" s="1"/>
  <c r="L160" i="57"/>
  <c r="AE160" i="54"/>
  <c r="AY160" i="54" s="1"/>
  <c r="L160" i="65"/>
  <c r="BJ160" i="54"/>
  <c r="L262" i="57"/>
  <c r="L262" i="65"/>
  <c r="AE262" i="54"/>
  <c r="AY262" i="54" s="1"/>
  <c r="BJ262" i="54"/>
  <c r="L21" i="57"/>
  <c r="BJ21" i="54"/>
  <c r="AE21" i="54"/>
  <c r="AY21" i="54" s="1"/>
  <c r="L21" i="65"/>
  <c r="L83" i="57"/>
  <c r="AE83" i="54"/>
  <c r="AY83" i="54" s="1"/>
  <c r="L83" i="65"/>
  <c r="BJ83" i="54"/>
  <c r="L40" i="57"/>
  <c r="AE40" i="54"/>
  <c r="AY40" i="54" s="1"/>
  <c r="BJ40" i="54"/>
  <c r="L40" i="65"/>
  <c r="L183" i="57"/>
  <c r="AE183" i="54"/>
  <c r="AY183" i="54" s="1"/>
  <c r="L183" i="65"/>
  <c r="BJ183" i="54"/>
  <c r="L195" i="57"/>
  <c r="BJ195" i="54"/>
  <c r="L195" i="65"/>
  <c r="AE195" i="54"/>
  <c r="AY195" i="54" s="1"/>
  <c r="L22" i="57"/>
  <c r="L22" i="65"/>
  <c r="BJ22" i="54"/>
  <c r="AE22" i="54"/>
  <c r="AY22" i="54" s="1"/>
  <c r="L76" i="57"/>
  <c r="AE76" i="54"/>
  <c r="AY76" i="54" s="1"/>
  <c r="BJ76" i="54"/>
  <c r="L76" i="65"/>
  <c r="L173" i="57"/>
  <c r="L173" i="65"/>
  <c r="BJ173" i="54"/>
  <c r="AE173" i="54"/>
  <c r="AY173" i="54" s="1"/>
  <c r="L93" i="57"/>
  <c r="L93" i="65"/>
  <c r="AE93" i="54"/>
  <c r="AY93" i="54" s="1"/>
  <c r="BJ93" i="54"/>
  <c r="L182" i="57"/>
  <c r="L182" i="65"/>
  <c r="AE182" i="54"/>
  <c r="AY182" i="54" s="1"/>
  <c r="BJ182" i="54"/>
  <c r="L294" i="57"/>
  <c r="L294" i="65"/>
  <c r="AE294" i="54"/>
  <c r="AY294" i="54" s="1"/>
  <c r="BJ294" i="54"/>
  <c r="L19" i="57"/>
  <c r="AE19" i="54"/>
  <c r="AY19" i="54" s="1"/>
  <c r="L19" i="65"/>
  <c r="BJ19" i="54"/>
  <c r="L281" i="57"/>
  <c r="AE281" i="54"/>
  <c r="AY281" i="54" s="1"/>
  <c r="L281" i="65"/>
  <c r="BJ281" i="54"/>
  <c r="L54" i="57"/>
  <c r="AE54" i="54"/>
  <c r="AY54" i="54" s="1"/>
  <c r="BJ54" i="54"/>
  <c r="L54" i="65"/>
  <c r="L257" i="57"/>
  <c r="L257" i="65"/>
  <c r="BJ257" i="54"/>
  <c r="AE257" i="54"/>
  <c r="AY257" i="54" s="1"/>
  <c r="L171" i="57"/>
  <c r="L171" i="65"/>
  <c r="AE171" i="54"/>
  <c r="AY171" i="54" s="1"/>
  <c r="BJ171" i="54"/>
  <c r="L199" i="57"/>
  <c r="L199" i="65"/>
  <c r="AE199" i="54"/>
  <c r="AY199" i="54" s="1"/>
  <c r="BJ199" i="54"/>
  <c r="L113" i="57"/>
  <c r="L113" i="65"/>
  <c r="AE113" i="54"/>
  <c r="AY113" i="54" s="1"/>
  <c r="BJ113" i="54"/>
  <c r="L101" i="57"/>
  <c r="L101" i="65"/>
  <c r="AE101" i="54"/>
  <c r="AY101" i="54" s="1"/>
  <c r="BJ101" i="54"/>
  <c r="L242" i="57"/>
  <c r="AE242" i="54"/>
  <c r="AY242" i="54" s="1"/>
  <c r="L242" i="65"/>
  <c r="BJ242" i="54"/>
  <c r="L44" i="57"/>
  <c r="AE44" i="54"/>
  <c r="AY44" i="54" s="1"/>
  <c r="BJ44" i="54"/>
  <c r="L44" i="65"/>
  <c r="L166" i="57"/>
  <c r="L166" i="65"/>
  <c r="AE166" i="54"/>
  <c r="AY166" i="54" s="1"/>
  <c r="BJ166" i="54"/>
  <c r="L187" i="57"/>
  <c r="L187" i="65"/>
  <c r="BJ187" i="54"/>
  <c r="AE187" i="54"/>
  <c r="AY187" i="54" s="1"/>
  <c r="L236" i="57"/>
  <c r="L236" i="65"/>
  <c r="AE236" i="54"/>
  <c r="AY236" i="54" s="1"/>
  <c r="BJ236" i="54"/>
  <c r="L176" i="57"/>
  <c r="L176" i="65"/>
  <c r="AE176" i="54"/>
  <c r="AY176" i="54" s="1"/>
  <c r="BJ176" i="54"/>
  <c r="L81" i="57"/>
  <c r="L81" i="65"/>
  <c r="AE81" i="54"/>
  <c r="AY81" i="54" s="1"/>
  <c r="BJ81" i="54"/>
  <c r="L34" i="57"/>
  <c r="L34" i="65"/>
  <c r="BJ34" i="54"/>
  <c r="AE34" i="54"/>
  <c r="AY34" i="54" s="1"/>
  <c r="L134" i="57"/>
  <c r="L134" i="65"/>
  <c r="AE134" i="54"/>
  <c r="AY134" i="54" s="1"/>
  <c r="BJ134" i="54"/>
  <c r="L260" i="57"/>
  <c r="L260" i="65"/>
  <c r="AE260" i="54"/>
  <c r="AY260" i="54" s="1"/>
  <c r="BJ260" i="54"/>
  <c r="L74" i="57"/>
  <c r="AE74" i="54"/>
  <c r="AY74" i="54" s="1"/>
  <c r="L74" i="65"/>
  <c r="BJ74" i="54"/>
  <c r="L58" i="57"/>
  <c r="L58" i="65"/>
  <c r="AE58" i="54"/>
  <c r="AY58" i="54" s="1"/>
  <c r="BJ58" i="54"/>
  <c r="L33" i="57"/>
  <c r="BJ33" i="54"/>
  <c r="H68" i="66"/>
  <c r="L33" i="65"/>
  <c r="AE33" i="54"/>
  <c r="AY33" i="54" s="1"/>
  <c r="L84" i="57"/>
  <c r="L84" i="65"/>
  <c r="AE84" i="54"/>
  <c r="AY84" i="54" s="1"/>
  <c r="BJ84" i="54"/>
  <c r="L213" i="57"/>
  <c r="BJ213" i="54"/>
  <c r="AE213" i="54"/>
  <c r="AY213" i="54" s="1"/>
  <c r="L213" i="65"/>
  <c r="L161" i="57"/>
  <c r="AE161" i="54"/>
  <c r="AY161" i="54" s="1"/>
  <c r="L161" i="65"/>
  <c r="BJ161" i="54"/>
  <c r="L278" i="57"/>
  <c r="BJ278" i="54"/>
  <c r="AE278" i="54"/>
  <c r="AY278" i="54" s="1"/>
  <c r="L278" i="65"/>
  <c r="L82" i="57"/>
  <c r="L82" i="65"/>
  <c r="AE82" i="54"/>
  <c r="AY82" i="54" s="1"/>
  <c r="BJ82" i="54"/>
  <c r="L289" i="57"/>
  <c r="BJ289" i="54"/>
  <c r="L289" i="65"/>
  <c r="AE289" i="54"/>
  <c r="AY289" i="54" s="1"/>
  <c r="L70" i="57"/>
  <c r="L70" i="65"/>
  <c r="AE70" i="54"/>
  <c r="AY70" i="54" s="1"/>
  <c r="BJ70" i="54"/>
  <c r="L252" i="57"/>
  <c r="L252" i="65"/>
  <c r="BJ252" i="54"/>
  <c r="AE252" i="54"/>
  <c r="AY252" i="54" s="1"/>
  <c r="L42" i="57"/>
  <c r="L42" i="65"/>
  <c r="AE42" i="54"/>
  <c r="AY42" i="54" s="1"/>
  <c r="BJ42" i="54"/>
  <c r="L107" i="57"/>
  <c r="BJ107" i="54"/>
  <c r="L107" i="65"/>
  <c r="AE107" i="54"/>
  <c r="AY107" i="54" s="1"/>
  <c r="L51" i="57"/>
  <c r="L51" i="65"/>
  <c r="BJ51" i="54"/>
  <c r="AE51" i="54"/>
  <c r="AY51" i="54" s="1"/>
  <c r="L75" i="57"/>
  <c r="L75" i="65"/>
  <c r="AE75" i="54"/>
  <c r="AY75" i="54" s="1"/>
  <c r="BJ75" i="54"/>
  <c r="L271" i="57"/>
  <c r="BJ271" i="54"/>
  <c r="AE271" i="54"/>
  <c r="AY271" i="54" s="1"/>
  <c r="L271" i="65"/>
  <c r="L26" i="57"/>
  <c r="AE26" i="54"/>
  <c r="AY26" i="54" s="1"/>
  <c r="L26" i="65"/>
  <c r="BJ26" i="54"/>
  <c r="L265" i="57"/>
  <c r="AE265" i="54"/>
  <c r="AY265" i="54" s="1"/>
  <c r="BJ265" i="54"/>
  <c r="L265" i="65"/>
  <c r="L66" i="57"/>
  <c r="L66" i="65"/>
  <c r="AE66" i="54"/>
  <c r="AY66" i="54" s="1"/>
  <c r="BJ66" i="54"/>
  <c r="L283" i="57"/>
  <c r="L283" i="65"/>
  <c r="AE283" i="54"/>
  <c r="AY283" i="54" s="1"/>
  <c r="BJ283" i="54"/>
  <c r="L25" i="57"/>
  <c r="AE25" i="54"/>
  <c r="AY25" i="54" s="1"/>
  <c r="L25" i="65"/>
  <c r="BJ25" i="54"/>
  <c r="G25" i="60"/>
  <c r="S30" i="60"/>
  <c r="G30" i="60" s="1"/>
  <c r="L207" i="57"/>
  <c r="L207" i="65"/>
  <c r="BJ207" i="54"/>
  <c r="AE207" i="54"/>
  <c r="AY207" i="54" s="1"/>
  <c r="L279" i="57"/>
  <c r="L279" i="65"/>
  <c r="BJ279" i="54"/>
  <c r="AE279" i="54"/>
  <c r="AY279" i="54" s="1"/>
  <c r="L85" i="57"/>
  <c r="AE85" i="54"/>
  <c r="AY85" i="54" s="1"/>
  <c r="BJ85" i="54"/>
  <c r="L85" i="65"/>
  <c r="L126" i="57"/>
  <c r="AE126" i="54"/>
  <c r="AY126" i="54" s="1"/>
  <c r="BJ126" i="54"/>
  <c r="L126" i="65"/>
  <c r="L288" i="57"/>
  <c r="L288" i="65"/>
  <c r="AE288" i="54"/>
  <c r="AY288" i="54" s="1"/>
  <c r="BJ288" i="54"/>
  <c r="L158" i="57"/>
  <c r="L158" i="65"/>
  <c r="BJ158" i="54"/>
  <c r="AE158" i="54"/>
  <c r="AY158" i="54" s="1"/>
  <c r="L155" i="57"/>
  <c r="L155" i="65"/>
  <c r="AE155" i="54"/>
  <c r="AY155" i="54" s="1"/>
  <c r="BJ155" i="54"/>
  <c r="L152" i="57"/>
  <c r="L152" i="65"/>
  <c r="AE152" i="54"/>
  <c r="AY152" i="54" s="1"/>
  <c r="BJ152" i="54"/>
  <c r="L302" i="57"/>
  <c r="L302" i="65"/>
  <c r="AE302" i="54"/>
  <c r="AY302" i="54" s="1"/>
  <c r="BJ302" i="54"/>
  <c r="L295" i="57"/>
  <c r="L295" i="65"/>
  <c r="AE295" i="54"/>
  <c r="AY295" i="54" s="1"/>
  <c r="BJ295" i="54"/>
  <c r="L100" i="57"/>
  <c r="L100" i="65"/>
  <c r="AE100" i="54"/>
  <c r="AY100" i="54" s="1"/>
  <c r="BJ100" i="54"/>
  <c r="L231" i="57"/>
  <c r="L231" i="65"/>
  <c r="AE231" i="54"/>
  <c r="AY231" i="54" s="1"/>
  <c r="BJ231" i="54"/>
  <c r="L296" i="57"/>
  <c r="L296" i="65"/>
  <c r="AE296" i="54"/>
  <c r="AY296" i="54" s="1"/>
  <c r="BJ296" i="54"/>
  <c r="L210" i="57"/>
  <c r="L210" i="65"/>
  <c r="AE210" i="54"/>
  <c r="AY210" i="54" s="1"/>
  <c r="BJ210" i="54"/>
  <c r="L287" i="57"/>
  <c r="L287" i="65"/>
  <c r="AE287" i="54"/>
  <c r="AY287" i="54" s="1"/>
  <c r="BJ287" i="54"/>
  <c r="L273" i="57"/>
  <c r="BJ273" i="54"/>
  <c r="L273" i="65"/>
  <c r="AE273" i="54"/>
  <c r="AY273" i="54" s="1"/>
  <c r="L105" i="57"/>
  <c r="BJ105" i="54"/>
  <c r="L105" i="65"/>
  <c r="AE105" i="54"/>
  <c r="AY105" i="54" s="1"/>
  <c r="L303" i="57"/>
  <c r="L303" i="65"/>
  <c r="BJ303" i="54"/>
  <c r="AE303" i="54"/>
  <c r="AY303" i="54" s="1"/>
  <c r="L147" i="57"/>
  <c r="BJ147" i="54"/>
  <c r="AE147" i="54"/>
  <c r="AY147" i="54" s="1"/>
  <c r="L147" i="65"/>
  <c r="L130" i="57"/>
  <c r="L130" i="65"/>
  <c r="BJ130" i="54"/>
  <c r="AE130" i="54"/>
  <c r="AY130" i="54" s="1"/>
  <c r="L135" i="57"/>
  <c r="BJ135" i="54"/>
  <c r="L135" i="65"/>
  <c r="AE135" i="54"/>
  <c r="AY135" i="54" s="1"/>
  <c r="L233" i="57"/>
  <c r="AE233" i="54"/>
  <c r="AY233" i="54" s="1"/>
  <c r="L233" i="65"/>
  <c r="BJ233" i="54"/>
  <c r="L86" i="57"/>
  <c r="BJ86" i="54"/>
  <c r="AE86" i="54"/>
  <c r="AY86" i="54" s="1"/>
  <c r="L86" i="65"/>
  <c r="L109" i="57"/>
  <c r="L109" i="65"/>
  <c r="AE109" i="54"/>
  <c r="AY109" i="54" s="1"/>
  <c r="BJ109" i="54"/>
  <c r="L170" i="57"/>
  <c r="BJ170" i="54"/>
  <c r="L170" i="65"/>
  <c r="AE170" i="54"/>
  <c r="AY170" i="54" s="1"/>
  <c r="L89" i="57"/>
  <c r="L89" i="65"/>
  <c r="AE89" i="54"/>
  <c r="AY89" i="54" s="1"/>
  <c r="BJ89" i="54"/>
  <c r="L30" i="57"/>
  <c r="AE30" i="54"/>
  <c r="AY30" i="54" s="1"/>
  <c r="L30" i="65"/>
  <c r="BJ30" i="54"/>
  <c r="L280" i="65"/>
  <c r="AE280" i="54"/>
  <c r="AY280" i="54" s="1"/>
  <c r="L280" i="57"/>
  <c r="BJ280" i="54"/>
  <c r="L16" i="57"/>
  <c r="BJ16" i="54"/>
  <c r="L16" i="65"/>
  <c r="AE16" i="54"/>
  <c r="AY16" i="54" s="1"/>
  <c r="L106" i="57"/>
  <c r="L106" i="65"/>
  <c r="AE106" i="54"/>
  <c r="AY106" i="54" s="1"/>
  <c r="BJ106" i="54"/>
  <c r="L305" i="57"/>
  <c r="L305" i="65"/>
  <c r="AE305" i="54"/>
  <c r="AY305" i="54" s="1"/>
  <c r="BJ305" i="54"/>
  <c r="L250" i="65"/>
  <c r="L250" i="57"/>
  <c r="AE250" i="54"/>
  <c r="AY250" i="54" s="1"/>
  <c r="BJ250" i="54"/>
  <c r="L122" i="57"/>
  <c r="BJ122" i="54"/>
  <c r="L122" i="65"/>
  <c r="AE122" i="54"/>
  <c r="AY122" i="54" s="1"/>
  <c r="G6" i="66" l="1"/>
  <c r="K149" i="68"/>
  <c r="K116" i="68"/>
  <c r="K172" i="68"/>
  <c r="K180" i="68"/>
  <c r="K158" i="68"/>
  <c r="K153" i="68"/>
  <c r="K165" i="68"/>
  <c r="K145" i="68"/>
  <c r="K147" i="68"/>
  <c r="K150" i="68"/>
  <c r="K119" i="68"/>
  <c r="K168" i="68"/>
  <c r="K181" i="68"/>
  <c r="K126" i="68"/>
  <c r="G5" i="66"/>
  <c r="H71" i="66"/>
  <c r="L13" i="54"/>
  <c r="BJ214" i="54"/>
  <c r="H72" i="66"/>
  <c r="L136" i="65"/>
  <c r="L136" i="57"/>
  <c r="AX71" i="66"/>
  <c r="H70" i="66"/>
  <c r="H73" i="66" s="1"/>
  <c r="L211" i="65"/>
  <c r="AE211" i="54"/>
  <c r="AY211" i="54" s="1"/>
  <c r="BJ211" i="54"/>
  <c r="L7" i="54"/>
  <c r="F113" i="66" s="1"/>
  <c r="BJ136" i="54"/>
  <c r="AX67" i="66"/>
  <c r="AD67" i="66"/>
  <c r="AD13" i="54"/>
  <c r="G144" i="66"/>
  <c r="G10" i="66"/>
  <c r="R10" i="66" s="1"/>
  <c r="AN10" i="66" s="1"/>
  <c r="G11" i="66"/>
  <c r="R11" i="66" s="1"/>
  <c r="AN11" i="66" s="1"/>
  <c r="G7" i="66"/>
  <c r="AD7" i="66" s="1"/>
  <c r="G141" i="66"/>
  <c r="R141" i="66" s="1"/>
  <c r="G23" i="66"/>
  <c r="R23" i="66" s="1"/>
  <c r="AN23" i="66" s="1"/>
  <c r="G142" i="66"/>
  <c r="R142" i="66" s="1"/>
  <c r="G143" i="66"/>
  <c r="R143" i="66" s="1"/>
  <c r="K13" i="57"/>
  <c r="K20" i="68" s="1"/>
  <c r="S19" i="60" s="1"/>
  <c r="AX7" i="54"/>
  <c r="AX6" i="54" s="1"/>
  <c r="AD305" i="65"/>
  <c r="K305" i="56"/>
  <c r="L305" i="56" s="1"/>
  <c r="L214" i="57"/>
  <c r="H11" i="66" s="1"/>
  <c r="AD229" i="57"/>
  <c r="K236" i="68"/>
  <c r="AD271" i="65"/>
  <c r="K271" i="56"/>
  <c r="L271" i="56" s="1"/>
  <c r="K57" i="68"/>
  <c r="AD50" i="57"/>
  <c r="K77" i="56"/>
  <c r="L77" i="56" s="1"/>
  <c r="AD77" i="65"/>
  <c r="AD131" i="65"/>
  <c r="K131" i="56"/>
  <c r="L131" i="56" s="1"/>
  <c r="BI7" i="54"/>
  <c r="G22" i="66"/>
  <c r="AD22" i="66" s="1"/>
  <c r="AD205" i="57"/>
  <c r="K212" i="68"/>
  <c r="AD136" i="57"/>
  <c r="K143" i="68"/>
  <c r="AD215" i="57"/>
  <c r="K222" i="68"/>
  <c r="AD258" i="65"/>
  <c r="K258" i="56"/>
  <c r="L258" i="56" s="1"/>
  <c r="AD283" i="57"/>
  <c r="K290" i="68"/>
  <c r="K221" i="68"/>
  <c r="AD214" i="57"/>
  <c r="AD250" i="57"/>
  <c r="K257" i="68"/>
  <c r="K248" i="68"/>
  <c r="AD241" i="57"/>
  <c r="AD47" i="57"/>
  <c r="K54" i="68"/>
  <c r="K50" i="56"/>
  <c r="L50" i="56" s="1"/>
  <c r="AD50" i="65"/>
  <c r="K274" i="68"/>
  <c r="AD267" i="57"/>
  <c r="K7" i="57"/>
  <c r="K136" i="56"/>
  <c r="L136" i="56" s="1"/>
  <c r="AD136" i="65"/>
  <c r="K215" i="56"/>
  <c r="AD215" i="65"/>
  <c r="AD305" i="57"/>
  <c r="K312" i="68"/>
  <c r="AD271" i="57"/>
  <c r="K278" i="68"/>
  <c r="AD297" i="65"/>
  <c r="K297" i="56"/>
  <c r="L297" i="56" s="1"/>
  <c r="AD171" i="57"/>
  <c r="K178" i="68"/>
  <c r="K267" i="56"/>
  <c r="L267" i="56" s="1"/>
  <c r="AD267" i="65"/>
  <c r="K241" i="56"/>
  <c r="AD241" i="65"/>
  <c r="K205" i="56"/>
  <c r="L205" i="56" s="1"/>
  <c r="AD205" i="65"/>
  <c r="K123" i="56"/>
  <c r="AD123" i="65"/>
  <c r="AD92" i="57"/>
  <c r="K99" i="68"/>
  <c r="K224" i="56"/>
  <c r="L224" i="56" s="1"/>
  <c r="AD224" i="65"/>
  <c r="K265" i="68"/>
  <c r="AD258" i="57"/>
  <c r="K200" i="56"/>
  <c r="AD200" i="65"/>
  <c r="K211" i="56"/>
  <c r="L211" i="56" s="1"/>
  <c r="AD211" i="65"/>
  <c r="AD153" i="57"/>
  <c r="K160" i="68"/>
  <c r="AD190" i="57"/>
  <c r="K197" i="68"/>
  <c r="AD180" i="65"/>
  <c r="K180" i="56"/>
  <c r="L180" i="56" s="1"/>
  <c r="K7" i="65"/>
  <c r="K130" i="68"/>
  <c r="AD123" i="57"/>
  <c r="AD92" i="65"/>
  <c r="K92" i="56"/>
  <c r="L92" i="56" s="1"/>
  <c r="AD224" i="57"/>
  <c r="K231" i="68"/>
  <c r="AD131" i="57"/>
  <c r="K138" i="68"/>
  <c r="K207" i="68"/>
  <c r="AD200" i="57"/>
  <c r="K218" i="68"/>
  <c r="AD211" i="57"/>
  <c r="K153" i="56"/>
  <c r="AD153" i="65"/>
  <c r="K190" i="56"/>
  <c r="L190" i="56" s="1"/>
  <c r="AD190" i="65"/>
  <c r="K27" i="56"/>
  <c r="AD27" i="65"/>
  <c r="AD30" i="57"/>
  <c r="K37" i="68"/>
  <c r="AD171" i="65"/>
  <c r="K171" i="56"/>
  <c r="AE214" i="54"/>
  <c r="AY214" i="54" s="1"/>
  <c r="K13" i="65"/>
  <c r="AD13" i="65" s="1"/>
  <c r="K61" i="56"/>
  <c r="AD61" i="65"/>
  <c r="AD229" i="65"/>
  <c r="K229" i="56"/>
  <c r="L229" i="56" s="1"/>
  <c r="K47" i="56"/>
  <c r="AD47" i="65"/>
  <c r="AD297" i="57"/>
  <c r="K304" i="68"/>
  <c r="K34" i="68"/>
  <c r="AD27" i="57"/>
  <c r="K30" i="56"/>
  <c r="L30" i="56" s="1"/>
  <c r="AD30" i="65"/>
  <c r="K187" i="68"/>
  <c r="AD180" i="57"/>
  <c r="AD89" i="65"/>
  <c r="K89" i="56"/>
  <c r="L89" i="56" s="1"/>
  <c r="K214" i="56"/>
  <c r="AD214" i="65"/>
  <c r="G18" i="66"/>
  <c r="R18" i="66" s="1"/>
  <c r="AN18" i="66" s="1"/>
  <c r="K68" i="68"/>
  <c r="AD61" i="57"/>
  <c r="K96" i="68"/>
  <c r="AD89" i="57"/>
  <c r="K283" i="56"/>
  <c r="L283" i="56" s="1"/>
  <c r="AD283" i="65"/>
  <c r="AD77" i="57"/>
  <c r="K84" i="68"/>
  <c r="AD250" i="65"/>
  <c r="K250" i="56"/>
  <c r="L250" i="56" s="1"/>
  <c r="G73" i="66"/>
  <c r="R73" i="66" s="1"/>
  <c r="AN73" i="66" s="1"/>
  <c r="R70" i="66"/>
  <c r="AN70" i="66" s="1"/>
  <c r="AD70" i="66"/>
  <c r="AX70" i="66"/>
  <c r="K133" i="56"/>
  <c r="L133" i="56" s="1"/>
  <c r="AD133" i="65"/>
  <c r="G21" i="66"/>
  <c r="AD133" i="57"/>
  <c r="K140" i="68"/>
  <c r="G9" i="66"/>
  <c r="AD125" i="65"/>
  <c r="K125" i="56"/>
  <c r="AE125" i="51"/>
  <c r="AD125" i="57"/>
  <c r="K132" i="68"/>
  <c r="R69" i="66"/>
  <c r="AN69" i="66" s="1"/>
  <c r="AX69" i="66"/>
  <c r="AD69" i="66"/>
  <c r="K28" i="68"/>
  <c r="AD21" i="57"/>
  <c r="G8" i="66"/>
  <c r="AD21" i="65"/>
  <c r="K21" i="56"/>
  <c r="G20" i="66"/>
  <c r="AD74" i="56"/>
  <c r="AS74" i="56"/>
  <c r="R144" i="66"/>
  <c r="AD176" i="56"/>
  <c r="AS176" i="56"/>
  <c r="R6" i="66"/>
  <c r="AN6" i="66" s="1"/>
  <c r="AD6" i="66"/>
  <c r="E104" i="66"/>
  <c r="AD237" i="56"/>
  <c r="AS237" i="56"/>
  <c r="AD11" i="66"/>
  <c r="AD19" i="66"/>
  <c r="R19" i="66"/>
  <c r="AN19" i="66" s="1"/>
  <c r="AS60" i="56"/>
  <c r="AD60" i="56"/>
  <c r="AE237" i="51"/>
  <c r="G95" i="66"/>
  <c r="AS62" i="56"/>
  <c r="AD62" i="56"/>
  <c r="AE62" i="51"/>
  <c r="G92" i="66"/>
  <c r="AE74" i="51"/>
  <c r="G91" i="66"/>
  <c r="AE60" i="51"/>
  <c r="G96" i="66"/>
  <c r="AX73" i="66"/>
  <c r="AD73" i="66"/>
  <c r="AE250" i="65"/>
  <c r="AE155" i="57"/>
  <c r="L162" i="68"/>
  <c r="L155" i="51"/>
  <c r="AE289" i="65"/>
  <c r="L289" i="56"/>
  <c r="AE113" i="65"/>
  <c r="L113" i="56"/>
  <c r="AE173" i="65"/>
  <c r="L173" i="56"/>
  <c r="AE280" i="65"/>
  <c r="L280" i="56"/>
  <c r="AE66" i="57"/>
  <c r="L73" i="68"/>
  <c r="L66" i="51"/>
  <c r="L33" i="68"/>
  <c r="AE26" i="57"/>
  <c r="L26" i="51"/>
  <c r="AE75" i="57"/>
  <c r="L82" i="68"/>
  <c r="L75" i="51"/>
  <c r="L114" i="68"/>
  <c r="AE107" i="57"/>
  <c r="L107" i="51"/>
  <c r="L259" i="68"/>
  <c r="AE252" i="57"/>
  <c r="L252" i="51"/>
  <c r="L296" i="68"/>
  <c r="AE289" i="57"/>
  <c r="L289" i="51"/>
  <c r="AE278" i="57"/>
  <c r="L285" i="68"/>
  <c r="L278" i="51"/>
  <c r="AE213" i="57"/>
  <c r="L220" i="68"/>
  <c r="L213" i="51"/>
  <c r="H140" i="66"/>
  <c r="S140" i="66" s="1"/>
  <c r="AE134" i="65"/>
  <c r="L134" i="56"/>
  <c r="AE81" i="65"/>
  <c r="L81" i="56"/>
  <c r="AE176" i="57"/>
  <c r="L183" i="68"/>
  <c r="L176" i="51"/>
  <c r="AE187" i="57"/>
  <c r="L194" i="68"/>
  <c r="L187" i="51"/>
  <c r="H7" i="66"/>
  <c r="L51" i="68"/>
  <c r="AE44" i="57"/>
  <c r="L44" i="51"/>
  <c r="AE76" i="65"/>
  <c r="L76" i="56"/>
  <c r="L29" i="68"/>
  <c r="AE22" i="57"/>
  <c r="L22" i="51"/>
  <c r="AE183" i="57"/>
  <c r="L190" i="68"/>
  <c r="L183" i="51"/>
  <c r="AE83" i="65"/>
  <c r="L83" i="56"/>
  <c r="AE102" i="65"/>
  <c r="L102" i="56"/>
  <c r="AE185" i="65"/>
  <c r="L185" i="56"/>
  <c r="AE297" i="65"/>
  <c r="AE264" i="65"/>
  <c r="L264" i="56"/>
  <c r="AE137" i="57"/>
  <c r="L144" i="68"/>
  <c r="L137" i="51"/>
  <c r="L258" i="68"/>
  <c r="L251" i="51"/>
  <c r="H18" i="66"/>
  <c r="AE48" i="65"/>
  <c r="L48" i="56"/>
  <c r="M20" i="53"/>
  <c r="AE20" i="42"/>
  <c r="N318" i="42"/>
  <c r="M119" i="53"/>
  <c r="AE119" i="42"/>
  <c r="M99" i="53"/>
  <c r="AE99" i="42"/>
  <c r="AE188" i="42"/>
  <c r="M188" i="53"/>
  <c r="M297" i="53"/>
  <c r="AE297" i="42"/>
  <c r="AE97" i="42"/>
  <c r="M97" i="53"/>
  <c r="M247" i="53"/>
  <c r="AE247" i="42"/>
  <c r="M162" i="53"/>
  <c r="AE162" i="42"/>
  <c r="M205" i="53"/>
  <c r="AE205" i="42"/>
  <c r="M40" i="53"/>
  <c r="AE40" i="42"/>
  <c r="N327" i="42"/>
  <c r="M178" i="53"/>
  <c r="AE178" i="42"/>
  <c r="M204" i="53"/>
  <c r="AE204" i="42"/>
  <c r="M279" i="53"/>
  <c r="AE279" i="42"/>
  <c r="AE307" i="42"/>
  <c r="M307" i="53"/>
  <c r="AE195" i="42"/>
  <c r="M195" i="53"/>
  <c r="M306" i="53"/>
  <c r="AE306" i="42"/>
  <c r="M185" i="53"/>
  <c r="AE185" i="42"/>
  <c r="M256" i="53"/>
  <c r="AE256" i="42"/>
  <c r="M112" i="53"/>
  <c r="AE112" i="42"/>
  <c r="M86" i="53"/>
  <c r="AE86" i="42"/>
  <c r="AE127" i="42"/>
  <c r="M127" i="53"/>
  <c r="AE276" i="42"/>
  <c r="M276" i="53"/>
  <c r="M245" i="53"/>
  <c r="AE245" i="42"/>
  <c r="M147" i="53"/>
  <c r="AE147" i="42"/>
  <c r="M217" i="53"/>
  <c r="AE217" i="42"/>
  <c r="M38" i="53"/>
  <c r="AE38" i="42"/>
  <c r="M174" i="53"/>
  <c r="AE174" i="42"/>
  <c r="AE60" i="42"/>
  <c r="M60" i="53"/>
  <c r="M90" i="53"/>
  <c r="AE90" i="42"/>
  <c r="AE151" i="42"/>
  <c r="M151" i="53"/>
  <c r="M131" i="53"/>
  <c r="AE131" i="42"/>
  <c r="AE191" i="42"/>
  <c r="M191" i="53"/>
  <c r="AE290" i="42"/>
  <c r="M290" i="53"/>
  <c r="M201" i="53"/>
  <c r="AE201" i="42"/>
  <c r="AE253" i="42"/>
  <c r="M253" i="53"/>
  <c r="M273" i="53"/>
  <c r="AE273" i="42"/>
  <c r="AE73" i="65"/>
  <c r="L73" i="56"/>
  <c r="AE31" i="57"/>
  <c r="L38" i="68"/>
  <c r="L31" i="51"/>
  <c r="L252" i="68"/>
  <c r="AE245" i="57"/>
  <c r="L245" i="51"/>
  <c r="AE37" i="57"/>
  <c r="L44" i="68"/>
  <c r="L37" i="51"/>
  <c r="AE79" i="57"/>
  <c r="L86" i="68"/>
  <c r="L79" i="51"/>
  <c r="L138" i="68"/>
  <c r="AE131" i="57"/>
  <c r="L131" i="51"/>
  <c r="AE78" i="57"/>
  <c r="L85" i="68"/>
  <c r="L78" i="51"/>
  <c r="AE27" i="57"/>
  <c r="L34" i="68"/>
  <c r="L27" i="51"/>
  <c r="L198" i="68"/>
  <c r="AE191" i="57"/>
  <c r="L191" i="51"/>
  <c r="AE200" i="57"/>
  <c r="L207" i="68"/>
  <c r="L200" i="51"/>
  <c r="AE276" i="57"/>
  <c r="L283" i="68"/>
  <c r="L276" i="51"/>
  <c r="AE197" i="57"/>
  <c r="L204" i="68"/>
  <c r="L197" i="51"/>
  <c r="AE117" i="57"/>
  <c r="L124" i="68"/>
  <c r="L117" i="51"/>
  <c r="AE237" i="57"/>
  <c r="L244" i="68"/>
  <c r="L237" i="51"/>
  <c r="L236" i="68"/>
  <c r="AE229" i="57"/>
  <c r="L229" i="51"/>
  <c r="AE69" i="57"/>
  <c r="L76" i="68"/>
  <c r="L69" i="51"/>
  <c r="AE91" i="57"/>
  <c r="L98" i="68"/>
  <c r="L91" i="51"/>
  <c r="AE193" i="65"/>
  <c r="L193" i="56"/>
  <c r="AE212" i="65"/>
  <c r="L212" i="56"/>
  <c r="AE211" i="65"/>
  <c r="AE249" i="65"/>
  <c r="L249" i="56"/>
  <c r="H5" i="66"/>
  <c r="L31" i="68"/>
  <c r="AE24" i="57"/>
  <c r="L24" i="51"/>
  <c r="L166" i="68"/>
  <c r="AE159" i="57"/>
  <c r="L159" i="51"/>
  <c r="L171" i="68"/>
  <c r="AE164" i="57"/>
  <c r="L164" i="51"/>
  <c r="L57" i="68"/>
  <c r="AE50" i="57"/>
  <c r="L50" i="51"/>
  <c r="L111" i="68"/>
  <c r="AE104" i="57"/>
  <c r="L104" i="51"/>
  <c r="AE94" i="57"/>
  <c r="L101" i="68"/>
  <c r="L94" i="51"/>
  <c r="AE188" i="57"/>
  <c r="L195" i="68"/>
  <c r="L188" i="51"/>
  <c r="L161" i="68"/>
  <c r="AE154" i="57"/>
  <c r="L154" i="51"/>
  <c r="AE145" i="57"/>
  <c r="L152" i="68"/>
  <c r="L145" i="51"/>
  <c r="AE259" i="57"/>
  <c r="L266" i="68"/>
  <c r="L259" i="51"/>
  <c r="L118" i="68"/>
  <c r="AE111" i="57"/>
  <c r="L111" i="51"/>
  <c r="AE99" i="65"/>
  <c r="L99" i="56"/>
  <c r="AE239" i="65"/>
  <c r="L239" i="56"/>
  <c r="AE192" i="65"/>
  <c r="L192" i="56"/>
  <c r="AE203" i="65"/>
  <c r="L203" i="56"/>
  <c r="AE282" i="65"/>
  <c r="L282" i="56"/>
  <c r="AE95" i="65"/>
  <c r="L95" i="56"/>
  <c r="AE217" i="65"/>
  <c r="L217" i="56"/>
  <c r="S71" i="66"/>
  <c r="AO71" i="66" s="1"/>
  <c r="AE71" i="66"/>
  <c r="AY71" i="66"/>
  <c r="AE170" i="65"/>
  <c r="L170" i="56"/>
  <c r="AE135" i="65"/>
  <c r="L135" i="56"/>
  <c r="AE105" i="65"/>
  <c r="L105" i="56"/>
  <c r="AE152" i="65"/>
  <c r="L152" i="56"/>
  <c r="AE158" i="65"/>
  <c r="L158" i="56"/>
  <c r="AE279" i="65"/>
  <c r="L279" i="56"/>
  <c r="AE265" i="65"/>
  <c r="L265" i="56"/>
  <c r="AE271" i="65"/>
  <c r="AE33" i="57"/>
  <c r="L40" i="68"/>
  <c r="L33" i="51"/>
  <c r="L81" i="68"/>
  <c r="AE74" i="57"/>
  <c r="L74" i="51"/>
  <c r="L141" i="68"/>
  <c r="AE134" i="57"/>
  <c r="L134" i="51"/>
  <c r="L88" i="68"/>
  <c r="AE81" i="57"/>
  <c r="L81" i="51"/>
  <c r="AE281" i="65"/>
  <c r="L281" i="56"/>
  <c r="AE40" i="65"/>
  <c r="L40" i="56"/>
  <c r="AE262" i="65"/>
  <c r="L262" i="56"/>
  <c r="AE35" i="65"/>
  <c r="L35" i="56"/>
  <c r="AE65" i="65"/>
  <c r="L65" i="56"/>
  <c r="AE202" i="65"/>
  <c r="L202" i="56"/>
  <c r="AE87" i="65"/>
  <c r="L87" i="56"/>
  <c r="AE165" i="65"/>
  <c r="L165" i="56"/>
  <c r="AE132" i="65"/>
  <c r="L132" i="56"/>
  <c r="AE96" i="65"/>
  <c r="L96" i="56"/>
  <c r="AE49" i="65"/>
  <c r="L49" i="56"/>
  <c r="S67" i="66"/>
  <c r="AO67" i="66" s="1"/>
  <c r="AE67" i="66"/>
  <c r="AY67" i="66"/>
  <c r="AE186" i="65"/>
  <c r="L186" i="56"/>
  <c r="T22" i="60"/>
  <c r="T18" i="60"/>
  <c r="H18" i="60" s="1"/>
  <c r="H15" i="60"/>
  <c r="AE298" i="65"/>
  <c r="L298" i="56"/>
  <c r="M55" i="53"/>
  <c r="AE55" i="42"/>
  <c r="M23" i="53"/>
  <c r="AE23" i="42"/>
  <c r="N334" i="42"/>
  <c r="M58" i="53"/>
  <c r="AE58" i="42"/>
  <c r="M198" i="53"/>
  <c r="AE198" i="42"/>
  <c r="M45" i="53"/>
  <c r="AE45" i="42"/>
  <c r="AE134" i="42"/>
  <c r="M134" i="53"/>
  <c r="M89" i="53"/>
  <c r="AE89" i="42"/>
  <c r="AE238" i="42"/>
  <c r="M238" i="53"/>
  <c r="AE34" i="42"/>
  <c r="N328" i="42"/>
  <c r="M34" i="53"/>
  <c r="M76" i="53"/>
  <c r="AE76" i="42"/>
  <c r="M282" i="53"/>
  <c r="AE282" i="42"/>
  <c r="M104" i="53"/>
  <c r="AE104" i="42"/>
  <c r="M59" i="53"/>
  <c r="AE59" i="42"/>
  <c r="I30" i="66"/>
  <c r="M24" i="53"/>
  <c r="AE24" i="42"/>
  <c r="AE226" i="42"/>
  <c r="M226" i="53"/>
  <c r="M168" i="53"/>
  <c r="AE168" i="42"/>
  <c r="M227" i="53"/>
  <c r="AE227" i="42"/>
  <c r="M249" i="53"/>
  <c r="AE249" i="42"/>
  <c r="M175" i="53"/>
  <c r="AE175" i="42"/>
  <c r="M179" i="53"/>
  <c r="AE179" i="42"/>
  <c r="M275" i="53"/>
  <c r="AE275" i="42"/>
  <c r="AE209" i="42"/>
  <c r="M209" i="53"/>
  <c r="AE44" i="42"/>
  <c r="M44" i="53"/>
  <c r="M83" i="53"/>
  <c r="AE83" i="42"/>
  <c r="M149" i="53"/>
  <c r="AE149" i="42"/>
  <c r="M128" i="53"/>
  <c r="AE128" i="42"/>
  <c r="M66" i="53"/>
  <c r="AE66" i="42"/>
  <c r="M73" i="53"/>
  <c r="AE73" i="42"/>
  <c r="M91" i="53"/>
  <c r="AE91" i="42"/>
  <c r="M111" i="53"/>
  <c r="AE111" i="42"/>
  <c r="M183" i="53"/>
  <c r="AE183" i="42"/>
  <c r="M250" i="53"/>
  <c r="AE250" i="42"/>
  <c r="M140" i="53"/>
  <c r="AE140" i="42"/>
  <c r="AE180" i="42"/>
  <c r="M180" i="53"/>
  <c r="AE291" i="42"/>
  <c r="M291" i="53"/>
  <c r="AE270" i="42"/>
  <c r="M270" i="53"/>
  <c r="AE133" i="65"/>
  <c r="AE153" i="65"/>
  <c r="L153" i="56"/>
  <c r="AE128" i="65"/>
  <c r="L128" i="56"/>
  <c r="AE201" i="65"/>
  <c r="L201" i="56"/>
  <c r="AE168" i="65"/>
  <c r="L168" i="56"/>
  <c r="H21" i="66"/>
  <c r="AE15" i="65"/>
  <c r="L13" i="65"/>
  <c r="AE13" i="65" s="1"/>
  <c r="L7" i="65"/>
  <c r="L15" i="56"/>
  <c r="AE167" i="65"/>
  <c r="L167" i="56"/>
  <c r="AE162" i="65"/>
  <c r="L162" i="56"/>
  <c r="AE254" i="65"/>
  <c r="L254" i="56"/>
  <c r="AE181" i="65"/>
  <c r="L181" i="56"/>
  <c r="AE232" i="65"/>
  <c r="L232" i="56"/>
  <c r="AE103" i="65"/>
  <c r="L103" i="56"/>
  <c r="AE216" i="65"/>
  <c r="L216" i="56"/>
  <c r="AE23" i="65"/>
  <c r="L23" i="56"/>
  <c r="AE293" i="65"/>
  <c r="L293" i="56"/>
  <c r="AE244" i="65"/>
  <c r="L244" i="56"/>
  <c r="AE20" i="65"/>
  <c r="L20" i="56"/>
  <c r="AE240" i="65"/>
  <c r="L240" i="56"/>
  <c r="AE223" i="65"/>
  <c r="L223" i="56"/>
  <c r="AE60" i="65"/>
  <c r="L60" i="56"/>
  <c r="AE178" i="65"/>
  <c r="L178" i="56"/>
  <c r="AE52" i="65"/>
  <c r="L52" i="56"/>
  <c r="AE32" i="65"/>
  <c r="L32" i="56"/>
  <c r="L246" i="68"/>
  <c r="AE239" i="57"/>
  <c r="L239" i="51"/>
  <c r="L215" i="68"/>
  <c r="AE208" i="57"/>
  <c r="L208" i="51"/>
  <c r="AE146" i="57"/>
  <c r="L153" i="68"/>
  <c r="L146" i="51"/>
  <c r="AE192" i="57"/>
  <c r="L199" i="68"/>
  <c r="L192" i="51"/>
  <c r="AE163" i="57"/>
  <c r="L170" i="68"/>
  <c r="L163" i="51"/>
  <c r="AE203" i="57"/>
  <c r="L210" i="68"/>
  <c r="L203" i="51"/>
  <c r="AE282" i="57"/>
  <c r="L289" i="68"/>
  <c r="L282" i="51"/>
  <c r="AE177" i="65"/>
  <c r="L177" i="56"/>
  <c r="AE210" i="65"/>
  <c r="L210" i="56"/>
  <c r="L214" i="68"/>
  <c r="AE207" i="57"/>
  <c r="L207" i="51"/>
  <c r="AE231" i="57"/>
  <c r="L238" i="68"/>
  <c r="L231" i="51"/>
  <c r="H22" i="66"/>
  <c r="AE16" i="65"/>
  <c r="L16" i="56"/>
  <c r="AE305" i="65"/>
  <c r="AE30" i="65"/>
  <c r="L129" i="68"/>
  <c r="AE122" i="57"/>
  <c r="L122" i="51"/>
  <c r="AE305" i="57"/>
  <c r="L312" i="68"/>
  <c r="L305" i="51"/>
  <c r="H143" i="66"/>
  <c r="S143" i="66" s="1"/>
  <c r="AE287" i="65"/>
  <c r="L287" i="56"/>
  <c r="AE296" i="65"/>
  <c r="L296" i="56"/>
  <c r="AE100" i="65"/>
  <c r="L100" i="56"/>
  <c r="AE302" i="65"/>
  <c r="L302" i="56"/>
  <c r="AE152" i="57"/>
  <c r="L159" i="68"/>
  <c r="L152" i="51"/>
  <c r="AE158" i="57"/>
  <c r="L165" i="68"/>
  <c r="L158" i="51"/>
  <c r="L133" i="68"/>
  <c r="AE126" i="57"/>
  <c r="L126" i="51"/>
  <c r="L286" i="68"/>
  <c r="AE279" i="57"/>
  <c r="L279" i="51"/>
  <c r="AE25" i="65"/>
  <c r="L25" i="56"/>
  <c r="AE161" i="65"/>
  <c r="L161" i="56"/>
  <c r="AE242" i="65"/>
  <c r="L242" i="56"/>
  <c r="AE101" i="65"/>
  <c r="L101" i="56"/>
  <c r="AE199" i="65"/>
  <c r="L199" i="56"/>
  <c r="AE257" i="65"/>
  <c r="L257" i="56"/>
  <c r="AE294" i="65"/>
  <c r="L294" i="56"/>
  <c r="AE93" i="65"/>
  <c r="L93" i="56"/>
  <c r="AE195" i="65"/>
  <c r="L195" i="56"/>
  <c r="L90" i="68"/>
  <c r="AE83" i="57"/>
  <c r="L83" i="51"/>
  <c r="AE262" i="57"/>
  <c r="L269" i="68"/>
  <c r="L262" i="51"/>
  <c r="L42" i="68"/>
  <c r="AE35" i="57"/>
  <c r="L35" i="51"/>
  <c r="AE39" i="57"/>
  <c r="L46" i="68"/>
  <c r="L39" i="51"/>
  <c r="L72" i="68"/>
  <c r="AE65" i="57"/>
  <c r="L65" i="51"/>
  <c r="AE202" i="57"/>
  <c r="L209" i="68"/>
  <c r="L202" i="51"/>
  <c r="L94" i="68"/>
  <c r="AE87" i="57"/>
  <c r="L87" i="51"/>
  <c r="L109" i="68"/>
  <c r="AE102" i="57"/>
  <c r="L102" i="51"/>
  <c r="AE165" i="57"/>
  <c r="L172" i="68"/>
  <c r="L165" i="51"/>
  <c r="AE185" i="57"/>
  <c r="L192" i="68"/>
  <c r="L185" i="51"/>
  <c r="AE297" i="57"/>
  <c r="L304" i="68"/>
  <c r="L297" i="51"/>
  <c r="L271" i="68"/>
  <c r="AE264" i="57"/>
  <c r="L264" i="51"/>
  <c r="L222" i="68"/>
  <c r="AE215" i="57"/>
  <c r="L215" i="51"/>
  <c r="AE132" i="57"/>
  <c r="L139" i="68"/>
  <c r="L132" i="51"/>
  <c r="AE96" i="57"/>
  <c r="L103" i="68"/>
  <c r="L96" i="51"/>
  <c r="AE49" i="57"/>
  <c r="L56" i="68"/>
  <c r="L49" i="51"/>
  <c r="AE59" i="65"/>
  <c r="L59" i="56"/>
  <c r="AE274" i="65"/>
  <c r="L274" i="56"/>
  <c r="H139" i="66"/>
  <c r="S139" i="66" s="1"/>
  <c r="AE219" i="65"/>
  <c r="L219" i="56"/>
  <c r="N14" i="15"/>
  <c r="M21" i="15"/>
  <c r="L305" i="68"/>
  <c r="AE298" i="57"/>
  <c r="L298" i="51"/>
  <c r="L134" i="68"/>
  <c r="AE127" i="57"/>
  <c r="L127" i="51"/>
  <c r="M138" i="53"/>
  <c r="AE138" i="42"/>
  <c r="M84" i="53"/>
  <c r="AE84" i="42"/>
  <c r="M172" i="53"/>
  <c r="AE172" i="42"/>
  <c r="M234" i="53"/>
  <c r="AE234" i="42"/>
  <c r="M189" i="53"/>
  <c r="AE189" i="42"/>
  <c r="M266" i="53"/>
  <c r="AE266" i="42"/>
  <c r="M267" i="53"/>
  <c r="AE267" i="42"/>
  <c r="M78" i="53"/>
  <c r="AE78" i="42"/>
  <c r="M156" i="53"/>
  <c r="AE156" i="42"/>
  <c r="M117" i="53"/>
  <c r="AE117" i="42"/>
  <c r="M177" i="53"/>
  <c r="AE177" i="42"/>
  <c r="AE197" i="42"/>
  <c r="M197" i="53"/>
  <c r="AE144" i="42"/>
  <c r="M144" i="53"/>
  <c r="AE219" i="42"/>
  <c r="M219" i="53"/>
  <c r="M287" i="53"/>
  <c r="AE287" i="42"/>
  <c r="M64" i="53"/>
  <c r="AE64" i="42"/>
  <c r="AE77" i="42"/>
  <c r="M77" i="53"/>
  <c r="M122" i="53"/>
  <c r="AE122" i="42"/>
  <c r="M62" i="53"/>
  <c r="N324" i="42"/>
  <c r="AE62" i="42"/>
  <c r="M259" i="53"/>
  <c r="AE259" i="42"/>
  <c r="M98" i="53"/>
  <c r="AE98" i="42"/>
  <c r="M52" i="53"/>
  <c r="AE52" i="42"/>
  <c r="M192" i="53"/>
  <c r="AE192" i="42"/>
  <c r="M206" i="53"/>
  <c r="AE206" i="42"/>
  <c r="AE252" i="42"/>
  <c r="M252" i="53"/>
  <c r="M202" i="53"/>
  <c r="AE202" i="42"/>
  <c r="M54" i="53"/>
  <c r="AE54" i="42"/>
  <c r="M81" i="53"/>
  <c r="AE81" i="42"/>
  <c r="M101" i="53"/>
  <c r="AE101" i="42"/>
  <c r="M120" i="53"/>
  <c r="AE120" i="42"/>
  <c r="M303" i="53"/>
  <c r="AE303" i="42"/>
  <c r="M260" i="53"/>
  <c r="AE260" i="42"/>
  <c r="M193" i="53"/>
  <c r="AE193" i="42"/>
  <c r="AE161" i="42"/>
  <c r="M161" i="53"/>
  <c r="M231" i="53"/>
  <c r="AE231" i="42"/>
  <c r="AE241" i="42"/>
  <c r="M241" i="53"/>
  <c r="AE140" i="65"/>
  <c r="L140" i="56"/>
  <c r="AE138" i="65"/>
  <c r="L138" i="56"/>
  <c r="AE142" i="65"/>
  <c r="L142" i="56"/>
  <c r="AE120" i="65"/>
  <c r="L120" i="56"/>
  <c r="H142" i="66"/>
  <c r="S142" i="66" s="1"/>
  <c r="BJ7" i="54"/>
  <c r="L174" i="68"/>
  <c r="AE167" i="57"/>
  <c r="L167" i="51"/>
  <c r="L169" i="68"/>
  <c r="AE162" i="57"/>
  <c r="L162" i="51"/>
  <c r="L261" i="68"/>
  <c r="AE254" i="57"/>
  <c r="L254" i="51"/>
  <c r="L80" i="68"/>
  <c r="AE73" i="57"/>
  <c r="L73" i="51"/>
  <c r="AE41" i="57"/>
  <c r="L48" i="68"/>
  <c r="L41" i="51"/>
  <c r="L188" i="68"/>
  <c r="AE181" i="57"/>
  <c r="L181" i="51"/>
  <c r="L239" i="68"/>
  <c r="AE232" i="57"/>
  <c r="L232" i="51"/>
  <c r="AE103" i="57"/>
  <c r="L110" i="68"/>
  <c r="L103" i="51"/>
  <c r="L104" i="68"/>
  <c r="AE97" i="57"/>
  <c r="L97" i="51"/>
  <c r="AE216" i="57"/>
  <c r="L223" i="68"/>
  <c r="L216" i="51"/>
  <c r="AE180" i="65"/>
  <c r="AE36" i="65"/>
  <c r="L36" i="56"/>
  <c r="AE46" i="65"/>
  <c r="L46" i="56"/>
  <c r="AE275" i="65"/>
  <c r="L275" i="56"/>
  <c r="AE290" i="65"/>
  <c r="L290" i="56"/>
  <c r="AE151" i="65"/>
  <c r="L151" i="56"/>
  <c r="AE124" i="65"/>
  <c r="L124" i="56"/>
  <c r="AE77" i="65"/>
  <c r="AE230" i="65"/>
  <c r="L230" i="56"/>
  <c r="AE209" i="65"/>
  <c r="L209" i="56"/>
  <c r="L27" i="68"/>
  <c r="AE20" i="57"/>
  <c r="L20" i="51"/>
  <c r="AE118" i="65"/>
  <c r="L118" i="56"/>
  <c r="AE304" i="65"/>
  <c r="L304" i="56"/>
  <c r="AE148" i="65"/>
  <c r="L148" i="56"/>
  <c r="AE299" i="65"/>
  <c r="L299" i="56"/>
  <c r="AE198" i="65"/>
  <c r="L198" i="56"/>
  <c r="AE241" i="65"/>
  <c r="L241" i="56"/>
  <c r="AE256" i="65"/>
  <c r="L256" i="56"/>
  <c r="AE292" i="65"/>
  <c r="L292" i="56"/>
  <c r="AE284" i="65"/>
  <c r="L284" i="56"/>
  <c r="AE64" i="65"/>
  <c r="L64" i="56"/>
  <c r="AE99" i="57"/>
  <c r="L106" i="68"/>
  <c r="L99" i="51"/>
  <c r="AE150" i="57"/>
  <c r="L157" i="68"/>
  <c r="L150" i="51"/>
  <c r="AE55" i="65"/>
  <c r="L55" i="56"/>
  <c r="AE125" i="65"/>
  <c r="L125" i="56"/>
  <c r="AE90" i="65"/>
  <c r="L90" i="56"/>
  <c r="L113" i="68"/>
  <c r="AE106" i="57"/>
  <c r="L106" i="51"/>
  <c r="AE89" i="65"/>
  <c r="AE130" i="65"/>
  <c r="L130" i="56"/>
  <c r="AE295" i="65"/>
  <c r="L295" i="56"/>
  <c r="AE85" i="57"/>
  <c r="L92" i="68"/>
  <c r="L85" i="51"/>
  <c r="AE107" i="65"/>
  <c r="L107" i="56"/>
  <c r="L240" i="68"/>
  <c r="AE233" i="57"/>
  <c r="L233" i="51"/>
  <c r="L302" i="68"/>
  <c r="AE295" i="57"/>
  <c r="L295" i="51"/>
  <c r="AE66" i="65"/>
  <c r="L66" i="56"/>
  <c r="AE75" i="65"/>
  <c r="L75" i="56"/>
  <c r="AE86" i="65"/>
  <c r="L86" i="56"/>
  <c r="AE16" i="57"/>
  <c r="L23" i="68"/>
  <c r="L16" i="51"/>
  <c r="L37" i="68"/>
  <c r="AE30" i="57"/>
  <c r="L30" i="51"/>
  <c r="L177" i="68"/>
  <c r="AE170" i="57"/>
  <c r="L170" i="51"/>
  <c r="AE86" i="57"/>
  <c r="L93" i="68"/>
  <c r="L86" i="51"/>
  <c r="AE135" i="57"/>
  <c r="L142" i="68"/>
  <c r="L135" i="51"/>
  <c r="L154" i="68"/>
  <c r="AE147" i="57"/>
  <c r="L147" i="51"/>
  <c r="AE105" i="57"/>
  <c r="L112" i="68"/>
  <c r="L105" i="51"/>
  <c r="AE287" i="57"/>
  <c r="L294" i="68"/>
  <c r="L287" i="51"/>
  <c r="AE296" i="57"/>
  <c r="L303" i="68"/>
  <c r="L296" i="51"/>
  <c r="AE100" i="57"/>
  <c r="L107" i="68"/>
  <c r="L100" i="51"/>
  <c r="AE302" i="57"/>
  <c r="L309" i="68"/>
  <c r="L302" i="51"/>
  <c r="AE85" i="65"/>
  <c r="L85" i="56"/>
  <c r="AE283" i="65"/>
  <c r="AE51" i="65"/>
  <c r="L51" i="56"/>
  <c r="AE42" i="65"/>
  <c r="L42" i="56"/>
  <c r="AE70" i="65"/>
  <c r="L70" i="56"/>
  <c r="AE82" i="65"/>
  <c r="L82" i="56"/>
  <c r="AE84" i="65"/>
  <c r="L84" i="56"/>
  <c r="AE236" i="65"/>
  <c r="L236" i="56"/>
  <c r="AE166" i="65"/>
  <c r="L166" i="56"/>
  <c r="AE101" i="57"/>
  <c r="L108" i="68"/>
  <c r="L101" i="51"/>
  <c r="L206" i="68"/>
  <c r="AE199" i="57"/>
  <c r="L199" i="51"/>
  <c r="L264" i="68"/>
  <c r="AE257" i="57"/>
  <c r="L257" i="51"/>
  <c r="AE281" i="57"/>
  <c r="L288" i="68"/>
  <c r="L281" i="51"/>
  <c r="AE294" i="57"/>
  <c r="L301" i="68"/>
  <c r="L294" i="51"/>
  <c r="L100" i="68"/>
  <c r="AE93" i="57"/>
  <c r="L93" i="51"/>
  <c r="L83" i="68"/>
  <c r="AE76" i="57"/>
  <c r="L76" i="51"/>
  <c r="AE21" i="65"/>
  <c r="AE92" i="65"/>
  <c r="AE71" i="65"/>
  <c r="L71" i="56"/>
  <c r="H6" i="66"/>
  <c r="L55" i="68"/>
  <c r="AE48" i="57"/>
  <c r="L48" i="51"/>
  <c r="L193" i="68"/>
  <c r="AE186" i="57"/>
  <c r="L186" i="51"/>
  <c r="AE219" i="57"/>
  <c r="L226" i="68"/>
  <c r="L219" i="51"/>
  <c r="I33" i="66"/>
  <c r="AE17" i="42"/>
  <c r="M17" i="53"/>
  <c r="M65" i="53"/>
  <c r="AE65" i="42"/>
  <c r="M305" i="53"/>
  <c r="AE305" i="42"/>
  <c r="M272" i="53"/>
  <c r="AE272" i="42"/>
  <c r="M53" i="53"/>
  <c r="N326" i="42"/>
  <c r="AE53" i="42"/>
  <c r="M88" i="53"/>
  <c r="N330" i="42"/>
  <c r="AE88" i="42"/>
  <c r="M196" i="53"/>
  <c r="AE196" i="42"/>
  <c r="M154" i="53"/>
  <c r="AE154" i="42"/>
  <c r="M19" i="53"/>
  <c r="AE19" i="42"/>
  <c r="N317" i="42"/>
  <c r="M36" i="53"/>
  <c r="AE36" i="42"/>
  <c r="M255" i="53"/>
  <c r="AE255" i="42"/>
  <c r="M258" i="53"/>
  <c r="AE258" i="42"/>
  <c r="AE288" i="42"/>
  <c r="M288" i="53"/>
  <c r="AE184" i="42"/>
  <c r="M184" i="53"/>
  <c r="AE102" i="42"/>
  <c r="M102" i="53"/>
  <c r="M212" i="53"/>
  <c r="AE212" i="42"/>
  <c r="M157" i="53"/>
  <c r="AE157" i="42"/>
  <c r="AE146" i="42"/>
  <c r="M146" i="53"/>
  <c r="M114" i="53"/>
  <c r="AE114" i="42"/>
  <c r="M136" i="53"/>
  <c r="AE136" i="42"/>
  <c r="M50" i="53"/>
  <c r="AE50" i="42"/>
  <c r="M298" i="53"/>
  <c r="AE298" i="42"/>
  <c r="M285" i="53"/>
  <c r="AE285" i="42"/>
  <c r="M257" i="53"/>
  <c r="AE257" i="42"/>
  <c r="M239" i="53"/>
  <c r="AE239" i="42"/>
  <c r="M278" i="53"/>
  <c r="AE278" i="42"/>
  <c r="M194" i="53"/>
  <c r="AE194" i="42"/>
  <c r="M274" i="53"/>
  <c r="AE274" i="42"/>
  <c r="M71" i="53"/>
  <c r="AE71" i="42"/>
  <c r="M100" i="53"/>
  <c r="AE100" i="42"/>
  <c r="M153" i="53"/>
  <c r="AE153" i="42"/>
  <c r="M133" i="53"/>
  <c r="AE133" i="42"/>
  <c r="AE293" i="42"/>
  <c r="M293" i="53"/>
  <c r="M200" i="53"/>
  <c r="AE200" i="42"/>
  <c r="AE181" i="42"/>
  <c r="M181" i="53"/>
  <c r="M261" i="53"/>
  <c r="AE261" i="42"/>
  <c r="AE240" i="42"/>
  <c r="M240" i="53"/>
  <c r="L147" i="68"/>
  <c r="AE140" i="57"/>
  <c r="L140" i="51"/>
  <c r="AE133" i="57"/>
  <c r="L140" i="68"/>
  <c r="L133" i="51"/>
  <c r="AE138" i="57"/>
  <c r="L145" i="68"/>
  <c r="L138" i="51"/>
  <c r="L149" i="68"/>
  <c r="AE142" i="57"/>
  <c r="L142" i="51"/>
  <c r="L127" i="68"/>
  <c r="AE120" i="57"/>
  <c r="L120" i="51"/>
  <c r="AE153" i="57"/>
  <c r="L160" i="68"/>
  <c r="L153" i="51"/>
  <c r="AE128" i="57"/>
  <c r="L135" i="68"/>
  <c r="L128" i="51"/>
  <c r="L208" i="68"/>
  <c r="AE201" i="57"/>
  <c r="L201" i="51"/>
  <c r="L175" i="68"/>
  <c r="AE168" i="57"/>
  <c r="L168" i="51"/>
  <c r="AE307" i="65"/>
  <c r="L307" i="56"/>
  <c r="AE108" i="65"/>
  <c r="L108" i="56"/>
  <c r="AE112" i="65"/>
  <c r="L112" i="56"/>
  <c r="AE243" i="65"/>
  <c r="L243" i="56"/>
  <c r="AE184" i="65"/>
  <c r="L184" i="56"/>
  <c r="AE175" i="65"/>
  <c r="L175" i="56"/>
  <c r="AE29" i="65"/>
  <c r="L29" i="56"/>
  <c r="L297" i="68"/>
  <c r="AE290" i="57"/>
  <c r="L290" i="51"/>
  <c r="AE141" i="65"/>
  <c r="L141" i="56"/>
  <c r="AE57" i="65"/>
  <c r="L57" i="56"/>
  <c r="L200" i="68"/>
  <c r="AE193" i="57"/>
  <c r="L193" i="51"/>
  <c r="L131" i="68"/>
  <c r="AE124" i="57"/>
  <c r="L124" i="51"/>
  <c r="L84" i="68"/>
  <c r="AE77" i="57"/>
  <c r="L77" i="51"/>
  <c r="AE230" i="57"/>
  <c r="L237" i="68"/>
  <c r="L230" i="51"/>
  <c r="AE212" i="57"/>
  <c r="L219" i="68"/>
  <c r="L212" i="51"/>
  <c r="L216" i="68"/>
  <c r="AE209" i="57"/>
  <c r="L209" i="51"/>
  <c r="H20" i="66"/>
  <c r="AE17" i="65"/>
  <c r="L17" i="56"/>
  <c r="AE118" i="57"/>
  <c r="L125" i="68"/>
  <c r="L118" i="51"/>
  <c r="L311" i="68"/>
  <c r="AE304" i="57"/>
  <c r="L304" i="51"/>
  <c r="AE240" i="57"/>
  <c r="L247" i="68"/>
  <c r="L240" i="51"/>
  <c r="AE223" i="57"/>
  <c r="L230" i="68"/>
  <c r="L223" i="51"/>
  <c r="L155" i="68"/>
  <c r="AE148" i="57"/>
  <c r="L148" i="51"/>
  <c r="AE211" i="57"/>
  <c r="L218" i="68"/>
  <c r="L211" i="51"/>
  <c r="L67" i="68"/>
  <c r="AE60" i="57"/>
  <c r="L60" i="51"/>
  <c r="AE299" i="57"/>
  <c r="L306" i="68"/>
  <c r="L299" i="51"/>
  <c r="AE198" i="57"/>
  <c r="L205" i="68"/>
  <c r="L198" i="51"/>
  <c r="AE249" i="57"/>
  <c r="L256" i="68"/>
  <c r="L249" i="51"/>
  <c r="L248" i="68"/>
  <c r="AE241" i="57"/>
  <c r="L241" i="51"/>
  <c r="AE256" i="57"/>
  <c r="L263" i="68"/>
  <c r="L256" i="51"/>
  <c r="AE178" i="57"/>
  <c r="L185" i="68"/>
  <c r="L178" i="51"/>
  <c r="AE72" i="65"/>
  <c r="L72" i="56"/>
  <c r="AE234" i="65"/>
  <c r="L234" i="56"/>
  <c r="AE43" i="65"/>
  <c r="L43" i="56"/>
  <c r="AE221" i="65"/>
  <c r="L221" i="56"/>
  <c r="AE38" i="65"/>
  <c r="L38" i="56"/>
  <c r="AE227" i="65"/>
  <c r="L227" i="56"/>
  <c r="AE272" i="65"/>
  <c r="L272" i="56"/>
  <c r="AE190" i="65"/>
  <c r="AE214" i="65"/>
  <c r="L214" i="56"/>
  <c r="AE129" i="65"/>
  <c r="L129" i="56"/>
  <c r="AE95" i="57"/>
  <c r="L102" i="68"/>
  <c r="L95" i="51"/>
  <c r="L62" i="68"/>
  <c r="AE55" i="57"/>
  <c r="L55" i="51"/>
  <c r="L224" i="68"/>
  <c r="AE217" i="57"/>
  <c r="L217" i="51"/>
  <c r="L132" i="68"/>
  <c r="AE125" i="57"/>
  <c r="L125" i="51"/>
  <c r="AE177" i="57"/>
  <c r="L184" i="68"/>
  <c r="L177" i="51"/>
  <c r="AE90" i="57"/>
  <c r="L97" i="68"/>
  <c r="L90" i="51"/>
  <c r="AE250" i="57"/>
  <c r="L257" i="68"/>
  <c r="L250" i="51"/>
  <c r="AE109" i="65"/>
  <c r="L109" i="56"/>
  <c r="AE231" i="65"/>
  <c r="L231" i="56"/>
  <c r="AE33" i="65"/>
  <c r="L33" i="56"/>
  <c r="AE183" i="65"/>
  <c r="L183" i="56"/>
  <c r="AE109" i="57"/>
  <c r="L116" i="68"/>
  <c r="L109" i="51"/>
  <c r="L310" i="68"/>
  <c r="AE303" i="57"/>
  <c r="L303" i="51"/>
  <c r="AE210" i="57"/>
  <c r="L217" i="68"/>
  <c r="L210" i="51"/>
  <c r="AE126" i="65"/>
  <c r="L126" i="56"/>
  <c r="AE122" i="65"/>
  <c r="L122" i="56"/>
  <c r="AE147" i="65"/>
  <c r="L147" i="56"/>
  <c r="L32" i="68"/>
  <c r="AE25" i="57"/>
  <c r="L25" i="51"/>
  <c r="L290" i="68"/>
  <c r="AE283" i="57"/>
  <c r="L283" i="51"/>
  <c r="AE265" i="57"/>
  <c r="L272" i="68"/>
  <c r="L265" i="51"/>
  <c r="L278" i="68"/>
  <c r="AE271" i="57"/>
  <c r="L271" i="51"/>
  <c r="L58" i="68"/>
  <c r="AE51" i="57"/>
  <c r="L51" i="51"/>
  <c r="AE42" i="57"/>
  <c r="L49" i="68"/>
  <c r="L42" i="51"/>
  <c r="L77" i="68"/>
  <c r="AE70" i="57"/>
  <c r="L70" i="51"/>
  <c r="L89" i="68"/>
  <c r="AE82" i="57"/>
  <c r="L82" i="51"/>
  <c r="L168" i="68"/>
  <c r="AE161" i="57"/>
  <c r="L161" i="51"/>
  <c r="AE84" i="57"/>
  <c r="L91" i="68"/>
  <c r="L84" i="51"/>
  <c r="AE58" i="65"/>
  <c r="L58" i="56"/>
  <c r="AE260" i="65"/>
  <c r="L260" i="56"/>
  <c r="AE34" i="65"/>
  <c r="L34" i="56"/>
  <c r="AE236" i="57"/>
  <c r="L243" i="68"/>
  <c r="L236" i="51"/>
  <c r="AE166" i="57"/>
  <c r="L173" i="68"/>
  <c r="L166" i="51"/>
  <c r="L249" i="68"/>
  <c r="AE242" i="57"/>
  <c r="L242" i="51"/>
  <c r="AE54" i="65"/>
  <c r="L54" i="56"/>
  <c r="L202" i="68"/>
  <c r="AE195" i="57"/>
  <c r="L195" i="51"/>
  <c r="L47" i="68"/>
  <c r="AE40" i="57"/>
  <c r="L40" i="51"/>
  <c r="AE160" i="65"/>
  <c r="L160" i="56"/>
  <c r="AE306" i="65"/>
  <c r="L306" i="56"/>
  <c r="AE63" i="65"/>
  <c r="L63" i="56"/>
  <c r="AE268" i="65"/>
  <c r="L268" i="56"/>
  <c r="AE172" i="65"/>
  <c r="L172" i="56"/>
  <c r="L66" i="68"/>
  <c r="AE59" i="57"/>
  <c r="L59" i="51"/>
  <c r="L281" i="68"/>
  <c r="AE274" i="57"/>
  <c r="L274" i="51"/>
  <c r="L78" i="68"/>
  <c r="AE71" i="57"/>
  <c r="L71" i="51"/>
  <c r="AE25" i="42"/>
  <c r="M25" i="53"/>
  <c r="N319" i="42"/>
  <c r="AE116" i="42"/>
  <c r="M116" i="53"/>
  <c r="M208" i="53"/>
  <c r="AE208" i="42"/>
  <c r="M15" i="53"/>
  <c r="N13" i="42"/>
  <c r="O6" i="42" s="1"/>
  <c r="I34" i="66"/>
  <c r="N329" i="42"/>
  <c r="AE15" i="42"/>
  <c r="M166" i="53"/>
  <c r="AE166" i="42"/>
  <c r="M105" i="53"/>
  <c r="AE105" i="42"/>
  <c r="AE235" i="42"/>
  <c r="M235" i="53"/>
  <c r="M286" i="53"/>
  <c r="AE286" i="42"/>
  <c r="M229" i="53"/>
  <c r="AE229" i="42"/>
  <c r="M248" i="53"/>
  <c r="AE248" i="42"/>
  <c r="M268" i="53"/>
  <c r="AE268" i="42"/>
  <c r="M289" i="53"/>
  <c r="AE289" i="42"/>
  <c r="M269" i="53"/>
  <c r="AE269" i="42"/>
  <c r="M96" i="53"/>
  <c r="AE96" i="42"/>
  <c r="M124" i="53"/>
  <c r="AE124" i="42"/>
  <c r="M228" i="53"/>
  <c r="AE228" i="42"/>
  <c r="M68" i="53"/>
  <c r="AE68" i="42"/>
  <c r="M218" i="53"/>
  <c r="AE218" i="42"/>
  <c r="M106" i="53"/>
  <c r="AE106" i="42"/>
  <c r="M199" i="53"/>
  <c r="AE199" i="42"/>
  <c r="M295" i="53"/>
  <c r="AE295" i="42"/>
  <c r="M187" i="53"/>
  <c r="AE187" i="42"/>
  <c r="M29" i="53"/>
  <c r="AE29" i="42"/>
  <c r="M75" i="53"/>
  <c r="AE75" i="42"/>
  <c r="AE158" i="42"/>
  <c r="M158" i="53"/>
  <c r="M18" i="53"/>
  <c r="N322" i="42"/>
  <c r="AE18" i="42"/>
  <c r="M28" i="53"/>
  <c r="N320" i="42"/>
  <c r="AE28" i="42"/>
  <c r="M137" i="53"/>
  <c r="AE137" i="42"/>
  <c r="M70" i="53"/>
  <c r="AE70" i="42"/>
  <c r="M113" i="53"/>
  <c r="AE113" i="42"/>
  <c r="AE280" i="42"/>
  <c r="M280" i="53"/>
  <c r="M143" i="53"/>
  <c r="AE143" i="42"/>
  <c r="M163" i="53"/>
  <c r="AE163" i="42"/>
  <c r="M271" i="53"/>
  <c r="AE271" i="42"/>
  <c r="AE190" i="42"/>
  <c r="M190" i="53"/>
  <c r="M281" i="53"/>
  <c r="AE281" i="42"/>
  <c r="AE251" i="42"/>
  <c r="M251" i="53"/>
  <c r="AE119" i="65"/>
  <c r="L119" i="56"/>
  <c r="AE228" i="65"/>
  <c r="L228" i="56"/>
  <c r="AE261" i="65"/>
  <c r="L261" i="56"/>
  <c r="AE45" i="65"/>
  <c r="L45" i="56"/>
  <c r="L11" i="54"/>
  <c r="AE13" i="54"/>
  <c r="AE238" i="65"/>
  <c r="L238" i="56"/>
  <c r="AE267" i="65"/>
  <c r="AE179" i="65"/>
  <c r="L179" i="56"/>
  <c r="L187" i="68"/>
  <c r="AE180" i="57"/>
  <c r="L180" i="51"/>
  <c r="L43" i="68"/>
  <c r="AE36" i="57"/>
  <c r="L36" i="51"/>
  <c r="AE46" i="57"/>
  <c r="L53" i="68"/>
  <c r="L46" i="51"/>
  <c r="AE275" i="57"/>
  <c r="L282" i="68"/>
  <c r="L275" i="51"/>
  <c r="L119" i="68"/>
  <c r="AE112" i="57"/>
  <c r="L112" i="51"/>
  <c r="L250" i="68"/>
  <c r="AE243" i="57"/>
  <c r="L243" i="51"/>
  <c r="L191" i="68"/>
  <c r="AE184" i="57"/>
  <c r="L184" i="51"/>
  <c r="AE175" i="57"/>
  <c r="L182" i="68"/>
  <c r="L175" i="51"/>
  <c r="L36" i="68"/>
  <c r="AE29" i="57"/>
  <c r="L29" i="51"/>
  <c r="AE23" i="57"/>
  <c r="L30" i="68"/>
  <c r="L23" i="51"/>
  <c r="L158" i="68"/>
  <c r="AE151" i="57"/>
  <c r="L151" i="51"/>
  <c r="L300" i="68"/>
  <c r="AE293" i="57"/>
  <c r="L293" i="51"/>
  <c r="L148" i="68"/>
  <c r="AE141" i="57"/>
  <c r="L141" i="51"/>
  <c r="AE57" i="57"/>
  <c r="L64" i="68"/>
  <c r="L57" i="51"/>
  <c r="AE244" i="57"/>
  <c r="L251" i="68"/>
  <c r="L244" i="51"/>
  <c r="AE253" i="65"/>
  <c r="L253" i="56"/>
  <c r="AE123" i="65"/>
  <c r="L123" i="56"/>
  <c r="AE194" i="65"/>
  <c r="L194" i="56"/>
  <c r="AE68" i="65"/>
  <c r="L68" i="56"/>
  <c r="AE266" i="65"/>
  <c r="L266" i="56"/>
  <c r="AE72" i="57"/>
  <c r="L79" i="68"/>
  <c r="L72" i="51"/>
  <c r="L241" i="68"/>
  <c r="AE234" i="57"/>
  <c r="L234" i="51"/>
  <c r="AE43" i="57"/>
  <c r="L50" i="68"/>
  <c r="L43" i="51"/>
  <c r="AE292" i="57"/>
  <c r="L299" i="68"/>
  <c r="L292" i="51"/>
  <c r="L291" i="68"/>
  <c r="AE284" i="57"/>
  <c r="L284" i="51"/>
  <c r="AE52" i="57"/>
  <c r="L59" i="68"/>
  <c r="L52" i="51"/>
  <c r="L228" i="68"/>
  <c r="AE221" i="57"/>
  <c r="L221" i="51"/>
  <c r="L39" i="68"/>
  <c r="AE32" i="57"/>
  <c r="L32" i="51"/>
  <c r="L45" i="68"/>
  <c r="AE38" i="57"/>
  <c r="L38" i="51"/>
  <c r="L234" i="68"/>
  <c r="AE227" i="57"/>
  <c r="L227" i="51"/>
  <c r="AE272" i="57"/>
  <c r="L279" i="68"/>
  <c r="L272" i="51"/>
  <c r="AE64" i="57"/>
  <c r="L71" i="68"/>
  <c r="L64" i="51"/>
  <c r="AE115" i="65"/>
  <c r="L115" i="56"/>
  <c r="AE80" i="65"/>
  <c r="L80" i="56"/>
  <c r="AE98" i="65"/>
  <c r="L98" i="56"/>
  <c r="AE88" i="65"/>
  <c r="L88" i="56"/>
  <c r="AE53" i="65"/>
  <c r="L53" i="56"/>
  <c r="AE62" i="65"/>
  <c r="L62" i="56"/>
  <c r="AE270" i="65"/>
  <c r="L270" i="56"/>
  <c r="AE144" i="65"/>
  <c r="L144" i="56"/>
  <c r="AE106" i="65"/>
  <c r="L106" i="56"/>
  <c r="AE280" i="57"/>
  <c r="L287" i="68"/>
  <c r="L280" i="51"/>
  <c r="AE233" i="65"/>
  <c r="L233" i="56"/>
  <c r="AE273" i="65"/>
  <c r="L273" i="56"/>
  <c r="AE155" i="65"/>
  <c r="L155" i="56"/>
  <c r="AE288" i="65"/>
  <c r="L288" i="56"/>
  <c r="AE207" i="65"/>
  <c r="L207" i="56"/>
  <c r="AE278" i="65"/>
  <c r="L278" i="56"/>
  <c r="AE213" i="65"/>
  <c r="L213" i="56"/>
  <c r="AE58" i="57"/>
  <c r="L65" i="68"/>
  <c r="L58" i="51"/>
  <c r="L267" i="68"/>
  <c r="AE260" i="57"/>
  <c r="L260" i="51"/>
  <c r="AE34" i="57"/>
  <c r="L41" i="68"/>
  <c r="L34" i="51"/>
  <c r="H19" i="66"/>
  <c r="AE44" i="65"/>
  <c r="L44" i="56"/>
  <c r="AE19" i="65"/>
  <c r="L19" i="56"/>
  <c r="H144" i="66"/>
  <c r="S144" i="66" s="1"/>
  <c r="AE255" i="65"/>
  <c r="L255" i="56"/>
  <c r="AE61" i="65"/>
  <c r="L61" i="56"/>
  <c r="AE222" i="65"/>
  <c r="L222" i="56"/>
  <c r="AE235" i="65"/>
  <c r="L235" i="56"/>
  <c r="AE205" i="65"/>
  <c r="AE174" i="65"/>
  <c r="L174" i="56"/>
  <c r="AE285" i="65"/>
  <c r="L285" i="56"/>
  <c r="AE149" i="65"/>
  <c r="L149" i="56"/>
  <c r="AE277" i="65"/>
  <c r="L277" i="56"/>
  <c r="AE218" i="65"/>
  <c r="L218" i="56"/>
  <c r="AE286" i="65"/>
  <c r="L286" i="56"/>
  <c r="M43" i="53"/>
  <c r="AE43" i="42"/>
  <c r="M118" i="53"/>
  <c r="AE118" i="42"/>
  <c r="AE216" i="42"/>
  <c r="M216" i="53"/>
  <c r="M148" i="53"/>
  <c r="AE148" i="42"/>
  <c r="M31" i="53"/>
  <c r="AE31" i="42"/>
  <c r="AE95" i="42"/>
  <c r="M95" i="53"/>
  <c r="M74" i="53"/>
  <c r="AE74" i="42"/>
  <c r="M129" i="53"/>
  <c r="AE129" i="42"/>
  <c r="AE41" i="42"/>
  <c r="M41" i="53"/>
  <c r="M265" i="53"/>
  <c r="AE265" i="42"/>
  <c r="M244" i="53"/>
  <c r="AE244" i="42"/>
  <c r="M277" i="53"/>
  <c r="AE277" i="42"/>
  <c r="M284" i="53"/>
  <c r="AE284" i="42"/>
  <c r="AE63" i="42"/>
  <c r="M63" i="53"/>
  <c r="M232" i="53"/>
  <c r="AE232" i="42"/>
  <c r="M182" i="53"/>
  <c r="AE182" i="42"/>
  <c r="M87" i="53"/>
  <c r="AE87" i="42"/>
  <c r="M107" i="53"/>
  <c r="AE107" i="42"/>
  <c r="I36" i="66"/>
  <c r="AE22" i="42"/>
  <c r="M22" i="53"/>
  <c r="N325" i="42"/>
  <c r="AE237" i="42"/>
  <c r="M237" i="53"/>
  <c r="AE299" i="42"/>
  <c r="M299" i="53"/>
  <c r="M72" i="53"/>
  <c r="AE72" i="42"/>
  <c r="M92" i="53"/>
  <c r="AE92" i="42"/>
  <c r="M207" i="53"/>
  <c r="AE207" i="42"/>
  <c r="AE294" i="42"/>
  <c r="M294" i="53"/>
  <c r="M222" i="53"/>
  <c r="AE222" i="42"/>
  <c r="M35" i="53"/>
  <c r="AE35" i="42"/>
  <c r="AE57" i="42"/>
  <c r="M57" i="53"/>
  <c r="M93" i="53"/>
  <c r="AE93" i="42"/>
  <c r="M121" i="53"/>
  <c r="AE121" i="42"/>
  <c r="M211" i="53"/>
  <c r="AE211" i="42"/>
  <c r="AE150" i="42"/>
  <c r="M150" i="53"/>
  <c r="M173" i="53"/>
  <c r="AE173" i="42"/>
  <c r="M141" i="53"/>
  <c r="AE141" i="42"/>
  <c r="M203" i="53"/>
  <c r="AE203" i="42"/>
  <c r="M300" i="53"/>
  <c r="AE300" i="42"/>
  <c r="AE210" i="42"/>
  <c r="M210" i="53"/>
  <c r="AE258" i="65"/>
  <c r="AE157" i="65"/>
  <c r="L157" i="56"/>
  <c r="AE136" i="65"/>
  <c r="AE220" i="65"/>
  <c r="L220" i="56"/>
  <c r="AE121" i="65"/>
  <c r="L121" i="56"/>
  <c r="AE139" i="65"/>
  <c r="L139" i="56"/>
  <c r="AE79" i="65"/>
  <c r="L79" i="56"/>
  <c r="AE197" i="65"/>
  <c r="L197" i="56"/>
  <c r="AE117" i="65"/>
  <c r="L117" i="56"/>
  <c r="AE300" i="65"/>
  <c r="L300" i="56"/>
  <c r="AE246" i="65"/>
  <c r="L246" i="56"/>
  <c r="AE28" i="65"/>
  <c r="L28" i="56"/>
  <c r="H141" i="66"/>
  <c r="AE226" i="65"/>
  <c r="L226" i="56"/>
  <c r="AE56" i="65"/>
  <c r="L56" i="56"/>
  <c r="AE248" i="65"/>
  <c r="L248" i="56"/>
  <c r="AE67" i="65"/>
  <c r="L67" i="56"/>
  <c r="AE47" i="65"/>
  <c r="L47" i="56"/>
  <c r="AE143" i="65"/>
  <c r="L143" i="56"/>
  <c r="H17" i="66"/>
  <c r="AE24" i="65"/>
  <c r="L24" i="56"/>
  <c r="AE159" i="65"/>
  <c r="L159" i="56"/>
  <c r="AE94" i="65"/>
  <c r="L94" i="56"/>
  <c r="AE154" i="65"/>
  <c r="L154" i="56"/>
  <c r="AE291" i="65"/>
  <c r="L291" i="56"/>
  <c r="AE225" i="65"/>
  <c r="L225" i="56"/>
  <c r="AE190" i="57"/>
  <c r="L197" i="68"/>
  <c r="L190" i="51"/>
  <c r="AE80" i="57"/>
  <c r="L87" i="68"/>
  <c r="L80" i="51"/>
  <c r="L105" i="68"/>
  <c r="AE98" i="57"/>
  <c r="L98" i="51"/>
  <c r="L95" i="68"/>
  <c r="AE88" i="57"/>
  <c r="L88" i="51"/>
  <c r="L136" i="68"/>
  <c r="AE129" i="57"/>
  <c r="L129" i="51"/>
  <c r="AE53" i="57"/>
  <c r="L60" i="68"/>
  <c r="L53" i="51"/>
  <c r="AE196" i="65"/>
  <c r="L196" i="56"/>
  <c r="AE269" i="65"/>
  <c r="L269" i="56"/>
  <c r="AE303" i="65"/>
  <c r="L303" i="56"/>
  <c r="AE288" i="57"/>
  <c r="L295" i="68"/>
  <c r="L288" i="51"/>
  <c r="AE26" i="65"/>
  <c r="L26" i="56"/>
  <c r="AE171" i="65"/>
  <c r="L171" i="56"/>
  <c r="AE182" i="65"/>
  <c r="L182" i="56"/>
  <c r="AE21" i="57"/>
  <c r="L28" i="68"/>
  <c r="L21" i="51"/>
  <c r="AE160" i="57"/>
  <c r="L167" i="68"/>
  <c r="L160" i="51"/>
  <c r="L313" i="68"/>
  <c r="AE306" i="57"/>
  <c r="L306" i="51"/>
  <c r="AE255" i="57"/>
  <c r="L262" i="68"/>
  <c r="L255" i="51"/>
  <c r="L70" i="68"/>
  <c r="AE63" i="57"/>
  <c r="L63" i="51"/>
  <c r="AE61" i="57"/>
  <c r="L68" i="68"/>
  <c r="L61" i="51"/>
  <c r="AE222" i="57"/>
  <c r="L229" i="68"/>
  <c r="L222" i="51"/>
  <c r="L275" i="68"/>
  <c r="AE268" i="57"/>
  <c r="L268" i="51"/>
  <c r="AE235" i="57"/>
  <c r="L242" i="68"/>
  <c r="L235" i="51"/>
  <c r="L99" i="68"/>
  <c r="AE92" i="57"/>
  <c r="L92" i="51"/>
  <c r="L179" i="68"/>
  <c r="L172" i="51"/>
  <c r="AE205" i="57"/>
  <c r="L212" i="68"/>
  <c r="L205" i="51"/>
  <c r="L181" i="68"/>
  <c r="AE174" i="57"/>
  <c r="L174" i="51"/>
  <c r="L292" i="68"/>
  <c r="AE285" i="57"/>
  <c r="L285" i="51"/>
  <c r="AE149" i="57"/>
  <c r="L156" i="68"/>
  <c r="L149" i="51"/>
  <c r="L284" i="68"/>
  <c r="AE277" i="57"/>
  <c r="L277" i="51"/>
  <c r="AE116" i="65"/>
  <c r="L116" i="56"/>
  <c r="AE114" i="65"/>
  <c r="L114" i="56"/>
  <c r="AE110" i="65"/>
  <c r="L110" i="56"/>
  <c r="AE218" i="57"/>
  <c r="L225" i="68"/>
  <c r="L218" i="51"/>
  <c r="L293" i="68"/>
  <c r="AE286" i="57"/>
  <c r="L286" i="51"/>
  <c r="M16" i="53"/>
  <c r="N332" i="42"/>
  <c r="I35" i="66"/>
  <c r="AE16" i="42"/>
  <c r="AE27" i="42"/>
  <c r="M27" i="53"/>
  <c r="M152" i="53"/>
  <c r="AE152" i="42"/>
  <c r="M32" i="53"/>
  <c r="N331" i="42"/>
  <c r="AE32" i="42"/>
  <c r="M69" i="53"/>
  <c r="AE69" i="42"/>
  <c r="M164" i="53"/>
  <c r="AE164" i="42"/>
  <c r="M51" i="53"/>
  <c r="AE51" i="42"/>
  <c r="M142" i="53"/>
  <c r="AE142" i="42"/>
  <c r="M26" i="53"/>
  <c r="AE26" i="42"/>
  <c r="I32" i="66"/>
  <c r="M33" i="53"/>
  <c r="N323" i="42"/>
  <c r="AE33" i="42"/>
  <c r="M186" i="53"/>
  <c r="AE186" i="42"/>
  <c r="M82" i="53"/>
  <c r="AE82" i="42"/>
  <c r="M236" i="53"/>
  <c r="AE236" i="42"/>
  <c r="M30" i="53"/>
  <c r="AE30" i="42"/>
  <c r="M254" i="53"/>
  <c r="AE254" i="42"/>
  <c r="M167" i="53"/>
  <c r="AE167" i="42"/>
  <c r="M139" i="53"/>
  <c r="AE139" i="42"/>
  <c r="AE115" i="42"/>
  <c r="M115" i="53"/>
  <c r="M132" i="53"/>
  <c r="AE132" i="42"/>
  <c r="AE225" i="42"/>
  <c r="M225" i="53"/>
  <c r="M42" i="53"/>
  <c r="AE42" i="42"/>
  <c r="M135" i="53"/>
  <c r="AE135" i="42"/>
  <c r="M108" i="53"/>
  <c r="AE108" i="42"/>
  <c r="AE292" i="42"/>
  <c r="M292" i="53"/>
  <c r="M61" i="53"/>
  <c r="AE61" i="42"/>
  <c r="M215" i="53"/>
  <c r="AE215" i="42"/>
  <c r="M39" i="53"/>
  <c r="AE39" i="42"/>
  <c r="M155" i="53"/>
  <c r="AE155" i="42"/>
  <c r="M80" i="53"/>
  <c r="AE80" i="42"/>
  <c r="M110" i="53"/>
  <c r="AE110" i="42"/>
  <c r="AE221" i="42"/>
  <c r="M221" i="53"/>
  <c r="M130" i="53"/>
  <c r="AE130" i="42"/>
  <c r="AE233" i="42"/>
  <c r="M233" i="53"/>
  <c r="M170" i="53"/>
  <c r="AE170" i="42"/>
  <c r="M213" i="53"/>
  <c r="AE213" i="42"/>
  <c r="M301" i="53"/>
  <c r="AE301" i="42"/>
  <c r="M243" i="53"/>
  <c r="AE243" i="42"/>
  <c r="AE247" i="65"/>
  <c r="L247" i="56"/>
  <c r="AE206" i="65"/>
  <c r="L206" i="56"/>
  <c r="AE136" i="57"/>
  <c r="L143" i="68"/>
  <c r="L136" i="51"/>
  <c r="AE238" i="57"/>
  <c r="L245" i="68"/>
  <c r="L238" i="51"/>
  <c r="L314" i="68"/>
  <c r="AE307" i="57"/>
  <c r="L307" i="51"/>
  <c r="AE108" i="57"/>
  <c r="AE220" i="57"/>
  <c r="L227" i="68"/>
  <c r="L220" i="51"/>
  <c r="L274" i="68"/>
  <c r="AE267" i="57"/>
  <c r="L267" i="51"/>
  <c r="L128" i="68"/>
  <c r="AE121" i="57"/>
  <c r="L121" i="51"/>
  <c r="L146" i="68"/>
  <c r="AE139" i="57"/>
  <c r="L139" i="51"/>
  <c r="AE179" i="57"/>
  <c r="L186" i="68"/>
  <c r="L179" i="51"/>
  <c r="AE31" i="65"/>
  <c r="L31" i="56"/>
  <c r="AE245" i="65"/>
  <c r="L245" i="56"/>
  <c r="AE78" i="65"/>
  <c r="L78" i="56"/>
  <c r="AE276" i="65"/>
  <c r="L276" i="56"/>
  <c r="AE204" i="65"/>
  <c r="L204" i="56"/>
  <c r="AE301" i="65"/>
  <c r="L301" i="56"/>
  <c r="AE156" i="65"/>
  <c r="L156" i="56"/>
  <c r="L307" i="68"/>
  <c r="AE300" i="57"/>
  <c r="L300" i="51"/>
  <c r="L253" i="68"/>
  <c r="AE246" i="57"/>
  <c r="L246" i="51"/>
  <c r="AE253" i="57"/>
  <c r="L260" i="68"/>
  <c r="L253" i="51"/>
  <c r="AE169" i="65"/>
  <c r="L169" i="56"/>
  <c r="AE28" i="57"/>
  <c r="L35" i="68"/>
  <c r="L28" i="51"/>
  <c r="AY69" i="66"/>
  <c r="S69" i="66"/>
  <c r="AE69" i="66"/>
  <c r="AE18" i="65"/>
  <c r="L18" i="56"/>
  <c r="AE189" i="65"/>
  <c r="L189" i="56"/>
  <c r="S66" i="66"/>
  <c r="AO66" i="66" s="1"/>
  <c r="AE66" i="66"/>
  <c r="AY66" i="66"/>
  <c r="AE164" i="65"/>
  <c r="L164" i="56"/>
  <c r="AE111" i="65"/>
  <c r="L111" i="56"/>
  <c r="AE115" i="57"/>
  <c r="L122" i="68"/>
  <c r="L115" i="51"/>
  <c r="L232" i="68"/>
  <c r="AE225" i="57"/>
  <c r="L225" i="51"/>
  <c r="AE208" i="65"/>
  <c r="L208" i="56"/>
  <c r="AE163" i="65"/>
  <c r="L163" i="56"/>
  <c r="AE224" i="65"/>
  <c r="AE263" i="65"/>
  <c r="L263" i="56"/>
  <c r="S72" i="66"/>
  <c r="AO72" i="66" s="1"/>
  <c r="AY72" i="66"/>
  <c r="AE72" i="66"/>
  <c r="L96" i="68"/>
  <c r="AE89" i="57"/>
  <c r="L89" i="51"/>
  <c r="L137" i="68"/>
  <c r="AE130" i="57"/>
  <c r="L130" i="51"/>
  <c r="L280" i="68"/>
  <c r="AE273" i="57"/>
  <c r="L273" i="51"/>
  <c r="AE252" i="65"/>
  <c r="L252" i="56"/>
  <c r="AE68" i="66"/>
  <c r="S68" i="66"/>
  <c r="AO68" i="66" s="1"/>
  <c r="AY68" i="66"/>
  <c r="AE74" i="65"/>
  <c r="L74" i="56"/>
  <c r="AE176" i="65"/>
  <c r="L176" i="56"/>
  <c r="AE187" i="65"/>
  <c r="L187" i="56"/>
  <c r="AE113" i="57"/>
  <c r="L120" i="68"/>
  <c r="L113" i="51"/>
  <c r="AE171" i="57"/>
  <c r="L178" i="68"/>
  <c r="L171" i="51"/>
  <c r="AE54" i="57"/>
  <c r="L61" i="68"/>
  <c r="L54" i="51"/>
  <c r="AE19" i="57"/>
  <c r="L26" i="68"/>
  <c r="L19" i="51"/>
  <c r="AE182" i="57"/>
  <c r="L189" i="68"/>
  <c r="L182" i="51"/>
  <c r="L180" i="68"/>
  <c r="AE173" i="57"/>
  <c r="L173" i="51"/>
  <c r="AE22" i="65"/>
  <c r="H23" i="66"/>
  <c r="L22" i="56"/>
  <c r="AE39" i="65"/>
  <c r="L39" i="56"/>
  <c r="AE215" i="65"/>
  <c r="L215" i="56"/>
  <c r="AE137" i="65"/>
  <c r="L137" i="56"/>
  <c r="AE251" i="65"/>
  <c r="L251" i="56"/>
  <c r="AE116" i="57"/>
  <c r="L123" i="68"/>
  <c r="L116" i="51"/>
  <c r="AE114" i="57"/>
  <c r="L121" i="68"/>
  <c r="L114" i="51"/>
  <c r="AE110" i="57"/>
  <c r="L117" i="68"/>
  <c r="L110" i="51"/>
  <c r="AE127" i="65"/>
  <c r="L127" i="56"/>
  <c r="M165" i="53"/>
  <c r="AE165" i="42"/>
  <c r="AE264" i="42"/>
  <c r="M264" i="53"/>
  <c r="M48" i="53"/>
  <c r="AE48" i="42"/>
  <c r="I31" i="66"/>
  <c r="M214" i="53"/>
  <c r="AE214" i="42"/>
  <c r="M21" i="53"/>
  <c r="AE21" i="42"/>
  <c r="N321" i="42"/>
  <c r="M49" i="53"/>
  <c r="AE49" i="42"/>
  <c r="M304" i="53"/>
  <c r="AE304" i="42"/>
  <c r="M67" i="53"/>
  <c r="AE67" i="42"/>
  <c r="AE296" i="42"/>
  <c r="M296" i="53"/>
  <c r="M224" i="53"/>
  <c r="AE224" i="42"/>
  <c r="AE85" i="42"/>
  <c r="M85" i="53"/>
  <c r="N341" i="42"/>
  <c r="AE37" i="42"/>
  <c r="M37" i="53"/>
  <c r="M79" i="53"/>
  <c r="AE79" i="42"/>
  <c r="M47" i="53"/>
  <c r="AE47" i="42"/>
  <c r="N333" i="42"/>
  <c r="M56" i="53"/>
  <c r="AE56" i="42"/>
  <c r="M246" i="53"/>
  <c r="AE246" i="42"/>
  <c r="M145" i="53"/>
  <c r="AE145" i="42"/>
  <c r="M46" i="53"/>
  <c r="AE46" i="42"/>
  <c r="M302" i="53"/>
  <c r="AE302" i="42"/>
  <c r="M94" i="53"/>
  <c r="AE94" i="42"/>
  <c r="M126" i="53"/>
  <c r="AE126" i="42"/>
  <c r="M109" i="53"/>
  <c r="AE109" i="42"/>
  <c r="M125" i="53"/>
  <c r="AE125" i="42"/>
  <c r="M169" i="53"/>
  <c r="AE169" i="42"/>
  <c r="M176" i="53"/>
  <c r="AE176" i="42"/>
  <c r="M262" i="53"/>
  <c r="AE262" i="42"/>
  <c r="M159" i="53"/>
  <c r="AE159" i="42"/>
  <c r="AE242" i="42"/>
  <c r="M242" i="53"/>
  <c r="M103" i="53"/>
  <c r="AE103" i="42"/>
  <c r="AE123" i="42"/>
  <c r="M123" i="53"/>
  <c r="AE263" i="42"/>
  <c r="M263" i="53"/>
  <c r="M160" i="53"/>
  <c r="AE160" i="42"/>
  <c r="AE230" i="42"/>
  <c r="M230" i="53"/>
  <c r="AE171" i="42"/>
  <c r="M171" i="53"/>
  <c r="M223" i="53"/>
  <c r="AE223" i="42"/>
  <c r="M220" i="53"/>
  <c r="AE220" i="42"/>
  <c r="AE283" i="42"/>
  <c r="M283" i="53"/>
  <c r="L126" i="68"/>
  <c r="AE119" i="57"/>
  <c r="L119" i="51"/>
  <c r="AE258" i="57"/>
  <c r="L265" i="68"/>
  <c r="L258" i="51"/>
  <c r="L235" i="68"/>
  <c r="AE228" i="57"/>
  <c r="L228" i="51"/>
  <c r="L254" i="68"/>
  <c r="AE247" i="57"/>
  <c r="L247" i="51"/>
  <c r="AE206" i="57"/>
  <c r="L213" i="68"/>
  <c r="L206" i="51"/>
  <c r="L268" i="68"/>
  <c r="AE261" i="57"/>
  <c r="L261" i="51"/>
  <c r="L164" i="68"/>
  <c r="AE157" i="57"/>
  <c r="L157" i="51"/>
  <c r="AE45" i="57"/>
  <c r="L52" i="68"/>
  <c r="L45" i="51"/>
  <c r="AE41" i="65"/>
  <c r="L41" i="56"/>
  <c r="AE97" i="65"/>
  <c r="L97" i="56"/>
  <c r="AE37" i="65"/>
  <c r="L37" i="56"/>
  <c r="AE131" i="65"/>
  <c r="AE27" i="65"/>
  <c r="L27" i="56"/>
  <c r="AE191" i="65"/>
  <c r="L191" i="56"/>
  <c r="AE200" i="65"/>
  <c r="L200" i="56"/>
  <c r="AE237" i="65"/>
  <c r="L237" i="56"/>
  <c r="AE229" i="65"/>
  <c r="AE69" i="65"/>
  <c r="L69" i="56"/>
  <c r="AE91" i="65"/>
  <c r="L91" i="56"/>
  <c r="AE204" i="57"/>
  <c r="L211" i="68"/>
  <c r="L204" i="51"/>
  <c r="AE301" i="57"/>
  <c r="L308" i="68"/>
  <c r="L301" i="51"/>
  <c r="AE156" i="57"/>
  <c r="L163" i="68"/>
  <c r="L156" i="51"/>
  <c r="R149" i="66"/>
  <c r="AE169" i="57"/>
  <c r="L176" i="68"/>
  <c r="L169" i="51"/>
  <c r="L24" i="68"/>
  <c r="AE17" i="57"/>
  <c r="L17" i="51"/>
  <c r="L25" i="68"/>
  <c r="AE18" i="57"/>
  <c r="L18" i="51"/>
  <c r="AE226" i="57"/>
  <c r="L233" i="68"/>
  <c r="L226" i="51"/>
  <c r="AE123" i="57"/>
  <c r="AE194" i="57"/>
  <c r="L201" i="68"/>
  <c r="L194" i="51"/>
  <c r="L63" i="68"/>
  <c r="AE56" i="57"/>
  <c r="L56" i="51"/>
  <c r="AE248" i="57"/>
  <c r="L255" i="68"/>
  <c r="L248" i="51"/>
  <c r="AE67" i="57"/>
  <c r="L74" i="68"/>
  <c r="L67" i="51"/>
  <c r="AE189" i="57"/>
  <c r="L196" i="68"/>
  <c r="L189" i="51"/>
  <c r="AE68" i="57"/>
  <c r="L75" i="68"/>
  <c r="L68" i="51"/>
  <c r="L54" i="68"/>
  <c r="AE47" i="57"/>
  <c r="L47" i="51"/>
  <c r="AE143" i="57"/>
  <c r="L150" i="68"/>
  <c r="L143" i="51"/>
  <c r="L273" i="68"/>
  <c r="AE266" i="57"/>
  <c r="L266" i="51"/>
  <c r="H138" i="66"/>
  <c r="AE50" i="65"/>
  <c r="AE104" i="65"/>
  <c r="L104" i="56"/>
  <c r="AE188" i="65"/>
  <c r="L188" i="56"/>
  <c r="AE291" i="57"/>
  <c r="L298" i="68"/>
  <c r="L291" i="51"/>
  <c r="AE145" i="65"/>
  <c r="L145" i="56"/>
  <c r="AE259" i="65"/>
  <c r="L259" i="56"/>
  <c r="AE150" i="65"/>
  <c r="L150" i="56"/>
  <c r="AE146" i="65"/>
  <c r="L146" i="56"/>
  <c r="L69" i="68"/>
  <c r="AE62" i="57"/>
  <c r="L62" i="51"/>
  <c r="L277" i="68"/>
  <c r="AE270" i="57"/>
  <c r="L270" i="51"/>
  <c r="L151" i="68"/>
  <c r="AE144" i="57"/>
  <c r="L144" i="51"/>
  <c r="AE196" i="57"/>
  <c r="L203" i="68"/>
  <c r="L196" i="51"/>
  <c r="L231" i="68"/>
  <c r="AE224" i="57"/>
  <c r="L224" i="51"/>
  <c r="AE269" i="57"/>
  <c r="L276" i="68"/>
  <c r="L269" i="51"/>
  <c r="L270" i="68"/>
  <c r="AE263" i="57"/>
  <c r="L263" i="51"/>
  <c r="AD13" i="57" l="1"/>
  <c r="K13" i="51"/>
  <c r="AD5" i="66"/>
  <c r="E103" i="66"/>
  <c r="R5" i="66"/>
  <c r="AN5" i="66" s="1"/>
  <c r="AE70" i="66"/>
  <c r="AY70" i="66"/>
  <c r="S70" i="66"/>
  <c r="AO70" i="66" s="1"/>
  <c r="AY7" i="54"/>
  <c r="AY6" i="54" s="1"/>
  <c r="AD23" i="66"/>
  <c r="AE214" i="57"/>
  <c r="L221" i="68"/>
  <c r="L214" i="51"/>
  <c r="H96" i="66" s="1"/>
  <c r="E108" i="66"/>
  <c r="E105" i="66"/>
  <c r="E109" i="66"/>
  <c r="R7" i="66"/>
  <c r="AN7" i="66" s="1"/>
  <c r="AD10" i="66"/>
  <c r="S141" i="66"/>
  <c r="G145" i="66"/>
  <c r="R145" i="66" s="1"/>
  <c r="K7" i="68"/>
  <c r="D127" i="66" s="1"/>
  <c r="K7" i="56"/>
  <c r="E114" i="66" s="1"/>
  <c r="L21" i="56"/>
  <c r="AT21" i="56" s="1"/>
  <c r="R22" i="66"/>
  <c r="AN22" i="66" s="1"/>
  <c r="AD18" i="66"/>
  <c r="AD9" i="57"/>
  <c r="AD250" i="56"/>
  <c r="AS250" i="56"/>
  <c r="AD47" i="56"/>
  <c r="AS47" i="56"/>
  <c r="AD153" i="56"/>
  <c r="AS153" i="56"/>
  <c r="AS297" i="56"/>
  <c r="AD297" i="56"/>
  <c r="AS229" i="56"/>
  <c r="AD229" i="56"/>
  <c r="AD92" i="56"/>
  <c r="AS92" i="56"/>
  <c r="AD205" i="56"/>
  <c r="AS205" i="56"/>
  <c r="AD136" i="56"/>
  <c r="AS136" i="56"/>
  <c r="AD258" i="56"/>
  <c r="AS258" i="56"/>
  <c r="AD271" i="56"/>
  <c r="AS271" i="56"/>
  <c r="AS30" i="56"/>
  <c r="AD30" i="56"/>
  <c r="AS224" i="56"/>
  <c r="AD224" i="56"/>
  <c r="AD241" i="56"/>
  <c r="AS241" i="56"/>
  <c r="AD131" i="56"/>
  <c r="AS131" i="56"/>
  <c r="K13" i="56"/>
  <c r="AD13" i="56" s="1"/>
  <c r="AD214" i="56"/>
  <c r="AS214" i="56"/>
  <c r="AD61" i="56"/>
  <c r="AS61" i="56"/>
  <c r="AD27" i="56"/>
  <c r="AS27" i="56"/>
  <c r="AS283" i="56"/>
  <c r="AD283" i="56"/>
  <c r="AD89" i="56"/>
  <c r="AS89" i="56"/>
  <c r="AD211" i="56"/>
  <c r="AS211" i="56"/>
  <c r="AD267" i="56"/>
  <c r="AS267" i="56"/>
  <c r="AS190" i="56"/>
  <c r="AD190" i="56"/>
  <c r="AD180" i="56"/>
  <c r="AS180" i="56"/>
  <c r="AD50" i="56"/>
  <c r="AS50" i="56"/>
  <c r="G150" i="66" s="1"/>
  <c r="R150" i="66" s="1"/>
  <c r="AD77" i="56"/>
  <c r="AS77" i="56"/>
  <c r="G151" i="66" s="1"/>
  <c r="R151" i="66" s="1"/>
  <c r="AD305" i="56"/>
  <c r="AS305" i="56"/>
  <c r="K8" i="68"/>
  <c r="D128" i="66" s="1"/>
  <c r="AD171" i="56"/>
  <c r="AS171" i="56"/>
  <c r="AD200" i="56"/>
  <c r="AS200" i="56"/>
  <c r="AS123" i="56"/>
  <c r="AD123" i="56"/>
  <c r="AS215" i="56"/>
  <c r="AD215" i="56"/>
  <c r="K2" i="68"/>
  <c r="D122" i="66" s="1"/>
  <c r="R21" i="66"/>
  <c r="AN21" i="66" s="1"/>
  <c r="AD21" i="66"/>
  <c r="K4" i="68"/>
  <c r="D124" i="66" s="1"/>
  <c r="AD8" i="57"/>
  <c r="K9" i="68"/>
  <c r="D129" i="66" s="1"/>
  <c r="AD133" i="56"/>
  <c r="AS133" i="56"/>
  <c r="K3" i="68"/>
  <c r="D123" i="66" s="1"/>
  <c r="K1" i="68"/>
  <c r="D121" i="66" s="1"/>
  <c r="K10" i="68"/>
  <c r="D130" i="66" s="1"/>
  <c r="R9" i="66"/>
  <c r="AN9" i="66" s="1"/>
  <c r="AD9" i="66"/>
  <c r="E107" i="66"/>
  <c r="G24" i="66"/>
  <c r="R24" i="66" s="1"/>
  <c r="AN24" i="66" s="1"/>
  <c r="AE133" i="51"/>
  <c r="G94" i="66"/>
  <c r="AO69" i="66"/>
  <c r="AS125" i="56"/>
  <c r="AD125" i="56"/>
  <c r="R8" i="66"/>
  <c r="AN8" i="66" s="1"/>
  <c r="E106" i="66"/>
  <c r="AD8" i="66"/>
  <c r="AE13" i="51"/>
  <c r="S32" i="60"/>
  <c r="AE21" i="51"/>
  <c r="G93" i="66"/>
  <c r="G12" i="66"/>
  <c r="E110" i="66" s="1"/>
  <c r="AD20" i="66"/>
  <c r="R20" i="66"/>
  <c r="AN20" i="66" s="1"/>
  <c r="AD21" i="56"/>
  <c r="AS21" i="56"/>
  <c r="O22" i="42"/>
  <c r="O30" i="42"/>
  <c r="O38" i="42"/>
  <c r="O46" i="42"/>
  <c r="O54" i="42"/>
  <c r="O62" i="42"/>
  <c r="O70" i="42"/>
  <c r="O78" i="42"/>
  <c r="O86" i="42"/>
  <c r="O94" i="42"/>
  <c r="O102" i="42"/>
  <c r="O110" i="42"/>
  <c r="O118" i="42"/>
  <c r="O126" i="42"/>
  <c r="O134" i="42"/>
  <c r="O142" i="42"/>
  <c r="O150" i="42"/>
  <c r="O158" i="42"/>
  <c r="O166" i="42"/>
  <c r="O174" i="42"/>
  <c r="O182" i="42"/>
  <c r="O190" i="42"/>
  <c r="O198" i="42"/>
  <c r="O206" i="42"/>
  <c r="O214" i="42"/>
  <c r="O222" i="42"/>
  <c r="O230" i="42"/>
  <c r="O238" i="42"/>
  <c r="O246" i="42"/>
  <c r="O254" i="42"/>
  <c r="O262" i="42"/>
  <c r="O270" i="42"/>
  <c r="O278" i="42"/>
  <c r="O286" i="42"/>
  <c r="O294" i="42"/>
  <c r="O302" i="42"/>
  <c r="O15" i="42"/>
  <c r="O23" i="42"/>
  <c r="O31" i="42"/>
  <c r="O39" i="42"/>
  <c r="O47" i="42"/>
  <c r="O55" i="42"/>
  <c r="O63" i="42"/>
  <c r="O71" i="42"/>
  <c r="O79" i="42"/>
  <c r="O87" i="42"/>
  <c r="O95" i="42"/>
  <c r="O103" i="42"/>
  <c r="O111" i="42"/>
  <c r="O119" i="42"/>
  <c r="O127" i="42"/>
  <c r="O135" i="42"/>
  <c r="O143" i="42"/>
  <c r="O151" i="42"/>
  <c r="O159" i="42"/>
  <c r="O167" i="42"/>
  <c r="O175" i="42"/>
  <c r="O183" i="42"/>
  <c r="O191" i="42"/>
  <c r="O199" i="42"/>
  <c r="O207" i="42"/>
  <c r="O215" i="42"/>
  <c r="O223" i="42"/>
  <c r="O231" i="42"/>
  <c r="O239" i="42"/>
  <c r="O247" i="42"/>
  <c r="O255" i="42"/>
  <c r="O263" i="42"/>
  <c r="O271" i="42"/>
  <c r="O279" i="42"/>
  <c r="O287" i="42"/>
  <c r="O295" i="42"/>
  <c r="O303" i="42"/>
  <c r="O16" i="42"/>
  <c r="O24" i="42"/>
  <c r="O32" i="42"/>
  <c r="O40" i="42"/>
  <c r="O48" i="42"/>
  <c r="O56" i="42"/>
  <c r="O64" i="42"/>
  <c r="O72" i="42"/>
  <c r="O80" i="42"/>
  <c r="O88" i="42"/>
  <c r="O96" i="42"/>
  <c r="O104" i="42"/>
  <c r="O112" i="42"/>
  <c r="O120" i="42"/>
  <c r="O128" i="42"/>
  <c r="O136" i="42"/>
  <c r="O144" i="42"/>
  <c r="O152" i="42"/>
  <c r="O160" i="42"/>
  <c r="O168" i="42"/>
  <c r="O176" i="42"/>
  <c r="O184" i="42"/>
  <c r="O192" i="42"/>
  <c r="O200" i="42"/>
  <c r="O208" i="42"/>
  <c r="O216" i="42"/>
  <c r="O224" i="42"/>
  <c r="O232" i="42"/>
  <c r="O240" i="42"/>
  <c r="O248" i="42"/>
  <c r="O256" i="42"/>
  <c r="O264" i="42"/>
  <c r="O272" i="42"/>
  <c r="O280" i="42"/>
  <c r="O288" i="42"/>
  <c r="O296" i="42"/>
  <c r="O304" i="42"/>
  <c r="O300" i="42"/>
  <c r="O17" i="42"/>
  <c r="O25" i="42"/>
  <c r="O33" i="42"/>
  <c r="O41" i="42"/>
  <c r="O49" i="42"/>
  <c r="O57" i="42"/>
  <c r="O65" i="42"/>
  <c r="O73" i="42"/>
  <c r="O81" i="42"/>
  <c r="O89" i="42"/>
  <c r="O97" i="42"/>
  <c r="O105" i="42"/>
  <c r="O113" i="42"/>
  <c r="O121" i="42"/>
  <c r="O129" i="42"/>
  <c r="O137" i="42"/>
  <c r="O145" i="42"/>
  <c r="O153" i="42"/>
  <c r="O161" i="42"/>
  <c r="O169" i="42"/>
  <c r="O177" i="42"/>
  <c r="O185" i="42"/>
  <c r="O193" i="42"/>
  <c r="O201" i="42"/>
  <c r="O209" i="42"/>
  <c r="O217" i="42"/>
  <c r="O225" i="42"/>
  <c r="O233" i="42"/>
  <c r="O241" i="42"/>
  <c r="O249" i="42"/>
  <c r="O257" i="42"/>
  <c r="O265" i="42"/>
  <c r="O273" i="42"/>
  <c r="O281" i="42"/>
  <c r="O289" i="42"/>
  <c r="O297" i="42"/>
  <c r="O305" i="42"/>
  <c r="O292" i="42"/>
  <c r="O18" i="42"/>
  <c r="O26" i="42"/>
  <c r="O34" i="42"/>
  <c r="O42" i="42"/>
  <c r="O50" i="42"/>
  <c r="O58" i="42"/>
  <c r="O66" i="42"/>
  <c r="O74" i="42"/>
  <c r="O82" i="42"/>
  <c r="O90" i="42"/>
  <c r="O98" i="42"/>
  <c r="O106" i="42"/>
  <c r="O114" i="42"/>
  <c r="O122" i="42"/>
  <c r="O130" i="42"/>
  <c r="O138" i="42"/>
  <c r="O146" i="42"/>
  <c r="O154" i="42"/>
  <c r="O162" i="42"/>
  <c r="O170" i="42"/>
  <c r="O178" i="42"/>
  <c r="O186" i="42"/>
  <c r="O194" i="42"/>
  <c r="O202" i="42"/>
  <c r="O210" i="42"/>
  <c r="O218" i="42"/>
  <c r="O226" i="42"/>
  <c r="O234" i="42"/>
  <c r="O242" i="42"/>
  <c r="O250" i="42"/>
  <c r="O258" i="42"/>
  <c r="O266" i="42"/>
  <c r="O274" i="42"/>
  <c r="O282" i="42"/>
  <c r="O290" i="42"/>
  <c r="O298" i="42"/>
  <c r="O306" i="42"/>
  <c r="O284" i="42"/>
  <c r="O19" i="42"/>
  <c r="O27" i="42"/>
  <c r="O35" i="42"/>
  <c r="O43" i="42"/>
  <c r="O51" i="42"/>
  <c r="O59" i="42"/>
  <c r="O67" i="42"/>
  <c r="O75" i="42"/>
  <c r="O83" i="42"/>
  <c r="O91" i="42"/>
  <c r="O99" i="42"/>
  <c r="O107" i="42"/>
  <c r="O115" i="42"/>
  <c r="O123" i="42"/>
  <c r="O131" i="42"/>
  <c r="O139" i="42"/>
  <c r="O147" i="42"/>
  <c r="O155" i="42"/>
  <c r="O163" i="42"/>
  <c r="O171" i="42"/>
  <c r="O179" i="42"/>
  <c r="O187" i="42"/>
  <c r="O195" i="42"/>
  <c r="O203" i="42"/>
  <c r="O211" i="42"/>
  <c r="O219" i="42"/>
  <c r="O227" i="42"/>
  <c r="O235" i="42"/>
  <c r="O243" i="42"/>
  <c r="O251" i="42"/>
  <c r="O259" i="42"/>
  <c r="O267" i="42"/>
  <c r="O275" i="42"/>
  <c r="O283" i="42"/>
  <c r="O291" i="42"/>
  <c r="O299" i="42"/>
  <c r="O307" i="42"/>
  <c r="O276" i="42"/>
  <c r="O20" i="42"/>
  <c r="O28" i="42"/>
  <c r="O36" i="42"/>
  <c r="O44" i="42"/>
  <c r="O52" i="42"/>
  <c r="O60" i="42"/>
  <c r="O68" i="42"/>
  <c r="O76" i="42"/>
  <c r="O84" i="42"/>
  <c r="O92" i="42"/>
  <c r="O100" i="42"/>
  <c r="O108" i="42"/>
  <c r="O116" i="42"/>
  <c r="O124" i="42"/>
  <c r="O132" i="42"/>
  <c r="O140" i="42"/>
  <c r="O148" i="42"/>
  <c r="O156" i="42"/>
  <c r="O164" i="42"/>
  <c r="O172" i="42"/>
  <c r="O180" i="42"/>
  <c r="O188" i="42"/>
  <c r="O196" i="42"/>
  <c r="O204" i="42"/>
  <c r="O212" i="42"/>
  <c r="O220" i="42"/>
  <c r="O228" i="42"/>
  <c r="O236" i="42"/>
  <c r="O244" i="42"/>
  <c r="O252" i="42"/>
  <c r="O260" i="42"/>
  <c r="O268" i="42"/>
  <c r="O21" i="42"/>
  <c r="O29" i="42"/>
  <c r="O37" i="42"/>
  <c r="O45" i="42"/>
  <c r="O53" i="42"/>
  <c r="O61" i="42"/>
  <c r="O69" i="42"/>
  <c r="O77" i="42"/>
  <c r="O85" i="42"/>
  <c r="O93" i="42"/>
  <c r="O101" i="42"/>
  <c r="O109" i="42"/>
  <c r="O117" i="42"/>
  <c r="O125" i="42"/>
  <c r="O133" i="42"/>
  <c r="O141" i="42"/>
  <c r="O149" i="42"/>
  <c r="O157" i="42"/>
  <c r="O165" i="42"/>
  <c r="O173" i="42"/>
  <c r="O181" i="42"/>
  <c r="O189" i="42"/>
  <c r="O197" i="42"/>
  <c r="O205" i="42"/>
  <c r="O213" i="42"/>
  <c r="O221" i="42"/>
  <c r="O229" i="42"/>
  <c r="O237" i="42"/>
  <c r="O245" i="42"/>
  <c r="O253" i="42"/>
  <c r="O261" i="42"/>
  <c r="O269" i="42"/>
  <c r="O277" i="42"/>
  <c r="O285" i="42"/>
  <c r="O293" i="42"/>
  <c r="O301" i="42"/>
  <c r="R92" i="66"/>
  <c r="AN92" i="66" s="1"/>
  <c r="AX92" i="66"/>
  <c r="AD92" i="66"/>
  <c r="AX96" i="66"/>
  <c r="AD96" i="66"/>
  <c r="R96" i="66"/>
  <c r="AN96" i="66" s="1"/>
  <c r="K25" i="15"/>
  <c r="G19" i="60"/>
  <c r="R91" i="66"/>
  <c r="AN91" i="66" s="1"/>
  <c r="AX91" i="66"/>
  <c r="AD91" i="66"/>
  <c r="AD95" i="66"/>
  <c r="AX95" i="66"/>
  <c r="R95" i="66"/>
  <c r="AN95" i="66" s="1"/>
  <c r="AF263" i="51"/>
  <c r="M242" i="54"/>
  <c r="AF242" i="53"/>
  <c r="M296" i="54"/>
  <c r="AF296" i="53"/>
  <c r="AF220" i="51"/>
  <c r="M135" i="54"/>
  <c r="AF135" i="53"/>
  <c r="AF141" i="51"/>
  <c r="M271" i="54"/>
  <c r="AF271" i="53"/>
  <c r="AF106" i="53"/>
  <c r="M106" i="54"/>
  <c r="AF99" i="51"/>
  <c r="AZ30" i="66"/>
  <c r="AF30" i="66"/>
  <c r="T30" i="66"/>
  <c r="AP30" i="66" s="1"/>
  <c r="AF253" i="53"/>
  <c r="M253" i="54"/>
  <c r="AE27" i="56"/>
  <c r="AT27" i="56"/>
  <c r="M94" i="54"/>
  <c r="AF94" i="53"/>
  <c r="AF114" i="51"/>
  <c r="AF113" i="51"/>
  <c r="AE189" i="56"/>
  <c r="AT189" i="56"/>
  <c r="AF238" i="51"/>
  <c r="AF233" i="53"/>
  <c r="M233" i="54"/>
  <c r="M33" i="54"/>
  <c r="AF33" i="53"/>
  <c r="AF152" i="53"/>
  <c r="M152" i="54"/>
  <c r="AF235" i="51"/>
  <c r="AF21" i="51"/>
  <c r="AT196" i="56"/>
  <c r="AE196" i="56"/>
  <c r="AF88" i="51"/>
  <c r="AT67" i="56"/>
  <c r="AE67" i="56"/>
  <c r="AT157" i="56"/>
  <c r="AE157" i="56"/>
  <c r="AE286" i="56"/>
  <c r="AT286" i="56"/>
  <c r="AE285" i="56"/>
  <c r="AT285" i="56"/>
  <c r="AE222" i="56"/>
  <c r="AT222" i="56"/>
  <c r="AE155" i="56"/>
  <c r="AT155" i="56"/>
  <c r="AF284" i="51"/>
  <c r="AF23" i="51"/>
  <c r="AF36" i="51"/>
  <c r="AT179" i="56"/>
  <c r="AE179" i="56"/>
  <c r="AE45" i="56"/>
  <c r="AT45" i="56"/>
  <c r="M251" i="54"/>
  <c r="AF251" i="53"/>
  <c r="M13" i="53"/>
  <c r="AF13" i="53" s="1"/>
  <c r="AF15" i="53"/>
  <c r="M15" i="54"/>
  <c r="AF71" i="51"/>
  <c r="AT58" i="56"/>
  <c r="AE58" i="56"/>
  <c r="AF82" i="51"/>
  <c r="AE147" i="56"/>
  <c r="AT147" i="56"/>
  <c r="AF125" i="51"/>
  <c r="AE190" i="56"/>
  <c r="AT190" i="56"/>
  <c r="AT221" i="56"/>
  <c r="AE221" i="56"/>
  <c r="AF178" i="51"/>
  <c r="AF148" i="51"/>
  <c r="AF230" i="51"/>
  <c r="AF290" i="51"/>
  <c r="AF128" i="51"/>
  <c r="M261" i="54"/>
  <c r="AF261" i="53"/>
  <c r="M133" i="54"/>
  <c r="AF133" i="53"/>
  <c r="AF274" i="53"/>
  <c r="M274" i="54"/>
  <c r="AF257" i="53"/>
  <c r="M257" i="54"/>
  <c r="AF136" i="53"/>
  <c r="M136" i="54"/>
  <c r="AF212" i="53"/>
  <c r="M212" i="54"/>
  <c r="AF258" i="53"/>
  <c r="M258" i="54"/>
  <c r="M17" i="54"/>
  <c r="AF17" i="53"/>
  <c r="AE166" i="56"/>
  <c r="AT166" i="56"/>
  <c r="AT70" i="56"/>
  <c r="AE70" i="56"/>
  <c r="AE85" i="56"/>
  <c r="AT85" i="56"/>
  <c r="AF296" i="51"/>
  <c r="AF16" i="51"/>
  <c r="AE66" i="56"/>
  <c r="AT66" i="56"/>
  <c r="AT107" i="56"/>
  <c r="AE107" i="56"/>
  <c r="AT125" i="56"/>
  <c r="AE125" i="56"/>
  <c r="AT256" i="56"/>
  <c r="AE256" i="56"/>
  <c r="AE148" i="56"/>
  <c r="AT148" i="56"/>
  <c r="AF97" i="51"/>
  <c r="AF167" i="51"/>
  <c r="M231" i="54"/>
  <c r="AF231" i="53"/>
  <c r="AF303" i="53"/>
  <c r="M303" i="54"/>
  <c r="M54" i="54"/>
  <c r="AF54" i="53"/>
  <c r="M192" i="54"/>
  <c r="AF192" i="53"/>
  <c r="AF96" i="51"/>
  <c r="AF87" i="51"/>
  <c r="AF152" i="51"/>
  <c r="S22" i="66"/>
  <c r="AE22" i="66"/>
  <c r="AE32" i="56"/>
  <c r="AT32" i="56"/>
  <c r="AT223" i="56"/>
  <c r="AE223" i="56"/>
  <c r="AE293" i="56"/>
  <c r="AT293" i="56"/>
  <c r="AT232" i="56"/>
  <c r="AE232" i="56"/>
  <c r="AE167" i="56"/>
  <c r="AT167" i="56"/>
  <c r="AF140" i="53"/>
  <c r="M140" i="54"/>
  <c r="M91" i="54"/>
  <c r="AF91" i="53"/>
  <c r="AF149" i="53"/>
  <c r="M149" i="54"/>
  <c r="AF275" i="53"/>
  <c r="M275" i="54"/>
  <c r="AF227" i="53"/>
  <c r="M227" i="54"/>
  <c r="M34" i="54"/>
  <c r="AF34" i="53"/>
  <c r="H22" i="60"/>
  <c r="H75" i="15" s="1"/>
  <c r="T25" i="60"/>
  <c r="AE96" i="56"/>
  <c r="AT96" i="56"/>
  <c r="AT202" i="56"/>
  <c r="AE202" i="56"/>
  <c r="AT40" i="56"/>
  <c r="AE40" i="56"/>
  <c r="AE271" i="56"/>
  <c r="AT271" i="56"/>
  <c r="AT152" i="56"/>
  <c r="AE152" i="56"/>
  <c r="AF94" i="51"/>
  <c r="AF200" i="51"/>
  <c r="AF31" i="51"/>
  <c r="M131" i="54"/>
  <c r="AF131" i="53"/>
  <c r="M174" i="54"/>
  <c r="AF174" i="53"/>
  <c r="M245" i="54"/>
  <c r="AF245" i="53"/>
  <c r="M112" i="54"/>
  <c r="AF112" i="53"/>
  <c r="M178" i="54"/>
  <c r="AF178" i="53"/>
  <c r="AE264" i="56"/>
  <c r="AT264" i="56"/>
  <c r="AE83" i="56"/>
  <c r="AT83" i="56"/>
  <c r="AF289" i="51"/>
  <c r="AT289" i="56"/>
  <c r="AE289" i="56"/>
  <c r="M87" i="54"/>
  <c r="AF87" i="53"/>
  <c r="AF265" i="51"/>
  <c r="AE307" i="56"/>
  <c r="AT307" i="56"/>
  <c r="AT92" i="56"/>
  <c r="AE92" i="56"/>
  <c r="AE130" i="56"/>
  <c r="AT130" i="56"/>
  <c r="AF122" i="51"/>
  <c r="AT168" i="56"/>
  <c r="AE168" i="56"/>
  <c r="AF76" i="53"/>
  <c r="M76" i="54"/>
  <c r="H90" i="66"/>
  <c r="AF24" i="51"/>
  <c r="AF66" i="51"/>
  <c r="M37" i="54"/>
  <c r="AF37" i="53"/>
  <c r="M42" i="54"/>
  <c r="AF42" i="53"/>
  <c r="AT197" i="56"/>
  <c r="AE197" i="56"/>
  <c r="AF35" i="53"/>
  <c r="M35" i="54"/>
  <c r="M277" i="54"/>
  <c r="AF277" i="53"/>
  <c r="AE53" i="56"/>
  <c r="AT53" i="56"/>
  <c r="AF227" i="51"/>
  <c r="AE68" i="56"/>
  <c r="AT68" i="56"/>
  <c r="AF184" i="51"/>
  <c r="M163" i="54"/>
  <c r="AF163" i="53"/>
  <c r="M187" i="54"/>
  <c r="AF187" i="53"/>
  <c r="AF105" i="53"/>
  <c r="M105" i="54"/>
  <c r="AT160" i="56"/>
  <c r="AE160" i="56"/>
  <c r="AF303" i="51"/>
  <c r="AF95" i="51"/>
  <c r="AF249" i="51"/>
  <c r="AF304" i="51"/>
  <c r="AT209" i="56"/>
  <c r="AE209" i="56"/>
  <c r="AE151" i="56"/>
  <c r="AT151" i="56"/>
  <c r="AT36" i="56"/>
  <c r="AE36" i="56"/>
  <c r="AF181" i="51"/>
  <c r="AE138" i="56"/>
  <c r="AT138" i="56"/>
  <c r="M161" i="54"/>
  <c r="AF161" i="53"/>
  <c r="AF62" i="53"/>
  <c r="M62" i="54"/>
  <c r="M287" i="54"/>
  <c r="AF287" i="53"/>
  <c r="M177" i="54"/>
  <c r="AF177" i="53"/>
  <c r="M267" i="54"/>
  <c r="AF267" i="53"/>
  <c r="AF172" i="53"/>
  <c r="M172" i="54"/>
  <c r="AF298" i="51"/>
  <c r="AE274" i="56"/>
  <c r="AT274" i="56"/>
  <c r="AF264" i="51"/>
  <c r="AF39" i="51"/>
  <c r="AE294" i="56"/>
  <c r="AT294" i="56"/>
  <c r="AE242" i="56"/>
  <c r="AT242" i="56"/>
  <c r="AE287" i="56"/>
  <c r="AT287" i="56"/>
  <c r="AF231" i="51"/>
  <c r="AE177" i="56"/>
  <c r="AT177" i="56"/>
  <c r="AF163" i="51"/>
  <c r="AE201" i="56"/>
  <c r="AT201" i="56"/>
  <c r="M270" i="54"/>
  <c r="AF270" i="53"/>
  <c r="AF59" i="53"/>
  <c r="M59" i="54"/>
  <c r="M23" i="54"/>
  <c r="AF23" i="53"/>
  <c r="AE186" i="56"/>
  <c r="AT186" i="56"/>
  <c r="AT203" i="56"/>
  <c r="AE203" i="56"/>
  <c r="AF111" i="51"/>
  <c r="AF164" i="51"/>
  <c r="AT193" i="56"/>
  <c r="AE193" i="56"/>
  <c r="AF229" i="51"/>
  <c r="AF78" i="51"/>
  <c r="M151" i="54"/>
  <c r="AF151" i="53"/>
  <c r="M276" i="54"/>
  <c r="AF276" i="53"/>
  <c r="M307" i="54"/>
  <c r="AF307" i="53"/>
  <c r="M247" i="54"/>
  <c r="AF247" i="53"/>
  <c r="M99" i="54"/>
  <c r="AF99" i="53"/>
  <c r="S18" i="66"/>
  <c r="AO18" i="66" s="1"/>
  <c r="AE18" i="66"/>
  <c r="AE76" i="56"/>
  <c r="AT76" i="56"/>
  <c r="AF75" i="51"/>
  <c r="AF68" i="51"/>
  <c r="M264" i="54"/>
  <c r="AF264" i="53"/>
  <c r="AF28" i="51"/>
  <c r="M31" i="54"/>
  <c r="AF31" i="53"/>
  <c r="AE19" i="56"/>
  <c r="AT19" i="56"/>
  <c r="AE62" i="56"/>
  <c r="AT62" i="56"/>
  <c r="AE253" i="56"/>
  <c r="AT253" i="56"/>
  <c r="M113" i="54"/>
  <c r="AF113" i="53"/>
  <c r="M124" i="54"/>
  <c r="AF124" i="53"/>
  <c r="AF86" i="51"/>
  <c r="S11" i="66"/>
  <c r="AO11" i="66" s="1"/>
  <c r="F109" i="66"/>
  <c r="AE11" i="66"/>
  <c r="AF248" i="51"/>
  <c r="AE41" i="56"/>
  <c r="AT41" i="56"/>
  <c r="M220" i="54"/>
  <c r="AF220" i="53"/>
  <c r="M246" i="54"/>
  <c r="AF246" i="53"/>
  <c r="AE137" i="56"/>
  <c r="AT137" i="56"/>
  <c r="AE208" i="56"/>
  <c r="AT208" i="56"/>
  <c r="AF62" i="51"/>
  <c r="AE104" i="56"/>
  <c r="AT104" i="56"/>
  <c r="AF143" i="51"/>
  <c r="AF228" i="51"/>
  <c r="AF130" i="51"/>
  <c r="AT204" i="56"/>
  <c r="AE204" i="56"/>
  <c r="AF121" i="51"/>
  <c r="AF243" i="53"/>
  <c r="M243" i="54"/>
  <c r="M61" i="54"/>
  <c r="AF61" i="53"/>
  <c r="AF27" i="53"/>
  <c r="M27" i="54"/>
  <c r="AF61" i="51"/>
  <c r="AE28" i="56"/>
  <c r="AT28" i="56"/>
  <c r="AF203" i="53"/>
  <c r="M203" i="54"/>
  <c r="M92" i="54"/>
  <c r="AF92" i="53"/>
  <c r="M22" i="54"/>
  <c r="AF22" i="53"/>
  <c r="M129" i="54"/>
  <c r="AF129" i="53"/>
  <c r="M148" i="54"/>
  <c r="AF148" i="53"/>
  <c r="AT106" i="56"/>
  <c r="AE106" i="56"/>
  <c r="AF234" i="51"/>
  <c r="AF244" i="51"/>
  <c r="M70" i="54"/>
  <c r="AF70" i="53"/>
  <c r="M18" i="54"/>
  <c r="AF18" i="53"/>
  <c r="M218" i="54"/>
  <c r="AF218" i="53"/>
  <c r="AF96" i="53"/>
  <c r="M96" i="54"/>
  <c r="M248" i="54"/>
  <c r="AF248" i="53"/>
  <c r="AE172" i="56"/>
  <c r="AT172" i="56"/>
  <c r="AE54" i="56"/>
  <c r="AT54" i="56"/>
  <c r="AF236" i="51"/>
  <c r="AF51" i="51"/>
  <c r="AT33" i="56"/>
  <c r="AE33" i="56"/>
  <c r="S20" i="66"/>
  <c r="AE20" i="66"/>
  <c r="AF193" i="51"/>
  <c r="AT243" i="56"/>
  <c r="AE243" i="56"/>
  <c r="AF142" i="51"/>
  <c r="AF181" i="53"/>
  <c r="M181" i="54"/>
  <c r="M102" i="54"/>
  <c r="AF102" i="53"/>
  <c r="M154" i="54"/>
  <c r="AF154" i="53"/>
  <c r="AF53" i="53"/>
  <c r="M53" i="54"/>
  <c r="H91" i="66"/>
  <c r="AF48" i="51"/>
  <c r="AF294" i="51"/>
  <c r="AF147" i="51"/>
  <c r="AE89" i="56"/>
  <c r="AT89" i="56"/>
  <c r="AF269" i="51"/>
  <c r="AT145" i="56"/>
  <c r="AE145" i="56"/>
  <c r="AF189" i="51"/>
  <c r="AF17" i="51"/>
  <c r="AT237" i="56"/>
  <c r="AE237" i="56"/>
  <c r="AT131" i="56"/>
  <c r="AE131" i="56"/>
  <c r="AF45" i="51"/>
  <c r="AF119" i="51"/>
  <c r="M223" i="54"/>
  <c r="AF223" i="53"/>
  <c r="AF159" i="53"/>
  <c r="M159" i="54"/>
  <c r="M125" i="54"/>
  <c r="AF125" i="53"/>
  <c r="M302" i="54"/>
  <c r="AF302" i="53"/>
  <c r="AF56" i="53"/>
  <c r="M56" i="54"/>
  <c r="AF67" i="53"/>
  <c r="M67" i="54"/>
  <c r="AF165" i="53"/>
  <c r="M165" i="54"/>
  <c r="AE215" i="56"/>
  <c r="AT215" i="56"/>
  <c r="AF54" i="51"/>
  <c r="AE263" i="56"/>
  <c r="AT263" i="56"/>
  <c r="AF225" i="51"/>
  <c r="AT164" i="56"/>
  <c r="AE164" i="56"/>
  <c r="AT18" i="56"/>
  <c r="AE18" i="56"/>
  <c r="AE169" i="56"/>
  <c r="AT169" i="56"/>
  <c r="AF300" i="51"/>
  <c r="M292" i="54"/>
  <c r="AF292" i="53"/>
  <c r="M225" i="54"/>
  <c r="AF225" i="53"/>
  <c r="AF218" i="51"/>
  <c r="AF172" i="51"/>
  <c r="AF306" i="51"/>
  <c r="AF53" i="51"/>
  <c r="AE248" i="56"/>
  <c r="AT248" i="56"/>
  <c r="AT258" i="56"/>
  <c r="AE258" i="56"/>
  <c r="M216" i="54"/>
  <c r="AF216" i="53"/>
  <c r="AE218" i="56"/>
  <c r="AT218" i="56"/>
  <c r="AE174" i="56"/>
  <c r="AT174" i="56"/>
  <c r="AT61" i="56"/>
  <c r="AE61" i="56"/>
  <c r="AF58" i="51"/>
  <c r="AT273" i="56"/>
  <c r="AE273" i="56"/>
  <c r="AF221" i="51"/>
  <c r="AF293" i="51"/>
  <c r="AF275" i="51"/>
  <c r="AT267" i="56"/>
  <c r="AE267" i="56"/>
  <c r="AE261" i="56"/>
  <c r="AT261" i="56"/>
  <c r="M158" i="54"/>
  <c r="AF158" i="53"/>
  <c r="M208" i="54"/>
  <c r="AF208" i="53"/>
  <c r="AF84" i="51"/>
  <c r="AF283" i="51"/>
  <c r="AT122" i="56"/>
  <c r="AE122" i="56"/>
  <c r="AF90" i="51"/>
  <c r="AE272" i="56"/>
  <c r="AT272" i="56"/>
  <c r="AE43" i="56"/>
  <c r="AT43" i="56"/>
  <c r="AF60" i="51"/>
  <c r="AF209" i="51"/>
  <c r="AF168" i="51"/>
  <c r="AF140" i="51"/>
  <c r="M153" i="54"/>
  <c r="AF153" i="53"/>
  <c r="M194" i="54"/>
  <c r="AF194" i="53"/>
  <c r="M285" i="54"/>
  <c r="AF285" i="53"/>
  <c r="M114" i="54"/>
  <c r="AF114" i="53"/>
  <c r="M255" i="54"/>
  <c r="AF255" i="53"/>
  <c r="AF33" i="66"/>
  <c r="T33" i="66"/>
  <c r="AP33" i="66" s="1"/>
  <c r="AZ33" i="66"/>
  <c r="AF199" i="51"/>
  <c r="AE236" i="56"/>
  <c r="AT236" i="56"/>
  <c r="AT42" i="56"/>
  <c r="AE42" i="56"/>
  <c r="AF302" i="51"/>
  <c r="AF170" i="51"/>
  <c r="AF295" i="51"/>
  <c r="AF85" i="51"/>
  <c r="AE55" i="56"/>
  <c r="AT55" i="56"/>
  <c r="AT64" i="56"/>
  <c r="AE64" i="56"/>
  <c r="AE241" i="56"/>
  <c r="AT241" i="56"/>
  <c r="AE304" i="56"/>
  <c r="AT304" i="56"/>
  <c r="AF254" i="51"/>
  <c r="M120" i="54"/>
  <c r="AF120" i="53"/>
  <c r="M202" i="54"/>
  <c r="AF202" i="53"/>
  <c r="M52" i="54"/>
  <c r="AF52" i="53"/>
  <c r="M219" i="54"/>
  <c r="AF219" i="53"/>
  <c r="AF165" i="51"/>
  <c r="AF83" i="51"/>
  <c r="AF126" i="51"/>
  <c r="AE30" i="56"/>
  <c r="AT30" i="56"/>
  <c r="AF208" i="51"/>
  <c r="AT52" i="56"/>
  <c r="AE52" i="56"/>
  <c r="AT240" i="56"/>
  <c r="AE240" i="56"/>
  <c r="AE23" i="56"/>
  <c r="AT23" i="56"/>
  <c r="AE181" i="56"/>
  <c r="AT181" i="56"/>
  <c r="AT15" i="56"/>
  <c r="AE15" i="56"/>
  <c r="AF250" i="53"/>
  <c r="M250" i="54"/>
  <c r="M73" i="54"/>
  <c r="AF73" i="53"/>
  <c r="M83" i="54"/>
  <c r="AF83" i="53"/>
  <c r="M179" i="54"/>
  <c r="AF179" i="53"/>
  <c r="M168" i="54"/>
  <c r="AF168" i="53"/>
  <c r="AF45" i="53"/>
  <c r="M45" i="54"/>
  <c r="AT132" i="56"/>
  <c r="AE132" i="56"/>
  <c r="AE65" i="56"/>
  <c r="AT65" i="56"/>
  <c r="AT281" i="56"/>
  <c r="AE281" i="56"/>
  <c r="AF74" i="51"/>
  <c r="AE265" i="56"/>
  <c r="AT265" i="56"/>
  <c r="AE105" i="56"/>
  <c r="AT105" i="56"/>
  <c r="AF154" i="51"/>
  <c r="S5" i="66"/>
  <c r="AO5" i="66" s="1"/>
  <c r="F103" i="66"/>
  <c r="AE5" i="66"/>
  <c r="AF197" i="51"/>
  <c r="AF37" i="51"/>
  <c r="M201" i="54"/>
  <c r="AF201" i="53"/>
  <c r="AF38" i="53"/>
  <c r="M38" i="54"/>
  <c r="M256" i="54"/>
  <c r="AF256" i="53"/>
  <c r="M97" i="54"/>
  <c r="AF97" i="53"/>
  <c r="AF251" i="51"/>
  <c r="AT297" i="56"/>
  <c r="AE297" i="56"/>
  <c r="AF183" i="51"/>
  <c r="AF176" i="51"/>
  <c r="AF213" i="51"/>
  <c r="AE280" i="56"/>
  <c r="AT280" i="56"/>
  <c r="AF155" i="51"/>
  <c r="AE188" i="56"/>
  <c r="AT188" i="56"/>
  <c r="AF18" i="51"/>
  <c r="S73" i="66"/>
  <c r="AO73" i="66" s="1"/>
  <c r="AE73" i="66"/>
  <c r="AY73" i="66"/>
  <c r="M215" i="54"/>
  <c r="AF215" i="53"/>
  <c r="M30" i="54"/>
  <c r="AF30" i="53"/>
  <c r="AF205" i="51"/>
  <c r="AT26" i="56"/>
  <c r="AE26" i="56"/>
  <c r="AE159" i="56"/>
  <c r="AT159" i="56"/>
  <c r="AE121" i="56"/>
  <c r="AT121" i="56"/>
  <c r="AF32" i="51"/>
  <c r="M65" i="54"/>
  <c r="AF65" i="53"/>
  <c r="AT46" i="56"/>
  <c r="AE46" i="56"/>
  <c r="M64" i="54"/>
  <c r="AF64" i="53"/>
  <c r="M234" i="54"/>
  <c r="AF234" i="53"/>
  <c r="AE93" i="56"/>
  <c r="AT93" i="56"/>
  <c r="AE296" i="56"/>
  <c r="AT296" i="56"/>
  <c r="M134" i="54"/>
  <c r="AF134" i="53"/>
  <c r="AE282" i="56"/>
  <c r="AT282" i="56"/>
  <c r="AE212" i="56"/>
  <c r="AT212" i="56"/>
  <c r="AT48" i="56"/>
  <c r="AE48" i="56"/>
  <c r="AF187" i="51"/>
  <c r="AF169" i="53"/>
  <c r="M169" i="54"/>
  <c r="AF204" i="51"/>
  <c r="AF263" i="53"/>
  <c r="M263" i="54"/>
  <c r="AF173" i="51"/>
  <c r="AF285" i="51"/>
  <c r="AF80" i="51"/>
  <c r="AE291" i="56"/>
  <c r="AT291" i="56"/>
  <c r="AT24" i="56"/>
  <c r="AE24" i="56"/>
  <c r="AE220" i="56"/>
  <c r="AT220" i="56"/>
  <c r="AF182" i="53"/>
  <c r="M182" i="54"/>
  <c r="AF144" i="51"/>
  <c r="AT50" i="56"/>
  <c r="AE50" i="56"/>
  <c r="AF56" i="51"/>
  <c r="AF156" i="51"/>
  <c r="AF206" i="51"/>
  <c r="M171" i="54"/>
  <c r="AF171" i="53"/>
  <c r="M123" i="54"/>
  <c r="AF123" i="53"/>
  <c r="M85" i="54"/>
  <c r="AF85" i="53"/>
  <c r="AF214" i="53"/>
  <c r="M214" i="54"/>
  <c r="AE127" i="56"/>
  <c r="AT127" i="56"/>
  <c r="AF116" i="51"/>
  <c r="AE187" i="56"/>
  <c r="AT187" i="56"/>
  <c r="AE276" i="56"/>
  <c r="AT276" i="56"/>
  <c r="AF179" i="51"/>
  <c r="AF136" i="51"/>
  <c r="M301" i="54"/>
  <c r="AF301" i="53"/>
  <c r="M130" i="54"/>
  <c r="AF130" i="53"/>
  <c r="M155" i="54"/>
  <c r="AF155" i="53"/>
  <c r="M167" i="54"/>
  <c r="AF167" i="53"/>
  <c r="AF82" i="53"/>
  <c r="M82" i="54"/>
  <c r="AF26" i="53"/>
  <c r="M26" i="54"/>
  <c r="M69" i="54"/>
  <c r="AF69" i="53"/>
  <c r="AF277" i="51"/>
  <c r="AF268" i="51"/>
  <c r="AE182" i="56"/>
  <c r="AT182" i="56"/>
  <c r="AE154" i="56"/>
  <c r="AT154" i="56"/>
  <c r="S17" i="66"/>
  <c r="AO17" i="66" s="1"/>
  <c r="H24" i="66"/>
  <c r="AE17" i="66"/>
  <c r="AE246" i="56"/>
  <c r="AT246" i="56"/>
  <c r="AE79" i="56"/>
  <c r="AT79" i="56"/>
  <c r="AE136" i="56"/>
  <c r="AT136" i="56"/>
  <c r="AF141" i="53"/>
  <c r="M141" i="54"/>
  <c r="M121" i="54"/>
  <c r="AF121" i="53"/>
  <c r="AF222" i="53"/>
  <c r="M222" i="54"/>
  <c r="M72" i="54"/>
  <c r="AF72" i="53"/>
  <c r="AZ36" i="66"/>
  <c r="T36" i="66"/>
  <c r="AP36" i="66" s="1"/>
  <c r="AF36" i="66"/>
  <c r="M232" i="54"/>
  <c r="AF232" i="53"/>
  <c r="AF244" i="53"/>
  <c r="M244" i="54"/>
  <c r="M74" i="54"/>
  <c r="AF74" i="53"/>
  <c r="S19" i="66"/>
  <c r="AO19" i="66" s="1"/>
  <c r="AE19" i="66"/>
  <c r="AE144" i="56"/>
  <c r="AT144" i="56"/>
  <c r="AE88" i="56"/>
  <c r="AT88" i="56"/>
  <c r="AF64" i="51"/>
  <c r="AF292" i="51"/>
  <c r="AT194" i="56"/>
  <c r="AE194" i="56"/>
  <c r="AF29" i="51"/>
  <c r="AF180" i="51"/>
  <c r="AF281" i="53"/>
  <c r="M281" i="54"/>
  <c r="M143" i="54"/>
  <c r="AF143" i="53"/>
  <c r="M137" i="54"/>
  <c r="AF137" i="53"/>
  <c r="AF295" i="53"/>
  <c r="M295" i="54"/>
  <c r="AF68" i="53"/>
  <c r="M68" i="54"/>
  <c r="M269" i="54"/>
  <c r="AF269" i="53"/>
  <c r="M229" i="54"/>
  <c r="AF229" i="53"/>
  <c r="M166" i="54"/>
  <c r="AF166" i="53"/>
  <c r="M116" i="54"/>
  <c r="AF116" i="53"/>
  <c r="AF274" i="51"/>
  <c r="AE268" i="56"/>
  <c r="AT268" i="56"/>
  <c r="AF40" i="51"/>
  <c r="AF242" i="51"/>
  <c r="AF70" i="51"/>
  <c r="AT231" i="56"/>
  <c r="AE231" i="56"/>
  <c r="AF217" i="51"/>
  <c r="AF256" i="51"/>
  <c r="AF223" i="51"/>
  <c r="AF77" i="51"/>
  <c r="AE29" i="56"/>
  <c r="AT29" i="56"/>
  <c r="AT112" i="56"/>
  <c r="AE112" i="56"/>
  <c r="AF153" i="51"/>
  <c r="M146" i="54"/>
  <c r="AF146" i="53"/>
  <c r="M184" i="54"/>
  <c r="AF184" i="53"/>
  <c r="M196" i="54"/>
  <c r="AF196" i="53"/>
  <c r="AF272" i="53"/>
  <c r="M272" i="54"/>
  <c r="AF219" i="51"/>
  <c r="AF76" i="51"/>
  <c r="AF287" i="51"/>
  <c r="AF106" i="51"/>
  <c r="AE230" i="56"/>
  <c r="AT230" i="56"/>
  <c r="AE290" i="56"/>
  <c r="AT290" i="56"/>
  <c r="AE180" i="56"/>
  <c r="AT180" i="56"/>
  <c r="AF103" i="51"/>
  <c r="AE140" i="56"/>
  <c r="AT140" i="56"/>
  <c r="M252" i="54"/>
  <c r="AF252" i="53"/>
  <c r="AF122" i="53"/>
  <c r="M122" i="54"/>
  <c r="M117" i="54"/>
  <c r="AF117" i="53"/>
  <c r="M266" i="54"/>
  <c r="AF266" i="53"/>
  <c r="AF84" i="53"/>
  <c r="M84" i="54"/>
  <c r="AE59" i="56"/>
  <c r="AT59" i="56"/>
  <c r="AF132" i="51"/>
  <c r="AF202" i="51"/>
  <c r="AE257" i="56"/>
  <c r="AT257" i="56"/>
  <c r="AT161" i="56"/>
  <c r="AE161" i="56"/>
  <c r="AT302" i="56"/>
  <c r="AE302" i="56"/>
  <c r="AF282" i="51"/>
  <c r="AE128" i="56"/>
  <c r="AT128" i="56"/>
  <c r="M291" i="54"/>
  <c r="AF291" i="53"/>
  <c r="AF44" i="53"/>
  <c r="M44" i="54"/>
  <c r="M226" i="54"/>
  <c r="AF226" i="53"/>
  <c r="M104" i="54"/>
  <c r="AF104" i="53"/>
  <c r="M238" i="54"/>
  <c r="AF238" i="53"/>
  <c r="M55" i="54"/>
  <c r="AF55" i="53"/>
  <c r="AE217" i="56"/>
  <c r="AT217" i="56"/>
  <c r="AE192" i="56"/>
  <c r="AT192" i="56"/>
  <c r="AF104" i="51"/>
  <c r="AE249" i="56"/>
  <c r="AT249" i="56"/>
  <c r="AF91" i="51"/>
  <c r="AF191" i="51"/>
  <c r="AE73" i="56"/>
  <c r="AT73" i="56"/>
  <c r="M290" i="54"/>
  <c r="AF290" i="53"/>
  <c r="M127" i="54"/>
  <c r="AF127" i="53"/>
  <c r="M40" i="54"/>
  <c r="AF40" i="53"/>
  <c r="AF119" i="53"/>
  <c r="M119" i="54"/>
  <c r="AF44" i="51"/>
  <c r="AF252" i="51"/>
  <c r="AF19" i="51"/>
  <c r="AT301" i="56"/>
  <c r="AE301" i="56"/>
  <c r="M110" i="54"/>
  <c r="AF110" i="53"/>
  <c r="M51" i="54"/>
  <c r="AF51" i="53"/>
  <c r="AF255" i="51"/>
  <c r="AE117" i="56"/>
  <c r="AT117" i="56"/>
  <c r="M207" i="54"/>
  <c r="AF207" i="53"/>
  <c r="M43" i="54"/>
  <c r="AF43" i="53"/>
  <c r="AF260" i="51"/>
  <c r="AE80" i="56"/>
  <c r="AT80" i="56"/>
  <c r="AF112" i="51"/>
  <c r="M29" i="54"/>
  <c r="AF29" i="53"/>
  <c r="AT17" i="56"/>
  <c r="AE17" i="56"/>
  <c r="AE184" i="56"/>
  <c r="AT184" i="56"/>
  <c r="M162" i="54"/>
  <c r="AF162" i="53"/>
  <c r="AE134" i="56"/>
  <c r="AT134" i="56"/>
  <c r="AE259" i="56"/>
  <c r="AT259" i="56"/>
  <c r="AE229" i="56"/>
  <c r="AT229" i="56"/>
  <c r="M21" i="54"/>
  <c r="AF21" i="53"/>
  <c r="AT31" i="56"/>
  <c r="AE31" i="56"/>
  <c r="M236" i="54"/>
  <c r="AF236" i="53"/>
  <c r="AE115" i="56"/>
  <c r="AT115" i="56"/>
  <c r="AE146" i="56"/>
  <c r="AT146" i="56"/>
  <c r="AF291" i="51"/>
  <c r="AF47" i="51"/>
  <c r="AF226" i="51"/>
  <c r="AE91" i="56"/>
  <c r="AT91" i="56"/>
  <c r="AE200" i="56"/>
  <c r="AT200" i="56"/>
  <c r="AE37" i="56"/>
  <c r="AT37" i="56"/>
  <c r="AF258" i="51"/>
  <c r="AF262" i="53"/>
  <c r="M262" i="54"/>
  <c r="M109" i="54"/>
  <c r="AF109" i="53"/>
  <c r="M46" i="54"/>
  <c r="AF46" i="53"/>
  <c r="M304" i="54"/>
  <c r="AF304" i="53"/>
  <c r="AZ31" i="66"/>
  <c r="AF31" i="66"/>
  <c r="T31" i="66"/>
  <c r="AP31" i="66" s="1"/>
  <c r="AE39" i="56"/>
  <c r="AT39" i="56"/>
  <c r="AF182" i="51"/>
  <c r="AT252" i="56"/>
  <c r="AE252" i="56"/>
  <c r="AF89" i="51"/>
  <c r="AE224" i="56"/>
  <c r="AT224" i="56"/>
  <c r="AF253" i="51"/>
  <c r="AF267" i="51"/>
  <c r="AE206" i="56"/>
  <c r="AT206" i="56"/>
  <c r="AF221" i="53"/>
  <c r="M221" i="54"/>
  <c r="AZ35" i="66"/>
  <c r="AF35" i="66"/>
  <c r="T35" i="66"/>
  <c r="AP35" i="66" s="1"/>
  <c r="AF174" i="51"/>
  <c r="AF63" i="51"/>
  <c r="AE303" i="56"/>
  <c r="AT303" i="56"/>
  <c r="AF190" i="51"/>
  <c r="AE143" i="56"/>
  <c r="AT143" i="56"/>
  <c r="AT56" i="56"/>
  <c r="AE56" i="56"/>
  <c r="AF210" i="53"/>
  <c r="M210" i="54"/>
  <c r="M294" i="54"/>
  <c r="AF294" i="53"/>
  <c r="M299" i="54"/>
  <c r="AF299" i="53"/>
  <c r="M63" i="54"/>
  <c r="AF63" i="53"/>
  <c r="AF95" i="53"/>
  <c r="M95" i="54"/>
  <c r="AT277" i="56"/>
  <c r="AE277" i="56"/>
  <c r="AE205" i="56"/>
  <c r="AT205" i="56"/>
  <c r="AE255" i="56"/>
  <c r="AT255" i="56"/>
  <c r="AF34" i="51"/>
  <c r="AE207" i="56"/>
  <c r="AT207" i="56"/>
  <c r="AE233" i="56"/>
  <c r="AT233" i="56"/>
  <c r="AF38" i="51"/>
  <c r="AF72" i="51"/>
  <c r="AF57" i="51"/>
  <c r="AF243" i="51"/>
  <c r="AT238" i="56"/>
  <c r="AE238" i="56"/>
  <c r="AE228" i="56"/>
  <c r="AT228" i="56"/>
  <c r="M190" i="54"/>
  <c r="AF190" i="53"/>
  <c r="M280" i="54"/>
  <c r="AF280" i="53"/>
  <c r="AE34" i="56"/>
  <c r="AT34" i="56"/>
  <c r="AF271" i="51"/>
  <c r="AT126" i="56"/>
  <c r="AE126" i="56"/>
  <c r="AF109" i="51"/>
  <c r="AE129" i="56"/>
  <c r="AT129" i="56"/>
  <c r="AE227" i="56"/>
  <c r="AT227" i="56"/>
  <c r="AE234" i="56"/>
  <c r="AT234" i="56"/>
  <c r="AF198" i="51"/>
  <c r="AF118" i="51"/>
  <c r="AT57" i="56"/>
  <c r="AE57" i="56"/>
  <c r="AF138" i="51"/>
  <c r="M200" i="54"/>
  <c r="AF200" i="53"/>
  <c r="M100" i="54"/>
  <c r="AF100" i="53"/>
  <c r="M278" i="54"/>
  <c r="AF278" i="53"/>
  <c r="AF298" i="53"/>
  <c r="M298" i="54"/>
  <c r="AF36" i="53"/>
  <c r="M36" i="54"/>
  <c r="S6" i="66"/>
  <c r="AO6" i="66" s="1"/>
  <c r="AE6" i="66"/>
  <c r="F104" i="66"/>
  <c r="AF281" i="51"/>
  <c r="AE84" i="56"/>
  <c r="AT84" i="56"/>
  <c r="AT51" i="56"/>
  <c r="AE51" i="56"/>
  <c r="AF135" i="51"/>
  <c r="AE86" i="56"/>
  <c r="AT86" i="56"/>
  <c r="AF150" i="51"/>
  <c r="AE284" i="56"/>
  <c r="AT284" i="56"/>
  <c r="AE198" i="56"/>
  <c r="AT198" i="56"/>
  <c r="AT118" i="56"/>
  <c r="AE118" i="56"/>
  <c r="AF41" i="51"/>
  <c r="AF193" i="53"/>
  <c r="M101" i="54"/>
  <c r="AF101" i="53"/>
  <c r="M98" i="54"/>
  <c r="AF98" i="53"/>
  <c r="M77" i="54"/>
  <c r="AF77" i="53"/>
  <c r="M144" i="54"/>
  <c r="AF144" i="53"/>
  <c r="M29" i="15"/>
  <c r="M24" i="15"/>
  <c r="AF297" i="51"/>
  <c r="AF35" i="51"/>
  <c r="AF305" i="51"/>
  <c r="AT305" i="56"/>
  <c r="AE305" i="56"/>
  <c r="AF207" i="51"/>
  <c r="AF192" i="51"/>
  <c r="AE178" i="56"/>
  <c r="AT178" i="56"/>
  <c r="AE20" i="56"/>
  <c r="AT20" i="56"/>
  <c r="AE216" i="56"/>
  <c r="AT216" i="56"/>
  <c r="AT254" i="56"/>
  <c r="AE254" i="56"/>
  <c r="M183" i="54"/>
  <c r="AF183" i="53"/>
  <c r="M66" i="54"/>
  <c r="AF66" i="53"/>
  <c r="AF175" i="53"/>
  <c r="M175" i="54"/>
  <c r="AF198" i="53"/>
  <c r="M198" i="54"/>
  <c r="AE298" i="56"/>
  <c r="AT298" i="56"/>
  <c r="AE165" i="56"/>
  <c r="AT165" i="56"/>
  <c r="AE35" i="56"/>
  <c r="AT35" i="56"/>
  <c r="AF81" i="51"/>
  <c r="AE279" i="56"/>
  <c r="AT279" i="56"/>
  <c r="AE135" i="56"/>
  <c r="AT135" i="56"/>
  <c r="AF259" i="51"/>
  <c r="AF159" i="51"/>
  <c r="AF237" i="51"/>
  <c r="AF131" i="51"/>
  <c r="M90" i="54"/>
  <c r="AF90" i="53"/>
  <c r="M217" i="54"/>
  <c r="AF217" i="53"/>
  <c r="M185" i="54"/>
  <c r="AF185" i="53"/>
  <c r="M279" i="54"/>
  <c r="AF279" i="53"/>
  <c r="AE185" i="56"/>
  <c r="AT185" i="56"/>
  <c r="AF26" i="51"/>
  <c r="AE173" i="56"/>
  <c r="AT173" i="56"/>
  <c r="M79" i="54"/>
  <c r="AF79" i="53"/>
  <c r="AF246" i="51"/>
  <c r="AF170" i="53"/>
  <c r="M170" i="54"/>
  <c r="AF286" i="51"/>
  <c r="AE225" i="56"/>
  <c r="AT225" i="56"/>
  <c r="M300" i="54"/>
  <c r="AF300" i="53"/>
  <c r="AF284" i="53"/>
  <c r="M284" i="54"/>
  <c r="M268" i="54"/>
  <c r="AF268" i="53"/>
  <c r="AT306" i="56"/>
  <c r="AE306" i="56"/>
  <c r="AT183" i="56"/>
  <c r="AE183" i="56"/>
  <c r="AF133" i="51"/>
  <c r="AF73" i="51"/>
  <c r="M78" i="54"/>
  <c r="AF78" i="53"/>
  <c r="AF185" i="51"/>
  <c r="AF262" i="51"/>
  <c r="AF279" i="51"/>
  <c r="AE133" i="56"/>
  <c r="AT133" i="56"/>
  <c r="AF134" i="51"/>
  <c r="AE99" i="56"/>
  <c r="AT99" i="56"/>
  <c r="M160" i="54"/>
  <c r="AF160" i="53"/>
  <c r="AT111" i="56"/>
  <c r="AE111" i="56"/>
  <c r="M80" i="54"/>
  <c r="AF80" i="53"/>
  <c r="AF139" i="53"/>
  <c r="M139" i="54"/>
  <c r="AF164" i="53"/>
  <c r="M164" i="54"/>
  <c r="AE116" i="56"/>
  <c r="AT116" i="56"/>
  <c r="AF288" i="51"/>
  <c r="M211" i="54"/>
  <c r="AF211" i="53"/>
  <c r="AT44" i="56"/>
  <c r="AE44" i="56"/>
  <c r="AF224" i="51"/>
  <c r="S138" i="66"/>
  <c r="H145" i="66"/>
  <c r="S145" i="66" s="1"/>
  <c r="AF67" i="51"/>
  <c r="AF157" i="51"/>
  <c r="M283" i="54"/>
  <c r="AF283" i="53"/>
  <c r="M230" i="54"/>
  <c r="AF230" i="53"/>
  <c r="AF47" i="53"/>
  <c r="M47" i="54"/>
  <c r="AF110" i="51"/>
  <c r="AF171" i="51"/>
  <c r="AE176" i="56"/>
  <c r="AT176" i="56"/>
  <c r="AF115" i="51"/>
  <c r="AE156" i="56"/>
  <c r="AT156" i="56"/>
  <c r="AE78" i="56"/>
  <c r="AT78" i="56"/>
  <c r="AF307" i="51"/>
  <c r="AF213" i="53"/>
  <c r="M213" i="54"/>
  <c r="M39" i="54"/>
  <c r="AF39" i="53"/>
  <c r="M108" i="54"/>
  <c r="AF108" i="53"/>
  <c r="AF132" i="53"/>
  <c r="M132" i="54"/>
  <c r="M254" i="54"/>
  <c r="AF254" i="53"/>
  <c r="AF186" i="53"/>
  <c r="M186" i="54"/>
  <c r="AF142" i="53"/>
  <c r="M142" i="54"/>
  <c r="AE110" i="56"/>
  <c r="AT110" i="56"/>
  <c r="AF92" i="51"/>
  <c r="AF160" i="51"/>
  <c r="AE171" i="56"/>
  <c r="AT171" i="56"/>
  <c r="AF129" i="51"/>
  <c r="AE94" i="56"/>
  <c r="AT94" i="56"/>
  <c r="AE300" i="56"/>
  <c r="AT300" i="56"/>
  <c r="AE139" i="56"/>
  <c r="AT139" i="56"/>
  <c r="M173" i="54"/>
  <c r="AF173" i="53"/>
  <c r="M93" i="54"/>
  <c r="AF93" i="53"/>
  <c r="M107" i="54"/>
  <c r="AF107" i="53"/>
  <c r="M265" i="54"/>
  <c r="AF265" i="53"/>
  <c r="AF118" i="53"/>
  <c r="M118" i="54"/>
  <c r="AE213" i="56"/>
  <c r="AT213" i="56"/>
  <c r="AE270" i="56"/>
  <c r="AT270" i="56"/>
  <c r="AT98" i="56"/>
  <c r="AE98" i="56"/>
  <c r="AF52" i="51"/>
  <c r="AE123" i="56"/>
  <c r="AT123" i="56"/>
  <c r="AF151" i="51"/>
  <c r="AF46" i="51"/>
  <c r="AF75" i="53"/>
  <c r="M75" i="54"/>
  <c r="M199" i="54"/>
  <c r="AF199" i="53"/>
  <c r="M228" i="54"/>
  <c r="AF228" i="53"/>
  <c r="AF289" i="53"/>
  <c r="M289" i="54"/>
  <c r="M286" i="54"/>
  <c r="AF286" i="53"/>
  <c r="AT63" i="56"/>
  <c r="AE63" i="56"/>
  <c r="AF161" i="51"/>
  <c r="AF25" i="51"/>
  <c r="AE109" i="56"/>
  <c r="AT109" i="56"/>
  <c r="AF177" i="51"/>
  <c r="AF211" i="51"/>
  <c r="AF212" i="51"/>
  <c r="AE175" i="56"/>
  <c r="AT175" i="56"/>
  <c r="AT108" i="56"/>
  <c r="AE108" i="56"/>
  <c r="AF201" i="51"/>
  <c r="M240" i="54"/>
  <c r="AF240" i="53"/>
  <c r="M293" i="54"/>
  <c r="AF293" i="53"/>
  <c r="M288" i="54"/>
  <c r="AF288" i="53"/>
  <c r="N336" i="42"/>
  <c r="M305" i="54"/>
  <c r="AF305" i="53"/>
  <c r="AE71" i="56"/>
  <c r="AT71" i="56"/>
  <c r="AF101" i="51"/>
  <c r="AF100" i="51"/>
  <c r="AF30" i="51"/>
  <c r="AF233" i="51"/>
  <c r="AE295" i="56"/>
  <c r="AT295" i="56"/>
  <c r="AE77" i="56"/>
  <c r="AT77" i="56"/>
  <c r="AE275" i="56"/>
  <c r="AT275" i="56"/>
  <c r="AF216" i="51"/>
  <c r="AF162" i="51"/>
  <c r="AT120" i="56"/>
  <c r="AE120" i="56"/>
  <c r="AF241" i="53"/>
  <c r="M241" i="54"/>
  <c r="M156" i="54"/>
  <c r="AF156" i="53"/>
  <c r="M189" i="54"/>
  <c r="AF189" i="53"/>
  <c r="M138" i="54"/>
  <c r="AF138" i="53"/>
  <c r="AF49" i="51"/>
  <c r="AF102" i="51"/>
  <c r="AE195" i="56"/>
  <c r="AT195" i="56"/>
  <c r="AE199" i="56"/>
  <c r="AT199" i="56"/>
  <c r="AE25" i="56"/>
  <c r="AT25" i="56"/>
  <c r="AF158" i="51"/>
  <c r="AE100" i="56"/>
  <c r="AT100" i="56"/>
  <c r="AF239" i="51"/>
  <c r="AE153" i="56"/>
  <c r="AT153" i="56"/>
  <c r="AF180" i="53"/>
  <c r="M180" i="54"/>
  <c r="M209" i="54"/>
  <c r="AF209" i="53"/>
  <c r="M282" i="54"/>
  <c r="AF282" i="53"/>
  <c r="H92" i="66"/>
  <c r="AF33" i="51"/>
  <c r="AE95" i="56"/>
  <c r="AT95" i="56"/>
  <c r="AT239" i="56"/>
  <c r="AE239" i="56"/>
  <c r="AF188" i="51"/>
  <c r="AE211" i="56"/>
  <c r="AT211" i="56"/>
  <c r="AF276" i="51"/>
  <c r="AF245" i="51"/>
  <c r="M191" i="54"/>
  <c r="AF191" i="53"/>
  <c r="M60" i="54"/>
  <c r="AF60" i="53"/>
  <c r="M205" i="54"/>
  <c r="AF205" i="53"/>
  <c r="M297" i="54"/>
  <c r="AF297" i="53"/>
  <c r="AF137" i="51"/>
  <c r="AF22" i="51"/>
  <c r="AE81" i="56"/>
  <c r="AT81" i="56"/>
  <c r="AF278" i="51"/>
  <c r="AE250" i="56"/>
  <c r="AT250" i="56"/>
  <c r="S23" i="66"/>
  <c r="AO23" i="66" s="1"/>
  <c r="AE23" i="66"/>
  <c r="AE74" i="56"/>
  <c r="AT74" i="56"/>
  <c r="AT245" i="56"/>
  <c r="AE245" i="56"/>
  <c r="AE114" i="56"/>
  <c r="AT114" i="56"/>
  <c r="AE278" i="56"/>
  <c r="AT278" i="56"/>
  <c r="AE266" i="56"/>
  <c r="AT266" i="56"/>
  <c r="I37" i="66"/>
  <c r="N11" i="42"/>
  <c r="U8" i="60"/>
  <c r="AE13" i="42"/>
  <c r="N10" i="42"/>
  <c r="AF250" i="51"/>
  <c r="AF299" i="51"/>
  <c r="M19" i="54"/>
  <c r="AF19" i="53"/>
  <c r="AF257" i="51"/>
  <c r="AE124" i="56"/>
  <c r="AT124" i="56"/>
  <c r="AE142" i="56"/>
  <c r="AT142" i="56"/>
  <c r="AE101" i="56"/>
  <c r="AT101" i="56"/>
  <c r="AT210" i="56"/>
  <c r="AE210" i="56"/>
  <c r="AF146" i="51"/>
  <c r="AF145" i="51"/>
  <c r="AF117" i="51"/>
  <c r="AF79" i="51"/>
  <c r="M195" i="54"/>
  <c r="AF195" i="53"/>
  <c r="AF196" i="51"/>
  <c r="AF261" i="51"/>
  <c r="AZ32" i="66"/>
  <c r="T32" i="66"/>
  <c r="AP32" i="66" s="1"/>
  <c r="AF32" i="66"/>
  <c r="AF270" i="51"/>
  <c r="AE150" i="56"/>
  <c r="AT150" i="56"/>
  <c r="AF266" i="51"/>
  <c r="AF194" i="51"/>
  <c r="AF169" i="51"/>
  <c r="AF301" i="51"/>
  <c r="AE69" i="56"/>
  <c r="AT69" i="56"/>
  <c r="AT191" i="56"/>
  <c r="AE191" i="56"/>
  <c r="AT97" i="56"/>
  <c r="AE97" i="56"/>
  <c r="AF247" i="51"/>
  <c r="M103" i="54"/>
  <c r="AF103" i="53"/>
  <c r="M176" i="54"/>
  <c r="AF176" i="53"/>
  <c r="M126" i="54"/>
  <c r="AF126" i="53"/>
  <c r="M145" i="54"/>
  <c r="AF145" i="53"/>
  <c r="M224" i="54"/>
  <c r="AF224" i="53"/>
  <c r="M49" i="54"/>
  <c r="AF49" i="53"/>
  <c r="M48" i="54"/>
  <c r="AF48" i="53"/>
  <c r="AE251" i="56"/>
  <c r="AT251" i="56"/>
  <c r="AT22" i="56"/>
  <c r="AE22" i="56"/>
  <c r="AF273" i="51"/>
  <c r="AE163" i="56"/>
  <c r="AT163" i="56"/>
  <c r="AF139" i="51"/>
  <c r="AE247" i="56"/>
  <c r="AT247" i="56"/>
  <c r="AF115" i="53"/>
  <c r="M115" i="54"/>
  <c r="M32" i="54"/>
  <c r="AF32" i="53"/>
  <c r="M16" i="54"/>
  <c r="AF16" i="53"/>
  <c r="AF149" i="51"/>
  <c r="AF222" i="51"/>
  <c r="AE269" i="56"/>
  <c r="AT269" i="56"/>
  <c r="AF98" i="51"/>
  <c r="AT47" i="56"/>
  <c r="AE47" i="56"/>
  <c r="AE226" i="56"/>
  <c r="AT226" i="56"/>
  <c r="M150" i="54"/>
  <c r="AF150" i="53"/>
  <c r="M57" i="54"/>
  <c r="AF57" i="53"/>
  <c r="AF237" i="53"/>
  <c r="M237" i="54"/>
  <c r="M41" i="54"/>
  <c r="AF41" i="53"/>
  <c r="AE149" i="56"/>
  <c r="AT149" i="56"/>
  <c r="AE235" i="56"/>
  <c r="AT235" i="56"/>
  <c r="AE288" i="56"/>
  <c r="AT288" i="56"/>
  <c r="AF280" i="51"/>
  <c r="AF272" i="51"/>
  <c r="AF43" i="51"/>
  <c r="AF175" i="51"/>
  <c r="AE119" i="56"/>
  <c r="AT119" i="56"/>
  <c r="M28" i="54"/>
  <c r="AF28" i="53"/>
  <c r="M235" i="54"/>
  <c r="AF235" i="53"/>
  <c r="AF34" i="66"/>
  <c r="AZ34" i="66"/>
  <c r="T34" i="66"/>
  <c r="AP34" i="66" s="1"/>
  <c r="M25" i="54"/>
  <c r="AF25" i="53"/>
  <c r="AF59" i="51"/>
  <c r="AF195" i="51"/>
  <c r="AF166" i="51"/>
  <c r="AT260" i="56"/>
  <c r="AE260" i="56"/>
  <c r="AF42" i="51"/>
  <c r="AF210" i="51"/>
  <c r="AF55" i="51"/>
  <c r="AE214" i="56"/>
  <c r="AT214" i="56"/>
  <c r="AT38" i="56"/>
  <c r="AE38" i="56"/>
  <c r="AE72" i="56"/>
  <c r="AT72" i="56"/>
  <c r="AF241" i="51"/>
  <c r="AF240" i="51"/>
  <c r="AF124" i="51"/>
  <c r="AE141" i="56"/>
  <c r="AT141" i="56"/>
  <c r="AF120" i="51"/>
  <c r="AF71" i="53"/>
  <c r="M71" i="54"/>
  <c r="M239" i="54"/>
  <c r="AF239" i="53"/>
  <c r="M50" i="54"/>
  <c r="AF50" i="53"/>
  <c r="AF157" i="53"/>
  <c r="M157" i="54"/>
  <c r="AF88" i="53"/>
  <c r="M88" i="54"/>
  <c r="AF186" i="51"/>
  <c r="AF93" i="51"/>
  <c r="AT82" i="56"/>
  <c r="AE82" i="56"/>
  <c r="AE283" i="56"/>
  <c r="AT283" i="56"/>
  <c r="AF105" i="51"/>
  <c r="AT75" i="56"/>
  <c r="AE75" i="56"/>
  <c r="AE90" i="56"/>
  <c r="AT90" i="56"/>
  <c r="AT292" i="56"/>
  <c r="AE292" i="56"/>
  <c r="AE299" i="56"/>
  <c r="AT299" i="56"/>
  <c r="AF20" i="51"/>
  <c r="AF232" i="51"/>
  <c r="M260" i="54"/>
  <c r="AF260" i="53"/>
  <c r="M81" i="54"/>
  <c r="AF81" i="53"/>
  <c r="AF206" i="53"/>
  <c r="M206" i="54"/>
  <c r="AF259" i="53"/>
  <c r="M259" i="54"/>
  <c r="M197" i="54"/>
  <c r="AF197" i="53"/>
  <c r="AF127" i="51"/>
  <c r="AT219" i="56"/>
  <c r="AE219" i="56"/>
  <c r="AF215" i="51"/>
  <c r="AF65" i="51"/>
  <c r="AT16" i="56"/>
  <c r="AE16" i="56"/>
  <c r="AF203" i="51"/>
  <c r="AE60" i="56"/>
  <c r="AT60" i="56"/>
  <c r="AE244" i="56"/>
  <c r="AT244" i="56"/>
  <c r="AT103" i="56"/>
  <c r="AE103" i="56"/>
  <c r="AT162" i="56"/>
  <c r="AE162" i="56"/>
  <c r="S21" i="66"/>
  <c r="AO21" i="66" s="1"/>
  <c r="AE21" i="66"/>
  <c r="M111" i="54"/>
  <c r="AF111" i="53"/>
  <c r="M128" i="54"/>
  <c r="AF128" i="53"/>
  <c r="M249" i="54"/>
  <c r="AF249" i="53"/>
  <c r="M24" i="54"/>
  <c r="AF24" i="53"/>
  <c r="M89" i="54"/>
  <c r="AF89" i="53"/>
  <c r="AF58" i="53"/>
  <c r="M58" i="54"/>
  <c r="AE49" i="56"/>
  <c r="AT49" i="56"/>
  <c r="AE87" i="56"/>
  <c r="AT87" i="56"/>
  <c r="AT262" i="56"/>
  <c r="AE262" i="56"/>
  <c r="AE158" i="56"/>
  <c r="AT158" i="56"/>
  <c r="AE170" i="56"/>
  <c r="AT170" i="56"/>
  <c r="AF50" i="51"/>
  <c r="AF69" i="51"/>
  <c r="AF27" i="51"/>
  <c r="AF273" i="53"/>
  <c r="M273" i="54"/>
  <c r="M147" i="54"/>
  <c r="AF147" i="53"/>
  <c r="M86" i="54"/>
  <c r="AF86" i="53"/>
  <c r="AF306" i="53"/>
  <c r="M306" i="54"/>
  <c r="AF204" i="53"/>
  <c r="M204" i="54"/>
  <c r="M188" i="54"/>
  <c r="AF188" i="53"/>
  <c r="M20" i="54"/>
  <c r="AF20" i="53"/>
  <c r="AE102" i="56"/>
  <c r="AT102" i="56"/>
  <c r="AE7" i="66"/>
  <c r="F105" i="66"/>
  <c r="S7" i="66"/>
  <c r="AF107" i="51"/>
  <c r="AE113" i="56"/>
  <c r="AT113" i="56"/>
  <c r="AF214" i="51" l="1"/>
  <c r="AO22" i="66"/>
  <c r="AE21" i="56"/>
  <c r="L13" i="56"/>
  <c r="AE13" i="56" s="1"/>
  <c r="L7" i="56"/>
  <c r="F114" i="66" s="1"/>
  <c r="AO7" i="66"/>
  <c r="AD24" i="66"/>
  <c r="G155" i="66"/>
  <c r="R155" i="66" s="1"/>
  <c r="G152" i="66"/>
  <c r="R152" i="66" s="1"/>
  <c r="G154" i="66"/>
  <c r="R154" i="66" s="1"/>
  <c r="AS13" i="56"/>
  <c r="G153" i="66"/>
  <c r="R153" i="66" s="1"/>
  <c r="G97" i="66"/>
  <c r="AX97" i="66" s="1"/>
  <c r="AO20" i="66"/>
  <c r="K5" i="68"/>
  <c r="D125" i="66" s="1"/>
  <c r="K11" i="68"/>
  <c r="D131" i="66" s="1"/>
  <c r="R94" i="66"/>
  <c r="AN94" i="66" s="1"/>
  <c r="AD94" i="66"/>
  <c r="AX94" i="66"/>
  <c r="R12" i="66"/>
  <c r="AN12" i="66" s="1"/>
  <c r="AD12" i="66"/>
  <c r="R93" i="66"/>
  <c r="AN93" i="66" s="1"/>
  <c r="AD93" i="66"/>
  <c r="AX93" i="66"/>
  <c r="S34" i="60"/>
  <c r="G34" i="60" s="1"/>
  <c r="G32" i="60"/>
  <c r="K37" i="15"/>
  <c r="AD97" i="66"/>
  <c r="R97" i="66"/>
  <c r="AN97" i="66" s="1"/>
  <c r="M36" i="65"/>
  <c r="AF36" i="54"/>
  <c r="AZ36" i="54" s="1"/>
  <c r="BK36" i="54"/>
  <c r="AF166" i="54"/>
  <c r="AZ166" i="54" s="1"/>
  <c r="BK166" i="54"/>
  <c r="M166" i="65"/>
  <c r="M256" i="65"/>
  <c r="AF256" i="54"/>
  <c r="AZ256" i="54" s="1"/>
  <c r="BK256" i="54"/>
  <c r="H151" i="66"/>
  <c r="S151" i="66" s="1"/>
  <c r="AF246" i="54"/>
  <c r="AZ246" i="54" s="1"/>
  <c r="BK246" i="54"/>
  <c r="M246" i="65"/>
  <c r="AF113" i="54"/>
  <c r="AZ113" i="54" s="1"/>
  <c r="M113" i="65"/>
  <c r="BK113" i="54"/>
  <c r="BK276" i="54"/>
  <c r="M276" i="65"/>
  <c r="AF276" i="54"/>
  <c r="AZ276" i="54" s="1"/>
  <c r="M35" i="65"/>
  <c r="AF35" i="54"/>
  <c r="AZ35" i="54" s="1"/>
  <c r="BK35" i="54"/>
  <c r="BK37" i="54"/>
  <c r="M37" i="65"/>
  <c r="AF37" i="54"/>
  <c r="AZ37" i="54" s="1"/>
  <c r="AF112" i="54"/>
  <c r="AZ112" i="54" s="1"/>
  <c r="BK112" i="54"/>
  <c r="M112" i="65"/>
  <c r="M227" i="65"/>
  <c r="AF227" i="54"/>
  <c r="AZ227" i="54" s="1"/>
  <c r="BK227" i="54"/>
  <c r="M140" i="65"/>
  <c r="AF140" i="54"/>
  <c r="AZ140" i="54" s="1"/>
  <c r="BK140" i="54"/>
  <c r="AF231" i="54"/>
  <c r="AZ231" i="54" s="1"/>
  <c r="BK231" i="54"/>
  <c r="M231" i="65"/>
  <c r="M136" i="65"/>
  <c r="AF136" i="54"/>
  <c r="AZ136" i="54" s="1"/>
  <c r="BK136" i="54"/>
  <c r="M106" i="65"/>
  <c r="AF106" i="54"/>
  <c r="AZ106" i="54" s="1"/>
  <c r="BK106" i="54"/>
  <c r="AF204" i="54"/>
  <c r="AZ204" i="54" s="1"/>
  <c r="BK204" i="54"/>
  <c r="M204" i="65"/>
  <c r="M273" i="65"/>
  <c r="AF273" i="54"/>
  <c r="AZ273" i="54" s="1"/>
  <c r="BK273" i="54"/>
  <c r="M128" i="65"/>
  <c r="AF128" i="54"/>
  <c r="AZ128" i="54" s="1"/>
  <c r="BK128" i="54"/>
  <c r="M197" i="65"/>
  <c r="AF197" i="54"/>
  <c r="AZ197" i="54" s="1"/>
  <c r="BK197" i="54"/>
  <c r="BK260" i="54"/>
  <c r="M260" i="65"/>
  <c r="AF260" i="54"/>
  <c r="AZ260" i="54" s="1"/>
  <c r="M235" i="65"/>
  <c r="AF235" i="54"/>
  <c r="AZ235" i="54" s="1"/>
  <c r="BK235" i="54"/>
  <c r="AF41" i="54"/>
  <c r="AZ41" i="54" s="1"/>
  <c r="M41" i="65"/>
  <c r="BK41" i="54"/>
  <c r="BK48" i="54"/>
  <c r="I67" i="66"/>
  <c r="M48" i="65"/>
  <c r="AF48" i="54"/>
  <c r="AZ48" i="54" s="1"/>
  <c r="BK126" i="54"/>
  <c r="M126" i="65"/>
  <c r="AF126" i="54"/>
  <c r="AZ126" i="54" s="1"/>
  <c r="M195" i="65"/>
  <c r="BK195" i="54"/>
  <c r="AF195" i="54"/>
  <c r="AZ195" i="54" s="1"/>
  <c r="M19" i="65"/>
  <c r="AF19" i="54"/>
  <c r="AZ19" i="54" s="1"/>
  <c r="BK19" i="54"/>
  <c r="M191" i="65"/>
  <c r="AF191" i="54"/>
  <c r="AZ191" i="54" s="1"/>
  <c r="BK191" i="54"/>
  <c r="M118" i="65"/>
  <c r="AF118" i="54"/>
  <c r="AZ118" i="54" s="1"/>
  <c r="BK118" i="54"/>
  <c r="M108" i="65"/>
  <c r="BK108" i="54"/>
  <c r="AF108" i="54"/>
  <c r="AZ108" i="54" s="1"/>
  <c r="AF211" i="54"/>
  <c r="AZ211" i="54" s="1"/>
  <c r="M211" i="65"/>
  <c r="BK211" i="54"/>
  <c r="M139" i="65"/>
  <c r="BK139" i="54"/>
  <c r="AF139" i="54"/>
  <c r="AZ139" i="54" s="1"/>
  <c r="AF160" i="54"/>
  <c r="AZ160" i="54" s="1"/>
  <c r="BK160" i="54"/>
  <c r="M160" i="65"/>
  <c r="M78" i="65"/>
  <c r="AF78" i="54"/>
  <c r="AZ78" i="54" s="1"/>
  <c r="BK78" i="54"/>
  <c r="BK300" i="54"/>
  <c r="AF300" i="54"/>
  <c r="AZ300" i="54" s="1"/>
  <c r="M300" i="65"/>
  <c r="AF200" i="54"/>
  <c r="AZ200" i="54" s="1"/>
  <c r="M200" i="65"/>
  <c r="BK200" i="54"/>
  <c r="AF190" i="54"/>
  <c r="AZ190" i="54" s="1"/>
  <c r="M190" i="65"/>
  <c r="BK190" i="54"/>
  <c r="BK95" i="54"/>
  <c r="M95" i="65"/>
  <c r="AF95" i="54"/>
  <c r="AZ95" i="54" s="1"/>
  <c r="AF210" i="54"/>
  <c r="AZ210" i="54" s="1"/>
  <c r="M210" i="65"/>
  <c r="BK210" i="54"/>
  <c r="M46" i="65"/>
  <c r="BK46" i="54"/>
  <c r="AF46" i="54"/>
  <c r="AZ46" i="54" s="1"/>
  <c r="M207" i="65"/>
  <c r="BK207" i="54"/>
  <c r="AF207" i="54"/>
  <c r="AZ207" i="54" s="1"/>
  <c r="BK127" i="54"/>
  <c r="M127" i="65"/>
  <c r="AF127" i="54"/>
  <c r="AZ127" i="54" s="1"/>
  <c r="M238" i="65"/>
  <c r="BK238" i="54"/>
  <c r="AF238" i="54"/>
  <c r="AZ238" i="54" s="1"/>
  <c r="M291" i="65"/>
  <c r="AF291" i="54"/>
  <c r="AZ291" i="54" s="1"/>
  <c r="BK291" i="54"/>
  <c r="M232" i="65"/>
  <c r="AF232" i="54"/>
  <c r="AZ232" i="54" s="1"/>
  <c r="BK232" i="54"/>
  <c r="AF82" i="54"/>
  <c r="AZ82" i="54" s="1"/>
  <c r="M82" i="65"/>
  <c r="BK82" i="54"/>
  <c r="BK123" i="54"/>
  <c r="M123" i="65"/>
  <c r="AF123" i="54"/>
  <c r="AZ123" i="54" s="1"/>
  <c r="AF38" i="54"/>
  <c r="AZ38" i="54" s="1"/>
  <c r="M38" i="65"/>
  <c r="BK38" i="54"/>
  <c r="M73" i="65"/>
  <c r="BK73" i="54"/>
  <c r="AF73" i="54"/>
  <c r="AZ73" i="54" s="1"/>
  <c r="M219" i="65"/>
  <c r="BK219" i="54"/>
  <c r="AF219" i="54"/>
  <c r="AZ219" i="54" s="1"/>
  <c r="M216" i="65"/>
  <c r="AF216" i="54"/>
  <c r="AZ216" i="54" s="1"/>
  <c r="BK216" i="54"/>
  <c r="M225" i="65"/>
  <c r="AF225" i="54"/>
  <c r="AZ225" i="54" s="1"/>
  <c r="BK225" i="54"/>
  <c r="I72" i="66"/>
  <c r="BK22" i="54"/>
  <c r="M22" i="65"/>
  <c r="AF22" i="54"/>
  <c r="AZ22" i="54" s="1"/>
  <c r="AF270" i="54"/>
  <c r="AZ270" i="54" s="1"/>
  <c r="M270" i="65"/>
  <c r="BK270" i="54"/>
  <c r="M267" i="65"/>
  <c r="AF267" i="54"/>
  <c r="AZ267" i="54" s="1"/>
  <c r="BK267" i="54"/>
  <c r="AF161" i="54"/>
  <c r="AZ161" i="54" s="1"/>
  <c r="BK161" i="54"/>
  <c r="M161" i="65"/>
  <c r="M187" i="65"/>
  <c r="AF187" i="54"/>
  <c r="AZ187" i="54" s="1"/>
  <c r="BK187" i="54"/>
  <c r="BK87" i="54"/>
  <c r="M87" i="65"/>
  <c r="AF87" i="54"/>
  <c r="AZ87" i="54" s="1"/>
  <c r="BK261" i="54"/>
  <c r="M261" i="65"/>
  <c r="AF261" i="54"/>
  <c r="AZ261" i="54" s="1"/>
  <c r="BK253" i="54"/>
  <c r="M253" i="65"/>
  <c r="AF253" i="54"/>
  <c r="AZ253" i="54" s="1"/>
  <c r="BK16" i="54"/>
  <c r="I71" i="66"/>
  <c r="AF16" i="54"/>
  <c r="AZ16" i="54" s="1"/>
  <c r="M16" i="65"/>
  <c r="M194" i="65"/>
  <c r="BK194" i="54"/>
  <c r="AF194" i="54"/>
  <c r="AZ194" i="54" s="1"/>
  <c r="AY92" i="66"/>
  <c r="AE92" i="66"/>
  <c r="S92" i="66"/>
  <c r="AO92" i="66" s="1"/>
  <c r="M298" i="65"/>
  <c r="AF298" i="54"/>
  <c r="AZ298" i="54" s="1"/>
  <c r="BK298" i="54"/>
  <c r="AF250" i="54"/>
  <c r="AZ250" i="54" s="1"/>
  <c r="M250" i="65"/>
  <c r="BK250" i="54"/>
  <c r="M255" i="65"/>
  <c r="AF255" i="54"/>
  <c r="AZ255" i="54" s="1"/>
  <c r="BK255" i="54"/>
  <c r="AF153" i="54"/>
  <c r="AZ153" i="54" s="1"/>
  <c r="M153" i="65"/>
  <c r="BK153" i="54"/>
  <c r="M56" i="65"/>
  <c r="AF56" i="54"/>
  <c r="AZ56" i="54" s="1"/>
  <c r="BK56" i="54"/>
  <c r="BK102" i="54"/>
  <c r="M102" i="65"/>
  <c r="AF102" i="54"/>
  <c r="AZ102" i="54" s="1"/>
  <c r="M18" i="65"/>
  <c r="AF18" i="54"/>
  <c r="AZ18" i="54" s="1"/>
  <c r="BK18" i="54"/>
  <c r="M220" i="65"/>
  <c r="AF220" i="54"/>
  <c r="AZ220" i="54" s="1"/>
  <c r="BK220" i="54"/>
  <c r="M99" i="65"/>
  <c r="AF99" i="54"/>
  <c r="AZ99" i="54" s="1"/>
  <c r="BK99" i="54"/>
  <c r="AF151" i="54"/>
  <c r="AZ151" i="54" s="1"/>
  <c r="M151" i="65"/>
  <c r="BK151" i="54"/>
  <c r="M245" i="65"/>
  <c r="BK245" i="54"/>
  <c r="AF245" i="54"/>
  <c r="AZ245" i="54" s="1"/>
  <c r="AF275" i="54"/>
  <c r="AZ275" i="54" s="1"/>
  <c r="BK275" i="54"/>
  <c r="M275" i="65"/>
  <c r="M192" i="65"/>
  <c r="BK192" i="54"/>
  <c r="AF192" i="54"/>
  <c r="AZ192" i="54" s="1"/>
  <c r="M257" i="65"/>
  <c r="AF257" i="54"/>
  <c r="AZ257" i="54" s="1"/>
  <c r="BK257" i="54"/>
  <c r="AF251" i="54"/>
  <c r="AZ251" i="54" s="1"/>
  <c r="M251" i="65"/>
  <c r="BK251" i="54"/>
  <c r="M152" i="65"/>
  <c r="AF152" i="54"/>
  <c r="AZ152" i="54" s="1"/>
  <c r="BK152" i="54"/>
  <c r="M45" i="65"/>
  <c r="AF45" i="54"/>
  <c r="AZ45" i="54" s="1"/>
  <c r="BK45" i="54"/>
  <c r="M259" i="65"/>
  <c r="AF259" i="54"/>
  <c r="AZ259" i="54" s="1"/>
  <c r="BK259" i="54"/>
  <c r="M237" i="65"/>
  <c r="AF237" i="54"/>
  <c r="AZ237" i="54" s="1"/>
  <c r="BK237" i="54"/>
  <c r="M32" i="65"/>
  <c r="AF32" i="54"/>
  <c r="AZ32" i="54" s="1"/>
  <c r="BK32" i="54"/>
  <c r="AF193" i="54"/>
  <c r="AZ193" i="54" s="1"/>
  <c r="BK193" i="54"/>
  <c r="AF196" i="54"/>
  <c r="AZ196" i="54" s="1"/>
  <c r="BK196" i="54"/>
  <c r="M196" i="65"/>
  <c r="M137" i="65"/>
  <c r="BK137" i="54"/>
  <c r="AF137" i="54"/>
  <c r="AZ137" i="54" s="1"/>
  <c r="M111" i="65"/>
  <c r="AF111" i="54"/>
  <c r="AZ111" i="54" s="1"/>
  <c r="BK111" i="54"/>
  <c r="BK28" i="54"/>
  <c r="M28" i="65"/>
  <c r="AF28" i="54"/>
  <c r="AZ28" i="54" s="1"/>
  <c r="M115" i="65"/>
  <c r="BK115" i="54"/>
  <c r="AF115" i="54"/>
  <c r="AZ115" i="54" s="1"/>
  <c r="M49" i="65"/>
  <c r="BK49" i="54"/>
  <c r="AF49" i="54"/>
  <c r="AZ49" i="54" s="1"/>
  <c r="M176" i="65"/>
  <c r="BK176" i="54"/>
  <c r="AF176" i="54"/>
  <c r="AZ176" i="54" s="1"/>
  <c r="AZ37" i="66"/>
  <c r="AF37" i="66"/>
  <c r="T37" i="66"/>
  <c r="AP37" i="66" s="1"/>
  <c r="M297" i="65"/>
  <c r="AF297" i="54"/>
  <c r="AZ297" i="54" s="1"/>
  <c r="BK297" i="54"/>
  <c r="M39" i="65"/>
  <c r="AF39" i="54"/>
  <c r="AZ39" i="54" s="1"/>
  <c r="BK39" i="54"/>
  <c r="BK66" i="54"/>
  <c r="M66" i="65"/>
  <c r="AF66" i="54"/>
  <c r="AZ66" i="54" s="1"/>
  <c r="M109" i="65"/>
  <c r="AF109" i="54"/>
  <c r="AZ109" i="54" s="1"/>
  <c r="BK109" i="54"/>
  <c r="M21" i="65"/>
  <c r="AF21" i="54"/>
  <c r="AZ21" i="54" s="1"/>
  <c r="BK21" i="54"/>
  <c r="AF290" i="54"/>
  <c r="AZ290" i="54" s="1"/>
  <c r="M290" i="65"/>
  <c r="BK290" i="54"/>
  <c r="M104" i="65"/>
  <c r="AF104" i="54"/>
  <c r="AZ104" i="54" s="1"/>
  <c r="BK104" i="54"/>
  <c r="M141" i="65"/>
  <c r="AF141" i="54"/>
  <c r="AZ141" i="54" s="1"/>
  <c r="BK141" i="54"/>
  <c r="M171" i="65"/>
  <c r="AF171" i="54"/>
  <c r="AZ171" i="54" s="1"/>
  <c r="BK171" i="54"/>
  <c r="M65" i="65"/>
  <c r="AF65" i="54"/>
  <c r="AZ65" i="54" s="1"/>
  <c r="BK65" i="54"/>
  <c r="M168" i="65"/>
  <c r="AF168" i="54"/>
  <c r="AZ168" i="54" s="1"/>
  <c r="BK168" i="54"/>
  <c r="M52" i="65"/>
  <c r="BK52" i="54"/>
  <c r="AF52" i="54"/>
  <c r="AZ52" i="54" s="1"/>
  <c r="M208" i="65"/>
  <c r="BK208" i="54"/>
  <c r="AF208" i="54"/>
  <c r="AZ208" i="54" s="1"/>
  <c r="M292" i="65"/>
  <c r="BK292" i="54"/>
  <c r="AF292" i="54"/>
  <c r="AZ292" i="54" s="1"/>
  <c r="M223" i="65"/>
  <c r="AF223" i="54"/>
  <c r="AZ223" i="54" s="1"/>
  <c r="BK223" i="54"/>
  <c r="AY91" i="66"/>
  <c r="AE91" i="66"/>
  <c r="S91" i="66"/>
  <c r="AO91" i="66" s="1"/>
  <c r="M181" i="65"/>
  <c r="AF181" i="54"/>
  <c r="AZ181" i="54" s="1"/>
  <c r="BK181" i="54"/>
  <c r="M92" i="65"/>
  <c r="BK92" i="54"/>
  <c r="AF92" i="54"/>
  <c r="AZ92" i="54" s="1"/>
  <c r="M27" i="65"/>
  <c r="BK27" i="54"/>
  <c r="AF27" i="54"/>
  <c r="AZ27" i="54" s="1"/>
  <c r="M31" i="65"/>
  <c r="BK31" i="54"/>
  <c r="AF31" i="54"/>
  <c r="AZ31" i="54" s="1"/>
  <c r="AF177" i="54"/>
  <c r="AZ177" i="54" s="1"/>
  <c r="BK177" i="54"/>
  <c r="M177" i="65"/>
  <c r="AF163" i="54"/>
  <c r="AZ163" i="54" s="1"/>
  <c r="BK163" i="54"/>
  <c r="M163" i="65"/>
  <c r="I69" i="66"/>
  <c r="BK17" i="54"/>
  <c r="M17" i="65"/>
  <c r="AF17" i="54"/>
  <c r="AZ17" i="54" s="1"/>
  <c r="M271" i="65"/>
  <c r="AF271" i="54"/>
  <c r="AZ271" i="54" s="1"/>
  <c r="BK271" i="54"/>
  <c r="M296" i="65"/>
  <c r="AF296" i="54"/>
  <c r="AZ296" i="54" s="1"/>
  <c r="BK296" i="54"/>
  <c r="M147" i="65"/>
  <c r="AF147" i="54"/>
  <c r="AZ147" i="54" s="1"/>
  <c r="BK147" i="54"/>
  <c r="M58" i="65"/>
  <c r="AF58" i="54"/>
  <c r="AZ58" i="54" s="1"/>
  <c r="BK58" i="54"/>
  <c r="M142" i="65"/>
  <c r="AF142" i="54"/>
  <c r="AZ142" i="54" s="1"/>
  <c r="BK142" i="54"/>
  <c r="M32" i="15"/>
  <c r="AF294" i="54"/>
  <c r="AZ294" i="54" s="1"/>
  <c r="BK294" i="54"/>
  <c r="M294" i="65"/>
  <c r="AF51" i="54"/>
  <c r="AZ51" i="54" s="1"/>
  <c r="M51" i="65"/>
  <c r="BK51" i="54"/>
  <c r="M252" i="65"/>
  <c r="AF252" i="54"/>
  <c r="AZ252" i="54" s="1"/>
  <c r="BK252" i="54"/>
  <c r="AF130" i="54"/>
  <c r="AZ130" i="54" s="1"/>
  <c r="BK130" i="54"/>
  <c r="M130" i="65"/>
  <c r="M159" i="65"/>
  <c r="AF159" i="54"/>
  <c r="AZ159" i="54" s="1"/>
  <c r="BK159" i="54"/>
  <c r="M230" i="65"/>
  <c r="BK230" i="54"/>
  <c r="AF230" i="54"/>
  <c r="AZ230" i="54" s="1"/>
  <c r="AF217" i="54"/>
  <c r="AZ217" i="54" s="1"/>
  <c r="M217" i="65"/>
  <c r="BK217" i="54"/>
  <c r="M110" i="65"/>
  <c r="AF110" i="54"/>
  <c r="AZ110" i="54" s="1"/>
  <c r="BK110" i="54"/>
  <c r="AF121" i="54"/>
  <c r="AZ121" i="54" s="1"/>
  <c r="M121" i="65"/>
  <c r="BK121" i="54"/>
  <c r="BK50" i="54"/>
  <c r="M50" i="65"/>
  <c r="AF50" i="54"/>
  <c r="AZ50" i="54" s="1"/>
  <c r="M206" i="65"/>
  <c r="BK206" i="54"/>
  <c r="AF206" i="54"/>
  <c r="AZ206" i="54" s="1"/>
  <c r="M189" i="65"/>
  <c r="AF189" i="54"/>
  <c r="AZ189" i="54" s="1"/>
  <c r="BK189" i="54"/>
  <c r="M240" i="65"/>
  <c r="BK240" i="54"/>
  <c r="AF240" i="54"/>
  <c r="AZ240" i="54" s="1"/>
  <c r="M199" i="65"/>
  <c r="BK199" i="54"/>
  <c r="AF199" i="54"/>
  <c r="AZ199" i="54" s="1"/>
  <c r="BK265" i="54"/>
  <c r="M265" i="65"/>
  <c r="AF265" i="54"/>
  <c r="AZ265" i="54" s="1"/>
  <c r="BK213" i="54"/>
  <c r="M213" i="65"/>
  <c r="AF213" i="54"/>
  <c r="AZ213" i="54" s="1"/>
  <c r="BK283" i="54"/>
  <c r="AF283" i="54"/>
  <c r="AZ283" i="54" s="1"/>
  <c r="M283" i="65"/>
  <c r="M80" i="65"/>
  <c r="BK80" i="54"/>
  <c r="AF80" i="54"/>
  <c r="AZ80" i="54" s="1"/>
  <c r="AF79" i="54"/>
  <c r="AZ79" i="54" s="1"/>
  <c r="BK79" i="54"/>
  <c r="M79" i="65"/>
  <c r="M90" i="65"/>
  <c r="AF90" i="54"/>
  <c r="AZ90" i="54" s="1"/>
  <c r="BK90" i="54"/>
  <c r="M77" i="65"/>
  <c r="BK77" i="54"/>
  <c r="AF77" i="54"/>
  <c r="AZ77" i="54" s="1"/>
  <c r="AF63" i="54"/>
  <c r="AZ63" i="54" s="1"/>
  <c r="M63" i="65"/>
  <c r="BK63" i="54"/>
  <c r="M262" i="65"/>
  <c r="AF262" i="54"/>
  <c r="AZ262" i="54" s="1"/>
  <c r="BK262" i="54"/>
  <c r="H152" i="66"/>
  <c r="M119" i="65"/>
  <c r="AF119" i="54"/>
  <c r="AZ119" i="54" s="1"/>
  <c r="BK119" i="54"/>
  <c r="BK117" i="54"/>
  <c r="M117" i="65"/>
  <c r="AF117" i="54"/>
  <c r="AZ117" i="54" s="1"/>
  <c r="M184" i="65"/>
  <c r="AF184" i="54"/>
  <c r="AZ184" i="54" s="1"/>
  <c r="BK184" i="54"/>
  <c r="M269" i="65"/>
  <c r="AF269" i="54"/>
  <c r="AZ269" i="54" s="1"/>
  <c r="BK269" i="54"/>
  <c r="AF143" i="54"/>
  <c r="AZ143" i="54" s="1"/>
  <c r="BK143" i="54"/>
  <c r="M143" i="65"/>
  <c r="M167" i="65"/>
  <c r="BK167" i="54"/>
  <c r="AF167" i="54"/>
  <c r="AZ167" i="54" s="1"/>
  <c r="M214" i="65"/>
  <c r="AF214" i="54"/>
  <c r="AZ214" i="54" s="1"/>
  <c r="BK214" i="54"/>
  <c r="H150" i="66"/>
  <c r="S150" i="66" s="1"/>
  <c r="M134" i="65"/>
  <c r="AF134" i="54"/>
  <c r="AZ134" i="54" s="1"/>
  <c r="BK134" i="54"/>
  <c r="M234" i="65"/>
  <c r="BK234" i="54"/>
  <c r="AF234" i="54"/>
  <c r="AZ234" i="54" s="1"/>
  <c r="M215" i="65"/>
  <c r="AF215" i="54"/>
  <c r="AZ215" i="54" s="1"/>
  <c r="BK215" i="54"/>
  <c r="M201" i="65"/>
  <c r="BK201" i="54"/>
  <c r="AF201" i="54"/>
  <c r="AZ201" i="54" s="1"/>
  <c r="M114" i="65"/>
  <c r="AF114" i="54"/>
  <c r="AZ114" i="54" s="1"/>
  <c r="BK114" i="54"/>
  <c r="M248" i="65"/>
  <c r="AF248" i="54"/>
  <c r="AZ248" i="54" s="1"/>
  <c r="BK248" i="54"/>
  <c r="M70" i="65"/>
  <c r="AF70" i="54"/>
  <c r="AZ70" i="54" s="1"/>
  <c r="BK70" i="54"/>
  <c r="M203" i="65"/>
  <c r="AF203" i="54"/>
  <c r="AZ203" i="54" s="1"/>
  <c r="BK203" i="54"/>
  <c r="BK247" i="54"/>
  <c r="M247" i="65"/>
  <c r="AF247" i="54"/>
  <c r="AZ247" i="54" s="1"/>
  <c r="S90" i="66"/>
  <c r="AO90" i="66" s="1"/>
  <c r="AE90" i="66"/>
  <c r="AY90" i="66"/>
  <c r="M174" i="65"/>
  <c r="BK174" i="54"/>
  <c r="AF174" i="54"/>
  <c r="AZ174" i="54" s="1"/>
  <c r="H25" i="60"/>
  <c r="M149" i="65"/>
  <c r="AF149" i="54"/>
  <c r="AZ149" i="54" s="1"/>
  <c r="BK149" i="54"/>
  <c r="AF54" i="54"/>
  <c r="AZ54" i="54" s="1"/>
  <c r="M54" i="65"/>
  <c r="BK54" i="54"/>
  <c r="M258" i="65"/>
  <c r="AF258" i="54"/>
  <c r="AZ258" i="54" s="1"/>
  <c r="BK258" i="54"/>
  <c r="M274" i="65"/>
  <c r="AF274" i="54"/>
  <c r="AZ274" i="54" s="1"/>
  <c r="BK274" i="54"/>
  <c r="U15" i="60"/>
  <c r="I8" i="60"/>
  <c r="O14" i="15"/>
  <c r="AF180" i="54"/>
  <c r="AZ180" i="54" s="1"/>
  <c r="M180" i="65"/>
  <c r="BK180" i="54"/>
  <c r="M288" i="65"/>
  <c r="BK288" i="54"/>
  <c r="AF288" i="54"/>
  <c r="AZ288" i="54" s="1"/>
  <c r="M93" i="65"/>
  <c r="AF93" i="54"/>
  <c r="AZ93" i="54" s="1"/>
  <c r="BK93" i="54"/>
  <c r="AF67" i="54"/>
  <c r="AZ67" i="54" s="1"/>
  <c r="M67" i="65"/>
  <c r="BK67" i="54"/>
  <c r="AF154" i="54"/>
  <c r="AZ154" i="54" s="1"/>
  <c r="BK154" i="54"/>
  <c r="M154" i="65"/>
  <c r="M218" i="65"/>
  <c r="AF218" i="54"/>
  <c r="AZ218" i="54" s="1"/>
  <c r="BK218" i="54"/>
  <c r="AF138" i="54"/>
  <c r="AZ138" i="54" s="1"/>
  <c r="M138" i="65"/>
  <c r="BK138" i="54"/>
  <c r="BK293" i="54"/>
  <c r="AF293" i="54"/>
  <c r="AZ293" i="54" s="1"/>
  <c r="M293" i="65"/>
  <c r="BK228" i="54"/>
  <c r="M228" i="65"/>
  <c r="AF228" i="54"/>
  <c r="AZ228" i="54" s="1"/>
  <c r="AF173" i="54"/>
  <c r="AZ173" i="54" s="1"/>
  <c r="BK173" i="54"/>
  <c r="M173" i="65"/>
  <c r="M186" i="65"/>
  <c r="AF186" i="54"/>
  <c r="AZ186" i="54" s="1"/>
  <c r="BK186" i="54"/>
  <c r="BK144" i="54"/>
  <c r="M144" i="65"/>
  <c r="AF144" i="54"/>
  <c r="AZ144" i="54" s="1"/>
  <c r="BK266" i="54"/>
  <c r="M266" i="65"/>
  <c r="AF266" i="54"/>
  <c r="AZ266" i="54" s="1"/>
  <c r="M229" i="65"/>
  <c r="AF229" i="54"/>
  <c r="AZ229" i="54" s="1"/>
  <c r="BK229" i="54"/>
  <c r="M301" i="65"/>
  <c r="BK301" i="54"/>
  <c r="AF301" i="54"/>
  <c r="AZ301" i="54" s="1"/>
  <c r="BK30" i="54"/>
  <c r="M30" i="65"/>
  <c r="AF30" i="54"/>
  <c r="AZ30" i="54" s="1"/>
  <c r="M306" i="65"/>
  <c r="AF306" i="54"/>
  <c r="AZ306" i="54" s="1"/>
  <c r="BK306" i="54"/>
  <c r="AF89" i="54"/>
  <c r="AZ89" i="54" s="1"/>
  <c r="BK89" i="54"/>
  <c r="M89" i="65"/>
  <c r="M25" i="65"/>
  <c r="AF25" i="54"/>
  <c r="AZ25" i="54" s="1"/>
  <c r="BK25" i="54"/>
  <c r="H155" i="66"/>
  <c r="BK24" i="54"/>
  <c r="I66" i="66"/>
  <c r="M24" i="65"/>
  <c r="AF24" i="54"/>
  <c r="AZ24" i="54" s="1"/>
  <c r="BK239" i="54"/>
  <c r="M239" i="65"/>
  <c r="AF239" i="54"/>
  <c r="AZ239" i="54" s="1"/>
  <c r="M57" i="65"/>
  <c r="BK57" i="54"/>
  <c r="AF57" i="54"/>
  <c r="AZ57" i="54" s="1"/>
  <c r="M224" i="65"/>
  <c r="AF224" i="54"/>
  <c r="AZ224" i="54" s="1"/>
  <c r="BK224" i="54"/>
  <c r="M103" i="65"/>
  <c r="BK103" i="54"/>
  <c r="AF103" i="54"/>
  <c r="AZ103" i="54" s="1"/>
  <c r="S96" i="66"/>
  <c r="AO96" i="66" s="1"/>
  <c r="AE96" i="66"/>
  <c r="AY96" i="66"/>
  <c r="M205" i="65"/>
  <c r="AF205" i="54"/>
  <c r="AZ205" i="54" s="1"/>
  <c r="BK205" i="54"/>
  <c r="M282" i="65"/>
  <c r="AF282" i="54"/>
  <c r="AZ282" i="54" s="1"/>
  <c r="BK282" i="54"/>
  <c r="M305" i="65"/>
  <c r="AF305" i="54"/>
  <c r="AZ305" i="54" s="1"/>
  <c r="BK305" i="54"/>
  <c r="AF75" i="54"/>
  <c r="AZ75" i="54" s="1"/>
  <c r="BK75" i="54"/>
  <c r="M75" i="65"/>
  <c r="AF254" i="54"/>
  <c r="AZ254" i="54" s="1"/>
  <c r="M254" i="65"/>
  <c r="BK254" i="54"/>
  <c r="M268" i="65"/>
  <c r="AF268" i="54"/>
  <c r="AZ268" i="54" s="1"/>
  <c r="BK268" i="54"/>
  <c r="BK183" i="54"/>
  <c r="M183" i="65"/>
  <c r="AF183" i="54"/>
  <c r="AZ183" i="54" s="1"/>
  <c r="BK278" i="54"/>
  <c r="M278" i="65"/>
  <c r="AF278" i="54"/>
  <c r="AZ278" i="54" s="1"/>
  <c r="BK221" i="54"/>
  <c r="M221" i="65"/>
  <c r="AF221" i="54"/>
  <c r="AZ221" i="54" s="1"/>
  <c r="M226" i="65"/>
  <c r="BK226" i="54"/>
  <c r="AF226" i="54"/>
  <c r="AZ226" i="54" s="1"/>
  <c r="M122" i="65"/>
  <c r="AF122" i="54"/>
  <c r="AZ122" i="54" s="1"/>
  <c r="BK122" i="54"/>
  <c r="M68" i="65"/>
  <c r="AF68" i="54"/>
  <c r="AZ68" i="54" s="1"/>
  <c r="BK68" i="54"/>
  <c r="BK281" i="54"/>
  <c r="M281" i="65"/>
  <c r="AF281" i="54"/>
  <c r="AZ281" i="54" s="1"/>
  <c r="M74" i="65"/>
  <c r="AF74" i="54"/>
  <c r="AZ74" i="54" s="1"/>
  <c r="BK74" i="54"/>
  <c r="M179" i="65"/>
  <c r="AF179" i="54"/>
  <c r="AZ179" i="54" s="1"/>
  <c r="BK179" i="54"/>
  <c r="BK202" i="54"/>
  <c r="M202" i="65"/>
  <c r="AF202" i="54"/>
  <c r="AZ202" i="54" s="1"/>
  <c r="AF158" i="54"/>
  <c r="AZ158" i="54" s="1"/>
  <c r="BK158" i="54"/>
  <c r="M158" i="65"/>
  <c r="M302" i="65"/>
  <c r="AF302" i="54"/>
  <c r="AZ302" i="54" s="1"/>
  <c r="BK302" i="54"/>
  <c r="AF53" i="54"/>
  <c r="AZ53" i="54" s="1"/>
  <c r="M53" i="65"/>
  <c r="BK53" i="54"/>
  <c r="AF96" i="54"/>
  <c r="AZ96" i="54" s="1"/>
  <c r="BK96" i="54"/>
  <c r="M96" i="65"/>
  <c r="M148" i="65"/>
  <c r="AF148" i="54"/>
  <c r="AZ148" i="54" s="1"/>
  <c r="BK148" i="54"/>
  <c r="M23" i="65"/>
  <c r="AF23" i="54"/>
  <c r="AZ23" i="54" s="1"/>
  <c r="BK23" i="54"/>
  <c r="M287" i="65"/>
  <c r="BK287" i="54"/>
  <c r="AF287" i="54"/>
  <c r="AZ287" i="54" s="1"/>
  <c r="M303" i="65"/>
  <c r="AF303" i="54"/>
  <c r="AZ303" i="54" s="1"/>
  <c r="BK303" i="54"/>
  <c r="I68" i="66"/>
  <c r="BK33" i="54"/>
  <c r="AF33" i="54"/>
  <c r="AZ33" i="54" s="1"/>
  <c r="M33" i="65"/>
  <c r="M94" i="65"/>
  <c r="BK94" i="54"/>
  <c r="AF94" i="54"/>
  <c r="AZ94" i="54" s="1"/>
  <c r="M242" i="65"/>
  <c r="AF242" i="54"/>
  <c r="AZ242" i="54" s="1"/>
  <c r="BK242" i="54"/>
  <c r="AF188" i="54"/>
  <c r="AZ188" i="54" s="1"/>
  <c r="M188" i="65"/>
  <c r="BK188" i="54"/>
  <c r="M185" i="65"/>
  <c r="AF185" i="54"/>
  <c r="AZ185" i="54" s="1"/>
  <c r="BK185" i="54"/>
  <c r="M101" i="65"/>
  <c r="AF101" i="54"/>
  <c r="AZ101" i="54" s="1"/>
  <c r="BK101" i="54"/>
  <c r="BK263" i="54"/>
  <c r="AF263" i="54"/>
  <c r="AZ263" i="54" s="1"/>
  <c r="M263" i="65"/>
  <c r="M20" i="65"/>
  <c r="AF20" i="54"/>
  <c r="AZ20" i="54" s="1"/>
  <c r="BK20" i="54"/>
  <c r="M88" i="65"/>
  <c r="AF88" i="54"/>
  <c r="AZ88" i="54" s="1"/>
  <c r="BK88" i="54"/>
  <c r="M286" i="65"/>
  <c r="AF286" i="54"/>
  <c r="AZ286" i="54" s="1"/>
  <c r="BK286" i="54"/>
  <c r="M132" i="65"/>
  <c r="AF132" i="54"/>
  <c r="AZ132" i="54" s="1"/>
  <c r="BK132" i="54"/>
  <c r="AF299" i="54"/>
  <c r="AZ299" i="54" s="1"/>
  <c r="BK299" i="54"/>
  <c r="M299" i="65"/>
  <c r="M236" i="65"/>
  <c r="AF236" i="54"/>
  <c r="AZ236" i="54" s="1"/>
  <c r="BK236" i="54"/>
  <c r="M162" i="65"/>
  <c r="AF162" i="54"/>
  <c r="AZ162" i="54" s="1"/>
  <c r="BK162" i="54"/>
  <c r="AF29" i="54"/>
  <c r="AZ29" i="54" s="1"/>
  <c r="BK29" i="54"/>
  <c r="M29" i="65"/>
  <c r="M44" i="65"/>
  <c r="AF44" i="54"/>
  <c r="AZ44" i="54" s="1"/>
  <c r="BK44" i="54"/>
  <c r="M146" i="65"/>
  <c r="BK146" i="54"/>
  <c r="AF146" i="54"/>
  <c r="AZ146" i="54" s="1"/>
  <c r="M116" i="65"/>
  <c r="AF116" i="54"/>
  <c r="AZ116" i="54" s="1"/>
  <c r="BK116" i="54"/>
  <c r="AF244" i="54"/>
  <c r="AZ244" i="54" s="1"/>
  <c r="M244" i="65"/>
  <c r="BK244" i="54"/>
  <c r="M72" i="65"/>
  <c r="AF72" i="54"/>
  <c r="AZ72" i="54" s="1"/>
  <c r="BK72" i="54"/>
  <c r="M69" i="65"/>
  <c r="AF69" i="54"/>
  <c r="AZ69" i="54" s="1"/>
  <c r="BK69" i="54"/>
  <c r="M155" i="65"/>
  <c r="BK155" i="54"/>
  <c r="AF155" i="54"/>
  <c r="AZ155" i="54" s="1"/>
  <c r="H149" i="66"/>
  <c r="M169" i="65"/>
  <c r="AF169" i="54"/>
  <c r="AZ169" i="54" s="1"/>
  <c r="BK169" i="54"/>
  <c r="AF64" i="54"/>
  <c r="AZ64" i="54" s="1"/>
  <c r="M64" i="65"/>
  <c r="BK64" i="54"/>
  <c r="M97" i="65"/>
  <c r="BK97" i="54"/>
  <c r="AF97" i="54"/>
  <c r="AZ97" i="54" s="1"/>
  <c r="H153" i="66"/>
  <c r="S153" i="66" s="1"/>
  <c r="AT13" i="56"/>
  <c r="M285" i="65"/>
  <c r="AF285" i="54"/>
  <c r="AZ285" i="54" s="1"/>
  <c r="BK285" i="54"/>
  <c r="M165" i="65"/>
  <c r="BK165" i="54"/>
  <c r="AF165" i="54"/>
  <c r="AZ165" i="54" s="1"/>
  <c r="BK61" i="54"/>
  <c r="M61" i="65"/>
  <c r="AF61" i="54"/>
  <c r="AZ61" i="54" s="1"/>
  <c r="BK124" i="54"/>
  <c r="M124" i="65"/>
  <c r="AF124" i="54"/>
  <c r="AZ124" i="54" s="1"/>
  <c r="M307" i="65"/>
  <c r="BK307" i="54"/>
  <c r="AF307" i="54"/>
  <c r="AZ307" i="54" s="1"/>
  <c r="M59" i="65"/>
  <c r="AF59" i="54"/>
  <c r="AZ59" i="54" s="1"/>
  <c r="BK59" i="54"/>
  <c r="BK172" i="54"/>
  <c r="M172" i="65"/>
  <c r="AF172" i="54"/>
  <c r="AZ172" i="54" s="1"/>
  <c r="BK62" i="54"/>
  <c r="M62" i="65"/>
  <c r="AF62" i="54"/>
  <c r="AZ62" i="54" s="1"/>
  <c r="AF105" i="54"/>
  <c r="AZ105" i="54" s="1"/>
  <c r="M105" i="65"/>
  <c r="BK105" i="54"/>
  <c r="M42" i="65"/>
  <c r="AF42" i="54"/>
  <c r="AZ42" i="54" s="1"/>
  <c r="BK42" i="54"/>
  <c r="AF76" i="54"/>
  <c r="AZ76" i="54" s="1"/>
  <c r="BK76" i="54"/>
  <c r="M76" i="65"/>
  <c r="M178" i="65"/>
  <c r="AF178" i="54"/>
  <c r="AZ178" i="54" s="1"/>
  <c r="BK178" i="54"/>
  <c r="M131" i="65"/>
  <c r="BK131" i="54"/>
  <c r="AF131" i="54"/>
  <c r="AZ131" i="54" s="1"/>
  <c r="M212" i="65"/>
  <c r="AF212" i="54"/>
  <c r="AZ212" i="54" s="1"/>
  <c r="BK212" i="54"/>
  <c r="I70" i="66"/>
  <c r="M13" i="54"/>
  <c r="AF15" i="54"/>
  <c r="AZ15" i="54" s="1"/>
  <c r="BK15" i="54"/>
  <c r="M15" i="65"/>
  <c r="M7" i="54"/>
  <c r="G113" i="66" s="1"/>
  <c r="AF233" i="54"/>
  <c r="AZ233" i="54" s="1"/>
  <c r="M233" i="65"/>
  <c r="BK233" i="54"/>
  <c r="M157" i="65"/>
  <c r="BK157" i="54"/>
  <c r="AF157" i="54"/>
  <c r="AZ157" i="54" s="1"/>
  <c r="M175" i="65"/>
  <c r="AF175" i="54"/>
  <c r="AZ175" i="54" s="1"/>
  <c r="BK175" i="54"/>
  <c r="M86" i="65"/>
  <c r="BK86" i="54"/>
  <c r="AF86" i="54"/>
  <c r="AZ86" i="54" s="1"/>
  <c r="H154" i="66"/>
  <c r="S154" i="66" s="1"/>
  <c r="M71" i="65"/>
  <c r="AF71" i="54"/>
  <c r="AZ71" i="54" s="1"/>
  <c r="BK71" i="54"/>
  <c r="M156" i="65"/>
  <c r="BK156" i="54"/>
  <c r="AF156" i="54"/>
  <c r="AZ156" i="54" s="1"/>
  <c r="AF107" i="54"/>
  <c r="AZ107" i="54" s="1"/>
  <c r="BK107" i="54"/>
  <c r="M107" i="65"/>
  <c r="AF284" i="54"/>
  <c r="AZ284" i="54" s="1"/>
  <c r="M284" i="65"/>
  <c r="BK284" i="54"/>
  <c r="M279" i="65"/>
  <c r="AF279" i="54"/>
  <c r="AZ279" i="54" s="1"/>
  <c r="BK279" i="54"/>
  <c r="M198" i="65"/>
  <c r="AF198" i="54"/>
  <c r="AZ198" i="54" s="1"/>
  <c r="BK198" i="54"/>
  <c r="BK98" i="54"/>
  <c r="M98" i="65"/>
  <c r="AF98" i="54"/>
  <c r="AZ98" i="54" s="1"/>
  <c r="M249" i="65"/>
  <c r="BK249" i="54"/>
  <c r="AF249" i="54"/>
  <c r="AZ249" i="54" s="1"/>
  <c r="M81" i="65"/>
  <c r="AF81" i="54"/>
  <c r="AZ81" i="54" s="1"/>
  <c r="BK81" i="54"/>
  <c r="M150" i="65"/>
  <c r="BK150" i="54"/>
  <c r="AF150" i="54"/>
  <c r="AZ150" i="54" s="1"/>
  <c r="M145" i="65"/>
  <c r="AF145" i="54"/>
  <c r="AZ145" i="54" s="1"/>
  <c r="BK145" i="54"/>
  <c r="M60" i="65"/>
  <c r="BK60" i="54"/>
  <c r="AF60" i="54"/>
  <c r="AZ60" i="54" s="1"/>
  <c r="M209" i="65"/>
  <c r="AF209" i="54"/>
  <c r="AZ209" i="54" s="1"/>
  <c r="BK209" i="54"/>
  <c r="M241" i="65"/>
  <c r="AF241" i="54"/>
  <c r="AZ241" i="54" s="1"/>
  <c r="BK241" i="54"/>
  <c r="M289" i="65"/>
  <c r="AF289" i="54"/>
  <c r="AZ289" i="54" s="1"/>
  <c r="BK289" i="54"/>
  <c r="M47" i="65"/>
  <c r="AF47" i="54"/>
  <c r="AZ47" i="54" s="1"/>
  <c r="BK47" i="54"/>
  <c r="M164" i="65"/>
  <c r="AF164" i="54"/>
  <c r="AZ164" i="54" s="1"/>
  <c r="BK164" i="54"/>
  <c r="M170" i="65"/>
  <c r="AF170" i="54"/>
  <c r="AZ170" i="54" s="1"/>
  <c r="BK170" i="54"/>
  <c r="AF100" i="54"/>
  <c r="AZ100" i="54" s="1"/>
  <c r="BK100" i="54"/>
  <c r="M100" i="65"/>
  <c r="AF280" i="54"/>
  <c r="AZ280" i="54" s="1"/>
  <c r="BK280" i="54"/>
  <c r="M280" i="65"/>
  <c r="AF304" i="54"/>
  <c r="AZ304" i="54" s="1"/>
  <c r="M304" i="65"/>
  <c r="BK304" i="54"/>
  <c r="BK43" i="54"/>
  <c r="M43" i="65"/>
  <c r="AF43" i="54"/>
  <c r="AZ43" i="54" s="1"/>
  <c r="AF40" i="54"/>
  <c r="AZ40" i="54" s="1"/>
  <c r="M40" i="65"/>
  <c r="BK40" i="54"/>
  <c r="M55" i="65"/>
  <c r="AF55" i="54"/>
  <c r="AZ55" i="54" s="1"/>
  <c r="BK55" i="54"/>
  <c r="M84" i="65"/>
  <c r="AF84" i="54"/>
  <c r="AZ84" i="54" s="1"/>
  <c r="BK84" i="54"/>
  <c r="M272" i="65"/>
  <c r="AF272" i="54"/>
  <c r="AZ272" i="54" s="1"/>
  <c r="BK272" i="54"/>
  <c r="M295" i="65"/>
  <c r="AF295" i="54"/>
  <c r="AZ295" i="54" s="1"/>
  <c r="BK295" i="54"/>
  <c r="M222" i="65"/>
  <c r="AF222" i="54"/>
  <c r="AZ222" i="54" s="1"/>
  <c r="BK222" i="54"/>
  <c r="AE24" i="66"/>
  <c r="S24" i="66"/>
  <c r="AO24" i="66" s="1"/>
  <c r="M26" i="65"/>
  <c r="AF26" i="54"/>
  <c r="AZ26" i="54" s="1"/>
  <c r="BK26" i="54"/>
  <c r="M85" i="65"/>
  <c r="AF85" i="54"/>
  <c r="AZ85" i="54" s="1"/>
  <c r="BK85" i="54"/>
  <c r="M182" i="65"/>
  <c r="AF182" i="54"/>
  <c r="AZ182" i="54" s="1"/>
  <c r="BK182" i="54"/>
  <c r="AF83" i="54"/>
  <c r="AZ83" i="54" s="1"/>
  <c r="M83" i="65"/>
  <c r="BK83" i="54"/>
  <c r="M120" i="65"/>
  <c r="AF120" i="54"/>
  <c r="AZ120" i="54" s="1"/>
  <c r="BK120" i="54"/>
  <c r="M125" i="65"/>
  <c r="AF125" i="54"/>
  <c r="AZ125" i="54" s="1"/>
  <c r="BK125" i="54"/>
  <c r="M129" i="65"/>
  <c r="BK129" i="54"/>
  <c r="AF129" i="54"/>
  <c r="AZ129" i="54" s="1"/>
  <c r="AF243" i="54"/>
  <c r="AZ243" i="54" s="1"/>
  <c r="M243" i="65"/>
  <c r="BK243" i="54"/>
  <c r="M264" i="65"/>
  <c r="BK264" i="54"/>
  <c r="AF264" i="54"/>
  <c r="AZ264" i="54" s="1"/>
  <c r="M277" i="65"/>
  <c r="BK277" i="54"/>
  <c r="AF277" i="54"/>
  <c r="AZ277" i="54" s="1"/>
  <c r="AF34" i="54"/>
  <c r="AZ34" i="54" s="1"/>
  <c r="BK34" i="54"/>
  <c r="M34" i="65"/>
  <c r="AF91" i="54"/>
  <c r="AZ91" i="54" s="1"/>
  <c r="M91" i="65"/>
  <c r="BK91" i="54"/>
  <c r="M133" i="65"/>
  <c r="BK133" i="54"/>
  <c r="AF133" i="54"/>
  <c r="AZ133" i="54" s="1"/>
  <c r="M135" i="65"/>
  <c r="AF135" i="54"/>
  <c r="AZ135" i="54" s="1"/>
  <c r="BK135" i="54"/>
  <c r="S152" i="66" l="1"/>
  <c r="S155" i="66"/>
  <c r="D133" i="66"/>
  <c r="K13" i="68"/>
  <c r="G156" i="66"/>
  <c r="R156" i="66" s="1"/>
  <c r="K39" i="15"/>
  <c r="L37" i="15"/>
  <c r="I144" i="66"/>
  <c r="T144" i="66" s="1"/>
  <c r="AF155" i="65"/>
  <c r="M155" i="56"/>
  <c r="AF94" i="65"/>
  <c r="M94" i="56"/>
  <c r="AF224" i="65"/>
  <c r="M224" i="56"/>
  <c r="AF297" i="42"/>
  <c r="N297" i="53"/>
  <c r="AF203" i="42"/>
  <c r="N203" i="53"/>
  <c r="N118" i="53"/>
  <c r="AF118" i="42"/>
  <c r="N164" i="53"/>
  <c r="AF164" i="42"/>
  <c r="N267" i="53"/>
  <c r="AF267" i="42"/>
  <c r="AF268" i="42"/>
  <c r="N268" i="53"/>
  <c r="AF105" i="42"/>
  <c r="N105" i="53"/>
  <c r="AF163" i="42"/>
  <c r="N163" i="53"/>
  <c r="AF191" i="42"/>
  <c r="N191" i="53"/>
  <c r="N182" i="53"/>
  <c r="AF182" i="42"/>
  <c r="AF210" i="42"/>
  <c r="N210" i="53"/>
  <c r="AF214" i="65"/>
  <c r="M214" i="56"/>
  <c r="AF119" i="65"/>
  <c r="M119" i="56"/>
  <c r="AF50" i="65"/>
  <c r="M50" i="56"/>
  <c r="AF51" i="65"/>
  <c r="M51" i="56"/>
  <c r="AF27" i="65"/>
  <c r="M27" i="56"/>
  <c r="AF267" i="65"/>
  <c r="M267" i="56"/>
  <c r="AF210" i="65"/>
  <c r="M210" i="56"/>
  <c r="AF190" i="65"/>
  <c r="M190" i="56"/>
  <c r="AF211" i="65"/>
  <c r="M211" i="56"/>
  <c r="AF126" i="65"/>
  <c r="M126" i="56"/>
  <c r="AF166" i="65"/>
  <c r="M166" i="56"/>
  <c r="AF91" i="65"/>
  <c r="M91" i="56"/>
  <c r="AF243" i="65"/>
  <c r="M243" i="56"/>
  <c r="AF120" i="65"/>
  <c r="M120" i="56"/>
  <c r="AF182" i="65"/>
  <c r="M182" i="56"/>
  <c r="AF26" i="65"/>
  <c r="M26" i="56"/>
  <c r="AF100" i="65"/>
  <c r="M100" i="56"/>
  <c r="AF107" i="65"/>
  <c r="M107" i="56"/>
  <c r="AZ7" i="54"/>
  <c r="AZ6" i="54" s="1"/>
  <c r="AF76" i="65"/>
  <c r="M76" i="56"/>
  <c r="AF303" i="65"/>
  <c r="M303" i="56"/>
  <c r="AF23" i="65"/>
  <c r="M23" i="56"/>
  <c r="AF302" i="65"/>
  <c r="M302" i="56"/>
  <c r="AF74" i="65"/>
  <c r="M74" i="56"/>
  <c r="AF68" i="65"/>
  <c r="M68" i="56"/>
  <c r="AF226" i="65"/>
  <c r="M226" i="56"/>
  <c r="AF268" i="65"/>
  <c r="M268" i="56"/>
  <c r="AF282" i="65"/>
  <c r="M282" i="56"/>
  <c r="AF266" i="65"/>
  <c r="M266" i="56"/>
  <c r="AF228" i="65"/>
  <c r="M228" i="56"/>
  <c r="AF138" i="65"/>
  <c r="M138" i="56"/>
  <c r="AF222" i="42"/>
  <c r="N222" i="53"/>
  <c r="AF220" i="42"/>
  <c r="N220" i="53"/>
  <c r="AF150" i="42"/>
  <c r="N150" i="53"/>
  <c r="AF265" i="42"/>
  <c r="N265" i="53"/>
  <c r="N249" i="53"/>
  <c r="AF249" i="42"/>
  <c r="N85" i="53"/>
  <c r="AF85" i="42"/>
  <c r="N38" i="53"/>
  <c r="AF38" i="42"/>
  <c r="N73" i="53"/>
  <c r="AF73" i="42"/>
  <c r="N198" i="53"/>
  <c r="AF198" i="42"/>
  <c r="N77" i="53"/>
  <c r="AF77" i="42"/>
  <c r="N260" i="53"/>
  <c r="AF260" i="42"/>
  <c r="N245" i="53"/>
  <c r="AF245" i="42"/>
  <c r="N136" i="53"/>
  <c r="AF136" i="42"/>
  <c r="N16" i="53"/>
  <c r="AF16" i="42"/>
  <c r="J35" i="66"/>
  <c r="AF41" i="42"/>
  <c r="N41" i="53"/>
  <c r="N29" i="53"/>
  <c r="AF29" i="42"/>
  <c r="AF52" i="42"/>
  <c r="N52" i="53"/>
  <c r="N65" i="53"/>
  <c r="AF65" i="42"/>
  <c r="N149" i="53"/>
  <c r="AF149" i="42"/>
  <c r="AF133" i="42"/>
  <c r="N133" i="53"/>
  <c r="N115" i="53"/>
  <c r="AF115" i="42"/>
  <c r="N159" i="53"/>
  <c r="AF159" i="42"/>
  <c r="N279" i="53"/>
  <c r="AF279" i="42"/>
  <c r="N82" i="53"/>
  <c r="AF82" i="42"/>
  <c r="AF60" i="42"/>
  <c r="N60" i="53"/>
  <c r="AF67" i="42"/>
  <c r="N67" i="53"/>
  <c r="AF124" i="42"/>
  <c r="N124" i="53"/>
  <c r="N84" i="53"/>
  <c r="AF84" i="42"/>
  <c r="N219" i="53"/>
  <c r="AF219" i="42"/>
  <c r="AF189" i="42"/>
  <c r="N189" i="53"/>
  <c r="AF232" i="42"/>
  <c r="N232" i="53"/>
  <c r="AF212" i="42"/>
  <c r="N212" i="53"/>
  <c r="N58" i="53"/>
  <c r="AF58" i="42"/>
  <c r="AF36" i="42"/>
  <c r="N36" i="53"/>
  <c r="AF227" i="42"/>
  <c r="N227" i="53"/>
  <c r="N94" i="53"/>
  <c r="AF94" i="42"/>
  <c r="O21" i="15"/>
  <c r="P14" i="15"/>
  <c r="AF90" i="65"/>
  <c r="M90" i="56"/>
  <c r="AF80" i="65"/>
  <c r="M80" i="56"/>
  <c r="AF199" i="65"/>
  <c r="M199" i="56"/>
  <c r="AF189" i="65"/>
  <c r="M189" i="56"/>
  <c r="AF110" i="65"/>
  <c r="M110" i="56"/>
  <c r="AF230" i="65"/>
  <c r="M230" i="56"/>
  <c r="AF28" i="65"/>
  <c r="M28" i="56"/>
  <c r="AF251" i="65"/>
  <c r="M251" i="56"/>
  <c r="AF72" i="66"/>
  <c r="T72" i="66"/>
  <c r="AP72" i="66" s="1"/>
  <c r="AZ72" i="66"/>
  <c r="AF216" i="65"/>
  <c r="M216" i="56"/>
  <c r="AF73" i="65"/>
  <c r="M73" i="56"/>
  <c r="AF232" i="65"/>
  <c r="M232" i="56"/>
  <c r="AF238" i="65"/>
  <c r="M238" i="56"/>
  <c r="AF207" i="65"/>
  <c r="M207" i="56"/>
  <c r="AF118" i="65"/>
  <c r="M118" i="56"/>
  <c r="AF19" i="65"/>
  <c r="M19" i="56"/>
  <c r="AF235" i="65"/>
  <c r="M235" i="56"/>
  <c r="AF197" i="65"/>
  <c r="M197" i="56"/>
  <c r="AF273" i="65"/>
  <c r="M273" i="56"/>
  <c r="AF106" i="65"/>
  <c r="M106" i="56"/>
  <c r="AF227" i="65"/>
  <c r="M227" i="56"/>
  <c r="AF86" i="65"/>
  <c r="M86" i="56"/>
  <c r="AF116" i="65"/>
  <c r="M116" i="56"/>
  <c r="AF202" i="65"/>
  <c r="M202" i="56"/>
  <c r="AF234" i="42"/>
  <c r="N234" i="53"/>
  <c r="N56" i="53"/>
  <c r="AF56" i="42"/>
  <c r="N20" i="53"/>
  <c r="AF20" i="42"/>
  <c r="N285" i="53"/>
  <c r="AF285" i="42"/>
  <c r="N298" i="53"/>
  <c r="AF298" i="42"/>
  <c r="N54" i="53"/>
  <c r="AF54" i="42"/>
  <c r="AF238" i="42"/>
  <c r="N238" i="53"/>
  <c r="AF79" i="42"/>
  <c r="N79" i="53"/>
  <c r="N33" i="53"/>
  <c r="AF33" i="42"/>
  <c r="J32" i="66"/>
  <c r="AF54" i="65"/>
  <c r="M54" i="56"/>
  <c r="AF184" i="65"/>
  <c r="M184" i="56"/>
  <c r="AF187" i="65"/>
  <c r="M187" i="56"/>
  <c r="AF40" i="65"/>
  <c r="M40" i="56"/>
  <c r="AF304" i="65"/>
  <c r="M304" i="56"/>
  <c r="AF98" i="65"/>
  <c r="M98" i="56"/>
  <c r="AF13" i="54"/>
  <c r="M11" i="54"/>
  <c r="AF105" i="65"/>
  <c r="M105" i="56"/>
  <c r="AF172" i="65"/>
  <c r="M172" i="56"/>
  <c r="AF61" i="65"/>
  <c r="M61" i="56"/>
  <c r="AF29" i="65"/>
  <c r="M29" i="56"/>
  <c r="AF263" i="65"/>
  <c r="M263" i="56"/>
  <c r="AF33" i="65"/>
  <c r="M33" i="56"/>
  <c r="AF25" i="65"/>
  <c r="M25" i="56"/>
  <c r="AF306" i="65"/>
  <c r="M306" i="56"/>
  <c r="AF301" i="65"/>
  <c r="M301" i="56"/>
  <c r="AF186" i="65"/>
  <c r="M186" i="56"/>
  <c r="AF301" i="42"/>
  <c r="N301" i="53"/>
  <c r="AF112" i="42"/>
  <c r="N112" i="53"/>
  <c r="AF91" i="42"/>
  <c r="N91" i="53"/>
  <c r="AF148" i="42"/>
  <c r="N148" i="53"/>
  <c r="N307" i="53"/>
  <c r="AF307" i="42"/>
  <c r="N167" i="53"/>
  <c r="AF167" i="42"/>
  <c r="N111" i="53"/>
  <c r="AF111" i="42"/>
  <c r="N44" i="53"/>
  <c r="AF44" i="42"/>
  <c r="N236" i="53"/>
  <c r="AF236" i="42"/>
  <c r="AF299" i="42"/>
  <c r="N299" i="53"/>
  <c r="N284" i="53"/>
  <c r="AF284" i="42"/>
  <c r="N195" i="53"/>
  <c r="AF195" i="42"/>
  <c r="N179" i="53"/>
  <c r="AF179" i="42"/>
  <c r="N276" i="53"/>
  <c r="AF276" i="42"/>
  <c r="N152" i="53"/>
  <c r="AF152" i="42"/>
  <c r="AF87" i="42"/>
  <c r="N87" i="53"/>
  <c r="N19" i="53"/>
  <c r="AF19" i="42"/>
  <c r="AF102" i="42"/>
  <c r="N102" i="53"/>
  <c r="AF122" i="42"/>
  <c r="N122" i="53"/>
  <c r="AF292" i="42"/>
  <c r="N292" i="53"/>
  <c r="AF226" i="42"/>
  <c r="N226" i="53"/>
  <c r="N63" i="53"/>
  <c r="AF63" i="42"/>
  <c r="N157" i="53"/>
  <c r="AF157" i="42"/>
  <c r="N274" i="53"/>
  <c r="AF274" i="42"/>
  <c r="AF53" i="42"/>
  <c r="N53" i="53"/>
  <c r="N303" i="53"/>
  <c r="AF303" i="42"/>
  <c r="N21" i="53"/>
  <c r="AF21" i="42"/>
  <c r="AF113" i="42"/>
  <c r="N113" i="53"/>
  <c r="AF287" i="42"/>
  <c r="N287" i="53"/>
  <c r="AF95" i="42"/>
  <c r="N95" i="53"/>
  <c r="AF190" i="42"/>
  <c r="N190" i="53"/>
  <c r="AF98" i="42"/>
  <c r="N98" i="53"/>
  <c r="AF205" i="42"/>
  <c r="N205" i="53"/>
  <c r="AF193" i="42"/>
  <c r="N193" i="53"/>
  <c r="AF278" i="42"/>
  <c r="N278" i="53"/>
  <c r="N116" i="53"/>
  <c r="AF116" i="42"/>
  <c r="AF67" i="65"/>
  <c r="M67" i="56"/>
  <c r="AF258" i="65"/>
  <c r="M258" i="56"/>
  <c r="AF247" i="65"/>
  <c r="M247" i="56"/>
  <c r="AF163" i="65"/>
  <c r="M163" i="56"/>
  <c r="AF290" i="65"/>
  <c r="M290" i="56"/>
  <c r="AF49" i="65"/>
  <c r="M49" i="56"/>
  <c r="AF137" i="65"/>
  <c r="M137" i="56"/>
  <c r="AF193" i="65"/>
  <c r="M193" i="56"/>
  <c r="AF237" i="65"/>
  <c r="M237" i="56"/>
  <c r="AF45" i="65"/>
  <c r="M45" i="56"/>
  <c r="AF192" i="65"/>
  <c r="M192" i="56"/>
  <c r="AF245" i="65"/>
  <c r="M245" i="56"/>
  <c r="AF99" i="65"/>
  <c r="M99" i="56"/>
  <c r="AF18" i="65"/>
  <c r="M18" i="56"/>
  <c r="AF56" i="65"/>
  <c r="M56" i="56"/>
  <c r="AF255" i="65"/>
  <c r="M255" i="56"/>
  <c r="AF161" i="65"/>
  <c r="M161" i="56"/>
  <c r="AF286" i="65"/>
  <c r="M286" i="56"/>
  <c r="AF123" i="65"/>
  <c r="M123" i="56"/>
  <c r="AF276" i="65"/>
  <c r="M276" i="56"/>
  <c r="AF135" i="65"/>
  <c r="M135" i="56"/>
  <c r="AF277" i="65"/>
  <c r="M277" i="56"/>
  <c r="AF295" i="65"/>
  <c r="M295" i="56"/>
  <c r="AF84" i="65"/>
  <c r="M84" i="56"/>
  <c r="AF164" i="65"/>
  <c r="M164" i="56"/>
  <c r="AF289" i="65"/>
  <c r="M289" i="56"/>
  <c r="AF209" i="65"/>
  <c r="M209" i="56"/>
  <c r="AF145" i="65"/>
  <c r="M145" i="56"/>
  <c r="AF81" i="65"/>
  <c r="M81" i="56"/>
  <c r="AF279" i="65"/>
  <c r="M279" i="56"/>
  <c r="AF71" i="65"/>
  <c r="M71" i="56"/>
  <c r="AF233" i="65"/>
  <c r="M233" i="56"/>
  <c r="AF131" i="65"/>
  <c r="M131" i="56"/>
  <c r="AF307" i="65"/>
  <c r="M307" i="56"/>
  <c r="AF97" i="65"/>
  <c r="M97" i="56"/>
  <c r="AF169" i="65"/>
  <c r="M169" i="56"/>
  <c r="AF244" i="65"/>
  <c r="M244" i="56"/>
  <c r="AF158" i="65"/>
  <c r="M158" i="56"/>
  <c r="I17" i="66"/>
  <c r="AF24" i="65"/>
  <c r="M24" i="56"/>
  <c r="AF151" i="42"/>
  <c r="N151" i="53"/>
  <c r="AF104" i="42"/>
  <c r="N104" i="53"/>
  <c r="AF178" i="42"/>
  <c r="N178" i="53"/>
  <c r="AF55" i="42"/>
  <c r="N55" i="53"/>
  <c r="N181" i="53"/>
  <c r="AF181" i="42"/>
  <c r="N51" i="53"/>
  <c r="AF51" i="42"/>
  <c r="N177" i="53"/>
  <c r="AF177" i="42"/>
  <c r="N302" i="53"/>
  <c r="AF302" i="42"/>
  <c r="N120" i="53"/>
  <c r="AF120" i="42"/>
  <c r="N173" i="53"/>
  <c r="AF173" i="42"/>
  <c r="N161" i="53"/>
  <c r="AF161" i="42"/>
  <c r="N272" i="53"/>
  <c r="AF272" i="42"/>
  <c r="AF171" i="42"/>
  <c r="N171" i="53"/>
  <c r="N140" i="53"/>
  <c r="AF140" i="42"/>
  <c r="AF262" i="42"/>
  <c r="N262" i="53"/>
  <c r="N221" i="53"/>
  <c r="AF221" i="42"/>
  <c r="N139" i="53"/>
  <c r="AF139" i="42"/>
  <c r="N225" i="53"/>
  <c r="AF225" i="42"/>
  <c r="N144" i="53"/>
  <c r="AF144" i="42"/>
  <c r="N293" i="53"/>
  <c r="AF293" i="42"/>
  <c r="AF110" i="42"/>
  <c r="N110" i="53"/>
  <c r="N101" i="53"/>
  <c r="AF101" i="42"/>
  <c r="AF304" i="42"/>
  <c r="N304" i="53"/>
  <c r="AF206" i="42"/>
  <c r="N206" i="53"/>
  <c r="AF194" i="42"/>
  <c r="N194" i="53"/>
  <c r="N66" i="53"/>
  <c r="AF66" i="42"/>
  <c r="AF199" i="42"/>
  <c r="N199" i="53"/>
  <c r="N154" i="53"/>
  <c r="AF154" i="42"/>
  <c r="AF290" i="42"/>
  <c r="N290" i="53"/>
  <c r="AF27" i="42"/>
  <c r="N27" i="53"/>
  <c r="N176" i="53"/>
  <c r="AF176" i="42"/>
  <c r="AF121" i="42"/>
  <c r="N121" i="53"/>
  <c r="AF217" i="42"/>
  <c r="N217" i="53"/>
  <c r="N270" i="53"/>
  <c r="AF270" i="42"/>
  <c r="AF49" i="42"/>
  <c r="N49" i="53"/>
  <c r="N229" i="53"/>
  <c r="AF229" i="42"/>
  <c r="AF218" i="65"/>
  <c r="M218" i="56"/>
  <c r="AF288" i="65"/>
  <c r="M288" i="56"/>
  <c r="U22" i="60"/>
  <c r="U18" i="60"/>
  <c r="I18" i="60" s="1"/>
  <c r="I15" i="60"/>
  <c r="AF174" i="65"/>
  <c r="M174" i="56"/>
  <c r="AF70" i="65"/>
  <c r="M70" i="56"/>
  <c r="AF215" i="65"/>
  <c r="M215" i="56"/>
  <c r="AF134" i="65"/>
  <c r="M134" i="56"/>
  <c r="AF117" i="65"/>
  <c r="M117" i="56"/>
  <c r="AF79" i="65"/>
  <c r="M79" i="56"/>
  <c r="AF283" i="65"/>
  <c r="M283" i="56"/>
  <c r="AF294" i="65"/>
  <c r="M294" i="56"/>
  <c r="AF142" i="65"/>
  <c r="M142" i="56"/>
  <c r="AF147" i="65"/>
  <c r="M147" i="56"/>
  <c r="AF271" i="65"/>
  <c r="M271" i="56"/>
  <c r="AF292" i="65"/>
  <c r="M292" i="56"/>
  <c r="AF52" i="65"/>
  <c r="M52" i="56"/>
  <c r="AF65" i="65"/>
  <c r="M65" i="56"/>
  <c r="AF141" i="65"/>
  <c r="M141" i="56"/>
  <c r="AF109" i="65"/>
  <c r="M109" i="56"/>
  <c r="AF39" i="65"/>
  <c r="M39" i="56"/>
  <c r="AF194" i="65"/>
  <c r="M194" i="56"/>
  <c r="AF253" i="65"/>
  <c r="M253" i="56"/>
  <c r="AF87" i="65"/>
  <c r="M87" i="56"/>
  <c r="AF270" i="65"/>
  <c r="M270" i="56"/>
  <c r="AF204" i="65"/>
  <c r="M204" i="56"/>
  <c r="AF112" i="65"/>
  <c r="M112" i="56"/>
  <c r="AF157" i="65"/>
  <c r="M157" i="56"/>
  <c r="AF162" i="65"/>
  <c r="M162" i="56"/>
  <c r="AF278" i="65"/>
  <c r="M278" i="56"/>
  <c r="AF218" i="42"/>
  <c r="N218" i="53"/>
  <c r="N306" i="53"/>
  <c r="AF306" i="42"/>
  <c r="N252" i="53"/>
  <c r="AF252" i="42"/>
  <c r="N251" i="53"/>
  <c r="AF251" i="42"/>
  <c r="AF119" i="42"/>
  <c r="N119" i="53"/>
  <c r="N74" i="53"/>
  <c r="AF74" i="42"/>
  <c r="N183" i="53"/>
  <c r="AF183" i="42"/>
  <c r="AF28" i="42"/>
  <c r="N28" i="53"/>
  <c r="AF257" i="42"/>
  <c r="N257" i="53"/>
  <c r="AF215" i="42"/>
  <c r="N215" i="53"/>
  <c r="N253" i="53"/>
  <c r="AF253" i="42"/>
  <c r="AF63" i="65"/>
  <c r="M63" i="56"/>
  <c r="AF213" i="65"/>
  <c r="M213" i="56"/>
  <c r="AZ70" i="66"/>
  <c r="AF70" i="66"/>
  <c r="T70" i="66"/>
  <c r="AP70" i="66" s="1"/>
  <c r="AF34" i="65"/>
  <c r="M34" i="56"/>
  <c r="AF83" i="65"/>
  <c r="M83" i="56"/>
  <c r="AF175" i="65"/>
  <c r="M175" i="56"/>
  <c r="AF69" i="65"/>
  <c r="M69" i="56"/>
  <c r="AF146" i="65"/>
  <c r="M146" i="56"/>
  <c r="AF236" i="65"/>
  <c r="M236" i="56"/>
  <c r="AF132" i="65"/>
  <c r="M132" i="56"/>
  <c r="AF88" i="65"/>
  <c r="M88" i="56"/>
  <c r="AF185" i="65"/>
  <c r="M185" i="56"/>
  <c r="AF242" i="65"/>
  <c r="M242" i="56"/>
  <c r="I140" i="66"/>
  <c r="T140" i="66" s="1"/>
  <c r="AF53" i="65"/>
  <c r="M53" i="56"/>
  <c r="AF281" i="65"/>
  <c r="M281" i="56"/>
  <c r="AF221" i="65"/>
  <c r="M221" i="56"/>
  <c r="AF183" i="65"/>
  <c r="M183" i="56"/>
  <c r="AF254" i="65"/>
  <c r="M254" i="56"/>
  <c r="AF103" i="65"/>
  <c r="M103" i="56"/>
  <c r="AF57" i="65"/>
  <c r="M57" i="56"/>
  <c r="I73" i="66"/>
  <c r="AZ66" i="66"/>
  <c r="AF66" i="66"/>
  <c r="T66" i="66"/>
  <c r="AP66" i="66" s="1"/>
  <c r="AF89" i="65"/>
  <c r="M89" i="56"/>
  <c r="AF173" i="65"/>
  <c r="M173" i="56"/>
  <c r="AF293" i="65"/>
  <c r="M293" i="56"/>
  <c r="AF26" i="42"/>
  <c r="N26" i="53"/>
  <c r="AF192" i="42"/>
  <c r="N192" i="53"/>
  <c r="AF129" i="42"/>
  <c r="N129" i="53"/>
  <c r="AF62" i="42"/>
  <c r="N62" i="53"/>
  <c r="AF97" i="42"/>
  <c r="N97" i="53"/>
  <c r="N211" i="53"/>
  <c r="AF211" i="42"/>
  <c r="N184" i="53"/>
  <c r="AF184" i="42"/>
  <c r="N280" i="53"/>
  <c r="AF280" i="42"/>
  <c r="N69" i="53"/>
  <c r="AF69" i="42"/>
  <c r="N146" i="53"/>
  <c r="AF146" i="42"/>
  <c r="N153" i="53"/>
  <c r="AF153" i="42"/>
  <c r="N71" i="53"/>
  <c r="AF71" i="42"/>
  <c r="N45" i="53"/>
  <c r="AF45" i="42"/>
  <c r="N283" i="53"/>
  <c r="AF283" i="42"/>
  <c r="J30" i="66"/>
  <c r="N24" i="53"/>
  <c r="AF24" i="42"/>
  <c r="N37" i="53"/>
  <c r="AF37" i="42"/>
  <c r="N23" i="53"/>
  <c r="AF23" i="42"/>
  <c r="N175" i="53"/>
  <c r="AF175" i="42"/>
  <c r="AF123" i="42"/>
  <c r="N123" i="53"/>
  <c r="N255" i="53"/>
  <c r="AF255" i="42"/>
  <c r="N223" i="53"/>
  <c r="AF223" i="42"/>
  <c r="AF259" i="42"/>
  <c r="N259" i="53"/>
  <c r="N207" i="53"/>
  <c r="AF207" i="42"/>
  <c r="N235" i="53"/>
  <c r="AF235" i="42"/>
  <c r="AF75" i="42"/>
  <c r="N75" i="53"/>
  <c r="AF78" i="42"/>
  <c r="N78" i="53"/>
  <c r="AF237" i="42"/>
  <c r="N237" i="53"/>
  <c r="N83" i="53"/>
  <c r="AF83" i="42"/>
  <c r="AF241" i="42"/>
  <c r="N241" i="53"/>
  <c r="N165" i="53"/>
  <c r="AF165" i="42"/>
  <c r="AF81" i="42"/>
  <c r="N81" i="53"/>
  <c r="AF114" i="42"/>
  <c r="N114" i="53"/>
  <c r="N86" i="53"/>
  <c r="AF86" i="42"/>
  <c r="N50" i="53"/>
  <c r="AF50" i="42"/>
  <c r="AF288" i="42"/>
  <c r="N288" i="53"/>
  <c r="N134" i="53"/>
  <c r="AF134" i="42"/>
  <c r="N291" i="53"/>
  <c r="AF291" i="42"/>
  <c r="AF167" i="65"/>
  <c r="M167" i="56"/>
  <c r="AF269" i="65"/>
  <c r="M269" i="56"/>
  <c r="AF265" i="65"/>
  <c r="M265" i="56"/>
  <c r="AF121" i="65"/>
  <c r="M121" i="56"/>
  <c r="AF217" i="65"/>
  <c r="M217" i="56"/>
  <c r="AF31" i="65"/>
  <c r="M31" i="56"/>
  <c r="AF92" i="65"/>
  <c r="M92" i="56"/>
  <c r="AF196" i="65"/>
  <c r="M196" i="56"/>
  <c r="AF275" i="65"/>
  <c r="M275" i="56"/>
  <c r="AF298" i="65"/>
  <c r="M298" i="56"/>
  <c r="AF38" i="65"/>
  <c r="M38" i="56"/>
  <c r="AF82" i="65"/>
  <c r="M82" i="56"/>
  <c r="AF127" i="65"/>
  <c r="M127" i="56"/>
  <c r="AF95" i="65"/>
  <c r="M95" i="56"/>
  <c r="AF200" i="65"/>
  <c r="M200" i="56"/>
  <c r="I18" i="66"/>
  <c r="AF48" i="65"/>
  <c r="M48" i="56"/>
  <c r="AF41" i="65"/>
  <c r="M41" i="56"/>
  <c r="AF260" i="65"/>
  <c r="M260" i="56"/>
  <c r="AF113" i="65"/>
  <c r="M113" i="56"/>
  <c r="AF72" i="65"/>
  <c r="M72" i="56"/>
  <c r="I19" i="66"/>
  <c r="AF44" i="65"/>
  <c r="M44" i="56"/>
  <c r="AF20" i="65"/>
  <c r="M20" i="56"/>
  <c r="AF135" i="42"/>
  <c r="N135" i="53"/>
  <c r="N40" i="53"/>
  <c r="AF40" i="42"/>
  <c r="N214" i="53"/>
  <c r="AF214" i="42"/>
  <c r="N213" i="53"/>
  <c r="AF213" i="42"/>
  <c r="N275" i="53"/>
  <c r="AF275" i="42"/>
  <c r="AZ68" i="66"/>
  <c r="AF68" i="66"/>
  <c r="T68" i="66"/>
  <c r="AP68" i="66" s="1"/>
  <c r="AF287" i="65"/>
  <c r="M287" i="56"/>
  <c r="AF148" i="65"/>
  <c r="M148" i="56"/>
  <c r="AF179" i="65"/>
  <c r="M179" i="56"/>
  <c r="AF122" i="65"/>
  <c r="M122" i="56"/>
  <c r="AF305" i="65"/>
  <c r="M305" i="56"/>
  <c r="AF205" i="65"/>
  <c r="M205" i="56"/>
  <c r="I138" i="66"/>
  <c r="AF30" i="65"/>
  <c r="M30" i="56"/>
  <c r="AF144" i="65"/>
  <c r="M144" i="56"/>
  <c r="AF289" i="42"/>
  <c r="N289" i="53"/>
  <c r="AF18" i="42"/>
  <c r="N18" i="53"/>
  <c r="AF15" i="42"/>
  <c r="O13" i="42"/>
  <c r="P6" i="42" s="1"/>
  <c r="N15" i="53"/>
  <c r="J34" i="66"/>
  <c r="N228" i="53"/>
  <c r="AF228" i="42"/>
  <c r="AF196" i="42"/>
  <c r="N196" i="53"/>
  <c r="N187" i="53"/>
  <c r="AF187" i="42"/>
  <c r="N68" i="53"/>
  <c r="AF68" i="42"/>
  <c r="N96" i="53"/>
  <c r="AF96" i="42"/>
  <c r="N204" i="53"/>
  <c r="AF204" i="42"/>
  <c r="N250" i="53"/>
  <c r="AF250" i="42"/>
  <c r="N295" i="53"/>
  <c r="AF295" i="42"/>
  <c r="N246" i="53"/>
  <c r="AF246" i="42"/>
  <c r="N258" i="53"/>
  <c r="AF258" i="42"/>
  <c r="N242" i="53"/>
  <c r="AF242" i="42"/>
  <c r="N239" i="53"/>
  <c r="AF239" i="42"/>
  <c r="N43" i="53"/>
  <c r="AF43" i="42"/>
  <c r="J36" i="66"/>
  <c r="N22" i="53"/>
  <c r="AF22" i="42"/>
  <c r="N92" i="53"/>
  <c r="AF92" i="42"/>
  <c r="AF42" i="42"/>
  <c r="N42" i="53"/>
  <c r="N127" i="53"/>
  <c r="AF127" i="42"/>
  <c r="AF106" i="42"/>
  <c r="N106" i="53"/>
  <c r="N90" i="53"/>
  <c r="AF90" i="42"/>
  <c r="AF261" i="42"/>
  <c r="N261" i="53"/>
  <c r="J33" i="66"/>
  <c r="AF17" i="42"/>
  <c r="N17" i="53"/>
  <c r="N216" i="53"/>
  <c r="AF216" i="42"/>
  <c r="AF266" i="42"/>
  <c r="N266" i="53"/>
  <c r="AF281" i="42"/>
  <c r="N281" i="53"/>
  <c r="N158" i="53"/>
  <c r="AF158" i="42"/>
  <c r="N286" i="53"/>
  <c r="AF286" i="42"/>
  <c r="AF254" i="42"/>
  <c r="N254" i="53"/>
  <c r="AF31" i="42"/>
  <c r="N31" i="53"/>
  <c r="AF247" i="42"/>
  <c r="N247" i="53"/>
  <c r="AF39" i="42"/>
  <c r="N39" i="53"/>
  <c r="AF201" i="42"/>
  <c r="N201" i="53"/>
  <c r="AF57" i="42"/>
  <c r="N57" i="53"/>
  <c r="N143" i="53"/>
  <c r="AF143" i="42"/>
  <c r="AF294" i="42"/>
  <c r="N294" i="53"/>
  <c r="AF154" i="65"/>
  <c r="M154" i="56"/>
  <c r="AF149" i="65"/>
  <c r="M149" i="56"/>
  <c r="AF201" i="65"/>
  <c r="M201" i="56"/>
  <c r="AF262" i="65"/>
  <c r="M262" i="56"/>
  <c r="AF77" i="65"/>
  <c r="M77" i="56"/>
  <c r="AF240" i="65"/>
  <c r="M240" i="56"/>
  <c r="AF206" i="65"/>
  <c r="M206" i="56"/>
  <c r="AF159" i="65"/>
  <c r="M159" i="56"/>
  <c r="AF252" i="65"/>
  <c r="M252" i="56"/>
  <c r="AF151" i="65"/>
  <c r="M151" i="56"/>
  <c r="AF102" i="65"/>
  <c r="M102" i="56"/>
  <c r="AF153" i="65"/>
  <c r="M153" i="56"/>
  <c r="AF250" i="65"/>
  <c r="M250" i="56"/>
  <c r="I22" i="66"/>
  <c r="AF16" i="65"/>
  <c r="M16" i="56"/>
  <c r="AF225" i="65"/>
  <c r="M225" i="56"/>
  <c r="AF219" i="65"/>
  <c r="M219" i="56"/>
  <c r="AF291" i="65"/>
  <c r="M291" i="56"/>
  <c r="AF46" i="65"/>
  <c r="M46" i="56"/>
  <c r="AF78" i="65"/>
  <c r="M78" i="56"/>
  <c r="AF139" i="65"/>
  <c r="M139" i="56"/>
  <c r="AF108" i="65"/>
  <c r="M108" i="56"/>
  <c r="AF191" i="65"/>
  <c r="M191" i="56"/>
  <c r="AF195" i="65"/>
  <c r="M195" i="56"/>
  <c r="AF67" i="66"/>
  <c r="AZ67" i="66"/>
  <c r="T67" i="66"/>
  <c r="AP67" i="66" s="1"/>
  <c r="AF128" i="65"/>
  <c r="M128" i="56"/>
  <c r="AF136" i="65"/>
  <c r="M136" i="56"/>
  <c r="AF140" i="65"/>
  <c r="M140" i="56"/>
  <c r="AF35" i="65"/>
  <c r="M35" i="56"/>
  <c r="BK7" i="54"/>
  <c r="I142" i="66"/>
  <c r="T142" i="66" s="1"/>
  <c r="T69" i="66"/>
  <c r="AP69" i="66" s="1"/>
  <c r="AF69" i="66"/>
  <c r="AZ69" i="66"/>
  <c r="AF181" i="65"/>
  <c r="M181" i="56"/>
  <c r="AF280" i="65"/>
  <c r="M280" i="56"/>
  <c r="AF285" i="65"/>
  <c r="M285" i="56"/>
  <c r="H156" i="66"/>
  <c r="S156" i="66" s="1"/>
  <c r="S149" i="66"/>
  <c r="AF133" i="65"/>
  <c r="M133" i="56"/>
  <c r="AF264" i="65"/>
  <c r="M264" i="56"/>
  <c r="AF129" i="65"/>
  <c r="M129" i="56"/>
  <c r="AF43" i="65"/>
  <c r="M43" i="56"/>
  <c r="AF284" i="65"/>
  <c r="M284" i="56"/>
  <c r="AF62" i="65"/>
  <c r="M62" i="56"/>
  <c r="AF124" i="65"/>
  <c r="M124" i="56"/>
  <c r="AF64" i="65"/>
  <c r="M64" i="56"/>
  <c r="AF299" i="65"/>
  <c r="M299" i="56"/>
  <c r="AF229" i="65"/>
  <c r="M229" i="56"/>
  <c r="AF108" i="42"/>
  <c r="N108" i="53"/>
  <c r="AF35" i="42"/>
  <c r="N35" i="53"/>
  <c r="AF282" i="42"/>
  <c r="N282" i="53"/>
  <c r="AF269" i="42"/>
  <c r="N269" i="53"/>
  <c r="AF126" i="42"/>
  <c r="N126" i="53"/>
  <c r="N188" i="53"/>
  <c r="AF188" i="42"/>
  <c r="N305" i="53"/>
  <c r="AF305" i="42"/>
  <c r="N296" i="53"/>
  <c r="AF296" i="42"/>
  <c r="N88" i="53"/>
  <c r="AF88" i="42"/>
  <c r="N277" i="53"/>
  <c r="AF277" i="42"/>
  <c r="N169" i="53"/>
  <c r="AF169" i="42"/>
  <c r="N25" i="53"/>
  <c r="AF25" i="42"/>
  <c r="N141" i="53"/>
  <c r="AF141" i="42"/>
  <c r="N93" i="53"/>
  <c r="AF93" i="42"/>
  <c r="N273" i="53"/>
  <c r="AF273" i="42"/>
  <c r="N197" i="53"/>
  <c r="AF197" i="42"/>
  <c r="N47" i="53"/>
  <c r="AF47" i="42"/>
  <c r="N132" i="53"/>
  <c r="AF132" i="42"/>
  <c r="AF89" i="42"/>
  <c r="N89" i="53"/>
  <c r="AF137" i="42"/>
  <c r="N137" i="53"/>
  <c r="N125" i="53"/>
  <c r="AF125" i="42"/>
  <c r="N170" i="53"/>
  <c r="AF170" i="42"/>
  <c r="AF138" i="42"/>
  <c r="N138" i="53"/>
  <c r="N263" i="53"/>
  <c r="AF263" i="42"/>
  <c r="N162" i="53"/>
  <c r="AF162" i="42"/>
  <c r="AF107" i="42"/>
  <c r="N107" i="53"/>
  <c r="N130" i="53"/>
  <c r="AF130" i="42"/>
  <c r="AF160" i="42"/>
  <c r="N160" i="53"/>
  <c r="AF224" i="42"/>
  <c r="N224" i="53"/>
  <c r="AF208" i="42"/>
  <c r="N208" i="53"/>
  <c r="AF209" i="42"/>
  <c r="N209" i="53"/>
  <c r="AF131" i="42"/>
  <c r="N131" i="53"/>
  <c r="AF180" i="42"/>
  <c r="N180" i="53"/>
  <c r="N128" i="53"/>
  <c r="AF128" i="42"/>
  <c r="J31" i="66"/>
  <c r="N48" i="53"/>
  <c r="AF48" i="42"/>
  <c r="AF99" i="42"/>
  <c r="N99" i="53"/>
  <c r="AF61" i="42"/>
  <c r="N61" i="53"/>
  <c r="AF180" i="65"/>
  <c r="M180" i="56"/>
  <c r="AF274" i="65"/>
  <c r="M274" i="56"/>
  <c r="AF114" i="65"/>
  <c r="M114" i="56"/>
  <c r="AF143" i="65"/>
  <c r="M143" i="56"/>
  <c r="I20" i="66"/>
  <c r="AF17" i="65"/>
  <c r="M17" i="56"/>
  <c r="AF177" i="65"/>
  <c r="M177" i="56"/>
  <c r="AF66" i="65"/>
  <c r="M66" i="56"/>
  <c r="AF176" i="65"/>
  <c r="M176" i="56"/>
  <c r="AF115" i="65"/>
  <c r="M115" i="56"/>
  <c r="AF111" i="65"/>
  <c r="M111" i="56"/>
  <c r="AF32" i="65"/>
  <c r="M32" i="56"/>
  <c r="AF259" i="65"/>
  <c r="M259" i="56"/>
  <c r="AF152" i="65"/>
  <c r="M152" i="56"/>
  <c r="AF257" i="65"/>
  <c r="M257" i="56"/>
  <c r="AF220" i="65"/>
  <c r="M220" i="56"/>
  <c r="I139" i="66"/>
  <c r="T139" i="66" s="1"/>
  <c r="AF256" i="65"/>
  <c r="M256" i="56"/>
  <c r="AF36" i="65"/>
  <c r="M36" i="56"/>
  <c r="AF101" i="65"/>
  <c r="M101" i="56"/>
  <c r="AF109" i="42"/>
  <c r="N109" i="53"/>
  <c r="I143" i="66"/>
  <c r="T143" i="66" s="1"/>
  <c r="AF37" i="65"/>
  <c r="M37" i="56"/>
  <c r="AF125" i="65"/>
  <c r="M125" i="56"/>
  <c r="AF85" i="65"/>
  <c r="M85" i="56"/>
  <c r="AF222" i="65"/>
  <c r="M222" i="56"/>
  <c r="AF272" i="65"/>
  <c r="M272" i="56"/>
  <c r="AF55" i="65"/>
  <c r="M55" i="56"/>
  <c r="AF170" i="65"/>
  <c r="M170" i="56"/>
  <c r="AF47" i="65"/>
  <c r="M47" i="56"/>
  <c r="AF241" i="65"/>
  <c r="M241" i="56"/>
  <c r="AF60" i="65"/>
  <c r="M60" i="56"/>
  <c r="AF150" i="65"/>
  <c r="M150" i="56"/>
  <c r="AF249" i="65"/>
  <c r="M249" i="56"/>
  <c r="AF198" i="65"/>
  <c r="M198" i="56"/>
  <c r="AF156" i="65"/>
  <c r="M156" i="56"/>
  <c r="I21" i="66"/>
  <c r="M13" i="65"/>
  <c r="AF13" i="65" s="1"/>
  <c r="M7" i="65"/>
  <c r="AF15" i="65"/>
  <c r="M15" i="56"/>
  <c r="AF212" i="65"/>
  <c r="M212" i="56"/>
  <c r="AF178" i="65"/>
  <c r="M178" i="56"/>
  <c r="AF42" i="65"/>
  <c r="M42" i="56"/>
  <c r="AF59" i="65"/>
  <c r="M59" i="56"/>
  <c r="AF165" i="65"/>
  <c r="M165" i="56"/>
  <c r="AF188" i="65"/>
  <c r="M188" i="56"/>
  <c r="AF96" i="65"/>
  <c r="M96" i="56"/>
  <c r="AF75" i="65"/>
  <c r="M75" i="56"/>
  <c r="AF239" i="65"/>
  <c r="M239" i="56"/>
  <c r="AF34" i="42"/>
  <c r="N34" i="53"/>
  <c r="AF147" i="42"/>
  <c r="N147" i="53"/>
  <c r="N300" i="53"/>
  <c r="AF300" i="42"/>
  <c r="AF103" i="42"/>
  <c r="N103" i="53"/>
  <c r="AF243" i="42"/>
  <c r="N243" i="53"/>
  <c r="N172" i="53"/>
  <c r="AF172" i="42"/>
  <c r="N156" i="53"/>
  <c r="AF156" i="42"/>
  <c r="N32" i="53"/>
  <c r="AF32" i="42"/>
  <c r="N64" i="53"/>
  <c r="AF64" i="42"/>
  <c r="N80" i="53"/>
  <c r="AF80" i="42"/>
  <c r="N264" i="53"/>
  <c r="AF264" i="42"/>
  <c r="N155" i="53"/>
  <c r="AF155" i="42"/>
  <c r="N72" i="53"/>
  <c r="AF72" i="42"/>
  <c r="N271" i="53"/>
  <c r="AF271" i="42"/>
  <c r="AF174" i="42"/>
  <c r="N174" i="53"/>
  <c r="N100" i="53"/>
  <c r="AF100" i="42"/>
  <c r="N59" i="53"/>
  <c r="AF59" i="42"/>
  <c r="AF240" i="42"/>
  <c r="N240" i="53"/>
  <c r="AF185" i="42"/>
  <c r="N185" i="53"/>
  <c r="N244" i="53"/>
  <c r="AF244" i="42"/>
  <c r="N142" i="53"/>
  <c r="AF142" i="42"/>
  <c r="N70" i="53"/>
  <c r="AF70" i="42"/>
  <c r="AF166" i="42"/>
  <c r="N166" i="53"/>
  <c r="N145" i="53"/>
  <c r="AF145" i="42"/>
  <c r="AF46" i="42"/>
  <c r="N46" i="53"/>
  <c r="N30" i="53"/>
  <c r="AF30" i="42"/>
  <c r="AF233" i="42"/>
  <c r="N233" i="53"/>
  <c r="AF231" i="42"/>
  <c r="N231" i="53"/>
  <c r="N202" i="53"/>
  <c r="AF202" i="42"/>
  <c r="AF248" i="42"/>
  <c r="N248" i="53"/>
  <c r="AF200" i="42"/>
  <c r="N200" i="53"/>
  <c r="AF168" i="42"/>
  <c r="N168" i="53"/>
  <c r="AF76" i="42"/>
  <c r="N76" i="53"/>
  <c r="N256" i="53"/>
  <c r="AF256" i="42"/>
  <c r="AF230" i="42"/>
  <c r="N230" i="53"/>
  <c r="AF117" i="42"/>
  <c r="N117" i="53"/>
  <c r="AF186" i="42"/>
  <c r="N186" i="53"/>
  <c r="AF93" i="65"/>
  <c r="M93" i="56"/>
  <c r="AF203" i="65"/>
  <c r="M203" i="56"/>
  <c r="AF248" i="65"/>
  <c r="M248" i="56"/>
  <c r="AF234" i="65"/>
  <c r="M234" i="56"/>
  <c r="AF130" i="65"/>
  <c r="M130" i="56"/>
  <c r="AF58" i="65"/>
  <c r="M58" i="56"/>
  <c r="AF296" i="65"/>
  <c r="M296" i="56"/>
  <c r="I141" i="66"/>
  <c r="T141" i="66" s="1"/>
  <c r="AF223" i="65"/>
  <c r="M223" i="56"/>
  <c r="AF208" i="65"/>
  <c r="M208" i="56"/>
  <c r="AF168" i="65"/>
  <c r="M168" i="56"/>
  <c r="AF171" i="65"/>
  <c r="M171" i="56"/>
  <c r="AF104" i="65"/>
  <c r="M104" i="56"/>
  <c r="AF21" i="65"/>
  <c r="M21" i="56"/>
  <c r="AF297" i="65"/>
  <c r="M297" i="56"/>
  <c r="AF71" i="66"/>
  <c r="AZ71" i="66"/>
  <c r="T71" i="66"/>
  <c r="AP71" i="66" s="1"/>
  <c r="AF261" i="65"/>
  <c r="M261" i="56"/>
  <c r="I23" i="66"/>
  <c r="AF22" i="65"/>
  <c r="M22" i="56"/>
  <c r="AF300" i="65"/>
  <c r="M300" i="56"/>
  <c r="AF160" i="65"/>
  <c r="M160" i="56"/>
  <c r="AF231" i="65"/>
  <c r="M231" i="56"/>
  <c r="AF246" i="65"/>
  <c r="M246" i="56"/>
  <c r="AF77" i="56" l="1"/>
  <c r="AU77" i="56"/>
  <c r="N42" i="54"/>
  <c r="AG42" i="53"/>
  <c r="AF82" i="56"/>
  <c r="AU82" i="56"/>
  <c r="AF70" i="56"/>
  <c r="AU70" i="56"/>
  <c r="N262" i="54"/>
  <c r="AG262" i="53"/>
  <c r="AF131" i="56"/>
  <c r="AU131" i="56"/>
  <c r="AU123" i="56"/>
  <c r="AF123" i="56"/>
  <c r="N167" i="54"/>
  <c r="AG167" i="53"/>
  <c r="AF224" i="56"/>
  <c r="AU224" i="56"/>
  <c r="N61" i="54"/>
  <c r="AG61" i="53"/>
  <c r="N128" i="54"/>
  <c r="AG128" i="53"/>
  <c r="N170" i="54"/>
  <c r="AG170" i="53"/>
  <c r="N132" i="54"/>
  <c r="AG132" i="53"/>
  <c r="N93" i="54"/>
  <c r="AG93" i="53"/>
  <c r="AG277" i="53"/>
  <c r="N277" i="54"/>
  <c r="N188" i="54"/>
  <c r="AG188" i="53"/>
  <c r="AF299" i="56"/>
  <c r="AU299" i="56"/>
  <c r="AU129" i="56"/>
  <c r="AF129" i="56"/>
  <c r="AU181" i="56"/>
  <c r="AF181" i="56"/>
  <c r="AF139" i="56"/>
  <c r="AU139" i="56"/>
  <c r="AF219" i="56"/>
  <c r="AU219" i="56"/>
  <c r="AU16" i="56"/>
  <c r="AF16" i="56"/>
  <c r="AF153" i="56"/>
  <c r="AU153" i="56"/>
  <c r="AU154" i="56"/>
  <c r="AF154" i="56"/>
  <c r="N201" i="54"/>
  <c r="AG201" i="53"/>
  <c r="N254" i="54"/>
  <c r="AG254" i="53"/>
  <c r="AG266" i="53"/>
  <c r="N266" i="54"/>
  <c r="U34" i="66"/>
  <c r="AQ34" i="66" s="1"/>
  <c r="BA34" i="66"/>
  <c r="AG34" i="66"/>
  <c r="AU144" i="56"/>
  <c r="AF144" i="56"/>
  <c r="T19" i="66"/>
  <c r="AP19" i="66" s="1"/>
  <c r="AF19" i="66"/>
  <c r="AU113" i="56"/>
  <c r="AF113" i="56"/>
  <c r="T18" i="66"/>
  <c r="AP18" i="66" s="1"/>
  <c r="AF18" i="66"/>
  <c r="AF275" i="56"/>
  <c r="AU275" i="56"/>
  <c r="AU121" i="56"/>
  <c r="AF121" i="56"/>
  <c r="AG241" i="53"/>
  <c r="N241" i="54"/>
  <c r="N75" i="54"/>
  <c r="AG75" i="53"/>
  <c r="AG283" i="53"/>
  <c r="N283" i="54"/>
  <c r="N146" i="54"/>
  <c r="AG146" i="53"/>
  <c r="N211" i="54"/>
  <c r="AG211" i="53"/>
  <c r="AF88" i="56"/>
  <c r="AU88" i="56"/>
  <c r="AU69" i="56"/>
  <c r="AF69" i="56"/>
  <c r="AF175" i="56"/>
  <c r="AU175" i="56"/>
  <c r="AU162" i="56"/>
  <c r="AF162" i="56"/>
  <c r="AF157" i="56"/>
  <c r="AU157" i="56"/>
  <c r="AF204" i="56"/>
  <c r="AU204" i="56"/>
  <c r="AF194" i="56"/>
  <c r="AU194" i="56"/>
  <c r="U25" i="60"/>
  <c r="I22" i="60"/>
  <c r="I75" i="15" s="1"/>
  <c r="AG176" i="53"/>
  <c r="N176" i="54"/>
  <c r="N144" i="54"/>
  <c r="AG144" i="53"/>
  <c r="AG161" i="53"/>
  <c r="N161" i="54"/>
  <c r="AG177" i="53"/>
  <c r="N177" i="54"/>
  <c r="AF56" i="56"/>
  <c r="AU56" i="56"/>
  <c r="AU192" i="56"/>
  <c r="AF192" i="56"/>
  <c r="AU137" i="56"/>
  <c r="AF137" i="56"/>
  <c r="AF67" i="56"/>
  <c r="AU67" i="56"/>
  <c r="N205" i="54"/>
  <c r="AG205" i="53"/>
  <c r="N287" i="54"/>
  <c r="AG287" i="53"/>
  <c r="N53" i="54"/>
  <c r="AG53" i="53"/>
  <c r="N226" i="54"/>
  <c r="AG226" i="53"/>
  <c r="N301" i="54"/>
  <c r="AG301" i="53"/>
  <c r="AF25" i="56"/>
  <c r="AU25" i="56"/>
  <c r="AF263" i="56"/>
  <c r="AU263" i="56"/>
  <c r="AF105" i="56"/>
  <c r="AU105" i="56"/>
  <c r="AF40" i="56"/>
  <c r="AU40" i="56"/>
  <c r="AU54" i="56"/>
  <c r="AF54" i="56"/>
  <c r="N79" i="54"/>
  <c r="AG79" i="53"/>
  <c r="AF202" i="56"/>
  <c r="AU202" i="56"/>
  <c r="AF197" i="56"/>
  <c r="AU197" i="56"/>
  <c r="AF207" i="56"/>
  <c r="AU207" i="56"/>
  <c r="AF216" i="56"/>
  <c r="AU216" i="56"/>
  <c r="N212" i="54"/>
  <c r="AG212" i="53"/>
  <c r="N133" i="54"/>
  <c r="AG133" i="53"/>
  <c r="N136" i="54"/>
  <c r="AG136" i="53"/>
  <c r="N198" i="54"/>
  <c r="AG198" i="53"/>
  <c r="N249" i="54"/>
  <c r="AG249" i="53"/>
  <c r="AF107" i="56"/>
  <c r="AU107" i="56"/>
  <c r="AU120" i="56"/>
  <c r="AF120" i="56"/>
  <c r="AF126" i="56"/>
  <c r="AU126" i="56"/>
  <c r="AF267" i="56"/>
  <c r="AU267" i="56"/>
  <c r="AU27" i="56"/>
  <c r="AF27" i="56"/>
  <c r="N164" i="54"/>
  <c r="AG164" i="53"/>
  <c r="AU168" i="56"/>
  <c r="AF168" i="56"/>
  <c r="N156" i="54"/>
  <c r="AG156" i="53"/>
  <c r="AF198" i="56"/>
  <c r="AU198" i="56"/>
  <c r="N246" i="54"/>
  <c r="AG246" i="53"/>
  <c r="AG50" i="53"/>
  <c r="N50" i="54"/>
  <c r="N175" i="54"/>
  <c r="AG175" i="53"/>
  <c r="AF281" i="56"/>
  <c r="AU281" i="56"/>
  <c r="AF65" i="56"/>
  <c r="AU65" i="56"/>
  <c r="N178" i="54"/>
  <c r="AG178" i="53"/>
  <c r="AF164" i="56"/>
  <c r="AU164" i="56"/>
  <c r="N63" i="54"/>
  <c r="AG63" i="53"/>
  <c r="N33" i="54"/>
  <c r="AG33" i="53"/>
  <c r="AG298" i="53"/>
  <c r="N298" i="54"/>
  <c r="AU86" i="56"/>
  <c r="AF86" i="56"/>
  <c r="AU189" i="56"/>
  <c r="AF189" i="56"/>
  <c r="O29" i="15"/>
  <c r="O24" i="15"/>
  <c r="N219" i="54"/>
  <c r="AG219" i="53"/>
  <c r="N222" i="54"/>
  <c r="AG222" i="53"/>
  <c r="AF246" i="56"/>
  <c r="AU246" i="56"/>
  <c r="AF160" i="56"/>
  <c r="AU160" i="56"/>
  <c r="AU21" i="56"/>
  <c r="AF21" i="56"/>
  <c r="AF208" i="56"/>
  <c r="AU208" i="56"/>
  <c r="AU248" i="56"/>
  <c r="AF248" i="56"/>
  <c r="N256" i="54"/>
  <c r="AG256" i="53"/>
  <c r="N30" i="54"/>
  <c r="AG30" i="53"/>
  <c r="N70" i="54"/>
  <c r="AG70" i="53"/>
  <c r="N271" i="54"/>
  <c r="AG271" i="53"/>
  <c r="N80" i="54"/>
  <c r="AG80" i="53"/>
  <c r="N172" i="54"/>
  <c r="AG172" i="53"/>
  <c r="AF249" i="56"/>
  <c r="AU249" i="56"/>
  <c r="AF47" i="56"/>
  <c r="AU47" i="56"/>
  <c r="AF222" i="56"/>
  <c r="AU222" i="56"/>
  <c r="N109" i="54"/>
  <c r="AG109" i="53"/>
  <c r="AF257" i="56"/>
  <c r="AU257" i="56"/>
  <c r="AF111" i="56"/>
  <c r="AU111" i="56"/>
  <c r="AF177" i="56"/>
  <c r="AU177" i="56"/>
  <c r="N180" i="54"/>
  <c r="AG180" i="53"/>
  <c r="N224" i="54"/>
  <c r="AG224" i="53"/>
  <c r="N126" i="54"/>
  <c r="AG126" i="53"/>
  <c r="AG108" i="53"/>
  <c r="N108" i="54"/>
  <c r="AU62" i="56"/>
  <c r="AF62" i="56"/>
  <c r="AF140" i="56"/>
  <c r="AU140" i="56"/>
  <c r="AF159" i="56"/>
  <c r="AU159" i="56"/>
  <c r="AU262" i="56"/>
  <c r="AF262" i="56"/>
  <c r="N239" i="54"/>
  <c r="AG239" i="53"/>
  <c r="N295" i="54"/>
  <c r="AG295" i="53"/>
  <c r="N68" i="54"/>
  <c r="AG68" i="53"/>
  <c r="N13" i="53"/>
  <c r="AG13" i="53" s="1"/>
  <c r="AG15" i="53"/>
  <c r="N15" i="54"/>
  <c r="AF179" i="56"/>
  <c r="AU179" i="56"/>
  <c r="N40" i="54"/>
  <c r="AG40" i="53"/>
  <c r="AF72" i="56"/>
  <c r="AU72" i="56"/>
  <c r="AU200" i="56"/>
  <c r="AF200" i="56"/>
  <c r="AF38" i="56"/>
  <c r="AU38" i="56"/>
  <c r="AF92" i="56"/>
  <c r="AU92" i="56"/>
  <c r="N291" i="54"/>
  <c r="AG291" i="53"/>
  <c r="N86" i="54"/>
  <c r="AG86" i="53"/>
  <c r="N223" i="54"/>
  <c r="AG223" i="53"/>
  <c r="N23" i="54"/>
  <c r="AG23" i="53"/>
  <c r="AG97" i="53"/>
  <c r="N97" i="54"/>
  <c r="AG26" i="53"/>
  <c r="N26" i="54"/>
  <c r="AF254" i="56"/>
  <c r="AU254" i="56"/>
  <c r="AF53" i="56"/>
  <c r="AU53" i="56"/>
  <c r="AU213" i="56"/>
  <c r="AF213" i="56"/>
  <c r="N253" i="54"/>
  <c r="AG253" i="53"/>
  <c r="N183" i="54"/>
  <c r="AG183" i="53"/>
  <c r="N252" i="54"/>
  <c r="AG252" i="53"/>
  <c r="AF39" i="56"/>
  <c r="AU39" i="56"/>
  <c r="AF52" i="56"/>
  <c r="AU52" i="56"/>
  <c r="AF142" i="56"/>
  <c r="AU142" i="56"/>
  <c r="AU117" i="56"/>
  <c r="AF117" i="56"/>
  <c r="AF174" i="56"/>
  <c r="AU174" i="56"/>
  <c r="AU288" i="56"/>
  <c r="AF288" i="56"/>
  <c r="N27" i="54"/>
  <c r="AG27" i="53"/>
  <c r="AG104" i="53"/>
  <c r="N104" i="54"/>
  <c r="AF169" i="56"/>
  <c r="AU169" i="56"/>
  <c r="AU233" i="56"/>
  <c r="AF233" i="56"/>
  <c r="AU145" i="56"/>
  <c r="AF145" i="56"/>
  <c r="AF84" i="56"/>
  <c r="AU84" i="56"/>
  <c r="AU277" i="56"/>
  <c r="AF277" i="56"/>
  <c r="AF286" i="56"/>
  <c r="AU286" i="56"/>
  <c r="AF247" i="56"/>
  <c r="AU247" i="56"/>
  <c r="AG19" i="53"/>
  <c r="N19" i="54"/>
  <c r="N179" i="54"/>
  <c r="AG179" i="53"/>
  <c r="AG236" i="53"/>
  <c r="N236" i="54"/>
  <c r="N307" i="54"/>
  <c r="AG307" i="53"/>
  <c r="N285" i="54"/>
  <c r="AG285" i="53"/>
  <c r="AF199" i="56"/>
  <c r="AU199" i="56"/>
  <c r="N94" i="54"/>
  <c r="AG94" i="53"/>
  <c r="AG84" i="53"/>
  <c r="N84" i="54"/>
  <c r="N82" i="54"/>
  <c r="AG82" i="53"/>
  <c r="N29" i="54"/>
  <c r="AG29" i="53"/>
  <c r="N265" i="54"/>
  <c r="AG265" i="53"/>
  <c r="AF138" i="56"/>
  <c r="AU138" i="56"/>
  <c r="AF226" i="56"/>
  <c r="AU226" i="56"/>
  <c r="AF23" i="56"/>
  <c r="AU23" i="56"/>
  <c r="AF119" i="56"/>
  <c r="AU119" i="56"/>
  <c r="N210" i="54"/>
  <c r="AG210" i="53"/>
  <c r="N105" i="54"/>
  <c r="AG105" i="53"/>
  <c r="AF94" i="56"/>
  <c r="AU94" i="56"/>
  <c r="AF272" i="56"/>
  <c r="AU272" i="56"/>
  <c r="AF32" i="56"/>
  <c r="AU32" i="56"/>
  <c r="AU66" i="56"/>
  <c r="AF66" i="56"/>
  <c r="AF114" i="56"/>
  <c r="AU114" i="56"/>
  <c r="AG96" i="53"/>
  <c r="N96" i="54"/>
  <c r="AF122" i="56"/>
  <c r="AU122" i="56"/>
  <c r="AF103" i="56"/>
  <c r="AU103" i="56"/>
  <c r="AF79" i="56"/>
  <c r="AU79" i="56"/>
  <c r="N49" i="54"/>
  <c r="AG49" i="53"/>
  <c r="N304" i="54"/>
  <c r="AG304" i="53"/>
  <c r="AU81" i="56"/>
  <c r="AF81" i="56"/>
  <c r="N303" i="54"/>
  <c r="AG303" i="53"/>
  <c r="N276" i="54"/>
  <c r="AG276" i="53"/>
  <c r="N115" i="54"/>
  <c r="AG115" i="53"/>
  <c r="AF268" i="56"/>
  <c r="AU268" i="56"/>
  <c r="AF302" i="56"/>
  <c r="AU302" i="56"/>
  <c r="AF76" i="56"/>
  <c r="AU76" i="56"/>
  <c r="AF50" i="56"/>
  <c r="AU50" i="56"/>
  <c r="N163" i="54"/>
  <c r="AG163" i="53"/>
  <c r="AF261" i="56"/>
  <c r="AU261" i="56"/>
  <c r="AF58" i="56"/>
  <c r="AU58" i="56"/>
  <c r="N240" i="54"/>
  <c r="AG240" i="53"/>
  <c r="AF75" i="56"/>
  <c r="AU75" i="56"/>
  <c r="AF59" i="56"/>
  <c r="AU59" i="56"/>
  <c r="AF15" i="56"/>
  <c r="M7" i="56"/>
  <c r="G114" i="66" s="1"/>
  <c r="AU15" i="56"/>
  <c r="M13" i="56"/>
  <c r="AF13" i="56" s="1"/>
  <c r="AU130" i="56"/>
  <c r="AF130" i="56"/>
  <c r="N186" i="54"/>
  <c r="AG186" i="53"/>
  <c r="N76" i="54"/>
  <c r="AG76" i="53"/>
  <c r="N46" i="54"/>
  <c r="AG46" i="53"/>
  <c r="N243" i="54"/>
  <c r="AG243" i="53"/>
  <c r="AG34" i="53"/>
  <c r="N34" i="54"/>
  <c r="AU96" i="56"/>
  <c r="AF96" i="56"/>
  <c r="AF42" i="56"/>
  <c r="AU42" i="56"/>
  <c r="AF85" i="56"/>
  <c r="AU85" i="56"/>
  <c r="AU143" i="56"/>
  <c r="AF143" i="56"/>
  <c r="N99" i="54"/>
  <c r="AG99" i="53"/>
  <c r="N162" i="54"/>
  <c r="AG162" i="53"/>
  <c r="N125" i="54"/>
  <c r="AG125" i="53"/>
  <c r="N47" i="54"/>
  <c r="AG47" i="53"/>
  <c r="N141" i="54"/>
  <c r="AG141" i="53"/>
  <c r="N88" i="54"/>
  <c r="AG88" i="53"/>
  <c r="AU64" i="56"/>
  <c r="AF64" i="56"/>
  <c r="AU264" i="56"/>
  <c r="AF264" i="56"/>
  <c r="AU195" i="56"/>
  <c r="AF195" i="56"/>
  <c r="AF78" i="56"/>
  <c r="AU78" i="56"/>
  <c r="AF225" i="56"/>
  <c r="AU225" i="56"/>
  <c r="AF22" i="66"/>
  <c r="T22" i="66"/>
  <c r="AP22" i="66" s="1"/>
  <c r="AF102" i="56"/>
  <c r="AU102" i="56"/>
  <c r="N294" i="54"/>
  <c r="AG294" i="53"/>
  <c r="N39" i="54"/>
  <c r="AG39" i="53"/>
  <c r="N90" i="54"/>
  <c r="AG90" i="53"/>
  <c r="N92" i="54"/>
  <c r="AG92" i="53"/>
  <c r="J37" i="66"/>
  <c r="O11" i="42"/>
  <c r="O10" i="42"/>
  <c r="AF13" i="42"/>
  <c r="V8" i="60"/>
  <c r="AF30" i="56"/>
  <c r="AU30" i="56"/>
  <c r="AG135" i="53"/>
  <c r="N135" i="54"/>
  <c r="AF260" i="56"/>
  <c r="AU260" i="56"/>
  <c r="AU196" i="56"/>
  <c r="AF196" i="56"/>
  <c r="AF265" i="56"/>
  <c r="AU265" i="56"/>
  <c r="N114" i="54"/>
  <c r="AG114" i="53"/>
  <c r="AG45" i="53"/>
  <c r="N45" i="54"/>
  <c r="N69" i="54"/>
  <c r="AG69" i="53"/>
  <c r="AF132" i="56"/>
  <c r="AU132" i="56"/>
  <c r="N215" i="54"/>
  <c r="AG215" i="53"/>
  <c r="AU270" i="56"/>
  <c r="AF270" i="56"/>
  <c r="AG270" i="53"/>
  <c r="N270" i="54"/>
  <c r="AG66" i="53"/>
  <c r="N66" i="54"/>
  <c r="N101" i="54"/>
  <c r="AG101" i="53"/>
  <c r="N225" i="54"/>
  <c r="AG225" i="53"/>
  <c r="N140" i="54"/>
  <c r="AG140" i="53"/>
  <c r="N173" i="54"/>
  <c r="AG173" i="53"/>
  <c r="AG51" i="53"/>
  <c r="N51" i="54"/>
  <c r="AU24" i="56"/>
  <c r="AF24" i="56"/>
  <c r="AF18" i="56"/>
  <c r="AU18" i="56"/>
  <c r="AF45" i="56"/>
  <c r="AU45" i="56"/>
  <c r="AF49" i="56"/>
  <c r="AU49" i="56"/>
  <c r="N98" i="54"/>
  <c r="AG98" i="53"/>
  <c r="N113" i="54"/>
  <c r="AG113" i="53"/>
  <c r="N292" i="54"/>
  <c r="AG292" i="53"/>
  <c r="N87" i="54"/>
  <c r="AG87" i="53"/>
  <c r="N148" i="54"/>
  <c r="AG148" i="53"/>
  <c r="AF186" i="56"/>
  <c r="AU186" i="56"/>
  <c r="AF29" i="56"/>
  <c r="AU29" i="56"/>
  <c r="N238" i="54"/>
  <c r="AG238" i="53"/>
  <c r="AF116" i="56"/>
  <c r="AU116" i="56"/>
  <c r="AU227" i="56"/>
  <c r="AF227" i="56"/>
  <c r="AF235" i="56"/>
  <c r="AU235" i="56"/>
  <c r="AF238" i="56"/>
  <c r="AU238" i="56"/>
  <c r="AF251" i="56"/>
  <c r="AU251" i="56"/>
  <c r="N227" i="54"/>
  <c r="AG227" i="53"/>
  <c r="N232" i="54"/>
  <c r="AG232" i="53"/>
  <c r="N124" i="54"/>
  <c r="AG124" i="53"/>
  <c r="N41" i="54"/>
  <c r="AG41" i="53"/>
  <c r="AG245" i="53"/>
  <c r="N245" i="54"/>
  <c r="N73" i="54"/>
  <c r="AG73" i="53"/>
  <c r="AU100" i="56"/>
  <c r="AF100" i="56"/>
  <c r="AF243" i="56"/>
  <c r="AU243" i="56"/>
  <c r="AU211" i="56"/>
  <c r="AF211" i="56"/>
  <c r="N118" i="54"/>
  <c r="AG118" i="53"/>
  <c r="N300" i="54"/>
  <c r="AG300" i="53"/>
  <c r="N208" i="54"/>
  <c r="AG208" i="53"/>
  <c r="AF35" i="56"/>
  <c r="AU35" i="56"/>
  <c r="N165" i="54"/>
  <c r="AG165" i="53"/>
  <c r="AG251" i="53"/>
  <c r="N251" i="54"/>
  <c r="N199" i="54"/>
  <c r="AG199" i="53"/>
  <c r="AF93" i="56"/>
  <c r="AU93" i="56"/>
  <c r="N248" i="54"/>
  <c r="AG248" i="53"/>
  <c r="AG147" i="53"/>
  <c r="N147" i="54"/>
  <c r="AF231" i="56"/>
  <c r="AU231" i="56"/>
  <c r="AU300" i="56"/>
  <c r="AF300" i="56"/>
  <c r="AF104" i="56"/>
  <c r="AU104" i="56"/>
  <c r="AU223" i="56"/>
  <c r="AF223" i="56"/>
  <c r="AU203" i="56"/>
  <c r="AF203" i="56"/>
  <c r="N202" i="54"/>
  <c r="AG202" i="53"/>
  <c r="AG142" i="53"/>
  <c r="N142" i="54"/>
  <c r="N59" i="54"/>
  <c r="AG59" i="53"/>
  <c r="N72" i="54"/>
  <c r="AG72" i="53"/>
  <c r="AG64" i="53"/>
  <c r="N64" i="54"/>
  <c r="AF150" i="56"/>
  <c r="AU150" i="56"/>
  <c r="AF170" i="56"/>
  <c r="AU170" i="56"/>
  <c r="AU101" i="56"/>
  <c r="AF101" i="56"/>
  <c r="AF152" i="56"/>
  <c r="AU152" i="56"/>
  <c r="AF115" i="56"/>
  <c r="AU115" i="56"/>
  <c r="AU17" i="56"/>
  <c r="AF17" i="56"/>
  <c r="N131" i="54"/>
  <c r="AG131" i="53"/>
  <c r="N160" i="54"/>
  <c r="AG160" i="53"/>
  <c r="N137" i="54"/>
  <c r="AG137" i="53"/>
  <c r="N269" i="54"/>
  <c r="AG269" i="53"/>
  <c r="AF229" i="56"/>
  <c r="AU229" i="56"/>
  <c r="AF284" i="56"/>
  <c r="AU284" i="56"/>
  <c r="AU280" i="56"/>
  <c r="AF280" i="56"/>
  <c r="AU136" i="56"/>
  <c r="AF136" i="56"/>
  <c r="AU206" i="56"/>
  <c r="AF206" i="56"/>
  <c r="AG286" i="53"/>
  <c r="N286" i="54"/>
  <c r="N216" i="54"/>
  <c r="AG216" i="53"/>
  <c r="N106" i="54"/>
  <c r="AG106" i="53"/>
  <c r="N242" i="54"/>
  <c r="AG242" i="53"/>
  <c r="N250" i="54"/>
  <c r="AG250" i="53"/>
  <c r="N187" i="54"/>
  <c r="AG187" i="53"/>
  <c r="AF205" i="56"/>
  <c r="AU205" i="56"/>
  <c r="AF148" i="56"/>
  <c r="AU148" i="56"/>
  <c r="N275" i="54"/>
  <c r="AG275" i="53"/>
  <c r="AF95" i="56"/>
  <c r="AU95" i="56"/>
  <c r="AF31" i="56"/>
  <c r="AU31" i="56"/>
  <c r="N134" i="54"/>
  <c r="AG134" i="53"/>
  <c r="N83" i="54"/>
  <c r="AG83" i="53"/>
  <c r="AG235" i="53"/>
  <c r="N235" i="54"/>
  <c r="AG255" i="53"/>
  <c r="N255" i="54"/>
  <c r="N37" i="54"/>
  <c r="AG37" i="53"/>
  <c r="N62" i="54"/>
  <c r="AG62" i="53"/>
  <c r="AF293" i="56"/>
  <c r="AU293" i="56"/>
  <c r="AU183" i="56"/>
  <c r="AF183" i="56"/>
  <c r="AF63" i="56"/>
  <c r="AU63" i="56"/>
  <c r="AG74" i="53"/>
  <c r="N74" i="54"/>
  <c r="AG306" i="53"/>
  <c r="N306" i="54"/>
  <c r="AF109" i="56"/>
  <c r="AU109" i="56"/>
  <c r="AF292" i="56"/>
  <c r="AU292" i="56"/>
  <c r="AU294" i="56"/>
  <c r="AF294" i="56"/>
  <c r="AF134" i="56"/>
  <c r="AU134" i="56"/>
  <c r="AU218" i="56"/>
  <c r="AF218" i="56"/>
  <c r="N217" i="54"/>
  <c r="AG217" i="53"/>
  <c r="AG290" i="53"/>
  <c r="N290" i="54"/>
  <c r="N194" i="54"/>
  <c r="AG194" i="53"/>
  <c r="N110" i="54"/>
  <c r="AG110" i="53"/>
  <c r="N171" i="54"/>
  <c r="AG171" i="53"/>
  <c r="N151" i="54"/>
  <c r="AG151" i="53"/>
  <c r="AF97" i="56"/>
  <c r="AU97" i="56"/>
  <c r="AU71" i="56"/>
  <c r="AF71" i="56"/>
  <c r="AU209" i="56"/>
  <c r="AF209" i="56"/>
  <c r="AF295" i="56"/>
  <c r="AU295" i="56"/>
  <c r="AF135" i="56"/>
  <c r="AU135" i="56"/>
  <c r="N116" i="54"/>
  <c r="AG116" i="53"/>
  <c r="AG274" i="53"/>
  <c r="N274" i="54"/>
  <c r="AG195" i="53"/>
  <c r="N195" i="54"/>
  <c r="N44" i="54"/>
  <c r="AG44" i="53"/>
  <c r="AF187" i="56"/>
  <c r="AU187" i="56"/>
  <c r="AF184" i="56"/>
  <c r="AU184" i="56"/>
  <c r="AG20" i="53"/>
  <c r="N20" i="54"/>
  <c r="AU230" i="56"/>
  <c r="AF230" i="56"/>
  <c r="AF80" i="56"/>
  <c r="AU80" i="56"/>
  <c r="N279" i="54"/>
  <c r="AG279" i="53"/>
  <c r="AG149" i="53"/>
  <c r="N149" i="54"/>
  <c r="N150" i="54"/>
  <c r="AG150" i="53"/>
  <c r="AU228" i="56"/>
  <c r="AF228" i="56"/>
  <c r="AF68" i="56"/>
  <c r="AU68" i="56"/>
  <c r="AU303" i="56"/>
  <c r="AF303" i="56"/>
  <c r="AU214" i="56"/>
  <c r="AF214" i="56"/>
  <c r="AG268" i="53"/>
  <c r="N268" i="54"/>
  <c r="N203" i="54"/>
  <c r="AG203" i="53"/>
  <c r="AF155" i="56"/>
  <c r="AU155" i="56"/>
  <c r="AF23" i="66"/>
  <c r="T23" i="66"/>
  <c r="AP23" i="66" s="1"/>
  <c r="AF256" i="56"/>
  <c r="AU256" i="56"/>
  <c r="N261" i="54"/>
  <c r="AG261" i="53"/>
  <c r="N228" i="54"/>
  <c r="AG228" i="53"/>
  <c r="AF147" i="56"/>
  <c r="AU147" i="56"/>
  <c r="AF244" i="56"/>
  <c r="AU244" i="56"/>
  <c r="N231" i="54"/>
  <c r="AG231" i="53"/>
  <c r="AU274" i="56"/>
  <c r="AF274" i="56"/>
  <c r="N263" i="54"/>
  <c r="AG263" i="53"/>
  <c r="N197" i="54"/>
  <c r="AG197" i="53"/>
  <c r="N25" i="54"/>
  <c r="AG25" i="53"/>
  <c r="N296" i="54"/>
  <c r="AG296" i="53"/>
  <c r="AU133" i="56"/>
  <c r="AF133" i="56"/>
  <c r="AF191" i="56"/>
  <c r="AU191" i="56"/>
  <c r="AU46" i="56"/>
  <c r="AF46" i="56"/>
  <c r="AU151" i="56"/>
  <c r="AF151" i="56"/>
  <c r="AU201" i="56"/>
  <c r="AF201" i="56"/>
  <c r="N247" i="54"/>
  <c r="AG247" i="53"/>
  <c r="AG17" i="53"/>
  <c r="N17" i="54"/>
  <c r="N22" i="54"/>
  <c r="AG22" i="53"/>
  <c r="N196" i="54"/>
  <c r="AG196" i="53"/>
  <c r="N18" i="54"/>
  <c r="AG18" i="53"/>
  <c r="T138" i="66"/>
  <c r="I145" i="66"/>
  <c r="T145" i="66" s="1"/>
  <c r="AF20" i="56"/>
  <c r="AU20" i="56"/>
  <c r="AF41" i="56"/>
  <c r="AU41" i="56"/>
  <c r="AF269" i="56"/>
  <c r="AU269" i="56"/>
  <c r="N288" i="54"/>
  <c r="AG288" i="53"/>
  <c r="N81" i="54"/>
  <c r="AG81" i="53"/>
  <c r="N237" i="54"/>
  <c r="AG237" i="53"/>
  <c r="AG123" i="53"/>
  <c r="N123" i="54"/>
  <c r="N71" i="54"/>
  <c r="AG71" i="53"/>
  <c r="AG280" i="53"/>
  <c r="N280" i="54"/>
  <c r="AF73" i="66"/>
  <c r="T73" i="66"/>
  <c r="AP73" i="66" s="1"/>
  <c r="AZ73" i="66"/>
  <c r="AU242" i="56"/>
  <c r="AF242" i="56"/>
  <c r="AF236" i="56"/>
  <c r="AU236" i="56"/>
  <c r="AU83" i="56"/>
  <c r="AF83" i="56"/>
  <c r="N257" i="54"/>
  <c r="AG257" i="53"/>
  <c r="N119" i="54"/>
  <c r="AG119" i="53"/>
  <c r="N218" i="54"/>
  <c r="AG218" i="53"/>
  <c r="AU87" i="56"/>
  <c r="AF87" i="56"/>
  <c r="N139" i="54"/>
  <c r="AG139" i="53"/>
  <c r="N120" i="54"/>
  <c r="AG120" i="53"/>
  <c r="N181" i="54"/>
  <c r="AG181" i="53"/>
  <c r="I24" i="66"/>
  <c r="AF17" i="66"/>
  <c r="T17" i="66"/>
  <c r="AP17" i="66" s="1"/>
  <c r="AF161" i="56"/>
  <c r="AU161" i="56"/>
  <c r="AF99" i="56"/>
  <c r="AU99" i="56"/>
  <c r="AF237" i="56"/>
  <c r="AU237" i="56"/>
  <c r="AF290" i="56"/>
  <c r="AU290" i="56"/>
  <c r="N278" i="54"/>
  <c r="AG278" i="53"/>
  <c r="N190" i="54"/>
  <c r="AG190" i="53"/>
  <c r="N122" i="54"/>
  <c r="AG122" i="53"/>
  <c r="AG91" i="53"/>
  <c r="N91" i="54"/>
  <c r="AF301" i="56"/>
  <c r="AU301" i="56"/>
  <c r="AU61" i="56"/>
  <c r="AF61" i="56"/>
  <c r="AU98" i="56"/>
  <c r="AF98" i="56"/>
  <c r="AF106" i="56"/>
  <c r="AU106" i="56"/>
  <c r="AF19" i="56"/>
  <c r="AU19" i="56"/>
  <c r="AF232" i="56"/>
  <c r="AU232" i="56"/>
  <c r="AF28" i="56"/>
  <c r="AU28" i="56"/>
  <c r="N36" i="54"/>
  <c r="AG36" i="53"/>
  <c r="AG189" i="53"/>
  <c r="N189" i="54"/>
  <c r="AG67" i="53"/>
  <c r="N67" i="54"/>
  <c r="U35" i="66"/>
  <c r="AQ35" i="66" s="1"/>
  <c r="BA35" i="66"/>
  <c r="AG35" i="66"/>
  <c r="N260" i="54"/>
  <c r="AG260" i="53"/>
  <c r="N38" i="54"/>
  <c r="AG38" i="53"/>
  <c r="AF26" i="56"/>
  <c r="AU26" i="56"/>
  <c r="AU91" i="56"/>
  <c r="AF91" i="56"/>
  <c r="AU190" i="56"/>
  <c r="AF190" i="56"/>
  <c r="AG182" i="53"/>
  <c r="N182" i="54"/>
  <c r="AF89" i="56"/>
  <c r="AU89" i="56"/>
  <c r="AF21" i="66"/>
  <c r="T21" i="66"/>
  <c r="AP21" i="66" s="1"/>
  <c r="AF125" i="56"/>
  <c r="AU125" i="56"/>
  <c r="AU22" i="56"/>
  <c r="AF22" i="56"/>
  <c r="AU171" i="56"/>
  <c r="AF171" i="56"/>
  <c r="N145" i="54"/>
  <c r="AG145" i="53"/>
  <c r="N100" i="54"/>
  <c r="AG100" i="53"/>
  <c r="N155" i="54"/>
  <c r="AG155" i="53"/>
  <c r="AG32" i="53"/>
  <c r="N32" i="54"/>
  <c r="AF156" i="56"/>
  <c r="AU156" i="56"/>
  <c r="AU60" i="56"/>
  <c r="AF60" i="56"/>
  <c r="AF55" i="56"/>
  <c r="AU55" i="56"/>
  <c r="AF36" i="56"/>
  <c r="AU36" i="56"/>
  <c r="AF259" i="56"/>
  <c r="AU259" i="56"/>
  <c r="AF176" i="56"/>
  <c r="AU176" i="56"/>
  <c r="AF20" i="66"/>
  <c r="T20" i="66"/>
  <c r="AP20" i="66" s="1"/>
  <c r="N48" i="54"/>
  <c r="AG48" i="53"/>
  <c r="N209" i="54"/>
  <c r="AG209" i="53"/>
  <c r="N138" i="54"/>
  <c r="AG138" i="53"/>
  <c r="N89" i="54"/>
  <c r="AG89" i="53"/>
  <c r="N282" i="54"/>
  <c r="AG282" i="53"/>
  <c r="AF43" i="56"/>
  <c r="AU43" i="56"/>
  <c r="AF128" i="56"/>
  <c r="AU128" i="56"/>
  <c r="AF240" i="56"/>
  <c r="AU240" i="56"/>
  <c r="N143" i="54"/>
  <c r="AG143" i="53"/>
  <c r="AG158" i="53"/>
  <c r="N158" i="54"/>
  <c r="U36" i="66"/>
  <c r="AQ36" i="66" s="1"/>
  <c r="AG36" i="66"/>
  <c r="BA36" i="66"/>
  <c r="N258" i="54"/>
  <c r="AG258" i="53"/>
  <c r="N204" i="54"/>
  <c r="AG204" i="53"/>
  <c r="AF305" i="56"/>
  <c r="AU305" i="56"/>
  <c r="AU287" i="56"/>
  <c r="AF287" i="56"/>
  <c r="N213" i="54"/>
  <c r="AG213" i="53"/>
  <c r="AF127" i="56"/>
  <c r="AU127" i="56"/>
  <c r="N207" i="54"/>
  <c r="AG207" i="53"/>
  <c r="N24" i="54"/>
  <c r="AG24" i="53"/>
  <c r="N129" i="54"/>
  <c r="AG129" i="53"/>
  <c r="AF173" i="56"/>
  <c r="AU173" i="56"/>
  <c r="AF57" i="56"/>
  <c r="AU57" i="56"/>
  <c r="AU221" i="56"/>
  <c r="AF221" i="56"/>
  <c r="AF141" i="56"/>
  <c r="AU141" i="56"/>
  <c r="AF271" i="56"/>
  <c r="AU271" i="56"/>
  <c r="AU283" i="56"/>
  <c r="AF283" i="56"/>
  <c r="AF215" i="56"/>
  <c r="AU215" i="56"/>
  <c r="N121" i="54"/>
  <c r="AG121" i="53"/>
  <c r="N206" i="54"/>
  <c r="AG206" i="53"/>
  <c r="N55" i="54"/>
  <c r="AG55" i="53"/>
  <c r="AF158" i="56"/>
  <c r="AU158" i="56"/>
  <c r="AF307" i="56"/>
  <c r="AU307" i="56"/>
  <c r="AF279" i="56"/>
  <c r="AU279" i="56"/>
  <c r="AF289" i="56"/>
  <c r="AU289" i="56"/>
  <c r="AU276" i="56"/>
  <c r="AF276" i="56"/>
  <c r="N21" i="54"/>
  <c r="AG21" i="53"/>
  <c r="N157" i="54"/>
  <c r="AG157" i="53"/>
  <c r="N152" i="54"/>
  <c r="AG152" i="53"/>
  <c r="N284" i="54"/>
  <c r="AG284" i="53"/>
  <c r="AG111" i="53"/>
  <c r="N111" i="54"/>
  <c r="U32" i="66"/>
  <c r="AQ32" i="66" s="1"/>
  <c r="AG32" i="66"/>
  <c r="BA32" i="66"/>
  <c r="N54" i="54"/>
  <c r="AG54" i="53"/>
  <c r="N56" i="54"/>
  <c r="AG56" i="53"/>
  <c r="AF110" i="56"/>
  <c r="AU110" i="56"/>
  <c r="AU90" i="56"/>
  <c r="AF90" i="56"/>
  <c r="N159" i="54"/>
  <c r="AG159" i="53"/>
  <c r="N65" i="54"/>
  <c r="AG65" i="53"/>
  <c r="N220" i="54"/>
  <c r="AG220" i="53"/>
  <c r="AF266" i="56"/>
  <c r="AU266" i="56"/>
  <c r="AF282" i="56"/>
  <c r="AU282" i="56"/>
  <c r="AF74" i="56"/>
  <c r="AU74" i="56"/>
  <c r="AU51" i="56"/>
  <c r="AF51" i="56"/>
  <c r="N191" i="54"/>
  <c r="AG191" i="53"/>
  <c r="AG297" i="53"/>
  <c r="N297" i="54"/>
  <c r="AF297" i="56"/>
  <c r="AU297" i="56"/>
  <c r="N264" i="54"/>
  <c r="AG264" i="53"/>
  <c r="AU241" i="56"/>
  <c r="AF241" i="56"/>
  <c r="AU220" i="56"/>
  <c r="AF220" i="56"/>
  <c r="N107" i="54"/>
  <c r="AG107" i="53"/>
  <c r="N35" i="54"/>
  <c r="AG35" i="53"/>
  <c r="AF124" i="56"/>
  <c r="AU124" i="56"/>
  <c r="AU252" i="56"/>
  <c r="AF252" i="56"/>
  <c r="N43" i="54"/>
  <c r="AG43" i="53"/>
  <c r="N214" i="54"/>
  <c r="AG214" i="53"/>
  <c r="AG192" i="53"/>
  <c r="N192" i="54"/>
  <c r="N58" i="54"/>
  <c r="AG58" i="53"/>
  <c r="AF234" i="56"/>
  <c r="AU234" i="56"/>
  <c r="N117" i="54"/>
  <c r="AG117" i="53"/>
  <c r="N168" i="54"/>
  <c r="AG168" i="53"/>
  <c r="N103" i="54"/>
  <c r="AG103" i="53"/>
  <c r="AF188" i="56"/>
  <c r="AU188" i="56"/>
  <c r="AF178" i="56"/>
  <c r="AU178" i="56"/>
  <c r="N244" i="54"/>
  <c r="AG244" i="53"/>
  <c r="AF296" i="56"/>
  <c r="AU296" i="56"/>
  <c r="N230" i="54"/>
  <c r="AG230" i="53"/>
  <c r="N200" i="54"/>
  <c r="AG200" i="53"/>
  <c r="N233" i="54"/>
  <c r="AG233" i="53"/>
  <c r="N166" i="54"/>
  <c r="AG166" i="53"/>
  <c r="N185" i="54"/>
  <c r="AG185" i="53"/>
  <c r="AG174" i="53"/>
  <c r="N174" i="54"/>
  <c r="AU239" i="56"/>
  <c r="AF239" i="56"/>
  <c r="AU165" i="56"/>
  <c r="AF165" i="56"/>
  <c r="AF212" i="56"/>
  <c r="AU212" i="56"/>
  <c r="AF37" i="56"/>
  <c r="AU37" i="56"/>
  <c r="AU180" i="56"/>
  <c r="AF180" i="56"/>
  <c r="U31" i="66"/>
  <c r="AQ31" i="66" s="1"/>
  <c r="AG31" i="66"/>
  <c r="BA31" i="66"/>
  <c r="N130" i="54"/>
  <c r="AG130" i="53"/>
  <c r="N273" i="54"/>
  <c r="AG273" i="53"/>
  <c r="N169" i="54"/>
  <c r="AG169" i="53"/>
  <c r="N305" i="54"/>
  <c r="AG305" i="53"/>
  <c r="AU285" i="56"/>
  <c r="AF285" i="56"/>
  <c r="AU108" i="56"/>
  <c r="AF108" i="56"/>
  <c r="AF291" i="56"/>
  <c r="AU291" i="56"/>
  <c r="AU250" i="56"/>
  <c r="AF250" i="56"/>
  <c r="AF149" i="56"/>
  <c r="AU149" i="56"/>
  <c r="N57" i="54"/>
  <c r="AG57" i="53"/>
  <c r="N31" i="54"/>
  <c r="AG31" i="53"/>
  <c r="N281" i="54"/>
  <c r="AG281" i="53"/>
  <c r="U33" i="66"/>
  <c r="AQ33" i="66" s="1"/>
  <c r="BA33" i="66"/>
  <c r="AG33" i="66"/>
  <c r="N127" i="54"/>
  <c r="AG127" i="53"/>
  <c r="AG289" i="53"/>
  <c r="N289" i="54"/>
  <c r="AF44" i="56"/>
  <c r="AU44" i="56"/>
  <c r="AU48" i="56"/>
  <c r="AF48" i="56"/>
  <c r="AU298" i="56"/>
  <c r="AF298" i="56"/>
  <c r="AF217" i="56"/>
  <c r="AU217" i="56"/>
  <c r="AF167" i="56"/>
  <c r="AU167" i="56"/>
  <c r="N78" i="54"/>
  <c r="AG78" i="53"/>
  <c r="N259" i="54"/>
  <c r="AG259" i="53"/>
  <c r="U30" i="66"/>
  <c r="AQ30" i="66" s="1"/>
  <c r="BA30" i="66"/>
  <c r="AG30" i="66"/>
  <c r="N153" i="54"/>
  <c r="AG153" i="53"/>
  <c r="N184" i="54"/>
  <c r="AG184" i="53"/>
  <c r="AU185" i="56"/>
  <c r="AF185" i="56"/>
  <c r="AF146" i="56"/>
  <c r="AU146" i="56"/>
  <c r="AF34" i="56"/>
  <c r="AU34" i="56"/>
  <c r="N28" i="54"/>
  <c r="AG28" i="53"/>
  <c r="AF278" i="56"/>
  <c r="AU278" i="56"/>
  <c r="AF112" i="56"/>
  <c r="AU112" i="56"/>
  <c r="AF253" i="56"/>
  <c r="AU253" i="56"/>
  <c r="N229" i="54"/>
  <c r="AG229" i="53"/>
  <c r="N154" i="54"/>
  <c r="AG154" i="53"/>
  <c r="N293" i="54"/>
  <c r="AG293" i="53"/>
  <c r="N221" i="54"/>
  <c r="AG221" i="53"/>
  <c r="N272" i="54"/>
  <c r="AG272" i="53"/>
  <c r="N302" i="54"/>
  <c r="AG302" i="53"/>
  <c r="AF255" i="56"/>
  <c r="AU255" i="56"/>
  <c r="AF245" i="56"/>
  <c r="AU245" i="56"/>
  <c r="AU193" i="56"/>
  <c r="AF193" i="56"/>
  <c r="AU163" i="56"/>
  <c r="AF163" i="56"/>
  <c r="AF258" i="56"/>
  <c r="AU258" i="56"/>
  <c r="AG193" i="53"/>
  <c r="N95" i="54"/>
  <c r="AG95" i="53"/>
  <c r="AG102" i="53"/>
  <c r="N102" i="54"/>
  <c r="N299" i="54"/>
  <c r="AG299" i="53"/>
  <c r="N112" i="54"/>
  <c r="AG112" i="53"/>
  <c r="AF306" i="56"/>
  <c r="AU306" i="56"/>
  <c r="AU33" i="56"/>
  <c r="AF33" i="56"/>
  <c r="AU172" i="56"/>
  <c r="AF172" i="56"/>
  <c r="AU304" i="56"/>
  <c r="AF304" i="56"/>
  <c r="N234" i="54"/>
  <c r="AG234" i="53"/>
  <c r="AF273" i="56"/>
  <c r="AU273" i="56"/>
  <c r="AU118" i="56"/>
  <c r="AF118" i="56"/>
  <c r="AF73" i="56"/>
  <c r="AU73" i="56"/>
  <c r="N60" i="54"/>
  <c r="AG60" i="53"/>
  <c r="N52" i="54"/>
  <c r="AG52" i="53"/>
  <c r="N16" i="54"/>
  <c r="AG16" i="53"/>
  <c r="AG77" i="53"/>
  <c r="N77" i="54"/>
  <c r="N85" i="54"/>
  <c r="AG85" i="53"/>
  <c r="AF182" i="56"/>
  <c r="AU182" i="56"/>
  <c r="AU166" i="56"/>
  <c r="AF166" i="56"/>
  <c r="AF210" i="56"/>
  <c r="AU210" i="56"/>
  <c r="N267" i="54"/>
  <c r="AG267" i="53"/>
  <c r="P20" i="42" l="1"/>
  <c r="P28" i="42"/>
  <c r="P36" i="42"/>
  <c r="P44" i="42"/>
  <c r="P52" i="42"/>
  <c r="P60" i="42"/>
  <c r="P68" i="42"/>
  <c r="P76" i="42"/>
  <c r="P84" i="42"/>
  <c r="P92" i="42"/>
  <c r="P100" i="42"/>
  <c r="P108" i="42"/>
  <c r="P116" i="42"/>
  <c r="P124" i="42"/>
  <c r="P132" i="42"/>
  <c r="P140" i="42"/>
  <c r="P148" i="42"/>
  <c r="P156" i="42"/>
  <c r="P164" i="42"/>
  <c r="P172" i="42"/>
  <c r="P180" i="42"/>
  <c r="P188" i="42"/>
  <c r="P196" i="42"/>
  <c r="P204" i="42"/>
  <c r="P212" i="42"/>
  <c r="P220" i="42"/>
  <c r="P228" i="42"/>
  <c r="P236" i="42"/>
  <c r="P244" i="42"/>
  <c r="P252" i="42"/>
  <c r="P260" i="42"/>
  <c r="P268" i="42"/>
  <c r="P276" i="42"/>
  <c r="P284" i="42"/>
  <c r="P292" i="42"/>
  <c r="P300" i="42"/>
  <c r="P15" i="42"/>
  <c r="P21" i="42"/>
  <c r="P29" i="42"/>
  <c r="P37" i="42"/>
  <c r="P45" i="42"/>
  <c r="P53" i="42"/>
  <c r="P61" i="42"/>
  <c r="P69" i="42"/>
  <c r="P77" i="42"/>
  <c r="P85" i="42"/>
  <c r="P93" i="42"/>
  <c r="P101" i="42"/>
  <c r="P109" i="42"/>
  <c r="P117" i="42"/>
  <c r="P125" i="42"/>
  <c r="P133" i="42"/>
  <c r="P141" i="42"/>
  <c r="P149" i="42"/>
  <c r="P157" i="42"/>
  <c r="P165" i="42"/>
  <c r="P173" i="42"/>
  <c r="P181" i="42"/>
  <c r="P189" i="42"/>
  <c r="P197" i="42"/>
  <c r="P205" i="42"/>
  <c r="P213" i="42"/>
  <c r="P221" i="42"/>
  <c r="P229" i="42"/>
  <c r="P237" i="42"/>
  <c r="P245" i="42"/>
  <c r="P253" i="42"/>
  <c r="P261" i="42"/>
  <c r="P269" i="42"/>
  <c r="P277" i="42"/>
  <c r="P285" i="42"/>
  <c r="P293" i="42"/>
  <c r="P301" i="42"/>
  <c r="P22" i="42"/>
  <c r="P30" i="42"/>
  <c r="P38" i="42"/>
  <c r="P46" i="42"/>
  <c r="P54" i="42"/>
  <c r="P62" i="42"/>
  <c r="P70" i="42"/>
  <c r="P78" i="42"/>
  <c r="P86" i="42"/>
  <c r="P94" i="42"/>
  <c r="P102" i="42"/>
  <c r="P110" i="42"/>
  <c r="P118" i="42"/>
  <c r="P126" i="42"/>
  <c r="P134" i="42"/>
  <c r="P142" i="42"/>
  <c r="P150" i="42"/>
  <c r="P158" i="42"/>
  <c r="P166" i="42"/>
  <c r="P174" i="42"/>
  <c r="P182" i="42"/>
  <c r="P190" i="42"/>
  <c r="P198" i="42"/>
  <c r="P206" i="42"/>
  <c r="P214" i="42"/>
  <c r="P222" i="42"/>
  <c r="P230" i="42"/>
  <c r="P238" i="42"/>
  <c r="P246" i="42"/>
  <c r="P254" i="42"/>
  <c r="P262" i="42"/>
  <c r="P270" i="42"/>
  <c r="P278" i="42"/>
  <c r="P286" i="42"/>
  <c r="P294" i="42"/>
  <c r="P302" i="42"/>
  <c r="P23" i="42"/>
  <c r="P31" i="42"/>
  <c r="P39" i="42"/>
  <c r="P47" i="42"/>
  <c r="P55" i="42"/>
  <c r="P63" i="42"/>
  <c r="P71" i="42"/>
  <c r="P79" i="42"/>
  <c r="P87" i="42"/>
  <c r="P95" i="42"/>
  <c r="P103" i="42"/>
  <c r="P111" i="42"/>
  <c r="P119" i="42"/>
  <c r="P127" i="42"/>
  <c r="P135" i="42"/>
  <c r="P143" i="42"/>
  <c r="P151" i="42"/>
  <c r="P159" i="42"/>
  <c r="P167" i="42"/>
  <c r="P175" i="42"/>
  <c r="P183" i="42"/>
  <c r="P191" i="42"/>
  <c r="P199" i="42"/>
  <c r="P207" i="42"/>
  <c r="P215" i="42"/>
  <c r="P223" i="42"/>
  <c r="P231" i="42"/>
  <c r="P239" i="42"/>
  <c r="P247" i="42"/>
  <c r="P255" i="42"/>
  <c r="P263" i="42"/>
  <c r="P271" i="42"/>
  <c r="P279" i="42"/>
  <c r="P16" i="42"/>
  <c r="P24" i="42"/>
  <c r="P32" i="42"/>
  <c r="P40" i="42"/>
  <c r="P48" i="42"/>
  <c r="P56" i="42"/>
  <c r="P64" i="42"/>
  <c r="P72" i="42"/>
  <c r="P80" i="42"/>
  <c r="P88" i="42"/>
  <c r="P96" i="42"/>
  <c r="P104" i="42"/>
  <c r="P112" i="42"/>
  <c r="P120" i="42"/>
  <c r="P128" i="42"/>
  <c r="P136" i="42"/>
  <c r="P144" i="42"/>
  <c r="P152" i="42"/>
  <c r="P160" i="42"/>
  <c r="P168" i="42"/>
  <c r="P176" i="42"/>
  <c r="P184" i="42"/>
  <c r="P192" i="42"/>
  <c r="P200" i="42"/>
  <c r="P208" i="42"/>
  <c r="P216" i="42"/>
  <c r="P224" i="42"/>
  <c r="P232" i="42"/>
  <c r="P240" i="42"/>
  <c r="P248" i="42"/>
  <c r="P256" i="42"/>
  <c r="P264" i="42"/>
  <c r="P272" i="42"/>
  <c r="P280" i="42"/>
  <c r="P288" i="42"/>
  <c r="P296" i="42"/>
  <c r="P304" i="42"/>
  <c r="P17" i="42"/>
  <c r="P25" i="42"/>
  <c r="P33" i="42"/>
  <c r="P41" i="42"/>
  <c r="P49" i="42"/>
  <c r="P57" i="42"/>
  <c r="P65" i="42"/>
  <c r="P73" i="42"/>
  <c r="P81" i="42"/>
  <c r="P89" i="42"/>
  <c r="P97" i="42"/>
  <c r="P105" i="42"/>
  <c r="P113" i="42"/>
  <c r="P121" i="42"/>
  <c r="P129" i="42"/>
  <c r="P137" i="42"/>
  <c r="P145" i="42"/>
  <c r="P153" i="42"/>
  <c r="P161" i="42"/>
  <c r="P169" i="42"/>
  <c r="P177" i="42"/>
  <c r="P185" i="42"/>
  <c r="P193" i="42"/>
  <c r="P201" i="42"/>
  <c r="P209" i="42"/>
  <c r="P217" i="42"/>
  <c r="P225" i="42"/>
  <c r="P233" i="42"/>
  <c r="P241" i="42"/>
  <c r="P249" i="42"/>
  <c r="P257" i="42"/>
  <c r="P265" i="42"/>
  <c r="P273" i="42"/>
  <c r="P281" i="42"/>
  <c r="P289" i="42"/>
  <c r="P18" i="42"/>
  <c r="P26" i="42"/>
  <c r="P34" i="42"/>
  <c r="P42" i="42"/>
  <c r="P50" i="42"/>
  <c r="P58" i="42"/>
  <c r="P66" i="42"/>
  <c r="P74" i="42"/>
  <c r="P82" i="42"/>
  <c r="P90" i="42"/>
  <c r="P98" i="42"/>
  <c r="P106" i="42"/>
  <c r="P114" i="42"/>
  <c r="P122" i="42"/>
  <c r="P130" i="42"/>
  <c r="P138" i="42"/>
  <c r="P146" i="42"/>
  <c r="P154" i="42"/>
  <c r="P162" i="42"/>
  <c r="P170" i="42"/>
  <c r="P178" i="42"/>
  <c r="P186" i="42"/>
  <c r="P194" i="42"/>
  <c r="P202" i="42"/>
  <c r="P210" i="42"/>
  <c r="P218" i="42"/>
  <c r="P226" i="42"/>
  <c r="P234" i="42"/>
  <c r="P242" i="42"/>
  <c r="P250" i="42"/>
  <c r="P258" i="42"/>
  <c r="P266" i="42"/>
  <c r="P274" i="42"/>
  <c r="P282" i="42"/>
  <c r="P290" i="42"/>
  <c r="P298" i="42"/>
  <c r="P306" i="42"/>
  <c r="P51" i="42"/>
  <c r="P115" i="42"/>
  <c r="P179" i="42"/>
  <c r="P243" i="42"/>
  <c r="P295" i="42"/>
  <c r="P59" i="42"/>
  <c r="P123" i="42"/>
  <c r="P187" i="42"/>
  <c r="P251" i="42"/>
  <c r="P297" i="42"/>
  <c r="P27" i="42"/>
  <c r="P67" i="42"/>
  <c r="P131" i="42"/>
  <c r="P195" i="42"/>
  <c r="P259" i="42"/>
  <c r="P299" i="42"/>
  <c r="P307" i="42"/>
  <c r="P75" i="42"/>
  <c r="P139" i="42"/>
  <c r="P203" i="42"/>
  <c r="P267" i="42"/>
  <c r="P303" i="42"/>
  <c r="P19" i="42"/>
  <c r="P83" i="42"/>
  <c r="P147" i="42"/>
  <c r="P211" i="42"/>
  <c r="P275" i="42"/>
  <c r="P305" i="42"/>
  <c r="P91" i="42"/>
  <c r="P155" i="42"/>
  <c r="P35" i="42"/>
  <c r="P99" i="42"/>
  <c r="P163" i="42"/>
  <c r="P227" i="42"/>
  <c r="P287" i="42"/>
  <c r="P219" i="42"/>
  <c r="P43" i="42"/>
  <c r="P107" i="42"/>
  <c r="P171" i="42"/>
  <c r="P235" i="42"/>
  <c r="P291" i="42"/>
  <c r="P283" i="42"/>
  <c r="I151" i="66"/>
  <c r="T151" i="66" s="1"/>
  <c r="N272" i="65"/>
  <c r="AG272" i="54"/>
  <c r="BA272" i="54" s="1"/>
  <c r="BL272" i="54"/>
  <c r="AG57" i="54"/>
  <c r="BA57" i="54" s="1"/>
  <c r="BL57" i="54"/>
  <c r="N57" i="65"/>
  <c r="AG117" i="54"/>
  <c r="BA117" i="54" s="1"/>
  <c r="N117" i="65"/>
  <c r="BL117" i="54"/>
  <c r="N36" i="65"/>
  <c r="BL36" i="54"/>
  <c r="AG36" i="54"/>
  <c r="BA36" i="54" s="1"/>
  <c r="N92" i="65"/>
  <c r="AG92" i="54"/>
  <c r="BA92" i="54" s="1"/>
  <c r="BL92" i="54"/>
  <c r="N141" i="65"/>
  <c r="BL141" i="54"/>
  <c r="AG141" i="54"/>
  <c r="BA141" i="54" s="1"/>
  <c r="N252" i="65"/>
  <c r="AG252" i="54"/>
  <c r="BA252" i="54" s="1"/>
  <c r="BL252" i="54"/>
  <c r="AG156" i="54"/>
  <c r="BA156" i="54" s="1"/>
  <c r="BL156" i="54"/>
  <c r="N156" i="65"/>
  <c r="AG136" i="54"/>
  <c r="BA136" i="54" s="1"/>
  <c r="BL136" i="54"/>
  <c r="N136" i="65"/>
  <c r="AG144" i="54"/>
  <c r="BA144" i="54" s="1"/>
  <c r="N144" i="65"/>
  <c r="BL144" i="54"/>
  <c r="AG93" i="54"/>
  <c r="BA93" i="54" s="1"/>
  <c r="BL93" i="54"/>
  <c r="N93" i="65"/>
  <c r="N61" i="65"/>
  <c r="BL61" i="54"/>
  <c r="AG61" i="54"/>
  <c r="BA61" i="54" s="1"/>
  <c r="AG102" i="54"/>
  <c r="BA102" i="54" s="1"/>
  <c r="N102" i="65"/>
  <c r="BL102" i="54"/>
  <c r="N221" i="65"/>
  <c r="BL221" i="54"/>
  <c r="AG221" i="54"/>
  <c r="BA221" i="54" s="1"/>
  <c r="AG192" i="54"/>
  <c r="BA192" i="54" s="1"/>
  <c r="N192" i="65"/>
  <c r="BL192" i="54"/>
  <c r="AG152" i="54"/>
  <c r="BA152" i="54" s="1"/>
  <c r="N152" i="65"/>
  <c r="BL152" i="54"/>
  <c r="N207" i="65"/>
  <c r="AG207" i="54"/>
  <c r="BA207" i="54" s="1"/>
  <c r="BL207" i="54"/>
  <c r="N143" i="65"/>
  <c r="AG143" i="54"/>
  <c r="BA143" i="54" s="1"/>
  <c r="BL143" i="54"/>
  <c r="N120" i="65"/>
  <c r="AG120" i="54"/>
  <c r="BA120" i="54" s="1"/>
  <c r="BL120" i="54"/>
  <c r="BL22" i="54"/>
  <c r="J72" i="66"/>
  <c r="N22" i="65"/>
  <c r="AG22" i="54"/>
  <c r="BA22" i="54" s="1"/>
  <c r="N228" i="65"/>
  <c r="BL228" i="54"/>
  <c r="AG228" i="54"/>
  <c r="BA228" i="54" s="1"/>
  <c r="N203" i="65"/>
  <c r="AG203" i="54"/>
  <c r="BA203" i="54" s="1"/>
  <c r="BL203" i="54"/>
  <c r="N279" i="65"/>
  <c r="AG279" i="54"/>
  <c r="BA279" i="54" s="1"/>
  <c r="BL279" i="54"/>
  <c r="N151" i="65"/>
  <c r="BL151" i="54"/>
  <c r="AG151" i="54"/>
  <c r="BA151" i="54" s="1"/>
  <c r="N235" i="65"/>
  <c r="AG235" i="54"/>
  <c r="BA235" i="54" s="1"/>
  <c r="BL235" i="54"/>
  <c r="N286" i="65"/>
  <c r="BL286" i="54"/>
  <c r="AG286" i="54"/>
  <c r="BA286" i="54" s="1"/>
  <c r="AG131" i="54"/>
  <c r="BA131" i="54" s="1"/>
  <c r="N131" i="65"/>
  <c r="BL131" i="54"/>
  <c r="N202" i="65"/>
  <c r="AG202" i="54"/>
  <c r="BA202" i="54" s="1"/>
  <c r="BL202" i="54"/>
  <c r="N147" i="65"/>
  <c r="BL147" i="54"/>
  <c r="AG147" i="54"/>
  <c r="BA147" i="54" s="1"/>
  <c r="N300" i="65"/>
  <c r="AG300" i="54"/>
  <c r="BA300" i="54" s="1"/>
  <c r="BL300" i="54"/>
  <c r="BL245" i="54"/>
  <c r="N245" i="65"/>
  <c r="AG245" i="54"/>
  <c r="BA245" i="54" s="1"/>
  <c r="BL66" i="54"/>
  <c r="N66" i="65"/>
  <c r="AG66" i="54"/>
  <c r="BA66" i="54" s="1"/>
  <c r="N215" i="65"/>
  <c r="AG215" i="54"/>
  <c r="BA215" i="54" s="1"/>
  <c r="BL215" i="54"/>
  <c r="AG90" i="54"/>
  <c r="BA90" i="54" s="1"/>
  <c r="N90" i="65"/>
  <c r="BL90" i="54"/>
  <c r="BL47" i="54"/>
  <c r="N47" i="65"/>
  <c r="AG47" i="54"/>
  <c r="BA47" i="54" s="1"/>
  <c r="BL46" i="54"/>
  <c r="N46" i="65"/>
  <c r="AG46" i="54"/>
  <c r="BA46" i="54" s="1"/>
  <c r="BL163" i="54"/>
  <c r="AG163" i="54"/>
  <c r="BA163" i="54" s="1"/>
  <c r="N163" i="65"/>
  <c r="N115" i="65"/>
  <c r="BL115" i="54"/>
  <c r="AG115" i="54"/>
  <c r="BA115" i="54" s="1"/>
  <c r="AG49" i="54"/>
  <c r="BA49" i="54" s="1"/>
  <c r="BL49" i="54"/>
  <c r="N49" i="65"/>
  <c r="N265" i="65"/>
  <c r="AG265" i="54"/>
  <c r="BA265" i="54" s="1"/>
  <c r="BL265" i="54"/>
  <c r="BL94" i="54"/>
  <c r="N94" i="65"/>
  <c r="AG94" i="54"/>
  <c r="BA94" i="54" s="1"/>
  <c r="AG307" i="54"/>
  <c r="BA307" i="54" s="1"/>
  <c r="BL307" i="54"/>
  <c r="N307" i="65"/>
  <c r="N23" i="65"/>
  <c r="AG23" i="54"/>
  <c r="BA23" i="54" s="1"/>
  <c r="BL23" i="54"/>
  <c r="N40" i="65"/>
  <c r="BL40" i="54"/>
  <c r="AG40" i="54"/>
  <c r="BA40" i="54" s="1"/>
  <c r="AG68" i="54"/>
  <c r="BA68" i="54" s="1"/>
  <c r="BL68" i="54"/>
  <c r="N68" i="65"/>
  <c r="N126" i="65"/>
  <c r="AG126" i="54"/>
  <c r="BA126" i="54" s="1"/>
  <c r="BL126" i="54"/>
  <c r="N70" i="65"/>
  <c r="AG70" i="54"/>
  <c r="BA70" i="54" s="1"/>
  <c r="BL70" i="54"/>
  <c r="N246" i="65"/>
  <c r="BL246" i="54"/>
  <c r="AG246" i="54"/>
  <c r="BA246" i="54" s="1"/>
  <c r="AG226" i="54"/>
  <c r="BA226" i="54" s="1"/>
  <c r="N226" i="65"/>
  <c r="BL226" i="54"/>
  <c r="BL176" i="54"/>
  <c r="AG176" i="54"/>
  <c r="BA176" i="54" s="1"/>
  <c r="N176" i="65"/>
  <c r="BL146" i="54"/>
  <c r="N146" i="65"/>
  <c r="AG146" i="54"/>
  <c r="BA146" i="54" s="1"/>
  <c r="I154" i="66"/>
  <c r="T154" i="66" s="1"/>
  <c r="AG181" i="54"/>
  <c r="BA181" i="54" s="1"/>
  <c r="BL181" i="54"/>
  <c r="N181" i="65"/>
  <c r="N196" i="65"/>
  <c r="AG196" i="54"/>
  <c r="BA196" i="54" s="1"/>
  <c r="BL196" i="54"/>
  <c r="AG231" i="54"/>
  <c r="BA231" i="54" s="1"/>
  <c r="N231" i="65"/>
  <c r="BL231" i="54"/>
  <c r="BL51" i="54"/>
  <c r="AG51" i="54"/>
  <c r="BA51" i="54" s="1"/>
  <c r="N51" i="65"/>
  <c r="BL99" i="54"/>
  <c r="N99" i="65"/>
  <c r="AG99" i="54"/>
  <c r="BA99" i="54" s="1"/>
  <c r="AG54" i="54"/>
  <c r="BA54" i="54" s="1"/>
  <c r="N54" i="65"/>
  <c r="BL54" i="54"/>
  <c r="BL81" i="54"/>
  <c r="N81" i="65"/>
  <c r="AG81" i="54"/>
  <c r="BA81" i="54" s="1"/>
  <c r="BL195" i="54"/>
  <c r="N195" i="65"/>
  <c r="AG195" i="54"/>
  <c r="BA195" i="54" s="1"/>
  <c r="N64" i="65"/>
  <c r="BL64" i="54"/>
  <c r="AG64" i="54"/>
  <c r="BA64" i="54" s="1"/>
  <c r="N73" i="65"/>
  <c r="BL73" i="54"/>
  <c r="AG73" i="54"/>
  <c r="BA73" i="54" s="1"/>
  <c r="AG101" i="54"/>
  <c r="BA101" i="54" s="1"/>
  <c r="BL101" i="54"/>
  <c r="N101" i="65"/>
  <c r="BL16" i="54"/>
  <c r="J71" i="66"/>
  <c r="N16" i="65"/>
  <c r="AG16" i="54"/>
  <c r="BA16" i="54" s="1"/>
  <c r="AG55" i="54"/>
  <c r="BA55" i="54" s="1"/>
  <c r="BL55" i="54"/>
  <c r="N55" i="65"/>
  <c r="BL258" i="54"/>
  <c r="AG258" i="54"/>
  <c r="BA258" i="54" s="1"/>
  <c r="N258" i="65"/>
  <c r="N209" i="65"/>
  <c r="AG209" i="54"/>
  <c r="BA209" i="54" s="1"/>
  <c r="BL209" i="54"/>
  <c r="AG145" i="54"/>
  <c r="BA145" i="54" s="1"/>
  <c r="BL145" i="54"/>
  <c r="N145" i="65"/>
  <c r="AG67" i="54"/>
  <c r="BA67" i="54" s="1"/>
  <c r="N67" i="65"/>
  <c r="BL67" i="54"/>
  <c r="BL190" i="54"/>
  <c r="N190" i="65"/>
  <c r="AG190" i="54"/>
  <c r="BA190" i="54" s="1"/>
  <c r="N218" i="65"/>
  <c r="AG218" i="54"/>
  <c r="BA218" i="54" s="1"/>
  <c r="BL218" i="54"/>
  <c r="N71" i="65"/>
  <c r="BL71" i="54"/>
  <c r="AG71" i="54"/>
  <c r="BA71" i="54" s="1"/>
  <c r="N288" i="65"/>
  <c r="BL288" i="54"/>
  <c r="AG288" i="54"/>
  <c r="BA288" i="54" s="1"/>
  <c r="BL17" i="54"/>
  <c r="J69" i="66"/>
  <c r="N17" i="65"/>
  <c r="AG17" i="54"/>
  <c r="BA17" i="54" s="1"/>
  <c r="N296" i="65"/>
  <c r="BL296" i="54"/>
  <c r="AG296" i="54"/>
  <c r="BA296" i="54" s="1"/>
  <c r="BL268" i="54"/>
  <c r="N268" i="65"/>
  <c r="AG268" i="54"/>
  <c r="BA268" i="54" s="1"/>
  <c r="AG20" i="54"/>
  <c r="BA20" i="54" s="1"/>
  <c r="N20" i="65"/>
  <c r="BL20" i="54"/>
  <c r="N274" i="65"/>
  <c r="AG274" i="54"/>
  <c r="BA274" i="54" s="1"/>
  <c r="BL274" i="54"/>
  <c r="BL250" i="54"/>
  <c r="AG250" i="54"/>
  <c r="BA250" i="54" s="1"/>
  <c r="N250" i="65"/>
  <c r="AG199" i="54"/>
  <c r="BA199" i="54" s="1"/>
  <c r="N199" i="65"/>
  <c r="BL199" i="54"/>
  <c r="N227" i="65"/>
  <c r="AG227" i="54"/>
  <c r="BA227" i="54" s="1"/>
  <c r="BL227" i="54"/>
  <c r="AG148" i="54"/>
  <c r="BA148" i="54" s="1"/>
  <c r="BL148" i="54"/>
  <c r="N148" i="65"/>
  <c r="N98" i="65"/>
  <c r="BL98" i="54"/>
  <c r="AG98" i="54"/>
  <c r="BA98" i="54" s="1"/>
  <c r="AG173" i="54"/>
  <c r="BA173" i="54" s="1"/>
  <c r="BL173" i="54"/>
  <c r="N173" i="65"/>
  <c r="AG303" i="54"/>
  <c r="BA303" i="54" s="1"/>
  <c r="N303" i="65"/>
  <c r="BL303" i="54"/>
  <c r="AG236" i="54"/>
  <c r="BA236" i="54" s="1"/>
  <c r="BL236" i="54"/>
  <c r="N236" i="65"/>
  <c r="AG27" i="54"/>
  <c r="BA27" i="54" s="1"/>
  <c r="BL27" i="54"/>
  <c r="N27" i="65"/>
  <c r="N183" i="65"/>
  <c r="BL183" i="54"/>
  <c r="AG183" i="54"/>
  <c r="BA183" i="54" s="1"/>
  <c r="N222" i="65"/>
  <c r="AG222" i="54"/>
  <c r="BA222" i="54" s="1"/>
  <c r="BL222" i="54"/>
  <c r="BL33" i="54"/>
  <c r="N33" i="65"/>
  <c r="J68" i="66"/>
  <c r="AG33" i="54"/>
  <c r="BA33" i="54" s="1"/>
  <c r="N133" i="65"/>
  <c r="BL133" i="54"/>
  <c r="AG133" i="54"/>
  <c r="BA133" i="54" s="1"/>
  <c r="N283" i="65"/>
  <c r="AG283" i="54"/>
  <c r="BA283" i="54" s="1"/>
  <c r="BL283" i="54"/>
  <c r="N132" i="65"/>
  <c r="AG132" i="54"/>
  <c r="BA132" i="54" s="1"/>
  <c r="BL132" i="54"/>
  <c r="AG304" i="54"/>
  <c r="BA304" i="54" s="1"/>
  <c r="BL304" i="54"/>
  <c r="N304" i="65"/>
  <c r="AG301" i="54"/>
  <c r="BA301" i="54" s="1"/>
  <c r="BL301" i="54"/>
  <c r="N301" i="65"/>
  <c r="BL211" i="54"/>
  <c r="AG211" i="54"/>
  <c r="BA211" i="54" s="1"/>
  <c r="N211" i="65"/>
  <c r="N130" i="65"/>
  <c r="AG130" i="54"/>
  <c r="BA130" i="54" s="1"/>
  <c r="BL130" i="54"/>
  <c r="N107" i="65"/>
  <c r="BL107" i="54"/>
  <c r="AG107" i="54"/>
  <c r="BA107" i="54" s="1"/>
  <c r="BL113" i="54"/>
  <c r="N113" i="65"/>
  <c r="AG113" i="54"/>
  <c r="BA113" i="54" s="1"/>
  <c r="Q14" i="15"/>
  <c r="V15" i="60"/>
  <c r="J8" i="60"/>
  <c r="BL201" i="54"/>
  <c r="N201" i="65"/>
  <c r="AG201" i="54"/>
  <c r="BA201" i="54" s="1"/>
  <c r="N305" i="65"/>
  <c r="BL305" i="54"/>
  <c r="AG305" i="54"/>
  <c r="BA305" i="54" s="1"/>
  <c r="AG185" i="54"/>
  <c r="BA185" i="54" s="1"/>
  <c r="BL185" i="54"/>
  <c r="N185" i="65"/>
  <c r="N230" i="65"/>
  <c r="AG230" i="54"/>
  <c r="BA230" i="54" s="1"/>
  <c r="BL230" i="54"/>
  <c r="AG264" i="54"/>
  <c r="BA264" i="54" s="1"/>
  <c r="N264" i="65"/>
  <c r="BL264" i="54"/>
  <c r="AG289" i="54"/>
  <c r="BA289" i="54" s="1"/>
  <c r="N289" i="65"/>
  <c r="BL289" i="54"/>
  <c r="N157" i="65"/>
  <c r="BL157" i="54"/>
  <c r="AG157" i="54"/>
  <c r="BA157" i="54" s="1"/>
  <c r="N32" i="65"/>
  <c r="BL32" i="54"/>
  <c r="AG32" i="54"/>
  <c r="BA32" i="54" s="1"/>
  <c r="AF24" i="66"/>
  <c r="T24" i="66"/>
  <c r="AP24" i="66" s="1"/>
  <c r="AG139" i="54"/>
  <c r="BA139" i="54" s="1"/>
  <c r="BL139" i="54"/>
  <c r="N139" i="65"/>
  <c r="AG123" i="54"/>
  <c r="BA123" i="54" s="1"/>
  <c r="N123" i="65"/>
  <c r="BL123" i="54"/>
  <c r="N261" i="65"/>
  <c r="BL261" i="54"/>
  <c r="AG261" i="54"/>
  <c r="BA261" i="54" s="1"/>
  <c r="AG171" i="54"/>
  <c r="BA171" i="54" s="1"/>
  <c r="N171" i="65"/>
  <c r="BL171" i="54"/>
  <c r="BL217" i="54"/>
  <c r="N217" i="65"/>
  <c r="AG217" i="54"/>
  <c r="BA217" i="54" s="1"/>
  <c r="AG306" i="54"/>
  <c r="BA306" i="54" s="1"/>
  <c r="N306" i="65"/>
  <c r="BL306" i="54"/>
  <c r="N269" i="65"/>
  <c r="AG269" i="54"/>
  <c r="BA269" i="54" s="1"/>
  <c r="BL269" i="54"/>
  <c r="AG72" i="54"/>
  <c r="BA72" i="54" s="1"/>
  <c r="BL72" i="54"/>
  <c r="N72" i="65"/>
  <c r="AG251" i="54"/>
  <c r="BA251" i="54" s="1"/>
  <c r="N251" i="65"/>
  <c r="BL251" i="54"/>
  <c r="AG118" i="54"/>
  <c r="BA118" i="54" s="1"/>
  <c r="N118" i="65"/>
  <c r="BL118" i="54"/>
  <c r="BL270" i="54"/>
  <c r="N270" i="65"/>
  <c r="AG270" i="54"/>
  <c r="BA270" i="54" s="1"/>
  <c r="N114" i="65"/>
  <c r="BL114" i="54"/>
  <c r="AG114" i="54"/>
  <c r="BA114" i="54" s="1"/>
  <c r="AG135" i="54"/>
  <c r="BA135" i="54" s="1"/>
  <c r="BL135" i="54"/>
  <c r="N135" i="65"/>
  <c r="AG39" i="54"/>
  <c r="BA39" i="54" s="1"/>
  <c r="BL39" i="54"/>
  <c r="N39" i="65"/>
  <c r="N125" i="65"/>
  <c r="AG125" i="54"/>
  <c r="BA125" i="54" s="1"/>
  <c r="BL125" i="54"/>
  <c r="BL76" i="54"/>
  <c r="N76" i="65"/>
  <c r="AG76" i="54"/>
  <c r="BA76" i="54" s="1"/>
  <c r="AG29" i="54"/>
  <c r="BA29" i="54" s="1"/>
  <c r="BL29" i="54"/>
  <c r="N29" i="65"/>
  <c r="AG223" i="54"/>
  <c r="BA223" i="54" s="1"/>
  <c r="BL223" i="54"/>
  <c r="N223" i="65"/>
  <c r="N295" i="65"/>
  <c r="AG295" i="54"/>
  <c r="BA295" i="54" s="1"/>
  <c r="BL295" i="54"/>
  <c r="AG224" i="54"/>
  <c r="BA224" i="54" s="1"/>
  <c r="N224" i="65"/>
  <c r="BL224" i="54"/>
  <c r="AG172" i="54"/>
  <c r="BA172" i="54" s="1"/>
  <c r="BL172" i="54"/>
  <c r="N172" i="65"/>
  <c r="AG30" i="54"/>
  <c r="BA30" i="54" s="1"/>
  <c r="BL30" i="54"/>
  <c r="N30" i="65"/>
  <c r="N178" i="65"/>
  <c r="AG178" i="54"/>
  <c r="BA178" i="54" s="1"/>
  <c r="BL178" i="54"/>
  <c r="N53" i="65"/>
  <c r="AG53" i="54"/>
  <c r="BA53" i="54" s="1"/>
  <c r="BL53" i="54"/>
  <c r="BL177" i="54"/>
  <c r="AG177" i="54"/>
  <c r="BA177" i="54" s="1"/>
  <c r="N177" i="65"/>
  <c r="BL266" i="54"/>
  <c r="AG266" i="54"/>
  <c r="BA266" i="54" s="1"/>
  <c r="N266" i="65"/>
  <c r="AG77" i="54"/>
  <c r="BA77" i="54" s="1"/>
  <c r="N77" i="65"/>
  <c r="BL77" i="54"/>
  <c r="BL174" i="54"/>
  <c r="N174" i="65"/>
  <c r="AG174" i="54"/>
  <c r="BA174" i="54" s="1"/>
  <c r="N244" i="65"/>
  <c r="AG244" i="54"/>
  <c r="BA244" i="54" s="1"/>
  <c r="BL244" i="54"/>
  <c r="BL284" i="54"/>
  <c r="AG284" i="54"/>
  <c r="BA284" i="54" s="1"/>
  <c r="N284" i="65"/>
  <c r="BL24" i="54"/>
  <c r="N24" i="65"/>
  <c r="J66" i="66"/>
  <c r="AG24" i="54"/>
  <c r="BA24" i="54" s="1"/>
  <c r="BL280" i="54"/>
  <c r="AG280" i="54"/>
  <c r="BA280" i="54" s="1"/>
  <c r="N280" i="65"/>
  <c r="AG44" i="54"/>
  <c r="BA44" i="54" s="1"/>
  <c r="N44" i="65"/>
  <c r="BL44" i="54"/>
  <c r="N194" i="65"/>
  <c r="BL194" i="54"/>
  <c r="AG194" i="54"/>
  <c r="BA194" i="54" s="1"/>
  <c r="BL255" i="54"/>
  <c r="AG255" i="54"/>
  <c r="BA255" i="54" s="1"/>
  <c r="N255" i="65"/>
  <c r="N160" i="65"/>
  <c r="AG160" i="54"/>
  <c r="BA160" i="54" s="1"/>
  <c r="BL160" i="54"/>
  <c r="AG243" i="54"/>
  <c r="BA243" i="54" s="1"/>
  <c r="N243" i="65"/>
  <c r="BL243" i="54"/>
  <c r="AG210" i="54"/>
  <c r="BA210" i="54" s="1"/>
  <c r="BL210" i="54"/>
  <c r="N210" i="65"/>
  <c r="AG298" i="54"/>
  <c r="BA298" i="54" s="1"/>
  <c r="N298" i="65"/>
  <c r="BL298" i="54"/>
  <c r="N167" i="65"/>
  <c r="AG167" i="54"/>
  <c r="BA167" i="54" s="1"/>
  <c r="BL167" i="54"/>
  <c r="AG299" i="54"/>
  <c r="BA299" i="54" s="1"/>
  <c r="BL299" i="54"/>
  <c r="N299" i="65"/>
  <c r="AG138" i="54"/>
  <c r="BA138" i="54" s="1"/>
  <c r="BL138" i="54"/>
  <c r="N138" i="65"/>
  <c r="N263" i="65"/>
  <c r="AG263" i="54"/>
  <c r="BA263" i="54" s="1"/>
  <c r="BL263" i="54"/>
  <c r="N290" i="65"/>
  <c r="AG290" i="54"/>
  <c r="BA290" i="54" s="1"/>
  <c r="BL290" i="54"/>
  <c r="N275" i="65"/>
  <c r="AG275" i="54"/>
  <c r="BA275" i="54" s="1"/>
  <c r="BL275" i="54"/>
  <c r="AG216" i="54"/>
  <c r="BA216" i="54" s="1"/>
  <c r="BL216" i="54"/>
  <c r="N216" i="65"/>
  <c r="AG293" i="54"/>
  <c r="BA293" i="54" s="1"/>
  <c r="N293" i="65"/>
  <c r="BL293" i="54"/>
  <c r="N259" i="65"/>
  <c r="AG259" i="54"/>
  <c r="BA259" i="54" s="1"/>
  <c r="BL259" i="54"/>
  <c r="N281" i="65"/>
  <c r="AG281" i="54"/>
  <c r="BA281" i="54" s="1"/>
  <c r="BL281" i="54"/>
  <c r="BL103" i="54"/>
  <c r="AG103" i="54"/>
  <c r="BA103" i="54" s="1"/>
  <c r="N103" i="65"/>
  <c r="AG191" i="54"/>
  <c r="BA191" i="54" s="1"/>
  <c r="N191" i="65"/>
  <c r="BL191" i="54"/>
  <c r="AG52" i="54"/>
  <c r="BA52" i="54" s="1"/>
  <c r="BL52" i="54"/>
  <c r="N52" i="65"/>
  <c r="N95" i="65"/>
  <c r="AG95" i="54"/>
  <c r="BA95" i="54" s="1"/>
  <c r="BL95" i="54"/>
  <c r="N184" i="65"/>
  <c r="BL184" i="54"/>
  <c r="AG184" i="54"/>
  <c r="BA184" i="54" s="1"/>
  <c r="AG169" i="54"/>
  <c r="BA169" i="54" s="1"/>
  <c r="N169" i="65"/>
  <c r="BL169" i="54"/>
  <c r="AG166" i="54"/>
  <c r="BA166" i="54" s="1"/>
  <c r="BL166" i="54"/>
  <c r="N166" i="65"/>
  <c r="BL214" i="54"/>
  <c r="AG214" i="54"/>
  <c r="BA214" i="54" s="1"/>
  <c r="N214" i="65"/>
  <c r="N220" i="65"/>
  <c r="AG220" i="54"/>
  <c r="BA220" i="54" s="1"/>
  <c r="BL220" i="54"/>
  <c r="BL111" i="54"/>
  <c r="N111" i="65"/>
  <c r="AG111" i="54"/>
  <c r="BA111" i="54" s="1"/>
  <c r="BL206" i="54"/>
  <c r="AG206" i="54"/>
  <c r="BA206" i="54" s="1"/>
  <c r="N206" i="65"/>
  <c r="BL282" i="54"/>
  <c r="N282" i="65"/>
  <c r="AG282" i="54"/>
  <c r="BA282" i="54" s="1"/>
  <c r="BL48" i="54"/>
  <c r="N48" i="65"/>
  <c r="J67" i="66"/>
  <c r="AG48" i="54"/>
  <c r="BA48" i="54" s="1"/>
  <c r="I155" i="66"/>
  <c r="T155" i="66" s="1"/>
  <c r="BL182" i="54"/>
  <c r="N182" i="65"/>
  <c r="AG182" i="54"/>
  <c r="BA182" i="54" s="1"/>
  <c r="N38" i="65"/>
  <c r="BL38" i="54"/>
  <c r="AG38" i="54"/>
  <c r="BA38" i="54" s="1"/>
  <c r="AG189" i="54"/>
  <c r="BA189" i="54" s="1"/>
  <c r="BL189" i="54"/>
  <c r="N189" i="65"/>
  <c r="N278" i="65"/>
  <c r="AG278" i="54"/>
  <c r="BA278" i="54" s="1"/>
  <c r="BL278" i="54"/>
  <c r="AG119" i="54"/>
  <c r="BA119" i="54" s="1"/>
  <c r="N119" i="65"/>
  <c r="BL119" i="54"/>
  <c r="AG25" i="54"/>
  <c r="BA25" i="54" s="1"/>
  <c r="BL25" i="54"/>
  <c r="N25" i="65"/>
  <c r="N62" i="65"/>
  <c r="AG62" i="54"/>
  <c r="BA62" i="54" s="1"/>
  <c r="BL62" i="54"/>
  <c r="N83" i="65"/>
  <c r="BL83" i="54"/>
  <c r="AG83" i="54"/>
  <c r="BA83" i="54" s="1"/>
  <c r="N242" i="65"/>
  <c r="BL242" i="54"/>
  <c r="AG242" i="54"/>
  <c r="BA242" i="54" s="1"/>
  <c r="AG248" i="54"/>
  <c r="BA248" i="54" s="1"/>
  <c r="N248" i="65"/>
  <c r="BL248" i="54"/>
  <c r="BL41" i="54"/>
  <c r="N41" i="65"/>
  <c r="AG41" i="54"/>
  <c r="BA41" i="54" s="1"/>
  <c r="N87" i="65"/>
  <c r="AG87" i="54"/>
  <c r="BA87" i="54" s="1"/>
  <c r="BL87" i="54"/>
  <c r="AG140" i="54"/>
  <c r="BA140" i="54" s="1"/>
  <c r="BL140" i="54"/>
  <c r="N140" i="65"/>
  <c r="N34" i="65"/>
  <c r="AG34" i="54"/>
  <c r="BA34" i="54" s="1"/>
  <c r="BL34" i="54"/>
  <c r="BL253" i="54"/>
  <c r="AG253" i="54"/>
  <c r="BA253" i="54" s="1"/>
  <c r="N253" i="65"/>
  <c r="BL26" i="54"/>
  <c r="N26" i="65"/>
  <c r="AG26" i="54"/>
  <c r="BA26" i="54" s="1"/>
  <c r="AG219" i="54"/>
  <c r="BA219" i="54" s="1"/>
  <c r="N219" i="65"/>
  <c r="BL219" i="54"/>
  <c r="N249" i="65"/>
  <c r="AG249" i="54"/>
  <c r="BA249" i="54" s="1"/>
  <c r="BL249" i="54"/>
  <c r="AG212" i="54"/>
  <c r="BA212" i="54" s="1"/>
  <c r="BL212" i="54"/>
  <c r="N212" i="65"/>
  <c r="I25" i="60"/>
  <c r="AG188" i="54"/>
  <c r="BA188" i="54" s="1"/>
  <c r="N188" i="65"/>
  <c r="BL188" i="54"/>
  <c r="BL170" i="54"/>
  <c r="AG170" i="54"/>
  <c r="BA170" i="54" s="1"/>
  <c r="N170" i="65"/>
  <c r="AG42" i="54"/>
  <c r="BA42" i="54" s="1"/>
  <c r="N42" i="65"/>
  <c r="BL42" i="54"/>
  <c r="N159" i="65"/>
  <c r="BL159" i="54"/>
  <c r="AG159" i="54"/>
  <c r="BA159" i="54" s="1"/>
  <c r="BL204" i="54"/>
  <c r="AG204" i="54"/>
  <c r="BA204" i="54" s="1"/>
  <c r="N204" i="65"/>
  <c r="AG122" i="54"/>
  <c r="BA122" i="54" s="1"/>
  <c r="BL122" i="54"/>
  <c r="N122" i="65"/>
  <c r="AG187" i="54"/>
  <c r="BA187" i="54" s="1"/>
  <c r="N187" i="65"/>
  <c r="BL187" i="54"/>
  <c r="AG168" i="54"/>
  <c r="BA168" i="54" s="1"/>
  <c r="N168" i="65"/>
  <c r="BL168" i="54"/>
  <c r="N21" i="65"/>
  <c r="AG21" i="54"/>
  <c r="BA21" i="54" s="1"/>
  <c r="BL21" i="54"/>
  <c r="AG129" i="54"/>
  <c r="BA129" i="54" s="1"/>
  <c r="BL129" i="54"/>
  <c r="N129" i="65"/>
  <c r="AG91" i="54"/>
  <c r="BA91" i="54" s="1"/>
  <c r="N91" i="65"/>
  <c r="BL91" i="54"/>
  <c r="AG18" i="54"/>
  <c r="BA18" i="54" s="1"/>
  <c r="BL18" i="54"/>
  <c r="N18" i="65"/>
  <c r="AG247" i="54"/>
  <c r="BA247" i="54" s="1"/>
  <c r="BL247" i="54"/>
  <c r="N247" i="65"/>
  <c r="N150" i="65"/>
  <c r="AG150" i="54"/>
  <c r="BA150" i="54" s="1"/>
  <c r="BL150" i="54"/>
  <c r="N116" i="65"/>
  <c r="BL116" i="54"/>
  <c r="AG116" i="54"/>
  <c r="BA116" i="54" s="1"/>
  <c r="AG110" i="54"/>
  <c r="BA110" i="54" s="1"/>
  <c r="BL110" i="54"/>
  <c r="N110" i="65"/>
  <c r="N74" i="65"/>
  <c r="BL74" i="54"/>
  <c r="AG74" i="54"/>
  <c r="BA74" i="54" s="1"/>
  <c r="AG137" i="54"/>
  <c r="BA137" i="54" s="1"/>
  <c r="N137" i="65"/>
  <c r="BL137" i="54"/>
  <c r="N59" i="65"/>
  <c r="BL59" i="54"/>
  <c r="AG59" i="54"/>
  <c r="BA59" i="54" s="1"/>
  <c r="BL208" i="54"/>
  <c r="N208" i="65"/>
  <c r="AG208" i="54"/>
  <c r="BA208" i="54" s="1"/>
  <c r="AG37" i="66"/>
  <c r="U37" i="66"/>
  <c r="AQ37" i="66" s="1"/>
  <c r="BA37" i="66"/>
  <c r="N294" i="65"/>
  <c r="AG294" i="54"/>
  <c r="BA294" i="54" s="1"/>
  <c r="BL294" i="54"/>
  <c r="AG88" i="54"/>
  <c r="BA88" i="54" s="1"/>
  <c r="BL88" i="54"/>
  <c r="N88" i="65"/>
  <c r="BL162" i="54"/>
  <c r="N162" i="65"/>
  <c r="AG162" i="54"/>
  <c r="BA162" i="54" s="1"/>
  <c r="AG186" i="54"/>
  <c r="BA186" i="54" s="1"/>
  <c r="N186" i="65"/>
  <c r="BL186" i="54"/>
  <c r="I153" i="66"/>
  <c r="T153" i="66" s="1"/>
  <c r="AU13" i="56"/>
  <c r="N96" i="65"/>
  <c r="AG96" i="54"/>
  <c r="BA96" i="54" s="1"/>
  <c r="BL96" i="54"/>
  <c r="AG105" i="54"/>
  <c r="BA105" i="54" s="1"/>
  <c r="N105" i="65"/>
  <c r="BL105" i="54"/>
  <c r="BL82" i="54"/>
  <c r="AG82" i="54"/>
  <c r="BA82" i="54" s="1"/>
  <c r="N82" i="65"/>
  <c r="BL285" i="54"/>
  <c r="AG285" i="54"/>
  <c r="BA285" i="54" s="1"/>
  <c r="N285" i="65"/>
  <c r="BL179" i="54"/>
  <c r="AG179" i="54"/>
  <c r="BA179" i="54" s="1"/>
  <c r="N179" i="65"/>
  <c r="AG86" i="54"/>
  <c r="BA86" i="54" s="1"/>
  <c r="BL86" i="54"/>
  <c r="N86" i="65"/>
  <c r="AG15" i="54"/>
  <c r="BA15" i="54" s="1"/>
  <c r="BL15" i="54"/>
  <c r="N13" i="54"/>
  <c r="N15" i="65"/>
  <c r="J70" i="66"/>
  <c r="N7" i="54"/>
  <c r="H113" i="66" s="1"/>
  <c r="AG239" i="54"/>
  <c r="BA239" i="54" s="1"/>
  <c r="N239" i="65"/>
  <c r="BL239" i="54"/>
  <c r="AG180" i="54"/>
  <c r="BA180" i="54" s="1"/>
  <c r="BL180" i="54"/>
  <c r="N180" i="65"/>
  <c r="N80" i="65"/>
  <c r="AG80" i="54"/>
  <c r="BA80" i="54" s="1"/>
  <c r="BL80" i="54"/>
  <c r="AG256" i="54"/>
  <c r="BA256" i="54" s="1"/>
  <c r="N256" i="65"/>
  <c r="BL256" i="54"/>
  <c r="AG175" i="54"/>
  <c r="BA175" i="54" s="1"/>
  <c r="BL175" i="54"/>
  <c r="N175" i="65"/>
  <c r="N287" i="65"/>
  <c r="AG287" i="54"/>
  <c r="BA287" i="54" s="1"/>
  <c r="BL287" i="54"/>
  <c r="BL161" i="54"/>
  <c r="N161" i="65"/>
  <c r="AG161" i="54"/>
  <c r="BA161" i="54" s="1"/>
  <c r="N75" i="65"/>
  <c r="AG75" i="54"/>
  <c r="BA75" i="54" s="1"/>
  <c r="BL75" i="54"/>
  <c r="BL277" i="54"/>
  <c r="AG277" i="54"/>
  <c r="BA277" i="54" s="1"/>
  <c r="N277" i="65"/>
  <c r="AG262" i="54"/>
  <c r="BA262" i="54" s="1"/>
  <c r="BL262" i="54"/>
  <c r="N262" i="65"/>
  <c r="AG229" i="54"/>
  <c r="BA229" i="54" s="1"/>
  <c r="BL229" i="54"/>
  <c r="N229" i="65"/>
  <c r="AG69" i="54"/>
  <c r="BA69" i="54" s="1"/>
  <c r="BL69" i="54"/>
  <c r="N69" i="65"/>
  <c r="AG240" i="54"/>
  <c r="BA240" i="54" s="1"/>
  <c r="BL240" i="54"/>
  <c r="N240" i="65"/>
  <c r="AG104" i="54"/>
  <c r="BA104" i="54" s="1"/>
  <c r="N104" i="65"/>
  <c r="BL104" i="54"/>
  <c r="BL291" i="54"/>
  <c r="N291" i="65"/>
  <c r="AG291" i="54"/>
  <c r="BA291" i="54" s="1"/>
  <c r="AG271" i="54"/>
  <c r="BA271" i="54" s="1"/>
  <c r="N271" i="65"/>
  <c r="BL271" i="54"/>
  <c r="AG164" i="54"/>
  <c r="BA164" i="54" s="1"/>
  <c r="N164" i="65"/>
  <c r="BL164" i="54"/>
  <c r="N205" i="65"/>
  <c r="AG205" i="54"/>
  <c r="BA205" i="54" s="1"/>
  <c r="BL205" i="54"/>
  <c r="AG200" i="54"/>
  <c r="BA200" i="54" s="1"/>
  <c r="N200" i="65"/>
  <c r="BL200" i="54"/>
  <c r="AG297" i="54"/>
  <c r="BA297" i="54" s="1"/>
  <c r="N297" i="65"/>
  <c r="BL297" i="54"/>
  <c r="N100" i="65"/>
  <c r="AG100" i="54"/>
  <c r="BA100" i="54" s="1"/>
  <c r="BL100" i="54"/>
  <c r="N232" i="65"/>
  <c r="AG232" i="54"/>
  <c r="BA232" i="54" s="1"/>
  <c r="BL232" i="54"/>
  <c r="N238" i="65"/>
  <c r="AG238" i="54"/>
  <c r="BA238" i="54" s="1"/>
  <c r="BL238" i="54"/>
  <c r="N45" i="65"/>
  <c r="AG45" i="54"/>
  <c r="BA45" i="54" s="1"/>
  <c r="BL45" i="54"/>
  <c r="BL276" i="54"/>
  <c r="N276" i="65"/>
  <c r="AG276" i="54"/>
  <c r="BA276" i="54" s="1"/>
  <c r="N267" i="65"/>
  <c r="AG267" i="54"/>
  <c r="BA267" i="54" s="1"/>
  <c r="BL267" i="54"/>
  <c r="N302" i="65"/>
  <c r="AG302" i="54"/>
  <c r="BA302" i="54" s="1"/>
  <c r="BL302" i="54"/>
  <c r="N154" i="65"/>
  <c r="BL154" i="54"/>
  <c r="AG154" i="54"/>
  <c r="BA154" i="54" s="1"/>
  <c r="AG78" i="54"/>
  <c r="BA78" i="54" s="1"/>
  <c r="N78" i="65"/>
  <c r="BL78" i="54"/>
  <c r="I150" i="66"/>
  <c r="T150" i="66" s="1"/>
  <c r="AG31" i="54"/>
  <c r="BA31" i="54" s="1"/>
  <c r="N31" i="65"/>
  <c r="BL31" i="54"/>
  <c r="AG85" i="54"/>
  <c r="BA85" i="54" s="1"/>
  <c r="BL85" i="54"/>
  <c r="N85" i="65"/>
  <c r="AG60" i="54"/>
  <c r="BA60" i="54" s="1"/>
  <c r="BL60" i="54"/>
  <c r="N60" i="65"/>
  <c r="AG234" i="54"/>
  <c r="BA234" i="54" s="1"/>
  <c r="N234" i="65"/>
  <c r="BL234" i="54"/>
  <c r="BL112" i="54"/>
  <c r="N112" i="65"/>
  <c r="AG112" i="54"/>
  <c r="BA112" i="54" s="1"/>
  <c r="BL193" i="54"/>
  <c r="AG193" i="54"/>
  <c r="BA193" i="54" s="1"/>
  <c r="BL28" i="54"/>
  <c r="AG28" i="54"/>
  <c r="BA28" i="54" s="1"/>
  <c r="N28" i="65"/>
  <c r="BL153" i="54"/>
  <c r="AG153" i="54"/>
  <c r="BA153" i="54" s="1"/>
  <c r="N153" i="65"/>
  <c r="N127" i="65"/>
  <c r="AG127" i="54"/>
  <c r="BA127" i="54" s="1"/>
  <c r="BL127" i="54"/>
  <c r="AG273" i="54"/>
  <c r="BA273" i="54" s="1"/>
  <c r="BL273" i="54"/>
  <c r="N273" i="65"/>
  <c r="N233" i="65"/>
  <c r="BL233" i="54"/>
  <c r="AG233" i="54"/>
  <c r="BA233" i="54" s="1"/>
  <c r="AG58" i="54"/>
  <c r="BA58" i="54" s="1"/>
  <c r="BL58" i="54"/>
  <c r="N58" i="65"/>
  <c r="BL43" i="54"/>
  <c r="AG43" i="54"/>
  <c r="BA43" i="54" s="1"/>
  <c r="N43" i="65"/>
  <c r="BL35" i="54"/>
  <c r="AG35" i="54"/>
  <c r="BA35" i="54" s="1"/>
  <c r="N35" i="65"/>
  <c r="BL65" i="54"/>
  <c r="AG65" i="54"/>
  <c r="BA65" i="54" s="1"/>
  <c r="N65" i="65"/>
  <c r="N56" i="65"/>
  <c r="AG56" i="54"/>
  <c r="BA56" i="54" s="1"/>
  <c r="BL56" i="54"/>
  <c r="AG121" i="54"/>
  <c r="BA121" i="54" s="1"/>
  <c r="N121" i="65"/>
  <c r="BL121" i="54"/>
  <c r="N213" i="65"/>
  <c r="BL213" i="54"/>
  <c r="AG213" i="54"/>
  <c r="BA213" i="54" s="1"/>
  <c r="BL158" i="54"/>
  <c r="N158" i="65"/>
  <c r="AG158" i="54"/>
  <c r="BA158" i="54" s="1"/>
  <c r="N89" i="65"/>
  <c r="AG89" i="54"/>
  <c r="BA89" i="54" s="1"/>
  <c r="BL89" i="54"/>
  <c r="BL155" i="54"/>
  <c r="AG155" i="54"/>
  <c r="BA155" i="54" s="1"/>
  <c r="N155" i="65"/>
  <c r="AG260" i="54"/>
  <c r="BA260" i="54" s="1"/>
  <c r="N260" i="65"/>
  <c r="BL260" i="54"/>
  <c r="AG257" i="54"/>
  <c r="BA257" i="54" s="1"/>
  <c r="BL257" i="54"/>
  <c r="N257" i="65"/>
  <c r="N237" i="65"/>
  <c r="AG237" i="54"/>
  <c r="BA237" i="54" s="1"/>
  <c r="BL237" i="54"/>
  <c r="N197" i="65"/>
  <c r="BL197" i="54"/>
  <c r="AG197" i="54"/>
  <c r="BA197" i="54" s="1"/>
  <c r="N149" i="65"/>
  <c r="AG149" i="54"/>
  <c r="BA149" i="54" s="1"/>
  <c r="BL149" i="54"/>
  <c r="N37" i="65"/>
  <c r="BL37" i="54"/>
  <c r="AG37" i="54"/>
  <c r="BA37" i="54" s="1"/>
  <c r="BL134" i="54"/>
  <c r="N134" i="65"/>
  <c r="AG134" i="54"/>
  <c r="BA134" i="54" s="1"/>
  <c r="AG106" i="54"/>
  <c r="BA106" i="54" s="1"/>
  <c r="BL106" i="54"/>
  <c r="N106" i="65"/>
  <c r="I152" i="66"/>
  <c r="T152" i="66" s="1"/>
  <c r="AG142" i="54"/>
  <c r="BA142" i="54" s="1"/>
  <c r="BL142" i="54"/>
  <c r="N142" i="65"/>
  <c r="AG165" i="54"/>
  <c r="BA165" i="54" s="1"/>
  <c r="N165" i="65"/>
  <c r="BL165" i="54"/>
  <c r="N124" i="65"/>
  <c r="AG124" i="54"/>
  <c r="BA124" i="54" s="1"/>
  <c r="BL124" i="54"/>
  <c r="N292" i="65"/>
  <c r="BL292" i="54"/>
  <c r="AG292" i="54"/>
  <c r="BA292" i="54" s="1"/>
  <c r="I149" i="66"/>
  <c r="N225" i="65"/>
  <c r="BL225" i="54"/>
  <c r="AG225" i="54"/>
  <c r="BA225" i="54" s="1"/>
  <c r="BL84" i="54"/>
  <c r="N84" i="65"/>
  <c r="AG84" i="54"/>
  <c r="BA84" i="54" s="1"/>
  <c r="N19" i="65"/>
  <c r="AG19" i="54"/>
  <c r="BA19" i="54" s="1"/>
  <c r="BL19" i="54"/>
  <c r="AG97" i="54"/>
  <c r="BA97" i="54" s="1"/>
  <c r="N97" i="65"/>
  <c r="BL97" i="54"/>
  <c r="AG108" i="54"/>
  <c r="BA108" i="54" s="1"/>
  <c r="BL108" i="54"/>
  <c r="N108" i="65"/>
  <c r="AG109" i="54"/>
  <c r="BA109" i="54" s="1"/>
  <c r="N109" i="65"/>
  <c r="BL109" i="54"/>
  <c r="O32" i="15"/>
  <c r="AG63" i="54"/>
  <c r="BA63" i="54" s="1"/>
  <c r="N63" i="65"/>
  <c r="BL63" i="54"/>
  <c r="BL50" i="54"/>
  <c r="N50" i="65"/>
  <c r="AG50" i="54"/>
  <c r="BA50" i="54" s="1"/>
  <c r="AG198" i="54"/>
  <c r="BA198" i="54" s="1"/>
  <c r="BL198" i="54"/>
  <c r="N198" i="65"/>
  <c r="AG79" i="54"/>
  <c r="BA79" i="54" s="1"/>
  <c r="BL79" i="54"/>
  <c r="N79" i="65"/>
  <c r="N241" i="65"/>
  <c r="AG241" i="54"/>
  <c r="BA241" i="54" s="1"/>
  <c r="BL241" i="54"/>
  <c r="AG254" i="54"/>
  <c r="BA254" i="54" s="1"/>
  <c r="BL254" i="54"/>
  <c r="N254" i="65"/>
  <c r="BL128" i="54"/>
  <c r="N128" i="65"/>
  <c r="AG128" i="54"/>
  <c r="BA128" i="54" s="1"/>
  <c r="J139" i="66" l="1"/>
  <c r="U139" i="66" s="1"/>
  <c r="AG35" i="65"/>
  <c r="N35" i="56"/>
  <c r="AG153" i="65"/>
  <c r="N153" i="56"/>
  <c r="O74" i="53"/>
  <c r="AG74" i="42"/>
  <c r="O213" i="53"/>
  <c r="AG213" i="42"/>
  <c r="O133" i="53"/>
  <c r="AG133" i="42"/>
  <c r="O130" i="53"/>
  <c r="AG130" i="42"/>
  <c r="K36" i="66"/>
  <c r="O22" i="53"/>
  <c r="AG22" i="42"/>
  <c r="AG283" i="42"/>
  <c r="O283" i="53"/>
  <c r="O284" i="53"/>
  <c r="AG284" i="42"/>
  <c r="O73" i="53"/>
  <c r="AG73" i="42"/>
  <c r="O216" i="53"/>
  <c r="AG216" i="42"/>
  <c r="AG162" i="42"/>
  <c r="O162" i="53"/>
  <c r="AG184" i="65"/>
  <c r="N184" i="56"/>
  <c r="AG259" i="65"/>
  <c r="N259" i="56"/>
  <c r="AG290" i="65"/>
  <c r="N290" i="56"/>
  <c r="AG160" i="65"/>
  <c r="N160" i="56"/>
  <c r="AG174" i="65"/>
  <c r="N174" i="56"/>
  <c r="AG306" i="65"/>
  <c r="N306" i="56"/>
  <c r="AG185" i="65"/>
  <c r="N185" i="56"/>
  <c r="AG98" i="65"/>
  <c r="N98" i="56"/>
  <c r="AG73" i="65"/>
  <c r="N73" i="56"/>
  <c r="AG176" i="65"/>
  <c r="N176" i="56"/>
  <c r="AG106" i="65"/>
  <c r="N106" i="56"/>
  <c r="AG240" i="65"/>
  <c r="N240" i="56"/>
  <c r="AG277" i="65"/>
  <c r="N277" i="56"/>
  <c r="J142" i="66"/>
  <c r="U142" i="66" s="1"/>
  <c r="BL7" i="54"/>
  <c r="AG34" i="65"/>
  <c r="N34" i="56"/>
  <c r="O151" i="53"/>
  <c r="AG151" i="42"/>
  <c r="O150" i="53"/>
  <c r="AG150" i="42"/>
  <c r="O117" i="53"/>
  <c r="AG117" i="42"/>
  <c r="K32" i="66"/>
  <c r="O33" i="53"/>
  <c r="AG33" i="42"/>
  <c r="O50" i="53"/>
  <c r="AG50" i="42"/>
  <c r="O262" i="53"/>
  <c r="AG262" i="42"/>
  <c r="O224" i="53"/>
  <c r="AG224" i="42"/>
  <c r="O114" i="53"/>
  <c r="AG114" i="42"/>
  <c r="AG27" i="42"/>
  <c r="O27" i="53"/>
  <c r="AG41" i="65"/>
  <c r="N41" i="56"/>
  <c r="AG182" i="65"/>
  <c r="N182" i="56"/>
  <c r="AG53" i="65"/>
  <c r="N53" i="56"/>
  <c r="AG264" i="65"/>
  <c r="N264" i="56"/>
  <c r="AG201" i="65"/>
  <c r="N201" i="56"/>
  <c r="AG130" i="65"/>
  <c r="N130" i="56"/>
  <c r="AG132" i="65"/>
  <c r="N132" i="56"/>
  <c r="J140" i="66"/>
  <c r="U140" i="66" s="1"/>
  <c r="AG183" i="65"/>
  <c r="N183" i="56"/>
  <c r="AG20" i="65"/>
  <c r="N20" i="56"/>
  <c r="AG55" i="65"/>
  <c r="N55" i="56"/>
  <c r="AG51" i="65"/>
  <c r="N51" i="56"/>
  <c r="AG70" i="65"/>
  <c r="N70" i="56"/>
  <c r="AG23" i="65"/>
  <c r="N23" i="56"/>
  <c r="AG215" i="65"/>
  <c r="N215" i="56"/>
  <c r="AG147" i="65"/>
  <c r="N147" i="56"/>
  <c r="AG235" i="65"/>
  <c r="N235" i="56"/>
  <c r="AG279" i="65"/>
  <c r="N279" i="56"/>
  <c r="AG228" i="65"/>
  <c r="N228" i="56"/>
  <c r="AG152" i="65"/>
  <c r="N152" i="56"/>
  <c r="AG252" i="65"/>
  <c r="N252" i="56"/>
  <c r="AG128" i="65"/>
  <c r="N128" i="56"/>
  <c r="AG63" i="65"/>
  <c r="N63" i="56"/>
  <c r="AG292" i="65"/>
  <c r="N292" i="56"/>
  <c r="AG89" i="65"/>
  <c r="N89" i="56"/>
  <c r="AG213" i="65"/>
  <c r="N213" i="56"/>
  <c r="AG56" i="65"/>
  <c r="N56" i="56"/>
  <c r="AG193" i="65"/>
  <c r="N193" i="56"/>
  <c r="AG78" i="65"/>
  <c r="N78" i="56"/>
  <c r="AG276" i="65"/>
  <c r="N276" i="56"/>
  <c r="AG200" i="65"/>
  <c r="N200" i="56"/>
  <c r="AG164" i="65"/>
  <c r="N164" i="56"/>
  <c r="AG291" i="65"/>
  <c r="N291" i="56"/>
  <c r="AG161" i="65"/>
  <c r="N161" i="56"/>
  <c r="AG239" i="65"/>
  <c r="N239" i="56"/>
  <c r="BA7" i="54"/>
  <c r="BA6" i="54" s="1"/>
  <c r="AG96" i="65"/>
  <c r="N96" i="56"/>
  <c r="AG208" i="65"/>
  <c r="N208" i="56"/>
  <c r="AG137" i="65"/>
  <c r="N137" i="56"/>
  <c r="AG168" i="65"/>
  <c r="N168" i="56"/>
  <c r="O244" i="53"/>
  <c r="AG244" i="42"/>
  <c r="O28" i="53"/>
  <c r="AG28" i="42"/>
  <c r="O304" i="53"/>
  <c r="AG304" i="42"/>
  <c r="O134" i="53"/>
  <c r="AG134" i="42"/>
  <c r="O273" i="53"/>
  <c r="AG273" i="42"/>
  <c r="O96" i="53"/>
  <c r="AG96" i="42"/>
  <c r="AG72" i="42"/>
  <c r="O72" i="53"/>
  <c r="O301" i="53"/>
  <c r="AG301" i="42"/>
  <c r="O239" i="53"/>
  <c r="AG239" i="42"/>
  <c r="O250" i="53"/>
  <c r="AG250" i="42"/>
  <c r="O238" i="53"/>
  <c r="AG238" i="42"/>
  <c r="O34" i="53"/>
  <c r="AG34" i="42"/>
  <c r="AG123" i="42"/>
  <c r="O123" i="53"/>
  <c r="O81" i="53"/>
  <c r="AG81" i="42"/>
  <c r="O116" i="53"/>
  <c r="AG116" i="42"/>
  <c r="O251" i="53"/>
  <c r="AG251" i="42"/>
  <c r="O170" i="53"/>
  <c r="AG170" i="42"/>
  <c r="O167" i="53"/>
  <c r="AG167" i="42"/>
  <c r="O288" i="53"/>
  <c r="AG288" i="42"/>
  <c r="O109" i="53"/>
  <c r="AG109" i="42"/>
  <c r="O280" i="53"/>
  <c r="AG280" i="42"/>
  <c r="O129" i="53"/>
  <c r="AG129" i="42"/>
  <c r="O200" i="53"/>
  <c r="AG200" i="42"/>
  <c r="AG95" i="42"/>
  <c r="O95" i="53"/>
  <c r="AG71" i="42"/>
  <c r="O71" i="53"/>
  <c r="O269" i="53"/>
  <c r="AG269" i="42"/>
  <c r="AG52" i="42"/>
  <c r="O52" i="53"/>
  <c r="O281" i="53"/>
  <c r="AG281" i="42"/>
  <c r="O237" i="53"/>
  <c r="AG237" i="42"/>
  <c r="O38" i="53"/>
  <c r="AG38" i="42"/>
  <c r="O189" i="53"/>
  <c r="AG189" i="42"/>
  <c r="O104" i="53"/>
  <c r="AG104" i="42"/>
  <c r="O60" i="53"/>
  <c r="AG60" i="42"/>
  <c r="AG255" i="42"/>
  <c r="O255" i="53"/>
  <c r="AG56" i="42"/>
  <c r="O56" i="53"/>
  <c r="O211" i="53"/>
  <c r="AG211" i="42"/>
  <c r="AG242" i="65"/>
  <c r="N242" i="56"/>
  <c r="AG62" i="65"/>
  <c r="N62" i="56"/>
  <c r="AG214" i="65"/>
  <c r="N214" i="56"/>
  <c r="AG299" i="65"/>
  <c r="N299" i="56"/>
  <c r="AG255" i="65"/>
  <c r="N255" i="56"/>
  <c r="AG157" i="65"/>
  <c r="N157" i="56"/>
  <c r="AG173" i="65"/>
  <c r="N173" i="56"/>
  <c r="AG148" i="65"/>
  <c r="N148" i="56"/>
  <c r="AG296" i="65"/>
  <c r="N296" i="56"/>
  <c r="AG67" i="65"/>
  <c r="N67" i="56"/>
  <c r="AG101" i="65"/>
  <c r="N101" i="56"/>
  <c r="AG195" i="65"/>
  <c r="N195" i="56"/>
  <c r="AG54" i="65"/>
  <c r="N54" i="56"/>
  <c r="AG120" i="65"/>
  <c r="N120" i="56"/>
  <c r="AG143" i="65"/>
  <c r="N143" i="56"/>
  <c r="AG221" i="65"/>
  <c r="N221" i="56"/>
  <c r="AG141" i="65"/>
  <c r="N141" i="56"/>
  <c r="AG36" i="65"/>
  <c r="N36" i="56"/>
  <c r="AG179" i="65"/>
  <c r="N179" i="56"/>
  <c r="O246" i="53"/>
  <c r="AG246" i="42"/>
  <c r="O64" i="53"/>
  <c r="AG64" i="42"/>
  <c r="O175" i="53"/>
  <c r="AG175" i="42"/>
  <c r="O145" i="53"/>
  <c r="AG145" i="42"/>
  <c r="K33" i="66"/>
  <c r="O17" i="53"/>
  <c r="AG17" i="42"/>
  <c r="O142" i="53"/>
  <c r="AG142" i="42"/>
  <c r="O32" i="53"/>
  <c r="AG32" i="42"/>
  <c r="AG140" i="65"/>
  <c r="N140" i="56"/>
  <c r="AG220" i="65"/>
  <c r="N220" i="56"/>
  <c r="AG167" i="65"/>
  <c r="N167" i="56"/>
  <c r="AG227" i="65"/>
  <c r="N227" i="56"/>
  <c r="AG94" i="65"/>
  <c r="N94" i="56"/>
  <c r="AG198" i="65"/>
  <c r="N198" i="56"/>
  <c r="AG165" i="65"/>
  <c r="N165" i="56"/>
  <c r="AG234" i="65"/>
  <c r="N234" i="56"/>
  <c r="AG170" i="65"/>
  <c r="N170" i="56"/>
  <c r="AG197" i="65"/>
  <c r="N197" i="56"/>
  <c r="AG302" i="65"/>
  <c r="N302" i="56"/>
  <c r="AG238" i="65"/>
  <c r="N238" i="56"/>
  <c r="AG150" i="65"/>
  <c r="N150" i="56"/>
  <c r="AG159" i="65"/>
  <c r="N159" i="56"/>
  <c r="AG212" i="65"/>
  <c r="N212" i="56"/>
  <c r="AG253" i="65"/>
  <c r="N253" i="56"/>
  <c r="O141" i="53"/>
  <c r="AG141" i="42"/>
  <c r="O228" i="53"/>
  <c r="AG228" i="42"/>
  <c r="O241" i="53"/>
  <c r="AG241" i="42"/>
  <c r="O149" i="53"/>
  <c r="AG149" i="42"/>
  <c r="O18" i="53"/>
  <c r="AG18" i="42"/>
  <c r="O78" i="53"/>
  <c r="AG78" i="42"/>
  <c r="O152" i="53"/>
  <c r="AG152" i="42"/>
  <c r="O121" i="53"/>
  <c r="AG121" i="42"/>
  <c r="O245" i="53"/>
  <c r="AG245" i="42"/>
  <c r="O261" i="53"/>
  <c r="AG261" i="42"/>
  <c r="O271" i="53"/>
  <c r="AG271" i="42"/>
  <c r="O306" i="53"/>
  <c r="AG306" i="42"/>
  <c r="O35" i="53"/>
  <c r="AG35" i="42"/>
  <c r="O226" i="53"/>
  <c r="AG226" i="42"/>
  <c r="O102" i="53"/>
  <c r="AG102" i="42"/>
  <c r="O41" i="53"/>
  <c r="AG41" i="42"/>
  <c r="O195" i="53"/>
  <c r="AG195" i="42"/>
  <c r="O236" i="53"/>
  <c r="AG236" i="42"/>
  <c r="O46" i="53"/>
  <c r="AG46" i="42"/>
  <c r="O55" i="53"/>
  <c r="AG55" i="42"/>
  <c r="O26" i="53"/>
  <c r="AG26" i="42"/>
  <c r="O25" i="53"/>
  <c r="AG25" i="42"/>
  <c r="O173" i="53"/>
  <c r="AG173" i="42"/>
  <c r="O172" i="53"/>
  <c r="AG172" i="42"/>
  <c r="AG107" i="42"/>
  <c r="O107" i="53"/>
  <c r="AG293" i="42"/>
  <c r="O293" i="53"/>
  <c r="AG275" i="42"/>
  <c r="O275" i="53"/>
  <c r="O119" i="53"/>
  <c r="AG119" i="42"/>
  <c r="O163" i="53"/>
  <c r="AG163" i="42"/>
  <c r="O181" i="53"/>
  <c r="AG181" i="42"/>
  <c r="O19" i="53"/>
  <c r="AG19" i="42"/>
  <c r="O292" i="53"/>
  <c r="AG292" i="42"/>
  <c r="O185" i="53"/>
  <c r="AG185" i="42"/>
  <c r="O256" i="53"/>
  <c r="AG256" i="42"/>
  <c r="O186" i="53"/>
  <c r="AG186" i="42"/>
  <c r="O182" i="53"/>
  <c r="AG182" i="42"/>
  <c r="O143" i="53"/>
  <c r="AG143" i="42"/>
  <c r="AG282" i="65"/>
  <c r="N282" i="56"/>
  <c r="AG111" i="65"/>
  <c r="N111" i="56"/>
  <c r="AG169" i="65"/>
  <c r="N169" i="56"/>
  <c r="AG191" i="65"/>
  <c r="N191" i="56"/>
  <c r="AG293" i="65"/>
  <c r="N293" i="56"/>
  <c r="AG298" i="65"/>
  <c r="N298" i="56"/>
  <c r="AG243" i="65"/>
  <c r="N243" i="56"/>
  <c r="J19" i="66"/>
  <c r="AG44" i="65"/>
  <c r="N44" i="56"/>
  <c r="U66" i="66"/>
  <c r="AQ66" i="66" s="1"/>
  <c r="BA66" i="66"/>
  <c r="J73" i="66"/>
  <c r="AG66" i="66"/>
  <c r="AG177" i="65"/>
  <c r="N177" i="56"/>
  <c r="AG172" i="65"/>
  <c r="N172" i="56"/>
  <c r="AG29" i="65"/>
  <c r="N29" i="56"/>
  <c r="AG135" i="65"/>
  <c r="N135" i="56"/>
  <c r="AG139" i="65"/>
  <c r="N139" i="56"/>
  <c r="AG32" i="65"/>
  <c r="N32" i="56"/>
  <c r="AG211" i="65"/>
  <c r="N211" i="56"/>
  <c r="AG304" i="65"/>
  <c r="N304" i="56"/>
  <c r="AG27" i="65"/>
  <c r="N27" i="56"/>
  <c r="AG199" i="65"/>
  <c r="N199" i="56"/>
  <c r="AG288" i="65"/>
  <c r="N288" i="56"/>
  <c r="AG218" i="65"/>
  <c r="N218" i="56"/>
  <c r="AG209" i="65"/>
  <c r="N209" i="56"/>
  <c r="AG196" i="65"/>
  <c r="N196" i="56"/>
  <c r="AG307" i="65"/>
  <c r="N307" i="56"/>
  <c r="AG156" i="65"/>
  <c r="N156" i="56"/>
  <c r="AG97" i="65"/>
  <c r="N97" i="56"/>
  <c r="AG58" i="65"/>
  <c r="N58" i="56"/>
  <c r="AG82" i="65"/>
  <c r="N82" i="56"/>
  <c r="O62" i="53"/>
  <c r="AG62" i="42"/>
  <c r="O222" i="53"/>
  <c r="AG222" i="42"/>
  <c r="O47" i="53"/>
  <c r="AG47" i="42"/>
  <c r="O231" i="53"/>
  <c r="AG231" i="42"/>
  <c r="O299" i="53"/>
  <c r="AG299" i="42"/>
  <c r="O204" i="53"/>
  <c r="AG204" i="42"/>
  <c r="AG194" i="65"/>
  <c r="N194" i="56"/>
  <c r="J143" i="66"/>
  <c r="U143" i="66" s="1"/>
  <c r="AG226" i="65"/>
  <c r="N226" i="56"/>
  <c r="AG131" i="65"/>
  <c r="N131" i="56"/>
  <c r="O120" i="53"/>
  <c r="AG120" i="42"/>
  <c r="O171" i="53"/>
  <c r="AG171" i="42"/>
  <c r="O112" i="53"/>
  <c r="AG112" i="42"/>
  <c r="AG101" i="42"/>
  <c r="O101" i="53"/>
  <c r="AG177" i="42"/>
  <c r="O177" i="53"/>
  <c r="O39" i="53"/>
  <c r="AG39" i="42"/>
  <c r="O209" i="53"/>
  <c r="AG209" i="42"/>
  <c r="AG100" i="65"/>
  <c r="N100" i="56"/>
  <c r="AG80" i="65"/>
  <c r="N80" i="56"/>
  <c r="AG162" i="65"/>
  <c r="N162" i="56"/>
  <c r="AG142" i="65"/>
  <c r="N142" i="56"/>
  <c r="AG155" i="65"/>
  <c r="N155" i="56"/>
  <c r="AG65" i="65"/>
  <c r="N65" i="56"/>
  <c r="AG43" i="65"/>
  <c r="N43" i="56"/>
  <c r="AG28" i="65"/>
  <c r="N28" i="56"/>
  <c r="AG60" i="65"/>
  <c r="N60" i="56"/>
  <c r="AG86" i="65"/>
  <c r="N86" i="56"/>
  <c r="AG285" i="65"/>
  <c r="N285" i="56"/>
  <c r="AG294" i="65"/>
  <c r="N294" i="56"/>
  <c r="AG219" i="65"/>
  <c r="N219" i="56"/>
  <c r="O131" i="53"/>
  <c r="AG131" i="42"/>
  <c r="O267" i="53"/>
  <c r="AG267" i="42"/>
  <c r="O242" i="53"/>
  <c r="AG242" i="42"/>
  <c r="O147" i="53"/>
  <c r="AG147" i="42"/>
  <c r="O266" i="53"/>
  <c r="AG266" i="42"/>
  <c r="O198" i="53"/>
  <c r="AG198" i="42"/>
  <c r="O66" i="53"/>
  <c r="AG66" i="42"/>
  <c r="O48" i="53"/>
  <c r="K31" i="66"/>
  <c r="AG48" i="42"/>
  <c r="O168" i="53"/>
  <c r="AG168" i="42"/>
  <c r="O282" i="53"/>
  <c r="AG282" i="42"/>
  <c r="O111" i="53"/>
  <c r="AG111" i="42"/>
  <c r="O124" i="53"/>
  <c r="AG124" i="42"/>
  <c r="O157" i="53"/>
  <c r="AG157" i="42"/>
  <c r="O219" i="53"/>
  <c r="AG219" i="42"/>
  <c r="O135" i="53"/>
  <c r="AG135" i="42"/>
  <c r="O69" i="53"/>
  <c r="AG69" i="42"/>
  <c r="O159" i="53"/>
  <c r="AG159" i="42"/>
  <c r="O243" i="53"/>
  <c r="AG243" i="42"/>
  <c r="O307" i="53"/>
  <c r="AG307" i="42"/>
  <c r="O199" i="53"/>
  <c r="AG199" i="42"/>
  <c r="O279" i="53"/>
  <c r="AG279" i="42"/>
  <c r="O53" i="53"/>
  <c r="AG53" i="42"/>
  <c r="O183" i="53"/>
  <c r="AG183" i="42"/>
  <c r="O196" i="53"/>
  <c r="AG196" i="42"/>
  <c r="AG254" i="42"/>
  <c r="O254" i="53"/>
  <c r="AG210" i="42"/>
  <c r="O210" i="53"/>
  <c r="AG144" i="42"/>
  <c r="O144" i="53"/>
  <c r="O217" i="53"/>
  <c r="AG217" i="42"/>
  <c r="O70" i="53"/>
  <c r="AG70" i="42"/>
  <c r="O176" i="53"/>
  <c r="AG176" i="42"/>
  <c r="O148" i="53"/>
  <c r="AG148" i="42"/>
  <c r="O44" i="53"/>
  <c r="AG44" i="42"/>
  <c r="AG230" i="42"/>
  <c r="O230" i="53"/>
  <c r="O126" i="53"/>
  <c r="AG126" i="42"/>
  <c r="AG235" i="42"/>
  <c r="O235" i="53"/>
  <c r="O138" i="53"/>
  <c r="AG138" i="42"/>
  <c r="O305" i="53"/>
  <c r="AG305" i="42"/>
  <c r="AG25" i="65"/>
  <c r="N25" i="56"/>
  <c r="AG95" i="65"/>
  <c r="N95" i="56"/>
  <c r="AG281" i="65"/>
  <c r="N281" i="56"/>
  <c r="AG275" i="65"/>
  <c r="N275" i="56"/>
  <c r="AG263" i="65"/>
  <c r="N263" i="56"/>
  <c r="J17" i="66"/>
  <c r="AG24" i="65"/>
  <c r="N24" i="56"/>
  <c r="AG77" i="65"/>
  <c r="N77" i="56"/>
  <c r="AG270" i="65"/>
  <c r="N270" i="56"/>
  <c r="AG251" i="65"/>
  <c r="N251" i="56"/>
  <c r="AG217" i="65"/>
  <c r="N217" i="56"/>
  <c r="AG133" i="65"/>
  <c r="N133" i="56"/>
  <c r="AG303" i="65"/>
  <c r="N303" i="56"/>
  <c r="AG64" i="65"/>
  <c r="N64" i="56"/>
  <c r="AG46" i="65"/>
  <c r="N46" i="56"/>
  <c r="AG90" i="65"/>
  <c r="N90" i="56"/>
  <c r="AG66" i="65"/>
  <c r="N66" i="56"/>
  <c r="J23" i="66"/>
  <c r="AG22" i="65"/>
  <c r="N22" i="56"/>
  <c r="AG144" i="65"/>
  <c r="N144" i="56"/>
  <c r="AG224" i="65"/>
  <c r="N224" i="56"/>
  <c r="AG118" i="65"/>
  <c r="N118" i="56"/>
  <c r="AG33" i="65"/>
  <c r="N33" i="56"/>
  <c r="AG47" i="65"/>
  <c r="N47" i="56"/>
  <c r="AG122" i="65"/>
  <c r="N122" i="56"/>
  <c r="O192" i="53"/>
  <c r="AG192" i="42"/>
  <c r="O110" i="53"/>
  <c r="AG110" i="42"/>
  <c r="O297" i="53"/>
  <c r="AG297" i="42"/>
  <c r="O15" i="53"/>
  <c r="K34" i="66"/>
  <c r="P13" i="42"/>
  <c r="Q6" i="42" s="1"/>
  <c r="AG15" i="42"/>
  <c r="AG180" i="42"/>
  <c r="O180" i="53"/>
  <c r="O291" i="53"/>
  <c r="AG291" i="42"/>
  <c r="AG119" i="65"/>
  <c r="N119" i="56"/>
  <c r="AG108" i="65"/>
  <c r="N108" i="56"/>
  <c r="AG37" i="65"/>
  <c r="N37" i="56"/>
  <c r="AG225" i="65"/>
  <c r="N225" i="56"/>
  <c r="AG158" i="65"/>
  <c r="N158" i="56"/>
  <c r="AG121" i="65"/>
  <c r="N121" i="56"/>
  <c r="AG112" i="65"/>
  <c r="N112" i="56"/>
  <c r="AG31" i="65"/>
  <c r="N31" i="56"/>
  <c r="AG69" i="65"/>
  <c r="N69" i="56"/>
  <c r="AG262" i="65"/>
  <c r="N262" i="56"/>
  <c r="AG180" i="65"/>
  <c r="N180" i="56"/>
  <c r="AG105" i="65"/>
  <c r="N105" i="56"/>
  <c r="AG247" i="65"/>
  <c r="N247" i="56"/>
  <c r="AG204" i="65"/>
  <c r="N204" i="56"/>
  <c r="O115" i="53"/>
  <c r="AG115" i="42"/>
  <c r="O165" i="53"/>
  <c r="AG165" i="42"/>
  <c r="O161" i="53"/>
  <c r="AG161" i="42"/>
  <c r="O253" i="53"/>
  <c r="AG253" i="42"/>
  <c r="O191" i="53"/>
  <c r="AG191" i="42"/>
  <c r="O45" i="53"/>
  <c r="AG45" i="42"/>
  <c r="O20" i="53"/>
  <c r="AG20" i="42"/>
  <c r="O146" i="53"/>
  <c r="AG146" i="42"/>
  <c r="O86" i="53"/>
  <c r="AG86" i="42"/>
  <c r="O37" i="53"/>
  <c r="AG37" i="42"/>
  <c r="O80" i="53"/>
  <c r="AG80" i="42"/>
  <c r="O184" i="53"/>
  <c r="AG184" i="42"/>
  <c r="O106" i="53"/>
  <c r="AG106" i="42"/>
  <c r="O113" i="53"/>
  <c r="AG113" i="42"/>
  <c r="O190" i="53"/>
  <c r="AG190" i="42"/>
  <c r="O290" i="53"/>
  <c r="AG290" i="42"/>
  <c r="O36" i="53"/>
  <c r="AG36" i="42"/>
  <c r="O277" i="53"/>
  <c r="AG277" i="42"/>
  <c r="O201" i="53"/>
  <c r="AG201" i="42"/>
  <c r="O108" i="53"/>
  <c r="AG108" i="42"/>
  <c r="O234" i="53"/>
  <c r="AG234" i="42"/>
  <c r="O220" i="53"/>
  <c r="AG220" i="42"/>
  <c r="O193" i="53"/>
  <c r="AG193" i="42"/>
  <c r="O57" i="53"/>
  <c r="AG57" i="42"/>
  <c r="AG276" i="42"/>
  <c r="O276" i="53"/>
  <c r="AG300" i="42"/>
  <c r="O300" i="53"/>
  <c r="AG249" i="42"/>
  <c r="O249" i="53"/>
  <c r="O155" i="53"/>
  <c r="AG155" i="42"/>
  <c r="O207" i="53"/>
  <c r="AG207" i="42"/>
  <c r="O202" i="53"/>
  <c r="AG202" i="42"/>
  <c r="O233" i="53"/>
  <c r="AG233" i="42"/>
  <c r="O68" i="53"/>
  <c r="AG68" i="42"/>
  <c r="O153" i="53"/>
  <c r="AG153" i="42"/>
  <c r="O75" i="53"/>
  <c r="AG75" i="42"/>
  <c r="O194" i="53"/>
  <c r="AG194" i="42"/>
  <c r="AG197" i="42"/>
  <c r="O197" i="53"/>
  <c r="O42" i="53"/>
  <c r="AG42" i="42"/>
  <c r="AG248" i="65"/>
  <c r="N248" i="56"/>
  <c r="J138" i="66"/>
  <c r="AG244" i="65"/>
  <c r="N244" i="56"/>
  <c r="AG178" i="65"/>
  <c r="N178" i="56"/>
  <c r="AG295" i="65"/>
  <c r="N295" i="56"/>
  <c r="AG125" i="65"/>
  <c r="N125" i="56"/>
  <c r="AG269" i="65"/>
  <c r="N269" i="56"/>
  <c r="AG261" i="65"/>
  <c r="N261" i="56"/>
  <c r="AG289" i="65"/>
  <c r="N289" i="56"/>
  <c r="V22" i="60"/>
  <c r="J15" i="60"/>
  <c r="V18" i="60"/>
  <c r="J18" i="60" s="1"/>
  <c r="AG107" i="65"/>
  <c r="N107" i="56"/>
  <c r="AG222" i="65"/>
  <c r="N222" i="56"/>
  <c r="AG268" i="65"/>
  <c r="N268" i="56"/>
  <c r="J20" i="66"/>
  <c r="AG17" i="65"/>
  <c r="N17" i="56"/>
  <c r="AG145" i="65"/>
  <c r="N145" i="56"/>
  <c r="AG258" i="65"/>
  <c r="N258" i="56"/>
  <c r="AG181" i="65"/>
  <c r="N181" i="56"/>
  <c r="AG146" i="65"/>
  <c r="N146" i="56"/>
  <c r="AG246" i="65"/>
  <c r="N246" i="56"/>
  <c r="AG126" i="65"/>
  <c r="N126" i="56"/>
  <c r="AG40" i="65"/>
  <c r="N40" i="56"/>
  <c r="AG265" i="65"/>
  <c r="N265" i="56"/>
  <c r="AG115" i="65"/>
  <c r="N115" i="56"/>
  <c r="AG300" i="65"/>
  <c r="N300" i="56"/>
  <c r="AG202" i="65"/>
  <c r="N202" i="56"/>
  <c r="AG286" i="65"/>
  <c r="N286" i="56"/>
  <c r="AG151" i="65"/>
  <c r="N151" i="56"/>
  <c r="AG203" i="65"/>
  <c r="N203" i="56"/>
  <c r="U72" i="66"/>
  <c r="AQ72" i="66" s="1"/>
  <c r="BA72" i="66"/>
  <c r="AG72" i="66"/>
  <c r="AG192" i="65"/>
  <c r="N192" i="56"/>
  <c r="AG102" i="65"/>
  <c r="N102" i="56"/>
  <c r="AG61" i="65"/>
  <c r="N61" i="56"/>
  <c r="AG117" i="65"/>
  <c r="N117" i="56"/>
  <c r="AG109" i="65"/>
  <c r="N109" i="56"/>
  <c r="N11" i="54"/>
  <c r="AG13" i="54"/>
  <c r="O76" i="53"/>
  <c r="AG76" i="42"/>
  <c r="O127" i="53"/>
  <c r="AG127" i="42"/>
  <c r="O164" i="53"/>
  <c r="AG164" i="42"/>
  <c r="O229" i="53"/>
  <c r="AG229" i="42"/>
  <c r="O268" i="53"/>
  <c r="AG268" i="42"/>
  <c r="AG83" i="42"/>
  <c r="O83" i="53"/>
  <c r="AG208" i="42"/>
  <c r="O208" i="53"/>
  <c r="AG189" i="65"/>
  <c r="N189" i="56"/>
  <c r="AG171" i="65"/>
  <c r="N171" i="56"/>
  <c r="AG283" i="65"/>
  <c r="N283" i="56"/>
  <c r="AG245" i="65"/>
  <c r="N245" i="56"/>
  <c r="AG257" i="65"/>
  <c r="N257" i="56"/>
  <c r="AG175" i="65"/>
  <c r="N175" i="56"/>
  <c r="AG18" i="65"/>
  <c r="N18" i="56"/>
  <c r="O187" i="53"/>
  <c r="AG187" i="42"/>
  <c r="O128" i="53"/>
  <c r="AG128" i="42"/>
  <c r="O247" i="53"/>
  <c r="AG247" i="42"/>
  <c r="O154" i="53"/>
  <c r="AG154" i="42"/>
  <c r="O212" i="53"/>
  <c r="AG212" i="42"/>
  <c r="O87" i="53"/>
  <c r="AG87" i="42"/>
  <c r="AG19" i="65"/>
  <c r="N19" i="56"/>
  <c r="AG50" i="65"/>
  <c r="N50" i="56"/>
  <c r="AG124" i="65"/>
  <c r="N124" i="56"/>
  <c r="AG134" i="65"/>
  <c r="N134" i="56"/>
  <c r="AG260" i="65"/>
  <c r="N260" i="56"/>
  <c r="AG233" i="65"/>
  <c r="N233" i="56"/>
  <c r="AG127" i="65"/>
  <c r="N127" i="56"/>
  <c r="AG297" i="65"/>
  <c r="N297" i="56"/>
  <c r="AG271" i="65"/>
  <c r="N271" i="56"/>
  <c r="AG104" i="65"/>
  <c r="N104" i="56"/>
  <c r="AG256" i="65"/>
  <c r="N256" i="56"/>
  <c r="U70" i="66"/>
  <c r="AQ70" i="66" s="1"/>
  <c r="AG70" i="66"/>
  <c r="BA70" i="66"/>
  <c r="AG88" i="65"/>
  <c r="N88" i="56"/>
  <c r="AG91" i="65"/>
  <c r="N91" i="56"/>
  <c r="AG187" i="65"/>
  <c r="N187" i="56"/>
  <c r="AG42" i="65"/>
  <c r="N42" i="56"/>
  <c r="AG188" i="65"/>
  <c r="N188" i="56"/>
  <c r="O125" i="53"/>
  <c r="AG125" i="42"/>
  <c r="O302" i="53"/>
  <c r="AG302" i="42"/>
  <c r="O65" i="53"/>
  <c r="AG65" i="42"/>
  <c r="O248" i="53"/>
  <c r="AG248" i="42"/>
  <c r="O91" i="53"/>
  <c r="AG91" i="42"/>
  <c r="O225" i="53"/>
  <c r="AG225" i="42"/>
  <c r="O203" i="53"/>
  <c r="AG203" i="42"/>
  <c r="O215" i="53"/>
  <c r="AG215" i="42"/>
  <c r="O29" i="53"/>
  <c r="AG29" i="42"/>
  <c r="O227" i="53"/>
  <c r="AG227" i="42"/>
  <c r="O295" i="53"/>
  <c r="AG295" i="42"/>
  <c r="O278" i="53"/>
  <c r="AG278" i="42"/>
  <c r="O294" i="53"/>
  <c r="AG294" i="42"/>
  <c r="O137" i="53"/>
  <c r="AG137" i="42"/>
  <c r="O166" i="53"/>
  <c r="AG166" i="42"/>
  <c r="K30" i="66"/>
  <c r="O24" i="53"/>
  <c r="AG24" i="42"/>
  <c r="O30" i="53"/>
  <c r="AG30" i="42"/>
  <c r="O79" i="53"/>
  <c r="AG79" i="42"/>
  <c r="O188" i="53"/>
  <c r="AG188" i="42"/>
  <c r="O63" i="53"/>
  <c r="AG63" i="42"/>
  <c r="O31" i="53"/>
  <c r="AG31" i="42"/>
  <c r="O264" i="53"/>
  <c r="AG264" i="42"/>
  <c r="O140" i="53"/>
  <c r="AG140" i="42"/>
  <c r="O40" i="53"/>
  <c r="AG40" i="42"/>
  <c r="AG178" i="42"/>
  <c r="O178" i="53"/>
  <c r="AG259" i="42"/>
  <c r="O259" i="53"/>
  <c r="AG260" i="42"/>
  <c r="O260" i="53"/>
  <c r="O179" i="53"/>
  <c r="AG179" i="42"/>
  <c r="O99" i="53"/>
  <c r="AG99" i="42"/>
  <c r="O51" i="53"/>
  <c r="AG51" i="42"/>
  <c r="O84" i="53"/>
  <c r="AG84" i="42"/>
  <c r="O223" i="53"/>
  <c r="AG223" i="42"/>
  <c r="O296" i="53"/>
  <c r="AG296" i="42"/>
  <c r="O263" i="53"/>
  <c r="AG263" i="42"/>
  <c r="AG136" i="42"/>
  <c r="O136" i="53"/>
  <c r="AG88" i="42"/>
  <c r="O88" i="53"/>
  <c r="AG160" i="42"/>
  <c r="O160" i="53"/>
  <c r="AG87" i="65"/>
  <c r="N87" i="56"/>
  <c r="AG83" i="65"/>
  <c r="N83" i="56"/>
  <c r="AG278" i="65"/>
  <c r="N278" i="56"/>
  <c r="AG38" i="65"/>
  <c r="N38" i="56"/>
  <c r="U67" i="66"/>
  <c r="AQ67" i="66" s="1"/>
  <c r="BA67" i="66"/>
  <c r="AG67" i="66"/>
  <c r="AG206" i="65"/>
  <c r="N206" i="56"/>
  <c r="AG166" i="65"/>
  <c r="N166" i="56"/>
  <c r="AG52" i="65"/>
  <c r="N52" i="56"/>
  <c r="AG103" i="65"/>
  <c r="N103" i="56"/>
  <c r="AG216" i="65"/>
  <c r="N216" i="56"/>
  <c r="AG138" i="65"/>
  <c r="N138" i="56"/>
  <c r="AG210" i="65"/>
  <c r="N210" i="56"/>
  <c r="AG280" i="65"/>
  <c r="N280" i="56"/>
  <c r="AG230" i="65"/>
  <c r="N230" i="56"/>
  <c r="AG305" i="65"/>
  <c r="N305" i="56"/>
  <c r="Q21" i="15"/>
  <c r="R14" i="15"/>
  <c r="AG250" i="65"/>
  <c r="N250" i="56"/>
  <c r="AG274" i="65"/>
  <c r="N274" i="56"/>
  <c r="U69" i="66"/>
  <c r="AQ69" i="66" s="1"/>
  <c r="BA69" i="66"/>
  <c r="AG69" i="66"/>
  <c r="AG190" i="65"/>
  <c r="N190" i="56"/>
  <c r="J22" i="66"/>
  <c r="AG16" i="65"/>
  <c r="N16" i="56"/>
  <c r="AG81" i="65"/>
  <c r="N81" i="56"/>
  <c r="AG99" i="65"/>
  <c r="N99" i="56"/>
  <c r="AG231" i="65"/>
  <c r="N231" i="56"/>
  <c r="J144" i="66"/>
  <c r="U144" i="66" s="1"/>
  <c r="AG207" i="65"/>
  <c r="N207" i="56"/>
  <c r="AG92" i="65"/>
  <c r="N92" i="56"/>
  <c r="AG272" i="65"/>
  <c r="N272" i="56"/>
  <c r="AG84" i="65"/>
  <c r="N84" i="56"/>
  <c r="AG273" i="65"/>
  <c r="N273" i="56"/>
  <c r="AG85" i="65"/>
  <c r="N85" i="56"/>
  <c r="AG26" i="65"/>
  <c r="N26" i="56"/>
  <c r="O286" i="53"/>
  <c r="AG286" i="42"/>
  <c r="O270" i="53"/>
  <c r="AG270" i="42"/>
  <c r="O122" i="53"/>
  <c r="AG122" i="42"/>
  <c r="O82" i="53"/>
  <c r="AG82" i="42"/>
  <c r="O90" i="53"/>
  <c r="AG90" i="42"/>
  <c r="O67" i="53"/>
  <c r="AG67" i="42"/>
  <c r="AG76" i="65"/>
  <c r="N76" i="56"/>
  <c r="AG123" i="65"/>
  <c r="N123" i="56"/>
  <c r="AG113" i="65"/>
  <c r="N113" i="56"/>
  <c r="AG57" i="65"/>
  <c r="N57" i="56"/>
  <c r="AG229" i="65"/>
  <c r="N229" i="56"/>
  <c r="AG110" i="65"/>
  <c r="N110" i="56"/>
  <c r="AG129" i="65"/>
  <c r="N129" i="56"/>
  <c r="AG249" i="65"/>
  <c r="N249" i="56"/>
  <c r="O298" i="53"/>
  <c r="AG298" i="42"/>
  <c r="O169" i="53"/>
  <c r="AG169" i="42"/>
  <c r="O77" i="53"/>
  <c r="AG77" i="42"/>
  <c r="O16" i="53"/>
  <c r="K35" i="66"/>
  <c r="AG16" i="42"/>
  <c r="O258" i="53"/>
  <c r="AG258" i="42"/>
  <c r="AG158" i="42"/>
  <c r="O158" i="53"/>
  <c r="O58" i="53"/>
  <c r="AG58" i="42"/>
  <c r="O240" i="53"/>
  <c r="AG240" i="42"/>
  <c r="AG114" i="65"/>
  <c r="N114" i="56"/>
  <c r="AG241" i="65"/>
  <c r="N241" i="56"/>
  <c r="AG254" i="65"/>
  <c r="N254" i="56"/>
  <c r="AG79" i="65"/>
  <c r="N79" i="56"/>
  <c r="I156" i="66"/>
  <c r="T156" i="66" s="1"/>
  <c r="T149" i="66"/>
  <c r="AG149" i="65"/>
  <c r="N149" i="56"/>
  <c r="AG237" i="65"/>
  <c r="N237" i="56"/>
  <c r="AG154" i="65"/>
  <c r="N154" i="56"/>
  <c r="AG267" i="65"/>
  <c r="N267" i="56"/>
  <c r="AG45" i="65"/>
  <c r="N45" i="56"/>
  <c r="AG232" i="65"/>
  <c r="N232" i="56"/>
  <c r="AG205" i="65"/>
  <c r="N205" i="56"/>
  <c r="AG75" i="65"/>
  <c r="N75" i="56"/>
  <c r="AG287" i="65"/>
  <c r="N287" i="56"/>
  <c r="J21" i="66"/>
  <c r="AG15" i="65"/>
  <c r="N7" i="65"/>
  <c r="N13" i="65"/>
  <c r="AG13" i="65" s="1"/>
  <c r="N15" i="56"/>
  <c r="AG186" i="65"/>
  <c r="N186" i="56"/>
  <c r="AG59" i="65"/>
  <c r="N59" i="56"/>
  <c r="AG74" i="65"/>
  <c r="N74" i="56"/>
  <c r="AG116" i="65"/>
  <c r="N116" i="56"/>
  <c r="AG21" i="65"/>
  <c r="N21" i="56"/>
  <c r="O93" i="53"/>
  <c r="AG93" i="42"/>
  <c r="O174" i="53"/>
  <c r="AG174" i="42"/>
  <c r="O54" i="53"/>
  <c r="AG54" i="42"/>
  <c r="O59" i="53"/>
  <c r="AG59" i="42"/>
  <c r="O232" i="53"/>
  <c r="AG232" i="42"/>
  <c r="O139" i="53"/>
  <c r="AG139" i="42"/>
  <c r="O97" i="53"/>
  <c r="AG97" i="42"/>
  <c r="O43" i="53"/>
  <c r="AG43" i="42"/>
  <c r="O252" i="53"/>
  <c r="AG252" i="42"/>
  <c r="O118" i="53"/>
  <c r="AG118" i="42"/>
  <c r="O272" i="53"/>
  <c r="AG272" i="42"/>
  <c r="O61" i="53"/>
  <c r="AG61" i="42"/>
  <c r="O92" i="53"/>
  <c r="AG92" i="42"/>
  <c r="O132" i="53"/>
  <c r="AG132" i="42"/>
  <c r="O303" i="53"/>
  <c r="AG303" i="42"/>
  <c r="O205" i="53"/>
  <c r="AG205" i="42"/>
  <c r="O89" i="53"/>
  <c r="AG89" i="42"/>
  <c r="O103" i="53"/>
  <c r="AG103" i="42"/>
  <c r="O206" i="53"/>
  <c r="AG206" i="42"/>
  <c r="O218" i="53"/>
  <c r="AG218" i="42"/>
  <c r="O214" i="53"/>
  <c r="AG214" i="42"/>
  <c r="O98" i="53"/>
  <c r="AG98" i="42"/>
  <c r="O274" i="53"/>
  <c r="AG274" i="42"/>
  <c r="AG94" i="42"/>
  <c r="O94" i="53"/>
  <c r="AG100" i="42"/>
  <c r="O100" i="53"/>
  <c r="AG265" i="42"/>
  <c r="O265" i="53"/>
  <c r="AG257" i="42"/>
  <c r="O257" i="53"/>
  <c r="O21" i="53"/>
  <c r="AG21" i="42"/>
  <c r="O49" i="53"/>
  <c r="AG49" i="42"/>
  <c r="O221" i="53"/>
  <c r="AG221" i="42"/>
  <c r="O285" i="53"/>
  <c r="AG285" i="42"/>
  <c r="O23" i="53"/>
  <c r="AG23" i="42"/>
  <c r="AG156" i="42"/>
  <c r="O156" i="53"/>
  <c r="O105" i="53"/>
  <c r="AG105" i="42"/>
  <c r="O289" i="53"/>
  <c r="AG289" i="42"/>
  <c r="O85" i="53"/>
  <c r="AG85" i="42"/>
  <c r="AG287" i="42"/>
  <c r="O287" i="53"/>
  <c r="J18" i="66"/>
  <c r="AG48" i="65"/>
  <c r="N48" i="56"/>
  <c r="AG284" i="65"/>
  <c r="N284" i="56"/>
  <c r="AG266" i="65"/>
  <c r="N266" i="56"/>
  <c r="AG30" i="65"/>
  <c r="N30" i="56"/>
  <c r="AG223" i="65"/>
  <c r="N223" i="56"/>
  <c r="AG39" i="65"/>
  <c r="N39" i="56"/>
  <c r="AG72" i="65"/>
  <c r="N72" i="56"/>
  <c r="AG301" i="65"/>
  <c r="N301" i="56"/>
  <c r="U68" i="66"/>
  <c r="AQ68" i="66" s="1"/>
  <c r="AG68" i="66"/>
  <c r="BA68" i="66"/>
  <c r="AG236" i="65"/>
  <c r="N236" i="56"/>
  <c r="J141" i="66"/>
  <c r="U141" i="66" s="1"/>
  <c r="AG71" i="65"/>
  <c r="N71" i="56"/>
  <c r="U71" i="66"/>
  <c r="AQ71" i="66" s="1"/>
  <c r="AG71" i="66"/>
  <c r="BA71" i="66"/>
  <c r="AG68" i="65"/>
  <c r="N68" i="56"/>
  <c r="AG49" i="65"/>
  <c r="N49" i="56"/>
  <c r="AG163" i="65"/>
  <c r="N163" i="56"/>
  <c r="AG93" i="65"/>
  <c r="N93" i="56"/>
  <c r="AG136" i="65"/>
  <c r="N136" i="56"/>
  <c r="O232" i="54" l="1"/>
  <c r="AH232" i="53"/>
  <c r="AG114" i="56"/>
  <c r="AV114" i="56"/>
  <c r="O67" i="54"/>
  <c r="AH67" i="53"/>
  <c r="AV207" i="56"/>
  <c r="AG207" i="56"/>
  <c r="O140" i="54"/>
  <c r="AH140" i="53"/>
  <c r="AV271" i="56"/>
  <c r="AG271" i="56"/>
  <c r="AG286" i="56"/>
  <c r="AV286" i="56"/>
  <c r="AV146" i="56"/>
  <c r="AG146" i="56"/>
  <c r="O155" i="54"/>
  <c r="AH155" i="53"/>
  <c r="AH146" i="53"/>
  <c r="O146" i="54"/>
  <c r="O254" i="54"/>
  <c r="AH254" i="53"/>
  <c r="O267" i="54"/>
  <c r="AH267" i="53"/>
  <c r="AH171" i="53"/>
  <c r="O171" i="54"/>
  <c r="AH182" i="53"/>
  <c r="O182" i="54"/>
  <c r="O55" i="54"/>
  <c r="AH55" i="53"/>
  <c r="AV302" i="56"/>
  <c r="AG302" i="56"/>
  <c r="AV296" i="56"/>
  <c r="AG296" i="56"/>
  <c r="AG62" i="56"/>
  <c r="AV62" i="56"/>
  <c r="AG161" i="56"/>
  <c r="AV161" i="56"/>
  <c r="AV20" i="56"/>
  <c r="AG20" i="56"/>
  <c r="O33" i="54"/>
  <c r="AH33" i="53"/>
  <c r="O166" i="54"/>
  <c r="AH166" i="53"/>
  <c r="AG42" i="56"/>
  <c r="AV42" i="56"/>
  <c r="AG19" i="56"/>
  <c r="AV19" i="56"/>
  <c r="O164" i="54"/>
  <c r="AH164" i="53"/>
  <c r="AV107" i="56"/>
  <c r="AG107" i="56"/>
  <c r="AG247" i="56"/>
  <c r="AV247" i="56"/>
  <c r="AH180" i="53"/>
  <c r="O180" i="54"/>
  <c r="AV66" i="56"/>
  <c r="AG66" i="56"/>
  <c r="O279" i="54"/>
  <c r="AH279" i="53"/>
  <c r="O157" i="54"/>
  <c r="AH157" i="53"/>
  <c r="O177" i="54"/>
  <c r="AH177" i="53"/>
  <c r="AG139" i="56"/>
  <c r="AV139" i="56"/>
  <c r="AG212" i="56"/>
  <c r="AV212" i="56"/>
  <c r="AG234" i="56"/>
  <c r="AV234" i="56"/>
  <c r="O145" i="54"/>
  <c r="AH145" i="53"/>
  <c r="O38" i="54"/>
  <c r="AH38" i="53"/>
  <c r="AH269" i="53"/>
  <c r="O269" i="54"/>
  <c r="O129" i="54"/>
  <c r="AH129" i="53"/>
  <c r="O167" i="54"/>
  <c r="AH167" i="53"/>
  <c r="O81" i="54"/>
  <c r="AH81" i="53"/>
  <c r="O250" i="54"/>
  <c r="AH250" i="53"/>
  <c r="O96" i="54"/>
  <c r="AH96" i="53"/>
  <c r="O28" i="54"/>
  <c r="AH28" i="53"/>
  <c r="AV208" i="56"/>
  <c r="AG208" i="56"/>
  <c r="AG128" i="56"/>
  <c r="AV128" i="56"/>
  <c r="AG279" i="56"/>
  <c r="AV279" i="56"/>
  <c r="AG23" i="56"/>
  <c r="AV23" i="56"/>
  <c r="AG132" i="56"/>
  <c r="AV132" i="56"/>
  <c r="AG53" i="56"/>
  <c r="AV53" i="56"/>
  <c r="AG182" i="56"/>
  <c r="AV182" i="56"/>
  <c r="V32" i="66"/>
  <c r="AR32" i="66" s="1"/>
  <c r="BD32" i="66"/>
  <c r="AH32" i="66"/>
  <c r="BB32" i="66"/>
  <c r="AG240" i="56"/>
  <c r="AV240" i="56"/>
  <c r="AV185" i="56"/>
  <c r="AG185" i="56"/>
  <c r="AV290" i="56"/>
  <c r="AG290" i="56"/>
  <c r="AH213" i="53"/>
  <c r="O213" i="54"/>
  <c r="AV153" i="56"/>
  <c r="AG153" i="56"/>
  <c r="U21" i="66"/>
  <c r="AQ21" i="66" s="1"/>
  <c r="AG21" i="66"/>
  <c r="AG20" i="66"/>
  <c r="U20" i="66"/>
  <c r="AQ20" i="66" s="1"/>
  <c r="AV261" i="56"/>
  <c r="AG261" i="56"/>
  <c r="O184" i="54"/>
  <c r="AH184" i="53"/>
  <c r="AV118" i="56"/>
  <c r="AG118" i="56"/>
  <c r="O299" i="54"/>
  <c r="AH299" i="53"/>
  <c r="O41" i="54"/>
  <c r="AH41" i="53"/>
  <c r="O255" i="54"/>
  <c r="AH255" i="53"/>
  <c r="O114" i="54"/>
  <c r="AH114" i="53"/>
  <c r="AV287" i="56"/>
  <c r="AG287" i="56"/>
  <c r="O77" i="54"/>
  <c r="AH77" i="53"/>
  <c r="AV268" i="56"/>
  <c r="AG268" i="56"/>
  <c r="O249" i="54"/>
  <c r="AH249" i="53"/>
  <c r="AV77" i="56"/>
  <c r="AG77" i="56"/>
  <c r="O70" i="54"/>
  <c r="AH70" i="53"/>
  <c r="O168" i="54"/>
  <c r="AH168" i="53"/>
  <c r="AG19" i="66"/>
  <c r="U19" i="66"/>
  <c r="AQ19" i="66" s="1"/>
  <c r="AH275" i="53"/>
  <c r="O275" i="54"/>
  <c r="AV48" i="56"/>
  <c r="AG48" i="56"/>
  <c r="AH23" i="53"/>
  <c r="O23" i="54"/>
  <c r="O218" i="54"/>
  <c r="AH218" i="53"/>
  <c r="O43" i="54"/>
  <c r="AH43" i="53"/>
  <c r="AV110" i="56"/>
  <c r="AG110" i="56"/>
  <c r="O90" i="54"/>
  <c r="AH90" i="53"/>
  <c r="O286" i="54"/>
  <c r="AH286" i="53"/>
  <c r="Q29" i="15"/>
  <c r="Q24" i="15"/>
  <c r="AV210" i="56"/>
  <c r="AG210" i="56"/>
  <c r="AV52" i="56"/>
  <c r="AG52" i="56"/>
  <c r="O263" i="54"/>
  <c r="AH263" i="53"/>
  <c r="O51" i="54"/>
  <c r="AH51" i="53"/>
  <c r="O264" i="54"/>
  <c r="AH264" i="53"/>
  <c r="O79" i="54"/>
  <c r="AH79" i="53"/>
  <c r="AG297" i="56"/>
  <c r="AV297" i="56"/>
  <c r="AG134" i="56"/>
  <c r="AV134" i="56"/>
  <c r="O247" i="54"/>
  <c r="AH247" i="53"/>
  <c r="AG283" i="56"/>
  <c r="AV283" i="56"/>
  <c r="O83" i="54"/>
  <c r="AH83" i="53"/>
  <c r="AV202" i="56"/>
  <c r="AG202" i="56"/>
  <c r="AG40" i="56"/>
  <c r="AV40" i="56"/>
  <c r="AV181" i="56"/>
  <c r="AG181" i="56"/>
  <c r="AG258" i="56"/>
  <c r="AV258" i="56"/>
  <c r="AG269" i="56"/>
  <c r="AV269" i="56"/>
  <c r="AV244" i="56"/>
  <c r="AG244" i="56"/>
  <c r="O194" i="54"/>
  <c r="AH194" i="53"/>
  <c r="O233" i="54"/>
  <c r="AH233" i="53"/>
  <c r="AH193" i="53"/>
  <c r="O201" i="54"/>
  <c r="AH201" i="53"/>
  <c r="O190" i="54"/>
  <c r="AH190" i="53"/>
  <c r="O80" i="54"/>
  <c r="AH80" i="53"/>
  <c r="O20" i="54"/>
  <c r="AH20" i="53"/>
  <c r="O161" i="54"/>
  <c r="AH161" i="53"/>
  <c r="O110" i="54"/>
  <c r="AH110" i="53"/>
  <c r="AV224" i="56"/>
  <c r="AG224" i="56"/>
  <c r="AV281" i="56"/>
  <c r="AG281" i="56"/>
  <c r="O266" i="54"/>
  <c r="AH266" i="53"/>
  <c r="O131" i="54"/>
  <c r="AH131" i="53"/>
  <c r="AG43" i="56"/>
  <c r="AV43" i="56"/>
  <c r="AV162" i="56"/>
  <c r="AG162" i="56"/>
  <c r="AH120" i="53"/>
  <c r="O120" i="54"/>
  <c r="O231" i="54"/>
  <c r="AH231" i="53"/>
  <c r="AG58" i="56"/>
  <c r="AV58" i="56"/>
  <c r="AV156" i="56"/>
  <c r="AG156" i="56"/>
  <c r="AV243" i="56"/>
  <c r="AG243" i="56"/>
  <c r="AV169" i="56"/>
  <c r="AG169" i="56"/>
  <c r="AH186" i="53"/>
  <c r="O186" i="54"/>
  <c r="AH19" i="53"/>
  <c r="O19" i="54"/>
  <c r="O173" i="54"/>
  <c r="AH173" i="53"/>
  <c r="O46" i="54"/>
  <c r="AH46" i="53"/>
  <c r="O102" i="54"/>
  <c r="AH102" i="53"/>
  <c r="O271" i="54"/>
  <c r="AH271" i="53"/>
  <c r="O152" i="54"/>
  <c r="AH152" i="53"/>
  <c r="O241" i="54"/>
  <c r="AH241" i="53"/>
  <c r="O32" i="54"/>
  <c r="AH32" i="53"/>
  <c r="AV195" i="56"/>
  <c r="AG195" i="56"/>
  <c r="AV148" i="56"/>
  <c r="AG148" i="56"/>
  <c r="AV255" i="56"/>
  <c r="AG255" i="56"/>
  <c r="AG242" i="56"/>
  <c r="AV242" i="56"/>
  <c r="O71" i="54"/>
  <c r="AH71" i="53"/>
  <c r="O123" i="54"/>
  <c r="AH123" i="53"/>
  <c r="AG291" i="56"/>
  <c r="AV291" i="56"/>
  <c r="AV78" i="56"/>
  <c r="AG78" i="56"/>
  <c r="AG89" i="56"/>
  <c r="AV89" i="56"/>
  <c r="O224" i="54"/>
  <c r="AH224" i="53"/>
  <c r="AG73" i="56"/>
  <c r="AV73" i="56"/>
  <c r="AH216" i="53"/>
  <c r="O216" i="54"/>
  <c r="AH22" i="53"/>
  <c r="O22" i="54"/>
  <c r="O214" i="54"/>
  <c r="AH214" i="53"/>
  <c r="AH92" i="53"/>
  <c r="O92" i="54"/>
  <c r="AG103" i="56"/>
  <c r="AV103" i="56"/>
  <c r="AH84" i="53"/>
  <c r="O84" i="54"/>
  <c r="O57" i="54"/>
  <c r="AH57" i="53"/>
  <c r="O253" i="54"/>
  <c r="AH253" i="53"/>
  <c r="AG108" i="56"/>
  <c r="AV108" i="56"/>
  <c r="O230" i="54"/>
  <c r="AH230" i="53"/>
  <c r="O198" i="54"/>
  <c r="AH198" i="53"/>
  <c r="AH119" i="53"/>
  <c r="O119" i="54"/>
  <c r="O306" i="54"/>
  <c r="AH306" i="53"/>
  <c r="AV141" i="56"/>
  <c r="AG141" i="56"/>
  <c r="AG57" i="56"/>
  <c r="AV57" i="56"/>
  <c r="O259" i="54"/>
  <c r="AH259" i="53"/>
  <c r="AG117" i="56"/>
  <c r="AV117" i="56"/>
  <c r="O305" i="54"/>
  <c r="AH305" i="53"/>
  <c r="O159" i="54"/>
  <c r="AH159" i="53"/>
  <c r="AV218" i="56"/>
  <c r="AG218" i="56"/>
  <c r="AG211" i="56"/>
  <c r="AV211" i="56"/>
  <c r="AG177" i="56"/>
  <c r="AV177" i="56"/>
  <c r="AG227" i="56"/>
  <c r="AV227" i="56"/>
  <c r="AV223" i="56"/>
  <c r="AG223" i="56"/>
  <c r="O85" i="54"/>
  <c r="AH85" i="53"/>
  <c r="AH21" i="53"/>
  <c r="O21" i="54"/>
  <c r="AH205" i="53"/>
  <c r="O205" i="54"/>
  <c r="O61" i="54"/>
  <c r="AH61" i="53"/>
  <c r="O59" i="54"/>
  <c r="AH59" i="53"/>
  <c r="AV149" i="56"/>
  <c r="AG149" i="56"/>
  <c r="AV49" i="56"/>
  <c r="AG49" i="56"/>
  <c r="AV301" i="56"/>
  <c r="AG301" i="56"/>
  <c r="AH257" i="53"/>
  <c r="O257" i="54"/>
  <c r="AG116" i="56"/>
  <c r="AV116" i="56"/>
  <c r="AG75" i="56"/>
  <c r="AV75" i="56"/>
  <c r="AG267" i="56"/>
  <c r="AV267" i="56"/>
  <c r="O169" i="54"/>
  <c r="AH169" i="53"/>
  <c r="AV123" i="56"/>
  <c r="AG123" i="56"/>
  <c r="AV26" i="56"/>
  <c r="AG26" i="56"/>
  <c r="AV272" i="56"/>
  <c r="AG272" i="56"/>
  <c r="AV16" i="56"/>
  <c r="AG16" i="56"/>
  <c r="AG274" i="56"/>
  <c r="AV274" i="56"/>
  <c r="AV305" i="56"/>
  <c r="AG305" i="56"/>
  <c r="AV38" i="56"/>
  <c r="AG38" i="56"/>
  <c r="O160" i="54"/>
  <c r="AH160" i="53"/>
  <c r="O178" i="54"/>
  <c r="AH178" i="53"/>
  <c r="O137" i="54"/>
  <c r="AH137" i="53"/>
  <c r="O227" i="54"/>
  <c r="AH227" i="53"/>
  <c r="O225" i="54"/>
  <c r="AH225" i="53"/>
  <c r="O302" i="54"/>
  <c r="AH302" i="53"/>
  <c r="AG187" i="56"/>
  <c r="AV187" i="56"/>
  <c r="AG257" i="56"/>
  <c r="AV257" i="56"/>
  <c r="O127" i="54"/>
  <c r="AH127" i="53"/>
  <c r="AV61" i="56"/>
  <c r="AG61" i="56"/>
  <c r="AV248" i="56"/>
  <c r="AG248" i="56"/>
  <c r="O300" i="54"/>
  <c r="AH300" i="53"/>
  <c r="AG180" i="56"/>
  <c r="AV180" i="56"/>
  <c r="AG112" i="56"/>
  <c r="AV112" i="56"/>
  <c r="AV90" i="56"/>
  <c r="AG90" i="56"/>
  <c r="AG64" i="56"/>
  <c r="AV64" i="56"/>
  <c r="AV217" i="56"/>
  <c r="AG217" i="56"/>
  <c r="AV24" i="56"/>
  <c r="AG24" i="56"/>
  <c r="O138" i="54"/>
  <c r="AH138" i="53"/>
  <c r="AH44" i="53"/>
  <c r="O44" i="54"/>
  <c r="O217" i="54"/>
  <c r="AH217" i="53"/>
  <c r="O196" i="54"/>
  <c r="AH196" i="53"/>
  <c r="O199" i="54"/>
  <c r="AH199" i="53"/>
  <c r="AH69" i="53"/>
  <c r="O69" i="54"/>
  <c r="O124" i="54"/>
  <c r="AH124" i="53"/>
  <c r="BD31" i="66"/>
  <c r="AH31" i="66"/>
  <c r="BB31" i="66"/>
  <c r="V31" i="66"/>
  <c r="AR31" i="66" s="1"/>
  <c r="AG219" i="56"/>
  <c r="AV219" i="56"/>
  <c r="AV294" i="56"/>
  <c r="AG294" i="56"/>
  <c r="O101" i="54"/>
  <c r="AH101" i="53"/>
  <c r="AG131" i="56"/>
  <c r="AV131" i="56"/>
  <c r="AG194" i="56"/>
  <c r="AV194" i="56"/>
  <c r="AV288" i="56"/>
  <c r="AG288" i="56"/>
  <c r="AG199" i="56"/>
  <c r="AV199" i="56"/>
  <c r="AG135" i="56"/>
  <c r="AV135" i="56"/>
  <c r="O293" i="54"/>
  <c r="AH293" i="53"/>
  <c r="AV159" i="56"/>
  <c r="AG159" i="56"/>
  <c r="AV165" i="56"/>
  <c r="AG165" i="56"/>
  <c r="AV167" i="56"/>
  <c r="AG167" i="56"/>
  <c r="AH175" i="53"/>
  <c r="O175" i="54"/>
  <c r="AG179" i="56"/>
  <c r="AV179" i="56"/>
  <c r="AV221" i="56"/>
  <c r="AG221" i="56"/>
  <c r="AG157" i="56"/>
  <c r="AV157" i="56"/>
  <c r="O60" i="54"/>
  <c r="AH60" i="53"/>
  <c r="O237" i="54"/>
  <c r="AH237" i="53"/>
  <c r="O280" i="54"/>
  <c r="AH280" i="53"/>
  <c r="O170" i="54"/>
  <c r="AH170" i="53"/>
  <c r="O239" i="54"/>
  <c r="AH239" i="53"/>
  <c r="O273" i="54"/>
  <c r="AH273" i="53"/>
  <c r="O244" i="54"/>
  <c r="AH244" i="53"/>
  <c r="AG96" i="56"/>
  <c r="AV96" i="56"/>
  <c r="AV252" i="56"/>
  <c r="AG252" i="56"/>
  <c r="AV235" i="56"/>
  <c r="AG235" i="56"/>
  <c r="AG70" i="56"/>
  <c r="AV70" i="56"/>
  <c r="AV183" i="56"/>
  <c r="AG183" i="56"/>
  <c r="AV130" i="56"/>
  <c r="AG130" i="56"/>
  <c r="AG41" i="56"/>
  <c r="AV41" i="56"/>
  <c r="O117" i="54"/>
  <c r="AH117" i="53"/>
  <c r="AG106" i="56"/>
  <c r="AV106" i="56"/>
  <c r="AG306" i="56"/>
  <c r="AV306" i="56"/>
  <c r="AV259" i="56"/>
  <c r="AG259" i="56"/>
  <c r="V36" i="66"/>
  <c r="AR36" i="66" s="1"/>
  <c r="BB36" i="66"/>
  <c r="BD36" i="66"/>
  <c r="AH36" i="66"/>
  <c r="AH74" i="53"/>
  <c r="O74" i="54"/>
  <c r="AG35" i="56"/>
  <c r="AV35" i="56"/>
  <c r="O49" i="54"/>
  <c r="AH49" i="53"/>
  <c r="AG23" i="66"/>
  <c r="U23" i="66"/>
  <c r="AQ23" i="66" s="1"/>
  <c r="O39" i="54"/>
  <c r="AH39" i="53"/>
  <c r="AH292" i="53"/>
  <c r="O292" i="54"/>
  <c r="O149" i="54"/>
  <c r="AH149" i="53"/>
  <c r="AV276" i="56"/>
  <c r="AG276" i="56"/>
  <c r="AV113" i="56"/>
  <c r="AG113" i="56"/>
  <c r="AG31" i="56"/>
  <c r="AV31" i="56"/>
  <c r="AV30" i="56"/>
  <c r="AG30" i="56"/>
  <c r="U18" i="66"/>
  <c r="AQ18" i="66" s="1"/>
  <c r="AG18" i="66"/>
  <c r="O289" i="54"/>
  <c r="AH289" i="53"/>
  <c r="O285" i="54"/>
  <c r="AH285" i="53"/>
  <c r="O274" i="54"/>
  <c r="AH274" i="53"/>
  <c r="O206" i="54"/>
  <c r="AH206" i="53"/>
  <c r="O303" i="54"/>
  <c r="AH303" i="53"/>
  <c r="AH272" i="53"/>
  <c r="O272" i="54"/>
  <c r="AH97" i="53"/>
  <c r="O97" i="54"/>
  <c r="O54" i="54"/>
  <c r="AH54" i="53"/>
  <c r="AG15" i="56"/>
  <c r="AV15" i="56"/>
  <c r="N13" i="56"/>
  <c r="AG13" i="56" s="1"/>
  <c r="N7" i="56"/>
  <c r="H114" i="66" s="1"/>
  <c r="AG79" i="56"/>
  <c r="AV79" i="56"/>
  <c r="O258" i="54"/>
  <c r="AH258" i="53"/>
  <c r="O82" i="54"/>
  <c r="AH82" i="53"/>
  <c r="AG138" i="56"/>
  <c r="AV138" i="56"/>
  <c r="AG166" i="56"/>
  <c r="AV166" i="56"/>
  <c r="O296" i="54"/>
  <c r="AH296" i="53"/>
  <c r="O99" i="54"/>
  <c r="AH99" i="53"/>
  <c r="O31" i="54"/>
  <c r="AH31" i="53"/>
  <c r="O30" i="54"/>
  <c r="AH30" i="53"/>
  <c r="AG256" i="56"/>
  <c r="AV256" i="56"/>
  <c r="AG127" i="56"/>
  <c r="AV127" i="56"/>
  <c r="AV124" i="56"/>
  <c r="AG124" i="56"/>
  <c r="O87" i="54"/>
  <c r="AH87" i="53"/>
  <c r="AH128" i="53"/>
  <c r="O128" i="54"/>
  <c r="AG171" i="56"/>
  <c r="AV171" i="56"/>
  <c r="AV109" i="56"/>
  <c r="AG109" i="56"/>
  <c r="AV203" i="56"/>
  <c r="AG203" i="56"/>
  <c r="AG300" i="56"/>
  <c r="AV300" i="56"/>
  <c r="AV126" i="56"/>
  <c r="AG126" i="56"/>
  <c r="AV145" i="56"/>
  <c r="AG145" i="56"/>
  <c r="AG222" i="56"/>
  <c r="AV222" i="56"/>
  <c r="AV125" i="56"/>
  <c r="AG125" i="56"/>
  <c r="J145" i="66"/>
  <c r="U145" i="66" s="1"/>
  <c r="U138" i="66"/>
  <c r="O75" i="54"/>
  <c r="AH75" i="53"/>
  <c r="AH202" i="53"/>
  <c r="O202" i="54"/>
  <c r="O220" i="54"/>
  <c r="AH220" i="53"/>
  <c r="AH277" i="53"/>
  <c r="O277" i="54"/>
  <c r="O113" i="54"/>
  <c r="AH113" i="53"/>
  <c r="O37" i="54"/>
  <c r="AH37" i="53"/>
  <c r="O45" i="54"/>
  <c r="AH45" i="53"/>
  <c r="O165" i="54"/>
  <c r="AH165" i="53"/>
  <c r="AG13" i="42"/>
  <c r="W8" i="60"/>
  <c r="K37" i="66"/>
  <c r="P11" i="42"/>
  <c r="P10" i="42"/>
  <c r="O192" i="54"/>
  <c r="AH192" i="53"/>
  <c r="AG144" i="56"/>
  <c r="AV144" i="56"/>
  <c r="AV303" i="56"/>
  <c r="AG303" i="56"/>
  <c r="AG95" i="56"/>
  <c r="AV95" i="56"/>
  <c r="O235" i="54"/>
  <c r="AH235" i="53"/>
  <c r="O144" i="54"/>
  <c r="AH144" i="53"/>
  <c r="O48" i="54"/>
  <c r="AH48" i="53"/>
  <c r="O147" i="54"/>
  <c r="AH147" i="53"/>
  <c r="AV65" i="56"/>
  <c r="AG65" i="56"/>
  <c r="AG142" i="56"/>
  <c r="AV142" i="56"/>
  <c r="AV80" i="56"/>
  <c r="AG80" i="56"/>
  <c r="O47" i="54"/>
  <c r="AH47" i="53"/>
  <c r="AV97" i="56"/>
  <c r="AG97" i="56"/>
  <c r="U73" i="66"/>
  <c r="AQ73" i="66" s="1"/>
  <c r="BA73" i="66"/>
  <c r="AG73" i="66"/>
  <c r="AG298" i="56"/>
  <c r="AV298" i="56"/>
  <c r="AG111" i="56"/>
  <c r="AV111" i="56"/>
  <c r="O256" i="54"/>
  <c r="AH256" i="53"/>
  <c r="O181" i="54"/>
  <c r="AH181" i="53"/>
  <c r="O25" i="54"/>
  <c r="AH25" i="53"/>
  <c r="O236" i="54"/>
  <c r="AH236" i="53"/>
  <c r="AH226" i="53"/>
  <c r="O226" i="54"/>
  <c r="O261" i="54"/>
  <c r="AH261" i="53"/>
  <c r="O78" i="54"/>
  <c r="AH78" i="53"/>
  <c r="O228" i="54"/>
  <c r="AH228" i="53"/>
  <c r="O142" i="54"/>
  <c r="AH142" i="53"/>
  <c r="AV101" i="56"/>
  <c r="AG101" i="56"/>
  <c r="AV173" i="56"/>
  <c r="AG173" i="56"/>
  <c r="AG299" i="56"/>
  <c r="AV299" i="56"/>
  <c r="O95" i="54"/>
  <c r="AH95" i="53"/>
  <c r="AV164" i="56"/>
  <c r="AG164" i="56"/>
  <c r="AG193" i="56"/>
  <c r="AV193" i="56"/>
  <c r="AG292" i="56"/>
  <c r="AV292" i="56"/>
  <c r="O262" i="54"/>
  <c r="AH262" i="53"/>
  <c r="O73" i="54"/>
  <c r="AH73" i="53"/>
  <c r="AV284" i="56"/>
  <c r="AG284" i="56"/>
  <c r="O89" i="54"/>
  <c r="AH89" i="53"/>
  <c r="AH252" i="53"/>
  <c r="O252" i="54"/>
  <c r="AG237" i="56"/>
  <c r="AV237" i="56"/>
  <c r="O270" i="54"/>
  <c r="AH270" i="53"/>
  <c r="AV280" i="56"/>
  <c r="AG280" i="56"/>
  <c r="O188" i="54"/>
  <c r="AH188" i="53"/>
  <c r="AV260" i="56"/>
  <c r="AG260" i="56"/>
  <c r="AH154" i="53"/>
  <c r="O154" i="54"/>
  <c r="O208" i="54"/>
  <c r="AH208" i="53"/>
  <c r="AV265" i="56"/>
  <c r="AG265" i="56"/>
  <c r="AV178" i="56"/>
  <c r="AG178" i="56"/>
  <c r="O108" i="54"/>
  <c r="AH108" i="53"/>
  <c r="O291" i="54"/>
  <c r="AH291" i="53"/>
  <c r="AG28" i="56"/>
  <c r="AV28" i="56"/>
  <c r="O62" i="54"/>
  <c r="AH62" i="53"/>
  <c r="AG191" i="56"/>
  <c r="AV191" i="56"/>
  <c r="O172" i="54"/>
  <c r="AH172" i="53"/>
  <c r="O121" i="54"/>
  <c r="AH121" i="53"/>
  <c r="AV163" i="56"/>
  <c r="AG163" i="56"/>
  <c r="AG21" i="56"/>
  <c r="AV21" i="56"/>
  <c r="O158" i="54"/>
  <c r="AH158" i="53"/>
  <c r="O203" i="54"/>
  <c r="AH203" i="53"/>
  <c r="AG225" i="56"/>
  <c r="AV225" i="56"/>
  <c r="AG136" i="56"/>
  <c r="AV136" i="56"/>
  <c r="AV154" i="56"/>
  <c r="AG154" i="56"/>
  <c r="O298" i="54"/>
  <c r="AH298" i="53"/>
  <c r="AV76" i="56"/>
  <c r="AG76" i="56"/>
  <c r="AV92" i="56"/>
  <c r="AG92" i="56"/>
  <c r="AG231" i="56"/>
  <c r="AV231" i="56"/>
  <c r="AG230" i="56"/>
  <c r="AV230" i="56"/>
  <c r="O88" i="54"/>
  <c r="AH88" i="53"/>
  <c r="O294" i="54"/>
  <c r="AH294" i="53"/>
  <c r="O29" i="54"/>
  <c r="AH29" i="53"/>
  <c r="O91" i="54"/>
  <c r="AH91" i="53"/>
  <c r="O125" i="54"/>
  <c r="AH125" i="53"/>
  <c r="AV91" i="56"/>
  <c r="AG91" i="56"/>
  <c r="AG245" i="56"/>
  <c r="AV245" i="56"/>
  <c r="O268" i="54"/>
  <c r="AH268" i="53"/>
  <c r="O76" i="54"/>
  <c r="AH76" i="53"/>
  <c r="AV102" i="56"/>
  <c r="AG102" i="56"/>
  <c r="V25" i="60"/>
  <c r="J22" i="60"/>
  <c r="J75" i="15" s="1"/>
  <c r="O276" i="54"/>
  <c r="AH276" i="53"/>
  <c r="AG262" i="56"/>
  <c r="AV262" i="56"/>
  <c r="AG121" i="56"/>
  <c r="AV121" i="56"/>
  <c r="AG119" i="56"/>
  <c r="AV119" i="56"/>
  <c r="V34" i="66"/>
  <c r="AR34" i="66" s="1"/>
  <c r="AH34" i="66"/>
  <c r="BB34" i="66"/>
  <c r="BD34" i="66"/>
  <c r="AG122" i="56"/>
  <c r="AV122" i="56"/>
  <c r="AV46" i="56"/>
  <c r="AG46" i="56"/>
  <c r="AV251" i="56"/>
  <c r="AG251" i="56"/>
  <c r="AG17" i="66"/>
  <c r="U17" i="66"/>
  <c r="AQ17" i="66" s="1"/>
  <c r="J24" i="66"/>
  <c r="O148" i="54"/>
  <c r="AH148" i="53"/>
  <c r="O183" i="54"/>
  <c r="AH183" i="53"/>
  <c r="O307" i="54"/>
  <c r="AH307" i="53"/>
  <c r="O135" i="54"/>
  <c r="AH135" i="53"/>
  <c r="O111" i="54"/>
  <c r="AH111" i="53"/>
  <c r="AG285" i="56"/>
  <c r="AV285" i="56"/>
  <c r="AG226" i="56"/>
  <c r="AV226" i="56"/>
  <c r="AG196" i="56"/>
  <c r="AV196" i="56"/>
  <c r="AG27" i="56"/>
  <c r="AV27" i="56"/>
  <c r="AG29" i="56"/>
  <c r="AV29" i="56"/>
  <c r="O107" i="54"/>
  <c r="AH107" i="53"/>
  <c r="AV150" i="56"/>
  <c r="AG150" i="56"/>
  <c r="AG197" i="56"/>
  <c r="AV197" i="56"/>
  <c r="AV198" i="56"/>
  <c r="AG198" i="56"/>
  <c r="AG220" i="56"/>
  <c r="AV220" i="56"/>
  <c r="O64" i="54"/>
  <c r="AH64" i="53"/>
  <c r="AV143" i="56"/>
  <c r="AG143" i="56"/>
  <c r="O211" i="54"/>
  <c r="AH211" i="53"/>
  <c r="O104" i="54"/>
  <c r="AH104" i="53"/>
  <c r="O281" i="54"/>
  <c r="AH281" i="53"/>
  <c r="O109" i="54"/>
  <c r="AH109" i="53"/>
  <c r="O251" i="54"/>
  <c r="AH251" i="53"/>
  <c r="O34" i="54"/>
  <c r="AH34" i="53"/>
  <c r="O301" i="54"/>
  <c r="AH301" i="53"/>
  <c r="O134" i="54"/>
  <c r="AH134" i="53"/>
  <c r="AG168" i="56"/>
  <c r="AV168" i="56"/>
  <c r="AG152" i="56"/>
  <c r="AV152" i="56"/>
  <c r="AV147" i="56"/>
  <c r="AG147" i="56"/>
  <c r="AV51" i="56"/>
  <c r="AG51" i="56"/>
  <c r="AV201" i="56"/>
  <c r="AG201" i="56"/>
  <c r="O27" i="54"/>
  <c r="AH27" i="53"/>
  <c r="O150" i="54"/>
  <c r="AH150" i="53"/>
  <c r="AG176" i="56"/>
  <c r="AV176" i="56"/>
  <c r="AV174" i="56"/>
  <c r="AG174" i="56"/>
  <c r="AV184" i="56"/>
  <c r="AG184" i="56"/>
  <c r="O130" i="54"/>
  <c r="AH130" i="53"/>
  <c r="AV39" i="56"/>
  <c r="AG39" i="56"/>
  <c r="O93" i="54"/>
  <c r="AH93" i="53"/>
  <c r="AG129" i="56"/>
  <c r="AV129" i="56"/>
  <c r="AH68" i="53"/>
  <c r="O68" i="54"/>
  <c r="AH290" i="53"/>
  <c r="O290" i="54"/>
  <c r="O297" i="54"/>
  <c r="AH297" i="53"/>
  <c r="AG275" i="56"/>
  <c r="AV275" i="56"/>
  <c r="AV307" i="56"/>
  <c r="AG307" i="56"/>
  <c r="AG54" i="56"/>
  <c r="AV54" i="56"/>
  <c r="AG213" i="56"/>
  <c r="AV213" i="56"/>
  <c r="AG34" i="56"/>
  <c r="AV34" i="56"/>
  <c r="O94" i="54"/>
  <c r="AH94" i="53"/>
  <c r="AG186" i="56"/>
  <c r="AV186" i="56"/>
  <c r="AV273" i="56"/>
  <c r="AG273" i="56"/>
  <c r="AH65" i="53"/>
  <c r="O65" i="54"/>
  <c r="AV175" i="56"/>
  <c r="AG175" i="56"/>
  <c r="AV105" i="56"/>
  <c r="AG105" i="56"/>
  <c r="AG68" i="56"/>
  <c r="AV68" i="56"/>
  <c r="AG71" i="56"/>
  <c r="AV71" i="56"/>
  <c r="O265" i="54"/>
  <c r="AH265" i="53"/>
  <c r="AG74" i="56"/>
  <c r="AV74" i="56"/>
  <c r="AG205" i="56"/>
  <c r="AV205" i="56"/>
  <c r="AG22" i="66"/>
  <c r="U22" i="66"/>
  <c r="AQ22" i="66" s="1"/>
  <c r="AG250" i="56"/>
  <c r="AV250" i="56"/>
  <c r="AV278" i="56"/>
  <c r="AG278" i="56"/>
  <c r="AV236" i="56"/>
  <c r="AG236" i="56"/>
  <c r="AV72" i="56"/>
  <c r="AG72" i="56"/>
  <c r="AV266" i="56"/>
  <c r="AG266" i="56"/>
  <c r="O105" i="54"/>
  <c r="AH105" i="53"/>
  <c r="O221" i="54"/>
  <c r="AH221" i="53"/>
  <c r="O98" i="54"/>
  <c r="AH98" i="53"/>
  <c r="AH103" i="53"/>
  <c r="O103" i="54"/>
  <c r="O132" i="54"/>
  <c r="AH132" i="53"/>
  <c r="O118" i="54"/>
  <c r="AH118" i="53"/>
  <c r="O139" i="54"/>
  <c r="AH139" i="53"/>
  <c r="O174" i="54"/>
  <c r="AH174" i="53"/>
  <c r="AV254" i="56"/>
  <c r="AG254" i="56"/>
  <c r="AG241" i="56"/>
  <c r="AV241" i="56"/>
  <c r="O240" i="54"/>
  <c r="AH240" i="53"/>
  <c r="V35" i="66"/>
  <c r="AR35" i="66" s="1"/>
  <c r="AH35" i="66"/>
  <c r="BB35" i="66"/>
  <c r="BD35" i="66"/>
  <c r="AG249" i="56"/>
  <c r="AV249" i="56"/>
  <c r="O122" i="54"/>
  <c r="AH122" i="53"/>
  <c r="AV84" i="56"/>
  <c r="AG84" i="56"/>
  <c r="AG190" i="56"/>
  <c r="AV190" i="56"/>
  <c r="AG216" i="56"/>
  <c r="AV216" i="56"/>
  <c r="AG206" i="56"/>
  <c r="AV206" i="56"/>
  <c r="O223" i="54"/>
  <c r="AH223" i="53"/>
  <c r="O179" i="54"/>
  <c r="AH179" i="53"/>
  <c r="O40" i="54"/>
  <c r="AH40" i="53"/>
  <c r="O63" i="54"/>
  <c r="AH63" i="53"/>
  <c r="AH24" i="53"/>
  <c r="O24" i="54"/>
  <c r="AV104" i="56"/>
  <c r="AG104" i="56"/>
  <c r="AG233" i="56"/>
  <c r="AV233" i="56"/>
  <c r="AH212" i="53"/>
  <c r="O212" i="54"/>
  <c r="O187" i="54"/>
  <c r="AH187" i="53"/>
  <c r="AV189" i="56"/>
  <c r="AG189" i="56"/>
  <c r="AG151" i="56"/>
  <c r="AV151" i="56"/>
  <c r="AV115" i="56"/>
  <c r="AG115" i="56"/>
  <c r="AG246" i="56"/>
  <c r="AV246" i="56"/>
  <c r="AV17" i="56"/>
  <c r="AG17" i="56"/>
  <c r="AV289" i="56"/>
  <c r="AG289" i="56"/>
  <c r="AG295" i="56"/>
  <c r="AV295" i="56"/>
  <c r="AH42" i="53"/>
  <c r="O42" i="54"/>
  <c r="O153" i="54"/>
  <c r="AH153" i="53"/>
  <c r="O207" i="54"/>
  <c r="AH207" i="53"/>
  <c r="AH234" i="53"/>
  <c r="O234" i="54"/>
  <c r="O36" i="54"/>
  <c r="AH36" i="53"/>
  <c r="O106" i="54"/>
  <c r="AH106" i="53"/>
  <c r="O86" i="54"/>
  <c r="AH86" i="53"/>
  <c r="AH191" i="53"/>
  <c r="O191" i="54"/>
  <c r="O115" i="54"/>
  <c r="AH115" i="53"/>
  <c r="AG37" i="56"/>
  <c r="AV37" i="56"/>
  <c r="O13" i="53"/>
  <c r="AH13" i="53" s="1"/>
  <c r="O15" i="54"/>
  <c r="AH15" i="53"/>
  <c r="AV33" i="56"/>
  <c r="AG33" i="56"/>
  <c r="AV22" i="56"/>
  <c r="AG22" i="56"/>
  <c r="AV133" i="56"/>
  <c r="AG133" i="56"/>
  <c r="AV263" i="56"/>
  <c r="AG263" i="56"/>
  <c r="AV25" i="56"/>
  <c r="AG25" i="56"/>
  <c r="O210" i="54"/>
  <c r="AH210" i="53"/>
  <c r="O66" i="54"/>
  <c r="AH66" i="53"/>
  <c r="AH242" i="53"/>
  <c r="O242" i="54"/>
  <c r="AG60" i="56"/>
  <c r="AV60" i="56"/>
  <c r="AG155" i="56"/>
  <c r="AV155" i="56"/>
  <c r="AV100" i="56"/>
  <c r="AG100" i="56"/>
  <c r="AH209" i="53"/>
  <c r="O209" i="54"/>
  <c r="O112" i="54"/>
  <c r="AH112" i="53"/>
  <c r="O204" i="54"/>
  <c r="AH204" i="53"/>
  <c r="O222" i="54"/>
  <c r="AH222" i="53"/>
  <c r="AV293" i="56"/>
  <c r="AG293" i="56"/>
  <c r="AV282" i="56"/>
  <c r="AG282" i="56"/>
  <c r="O143" i="54"/>
  <c r="AH143" i="53"/>
  <c r="O185" i="54"/>
  <c r="AH185" i="53"/>
  <c r="O163" i="54"/>
  <c r="AH163" i="53"/>
  <c r="O26" i="54"/>
  <c r="AH26" i="53"/>
  <c r="O195" i="54"/>
  <c r="AH195" i="53"/>
  <c r="O35" i="54"/>
  <c r="AH35" i="53"/>
  <c r="O245" i="54"/>
  <c r="AH245" i="53"/>
  <c r="O18" i="54"/>
  <c r="AH18" i="53"/>
  <c r="O141" i="54"/>
  <c r="AH141" i="53"/>
  <c r="AG238" i="56"/>
  <c r="AV238" i="56"/>
  <c r="AH17" i="53"/>
  <c r="O17" i="54"/>
  <c r="AG36" i="56"/>
  <c r="AV36" i="56"/>
  <c r="AV67" i="56"/>
  <c r="AG67" i="56"/>
  <c r="AV214" i="56"/>
  <c r="AG214" i="56"/>
  <c r="O56" i="54"/>
  <c r="AH56" i="53"/>
  <c r="O52" i="54"/>
  <c r="AH52" i="53"/>
  <c r="O72" i="54"/>
  <c r="AH72" i="53"/>
  <c r="AV239" i="56"/>
  <c r="AG239" i="56"/>
  <c r="AG200" i="56"/>
  <c r="AV200" i="56"/>
  <c r="AV56" i="56"/>
  <c r="AG56" i="56"/>
  <c r="AG55" i="56"/>
  <c r="AV55" i="56"/>
  <c r="O50" i="54"/>
  <c r="AH50" i="53"/>
  <c r="O284" i="54"/>
  <c r="AH284" i="53"/>
  <c r="AH58" i="53"/>
  <c r="O58" i="54"/>
  <c r="AG45" i="56"/>
  <c r="AV45" i="56"/>
  <c r="AG81" i="56"/>
  <c r="AV81" i="56"/>
  <c r="AV87" i="56"/>
  <c r="AG87" i="56"/>
  <c r="O295" i="54"/>
  <c r="AH295" i="53"/>
  <c r="AG93" i="56"/>
  <c r="AV93" i="56"/>
  <c r="O287" i="54"/>
  <c r="AH287" i="53"/>
  <c r="O156" i="54"/>
  <c r="AH156" i="53"/>
  <c r="O100" i="54"/>
  <c r="AH100" i="53"/>
  <c r="AV59" i="56"/>
  <c r="AG59" i="56"/>
  <c r="AV232" i="56"/>
  <c r="AG232" i="56"/>
  <c r="AH16" i="53"/>
  <c r="O16" i="54"/>
  <c r="AG229" i="56"/>
  <c r="AV229" i="56"/>
  <c r="AG85" i="56"/>
  <c r="AV85" i="56"/>
  <c r="AV99" i="56"/>
  <c r="AG99" i="56"/>
  <c r="AG83" i="56"/>
  <c r="AV83" i="56"/>
  <c r="O136" i="54"/>
  <c r="AH136" i="53"/>
  <c r="O260" i="54"/>
  <c r="AH260" i="53"/>
  <c r="V30" i="66"/>
  <c r="AR30" i="66" s="1"/>
  <c r="BB30" i="66"/>
  <c r="AH30" i="66"/>
  <c r="BD30" i="66"/>
  <c r="O278" i="54"/>
  <c r="AH278" i="53"/>
  <c r="O215" i="54"/>
  <c r="AH215" i="53"/>
  <c r="O248" i="54"/>
  <c r="AH248" i="53"/>
  <c r="AG188" i="56"/>
  <c r="AV188" i="56"/>
  <c r="AG88" i="56"/>
  <c r="AV88" i="56"/>
  <c r="AG50" i="56"/>
  <c r="AV50" i="56"/>
  <c r="AV18" i="56"/>
  <c r="AG18" i="56"/>
  <c r="O229" i="54"/>
  <c r="AH229" i="53"/>
  <c r="AG192" i="56"/>
  <c r="AV192" i="56"/>
  <c r="O197" i="54"/>
  <c r="AH197" i="53"/>
  <c r="AG204" i="56"/>
  <c r="AV204" i="56"/>
  <c r="AG69" i="56"/>
  <c r="AV69" i="56"/>
  <c r="AG158" i="56"/>
  <c r="AV158" i="56"/>
  <c r="AG47" i="56"/>
  <c r="AV47" i="56"/>
  <c r="AG270" i="56"/>
  <c r="AV270" i="56"/>
  <c r="O126" i="54"/>
  <c r="AH126" i="53"/>
  <c r="O176" i="54"/>
  <c r="AH176" i="53"/>
  <c r="O53" i="54"/>
  <c r="AH53" i="53"/>
  <c r="O243" i="54"/>
  <c r="AH243" i="53"/>
  <c r="O219" i="54"/>
  <c r="AH219" i="53"/>
  <c r="O282" i="54"/>
  <c r="AH282" i="53"/>
  <c r="AG86" i="56"/>
  <c r="AV86" i="56"/>
  <c r="AV82" i="56"/>
  <c r="AG82" i="56"/>
  <c r="AG209" i="56"/>
  <c r="AV209" i="56"/>
  <c r="AV304" i="56"/>
  <c r="AG304" i="56"/>
  <c r="AG32" i="56"/>
  <c r="AV32" i="56"/>
  <c r="AV172" i="56"/>
  <c r="AG172" i="56"/>
  <c r="AG44" i="56"/>
  <c r="AV44" i="56"/>
  <c r="AG253" i="56"/>
  <c r="AV253" i="56"/>
  <c r="AV170" i="56"/>
  <c r="AG170" i="56"/>
  <c r="AV94" i="56"/>
  <c r="AG94" i="56"/>
  <c r="AG140" i="56"/>
  <c r="AV140" i="56"/>
  <c r="V33" i="66"/>
  <c r="AR33" i="66" s="1"/>
  <c r="AH33" i="66"/>
  <c r="BB33" i="66"/>
  <c r="BD33" i="66"/>
  <c r="O246" i="54"/>
  <c r="AH246" i="53"/>
  <c r="AV120" i="56"/>
  <c r="AG120" i="56"/>
  <c r="O189" i="54"/>
  <c r="AH189" i="53"/>
  <c r="O200" i="54"/>
  <c r="AH200" i="53"/>
  <c r="O288" i="54"/>
  <c r="AH288" i="53"/>
  <c r="O116" i="54"/>
  <c r="AH116" i="53"/>
  <c r="AH238" i="53"/>
  <c r="O238" i="54"/>
  <c r="AH304" i="53"/>
  <c r="O304" i="54"/>
  <c r="AG137" i="56"/>
  <c r="AV137" i="56"/>
  <c r="AG63" i="56"/>
  <c r="AV63" i="56"/>
  <c r="AG228" i="56"/>
  <c r="AV228" i="56"/>
  <c r="AG215" i="56"/>
  <c r="AV215" i="56"/>
  <c r="AV264" i="56"/>
  <c r="AG264" i="56"/>
  <c r="O151" i="54"/>
  <c r="AH151" i="53"/>
  <c r="AV277" i="56"/>
  <c r="AG277" i="56"/>
  <c r="AG98" i="56"/>
  <c r="AV98" i="56"/>
  <c r="AV160" i="56"/>
  <c r="AG160" i="56"/>
  <c r="O162" i="54"/>
  <c r="AH162" i="53"/>
  <c r="O283" i="54"/>
  <c r="AH283" i="53"/>
  <c r="O133" i="54"/>
  <c r="AH133" i="53"/>
  <c r="Q17" i="42" l="1"/>
  <c r="Q25" i="42"/>
  <c r="Q33" i="42"/>
  <c r="Q41" i="42"/>
  <c r="Q49" i="42"/>
  <c r="Q57" i="42"/>
  <c r="Q65" i="42"/>
  <c r="Q73" i="42"/>
  <c r="Q81" i="42"/>
  <c r="Q89" i="42"/>
  <c r="Q97" i="42"/>
  <c r="Q105" i="42"/>
  <c r="Q113" i="42"/>
  <c r="Q121" i="42"/>
  <c r="Q129" i="42"/>
  <c r="Q137" i="42"/>
  <c r="Q145" i="42"/>
  <c r="Q153" i="42"/>
  <c r="Q161" i="42"/>
  <c r="Q169" i="42"/>
  <c r="Q177" i="42"/>
  <c r="Q185" i="42"/>
  <c r="Q193" i="42"/>
  <c r="Q201" i="42"/>
  <c r="Q209" i="42"/>
  <c r="Q217" i="42"/>
  <c r="Q225" i="42"/>
  <c r="Q233" i="42"/>
  <c r="Q241" i="42"/>
  <c r="Q249" i="42"/>
  <c r="Q257" i="42"/>
  <c r="Q265" i="42"/>
  <c r="Q273" i="42"/>
  <c r="Q281" i="42"/>
  <c r="Q289" i="42"/>
  <c r="Q297" i="42"/>
  <c r="Q305" i="42"/>
  <c r="Q18" i="42"/>
  <c r="Q26" i="42"/>
  <c r="Q34" i="42"/>
  <c r="Q42" i="42"/>
  <c r="Q50" i="42"/>
  <c r="Q58" i="42"/>
  <c r="Q66" i="42"/>
  <c r="Q74" i="42"/>
  <c r="Q82" i="42"/>
  <c r="Q90" i="42"/>
  <c r="Q98" i="42"/>
  <c r="Q106" i="42"/>
  <c r="Q114" i="42"/>
  <c r="Q122" i="42"/>
  <c r="Q130" i="42"/>
  <c r="Q138" i="42"/>
  <c r="Q146" i="42"/>
  <c r="Q154" i="42"/>
  <c r="Q162" i="42"/>
  <c r="Q170" i="42"/>
  <c r="Q178" i="42"/>
  <c r="Q186" i="42"/>
  <c r="Q194" i="42"/>
  <c r="Q202" i="42"/>
  <c r="Q210" i="42"/>
  <c r="Q218" i="42"/>
  <c r="Q226" i="42"/>
  <c r="Q234" i="42"/>
  <c r="Q242" i="42"/>
  <c r="Q250" i="42"/>
  <c r="Q258" i="42"/>
  <c r="Q266" i="42"/>
  <c r="Q274" i="42"/>
  <c r="Q282" i="42"/>
  <c r="Q290" i="42"/>
  <c r="Q298" i="42"/>
  <c r="Q306" i="42"/>
  <c r="Q19" i="42"/>
  <c r="Q27" i="42"/>
  <c r="Q35" i="42"/>
  <c r="Q43" i="42"/>
  <c r="Q51" i="42"/>
  <c r="Q59" i="42"/>
  <c r="Q67" i="42"/>
  <c r="Q75" i="42"/>
  <c r="Q83" i="42"/>
  <c r="Q91" i="42"/>
  <c r="Q99" i="42"/>
  <c r="Q107" i="42"/>
  <c r="Q115" i="42"/>
  <c r="Q123" i="42"/>
  <c r="Q131" i="42"/>
  <c r="Q139" i="42"/>
  <c r="Q147" i="42"/>
  <c r="Q155" i="42"/>
  <c r="Q163" i="42"/>
  <c r="Q171" i="42"/>
  <c r="Q179" i="42"/>
  <c r="Q187" i="42"/>
  <c r="Q195" i="42"/>
  <c r="Q203" i="42"/>
  <c r="Q211" i="42"/>
  <c r="Q219" i="42"/>
  <c r="Q227" i="42"/>
  <c r="Q235" i="42"/>
  <c r="Q243" i="42"/>
  <c r="Q251" i="42"/>
  <c r="Q259" i="42"/>
  <c r="Q267" i="42"/>
  <c r="Q275" i="42"/>
  <c r="Q283" i="42"/>
  <c r="Q291" i="42"/>
  <c r="Q299" i="42"/>
  <c r="Q307" i="42"/>
  <c r="Q20" i="42"/>
  <c r="Q28" i="42"/>
  <c r="Q36" i="42"/>
  <c r="Q44" i="42"/>
  <c r="Q52" i="42"/>
  <c r="Q60" i="42"/>
  <c r="Q68" i="42"/>
  <c r="Q76" i="42"/>
  <c r="Q84" i="42"/>
  <c r="Q92" i="42"/>
  <c r="Q100" i="42"/>
  <c r="Q108" i="42"/>
  <c r="Q116" i="42"/>
  <c r="Q124" i="42"/>
  <c r="Q132" i="42"/>
  <c r="Q140" i="42"/>
  <c r="Q148" i="42"/>
  <c r="Q156" i="42"/>
  <c r="Q164" i="42"/>
  <c r="Q172" i="42"/>
  <c r="Q180" i="42"/>
  <c r="Q188" i="42"/>
  <c r="Q196" i="42"/>
  <c r="Q204" i="42"/>
  <c r="Q212" i="42"/>
  <c r="Q220" i="42"/>
  <c r="Q228" i="42"/>
  <c r="Q236" i="42"/>
  <c r="Q244" i="42"/>
  <c r="Q252" i="42"/>
  <c r="Q260" i="42"/>
  <c r="Q268" i="42"/>
  <c r="Q276" i="42"/>
  <c r="Q284" i="42"/>
  <c r="Q292" i="42"/>
  <c r="Q300" i="42"/>
  <c r="Q15" i="42"/>
  <c r="Q21" i="42"/>
  <c r="Q29" i="42"/>
  <c r="Q37" i="42"/>
  <c r="Q45" i="42"/>
  <c r="Q53" i="42"/>
  <c r="Q61" i="42"/>
  <c r="Q69" i="42"/>
  <c r="Q77" i="42"/>
  <c r="Q85" i="42"/>
  <c r="Q93" i="42"/>
  <c r="Q101" i="42"/>
  <c r="Q109" i="42"/>
  <c r="Q117" i="42"/>
  <c r="Q125" i="42"/>
  <c r="Q133" i="42"/>
  <c r="Q141" i="42"/>
  <c r="Q149" i="42"/>
  <c r="Q157" i="42"/>
  <c r="Q165" i="42"/>
  <c r="Q173" i="42"/>
  <c r="Q181" i="42"/>
  <c r="Q189" i="42"/>
  <c r="Q197" i="42"/>
  <c r="Q205" i="42"/>
  <c r="Q213" i="42"/>
  <c r="Q221" i="42"/>
  <c r="Q229" i="42"/>
  <c r="Q237" i="42"/>
  <c r="Q245" i="42"/>
  <c r="Q253" i="42"/>
  <c r="Q261" i="42"/>
  <c r="Q269" i="42"/>
  <c r="Q277" i="42"/>
  <c r="Q285" i="42"/>
  <c r="Q293" i="42"/>
  <c r="Q301" i="42"/>
  <c r="Q22" i="42"/>
  <c r="Q30" i="42"/>
  <c r="Q38" i="42"/>
  <c r="Q46" i="42"/>
  <c r="Q54" i="42"/>
  <c r="Q62" i="42"/>
  <c r="Q70" i="42"/>
  <c r="Q78" i="42"/>
  <c r="Q86" i="42"/>
  <c r="Q94" i="42"/>
  <c r="Q102" i="42"/>
  <c r="Q110" i="42"/>
  <c r="Q118" i="42"/>
  <c r="Q126" i="42"/>
  <c r="Q134" i="42"/>
  <c r="Q142" i="42"/>
  <c r="Q150" i="42"/>
  <c r="Q158" i="42"/>
  <c r="Q166" i="42"/>
  <c r="Q174" i="42"/>
  <c r="Q182" i="42"/>
  <c r="Q190" i="42"/>
  <c r="Q198" i="42"/>
  <c r="Q206" i="42"/>
  <c r="Q214" i="42"/>
  <c r="Q222" i="42"/>
  <c r="Q230" i="42"/>
  <c r="Q238" i="42"/>
  <c r="Q246" i="42"/>
  <c r="Q254" i="42"/>
  <c r="Q262" i="42"/>
  <c r="Q270" i="42"/>
  <c r="Q278" i="42"/>
  <c r="Q286" i="42"/>
  <c r="Q294" i="42"/>
  <c r="Q302" i="42"/>
  <c r="Q23" i="42"/>
  <c r="Q31" i="42"/>
  <c r="Q39" i="42"/>
  <c r="Q47" i="42"/>
  <c r="Q55" i="42"/>
  <c r="Q63" i="42"/>
  <c r="Q71" i="42"/>
  <c r="Q79" i="42"/>
  <c r="Q87" i="42"/>
  <c r="Q95" i="42"/>
  <c r="Q103" i="42"/>
  <c r="Q111" i="42"/>
  <c r="Q119" i="42"/>
  <c r="Q127" i="42"/>
  <c r="Q135" i="42"/>
  <c r="Q143" i="42"/>
  <c r="Q151" i="42"/>
  <c r="Q159" i="42"/>
  <c r="Q167" i="42"/>
  <c r="Q175" i="42"/>
  <c r="Q183" i="42"/>
  <c r="Q191" i="42"/>
  <c r="Q199" i="42"/>
  <c r="Q207" i="42"/>
  <c r="Q215" i="42"/>
  <c r="Q223" i="42"/>
  <c r="Q231" i="42"/>
  <c r="Q239" i="42"/>
  <c r="Q247" i="42"/>
  <c r="Q255" i="42"/>
  <c r="Q263" i="42"/>
  <c r="Q271" i="42"/>
  <c r="Q279" i="42"/>
  <c r="Q287" i="42"/>
  <c r="Q295" i="42"/>
  <c r="Q303" i="42"/>
  <c r="Q24" i="42"/>
  <c r="Q88" i="42"/>
  <c r="Q152" i="42"/>
  <c r="Q216" i="42"/>
  <c r="Q280" i="42"/>
  <c r="Q128" i="42"/>
  <c r="Q32" i="42"/>
  <c r="Q96" i="42"/>
  <c r="Q160" i="42"/>
  <c r="Q224" i="42"/>
  <c r="Q288" i="42"/>
  <c r="Q40" i="42"/>
  <c r="Q104" i="42"/>
  <c r="Q168" i="42"/>
  <c r="Q232" i="42"/>
  <c r="Q296" i="42"/>
  <c r="Q48" i="42"/>
  <c r="Q112" i="42"/>
  <c r="Q176" i="42"/>
  <c r="Q240" i="42"/>
  <c r="Q304" i="42"/>
  <c r="Q56" i="42"/>
  <c r="Q120" i="42"/>
  <c r="Q184" i="42"/>
  <c r="Q248" i="42"/>
  <c r="Q64" i="42"/>
  <c r="Q192" i="42"/>
  <c r="Q256" i="42"/>
  <c r="Q72" i="42"/>
  <c r="Q136" i="42"/>
  <c r="Q200" i="42"/>
  <c r="Q264" i="42"/>
  <c r="Q16" i="42"/>
  <c r="Q80" i="42"/>
  <c r="Q144" i="42"/>
  <c r="Q208" i="42"/>
  <c r="Q272" i="42"/>
  <c r="AH88" i="54"/>
  <c r="BB88" i="54" s="1"/>
  <c r="BM88" i="54"/>
  <c r="O88" i="65"/>
  <c r="AH285" i="54"/>
  <c r="BB285" i="54" s="1"/>
  <c r="BM285" i="54"/>
  <c r="O285" i="65"/>
  <c r="BM101" i="54"/>
  <c r="AH101" i="54"/>
  <c r="BB101" i="54" s="1"/>
  <c r="O101" i="65"/>
  <c r="O127" i="65"/>
  <c r="AH127" i="54"/>
  <c r="BB127" i="54" s="1"/>
  <c r="BM127" i="54"/>
  <c r="AH137" i="54"/>
  <c r="BB137" i="54" s="1"/>
  <c r="BM137" i="54"/>
  <c r="O137" i="65"/>
  <c r="O253" i="65"/>
  <c r="AH253" i="54"/>
  <c r="BB253" i="54" s="1"/>
  <c r="BM253" i="54"/>
  <c r="O216" i="65"/>
  <c r="AH216" i="54"/>
  <c r="BB216" i="54" s="1"/>
  <c r="BM216" i="54"/>
  <c r="O224" i="65"/>
  <c r="AH224" i="54"/>
  <c r="BB224" i="54" s="1"/>
  <c r="BM224" i="54"/>
  <c r="O152" i="65"/>
  <c r="AH152" i="54"/>
  <c r="BB152" i="54" s="1"/>
  <c r="BM152" i="54"/>
  <c r="O173" i="65"/>
  <c r="BM173" i="54"/>
  <c r="AH173" i="54"/>
  <c r="BB173" i="54" s="1"/>
  <c r="AH231" i="54"/>
  <c r="BB231" i="54" s="1"/>
  <c r="O231" i="65"/>
  <c r="BM231" i="54"/>
  <c r="AH247" i="54"/>
  <c r="BB247" i="54" s="1"/>
  <c r="BM247" i="54"/>
  <c r="O247" i="65"/>
  <c r="O43" i="65"/>
  <c r="BM43" i="54"/>
  <c r="AH43" i="54"/>
  <c r="BB43" i="54" s="1"/>
  <c r="AH184" i="54"/>
  <c r="BB184" i="54" s="1"/>
  <c r="BM184" i="54"/>
  <c r="O184" i="65"/>
  <c r="O250" i="65"/>
  <c r="AH250" i="54"/>
  <c r="BB250" i="54" s="1"/>
  <c r="BM250" i="54"/>
  <c r="AH171" i="54"/>
  <c r="BB171" i="54" s="1"/>
  <c r="BM171" i="54"/>
  <c r="O171" i="65"/>
  <c r="AH126" i="54"/>
  <c r="BB126" i="54" s="1"/>
  <c r="O126" i="65"/>
  <c r="BM126" i="54"/>
  <c r="O17" i="65"/>
  <c r="BM17" i="54"/>
  <c r="K69" i="66"/>
  <c r="AH17" i="54"/>
  <c r="BB17" i="54" s="1"/>
  <c r="O132" i="65"/>
  <c r="AH132" i="54"/>
  <c r="BB132" i="54" s="1"/>
  <c r="BM132" i="54"/>
  <c r="O297" i="65"/>
  <c r="BM297" i="54"/>
  <c r="AH297" i="54"/>
  <c r="BB297" i="54" s="1"/>
  <c r="AH298" i="54"/>
  <c r="BB298" i="54" s="1"/>
  <c r="BM298" i="54"/>
  <c r="O298" i="65"/>
  <c r="O172" i="65"/>
  <c r="BM172" i="54"/>
  <c r="AH172" i="54"/>
  <c r="BB172" i="54" s="1"/>
  <c r="AH208" i="54"/>
  <c r="BB208" i="54" s="1"/>
  <c r="BM208" i="54"/>
  <c r="O208" i="65"/>
  <c r="AH25" i="54"/>
  <c r="BB25" i="54" s="1"/>
  <c r="O25" i="65"/>
  <c r="BM25" i="54"/>
  <c r="O45" i="65"/>
  <c r="AH45" i="54"/>
  <c r="BB45" i="54" s="1"/>
  <c r="BM45" i="54"/>
  <c r="AV13" i="56"/>
  <c r="J153" i="66"/>
  <c r="U153" i="66" s="1"/>
  <c r="BM243" i="54"/>
  <c r="O243" i="65"/>
  <c r="AH243" i="54"/>
  <c r="BB243" i="54" s="1"/>
  <c r="BM16" i="54"/>
  <c r="O16" i="65"/>
  <c r="K71" i="66"/>
  <c r="AH16" i="54"/>
  <c r="BB16" i="54" s="1"/>
  <c r="O209" i="65"/>
  <c r="BM209" i="54"/>
  <c r="AH209" i="54"/>
  <c r="BB209" i="54" s="1"/>
  <c r="BM66" i="54"/>
  <c r="O66" i="65"/>
  <c r="AH66" i="54"/>
  <c r="BB66" i="54" s="1"/>
  <c r="J155" i="66"/>
  <c r="U155" i="66" s="1"/>
  <c r="O187" i="65"/>
  <c r="AH187" i="54"/>
  <c r="BB187" i="54" s="1"/>
  <c r="BM187" i="54"/>
  <c r="O223" i="65"/>
  <c r="BM223" i="54"/>
  <c r="AH223" i="54"/>
  <c r="BB223" i="54" s="1"/>
  <c r="BM103" i="54"/>
  <c r="O103" i="65"/>
  <c r="AH103" i="54"/>
  <c r="BB103" i="54" s="1"/>
  <c r="O94" i="65"/>
  <c r="AH94" i="54"/>
  <c r="BB94" i="54" s="1"/>
  <c r="BM94" i="54"/>
  <c r="BM290" i="54"/>
  <c r="O290" i="65"/>
  <c r="AH290" i="54"/>
  <c r="BB290" i="54" s="1"/>
  <c r="AH130" i="54"/>
  <c r="BB130" i="54" s="1"/>
  <c r="O130" i="65"/>
  <c r="BM130" i="54"/>
  <c r="O135" i="65"/>
  <c r="AH135" i="54"/>
  <c r="BB135" i="54" s="1"/>
  <c r="BM135" i="54"/>
  <c r="O276" i="65"/>
  <c r="AH276" i="54"/>
  <c r="BB276" i="54" s="1"/>
  <c r="BM276" i="54"/>
  <c r="J25" i="60"/>
  <c r="BM154" i="54"/>
  <c r="O154" i="65"/>
  <c r="AH154" i="54"/>
  <c r="BB154" i="54" s="1"/>
  <c r="O142" i="65"/>
  <c r="AH142" i="54"/>
  <c r="BB142" i="54" s="1"/>
  <c r="BM142" i="54"/>
  <c r="O235" i="65"/>
  <c r="BM235" i="54"/>
  <c r="AH235" i="54"/>
  <c r="BB235" i="54" s="1"/>
  <c r="V37" i="66"/>
  <c r="AR37" i="66" s="1"/>
  <c r="AH37" i="66"/>
  <c r="BD37" i="66"/>
  <c r="BB37" i="66"/>
  <c r="BM202" i="54"/>
  <c r="O202" i="65"/>
  <c r="AH202" i="54"/>
  <c r="BB202" i="54" s="1"/>
  <c r="BM30" i="54"/>
  <c r="O30" i="65"/>
  <c r="AH30" i="54"/>
  <c r="BB30" i="54" s="1"/>
  <c r="AH273" i="54"/>
  <c r="BB273" i="54" s="1"/>
  <c r="BM273" i="54"/>
  <c r="O273" i="65"/>
  <c r="O237" i="65"/>
  <c r="BM237" i="54"/>
  <c r="AH237" i="54"/>
  <c r="BB237" i="54" s="1"/>
  <c r="O59" i="65"/>
  <c r="AH59" i="54"/>
  <c r="BB59" i="54" s="1"/>
  <c r="BM59" i="54"/>
  <c r="O85" i="65"/>
  <c r="AH85" i="54"/>
  <c r="BB85" i="54" s="1"/>
  <c r="BM85" i="54"/>
  <c r="BM306" i="54"/>
  <c r="AH306" i="54"/>
  <c r="BB306" i="54" s="1"/>
  <c r="O306" i="65"/>
  <c r="BM230" i="54"/>
  <c r="O230" i="65"/>
  <c r="AH230" i="54"/>
  <c r="BB230" i="54" s="1"/>
  <c r="AH214" i="54"/>
  <c r="BB214" i="54" s="1"/>
  <c r="BM214" i="54"/>
  <c r="O214" i="65"/>
  <c r="O19" i="65"/>
  <c r="BM19" i="54"/>
  <c r="AH19" i="54"/>
  <c r="BB19" i="54" s="1"/>
  <c r="O120" i="65"/>
  <c r="AH120" i="54"/>
  <c r="BB120" i="54" s="1"/>
  <c r="BM120" i="54"/>
  <c r="AH110" i="54"/>
  <c r="BB110" i="54" s="1"/>
  <c r="O110" i="65"/>
  <c r="BM110" i="54"/>
  <c r="AH80" i="54"/>
  <c r="BB80" i="54" s="1"/>
  <c r="BM80" i="54"/>
  <c r="O80" i="65"/>
  <c r="AH233" i="54"/>
  <c r="BB233" i="54" s="1"/>
  <c r="O233" i="65"/>
  <c r="BM233" i="54"/>
  <c r="AH263" i="54"/>
  <c r="BB263" i="54" s="1"/>
  <c r="BM263" i="54"/>
  <c r="O263" i="65"/>
  <c r="BM90" i="54"/>
  <c r="O90" i="65"/>
  <c r="AH90" i="54"/>
  <c r="BB90" i="54" s="1"/>
  <c r="O70" i="65"/>
  <c r="BM70" i="54"/>
  <c r="AH70" i="54"/>
  <c r="BB70" i="54" s="1"/>
  <c r="AH157" i="54"/>
  <c r="BB157" i="54" s="1"/>
  <c r="BM157" i="54"/>
  <c r="O157" i="65"/>
  <c r="BM254" i="54"/>
  <c r="AH254" i="54"/>
  <c r="BB254" i="54" s="1"/>
  <c r="O254" i="65"/>
  <c r="O133" i="65"/>
  <c r="AH133" i="54"/>
  <c r="BB133" i="54" s="1"/>
  <c r="BM133" i="54"/>
  <c r="O219" i="65"/>
  <c r="AH219" i="54"/>
  <c r="BB219" i="54" s="1"/>
  <c r="BM219" i="54"/>
  <c r="AH295" i="54"/>
  <c r="BB295" i="54" s="1"/>
  <c r="BM295" i="54"/>
  <c r="O295" i="65"/>
  <c r="O112" i="65"/>
  <c r="BM112" i="54"/>
  <c r="AH112" i="54"/>
  <c r="BB112" i="54" s="1"/>
  <c r="U24" i="66"/>
  <c r="AQ24" i="66" s="1"/>
  <c r="AG24" i="66"/>
  <c r="BM78" i="54"/>
  <c r="O78" i="65"/>
  <c r="AH78" i="54"/>
  <c r="BB78" i="54" s="1"/>
  <c r="AH220" i="54"/>
  <c r="BB220" i="54" s="1"/>
  <c r="BM220" i="54"/>
  <c r="O220" i="65"/>
  <c r="AH87" i="54"/>
  <c r="BB87" i="54" s="1"/>
  <c r="BM87" i="54"/>
  <c r="O87" i="65"/>
  <c r="BM39" i="54"/>
  <c r="AH39" i="54"/>
  <c r="BB39" i="54" s="1"/>
  <c r="O39" i="65"/>
  <c r="O283" i="65"/>
  <c r="AH283" i="54"/>
  <c r="BB283" i="54" s="1"/>
  <c r="BM283" i="54"/>
  <c r="O189" i="65"/>
  <c r="AH189" i="54"/>
  <c r="BB189" i="54" s="1"/>
  <c r="BM189" i="54"/>
  <c r="BM215" i="54"/>
  <c r="O215" i="65"/>
  <c r="AH215" i="54"/>
  <c r="BB215" i="54" s="1"/>
  <c r="BM260" i="54"/>
  <c r="AH260" i="54"/>
  <c r="BB260" i="54" s="1"/>
  <c r="O260" i="65"/>
  <c r="AH156" i="54"/>
  <c r="BB156" i="54" s="1"/>
  <c r="BM156" i="54"/>
  <c r="O156" i="65"/>
  <c r="O284" i="65"/>
  <c r="BM284" i="54"/>
  <c r="AH284" i="54"/>
  <c r="BB284" i="54" s="1"/>
  <c r="O72" i="65"/>
  <c r="AH72" i="54"/>
  <c r="BB72" i="54" s="1"/>
  <c r="BM72" i="54"/>
  <c r="O245" i="65"/>
  <c r="BM245" i="54"/>
  <c r="AH245" i="54"/>
  <c r="BB245" i="54" s="1"/>
  <c r="O163" i="65"/>
  <c r="BM163" i="54"/>
  <c r="AH163" i="54"/>
  <c r="BB163" i="54" s="1"/>
  <c r="AH86" i="54"/>
  <c r="BB86" i="54" s="1"/>
  <c r="BM86" i="54"/>
  <c r="O86" i="65"/>
  <c r="O207" i="65"/>
  <c r="AH207" i="54"/>
  <c r="BB207" i="54" s="1"/>
  <c r="BM207" i="54"/>
  <c r="O212" i="65"/>
  <c r="BM212" i="54"/>
  <c r="AH212" i="54"/>
  <c r="BB212" i="54" s="1"/>
  <c r="AH174" i="54"/>
  <c r="BB174" i="54" s="1"/>
  <c r="BM174" i="54"/>
  <c r="O174" i="65"/>
  <c r="O34" i="65"/>
  <c r="AH34" i="54"/>
  <c r="BB34" i="54" s="1"/>
  <c r="BM34" i="54"/>
  <c r="O104" i="65"/>
  <c r="BM104" i="54"/>
  <c r="AH104" i="54"/>
  <c r="BB104" i="54" s="1"/>
  <c r="O107" i="65"/>
  <c r="BM107" i="54"/>
  <c r="AH107" i="54"/>
  <c r="BB107" i="54" s="1"/>
  <c r="O91" i="65"/>
  <c r="BM91" i="54"/>
  <c r="AH91" i="54"/>
  <c r="BB91" i="54" s="1"/>
  <c r="AH203" i="54"/>
  <c r="BB203" i="54" s="1"/>
  <c r="O203" i="65"/>
  <c r="BM203" i="54"/>
  <c r="O252" i="65"/>
  <c r="AH252" i="54"/>
  <c r="BB252" i="54" s="1"/>
  <c r="BM252" i="54"/>
  <c r="BM262" i="54"/>
  <c r="O262" i="65"/>
  <c r="AH262" i="54"/>
  <c r="BB262" i="54" s="1"/>
  <c r="BM261" i="54"/>
  <c r="O261" i="65"/>
  <c r="AH261" i="54"/>
  <c r="BB261" i="54" s="1"/>
  <c r="O181" i="65"/>
  <c r="AH181" i="54"/>
  <c r="BB181" i="54" s="1"/>
  <c r="BM181" i="54"/>
  <c r="W15" i="60"/>
  <c r="S14" i="15"/>
  <c r="K8" i="60"/>
  <c r="BM37" i="54"/>
  <c r="AH37" i="54"/>
  <c r="BB37" i="54" s="1"/>
  <c r="O37" i="65"/>
  <c r="AH82" i="54"/>
  <c r="BB82" i="54" s="1"/>
  <c r="O82" i="65"/>
  <c r="BM82" i="54"/>
  <c r="O303" i="65"/>
  <c r="BM303" i="54"/>
  <c r="AH303" i="54"/>
  <c r="BB303" i="54" s="1"/>
  <c r="O289" i="65"/>
  <c r="BM289" i="54"/>
  <c r="AH289" i="54"/>
  <c r="BB289" i="54" s="1"/>
  <c r="O199" i="65"/>
  <c r="AH199" i="54"/>
  <c r="BB199" i="54" s="1"/>
  <c r="BM199" i="54"/>
  <c r="O138" i="65"/>
  <c r="AH138" i="54"/>
  <c r="BB138" i="54" s="1"/>
  <c r="BM138" i="54"/>
  <c r="O302" i="65"/>
  <c r="AH302" i="54"/>
  <c r="BB302" i="54" s="1"/>
  <c r="BM302" i="54"/>
  <c r="AH178" i="54"/>
  <c r="BB178" i="54" s="1"/>
  <c r="BM178" i="54"/>
  <c r="O178" i="65"/>
  <c r="BM159" i="54"/>
  <c r="O159" i="65"/>
  <c r="AH159" i="54"/>
  <c r="BB159" i="54" s="1"/>
  <c r="O119" i="65"/>
  <c r="AH119" i="54"/>
  <c r="BB119" i="54" s="1"/>
  <c r="BM119" i="54"/>
  <c r="AH57" i="54"/>
  <c r="BB57" i="54" s="1"/>
  <c r="BM57" i="54"/>
  <c r="O57" i="65"/>
  <c r="BM271" i="54"/>
  <c r="O271" i="65"/>
  <c r="AH271" i="54"/>
  <c r="BB271" i="54" s="1"/>
  <c r="O131" i="65"/>
  <c r="BM131" i="54"/>
  <c r="AH131" i="54"/>
  <c r="BB131" i="54" s="1"/>
  <c r="O218" i="65"/>
  <c r="AH218" i="54"/>
  <c r="BB218" i="54" s="1"/>
  <c r="BM218" i="54"/>
  <c r="BM275" i="54"/>
  <c r="O275" i="65"/>
  <c r="AH275" i="54"/>
  <c r="BB275" i="54" s="1"/>
  <c r="BM114" i="54"/>
  <c r="AH114" i="54"/>
  <c r="BB114" i="54" s="1"/>
  <c r="O114" i="65"/>
  <c r="O81" i="65"/>
  <c r="BM81" i="54"/>
  <c r="AH81" i="54"/>
  <c r="BB81" i="54" s="1"/>
  <c r="BM38" i="54"/>
  <c r="O38" i="65"/>
  <c r="AH38" i="54"/>
  <c r="BB38" i="54" s="1"/>
  <c r="AH232" i="54"/>
  <c r="BB232" i="54" s="1"/>
  <c r="O232" i="65"/>
  <c r="BM232" i="54"/>
  <c r="O248" i="65"/>
  <c r="BM248" i="54"/>
  <c r="AH248" i="54"/>
  <c r="BB248" i="54" s="1"/>
  <c r="O268" i="65"/>
  <c r="BM268" i="54"/>
  <c r="AH268" i="54"/>
  <c r="BB268" i="54" s="1"/>
  <c r="O125" i="65"/>
  <c r="AH125" i="54"/>
  <c r="BB125" i="54" s="1"/>
  <c r="BM125" i="54"/>
  <c r="AH108" i="54"/>
  <c r="BB108" i="54" s="1"/>
  <c r="O108" i="65"/>
  <c r="BM108" i="54"/>
  <c r="AH162" i="54"/>
  <c r="BB162" i="54" s="1"/>
  <c r="BM162" i="54"/>
  <c r="O162" i="65"/>
  <c r="O116" i="65"/>
  <c r="AH116" i="54"/>
  <c r="BB116" i="54" s="1"/>
  <c r="BM116" i="54"/>
  <c r="O53" i="65"/>
  <c r="AH53" i="54"/>
  <c r="BB53" i="54" s="1"/>
  <c r="BM53" i="54"/>
  <c r="O210" i="65"/>
  <c r="AH210" i="54"/>
  <c r="BB210" i="54" s="1"/>
  <c r="BM210" i="54"/>
  <c r="AH63" i="54"/>
  <c r="BB63" i="54" s="1"/>
  <c r="O63" i="65"/>
  <c r="BM63" i="54"/>
  <c r="AH122" i="54"/>
  <c r="BB122" i="54" s="1"/>
  <c r="O122" i="65"/>
  <c r="BM122" i="54"/>
  <c r="O68" i="65"/>
  <c r="AH68" i="54"/>
  <c r="BB68" i="54" s="1"/>
  <c r="BM68" i="54"/>
  <c r="AH307" i="54"/>
  <c r="BB307" i="54" s="1"/>
  <c r="BM307" i="54"/>
  <c r="O307" i="65"/>
  <c r="AH95" i="54"/>
  <c r="BB95" i="54" s="1"/>
  <c r="BM95" i="54"/>
  <c r="O95" i="65"/>
  <c r="O226" i="65"/>
  <c r="AH226" i="54"/>
  <c r="BB226" i="54" s="1"/>
  <c r="BM226" i="54"/>
  <c r="O147" i="65"/>
  <c r="AH147" i="54"/>
  <c r="BB147" i="54" s="1"/>
  <c r="BM147" i="54"/>
  <c r="AH31" i="54"/>
  <c r="BB31" i="54" s="1"/>
  <c r="BM31" i="54"/>
  <c r="O31" i="65"/>
  <c r="AH239" i="54"/>
  <c r="BB239" i="54" s="1"/>
  <c r="BM239" i="54"/>
  <c r="O239" i="65"/>
  <c r="AH60" i="54"/>
  <c r="BB60" i="54" s="1"/>
  <c r="BM60" i="54"/>
  <c r="O60" i="65"/>
  <c r="AH293" i="54"/>
  <c r="BB293" i="54" s="1"/>
  <c r="BM293" i="54"/>
  <c r="O293" i="65"/>
  <c r="O169" i="65"/>
  <c r="BM169" i="54"/>
  <c r="AH169" i="54"/>
  <c r="BB169" i="54" s="1"/>
  <c r="O257" i="65"/>
  <c r="AH257" i="54"/>
  <c r="BB257" i="54" s="1"/>
  <c r="BM257" i="54"/>
  <c r="AH61" i="54"/>
  <c r="BB61" i="54" s="1"/>
  <c r="BM61" i="54"/>
  <c r="O61" i="65"/>
  <c r="AH186" i="54"/>
  <c r="BB186" i="54" s="1"/>
  <c r="BM186" i="54"/>
  <c r="O186" i="65"/>
  <c r="AH190" i="54"/>
  <c r="BB190" i="54" s="1"/>
  <c r="BM190" i="54"/>
  <c r="O190" i="65"/>
  <c r="AH194" i="54"/>
  <c r="BB194" i="54" s="1"/>
  <c r="BM194" i="54"/>
  <c r="O194" i="65"/>
  <c r="O83" i="65"/>
  <c r="BM83" i="54"/>
  <c r="AH83" i="54"/>
  <c r="BB83" i="54" s="1"/>
  <c r="BM79" i="54"/>
  <c r="AH79" i="54"/>
  <c r="BB79" i="54" s="1"/>
  <c r="O79" i="65"/>
  <c r="AH23" i="54"/>
  <c r="BB23" i="54" s="1"/>
  <c r="BM23" i="54"/>
  <c r="O23" i="65"/>
  <c r="O77" i="65"/>
  <c r="AH77" i="54"/>
  <c r="BB77" i="54" s="1"/>
  <c r="BM77" i="54"/>
  <c r="AH41" i="54"/>
  <c r="BB41" i="54" s="1"/>
  <c r="BM41" i="54"/>
  <c r="O41" i="65"/>
  <c r="BM213" i="54"/>
  <c r="O213" i="65"/>
  <c r="AH213" i="54"/>
  <c r="BB213" i="54" s="1"/>
  <c r="BM279" i="54"/>
  <c r="O279" i="65"/>
  <c r="AH279" i="54"/>
  <c r="BB279" i="54" s="1"/>
  <c r="AH180" i="54"/>
  <c r="BB180" i="54" s="1"/>
  <c r="BM180" i="54"/>
  <c r="O180" i="65"/>
  <c r="BM200" i="54"/>
  <c r="O200" i="65"/>
  <c r="AH200" i="54"/>
  <c r="BB200" i="54" s="1"/>
  <c r="BM100" i="54"/>
  <c r="O100" i="65"/>
  <c r="AH100" i="54"/>
  <c r="BB100" i="54" s="1"/>
  <c r="BM301" i="54"/>
  <c r="AH301" i="54"/>
  <c r="BB301" i="54" s="1"/>
  <c r="O301" i="65"/>
  <c r="AH197" i="54"/>
  <c r="BB197" i="54" s="1"/>
  <c r="BM197" i="54"/>
  <c r="O197" i="65"/>
  <c r="O287" i="65"/>
  <c r="BM287" i="54"/>
  <c r="AH287" i="54"/>
  <c r="BB287" i="54" s="1"/>
  <c r="O185" i="65"/>
  <c r="AH185" i="54"/>
  <c r="BB185" i="54" s="1"/>
  <c r="BM185" i="54"/>
  <c r="AH153" i="54"/>
  <c r="BB153" i="54" s="1"/>
  <c r="BM153" i="54"/>
  <c r="O153" i="65"/>
  <c r="O139" i="65"/>
  <c r="BM139" i="54"/>
  <c r="AH139" i="54"/>
  <c r="BB139" i="54" s="1"/>
  <c r="BM98" i="54"/>
  <c r="O98" i="65"/>
  <c r="AH98" i="54"/>
  <c r="BB98" i="54" s="1"/>
  <c r="AH150" i="54"/>
  <c r="BB150" i="54" s="1"/>
  <c r="BM150" i="54"/>
  <c r="O150" i="65"/>
  <c r="O251" i="65"/>
  <c r="AH251" i="54"/>
  <c r="BB251" i="54" s="1"/>
  <c r="BM251" i="54"/>
  <c r="O211" i="65"/>
  <c r="AH211" i="54"/>
  <c r="BB211" i="54" s="1"/>
  <c r="BM211" i="54"/>
  <c r="BM29" i="54"/>
  <c r="O29" i="65"/>
  <c r="AH29" i="54"/>
  <c r="BB29" i="54" s="1"/>
  <c r="AH158" i="54"/>
  <c r="BB158" i="54" s="1"/>
  <c r="BM158" i="54"/>
  <c r="O158" i="65"/>
  <c r="O256" i="65"/>
  <c r="BM256" i="54"/>
  <c r="AH256" i="54"/>
  <c r="BB256" i="54" s="1"/>
  <c r="AH113" i="54"/>
  <c r="BB113" i="54" s="1"/>
  <c r="BM113" i="54"/>
  <c r="O113" i="65"/>
  <c r="O75" i="65"/>
  <c r="BM75" i="54"/>
  <c r="AH75" i="54"/>
  <c r="BB75" i="54" s="1"/>
  <c r="O54" i="65"/>
  <c r="AH54" i="54"/>
  <c r="BB54" i="54" s="1"/>
  <c r="BM54" i="54"/>
  <c r="O206" i="65"/>
  <c r="AH206" i="54"/>
  <c r="BB206" i="54" s="1"/>
  <c r="BM206" i="54"/>
  <c r="O149" i="65"/>
  <c r="AH149" i="54"/>
  <c r="BB149" i="54" s="1"/>
  <c r="BM149" i="54"/>
  <c r="BM74" i="54"/>
  <c r="O74" i="65"/>
  <c r="AH74" i="54"/>
  <c r="BB74" i="54" s="1"/>
  <c r="O117" i="65"/>
  <c r="AH117" i="54"/>
  <c r="BB117" i="54" s="1"/>
  <c r="BM117" i="54"/>
  <c r="O196" i="65"/>
  <c r="BM196" i="54"/>
  <c r="AH196" i="54"/>
  <c r="BB196" i="54" s="1"/>
  <c r="AH300" i="54"/>
  <c r="BB300" i="54" s="1"/>
  <c r="BM300" i="54"/>
  <c r="O300" i="65"/>
  <c r="AH225" i="54"/>
  <c r="BB225" i="54" s="1"/>
  <c r="BM225" i="54"/>
  <c r="O225" i="65"/>
  <c r="O160" i="65"/>
  <c r="AH160" i="54"/>
  <c r="BB160" i="54" s="1"/>
  <c r="BM160" i="54"/>
  <c r="BM205" i="54"/>
  <c r="O205" i="65"/>
  <c r="AH205" i="54"/>
  <c r="BB205" i="54" s="1"/>
  <c r="O305" i="65"/>
  <c r="AH305" i="54"/>
  <c r="BB305" i="54" s="1"/>
  <c r="BM305" i="54"/>
  <c r="AH123" i="54"/>
  <c r="BB123" i="54" s="1"/>
  <c r="O123" i="65"/>
  <c r="BM123" i="54"/>
  <c r="O102" i="65"/>
  <c r="AH102" i="54"/>
  <c r="BB102" i="54" s="1"/>
  <c r="BM102" i="54"/>
  <c r="BM266" i="54"/>
  <c r="O266" i="65"/>
  <c r="AH266" i="54"/>
  <c r="BB266" i="54" s="1"/>
  <c r="O255" i="65"/>
  <c r="AH255" i="54"/>
  <c r="BB255" i="54" s="1"/>
  <c r="BM255" i="54"/>
  <c r="AH28" i="54"/>
  <c r="BB28" i="54" s="1"/>
  <c r="BM28" i="54"/>
  <c r="O28" i="65"/>
  <c r="AH167" i="54"/>
  <c r="BB167" i="54" s="1"/>
  <c r="BM167" i="54"/>
  <c r="O167" i="65"/>
  <c r="BM33" i="54"/>
  <c r="K68" i="66"/>
  <c r="AH33" i="54"/>
  <c r="BB33" i="54" s="1"/>
  <c r="O33" i="65"/>
  <c r="O146" i="65"/>
  <c r="BM146" i="54"/>
  <c r="AH146" i="54"/>
  <c r="BB146" i="54" s="1"/>
  <c r="O140" i="65"/>
  <c r="BM140" i="54"/>
  <c r="AH140" i="54"/>
  <c r="BB140" i="54" s="1"/>
  <c r="O229" i="65"/>
  <c r="AH229" i="54"/>
  <c r="BB229" i="54" s="1"/>
  <c r="BM229" i="54"/>
  <c r="BM151" i="54"/>
  <c r="O151" i="65"/>
  <c r="AH151" i="54"/>
  <c r="BB151" i="54" s="1"/>
  <c r="AH238" i="54"/>
  <c r="BB238" i="54" s="1"/>
  <c r="BM238" i="54"/>
  <c r="O238" i="65"/>
  <c r="BM24" i="54"/>
  <c r="O24" i="65"/>
  <c r="K66" i="66"/>
  <c r="AH24" i="54"/>
  <c r="BB24" i="54" s="1"/>
  <c r="BM105" i="54"/>
  <c r="O105" i="65"/>
  <c r="AH105" i="54"/>
  <c r="BB105" i="54" s="1"/>
  <c r="AH278" i="54"/>
  <c r="BB278" i="54" s="1"/>
  <c r="BM278" i="54"/>
  <c r="O278" i="65"/>
  <c r="BM136" i="54"/>
  <c r="O136" i="65"/>
  <c r="AH136" i="54"/>
  <c r="BB136" i="54" s="1"/>
  <c r="J151" i="66"/>
  <c r="U151" i="66" s="1"/>
  <c r="BM106" i="54"/>
  <c r="O106" i="65"/>
  <c r="AH106" i="54"/>
  <c r="BB106" i="54" s="1"/>
  <c r="O288" i="65"/>
  <c r="AH288" i="54"/>
  <c r="BB288" i="54" s="1"/>
  <c r="BM288" i="54"/>
  <c r="O282" i="65"/>
  <c r="AH282" i="54"/>
  <c r="BB282" i="54" s="1"/>
  <c r="BM282" i="54"/>
  <c r="AH176" i="54"/>
  <c r="BB176" i="54" s="1"/>
  <c r="BM176" i="54"/>
  <c r="O176" i="65"/>
  <c r="O58" i="65"/>
  <c r="AH58" i="54"/>
  <c r="BB58" i="54" s="1"/>
  <c r="BM58" i="54"/>
  <c r="O42" i="65"/>
  <c r="BM42" i="54"/>
  <c r="AH42" i="54"/>
  <c r="BB42" i="54" s="1"/>
  <c r="J152" i="66"/>
  <c r="U152" i="66" s="1"/>
  <c r="O40" i="65"/>
  <c r="BM40" i="54"/>
  <c r="AH40" i="54"/>
  <c r="BB40" i="54" s="1"/>
  <c r="AH183" i="54"/>
  <c r="BB183" i="54" s="1"/>
  <c r="BM183" i="54"/>
  <c r="O183" i="65"/>
  <c r="O89" i="65"/>
  <c r="BM89" i="54"/>
  <c r="AH89" i="54"/>
  <c r="BB89" i="54" s="1"/>
  <c r="BM48" i="54"/>
  <c r="K67" i="66"/>
  <c r="O48" i="65"/>
  <c r="AH48" i="54"/>
  <c r="BB48" i="54" s="1"/>
  <c r="O277" i="65"/>
  <c r="AH277" i="54"/>
  <c r="BB277" i="54" s="1"/>
  <c r="BM277" i="54"/>
  <c r="O128" i="65"/>
  <c r="BM128" i="54"/>
  <c r="AH128" i="54"/>
  <c r="BB128" i="54" s="1"/>
  <c r="O99" i="65"/>
  <c r="BM99" i="54"/>
  <c r="AH99" i="54"/>
  <c r="BB99" i="54" s="1"/>
  <c r="O97" i="65"/>
  <c r="AH97" i="54"/>
  <c r="BB97" i="54" s="1"/>
  <c r="BM97" i="54"/>
  <c r="O292" i="65"/>
  <c r="BM292" i="54"/>
  <c r="AH292" i="54"/>
  <c r="BB292" i="54" s="1"/>
  <c r="O170" i="65"/>
  <c r="BM170" i="54"/>
  <c r="AH170" i="54"/>
  <c r="BB170" i="54" s="1"/>
  <c r="J149" i="66"/>
  <c r="O84" i="65"/>
  <c r="AH84" i="54"/>
  <c r="BB84" i="54" s="1"/>
  <c r="BM84" i="54"/>
  <c r="O161" i="65"/>
  <c r="AH161" i="54"/>
  <c r="BB161" i="54" s="1"/>
  <c r="BM161" i="54"/>
  <c r="O201" i="65"/>
  <c r="AH201" i="54"/>
  <c r="BB201" i="54" s="1"/>
  <c r="BM201" i="54"/>
  <c r="O264" i="65"/>
  <c r="BM264" i="54"/>
  <c r="AH264" i="54"/>
  <c r="BB264" i="54" s="1"/>
  <c r="Q32" i="15"/>
  <c r="BM299" i="54"/>
  <c r="O299" i="65"/>
  <c r="AH299" i="54"/>
  <c r="BB299" i="54" s="1"/>
  <c r="O177" i="65"/>
  <c r="AH177" i="54"/>
  <c r="BB177" i="54" s="1"/>
  <c r="BM177" i="54"/>
  <c r="O55" i="65"/>
  <c r="AH55" i="54"/>
  <c r="BB55" i="54" s="1"/>
  <c r="BM55" i="54"/>
  <c r="O67" i="65"/>
  <c r="AH67" i="54"/>
  <c r="BB67" i="54" s="1"/>
  <c r="BM67" i="54"/>
  <c r="O246" i="65"/>
  <c r="BM246" i="54"/>
  <c r="AH246" i="54"/>
  <c r="BB246" i="54" s="1"/>
  <c r="BM18" i="54"/>
  <c r="AH18" i="54"/>
  <c r="BB18" i="54" s="1"/>
  <c r="O18" i="65"/>
  <c r="O26" i="65"/>
  <c r="AH26" i="54"/>
  <c r="BB26" i="54" s="1"/>
  <c r="BM26" i="54"/>
  <c r="AH93" i="54"/>
  <c r="BB93" i="54" s="1"/>
  <c r="BM93" i="54"/>
  <c r="O93" i="65"/>
  <c r="O281" i="65"/>
  <c r="BM281" i="54"/>
  <c r="AH281" i="54"/>
  <c r="BB281" i="54" s="1"/>
  <c r="O50" i="65"/>
  <c r="BM50" i="54"/>
  <c r="AH50" i="54"/>
  <c r="BB50" i="54" s="1"/>
  <c r="AH52" i="54"/>
  <c r="BB52" i="54" s="1"/>
  <c r="BM52" i="54"/>
  <c r="O52" i="65"/>
  <c r="O35" i="65"/>
  <c r="AH35" i="54"/>
  <c r="BB35" i="54" s="1"/>
  <c r="BM35" i="54"/>
  <c r="O222" i="65"/>
  <c r="BM222" i="54"/>
  <c r="AH222" i="54"/>
  <c r="BB222" i="54" s="1"/>
  <c r="BM304" i="54"/>
  <c r="O304" i="65"/>
  <c r="AH304" i="54"/>
  <c r="BB304" i="54" s="1"/>
  <c r="AH56" i="54"/>
  <c r="BB56" i="54" s="1"/>
  <c r="BM56" i="54"/>
  <c r="O56" i="65"/>
  <c r="BM141" i="54"/>
  <c r="O141" i="65"/>
  <c r="AH141" i="54"/>
  <c r="BB141" i="54" s="1"/>
  <c r="O195" i="65"/>
  <c r="BM195" i="54"/>
  <c r="AH195" i="54"/>
  <c r="BB195" i="54" s="1"/>
  <c r="AH143" i="54"/>
  <c r="BB143" i="54" s="1"/>
  <c r="BM143" i="54"/>
  <c r="O143" i="65"/>
  <c r="O204" i="65"/>
  <c r="AH204" i="54"/>
  <c r="BB204" i="54" s="1"/>
  <c r="BM204" i="54"/>
  <c r="O242" i="65"/>
  <c r="AH242" i="54"/>
  <c r="BB242" i="54" s="1"/>
  <c r="BM242" i="54"/>
  <c r="BM15" i="54"/>
  <c r="O15" i="65"/>
  <c r="AH15" i="54"/>
  <c r="BB15" i="54" s="1"/>
  <c r="O13" i="54"/>
  <c r="K70" i="66"/>
  <c r="O7" i="54"/>
  <c r="I113" i="66" s="1"/>
  <c r="O115" i="65"/>
  <c r="BM115" i="54"/>
  <c r="AH115" i="54"/>
  <c r="BB115" i="54" s="1"/>
  <c r="O36" i="65"/>
  <c r="BM36" i="54"/>
  <c r="AH36" i="54"/>
  <c r="BB36" i="54" s="1"/>
  <c r="AH240" i="54"/>
  <c r="BB240" i="54" s="1"/>
  <c r="BM240" i="54"/>
  <c r="O240" i="65"/>
  <c r="O118" i="65"/>
  <c r="AH118" i="54"/>
  <c r="BB118" i="54" s="1"/>
  <c r="BM118" i="54"/>
  <c r="AH221" i="54"/>
  <c r="BB221" i="54" s="1"/>
  <c r="BM221" i="54"/>
  <c r="O221" i="65"/>
  <c r="O65" i="65"/>
  <c r="AH65" i="54"/>
  <c r="BB65" i="54" s="1"/>
  <c r="BM65" i="54"/>
  <c r="O27" i="65"/>
  <c r="AH27" i="54"/>
  <c r="BB27" i="54" s="1"/>
  <c r="BM27" i="54"/>
  <c r="O134" i="65"/>
  <c r="BM134" i="54"/>
  <c r="AH134" i="54"/>
  <c r="BB134" i="54" s="1"/>
  <c r="AH109" i="54"/>
  <c r="BB109" i="54" s="1"/>
  <c r="O109" i="65"/>
  <c r="BM109" i="54"/>
  <c r="O76" i="65"/>
  <c r="BM76" i="54"/>
  <c r="AH76" i="54"/>
  <c r="BB76" i="54" s="1"/>
  <c r="AH294" i="54"/>
  <c r="BB294" i="54" s="1"/>
  <c r="BM294" i="54"/>
  <c r="O294" i="65"/>
  <c r="AH121" i="54"/>
  <c r="BB121" i="54" s="1"/>
  <c r="BM121" i="54"/>
  <c r="O121" i="65"/>
  <c r="BM291" i="54"/>
  <c r="AH291" i="54"/>
  <c r="BB291" i="54" s="1"/>
  <c r="O291" i="65"/>
  <c r="AH270" i="54"/>
  <c r="BB270" i="54" s="1"/>
  <c r="BM270" i="54"/>
  <c r="O270" i="65"/>
  <c r="AH73" i="54"/>
  <c r="BB73" i="54" s="1"/>
  <c r="BM73" i="54"/>
  <c r="O73" i="65"/>
  <c r="O228" i="65"/>
  <c r="AH228" i="54"/>
  <c r="BB228" i="54" s="1"/>
  <c r="BM228" i="54"/>
  <c r="O236" i="65"/>
  <c r="BM236" i="54"/>
  <c r="AH236" i="54"/>
  <c r="BB236" i="54" s="1"/>
  <c r="O47" i="65"/>
  <c r="AH47" i="54"/>
  <c r="BB47" i="54" s="1"/>
  <c r="BM47" i="54"/>
  <c r="O192" i="65"/>
  <c r="AH192" i="54"/>
  <c r="BB192" i="54" s="1"/>
  <c r="BM192" i="54"/>
  <c r="AH165" i="54"/>
  <c r="BB165" i="54" s="1"/>
  <c r="BM165" i="54"/>
  <c r="O165" i="65"/>
  <c r="AH258" i="54"/>
  <c r="BB258" i="54" s="1"/>
  <c r="BM258" i="54"/>
  <c r="O258" i="65"/>
  <c r="O274" i="65"/>
  <c r="AH274" i="54"/>
  <c r="BB274" i="54" s="1"/>
  <c r="BM274" i="54"/>
  <c r="AH49" i="54"/>
  <c r="BB49" i="54" s="1"/>
  <c r="BM49" i="54"/>
  <c r="O49" i="65"/>
  <c r="O124" i="65"/>
  <c r="AH124" i="54"/>
  <c r="BB124" i="54" s="1"/>
  <c r="BM124" i="54"/>
  <c r="O217" i="65"/>
  <c r="AH217" i="54"/>
  <c r="BB217" i="54" s="1"/>
  <c r="BM217" i="54"/>
  <c r="AH227" i="54"/>
  <c r="BB227" i="54" s="1"/>
  <c r="O227" i="65"/>
  <c r="BM227" i="54"/>
  <c r="J154" i="66"/>
  <c r="U154" i="66" s="1"/>
  <c r="O21" i="65"/>
  <c r="BM21" i="54"/>
  <c r="AH21" i="54"/>
  <c r="BB21" i="54" s="1"/>
  <c r="O92" i="65"/>
  <c r="AH92" i="54"/>
  <c r="BB92" i="54" s="1"/>
  <c r="BM92" i="54"/>
  <c r="BM22" i="54"/>
  <c r="O22" i="65"/>
  <c r="K72" i="66"/>
  <c r="AH22" i="54"/>
  <c r="BB22" i="54" s="1"/>
  <c r="O71" i="65"/>
  <c r="BM71" i="54"/>
  <c r="AH71" i="54"/>
  <c r="BB71" i="54" s="1"/>
  <c r="O32" i="65"/>
  <c r="AH32" i="54"/>
  <c r="BB32" i="54" s="1"/>
  <c r="BM32" i="54"/>
  <c r="AH241" i="54"/>
  <c r="BB241" i="54" s="1"/>
  <c r="BM241" i="54"/>
  <c r="O241" i="65"/>
  <c r="AH46" i="54"/>
  <c r="BB46" i="54" s="1"/>
  <c r="BM46" i="54"/>
  <c r="O46" i="65"/>
  <c r="O249" i="65"/>
  <c r="BM249" i="54"/>
  <c r="AH249" i="54"/>
  <c r="BB249" i="54" s="1"/>
  <c r="O96" i="65"/>
  <c r="BM96" i="54"/>
  <c r="AH96" i="54"/>
  <c r="BB96" i="54" s="1"/>
  <c r="O129" i="65"/>
  <c r="AH129" i="54"/>
  <c r="BB129" i="54" s="1"/>
  <c r="BM129" i="54"/>
  <c r="O145" i="65"/>
  <c r="BM145" i="54"/>
  <c r="AH145" i="54"/>
  <c r="BB145" i="54" s="1"/>
  <c r="AH164" i="54"/>
  <c r="BB164" i="54" s="1"/>
  <c r="O164" i="65"/>
  <c r="BM164" i="54"/>
  <c r="BM166" i="54"/>
  <c r="O166" i="65"/>
  <c r="AH166" i="54"/>
  <c r="BB166" i="54" s="1"/>
  <c r="BM182" i="54"/>
  <c r="O182" i="65"/>
  <c r="AH182" i="54"/>
  <c r="BB182" i="54" s="1"/>
  <c r="AH191" i="54"/>
  <c r="BB191" i="54" s="1"/>
  <c r="BM191" i="54"/>
  <c r="O191" i="65"/>
  <c r="O234" i="65"/>
  <c r="BM234" i="54"/>
  <c r="AH234" i="54"/>
  <c r="BB234" i="54" s="1"/>
  <c r="O179" i="65"/>
  <c r="BM179" i="54"/>
  <c r="AH179" i="54"/>
  <c r="BB179" i="54" s="1"/>
  <c r="O265" i="65"/>
  <c r="AH265" i="54"/>
  <c r="BB265" i="54" s="1"/>
  <c r="BM265" i="54"/>
  <c r="O64" i="65"/>
  <c r="AH64" i="54"/>
  <c r="BB64" i="54" s="1"/>
  <c r="BM64" i="54"/>
  <c r="O111" i="65"/>
  <c r="AH111" i="54"/>
  <c r="BB111" i="54" s="1"/>
  <c r="BM111" i="54"/>
  <c r="AH148" i="54"/>
  <c r="BB148" i="54" s="1"/>
  <c r="BM148" i="54"/>
  <c r="O148" i="65"/>
  <c r="O62" i="65"/>
  <c r="AH62" i="54"/>
  <c r="BB62" i="54" s="1"/>
  <c r="BM62" i="54"/>
  <c r="O188" i="65"/>
  <c r="BM188" i="54"/>
  <c r="AH188" i="54"/>
  <c r="BB188" i="54" s="1"/>
  <c r="O144" i="65"/>
  <c r="AH144" i="54"/>
  <c r="BB144" i="54" s="1"/>
  <c r="BM144" i="54"/>
  <c r="O296" i="65"/>
  <c r="BM296" i="54"/>
  <c r="AH296" i="54"/>
  <c r="BB296" i="54" s="1"/>
  <c r="O272" i="65"/>
  <c r="AH272" i="54"/>
  <c r="BB272" i="54" s="1"/>
  <c r="BM272" i="54"/>
  <c r="O244" i="65"/>
  <c r="BM244" i="54"/>
  <c r="AH244" i="54"/>
  <c r="BB244" i="54" s="1"/>
  <c r="BM280" i="54"/>
  <c r="O280" i="65"/>
  <c r="AH280" i="54"/>
  <c r="BB280" i="54" s="1"/>
  <c r="O175" i="65"/>
  <c r="BM175" i="54"/>
  <c r="AH175" i="54"/>
  <c r="BB175" i="54" s="1"/>
  <c r="AH69" i="54"/>
  <c r="BB69" i="54" s="1"/>
  <c r="BM69" i="54"/>
  <c r="O69" i="65"/>
  <c r="O44" i="65"/>
  <c r="AH44" i="54"/>
  <c r="BB44" i="54" s="1"/>
  <c r="BM44" i="54"/>
  <c r="AH259" i="54"/>
  <c r="BB259" i="54" s="1"/>
  <c r="O259" i="65"/>
  <c r="BM259" i="54"/>
  <c r="AH198" i="54"/>
  <c r="BB198" i="54" s="1"/>
  <c r="BM198" i="54"/>
  <c r="O198" i="65"/>
  <c r="O20" i="65"/>
  <c r="AH20" i="54"/>
  <c r="BB20" i="54" s="1"/>
  <c r="BM20" i="54"/>
  <c r="AH193" i="54"/>
  <c r="BB193" i="54" s="1"/>
  <c r="BM193" i="54"/>
  <c r="BM51" i="54"/>
  <c r="AH51" i="54"/>
  <c r="BB51" i="54" s="1"/>
  <c r="O51" i="65"/>
  <c r="O286" i="65"/>
  <c r="AH286" i="54"/>
  <c r="BB286" i="54" s="1"/>
  <c r="BM286" i="54"/>
  <c r="J150" i="66"/>
  <c r="U150" i="66" s="1"/>
  <c r="O168" i="65"/>
  <c r="BM168" i="54"/>
  <c r="AH168" i="54"/>
  <c r="BB168" i="54" s="1"/>
  <c r="AH269" i="54"/>
  <c r="BB269" i="54" s="1"/>
  <c r="BM269" i="54"/>
  <c r="O269" i="65"/>
  <c r="BM267" i="54"/>
  <c r="O267" i="65"/>
  <c r="AH267" i="54"/>
  <c r="BB267" i="54" s="1"/>
  <c r="BM155" i="54"/>
  <c r="O155" i="65"/>
  <c r="AH155" i="54"/>
  <c r="BB155" i="54" s="1"/>
  <c r="K139" i="66" l="1"/>
  <c r="V139" i="66" s="1"/>
  <c r="AH143" i="65"/>
  <c r="O143" i="56"/>
  <c r="AH93" i="65"/>
  <c r="O93" i="56"/>
  <c r="AH300" i="65"/>
  <c r="O300" i="56"/>
  <c r="P170" i="53"/>
  <c r="AH170" i="42"/>
  <c r="P87" i="53"/>
  <c r="AH87" i="42"/>
  <c r="P72" i="53"/>
  <c r="AH72" i="42"/>
  <c r="P155" i="53"/>
  <c r="AH155" i="42"/>
  <c r="P137" i="53"/>
  <c r="AH137" i="42"/>
  <c r="AH268" i="65"/>
  <c r="O268" i="56"/>
  <c r="AH131" i="65"/>
  <c r="O131" i="56"/>
  <c r="AH199" i="65"/>
  <c r="O199" i="56"/>
  <c r="AH220" i="65"/>
  <c r="O220" i="56"/>
  <c r="AH290" i="65"/>
  <c r="O290" i="56"/>
  <c r="AH272" i="65"/>
  <c r="O272" i="56"/>
  <c r="AH144" i="65"/>
  <c r="O144" i="56"/>
  <c r="AH62" i="65"/>
  <c r="O62" i="56"/>
  <c r="AH46" i="65"/>
  <c r="O46" i="56"/>
  <c r="AH124" i="65"/>
  <c r="O124" i="56"/>
  <c r="AH165" i="65"/>
  <c r="O165" i="56"/>
  <c r="AH270" i="65"/>
  <c r="O270" i="56"/>
  <c r="AH121" i="65"/>
  <c r="O121" i="56"/>
  <c r="AH141" i="65"/>
  <c r="O141" i="56"/>
  <c r="AH304" i="65"/>
  <c r="O304" i="56"/>
  <c r="AH183" i="65"/>
  <c r="O183" i="56"/>
  <c r="AH229" i="65"/>
  <c r="O229" i="56"/>
  <c r="AH146" i="65"/>
  <c r="O146" i="56"/>
  <c r="P301" i="53"/>
  <c r="AH301" i="42"/>
  <c r="P305" i="53"/>
  <c r="AH305" i="42"/>
  <c r="P101" i="53"/>
  <c r="AH101" i="42"/>
  <c r="P144" i="53"/>
  <c r="AH144" i="42"/>
  <c r="P214" i="53"/>
  <c r="AH214" i="42"/>
  <c r="P131" i="53"/>
  <c r="AH131" i="42"/>
  <c r="P294" i="53"/>
  <c r="AH294" i="42"/>
  <c r="P226" i="53"/>
  <c r="AH226" i="42"/>
  <c r="P253" i="53"/>
  <c r="AH253" i="42"/>
  <c r="P95" i="53"/>
  <c r="AH95" i="42"/>
  <c r="P151" i="53"/>
  <c r="AH151" i="42"/>
  <c r="P241" i="53"/>
  <c r="AH241" i="42"/>
  <c r="P48" i="53"/>
  <c r="L31" i="66"/>
  <c r="AH48" i="42"/>
  <c r="P147" i="53"/>
  <c r="AH147" i="42"/>
  <c r="P196" i="53"/>
  <c r="AH196" i="42"/>
  <c r="P63" i="53"/>
  <c r="AH63" i="42"/>
  <c r="P30" i="53"/>
  <c r="AH30" i="42"/>
  <c r="P90" i="53"/>
  <c r="AH90" i="42"/>
  <c r="P181" i="53"/>
  <c r="AH181" i="42"/>
  <c r="P149" i="53"/>
  <c r="AH149" i="42"/>
  <c r="P230" i="53"/>
  <c r="AH230" i="42"/>
  <c r="P220" i="53"/>
  <c r="AH220" i="42"/>
  <c r="P47" i="53"/>
  <c r="AH47" i="42"/>
  <c r="P178" i="53"/>
  <c r="AH178" i="42"/>
  <c r="P182" i="53"/>
  <c r="AH182" i="42"/>
  <c r="P81" i="53"/>
  <c r="AH81" i="42"/>
  <c r="P288" i="53"/>
  <c r="AH288" i="42"/>
  <c r="P143" i="53"/>
  <c r="AH143" i="42"/>
  <c r="P158" i="53"/>
  <c r="AH158" i="42"/>
  <c r="P264" i="53"/>
  <c r="AH264" i="42"/>
  <c r="P84" i="53"/>
  <c r="AH84" i="42"/>
  <c r="P260" i="53"/>
  <c r="AH260" i="42"/>
  <c r="P142" i="53"/>
  <c r="AH142" i="42"/>
  <c r="P277" i="53"/>
  <c r="AH277" i="42"/>
  <c r="P218" i="53"/>
  <c r="AH218" i="42"/>
  <c r="P163" i="53"/>
  <c r="AH163" i="42"/>
  <c r="AH211" i="65"/>
  <c r="O211" i="56"/>
  <c r="AH139" i="65"/>
  <c r="O139" i="56"/>
  <c r="AH185" i="65"/>
  <c r="O185" i="56"/>
  <c r="AH77" i="65"/>
  <c r="O77" i="56"/>
  <c r="AH257" i="65"/>
  <c r="O257" i="56"/>
  <c r="AH147" i="65"/>
  <c r="O147" i="56"/>
  <c r="AH68" i="65"/>
  <c r="O68" i="56"/>
  <c r="AH262" i="65"/>
  <c r="O262" i="56"/>
  <c r="AH203" i="65"/>
  <c r="O203" i="56"/>
  <c r="AH135" i="65"/>
  <c r="O135" i="56"/>
  <c r="AH187" i="65"/>
  <c r="O187" i="56"/>
  <c r="AH45" i="65"/>
  <c r="O45" i="56"/>
  <c r="AH132" i="65"/>
  <c r="O132" i="56"/>
  <c r="AH126" i="65"/>
  <c r="O126" i="56"/>
  <c r="AH231" i="65"/>
  <c r="O231" i="56"/>
  <c r="AH155" i="65"/>
  <c r="O155" i="56"/>
  <c r="AH96" i="65"/>
  <c r="O96" i="56"/>
  <c r="AH92" i="65"/>
  <c r="O92" i="56"/>
  <c r="AH167" i="65"/>
  <c r="O167" i="56"/>
  <c r="P261" i="53"/>
  <c r="AH261" i="42"/>
  <c r="P188" i="53"/>
  <c r="AH188" i="42"/>
  <c r="P39" i="53"/>
  <c r="AH39" i="42"/>
  <c r="P210" i="53"/>
  <c r="AH210" i="42"/>
  <c r="AH100" i="65"/>
  <c r="O100" i="56"/>
  <c r="AH302" i="65"/>
  <c r="O302" i="56"/>
  <c r="BD70" i="66"/>
  <c r="V70" i="66"/>
  <c r="AR70" i="66" s="1"/>
  <c r="AH70" i="66"/>
  <c r="BB70" i="66"/>
  <c r="AH242" i="65"/>
  <c r="O242" i="56"/>
  <c r="AH35" i="65"/>
  <c r="O35" i="56"/>
  <c r="AH50" i="65"/>
  <c r="O50" i="56"/>
  <c r="AH67" i="65"/>
  <c r="O67" i="56"/>
  <c r="AH177" i="65"/>
  <c r="O177" i="56"/>
  <c r="J156" i="66"/>
  <c r="U156" i="66" s="1"/>
  <c r="U149" i="66"/>
  <c r="AH176" i="65"/>
  <c r="O176" i="56"/>
  <c r="AH255" i="65"/>
  <c r="O255" i="56"/>
  <c r="AH102" i="65"/>
  <c r="O102" i="56"/>
  <c r="AH305" i="65"/>
  <c r="O305" i="56"/>
  <c r="AH160" i="65"/>
  <c r="O160" i="56"/>
  <c r="AH117" i="65"/>
  <c r="O117" i="56"/>
  <c r="AH149" i="65"/>
  <c r="O149" i="56"/>
  <c r="AH54" i="65"/>
  <c r="O54" i="56"/>
  <c r="P153" i="53"/>
  <c r="AH153" i="42"/>
  <c r="P205" i="53"/>
  <c r="AH205" i="42"/>
  <c r="P248" i="53"/>
  <c r="AH248" i="42"/>
  <c r="P283" i="53"/>
  <c r="AH283" i="42"/>
  <c r="P169" i="53"/>
  <c r="AH169" i="42"/>
  <c r="P270" i="53"/>
  <c r="AH270" i="42"/>
  <c r="P35" i="53"/>
  <c r="AH35" i="42"/>
  <c r="P70" i="53"/>
  <c r="AH70" i="42"/>
  <c r="P105" i="53"/>
  <c r="AH105" i="42"/>
  <c r="P175" i="53"/>
  <c r="AH175" i="42"/>
  <c r="P76" i="53"/>
  <c r="AH76" i="42"/>
  <c r="P255" i="53"/>
  <c r="AH255" i="42"/>
  <c r="P187" i="53"/>
  <c r="AH187" i="42"/>
  <c r="P222" i="53"/>
  <c r="AH222" i="42"/>
  <c r="P56" i="53"/>
  <c r="AH56" i="42"/>
  <c r="P193" i="53"/>
  <c r="AH193" i="42"/>
  <c r="P60" i="53"/>
  <c r="AH60" i="42"/>
  <c r="P157" i="53"/>
  <c r="AH157" i="42"/>
  <c r="L32" i="66"/>
  <c r="P33" i="53"/>
  <c r="AH33" i="42"/>
  <c r="P34" i="53"/>
  <c r="AH34" i="42"/>
  <c r="P65" i="53"/>
  <c r="AH65" i="42"/>
  <c r="P152" i="53"/>
  <c r="AH152" i="42"/>
  <c r="P41" i="53"/>
  <c r="AH41" i="42"/>
  <c r="P22" i="53"/>
  <c r="L36" i="66"/>
  <c r="AH22" i="42"/>
  <c r="P59" i="53"/>
  <c r="AH59" i="42"/>
  <c r="P204" i="53"/>
  <c r="AH204" i="42"/>
  <c r="P52" i="53"/>
  <c r="AH52" i="42"/>
  <c r="P282" i="53"/>
  <c r="AH282" i="42"/>
  <c r="P266" i="53"/>
  <c r="AH266" i="42"/>
  <c r="P258" i="53"/>
  <c r="AH258" i="42"/>
  <c r="P58" i="53"/>
  <c r="AH58" i="42"/>
  <c r="P120" i="53"/>
  <c r="AH120" i="42"/>
  <c r="P281" i="53"/>
  <c r="AH281" i="42"/>
  <c r="P162" i="53"/>
  <c r="AH162" i="42"/>
  <c r="P285" i="53"/>
  <c r="AH285" i="42"/>
  <c r="P302" i="53"/>
  <c r="AH302" i="42"/>
  <c r="AH162" i="65"/>
  <c r="O162" i="56"/>
  <c r="AH114" i="65"/>
  <c r="O114" i="56"/>
  <c r="AH178" i="65"/>
  <c r="O178" i="56"/>
  <c r="AH261" i="65"/>
  <c r="O261" i="56"/>
  <c r="AH107" i="65"/>
  <c r="O107" i="56"/>
  <c r="AH34" i="65"/>
  <c r="O34" i="56"/>
  <c r="AH212" i="65"/>
  <c r="O212" i="56"/>
  <c r="AH245" i="65"/>
  <c r="O245" i="56"/>
  <c r="AH284" i="65"/>
  <c r="O284" i="56"/>
  <c r="AH189" i="65"/>
  <c r="O189" i="56"/>
  <c r="AH254" i="65"/>
  <c r="O254" i="56"/>
  <c r="AH90" i="65"/>
  <c r="O90" i="56"/>
  <c r="AH233" i="65"/>
  <c r="O233" i="56"/>
  <c r="AH110" i="65"/>
  <c r="O110" i="56"/>
  <c r="AH230" i="65"/>
  <c r="O230" i="56"/>
  <c r="AH30" i="65"/>
  <c r="O30" i="56"/>
  <c r="AH209" i="65"/>
  <c r="O209" i="56"/>
  <c r="AH243" i="65"/>
  <c r="O243" i="56"/>
  <c r="AH250" i="65"/>
  <c r="O250" i="56"/>
  <c r="AH43" i="65"/>
  <c r="O43" i="56"/>
  <c r="AH152" i="65"/>
  <c r="O152" i="56"/>
  <c r="AH216" i="65"/>
  <c r="O216" i="56"/>
  <c r="AH145" i="65"/>
  <c r="O145" i="56"/>
  <c r="AH227" i="65"/>
  <c r="O227" i="56"/>
  <c r="AH201" i="65"/>
  <c r="O201" i="56"/>
  <c r="P177" i="53"/>
  <c r="AH177" i="42"/>
  <c r="P156" i="53"/>
  <c r="AH156" i="42"/>
  <c r="Q13" i="42"/>
  <c r="P15" i="53"/>
  <c r="L34" i="66"/>
  <c r="AH15" i="42"/>
  <c r="P262" i="53"/>
  <c r="AH262" i="42"/>
  <c r="P141" i="53"/>
  <c r="AH141" i="42"/>
  <c r="P256" i="53"/>
  <c r="AH256" i="42"/>
  <c r="AH63" i="65"/>
  <c r="O63" i="56"/>
  <c r="BD72" i="66"/>
  <c r="V72" i="66"/>
  <c r="AR72" i="66" s="1"/>
  <c r="BB72" i="66"/>
  <c r="AH72" i="66"/>
  <c r="AH198" i="65"/>
  <c r="O198" i="56"/>
  <c r="AH182" i="65"/>
  <c r="O182" i="56"/>
  <c r="AH164" i="65"/>
  <c r="O164" i="56"/>
  <c r="AH32" i="65"/>
  <c r="O32" i="56"/>
  <c r="K23" i="66"/>
  <c r="AH22" i="65"/>
  <c r="O22" i="56"/>
  <c r="AH274" i="65"/>
  <c r="O274" i="56"/>
  <c r="AH47" i="65"/>
  <c r="O47" i="56"/>
  <c r="AH228" i="65"/>
  <c r="O228" i="56"/>
  <c r="AH76" i="65"/>
  <c r="O76" i="56"/>
  <c r="AH134" i="65"/>
  <c r="O134" i="56"/>
  <c r="AH65" i="65"/>
  <c r="O65" i="56"/>
  <c r="AH118" i="65"/>
  <c r="O118" i="56"/>
  <c r="AH36" i="65"/>
  <c r="O36" i="56"/>
  <c r="O11" i="54"/>
  <c r="AH13" i="54"/>
  <c r="AH292" i="65"/>
  <c r="O292" i="56"/>
  <c r="AH99" i="65"/>
  <c r="O99" i="56"/>
  <c r="AH277" i="65"/>
  <c r="O277" i="56"/>
  <c r="BD66" i="66"/>
  <c r="K73" i="66"/>
  <c r="AH66" i="66"/>
  <c r="BB66" i="66"/>
  <c r="V66" i="66"/>
  <c r="AR66" i="66" s="1"/>
  <c r="AH33" i="65"/>
  <c r="O33" i="56"/>
  <c r="P276" i="53"/>
  <c r="AH276" i="42"/>
  <c r="P57" i="53"/>
  <c r="AH57" i="42"/>
  <c r="P38" i="53"/>
  <c r="AH38" i="42"/>
  <c r="P44" i="53"/>
  <c r="AH44" i="42"/>
  <c r="P295" i="53"/>
  <c r="AH295" i="42"/>
  <c r="P114" i="53"/>
  <c r="AH114" i="42"/>
  <c r="P174" i="53"/>
  <c r="AH174" i="42"/>
  <c r="P145" i="53"/>
  <c r="AH145" i="42"/>
  <c r="P280" i="53"/>
  <c r="AH280" i="42"/>
  <c r="P130" i="53"/>
  <c r="AH130" i="42"/>
  <c r="P231" i="53"/>
  <c r="AH231" i="42"/>
  <c r="P291" i="53"/>
  <c r="AH291" i="42"/>
  <c r="P31" i="53"/>
  <c r="AH31" i="42"/>
  <c r="P66" i="53"/>
  <c r="AH66" i="42"/>
  <c r="P136" i="53"/>
  <c r="AH136" i="42"/>
  <c r="P252" i="53"/>
  <c r="AH252" i="42"/>
  <c r="P200" i="53"/>
  <c r="AH200" i="42"/>
  <c r="P304" i="53"/>
  <c r="AH304" i="42"/>
  <c r="P28" i="53"/>
  <c r="AH28" i="42"/>
  <c r="P165" i="53"/>
  <c r="AH165" i="42"/>
  <c r="P124" i="53"/>
  <c r="AH124" i="42"/>
  <c r="P172" i="53"/>
  <c r="AH172" i="42"/>
  <c r="P69" i="53"/>
  <c r="AH69" i="42"/>
  <c r="P275" i="53"/>
  <c r="AH275" i="42"/>
  <c r="P198" i="53"/>
  <c r="AH198" i="42"/>
  <c r="P64" i="53"/>
  <c r="AH64" i="42"/>
  <c r="P240" i="53"/>
  <c r="AH240" i="42"/>
  <c r="P62" i="53"/>
  <c r="AH62" i="42"/>
  <c r="P110" i="53"/>
  <c r="AH110" i="42"/>
  <c r="P127" i="53"/>
  <c r="AH127" i="42"/>
  <c r="P125" i="53"/>
  <c r="AH125" i="42"/>
  <c r="P272" i="53"/>
  <c r="AH272" i="42"/>
  <c r="P117" i="53"/>
  <c r="AH117" i="42"/>
  <c r="P293" i="53"/>
  <c r="AH293" i="42"/>
  <c r="P234" i="53"/>
  <c r="AH234" i="42"/>
  <c r="P146" i="53"/>
  <c r="AH146" i="42"/>
  <c r="AH256" i="65"/>
  <c r="O256" i="56"/>
  <c r="AH153" i="65"/>
  <c r="O153" i="56"/>
  <c r="AH301" i="65"/>
  <c r="O301" i="56"/>
  <c r="AH41" i="65"/>
  <c r="O41" i="56"/>
  <c r="AH23" i="65"/>
  <c r="O23" i="56"/>
  <c r="AH190" i="65"/>
  <c r="O190" i="56"/>
  <c r="AH61" i="65"/>
  <c r="O61" i="56"/>
  <c r="AH60" i="65"/>
  <c r="O60" i="56"/>
  <c r="AH31" i="65"/>
  <c r="O31" i="56"/>
  <c r="AH307" i="65"/>
  <c r="O307" i="56"/>
  <c r="AH38" i="65"/>
  <c r="O38" i="56"/>
  <c r="AH271" i="65"/>
  <c r="O271" i="56"/>
  <c r="AH82" i="65"/>
  <c r="O82" i="56"/>
  <c r="S21" i="15"/>
  <c r="T14" i="15"/>
  <c r="AH19" i="65"/>
  <c r="O19" i="56"/>
  <c r="AH85" i="65"/>
  <c r="O85" i="56"/>
  <c r="AH237" i="65"/>
  <c r="O237" i="56"/>
  <c r="AH142" i="65"/>
  <c r="O142" i="56"/>
  <c r="AH179" i="65"/>
  <c r="O179" i="56"/>
  <c r="P265" i="53"/>
  <c r="AH265" i="42"/>
  <c r="P186" i="53"/>
  <c r="AH186" i="42"/>
  <c r="P228" i="53"/>
  <c r="AH228" i="42"/>
  <c r="P161" i="53"/>
  <c r="AH161" i="42"/>
  <c r="P164" i="53"/>
  <c r="AH164" i="42"/>
  <c r="P233" i="53"/>
  <c r="AH233" i="42"/>
  <c r="AH116" i="65"/>
  <c r="O116" i="56"/>
  <c r="AH303" i="65"/>
  <c r="O303" i="56"/>
  <c r="AH260" i="65"/>
  <c r="O260" i="56"/>
  <c r="AH133" i="65"/>
  <c r="O133" i="56"/>
  <c r="AH103" i="65"/>
  <c r="O103" i="56"/>
  <c r="AH267" i="65"/>
  <c r="O267" i="56"/>
  <c r="AH51" i="65"/>
  <c r="O51" i="56"/>
  <c r="AH111" i="65"/>
  <c r="O111" i="56"/>
  <c r="AH265" i="65"/>
  <c r="O265" i="56"/>
  <c r="AH234" i="65"/>
  <c r="O234" i="56"/>
  <c r="AH129" i="65"/>
  <c r="O129" i="56"/>
  <c r="AH249" i="65"/>
  <c r="O249" i="56"/>
  <c r="K144" i="66"/>
  <c r="V144" i="66" s="1"/>
  <c r="AH21" i="65"/>
  <c r="O21" i="56"/>
  <c r="BB7" i="54"/>
  <c r="BB6" i="54" s="1"/>
  <c r="AH56" i="65"/>
  <c r="O56" i="56"/>
  <c r="AH52" i="65"/>
  <c r="O52" i="56"/>
  <c r="AH264" i="65"/>
  <c r="O264" i="56"/>
  <c r="AH161" i="65"/>
  <c r="O161" i="56"/>
  <c r="AH42" i="65"/>
  <c r="O42" i="56"/>
  <c r="AH288" i="65"/>
  <c r="O288" i="56"/>
  <c r="AH136" i="65"/>
  <c r="O136" i="56"/>
  <c r="AH24" i="65"/>
  <c r="K17" i="66"/>
  <c r="O24" i="56"/>
  <c r="AH151" i="65"/>
  <c r="O151" i="56"/>
  <c r="AH28" i="65"/>
  <c r="O28" i="56"/>
  <c r="AH225" i="65"/>
  <c r="O225" i="56"/>
  <c r="P36" i="53"/>
  <c r="AH36" i="42"/>
  <c r="P211" i="53"/>
  <c r="AH211" i="42"/>
  <c r="P116" i="53"/>
  <c r="AH116" i="42"/>
  <c r="P167" i="53"/>
  <c r="AH167" i="42"/>
  <c r="P199" i="53"/>
  <c r="AH199" i="42"/>
  <c r="P224" i="53"/>
  <c r="AH224" i="42"/>
  <c r="P245" i="53"/>
  <c r="AH245" i="42"/>
  <c r="P18" i="53"/>
  <c r="AH18" i="42"/>
  <c r="P268" i="53"/>
  <c r="AH268" i="42"/>
  <c r="P300" i="53"/>
  <c r="AH300" i="42"/>
  <c r="P97" i="53"/>
  <c r="AH97" i="42"/>
  <c r="P75" i="53"/>
  <c r="AH75" i="42"/>
  <c r="P135" i="53"/>
  <c r="AH135" i="42"/>
  <c r="P106" i="53"/>
  <c r="AH106" i="42"/>
  <c r="P138" i="53"/>
  <c r="AH138" i="42"/>
  <c r="P91" i="53"/>
  <c r="AH91" i="42"/>
  <c r="P209" i="53"/>
  <c r="AH209" i="42"/>
  <c r="P216" i="53"/>
  <c r="AH216" i="42"/>
  <c r="P132" i="53"/>
  <c r="AH132" i="42"/>
  <c r="P183" i="53"/>
  <c r="AH183" i="42"/>
  <c r="L33" i="66"/>
  <c r="P17" i="53"/>
  <c r="AH17" i="42"/>
  <c r="P279" i="53"/>
  <c r="AH279" i="42"/>
  <c r="P32" i="53"/>
  <c r="AH32" i="42"/>
  <c r="P40" i="53"/>
  <c r="AH40" i="42"/>
  <c r="P55" i="53"/>
  <c r="AH55" i="42"/>
  <c r="P239" i="53"/>
  <c r="AH239" i="42"/>
  <c r="P203" i="53"/>
  <c r="AH203" i="42"/>
  <c r="P68" i="53"/>
  <c r="AH68" i="42"/>
  <c r="P42" i="53"/>
  <c r="AH42" i="42"/>
  <c r="P249" i="53"/>
  <c r="AH249" i="42"/>
  <c r="P257" i="53"/>
  <c r="AH257" i="42"/>
  <c r="P202" i="53"/>
  <c r="AH202" i="42"/>
  <c r="P197" i="53"/>
  <c r="AH197" i="42"/>
  <c r="P133" i="53"/>
  <c r="AH133" i="42"/>
  <c r="P86" i="53"/>
  <c r="AH86" i="42"/>
  <c r="P78" i="53"/>
  <c r="AH78" i="42"/>
  <c r="P213" i="53"/>
  <c r="AH213" i="42"/>
  <c r="AH29" i="65"/>
  <c r="O29" i="56"/>
  <c r="AH98" i="65"/>
  <c r="O98" i="56"/>
  <c r="AH200" i="65"/>
  <c r="O200" i="56"/>
  <c r="AH279" i="65"/>
  <c r="O279" i="56"/>
  <c r="AH122" i="65"/>
  <c r="O122" i="56"/>
  <c r="AH53" i="65"/>
  <c r="O53" i="56"/>
  <c r="AH125" i="65"/>
  <c r="O125" i="56"/>
  <c r="AH248" i="65"/>
  <c r="O248" i="56"/>
  <c r="AH218" i="65"/>
  <c r="O218" i="56"/>
  <c r="AH119" i="65"/>
  <c r="O119" i="56"/>
  <c r="AH138" i="65"/>
  <c r="O138" i="56"/>
  <c r="AH289" i="65"/>
  <c r="O289" i="56"/>
  <c r="W22" i="60"/>
  <c r="W18" i="60"/>
  <c r="K18" i="60" s="1"/>
  <c r="K15" i="60"/>
  <c r="AH174" i="65"/>
  <c r="O174" i="56"/>
  <c r="AH156" i="65"/>
  <c r="O156" i="56"/>
  <c r="AH87" i="65"/>
  <c r="O87" i="56"/>
  <c r="AH112" i="65"/>
  <c r="O112" i="56"/>
  <c r="AH219" i="65"/>
  <c r="O219" i="56"/>
  <c r="AH130" i="65"/>
  <c r="O130" i="56"/>
  <c r="AH25" i="65"/>
  <c r="O25" i="56"/>
  <c r="BD69" i="66"/>
  <c r="V69" i="66"/>
  <c r="AR69" i="66" s="1"/>
  <c r="BB69" i="66"/>
  <c r="AH69" i="66"/>
  <c r="AH171" i="65"/>
  <c r="O171" i="56"/>
  <c r="AH184" i="65"/>
  <c r="O184" i="56"/>
  <c r="AH247" i="65"/>
  <c r="O247" i="56"/>
  <c r="AH285" i="65"/>
  <c r="O285" i="56"/>
  <c r="AH88" i="65"/>
  <c r="O88" i="56"/>
  <c r="AH193" i="65"/>
  <c r="O193" i="56"/>
  <c r="AH280" i="65"/>
  <c r="O280" i="56"/>
  <c r="AH64" i="65"/>
  <c r="O64" i="56"/>
  <c r="AH18" i="65"/>
  <c r="O18" i="56"/>
  <c r="AH84" i="65"/>
  <c r="O84" i="56"/>
  <c r="AH282" i="65"/>
  <c r="O282" i="56"/>
  <c r="AH113" i="65"/>
  <c r="O113" i="56"/>
  <c r="P190" i="53"/>
  <c r="AH190" i="42"/>
  <c r="P74" i="53"/>
  <c r="AH74" i="42"/>
  <c r="P250" i="53"/>
  <c r="AH250" i="42"/>
  <c r="P82" i="53"/>
  <c r="AH82" i="42"/>
  <c r="P93" i="53"/>
  <c r="AH93" i="42"/>
  <c r="P298" i="53"/>
  <c r="AH298" i="42"/>
  <c r="AH81" i="65"/>
  <c r="O81" i="56"/>
  <c r="AH137" i="65"/>
  <c r="O137" i="56"/>
  <c r="AH168" i="65"/>
  <c r="O168" i="56"/>
  <c r="AH44" i="65"/>
  <c r="K19" i="66"/>
  <c r="O44" i="56"/>
  <c r="AH175" i="65"/>
  <c r="O175" i="56"/>
  <c r="AH244" i="65"/>
  <c r="O244" i="56"/>
  <c r="AH296" i="65"/>
  <c r="O296" i="56"/>
  <c r="AH188" i="65"/>
  <c r="O188" i="56"/>
  <c r="AH241" i="65"/>
  <c r="O241" i="56"/>
  <c r="AH217" i="65"/>
  <c r="O217" i="56"/>
  <c r="AH49" i="65"/>
  <c r="O49" i="56"/>
  <c r="AH258" i="65"/>
  <c r="O258" i="56"/>
  <c r="AH73" i="65"/>
  <c r="O73" i="56"/>
  <c r="AH291" i="65"/>
  <c r="O291" i="56"/>
  <c r="AH294" i="65"/>
  <c r="O294" i="56"/>
  <c r="AH221" i="65"/>
  <c r="O221" i="56"/>
  <c r="AH240" i="65"/>
  <c r="O240" i="56"/>
  <c r="AH15" i="65"/>
  <c r="O13" i="65"/>
  <c r="AH13" i="65" s="1"/>
  <c r="K21" i="66"/>
  <c r="O7" i="65"/>
  <c r="O15" i="56"/>
  <c r="AH299" i="65"/>
  <c r="O299" i="56"/>
  <c r="K138" i="66"/>
  <c r="AH140" i="65"/>
  <c r="O140" i="56"/>
  <c r="BD68" i="66"/>
  <c r="V68" i="66"/>
  <c r="AR68" i="66" s="1"/>
  <c r="AH68" i="66"/>
  <c r="BB68" i="66"/>
  <c r="AH266" i="65"/>
  <c r="O266" i="56"/>
  <c r="AH123" i="65"/>
  <c r="O123" i="56"/>
  <c r="AH205" i="65"/>
  <c r="O205" i="56"/>
  <c r="AH74" i="65"/>
  <c r="O74" i="56"/>
  <c r="L30" i="66"/>
  <c r="P24" i="53"/>
  <c r="AH24" i="42"/>
  <c r="P286" i="53"/>
  <c r="AH286" i="42"/>
  <c r="P207" i="53"/>
  <c r="AH207" i="42"/>
  <c r="P306" i="53"/>
  <c r="AH306" i="42"/>
  <c r="P43" i="53"/>
  <c r="AH43" i="42"/>
  <c r="P292" i="53"/>
  <c r="AH292" i="42"/>
  <c r="P92" i="53"/>
  <c r="AH92" i="42"/>
  <c r="P85" i="53"/>
  <c r="AH85" i="42"/>
  <c r="P128" i="53"/>
  <c r="AH128" i="42"/>
  <c r="P160" i="53"/>
  <c r="AH160" i="42"/>
  <c r="P176" i="53"/>
  <c r="AH176" i="42"/>
  <c r="P289" i="53"/>
  <c r="AH289" i="42"/>
  <c r="P274" i="53"/>
  <c r="AH274" i="42"/>
  <c r="P237" i="53"/>
  <c r="AH237" i="42"/>
  <c r="P269" i="53"/>
  <c r="AH269" i="42"/>
  <c r="P296" i="53"/>
  <c r="AH296" i="42"/>
  <c r="P45" i="53"/>
  <c r="AH45" i="42"/>
  <c r="P236" i="53"/>
  <c r="AH236" i="42"/>
  <c r="P287" i="53"/>
  <c r="AH287" i="42"/>
  <c r="P27" i="53"/>
  <c r="AH27" i="42"/>
  <c r="P208" i="53"/>
  <c r="AH208" i="42"/>
  <c r="P259" i="53"/>
  <c r="AH259" i="42"/>
  <c r="P171" i="53"/>
  <c r="AH171" i="42"/>
  <c r="P179" i="53"/>
  <c r="AH179" i="42"/>
  <c r="P88" i="53"/>
  <c r="AH88" i="42"/>
  <c r="P194" i="53"/>
  <c r="AH194" i="42"/>
  <c r="P122" i="53"/>
  <c r="AH122" i="42"/>
  <c r="P223" i="53"/>
  <c r="AH223" i="42"/>
  <c r="P173" i="53"/>
  <c r="AH173" i="42"/>
  <c r="P21" i="53"/>
  <c r="AH21" i="42"/>
  <c r="P29" i="53"/>
  <c r="AH29" i="42"/>
  <c r="P46" i="53"/>
  <c r="AH46" i="42"/>
  <c r="P104" i="53"/>
  <c r="AH104" i="42"/>
  <c r="P119" i="53"/>
  <c r="AH119" i="42"/>
  <c r="P80" i="53"/>
  <c r="AH80" i="42"/>
  <c r="P217" i="53"/>
  <c r="AH217" i="42"/>
  <c r="P98" i="53"/>
  <c r="AH98" i="42"/>
  <c r="AH251" i="65"/>
  <c r="O251" i="56"/>
  <c r="AH287" i="65"/>
  <c r="O287" i="56"/>
  <c r="AH83" i="65"/>
  <c r="O83" i="56"/>
  <c r="AH169" i="65"/>
  <c r="O169" i="56"/>
  <c r="AH226" i="65"/>
  <c r="O226" i="56"/>
  <c r="AH210" i="65"/>
  <c r="O210" i="56"/>
  <c r="AH215" i="65"/>
  <c r="O215" i="56"/>
  <c r="AH78" i="65"/>
  <c r="O78" i="56"/>
  <c r="AH263" i="65"/>
  <c r="O263" i="56"/>
  <c r="AH80" i="65"/>
  <c r="O80" i="56"/>
  <c r="AH214" i="65"/>
  <c r="O214" i="56"/>
  <c r="AH306" i="65"/>
  <c r="O306" i="56"/>
  <c r="AH273" i="65"/>
  <c r="O273" i="56"/>
  <c r="AH276" i="65"/>
  <c r="O276" i="56"/>
  <c r="AH94" i="65"/>
  <c r="O94" i="56"/>
  <c r="AH223" i="65"/>
  <c r="O223" i="56"/>
  <c r="AH66" i="65"/>
  <c r="O66" i="56"/>
  <c r="BD71" i="66"/>
  <c r="V71" i="66"/>
  <c r="AR71" i="66" s="1"/>
  <c r="AH71" i="66"/>
  <c r="BB71" i="66"/>
  <c r="AH172" i="65"/>
  <c r="O172" i="56"/>
  <c r="AH297" i="65"/>
  <c r="O297" i="56"/>
  <c r="K141" i="66"/>
  <c r="V141" i="66" s="1"/>
  <c r="AH259" i="65"/>
  <c r="O259" i="56"/>
  <c r="AH58" i="65"/>
  <c r="O58" i="56"/>
  <c r="P134" i="53"/>
  <c r="AH134" i="42"/>
  <c r="P251" i="53"/>
  <c r="AH251" i="42"/>
  <c r="P73" i="53"/>
  <c r="AH73" i="42"/>
  <c r="P50" i="53"/>
  <c r="AH50" i="42"/>
  <c r="P107" i="53"/>
  <c r="AH107" i="42"/>
  <c r="P83" i="53"/>
  <c r="AH83" i="42"/>
  <c r="P184" i="53"/>
  <c r="AH184" i="42"/>
  <c r="P94" i="53"/>
  <c r="AH94" i="42"/>
  <c r="AH86" i="65"/>
  <c r="O86" i="56"/>
  <c r="AH39" i="65"/>
  <c r="O39" i="56"/>
  <c r="AH101" i="65"/>
  <c r="O101" i="56"/>
  <c r="AH286" i="65"/>
  <c r="O286" i="56"/>
  <c r="AH20" i="65"/>
  <c r="O20" i="56"/>
  <c r="AH148" i="65"/>
  <c r="O148" i="56"/>
  <c r="AH191" i="65"/>
  <c r="O191" i="56"/>
  <c r="AH109" i="65"/>
  <c r="O109" i="56"/>
  <c r="BM7" i="54"/>
  <c r="K142" i="66"/>
  <c r="V142" i="66" s="1"/>
  <c r="AH204" i="65"/>
  <c r="O204" i="56"/>
  <c r="AH195" i="65"/>
  <c r="O195" i="56"/>
  <c r="AH222" i="65"/>
  <c r="O222" i="56"/>
  <c r="AH281" i="65"/>
  <c r="O281" i="56"/>
  <c r="AH26" i="65"/>
  <c r="O26" i="56"/>
  <c r="AH246" i="65"/>
  <c r="O246" i="56"/>
  <c r="AH55" i="65"/>
  <c r="O55" i="56"/>
  <c r="K18" i="66"/>
  <c r="AH48" i="65"/>
  <c r="O48" i="56"/>
  <c r="K140" i="66"/>
  <c r="V140" i="66" s="1"/>
  <c r="AH196" i="65"/>
  <c r="O196" i="56"/>
  <c r="AH206" i="65"/>
  <c r="O206" i="56"/>
  <c r="AH75" i="65"/>
  <c r="O75" i="56"/>
  <c r="P154" i="53"/>
  <c r="AH154" i="42"/>
  <c r="P140" i="53"/>
  <c r="AH140" i="42"/>
  <c r="P51" i="53"/>
  <c r="AH51" i="42"/>
  <c r="P150" i="53"/>
  <c r="AH150" i="42"/>
  <c r="P118" i="53"/>
  <c r="AH118" i="42"/>
  <c r="P271" i="53"/>
  <c r="AH271" i="42"/>
  <c r="P247" i="53"/>
  <c r="AH247" i="42"/>
  <c r="P168" i="53"/>
  <c r="AH168" i="42"/>
  <c r="P267" i="53"/>
  <c r="AH267" i="42"/>
  <c r="P299" i="53"/>
  <c r="AH299" i="42"/>
  <c r="P102" i="53"/>
  <c r="AH102" i="42"/>
  <c r="P61" i="53"/>
  <c r="AH61" i="42"/>
  <c r="P54" i="53"/>
  <c r="AH54" i="42"/>
  <c r="P89" i="53"/>
  <c r="AH89" i="42"/>
  <c r="P121" i="53"/>
  <c r="AH121" i="42"/>
  <c r="L35" i="66"/>
  <c r="P16" i="53"/>
  <c r="AH16" i="42"/>
  <c r="P192" i="53"/>
  <c r="AH192" i="42"/>
  <c r="P96" i="53"/>
  <c r="AH96" i="42"/>
  <c r="P67" i="53"/>
  <c r="AH67" i="42"/>
  <c r="P99" i="53"/>
  <c r="AH99" i="42"/>
  <c r="P215" i="53"/>
  <c r="AH215" i="42"/>
  <c r="P103" i="53"/>
  <c r="AH103" i="42"/>
  <c r="P246" i="53"/>
  <c r="AH246" i="42"/>
  <c r="P254" i="53"/>
  <c r="AH254" i="42"/>
  <c r="P108" i="53"/>
  <c r="AH108" i="42"/>
  <c r="P191" i="53"/>
  <c r="AH191" i="42"/>
  <c r="P189" i="53"/>
  <c r="AH189" i="42"/>
  <c r="P303" i="53"/>
  <c r="AH303" i="42"/>
  <c r="P25" i="53"/>
  <c r="AH25" i="42"/>
  <c r="P201" i="53"/>
  <c r="AH201" i="42"/>
  <c r="P273" i="53"/>
  <c r="AH273" i="42"/>
  <c r="P185" i="53"/>
  <c r="AH185" i="42"/>
  <c r="P243" i="53"/>
  <c r="AH243" i="42"/>
  <c r="P227" i="53"/>
  <c r="AH227" i="42"/>
  <c r="P219" i="53"/>
  <c r="AH219" i="42"/>
  <c r="P53" i="53"/>
  <c r="AH53" i="42"/>
  <c r="P229" i="53"/>
  <c r="AH229" i="42"/>
  <c r="AH57" i="65"/>
  <c r="O57" i="56"/>
  <c r="AH37" i="65"/>
  <c r="O37" i="56"/>
  <c r="AH252" i="65"/>
  <c r="O252" i="56"/>
  <c r="AH91" i="65"/>
  <c r="O91" i="56"/>
  <c r="AH104" i="65"/>
  <c r="O104" i="56"/>
  <c r="AH207" i="65"/>
  <c r="O207" i="56"/>
  <c r="AH163" i="65"/>
  <c r="O163" i="56"/>
  <c r="AH72" i="65"/>
  <c r="O72" i="56"/>
  <c r="AH283" i="65"/>
  <c r="O283" i="56"/>
  <c r="AH295" i="65"/>
  <c r="O295" i="56"/>
  <c r="AH157" i="65"/>
  <c r="O157" i="56"/>
  <c r="AH202" i="65"/>
  <c r="O202" i="56"/>
  <c r="AH154" i="65"/>
  <c r="O154" i="56"/>
  <c r="K22" i="66"/>
  <c r="AH16" i="65"/>
  <c r="O16" i="56"/>
  <c r="K20" i="66"/>
  <c r="AH17" i="65"/>
  <c r="O17" i="56"/>
  <c r="AH173" i="65"/>
  <c r="O173" i="56"/>
  <c r="AH224" i="65"/>
  <c r="O224" i="56"/>
  <c r="AH253" i="65"/>
  <c r="O253" i="56"/>
  <c r="AH127" i="65"/>
  <c r="O127" i="56"/>
  <c r="P284" i="53"/>
  <c r="AH284" i="42"/>
  <c r="P79" i="53"/>
  <c r="AH79" i="42"/>
  <c r="AH213" i="65"/>
  <c r="O213" i="56"/>
  <c r="AH269" i="65"/>
  <c r="O269" i="56"/>
  <c r="AH69" i="65"/>
  <c r="O69" i="56"/>
  <c r="AH166" i="65"/>
  <c r="O166" i="56"/>
  <c r="AH71" i="65"/>
  <c r="O71" i="56"/>
  <c r="AH192" i="65"/>
  <c r="O192" i="56"/>
  <c r="AH236" i="65"/>
  <c r="O236" i="56"/>
  <c r="AH27" i="65"/>
  <c r="O27" i="56"/>
  <c r="AH115" i="65"/>
  <c r="O115" i="56"/>
  <c r="AH170" i="65"/>
  <c r="O170" i="56"/>
  <c r="AH97" i="65"/>
  <c r="O97" i="56"/>
  <c r="AH128" i="65"/>
  <c r="O128" i="56"/>
  <c r="BD67" i="66"/>
  <c r="V67" i="66"/>
  <c r="AR67" i="66" s="1"/>
  <c r="BB67" i="66"/>
  <c r="AH67" i="66"/>
  <c r="AH89" i="65"/>
  <c r="O89" i="56"/>
  <c r="AH40" i="65"/>
  <c r="O40" i="56"/>
  <c r="AH106" i="65"/>
  <c r="O106" i="56"/>
  <c r="AH278" i="65"/>
  <c r="O278" i="56"/>
  <c r="AH105" i="65"/>
  <c r="O105" i="56"/>
  <c r="AH238" i="65"/>
  <c r="O238" i="56"/>
  <c r="P221" i="53"/>
  <c r="AH221" i="42"/>
  <c r="P77" i="53"/>
  <c r="AH77" i="42"/>
  <c r="P126" i="53"/>
  <c r="AH126" i="42"/>
  <c r="P225" i="53"/>
  <c r="AH225" i="42"/>
  <c r="P290" i="53"/>
  <c r="AH290" i="42"/>
  <c r="P115" i="53"/>
  <c r="AH115" i="42"/>
  <c r="P139" i="53"/>
  <c r="AH139" i="42"/>
  <c r="P307" i="53"/>
  <c r="AH307" i="42"/>
  <c r="P111" i="53"/>
  <c r="AH111" i="42"/>
  <c r="P112" i="53"/>
  <c r="AH112" i="42"/>
  <c r="P232" i="53"/>
  <c r="AH232" i="42"/>
  <c r="P166" i="53"/>
  <c r="AH166" i="42"/>
  <c r="P129" i="53"/>
  <c r="AH129" i="42"/>
  <c r="P212" i="53"/>
  <c r="AH212" i="42"/>
  <c r="P180" i="53"/>
  <c r="AH180" i="42"/>
  <c r="P159" i="53"/>
  <c r="AH159" i="42"/>
  <c r="P20" i="53"/>
  <c r="AH20" i="42"/>
  <c r="P235" i="53"/>
  <c r="AH235" i="42"/>
  <c r="P206" i="53"/>
  <c r="AH206" i="42"/>
  <c r="P238" i="53"/>
  <c r="AH238" i="42"/>
  <c r="P49" i="53"/>
  <c r="AH49" i="42"/>
  <c r="P242" i="53"/>
  <c r="AH242" i="42"/>
  <c r="P123" i="53"/>
  <c r="AH123" i="42"/>
  <c r="P195" i="53"/>
  <c r="AH195" i="42"/>
  <c r="P263" i="53"/>
  <c r="AH263" i="42"/>
  <c r="P26" i="53"/>
  <c r="AH26" i="42"/>
  <c r="P113" i="53"/>
  <c r="AH113" i="42"/>
  <c r="P297" i="53"/>
  <c r="AH297" i="42"/>
  <c r="P148" i="53"/>
  <c r="AH148" i="42"/>
  <c r="P37" i="53"/>
  <c r="AH37" i="42"/>
  <c r="P109" i="53"/>
  <c r="AH109" i="42"/>
  <c r="P244" i="53"/>
  <c r="AH244" i="42"/>
  <c r="P23" i="53"/>
  <c r="AH23" i="42"/>
  <c r="P71" i="53"/>
  <c r="AH71" i="42"/>
  <c r="P100" i="53"/>
  <c r="AH100" i="42"/>
  <c r="P19" i="53"/>
  <c r="AH19" i="42"/>
  <c r="P278" i="53"/>
  <c r="AH278" i="42"/>
  <c r="AH158" i="65"/>
  <c r="O158" i="56"/>
  <c r="AH150" i="65"/>
  <c r="O150" i="56"/>
  <c r="AH197" i="65"/>
  <c r="O197" i="56"/>
  <c r="AH180" i="65"/>
  <c r="O180" i="56"/>
  <c r="AH79" i="65"/>
  <c r="O79" i="56"/>
  <c r="AH194" i="65"/>
  <c r="O194" i="56"/>
  <c r="AH186" i="65"/>
  <c r="O186" i="56"/>
  <c r="AH293" i="65"/>
  <c r="O293" i="56"/>
  <c r="AH239" i="65"/>
  <c r="O239" i="56"/>
  <c r="AH95" i="65"/>
  <c r="O95" i="56"/>
  <c r="AH108" i="65"/>
  <c r="O108" i="56"/>
  <c r="AH232" i="65"/>
  <c r="O232" i="56"/>
  <c r="AH275" i="65"/>
  <c r="O275" i="56"/>
  <c r="AH159" i="65"/>
  <c r="O159" i="56"/>
  <c r="AH181" i="65"/>
  <c r="O181" i="56"/>
  <c r="AH70" i="65"/>
  <c r="O70" i="56"/>
  <c r="AH120" i="65"/>
  <c r="O120" i="56"/>
  <c r="AH59" i="65"/>
  <c r="O59" i="56"/>
  <c r="AH235" i="65"/>
  <c r="O235" i="56"/>
  <c r="K143" i="66"/>
  <c r="V143" i="66" s="1"/>
  <c r="AH208" i="65"/>
  <c r="O208" i="56"/>
  <c r="AH298" i="65"/>
  <c r="O298" i="56"/>
  <c r="P297" i="54" l="1"/>
  <c r="AI297" i="53"/>
  <c r="P166" i="54"/>
  <c r="AI166" i="53"/>
  <c r="P215" i="54"/>
  <c r="AI215" i="53"/>
  <c r="AW120" i="56"/>
  <c r="AH120" i="56"/>
  <c r="AH181" i="56"/>
  <c r="AW181" i="56"/>
  <c r="AH108" i="56"/>
  <c r="AW108" i="56"/>
  <c r="AH186" i="56"/>
  <c r="AW186" i="56"/>
  <c r="AW197" i="56"/>
  <c r="AH197" i="56"/>
  <c r="AH105" i="56"/>
  <c r="AW105" i="56"/>
  <c r="AW89" i="56"/>
  <c r="AH89" i="56"/>
  <c r="AW97" i="56"/>
  <c r="AH97" i="56"/>
  <c r="AH115" i="56"/>
  <c r="AW115" i="56"/>
  <c r="AH71" i="56"/>
  <c r="AW71" i="56"/>
  <c r="AW224" i="56"/>
  <c r="AH224" i="56"/>
  <c r="AW16" i="56"/>
  <c r="AH16" i="56"/>
  <c r="AH37" i="56"/>
  <c r="AW37" i="56"/>
  <c r="P89" i="54"/>
  <c r="AI89" i="53"/>
  <c r="P299" i="54"/>
  <c r="AI299" i="53"/>
  <c r="AI271" i="53"/>
  <c r="P271" i="54"/>
  <c r="AI140" i="53"/>
  <c r="P140" i="54"/>
  <c r="AH281" i="56"/>
  <c r="AW281" i="56"/>
  <c r="P94" i="54"/>
  <c r="AI94" i="53"/>
  <c r="AI50" i="53"/>
  <c r="P50" i="54"/>
  <c r="AW297" i="56"/>
  <c r="AH297" i="56"/>
  <c r="AW66" i="56"/>
  <c r="AH66" i="56"/>
  <c r="AW273" i="56"/>
  <c r="AH273" i="56"/>
  <c r="AW263" i="56"/>
  <c r="AH263" i="56"/>
  <c r="AW226" i="56"/>
  <c r="AH226" i="56"/>
  <c r="AW251" i="56"/>
  <c r="AH251" i="56"/>
  <c r="AH291" i="56"/>
  <c r="AW291" i="56"/>
  <c r="AW217" i="56"/>
  <c r="AH217" i="56"/>
  <c r="AW188" i="56"/>
  <c r="AH188" i="56"/>
  <c r="AW44" i="56"/>
  <c r="AH44" i="56"/>
  <c r="AH137" i="56"/>
  <c r="AW137" i="56"/>
  <c r="AI93" i="53"/>
  <c r="P93" i="54"/>
  <c r="P190" i="54"/>
  <c r="AI190" i="53"/>
  <c r="AH130" i="56"/>
  <c r="AW130" i="56"/>
  <c r="P216" i="54"/>
  <c r="AI216" i="53"/>
  <c r="P106" i="54"/>
  <c r="AI106" i="53"/>
  <c r="AI300" i="53"/>
  <c r="P300" i="54"/>
  <c r="P224" i="54"/>
  <c r="AI224" i="53"/>
  <c r="AI211" i="53"/>
  <c r="P211" i="54"/>
  <c r="AW42" i="56"/>
  <c r="AH42" i="56"/>
  <c r="AW264" i="56"/>
  <c r="AH264" i="56"/>
  <c r="AH116" i="56"/>
  <c r="AW116" i="56"/>
  <c r="P146" i="54"/>
  <c r="AI146" i="53"/>
  <c r="AI272" i="53"/>
  <c r="P272" i="54"/>
  <c r="AI62" i="53"/>
  <c r="P62" i="54"/>
  <c r="P275" i="54"/>
  <c r="AI275" i="53"/>
  <c r="AI165" i="53"/>
  <c r="P165" i="54"/>
  <c r="P252" i="54"/>
  <c r="AI252" i="53"/>
  <c r="AI291" i="53"/>
  <c r="P291" i="54"/>
  <c r="P145" i="54"/>
  <c r="AI145" i="53"/>
  <c r="P44" i="54"/>
  <c r="AI44" i="53"/>
  <c r="AH292" i="56"/>
  <c r="AW292" i="56"/>
  <c r="AW134" i="56"/>
  <c r="AH134" i="56"/>
  <c r="AH274" i="56"/>
  <c r="AW274" i="56"/>
  <c r="P281" i="54"/>
  <c r="AI281" i="53"/>
  <c r="P266" i="54"/>
  <c r="AI266" i="53"/>
  <c r="P59" i="54"/>
  <c r="AI59" i="53"/>
  <c r="P157" i="54"/>
  <c r="AI157" i="53"/>
  <c r="P222" i="54"/>
  <c r="AI222" i="53"/>
  <c r="P175" i="54"/>
  <c r="AI175" i="53"/>
  <c r="AI270" i="53"/>
  <c r="P270" i="54"/>
  <c r="AI205" i="53"/>
  <c r="P205" i="54"/>
  <c r="P218" i="54"/>
  <c r="AI218" i="53"/>
  <c r="P84" i="54"/>
  <c r="AI84" i="53"/>
  <c r="P288" i="54"/>
  <c r="AI288" i="53"/>
  <c r="AI47" i="53"/>
  <c r="P47" i="54"/>
  <c r="P181" i="54"/>
  <c r="AI181" i="53"/>
  <c r="AI196" i="53"/>
  <c r="P196" i="54"/>
  <c r="AH229" i="56"/>
  <c r="AW229" i="56"/>
  <c r="AW270" i="56"/>
  <c r="AH270" i="56"/>
  <c r="AW62" i="56"/>
  <c r="AH62" i="56"/>
  <c r="AW131" i="56"/>
  <c r="AH131" i="56"/>
  <c r="V18" i="66"/>
  <c r="AH18" i="66"/>
  <c r="AH148" i="56"/>
  <c r="AW148" i="56"/>
  <c r="AW286" i="56"/>
  <c r="AH286" i="56"/>
  <c r="P259" i="54"/>
  <c r="AI259" i="53"/>
  <c r="P286" i="54"/>
  <c r="AI286" i="53"/>
  <c r="AW119" i="56"/>
  <c r="AH119" i="56"/>
  <c r="P17" i="54"/>
  <c r="AI17" i="53"/>
  <c r="P262" i="54"/>
  <c r="AI262" i="53"/>
  <c r="AW114" i="56"/>
  <c r="AH114" i="56"/>
  <c r="AH242" i="56"/>
  <c r="AW242" i="56"/>
  <c r="AW92" i="56"/>
  <c r="AH92" i="56"/>
  <c r="P101" i="54"/>
  <c r="AI101" i="53"/>
  <c r="AW46" i="56"/>
  <c r="AH46" i="56"/>
  <c r="AH70" i="56"/>
  <c r="AW70" i="56"/>
  <c r="AW159" i="56"/>
  <c r="AH159" i="56"/>
  <c r="AH95" i="56"/>
  <c r="AW95" i="56"/>
  <c r="AH194" i="56"/>
  <c r="AW194" i="56"/>
  <c r="AW150" i="56"/>
  <c r="AH150" i="56"/>
  <c r="AW278" i="56"/>
  <c r="AH278" i="56"/>
  <c r="AH170" i="56"/>
  <c r="AW170" i="56"/>
  <c r="AW27" i="56"/>
  <c r="AH27" i="56"/>
  <c r="AH166" i="56"/>
  <c r="AW166" i="56"/>
  <c r="AH173" i="56"/>
  <c r="AW173" i="56"/>
  <c r="V22" i="66"/>
  <c r="AH22" i="66"/>
  <c r="AW57" i="56"/>
  <c r="AH57" i="56"/>
  <c r="P54" i="54"/>
  <c r="AI54" i="53"/>
  <c r="P267" i="54"/>
  <c r="AI267" i="53"/>
  <c r="P118" i="54"/>
  <c r="AI118" i="53"/>
  <c r="P154" i="54"/>
  <c r="AI154" i="53"/>
  <c r="AH55" i="56"/>
  <c r="AW55" i="56"/>
  <c r="AH222" i="56"/>
  <c r="AW222" i="56"/>
  <c r="AW109" i="56"/>
  <c r="AH109" i="56"/>
  <c r="P184" i="54"/>
  <c r="AI184" i="53"/>
  <c r="P73" i="54"/>
  <c r="AI73" i="53"/>
  <c r="AW172" i="56"/>
  <c r="AH172" i="56"/>
  <c r="AH223" i="56"/>
  <c r="AW223" i="56"/>
  <c r="AW306" i="56"/>
  <c r="AH306" i="56"/>
  <c r="AH169" i="56"/>
  <c r="AW169" i="56"/>
  <c r="AW240" i="56"/>
  <c r="AH240" i="56"/>
  <c r="AW73" i="56"/>
  <c r="AH73" i="56"/>
  <c r="AH296" i="56"/>
  <c r="AW296" i="56"/>
  <c r="P82" i="54"/>
  <c r="AI82" i="53"/>
  <c r="W33" i="66"/>
  <c r="AS33" i="66" s="1"/>
  <c r="BC33" i="66"/>
  <c r="AI33" i="66"/>
  <c r="P209" i="54"/>
  <c r="AI209" i="53"/>
  <c r="P135" i="54"/>
  <c r="AI135" i="53"/>
  <c r="P268" i="54"/>
  <c r="AI268" i="53"/>
  <c r="AI199" i="53"/>
  <c r="P199" i="54"/>
  <c r="P36" i="54"/>
  <c r="AI36" i="53"/>
  <c r="V17" i="66"/>
  <c r="K24" i="66"/>
  <c r="AH17" i="66"/>
  <c r="AH52" i="56"/>
  <c r="AW52" i="56"/>
  <c r="AW21" i="56"/>
  <c r="AH21" i="56"/>
  <c r="AW103" i="56"/>
  <c r="AH103" i="56"/>
  <c r="AH133" i="56"/>
  <c r="AW133" i="56"/>
  <c r="AI234" i="53"/>
  <c r="P234" i="54"/>
  <c r="P125" i="54"/>
  <c r="AI125" i="53"/>
  <c r="P240" i="54"/>
  <c r="AI240" i="53"/>
  <c r="P69" i="54"/>
  <c r="AI69" i="53"/>
  <c r="P28" i="54"/>
  <c r="AI28" i="53"/>
  <c r="P136" i="54"/>
  <c r="AI136" i="53"/>
  <c r="AI231" i="53"/>
  <c r="P231" i="54"/>
  <c r="P174" i="54"/>
  <c r="AI174" i="53"/>
  <c r="P38" i="54"/>
  <c r="AI38" i="53"/>
  <c r="BD73" i="66"/>
  <c r="AH73" i="66"/>
  <c r="V73" i="66"/>
  <c r="AR73" i="66" s="1"/>
  <c r="BB73" i="66"/>
  <c r="AW36" i="56"/>
  <c r="AH36" i="56"/>
  <c r="AH76" i="56"/>
  <c r="AW76" i="56"/>
  <c r="AW22" i="56"/>
  <c r="AH22" i="56"/>
  <c r="AH63" i="56"/>
  <c r="AW63" i="56"/>
  <c r="AI302" i="53"/>
  <c r="P302" i="54"/>
  <c r="P120" i="54"/>
  <c r="AI120" i="53"/>
  <c r="P282" i="54"/>
  <c r="AI282" i="53"/>
  <c r="BC36" i="66"/>
  <c r="W36" i="66"/>
  <c r="AS36" i="66" s="1"/>
  <c r="AI36" i="66"/>
  <c r="P60" i="54"/>
  <c r="AI60" i="53"/>
  <c r="P187" i="54"/>
  <c r="AI187" i="53"/>
  <c r="P105" i="54"/>
  <c r="AI105" i="53"/>
  <c r="P169" i="54"/>
  <c r="AI169" i="53"/>
  <c r="P153" i="54"/>
  <c r="AI153" i="53"/>
  <c r="AH302" i="56"/>
  <c r="AW302" i="56"/>
  <c r="P277" i="54"/>
  <c r="AI277" i="53"/>
  <c r="P264" i="54"/>
  <c r="AI264" i="53"/>
  <c r="P81" i="54"/>
  <c r="AI81" i="53"/>
  <c r="P220" i="54"/>
  <c r="AI220" i="53"/>
  <c r="P90" i="54"/>
  <c r="AI90" i="53"/>
  <c r="P147" i="54"/>
  <c r="AI147" i="53"/>
  <c r="AH304" i="56"/>
  <c r="AW304" i="56"/>
  <c r="AH165" i="56"/>
  <c r="AW165" i="56"/>
  <c r="AW144" i="56"/>
  <c r="AH144" i="56"/>
  <c r="AW268" i="56"/>
  <c r="AH268" i="56"/>
  <c r="P19" i="54"/>
  <c r="AI19" i="53"/>
  <c r="AW202" i="56"/>
  <c r="AH202" i="56"/>
  <c r="P243" i="54"/>
  <c r="AI243" i="53"/>
  <c r="P21" i="54"/>
  <c r="AI21" i="53"/>
  <c r="P236" i="54"/>
  <c r="AI236" i="53"/>
  <c r="P292" i="54"/>
  <c r="AI292" i="53"/>
  <c r="AH140" i="56"/>
  <c r="AW140" i="56"/>
  <c r="AH241" i="56"/>
  <c r="AW241" i="56"/>
  <c r="AH247" i="56"/>
  <c r="AW247" i="56"/>
  <c r="AH53" i="56"/>
  <c r="AW53" i="56"/>
  <c r="P42" i="54"/>
  <c r="AI42" i="53"/>
  <c r="AW34" i="56"/>
  <c r="AH34" i="56"/>
  <c r="AW160" i="56"/>
  <c r="AH160" i="56"/>
  <c r="AI39" i="53"/>
  <c r="P39" i="54"/>
  <c r="AH139" i="56"/>
  <c r="AW139" i="56"/>
  <c r="AI72" i="53"/>
  <c r="P72" i="54"/>
  <c r="AI109" i="53"/>
  <c r="P109" i="54"/>
  <c r="P123" i="54"/>
  <c r="AI123" i="53"/>
  <c r="P232" i="54"/>
  <c r="AI232" i="53"/>
  <c r="P284" i="54"/>
  <c r="AI284" i="53"/>
  <c r="AH157" i="56"/>
  <c r="AW157" i="56"/>
  <c r="AW163" i="56"/>
  <c r="AH163" i="56"/>
  <c r="AW252" i="56"/>
  <c r="AH252" i="56"/>
  <c r="P53" i="54"/>
  <c r="AI53" i="53"/>
  <c r="P185" i="54"/>
  <c r="AI185" i="53"/>
  <c r="P303" i="54"/>
  <c r="AI303" i="53"/>
  <c r="P254" i="54"/>
  <c r="AI254" i="53"/>
  <c r="P99" i="54"/>
  <c r="AI99" i="53"/>
  <c r="AI16" i="53"/>
  <c r="P16" i="54"/>
  <c r="AW75" i="56"/>
  <c r="AH75" i="56"/>
  <c r="AW101" i="56"/>
  <c r="AH101" i="56"/>
  <c r="AW39" i="56"/>
  <c r="AH39" i="56"/>
  <c r="AW78" i="56"/>
  <c r="AH78" i="56"/>
  <c r="P98" i="54"/>
  <c r="AI98" i="53"/>
  <c r="P104" i="54"/>
  <c r="AI104" i="53"/>
  <c r="P173" i="54"/>
  <c r="AI173" i="53"/>
  <c r="AI88" i="53"/>
  <c r="P88" i="54"/>
  <c r="P208" i="54"/>
  <c r="AI208" i="53"/>
  <c r="P45" i="54"/>
  <c r="AI45" i="53"/>
  <c r="P274" i="54"/>
  <c r="AI274" i="53"/>
  <c r="P128" i="54"/>
  <c r="AI128" i="53"/>
  <c r="AI43" i="53"/>
  <c r="P43" i="54"/>
  <c r="P24" i="54"/>
  <c r="AI24" i="53"/>
  <c r="AH266" i="56"/>
  <c r="AW266" i="56"/>
  <c r="K145" i="66"/>
  <c r="V145" i="66" s="1"/>
  <c r="V138" i="66"/>
  <c r="AW299" i="56"/>
  <c r="AH299" i="56"/>
  <c r="AW168" i="56"/>
  <c r="AH168" i="56"/>
  <c r="AW81" i="56"/>
  <c r="AH81" i="56"/>
  <c r="AW282" i="56"/>
  <c r="AH282" i="56"/>
  <c r="AH193" i="56"/>
  <c r="AW193" i="56"/>
  <c r="AW184" i="56"/>
  <c r="AH184" i="56"/>
  <c r="AH25" i="56"/>
  <c r="AW25" i="56"/>
  <c r="AW156" i="56"/>
  <c r="AH156" i="56"/>
  <c r="AH218" i="56"/>
  <c r="AW218" i="56"/>
  <c r="AH122" i="56"/>
  <c r="AW122" i="56"/>
  <c r="AH29" i="56"/>
  <c r="AW29" i="56"/>
  <c r="P78" i="54"/>
  <c r="AI78" i="53"/>
  <c r="AI202" i="53"/>
  <c r="P202" i="54"/>
  <c r="P68" i="54"/>
  <c r="AI68" i="53"/>
  <c r="P40" i="54"/>
  <c r="AI40" i="53"/>
  <c r="AW225" i="56"/>
  <c r="AH225" i="56"/>
  <c r="AW249" i="56"/>
  <c r="AH249" i="56"/>
  <c r="AH111" i="56"/>
  <c r="AW111" i="56"/>
  <c r="P233" i="54"/>
  <c r="AI233" i="53"/>
  <c r="P186" i="54"/>
  <c r="AI186" i="53"/>
  <c r="AH85" i="56"/>
  <c r="AW85" i="56"/>
  <c r="AH307" i="56"/>
  <c r="AW307" i="56"/>
  <c r="AW190" i="56"/>
  <c r="AH190" i="56"/>
  <c r="AW153" i="56"/>
  <c r="AH153" i="56"/>
  <c r="AW198" i="56"/>
  <c r="AH198" i="56"/>
  <c r="AI34" i="66"/>
  <c r="BC34" i="66"/>
  <c r="W34" i="66"/>
  <c r="AS34" i="66" s="1"/>
  <c r="AW152" i="56"/>
  <c r="AH152" i="56"/>
  <c r="AW233" i="56"/>
  <c r="AH233" i="56"/>
  <c r="AW284" i="56"/>
  <c r="AH284" i="56"/>
  <c r="AW107" i="56"/>
  <c r="AH107" i="56"/>
  <c r="AH162" i="56"/>
  <c r="AW162" i="56"/>
  <c r="P22" i="54"/>
  <c r="AI22" i="53"/>
  <c r="AI34" i="53"/>
  <c r="P34" i="54"/>
  <c r="AW54" i="56"/>
  <c r="AH54" i="56"/>
  <c r="AH305" i="56"/>
  <c r="AW305" i="56"/>
  <c r="AW67" i="56"/>
  <c r="AH67" i="56"/>
  <c r="P188" i="54"/>
  <c r="AI188" i="53"/>
  <c r="AW96" i="56"/>
  <c r="AH96" i="56"/>
  <c r="AH132" i="56"/>
  <c r="AW132" i="56"/>
  <c r="AW257" i="56"/>
  <c r="AH257" i="56"/>
  <c r="AH211" i="56"/>
  <c r="AW211" i="56"/>
  <c r="P95" i="54"/>
  <c r="AI95" i="53"/>
  <c r="AI131" i="53"/>
  <c r="P131" i="54"/>
  <c r="P305" i="54"/>
  <c r="AI305" i="53"/>
  <c r="P87" i="54"/>
  <c r="AI87" i="53"/>
  <c r="AH93" i="56"/>
  <c r="AW93" i="56"/>
  <c r="P195" i="54"/>
  <c r="AI195" i="53"/>
  <c r="P307" i="54"/>
  <c r="AI307" i="53"/>
  <c r="P79" i="54"/>
  <c r="AI79" i="53"/>
  <c r="AW91" i="56"/>
  <c r="AH91" i="56"/>
  <c r="P229" i="54"/>
  <c r="AI229" i="53"/>
  <c r="P25" i="54"/>
  <c r="AI25" i="53"/>
  <c r="P192" i="54"/>
  <c r="AI192" i="53"/>
  <c r="P119" i="54"/>
  <c r="AI119" i="53"/>
  <c r="P194" i="54"/>
  <c r="AI194" i="53"/>
  <c r="AI237" i="53"/>
  <c r="P237" i="54"/>
  <c r="P160" i="54"/>
  <c r="AI160" i="53"/>
  <c r="AH123" i="56"/>
  <c r="AW123" i="56"/>
  <c r="AW113" i="56"/>
  <c r="AH113" i="56"/>
  <c r="AW87" i="56"/>
  <c r="AH87" i="56"/>
  <c r="AH98" i="56"/>
  <c r="AW98" i="56"/>
  <c r="P197" i="54"/>
  <c r="AI197" i="53"/>
  <c r="AW24" i="56"/>
  <c r="AH24" i="56"/>
  <c r="AH265" i="56"/>
  <c r="AW265" i="56"/>
  <c r="AI228" i="53"/>
  <c r="P228" i="54"/>
  <c r="AH237" i="56"/>
  <c r="AW237" i="56"/>
  <c r="AH61" i="56"/>
  <c r="AW61" i="56"/>
  <c r="AI177" i="53"/>
  <c r="P177" i="54"/>
  <c r="AW216" i="56"/>
  <c r="AH216" i="56"/>
  <c r="AH189" i="56"/>
  <c r="AW189" i="56"/>
  <c r="P65" i="54"/>
  <c r="AI65" i="53"/>
  <c r="AW135" i="56"/>
  <c r="AH135" i="56"/>
  <c r="AH147" i="56"/>
  <c r="AW147" i="56"/>
  <c r="P294" i="54"/>
  <c r="AI294" i="53"/>
  <c r="P113" i="54"/>
  <c r="AI113" i="53"/>
  <c r="P180" i="54"/>
  <c r="AI180" i="53"/>
  <c r="AW235" i="56"/>
  <c r="AH235" i="56"/>
  <c r="AH79" i="56"/>
  <c r="AW79" i="56"/>
  <c r="W35" i="66"/>
  <c r="AS35" i="66" s="1"/>
  <c r="AI35" i="66"/>
  <c r="BC35" i="66"/>
  <c r="AI61" i="53"/>
  <c r="P61" i="54"/>
  <c r="AI168" i="53"/>
  <c r="P168" i="54"/>
  <c r="AI150" i="53"/>
  <c r="P150" i="54"/>
  <c r="AW246" i="56"/>
  <c r="AH246" i="56"/>
  <c r="AW195" i="56"/>
  <c r="AH195" i="56"/>
  <c r="P83" i="54"/>
  <c r="AI83" i="53"/>
  <c r="AI251" i="53"/>
  <c r="P251" i="54"/>
  <c r="AW94" i="56"/>
  <c r="AH94" i="56"/>
  <c r="AW214" i="56"/>
  <c r="AH214" i="56"/>
  <c r="AW83" i="56"/>
  <c r="AH83" i="56"/>
  <c r="AI30" i="66"/>
  <c r="BC30" i="66"/>
  <c r="W30" i="66"/>
  <c r="AS30" i="66" s="1"/>
  <c r="AW221" i="56"/>
  <c r="AH221" i="56"/>
  <c r="AW258" i="56"/>
  <c r="AH258" i="56"/>
  <c r="AW244" i="56"/>
  <c r="AH244" i="56"/>
  <c r="P250" i="54"/>
  <c r="AI250" i="53"/>
  <c r="W25" i="60"/>
  <c r="K22" i="60"/>
  <c r="K75" i="15" s="1"/>
  <c r="AI183" i="53"/>
  <c r="P183" i="54"/>
  <c r="AI91" i="53"/>
  <c r="P91" i="54"/>
  <c r="P75" i="54"/>
  <c r="AI75" i="53"/>
  <c r="P18" i="54"/>
  <c r="AI18" i="53"/>
  <c r="P167" i="54"/>
  <c r="AI167" i="53"/>
  <c r="AH136" i="56"/>
  <c r="AW136" i="56"/>
  <c r="AH56" i="56"/>
  <c r="AW56" i="56"/>
  <c r="AW260" i="56"/>
  <c r="AH260" i="56"/>
  <c r="S29" i="15"/>
  <c r="S24" i="15"/>
  <c r="P293" i="54"/>
  <c r="AI293" i="53"/>
  <c r="P127" i="54"/>
  <c r="AI127" i="53"/>
  <c r="P64" i="54"/>
  <c r="AI64" i="53"/>
  <c r="P172" i="54"/>
  <c r="AI172" i="53"/>
  <c r="P304" i="54"/>
  <c r="AI304" i="53"/>
  <c r="AI66" i="53"/>
  <c r="P66" i="54"/>
  <c r="P130" i="54"/>
  <c r="AI130" i="53"/>
  <c r="P114" i="54"/>
  <c r="AI114" i="53"/>
  <c r="P57" i="54"/>
  <c r="AI57" i="53"/>
  <c r="AW277" i="56"/>
  <c r="AH277" i="56"/>
  <c r="AW118" i="56"/>
  <c r="AH118" i="56"/>
  <c r="AW228" i="56"/>
  <c r="AH228" i="56"/>
  <c r="V23" i="66"/>
  <c r="AH23" i="66"/>
  <c r="P13" i="53"/>
  <c r="AI13" i="53" s="1"/>
  <c r="P15" i="54"/>
  <c r="AI15" i="53"/>
  <c r="P285" i="54"/>
  <c r="AI285" i="53"/>
  <c r="P58" i="54"/>
  <c r="AI58" i="53"/>
  <c r="P52" i="54"/>
  <c r="AI52" i="53"/>
  <c r="AI193" i="53"/>
  <c r="P255" i="54"/>
  <c r="AI255" i="53"/>
  <c r="P70" i="54"/>
  <c r="AI70" i="53"/>
  <c r="AI283" i="53"/>
  <c r="P283" i="54"/>
  <c r="AW100" i="56"/>
  <c r="AH100" i="56"/>
  <c r="AH203" i="56"/>
  <c r="AW203" i="56"/>
  <c r="P142" i="54"/>
  <c r="AI142" i="53"/>
  <c r="P158" i="54"/>
  <c r="AI158" i="53"/>
  <c r="AI182" i="53"/>
  <c r="P182" i="54"/>
  <c r="P230" i="54"/>
  <c r="AI230" i="53"/>
  <c r="P30" i="54"/>
  <c r="AI30" i="53"/>
  <c r="AI31" i="66"/>
  <c r="W31" i="66"/>
  <c r="AS31" i="66" s="1"/>
  <c r="BC31" i="66"/>
  <c r="AW141" i="56"/>
  <c r="AH141" i="56"/>
  <c r="AH124" i="56"/>
  <c r="AW124" i="56"/>
  <c r="AW272" i="56"/>
  <c r="AH272" i="56"/>
  <c r="AH220" i="56"/>
  <c r="AW220" i="56"/>
  <c r="AW38" i="56"/>
  <c r="AH38" i="56"/>
  <c r="P100" i="54"/>
  <c r="AI100" i="53"/>
  <c r="AI139" i="53"/>
  <c r="P139" i="54"/>
  <c r="AH158" i="56"/>
  <c r="AW158" i="56"/>
  <c r="AW236" i="56"/>
  <c r="AH236" i="56"/>
  <c r="AW269" i="56"/>
  <c r="AH269" i="56"/>
  <c r="AW17" i="56"/>
  <c r="AH17" i="56"/>
  <c r="P71" i="54"/>
  <c r="AI71" i="53"/>
  <c r="P26" i="54"/>
  <c r="AI26" i="53"/>
  <c r="AI242" i="53"/>
  <c r="P242" i="54"/>
  <c r="P235" i="54"/>
  <c r="AI235" i="53"/>
  <c r="AI212" i="53"/>
  <c r="P212" i="54"/>
  <c r="P112" i="54"/>
  <c r="AI112" i="53"/>
  <c r="P115" i="54"/>
  <c r="AI115" i="53"/>
  <c r="P77" i="54"/>
  <c r="AI77" i="53"/>
  <c r="AH295" i="56"/>
  <c r="AW295" i="56"/>
  <c r="AH207" i="56"/>
  <c r="AW207" i="56"/>
  <c r="P219" i="54"/>
  <c r="AI219" i="53"/>
  <c r="P273" i="54"/>
  <c r="AI273" i="53"/>
  <c r="P189" i="54"/>
  <c r="AI189" i="53"/>
  <c r="AI246" i="53"/>
  <c r="P246" i="54"/>
  <c r="P67" i="54"/>
  <c r="AI67" i="53"/>
  <c r="AW206" i="56"/>
  <c r="AH206" i="56"/>
  <c r="AW86" i="56"/>
  <c r="AH86" i="56"/>
  <c r="AH259" i="56"/>
  <c r="AW259" i="56"/>
  <c r="AW215" i="56"/>
  <c r="AH215" i="56"/>
  <c r="P217" i="54"/>
  <c r="AI217" i="53"/>
  <c r="P46" i="54"/>
  <c r="AI46" i="53"/>
  <c r="P223" i="54"/>
  <c r="AI223" i="53"/>
  <c r="P179" i="54"/>
  <c r="AI179" i="53"/>
  <c r="P27" i="54"/>
  <c r="AI27" i="53"/>
  <c r="AI296" i="53"/>
  <c r="P296" i="54"/>
  <c r="P289" i="54"/>
  <c r="AI289" i="53"/>
  <c r="P85" i="54"/>
  <c r="AI85" i="53"/>
  <c r="AI306" i="53"/>
  <c r="P306" i="54"/>
  <c r="AH74" i="56"/>
  <c r="AW74" i="56"/>
  <c r="O7" i="56"/>
  <c r="I114" i="66" s="1"/>
  <c r="O13" i="56"/>
  <c r="AH13" i="56" s="1"/>
  <c r="AW15" i="56"/>
  <c r="AH15" i="56"/>
  <c r="AH84" i="56"/>
  <c r="AW84" i="56"/>
  <c r="AW88" i="56"/>
  <c r="AH88" i="56"/>
  <c r="AW171" i="56"/>
  <c r="AH171" i="56"/>
  <c r="AH219" i="56"/>
  <c r="AW219" i="56"/>
  <c r="AH174" i="56"/>
  <c r="AW174" i="56"/>
  <c r="AH289" i="56"/>
  <c r="AW289" i="56"/>
  <c r="AW248" i="56"/>
  <c r="AH248" i="56"/>
  <c r="AW279" i="56"/>
  <c r="AH279" i="56"/>
  <c r="P86" i="54"/>
  <c r="AI86" i="53"/>
  <c r="P257" i="54"/>
  <c r="AI257" i="53"/>
  <c r="P203" i="54"/>
  <c r="AI203" i="53"/>
  <c r="P32" i="54"/>
  <c r="AI32" i="53"/>
  <c r="AW28" i="56"/>
  <c r="AH28" i="56"/>
  <c r="AW129" i="56"/>
  <c r="AH129" i="56"/>
  <c r="AW51" i="56"/>
  <c r="AH51" i="56"/>
  <c r="P164" i="54"/>
  <c r="AI164" i="53"/>
  <c r="P265" i="54"/>
  <c r="AI265" i="53"/>
  <c r="AW19" i="56"/>
  <c r="AH19" i="56"/>
  <c r="AH82" i="56"/>
  <c r="AW82" i="56"/>
  <c r="AH31" i="56"/>
  <c r="AW31" i="56"/>
  <c r="AW23" i="56"/>
  <c r="AH23" i="56"/>
  <c r="AH256" i="56"/>
  <c r="AW256" i="56"/>
  <c r="AW33" i="56"/>
  <c r="AH33" i="56"/>
  <c r="AH32" i="56"/>
  <c r="AW32" i="56"/>
  <c r="P256" i="54"/>
  <c r="AI256" i="53"/>
  <c r="L37" i="66"/>
  <c r="X8" i="60"/>
  <c r="Q10" i="42"/>
  <c r="Q11" i="42"/>
  <c r="AH13" i="42"/>
  <c r="AW201" i="56"/>
  <c r="AH201" i="56"/>
  <c r="AW227" i="56"/>
  <c r="AH227" i="56"/>
  <c r="AW43" i="56"/>
  <c r="AH43" i="56"/>
  <c r="AW243" i="56"/>
  <c r="AH243" i="56"/>
  <c r="AW30" i="56"/>
  <c r="AH30" i="56"/>
  <c r="AW90" i="56"/>
  <c r="AH90" i="56"/>
  <c r="AW245" i="56"/>
  <c r="AH245" i="56"/>
  <c r="AH261" i="56"/>
  <c r="AW261" i="56"/>
  <c r="AI41" i="53"/>
  <c r="P41" i="54"/>
  <c r="P33" i="54"/>
  <c r="AI33" i="53"/>
  <c r="AW149" i="56"/>
  <c r="AH149" i="56"/>
  <c r="AW102" i="56"/>
  <c r="AH102" i="56"/>
  <c r="AW176" i="56"/>
  <c r="AH176" i="56"/>
  <c r="AW50" i="56"/>
  <c r="AH50" i="56"/>
  <c r="P261" i="54"/>
  <c r="AI261" i="53"/>
  <c r="AW155" i="56"/>
  <c r="AH155" i="56"/>
  <c r="AH45" i="56"/>
  <c r="AW45" i="56"/>
  <c r="AH77" i="56"/>
  <c r="AW77" i="56"/>
  <c r="P48" i="54"/>
  <c r="AI48" i="53"/>
  <c r="P253" i="54"/>
  <c r="AI253" i="53"/>
  <c r="P214" i="54"/>
  <c r="AI214" i="53"/>
  <c r="P301" i="54"/>
  <c r="AI301" i="53"/>
  <c r="P137" i="54"/>
  <c r="AI137" i="53"/>
  <c r="AI170" i="53"/>
  <c r="P170" i="54"/>
  <c r="AH143" i="56"/>
  <c r="AW143" i="56"/>
  <c r="P159" i="54"/>
  <c r="AI159" i="53"/>
  <c r="AH19" i="66"/>
  <c r="V19" i="66"/>
  <c r="AW280" i="56"/>
  <c r="AH280" i="56"/>
  <c r="P213" i="54"/>
  <c r="AI213" i="53"/>
  <c r="P55" i="54"/>
  <c r="AI55" i="53"/>
  <c r="AW301" i="56"/>
  <c r="AH301" i="56"/>
  <c r="AW182" i="56"/>
  <c r="AH182" i="56"/>
  <c r="AW110" i="56"/>
  <c r="AH110" i="56"/>
  <c r="AH177" i="56"/>
  <c r="AW177" i="56"/>
  <c r="AW126" i="56"/>
  <c r="AH126" i="56"/>
  <c r="P151" i="54"/>
  <c r="AI151" i="53"/>
  <c r="P206" i="54"/>
  <c r="AI206" i="53"/>
  <c r="AI126" i="53"/>
  <c r="P126" i="54"/>
  <c r="AW298" i="56"/>
  <c r="AH298" i="56"/>
  <c r="AH275" i="56"/>
  <c r="AW275" i="56"/>
  <c r="AW239" i="56"/>
  <c r="AH239" i="56"/>
  <c r="AH106" i="56"/>
  <c r="AW106" i="56"/>
  <c r="AW69" i="56"/>
  <c r="AH69" i="56"/>
  <c r="AH127" i="56"/>
  <c r="AW127" i="56"/>
  <c r="AI37" i="53"/>
  <c r="P37" i="54"/>
  <c r="AH208" i="56"/>
  <c r="AW208" i="56"/>
  <c r="AW59" i="56"/>
  <c r="AH59" i="56"/>
  <c r="AH232" i="56"/>
  <c r="AW232" i="56"/>
  <c r="AH293" i="56"/>
  <c r="AW293" i="56"/>
  <c r="AW180" i="56"/>
  <c r="AH180" i="56"/>
  <c r="AW238" i="56"/>
  <c r="AH238" i="56"/>
  <c r="AW40" i="56"/>
  <c r="AH40" i="56"/>
  <c r="AH128" i="56"/>
  <c r="AW128" i="56"/>
  <c r="AW192" i="56"/>
  <c r="AH192" i="56"/>
  <c r="AH213" i="56"/>
  <c r="AW213" i="56"/>
  <c r="AH253" i="56"/>
  <c r="AW253" i="56"/>
  <c r="AH20" i="66"/>
  <c r="V20" i="66"/>
  <c r="AI121" i="53"/>
  <c r="P121" i="54"/>
  <c r="AI102" i="53"/>
  <c r="P102" i="54"/>
  <c r="P247" i="54"/>
  <c r="AI247" i="53"/>
  <c r="P51" i="54"/>
  <c r="AI51" i="53"/>
  <c r="AW26" i="56"/>
  <c r="AH26" i="56"/>
  <c r="AW204" i="56"/>
  <c r="AH204" i="56"/>
  <c r="AH20" i="56"/>
  <c r="AW20" i="56"/>
  <c r="P107" i="54"/>
  <c r="AI107" i="53"/>
  <c r="AI134" i="53"/>
  <c r="P134" i="54"/>
  <c r="AW276" i="56"/>
  <c r="AH276" i="56"/>
  <c r="AW80" i="56"/>
  <c r="AH80" i="56"/>
  <c r="AW210" i="56"/>
  <c r="AH210" i="56"/>
  <c r="AH287" i="56"/>
  <c r="AW287" i="56"/>
  <c r="AH294" i="56"/>
  <c r="AW294" i="56"/>
  <c r="AH49" i="56"/>
  <c r="AW49" i="56"/>
  <c r="AH175" i="56"/>
  <c r="AW175" i="56"/>
  <c r="P298" i="54"/>
  <c r="AI298" i="53"/>
  <c r="P74" i="54"/>
  <c r="AI74" i="53"/>
  <c r="P132" i="54"/>
  <c r="AI132" i="53"/>
  <c r="P138" i="54"/>
  <c r="AI138" i="53"/>
  <c r="P97" i="54"/>
  <c r="AI97" i="53"/>
  <c r="P245" i="54"/>
  <c r="AI245" i="53"/>
  <c r="P116" i="54"/>
  <c r="AI116" i="53"/>
  <c r="AW288" i="56"/>
  <c r="AH288" i="56"/>
  <c r="AH161" i="56"/>
  <c r="AW161" i="56"/>
  <c r="AW303" i="56"/>
  <c r="AH303" i="56"/>
  <c r="P117" i="54"/>
  <c r="AI117" i="53"/>
  <c r="AI110" i="53"/>
  <c r="P110" i="54"/>
  <c r="P198" i="54"/>
  <c r="AI198" i="53"/>
  <c r="AI124" i="53"/>
  <c r="P124" i="54"/>
  <c r="AI200" i="53"/>
  <c r="P200" i="54"/>
  <c r="AI31" i="53"/>
  <c r="P31" i="54"/>
  <c r="P280" i="54"/>
  <c r="AI280" i="53"/>
  <c r="P295" i="54"/>
  <c r="AI295" i="53"/>
  <c r="P276" i="54"/>
  <c r="AI276" i="53"/>
  <c r="AW99" i="56"/>
  <c r="AH99" i="56"/>
  <c r="AH65" i="56"/>
  <c r="AW65" i="56"/>
  <c r="AH47" i="56"/>
  <c r="AW47" i="56"/>
  <c r="P162" i="54"/>
  <c r="AI162" i="53"/>
  <c r="AI258" i="53"/>
  <c r="P258" i="54"/>
  <c r="P204" i="54"/>
  <c r="AI204" i="53"/>
  <c r="AI32" i="66"/>
  <c r="BC32" i="66"/>
  <c r="W32" i="66"/>
  <c r="AS32" i="66" s="1"/>
  <c r="AI56" i="53"/>
  <c r="P56" i="54"/>
  <c r="P76" i="54"/>
  <c r="AI76" i="53"/>
  <c r="P35" i="54"/>
  <c r="AI35" i="53"/>
  <c r="P248" i="54"/>
  <c r="AI248" i="53"/>
  <c r="AW167" i="56"/>
  <c r="AH167" i="56"/>
  <c r="AW262" i="56"/>
  <c r="AH262" i="56"/>
  <c r="P163" i="54"/>
  <c r="AI163" i="53"/>
  <c r="P260" i="54"/>
  <c r="AI260" i="53"/>
  <c r="P143" i="54"/>
  <c r="AI143" i="53"/>
  <c r="P178" i="54"/>
  <c r="AI178" i="53"/>
  <c r="AI149" i="53"/>
  <c r="P149" i="54"/>
  <c r="AI63" i="53"/>
  <c r="P63" i="54"/>
  <c r="AW146" i="56"/>
  <c r="AH146" i="56"/>
  <c r="AW183" i="56"/>
  <c r="AH183" i="56"/>
  <c r="AH121" i="56"/>
  <c r="AW121" i="56"/>
  <c r="AH290" i="56"/>
  <c r="AW290" i="56"/>
  <c r="AH199" i="56"/>
  <c r="AW199" i="56"/>
  <c r="AW300" i="56"/>
  <c r="AH300" i="56"/>
  <c r="P244" i="54"/>
  <c r="AI244" i="53"/>
  <c r="P238" i="54"/>
  <c r="AI238" i="53"/>
  <c r="AI225" i="53"/>
  <c r="P225" i="54"/>
  <c r="AH72" i="56"/>
  <c r="AW72" i="56"/>
  <c r="P108" i="54"/>
  <c r="AI108" i="53"/>
  <c r="P278" i="54"/>
  <c r="AI278" i="53"/>
  <c r="P23" i="54"/>
  <c r="AI23" i="53"/>
  <c r="AI148" i="53"/>
  <c r="P148" i="54"/>
  <c r="P263" i="54"/>
  <c r="AI263" i="53"/>
  <c r="P49" i="54"/>
  <c r="AI49" i="53"/>
  <c r="P20" i="54"/>
  <c r="AI20" i="53"/>
  <c r="P129" i="54"/>
  <c r="AI129" i="53"/>
  <c r="P111" i="54"/>
  <c r="AI111" i="53"/>
  <c r="P290" i="54"/>
  <c r="AI290" i="53"/>
  <c r="P221" i="54"/>
  <c r="AI221" i="53"/>
  <c r="AW154" i="56"/>
  <c r="AH154" i="56"/>
  <c r="AH283" i="56"/>
  <c r="AW283" i="56"/>
  <c r="AW104" i="56"/>
  <c r="AH104" i="56"/>
  <c r="P227" i="54"/>
  <c r="AI227" i="53"/>
  <c r="P201" i="54"/>
  <c r="AI201" i="53"/>
  <c r="P191" i="54"/>
  <c r="AI191" i="53"/>
  <c r="P103" i="54"/>
  <c r="AI103" i="53"/>
  <c r="P96" i="54"/>
  <c r="AI96" i="53"/>
  <c r="AW196" i="56"/>
  <c r="AH196" i="56"/>
  <c r="AW48" i="56"/>
  <c r="AH48" i="56"/>
  <c r="AW191" i="56"/>
  <c r="AH191" i="56"/>
  <c r="AH58" i="56"/>
  <c r="AW58" i="56"/>
  <c r="P80" i="54"/>
  <c r="AI80" i="53"/>
  <c r="P29" i="54"/>
  <c r="AI29" i="53"/>
  <c r="P122" i="54"/>
  <c r="AI122" i="53"/>
  <c r="P171" i="54"/>
  <c r="AI171" i="53"/>
  <c r="P287" i="54"/>
  <c r="AI287" i="53"/>
  <c r="P269" i="54"/>
  <c r="AI269" i="53"/>
  <c r="AI176" i="53"/>
  <c r="P176" i="54"/>
  <c r="P92" i="54"/>
  <c r="AI92" i="53"/>
  <c r="P207" i="54"/>
  <c r="AI207" i="53"/>
  <c r="AH205" i="56"/>
  <c r="AW205" i="56"/>
  <c r="V21" i="66"/>
  <c r="AH21" i="66"/>
  <c r="AW18" i="56"/>
  <c r="AH18" i="56"/>
  <c r="AW64" i="56"/>
  <c r="AH64" i="56"/>
  <c r="AH285" i="56"/>
  <c r="AW285" i="56"/>
  <c r="AH112" i="56"/>
  <c r="AW112" i="56"/>
  <c r="AW138" i="56"/>
  <c r="AH138" i="56"/>
  <c r="AH125" i="56"/>
  <c r="AW125" i="56"/>
  <c r="AW200" i="56"/>
  <c r="AH200" i="56"/>
  <c r="P133" i="54"/>
  <c r="AI133" i="53"/>
  <c r="P249" i="54"/>
  <c r="AI249" i="53"/>
  <c r="P239" i="54"/>
  <c r="AI239" i="53"/>
  <c r="AI279" i="53"/>
  <c r="P279" i="54"/>
  <c r="AW151" i="56"/>
  <c r="AH151" i="56"/>
  <c r="AW234" i="56"/>
  <c r="AH234" i="56"/>
  <c r="AH267" i="56"/>
  <c r="AW267" i="56"/>
  <c r="P161" i="54"/>
  <c r="AI161" i="53"/>
  <c r="AW179" i="56"/>
  <c r="AH179" i="56"/>
  <c r="AW142" i="56"/>
  <c r="AH142" i="56"/>
  <c r="AH271" i="56"/>
  <c r="AW271" i="56"/>
  <c r="AW60" i="56"/>
  <c r="AH60" i="56"/>
  <c r="AW41" i="56"/>
  <c r="AH41" i="56"/>
  <c r="AH164" i="56"/>
  <c r="AW164" i="56"/>
  <c r="P141" i="54"/>
  <c r="AI141" i="53"/>
  <c r="P156" i="54"/>
  <c r="AI156" i="53"/>
  <c r="AW145" i="56"/>
  <c r="AH145" i="56"/>
  <c r="AH250" i="56"/>
  <c r="AW250" i="56"/>
  <c r="AW209" i="56"/>
  <c r="AH209" i="56"/>
  <c r="AH230" i="56"/>
  <c r="AW230" i="56"/>
  <c r="AW254" i="56"/>
  <c r="AH254" i="56"/>
  <c r="AH212" i="56"/>
  <c r="AW212" i="56"/>
  <c r="AW178" i="56"/>
  <c r="AH178" i="56"/>
  <c r="P152" i="54"/>
  <c r="AI152" i="53"/>
  <c r="AH117" i="56"/>
  <c r="AW117" i="56"/>
  <c r="AW255" i="56"/>
  <c r="AH255" i="56"/>
  <c r="AH35" i="56"/>
  <c r="AW35" i="56"/>
  <c r="P210" i="54"/>
  <c r="AI210" i="53"/>
  <c r="AH231" i="56"/>
  <c r="AW231" i="56"/>
  <c r="AW187" i="56"/>
  <c r="AH187" i="56"/>
  <c r="AW68" i="56"/>
  <c r="AH68" i="56"/>
  <c r="AW185" i="56"/>
  <c r="AH185" i="56"/>
  <c r="P241" i="54"/>
  <c r="AI241" i="53"/>
  <c r="P226" i="54"/>
  <c r="AI226" i="53"/>
  <c r="P144" i="54"/>
  <c r="AI144" i="53"/>
  <c r="P155" i="54"/>
  <c r="AI155" i="53"/>
  <c r="K149" i="66" l="1"/>
  <c r="V149" i="66" s="1"/>
  <c r="K150" i="66"/>
  <c r="V150" i="66" s="1"/>
  <c r="AI104" i="54"/>
  <c r="BC104" i="54" s="1"/>
  <c r="BN104" i="54"/>
  <c r="P104" i="65"/>
  <c r="P53" i="65"/>
  <c r="BN53" i="54"/>
  <c r="AI53" i="54"/>
  <c r="BC53" i="54" s="1"/>
  <c r="BN92" i="54"/>
  <c r="P92" i="65"/>
  <c r="AI92" i="54"/>
  <c r="BC92" i="54" s="1"/>
  <c r="BN31" i="54"/>
  <c r="P31" i="65"/>
  <c r="AI31" i="54"/>
  <c r="BC31" i="54" s="1"/>
  <c r="AT20" i="66"/>
  <c r="AR20" i="66"/>
  <c r="AI37" i="54"/>
  <c r="BC37" i="54" s="1"/>
  <c r="BN37" i="54"/>
  <c r="P37" i="65"/>
  <c r="AI213" i="54"/>
  <c r="BC213" i="54" s="1"/>
  <c r="P213" i="65"/>
  <c r="BN213" i="54"/>
  <c r="AI137" i="54"/>
  <c r="BC137" i="54" s="1"/>
  <c r="P137" i="65"/>
  <c r="BN137" i="54"/>
  <c r="BN214" i="54"/>
  <c r="AI214" i="54"/>
  <c r="BC214" i="54" s="1"/>
  <c r="P214" i="65"/>
  <c r="BN41" i="54"/>
  <c r="P41" i="65"/>
  <c r="AI41" i="54"/>
  <c r="BC41" i="54" s="1"/>
  <c r="P86" i="65"/>
  <c r="BN86" i="54"/>
  <c r="AI86" i="54"/>
  <c r="BC86" i="54" s="1"/>
  <c r="BN296" i="54"/>
  <c r="P296" i="65"/>
  <c r="AI296" i="54"/>
  <c r="BC296" i="54" s="1"/>
  <c r="AI242" i="54"/>
  <c r="BC242" i="54" s="1"/>
  <c r="BN242" i="54"/>
  <c r="P242" i="65"/>
  <c r="AI230" i="54"/>
  <c r="BC230" i="54" s="1"/>
  <c r="P230" i="65"/>
  <c r="BN230" i="54"/>
  <c r="BN255" i="54"/>
  <c r="P255" i="65"/>
  <c r="AI255" i="54"/>
  <c r="BC255" i="54" s="1"/>
  <c r="AI285" i="54"/>
  <c r="BC285" i="54" s="1"/>
  <c r="BN285" i="54"/>
  <c r="P285" i="65"/>
  <c r="BN130" i="54"/>
  <c r="AI130" i="54"/>
  <c r="BC130" i="54" s="1"/>
  <c r="P130" i="65"/>
  <c r="P64" i="65"/>
  <c r="AI64" i="54"/>
  <c r="BC64" i="54" s="1"/>
  <c r="BN64" i="54"/>
  <c r="P83" i="65"/>
  <c r="AI83" i="54"/>
  <c r="BC83" i="54" s="1"/>
  <c r="BN83" i="54"/>
  <c r="AI177" i="54"/>
  <c r="BC177" i="54" s="1"/>
  <c r="BN177" i="54"/>
  <c r="P177" i="65"/>
  <c r="BN228" i="54"/>
  <c r="P228" i="65"/>
  <c r="AI228" i="54"/>
  <c r="BC228" i="54" s="1"/>
  <c r="P195" i="65"/>
  <c r="AI195" i="54"/>
  <c r="BC195" i="54" s="1"/>
  <c r="BN195" i="54"/>
  <c r="BN305" i="54"/>
  <c r="P305" i="65"/>
  <c r="AI305" i="54"/>
  <c r="BC305" i="54" s="1"/>
  <c r="P202" i="65"/>
  <c r="AI202" i="54"/>
  <c r="BC202" i="54" s="1"/>
  <c r="BN202" i="54"/>
  <c r="BN43" i="54"/>
  <c r="AI43" i="54"/>
  <c r="BC43" i="54" s="1"/>
  <c r="P43" i="65"/>
  <c r="BN284" i="54"/>
  <c r="AI284" i="54"/>
  <c r="BC284" i="54" s="1"/>
  <c r="P284" i="65"/>
  <c r="AI81" i="54"/>
  <c r="BC81" i="54" s="1"/>
  <c r="P81" i="65"/>
  <c r="BN81" i="54"/>
  <c r="K155" i="66"/>
  <c r="V155" i="66" s="1"/>
  <c r="P240" i="65"/>
  <c r="AI240" i="54"/>
  <c r="BC240" i="54" s="1"/>
  <c r="BN240" i="54"/>
  <c r="V24" i="66"/>
  <c r="AH24" i="66"/>
  <c r="P286" i="65"/>
  <c r="BN286" i="54"/>
  <c r="AI286" i="54"/>
  <c r="BC286" i="54" s="1"/>
  <c r="BN252" i="54"/>
  <c r="AI252" i="54"/>
  <c r="BC252" i="54" s="1"/>
  <c r="P252" i="65"/>
  <c r="AI89" i="54"/>
  <c r="BC89" i="54" s="1"/>
  <c r="P89" i="65"/>
  <c r="BN89" i="54"/>
  <c r="AI215" i="54"/>
  <c r="BC215" i="54" s="1"/>
  <c r="BN215" i="54"/>
  <c r="P215" i="65"/>
  <c r="AI241" i="54"/>
  <c r="BC241" i="54" s="1"/>
  <c r="BN241" i="54"/>
  <c r="P241" i="65"/>
  <c r="P77" i="65"/>
  <c r="BN77" i="54"/>
  <c r="AI77" i="54"/>
  <c r="BC77" i="54" s="1"/>
  <c r="BN169" i="54"/>
  <c r="P169" i="65"/>
  <c r="AI169" i="54"/>
  <c r="BC169" i="54" s="1"/>
  <c r="P262" i="65"/>
  <c r="AI262" i="54"/>
  <c r="BC262" i="54" s="1"/>
  <c r="BN262" i="54"/>
  <c r="AI59" i="54"/>
  <c r="BC59" i="54" s="1"/>
  <c r="BN59" i="54"/>
  <c r="P59" i="65"/>
  <c r="P272" i="65"/>
  <c r="AI272" i="54"/>
  <c r="BC272" i="54" s="1"/>
  <c r="BN272" i="54"/>
  <c r="AI249" i="54"/>
  <c r="BC249" i="54" s="1"/>
  <c r="P249" i="65"/>
  <c r="BN249" i="54"/>
  <c r="P171" i="65"/>
  <c r="AI171" i="54"/>
  <c r="BC171" i="54" s="1"/>
  <c r="BN171" i="54"/>
  <c r="P191" i="65"/>
  <c r="BN191" i="54"/>
  <c r="AI191" i="54"/>
  <c r="BC191" i="54" s="1"/>
  <c r="P129" i="65"/>
  <c r="BN129" i="54"/>
  <c r="AI129" i="54"/>
  <c r="BC129" i="54" s="1"/>
  <c r="AI110" i="54"/>
  <c r="BC110" i="54" s="1"/>
  <c r="P110" i="65"/>
  <c r="BN110" i="54"/>
  <c r="BN121" i="54"/>
  <c r="P121" i="65"/>
  <c r="AI121" i="54"/>
  <c r="BC121" i="54" s="1"/>
  <c r="AI141" i="54"/>
  <c r="BC141" i="54" s="1"/>
  <c r="P141" i="65"/>
  <c r="BN141" i="54"/>
  <c r="P161" i="65"/>
  <c r="AI161" i="54"/>
  <c r="BC161" i="54" s="1"/>
  <c r="BN161" i="54"/>
  <c r="AI176" i="54"/>
  <c r="BC176" i="54" s="1"/>
  <c r="BN176" i="54"/>
  <c r="P176" i="65"/>
  <c r="BN244" i="54"/>
  <c r="P244" i="65"/>
  <c r="AI244" i="54"/>
  <c r="BC244" i="54" s="1"/>
  <c r="P178" i="65"/>
  <c r="AI178" i="54"/>
  <c r="BC178" i="54" s="1"/>
  <c r="BN178" i="54"/>
  <c r="AI35" i="54"/>
  <c r="BC35" i="54" s="1"/>
  <c r="BN35" i="54"/>
  <c r="P35" i="65"/>
  <c r="P116" i="65"/>
  <c r="BN116" i="54"/>
  <c r="AI116" i="54"/>
  <c r="BC116" i="54" s="1"/>
  <c r="P132" i="65"/>
  <c r="AI132" i="54"/>
  <c r="BC132" i="54" s="1"/>
  <c r="BN132" i="54"/>
  <c r="BN134" i="54"/>
  <c r="P134" i="65"/>
  <c r="AI134" i="54"/>
  <c r="BC134" i="54" s="1"/>
  <c r="P261" i="65"/>
  <c r="AI261" i="54"/>
  <c r="BC261" i="54" s="1"/>
  <c r="BN261" i="54"/>
  <c r="AW13" i="56"/>
  <c r="K153" i="66"/>
  <c r="V153" i="66" s="1"/>
  <c r="P46" i="65"/>
  <c r="AI46" i="54"/>
  <c r="BC46" i="54" s="1"/>
  <c r="BN46" i="54"/>
  <c r="BN273" i="54"/>
  <c r="P273" i="65"/>
  <c r="AI273" i="54"/>
  <c r="BC273" i="54" s="1"/>
  <c r="P115" i="65"/>
  <c r="AI115" i="54"/>
  <c r="BC115" i="54" s="1"/>
  <c r="BN115" i="54"/>
  <c r="AI139" i="54"/>
  <c r="BC139" i="54" s="1"/>
  <c r="P139" i="65"/>
  <c r="BN139" i="54"/>
  <c r="P182" i="65"/>
  <c r="BN182" i="54"/>
  <c r="AI182" i="54"/>
  <c r="BC182" i="54" s="1"/>
  <c r="BN193" i="54"/>
  <c r="AI193" i="54"/>
  <c r="BC193" i="54" s="1"/>
  <c r="P66" i="65"/>
  <c r="AI66" i="54"/>
  <c r="BC66" i="54" s="1"/>
  <c r="BN66" i="54"/>
  <c r="P18" i="65"/>
  <c r="BN18" i="54"/>
  <c r="AI18" i="54"/>
  <c r="BC18" i="54" s="1"/>
  <c r="K25" i="60"/>
  <c r="BN61" i="54"/>
  <c r="P61" i="65"/>
  <c r="AI61" i="54"/>
  <c r="BC61" i="54" s="1"/>
  <c r="P197" i="65"/>
  <c r="BN197" i="54"/>
  <c r="AI197" i="54"/>
  <c r="BC197" i="54" s="1"/>
  <c r="P160" i="65"/>
  <c r="AI160" i="54"/>
  <c r="BC160" i="54" s="1"/>
  <c r="BN160" i="54"/>
  <c r="P131" i="65"/>
  <c r="AI131" i="54"/>
  <c r="BC131" i="54" s="1"/>
  <c r="BN131" i="54"/>
  <c r="P208" i="65"/>
  <c r="AI208" i="54"/>
  <c r="BC208" i="54" s="1"/>
  <c r="BN208" i="54"/>
  <c r="BN98" i="54"/>
  <c r="P98" i="65"/>
  <c r="AI98" i="54"/>
  <c r="BC98" i="54" s="1"/>
  <c r="AI254" i="54"/>
  <c r="BC254" i="54" s="1"/>
  <c r="BN254" i="54"/>
  <c r="P254" i="65"/>
  <c r="BN21" i="54"/>
  <c r="P21" i="65"/>
  <c r="AI21" i="54"/>
  <c r="BC21" i="54" s="1"/>
  <c r="P105" i="65"/>
  <c r="BN105" i="54"/>
  <c r="AI105" i="54"/>
  <c r="BC105" i="54" s="1"/>
  <c r="AT17" i="66"/>
  <c r="AR17" i="66"/>
  <c r="P135" i="65"/>
  <c r="AI135" i="54"/>
  <c r="BC135" i="54" s="1"/>
  <c r="BN135" i="54"/>
  <c r="P267" i="65"/>
  <c r="AI267" i="54"/>
  <c r="BC267" i="54" s="1"/>
  <c r="BN267" i="54"/>
  <c r="BN17" i="54"/>
  <c r="P17" i="65"/>
  <c r="AI17" i="54"/>
  <c r="BC17" i="54" s="1"/>
  <c r="L69" i="66"/>
  <c r="AI288" i="54"/>
  <c r="BC288" i="54" s="1"/>
  <c r="BN288" i="54"/>
  <c r="P288" i="65"/>
  <c r="BN175" i="54"/>
  <c r="P175" i="65"/>
  <c r="AI175" i="54"/>
  <c r="BC175" i="54" s="1"/>
  <c r="AI266" i="54"/>
  <c r="BC266" i="54" s="1"/>
  <c r="BN266" i="54"/>
  <c r="P266" i="65"/>
  <c r="P165" i="65"/>
  <c r="AI165" i="54"/>
  <c r="BC165" i="54" s="1"/>
  <c r="BN165" i="54"/>
  <c r="AI106" i="54"/>
  <c r="BC106" i="54" s="1"/>
  <c r="P106" i="65"/>
  <c r="BN106" i="54"/>
  <c r="BN140" i="54"/>
  <c r="AI140" i="54"/>
  <c r="BC140" i="54" s="1"/>
  <c r="P140" i="65"/>
  <c r="P235" i="65"/>
  <c r="AI235" i="54"/>
  <c r="BC235" i="54" s="1"/>
  <c r="BN235" i="54"/>
  <c r="P167" i="65"/>
  <c r="BN167" i="54"/>
  <c r="AI167" i="54"/>
  <c r="BC167" i="54" s="1"/>
  <c r="P22" i="65"/>
  <c r="BN22" i="54"/>
  <c r="AI22" i="54"/>
  <c r="BC22" i="54" s="1"/>
  <c r="L72" i="66"/>
  <c r="AI268" i="54"/>
  <c r="BC268" i="54" s="1"/>
  <c r="BN268" i="54"/>
  <c r="P268" i="65"/>
  <c r="P118" i="65"/>
  <c r="BN118" i="54"/>
  <c r="AI118" i="54"/>
  <c r="BC118" i="54" s="1"/>
  <c r="P201" i="65"/>
  <c r="AI201" i="54"/>
  <c r="BC201" i="54" s="1"/>
  <c r="BN201" i="54"/>
  <c r="AI221" i="54"/>
  <c r="BC221" i="54" s="1"/>
  <c r="BN221" i="54"/>
  <c r="P221" i="65"/>
  <c r="AI126" i="54"/>
  <c r="BC126" i="54" s="1"/>
  <c r="BN126" i="54"/>
  <c r="P126" i="65"/>
  <c r="AI253" i="54"/>
  <c r="BC253" i="54" s="1"/>
  <c r="BN253" i="54"/>
  <c r="P253" i="65"/>
  <c r="K151" i="66"/>
  <c r="V151" i="66" s="1"/>
  <c r="BN32" i="54"/>
  <c r="P32" i="65"/>
  <c r="AI32" i="54"/>
  <c r="BC32" i="54" s="1"/>
  <c r="BN306" i="54"/>
  <c r="P306" i="65"/>
  <c r="AI306" i="54"/>
  <c r="BC306" i="54" s="1"/>
  <c r="P13" i="54"/>
  <c r="BN15" i="54"/>
  <c r="AI15" i="54"/>
  <c r="BC15" i="54" s="1"/>
  <c r="P15" i="65"/>
  <c r="L70" i="66"/>
  <c r="P7" i="54"/>
  <c r="J113" i="66" s="1"/>
  <c r="P127" i="65"/>
  <c r="AI127" i="54"/>
  <c r="BC127" i="54" s="1"/>
  <c r="BN127" i="54"/>
  <c r="BN237" i="54"/>
  <c r="P237" i="65"/>
  <c r="AI237" i="54"/>
  <c r="BC237" i="54" s="1"/>
  <c r="AI79" i="54"/>
  <c r="BC79" i="54" s="1"/>
  <c r="P79" i="65"/>
  <c r="BN79" i="54"/>
  <c r="AI188" i="54"/>
  <c r="BC188" i="54" s="1"/>
  <c r="BN188" i="54"/>
  <c r="P188" i="65"/>
  <c r="AI186" i="54"/>
  <c r="BC186" i="54" s="1"/>
  <c r="BN186" i="54"/>
  <c r="P186" i="65"/>
  <c r="BN88" i="54"/>
  <c r="P88" i="65"/>
  <c r="AI88" i="54"/>
  <c r="BC88" i="54" s="1"/>
  <c r="P232" i="65"/>
  <c r="AI232" i="54"/>
  <c r="BC232" i="54" s="1"/>
  <c r="BN232" i="54"/>
  <c r="BN147" i="54"/>
  <c r="AI147" i="54"/>
  <c r="BC147" i="54" s="1"/>
  <c r="P147" i="65"/>
  <c r="P264" i="65"/>
  <c r="BN264" i="54"/>
  <c r="AI264" i="54"/>
  <c r="BC264" i="54" s="1"/>
  <c r="BN282" i="54"/>
  <c r="AI282" i="54"/>
  <c r="BC282" i="54" s="1"/>
  <c r="P282" i="65"/>
  <c r="BN136" i="54"/>
  <c r="AI136" i="54"/>
  <c r="BC136" i="54" s="1"/>
  <c r="P136" i="65"/>
  <c r="BN125" i="54"/>
  <c r="P125" i="65"/>
  <c r="AI125" i="54"/>
  <c r="BC125" i="54" s="1"/>
  <c r="BN101" i="54"/>
  <c r="P101" i="65"/>
  <c r="AI101" i="54"/>
  <c r="BC101" i="54" s="1"/>
  <c r="BN259" i="54"/>
  <c r="AI259" i="54"/>
  <c r="BC259" i="54" s="1"/>
  <c r="P259" i="65"/>
  <c r="P196" i="65"/>
  <c r="BN196" i="54"/>
  <c r="AI196" i="54"/>
  <c r="BC196" i="54" s="1"/>
  <c r="AI44" i="54"/>
  <c r="BC44" i="54" s="1"/>
  <c r="P44" i="65"/>
  <c r="BN44" i="54"/>
  <c r="AI146" i="54"/>
  <c r="BC146" i="54" s="1"/>
  <c r="BN146" i="54"/>
  <c r="P146" i="65"/>
  <c r="P211" i="65"/>
  <c r="AI211" i="54"/>
  <c r="BC211" i="54" s="1"/>
  <c r="BN211" i="54"/>
  <c r="AI190" i="54"/>
  <c r="BC190" i="54" s="1"/>
  <c r="BN190" i="54"/>
  <c r="P190" i="65"/>
  <c r="K154" i="66"/>
  <c r="V154" i="66" s="1"/>
  <c r="BN166" i="54"/>
  <c r="P166" i="65"/>
  <c r="AI166" i="54"/>
  <c r="BC166" i="54" s="1"/>
  <c r="BN148" i="54"/>
  <c r="P148" i="65"/>
  <c r="AI148" i="54"/>
  <c r="BC148" i="54" s="1"/>
  <c r="AI68" i="54"/>
  <c r="BC68" i="54" s="1"/>
  <c r="BN68" i="54"/>
  <c r="P68" i="65"/>
  <c r="BN24" i="54"/>
  <c r="P24" i="65"/>
  <c r="L66" i="66"/>
  <c r="AI24" i="54"/>
  <c r="BC24" i="54" s="1"/>
  <c r="BN99" i="54"/>
  <c r="P99" i="65"/>
  <c r="AI99" i="54"/>
  <c r="BC99" i="54" s="1"/>
  <c r="BN20" i="54"/>
  <c r="AI20" i="54"/>
  <c r="BC20" i="54" s="1"/>
  <c r="P20" i="65"/>
  <c r="BN258" i="54"/>
  <c r="P258" i="65"/>
  <c r="AI258" i="54"/>
  <c r="BC258" i="54" s="1"/>
  <c r="X15" i="60"/>
  <c r="U14" i="15"/>
  <c r="L8" i="60"/>
  <c r="P265" i="65"/>
  <c r="AI265" i="54"/>
  <c r="BC265" i="54" s="1"/>
  <c r="BN265" i="54"/>
  <c r="BN27" i="54"/>
  <c r="AI27" i="54"/>
  <c r="BC27" i="54" s="1"/>
  <c r="P27" i="65"/>
  <c r="BN217" i="54"/>
  <c r="P217" i="65"/>
  <c r="AI217" i="54"/>
  <c r="BC217" i="54" s="1"/>
  <c r="P67" i="65"/>
  <c r="AI67" i="54"/>
  <c r="BC67" i="54" s="1"/>
  <c r="BN67" i="54"/>
  <c r="AI219" i="54"/>
  <c r="BC219" i="54" s="1"/>
  <c r="P219" i="65"/>
  <c r="BN219" i="54"/>
  <c r="BN112" i="54"/>
  <c r="AI112" i="54"/>
  <c r="BC112" i="54" s="1"/>
  <c r="P112" i="65"/>
  <c r="P26" i="65"/>
  <c r="AI26" i="54"/>
  <c r="BC26" i="54" s="1"/>
  <c r="BN26" i="54"/>
  <c r="BN283" i="54"/>
  <c r="AI283" i="54"/>
  <c r="BC283" i="54" s="1"/>
  <c r="P283" i="65"/>
  <c r="BN75" i="54"/>
  <c r="P75" i="65"/>
  <c r="AI75" i="54"/>
  <c r="BC75" i="54" s="1"/>
  <c r="AI294" i="54"/>
  <c r="BC294" i="54" s="1"/>
  <c r="BN294" i="54"/>
  <c r="P294" i="65"/>
  <c r="P192" i="65"/>
  <c r="BN192" i="54"/>
  <c r="AI192" i="54"/>
  <c r="BC192" i="54" s="1"/>
  <c r="P78" i="65"/>
  <c r="BN78" i="54"/>
  <c r="AI78" i="54"/>
  <c r="BC78" i="54" s="1"/>
  <c r="P128" i="65"/>
  <c r="AI128" i="54"/>
  <c r="BC128" i="54" s="1"/>
  <c r="BN128" i="54"/>
  <c r="AI303" i="54"/>
  <c r="BC303" i="54" s="1"/>
  <c r="P303" i="65"/>
  <c r="BN303" i="54"/>
  <c r="P187" i="65"/>
  <c r="AI187" i="54"/>
  <c r="BC187" i="54" s="1"/>
  <c r="BN187" i="54"/>
  <c r="P234" i="65"/>
  <c r="AI234" i="54"/>
  <c r="BC234" i="54" s="1"/>
  <c r="BN234" i="54"/>
  <c r="AI36" i="54"/>
  <c r="BC36" i="54" s="1"/>
  <c r="P36" i="65"/>
  <c r="BN36" i="54"/>
  <c r="AI209" i="54"/>
  <c r="BC209" i="54" s="1"/>
  <c r="BN209" i="54"/>
  <c r="P209" i="65"/>
  <c r="P73" i="65"/>
  <c r="AI73" i="54"/>
  <c r="BC73" i="54" s="1"/>
  <c r="BN73" i="54"/>
  <c r="P54" i="65"/>
  <c r="AI54" i="54"/>
  <c r="BC54" i="54" s="1"/>
  <c r="BN54" i="54"/>
  <c r="BN84" i="54"/>
  <c r="AI84" i="54"/>
  <c r="BC84" i="54" s="1"/>
  <c r="P84" i="65"/>
  <c r="AI222" i="54"/>
  <c r="BC222" i="54" s="1"/>
  <c r="BN222" i="54"/>
  <c r="P222" i="65"/>
  <c r="P281" i="65"/>
  <c r="AI281" i="54"/>
  <c r="BC281" i="54" s="1"/>
  <c r="BN281" i="54"/>
  <c r="AI216" i="54"/>
  <c r="BC216" i="54" s="1"/>
  <c r="BN216" i="54"/>
  <c r="P216" i="65"/>
  <c r="P93" i="65"/>
  <c r="BN93" i="54"/>
  <c r="AI93" i="54"/>
  <c r="BC93" i="54" s="1"/>
  <c r="BN50" i="54"/>
  <c r="AI50" i="54"/>
  <c r="BC50" i="54" s="1"/>
  <c r="P50" i="65"/>
  <c r="AI271" i="54"/>
  <c r="BC271" i="54" s="1"/>
  <c r="BN271" i="54"/>
  <c r="P271" i="65"/>
  <c r="P210" i="65"/>
  <c r="AI210" i="54"/>
  <c r="BC210" i="54" s="1"/>
  <c r="BN210" i="54"/>
  <c r="AT21" i="66"/>
  <c r="AR21" i="66"/>
  <c r="P238" i="65"/>
  <c r="BN238" i="54"/>
  <c r="AI238" i="54"/>
  <c r="BC238" i="54" s="1"/>
  <c r="AI163" i="54"/>
  <c r="BC163" i="54" s="1"/>
  <c r="BN163" i="54"/>
  <c r="P163" i="65"/>
  <c r="AI138" i="54"/>
  <c r="BC138" i="54" s="1"/>
  <c r="P138" i="65"/>
  <c r="BN138" i="54"/>
  <c r="AI236" i="54"/>
  <c r="BC236" i="54" s="1"/>
  <c r="P236" i="65"/>
  <c r="BN236" i="54"/>
  <c r="AI231" i="54"/>
  <c r="BC231" i="54" s="1"/>
  <c r="P231" i="65"/>
  <c r="BN231" i="54"/>
  <c r="P122" i="65"/>
  <c r="AI122" i="54"/>
  <c r="BC122" i="54" s="1"/>
  <c r="BN122" i="54"/>
  <c r="AI23" i="54"/>
  <c r="BC23" i="54" s="1"/>
  <c r="P23" i="65"/>
  <c r="BN23" i="54"/>
  <c r="P204" i="65"/>
  <c r="BN204" i="54"/>
  <c r="AI204" i="54"/>
  <c r="BC204" i="54" s="1"/>
  <c r="P51" i="65"/>
  <c r="BN51" i="54"/>
  <c r="AI51" i="54"/>
  <c r="BC51" i="54" s="1"/>
  <c r="AI151" i="54"/>
  <c r="BC151" i="54" s="1"/>
  <c r="BN151" i="54"/>
  <c r="P151" i="65"/>
  <c r="BN269" i="54"/>
  <c r="P269" i="65"/>
  <c r="AI269" i="54"/>
  <c r="BC269" i="54" s="1"/>
  <c r="BN29" i="54"/>
  <c r="P29" i="65"/>
  <c r="AI29" i="54"/>
  <c r="BC29" i="54" s="1"/>
  <c r="AI96" i="54"/>
  <c r="BC96" i="54" s="1"/>
  <c r="BN96" i="54"/>
  <c r="P96" i="65"/>
  <c r="AI63" i="54"/>
  <c r="BC63" i="54" s="1"/>
  <c r="P63" i="65"/>
  <c r="BN63" i="54"/>
  <c r="AI56" i="54"/>
  <c r="BC56" i="54" s="1"/>
  <c r="BN56" i="54"/>
  <c r="P56" i="65"/>
  <c r="AI124" i="54"/>
  <c r="BC124" i="54" s="1"/>
  <c r="P124" i="65"/>
  <c r="BN124" i="54"/>
  <c r="BN107" i="54"/>
  <c r="P107" i="65"/>
  <c r="AI107" i="54"/>
  <c r="BC107" i="54" s="1"/>
  <c r="AT19" i="66"/>
  <c r="AR19" i="66"/>
  <c r="BN48" i="54"/>
  <c r="P48" i="65"/>
  <c r="L67" i="66"/>
  <c r="AI48" i="54"/>
  <c r="BC48" i="54" s="1"/>
  <c r="AI37" i="66"/>
  <c r="BC37" i="66"/>
  <c r="W37" i="66"/>
  <c r="AS37" i="66" s="1"/>
  <c r="AI203" i="54"/>
  <c r="BC203" i="54" s="1"/>
  <c r="BN203" i="54"/>
  <c r="P203" i="65"/>
  <c r="BN246" i="54"/>
  <c r="P246" i="65"/>
  <c r="AI246" i="54"/>
  <c r="BC246" i="54" s="1"/>
  <c r="AI212" i="54"/>
  <c r="BC212" i="54" s="1"/>
  <c r="BN212" i="54"/>
  <c r="P212" i="65"/>
  <c r="P100" i="65"/>
  <c r="BN100" i="54"/>
  <c r="AI100" i="54"/>
  <c r="BC100" i="54" s="1"/>
  <c r="P158" i="65"/>
  <c r="BN158" i="54"/>
  <c r="AI158" i="54"/>
  <c r="BC158" i="54" s="1"/>
  <c r="AI52" i="54"/>
  <c r="BC52" i="54" s="1"/>
  <c r="BN52" i="54"/>
  <c r="P52" i="65"/>
  <c r="P57" i="65"/>
  <c r="AI57" i="54"/>
  <c r="BC57" i="54" s="1"/>
  <c r="BN57" i="54"/>
  <c r="AI304" i="54"/>
  <c r="BC304" i="54" s="1"/>
  <c r="BN304" i="54"/>
  <c r="P304" i="65"/>
  <c r="AI293" i="54"/>
  <c r="BC293" i="54" s="1"/>
  <c r="P293" i="65"/>
  <c r="BN293" i="54"/>
  <c r="P91" i="65"/>
  <c r="BN91" i="54"/>
  <c r="AI91" i="54"/>
  <c r="BC91" i="54" s="1"/>
  <c r="P95" i="65"/>
  <c r="AI95" i="54"/>
  <c r="BC95" i="54" s="1"/>
  <c r="BN95" i="54"/>
  <c r="BN34" i="54"/>
  <c r="AI34" i="54"/>
  <c r="BC34" i="54" s="1"/>
  <c r="P34" i="65"/>
  <c r="AI233" i="54"/>
  <c r="BC233" i="54" s="1"/>
  <c r="BN233" i="54"/>
  <c r="P233" i="65"/>
  <c r="BN16" i="54"/>
  <c r="P16" i="65"/>
  <c r="L71" i="66"/>
  <c r="AI16" i="54"/>
  <c r="BC16" i="54" s="1"/>
  <c r="BN123" i="54"/>
  <c r="P123" i="65"/>
  <c r="AI123" i="54"/>
  <c r="BC123" i="54" s="1"/>
  <c r="P39" i="65"/>
  <c r="AI39" i="54"/>
  <c r="BC39" i="54" s="1"/>
  <c r="BN39" i="54"/>
  <c r="BN19" i="54"/>
  <c r="AI19" i="54"/>
  <c r="BC19" i="54" s="1"/>
  <c r="P19" i="65"/>
  <c r="AI90" i="54"/>
  <c r="BC90" i="54" s="1"/>
  <c r="P90" i="65"/>
  <c r="BN90" i="54"/>
  <c r="AI277" i="54"/>
  <c r="BC277" i="54" s="1"/>
  <c r="BN277" i="54"/>
  <c r="P277" i="65"/>
  <c r="P120" i="65"/>
  <c r="BN120" i="54"/>
  <c r="AI120" i="54"/>
  <c r="BC120" i="54" s="1"/>
  <c r="BN38" i="54"/>
  <c r="P38" i="65"/>
  <c r="AI38" i="54"/>
  <c r="BC38" i="54" s="1"/>
  <c r="AI28" i="54"/>
  <c r="BC28" i="54" s="1"/>
  <c r="P28" i="65"/>
  <c r="BN28" i="54"/>
  <c r="P199" i="65"/>
  <c r="BN199" i="54"/>
  <c r="AI199" i="54"/>
  <c r="BC199" i="54" s="1"/>
  <c r="P82" i="65"/>
  <c r="BN82" i="54"/>
  <c r="AI82" i="54"/>
  <c r="BC82" i="54" s="1"/>
  <c r="AT18" i="66"/>
  <c r="AR18" i="66"/>
  <c r="AI205" i="54"/>
  <c r="BC205" i="54" s="1"/>
  <c r="P205" i="65"/>
  <c r="BN205" i="54"/>
  <c r="AI145" i="54"/>
  <c r="BC145" i="54" s="1"/>
  <c r="BN145" i="54"/>
  <c r="P145" i="65"/>
  <c r="P275" i="65"/>
  <c r="AI275" i="54"/>
  <c r="BC275" i="54" s="1"/>
  <c r="BN275" i="54"/>
  <c r="AI297" i="54"/>
  <c r="BC297" i="54" s="1"/>
  <c r="BN297" i="54"/>
  <c r="P297" i="65"/>
  <c r="P280" i="65"/>
  <c r="AI280" i="54"/>
  <c r="BC280" i="54" s="1"/>
  <c r="BN280" i="54"/>
  <c r="P298" i="65"/>
  <c r="AI298" i="54"/>
  <c r="BC298" i="54" s="1"/>
  <c r="BN298" i="54"/>
  <c r="BN33" i="54"/>
  <c r="L68" i="66"/>
  <c r="P33" i="65"/>
  <c r="AI33" i="54"/>
  <c r="BC33" i="54" s="1"/>
  <c r="P289" i="65"/>
  <c r="BN289" i="54"/>
  <c r="AI289" i="54"/>
  <c r="BC289" i="54" s="1"/>
  <c r="P250" i="65"/>
  <c r="AI250" i="54"/>
  <c r="BC250" i="54" s="1"/>
  <c r="BN250" i="54"/>
  <c r="BN168" i="54"/>
  <c r="AI168" i="54"/>
  <c r="BC168" i="54" s="1"/>
  <c r="P168" i="65"/>
  <c r="AI65" i="54"/>
  <c r="BC65" i="54" s="1"/>
  <c r="BN65" i="54"/>
  <c r="P65" i="65"/>
  <c r="BN119" i="54"/>
  <c r="P119" i="65"/>
  <c r="AI119" i="54"/>
  <c r="BC119" i="54" s="1"/>
  <c r="P45" i="65"/>
  <c r="AI45" i="54"/>
  <c r="BC45" i="54" s="1"/>
  <c r="BN45" i="54"/>
  <c r="AI133" i="54"/>
  <c r="BC133" i="54" s="1"/>
  <c r="BN133" i="54"/>
  <c r="P133" i="65"/>
  <c r="AI144" i="54"/>
  <c r="BC144" i="54" s="1"/>
  <c r="P144" i="65"/>
  <c r="BN144" i="54"/>
  <c r="P143" i="65"/>
  <c r="BN143" i="54"/>
  <c r="AI143" i="54"/>
  <c r="BC143" i="54" s="1"/>
  <c r="BN76" i="54"/>
  <c r="P76" i="65"/>
  <c r="AI76" i="54"/>
  <c r="BC76" i="54" s="1"/>
  <c r="P276" i="65"/>
  <c r="AI276" i="54"/>
  <c r="BC276" i="54" s="1"/>
  <c r="BN276" i="54"/>
  <c r="AI245" i="54"/>
  <c r="BC245" i="54" s="1"/>
  <c r="BN245" i="54"/>
  <c r="P245" i="65"/>
  <c r="AI227" i="54"/>
  <c r="BC227" i="54" s="1"/>
  <c r="BN227" i="54"/>
  <c r="P227" i="65"/>
  <c r="AI290" i="54"/>
  <c r="BC290" i="54" s="1"/>
  <c r="BN290" i="54"/>
  <c r="P290" i="65"/>
  <c r="BN49" i="54"/>
  <c r="P49" i="65"/>
  <c r="AI49" i="54"/>
  <c r="BC49" i="54" s="1"/>
  <c r="BN278" i="54"/>
  <c r="P278" i="65"/>
  <c r="AI278" i="54"/>
  <c r="BC278" i="54" s="1"/>
  <c r="AI225" i="54"/>
  <c r="BC225" i="54" s="1"/>
  <c r="P225" i="65"/>
  <c r="BN225" i="54"/>
  <c r="P155" i="65"/>
  <c r="AI155" i="54"/>
  <c r="BC155" i="54" s="1"/>
  <c r="BN155" i="54"/>
  <c r="BN226" i="54"/>
  <c r="P226" i="65"/>
  <c r="AI226" i="54"/>
  <c r="BC226" i="54" s="1"/>
  <c r="BN260" i="54"/>
  <c r="P260" i="65"/>
  <c r="AI260" i="54"/>
  <c r="BC260" i="54" s="1"/>
  <c r="AI295" i="54"/>
  <c r="BC295" i="54" s="1"/>
  <c r="P295" i="65"/>
  <c r="BN295" i="54"/>
  <c r="P97" i="65"/>
  <c r="BN97" i="54"/>
  <c r="AI97" i="54"/>
  <c r="BC97" i="54" s="1"/>
  <c r="P74" i="65"/>
  <c r="BN74" i="54"/>
  <c r="AI74" i="54"/>
  <c r="BC74" i="54" s="1"/>
  <c r="AI247" i="54"/>
  <c r="BC247" i="54" s="1"/>
  <c r="BN247" i="54"/>
  <c r="P247" i="65"/>
  <c r="P206" i="65"/>
  <c r="BN206" i="54"/>
  <c r="AI206" i="54"/>
  <c r="BC206" i="54" s="1"/>
  <c r="AI170" i="54"/>
  <c r="BC170" i="54" s="1"/>
  <c r="P170" i="65"/>
  <c r="BN170" i="54"/>
  <c r="P164" i="65"/>
  <c r="BN164" i="54"/>
  <c r="AI164" i="54"/>
  <c r="BC164" i="54" s="1"/>
  <c r="P85" i="65"/>
  <c r="BN85" i="54"/>
  <c r="AI85" i="54"/>
  <c r="BC85" i="54" s="1"/>
  <c r="P179" i="65"/>
  <c r="AI179" i="54"/>
  <c r="BC179" i="54" s="1"/>
  <c r="BN179" i="54"/>
  <c r="P71" i="65"/>
  <c r="BN71" i="54"/>
  <c r="AI71" i="54"/>
  <c r="BC71" i="54" s="1"/>
  <c r="AT23" i="66"/>
  <c r="AR23" i="66"/>
  <c r="BN251" i="54"/>
  <c r="P251" i="65"/>
  <c r="AI251" i="54"/>
  <c r="BC251" i="54" s="1"/>
  <c r="P150" i="65"/>
  <c r="AI150" i="54"/>
  <c r="BC150" i="54" s="1"/>
  <c r="BN150" i="54"/>
  <c r="AI180" i="54"/>
  <c r="BC180" i="54" s="1"/>
  <c r="BN180" i="54"/>
  <c r="P180" i="65"/>
  <c r="P194" i="65"/>
  <c r="AI194" i="54"/>
  <c r="BC194" i="54" s="1"/>
  <c r="BN194" i="54"/>
  <c r="AI25" i="54"/>
  <c r="BC25" i="54" s="1"/>
  <c r="BN25" i="54"/>
  <c r="P25" i="65"/>
  <c r="P87" i="65"/>
  <c r="BN87" i="54"/>
  <c r="AI87" i="54"/>
  <c r="BC87" i="54" s="1"/>
  <c r="AI40" i="54"/>
  <c r="BC40" i="54" s="1"/>
  <c r="P40" i="65"/>
  <c r="BN40" i="54"/>
  <c r="P274" i="65"/>
  <c r="BN274" i="54"/>
  <c r="AI274" i="54"/>
  <c r="BC274" i="54" s="1"/>
  <c r="BN173" i="54"/>
  <c r="AI173" i="54"/>
  <c r="BC173" i="54" s="1"/>
  <c r="P173" i="65"/>
  <c r="AI185" i="54"/>
  <c r="BC185" i="54" s="1"/>
  <c r="BN185" i="54"/>
  <c r="P185" i="65"/>
  <c r="P109" i="65"/>
  <c r="BN109" i="54"/>
  <c r="AI109" i="54"/>
  <c r="BC109" i="54" s="1"/>
  <c r="AI42" i="54"/>
  <c r="BC42" i="54" s="1"/>
  <c r="BN42" i="54"/>
  <c r="P42" i="65"/>
  <c r="P292" i="65"/>
  <c r="AI292" i="54"/>
  <c r="BC292" i="54" s="1"/>
  <c r="BN292" i="54"/>
  <c r="AI243" i="54"/>
  <c r="BC243" i="54" s="1"/>
  <c r="BN243" i="54"/>
  <c r="P243" i="65"/>
  <c r="AI153" i="54"/>
  <c r="BC153" i="54" s="1"/>
  <c r="P153" i="65"/>
  <c r="BN153" i="54"/>
  <c r="AI60" i="54"/>
  <c r="BC60" i="54" s="1"/>
  <c r="BN60" i="54"/>
  <c r="P60" i="65"/>
  <c r="BN302" i="54"/>
  <c r="P302" i="65"/>
  <c r="AI302" i="54"/>
  <c r="BC302" i="54" s="1"/>
  <c r="AI184" i="54"/>
  <c r="BC184" i="54" s="1"/>
  <c r="BN184" i="54"/>
  <c r="P184" i="65"/>
  <c r="BN154" i="54"/>
  <c r="P154" i="65"/>
  <c r="AI154" i="54"/>
  <c r="BC154" i="54" s="1"/>
  <c r="BN181" i="54"/>
  <c r="AI181" i="54"/>
  <c r="BC181" i="54" s="1"/>
  <c r="P181" i="65"/>
  <c r="BN218" i="54"/>
  <c r="P218" i="65"/>
  <c r="AI218" i="54"/>
  <c r="BC218" i="54" s="1"/>
  <c r="AI157" i="54"/>
  <c r="BC157" i="54" s="1"/>
  <c r="P157" i="65"/>
  <c r="BN157" i="54"/>
  <c r="BN291" i="54"/>
  <c r="AI291" i="54"/>
  <c r="BC291" i="54" s="1"/>
  <c r="P291" i="65"/>
  <c r="AI62" i="54"/>
  <c r="BC62" i="54" s="1"/>
  <c r="P62" i="65"/>
  <c r="BN62" i="54"/>
  <c r="P224" i="65"/>
  <c r="AI224" i="54"/>
  <c r="BC224" i="54" s="1"/>
  <c r="BN224" i="54"/>
  <c r="AI156" i="54"/>
  <c r="BC156" i="54" s="1"/>
  <c r="P156" i="65"/>
  <c r="BN156" i="54"/>
  <c r="P248" i="65"/>
  <c r="AI248" i="54"/>
  <c r="BC248" i="54" s="1"/>
  <c r="BN248" i="54"/>
  <c r="P198" i="65"/>
  <c r="AI198" i="54"/>
  <c r="BC198" i="54" s="1"/>
  <c r="BN198" i="54"/>
  <c r="BN159" i="54"/>
  <c r="P159" i="65"/>
  <c r="AI159" i="54"/>
  <c r="BC159" i="54" s="1"/>
  <c r="AI223" i="54"/>
  <c r="BC223" i="54" s="1"/>
  <c r="BN223" i="54"/>
  <c r="P223" i="65"/>
  <c r="BN189" i="54"/>
  <c r="P189" i="65"/>
  <c r="AI189" i="54"/>
  <c r="BC189" i="54" s="1"/>
  <c r="BN113" i="54"/>
  <c r="P113" i="65"/>
  <c r="AI113" i="54"/>
  <c r="BC113" i="54" s="1"/>
  <c r="AI229" i="54"/>
  <c r="BC229" i="54" s="1"/>
  <c r="P229" i="65"/>
  <c r="BN229" i="54"/>
  <c r="BN72" i="54"/>
  <c r="P72" i="65"/>
  <c r="AI72" i="54"/>
  <c r="BC72" i="54" s="1"/>
  <c r="P200" i="65"/>
  <c r="BN200" i="54"/>
  <c r="AI200" i="54"/>
  <c r="BC200" i="54" s="1"/>
  <c r="BN279" i="54"/>
  <c r="P279" i="65"/>
  <c r="AI279" i="54"/>
  <c r="BC279" i="54" s="1"/>
  <c r="P117" i="65"/>
  <c r="AI117" i="54"/>
  <c r="BC117" i="54" s="1"/>
  <c r="BN117" i="54"/>
  <c r="P152" i="65"/>
  <c r="BN152" i="54"/>
  <c r="AI152" i="54"/>
  <c r="BC152" i="54" s="1"/>
  <c r="P239" i="65"/>
  <c r="AI239" i="54"/>
  <c r="BC239" i="54" s="1"/>
  <c r="BN239" i="54"/>
  <c r="AI207" i="54"/>
  <c r="BC207" i="54" s="1"/>
  <c r="P207" i="65"/>
  <c r="BN207" i="54"/>
  <c r="P287" i="65"/>
  <c r="AI287" i="54"/>
  <c r="BC287" i="54" s="1"/>
  <c r="BN287" i="54"/>
  <c r="AI80" i="54"/>
  <c r="BC80" i="54" s="1"/>
  <c r="P80" i="65"/>
  <c r="BN80" i="54"/>
  <c r="P103" i="65"/>
  <c r="BN103" i="54"/>
  <c r="AI103" i="54"/>
  <c r="BC103" i="54" s="1"/>
  <c r="P111" i="65"/>
  <c r="BN111" i="54"/>
  <c r="AI111" i="54"/>
  <c r="BC111" i="54" s="1"/>
  <c r="AI263" i="54"/>
  <c r="BC263" i="54" s="1"/>
  <c r="BN263" i="54"/>
  <c r="P263" i="65"/>
  <c r="BN108" i="54"/>
  <c r="P108" i="65"/>
  <c r="AI108" i="54"/>
  <c r="BC108" i="54" s="1"/>
  <c r="P149" i="65"/>
  <c r="AI149" i="54"/>
  <c r="BC149" i="54" s="1"/>
  <c r="BN149" i="54"/>
  <c r="P162" i="65"/>
  <c r="AI162" i="54"/>
  <c r="BC162" i="54" s="1"/>
  <c r="BN162" i="54"/>
  <c r="P102" i="65"/>
  <c r="AI102" i="54"/>
  <c r="BC102" i="54" s="1"/>
  <c r="BN102" i="54"/>
  <c r="P55" i="65"/>
  <c r="AI55" i="54"/>
  <c r="BC55" i="54" s="1"/>
  <c r="BN55" i="54"/>
  <c r="P301" i="65"/>
  <c r="AI301" i="54"/>
  <c r="BC301" i="54" s="1"/>
  <c r="BN301" i="54"/>
  <c r="P256" i="65"/>
  <c r="BN256" i="54"/>
  <c r="AI256" i="54"/>
  <c r="BC256" i="54" s="1"/>
  <c r="P257" i="65"/>
  <c r="AI257" i="54"/>
  <c r="BC257" i="54" s="1"/>
  <c r="BN257" i="54"/>
  <c r="K152" i="66"/>
  <c r="V152" i="66" s="1"/>
  <c r="P30" i="65"/>
  <c r="AI30" i="54"/>
  <c r="BC30" i="54" s="1"/>
  <c r="BN30" i="54"/>
  <c r="P142" i="65"/>
  <c r="BN142" i="54"/>
  <c r="AI142" i="54"/>
  <c r="BC142" i="54" s="1"/>
  <c r="AI70" i="54"/>
  <c r="BC70" i="54" s="1"/>
  <c r="BN70" i="54"/>
  <c r="P70" i="65"/>
  <c r="AI58" i="54"/>
  <c r="BC58" i="54" s="1"/>
  <c r="BN58" i="54"/>
  <c r="P58" i="65"/>
  <c r="AI114" i="54"/>
  <c r="BC114" i="54" s="1"/>
  <c r="P114" i="65"/>
  <c r="BN114" i="54"/>
  <c r="AI172" i="54"/>
  <c r="BC172" i="54" s="1"/>
  <c r="BN172" i="54"/>
  <c r="P172" i="65"/>
  <c r="S32" i="15"/>
  <c r="AI183" i="54"/>
  <c r="BC183" i="54" s="1"/>
  <c r="BN183" i="54"/>
  <c r="P183" i="65"/>
  <c r="P307" i="65"/>
  <c r="AI307" i="54"/>
  <c r="BC307" i="54" s="1"/>
  <c r="BN307" i="54"/>
  <c r="AI220" i="54"/>
  <c r="BC220" i="54" s="1"/>
  <c r="P220" i="65"/>
  <c r="BN220" i="54"/>
  <c r="P174" i="65"/>
  <c r="AI174" i="54"/>
  <c r="BC174" i="54" s="1"/>
  <c r="BN174" i="54"/>
  <c r="AI69" i="54"/>
  <c r="BC69" i="54" s="1"/>
  <c r="P69" i="65"/>
  <c r="BN69" i="54"/>
  <c r="AT22" i="66"/>
  <c r="AR22" i="66"/>
  <c r="AI47" i="54"/>
  <c r="BC47" i="54" s="1"/>
  <c r="BN47" i="54"/>
  <c r="P47" i="65"/>
  <c r="BN270" i="54"/>
  <c r="AI270" i="54"/>
  <c r="BC270" i="54" s="1"/>
  <c r="P270" i="65"/>
  <c r="P300" i="65"/>
  <c r="AI300" i="54"/>
  <c r="BC300" i="54" s="1"/>
  <c r="BN300" i="54"/>
  <c r="P94" i="65"/>
  <c r="BN94" i="54"/>
  <c r="AI94" i="54"/>
  <c r="BC94" i="54" s="1"/>
  <c r="P299" i="65"/>
  <c r="AI299" i="54"/>
  <c r="BC299" i="54" s="1"/>
  <c r="BN299" i="54"/>
  <c r="AI80" i="65" l="1"/>
  <c r="P80" i="56"/>
  <c r="AI292" i="65"/>
  <c r="P292" i="56"/>
  <c r="AI227" i="65"/>
  <c r="P227" i="56"/>
  <c r="AI38" i="65"/>
  <c r="P38" i="56"/>
  <c r="AI51" i="65"/>
  <c r="P51" i="56"/>
  <c r="AI69" i="65"/>
  <c r="P69" i="56"/>
  <c r="AI102" i="65"/>
  <c r="P102" i="56"/>
  <c r="AI152" i="65"/>
  <c r="P152" i="56"/>
  <c r="AI229" i="65"/>
  <c r="P229" i="56"/>
  <c r="AI295" i="65"/>
  <c r="P295" i="56"/>
  <c r="AI226" i="65"/>
  <c r="P226" i="56"/>
  <c r="AI225" i="65"/>
  <c r="P225" i="56"/>
  <c r="AI49" i="65"/>
  <c r="P49" i="56"/>
  <c r="AI119" i="65"/>
  <c r="P119" i="56"/>
  <c r="AI297" i="65"/>
  <c r="P297" i="56"/>
  <c r="AI145" i="65"/>
  <c r="P145" i="56"/>
  <c r="AI199" i="65"/>
  <c r="P199" i="56"/>
  <c r="AI293" i="65"/>
  <c r="P293" i="56"/>
  <c r="L18" i="66"/>
  <c r="AI48" i="65"/>
  <c r="P48" i="56"/>
  <c r="AI303" i="65"/>
  <c r="P303" i="56"/>
  <c r="AI20" i="65"/>
  <c r="P20" i="56"/>
  <c r="AI166" i="65"/>
  <c r="P166" i="56"/>
  <c r="AI196" i="65"/>
  <c r="P196" i="56"/>
  <c r="P7" i="65"/>
  <c r="L21" i="66"/>
  <c r="P13" i="65"/>
  <c r="AI13" i="65" s="1"/>
  <c r="AI15" i="65"/>
  <c r="P15" i="56"/>
  <c r="AI118" i="65"/>
  <c r="P118" i="56"/>
  <c r="L144" i="66"/>
  <c r="W144" i="66" s="1"/>
  <c r="AI175" i="65"/>
  <c r="P175" i="56"/>
  <c r="AI105" i="65"/>
  <c r="P105" i="56"/>
  <c r="AI208" i="65"/>
  <c r="P208" i="56"/>
  <c r="AI160" i="65"/>
  <c r="P160" i="56"/>
  <c r="AI116" i="65"/>
  <c r="P116" i="56"/>
  <c r="AI178" i="65"/>
  <c r="P178" i="56"/>
  <c r="AI202" i="65"/>
  <c r="P202" i="56"/>
  <c r="AI195" i="65"/>
  <c r="P195" i="56"/>
  <c r="AI64" i="65"/>
  <c r="P64" i="56"/>
  <c r="AI214" i="65"/>
  <c r="P214" i="56"/>
  <c r="AI142" i="65"/>
  <c r="P142" i="56"/>
  <c r="AI207" i="65"/>
  <c r="P207" i="56"/>
  <c r="AI224" i="65"/>
  <c r="P224" i="56"/>
  <c r="AI109" i="65"/>
  <c r="P109" i="56"/>
  <c r="AI168" i="65"/>
  <c r="P168" i="56"/>
  <c r="AI233" i="65"/>
  <c r="P233" i="56"/>
  <c r="AI212" i="65"/>
  <c r="P212" i="56"/>
  <c r="AI271" i="65"/>
  <c r="P271" i="56"/>
  <c r="AI209" i="65"/>
  <c r="P209" i="56"/>
  <c r="AI237" i="65"/>
  <c r="P237" i="56"/>
  <c r="AI140" i="65"/>
  <c r="P140" i="56"/>
  <c r="AI139" i="65"/>
  <c r="P139" i="56"/>
  <c r="AI215" i="65"/>
  <c r="P215" i="56"/>
  <c r="AI92" i="65"/>
  <c r="P92" i="56"/>
  <c r="AI301" i="65"/>
  <c r="P301" i="56"/>
  <c r="AI111" i="65"/>
  <c r="P111" i="56"/>
  <c r="AI189" i="65"/>
  <c r="P189" i="56"/>
  <c r="AI47" i="65"/>
  <c r="P47" i="56"/>
  <c r="AI184" i="65"/>
  <c r="P184" i="56"/>
  <c r="AI42" i="65"/>
  <c r="P42" i="56"/>
  <c r="AI179" i="65"/>
  <c r="P179" i="56"/>
  <c r="AI164" i="65"/>
  <c r="P164" i="56"/>
  <c r="AI74" i="65"/>
  <c r="P74" i="56"/>
  <c r="AI276" i="65"/>
  <c r="P276" i="56"/>
  <c r="AI143" i="65"/>
  <c r="P143" i="56"/>
  <c r="AI289" i="65"/>
  <c r="P289" i="56"/>
  <c r="AI95" i="65"/>
  <c r="P95" i="56"/>
  <c r="AI57" i="65"/>
  <c r="P57" i="56"/>
  <c r="AI158" i="65"/>
  <c r="P158" i="56"/>
  <c r="L139" i="66"/>
  <c r="W139" i="66" s="1"/>
  <c r="AI151" i="65"/>
  <c r="P151" i="56"/>
  <c r="AI163" i="65"/>
  <c r="P163" i="56"/>
  <c r="AI93" i="65"/>
  <c r="P93" i="56"/>
  <c r="AI281" i="65"/>
  <c r="P281" i="56"/>
  <c r="AI54" i="65"/>
  <c r="P54" i="56"/>
  <c r="AI234" i="65"/>
  <c r="P234" i="56"/>
  <c r="AI78" i="65"/>
  <c r="P78" i="56"/>
  <c r="AI294" i="65"/>
  <c r="P294" i="56"/>
  <c r="AI283" i="65"/>
  <c r="P283" i="56"/>
  <c r="AI112" i="65"/>
  <c r="P112" i="56"/>
  <c r="AI27" i="65"/>
  <c r="P27" i="56"/>
  <c r="L73" i="66"/>
  <c r="W66" i="66"/>
  <c r="AS66" i="66" s="1"/>
  <c r="AI66" i="66"/>
  <c r="BC66" i="66"/>
  <c r="BC7" i="54"/>
  <c r="BC6" i="54" s="1"/>
  <c r="L23" i="66"/>
  <c r="AI22" i="65"/>
  <c r="P22" i="56"/>
  <c r="AI235" i="65"/>
  <c r="P235" i="56"/>
  <c r="AI165" i="65"/>
  <c r="P165" i="56"/>
  <c r="L20" i="66"/>
  <c r="AI17" i="65"/>
  <c r="P17" i="56"/>
  <c r="AI273" i="65"/>
  <c r="P273" i="56"/>
  <c r="AI59" i="65"/>
  <c r="P59" i="56"/>
  <c r="AI77" i="65"/>
  <c r="P77" i="56"/>
  <c r="AI81" i="65"/>
  <c r="P81" i="56"/>
  <c r="AI213" i="65"/>
  <c r="P213" i="56"/>
  <c r="AI53" i="65"/>
  <c r="P53" i="56"/>
  <c r="W69" i="66"/>
  <c r="AS69" i="66" s="1"/>
  <c r="AI69" i="66"/>
  <c r="BC69" i="66"/>
  <c r="AI61" i="65"/>
  <c r="P61" i="56"/>
  <c r="AI134" i="65"/>
  <c r="P134" i="56"/>
  <c r="AI141" i="65"/>
  <c r="P141" i="56"/>
  <c r="AI110" i="65"/>
  <c r="P110" i="56"/>
  <c r="AI171" i="65"/>
  <c r="P171" i="56"/>
  <c r="AI272" i="65"/>
  <c r="P272" i="56"/>
  <c r="AI252" i="65"/>
  <c r="P252" i="56"/>
  <c r="AI230" i="65"/>
  <c r="P230" i="56"/>
  <c r="AI220" i="65"/>
  <c r="P220" i="56"/>
  <c r="AI257" i="65"/>
  <c r="P257" i="56"/>
  <c r="AI162" i="65"/>
  <c r="P162" i="56"/>
  <c r="AI159" i="65"/>
  <c r="P159" i="56"/>
  <c r="AI70" i="65"/>
  <c r="P70" i="56"/>
  <c r="AI72" i="65"/>
  <c r="P72" i="56"/>
  <c r="AI181" i="65"/>
  <c r="P181" i="56"/>
  <c r="AI60" i="65"/>
  <c r="P60" i="56"/>
  <c r="AI243" i="65"/>
  <c r="P243" i="56"/>
  <c r="AI185" i="65"/>
  <c r="P185" i="56"/>
  <c r="AI206" i="65"/>
  <c r="P206" i="56"/>
  <c r="AI114" i="65"/>
  <c r="P114" i="56"/>
  <c r="AI263" i="65"/>
  <c r="P263" i="56"/>
  <c r="AI62" i="65"/>
  <c r="P62" i="56"/>
  <c r="AI157" i="65"/>
  <c r="P157" i="56"/>
  <c r="AI298" i="65"/>
  <c r="P298" i="56"/>
  <c r="AI124" i="65"/>
  <c r="P124" i="56"/>
  <c r="AI63" i="65"/>
  <c r="P63" i="56"/>
  <c r="AI29" i="65"/>
  <c r="P29" i="56"/>
  <c r="AI236" i="65"/>
  <c r="P236" i="56"/>
  <c r="U21" i="15"/>
  <c r="V14" i="15"/>
  <c r="L17" i="66"/>
  <c r="AI24" i="65"/>
  <c r="P24" i="56"/>
  <c r="K156" i="66"/>
  <c r="V156" i="66" s="1"/>
  <c r="AI136" i="65"/>
  <c r="P136" i="56"/>
  <c r="AI186" i="65"/>
  <c r="P186" i="56"/>
  <c r="BN7" i="54"/>
  <c r="L142" i="66"/>
  <c r="W142" i="66" s="1"/>
  <c r="AI32" i="65"/>
  <c r="P32" i="56"/>
  <c r="AI126" i="65"/>
  <c r="P126" i="56"/>
  <c r="AI268" i="65"/>
  <c r="P268" i="56"/>
  <c r="L141" i="66"/>
  <c r="W141" i="66" s="1"/>
  <c r="AI135" i="65"/>
  <c r="P135" i="56"/>
  <c r="AI66" i="65"/>
  <c r="P66" i="56"/>
  <c r="AI182" i="65"/>
  <c r="P182" i="56"/>
  <c r="AI35" i="65"/>
  <c r="P35" i="56"/>
  <c r="AI249" i="65"/>
  <c r="P249" i="56"/>
  <c r="AI169" i="65"/>
  <c r="P169" i="56"/>
  <c r="AT24" i="66"/>
  <c r="AR24" i="66"/>
  <c r="AI43" i="65"/>
  <c r="P43" i="56"/>
  <c r="AI130" i="65"/>
  <c r="P130" i="56"/>
  <c r="AI86" i="65"/>
  <c r="P86" i="56"/>
  <c r="AI247" i="65"/>
  <c r="P247" i="56"/>
  <c r="AI245" i="65"/>
  <c r="P245" i="56"/>
  <c r="AI65" i="65"/>
  <c r="P65" i="56"/>
  <c r="AI28" i="65"/>
  <c r="P28" i="56"/>
  <c r="AI90" i="65"/>
  <c r="P90" i="56"/>
  <c r="BC71" i="66"/>
  <c r="AI71" i="66"/>
  <c r="W71" i="66"/>
  <c r="AS71" i="66" s="1"/>
  <c r="AI34" i="65"/>
  <c r="P34" i="56"/>
  <c r="AI304" i="65"/>
  <c r="P304" i="56"/>
  <c r="AI52" i="65"/>
  <c r="P52" i="56"/>
  <c r="AI204" i="65"/>
  <c r="P204" i="56"/>
  <c r="AI122" i="65"/>
  <c r="P122" i="56"/>
  <c r="AI50" i="65"/>
  <c r="P50" i="56"/>
  <c r="AI216" i="65"/>
  <c r="P216" i="56"/>
  <c r="AI222" i="65"/>
  <c r="P222" i="56"/>
  <c r="AI67" i="65"/>
  <c r="P67" i="56"/>
  <c r="X18" i="60"/>
  <c r="L18" i="60" s="1"/>
  <c r="X22" i="60"/>
  <c r="L15" i="60"/>
  <c r="L138" i="66"/>
  <c r="AI44" i="65"/>
  <c r="L19" i="66"/>
  <c r="P44" i="56"/>
  <c r="AI101" i="65"/>
  <c r="P101" i="56"/>
  <c r="AI79" i="65"/>
  <c r="P79" i="56"/>
  <c r="AI13" i="54"/>
  <c r="P11" i="54"/>
  <c r="AI266" i="65"/>
  <c r="P266" i="56"/>
  <c r="AI288" i="65"/>
  <c r="P288" i="56"/>
  <c r="AI21" i="65"/>
  <c r="P21" i="56"/>
  <c r="AI98" i="65"/>
  <c r="P98" i="56"/>
  <c r="AI244" i="65"/>
  <c r="P244" i="56"/>
  <c r="AI121" i="65"/>
  <c r="P121" i="56"/>
  <c r="AI191" i="65"/>
  <c r="P191" i="56"/>
  <c r="AI241" i="65"/>
  <c r="P241" i="56"/>
  <c r="AI305" i="65"/>
  <c r="P305" i="56"/>
  <c r="AI228" i="65"/>
  <c r="P228" i="56"/>
  <c r="AI255" i="65"/>
  <c r="P255" i="56"/>
  <c r="AI31" i="65"/>
  <c r="P31" i="56"/>
  <c r="AI104" i="65"/>
  <c r="P104" i="56"/>
  <c r="BC67" i="66"/>
  <c r="AI67" i="66"/>
  <c r="W67" i="66"/>
  <c r="AS67" i="66" s="1"/>
  <c r="AI238" i="65"/>
  <c r="P238" i="56"/>
  <c r="AI84" i="65"/>
  <c r="P84" i="56"/>
  <c r="AI192" i="65"/>
  <c r="P192" i="56"/>
  <c r="AI26" i="65"/>
  <c r="P26" i="56"/>
  <c r="AI125" i="65"/>
  <c r="P125" i="56"/>
  <c r="AI88" i="65"/>
  <c r="P88" i="56"/>
  <c r="AI299" i="65"/>
  <c r="P299" i="56"/>
  <c r="AI223" i="65"/>
  <c r="P223" i="56"/>
  <c r="AI248" i="65"/>
  <c r="P248" i="56"/>
  <c r="AI274" i="65"/>
  <c r="P274" i="56"/>
  <c r="AI87" i="65"/>
  <c r="P87" i="56"/>
  <c r="AI194" i="65"/>
  <c r="P194" i="56"/>
  <c r="AI150" i="65"/>
  <c r="P150" i="56"/>
  <c r="AI290" i="65"/>
  <c r="P290" i="56"/>
  <c r="AI256" i="65"/>
  <c r="P256" i="56"/>
  <c r="AI55" i="65"/>
  <c r="P55" i="56"/>
  <c r="AI149" i="65"/>
  <c r="P149" i="56"/>
  <c r="AI103" i="65"/>
  <c r="P103" i="56"/>
  <c r="AI287" i="65"/>
  <c r="P287" i="56"/>
  <c r="AI239" i="65"/>
  <c r="P239" i="56"/>
  <c r="AI117" i="65"/>
  <c r="P117" i="56"/>
  <c r="AI200" i="65"/>
  <c r="P200" i="56"/>
  <c r="AI113" i="65"/>
  <c r="P113" i="56"/>
  <c r="AI170" i="65"/>
  <c r="P170" i="56"/>
  <c r="AI260" i="65"/>
  <c r="P260" i="56"/>
  <c r="AI278" i="65"/>
  <c r="P278" i="56"/>
  <c r="AI76" i="65"/>
  <c r="P76" i="56"/>
  <c r="AI144" i="65"/>
  <c r="P144" i="56"/>
  <c r="AI33" i="65"/>
  <c r="P33" i="56"/>
  <c r="AI82" i="65"/>
  <c r="P82" i="56"/>
  <c r="AI120" i="65"/>
  <c r="P120" i="56"/>
  <c r="AI39" i="65"/>
  <c r="P39" i="56"/>
  <c r="L22" i="66"/>
  <c r="AI16" i="65"/>
  <c r="P16" i="56"/>
  <c r="AI246" i="65"/>
  <c r="P246" i="56"/>
  <c r="AI36" i="65"/>
  <c r="P36" i="56"/>
  <c r="AI148" i="65"/>
  <c r="P148" i="56"/>
  <c r="AI211" i="65"/>
  <c r="P211" i="56"/>
  <c r="AI264" i="65"/>
  <c r="P264" i="56"/>
  <c r="AI232" i="65"/>
  <c r="P232" i="56"/>
  <c r="AI127" i="65"/>
  <c r="P127" i="56"/>
  <c r="AI201" i="65"/>
  <c r="P201" i="56"/>
  <c r="AI106" i="65"/>
  <c r="P106" i="56"/>
  <c r="AI131" i="65"/>
  <c r="P131" i="56"/>
  <c r="AI197" i="65"/>
  <c r="P197" i="56"/>
  <c r="AI115" i="65"/>
  <c r="P115" i="56"/>
  <c r="AI261" i="65"/>
  <c r="P261" i="56"/>
  <c r="AI132" i="65"/>
  <c r="P132" i="56"/>
  <c r="AI161" i="65"/>
  <c r="P161" i="56"/>
  <c r="AI129" i="65"/>
  <c r="P129" i="56"/>
  <c r="AI89" i="65"/>
  <c r="P89" i="56"/>
  <c r="AI284" i="65"/>
  <c r="P284" i="56"/>
  <c r="AI83" i="65"/>
  <c r="P83" i="56"/>
  <c r="AI37" i="65"/>
  <c r="P37" i="56"/>
  <c r="AI94" i="65"/>
  <c r="P94" i="56"/>
  <c r="AI108" i="65"/>
  <c r="P108" i="56"/>
  <c r="AI279" i="65"/>
  <c r="P279" i="56"/>
  <c r="AI198" i="65"/>
  <c r="P198" i="56"/>
  <c r="AI133" i="65"/>
  <c r="P133" i="56"/>
  <c r="AI123" i="65"/>
  <c r="P123" i="56"/>
  <c r="AI203" i="65"/>
  <c r="P203" i="56"/>
  <c r="AI265" i="65"/>
  <c r="P265" i="56"/>
  <c r="AI291" i="65"/>
  <c r="P291" i="56"/>
  <c r="AI173" i="65"/>
  <c r="P173" i="56"/>
  <c r="AI25" i="65"/>
  <c r="P25" i="56"/>
  <c r="AI180" i="65"/>
  <c r="P180" i="56"/>
  <c r="AI71" i="65"/>
  <c r="P71" i="56"/>
  <c r="AI85" i="65"/>
  <c r="P85" i="56"/>
  <c r="AI97" i="65"/>
  <c r="P97" i="56"/>
  <c r="AI155" i="65"/>
  <c r="P155" i="56"/>
  <c r="AI45" i="65"/>
  <c r="P45" i="56"/>
  <c r="AI250" i="65"/>
  <c r="P250" i="56"/>
  <c r="AI68" i="66"/>
  <c r="BC68" i="66"/>
  <c r="W68" i="66"/>
  <c r="AS68" i="66" s="1"/>
  <c r="AI205" i="65"/>
  <c r="P205" i="56"/>
  <c r="L143" i="66"/>
  <c r="W143" i="66" s="1"/>
  <c r="AI91" i="65"/>
  <c r="P91" i="56"/>
  <c r="AI100" i="65"/>
  <c r="P100" i="56"/>
  <c r="AI56" i="65"/>
  <c r="P56" i="56"/>
  <c r="AI96" i="65"/>
  <c r="P96" i="56"/>
  <c r="AI210" i="65"/>
  <c r="P210" i="56"/>
  <c r="AI73" i="65"/>
  <c r="P73" i="56"/>
  <c r="AI187" i="65"/>
  <c r="P187" i="56"/>
  <c r="AI128" i="65"/>
  <c r="P128" i="56"/>
  <c r="AI258" i="65"/>
  <c r="P258" i="56"/>
  <c r="AI99" i="65"/>
  <c r="P99" i="56"/>
  <c r="AI68" i="65"/>
  <c r="P68" i="56"/>
  <c r="AI167" i="65"/>
  <c r="P167" i="56"/>
  <c r="AI193" i="65"/>
  <c r="P193" i="56"/>
  <c r="AI286" i="65"/>
  <c r="P286" i="56"/>
  <c r="AI240" i="65"/>
  <c r="P240" i="56"/>
  <c r="AI296" i="65"/>
  <c r="P296" i="56"/>
  <c r="AI41" i="65"/>
  <c r="P41" i="56"/>
  <c r="AI137" i="65"/>
  <c r="P137" i="56"/>
  <c r="AI183" i="65"/>
  <c r="P183" i="56"/>
  <c r="AI70" i="66"/>
  <c r="W70" i="66"/>
  <c r="AS70" i="66" s="1"/>
  <c r="BC70" i="66"/>
  <c r="AI262" i="65"/>
  <c r="P262" i="56"/>
  <c r="AI300" i="65"/>
  <c r="P300" i="56"/>
  <c r="AI30" i="65"/>
  <c r="P30" i="56"/>
  <c r="AI270" i="65"/>
  <c r="P270" i="56"/>
  <c r="AI174" i="65"/>
  <c r="P174" i="56"/>
  <c r="AI307" i="65"/>
  <c r="P307" i="56"/>
  <c r="AI172" i="65"/>
  <c r="P172" i="56"/>
  <c r="AI58" i="65"/>
  <c r="P58" i="56"/>
  <c r="AI156" i="65"/>
  <c r="P156" i="56"/>
  <c r="AI218" i="65"/>
  <c r="P218" i="56"/>
  <c r="AI154" i="65"/>
  <c r="P154" i="56"/>
  <c r="AI302" i="65"/>
  <c r="P302" i="56"/>
  <c r="AI153" i="65"/>
  <c r="P153" i="56"/>
  <c r="AI40" i="65"/>
  <c r="P40" i="56"/>
  <c r="AI251" i="65"/>
  <c r="P251" i="56"/>
  <c r="L140" i="66"/>
  <c r="W140" i="66" s="1"/>
  <c r="AI280" i="65"/>
  <c r="P280" i="56"/>
  <c r="AI275" i="65"/>
  <c r="P275" i="56"/>
  <c r="AI277" i="65"/>
  <c r="P277" i="56"/>
  <c r="AI19" i="65"/>
  <c r="P19" i="56"/>
  <c r="AI107" i="65"/>
  <c r="P107" i="56"/>
  <c r="AI269" i="65"/>
  <c r="P269" i="56"/>
  <c r="AI23" i="65"/>
  <c r="P23" i="56"/>
  <c r="AI231" i="65"/>
  <c r="P231" i="56"/>
  <c r="AI138" i="65"/>
  <c r="P138" i="56"/>
  <c r="AI75" i="65"/>
  <c r="P75" i="56"/>
  <c r="AI219" i="65"/>
  <c r="P219" i="56"/>
  <c r="AI217" i="65"/>
  <c r="P217" i="56"/>
  <c r="AI190" i="65"/>
  <c r="P190" i="56"/>
  <c r="AI146" i="65"/>
  <c r="P146" i="56"/>
  <c r="AI259" i="65"/>
  <c r="P259" i="56"/>
  <c r="AI282" i="65"/>
  <c r="P282" i="56"/>
  <c r="AI147" i="65"/>
  <c r="P147" i="56"/>
  <c r="AI188" i="65"/>
  <c r="P188" i="56"/>
  <c r="AI306" i="65"/>
  <c r="P306" i="56"/>
  <c r="AI253" i="65"/>
  <c r="P253" i="56"/>
  <c r="AI221" i="65"/>
  <c r="P221" i="56"/>
  <c r="AI72" i="66"/>
  <c r="W72" i="66"/>
  <c r="AS72" i="66" s="1"/>
  <c r="BC72" i="66"/>
  <c r="AI267" i="65"/>
  <c r="P267" i="56"/>
  <c r="AI254" i="65"/>
  <c r="P254" i="56"/>
  <c r="AI18" i="65"/>
  <c r="P18" i="56"/>
  <c r="AI46" i="65"/>
  <c r="P46" i="56"/>
  <c r="AI176" i="65"/>
  <c r="P176" i="56"/>
  <c r="AI177" i="65"/>
  <c r="P177" i="56"/>
  <c r="AI285" i="65"/>
  <c r="P285" i="56"/>
  <c r="AI242" i="65"/>
  <c r="P242" i="56"/>
  <c r="AI41" i="56" l="1"/>
  <c r="AX41" i="56"/>
  <c r="AX228" i="56"/>
  <c r="AI228" i="56"/>
  <c r="AX252" i="56"/>
  <c r="AI252" i="56"/>
  <c r="W23" i="66"/>
  <c r="AS23" i="66" s="1"/>
  <c r="AI23" i="66"/>
  <c r="AI95" i="56"/>
  <c r="AX95" i="56"/>
  <c r="AX111" i="56"/>
  <c r="AI111" i="56"/>
  <c r="AX109" i="56"/>
  <c r="AI109" i="56"/>
  <c r="AI214" i="56"/>
  <c r="AX214" i="56"/>
  <c r="AX196" i="56"/>
  <c r="AI196" i="56"/>
  <c r="AX48" i="56"/>
  <c r="AI48" i="56"/>
  <c r="AI69" i="56"/>
  <c r="AX69" i="56"/>
  <c r="AX253" i="56"/>
  <c r="AI253" i="56"/>
  <c r="AX282" i="56"/>
  <c r="AI282" i="56"/>
  <c r="AI99" i="56"/>
  <c r="AX99" i="56"/>
  <c r="AX73" i="56"/>
  <c r="AI73" i="56"/>
  <c r="AI100" i="56"/>
  <c r="AX100" i="56"/>
  <c r="AX198" i="56"/>
  <c r="AI198" i="56"/>
  <c r="AX37" i="56"/>
  <c r="AI37" i="56"/>
  <c r="AX132" i="56"/>
  <c r="AI132" i="56"/>
  <c r="AX131" i="56"/>
  <c r="AI131" i="56"/>
  <c r="AX16" i="56"/>
  <c r="AI16" i="56"/>
  <c r="AI117" i="56"/>
  <c r="AX117" i="56"/>
  <c r="AI149" i="56"/>
  <c r="AX149" i="56"/>
  <c r="AX125" i="56"/>
  <c r="AI125" i="56"/>
  <c r="AI104" i="56"/>
  <c r="AX104" i="56"/>
  <c r="AX191" i="56"/>
  <c r="AI191" i="56"/>
  <c r="AX79" i="56"/>
  <c r="AI79" i="56"/>
  <c r="AI222" i="56"/>
  <c r="AX222" i="56"/>
  <c r="AI204" i="56"/>
  <c r="AX204" i="56"/>
  <c r="AX126" i="56"/>
  <c r="AI126" i="56"/>
  <c r="AI136" i="56"/>
  <c r="AX136" i="56"/>
  <c r="W17" i="66"/>
  <c r="AS17" i="66" s="1"/>
  <c r="L24" i="66"/>
  <c r="AI17" i="66"/>
  <c r="AX29" i="56"/>
  <c r="AI29" i="56"/>
  <c r="AX62" i="56"/>
  <c r="AI62" i="56"/>
  <c r="AX206" i="56"/>
  <c r="AI206" i="56"/>
  <c r="AI181" i="56"/>
  <c r="AX181" i="56"/>
  <c r="AX70" i="56"/>
  <c r="AI70" i="56"/>
  <c r="AI257" i="56"/>
  <c r="AX257" i="56"/>
  <c r="AI20" i="66"/>
  <c r="W20" i="66"/>
  <c r="AS20" i="66" s="1"/>
  <c r="AX283" i="56"/>
  <c r="AI283" i="56"/>
  <c r="AX54" i="56"/>
  <c r="AI54" i="56"/>
  <c r="AX151" i="56"/>
  <c r="AI151" i="56"/>
  <c r="AI289" i="56"/>
  <c r="AX289" i="56"/>
  <c r="AX164" i="56"/>
  <c r="AI164" i="56"/>
  <c r="AX233" i="56"/>
  <c r="AI233" i="56"/>
  <c r="AX178" i="56"/>
  <c r="AI178" i="56"/>
  <c r="AI105" i="56"/>
  <c r="AX105" i="56"/>
  <c r="AX297" i="56"/>
  <c r="AI297" i="56"/>
  <c r="AX226" i="56"/>
  <c r="AI226" i="56"/>
  <c r="AX152" i="56"/>
  <c r="AI152" i="56"/>
  <c r="AX154" i="56"/>
  <c r="AI154" i="56"/>
  <c r="AI174" i="56"/>
  <c r="AX174" i="56"/>
  <c r="AX286" i="56"/>
  <c r="AI286" i="56"/>
  <c r="AX192" i="56"/>
  <c r="AI192" i="56"/>
  <c r="AI182" i="56"/>
  <c r="AX182" i="56"/>
  <c r="AI141" i="56"/>
  <c r="AX141" i="56"/>
  <c r="AX18" i="56"/>
  <c r="AI18" i="56"/>
  <c r="AX138" i="56"/>
  <c r="AI138" i="56"/>
  <c r="AX107" i="56"/>
  <c r="AI107" i="56"/>
  <c r="AI19" i="56"/>
  <c r="AX19" i="56"/>
  <c r="AX40" i="56"/>
  <c r="AI40" i="56"/>
  <c r="AI218" i="56"/>
  <c r="AX218" i="56"/>
  <c r="AX58" i="56"/>
  <c r="AI58" i="56"/>
  <c r="AI270" i="56"/>
  <c r="AX270" i="56"/>
  <c r="AI296" i="56"/>
  <c r="AX296" i="56"/>
  <c r="AX193" i="56"/>
  <c r="AI193" i="56"/>
  <c r="AI250" i="56"/>
  <c r="AX250" i="56"/>
  <c r="AX85" i="56"/>
  <c r="AI85" i="56"/>
  <c r="AX173" i="56"/>
  <c r="AI173" i="56"/>
  <c r="AI232" i="56"/>
  <c r="AX232" i="56"/>
  <c r="AX33" i="56"/>
  <c r="AI33" i="56"/>
  <c r="AX260" i="56"/>
  <c r="AI260" i="56"/>
  <c r="AX87" i="56"/>
  <c r="AI87" i="56"/>
  <c r="AI84" i="56"/>
  <c r="AX84" i="56"/>
  <c r="AI305" i="56"/>
  <c r="AX305" i="56"/>
  <c r="AI21" i="56"/>
  <c r="AX21" i="56"/>
  <c r="AX247" i="56"/>
  <c r="AI247" i="56"/>
  <c r="AI169" i="56"/>
  <c r="AX169" i="56"/>
  <c r="AX66" i="56"/>
  <c r="AI66" i="56"/>
  <c r="AX272" i="56"/>
  <c r="AI272" i="56"/>
  <c r="AI134" i="56"/>
  <c r="AX134" i="56"/>
  <c r="AI61" i="56"/>
  <c r="AX61" i="56"/>
  <c r="AX165" i="56"/>
  <c r="AI165" i="56"/>
  <c r="AI301" i="56"/>
  <c r="AX301" i="56"/>
  <c r="AX224" i="56"/>
  <c r="AI224" i="56"/>
  <c r="AI64" i="56"/>
  <c r="AX64" i="56"/>
  <c r="AI166" i="56"/>
  <c r="AX166" i="56"/>
  <c r="W18" i="66"/>
  <c r="AS18" i="66" s="1"/>
  <c r="AI18" i="66"/>
  <c r="AX227" i="56"/>
  <c r="AI227" i="56"/>
  <c r="AX25" i="56"/>
  <c r="AI25" i="56"/>
  <c r="AX148" i="56"/>
  <c r="AI148" i="56"/>
  <c r="AX223" i="56"/>
  <c r="AI223" i="56"/>
  <c r="AX306" i="56"/>
  <c r="AI306" i="56"/>
  <c r="AX258" i="56"/>
  <c r="AI258" i="56"/>
  <c r="AX210" i="56"/>
  <c r="AI210" i="56"/>
  <c r="AI91" i="56"/>
  <c r="AX91" i="56"/>
  <c r="AX265" i="56"/>
  <c r="AI265" i="56"/>
  <c r="AI83" i="56"/>
  <c r="AX83" i="56"/>
  <c r="AI106" i="56"/>
  <c r="AX106" i="56"/>
  <c r="AI22" i="66"/>
  <c r="W22" i="66"/>
  <c r="AS22" i="66" s="1"/>
  <c r="AI239" i="56"/>
  <c r="AX239" i="56"/>
  <c r="AI55" i="56"/>
  <c r="AX55" i="56"/>
  <c r="AI31" i="56"/>
  <c r="AX31" i="56"/>
  <c r="AX121" i="56"/>
  <c r="AI121" i="56"/>
  <c r="AI288" i="56"/>
  <c r="AX288" i="56"/>
  <c r="AX101" i="56"/>
  <c r="AI101" i="56"/>
  <c r="AI216" i="56"/>
  <c r="AX216" i="56"/>
  <c r="AI52" i="56"/>
  <c r="AX52" i="56"/>
  <c r="AI130" i="56"/>
  <c r="AX130" i="56"/>
  <c r="AI32" i="56"/>
  <c r="AX32" i="56"/>
  <c r="U29" i="15"/>
  <c r="U24" i="15"/>
  <c r="AX63" i="56"/>
  <c r="AI63" i="56"/>
  <c r="AX185" i="56"/>
  <c r="AI185" i="56"/>
  <c r="AI72" i="56"/>
  <c r="AX72" i="56"/>
  <c r="AX230" i="56"/>
  <c r="AI230" i="56"/>
  <c r="AX81" i="56"/>
  <c r="AI81" i="56"/>
  <c r="AX273" i="56"/>
  <c r="AI273" i="56"/>
  <c r="AX294" i="56"/>
  <c r="AI294" i="56"/>
  <c r="AI281" i="56"/>
  <c r="AX281" i="56"/>
  <c r="AX143" i="56"/>
  <c r="AI143" i="56"/>
  <c r="AI179" i="56"/>
  <c r="AX179" i="56"/>
  <c r="AX47" i="56"/>
  <c r="AI47" i="56"/>
  <c r="AX209" i="56"/>
  <c r="AI209" i="56"/>
  <c r="AX116" i="56"/>
  <c r="AI116" i="56"/>
  <c r="AX175" i="56"/>
  <c r="AI175" i="56"/>
  <c r="AI15" i="56"/>
  <c r="P13" i="56"/>
  <c r="AI13" i="56" s="1"/>
  <c r="AX15" i="56"/>
  <c r="P7" i="56"/>
  <c r="J114" i="66" s="1"/>
  <c r="AX303" i="56"/>
  <c r="AI303" i="56"/>
  <c r="AX293" i="56"/>
  <c r="AI293" i="56"/>
  <c r="AI119" i="56"/>
  <c r="AX119" i="56"/>
  <c r="AX295" i="56"/>
  <c r="AI295" i="56"/>
  <c r="AX102" i="56"/>
  <c r="AI102" i="56"/>
  <c r="AX51" i="56"/>
  <c r="AI51" i="56"/>
  <c r="AI46" i="56"/>
  <c r="AX46" i="56"/>
  <c r="AX262" i="56"/>
  <c r="AI262" i="56"/>
  <c r="AX97" i="56"/>
  <c r="AI97" i="56"/>
  <c r="AX278" i="56"/>
  <c r="AI278" i="56"/>
  <c r="AX98" i="56"/>
  <c r="AI98" i="56"/>
  <c r="AX259" i="56"/>
  <c r="AI259" i="56"/>
  <c r="AX279" i="56"/>
  <c r="AI279" i="56"/>
  <c r="AI261" i="56"/>
  <c r="AX261" i="56"/>
  <c r="AI242" i="56"/>
  <c r="AX242" i="56"/>
  <c r="AX254" i="56"/>
  <c r="AI254" i="56"/>
  <c r="AX217" i="56"/>
  <c r="AI217" i="56"/>
  <c r="AX231" i="56"/>
  <c r="AI231" i="56"/>
  <c r="AI277" i="56"/>
  <c r="AX277" i="56"/>
  <c r="AX153" i="56"/>
  <c r="AI153" i="56"/>
  <c r="AX156" i="56"/>
  <c r="AI156" i="56"/>
  <c r="AX172" i="56"/>
  <c r="AI172" i="56"/>
  <c r="AI30" i="56"/>
  <c r="AX30" i="56"/>
  <c r="AI45" i="56"/>
  <c r="AX45" i="56"/>
  <c r="AX71" i="56"/>
  <c r="AI71" i="56"/>
  <c r="AX291" i="56"/>
  <c r="AI291" i="56"/>
  <c r="AX264" i="56"/>
  <c r="AI264" i="56"/>
  <c r="AI39" i="56"/>
  <c r="AX39" i="56"/>
  <c r="AX144" i="56"/>
  <c r="AI144" i="56"/>
  <c r="AI170" i="56"/>
  <c r="AX170" i="56"/>
  <c r="AX290" i="56"/>
  <c r="AI290" i="56"/>
  <c r="AX274" i="56"/>
  <c r="AI274" i="56"/>
  <c r="AI238" i="56"/>
  <c r="AX238" i="56"/>
  <c r="AI90" i="56"/>
  <c r="AX90" i="56"/>
  <c r="AX249" i="56"/>
  <c r="AI249" i="56"/>
  <c r="AX135" i="56"/>
  <c r="AI135" i="56"/>
  <c r="AX263" i="56"/>
  <c r="AI263" i="56"/>
  <c r="AX171" i="56"/>
  <c r="AI171" i="56"/>
  <c r="AX213" i="56"/>
  <c r="AI213" i="56"/>
  <c r="AI235" i="56"/>
  <c r="AX235" i="56"/>
  <c r="W73" i="66"/>
  <c r="AS73" i="66" s="1"/>
  <c r="BC73" i="66"/>
  <c r="AI73" i="66"/>
  <c r="AI158" i="56"/>
  <c r="AX158" i="56"/>
  <c r="AX139" i="56"/>
  <c r="AI139" i="56"/>
  <c r="AI140" i="56"/>
  <c r="AX140" i="56"/>
  <c r="AI207" i="56"/>
  <c r="AX207" i="56"/>
  <c r="AI195" i="56"/>
  <c r="AX195" i="56"/>
  <c r="AX292" i="56"/>
  <c r="AI292" i="56"/>
  <c r="AX75" i="56"/>
  <c r="AI75" i="56"/>
  <c r="AX269" i="56"/>
  <c r="AI269" i="56"/>
  <c r="AX280" i="56"/>
  <c r="AI280" i="56"/>
  <c r="AX251" i="56"/>
  <c r="AI251" i="56"/>
  <c r="AX167" i="56"/>
  <c r="AI167" i="56"/>
  <c r="L145" i="66"/>
  <c r="W145" i="66" s="1"/>
  <c r="W138" i="66"/>
  <c r="AX298" i="56"/>
  <c r="AI298" i="56"/>
  <c r="AX188" i="56"/>
  <c r="AI188" i="56"/>
  <c r="AI146" i="56"/>
  <c r="AX146" i="56"/>
  <c r="AX183" i="56"/>
  <c r="AI183" i="56"/>
  <c r="AI128" i="56"/>
  <c r="AX128" i="56"/>
  <c r="AI96" i="56"/>
  <c r="AX96" i="56"/>
  <c r="AX205" i="56"/>
  <c r="AI205" i="56"/>
  <c r="AI203" i="56"/>
  <c r="AX203" i="56"/>
  <c r="AI108" i="56"/>
  <c r="AX108" i="56"/>
  <c r="AX284" i="56"/>
  <c r="AI284" i="56"/>
  <c r="AX129" i="56"/>
  <c r="AI129" i="56"/>
  <c r="AX115" i="56"/>
  <c r="AI115" i="56"/>
  <c r="AX201" i="56"/>
  <c r="AI201" i="56"/>
  <c r="AX36" i="56"/>
  <c r="AI36" i="56"/>
  <c r="AX113" i="56"/>
  <c r="AI113" i="56"/>
  <c r="AI287" i="56"/>
  <c r="AX287" i="56"/>
  <c r="AI256" i="56"/>
  <c r="AX256" i="56"/>
  <c r="AI299" i="56"/>
  <c r="AX299" i="56"/>
  <c r="AX244" i="56"/>
  <c r="AI244" i="56"/>
  <c r="AX266" i="56"/>
  <c r="AI266" i="56"/>
  <c r="AX44" i="56"/>
  <c r="AI44" i="56"/>
  <c r="X25" i="60"/>
  <c r="L22" i="60"/>
  <c r="L75" i="15" s="1"/>
  <c r="AI50" i="56"/>
  <c r="AX50" i="56"/>
  <c r="AX304" i="56"/>
  <c r="AI304" i="56"/>
  <c r="AI43" i="56"/>
  <c r="AX43" i="56"/>
  <c r="AX124" i="56"/>
  <c r="AI124" i="56"/>
  <c r="AI243" i="56"/>
  <c r="AX243" i="56"/>
  <c r="AX159" i="56"/>
  <c r="AI159" i="56"/>
  <c r="AI77" i="56"/>
  <c r="AX77" i="56"/>
  <c r="AI27" i="56"/>
  <c r="AX27" i="56"/>
  <c r="AX78" i="56"/>
  <c r="AI78" i="56"/>
  <c r="AX93" i="56"/>
  <c r="AI93" i="56"/>
  <c r="AI276" i="56"/>
  <c r="AX276" i="56"/>
  <c r="AX42" i="56"/>
  <c r="AI42" i="56"/>
  <c r="AX92" i="56"/>
  <c r="AI92" i="56"/>
  <c r="AX271" i="56"/>
  <c r="AI271" i="56"/>
  <c r="AX160" i="56"/>
  <c r="AI160" i="56"/>
  <c r="AI199" i="56"/>
  <c r="AX199" i="56"/>
  <c r="AX49" i="56"/>
  <c r="AI49" i="56"/>
  <c r="AX38" i="56"/>
  <c r="AI38" i="56"/>
  <c r="AI177" i="56"/>
  <c r="AX177" i="56"/>
  <c r="AI194" i="56"/>
  <c r="AX194" i="56"/>
  <c r="AI245" i="56"/>
  <c r="AX245" i="56"/>
  <c r="AX285" i="56"/>
  <c r="AI285" i="56"/>
  <c r="AI176" i="56"/>
  <c r="AX176" i="56"/>
  <c r="AX23" i="56"/>
  <c r="AI23" i="56"/>
  <c r="AI275" i="56"/>
  <c r="AX275" i="56"/>
  <c r="AX302" i="56"/>
  <c r="AI302" i="56"/>
  <c r="AX307" i="56"/>
  <c r="AI307" i="56"/>
  <c r="AX137" i="56"/>
  <c r="AI137" i="56"/>
  <c r="AI155" i="56"/>
  <c r="AX155" i="56"/>
  <c r="AX211" i="56"/>
  <c r="AI211" i="56"/>
  <c r="AX120" i="56"/>
  <c r="AI120" i="56"/>
  <c r="AX76" i="56"/>
  <c r="AI76" i="56"/>
  <c r="AI150" i="56"/>
  <c r="AX150" i="56"/>
  <c r="AX248" i="56"/>
  <c r="AI248" i="56"/>
  <c r="AX26" i="56"/>
  <c r="AI26" i="56"/>
  <c r="AX255" i="56"/>
  <c r="AI255" i="56"/>
  <c r="AX114" i="56"/>
  <c r="AI114" i="56"/>
  <c r="AX220" i="56"/>
  <c r="AI220" i="56"/>
  <c r="AX110" i="56"/>
  <c r="AI110" i="56"/>
  <c r="AX22" i="56"/>
  <c r="AI22" i="56"/>
  <c r="AI57" i="56"/>
  <c r="AX57" i="56"/>
  <c r="AX189" i="56"/>
  <c r="AI189" i="56"/>
  <c r="AX237" i="56"/>
  <c r="AI237" i="56"/>
  <c r="AX168" i="56"/>
  <c r="AI168" i="56"/>
  <c r="AX142" i="56"/>
  <c r="AI142" i="56"/>
  <c r="AI202" i="56"/>
  <c r="AX202" i="56"/>
  <c r="AX118" i="56"/>
  <c r="AI118" i="56"/>
  <c r="W21" i="66"/>
  <c r="AS21" i="66" s="1"/>
  <c r="AI21" i="66"/>
  <c r="AX80" i="56"/>
  <c r="AI80" i="56"/>
  <c r="AX127" i="56"/>
  <c r="AI127" i="56"/>
  <c r="AX82" i="56"/>
  <c r="AI82" i="56"/>
  <c r="AX267" i="56"/>
  <c r="AI267" i="56"/>
  <c r="AI219" i="56"/>
  <c r="AX219" i="56"/>
  <c r="AI300" i="56"/>
  <c r="AX300" i="56"/>
  <c r="AX240" i="56"/>
  <c r="AI240" i="56"/>
  <c r="AX180" i="56"/>
  <c r="AI180" i="56"/>
  <c r="W19" i="66"/>
  <c r="AS19" i="66" s="1"/>
  <c r="AI19" i="66"/>
  <c r="AI28" i="56"/>
  <c r="AX28" i="56"/>
  <c r="AI65" i="56"/>
  <c r="AX65" i="56"/>
  <c r="AX35" i="56"/>
  <c r="AI35" i="56"/>
  <c r="AX221" i="56"/>
  <c r="AI221" i="56"/>
  <c r="AX147" i="56"/>
  <c r="AI147" i="56"/>
  <c r="AI190" i="56"/>
  <c r="AX190" i="56"/>
  <c r="AX68" i="56"/>
  <c r="AI68" i="56"/>
  <c r="AX187" i="56"/>
  <c r="AI187" i="56"/>
  <c r="AX56" i="56"/>
  <c r="AI56" i="56"/>
  <c r="AX123" i="56"/>
  <c r="AI123" i="56"/>
  <c r="AX133" i="56"/>
  <c r="AI133" i="56"/>
  <c r="AI94" i="56"/>
  <c r="AX94" i="56"/>
  <c r="AX89" i="56"/>
  <c r="AI89" i="56"/>
  <c r="AI161" i="56"/>
  <c r="AX161" i="56"/>
  <c r="AX197" i="56"/>
  <c r="AI197" i="56"/>
  <c r="AX246" i="56"/>
  <c r="AI246" i="56"/>
  <c r="AX200" i="56"/>
  <c r="AI200" i="56"/>
  <c r="AX103" i="56"/>
  <c r="AI103" i="56"/>
  <c r="AX88" i="56"/>
  <c r="AI88" i="56"/>
  <c r="AI241" i="56"/>
  <c r="AX241" i="56"/>
  <c r="AI67" i="56"/>
  <c r="AX67" i="56"/>
  <c r="AI122" i="56"/>
  <c r="AX122" i="56"/>
  <c r="AI34" i="56"/>
  <c r="AX34" i="56"/>
  <c r="AI86" i="56"/>
  <c r="AX86" i="56"/>
  <c r="AX268" i="56"/>
  <c r="AI268" i="56"/>
  <c r="AX186" i="56"/>
  <c r="AI186" i="56"/>
  <c r="AX24" i="56"/>
  <c r="AI24" i="56"/>
  <c r="AX236" i="56"/>
  <c r="AI236" i="56"/>
  <c r="AI157" i="56"/>
  <c r="AX157" i="56"/>
  <c r="AX60" i="56"/>
  <c r="AI60" i="56"/>
  <c r="AX162" i="56"/>
  <c r="AI162" i="56"/>
  <c r="AX53" i="56"/>
  <c r="AI53" i="56"/>
  <c r="AX59" i="56"/>
  <c r="AI59" i="56"/>
  <c r="AX17" i="56"/>
  <c r="AI17" i="56"/>
  <c r="AI112" i="56"/>
  <c r="AX112" i="56"/>
  <c r="AX234" i="56"/>
  <c r="AI234" i="56"/>
  <c r="AI163" i="56"/>
  <c r="AX163" i="56"/>
  <c r="AI74" i="56"/>
  <c r="AX74" i="56"/>
  <c r="AI184" i="56"/>
  <c r="AX184" i="56"/>
  <c r="AX215" i="56"/>
  <c r="AI215" i="56"/>
  <c r="AI212" i="56"/>
  <c r="AX212" i="56"/>
  <c r="AX208" i="56"/>
  <c r="AI208" i="56"/>
  <c r="AI20" i="56"/>
  <c r="AX20" i="56"/>
  <c r="AX145" i="56"/>
  <c r="AI145" i="56"/>
  <c r="AI225" i="56"/>
  <c r="AX225" i="56"/>
  <c r="AX229" i="56"/>
  <c r="AI229" i="56"/>
  <c r="L155" i="66" l="1"/>
  <c r="W155" i="66" s="1"/>
  <c r="L25" i="60"/>
  <c r="L151" i="66"/>
  <c r="W151" i="66" s="1"/>
  <c r="L152" i="66"/>
  <c r="W152" i="66" s="1"/>
  <c r="L154" i="66"/>
  <c r="W154" i="66" s="1"/>
  <c r="AI24" i="66"/>
  <c r="W24" i="66"/>
  <c r="AS24" i="66" s="1"/>
  <c r="L150" i="66"/>
  <c r="W150" i="66" s="1"/>
  <c r="L153" i="66"/>
  <c r="W153" i="66" s="1"/>
  <c r="AX13" i="56"/>
  <c r="U32" i="15"/>
  <c r="L149" i="66"/>
  <c r="L156" i="66" l="1"/>
  <c r="W156" i="66" s="1"/>
  <c r="W149" i="66"/>
  <c r="AE15" i="47"/>
  <c r="AV15" i="47" s="1"/>
  <c r="H82" i="66"/>
  <c r="AY82" i="66" s="1"/>
  <c r="L15" i="57"/>
  <c r="L13" i="47"/>
  <c r="L130" i="68" l="1"/>
  <c r="L123" i="51"/>
  <c r="H8" i="66"/>
  <c r="L13" i="57"/>
  <c r="L13" i="51" s="1"/>
  <c r="T32" i="60" s="1"/>
  <c r="H10" i="66"/>
  <c r="L108" i="51"/>
  <c r="L115" i="68"/>
  <c r="M5" i="47"/>
  <c r="T28" i="60"/>
  <c r="AE9" i="47"/>
  <c r="AV9" i="47"/>
  <c r="AV10" i="47"/>
  <c r="AE10" i="47"/>
  <c r="L22" i="68"/>
  <c r="L7" i="57"/>
  <c r="AE15" i="57"/>
  <c r="H9" i="66"/>
  <c r="L394" i="47"/>
  <c r="L577" i="47"/>
  <c r="L549" i="47"/>
  <c r="L420" i="47"/>
  <c r="L554" i="47"/>
  <c r="L609" i="47"/>
  <c r="L399" i="47"/>
  <c r="L503" i="47"/>
  <c r="L620" i="47"/>
  <c r="L570" i="47"/>
  <c r="L489" i="47"/>
  <c r="L600" i="47"/>
  <c r="L469" i="47"/>
  <c r="L613" i="47"/>
  <c r="L499" i="47"/>
  <c r="L510" i="47"/>
  <c r="L473" i="47"/>
  <c r="L541" i="47"/>
  <c r="L582" i="47"/>
  <c r="L390" i="47"/>
  <c r="L353" i="47"/>
  <c r="L384" i="47"/>
  <c r="L337" i="47"/>
  <c r="L614" i="47"/>
  <c r="L575" i="47"/>
  <c r="L466" i="47"/>
  <c r="L403" i="47"/>
  <c r="L398" i="47"/>
  <c r="L430" i="47"/>
  <c r="L385" i="47"/>
  <c r="L567" i="47"/>
  <c r="L328" i="47"/>
  <c r="L464" i="47"/>
  <c r="L512" i="47"/>
  <c r="L423" i="47"/>
  <c r="L551" i="47"/>
  <c r="L354" i="47"/>
  <c r="L529" i="47"/>
  <c r="L374" i="47"/>
  <c r="L583" i="47"/>
  <c r="L523" i="47"/>
  <c r="L442" i="47"/>
  <c r="L419" i="47"/>
  <c r="L387" i="47"/>
  <c r="L484" i="47"/>
  <c r="L355" i="47"/>
  <c r="L576" i="47"/>
  <c r="L388" i="47"/>
  <c r="L500" i="47"/>
  <c r="L535" i="47"/>
  <c r="L581" i="47"/>
  <c r="L447" i="47"/>
  <c r="L438" i="47"/>
  <c r="L396" i="47"/>
  <c r="L454" i="47"/>
  <c r="L412" i="47"/>
  <c r="L534" i="47"/>
  <c r="L563" i="47"/>
  <c r="L490" i="47"/>
  <c r="L334" i="47"/>
  <c r="L422" i="47"/>
  <c r="L623" i="47"/>
  <c r="L350" i="47"/>
  <c r="L333" i="47"/>
  <c r="L429" i="47"/>
  <c r="L460" i="47"/>
  <c r="L571" i="47"/>
  <c r="L588" i="47"/>
  <c r="L456" i="47"/>
  <c r="L342" i="47"/>
  <c r="L440" i="47"/>
  <c r="L586" i="47"/>
  <c r="L496" i="47"/>
  <c r="L357" i="47"/>
  <c r="L458" i="47"/>
  <c r="L448" i="47"/>
  <c r="L580" i="47"/>
  <c r="L434" i="47"/>
  <c r="L595" i="47"/>
  <c r="L545" i="47"/>
  <c r="L561" i="47"/>
  <c r="L364" i="47"/>
  <c r="L591" i="47"/>
  <c r="L544" i="47"/>
  <c r="L615" i="47"/>
  <c r="L608" i="47"/>
  <c r="L602" i="47"/>
  <c r="L363" i="47"/>
  <c r="L618" i="47"/>
  <c r="L546" i="47"/>
  <c r="L610" i="47"/>
  <c r="L507" i="47"/>
  <c r="L474" i="47"/>
  <c r="L612" i="47"/>
  <c r="L409" i="47"/>
  <c r="L531" i="47"/>
  <c r="L433" i="47"/>
  <c r="L348" i="47"/>
  <c r="L502" i="47"/>
  <c r="L467" i="47"/>
  <c r="L508" i="47"/>
  <c r="L482" i="47"/>
  <c r="L413" i="47"/>
  <c r="L372" i="47"/>
  <c r="L397" i="47"/>
  <c r="L538" i="47"/>
  <c r="L343" i="47"/>
  <c r="L597" i="47"/>
  <c r="L11" i="47"/>
  <c r="L441" i="47"/>
  <c r="L462" i="47"/>
  <c r="L452" i="47"/>
  <c r="L366" i="47"/>
  <c r="L539" i="47"/>
  <c r="L533" i="47"/>
  <c r="L603" i="47"/>
  <c r="L400" i="47"/>
  <c r="L341" i="47"/>
  <c r="L377" i="47"/>
  <c r="L345" i="47"/>
  <c r="L465" i="47"/>
  <c r="L404" i="47"/>
  <c r="L338" i="47"/>
  <c r="L375" i="47"/>
  <c r="L439" i="47"/>
  <c r="L598" i="47"/>
  <c r="L543" i="47"/>
  <c r="L472" i="47"/>
  <c r="L431" i="47"/>
  <c r="L340" i="47"/>
  <c r="L606" i="47"/>
  <c r="L553" i="47"/>
  <c r="L393" i="47"/>
  <c r="L414" i="47"/>
  <c r="L381" i="47"/>
  <c r="L517" i="47"/>
  <c r="L453" i="47"/>
  <c r="L361" i="47"/>
  <c r="L360" i="47"/>
  <c r="L522" i="47"/>
  <c r="L550" i="47"/>
  <c r="L421" i="47"/>
  <c r="L525" i="47"/>
  <c r="L526" i="47"/>
  <c r="L349" i="47"/>
  <c r="L617" i="47"/>
  <c r="L331" i="47"/>
  <c r="L548" i="47"/>
  <c r="L457" i="47"/>
  <c r="L579" i="47"/>
  <c r="L391" i="47"/>
  <c r="L371" i="47"/>
  <c r="L569" i="47"/>
  <c r="L573" i="47"/>
  <c r="L459" i="47"/>
  <c r="L336" i="47"/>
  <c r="L540" i="47"/>
  <c r="L584" i="47"/>
  <c r="L542" i="47"/>
  <c r="L515" i="47"/>
  <c r="L599" i="47"/>
  <c r="L450" i="47"/>
  <c r="L436" i="47"/>
  <c r="L516" i="47"/>
  <c r="L616" i="47"/>
  <c r="L585" i="47"/>
  <c r="L478" i="47"/>
  <c r="L555" i="47"/>
  <c r="L621" i="47"/>
  <c r="L411" i="47"/>
  <c r="L495" i="47"/>
  <c r="L335" i="47"/>
  <c r="L402" i="47"/>
  <c r="L611" i="47"/>
  <c r="L527" i="47"/>
  <c r="L435" i="47"/>
  <c r="L356" i="47"/>
  <c r="L513" i="47"/>
  <c r="L493" i="47"/>
  <c r="L562" i="47"/>
  <c r="L405" i="47"/>
  <c r="L376" i="47"/>
  <c r="L368" i="47"/>
  <c r="L443" i="47"/>
  <c r="L362" i="47"/>
  <c r="L481" i="47"/>
  <c r="L10" i="47"/>
  <c r="L332" i="47"/>
  <c r="L537" i="47"/>
  <c r="L479" i="47"/>
  <c r="L509" i="47"/>
  <c r="L451" i="47"/>
  <c r="L382" i="47"/>
  <c r="L605" i="47"/>
  <c r="L455" i="47"/>
  <c r="L389" i="47"/>
  <c r="L492" i="47"/>
  <c r="L518" i="47"/>
  <c r="L566" i="47"/>
  <c r="L449" i="47"/>
  <c r="L556" i="47"/>
  <c r="L380" i="47"/>
  <c r="L352" i="47"/>
  <c r="L593" i="47"/>
  <c r="L395" i="47"/>
  <c r="L487" i="47"/>
  <c r="L408" i="47"/>
  <c r="L463" i="47"/>
  <c r="L359" i="47"/>
  <c r="L520" i="47"/>
  <c r="L547" i="47"/>
  <c r="L596" i="47"/>
  <c r="L471" i="47"/>
  <c r="L425" i="47"/>
  <c r="L564" i="47"/>
  <c r="L568" i="47"/>
  <c r="L590" i="47"/>
  <c r="L594" i="47"/>
  <c r="L504" i="47"/>
  <c r="L559" i="47"/>
  <c r="L536" i="47"/>
  <c r="L351" i="47"/>
  <c r="L505" i="47"/>
  <c r="L528" i="47"/>
  <c r="L416" i="47"/>
  <c r="L437" i="47"/>
  <c r="L589" i="47"/>
  <c r="L622" i="47"/>
  <c r="L386" i="47"/>
  <c r="L418" i="47"/>
  <c r="L426" i="47"/>
  <c r="L501" i="47"/>
  <c r="L475" i="47"/>
  <c r="L578" i="47"/>
  <c r="L483" i="47"/>
  <c r="L427" i="47"/>
  <c r="L480" i="47"/>
  <c r="L558" i="47"/>
  <c r="L407" i="47"/>
  <c r="L369" i="47"/>
  <c r="L410" i="47"/>
  <c r="L446" i="47"/>
  <c r="L560" i="47"/>
  <c r="L461" i="47"/>
  <c r="L619" i="47"/>
  <c r="L383" i="47"/>
  <c r="L497" i="47"/>
  <c r="L347" i="47"/>
  <c r="L417" i="47"/>
  <c r="L574" i="47"/>
  <c r="L365" i="47"/>
  <c r="L592" i="47"/>
  <c r="L530" i="47"/>
  <c r="L401" i="47"/>
  <c r="L428" i="47"/>
  <c r="L470" i="47"/>
  <c r="L370" i="47"/>
  <c r="L373" i="47"/>
  <c r="L468" i="47"/>
  <c r="L378" i="47"/>
  <c r="L444" i="47"/>
  <c r="L488" i="47"/>
  <c r="L511" i="47"/>
  <c r="L358" i="47"/>
  <c r="L339" i="47"/>
  <c r="L519" i="47"/>
  <c r="L415" i="47"/>
  <c r="L514" i="47"/>
  <c r="L476" i="47"/>
  <c r="L565" i="47"/>
  <c r="L506" i="47"/>
  <c r="L406" i="47"/>
  <c r="AE13" i="47"/>
  <c r="AV13" i="47" s="1"/>
  <c r="L498" i="47"/>
  <c r="L491" i="47"/>
  <c r="L607" i="47"/>
  <c r="L521" i="47"/>
  <c r="L344" i="47"/>
  <c r="L572" i="47"/>
  <c r="L604" i="47"/>
  <c r="L379" i="47"/>
  <c r="L486" i="47"/>
  <c r="L392" i="47"/>
  <c r="L445" i="47"/>
  <c r="L557" i="47"/>
  <c r="L552" i="47"/>
  <c r="L485" i="47"/>
  <c r="L601" i="47"/>
  <c r="L477" i="47"/>
  <c r="L587" i="47"/>
  <c r="L432" i="47"/>
  <c r="L532" i="47"/>
  <c r="L367" i="47"/>
  <c r="L424" i="47"/>
  <c r="L494" i="47"/>
  <c r="L346" i="47"/>
  <c r="L524" i="47"/>
  <c r="L330" i="47"/>
  <c r="L20" i="68"/>
  <c r="T19" i="60" s="1"/>
  <c r="H19" i="60" s="1"/>
  <c r="AE13" i="57"/>
  <c r="L15" i="51"/>
  <c r="H85" i="66"/>
  <c r="S82" i="66"/>
  <c r="AO82" i="66" s="1"/>
  <c r="AE82" i="66"/>
  <c r="F106" i="66" l="1"/>
  <c r="S8" i="66"/>
  <c r="AO8" i="66" s="1"/>
  <c r="AE8" i="66"/>
  <c r="H93" i="66"/>
  <c r="AF123" i="51"/>
  <c r="H95" i="66"/>
  <c r="AF108" i="51"/>
  <c r="F108" i="66"/>
  <c r="S10" i="66"/>
  <c r="AO10" i="66" s="1"/>
  <c r="AE10" i="66"/>
  <c r="H28" i="60"/>
  <c r="H77" i="15" s="1"/>
  <c r="M33" i="15"/>
  <c r="T30" i="60"/>
  <c r="H30" i="60" s="1"/>
  <c r="M21" i="47"/>
  <c r="M21" i="57" s="1"/>
  <c r="M244" i="47"/>
  <c r="M163" i="47"/>
  <c r="AF163" i="47" s="1"/>
  <c r="AW163" i="47" s="1"/>
  <c r="M99" i="47"/>
  <c r="M35" i="47"/>
  <c r="AF35" i="47" s="1"/>
  <c r="AW35" i="47" s="1"/>
  <c r="M267" i="47"/>
  <c r="M210" i="47"/>
  <c r="M210" i="57" s="1"/>
  <c r="M146" i="47"/>
  <c r="M82" i="47"/>
  <c r="AF82" i="47" s="1"/>
  <c r="AW82" i="47" s="1"/>
  <c r="M18" i="47"/>
  <c r="M306" i="47"/>
  <c r="AF306" i="47" s="1"/>
  <c r="AW306" i="47" s="1"/>
  <c r="M289" i="47"/>
  <c r="M225" i="47"/>
  <c r="AF225" i="47" s="1"/>
  <c r="AW225" i="47" s="1"/>
  <c r="M161" i="47"/>
  <c r="M97" i="47"/>
  <c r="AF97" i="47" s="1"/>
  <c r="AW97" i="47" s="1"/>
  <c r="M33" i="47"/>
  <c r="M299" i="47"/>
  <c r="AF299" i="47" s="1"/>
  <c r="AW299" i="47" s="1"/>
  <c r="M248" i="47"/>
  <c r="M184" i="47"/>
  <c r="AF184" i="47" s="1"/>
  <c r="AW184" i="47" s="1"/>
  <c r="M120" i="47"/>
  <c r="M56" i="47"/>
  <c r="AF56" i="47" s="1"/>
  <c r="AW56" i="47" s="1"/>
  <c r="M172" i="47"/>
  <c r="M279" i="47"/>
  <c r="M279" i="57" s="1"/>
  <c r="M215" i="47"/>
  <c r="M151" i="47"/>
  <c r="AF151" i="47" s="1"/>
  <c r="AW151" i="47" s="1"/>
  <c r="M87" i="47"/>
  <c r="M23" i="47"/>
  <c r="AF23" i="47" s="1"/>
  <c r="AW23" i="47" s="1"/>
  <c r="M275" i="47"/>
  <c r="M206" i="47"/>
  <c r="AF206" i="47" s="1"/>
  <c r="AW206" i="47" s="1"/>
  <c r="M142" i="47"/>
  <c r="M78" i="47"/>
  <c r="M284" i="47"/>
  <c r="M304" i="47"/>
  <c r="M304" i="57" s="1"/>
  <c r="M254" i="47"/>
  <c r="M245" i="47"/>
  <c r="AF245" i="47" s="1"/>
  <c r="AW245" i="47" s="1"/>
  <c r="M181" i="47"/>
  <c r="M117" i="47"/>
  <c r="AF117" i="47" s="1"/>
  <c r="AW117" i="47" s="1"/>
  <c r="M53" i="47"/>
  <c r="M90" i="47"/>
  <c r="M90" i="57" s="1"/>
  <c r="M105" i="47"/>
  <c r="M204" i="47"/>
  <c r="AF204" i="47" s="1"/>
  <c r="AW204" i="47" s="1"/>
  <c r="M20" i="47"/>
  <c r="M262" i="47"/>
  <c r="AF262" i="47" s="1"/>
  <c r="AW262" i="47" s="1"/>
  <c r="M156" i="47"/>
  <c r="M155" i="47"/>
  <c r="M155" i="57" s="1"/>
  <c r="M91" i="47"/>
  <c r="M91" i="57" s="1"/>
  <c r="M27" i="47"/>
  <c r="M219" i="47"/>
  <c r="M202" i="47"/>
  <c r="AF202" i="47" s="1"/>
  <c r="AW202" i="47" s="1"/>
  <c r="M138" i="47"/>
  <c r="M74" i="47"/>
  <c r="AF74" i="47" s="1"/>
  <c r="AW74" i="47" s="1"/>
  <c r="M276" i="47"/>
  <c r="M298" i="47"/>
  <c r="AF298" i="47" s="1"/>
  <c r="AW298" i="47" s="1"/>
  <c r="M281" i="47"/>
  <c r="M217" i="47"/>
  <c r="AF217" i="47" s="1"/>
  <c r="AW217" i="47" s="1"/>
  <c r="M153" i="47"/>
  <c r="M89" i="47"/>
  <c r="AF89" i="47" s="1"/>
  <c r="AW89" i="47" s="1"/>
  <c r="M25" i="47"/>
  <c r="M251" i="47"/>
  <c r="AF251" i="47" s="1"/>
  <c r="AW251" i="47" s="1"/>
  <c r="M240" i="47"/>
  <c r="M176" i="47"/>
  <c r="AF176" i="47" s="1"/>
  <c r="AW176" i="47" s="1"/>
  <c r="M112" i="47"/>
  <c r="M48" i="47"/>
  <c r="AF48" i="47" s="1"/>
  <c r="AW48" i="47" s="1"/>
  <c r="M132" i="47"/>
  <c r="M271" i="47"/>
  <c r="AF271" i="47" s="1"/>
  <c r="AW271" i="47" s="1"/>
  <c r="M207" i="47"/>
  <c r="M143" i="47"/>
  <c r="AF143" i="47" s="1"/>
  <c r="AW143" i="47" s="1"/>
  <c r="M79" i="47"/>
  <c r="M15" i="47"/>
  <c r="M235" i="47"/>
  <c r="AF235" i="47" s="1"/>
  <c r="AW235" i="47" s="1"/>
  <c r="M198" i="47"/>
  <c r="M134" i="47"/>
  <c r="M70" i="47"/>
  <c r="AF70" i="47" s="1"/>
  <c r="AW70" i="47" s="1"/>
  <c r="M212" i="47"/>
  <c r="M303" i="47"/>
  <c r="AF303" i="47" s="1"/>
  <c r="AW303" i="47" s="1"/>
  <c r="M301" i="47"/>
  <c r="M237" i="47"/>
  <c r="AF237" i="47" s="1"/>
  <c r="AW237" i="47" s="1"/>
  <c r="M173" i="47"/>
  <c r="AF173" i="47" s="1"/>
  <c r="AW173" i="47" s="1"/>
  <c r="M109" i="47"/>
  <c r="M45" i="47"/>
  <c r="M218" i="47"/>
  <c r="M218" i="57" s="1"/>
  <c r="M26" i="47"/>
  <c r="M233" i="47"/>
  <c r="AF233" i="47" s="1"/>
  <c r="AW233" i="47" s="1"/>
  <c r="M28" i="47"/>
  <c r="M295" i="47"/>
  <c r="AF295" i="47" s="1"/>
  <c r="AW295" i="47" s="1"/>
  <c r="M214" i="47"/>
  <c r="M189" i="47"/>
  <c r="AF189" i="47" s="1"/>
  <c r="AW189" i="47" s="1"/>
  <c r="M68" i="47"/>
  <c r="M147" i="47"/>
  <c r="AF147" i="47" s="1"/>
  <c r="AW147" i="47" s="1"/>
  <c r="M83" i="47"/>
  <c r="M19" i="47"/>
  <c r="AF19" i="47" s="1"/>
  <c r="AW19" i="47" s="1"/>
  <c r="M282" i="47"/>
  <c r="M194" i="47"/>
  <c r="AF194" i="47" s="1"/>
  <c r="AW194" i="47" s="1"/>
  <c r="M130" i="47"/>
  <c r="M66" i="47"/>
  <c r="M236" i="47"/>
  <c r="M290" i="47"/>
  <c r="AF290" i="47" s="1"/>
  <c r="AW290" i="47" s="1"/>
  <c r="M273" i="47"/>
  <c r="M209" i="47"/>
  <c r="M209" i="57" s="1"/>
  <c r="M145" i="47"/>
  <c r="M81" i="47"/>
  <c r="AF81" i="47" s="1"/>
  <c r="AW81" i="47" s="1"/>
  <c r="M17" i="47"/>
  <c r="AF17" i="47" s="1"/>
  <c r="AW17" i="47" s="1"/>
  <c r="M296" i="47"/>
  <c r="M232" i="47"/>
  <c r="M168" i="47"/>
  <c r="AF168" i="47" s="1"/>
  <c r="AW168" i="47" s="1"/>
  <c r="M104" i="47"/>
  <c r="M40" i="47"/>
  <c r="M40" i="57" s="1"/>
  <c r="M84" i="47"/>
  <c r="M263" i="47"/>
  <c r="AF263" i="47" s="1"/>
  <c r="AW263" i="47" s="1"/>
  <c r="M199" i="47"/>
  <c r="M135" i="47"/>
  <c r="M71" i="47"/>
  <c r="M300" i="47"/>
  <c r="AF300" i="47" s="1"/>
  <c r="AW300" i="47" s="1"/>
  <c r="M270" i="47"/>
  <c r="M190" i="47"/>
  <c r="AF190" i="47" s="1"/>
  <c r="AW190" i="47" s="1"/>
  <c r="M126" i="47"/>
  <c r="M62" i="47"/>
  <c r="AF62" i="47" s="1"/>
  <c r="AW62" i="47" s="1"/>
  <c r="M148" i="47"/>
  <c r="M287" i="47"/>
  <c r="AF287" i="47" s="1"/>
  <c r="AW287" i="47" s="1"/>
  <c r="M293" i="47"/>
  <c r="M229" i="47"/>
  <c r="AF229" i="47" s="1"/>
  <c r="AW229" i="47" s="1"/>
  <c r="M165" i="47"/>
  <c r="M101" i="47"/>
  <c r="AF101" i="47" s="1"/>
  <c r="AW101" i="47" s="1"/>
  <c r="M37" i="47"/>
  <c r="M154" i="47"/>
  <c r="AF154" i="47" s="1"/>
  <c r="AW154" i="47" s="1"/>
  <c r="M41" i="47"/>
  <c r="M256" i="47"/>
  <c r="AF256" i="47" s="1"/>
  <c r="AW256" i="47" s="1"/>
  <c r="M223" i="47"/>
  <c r="M150" i="47"/>
  <c r="AF150" i="47" s="1"/>
  <c r="AW150" i="47" s="1"/>
  <c r="M125" i="47"/>
  <c r="M243" i="47"/>
  <c r="M243" i="57" s="1"/>
  <c r="M139" i="47"/>
  <c r="M75" i="47"/>
  <c r="M75" i="57" s="1"/>
  <c r="M268" i="47"/>
  <c r="M258" i="47"/>
  <c r="M186" i="47"/>
  <c r="M122" i="47"/>
  <c r="AF122" i="47" s="1"/>
  <c r="AW122" i="47" s="1"/>
  <c r="M58" i="47"/>
  <c r="M180" i="47"/>
  <c r="AF180" i="47" s="1"/>
  <c r="AW180" i="47" s="1"/>
  <c r="M274" i="47"/>
  <c r="M265" i="47"/>
  <c r="M265" i="57" s="1"/>
  <c r="M201" i="47"/>
  <c r="AF201" i="47" s="1"/>
  <c r="AW201" i="47" s="1"/>
  <c r="M137" i="47"/>
  <c r="M73" i="47"/>
  <c r="M292" i="47"/>
  <c r="AF292" i="47" s="1"/>
  <c r="AW292" i="47" s="1"/>
  <c r="M288" i="47"/>
  <c r="M224" i="47"/>
  <c r="M224" i="57" s="1"/>
  <c r="M160" i="47"/>
  <c r="M96" i="47"/>
  <c r="M96" i="57" s="1"/>
  <c r="M32" i="47"/>
  <c r="M76" i="47"/>
  <c r="M255" i="47"/>
  <c r="M191" i="47"/>
  <c r="AF191" i="47" s="1"/>
  <c r="AW191" i="47" s="1"/>
  <c r="M127" i="47"/>
  <c r="M63" i="47"/>
  <c r="M63" i="57" s="1"/>
  <c r="M252" i="47"/>
  <c r="M246" i="47"/>
  <c r="AF246" i="47" s="1"/>
  <c r="AW246" i="47" s="1"/>
  <c r="M182" i="47"/>
  <c r="M118" i="47"/>
  <c r="M118" i="57" s="1"/>
  <c r="M54" i="47"/>
  <c r="M108" i="47"/>
  <c r="AF108" i="47" s="1"/>
  <c r="AW108" i="47" s="1"/>
  <c r="M302" i="47"/>
  <c r="M285" i="47"/>
  <c r="AF285" i="47" s="1"/>
  <c r="AW285" i="47" s="1"/>
  <c r="M221" i="47"/>
  <c r="M157" i="47"/>
  <c r="AF157" i="47" s="1"/>
  <c r="AW157" i="47" s="1"/>
  <c r="M93" i="47"/>
  <c r="M29" i="47"/>
  <c r="M36" i="47"/>
  <c r="M297" i="47"/>
  <c r="AF297" i="47" s="1"/>
  <c r="AW297" i="47" s="1"/>
  <c r="M128" i="47"/>
  <c r="M159" i="47"/>
  <c r="AF159" i="47" s="1"/>
  <c r="AW159" i="47" s="1"/>
  <c r="M22" i="47"/>
  <c r="M61" i="47"/>
  <c r="M61" i="57" s="1"/>
  <c r="M203" i="47"/>
  <c r="M203" i="57" s="1"/>
  <c r="M131" i="47"/>
  <c r="M67" i="47"/>
  <c r="M220" i="47"/>
  <c r="M220" i="57" s="1"/>
  <c r="M242" i="47"/>
  <c r="M178" i="47"/>
  <c r="AF178" i="47" s="1"/>
  <c r="AW178" i="47" s="1"/>
  <c r="M114" i="47"/>
  <c r="M50" i="47"/>
  <c r="AF50" i="47" s="1"/>
  <c r="AW50" i="47" s="1"/>
  <c r="M124" i="47"/>
  <c r="M266" i="47"/>
  <c r="M257" i="47"/>
  <c r="M129" i="47"/>
  <c r="AF129" i="47" s="1"/>
  <c r="AW129" i="47" s="1"/>
  <c r="M65" i="47"/>
  <c r="M65" i="57" s="1"/>
  <c r="M228" i="47"/>
  <c r="AF228" i="47" s="1"/>
  <c r="AW228" i="47" s="1"/>
  <c r="M280" i="47"/>
  <c r="M280" i="57" s="1"/>
  <c r="M216" i="47"/>
  <c r="M152" i="47"/>
  <c r="M88" i="47"/>
  <c r="M24" i="47"/>
  <c r="M44" i="47"/>
  <c r="AF44" i="47" s="1"/>
  <c r="AW44" i="47" s="1"/>
  <c r="M247" i="47"/>
  <c r="M247" i="57" s="1"/>
  <c r="M183" i="47"/>
  <c r="M183" i="57" s="1"/>
  <c r="M119" i="47"/>
  <c r="AF119" i="47" s="1"/>
  <c r="AW119" i="47" s="1"/>
  <c r="M55" i="47"/>
  <c r="AF55" i="47" s="1"/>
  <c r="AW55" i="47" s="1"/>
  <c r="M196" i="47"/>
  <c r="M238" i="47"/>
  <c r="AF238" i="47" s="1"/>
  <c r="AW238" i="47" s="1"/>
  <c r="M174" i="47"/>
  <c r="M110" i="47"/>
  <c r="AF110" i="47" s="1"/>
  <c r="AW110" i="47" s="1"/>
  <c r="M46" i="47"/>
  <c r="AF46" i="47" s="1"/>
  <c r="AW46" i="47" s="1"/>
  <c r="M60" i="47"/>
  <c r="AF60" i="47" s="1"/>
  <c r="AW60" i="47" s="1"/>
  <c r="M294" i="47"/>
  <c r="AF294" i="47" s="1"/>
  <c r="AW294" i="47" s="1"/>
  <c r="M277" i="47"/>
  <c r="AF277" i="47" s="1"/>
  <c r="AW277" i="47" s="1"/>
  <c r="M213" i="47"/>
  <c r="M149" i="47"/>
  <c r="M149" i="57" s="1"/>
  <c r="M85" i="47"/>
  <c r="M43" i="47"/>
  <c r="AF43" i="47" s="1"/>
  <c r="AW43" i="47" s="1"/>
  <c r="M86" i="47"/>
  <c r="AF86" i="47" s="1"/>
  <c r="AW86" i="47" s="1"/>
  <c r="M187" i="47"/>
  <c r="AF187" i="47" s="1"/>
  <c r="AW187" i="47" s="1"/>
  <c r="M123" i="47"/>
  <c r="AF123" i="47" s="1"/>
  <c r="AW123" i="47" s="1"/>
  <c r="M59" i="47"/>
  <c r="M164" i="47"/>
  <c r="M234" i="47"/>
  <c r="M234" i="57" s="1"/>
  <c r="M170" i="47"/>
  <c r="M106" i="47"/>
  <c r="AF106" i="47" s="1"/>
  <c r="AW106" i="47" s="1"/>
  <c r="M42" i="47"/>
  <c r="M52" i="47"/>
  <c r="AF52" i="47" s="1"/>
  <c r="AW52" i="47" s="1"/>
  <c r="M250" i="47"/>
  <c r="M250" i="57" s="1"/>
  <c r="M249" i="47"/>
  <c r="M185" i="47"/>
  <c r="M121" i="47"/>
  <c r="AF121" i="47" s="1"/>
  <c r="AW121" i="47" s="1"/>
  <c r="M57" i="47"/>
  <c r="M188" i="47"/>
  <c r="M188" i="57" s="1"/>
  <c r="M272" i="47"/>
  <c r="AF272" i="47" s="1"/>
  <c r="AW272" i="47" s="1"/>
  <c r="M208" i="47"/>
  <c r="AF208" i="47" s="1"/>
  <c r="AW208" i="47" s="1"/>
  <c r="M144" i="47"/>
  <c r="AF144" i="47" s="1"/>
  <c r="AW144" i="47" s="1"/>
  <c r="M80" i="47"/>
  <c r="M16" i="47"/>
  <c r="M291" i="47"/>
  <c r="M239" i="47"/>
  <c r="M175" i="47"/>
  <c r="AF175" i="47" s="1"/>
  <c r="AW175" i="47" s="1"/>
  <c r="M111" i="47"/>
  <c r="AF111" i="47" s="1"/>
  <c r="AW111" i="47" s="1"/>
  <c r="M47" i="47"/>
  <c r="AF47" i="47" s="1"/>
  <c r="AW47" i="47" s="1"/>
  <c r="M140" i="47"/>
  <c r="AF140" i="47" s="1"/>
  <c r="AW140" i="47" s="1"/>
  <c r="M230" i="47"/>
  <c r="M166" i="47"/>
  <c r="M102" i="47"/>
  <c r="M102" i="57" s="1"/>
  <c r="M38" i="47"/>
  <c r="M307" i="47"/>
  <c r="AF307" i="47" s="1"/>
  <c r="AW307" i="47" s="1"/>
  <c r="M286" i="47"/>
  <c r="M286" i="57" s="1"/>
  <c r="M269" i="47"/>
  <c r="AF269" i="47" s="1"/>
  <c r="AW269" i="47" s="1"/>
  <c r="M205" i="47"/>
  <c r="AF205" i="47" s="1"/>
  <c r="AW205" i="47" s="1"/>
  <c r="M141" i="47"/>
  <c r="M141" i="57" s="1"/>
  <c r="M77" i="47"/>
  <c r="M171" i="47"/>
  <c r="M195" i="47"/>
  <c r="M192" i="47"/>
  <c r="AF192" i="47" s="1"/>
  <c r="AW192" i="47" s="1"/>
  <c r="M95" i="47"/>
  <c r="AF95" i="47" s="1"/>
  <c r="AW95" i="47" s="1"/>
  <c r="M211" i="47"/>
  <c r="AF211" i="47" s="1"/>
  <c r="AW211" i="47" s="1"/>
  <c r="M179" i="47"/>
  <c r="AF179" i="47" s="1"/>
  <c r="AW179" i="47" s="1"/>
  <c r="M115" i="47"/>
  <c r="M51" i="47"/>
  <c r="M100" i="47"/>
  <c r="M100" i="57" s="1"/>
  <c r="M226" i="47"/>
  <c r="M162" i="47"/>
  <c r="M162" i="57" s="1"/>
  <c r="M98" i="47"/>
  <c r="AF98" i="47" s="1"/>
  <c r="AW98" i="47" s="1"/>
  <c r="M34" i="47"/>
  <c r="AF34" i="47" s="1"/>
  <c r="AW34" i="47" s="1"/>
  <c r="M283" i="47"/>
  <c r="M283" i="57" s="1"/>
  <c r="M305" i="47"/>
  <c r="AF305" i="47" s="1"/>
  <c r="AW305" i="47" s="1"/>
  <c r="M241" i="47"/>
  <c r="M177" i="47"/>
  <c r="M113" i="47"/>
  <c r="M49" i="47"/>
  <c r="M49" i="57" s="1"/>
  <c r="M116" i="47"/>
  <c r="AF116" i="47" s="1"/>
  <c r="AW116" i="47" s="1"/>
  <c r="M264" i="47"/>
  <c r="M264" i="57" s="1"/>
  <c r="M200" i="47"/>
  <c r="AF200" i="47" s="1"/>
  <c r="AW200" i="47" s="1"/>
  <c r="M136" i="47"/>
  <c r="AF136" i="47" s="1"/>
  <c r="AW136" i="47" s="1"/>
  <c r="M72" i="47"/>
  <c r="M260" i="47"/>
  <c r="M260" i="57" s="1"/>
  <c r="M227" i="47"/>
  <c r="M231" i="47"/>
  <c r="AF231" i="47" s="1"/>
  <c r="AW231" i="47" s="1"/>
  <c r="M167" i="47"/>
  <c r="AF167" i="47" s="1"/>
  <c r="AW167" i="47" s="1"/>
  <c r="M103" i="47"/>
  <c r="M103" i="57" s="1"/>
  <c r="M39" i="47"/>
  <c r="AF39" i="47" s="1"/>
  <c r="AW39" i="47" s="1"/>
  <c r="M92" i="47"/>
  <c r="M222" i="47"/>
  <c r="AF222" i="47" s="1"/>
  <c r="AW222" i="47" s="1"/>
  <c r="M158" i="47"/>
  <c r="M94" i="47"/>
  <c r="M30" i="47"/>
  <c r="M30" i="57" s="1"/>
  <c r="M259" i="47"/>
  <c r="AF259" i="47" s="1"/>
  <c r="AW259" i="47" s="1"/>
  <c r="M278" i="47"/>
  <c r="AF278" i="47" s="1"/>
  <c r="AW278" i="47" s="1"/>
  <c r="M261" i="47"/>
  <c r="AF261" i="47" s="1"/>
  <c r="AW261" i="47" s="1"/>
  <c r="M197" i="47"/>
  <c r="M133" i="47"/>
  <c r="M69" i="47"/>
  <c r="M107" i="47"/>
  <c r="M169" i="47"/>
  <c r="AF169" i="47" s="1"/>
  <c r="AW169" i="47" s="1"/>
  <c r="M64" i="47"/>
  <c r="AF64" i="47" s="1"/>
  <c r="AW64" i="47" s="1"/>
  <c r="M31" i="47"/>
  <c r="M31" i="57" s="1"/>
  <c r="M253" i="47"/>
  <c r="AF253" i="47" s="1"/>
  <c r="AW253" i="47" s="1"/>
  <c r="M25" i="15"/>
  <c r="M37" i="15"/>
  <c r="H32" i="60"/>
  <c r="T34" i="60"/>
  <c r="H34" i="60" s="1"/>
  <c r="H12" i="66"/>
  <c r="F107" i="66"/>
  <c r="AE9" i="66"/>
  <c r="S9" i="66"/>
  <c r="AO9" i="66" s="1"/>
  <c r="AF166" i="47"/>
  <c r="AW166" i="47" s="1"/>
  <c r="M166" i="57"/>
  <c r="AF181" i="47"/>
  <c r="AW181" i="47" s="1"/>
  <c r="M181" i="57"/>
  <c r="AF156" i="47"/>
  <c r="AW156" i="47" s="1"/>
  <c r="M156" i="57"/>
  <c r="AF203" i="47"/>
  <c r="AW203" i="47" s="1"/>
  <c r="AF276" i="47"/>
  <c r="AW276" i="47" s="1"/>
  <c r="M276" i="57"/>
  <c r="AF54" i="47"/>
  <c r="AW54" i="47" s="1"/>
  <c r="M54" i="57"/>
  <c r="AF134" i="47"/>
  <c r="AW134" i="47" s="1"/>
  <c r="M134" i="57"/>
  <c r="S85" i="66"/>
  <c r="AO85" i="66" s="1"/>
  <c r="AE85" i="66"/>
  <c r="AY85" i="66"/>
  <c r="M222" i="57"/>
  <c r="AF68" i="47"/>
  <c r="AW68" i="47" s="1"/>
  <c r="M68" i="57"/>
  <c r="M271" i="57"/>
  <c r="AF288" i="47"/>
  <c r="AW288" i="47" s="1"/>
  <c r="M288" i="57"/>
  <c r="AF273" i="47"/>
  <c r="AW273" i="47" s="1"/>
  <c r="M273" i="57"/>
  <c r="AF120" i="47"/>
  <c r="AW120" i="47" s="1"/>
  <c r="M120" i="57"/>
  <c r="AF268" i="47"/>
  <c r="AW268" i="47" s="1"/>
  <c r="M268" i="57"/>
  <c r="AF282" i="47"/>
  <c r="AW282" i="47" s="1"/>
  <c r="M282" i="57"/>
  <c r="AF126" i="47"/>
  <c r="AW126" i="47" s="1"/>
  <c r="M126" i="57"/>
  <c r="AF91" i="47"/>
  <c r="AW91" i="47" s="1"/>
  <c r="AF73" i="47"/>
  <c r="AW73" i="47" s="1"/>
  <c r="M73" i="57"/>
  <c r="AF21" i="47"/>
  <c r="AW21" i="47" s="1"/>
  <c r="M97" i="57"/>
  <c r="AF36" i="47"/>
  <c r="AW36" i="47" s="1"/>
  <c r="M36" i="57"/>
  <c r="AE8" i="57"/>
  <c r="AE9" i="57"/>
  <c r="AF83" i="47"/>
  <c r="AW83" i="47" s="1"/>
  <c r="M83" i="57"/>
  <c r="AF152" i="47"/>
  <c r="AW152" i="47" s="1"/>
  <c r="M152" i="57"/>
  <c r="AF226" i="47"/>
  <c r="AW226" i="47" s="1"/>
  <c r="M226" i="57"/>
  <c r="AF37" i="47"/>
  <c r="AW37" i="47" s="1"/>
  <c r="M37" i="57"/>
  <c r="AF257" i="47"/>
  <c r="AW257" i="47" s="1"/>
  <c r="M257" i="57"/>
  <c r="AF274" i="47"/>
  <c r="AW274" i="47" s="1"/>
  <c r="M274" i="57"/>
  <c r="AF114" i="47"/>
  <c r="AW114" i="47" s="1"/>
  <c r="M114" i="57"/>
  <c r="AF248" i="47"/>
  <c r="AW248" i="47" s="1"/>
  <c r="M248" i="57"/>
  <c r="M217" i="57"/>
  <c r="AF244" i="47"/>
  <c r="AW244" i="47" s="1"/>
  <c r="M244" i="57"/>
  <c r="AF15" i="51"/>
  <c r="H94" i="66"/>
  <c r="AF267" i="47"/>
  <c r="AW267" i="47" s="1"/>
  <c r="M267" i="57"/>
  <c r="AF53" i="47"/>
  <c r="AW53" i="47" s="1"/>
  <c r="M53" i="57"/>
  <c r="AF301" i="47"/>
  <c r="AW301" i="47" s="1"/>
  <c r="M301" i="57"/>
  <c r="AF302" i="47"/>
  <c r="AW302" i="47" s="1"/>
  <c r="M302" i="57"/>
  <c r="AF279" i="47"/>
  <c r="AW279" i="47" s="1"/>
  <c r="AF26" i="47"/>
  <c r="AW26" i="47" s="1"/>
  <c r="M26" i="57"/>
  <c r="AF133" i="47"/>
  <c r="AW133" i="47" s="1"/>
  <c r="M133" i="57"/>
  <c r="M287" i="57"/>
  <c r="AF193" i="47"/>
  <c r="AW193" i="47" s="1"/>
  <c r="AF128" i="47"/>
  <c r="AW128" i="47" s="1"/>
  <c r="M128" i="57"/>
  <c r="AF252" i="47"/>
  <c r="AW252" i="47" s="1"/>
  <c r="M252" i="57"/>
  <c r="AF142" i="47"/>
  <c r="AW142" i="47" s="1"/>
  <c r="M142" i="57"/>
  <c r="AF141" i="47"/>
  <c r="AW141" i="47" s="1"/>
  <c r="AF170" i="47"/>
  <c r="AW170" i="47" s="1"/>
  <c r="M170" i="57"/>
  <c r="AF199" i="47"/>
  <c r="AW199" i="47" s="1"/>
  <c r="M199" i="57"/>
  <c r="L3" i="68"/>
  <c r="E123" i="66" s="1"/>
  <c r="L1" i="68"/>
  <c r="L4" i="68"/>
  <c r="E124" i="66" s="1"/>
  <c r="L2" i="68"/>
  <c r="E122" i="66" s="1"/>
  <c r="L8" i="68"/>
  <c r="E128" i="66" s="1"/>
  <c r="L9" i="68"/>
  <c r="E129" i="66" s="1"/>
  <c r="L7" i="68"/>
  <c r="L10" i="68"/>
  <c r="E130" i="66" s="1"/>
  <c r="AF24" i="47"/>
  <c r="AW24" i="47" s="1"/>
  <c r="M24" i="57"/>
  <c r="AF138" i="47"/>
  <c r="AW138" i="47" s="1"/>
  <c r="M138" i="57"/>
  <c r="M208" i="57"/>
  <c r="AF172" i="47"/>
  <c r="AW172" i="47" s="1"/>
  <c r="M172" i="57"/>
  <c r="AF13" i="51"/>
  <c r="AF291" i="47"/>
  <c r="AW291" i="47" s="1"/>
  <c r="M291" i="57"/>
  <c r="AF77" i="47"/>
  <c r="AW77" i="47" s="1"/>
  <c r="M77" i="57"/>
  <c r="AF112" i="47"/>
  <c r="AW112" i="47" s="1"/>
  <c r="M112" i="57"/>
  <c r="AF293" i="47"/>
  <c r="AW293" i="47" s="1"/>
  <c r="M293" i="57"/>
  <c r="AF38" i="47"/>
  <c r="AW38" i="47" s="1"/>
  <c r="M38" i="57"/>
  <c r="AF275" i="47"/>
  <c r="AW275" i="47" s="1"/>
  <c r="M275" i="57"/>
  <c r="AF57" i="47"/>
  <c r="AW57" i="47" s="1"/>
  <c r="M57" i="57"/>
  <c r="AF241" i="47"/>
  <c r="AW241" i="47" s="1"/>
  <c r="M241" i="57"/>
  <c r="AF296" i="47"/>
  <c r="AW296" i="47" s="1"/>
  <c r="M296" i="57"/>
  <c r="AF164" i="47"/>
  <c r="AW164" i="47" s="1"/>
  <c r="M164" i="57"/>
  <c r="AF79" i="47"/>
  <c r="AW79" i="47" s="1"/>
  <c r="M79" i="57"/>
  <c r="AF219" i="47"/>
  <c r="AW219" i="47" s="1"/>
  <c r="M219" i="57"/>
  <c r="AF281" i="47"/>
  <c r="AW281" i="47" s="1"/>
  <c r="M281" i="57"/>
  <c r="AF130" i="47"/>
  <c r="AW130" i="47" s="1"/>
  <c r="M130" i="57"/>
  <c r="AF186" i="47"/>
  <c r="AW186" i="47" s="1"/>
  <c r="M186" i="57"/>
  <c r="AF158" i="47"/>
  <c r="AW158" i="47" s="1"/>
  <c r="M158" i="57"/>
  <c r="AF214" i="47"/>
  <c r="AW214" i="47" s="1"/>
  <c r="M214" i="57"/>
  <c r="AF270" i="47"/>
  <c r="AW270" i="47" s="1"/>
  <c r="M270" i="57"/>
  <c r="AF197" i="47"/>
  <c r="AW197" i="47" s="1"/>
  <c r="M197" i="57"/>
  <c r="AF213" i="47"/>
  <c r="AW213" i="47" s="1"/>
  <c r="M213" i="57"/>
  <c r="AF236" i="47"/>
  <c r="AW236" i="47" s="1"/>
  <c r="M236" i="57"/>
  <c r="AF85" i="47"/>
  <c r="AW85" i="47" s="1"/>
  <c r="M85" i="57"/>
  <c r="AF109" i="47"/>
  <c r="AW109" i="47" s="1"/>
  <c r="M109" i="57"/>
  <c r="AF239" i="47"/>
  <c r="AW239" i="47" s="1"/>
  <c r="M239" i="57"/>
  <c r="AF258" i="47"/>
  <c r="AW258" i="47" s="1"/>
  <c r="M258" i="57"/>
  <c r="AF33" i="47"/>
  <c r="AW33" i="47" s="1"/>
  <c r="M33" i="57"/>
  <c r="AF230" i="47"/>
  <c r="AW230" i="47" s="1"/>
  <c r="M230" i="57"/>
  <c r="AF135" i="47"/>
  <c r="AW135" i="47" s="1"/>
  <c r="M135" i="57"/>
  <c r="AF242" i="47"/>
  <c r="AW242" i="47" s="1"/>
  <c r="M242" i="57"/>
  <c r="AF196" i="47"/>
  <c r="AW196" i="47" s="1"/>
  <c r="M196" i="57"/>
  <c r="AF223" i="47"/>
  <c r="AW223" i="47" s="1"/>
  <c r="M223" i="57"/>
  <c r="AF232" i="47"/>
  <c r="AW232" i="47" s="1"/>
  <c r="M232" i="57"/>
  <c r="AF174" i="47"/>
  <c r="AW174" i="47" s="1"/>
  <c r="M174" i="57"/>
  <c r="AF240" i="47"/>
  <c r="AW240" i="47" s="1"/>
  <c r="M240" i="57"/>
  <c r="AF215" i="47"/>
  <c r="AW215" i="47" s="1"/>
  <c r="M215" i="57"/>
  <c r="AF125" i="47"/>
  <c r="AW125" i="47" s="1"/>
  <c r="M125" i="57"/>
  <c r="AF185" i="47"/>
  <c r="AW185" i="47" s="1"/>
  <c r="M185" i="57"/>
  <c r="AF289" i="47"/>
  <c r="AW289" i="47" s="1"/>
  <c r="M289" i="57"/>
  <c r="AF195" i="47"/>
  <c r="AW195" i="47" s="1"/>
  <c r="M195" i="57"/>
  <c r="AF28" i="47"/>
  <c r="AW28" i="47" s="1"/>
  <c r="M28" i="57"/>
  <c r="AF58" i="47"/>
  <c r="AW58" i="47" s="1"/>
  <c r="M58" i="57"/>
  <c r="AF137" i="47"/>
  <c r="AW137" i="47" s="1"/>
  <c r="M137" i="57"/>
  <c r="AF59" i="47"/>
  <c r="AW59" i="47" s="1"/>
  <c r="M59" i="57"/>
  <c r="AF45" i="47"/>
  <c r="AW45" i="47" s="1"/>
  <c r="M45" i="57"/>
  <c r="AF29" i="47"/>
  <c r="AW29" i="47" s="1"/>
  <c r="M29" i="57"/>
  <c r="AF160" i="47"/>
  <c r="AW160" i="47" s="1"/>
  <c r="M160" i="57"/>
  <c r="AF161" i="47"/>
  <c r="AW161" i="47" s="1"/>
  <c r="M161" i="57"/>
  <c r="AF171" i="47"/>
  <c r="AW171" i="47" s="1"/>
  <c r="M171" i="57"/>
  <c r="AF216" i="47"/>
  <c r="AW216" i="47" s="1"/>
  <c r="M216" i="57"/>
  <c r="AF207" i="47"/>
  <c r="AW207" i="47" s="1"/>
  <c r="M207" i="57"/>
  <c r="AF51" i="47"/>
  <c r="AW51" i="47" s="1"/>
  <c r="M51" i="57"/>
  <c r="AF25" i="47"/>
  <c r="AW25" i="47" s="1"/>
  <c r="M25" i="57"/>
  <c r="AF221" i="47"/>
  <c r="AW221" i="47" s="1"/>
  <c r="M221" i="57"/>
  <c r="AF20" i="47"/>
  <c r="AW20" i="47" s="1"/>
  <c r="M20" i="57"/>
  <c r="AF84" i="47"/>
  <c r="AW84" i="47" s="1"/>
  <c r="M84" i="57"/>
  <c r="AF105" i="47"/>
  <c r="AW105" i="47" s="1"/>
  <c r="M105" i="57"/>
  <c r="AF198" i="47"/>
  <c r="AW198" i="47" s="1"/>
  <c r="M198" i="57"/>
  <c r="AF107" i="47"/>
  <c r="AW107" i="47" s="1"/>
  <c r="M107" i="57"/>
  <c r="AF132" i="47"/>
  <c r="AW132" i="47" s="1"/>
  <c r="M132" i="57"/>
  <c r="AF139" i="47"/>
  <c r="AW139" i="47" s="1"/>
  <c r="M139" i="57"/>
  <c r="AF72" i="47"/>
  <c r="AW72" i="47" s="1"/>
  <c r="M72" i="57"/>
  <c r="AF87" i="47"/>
  <c r="AW87" i="47" s="1"/>
  <c r="M87" i="57"/>
  <c r="AF249" i="47"/>
  <c r="AW249" i="47" s="1"/>
  <c r="M249" i="57"/>
  <c r="AF94" i="47"/>
  <c r="AW94" i="47" s="1"/>
  <c r="M94" i="57"/>
  <c r="AF71" i="47"/>
  <c r="AW71" i="47" s="1"/>
  <c r="M71" i="57"/>
  <c r="AF41" i="47"/>
  <c r="AW41" i="47" s="1"/>
  <c r="M41" i="57"/>
  <c r="AF99" i="47"/>
  <c r="AW99" i="47" s="1"/>
  <c r="M99" i="57"/>
  <c r="AF127" i="47"/>
  <c r="AW127" i="47" s="1"/>
  <c r="M127" i="57"/>
  <c r="AF88" i="47"/>
  <c r="AW88" i="47" s="1"/>
  <c r="M88" i="57"/>
  <c r="AF177" i="47"/>
  <c r="AW177" i="47" s="1"/>
  <c r="M177" i="57"/>
  <c r="AF104" i="47"/>
  <c r="AW104" i="47" s="1"/>
  <c r="M104" i="57"/>
  <c r="AF115" i="47"/>
  <c r="AW115" i="47" s="1"/>
  <c r="M115" i="57"/>
  <c r="AF227" i="47"/>
  <c r="AW227" i="47" s="1"/>
  <c r="M227" i="57"/>
  <c r="AF16" i="47"/>
  <c r="AW16" i="47" s="1"/>
  <c r="M16" i="57"/>
  <c r="AF284" i="47"/>
  <c r="AW284" i="47" s="1"/>
  <c r="M284" i="57"/>
  <c r="AF27" i="47"/>
  <c r="AW27" i="47" s="1"/>
  <c r="M27" i="57"/>
  <c r="AF124" i="47"/>
  <c r="AW124" i="47" s="1"/>
  <c r="M124" i="57"/>
  <c r="AF254" i="47"/>
  <c r="AW254" i="47" s="1"/>
  <c r="M254" i="57"/>
  <c r="AF153" i="47"/>
  <c r="AW153" i="47" s="1"/>
  <c r="M153" i="57"/>
  <c r="AF165" i="47"/>
  <c r="AW165" i="47" s="1"/>
  <c r="M165" i="57"/>
  <c r="AF92" i="47"/>
  <c r="AW92" i="47" s="1"/>
  <c r="M92" i="57"/>
  <c r="AF78" i="47"/>
  <c r="AW78" i="47" s="1"/>
  <c r="M78" i="57"/>
  <c r="AF93" i="47"/>
  <c r="AW93" i="47" s="1"/>
  <c r="M93" i="57"/>
  <c r="AF69" i="47"/>
  <c r="AW69" i="47" s="1"/>
  <c r="M69" i="57"/>
  <c r="AF67" i="47"/>
  <c r="AW67" i="47" s="1"/>
  <c r="M67" i="57"/>
  <c r="AF212" i="47"/>
  <c r="AW212" i="47" s="1"/>
  <c r="M212" i="57"/>
  <c r="AF182" i="47"/>
  <c r="AW182" i="47" s="1"/>
  <c r="M182" i="57"/>
  <c r="AF18" i="47"/>
  <c r="AW18" i="47" s="1"/>
  <c r="M18" i="57"/>
  <c r="AF145" i="47"/>
  <c r="AW145" i="47" s="1"/>
  <c r="M145" i="57"/>
  <c r="AF32" i="47"/>
  <c r="AW32" i="47" s="1"/>
  <c r="M32" i="57"/>
  <c r="AF146" i="47"/>
  <c r="AW146" i="47" s="1"/>
  <c r="M146" i="57"/>
  <c r="AF80" i="47"/>
  <c r="AW80" i="47" s="1"/>
  <c r="M80" i="57"/>
  <c r="AF131" i="47"/>
  <c r="AW131" i="47" s="1"/>
  <c r="M131" i="57"/>
  <c r="AF266" i="47"/>
  <c r="AW266" i="47" s="1"/>
  <c r="M266" i="57"/>
  <c r="AF66" i="47"/>
  <c r="AW66" i="47" s="1"/>
  <c r="M66" i="57"/>
  <c r="AF148" i="47"/>
  <c r="AW148" i="47" s="1"/>
  <c r="M148" i="57"/>
  <c r="AF113" i="47"/>
  <c r="AW113" i="47" s="1"/>
  <c r="M113" i="57"/>
  <c r="AF255" i="47"/>
  <c r="AW255" i="47" s="1"/>
  <c r="M255" i="57"/>
  <c r="AF76" i="47"/>
  <c r="AW76" i="47" s="1"/>
  <c r="M76" i="57"/>
  <c r="M299" i="57" l="1"/>
  <c r="M106" i="57"/>
  <c r="M151" i="57"/>
  <c r="M229" i="57"/>
  <c r="M175" i="57"/>
  <c r="M168" i="57"/>
  <c r="AF168" i="57" s="1"/>
  <c r="AF218" i="47"/>
  <c r="AW218" i="47" s="1"/>
  <c r="AF304" i="47"/>
  <c r="AW304" i="47" s="1"/>
  <c r="AF220" i="47"/>
  <c r="AW220" i="47" s="1"/>
  <c r="M89" i="57"/>
  <c r="M290" i="57"/>
  <c r="M300" i="57"/>
  <c r="AF49" i="47"/>
  <c r="AW49" i="47" s="1"/>
  <c r="AF210" i="47"/>
  <c r="AW210" i="47" s="1"/>
  <c r="M204" i="57"/>
  <c r="M108" i="57"/>
  <c r="M292" i="57"/>
  <c r="M70" i="57"/>
  <c r="M150" i="57"/>
  <c r="M110" i="57"/>
  <c r="M169" i="57"/>
  <c r="M122" i="57"/>
  <c r="M129" i="68" s="1"/>
  <c r="M147" i="57"/>
  <c r="M231" i="57"/>
  <c r="M202" i="57"/>
  <c r="M192" i="57"/>
  <c r="AF260" i="47"/>
  <c r="AW260" i="47" s="1"/>
  <c r="M297" i="57"/>
  <c r="AF234" i="47"/>
  <c r="AW234" i="47" s="1"/>
  <c r="M48" i="57"/>
  <c r="AF48" i="57" s="1"/>
  <c r="AF162" i="47"/>
  <c r="AW162" i="47" s="1"/>
  <c r="AF118" i="47"/>
  <c r="AW118" i="47" s="1"/>
  <c r="AF30" i="47"/>
  <c r="AW30" i="47" s="1"/>
  <c r="M189" i="57"/>
  <c r="M189" i="51" s="1"/>
  <c r="M82" i="57"/>
  <c r="M129" i="57"/>
  <c r="M23" i="57"/>
  <c r="AF100" i="47"/>
  <c r="AW100" i="47" s="1"/>
  <c r="AF102" i="47"/>
  <c r="AW102" i="47" s="1"/>
  <c r="AF90" i="47"/>
  <c r="AW90" i="47" s="1"/>
  <c r="AF103" i="47"/>
  <c r="AW103" i="47" s="1"/>
  <c r="AF183" i="47"/>
  <c r="AW183" i="47" s="1"/>
  <c r="M143" i="57"/>
  <c r="M245" i="57"/>
  <c r="M245" i="51" s="1"/>
  <c r="AF149" i="47"/>
  <c r="AW149" i="47" s="1"/>
  <c r="M43" i="57"/>
  <c r="M50" i="68" s="1"/>
  <c r="M74" i="57"/>
  <c r="M256" i="57"/>
  <c r="M178" i="57"/>
  <c r="M307" i="57"/>
  <c r="AF307" i="57" s="1"/>
  <c r="M44" i="57"/>
  <c r="AF188" i="47"/>
  <c r="AW188" i="47" s="1"/>
  <c r="M191" i="57"/>
  <c r="M269" i="57"/>
  <c r="M269" i="51" s="1"/>
  <c r="M211" i="57"/>
  <c r="M184" i="57"/>
  <c r="M238" i="57"/>
  <c r="M121" i="57"/>
  <c r="AF121" i="57" s="1"/>
  <c r="AF63" i="47"/>
  <c r="AW63" i="47" s="1"/>
  <c r="M277" i="57"/>
  <c r="AF277" i="57" s="1"/>
  <c r="AF264" i="47"/>
  <c r="AW264" i="47" s="1"/>
  <c r="M60" i="57"/>
  <c r="M60" i="51" s="1"/>
  <c r="M52" i="57"/>
  <c r="M187" i="57"/>
  <c r="AF187" i="57" s="1"/>
  <c r="M228" i="57"/>
  <c r="M47" i="57"/>
  <c r="M54" i="68" s="1"/>
  <c r="AF31" i="47"/>
  <c r="AW31" i="47" s="1"/>
  <c r="AE93" i="66"/>
  <c r="S93" i="66"/>
  <c r="AO93" i="66" s="1"/>
  <c r="AY93" i="66"/>
  <c r="S95" i="66"/>
  <c r="AO95" i="66" s="1"/>
  <c r="AE95" i="66"/>
  <c r="AY95" i="66"/>
  <c r="M101" i="57"/>
  <c r="AF101" i="57" s="1"/>
  <c r="M159" i="57"/>
  <c r="AF159" i="57" s="1"/>
  <c r="AF247" i="47"/>
  <c r="AW247" i="47" s="1"/>
  <c r="AF40" i="47"/>
  <c r="AW40" i="47" s="1"/>
  <c r="M278" i="57"/>
  <c r="AF278" i="57" s="1"/>
  <c r="AF286" i="47"/>
  <c r="AW286" i="47" s="1"/>
  <c r="AF209" i="47"/>
  <c r="AW209" i="47" s="1"/>
  <c r="M34" i="57"/>
  <c r="M41" i="68" s="1"/>
  <c r="M111" i="57"/>
  <c r="AF111" i="57" s="1"/>
  <c r="M190" i="57"/>
  <c r="M197" i="68" s="1"/>
  <c r="M262" i="57"/>
  <c r="M262" i="51" s="1"/>
  <c r="M180" i="57"/>
  <c r="AF243" i="47"/>
  <c r="AW243" i="47" s="1"/>
  <c r="I83" i="66"/>
  <c r="T83" i="66" s="1"/>
  <c r="AP83" i="66" s="1"/>
  <c r="M246" i="57"/>
  <c r="M117" i="57"/>
  <c r="M124" i="68" s="1"/>
  <c r="M261" i="57"/>
  <c r="AF261" i="57" s="1"/>
  <c r="AF75" i="47"/>
  <c r="AW75" i="47" s="1"/>
  <c r="AF265" i="47"/>
  <c r="AW265" i="47" s="1"/>
  <c r="M259" i="57"/>
  <c r="M266" i="68" s="1"/>
  <c r="I84" i="66"/>
  <c r="AF84" i="66" s="1"/>
  <c r="M263" i="57"/>
  <c r="M298" i="57"/>
  <c r="AF298" i="57" s="1"/>
  <c r="I78" i="66"/>
  <c r="AF78" i="66" s="1"/>
  <c r="I82" i="66"/>
  <c r="AF82" i="66" s="1"/>
  <c r="AF61" i="47"/>
  <c r="AW61" i="47" s="1"/>
  <c r="AF280" i="47"/>
  <c r="AW280" i="47" s="1"/>
  <c r="M136" i="57"/>
  <c r="M50" i="57"/>
  <c r="M173" i="57"/>
  <c r="M180" i="68" s="1"/>
  <c r="M55" i="57"/>
  <c r="AF55" i="57" s="1"/>
  <c r="I81" i="66"/>
  <c r="AF81" i="66" s="1"/>
  <c r="M35" i="57"/>
  <c r="M42" i="68" s="1"/>
  <c r="AF250" i="47"/>
  <c r="AW250" i="47" s="1"/>
  <c r="M123" i="57"/>
  <c r="AF123" i="57" s="1"/>
  <c r="M17" i="57"/>
  <c r="AF17" i="57" s="1"/>
  <c r="M237" i="57"/>
  <c r="M244" i="68" s="1"/>
  <c r="M201" i="57"/>
  <c r="AF201" i="57" s="1"/>
  <c r="M235" i="57"/>
  <c r="AF235" i="57" s="1"/>
  <c r="M305" i="57"/>
  <c r="AF305" i="57" s="1"/>
  <c r="AF283" i="47"/>
  <c r="AW283" i="47" s="1"/>
  <c r="AF155" i="47"/>
  <c r="AW155" i="47" s="1"/>
  <c r="M56" i="57"/>
  <c r="M56" i="51" s="1"/>
  <c r="M205" i="57"/>
  <c r="M212" i="68" s="1"/>
  <c r="AF96" i="47"/>
  <c r="AW96" i="47" s="1"/>
  <c r="M81" i="57"/>
  <c r="AF81" i="57" s="1"/>
  <c r="M253" i="57"/>
  <c r="M260" i="68" s="1"/>
  <c r="M42" i="57"/>
  <c r="AF42" i="57" s="1"/>
  <c r="M179" i="57"/>
  <c r="M46" i="57"/>
  <c r="M64" i="57"/>
  <c r="M71" i="68" s="1"/>
  <c r="M206" i="57"/>
  <c r="AF206" i="57" s="1"/>
  <c r="M303" i="57"/>
  <c r="M303" i="51" s="1"/>
  <c r="M306" i="57"/>
  <c r="M306" i="51" s="1"/>
  <c r="M19" i="57"/>
  <c r="AF19" i="57" s="1"/>
  <c r="M95" i="57"/>
  <c r="M233" i="57"/>
  <c r="AF233" i="57" s="1"/>
  <c r="M116" i="57"/>
  <c r="AF116" i="57" s="1"/>
  <c r="AF42" i="47"/>
  <c r="AW42" i="47" s="1"/>
  <c r="M295" i="57"/>
  <c r="AF295" i="57" s="1"/>
  <c r="M62" i="57"/>
  <c r="M69" i="68" s="1"/>
  <c r="M200" i="57"/>
  <c r="M200" i="51" s="1"/>
  <c r="M98" i="57"/>
  <c r="AF98" i="57" s="1"/>
  <c r="M285" i="57"/>
  <c r="AF285" i="57" s="1"/>
  <c r="M167" i="57"/>
  <c r="AF167" i="57" s="1"/>
  <c r="AF224" i="47"/>
  <c r="AW224" i="47" s="1"/>
  <c r="AF65" i="47"/>
  <c r="AW65" i="47" s="1"/>
  <c r="M144" i="57"/>
  <c r="M151" i="68" s="1"/>
  <c r="I80" i="66"/>
  <c r="AF80" i="66" s="1"/>
  <c r="M272" i="57"/>
  <c r="AF272" i="57" s="1"/>
  <c r="M251" i="57"/>
  <c r="AF251" i="57" s="1"/>
  <c r="M294" i="57"/>
  <c r="AF294" i="57" s="1"/>
  <c r="M86" i="57"/>
  <c r="M86" i="51" s="1"/>
  <c r="M176" i="57"/>
  <c r="M183" i="68" s="1"/>
  <c r="M163" i="57"/>
  <c r="I79" i="66"/>
  <c r="AF79" i="66" s="1"/>
  <c r="M119" i="57"/>
  <c r="AF119" i="57" s="1"/>
  <c r="M154" i="57"/>
  <c r="AF154" i="57" s="1"/>
  <c r="M13" i="47"/>
  <c r="M433" i="47" s="1"/>
  <c r="M39" i="57"/>
  <c r="AF39" i="57" s="1"/>
  <c r="M157" i="57"/>
  <c r="M164" i="68" s="1"/>
  <c r="M140" i="57"/>
  <c r="M147" i="68" s="1"/>
  <c r="M225" i="57"/>
  <c r="M232" i="68" s="1"/>
  <c r="M194" i="57"/>
  <c r="AF194" i="57" s="1"/>
  <c r="M548" i="47"/>
  <c r="M474" i="47"/>
  <c r="M604" i="47"/>
  <c r="M588" i="47"/>
  <c r="M331" i="47"/>
  <c r="AF15" i="47"/>
  <c r="AW15" i="47" s="1"/>
  <c r="M15" i="57"/>
  <c r="M22" i="57"/>
  <c r="AF22" i="47"/>
  <c r="AW22" i="47" s="1"/>
  <c r="N33" i="15"/>
  <c r="M42" i="15"/>
  <c r="M35" i="15"/>
  <c r="N37" i="15"/>
  <c r="M39" i="15"/>
  <c r="M438" i="47"/>
  <c r="M348" i="47"/>
  <c r="M494" i="47"/>
  <c r="M350" i="47"/>
  <c r="M595" i="47"/>
  <c r="M504" i="47"/>
  <c r="M519" i="47"/>
  <c r="M538" i="47"/>
  <c r="AF13" i="47"/>
  <c r="AW13" i="47" s="1"/>
  <c r="AF153" i="57"/>
  <c r="M160" i="68"/>
  <c r="M153" i="51"/>
  <c r="AF108" i="57"/>
  <c r="AF148" i="57"/>
  <c r="M155" i="68"/>
  <c r="M148" i="51"/>
  <c r="M189" i="68"/>
  <c r="AF182" i="57"/>
  <c r="M182" i="51"/>
  <c r="M99" i="68"/>
  <c r="AF92" i="57"/>
  <c r="M92" i="51"/>
  <c r="M23" i="68"/>
  <c r="AF16" i="57"/>
  <c r="M16" i="51"/>
  <c r="M184" i="68"/>
  <c r="AF177" i="57"/>
  <c r="M177" i="51"/>
  <c r="AF249" i="57"/>
  <c r="M256" i="68"/>
  <c r="M249" i="51"/>
  <c r="AF198" i="57"/>
  <c r="M205" i="68"/>
  <c r="M198" i="51"/>
  <c r="M228" i="68"/>
  <c r="AF221" i="57"/>
  <c r="M221" i="51"/>
  <c r="AF137" i="57"/>
  <c r="M144" i="68"/>
  <c r="M137" i="51"/>
  <c r="AF195" i="57"/>
  <c r="M202" i="68"/>
  <c r="M195" i="51"/>
  <c r="M247" i="68"/>
  <c r="AF240" i="57"/>
  <c r="M240" i="51"/>
  <c r="AF122" i="57"/>
  <c r="M231" i="68"/>
  <c r="AF224" i="57"/>
  <c r="M224" i="51"/>
  <c r="M238" i="68"/>
  <c r="AF231" i="57"/>
  <c r="M231" i="51"/>
  <c r="AF65" i="57"/>
  <c r="M72" i="68"/>
  <c r="M65" i="51"/>
  <c r="M209" i="68"/>
  <c r="AF202" i="57"/>
  <c r="M202" i="51"/>
  <c r="M298" i="68"/>
  <c r="AF291" i="57"/>
  <c r="M291" i="51"/>
  <c r="M215" i="68"/>
  <c r="AF208" i="57"/>
  <c r="M208" i="51"/>
  <c r="E121" i="66"/>
  <c r="L5" i="68"/>
  <c r="E125" i="66" s="1"/>
  <c r="AF162" i="57"/>
  <c r="M169" i="68"/>
  <c r="M162" i="51"/>
  <c r="AF141" i="57"/>
  <c r="M148" i="68"/>
  <c r="M141" i="51"/>
  <c r="M286" i="68"/>
  <c r="AF279" i="57"/>
  <c r="M279" i="51"/>
  <c r="M60" i="68"/>
  <c r="AF53" i="57"/>
  <c r="M53" i="51"/>
  <c r="M121" i="68"/>
  <c r="AF114" i="57"/>
  <c r="M114" i="51"/>
  <c r="AF226" i="57"/>
  <c r="M233" i="68"/>
  <c r="M226" i="51"/>
  <c r="M295" i="68"/>
  <c r="AF288" i="57"/>
  <c r="M288" i="51"/>
  <c r="AF271" i="57"/>
  <c r="M278" i="68"/>
  <c r="M271" i="51"/>
  <c r="M141" i="68"/>
  <c r="AF134" i="57"/>
  <c r="M134" i="51"/>
  <c r="AF63" i="57"/>
  <c r="M70" i="68"/>
  <c r="M63" i="51"/>
  <c r="M25" i="68"/>
  <c r="AF18" i="57"/>
  <c r="M18" i="51"/>
  <c r="AF283" i="57"/>
  <c r="M290" i="68"/>
  <c r="M283" i="51"/>
  <c r="AF266" i="57"/>
  <c r="M273" i="68"/>
  <c r="M266" i="51"/>
  <c r="AF32" i="57"/>
  <c r="M39" i="68"/>
  <c r="M32" i="51"/>
  <c r="AF67" i="57"/>
  <c r="M74" i="68"/>
  <c r="M67" i="51"/>
  <c r="M110" i="68"/>
  <c r="AF103" i="57"/>
  <c r="M103" i="51"/>
  <c r="M106" i="68"/>
  <c r="AF99" i="57"/>
  <c r="M99" i="51"/>
  <c r="AF105" i="57"/>
  <c r="M112" i="68"/>
  <c r="M105" i="51"/>
  <c r="AF29" i="57"/>
  <c r="M36" i="68"/>
  <c r="M29" i="51"/>
  <c r="M297" i="68"/>
  <c r="AF290" i="57"/>
  <c r="M290" i="51"/>
  <c r="AF125" i="57"/>
  <c r="M132" i="68"/>
  <c r="M125" i="51"/>
  <c r="AF174" i="57"/>
  <c r="M181" i="68"/>
  <c r="M174" i="51"/>
  <c r="AF169" i="57"/>
  <c r="M176" i="68"/>
  <c r="M169" i="51"/>
  <c r="M237" i="68"/>
  <c r="AF230" i="57"/>
  <c r="M230" i="51"/>
  <c r="M265" i="68"/>
  <c r="AF258" i="57"/>
  <c r="M258" i="51"/>
  <c r="AF158" i="57"/>
  <c r="M165" i="68"/>
  <c r="M158" i="51"/>
  <c r="AF79" i="57"/>
  <c r="M86" i="68"/>
  <c r="M79" i="51"/>
  <c r="AF57" i="57"/>
  <c r="M64" i="68"/>
  <c r="M57" i="51"/>
  <c r="M45" i="68"/>
  <c r="AF38" i="57"/>
  <c r="M38" i="51"/>
  <c r="AF30" i="57"/>
  <c r="M37" i="68"/>
  <c r="M30" i="51"/>
  <c r="M294" i="68"/>
  <c r="AF287" i="57"/>
  <c r="M287" i="51"/>
  <c r="M308" i="68"/>
  <c r="AF301" i="57"/>
  <c r="M301" i="51"/>
  <c r="M187" i="68"/>
  <c r="AF180" i="57"/>
  <c r="M180" i="51"/>
  <c r="AF217" i="57"/>
  <c r="M224" i="68"/>
  <c r="M217" i="51"/>
  <c r="M107" i="68"/>
  <c r="AF100" i="57"/>
  <c r="M100" i="51"/>
  <c r="M311" i="68"/>
  <c r="AF304" i="57"/>
  <c r="M304" i="51"/>
  <c r="AF83" i="57"/>
  <c r="M90" i="68"/>
  <c r="M83" i="51"/>
  <c r="M250" i="68"/>
  <c r="AF243" i="57"/>
  <c r="M243" i="51"/>
  <c r="AF268" i="57"/>
  <c r="M275" i="68"/>
  <c r="M268" i="51"/>
  <c r="AF203" i="57"/>
  <c r="M210" i="68"/>
  <c r="M203" i="51"/>
  <c r="M173" i="68"/>
  <c r="AF166" i="57"/>
  <c r="M166" i="51"/>
  <c r="M77" i="68"/>
  <c r="AF70" i="57"/>
  <c r="M70" i="51"/>
  <c r="AF69" i="57"/>
  <c r="M76" i="68"/>
  <c r="M69" i="51"/>
  <c r="M262" i="68"/>
  <c r="AF255" i="57"/>
  <c r="M255" i="51"/>
  <c r="AF143" i="57"/>
  <c r="M150" i="68"/>
  <c r="M143" i="51"/>
  <c r="AF207" i="57"/>
  <c r="M214" i="68"/>
  <c r="M207" i="51"/>
  <c r="AF131" i="57"/>
  <c r="M138" i="68"/>
  <c r="M131" i="51"/>
  <c r="AF89" i="57"/>
  <c r="M96" i="68"/>
  <c r="M89" i="51"/>
  <c r="M100" i="68"/>
  <c r="AF93" i="57"/>
  <c r="M93" i="51"/>
  <c r="AF27" i="57"/>
  <c r="M34" i="68"/>
  <c r="M27" i="51"/>
  <c r="M111" i="68"/>
  <c r="AF104" i="57"/>
  <c r="M104" i="51"/>
  <c r="M78" i="68"/>
  <c r="AF71" i="57"/>
  <c r="M71" i="51"/>
  <c r="M139" i="68"/>
  <c r="AF132" i="57"/>
  <c r="M132" i="51"/>
  <c r="AF171" i="57"/>
  <c r="M178" i="68"/>
  <c r="M171" i="51"/>
  <c r="M271" i="68"/>
  <c r="AF264" i="57"/>
  <c r="M264" i="51"/>
  <c r="AF196" i="57"/>
  <c r="M203" i="68"/>
  <c r="M196" i="51"/>
  <c r="M40" i="68"/>
  <c r="AF33" i="57"/>
  <c r="M33" i="51"/>
  <c r="M92" i="68"/>
  <c r="AF85" i="57"/>
  <c r="M85" i="51"/>
  <c r="AF197" i="57"/>
  <c r="M204" i="68"/>
  <c r="M197" i="51"/>
  <c r="AF281" i="57"/>
  <c r="M288" i="68"/>
  <c r="M281" i="51"/>
  <c r="M303" i="68"/>
  <c r="AF296" i="57"/>
  <c r="M296" i="51"/>
  <c r="M119" i="68"/>
  <c r="AF112" i="57"/>
  <c r="M112" i="51"/>
  <c r="AF204" i="57"/>
  <c r="M211" i="68"/>
  <c r="M204" i="51"/>
  <c r="AF49" i="57"/>
  <c r="M56" i="68"/>
  <c r="M49" i="51"/>
  <c r="AF252" i="57"/>
  <c r="M259" i="68"/>
  <c r="M252" i="51"/>
  <c r="AF26" i="57"/>
  <c r="M33" i="68"/>
  <c r="M26" i="51"/>
  <c r="AF260" i="57"/>
  <c r="M267" i="68"/>
  <c r="M260" i="51"/>
  <c r="M44" i="68"/>
  <c r="AF37" i="57"/>
  <c r="M37" i="51"/>
  <c r="AF82" i="57"/>
  <c r="M89" i="68"/>
  <c r="M82" i="51"/>
  <c r="M80" i="68"/>
  <c r="AF73" i="57"/>
  <c r="M73" i="51"/>
  <c r="M136" i="68"/>
  <c r="AF129" i="57"/>
  <c r="M129" i="51"/>
  <c r="M190" i="68"/>
  <c r="AF183" i="57"/>
  <c r="M183" i="51"/>
  <c r="M254" i="68"/>
  <c r="AF247" i="57"/>
  <c r="M247" i="51"/>
  <c r="M131" i="68"/>
  <c r="AF124" i="57"/>
  <c r="M124" i="51"/>
  <c r="M95" i="68"/>
  <c r="AF88" i="57"/>
  <c r="M88" i="51"/>
  <c r="AF25" i="57"/>
  <c r="M32" i="68"/>
  <c r="M25" i="51"/>
  <c r="M168" i="68"/>
  <c r="AF161" i="57"/>
  <c r="M161" i="51"/>
  <c r="M65" i="68"/>
  <c r="AF58" i="57"/>
  <c r="M58" i="51"/>
  <c r="AF289" i="57"/>
  <c r="M296" i="68"/>
  <c r="M289" i="51"/>
  <c r="M239" i="68"/>
  <c r="AF232" i="57"/>
  <c r="M232" i="51"/>
  <c r="AF175" i="57"/>
  <c r="M182" i="68"/>
  <c r="M175" i="51"/>
  <c r="M287" i="68"/>
  <c r="AF280" i="57"/>
  <c r="M280" i="51"/>
  <c r="AF270" i="57"/>
  <c r="M277" i="68"/>
  <c r="M270" i="51"/>
  <c r="AF219" i="57"/>
  <c r="M226" i="68"/>
  <c r="M219" i="51"/>
  <c r="M68" i="68"/>
  <c r="AF61" i="57"/>
  <c r="M61" i="51"/>
  <c r="M194" i="68"/>
  <c r="M187" i="51"/>
  <c r="M145" i="68"/>
  <c r="AF138" i="57"/>
  <c r="M138" i="51"/>
  <c r="E127" i="66"/>
  <c r="L11" i="68"/>
  <c r="AF142" i="57"/>
  <c r="M149" i="68"/>
  <c r="M142" i="51"/>
  <c r="M193" i="51"/>
  <c r="AF118" i="57"/>
  <c r="M125" i="68"/>
  <c r="M118" i="51"/>
  <c r="M274" i="68"/>
  <c r="AF267" i="57"/>
  <c r="M267" i="51"/>
  <c r="M272" i="68"/>
  <c r="AF265" i="57"/>
  <c r="M265" i="51"/>
  <c r="M281" i="68"/>
  <c r="AF274" i="57"/>
  <c r="M274" i="51"/>
  <c r="M98" i="68"/>
  <c r="AF91" i="57"/>
  <c r="M91" i="51"/>
  <c r="AF43" i="57"/>
  <c r="AF96" i="57"/>
  <c r="M103" i="68"/>
  <c r="M96" i="51"/>
  <c r="M75" i="68"/>
  <c r="AF68" i="57"/>
  <c r="M68" i="51"/>
  <c r="M61" i="68"/>
  <c r="AF54" i="57"/>
  <c r="M54" i="51"/>
  <c r="AF181" i="57"/>
  <c r="M188" i="68"/>
  <c r="M181" i="51"/>
  <c r="AF84" i="57"/>
  <c r="M91" i="68"/>
  <c r="M84" i="51"/>
  <c r="AF45" i="57"/>
  <c r="M52" i="68"/>
  <c r="M45" i="51"/>
  <c r="AF28" i="57"/>
  <c r="M35" i="68"/>
  <c r="M28" i="51"/>
  <c r="M222" i="68"/>
  <c r="AF215" i="57"/>
  <c r="M215" i="51"/>
  <c r="AF178" i="57"/>
  <c r="M185" i="68"/>
  <c r="M178" i="51"/>
  <c r="M236" i="68"/>
  <c r="AF229" i="57"/>
  <c r="M229" i="51"/>
  <c r="M154" i="68"/>
  <c r="AF147" i="57"/>
  <c r="M147" i="51"/>
  <c r="M246" i="68"/>
  <c r="AF239" i="57"/>
  <c r="M239" i="51"/>
  <c r="M193" i="68"/>
  <c r="AF186" i="57"/>
  <c r="M186" i="51"/>
  <c r="M171" i="68"/>
  <c r="AF164" i="57"/>
  <c r="M164" i="51"/>
  <c r="M38" i="68"/>
  <c r="AF31" i="57"/>
  <c r="M31" i="51"/>
  <c r="M300" i="68"/>
  <c r="AF293" i="57"/>
  <c r="M293" i="51"/>
  <c r="AF199" i="57"/>
  <c r="M206" i="68"/>
  <c r="M199" i="51"/>
  <c r="M225" i="68"/>
  <c r="AF218" i="57"/>
  <c r="M218" i="51"/>
  <c r="M140" i="68"/>
  <c r="AF133" i="57"/>
  <c r="M133" i="51"/>
  <c r="AF234" i="57"/>
  <c r="M241" i="68"/>
  <c r="M234" i="51"/>
  <c r="AF44" i="57"/>
  <c r="M51" i="68"/>
  <c r="M44" i="51"/>
  <c r="M264" i="68"/>
  <c r="AF257" i="57"/>
  <c r="M257" i="51"/>
  <c r="AF97" i="57"/>
  <c r="M104" i="68"/>
  <c r="M97" i="51"/>
  <c r="M245" i="68"/>
  <c r="AF238" i="57"/>
  <c r="M238" i="51"/>
  <c r="M198" i="68"/>
  <c r="AF191" i="57"/>
  <c r="M191" i="51"/>
  <c r="M278" i="51"/>
  <c r="M229" i="68"/>
  <c r="AF222" i="57"/>
  <c r="M222" i="51"/>
  <c r="AF156" i="57"/>
  <c r="M163" i="68"/>
  <c r="M156" i="51"/>
  <c r="AF299" i="57"/>
  <c r="M306" i="68"/>
  <c r="M299" i="51"/>
  <c r="AF80" i="57"/>
  <c r="M87" i="68"/>
  <c r="M80" i="51"/>
  <c r="M299" i="68"/>
  <c r="AF292" i="57"/>
  <c r="M292" i="51"/>
  <c r="AF78" i="57"/>
  <c r="M85" i="68"/>
  <c r="M78" i="51"/>
  <c r="AF284" i="57"/>
  <c r="M291" i="68"/>
  <c r="M284" i="51"/>
  <c r="M101" i="68"/>
  <c r="AF94" i="57"/>
  <c r="M94" i="51"/>
  <c r="M114" i="68"/>
  <c r="AF107" i="57"/>
  <c r="M107" i="51"/>
  <c r="AF151" i="57"/>
  <c r="M158" i="68"/>
  <c r="M151" i="51"/>
  <c r="M249" i="68"/>
  <c r="AF242" i="57"/>
  <c r="M242" i="51"/>
  <c r="AF236" i="57"/>
  <c r="M243" i="68"/>
  <c r="M236" i="51"/>
  <c r="M168" i="51"/>
  <c r="M248" i="68"/>
  <c r="AF241" i="57"/>
  <c r="M241" i="51"/>
  <c r="AF74" i="57"/>
  <c r="M81" i="68"/>
  <c r="M74" i="51"/>
  <c r="AF77" i="57"/>
  <c r="M84" i="68"/>
  <c r="M77" i="51"/>
  <c r="M179" i="68"/>
  <c r="AF172" i="57"/>
  <c r="M172" i="51"/>
  <c r="AF23" i="57"/>
  <c r="M30" i="68"/>
  <c r="M23" i="51"/>
  <c r="AF128" i="57"/>
  <c r="M135" i="68"/>
  <c r="M128" i="51"/>
  <c r="M304" i="68"/>
  <c r="AF297" i="57"/>
  <c r="M297" i="51"/>
  <c r="M191" i="68"/>
  <c r="AF184" i="57"/>
  <c r="M184" i="51"/>
  <c r="AF248" i="57"/>
  <c r="M255" i="68"/>
  <c r="M248" i="51"/>
  <c r="AF188" i="57"/>
  <c r="M195" i="68"/>
  <c r="M188" i="51"/>
  <c r="M156" i="68"/>
  <c r="AF149" i="57"/>
  <c r="M149" i="51"/>
  <c r="AF282" i="57"/>
  <c r="M289" i="68"/>
  <c r="M282" i="51"/>
  <c r="M280" i="68"/>
  <c r="AF273" i="57"/>
  <c r="M273" i="51"/>
  <c r="AF113" i="57"/>
  <c r="M120" i="68"/>
  <c r="M113" i="51"/>
  <c r="M157" i="68"/>
  <c r="AF150" i="57"/>
  <c r="M150" i="51"/>
  <c r="AF72" i="57"/>
  <c r="M79" i="68"/>
  <c r="M72" i="51"/>
  <c r="M223" i="68"/>
  <c r="AF216" i="57"/>
  <c r="M216" i="51"/>
  <c r="AF76" i="57"/>
  <c r="M83" i="68"/>
  <c r="M76" i="51"/>
  <c r="M73" i="68"/>
  <c r="AF66" i="57"/>
  <c r="M66" i="51"/>
  <c r="M153" i="68"/>
  <c r="AF146" i="57"/>
  <c r="M146" i="51"/>
  <c r="M219" i="68"/>
  <c r="AF212" i="57"/>
  <c r="M212" i="51"/>
  <c r="M172" i="68"/>
  <c r="AF165" i="57"/>
  <c r="M165" i="51"/>
  <c r="AF127" i="57"/>
  <c r="M134" i="68"/>
  <c r="M127" i="51"/>
  <c r="M94" i="68"/>
  <c r="AF87" i="57"/>
  <c r="M87" i="51"/>
  <c r="M58" i="68"/>
  <c r="AF51" i="57"/>
  <c r="M51" i="51"/>
  <c r="M167" i="68"/>
  <c r="AF160" i="57"/>
  <c r="M160" i="51"/>
  <c r="AF211" i="57"/>
  <c r="M218" i="68"/>
  <c r="M211" i="51"/>
  <c r="AF185" i="57"/>
  <c r="M192" i="68"/>
  <c r="M185" i="51"/>
  <c r="AF110" i="57"/>
  <c r="M117" i="68"/>
  <c r="M110" i="51"/>
  <c r="AF223" i="57"/>
  <c r="M230" i="68"/>
  <c r="M223" i="51"/>
  <c r="M142" i="68"/>
  <c r="AF135" i="57"/>
  <c r="M135" i="51"/>
  <c r="AF214" i="57"/>
  <c r="M221" i="68"/>
  <c r="M214" i="51"/>
  <c r="AF263" i="57"/>
  <c r="AF275" i="57"/>
  <c r="M282" i="68"/>
  <c r="M275" i="51"/>
  <c r="AF24" i="57"/>
  <c r="M31" i="68"/>
  <c r="M24" i="51"/>
  <c r="M235" i="68"/>
  <c r="AF228" i="57"/>
  <c r="M228" i="51"/>
  <c r="AF302" i="57"/>
  <c r="M309" i="68"/>
  <c r="M302" i="51"/>
  <c r="AF244" i="57"/>
  <c r="M251" i="68"/>
  <c r="M244" i="51"/>
  <c r="AF102" i="57"/>
  <c r="M109" i="68"/>
  <c r="M102" i="51"/>
  <c r="AF152" i="57"/>
  <c r="M159" i="68"/>
  <c r="M152" i="51"/>
  <c r="AF36" i="57"/>
  <c r="M43" i="68"/>
  <c r="M36" i="51"/>
  <c r="M133" i="68"/>
  <c r="AF126" i="57"/>
  <c r="M126" i="51"/>
  <c r="AF256" i="57"/>
  <c r="M263" i="68"/>
  <c r="M256" i="51"/>
  <c r="M217" i="68"/>
  <c r="AF210" i="57"/>
  <c r="M210" i="51"/>
  <c r="AF276" i="57"/>
  <c r="M283" i="68"/>
  <c r="M276" i="51"/>
  <c r="AF145" i="57"/>
  <c r="M152" i="68"/>
  <c r="M145" i="51"/>
  <c r="M234" i="68"/>
  <c r="AF227" i="57"/>
  <c r="M227" i="51"/>
  <c r="AF254" i="57"/>
  <c r="M261" i="68"/>
  <c r="M254" i="51"/>
  <c r="AF106" i="57"/>
  <c r="M113" i="68"/>
  <c r="M106" i="51"/>
  <c r="AF115" i="57"/>
  <c r="M122" i="68"/>
  <c r="M115" i="51"/>
  <c r="AF41" i="57"/>
  <c r="M48" i="68"/>
  <c r="M41" i="51"/>
  <c r="AF139" i="57"/>
  <c r="M146" i="68"/>
  <c r="M139" i="51"/>
  <c r="M27" i="68"/>
  <c r="AF20" i="57"/>
  <c r="M20" i="51"/>
  <c r="M59" i="68"/>
  <c r="AF52" i="57"/>
  <c r="M52" i="51"/>
  <c r="AF59" i="57"/>
  <c r="M66" i="68"/>
  <c r="M59" i="51"/>
  <c r="M82" i="68"/>
  <c r="AF75" i="57"/>
  <c r="M75" i="51"/>
  <c r="M257" i="68"/>
  <c r="AF250" i="57"/>
  <c r="M250" i="51"/>
  <c r="M162" i="68"/>
  <c r="AF155" i="57"/>
  <c r="M155" i="51"/>
  <c r="AF286" i="57"/>
  <c r="M293" i="68"/>
  <c r="M286" i="51"/>
  <c r="M47" i="68"/>
  <c r="AF40" i="57"/>
  <c r="M40" i="51"/>
  <c r="M116" i="68"/>
  <c r="AF109" i="57"/>
  <c r="M109" i="51"/>
  <c r="M220" i="68"/>
  <c r="AF213" i="57"/>
  <c r="M213" i="51"/>
  <c r="AF130" i="57"/>
  <c r="M137" i="68"/>
  <c r="M130" i="51"/>
  <c r="M216" i="68"/>
  <c r="AF209" i="57"/>
  <c r="M209" i="51"/>
  <c r="AF300" i="57"/>
  <c r="M307" i="68"/>
  <c r="M300" i="51"/>
  <c r="AF192" i="57"/>
  <c r="M199" i="68"/>
  <c r="M192" i="51"/>
  <c r="M177" i="68"/>
  <c r="AF170" i="57"/>
  <c r="M170" i="51"/>
  <c r="M227" i="68"/>
  <c r="AF220" i="57"/>
  <c r="M220" i="51"/>
  <c r="H97" i="66"/>
  <c r="AE94" i="66"/>
  <c r="S94" i="66"/>
  <c r="AO94" i="66" s="1"/>
  <c r="AY94" i="66"/>
  <c r="M55" i="68"/>
  <c r="M48" i="51"/>
  <c r="M28" i="68"/>
  <c r="AF21" i="57"/>
  <c r="M21" i="51"/>
  <c r="AF120" i="57"/>
  <c r="M127" i="68"/>
  <c r="M120" i="51"/>
  <c r="M276" i="68"/>
  <c r="AF269" i="57"/>
  <c r="M97" i="68"/>
  <c r="AF90" i="57"/>
  <c r="M90" i="51"/>
  <c r="AE12" i="66"/>
  <c r="S12" i="66"/>
  <c r="AO12" i="66" s="1"/>
  <c r="F110" i="66"/>
  <c r="M43" i="51" l="1"/>
  <c r="AF60" i="57"/>
  <c r="M67" i="68"/>
  <c r="M175" i="68"/>
  <c r="T84" i="66"/>
  <c r="AP84" i="66" s="1"/>
  <c r="M285" i="68"/>
  <c r="M122" i="51"/>
  <c r="AF189" i="57"/>
  <c r="M196" i="68"/>
  <c r="M108" i="68"/>
  <c r="AF35" i="57"/>
  <c r="M307" i="51"/>
  <c r="M111" i="51"/>
  <c r="M314" i="68"/>
  <c r="M121" i="51"/>
  <c r="M128" i="68"/>
  <c r="AF47" i="57"/>
  <c r="M594" i="47"/>
  <c r="M467" i="47"/>
  <c r="M589" i="47"/>
  <c r="M269" i="68"/>
  <c r="M252" i="68"/>
  <c r="AF262" i="57"/>
  <c r="M284" i="68"/>
  <c r="AF245" i="57"/>
  <c r="M277" i="51"/>
  <c r="AZ82" i="66"/>
  <c r="M261" i="51"/>
  <c r="M118" i="68"/>
  <c r="M35" i="51"/>
  <c r="AG35" i="51" s="1"/>
  <c r="M47" i="51"/>
  <c r="AG47" i="51" s="1"/>
  <c r="M268" i="68"/>
  <c r="M101" i="51"/>
  <c r="AG101" i="51" s="1"/>
  <c r="M517" i="47"/>
  <c r="M574" i="47"/>
  <c r="AZ79" i="66"/>
  <c r="M496" i="47"/>
  <c r="AF190" i="57"/>
  <c r="M159" i="51"/>
  <c r="AG159" i="51" s="1"/>
  <c r="M166" i="68"/>
  <c r="M190" i="51"/>
  <c r="AG190" i="51" s="1"/>
  <c r="M143" i="68"/>
  <c r="M170" i="68"/>
  <c r="M108" i="51"/>
  <c r="AG108" i="51" s="1"/>
  <c r="M130" i="68"/>
  <c r="M115" i="68"/>
  <c r="M57" i="68"/>
  <c r="M179" i="51"/>
  <c r="M95" i="51"/>
  <c r="AG95" i="51" s="1"/>
  <c r="M253" i="68"/>
  <c r="M263" i="51"/>
  <c r="AG263" i="51" s="1"/>
  <c r="T82" i="66"/>
  <c r="AP82" i="66" s="1"/>
  <c r="M526" i="47"/>
  <c r="M550" i="47"/>
  <c r="T79" i="66"/>
  <c r="AP79" i="66" s="1"/>
  <c r="AZ84" i="66"/>
  <c r="M598" i="47"/>
  <c r="M567" i="47"/>
  <c r="M382" i="47"/>
  <c r="T80" i="66"/>
  <c r="AP80" i="66" s="1"/>
  <c r="AZ80" i="66"/>
  <c r="M305" i="51"/>
  <c r="M253" i="51"/>
  <c r="AG253" i="51" s="1"/>
  <c r="M242" i="68"/>
  <c r="M270" i="68"/>
  <c r="M285" i="51"/>
  <c r="AG285" i="51" s="1"/>
  <c r="M55" i="51"/>
  <c r="AG55" i="51" s="1"/>
  <c r="M62" i="68"/>
  <c r="M301" i="68"/>
  <c r="M105" i="68"/>
  <c r="AW10" i="47"/>
  <c r="AZ83" i="66"/>
  <c r="AF83" i="66"/>
  <c r="M489" i="47"/>
  <c r="M434" i="47"/>
  <c r="M344" i="47"/>
  <c r="M312" i="68"/>
  <c r="AF253" i="57"/>
  <c r="M292" i="68"/>
  <c r="M328" i="47"/>
  <c r="M384" i="47"/>
  <c r="M354" i="47"/>
  <c r="M432" i="47"/>
  <c r="M575" i="47"/>
  <c r="M445" i="47"/>
  <c r="M551" i="47"/>
  <c r="M521" i="47"/>
  <c r="M564" i="47"/>
  <c r="M603" i="47"/>
  <c r="M578" i="47"/>
  <c r="M478" i="47"/>
  <c r="M534" i="47"/>
  <c r="M508" i="47"/>
  <c r="M618" i="47"/>
  <c r="M452" i="47"/>
  <c r="M529" i="47"/>
  <c r="M363" i="47"/>
  <c r="M426" i="47"/>
  <c r="M525" i="47"/>
  <c r="M511" i="47"/>
  <c r="M528" i="47"/>
  <c r="M493" i="47"/>
  <c r="M523" i="47"/>
  <c r="M447" i="47"/>
  <c r="M409" i="47"/>
  <c r="M495" i="47"/>
  <c r="M367" i="47"/>
  <c r="M370" i="47"/>
  <c r="M358" i="47"/>
  <c r="M334" i="47"/>
  <c r="M544" i="47"/>
  <c r="M357" i="47"/>
  <c r="T81" i="66"/>
  <c r="AP81" i="66" s="1"/>
  <c r="M482" i="47"/>
  <c r="M614" i="47"/>
  <c r="M593" i="47"/>
  <c r="M479" i="47"/>
  <c r="M460" i="47"/>
  <c r="M407" i="47"/>
  <c r="M442" i="47"/>
  <c r="M584" i="47"/>
  <c r="M559" i="47"/>
  <c r="M568" i="47"/>
  <c r="M457" i="47"/>
  <c r="M573" i="47"/>
  <c r="M338" i="47"/>
  <c r="M613" i="47"/>
  <c r="M610" i="47"/>
  <c r="M454" i="47"/>
  <c r="M458" i="47"/>
  <c r="M390" i="47"/>
  <c r="M501" i="47"/>
  <c r="M483" i="47"/>
  <c r="M392" i="47"/>
  <c r="M606" i="47"/>
  <c r="M477" i="47"/>
  <c r="M347" i="47"/>
  <c r="M387" i="47"/>
  <c r="M532" i="47"/>
  <c r="M561" i="47"/>
  <c r="M465" i="47"/>
  <c r="M421" i="47"/>
  <c r="AZ81" i="66"/>
  <c r="M337" i="47"/>
  <c r="M412" i="47"/>
  <c r="M450" i="47"/>
  <c r="M592" i="47"/>
  <c r="M587" i="47"/>
  <c r="M470" i="47"/>
  <c r="M542" i="47"/>
  <c r="M389" i="47"/>
  <c r="M351" i="47"/>
  <c r="M345" i="47"/>
  <c r="M468" i="47"/>
  <c r="M560" i="47"/>
  <c r="M515" i="47"/>
  <c r="M427" i="47"/>
  <c r="M365" i="47"/>
  <c r="M373" i="47"/>
  <c r="M428" i="47"/>
  <c r="M381" i="47"/>
  <c r="M502" i="47"/>
  <c r="M372" i="47"/>
  <c r="M563" i="47"/>
  <c r="M424" i="47"/>
  <c r="M380" i="47"/>
  <c r="M580" i="47"/>
  <c r="M420" i="47"/>
  <c r="M362" i="47"/>
  <c r="M558" i="47"/>
  <c r="M585" i="47"/>
  <c r="M435" i="47"/>
  <c r="M524" i="47"/>
  <c r="M404" i="47"/>
  <c r="I85" i="66"/>
  <c r="T85" i="66" s="1"/>
  <c r="AP85" i="66" s="1"/>
  <c r="M117" i="51"/>
  <c r="AG117" i="51" s="1"/>
  <c r="M251" i="51"/>
  <c r="AG251" i="51" s="1"/>
  <c r="AZ78" i="66"/>
  <c r="M34" i="51"/>
  <c r="AG34" i="51" s="1"/>
  <c r="AF117" i="57"/>
  <c r="M246" i="51"/>
  <c r="AG246" i="51" s="1"/>
  <c r="M258" i="68"/>
  <c r="M298" i="51"/>
  <c r="AG298" i="51" s="1"/>
  <c r="M19" i="51"/>
  <c r="AG19" i="51" s="1"/>
  <c r="M330" i="47"/>
  <c r="M541" i="47"/>
  <c r="M473" i="47"/>
  <c r="M349" i="47"/>
  <c r="M554" i="47"/>
  <c r="M621" i="47"/>
  <c r="M430" i="47"/>
  <c r="M399" i="47"/>
  <c r="M366" i="47"/>
  <c r="M520" i="47"/>
  <c r="M620" i="47"/>
  <c r="M336" i="47"/>
  <c r="M352" i="47"/>
  <c r="M339" i="47"/>
  <c r="M488" i="47"/>
  <c r="M557" i="47"/>
  <c r="M518" i="47"/>
  <c r="M586" i="47"/>
  <c r="M539" i="47"/>
  <c r="M605" i="47"/>
  <c r="M429" i="47"/>
  <c r="M356" i="47"/>
  <c r="M566" i="47"/>
  <c r="M569" i="47"/>
  <c r="M374" i="47"/>
  <c r="M441" i="47"/>
  <c r="M599" i="47"/>
  <c r="M371" i="47"/>
  <c r="M622" i="47"/>
  <c r="M402" i="47"/>
  <c r="M583" i="47"/>
  <c r="M353" i="47"/>
  <c r="M609" i="47"/>
  <c r="M462" i="47"/>
  <c r="M453" i="47"/>
  <c r="M582" i="47"/>
  <c r="T78" i="66"/>
  <c r="AP78" i="66" s="1"/>
  <c r="AF34" i="57"/>
  <c r="M235" i="51"/>
  <c r="AG235" i="51" s="1"/>
  <c r="M98" i="51"/>
  <c r="AG98" i="51" s="1"/>
  <c r="AF246" i="57"/>
  <c r="M49" i="68"/>
  <c r="M305" i="68"/>
  <c r="M26" i="68"/>
  <c r="M497" i="47"/>
  <c r="M417" i="47"/>
  <c r="M406" i="47"/>
  <c r="M572" i="47"/>
  <c r="M413" i="47"/>
  <c r="M437" i="47"/>
  <c r="M505" i="47"/>
  <c r="M411" i="47"/>
  <c r="M576" i="47"/>
  <c r="M533" i="47"/>
  <c r="M590" i="47"/>
  <c r="M416" i="47"/>
  <c r="M10" i="47"/>
  <c r="M393" i="47"/>
  <c r="M503" i="47"/>
  <c r="M425" i="47"/>
  <c r="M530" i="47"/>
  <c r="M607" i="47"/>
  <c r="M601" i="47"/>
  <c r="M535" i="47"/>
  <c r="M615" i="47"/>
  <c r="M455" i="47"/>
  <c r="M463" i="47"/>
  <c r="M385" i="47"/>
  <c r="M485" i="47"/>
  <c r="M522" i="47"/>
  <c r="M498" i="47"/>
  <c r="M360" i="47"/>
  <c r="M436" i="47"/>
  <c r="M341" i="47"/>
  <c r="M449" i="47"/>
  <c r="M547" i="47"/>
  <c r="M602" i="47"/>
  <c r="M556" i="47"/>
  <c r="M562" i="47"/>
  <c r="M294" i="51"/>
  <c r="AG294" i="51" s="1"/>
  <c r="M11" i="47"/>
  <c r="M472" i="47"/>
  <c r="M549" i="47"/>
  <c r="M332" i="47"/>
  <c r="M507" i="47"/>
  <c r="M492" i="47"/>
  <c r="M510" i="47"/>
  <c r="M456" i="47"/>
  <c r="M418" i="47"/>
  <c r="M553" i="47"/>
  <c r="M364" i="47"/>
  <c r="M369" i="47"/>
  <c r="M500" i="47"/>
  <c r="M509" i="47"/>
  <c r="M591" i="47"/>
  <c r="M480" i="47"/>
  <c r="M491" i="47"/>
  <c r="M555" i="47"/>
  <c r="M546" i="47"/>
  <c r="M531" i="47"/>
  <c r="M401" i="47"/>
  <c r="M466" i="47"/>
  <c r="M368" i="47"/>
  <c r="M419" i="47"/>
  <c r="M383" i="47"/>
  <c r="M355" i="47"/>
  <c r="M451" i="47"/>
  <c r="M527" i="47"/>
  <c r="AF64" i="57"/>
  <c r="M259" i="51"/>
  <c r="AG259" i="51" s="1"/>
  <c r="AF259" i="57"/>
  <c r="M62" i="51"/>
  <c r="AG62" i="51" s="1"/>
  <c r="M119" i="51"/>
  <c r="AG119" i="51" s="1"/>
  <c r="AF62" i="57"/>
  <c r="M126" i="68"/>
  <c r="M50" i="51"/>
  <c r="AG50" i="51" s="1"/>
  <c r="M310" i="68"/>
  <c r="AF303" i="57"/>
  <c r="M237" i="51"/>
  <c r="AG237" i="51" s="1"/>
  <c r="AF237" i="57"/>
  <c r="AF50" i="57"/>
  <c r="M123" i="51"/>
  <c r="AG123" i="51" s="1"/>
  <c r="AF56" i="57"/>
  <c r="M64" i="51"/>
  <c r="AG64" i="51" s="1"/>
  <c r="M63" i="68"/>
  <c r="M225" i="51"/>
  <c r="AG225" i="51" s="1"/>
  <c r="M163" i="51"/>
  <c r="AG163" i="51" s="1"/>
  <c r="AF225" i="57"/>
  <c r="AF163" i="57"/>
  <c r="M161" i="68"/>
  <c r="M173" i="51"/>
  <c r="AG173" i="51" s="1"/>
  <c r="M207" i="68"/>
  <c r="M313" i="68"/>
  <c r="M88" i="68"/>
  <c r="M272" i="51"/>
  <c r="AG272" i="51" s="1"/>
  <c r="AF306" i="57"/>
  <c r="AF200" i="57"/>
  <c r="M201" i="51"/>
  <c r="AG201" i="51" s="1"/>
  <c r="M279" i="68"/>
  <c r="AF173" i="57"/>
  <c r="M208" i="68"/>
  <c r="M81" i="51"/>
  <c r="AG81" i="51" s="1"/>
  <c r="M206" i="51"/>
  <c r="AG206" i="51" s="1"/>
  <c r="M295" i="51"/>
  <c r="AG295" i="51" s="1"/>
  <c r="M154" i="51"/>
  <c r="AG154" i="51" s="1"/>
  <c r="M213" i="68"/>
  <c r="M144" i="51"/>
  <c r="AG144" i="51" s="1"/>
  <c r="AF205" i="57"/>
  <c r="M17" i="51"/>
  <c r="AG17" i="51" s="1"/>
  <c r="M136" i="51"/>
  <c r="AG136" i="51" s="1"/>
  <c r="AF144" i="57"/>
  <c r="M302" i="68"/>
  <c r="I8" i="66"/>
  <c r="AF8" i="66" s="1"/>
  <c r="AF136" i="57"/>
  <c r="M194" i="51"/>
  <c r="AG194" i="51" s="1"/>
  <c r="M24" i="68"/>
  <c r="M201" i="68"/>
  <c r="M205" i="51"/>
  <c r="AG205" i="51" s="1"/>
  <c r="M506" i="47"/>
  <c r="M616" i="47"/>
  <c r="M579" i="47"/>
  <c r="M346" i="47"/>
  <c r="M612" i="47"/>
  <c r="M552" i="47"/>
  <c r="M619" i="47"/>
  <c r="N5" i="47"/>
  <c r="N220" i="47" s="1"/>
  <c r="N220" i="57" s="1"/>
  <c r="M513" i="47"/>
  <c r="M597" i="47"/>
  <c r="M512" i="47"/>
  <c r="M608" i="47"/>
  <c r="M422" i="47"/>
  <c r="M565" i="47"/>
  <c r="M415" i="47"/>
  <c r="M570" i="47"/>
  <c r="M487" i="47"/>
  <c r="U28" i="60"/>
  <c r="M379" i="47"/>
  <c r="M391" i="47"/>
  <c r="M617" i="47"/>
  <c r="M536" i="47"/>
  <c r="M359" i="47"/>
  <c r="M398" i="47"/>
  <c r="M446" i="47"/>
  <c r="M623" i="47"/>
  <c r="M377" i="47"/>
  <c r="M395" i="47"/>
  <c r="M439" i="47"/>
  <c r="M486" i="47"/>
  <c r="M376" i="47"/>
  <c r="M540" i="47"/>
  <c r="M545" i="47"/>
  <c r="M484" i="47"/>
  <c r="M600" i="47"/>
  <c r="M431" i="47"/>
  <c r="M335" i="47"/>
  <c r="M514" i="47"/>
  <c r="M571" i="47"/>
  <c r="M361" i="47"/>
  <c r="M342" i="47"/>
  <c r="M440" i="47"/>
  <c r="M581" i="47"/>
  <c r="AW9" i="47"/>
  <c r="AF95" i="57"/>
  <c r="I5" i="66"/>
  <c r="T5" i="66" s="1"/>
  <c r="AP5" i="66" s="1"/>
  <c r="I10" i="66"/>
  <c r="T10" i="66" s="1"/>
  <c r="AP10" i="66" s="1"/>
  <c r="M102" i="68"/>
  <c r="M42" i="51"/>
  <c r="M39" i="51"/>
  <c r="M46" i="68"/>
  <c r="I6" i="66"/>
  <c r="G104" i="66" s="1"/>
  <c r="AF179" i="57"/>
  <c r="M186" i="68"/>
  <c r="AF86" i="57"/>
  <c r="M93" i="68"/>
  <c r="M174" i="68"/>
  <c r="M157" i="51"/>
  <c r="AG157" i="51" s="1"/>
  <c r="M123" i="68"/>
  <c r="I7" i="66"/>
  <c r="T7" i="66" s="1"/>
  <c r="AP7" i="66" s="1"/>
  <c r="AF157" i="57"/>
  <c r="M233" i="51"/>
  <c r="AG233" i="51" s="1"/>
  <c r="M167" i="51"/>
  <c r="AG167" i="51" s="1"/>
  <c r="M46" i="51"/>
  <c r="M240" i="68"/>
  <c r="I9" i="66"/>
  <c r="T9" i="66" s="1"/>
  <c r="AP9" i="66" s="1"/>
  <c r="M53" i="68"/>
  <c r="AF10" i="47"/>
  <c r="M516" i="47"/>
  <c r="M333" i="47"/>
  <c r="M414" i="47"/>
  <c r="M386" i="47"/>
  <c r="M476" i="47"/>
  <c r="M611" i="47"/>
  <c r="M443" i="47"/>
  <c r="AF46" i="57"/>
  <c r="M140" i="51"/>
  <c r="AG140" i="51" s="1"/>
  <c r="M469" i="47"/>
  <c r="M471" i="47"/>
  <c r="M444" i="47"/>
  <c r="M410" i="47"/>
  <c r="AF140" i="57"/>
  <c r="M176" i="51"/>
  <c r="M13" i="57"/>
  <c r="AF13" i="57" s="1"/>
  <c r="M475" i="47"/>
  <c r="M543" i="47"/>
  <c r="M464" i="47"/>
  <c r="M394" i="47"/>
  <c r="M490" i="47"/>
  <c r="AF176" i="57"/>
  <c r="M116" i="51"/>
  <c r="AG116" i="51" s="1"/>
  <c r="AF9" i="47"/>
  <c r="M499" i="47"/>
  <c r="M396" i="47"/>
  <c r="M403" i="47"/>
  <c r="M537" i="47"/>
  <c r="M459" i="47"/>
  <c r="M408" i="47"/>
  <c r="M405" i="47"/>
  <c r="M596" i="47"/>
  <c r="M448" i="47"/>
  <c r="M397" i="47"/>
  <c r="M400" i="47"/>
  <c r="M375" i="47"/>
  <c r="M481" i="47"/>
  <c r="I11" i="66"/>
  <c r="T11" i="66" s="1"/>
  <c r="AP11" i="66" s="1"/>
  <c r="M7" i="57"/>
  <c r="M388" i="47"/>
  <c r="M378" i="47"/>
  <c r="M343" i="47"/>
  <c r="M461" i="47"/>
  <c r="M340" i="47"/>
  <c r="M577" i="47"/>
  <c r="M423" i="47"/>
  <c r="AF22" i="57"/>
  <c r="M29" i="68"/>
  <c r="M22" i="51"/>
  <c r="AG22" i="51" s="1"/>
  <c r="M15" i="51"/>
  <c r="AG15" i="51" s="1"/>
  <c r="AF15" i="57"/>
  <c r="M22" i="68"/>
  <c r="AG130" i="51"/>
  <c r="AG155" i="51"/>
  <c r="AG115" i="51"/>
  <c r="AG59" i="51"/>
  <c r="AG218" i="51"/>
  <c r="AG147" i="51"/>
  <c r="AG58" i="51"/>
  <c r="AG82" i="51"/>
  <c r="AG189" i="51"/>
  <c r="AG52" i="51"/>
  <c r="AG227" i="51"/>
  <c r="AG126" i="51"/>
  <c r="AG228" i="51"/>
  <c r="AG223" i="51"/>
  <c r="AG127" i="51"/>
  <c r="AG150" i="51"/>
  <c r="AG172" i="51"/>
  <c r="AG299" i="51"/>
  <c r="AG97" i="51"/>
  <c r="AG234" i="51"/>
  <c r="AG239" i="51"/>
  <c r="AG84" i="51"/>
  <c r="AG187" i="51"/>
  <c r="AG56" i="51"/>
  <c r="AG124" i="51"/>
  <c r="AG129" i="51"/>
  <c r="AG49" i="51"/>
  <c r="AG303" i="51"/>
  <c r="AG200" i="51"/>
  <c r="AG131" i="51"/>
  <c r="AG207" i="51"/>
  <c r="AG304" i="51"/>
  <c r="AG38" i="51"/>
  <c r="AG125" i="51"/>
  <c r="AG266" i="51"/>
  <c r="AG160" i="51"/>
  <c r="AG86" i="51"/>
  <c r="AG139" i="51"/>
  <c r="AG214" i="51"/>
  <c r="AG185" i="51"/>
  <c r="AG120" i="51"/>
  <c r="AG209" i="51"/>
  <c r="AG286" i="51"/>
  <c r="AG41" i="51"/>
  <c r="AG276" i="51"/>
  <c r="AG102" i="51"/>
  <c r="AG24" i="51"/>
  <c r="AG211" i="51"/>
  <c r="AG146" i="51"/>
  <c r="AG184" i="51"/>
  <c r="AG241" i="51"/>
  <c r="AG44" i="51"/>
  <c r="AG199" i="51"/>
  <c r="AG229" i="51"/>
  <c r="AG54" i="51"/>
  <c r="AG265" i="51"/>
  <c r="AG270" i="51"/>
  <c r="AG161" i="51"/>
  <c r="AG183" i="51"/>
  <c r="AG37" i="51"/>
  <c r="AG245" i="51"/>
  <c r="AG264" i="51"/>
  <c r="AG104" i="51"/>
  <c r="AG255" i="51"/>
  <c r="AG180" i="51"/>
  <c r="AG158" i="51"/>
  <c r="AG105" i="51"/>
  <c r="AG63" i="51"/>
  <c r="AG226" i="51"/>
  <c r="AG202" i="51"/>
  <c r="AG122" i="51"/>
  <c r="AG221" i="51"/>
  <c r="AG92" i="51"/>
  <c r="AG109" i="51"/>
  <c r="AG254" i="51"/>
  <c r="AG292" i="51"/>
  <c r="AG191" i="51"/>
  <c r="AG164" i="51"/>
  <c r="AG28" i="51"/>
  <c r="AG43" i="51"/>
  <c r="AG193" i="51"/>
  <c r="AG175" i="51"/>
  <c r="AG179" i="51"/>
  <c r="AG26" i="51"/>
  <c r="AG197" i="51"/>
  <c r="AG33" i="51"/>
  <c r="AG93" i="51"/>
  <c r="AG166" i="51"/>
  <c r="AG262" i="51"/>
  <c r="AG169" i="51"/>
  <c r="AG67" i="51"/>
  <c r="AG271" i="51"/>
  <c r="AG53" i="51"/>
  <c r="AG195" i="51"/>
  <c r="AG177" i="51"/>
  <c r="S97" i="66"/>
  <c r="AO97" i="66" s="1"/>
  <c r="AE97" i="66"/>
  <c r="AY97" i="66"/>
  <c r="AG75" i="51"/>
  <c r="AG256" i="51"/>
  <c r="AG216" i="51"/>
  <c r="AG282" i="51"/>
  <c r="AG23" i="51"/>
  <c r="AG48" i="51"/>
  <c r="AG220" i="51"/>
  <c r="AG192" i="51"/>
  <c r="AG20" i="51"/>
  <c r="AG145" i="51"/>
  <c r="AG36" i="51"/>
  <c r="AG111" i="51"/>
  <c r="AG110" i="51"/>
  <c r="AG165" i="51"/>
  <c r="AG113" i="51"/>
  <c r="AG188" i="51"/>
  <c r="AG77" i="51"/>
  <c r="AG236" i="51"/>
  <c r="AG107" i="51"/>
  <c r="AG133" i="51"/>
  <c r="E131" i="66"/>
  <c r="E133" i="66" s="1"/>
  <c r="L13" i="68"/>
  <c r="AG61" i="51"/>
  <c r="AG289" i="51"/>
  <c r="AG247" i="51"/>
  <c r="AG73" i="51"/>
  <c r="AG204" i="51"/>
  <c r="AG132" i="51"/>
  <c r="AG143" i="51"/>
  <c r="AG100" i="51"/>
  <c r="AG57" i="51"/>
  <c r="AG290" i="51"/>
  <c r="AG283" i="51"/>
  <c r="AG141" i="51"/>
  <c r="AG208" i="51"/>
  <c r="AG293" i="51"/>
  <c r="AG178" i="51"/>
  <c r="AG68" i="51"/>
  <c r="AG267" i="51"/>
  <c r="AG25" i="51"/>
  <c r="AG260" i="51"/>
  <c r="AG296" i="51"/>
  <c r="AG27" i="51"/>
  <c r="AG69" i="51"/>
  <c r="AG268" i="51"/>
  <c r="AG301" i="51"/>
  <c r="AG258" i="51"/>
  <c r="AG99" i="51"/>
  <c r="AG277" i="51"/>
  <c r="AG114" i="51"/>
  <c r="AG65" i="51"/>
  <c r="AG198" i="51"/>
  <c r="AG182" i="51"/>
  <c r="AG284" i="51"/>
  <c r="AG302" i="51"/>
  <c r="AG275" i="51"/>
  <c r="AG135" i="51"/>
  <c r="AG87" i="51"/>
  <c r="AG72" i="51"/>
  <c r="AG149" i="51"/>
  <c r="AG261" i="51"/>
  <c r="AG80" i="51"/>
  <c r="AG238" i="51"/>
  <c r="AG307" i="51"/>
  <c r="AG186" i="51"/>
  <c r="AG45" i="51"/>
  <c r="AG91" i="51"/>
  <c r="AG142" i="51"/>
  <c r="AG138" i="51"/>
  <c r="AG232" i="51"/>
  <c r="AG88" i="51"/>
  <c r="AG305" i="51"/>
  <c r="AG252" i="51"/>
  <c r="AG85" i="51"/>
  <c r="AG196" i="51"/>
  <c r="AG171" i="51"/>
  <c r="AG89" i="51"/>
  <c r="AG203" i="51"/>
  <c r="AG83" i="51"/>
  <c r="AG30" i="51"/>
  <c r="AG174" i="51"/>
  <c r="AG32" i="51"/>
  <c r="AG288" i="51"/>
  <c r="AG279" i="51"/>
  <c r="AG224" i="51"/>
  <c r="AG137" i="51"/>
  <c r="AG16" i="51"/>
  <c r="AG153" i="51"/>
  <c r="AG170" i="51"/>
  <c r="AG66" i="51"/>
  <c r="AG121" i="51"/>
  <c r="AG40" i="51"/>
  <c r="AG212" i="51"/>
  <c r="AG248" i="51"/>
  <c r="AG74" i="51"/>
  <c r="AG156" i="51"/>
  <c r="AG181" i="51"/>
  <c r="AG274" i="51"/>
  <c r="AG112" i="51"/>
  <c r="AG217" i="51"/>
  <c r="AG79" i="51"/>
  <c r="AG29" i="51"/>
  <c r="AG18" i="51"/>
  <c r="AG162" i="51"/>
  <c r="AG291" i="51"/>
  <c r="AG306" i="51"/>
  <c r="AG297" i="51"/>
  <c r="AG222" i="51"/>
  <c r="AG269" i="51"/>
  <c r="AG300" i="51"/>
  <c r="AG152" i="51"/>
  <c r="AG242" i="51"/>
  <c r="AG94" i="51"/>
  <c r="AG257" i="51"/>
  <c r="AG219" i="51"/>
  <c r="AG71" i="51"/>
  <c r="AG90" i="51"/>
  <c r="AG21" i="51"/>
  <c r="AF85" i="66"/>
  <c r="AZ85" i="66"/>
  <c r="AG213" i="51"/>
  <c r="AG250" i="51"/>
  <c r="AG106" i="51"/>
  <c r="AG210" i="51"/>
  <c r="AG244" i="51"/>
  <c r="AG51" i="51"/>
  <c r="AG76" i="51"/>
  <c r="AG273" i="51"/>
  <c r="AG128" i="51"/>
  <c r="AG168" i="51"/>
  <c r="AG151" i="51"/>
  <c r="AG78" i="51"/>
  <c r="AG278" i="51"/>
  <c r="AG31" i="51"/>
  <c r="AG215" i="51"/>
  <c r="AG96" i="51"/>
  <c r="AG118" i="51"/>
  <c r="AG280" i="51"/>
  <c r="AG60" i="51"/>
  <c r="AG281" i="51"/>
  <c r="AG70" i="51"/>
  <c r="AG243" i="51"/>
  <c r="AG287" i="51"/>
  <c r="AG230" i="51"/>
  <c r="AG103" i="51"/>
  <c r="AG134" i="51"/>
  <c r="AG231" i="51"/>
  <c r="AG240" i="51"/>
  <c r="AG249" i="51"/>
  <c r="AG148" i="51"/>
  <c r="AF8" i="57" l="1"/>
  <c r="N57" i="47"/>
  <c r="AG57" i="47" s="1"/>
  <c r="AX57" i="47" s="1"/>
  <c r="N263" i="47"/>
  <c r="AG263" i="47" s="1"/>
  <c r="AX263" i="47" s="1"/>
  <c r="N70" i="47"/>
  <c r="AG70" i="47" s="1"/>
  <c r="AX70" i="47" s="1"/>
  <c r="I90" i="66"/>
  <c r="AZ90" i="66" s="1"/>
  <c r="AG42" i="51"/>
  <c r="I91" i="66"/>
  <c r="AF91" i="66" s="1"/>
  <c r="G103" i="66"/>
  <c r="AF5" i="66"/>
  <c r="AF10" i="66"/>
  <c r="G108" i="66"/>
  <c r="I95" i="66"/>
  <c r="AZ95" i="66" s="1"/>
  <c r="T8" i="66"/>
  <c r="AP8" i="66" s="1"/>
  <c r="G106" i="66"/>
  <c r="I93" i="66"/>
  <c r="T93" i="66" s="1"/>
  <c r="AP93" i="66" s="1"/>
  <c r="N19" i="47"/>
  <c r="AG19" i="47" s="1"/>
  <c r="AX19" i="47" s="1"/>
  <c r="N83" i="47"/>
  <c r="N147" i="47"/>
  <c r="AG147" i="47" s="1"/>
  <c r="AX147" i="47" s="1"/>
  <c r="N211" i="47"/>
  <c r="AG211" i="47" s="1"/>
  <c r="AX211" i="47" s="1"/>
  <c r="N275" i="47"/>
  <c r="AG275" i="47" s="1"/>
  <c r="AX275" i="47" s="1"/>
  <c r="N36" i="47"/>
  <c r="AG36" i="47" s="1"/>
  <c r="AX36" i="47" s="1"/>
  <c r="N100" i="47"/>
  <c r="N164" i="47"/>
  <c r="N228" i="47"/>
  <c r="AG228" i="47" s="1"/>
  <c r="AX228" i="47" s="1"/>
  <c r="N292" i="47"/>
  <c r="AG292" i="47" s="1"/>
  <c r="AX292" i="47" s="1"/>
  <c r="N45" i="47"/>
  <c r="AG45" i="47" s="1"/>
  <c r="AX45" i="47" s="1"/>
  <c r="N109" i="47"/>
  <c r="N173" i="47"/>
  <c r="N237" i="47"/>
  <c r="N301" i="47"/>
  <c r="N298" i="47"/>
  <c r="N78" i="47"/>
  <c r="AG78" i="47" s="1"/>
  <c r="AX78" i="47" s="1"/>
  <c r="N142" i="47"/>
  <c r="N206" i="47"/>
  <c r="AG206" i="47" s="1"/>
  <c r="AX206" i="47" s="1"/>
  <c r="N270" i="47"/>
  <c r="N15" i="47"/>
  <c r="N79" i="47"/>
  <c r="N79" i="57" s="1"/>
  <c r="N143" i="47"/>
  <c r="AG143" i="47" s="1"/>
  <c r="AX143" i="47" s="1"/>
  <c r="N207" i="47"/>
  <c r="N271" i="47"/>
  <c r="AG271" i="47" s="1"/>
  <c r="AX271" i="47" s="1"/>
  <c r="N130" i="47"/>
  <c r="N40" i="47"/>
  <c r="N104" i="47"/>
  <c r="AG104" i="47" s="1"/>
  <c r="AX104" i="47" s="1"/>
  <c r="N168" i="47"/>
  <c r="N168" i="57" s="1"/>
  <c r="N232" i="47"/>
  <c r="N232" i="57" s="1"/>
  <c r="N232" i="51" s="1"/>
  <c r="N296" i="47"/>
  <c r="AG296" i="47" s="1"/>
  <c r="AX296" i="47" s="1"/>
  <c r="N250" i="47"/>
  <c r="N65" i="47"/>
  <c r="AG65" i="47" s="1"/>
  <c r="AX65" i="47" s="1"/>
  <c r="N129" i="47"/>
  <c r="AG129" i="47" s="1"/>
  <c r="AX129" i="47" s="1"/>
  <c r="N257" i="47"/>
  <c r="N257" i="57" s="1"/>
  <c r="N122" i="47"/>
  <c r="AG122" i="47" s="1"/>
  <c r="AX122" i="47" s="1"/>
  <c r="N27" i="47"/>
  <c r="N91" i="47"/>
  <c r="N155" i="47"/>
  <c r="N219" i="47"/>
  <c r="N283" i="47"/>
  <c r="N44" i="47"/>
  <c r="N108" i="47"/>
  <c r="N172" i="47"/>
  <c r="N236" i="47"/>
  <c r="N300" i="47"/>
  <c r="N53" i="47"/>
  <c r="N117" i="47"/>
  <c r="N181" i="47"/>
  <c r="N245" i="47"/>
  <c r="N18" i="47"/>
  <c r="N22" i="47"/>
  <c r="N86" i="47"/>
  <c r="N150" i="47"/>
  <c r="N214" i="47"/>
  <c r="N278" i="47"/>
  <c r="N23" i="47"/>
  <c r="N87" i="47"/>
  <c r="N151" i="47"/>
  <c r="N215" i="47"/>
  <c r="N279" i="47"/>
  <c r="N162" i="47"/>
  <c r="N48" i="47"/>
  <c r="N112" i="47"/>
  <c r="N176" i="47"/>
  <c r="N240" i="47"/>
  <c r="N304" i="47"/>
  <c r="N290" i="47"/>
  <c r="N73" i="47"/>
  <c r="AG73" i="47" s="1"/>
  <c r="AX73" i="47" s="1"/>
  <c r="N137" i="47"/>
  <c r="N201" i="47"/>
  <c r="N265" i="47"/>
  <c r="N170" i="47"/>
  <c r="N35" i="47"/>
  <c r="N99" i="47"/>
  <c r="N163" i="47"/>
  <c r="N227" i="47"/>
  <c r="N291" i="47"/>
  <c r="N52" i="47"/>
  <c r="N116" i="47"/>
  <c r="N180" i="47"/>
  <c r="N244" i="47"/>
  <c r="N66" i="47"/>
  <c r="N61" i="47"/>
  <c r="N125" i="47"/>
  <c r="N189" i="47"/>
  <c r="N253" i="47"/>
  <c r="N58" i="47"/>
  <c r="N30" i="47"/>
  <c r="N94" i="47"/>
  <c r="N158" i="47"/>
  <c r="N222" i="47"/>
  <c r="N286" i="47"/>
  <c r="N31" i="47"/>
  <c r="N95" i="47"/>
  <c r="N159" i="47"/>
  <c r="N223" i="47"/>
  <c r="N287" i="47"/>
  <c r="N210" i="47"/>
  <c r="N56" i="47"/>
  <c r="N120" i="47"/>
  <c r="N184" i="47"/>
  <c r="N248" i="47"/>
  <c r="N26" i="47"/>
  <c r="AG26" i="47" s="1"/>
  <c r="AX26" i="47" s="1"/>
  <c r="N17" i="47"/>
  <c r="N81" i="47"/>
  <c r="N145" i="47"/>
  <c r="N209" i="47"/>
  <c r="N273" i="47"/>
  <c r="N218" i="47"/>
  <c r="AG218" i="47" s="1"/>
  <c r="AX218" i="47" s="1"/>
  <c r="N43" i="47"/>
  <c r="N107" i="47"/>
  <c r="AG107" i="47" s="1"/>
  <c r="AX107" i="47" s="1"/>
  <c r="N171" i="47"/>
  <c r="AG171" i="47" s="1"/>
  <c r="AX171" i="47" s="1"/>
  <c r="N235" i="47"/>
  <c r="AG235" i="47" s="1"/>
  <c r="AX235" i="47" s="1"/>
  <c r="N299" i="47"/>
  <c r="AG299" i="47" s="1"/>
  <c r="AX299" i="47" s="1"/>
  <c r="N60" i="47"/>
  <c r="N124" i="47"/>
  <c r="N188" i="47"/>
  <c r="N252" i="47"/>
  <c r="N146" i="47"/>
  <c r="AG146" i="47" s="1"/>
  <c r="AX146" i="47" s="1"/>
  <c r="N69" i="47"/>
  <c r="N133" i="47"/>
  <c r="AG133" i="47" s="1"/>
  <c r="AX133" i="47" s="1"/>
  <c r="N197" i="47"/>
  <c r="AG197" i="47" s="1"/>
  <c r="AX197" i="47" s="1"/>
  <c r="N261" i="47"/>
  <c r="N106" i="47"/>
  <c r="N38" i="47"/>
  <c r="AG38" i="47" s="1"/>
  <c r="AX38" i="47" s="1"/>
  <c r="N102" i="47"/>
  <c r="N166" i="47"/>
  <c r="N230" i="47"/>
  <c r="AG230" i="47" s="1"/>
  <c r="AX230" i="47" s="1"/>
  <c r="N294" i="47"/>
  <c r="AG294" i="47" s="1"/>
  <c r="AX294" i="47" s="1"/>
  <c r="N39" i="47"/>
  <c r="N103" i="47"/>
  <c r="N167" i="47"/>
  <c r="N231" i="47"/>
  <c r="N295" i="47"/>
  <c r="N242" i="47"/>
  <c r="N64" i="47"/>
  <c r="N128" i="47"/>
  <c r="N192" i="47"/>
  <c r="N256" i="47"/>
  <c r="N42" i="47"/>
  <c r="N25" i="47"/>
  <c r="N89" i="47"/>
  <c r="N153" i="47"/>
  <c r="N217" i="47"/>
  <c r="N281" i="47"/>
  <c r="N258" i="47"/>
  <c r="N51" i="47"/>
  <c r="AG51" i="47" s="1"/>
  <c r="AX51" i="47" s="1"/>
  <c r="N115" i="47"/>
  <c r="AG115" i="47" s="1"/>
  <c r="AX115" i="47" s="1"/>
  <c r="N179" i="47"/>
  <c r="AG179" i="47" s="1"/>
  <c r="AX179" i="47" s="1"/>
  <c r="N243" i="47"/>
  <c r="N307" i="47"/>
  <c r="AG307" i="47" s="1"/>
  <c r="AX307" i="47" s="1"/>
  <c r="N68" i="47"/>
  <c r="AG68" i="47" s="1"/>
  <c r="AX68" i="47" s="1"/>
  <c r="N132" i="47"/>
  <c r="AG132" i="47" s="1"/>
  <c r="AX132" i="47" s="1"/>
  <c r="N196" i="47"/>
  <c r="AG196" i="47" s="1"/>
  <c r="AX196" i="47" s="1"/>
  <c r="N260" i="47"/>
  <c r="N234" i="47"/>
  <c r="N77" i="47"/>
  <c r="AG77" i="47" s="1"/>
  <c r="AX77" i="47" s="1"/>
  <c r="N141" i="47"/>
  <c r="N205" i="47"/>
  <c r="AG205" i="47" s="1"/>
  <c r="AX205" i="47" s="1"/>
  <c r="N269" i="47"/>
  <c r="AG269" i="47" s="1"/>
  <c r="AX269" i="47" s="1"/>
  <c r="N138" i="47"/>
  <c r="N46" i="47"/>
  <c r="AG46" i="47" s="1"/>
  <c r="AX46" i="47" s="1"/>
  <c r="N110" i="47"/>
  <c r="AG110" i="47" s="1"/>
  <c r="AX110" i="47" s="1"/>
  <c r="N174" i="47"/>
  <c r="AG174" i="47" s="1"/>
  <c r="AX174" i="47" s="1"/>
  <c r="N238" i="47"/>
  <c r="AG238" i="47" s="1"/>
  <c r="AX238" i="47" s="1"/>
  <c r="N302" i="47"/>
  <c r="N47" i="47"/>
  <c r="N111" i="47"/>
  <c r="N175" i="47"/>
  <c r="N239" i="47"/>
  <c r="N303" i="47"/>
  <c r="N282" i="47"/>
  <c r="AG282" i="47" s="1"/>
  <c r="AX282" i="47" s="1"/>
  <c r="N72" i="47"/>
  <c r="N136" i="47"/>
  <c r="N200" i="47"/>
  <c r="N264" i="47"/>
  <c r="N90" i="47"/>
  <c r="AG90" i="47" s="1"/>
  <c r="AX90" i="47" s="1"/>
  <c r="N33" i="47"/>
  <c r="N97" i="47"/>
  <c r="N161" i="47"/>
  <c r="N225" i="47"/>
  <c r="N289" i="47"/>
  <c r="N306" i="47"/>
  <c r="N59" i="47"/>
  <c r="N123" i="47"/>
  <c r="N187" i="47"/>
  <c r="N251" i="47"/>
  <c r="N178" i="47"/>
  <c r="N76" i="47"/>
  <c r="AG76" i="47" s="1"/>
  <c r="AX76" i="47" s="1"/>
  <c r="N140" i="47"/>
  <c r="N204" i="47"/>
  <c r="AG204" i="47" s="1"/>
  <c r="AX204" i="47" s="1"/>
  <c r="N268" i="47"/>
  <c r="N268" i="57" s="1"/>
  <c r="N21" i="47"/>
  <c r="N85" i="47"/>
  <c r="N149" i="47"/>
  <c r="N213" i="47"/>
  <c r="N277" i="47"/>
  <c r="N194" i="47"/>
  <c r="N54" i="47"/>
  <c r="N118" i="47"/>
  <c r="N182" i="47"/>
  <c r="N246" i="47"/>
  <c r="N74" i="47"/>
  <c r="N55" i="47"/>
  <c r="N119" i="47"/>
  <c r="N183" i="47"/>
  <c r="N247" i="47"/>
  <c r="N34" i="47"/>
  <c r="N16" i="47"/>
  <c r="N80" i="47"/>
  <c r="N144" i="47"/>
  <c r="N208" i="47"/>
  <c r="N272" i="47"/>
  <c r="N114" i="47"/>
  <c r="N41" i="47"/>
  <c r="N105" i="47"/>
  <c r="N169" i="47"/>
  <c r="N233" i="47"/>
  <c r="N297" i="47"/>
  <c r="N67" i="47"/>
  <c r="N131" i="47"/>
  <c r="N195" i="47"/>
  <c r="N259" i="47"/>
  <c r="N20" i="47"/>
  <c r="N84" i="47"/>
  <c r="N148" i="47"/>
  <c r="N212" i="47"/>
  <c r="N276" i="47"/>
  <c r="N29" i="47"/>
  <c r="N93" i="47"/>
  <c r="N157" i="47"/>
  <c r="N221" i="47"/>
  <c r="N285" i="47"/>
  <c r="N226" i="47"/>
  <c r="N62" i="47"/>
  <c r="N126" i="47"/>
  <c r="N190" i="47"/>
  <c r="N254" i="47"/>
  <c r="N186" i="47"/>
  <c r="N63" i="47"/>
  <c r="N127" i="47"/>
  <c r="N191" i="47"/>
  <c r="N255" i="47"/>
  <c r="N50" i="47"/>
  <c r="N24" i="47"/>
  <c r="N88" i="47"/>
  <c r="N152" i="47"/>
  <c r="N216" i="47"/>
  <c r="N280" i="47"/>
  <c r="N154" i="47"/>
  <c r="AG154" i="47" s="1"/>
  <c r="AX154" i="47" s="1"/>
  <c r="N49" i="47"/>
  <c r="N113" i="47"/>
  <c r="N177" i="47"/>
  <c r="N241" i="47"/>
  <c r="N305" i="47"/>
  <c r="N202" i="47"/>
  <c r="AG202" i="47" s="1"/>
  <c r="AX202" i="47" s="1"/>
  <c r="N199" i="47"/>
  <c r="AG199" i="47" s="1"/>
  <c r="AX199" i="47" s="1"/>
  <c r="N266" i="47"/>
  <c r="AG266" i="47" s="1"/>
  <c r="AX266" i="47" s="1"/>
  <c r="N156" i="47"/>
  <c r="AG156" i="47" s="1"/>
  <c r="AX156" i="47" s="1"/>
  <c r="N288" i="47"/>
  <c r="AG288" i="47" s="1"/>
  <c r="AX288" i="47" s="1"/>
  <c r="N135" i="47"/>
  <c r="AG135" i="47" s="1"/>
  <c r="AX135" i="47" s="1"/>
  <c r="N293" i="47"/>
  <c r="N92" i="47"/>
  <c r="AG92" i="47" s="1"/>
  <c r="AX92" i="47" s="1"/>
  <c r="AG46" i="51"/>
  <c r="N224" i="47"/>
  <c r="N224" i="57" s="1"/>
  <c r="N71" i="47"/>
  <c r="AG71" i="47" s="1"/>
  <c r="AX71" i="47" s="1"/>
  <c r="N229" i="47"/>
  <c r="AG229" i="47" s="1"/>
  <c r="AX229" i="47" s="1"/>
  <c r="N28" i="47"/>
  <c r="N28" i="57" s="1"/>
  <c r="N82" i="47"/>
  <c r="AG82" i="47" s="1"/>
  <c r="AX82" i="47" s="1"/>
  <c r="N160" i="47"/>
  <c r="N274" i="47"/>
  <c r="AG274" i="47" s="1"/>
  <c r="AX274" i="47" s="1"/>
  <c r="N165" i="47"/>
  <c r="AG165" i="47" s="1"/>
  <c r="AX165" i="47" s="1"/>
  <c r="N267" i="47"/>
  <c r="N267" i="57" s="1"/>
  <c r="N249" i="47"/>
  <c r="AG249" i="47" s="1"/>
  <c r="AX249" i="47" s="1"/>
  <c r="N96" i="47"/>
  <c r="AG96" i="47" s="1"/>
  <c r="AX96" i="47" s="1"/>
  <c r="N262" i="47"/>
  <c r="AG262" i="47" s="1"/>
  <c r="AX262" i="47" s="1"/>
  <c r="N101" i="47"/>
  <c r="AG101" i="47" s="1"/>
  <c r="AX101" i="47" s="1"/>
  <c r="N203" i="47"/>
  <c r="N185" i="47"/>
  <c r="AG185" i="47" s="1"/>
  <c r="AX185" i="47" s="1"/>
  <c r="N32" i="47"/>
  <c r="N32" i="57" s="1"/>
  <c r="N198" i="47"/>
  <c r="AG198" i="47" s="1"/>
  <c r="AX198" i="47" s="1"/>
  <c r="N37" i="47"/>
  <c r="AG37" i="47" s="1"/>
  <c r="AX37" i="47" s="1"/>
  <c r="N139" i="47"/>
  <c r="AG139" i="47" s="1"/>
  <c r="AX139" i="47" s="1"/>
  <c r="N121" i="47"/>
  <c r="AG121" i="47" s="1"/>
  <c r="AX121" i="47" s="1"/>
  <c r="N98" i="47"/>
  <c r="AG98" i="47" s="1"/>
  <c r="AX98" i="47" s="1"/>
  <c r="N134" i="47"/>
  <c r="N284" i="47"/>
  <c r="AG284" i="47" s="1"/>
  <c r="AX284" i="47" s="1"/>
  <c r="N75" i="47"/>
  <c r="AG75" i="47" s="1"/>
  <c r="AX75" i="47" s="1"/>
  <c r="M8" i="68"/>
  <c r="F128" i="66" s="1"/>
  <c r="I28" i="60"/>
  <c r="I77" i="15" s="1"/>
  <c r="U30" i="60"/>
  <c r="I30" i="60" s="1"/>
  <c r="O33" i="15"/>
  <c r="I94" i="66"/>
  <c r="AF94" i="66" s="1"/>
  <c r="AG39" i="51"/>
  <c r="G105" i="66"/>
  <c r="AF7" i="66"/>
  <c r="I92" i="66"/>
  <c r="AF92" i="66" s="1"/>
  <c r="T6" i="66"/>
  <c r="AP6" i="66" s="1"/>
  <c r="I96" i="66"/>
  <c r="AF96" i="66" s="1"/>
  <c r="AF6" i="66"/>
  <c r="M1" i="68"/>
  <c r="F121" i="66" s="1"/>
  <c r="M2" i="68"/>
  <c r="F122" i="66" s="1"/>
  <c r="M7" i="68"/>
  <c r="F127" i="66" s="1"/>
  <c r="AG176" i="51"/>
  <c r="M10" i="68"/>
  <c r="F130" i="66" s="1"/>
  <c r="M3" i="68"/>
  <c r="F123" i="66" s="1"/>
  <c r="M20" i="68"/>
  <c r="U19" i="60" s="1"/>
  <c r="O25" i="15" s="1"/>
  <c r="G107" i="66"/>
  <c r="M13" i="51"/>
  <c r="U32" i="60" s="1"/>
  <c r="I32" i="60" s="1"/>
  <c r="AF9" i="66"/>
  <c r="M9" i="68"/>
  <c r="F129" i="66" s="1"/>
  <c r="M4" i="68"/>
  <c r="F124" i="66" s="1"/>
  <c r="I12" i="66"/>
  <c r="G110" i="66" s="1"/>
  <c r="AF11" i="66"/>
  <c r="G109" i="66"/>
  <c r="N147" i="57"/>
  <c r="N45" i="57"/>
  <c r="N211" i="57"/>
  <c r="AF9" i="57"/>
  <c r="N98" i="57"/>
  <c r="AG98" i="57" s="1"/>
  <c r="AG267" i="47"/>
  <c r="AX267" i="47" s="1"/>
  <c r="N57" i="57"/>
  <c r="N101" i="57"/>
  <c r="N101" i="51" s="1"/>
  <c r="AH101" i="51" s="1"/>
  <c r="N266" i="57"/>
  <c r="AG266" i="57" s="1"/>
  <c r="AG220" i="47"/>
  <c r="AX220" i="47" s="1"/>
  <c r="N198" i="57"/>
  <c r="N70" i="57"/>
  <c r="N156" i="57"/>
  <c r="N37" i="57"/>
  <c r="N37" i="51" s="1"/>
  <c r="AH37" i="51" s="1"/>
  <c r="N263" i="57"/>
  <c r="N38" i="57"/>
  <c r="N197" i="57"/>
  <c r="N197" i="51" s="1"/>
  <c r="AH197" i="51" s="1"/>
  <c r="N196" i="57"/>
  <c r="N82" i="57"/>
  <c r="N299" i="57"/>
  <c r="N107" i="57"/>
  <c r="AG107" i="57" s="1"/>
  <c r="N249" i="57"/>
  <c r="N133" i="57"/>
  <c r="N199" i="57"/>
  <c r="AG232" i="47"/>
  <c r="AX232" i="47" s="1"/>
  <c r="N71" i="57"/>
  <c r="AG257" i="47"/>
  <c r="AX257" i="47" s="1"/>
  <c r="N238" i="57"/>
  <c r="AG40" i="47"/>
  <c r="AX40" i="47" s="1"/>
  <c r="N104" i="57"/>
  <c r="AG104" i="57" s="1"/>
  <c r="N218" i="57"/>
  <c r="N90" i="57"/>
  <c r="AG193" i="47"/>
  <c r="AX193" i="47" s="1"/>
  <c r="N40" i="57"/>
  <c r="N204" i="57"/>
  <c r="N76" i="57"/>
  <c r="N179" i="57"/>
  <c r="AG179" i="57" s="1"/>
  <c r="N46" i="57"/>
  <c r="N46" i="51" s="1"/>
  <c r="AH46" i="51" s="1"/>
  <c r="N154" i="57"/>
  <c r="N77" i="57"/>
  <c r="N51" i="57"/>
  <c r="N235" i="57"/>
  <c r="N227" i="68"/>
  <c r="AG220" i="57"/>
  <c r="AG257" i="57"/>
  <c r="N143" i="57" l="1"/>
  <c r="N296" i="57"/>
  <c r="N26" i="57"/>
  <c r="N92" i="57"/>
  <c r="N228" i="57"/>
  <c r="N274" i="57"/>
  <c r="AG274" i="57" s="1"/>
  <c r="N171" i="57"/>
  <c r="AG268" i="47"/>
  <c r="AX268" i="47" s="1"/>
  <c r="N269" i="57"/>
  <c r="N65" i="57"/>
  <c r="AG65" i="57" s="1"/>
  <c r="N284" i="57"/>
  <c r="N205" i="57"/>
  <c r="N212" i="68" s="1"/>
  <c r="N185" i="57"/>
  <c r="N271" i="57"/>
  <c r="N271" i="51" s="1"/>
  <c r="AH271" i="51" s="1"/>
  <c r="N307" i="57"/>
  <c r="N78" i="57"/>
  <c r="N78" i="51" s="1"/>
  <c r="AH78" i="51" s="1"/>
  <c r="N146" i="57"/>
  <c r="AG146" i="57" s="1"/>
  <c r="N19" i="57"/>
  <c r="AG19" i="57" s="1"/>
  <c r="N90" i="51"/>
  <c r="AH90" i="51" s="1"/>
  <c r="N28" i="51"/>
  <c r="AH28" i="51" s="1"/>
  <c r="N32" i="51"/>
  <c r="AH32" i="51" s="1"/>
  <c r="N220" i="51"/>
  <c r="AH220" i="51" s="1"/>
  <c r="N68" i="57"/>
  <c r="N68" i="51" s="1"/>
  <c r="AH68" i="51" s="1"/>
  <c r="AZ91" i="66"/>
  <c r="T91" i="66"/>
  <c r="AP91" i="66" s="1"/>
  <c r="AG268" i="57"/>
  <c r="AG32" i="47"/>
  <c r="AX32" i="47" s="1"/>
  <c r="N202" i="57"/>
  <c r="N129" i="57"/>
  <c r="N230" i="57"/>
  <c r="N38" i="51" s="1"/>
  <c r="AH38" i="51" s="1"/>
  <c r="N75" i="57"/>
  <c r="J78" i="66"/>
  <c r="U78" i="66" s="1"/>
  <c r="AQ78" i="66" s="1"/>
  <c r="N165" i="57"/>
  <c r="N292" i="57"/>
  <c r="AG292" i="57" s="1"/>
  <c r="AG79" i="47"/>
  <c r="AX79" i="47" s="1"/>
  <c r="AG168" i="57"/>
  <c r="N121" i="57"/>
  <c r="AG28" i="47"/>
  <c r="AX28" i="47" s="1"/>
  <c r="N288" i="57"/>
  <c r="N73" i="57"/>
  <c r="N77" i="51" s="1"/>
  <c r="AH77" i="51" s="1"/>
  <c r="AG168" i="47"/>
  <c r="AX168" i="47" s="1"/>
  <c r="N132" i="57"/>
  <c r="N132" i="51" s="1"/>
  <c r="AH132" i="51" s="1"/>
  <c r="N262" i="57"/>
  <c r="N262" i="51" s="1"/>
  <c r="AH262" i="51" s="1"/>
  <c r="N36" i="57"/>
  <c r="N43" i="68" s="1"/>
  <c r="AF90" i="66"/>
  <c r="N275" i="57"/>
  <c r="N275" i="51" s="1"/>
  <c r="AH275" i="51" s="1"/>
  <c r="N282" i="57"/>
  <c r="N257" i="51" s="1"/>
  <c r="AH257" i="51" s="1"/>
  <c r="T90" i="66"/>
  <c r="AP90" i="66" s="1"/>
  <c r="N115" i="57"/>
  <c r="N122" i="68" s="1"/>
  <c r="N174" i="57"/>
  <c r="N181" i="68" s="1"/>
  <c r="N110" i="57"/>
  <c r="N96" i="57"/>
  <c r="N103" i="68" s="1"/>
  <c r="N294" i="57"/>
  <c r="N301" i="68" s="1"/>
  <c r="N229" i="57"/>
  <c r="N229" i="51" s="1"/>
  <c r="AH229" i="51" s="1"/>
  <c r="AG224" i="47"/>
  <c r="AX224" i="47" s="1"/>
  <c r="N122" i="57"/>
  <c r="N206" i="57"/>
  <c r="N35" i="68"/>
  <c r="AG232" i="57"/>
  <c r="N239" i="68"/>
  <c r="AG79" i="57"/>
  <c r="AG28" i="57"/>
  <c r="N204" i="68"/>
  <c r="AG196" i="57"/>
  <c r="AG92" i="57"/>
  <c r="N139" i="57"/>
  <c r="N135" i="57"/>
  <c r="N142" i="68" s="1"/>
  <c r="AF95" i="66"/>
  <c r="AZ94" i="66"/>
  <c r="T95" i="66"/>
  <c r="AP95" i="66" s="1"/>
  <c r="T94" i="66"/>
  <c r="AP94" i="66" s="1"/>
  <c r="AZ93" i="66"/>
  <c r="AF93" i="66"/>
  <c r="AG147" i="57"/>
  <c r="AG267" i="57"/>
  <c r="AG224" i="57"/>
  <c r="AG228" i="57"/>
  <c r="AG133" i="57"/>
  <c r="AG211" i="57"/>
  <c r="T12" i="66"/>
  <c r="AP12" i="66" s="1"/>
  <c r="AG134" i="47"/>
  <c r="AX134" i="47" s="1"/>
  <c r="N134" i="57"/>
  <c r="AG203" i="47"/>
  <c r="AX203" i="47" s="1"/>
  <c r="N203" i="57"/>
  <c r="AG160" i="47"/>
  <c r="AX160" i="47" s="1"/>
  <c r="N160" i="57"/>
  <c r="N293" i="57"/>
  <c r="AG293" i="47"/>
  <c r="AX293" i="47" s="1"/>
  <c r="AG241" i="47"/>
  <c r="AX241" i="47" s="1"/>
  <c r="N241" i="57"/>
  <c r="AG88" i="47"/>
  <c r="AX88" i="47" s="1"/>
  <c r="N88" i="57"/>
  <c r="J84" i="66"/>
  <c r="N254" i="57"/>
  <c r="AG254" i="47"/>
  <c r="AX254" i="47" s="1"/>
  <c r="AG93" i="47"/>
  <c r="AX93" i="47" s="1"/>
  <c r="N93" i="57"/>
  <c r="AG195" i="47"/>
  <c r="AX195" i="47" s="1"/>
  <c r="N195" i="57"/>
  <c r="AG114" i="47"/>
  <c r="AX114" i="47" s="1"/>
  <c r="N114" i="57"/>
  <c r="AG183" i="47"/>
  <c r="AX183" i="47" s="1"/>
  <c r="N183" i="57"/>
  <c r="N194" i="57"/>
  <c r="AG194" i="47"/>
  <c r="AX194" i="47" s="1"/>
  <c r="N140" i="57"/>
  <c r="AG140" i="47"/>
  <c r="AX140" i="47" s="1"/>
  <c r="AG289" i="47"/>
  <c r="AX289" i="47" s="1"/>
  <c r="N289" i="57"/>
  <c r="AG136" i="47"/>
  <c r="AX136" i="47" s="1"/>
  <c r="N136" i="57"/>
  <c r="AG302" i="47"/>
  <c r="AX302" i="47" s="1"/>
  <c r="N302" i="57"/>
  <c r="AG141" i="47"/>
  <c r="AX141" i="47" s="1"/>
  <c r="N141" i="57"/>
  <c r="AG243" i="47"/>
  <c r="AX243" i="47" s="1"/>
  <c r="N243" i="57"/>
  <c r="AG89" i="47"/>
  <c r="AX89" i="47" s="1"/>
  <c r="N89" i="57"/>
  <c r="J81" i="66"/>
  <c r="AG81" i="66" s="1"/>
  <c r="AG295" i="47"/>
  <c r="AX295" i="47" s="1"/>
  <c r="N295" i="57"/>
  <c r="N263" i="51" s="1"/>
  <c r="AH263" i="51" s="1"/>
  <c r="AG102" i="47"/>
  <c r="AX102" i="47" s="1"/>
  <c r="N102" i="57"/>
  <c r="AG252" i="47"/>
  <c r="AX252" i="47" s="1"/>
  <c r="N252" i="57"/>
  <c r="AG43" i="47"/>
  <c r="AX43" i="47" s="1"/>
  <c r="J83" i="66"/>
  <c r="AG83" i="66" s="1"/>
  <c r="N13" i="47"/>
  <c r="N409" i="47" s="1"/>
  <c r="N43" i="57"/>
  <c r="N50" i="68" s="1"/>
  <c r="N248" i="57"/>
  <c r="AG248" i="47"/>
  <c r="AX248" i="47" s="1"/>
  <c r="AG95" i="47"/>
  <c r="AX95" i="47" s="1"/>
  <c r="N95" i="57"/>
  <c r="N253" i="57"/>
  <c r="N154" i="68" s="1"/>
  <c r="AG253" i="47"/>
  <c r="AX253" i="47" s="1"/>
  <c r="AG52" i="47"/>
  <c r="AX52" i="47" s="1"/>
  <c r="N52" i="57"/>
  <c r="J82" i="66"/>
  <c r="N201" i="57"/>
  <c r="AG201" i="47"/>
  <c r="AX201" i="47" s="1"/>
  <c r="N48" i="57"/>
  <c r="AG48" i="47"/>
  <c r="AX48" i="47" s="1"/>
  <c r="J79" i="66"/>
  <c r="AG79" i="66" s="1"/>
  <c r="AG214" i="47"/>
  <c r="AX214" i="47" s="1"/>
  <c r="N214" i="57"/>
  <c r="N296" i="51" s="1"/>
  <c r="AH296" i="51" s="1"/>
  <c r="AG53" i="47"/>
  <c r="AX53" i="47" s="1"/>
  <c r="N53" i="57"/>
  <c r="J80" i="66"/>
  <c r="U80" i="66" s="1"/>
  <c r="AQ80" i="66" s="1"/>
  <c r="N155" i="57"/>
  <c r="AG155" i="47"/>
  <c r="AX155" i="47" s="1"/>
  <c r="AG250" i="47"/>
  <c r="AX250" i="47" s="1"/>
  <c r="N250" i="57"/>
  <c r="N207" i="57"/>
  <c r="AG207" i="47"/>
  <c r="AX207" i="47" s="1"/>
  <c r="N298" i="57"/>
  <c r="AG298" i="47"/>
  <c r="AX298" i="47" s="1"/>
  <c r="N164" i="57"/>
  <c r="AG164" i="47"/>
  <c r="AX164" i="47" s="1"/>
  <c r="N107" i="51"/>
  <c r="AH107" i="51" s="1"/>
  <c r="N114" i="68"/>
  <c r="AG177" i="47"/>
  <c r="AX177" i="47" s="1"/>
  <c r="N177" i="57"/>
  <c r="AG24" i="47"/>
  <c r="AX24" i="47" s="1"/>
  <c r="N24" i="57"/>
  <c r="AG190" i="47"/>
  <c r="AX190" i="47" s="1"/>
  <c r="N190" i="57"/>
  <c r="N29" i="57"/>
  <c r="N171" i="51" s="1"/>
  <c r="AH171" i="51" s="1"/>
  <c r="AG29" i="47"/>
  <c r="AX29" i="47" s="1"/>
  <c r="N131" i="57"/>
  <c r="AG131" i="47"/>
  <c r="AX131" i="47" s="1"/>
  <c r="AG272" i="47"/>
  <c r="AX272" i="47" s="1"/>
  <c r="N272" i="57"/>
  <c r="N119" i="57"/>
  <c r="AG119" i="47"/>
  <c r="AX119" i="47" s="1"/>
  <c r="N277" i="57"/>
  <c r="AG277" i="47"/>
  <c r="AX277" i="47" s="1"/>
  <c r="AG225" i="47"/>
  <c r="AX225" i="47" s="1"/>
  <c r="N225" i="57"/>
  <c r="AG72" i="47"/>
  <c r="AX72" i="47" s="1"/>
  <c r="N72" i="57"/>
  <c r="N274" i="51" s="1"/>
  <c r="AH274" i="51" s="1"/>
  <c r="N25" i="57"/>
  <c r="N71" i="51" s="1"/>
  <c r="AH71" i="51" s="1"/>
  <c r="AG25" i="47"/>
  <c r="AX25" i="47" s="1"/>
  <c r="N231" i="57"/>
  <c r="N235" i="51" s="1"/>
  <c r="AH235" i="51" s="1"/>
  <c r="AG231" i="47"/>
  <c r="AX231" i="47" s="1"/>
  <c r="AG188" i="47"/>
  <c r="AX188" i="47" s="1"/>
  <c r="N188" i="57"/>
  <c r="AG184" i="47"/>
  <c r="AX184" i="47" s="1"/>
  <c r="N184" i="57"/>
  <c r="N31" i="57"/>
  <c r="AG31" i="47"/>
  <c r="AX31" i="47" s="1"/>
  <c r="N189" i="57"/>
  <c r="AG189" i="47"/>
  <c r="AX189" i="47" s="1"/>
  <c r="AG291" i="47"/>
  <c r="AX291" i="47" s="1"/>
  <c r="N291" i="57"/>
  <c r="N137" i="57"/>
  <c r="AG137" i="47"/>
  <c r="AX137" i="47" s="1"/>
  <c r="N162" i="57"/>
  <c r="AG162" i="47"/>
  <c r="AX162" i="47" s="1"/>
  <c r="AG150" i="47"/>
  <c r="AX150" i="47" s="1"/>
  <c r="N150" i="57"/>
  <c r="AG300" i="47"/>
  <c r="AX300" i="47" s="1"/>
  <c r="N300" i="57"/>
  <c r="AG91" i="47"/>
  <c r="AX91" i="47" s="1"/>
  <c r="N91" i="57"/>
  <c r="N82" i="51" s="1"/>
  <c r="AH82" i="51" s="1"/>
  <c r="AG301" i="47"/>
  <c r="AX301" i="47" s="1"/>
  <c r="N301" i="57"/>
  <c r="AG100" i="47"/>
  <c r="AX100" i="47" s="1"/>
  <c r="N100" i="57"/>
  <c r="O42" i="15"/>
  <c r="O35" i="15"/>
  <c r="P33" i="15"/>
  <c r="N113" i="57"/>
  <c r="AG113" i="47"/>
  <c r="AX113" i="47" s="1"/>
  <c r="AG50" i="47"/>
  <c r="AX50" i="47" s="1"/>
  <c r="N50" i="57"/>
  <c r="AG126" i="47"/>
  <c r="AX126" i="47" s="1"/>
  <c r="N126" i="57"/>
  <c r="N204" i="51" s="1"/>
  <c r="AH204" i="51" s="1"/>
  <c r="AG276" i="47"/>
  <c r="AX276" i="47" s="1"/>
  <c r="N276" i="57"/>
  <c r="AG67" i="47"/>
  <c r="AX67" i="47" s="1"/>
  <c r="N67" i="57"/>
  <c r="N208" i="57"/>
  <c r="N231" i="68" s="1"/>
  <c r="AG208" i="47"/>
  <c r="AX208" i="47" s="1"/>
  <c r="N55" i="57"/>
  <c r="AG55" i="47"/>
  <c r="AX55" i="47" s="1"/>
  <c r="AG213" i="47"/>
  <c r="AX213" i="47" s="1"/>
  <c r="N213" i="57"/>
  <c r="AG178" i="47"/>
  <c r="AX178" i="47" s="1"/>
  <c r="N178" i="57"/>
  <c r="N154" i="51" s="1"/>
  <c r="AH154" i="51" s="1"/>
  <c r="N161" i="57"/>
  <c r="AG161" i="47"/>
  <c r="AX161" i="47" s="1"/>
  <c r="N234" i="57"/>
  <c r="AG234" i="47"/>
  <c r="AX234" i="47" s="1"/>
  <c r="AG42" i="47"/>
  <c r="AX42" i="47" s="1"/>
  <c r="N42" i="57"/>
  <c r="AG167" i="47"/>
  <c r="AX167" i="47" s="1"/>
  <c r="N167" i="57"/>
  <c r="N106" i="57"/>
  <c r="N140" i="68" s="1"/>
  <c r="AG106" i="47"/>
  <c r="AX106" i="47" s="1"/>
  <c r="N124" i="57"/>
  <c r="AG124" i="47"/>
  <c r="AX124" i="47" s="1"/>
  <c r="N273" i="57"/>
  <c r="AG273" i="47"/>
  <c r="AX273" i="47" s="1"/>
  <c r="N120" i="57"/>
  <c r="AG120" i="47"/>
  <c r="AX120" i="47" s="1"/>
  <c r="AG286" i="47"/>
  <c r="AX286" i="47" s="1"/>
  <c r="N286" i="57"/>
  <c r="AG125" i="47"/>
  <c r="AX125" i="47" s="1"/>
  <c r="N125" i="57"/>
  <c r="AG227" i="47"/>
  <c r="AX227" i="47" s="1"/>
  <c r="N227" i="57"/>
  <c r="AG279" i="47"/>
  <c r="AX279" i="47" s="1"/>
  <c r="N279" i="57"/>
  <c r="AG86" i="47"/>
  <c r="AX86" i="47" s="1"/>
  <c r="N86" i="57"/>
  <c r="AG236" i="47"/>
  <c r="AX236" i="47" s="1"/>
  <c r="N236" i="57"/>
  <c r="N27" i="57"/>
  <c r="AG27" i="47"/>
  <c r="AX27" i="47" s="1"/>
  <c r="N237" i="57"/>
  <c r="AG237" i="47"/>
  <c r="AX237" i="47" s="1"/>
  <c r="AG49" i="47"/>
  <c r="AX49" i="47" s="1"/>
  <c r="N49" i="57"/>
  <c r="N255" i="57"/>
  <c r="AG255" i="47"/>
  <c r="AX255" i="47" s="1"/>
  <c r="AG62" i="47"/>
  <c r="AX62" i="47" s="1"/>
  <c r="N62" i="57"/>
  <c r="AG212" i="47"/>
  <c r="AX212" i="47" s="1"/>
  <c r="N212" i="57"/>
  <c r="N228" i="51" s="1"/>
  <c r="AH228" i="51" s="1"/>
  <c r="AG297" i="47"/>
  <c r="AX297" i="47" s="1"/>
  <c r="N297" i="57"/>
  <c r="N144" i="57"/>
  <c r="N51" i="51" s="1"/>
  <c r="AH51" i="51" s="1"/>
  <c r="AG144" i="47"/>
  <c r="AX144" i="47" s="1"/>
  <c r="AG74" i="47"/>
  <c r="AX74" i="47" s="1"/>
  <c r="N74" i="57"/>
  <c r="N149" i="57"/>
  <c r="N99" i="68" s="1"/>
  <c r="AG149" i="47"/>
  <c r="AX149" i="47" s="1"/>
  <c r="N251" i="57"/>
  <c r="AG251" i="47"/>
  <c r="AX251" i="47" s="1"/>
  <c r="AG97" i="47"/>
  <c r="AX97" i="47" s="1"/>
  <c r="N97" i="57"/>
  <c r="N303" i="57"/>
  <c r="AG303" i="47"/>
  <c r="AX303" i="47" s="1"/>
  <c r="N260" i="57"/>
  <c r="AG260" i="47"/>
  <c r="AX260" i="47" s="1"/>
  <c r="AG256" i="47"/>
  <c r="AX256" i="47" s="1"/>
  <c r="N256" i="57"/>
  <c r="AG103" i="47"/>
  <c r="AX103" i="47" s="1"/>
  <c r="N103" i="57"/>
  <c r="AG261" i="47"/>
  <c r="AX261" i="47" s="1"/>
  <c r="N261" i="57"/>
  <c r="AG60" i="47"/>
  <c r="AX60" i="47" s="1"/>
  <c r="N60" i="57"/>
  <c r="N209" i="57"/>
  <c r="AG209" i="47"/>
  <c r="AX209" i="47" s="1"/>
  <c r="AG56" i="47"/>
  <c r="AX56" i="47" s="1"/>
  <c r="N56" i="57"/>
  <c r="AG222" i="47"/>
  <c r="AX222" i="47" s="1"/>
  <c r="N222" i="57"/>
  <c r="AG61" i="47"/>
  <c r="AX61" i="47" s="1"/>
  <c r="N61" i="57"/>
  <c r="N163" i="57"/>
  <c r="AG163" i="47"/>
  <c r="AX163" i="47" s="1"/>
  <c r="N290" i="57"/>
  <c r="AG290" i="47"/>
  <c r="AX290" i="47" s="1"/>
  <c r="AG215" i="47"/>
  <c r="AX215" i="47" s="1"/>
  <c r="N215" i="57"/>
  <c r="AG22" i="47"/>
  <c r="AX22" i="47" s="1"/>
  <c r="N22" i="57"/>
  <c r="N275" i="68" s="1"/>
  <c r="AG172" i="47"/>
  <c r="AX172" i="47" s="1"/>
  <c r="N172" i="57"/>
  <c r="N15" i="57"/>
  <c r="AG15" i="47"/>
  <c r="AX15" i="47" s="1"/>
  <c r="N173" i="57"/>
  <c r="AG173" i="47"/>
  <c r="AX173" i="47" s="1"/>
  <c r="AG191" i="47"/>
  <c r="AX191" i="47" s="1"/>
  <c r="N191" i="57"/>
  <c r="AG226" i="47"/>
  <c r="AX226" i="47" s="1"/>
  <c r="N226" i="57"/>
  <c r="N148" i="57"/>
  <c r="AG148" i="47"/>
  <c r="AX148" i="47" s="1"/>
  <c r="N233" i="57"/>
  <c r="AG233" i="47"/>
  <c r="AX233" i="47" s="1"/>
  <c r="N80" i="57"/>
  <c r="AG80" i="47"/>
  <c r="AX80" i="47" s="1"/>
  <c r="N246" i="57"/>
  <c r="AG246" i="47"/>
  <c r="AX246" i="47" s="1"/>
  <c r="N85" i="57"/>
  <c r="AG85" i="47"/>
  <c r="AX85" i="47" s="1"/>
  <c r="AG187" i="47"/>
  <c r="AX187" i="47" s="1"/>
  <c r="N187" i="57"/>
  <c r="AG33" i="47"/>
  <c r="AX33" i="47" s="1"/>
  <c r="N33" i="57"/>
  <c r="AG239" i="47"/>
  <c r="AX239" i="47" s="1"/>
  <c r="N239" i="57"/>
  <c r="N238" i="51" s="1"/>
  <c r="AH238" i="51" s="1"/>
  <c r="AG258" i="47"/>
  <c r="AX258" i="47" s="1"/>
  <c r="N258" i="57"/>
  <c r="AG192" i="47"/>
  <c r="AX192" i="47" s="1"/>
  <c r="N192" i="57"/>
  <c r="N218" i="51" s="1"/>
  <c r="AH218" i="51" s="1"/>
  <c r="N39" i="57"/>
  <c r="AG39" i="47"/>
  <c r="AX39" i="47" s="1"/>
  <c r="AG145" i="47"/>
  <c r="AX145" i="47" s="1"/>
  <c r="N145" i="57"/>
  <c r="N210" i="57"/>
  <c r="AG210" i="47"/>
  <c r="AX210" i="47" s="1"/>
  <c r="AG158" i="47"/>
  <c r="AX158" i="47" s="1"/>
  <c r="N158" i="57"/>
  <c r="N66" i="57"/>
  <c r="AG66" i="47"/>
  <c r="AX66" i="47" s="1"/>
  <c r="AG99" i="47"/>
  <c r="AX99" i="47" s="1"/>
  <c r="N99" i="57"/>
  <c r="AG304" i="47"/>
  <c r="AX304" i="47" s="1"/>
  <c r="N304" i="57"/>
  <c r="N151" i="57"/>
  <c r="AG151" i="47"/>
  <c r="AX151" i="47" s="1"/>
  <c r="AG18" i="47"/>
  <c r="AX18" i="47" s="1"/>
  <c r="N18" i="57"/>
  <c r="N168" i="51" s="1"/>
  <c r="AH168" i="51" s="1"/>
  <c r="N108" i="57"/>
  <c r="N198" i="51" s="1"/>
  <c r="AH198" i="51" s="1"/>
  <c r="AG108" i="47"/>
  <c r="AX108" i="47" s="1"/>
  <c r="N270" i="57"/>
  <c r="AG270" i="47"/>
  <c r="AX270" i="47" s="1"/>
  <c r="N109" i="57"/>
  <c r="N199" i="51" s="1"/>
  <c r="AH199" i="51" s="1"/>
  <c r="AG109" i="47"/>
  <c r="AX109" i="47" s="1"/>
  <c r="AG280" i="47"/>
  <c r="AX280" i="47" s="1"/>
  <c r="N280" i="57"/>
  <c r="N127" i="57"/>
  <c r="AG127" i="47"/>
  <c r="AX127" i="47" s="1"/>
  <c r="N285" i="57"/>
  <c r="AG285" i="47"/>
  <c r="AX285" i="47" s="1"/>
  <c r="AG84" i="47"/>
  <c r="AX84" i="47" s="1"/>
  <c r="N84" i="57"/>
  <c r="AG169" i="47"/>
  <c r="AX169" i="47" s="1"/>
  <c r="N169" i="57"/>
  <c r="AG16" i="47"/>
  <c r="AX16" i="47" s="1"/>
  <c r="N16" i="57"/>
  <c r="N182" i="57"/>
  <c r="AG182" i="47"/>
  <c r="AX182" i="47" s="1"/>
  <c r="AG21" i="47"/>
  <c r="AX21" i="47" s="1"/>
  <c r="N21" i="57"/>
  <c r="N70" i="51" s="1"/>
  <c r="AH70" i="51" s="1"/>
  <c r="AG123" i="47"/>
  <c r="AX123" i="47" s="1"/>
  <c r="N123" i="57"/>
  <c r="N175" i="57"/>
  <c r="AG175" i="47"/>
  <c r="AX175" i="47" s="1"/>
  <c r="N138" i="57"/>
  <c r="AG138" i="47"/>
  <c r="AX138" i="47" s="1"/>
  <c r="AG281" i="47"/>
  <c r="AX281" i="47" s="1"/>
  <c r="N281" i="57"/>
  <c r="AG128" i="47"/>
  <c r="AX128" i="47" s="1"/>
  <c r="N128" i="57"/>
  <c r="AG81" i="47"/>
  <c r="AX81" i="47" s="1"/>
  <c r="N81" i="57"/>
  <c r="N79" i="51" s="1"/>
  <c r="AH79" i="51" s="1"/>
  <c r="AG287" i="47"/>
  <c r="AX287" i="47" s="1"/>
  <c r="N287" i="57"/>
  <c r="AG94" i="47"/>
  <c r="AX94" i="47" s="1"/>
  <c r="N94" i="57"/>
  <c r="N244" i="57"/>
  <c r="AG244" i="47"/>
  <c r="AX244" i="47" s="1"/>
  <c r="AG35" i="47"/>
  <c r="AX35" i="47" s="1"/>
  <c r="N35" i="57"/>
  <c r="AG240" i="47"/>
  <c r="AX240" i="47" s="1"/>
  <c r="N240" i="57"/>
  <c r="AG87" i="47"/>
  <c r="AX87" i="47" s="1"/>
  <c r="N87" i="57"/>
  <c r="N196" i="51" s="1"/>
  <c r="AH196" i="51" s="1"/>
  <c r="AG245" i="47"/>
  <c r="AX245" i="47" s="1"/>
  <c r="N245" i="57"/>
  <c r="AG44" i="47"/>
  <c r="AX44" i="47" s="1"/>
  <c r="N44" i="57"/>
  <c r="AG216" i="47"/>
  <c r="AX216" i="47" s="1"/>
  <c r="N216" i="57"/>
  <c r="N63" i="57"/>
  <c r="N76" i="51" s="1"/>
  <c r="AH76" i="51" s="1"/>
  <c r="AG63" i="47"/>
  <c r="AX63" i="47" s="1"/>
  <c r="AG221" i="47"/>
  <c r="AX221" i="47" s="1"/>
  <c r="N221" i="57"/>
  <c r="N20" i="57"/>
  <c r="AG20" i="47"/>
  <c r="AX20" i="47" s="1"/>
  <c r="N105" i="57"/>
  <c r="AG105" i="47"/>
  <c r="AX105" i="47" s="1"/>
  <c r="AG34" i="47"/>
  <c r="AX34" i="47" s="1"/>
  <c r="N34" i="57"/>
  <c r="AG118" i="47"/>
  <c r="AX118" i="47" s="1"/>
  <c r="N118" i="57"/>
  <c r="N59" i="57"/>
  <c r="AG59" i="47"/>
  <c r="AX59" i="47" s="1"/>
  <c r="N264" i="57"/>
  <c r="AG264" i="47"/>
  <c r="AX264" i="47" s="1"/>
  <c r="AG111" i="47"/>
  <c r="AX111" i="47" s="1"/>
  <c r="N111" i="57"/>
  <c r="AG217" i="47"/>
  <c r="AX217" i="47" s="1"/>
  <c r="N217" i="57"/>
  <c r="AG64" i="47"/>
  <c r="AX64" i="47" s="1"/>
  <c r="N64" i="57"/>
  <c r="N26" i="51" s="1"/>
  <c r="AH26" i="51" s="1"/>
  <c r="N69" i="57"/>
  <c r="AG69" i="47"/>
  <c r="AX69" i="47" s="1"/>
  <c r="AG17" i="47"/>
  <c r="AX17" i="47" s="1"/>
  <c r="N17" i="57"/>
  <c r="N223" i="57"/>
  <c r="N57" i="51" s="1"/>
  <c r="AH57" i="51" s="1"/>
  <c r="AG223" i="47"/>
  <c r="AX223" i="47" s="1"/>
  <c r="AG30" i="47"/>
  <c r="AX30" i="47" s="1"/>
  <c r="N30" i="57"/>
  <c r="AG180" i="47"/>
  <c r="AX180" i="47" s="1"/>
  <c r="N180" i="57"/>
  <c r="N170" i="57"/>
  <c r="AG170" i="47"/>
  <c r="AX170" i="47" s="1"/>
  <c r="N176" i="57"/>
  <c r="AG176" i="47"/>
  <c r="AX176" i="47" s="1"/>
  <c r="AG23" i="47"/>
  <c r="AX23" i="47" s="1"/>
  <c r="N23" i="57"/>
  <c r="N269" i="51" s="1"/>
  <c r="AH269" i="51" s="1"/>
  <c r="AG181" i="47"/>
  <c r="AX181" i="47" s="1"/>
  <c r="N181" i="57"/>
  <c r="AG283" i="47"/>
  <c r="AX283" i="47" s="1"/>
  <c r="N283" i="57"/>
  <c r="N130" i="57"/>
  <c r="AG130" i="47"/>
  <c r="AX130" i="47" s="1"/>
  <c r="AG142" i="47"/>
  <c r="AX142" i="47" s="1"/>
  <c r="N142" i="57"/>
  <c r="N284" i="51" s="1"/>
  <c r="AH284" i="51" s="1"/>
  <c r="N83" i="57"/>
  <c r="AG83" i="47"/>
  <c r="AX83" i="47" s="1"/>
  <c r="N305" i="57"/>
  <c r="N267" i="51" s="1"/>
  <c r="AH267" i="51" s="1"/>
  <c r="AG305" i="47"/>
  <c r="AX305" i="47" s="1"/>
  <c r="AG152" i="47"/>
  <c r="AX152" i="47" s="1"/>
  <c r="N152" i="57"/>
  <c r="N186" i="57"/>
  <c r="AG186" i="47"/>
  <c r="AX186" i="47" s="1"/>
  <c r="AG157" i="47"/>
  <c r="AX157" i="47" s="1"/>
  <c r="N157" i="57"/>
  <c r="AG259" i="47"/>
  <c r="AX259" i="47" s="1"/>
  <c r="N259" i="57"/>
  <c r="AG41" i="47"/>
  <c r="AX41" i="47" s="1"/>
  <c r="N41" i="57"/>
  <c r="N247" i="57"/>
  <c r="AG247" i="47"/>
  <c r="AX247" i="47" s="1"/>
  <c r="AG54" i="47"/>
  <c r="AX54" i="47" s="1"/>
  <c r="N54" i="57"/>
  <c r="N306" i="57"/>
  <c r="AG306" i="47"/>
  <c r="AX306" i="47" s="1"/>
  <c r="AG200" i="47"/>
  <c r="AX200" i="47" s="1"/>
  <c r="N200" i="57"/>
  <c r="AG47" i="47"/>
  <c r="AX47" i="47" s="1"/>
  <c r="N47" i="57"/>
  <c r="N153" i="57"/>
  <c r="AG153" i="47"/>
  <c r="AX153" i="47" s="1"/>
  <c r="AG242" i="47"/>
  <c r="AX242" i="47" s="1"/>
  <c r="N242" i="57"/>
  <c r="N166" i="57"/>
  <c r="AG166" i="47"/>
  <c r="AX166" i="47" s="1"/>
  <c r="AG159" i="47"/>
  <c r="AX159" i="47" s="1"/>
  <c r="N159" i="57"/>
  <c r="N58" i="57"/>
  <c r="AG58" i="47"/>
  <c r="AX58" i="47" s="1"/>
  <c r="AG116" i="47"/>
  <c r="AX116" i="47" s="1"/>
  <c r="N116" i="57"/>
  <c r="AG265" i="47"/>
  <c r="AX265" i="47" s="1"/>
  <c r="N265" i="57"/>
  <c r="N249" i="51" s="1"/>
  <c r="AH249" i="51" s="1"/>
  <c r="AG112" i="47"/>
  <c r="AX112" i="47" s="1"/>
  <c r="N112" i="57"/>
  <c r="AG278" i="47"/>
  <c r="AX278" i="47" s="1"/>
  <c r="N278" i="57"/>
  <c r="AG117" i="47"/>
  <c r="AX117" i="47" s="1"/>
  <c r="N117" i="57"/>
  <c r="AG219" i="47"/>
  <c r="AX219" i="47" s="1"/>
  <c r="N219" i="57"/>
  <c r="AZ92" i="66"/>
  <c r="T92" i="66"/>
  <c r="AP92" i="66" s="1"/>
  <c r="I97" i="66"/>
  <c r="AF97" i="66" s="1"/>
  <c r="AZ96" i="66"/>
  <c r="AG13" i="51"/>
  <c r="AF12" i="66"/>
  <c r="T96" i="66"/>
  <c r="AP96" i="66" s="1"/>
  <c r="O37" i="15"/>
  <c r="O39" i="15" s="1"/>
  <c r="I19" i="60"/>
  <c r="M5" i="68"/>
  <c r="F125" i="66" s="1"/>
  <c r="U34" i="60"/>
  <c r="I34" i="60" s="1"/>
  <c r="M11" i="68"/>
  <c r="F131" i="66" s="1"/>
  <c r="N206" i="68"/>
  <c r="AG199" i="57"/>
  <c r="AG197" i="57"/>
  <c r="N163" i="68"/>
  <c r="N299" i="51"/>
  <c r="AH299" i="51" s="1"/>
  <c r="AG299" i="57"/>
  <c r="N266" i="51"/>
  <c r="AH266" i="51" s="1"/>
  <c r="AG38" i="57"/>
  <c r="N211" i="51"/>
  <c r="AH211" i="51" s="1"/>
  <c r="AG45" i="57"/>
  <c r="AG71" i="57"/>
  <c r="N39" i="68"/>
  <c r="N78" i="68"/>
  <c r="AG32" i="57"/>
  <c r="N273" i="68"/>
  <c r="AG78" i="66"/>
  <c r="AG156" i="57"/>
  <c r="AG271" i="57"/>
  <c r="N52" i="68"/>
  <c r="N108" i="68"/>
  <c r="AG101" i="57"/>
  <c r="N105" i="68"/>
  <c r="N98" i="51"/>
  <c r="AH98" i="51" s="1"/>
  <c r="N245" i="68"/>
  <c r="AG198" i="57"/>
  <c r="AG238" i="57"/>
  <c r="N205" i="68"/>
  <c r="AG284" i="57"/>
  <c r="AG76" i="57"/>
  <c r="N291" i="68"/>
  <c r="AG171" i="57"/>
  <c r="N178" i="68"/>
  <c r="N77" i="68"/>
  <c r="AG70" i="57"/>
  <c r="N83" i="68"/>
  <c r="AG185" i="57"/>
  <c r="AG37" i="57"/>
  <c r="N44" i="68"/>
  <c r="AG202" i="57"/>
  <c r="N64" i="68"/>
  <c r="AG57" i="57"/>
  <c r="N269" i="68"/>
  <c r="V28" i="60"/>
  <c r="AG262" i="57"/>
  <c r="AG307" i="57"/>
  <c r="AG75" i="57"/>
  <c r="N111" i="68"/>
  <c r="AG154" i="57"/>
  <c r="AG218" i="57"/>
  <c r="N242" i="68"/>
  <c r="AG235" i="57"/>
  <c r="N225" i="68"/>
  <c r="N104" i="51"/>
  <c r="AH104" i="51" s="1"/>
  <c r="AG143" i="57"/>
  <c r="N150" i="68"/>
  <c r="N303" i="68"/>
  <c r="AG263" i="57"/>
  <c r="AG296" i="57"/>
  <c r="AG46" i="57"/>
  <c r="AG68" i="57"/>
  <c r="N84" i="68"/>
  <c r="N45" i="68"/>
  <c r="N179" i="51"/>
  <c r="AH179" i="51" s="1"/>
  <c r="N314" i="68"/>
  <c r="N53" i="68"/>
  <c r="N186" i="68"/>
  <c r="AG77" i="57"/>
  <c r="AG249" i="57"/>
  <c r="AG51" i="57"/>
  <c r="N256" i="68"/>
  <c r="N75" i="68"/>
  <c r="AG82" i="57"/>
  <c r="N47" i="68"/>
  <c r="AG110" i="57"/>
  <c r="N89" i="68"/>
  <c r="N110" i="51"/>
  <c r="AH110" i="51" s="1"/>
  <c r="AG40" i="57"/>
  <c r="AG269" i="57"/>
  <c r="N97" i="68"/>
  <c r="N33" i="68"/>
  <c r="AG26" i="57"/>
  <c r="N276" i="68"/>
  <c r="AG90" i="57"/>
  <c r="N211" i="68"/>
  <c r="AG204" i="57"/>
  <c r="AH232" i="51"/>
  <c r="N281" i="68" l="1"/>
  <c r="N278" i="68"/>
  <c r="N510" i="47"/>
  <c r="AG205" i="57"/>
  <c r="N205" i="51"/>
  <c r="AH205" i="51" s="1"/>
  <c r="N72" i="68"/>
  <c r="N65" i="51"/>
  <c r="AH65" i="51" s="1"/>
  <c r="N19" i="51"/>
  <c r="AH19" i="51" s="1"/>
  <c r="N26" i="68"/>
  <c r="AG36" i="57"/>
  <c r="AG96" i="57"/>
  <c r="AG78" i="57"/>
  <c r="N85" i="68"/>
  <c r="AG115" i="57"/>
  <c r="N153" i="68"/>
  <c r="AG174" i="57"/>
  <c r="AG132" i="57"/>
  <c r="N299" i="68"/>
  <c r="N292" i="51"/>
  <c r="AH292" i="51" s="1"/>
  <c r="N175" i="68"/>
  <c r="N156" i="51"/>
  <c r="AH156" i="51" s="1"/>
  <c r="N147" i="51"/>
  <c r="AH147" i="51" s="1"/>
  <c r="N129" i="51"/>
  <c r="AH129" i="51" s="1"/>
  <c r="N160" i="51"/>
  <c r="AH160" i="51" s="1"/>
  <c r="N139" i="51"/>
  <c r="AH139" i="51" s="1"/>
  <c r="N117" i="68"/>
  <c r="N139" i="68"/>
  <c r="N143" i="51"/>
  <c r="AH143" i="51" s="1"/>
  <c r="N115" i="51"/>
  <c r="AH115" i="51" s="1"/>
  <c r="N134" i="51"/>
  <c r="AH134" i="51" s="1"/>
  <c r="N235" i="68"/>
  <c r="N274" i="68"/>
  <c r="N203" i="68"/>
  <c r="N96" i="51"/>
  <c r="AH96" i="51" s="1"/>
  <c r="N36" i="51"/>
  <c r="AH36" i="51" s="1"/>
  <c r="N209" i="68"/>
  <c r="N268" i="51"/>
  <c r="AH268" i="51" s="1"/>
  <c r="N307" i="51"/>
  <c r="AH307" i="51" s="1"/>
  <c r="N306" i="68"/>
  <c r="N174" i="51"/>
  <c r="AH174" i="51" s="1"/>
  <c r="N218" i="68"/>
  <c r="N92" i="51"/>
  <c r="AH92" i="51" s="1"/>
  <c r="N192" i="68"/>
  <c r="N146" i="51"/>
  <c r="AH146" i="51" s="1"/>
  <c r="N58" i="68"/>
  <c r="N243" i="51"/>
  <c r="AH243" i="51" s="1"/>
  <c r="N213" i="68"/>
  <c r="N165" i="51"/>
  <c r="AH165" i="51" s="1"/>
  <c r="N133" i="51"/>
  <c r="AH133" i="51" s="1"/>
  <c r="N185" i="51"/>
  <c r="AH185" i="51" s="1"/>
  <c r="N270" i="68"/>
  <c r="N102" i="51"/>
  <c r="AH102" i="51" s="1"/>
  <c r="N203" i="51"/>
  <c r="AH203" i="51" s="1"/>
  <c r="N135" i="51"/>
  <c r="AH135" i="51" s="1"/>
  <c r="N122" i="51"/>
  <c r="AH122" i="51" s="1"/>
  <c r="N73" i="51"/>
  <c r="AH73" i="51" s="1"/>
  <c r="N141" i="51"/>
  <c r="AH141" i="51" s="1"/>
  <c r="N161" i="68"/>
  <c r="N86" i="68"/>
  <c r="N282" i="51"/>
  <c r="AH282" i="51" s="1"/>
  <c r="N264" i="68"/>
  <c r="N288" i="51"/>
  <c r="AH288" i="51" s="1"/>
  <c r="N75" i="51"/>
  <c r="AH75" i="51" s="1"/>
  <c r="N193" i="51"/>
  <c r="AH193" i="51" s="1"/>
  <c r="N45" i="51"/>
  <c r="AH45" i="51" s="1"/>
  <c r="N230" i="51"/>
  <c r="AH230" i="51" s="1"/>
  <c r="N224" i="51"/>
  <c r="AH224" i="51" s="1"/>
  <c r="N302" i="51"/>
  <c r="AH302" i="51" s="1"/>
  <c r="N121" i="51"/>
  <c r="AH121" i="51" s="1"/>
  <c r="N40" i="51"/>
  <c r="AH40" i="51" s="1"/>
  <c r="AG302" i="57"/>
  <c r="AG206" i="57"/>
  <c r="N294" i="51"/>
  <c r="AH294" i="51" s="1"/>
  <c r="AG129" i="57"/>
  <c r="N136" i="68"/>
  <c r="N206" i="51"/>
  <c r="AH206" i="51" s="1"/>
  <c r="N523" i="47"/>
  <c r="U81" i="66"/>
  <c r="AQ81" i="66" s="1"/>
  <c r="BA81" i="66"/>
  <c r="N202" i="51"/>
  <c r="AH202" i="51" s="1"/>
  <c r="N237" i="68"/>
  <c r="AG275" i="57"/>
  <c r="N282" i="68"/>
  <c r="AG229" i="57"/>
  <c r="AG230" i="57"/>
  <c r="N236" i="68"/>
  <c r="N128" i="68"/>
  <c r="J85" i="66"/>
  <c r="BA85" i="66" s="1"/>
  <c r="U83" i="66"/>
  <c r="AQ83" i="66" s="1"/>
  <c r="AG165" i="57"/>
  <c r="AG80" i="66"/>
  <c r="BA80" i="66"/>
  <c r="BA78" i="66"/>
  <c r="N148" i="68"/>
  <c r="N82" i="68"/>
  <c r="AG294" i="57"/>
  <c r="N614" i="47"/>
  <c r="BA83" i="66"/>
  <c r="AG121" i="57"/>
  <c r="N172" i="68"/>
  <c r="AG139" i="57"/>
  <c r="BA82" i="66"/>
  <c r="N146" i="68"/>
  <c r="N80" i="68"/>
  <c r="AG122" i="57"/>
  <c r="N295" i="68"/>
  <c r="AG282" i="57"/>
  <c r="N517" i="47"/>
  <c r="AG141" i="57"/>
  <c r="AG73" i="57"/>
  <c r="AG288" i="57"/>
  <c r="N141" i="68"/>
  <c r="N289" i="68"/>
  <c r="AG134" i="57"/>
  <c r="N129" i="68"/>
  <c r="AG135" i="57"/>
  <c r="AG9" i="47"/>
  <c r="N364" i="47"/>
  <c r="AZ97" i="66"/>
  <c r="N476" i="47"/>
  <c r="N456" i="47"/>
  <c r="N568" i="47"/>
  <c r="N405" i="47"/>
  <c r="N564" i="47"/>
  <c r="N452" i="47"/>
  <c r="N210" i="68"/>
  <c r="AG203" i="57"/>
  <c r="N309" i="68"/>
  <c r="T97" i="66"/>
  <c r="AP97" i="66" s="1"/>
  <c r="N43" i="51"/>
  <c r="AH43" i="51" s="1"/>
  <c r="N167" i="68"/>
  <c r="AG160" i="57"/>
  <c r="J6" i="66"/>
  <c r="AG6" i="66" s="1"/>
  <c r="N250" i="68"/>
  <c r="AG243" i="57"/>
  <c r="N166" i="51"/>
  <c r="AH166" i="51" s="1"/>
  <c r="AG166" i="57"/>
  <c r="N173" i="68"/>
  <c r="AG10" i="47"/>
  <c r="N306" i="51"/>
  <c r="AH306" i="51" s="1"/>
  <c r="N313" i="68"/>
  <c r="AG306" i="57"/>
  <c r="N151" i="51"/>
  <c r="AH151" i="51" s="1"/>
  <c r="N158" i="68"/>
  <c r="AG151" i="57"/>
  <c r="N240" i="68"/>
  <c r="N233" i="51"/>
  <c r="AH233" i="51" s="1"/>
  <c r="AG233" i="57"/>
  <c r="J9" i="66"/>
  <c r="AG9" i="66" s="1"/>
  <c r="N300" i="51"/>
  <c r="AH300" i="51" s="1"/>
  <c r="N307" i="68"/>
  <c r="AG300" i="57"/>
  <c r="N155" i="51"/>
  <c r="AH155" i="51" s="1"/>
  <c r="AG155" i="57"/>
  <c r="N162" i="68"/>
  <c r="N116" i="68"/>
  <c r="AG109" i="57"/>
  <c r="N109" i="51"/>
  <c r="AH109" i="51" s="1"/>
  <c r="AG27" i="57"/>
  <c r="N27" i="51"/>
  <c r="AH27" i="51" s="1"/>
  <c r="N34" i="68"/>
  <c r="N7" i="57"/>
  <c r="N273" i="51"/>
  <c r="AH273" i="51" s="1"/>
  <c r="N280" i="68"/>
  <c r="AG273" i="57"/>
  <c r="N291" i="51"/>
  <c r="AH291" i="51" s="1"/>
  <c r="AG291" i="57"/>
  <c r="N298" i="68"/>
  <c r="N195" i="68"/>
  <c r="AG188" i="57"/>
  <c r="N188" i="51"/>
  <c r="AH188" i="51" s="1"/>
  <c r="N232" i="68"/>
  <c r="N225" i="51"/>
  <c r="AH225" i="51" s="1"/>
  <c r="AG225" i="57"/>
  <c r="J11" i="66"/>
  <c r="N177" i="51"/>
  <c r="AH177" i="51" s="1"/>
  <c r="N184" i="68"/>
  <c r="AG177" i="57"/>
  <c r="N13" i="57"/>
  <c r="N13" i="51" s="1"/>
  <c r="AX10" i="47"/>
  <c r="AX9" i="47"/>
  <c r="N303" i="51"/>
  <c r="AH303" i="51" s="1"/>
  <c r="N310" i="68"/>
  <c r="AG303" i="57"/>
  <c r="N312" i="68"/>
  <c r="AG305" i="57"/>
  <c r="N305" i="51"/>
  <c r="AH305" i="51" s="1"/>
  <c r="N63" i="51"/>
  <c r="AH63" i="51" s="1"/>
  <c r="N70" i="68"/>
  <c r="AG63" i="57"/>
  <c r="AG85" i="66"/>
  <c r="J10" i="66"/>
  <c r="U10" i="66" s="1"/>
  <c r="AQ10" i="66" s="1"/>
  <c r="N170" i="51"/>
  <c r="AH170" i="51" s="1"/>
  <c r="N177" i="68"/>
  <c r="AG170" i="57"/>
  <c r="J7" i="66"/>
  <c r="AG7" i="66" s="1"/>
  <c r="N173" i="51"/>
  <c r="AH173" i="51" s="1"/>
  <c r="AG173" i="57"/>
  <c r="N180" i="68"/>
  <c r="J8" i="66"/>
  <c r="U8" i="66" s="1"/>
  <c r="AQ8" i="66" s="1"/>
  <c r="N130" i="51"/>
  <c r="AH130" i="51" s="1"/>
  <c r="N137" i="68"/>
  <c r="AG130" i="57"/>
  <c r="N183" i="68"/>
  <c r="AG176" i="57"/>
  <c r="N176" i="51"/>
  <c r="AH176" i="51" s="1"/>
  <c r="AG223" i="57"/>
  <c r="N223" i="51"/>
  <c r="AH223" i="51" s="1"/>
  <c r="N230" i="68"/>
  <c r="N244" i="51"/>
  <c r="AH244" i="51" s="1"/>
  <c r="N251" i="68"/>
  <c r="AG244" i="57"/>
  <c r="N73" i="68"/>
  <c r="N66" i="51"/>
  <c r="AG66" i="57"/>
  <c r="N39" i="51"/>
  <c r="AH39" i="51" s="1"/>
  <c r="AG39" i="57"/>
  <c r="N46" i="68"/>
  <c r="N80" i="51"/>
  <c r="AH80" i="51" s="1"/>
  <c r="AG80" i="57"/>
  <c r="N87" i="68"/>
  <c r="N267" i="68"/>
  <c r="N260" i="51"/>
  <c r="AH260" i="51" s="1"/>
  <c r="AG260" i="57"/>
  <c r="N149" i="51"/>
  <c r="AH149" i="51" s="1"/>
  <c r="N156" i="68"/>
  <c r="AG149" i="57"/>
  <c r="N237" i="51"/>
  <c r="AH237" i="51" s="1"/>
  <c r="N244" i="68"/>
  <c r="AG237" i="57"/>
  <c r="N120" i="51"/>
  <c r="AH120" i="51" s="1"/>
  <c r="N127" i="68"/>
  <c r="AG120" i="57"/>
  <c r="N113" i="51"/>
  <c r="AH113" i="51" s="1"/>
  <c r="AG113" i="57"/>
  <c r="N120" i="68"/>
  <c r="N91" i="51"/>
  <c r="AH91" i="51" s="1"/>
  <c r="AG91" i="57"/>
  <c r="N98" i="68"/>
  <c r="AG184" i="57"/>
  <c r="N184" i="51"/>
  <c r="AH184" i="51" s="1"/>
  <c r="N191" i="68"/>
  <c r="N72" i="51"/>
  <c r="AH72" i="51" s="1"/>
  <c r="N79" i="68"/>
  <c r="AG72" i="57"/>
  <c r="N272" i="51"/>
  <c r="AH272" i="51" s="1"/>
  <c r="AG272" i="57"/>
  <c r="N279" i="68"/>
  <c r="N24" i="51"/>
  <c r="N31" i="68"/>
  <c r="AG24" i="57"/>
  <c r="N164" i="51"/>
  <c r="AH164" i="51" s="1"/>
  <c r="N171" i="68"/>
  <c r="AG164" i="57"/>
  <c r="AG82" i="66"/>
  <c r="U82" i="66"/>
  <c r="AQ82" i="66" s="1"/>
  <c r="N252" i="51"/>
  <c r="AH252" i="51" s="1"/>
  <c r="N259" i="68"/>
  <c r="AG252" i="57"/>
  <c r="BA84" i="66"/>
  <c r="U84" i="66"/>
  <c r="AQ84" i="66" s="1"/>
  <c r="AG84" i="66"/>
  <c r="N293" i="51"/>
  <c r="AH293" i="51" s="1"/>
  <c r="AG293" i="57"/>
  <c r="N300" i="68"/>
  <c r="AG43" i="57"/>
  <c r="AG102" i="57"/>
  <c r="N117" i="51"/>
  <c r="AH117" i="51" s="1"/>
  <c r="N124" i="68"/>
  <c r="AG117" i="57"/>
  <c r="AG116" i="57"/>
  <c r="N123" i="68"/>
  <c r="N116" i="51"/>
  <c r="AH116" i="51" s="1"/>
  <c r="N242" i="51"/>
  <c r="AH242" i="51" s="1"/>
  <c r="AG242" i="57"/>
  <c r="N249" i="68"/>
  <c r="N259" i="51"/>
  <c r="AH259" i="51" s="1"/>
  <c r="AG259" i="57"/>
  <c r="N266" i="68"/>
  <c r="N283" i="51"/>
  <c r="AH283" i="51" s="1"/>
  <c r="N290" i="68"/>
  <c r="AG283" i="57"/>
  <c r="N17" i="51"/>
  <c r="AH17" i="51" s="1"/>
  <c r="N24" i="68"/>
  <c r="AG17" i="57"/>
  <c r="N111" i="51"/>
  <c r="AH111" i="51" s="1"/>
  <c r="AG111" i="57"/>
  <c r="N118" i="68"/>
  <c r="AG34" i="57"/>
  <c r="N34" i="51"/>
  <c r="AH34" i="51" s="1"/>
  <c r="N41" i="68"/>
  <c r="N87" i="51"/>
  <c r="AH87" i="51" s="1"/>
  <c r="AG87" i="57"/>
  <c r="N94" i="68"/>
  <c r="N94" i="51"/>
  <c r="AH94" i="51" s="1"/>
  <c r="N101" i="68"/>
  <c r="AG94" i="57"/>
  <c r="N281" i="51"/>
  <c r="AH281" i="51" s="1"/>
  <c r="N288" i="68"/>
  <c r="AG281" i="57"/>
  <c r="N21" i="51"/>
  <c r="AH21" i="51" s="1"/>
  <c r="AG21" i="57"/>
  <c r="N28" i="68"/>
  <c r="N84" i="51"/>
  <c r="AH84" i="51" s="1"/>
  <c r="AG84" i="57"/>
  <c r="N91" i="68"/>
  <c r="AG158" i="57"/>
  <c r="N165" i="68"/>
  <c r="N158" i="51"/>
  <c r="AH158" i="51" s="1"/>
  <c r="AG192" i="57"/>
  <c r="N192" i="51"/>
  <c r="AH192" i="51" s="1"/>
  <c r="N199" i="68"/>
  <c r="N194" i="68"/>
  <c r="N187" i="51"/>
  <c r="AH187" i="51" s="1"/>
  <c r="AG187" i="57"/>
  <c r="N215" i="51"/>
  <c r="AH215" i="51" s="1"/>
  <c r="N222" i="68"/>
  <c r="AG215" i="57"/>
  <c r="N222" i="51"/>
  <c r="AH222" i="51" s="1"/>
  <c r="N229" i="68"/>
  <c r="AG222" i="57"/>
  <c r="N261" i="51"/>
  <c r="AH261" i="51" s="1"/>
  <c r="AG261" i="57"/>
  <c r="N268" i="68"/>
  <c r="N74" i="51"/>
  <c r="AH74" i="51" s="1"/>
  <c r="AG74" i="57"/>
  <c r="N81" i="68"/>
  <c r="N62" i="51"/>
  <c r="AH62" i="51" s="1"/>
  <c r="AG62" i="57"/>
  <c r="N69" i="68"/>
  <c r="N227" i="51"/>
  <c r="AH227" i="51" s="1"/>
  <c r="N234" i="68"/>
  <c r="AG227" i="57"/>
  <c r="N42" i="51"/>
  <c r="AH42" i="51" s="1"/>
  <c r="AG42" i="57"/>
  <c r="N49" i="68"/>
  <c r="N213" i="51"/>
  <c r="AH213" i="51" s="1"/>
  <c r="AG213" i="57"/>
  <c r="N220" i="68"/>
  <c r="N283" i="68"/>
  <c r="AG276" i="57"/>
  <c r="N276" i="51"/>
  <c r="AH276" i="51" s="1"/>
  <c r="N137" i="51"/>
  <c r="AH137" i="51" s="1"/>
  <c r="N144" i="68"/>
  <c r="AG137" i="57"/>
  <c r="N52" i="51"/>
  <c r="AH52" i="51" s="1"/>
  <c r="AG52" i="57"/>
  <c r="N59" i="68"/>
  <c r="N248" i="51"/>
  <c r="AH248" i="51" s="1"/>
  <c r="AG248" i="57"/>
  <c r="N255" i="68"/>
  <c r="N89" i="51"/>
  <c r="AH89" i="51" s="1"/>
  <c r="AG89" i="57"/>
  <c r="N96" i="68"/>
  <c r="N147" i="68"/>
  <c r="AG140" i="57"/>
  <c r="N140" i="51"/>
  <c r="AH140" i="51" s="1"/>
  <c r="N195" i="51"/>
  <c r="AH195" i="51" s="1"/>
  <c r="N202" i="68"/>
  <c r="AG195" i="57"/>
  <c r="N404" i="47"/>
  <c r="U79" i="66"/>
  <c r="AQ79" i="66" s="1"/>
  <c r="BA79" i="66"/>
  <c r="N88" i="51"/>
  <c r="AH88" i="51" s="1"/>
  <c r="N95" i="68"/>
  <c r="AG88" i="57"/>
  <c r="N278" i="51"/>
  <c r="AH278" i="51" s="1"/>
  <c r="AG278" i="57"/>
  <c r="N285" i="68"/>
  <c r="N54" i="51"/>
  <c r="AH54" i="51" s="1"/>
  <c r="AG54" i="57"/>
  <c r="N61" i="68"/>
  <c r="N157" i="51"/>
  <c r="AH157" i="51" s="1"/>
  <c r="AG157" i="57"/>
  <c r="N164" i="68"/>
  <c r="N181" i="51"/>
  <c r="AH181" i="51" s="1"/>
  <c r="N188" i="68"/>
  <c r="AG181" i="57"/>
  <c r="N180" i="51"/>
  <c r="AH180" i="51" s="1"/>
  <c r="N187" i="68"/>
  <c r="AG180" i="57"/>
  <c r="N216" i="51"/>
  <c r="AH216" i="51" s="1"/>
  <c r="AG216" i="57"/>
  <c r="N223" i="68"/>
  <c r="N240" i="51"/>
  <c r="AH240" i="51" s="1"/>
  <c r="AG240" i="57"/>
  <c r="N247" i="68"/>
  <c r="N287" i="51"/>
  <c r="AH287" i="51" s="1"/>
  <c r="N294" i="68"/>
  <c r="AG287" i="57"/>
  <c r="N311" i="68"/>
  <c r="AG304" i="57"/>
  <c r="N304" i="51"/>
  <c r="AH304" i="51" s="1"/>
  <c r="N258" i="51"/>
  <c r="AH258" i="51" s="1"/>
  <c r="AG258" i="57"/>
  <c r="N265" i="68"/>
  <c r="N56" i="51"/>
  <c r="AH56" i="51" s="1"/>
  <c r="N63" i="68"/>
  <c r="AG56" i="57"/>
  <c r="N103" i="51"/>
  <c r="AH103" i="51" s="1"/>
  <c r="AG103" i="57"/>
  <c r="N110" i="68"/>
  <c r="AG97" i="57"/>
  <c r="N97" i="51"/>
  <c r="AH97" i="51" s="1"/>
  <c r="N104" i="68"/>
  <c r="N236" i="51"/>
  <c r="AH236" i="51" s="1"/>
  <c r="N243" i="68"/>
  <c r="AG236" i="57"/>
  <c r="N125" i="51"/>
  <c r="AH125" i="51" s="1"/>
  <c r="AG125" i="57"/>
  <c r="N132" i="68"/>
  <c r="AG126" i="57"/>
  <c r="N126" i="51"/>
  <c r="AH126" i="51" s="1"/>
  <c r="N133" i="68"/>
  <c r="N138" i="68"/>
  <c r="AG131" i="57"/>
  <c r="N131" i="51"/>
  <c r="AH131" i="51" s="1"/>
  <c r="N298" i="51"/>
  <c r="AH298" i="51" s="1"/>
  <c r="N305" i="68"/>
  <c r="AG298" i="57"/>
  <c r="N369" i="47"/>
  <c r="N358" i="47"/>
  <c r="AG136" i="57"/>
  <c r="N143" i="68"/>
  <c r="N136" i="51"/>
  <c r="AH136" i="51" s="1"/>
  <c r="N194" i="51"/>
  <c r="AH194" i="51" s="1"/>
  <c r="AG194" i="57"/>
  <c r="N201" i="68"/>
  <c r="N65" i="68"/>
  <c r="AG58" i="57"/>
  <c r="N58" i="51"/>
  <c r="AH58" i="51" s="1"/>
  <c r="AG153" i="57"/>
  <c r="N160" i="68"/>
  <c r="N153" i="51"/>
  <c r="AH153" i="51" s="1"/>
  <c r="N83" i="51"/>
  <c r="AH83" i="51" s="1"/>
  <c r="AG83" i="57"/>
  <c r="N90" i="68"/>
  <c r="N69" i="51"/>
  <c r="AH69" i="51" s="1"/>
  <c r="N76" i="68"/>
  <c r="AG69" i="57"/>
  <c r="N264" i="51"/>
  <c r="AH264" i="51" s="1"/>
  <c r="N271" i="68"/>
  <c r="AG264" i="57"/>
  <c r="N105" i="51"/>
  <c r="AH105" i="51" s="1"/>
  <c r="AG105" i="57"/>
  <c r="N112" i="68"/>
  <c r="N138" i="51"/>
  <c r="AH138" i="51" s="1"/>
  <c r="AG138" i="57"/>
  <c r="N145" i="68"/>
  <c r="N182" i="51"/>
  <c r="AH182" i="51" s="1"/>
  <c r="N189" i="68"/>
  <c r="AG182" i="57"/>
  <c r="N285" i="51"/>
  <c r="AH285" i="51" s="1"/>
  <c r="N292" i="68"/>
  <c r="AG285" i="57"/>
  <c r="N277" i="68"/>
  <c r="N270" i="51"/>
  <c r="AH270" i="51" s="1"/>
  <c r="AG270" i="57"/>
  <c r="N210" i="51"/>
  <c r="AH210" i="51" s="1"/>
  <c r="N217" i="68"/>
  <c r="AG210" i="57"/>
  <c r="N85" i="51"/>
  <c r="AH85" i="51" s="1"/>
  <c r="AG85" i="57"/>
  <c r="N92" i="68"/>
  <c r="N148" i="51"/>
  <c r="AH148" i="51" s="1"/>
  <c r="AG148" i="57"/>
  <c r="N155" i="68"/>
  <c r="N22" i="68"/>
  <c r="AG15" i="57"/>
  <c r="N15" i="51"/>
  <c r="AH15" i="51" s="1"/>
  <c r="N297" i="68"/>
  <c r="AG290" i="57"/>
  <c r="N290" i="51"/>
  <c r="AH290" i="51" s="1"/>
  <c r="N144" i="51"/>
  <c r="AH144" i="51" s="1"/>
  <c r="AG144" i="57"/>
  <c r="N151" i="68"/>
  <c r="AG255" i="57"/>
  <c r="N255" i="51"/>
  <c r="AH255" i="51" s="1"/>
  <c r="N262" i="68"/>
  <c r="N124" i="51"/>
  <c r="AH124" i="51" s="1"/>
  <c r="AG124" i="57"/>
  <c r="N131" i="68"/>
  <c r="N241" i="68"/>
  <c r="AG234" i="57"/>
  <c r="N234" i="51"/>
  <c r="AH234" i="51" s="1"/>
  <c r="N55" i="51"/>
  <c r="AH55" i="51" s="1"/>
  <c r="AG55" i="57"/>
  <c r="N62" i="68"/>
  <c r="N100" i="51"/>
  <c r="AH100" i="51" s="1"/>
  <c r="AG100" i="57"/>
  <c r="N107" i="68"/>
  <c r="N150" i="51"/>
  <c r="AH150" i="51" s="1"/>
  <c r="AG150" i="57"/>
  <c r="N157" i="68"/>
  <c r="AG48" i="57"/>
  <c r="N48" i="51"/>
  <c r="AH48" i="51" s="1"/>
  <c r="N55" i="68"/>
  <c r="AG253" i="57"/>
  <c r="N253" i="51"/>
  <c r="AH253" i="51" s="1"/>
  <c r="N260" i="68"/>
  <c r="O5" i="47"/>
  <c r="N518" i="47"/>
  <c r="N583" i="47"/>
  <c r="N330" i="47"/>
  <c r="N576" i="47"/>
  <c r="N546" i="47"/>
  <c r="N587" i="47"/>
  <c r="N555" i="47"/>
  <c r="N543" i="47"/>
  <c r="N347" i="47"/>
  <c r="N573" i="47"/>
  <c r="N596" i="47"/>
  <c r="N360" i="47"/>
  <c r="N547" i="47"/>
  <c r="N474" i="47"/>
  <c r="N398" i="47"/>
  <c r="N386" i="47"/>
  <c r="N561" i="47"/>
  <c r="N375" i="47"/>
  <c r="N340" i="47"/>
  <c r="N550" i="47"/>
  <c r="N444" i="47"/>
  <c r="N334" i="47"/>
  <c r="N503" i="47"/>
  <c r="N412" i="47"/>
  <c r="N417" i="47"/>
  <c r="N382" i="47"/>
  <c r="N505" i="47"/>
  <c r="N533" i="47"/>
  <c r="N469" i="47"/>
  <c r="N540" i="47"/>
  <c r="N528" i="47"/>
  <c r="N513" i="47"/>
  <c r="N620" i="47"/>
  <c r="N439" i="47"/>
  <c r="N388" i="47"/>
  <c r="N616" i="47"/>
  <c r="N553" i="47"/>
  <c r="N562" i="47"/>
  <c r="N548" i="47"/>
  <c r="N390" i="47"/>
  <c r="N336" i="47"/>
  <c r="N448" i="47"/>
  <c r="N623" i="47"/>
  <c r="N366" i="47"/>
  <c r="N477" i="47"/>
  <c r="N384" i="47"/>
  <c r="N332" i="47"/>
  <c r="N558" i="47"/>
  <c r="N602" i="47"/>
  <c r="N376" i="47"/>
  <c r="N507" i="47"/>
  <c r="N478" i="47"/>
  <c r="N522" i="47"/>
  <c r="N335" i="47"/>
  <c r="N488" i="47"/>
  <c r="N381" i="47"/>
  <c r="N385" i="47"/>
  <c r="N350" i="47"/>
  <c r="N500" i="47"/>
  <c r="N580" i="47"/>
  <c r="N397" i="47"/>
  <c r="N496" i="47"/>
  <c r="N342" i="47"/>
  <c r="N593" i="47"/>
  <c r="N410" i="47"/>
  <c r="N556" i="47"/>
  <c r="N374" i="47"/>
  <c r="N432" i="47"/>
  <c r="N607" i="47"/>
  <c r="N380" i="47"/>
  <c r="N378" i="47"/>
  <c r="N515" i="47"/>
  <c r="AG13" i="47"/>
  <c r="AX13" i="47" s="1"/>
  <c r="N455" i="47"/>
  <c r="N509" i="47"/>
  <c r="N613" i="47"/>
  <c r="N606" i="47"/>
  <c r="N426" i="47"/>
  <c r="N473" i="47"/>
  <c r="N470" i="47"/>
  <c r="N422" i="47"/>
  <c r="N493" i="47"/>
  <c r="N416" i="47"/>
  <c r="N407" i="47"/>
  <c r="N10" i="47"/>
  <c r="N392" i="47"/>
  <c r="N560" i="47"/>
  <c r="N413" i="47"/>
  <c r="N481" i="47"/>
  <c r="N537" i="47"/>
  <c r="N337" i="47"/>
  <c r="N383" i="47"/>
  <c r="N372" i="47"/>
  <c r="N501" i="47"/>
  <c r="N588" i="47"/>
  <c r="N504" i="47"/>
  <c r="N577" i="47"/>
  <c r="N575" i="47"/>
  <c r="N355" i="47"/>
  <c r="N508" i="47"/>
  <c r="N599" i="47"/>
  <c r="N480" i="47"/>
  <c r="N428" i="47"/>
  <c r="N572" i="47"/>
  <c r="N361" i="47"/>
  <c r="N463" i="47"/>
  <c r="N619" i="47"/>
  <c r="N541" i="47"/>
  <c r="N447" i="47"/>
  <c r="N424" i="47"/>
  <c r="N489" i="47"/>
  <c r="N490" i="47"/>
  <c r="N519" i="47"/>
  <c r="N609" i="47"/>
  <c r="N542" i="47"/>
  <c r="N443" i="47"/>
  <c r="N377" i="47"/>
  <c r="N499" i="47"/>
  <c r="N565" i="47"/>
  <c r="N425" i="47"/>
  <c r="N622" i="47"/>
  <c r="N554" i="47"/>
  <c r="N408" i="47"/>
  <c r="N391" i="47"/>
  <c r="N484" i="47"/>
  <c r="N394" i="47"/>
  <c r="N460" i="47"/>
  <c r="N566" i="47"/>
  <c r="N354" i="47"/>
  <c r="N462" i="47"/>
  <c r="N373" i="47"/>
  <c r="N370" i="47"/>
  <c r="N461" i="47"/>
  <c r="N464" i="47"/>
  <c r="N349" i="47"/>
  <c r="N590" i="47"/>
  <c r="N527" i="47"/>
  <c r="N459" i="47"/>
  <c r="N454" i="47"/>
  <c r="N514" i="47"/>
  <c r="N549" i="47"/>
  <c r="N529" i="47"/>
  <c r="N512" i="47"/>
  <c r="N551" i="47"/>
  <c r="N338" i="47"/>
  <c r="N520" i="47"/>
  <c r="N603" i="47"/>
  <c r="N589" i="47"/>
  <c r="N567" i="47"/>
  <c r="N345" i="47"/>
  <c r="N495" i="47"/>
  <c r="N621" i="47"/>
  <c r="N379" i="47"/>
  <c r="N524" i="47"/>
  <c r="N617" i="47"/>
  <c r="N341" i="47"/>
  <c r="N600" i="47"/>
  <c r="N399" i="47"/>
  <c r="N612" i="47"/>
  <c r="N445" i="47"/>
  <c r="N359" i="47"/>
  <c r="N511" i="47"/>
  <c r="N362" i="47"/>
  <c r="N574" i="47"/>
  <c r="N411" i="47"/>
  <c r="N581" i="47"/>
  <c r="N598" i="47"/>
  <c r="N591" i="47"/>
  <c r="N532" i="47"/>
  <c r="N472" i="47"/>
  <c r="N403" i="47"/>
  <c r="N465" i="47"/>
  <c r="N453" i="47"/>
  <c r="N545" i="47"/>
  <c r="N592" i="47"/>
  <c r="N466" i="47"/>
  <c r="N491" i="47"/>
  <c r="N458" i="47"/>
  <c r="N365" i="47"/>
  <c r="N526" i="47"/>
  <c r="N595" i="47"/>
  <c r="N442" i="47"/>
  <c r="N578" i="47"/>
  <c r="N468" i="47"/>
  <c r="N396" i="47"/>
  <c r="N401" i="47"/>
  <c r="N552" i="47"/>
  <c r="N584" i="47"/>
  <c r="N516" i="47"/>
  <c r="N449" i="47"/>
  <c r="N494" i="47"/>
  <c r="N485" i="47"/>
  <c r="N343" i="47"/>
  <c r="N400" i="47"/>
  <c r="N467" i="47"/>
  <c r="N482" i="47"/>
  <c r="N395" i="47"/>
  <c r="N534" i="47"/>
  <c r="N586" i="47"/>
  <c r="N475" i="47"/>
  <c r="N579" i="47"/>
  <c r="N471" i="47"/>
  <c r="N604" i="47"/>
  <c r="N544" i="47"/>
  <c r="N487" i="47"/>
  <c r="N506" i="47"/>
  <c r="N421" i="47"/>
  <c r="N415" i="47"/>
  <c r="N357" i="47"/>
  <c r="N563" i="47"/>
  <c r="N420" i="47"/>
  <c r="N539" i="47"/>
  <c r="N367" i="47"/>
  <c r="N356" i="47"/>
  <c r="N610" i="47"/>
  <c r="N389" i="47"/>
  <c r="N538" i="47"/>
  <c r="N615" i="47"/>
  <c r="N571" i="47"/>
  <c r="N594" i="47"/>
  <c r="N559" i="47"/>
  <c r="N414" i="47"/>
  <c r="N502" i="47"/>
  <c r="N618" i="47"/>
  <c r="N433" i="47"/>
  <c r="N11" i="47"/>
  <c r="N406" i="47"/>
  <c r="N536" i="47"/>
  <c r="N438" i="47"/>
  <c r="N393" i="47"/>
  <c r="N351" i="47"/>
  <c r="N608" i="47"/>
  <c r="N450" i="47"/>
  <c r="N333" i="47"/>
  <c r="N570" i="47"/>
  <c r="N525" i="47"/>
  <c r="N344" i="47"/>
  <c r="N435" i="47"/>
  <c r="N431" i="47"/>
  <c r="N437" i="47"/>
  <c r="N582" i="47"/>
  <c r="N569" i="47"/>
  <c r="N597" i="47"/>
  <c r="N451" i="47"/>
  <c r="N497" i="47"/>
  <c r="N486" i="47"/>
  <c r="N352" i="47"/>
  <c r="N479" i="47"/>
  <c r="N531" i="47"/>
  <c r="N423" i="47"/>
  <c r="N387" i="47"/>
  <c r="N601" i="47"/>
  <c r="N498" i="47"/>
  <c r="N434" i="47"/>
  <c r="N429" i="47"/>
  <c r="N371" i="47"/>
  <c r="N328" i="47"/>
  <c r="N530" i="47"/>
  <c r="N418" i="47"/>
  <c r="N605" i="47"/>
  <c r="N427" i="47"/>
  <c r="N363" i="47"/>
  <c r="N368" i="47"/>
  <c r="N339" i="47"/>
  <c r="N346" i="47"/>
  <c r="N441" i="47"/>
  <c r="N446" i="47"/>
  <c r="N492" i="47"/>
  <c r="N436" i="47"/>
  <c r="N440" i="47"/>
  <c r="N402" i="47"/>
  <c r="N585" i="47"/>
  <c r="N535" i="47"/>
  <c r="N331" i="47"/>
  <c r="N353" i="47"/>
  <c r="N483" i="47"/>
  <c r="N419" i="47"/>
  <c r="N521" i="47"/>
  <c r="N348" i="47"/>
  <c r="N611" i="47"/>
  <c r="AG183" i="57"/>
  <c r="N190" i="68"/>
  <c r="N183" i="51"/>
  <c r="AH183" i="51" s="1"/>
  <c r="N93" i="51"/>
  <c r="AH93" i="51" s="1"/>
  <c r="N100" i="68"/>
  <c r="AG93" i="57"/>
  <c r="N557" i="47"/>
  <c r="N149" i="68"/>
  <c r="N142" i="51"/>
  <c r="AH142" i="51" s="1"/>
  <c r="AG142" i="57"/>
  <c r="N23" i="51"/>
  <c r="AH23" i="51" s="1"/>
  <c r="N30" i="68"/>
  <c r="AG23" i="57"/>
  <c r="N30" i="51"/>
  <c r="AH30" i="51" s="1"/>
  <c r="AG30" i="57"/>
  <c r="N37" i="68"/>
  <c r="AG44" i="57"/>
  <c r="N44" i="51"/>
  <c r="AH44" i="51" s="1"/>
  <c r="N51" i="68"/>
  <c r="N35" i="51"/>
  <c r="AH35" i="51" s="1"/>
  <c r="N42" i="68"/>
  <c r="AG35" i="57"/>
  <c r="N81" i="51"/>
  <c r="AH81" i="51" s="1"/>
  <c r="N88" i="68"/>
  <c r="AG81" i="57"/>
  <c r="N16" i="51"/>
  <c r="AH16" i="51" s="1"/>
  <c r="N23" i="68"/>
  <c r="AG16" i="57"/>
  <c r="N99" i="51"/>
  <c r="AH99" i="51" s="1"/>
  <c r="AG99" i="57"/>
  <c r="N106" i="68"/>
  <c r="N145" i="51"/>
  <c r="AH145" i="51" s="1"/>
  <c r="N152" i="68"/>
  <c r="AG145" i="57"/>
  <c r="N239" i="51"/>
  <c r="AH239" i="51" s="1"/>
  <c r="AG239" i="57"/>
  <c r="N246" i="68"/>
  <c r="N226" i="51"/>
  <c r="AH226" i="51" s="1"/>
  <c r="N233" i="68"/>
  <c r="AG226" i="57"/>
  <c r="N179" i="68"/>
  <c r="AG172" i="57"/>
  <c r="N172" i="51"/>
  <c r="AH172" i="51" s="1"/>
  <c r="N256" i="51"/>
  <c r="AH256" i="51" s="1"/>
  <c r="AG256" i="57"/>
  <c r="N263" i="68"/>
  <c r="N297" i="51"/>
  <c r="AH297" i="51" s="1"/>
  <c r="N304" i="68"/>
  <c r="AG297" i="57"/>
  <c r="N49" i="51"/>
  <c r="AH49" i="51" s="1"/>
  <c r="N56" i="68"/>
  <c r="AG49" i="57"/>
  <c r="N86" i="51"/>
  <c r="AH86" i="51" s="1"/>
  <c r="N93" i="68"/>
  <c r="AG86" i="57"/>
  <c r="N286" i="51"/>
  <c r="AH286" i="51" s="1"/>
  <c r="N293" i="68"/>
  <c r="AG286" i="57"/>
  <c r="N50" i="51"/>
  <c r="AH50" i="51" s="1"/>
  <c r="N57" i="68"/>
  <c r="AG50" i="57"/>
  <c r="AG189" i="57"/>
  <c r="N196" i="68"/>
  <c r="N189" i="51"/>
  <c r="AH189" i="51" s="1"/>
  <c r="N231" i="51"/>
  <c r="AH231" i="51" s="1"/>
  <c r="AG231" i="57"/>
  <c r="N238" i="68"/>
  <c r="N277" i="51"/>
  <c r="AH277" i="51" s="1"/>
  <c r="AG277" i="57"/>
  <c r="N284" i="68"/>
  <c r="N29" i="51"/>
  <c r="AH29" i="51" s="1"/>
  <c r="AG29" i="57"/>
  <c r="N36" i="68"/>
  <c r="N53" i="51"/>
  <c r="AH53" i="51" s="1"/>
  <c r="AG53" i="57"/>
  <c r="N60" i="68"/>
  <c r="N95" i="51"/>
  <c r="AH95" i="51" s="1"/>
  <c r="N102" i="68"/>
  <c r="AG95" i="57"/>
  <c r="N295" i="51"/>
  <c r="AH295" i="51" s="1"/>
  <c r="AG295" i="57"/>
  <c r="N302" i="68"/>
  <c r="N457" i="47"/>
  <c r="N289" i="51"/>
  <c r="AH289" i="51" s="1"/>
  <c r="N296" i="68"/>
  <c r="AG289" i="57"/>
  <c r="N241" i="51"/>
  <c r="AH241" i="51" s="1"/>
  <c r="N248" i="68"/>
  <c r="AG241" i="57"/>
  <c r="N112" i="51"/>
  <c r="AH112" i="51" s="1"/>
  <c r="AG112" i="57"/>
  <c r="N119" i="68"/>
  <c r="N159" i="51"/>
  <c r="AH159" i="51" s="1"/>
  <c r="N166" i="68"/>
  <c r="AG159" i="57"/>
  <c r="N47" i="51"/>
  <c r="AH47" i="51" s="1"/>
  <c r="N54" i="68"/>
  <c r="AG47" i="57"/>
  <c r="N64" i="51"/>
  <c r="AH64" i="51" s="1"/>
  <c r="N71" i="68"/>
  <c r="AG64" i="57"/>
  <c r="N109" i="68"/>
  <c r="N247" i="51"/>
  <c r="AH247" i="51" s="1"/>
  <c r="N254" i="68"/>
  <c r="AG247" i="57"/>
  <c r="N186" i="51"/>
  <c r="AH186" i="51" s="1"/>
  <c r="N193" i="68"/>
  <c r="AG186" i="57"/>
  <c r="N66" i="68"/>
  <c r="N59" i="51"/>
  <c r="AH59" i="51" s="1"/>
  <c r="AG59" i="57"/>
  <c r="N20" i="51"/>
  <c r="AH20" i="51" s="1"/>
  <c r="AG20" i="57"/>
  <c r="N27" i="68"/>
  <c r="N175" i="51"/>
  <c r="AH175" i="51" s="1"/>
  <c r="N182" i="68"/>
  <c r="AG175" i="57"/>
  <c r="N127" i="51"/>
  <c r="AH127" i="51" s="1"/>
  <c r="AG127" i="57"/>
  <c r="N134" i="68"/>
  <c r="N108" i="51"/>
  <c r="AH108" i="51" s="1"/>
  <c r="N115" i="68"/>
  <c r="AG108" i="57"/>
  <c r="N253" i="68"/>
  <c r="AG246" i="57"/>
  <c r="N246" i="51"/>
  <c r="AH246" i="51" s="1"/>
  <c r="N163" i="51"/>
  <c r="AH163" i="51" s="1"/>
  <c r="AG163" i="57"/>
  <c r="N170" i="68"/>
  <c r="AG209" i="57"/>
  <c r="N209" i="51"/>
  <c r="AH209" i="51" s="1"/>
  <c r="N216" i="68"/>
  <c r="AG251" i="57"/>
  <c r="N251" i="51"/>
  <c r="AH251" i="51" s="1"/>
  <c r="N258" i="68"/>
  <c r="N106" i="51"/>
  <c r="AH106" i="51" s="1"/>
  <c r="N113" i="68"/>
  <c r="AG106" i="57"/>
  <c r="N161" i="51"/>
  <c r="AH161" i="51" s="1"/>
  <c r="N168" i="68"/>
  <c r="AG161" i="57"/>
  <c r="N208" i="51"/>
  <c r="AH208" i="51" s="1"/>
  <c r="N215" i="68"/>
  <c r="AG208" i="57"/>
  <c r="N301" i="51"/>
  <c r="AH301" i="51" s="1"/>
  <c r="AG301" i="57"/>
  <c r="N308" i="68"/>
  <c r="N190" i="51"/>
  <c r="AH190" i="51" s="1"/>
  <c r="AG190" i="57"/>
  <c r="N197" i="68"/>
  <c r="N214" i="68"/>
  <c r="AG207" i="57"/>
  <c r="N207" i="51"/>
  <c r="AH207" i="51" s="1"/>
  <c r="N430" i="47"/>
  <c r="J5" i="66"/>
  <c r="N219" i="51"/>
  <c r="AH219" i="51" s="1"/>
  <c r="AG219" i="57"/>
  <c r="N226" i="68"/>
  <c r="N265" i="51"/>
  <c r="AH265" i="51" s="1"/>
  <c r="N272" i="68"/>
  <c r="AG265" i="57"/>
  <c r="N200" i="51"/>
  <c r="AH200" i="51" s="1"/>
  <c r="AG200" i="57"/>
  <c r="N207" i="68"/>
  <c r="N41" i="51"/>
  <c r="AH41" i="51" s="1"/>
  <c r="AG41" i="57"/>
  <c r="N48" i="68"/>
  <c r="N152" i="51"/>
  <c r="AH152" i="51" s="1"/>
  <c r="AG152" i="57"/>
  <c r="N159" i="68"/>
  <c r="N217" i="51"/>
  <c r="AH217" i="51" s="1"/>
  <c r="N224" i="68"/>
  <c r="AG217" i="57"/>
  <c r="N118" i="51"/>
  <c r="AH118" i="51" s="1"/>
  <c r="N125" i="68"/>
  <c r="AG118" i="57"/>
  <c r="N221" i="51"/>
  <c r="AH221" i="51" s="1"/>
  <c r="N228" i="68"/>
  <c r="AG221" i="57"/>
  <c r="N245" i="51"/>
  <c r="AH245" i="51" s="1"/>
  <c r="N252" i="68"/>
  <c r="AG245" i="57"/>
  <c r="N128" i="51"/>
  <c r="AH128" i="51" s="1"/>
  <c r="N135" i="68"/>
  <c r="AG128" i="57"/>
  <c r="N130" i="68"/>
  <c r="AG123" i="57"/>
  <c r="N123" i="51"/>
  <c r="AH123" i="51" s="1"/>
  <c r="N169" i="51"/>
  <c r="AH169" i="51" s="1"/>
  <c r="AG169" i="57"/>
  <c r="N176" i="68"/>
  <c r="N280" i="51"/>
  <c r="AH280" i="51" s="1"/>
  <c r="AG280" i="57"/>
  <c r="N287" i="68"/>
  <c r="N18" i="51"/>
  <c r="AH18" i="51" s="1"/>
  <c r="N25" i="68"/>
  <c r="AG18" i="57"/>
  <c r="N40" i="68"/>
  <c r="AG33" i="57"/>
  <c r="N33" i="51"/>
  <c r="N191" i="51"/>
  <c r="AH191" i="51" s="1"/>
  <c r="AG191" i="57"/>
  <c r="N198" i="68"/>
  <c r="N29" i="68"/>
  <c r="AG22" i="57"/>
  <c r="N22" i="51"/>
  <c r="N68" i="68"/>
  <c r="N61" i="51"/>
  <c r="AH61" i="51" s="1"/>
  <c r="AG61" i="57"/>
  <c r="N60" i="51"/>
  <c r="AH60" i="51" s="1"/>
  <c r="N67" i="68"/>
  <c r="AG60" i="57"/>
  <c r="N212" i="51"/>
  <c r="AH212" i="51" s="1"/>
  <c r="N219" i="68"/>
  <c r="AG212" i="57"/>
  <c r="N279" i="51"/>
  <c r="AH279" i="51" s="1"/>
  <c r="AG279" i="57"/>
  <c r="N286" i="68"/>
  <c r="N167" i="51"/>
  <c r="AH167" i="51" s="1"/>
  <c r="N174" i="68"/>
  <c r="AG167" i="57"/>
  <c r="N178" i="51"/>
  <c r="AH178" i="51" s="1"/>
  <c r="N185" i="68"/>
  <c r="AG178" i="57"/>
  <c r="N67" i="51"/>
  <c r="AH67" i="51" s="1"/>
  <c r="AG67" i="57"/>
  <c r="N74" i="68"/>
  <c r="N162" i="51"/>
  <c r="AH162" i="51" s="1"/>
  <c r="AG162" i="57"/>
  <c r="N169" i="68"/>
  <c r="N31" i="51"/>
  <c r="AH31" i="51" s="1"/>
  <c r="N38" i="68"/>
  <c r="AG31" i="57"/>
  <c r="N25" i="51"/>
  <c r="N32" i="68"/>
  <c r="AG25" i="57"/>
  <c r="N119" i="51"/>
  <c r="AH119" i="51" s="1"/>
  <c r="N126" i="68"/>
  <c r="AG119" i="57"/>
  <c r="N250" i="51"/>
  <c r="AH250" i="51" s="1"/>
  <c r="AG250" i="57"/>
  <c r="N257" i="68"/>
  <c r="AG214" i="57"/>
  <c r="N221" i="68"/>
  <c r="N214" i="51"/>
  <c r="AH214" i="51" s="1"/>
  <c r="N201" i="51"/>
  <c r="AH201" i="51" s="1"/>
  <c r="AG201" i="57"/>
  <c r="N208" i="68"/>
  <c r="N114" i="51"/>
  <c r="AH114" i="51" s="1"/>
  <c r="AG114" i="57"/>
  <c r="N121" i="68"/>
  <c r="N261" i="68"/>
  <c r="N254" i="51"/>
  <c r="AH254" i="51" s="1"/>
  <c r="AG254" i="57"/>
  <c r="P37" i="15"/>
  <c r="F133" i="66"/>
  <c r="M13" i="68"/>
  <c r="Q33" i="15"/>
  <c r="J28" i="60"/>
  <c r="J77" i="15" s="1"/>
  <c r="V30" i="60"/>
  <c r="J30" i="60" s="1"/>
  <c r="U85" i="66" l="1"/>
  <c r="AQ85" i="66" s="1"/>
  <c r="V32" i="60"/>
  <c r="J32" i="60" s="1"/>
  <c r="AG8" i="57"/>
  <c r="AG10" i="66"/>
  <c r="N20" i="68"/>
  <c r="V19" i="60" s="1"/>
  <c r="J19" i="60" s="1"/>
  <c r="Q37" i="15"/>
  <c r="Q39" i="15" s="1"/>
  <c r="AH13" i="51"/>
  <c r="AG13" i="57"/>
  <c r="U6" i="66"/>
  <c r="AQ6" i="66" s="1"/>
  <c r="U7" i="66"/>
  <c r="AQ7" i="66" s="1"/>
  <c r="J12" i="66"/>
  <c r="AG12" i="66" s="1"/>
  <c r="H104" i="66"/>
  <c r="U9" i="66"/>
  <c r="AQ9" i="66" s="1"/>
  <c r="H107" i="66"/>
  <c r="H108" i="66"/>
  <c r="H105" i="66"/>
  <c r="H106" i="66"/>
  <c r="AG8" i="66"/>
  <c r="N10" i="68"/>
  <c r="G130" i="66" s="1"/>
  <c r="N3" i="68"/>
  <c r="G123" i="66" s="1"/>
  <c r="N2" i="68"/>
  <c r="G122" i="66" s="1"/>
  <c r="N1" i="68"/>
  <c r="G121" i="66" s="1"/>
  <c r="N7" i="68"/>
  <c r="G127" i="66" s="1"/>
  <c r="N9" i="68"/>
  <c r="G129" i="66" s="1"/>
  <c r="N8" i="68"/>
  <c r="N4" i="68"/>
  <c r="AG9" i="57"/>
  <c r="AH66" i="51"/>
  <c r="J95" i="66"/>
  <c r="AG95" i="66" s="1"/>
  <c r="H109" i="66"/>
  <c r="AG11" i="66"/>
  <c r="U11" i="66"/>
  <c r="AQ11" i="66" s="1"/>
  <c r="J94" i="66"/>
  <c r="AG94" i="66" s="1"/>
  <c r="AH25" i="51"/>
  <c r="J93" i="66"/>
  <c r="AG93" i="66" s="1"/>
  <c r="AH33" i="51"/>
  <c r="J92" i="66"/>
  <c r="O108" i="47"/>
  <c r="O18" i="47"/>
  <c r="O268" i="47"/>
  <c r="O144" i="47"/>
  <c r="O264" i="47"/>
  <c r="O208" i="47"/>
  <c r="O97" i="47"/>
  <c r="O260" i="47"/>
  <c r="O236" i="47"/>
  <c r="O46" i="47"/>
  <c r="O168" i="47"/>
  <c r="O34" i="47"/>
  <c r="O159" i="47"/>
  <c r="O241" i="47"/>
  <c r="O56" i="47"/>
  <c r="O297" i="47"/>
  <c r="O275" i="47"/>
  <c r="O274" i="47"/>
  <c r="O221" i="47"/>
  <c r="O267" i="47"/>
  <c r="O45" i="47"/>
  <c r="O202" i="47"/>
  <c r="O299" i="47"/>
  <c r="O125" i="47"/>
  <c r="O62" i="47"/>
  <c r="O184" i="47"/>
  <c r="O191" i="47"/>
  <c r="O114" i="47"/>
  <c r="O93" i="47"/>
  <c r="O136" i="47"/>
  <c r="O167" i="47"/>
  <c r="O289" i="47"/>
  <c r="O173" i="47"/>
  <c r="O20" i="47"/>
  <c r="O26" i="47"/>
  <c r="O253" i="47"/>
  <c r="O22" i="47"/>
  <c r="O302" i="47"/>
  <c r="O117" i="47"/>
  <c r="O133" i="47"/>
  <c r="O40" i="47"/>
  <c r="O218" i="47"/>
  <c r="O141" i="47"/>
  <c r="O150" i="47"/>
  <c r="O231" i="47"/>
  <c r="O213" i="47"/>
  <c r="O134" i="47"/>
  <c r="O27" i="47"/>
  <c r="O137" i="47"/>
  <c r="O293" i="47"/>
  <c r="O23" i="47"/>
  <c r="O66" i="47"/>
  <c r="O55" i="47"/>
  <c r="O63" i="47"/>
  <c r="O110" i="47"/>
  <c r="O77" i="47"/>
  <c r="O175" i="47"/>
  <c r="O89" i="47"/>
  <c r="O21" i="47"/>
  <c r="O225" i="47"/>
  <c r="O38" i="47"/>
  <c r="O277" i="47"/>
  <c r="O148" i="47"/>
  <c r="O100" i="47"/>
  <c r="O219" i="47"/>
  <c r="O146" i="47"/>
  <c r="O126" i="47"/>
  <c r="O147" i="47"/>
  <c r="O69" i="47"/>
  <c r="O263" i="47"/>
  <c r="O220" i="47"/>
  <c r="O68" i="47"/>
  <c r="O261" i="47"/>
  <c r="O245" i="47"/>
  <c r="O240" i="47"/>
  <c r="O70" i="47"/>
  <c r="O288" i="47"/>
  <c r="O101" i="47"/>
  <c r="O283" i="47"/>
  <c r="O31" i="47"/>
  <c r="O247" i="47"/>
  <c r="O84" i="47"/>
  <c r="O138" i="47"/>
  <c r="O300" i="47"/>
  <c r="O140" i="47"/>
  <c r="O54" i="47"/>
  <c r="O151" i="47"/>
  <c r="O78" i="47"/>
  <c r="O189" i="47"/>
  <c r="O161" i="47"/>
  <c r="O111" i="47"/>
  <c r="O152" i="47"/>
  <c r="O96" i="47"/>
  <c r="O292" i="47"/>
  <c r="O131" i="47"/>
  <c r="O165" i="47"/>
  <c r="O60" i="47"/>
  <c r="O61" i="47"/>
  <c r="O281" i="47"/>
  <c r="O204" i="47"/>
  <c r="O266" i="47"/>
  <c r="O48" i="47"/>
  <c r="O233" i="47"/>
  <c r="O154" i="47"/>
  <c r="O238" i="47"/>
  <c r="O132" i="47"/>
  <c r="O199" i="47"/>
  <c r="O162" i="47"/>
  <c r="O194" i="47"/>
  <c r="O243" i="47"/>
  <c r="O28" i="47"/>
  <c r="O276" i="47"/>
  <c r="O273" i="47"/>
  <c r="O217" i="47"/>
  <c r="O118" i="47"/>
  <c r="O127" i="47"/>
  <c r="O49" i="47"/>
  <c r="O271" i="47"/>
  <c r="O235" i="47"/>
  <c r="O119" i="47"/>
  <c r="O143" i="47"/>
  <c r="O200" i="47"/>
  <c r="O98" i="47"/>
  <c r="O222" i="47"/>
  <c r="O169" i="47"/>
  <c r="P5" i="47"/>
  <c r="O91" i="47"/>
  <c r="O107" i="47"/>
  <c r="O196" i="47"/>
  <c r="O158" i="47"/>
  <c r="O262" i="47"/>
  <c r="O230" i="47"/>
  <c r="O242" i="47"/>
  <c r="O83" i="47"/>
  <c r="O278" i="47"/>
  <c r="O71" i="47"/>
  <c r="O211" i="47"/>
  <c r="O183" i="47"/>
  <c r="O74" i="47"/>
  <c r="O286" i="47"/>
  <c r="O166" i="47"/>
  <c r="O212" i="47"/>
  <c r="O280" i="47"/>
  <c r="O177" i="47"/>
  <c r="O228" i="47"/>
  <c r="O185" i="47"/>
  <c r="O123" i="47"/>
  <c r="O15" i="47"/>
  <c r="O57" i="47"/>
  <c r="O79" i="47"/>
  <c r="O255" i="47"/>
  <c r="O156" i="47"/>
  <c r="O109" i="47"/>
  <c r="O53" i="47"/>
  <c r="O174" i="47"/>
  <c r="O223" i="47"/>
  <c r="O291" i="47"/>
  <c r="O205" i="47"/>
  <c r="O295" i="47"/>
  <c r="O176" i="47"/>
  <c r="O270" i="47"/>
  <c r="O257" i="47"/>
  <c r="O35" i="47"/>
  <c r="O50" i="47"/>
  <c r="O178" i="47"/>
  <c r="O296" i="47"/>
  <c r="O182" i="47"/>
  <c r="O285" i="47"/>
  <c r="O67" i="47"/>
  <c r="O58" i="47"/>
  <c r="O192" i="47"/>
  <c r="O90" i="47"/>
  <c r="O30" i="47"/>
  <c r="O259" i="47"/>
  <c r="O232" i="47"/>
  <c r="O198" i="47"/>
  <c r="O52" i="47"/>
  <c r="O87" i="47"/>
  <c r="O215" i="47"/>
  <c r="O239" i="47"/>
  <c r="O80" i="47"/>
  <c r="O201" i="47"/>
  <c r="O171" i="47"/>
  <c r="O304" i="47"/>
  <c r="O153" i="47"/>
  <c r="O244" i="47"/>
  <c r="O251" i="47"/>
  <c r="O41" i="47"/>
  <c r="O16" i="47"/>
  <c r="O81" i="47"/>
  <c r="O116" i="47"/>
  <c r="O36" i="47"/>
  <c r="O88" i="47"/>
  <c r="O180" i="47"/>
  <c r="O145" i="47"/>
  <c r="O99" i="47"/>
  <c r="O113" i="47"/>
  <c r="O305" i="47"/>
  <c r="O128" i="47"/>
  <c r="O170" i="47"/>
  <c r="O106" i="47"/>
  <c r="O172" i="47"/>
  <c r="O25" i="47"/>
  <c r="O229" i="47"/>
  <c r="O303" i="47"/>
  <c r="O105" i="47"/>
  <c r="O248" i="47"/>
  <c r="O258" i="47"/>
  <c r="O226" i="47"/>
  <c r="O149" i="47"/>
  <c r="O157" i="47"/>
  <c r="O188" i="47"/>
  <c r="O216" i="47"/>
  <c r="O33" i="47"/>
  <c r="O94" i="47"/>
  <c r="O75" i="47"/>
  <c r="O44" i="47"/>
  <c r="O237" i="47"/>
  <c r="O227" i="47"/>
  <c r="O298" i="47"/>
  <c r="O206" i="47"/>
  <c r="O112" i="47"/>
  <c r="O287" i="47"/>
  <c r="O210" i="47"/>
  <c r="O265" i="47"/>
  <c r="O65" i="47"/>
  <c r="O214" i="47"/>
  <c r="O92" i="47"/>
  <c r="O187" i="47"/>
  <c r="O160" i="47"/>
  <c r="O181" i="47"/>
  <c r="O282" i="47"/>
  <c r="O47" i="47"/>
  <c r="O120" i="47"/>
  <c r="O197" i="47"/>
  <c r="O203" i="47"/>
  <c r="O252" i="47"/>
  <c r="O104" i="47"/>
  <c r="O209" i="47"/>
  <c r="O43" i="47"/>
  <c r="O186" i="47"/>
  <c r="O190" i="47"/>
  <c r="O307" i="47"/>
  <c r="O59" i="47"/>
  <c r="O95" i="47"/>
  <c r="O64" i="47"/>
  <c r="O142" i="47"/>
  <c r="O72" i="47"/>
  <c r="O51" i="47"/>
  <c r="O301" i="47"/>
  <c r="O17" i="47"/>
  <c r="O250" i="47"/>
  <c r="O234" i="47"/>
  <c r="O290" i="47"/>
  <c r="O294" i="47"/>
  <c r="O76" i="47"/>
  <c r="O246" i="47"/>
  <c r="O284" i="47"/>
  <c r="O122" i="47"/>
  <c r="O254" i="47"/>
  <c r="O129" i="47"/>
  <c r="O155" i="47"/>
  <c r="O272" i="47"/>
  <c r="O102" i="47"/>
  <c r="O249" i="47"/>
  <c r="O279" i="47"/>
  <c r="O24" i="47"/>
  <c r="O164" i="47"/>
  <c r="O86" i="47"/>
  <c r="O121" i="47"/>
  <c r="O179" i="47"/>
  <c r="O37" i="47"/>
  <c r="O306" i="47"/>
  <c r="O19" i="47"/>
  <c r="O115" i="47"/>
  <c r="O32" i="47"/>
  <c r="O130" i="47"/>
  <c r="O82" i="47"/>
  <c r="O73" i="47"/>
  <c r="O85" i="47"/>
  <c r="O39" i="47"/>
  <c r="O195" i="47"/>
  <c r="O103" i="47"/>
  <c r="O139" i="47"/>
  <c r="O256" i="47"/>
  <c r="O269" i="47"/>
  <c r="O135" i="47"/>
  <c r="O42" i="47"/>
  <c r="O207" i="47"/>
  <c r="O163" i="47"/>
  <c r="O224" i="47"/>
  <c r="O124" i="47"/>
  <c r="O29" i="47"/>
  <c r="J96" i="66"/>
  <c r="AH22" i="51"/>
  <c r="J91" i="66"/>
  <c r="U91" i="66" s="1"/>
  <c r="AQ91" i="66" s="1"/>
  <c r="AH24" i="51"/>
  <c r="J90" i="66"/>
  <c r="U5" i="66"/>
  <c r="AQ5" i="66" s="1"/>
  <c r="H103" i="66"/>
  <c r="AG5" i="66"/>
  <c r="Q35" i="15"/>
  <c r="Q42" i="15"/>
  <c r="R33" i="15"/>
  <c r="R37" i="15"/>
  <c r="V34" i="60" l="1"/>
  <c r="J34" i="60" s="1"/>
  <c r="Q25" i="15"/>
  <c r="U12" i="66"/>
  <c r="AQ12" i="66" s="1"/>
  <c r="H110" i="66"/>
  <c r="BA94" i="66"/>
  <c r="AG91" i="66"/>
  <c r="U93" i="66"/>
  <c r="AQ93" i="66" s="1"/>
  <c r="BA91" i="66"/>
  <c r="BA93" i="66"/>
  <c r="U94" i="66"/>
  <c r="AQ94" i="66" s="1"/>
  <c r="U95" i="66"/>
  <c r="AQ95" i="66" s="1"/>
  <c r="BA95" i="66"/>
  <c r="AH193" i="47"/>
  <c r="AY193" i="47" s="1"/>
  <c r="O192" i="57"/>
  <c r="AH192" i="47"/>
  <c r="AY192" i="47" s="1"/>
  <c r="AH98" i="47"/>
  <c r="AY98" i="47" s="1"/>
  <c r="O98" i="57"/>
  <c r="O138" i="57"/>
  <c r="AH138" i="47"/>
  <c r="AY138" i="47" s="1"/>
  <c r="O21" i="57"/>
  <c r="AH21" i="47"/>
  <c r="AY21" i="47" s="1"/>
  <c r="AH26" i="47"/>
  <c r="AY26" i="47" s="1"/>
  <c r="O26" i="57"/>
  <c r="AH168" i="47"/>
  <c r="AY168" i="47" s="1"/>
  <c r="O168" i="57"/>
  <c r="G124" i="66"/>
  <c r="N5" i="68"/>
  <c r="O163" i="57"/>
  <c r="AH163" i="47"/>
  <c r="AY163" i="47" s="1"/>
  <c r="AH301" i="47"/>
  <c r="AY301" i="47" s="1"/>
  <c r="O301" i="57"/>
  <c r="AH157" i="47"/>
  <c r="AY157" i="47" s="1"/>
  <c r="O157" i="57"/>
  <c r="O215" i="57"/>
  <c r="AH215" i="47"/>
  <c r="AY215" i="47" s="1"/>
  <c r="O174" i="57"/>
  <c r="AH174" i="47"/>
  <c r="AY174" i="47" s="1"/>
  <c r="AH262" i="47"/>
  <c r="AY262" i="47" s="1"/>
  <c r="O262" i="57"/>
  <c r="AH199" i="47"/>
  <c r="AY199" i="47" s="1"/>
  <c r="O199" i="57"/>
  <c r="AH240" i="47"/>
  <c r="AY240" i="47" s="1"/>
  <c r="O240" i="57"/>
  <c r="AH23" i="47"/>
  <c r="AY23" i="47" s="1"/>
  <c r="O23" i="57"/>
  <c r="AH268" i="47"/>
  <c r="AY268" i="47" s="1"/>
  <c r="O268" i="57"/>
  <c r="AH195" i="47"/>
  <c r="AY195" i="47" s="1"/>
  <c r="O195" i="57"/>
  <c r="O227" i="57"/>
  <c r="AH227" i="47"/>
  <c r="AY227" i="47" s="1"/>
  <c r="AH141" i="47"/>
  <c r="AY141" i="47" s="1"/>
  <c r="O141" i="57"/>
  <c r="O19" i="57"/>
  <c r="AH19" i="47"/>
  <c r="AY19" i="47" s="1"/>
  <c r="AH197" i="47"/>
  <c r="AY197" i="47" s="1"/>
  <c r="O197" i="57"/>
  <c r="AH25" i="47"/>
  <c r="AY25" i="47" s="1"/>
  <c r="O25" i="57"/>
  <c r="AH35" i="47"/>
  <c r="AY35" i="47" s="1"/>
  <c r="O35" i="57"/>
  <c r="O74" i="57"/>
  <c r="AH74" i="47"/>
  <c r="AY74" i="47" s="1"/>
  <c r="AH118" i="47"/>
  <c r="AY118" i="47" s="1"/>
  <c r="O118" i="57"/>
  <c r="O281" i="57"/>
  <c r="AH281" i="47"/>
  <c r="AY281" i="47" s="1"/>
  <c r="AH126" i="47"/>
  <c r="AY126" i="47" s="1"/>
  <c r="O126" i="57"/>
  <c r="AH221" i="47"/>
  <c r="AY221" i="47" s="1"/>
  <c r="O221" i="57"/>
  <c r="AG90" i="66"/>
  <c r="BA90" i="66"/>
  <c r="U90" i="66"/>
  <c r="AQ90" i="66" s="1"/>
  <c r="J97" i="66"/>
  <c r="AH279" i="47"/>
  <c r="AY279" i="47" s="1"/>
  <c r="O279" i="57"/>
  <c r="O214" i="57"/>
  <c r="AH214" i="47"/>
  <c r="AY214" i="47" s="1"/>
  <c r="AH145" i="47"/>
  <c r="AY145" i="47" s="1"/>
  <c r="O145" i="57"/>
  <c r="O123" i="57"/>
  <c r="AH123" i="47"/>
  <c r="AY123" i="47" s="1"/>
  <c r="O111" i="57"/>
  <c r="AH111" i="47"/>
  <c r="AY111" i="47" s="1"/>
  <c r="O284" i="57"/>
  <c r="AH284" i="47"/>
  <c r="AY284" i="47" s="1"/>
  <c r="AH251" i="47"/>
  <c r="AY251" i="47" s="1"/>
  <c r="O251" i="57"/>
  <c r="AH191" i="47"/>
  <c r="AY191" i="47" s="1"/>
  <c r="O191" i="57"/>
  <c r="AH207" i="47"/>
  <c r="AY207" i="47" s="1"/>
  <c r="O207" i="57"/>
  <c r="AH39" i="47"/>
  <c r="AY39" i="47" s="1"/>
  <c r="O39" i="57"/>
  <c r="AH306" i="47"/>
  <c r="AY306" i="47" s="1"/>
  <c r="O306" i="57"/>
  <c r="AH249" i="47"/>
  <c r="AY249" i="47" s="1"/>
  <c r="O249" i="57"/>
  <c r="AH246" i="47"/>
  <c r="AY246" i="47" s="1"/>
  <c r="O246" i="57"/>
  <c r="AH51" i="47"/>
  <c r="AY51" i="47" s="1"/>
  <c r="O51" i="57"/>
  <c r="AH190" i="47"/>
  <c r="AY190" i="47" s="1"/>
  <c r="O190" i="57"/>
  <c r="AH120" i="47"/>
  <c r="AY120" i="47" s="1"/>
  <c r="O120" i="57"/>
  <c r="O65" i="57"/>
  <c r="AH65" i="47"/>
  <c r="AY65" i="47" s="1"/>
  <c r="O237" i="57"/>
  <c r="AH237" i="47"/>
  <c r="AY237" i="47" s="1"/>
  <c r="AH149" i="47"/>
  <c r="AY149" i="47" s="1"/>
  <c r="O149" i="57"/>
  <c r="AH172" i="47"/>
  <c r="AY172" i="47" s="1"/>
  <c r="O172" i="57"/>
  <c r="O180" i="57"/>
  <c r="AH180" i="47"/>
  <c r="AY180" i="47" s="1"/>
  <c r="O244" i="57"/>
  <c r="AH244" i="47"/>
  <c r="AY244" i="47" s="1"/>
  <c r="AH87" i="47"/>
  <c r="AY87" i="47" s="1"/>
  <c r="O87" i="57"/>
  <c r="O58" i="57"/>
  <c r="AH58" i="47"/>
  <c r="AY58" i="47" s="1"/>
  <c r="AH257" i="47"/>
  <c r="AY257" i="47" s="1"/>
  <c r="O257" i="57"/>
  <c r="O53" i="57"/>
  <c r="AH53" i="47"/>
  <c r="AY53" i="47" s="1"/>
  <c r="O185" i="57"/>
  <c r="AH185" i="47"/>
  <c r="AY185" i="47" s="1"/>
  <c r="O183" i="57"/>
  <c r="AH183" i="47"/>
  <c r="AY183" i="47" s="1"/>
  <c r="O158" i="57"/>
  <c r="AH158" i="47"/>
  <c r="AY158" i="47" s="1"/>
  <c r="AH200" i="47"/>
  <c r="AY200" i="47" s="1"/>
  <c r="O200" i="57"/>
  <c r="AH217" i="47"/>
  <c r="AY217" i="47" s="1"/>
  <c r="O217" i="57"/>
  <c r="O132" i="57"/>
  <c r="AH132" i="47"/>
  <c r="AY132" i="47" s="1"/>
  <c r="AH61" i="47"/>
  <c r="AY61" i="47" s="1"/>
  <c r="O61" i="57"/>
  <c r="AH161" i="47"/>
  <c r="AY161" i="47" s="1"/>
  <c r="O161" i="57"/>
  <c r="AH84" i="47"/>
  <c r="AY84" i="47" s="1"/>
  <c r="O84" i="57"/>
  <c r="AH245" i="47"/>
  <c r="AY245" i="47" s="1"/>
  <c r="O245" i="57"/>
  <c r="O146" i="57"/>
  <c r="AH146" i="47"/>
  <c r="AY146" i="47" s="1"/>
  <c r="O89" i="57"/>
  <c r="AH89" i="47"/>
  <c r="AY89" i="47" s="1"/>
  <c r="O293" i="57"/>
  <c r="AH293" i="47"/>
  <c r="AY293" i="47" s="1"/>
  <c r="AH218" i="47"/>
  <c r="AY218" i="47" s="1"/>
  <c r="O218" i="57"/>
  <c r="AH20" i="47"/>
  <c r="AY20" i="47" s="1"/>
  <c r="O20" i="57"/>
  <c r="AH184" i="47"/>
  <c r="AY184" i="47" s="1"/>
  <c r="O184" i="57"/>
  <c r="AH274" i="47"/>
  <c r="AY274" i="47" s="1"/>
  <c r="O274" i="57"/>
  <c r="AH46" i="47"/>
  <c r="AY46" i="47" s="1"/>
  <c r="O46" i="57"/>
  <c r="O18" i="57"/>
  <c r="AH18" i="47"/>
  <c r="AY18" i="47" s="1"/>
  <c r="G128" i="66"/>
  <c r="N11" i="68"/>
  <c r="G131" i="66" s="1"/>
  <c r="O42" i="57"/>
  <c r="AH42" i="47"/>
  <c r="AY42" i="47" s="1"/>
  <c r="AH85" i="47"/>
  <c r="AY85" i="47" s="1"/>
  <c r="O85" i="57"/>
  <c r="AH37" i="47"/>
  <c r="AY37" i="47" s="1"/>
  <c r="O37" i="57"/>
  <c r="O102" i="57"/>
  <c r="AH102" i="47"/>
  <c r="AY102" i="47" s="1"/>
  <c r="AH76" i="47"/>
  <c r="AY76" i="47" s="1"/>
  <c r="O76" i="57"/>
  <c r="AH72" i="47"/>
  <c r="AY72" i="47" s="1"/>
  <c r="O72" i="57"/>
  <c r="AH186" i="47"/>
  <c r="AY186" i="47" s="1"/>
  <c r="O186" i="57"/>
  <c r="O47" i="57"/>
  <c r="AH47" i="47"/>
  <c r="AY47" i="47" s="1"/>
  <c r="AH265" i="47"/>
  <c r="AY265" i="47" s="1"/>
  <c r="O265" i="57"/>
  <c r="AH44" i="47"/>
  <c r="AY44" i="47" s="1"/>
  <c r="O44" i="57"/>
  <c r="AH226" i="47"/>
  <c r="AY226" i="47" s="1"/>
  <c r="O226" i="57"/>
  <c r="AH106" i="47"/>
  <c r="AY106" i="47" s="1"/>
  <c r="O106" i="57"/>
  <c r="O88" i="57"/>
  <c r="AH88" i="47"/>
  <c r="AY88" i="47" s="1"/>
  <c r="O153" i="57"/>
  <c r="AH153" i="47"/>
  <c r="AY153" i="47" s="1"/>
  <c r="O52" i="57"/>
  <c r="AH52" i="47"/>
  <c r="AY52" i="47" s="1"/>
  <c r="AH67" i="47"/>
  <c r="AY67" i="47" s="1"/>
  <c r="O67" i="57"/>
  <c r="AH270" i="47"/>
  <c r="AY270" i="47" s="1"/>
  <c r="O270" i="57"/>
  <c r="AH109" i="47"/>
  <c r="AY109" i="47" s="1"/>
  <c r="O109" i="57"/>
  <c r="AH228" i="47"/>
  <c r="AY228" i="47" s="1"/>
  <c r="O228" i="57"/>
  <c r="O211" i="57"/>
  <c r="AH211" i="47"/>
  <c r="AY211" i="47" s="1"/>
  <c r="AH196" i="47"/>
  <c r="AY196" i="47" s="1"/>
  <c r="O196" i="57"/>
  <c r="AH143" i="47"/>
  <c r="AY143" i="47" s="1"/>
  <c r="O143" i="57"/>
  <c r="AH273" i="47"/>
  <c r="AY273" i="47" s="1"/>
  <c r="O273" i="57"/>
  <c r="AH238" i="47"/>
  <c r="AY238" i="47" s="1"/>
  <c r="O238" i="57"/>
  <c r="AH60" i="47"/>
  <c r="AY60" i="47" s="1"/>
  <c r="O60" i="57"/>
  <c r="AH189" i="47"/>
  <c r="AY189" i="47" s="1"/>
  <c r="O189" i="57"/>
  <c r="AH247" i="47"/>
  <c r="AY247" i="47" s="1"/>
  <c r="O247" i="57"/>
  <c r="AH261" i="47"/>
  <c r="AY261" i="47" s="1"/>
  <c r="O261" i="57"/>
  <c r="AH219" i="47"/>
  <c r="AY219" i="47" s="1"/>
  <c r="O219" i="57"/>
  <c r="AH175" i="47"/>
  <c r="AY175" i="47" s="1"/>
  <c r="O175" i="57"/>
  <c r="O137" i="57"/>
  <c r="AH137" i="47"/>
  <c r="AY137" i="47" s="1"/>
  <c r="AH40" i="47"/>
  <c r="AY40" i="47" s="1"/>
  <c r="O40" i="57"/>
  <c r="O173" i="57"/>
  <c r="AH173" i="47"/>
  <c r="AY173" i="47" s="1"/>
  <c r="O62" i="57"/>
  <c r="AH62" i="47"/>
  <c r="AY62" i="47" s="1"/>
  <c r="O275" i="57"/>
  <c r="AH275" i="47"/>
  <c r="AY275" i="47" s="1"/>
  <c r="O236" i="57"/>
  <c r="AH236" i="47"/>
  <c r="AY236" i="47" s="1"/>
  <c r="AH108" i="47"/>
  <c r="AY108" i="47" s="1"/>
  <c r="O108" i="57"/>
  <c r="AH135" i="47"/>
  <c r="AY135" i="47" s="1"/>
  <c r="O135" i="57"/>
  <c r="AH73" i="47"/>
  <c r="AY73" i="47" s="1"/>
  <c r="O73" i="57"/>
  <c r="AH179" i="47"/>
  <c r="AY179" i="47" s="1"/>
  <c r="O179" i="57"/>
  <c r="O272" i="57"/>
  <c r="AH272" i="47"/>
  <c r="AY272" i="47" s="1"/>
  <c r="O294" i="57"/>
  <c r="AH294" i="47"/>
  <c r="AY294" i="47" s="1"/>
  <c r="AH142" i="47"/>
  <c r="AY142" i="47" s="1"/>
  <c r="O142" i="57"/>
  <c r="O43" i="57"/>
  <c r="AH43" i="47"/>
  <c r="AY43" i="47" s="1"/>
  <c r="AH282" i="47"/>
  <c r="AY282" i="47" s="1"/>
  <c r="O282" i="57"/>
  <c r="AH210" i="47"/>
  <c r="AY210" i="47" s="1"/>
  <c r="O210" i="57"/>
  <c r="O75" i="57"/>
  <c r="AH75" i="47"/>
  <c r="AY75" i="47" s="1"/>
  <c r="O258" i="57"/>
  <c r="AH258" i="47"/>
  <c r="AY258" i="47" s="1"/>
  <c r="O170" i="57"/>
  <c r="AH170" i="47"/>
  <c r="AY170" i="47" s="1"/>
  <c r="O36" i="57"/>
  <c r="AH36" i="47"/>
  <c r="AY36" i="47" s="1"/>
  <c r="O304" i="57"/>
  <c r="AH304" i="47"/>
  <c r="AY304" i="47" s="1"/>
  <c r="AH198" i="47"/>
  <c r="AY198" i="47" s="1"/>
  <c r="O198" i="57"/>
  <c r="AH285" i="47"/>
  <c r="AY285" i="47" s="1"/>
  <c r="O285" i="57"/>
  <c r="O176" i="57"/>
  <c r="AH176" i="47"/>
  <c r="AY176" i="47" s="1"/>
  <c r="O156" i="57"/>
  <c r="AH156" i="47"/>
  <c r="AY156" i="47" s="1"/>
  <c r="AH177" i="47"/>
  <c r="AY177" i="47" s="1"/>
  <c r="O177" i="57"/>
  <c r="O71" i="57"/>
  <c r="AH71" i="47"/>
  <c r="AY71" i="47" s="1"/>
  <c r="AH107" i="47"/>
  <c r="AY107" i="47" s="1"/>
  <c r="O107" i="57"/>
  <c r="O119" i="57"/>
  <c r="AH119" i="47"/>
  <c r="AY119" i="47" s="1"/>
  <c r="AH276" i="47"/>
  <c r="AY276" i="47" s="1"/>
  <c r="O276" i="57"/>
  <c r="O154" i="57"/>
  <c r="AH154" i="47"/>
  <c r="AY154" i="47" s="1"/>
  <c r="AH165" i="47"/>
  <c r="AY165" i="47" s="1"/>
  <c r="O165" i="57"/>
  <c r="AH78" i="47"/>
  <c r="AY78" i="47" s="1"/>
  <c r="O78" i="57"/>
  <c r="AH31" i="47"/>
  <c r="AY31" i="47" s="1"/>
  <c r="O31" i="57"/>
  <c r="O68" i="57"/>
  <c r="AH68" i="47"/>
  <c r="AY68" i="47" s="1"/>
  <c r="AH100" i="47"/>
  <c r="AY100" i="47" s="1"/>
  <c r="O100" i="57"/>
  <c r="AH77" i="47"/>
  <c r="AY77" i="47" s="1"/>
  <c r="O77" i="57"/>
  <c r="O27" i="57"/>
  <c r="AH27" i="47"/>
  <c r="AY27" i="47" s="1"/>
  <c r="O133" i="57"/>
  <c r="AH133" i="47"/>
  <c r="AY133" i="47" s="1"/>
  <c r="AH289" i="47"/>
  <c r="AY289" i="47" s="1"/>
  <c r="O289" i="57"/>
  <c r="AH125" i="47"/>
  <c r="AY125" i="47" s="1"/>
  <c r="O125" i="57"/>
  <c r="AH297" i="47"/>
  <c r="AY297" i="47" s="1"/>
  <c r="O297" i="57"/>
  <c r="AH260" i="47"/>
  <c r="AY260" i="47" s="1"/>
  <c r="O260" i="57"/>
  <c r="BA92" i="66"/>
  <c r="U92" i="66"/>
  <c r="AQ92" i="66" s="1"/>
  <c r="AG92" i="66"/>
  <c r="BA96" i="66"/>
  <c r="U96" i="66"/>
  <c r="AQ96" i="66" s="1"/>
  <c r="AG96" i="66"/>
  <c r="AH269" i="47"/>
  <c r="AY269" i="47" s="1"/>
  <c r="O269" i="57"/>
  <c r="AH82" i="47"/>
  <c r="AY82" i="47" s="1"/>
  <c r="O82" i="57"/>
  <c r="AH121" i="47"/>
  <c r="AY121" i="47" s="1"/>
  <c r="O121" i="57"/>
  <c r="O155" i="57"/>
  <c r="AH155" i="47"/>
  <c r="AY155" i="47" s="1"/>
  <c r="AH290" i="47"/>
  <c r="AY290" i="47" s="1"/>
  <c r="O290" i="57"/>
  <c r="AH64" i="47"/>
  <c r="AY64" i="47" s="1"/>
  <c r="O64" i="57"/>
  <c r="AH209" i="47"/>
  <c r="AY209" i="47" s="1"/>
  <c r="O209" i="57"/>
  <c r="AH181" i="47"/>
  <c r="AY181" i="47" s="1"/>
  <c r="O181" i="57"/>
  <c r="AH287" i="47"/>
  <c r="AY287" i="47" s="1"/>
  <c r="O287" i="57"/>
  <c r="AH94" i="47"/>
  <c r="AY94" i="47" s="1"/>
  <c r="O94" i="57"/>
  <c r="AH248" i="47"/>
  <c r="AY248" i="47" s="1"/>
  <c r="O248" i="57"/>
  <c r="O128" i="57"/>
  <c r="AH128" i="47"/>
  <c r="AY128" i="47" s="1"/>
  <c r="O116" i="57"/>
  <c r="AH116" i="47"/>
  <c r="AY116" i="47" s="1"/>
  <c r="AH171" i="47"/>
  <c r="AY171" i="47" s="1"/>
  <c r="O171" i="57"/>
  <c r="O232" i="57"/>
  <c r="AH232" i="47"/>
  <c r="AY232" i="47" s="1"/>
  <c r="O182" i="57"/>
  <c r="AH182" i="47"/>
  <c r="AY182" i="47" s="1"/>
  <c r="O295" i="57"/>
  <c r="AH295" i="47"/>
  <c r="AY295" i="47" s="1"/>
  <c r="AH255" i="47"/>
  <c r="AY255" i="47" s="1"/>
  <c r="O255" i="57"/>
  <c r="AH280" i="47"/>
  <c r="AY280" i="47" s="1"/>
  <c r="O280" i="57"/>
  <c r="O278" i="57"/>
  <c r="AH278" i="47"/>
  <c r="AY278" i="47" s="1"/>
  <c r="AH91" i="47"/>
  <c r="AY91" i="47" s="1"/>
  <c r="O91" i="57"/>
  <c r="AH235" i="47"/>
  <c r="AY235" i="47" s="1"/>
  <c r="O235" i="57"/>
  <c r="O28" i="57"/>
  <c r="AH28" i="47"/>
  <c r="AY28" i="47" s="1"/>
  <c r="O233" i="57"/>
  <c r="AH233" i="47"/>
  <c r="AY233" i="47" s="1"/>
  <c r="O131" i="57"/>
  <c r="AH131" i="47"/>
  <c r="AY131" i="47" s="1"/>
  <c r="O151" i="57"/>
  <c r="AH151" i="47"/>
  <c r="AY151" i="47" s="1"/>
  <c r="O283" i="57"/>
  <c r="AH283" i="47"/>
  <c r="AY283" i="47" s="1"/>
  <c r="O220" i="57"/>
  <c r="AH220" i="47"/>
  <c r="AY220" i="47" s="1"/>
  <c r="AH148" i="47"/>
  <c r="AY148" i="47" s="1"/>
  <c r="O148" i="57"/>
  <c r="O110" i="57"/>
  <c r="AH110" i="47"/>
  <c r="AY110" i="47" s="1"/>
  <c r="O134" i="57"/>
  <c r="AH134" i="47"/>
  <c r="AY134" i="47" s="1"/>
  <c r="AH117" i="47"/>
  <c r="AY117" i="47" s="1"/>
  <c r="O117" i="57"/>
  <c r="AH167" i="47"/>
  <c r="AY167" i="47" s="1"/>
  <c r="O167" i="57"/>
  <c r="AH299" i="47"/>
  <c r="AY299" i="47" s="1"/>
  <c r="O299" i="57"/>
  <c r="O56" i="57"/>
  <c r="AH56" i="47"/>
  <c r="AY56" i="47" s="1"/>
  <c r="AH97" i="47"/>
  <c r="AY97" i="47" s="1"/>
  <c r="O97" i="57"/>
  <c r="AH29" i="47"/>
  <c r="AY29" i="47" s="1"/>
  <c r="O29" i="57"/>
  <c r="AH256" i="47"/>
  <c r="AY256" i="47" s="1"/>
  <c r="O256" i="57"/>
  <c r="AH130" i="47"/>
  <c r="AY130" i="47" s="1"/>
  <c r="O130" i="57"/>
  <c r="O86" i="57"/>
  <c r="AH86" i="47"/>
  <c r="AY86" i="47" s="1"/>
  <c r="AH129" i="47"/>
  <c r="AY129" i="47" s="1"/>
  <c r="O129" i="57"/>
  <c r="O234" i="57"/>
  <c r="AH234" i="47"/>
  <c r="AY234" i="47" s="1"/>
  <c r="AH95" i="47"/>
  <c r="AY95" i="47" s="1"/>
  <c r="O95" i="57"/>
  <c r="O104" i="57"/>
  <c r="AH104" i="47"/>
  <c r="AY104" i="47" s="1"/>
  <c r="O160" i="57"/>
  <c r="AH160" i="47"/>
  <c r="AY160" i="47" s="1"/>
  <c r="AH112" i="47"/>
  <c r="AY112" i="47" s="1"/>
  <c r="O112" i="57"/>
  <c r="K80" i="66"/>
  <c r="AH33" i="47"/>
  <c r="AY33" i="47" s="1"/>
  <c r="O33" i="57"/>
  <c r="AH105" i="47"/>
  <c r="AY105" i="47" s="1"/>
  <c r="O105" i="57"/>
  <c r="AH305" i="47"/>
  <c r="AY305" i="47" s="1"/>
  <c r="O305" i="57"/>
  <c r="AH81" i="47"/>
  <c r="AY81" i="47" s="1"/>
  <c r="O81" i="57"/>
  <c r="O201" i="57"/>
  <c r="AH201" i="47"/>
  <c r="AY201" i="47" s="1"/>
  <c r="AH259" i="47"/>
  <c r="AY259" i="47" s="1"/>
  <c r="O259" i="57"/>
  <c r="AH296" i="47"/>
  <c r="AY296" i="47" s="1"/>
  <c r="O296" i="57"/>
  <c r="AH205" i="47"/>
  <c r="AY205" i="47" s="1"/>
  <c r="O205" i="57"/>
  <c r="O79" i="57"/>
  <c r="AH79" i="47"/>
  <c r="AY79" i="47" s="1"/>
  <c r="AH212" i="47"/>
  <c r="AY212" i="47" s="1"/>
  <c r="O212" i="57"/>
  <c r="O83" i="57"/>
  <c r="AH83" i="47"/>
  <c r="AY83" i="47" s="1"/>
  <c r="P188" i="47"/>
  <c r="P41" i="47"/>
  <c r="P168" i="47"/>
  <c r="P217" i="47"/>
  <c r="P278" i="47"/>
  <c r="P115" i="47"/>
  <c r="P52" i="47"/>
  <c r="P121" i="47"/>
  <c r="P270" i="47"/>
  <c r="P108" i="47"/>
  <c r="P249" i="47"/>
  <c r="P192" i="47"/>
  <c r="P160" i="47"/>
  <c r="P151" i="47"/>
  <c r="P178" i="47"/>
  <c r="P165" i="47"/>
  <c r="P205" i="47"/>
  <c r="P190" i="47"/>
  <c r="P27" i="47"/>
  <c r="P284" i="47"/>
  <c r="P211" i="47"/>
  <c r="P57" i="47"/>
  <c r="P241" i="47"/>
  <c r="P83" i="47"/>
  <c r="P232" i="47"/>
  <c r="P175" i="47"/>
  <c r="P189" i="47"/>
  <c r="P109" i="47"/>
  <c r="P114" i="47"/>
  <c r="P105" i="47"/>
  <c r="P43" i="47"/>
  <c r="P210" i="47"/>
  <c r="P161" i="47"/>
  <c r="P290" i="47"/>
  <c r="P282" i="47"/>
  <c r="P214" i="47"/>
  <c r="P215" i="47"/>
  <c r="P112" i="47"/>
  <c r="P74" i="47"/>
  <c r="P265" i="47"/>
  <c r="P292" i="47"/>
  <c r="P70" i="47"/>
  <c r="P54" i="47"/>
  <c r="P69" i="47"/>
  <c r="P107" i="47"/>
  <c r="P140" i="47"/>
  <c r="P207" i="47"/>
  <c r="P171" i="47"/>
  <c r="P251" i="47"/>
  <c r="P122" i="47"/>
  <c r="P227" i="47"/>
  <c r="P174" i="47"/>
  <c r="P55" i="47"/>
  <c r="P286" i="47"/>
  <c r="P295" i="47"/>
  <c r="P135" i="47"/>
  <c r="P156" i="47"/>
  <c r="P291" i="47"/>
  <c r="P164" i="47"/>
  <c r="P236" i="47"/>
  <c r="P208" i="47"/>
  <c r="P75" i="47"/>
  <c r="P59" i="47"/>
  <c r="P78" i="47"/>
  <c r="P305" i="47"/>
  <c r="P97" i="47"/>
  <c r="P307" i="47"/>
  <c r="P80" i="47"/>
  <c r="P49" i="47"/>
  <c r="P263" i="47"/>
  <c r="P219" i="47"/>
  <c r="P102" i="47"/>
  <c r="P56" i="47"/>
  <c r="P230" i="47"/>
  <c r="P182" i="47"/>
  <c r="P200" i="47"/>
  <c r="P191" i="47"/>
  <c r="P148" i="47"/>
  <c r="P199" i="47"/>
  <c r="P238" i="47"/>
  <c r="P280" i="47"/>
  <c r="P271" i="47"/>
  <c r="P76" i="47"/>
  <c r="P149" i="47"/>
  <c r="P89" i="47"/>
  <c r="P119" i="47"/>
  <c r="P157" i="47"/>
  <c r="P146" i="47"/>
  <c r="P51" i="47"/>
  <c r="P276" i="47"/>
  <c r="P67" i="47"/>
  <c r="P40" i="47"/>
  <c r="P162" i="47"/>
  <c r="P103" i="47"/>
  <c r="P91" i="47"/>
  <c r="P257" i="47"/>
  <c r="P139" i="47"/>
  <c r="P198" i="47"/>
  <c r="P127" i="47"/>
  <c r="P268" i="47"/>
  <c r="P197" i="47"/>
  <c r="P277" i="47"/>
  <c r="P243" i="47"/>
  <c r="P96" i="47"/>
  <c r="P220" i="47"/>
  <c r="P279" i="47"/>
  <c r="P93" i="47"/>
  <c r="P90" i="47"/>
  <c r="P212" i="47"/>
  <c r="P116" i="47"/>
  <c r="P68" i="47"/>
  <c r="P244" i="47"/>
  <c r="P65" i="47"/>
  <c r="P44" i="47"/>
  <c r="P246" i="47"/>
  <c r="P134" i="47"/>
  <c r="P47" i="47"/>
  <c r="P81" i="47"/>
  <c r="P231" i="47"/>
  <c r="P84" i="47"/>
  <c r="P111" i="47"/>
  <c r="P225" i="47"/>
  <c r="P185" i="47"/>
  <c r="P104" i="47"/>
  <c r="P45" i="47"/>
  <c r="P143" i="47"/>
  <c r="P195" i="47"/>
  <c r="P58" i="47"/>
  <c r="P155" i="47"/>
  <c r="P129" i="47"/>
  <c r="P255" i="47"/>
  <c r="P61" i="47"/>
  <c r="P204" i="47"/>
  <c r="P306" i="47"/>
  <c r="P203" i="47"/>
  <c r="P125" i="47"/>
  <c r="P20" i="47"/>
  <c r="P235" i="47"/>
  <c r="P299" i="47"/>
  <c r="P226" i="47"/>
  <c r="P221" i="47"/>
  <c r="P31" i="47"/>
  <c r="P136" i="47"/>
  <c r="P22" i="47"/>
  <c r="P187" i="47"/>
  <c r="P202" i="47"/>
  <c r="P62" i="47"/>
  <c r="P87" i="47"/>
  <c r="P275" i="47"/>
  <c r="P298" i="47"/>
  <c r="P123" i="47"/>
  <c r="P289" i="47"/>
  <c r="P63" i="47"/>
  <c r="P17" i="47"/>
  <c r="P16" i="47"/>
  <c r="P303" i="47"/>
  <c r="P281" i="47"/>
  <c r="P152" i="47"/>
  <c r="P147" i="47"/>
  <c r="P34" i="47"/>
  <c r="P85" i="47"/>
  <c r="P71" i="47"/>
  <c r="P176" i="47"/>
  <c r="P283" i="47"/>
  <c r="P99" i="47"/>
  <c r="P166" i="47"/>
  <c r="P118" i="47"/>
  <c r="P72" i="47"/>
  <c r="P77" i="47"/>
  <c r="P150" i="47"/>
  <c r="P233" i="47"/>
  <c r="P141" i="47"/>
  <c r="P250" i="47"/>
  <c r="P98" i="47"/>
  <c r="P21" i="47"/>
  <c r="P167" i="47"/>
  <c r="P274" i="47"/>
  <c r="P33" i="47"/>
  <c r="P38" i="47"/>
  <c r="P258" i="47"/>
  <c r="P88" i="47"/>
  <c r="P158" i="47"/>
  <c r="P294" i="47"/>
  <c r="P24" i="47"/>
  <c r="P35" i="47"/>
  <c r="P145" i="47"/>
  <c r="P184" i="47"/>
  <c r="P209" i="47"/>
  <c r="P285" i="47"/>
  <c r="P266" i="47"/>
  <c r="P240" i="47"/>
  <c r="P304" i="47"/>
  <c r="P64" i="47"/>
  <c r="P239" i="47"/>
  <c r="P173" i="47"/>
  <c r="P86" i="47"/>
  <c r="P177" i="47"/>
  <c r="P181" i="47"/>
  <c r="P23" i="47"/>
  <c r="P101" i="47"/>
  <c r="P213" i="47"/>
  <c r="P46" i="47"/>
  <c r="P73" i="47"/>
  <c r="P245" i="47"/>
  <c r="P261" i="47"/>
  <c r="P126" i="47"/>
  <c r="P218" i="47"/>
  <c r="P163" i="47"/>
  <c r="P25" i="47"/>
  <c r="P237" i="47"/>
  <c r="P60" i="47"/>
  <c r="P254" i="47"/>
  <c r="P234" i="47"/>
  <c r="P169" i="47"/>
  <c r="P79" i="47"/>
  <c r="P48" i="47"/>
  <c r="P19" i="47"/>
  <c r="P201" i="47"/>
  <c r="P180" i="47"/>
  <c r="P206" i="47"/>
  <c r="P170" i="47"/>
  <c r="P154" i="47"/>
  <c r="P53" i="47"/>
  <c r="P26" i="47"/>
  <c r="P256" i="47"/>
  <c r="P223" i="47"/>
  <c r="P29" i="47"/>
  <c r="P272" i="47"/>
  <c r="P28" i="47"/>
  <c r="P137" i="47"/>
  <c r="P66" i="47"/>
  <c r="P50" i="47"/>
  <c r="P300" i="47"/>
  <c r="P142" i="47"/>
  <c r="P100" i="47"/>
  <c r="P196" i="47"/>
  <c r="P138" i="47"/>
  <c r="P267" i="47"/>
  <c r="P288" i="47"/>
  <c r="P120" i="47"/>
  <c r="P301" i="47"/>
  <c r="P94" i="47"/>
  <c r="P259" i="47"/>
  <c r="P128" i="47"/>
  <c r="P253" i="47"/>
  <c r="P262" i="47"/>
  <c r="P110" i="47"/>
  <c r="P132" i="47"/>
  <c r="P144" i="47"/>
  <c r="P302" i="47"/>
  <c r="P37" i="47"/>
  <c r="P92" i="47"/>
  <c r="P42" i="47"/>
  <c r="P131" i="47"/>
  <c r="P183" i="47"/>
  <c r="P117" i="47"/>
  <c r="P224" i="47"/>
  <c r="P113" i="47"/>
  <c r="P264" i="47"/>
  <c r="P15" i="47"/>
  <c r="P222" i="47"/>
  <c r="P30" i="47"/>
  <c r="P95" i="47"/>
  <c r="P269" i="47"/>
  <c r="P130" i="47"/>
  <c r="P293" i="47"/>
  <c r="P172" i="47"/>
  <c r="P229" i="47"/>
  <c r="P124" i="47"/>
  <c r="P153" i="47"/>
  <c r="P36" i="47"/>
  <c r="P39" i="47"/>
  <c r="P194" i="47"/>
  <c r="P179" i="47"/>
  <c r="P228" i="47"/>
  <c r="P273" i="47"/>
  <c r="P159" i="47"/>
  <c r="P252" i="47"/>
  <c r="P260" i="47"/>
  <c r="P216" i="47"/>
  <c r="P248" i="47"/>
  <c r="P242" i="47"/>
  <c r="P82" i="47"/>
  <c r="P296" i="47"/>
  <c r="P287" i="47"/>
  <c r="P106" i="47"/>
  <c r="P247" i="47"/>
  <c r="P32" i="47"/>
  <c r="P133" i="47"/>
  <c r="P297" i="47"/>
  <c r="P186" i="47"/>
  <c r="P18" i="47"/>
  <c r="AH271" i="47"/>
  <c r="AY271" i="47" s="1"/>
  <c r="O271" i="57"/>
  <c r="AH243" i="47"/>
  <c r="AY243" i="47" s="1"/>
  <c r="O243" i="57"/>
  <c r="AH48" i="47"/>
  <c r="AY48" i="47" s="1"/>
  <c r="K79" i="66"/>
  <c r="O48" i="57"/>
  <c r="AH292" i="47"/>
  <c r="AY292" i="47" s="1"/>
  <c r="O292" i="57"/>
  <c r="AH54" i="47"/>
  <c r="AY54" i="47" s="1"/>
  <c r="O54" i="57"/>
  <c r="AH101" i="47"/>
  <c r="AY101" i="47" s="1"/>
  <c r="O101" i="57"/>
  <c r="AH263" i="47"/>
  <c r="AY263" i="47" s="1"/>
  <c r="O263" i="57"/>
  <c r="O277" i="57"/>
  <c r="AH277" i="47"/>
  <c r="AY277" i="47" s="1"/>
  <c r="O63" i="57"/>
  <c r="AH63" i="47"/>
  <c r="AY63" i="47" s="1"/>
  <c r="O213" i="57"/>
  <c r="AH213" i="47"/>
  <c r="AY213" i="47" s="1"/>
  <c r="AH302" i="47"/>
  <c r="AY302" i="47" s="1"/>
  <c r="O302" i="57"/>
  <c r="AH136" i="47"/>
  <c r="AY136" i="47" s="1"/>
  <c r="O136" i="57"/>
  <c r="AH202" i="47"/>
  <c r="AY202" i="47" s="1"/>
  <c r="O202" i="57"/>
  <c r="AH241" i="47"/>
  <c r="AY241" i="47" s="1"/>
  <c r="O241" i="57"/>
  <c r="AH208" i="47"/>
  <c r="AY208" i="47" s="1"/>
  <c r="O208" i="57"/>
  <c r="AH124" i="47"/>
  <c r="AY124" i="47" s="1"/>
  <c r="O124" i="57"/>
  <c r="AH139" i="47"/>
  <c r="AY139" i="47" s="1"/>
  <c r="O139" i="57"/>
  <c r="AH32" i="47"/>
  <c r="AY32" i="47" s="1"/>
  <c r="O32" i="57"/>
  <c r="O164" i="57"/>
  <c r="AH164" i="47"/>
  <c r="AY164" i="47" s="1"/>
  <c r="AH254" i="47"/>
  <c r="AY254" i="47" s="1"/>
  <c r="O254" i="57"/>
  <c r="O250" i="57"/>
  <c r="AH250" i="47"/>
  <c r="AY250" i="47" s="1"/>
  <c r="O59" i="57"/>
  <c r="AH59" i="47"/>
  <c r="AY59" i="47" s="1"/>
  <c r="AH252" i="47"/>
  <c r="AY252" i="47" s="1"/>
  <c r="O252" i="57"/>
  <c r="O187" i="57"/>
  <c r="AH187" i="47"/>
  <c r="AY187" i="47" s="1"/>
  <c r="O206" i="57"/>
  <c r="AH206" i="47"/>
  <c r="AY206" i="47" s="1"/>
  <c r="O216" i="57"/>
  <c r="AH216" i="47"/>
  <c r="AY216" i="47" s="1"/>
  <c r="O303" i="57"/>
  <c r="AH303" i="47"/>
  <c r="AY303" i="47" s="1"/>
  <c r="AH113" i="47"/>
  <c r="AY113" i="47" s="1"/>
  <c r="O113" i="57"/>
  <c r="O16" i="57"/>
  <c r="AH16" i="47"/>
  <c r="AY16" i="47" s="1"/>
  <c r="K83" i="66"/>
  <c r="O80" i="57"/>
  <c r="AH80" i="47"/>
  <c r="AY80" i="47" s="1"/>
  <c r="AH30" i="47"/>
  <c r="AY30" i="47" s="1"/>
  <c r="O30" i="57"/>
  <c r="O178" i="57"/>
  <c r="AH178" i="47"/>
  <c r="AY178" i="47" s="1"/>
  <c r="AH291" i="47"/>
  <c r="AY291" i="47" s="1"/>
  <c r="O291" i="57"/>
  <c r="AH57" i="47"/>
  <c r="AY57" i="47" s="1"/>
  <c r="O57" i="57"/>
  <c r="AH166" i="47"/>
  <c r="AY166" i="47" s="1"/>
  <c r="O166" i="57"/>
  <c r="O242" i="57"/>
  <c r="AH242" i="47"/>
  <c r="AY242" i="47" s="1"/>
  <c r="AH169" i="47"/>
  <c r="AY169" i="47" s="1"/>
  <c r="O169" i="57"/>
  <c r="AH49" i="47"/>
  <c r="AY49" i="47" s="1"/>
  <c r="O49" i="57"/>
  <c r="O194" i="57"/>
  <c r="AH194" i="47"/>
  <c r="AY194" i="47" s="1"/>
  <c r="AH266" i="47"/>
  <c r="AY266" i="47" s="1"/>
  <c r="O266" i="57"/>
  <c r="AH96" i="47"/>
  <c r="AY96" i="47" s="1"/>
  <c r="O96" i="57"/>
  <c r="AH140" i="47"/>
  <c r="AY140" i="47" s="1"/>
  <c r="O140" i="57"/>
  <c r="AH288" i="47"/>
  <c r="AY288" i="47" s="1"/>
  <c r="O288" i="57"/>
  <c r="O69" i="57"/>
  <c r="AH69" i="47"/>
  <c r="AY69" i="47" s="1"/>
  <c r="AH38" i="47"/>
  <c r="AY38" i="47" s="1"/>
  <c r="O38" i="57"/>
  <c r="AH55" i="47"/>
  <c r="AY55" i="47" s="1"/>
  <c r="O55" i="57"/>
  <c r="O231" i="57"/>
  <c r="AH231" i="47"/>
  <c r="AY231" i="47" s="1"/>
  <c r="AH22" i="47"/>
  <c r="AY22" i="47" s="1"/>
  <c r="O22" i="57"/>
  <c r="K84" i="66"/>
  <c r="O93" i="57"/>
  <c r="AH93" i="47"/>
  <c r="AY93" i="47" s="1"/>
  <c r="O45" i="57"/>
  <c r="AH45" i="47"/>
  <c r="AY45" i="47" s="1"/>
  <c r="O159" i="57"/>
  <c r="AH159" i="47"/>
  <c r="AY159" i="47" s="1"/>
  <c r="O264" i="57"/>
  <c r="AH264" i="47"/>
  <c r="AY264" i="47" s="1"/>
  <c r="O224" i="57"/>
  <c r="AH224" i="47"/>
  <c r="AY224" i="47" s="1"/>
  <c r="AH103" i="47"/>
  <c r="AY103" i="47" s="1"/>
  <c r="O103" i="57"/>
  <c r="O115" i="57"/>
  <c r="AH115" i="47"/>
  <c r="AY115" i="47" s="1"/>
  <c r="AH24" i="47"/>
  <c r="AY24" i="47" s="1"/>
  <c r="O24" i="57"/>
  <c r="K78" i="66"/>
  <c r="AH122" i="47"/>
  <c r="AY122" i="47" s="1"/>
  <c r="O122" i="57"/>
  <c r="K81" i="66"/>
  <c r="O17" i="57"/>
  <c r="AH17" i="47"/>
  <c r="AY17" i="47" s="1"/>
  <c r="AH307" i="47"/>
  <c r="AY307" i="47" s="1"/>
  <c r="O307" i="57"/>
  <c r="AH203" i="47"/>
  <c r="AY203" i="47" s="1"/>
  <c r="O203" i="57"/>
  <c r="O92" i="57"/>
  <c r="AH92" i="47"/>
  <c r="AY92" i="47" s="1"/>
  <c r="O298" i="57"/>
  <c r="AH298" i="47"/>
  <c r="AY298" i="47" s="1"/>
  <c r="O188" i="57"/>
  <c r="AH188" i="47"/>
  <c r="AY188" i="47" s="1"/>
  <c r="AH229" i="47"/>
  <c r="AY229" i="47" s="1"/>
  <c r="O229" i="57"/>
  <c r="O99" i="57"/>
  <c r="AH99" i="47"/>
  <c r="AY99" i="47" s="1"/>
  <c r="AH41" i="47"/>
  <c r="AY41" i="47" s="1"/>
  <c r="O41" i="57"/>
  <c r="AH239" i="47"/>
  <c r="AY239" i="47" s="1"/>
  <c r="O239" i="57"/>
  <c r="AH90" i="47"/>
  <c r="AY90" i="47" s="1"/>
  <c r="O90" i="57"/>
  <c r="O50" i="57"/>
  <c r="AH50" i="47"/>
  <c r="AY50" i="47" s="1"/>
  <c r="AH223" i="47"/>
  <c r="AY223" i="47" s="1"/>
  <c r="O223" i="57"/>
  <c r="O15" i="57"/>
  <c r="O13" i="47"/>
  <c r="AH15" i="47"/>
  <c r="K82" i="66"/>
  <c r="O286" i="57"/>
  <c r="AH286" i="47"/>
  <c r="AY286" i="47" s="1"/>
  <c r="O230" i="57"/>
  <c r="AH230" i="47"/>
  <c r="AY230" i="47" s="1"/>
  <c r="O222" i="57"/>
  <c r="AH222" i="47"/>
  <c r="AY222" i="47" s="1"/>
  <c r="O127" i="57"/>
  <c r="AH127" i="47"/>
  <c r="AY127" i="47" s="1"/>
  <c r="O162" i="57"/>
  <c r="AH162" i="47"/>
  <c r="AY162" i="47" s="1"/>
  <c r="AH204" i="47"/>
  <c r="AY204" i="47" s="1"/>
  <c r="O204" i="57"/>
  <c r="AH152" i="47"/>
  <c r="AY152" i="47" s="1"/>
  <c r="O152" i="57"/>
  <c r="AH300" i="47"/>
  <c r="AY300" i="47" s="1"/>
  <c r="O300" i="57"/>
  <c r="AH70" i="47"/>
  <c r="AY70" i="47" s="1"/>
  <c r="O70" i="57"/>
  <c r="AH147" i="47"/>
  <c r="AY147" i="47" s="1"/>
  <c r="O147" i="57"/>
  <c r="AH225" i="47"/>
  <c r="AY225" i="47" s="1"/>
  <c r="O225" i="57"/>
  <c r="AH66" i="47"/>
  <c r="AY66" i="47" s="1"/>
  <c r="O66" i="57"/>
  <c r="AH150" i="47"/>
  <c r="AY150" i="47" s="1"/>
  <c r="O150" i="57"/>
  <c r="O253" i="57"/>
  <c r="AH253" i="47"/>
  <c r="AY253" i="47" s="1"/>
  <c r="AH114" i="47"/>
  <c r="AY114" i="47" s="1"/>
  <c r="O114" i="57"/>
  <c r="AH267" i="47"/>
  <c r="AY267" i="47" s="1"/>
  <c r="O267" i="57"/>
  <c r="O34" i="57"/>
  <c r="AH34" i="47"/>
  <c r="AY34" i="47" s="1"/>
  <c r="O144" i="57"/>
  <c r="AH144" i="47"/>
  <c r="AY144" i="47" s="1"/>
  <c r="BB78" i="66" l="1"/>
  <c r="V78" i="66"/>
  <c r="AR78" i="66" s="1"/>
  <c r="BD78" i="66"/>
  <c r="K85" i="66"/>
  <c r="AH78" i="66"/>
  <c r="O231" i="68"/>
  <c r="AH224" i="57"/>
  <c r="O224" i="51"/>
  <c r="AH93" i="57"/>
  <c r="O100" i="68"/>
  <c r="O93" i="51"/>
  <c r="AH38" i="57"/>
  <c r="O38" i="51"/>
  <c r="O45" i="68"/>
  <c r="O103" i="68"/>
  <c r="AH96" i="57"/>
  <c r="O96" i="51"/>
  <c r="O176" i="68"/>
  <c r="O169" i="51"/>
  <c r="AH169" i="57"/>
  <c r="O291" i="51"/>
  <c r="O298" i="68"/>
  <c r="AH291" i="57"/>
  <c r="BD83" i="66"/>
  <c r="AH83" i="66"/>
  <c r="BB83" i="66"/>
  <c r="V83" i="66"/>
  <c r="AR83" i="66" s="1"/>
  <c r="AH216" i="57"/>
  <c r="O223" i="68"/>
  <c r="O216" i="51"/>
  <c r="O66" i="68"/>
  <c r="AH59" i="57"/>
  <c r="O59" i="51"/>
  <c r="AH213" i="57"/>
  <c r="O220" i="68"/>
  <c r="O213" i="51"/>
  <c r="AH243" i="57"/>
  <c r="O250" i="68"/>
  <c r="O243" i="51"/>
  <c r="AI32" i="47"/>
  <c r="AZ32" i="47" s="1"/>
  <c r="P32" i="57"/>
  <c r="P216" i="57"/>
  <c r="AI216" i="47"/>
  <c r="AZ216" i="47" s="1"/>
  <c r="P39" i="57"/>
  <c r="AI39" i="47"/>
  <c r="AZ39" i="47" s="1"/>
  <c r="P269" i="57"/>
  <c r="AI269" i="47"/>
  <c r="AZ269" i="47" s="1"/>
  <c r="AI117" i="47"/>
  <c r="AZ117" i="47" s="1"/>
  <c r="P117" i="57"/>
  <c r="AI132" i="47"/>
  <c r="AZ132" i="47" s="1"/>
  <c r="P132" i="57"/>
  <c r="AI120" i="47"/>
  <c r="AZ120" i="47" s="1"/>
  <c r="P120" i="57"/>
  <c r="AI50" i="47"/>
  <c r="AZ50" i="47" s="1"/>
  <c r="P50" i="57"/>
  <c r="P26" i="57"/>
  <c r="AI26" i="47"/>
  <c r="AZ26" i="47" s="1"/>
  <c r="P48" i="57"/>
  <c r="L79" i="66"/>
  <c r="AI48" i="47"/>
  <c r="AZ48" i="47" s="1"/>
  <c r="P163" i="57"/>
  <c r="AI163" i="47"/>
  <c r="AZ163" i="47" s="1"/>
  <c r="AI101" i="47"/>
  <c r="AZ101" i="47" s="1"/>
  <c r="P101" i="57"/>
  <c r="AI304" i="47"/>
  <c r="AZ304" i="47" s="1"/>
  <c r="P304" i="57"/>
  <c r="L78" i="66"/>
  <c r="AI24" i="47"/>
  <c r="AZ24" i="47" s="1"/>
  <c r="P24" i="57"/>
  <c r="AI193" i="47"/>
  <c r="AZ193" i="47" s="1"/>
  <c r="AI77" i="47"/>
  <c r="AZ77" i="47" s="1"/>
  <c r="P77" i="57"/>
  <c r="AI85" i="47"/>
  <c r="AZ85" i="47" s="1"/>
  <c r="P85" i="57"/>
  <c r="P63" i="57"/>
  <c r="AI63" i="47"/>
  <c r="AZ63" i="47" s="1"/>
  <c r="P187" i="57"/>
  <c r="AI187" i="47"/>
  <c r="AZ187" i="47" s="1"/>
  <c r="AI20" i="47"/>
  <c r="AZ20" i="47" s="1"/>
  <c r="P20" i="57"/>
  <c r="AI155" i="47"/>
  <c r="AZ155" i="47" s="1"/>
  <c r="P155" i="57"/>
  <c r="P111" i="57"/>
  <c r="AI111" i="47"/>
  <c r="AZ111" i="47" s="1"/>
  <c r="AI65" i="47"/>
  <c r="AZ65" i="47" s="1"/>
  <c r="P65" i="57"/>
  <c r="P220" i="57"/>
  <c r="AI220" i="47"/>
  <c r="AZ220" i="47" s="1"/>
  <c r="AI139" i="47"/>
  <c r="AZ139" i="47" s="1"/>
  <c r="P139" i="57"/>
  <c r="AI51" i="47"/>
  <c r="AZ51" i="47" s="1"/>
  <c r="P51" i="57"/>
  <c r="AI280" i="47"/>
  <c r="AZ280" i="47" s="1"/>
  <c r="P280" i="57"/>
  <c r="P56" i="57"/>
  <c r="AI56" i="47"/>
  <c r="AZ56" i="47" s="1"/>
  <c r="AI305" i="47"/>
  <c r="AZ305" i="47" s="1"/>
  <c r="P305" i="57"/>
  <c r="AI156" i="47"/>
  <c r="AZ156" i="47" s="1"/>
  <c r="P156" i="57"/>
  <c r="P251" i="57"/>
  <c r="AI251" i="47"/>
  <c r="AZ251" i="47" s="1"/>
  <c r="AI292" i="47"/>
  <c r="AZ292" i="47" s="1"/>
  <c r="P292" i="57"/>
  <c r="AI161" i="47"/>
  <c r="AZ161" i="47" s="1"/>
  <c r="P161" i="57"/>
  <c r="AI232" i="47"/>
  <c r="AZ232" i="47" s="1"/>
  <c r="P232" i="57"/>
  <c r="AI205" i="47"/>
  <c r="AZ205" i="47" s="1"/>
  <c r="P205" i="57"/>
  <c r="AI270" i="47"/>
  <c r="AZ270" i="47" s="1"/>
  <c r="P270" i="57"/>
  <c r="P188" i="57"/>
  <c r="AI188" i="47"/>
  <c r="AZ188" i="47" s="1"/>
  <c r="AH112" i="57"/>
  <c r="O119" i="68"/>
  <c r="O112" i="51"/>
  <c r="O263" i="68"/>
  <c r="AH256" i="57"/>
  <c r="O256" i="51"/>
  <c r="O306" i="68"/>
  <c r="AH299" i="57"/>
  <c r="O299" i="51"/>
  <c r="O242" i="68"/>
  <c r="AH235" i="57"/>
  <c r="O235" i="51"/>
  <c r="O262" i="68"/>
  <c r="AH255" i="57"/>
  <c r="O255" i="51"/>
  <c r="AH171" i="57"/>
  <c r="O178" i="68"/>
  <c r="O171" i="51"/>
  <c r="O94" i="51"/>
  <c r="O101" i="68"/>
  <c r="AH94" i="57"/>
  <c r="AH64" i="57"/>
  <c r="O64" i="51"/>
  <c r="O71" i="68"/>
  <c r="AH82" i="57"/>
  <c r="O82" i="51"/>
  <c r="O89" i="68"/>
  <c r="AH289" i="57"/>
  <c r="O296" i="68"/>
  <c r="O289" i="51"/>
  <c r="AH100" i="57"/>
  <c r="O107" i="68"/>
  <c r="O100" i="51"/>
  <c r="O172" i="68"/>
  <c r="AH165" i="57"/>
  <c r="O165" i="51"/>
  <c r="AH107" i="57"/>
  <c r="O114" i="68"/>
  <c r="O107" i="51"/>
  <c r="O217" i="68"/>
  <c r="AH210" i="57"/>
  <c r="O210" i="51"/>
  <c r="AH135" i="57"/>
  <c r="O142" i="68"/>
  <c r="O135" i="51"/>
  <c r="AH175" i="57"/>
  <c r="O182" i="68"/>
  <c r="O175" i="51"/>
  <c r="O189" i="51"/>
  <c r="O196" i="68"/>
  <c r="AH189" i="57"/>
  <c r="O150" i="68"/>
  <c r="AH143" i="57"/>
  <c r="O143" i="51"/>
  <c r="O109" i="51"/>
  <c r="AH109" i="57"/>
  <c r="O116" i="68"/>
  <c r="O44" i="51"/>
  <c r="AH44" i="57"/>
  <c r="O51" i="68"/>
  <c r="K7" i="66"/>
  <c r="O79" i="68"/>
  <c r="AH72" i="57"/>
  <c r="O72" i="51"/>
  <c r="O92" i="68"/>
  <c r="AH85" i="57"/>
  <c r="O85" i="51"/>
  <c r="O53" i="68"/>
  <c r="AH46" i="57"/>
  <c r="O46" i="51"/>
  <c r="AH218" i="57"/>
  <c r="O225" i="68"/>
  <c r="O218" i="51"/>
  <c r="AH245" i="57"/>
  <c r="O252" i="68"/>
  <c r="O245" i="51"/>
  <c r="O179" i="68"/>
  <c r="AH172" i="57"/>
  <c r="O172" i="51"/>
  <c r="O120" i="51"/>
  <c r="O127" i="68"/>
  <c r="AH120" i="57"/>
  <c r="O256" i="68"/>
  <c r="AH249" i="57"/>
  <c r="O249" i="51"/>
  <c r="O198" i="68"/>
  <c r="AH191" i="57"/>
  <c r="O191" i="51"/>
  <c r="U97" i="66"/>
  <c r="AQ97" i="66" s="1"/>
  <c r="AG97" i="66"/>
  <c r="BA97" i="66"/>
  <c r="AH25" i="57"/>
  <c r="O25" i="51"/>
  <c r="O32" i="68"/>
  <c r="AH240" i="57"/>
  <c r="O247" i="68"/>
  <c r="O240" i="51"/>
  <c r="G125" i="66"/>
  <c r="G133" i="66" s="1"/>
  <c r="N13" i="68"/>
  <c r="AH9" i="47"/>
  <c r="AH10" i="47"/>
  <c r="AY15" i="47"/>
  <c r="O127" i="51"/>
  <c r="AH127" i="57"/>
  <c r="O134" i="68"/>
  <c r="O121" i="68"/>
  <c r="AH114" i="57"/>
  <c r="O114" i="51"/>
  <c r="AH225" i="57"/>
  <c r="O232" i="68"/>
  <c r="O225" i="51"/>
  <c r="AH152" i="57"/>
  <c r="O152" i="51"/>
  <c r="O159" i="68"/>
  <c r="W28" i="60"/>
  <c r="O10" i="47"/>
  <c r="AH13" i="47"/>
  <c r="AY13" i="47" s="1"/>
  <c r="O11" i="47"/>
  <c r="AH239" i="57"/>
  <c r="O246" i="68"/>
  <c r="O239" i="51"/>
  <c r="AH307" i="57"/>
  <c r="O314" i="68"/>
  <c r="O307" i="51"/>
  <c r="K5" i="66"/>
  <c r="O24" i="51"/>
  <c r="O31" i="68"/>
  <c r="AH24" i="57"/>
  <c r="AH84" i="66"/>
  <c r="V84" i="66"/>
  <c r="AR84" i="66" s="1"/>
  <c r="BD84" i="66"/>
  <c r="BB84" i="66"/>
  <c r="O146" i="68"/>
  <c r="AH139" i="57"/>
  <c r="O139" i="51"/>
  <c r="AH202" i="57"/>
  <c r="O202" i="51"/>
  <c r="O209" i="68"/>
  <c r="O54" i="51"/>
  <c r="O61" i="68"/>
  <c r="AH54" i="57"/>
  <c r="AI247" i="47"/>
  <c r="AZ247" i="47" s="1"/>
  <c r="P247" i="57"/>
  <c r="AI260" i="47"/>
  <c r="AZ260" i="47" s="1"/>
  <c r="P260" i="57"/>
  <c r="AI36" i="47"/>
  <c r="AZ36" i="47" s="1"/>
  <c r="P36" i="57"/>
  <c r="AI95" i="47"/>
  <c r="AZ95" i="47" s="1"/>
  <c r="P95" i="57"/>
  <c r="AI183" i="47"/>
  <c r="AZ183" i="47" s="1"/>
  <c r="P183" i="57"/>
  <c r="P110" i="57"/>
  <c r="AI110" i="47"/>
  <c r="AZ110" i="47" s="1"/>
  <c r="P288" i="57"/>
  <c r="AI288" i="47"/>
  <c r="AZ288" i="47" s="1"/>
  <c r="AI66" i="47"/>
  <c r="AZ66" i="47" s="1"/>
  <c r="P66" i="57"/>
  <c r="AI53" i="47"/>
  <c r="AZ53" i="47" s="1"/>
  <c r="P53" i="57"/>
  <c r="AI79" i="47"/>
  <c r="AZ79" i="47" s="1"/>
  <c r="P79" i="57"/>
  <c r="AI218" i="47"/>
  <c r="AZ218" i="47" s="1"/>
  <c r="P218" i="57"/>
  <c r="AI23" i="47"/>
  <c r="AZ23" i="47" s="1"/>
  <c r="P23" i="57"/>
  <c r="AI240" i="47"/>
  <c r="AZ240" i="47" s="1"/>
  <c r="P240" i="57"/>
  <c r="AI294" i="47"/>
  <c r="AZ294" i="47" s="1"/>
  <c r="P294" i="57"/>
  <c r="AI167" i="47"/>
  <c r="AZ167" i="47" s="1"/>
  <c r="P167" i="57"/>
  <c r="P72" i="57"/>
  <c r="AI72" i="47"/>
  <c r="AZ72" i="47" s="1"/>
  <c r="AI34" i="47"/>
  <c r="AZ34" i="47" s="1"/>
  <c r="P34" i="57"/>
  <c r="AI289" i="47"/>
  <c r="AZ289" i="47" s="1"/>
  <c r="P289" i="57"/>
  <c r="AI22" i="47"/>
  <c r="AZ22" i="47" s="1"/>
  <c r="L84" i="66"/>
  <c r="P22" i="57"/>
  <c r="P125" i="57"/>
  <c r="AI125" i="47"/>
  <c r="AZ125" i="47" s="1"/>
  <c r="P58" i="57"/>
  <c r="AI58" i="47"/>
  <c r="AZ58" i="47" s="1"/>
  <c r="AI84" i="47"/>
  <c r="AZ84" i="47" s="1"/>
  <c r="P84" i="57"/>
  <c r="AI244" i="47"/>
  <c r="AZ244" i="47" s="1"/>
  <c r="P244" i="57"/>
  <c r="P96" i="57"/>
  <c r="AI96" i="47"/>
  <c r="AZ96" i="47" s="1"/>
  <c r="AI257" i="47"/>
  <c r="AZ257" i="47" s="1"/>
  <c r="P257" i="57"/>
  <c r="AI146" i="47"/>
  <c r="AZ146" i="47" s="1"/>
  <c r="P146" i="57"/>
  <c r="P238" i="57"/>
  <c r="AI238" i="47"/>
  <c r="AZ238" i="47" s="1"/>
  <c r="P102" i="57"/>
  <c r="AI102" i="47"/>
  <c r="AZ102" i="47" s="1"/>
  <c r="AI78" i="47"/>
  <c r="AZ78" i="47" s="1"/>
  <c r="P78" i="57"/>
  <c r="P135" i="57"/>
  <c r="AI135" i="47"/>
  <c r="AZ135" i="47" s="1"/>
  <c r="AI171" i="47"/>
  <c r="AZ171" i="47" s="1"/>
  <c r="P171" i="57"/>
  <c r="AI265" i="47"/>
  <c r="AZ265" i="47" s="1"/>
  <c r="P265" i="57"/>
  <c r="AI210" i="47"/>
  <c r="AZ210" i="47" s="1"/>
  <c r="P210" i="57"/>
  <c r="AI83" i="47"/>
  <c r="AZ83" i="47" s="1"/>
  <c r="P83" i="57"/>
  <c r="AI165" i="47"/>
  <c r="AZ165" i="47" s="1"/>
  <c r="P165" i="57"/>
  <c r="AI121" i="47"/>
  <c r="AZ121" i="47" s="1"/>
  <c r="P121" i="57"/>
  <c r="AH296" i="57"/>
  <c r="O303" i="68"/>
  <c r="O296" i="51"/>
  <c r="AH305" i="57"/>
  <c r="O312" i="68"/>
  <c r="O305" i="51"/>
  <c r="AH234" i="57"/>
  <c r="O241" i="68"/>
  <c r="O234" i="51"/>
  <c r="AH110" i="57"/>
  <c r="O110" i="51"/>
  <c r="O117" i="68"/>
  <c r="O151" i="51"/>
  <c r="O158" i="68"/>
  <c r="AH151" i="57"/>
  <c r="O183" i="68"/>
  <c r="AH176" i="57"/>
  <c r="O176" i="51"/>
  <c r="AH36" i="57"/>
  <c r="O43" i="68"/>
  <c r="O36" i="51"/>
  <c r="O301" i="68"/>
  <c r="O294" i="51"/>
  <c r="AH294" i="57"/>
  <c r="AH62" i="57"/>
  <c r="O62" i="51"/>
  <c r="O69" i="68"/>
  <c r="AH153" i="57"/>
  <c r="O160" i="68"/>
  <c r="O153" i="51"/>
  <c r="O139" i="68"/>
  <c r="O132" i="51"/>
  <c r="AH132" i="57"/>
  <c r="O190" i="68"/>
  <c r="AH183" i="57"/>
  <c r="O183" i="51"/>
  <c r="AH58" i="57"/>
  <c r="O58" i="51"/>
  <c r="O65" i="68"/>
  <c r="O130" i="68"/>
  <c r="AH123" i="57"/>
  <c r="O123" i="51"/>
  <c r="AH281" i="57"/>
  <c r="O281" i="51"/>
  <c r="O288" i="68"/>
  <c r="O234" i="68"/>
  <c r="O227" i="51"/>
  <c r="AH227" i="57"/>
  <c r="O215" i="51"/>
  <c r="O222" i="68"/>
  <c r="AH215" i="57"/>
  <c r="O145" i="68"/>
  <c r="AH138" i="57"/>
  <c r="O138" i="51"/>
  <c r="O222" i="51"/>
  <c r="O229" i="68"/>
  <c r="AH222" i="57"/>
  <c r="O13" i="57"/>
  <c r="AH15" i="57"/>
  <c r="K9" i="66"/>
  <c r="O22" i="68"/>
  <c r="O15" i="51"/>
  <c r="O7" i="57"/>
  <c r="AH188" i="57"/>
  <c r="O195" i="68"/>
  <c r="O188" i="51"/>
  <c r="O271" i="68"/>
  <c r="AH264" i="57"/>
  <c r="O264" i="51"/>
  <c r="O29" i="68"/>
  <c r="AH22" i="57"/>
  <c r="K11" i="66"/>
  <c r="O22" i="51"/>
  <c r="O273" i="68"/>
  <c r="O266" i="51"/>
  <c r="AH266" i="57"/>
  <c r="AH16" i="57"/>
  <c r="O23" i="68"/>
  <c r="K10" i="66"/>
  <c r="O16" i="51"/>
  <c r="O206" i="51"/>
  <c r="O213" i="68"/>
  <c r="AH206" i="57"/>
  <c r="O257" i="68"/>
  <c r="AH250" i="57"/>
  <c r="O250" i="51"/>
  <c r="O70" i="68"/>
  <c r="AH63" i="57"/>
  <c r="O63" i="51"/>
  <c r="O278" i="68"/>
  <c r="AH271" i="57"/>
  <c r="O271" i="51"/>
  <c r="AI106" i="47"/>
  <c r="AZ106" i="47" s="1"/>
  <c r="P106" i="57"/>
  <c r="P252" i="57"/>
  <c r="AI252" i="47"/>
  <c r="AZ252" i="47" s="1"/>
  <c r="P153" i="57"/>
  <c r="AI153" i="47"/>
  <c r="AZ153" i="47" s="1"/>
  <c r="AI30" i="47"/>
  <c r="AZ30" i="47" s="1"/>
  <c r="P30" i="57"/>
  <c r="AI131" i="47"/>
  <c r="AZ131" i="47" s="1"/>
  <c r="P131" i="57"/>
  <c r="AI262" i="47"/>
  <c r="AZ262" i="47" s="1"/>
  <c r="P262" i="57"/>
  <c r="AI267" i="47"/>
  <c r="AZ267" i="47" s="1"/>
  <c r="P267" i="57"/>
  <c r="P137" i="57"/>
  <c r="AI137" i="47"/>
  <c r="AZ137" i="47" s="1"/>
  <c r="AI154" i="47"/>
  <c r="AZ154" i="47" s="1"/>
  <c r="P154" i="57"/>
  <c r="AI169" i="47"/>
  <c r="AZ169" i="47" s="1"/>
  <c r="P169" i="57"/>
  <c r="AI126" i="47"/>
  <c r="AZ126" i="47" s="1"/>
  <c r="P126" i="57"/>
  <c r="AI181" i="47"/>
  <c r="AZ181" i="47" s="1"/>
  <c r="P181" i="57"/>
  <c r="AI266" i="47"/>
  <c r="AZ266" i="47" s="1"/>
  <c r="P266" i="57"/>
  <c r="P158" i="57"/>
  <c r="AI158" i="47"/>
  <c r="AZ158" i="47" s="1"/>
  <c r="AI21" i="47"/>
  <c r="AZ21" i="47" s="1"/>
  <c r="P21" i="57"/>
  <c r="AI118" i="47"/>
  <c r="AZ118" i="47" s="1"/>
  <c r="P118" i="57"/>
  <c r="P147" i="57"/>
  <c r="AI147" i="47"/>
  <c r="AZ147" i="47" s="1"/>
  <c r="P123" i="57"/>
  <c r="AI123" i="47"/>
  <c r="AZ123" i="47" s="1"/>
  <c r="AI136" i="47"/>
  <c r="AZ136" i="47" s="1"/>
  <c r="P136" i="57"/>
  <c r="P203" i="57"/>
  <c r="AI203" i="47"/>
  <c r="AZ203" i="47" s="1"/>
  <c r="P195" i="57"/>
  <c r="AI195" i="47"/>
  <c r="AZ195" i="47" s="1"/>
  <c r="AI231" i="47"/>
  <c r="AZ231" i="47" s="1"/>
  <c r="P231" i="57"/>
  <c r="P68" i="57"/>
  <c r="AI68" i="47"/>
  <c r="AZ68" i="47" s="1"/>
  <c r="P243" i="57"/>
  <c r="AI243" i="47"/>
  <c r="AZ243" i="47" s="1"/>
  <c r="P91" i="57"/>
  <c r="AI91" i="47"/>
  <c r="AZ91" i="47" s="1"/>
  <c r="AI157" i="47"/>
  <c r="AZ157" i="47" s="1"/>
  <c r="P157" i="57"/>
  <c r="P199" i="57"/>
  <c r="AI199" i="47"/>
  <c r="AZ199" i="47" s="1"/>
  <c r="P219" i="57"/>
  <c r="AI219" i="47"/>
  <c r="AZ219" i="47" s="1"/>
  <c r="AI59" i="47"/>
  <c r="AZ59" i="47" s="1"/>
  <c r="P59" i="57"/>
  <c r="P295" i="57"/>
  <c r="AI295" i="47"/>
  <c r="AZ295" i="47" s="1"/>
  <c r="AI207" i="47"/>
  <c r="AZ207" i="47" s="1"/>
  <c r="P207" i="57"/>
  <c r="P74" i="57"/>
  <c r="AI74" i="47"/>
  <c r="AZ74" i="47" s="1"/>
  <c r="P43" i="57"/>
  <c r="AI43" i="47"/>
  <c r="AZ43" i="47" s="1"/>
  <c r="P241" i="57"/>
  <c r="AI241" i="47"/>
  <c r="AZ241" i="47" s="1"/>
  <c r="P178" i="57"/>
  <c r="AI178" i="47"/>
  <c r="AZ178" i="47" s="1"/>
  <c r="AI52" i="47"/>
  <c r="AZ52" i="47" s="1"/>
  <c r="P52" i="57"/>
  <c r="O90" i="68"/>
  <c r="AH83" i="57"/>
  <c r="O83" i="51"/>
  <c r="AH129" i="57"/>
  <c r="O136" i="68"/>
  <c r="O129" i="51"/>
  <c r="AH29" i="57"/>
  <c r="O36" i="68"/>
  <c r="O29" i="51"/>
  <c r="AH167" i="57"/>
  <c r="O174" i="68"/>
  <c r="O167" i="51"/>
  <c r="O155" i="68"/>
  <c r="AH148" i="57"/>
  <c r="O148" i="51"/>
  <c r="O98" i="68"/>
  <c r="O91" i="51"/>
  <c r="AH91" i="57"/>
  <c r="AH287" i="57"/>
  <c r="O294" i="68"/>
  <c r="O287" i="51"/>
  <c r="O290" i="51"/>
  <c r="O297" i="68"/>
  <c r="AH290" i="57"/>
  <c r="AH269" i="57"/>
  <c r="O269" i="51"/>
  <c r="O276" i="68"/>
  <c r="O267" i="68"/>
  <c r="AH260" i="57"/>
  <c r="O260" i="51"/>
  <c r="AH285" i="57"/>
  <c r="O292" i="68"/>
  <c r="O285" i="51"/>
  <c r="O289" i="68"/>
  <c r="AH282" i="57"/>
  <c r="O282" i="51"/>
  <c r="O115" i="68"/>
  <c r="AH108" i="57"/>
  <c r="O108" i="51"/>
  <c r="O226" i="68"/>
  <c r="AH219" i="57"/>
  <c r="O219" i="51"/>
  <c r="AH60" i="57"/>
  <c r="O67" i="68"/>
  <c r="O60" i="51"/>
  <c r="O203" i="68"/>
  <c r="AH196" i="57"/>
  <c r="O196" i="51"/>
  <c r="O277" i="68"/>
  <c r="AH270" i="57"/>
  <c r="O270" i="51"/>
  <c r="AH265" i="57"/>
  <c r="O272" i="68"/>
  <c r="O265" i="51"/>
  <c r="O83" i="68"/>
  <c r="AH76" i="57"/>
  <c r="O76" i="51"/>
  <c r="O281" i="68"/>
  <c r="AH274" i="57"/>
  <c r="O274" i="51"/>
  <c r="O91" i="68"/>
  <c r="AH84" i="57"/>
  <c r="O84" i="51"/>
  <c r="AH217" i="57"/>
  <c r="O224" i="68"/>
  <c r="O217" i="51"/>
  <c r="O94" i="68"/>
  <c r="AH87" i="57"/>
  <c r="O87" i="51"/>
  <c r="AH149" i="57"/>
  <c r="O149" i="51"/>
  <c r="O156" i="68"/>
  <c r="AH190" i="57"/>
  <c r="O197" i="68"/>
  <c r="O190" i="51"/>
  <c r="AH306" i="57"/>
  <c r="O313" i="68"/>
  <c r="O306" i="51"/>
  <c r="O251" i="51"/>
  <c r="AH251" i="57"/>
  <c r="O258" i="68"/>
  <c r="O145" i="51"/>
  <c r="AH145" i="57"/>
  <c r="O152" i="68"/>
  <c r="O125" i="68"/>
  <c r="O118" i="51"/>
  <c r="AH118" i="57"/>
  <c r="O204" i="68"/>
  <c r="AH197" i="57"/>
  <c r="O197" i="51"/>
  <c r="O202" i="68"/>
  <c r="O195" i="51"/>
  <c r="AH195" i="57"/>
  <c r="AH199" i="57"/>
  <c r="O199" i="51"/>
  <c r="O206" i="68"/>
  <c r="O164" i="68"/>
  <c r="AH157" i="57"/>
  <c r="O157" i="51"/>
  <c r="O175" i="68"/>
  <c r="AH168" i="57"/>
  <c r="O168" i="51"/>
  <c r="AH98" i="57"/>
  <c r="O98" i="51"/>
  <c r="O105" i="68"/>
  <c r="AH147" i="57"/>
  <c r="O154" i="68"/>
  <c r="O147" i="51"/>
  <c r="O211" i="68"/>
  <c r="AH204" i="57"/>
  <c r="O204" i="51"/>
  <c r="O223" i="51"/>
  <c r="O230" i="68"/>
  <c r="AH223" i="57"/>
  <c r="AH41" i="57"/>
  <c r="O48" i="68"/>
  <c r="O41" i="51"/>
  <c r="AH69" i="57"/>
  <c r="O76" i="68"/>
  <c r="O69" i="51"/>
  <c r="O249" i="68"/>
  <c r="O242" i="51"/>
  <c r="AH242" i="57"/>
  <c r="O178" i="51"/>
  <c r="AH178" i="57"/>
  <c r="O185" i="68"/>
  <c r="O113" i="51"/>
  <c r="O120" i="68"/>
  <c r="AH113" i="57"/>
  <c r="O254" i="51"/>
  <c r="O261" i="68"/>
  <c r="AH254" i="57"/>
  <c r="O131" i="68"/>
  <c r="O124" i="51"/>
  <c r="AH124" i="57"/>
  <c r="O143" i="68"/>
  <c r="AH136" i="57"/>
  <c r="O136" i="51"/>
  <c r="AH292" i="57"/>
  <c r="O299" i="68"/>
  <c r="O292" i="51"/>
  <c r="AI287" i="47"/>
  <c r="AZ287" i="47" s="1"/>
  <c r="P287" i="57"/>
  <c r="P159" i="57"/>
  <c r="AI159" i="47"/>
  <c r="AZ159" i="47" s="1"/>
  <c r="AI124" i="47"/>
  <c r="AZ124" i="47" s="1"/>
  <c r="P124" i="57"/>
  <c r="AI222" i="47"/>
  <c r="AZ222" i="47" s="1"/>
  <c r="P222" i="57"/>
  <c r="AI42" i="47"/>
  <c r="AZ42" i="47" s="1"/>
  <c r="P42" i="57"/>
  <c r="AI253" i="47"/>
  <c r="AZ253" i="47" s="1"/>
  <c r="P253" i="57"/>
  <c r="P138" i="57"/>
  <c r="AI138" i="47"/>
  <c r="AZ138" i="47" s="1"/>
  <c r="AI28" i="47"/>
  <c r="AZ28" i="47" s="1"/>
  <c r="P28" i="57"/>
  <c r="AI170" i="47"/>
  <c r="AZ170" i="47" s="1"/>
  <c r="P170" i="57"/>
  <c r="P234" i="57"/>
  <c r="AI234" i="47"/>
  <c r="AZ234" i="47" s="1"/>
  <c r="AI261" i="47"/>
  <c r="AZ261" i="47" s="1"/>
  <c r="P261" i="57"/>
  <c r="P177" i="57"/>
  <c r="AI177" i="47"/>
  <c r="AZ177" i="47" s="1"/>
  <c r="P285" i="57"/>
  <c r="AI285" i="47"/>
  <c r="AZ285" i="47" s="1"/>
  <c r="AI88" i="47"/>
  <c r="AZ88" i="47" s="1"/>
  <c r="P88" i="57"/>
  <c r="P98" i="57"/>
  <c r="AI98" i="47"/>
  <c r="AZ98" i="47" s="1"/>
  <c r="AI166" i="47"/>
  <c r="AZ166" i="47" s="1"/>
  <c r="P166" i="57"/>
  <c r="AI152" i="47"/>
  <c r="AZ152" i="47" s="1"/>
  <c r="P152" i="57"/>
  <c r="AI298" i="47"/>
  <c r="AZ298" i="47" s="1"/>
  <c r="P298" i="57"/>
  <c r="AI31" i="47"/>
  <c r="AZ31" i="47" s="1"/>
  <c r="P31" i="57"/>
  <c r="AI306" i="47"/>
  <c r="AZ306" i="47" s="1"/>
  <c r="P306" i="57"/>
  <c r="AI143" i="47"/>
  <c r="AZ143" i="47" s="1"/>
  <c r="P143" i="57"/>
  <c r="AI81" i="47"/>
  <c r="AZ81" i="47" s="1"/>
  <c r="P81" i="57"/>
  <c r="P116" i="57"/>
  <c r="AI116" i="47"/>
  <c r="AZ116" i="47" s="1"/>
  <c r="P277" i="57"/>
  <c r="AI277" i="47"/>
  <c r="AZ277" i="47" s="1"/>
  <c r="AI103" i="47"/>
  <c r="AZ103" i="47" s="1"/>
  <c r="P103" i="57"/>
  <c r="AI119" i="47"/>
  <c r="AZ119" i="47" s="1"/>
  <c r="P119" i="57"/>
  <c r="AI148" i="47"/>
  <c r="AZ148" i="47" s="1"/>
  <c r="P148" i="57"/>
  <c r="AI263" i="47"/>
  <c r="AZ263" i="47" s="1"/>
  <c r="P263" i="57"/>
  <c r="AI75" i="47"/>
  <c r="AZ75" i="47" s="1"/>
  <c r="P75" i="57"/>
  <c r="AI286" i="47"/>
  <c r="AZ286" i="47" s="1"/>
  <c r="P286" i="57"/>
  <c r="P140" i="57"/>
  <c r="AI140" i="47"/>
  <c r="AZ140" i="47" s="1"/>
  <c r="AI112" i="47"/>
  <c r="AZ112" i="47" s="1"/>
  <c r="P112" i="57"/>
  <c r="P105" i="57"/>
  <c r="AI105" i="47"/>
  <c r="AZ105" i="47" s="1"/>
  <c r="P57" i="57"/>
  <c r="AI57" i="47"/>
  <c r="AZ57" i="47" s="1"/>
  <c r="P151" i="57"/>
  <c r="AI151" i="47"/>
  <c r="AZ151" i="47" s="1"/>
  <c r="P115" i="57"/>
  <c r="AI115" i="47"/>
  <c r="AZ115" i="47" s="1"/>
  <c r="AH212" i="57"/>
  <c r="O219" i="68"/>
  <c r="O212" i="51"/>
  <c r="O266" i="68"/>
  <c r="AH259" i="57"/>
  <c r="O259" i="51"/>
  <c r="AH105" i="57"/>
  <c r="O112" i="68"/>
  <c r="O105" i="51"/>
  <c r="O167" i="68"/>
  <c r="AH160" i="57"/>
  <c r="O160" i="51"/>
  <c r="O131" i="51"/>
  <c r="AH131" i="57"/>
  <c r="O138" i="68"/>
  <c r="O302" i="68"/>
  <c r="AH295" i="57"/>
  <c r="O295" i="51"/>
  <c r="AH116" i="57"/>
  <c r="O123" i="68"/>
  <c r="O116" i="51"/>
  <c r="O133" i="51"/>
  <c r="O140" i="68"/>
  <c r="AH133" i="57"/>
  <c r="O75" i="68"/>
  <c r="AH68" i="57"/>
  <c r="O68" i="51"/>
  <c r="O161" i="68"/>
  <c r="AH154" i="57"/>
  <c r="O154" i="51"/>
  <c r="O78" i="68"/>
  <c r="AH71" i="57"/>
  <c r="O71" i="51"/>
  <c r="O177" i="68"/>
  <c r="AH170" i="57"/>
  <c r="O170" i="51"/>
  <c r="AH272" i="57"/>
  <c r="O279" i="68"/>
  <c r="O272" i="51"/>
  <c r="O180" i="68"/>
  <c r="O173" i="51"/>
  <c r="AH173" i="57"/>
  <c r="O95" i="68"/>
  <c r="AH88" i="57"/>
  <c r="O88" i="51"/>
  <c r="AH42" i="57"/>
  <c r="O42" i="51"/>
  <c r="O49" i="68"/>
  <c r="AH293" i="57"/>
  <c r="O300" i="68"/>
  <c r="O293" i="51"/>
  <c r="AH185" i="57"/>
  <c r="O185" i="51"/>
  <c r="O192" i="68"/>
  <c r="O151" i="68"/>
  <c r="AH144" i="57"/>
  <c r="O144" i="51"/>
  <c r="AH253" i="57"/>
  <c r="O253" i="51"/>
  <c r="O260" i="68"/>
  <c r="AH230" i="57"/>
  <c r="O237" i="68"/>
  <c r="O230" i="51"/>
  <c r="O305" i="68"/>
  <c r="AH298" i="57"/>
  <c r="O298" i="51"/>
  <c r="O24" i="68"/>
  <c r="O17" i="51"/>
  <c r="AH17" i="57"/>
  <c r="K8" i="66"/>
  <c r="AH115" i="57"/>
  <c r="O115" i="51"/>
  <c r="O122" i="68"/>
  <c r="O159" i="51"/>
  <c r="AH159" i="57"/>
  <c r="O166" i="68"/>
  <c r="AH288" i="57"/>
  <c r="O295" i="68"/>
  <c r="O288" i="51"/>
  <c r="O166" i="51"/>
  <c r="O173" i="68"/>
  <c r="AH166" i="57"/>
  <c r="O37" i="68"/>
  <c r="O30" i="51"/>
  <c r="AH30" i="57"/>
  <c r="O194" i="68"/>
  <c r="O187" i="51"/>
  <c r="AH187" i="57"/>
  <c r="O277" i="51"/>
  <c r="AH277" i="57"/>
  <c r="O284" i="68"/>
  <c r="AI18" i="47"/>
  <c r="AZ18" i="47" s="1"/>
  <c r="P18" i="57"/>
  <c r="AI296" i="47"/>
  <c r="AZ296" i="47" s="1"/>
  <c r="P296" i="57"/>
  <c r="AI273" i="47"/>
  <c r="AZ273" i="47" s="1"/>
  <c r="P273" i="57"/>
  <c r="P229" i="57"/>
  <c r="AI229" i="47"/>
  <c r="AZ229" i="47" s="1"/>
  <c r="L82" i="66"/>
  <c r="P15" i="57"/>
  <c r="AI15" i="47"/>
  <c r="P13" i="47"/>
  <c r="AI92" i="47"/>
  <c r="AZ92" i="47" s="1"/>
  <c r="P92" i="57"/>
  <c r="P128" i="57"/>
  <c r="AI128" i="47"/>
  <c r="AZ128" i="47" s="1"/>
  <c r="AI196" i="47"/>
  <c r="AZ196" i="47" s="1"/>
  <c r="P196" i="57"/>
  <c r="AI272" i="47"/>
  <c r="AZ272" i="47" s="1"/>
  <c r="P272" i="57"/>
  <c r="AI206" i="47"/>
  <c r="AZ206" i="47" s="1"/>
  <c r="P206" i="57"/>
  <c r="P254" i="57"/>
  <c r="AI254" i="47"/>
  <c r="AZ254" i="47" s="1"/>
  <c r="AI245" i="47"/>
  <c r="AZ245" i="47" s="1"/>
  <c r="P245" i="57"/>
  <c r="P86" i="57"/>
  <c r="AI86" i="47"/>
  <c r="AZ86" i="47" s="1"/>
  <c r="P209" i="57"/>
  <c r="AI209" i="47"/>
  <c r="AZ209" i="47" s="1"/>
  <c r="AI258" i="47"/>
  <c r="AZ258" i="47" s="1"/>
  <c r="P258" i="57"/>
  <c r="AI250" i="47"/>
  <c r="AZ250" i="47" s="1"/>
  <c r="P250" i="57"/>
  <c r="P99" i="57"/>
  <c r="AI99" i="47"/>
  <c r="AZ99" i="47" s="1"/>
  <c r="P281" i="57"/>
  <c r="AI281" i="47"/>
  <c r="AZ281" i="47" s="1"/>
  <c r="AI275" i="47"/>
  <c r="AZ275" i="47" s="1"/>
  <c r="P275" i="57"/>
  <c r="P221" i="57"/>
  <c r="AI221" i="47"/>
  <c r="AZ221" i="47" s="1"/>
  <c r="P204" i="57"/>
  <c r="AI204" i="47"/>
  <c r="AZ204" i="47" s="1"/>
  <c r="AI45" i="47"/>
  <c r="AZ45" i="47" s="1"/>
  <c r="P45" i="57"/>
  <c r="P47" i="57"/>
  <c r="AI47" i="47"/>
  <c r="AZ47" i="47" s="1"/>
  <c r="AI212" i="47"/>
  <c r="AZ212" i="47" s="1"/>
  <c r="P212" i="57"/>
  <c r="P197" i="57"/>
  <c r="AI197" i="47"/>
  <c r="AZ197" i="47" s="1"/>
  <c r="AI162" i="47"/>
  <c r="AZ162" i="47" s="1"/>
  <c r="P162" i="57"/>
  <c r="AI89" i="47"/>
  <c r="AZ89" i="47" s="1"/>
  <c r="P89" i="57"/>
  <c r="AI191" i="47"/>
  <c r="AZ191" i="47" s="1"/>
  <c r="P191" i="57"/>
  <c r="AI49" i="47"/>
  <c r="AZ49" i="47" s="1"/>
  <c r="P49" i="57"/>
  <c r="P208" i="57"/>
  <c r="AI208" i="47"/>
  <c r="AZ208" i="47" s="1"/>
  <c r="AI55" i="47"/>
  <c r="AZ55" i="47" s="1"/>
  <c r="P55" i="57"/>
  <c r="AI107" i="47"/>
  <c r="AZ107" i="47" s="1"/>
  <c r="P107" i="57"/>
  <c r="AI215" i="47"/>
  <c r="AZ215" i="47" s="1"/>
  <c r="P215" i="57"/>
  <c r="AI114" i="47"/>
  <c r="AZ114" i="47" s="1"/>
  <c r="P114" i="57"/>
  <c r="AI211" i="47"/>
  <c r="AZ211" i="47" s="1"/>
  <c r="P211" i="57"/>
  <c r="AI160" i="47"/>
  <c r="AZ160" i="47" s="1"/>
  <c r="P160" i="57"/>
  <c r="AI278" i="47"/>
  <c r="AZ278" i="47" s="1"/>
  <c r="P278" i="57"/>
  <c r="AH97" i="57"/>
  <c r="O104" i="68"/>
  <c r="O97" i="51"/>
  <c r="O124" i="68"/>
  <c r="AH117" i="57"/>
  <c r="O117" i="51"/>
  <c r="O188" i="68"/>
  <c r="AH181" i="57"/>
  <c r="O181" i="51"/>
  <c r="O304" i="68"/>
  <c r="AH297" i="57"/>
  <c r="O297" i="51"/>
  <c r="O31" i="51"/>
  <c r="O38" i="68"/>
  <c r="AH31" i="57"/>
  <c r="AH276" i="57"/>
  <c r="O283" i="68"/>
  <c r="O276" i="51"/>
  <c r="AH177" i="57"/>
  <c r="O184" i="68"/>
  <c r="O177" i="51"/>
  <c r="AH198" i="57"/>
  <c r="O205" i="68"/>
  <c r="O198" i="51"/>
  <c r="O186" i="68"/>
  <c r="AH179" i="57"/>
  <c r="O179" i="51"/>
  <c r="O40" i="51"/>
  <c r="AH40" i="57"/>
  <c r="O47" i="68"/>
  <c r="O268" i="68"/>
  <c r="AH261" i="57"/>
  <c r="O261" i="51"/>
  <c r="O245" i="68"/>
  <c r="AH238" i="57"/>
  <c r="O238" i="51"/>
  <c r="O67" i="51"/>
  <c r="AH67" i="57"/>
  <c r="O74" i="68"/>
  <c r="O113" i="68"/>
  <c r="AH106" i="57"/>
  <c r="O106" i="51"/>
  <c r="AH184" i="57"/>
  <c r="O191" i="68"/>
  <c r="O184" i="51"/>
  <c r="AH161" i="57"/>
  <c r="O168" i="68"/>
  <c r="O161" i="51"/>
  <c r="AH200" i="57"/>
  <c r="O207" i="68"/>
  <c r="O200" i="51"/>
  <c r="O58" i="68"/>
  <c r="AH51" i="57"/>
  <c r="O51" i="51"/>
  <c r="O46" i="68"/>
  <c r="AH39" i="57"/>
  <c r="O39" i="51"/>
  <c r="O228" i="68"/>
  <c r="O221" i="51"/>
  <c r="AH221" i="57"/>
  <c r="O275" i="68"/>
  <c r="O268" i="51"/>
  <c r="AH268" i="57"/>
  <c r="AH262" i="57"/>
  <c r="O262" i="51"/>
  <c r="O269" i="68"/>
  <c r="O308" i="68"/>
  <c r="AH301" i="57"/>
  <c r="O301" i="51"/>
  <c r="O33" i="68"/>
  <c r="AH26" i="57"/>
  <c r="O26" i="51"/>
  <c r="O157" i="68"/>
  <c r="AH150" i="57"/>
  <c r="O150" i="51"/>
  <c r="O77" i="68"/>
  <c r="AH70" i="57"/>
  <c r="O70" i="51"/>
  <c r="BD81" i="66"/>
  <c r="V81" i="66"/>
  <c r="AR81" i="66" s="1"/>
  <c r="AH81" i="66"/>
  <c r="BB81" i="66"/>
  <c r="O110" i="68"/>
  <c r="AH103" i="57"/>
  <c r="O103" i="51"/>
  <c r="O238" i="68"/>
  <c r="O231" i="51"/>
  <c r="AH231" i="57"/>
  <c r="O201" i="68"/>
  <c r="AH194" i="57"/>
  <c r="O194" i="51"/>
  <c r="AH252" i="57"/>
  <c r="O259" i="68"/>
  <c r="O252" i="51"/>
  <c r="AH208" i="57"/>
  <c r="O215" i="68"/>
  <c r="O208" i="51"/>
  <c r="AH302" i="57"/>
  <c r="O309" i="68"/>
  <c r="O302" i="51"/>
  <c r="O270" i="68"/>
  <c r="AH263" i="57"/>
  <c r="O263" i="51"/>
  <c r="O55" i="68"/>
  <c r="AH48" i="57"/>
  <c r="K6" i="66"/>
  <c r="O48" i="51"/>
  <c r="AI186" i="47"/>
  <c r="AZ186" i="47" s="1"/>
  <c r="P186" i="57"/>
  <c r="AI82" i="47"/>
  <c r="AZ82" i="47" s="1"/>
  <c r="P82" i="57"/>
  <c r="AI228" i="47"/>
  <c r="AZ228" i="47" s="1"/>
  <c r="P228" i="57"/>
  <c r="AI172" i="47"/>
  <c r="AZ172" i="47" s="1"/>
  <c r="P172" i="57"/>
  <c r="AI264" i="47"/>
  <c r="AZ264" i="47" s="1"/>
  <c r="P264" i="57"/>
  <c r="AI37" i="47"/>
  <c r="AZ37" i="47" s="1"/>
  <c r="P37" i="57"/>
  <c r="P259" i="57"/>
  <c r="AI259" i="47"/>
  <c r="AZ259" i="47" s="1"/>
  <c r="AI100" i="47"/>
  <c r="AZ100" i="47" s="1"/>
  <c r="P100" i="57"/>
  <c r="AI29" i="47"/>
  <c r="AZ29" i="47" s="1"/>
  <c r="P29" i="57"/>
  <c r="AI180" i="47"/>
  <c r="AZ180" i="47" s="1"/>
  <c r="P180" i="57"/>
  <c r="AI60" i="47"/>
  <c r="AZ60" i="47" s="1"/>
  <c r="P60" i="57"/>
  <c r="AI73" i="47"/>
  <c r="AZ73" i="47" s="1"/>
  <c r="P73" i="57"/>
  <c r="P173" i="57"/>
  <c r="AI173" i="47"/>
  <c r="AZ173" i="47" s="1"/>
  <c r="AI184" i="47"/>
  <c r="AZ184" i="47" s="1"/>
  <c r="P184" i="57"/>
  <c r="P38" i="57"/>
  <c r="AI38" i="47"/>
  <c r="AZ38" i="47" s="1"/>
  <c r="P141" i="57"/>
  <c r="AI141" i="47"/>
  <c r="AZ141" i="47" s="1"/>
  <c r="AI283" i="47"/>
  <c r="AZ283" i="47" s="1"/>
  <c r="P283" i="57"/>
  <c r="P303" i="57"/>
  <c r="AI303" i="47"/>
  <c r="AZ303" i="47" s="1"/>
  <c r="AI87" i="47"/>
  <c r="AZ87" i="47" s="1"/>
  <c r="P87" i="57"/>
  <c r="AI226" i="47"/>
  <c r="AZ226" i="47" s="1"/>
  <c r="P226" i="57"/>
  <c r="AI61" i="47"/>
  <c r="AZ61" i="47" s="1"/>
  <c r="P61" i="57"/>
  <c r="AI104" i="47"/>
  <c r="AZ104" i="47" s="1"/>
  <c r="P104" i="57"/>
  <c r="AI134" i="47"/>
  <c r="AZ134" i="47" s="1"/>
  <c r="P134" i="57"/>
  <c r="AI90" i="47"/>
  <c r="AZ90" i="47" s="1"/>
  <c r="P90" i="57"/>
  <c r="AI268" i="47"/>
  <c r="AZ268" i="47" s="1"/>
  <c r="P268" i="57"/>
  <c r="AI40" i="47"/>
  <c r="AZ40" i="47" s="1"/>
  <c r="P40" i="57"/>
  <c r="AI149" i="47"/>
  <c r="AZ149" i="47" s="1"/>
  <c r="P149" i="57"/>
  <c r="AI200" i="47"/>
  <c r="AZ200" i="47" s="1"/>
  <c r="P200" i="57"/>
  <c r="AI80" i="47"/>
  <c r="AZ80" i="47" s="1"/>
  <c r="P80" i="57"/>
  <c r="P236" i="57"/>
  <c r="AI236" i="47"/>
  <c r="AZ236" i="47" s="1"/>
  <c r="AI174" i="47"/>
  <c r="AZ174" i="47" s="1"/>
  <c r="P174" i="57"/>
  <c r="AI69" i="47"/>
  <c r="AZ69" i="47" s="1"/>
  <c r="P69" i="57"/>
  <c r="AI214" i="47"/>
  <c r="AZ214" i="47" s="1"/>
  <c r="P214" i="57"/>
  <c r="AI109" i="47"/>
  <c r="AZ109" i="47" s="1"/>
  <c r="P109" i="57"/>
  <c r="AI284" i="47"/>
  <c r="AZ284" i="47" s="1"/>
  <c r="P284" i="57"/>
  <c r="AI192" i="47"/>
  <c r="AZ192" i="47" s="1"/>
  <c r="P192" i="57"/>
  <c r="P217" i="57"/>
  <c r="AI217" i="47"/>
  <c r="AZ217" i="47" s="1"/>
  <c r="AH33" i="57"/>
  <c r="O40" i="68"/>
  <c r="O33" i="51"/>
  <c r="O111" i="68"/>
  <c r="AH104" i="57"/>
  <c r="O104" i="51"/>
  <c r="O86" i="51"/>
  <c r="AH86" i="57"/>
  <c r="O93" i="68"/>
  <c r="O227" i="68"/>
  <c r="AH220" i="57"/>
  <c r="O220" i="51"/>
  <c r="O240" i="68"/>
  <c r="AH233" i="57"/>
  <c r="O233" i="51"/>
  <c r="AH278" i="57"/>
  <c r="O285" i="68"/>
  <c r="O278" i="51"/>
  <c r="O189" i="68"/>
  <c r="O182" i="51"/>
  <c r="AH182" i="57"/>
  <c r="O135" i="68"/>
  <c r="AH128" i="57"/>
  <c r="O128" i="51"/>
  <c r="AH155" i="57"/>
  <c r="O155" i="51"/>
  <c r="O162" i="68"/>
  <c r="AH27" i="57"/>
  <c r="O34" i="68"/>
  <c r="O27" i="51"/>
  <c r="AH258" i="57"/>
  <c r="O258" i="51"/>
  <c r="O265" i="68"/>
  <c r="AH43" i="57"/>
  <c r="O50" i="68"/>
  <c r="O43" i="51"/>
  <c r="O243" i="68"/>
  <c r="AH236" i="57"/>
  <c r="O236" i="51"/>
  <c r="AH211" i="57"/>
  <c r="O218" i="68"/>
  <c r="O211" i="51"/>
  <c r="AH47" i="57"/>
  <c r="O47" i="51"/>
  <c r="O54" i="68"/>
  <c r="AH102" i="57"/>
  <c r="O102" i="51"/>
  <c r="O109" i="68"/>
  <c r="AH89" i="57"/>
  <c r="O96" i="68"/>
  <c r="O89" i="51"/>
  <c r="O53" i="51"/>
  <c r="AH53" i="57"/>
  <c r="O60" i="68"/>
  <c r="AH244" i="57"/>
  <c r="O251" i="68"/>
  <c r="O244" i="51"/>
  <c r="O244" i="68"/>
  <c r="AH237" i="57"/>
  <c r="O237" i="51"/>
  <c r="O291" i="68"/>
  <c r="AH284" i="57"/>
  <c r="O284" i="51"/>
  <c r="O214" i="51"/>
  <c r="AH214" i="57"/>
  <c r="O221" i="68"/>
  <c r="O74" i="51"/>
  <c r="AH74" i="57"/>
  <c r="O81" i="68"/>
  <c r="O26" i="68"/>
  <c r="O19" i="51"/>
  <c r="AH19" i="57"/>
  <c r="O199" i="68"/>
  <c r="AH192" i="57"/>
  <c r="O192" i="51"/>
  <c r="O34" i="51"/>
  <c r="AH34" i="57"/>
  <c r="O41" i="68"/>
  <c r="AH162" i="57"/>
  <c r="O169" i="68"/>
  <c r="O162" i="51"/>
  <c r="O293" i="68"/>
  <c r="AH286" i="57"/>
  <c r="O286" i="51"/>
  <c r="O57" i="68"/>
  <c r="AH50" i="57"/>
  <c r="O50" i="51"/>
  <c r="AH99" i="57"/>
  <c r="O106" i="68"/>
  <c r="O99" i="51"/>
  <c r="AH92" i="57"/>
  <c r="O99" i="68"/>
  <c r="O92" i="51"/>
  <c r="O129" i="68"/>
  <c r="AH122" i="57"/>
  <c r="O122" i="51"/>
  <c r="O52" i="68"/>
  <c r="O45" i="51"/>
  <c r="AH45" i="57"/>
  <c r="AH55" i="57"/>
  <c r="O62" i="68"/>
  <c r="O55" i="51"/>
  <c r="AH140" i="57"/>
  <c r="O147" i="68"/>
  <c r="O140" i="51"/>
  <c r="AH49" i="57"/>
  <c r="O56" i="68"/>
  <c r="O49" i="51"/>
  <c r="O64" i="68"/>
  <c r="O57" i="51"/>
  <c r="AH57" i="57"/>
  <c r="AH303" i="57"/>
  <c r="O310" i="68"/>
  <c r="O303" i="51"/>
  <c r="O171" i="68"/>
  <c r="AH164" i="57"/>
  <c r="O164" i="51"/>
  <c r="BB79" i="66"/>
  <c r="V79" i="66"/>
  <c r="AR79" i="66" s="1"/>
  <c r="BD79" i="66"/>
  <c r="AH79" i="66"/>
  <c r="P297" i="57"/>
  <c r="AI297" i="47"/>
  <c r="AZ297" i="47" s="1"/>
  <c r="P242" i="57"/>
  <c r="AI242" i="47"/>
  <c r="AZ242" i="47" s="1"/>
  <c r="AI179" i="47"/>
  <c r="AZ179" i="47" s="1"/>
  <c r="P179" i="57"/>
  <c r="AI293" i="47"/>
  <c r="AZ293" i="47" s="1"/>
  <c r="P293" i="57"/>
  <c r="AI113" i="47"/>
  <c r="AZ113" i="47" s="1"/>
  <c r="P113" i="57"/>
  <c r="P302" i="57"/>
  <c r="AI302" i="47"/>
  <c r="AZ302" i="47" s="1"/>
  <c r="AI94" i="47"/>
  <c r="AZ94" i="47" s="1"/>
  <c r="P94" i="57"/>
  <c r="AI142" i="47"/>
  <c r="AZ142" i="47" s="1"/>
  <c r="P142" i="57"/>
  <c r="AI223" i="47"/>
  <c r="AZ223" i="47" s="1"/>
  <c r="P223" i="57"/>
  <c r="AI201" i="47"/>
  <c r="AZ201" i="47" s="1"/>
  <c r="P201" i="57"/>
  <c r="AI237" i="47"/>
  <c r="AZ237" i="47" s="1"/>
  <c r="P237" i="57"/>
  <c r="AI46" i="47"/>
  <c r="AZ46" i="47" s="1"/>
  <c r="P46" i="57"/>
  <c r="AI239" i="47"/>
  <c r="AZ239" i="47" s="1"/>
  <c r="P239" i="57"/>
  <c r="P145" i="57"/>
  <c r="AI145" i="47"/>
  <c r="AZ145" i="47" s="1"/>
  <c r="L80" i="66"/>
  <c r="AI33" i="47"/>
  <c r="AZ33" i="47" s="1"/>
  <c r="P33" i="57"/>
  <c r="P233" i="57"/>
  <c r="AI233" i="47"/>
  <c r="AZ233" i="47" s="1"/>
  <c r="AI176" i="47"/>
  <c r="AZ176" i="47" s="1"/>
  <c r="P176" i="57"/>
  <c r="AI16" i="47"/>
  <c r="AZ16" i="47" s="1"/>
  <c r="L83" i="66"/>
  <c r="P16" i="57"/>
  <c r="AI62" i="47"/>
  <c r="AZ62" i="47" s="1"/>
  <c r="P62" i="57"/>
  <c r="AI299" i="47"/>
  <c r="AZ299" i="47" s="1"/>
  <c r="P299" i="57"/>
  <c r="AI255" i="47"/>
  <c r="AZ255" i="47" s="1"/>
  <c r="P255" i="57"/>
  <c r="AI185" i="47"/>
  <c r="AZ185" i="47" s="1"/>
  <c r="P185" i="57"/>
  <c r="AI246" i="47"/>
  <c r="AZ246" i="47" s="1"/>
  <c r="P246" i="57"/>
  <c r="P93" i="57"/>
  <c r="AI93" i="47"/>
  <c r="AZ93" i="47" s="1"/>
  <c r="AI127" i="47"/>
  <c r="AZ127" i="47" s="1"/>
  <c r="P127" i="57"/>
  <c r="AI67" i="47"/>
  <c r="AZ67" i="47" s="1"/>
  <c r="P67" i="57"/>
  <c r="P76" i="57"/>
  <c r="AI76" i="47"/>
  <c r="AZ76" i="47" s="1"/>
  <c r="P182" i="57"/>
  <c r="AI182" i="47"/>
  <c r="AZ182" i="47" s="1"/>
  <c r="AI307" i="47"/>
  <c r="AZ307" i="47" s="1"/>
  <c r="P307" i="57"/>
  <c r="AI164" i="47"/>
  <c r="AZ164" i="47" s="1"/>
  <c r="P164" i="57"/>
  <c r="P227" i="57"/>
  <c r="AI227" i="47"/>
  <c r="AZ227" i="47" s="1"/>
  <c r="AI54" i="47"/>
  <c r="AZ54" i="47" s="1"/>
  <c r="P54" i="57"/>
  <c r="AI282" i="47"/>
  <c r="AZ282" i="47" s="1"/>
  <c r="P282" i="57"/>
  <c r="AI189" i="47"/>
  <c r="AZ189" i="47" s="1"/>
  <c r="P189" i="57"/>
  <c r="P27" i="57"/>
  <c r="AI27" i="47"/>
  <c r="AZ27" i="47" s="1"/>
  <c r="P249" i="57"/>
  <c r="AI249" i="47"/>
  <c r="AZ249" i="47" s="1"/>
  <c r="AI168" i="47"/>
  <c r="AZ168" i="47" s="1"/>
  <c r="P168" i="57"/>
  <c r="O79" i="51"/>
  <c r="AH79" i="57"/>
  <c r="O86" i="68"/>
  <c r="AH201" i="57"/>
  <c r="O208" i="68"/>
  <c r="O201" i="51"/>
  <c r="O95" i="51"/>
  <c r="AH95" i="57"/>
  <c r="O102" i="68"/>
  <c r="O137" i="68"/>
  <c r="O130" i="51"/>
  <c r="AH130" i="57"/>
  <c r="O287" i="68"/>
  <c r="AH280" i="57"/>
  <c r="O280" i="51"/>
  <c r="O255" i="68"/>
  <c r="O248" i="51"/>
  <c r="AH248" i="57"/>
  <c r="O209" i="51"/>
  <c r="AH209" i="57"/>
  <c r="O216" i="68"/>
  <c r="O128" i="68"/>
  <c r="AH121" i="57"/>
  <c r="O121" i="51"/>
  <c r="O125" i="51"/>
  <c r="AH125" i="57"/>
  <c r="O132" i="68"/>
  <c r="O84" i="68"/>
  <c r="O77" i="51"/>
  <c r="AH77" i="57"/>
  <c r="O85" i="68"/>
  <c r="AH78" i="57"/>
  <c r="O78" i="51"/>
  <c r="O149" i="68"/>
  <c r="O142" i="51"/>
  <c r="AH142" i="57"/>
  <c r="O80" i="68"/>
  <c r="AH73" i="57"/>
  <c r="O73" i="51"/>
  <c r="O254" i="68"/>
  <c r="AH247" i="57"/>
  <c r="O247" i="51"/>
  <c r="AH273" i="57"/>
  <c r="O280" i="68"/>
  <c r="O273" i="51"/>
  <c r="AH228" i="57"/>
  <c r="O235" i="68"/>
  <c r="O228" i="51"/>
  <c r="O233" i="68"/>
  <c r="AH226" i="57"/>
  <c r="O226" i="51"/>
  <c r="AH186" i="57"/>
  <c r="O193" i="68"/>
  <c r="O186" i="51"/>
  <c r="O44" i="68"/>
  <c r="AH37" i="57"/>
  <c r="O37" i="51"/>
  <c r="O20" i="51"/>
  <c r="O27" i="68"/>
  <c r="AH20" i="57"/>
  <c r="O68" i="68"/>
  <c r="O61" i="51"/>
  <c r="AH61" i="57"/>
  <c r="AH257" i="57"/>
  <c r="O264" i="68"/>
  <c r="O257" i="51"/>
  <c r="AH246" i="57"/>
  <c r="O253" i="68"/>
  <c r="O246" i="51"/>
  <c r="O214" i="68"/>
  <c r="AH207" i="57"/>
  <c r="O207" i="51"/>
  <c r="O279" i="51"/>
  <c r="AH279" i="57"/>
  <c r="O286" i="68"/>
  <c r="AH126" i="57"/>
  <c r="O133" i="68"/>
  <c r="O126" i="51"/>
  <c r="AH35" i="57"/>
  <c r="O42" i="68"/>
  <c r="O35" i="51"/>
  <c r="AH141" i="57"/>
  <c r="O141" i="51"/>
  <c r="O148" i="68"/>
  <c r="AH23" i="57"/>
  <c r="O30" i="68"/>
  <c r="O23" i="51"/>
  <c r="O193" i="51"/>
  <c r="O274" i="68"/>
  <c r="AH267" i="57"/>
  <c r="O267" i="51"/>
  <c r="O66" i="51"/>
  <c r="AH66" i="57"/>
  <c r="O73" i="68"/>
  <c r="O307" i="68"/>
  <c r="AH300" i="57"/>
  <c r="O300" i="51"/>
  <c r="AH82" i="66"/>
  <c r="V82" i="66"/>
  <c r="AR82" i="66" s="1"/>
  <c r="BB82" i="66"/>
  <c r="BD82" i="66"/>
  <c r="AH90" i="57"/>
  <c r="O97" i="68"/>
  <c r="O90" i="51"/>
  <c r="AH229" i="57"/>
  <c r="O236" i="68"/>
  <c r="O229" i="51"/>
  <c r="AH203" i="57"/>
  <c r="O210" i="68"/>
  <c r="O203" i="51"/>
  <c r="AH80" i="57"/>
  <c r="O87" i="68"/>
  <c r="O80" i="51"/>
  <c r="AH32" i="57"/>
  <c r="O39" i="68"/>
  <c r="O32" i="51"/>
  <c r="AH241" i="57"/>
  <c r="O241" i="51"/>
  <c r="O248" i="68"/>
  <c r="AH101" i="57"/>
  <c r="O108" i="68"/>
  <c r="O101" i="51"/>
  <c r="AI133" i="47"/>
  <c r="AZ133" i="47" s="1"/>
  <c r="P133" i="57"/>
  <c r="P248" i="57"/>
  <c r="AI248" i="47"/>
  <c r="AZ248" i="47" s="1"/>
  <c r="AI194" i="47"/>
  <c r="AZ194" i="47" s="1"/>
  <c r="P194" i="57"/>
  <c r="AI130" i="47"/>
  <c r="AZ130" i="47" s="1"/>
  <c r="P130" i="57"/>
  <c r="P224" i="57"/>
  <c r="AI224" i="47"/>
  <c r="AZ224" i="47" s="1"/>
  <c r="AI144" i="47"/>
  <c r="AZ144" i="47" s="1"/>
  <c r="P144" i="57"/>
  <c r="P301" i="57"/>
  <c r="AI301" i="47"/>
  <c r="AZ301" i="47" s="1"/>
  <c r="P300" i="57"/>
  <c r="AI300" i="47"/>
  <c r="AZ300" i="47" s="1"/>
  <c r="AI256" i="47"/>
  <c r="AZ256" i="47" s="1"/>
  <c r="P256" i="57"/>
  <c r="P19" i="57"/>
  <c r="AI19" i="47"/>
  <c r="AZ19" i="47" s="1"/>
  <c r="AI25" i="47"/>
  <c r="AZ25" i="47" s="1"/>
  <c r="P25" i="57"/>
  <c r="AI213" i="47"/>
  <c r="AZ213" i="47" s="1"/>
  <c r="P213" i="57"/>
  <c r="P64" i="57"/>
  <c r="AI64" i="47"/>
  <c r="AZ64" i="47" s="1"/>
  <c r="AI35" i="47"/>
  <c r="AZ35" i="47" s="1"/>
  <c r="P35" i="57"/>
  <c r="AI274" i="47"/>
  <c r="AZ274" i="47" s="1"/>
  <c r="P274" i="57"/>
  <c r="AI150" i="47"/>
  <c r="AZ150" i="47" s="1"/>
  <c r="P150" i="57"/>
  <c r="P71" i="57"/>
  <c r="AI71" i="47"/>
  <c r="AZ71" i="47" s="1"/>
  <c r="P17" i="57"/>
  <c r="L81" i="66"/>
  <c r="AI17" i="47"/>
  <c r="AZ17" i="47" s="1"/>
  <c r="P202" i="57"/>
  <c r="AI202" i="47"/>
  <c r="AZ202" i="47" s="1"/>
  <c r="AI235" i="47"/>
  <c r="AZ235" i="47" s="1"/>
  <c r="P235" i="57"/>
  <c r="P129" i="57"/>
  <c r="AI129" i="47"/>
  <c r="AZ129" i="47" s="1"/>
  <c r="AI225" i="47"/>
  <c r="AZ225" i="47" s="1"/>
  <c r="P225" i="57"/>
  <c r="AI44" i="47"/>
  <c r="AZ44" i="47" s="1"/>
  <c r="P44" i="57"/>
  <c r="AI279" i="47"/>
  <c r="AZ279" i="47" s="1"/>
  <c r="P279" i="57"/>
  <c r="AI198" i="47"/>
  <c r="AZ198" i="47" s="1"/>
  <c r="P198" i="57"/>
  <c r="AI276" i="47"/>
  <c r="AZ276" i="47" s="1"/>
  <c r="P276" i="57"/>
  <c r="AI271" i="47"/>
  <c r="AZ271" i="47" s="1"/>
  <c r="P271" i="57"/>
  <c r="AI230" i="47"/>
  <c r="AZ230" i="47" s="1"/>
  <c r="P230" i="57"/>
  <c r="AI97" i="47"/>
  <c r="AZ97" i="47" s="1"/>
  <c r="P97" i="57"/>
  <c r="AI291" i="47"/>
  <c r="AZ291" i="47" s="1"/>
  <c r="P291" i="57"/>
  <c r="AI122" i="47"/>
  <c r="AZ122" i="47" s="1"/>
  <c r="P122" i="57"/>
  <c r="AI70" i="47"/>
  <c r="AZ70" i="47" s="1"/>
  <c r="P70" i="57"/>
  <c r="AI290" i="47"/>
  <c r="AZ290" i="47" s="1"/>
  <c r="P290" i="57"/>
  <c r="P175" i="57"/>
  <c r="AI175" i="47"/>
  <c r="AZ175" i="47" s="1"/>
  <c r="P190" i="57"/>
  <c r="AI190" i="47"/>
  <c r="AZ190" i="47" s="1"/>
  <c r="AI108" i="47"/>
  <c r="AZ108" i="47" s="1"/>
  <c r="P108" i="57"/>
  <c r="P41" i="57"/>
  <c r="AI41" i="47"/>
  <c r="AZ41" i="47" s="1"/>
  <c r="AH205" i="57"/>
  <c r="O212" i="68"/>
  <c r="O205" i="51"/>
  <c r="O88" i="68"/>
  <c r="O81" i="51"/>
  <c r="AH81" i="57"/>
  <c r="BD80" i="66"/>
  <c r="BB80" i="66"/>
  <c r="AH80" i="66"/>
  <c r="V80" i="66"/>
  <c r="AR80" i="66" s="1"/>
  <c r="O63" i="68"/>
  <c r="O56" i="51"/>
  <c r="AH56" i="57"/>
  <c r="O141" i="68"/>
  <c r="AH134" i="57"/>
  <c r="O134" i="51"/>
  <c r="O290" i="68"/>
  <c r="AH283" i="57"/>
  <c r="O283" i="51"/>
  <c r="AH28" i="57"/>
  <c r="O35" i="68"/>
  <c r="O28" i="51"/>
  <c r="AH232" i="57"/>
  <c r="O239" i="68"/>
  <c r="O232" i="51"/>
  <c r="AH119" i="57"/>
  <c r="O119" i="51"/>
  <c r="O126" i="68"/>
  <c r="AH156" i="57"/>
  <c r="O163" i="68"/>
  <c r="O156" i="51"/>
  <c r="AH304" i="57"/>
  <c r="O311" i="68"/>
  <c r="O304" i="51"/>
  <c r="O82" i="68"/>
  <c r="AH75" i="57"/>
  <c r="O75" i="51"/>
  <c r="O282" i="68"/>
  <c r="AH275" i="57"/>
  <c r="O275" i="51"/>
  <c r="O144" i="68"/>
  <c r="AH137" i="57"/>
  <c r="O137" i="51"/>
  <c r="O59" i="68"/>
  <c r="AH52" i="57"/>
  <c r="O52" i="51"/>
  <c r="O25" i="68"/>
  <c r="AH18" i="57"/>
  <c r="O18" i="51"/>
  <c r="O146" i="51"/>
  <c r="O153" i="68"/>
  <c r="AH146" i="57"/>
  <c r="O165" i="68"/>
  <c r="AH158" i="57"/>
  <c r="O158" i="51"/>
  <c r="AH180" i="57"/>
  <c r="O187" i="68"/>
  <c r="O180" i="51"/>
  <c r="O65" i="51"/>
  <c r="O72" i="68"/>
  <c r="AH65" i="57"/>
  <c r="O118" i="68"/>
  <c r="AH111" i="57"/>
  <c r="O111" i="51"/>
  <c r="AH174" i="57"/>
  <c r="O181" i="68"/>
  <c r="O174" i="51"/>
  <c r="AH163" i="57"/>
  <c r="O163" i="51"/>
  <c r="O170" i="68"/>
  <c r="AH21" i="57"/>
  <c r="O28" i="68"/>
  <c r="O21" i="51"/>
  <c r="AH8" i="57" l="1"/>
  <c r="P307" i="68"/>
  <c r="AI300" i="57"/>
  <c r="P80" i="51"/>
  <c r="AJ80" i="51" s="1"/>
  <c r="AI80" i="51"/>
  <c r="P130" i="51"/>
  <c r="AJ130" i="51" s="1"/>
  <c r="AI130" i="51"/>
  <c r="AI227" i="57"/>
  <c r="P234" i="68"/>
  <c r="P103" i="51"/>
  <c r="AJ103" i="51" s="1"/>
  <c r="AI103" i="51"/>
  <c r="P52" i="51"/>
  <c r="AJ52" i="51" s="1"/>
  <c r="AI52" i="51"/>
  <c r="AI28" i="51"/>
  <c r="P28" i="51"/>
  <c r="AJ28" i="51" s="1"/>
  <c r="P115" i="68"/>
  <c r="AI108" i="57"/>
  <c r="AI70" i="57"/>
  <c r="P77" i="68"/>
  <c r="AI230" i="57"/>
  <c r="P237" i="68"/>
  <c r="AI279" i="57"/>
  <c r="P286" i="68"/>
  <c r="AI235" i="57"/>
  <c r="P242" i="68"/>
  <c r="P78" i="68"/>
  <c r="AI71" i="57"/>
  <c r="AI64" i="57"/>
  <c r="P71" i="68"/>
  <c r="P231" i="68"/>
  <c r="AI224" i="57"/>
  <c r="P229" i="51"/>
  <c r="AJ229" i="51" s="1"/>
  <c r="AI229" i="51"/>
  <c r="P267" i="51"/>
  <c r="AJ267" i="51" s="1"/>
  <c r="AI267" i="51"/>
  <c r="P246" i="51"/>
  <c r="AJ246" i="51" s="1"/>
  <c r="AI246" i="51"/>
  <c r="AI273" i="51"/>
  <c r="P273" i="51"/>
  <c r="AJ273" i="51" s="1"/>
  <c r="P77" i="51"/>
  <c r="AJ77" i="51" s="1"/>
  <c r="AI77" i="51"/>
  <c r="AI249" i="57"/>
  <c r="P256" i="68"/>
  <c r="AI182" i="57"/>
  <c r="P189" i="68"/>
  <c r="P100" i="68"/>
  <c r="AI93" i="57"/>
  <c r="P304" i="68"/>
  <c r="AI297" i="57"/>
  <c r="P303" i="51"/>
  <c r="AJ303" i="51" s="1"/>
  <c r="AI303" i="51"/>
  <c r="P45" i="51"/>
  <c r="AJ45" i="51" s="1"/>
  <c r="AI45" i="51"/>
  <c r="P99" i="51"/>
  <c r="AJ99" i="51" s="1"/>
  <c r="AI99" i="51"/>
  <c r="P211" i="51"/>
  <c r="AJ211" i="51" s="1"/>
  <c r="AI211" i="51"/>
  <c r="P155" i="51"/>
  <c r="AJ155" i="51" s="1"/>
  <c r="AI155" i="51"/>
  <c r="P278" i="51"/>
  <c r="AJ278" i="51" s="1"/>
  <c r="AI278" i="51"/>
  <c r="AI109" i="57"/>
  <c r="P116" i="68"/>
  <c r="P47" i="68"/>
  <c r="AI40" i="57"/>
  <c r="AI104" i="57"/>
  <c r="P111" i="68"/>
  <c r="AI184" i="57"/>
  <c r="P191" i="68"/>
  <c r="P187" i="68"/>
  <c r="AI180" i="57"/>
  <c r="AI37" i="57"/>
  <c r="P44" i="68"/>
  <c r="AI82" i="57"/>
  <c r="P89" i="68"/>
  <c r="P263" i="51"/>
  <c r="AJ263" i="51" s="1"/>
  <c r="AI263" i="51"/>
  <c r="P231" i="51"/>
  <c r="AJ231" i="51" s="1"/>
  <c r="AI231" i="51"/>
  <c r="P204" i="68"/>
  <c r="AI197" i="57"/>
  <c r="P211" i="68"/>
  <c r="AI204" i="57"/>
  <c r="P106" i="68"/>
  <c r="AI99" i="57"/>
  <c r="P93" i="68"/>
  <c r="AI86" i="57"/>
  <c r="AZ15" i="47"/>
  <c r="AI10" i="47"/>
  <c r="AI9" i="47"/>
  <c r="AH8" i="66"/>
  <c r="I106" i="66"/>
  <c r="V8" i="66"/>
  <c r="P154" i="51"/>
  <c r="AJ154" i="51" s="1"/>
  <c r="AI154" i="51"/>
  <c r="P133" i="51"/>
  <c r="AJ133" i="51" s="1"/>
  <c r="AI133" i="51"/>
  <c r="P259" i="51"/>
  <c r="AJ259" i="51" s="1"/>
  <c r="AI259" i="51"/>
  <c r="AI148" i="57"/>
  <c r="P155" i="68"/>
  <c r="P38" i="68"/>
  <c r="AI31" i="57"/>
  <c r="AI261" i="57"/>
  <c r="P268" i="68"/>
  <c r="AI124" i="57"/>
  <c r="P131" i="68"/>
  <c r="P157" i="51"/>
  <c r="AJ157" i="51" s="1"/>
  <c r="AI157" i="51"/>
  <c r="P190" i="51"/>
  <c r="AJ190" i="51" s="1"/>
  <c r="AI190" i="51"/>
  <c r="P270" i="51"/>
  <c r="AJ270" i="51" s="1"/>
  <c r="AI270" i="51"/>
  <c r="P83" i="51"/>
  <c r="AJ83" i="51" s="1"/>
  <c r="AI83" i="51"/>
  <c r="AI241" i="57"/>
  <c r="P248" i="68"/>
  <c r="AI295" i="57"/>
  <c r="P302" i="68"/>
  <c r="P130" i="68"/>
  <c r="AI123" i="57"/>
  <c r="AI158" i="57"/>
  <c r="P165" i="68"/>
  <c r="AI252" i="57"/>
  <c r="P259" i="68"/>
  <c r="I108" i="66"/>
  <c r="AH10" i="66"/>
  <c r="V10" i="66"/>
  <c r="AI222" i="51"/>
  <c r="P222" i="51"/>
  <c r="AJ222" i="51" s="1"/>
  <c r="P227" i="51"/>
  <c r="AJ227" i="51" s="1"/>
  <c r="AI227" i="51"/>
  <c r="P294" i="51"/>
  <c r="AJ294" i="51" s="1"/>
  <c r="AI294" i="51"/>
  <c r="AI102" i="57"/>
  <c r="P109" i="68"/>
  <c r="P103" i="68"/>
  <c r="AI96" i="57"/>
  <c r="P132" i="68"/>
  <c r="AI125" i="57"/>
  <c r="P30" i="68"/>
  <c r="AI23" i="57"/>
  <c r="P73" i="68"/>
  <c r="AI66" i="57"/>
  <c r="AI95" i="57"/>
  <c r="P102" i="68"/>
  <c r="AH5" i="66"/>
  <c r="I103" i="66"/>
  <c r="V5" i="66"/>
  <c r="K12" i="66"/>
  <c r="AI25" i="51"/>
  <c r="P25" i="51"/>
  <c r="AJ25" i="51" s="1"/>
  <c r="P249" i="51"/>
  <c r="AJ249" i="51" s="1"/>
  <c r="AI249" i="51"/>
  <c r="I105" i="66"/>
  <c r="AH7" i="66"/>
  <c r="V7" i="66"/>
  <c r="P135" i="51"/>
  <c r="AJ135" i="51" s="1"/>
  <c r="AI135" i="51"/>
  <c r="P63" i="68"/>
  <c r="AI56" i="57"/>
  <c r="P227" i="68"/>
  <c r="AI220" i="57"/>
  <c r="AI101" i="57"/>
  <c r="P108" i="68"/>
  <c r="AI26" i="57"/>
  <c r="P33" i="68"/>
  <c r="P224" i="51"/>
  <c r="AJ224" i="51" s="1"/>
  <c r="AI224" i="51"/>
  <c r="P300" i="51"/>
  <c r="AJ300" i="51" s="1"/>
  <c r="AI300" i="51"/>
  <c r="P228" i="68"/>
  <c r="AI221" i="57"/>
  <c r="P163" i="51"/>
  <c r="AJ163" i="51" s="1"/>
  <c r="AI163" i="51"/>
  <c r="P75" i="51"/>
  <c r="AJ75" i="51" s="1"/>
  <c r="AI75" i="51"/>
  <c r="P81" i="51"/>
  <c r="AJ81" i="51" s="1"/>
  <c r="AI81" i="51"/>
  <c r="AI150" i="57"/>
  <c r="P157" i="68"/>
  <c r="AI213" i="57"/>
  <c r="P220" i="68"/>
  <c r="P137" i="68"/>
  <c r="AI130" i="57"/>
  <c r="P101" i="51"/>
  <c r="AJ101" i="51" s="1"/>
  <c r="AI101" i="51"/>
  <c r="P253" i="68"/>
  <c r="AI246" i="57"/>
  <c r="P69" i="68"/>
  <c r="AI62" i="57"/>
  <c r="P240" i="68"/>
  <c r="AI233" i="57"/>
  <c r="AI46" i="57"/>
  <c r="P53" i="68"/>
  <c r="AI142" i="57"/>
  <c r="P149" i="68"/>
  <c r="AI293" i="57"/>
  <c r="P300" i="68"/>
  <c r="P140" i="51"/>
  <c r="AJ140" i="51" s="1"/>
  <c r="AI140" i="51"/>
  <c r="P162" i="51"/>
  <c r="AJ162" i="51" s="1"/>
  <c r="AI162" i="51"/>
  <c r="P244" i="51"/>
  <c r="AJ244" i="51" s="1"/>
  <c r="AI244" i="51"/>
  <c r="P243" i="68"/>
  <c r="AI236" i="57"/>
  <c r="AI303" i="57"/>
  <c r="P310" i="68"/>
  <c r="P252" i="51"/>
  <c r="AJ252" i="51" s="1"/>
  <c r="AI252" i="51"/>
  <c r="P70" i="51"/>
  <c r="AJ70" i="51" s="1"/>
  <c r="AI70" i="51"/>
  <c r="P268" i="51"/>
  <c r="AJ268" i="51" s="1"/>
  <c r="AI268" i="51"/>
  <c r="AI51" i="51"/>
  <c r="P51" i="51"/>
  <c r="AJ51" i="51" s="1"/>
  <c r="AI117" i="51"/>
  <c r="P117" i="51"/>
  <c r="AJ117" i="51" s="1"/>
  <c r="AI160" i="57"/>
  <c r="P167" i="68"/>
  <c r="AI107" i="57"/>
  <c r="P114" i="68"/>
  <c r="P198" i="68"/>
  <c r="AI191" i="57"/>
  <c r="P219" i="68"/>
  <c r="AI212" i="57"/>
  <c r="AI250" i="57"/>
  <c r="P257" i="68"/>
  <c r="P252" i="68"/>
  <c r="AI245" i="57"/>
  <c r="AI196" i="57"/>
  <c r="P203" i="68"/>
  <c r="P13" i="57"/>
  <c r="L9" i="66"/>
  <c r="P7" i="57"/>
  <c r="P22" i="68"/>
  <c r="AI15" i="57"/>
  <c r="P25" i="68"/>
  <c r="AI18" i="57"/>
  <c r="AI185" i="51"/>
  <c r="P185" i="51"/>
  <c r="AJ185" i="51" s="1"/>
  <c r="P88" i="51"/>
  <c r="AJ88" i="51" s="1"/>
  <c r="AI88" i="51"/>
  <c r="P116" i="51"/>
  <c r="AJ116" i="51" s="1"/>
  <c r="AI116" i="51"/>
  <c r="P131" i="51"/>
  <c r="AJ131" i="51" s="1"/>
  <c r="AI131" i="51"/>
  <c r="P158" i="68"/>
  <c r="AI151" i="57"/>
  <c r="AI140" i="57"/>
  <c r="P147" i="68"/>
  <c r="AI116" i="57"/>
  <c r="P123" i="68"/>
  <c r="AI98" i="57"/>
  <c r="P105" i="68"/>
  <c r="AI138" i="57"/>
  <c r="P145" i="68"/>
  <c r="P136" i="51"/>
  <c r="AJ136" i="51" s="1"/>
  <c r="AI136" i="51"/>
  <c r="P254" i="51"/>
  <c r="AJ254" i="51" s="1"/>
  <c r="AI254" i="51"/>
  <c r="AI242" i="51"/>
  <c r="P242" i="51"/>
  <c r="AJ242" i="51" s="1"/>
  <c r="AI197" i="51"/>
  <c r="P197" i="51"/>
  <c r="AJ197" i="51" s="1"/>
  <c r="P145" i="51"/>
  <c r="AJ145" i="51" s="1"/>
  <c r="AI145" i="51"/>
  <c r="P217" i="51"/>
  <c r="AJ217" i="51" s="1"/>
  <c r="AI217" i="51"/>
  <c r="P219" i="51"/>
  <c r="AJ219" i="51" s="1"/>
  <c r="AI219" i="51"/>
  <c r="AI269" i="51"/>
  <c r="P269" i="51"/>
  <c r="AJ269" i="51" s="1"/>
  <c r="AI59" i="57"/>
  <c r="P66" i="68"/>
  <c r="P273" i="68"/>
  <c r="AI266" i="57"/>
  <c r="P161" i="68"/>
  <c r="AI154" i="57"/>
  <c r="P138" i="68"/>
  <c r="AI131" i="57"/>
  <c r="AI106" i="57"/>
  <c r="P113" i="68"/>
  <c r="AI250" i="51"/>
  <c r="P250" i="51"/>
  <c r="AJ250" i="51" s="1"/>
  <c r="P15" i="51"/>
  <c r="K94" i="66"/>
  <c r="AI15" i="51"/>
  <c r="P138" i="51"/>
  <c r="AJ138" i="51" s="1"/>
  <c r="AI138" i="51"/>
  <c r="AI58" i="51"/>
  <c r="P58" i="51"/>
  <c r="AJ58" i="51" s="1"/>
  <c r="AI153" i="51"/>
  <c r="P153" i="51"/>
  <c r="AJ153" i="51" s="1"/>
  <c r="AI305" i="51"/>
  <c r="P305" i="51"/>
  <c r="AJ305" i="51" s="1"/>
  <c r="AI165" i="57"/>
  <c r="P172" i="68"/>
  <c r="P178" i="68"/>
  <c r="AI171" i="57"/>
  <c r="P251" i="68"/>
  <c r="AI244" i="57"/>
  <c r="L11" i="66"/>
  <c r="AI22" i="57"/>
  <c r="P29" i="68"/>
  <c r="P79" i="68"/>
  <c r="AI72" i="57"/>
  <c r="P307" i="51"/>
  <c r="AJ307" i="51" s="1"/>
  <c r="AI307" i="51"/>
  <c r="P114" i="51"/>
  <c r="AJ114" i="51" s="1"/>
  <c r="AI114" i="51"/>
  <c r="AI245" i="51"/>
  <c r="P245" i="51"/>
  <c r="AJ245" i="51" s="1"/>
  <c r="P165" i="51"/>
  <c r="AJ165" i="51" s="1"/>
  <c r="AI165" i="51"/>
  <c r="P235" i="51"/>
  <c r="AJ235" i="51" s="1"/>
  <c r="AI235" i="51"/>
  <c r="P212" i="68"/>
  <c r="AI205" i="57"/>
  <c r="P287" i="68"/>
  <c r="AI280" i="57"/>
  <c r="P72" i="68"/>
  <c r="AI65" i="57"/>
  <c r="AI50" i="57"/>
  <c r="P57" i="68"/>
  <c r="AI243" i="51"/>
  <c r="P243" i="51"/>
  <c r="AJ243" i="51" s="1"/>
  <c r="AI44" i="57"/>
  <c r="P51" i="68"/>
  <c r="L7" i="66"/>
  <c r="P141" i="51"/>
  <c r="AJ141" i="51" s="1"/>
  <c r="AI141" i="51"/>
  <c r="P271" i="68"/>
  <c r="AI264" i="57"/>
  <c r="W84" i="66"/>
  <c r="AS84" i="66" s="1"/>
  <c r="BC84" i="66"/>
  <c r="AI84" i="66"/>
  <c r="S33" i="15"/>
  <c r="W30" i="60"/>
  <c r="K30" i="60" s="1"/>
  <c r="K28" i="60"/>
  <c r="K77" i="15" s="1"/>
  <c r="P112" i="51"/>
  <c r="AJ112" i="51" s="1"/>
  <c r="AI112" i="51"/>
  <c r="AI269" i="57"/>
  <c r="P276" i="68"/>
  <c r="P174" i="51"/>
  <c r="AJ174" i="51" s="1"/>
  <c r="AI174" i="51"/>
  <c r="P65" i="51"/>
  <c r="AJ65" i="51" s="1"/>
  <c r="AI65" i="51"/>
  <c r="P137" i="51"/>
  <c r="AJ137" i="51" s="1"/>
  <c r="AI137" i="51"/>
  <c r="P119" i="51"/>
  <c r="AJ119" i="51" s="1"/>
  <c r="AI119" i="51"/>
  <c r="P283" i="51"/>
  <c r="AJ283" i="51" s="1"/>
  <c r="AI283" i="51"/>
  <c r="P205" i="51"/>
  <c r="AJ205" i="51" s="1"/>
  <c r="AI205" i="51"/>
  <c r="P197" i="68"/>
  <c r="AI190" i="57"/>
  <c r="P209" i="68"/>
  <c r="AI202" i="57"/>
  <c r="AI274" i="57"/>
  <c r="P281" i="68"/>
  <c r="AI25" i="57"/>
  <c r="P32" i="68"/>
  <c r="AI194" i="57"/>
  <c r="P201" i="68"/>
  <c r="P90" i="51"/>
  <c r="AJ90" i="51" s="1"/>
  <c r="AI90" i="51"/>
  <c r="AI257" i="51"/>
  <c r="P257" i="51"/>
  <c r="AJ257" i="51" s="1"/>
  <c r="AI20" i="51"/>
  <c r="P20" i="51"/>
  <c r="AJ20" i="51" s="1"/>
  <c r="P247" i="51"/>
  <c r="AJ247" i="51" s="1"/>
  <c r="AI247" i="51"/>
  <c r="P196" i="68"/>
  <c r="AI189" i="57"/>
  <c r="AI164" i="57"/>
  <c r="P171" i="68"/>
  <c r="P74" i="68"/>
  <c r="AI67" i="57"/>
  <c r="P192" i="68"/>
  <c r="AI185" i="57"/>
  <c r="AI16" i="57"/>
  <c r="L10" i="66"/>
  <c r="P23" i="68"/>
  <c r="P244" i="68"/>
  <c r="AI237" i="57"/>
  <c r="AI94" i="57"/>
  <c r="P101" i="68"/>
  <c r="P186" i="68"/>
  <c r="AI179" i="57"/>
  <c r="P50" i="51"/>
  <c r="AJ50" i="51" s="1"/>
  <c r="AI50" i="51"/>
  <c r="AI19" i="51"/>
  <c r="P19" i="51"/>
  <c r="AJ19" i="51" s="1"/>
  <c r="AI284" i="51"/>
  <c r="P284" i="51"/>
  <c r="AJ284" i="51" s="1"/>
  <c r="P102" i="51"/>
  <c r="AJ102" i="51" s="1"/>
  <c r="AI102" i="51"/>
  <c r="P236" i="51"/>
  <c r="AJ236" i="51" s="1"/>
  <c r="AI236" i="51"/>
  <c r="AI233" i="51"/>
  <c r="P233" i="51"/>
  <c r="AJ233" i="51" s="1"/>
  <c r="P86" i="51"/>
  <c r="AJ86" i="51" s="1"/>
  <c r="AI86" i="51"/>
  <c r="P224" i="68"/>
  <c r="AI217" i="57"/>
  <c r="AI173" i="57"/>
  <c r="P180" i="68"/>
  <c r="P302" i="51"/>
  <c r="AJ302" i="51" s="1"/>
  <c r="AI302" i="51"/>
  <c r="P238" i="51"/>
  <c r="AJ238" i="51" s="1"/>
  <c r="AI238" i="51"/>
  <c r="P40" i="51"/>
  <c r="AJ40" i="51" s="1"/>
  <c r="AI40" i="51"/>
  <c r="P297" i="51"/>
  <c r="AJ297" i="51" s="1"/>
  <c r="AI297" i="51"/>
  <c r="AI211" i="57"/>
  <c r="P218" i="68"/>
  <c r="AI55" i="57"/>
  <c r="P62" i="68"/>
  <c r="AI89" i="57"/>
  <c r="P96" i="68"/>
  <c r="AI275" i="57"/>
  <c r="P282" i="68"/>
  <c r="AI258" i="57"/>
  <c r="P265" i="68"/>
  <c r="AI253" i="51"/>
  <c r="P253" i="51"/>
  <c r="AJ253" i="51" s="1"/>
  <c r="P293" i="51"/>
  <c r="AJ293" i="51" s="1"/>
  <c r="AI293" i="51"/>
  <c r="P68" i="51"/>
  <c r="AJ68" i="51" s="1"/>
  <c r="AI68" i="51"/>
  <c r="P212" i="51"/>
  <c r="AJ212" i="51" s="1"/>
  <c r="AI212" i="51"/>
  <c r="P64" i="68"/>
  <c r="AI57" i="57"/>
  <c r="P241" i="68"/>
  <c r="AI234" i="57"/>
  <c r="AI159" i="57"/>
  <c r="P166" i="68"/>
  <c r="AI69" i="51"/>
  <c r="P69" i="51"/>
  <c r="AJ69" i="51" s="1"/>
  <c r="P223" i="51"/>
  <c r="AJ223" i="51" s="1"/>
  <c r="AI223" i="51"/>
  <c r="P98" i="51"/>
  <c r="AJ98" i="51" s="1"/>
  <c r="AI98" i="51"/>
  <c r="AI196" i="51"/>
  <c r="P196" i="51"/>
  <c r="AJ196" i="51" s="1"/>
  <c r="AI52" i="57"/>
  <c r="P59" i="68"/>
  <c r="P125" i="68"/>
  <c r="AI118" i="57"/>
  <c r="AI181" i="57"/>
  <c r="P188" i="68"/>
  <c r="AI30" i="57"/>
  <c r="P37" i="68"/>
  <c r="P271" i="51"/>
  <c r="AJ271" i="51" s="1"/>
  <c r="AI271" i="51"/>
  <c r="AH9" i="66"/>
  <c r="I107" i="66"/>
  <c r="V9" i="66"/>
  <c r="P281" i="51"/>
  <c r="AJ281" i="51" s="1"/>
  <c r="AI281" i="51"/>
  <c r="P183" i="51"/>
  <c r="AJ183" i="51" s="1"/>
  <c r="AI183" i="51"/>
  <c r="AI83" i="57"/>
  <c r="P90" i="68"/>
  <c r="AI146" i="57"/>
  <c r="P153" i="68"/>
  <c r="P91" i="68"/>
  <c r="AI84" i="57"/>
  <c r="P295" i="68"/>
  <c r="AI288" i="57"/>
  <c r="P44" i="51"/>
  <c r="AJ44" i="51" s="1"/>
  <c r="AI44" i="51"/>
  <c r="P210" i="51"/>
  <c r="AJ210" i="51" s="1"/>
  <c r="AI210" i="51"/>
  <c r="P82" i="51"/>
  <c r="AJ82" i="51" s="1"/>
  <c r="AI82" i="51"/>
  <c r="AI171" i="51"/>
  <c r="P171" i="51"/>
  <c r="AJ171" i="51" s="1"/>
  <c r="P239" i="68"/>
  <c r="AI232" i="57"/>
  <c r="AI156" i="57"/>
  <c r="P163" i="68"/>
  <c r="P58" i="68"/>
  <c r="AI51" i="57"/>
  <c r="P31" i="68"/>
  <c r="L5" i="66"/>
  <c r="AI24" i="57"/>
  <c r="AI163" i="57"/>
  <c r="P170" i="68"/>
  <c r="P127" i="68"/>
  <c r="AI120" i="57"/>
  <c r="P291" i="51"/>
  <c r="AJ291" i="51" s="1"/>
  <c r="AI291" i="51"/>
  <c r="P38" i="51"/>
  <c r="AJ38" i="51" s="1"/>
  <c r="AI38" i="51"/>
  <c r="AI82" i="66"/>
  <c r="W82" i="66"/>
  <c r="AS82" i="66" s="1"/>
  <c r="BC82" i="66"/>
  <c r="P30" i="51"/>
  <c r="AJ30" i="51" s="1"/>
  <c r="AI30" i="51"/>
  <c r="AI170" i="51"/>
  <c r="P170" i="51"/>
  <c r="AJ170" i="51" s="1"/>
  <c r="P260" i="68"/>
  <c r="AI253" i="57"/>
  <c r="P76" i="51"/>
  <c r="AJ76" i="51" s="1"/>
  <c r="AI76" i="51"/>
  <c r="P285" i="51"/>
  <c r="AJ285" i="51" s="1"/>
  <c r="AI285" i="51"/>
  <c r="AI195" i="57"/>
  <c r="P202" i="68"/>
  <c r="P225" i="68"/>
  <c r="AI218" i="57"/>
  <c r="P54" i="51"/>
  <c r="AJ54" i="51" s="1"/>
  <c r="AI54" i="51"/>
  <c r="P180" i="51"/>
  <c r="AJ180" i="51" s="1"/>
  <c r="AI180" i="51"/>
  <c r="P146" i="51"/>
  <c r="AJ146" i="51" s="1"/>
  <c r="AI146" i="51"/>
  <c r="P304" i="51"/>
  <c r="AJ304" i="51" s="1"/>
  <c r="AI304" i="51"/>
  <c r="AI291" i="57"/>
  <c r="P298" i="68"/>
  <c r="AI276" i="57"/>
  <c r="P283" i="68"/>
  <c r="AI225" i="57"/>
  <c r="P232" i="68"/>
  <c r="AI301" i="57"/>
  <c r="P308" i="68"/>
  <c r="P35" i="51"/>
  <c r="AJ35" i="51" s="1"/>
  <c r="AI35" i="51"/>
  <c r="P279" i="51"/>
  <c r="AJ279" i="51" s="1"/>
  <c r="AI279" i="51"/>
  <c r="AI37" i="51"/>
  <c r="P37" i="51"/>
  <c r="AJ37" i="51" s="1"/>
  <c r="AI78" i="51"/>
  <c r="P78" i="51"/>
  <c r="AJ78" i="51" s="1"/>
  <c r="P125" i="51"/>
  <c r="AJ125" i="51" s="1"/>
  <c r="AI125" i="51"/>
  <c r="P248" i="51"/>
  <c r="AJ248" i="51" s="1"/>
  <c r="AI248" i="51"/>
  <c r="P79" i="51"/>
  <c r="AJ79" i="51" s="1"/>
  <c r="AI79" i="51"/>
  <c r="W83" i="66"/>
  <c r="AS83" i="66" s="1"/>
  <c r="AI83" i="66"/>
  <c r="BC83" i="66"/>
  <c r="AI80" i="66"/>
  <c r="W80" i="66"/>
  <c r="AS80" i="66" s="1"/>
  <c r="BC80" i="66"/>
  <c r="P57" i="51"/>
  <c r="AJ57" i="51" s="1"/>
  <c r="AI57" i="51"/>
  <c r="P55" i="51"/>
  <c r="AJ55" i="51" s="1"/>
  <c r="AI55" i="51"/>
  <c r="P27" i="51"/>
  <c r="AJ27" i="51" s="1"/>
  <c r="AI27" i="51"/>
  <c r="P104" i="51"/>
  <c r="AJ104" i="51" s="1"/>
  <c r="AI104" i="51"/>
  <c r="AI192" i="57"/>
  <c r="P199" i="68"/>
  <c r="AI69" i="57"/>
  <c r="P76" i="68"/>
  <c r="P207" i="68"/>
  <c r="AI200" i="57"/>
  <c r="P97" i="68"/>
  <c r="AI90" i="57"/>
  <c r="P233" i="68"/>
  <c r="AI226" i="57"/>
  <c r="P80" i="68"/>
  <c r="AI73" i="57"/>
  <c r="AI100" i="57"/>
  <c r="P107" i="68"/>
  <c r="AI172" i="57"/>
  <c r="P179" i="68"/>
  <c r="AI48" i="51"/>
  <c r="K91" i="66"/>
  <c r="P48" i="51"/>
  <c r="P194" i="51"/>
  <c r="AJ194" i="51" s="1"/>
  <c r="AI194" i="51"/>
  <c r="AI150" i="51"/>
  <c r="P150" i="51"/>
  <c r="AJ150" i="51" s="1"/>
  <c r="P221" i="51"/>
  <c r="AJ221" i="51" s="1"/>
  <c r="AI221" i="51"/>
  <c r="P200" i="51"/>
  <c r="AJ200" i="51" s="1"/>
  <c r="AI200" i="51"/>
  <c r="P179" i="51"/>
  <c r="AJ179" i="51" s="1"/>
  <c r="AI179" i="51"/>
  <c r="AI97" i="51"/>
  <c r="P97" i="51"/>
  <c r="AJ97" i="51" s="1"/>
  <c r="P54" i="68"/>
  <c r="AI47" i="57"/>
  <c r="P261" i="68"/>
  <c r="AI254" i="57"/>
  <c r="P135" i="68"/>
  <c r="AI128" i="57"/>
  <c r="AI229" i="57"/>
  <c r="P236" i="68"/>
  <c r="P159" i="51"/>
  <c r="AJ159" i="51" s="1"/>
  <c r="AI159" i="51"/>
  <c r="P298" i="51"/>
  <c r="AJ298" i="51" s="1"/>
  <c r="AI298" i="51"/>
  <c r="P295" i="51"/>
  <c r="AJ295" i="51" s="1"/>
  <c r="AI295" i="51"/>
  <c r="P82" i="68"/>
  <c r="AI75" i="57"/>
  <c r="P110" i="68"/>
  <c r="AI103" i="57"/>
  <c r="AI143" i="57"/>
  <c r="P150" i="68"/>
  <c r="AI152" i="57"/>
  <c r="P159" i="68"/>
  <c r="P177" i="68"/>
  <c r="AI170" i="57"/>
  <c r="AI42" i="57"/>
  <c r="P49" i="68"/>
  <c r="P294" i="68"/>
  <c r="AI287" i="57"/>
  <c r="AI113" i="51"/>
  <c r="P113" i="51"/>
  <c r="AJ113" i="51" s="1"/>
  <c r="P204" i="51"/>
  <c r="AJ204" i="51" s="1"/>
  <c r="AI204" i="51"/>
  <c r="P199" i="51"/>
  <c r="AJ199" i="51" s="1"/>
  <c r="AI199" i="51"/>
  <c r="P251" i="51"/>
  <c r="AJ251" i="51" s="1"/>
  <c r="AI251" i="51"/>
  <c r="P149" i="51"/>
  <c r="AJ149" i="51" s="1"/>
  <c r="AI149" i="51"/>
  <c r="P84" i="51"/>
  <c r="AJ84" i="51" s="1"/>
  <c r="AI84" i="51"/>
  <c r="P108" i="51"/>
  <c r="AJ108" i="51" s="1"/>
  <c r="AI108" i="51"/>
  <c r="P148" i="51"/>
  <c r="AJ148" i="51" s="1"/>
  <c r="AI148" i="51"/>
  <c r="AI74" i="57"/>
  <c r="P81" i="68"/>
  <c r="AI219" i="57"/>
  <c r="P226" i="68"/>
  <c r="AI243" i="57"/>
  <c r="P250" i="68"/>
  <c r="P210" i="68"/>
  <c r="AI203" i="57"/>
  <c r="AI137" i="57"/>
  <c r="P144" i="68"/>
  <c r="AI266" i="51"/>
  <c r="P266" i="51"/>
  <c r="AJ266" i="51" s="1"/>
  <c r="AH9" i="57"/>
  <c r="P110" i="51"/>
  <c r="AJ110" i="51" s="1"/>
  <c r="AI110" i="51"/>
  <c r="AI296" i="51"/>
  <c r="P296" i="51"/>
  <c r="AJ296" i="51" s="1"/>
  <c r="P142" i="68"/>
  <c r="AI135" i="57"/>
  <c r="P296" i="68"/>
  <c r="AI289" i="57"/>
  <c r="AI294" i="57"/>
  <c r="P301" i="68"/>
  <c r="AI79" i="57"/>
  <c r="P86" i="68"/>
  <c r="P267" i="68"/>
  <c r="AI260" i="57"/>
  <c r="P202" i="51"/>
  <c r="AJ202" i="51" s="1"/>
  <c r="AI202" i="51"/>
  <c r="P239" i="51"/>
  <c r="AJ239" i="51" s="1"/>
  <c r="AI239" i="51"/>
  <c r="P152" i="51"/>
  <c r="AJ152" i="51" s="1"/>
  <c r="AI152" i="51"/>
  <c r="P240" i="51"/>
  <c r="AJ240" i="51" s="1"/>
  <c r="AI240" i="51"/>
  <c r="P218" i="51"/>
  <c r="AJ218" i="51" s="1"/>
  <c r="AI218" i="51"/>
  <c r="P189" i="51"/>
  <c r="AJ189" i="51" s="1"/>
  <c r="AI189" i="51"/>
  <c r="P100" i="51"/>
  <c r="AJ100" i="51" s="1"/>
  <c r="AI100" i="51"/>
  <c r="P299" i="51"/>
  <c r="AJ299" i="51" s="1"/>
  <c r="AI299" i="51"/>
  <c r="P118" i="68"/>
  <c r="AI111" i="57"/>
  <c r="AI63" i="57"/>
  <c r="P70" i="68"/>
  <c r="AI39" i="57"/>
  <c r="P46" i="68"/>
  <c r="AI213" i="51"/>
  <c r="P213" i="51"/>
  <c r="AJ213" i="51" s="1"/>
  <c r="BB85" i="66"/>
  <c r="AH85" i="66"/>
  <c r="V85" i="66"/>
  <c r="AR85" i="66" s="1"/>
  <c r="BD85" i="66"/>
  <c r="P56" i="51"/>
  <c r="AJ56" i="51" s="1"/>
  <c r="AI56" i="51"/>
  <c r="AI76" i="57"/>
  <c r="P83" i="68"/>
  <c r="P122" i="51"/>
  <c r="AJ122" i="51" s="1"/>
  <c r="AI122" i="51"/>
  <c r="P87" i="68"/>
  <c r="AI80" i="57"/>
  <c r="P290" i="68"/>
  <c r="AI283" i="57"/>
  <c r="P193" i="68"/>
  <c r="AI186" i="57"/>
  <c r="P31" i="51"/>
  <c r="AJ31" i="51" s="1"/>
  <c r="AI31" i="51"/>
  <c r="P17" i="51"/>
  <c r="AI17" i="51"/>
  <c r="K93" i="66"/>
  <c r="P126" i="68"/>
  <c r="AI119" i="57"/>
  <c r="AI36" i="51"/>
  <c r="P36" i="51"/>
  <c r="AJ36" i="51" s="1"/>
  <c r="AI36" i="57"/>
  <c r="P43" i="68"/>
  <c r="P216" i="51"/>
  <c r="AJ216" i="51" s="1"/>
  <c r="AI216" i="51"/>
  <c r="BC81" i="66"/>
  <c r="W81" i="66"/>
  <c r="AS81" i="66" s="1"/>
  <c r="AI81" i="66"/>
  <c r="AI144" i="57"/>
  <c r="P151" i="68"/>
  <c r="AI241" i="51"/>
  <c r="P241" i="51"/>
  <c r="AJ241" i="51" s="1"/>
  <c r="P203" i="51"/>
  <c r="AJ203" i="51" s="1"/>
  <c r="AI203" i="51"/>
  <c r="P121" i="51"/>
  <c r="AJ121" i="51" s="1"/>
  <c r="AI121" i="51"/>
  <c r="P289" i="68"/>
  <c r="AI282" i="57"/>
  <c r="P314" i="68"/>
  <c r="AI307" i="57"/>
  <c r="AI255" i="57"/>
  <c r="P262" i="68"/>
  <c r="P148" i="68"/>
  <c r="AI141" i="57"/>
  <c r="AH6" i="66"/>
  <c r="I104" i="66"/>
  <c r="V6" i="66"/>
  <c r="P106" i="51"/>
  <c r="AJ106" i="51" s="1"/>
  <c r="AI106" i="51"/>
  <c r="P276" i="51"/>
  <c r="AJ276" i="51" s="1"/>
  <c r="AI276" i="51"/>
  <c r="AI114" i="57"/>
  <c r="P121" i="68"/>
  <c r="P169" i="68"/>
  <c r="AI162" i="57"/>
  <c r="AI45" i="57"/>
  <c r="P52" i="68"/>
  <c r="AI206" i="57"/>
  <c r="P213" i="68"/>
  <c r="P99" i="68"/>
  <c r="AI92" i="57"/>
  <c r="AI273" i="57"/>
  <c r="P280" i="68"/>
  <c r="P277" i="51"/>
  <c r="AJ277" i="51" s="1"/>
  <c r="AI277" i="51"/>
  <c r="P144" i="51"/>
  <c r="AJ144" i="51" s="1"/>
  <c r="AI144" i="51"/>
  <c r="P173" i="51"/>
  <c r="AJ173" i="51" s="1"/>
  <c r="AI173" i="51"/>
  <c r="AI71" i="51"/>
  <c r="P71" i="51"/>
  <c r="AJ71" i="51" s="1"/>
  <c r="P105" i="51"/>
  <c r="AJ105" i="51" s="1"/>
  <c r="AI105" i="51"/>
  <c r="AI105" i="57"/>
  <c r="P112" i="68"/>
  <c r="P292" i="68"/>
  <c r="AI285" i="57"/>
  <c r="AI124" i="51"/>
  <c r="P124" i="51"/>
  <c r="AJ124" i="51" s="1"/>
  <c r="P168" i="51"/>
  <c r="AJ168" i="51" s="1"/>
  <c r="AI168" i="51"/>
  <c r="P118" i="51"/>
  <c r="AJ118" i="51" s="1"/>
  <c r="AI118" i="51"/>
  <c r="AI306" i="51"/>
  <c r="P306" i="51"/>
  <c r="AJ306" i="51" s="1"/>
  <c r="P265" i="51"/>
  <c r="AJ265" i="51" s="1"/>
  <c r="AI265" i="51"/>
  <c r="AI260" i="51"/>
  <c r="P260" i="51"/>
  <c r="AJ260" i="51" s="1"/>
  <c r="AI290" i="51"/>
  <c r="P290" i="51"/>
  <c r="AJ290" i="51" s="1"/>
  <c r="P129" i="51"/>
  <c r="AJ129" i="51" s="1"/>
  <c r="AI129" i="51"/>
  <c r="P214" i="68"/>
  <c r="AI207" i="57"/>
  <c r="P143" i="68"/>
  <c r="AI136" i="57"/>
  <c r="AI21" i="57"/>
  <c r="P28" i="68"/>
  <c r="AI126" i="57"/>
  <c r="P133" i="68"/>
  <c r="AI267" i="57"/>
  <c r="P274" i="68"/>
  <c r="P188" i="51"/>
  <c r="AJ188" i="51" s="1"/>
  <c r="AI188" i="51"/>
  <c r="AH13" i="57"/>
  <c r="O20" i="68"/>
  <c r="W19" i="60" s="1"/>
  <c r="O13" i="51"/>
  <c r="P123" i="51"/>
  <c r="AJ123" i="51" s="1"/>
  <c r="AI123" i="51"/>
  <c r="P62" i="51"/>
  <c r="AJ62" i="51" s="1"/>
  <c r="AI62" i="51"/>
  <c r="AI176" i="51"/>
  <c r="P176" i="51"/>
  <c r="AJ176" i="51" s="1"/>
  <c r="P217" i="68"/>
  <c r="AI210" i="57"/>
  <c r="P85" i="68"/>
  <c r="AI78" i="57"/>
  <c r="AI257" i="57"/>
  <c r="P264" i="68"/>
  <c r="P117" i="68"/>
  <c r="AI110" i="57"/>
  <c r="P191" i="51"/>
  <c r="AJ191" i="51" s="1"/>
  <c r="AI191" i="51"/>
  <c r="P120" i="51"/>
  <c r="AJ120" i="51" s="1"/>
  <c r="AI120" i="51"/>
  <c r="P72" i="51"/>
  <c r="AJ72" i="51" s="1"/>
  <c r="AI72" i="51"/>
  <c r="P175" i="51"/>
  <c r="AJ175" i="51" s="1"/>
  <c r="AI175" i="51"/>
  <c r="P168" i="68"/>
  <c r="AI161" i="57"/>
  <c r="P312" i="68"/>
  <c r="AI305" i="57"/>
  <c r="AI139" i="57"/>
  <c r="P146" i="68"/>
  <c r="AI155" i="57"/>
  <c r="P162" i="68"/>
  <c r="AI85" i="57"/>
  <c r="P92" i="68"/>
  <c r="W78" i="66"/>
  <c r="AS78" i="66" s="1"/>
  <c r="AI78" i="66"/>
  <c r="BC78" i="66"/>
  <c r="L85" i="66"/>
  <c r="W79" i="66"/>
  <c r="AS79" i="66" s="1"/>
  <c r="BC79" i="66"/>
  <c r="AI79" i="66"/>
  <c r="P139" i="68"/>
  <c r="AI132" i="57"/>
  <c r="P169" i="51"/>
  <c r="AJ169" i="51" s="1"/>
  <c r="AI169" i="51"/>
  <c r="P93" i="51"/>
  <c r="AJ93" i="51" s="1"/>
  <c r="AI93" i="51"/>
  <c r="AI271" i="57"/>
  <c r="P278" i="68"/>
  <c r="P226" i="51"/>
  <c r="AJ226" i="51" s="1"/>
  <c r="AI226" i="51"/>
  <c r="P209" i="51"/>
  <c r="AJ209" i="51" s="1"/>
  <c r="AI209" i="51"/>
  <c r="P34" i="68"/>
  <c r="AI27" i="57"/>
  <c r="P214" i="51"/>
  <c r="AJ214" i="51" s="1"/>
  <c r="AI214" i="51"/>
  <c r="P128" i="51"/>
  <c r="AJ128" i="51" s="1"/>
  <c r="AI128" i="51"/>
  <c r="AI268" i="57"/>
  <c r="P275" i="68"/>
  <c r="P67" i="51"/>
  <c r="AJ67" i="51" s="1"/>
  <c r="AI67" i="51"/>
  <c r="AI177" i="51"/>
  <c r="P177" i="51"/>
  <c r="AJ177" i="51" s="1"/>
  <c r="AI298" i="57"/>
  <c r="P305" i="68"/>
  <c r="P91" i="51"/>
  <c r="AJ91" i="51" s="1"/>
  <c r="AI91" i="51"/>
  <c r="P264" i="51"/>
  <c r="AJ264" i="51" s="1"/>
  <c r="AI264" i="51"/>
  <c r="P151" i="51"/>
  <c r="AJ151" i="51" s="1"/>
  <c r="AI151" i="51"/>
  <c r="AI167" i="57"/>
  <c r="P174" i="68"/>
  <c r="P85" i="51"/>
  <c r="AJ85" i="51" s="1"/>
  <c r="AI85" i="51"/>
  <c r="P94" i="51"/>
  <c r="AJ94" i="51" s="1"/>
  <c r="AI94" i="51"/>
  <c r="P258" i="68"/>
  <c r="AI251" i="57"/>
  <c r="P194" i="68"/>
  <c r="AI187" i="57"/>
  <c r="P21" i="51"/>
  <c r="AJ21" i="51" s="1"/>
  <c r="AI21" i="51"/>
  <c r="P18" i="51"/>
  <c r="AJ18" i="51" s="1"/>
  <c r="AI18" i="51"/>
  <c r="P232" i="51"/>
  <c r="AJ232" i="51" s="1"/>
  <c r="AI232" i="51"/>
  <c r="P182" i="68"/>
  <c r="AI175" i="57"/>
  <c r="P42" i="68"/>
  <c r="AI35" i="57"/>
  <c r="P193" i="51"/>
  <c r="AJ193" i="51" s="1"/>
  <c r="AI193" i="51"/>
  <c r="P207" i="51"/>
  <c r="AJ207" i="51" s="1"/>
  <c r="AI207" i="51"/>
  <c r="P228" i="51"/>
  <c r="AJ228" i="51" s="1"/>
  <c r="AI228" i="51"/>
  <c r="P175" i="68"/>
  <c r="AI168" i="57"/>
  <c r="P134" i="68"/>
  <c r="AI127" i="57"/>
  <c r="P208" i="68"/>
  <c r="AI201" i="57"/>
  <c r="P164" i="51"/>
  <c r="AJ164" i="51" s="1"/>
  <c r="AI164" i="51"/>
  <c r="P92" i="51"/>
  <c r="AJ92" i="51" s="1"/>
  <c r="AI92" i="51"/>
  <c r="AI111" i="51"/>
  <c r="P111" i="51"/>
  <c r="AJ111" i="51" s="1"/>
  <c r="P275" i="51"/>
  <c r="AJ275" i="51" s="1"/>
  <c r="AI275" i="51"/>
  <c r="P134" i="51"/>
  <c r="AJ134" i="51" s="1"/>
  <c r="AI134" i="51"/>
  <c r="P297" i="68"/>
  <c r="AI290" i="57"/>
  <c r="AI97" i="57"/>
  <c r="P104" i="68"/>
  <c r="AI198" i="57"/>
  <c r="P205" i="68"/>
  <c r="AI17" i="57"/>
  <c r="L8" i="66"/>
  <c r="P24" i="68"/>
  <c r="P26" i="68"/>
  <c r="AI19" i="57"/>
  <c r="AI248" i="57"/>
  <c r="P255" i="68"/>
  <c r="P23" i="51"/>
  <c r="AJ23" i="51" s="1"/>
  <c r="AI23" i="51"/>
  <c r="P73" i="51"/>
  <c r="AJ73" i="51" s="1"/>
  <c r="AI73" i="51"/>
  <c r="P280" i="51"/>
  <c r="AJ280" i="51" s="1"/>
  <c r="AI280" i="51"/>
  <c r="P95" i="51"/>
  <c r="AJ95" i="51" s="1"/>
  <c r="AI95" i="51"/>
  <c r="P183" i="68"/>
  <c r="AI176" i="57"/>
  <c r="P152" i="68"/>
  <c r="AI145" i="57"/>
  <c r="P309" i="68"/>
  <c r="AI302" i="57"/>
  <c r="AI242" i="57"/>
  <c r="P249" i="68"/>
  <c r="P49" i="51"/>
  <c r="AJ49" i="51" s="1"/>
  <c r="AI49" i="51"/>
  <c r="AI286" i="51"/>
  <c r="P286" i="51"/>
  <c r="AJ286" i="51" s="1"/>
  <c r="AI34" i="51"/>
  <c r="P34" i="51"/>
  <c r="AJ34" i="51" s="1"/>
  <c r="P237" i="51"/>
  <c r="AJ237" i="51" s="1"/>
  <c r="AI237" i="51"/>
  <c r="P53" i="51"/>
  <c r="AJ53" i="51" s="1"/>
  <c r="AI53" i="51"/>
  <c r="P47" i="51"/>
  <c r="AJ47" i="51" s="1"/>
  <c r="AI47" i="51"/>
  <c r="P43" i="51"/>
  <c r="AJ43" i="51" s="1"/>
  <c r="AI43" i="51"/>
  <c r="AI182" i="51"/>
  <c r="P182" i="51"/>
  <c r="AJ182" i="51" s="1"/>
  <c r="P220" i="51"/>
  <c r="AJ220" i="51" s="1"/>
  <c r="AI220" i="51"/>
  <c r="P291" i="68"/>
  <c r="AI284" i="57"/>
  <c r="AI174" i="57"/>
  <c r="P181" i="68"/>
  <c r="AI149" i="57"/>
  <c r="P156" i="68"/>
  <c r="AI134" i="57"/>
  <c r="P141" i="68"/>
  <c r="P94" i="68"/>
  <c r="AI87" i="57"/>
  <c r="AI60" i="57"/>
  <c r="P67" i="68"/>
  <c r="AI228" i="57"/>
  <c r="P235" i="68"/>
  <c r="AI208" i="51"/>
  <c r="P208" i="51"/>
  <c r="AJ208" i="51" s="1"/>
  <c r="P262" i="51"/>
  <c r="AJ262" i="51" s="1"/>
  <c r="AI262" i="51"/>
  <c r="P39" i="51"/>
  <c r="AJ39" i="51" s="1"/>
  <c r="AI39" i="51"/>
  <c r="P261" i="51"/>
  <c r="AJ261" i="51" s="1"/>
  <c r="AI261" i="51"/>
  <c r="P181" i="51"/>
  <c r="AJ181" i="51" s="1"/>
  <c r="AI181" i="51"/>
  <c r="P215" i="68"/>
  <c r="AI208" i="57"/>
  <c r="AI281" i="57"/>
  <c r="P288" i="68"/>
  <c r="P216" i="68"/>
  <c r="AI209" i="57"/>
  <c r="P166" i="51"/>
  <c r="AJ166" i="51" s="1"/>
  <c r="AI166" i="51"/>
  <c r="AI115" i="51"/>
  <c r="P115" i="51"/>
  <c r="AJ115" i="51" s="1"/>
  <c r="P119" i="68"/>
  <c r="AI112" i="57"/>
  <c r="P270" i="68"/>
  <c r="AI263" i="57"/>
  <c r="P313" i="68"/>
  <c r="AI306" i="57"/>
  <c r="P173" i="68"/>
  <c r="AI166" i="57"/>
  <c r="P35" i="68"/>
  <c r="AI28" i="57"/>
  <c r="P229" i="68"/>
  <c r="AI222" i="57"/>
  <c r="AI292" i="51"/>
  <c r="P292" i="51"/>
  <c r="AJ292" i="51" s="1"/>
  <c r="P41" i="51"/>
  <c r="AJ41" i="51" s="1"/>
  <c r="AI41" i="51"/>
  <c r="P87" i="51"/>
  <c r="AJ87" i="51" s="1"/>
  <c r="AI87" i="51"/>
  <c r="AI60" i="51"/>
  <c r="P60" i="51"/>
  <c r="AJ60" i="51" s="1"/>
  <c r="AI287" i="51"/>
  <c r="P287" i="51"/>
  <c r="AJ287" i="51" s="1"/>
  <c r="AI178" i="57"/>
  <c r="P185" i="68"/>
  <c r="AI199" i="57"/>
  <c r="P206" i="68"/>
  <c r="AI68" i="57"/>
  <c r="P75" i="68"/>
  <c r="AI153" i="57"/>
  <c r="P160" i="68"/>
  <c r="AI63" i="51"/>
  <c r="P63" i="51"/>
  <c r="AJ63" i="51" s="1"/>
  <c r="AI206" i="51"/>
  <c r="P206" i="51"/>
  <c r="AJ206" i="51" s="1"/>
  <c r="P22" i="51"/>
  <c r="K96" i="66"/>
  <c r="AI22" i="51"/>
  <c r="P215" i="51"/>
  <c r="AJ215" i="51" s="1"/>
  <c r="AI215" i="51"/>
  <c r="AI234" i="51"/>
  <c r="P234" i="51"/>
  <c r="AJ234" i="51" s="1"/>
  <c r="AI58" i="57"/>
  <c r="P65" i="68"/>
  <c r="AI34" i="57"/>
  <c r="P41" i="68"/>
  <c r="AI240" i="57"/>
  <c r="P247" i="68"/>
  <c r="AI53" i="57"/>
  <c r="P60" i="68"/>
  <c r="AI183" i="57"/>
  <c r="P190" i="68"/>
  <c r="P254" i="68"/>
  <c r="AI247" i="57"/>
  <c r="P139" i="51"/>
  <c r="AJ139" i="51" s="1"/>
  <c r="AI139" i="51"/>
  <c r="P225" i="51"/>
  <c r="AJ225" i="51" s="1"/>
  <c r="AI225" i="51"/>
  <c r="P127" i="51"/>
  <c r="AJ127" i="51" s="1"/>
  <c r="AI127" i="51"/>
  <c r="P172" i="51"/>
  <c r="AJ172" i="51" s="1"/>
  <c r="AI172" i="51"/>
  <c r="P109" i="51"/>
  <c r="AJ109" i="51" s="1"/>
  <c r="AI109" i="51"/>
  <c r="AI107" i="51"/>
  <c r="P107" i="51"/>
  <c r="AJ107" i="51" s="1"/>
  <c r="P64" i="51"/>
  <c r="AJ64" i="51" s="1"/>
  <c r="AI64" i="51"/>
  <c r="P255" i="51"/>
  <c r="AJ255" i="51" s="1"/>
  <c r="AI255" i="51"/>
  <c r="P195" i="68"/>
  <c r="AI188" i="57"/>
  <c r="P311" i="68"/>
  <c r="AI304" i="57"/>
  <c r="P55" i="68"/>
  <c r="AI48" i="57"/>
  <c r="L6" i="66"/>
  <c r="AI216" i="57"/>
  <c r="P223" i="68"/>
  <c r="P129" i="68"/>
  <c r="AI122" i="57"/>
  <c r="P142" i="51"/>
  <c r="AJ142" i="51" s="1"/>
  <c r="AI142" i="51"/>
  <c r="P40" i="68"/>
  <c r="AI33" i="57"/>
  <c r="P258" i="51"/>
  <c r="AJ258" i="51" s="1"/>
  <c r="AI258" i="51"/>
  <c r="P221" i="68"/>
  <c r="AI214" i="57"/>
  <c r="AI61" i="57"/>
  <c r="P68" i="68"/>
  <c r="P36" i="68"/>
  <c r="AI29" i="57"/>
  <c r="P301" i="51"/>
  <c r="AJ301" i="51" s="1"/>
  <c r="AI301" i="51"/>
  <c r="P184" i="51"/>
  <c r="AJ184" i="51" s="1"/>
  <c r="AI184" i="51"/>
  <c r="P160" i="51"/>
  <c r="AJ160" i="51" s="1"/>
  <c r="AI160" i="51"/>
  <c r="AI286" i="57"/>
  <c r="P293" i="68"/>
  <c r="AI81" i="57"/>
  <c r="P88" i="68"/>
  <c r="P95" i="68"/>
  <c r="AI88" i="57"/>
  <c r="P29" i="51"/>
  <c r="AJ29" i="51" s="1"/>
  <c r="AI29" i="51"/>
  <c r="P50" i="68"/>
  <c r="AI43" i="57"/>
  <c r="P98" i="68"/>
  <c r="AI91" i="57"/>
  <c r="AI147" i="57"/>
  <c r="P154" i="68"/>
  <c r="O4" i="68"/>
  <c r="H124" i="66" s="1"/>
  <c r="O9" i="68"/>
  <c r="H129" i="66" s="1"/>
  <c r="O10" i="68"/>
  <c r="H130" i="66" s="1"/>
  <c r="O1" i="68"/>
  <c r="O7" i="68"/>
  <c r="O8" i="68"/>
  <c r="H128" i="66" s="1"/>
  <c r="O3" i="68"/>
  <c r="H123" i="66" s="1"/>
  <c r="O2" i="68"/>
  <c r="H122" i="66" s="1"/>
  <c r="AI238" i="57"/>
  <c r="P245" i="68"/>
  <c r="P158" i="51"/>
  <c r="AJ158" i="51" s="1"/>
  <c r="AI158" i="51"/>
  <c r="AI156" i="51"/>
  <c r="P156" i="51"/>
  <c r="AJ156" i="51" s="1"/>
  <c r="AI41" i="57"/>
  <c r="P48" i="68"/>
  <c r="AI129" i="57"/>
  <c r="P136" i="68"/>
  <c r="AI256" i="57"/>
  <c r="P263" i="68"/>
  <c r="AI133" i="57"/>
  <c r="P140" i="68"/>
  <c r="P32" i="51"/>
  <c r="AJ32" i="51" s="1"/>
  <c r="AI32" i="51"/>
  <c r="P66" i="51"/>
  <c r="AJ66" i="51" s="1"/>
  <c r="AI66" i="51"/>
  <c r="P126" i="51"/>
  <c r="AJ126" i="51" s="1"/>
  <c r="AI126" i="51"/>
  <c r="P61" i="51"/>
  <c r="AJ61" i="51" s="1"/>
  <c r="AI61" i="51"/>
  <c r="P186" i="51"/>
  <c r="AJ186" i="51" s="1"/>
  <c r="AI186" i="51"/>
  <c r="P201" i="51"/>
  <c r="AJ201" i="51" s="1"/>
  <c r="AI201" i="51"/>
  <c r="AI54" i="57"/>
  <c r="P61" i="68"/>
  <c r="AI299" i="57"/>
  <c r="P306" i="68"/>
  <c r="AI239" i="57"/>
  <c r="P246" i="68"/>
  <c r="AI223" i="57"/>
  <c r="P230" i="68"/>
  <c r="AI113" i="57"/>
  <c r="P120" i="68"/>
  <c r="P192" i="51"/>
  <c r="AJ192" i="51" s="1"/>
  <c r="AI192" i="51"/>
  <c r="P74" i="51"/>
  <c r="AJ74" i="51" s="1"/>
  <c r="AI74" i="51"/>
  <c r="P89" i="51"/>
  <c r="AJ89" i="51" s="1"/>
  <c r="AI89" i="51"/>
  <c r="P33" i="51"/>
  <c r="AI33" i="51"/>
  <c r="K92" i="66"/>
  <c r="AI38" i="57"/>
  <c r="P45" i="68"/>
  <c r="P266" i="68"/>
  <c r="AI259" i="57"/>
  <c r="P26" i="51"/>
  <c r="AJ26" i="51" s="1"/>
  <c r="AI26" i="51"/>
  <c r="P161" i="51"/>
  <c r="AJ161" i="51" s="1"/>
  <c r="AI161" i="51"/>
  <c r="AI198" i="51"/>
  <c r="P198" i="51"/>
  <c r="AJ198" i="51" s="1"/>
  <c r="AI278" i="57"/>
  <c r="P285" i="68"/>
  <c r="AI215" i="57"/>
  <c r="P222" i="68"/>
  <c r="AI49" i="57"/>
  <c r="P56" i="68"/>
  <c r="AI272" i="57"/>
  <c r="P279" i="68"/>
  <c r="X28" i="60"/>
  <c r="P10" i="47"/>
  <c r="AI13" i="47"/>
  <c r="AZ13" i="47" s="1"/>
  <c r="P11" i="47"/>
  <c r="AI296" i="57"/>
  <c r="P303" i="68"/>
  <c r="AI187" i="51"/>
  <c r="P187" i="51"/>
  <c r="AJ187" i="51" s="1"/>
  <c r="AI288" i="51"/>
  <c r="P288" i="51"/>
  <c r="AJ288" i="51" s="1"/>
  <c r="AI230" i="51"/>
  <c r="P230" i="51"/>
  <c r="AJ230" i="51" s="1"/>
  <c r="P42" i="51"/>
  <c r="AJ42" i="51" s="1"/>
  <c r="AI42" i="51"/>
  <c r="P272" i="51"/>
  <c r="AJ272" i="51" s="1"/>
  <c r="AI272" i="51"/>
  <c r="P122" i="68"/>
  <c r="AI115" i="57"/>
  <c r="P284" i="68"/>
  <c r="AI277" i="57"/>
  <c r="AI177" i="57"/>
  <c r="P184" i="68"/>
  <c r="P178" i="51"/>
  <c r="AJ178" i="51" s="1"/>
  <c r="AI178" i="51"/>
  <c r="P147" i="51"/>
  <c r="AJ147" i="51" s="1"/>
  <c r="AI147" i="51"/>
  <c r="AI195" i="51"/>
  <c r="P195" i="51"/>
  <c r="AJ195" i="51" s="1"/>
  <c r="P274" i="51"/>
  <c r="AJ274" i="51" s="1"/>
  <c r="AI274" i="51"/>
  <c r="AI282" i="51"/>
  <c r="P282" i="51"/>
  <c r="AJ282" i="51" s="1"/>
  <c r="P167" i="51"/>
  <c r="AJ167" i="51" s="1"/>
  <c r="AI167" i="51"/>
  <c r="P164" i="68"/>
  <c r="AI157" i="57"/>
  <c r="AI231" i="57"/>
  <c r="P238" i="68"/>
  <c r="AI169" i="57"/>
  <c r="P176" i="68"/>
  <c r="P269" i="68"/>
  <c r="AI262" i="57"/>
  <c r="P16" i="51"/>
  <c r="AI16" i="51"/>
  <c r="K95" i="66"/>
  <c r="AH11" i="66"/>
  <c r="V11" i="66"/>
  <c r="I109" i="66"/>
  <c r="P132" i="51"/>
  <c r="AJ132" i="51" s="1"/>
  <c r="AI132" i="51"/>
  <c r="AI121" i="57"/>
  <c r="P128" i="68"/>
  <c r="AI265" i="57"/>
  <c r="P272" i="68"/>
  <c r="K90" i="66"/>
  <c r="P24" i="51"/>
  <c r="AI24" i="51"/>
  <c r="AY9" i="47"/>
  <c r="AY10" i="47"/>
  <c r="P46" i="51"/>
  <c r="AJ46" i="51" s="1"/>
  <c r="AI46" i="51"/>
  <c r="P143" i="51"/>
  <c r="AJ143" i="51" s="1"/>
  <c r="AI143" i="51"/>
  <c r="P289" i="51"/>
  <c r="AJ289" i="51" s="1"/>
  <c r="AI289" i="51"/>
  <c r="AI256" i="51"/>
  <c r="P256" i="51"/>
  <c r="AJ256" i="51" s="1"/>
  <c r="AI270" i="57"/>
  <c r="P277" i="68"/>
  <c r="AI292" i="57"/>
  <c r="P299" i="68"/>
  <c r="P27" i="68"/>
  <c r="AI20" i="57"/>
  <c r="P84" i="68"/>
  <c r="AI77" i="57"/>
  <c r="P124" i="68"/>
  <c r="AI117" i="57"/>
  <c r="P39" i="68"/>
  <c r="AI32" i="57"/>
  <c r="P59" i="51"/>
  <c r="AJ59" i="51" s="1"/>
  <c r="AI59" i="51"/>
  <c r="P96" i="51"/>
  <c r="AJ96" i="51" s="1"/>
  <c r="AI96" i="51"/>
  <c r="AI8" i="57" l="1"/>
  <c r="BB92" i="66"/>
  <c r="AH92" i="66"/>
  <c r="V92" i="66"/>
  <c r="AR92" i="66" s="1"/>
  <c r="BD92" i="66"/>
  <c r="O11" i="68"/>
  <c r="H127" i="66"/>
  <c r="K19" i="60"/>
  <c r="S25" i="15"/>
  <c r="AR9" i="66"/>
  <c r="AT9" i="66"/>
  <c r="AH96" i="66"/>
  <c r="BD96" i="66"/>
  <c r="V96" i="66"/>
  <c r="AR96" i="66" s="1"/>
  <c r="BB96" i="66"/>
  <c r="J109" i="66"/>
  <c r="AI11" i="66"/>
  <c r="W11" i="66"/>
  <c r="AS11" i="66" s="1"/>
  <c r="BB94" i="66"/>
  <c r="V94" i="66"/>
  <c r="AR94" i="66" s="1"/>
  <c r="BD94" i="66"/>
  <c r="AH94" i="66"/>
  <c r="AT10" i="66"/>
  <c r="AR10" i="66"/>
  <c r="AZ9" i="47"/>
  <c r="AZ10" i="47"/>
  <c r="AI6" i="66"/>
  <c r="J104" i="66"/>
  <c r="W6" i="66"/>
  <c r="AS6" i="66" s="1"/>
  <c r="AJ15" i="51"/>
  <c r="L94" i="66"/>
  <c r="L95" i="66"/>
  <c r="AJ16" i="51"/>
  <c r="W85" i="66"/>
  <c r="AS85" i="66" s="1"/>
  <c r="BC85" i="66"/>
  <c r="AI85" i="66"/>
  <c r="AJ48" i="51"/>
  <c r="L91" i="66"/>
  <c r="AI9" i="57"/>
  <c r="V12" i="66"/>
  <c r="I110" i="66"/>
  <c r="AH12" i="66"/>
  <c r="V95" i="66"/>
  <c r="AR95" i="66" s="1"/>
  <c r="BB95" i="66"/>
  <c r="AH95" i="66"/>
  <c r="BD95" i="66"/>
  <c r="AT6" i="66"/>
  <c r="AR6" i="66"/>
  <c r="L93" i="66"/>
  <c r="AJ17" i="51"/>
  <c r="BD91" i="66"/>
  <c r="V91" i="66"/>
  <c r="AR91" i="66" s="1"/>
  <c r="BB91" i="66"/>
  <c r="AH91" i="66"/>
  <c r="J103" i="66"/>
  <c r="W5" i="66"/>
  <c r="AS5" i="66" s="1"/>
  <c r="AI5" i="66"/>
  <c r="L12" i="66"/>
  <c r="S42" i="15"/>
  <c r="S35" i="15"/>
  <c r="T33" i="15"/>
  <c r="J105" i="66"/>
  <c r="W7" i="66"/>
  <c r="AS7" i="66" s="1"/>
  <c r="AI7" i="66"/>
  <c r="P3" i="68"/>
  <c r="I123" i="66" s="1"/>
  <c r="P10" i="68"/>
  <c r="I130" i="66" s="1"/>
  <c r="P1" i="68"/>
  <c r="P4" i="68"/>
  <c r="I124" i="66" s="1"/>
  <c r="P2" i="68"/>
  <c r="I122" i="66" s="1"/>
  <c r="P8" i="68"/>
  <c r="I128" i="66" s="1"/>
  <c r="P7" i="68"/>
  <c r="P9" i="68"/>
  <c r="I129" i="66" s="1"/>
  <c r="AR7" i="66"/>
  <c r="AT7" i="66"/>
  <c r="AR5" i="66"/>
  <c r="AT5" i="66"/>
  <c r="AR8" i="66"/>
  <c r="AT8" i="66"/>
  <c r="AH93" i="66"/>
  <c r="V93" i="66"/>
  <c r="AR93" i="66" s="1"/>
  <c r="BD93" i="66"/>
  <c r="BB93" i="66"/>
  <c r="L28" i="60"/>
  <c r="L77" i="15" s="1"/>
  <c r="X30" i="60"/>
  <c r="L30" i="60" s="1"/>
  <c r="U33" i="15"/>
  <c r="L96" i="66"/>
  <c r="AJ22" i="51"/>
  <c r="J106" i="66"/>
  <c r="W8" i="66"/>
  <c r="AS8" i="66" s="1"/>
  <c r="AI8" i="66"/>
  <c r="W10" i="66"/>
  <c r="AS10" i="66" s="1"/>
  <c r="J108" i="66"/>
  <c r="AI10" i="66"/>
  <c r="J107" i="66"/>
  <c r="W9" i="66"/>
  <c r="AS9" i="66" s="1"/>
  <c r="AI9" i="66"/>
  <c r="O5" i="68"/>
  <c r="H125" i="66" s="1"/>
  <c r="H121" i="66"/>
  <c r="AJ33" i="51"/>
  <c r="L92" i="66"/>
  <c r="L90" i="66"/>
  <c r="AJ24" i="51"/>
  <c r="BB90" i="66"/>
  <c r="V90" i="66"/>
  <c r="AR90" i="66" s="1"/>
  <c r="AH90" i="66"/>
  <c r="K97" i="66"/>
  <c r="BD90" i="66"/>
  <c r="AR11" i="66"/>
  <c r="AT11" i="66"/>
  <c r="W32" i="60"/>
  <c r="P13" i="51"/>
  <c r="AI13" i="51"/>
  <c r="P20" i="68"/>
  <c r="X19" i="60" s="1"/>
  <c r="AI13" i="57"/>
  <c r="P11" i="68" l="1"/>
  <c r="I127" i="66"/>
  <c r="BC95" i="66"/>
  <c r="W95" i="66"/>
  <c r="AS95" i="66" s="1"/>
  <c r="AI95" i="66"/>
  <c r="W94" i="66"/>
  <c r="AS94" i="66" s="1"/>
  <c r="BC94" i="66"/>
  <c r="AI94" i="66"/>
  <c r="W91" i="66"/>
  <c r="AS91" i="66" s="1"/>
  <c r="AI91" i="66"/>
  <c r="BC91" i="66"/>
  <c r="H131" i="66"/>
  <c r="H133" i="66" s="1"/>
  <c r="O13" i="68"/>
  <c r="BC96" i="66"/>
  <c r="W96" i="66"/>
  <c r="AS96" i="66" s="1"/>
  <c r="AI96" i="66"/>
  <c r="U25" i="15"/>
  <c r="L19" i="60"/>
  <c r="BC92" i="66"/>
  <c r="W92" i="66"/>
  <c r="AS92" i="66" s="1"/>
  <c r="AI92" i="66"/>
  <c r="P5" i="68"/>
  <c r="I125" i="66" s="1"/>
  <c r="I121" i="66"/>
  <c r="AT12" i="66"/>
  <c r="AR12" i="66"/>
  <c r="AJ13" i="51"/>
  <c r="X32" i="60"/>
  <c r="K32" i="60"/>
  <c r="S37" i="15"/>
  <c r="W34" i="60"/>
  <c r="K34" i="60" s="1"/>
  <c r="BC90" i="66"/>
  <c r="W90" i="66"/>
  <c r="AS90" i="66" s="1"/>
  <c r="AI90" i="66"/>
  <c r="L97" i="66"/>
  <c r="U42" i="15"/>
  <c r="V33" i="15"/>
  <c r="U35" i="15"/>
  <c r="BB97" i="66"/>
  <c r="V97" i="66"/>
  <c r="AR97" i="66" s="1"/>
  <c r="AH97" i="66"/>
  <c r="BD97" i="66"/>
  <c r="W12" i="66"/>
  <c r="AS12" i="66" s="1"/>
  <c r="AI12" i="66"/>
  <c r="J110" i="66"/>
  <c r="W93" i="66"/>
  <c r="AS93" i="66" s="1"/>
  <c r="AI93" i="66"/>
  <c r="BC93" i="66"/>
  <c r="S39" i="15" l="1"/>
  <c r="T37" i="15"/>
  <c r="U37" i="15"/>
  <c r="L32" i="60"/>
  <c r="X34" i="60"/>
  <c r="L34" i="60" s="1"/>
  <c r="BC97" i="66"/>
  <c r="AI97" i="66"/>
  <c r="W97" i="66"/>
  <c r="AS97" i="66" s="1"/>
  <c r="I131" i="66"/>
  <c r="I133" i="66" s="1"/>
  <c r="P13" i="68"/>
  <c r="U39" i="15" l="1"/>
  <c r="V37" i="15"/>
</calcChain>
</file>

<file path=xl/sharedStrings.xml><?xml version="1.0" encoding="utf-8"?>
<sst xmlns="http://schemas.openxmlformats.org/spreadsheetml/2006/main" count="11597" uniqueCount="820">
  <si>
    <t>Kunta</t>
  </si>
  <si>
    <t>Akaa</t>
  </si>
  <si>
    <t>Alajärvi</t>
  </si>
  <si>
    <t>Alavieska</t>
  </si>
  <si>
    <t>Alavus</t>
  </si>
  <si>
    <t>Asikkala</t>
  </si>
  <si>
    <t>Askola</t>
  </si>
  <si>
    <t>Aura</t>
  </si>
  <si>
    <t>Enonkoski</t>
  </si>
  <si>
    <t>Enontekiö</t>
  </si>
  <si>
    <t>Espoo</t>
  </si>
  <si>
    <t>Eura</t>
  </si>
  <si>
    <t>Eurajoki</t>
  </si>
  <si>
    <t>Evijärvi</t>
  </si>
  <si>
    <t>Forssa</t>
  </si>
  <si>
    <t>Haapajärvi</t>
  </si>
  <si>
    <t>Haapavesi</t>
  </si>
  <si>
    <t>Hailuoto</t>
  </si>
  <si>
    <t>Halsua</t>
  </si>
  <si>
    <t>Hamina</t>
  </si>
  <si>
    <t>Hankasalmi</t>
  </si>
  <si>
    <t>Hanko</t>
  </si>
  <si>
    <t>Harjavalta</t>
  </si>
  <si>
    <t>Hartola</t>
  </si>
  <si>
    <t>Hattula</t>
  </si>
  <si>
    <t>Hausjärvi</t>
  </si>
  <si>
    <t>Heinola</t>
  </si>
  <si>
    <t>Heinävesi</t>
  </si>
  <si>
    <t>Helsinki</t>
  </si>
  <si>
    <t>Hirvensalmi</t>
  </si>
  <si>
    <t>Hollola</t>
  </si>
  <si>
    <t>Huittinen</t>
  </si>
  <si>
    <t>Humppila</t>
  </si>
  <si>
    <t>Hyrynsalmi</t>
  </si>
  <si>
    <t>Hyvinkää</t>
  </si>
  <si>
    <t>Hämeenkyrö</t>
  </si>
  <si>
    <t>Hämeenlinna</t>
  </si>
  <si>
    <t>Ii</t>
  </si>
  <si>
    <t>Iisalmi</t>
  </si>
  <si>
    <t>Iitti</t>
  </si>
  <si>
    <t>Ikaalinen</t>
  </si>
  <si>
    <t>Ilmajoki</t>
  </si>
  <si>
    <t>Ilomantsi</t>
  </si>
  <si>
    <t>Imatra</t>
  </si>
  <si>
    <t>Inari</t>
  </si>
  <si>
    <t>Inkoo</t>
  </si>
  <si>
    <t>Isojoki</t>
  </si>
  <si>
    <t>Isokyrö</t>
  </si>
  <si>
    <t>Janakkala</t>
  </si>
  <si>
    <t>Joensuu</t>
  </si>
  <si>
    <t>Jokioinen</t>
  </si>
  <si>
    <t>Joroinen</t>
  </si>
  <si>
    <t>Joutsa</t>
  </si>
  <si>
    <t>Juuka</t>
  </si>
  <si>
    <t>Juupajoki</t>
  </si>
  <si>
    <t>Juva</t>
  </si>
  <si>
    <t>Jyväskylä</t>
  </si>
  <si>
    <t>Jämijärvi</t>
  </si>
  <si>
    <t>Jämsä</t>
  </si>
  <si>
    <t>Järvenpää</t>
  </si>
  <si>
    <t>Kaarina</t>
  </si>
  <si>
    <t>Kaavi</t>
  </si>
  <si>
    <t>Kajaani</t>
  </si>
  <si>
    <t>Kalajoki</t>
  </si>
  <si>
    <t>Kangasala</t>
  </si>
  <si>
    <t>Kangasniemi</t>
  </si>
  <si>
    <t>Kankaanpää</t>
  </si>
  <si>
    <t>Kannonkoski</t>
  </si>
  <si>
    <t>Kannus</t>
  </si>
  <si>
    <t>Karijoki</t>
  </si>
  <si>
    <t>Karkkila</t>
  </si>
  <si>
    <t>Karstula</t>
  </si>
  <si>
    <t>Karvia</t>
  </si>
  <si>
    <t>Kaskinen</t>
  </si>
  <si>
    <t>Kauhajoki</t>
  </si>
  <si>
    <t>Kauhava</t>
  </si>
  <si>
    <t>Kauniainen</t>
  </si>
  <si>
    <t>Kaustinen</t>
  </si>
  <si>
    <t>Keitele</t>
  </si>
  <si>
    <t>Kemi</t>
  </si>
  <si>
    <t>Kemijärvi</t>
  </si>
  <si>
    <t>Keminmaa</t>
  </si>
  <si>
    <t>Kemiönsaari</t>
  </si>
  <si>
    <t>Kempele</t>
  </si>
  <si>
    <t>Kerava</t>
  </si>
  <si>
    <t>Keuruu</t>
  </si>
  <si>
    <t>Kihniö</t>
  </si>
  <si>
    <t>Kinnula</t>
  </si>
  <si>
    <t>Kirkkonummi</t>
  </si>
  <si>
    <t>Kitee</t>
  </si>
  <si>
    <t>Kittilä</t>
  </si>
  <si>
    <t>Kiuruvesi</t>
  </si>
  <si>
    <t>Kivijärvi</t>
  </si>
  <si>
    <t>Kokemäki</t>
  </si>
  <si>
    <t>Kokkola</t>
  </si>
  <si>
    <t>Kolari</t>
  </si>
  <si>
    <t>Konnevesi</t>
  </si>
  <si>
    <t>Kontiolahti</t>
  </si>
  <si>
    <t>Korsnäs</t>
  </si>
  <si>
    <t>Koski tl</t>
  </si>
  <si>
    <t>Kotka</t>
  </si>
  <si>
    <t>Kouvola</t>
  </si>
  <si>
    <t>Kristiinankaup.</t>
  </si>
  <si>
    <t>Kruunupyy</t>
  </si>
  <si>
    <t>Kuhmo</t>
  </si>
  <si>
    <t>Kuhmoinen</t>
  </si>
  <si>
    <t>Kuopio</t>
  </si>
  <si>
    <t>Kuortane</t>
  </si>
  <si>
    <t>Kurikka</t>
  </si>
  <si>
    <t>Kustavi</t>
  </si>
  <si>
    <t>Kuusamo</t>
  </si>
  <si>
    <t>Kyyjärvi</t>
  </si>
  <si>
    <t>Kärkölä</t>
  </si>
  <si>
    <t>Kärsämäki</t>
  </si>
  <si>
    <t>Lahti</t>
  </si>
  <si>
    <t>Laihia</t>
  </si>
  <si>
    <t>Laitila</t>
  </si>
  <si>
    <t>Lapinjärvi</t>
  </si>
  <si>
    <t>Lapinlahti</t>
  </si>
  <si>
    <t>Lappajärvi</t>
  </si>
  <si>
    <t>Lappeenranta</t>
  </si>
  <si>
    <t>Lapua</t>
  </si>
  <si>
    <t>Laukaa</t>
  </si>
  <si>
    <t>Lemi</t>
  </si>
  <si>
    <t>Lempäälä</t>
  </si>
  <si>
    <t>Leppävirta</t>
  </si>
  <si>
    <t>Lestijärvi</t>
  </si>
  <si>
    <t>Lieksa</t>
  </si>
  <si>
    <t>Lieto</t>
  </si>
  <si>
    <t>Liminka</t>
  </si>
  <si>
    <t>Liperi</t>
  </si>
  <si>
    <t>Lohja</t>
  </si>
  <si>
    <t>Loimaa</t>
  </si>
  <si>
    <t>Loppi</t>
  </si>
  <si>
    <t>Loviisa</t>
  </si>
  <si>
    <t>Luhanka</t>
  </si>
  <si>
    <t>Lumijoki</t>
  </si>
  <si>
    <t>Luoto</t>
  </si>
  <si>
    <t>Luumäki</t>
  </si>
  <si>
    <t>Maalahti</t>
  </si>
  <si>
    <t>Marttila</t>
  </si>
  <si>
    <t>Masku</t>
  </si>
  <si>
    <t>Merijärvi</t>
  </si>
  <si>
    <t>Merikarvia</t>
  </si>
  <si>
    <t>Miehikkälä</t>
  </si>
  <si>
    <t>Mikkeli</t>
  </si>
  <si>
    <t>Muhos</t>
  </si>
  <si>
    <t>Multia</t>
  </si>
  <si>
    <t>Muonio</t>
  </si>
  <si>
    <t>Mustasaari</t>
  </si>
  <si>
    <t>Muurame</t>
  </si>
  <si>
    <t>Mynämäki</t>
  </si>
  <si>
    <t>Myrskylä</t>
  </si>
  <si>
    <t>Mäntsälä</t>
  </si>
  <si>
    <t>Mänttä-Vilppula</t>
  </si>
  <si>
    <t>Mäntyharju</t>
  </si>
  <si>
    <t>Naantali</t>
  </si>
  <si>
    <t>Nakkila</t>
  </si>
  <si>
    <t>Nivala</t>
  </si>
  <si>
    <t>Nokia</t>
  </si>
  <si>
    <t>Nousiainen</t>
  </si>
  <si>
    <t>Nurmes</t>
  </si>
  <si>
    <t>Nurmijärvi</t>
  </si>
  <si>
    <t>Närpiö</t>
  </si>
  <si>
    <t>Orimattila</t>
  </si>
  <si>
    <t>Oripää</t>
  </si>
  <si>
    <t>Orivesi</t>
  </si>
  <si>
    <t>Oulainen</t>
  </si>
  <si>
    <t>Oulu</t>
  </si>
  <si>
    <t>Outokumpu</t>
  </si>
  <si>
    <t>Padasjoki</t>
  </si>
  <si>
    <t>Paimio</t>
  </si>
  <si>
    <t>Paltamo</t>
  </si>
  <si>
    <t>Parainen</t>
  </si>
  <si>
    <t>Parikkala</t>
  </si>
  <si>
    <t>Parkano</t>
  </si>
  <si>
    <t>Pedersören k.</t>
  </si>
  <si>
    <t>Pelkosenniemi</t>
  </si>
  <si>
    <t>Pello</t>
  </si>
  <si>
    <t>Perho</t>
  </si>
  <si>
    <t>Pertunmaa</t>
  </si>
  <si>
    <t>Petäjävesi</t>
  </si>
  <si>
    <t>Pieksämäki</t>
  </si>
  <si>
    <t>Pielavesi</t>
  </si>
  <si>
    <t>Pietarsaari</t>
  </si>
  <si>
    <t>Pihtipudas</t>
  </si>
  <si>
    <t>Pirkkala</t>
  </si>
  <si>
    <t>Polvijärvi</t>
  </si>
  <si>
    <t>Pomarkku</t>
  </si>
  <si>
    <t>Pori</t>
  </si>
  <si>
    <t>Pornainen</t>
  </si>
  <si>
    <t>Porvoo</t>
  </si>
  <si>
    <t>Posio</t>
  </si>
  <si>
    <t>Pudasjärvi</t>
  </si>
  <si>
    <t>Pukkila</t>
  </si>
  <si>
    <t>Punkalaidun</t>
  </si>
  <si>
    <t>Puolanka</t>
  </si>
  <si>
    <t>Puumala</t>
  </si>
  <si>
    <t>Pyhtää</t>
  </si>
  <si>
    <t>Pyhäjoki</t>
  </si>
  <si>
    <t>Pyhäjärvi</t>
  </si>
  <si>
    <t>Pyhäntä</t>
  </si>
  <si>
    <t>Pyhäranta</t>
  </si>
  <si>
    <t>Pälkäne</t>
  </si>
  <si>
    <t>Pöytyä</t>
  </si>
  <si>
    <t>Raahe</t>
  </si>
  <si>
    <t>Raasepori</t>
  </si>
  <si>
    <t>Raisio</t>
  </si>
  <si>
    <t>Rantasalmi</t>
  </si>
  <si>
    <t>Ranua</t>
  </si>
  <si>
    <t>Rauma</t>
  </si>
  <si>
    <t>Rautalampi</t>
  </si>
  <si>
    <t>Rautavaara</t>
  </si>
  <si>
    <t>Rautjärvi</t>
  </si>
  <si>
    <t>Reisjärvi</t>
  </si>
  <si>
    <t>Riihimäki</t>
  </si>
  <si>
    <t>Ristijärvi</t>
  </si>
  <si>
    <t>Rovaniemi</t>
  </si>
  <si>
    <t>Ruokolahti</t>
  </si>
  <si>
    <t>Ruovesi</t>
  </si>
  <si>
    <t>Rusko</t>
  </si>
  <si>
    <t>Rääkkylä</t>
  </si>
  <si>
    <t>Saarijärvi</t>
  </si>
  <si>
    <t>Salla</t>
  </si>
  <si>
    <t>Salo</t>
  </si>
  <si>
    <t>Sastamala</t>
  </si>
  <si>
    <t>Sauvo</t>
  </si>
  <si>
    <t>Savitaipale</t>
  </si>
  <si>
    <t>Savonlinna</t>
  </si>
  <si>
    <t>Savukoski</t>
  </si>
  <si>
    <t>Seinäjoki</t>
  </si>
  <si>
    <t>Sievi</t>
  </si>
  <si>
    <t>Siikainen</t>
  </si>
  <si>
    <t>Siikajoki</t>
  </si>
  <si>
    <t>Siikalatva</t>
  </si>
  <si>
    <t>Siilinjärvi</t>
  </si>
  <si>
    <t>Simo</t>
  </si>
  <si>
    <t>Sipoo</t>
  </si>
  <si>
    <t>Siuntio</t>
  </si>
  <si>
    <t>Sodankylä</t>
  </si>
  <si>
    <t>Soini</t>
  </si>
  <si>
    <t>Somero</t>
  </si>
  <si>
    <t>Sonkajärvi</t>
  </si>
  <si>
    <t>Sotkamo</t>
  </si>
  <si>
    <t>Sulkava</t>
  </si>
  <si>
    <t>Suomussalmi</t>
  </si>
  <si>
    <t>Suonenjoki</t>
  </si>
  <si>
    <t>Sysmä</t>
  </si>
  <si>
    <t>Säkylä</t>
  </si>
  <si>
    <t>Taipalsaari</t>
  </si>
  <si>
    <t>Taivalkoski</t>
  </si>
  <si>
    <t>Taivassalo</t>
  </si>
  <si>
    <t>Tammela</t>
  </si>
  <si>
    <t>Tampere</t>
  </si>
  <si>
    <t>Tervo</t>
  </si>
  <si>
    <t>Tervola</t>
  </si>
  <si>
    <t>Teuva</t>
  </si>
  <si>
    <t>Tohmajärvi</t>
  </si>
  <si>
    <t>Toholampi</t>
  </si>
  <si>
    <t>Toivakka</t>
  </si>
  <si>
    <t>Tornio</t>
  </si>
  <si>
    <t>Turku</t>
  </si>
  <si>
    <t>Tuusniemi</t>
  </si>
  <si>
    <t>Tuusula</t>
  </si>
  <si>
    <t>Tyrnävä</t>
  </si>
  <si>
    <t>Ulvila</t>
  </si>
  <si>
    <t>Urjala</t>
  </si>
  <si>
    <t>Utajärvi</t>
  </si>
  <si>
    <t>Utsjoki</t>
  </si>
  <si>
    <t>Uurainen</t>
  </si>
  <si>
    <t>Uusikaarlepyy</t>
  </si>
  <si>
    <t>Uusikaupunki</t>
  </si>
  <si>
    <t>Vaala</t>
  </si>
  <si>
    <t>Vaasa</t>
  </si>
  <si>
    <t>Valkeakoski</t>
  </si>
  <si>
    <t>Vantaa</t>
  </si>
  <si>
    <t>Varkaus</t>
  </si>
  <si>
    <t>Vehmaa</t>
  </si>
  <si>
    <t>Vesanto</t>
  </si>
  <si>
    <t>Vesilahti</t>
  </si>
  <si>
    <t>Veteli</t>
  </si>
  <si>
    <t>Vieremä</t>
  </si>
  <si>
    <t>Vihti</t>
  </si>
  <si>
    <t>Viitasaari</t>
  </si>
  <si>
    <t>Vimpeli</t>
  </si>
  <si>
    <t>Virolahti</t>
  </si>
  <si>
    <t>Virrat</t>
  </si>
  <si>
    <t>Vöyri</t>
  </si>
  <si>
    <t>Ylitornio</t>
  </si>
  <si>
    <t>Ylivieska</t>
  </si>
  <si>
    <t>Ylöjärvi</t>
  </si>
  <si>
    <t>Ypäjä</t>
  </si>
  <si>
    <t>Ähtäri</t>
  </si>
  <si>
    <t>Äänekoski</t>
  </si>
  <si>
    <t>Kuntakoodi</t>
  </si>
  <si>
    <t>kunta</t>
  </si>
  <si>
    <t>Kunnallisvero</t>
  </si>
  <si>
    <t>Yhteisövero</t>
  </si>
  <si>
    <t>Valtionosuudet</t>
  </si>
  <si>
    <t>Verotulot</t>
  </si>
  <si>
    <t>Kiinteistövero</t>
  </si>
  <si>
    <t>Käyttökate</t>
  </si>
  <si>
    <t>Vuosikate</t>
  </si>
  <si>
    <t>OKM vos</t>
  </si>
  <si>
    <t>SOTE+pelastus</t>
  </si>
  <si>
    <t>Koko maa (Manner-Suomi)</t>
  </si>
  <si>
    <t>alue</t>
  </si>
  <si>
    <t>min</t>
  </si>
  <si>
    <t>maks</t>
  </si>
  <si>
    <t>väkiluku</t>
  </si>
  <si>
    <t>Muutos</t>
  </si>
  <si>
    <t>vuosi</t>
  </si>
  <si>
    <t>Koko maa</t>
  </si>
  <si>
    <t>poistot</t>
  </si>
  <si>
    <t>Toimintakate</t>
  </si>
  <si>
    <t>Poistot</t>
  </si>
  <si>
    <t>koko maa</t>
  </si>
  <si>
    <t>VM</t>
  </si>
  <si>
    <t>Asukasluku</t>
  </si>
  <si>
    <t>€/as</t>
  </si>
  <si>
    <t>1000 euroa</t>
  </si>
  <si>
    <t>euroa per as</t>
  </si>
  <si>
    <t>1000 €</t>
  </si>
  <si>
    <t>TP</t>
  </si>
  <si>
    <t>Käyvin hinnoin</t>
  </si>
  <si>
    <t>muutos</t>
  </si>
  <si>
    <t>KNO</t>
  </si>
  <si>
    <t>Kunnan_nimi</t>
  </si>
  <si>
    <t xml:space="preserve">ALAJÄRVI           </t>
  </si>
  <si>
    <t xml:space="preserve">ALAVIESKA          </t>
  </si>
  <si>
    <t xml:space="preserve">ALAVUS             </t>
  </si>
  <si>
    <t xml:space="preserve">ASIKKALA           </t>
  </si>
  <si>
    <t xml:space="preserve">ASKOLA             </t>
  </si>
  <si>
    <t xml:space="preserve">AURA               </t>
  </si>
  <si>
    <t>AKAA</t>
  </si>
  <si>
    <t xml:space="preserve">ENONKOSKI          </t>
  </si>
  <si>
    <t xml:space="preserve">ENONTEKIÖ          </t>
  </si>
  <si>
    <t xml:space="preserve">ESPOO              </t>
  </si>
  <si>
    <t xml:space="preserve">EURA               </t>
  </si>
  <si>
    <t xml:space="preserve">EURAJOKI           </t>
  </si>
  <si>
    <t xml:space="preserve">EVIJÄRVI           </t>
  </si>
  <si>
    <t xml:space="preserve">FORSSA             </t>
  </si>
  <si>
    <t xml:space="preserve">HAAPAJÄRVI         </t>
  </si>
  <si>
    <t xml:space="preserve">HAAPAVESI          </t>
  </si>
  <si>
    <t xml:space="preserve">HAILUOTO           </t>
  </si>
  <si>
    <t xml:space="preserve">HALSUA             </t>
  </si>
  <si>
    <t xml:space="preserve">HAMINA             </t>
  </si>
  <si>
    <t xml:space="preserve">HANKASALMI         </t>
  </si>
  <si>
    <t xml:space="preserve">HANKO              </t>
  </si>
  <si>
    <t xml:space="preserve">HARJAVALTA         </t>
  </si>
  <si>
    <t xml:space="preserve">HARTOLA            </t>
  </si>
  <si>
    <t xml:space="preserve">HATTULA            </t>
  </si>
  <si>
    <t xml:space="preserve">HAUSJÄRVI          </t>
  </si>
  <si>
    <t xml:space="preserve">HEINÄVESI          </t>
  </si>
  <si>
    <t xml:space="preserve">HELSINKI           </t>
  </si>
  <si>
    <t xml:space="preserve">VANTAA             </t>
  </si>
  <si>
    <t xml:space="preserve">HIRVENSALMI        </t>
  </si>
  <si>
    <t xml:space="preserve">HOLLOLA            </t>
  </si>
  <si>
    <t xml:space="preserve">HONKAJOKI          </t>
  </si>
  <si>
    <t xml:space="preserve">HUITTINEN          </t>
  </si>
  <si>
    <t xml:space="preserve">HUMPPILA           </t>
  </si>
  <si>
    <t xml:space="preserve">HYRYNSALMI         </t>
  </si>
  <si>
    <t xml:space="preserve">HYVINKÄÄ           </t>
  </si>
  <si>
    <t xml:space="preserve">HÄMEENKYRÖ         </t>
  </si>
  <si>
    <t xml:space="preserve">HÄMEENLINNA        </t>
  </si>
  <si>
    <t>HEINOLA</t>
  </si>
  <si>
    <t xml:space="preserve">II                 </t>
  </si>
  <si>
    <t xml:space="preserve">IISALMI            </t>
  </si>
  <si>
    <t xml:space="preserve">IITTI              </t>
  </si>
  <si>
    <t xml:space="preserve">IKAALINEN          </t>
  </si>
  <si>
    <t xml:space="preserve">ILMAJOKI           </t>
  </si>
  <si>
    <t xml:space="preserve">ILOMANTSI          </t>
  </si>
  <si>
    <t xml:space="preserve">INARI              </t>
  </si>
  <si>
    <t xml:space="preserve">INKOO              </t>
  </si>
  <si>
    <t xml:space="preserve">ISOJOKI            </t>
  </si>
  <si>
    <t xml:space="preserve">ISOKYRÖ            </t>
  </si>
  <si>
    <t xml:space="preserve">IMATRA             </t>
  </si>
  <si>
    <t xml:space="preserve">JANAKKALA          </t>
  </si>
  <si>
    <t xml:space="preserve">JOENSUU            </t>
  </si>
  <si>
    <t xml:space="preserve">JOKIOINEN          </t>
  </si>
  <si>
    <t xml:space="preserve">JOROINEN           </t>
  </si>
  <si>
    <t xml:space="preserve">JOUTSA             </t>
  </si>
  <si>
    <t xml:space="preserve">JUUKA              </t>
  </si>
  <si>
    <t xml:space="preserve">JUUPAJOKI          </t>
  </si>
  <si>
    <t xml:space="preserve">JUVA               </t>
  </si>
  <si>
    <t xml:space="preserve">JYVÄSKYLÄ          </t>
  </si>
  <si>
    <t xml:space="preserve">JÄMIJÄRVI          </t>
  </si>
  <si>
    <t xml:space="preserve">JÄMSÄ              </t>
  </si>
  <si>
    <t xml:space="preserve">JÄRVENPÄÄ          </t>
  </si>
  <si>
    <t xml:space="preserve">KAARINA            </t>
  </si>
  <si>
    <t xml:space="preserve">KAAVI              </t>
  </si>
  <si>
    <t xml:space="preserve">KAJAANI            </t>
  </si>
  <si>
    <t xml:space="preserve">KALAJOKI           </t>
  </si>
  <si>
    <t xml:space="preserve">KANGASALA          </t>
  </si>
  <si>
    <t xml:space="preserve">KANGASNIEMI        </t>
  </si>
  <si>
    <t xml:space="preserve">KANKAANPÄÄ         </t>
  </si>
  <si>
    <t xml:space="preserve">KANNONKOSKI        </t>
  </si>
  <si>
    <t xml:space="preserve">KANNUS             </t>
  </si>
  <si>
    <t xml:space="preserve">KARIJOKI           </t>
  </si>
  <si>
    <t xml:space="preserve">KARKKILA           </t>
  </si>
  <si>
    <t xml:space="preserve">KARSTULA           </t>
  </si>
  <si>
    <t xml:space="preserve">KARVIA             </t>
  </si>
  <si>
    <t xml:space="preserve">KASKINEN           </t>
  </si>
  <si>
    <t xml:space="preserve">KAUHAJOKI          </t>
  </si>
  <si>
    <t xml:space="preserve">KAUHAVA            </t>
  </si>
  <si>
    <t xml:space="preserve">KAUNIAINEN         </t>
  </si>
  <si>
    <t xml:space="preserve">KAUSTINEN          </t>
  </si>
  <si>
    <t xml:space="preserve">KEITELE            </t>
  </si>
  <si>
    <t xml:space="preserve">KEMI               </t>
  </si>
  <si>
    <t xml:space="preserve">KEMINMAA           </t>
  </si>
  <si>
    <t xml:space="preserve">KEMPELE            </t>
  </si>
  <si>
    <t xml:space="preserve">KERAVA             </t>
  </si>
  <si>
    <t xml:space="preserve">KEURUU             </t>
  </si>
  <si>
    <t xml:space="preserve">KIHNIÖ             </t>
  </si>
  <si>
    <t xml:space="preserve">KINNULA            </t>
  </si>
  <si>
    <t xml:space="preserve">KIRKKONUMMI        </t>
  </si>
  <si>
    <t xml:space="preserve">KITEE              </t>
  </si>
  <si>
    <t xml:space="preserve">KITTILÄ            </t>
  </si>
  <si>
    <t xml:space="preserve">KIURUVESI          </t>
  </si>
  <si>
    <t xml:space="preserve">KIVIJÄRVI          </t>
  </si>
  <si>
    <t xml:space="preserve">KOKEMÄKI           </t>
  </si>
  <si>
    <t xml:space="preserve">KOKKOLA            </t>
  </si>
  <si>
    <t xml:space="preserve">KOLARI             </t>
  </si>
  <si>
    <t xml:space="preserve">KONNEVESI          </t>
  </si>
  <si>
    <t xml:space="preserve">KONTIOLAHTI        </t>
  </si>
  <si>
    <t xml:space="preserve">KORSNÄS            </t>
  </si>
  <si>
    <t xml:space="preserve">KOSKI TL           </t>
  </si>
  <si>
    <t xml:space="preserve">KOTKA              </t>
  </si>
  <si>
    <t xml:space="preserve">KOUVOLA            </t>
  </si>
  <si>
    <t xml:space="preserve">KRISTIINANKAUPUNKI </t>
  </si>
  <si>
    <t xml:space="preserve">KRUUNUPYY          </t>
  </si>
  <si>
    <t xml:space="preserve">KUHMO              </t>
  </si>
  <si>
    <t xml:space="preserve">KUHMOINEN          </t>
  </si>
  <si>
    <t xml:space="preserve">KUOPIO             </t>
  </si>
  <si>
    <t xml:space="preserve">KUORTANE           </t>
  </si>
  <si>
    <t xml:space="preserve">KURIKKA            </t>
  </si>
  <si>
    <t xml:space="preserve">KUSTAVI            </t>
  </si>
  <si>
    <t xml:space="preserve">KUUSAMO            </t>
  </si>
  <si>
    <t xml:space="preserve">OUTOKUMPU          </t>
  </si>
  <si>
    <t xml:space="preserve">KYYJÄRVI           </t>
  </si>
  <si>
    <t xml:space="preserve">KÄRKÖLÄ            </t>
  </si>
  <si>
    <t xml:space="preserve">KÄRSÄMÄKI          </t>
  </si>
  <si>
    <t xml:space="preserve">KEMIJÄRVI          </t>
  </si>
  <si>
    <t xml:space="preserve">KEMIÖNSAARI              </t>
  </si>
  <si>
    <t xml:space="preserve">LAHTI              </t>
  </si>
  <si>
    <t xml:space="preserve">LAIHIA             </t>
  </si>
  <si>
    <t xml:space="preserve">LAITILA            </t>
  </si>
  <si>
    <t xml:space="preserve">LAPINLAHTI         </t>
  </si>
  <si>
    <t xml:space="preserve">LAPPAJÄRVI         </t>
  </si>
  <si>
    <t xml:space="preserve">LAPPEENRANTA       </t>
  </si>
  <si>
    <t xml:space="preserve">LAPINJÄRVI         </t>
  </si>
  <si>
    <t xml:space="preserve">LAPUA              </t>
  </si>
  <si>
    <t xml:space="preserve">LAUKAA             </t>
  </si>
  <si>
    <t xml:space="preserve">LEMI               </t>
  </si>
  <si>
    <t xml:space="preserve">LEMPÄÄLÄ           </t>
  </si>
  <si>
    <t xml:space="preserve">LEPPÄVIRTA         </t>
  </si>
  <si>
    <t xml:space="preserve">LESTIJÄRVI         </t>
  </si>
  <si>
    <t xml:space="preserve">LIEKSA             </t>
  </si>
  <si>
    <t xml:space="preserve">LIETO              </t>
  </si>
  <si>
    <t xml:space="preserve">LIMINKA            </t>
  </si>
  <si>
    <t xml:space="preserve">LIPERI             </t>
  </si>
  <si>
    <t>LOIMAA</t>
  </si>
  <si>
    <t xml:space="preserve">LOPPI              </t>
  </si>
  <si>
    <t xml:space="preserve">LOVIISA            </t>
  </si>
  <si>
    <t xml:space="preserve">LUHANKA            </t>
  </si>
  <si>
    <t xml:space="preserve">LUMIJOKI           </t>
  </si>
  <si>
    <t xml:space="preserve">LUOTO              </t>
  </si>
  <si>
    <t xml:space="preserve">LUUMÄKI            </t>
  </si>
  <si>
    <t>LOHJA</t>
  </si>
  <si>
    <t>PARAINEN</t>
  </si>
  <si>
    <t xml:space="preserve">MAALAHTI           </t>
  </si>
  <si>
    <t xml:space="preserve">MARTTILA           </t>
  </si>
  <si>
    <t xml:space="preserve">MASKU              </t>
  </si>
  <si>
    <t xml:space="preserve">MERIJÄRVI          </t>
  </si>
  <si>
    <t xml:space="preserve">MERIKARVIA         </t>
  </si>
  <si>
    <t xml:space="preserve">MIEHIKKÄLÄ         </t>
  </si>
  <si>
    <t xml:space="preserve">MIKKELI            </t>
  </si>
  <si>
    <t xml:space="preserve">MUHOS              </t>
  </si>
  <si>
    <t xml:space="preserve">MULTIA             </t>
  </si>
  <si>
    <t xml:space="preserve">MUONIO             </t>
  </si>
  <si>
    <t xml:space="preserve">MUSTASAARI         </t>
  </si>
  <si>
    <t xml:space="preserve">MUURAME            </t>
  </si>
  <si>
    <t xml:space="preserve">MYNÄMÄKI           </t>
  </si>
  <si>
    <t xml:space="preserve">MYRSKYLÄ           </t>
  </si>
  <si>
    <t xml:space="preserve">MÄNTSÄLÄ           </t>
  </si>
  <si>
    <t xml:space="preserve">MÄNTYHARJU         </t>
  </si>
  <si>
    <t xml:space="preserve">MÄNTTÄ-VILPPULA             </t>
  </si>
  <si>
    <t xml:space="preserve">NAANTALI           </t>
  </si>
  <si>
    <t xml:space="preserve">NAKKILA            </t>
  </si>
  <si>
    <t xml:space="preserve">NIVALA             </t>
  </si>
  <si>
    <t xml:space="preserve">NOKIA              </t>
  </si>
  <si>
    <t xml:space="preserve">NOUSIAINEN         </t>
  </si>
  <si>
    <t xml:space="preserve">NURMES             </t>
  </si>
  <si>
    <t xml:space="preserve">NURMIJÄRVI         </t>
  </si>
  <si>
    <t xml:space="preserve">NÄRPIÖ             </t>
  </si>
  <si>
    <t xml:space="preserve">ORIMATTILA         </t>
  </si>
  <si>
    <t xml:space="preserve">ORIPÄÄ             </t>
  </si>
  <si>
    <t xml:space="preserve">ORIVESI            </t>
  </si>
  <si>
    <t xml:space="preserve">OULAINEN           </t>
  </si>
  <si>
    <t xml:space="preserve">OULU               </t>
  </si>
  <si>
    <t xml:space="preserve">PADASJOKI          </t>
  </si>
  <si>
    <t xml:space="preserve">PAIMIO             </t>
  </si>
  <si>
    <t xml:space="preserve">PALTAMO            </t>
  </si>
  <si>
    <t xml:space="preserve">PARIKKALA          </t>
  </si>
  <si>
    <t xml:space="preserve">PARKANO            </t>
  </si>
  <si>
    <t xml:space="preserve">PELKOSENNIEMI      </t>
  </si>
  <si>
    <t xml:space="preserve">PERHO              </t>
  </si>
  <si>
    <t xml:space="preserve">PERTUNMAA          </t>
  </si>
  <si>
    <t xml:space="preserve">PETÄJÄVESI         </t>
  </si>
  <si>
    <t xml:space="preserve">PIEKSÄMÄKI         </t>
  </si>
  <si>
    <t xml:space="preserve">PIELAVESI          </t>
  </si>
  <si>
    <t xml:space="preserve">PIETARSAARI        </t>
  </si>
  <si>
    <t>PEDERSÖREN KUNTA</t>
  </si>
  <si>
    <t xml:space="preserve">PIHTIPUDAS         </t>
  </si>
  <si>
    <t xml:space="preserve">PIRKKALA           </t>
  </si>
  <si>
    <t xml:space="preserve">POLVIJÄRVI         </t>
  </si>
  <si>
    <t xml:space="preserve">POMARKKU           </t>
  </si>
  <si>
    <t xml:space="preserve">PORI               </t>
  </si>
  <si>
    <t xml:space="preserve">PORNAINEN          </t>
  </si>
  <si>
    <t xml:space="preserve">POSIO              </t>
  </si>
  <si>
    <t xml:space="preserve">PUDASJÄRVI         </t>
  </si>
  <si>
    <t xml:space="preserve">PUKKILA            </t>
  </si>
  <si>
    <t xml:space="preserve">PUNKALAIDUN        </t>
  </si>
  <si>
    <t xml:space="preserve">PUOLANKA           </t>
  </si>
  <si>
    <t xml:space="preserve">PUUMALA            </t>
  </si>
  <si>
    <t>PYHTÄÄ</t>
  </si>
  <si>
    <t xml:space="preserve">PYHÄJOKI           </t>
  </si>
  <si>
    <t xml:space="preserve">PYHÄJÄRVI          </t>
  </si>
  <si>
    <t xml:space="preserve">PYHÄNTÄ            </t>
  </si>
  <si>
    <t xml:space="preserve">PYHÄRANTA          </t>
  </si>
  <si>
    <t xml:space="preserve">PÄLKÄNE            </t>
  </si>
  <si>
    <t xml:space="preserve">PÖYTYÄ             </t>
  </si>
  <si>
    <t>PORVOO</t>
  </si>
  <si>
    <t xml:space="preserve">RAAHE              </t>
  </si>
  <si>
    <t xml:space="preserve">RAISIO             </t>
  </si>
  <si>
    <t xml:space="preserve">RANTASALMI         </t>
  </si>
  <si>
    <t xml:space="preserve">RANUA              </t>
  </si>
  <si>
    <t xml:space="preserve">RAUMA              </t>
  </si>
  <si>
    <t xml:space="preserve">RAUTALAMPI         </t>
  </si>
  <si>
    <t xml:space="preserve">RAUTAVAARA         </t>
  </si>
  <si>
    <t xml:space="preserve">RAUTJÄRVI          </t>
  </si>
  <si>
    <t xml:space="preserve">REISJÄRVI          </t>
  </si>
  <si>
    <t xml:space="preserve">RIIHIMÄKI          </t>
  </si>
  <si>
    <t xml:space="preserve">RISTIJÄRVI         </t>
  </si>
  <si>
    <t xml:space="preserve">ROVANIEMI          </t>
  </si>
  <si>
    <t xml:space="preserve">RUOKOLAHTI         </t>
  </si>
  <si>
    <t xml:space="preserve">RUOVESI            </t>
  </si>
  <si>
    <t xml:space="preserve">RUSKO              </t>
  </si>
  <si>
    <t xml:space="preserve">RÄÄKKYLÄ           </t>
  </si>
  <si>
    <t>RAASEPORI</t>
  </si>
  <si>
    <t xml:space="preserve">SAARIJÄRVI         </t>
  </si>
  <si>
    <t xml:space="preserve">SALLA              </t>
  </si>
  <si>
    <t xml:space="preserve">SALO               </t>
  </si>
  <si>
    <t xml:space="preserve">SAUVO              </t>
  </si>
  <si>
    <t xml:space="preserve">SAVITAIPALE        </t>
  </si>
  <si>
    <t xml:space="preserve">SAVONLINNA         </t>
  </si>
  <si>
    <t xml:space="preserve">SAVUKOSKI          </t>
  </si>
  <si>
    <t xml:space="preserve">SEINÄJOKI          </t>
  </si>
  <si>
    <t xml:space="preserve">SIEVI              </t>
  </si>
  <si>
    <t xml:space="preserve">SIIKAINEN          </t>
  </si>
  <si>
    <t xml:space="preserve">SIIKAJOKI          </t>
  </si>
  <si>
    <t xml:space="preserve">SIILINJÄRVI        </t>
  </si>
  <si>
    <t xml:space="preserve">SIMO               </t>
  </si>
  <si>
    <t xml:space="preserve">SIPOO              </t>
  </si>
  <si>
    <t xml:space="preserve">SIUNTIO            </t>
  </si>
  <si>
    <t xml:space="preserve">SODANKYLÄ          </t>
  </si>
  <si>
    <t xml:space="preserve">SOINI              </t>
  </si>
  <si>
    <t xml:space="preserve">SOMERO             </t>
  </si>
  <si>
    <t xml:space="preserve">SONKAJÄRVI         </t>
  </si>
  <si>
    <t xml:space="preserve">SOTKAMO            </t>
  </si>
  <si>
    <t xml:space="preserve">SULKAVA            </t>
  </si>
  <si>
    <t xml:space="preserve">SUOMUSSALMI        </t>
  </si>
  <si>
    <t xml:space="preserve">SUONENJOKI         </t>
  </si>
  <si>
    <t xml:space="preserve">SYSMÄ              </t>
  </si>
  <si>
    <t xml:space="preserve">SÄKYLÄ             </t>
  </si>
  <si>
    <t xml:space="preserve">VAALA              </t>
  </si>
  <si>
    <t xml:space="preserve">SASTAMALA            </t>
  </si>
  <si>
    <t>SIIKALATVA</t>
  </si>
  <si>
    <t xml:space="preserve">TAIPALSAARI        </t>
  </si>
  <si>
    <t xml:space="preserve">TAIVALKOSKI        </t>
  </si>
  <si>
    <t xml:space="preserve">TAIVASSALO         </t>
  </si>
  <si>
    <t xml:space="preserve">TAMMELA            </t>
  </si>
  <si>
    <t xml:space="preserve">TAMPERE            </t>
  </si>
  <si>
    <t xml:space="preserve">TERVO              </t>
  </si>
  <si>
    <t xml:space="preserve">TERVOLA            </t>
  </si>
  <si>
    <t xml:space="preserve">TEUVA              </t>
  </si>
  <si>
    <t xml:space="preserve">TOHMAJÄRVI         </t>
  </si>
  <si>
    <t xml:space="preserve">TOHOLAMPI          </t>
  </si>
  <si>
    <t xml:space="preserve">TOIVAKKA           </t>
  </si>
  <si>
    <t xml:space="preserve">TORNIO             </t>
  </si>
  <si>
    <t xml:space="preserve">TURKU              </t>
  </si>
  <si>
    <t xml:space="preserve">PELLO              </t>
  </si>
  <si>
    <t xml:space="preserve">TUUSNIEMI          </t>
  </si>
  <si>
    <t xml:space="preserve">TUUSULA            </t>
  </si>
  <si>
    <t xml:space="preserve">TYRNÄVÄ            </t>
  </si>
  <si>
    <t xml:space="preserve">ULVILA             </t>
  </si>
  <si>
    <t xml:space="preserve">URJALA             </t>
  </si>
  <si>
    <t xml:space="preserve">UTAJÄRVI           </t>
  </si>
  <si>
    <t xml:space="preserve">UTSJOKI            </t>
  </si>
  <si>
    <t xml:space="preserve">UURAINEN           </t>
  </si>
  <si>
    <t xml:space="preserve">UUSIKAARLEPYY      </t>
  </si>
  <si>
    <t xml:space="preserve">UUSIKAUPUNKI       </t>
  </si>
  <si>
    <t xml:space="preserve">VAASA              </t>
  </si>
  <si>
    <t xml:space="preserve">VALKEAKOSKI        </t>
  </si>
  <si>
    <t xml:space="preserve">VARKAUS            </t>
  </si>
  <si>
    <t xml:space="preserve">VEHMAA             </t>
  </si>
  <si>
    <t xml:space="preserve">VESANTO            </t>
  </si>
  <si>
    <t xml:space="preserve">VESILAHTI          </t>
  </si>
  <si>
    <t xml:space="preserve">VETELI             </t>
  </si>
  <si>
    <t xml:space="preserve">VIEREMÄ            </t>
  </si>
  <si>
    <t xml:space="preserve">VIHTI              </t>
  </si>
  <si>
    <t xml:space="preserve">VIITASAARI         </t>
  </si>
  <si>
    <t xml:space="preserve">VIMPELI            </t>
  </si>
  <si>
    <t xml:space="preserve">VIROLAHTI          </t>
  </si>
  <si>
    <t xml:space="preserve">VIRRAT             </t>
  </si>
  <si>
    <t xml:space="preserve">VÖYRI              </t>
  </si>
  <si>
    <t xml:space="preserve">YLITORNIO          </t>
  </si>
  <si>
    <t xml:space="preserve">YLIVIESKA          </t>
  </si>
  <si>
    <t xml:space="preserve">YLÖJÄRVI           </t>
  </si>
  <si>
    <t xml:space="preserve">YPÄJÄ              </t>
  </si>
  <si>
    <t xml:space="preserve">ÄHTÄRI             </t>
  </si>
  <si>
    <t xml:space="preserve">ÄÄNEKOSKI          </t>
  </si>
  <si>
    <t>lähde</t>
  </si>
  <si>
    <t>koko maan vuosimuutos %</t>
  </si>
  <si>
    <t>koko maan absoluuttinen muutos €</t>
  </si>
  <si>
    <t>ennuste</t>
  </si>
  <si>
    <t>KuVe</t>
  </si>
  <si>
    <t>KiVe</t>
  </si>
  <si>
    <t>YhVe</t>
  </si>
  <si>
    <t>Verotulot yht.</t>
  </si>
  <si>
    <t>Verotulon tasaus</t>
  </si>
  <si>
    <t>Hava</t>
  </si>
  <si>
    <t>Valtionosuus yht.</t>
  </si>
  <si>
    <t>VM vos</t>
  </si>
  <si>
    <t>Verokompensaatio</t>
  </si>
  <si>
    <t>viimeisin toteutunut tieto</t>
  </si>
  <si>
    <t>Netto</t>
  </si>
  <si>
    <t>Nettoinvestoinnit</t>
  </si>
  <si>
    <t>Satunnaiset erät</t>
  </si>
  <si>
    <t>tulorah.korjauserät</t>
  </si>
  <si>
    <t>Lainakanta vuoden lopussa</t>
  </si>
  <si>
    <t>edellisen tilikauden lainakanta - toiminnan ja investointien rahavirta kuluvalta tilikaudelta</t>
  </si>
  <si>
    <t>Kassavarat vuoden lopussa</t>
  </si>
  <si>
    <t>vuosikate</t>
  </si>
  <si>
    <t>Tilikauden tulos</t>
  </si>
  <si>
    <t>Taseen kertynyt yli/alijäämä</t>
  </si>
  <si>
    <t>Toiminnan ja inv. Rahavirta</t>
  </si>
  <si>
    <t>Maakuntakoodi</t>
  </si>
  <si>
    <t>maakuntakoodi</t>
  </si>
  <si>
    <t>maakunta</t>
  </si>
  <si>
    <t>Uusimaa</t>
  </si>
  <si>
    <t>Varsinais-Suomi</t>
  </si>
  <si>
    <t>Satakunta</t>
  </si>
  <si>
    <t>Kanta-Häme</t>
  </si>
  <si>
    <t>Pirkanmaa</t>
  </si>
  <si>
    <t>Päijät-Häme</t>
  </si>
  <si>
    <t>Kymenlaakso</t>
  </si>
  <si>
    <t>Etelä-Karjala</t>
  </si>
  <si>
    <t>Etelä-Savo</t>
  </si>
  <si>
    <t>Pohjois-Savo</t>
  </si>
  <si>
    <t>Pohjois-Karjala</t>
  </si>
  <si>
    <t>Keski-Suomi</t>
  </si>
  <si>
    <t>Etelä-Pmaa</t>
  </si>
  <si>
    <t>Pohjanmaa</t>
  </si>
  <si>
    <t>Keski-Pmaa</t>
  </si>
  <si>
    <t>Pohjois-Pmaa</t>
  </si>
  <si>
    <t>Kainuu</t>
  </si>
  <si>
    <t>Lappi</t>
  </si>
  <si>
    <t>_2016väkiluku</t>
  </si>
  <si>
    <t>_2017väkiluku</t>
  </si>
  <si>
    <t>_2018väkiluku</t>
  </si>
  <si>
    <t>_2019väkiluku</t>
  </si>
  <si>
    <t>_2020väkiluku</t>
  </si>
  <si>
    <t>_2021väkiluku</t>
  </si>
  <si>
    <t>_2022väkiluku</t>
  </si>
  <si>
    <t>_2023väkiluku</t>
  </si>
  <si>
    <t>_2024väkiluku</t>
  </si>
  <si>
    <t>_2025väkiluku</t>
  </si>
  <si>
    <t>_2026väkiluku</t>
  </si>
  <si>
    <t>_2027väkiluku</t>
  </si>
  <si>
    <t>_2028väkiluku</t>
  </si>
  <si>
    <t>_2029väkiluku</t>
  </si>
  <si>
    <t>_2030väkiluku</t>
  </si>
  <si>
    <t>negatiivisten vuosikatteiden lkm</t>
  </si>
  <si>
    <t>_2015väkiluku</t>
  </si>
  <si>
    <t>Negatiivinen vuosikate, kpl</t>
  </si>
  <si>
    <t>Taseessa kertynyttä alijäämää, kpl</t>
  </si>
  <si>
    <t>Yli 100 000 asukasta</t>
  </si>
  <si>
    <t>40 001 – 100 000 asukasta</t>
  </si>
  <si>
    <t>20 001 – 40 000 asukasta</t>
  </si>
  <si>
    <t>10 001 – 20 000 asukasta</t>
  </si>
  <si>
    <t>5 001 – 10 000 asukasta</t>
  </si>
  <si>
    <t>alle 2 000 asukasta</t>
  </si>
  <si>
    <t>2 000 – 5 000 asukasta</t>
  </si>
  <si>
    <t>Manner-Suomen kunnat yhteensä</t>
  </si>
  <si>
    <t>kuntien lkm</t>
  </si>
  <si>
    <t>Vero%</t>
  </si>
  <si>
    <t>Vero% tuotto €</t>
  </si>
  <si>
    <t xml:space="preserve">Kunnallisveron </t>
  </si>
  <si>
    <t>tuotto €/as</t>
  </si>
  <si>
    <t xml:space="preserve"> tuotto €</t>
  </si>
  <si>
    <t>Kunnallisveroprosentin</t>
  </si>
  <si>
    <t>Verotettava tulo</t>
  </si>
  <si>
    <t>(kunnallisvero)</t>
  </si>
  <si>
    <t>Painotettu kunnallisveroprosenti</t>
  </si>
  <si>
    <t>%-yksikköä</t>
  </si>
  <si>
    <t>Korotuspaine yli 3</t>
  </si>
  <si>
    <t>Alentamismahdollisuus välillä 0-1</t>
  </si>
  <si>
    <t>Alentamismahdollisuus välillä 1-2</t>
  </si>
  <si>
    <t>Alentamismahdollisuus välillä 2-3</t>
  </si>
  <si>
    <t>Alentamismahdollisuus yli 3</t>
  </si>
  <si>
    <t>Korotuspaine välillä 2-3</t>
  </si>
  <si>
    <t>Korotuspaine välillä 1-2</t>
  </si>
  <si>
    <t>Korotuspaine välillä 0-1</t>
  </si>
  <si>
    <t>Korotuspaine yhteensä</t>
  </si>
  <si>
    <t>Alentamismahdollisuus yhteensä</t>
  </si>
  <si>
    <t>%-paine</t>
  </si>
  <si>
    <t>Yhteenä</t>
  </si>
  <si>
    <t>3 vuoden keskiarvo</t>
  </si>
  <si>
    <t>KUPHI</t>
  </si>
  <si>
    <t>Kuphi</t>
  </si>
  <si>
    <t>Tuloksen muodostuminen</t>
  </si>
  <si>
    <t>1. Toimintakate</t>
  </si>
  <si>
    <t>6. Poistot</t>
  </si>
  <si>
    <t>4. Rahoitustuotot ja kulut, netto</t>
  </si>
  <si>
    <t>15. Investoinnit, netto</t>
  </si>
  <si>
    <t>18. Kassavarat</t>
  </si>
  <si>
    <t>toteutunut</t>
  </si>
  <si>
    <t>Negatiivisten vuosikatteen kuntien lukumäärä</t>
  </si>
  <si>
    <t>korona komppi</t>
  </si>
  <si>
    <t>korona komppi, korot mukana</t>
  </si>
  <si>
    <t>%-muutos</t>
  </si>
  <si>
    <t>Vuosikate 1000 €</t>
  </si>
  <si>
    <t>Rahoitustuotot/-kulut*, netto</t>
  </si>
  <si>
    <t>Rahoitus</t>
  </si>
  <si>
    <t>Satunnaiset erät, netto</t>
  </si>
  <si>
    <t>Tulorahoituksen korjauserät</t>
  </si>
  <si>
    <t>Tulorahoitus, netto</t>
  </si>
  <si>
    <t>Käyttöomaisuusinvestoinnit</t>
  </si>
  <si>
    <t>Rahoitusosuudet ja myyntitulot</t>
  </si>
  <si>
    <t>Investoinnit, netto</t>
  </si>
  <si>
    <t>Rahoitusjäämä</t>
  </si>
  <si>
    <t>Lainakanta</t>
  </si>
  <si>
    <t>Kassavarat</t>
  </si>
  <si>
    <t>Nettovelka</t>
  </si>
  <si>
    <t>Toimintakate 1000 €</t>
  </si>
  <si>
    <t>Verotulot 1000 €</t>
  </si>
  <si>
    <t>Toiminnan ja investointien rahavirta</t>
  </si>
  <si>
    <t>Laskennallinen paine veroprosentin
korotukseen (%-yks.)</t>
  </si>
  <si>
    <t>Valitse kunta:</t>
  </si>
  <si>
    <t>Poistot ja arvonalent.</t>
  </si>
  <si>
    <t>Rahoitustuotot/-kulut, netto</t>
  </si>
  <si>
    <t>Toimiinnan ja investointien rahavirta muutos (M €)</t>
  </si>
  <si>
    <t>Valitse 1000 € tai €/as</t>
  </si>
  <si>
    <t xml:space="preserve">€/as muutos </t>
  </si>
  <si>
    <t>Nettoinvestoinnit 1000€</t>
  </si>
  <si>
    <t>Toiminnan ja investointien rahavirta (M €)</t>
  </si>
  <si>
    <t>TA</t>
  </si>
  <si>
    <t>TS</t>
  </si>
  <si>
    <t>Volyymikasvu</t>
  </si>
  <si>
    <t>Nimellisenä</t>
  </si>
  <si>
    <t>Kuntakohtaiset osuudet</t>
  </si>
  <si>
    <t>VOS-harkkari</t>
  </si>
  <si>
    <t>e/as</t>
  </si>
  <si>
    <t>Muutos e/as</t>
  </si>
  <si>
    <t>€/as muutos</t>
  </si>
  <si>
    <t>Tilikauden tulos (M €)</t>
  </si>
  <si>
    <t xml:space="preserve">Verolykkäysten takaisinperintä </t>
  </si>
  <si>
    <t>hv-koodi</t>
  </si>
  <si>
    <t>Toimintakate, €/asukas</t>
  </si>
  <si>
    <t>Toimintakate, 1000 €</t>
  </si>
  <si>
    <t>Veroprosentti</t>
  </si>
  <si>
    <t>Tilikauden tuloksen muutos (M €)</t>
  </si>
  <si>
    <t>Valtionosuudet 1000 €</t>
  </si>
  <si>
    <t>yli 100 000 asukasta</t>
  </si>
  <si>
    <t xml:space="preserve">40 001 – 100 000 </t>
  </si>
  <si>
    <t>20 001 – 40 000</t>
  </si>
  <si>
    <t xml:space="preserve">10 001 – 20 000 </t>
  </si>
  <si>
    <t xml:space="preserve">5 001 – 10 000 </t>
  </si>
  <si>
    <t xml:space="preserve">2 001 – 5 000 </t>
  </si>
  <si>
    <t xml:space="preserve">alle 2 000 </t>
  </si>
  <si>
    <t>päivitetty</t>
  </si>
  <si>
    <t>Toimintakate muutos (1000 €)</t>
  </si>
  <si>
    <t>Verotulot muutos (1000 €)</t>
  </si>
  <si>
    <t>Valtionosuudet muutos (1000 €)</t>
  </si>
  <si>
    <t>Lainamäärä 1000 €</t>
  </si>
  <si>
    <t>Nettoinvestoinnit muutos (1000 €)</t>
  </si>
  <si>
    <t>Lainamäärä muutos (1000 €)</t>
  </si>
  <si>
    <t>Vuosikate muutos (1000 €)</t>
  </si>
  <si>
    <t>Taseessa kertynyttä alijäämää, lkm</t>
  </si>
  <si>
    <t>Veroprosentin tuotto (1 000 €)</t>
  </si>
  <si>
    <t>Kuntaryhmittäiset tarkastelut</t>
  </si>
  <si>
    <t>Kulmakertoimet volyymikasvulle</t>
  </si>
  <si>
    <t>Verotulot, 1000 €</t>
  </si>
  <si>
    <t>Verotulot yhteensä, 1000 €</t>
  </si>
  <si>
    <t>Verotulot yhteensä, €/as</t>
  </si>
  <si>
    <t>VM ennuste</t>
  </si>
  <si>
    <t>Muutos %</t>
  </si>
  <si>
    <t>Rahoitustuotot ja -kulut, netto, 1000 €</t>
  </si>
  <si>
    <t>Poistot, 1000 €</t>
  </si>
  <si>
    <t>Nettoinvestoinnit, 1000 €</t>
  </si>
  <si>
    <t>edellisen vuoden arvo jos luku positiivinen</t>
  </si>
  <si>
    <t>7 vuoden keskiarvo</t>
  </si>
  <si>
    <t>kuntaosuudet</t>
  </si>
  <si>
    <t>Satunnaiset erät, 1000 €</t>
  </si>
  <si>
    <t>Tulorahoituksen korjauserät, 1000 €</t>
  </si>
  <si>
    <t>Kassavarat vuoden lopussa, 1000 €</t>
  </si>
  <si>
    <t>Käyttökate, 1000 €</t>
  </si>
  <si>
    <t>Vuosikate, 1000 €</t>
  </si>
  <si>
    <t>Toiminnan ja investointien rahavirta, 1000 €</t>
  </si>
  <si>
    <t>negatiivinen vuosikate poistojen jälkeen lkm</t>
  </si>
  <si>
    <t>Tilikauden tulos 1000 €</t>
  </si>
  <si>
    <t>Taseen kertynyt yli-/alijäämä, 1000 €</t>
  </si>
  <si>
    <t>Lainakanta, 1000 €</t>
  </si>
  <si>
    <t>2024-2027</t>
  </si>
  <si>
    <t>ennuste koko maan toimintakatteen muutos</t>
  </si>
  <si>
    <t>Laskennallinen tuloveroprosentin korotuspaine ja alentamismahdollisuus vuosina 2022–2028</t>
  </si>
  <si>
    <t>TA2024 mukaiset jako-osuudet suhteuttuna koko maan ennusteeseen</t>
  </si>
  <si>
    <t>2023 TP</t>
  </si>
  <si>
    <t>Kuntatalouden kehitys vuoteen 2028 kuntien kirjanpidon mukaan, mrd. euroa (käyvin hinnoin)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</si>
</sst>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0\ &quot;€&quot;;[Red]\-#,##0\ &quot;€&quot;"/>
    <numFmt numFmtId="43" formatCode="_-* #,##0.00_-;\-* #,##0.00_-;_-* &quot;-&quot;??_-;_-@_-"/>
    <numFmt numFmtId="164" formatCode="#,##0.0"/>
    <numFmt numFmtId="165" formatCode="#,##0_ ;[Red]\-#,##0\ "/>
    <numFmt numFmtId="166" formatCode="0.0\ %"/>
    <numFmt numFmtId="167" formatCode="0.0000"/>
    <numFmt numFmtId="168" formatCode="0.0_ ;[Red]\-0.0\ "/>
    <numFmt numFmtId="169" formatCode="#,##0.0_ ;[Red]\-#,##0.0\ "/>
    <numFmt numFmtId="170" formatCode="0.0"/>
    <numFmt numFmtId="171" formatCode="#,##0.0000"/>
    <numFmt numFmtId="172" formatCode="0.00_ ;[Red]\-0.00\ "/>
    <numFmt numFmtId="173" formatCode="#,##0.000"/>
    <numFmt numFmtId="174" formatCode="#,##0;[Red]#,##0"/>
    <numFmt numFmtId="175" formatCode="#,##0.0000_ ;[Red]\-#,##0.0000\ "/>
    <numFmt numFmtId="176" formatCode="#,##0.00_ ;[Red]\-#,##0.00\ "/>
    <numFmt numFmtId="177" formatCode="0_ ;[Red]\-0\ "/>
    <numFmt numFmtId="178" formatCode="0.000\ %"/>
    <numFmt numFmtId="179" formatCode="0.0000000"/>
    <numFmt numFmtId="180" formatCode="0.000"/>
    <numFmt numFmtId="181" formatCode="#,##0.000_ ;[Red]\-#,##0.000\ "/>
    <numFmt numFmtId="182" formatCode="0.0000_ ;[Red]\-0.0000\ "/>
    <numFmt numFmtId="183" formatCode="#,##0.00000_ ;[Red]\-#,##0.00000\ "/>
    <numFmt numFmtId="184" formatCode="_-* #,##0_-;\-* #,##0_-;_-* &quot;-&quot;??_-;_-@_-"/>
  </numFmts>
  <fonts count="33"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font>
    <font>
      <sz val="8"/>
      <name val="Arial"/>
      <family val="2"/>
    </font>
    <font>
      <sz val="8"/>
      <color theme="1"/>
      <name val="Arial"/>
      <family val="2"/>
    </font>
    <font>
      <b/>
      <sz val="8"/>
      <color theme="1"/>
      <name val="Arial"/>
      <family val="2"/>
    </font>
    <font>
      <sz val="11"/>
      <color theme="1"/>
      <name val="Calibri"/>
      <family val="2"/>
    </font>
    <font>
      <sz val="10"/>
      <color theme="1"/>
      <name val="Arial"/>
      <family val="2"/>
    </font>
    <font>
      <b/>
      <u/>
      <sz val="8"/>
      <color theme="1"/>
      <name val="Arial"/>
      <family val="2"/>
    </font>
    <font>
      <sz val="10"/>
      <color theme="1"/>
      <name val="Calibri"/>
      <family val="2"/>
    </font>
    <font>
      <sz val="10"/>
      <name val="Calibri"/>
      <family val="2"/>
    </font>
    <font>
      <sz val="10"/>
      <name val="Arial"/>
      <family val="2"/>
    </font>
    <font>
      <sz val="8"/>
      <color rgb="FFFF0000"/>
      <name val="Arial"/>
      <family val="2"/>
    </font>
    <font>
      <b/>
      <sz val="8"/>
      <name val="Arial"/>
      <family val="2"/>
    </font>
    <font>
      <b/>
      <sz val="11"/>
      <color theme="1"/>
      <name val="Arial"/>
      <family val="2"/>
    </font>
    <font>
      <b/>
      <u/>
      <sz val="8"/>
      <name val="Arial"/>
      <family val="2"/>
    </font>
    <font>
      <sz val="10"/>
      <color indexed="8"/>
      <name val="MS Sans Serif"/>
      <family val="2"/>
    </font>
    <font>
      <b/>
      <sz val="8"/>
      <color indexed="8"/>
      <name val="Arial"/>
      <family val="2"/>
    </font>
    <font>
      <sz val="8"/>
      <color indexed="8"/>
      <name val="Arial"/>
      <family val="2"/>
    </font>
    <font>
      <sz val="8"/>
      <color theme="1"/>
      <name val="Calibri"/>
      <family val="2"/>
    </font>
    <font>
      <b/>
      <sz val="10"/>
      <color theme="1"/>
      <name val="Calibri"/>
      <family val="2"/>
    </font>
    <font>
      <b/>
      <sz val="8"/>
      <color theme="1"/>
      <name val="Calibri"/>
      <family val="2"/>
    </font>
    <font>
      <b/>
      <i/>
      <sz val="12"/>
      <color rgb="FF1F497D"/>
      <name val="Calibri"/>
      <family val="2"/>
    </font>
    <font>
      <b/>
      <sz val="11"/>
      <color theme="1"/>
      <name val="Calibri"/>
      <family val="2"/>
      <scheme val="minor"/>
    </font>
    <font>
      <b/>
      <sz val="8"/>
      <color rgb="FFFF0000"/>
      <name val="Arial"/>
      <family val="2"/>
    </font>
    <font>
      <sz val="11"/>
      <color rgb="FF000000"/>
      <name val="Calibri"/>
      <family val="2"/>
    </font>
    <font>
      <b/>
      <sz val="11"/>
      <color rgb="FFFF0000"/>
      <name val="Calibri"/>
      <family val="2"/>
    </font>
    <font>
      <sz val="8"/>
      <color rgb="FFFF0000"/>
      <name val="Calibri"/>
      <family val="2"/>
    </font>
    <font>
      <sz val="9"/>
      <color theme="1"/>
      <name val="Arial"/>
      <family val="2"/>
    </font>
  </fonts>
  <fills count="15">
    <fill>
      <patternFill patternType="none"/>
    </fill>
    <fill>
      <patternFill patternType="gray125"/>
    </fill>
    <fill>
      <patternFill patternType="solid">
        <fgColor rgb="FFFFFF00"/>
        <bgColor indexed="64"/>
      </patternFill>
    </fill>
    <fill>
      <patternFill patternType="solid">
        <fgColor indexed="22"/>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0" tint="-0.34998626667073579"/>
        <bgColor indexed="64"/>
      </patternFill>
    </fill>
  </fills>
  <borders count="38">
    <border>
      <left/>
      <right/>
      <top/>
      <bottom/>
      <diagonal/>
    </border>
    <border>
      <left/>
      <right style="thin">
        <color auto="1"/>
      </right>
      <top/>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right style="thin">
        <color indexed="22"/>
      </right>
      <top style="thin">
        <color indexed="22"/>
      </top>
      <bottom style="thin">
        <color indexed="22"/>
      </bottom>
      <diagonal/>
    </border>
    <border>
      <left style="medium">
        <color indexed="64"/>
      </left>
      <right style="medium">
        <color indexed="64"/>
      </right>
      <top/>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style="medium">
        <color indexed="64"/>
      </left>
      <right style="thin">
        <color indexed="8"/>
      </right>
      <top style="medium">
        <color indexed="64"/>
      </top>
      <bottom style="medium">
        <color indexed="64"/>
      </bottom>
      <diagonal/>
    </border>
    <border>
      <left style="thin">
        <color indexed="8"/>
      </left>
      <right style="thin">
        <color indexed="64"/>
      </right>
      <top style="medium">
        <color indexed="64"/>
      </top>
      <bottom style="medium">
        <color indexed="64"/>
      </bottom>
      <diagonal/>
    </border>
    <border>
      <left style="thin">
        <color indexed="8"/>
      </left>
      <right/>
      <top style="medium">
        <color indexed="64"/>
      </top>
      <bottom style="medium">
        <color indexed="64"/>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8"/>
      </right>
      <top style="thin">
        <color indexed="8"/>
      </top>
      <bottom style="thin">
        <color indexed="8"/>
      </bottom>
      <diagonal/>
    </border>
    <border>
      <left/>
      <right style="medium">
        <color indexed="64"/>
      </right>
      <top/>
      <bottom style="medium">
        <color indexed="64"/>
      </bottom>
      <diagonal/>
    </border>
    <border>
      <left style="thin">
        <color indexed="22"/>
      </left>
      <right style="thin">
        <color indexed="22"/>
      </right>
      <top style="thin">
        <color indexed="22"/>
      </top>
      <bottom/>
      <diagonal/>
    </border>
    <border>
      <left style="medium">
        <color indexed="64"/>
      </left>
      <right style="medium">
        <color indexed="64"/>
      </right>
      <top style="medium">
        <color indexed="64"/>
      </top>
      <bottom/>
      <diagonal/>
    </border>
    <border>
      <left style="medium">
        <color indexed="64"/>
      </left>
      <right style="thin">
        <color indexed="8"/>
      </right>
      <top style="medium">
        <color indexed="64"/>
      </top>
      <bottom/>
      <diagonal/>
    </border>
    <border>
      <left style="thin">
        <color indexed="8"/>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5">
    <xf numFmtId="0" fontId="0" fillId="0" borderId="0"/>
    <xf numFmtId="9" fontId="10" fillId="0" borderId="0" applyFont="0" applyFill="0" applyBorder="0" applyAlignment="0" applyProtection="0"/>
    <xf numFmtId="0" fontId="11" fillId="0" borderId="0"/>
    <xf numFmtId="0" fontId="15" fillId="0" borderId="0"/>
    <xf numFmtId="0" fontId="10" fillId="0" borderId="0"/>
    <xf numFmtId="9" fontId="10" fillId="0" borderId="0" applyFont="0" applyFill="0" applyBorder="0" applyAlignment="0" applyProtection="0"/>
    <xf numFmtId="0" fontId="20" fillId="0" borderId="0"/>
    <xf numFmtId="0" fontId="15" fillId="0" borderId="0"/>
    <xf numFmtId="0" fontId="5" fillId="0" borderId="0"/>
    <xf numFmtId="43" fontId="10"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0" fontId="29" fillId="0" borderId="0" applyNumberFormat="0" applyBorder="0" applyAlignment="0"/>
    <xf numFmtId="0" fontId="1" fillId="0" borderId="0"/>
  </cellStyleXfs>
  <cellXfs count="441">
    <xf numFmtId="0" fontId="0" fillId="0" borderId="0" xfId="0"/>
    <xf numFmtId="0" fontId="8" fillId="0" borderId="0" xfId="0" applyFont="1" applyBorder="1"/>
    <xf numFmtId="3" fontId="8" fillId="0" borderId="0" xfId="0" applyNumberFormat="1" applyFont="1" applyFill="1" applyBorder="1"/>
    <xf numFmtId="0" fontId="9" fillId="0" borderId="0" xfId="0" applyFont="1" applyBorder="1"/>
    <xf numFmtId="0" fontId="8" fillId="0" borderId="0" xfId="0" applyFont="1"/>
    <xf numFmtId="3" fontId="8" fillId="0" borderId="0" xfId="0" applyNumberFormat="1" applyFont="1"/>
    <xf numFmtId="3" fontId="9" fillId="0" borderId="0" xfId="0" applyNumberFormat="1" applyFont="1"/>
    <xf numFmtId="0" fontId="8" fillId="0" borderId="0" xfId="0" applyFont="1" applyFill="1"/>
    <xf numFmtId="0" fontId="9" fillId="0" borderId="0" xfId="0" applyFont="1"/>
    <xf numFmtId="0" fontId="12" fillId="0" borderId="0" xfId="0" applyFont="1"/>
    <xf numFmtId="0" fontId="8" fillId="0" borderId="0" xfId="0" applyFont="1" applyFill="1" applyBorder="1" applyAlignment="1">
      <alignment horizontal="center"/>
    </xf>
    <xf numFmtId="3" fontId="9" fillId="0" borderId="0" xfId="0" applyNumberFormat="1" applyFont="1" applyFill="1" applyBorder="1"/>
    <xf numFmtId="3" fontId="9" fillId="0" borderId="0" xfId="0" applyNumberFormat="1" applyFont="1" applyBorder="1"/>
    <xf numFmtId="0" fontId="9" fillId="0" borderId="0" xfId="0" applyFont="1" applyAlignment="1">
      <alignment wrapText="1"/>
    </xf>
    <xf numFmtId="0" fontId="13" fillId="0" borderId="0" xfId="0" applyFont="1"/>
    <xf numFmtId="0" fontId="14" fillId="0" borderId="0" xfId="0" applyFont="1"/>
    <xf numFmtId="0" fontId="0" fillId="0" borderId="0" xfId="0" applyFill="1"/>
    <xf numFmtId="0" fontId="6" fillId="0" borderId="0" xfId="0" applyFont="1"/>
    <xf numFmtId="0" fontId="0" fillId="0" borderId="0" xfId="0" applyBorder="1"/>
    <xf numFmtId="0" fontId="8" fillId="0" borderId="0" xfId="0" applyFont="1" applyBorder="1" applyAlignment="1">
      <alignment horizontal="right"/>
    </xf>
    <xf numFmtId="3" fontId="8" fillId="0" borderId="0" xfId="0" applyNumberFormat="1" applyFont="1" applyBorder="1" applyAlignment="1">
      <alignment horizontal="right"/>
    </xf>
    <xf numFmtId="9" fontId="8" fillId="0" borderId="0" xfId="1" applyFont="1" applyFill="1" applyBorder="1"/>
    <xf numFmtId="0" fontId="0" fillId="0" borderId="0" xfId="0" applyFill="1" applyBorder="1"/>
    <xf numFmtId="0" fontId="9" fillId="0" borderId="3" xfId="0" applyFont="1" applyBorder="1"/>
    <xf numFmtId="0" fontId="8" fillId="2" borderId="0" xfId="0" applyFont="1" applyFill="1"/>
    <xf numFmtId="1" fontId="8" fillId="0" borderId="0" xfId="0" applyNumberFormat="1" applyFont="1"/>
    <xf numFmtId="10" fontId="0" fillId="0" borderId="0" xfId="1" applyNumberFormat="1" applyFont="1"/>
    <xf numFmtId="0" fontId="8" fillId="0" borderId="0" xfId="0" applyFont="1" applyAlignment="1">
      <alignment horizontal="left"/>
    </xf>
    <xf numFmtId="0" fontId="11" fillId="0" borderId="0" xfId="2"/>
    <xf numFmtId="0" fontId="0" fillId="0" borderId="0" xfId="0"/>
    <xf numFmtId="0" fontId="22" fillId="0" borderId="8" xfId="6" applyFont="1" applyFill="1" applyBorder="1" applyAlignment="1"/>
    <xf numFmtId="0" fontId="22" fillId="0" borderId="9" xfId="6" applyFont="1" applyFill="1" applyBorder="1" applyAlignment="1"/>
    <xf numFmtId="0" fontId="21" fillId="0" borderId="8" xfId="6" applyFont="1" applyFill="1" applyBorder="1" applyAlignment="1"/>
    <xf numFmtId="0" fontId="21" fillId="0" borderId="9" xfId="6" applyFont="1" applyFill="1" applyBorder="1" applyAlignment="1"/>
    <xf numFmtId="165" fontId="22" fillId="0" borderId="8" xfId="6" applyNumberFormat="1" applyFont="1" applyFill="1" applyBorder="1" applyAlignment="1"/>
    <xf numFmtId="3" fontId="22" fillId="0" borderId="10" xfId="6" applyNumberFormat="1" applyFont="1" applyFill="1" applyBorder="1" applyAlignment="1"/>
    <xf numFmtId="3" fontId="16" fillId="0" borderId="10" xfId="6" applyNumberFormat="1" applyFont="1" applyFill="1" applyBorder="1" applyAlignment="1"/>
    <xf numFmtId="0" fontId="21" fillId="0" borderId="0" xfId="6" applyFont="1" applyFill="1" applyBorder="1" applyAlignment="1"/>
    <xf numFmtId="0" fontId="21" fillId="0" borderId="1" xfId="6" applyFont="1" applyFill="1" applyBorder="1" applyAlignment="1"/>
    <xf numFmtId="165" fontId="21" fillId="0" borderId="0" xfId="6" applyNumberFormat="1" applyFont="1" applyFill="1" applyBorder="1" applyAlignment="1"/>
    <xf numFmtId="165" fontId="21" fillId="0" borderId="11" xfId="6" applyNumberFormat="1" applyFont="1" applyFill="1" applyBorder="1" applyAlignment="1"/>
    <xf numFmtId="165" fontId="8" fillId="0" borderId="0" xfId="0" applyNumberFormat="1" applyFont="1"/>
    <xf numFmtId="168" fontId="8" fillId="0" borderId="0" xfId="1" applyNumberFormat="1" applyFont="1" applyBorder="1"/>
    <xf numFmtId="165" fontId="8" fillId="0" borderId="0" xfId="0" applyNumberFormat="1" applyFont="1" applyBorder="1"/>
    <xf numFmtId="165" fontId="8" fillId="0" borderId="0" xfId="1" applyNumberFormat="1" applyFont="1" applyBorder="1"/>
    <xf numFmtId="0" fontId="17" fillId="3" borderId="0" xfId="0" applyFont="1" applyFill="1" applyAlignment="1"/>
    <xf numFmtId="3" fontId="7" fillId="0" borderId="0" xfId="0" applyNumberFormat="1" applyFont="1" applyAlignment="1"/>
    <xf numFmtId="0" fontId="22" fillId="0" borderId="12" xfId="6" applyFont="1" applyFill="1" applyBorder="1" applyAlignment="1"/>
    <xf numFmtId="0" fontId="22" fillId="0" borderId="13" xfId="6" applyFont="1" applyFill="1" applyBorder="1" applyAlignment="1"/>
    <xf numFmtId="0" fontId="21" fillId="3" borderId="14" xfId="6" applyFont="1" applyFill="1" applyBorder="1" applyAlignment="1"/>
    <xf numFmtId="0" fontId="21" fillId="3" borderId="15" xfId="6" applyFont="1" applyFill="1" applyBorder="1" applyAlignment="1"/>
    <xf numFmtId="0" fontId="21" fillId="3" borderId="16" xfId="6" applyFont="1" applyFill="1" applyBorder="1" applyAlignment="1"/>
    <xf numFmtId="0" fontId="21" fillId="2" borderId="4" xfId="6" applyFont="1" applyFill="1" applyBorder="1" applyAlignment="1"/>
    <xf numFmtId="0" fontId="22" fillId="0" borderId="17" xfId="6" applyFont="1" applyFill="1" applyBorder="1" applyAlignment="1"/>
    <xf numFmtId="0" fontId="22" fillId="0" borderId="18" xfId="6" applyFont="1" applyFill="1" applyBorder="1" applyAlignment="1"/>
    <xf numFmtId="0" fontId="17" fillId="3" borderId="19" xfId="0" applyFont="1" applyFill="1" applyBorder="1" applyAlignment="1"/>
    <xf numFmtId="0" fontId="17" fillId="3" borderId="20" xfId="0" applyFont="1" applyFill="1" applyBorder="1" applyAlignment="1"/>
    <xf numFmtId="0" fontId="17" fillId="3" borderId="21" xfId="0" applyFont="1" applyFill="1" applyBorder="1" applyAlignment="1"/>
    <xf numFmtId="4" fontId="22" fillId="0" borderId="8" xfId="6" applyNumberFormat="1" applyFont="1" applyFill="1" applyBorder="1" applyAlignment="1"/>
    <xf numFmtId="4" fontId="7" fillId="0" borderId="8" xfId="6" applyNumberFormat="1" applyFont="1" applyFill="1" applyBorder="1" applyAlignment="1"/>
    <xf numFmtId="0" fontId="23" fillId="0" borderId="0" xfId="0" applyFont="1"/>
    <xf numFmtId="0" fontId="17" fillId="3" borderId="0" xfId="0" applyFont="1" applyFill="1" applyAlignment="1">
      <alignment horizontal="left"/>
    </xf>
    <xf numFmtId="3" fontId="17" fillId="3" borderId="0" xfId="0" applyNumberFormat="1" applyFont="1" applyFill="1" applyAlignment="1"/>
    <xf numFmtId="0" fontId="17" fillId="2" borderId="0" xfId="0" applyFont="1" applyFill="1" applyAlignment="1"/>
    <xf numFmtId="3" fontId="22" fillId="0" borderId="0" xfId="6" applyNumberFormat="1" applyFont="1" applyFill="1" applyBorder="1" applyAlignment="1"/>
    <xf numFmtId="165" fontId="22" fillId="0" borderId="0" xfId="6" applyNumberFormat="1" applyFont="1" applyFill="1" applyBorder="1" applyAlignment="1"/>
    <xf numFmtId="165" fontId="7" fillId="0" borderId="0" xfId="0" applyNumberFormat="1" applyFont="1" applyAlignment="1">
      <alignment horizontal="center"/>
    </xf>
    <xf numFmtId="3" fontId="21" fillId="3" borderId="7" xfId="6" applyNumberFormat="1" applyFont="1" applyFill="1" applyBorder="1" applyAlignment="1"/>
    <xf numFmtId="3" fontId="21" fillId="2" borderId="7" xfId="6" applyNumberFormat="1" applyFont="1" applyFill="1" applyBorder="1" applyAlignment="1"/>
    <xf numFmtId="169" fontId="8" fillId="0" borderId="0" xfId="0" applyNumberFormat="1" applyFont="1"/>
    <xf numFmtId="165" fontId="7" fillId="0" borderId="0" xfId="0" applyNumberFormat="1" applyFont="1" applyAlignment="1"/>
    <xf numFmtId="165" fontId="7" fillId="0" borderId="0" xfId="0" applyNumberFormat="1" applyFont="1" applyAlignment="1" applyProtection="1">
      <protection locked="0"/>
    </xf>
    <xf numFmtId="171" fontId="17" fillId="2" borderId="0" xfId="0" applyNumberFormat="1" applyFont="1" applyFill="1" applyAlignment="1"/>
    <xf numFmtId="165" fontId="8" fillId="0" borderId="0" xfId="0" applyNumberFormat="1" applyFont="1" applyAlignment="1" applyProtection="1">
      <protection locked="0"/>
    </xf>
    <xf numFmtId="165" fontId="16" fillId="0" borderId="10" xfId="6" applyNumberFormat="1" applyFont="1" applyFill="1" applyBorder="1" applyAlignment="1"/>
    <xf numFmtId="172" fontId="8" fillId="0" borderId="0" xfId="0" applyNumberFormat="1" applyFont="1"/>
    <xf numFmtId="2" fontId="8" fillId="0" borderId="0" xfId="0" applyNumberFormat="1" applyFont="1"/>
    <xf numFmtId="3" fontId="21" fillId="3" borderId="0" xfId="6" applyNumberFormat="1" applyFont="1" applyFill="1" applyBorder="1" applyAlignment="1"/>
    <xf numFmtId="3" fontId="7" fillId="0" borderId="0" xfId="6" applyNumberFormat="1" applyFont="1" applyFill="1" applyBorder="1" applyAlignment="1"/>
    <xf numFmtId="165" fontId="7" fillId="0" borderId="0" xfId="6" applyNumberFormat="1" applyFont="1" applyFill="1" applyBorder="1" applyAlignment="1"/>
    <xf numFmtId="174" fontId="8" fillId="0" borderId="0" xfId="0" applyNumberFormat="1" applyFont="1"/>
    <xf numFmtId="174" fontId="7" fillId="0" borderId="0" xfId="0" applyNumberFormat="1" applyFont="1" applyAlignment="1"/>
    <xf numFmtId="0" fontId="8" fillId="0" borderId="0" xfId="0" applyFont="1" applyAlignment="1">
      <alignment wrapText="1"/>
    </xf>
    <xf numFmtId="165" fontId="21" fillId="3" borderId="14" xfId="6" applyNumberFormat="1" applyFont="1" applyFill="1" applyBorder="1" applyAlignment="1"/>
    <xf numFmtId="165" fontId="21" fillId="3" borderId="15" xfId="6" applyNumberFormat="1" applyFont="1" applyFill="1" applyBorder="1" applyAlignment="1"/>
    <xf numFmtId="165" fontId="17" fillId="3" borderId="0" xfId="0" applyNumberFormat="1" applyFont="1" applyFill="1" applyAlignment="1"/>
    <xf numFmtId="165" fontId="21" fillId="0" borderId="1" xfId="6" applyNumberFormat="1" applyFont="1" applyFill="1" applyBorder="1" applyAlignment="1"/>
    <xf numFmtId="165" fontId="8" fillId="0" borderId="0" xfId="2" applyNumberFormat="1" applyFont="1"/>
    <xf numFmtId="165" fontId="22" fillId="0" borderId="9" xfId="6" applyNumberFormat="1" applyFont="1" applyFill="1" applyBorder="1" applyAlignment="1"/>
    <xf numFmtId="165" fontId="21" fillId="0" borderId="8" xfId="6" applyNumberFormat="1" applyFont="1" applyFill="1" applyBorder="1" applyAlignment="1"/>
    <xf numFmtId="165" fontId="21" fillId="0" borderId="9" xfId="6" applyNumberFormat="1" applyFont="1" applyFill="1" applyBorder="1" applyAlignment="1"/>
    <xf numFmtId="0" fontId="21" fillId="3" borderId="23" xfId="6" applyFont="1" applyFill="1" applyBorder="1" applyAlignment="1"/>
    <xf numFmtId="175" fontId="8" fillId="0" borderId="0" xfId="0" applyNumberFormat="1" applyFont="1"/>
    <xf numFmtId="173" fontId="7" fillId="2" borderId="0" xfId="0" applyNumberFormat="1" applyFont="1" applyFill="1" applyAlignment="1"/>
    <xf numFmtId="165" fontId="21" fillId="3" borderId="0" xfId="6" applyNumberFormat="1" applyFont="1" applyFill="1" applyBorder="1" applyAlignment="1"/>
    <xf numFmtId="165" fontId="21" fillId="3" borderId="16" xfId="6" applyNumberFormat="1" applyFont="1" applyFill="1" applyBorder="1" applyAlignment="1"/>
    <xf numFmtId="165" fontId="22" fillId="0" borderId="12" xfId="6" applyNumberFormat="1" applyFont="1" applyFill="1" applyBorder="1" applyAlignment="1"/>
    <xf numFmtId="165" fontId="21" fillId="0" borderId="12" xfId="6" applyNumberFormat="1" applyFont="1" applyFill="1" applyBorder="1" applyAlignment="1"/>
    <xf numFmtId="0" fontId="8" fillId="0" borderId="0" xfId="0" applyFont="1" applyFill="1" applyBorder="1"/>
    <xf numFmtId="0" fontId="7" fillId="0" borderId="0" xfId="0" applyFont="1" applyFill="1"/>
    <xf numFmtId="0" fontId="24" fillId="0" borderId="0" xfId="0" applyFont="1" applyBorder="1"/>
    <xf numFmtId="0" fontId="0" fillId="4" borderId="0" xfId="0" applyFill="1"/>
    <xf numFmtId="0" fontId="17" fillId="0" borderId="3" xfId="0" applyFont="1" applyBorder="1"/>
    <xf numFmtId="0" fontId="0" fillId="4" borderId="0" xfId="0" applyFill="1" applyBorder="1"/>
    <xf numFmtId="0" fontId="9" fillId="0" borderId="0" xfId="0" applyFont="1" applyFill="1" applyBorder="1"/>
    <xf numFmtId="3" fontId="0" fillId="0" borderId="0" xfId="0" applyNumberFormat="1" applyFill="1" applyBorder="1"/>
    <xf numFmtId="0" fontId="9" fillId="5" borderId="0" xfId="0" applyFont="1" applyFill="1" applyBorder="1"/>
    <xf numFmtId="0" fontId="9" fillId="5" borderId="0" xfId="0" applyFont="1" applyFill="1"/>
    <xf numFmtId="0" fontId="9" fillId="6" borderId="0" xfId="0" applyFont="1" applyFill="1"/>
    <xf numFmtId="0" fontId="9" fillId="6" borderId="0" xfId="0" applyFont="1" applyFill="1" applyBorder="1"/>
    <xf numFmtId="0" fontId="9" fillId="6" borderId="0" xfId="0" applyFont="1" applyFill="1" applyBorder="1" applyAlignment="1">
      <alignment horizontal="right"/>
    </xf>
    <xf numFmtId="0" fontId="8" fillId="6" borderId="0" xfId="0" applyFont="1" applyFill="1" applyBorder="1"/>
    <xf numFmtId="0" fontId="8" fillId="6" borderId="0" xfId="0" applyFont="1" applyFill="1"/>
    <xf numFmtId="0" fontId="0" fillId="0" borderId="0" xfId="0"/>
    <xf numFmtId="165" fontId="8" fillId="2" borderId="0" xfId="0" applyNumberFormat="1" applyFont="1" applyFill="1" applyBorder="1"/>
    <xf numFmtId="165" fontId="8" fillId="2" borderId="0" xfId="0" applyNumberFormat="1" applyFont="1" applyFill="1"/>
    <xf numFmtId="165" fontId="9" fillId="6" borderId="0" xfId="0" applyNumberFormat="1" applyFont="1" applyFill="1" applyBorder="1"/>
    <xf numFmtId="0" fontId="8" fillId="5" borderId="0" xfId="0" applyFont="1" applyFill="1"/>
    <xf numFmtId="165" fontId="9" fillId="7" borderId="0" xfId="0" applyNumberFormat="1" applyFont="1" applyFill="1" applyBorder="1"/>
    <xf numFmtId="0" fontId="9" fillId="7" borderId="0" xfId="0" applyFont="1" applyFill="1"/>
    <xf numFmtId="0" fontId="9" fillId="0" borderId="0" xfId="0" applyFont="1" applyFill="1"/>
    <xf numFmtId="165" fontId="16" fillId="0" borderId="0" xfId="0" applyNumberFormat="1" applyFont="1"/>
    <xf numFmtId="165" fontId="9" fillId="0" borderId="0" xfId="0" applyNumberFormat="1" applyFont="1" applyFill="1" applyBorder="1"/>
    <xf numFmtId="0" fontId="9" fillId="5" borderId="0" xfId="0" applyFont="1" applyFill="1" applyBorder="1" applyAlignment="1">
      <alignment horizontal="right"/>
    </xf>
    <xf numFmtId="0" fontId="9" fillId="2" borderId="3" xfId="0" applyFont="1" applyFill="1" applyBorder="1"/>
    <xf numFmtId="3" fontId="8" fillId="2" borderId="0" xfId="0" applyNumberFormat="1" applyFont="1" applyFill="1"/>
    <xf numFmtId="165" fontId="9" fillId="0" borderId="0" xfId="0" applyNumberFormat="1" applyFont="1" applyFill="1"/>
    <xf numFmtId="0" fontId="17" fillId="8" borderId="4" xfId="0" applyFont="1" applyFill="1" applyBorder="1" applyAlignment="1">
      <alignment horizontal="left" vertical="center" wrapText="1"/>
    </xf>
    <xf numFmtId="0" fontId="17" fillId="8" borderId="6" xfId="0" applyFont="1" applyFill="1" applyBorder="1" applyAlignment="1">
      <alignment horizontal="center" vertical="center" wrapText="1"/>
    </xf>
    <xf numFmtId="0" fontId="17" fillId="0" borderId="22" xfId="0" applyFont="1" applyBorder="1" applyAlignment="1">
      <alignment horizontal="left" vertical="center" wrapText="1"/>
    </xf>
    <xf numFmtId="3" fontId="7" fillId="0" borderId="24" xfId="0" applyNumberFormat="1" applyFont="1" applyBorder="1" applyAlignment="1">
      <alignment horizontal="center" vertical="center" wrapText="1"/>
    </xf>
    <xf numFmtId="0" fontId="26" fillId="0" borderId="0" xfId="0" applyFont="1"/>
    <xf numFmtId="0" fontId="17" fillId="8" borderId="0" xfId="0" applyFont="1" applyFill="1" applyBorder="1" applyAlignment="1">
      <alignment horizontal="center" vertical="center" wrapText="1"/>
    </xf>
    <xf numFmtId="0" fontId="8" fillId="0" borderId="0" xfId="0" applyFont="1" applyBorder="1" applyAlignment="1">
      <alignment wrapText="1"/>
    </xf>
    <xf numFmtId="3" fontId="8" fillId="0" borderId="0" xfId="0" applyNumberFormat="1" applyFont="1" applyBorder="1" applyAlignment="1">
      <alignment wrapText="1"/>
    </xf>
    <xf numFmtId="0" fontId="9" fillId="0" borderId="3" xfId="0" applyFont="1" applyFill="1" applyBorder="1"/>
    <xf numFmtId="0" fontId="9" fillId="8" borderId="0" xfId="0" applyFont="1" applyFill="1" applyAlignment="1"/>
    <xf numFmtId="0" fontId="9" fillId="8" borderId="0" xfId="0" applyFont="1" applyFill="1" applyBorder="1" applyAlignment="1">
      <alignment wrapText="1"/>
    </xf>
    <xf numFmtId="0" fontId="21" fillId="3" borderId="0" xfId="6" applyFont="1" applyFill="1" applyBorder="1" applyAlignment="1">
      <alignment horizontal="center"/>
    </xf>
    <xf numFmtId="4" fontId="22" fillId="0" borderId="18" xfId="6" applyNumberFormat="1" applyFont="1" applyFill="1" applyBorder="1" applyAlignment="1"/>
    <xf numFmtId="165" fontId="21" fillId="3" borderId="0" xfId="6" applyNumberFormat="1" applyFont="1" applyFill="1" applyBorder="1" applyAlignment="1">
      <alignment horizontal="center"/>
    </xf>
    <xf numFmtId="0" fontId="0" fillId="5" borderId="0" xfId="0" applyFill="1"/>
    <xf numFmtId="0" fontId="9" fillId="5" borderId="0" xfId="0" applyFont="1" applyFill="1" applyAlignment="1">
      <alignment horizontal="left"/>
    </xf>
    <xf numFmtId="0" fontId="9" fillId="5" borderId="0" xfId="0" applyFont="1" applyFill="1" applyBorder="1" applyAlignment="1">
      <alignment horizontal="left"/>
    </xf>
    <xf numFmtId="165" fontId="21" fillId="3" borderId="0" xfId="6" applyNumberFormat="1" applyFont="1" applyFill="1" applyBorder="1" applyAlignment="1">
      <alignment horizontal="left"/>
    </xf>
    <xf numFmtId="168" fontId="8" fillId="0" borderId="0" xfId="0" applyNumberFormat="1" applyFont="1"/>
    <xf numFmtId="165" fontId="8" fillId="5" borderId="0" xfId="0" applyNumberFormat="1" applyFont="1" applyFill="1"/>
    <xf numFmtId="4" fontId="22" fillId="0" borderId="0" xfId="6" applyNumberFormat="1" applyFont="1" applyFill="1" applyBorder="1" applyAlignment="1"/>
    <xf numFmtId="176" fontId="8" fillId="0" borderId="0" xfId="0" applyNumberFormat="1" applyFont="1"/>
    <xf numFmtId="166" fontId="21" fillId="0" borderId="0" xfId="1" applyNumberFormat="1" applyFont="1" applyFill="1" applyBorder="1" applyAlignment="1"/>
    <xf numFmtId="0" fontId="8" fillId="8" borderId="0" xfId="0" applyFont="1" applyFill="1"/>
    <xf numFmtId="0" fontId="9" fillId="8" borderId="0" xfId="0" applyFont="1" applyFill="1"/>
    <xf numFmtId="166" fontId="8" fillId="0" borderId="0" xfId="1" applyNumberFormat="1" applyFont="1" applyBorder="1"/>
    <xf numFmtId="166" fontId="8" fillId="0" borderId="0" xfId="1" applyNumberFormat="1" applyFont="1"/>
    <xf numFmtId="0" fontId="8" fillId="0" borderId="2" xfId="0" applyFont="1" applyBorder="1"/>
    <xf numFmtId="0" fontId="21" fillId="5" borderId="0" xfId="6" applyFont="1" applyFill="1" applyBorder="1" applyAlignment="1"/>
    <xf numFmtId="0" fontId="21" fillId="0" borderId="12" xfId="6" applyFont="1" applyFill="1" applyBorder="1" applyAlignment="1"/>
    <xf numFmtId="165" fontId="7" fillId="0" borderId="0" xfId="7" applyNumberFormat="1" applyFont="1" applyBorder="1"/>
    <xf numFmtId="165" fontId="7" fillId="0" borderId="0" xfId="7" applyNumberFormat="1" applyFont="1" applyFill="1" applyBorder="1"/>
    <xf numFmtId="165" fontId="8" fillId="0" borderId="0" xfId="0" applyNumberFormat="1" applyFont="1" applyFill="1" applyBorder="1"/>
    <xf numFmtId="165" fontId="16" fillId="0" borderId="0" xfId="6" applyNumberFormat="1" applyFont="1" applyFill="1" applyBorder="1" applyAlignment="1"/>
    <xf numFmtId="0" fontId="22" fillId="0" borderId="25" xfId="6" applyFont="1" applyFill="1" applyBorder="1" applyAlignment="1"/>
    <xf numFmtId="3" fontId="7" fillId="0" borderId="0" xfId="7" applyNumberFormat="1" applyFont="1" applyBorder="1"/>
    <xf numFmtId="0" fontId="8" fillId="0" borderId="3" xfId="0" applyFont="1" applyBorder="1"/>
    <xf numFmtId="0" fontId="27" fillId="0" borderId="3" xfId="0" applyFont="1" applyBorder="1"/>
    <xf numFmtId="165" fontId="8" fillId="0" borderId="0" xfId="0" applyNumberFormat="1" applyFont="1" applyFill="1"/>
    <xf numFmtId="165" fontId="9" fillId="0" borderId="0" xfId="0" applyNumberFormat="1" applyFont="1"/>
    <xf numFmtId="165" fontId="9" fillId="8" borderId="0" xfId="0" applyNumberFormat="1" applyFont="1" applyFill="1"/>
    <xf numFmtId="0" fontId="8" fillId="0" borderId="0" xfId="0" applyFont="1" applyFill="1" applyBorder="1" applyAlignment="1">
      <alignment horizontal="right"/>
    </xf>
    <xf numFmtId="168" fontId="8" fillId="0" borderId="0" xfId="1" applyNumberFormat="1" applyFont="1" applyFill="1" applyBorder="1"/>
    <xf numFmtId="165" fontId="8" fillId="0" borderId="0" xfId="1" applyNumberFormat="1" applyFont="1" applyFill="1" applyBorder="1"/>
    <xf numFmtId="3" fontId="6" fillId="0" borderId="0" xfId="0" applyNumberFormat="1" applyFont="1" applyFill="1" applyBorder="1"/>
    <xf numFmtId="9" fontId="8" fillId="0" borderId="0" xfId="1" applyNumberFormat="1" applyFont="1" applyFill="1" applyBorder="1"/>
    <xf numFmtId="0" fontId="0" fillId="0" borderId="0" xfId="0"/>
    <xf numFmtId="165" fontId="8" fillId="0" borderId="0" xfId="0" applyNumberFormat="1" applyFont="1" applyFill="1" applyAlignment="1" applyProtection="1">
      <protection locked="0"/>
    </xf>
    <xf numFmtId="0" fontId="27" fillId="0" borderId="0" xfId="0" applyFont="1"/>
    <xf numFmtId="170" fontId="27" fillId="0" borderId="0" xfId="0" applyNumberFormat="1" applyFont="1"/>
    <xf numFmtId="178" fontId="27" fillId="0" borderId="0" xfId="1" applyNumberFormat="1" applyFont="1"/>
    <xf numFmtId="0" fontId="4" fillId="0" borderId="0" xfId="0" applyFont="1"/>
    <xf numFmtId="3" fontId="7" fillId="0" borderId="0" xfId="0" applyNumberFormat="1" applyFont="1" applyFill="1" applyAlignment="1"/>
    <xf numFmtId="165" fontId="7" fillId="0" borderId="0" xfId="0" applyNumberFormat="1" applyFont="1" applyFill="1" applyAlignment="1">
      <alignment horizontal="right"/>
    </xf>
    <xf numFmtId="165" fontId="7" fillId="0" borderId="0" xfId="0" applyNumberFormat="1" applyFont="1" applyFill="1" applyAlignment="1"/>
    <xf numFmtId="0" fontId="17" fillId="0" borderId="0" xfId="0" applyFont="1" applyFill="1" applyAlignment="1"/>
    <xf numFmtId="165" fontId="7" fillId="0" borderId="0" xfId="0" applyNumberFormat="1" applyFont="1" applyFill="1" applyBorder="1" applyAlignment="1"/>
    <xf numFmtId="0" fontId="17" fillId="0" borderId="0" xfId="0" applyFont="1" applyFill="1" applyBorder="1" applyAlignment="1"/>
    <xf numFmtId="170" fontId="0" fillId="0" borderId="0" xfId="0" applyNumberFormat="1"/>
    <xf numFmtId="170" fontId="6" fillId="0" borderId="0" xfId="0" applyNumberFormat="1" applyFont="1"/>
    <xf numFmtId="180" fontId="6" fillId="0" borderId="0" xfId="0" applyNumberFormat="1" applyFont="1"/>
    <xf numFmtId="179" fontId="7" fillId="2" borderId="0" xfId="0" applyNumberFormat="1" applyFont="1" applyFill="1" applyAlignment="1"/>
    <xf numFmtId="0" fontId="9" fillId="8" borderId="0" xfId="0" applyFont="1" applyFill="1" applyBorder="1" applyAlignment="1">
      <alignment vertical="center"/>
    </xf>
    <xf numFmtId="0" fontId="9" fillId="8" borderId="0" xfId="0" applyFont="1" applyFill="1" applyAlignment="1">
      <alignment horizontal="left" vertical="center"/>
    </xf>
    <xf numFmtId="0" fontId="9" fillId="8" borderId="0" xfId="0" applyFont="1" applyFill="1" applyAlignment="1">
      <alignment horizontal="left" vertical="top"/>
    </xf>
    <xf numFmtId="165" fontId="9" fillId="0" borderId="0" xfId="0" applyNumberFormat="1" applyFont="1" applyBorder="1"/>
    <xf numFmtId="0" fontId="8" fillId="0" borderId="3" xfId="0" applyFont="1" applyBorder="1" applyAlignment="1">
      <alignment wrapText="1"/>
    </xf>
    <xf numFmtId="165" fontId="9" fillId="8" borderId="3" xfId="0" applyNumberFormat="1" applyFont="1" applyFill="1" applyBorder="1"/>
    <xf numFmtId="168" fontId="8" fillId="0" borderId="3" xfId="0" applyNumberFormat="1" applyFont="1" applyBorder="1"/>
    <xf numFmtId="165" fontId="9" fillId="8" borderId="0" xfId="0" applyNumberFormat="1" applyFont="1" applyFill="1" applyBorder="1"/>
    <xf numFmtId="0" fontId="17" fillId="0" borderId="0" xfId="0" applyFont="1" applyFill="1" applyBorder="1" applyAlignment="1">
      <alignment horizontal="center" vertical="center" wrapText="1"/>
    </xf>
    <xf numFmtId="0" fontId="8" fillId="5" borderId="0" xfId="0" applyFont="1" applyFill="1" applyBorder="1"/>
    <xf numFmtId="181" fontId="8" fillId="8" borderId="0" xfId="0" applyNumberFormat="1" applyFont="1" applyFill="1" applyBorder="1"/>
    <xf numFmtId="0" fontId="9" fillId="8" borderId="0" xfId="0" applyFont="1" applyFill="1" applyAlignment="1">
      <alignment horizontal="center"/>
    </xf>
    <xf numFmtId="166" fontId="8" fillId="0" borderId="0" xfId="1" applyNumberFormat="1" applyFont="1" applyFill="1"/>
    <xf numFmtId="169" fontId="8" fillId="0" borderId="0" xfId="0" applyNumberFormat="1" applyFont="1" applyFill="1"/>
    <xf numFmtId="0" fontId="0" fillId="0" borderId="0" xfId="0"/>
    <xf numFmtId="0" fontId="21" fillId="2" borderId="5" xfId="6" applyFont="1" applyFill="1" applyBorder="1" applyAlignment="1"/>
    <xf numFmtId="3" fontId="7" fillId="0" borderId="0" xfId="0" applyNumberFormat="1" applyFont="1" applyFill="1" applyBorder="1" applyAlignment="1"/>
    <xf numFmtId="49" fontId="8" fillId="0" borderId="0" xfId="0" applyNumberFormat="1" applyFont="1" applyBorder="1" applyAlignment="1">
      <alignment horizontal="center"/>
    </xf>
    <xf numFmtId="0" fontId="8" fillId="0" borderId="0" xfId="0" applyFont="1" applyBorder="1" applyAlignment="1"/>
    <xf numFmtId="0" fontId="12" fillId="0" borderId="0" xfId="0" applyFont="1" applyBorder="1"/>
    <xf numFmtId="0" fontId="7" fillId="0" borderId="0" xfId="0" applyFont="1" applyFill="1" applyAlignment="1"/>
    <xf numFmtId="0" fontId="21" fillId="0" borderId="5" xfId="6" applyFont="1" applyFill="1" applyBorder="1" applyAlignment="1"/>
    <xf numFmtId="0" fontId="9" fillId="0" borderId="3" xfId="0" applyFont="1" applyBorder="1" applyAlignment="1">
      <alignment horizontal="center"/>
    </xf>
    <xf numFmtId="165" fontId="9" fillId="0" borderId="0" xfId="0" applyNumberFormat="1" applyFont="1" applyBorder="1" applyProtection="1">
      <protection locked="0"/>
    </xf>
    <xf numFmtId="165" fontId="9" fillId="0" borderId="0" xfId="0" applyNumberFormat="1" applyFont="1" applyBorder="1" applyAlignment="1">
      <alignment horizontal="right"/>
    </xf>
    <xf numFmtId="165" fontId="8" fillId="0" borderId="0" xfId="0" applyNumberFormat="1" applyFont="1" applyBorder="1" applyAlignment="1">
      <alignment horizontal="right"/>
    </xf>
    <xf numFmtId="165" fontId="8" fillId="0" borderId="0" xfId="0" applyNumberFormat="1" applyFont="1" applyBorder="1" applyProtection="1">
      <protection locked="0"/>
    </xf>
    <xf numFmtId="0" fontId="12" fillId="0" borderId="0" xfId="0" applyFont="1" applyFill="1" applyBorder="1"/>
    <xf numFmtId="0" fontId="9" fillId="0" borderId="0" xfId="0" applyFont="1" applyFill="1" applyBorder="1" applyAlignment="1">
      <alignment wrapText="1"/>
    </xf>
    <xf numFmtId="3" fontId="9" fillId="0" borderId="0" xfId="0" applyNumberFormat="1" applyFont="1" applyFill="1" applyBorder="1" applyAlignment="1">
      <alignment wrapText="1"/>
    </xf>
    <xf numFmtId="0" fontId="9" fillId="0" borderId="0" xfId="0" applyFont="1" applyFill="1" applyBorder="1" applyAlignment="1"/>
    <xf numFmtId="3" fontId="8" fillId="0" borderId="0" xfId="0" applyNumberFormat="1" applyFont="1" applyFill="1" applyBorder="1" applyAlignment="1">
      <alignment horizontal="center"/>
    </xf>
    <xf numFmtId="0" fontId="19" fillId="0" borderId="0" xfId="0" applyFont="1" applyFill="1" applyBorder="1" applyAlignment="1" applyProtection="1"/>
    <xf numFmtId="0" fontId="9" fillId="2" borderId="4" xfId="0" applyFont="1" applyFill="1" applyBorder="1" applyAlignment="1"/>
    <xf numFmtId="3" fontId="9" fillId="2" borderId="4" xfId="0" applyNumberFormat="1" applyFont="1" applyFill="1" applyBorder="1"/>
    <xf numFmtId="9" fontId="8" fillId="0" borderId="0" xfId="0" applyNumberFormat="1" applyFont="1" applyFill="1" applyBorder="1"/>
    <xf numFmtId="0" fontId="18" fillId="0" borderId="0" xfId="0" applyFont="1"/>
    <xf numFmtId="165" fontId="8" fillId="0" borderId="3" xfId="0" applyNumberFormat="1" applyFont="1" applyBorder="1"/>
    <xf numFmtId="0" fontId="9" fillId="8" borderId="0" xfId="0" applyFont="1" applyFill="1" applyBorder="1" applyAlignment="1"/>
    <xf numFmtId="0" fontId="17" fillId="8" borderId="3" xfId="0" applyFont="1" applyFill="1" applyBorder="1" applyAlignment="1">
      <alignment horizontal="center" vertical="center" wrapText="1"/>
    </xf>
    <xf numFmtId="165" fontId="8" fillId="0" borderId="3" xfId="1" applyNumberFormat="1" applyFont="1" applyBorder="1"/>
    <xf numFmtId="165" fontId="9" fillId="0" borderId="0" xfId="1" applyNumberFormat="1" applyFont="1" applyFill="1" applyBorder="1"/>
    <xf numFmtId="9" fontId="9" fillId="0" borderId="0" xfId="1" applyFont="1" applyFill="1" applyBorder="1"/>
    <xf numFmtId="164" fontId="9" fillId="0" borderId="0" xfId="0" applyNumberFormat="1" applyFont="1" applyFill="1" applyBorder="1"/>
    <xf numFmtId="164" fontId="8" fillId="0" borderId="0" xfId="0" applyNumberFormat="1" applyFont="1" applyFill="1" applyBorder="1"/>
    <xf numFmtId="169" fontId="8" fillId="0" borderId="0" xfId="0" applyNumberFormat="1" applyFont="1" applyBorder="1"/>
    <xf numFmtId="169" fontId="8" fillId="0" borderId="3" xfId="0" applyNumberFormat="1" applyFont="1" applyBorder="1"/>
    <xf numFmtId="0" fontId="21" fillId="3" borderId="27" xfId="6" applyFont="1" applyFill="1" applyBorder="1" applyAlignment="1"/>
    <xf numFmtId="0" fontId="21" fillId="3" borderId="28" xfId="6" applyFont="1" applyFill="1" applyBorder="1" applyAlignment="1"/>
    <xf numFmtId="0" fontId="17" fillId="3" borderId="29" xfId="0" applyFont="1" applyFill="1" applyBorder="1" applyAlignment="1"/>
    <xf numFmtId="0" fontId="17" fillId="3" borderId="30" xfId="0" applyFont="1" applyFill="1" applyBorder="1" applyAlignment="1"/>
    <xf numFmtId="0" fontId="17" fillId="3" borderId="31" xfId="0" applyFont="1" applyFill="1" applyBorder="1" applyAlignment="1"/>
    <xf numFmtId="0" fontId="21" fillId="2" borderId="32" xfId="6" applyFont="1" applyFill="1" applyBorder="1" applyAlignment="1"/>
    <xf numFmtId="0" fontId="21" fillId="2" borderId="26" xfId="6" applyFont="1" applyFill="1" applyBorder="1" applyAlignment="1"/>
    <xf numFmtId="165" fontId="9" fillId="0" borderId="0" xfId="0" applyNumberFormat="1" applyFont="1" applyFill="1" applyBorder="1" applyAlignment="1">
      <alignment horizontal="center"/>
    </xf>
    <xf numFmtId="0" fontId="27" fillId="10" borderId="0" xfId="0" applyFont="1" applyFill="1"/>
    <xf numFmtId="165" fontId="8" fillId="10" borderId="0" xfId="0" applyNumberFormat="1" applyFont="1" applyFill="1" applyBorder="1"/>
    <xf numFmtId="164" fontId="8" fillId="10" borderId="0" xfId="0" applyNumberFormat="1" applyFont="1" applyFill="1" applyBorder="1"/>
    <xf numFmtId="9" fontId="8" fillId="10" borderId="0" xfId="1" applyNumberFormat="1" applyFont="1" applyFill="1" applyBorder="1"/>
    <xf numFmtId="0" fontId="18" fillId="10" borderId="0" xfId="0" applyFont="1" applyFill="1" applyBorder="1"/>
    <xf numFmtId="0" fontId="9" fillId="10" borderId="0" xfId="0" applyFont="1" applyFill="1" applyBorder="1" applyAlignment="1"/>
    <xf numFmtId="0" fontId="9" fillId="11" borderId="0" xfId="0" applyFont="1" applyFill="1"/>
    <xf numFmtId="165" fontId="9" fillId="11" borderId="0" xfId="0" applyNumberFormat="1" applyFont="1" applyFill="1"/>
    <xf numFmtId="165" fontId="9" fillId="11" borderId="0" xfId="1" applyNumberFormat="1" applyFont="1" applyFill="1" applyBorder="1"/>
    <xf numFmtId="9" fontId="9" fillId="11" borderId="0" xfId="1" applyFont="1" applyFill="1" applyBorder="1"/>
    <xf numFmtId="165" fontId="9" fillId="11" borderId="0" xfId="0" applyNumberFormat="1" applyFont="1" applyFill="1" applyBorder="1"/>
    <xf numFmtId="164" fontId="9" fillId="11" borderId="0" xfId="0" applyNumberFormat="1" applyFont="1" applyFill="1" applyBorder="1"/>
    <xf numFmtId="0" fontId="18" fillId="10" borderId="0" xfId="0" applyFont="1" applyFill="1"/>
    <xf numFmtId="0" fontId="9" fillId="5" borderId="0" xfId="0" applyFont="1" applyFill="1" applyAlignment="1">
      <alignment horizontal="center"/>
    </xf>
    <xf numFmtId="0" fontId="29" fillId="0" borderId="0" xfId="0" applyFont="1"/>
    <xf numFmtId="0" fontId="9" fillId="0" borderId="0" xfId="0" applyFont="1" applyFill="1" applyAlignment="1">
      <alignment wrapText="1"/>
    </xf>
    <xf numFmtId="176" fontId="9" fillId="0" borderId="0" xfId="0" applyNumberFormat="1" applyFont="1" applyBorder="1" applyProtection="1">
      <protection locked="0"/>
    </xf>
    <xf numFmtId="176" fontId="8" fillId="0" borderId="0" xfId="0" applyNumberFormat="1" applyFont="1" applyFill="1" applyBorder="1"/>
    <xf numFmtId="169" fontId="9" fillId="0" borderId="0" xfId="0" applyNumberFormat="1" applyFont="1" applyFill="1" applyBorder="1"/>
    <xf numFmtId="165" fontId="0" fillId="0" borderId="0" xfId="0" applyNumberFormat="1" applyBorder="1"/>
    <xf numFmtId="165" fontId="7" fillId="0" borderId="0" xfId="0" applyNumberFormat="1" applyFont="1" applyFill="1" applyAlignment="1">
      <alignment horizontal="center"/>
    </xf>
    <xf numFmtId="1" fontId="8" fillId="0" borderId="0" xfId="0" applyNumberFormat="1" applyFont="1" applyBorder="1"/>
    <xf numFmtId="1" fontId="8" fillId="0" borderId="0" xfId="0" applyNumberFormat="1" applyFont="1" applyFill="1" applyBorder="1"/>
    <xf numFmtId="1" fontId="8" fillId="0" borderId="0" xfId="0" applyNumberFormat="1" applyFont="1" applyFill="1"/>
    <xf numFmtId="0" fontId="8" fillId="0" borderId="0" xfId="0" applyFont="1" applyAlignment="1">
      <alignment horizontal="right"/>
    </xf>
    <xf numFmtId="0" fontId="8" fillId="0" borderId="0" xfId="0" applyFont="1" applyFill="1" applyAlignment="1">
      <alignment horizontal="right"/>
    </xf>
    <xf numFmtId="170" fontId="8" fillId="0" borderId="0" xfId="0" applyNumberFormat="1" applyFont="1"/>
    <xf numFmtId="170" fontId="8" fillId="0" borderId="0" xfId="0" applyNumberFormat="1" applyFont="1" applyFill="1"/>
    <xf numFmtId="170" fontId="8" fillId="0" borderId="0" xfId="0" applyNumberFormat="1" applyFont="1" applyFill="1" applyBorder="1"/>
    <xf numFmtId="165" fontId="0" fillId="0" borderId="0" xfId="0" applyNumberFormat="1"/>
    <xf numFmtId="0" fontId="22" fillId="0" borderId="0" xfId="6" applyFont="1" applyFill="1" applyBorder="1" applyAlignment="1"/>
    <xf numFmtId="174" fontId="7" fillId="0" borderId="0" xfId="0" applyNumberFormat="1" applyFont="1" applyFill="1" applyAlignment="1"/>
    <xf numFmtId="174" fontId="8" fillId="0" borderId="0" xfId="0" applyNumberFormat="1" applyFont="1" applyFill="1"/>
    <xf numFmtId="0" fontId="30" fillId="0" borderId="0" xfId="0" applyFont="1"/>
    <xf numFmtId="3" fontId="7" fillId="0" borderId="0" xfId="0" applyNumberFormat="1" applyFont="1" applyBorder="1" applyAlignment="1"/>
    <xf numFmtId="0" fontId="16" fillId="0" borderId="0" xfId="0" applyFont="1"/>
    <xf numFmtId="1" fontId="16" fillId="0" borderId="0" xfId="0" applyNumberFormat="1" applyFont="1"/>
    <xf numFmtId="165" fontId="16" fillId="0" borderId="0" xfId="0" applyNumberFormat="1" applyFont="1" applyBorder="1"/>
    <xf numFmtId="0" fontId="27" fillId="0" borderId="0" xfId="0" applyFont="1" applyFill="1"/>
    <xf numFmtId="9" fontId="8" fillId="0" borderId="0" xfId="1" applyFont="1"/>
    <xf numFmtId="3" fontId="8" fillId="0" borderId="0" xfId="0" applyNumberFormat="1" applyFont="1" applyFill="1"/>
    <xf numFmtId="165" fontId="8" fillId="0" borderId="3" xfId="0" applyNumberFormat="1" applyFont="1" applyFill="1" applyBorder="1"/>
    <xf numFmtId="0" fontId="8" fillId="8" borderId="0" xfId="0" applyFont="1" applyFill="1" applyBorder="1"/>
    <xf numFmtId="0" fontId="8" fillId="8" borderId="3" xfId="0" applyFont="1" applyFill="1" applyBorder="1"/>
    <xf numFmtId="181" fontId="8" fillId="8" borderId="3" xfId="0" applyNumberFormat="1" applyFont="1" applyFill="1" applyBorder="1"/>
    <xf numFmtId="166" fontId="8" fillId="0" borderId="3" xfId="1" applyNumberFormat="1" applyFont="1" applyBorder="1"/>
    <xf numFmtId="169" fontId="9" fillId="0" borderId="0" xfId="0" applyNumberFormat="1" applyFont="1"/>
    <xf numFmtId="165" fontId="25" fillId="0" borderId="0" xfId="0" applyNumberFormat="1" applyFont="1" applyFill="1" applyBorder="1"/>
    <xf numFmtId="165" fontId="23" fillId="0" borderId="0" xfId="0" applyNumberFormat="1" applyFont="1" applyFill="1" applyBorder="1"/>
    <xf numFmtId="167" fontId="9" fillId="0" borderId="0" xfId="0" applyNumberFormat="1" applyFont="1" applyFill="1" applyBorder="1"/>
    <xf numFmtId="176" fontId="8" fillId="0" borderId="0" xfId="0" applyNumberFormat="1" applyFont="1" applyBorder="1"/>
    <xf numFmtId="176" fontId="8" fillId="7" borderId="0" xfId="0" applyNumberFormat="1" applyFont="1" applyFill="1" applyBorder="1"/>
    <xf numFmtId="176" fontId="8" fillId="7" borderId="0" xfId="0" applyNumberFormat="1" applyFont="1" applyFill="1"/>
    <xf numFmtId="165" fontId="9" fillId="2" borderId="0" xfId="0" applyNumberFormat="1" applyFont="1" applyFill="1" applyBorder="1"/>
    <xf numFmtId="165" fontId="9" fillId="10" borderId="0" xfId="0" applyNumberFormat="1" applyFont="1" applyFill="1" applyBorder="1"/>
    <xf numFmtId="10" fontId="8" fillId="0" borderId="0" xfId="1" applyNumberFormat="1" applyFont="1" applyBorder="1"/>
    <xf numFmtId="165" fontId="9" fillId="12" borderId="0" xfId="0" applyNumberFormat="1" applyFont="1" applyFill="1" applyBorder="1"/>
    <xf numFmtId="182" fontId="9" fillId="2" borderId="0" xfId="0" applyNumberFormat="1" applyFont="1" applyFill="1" applyBorder="1"/>
    <xf numFmtId="182" fontId="8" fillId="0" borderId="0" xfId="0" applyNumberFormat="1" applyFont="1" applyBorder="1"/>
    <xf numFmtId="182" fontId="8" fillId="0" borderId="0" xfId="0" applyNumberFormat="1" applyFont="1"/>
    <xf numFmtId="182" fontId="8" fillId="0" borderId="0" xfId="1" applyNumberFormat="1" applyFont="1" applyBorder="1"/>
    <xf numFmtId="177" fontId="9" fillId="0" borderId="3" xfId="0" applyNumberFormat="1" applyFont="1" applyBorder="1"/>
    <xf numFmtId="173" fontId="7" fillId="0" borderId="0" xfId="0" applyNumberFormat="1" applyFont="1" applyFill="1" applyAlignment="1"/>
    <xf numFmtId="2" fontId="8" fillId="0" borderId="0" xfId="0" applyNumberFormat="1" applyFont="1" applyFill="1"/>
    <xf numFmtId="3" fontId="21" fillId="0" borderId="0" xfId="6" applyNumberFormat="1" applyFont="1" applyFill="1" applyBorder="1" applyAlignment="1"/>
    <xf numFmtId="165" fontId="0" fillId="0" borderId="0" xfId="0" applyNumberFormat="1" applyFill="1"/>
    <xf numFmtId="0" fontId="9" fillId="0" borderId="0" xfId="0" applyFont="1" applyFill="1" applyBorder="1" applyAlignment="1">
      <alignment horizontal="right"/>
    </xf>
    <xf numFmtId="165" fontId="9" fillId="5" borderId="0" xfId="0" applyNumberFormat="1" applyFont="1" applyFill="1" applyBorder="1"/>
    <xf numFmtId="165" fontId="8" fillId="5" borderId="0" xfId="0" applyNumberFormat="1" applyFont="1" applyFill="1" applyBorder="1"/>
    <xf numFmtId="0" fontId="17" fillId="5" borderId="0" xfId="0" applyFont="1" applyFill="1" applyAlignment="1"/>
    <xf numFmtId="165" fontId="7" fillId="0" borderId="0" xfId="0" applyNumberFormat="1" applyFont="1" applyAlignment="1">
      <alignment horizontal="right"/>
    </xf>
    <xf numFmtId="0" fontId="23" fillId="0" borderId="0" xfId="0" applyFont="1" applyFill="1"/>
    <xf numFmtId="175" fontId="7" fillId="0" borderId="0" xfId="0" applyNumberFormat="1" applyFont="1" applyFill="1" applyAlignment="1"/>
    <xf numFmtId="14" fontId="28" fillId="0" borderId="0" xfId="0" applyNumberFormat="1" applyFont="1" applyFill="1"/>
    <xf numFmtId="14" fontId="8" fillId="0" borderId="0" xfId="0" applyNumberFormat="1" applyFont="1" applyFill="1"/>
    <xf numFmtId="0" fontId="8" fillId="4" borderId="0" xfId="0" applyFont="1" applyFill="1"/>
    <xf numFmtId="0" fontId="8" fillId="4" borderId="0" xfId="0" applyFont="1" applyFill="1" applyBorder="1"/>
    <xf numFmtId="180" fontId="0" fillId="0" borderId="0" xfId="0" applyNumberFormat="1"/>
    <xf numFmtId="165" fontId="9" fillId="6" borderId="0" xfId="0" applyNumberFormat="1" applyFont="1" applyFill="1" applyBorder="1" applyAlignment="1">
      <alignment horizontal="right"/>
    </xf>
    <xf numFmtId="165" fontId="17" fillId="3" borderId="30" xfId="0" applyNumberFormat="1" applyFont="1" applyFill="1" applyBorder="1" applyAlignment="1"/>
    <xf numFmtId="165" fontId="8" fillId="4" borderId="0" xfId="0" applyNumberFormat="1" applyFont="1" applyFill="1"/>
    <xf numFmtId="165" fontId="17" fillId="3" borderId="20" xfId="0" applyNumberFormat="1" applyFont="1" applyFill="1" applyBorder="1" applyAlignment="1"/>
    <xf numFmtId="0" fontId="8" fillId="7" borderId="0" xfId="0" applyFont="1" applyFill="1" applyAlignment="1">
      <alignment horizontal="center"/>
    </xf>
    <xf numFmtId="179" fontId="7" fillId="0" borderId="0" xfId="0" applyNumberFormat="1" applyFont="1" applyFill="1" applyAlignment="1"/>
    <xf numFmtId="166" fontId="8" fillId="8" borderId="0" xfId="1" applyNumberFormat="1" applyFont="1" applyFill="1" applyBorder="1"/>
    <xf numFmtId="166" fontId="8" fillId="8" borderId="3" xfId="1" applyNumberFormat="1" applyFont="1" applyFill="1" applyBorder="1"/>
    <xf numFmtId="166" fontId="8" fillId="8" borderId="0" xfId="1" applyNumberFormat="1" applyFont="1" applyFill="1"/>
    <xf numFmtId="165" fontId="9" fillId="0" borderId="0" xfId="1" applyNumberFormat="1" applyFont="1" applyBorder="1"/>
    <xf numFmtId="177" fontId="9" fillId="0" borderId="0" xfId="0" applyNumberFormat="1" applyFont="1" applyBorder="1"/>
    <xf numFmtId="165" fontId="8" fillId="7" borderId="0" xfId="0" applyNumberFormat="1" applyFont="1" applyFill="1" applyAlignment="1">
      <alignment horizontal="center"/>
    </xf>
    <xf numFmtId="181" fontId="8" fillId="0" borderId="0" xfId="9" applyNumberFormat="1" applyFont="1" applyBorder="1"/>
    <xf numFmtId="173" fontId="7" fillId="0" borderId="0" xfId="0" applyNumberFormat="1" applyFont="1" applyFill="1" applyBorder="1" applyAlignment="1"/>
    <xf numFmtId="173" fontId="0" fillId="0" borderId="0" xfId="0" applyNumberFormat="1" applyFill="1" applyBorder="1"/>
    <xf numFmtId="4" fontId="22" fillId="2" borderId="18" xfId="6" applyNumberFormat="1" applyFont="1" applyFill="1" applyBorder="1" applyAlignment="1"/>
    <xf numFmtId="176" fontId="28" fillId="7" borderId="0" xfId="0" applyNumberFormat="1" applyFont="1" applyFill="1" applyBorder="1"/>
    <xf numFmtId="183" fontId="8" fillId="0" borderId="0" xfId="0" applyNumberFormat="1" applyFont="1" applyAlignment="1" applyProtection="1">
      <protection locked="0"/>
    </xf>
    <xf numFmtId="0" fontId="32" fillId="0" borderId="0" xfId="0" applyFont="1"/>
    <xf numFmtId="0" fontId="9" fillId="0" borderId="3" xfId="0" applyNumberFormat="1" applyFont="1" applyBorder="1"/>
    <xf numFmtId="0" fontId="8" fillId="0" borderId="0" xfId="0" applyNumberFormat="1" applyFont="1"/>
    <xf numFmtId="0" fontId="9" fillId="7" borderId="3" xfId="0" applyNumberFormat="1" applyFont="1" applyFill="1" applyBorder="1"/>
    <xf numFmtId="0" fontId="9" fillId="5" borderId="0" xfId="0" applyNumberFormat="1" applyFont="1" applyFill="1"/>
    <xf numFmtId="0" fontId="21" fillId="3" borderId="0" xfId="6" applyNumberFormat="1" applyFont="1" applyFill="1" applyBorder="1" applyAlignment="1"/>
    <xf numFmtId="0" fontId="9" fillId="6" borderId="0" xfId="0" applyNumberFormat="1" applyFont="1" applyFill="1"/>
    <xf numFmtId="165" fontId="9" fillId="0" borderId="0" xfId="0" applyNumberFormat="1" applyFont="1" applyBorder="1" applyProtection="1"/>
    <xf numFmtId="10" fontId="8" fillId="0" borderId="0" xfId="1" applyNumberFormat="1" applyFont="1" applyFill="1"/>
    <xf numFmtId="0" fontId="8" fillId="0" borderId="0" xfId="0" applyFont="1" applyBorder="1" applyAlignment="1">
      <alignment horizontal="left" vertical="center" wrapText="1"/>
    </xf>
    <xf numFmtId="180" fontId="0" fillId="0" borderId="0" xfId="1" applyNumberFormat="1" applyFont="1"/>
    <xf numFmtId="14" fontId="16" fillId="0" borderId="0" xfId="0" applyNumberFormat="1" applyFont="1"/>
    <xf numFmtId="14" fontId="16" fillId="0" borderId="0" xfId="0" applyNumberFormat="1" applyFont="1" applyAlignment="1">
      <alignment horizontal="right"/>
    </xf>
    <xf numFmtId="14" fontId="30" fillId="0" borderId="0" xfId="0" applyNumberFormat="1" applyFont="1"/>
    <xf numFmtId="170" fontId="0" fillId="0" borderId="0" xfId="0" applyNumberFormat="1" applyFill="1"/>
    <xf numFmtId="170" fontId="27" fillId="0" borderId="0" xfId="0" applyNumberFormat="1" applyFont="1" applyFill="1"/>
    <xf numFmtId="9" fontId="8" fillId="0" borderId="0" xfId="1" applyNumberFormat="1" applyFont="1"/>
    <xf numFmtId="0" fontId="9" fillId="0" borderId="2" xfId="0" applyFont="1" applyFill="1" applyBorder="1"/>
    <xf numFmtId="14" fontId="8" fillId="0" borderId="0" xfId="0" applyNumberFormat="1" applyFont="1"/>
    <xf numFmtId="0" fontId="21" fillId="0" borderId="4" xfId="6" applyFont="1" applyFill="1" applyBorder="1" applyAlignment="1"/>
    <xf numFmtId="10" fontId="4" fillId="0" borderId="0" xfId="1" applyNumberFormat="1" applyFont="1"/>
    <xf numFmtId="3" fontId="31" fillId="0" borderId="0" xfId="0" applyNumberFormat="1" applyFont="1" applyFill="1" applyBorder="1"/>
    <xf numFmtId="0" fontId="7" fillId="0" borderId="0" xfId="0" applyFont="1" applyFill="1" applyBorder="1" applyAlignment="1">
      <alignment horizontal="right"/>
    </xf>
    <xf numFmtId="3" fontId="17" fillId="13" borderId="0" xfId="0" applyNumberFormat="1" applyFont="1" applyFill="1" applyAlignment="1"/>
    <xf numFmtId="0" fontId="16" fillId="0" borderId="0" xfId="0" applyFont="1" applyFill="1"/>
    <xf numFmtId="3" fontId="21" fillId="5" borderId="7" xfId="6" applyNumberFormat="1" applyFont="1" applyFill="1" applyBorder="1" applyAlignment="1"/>
    <xf numFmtId="172" fontId="8" fillId="0" borderId="0" xfId="0" applyNumberFormat="1" applyFont="1" applyFill="1"/>
    <xf numFmtId="0" fontId="9" fillId="6" borderId="0" xfId="0" applyFont="1" applyFill="1" applyAlignment="1">
      <alignment horizontal="right"/>
    </xf>
    <xf numFmtId="3" fontId="21" fillId="5" borderId="0" xfId="6" applyNumberFormat="1" applyFont="1" applyFill="1" applyBorder="1" applyAlignment="1"/>
    <xf numFmtId="176" fontId="9" fillId="5" borderId="0" xfId="0" applyNumberFormat="1" applyFont="1" applyFill="1" applyBorder="1" applyAlignment="1" applyProtection="1">
      <protection locked="0"/>
    </xf>
    <xf numFmtId="3" fontId="21" fillId="14" borderId="0" xfId="6" applyNumberFormat="1" applyFont="1" applyFill="1" applyBorder="1" applyAlignment="1"/>
    <xf numFmtId="165" fontId="16" fillId="0" borderId="0" xfId="0" applyNumberFormat="1" applyFont="1" applyFill="1"/>
    <xf numFmtId="165" fontId="8" fillId="0" borderId="0" xfId="2" applyNumberFormat="1" applyFont="1" applyFill="1"/>
    <xf numFmtId="165" fontId="17" fillId="5" borderId="0" xfId="0" applyNumberFormat="1" applyFont="1" applyFill="1" applyAlignment="1"/>
    <xf numFmtId="9" fontId="9" fillId="0" borderId="0" xfId="1" applyNumberFormat="1" applyFont="1" applyFill="1"/>
    <xf numFmtId="0" fontId="13" fillId="0" borderId="0" xfId="0" applyFont="1" applyFill="1"/>
    <xf numFmtId="6" fontId="13" fillId="0" borderId="0" xfId="0" applyNumberFormat="1" applyFont="1" applyFill="1" applyAlignment="1">
      <alignment horizontal="right"/>
    </xf>
    <xf numFmtId="0" fontId="13" fillId="0" borderId="0" xfId="0" applyFont="1" applyFill="1" applyAlignment="1">
      <alignment horizontal="right"/>
    </xf>
    <xf numFmtId="0" fontId="8" fillId="8" borderId="33" xfId="0" applyFont="1" applyFill="1" applyBorder="1"/>
    <xf numFmtId="0" fontId="8" fillId="8" borderId="2" xfId="0" applyFont="1" applyFill="1" applyBorder="1"/>
    <xf numFmtId="0" fontId="8" fillId="8" borderId="34" xfId="0" applyFont="1" applyFill="1" applyBorder="1"/>
    <xf numFmtId="0" fontId="8" fillId="8" borderId="35" xfId="0" applyFont="1" applyFill="1" applyBorder="1"/>
    <xf numFmtId="0" fontId="8" fillId="8" borderId="0" xfId="0" applyFont="1" applyFill="1" applyBorder="1" applyAlignment="1">
      <alignment horizontal="center"/>
    </xf>
    <xf numFmtId="0" fontId="8" fillId="8" borderId="1" xfId="0" applyFont="1" applyFill="1" applyBorder="1" applyAlignment="1">
      <alignment horizontal="center"/>
    </xf>
    <xf numFmtId="0" fontId="8" fillId="0" borderId="35" xfId="0" applyFont="1" applyBorder="1"/>
    <xf numFmtId="0" fontId="8" fillId="0" borderId="1" xfId="0" applyFont="1" applyBorder="1"/>
    <xf numFmtId="0" fontId="9" fillId="0" borderId="35" xfId="0" applyFont="1" applyBorder="1"/>
    <xf numFmtId="0" fontId="9" fillId="0" borderId="1" xfId="0" applyFont="1" applyBorder="1"/>
    <xf numFmtId="0" fontId="9" fillId="0" borderId="36" xfId="0" applyFont="1" applyBorder="1"/>
    <xf numFmtId="0" fontId="8" fillId="0" borderId="37" xfId="0" applyFont="1" applyBorder="1"/>
    <xf numFmtId="0" fontId="8" fillId="8" borderId="1" xfId="0" applyFont="1" applyFill="1" applyBorder="1"/>
    <xf numFmtId="0" fontId="9" fillId="12" borderId="0" xfId="0" applyFont="1" applyFill="1"/>
    <xf numFmtId="182" fontId="8" fillId="2" borderId="0" xfId="0" applyNumberFormat="1" applyFont="1" applyFill="1" applyBorder="1"/>
    <xf numFmtId="171" fontId="17" fillId="0" borderId="0" xfId="0" applyNumberFormat="1" applyFont="1" applyFill="1" applyAlignment="1"/>
    <xf numFmtId="165" fontId="8" fillId="0" borderId="0" xfId="0" applyNumberFormat="1" applyFont="1" applyAlignment="1">
      <alignment horizontal="right"/>
    </xf>
    <xf numFmtId="0" fontId="8" fillId="0" borderId="0" xfId="0" applyFont="1" applyAlignment="1"/>
    <xf numFmtId="1" fontId="9" fillId="7" borderId="0" xfId="0" applyNumberFormat="1" applyFont="1" applyFill="1" applyAlignment="1">
      <alignment horizontal="right"/>
    </xf>
    <xf numFmtId="1" fontId="9" fillId="7" borderId="2" xfId="0" applyNumberFormat="1" applyFont="1" applyFill="1" applyBorder="1" applyAlignment="1">
      <alignment horizontal="right"/>
    </xf>
    <xf numFmtId="1" fontId="9" fillId="7" borderId="0" xfId="0" applyNumberFormat="1" applyFont="1" applyFill="1"/>
    <xf numFmtId="1" fontId="9" fillId="7" borderId="2" xfId="0" applyNumberFormat="1" applyFont="1" applyFill="1" applyBorder="1"/>
    <xf numFmtId="1" fontId="9" fillId="9" borderId="0" xfId="0" applyNumberFormat="1" applyFont="1" applyFill="1"/>
    <xf numFmtId="1" fontId="9" fillId="9" borderId="2" xfId="0" applyNumberFormat="1" applyFont="1" applyFill="1" applyBorder="1"/>
    <xf numFmtId="0" fontId="27" fillId="0" borderId="0" xfId="0" applyFont="1" applyBorder="1"/>
    <xf numFmtId="10" fontId="0" fillId="0" borderId="0" xfId="1" applyNumberFormat="1" applyFont="1" applyBorder="1"/>
    <xf numFmtId="180" fontId="0" fillId="0" borderId="0" xfId="1" applyNumberFormat="1" applyFont="1" applyBorder="1"/>
    <xf numFmtId="177" fontId="8" fillId="0" borderId="0" xfId="0" applyNumberFormat="1" applyFont="1"/>
    <xf numFmtId="0" fontId="21" fillId="2" borderId="0" xfId="6" applyFont="1" applyFill="1" applyBorder="1" applyAlignment="1"/>
    <xf numFmtId="184" fontId="8" fillId="0" borderId="0" xfId="9" applyNumberFormat="1" applyFont="1"/>
    <xf numFmtId="184" fontId="8" fillId="0" borderId="0" xfId="9" applyNumberFormat="1" applyFont="1" applyFill="1"/>
    <xf numFmtId="0" fontId="27" fillId="0" borderId="3" xfId="0" applyFont="1" applyFill="1" applyBorder="1"/>
    <xf numFmtId="170" fontId="0" fillId="0" borderId="0" xfId="0" applyNumberFormat="1" applyFont="1"/>
    <xf numFmtId="180" fontId="1" fillId="0" borderId="0" xfId="14" applyNumberFormat="1"/>
    <xf numFmtId="164" fontId="9" fillId="8" borderId="0" xfId="0" applyNumberFormat="1" applyFont="1" applyFill="1" applyBorder="1"/>
    <xf numFmtId="166" fontId="8" fillId="0" borderId="2" xfId="1" applyNumberFormat="1" applyFont="1" applyBorder="1"/>
    <xf numFmtId="3" fontId="8" fillId="0" borderId="2" xfId="0" applyNumberFormat="1" applyFont="1" applyBorder="1"/>
    <xf numFmtId="1" fontId="8" fillId="0" borderId="0" xfId="9" applyNumberFormat="1" applyFont="1"/>
    <xf numFmtId="1" fontId="8" fillId="0" borderId="0" xfId="9" applyNumberFormat="1" applyFont="1" applyFill="1"/>
    <xf numFmtId="165" fontId="8" fillId="0" borderId="2" xfId="0" applyNumberFormat="1" applyFont="1" applyBorder="1"/>
    <xf numFmtId="169" fontId="8" fillId="0" borderId="2" xfId="0" applyNumberFormat="1" applyFont="1" applyFill="1" applyBorder="1"/>
    <xf numFmtId="0" fontId="22" fillId="2" borderId="8" xfId="6" applyFont="1" applyFill="1" applyBorder="1" applyAlignment="1"/>
    <xf numFmtId="0" fontId="22" fillId="2" borderId="9" xfId="6" applyFont="1" applyFill="1" applyBorder="1" applyAlignment="1"/>
    <xf numFmtId="174" fontId="7" fillId="2" borderId="0" xfId="0" applyNumberFormat="1" applyFont="1" applyFill="1" applyAlignment="1"/>
    <xf numFmtId="3" fontId="7" fillId="2" borderId="0" xfId="0" applyNumberFormat="1" applyFont="1" applyFill="1" applyAlignment="1"/>
    <xf numFmtId="174" fontId="8" fillId="2" borderId="0" xfId="0" applyNumberFormat="1" applyFont="1" applyFill="1"/>
    <xf numFmtId="165" fontId="22" fillId="2" borderId="8" xfId="6" applyNumberFormat="1" applyFont="1" applyFill="1" applyBorder="1" applyAlignment="1"/>
    <xf numFmtId="165" fontId="22" fillId="2" borderId="9" xfId="6" applyNumberFormat="1" applyFont="1" applyFill="1" applyBorder="1" applyAlignment="1"/>
    <xf numFmtId="2" fontId="8" fillId="2" borderId="0" xfId="0" applyNumberFormat="1" applyFont="1" applyFill="1"/>
    <xf numFmtId="3" fontId="21" fillId="5" borderId="0" xfId="6" applyNumberFormat="1" applyFont="1" applyFill="1" applyBorder="1" applyAlignment="1">
      <alignment horizontal="center"/>
    </xf>
    <xf numFmtId="165" fontId="9" fillId="0" borderId="2" xfId="0" applyNumberFormat="1" applyFont="1" applyBorder="1"/>
    <xf numFmtId="0" fontId="9" fillId="0" borderId="0" xfId="0" applyFont="1" applyFill="1" applyBorder="1" applyAlignment="1">
      <alignment horizontal="center"/>
    </xf>
    <xf numFmtId="165" fontId="9" fillId="0" borderId="2" xfId="0" applyNumberFormat="1" applyFont="1" applyFill="1" applyBorder="1" applyAlignment="1">
      <alignment horizontal="center"/>
    </xf>
    <xf numFmtId="176" fontId="8" fillId="2" borderId="0" xfId="0" applyNumberFormat="1" applyFont="1" applyFill="1"/>
    <xf numFmtId="176" fontId="8" fillId="2" borderId="0" xfId="0" applyNumberFormat="1" applyFont="1" applyFill="1" applyBorder="1"/>
    <xf numFmtId="176" fontId="28" fillId="2" borderId="0" xfId="0" applyNumberFormat="1" applyFont="1" applyFill="1"/>
    <xf numFmtId="2" fontId="0" fillId="0" borderId="0" xfId="0" applyNumberFormat="1"/>
    <xf numFmtId="10" fontId="8" fillId="0" borderId="0" xfId="0" applyNumberFormat="1" applyFont="1" applyFill="1"/>
    <xf numFmtId="2" fontId="9" fillId="2" borderId="0" xfId="0" applyNumberFormat="1" applyFont="1" applyFill="1" applyBorder="1"/>
    <xf numFmtId="180" fontId="1" fillId="0" borderId="0" xfId="14" applyNumberFormat="1" applyFill="1"/>
    <xf numFmtId="1" fontId="0" fillId="0" borderId="0" xfId="0" applyNumberFormat="1"/>
    <xf numFmtId="0" fontId="9" fillId="0" borderId="3" xfId="0" applyFont="1" applyFill="1" applyBorder="1" applyAlignment="1">
      <alignment horizontal="center"/>
    </xf>
    <xf numFmtId="3" fontId="21" fillId="5" borderId="0" xfId="6" applyNumberFormat="1" applyFont="1" applyFill="1" applyBorder="1" applyAlignment="1">
      <alignment horizontal="center"/>
    </xf>
  </cellXfs>
  <cellStyles count="15">
    <cellStyle name="Normaali" xfId="0" builtinId="0"/>
    <cellStyle name="Normaali 2" xfId="2" xr:uid="{00000000-0005-0000-0000-000001000000}"/>
    <cellStyle name="Normaali 3" xfId="3" xr:uid="{00000000-0005-0000-0000-000002000000}"/>
    <cellStyle name="Normaali 4" xfId="4" xr:uid="{00000000-0005-0000-0000-000003000000}"/>
    <cellStyle name="Normaali 5" xfId="10" xr:uid="{00000000-0005-0000-0000-000004000000}"/>
    <cellStyle name="Normaali 6" xfId="11" xr:uid="{00000000-0005-0000-0000-000005000000}"/>
    <cellStyle name="Normaali 7" xfId="13" xr:uid="{00000000-0005-0000-0000-000006000000}"/>
    <cellStyle name="Normaali 8" xfId="8" xr:uid="{00000000-0005-0000-0000-000007000000}"/>
    <cellStyle name="Normaali 9" xfId="14" xr:uid="{00000000-0005-0000-0000-000008000000}"/>
    <cellStyle name="Normaali_A1" xfId="7" xr:uid="{00000000-0005-0000-0000-000009000000}"/>
    <cellStyle name="Normaali_Taul3" xfId="6" xr:uid="{00000000-0005-0000-0000-00000A000000}"/>
    <cellStyle name="Pilkku" xfId="9" builtinId="3"/>
    <cellStyle name="Pilkku 2" xfId="12" xr:uid="{00000000-0005-0000-0000-00000C000000}"/>
    <cellStyle name="Prosenttia" xfId="1" builtinId="5"/>
    <cellStyle name="Prosenttia 2" xfId="5" xr:uid="{00000000-0005-0000-0000-00000E000000}"/>
  </cellStyles>
  <dxfs count="1">
    <dxf>
      <font>
        <color rgb="FF9C0006"/>
      </font>
      <fill>
        <patternFill>
          <bgColor rgb="FFFFC7CE"/>
        </patternFill>
      </fill>
    </dxf>
  </dxfs>
  <tableStyles count="0" defaultTableStyle="TableStyleMedium2" defaultPivotStyle="PivotStyleLight16"/>
  <colors>
    <mruColors>
      <color rgb="FFFF00FF"/>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400" b="1" i="0" baseline="0">
                <a:effectLst/>
              </a:rPr>
              <a:t>Vuosikate, poistot ja nettoinvestoinnit, €/asukas</a:t>
            </a:r>
            <a:endParaRPr lang="fi-FI"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Painelaskelma!$B$75</c:f>
              <c:strCache>
                <c:ptCount val="1"/>
                <c:pt idx="0">
                  <c:v>Vuosikate</c:v>
                </c:pt>
              </c:strCache>
            </c:strRef>
          </c:tx>
          <c:spPr>
            <a:solidFill>
              <a:schemeClr val="accent1"/>
            </a:solidFill>
            <a:ln>
              <a:noFill/>
            </a:ln>
            <a:effectLst/>
          </c:spPr>
          <c:invertIfNegative val="0"/>
          <c:cat>
            <c:numRef>
              <c:f>Painelaskelma!$C$74:$L$74</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Painelaskelma!$C$75:$L$75</c:f>
              <c:numCache>
                <c:formatCode>#\ ##0_ ;[Red]\-#\ ##0\ </c:formatCode>
                <c:ptCount val="10"/>
                <c:pt idx="0">
                  <c:v>367.64795144157813</c:v>
                </c:pt>
                <c:pt idx="1">
                  <c:v>1078.4529170261437</c:v>
                </c:pt>
                <c:pt idx="2">
                  <c:v>210.69591005091866</c:v>
                </c:pt>
                <c:pt idx="3">
                  <c:v>191.60635543292349</c:v>
                </c:pt>
                <c:pt idx="4">
                  <c:v>398.64515698104725</c:v>
                </c:pt>
                <c:pt idx="5">
                  <c:v>443.94879791769978</c:v>
                </c:pt>
                <c:pt idx="6">
                  <c:v>-29.156707832937936</c:v>
                </c:pt>
                <c:pt idx="7">
                  <c:v>5.4041549957836832</c:v>
                </c:pt>
                <c:pt idx="8">
                  <c:v>56.114207994290069</c:v>
                </c:pt>
                <c:pt idx="9">
                  <c:v>170.42903070697326</c:v>
                </c:pt>
              </c:numCache>
            </c:numRef>
          </c:val>
          <c:extLst>
            <c:ext xmlns:c16="http://schemas.microsoft.com/office/drawing/2014/chart" uri="{C3380CC4-5D6E-409C-BE32-E72D297353CC}">
              <c16:uniqueId val="{00000000-ED3A-4DFD-98F0-B1096B854A2F}"/>
            </c:ext>
          </c:extLst>
        </c:ser>
        <c:dLbls>
          <c:showLegendKey val="0"/>
          <c:showVal val="0"/>
          <c:showCatName val="0"/>
          <c:showSerName val="0"/>
          <c:showPercent val="0"/>
          <c:showBubbleSize val="0"/>
        </c:dLbls>
        <c:gapWidth val="219"/>
        <c:overlap val="-27"/>
        <c:axId val="656609736"/>
        <c:axId val="656611048"/>
      </c:barChart>
      <c:lineChart>
        <c:grouping val="standard"/>
        <c:varyColors val="0"/>
        <c:ser>
          <c:idx val="1"/>
          <c:order val="1"/>
          <c:tx>
            <c:strRef>
              <c:f>Painelaskelma!$B$76</c:f>
              <c:strCache>
                <c:ptCount val="1"/>
                <c:pt idx="0">
                  <c:v>Poistot ja arvonalent.</c:v>
                </c:pt>
              </c:strCache>
            </c:strRef>
          </c:tx>
          <c:spPr>
            <a:ln w="28575" cap="rnd">
              <a:solidFill>
                <a:schemeClr val="accent2"/>
              </a:solidFill>
              <a:round/>
            </a:ln>
            <a:effectLst/>
          </c:spPr>
          <c:marker>
            <c:symbol val="none"/>
          </c:marker>
          <c:cat>
            <c:numRef>
              <c:f>Painelaskelma!$C$74:$L$74</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Painelaskelma!$C$76:$L$76</c:f>
              <c:numCache>
                <c:formatCode>#\ ##0_ ;[Red]\-#\ ##0\ </c:formatCode>
                <c:ptCount val="10"/>
                <c:pt idx="0">
                  <c:v>366.79817905918054</c:v>
                </c:pt>
                <c:pt idx="1">
                  <c:v>253.492770422793</c:v>
                </c:pt>
                <c:pt idx="2">
                  <c:v>264.1094376632052</c:v>
                </c:pt>
                <c:pt idx="3">
                  <c:v>283.05684635464098</c:v>
                </c:pt>
                <c:pt idx="4">
                  <c:v>366.27161292288935</c:v>
                </c:pt>
                <c:pt idx="5">
                  <c:v>396.34729033069283</c:v>
                </c:pt>
                <c:pt idx="6">
                  <c:v>417.34726179170622</c:v>
                </c:pt>
                <c:pt idx="7">
                  <c:v>410.02421616110126</c:v>
                </c:pt>
                <c:pt idx="8">
                  <c:v>425.88681385059249</c:v>
                </c:pt>
                <c:pt idx="9">
                  <c:v>439.19908457838926</c:v>
                </c:pt>
              </c:numCache>
            </c:numRef>
          </c:val>
          <c:smooth val="0"/>
          <c:extLst>
            <c:ext xmlns:c16="http://schemas.microsoft.com/office/drawing/2014/chart" uri="{C3380CC4-5D6E-409C-BE32-E72D297353CC}">
              <c16:uniqueId val="{00000001-ED3A-4DFD-98F0-B1096B854A2F}"/>
            </c:ext>
          </c:extLst>
        </c:ser>
        <c:ser>
          <c:idx val="2"/>
          <c:order val="2"/>
          <c:tx>
            <c:strRef>
              <c:f>Painelaskelma!$B$77</c:f>
              <c:strCache>
                <c:ptCount val="1"/>
                <c:pt idx="0">
                  <c:v>Nettoinvestoinnit</c:v>
                </c:pt>
              </c:strCache>
            </c:strRef>
          </c:tx>
          <c:spPr>
            <a:ln w="28575" cap="rnd">
              <a:solidFill>
                <a:schemeClr val="accent3"/>
              </a:solidFill>
              <a:round/>
            </a:ln>
            <a:effectLst/>
          </c:spPr>
          <c:marker>
            <c:symbol val="none"/>
          </c:marker>
          <c:cat>
            <c:numRef>
              <c:f>Painelaskelma!$C$74:$L$74</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Painelaskelma!$C$77:$L$77</c:f>
              <c:numCache>
                <c:formatCode>#\ ##0_ ;[Red]\-#\ ##0\ </c:formatCode>
                <c:ptCount val="10"/>
                <c:pt idx="0">
                  <c:v>311.38088012139605</c:v>
                </c:pt>
                <c:pt idx="1">
                  <c:v>585.93130376426086</c:v>
                </c:pt>
                <c:pt idx="2">
                  <c:v>1134.4966022955</c:v>
                </c:pt>
                <c:pt idx="3">
                  <c:v>1333.1224968129666</c:v>
                </c:pt>
                <c:pt idx="4">
                  <c:v>826.8662450472417</c:v>
                </c:pt>
                <c:pt idx="5">
                  <c:v>986.23009858021237</c:v>
                </c:pt>
                <c:pt idx="6">
                  <c:v>1035.7258470770819</c:v>
                </c:pt>
                <c:pt idx="7">
                  <c:v>1079.3192085920687</c:v>
                </c:pt>
                <c:pt idx="8">
                  <c:v>1134.443648801572</c:v>
                </c:pt>
                <c:pt idx="9">
                  <c:v>1181.5408608688979</c:v>
                </c:pt>
              </c:numCache>
            </c:numRef>
          </c:val>
          <c:smooth val="0"/>
          <c:extLst>
            <c:ext xmlns:c16="http://schemas.microsoft.com/office/drawing/2014/chart" uri="{C3380CC4-5D6E-409C-BE32-E72D297353CC}">
              <c16:uniqueId val="{00000002-ED3A-4DFD-98F0-B1096B854A2F}"/>
            </c:ext>
          </c:extLst>
        </c:ser>
        <c:dLbls>
          <c:showLegendKey val="0"/>
          <c:showVal val="0"/>
          <c:showCatName val="0"/>
          <c:showSerName val="0"/>
          <c:showPercent val="0"/>
          <c:showBubbleSize val="0"/>
        </c:dLbls>
        <c:marker val="1"/>
        <c:smooth val="0"/>
        <c:axId val="656609736"/>
        <c:axId val="656611048"/>
      </c:lineChart>
      <c:catAx>
        <c:axId val="656609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656611048"/>
        <c:crosses val="autoZero"/>
        <c:auto val="1"/>
        <c:lblAlgn val="ctr"/>
        <c:lblOffset val="100"/>
        <c:noMultiLvlLbl val="0"/>
      </c:catAx>
      <c:valAx>
        <c:axId val="656611048"/>
        <c:scaling>
          <c:orientation val="minMax"/>
        </c:scaling>
        <c:delete val="0"/>
        <c:axPos val="l"/>
        <c:majorGridlines>
          <c:spPr>
            <a:ln w="9525" cap="flat" cmpd="sng" algn="ctr">
              <a:solidFill>
                <a:schemeClr val="tx1">
                  <a:lumMod val="15000"/>
                  <a:lumOff val="85000"/>
                </a:schemeClr>
              </a:solidFill>
              <a:round/>
            </a:ln>
            <a:effectLst/>
          </c:spPr>
        </c:majorGridlines>
        <c:numFmt formatCode="#\ ##0_ ;[Red]\-#\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656609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t>Toimintakate €/as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lineChart>
        <c:grouping val="standard"/>
        <c:varyColors val="0"/>
        <c:ser>
          <c:idx val="2"/>
          <c:order val="1"/>
          <c:tx>
            <c:strRef>
              <c:f>Taulukot!$B$30</c:f>
              <c:strCache>
                <c:ptCount val="1"/>
                <c:pt idx="0">
                  <c:v>yli 100 000 asukasta</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Taulukot!$N$29:$V$29</c15:sqref>
                  </c15:fullRef>
                </c:ext>
              </c:extLst>
              <c:f>(Taulukot!$N$29:$O$29,Taulukot!$Q$29:$V$29)</c:f>
              <c:numCache>
                <c:formatCode>General</c:formatCode>
                <c:ptCount val="8"/>
                <c:pt idx="0">
                  <c:v>2019</c:v>
                </c:pt>
                <c:pt idx="1">
                  <c:v>2020</c:v>
                </c:pt>
                <c:pt idx="2">
                  <c:v>2022</c:v>
                </c:pt>
                <c:pt idx="3">
                  <c:v>2023</c:v>
                </c:pt>
                <c:pt idx="4">
                  <c:v>2024</c:v>
                </c:pt>
                <c:pt idx="5">
                  <c:v>2025</c:v>
                </c:pt>
                <c:pt idx="6">
                  <c:v>2026</c:v>
                </c:pt>
                <c:pt idx="7">
                  <c:v>2027</c:v>
                </c:pt>
              </c:numCache>
            </c:numRef>
          </c:cat>
          <c:val>
            <c:numRef>
              <c:extLst>
                <c:ext xmlns:c15="http://schemas.microsoft.com/office/drawing/2012/chart" uri="{02D57815-91ED-43cb-92C2-25804820EDAC}">
                  <c15:fullRef>
                    <c15:sqref>Taulukot!$N$30:$V$30</c15:sqref>
                  </c15:fullRef>
                </c:ext>
              </c:extLst>
              <c:f>(Taulukot!$N$30:$O$30,Taulukot!$Q$30:$V$30)</c:f>
              <c:numCache>
                <c:formatCode>#\ ##0_ ;[Red]\-#\ ##0\ </c:formatCode>
                <c:ptCount val="8"/>
                <c:pt idx="0">
                  <c:v>-5047.6679585886541</c:v>
                </c:pt>
                <c:pt idx="1">
                  <c:v>-5261.9067197761888</c:v>
                </c:pt>
                <c:pt idx="2">
                  <c:v>-5707.3532387430332</c:v>
                </c:pt>
                <c:pt idx="3">
                  <c:v>-2499.2993959016039</c:v>
                </c:pt>
                <c:pt idx="4">
                  <c:v>-2592.6784224028206</c:v>
                </c:pt>
                <c:pt idx="5">
                  <c:v>-2897.4008904155276</c:v>
                </c:pt>
                <c:pt idx="6">
                  <c:v>-3011.552338148208</c:v>
                </c:pt>
                <c:pt idx="7">
                  <c:v>-3119.1150143504083</c:v>
                </c:pt>
              </c:numCache>
            </c:numRef>
          </c:val>
          <c:smooth val="0"/>
          <c:extLst>
            <c:ext xmlns:c16="http://schemas.microsoft.com/office/drawing/2014/chart" uri="{C3380CC4-5D6E-409C-BE32-E72D297353CC}">
              <c16:uniqueId val="{00000001-2ED8-487C-AA50-7A7F3C51C6F2}"/>
            </c:ext>
          </c:extLst>
        </c:ser>
        <c:ser>
          <c:idx val="3"/>
          <c:order val="2"/>
          <c:tx>
            <c:strRef>
              <c:f>Taulukot!$B$31</c:f>
              <c:strCache>
                <c:ptCount val="1"/>
                <c:pt idx="0">
                  <c:v>40 001 – 100 000 </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Taulukot!$N$29:$V$29</c15:sqref>
                  </c15:fullRef>
                </c:ext>
              </c:extLst>
              <c:f>(Taulukot!$N$29:$O$29,Taulukot!$Q$29:$V$29)</c:f>
              <c:numCache>
                <c:formatCode>General</c:formatCode>
                <c:ptCount val="8"/>
                <c:pt idx="0">
                  <c:v>2019</c:v>
                </c:pt>
                <c:pt idx="1">
                  <c:v>2020</c:v>
                </c:pt>
                <c:pt idx="2">
                  <c:v>2022</c:v>
                </c:pt>
                <c:pt idx="3">
                  <c:v>2023</c:v>
                </c:pt>
                <c:pt idx="4">
                  <c:v>2024</c:v>
                </c:pt>
                <c:pt idx="5">
                  <c:v>2025</c:v>
                </c:pt>
                <c:pt idx="6">
                  <c:v>2026</c:v>
                </c:pt>
                <c:pt idx="7">
                  <c:v>2027</c:v>
                </c:pt>
              </c:numCache>
            </c:numRef>
          </c:cat>
          <c:val>
            <c:numRef>
              <c:extLst>
                <c:ext xmlns:c15="http://schemas.microsoft.com/office/drawing/2012/chart" uri="{02D57815-91ED-43cb-92C2-25804820EDAC}">
                  <c15:fullRef>
                    <c15:sqref>Taulukot!$N$31:$V$31</c15:sqref>
                  </c15:fullRef>
                </c:ext>
              </c:extLst>
              <c:f>(Taulukot!$N$31:$O$31,Taulukot!$Q$31:$V$31)</c:f>
              <c:numCache>
                <c:formatCode>#\ ##0_ ;[Red]\-#\ ##0\ </c:formatCode>
                <c:ptCount val="8"/>
                <c:pt idx="0">
                  <c:v>-5603.6924013455664</c:v>
                </c:pt>
                <c:pt idx="1">
                  <c:v>-5515.6952121407339</c:v>
                </c:pt>
                <c:pt idx="2">
                  <c:v>-6058.6759129164484</c:v>
                </c:pt>
                <c:pt idx="3">
                  <c:v>-2322.9834188906757</c:v>
                </c:pt>
                <c:pt idx="4">
                  <c:v>-2381.6311737822139</c:v>
                </c:pt>
                <c:pt idx="5">
                  <c:v>-2678.6125495866845</c:v>
                </c:pt>
                <c:pt idx="6">
                  <c:v>-2771.4982577850406</c:v>
                </c:pt>
                <c:pt idx="7">
                  <c:v>-2861.3367634410311</c:v>
                </c:pt>
              </c:numCache>
            </c:numRef>
          </c:val>
          <c:smooth val="0"/>
          <c:extLst>
            <c:ext xmlns:c16="http://schemas.microsoft.com/office/drawing/2014/chart" uri="{C3380CC4-5D6E-409C-BE32-E72D297353CC}">
              <c16:uniqueId val="{00000002-2ED8-487C-AA50-7A7F3C51C6F2}"/>
            </c:ext>
          </c:extLst>
        </c:ser>
        <c:ser>
          <c:idx val="4"/>
          <c:order val="3"/>
          <c:tx>
            <c:strRef>
              <c:f>Taulukot!$B$32</c:f>
              <c:strCache>
                <c:ptCount val="1"/>
                <c:pt idx="0">
                  <c:v>20 001 – 40 000</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Taulukot!$N$29:$V$29</c15:sqref>
                  </c15:fullRef>
                </c:ext>
              </c:extLst>
              <c:f>(Taulukot!$N$29:$O$29,Taulukot!$Q$29:$V$29)</c:f>
              <c:numCache>
                <c:formatCode>General</c:formatCode>
                <c:ptCount val="8"/>
                <c:pt idx="0">
                  <c:v>2019</c:v>
                </c:pt>
                <c:pt idx="1">
                  <c:v>2020</c:v>
                </c:pt>
                <c:pt idx="2">
                  <c:v>2022</c:v>
                </c:pt>
                <c:pt idx="3">
                  <c:v>2023</c:v>
                </c:pt>
                <c:pt idx="4">
                  <c:v>2024</c:v>
                </c:pt>
                <c:pt idx="5">
                  <c:v>2025</c:v>
                </c:pt>
                <c:pt idx="6">
                  <c:v>2026</c:v>
                </c:pt>
                <c:pt idx="7">
                  <c:v>2027</c:v>
                </c:pt>
              </c:numCache>
            </c:numRef>
          </c:cat>
          <c:val>
            <c:numRef>
              <c:extLst>
                <c:ext xmlns:c15="http://schemas.microsoft.com/office/drawing/2012/chart" uri="{02D57815-91ED-43cb-92C2-25804820EDAC}">
                  <c15:fullRef>
                    <c15:sqref>Taulukot!$N$32:$V$32</c15:sqref>
                  </c15:fullRef>
                </c:ext>
              </c:extLst>
              <c:f>(Taulukot!$N$32:$O$32,Taulukot!$Q$32:$V$32)</c:f>
              <c:numCache>
                <c:formatCode>#\ ##0_ ;[Red]\-#\ ##0\ </c:formatCode>
                <c:ptCount val="8"/>
                <c:pt idx="0">
                  <c:v>-5582.2256608450452</c:v>
                </c:pt>
                <c:pt idx="1">
                  <c:v>-6155.1598683933016</c:v>
                </c:pt>
                <c:pt idx="2">
                  <c:v>-6726.7807862777181</c:v>
                </c:pt>
                <c:pt idx="3">
                  <c:v>-2751.7099899632644</c:v>
                </c:pt>
                <c:pt idx="4">
                  <c:v>-2878.7214929797924</c:v>
                </c:pt>
                <c:pt idx="5">
                  <c:v>-3128.7301989206894</c:v>
                </c:pt>
                <c:pt idx="6">
                  <c:v>-3226.9355165046436</c:v>
                </c:pt>
                <c:pt idx="7">
                  <c:v>-3324.7940278991073</c:v>
                </c:pt>
              </c:numCache>
            </c:numRef>
          </c:val>
          <c:smooth val="0"/>
          <c:extLst>
            <c:ext xmlns:c16="http://schemas.microsoft.com/office/drawing/2014/chart" uri="{C3380CC4-5D6E-409C-BE32-E72D297353CC}">
              <c16:uniqueId val="{00000003-2ED8-487C-AA50-7A7F3C51C6F2}"/>
            </c:ext>
          </c:extLst>
        </c:ser>
        <c:ser>
          <c:idx val="5"/>
          <c:order val="4"/>
          <c:tx>
            <c:strRef>
              <c:f>Taulukot!$B$33</c:f>
              <c:strCache>
                <c:ptCount val="1"/>
                <c:pt idx="0">
                  <c:v>10 001 – 20 000 </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Taulukot!$N$29:$V$29</c15:sqref>
                  </c15:fullRef>
                </c:ext>
              </c:extLst>
              <c:f>(Taulukot!$N$29:$O$29,Taulukot!$Q$29:$V$29)</c:f>
              <c:numCache>
                <c:formatCode>General</c:formatCode>
                <c:ptCount val="8"/>
                <c:pt idx="0">
                  <c:v>2019</c:v>
                </c:pt>
                <c:pt idx="1">
                  <c:v>2020</c:v>
                </c:pt>
                <c:pt idx="2">
                  <c:v>2022</c:v>
                </c:pt>
                <c:pt idx="3">
                  <c:v>2023</c:v>
                </c:pt>
                <c:pt idx="4">
                  <c:v>2024</c:v>
                </c:pt>
                <c:pt idx="5">
                  <c:v>2025</c:v>
                </c:pt>
                <c:pt idx="6">
                  <c:v>2026</c:v>
                </c:pt>
                <c:pt idx="7">
                  <c:v>2027</c:v>
                </c:pt>
              </c:numCache>
            </c:numRef>
          </c:cat>
          <c:val>
            <c:numRef>
              <c:extLst>
                <c:ext xmlns:c15="http://schemas.microsoft.com/office/drawing/2012/chart" uri="{02D57815-91ED-43cb-92C2-25804820EDAC}">
                  <c15:fullRef>
                    <c15:sqref>Taulukot!$N$33:$V$33</c15:sqref>
                  </c15:fullRef>
                </c:ext>
              </c:extLst>
              <c:f>(Taulukot!$N$33:$O$33,Taulukot!$Q$33:$V$33)</c:f>
              <c:numCache>
                <c:formatCode>#\ ##0_ ;[Red]\-#\ ##0\ </c:formatCode>
                <c:ptCount val="8"/>
                <c:pt idx="0">
                  <c:v>-5708.2204564756912</c:v>
                </c:pt>
                <c:pt idx="1">
                  <c:v>-5720.5405835227384</c:v>
                </c:pt>
                <c:pt idx="2">
                  <c:v>-6378.3666394472484</c:v>
                </c:pt>
                <c:pt idx="3">
                  <c:v>-2630.4926584532559</c:v>
                </c:pt>
                <c:pt idx="4">
                  <c:v>-2701.0652710930158</c:v>
                </c:pt>
                <c:pt idx="5">
                  <c:v>-2985.1782803735905</c:v>
                </c:pt>
                <c:pt idx="6">
                  <c:v>-3084.3470193390131</c:v>
                </c:pt>
                <c:pt idx="7">
                  <c:v>-3178.0917271728454</c:v>
                </c:pt>
              </c:numCache>
            </c:numRef>
          </c:val>
          <c:smooth val="0"/>
          <c:extLst>
            <c:ext xmlns:c16="http://schemas.microsoft.com/office/drawing/2014/chart" uri="{C3380CC4-5D6E-409C-BE32-E72D297353CC}">
              <c16:uniqueId val="{00000004-2ED8-487C-AA50-7A7F3C51C6F2}"/>
            </c:ext>
          </c:extLst>
        </c:ser>
        <c:ser>
          <c:idx val="6"/>
          <c:order val="5"/>
          <c:tx>
            <c:strRef>
              <c:f>Taulukot!$B$34</c:f>
              <c:strCache>
                <c:ptCount val="1"/>
                <c:pt idx="0">
                  <c:v>5 001 – 10 000 </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Taulukot!$N$29:$V$29</c15:sqref>
                  </c15:fullRef>
                </c:ext>
              </c:extLst>
              <c:f>(Taulukot!$N$29:$O$29,Taulukot!$Q$29:$V$29)</c:f>
              <c:numCache>
                <c:formatCode>General</c:formatCode>
                <c:ptCount val="8"/>
                <c:pt idx="0">
                  <c:v>2019</c:v>
                </c:pt>
                <c:pt idx="1">
                  <c:v>2020</c:v>
                </c:pt>
                <c:pt idx="2">
                  <c:v>2022</c:v>
                </c:pt>
                <c:pt idx="3">
                  <c:v>2023</c:v>
                </c:pt>
                <c:pt idx="4">
                  <c:v>2024</c:v>
                </c:pt>
                <c:pt idx="5">
                  <c:v>2025</c:v>
                </c:pt>
                <c:pt idx="6">
                  <c:v>2026</c:v>
                </c:pt>
                <c:pt idx="7">
                  <c:v>2027</c:v>
                </c:pt>
              </c:numCache>
            </c:numRef>
          </c:cat>
          <c:val>
            <c:numRef>
              <c:extLst>
                <c:ext xmlns:c15="http://schemas.microsoft.com/office/drawing/2012/chart" uri="{02D57815-91ED-43cb-92C2-25804820EDAC}">
                  <c15:fullRef>
                    <c15:sqref>Taulukot!$N$34:$V$34</c15:sqref>
                  </c15:fullRef>
                </c:ext>
              </c:extLst>
              <c:f>(Taulukot!$N$34:$O$34,Taulukot!$Q$34:$V$34)</c:f>
              <c:numCache>
                <c:formatCode>#\ ##0_ ;[Red]\-#\ ##0\ </c:formatCode>
                <c:ptCount val="8"/>
                <c:pt idx="0">
                  <c:v>-6260.2291264250007</c:v>
                </c:pt>
                <c:pt idx="1">
                  <c:v>-6282.3981117466537</c:v>
                </c:pt>
                <c:pt idx="2">
                  <c:v>-6975.4891247982105</c:v>
                </c:pt>
                <c:pt idx="3">
                  <c:v>-2775.655550209322</c:v>
                </c:pt>
                <c:pt idx="4">
                  <c:v>-2859.7321752277694</c:v>
                </c:pt>
                <c:pt idx="5">
                  <c:v>-3141.5817331125795</c:v>
                </c:pt>
                <c:pt idx="6">
                  <c:v>-3247.7395372184064</c:v>
                </c:pt>
                <c:pt idx="7">
                  <c:v>-3357.9624303920673</c:v>
                </c:pt>
              </c:numCache>
            </c:numRef>
          </c:val>
          <c:smooth val="0"/>
          <c:extLst>
            <c:ext xmlns:c16="http://schemas.microsoft.com/office/drawing/2014/chart" uri="{C3380CC4-5D6E-409C-BE32-E72D297353CC}">
              <c16:uniqueId val="{00000005-2ED8-487C-AA50-7A7F3C51C6F2}"/>
            </c:ext>
          </c:extLst>
        </c:ser>
        <c:ser>
          <c:idx val="7"/>
          <c:order val="6"/>
          <c:tx>
            <c:strRef>
              <c:f>Taulukot!$B$35</c:f>
              <c:strCache>
                <c:ptCount val="1"/>
                <c:pt idx="0">
                  <c:v>2 001 – 5 000 </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Taulukot!$N$29:$V$29</c15:sqref>
                  </c15:fullRef>
                </c:ext>
              </c:extLst>
              <c:f>(Taulukot!$N$29:$O$29,Taulukot!$Q$29:$V$29)</c:f>
              <c:numCache>
                <c:formatCode>General</c:formatCode>
                <c:ptCount val="8"/>
                <c:pt idx="0">
                  <c:v>2019</c:v>
                </c:pt>
                <c:pt idx="1">
                  <c:v>2020</c:v>
                </c:pt>
                <c:pt idx="2">
                  <c:v>2022</c:v>
                </c:pt>
                <c:pt idx="3">
                  <c:v>2023</c:v>
                </c:pt>
                <c:pt idx="4">
                  <c:v>2024</c:v>
                </c:pt>
                <c:pt idx="5">
                  <c:v>2025</c:v>
                </c:pt>
                <c:pt idx="6">
                  <c:v>2026</c:v>
                </c:pt>
                <c:pt idx="7">
                  <c:v>2027</c:v>
                </c:pt>
              </c:numCache>
            </c:numRef>
          </c:cat>
          <c:val>
            <c:numRef>
              <c:extLst>
                <c:ext xmlns:c15="http://schemas.microsoft.com/office/drawing/2012/chart" uri="{02D57815-91ED-43cb-92C2-25804820EDAC}">
                  <c15:fullRef>
                    <c15:sqref>Taulukot!$N$35:$V$35</c15:sqref>
                  </c15:fullRef>
                </c:ext>
              </c:extLst>
              <c:f>(Taulukot!$N$35:$O$35,Taulukot!$Q$35:$V$35)</c:f>
              <c:numCache>
                <c:formatCode>#\ ##0_ ;[Red]\-#\ ##0\ </c:formatCode>
                <c:ptCount val="8"/>
                <c:pt idx="0">
                  <c:v>-6683.1187143878869</c:v>
                </c:pt>
                <c:pt idx="1">
                  <c:v>-6798.9407421692058</c:v>
                </c:pt>
                <c:pt idx="2">
                  <c:v>-7571.4276612058602</c:v>
                </c:pt>
                <c:pt idx="3">
                  <c:v>-2861.0309529323467</c:v>
                </c:pt>
                <c:pt idx="4">
                  <c:v>-2957.9558477522728</c:v>
                </c:pt>
                <c:pt idx="5">
                  <c:v>-3365.9573958606943</c:v>
                </c:pt>
                <c:pt idx="6">
                  <c:v>-3538.3212648802519</c:v>
                </c:pt>
                <c:pt idx="7">
                  <c:v>-3701.0003712753728</c:v>
                </c:pt>
              </c:numCache>
            </c:numRef>
          </c:val>
          <c:smooth val="0"/>
          <c:extLst>
            <c:ext xmlns:c16="http://schemas.microsoft.com/office/drawing/2014/chart" uri="{C3380CC4-5D6E-409C-BE32-E72D297353CC}">
              <c16:uniqueId val="{00000006-2ED8-487C-AA50-7A7F3C51C6F2}"/>
            </c:ext>
          </c:extLst>
        </c:ser>
        <c:ser>
          <c:idx val="8"/>
          <c:order val="7"/>
          <c:tx>
            <c:strRef>
              <c:f>Taulukot!$B$36</c:f>
              <c:strCache>
                <c:ptCount val="1"/>
                <c:pt idx="0">
                  <c:v>alle 2 000 </c:v>
                </c:pt>
              </c:strCache>
            </c:strRef>
          </c:tx>
          <c:spPr>
            <a:ln w="28575" cap="rnd">
              <a:solidFill>
                <a:schemeClr val="accent3">
                  <a:lumMod val="60000"/>
                </a:schemeClr>
              </a:solidFill>
              <a:round/>
            </a:ln>
            <a:effectLst/>
          </c:spPr>
          <c:marker>
            <c:symbol val="none"/>
          </c:marker>
          <c:cat>
            <c:numRef>
              <c:extLst>
                <c:ext xmlns:c15="http://schemas.microsoft.com/office/drawing/2012/chart" uri="{02D57815-91ED-43cb-92C2-25804820EDAC}">
                  <c15:fullRef>
                    <c15:sqref>Taulukot!$N$29:$V$29</c15:sqref>
                  </c15:fullRef>
                </c:ext>
              </c:extLst>
              <c:f>(Taulukot!$N$29:$O$29,Taulukot!$Q$29:$V$29)</c:f>
              <c:numCache>
                <c:formatCode>General</c:formatCode>
                <c:ptCount val="8"/>
                <c:pt idx="0">
                  <c:v>2019</c:v>
                </c:pt>
                <c:pt idx="1">
                  <c:v>2020</c:v>
                </c:pt>
                <c:pt idx="2">
                  <c:v>2022</c:v>
                </c:pt>
                <c:pt idx="3">
                  <c:v>2023</c:v>
                </c:pt>
                <c:pt idx="4">
                  <c:v>2024</c:v>
                </c:pt>
                <c:pt idx="5">
                  <c:v>2025</c:v>
                </c:pt>
                <c:pt idx="6">
                  <c:v>2026</c:v>
                </c:pt>
                <c:pt idx="7">
                  <c:v>2027</c:v>
                </c:pt>
              </c:numCache>
            </c:numRef>
          </c:cat>
          <c:val>
            <c:numRef>
              <c:extLst>
                <c:ext xmlns:c15="http://schemas.microsoft.com/office/drawing/2012/chart" uri="{02D57815-91ED-43cb-92C2-25804820EDAC}">
                  <c15:fullRef>
                    <c15:sqref>Taulukot!$N$36:$V$36</c15:sqref>
                  </c15:fullRef>
                </c:ext>
              </c:extLst>
              <c:f>(Taulukot!$N$36:$O$36,Taulukot!$Q$36:$V$36)</c:f>
              <c:numCache>
                <c:formatCode>#\ ##0_ ;[Red]\-#\ ##0\ </c:formatCode>
                <c:ptCount val="8"/>
                <c:pt idx="0">
                  <c:v>-7116.5207641554189</c:v>
                </c:pt>
                <c:pt idx="1">
                  <c:v>-6210.5851084318783</c:v>
                </c:pt>
                <c:pt idx="2">
                  <c:v>-7054.695403552445</c:v>
                </c:pt>
                <c:pt idx="3">
                  <c:v>-2705.4263715159077</c:v>
                </c:pt>
                <c:pt idx="4">
                  <c:v>-2707.3430911742812</c:v>
                </c:pt>
                <c:pt idx="5">
                  <c:v>-3126.2947343554974</c:v>
                </c:pt>
                <c:pt idx="6">
                  <c:v>-3277.2891493824395</c:v>
                </c:pt>
                <c:pt idx="7">
                  <c:v>-3429.0837122072207</c:v>
                </c:pt>
              </c:numCache>
            </c:numRef>
          </c:val>
          <c:smooth val="0"/>
          <c:extLst>
            <c:ext xmlns:c16="http://schemas.microsoft.com/office/drawing/2014/chart" uri="{C3380CC4-5D6E-409C-BE32-E72D297353CC}">
              <c16:uniqueId val="{00000007-2ED8-487C-AA50-7A7F3C51C6F2}"/>
            </c:ext>
          </c:extLst>
        </c:ser>
        <c:ser>
          <c:idx val="0"/>
          <c:order val="8"/>
          <c:tx>
            <c:strRef>
              <c:f>Taulukot!$B$37</c:f>
              <c:strCache>
                <c:ptCount val="1"/>
                <c:pt idx="0">
                  <c:v>Manner-Suomen kunnat yhteensä</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Taulukot!$N$29:$V$29</c15:sqref>
                  </c15:fullRef>
                </c:ext>
              </c:extLst>
              <c:f>(Taulukot!$N$29:$O$29,Taulukot!$Q$29:$V$29)</c:f>
              <c:numCache>
                <c:formatCode>General</c:formatCode>
                <c:ptCount val="8"/>
                <c:pt idx="0">
                  <c:v>2019</c:v>
                </c:pt>
                <c:pt idx="1">
                  <c:v>2020</c:v>
                </c:pt>
                <c:pt idx="2">
                  <c:v>2022</c:v>
                </c:pt>
                <c:pt idx="3">
                  <c:v>2023</c:v>
                </c:pt>
                <c:pt idx="4">
                  <c:v>2024</c:v>
                </c:pt>
                <c:pt idx="5">
                  <c:v>2025</c:v>
                </c:pt>
                <c:pt idx="6">
                  <c:v>2026</c:v>
                </c:pt>
                <c:pt idx="7">
                  <c:v>2027</c:v>
                </c:pt>
              </c:numCache>
            </c:numRef>
          </c:cat>
          <c:val>
            <c:numRef>
              <c:extLst>
                <c:ext xmlns:c15="http://schemas.microsoft.com/office/drawing/2012/chart" uri="{02D57815-91ED-43cb-92C2-25804820EDAC}">
                  <c15:fullRef>
                    <c15:sqref>Taulukot!$N$37:$V$37</c15:sqref>
                  </c15:fullRef>
                </c:ext>
              </c:extLst>
              <c:f>(Taulukot!$N$37:$O$37,Taulukot!$Q$37:$V$37)</c:f>
              <c:numCache>
                <c:formatCode>#\ ##0_ ;[Red]\-#\ ##0\ </c:formatCode>
                <c:ptCount val="8"/>
                <c:pt idx="0">
                  <c:v>-5524.0548108529883</c:v>
                </c:pt>
                <c:pt idx="1">
                  <c:v>-5672.8170542387761</c:v>
                </c:pt>
                <c:pt idx="2">
                  <c:v>-6215.0699574617738</c:v>
                </c:pt>
                <c:pt idx="3">
                  <c:v>-2560.2775909127613</c:v>
                </c:pt>
                <c:pt idx="4">
                  <c:v>-2647.0514141044036</c:v>
                </c:pt>
                <c:pt idx="5">
                  <c:v>-2944.0242956966213</c:v>
                </c:pt>
                <c:pt idx="6">
                  <c:v>-3052.1819109802641</c:v>
                </c:pt>
                <c:pt idx="7">
                  <c:v>-3156.2652806805463</c:v>
                </c:pt>
              </c:numCache>
            </c:numRef>
          </c:val>
          <c:smooth val="0"/>
          <c:extLst>
            <c:ext xmlns:c16="http://schemas.microsoft.com/office/drawing/2014/chart" uri="{C3380CC4-5D6E-409C-BE32-E72D297353CC}">
              <c16:uniqueId val="{00000000-E04C-4924-BC90-FA448C683ABD}"/>
            </c:ext>
          </c:extLst>
        </c:ser>
        <c:dLbls>
          <c:showLegendKey val="0"/>
          <c:showVal val="0"/>
          <c:showCatName val="0"/>
          <c:showSerName val="0"/>
          <c:showPercent val="0"/>
          <c:showBubbleSize val="0"/>
        </c:dLbls>
        <c:smooth val="0"/>
        <c:axId val="895670496"/>
        <c:axId val="895671152"/>
        <c:extLst>
          <c:ext xmlns:c15="http://schemas.microsoft.com/office/drawing/2012/chart" uri="{02D57815-91ED-43cb-92C2-25804820EDAC}">
            <c15:filteredLineSeries>
              <c15:ser>
                <c:idx val="1"/>
                <c:order val="0"/>
                <c:tx>
                  <c:strRef>
                    <c:extLst>
                      <c:ext uri="{02D57815-91ED-43cb-92C2-25804820EDAC}">
                        <c15:formulaRef>
                          <c15:sqref>Taulukot!$B$29</c15:sqref>
                        </c15:formulaRef>
                      </c:ext>
                    </c:extLst>
                    <c:strCache>
                      <c:ptCount val="1"/>
                      <c:pt idx="0">
                        <c:v>Toimintakate 1000 €</c:v>
                      </c:pt>
                    </c:strCache>
                  </c:strRef>
                </c:tx>
                <c:spPr>
                  <a:ln w="28575" cap="rnd">
                    <a:solidFill>
                      <a:schemeClr val="accent2"/>
                    </a:solidFill>
                    <a:round/>
                  </a:ln>
                  <a:effectLst/>
                </c:spPr>
                <c:marker>
                  <c:symbol val="none"/>
                </c:marker>
                <c:cat>
                  <c:numRef>
                    <c:extLst>
                      <c:ext uri="{02D57815-91ED-43cb-92C2-25804820EDAC}">
                        <c15:fullRef>
                          <c15:sqref>Taulukot!$N$29:$V$29</c15:sqref>
                        </c15:fullRef>
                        <c15:formulaRef>
                          <c15:sqref>(Taulukot!$N$29:$O$29,Taulukot!$Q$29:$V$29)</c15:sqref>
                        </c15:formulaRef>
                      </c:ext>
                    </c:extLst>
                    <c:numCache>
                      <c:formatCode>General</c:formatCode>
                      <c:ptCount val="8"/>
                      <c:pt idx="0">
                        <c:v>2019</c:v>
                      </c:pt>
                      <c:pt idx="1">
                        <c:v>2020</c:v>
                      </c:pt>
                      <c:pt idx="2">
                        <c:v>2022</c:v>
                      </c:pt>
                      <c:pt idx="3">
                        <c:v>2023</c:v>
                      </c:pt>
                      <c:pt idx="4">
                        <c:v>2024</c:v>
                      </c:pt>
                      <c:pt idx="5">
                        <c:v>2025</c:v>
                      </c:pt>
                      <c:pt idx="6">
                        <c:v>2026</c:v>
                      </c:pt>
                      <c:pt idx="7">
                        <c:v>2027</c:v>
                      </c:pt>
                    </c:numCache>
                  </c:numRef>
                </c:cat>
                <c:val>
                  <c:numRef>
                    <c:extLst>
                      <c:ext uri="{02D57815-91ED-43cb-92C2-25804820EDAC}">
                        <c15:fullRef>
                          <c15:sqref>Taulukot!$N$29:$V$29</c15:sqref>
                        </c15:fullRef>
                        <c15:formulaRef>
                          <c15:sqref>(Taulukot!$N$29:$O$29,Taulukot!$Q$29:$V$29)</c15:sqref>
                        </c15:formulaRef>
                      </c:ext>
                    </c:extLst>
                    <c:numCache>
                      <c:formatCode>General</c:formatCode>
                      <c:ptCount val="8"/>
                      <c:pt idx="0">
                        <c:v>2019</c:v>
                      </c:pt>
                      <c:pt idx="1">
                        <c:v>2020</c:v>
                      </c:pt>
                      <c:pt idx="2">
                        <c:v>2022</c:v>
                      </c:pt>
                      <c:pt idx="3">
                        <c:v>2023</c:v>
                      </c:pt>
                      <c:pt idx="4">
                        <c:v>2024</c:v>
                      </c:pt>
                      <c:pt idx="5">
                        <c:v>2025</c:v>
                      </c:pt>
                      <c:pt idx="6">
                        <c:v>2026</c:v>
                      </c:pt>
                      <c:pt idx="7">
                        <c:v>2027</c:v>
                      </c:pt>
                    </c:numCache>
                  </c:numRef>
                </c:val>
                <c:smooth val="0"/>
                <c:extLst>
                  <c:ext xmlns:c16="http://schemas.microsoft.com/office/drawing/2014/chart" uri="{C3380CC4-5D6E-409C-BE32-E72D297353CC}">
                    <c16:uniqueId val="{00000000-2ED8-487C-AA50-7A7F3C51C6F2}"/>
                  </c:ext>
                </c:extLst>
              </c15:ser>
            </c15:filteredLineSeries>
          </c:ext>
        </c:extLst>
      </c:lineChart>
      <c:catAx>
        <c:axId val="8956704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95671152"/>
        <c:crosses val="autoZero"/>
        <c:auto val="1"/>
        <c:lblAlgn val="ctr"/>
        <c:lblOffset val="100"/>
        <c:noMultiLvlLbl val="0"/>
      </c:catAx>
      <c:valAx>
        <c:axId val="895671152"/>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 ##0_ ;[Red]\-#\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95670496"/>
        <c:crosses val="autoZero"/>
        <c:crossBetween val="between"/>
      </c:valAx>
      <c:spPr>
        <a:noFill/>
        <a:ln>
          <a:noFill/>
        </a:ln>
        <a:effectLst/>
      </c:spPr>
    </c:plotArea>
    <c:legend>
      <c:legendPos val="b"/>
      <c:layout>
        <c:manualLayout>
          <c:xMode val="edge"/>
          <c:yMode val="edge"/>
          <c:x val="6.4582644425164107E-2"/>
          <c:y val="0.87578726226971848"/>
          <c:w val="0.81925444461212016"/>
          <c:h val="9.207776222832958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t>Verotulot €/as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lineChart>
        <c:grouping val="standard"/>
        <c:varyColors val="0"/>
        <c:ser>
          <c:idx val="3"/>
          <c:order val="1"/>
          <c:tx>
            <c:strRef>
              <c:f>Taulukot!$B$42</c:f>
              <c:strCache>
                <c:ptCount val="1"/>
                <c:pt idx="0">
                  <c:v>yli 100 000 asukasta</c:v>
                </c:pt>
              </c:strCache>
            </c:strRef>
          </c:tx>
          <c:spPr>
            <a:ln w="28575" cap="rnd">
              <a:solidFill>
                <a:schemeClr val="accent4"/>
              </a:solidFill>
              <a:round/>
            </a:ln>
            <a:effectLst/>
          </c:spPr>
          <c:marker>
            <c:symbol val="none"/>
          </c:marker>
          <c:cat>
            <c:numRef>
              <c:f>Taulukot!$P$41:$V$41</c:f>
              <c:numCache>
                <c:formatCode>General</c:formatCode>
                <c:ptCount val="7"/>
                <c:pt idx="0">
                  <c:v>2021</c:v>
                </c:pt>
                <c:pt idx="1">
                  <c:v>2022</c:v>
                </c:pt>
                <c:pt idx="2">
                  <c:v>2023</c:v>
                </c:pt>
                <c:pt idx="3">
                  <c:v>2024</c:v>
                </c:pt>
                <c:pt idx="4">
                  <c:v>2025</c:v>
                </c:pt>
                <c:pt idx="5">
                  <c:v>2026</c:v>
                </c:pt>
                <c:pt idx="6">
                  <c:v>2027</c:v>
                </c:pt>
              </c:numCache>
            </c:numRef>
          </c:cat>
          <c:val>
            <c:numRef>
              <c:f>Taulukot!$P$42:$V$42</c:f>
              <c:numCache>
                <c:formatCode>#\ ##0_ ;[Red]\-#\ ##0\ </c:formatCode>
                <c:ptCount val="7"/>
                <c:pt idx="0">
                  <c:v>5025.1864373613353</c:v>
                </c:pt>
                <c:pt idx="1">
                  <c:v>5288.905736594359</c:v>
                </c:pt>
                <c:pt idx="2">
                  <c:v>2722.2371831843243</c:v>
                </c:pt>
                <c:pt idx="3">
                  <c:v>2538.2740817784334</c:v>
                </c:pt>
                <c:pt idx="4">
                  <c:v>2620.2741710526561</c:v>
                </c:pt>
                <c:pt idx="5">
                  <c:v>2720.5830124415647</c:v>
                </c:pt>
                <c:pt idx="6">
                  <c:v>2817.5718426702324</c:v>
                </c:pt>
              </c:numCache>
            </c:numRef>
          </c:val>
          <c:smooth val="0"/>
          <c:extLst>
            <c:ext xmlns:c16="http://schemas.microsoft.com/office/drawing/2014/chart" uri="{C3380CC4-5D6E-409C-BE32-E72D297353CC}">
              <c16:uniqueId val="{00000003-0969-4C8C-8F59-F9BBF460C064}"/>
            </c:ext>
          </c:extLst>
        </c:ser>
        <c:ser>
          <c:idx val="4"/>
          <c:order val="2"/>
          <c:tx>
            <c:strRef>
              <c:f>Taulukot!$B$43</c:f>
              <c:strCache>
                <c:ptCount val="1"/>
                <c:pt idx="0">
                  <c:v>40 001 – 100 000 </c:v>
                </c:pt>
              </c:strCache>
            </c:strRef>
          </c:tx>
          <c:spPr>
            <a:ln w="28575" cap="rnd">
              <a:solidFill>
                <a:schemeClr val="accent5"/>
              </a:solidFill>
              <a:round/>
            </a:ln>
            <a:effectLst/>
          </c:spPr>
          <c:marker>
            <c:symbol val="none"/>
          </c:marker>
          <c:cat>
            <c:numRef>
              <c:f>Taulukot!$P$41:$V$41</c:f>
              <c:numCache>
                <c:formatCode>General</c:formatCode>
                <c:ptCount val="7"/>
                <c:pt idx="0">
                  <c:v>2021</c:v>
                </c:pt>
                <c:pt idx="1">
                  <c:v>2022</c:v>
                </c:pt>
                <c:pt idx="2">
                  <c:v>2023</c:v>
                </c:pt>
                <c:pt idx="3">
                  <c:v>2024</c:v>
                </c:pt>
                <c:pt idx="4">
                  <c:v>2025</c:v>
                </c:pt>
                <c:pt idx="5">
                  <c:v>2026</c:v>
                </c:pt>
                <c:pt idx="6">
                  <c:v>2027</c:v>
                </c:pt>
              </c:numCache>
            </c:numRef>
          </c:cat>
          <c:val>
            <c:numRef>
              <c:f>Taulukot!$P$43:$V$43</c:f>
              <c:numCache>
                <c:formatCode>#\ ##0_ ;[Red]\-#\ ##0\ </c:formatCode>
                <c:ptCount val="7"/>
                <c:pt idx="0">
                  <c:v>4354.741679462044</c:v>
                </c:pt>
                <c:pt idx="1">
                  <c:v>4555.8283349923022</c:v>
                </c:pt>
                <c:pt idx="2">
                  <c:v>2506.4694571136069</c:v>
                </c:pt>
                <c:pt idx="3">
                  <c:v>2402.694103086727</c:v>
                </c:pt>
                <c:pt idx="4">
                  <c:v>2509.9575219952289</c:v>
                </c:pt>
                <c:pt idx="5">
                  <c:v>2617.2946225995925</c:v>
                </c:pt>
                <c:pt idx="6">
                  <c:v>2716.2159943087786</c:v>
                </c:pt>
              </c:numCache>
            </c:numRef>
          </c:val>
          <c:smooth val="0"/>
          <c:extLst>
            <c:ext xmlns:c16="http://schemas.microsoft.com/office/drawing/2014/chart" uri="{C3380CC4-5D6E-409C-BE32-E72D297353CC}">
              <c16:uniqueId val="{00000004-0969-4C8C-8F59-F9BBF460C064}"/>
            </c:ext>
          </c:extLst>
        </c:ser>
        <c:ser>
          <c:idx val="5"/>
          <c:order val="3"/>
          <c:tx>
            <c:strRef>
              <c:f>Taulukot!$B$44</c:f>
              <c:strCache>
                <c:ptCount val="1"/>
                <c:pt idx="0">
                  <c:v>20 001 – 40 000</c:v>
                </c:pt>
              </c:strCache>
            </c:strRef>
          </c:tx>
          <c:spPr>
            <a:ln w="28575" cap="rnd">
              <a:solidFill>
                <a:schemeClr val="accent6"/>
              </a:solidFill>
              <a:round/>
            </a:ln>
            <a:effectLst/>
          </c:spPr>
          <c:marker>
            <c:symbol val="none"/>
          </c:marker>
          <c:cat>
            <c:numRef>
              <c:f>Taulukot!$P$41:$V$41</c:f>
              <c:numCache>
                <c:formatCode>General</c:formatCode>
                <c:ptCount val="7"/>
                <c:pt idx="0">
                  <c:v>2021</c:v>
                </c:pt>
                <c:pt idx="1">
                  <c:v>2022</c:v>
                </c:pt>
                <c:pt idx="2">
                  <c:v>2023</c:v>
                </c:pt>
                <c:pt idx="3">
                  <c:v>2024</c:v>
                </c:pt>
                <c:pt idx="4">
                  <c:v>2025</c:v>
                </c:pt>
                <c:pt idx="5">
                  <c:v>2026</c:v>
                </c:pt>
                <c:pt idx="6">
                  <c:v>2027</c:v>
                </c:pt>
              </c:numCache>
            </c:numRef>
          </c:cat>
          <c:val>
            <c:numRef>
              <c:f>Taulukot!$P$44:$V$44</c:f>
              <c:numCache>
                <c:formatCode>#\ ##0_ ;[Red]\-#\ ##0\ </c:formatCode>
                <c:ptCount val="7"/>
                <c:pt idx="0">
                  <c:v>4863.9917047162553</c:v>
                </c:pt>
                <c:pt idx="1">
                  <c:v>5084.0450198287081</c:v>
                </c:pt>
                <c:pt idx="2">
                  <c:v>2744.6998983337708</c:v>
                </c:pt>
                <c:pt idx="3">
                  <c:v>2695.522186556042</c:v>
                </c:pt>
                <c:pt idx="4">
                  <c:v>2822.8414858098736</c:v>
                </c:pt>
                <c:pt idx="5">
                  <c:v>2943.9881426927486</c:v>
                </c:pt>
                <c:pt idx="6">
                  <c:v>3055.0454570514421</c:v>
                </c:pt>
              </c:numCache>
            </c:numRef>
          </c:val>
          <c:smooth val="0"/>
          <c:extLst>
            <c:ext xmlns:c16="http://schemas.microsoft.com/office/drawing/2014/chart" uri="{C3380CC4-5D6E-409C-BE32-E72D297353CC}">
              <c16:uniqueId val="{00000005-0969-4C8C-8F59-F9BBF460C064}"/>
            </c:ext>
          </c:extLst>
        </c:ser>
        <c:ser>
          <c:idx val="6"/>
          <c:order val="4"/>
          <c:tx>
            <c:strRef>
              <c:f>Taulukot!$B$45</c:f>
              <c:strCache>
                <c:ptCount val="1"/>
                <c:pt idx="0">
                  <c:v>10 001 – 20 000 </c:v>
                </c:pt>
              </c:strCache>
            </c:strRef>
          </c:tx>
          <c:spPr>
            <a:ln w="28575" cap="rnd">
              <a:solidFill>
                <a:schemeClr val="accent1">
                  <a:lumMod val="60000"/>
                </a:schemeClr>
              </a:solidFill>
              <a:round/>
            </a:ln>
            <a:effectLst/>
          </c:spPr>
          <c:marker>
            <c:symbol val="none"/>
          </c:marker>
          <c:cat>
            <c:numRef>
              <c:f>Taulukot!$P$41:$V$41</c:f>
              <c:numCache>
                <c:formatCode>General</c:formatCode>
                <c:ptCount val="7"/>
                <c:pt idx="0">
                  <c:v>2021</c:v>
                </c:pt>
                <c:pt idx="1">
                  <c:v>2022</c:v>
                </c:pt>
                <c:pt idx="2">
                  <c:v>2023</c:v>
                </c:pt>
                <c:pt idx="3">
                  <c:v>2024</c:v>
                </c:pt>
                <c:pt idx="4">
                  <c:v>2025</c:v>
                </c:pt>
                <c:pt idx="5">
                  <c:v>2026</c:v>
                </c:pt>
                <c:pt idx="6">
                  <c:v>2027</c:v>
                </c:pt>
              </c:numCache>
            </c:numRef>
          </c:cat>
          <c:val>
            <c:numRef>
              <c:f>Taulukot!$P$45:$V$45</c:f>
              <c:numCache>
                <c:formatCode>#\ ##0_ ;[Red]\-#\ ##0\ </c:formatCode>
                <c:ptCount val="7"/>
                <c:pt idx="0">
                  <c:v>4035.7588771912365</c:v>
                </c:pt>
                <c:pt idx="1">
                  <c:v>4229.3440270818519</c:v>
                </c:pt>
                <c:pt idx="2">
                  <c:v>2346.7737105605515</c:v>
                </c:pt>
                <c:pt idx="3">
                  <c:v>2319.3027282736962</c:v>
                </c:pt>
                <c:pt idx="4">
                  <c:v>2435.8382960494851</c:v>
                </c:pt>
                <c:pt idx="5">
                  <c:v>2547.842636010228</c:v>
                </c:pt>
                <c:pt idx="6">
                  <c:v>2649.1298959445389</c:v>
                </c:pt>
              </c:numCache>
            </c:numRef>
          </c:val>
          <c:smooth val="0"/>
          <c:extLst>
            <c:ext xmlns:c16="http://schemas.microsoft.com/office/drawing/2014/chart" uri="{C3380CC4-5D6E-409C-BE32-E72D297353CC}">
              <c16:uniqueId val="{00000006-0969-4C8C-8F59-F9BBF460C064}"/>
            </c:ext>
          </c:extLst>
        </c:ser>
        <c:ser>
          <c:idx val="7"/>
          <c:order val="5"/>
          <c:tx>
            <c:strRef>
              <c:f>Taulukot!$B$46</c:f>
              <c:strCache>
                <c:ptCount val="1"/>
                <c:pt idx="0">
                  <c:v>5 001 – 10 000 </c:v>
                </c:pt>
              </c:strCache>
            </c:strRef>
          </c:tx>
          <c:spPr>
            <a:ln w="28575" cap="rnd">
              <a:solidFill>
                <a:schemeClr val="accent2">
                  <a:lumMod val="60000"/>
                </a:schemeClr>
              </a:solidFill>
              <a:round/>
            </a:ln>
            <a:effectLst/>
          </c:spPr>
          <c:marker>
            <c:symbol val="none"/>
          </c:marker>
          <c:cat>
            <c:numRef>
              <c:f>Taulukot!$P$41:$V$41</c:f>
              <c:numCache>
                <c:formatCode>General</c:formatCode>
                <c:ptCount val="7"/>
                <c:pt idx="0">
                  <c:v>2021</c:v>
                </c:pt>
                <c:pt idx="1">
                  <c:v>2022</c:v>
                </c:pt>
                <c:pt idx="2">
                  <c:v>2023</c:v>
                </c:pt>
                <c:pt idx="3">
                  <c:v>2024</c:v>
                </c:pt>
                <c:pt idx="4">
                  <c:v>2025</c:v>
                </c:pt>
                <c:pt idx="5">
                  <c:v>2026</c:v>
                </c:pt>
                <c:pt idx="6">
                  <c:v>2027</c:v>
                </c:pt>
              </c:numCache>
            </c:numRef>
          </c:cat>
          <c:val>
            <c:numRef>
              <c:f>Taulukot!$P$46:$V$46</c:f>
              <c:numCache>
                <c:formatCode>#\ ##0_ ;[Red]\-#\ ##0\ </c:formatCode>
                <c:ptCount val="7"/>
                <c:pt idx="0">
                  <c:v>4112.9207981276377</c:v>
                </c:pt>
                <c:pt idx="1">
                  <c:v>4397.0692134339488</c:v>
                </c:pt>
                <c:pt idx="2">
                  <c:v>2445.7367150448658</c:v>
                </c:pt>
                <c:pt idx="3">
                  <c:v>2414.7936413216639</c:v>
                </c:pt>
                <c:pt idx="4">
                  <c:v>2533.8334034666204</c:v>
                </c:pt>
                <c:pt idx="5">
                  <c:v>2646.7121194503211</c:v>
                </c:pt>
                <c:pt idx="6">
                  <c:v>2751.9440499235379</c:v>
                </c:pt>
              </c:numCache>
            </c:numRef>
          </c:val>
          <c:smooth val="0"/>
          <c:extLst>
            <c:ext xmlns:c16="http://schemas.microsoft.com/office/drawing/2014/chart" uri="{C3380CC4-5D6E-409C-BE32-E72D297353CC}">
              <c16:uniqueId val="{00000007-0969-4C8C-8F59-F9BBF460C064}"/>
            </c:ext>
          </c:extLst>
        </c:ser>
        <c:ser>
          <c:idx val="8"/>
          <c:order val="6"/>
          <c:tx>
            <c:strRef>
              <c:f>Taulukot!$B$47</c:f>
              <c:strCache>
                <c:ptCount val="1"/>
                <c:pt idx="0">
                  <c:v>2 001 – 5 000 </c:v>
                </c:pt>
              </c:strCache>
            </c:strRef>
          </c:tx>
          <c:spPr>
            <a:ln w="28575" cap="rnd">
              <a:solidFill>
                <a:schemeClr val="accent3">
                  <a:lumMod val="60000"/>
                </a:schemeClr>
              </a:solidFill>
              <a:round/>
            </a:ln>
            <a:effectLst/>
          </c:spPr>
          <c:marker>
            <c:symbol val="none"/>
          </c:marker>
          <c:cat>
            <c:numRef>
              <c:f>Taulukot!$P$41:$V$41</c:f>
              <c:numCache>
                <c:formatCode>General</c:formatCode>
                <c:ptCount val="7"/>
                <c:pt idx="0">
                  <c:v>2021</c:v>
                </c:pt>
                <c:pt idx="1">
                  <c:v>2022</c:v>
                </c:pt>
                <c:pt idx="2">
                  <c:v>2023</c:v>
                </c:pt>
                <c:pt idx="3">
                  <c:v>2024</c:v>
                </c:pt>
                <c:pt idx="4">
                  <c:v>2025</c:v>
                </c:pt>
                <c:pt idx="5">
                  <c:v>2026</c:v>
                </c:pt>
                <c:pt idx="6">
                  <c:v>2027</c:v>
                </c:pt>
              </c:numCache>
            </c:numRef>
          </c:cat>
          <c:val>
            <c:numRef>
              <c:f>Taulukot!$P$47:$V$47</c:f>
              <c:numCache>
                <c:formatCode>#\ ##0_ ;[Red]\-#\ ##0\ </c:formatCode>
                <c:ptCount val="7"/>
                <c:pt idx="0">
                  <c:v>3893.437144328569</c:v>
                </c:pt>
                <c:pt idx="1">
                  <c:v>4064.7437320076428</c:v>
                </c:pt>
                <c:pt idx="2">
                  <c:v>2321.9767983631741</c:v>
                </c:pt>
                <c:pt idx="3">
                  <c:v>2332.5016109894277</c:v>
                </c:pt>
                <c:pt idx="4">
                  <c:v>2443.1615121005289</c:v>
                </c:pt>
                <c:pt idx="5">
                  <c:v>2549.4446915200192</c:v>
                </c:pt>
                <c:pt idx="6">
                  <c:v>2652.246593450403</c:v>
                </c:pt>
              </c:numCache>
            </c:numRef>
          </c:val>
          <c:smooth val="0"/>
          <c:extLst>
            <c:ext xmlns:c16="http://schemas.microsoft.com/office/drawing/2014/chart" uri="{C3380CC4-5D6E-409C-BE32-E72D297353CC}">
              <c16:uniqueId val="{00000008-0969-4C8C-8F59-F9BBF460C064}"/>
            </c:ext>
          </c:extLst>
        </c:ser>
        <c:ser>
          <c:idx val="0"/>
          <c:order val="7"/>
          <c:tx>
            <c:strRef>
              <c:f>Taulukot!$B$48</c:f>
              <c:strCache>
                <c:ptCount val="1"/>
                <c:pt idx="0">
                  <c:v>alle 2 000 </c:v>
                </c:pt>
              </c:strCache>
            </c:strRef>
          </c:tx>
          <c:spPr>
            <a:ln w="28575" cap="rnd">
              <a:solidFill>
                <a:schemeClr val="accent1"/>
              </a:solidFill>
              <a:round/>
            </a:ln>
            <a:effectLst/>
          </c:spPr>
          <c:marker>
            <c:symbol val="none"/>
          </c:marker>
          <c:cat>
            <c:numRef>
              <c:f>Taulukot!$P$41:$V$41</c:f>
              <c:numCache>
                <c:formatCode>General</c:formatCode>
                <c:ptCount val="7"/>
                <c:pt idx="0">
                  <c:v>2021</c:v>
                </c:pt>
                <c:pt idx="1">
                  <c:v>2022</c:v>
                </c:pt>
                <c:pt idx="2">
                  <c:v>2023</c:v>
                </c:pt>
                <c:pt idx="3">
                  <c:v>2024</c:v>
                </c:pt>
                <c:pt idx="4">
                  <c:v>2025</c:v>
                </c:pt>
                <c:pt idx="5">
                  <c:v>2026</c:v>
                </c:pt>
                <c:pt idx="6">
                  <c:v>2027</c:v>
                </c:pt>
              </c:numCache>
            </c:numRef>
          </c:cat>
          <c:val>
            <c:numRef>
              <c:f>Taulukot!$P$48:$V$48</c:f>
              <c:numCache>
                <c:formatCode>#\ ##0_ ;[Red]\-#\ ##0\ </c:formatCode>
                <c:ptCount val="7"/>
                <c:pt idx="0">
                  <c:v>3586.6896359813909</c:v>
                </c:pt>
                <c:pt idx="1">
                  <c:v>3744.5263649655221</c:v>
                </c:pt>
                <c:pt idx="2">
                  <c:v>2235.5742909142105</c:v>
                </c:pt>
                <c:pt idx="3">
                  <c:v>2189.8482018922227</c:v>
                </c:pt>
                <c:pt idx="4">
                  <c:v>2294.407399903208</c:v>
                </c:pt>
                <c:pt idx="5">
                  <c:v>2395.5244270981857</c:v>
                </c:pt>
                <c:pt idx="6">
                  <c:v>2491.1961807438934</c:v>
                </c:pt>
              </c:numCache>
            </c:numRef>
          </c:val>
          <c:smooth val="0"/>
          <c:extLst>
            <c:ext xmlns:c16="http://schemas.microsoft.com/office/drawing/2014/chart" uri="{C3380CC4-5D6E-409C-BE32-E72D297353CC}">
              <c16:uniqueId val="{00000000-06FB-4149-A243-9F75F1712FB0}"/>
            </c:ext>
          </c:extLst>
        </c:ser>
        <c:ser>
          <c:idx val="1"/>
          <c:order val="8"/>
          <c:tx>
            <c:strRef>
              <c:f>Taulukot!$B$49</c:f>
              <c:strCache>
                <c:ptCount val="1"/>
                <c:pt idx="0">
                  <c:v>Manner-Suomen kunnat yhteensä</c:v>
                </c:pt>
              </c:strCache>
            </c:strRef>
          </c:tx>
          <c:spPr>
            <a:ln w="28575" cap="rnd">
              <a:solidFill>
                <a:schemeClr val="accent2"/>
              </a:solidFill>
              <a:round/>
            </a:ln>
            <a:effectLst/>
          </c:spPr>
          <c:marker>
            <c:symbol val="none"/>
          </c:marker>
          <c:cat>
            <c:numRef>
              <c:f>Taulukot!$P$41:$V$41</c:f>
              <c:numCache>
                <c:formatCode>General</c:formatCode>
                <c:ptCount val="7"/>
                <c:pt idx="0">
                  <c:v>2021</c:v>
                </c:pt>
                <c:pt idx="1">
                  <c:v>2022</c:v>
                </c:pt>
                <c:pt idx="2">
                  <c:v>2023</c:v>
                </c:pt>
                <c:pt idx="3">
                  <c:v>2024</c:v>
                </c:pt>
                <c:pt idx="4">
                  <c:v>2025</c:v>
                </c:pt>
                <c:pt idx="5">
                  <c:v>2026</c:v>
                </c:pt>
                <c:pt idx="6">
                  <c:v>2027</c:v>
                </c:pt>
              </c:numCache>
            </c:numRef>
          </c:cat>
          <c:val>
            <c:numRef>
              <c:f>Taulukot!$P$49:$V$49</c:f>
              <c:numCache>
                <c:formatCode>#\ ##0_ ;[Red]\-#\ ##0\ </c:formatCode>
                <c:ptCount val="7"/>
                <c:pt idx="0">
                  <c:v>4606.5322763219401</c:v>
                </c:pt>
                <c:pt idx="1">
                  <c:v>4844.6615625041222</c:v>
                </c:pt>
                <c:pt idx="2">
                  <c:v>2593.5287568159674</c:v>
                </c:pt>
                <c:pt idx="3">
                  <c:v>2485.7549765576505</c:v>
                </c:pt>
                <c:pt idx="4">
                  <c:v>2587.8636035880727</c:v>
                </c:pt>
                <c:pt idx="5">
                  <c:v>2695.3056834517693</c:v>
                </c:pt>
                <c:pt idx="6">
                  <c:v>2796.2800191952524</c:v>
                </c:pt>
              </c:numCache>
            </c:numRef>
          </c:val>
          <c:smooth val="0"/>
          <c:extLst>
            <c:ext xmlns:c16="http://schemas.microsoft.com/office/drawing/2014/chart" uri="{C3380CC4-5D6E-409C-BE32-E72D297353CC}">
              <c16:uniqueId val="{00000000-0C0B-4E0F-A1D3-6FFDDA49A618}"/>
            </c:ext>
          </c:extLst>
        </c:ser>
        <c:dLbls>
          <c:showLegendKey val="0"/>
          <c:showVal val="0"/>
          <c:showCatName val="0"/>
          <c:showSerName val="0"/>
          <c:showPercent val="0"/>
          <c:showBubbleSize val="0"/>
        </c:dLbls>
        <c:smooth val="0"/>
        <c:axId val="1028895936"/>
        <c:axId val="1028896264"/>
        <c:extLst>
          <c:ext xmlns:c15="http://schemas.microsoft.com/office/drawing/2012/chart" uri="{02D57815-91ED-43cb-92C2-25804820EDAC}">
            <c15:filteredLineSeries>
              <c15:ser>
                <c:idx val="2"/>
                <c:order val="0"/>
                <c:tx>
                  <c:strRef>
                    <c:extLst>
                      <c:ext uri="{02D57815-91ED-43cb-92C2-25804820EDAC}">
                        <c15:formulaRef>
                          <c15:sqref>Taulukot!$B$41</c15:sqref>
                        </c15:formulaRef>
                      </c:ext>
                    </c:extLst>
                    <c:strCache>
                      <c:ptCount val="1"/>
                      <c:pt idx="0">
                        <c:v>Verotulot 1000 €</c:v>
                      </c:pt>
                    </c:strCache>
                  </c:strRef>
                </c:tx>
                <c:spPr>
                  <a:ln w="28575" cap="rnd">
                    <a:solidFill>
                      <a:schemeClr val="accent3"/>
                    </a:solidFill>
                    <a:round/>
                  </a:ln>
                  <a:effectLst/>
                </c:spPr>
                <c:marker>
                  <c:symbol val="none"/>
                </c:marker>
                <c:cat>
                  <c:numRef>
                    <c:extLst>
                      <c:ext uri="{02D57815-91ED-43cb-92C2-25804820EDAC}">
                        <c15:formulaRef>
                          <c15:sqref>Taulukot!$P$41:$V$41</c15:sqref>
                        </c15:formulaRef>
                      </c:ext>
                    </c:extLst>
                    <c:numCache>
                      <c:formatCode>General</c:formatCode>
                      <c:ptCount val="7"/>
                      <c:pt idx="0">
                        <c:v>2021</c:v>
                      </c:pt>
                      <c:pt idx="1">
                        <c:v>2022</c:v>
                      </c:pt>
                      <c:pt idx="2">
                        <c:v>2023</c:v>
                      </c:pt>
                      <c:pt idx="3">
                        <c:v>2024</c:v>
                      </c:pt>
                      <c:pt idx="4">
                        <c:v>2025</c:v>
                      </c:pt>
                      <c:pt idx="5">
                        <c:v>2026</c:v>
                      </c:pt>
                      <c:pt idx="6">
                        <c:v>2027</c:v>
                      </c:pt>
                    </c:numCache>
                  </c:numRef>
                </c:cat>
                <c:val>
                  <c:numRef>
                    <c:extLst>
                      <c:ext uri="{02D57815-91ED-43cb-92C2-25804820EDAC}">
                        <c15:formulaRef>
                          <c15:sqref>Taulukot!$P$41:$V$41</c15:sqref>
                        </c15:formulaRef>
                      </c:ext>
                    </c:extLst>
                    <c:numCache>
                      <c:formatCode>General</c:formatCode>
                      <c:ptCount val="7"/>
                      <c:pt idx="0">
                        <c:v>2021</c:v>
                      </c:pt>
                      <c:pt idx="1">
                        <c:v>2022</c:v>
                      </c:pt>
                      <c:pt idx="2">
                        <c:v>2023</c:v>
                      </c:pt>
                      <c:pt idx="3">
                        <c:v>2024</c:v>
                      </c:pt>
                      <c:pt idx="4">
                        <c:v>2025</c:v>
                      </c:pt>
                      <c:pt idx="5">
                        <c:v>2026</c:v>
                      </c:pt>
                      <c:pt idx="6">
                        <c:v>2027</c:v>
                      </c:pt>
                    </c:numCache>
                  </c:numRef>
                </c:val>
                <c:smooth val="0"/>
                <c:extLst>
                  <c:ext xmlns:c16="http://schemas.microsoft.com/office/drawing/2014/chart" uri="{C3380CC4-5D6E-409C-BE32-E72D297353CC}">
                    <c16:uniqueId val="{00000002-0969-4C8C-8F59-F9BBF460C064}"/>
                  </c:ext>
                </c:extLst>
              </c15:ser>
            </c15:filteredLineSeries>
          </c:ext>
        </c:extLst>
      </c:lineChart>
      <c:catAx>
        <c:axId val="102889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28896264"/>
        <c:crosses val="autoZero"/>
        <c:auto val="1"/>
        <c:lblAlgn val="ctr"/>
        <c:lblOffset val="100"/>
        <c:noMultiLvlLbl val="0"/>
      </c:catAx>
      <c:valAx>
        <c:axId val="1028896264"/>
        <c:scaling>
          <c:orientation val="minMax"/>
        </c:scaling>
        <c:delete val="0"/>
        <c:axPos val="l"/>
        <c:majorGridlines>
          <c:spPr>
            <a:ln w="9525" cap="flat" cmpd="sng" algn="ctr">
              <a:solidFill>
                <a:schemeClr val="tx1">
                  <a:lumMod val="15000"/>
                  <a:lumOff val="85000"/>
                </a:schemeClr>
              </a:solidFill>
              <a:round/>
            </a:ln>
            <a:effectLst/>
          </c:spPr>
        </c:majorGridlines>
        <c:numFmt formatCode="#\ ##0_ ;[Red]\-#\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28895936"/>
        <c:crosses val="autoZero"/>
        <c:crossBetween val="between"/>
      </c:valAx>
      <c:spPr>
        <a:noFill/>
        <a:ln>
          <a:noFill/>
        </a:ln>
        <a:effectLst/>
      </c:spPr>
    </c:plotArea>
    <c:legend>
      <c:legendPos val="b"/>
      <c:layout>
        <c:manualLayout>
          <c:xMode val="edge"/>
          <c:yMode val="edge"/>
          <c:x val="6.2307681759215833E-2"/>
          <c:y val="0.88072591848753445"/>
          <c:w val="0.82426309242860685"/>
          <c:h val="9.30742748065582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t>Valtionosuudet</a:t>
            </a:r>
            <a:r>
              <a:rPr lang="fi-FI" b="1" baseline="0"/>
              <a:t> €/as</a:t>
            </a:r>
            <a:endParaRPr lang="fi-FI"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4.8480835142333777E-2"/>
          <c:y val="0.10751583488353514"/>
          <c:w val="0.93716769857852678"/>
          <c:h val="0.67087659632744823"/>
        </c:manualLayout>
      </c:layout>
      <c:lineChart>
        <c:grouping val="standard"/>
        <c:varyColors val="0"/>
        <c:ser>
          <c:idx val="3"/>
          <c:order val="1"/>
          <c:tx>
            <c:strRef>
              <c:f>Taulukot!$B$54</c:f>
              <c:strCache>
                <c:ptCount val="1"/>
                <c:pt idx="0">
                  <c:v>yli 100 000 asukasta</c:v>
                </c:pt>
              </c:strCache>
            </c:strRef>
          </c:tx>
          <c:spPr>
            <a:ln w="28575" cap="rnd">
              <a:solidFill>
                <a:schemeClr val="accent4"/>
              </a:solidFill>
              <a:round/>
            </a:ln>
            <a:effectLst/>
          </c:spPr>
          <c:marker>
            <c:symbol val="none"/>
          </c:marker>
          <c:cat>
            <c:numRef>
              <c:f>Taulukot!$P$53:$V$53</c:f>
              <c:numCache>
                <c:formatCode>General</c:formatCode>
                <c:ptCount val="7"/>
                <c:pt idx="0">
                  <c:v>2021</c:v>
                </c:pt>
                <c:pt idx="1">
                  <c:v>2022</c:v>
                </c:pt>
                <c:pt idx="2">
                  <c:v>2023</c:v>
                </c:pt>
                <c:pt idx="3">
                  <c:v>2024</c:v>
                </c:pt>
                <c:pt idx="4">
                  <c:v>2025</c:v>
                </c:pt>
                <c:pt idx="5">
                  <c:v>2026</c:v>
                </c:pt>
                <c:pt idx="6">
                  <c:v>2027</c:v>
                </c:pt>
              </c:numCache>
            </c:numRef>
          </c:cat>
          <c:val>
            <c:numRef>
              <c:f>Taulukot!$P$54:$V$54</c:f>
              <c:numCache>
                <c:formatCode>#\ ##0_ ;[Red]\-#\ ##0\ </c:formatCode>
                <c:ptCount val="7"/>
                <c:pt idx="0">
                  <c:v>1054.1841342881096</c:v>
                </c:pt>
                <c:pt idx="1">
                  <c:v>1132.2163945493867</c:v>
                </c:pt>
                <c:pt idx="2">
                  <c:v>510.9702272211353</c:v>
                </c:pt>
                <c:pt idx="3">
                  <c:v>557.61912810177682</c:v>
                </c:pt>
                <c:pt idx="4">
                  <c:v>689.15262640749427</c:v>
                </c:pt>
                <c:pt idx="5">
                  <c:v>732.93366592357359</c:v>
                </c:pt>
                <c:pt idx="6">
                  <c:v>754.76486743587373</c:v>
                </c:pt>
              </c:numCache>
            </c:numRef>
          </c:val>
          <c:smooth val="0"/>
          <c:extLst>
            <c:ext xmlns:c16="http://schemas.microsoft.com/office/drawing/2014/chart" uri="{C3380CC4-5D6E-409C-BE32-E72D297353CC}">
              <c16:uniqueId val="{00000003-21BB-4DE8-8011-3B076BEDA05D}"/>
            </c:ext>
          </c:extLst>
        </c:ser>
        <c:ser>
          <c:idx val="4"/>
          <c:order val="2"/>
          <c:tx>
            <c:strRef>
              <c:f>Taulukot!$B$55</c:f>
              <c:strCache>
                <c:ptCount val="1"/>
                <c:pt idx="0">
                  <c:v>40 001 – 100 000 </c:v>
                </c:pt>
              </c:strCache>
            </c:strRef>
          </c:tx>
          <c:spPr>
            <a:ln w="28575" cap="rnd">
              <a:solidFill>
                <a:schemeClr val="accent5"/>
              </a:solidFill>
              <a:round/>
            </a:ln>
            <a:effectLst/>
          </c:spPr>
          <c:marker>
            <c:symbol val="none"/>
          </c:marker>
          <c:cat>
            <c:numRef>
              <c:f>Taulukot!$P$53:$V$53</c:f>
              <c:numCache>
                <c:formatCode>General</c:formatCode>
                <c:ptCount val="7"/>
                <c:pt idx="0">
                  <c:v>2021</c:v>
                </c:pt>
                <c:pt idx="1">
                  <c:v>2022</c:v>
                </c:pt>
                <c:pt idx="2">
                  <c:v>2023</c:v>
                </c:pt>
                <c:pt idx="3">
                  <c:v>2024</c:v>
                </c:pt>
                <c:pt idx="4">
                  <c:v>2025</c:v>
                </c:pt>
                <c:pt idx="5">
                  <c:v>2026</c:v>
                </c:pt>
                <c:pt idx="6">
                  <c:v>2027</c:v>
                </c:pt>
              </c:numCache>
            </c:numRef>
          </c:cat>
          <c:val>
            <c:numRef>
              <c:f>Taulukot!$P$55:$V$55</c:f>
              <c:numCache>
                <c:formatCode>#\ ##0_ ;[Red]\-#\ ##0\ </c:formatCode>
                <c:ptCount val="7"/>
                <c:pt idx="0">
                  <c:v>1791.0648734818637</c:v>
                </c:pt>
                <c:pt idx="1">
                  <c:v>1899.3159194998834</c:v>
                </c:pt>
                <c:pt idx="2">
                  <c:v>458.0933967035852</c:v>
                </c:pt>
                <c:pt idx="3">
                  <c:v>341.6993144422687</c:v>
                </c:pt>
                <c:pt idx="4">
                  <c:v>425.79793165503372</c:v>
                </c:pt>
                <c:pt idx="5">
                  <c:v>448.34025347178925</c:v>
                </c:pt>
                <c:pt idx="6">
                  <c:v>460.59113422877994</c:v>
                </c:pt>
              </c:numCache>
            </c:numRef>
          </c:val>
          <c:smooth val="0"/>
          <c:extLst>
            <c:ext xmlns:c16="http://schemas.microsoft.com/office/drawing/2014/chart" uri="{C3380CC4-5D6E-409C-BE32-E72D297353CC}">
              <c16:uniqueId val="{00000004-21BB-4DE8-8011-3B076BEDA05D}"/>
            </c:ext>
          </c:extLst>
        </c:ser>
        <c:ser>
          <c:idx val="5"/>
          <c:order val="3"/>
          <c:tx>
            <c:strRef>
              <c:f>Taulukot!$B$56</c:f>
              <c:strCache>
                <c:ptCount val="1"/>
                <c:pt idx="0">
                  <c:v>20 001 – 40 000</c:v>
                </c:pt>
              </c:strCache>
            </c:strRef>
          </c:tx>
          <c:spPr>
            <a:ln w="28575" cap="rnd">
              <a:solidFill>
                <a:schemeClr val="accent6"/>
              </a:solidFill>
              <a:round/>
            </a:ln>
            <a:effectLst/>
          </c:spPr>
          <c:marker>
            <c:symbol val="none"/>
          </c:marker>
          <c:cat>
            <c:numRef>
              <c:f>Taulukot!$P$53:$V$53</c:f>
              <c:numCache>
                <c:formatCode>General</c:formatCode>
                <c:ptCount val="7"/>
                <c:pt idx="0">
                  <c:v>2021</c:v>
                </c:pt>
                <c:pt idx="1">
                  <c:v>2022</c:v>
                </c:pt>
                <c:pt idx="2">
                  <c:v>2023</c:v>
                </c:pt>
                <c:pt idx="3">
                  <c:v>2024</c:v>
                </c:pt>
                <c:pt idx="4">
                  <c:v>2025</c:v>
                </c:pt>
                <c:pt idx="5">
                  <c:v>2026</c:v>
                </c:pt>
                <c:pt idx="6">
                  <c:v>2027</c:v>
                </c:pt>
              </c:numCache>
            </c:numRef>
          </c:cat>
          <c:val>
            <c:numRef>
              <c:f>Taulukot!$P$56:$V$56</c:f>
              <c:numCache>
                <c:formatCode>#\ ##0_ ;[Red]\-#\ ##0\ </c:formatCode>
                <c:ptCount val="7"/>
                <c:pt idx="0">
                  <c:v>1974.5364611606944</c:v>
                </c:pt>
                <c:pt idx="1">
                  <c:v>2140.0507033434446</c:v>
                </c:pt>
                <c:pt idx="2">
                  <c:v>747.6757422436101</c:v>
                </c:pt>
                <c:pt idx="3">
                  <c:v>641.29798484350533</c:v>
                </c:pt>
                <c:pt idx="4">
                  <c:v>703.10796840091814</c:v>
                </c:pt>
                <c:pt idx="5">
                  <c:v>699.18105005416317</c:v>
                </c:pt>
                <c:pt idx="6">
                  <c:v>700.86847348444269</c:v>
                </c:pt>
              </c:numCache>
            </c:numRef>
          </c:val>
          <c:smooth val="0"/>
          <c:extLst>
            <c:ext xmlns:c16="http://schemas.microsoft.com/office/drawing/2014/chart" uri="{C3380CC4-5D6E-409C-BE32-E72D297353CC}">
              <c16:uniqueId val="{00000005-21BB-4DE8-8011-3B076BEDA05D}"/>
            </c:ext>
          </c:extLst>
        </c:ser>
        <c:ser>
          <c:idx val="6"/>
          <c:order val="4"/>
          <c:tx>
            <c:strRef>
              <c:f>Taulukot!$B$57</c:f>
              <c:strCache>
                <c:ptCount val="1"/>
                <c:pt idx="0">
                  <c:v>10 001 – 20 000 </c:v>
                </c:pt>
              </c:strCache>
            </c:strRef>
          </c:tx>
          <c:spPr>
            <a:ln w="28575" cap="rnd">
              <a:solidFill>
                <a:schemeClr val="accent1">
                  <a:lumMod val="60000"/>
                </a:schemeClr>
              </a:solidFill>
              <a:round/>
            </a:ln>
            <a:effectLst/>
          </c:spPr>
          <c:marker>
            <c:symbol val="none"/>
          </c:marker>
          <c:cat>
            <c:numRef>
              <c:f>Taulukot!$P$53:$V$53</c:f>
              <c:numCache>
                <c:formatCode>General</c:formatCode>
                <c:ptCount val="7"/>
                <c:pt idx="0">
                  <c:v>2021</c:v>
                </c:pt>
                <c:pt idx="1">
                  <c:v>2022</c:v>
                </c:pt>
                <c:pt idx="2">
                  <c:v>2023</c:v>
                </c:pt>
                <c:pt idx="3">
                  <c:v>2024</c:v>
                </c:pt>
                <c:pt idx="4">
                  <c:v>2025</c:v>
                </c:pt>
                <c:pt idx="5">
                  <c:v>2026</c:v>
                </c:pt>
                <c:pt idx="6">
                  <c:v>2027</c:v>
                </c:pt>
              </c:numCache>
            </c:numRef>
          </c:cat>
          <c:val>
            <c:numRef>
              <c:f>Taulukot!$P$57:$V$57</c:f>
              <c:numCache>
                <c:formatCode>#\ ##0_ ;[Red]\-#\ ##0\ </c:formatCode>
                <c:ptCount val="7"/>
                <c:pt idx="0">
                  <c:v>2365.6695270903406</c:v>
                </c:pt>
                <c:pt idx="1">
                  <c:v>2574.6877133003018</c:v>
                </c:pt>
                <c:pt idx="2">
                  <c:v>905.24087390359716</c:v>
                </c:pt>
                <c:pt idx="3">
                  <c:v>793.85135552953591</c:v>
                </c:pt>
                <c:pt idx="4">
                  <c:v>858.2287453109376</c:v>
                </c:pt>
                <c:pt idx="5">
                  <c:v>872.44906341525984</c:v>
                </c:pt>
                <c:pt idx="6">
                  <c:v>884.22778528930382</c:v>
                </c:pt>
              </c:numCache>
            </c:numRef>
          </c:val>
          <c:smooth val="0"/>
          <c:extLst>
            <c:ext xmlns:c16="http://schemas.microsoft.com/office/drawing/2014/chart" uri="{C3380CC4-5D6E-409C-BE32-E72D297353CC}">
              <c16:uniqueId val="{00000006-21BB-4DE8-8011-3B076BEDA05D}"/>
            </c:ext>
          </c:extLst>
        </c:ser>
        <c:ser>
          <c:idx val="7"/>
          <c:order val="5"/>
          <c:tx>
            <c:strRef>
              <c:f>Taulukot!$B$58</c:f>
              <c:strCache>
                <c:ptCount val="1"/>
                <c:pt idx="0">
                  <c:v>5 001 – 10 000 </c:v>
                </c:pt>
              </c:strCache>
            </c:strRef>
          </c:tx>
          <c:spPr>
            <a:ln w="28575" cap="rnd">
              <a:solidFill>
                <a:schemeClr val="accent2">
                  <a:lumMod val="60000"/>
                </a:schemeClr>
              </a:solidFill>
              <a:round/>
            </a:ln>
            <a:effectLst/>
          </c:spPr>
          <c:marker>
            <c:symbol val="none"/>
          </c:marker>
          <c:cat>
            <c:numRef>
              <c:f>Taulukot!$P$53:$V$53</c:f>
              <c:numCache>
                <c:formatCode>General</c:formatCode>
                <c:ptCount val="7"/>
                <c:pt idx="0">
                  <c:v>2021</c:v>
                </c:pt>
                <c:pt idx="1">
                  <c:v>2022</c:v>
                </c:pt>
                <c:pt idx="2">
                  <c:v>2023</c:v>
                </c:pt>
                <c:pt idx="3">
                  <c:v>2024</c:v>
                </c:pt>
                <c:pt idx="4">
                  <c:v>2025</c:v>
                </c:pt>
                <c:pt idx="5">
                  <c:v>2026</c:v>
                </c:pt>
                <c:pt idx="6">
                  <c:v>2027</c:v>
                </c:pt>
              </c:numCache>
            </c:numRef>
          </c:cat>
          <c:val>
            <c:numRef>
              <c:f>Taulukot!$P$58:$V$58</c:f>
              <c:numCache>
                <c:formatCode>#\ ##0_ ;[Red]\-#\ ##0\ </c:formatCode>
                <c:ptCount val="7"/>
                <c:pt idx="0">
                  <c:v>2934.3327343374262</c:v>
                </c:pt>
                <c:pt idx="1">
                  <c:v>3159.7275070109918</c:v>
                </c:pt>
                <c:pt idx="2">
                  <c:v>951.28866430685389</c:v>
                </c:pt>
                <c:pt idx="3">
                  <c:v>886.76135330101783</c:v>
                </c:pt>
                <c:pt idx="4">
                  <c:v>951.49287403322865</c:v>
                </c:pt>
                <c:pt idx="5">
                  <c:v>958.01876350757198</c:v>
                </c:pt>
                <c:pt idx="6">
                  <c:v>971.90954864557307</c:v>
                </c:pt>
              </c:numCache>
            </c:numRef>
          </c:val>
          <c:smooth val="0"/>
          <c:extLst>
            <c:ext xmlns:c16="http://schemas.microsoft.com/office/drawing/2014/chart" uri="{C3380CC4-5D6E-409C-BE32-E72D297353CC}">
              <c16:uniqueId val="{00000007-21BB-4DE8-8011-3B076BEDA05D}"/>
            </c:ext>
          </c:extLst>
        </c:ser>
        <c:ser>
          <c:idx val="8"/>
          <c:order val="6"/>
          <c:tx>
            <c:strRef>
              <c:f>Taulukot!$B$59</c:f>
              <c:strCache>
                <c:ptCount val="1"/>
                <c:pt idx="0">
                  <c:v>2 001 – 5 000 </c:v>
                </c:pt>
              </c:strCache>
            </c:strRef>
          </c:tx>
          <c:spPr>
            <a:ln w="28575" cap="rnd">
              <a:solidFill>
                <a:schemeClr val="accent3">
                  <a:lumMod val="60000"/>
                </a:schemeClr>
              </a:solidFill>
              <a:round/>
            </a:ln>
            <a:effectLst/>
          </c:spPr>
          <c:marker>
            <c:symbol val="none"/>
          </c:marker>
          <c:cat>
            <c:numRef>
              <c:f>Taulukot!$P$53:$V$53</c:f>
              <c:numCache>
                <c:formatCode>General</c:formatCode>
                <c:ptCount val="7"/>
                <c:pt idx="0">
                  <c:v>2021</c:v>
                </c:pt>
                <c:pt idx="1">
                  <c:v>2022</c:v>
                </c:pt>
                <c:pt idx="2">
                  <c:v>2023</c:v>
                </c:pt>
                <c:pt idx="3">
                  <c:v>2024</c:v>
                </c:pt>
                <c:pt idx="4">
                  <c:v>2025</c:v>
                </c:pt>
                <c:pt idx="5">
                  <c:v>2026</c:v>
                </c:pt>
                <c:pt idx="6">
                  <c:v>2027</c:v>
                </c:pt>
              </c:numCache>
            </c:numRef>
          </c:cat>
          <c:val>
            <c:numRef>
              <c:f>Taulukot!$P$59:$V$59</c:f>
              <c:numCache>
                <c:formatCode>#\ ##0_ ;[Red]\-#\ ##0\ </c:formatCode>
                <c:ptCount val="7"/>
                <c:pt idx="0">
                  <c:v>3761.1183755669695</c:v>
                </c:pt>
                <c:pt idx="1">
                  <c:v>4013.7390492437639</c:v>
                </c:pt>
                <c:pt idx="2">
                  <c:v>1093.1263604575036</c:v>
                </c:pt>
                <c:pt idx="3">
                  <c:v>1015.0400625644247</c:v>
                </c:pt>
                <c:pt idx="4">
                  <c:v>1113.5689862957238</c:v>
                </c:pt>
                <c:pt idx="5">
                  <c:v>1135.7273779372003</c:v>
                </c:pt>
                <c:pt idx="6">
                  <c:v>1151.1649379158189</c:v>
                </c:pt>
              </c:numCache>
            </c:numRef>
          </c:val>
          <c:smooth val="0"/>
          <c:extLst>
            <c:ext xmlns:c16="http://schemas.microsoft.com/office/drawing/2014/chart" uri="{C3380CC4-5D6E-409C-BE32-E72D297353CC}">
              <c16:uniqueId val="{00000008-21BB-4DE8-8011-3B076BEDA05D}"/>
            </c:ext>
          </c:extLst>
        </c:ser>
        <c:ser>
          <c:idx val="0"/>
          <c:order val="7"/>
          <c:tx>
            <c:strRef>
              <c:f>Taulukot!$B$60</c:f>
              <c:strCache>
                <c:ptCount val="1"/>
                <c:pt idx="0">
                  <c:v>alle 2 000 </c:v>
                </c:pt>
              </c:strCache>
            </c:strRef>
          </c:tx>
          <c:spPr>
            <a:ln w="28575" cap="rnd">
              <a:solidFill>
                <a:schemeClr val="accent1"/>
              </a:solidFill>
              <a:round/>
            </a:ln>
            <a:effectLst/>
          </c:spPr>
          <c:marker>
            <c:symbol val="none"/>
          </c:marker>
          <c:cat>
            <c:numRef>
              <c:f>Taulukot!$P$53:$V$53</c:f>
              <c:numCache>
                <c:formatCode>General</c:formatCode>
                <c:ptCount val="7"/>
                <c:pt idx="0">
                  <c:v>2021</c:v>
                </c:pt>
                <c:pt idx="1">
                  <c:v>2022</c:v>
                </c:pt>
                <c:pt idx="2">
                  <c:v>2023</c:v>
                </c:pt>
                <c:pt idx="3">
                  <c:v>2024</c:v>
                </c:pt>
                <c:pt idx="4">
                  <c:v>2025</c:v>
                </c:pt>
                <c:pt idx="5">
                  <c:v>2026</c:v>
                </c:pt>
                <c:pt idx="6">
                  <c:v>2027</c:v>
                </c:pt>
              </c:numCache>
            </c:numRef>
          </c:cat>
          <c:val>
            <c:numRef>
              <c:f>Taulukot!$P$60:$V$60</c:f>
              <c:numCache>
                <c:formatCode>#\ ##0_ ;[Red]\-#\ ##0\ </c:formatCode>
                <c:ptCount val="7"/>
                <c:pt idx="0">
                  <c:v>3506.1027472642854</c:v>
                </c:pt>
                <c:pt idx="1">
                  <c:v>3726.3651391077037</c:v>
                </c:pt>
                <c:pt idx="2">
                  <c:v>853.3297195206178</c:v>
                </c:pt>
                <c:pt idx="3">
                  <c:v>811.83332200010022</c:v>
                </c:pt>
                <c:pt idx="4">
                  <c:v>959.78877871595409</c:v>
                </c:pt>
                <c:pt idx="5">
                  <c:v>954.45679541109109</c:v>
                </c:pt>
                <c:pt idx="6">
                  <c:v>988.37395401360095</c:v>
                </c:pt>
              </c:numCache>
            </c:numRef>
          </c:val>
          <c:smooth val="0"/>
          <c:extLst>
            <c:ext xmlns:c16="http://schemas.microsoft.com/office/drawing/2014/chart" uri="{C3380CC4-5D6E-409C-BE32-E72D297353CC}">
              <c16:uniqueId val="{00000000-172E-4651-9CF9-05070CF048D0}"/>
            </c:ext>
          </c:extLst>
        </c:ser>
        <c:ser>
          <c:idx val="1"/>
          <c:order val="8"/>
          <c:tx>
            <c:strRef>
              <c:f>Taulukot!$B$61</c:f>
              <c:strCache>
                <c:ptCount val="1"/>
                <c:pt idx="0">
                  <c:v>Manner-Suomen kunnat yhteensä</c:v>
                </c:pt>
              </c:strCache>
            </c:strRef>
          </c:tx>
          <c:spPr>
            <a:ln w="28575" cap="rnd">
              <a:solidFill>
                <a:schemeClr val="accent2"/>
              </a:solidFill>
              <a:round/>
            </a:ln>
            <a:effectLst/>
          </c:spPr>
          <c:marker>
            <c:symbol val="none"/>
          </c:marker>
          <c:cat>
            <c:numRef>
              <c:f>Taulukot!$P$53:$V$53</c:f>
              <c:numCache>
                <c:formatCode>General</c:formatCode>
                <c:ptCount val="7"/>
                <c:pt idx="0">
                  <c:v>2021</c:v>
                </c:pt>
                <c:pt idx="1">
                  <c:v>2022</c:v>
                </c:pt>
                <c:pt idx="2">
                  <c:v>2023</c:v>
                </c:pt>
                <c:pt idx="3">
                  <c:v>2024</c:v>
                </c:pt>
                <c:pt idx="4">
                  <c:v>2025</c:v>
                </c:pt>
                <c:pt idx="5">
                  <c:v>2026</c:v>
                </c:pt>
                <c:pt idx="6">
                  <c:v>2027</c:v>
                </c:pt>
              </c:numCache>
            </c:numRef>
          </c:cat>
          <c:val>
            <c:numRef>
              <c:f>Taulukot!$P$61:$V$61</c:f>
              <c:numCache>
                <c:formatCode>#\ ##0_ ;[Red]\-#\ ##0\ </c:formatCode>
                <c:ptCount val="7"/>
                <c:pt idx="0">
                  <c:v>1809.9650419962718</c:v>
                </c:pt>
                <c:pt idx="1">
                  <c:v>1936.8314034165062</c:v>
                </c:pt>
                <c:pt idx="2">
                  <c:v>649.23355584314322</c:v>
                </c:pt>
                <c:pt idx="3">
                  <c:v>608.72118385490251</c:v>
                </c:pt>
                <c:pt idx="4">
                  <c:v>706.26891638679547</c:v>
                </c:pt>
                <c:pt idx="5">
                  <c:v>731.00308746950805</c:v>
                </c:pt>
                <c:pt idx="6">
                  <c:v>745.86366481519383</c:v>
                </c:pt>
              </c:numCache>
            </c:numRef>
          </c:val>
          <c:smooth val="0"/>
          <c:extLst>
            <c:ext xmlns:c16="http://schemas.microsoft.com/office/drawing/2014/chart" uri="{C3380CC4-5D6E-409C-BE32-E72D297353CC}">
              <c16:uniqueId val="{00000000-8700-4BB6-9149-554F84A3328F}"/>
            </c:ext>
          </c:extLst>
        </c:ser>
        <c:dLbls>
          <c:showLegendKey val="0"/>
          <c:showVal val="0"/>
          <c:showCatName val="0"/>
          <c:showSerName val="0"/>
          <c:showPercent val="0"/>
          <c:showBubbleSize val="0"/>
        </c:dLbls>
        <c:smooth val="0"/>
        <c:axId val="888588320"/>
        <c:axId val="888588976"/>
        <c:extLst>
          <c:ext xmlns:c15="http://schemas.microsoft.com/office/drawing/2012/chart" uri="{02D57815-91ED-43cb-92C2-25804820EDAC}">
            <c15:filteredLineSeries>
              <c15:ser>
                <c:idx val="2"/>
                <c:order val="0"/>
                <c:tx>
                  <c:strRef>
                    <c:extLst>
                      <c:ext uri="{02D57815-91ED-43cb-92C2-25804820EDAC}">
                        <c15:formulaRef>
                          <c15:sqref>Taulukot!$B$53</c15:sqref>
                        </c15:formulaRef>
                      </c:ext>
                    </c:extLst>
                    <c:strCache>
                      <c:ptCount val="1"/>
                      <c:pt idx="0">
                        <c:v>Valtionosuudet 1000 €</c:v>
                      </c:pt>
                    </c:strCache>
                  </c:strRef>
                </c:tx>
                <c:spPr>
                  <a:ln w="28575" cap="rnd">
                    <a:solidFill>
                      <a:schemeClr val="accent3"/>
                    </a:solidFill>
                    <a:round/>
                  </a:ln>
                  <a:effectLst/>
                </c:spPr>
                <c:marker>
                  <c:symbol val="none"/>
                </c:marker>
                <c:cat>
                  <c:numRef>
                    <c:extLst>
                      <c:ext uri="{02D57815-91ED-43cb-92C2-25804820EDAC}">
                        <c15:formulaRef>
                          <c15:sqref>Taulukot!$P$53:$V$53</c15:sqref>
                        </c15:formulaRef>
                      </c:ext>
                    </c:extLst>
                    <c:numCache>
                      <c:formatCode>General</c:formatCode>
                      <c:ptCount val="7"/>
                      <c:pt idx="0">
                        <c:v>2021</c:v>
                      </c:pt>
                      <c:pt idx="1">
                        <c:v>2022</c:v>
                      </c:pt>
                      <c:pt idx="2">
                        <c:v>2023</c:v>
                      </c:pt>
                      <c:pt idx="3">
                        <c:v>2024</c:v>
                      </c:pt>
                      <c:pt idx="4">
                        <c:v>2025</c:v>
                      </c:pt>
                      <c:pt idx="5">
                        <c:v>2026</c:v>
                      </c:pt>
                      <c:pt idx="6">
                        <c:v>2027</c:v>
                      </c:pt>
                    </c:numCache>
                  </c:numRef>
                </c:cat>
                <c:val>
                  <c:numRef>
                    <c:extLst>
                      <c:ext uri="{02D57815-91ED-43cb-92C2-25804820EDAC}">
                        <c15:formulaRef>
                          <c15:sqref>Taulukot!$P$53:$V$53</c15:sqref>
                        </c15:formulaRef>
                      </c:ext>
                    </c:extLst>
                    <c:numCache>
                      <c:formatCode>General</c:formatCode>
                      <c:ptCount val="7"/>
                      <c:pt idx="0">
                        <c:v>2021</c:v>
                      </c:pt>
                      <c:pt idx="1">
                        <c:v>2022</c:v>
                      </c:pt>
                      <c:pt idx="2">
                        <c:v>2023</c:v>
                      </c:pt>
                      <c:pt idx="3">
                        <c:v>2024</c:v>
                      </c:pt>
                      <c:pt idx="4">
                        <c:v>2025</c:v>
                      </c:pt>
                      <c:pt idx="5">
                        <c:v>2026</c:v>
                      </c:pt>
                      <c:pt idx="6">
                        <c:v>2027</c:v>
                      </c:pt>
                    </c:numCache>
                  </c:numRef>
                </c:val>
                <c:smooth val="0"/>
                <c:extLst>
                  <c:ext xmlns:c16="http://schemas.microsoft.com/office/drawing/2014/chart" uri="{C3380CC4-5D6E-409C-BE32-E72D297353CC}">
                    <c16:uniqueId val="{00000002-21BB-4DE8-8011-3B076BEDA05D}"/>
                  </c:ext>
                </c:extLst>
              </c15:ser>
            </c15:filteredLineSeries>
          </c:ext>
        </c:extLst>
      </c:lineChart>
      <c:catAx>
        <c:axId val="888588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88588976"/>
        <c:crosses val="autoZero"/>
        <c:auto val="1"/>
        <c:lblAlgn val="ctr"/>
        <c:lblOffset val="100"/>
        <c:noMultiLvlLbl val="0"/>
      </c:catAx>
      <c:valAx>
        <c:axId val="888588976"/>
        <c:scaling>
          <c:orientation val="minMax"/>
        </c:scaling>
        <c:delete val="0"/>
        <c:axPos val="l"/>
        <c:majorGridlines>
          <c:spPr>
            <a:ln w="9525" cap="flat" cmpd="sng" algn="ctr">
              <a:solidFill>
                <a:schemeClr val="tx1">
                  <a:lumMod val="15000"/>
                  <a:lumOff val="85000"/>
                </a:schemeClr>
              </a:solidFill>
              <a:round/>
            </a:ln>
            <a:effectLst/>
          </c:spPr>
        </c:majorGridlines>
        <c:numFmt formatCode="#\ ##0_ ;[Red]\-#\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88588320"/>
        <c:crosses val="autoZero"/>
        <c:crossBetween val="between"/>
      </c:valAx>
      <c:spPr>
        <a:noFill/>
        <a:ln>
          <a:noFill/>
        </a:ln>
        <a:effectLst/>
      </c:spPr>
    </c:plotArea>
    <c:legend>
      <c:legendPos val="b"/>
      <c:layout>
        <c:manualLayout>
          <c:xMode val="edge"/>
          <c:yMode val="edge"/>
          <c:x val="6.5517047747501889E-2"/>
          <c:y val="0.8617232918297707"/>
          <c:w val="0.823471456235915"/>
          <c:h val="9.01473711363690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t>Nettoinvestoinnit</a:t>
            </a:r>
            <a:r>
              <a:rPr lang="fi-FI" b="1" baseline="0"/>
              <a:t> €/as</a:t>
            </a:r>
            <a:endParaRPr lang="fi-FI"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4890099281896289E-2"/>
          <c:y val="9.9607569315041611E-2"/>
          <c:w val="0.92998269521323029"/>
          <c:h val="0.70045620754377058"/>
        </c:manualLayout>
      </c:layout>
      <c:lineChart>
        <c:grouping val="standard"/>
        <c:varyColors val="0"/>
        <c:ser>
          <c:idx val="3"/>
          <c:order val="1"/>
          <c:tx>
            <c:strRef>
              <c:f>Taulukot!$B$78</c:f>
              <c:strCache>
                <c:ptCount val="1"/>
                <c:pt idx="0">
                  <c:v>yli 100 000 asukasta</c:v>
                </c:pt>
              </c:strCache>
            </c:strRef>
          </c:tx>
          <c:spPr>
            <a:ln w="28575" cap="rnd">
              <a:solidFill>
                <a:schemeClr val="accent4"/>
              </a:solidFill>
              <a:round/>
            </a:ln>
            <a:effectLst/>
          </c:spPr>
          <c:marker>
            <c:symbol val="none"/>
          </c:marker>
          <c:cat>
            <c:numRef>
              <c:f>Taulukot!$P$77:$V$77</c:f>
              <c:numCache>
                <c:formatCode>General</c:formatCode>
                <c:ptCount val="7"/>
                <c:pt idx="0">
                  <c:v>2021</c:v>
                </c:pt>
                <c:pt idx="1">
                  <c:v>2022</c:v>
                </c:pt>
                <c:pt idx="2">
                  <c:v>2023</c:v>
                </c:pt>
                <c:pt idx="3">
                  <c:v>2024</c:v>
                </c:pt>
                <c:pt idx="4">
                  <c:v>2025</c:v>
                </c:pt>
                <c:pt idx="5">
                  <c:v>2026</c:v>
                </c:pt>
                <c:pt idx="6">
                  <c:v>2027</c:v>
                </c:pt>
              </c:numCache>
            </c:numRef>
          </c:cat>
          <c:val>
            <c:numRef>
              <c:f>Taulukot!$P$78:$V$78</c:f>
              <c:numCache>
                <c:formatCode>#\ ##0_ ;[Red]\-#\ ##0\ </c:formatCode>
                <c:ptCount val="7"/>
                <c:pt idx="0">
                  <c:v>-594.2148375265557</c:v>
                </c:pt>
                <c:pt idx="1">
                  <c:v>-242.25126560166831</c:v>
                </c:pt>
                <c:pt idx="2">
                  <c:v>-790.29444063038989</c:v>
                </c:pt>
                <c:pt idx="3">
                  <c:v>-799.24180534551817</c:v>
                </c:pt>
                <c:pt idx="4">
                  <c:v>-826.75602517348841</c:v>
                </c:pt>
                <c:pt idx="5">
                  <c:v>-849.3838861051197</c:v>
                </c:pt>
                <c:pt idx="6">
                  <c:v>-880.80474424390957</c:v>
                </c:pt>
              </c:numCache>
            </c:numRef>
          </c:val>
          <c:smooth val="0"/>
          <c:extLst>
            <c:ext xmlns:c16="http://schemas.microsoft.com/office/drawing/2014/chart" uri="{C3380CC4-5D6E-409C-BE32-E72D297353CC}">
              <c16:uniqueId val="{00000003-4734-482F-BB0D-E29281579763}"/>
            </c:ext>
          </c:extLst>
        </c:ser>
        <c:ser>
          <c:idx val="4"/>
          <c:order val="2"/>
          <c:tx>
            <c:strRef>
              <c:f>Taulukot!$B$79</c:f>
              <c:strCache>
                <c:ptCount val="1"/>
                <c:pt idx="0">
                  <c:v>40 001 – 100 000 </c:v>
                </c:pt>
              </c:strCache>
            </c:strRef>
          </c:tx>
          <c:spPr>
            <a:ln w="28575" cap="rnd">
              <a:solidFill>
                <a:schemeClr val="accent5"/>
              </a:solidFill>
              <a:round/>
            </a:ln>
            <a:effectLst/>
          </c:spPr>
          <c:marker>
            <c:symbol val="none"/>
          </c:marker>
          <c:cat>
            <c:numRef>
              <c:f>Taulukot!$P$77:$V$77</c:f>
              <c:numCache>
                <c:formatCode>General</c:formatCode>
                <c:ptCount val="7"/>
                <c:pt idx="0">
                  <c:v>2021</c:v>
                </c:pt>
                <c:pt idx="1">
                  <c:v>2022</c:v>
                </c:pt>
                <c:pt idx="2">
                  <c:v>2023</c:v>
                </c:pt>
                <c:pt idx="3">
                  <c:v>2024</c:v>
                </c:pt>
                <c:pt idx="4">
                  <c:v>2025</c:v>
                </c:pt>
                <c:pt idx="5">
                  <c:v>2026</c:v>
                </c:pt>
                <c:pt idx="6">
                  <c:v>2027</c:v>
                </c:pt>
              </c:numCache>
            </c:numRef>
          </c:cat>
          <c:val>
            <c:numRef>
              <c:f>Taulukot!$P$79:$V$79</c:f>
              <c:numCache>
                <c:formatCode>#\ ##0_ ;[Red]\-#\ ##0\ </c:formatCode>
                <c:ptCount val="7"/>
                <c:pt idx="0">
                  <c:v>-416.01354035995178</c:v>
                </c:pt>
                <c:pt idx="1">
                  <c:v>-380.91292553030127</c:v>
                </c:pt>
                <c:pt idx="2">
                  <c:v>-484.38525288370357</c:v>
                </c:pt>
                <c:pt idx="3">
                  <c:v>-543.38043982210763</c:v>
                </c:pt>
                <c:pt idx="4">
                  <c:v>-566.84906461687729</c:v>
                </c:pt>
                <c:pt idx="5">
                  <c:v>-587.09149094666782</c:v>
                </c:pt>
                <c:pt idx="6">
                  <c:v>-613.5446231579582</c:v>
                </c:pt>
              </c:numCache>
            </c:numRef>
          </c:val>
          <c:smooth val="0"/>
          <c:extLst>
            <c:ext xmlns:c16="http://schemas.microsoft.com/office/drawing/2014/chart" uri="{C3380CC4-5D6E-409C-BE32-E72D297353CC}">
              <c16:uniqueId val="{00000004-4734-482F-BB0D-E29281579763}"/>
            </c:ext>
          </c:extLst>
        </c:ser>
        <c:ser>
          <c:idx val="5"/>
          <c:order val="3"/>
          <c:tx>
            <c:strRef>
              <c:f>Taulukot!$B$80</c:f>
              <c:strCache>
                <c:ptCount val="1"/>
                <c:pt idx="0">
                  <c:v>20 001 – 40 000</c:v>
                </c:pt>
              </c:strCache>
            </c:strRef>
          </c:tx>
          <c:spPr>
            <a:ln w="28575" cap="rnd">
              <a:solidFill>
                <a:schemeClr val="accent6"/>
              </a:solidFill>
              <a:round/>
            </a:ln>
            <a:effectLst/>
          </c:spPr>
          <c:marker>
            <c:symbol val="none"/>
          </c:marker>
          <c:cat>
            <c:numRef>
              <c:f>Taulukot!$P$77:$V$77</c:f>
              <c:numCache>
                <c:formatCode>General</c:formatCode>
                <c:ptCount val="7"/>
                <c:pt idx="0">
                  <c:v>2021</c:v>
                </c:pt>
                <c:pt idx="1">
                  <c:v>2022</c:v>
                </c:pt>
                <c:pt idx="2">
                  <c:v>2023</c:v>
                </c:pt>
                <c:pt idx="3">
                  <c:v>2024</c:v>
                </c:pt>
                <c:pt idx="4">
                  <c:v>2025</c:v>
                </c:pt>
                <c:pt idx="5">
                  <c:v>2026</c:v>
                </c:pt>
                <c:pt idx="6">
                  <c:v>2027</c:v>
                </c:pt>
              </c:numCache>
            </c:numRef>
          </c:cat>
          <c:val>
            <c:numRef>
              <c:f>Taulukot!$P$80:$V$80</c:f>
              <c:numCache>
                <c:formatCode>#\ ##0_ ;[Red]\-#\ ##0\ </c:formatCode>
                <c:ptCount val="7"/>
                <c:pt idx="0">
                  <c:v>-541.51797778961259</c:v>
                </c:pt>
                <c:pt idx="1">
                  <c:v>-503.15981770487139</c:v>
                </c:pt>
                <c:pt idx="2">
                  <c:v>-772.26705358173717</c:v>
                </c:pt>
                <c:pt idx="3">
                  <c:v>-771.2145421267636</c:v>
                </c:pt>
                <c:pt idx="4">
                  <c:v>-805.26955886486542</c:v>
                </c:pt>
                <c:pt idx="5">
                  <c:v>-834.77649264452361</c:v>
                </c:pt>
                <c:pt idx="6">
                  <c:v>-873.18957717668752</c:v>
                </c:pt>
              </c:numCache>
            </c:numRef>
          </c:val>
          <c:smooth val="0"/>
          <c:extLst>
            <c:ext xmlns:c16="http://schemas.microsoft.com/office/drawing/2014/chart" uri="{C3380CC4-5D6E-409C-BE32-E72D297353CC}">
              <c16:uniqueId val="{00000005-4734-482F-BB0D-E29281579763}"/>
            </c:ext>
          </c:extLst>
        </c:ser>
        <c:ser>
          <c:idx val="6"/>
          <c:order val="4"/>
          <c:tx>
            <c:strRef>
              <c:f>Taulukot!$B$81</c:f>
              <c:strCache>
                <c:ptCount val="1"/>
                <c:pt idx="0">
                  <c:v>10 001 – 20 000 </c:v>
                </c:pt>
              </c:strCache>
            </c:strRef>
          </c:tx>
          <c:spPr>
            <a:ln w="28575" cap="rnd">
              <a:solidFill>
                <a:schemeClr val="accent1">
                  <a:lumMod val="60000"/>
                </a:schemeClr>
              </a:solidFill>
              <a:round/>
            </a:ln>
            <a:effectLst/>
          </c:spPr>
          <c:marker>
            <c:symbol val="none"/>
          </c:marker>
          <c:cat>
            <c:numRef>
              <c:f>Taulukot!$P$77:$V$77</c:f>
              <c:numCache>
                <c:formatCode>General</c:formatCode>
                <c:ptCount val="7"/>
                <c:pt idx="0">
                  <c:v>2021</c:v>
                </c:pt>
                <c:pt idx="1">
                  <c:v>2022</c:v>
                </c:pt>
                <c:pt idx="2">
                  <c:v>2023</c:v>
                </c:pt>
                <c:pt idx="3">
                  <c:v>2024</c:v>
                </c:pt>
                <c:pt idx="4">
                  <c:v>2025</c:v>
                </c:pt>
                <c:pt idx="5">
                  <c:v>2026</c:v>
                </c:pt>
                <c:pt idx="6">
                  <c:v>2027</c:v>
                </c:pt>
              </c:numCache>
            </c:numRef>
          </c:cat>
          <c:val>
            <c:numRef>
              <c:f>Taulukot!$P$81:$V$81</c:f>
              <c:numCache>
                <c:formatCode>#\ ##0_ ;[Red]\-#\ ##0\ </c:formatCode>
                <c:ptCount val="7"/>
                <c:pt idx="0">
                  <c:v>-576.28939847991296</c:v>
                </c:pt>
                <c:pt idx="1">
                  <c:v>-608.75052359802226</c:v>
                </c:pt>
                <c:pt idx="2">
                  <c:v>-617.43950074876852</c:v>
                </c:pt>
                <c:pt idx="3">
                  <c:v>-623.59981755904573</c:v>
                </c:pt>
                <c:pt idx="4">
                  <c:v>-653.27888016193492</c:v>
                </c:pt>
                <c:pt idx="5">
                  <c:v>-679.3905987227613</c:v>
                </c:pt>
                <c:pt idx="6">
                  <c:v>-712.87928082428471</c:v>
                </c:pt>
              </c:numCache>
            </c:numRef>
          </c:val>
          <c:smooth val="0"/>
          <c:extLst>
            <c:ext xmlns:c16="http://schemas.microsoft.com/office/drawing/2014/chart" uri="{C3380CC4-5D6E-409C-BE32-E72D297353CC}">
              <c16:uniqueId val="{00000006-4734-482F-BB0D-E29281579763}"/>
            </c:ext>
          </c:extLst>
        </c:ser>
        <c:ser>
          <c:idx val="7"/>
          <c:order val="5"/>
          <c:tx>
            <c:strRef>
              <c:f>Taulukot!$B$82</c:f>
              <c:strCache>
                <c:ptCount val="1"/>
                <c:pt idx="0">
                  <c:v>5 001 – 10 000 </c:v>
                </c:pt>
              </c:strCache>
            </c:strRef>
          </c:tx>
          <c:spPr>
            <a:ln w="28575" cap="rnd">
              <a:solidFill>
                <a:schemeClr val="accent2">
                  <a:lumMod val="60000"/>
                </a:schemeClr>
              </a:solidFill>
              <a:round/>
            </a:ln>
            <a:effectLst/>
          </c:spPr>
          <c:marker>
            <c:symbol val="none"/>
          </c:marker>
          <c:cat>
            <c:numRef>
              <c:f>Taulukot!$P$77:$V$77</c:f>
              <c:numCache>
                <c:formatCode>General</c:formatCode>
                <c:ptCount val="7"/>
                <c:pt idx="0">
                  <c:v>2021</c:v>
                </c:pt>
                <c:pt idx="1">
                  <c:v>2022</c:v>
                </c:pt>
                <c:pt idx="2">
                  <c:v>2023</c:v>
                </c:pt>
                <c:pt idx="3">
                  <c:v>2024</c:v>
                </c:pt>
                <c:pt idx="4">
                  <c:v>2025</c:v>
                </c:pt>
                <c:pt idx="5">
                  <c:v>2026</c:v>
                </c:pt>
                <c:pt idx="6">
                  <c:v>2027</c:v>
                </c:pt>
              </c:numCache>
            </c:numRef>
          </c:cat>
          <c:val>
            <c:numRef>
              <c:f>Taulukot!$P$82:$V$82</c:f>
              <c:numCache>
                <c:formatCode>#\ ##0_ ;[Red]\-#\ ##0\ </c:formatCode>
                <c:ptCount val="7"/>
                <c:pt idx="0">
                  <c:v>-355.88083866410483</c:v>
                </c:pt>
                <c:pt idx="1">
                  <c:v>-451.62133467606827</c:v>
                </c:pt>
                <c:pt idx="2">
                  <c:v>-516.05835202810624</c:v>
                </c:pt>
                <c:pt idx="3">
                  <c:v>-539.87169905506812</c:v>
                </c:pt>
                <c:pt idx="4">
                  <c:v>-566.27732051461567</c:v>
                </c:pt>
                <c:pt idx="5">
                  <c:v>-591.34064228686157</c:v>
                </c:pt>
                <c:pt idx="6">
                  <c:v>-622.88777495880038</c:v>
                </c:pt>
              </c:numCache>
            </c:numRef>
          </c:val>
          <c:smooth val="0"/>
          <c:extLst>
            <c:ext xmlns:c16="http://schemas.microsoft.com/office/drawing/2014/chart" uri="{C3380CC4-5D6E-409C-BE32-E72D297353CC}">
              <c16:uniqueId val="{00000007-4734-482F-BB0D-E29281579763}"/>
            </c:ext>
          </c:extLst>
        </c:ser>
        <c:ser>
          <c:idx val="8"/>
          <c:order val="6"/>
          <c:tx>
            <c:strRef>
              <c:f>Taulukot!$B$83</c:f>
              <c:strCache>
                <c:ptCount val="1"/>
                <c:pt idx="0">
                  <c:v>2 001 – 5 000 </c:v>
                </c:pt>
              </c:strCache>
            </c:strRef>
          </c:tx>
          <c:spPr>
            <a:ln w="28575" cap="rnd">
              <a:solidFill>
                <a:schemeClr val="accent3">
                  <a:lumMod val="60000"/>
                </a:schemeClr>
              </a:solidFill>
              <a:round/>
            </a:ln>
            <a:effectLst/>
          </c:spPr>
          <c:marker>
            <c:symbol val="none"/>
          </c:marker>
          <c:cat>
            <c:numRef>
              <c:f>Taulukot!$P$77:$V$77</c:f>
              <c:numCache>
                <c:formatCode>General</c:formatCode>
                <c:ptCount val="7"/>
                <c:pt idx="0">
                  <c:v>2021</c:v>
                </c:pt>
                <c:pt idx="1">
                  <c:v>2022</c:v>
                </c:pt>
                <c:pt idx="2">
                  <c:v>2023</c:v>
                </c:pt>
                <c:pt idx="3">
                  <c:v>2024</c:v>
                </c:pt>
                <c:pt idx="4">
                  <c:v>2025</c:v>
                </c:pt>
                <c:pt idx="5">
                  <c:v>2026</c:v>
                </c:pt>
                <c:pt idx="6">
                  <c:v>2027</c:v>
                </c:pt>
              </c:numCache>
            </c:numRef>
          </c:cat>
          <c:val>
            <c:numRef>
              <c:f>Taulukot!$P$83:$V$83</c:f>
              <c:numCache>
                <c:formatCode>#\ ##0_ ;[Red]\-#\ ##0\ </c:formatCode>
                <c:ptCount val="7"/>
                <c:pt idx="0">
                  <c:v>-478.18101628859455</c:v>
                </c:pt>
                <c:pt idx="1">
                  <c:v>-454.99550130917845</c:v>
                </c:pt>
                <c:pt idx="2">
                  <c:v>-400.91611915228185</c:v>
                </c:pt>
                <c:pt idx="3">
                  <c:v>-498.40377368665099</c:v>
                </c:pt>
                <c:pt idx="4">
                  <c:v>-526.41821677398343</c:v>
                </c:pt>
                <c:pt idx="5">
                  <c:v>-551.71646643133215</c:v>
                </c:pt>
                <c:pt idx="6">
                  <c:v>-583.20993165810319</c:v>
                </c:pt>
              </c:numCache>
            </c:numRef>
          </c:val>
          <c:smooth val="0"/>
          <c:extLst>
            <c:ext xmlns:c16="http://schemas.microsoft.com/office/drawing/2014/chart" uri="{C3380CC4-5D6E-409C-BE32-E72D297353CC}">
              <c16:uniqueId val="{00000008-4734-482F-BB0D-E29281579763}"/>
            </c:ext>
          </c:extLst>
        </c:ser>
        <c:ser>
          <c:idx val="0"/>
          <c:order val="7"/>
          <c:tx>
            <c:strRef>
              <c:f>Taulukot!$B$84</c:f>
              <c:strCache>
                <c:ptCount val="1"/>
                <c:pt idx="0">
                  <c:v>alle 2 000 </c:v>
                </c:pt>
              </c:strCache>
            </c:strRef>
          </c:tx>
          <c:spPr>
            <a:ln w="28575" cap="rnd">
              <a:solidFill>
                <a:schemeClr val="accent1"/>
              </a:solidFill>
              <a:round/>
            </a:ln>
            <a:effectLst/>
          </c:spPr>
          <c:marker>
            <c:symbol val="none"/>
          </c:marker>
          <c:cat>
            <c:numRef>
              <c:f>Taulukot!$P$77:$V$77</c:f>
              <c:numCache>
                <c:formatCode>General</c:formatCode>
                <c:ptCount val="7"/>
                <c:pt idx="0">
                  <c:v>2021</c:v>
                </c:pt>
                <c:pt idx="1">
                  <c:v>2022</c:v>
                </c:pt>
                <c:pt idx="2">
                  <c:v>2023</c:v>
                </c:pt>
                <c:pt idx="3">
                  <c:v>2024</c:v>
                </c:pt>
                <c:pt idx="4">
                  <c:v>2025</c:v>
                </c:pt>
                <c:pt idx="5">
                  <c:v>2026</c:v>
                </c:pt>
                <c:pt idx="6">
                  <c:v>2027</c:v>
                </c:pt>
              </c:numCache>
            </c:numRef>
          </c:cat>
          <c:val>
            <c:numRef>
              <c:f>Taulukot!$P$84:$V$84</c:f>
              <c:numCache>
                <c:formatCode>#\ ##0_ ;[Red]\-#\ ##0\ </c:formatCode>
                <c:ptCount val="7"/>
                <c:pt idx="0">
                  <c:v>-364.62352669794257</c:v>
                </c:pt>
                <c:pt idx="1">
                  <c:v>-443.71365143342621</c:v>
                </c:pt>
                <c:pt idx="2">
                  <c:v>-338.56188814704586</c:v>
                </c:pt>
                <c:pt idx="3">
                  <c:v>-501.26805002832111</c:v>
                </c:pt>
                <c:pt idx="4">
                  <c:v>-544.91201415720695</c:v>
                </c:pt>
                <c:pt idx="5">
                  <c:v>-569.59164463649438</c:v>
                </c:pt>
                <c:pt idx="6">
                  <c:v>-600.57668126422425</c:v>
                </c:pt>
              </c:numCache>
            </c:numRef>
          </c:val>
          <c:smooth val="0"/>
          <c:extLst>
            <c:ext xmlns:c16="http://schemas.microsoft.com/office/drawing/2014/chart" uri="{C3380CC4-5D6E-409C-BE32-E72D297353CC}">
              <c16:uniqueId val="{00000000-B468-4A2B-9B3A-FD6289AE86DD}"/>
            </c:ext>
          </c:extLst>
        </c:ser>
        <c:ser>
          <c:idx val="1"/>
          <c:order val="8"/>
          <c:tx>
            <c:strRef>
              <c:f>Taulukot!$B$85</c:f>
              <c:strCache>
                <c:ptCount val="1"/>
                <c:pt idx="0">
                  <c:v>Manner-Suomen kunnat yhteensä</c:v>
                </c:pt>
              </c:strCache>
            </c:strRef>
          </c:tx>
          <c:spPr>
            <a:ln w="28575" cap="rnd">
              <a:solidFill>
                <a:schemeClr val="accent2"/>
              </a:solidFill>
              <a:round/>
            </a:ln>
            <a:effectLst/>
          </c:spPr>
          <c:marker>
            <c:symbol val="none"/>
          </c:marker>
          <c:cat>
            <c:numRef>
              <c:f>Taulukot!$P$77:$V$77</c:f>
              <c:numCache>
                <c:formatCode>General</c:formatCode>
                <c:ptCount val="7"/>
                <c:pt idx="0">
                  <c:v>2021</c:v>
                </c:pt>
                <c:pt idx="1">
                  <c:v>2022</c:v>
                </c:pt>
                <c:pt idx="2">
                  <c:v>2023</c:v>
                </c:pt>
                <c:pt idx="3">
                  <c:v>2024</c:v>
                </c:pt>
                <c:pt idx="4">
                  <c:v>2025</c:v>
                </c:pt>
                <c:pt idx="5">
                  <c:v>2026</c:v>
                </c:pt>
                <c:pt idx="6">
                  <c:v>2027</c:v>
                </c:pt>
              </c:numCache>
            </c:numRef>
          </c:cat>
          <c:val>
            <c:numRef>
              <c:f>Taulukot!$P$85:$V$85</c:f>
              <c:numCache>
                <c:formatCode>#\ ##0_ ;[Red]\-#\ ##0\ </c:formatCode>
                <c:ptCount val="7"/>
                <c:pt idx="0">
                  <c:v>-519.81654282782006</c:v>
                </c:pt>
                <c:pt idx="1">
                  <c:v>-376.88982628160886</c:v>
                </c:pt>
                <c:pt idx="2">
                  <c:v>-661.80056001191383</c:v>
                </c:pt>
                <c:pt idx="3">
                  <c:v>-686.37375039073311</c:v>
                </c:pt>
                <c:pt idx="4">
                  <c:v>-714.97064496552184</c:v>
                </c:pt>
                <c:pt idx="5">
                  <c:v>-739.44546475619563</c:v>
                </c:pt>
                <c:pt idx="6">
                  <c:v>-771.69678620920229</c:v>
                </c:pt>
              </c:numCache>
            </c:numRef>
          </c:val>
          <c:smooth val="0"/>
          <c:extLst>
            <c:ext xmlns:c16="http://schemas.microsoft.com/office/drawing/2014/chart" uri="{C3380CC4-5D6E-409C-BE32-E72D297353CC}">
              <c16:uniqueId val="{00000000-BE97-4F2F-9FB3-8369A372F131}"/>
            </c:ext>
          </c:extLst>
        </c:ser>
        <c:dLbls>
          <c:showLegendKey val="0"/>
          <c:showVal val="0"/>
          <c:showCatName val="0"/>
          <c:showSerName val="0"/>
          <c:showPercent val="0"/>
          <c:showBubbleSize val="0"/>
        </c:dLbls>
        <c:smooth val="0"/>
        <c:axId val="1027434408"/>
        <c:axId val="1027435720"/>
        <c:extLst>
          <c:ext xmlns:c15="http://schemas.microsoft.com/office/drawing/2012/chart" uri="{02D57815-91ED-43cb-92C2-25804820EDAC}">
            <c15:filteredLineSeries>
              <c15:ser>
                <c:idx val="2"/>
                <c:order val="0"/>
                <c:tx>
                  <c:strRef>
                    <c:extLst>
                      <c:ext uri="{02D57815-91ED-43cb-92C2-25804820EDAC}">
                        <c15:formulaRef>
                          <c15:sqref>Taulukot!$B$77</c15:sqref>
                        </c15:formulaRef>
                      </c:ext>
                    </c:extLst>
                    <c:strCache>
                      <c:ptCount val="1"/>
                      <c:pt idx="0">
                        <c:v>Nettoinvestoinnit 1000€</c:v>
                      </c:pt>
                    </c:strCache>
                  </c:strRef>
                </c:tx>
                <c:spPr>
                  <a:ln w="28575" cap="rnd">
                    <a:solidFill>
                      <a:schemeClr val="accent3"/>
                    </a:solidFill>
                    <a:round/>
                  </a:ln>
                  <a:effectLst/>
                </c:spPr>
                <c:marker>
                  <c:symbol val="none"/>
                </c:marker>
                <c:cat>
                  <c:numRef>
                    <c:extLst>
                      <c:ext uri="{02D57815-91ED-43cb-92C2-25804820EDAC}">
                        <c15:formulaRef>
                          <c15:sqref>Taulukot!$P$77:$V$77</c15:sqref>
                        </c15:formulaRef>
                      </c:ext>
                    </c:extLst>
                    <c:numCache>
                      <c:formatCode>General</c:formatCode>
                      <c:ptCount val="7"/>
                      <c:pt idx="0">
                        <c:v>2021</c:v>
                      </c:pt>
                      <c:pt idx="1">
                        <c:v>2022</c:v>
                      </c:pt>
                      <c:pt idx="2">
                        <c:v>2023</c:v>
                      </c:pt>
                      <c:pt idx="3">
                        <c:v>2024</c:v>
                      </c:pt>
                      <c:pt idx="4">
                        <c:v>2025</c:v>
                      </c:pt>
                      <c:pt idx="5">
                        <c:v>2026</c:v>
                      </c:pt>
                      <c:pt idx="6">
                        <c:v>2027</c:v>
                      </c:pt>
                    </c:numCache>
                  </c:numRef>
                </c:cat>
                <c:val>
                  <c:numRef>
                    <c:extLst>
                      <c:ext uri="{02D57815-91ED-43cb-92C2-25804820EDAC}">
                        <c15:formulaRef>
                          <c15:sqref>Taulukot!$P$77:$V$77</c15:sqref>
                        </c15:formulaRef>
                      </c:ext>
                    </c:extLst>
                    <c:numCache>
                      <c:formatCode>General</c:formatCode>
                      <c:ptCount val="7"/>
                      <c:pt idx="0">
                        <c:v>2021</c:v>
                      </c:pt>
                      <c:pt idx="1">
                        <c:v>2022</c:v>
                      </c:pt>
                      <c:pt idx="2">
                        <c:v>2023</c:v>
                      </c:pt>
                      <c:pt idx="3">
                        <c:v>2024</c:v>
                      </c:pt>
                      <c:pt idx="4">
                        <c:v>2025</c:v>
                      </c:pt>
                      <c:pt idx="5">
                        <c:v>2026</c:v>
                      </c:pt>
                      <c:pt idx="6">
                        <c:v>2027</c:v>
                      </c:pt>
                    </c:numCache>
                  </c:numRef>
                </c:val>
                <c:smooth val="0"/>
                <c:extLst>
                  <c:ext xmlns:c16="http://schemas.microsoft.com/office/drawing/2014/chart" uri="{C3380CC4-5D6E-409C-BE32-E72D297353CC}">
                    <c16:uniqueId val="{00000002-4734-482F-BB0D-E29281579763}"/>
                  </c:ext>
                </c:extLst>
              </c15:ser>
            </c15:filteredLineSeries>
          </c:ext>
        </c:extLst>
      </c:lineChart>
      <c:catAx>
        <c:axId val="10274344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27435720"/>
        <c:crosses val="autoZero"/>
        <c:auto val="1"/>
        <c:lblAlgn val="ctr"/>
        <c:lblOffset val="100"/>
        <c:noMultiLvlLbl val="0"/>
      </c:catAx>
      <c:valAx>
        <c:axId val="1027435720"/>
        <c:scaling>
          <c:orientation val="minMax"/>
        </c:scaling>
        <c:delete val="0"/>
        <c:axPos val="l"/>
        <c:majorGridlines>
          <c:spPr>
            <a:ln w="9525" cap="flat" cmpd="sng" algn="ctr">
              <a:solidFill>
                <a:schemeClr val="tx1">
                  <a:lumMod val="15000"/>
                  <a:lumOff val="85000"/>
                </a:schemeClr>
              </a:solidFill>
              <a:round/>
            </a:ln>
            <a:effectLst/>
          </c:spPr>
        </c:majorGridlines>
        <c:numFmt formatCode="#\ ##0_ ;[Red]\-#\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27434408"/>
        <c:crosses val="autoZero"/>
        <c:crossBetween val="between"/>
      </c:valAx>
      <c:spPr>
        <a:noFill/>
        <a:ln>
          <a:noFill/>
        </a:ln>
        <a:effectLst/>
      </c:spPr>
    </c:plotArea>
    <c:legend>
      <c:legendPos val="b"/>
      <c:layout>
        <c:manualLayout>
          <c:xMode val="edge"/>
          <c:yMode val="edge"/>
          <c:x val="6.1391048632010004E-2"/>
          <c:y val="0.86273299911101486"/>
          <c:w val="0.82492908205646487"/>
          <c:h val="8.34957401838309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0"/>
              <a:t>Lainamäärä €/as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795857227023644E-2"/>
          <c:y val="0.11699286731537553"/>
          <c:w val="0.93287135206897187"/>
          <c:h val="0.65763734727118561"/>
        </c:manualLayout>
      </c:layout>
      <c:lineChart>
        <c:grouping val="standard"/>
        <c:varyColors val="0"/>
        <c:ser>
          <c:idx val="2"/>
          <c:order val="1"/>
          <c:tx>
            <c:strRef>
              <c:f>Taulukot!$B$90</c:f>
              <c:strCache>
                <c:ptCount val="1"/>
                <c:pt idx="0">
                  <c:v>yli 100 000 asukasta</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Taulukot!$N$89:$V$89</c15:sqref>
                  </c15:fullRef>
                </c:ext>
              </c:extLst>
              <c:f>(Taulukot!$N$89,Taulukot!$Q$89:$V$89)</c:f>
              <c:numCache>
                <c:formatCode>General</c:formatCode>
                <c:ptCount val="7"/>
                <c:pt idx="0">
                  <c:v>2019</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Taulukot!$N$90:$V$90</c15:sqref>
                  </c15:fullRef>
                </c:ext>
              </c:extLst>
              <c:f>(Taulukot!$N$90,Taulukot!$Q$90:$V$90)</c:f>
              <c:numCache>
                <c:formatCode>#\ ##0_ ;[Red]\-#\ ##0\ </c:formatCode>
                <c:ptCount val="7"/>
                <c:pt idx="0">
                  <c:v>3115.5697020684265</c:v>
                </c:pt>
                <c:pt idx="1">
                  <c:v>3043.8110898530404</c:v>
                </c:pt>
                <c:pt idx="2">
                  <c:v>2990.1613381113602</c:v>
                </c:pt>
                <c:pt idx="3">
                  <c:v>3109.7935723327155</c:v>
                </c:pt>
                <c:pt idx="4">
                  <c:v>3411.9444216448419</c:v>
                </c:pt>
                <c:pt idx="5">
                  <c:v>3718.1977848199022</c:v>
                </c:pt>
                <c:pt idx="6">
                  <c:v>4041.6706788595188</c:v>
                </c:pt>
              </c:numCache>
            </c:numRef>
          </c:val>
          <c:smooth val="0"/>
          <c:extLst>
            <c:ext xmlns:c16="http://schemas.microsoft.com/office/drawing/2014/chart" uri="{C3380CC4-5D6E-409C-BE32-E72D297353CC}">
              <c16:uniqueId val="{00000002-5C09-44D9-8C16-110C4E6AF49A}"/>
            </c:ext>
          </c:extLst>
        </c:ser>
        <c:ser>
          <c:idx val="3"/>
          <c:order val="2"/>
          <c:tx>
            <c:strRef>
              <c:f>Taulukot!$B$91</c:f>
              <c:strCache>
                <c:ptCount val="1"/>
                <c:pt idx="0">
                  <c:v>40 001 – 100 000 </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Taulukot!$N$89:$V$89</c15:sqref>
                  </c15:fullRef>
                </c:ext>
              </c:extLst>
              <c:f>(Taulukot!$N$89,Taulukot!$Q$89:$V$89)</c:f>
              <c:numCache>
                <c:formatCode>General</c:formatCode>
                <c:ptCount val="7"/>
                <c:pt idx="0">
                  <c:v>2019</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Taulukot!$N$91:$V$91</c15:sqref>
                  </c15:fullRef>
                </c:ext>
              </c:extLst>
              <c:f>(Taulukot!$N$91,Taulukot!$Q$91:$V$91)</c:f>
              <c:numCache>
                <c:formatCode>#\ ##0_ ;[Red]\-#\ ##0\ </c:formatCode>
                <c:ptCount val="7"/>
                <c:pt idx="0">
                  <c:v>3907.7265306606478</c:v>
                </c:pt>
                <c:pt idx="1">
                  <c:v>3871.6574173359418</c:v>
                </c:pt>
                <c:pt idx="2">
                  <c:v>3768.1605582661455</c:v>
                </c:pt>
                <c:pt idx="3">
                  <c:v>3958.5430892513582</c:v>
                </c:pt>
                <c:pt idx="4">
                  <c:v>4262.0488848236846</c:v>
                </c:pt>
                <c:pt idx="5">
                  <c:v>4548.1719758983118</c:v>
                </c:pt>
                <c:pt idx="6">
                  <c:v>4839.4948879398171</c:v>
                </c:pt>
              </c:numCache>
            </c:numRef>
          </c:val>
          <c:smooth val="0"/>
          <c:extLst>
            <c:ext xmlns:c16="http://schemas.microsoft.com/office/drawing/2014/chart" uri="{C3380CC4-5D6E-409C-BE32-E72D297353CC}">
              <c16:uniqueId val="{00000003-5C09-44D9-8C16-110C4E6AF49A}"/>
            </c:ext>
          </c:extLst>
        </c:ser>
        <c:ser>
          <c:idx val="4"/>
          <c:order val="3"/>
          <c:tx>
            <c:strRef>
              <c:f>Taulukot!$B$92</c:f>
              <c:strCache>
                <c:ptCount val="1"/>
                <c:pt idx="0">
                  <c:v>20 001 – 40 000</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Taulukot!$N$89:$V$89</c15:sqref>
                  </c15:fullRef>
                </c:ext>
              </c:extLst>
              <c:f>(Taulukot!$N$89,Taulukot!$Q$89:$V$89)</c:f>
              <c:numCache>
                <c:formatCode>General</c:formatCode>
                <c:ptCount val="7"/>
                <c:pt idx="0">
                  <c:v>2019</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Taulukot!$N$92:$V$92</c15:sqref>
                  </c15:fullRef>
                </c:ext>
              </c:extLst>
              <c:f>(Taulukot!$N$92,Taulukot!$Q$92:$V$92)</c:f>
              <c:numCache>
                <c:formatCode>#\ ##0_ ;[Red]\-#\ ##0\ </c:formatCode>
                <c:ptCount val="7"/>
                <c:pt idx="0">
                  <c:v>3259.3120880222255</c:v>
                </c:pt>
                <c:pt idx="1">
                  <c:v>3765.5467879993203</c:v>
                </c:pt>
                <c:pt idx="2">
                  <c:v>3823.7115901075831</c:v>
                </c:pt>
                <c:pt idx="3">
                  <c:v>4165.671519086246</c:v>
                </c:pt>
                <c:pt idx="4">
                  <c:v>4592.3594325876866</c:v>
                </c:pt>
                <c:pt idx="5">
                  <c:v>5048.5080633368643</c:v>
                </c:pt>
                <c:pt idx="6">
                  <c:v>5530.3161080579848</c:v>
                </c:pt>
              </c:numCache>
            </c:numRef>
          </c:val>
          <c:smooth val="0"/>
          <c:extLst>
            <c:ext xmlns:c16="http://schemas.microsoft.com/office/drawing/2014/chart" uri="{C3380CC4-5D6E-409C-BE32-E72D297353CC}">
              <c16:uniqueId val="{00000004-5C09-44D9-8C16-110C4E6AF49A}"/>
            </c:ext>
          </c:extLst>
        </c:ser>
        <c:ser>
          <c:idx val="5"/>
          <c:order val="4"/>
          <c:tx>
            <c:strRef>
              <c:f>Taulukot!$B$93</c:f>
              <c:strCache>
                <c:ptCount val="1"/>
                <c:pt idx="0">
                  <c:v>10 001 – 20 000 </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Taulukot!$N$89:$V$89</c15:sqref>
                  </c15:fullRef>
                </c:ext>
              </c:extLst>
              <c:f>(Taulukot!$N$89,Taulukot!$Q$89:$V$89)</c:f>
              <c:numCache>
                <c:formatCode>General</c:formatCode>
                <c:ptCount val="7"/>
                <c:pt idx="0">
                  <c:v>2019</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Taulukot!$N$93:$V$93</c15:sqref>
                  </c15:fullRef>
                </c:ext>
              </c:extLst>
              <c:f>(Taulukot!$N$93,Taulukot!$Q$93:$V$93)</c:f>
              <c:numCache>
                <c:formatCode>#\ ##0_ ;[Red]\-#\ ##0\ </c:formatCode>
                <c:ptCount val="7"/>
                <c:pt idx="0">
                  <c:v>3537.3576240974048</c:v>
                </c:pt>
                <c:pt idx="1">
                  <c:v>3714.1528938009951</c:v>
                </c:pt>
                <c:pt idx="2">
                  <c:v>3878.8883383501097</c:v>
                </c:pt>
                <c:pt idx="3">
                  <c:v>4160.9586206980648</c:v>
                </c:pt>
                <c:pt idx="4">
                  <c:v>4564.9365549961849</c:v>
                </c:pt>
                <c:pt idx="5">
                  <c:v>4973.080633387186</c:v>
                </c:pt>
                <c:pt idx="6">
                  <c:v>5404.3763991659725</c:v>
                </c:pt>
              </c:numCache>
            </c:numRef>
          </c:val>
          <c:smooth val="0"/>
          <c:extLst>
            <c:ext xmlns:c16="http://schemas.microsoft.com/office/drawing/2014/chart" uri="{C3380CC4-5D6E-409C-BE32-E72D297353CC}">
              <c16:uniqueId val="{00000005-5C09-44D9-8C16-110C4E6AF49A}"/>
            </c:ext>
          </c:extLst>
        </c:ser>
        <c:ser>
          <c:idx val="6"/>
          <c:order val="5"/>
          <c:tx>
            <c:strRef>
              <c:f>Taulukot!$B$94</c:f>
              <c:strCache>
                <c:ptCount val="1"/>
                <c:pt idx="0">
                  <c:v>5 001 – 10 000 </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Taulukot!$N$89:$V$89</c15:sqref>
                  </c15:fullRef>
                </c:ext>
              </c:extLst>
              <c:f>(Taulukot!$N$89,Taulukot!$Q$89:$V$89)</c:f>
              <c:numCache>
                <c:formatCode>General</c:formatCode>
                <c:ptCount val="7"/>
                <c:pt idx="0">
                  <c:v>2019</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Taulukot!$N$94:$V$94</c15:sqref>
                  </c15:fullRef>
                </c:ext>
              </c:extLst>
              <c:f>(Taulukot!$N$94,Taulukot!$Q$94:$V$94)</c:f>
              <c:numCache>
                <c:formatCode>#\ ##0_ ;[Red]\-#\ ##0\ </c:formatCode>
                <c:ptCount val="7"/>
                <c:pt idx="0">
                  <c:v>3414.4192341553426</c:v>
                </c:pt>
                <c:pt idx="1">
                  <c:v>3158.1149163899972</c:v>
                </c:pt>
                <c:pt idx="2">
                  <c:v>3224.8385751763858</c:v>
                </c:pt>
                <c:pt idx="3">
                  <c:v>3376.4176786263952</c:v>
                </c:pt>
                <c:pt idx="4">
                  <c:v>3625.9659267328875</c:v>
                </c:pt>
                <c:pt idx="5">
                  <c:v>3920.0474183463934</c:v>
                </c:pt>
                <c:pt idx="6">
                  <c:v>4241.4181235737242</c:v>
                </c:pt>
              </c:numCache>
            </c:numRef>
          </c:val>
          <c:smooth val="0"/>
          <c:extLst>
            <c:ext xmlns:c16="http://schemas.microsoft.com/office/drawing/2014/chart" uri="{C3380CC4-5D6E-409C-BE32-E72D297353CC}">
              <c16:uniqueId val="{00000006-5C09-44D9-8C16-110C4E6AF49A}"/>
            </c:ext>
          </c:extLst>
        </c:ser>
        <c:ser>
          <c:idx val="7"/>
          <c:order val="6"/>
          <c:tx>
            <c:strRef>
              <c:f>Taulukot!$B$95</c:f>
              <c:strCache>
                <c:ptCount val="1"/>
                <c:pt idx="0">
                  <c:v>2 001 – 5 000 </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Taulukot!$N$89:$V$89</c15:sqref>
                  </c15:fullRef>
                </c:ext>
              </c:extLst>
              <c:f>(Taulukot!$N$89,Taulukot!$Q$89:$V$89)</c:f>
              <c:numCache>
                <c:formatCode>General</c:formatCode>
                <c:ptCount val="7"/>
                <c:pt idx="0">
                  <c:v>2019</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Taulukot!$N$95:$V$95</c15:sqref>
                  </c15:fullRef>
                </c:ext>
              </c:extLst>
              <c:f>(Taulukot!$N$95,Taulukot!$Q$95:$V$95)</c:f>
              <c:numCache>
                <c:formatCode>#\ ##0_ ;[Red]\-#\ ##0\ </c:formatCode>
                <c:ptCount val="7"/>
                <c:pt idx="0">
                  <c:v>2965.8191506309763</c:v>
                </c:pt>
                <c:pt idx="1">
                  <c:v>2895.5100648927892</c:v>
                </c:pt>
                <c:pt idx="2">
                  <c:v>2868.9201631821588</c:v>
                </c:pt>
                <c:pt idx="3">
                  <c:v>3053.4705932753236</c:v>
                </c:pt>
                <c:pt idx="4">
                  <c:v>3447.7537236479284</c:v>
                </c:pt>
                <c:pt idx="5">
                  <c:v>3919.9363620193485</c:v>
                </c:pt>
                <c:pt idx="6">
                  <c:v>4473.6580884976593</c:v>
                </c:pt>
              </c:numCache>
            </c:numRef>
          </c:val>
          <c:smooth val="0"/>
          <c:extLst>
            <c:ext xmlns:c16="http://schemas.microsoft.com/office/drawing/2014/chart" uri="{C3380CC4-5D6E-409C-BE32-E72D297353CC}">
              <c16:uniqueId val="{00000007-5C09-44D9-8C16-110C4E6AF49A}"/>
            </c:ext>
          </c:extLst>
        </c:ser>
        <c:ser>
          <c:idx val="8"/>
          <c:order val="7"/>
          <c:tx>
            <c:strRef>
              <c:f>Taulukot!$B$96</c:f>
              <c:strCache>
                <c:ptCount val="1"/>
                <c:pt idx="0">
                  <c:v>alle 2 000 </c:v>
                </c:pt>
              </c:strCache>
            </c:strRef>
          </c:tx>
          <c:spPr>
            <a:ln w="28575" cap="rnd">
              <a:solidFill>
                <a:schemeClr val="accent3">
                  <a:lumMod val="60000"/>
                </a:schemeClr>
              </a:solidFill>
              <a:round/>
            </a:ln>
            <a:effectLst/>
          </c:spPr>
          <c:marker>
            <c:symbol val="none"/>
          </c:marker>
          <c:cat>
            <c:numRef>
              <c:extLst>
                <c:ext xmlns:c15="http://schemas.microsoft.com/office/drawing/2012/chart" uri="{02D57815-91ED-43cb-92C2-25804820EDAC}">
                  <c15:fullRef>
                    <c15:sqref>Taulukot!$N$89:$V$89</c15:sqref>
                  </c15:fullRef>
                </c:ext>
              </c:extLst>
              <c:f>(Taulukot!$N$89,Taulukot!$Q$89:$V$89)</c:f>
              <c:numCache>
                <c:formatCode>General</c:formatCode>
                <c:ptCount val="7"/>
                <c:pt idx="0">
                  <c:v>2019</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Taulukot!$N$96:$V$96</c15:sqref>
                  </c15:fullRef>
                </c:ext>
              </c:extLst>
              <c:f>(Taulukot!$N$96,Taulukot!$Q$96:$V$96)</c:f>
              <c:numCache>
                <c:formatCode>#\ ##0_ ;[Red]\-#\ ##0\ </c:formatCode>
                <c:ptCount val="7"/>
                <c:pt idx="0">
                  <c:v>3306.0287205140366</c:v>
                </c:pt>
                <c:pt idx="1">
                  <c:v>3388.8099290696073</c:v>
                </c:pt>
                <c:pt idx="2">
                  <c:v>3427.4261295901547</c:v>
                </c:pt>
                <c:pt idx="3">
                  <c:v>3641.1321298862913</c:v>
                </c:pt>
                <c:pt idx="4">
                  <c:v>4232.5409991501729</c:v>
                </c:pt>
                <c:pt idx="5">
                  <c:v>4789.527743248771</c:v>
                </c:pt>
                <c:pt idx="6">
                  <c:v>5408.0670494226588</c:v>
                </c:pt>
              </c:numCache>
            </c:numRef>
          </c:val>
          <c:smooth val="0"/>
          <c:extLst>
            <c:ext xmlns:c16="http://schemas.microsoft.com/office/drawing/2014/chart" uri="{C3380CC4-5D6E-409C-BE32-E72D297353CC}">
              <c16:uniqueId val="{00000008-5C09-44D9-8C16-110C4E6AF49A}"/>
            </c:ext>
          </c:extLst>
        </c:ser>
        <c:ser>
          <c:idx val="0"/>
          <c:order val="8"/>
          <c:tx>
            <c:strRef>
              <c:f>Taulukot!$B$97</c:f>
              <c:strCache>
                <c:ptCount val="1"/>
                <c:pt idx="0">
                  <c:v>Manner-Suomen kunnat yhteensä</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Taulukot!$N$89:$V$89</c15:sqref>
                  </c15:fullRef>
                </c:ext>
              </c:extLst>
              <c:f>(Taulukot!$N$89,Taulukot!$Q$89:$V$89)</c:f>
              <c:numCache>
                <c:formatCode>General</c:formatCode>
                <c:ptCount val="7"/>
                <c:pt idx="0">
                  <c:v>2019</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Taulukot!$N$97:$V$97</c15:sqref>
                  </c15:fullRef>
                </c:ext>
              </c:extLst>
              <c:f>(Taulukot!$N$97,Taulukot!$Q$97:$V$97)</c:f>
              <c:numCache>
                <c:formatCode>#\ ##0_ ;[Red]\-#\ ##0\ </c:formatCode>
                <c:ptCount val="7"/>
                <c:pt idx="0">
                  <c:v>3351.1027752625469</c:v>
                </c:pt>
                <c:pt idx="1">
                  <c:v>3379.9439911190007</c:v>
                </c:pt>
                <c:pt idx="2">
                  <c:v>3367.6018872142408</c:v>
                </c:pt>
                <c:pt idx="3">
                  <c:v>3554.2739326216929</c:v>
                </c:pt>
                <c:pt idx="4">
                  <c:v>3885.0474519543532</c:v>
                </c:pt>
                <c:pt idx="5">
                  <c:v>4226.0609150406071</c:v>
                </c:pt>
                <c:pt idx="6">
                  <c:v>4587.747378270632</c:v>
                </c:pt>
              </c:numCache>
            </c:numRef>
          </c:val>
          <c:smooth val="0"/>
          <c:extLst>
            <c:ext xmlns:c16="http://schemas.microsoft.com/office/drawing/2014/chart" uri="{C3380CC4-5D6E-409C-BE32-E72D297353CC}">
              <c16:uniqueId val="{00000000-B774-4571-90AC-820D96A940FC}"/>
            </c:ext>
          </c:extLst>
        </c:ser>
        <c:dLbls>
          <c:showLegendKey val="0"/>
          <c:showVal val="0"/>
          <c:showCatName val="0"/>
          <c:showSerName val="0"/>
          <c:showPercent val="0"/>
          <c:showBubbleSize val="0"/>
        </c:dLbls>
        <c:smooth val="0"/>
        <c:axId val="1027371760"/>
        <c:axId val="1027379632"/>
        <c:extLst>
          <c:ext xmlns:c15="http://schemas.microsoft.com/office/drawing/2012/chart" uri="{02D57815-91ED-43cb-92C2-25804820EDAC}">
            <c15:filteredLineSeries>
              <c15:ser>
                <c:idx val="1"/>
                <c:order val="0"/>
                <c:tx>
                  <c:strRef>
                    <c:extLst>
                      <c:ext uri="{02D57815-91ED-43cb-92C2-25804820EDAC}">
                        <c15:formulaRef>
                          <c15:sqref>Taulukot!$B$89</c15:sqref>
                        </c15:formulaRef>
                      </c:ext>
                    </c:extLst>
                    <c:strCache>
                      <c:ptCount val="1"/>
                      <c:pt idx="0">
                        <c:v>Lainamäärä 1000 €</c:v>
                      </c:pt>
                    </c:strCache>
                  </c:strRef>
                </c:tx>
                <c:spPr>
                  <a:ln w="28575" cap="rnd">
                    <a:solidFill>
                      <a:schemeClr val="accent2"/>
                    </a:solidFill>
                    <a:round/>
                  </a:ln>
                  <a:effectLst/>
                </c:spPr>
                <c:marker>
                  <c:symbol val="none"/>
                </c:marker>
                <c:cat>
                  <c:numRef>
                    <c:extLst>
                      <c:ext uri="{02D57815-91ED-43cb-92C2-25804820EDAC}">
                        <c15:fullRef>
                          <c15:sqref>Taulukot!$N$89:$V$89</c15:sqref>
                        </c15:fullRef>
                        <c15:formulaRef>
                          <c15:sqref>(Taulukot!$N$89,Taulukot!$Q$89:$V$89)</c15:sqref>
                        </c15:formulaRef>
                      </c:ext>
                    </c:extLst>
                    <c:numCache>
                      <c:formatCode>General</c:formatCode>
                      <c:ptCount val="7"/>
                      <c:pt idx="0">
                        <c:v>2019</c:v>
                      </c:pt>
                      <c:pt idx="1">
                        <c:v>2022</c:v>
                      </c:pt>
                      <c:pt idx="2">
                        <c:v>2023</c:v>
                      </c:pt>
                      <c:pt idx="3">
                        <c:v>2024</c:v>
                      </c:pt>
                      <c:pt idx="4">
                        <c:v>2025</c:v>
                      </c:pt>
                      <c:pt idx="5">
                        <c:v>2026</c:v>
                      </c:pt>
                      <c:pt idx="6">
                        <c:v>2027</c:v>
                      </c:pt>
                    </c:numCache>
                  </c:numRef>
                </c:cat>
                <c:val>
                  <c:numRef>
                    <c:extLst>
                      <c:ext uri="{02D57815-91ED-43cb-92C2-25804820EDAC}">
                        <c15:fullRef>
                          <c15:sqref>Taulukot!$N$89:$V$89</c15:sqref>
                        </c15:fullRef>
                        <c15:formulaRef>
                          <c15:sqref>(Taulukot!$N$89,Taulukot!$Q$89:$V$89)</c15:sqref>
                        </c15:formulaRef>
                      </c:ext>
                    </c:extLst>
                    <c:numCache>
                      <c:formatCode>General</c:formatCode>
                      <c:ptCount val="7"/>
                      <c:pt idx="0">
                        <c:v>2019</c:v>
                      </c:pt>
                      <c:pt idx="1">
                        <c:v>2022</c:v>
                      </c:pt>
                      <c:pt idx="2">
                        <c:v>2023</c:v>
                      </c:pt>
                      <c:pt idx="3">
                        <c:v>2024</c:v>
                      </c:pt>
                      <c:pt idx="4">
                        <c:v>2025</c:v>
                      </c:pt>
                      <c:pt idx="5">
                        <c:v>2026</c:v>
                      </c:pt>
                      <c:pt idx="6">
                        <c:v>2027</c:v>
                      </c:pt>
                    </c:numCache>
                  </c:numRef>
                </c:val>
                <c:smooth val="0"/>
                <c:extLst>
                  <c:ext xmlns:c16="http://schemas.microsoft.com/office/drawing/2014/chart" uri="{C3380CC4-5D6E-409C-BE32-E72D297353CC}">
                    <c16:uniqueId val="{00000001-5C09-44D9-8C16-110C4E6AF49A}"/>
                  </c:ext>
                </c:extLst>
              </c15:ser>
            </c15:filteredLineSeries>
          </c:ext>
        </c:extLst>
      </c:lineChart>
      <c:catAx>
        <c:axId val="1027371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27379632"/>
        <c:crosses val="autoZero"/>
        <c:auto val="1"/>
        <c:lblAlgn val="ctr"/>
        <c:lblOffset val="100"/>
        <c:noMultiLvlLbl val="0"/>
      </c:catAx>
      <c:valAx>
        <c:axId val="1027379632"/>
        <c:scaling>
          <c:orientation val="minMax"/>
        </c:scaling>
        <c:delete val="0"/>
        <c:axPos val="l"/>
        <c:majorGridlines>
          <c:spPr>
            <a:ln w="9525" cap="flat" cmpd="sng" algn="ctr">
              <a:solidFill>
                <a:schemeClr val="tx1">
                  <a:lumMod val="15000"/>
                  <a:lumOff val="85000"/>
                </a:schemeClr>
              </a:solidFill>
              <a:round/>
            </a:ln>
            <a:effectLst/>
          </c:spPr>
        </c:majorGridlines>
        <c:numFmt formatCode="#\ ##0_ ;[Red]\-#\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27371760"/>
        <c:crosses val="autoZero"/>
        <c:crossBetween val="between"/>
      </c:valAx>
      <c:spPr>
        <a:noFill/>
        <a:ln>
          <a:noFill/>
        </a:ln>
        <a:effectLst/>
      </c:spPr>
    </c:plotArea>
    <c:legend>
      <c:legendPos val="b"/>
      <c:layout>
        <c:manualLayout>
          <c:xMode val="edge"/>
          <c:yMode val="edge"/>
          <c:x val="6.3244599655168626E-2"/>
          <c:y val="0.84771179364242799"/>
          <c:w val="0.82047732321437772"/>
          <c:h val="9.795058013007845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Tilikauden tulos, €/as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lineChart>
        <c:grouping val="standard"/>
        <c:varyColors val="0"/>
        <c:ser>
          <c:idx val="1"/>
          <c:order val="1"/>
          <c:tx>
            <c:strRef>
              <c:f>Taulukot!$B$17</c:f>
              <c:strCache>
                <c:ptCount val="1"/>
                <c:pt idx="0">
                  <c:v>yli 100 000 asukasta</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Taulukot!$N$16:$V$16</c15:sqref>
                  </c15:fullRef>
                </c:ext>
              </c:extLst>
              <c:f>Taulukot!$P$16:$V$16</c:f>
              <c:numCache>
                <c:formatCode>General</c:formatCode>
                <c:ptCount val="7"/>
                <c:pt idx="0">
                  <c:v>2021</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Taulukot!$N$17:$V$17</c15:sqref>
                  </c15:fullRef>
                </c:ext>
              </c:extLst>
              <c:f>Taulukot!$P$17:$V$17</c:f>
              <c:numCache>
                <c:formatCode>#\ ##0_ ;[Red]\-#\ ##0\ </c:formatCode>
                <c:ptCount val="7"/>
                <c:pt idx="0">
                  <c:v>330.15909301216283</c:v>
                </c:pt>
                <c:pt idx="1">
                  <c:v>304.11147055178401</c:v>
                </c:pt>
                <c:pt idx="2">
                  <c:v>391.57473780017233</c:v>
                </c:pt>
                <c:pt idx="3">
                  <c:v>111.06728392257848</c:v>
                </c:pt>
                <c:pt idx="4">
                  <c:v>-5.7554108184278485</c:v>
                </c:pt>
                <c:pt idx="5">
                  <c:v>0.43360274289790357</c:v>
                </c:pt>
                <c:pt idx="6">
                  <c:v>0.96094348723442746</c:v>
                </c:pt>
              </c:numCache>
            </c:numRef>
          </c:val>
          <c:smooth val="0"/>
          <c:extLst>
            <c:ext xmlns:c16="http://schemas.microsoft.com/office/drawing/2014/chart" uri="{C3380CC4-5D6E-409C-BE32-E72D297353CC}">
              <c16:uniqueId val="{00000001-6EDE-4883-A319-525EF5D927A7}"/>
            </c:ext>
          </c:extLst>
        </c:ser>
        <c:ser>
          <c:idx val="2"/>
          <c:order val="2"/>
          <c:tx>
            <c:strRef>
              <c:f>Taulukot!$B$18</c:f>
              <c:strCache>
                <c:ptCount val="1"/>
                <c:pt idx="0">
                  <c:v>40 001 – 100 000 </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Taulukot!$N$16:$V$16</c15:sqref>
                  </c15:fullRef>
                </c:ext>
              </c:extLst>
              <c:f>Taulukot!$P$16:$V$16</c:f>
              <c:numCache>
                <c:formatCode>General</c:formatCode>
                <c:ptCount val="7"/>
                <c:pt idx="0">
                  <c:v>2021</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Taulukot!$N$18:$V$18</c15:sqref>
                  </c15:fullRef>
                </c:ext>
              </c:extLst>
              <c:f>Taulukot!$P$18:$V$18</c:f>
              <c:numCache>
                <c:formatCode>#\ ##0_ ;[Red]\-#\ ##0\ </c:formatCode>
                <c:ptCount val="7"/>
                <c:pt idx="0">
                  <c:v>176.54825208019878</c:v>
                </c:pt>
                <c:pt idx="1">
                  <c:v>114.51237120218114</c:v>
                </c:pt>
                <c:pt idx="2">
                  <c:v>306.43738098481629</c:v>
                </c:pt>
                <c:pt idx="3">
                  <c:v>7.5280315718096276</c:v>
                </c:pt>
                <c:pt idx="4">
                  <c:v>-112.45891520229854</c:v>
                </c:pt>
                <c:pt idx="5">
                  <c:v>-92.304856399863525</c:v>
                </c:pt>
                <c:pt idx="6">
                  <c:v>-84.283622471907492</c:v>
                </c:pt>
              </c:numCache>
            </c:numRef>
          </c:val>
          <c:smooth val="0"/>
          <c:extLst>
            <c:ext xmlns:c16="http://schemas.microsoft.com/office/drawing/2014/chart" uri="{C3380CC4-5D6E-409C-BE32-E72D297353CC}">
              <c16:uniqueId val="{00000002-6EDE-4883-A319-525EF5D927A7}"/>
            </c:ext>
          </c:extLst>
        </c:ser>
        <c:ser>
          <c:idx val="3"/>
          <c:order val="3"/>
          <c:tx>
            <c:strRef>
              <c:f>Taulukot!$B$19</c:f>
              <c:strCache>
                <c:ptCount val="1"/>
                <c:pt idx="0">
                  <c:v>20 001 – 40 000</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Taulukot!$N$16:$V$16</c15:sqref>
                  </c15:fullRef>
                </c:ext>
              </c:extLst>
              <c:f>Taulukot!$P$16:$V$16</c:f>
              <c:numCache>
                <c:formatCode>General</c:formatCode>
                <c:ptCount val="7"/>
                <c:pt idx="0">
                  <c:v>2021</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Taulukot!$N$19:$V$19</c15:sqref>
                  </c15:fullRef>
                </c:ext>
              </c:extLst>
              <c:f>Taulukot!$P$19:$V$19</c:f>
              <c:numCache>
                <c:formatCode>#\ ##0_ ;[Red]\-#\ ##0\ </c:formatCode>
                <c:ptCount val="7"/>
                <c:pt idx="0">
                  <c:v>155.16651177543002</c:v>
                </c:pt>
                <c:pt idx="1">
                  <c:v>96.797908581749326</c:v>
                </c:pt>
                <c:pt idx="2">
                  <c:v>293.41848862029781</c:v>
                </c:pt>
                <c:pt idx="3">
                  <c:v>-1.6133880431841636</c:v>
                </c:pt>
                <c:pt idx="4">
                  <c:v>-88.225697690317162</c:v>
                </c:pt>
                <c:pt idx="5">
                  <c:v>-120.32009645490338</c:v>
                </c:pt>
                <c:pt idx="6">
                  <c:v>-123.78922071446327</c:v>
                </c:pt>
              </c:numCache>
            </c:numRef>
          </c:val>
          <c:smooth val="0"/>
          <c:extLst>
            <c:ext xmlns:c16="http://schemas.microsoft.com/office/drawing/2014/chart" uri="{C3380CC4-5D6E-409C-BE32-E72D297353CC}">
              <c16:uniqueId val="{00000003-6EDE-4883-A319-525EF5D927A7}"/>
            </c:ext>
          </c:extLst>
        </c:ser>
        <c:ser>
          <c:idx val="4"/>
          <c:order val="4"/>
          <c:tx>
            <c:strRef>
              <c:f>Taulukot!$B$20</c:f>
              <c:strCache>
                <c:ptCount val="1"/>
                <c:pt idx="0">
                  <c:v>10 001 – 20 000 </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Taulukot!$N$16:$V$16</c15:sqref>
                  </c15:fullRef>
                </c:ext>
              </c:extLst>
              <c:f>Taulukot!$P$16:$V$16</c:f>
              <c:numCache>
                <c:formatCode>General</c:formatCode>
                <c:ptCount val="7"/>
                <c:pt idx="0">
                  <c:v>2021</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Taulukot!$N$20:$V$20</c15:sqref>
                  </c15:fullRef>
                </c:ext>
              </c:extLst>
              <c:f>Taulukot!$P$20:$V$20</c:f>
              <c:numCache>
                <c:formatCode>#\ ##0_ ;[Red]\-#\ ##0\ </c:formatCode>
                <c:ptCount val="7"/>
                <c:pt idx="0">
                  <c:v>105.63315747531463</c:v>
                </c:pt>
                <c:pt idx="1">
                  <c:v>41.96813941720719</c:v>
                </c:pt>
                <c:pt idx="2">
                  <c:v>191.20541966383166</c:v>
                </c:pt>
                <c:pt idx="3">
                  <c:v>-37.785435242153916</c:v>
                </c:pt>
                <c:pt idx="4">
                  <c:v>-188.32382901765044</c:v>
                </c:pt>
                <c:pt idx="5">
                  <c:v>-288.80217627478322</c:v>
                </c:pt>
                <c:pt idx="6">
                  <c:v>-293.87312653156687</c:v>
                </c:pt>
              </c:numCache>
            </c:numRef>
          </c:val>
          <c:smooth val="0"/>
          <c:extLst>
            <c:ext xmlns:c16="http://schemas.microsoft.com/office/drawing/2014/chart" uri="{C3380CC4-5D6E-409C-BE32-E72D297353CC}">
              <c16:uniqueId val="{00000004-6EDE-4883-A319-525EF5D927A7}"/>
            </c:ext>
          </c:extLst>
        </c:ser>
        <c:ser>
          <c:idx val="5"/>
          <c:order val="5"/>
          <c:tx>
            <c:strRef>
              <c:f>Taulukot!$B$21</c:f>
              <c:strCache>
                <c:ptCount val="1"/>
                <c:pt idx="0">
                  <c:v>5 001 – 10 000 </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Taulukot!$N$16:$V$16</c15:sqref>
                  </c15:fullRef>
                </c:ext>
              </c:extLst>
              <c:f>Taulukot!$P$16:$V$16</c:f>
              <c:numCache>
                <c:formatCode>General</c:formatCode>
                <c:ptCount val="7"/>
                <c:pt idx="0">
                  <c:v>2021</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Taulukot!$N$21:$V$21</c15:sqref>
                  </c15:fullRef>
                </c:ext>
              </c:extLst>
              <c:f>Taulukot!$P$21:$V$21</c:f>
              <c:numCache>
                <c:formatCode>#\ ##0_ ;[Red]\-#\ ##0\ </c:formatCode>
                <c:ptCount val="7"/>
                <c:pt idx="0">
                  <c:v>190.3950606553862</c:v>
                </c:pt>
                <c:pt idx="1">
                  <c:v>227.3211972306074</c:v>
                </c:pt>
                <c:pt idx="2">
                  <c:v>231.74507409331255</c:v>
                </c:pt>
                <c:pt idx="3">
                  <c:v>27.750434516963455</c:v>
                </c:pt>
                <c:pt idx="4">
                  <c:v>-64.537772026036208</c:v>
                </c:pt>
                <c:pt idx="5">
                  <c:v>-77.209267856482498</c:v>
                </c:pt>
                <c:pt idx="6">
                  <c:v>-82.054616381692682</c:v>
                </c:pt>
              </c:numCache>
            </c:numRef>
          </c:val>
          <c:smooth val="0"/>
          <c:extLst>
            <c:ext xmlns:c16="http://schemas.microsoft.com/office/drawing/2014/chart" uri="{C3380CC4-5D6E-409C-BE32-E72D297353CC}">
              <c16:uniqueId val="{00000005-6EDE-4883-A319-525EF5D927A7}"/>
            </c:ext>
          </c:extLst>
        </c:ser>
        <c:ser>
          <c:idx val="6"/>
          <c:order val="6"/>
          <c:tx>
            <c:strRef>
              <c:f>Taulukot!$B$22</c:f>
              <c:strCache>
                <c:ptCount val="1"/>
                <c:pt idx="0">
                  <c:v>2 001 – 5 000 </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Taulukot!$N$16:$V$16</c15:sqref>
                  </c15:fullRef>
                </c:ext>
              </c:extLst>
              <c:f>Taulukot!$P$16:$V$16</c:f>
              <c:numCache>
                <c:formatCode>General</c:formatCode>
                <c:ptCount val="7"/>
                <c:pt idx="0">
                  <c:v>2021</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Taulukot!$N$22:$V$22</c15:sqref>
                  </c15:fullRef>
                </c:ext>
              </c:extLst>
              <c:f>Taulukot!$P$22:$V$22</c:f>
              <c:numCache>
                <c:formatCode>#\ ##0_ ;[Red]\-#\ ##0\ </c:formatCode>
                <c:ptCount val="7"/>
                <c:pt idx="0">
                  <c:v>239.65097857266139</c:v>
                </c:pt>
                <c:pt idx="1">
                  <c:v>178.04899273347459</c:v>
                </c:pt>
                <c:pt idx="2">
                  <c:v>173.62829002689327</c:v>
                </c:pt>
                <c:pt idx="3">
                  <c:v>10.923938248084788</c:v>
                </c:pt>
                <c:pt idx="4">
                  <c:v>-185.03027660146441</c:v>
                </c:pt>
                <c:pt idx="5">
                  <c:v>-240.01295070476306</c:v>
                </c:pt>
                <c:pt idx="6">
                  <c:v>-302.53655153821882</c:v>
                </c:pt>
              </c:numCache>
            </c:numRef>
          </c:val>
          <c:smooth val="0"/>
          <c:extLst>
            <c:ext xmlns:c16="http://schemas.microsoft.com/office/drawing/2014/chart" uri="{C3380CC4-5D6E-409C-BE32-E72D297353CC}">
              <c16:uniqueId val="{00000006-6EDE-4883-A319-525EF5D927A7}"/>
            </c:ext>
          </c:extLst>
        </c:ser>
        <c:ser>
          <c:idx val="7"/>
          <c:order val="7"/>
          <c:tx>
            <c:strRef>
              <c:f>Taulukot!$B$23</c:f>
              <c:strCache>
                <c:ptCount val="1"/>
                <c:pt idx="0">
                  <c:v>alle 2 000 </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Taulukot!$N$16:$V$16</c15:sqref>
                  </c15:fullRef>
                </c:ext>
              </c:extLst>
              <c:f>Taulukot!$P$16:$V$16</c:f>
              <c:numCache>
                <c:formatCode>General</c:formatCode>
                <c:ptCount val="7"/>
                <c:pt idx="0">
                  <c:v>2021</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Taulukot!$N$23:$V$23</c15:sqref>
                  </c15:fullRef>
                </c:ext>
              </c:extLst>
              <c:f>Taulukot!$P$23:$V$23</c:f>
              <c:numCache>
                <c:formatCode>#\ ##0_ ;[Red]\-#\ ##0\ </c:formatCode>
                <c:ptCount val="7"/>
                <c:pt idx="0">
                  <c:v>193.31276662305967</c:v>
                </c:pt>
                <c:pt idx="1">
                  <c:v>109.01464736142195</c:v>
                </c:pt>
                <c:pt idx="2">
                  <c:v>-31.741917891980073</c:v>
                </c:pt>
                <c:pt idx="3">
                  <c:v>-102.37822165900188</c:v>
                </c:pt>
                <c:pt idx="4">
                  <c:v>-307.35778553916214</c:v>
                </c:pt>
                <c:pt idx="5">
                  <c:v>-348.96361605167914</c:v>
                </c:pt>
                <c:pt idx="6">
                  <c:v>-395.61930404514919</c:v>
                </c:pt>
              </c:numCache>
            </c:numRef>
          </c:val>
          <c:smooth val="0"/>
          <c:extLst>
            <c:ext xmlns:c16="http://schemas.microsoft.com/office/drawing/2014/chart" uri="{C3380CC4-5D6E-409C-BE32-E72D297353CC}">
              <c16:uniqueId val="{00000007-6EDE-4883-A319-525EF5D927A7}"/>
            </c:ext>
          </c:extLst>
        </c:ser>
        <c:ser>
          <c:idx val="8"/>
          <c:order val="8"/>
          <c:tx>
            <c:strRef>
              <c:f>Taulukot!$B$24</c:f>
              <c:strCache>
                <c:ptCount val="1"/>
                <c:pt idx="0">
                  <c:v>Manner-Suomen kunnat yhteensä</c:v>
                </c:pt>
              </c:strCache>
            </c:strRef>
          </c:tx>
          <c:spPr>
            <a:ln w="28575" cap="rnd">
              <a:solidFill>
                <a:schemeClr val="accent3">
                  <a:lumMod val="60000"/>
                </a:schemeClr>
              </a:solidFill>
              <a:round/>
            </a:ln>
            <a:effectLst/>
          </c:spPr>
          <c:marker>
            <c:symbol val="none"/>
          </c:marker>
          <c:cat>
            <c:numRef>
              <c:extLst>
                <c:ext xmlns:c15="http://schemas.microsoft.com/office/drawing/2012/chart" uri="{02D57815-91ED-43cb-92C2-25804820EDAC}">
                  <c15:fullRef>
                    <c15:sqref>Taulukot!$N$16:$V$16</c15:sqref>
                  </c15:fullRef>
                </c:ext>
              </c:extLst>
              <c:f>Taulukot!$P$16:$V$16</c:f>
              <c:numCache>
                <c:formatCode>General</c:formatCode>
                <c:ptCount val="7"/>
                <c:pt idx="0">
                  <c:v>2021</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Taulukot!$N$24:$V$24</c15:sqref>
                  </c15:fullRef>
                </c:ext>
              </c:extLst>
              <c:f>Taulukot!$P$24:$V$24</c:f>
              <c:numCache>
                <c:formatCode>#\ ##0_ ;[Red]\-#\ ##0\ </c:formatCode>
                <c:ptCount val="7"/>
                <c:pt idx="0">
                  <c:v>232.69654268575516</c:v>
                </c:pt>
                <c:pt idx="1">
                  <c:v>195.5246082225552</c:v>
                </c:pt>
                <c:pt idx="2">
                  <c:v>310.70575857545072</c:v>
                </c:pt>
                <c:pt idx="3">
                  <c:v>45.497390402619594</c:v>
                </c:pt>
                <c:pt idx="4">
                  <c:v>-73.409387343834723</c:v>
                </c:pt>
                <c:pt idx="5">
                  <c:v>-85.774972942276179</c:v>
                </c:pt>
                <c:pt idx="6">
                  <c:v>-88.371698717853789</c:v>
                </c:pt>
              </c:numCache>
            </c:numRef>
          </c:val>
          <c:smooth val="0"/>
          <c:extLst>
            <c:ext xmlns:c16="http://schemas.microsoft.com/office/drawing/2014/chart" uri="{C3380CC4-5D6E-409C-BE32-E72D297353CC}">
              <c16:uniqueId val="{00000001-F929-4DF7-ABF8-3374EB93DE98}"/>
            </c:ext>
          </c:extLst>
        </c:ser>
        <c:dLbls>
          <c:showLegendKey val="0"/>
          <c:showVal val="0"/>
          <c:showCatName val="0"/>
          <c:showSerName val="0"/>
          <c:showPercent val="0"/>
          <c:showBubbleSize val="0"/>
        </c:dLbls>
        <c:smooth val="0"/>
        <c:axId val="671418584"/>
        <c:axId val="426464904"/>
        <c:extLst>
          <c:ext xmlns:c15="http://schemas.microsoft.com/office/drawing/2012/chart" uri="{02D57815-91ED-43cb-92C2-25804820EDAC}">
            <c15:filteredLineSeries>
              <c15:ser>
                <c:idx val="0"/>
                <c:order val="0"/>
                <c:tx>
                  <c:strRef>
                    <c:extLst>
                      <c:ext uri="{02D57815-91ED-43cb-92C2-25804820EDAC}">
                        <c15:formulaRef>
                          <c15:sqref>Taulukot!$B$16</c15:sqref>
                        </c15:formulaRef>
                      </c:ext>
                    </c:extLst>
                    <c:strCache>
                      <c:ptCount val="1"/>
                      <c:pt idx="0">
                        <c:v>Tilikauden tulos (M €)</c:v>
                      </c:pt>
                    </c:strCache>
                  </c:strRef>
                </c:tx>
                <c:spPr>
                  <a:ln w="28575" cap="rnd">
                    <a:solidFill>
                      <a:schemeClr val="accent1"/>
                    </a:solidFill>
                    <a:round/>
                  </a:ln>
                  <a:effectLst/>
                </c:spPr>
                <c:marker>
                  <c:symbol val="none"/>
                </c:marker>
                <c:cat>
                  <c:numRef>
                    <c:extLst>
                      <c:ext uri="{02D57815-91ED-43cb-92C2-25804820EDAC}">
                        <c15:fullRef>
                          <c15:sqref>Taulukot!$N$16:$V$16</c15:sqref>
                        </c15:fullRef>
                        <c15:formulaRef>
                          <c15:sqref>Taulukot!$P$16:$V$16</c15:sqref>
                        </c15:formulaRef>
                      </c:ext>
                    </c:extLst>
                    <c:numCache>
                      <c:formatCode>General</c:formatCode>
                      <c:ptCount val="7"/>
                      <c:pt idx="0">
                        <c:v>2021</c:v>
                      </c:pt>
                      <c:pt idx="1">
                        <c:v>2022</c:v>
                      </c:pt>
                      <c:pt idx="2">
                        <c:v>2023</c:v>
                      </c:pt>
                      <c:pt idx="3">
                        <c:v>2024</c:v>
                      </c:pt>
                      <c:pt idx="4">
                        <c:v>2025</c:v>
                      </c:pt>
                      <c:pt idx="5">
                        <c:v>2026</c:v>
                      </c:pt>
                      <c:pt idx="6">
                        <c:v>2027</c:v>
                      </c:pt>
                    </c:numCache>
                  </c:numRef>
                </c:cat>
                <c:val>
                  <c:numRef>
                    <c:extLst>
                      <c:ext uri="{02D57815-91ED-43cb-92C2-25804820EDAC}">
                        <c15:fullRef>
                          <c15:sqref>Taulukot!$N$16:$V$16</c15:sqref>
                        </c15:fullRef>
                        <c15:formulaRef>
                          <c15:sqref>Taulukot!$P$16:$V$16</c15:sqref>
                        </c15:formulaRef>
                      </c:ext>
                    </c:extLst>
                    <c:numCache>
                      <c:formatCode>General</c:formatCode>
                      <c:ptCount val="7"/>
                      <c:pt idx="0">
                        <c:v>2021</c:v>
                      </c:pt>
                      <c:pt idx="1">
                        <c:v>2022</c:v>
                      </c:pt>
                      <c:pt idx="2">
                        <c:v>2023</c:v>
                      </c:pt>
                      <c:pt idx="3">
                        <c:v>2024</c:v>
                      </c:pt>
                      <c:pt idx="4">
                        <c:v>2025</c:v>
                      </c:pt>
                      <c:pt idx="5">
                        <c:v>2026</c:v>
                      </c:pt>
                      <c:pt idx="6">
                        <c:v>2027</c:v>
                      </c:pt>
                    </c:numCache>
                  </c:numRef>
                </c:val>
                <c:smooth val="0"/>
                <c:extLst>
                  <c:ext xmlns:c16="http://schemas.microsoft.com/office/drawing/2014/chart" uri="{C3380CC4-5D6E-409C-BE32-E72D297353CC}">
                    <c16:uniqueId val="{00000000-6EDE-4883-A319-525EF5D927A7}"/>
                  </c:ext>
                </c:extLst>
              </c15:ser>
            </c15:filteredLineSeries>
          </c:ext>
        </c:extLst>
      </c:lineChart>
      <c:catAx>
        <c:axId val="671418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fi-FI"/>
          </a:p>
        </c:txPr>
        <c:crossAx val="426464904"/>
        <c:crosses val="autoZero"/>
        <c:auto val="1"/>
        <c:lblAlgn val="ctr"/>
        <c:lblOffset val="100"/>
        <c:noMultiLvlLbl val="0"/>
      </c:catAx>
      <c:valAx>
        <c:axId val="426464904"/>
        <c:scaling>
          <c:orientation val="minMax"/>
        </c:scaling>
        <c:delete val="0"/>
        <c:axPos val="l"/>
        <c:majorGridlines>
          <c:spPr>
            <a:ln w="9525" cap="flat" cmpd="sng" algn="ctr">
              <a:solidFill>
                <a:schemeClr val="tx1">
                  <a:lumMod val="15000"/>
                  <a:lumOff val="85000"/>
                </a:schemeClr>
              </a:solidFill>
              <a:round/>
            </a:ln>
            <a:effectLst/>
          </c:spPr>
        </c:majorGridlines>
        <c:numFmt formatCode="#\ ##0_ ;[Red]\-#\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671418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Vuosikate,</a:t>
            </a:r>
            <a:r>
              <a:rPr lang="fi-FI" baseline="0"/>
              <a:t> €/as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lineChart>
        <c:grouping val="standard"/>
        <c:varyColors val="0"/>
        <c:ser>
          <c:idx val="1"/>
          <c:order val="1"/>
          <c:tx>
            <c:strRef>
              <c:f>Taulukot!$B$66</c:f>
              <c:strCache>
                <c:ptCount val="1"/>
                <c:pt idx="0">
                  <c:v>yli 100 000 asukasta</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Taulukot!$N$65:$V$65</c15:sqref>
                  </c15:fullRef>
                </c:ext>
              </c:extLst>
              <c:f>Taulukot!$P$65:$V$65</c:f>
              <c:numCache>
                <c:formatCode>General</c:formatCode>
                <c:ptCount val="7"/>
                <c:pt idx="0">
                  <c:v>2021</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Taulukot!$N$66:$V$66</c15:sqref>
                  </c15:fullRef>
                </c:ext>
              </c:extLst>
              <c:f>Taulukot!$P$66:$V$66</c:f>
              <c:numCache>
                <c:formatCode>#\ ##0_ ;[Red]\-#\ ##0\ </c:formatCode>
                <c:ptCount val="7"/>
                <c:pt idx="0">
                  <c:v>831.45883203660003</c:v>
                </c:pt>
                <c:pt idx="1">
                  <c:v>802.20747601574237</c:v>
                </c:pt>
                <c:pt idx="2">
                  <c:v>878.98502466440914</c:v>
                </c:pt>
                <c:pt idx="3">
                  <c:v>607.10672298173449</c:v>
                </c:pt>
                <c:pt idx="4">
                  <c:v>499.45897661389671</c:v>
                </c:pt>
                <c:pt idx="5">
                  <c:v>517.01366435061175</c:v>
                </c:pt>
                <c:pt idx="6">
                  <c:v>530.33777749976048</c:v>
                </c:pt>
              </c:numCache>
            </c:numRef>
          </c:val>
          <c:smooth val="0"/>
          <c:extLst>
            <c:ext xmlns:c16="http://schemas.microsoft.com/office/drawing/2014/chart" uri="{C3380CC4-5D6E-409C-BE32-E72D297353CC}">
              <c16:uniqueId val="{00000001-CEB3-4345-A840-1445A115BABB}"/>
            </c:ext>
          </c:extLst>
        </c:ser>
        <c:ser>
          <c:idx val="2"/>
          <c:order val="2"/>
          <c:tx>
            <c:strRef>
              <c:f>Taulukot!$B$67</c:f>
              <c:strCache>
                <c:ptCount val="1"/>
                <c:pt idx="0">
                  <c:v>40 001 – 100 000 </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Taulukot!$N$65:$V$65</c15:sqref>
                  </c15:fullRef>
                </c:ext>
              </c:extLst>
              <c:f>Taulukot!$P$65:$V$65</c:f>
              <c:numCache>
                <c:formatCode>General</c:formatCode>
                <c:ptCount val="7"/>
                <c:pt idx="0">
                  <c:v>2021</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Taulukot!$N$67:$V$67</c15:sqref>
                  </c15:fullRef>
                </c:ext>
              </c:extLst>
              <c:f>Taulukot!$P$67:$V$67</c:f>
              <c:numCache>
                <c:formatCode>#\ ##0_ ;[Red]\-#\ ##0\ </c:formatCode>
                <c:ptCount val="7"/>
                <c:pt idx="0">
                  <c:v>549.68289828827403</c:v>
                </c:pt>
                <c:pt idx="1">
                  <c:v>461.86906425109436</c:v>
                </c:pt>
                <c:pt idx="2">
                  <c:v>681.15412653417184</c:v>
                </c:pt>
                <c:pt idx="3">
                  <c:v>378.32156850266142</c:v>
                </c:pt>
                <c:pt idx="4">
                  <c:v>264.60332266822843</c:v>
                </c:pt>
                <c:pt idx="5">
                  <c:v>302.6821291979175</c:v>
                </c:pt>
                <c:pt idx="6">
                  <c:v>324.31950260086046</c:v>
                </c:pt>
              </c:numCache>
            </c:numRef>
          </c:val>
          <c:smooth val="0"/>
          <c:extLst>
            <c:ext xmlns:c16="http://schemas.microsoft.com/office/drawing/2014/chart" uri="{C3380CC4-5D6E-409C-BE32-E72D297353CC}">
              <c16:uniqueId val="{00000002-CEB3-4345-A840-1445A115BABB}"/>
            </c:ext>
          </c:extLst>
        </c:ser>
        <c:ser>
          <c:idx val="3"/>
          <c:order val="3"/>
          <c:tx>
            <c:strRef>
              <c:f>Taulukot!$B$68</c:f>
              <c:strCache>
                <c:ptCount val="1"/>
                <c:pt idx="0">
                  <c:v>20 001 – 40 000</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Taulukot!$N$65:$V$65</c15:sqref>
                  </c15:fullRef>
                </c:ext>
              </c:extLst>
              <c:f>Taulukot!$P$65:$V$65</c:f>
              <c:numCache>
                <c:formatCode>General</c:formatCode>
                <c:ptCount val="7"/>
                <c:pt idx="0">
                  <c:v>2021</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Taulukot!$N$68:$V$68</c15:sqref>
                  </c15:fullRef>
                </c:ext>
              </c:extLst>
              <c:f>Taulukot!$P$68:$V$68</c:f>
              <c:numCache>
                <c:formatCode>#\ ##0_ ;[Red]\-#\ ##0\ </c:formatCode>
                <c:ptCount val="7"/>
                <c:pt idx="0">
                  <c:v>597.32312578910762</c:v>
                </c:pt>
                <c:pt idx="1">
                  <c:v>533.02879266674222</c:v>
                </c:pt>
                <c:pt idx="2">
                  <c:v>784.49813483085734</c:v>
                </c:pt>
                <c:pt idx="3">
                  <c:v>464.36472665448122</c:v>
                </c:pt>
                <c:pt idx="4">
                  <c:v>384.30296074862468</c:v>
                </c:pt>
                <c:pt idx="5">
                  <c:v>384.60800457036322</c:v>
                </c:pt>
                <c:pt idx="6">
                  <c:v>398.34053039348385</c:v>
                </c:pt>
              </c:numCache>
            </c:numRef>
          </c:val>
          <c:smooth val="0"/>
          <c:extLst>
            <c:ext xmlns:c16="http://schemas.microsoft.com/office/drawing/2014/chart" uri="{C3380CC4-5D6E-409C-BE32-E72D297353CC}">
              <c16:uniqueId val="{00000003-CEB3-4345-A840-1445A115BABB}"/>
            </c:ext>
          </c:extLst>
        </c:ser>
        <c:ser>
          <c:idx val="4"/>
          <c:order val="4"/>
          <c:tx>
            <c:strRef>
              <c:f>Taulukot!$B$69</c:f>
              <c:strCache>
                <c:ptCount val="1"/>
                <c:pt idx="0">
                  <c:v>10 001 – 20 000 </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Taulukot!$N$65:$V$65</c15:sqref>
                  </c15:fullRef>
                </c:ext>
              </c:extLst>
              <c:f>Taulukot!$P$65:$V$65</c:f>
              <c:numCache>
                <c:formatCode>General</c:formatCode>
                <c:ptCount val="7"/>
                <c:pt idx="0">
                  <c:v>2021</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Taulukot!$N$69:$V$69</c15:sqref>
                  </c15:fullRef>
                </c:ext>
              </c:extLst>
              <c:f>Taulukot!$P$69:$V$69</c:f>
              <c:numCache>
                <c:formatCode>#\ ##0_ ;[Red]\-#\ ##0\ </c:formatCode>
                <c:ptCount val="7"/>
                <c:pt idx="0">
                  <c:v>501.14340387544752</c:v>
                </c:pt>
                <c:pt idx="1">
                  <c:v>434.77818735753829</c:v>
                </c:pt>
                <c:pt idx="2">
                  <c:v>632.71246300872281</c:v>
                </c:pt>
                <c:pt idx="3">
                  <c:v>387.36048351043939</c:v>
                </c:pt>
                <c:pt idx="4">
                  <c:v>268.10878501946814</c:v>
                </c:pt>
                <c:pt idx="5">
                  <c:v>286.67232225216765</c:v>
                </c:pt>
                <c:pt idx="6">
                  <c:v>304.03619106816404</c:v>
                </c:pt>
              </c:numCache>
            </c:numRef>
          </c:val>
          <c:smooth val="0"/>
          <c:extLst>
            <c:ext xmlns:c16="http://schemas.microsoft.com/office/drawing/2014/chart" uri="{C3380CC4-5D6E-409C-BE32-E72D297353CC}">
              <c16:uniqueId val="{00000004-CEB3-4345-A840-1445A115BABB}"/>
            </c:ext>
          </c:extLst>
        </c:ser>
        <c:ser>
          <c:idx val="5"/>
          <c:order val="5"/>
          <c:tx>
            <c:strRef>
              <c:f>Taulukot!$B$70</c:f>
              <c:strCache>
                <c:ptCount val="1"/>
                <c:pt idx="0">
                  <c:v>5 001 – 10 000 </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Taulukot!$N$65:$V$65</c15:sqref>
                  </c15:fullRef>
                </c:ext>
              </c:extLst>
              <c:f>Taulukot!$P$65:$V$65</c:f>
              <c:numCache>
                <c:formatCode>General</c:formatCode>
                <c:ptCount val="7"/>
                <c:pt idx="0">
                  <c:v>2021</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Taulukot!$N$70:$V$70</c15:sqref>
                  </c15:fullRef>
                </c:ext>
              </c:extLst>
              <c:f>Taulukot!$P$70:$V$70</c:f>
              <c:numCache>
                <c:formatCode>#\ ##0_ ;[Red]\-#\ ##0\ </c:formatCode>
                <c:ptCount val="7"/>
                <c:pt idx="0">
                  <c:v>567.06088175303921</c:v>
                </c:pt>
                <c:pt idx="1">
                  <c:v>625.28525666071255</c:v>
                </c:pt>
                <c:pt idx="2">
                  <c:v>634.77271056658901</c:v>
                </c:pt>
                <c:pt idx="3">
                  <c:v>429.89697967037398</c:v>
                </c:pt>
                <c:pt idx="4">
                  <c:v>334.19483770582127</c:v>
                </c:pt>
                <c:pt idx="5">
                  <c:v>326.8561013112872</c:v>
                </c:pt>
                <c:pt idx="6">
                  <c:v>334.43764208745341</c:v>
                </c:pt>
              </c:numCache>
            </c:numRef>
          </c:val>
          <c:smooth val="0"/>
          <c:extLst>
            <c:ext xmlns:c16="http://schemas.microsoft.com/office/drawing/2014/chart" uri="{C3380CC4-5D6E-409C-BE32-E72D297353CC}">
              <c16:uniqueId val="{00000005-CEB3-4345-A840-1445A115BABB}"/>
            </c:ext>
          </c:extLst>
        </c:ser>
        <c:ser>
          <c:idx val="6"/>
          <c:order val="6"/>
          <c:tx>
            <c:strRef>
              <c:f>Taulukot!$B$71</c:f>
              <c:strCache>
                <c:ptCount val="1"/>
                <c:pt idx="0">
                  <c:v>2 001 – 5 000 </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Taulukot!$N$65:$V$65</c15:sqref>
                  </c15:fullRef>
                </c:ext>
              </c:extLst>
              <c:f>Taulukot!$P$65:$V$65</c:f>
              <c:numCache>
                <c:formatCode>General</c:formatCode>
                <c:ptCount val="7"/>
                <c:pt idx="0">
                  <c:v>2021</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Taulukot!$N$71:$V$71</c15:sqref>
                  </c15:fullRef>
                </c:ext>
              </c:extLst>
              <c:f>Taulukot!$P$71:$V$71</c:f>
              <c:numCache>
                <c:formatCode>#\ ##0_ ;[Red]\-#\ ##0\ </c:formatCode>
                <c:ptCount val="7"/>
                <c:pt idx="0">
                  <c:v>617.62250446991504</c:v>
                </c:pt>
                <c:pt idx="1">
                  <c:v>532.14421926003922</c:v>
                </c:pt>
                <c:pt idx="2">
                  <c:v>558.38930020232976</c:v>
                </c:pt>
                <c:pt idx="3">
                  <c:v>369.87260806872433</c:v>
                </c:pt>
                <c:pt idx="4">
                  <c:v>171.22435981463829</c:v>
                </c:pt>
                <c:pt idx="5">
                  <c:v>122.03794596114537</c:v>
                </c:pt>
                <c:pt idx="6">
                  <c:v>76.421038699689575</c:v>
                </c:pt>
              </c:numCache>
            </c:numRef>
          </c:val>
          <c:smooth val="0"/>
          <c:extLst>
            <c:ext xmlns:c16="http://schemas.microsoft.com/office/drawing/2014/chart" uri="{C3380CC4-5D6E-409C-BE32-E72D297353CC}">
              <c16:uniqueId val="{00000006-CEB3-4345-A840-1445A115BABB}"/>
            </c:ext>
          </c:extLst>
        </c:ser>
        <c:ser>
          <c:idx val="7"/>
          <c:order val="7"/>
          <c:tx>
            <c:strRef>
              <c:f>Taulukot!$B$72</c:f>
              <c:strCache>
                <c:ptCount val="1"/>
                <c:pt idx="0">
                  <c:v>alle 2 000 </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Taulukot!$N$65:$V$65</c15:sqref>
                  </c15:fullRef>
                </c:ext>
              </c:extLst>
              <c:f>Taulukot!$P$65:$V$65</c:f>
              <c:numCache>
                <c:formatCode>General</c:formatCode>
                <c:ptCount val="7"/>
                <c:pt idx="0">
                  <c:v>2021</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Taulukot!$N$72:$V$72</c15:sqref>
                  </c15:fullRef>
                </c:ext>
              </c:extLst>
              <c:f>Taulukot!$P$72:$V$72</c:f>
              <c:numCache>
                <c:formatCode>#\ ##0_ ;[Red]\-#\ ##0\ </c:formatCode>
                <c:ptCount val="7"/>
                <c:pt idx="0">
                  <c:v>518.36066262509223</c:v>
                </c:pt>
                <c:pt idx="1">
                  <c:v>475.69873284844249</c:v>
                </c:pt>
                <c:pt idx="2">
                  <c:v>364.0831312167125</c:v>
                </c:pt>
                <c:pt idx="3">
                  <c:v>276.29143277864921</c:v>
                </c:pt>
                <c:pt idx="4">
                  <c:v>105.89546777275477</c:v>
                </c:pt>
                <c:pt idx="5">
                  <c:v>50.284327417838085</c:v>
                </c:pt>
                <c:pt idx="6">
                  <c:v>27.075120674031226</c:v>
                </c:pt>
              </c:numCache>
            </c:numRef>
          </c:val>
          <c:smooth val="0"/>
          <c:extLst>
            <c:ext xmlns:c16="http://schemas.microsoft.com/office/drawing/2014/chart" uri="{C3380CC4-5D6E-409C-BE32-E72D297353CC}">
              <c16:uniqueId val="{00000007-CEB3-4345-A840-1445A115BABB}"/>
            </c:ext>
          </c:extLst>
        </c:ser>
        <c:ser>
          <c:idx val="8"/>
          <c:order val="8"/>
          <c:tx>
            <c:strRef>
              <c:f>Taulukot!$B$73</c:f>
              <c:strCache>
                <c:ptCount val="1"/>
                <c:pt idx="0">
                  <c:v>Manner-Suomen kunnat yhteensä</c:v>
                </c:pt>
              </c:strCache>
            </c:strRef>
          </c:tx>
          <c:spPr>
            <a:ln w="28575" cap="rnd">
              <a:solidFill>
                <a:schemeClr val="accent3">
                  <a:lumMod val="60000"/>
                </a:schemeClr>
              </a:solidFill>
              <a:round/>
            </a:ln>
            <a:effectLst/>
          </c:spPr>
          <c:marker>
            <c:symbol val="none"/>
          </c:marker>
          <c:cat>
            <c:numRef>
              <c:extLst>
                <c:ext xmlns:c15="http://schemas.microsoft.com/office/drawing/2012/chart" uri="{02D57815-91ED-43cb-92C2-25804820EDAC}">
                  <c15:fullRef>
                    <c15:sqref>Taulukot!$N$65:$V$65</c15:sqref>
                  </c15:fullRef>
                </c:ext>
              </c:extLst>
              <c:f>Taulukot!$P$65:$V$65</c:f>
              <c:numCache>
                <c:formatCode>General</c:formatCode>
                <c:ptCount val="7"/>
                <c:pt idx="0">
                  <c:v>2021</c:v>
                </c:pt>
                <c:pt idx="1">
                  <c:v>2022</c:v>
                </c:pt>
                <c:pt idx="2">
                  <c:v>2023</c:v>
                </c:pt>
                <c:pt idx="3">
                  <c:v>2024</c:v>
                </c:pt>
                <c:pt idx="4">
                  <c:v>2025</c:v>
                </c:pt>
                <c:pt idx="5">
                  <c:v>2026</c:v>
                </c:pt>
                <c:pt idx="6">
                  <c:v>2027</c:v>
                </c:pt>
              </c:numCache>
            </c:numRef>
          </c:cat>
          <c:val>
            <c:numRef>
              <c:extLst>
                <c:ext xmlns:c15="http://schemas.microsoft.com/office/drawing/2012/chart" uri="{02D57815-91ED-43cb-92C2-25804820EDAC}">
                  <c15:fullRef>
                    <c15:sqref>Taulukot!$N$73:$V$73</c15:sqref>
                  </c15:fullRef>
                </c:ext>
              </c:extLst>
              <c:f>Taulukot!$P$73:$V$73</c:f>
              <c:numCache>
                <c:formatCode>#\ ##0_ ;[Red]\-#\ ##0\ </c:formatCode>
                <c:ptCount val="7"/>
                <c:pt idx="0">
                  <c:v>669.72449173953407</c:v>
                </c:pt>
                <c:pt idx="1">
                  <c:v>626.89582336940953</c:v>
                </c:pt>
                <c:pt idx="2">
                  <c:v>758.377738319983</c:v>
                </c:pt>
                <c:pt idx="3">
                  <c:v>489.49750027425756</c:v>
                </c:pt>
                <c:pt idx="4">
                  <c:v>379.9736821040338</c:v>
                </c:pt>
                <c:pt idx="5">
                  <c:v>393.70487271731884</c:v>
                </c:pt>
                <c:pt idx="6">
                  <c:v>406.12405178495146</c:v>
                </c:pt>
              </c:numCache>
            </c:numRef>
          </c:val>
          <c:smooth val="0"/>
          <c:extLst>
            <c:ext xmlns:c16="http://schemas.microsoft.com/office/drawing/2014/chart" uri="{C3380CC4-5D6E-409C-BE32-E72D297353CC}">
              <c16:uniqueId val="{00000002-3C36-4AC8-8521-E0750E28BC28}"/>
            </c:ext>
          </c:extLst>
        </c:ser>
        <c:dLbls>
          <c:showLegendKey val="0"/>
          <c:showVal val="0"/>
          <c:showCatName val="0"/>
          <c:showSerName val="0"/>
          <c:showPercent val="0"/>
          <c:showBubbleSize val="0"/>
        </c:dLbls>
        <c:smooth val="0"/>
        <c:axId val="603912888"/>
        <c:axId val="603913544"/>
        <c:extLst>
          <c:ext xmlns:c15="http://schemas.microsoft.com/office/drawing/2012/chart" uri="{02D57815-91ED-43cb-92C2-25804820EDAC}">
            <c15:filteredLineSeries>
              <c15:ser>
                <c:idx val="0"/>
                <c:order val="0"/>
                <c:tx>
                  <c:strRef>
                    <c:extLst>
                      <c:ext uri="{02D57815-91ED-43cb-92C2-25804820EDAC}">
                        <c15:formulaRef>
                          <c15:sqref>Taulukot!$B$65</c15:sqref>
                        </c15:formulaRef>
                      </c:ext>
                    </c:extLst>
                    <c:strCache>
                      <c:ptCount val="1"/>
                      <c:pt idx="0">
                        <c:v>Vuosikate 1000 €</c:v>
                      </c:pt>
                    </c:strCache>
                  </c:strRef>
                </c:tx>
                <c:spPr>
                  <a:ln w="28575" cap="rnd">
                    <a:solidFill>
                      <a:schemeClr val="accent1"/>
                    </a:solidFill>
                    <a:round/>
                  </a:ln>
                  <a:effectLst/>
                </c:spPr>
                <c:marker>
                  <c:symbol val="none"/>
                </c:marker>
                <c:cat>
                  <c:numRef>
                    <c:extLst>
                      <c:ext uri="{02D57815-91ED-43cb-92C2-25804820EDAC}">
                        <c15:fullRef>
                          <c15:sqref>Taulukot!$N$65:$V$65</c15:sqref>
                        </c15:fullRef>
                        <c15:formulaRef>
                          <c15:sqref>Taulukot!$P$65:$V$65</c15:sqref>
                        </c15:formulaRef>
                      </c:ext>
                    </c:extLst>
                    <c:numCache>
                      <c:formatCode>General</c:formatCode>
                      <c:ptCount val="7"/>
                      <c:pt idx="0">
                        <c:v>2021</c:v>
                      </c:pt>
                      <c:pt idx="1">
                        <c:v>2022</c:v>
                      </c:pt>
                      <c:pt idx="2">
                        <c:v>2023</c:v>
                      </c:pt>
                      <c:pt idx="3">
                        <c:v>2024</c:v>
                      </c:pt>
                      <c:pt idx="4">
                        <c:v>2025</c:v>
                      </c:pt>
                      <c:pt idx="5">
                        <c:v>2026</c:v>
                      </c:pt>
                      <c:pt idx="6">
                        <c:v>2027</c:v>
                      </c:pt>
                    </c:numCache>
                  </c:numRef>
                </c:cat>
                <c:val>
                  <c:numRef>
                    <c:extLst>
                      <c:ext uri="{02D57815-91ED-43cb-92C2-25804820EDAC}">
                        <c15:fullRef>
                          <c15:sqref>Taulukot!$N$65:$V$65</c15:sqref>
                        </c15:fullRef>
                        <c15:formulaRef>
                          <c15:sqref>Taulukot!$P$65:$V$65</c15:sqref>
                        </c15:formulaRef>
                      </c:ext>
                    </c:extLst>
                    <c:numCache>
                      <c:formatCode>General</c:formatCode>
                      <c:ptCount val="7"/>
                      <c:pt idx="0">
                        <c:v>2021</c:v>
                      </c:pt>
                      <c:pt idx="1">
                        <c:v>2022</c:v>
                      </c:pt>
                      <c:pt idx="2">
                        <c:v>2023</c:v>
                      </c:pt>
                      <c:pt idx="3">
                        <c:v>2024</c:v>
                      </c:pt>
                      <c:pt idx="4">
                        <c:v>2025</c:v>
                      </c:pt>
                      <c:pt idx="5">
                        <c:v>2026</c:v>
                      </c:pt>
                      <c:pt idx="6">
                        <c:v>2027</c:v>
                      </c:pt>
                    </c:numCache>
                  </c:numRef>
                </c:val>
                <c:smooth val="0"/>
                <c:extLst>
                  <c:ext xmlns:c16="http://schemas.microsoft.com/office/drawing/2014/chart" uri="{C3380CC4-5D6E-409C-BE32-E72D297353CC}">
                    <c16:uniqueId val="{00000000-CEB3-4345-A840-1445A115BABB}"/>
                  </c:ext>
                </c:extLst>
              </c15:ser>
            </c15:filteredLineSeries>
          </c:ext>
        </c:extLst>
      </c:lineChart>
      <c:catAx>
        <c:axId val="603912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603913544"/>
        <c:crosses val="autoZero"/>
        <c:auto val="1"/>
        <c:lblAlgn val="ctr"/>
        <c:lblOffset val="100"/>
        <c:noMultiLvlLbl val="0"/>
      </c:catAx>
      <c:valAx>
        <c:axId val="603913544"/>
        <c:scaling>
          <c:orientation val="minMax"/>
        </c:scaling>
        <c:delete val="0"/>
        <c:axPos val="l"/>
        <c:majorGridlines>
          <c:spPr>
            <a:ln w="9525" cap="flat" cmpd="sng" algn="ctr">
              <a:solidFill>
                <a:schemeClr val="tx1">
                  <a:lumMod val="15000"/>
                  <a:lumOff val="85000"/>
                </a:schemeClr>
              </a:solidFill>
              <a:round/>
            </a:ln>
            <a:effectLst/>
          </c:spPr>
        </c:majorGridlines>
        <c:numFmt formatCode="#\ ##0_ ;[Red]\-#\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603912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400" b="0" i="0" baseline="0">
                <a:effectLst/>
              </a:rPr>
              <a:t>Toiminnan ja investointien rahavirta €/as</a:t>
            </a:r>
            <a:endParaRPr lang="fi-FI"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lineChart>
        <c:grouping val="standard"/>
        <c:varyColors val="0"/>
        <c:ser>
          <c:idx val="1"/>
          <c:order val="1"/>
          <c:tx>
            <c:strRef>
              <c:f>Taulukot!$B$5</c:f>
              <c:strCache>
                <c:ptCount val="1"/>
                <c:pt idx="0">
                  <c:v>yli 100 000 asukasta</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Taulukot!$Q$4:$W$4</c15:sqref>
                  </c15:fullRef>
                </c:ext>
              </c:extLst>
              <c:f>Taulukot!$R$4:$W$4</c:f>
              <c:numCache>
                <c:formatCode>General</c:formatCode>
                <c:ptCount val="6"/>
                <c:pt idx="0">
                  <c:v>2023</c:v>
                </c:pt>
                <c:pt idx="1">
                  <c:v>2024</c:v>
                </c:pt>
                <c:pt idx="2">
                  <c:v>2025</c:v>
                </c:pt>
                <c:pt idx="3">
                  <c:v>2026</c:v>
                </c:pt>
                <c:pt idx="4">
                  <c:v>2027</c:v>
                </c:pt>
                <c:pt idx="5">
                  <c:v>2028</c:v>
                </c:pt>
              </c:numCache>
            </c:numRef>
          </c:cat>
          <c:val>
            <c:numRef>
              <c:extLst>
                <c:ext xmlns:c15="http://schemas.microsoft.com/office/drawing/2012/chart" uri="{02D57815-91ED-43cb-92C2-25804820EDAC}">
                  <c15:fullRef>
                    <c15:sqref>Taulukot!$Q$5:$W$5</c15:sqref>
                  </c15:fullRef>
                </c:ext>
              </c:extLst>
              <c:f>Taulukot!$R$5:$W$5</c:f>
              <c:numCache>
                <c:formatCode>#\ ##0_ ;[Red]\-#\ ##0\ </c:formatCode>
                <c:ptCount val="6"/>
                <c:pt idx="0">
                  <c:v>26.386972269881323</c:v>
                </c:pt>
                <c:pt idx="1">
                  <c:v>-120.19116644991973</c:v>
                </c:pt>
                <c:pt idx="2">
                  <c:v>-327.29704855959187</c:v>
                </c:pt>
                <c:pt idx="3">
                  <c:v>-332.37022175450784</c:v>
                </c:pt>
                <c:pt idx="4">
                  <c:v>-350.46696674414886</c:v>
                </c:pt>
                <c:pt idx="5">
                  <c:v>-341.32565328854315</c:v>
                </c:pt>
              </c:numCache>
            </c:numRef>
          </c:val>
          <c:smooth val="0"/>
          <c:extLst>
            <c:ext xmlns:c16="http://schemas.microsoft.com/office/drawing/2014/chart" uri="{C3380CC4-5D6E-409C-BE32-E72D297353CC}">
              <c16:uniqueId val="{00000001-9F1E-49CA-8565-623196CBCA89}"/>
            </c:ext>
          </c:extLst>
        </c:ser>
        <c:ser>
          <c:idx val="2"/>
          <c:order val="2"/>
          <c:tx>
            <c:strRef>
              <c:f>Taulukot!$B$6</c:f>
              <c:strCache>
                <c:ptCount val="1"/>
                <c:pt idx="0">
                  <c:v>40 001 – 100 000 </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Taulukot!$Q$4:$W$4</c15:sqref>
                  </c15:fullRef>
                </c:ext>
              </c:extLst>
              <c:f>Taulukot!$R$4:$W$4</c:f>
              <c:numCache>
                <c:formatCode>General</c:formatCode>
                <c:ptCount val="6"/>
                <c:pt idx="0">
                  <c:v>2023</c:v>
                </c:pt>
                <c:pt idx="1">
                  <c:v>2024</c:v>
                </c:pt>
                <c:pt idx="2">
                  <c:v>2025</c:v>
                </c:pt>
                <c:pt idx="3">
                  <c:v>2026</c:v>
                </c:pt>
                <c:pt idx="4">
                  <c:v>2027</c:v>
                </c:pt>
                <c:pt idx="5">
                  <c:v>2028</c:v>
                </c:pt>
              </c:numCache>
            </c:numRef>
          </c:cat>
          <c:val>
            <c:numRef>
              <c:extLst>
                <c:ext xmlns:c15="http://schemas.microsoft.com/office/drawing/2012/chart" uri="{02D57815-91ED-43cb-92C2-25804820EDAC}">
                  <c15:fullRef>
                    <c15:sqref>Taulukot!$Q$6:$W$6</c15:sqref>
                  </c15:fullRef>
                </c:ext>
              </c:extLst>
              <c:f>Taulukot!$R$6:$W$6</c:f>
              <c:numCache>
                <c:formatCode>#\ ##0_ ;[Red]\-#\ ##0\ </c:formatCode>
                <c:ptCount val="6"/>
                <c:pt idx="0">
                  <c:v>171.09224971438263</c:v>
                </c:pt>
                <c:pt idx="1">
                  <c:v>-191.11521464451505</c:v>
                </c:pt>
                <c:pt idx="2">
                  <c:v>-330.41532666241352</c:v>
                </c:pt>
                <c:pt idx="3">
                  <c:v>-315.7943879404142</c:v>
                </c:pt>
                <c:pt idx="4">
                  <c:v>-322.9830933166395</c:v>
                </c:pt>
                <c:pt idx="5">
                  <c:v>-268.96509732935948</c:v>
                </c:pt>
              </c:numCache>
            </c:numRef>
          </c:val>
          <c:smooth val="0"/>
          <c:extLst>
            <c:ext xmlns:c16="http://schemas.microsoft.com/office/drawing/2014/chart" uri="{C3380CC4-5D6E-409C-BE32-E72D297353CC}">
              <c16:uniqueId val="{00000002-9F1E-49CA-8565-623196CBCA89}"/>
            </c:ext>
          </c:extLst>
        </c:ser>
        <c:ser>
          <c:idx val="3"/>
          <c:order val="3"/>
          <c:tx>
            <c:strRef>
              <c:f>Taulukot!$B$7</c:f>
              <c:strCache>
                <c:ptCount val="1"/>
                <c:pt idx="0">
                  <c:v>20 001 – 40 000</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Taulukot!$Q$4:$W$4</c15:sqref>
                  </c15:fullRef>
                </c:ext>
              </c:extLst>
              <c:f>Taulukot!$R$4:$W$4</c:f>
              <c:numCache>
                <c:formatCode>General</c:formatCode>
                <c:ptCount val="6"/>
                <c:pt idx="0">
                  <c:v>2023</c:v>
                </c:pt>
                <c:pt idx="1">
                  <c:v>2024</c:v>
                </c:pt>
                <c:pt idx="2">
                  <c:v>2025</c:v>
                </c:pt>
                <c:pt idx="3">
                  <c:v>2026</c:v>
                </c:pt>
                <c:pt idx="4">
                  <c:v>2027</c:v>
                </c:pt>
                <c:pt idx="5">
                  <c:v>2028</c:v>
                </c:pt>
              </c:numCache>
            </c:numRef>
          </c:cat>
          <c:val>
            <c:numRef>
              <c:extLst>
                <c:ext xmlns:c15="http://schemas.microsoft.com/office/drawing/2012/chart" uri="{02D57815-91ED-43cb-92C2-25804820EDAC}">
                  <c15:fullRef>
                    <c15:sqref>Taulukot!$Q$7:$W$7</c15:sqref>
                  </c15:fullRef>
                </c:ext>
              </c:extLst>
              <c:f>Taulukot!$R$7:$W$7</c:f>
              <c:numCache>
                <c:formatCode>#\ ##0_ ;[Red]\-#\ ##0\ </c:formatCode>
                <c:ptCount val="6"/>
                <c:pt idx="0">
                  <c:v>-64.873512193136975</c:v>
                </c:pt>
                <c:pt idx="1">
                  <c:v>-266.89760283654965</c:v>
                </c:pt>
                <c:pt idx="2">
                  <c:v>-369.70805988829466</c:v>
                </c:pt>
                <c:pt idx="3">
                  <c:v>-399.30620285623468</c:v>
                </c:pt>
                <c:pt idx="4">
                  <c:v>-421.40337484471286</c:v>
                </c:pt>
                <c:pt idx="5">
                  <c:v>-379.56204495877728</c:v>
                </c:pt>
              </c:numCache>
            </c:numRef>
          </c:val>
          <c:smooth val="0"/>
          <c:extLst>
            <c:ext xmlns:c16="http://schemas.microsoft.com/office/drawing/2014/chart" uri="{C3380CC4-5D6E-409C-BE32-E72D297353CC}">
              <c16:uniqueId val="{00000003-9F1E-49CA-8565-623196CBCA89}"/>
            </c:ext>
          </c:extLst>
        </c:ser>
        <c:ser>
          <c:idx val="4"/>
          <c:order val="4"/>
          <c:tx>
            <c:strRef>
              <c:f>Taulukot!$B$8</c:f>
              <c:strCache>
                <c:ptCount val="1"/>
                <c:pt idx="0">
                  <c:v>10 001 – 20 000 </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Taulukot!$Q$4:$W$4</c15:sqref>
                  </c15:fullRef>
                </c:ext>
              </c:extLst>
              <c:f>Taulukot!$R$4:$W$4</c:f>
              <c:numCache>
                <c:formatCode>General</c:formatCode>
                <c:ptCount val="6"/>
                <c:pt idx="0">
                  <c:v>2023</c:v>
                </c:pt>
                <c:pt idx="1">
                  <c:v>2024</c:v>
                </c:pt>
                <c:pt idx="2">
                  <c:v>2025</c:v>
                </c:pt>
                <c:pt idx="3">
                  <c:v>2026</c:v>
                </c:pt>
                <c:pt idx="4">
                  <c:v>2027</c:v>
                </c:pt>
                <c:pt idx="5">
                  <c:v>2028</c:v>
                </c:pt>
              </c:numCache>
            </c:numRef>
          </c:cat>
          <c:val>
            <c:numRef>
              <c:extLst>
                <c:ext xmlns:c15="http://schemas.microsoft.com/office/drawing/2012/chart" uri="{02D57815-91ED-43cb-92C2-25804820EDAC}">
                  <c15:fullRef>
                    <c15:sqref>Taulukot!$Q$8:$W$8</c15:sqref>
                  </c15:fullRef>
                </c:ext>
              </c:extLst>
              <c:f>Taulukot!$R$8:$W$8</c:f>
              <c:numCache>
                <c:formatCode>#\ ##0_ ;[Red]\-#\ ##0\ </c:formatCode>
                <c:ptCount val="6"/>
                <c:pt idx="0">
                  <c:v>-3.8347199286183562</c:v>
                </c:pt>
                <c:pt idx="1">
                  <c:v>-235.70880952541194</c:v>
                </c:pt>
                <c:pt idx="2">
                  <c:v>-401.72219484872284</c:v>
                </c:pt>
                <c:pt idx="3">
                  <c:v>-400.84994776600536</c:v>
                </c:pt>
                <c:pt idx="4">
                  <c:v>-424.04978162920168</c:v>
                </c:pt>
                <c:pt idx="5">
                  <c:v>-357.64411588348611</c:v>
                </c:pt>
              </c:numCache>
            </c:numRef>
          </c:val>
          <c:smooth val="0"/>
          <c:extLst>
            <c:ext xmlns:c16="http://schemas.microsoft.com/office/drawing/2014/chart" uri="{C3380CC4-5D6E-409C-BE32-E72D297353CC}">
              <c16:uniqueId val="{00000004-9F1E-49CA-8565-623196CBCA89}"/>
            </c:ext>
          </c:extLst>
        </c:ser>
        <c:ser>
          <c:idx val="5"/>
          <c:order val="5"/>
          <c:tx>
            <c:strRef>
              <c:f>Taulukot!$B$9</c:f>
              <c:strCache>
                <c:ptCount val="1"/>
                <c:pt idx="0">
                  <c:v>5 001 – 10 000 </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Taulukot!$Q$4:$W$4</c15:sqref>
                  </c15:fullRef>
                </c:ext>
              </c:extLst>
              <c:f>Taulukot!$R$4:$W$4</c:f>
              <c:numCache>
                <c:formatCode>General</c:formatCode>
                <c:ptCount val="6"/>
                <c:pt idx="0">
                  <c:v>2023</c:v>
                </c:pt>
                <c:pt idx="1">
                  <c:v>2024</c:v>
                </c:pt>
                <c:pt idx="2">
                  <c:v>2025</c:v>
                </c:pt>
                <c:pt idx="3">
                  <c:v>2026</c:v>
                </c:pt>
                <c:pt idx="4">
                  <c:v>2027</c:v>
                </c:pt>
                <c:pt idx="5">
                  <c:v>2028</c:v>
                </c:pt>
              </c:numCache>
            </c:numRef>
          </c:cat>
          <c:val>
            <c:numRef>
              <c:extLst>
                <c:ext xmlns:c15="http://schemas.microsoft.com/office/drawing/2012/chart" uri="{02D57815-91ED-43cb-92C2-25804820EDAC}">
                  <c15:fullRef>
                    <c15:sqref>Taulukot!$Q$9:$W$9</c15:sqref>
                  </c15:fullRef>
                </c:ext>
              </c:extLst>
              <c:f>Taulukot!$R$9:$W$9</c:f>
              <c:numCache>
                <c:formatCode>#\ ##0_ ;[Red]\-#\ ##0\ </c:formatCode>
                <c:ptCount val="6"/>
                <c:pt idx="0">
                  <c:v>73.909096151163197</c:v>
                </c:pt>
                <c:pt idx="1">
                  <c:v>-107.0494716528344</c:v>
                </c:pt>
                <c:pt idx="2">
                  <c:v>-230.94888516482126</c:v>
                </c:pt>
                <c:pt idx="3">
                  <c:v>-259.46291860187426</c:v>
                </c:pt>
                <c:pt idx="4">
                  <c:v>-280.9031939981063</c:v>
                </c:pt>
                <c:pt idx="5">
                  <c:v>-185.79462233381531</c:v>
                </c:pt>
              </c:numCache>
            </c:numRef>
          </c:val>
          <c:smooth val="0"/>
          <c:extLst>
            <c:ext xmlns:c16="http://schemas.microsoft.com/office/drawing/2014/chart" uri="{C3380CC4-5D6E-409C-BE32-E72D297353CC}">
              <c16:uniqueId val="{00000005-9F1E-49CA-8565-623196CBCA89}"/>
            </c:ext>
          </c:extLst>
        </c:ser>
        <c:ser>
          <c:idx val="6"/>
          <c:order val="6"/>
          <c:tx>
            <c:strRef>
              <c:f>Taulukot!$B$10</c:f>
              <c:strCache>
                <c:ptCount val="1"/>
                <c:pt idx="0">
                  <c:v>2 001 – 5 000 </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Taulukot!$Q$4:$W$4</c15:sqref>
                  </c15:fullRef>
                </c:ext>
              </c:extLst>
              <c:f>Taulukot!$R$4:$W$4</c:f>
              <c:numCache>
                <c:formatCode>General</c:formatCode>
                <c:ptCount val="6"/>
                <c:pt idx="0">
                  <c:v>2023</c:v>
                </c:pt>
                <c:pt idx="1">
                  <c:v>2024</c:v>
                </c:pt>
                <c:pt idx="2">
                  <c:v>2025</c:v>
                </c:pt>
                <c:pt idx="3">
                  <c:v>2026</c:v>
                </c:pt>
                <c:pt idx="4">
                  <c:v>2027</c:v>
                </c:pt>
                <c:pt idx="5">
                  <c:v>2028</c:v>
                </c:pt>
              </c:numCache>
            </c:numRef>
          </c:cat>
          <c:val>
            <c:numRef>
              <c:extLst>
                <c:ext xmlns:c15="http://schemas.microsoft.com/office/drawing/2012/chart" uri="{02D57815-91ED-43cb-92C2-25804820EDAC}">
                  <c15:fullRef>
                    <c15:sqref>Taulukot!$Q$10:$W$10</c15:sqref>
                  </c15:fullRef>
                </c:ext>
              </c:extLst>
              <c:f>Taulukot!$R$10:$W$10</c:f>
              <c:numCache>
                <c:formatCode>#\ ##0_ ;[Red]\-#\ ##0\ </c:formatCode>
                <c:ptCount val="6"/>
                <c:pt idx="0">
                  <c:v>169.99377928746298</c:v>
                </c:pt>
                <c:pt idx="1">
                  <c:v>-120.29502682462518</c:v>
                </c:pt>
                <c:pt idx="2">
                  <c:v>-346.28037411911515</c:v>
                </c:pt>
                <c:pt idx="3">
                  <c:v>-419.52744663863689</c:v>
                </c:pt>
                <c:pt idx="4">
                  <c:v>-496.94090704784276</c:v>
                </c:pt>
                <c:pt idx="5">
                  <c:v>-442.53691434243621</c:v>
                </c:pt>
              </c:numCache>
            </c:numRef>
          </c:val>
          <c:smooth val="0"/>
          <c:extLst>
            <c:ext xmlns:c16="http://schemas.microsoft.com/office/drawing/2014/chart" uri="{C3380CC4-5D6E-409C-BE32-E72D297353CC}">
              <c16:uniqueId val="{00000006-9F1E-49CA-8565-623196CBCA89}"/>
            </c:ext>
          </c:extLst>
        </c:ser>
        <c:ser>
          <c:idx val="7"/>
          <c:order val="7"/>
          <c:tx>
            <c:strRef>
              <c:f>Taulukot!$B$11</c:f>
              <c:strCache>
                <c:ptCount val="1"/>
                <c:pt idx="0">
                  <c:v>alle 2 000 </c:v>
                </c:pt>
              </c:strCache>
            </c:strRef>
          </c:tx>
          <c:spPr>
            <a:ln w="28575" cap="rnd">
              <a:solidFill>
                <a:schemeClr val="accent2">
                  <a:lumMod val="60000"/>
                </a:schemeClr>
              </a:solidFill>
              <a:prstDash val="sysDash"/>
              <a:round/>
            </a:ln>
            <a:effectLst/>
          </c:spPr>
          <c:marker>
            <c:symbol val="none"/>
          </c:marker>
          <c:cat>
            <c:numRef>
              <c:extLst>
                <c:ext xmlns:c15="http://schemas.microsoft.com/office/drawing/2012/chart" uri="{02D57815-91ED-43cb-92C2-25804820EDAC}">
                  <c15:fullRef>
                    <c15:sqref>Taulukot!$Q$4:$W$4</c15:sqref>
                  </c15:fullRef>
                </c:ext>
              </c:extLst>
              <c:f>Taulukot!$R$4:$W$4</c:f>
              <c:numCache>
                <c:formatCode>General</c:formatCode>
                <c:ptCount val="6"/>
                <c:pt idx="0">
                  <c:v>2023</c:v>
                </c:pt>
                <c:pt idx="1">
                  <c:v>2024</c:v>
                </c:pt>
                <c:pt idx="2">
                  <c:v>2025</c:v>
                </c:pt>
                <c:pt idx="3">
                  <c:v>2026</c:v>
                </c:pt>
                <c:pt idx="4">
                  <c:v>2027</c:v>
                </c:pt>
                <c:pt idx="5">
                  <c:v>2028</c:v>
                </c:pt>
              </c:numCache>
            </c:numRef>
          </c:cat>
          <c:val>
            <c:numRef>
              <c:extLst>
                <c:ext xmlns:c15="http://schemas.microsoft.com/office/drawing/2012/chart" uri="{02D57815-91ED-43cb-92C2-25804820EDAC}">
                  <c15:fullRef>
                    <c15:sqref>Taulukot!$Q$11:$W$11</c15:sqref>
                  </c15:fullRef>
                </c:ext>
              </c:extLst>
              <c:f>Taulukot!$R$11:$W$11</c:f>
              <c:numCache>
                <c:formatCode>#\ ##0_ ;[Red]\-#\ ##0\ </c:formatCode>
                <c:ptCount val="6"/>
                <c:pt idx="0">
                  <c:v>38.970004241310377</c:v>
                </c:pt>
                <c:pt idx="1">
                  <c:v>-199.91350178101766</c:v>
                </c:pt>
                <c:pt idx="2">
                  <c:v>-467.64598582500128</c:v>
                </c:pt>
                <c:pt idx="3">
                  <c:v>-554.8077853584274</c:v>
                </c:pt>
                <c:pt idx="4">
                  <c:v>-620.97631600919544</c:v>
                </c:pt>
                <c:pt idx="5">
                  <c:v>-569.19624038254938</c:v>
                </c:pt>
              </c:numCache>
            </c:numRef>
          </c:val>
          <c:smooth val="0"/>
          <c:extLst>
            <c:ext xmlns:c16="http://schemas.microsoft.com/office/drawing/2014/chart" uri="{C3380CC4-5D6E-409C-BE32-E72D297353CC}">
              <c16:uniqueId val="{00000007-9F1E-49CA-8565-623196CBCA89}"/>
            </c:ext>
          </c:extLst>
        </c:ser>
        <c:ser>
          <c:idx val="8"/>
          <c:order val="8"/>
          <c:tx>
            <c:strRef>
              <c:f>Taulukot!$B$12</c:f>
              <c:strCache>
                <c:ptCount val="1"/>
                <c:pt idx="0">
                  <c:v>Manner-Suomen kunnat yhteensä</c:v>
                </c:pt>
              </c:strCache>
            </c:strRef>
          </c:tx>
          <c:spPr>
            <a:ln w="28575" cap="rnd">
              <a:solidFill>
                <a:schemeClr val="accent3">
                  <a:lumMod val="60000"/>
                </a:schemeClr>
              </a:solidFill>
              <a:prstDash val="sysDot"/>
              <a:round/>
            </a:ln>
            <a:effectLst/>
          </c:spPr>
          <c:marker>
            <c:symbol val="none"/>
          </c:marker>
          <c:cat>
            <c:numRef>
              <c:extLst>
                <c:ext xmlns:c15="http://schemas.microsoft.com/office/drawing/2012/chart" uri="{02D57815-91ED-43cb-92C2-25804820EDAC}">
                  <c15:fullRef>
                    <c15:sqref>Taulukot!$Q$4:$W$4</c15:sqref>
                  </c15:fullRef>
                </c:ext>
              </c:extLst>
              <c:f>Taulukot!$R$4:$W$4</c:f>
              <c:numCache>
                <c:formatCode>General</c:formatCode>
                <c:ptCount val="6"/>
                <c:pt idx="0">
                  <c:v>2023</c:v>
                </c:pt>
                <c:pt idx="1">
                  <c:v>2024</c:v>
                </c:pt>
                <c:pt idx="2">
                  <c:v>2025</c:v>
                </c:pt>
                <c:pt idx="3">
                  <c:v>2026</c:v>
                </c:pt>
                <c:pt idx="4">
                  <c:v>2027</c:v>
                </c:pt>
                <c:pt idx="5">
                  <c:v>2028</c:v>
                </c:pt>
              </c:numCache>
            </c:numRef>
          </c:cat>
          <c:val>
            <c:numRef>
              <c:extLst>
                <c:ext xmlns:c15="http://schemas.microsoft.com/office/drawing/2012/chart" uri="{02D57815-91ED-43cb-92C2-25804820EDAC}">
                  <c15:fullRef>
                    <c15:sqref>Taulukot!$Q$12:$W$12</c15:sqref>
                  </c15:fullRef>
                </c:ext>
              </c:extLst>
              <c:f>Taulukot!$R$12:$W$12</c:f>
              <c:numCache>
                <c:formatCode>#\ ##0_ ;[Red]\-#\ ##0\ </c:formatCode>
                <c:ptCount val="6"/>
                <c:pt idx="0">
                  <c:v>49.936875985033176</c:v>
                </c:pt>
                <c:pt idx="1">
                  <c:v>-165.53938674022248</c:v>
                </c:pt>
                <c:pt idx="2">
                  <c:v>-334.83681549705744</c:v>
                </c:pt>
                <c:pt idx="3">
                  <c:v>-344.99958946401443</c:v>
                </c:pt>
                <c:pt idx="4">
                  <c:v>-365.57273442425065</c:v>
                </c:pt>
                <c:pt idx="5">
                  <c:v>-327.24876948864716</c:v>
                </c:pt>
              </c:numCache>
            </c:numRef>
          </c:val>
          <c:smooth val="0"/>
          <c:extLst>
            <c:ext xmlns:c16="http://schemas.microsoft.com/office/drawing/2014/chart" uri="{C3380CC4-5D6E-409C-BE32-E72D297353CC}">
              <c16:uniqueId val="{00000002-7FA1-4625-9BCC-316D05C16C73}"/>
            </c:ext>
          </c:extLst>
        </c:ser>
        <c:dLbls>
          <c:showLegendKey val="0"/>
          <c:showVal val="0"/>
          <c:showCatName val="0"/>
          <c:showSerName val="0"/>
          <c:showPercent val="0"/>
          <c:showBubbleSize val="0"/>
        </c:dLbls>
        <c:smooth val="0"/>
        <c:axId val="600177344"/>
        <c:axId val="600176032"/>
        <c:extLst>
          <c:ext xmlns:c15="http://schemas.microsoft.com/office/drawing/2012/chart" uri="{02D57815-91ED-43cb-92C2-25804820EDAC}">
            <c15:filteredLineSeries>
              <c15:ser>
                <c:idx val="0"/>
                <c:order val="0"/>
                <c:tx>
                  <c:strRef>
                    <c:extLst>
                      <c:ext uri="{02D57815-91ED-43cb-92C2-25804820EDAC}">
                        <c15:formulaRef>
                          <c15:sqref>Taulukot!$B$4</c15:sqref>
                        </c15:formulaRef>
                      </c:ext>
                    </c:extLst>
                    <c:strCache>
                      <c:ptCount val="1"/>
                      <c:pt idx="0">
                        <c:v>Toiminnan ja investointien rahavirta (M €)</c:v>
                      </c:pt>
                    </c:strCache>
                  </c:strRef>
                </c:tx>
                <c:spPr>
                  <a:ln w="28575" cap="rnd">
                    <a:solidFill>
                      <a:schemeClr val="accent1"/>
                    </a:solidFill>
                    <a:round/>
                  </a:ln>
                  <a:effectLst/>
                </c:spPr>
                <c:marker>
                  <c:symbol val="none"/>
                </c:marker>
                <c:cat>
                  <c:numRef>
                    <c:extLst>
                      <c:ext uri="{02D57815-91ED-43cb-92C2-25804820EDAC}">
                        <c15:fullRef>
                          <c15:sqref>Taulukot!$Q$4:$W$4</c15:sqref>
                        </c15:fullRef>
                        <c15:formulaRef>
                          <c15:sqref>Taulukot!$R$4:$W$4</c15:sqref>
                        </c15:formulaRef>
                      </c:ext>
                    </c:extLst>
                    <c:numCache>
                      <c:formatCode>General</c:formatCode>
                      <c:ptCount val="6"/>
                      <c:pt idx="0">
                        <c:v>2023</c:v>
                      </c:pt>
                      <c:pt idx="1">
                        <c:v>2024</c:v>
                      </c:pt>
                      <c:pt idx="2">
                        <c:v>2025</c:v>
                      </c:pt>
                      <c:pt idx="3">
                        <c:v>2026</c:v>
                      </c:pt>
                      <c:pt idx="4">
                        <c:v>2027</c:v>
                      </c:pt>
                      <c:pt idx="5">
                        <c:v>2028</c:v>
                      </c:pt>
                    </c:numCache>
                  </c:numRef>
                </c:cat>
                <c:val>
                  <c:numRef>
                    <c:extLst>
                      <c:ext uri="{02D57815-91ED-43cb-92C2-25804820EDAC}">
                        <c15:fullRef>
                          <c15:sqref>Taulukot!$Q$4:$W$4</c15:sqref>
                        </c15:fullRef>
                        <c15:formulaRef>
                          <c15:sqref>Taulukot!$R$4:$W$4</c15:sqref>
                        </c15:formulaRef>
                      </c:ext>
                    </c:extLst>
                    <c:numCache>
                      <c:formatCode>General</c:formatCode>
                      <c:ptCount val="6"/>
                      <c:pt idx="0">
                        <c:v>2023</c:v>
                      </c:pt>
                      <c:pt idx="1">
                        <c:v>2024</c:v>
                      </c:pt>
                      <c:pt idx="2">
                        <c:v>2025</c:v>
                      </c:pt>
                      <c:pt idx="3">
                        <c:v>2026</c:v>
                      </c:pt>
                      <c:pt idx="4">
                        <c:v>2027</c:v>
                      </c:pt>
                      <c:pt idx="5">
                        <c:v>2028</c:v>
                      </c:pt>
                    </c:numCache>
                  </c:numRef>
                </c:val>
                <c:smooth val="0"/>
                <c:extLst>
                  <c:ext xmlns:c16="http://schemas.microsoft.com/office/drawing/2014/chart" uri="{C3380CC4-5D6E-409C-BE32-E72D297353CC}">
                    <c16:uniqueId val="{00000000-9F1E-49CA-8565-623196CBCA89}"/>
                  </c:ext>
                </c:extLst>
              </c15:ser>
            </c15:filteredLineSeries>
          </c:ext>
        </c:extLst>
      </c:lineChart>
      <c:catAx>
        <c:axId val="6001773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crossAx val="600176032"/>
        <c:crosses val="autoZero"/>
        <c:auto val="1"/>
        <c:lblAlgn val="ctr"/>
        <c:lblOffset val="100"/>
        <c:noMultiLvlLbl val="0"/>
      </c:catAx>
      <c:valAx>
        <c:axId val="600176032"/>
        <c:scaling>
          <c:orientation val="minMax"/>
        </c:scaling>
        <c:delete val="0"/>
        <c:axPos val="l"/>
        <c:majorGridlines>
          <c:spPr>
            <a:ln w="9525" cap="flat" cmpd="sng" algn="ctr">
              <a:solidFill>
                <a:schemeClr val="tx1">
                  <a:lumMod val="15000"/>
                  <a:lumOff val="85000"/>
                </a:schemeClr>
              </a:solidFill>
              <a:round/>
            </a:ln>
            <a:effectLst/>
          </c:spPr>
        </c:majorGridlines>
        <c:numFmt formatCode="#\ ##0_ ;[Red]\-#\ ##0\ "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i-FI"/>
          </a:p>
        </c:txPr>
        <c:crossAx val="60017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28575</xdr:rowOff>
    </xdr:from>
    <xdr:to>
      <xdr:col>14</xdr:col>
      <xdr:colOff>466724</xdr:colOff>
      <xdr:row>107</xdr:row>
      <xdr:rowOff>165100</xdr:rowOff>
    </xdr:to>
    <xdr:sp macro="" textlink="">
      <xdr:nvSpPr>
        <xdr:cNvPr id="3" name="Tekstiruutu 2">
          <a:extLst>
            <a:ext uri="{FF2B5EF4-FFF2-40B4-BE49-F238E27FC236}">
              <a16:creationId xmlns:a16="http://schemas.microsoft.com/office/drawing/2014/main" id="{00000000-0008-0000-0000-000003000000}"/>
            </a:ext>
          </a:extLst>
        </xdr:cNvPr>
        <xdr:cNvSpPr txBox="1"/>
      </xdr:nvSpPr>
      <xdr:spPr>
        <a:xfrm>
          <a:off x="0" y="28575"/>
          <a:ext cx="9001124" cy="1984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1" u="none">
              <a:solidFill>
                <a:schemeClr val="dk1"/>
              </a:solidFill>
              <a:effectLst/>
              <a:latin typeface="+mn-lt"/>
              <a:ea typeface="+mn-ea"/>
              <a:cs typeface="+mn-cs"/>
            </a:rPr>
            <a:t>Kuntatalousohjelman painelaskelmakehikko</a:t>
          </a:r>
        </a:p>
        <a:p>
          <a:r>
            <a:rPr lang="fi-FI" sz="1100" u="none">
              <a:solidFill>
                <a:schemeClr val="dk1"/>
              </a:solidFill>
              <a:effectLst/>
              <a:latin typeface="+mn-lt"/>
              <a:ea typeface="+mn-ea"/>
              <a:cs typeface="+mn-cs"/>
            </a:rPr>
            <a:t>VM/KAO</a:t>
          </a:r>
          <a:endParaRPr lang="fi-FI" u="none">
            <a:effectLst/>
          </a:endParaRPr>
        </a:p>
        <a:p>
          <a:r>
            <a:rPr lang="fi-FI" sz="1100" u="none">
              <a:solidFill>
                <a:schemeClr val="dk1"/>
              </a:solidFill>
              <a:effectLst/>
              <a:latin typeface="+mn-lt"/>
              <a:ea typeface="+mn-ea"/>
              <a:cs typeface="+mn-cs"/>
            </a:rPr>
            <a:t>23.9.2024</a:t>
          </a:r>
        </a:p>
        <a:p>
          <a:endParaRPr lang="fi-FI">
            <a:effectLst/>
          </a:endParaRPr>
        </a:p>
        <a:p>
          <a:r>
            <a:rPr lang="fi-FI" sz="1100" u="sng">
              <a:solidFill>
                <a:schemeClr val="dk1"/>
              </a:solidFill>
              <a:effectLst/>
              <a:latin typeface="+mn-lt"/>
              <a:ea typeface="+mn-ea"/>
              <a:cs typeface="+mn-cs"/>
            </a:rPr>
            <a:t>Painelaskelmassa</a:t>
          </a:r>
          <a:r>
            <a:rPr lang="fi-FI" sz="1100">
              <a:solidFill>
                <a:schemeClr val="dk1"/>
              </a:solidFill>
              <a:effectLst/>
              <a:latin typeface="+mn-lt"/>
              <a:ea typeface="+mn-ea"/>
              <a:cs typeface="+mn-cs"/>
            </a:rPr>
            <a:t> esitetyt arviot perustuvat koko maan kehityksen perusteella valtiovarainministeriössä tehtyihin kuntakohtaisiin </a:t>
          </a:r>
          <a:r>
            <a:rPr lang="fi-FI" sz="1100" b="1">
              <a:solidFill>
                <a:schemeClr val="dk1"/>
              </a:solidFill>
              <a:effectLst/>
              <a:latin typeface="+mn-lt"/>
              <a:ea typeface="+mn-ea"/>
              <a:cs typeface="+mn-cs"/>
            </a:rPr>
            <a:t>arvioihin</a:t>
          </a:r>
          <a:r>
            <a:rPr lang="fi-FI" sz="1100">
              <a:solidFill>
                <a:schemeClr val="dk1"/>
              </a:solidFill>
              <a:effectLst/>
              <a:latin typeface="+mn-lt"/>
              <a:ea typeface="+mn-ea"/>
              <a:cs typeface="+mn-cs"/>
            </a:rPr>
            <a:t>  </a:t>
          </a:r>
          <a:r>
            <a:rPr lang="fi-FI" sz="1100" u="sng">
              <a:solidFill>
                <a:schemeClr val="dk1"/>
              </a:solidFill>
              <a:effectLst/>
              <a:latin typeface="+mn-lt"/>
              <a:ea typeface="+mn-ea"/>
              <a:cs typeface="+mn-cs"/>
            </a:rPr>
            <a:t>verotulojen</a:t>
          </a:r>
          <a:r>
            <a:rPr lang="fi-FI" sz="1100">
              <a:solidFill>
                <a:schemeClr val="dk1"/>
              </a:solidFill>
              <a:effectLst/>
              <a:latin typeface="+mn-lt"/>
              <a:ea typeface="+mn-ea"/>
              <a:cs typeface="+mn-cs"/>
            </a:rPr>
            <a:t> ja </a:t>
          </a:r>
          <a:r>
            <a:rPr lang="fi-FI" sz="1100" u="sng">
              <a:solidFill>
                <a:schemeClr val="dk1"/>
              </a:solidFill>
              <a:effectLst/>
              <a:latin typeface="+mn-lt"/>
              <a:ea typeface="+mn-ea"/>
              <a:cs typeface="+mn-cs"/>
            </a:rPr>
            <a:t>valtionosuuksien</a:t>
          </a:r>
          <a:r>
            <a:rPr lang="fi-FI" sz="1100">
              <a:solidFill>
                <a:schemeClr val="dk1"/>
              </a:solidFill>
              <a:effectLst/>
              <a:latin typeface="+mn-lt"/>
              <a:ea typeface="+mn-ea"/>
              <a:cs typeface="+mn-cs"/>
            </a:rPr>
            <a:t> kehityksestä sekä verotuloihin perustuvasta valtionosuuden tasauksesta. </a:t>
          </a:r>
          <a:endParaRPr lang="fi-FI">
            <a:effectLst/>
          </a:endParaRPr>
        </a:p>
        <a:p>
          <a:r>
            <a:rPr lang="fi-FI" sz="1100">
              <a:solidFill>
                <a:schemeClr val="dk1"/>
              </a:solidFill>
              <a:effectLst/>
              <a:latin typeface="+mn-lt"/>
              <a:ea typeface="+mn-ea"/>
              <a:cs typeface="+mn-cs"/>
            </a:rPr>
            <a:t> </a:t>
          </a:r>
          <a:endParaRPr lang="fi-FI">
            <a:effectLst/>
          </a:endParaRPr>
        </a:p>
        <a:p>
          <a:r>
            <a:rPr lang="fi-FI" sz="1100">
              <a:solidFill>
                <a:schemeClr val="dk1"/>
              </a:solidFill>
              <a:effectLst/>
              <a:latin typeface="+mn-lt"/>
              <a:ea typeface="+mn-ea"/>
              <a:cs typeface="+mn-cs"/>
            </a:rPr>
            <a:t>Vuoden 2024 </a:t>
          </a:r>
          <a:r>
            <a:rPr lang="fi-FI" sz="1100" u="sng">
              <a:solidFill>
                <a:schemeClr val="dk1"/>
              </a:solidFill>
              <a:effectLst/>
              <a:latin typeface="+mn-lt"/>
              <a:ea typeface="+mn-ea"/>
              <a:cs typeface="+mn-cs"/>
            </a:rPr>
            <a:t>toimintakatetiedot</a:t>
          </a:r>
          <a:r>
            <a:rPr lang="fi-FI" sz="1100">
              <a:solidFill>
                <a:schemeClr val="dk1"/>
              </a:solidFill>
              <a:effectLst/>
              <a:latin typeface="+mn-lt"/>
              <a:ea typeface="+mn-ea"/>
              <a:cs typeface="+mn-cs"/>
            </a:rPr>
            <a:t> on poimittu kuntien ja kuntayhtymien Valtiokonttorille raportoimista kuntien ja kuntayhtymien talousarviotiedoista. Kuntakohtaiset tiedot on skaalattu valtionvarainministeriön koko maan mukaiseen tasoon siten, että kuntakohtaiset suhteet pysyvät kuntien ilmoittamien tietojen mukaisina.  Vuosien 2025–2028 toimintakatetta on arvioitu kunnan väestörakenteen muutoksen sekä koko maan arvioidun kokonaismuutoksen kautta. Näin yksittäisen kunnan toimintakate ei noudata koko maan keskimääräistä muutosta, vaan toimintakatearvio vaihtelee kunnittain riippuen kunnan väestörakenteen kehityksestä. Tarkastelussa ei ole otettu huomioon kuntien omia toimintakatteeseen vaikuttavia toimia,mikä aiheuttaa suurta</a:t>
          </a:r>
          <a:r>
            <a:rPr lang="fi-FI" sz="1100" baseline="0">
              <a:solidFill>
                <a:schemeClr val="dk1"/>
              </a:solidFill>
              <a:effectLst/>
              <a:latin typeface="+mn-lt"/>
              <a:ea typeface="+mn-ea"/>
              <a:cs typeface="+mn-cs"/>
            </a:rPr>
            <a:t> </a:t>
          </a:r>
          <a:r>
            <a:rPr lang="fi-FI" sz="1100">
              <a:solidFill>
                <a:schemeClr val="dk1"/>
              </a:solidFill>
              <a:effectLst/>
              <a:latin typeface="+mn-lt"/>
              <a:ea typeface="+mn-ea"/>
              <a:cs typeface="+mn-cs"/>
            </a:rPr>
            <a:t>epävarmuutta erityisesti tarkastelukauden lopulla.</a:t>
          </a:r>
          <a:endParaRPr lang="fi-FI">
            <a:effectLst/>
          </a:endParaRPr>
        </a:p>
        <a:p>
          <a:r>
            <a:rPr lang="fi-FI" sz="1100">
              <a:solidFill>
                <a:schemeClr val="dk1"/>
              </a:solidFill>
              <a:effectLst/>
              <a:latin typeface="+mn-lt"/>
              <a:ea typeface="+mn-ea"/>
              <a:cs typeface="+mn-cs"/>
            </a:rPr>
            <a:t> </a:t>
          </a:r>
          <a:endParaRPr lang="fi-FI">
            <a:effectLst/>
          </a:endParaRPr>
        </a:p>
        <a:p>
          <a:r>
            <a:rPr lang="fi-FI" sz="1100" u="sng">
              <a:solidFill>
                <a:schemeClr val="dk1"/>
              </a:solidFill>
              <a:effectLst/>
              <a:latin typeface="+mn-lt"/>
              <a:ea typeface="+mn-ea"/>
              <a:cs typeface="+mn-cs"/>
            </a:rPr>
            <a:t>Nettoinvestointien</a:t>
          </a:r>
          <a:r>
            <a:rPr lang="fi-FI" sz="1100">
              <a:solidFill>
                <a:schemeClr val="dk1"/>
              </a:solidFill>
              <a:effectLst/>
              <a:latin typeface="+mn-lt"/>
              <a:ea typeface="+mn-ea"/>
              <a:cs typeface="+mn-cs"/>
            </a:rPr>
            <a:t> kohdalla laskelmassa on laskettu vuosien 2020–2026 taloustietojen perusteella yksittäiselle kunnalle seitsemänvuoden keskiarvo, jonka kautta kunnan nettoinvestointien kehitystä on arvioitu ottamalla huomioon koko maan ennustettu muutos. Tätä kuntakohtaista keskiarvoa on viety eteenpäin vuodesta 2025 alkaen koko maan ennustetun vuosimuutoksen mukaan. Muuten nettoinvestoinnit perustuvat edellä mainittuun kuntien talousarvio- ja suunnitelmatietoihin.  </a:t>
          </a:r>
        </a:p>
        <a:p>
          <a:r>
            <a:rPr lang="fi-FI" sz="1100">
              <a:solidFill>
                <a:schemeClr val="dk1"/>
              </a:solidFill>
              <a:effectLst/>
              <a:latin typeface="+mn-lt"/>
              <a:ea typeface="+mn-ea"/>
              <a:cs typeface="+mn-cs"/>
            </a:rPr>
            <a:t> </a:t>
          </a:r>
          <a:endParaRPr lang="fi-FI">
            <a:effectLst/>
          </a:endParaRPr>
        </a:p>
        <a:p>
          <a:r>
            <a:rPr lang="fi-FI" sz="1100" u="sng">
              <a:solidFill>
                <a:schemeClr val="dk1"/>
              </a:solidFill>
              <a:effectLst/>
              <a:latin typeface="+mn-lt"/>
              <a:ea typeface="+mn-ea"/>
              <a:cs typeface="+mn-cs"/>
            </a:rPr>
            <a:t>Rahoitusmenot ja -tuotot</a:t>
          </a:r>
          <a:r>
            <a:rPr lang="fi-FI" sz="1100">
              <a:solidFill>
                <a:schemeClr val="dk1"/>
              </a:solidFill>
              <a:effectLst/>
              <a:latin typeface="+mn-lt"/>
              <a:ea typeface="+mn-ea"/>
              <a:cs typeface="+mn-cs"/>
            </a:rPr>
            <a:t> arvioidaan koko maan ennustetun muutoksen kautta vuodesta 2026 alkaen, muuten ne perustuvat kuntien ilmoittamiin talousarvio- ja suunnitelmatietoihin</a:t>
          </a:r>
          <a:r>
            <a:rPr lang="fi-FI" sz="1100" u="sng">
              <a:solidFill>
                <a:schemeClr val="dk1"/>
              </a:solidFill>
              <a:effectLst/>
              <a:latin typeface="+mn-lt"/>
              <a:ea typeface="+mn-ea"/>
              <a:cs typeface="+mn-cs"/>
            </a:rPr>
            <a:t> </a:t>
          </a:r>
          <a:endParaRPr lang="fi-FI">
            <a:effectLst/>
          </a:endParaRPr>
        </a:p>
        <a:p>
          <a:r>
            <a:rPr lang="fi-FI" sz="1100">
              <a:solidFill>
                <a:schemeClr val="dk1"/>
              </a:solidFill>
              <a:effectLst/>
              <a:latin typeface="+mn-lt"/>
              <a:ea typeface="+mn-ea"/>
              <a:cs typeface="+mn-cs"/>
            </a:rPr>
            <a:t> </a:t>
          </a:r>
          <a:endParaRPr lang="fi-FI">
            <a:effectLst/>
          </a:endParaRPr>
        </a:p>
        <a:p>
          <a:r>
            <a:rPr lang="fi-FI" sz="1100" u="sng">
              <a:solidFill>
                <a:schemeClr val="dk1"/>
              </a:solidFill>
              <a:effectLst/>
              <a:latin typeface="+mn-lt"/>
              <a:ea typeface="+mn-ea"/>
              <a:cs typeface="+mn-cs"/>
            </a:rPr>
            <a:t>Opetus- ja kulttuuritoimen valtionosuudet </a:t>
          </a:r>
          <a:r>
            <a:rPr lang="fi-FI" sz="1100">
              <a:solidFill>
                <a:schemeClr val="dk1"/>
              </a:solidFill>
              <a:effectLst/>
              <a:latin typeface="+mn-lt"/>
              <a:ea typeface="+mn-ea"/>
              <a:cs typeface="+mn-cs"/>
            </a:rPr>
            <a:t>vuosille 2025–2028 on pidetty uusimman tiedon mukaisina. </a:t>
          </a:r>
          <a:endParaRPr lang="fi-FI">
            <a:effectLst/>
          </a:endParaRPr>
        </a:p>
        <a:p>
          <a:r>
            <a:rPr lang="fi-FI" sz="1100">
              <a:solidFill>
                <a:schemeClr val="dk1"/>
              </a:solidFill>
              <a:effectLst/>
              <a:latin typeface="+mn-lt"/>
              <a:ea typeface="+mn-ea"/>
              <a:cs typeface="+mn-cs"/>
            </a:rPr>
            <a:t> </a:t>
          </a:r>
          <a:endParaRPr lang="fi-FI">
            <a:effectLst/>
          </a:endParaRPr>
        </a:p>
        <a:p>
          <a:r>
            <a:rPr lang="fi-FI" sz="1100">
              <a:solidFill>
                <a:schemeClr val="dk1"/>
              </a:solidFill>
              <a:effectLst/>
              <a:latin typeface="+mn-lt"/>
              <a:ea typeface="+mn-ea"/>
              <a:cs typeface="+mn-cs"/>
            </a:rPr>
            <a:t>Kuntien </a:t>
          </a:r>
          <a:r>
            <a:rPr lang="fi-FI" sz="1100" u="sng">
              <a:solidFill>
                <a:schemeClr val="dk1"/>
              </a:solidFill>
              <a:effectLst/>
              <a:latin typeface="+mn-lt"/>
              <a:ea typeface="+mn-ea"/>
              <a:cs typeface="+mn-cs"/>
            </a:rPr>
            <a:t>tulo- ja kiinteistöveroprosentteihin </a:t>
          </a:r>
          <a:r>
            <a:rPr lang="fi-FI" sz="1100">
              <a:solidFill>
                <a:schemeClr val="dk1"/>
              </a:solidFill>
              <a:effectLst/>
              <a:latin typeface="+mn-lt"/>
              <a:ea typeface="+mn-ea"/>
              <a:cs typeface="+mn-cs"/>
            </a:rPr>
            <a:t>ei ole tehty muutoksia. Kuntien verotuloissa ei  ole huomioitu kaivosveron tuottoa.</a:t>
          </a:r>
          <a:r>
            <a:rPr lang="fi-FI" sz="1100" baseline="0">
              <a:solidFill>
                <a:schemeClr val="dk1"/>
              </a:solidFill>
              <a:effectLst/>
              <a:latin typeface="+mn-lt"/>
              <a:ea typeface="+mn-ea"/>
              <a:cs typeface="+mn-cs"/>
            </a:rPr>
            <a:t> </a:t>
          </a:r>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Ennakointimallissa ei ole mukana kuntayhtymiä. </a:t>
          </a:r>
          <a:endParaRPr lang="fi-FI">
            <a:effectLst/>
          </a:endParaRPr>
        </a:p>
        <a:p>
          <a:r>
            <a:rPr lang="fi-FI" sz="1100">
              <a:solidFill>
                <a:schemeClr val="dk1"/>
              </a:solidFill>
              <a:effectLst/>
              <a:latin typeface="+mn-lt"/>
              <a:ea typeface="+mn-ea"/>
              <a:cs typeface="+mn-cs"/>
            </a:rPr>
            <a:t> </a:t>
          </a:r>
          <a:endParaRPr lang="fi-FI">
            <a:effectLst/>
          </a:endParaRPr>
        </a:p>
        <a:p>
          <a:r>
            <a:rPr lang="fi-FI" sz="1100">
              <a:solidFill>
                <a:schemeClr val="dk1"/>
              </a:solidFill>
              <a:effectLst/>
              <a:latin typeface="+mn-lt"/>
              <a:ea typeface="+mn-ea"/>
              <a:cs typeface="+mn-cs"/>
            </a:rPr>
            <a:t>Kuntakohtaiset arviolaskelmat perustuvat pitkälti kuntien ilmoittamien talousarvio- ja suunnitelmatietoihin, koko maan ennustettuun muutokseen sekä Tilastokeskuksen tekemään kuntien väestöennusteeseen. On selvää, että kuntakohtainen arvio on hyvin epävarma eikä yksittäisen kunnan lukuja pidä tulkita yksiselitteisesti. </a:t>
          </a:r>
          <a:endParaRPr lang="fi-FI">
            <a:effectLst/>
          </a:endParaRPr>
        </a:p>
        <a:p>
          <a:r>
            <a:rPr lang="fi-FI" sz="1100">
              <a:solidFill>
                <a:schemeClr val="dk1"/>
              </a:solidFill>
              <a:effectLst/>
              <a:latin typeface="+mn-lt"/>
              <a:ea typeface="+mn-ea"/>
              <a:cs typeface="+mn-cs"/>
            </a:rPr>
            <a:t> </a:t>
          </a:r>
          <a:endParaRPr lang="fi-FI">
            <a:effectLst/>
          </a:endParaRPr>
        </a:p>
        <a:p>
          <a:r>
            <a:rPr lang="fi-FI" sz="1100" b="1" u="sng">
              <a:solidFill>
                <a:schemeClr val="dk1"/>
              </a:solidFill>
              <a:effectLst/>
              <a:latin typeface="+mn-lt"/>
              <a:ea typeface="+mn-ea"/>
              <a:cs typeface="+mn-cs"/>
            </a:rPr>
            <a:t>Välilehdet:</a:t>
          </a:r>
          <a:endParaRPr lang="fi-FI">
            <a:effectLst/>
          </a:endParaRPr>
        </a:p>
        <a:p>
          <a:r>
            <a:rPr lang="fi-FI" sz="1100">
              <a:solidFill>
                <a:schemeClr val="dk1"/>
              </a:solidFill>
              <a:effectLst/>
              <a:latin typeface="+mn-lt"/>
              <a:ea typeface="+mn-ea"/>
              <a:cs typeface="+mn-cs"/>
            </a:rPr>
            <a:t> </a:t>
          </a:r>
          <a:endParaRPr lang="fi-FI">
            <a:effectLst/>
          </a:endParaRPr>
        </a:p>
        <a:p>
          <a:r>
            <a:rPr lang="fi-FI" sz="1100" b="1">
              <a:solidFill>
                <a:schemeClr val="dk1"/>
              </a:solidFill>
              <a:effectLst/>
              <a:latin typeface="+mn-lt"/>
              <a:ea typeface="+mn-ea"/>
              <a:cs typeface="+mn-cs"/>
            </a:rPr>
            <a:t>1. Väestöennuste</a:t>
          </a:r>
          <a:endParaRPr lang="fi-FI">
            <a:effectLst/>
          </a:endParaRPr>
        </a:p>
        <a:p>
          <a:r>
            <a:rPr lang="fi-FI" sz="1100">
              <a:solidFill>
                <a:schemeClr val="dk1"/>
              </a:solidFill>
              <a:effectLst/>
              <a:latin typeface="+mn-lt"/>
              <a:ea typeface="+mn-ea"/>
              <a:cs typeface="+mn-cs"/>
            </a:rPr>
            <a:t>- Lähde: Tilastokeskuksen kuntakohtainen väestöennuste syksyltä 2021</a:t>
          </a:r>
          <a:endParaRPr lang="fi-FI">
            <a:effectLst/>
          </a:endParaRPr>
        </a:p>
        <a:p>
          <a:r>
            <a:rPr lang="fi-FI" sz="1100">
              <a:solidFill>
                <a:schemeClr val="dk1"/>
              </a:solidFill>
              <a:effectLst/>
              <a:latin typeface="+mn-lt"/>
              <a:ea typeface="+mn-ea"/>
              <a:cs typeface="+mn-cs"/>
            </a:rPr>
            <a:t> </a:t>
          </a:r>
          <a:endParaRPr lang="fi-FI">
            <a:effectLst/>
          </a:endParaRPr>
        </a:p>
        <a:p>
          <a:r>
            <a:rPr lang="fi-FI" sz="1100" b="1">
              <a:solidFill>
                <a:schemeClr val="dk1"/>
              </a:solidFill>
              <a:effectLst/>
              <a:latin typeface="+mn-lt"/>
              <a:ea typeface="+mn-ea"/>
              <a:cs typeface="+mn-cs"/>
            </a:rPr>
            <a:t>2. Toimintakate</a:t>
          </a:r>
          <a:endParaRPr lang="fi-FI">
            <a:effectLst/>
          </a:endParaRPr>
        </a:p>
        <a:p>
          <a:r>
            <a:rPr lang="fi-FI" sz="1100">
              <a:solidFill>
                <a:schemeClr val="dk1"/>
              </a:solidFill>
              <a:effectLst/>
              <a:latin typeface="+mn-lt"/>
              <a:ea typeface="+mn-ea"/>
              <a:cs typeface="+mn-cs"/>
            </a:rPr>
            <a:t>- Lähde: VM:n kunta- ja aluehallinto-osaston laskelmat, Tilastokeskuksen kuntataloustilasto, VK:n KKNR-</a:t>
          </a:r>
          <a:r>
            <a:rPr lang="fi-FI" sz="1100" baseline="0">
              <a:solidFill>
                <a:schemeClr val="dk1"/>
              </a:solidFill>
              <a:effectLst/>
              <a:latin typeface="+mn-lt"/>
              <a:ea typeface="+mn-ea"/>
              <a:cs typeface="+mn-cs"/>
            </a:rPr>
            <a:t> ja</a:t>
          </a:r>
          <a:r>
            <a:rPr lang="fi-FI" sz="1100">
              <a:solidFill>
                <a:schemeClr val="dk1"/>
              </a:solidFill>
              <a:effectLst/>
              <a:latin typeface="+mn-lt"/>
              <a:ea typeface="+mn-ea"/>
              <a:cs typeface="+mn-cs"/>
            </a:rPr>
            <a:t> KTAS-raportointi </a:t>
          </a:r>
        </a:p>
        <a:p>
          <a:r>
            <a:rPr lang="fi-FI" sz="1100">
              <a:solidFill>
                <a:schemeClr val="dk1"/>
              </a:solidFill>
              <a:effectLst/>
              <a:latin typeface="+mn-lt"/>
              <a:ea typeface="+mn-ea"/>
              <a:cs typeface="+mn-cs"/>
            </a:rPr>
            <a:t>- Ennustemenetelmä vuodelle</a:t>
          </a:r>
          <a:r>
            <a:rPr lang="fi-FI" sz="1100" baseline="0">
              <a:solidFill>
                <a:schemeClr val="dk1"/>
              </a:solidFill>
              <a:effectLst/>
              <a:latin typeface="+mn-lt"/>
              <a:ea typeface="+mn-ea"/>
              <a:cs typeface="+mn-cs"/>
            </a:rPr>
            <a:t> </a:t>
          </a:r>
          <a:r>
            <a:rPr lang="fi-FI" sz="1100">
              <a:solidFill>
                <a:schemeClr val="dk1"/>
              </a:solidFill>
              <a:effectLst/>
              <a:latin typeface="+mn-lt"/>
              <a:ea typeface="+mn-ea"/>
              <a:cs typeface="+mn-cs"/>
            </a:rPr>
            <a:t>2024: kuntien ilmoittamat talousarviotiedot, jotka skaalataan koko maan ennustettuun tasoon (VM:n ennuste); kuntakohtaiset suhteet pysyvät TA-tietojen mukaisina, mutta ne viedään ennustettuun koko maan tasoon</a:t>
          </a:r>
          <a:endParaRPr lang="fi-FI">
            <a:effectLst/>
          </a:endParaRPr>
        </a:p>
        <a:p>
          <a:r>
            <a:rPr lang="fi-FI" sz="1100">
              <a:solidFill>
                <a:schemeClr val="dk1"/>
              </a:solidFill>
              <a:effectLst/>
              <a:latin typeface="+mn-lt"/>
              <a:ea typeface="+mn-ea"/>
              <a:cs typeface="+mn-cs"/>
            </a:rPr>
            <a:t>- Ennustemenetelmä vuosille 2025-2028: arvioidaan kunnan toimintakatteen muutosta suhteessa väestörakenteen muutokseen. Kuntakohtainen toimintakate-ennuste viedään VM:n koko maan ennusteeseen.</a:t>
          </a:r>
          <a:endParaRPr lang="fi-FI">
            <a:effectLst/>
          </a:endParaRPr>
        </a:p>
        <a:p>
          <a:r>
            <a:rPr lang="fi-FI" sz="1100">
              <a:solidFill>
                <a:schemeClr val="dk1"/>
              </a:solidFill>
              <a:effectLst/>
              <a:latin typeface="+mn-lt"/>
              <a:ea typeface="+mn-ea"/>
              <a:cs typeface="+mn-cs"/>
            </a:rPr>
            <a:t> </a:t>
          </a:r>
          <a:endParaRPr lang="fi-FI">
            <a:effectLst/>
          </a:endParaRPr>
        </a:p>
        <a:p>
          <a:r>
            <a:rPr lang="fi-FI" sz="1100" b="1">
              <a:solidFill>
                <a:schemeClr val="dk1"/>
              </a:solidFill>
              <a:effectLst/>
              <a:latin typeface="+mn-lt"/>
              <a:ea typeface="+mn-ea"/>
              <a:cs typeface="+mn-cs"/>
            </a:rPr>
            <a:t>3. Verotulot</a:t>
          </a:r>
          <a:endParaRPr lang="fi-FI">
            <a:effectLst/>
          </a:endParaRPr>
        </a:p>
        <a:p>
          <a:r>
            <a:rPr lang="fi-FI" sz="1100">
              <a:solidFill>
                <a:schemeClr val="dk1"/>
              </a:solidFill>
              <a:effectLst/>
              <a:latin typeface="+mn-lt"/>
              <a:ea typeface="+mn-ea"/>
              <a:cs typeface="+mn-cs"/>
            </a:rPr>
            <a:t>- Lähde: VM:n vero-osaston ennuste ja kunta- ja aluehallinto-osaston laskelmat.</a:t>
          </a:r>
          <a:endParaRPr lang="fi-FI">
            <a:effectLst/>
          </a:endParaRPr>
        </a:p>
        <a:p>
          <a:r>
            <a:rPr lang="fi-FI" sz="1100">
              <a:solidFill>
                <a:schemeClr val="dk1"/>
              </a:solidFill>
              <a:effectLst/>
              <a:latin typeface="+mn-lt"/>
              <a:ea typeface="+mn-ea"/>
              <a:cs typeface="+mn-cs"/>
            </a:rPr>
            <a:t>- Kunnallisvero: VM: kuntakohtainen ennusten kunnallisveron jako-osuuksista ja koko maan ennuste.</a:t>
          </a:r>
          <a:endParaRPr lang="fi-FI">
            <a:effectLst/>
          </a:endParaRPr>
        </a:p>
        <a:p>
          <a:r>
            <a:rPr lang="fi-FI" sz="1100">
              <a:solidFill>
                <a:schemeClr val="dk1"/>
              </a:solidFill>
              <a:effectLst/>
              <a:latin typeface="+mn-lt"/>
              <a:ea typeface="+mn-ea"/>
              <a:cs typeface="+mn-cs"/>
            </a:rPr>
            <a:t>- Yhteisövero: uusin yhteisöveron kuntakohtainen jako-osuus ja koko maan ennuste. </a:t>
          </a:r>
          <a:endParaRPr lang="fi-FI">
            <a:effectLst/>
          </a:endParaRPr>
        </a:p>
        <a:p>
          <a:r>
            <a:rPr lang="fi-FI" sz="1100">
              <a:solidFill>
                <a:schemeClr val="dk1"/>
              </a:solidFill>
              <a:effectLst/>
              <a:latin typeface="+mn-lt"/>
              <a:ea typeface="+mn-ea"/>
              <a:cs typeface="+mn-cs"/>
            </a:rPr>
            <a:t>- Kiinteistövero: lasketaan kiinteistöveron </a:t>
          </a:r>
          <a:r>
            <a:rPr lang="fi-FI" sz="1100">
              <a:solidFill>
                <a:sysClr val="windowText" lastClr="000000"/>
              </a:solidFill>
              <a:effectLst/>
              <a:latin typeface="+mn-lt"/>
              <a:ea typeface="+mn-ea"/>
              <a:cs typeface="+mn-cs"/>
            </a:rPr>
            <a:t>vuosien 2022-2023 </a:t>
          </a:r>
          <a:r>
            <a:rPr lang="fi-FI" sz="1100">
              <a:solidFill>
                <a:schemeClr val="dk1"/>
              </a:solidFill>
              <a:effectLst/>
              <a:latin typeface="+mn-lt"/>
              <a:ea typeface="+mn-ea"/>
              <a:cs typeface="+mn-cs"/>
            </a:rPr>
            <a:t>kuntakohtaisten verotusarvojen muutoksen kautta jokaisella kunnalle keskiarvo, jonka kautta kunnille lasketaan kiinteistöveroennuste vuosille </a:t>
          </a:r>
          <a:r>
            <a:rPr lang="fi-FI" sz="1100">
              <a:solidFill>
                <a:sysClr val="windowText" lastClr="000000"/>
              </a:solidFill>
              <a:effectLst/>
              <a:latin typeface="+mn-lt"/>
              <a:ea typeface="+mn-ea"/>
              <a:cs typeface="+mn-cs"/>
            </a:rPr>
            <a:t>2024-2028.</a:t>
          </a:r>
          <a:r>
            <a:rPr lang="fi-FI" sz="1100">
              <a:solidFill>
                <a:schemeClr val="dk1"/>
              </a:solidFill>
              <a:effectLst/>
              <a:latin typeface="+mn-lt"/>
              <a:ea typeface="+mn-ea"/>
              <a:cs typeface="+mn-cs"/>
            </a:rPr>
            <a:t> Arvioidut kuntakohtaiset kiinteistöveron suhteet kiinnetään koko maan ennusteeseen. </a:t>
          </a:r>
          <a:endParaRPr lang="fi-FI">
            <a:effectLst/>
          </a:endParaRPr>
        </a:p>
        <a:p>
          <a:r>
            <a:rPr lang="fi-FI" sz="1100">
              <a:solidFill>
                <a:schemeClr val="dk1"/>
              </a:solidFill>
              <a:effectLst/>
              <a:latin typeface="+mn-lt"/>
              <a:ea typeface="+mn-ea"/>
              <a:cs typeface="+mn-cs"/>
            </a:rPr>
            <a:t> </a:t>
          </a:r>
          <a:endParaRPr lang="fi-FI">
            <a:effectLst/>
          </a:endParaRPr>
        </a:p>
        <a:p>
          <a:r>
            <a:rPr lang="fi-FI" sz="1100" b="1">
              <a:solidFill>
                <a:schemeClr val="dk1"/>
              </a:solidFill>
              <a:effectLst/>
              <a:latin typeface="+mn-lt"/>
              <a:ea typeface="+mn-ea"/>
              <a:cs typeface="+mn-cs"/>
            </a:rPr>
            <a:t>4. Valtionosuudet</a:t>
          </a:r>
          <a:endParaRPr lang="fi-FI">
            <a:effectLst/>
          </a:endParaRPr>
        </a:p>
        <a:p>
          <a:r>
            <a:rPr lang="fi-FI" sz="1100">
              <a:solidFill>
                <a:schemeClr val="dk1"/>
              </a:solidFill>
              <a:effectLst/>
              <a:latin typeface="+mn-lt"/>
              <a:ea typeface="+mn-ea"/>
              <a:cs typeface="+mn-cs"/>
            </a:rPr>
            <a:t>- Lähde: VM:n kunta- ja aluehallinto-osaston ennuste.</a:t>
          </a:r>
          <a:r>
            <a:rPr lang="fi-FI" sz="1100" baseline="0">
              <a:solidFill>
                <a:srgbClr val="FF0000"/>
              </a:solidFill>
              <a:effectLst/>
              <a:latin typeface="+mn-lt"/>
              <a:ea typeface="+mn-ea"/>
              <a:cs typeface="+mn-cs"/>
            </a:rPr>
            <a:t> </a:t>
          </a:r>
          <a:endParaRPr lang="fi-FI">
            <a:solidFill>
              <a:srgbClr val="FF0000"/>
            </a:solidFill>
            <a:effectLst/>
          </a:endParaRPr>
        </a:p>
        <a:p>
          <a:r>
            <a:rPr lang="fi-FI" sz="1100">
              <a:solidFill>
                <a:schemeClr val="dk1"/>
              </a:solidFill>
              <a:effectLst/>
              <a:latin typeface="+mn-lt"/>
              <a:ea typeface="+mn-ea"/>
              <a:cs typeface="+mn-cs"/>
            </a:rPr>
            <a:t> </a:t>
          </a:r>
          <a:endParaRPr lang="fi-FI">
            <a:effectLst/>
          </a:endParaRPr>
        </a:p>
        <a:p>
          <a:r>
            <a:rPr lang="fi-FI" sz="1100" b="1">
              <a:solidFill>
                <a:schemeClr val="dk1"/>
              </a:solidFill>
              <a:effectLst/>
              <a:latin typeface="+mn-lt"/>
              <a:ea typeface="+mn-ea"/>
              <a:cs typeface="+mn-cs"/>
            </a:rPr>
            <a:t>5. Rahoitustuotot- ja kulut</a:t>
          </a:r>
          <a:endParaRPr lang="fi-FI">
            <a:effectLst/>
          </a:endParaRPr>
        </a:p>
        <a:p>
          <a:r>
            <a:rPr lang="fi-FI" sz="1100">
              <a:solidFill>
                <a:schemeClr val="dk1"/>
              </a:solidFill>
              <a:effectLst/>
              <a:latin typeface="+mn-lt"/>
              <a:ea typeface="+mn-ea"/>
              <a:cs typeface="+mn-cs"/>
            </a:rPr>
            <a:t>- Lähde: VK:n KTAS- ja KKNR-raportointi </a:t>
          </a:r>
        </a:p>
        <a:p>
          <a:r>
            <a:rPr lang="fi-FI" sz="1100">
              <a:solidFill>
                <a:schemeClr val="dk1"/>
              </a:solidFill>
              <a:effectLst/>
              <a:latin typeface="+mn-lt"/>
              <a:ea typeface="+mn-ea"/>
              <a:cs typeface="+mn-cs"/>
            </a:rPr>
            <a:t>- Ennustemenetelmä: </a:t>
          </a:r>
          <a:r>
            <a:rPr lang="fi-FI" sz="1100">
              <a:solidFill>
                <a:sysClr val="windowText" lastClr="000000"/>
              </a:solidFill>
              <a:effectLst/>
              <a:latin typeface="+mn-lt"/>
              <a:ea typeface="+mn-ea"/>
              <a:cs typeface="+mn-cs"/>
            </a:rPr>
            <a:t>arvioidaan koko maan ennustetun muutoksen kautta vuodesta 2027 alkaen,</a:t>
          </a:r>
          <a:r>
            <a:rPr lang="fi-FI" sz="1100" i="0">
              <a:solidFill>
                <a:sysClr val="windowText" lastClr="000000"/>
              </a:solidFill>
              <a:effectLst/>
              <a:latin typeface="+mn-lt"/>
              <a:ea typeface="+mn-ea"/>
              <a:cs typeface="+mn-cs"/>
            </a:rPr>
            <a:t> perustuvat muuten kuntien ilmoittamiin talousarvio- ja suunnitelmatietoihin.</a:t>
          </a:r>
        </a:p>
        <a:p>
          <a:endParaRPr lang="fi-FI" i="0">
            <a:solidFill>
              <a:sysClr val="windowText" lastClr="000000"/>
            </a:solidFill>
            <a:effectLst/>
          </a:endParaRPr>
        </a:p>
        <a:p>
          <a:r>
            <a:rPr lang="fi-FI" sz="1100" b="1">
              <a:solidFill>
                <a:schemeClr val="dk1"/>
              </a:solidFill>
              <a:effectLst/>
              <a:latin typeface="+mn-lt"/>
              <a:ea typeface="+mn-ea"/>
              <a:cs typeface="+mn-cs"/>
            </a:rPr>
            <a:t>6. Poistot</a:t>
          </a:r>
          <a:endParaRPr lang="fi-FI">
            <a:effectLst/>
          </a:endParaRPr>
        </a:p>
        <a:p>
          <a:r>
            <a:rPr lang="fi-FI" sz="1100">
              <a:solidFill>
                <a:schemeClr val="dk1"/>
              </a:solidFill>
              <a:effectLst/>
              <a:latin typeface="+mn-lt"/>
              <a:ea typeface="+mn-ea"/>
              <a:cs typeface="+mn-cs"/>
            </a:rPr>
            <a:t>- Lähde: VK:n KTAS- ja KKNR-raportointi </a:t>
          </a:r>
        </a:p>
        <a:p>
          <a:r>
            <a:rPr lang="fi-FI" sz="1100">
              <a:solidFill>
                <a:schemeClr val="dk1"/>
              </a:solidFill>
              <a:effectLst/>
              <a:latin typeface="+mn-lt"/>
              <a:ea typeface="+mn-ea"/>
              <a:cs typeface="+mn-cs"/>
            </a:rPr>
            <a:t>- Ennustemenetelmä: </a:t>
          </a:r>
          <a:r>
            <a:rPr lang="fi-FI" sz="1100">
              <a:solidFill>
                <a:sysClr val="windowText" lastClr="000000"/>
              </a:solidFill>
              <a:effectLst/>
              <a:latin typeface="+mn-lt"/>
              <a:ea typeface="+mn-ea"/>
              <a:cs typeface="+mn-cs"/>
            </a:rPr>
            <a:t>arvioidaan koko maan ennustetun muutoksen kautta vuodesta 2027 alkaen, perustuvat muuten kuntien ilmoittamiin talousarvio- ja suunnitelmatietoihin.</a:t>
          </a:r>
        </a:p>
        <a:p>
          <a:r>
            <a:rPr lang="fi-FI" sz="1100">
              <a:solidFill>
                <a:schemeClr val="dk1"/>
              </a:solidFill>
              <a:effectLst/>
              <a:latin typeface="+mn-lt"/>
              <a:ea typeface="+mn-ea"/>
              <a:cs typeface="+mn-cs"/>
            </a:rPr>
            <a:t> </a:t>
          </a:r>
          <a:endParaRPr lang="fi-FI">
            <a:effectLst/>
          </a:endParaRPr>
        </a:p>
        <a:p>
          <a:r>
            <a:rPr lang="fi-FI" sz="1100" b="1">
              <a:solidFill>
                <a:schemeClr val="dk1"/>
              </a:solidFill>
              <a:effectLst/>
              <a:latin typeface="+mn-lt"/>
              <a:ea typeface="+mn-ea"/>
              <a:cs typeface="+mn-cs"/>
            </a:rPr>
            <a:t>7. Nettoinvestoinnit</a:t>
          </a:r>
          <a:endParaRPr lang="fi-FI">
            <a:effectLst/>
          </a:endParaRPr>
        </a:p>
        <a:p>
          <a:r>
            <a:rPr lang="fi-FI" sz="1100">
              <a:solidFill>
                <a:schemeClr val="dk1"/>
              </a:solidFill>
              <a:effectLst/>
              <a:latin typeface="+mn-lt"/>
              <a:ea typeface="+mn-ea"/>
              <a:cs typeface="+mn-cs"/>
            </a:rPr>
            <a:t>- Lähde: VM:n kunta- ja aluehallinto-osaston laskelmat ja VK:n KTAS- ja KKNR-raportointi </a:t>
          </a:r>
        </a:p>
        <a:p>
          <a:r>
            <a:rPr lang="fi-FI" sz="1100">
              <a:solidFill>
                <a:schemeClr val="dk1"/>
              </a:solidFill>
              <a:effectLst/>
              <a:latin typeface="+mn-lt"/>
              <a:ea typeface="+mn-ea"/>
              <a:cs typeface="+mn-cs"/>
            </a:rPr>
            <a:t>- Ennustemenetelmä: lasketaan kuntakohtainen 7 vuoden keskiarvo (2020-2026) nettoinvestoinneista, jolla kunnan ilmoittamaa taloussuunnitelmatietoa  viedään eteenpäin siten, että koko maan ennuste vastaa VM:n koko maan ennustettua</a:t>
          </a:r>
          <a:r>
            <a:rPr lang="fi-FI" sz="1100" baseline="0">
              <a:solidFill>
                <a:schemeClr val="dk1"/>
              </a:solidFill>
              <a:effectLst/>
              <a:latin typeface="+mn-lt"/>
              <a:ea typeface="+mn-ea"/>
              <a:cs typeface="+mn-cs"/>
            </a:rPr>
            <a:t> muutosta</a:t>
          </a:r>
          <a:r>
            <a:rPr lang="fi-FI" sz="1100">
              <a:solidFill>
                <a:schemeClr val="dk1"/>
              </a:solidFill>
              <a:effectLst/>
              <a:latin typeface="+mn-lt"/>
              <a:ea typeface="+mn-ea"/>
              <a:cs typeface="+mn-cs"/>
            </a:rPr>
            <a:t>.</a:t>
          </a:r>
          <a:endParaRPr lang="fi-FI">
            <a:effectLst/>
          </a:endParaRPr>
        </a:p>
        <a:p>
          <a:r>
            <a:rPr lang="fi-FI" sz="1100">
              <a:solidFill>
                <a:schemeClr val="dk1"/>
              </a:solidFill>
              <a:effectLst/>
              <a:latin typeface="+mn-lt"/>
              <a:ea typeface="+mn-ea"/>
              <a:cs typeface="+mn-cs"/>
            </a:rPr>
            <a:t> </a:t>
          </a:r>
          <a:endParaRPr lang="fi-FI">
            <a:effectLst/>
          </a:endParaRPr>
        </a:p>
        <a:p>
          <a:r>
            <a:rPr lang="fi-FI" sz="1100" b="1">
              <a:solidFill>
                <a:schemeClr val="dk1"/>
              </a:solidFill>
              <a:effectLst/>
              <a:latin typeface="+mn-lt"/>
              <a:ea typeface="+mn-ea"/>
              <a:cs typeface="+mn-cs"/>
            </a:rPr>
            <a:t>8. Satunnaiset erät</a:t>
          </a:r>
          <a:endParaRPr lang="fi-FI">
            <a:effectLst/>
          </a:endParaRPr>
        </a:p>
        <a:p>
          <a:r>
            <a:rPr lang="fi-FI" sz="1100">
              <a:solidFill>
                <a:schemeClr val="dk1"/>
              </a:solidFill>
              <a:effectLst/>
              <a:latin typeface="+mn-lt"/>
              <a:ea typeface="+mn-ea"/>
              <a:cs typeface="+mn-cs"/>
            </a:rPr>
            <a:t>- Lähde: VK:n KTAS- ja KKNR-raportointi </a:t>
          </a:r>
        </a:p>
        <a:p>
          <a:r>
            <a:rPr lang="fi-FI" sz="1100">
              <a:solidFill>
                <a:schemeClr val="dk1"/>
              </a:solidFill>
              <a:effectLst/>
              <a:latin typeface="+mn-lt"/>
              <a:ea typeface="+mn-ea"/>
              <a:cs typeface="+mn-cs"/>
            </a:rPr>
            <a:t>- Ennustemenetelmä: </a:t>
          </a:r>
          <a:r>
            <a:rPr lang="fi-FI" sz="1100">
              <a:solidFill>
                <a:sysClr val="windowText" lastClr="000000"/>
              </a:solidFill>
              <a:effectLst/>
              <a:latin typeface="+mn-lt"/>
              <a:ea typeface="+mn-ea"/>
              <a:cs typeface="+mn-cs"/>
            </a:rPr>
            <a:t>Ei ennustemenetelmää vaan perustuu kuntien ilmoittamiin talousarvio- ja suunnitelmatietoihin. Vuosille 2027-2028 satunnaiset erät pidetään kuntakohtaisessa ennusteessa tyhjinä.</a:t>
          </a:r>
          <a:endParaRPr lang="fi-FI">
            <a:solidFill>
              <a:sysClr val="windowText" lastClr="000000"/>
            </a:solidFill>
            <a:effectLst/>
          </a:endParaRPr>
        </a:p>
        <a:p>
          <a:r>
            <a:rPr lang="fi-FI" sz="1100">
              <a:solidFill>
                <a:schemeClr val="dk1"/>
              </a:solidFill>
              <a:effectLst/>
              <a:latin typeface="+mn-lt"/>
              <a:ea typeface="+mn-ea"/>
              <a:cs typeface="+mn-cs"/>
            </a:rPr>
            <a:t> </a:t>
          </a:r>
          <a:endParaRPr lang="fi-FI">
            <a:effectLst/>
          </a:endParaRPr>
        </a:p>
        <a:p>
          <a:r>
            <a:rPr lang="fi-FI" sz="1100" b="1">
              <a:solidFill>
                <a:schemeClr val="dk1"/>
              </a:solidFill>
              <a:effectLst/>
              <a:latin typeface="+mn-lt"/>
              <a:ea typeface="+mn-ea"/>
              <a:cs typeface="+mn-cs"/>
            </a:rPr>
            <a:t>9. Tulorahkorjauserät (tulorahoituksen korjauserät)</a:t>
          </a:r>
          <a:endParaRPr lang="fi-FI">
            <a:effectLst/>
          </a:endParaRPr>
        </a:p>
        <a:p>
          <a:r>
            <a:rPr lang="fi-FI" sz="1100">
              <a:solidFill>
                <a:schemeClr val="dk1"/>
              </a:solidFill>
              <a:effectLst/>
              <a:latin typeface="+mn-lt"/>
              <a:ea typeface="+mn-ea"/>
              <a:cs typeface="+mn-cs"/>
            </a:rPr>
            <a:t>- Lähde: VK:n KKNR-raportointi </a:t>
          </a:r>
        </a:p>
        <a:p>
          <a:r>
            <a:rPr lang="fi-FI" sz="1100">
              <a:solidFill>
                <a:schemeClr val="dk1"/>
              </a:solidFill>
              <a:effectLst/>
              <a:latin typeface="+mn-lt"/>
              <a:ea typeface="+mn-ea"/>
              <a:cs typeface="+mn-cs"/>
            </a:rPr>
            <a:t>- Ennustemenetelmä: merkitään nollaksi ennustekaudelle</a:t>
          </a:r>
          <a:endParaRPr lang="fi-FI" sz="1100" baseline="0">
            <a:solidFill>
              <a:schemeClr val="dk1"/>
            </a:solidFill>
            <a:effectLst/>
            <a:latin typeface="+mn-lt"/>
            <a:ea typeface="+mn-ea"/>
            <a:cs typeface="+mn-cs"/>
          </a:endParaRPr>
        </a:p>
        <a:p>
          <a:endParaRPr lang="fi-FI">
            <a:effectLst/>
          </a:endParaRPr>
        </a:p>
        <a:p>
          <a:r>
            <a:rPr lang="fi-FI" sz="1100" b="1">
              <a:solidFill>
                <a:schemeClr val="dk1"/>
              </a:solidFill>
              <a:effectLst/>
              <a:latin typeface="+mn-lt"/>
              <a:ea typeface="+mn-ea"/>
              <a:cs typeface="+mn-cs"/>
            </a:rPr>
            <a:t>10. Kassavarat vuoden lopussa</a:t>
          </a:r>
          <a:endParaRPr lang="fi-FI">
            <a:effectLst/>
          </a:endParaRPr>
        </a:p>
        <a:p>
          <a:r>
            <a:rPr lang="fi-FI" sz="1100">
              <a:solidFill>
                <a:schemeClr val="dk1"/>
              </a:solidFill>
              <a:effectLst/>
              <a:latin typeface="+mn-lt"/>
              <a:ea typeface="+mn-ea"/>
              <a:cs typeface="+mn-cs"/>
            </a:rPr>
            <a:t>- Lähde: VK:n KKNR-raportointi </a:t>
          </a:r>
        </a:p>
        <a:p>
          <a:r>
            <a:rPr lang="fi-FI" sz="1100">
              <a:solidFill>
                <a:schemeClr val="dk1"/>
              </a:solidFill>
              <a:effectLst/>
              <a:latin typeface="+mn-lt"/>
              <a:ea typeface="+mn-ea"/>
              <a:cs typeface="+mn-cs"/>
            </a:rPr>
            <a:t>- Ennustemenetelmä</a:t>
          </a:r>
          <a:r>
            <a:rPr lang="fi-FI" sz="1100">
              <a:solidFill>
                <a:sysClr val="windowText" lastClr="000000"/>
              </a:solidFill>
              <a:effectLst/>
              <a:latin typeface="+mn-lt"/>
              <a:ea typeface="+mn-ea"/>
              <a:cs typeface="+mn-cs"/>
            </a:rPr>
            <a:t>: kuntien ilmoittamaa tilinpäätöstietoa korotetaan VM:n koko maan muutosprosentilla</a:t>
          </a:r>
          <a:endParaRPr lang="fi-FI">
            <a:solidFill>
              <a:sysClr val="windowText" lastClr="000000"/>
            </a:solidFill>
            <a:effectLst/>
          </a:endParaRPr>
        </a:p>
        <a:p>
          <a:r>
            <a:rPr lang="fi-FI" sz="1100">
              <a:solidFill>
                <a:srgbClr val="FF0000"/>
              </a:solidFill>
              <a:effectLst/>
              <a:latin typeface="+mn-lt"/>
              <a:ea typeface="+mn-ea"/>
              <a:cs typeface="+mn-cs"/>
            </a:rPr>
            <a:t> </a:t>
          </a:r>
          <a:endParaRPr lang="fi-FI">
            <a:solidFill>
              <a:srgbClr val="FF0000"/>
            </a:solidFill>
            <a:effectLst/>
          </a:endParaRPr>
        </a:p>
        <a:p>
          <a:r>
            <a:rPr lang="fi-FI" sz="1100" b="1">
              <a:solidFill>
                <a:schemeClr val="dk1"/>
              </a:solidFill>
              <a:effectLst/>
              <a:latin typeface="+mn-lt"/>
              <a:ea typeface="+mn-ea"/>
              <a:cs typeface="+mn-cs"/>
            </a:rPr>
            <a:t>Käyttökate</a:t>
          </a:r>
          <a:endParaRPr lang="fi-FI">
            <a:effectLst/>
          </a:endParaRPr>
        </a:p>
        <a:p>
          <a:r>
            <a:rPr lang="fi-FI" sz="1100">
              <a:solidFill>
                <a:schemeClr val="dk1"/>
              </a:solidFill>
              <a:effectLst/>
              <a:latin typeface="+mn-lt"/>
              <a:ea typeface="+mn-ea"/>
              <a:cs typeface="+mn-cs"/>
            </a:rPr>
            <a:t>= toimintakate + verotulot + valtionosuudet</a:t>
          </a:r>
        </a:p>
        <a:p>
          <a:endParaRPr lang="fi-FI">
            <a:effectLst/>
          </a:endParaRPr>
        </a:p>
        <a:p>
          <a:r>
            <a:rPr lang="fi-FI" sz="1100" b="1">
              <a:solidFill>
                <a:schemeClr val="dk1"/>
              </a:solidFill>
              <a:effectLst/>
              <a:latin typeface="+mn-lt"/>
              <a:ea typeface="+mn-ea"/>
              <a:cs typeface="+mn-cs"/>
            </a:rPr>
            <a:t>Vuosikate</a:t>
          </a:r>
          <a:endParaRPr lang="fi-FI">
            <a:effectLst/>
          </a:endParaRPr>
        </a:p>
        <a:p>
          <a:r>
            <a:rPr lang="fi-FI" sz="1100">
              <a:solidFill>
                <a:schemeClr val="dk1"/>
              </a:solidFill>
              <a:effectLst/>
              <a:latin typeface="+mn-lt"/>
              <a:ea typeface="+mn-ea"/>
              <a:cs typeface="+mn-cs"/>
            </a:rPr>
            <a:t>= käyttökate + rahoitustuotot ja kulut</a:t>
          </a:r>
        </a:p>
        <a:p>
          <a:endParaRPr lang="fi-FI">
            <a:effectLst/>
          </a:endParaRPr>
        </a:p>
        <a:p>
          <a:r>
            <a:rPr lang="fi-FI" sz="1100" b="1">
              <a:solidFill>
                <a:schemeClr val="dk1"/>
              </a:solidFill>
              <a:effectLst/>
              <a:latin typeface="+mn-lt"/>
              <a:ea typeface="+mn-ea"/>
              <a:cs typeface="+mn-cs"/>
            </a:rPr>
            <a:t>Toim ja inv rahavirta (toiminnan ja investointien rahavirta)</a:t>
          </a:r>
          <a:endParaRPr lang="fi-FI">
            <a:effectLst/>
          </a:endParaRPr>
        </a:p>
        <a:p>
          <a:r>
            <a:rPr lang="fi-FI" sz="1100">
              <a:solidFill>
                <a:schemeClr val="dk1"/>
              </a:solidFill>
              <a:effectLst/>
              <a:latin typeface="+mn-lt"/>
              <a:ea typeface="+mn-ea"/>
              <a:cs typeface="+mn-cs"/>
            </a:rPr>
            <a:t>= vuosikate + nettoinvestoinnit + satunnaiset erät + tulorahoituksen korjauserät</a:t>
          </a:r>
          <a:endParaRPr lang="fi-FI">
            <a:effectLst/>
          </a:endParaRPr>
        </a:p>
        <a:p>
          <a:r>
            <a:rPr lang="fi-FI" sz="1100">
              <a:solidFill>
                <a:schemeClr val="dk1"/>
              </a:solidFill>
              <a:effectLst/>
              <a:latin typeface="+mn-lt"/>
              <a:ea typeface="+mn-ea"/>
              <a:cs typeface="+mn-cs"/>
            </a:rPr>
            <a:t> </a:t>
          </a:r>
          <a:endParaRPr lang="fi-FI">
            <a:effectLst/>
          </a:endParaRPr>
        </a:p>
        <a:p>
          <a:r>
            <a:rPr lang="fi-FI" sz="1100" b="1">
              <a:solidFill>
                <a:schemeClr val="dk1"/>
              </a:solidFill>
              <a:effectLst/>
              <a:latin typeface="+mn-lt"/>
              <a:ea typeface="+mn-ea"/>
              <a:cs typeface="+mn-cs"/>
            </a:rPr>
            <a:t>Tilikauden tulos</a:t>
          </a:r>
          <a:endParaRPr lang="fi-FI">
            <a:effectLst/>
          </a:endParaRPr>
        </a:p>
        <a:p>
          <a:r>
            <a:rPr lang="fi-FI" sz="1100">
              <a:solidFill>
                <a:schemeClr val="dk1"/>
              </a:solidFill>
              <a:effectLst/>
              <a:latin typeface="+mn-lt"/>
              <a:ea typeface="+mn-ea"/>
              <a:cs typeface="+mn-cs"/>
            </a:rPr>
            <a:t>= vuosikate – poistot</a:t>
          </a:r>
          <a:endParaRPr lang="fi-FI">
            <a:effectLst/>
          </a:endParaRPr>
        </a:p>
        <a:p>
          <a:r>
            <a:rPr lang="fi-FI" sz="1100">
              <a:solidFill>
                <a:schemeClr val="dk1"/>
              </a:solidFill>
              <a:effectLst/>
              <a:latin typeface="+mn-lt"/>
              <a:ea typeface="+mn-ea"/>
              <a:cs typeface="+mn-cs"/>
            </a:rPr>
            <a:t> </a:t>
          </a:r>
          <a:endParaRPr lang="fi-FI">
            <a:effectLst/>
          </a:endParaRPr>
        </a:p>
        <a:p>
          <a:r>
            <a:rPr lang="fi-FI" sz="1100" b="1">
              <a:solidFill>
                <a:schemeClr val="dk1"/>
              </a:solidFill>
              <a:effectLst/>
              <a:latin typeface="+mn-lt"/>
              <a:ea typeface="+mn-ea"/>
              <a:cs typeface="+mn-cs"/>
            </a:rPr>
            <a:t>Taseen kertynyt ali_ylijäämä (taseeseen kertynyt ali/ylijäämä)</a:t>
          </a:r>
          <a:endParaRPr lang="fi-FI">
            <a:effectLst/>
          </a:endParaRPr>
        </a:p>
        <a:p>
          <a:r>
            <a:rPr lang="fi-FI" sz="1100">
              <a:solidFill>
                <a:schemeClr val="dk1"/>
              </a:solidFill>
              <a:effectLst/>
              <a:latin typeface="+mn-lt"/>
              <a:ea typeface="+mn-ea"/>
              <a:cs typeface="+mn-cs"/>
            </a:rPr>
            <a:t>= tilikauden tulos + tulorahoituksen korjauserät</a:t>
          </a:r>
          <a:endParaRPr lang="fi-FI">
            <a:effectLst/>
          </a:endParaRPr>
        </a:p>
        <a:p>
          <a:r>
            <a:rPr lang="fi-FI" sz="1100">
              <a:solidFill>
                <a:schemeClr val="dk1"/>
              </a:solidFill>
              <a:effectLst/>
              <a:latin typeface="+mn-lt"/>
              <a:ea typeface="+mn-ea"/>
              <a:cs typeface="+mn-cs"/>
            </a:rPr>
            <a:t>Lainakanta (lainakanta vuoden lopussa)</a:t>
          </a:r>
          <a:endParaRPr lang="fi-FI">
            <a:effectLst/>
          </a:endParaRPr>
        </a:p>
        <a:p>
          <a:r>
            <a:rPr lang="fi-FI" sz="1100">
              <a:solidFill>
                <a:schemeClr val="dk1"/>
              </a:solidFill>
              <a:effectLst/>
              <a:latin typeface="+mn-lt"/>
              <a:ea typeface="+mn-ea"/>
              <a:cs typeface="+mn-cs"/>
            </a:rPr>
            <a:t>- Lähde: Kuntien ilmoittamat tilinpäätösennakko -ja talousarviotiedot</a:t>
          </a:r>
          <a:endParaRPr lang="fi-FI">
            <a:effectLst/>
          </a:endParaRPr>
        </a:p>
        <a:p>
          <a:r>
            <a:rPr lang="fi-FI" sz="1100">
              <a:solidFill>
                <a:schemeClr val="dk1"/>
              </a:solidFill>
              <a:effectLst/>
              <a:latin typeface="+mn-lt"/>
              <a:ea typeface="+mn-ea"/>
              <a:cs typeface="+mn-cs"/>
            </a:rPr>
            <a:t>= edellisen tilikauden lainakanta - toiminnan ja investointien rahavirta</a:t>
          </a:r>
          <a:endParaRPr lang="fi-FI">
            <a:effectLst/>
          </a:endParaRPr>
        </a:p>
        <a:p>
          <a:r>
            <a:rPr lang="fi-FI" sz="1100">
              <a:solidFill>
                <a:schemeClr val="dk1"/>
              </a:solidFill>
              <a:effectLst/>
              <a:latin typeface="+mn-lt"/>
              <a:ea typeface="+mn-ea"/>
              <a:cs typeface="+mn-cs"/>
            </a:rPr>
            <a:t> </a:t>
          </a:r>
          <a:endParaRPr lang="fi-FI">
            <a:effectLst/>
          </a:endParaRPr>
        </a:p>
        <a:p>
          <a:r>
            <a:rPr lang="fi-FI" sz="1100" b="1">
              <a:solidFill>
                <a:schemeClr val="dk1"/>
              </a:solidFill>
              <a:effectLst/>
              <a:latin typeface="+mn-lt"/>
              <a:ea typeface="+mn-ea"/>
              <a:cs typeface="+mn-cs"/>
            </a:rPr>
            <a:t>Veroprosentin tuotto</a:t>
          </a:r>
          <a:endParaRPr lang="fi-FI">
            <a:effectLst/>
          </a:endParaRPr>
        </a:p>
        <a:p>
          <a:r>
            <a:rPr lang="fi-FI" sz="1100">
              <a:solidFill>
                <a:schemeClr val="dk1"/>
              </a:solidFill>
              <a:effectLst/>
              <a:latin typeface="+mn-lt"/>
              <a:ea typeface="+mn-ea"/>
              <a:cs typeface="+mn-cs"/>
            </a:rPr>
            <a:t>- Lähde: Verohallinto (kuntien tuloveroprosentit). </a:t>
          </a:r>
          <a:endParaRPr lang="fi-FI">
            <a:effectLst/>
          </a:endParaRPr>
        </a:p>
        <a:p>
          <a:r>
            <a:rPr lang="fi-FI" sz="1100">
              <a:solidFill>
                <a:schemeClr val="dk1"/>
              </a:solidFill>
              <a:effectLst/>
              <a:latin typeface="+mn-lt"/>
              <a:ea typeface="+mn-ea"/>
              <a:cs typeface="+mn-cs"/>
            </a:rPr>
            <a:t>- Ennustemenetelmä: kuntien viimeisimmän tilikauden ilmoittama veroprosentti pidetään vakiona. </a:t>
          </a:r>
          <a:endParaRPr lang="fi-FI">
            <a:effectLst/>
          </a:endParaRPr>
        </a:p>
        <a:p>
          <a:r>
            <a:rPr lang="fi-FI" sz="1100">
              <a:solidFill>
                <a:schemeClr val="dk1"/>
              </a:solidFill>
              <a:effectLst/>
              <a:latin typeface="+mn-lt"/>
              <a:ea typeface="+mn-ea"/>
              <a:cs typeface="+mn-cs"/>
            </a:rPr>
            <a:t>= verotulot/ kunnallisveroprosentti</a:t>
          </a:r>
          <a:endParaRPr lang="fi-FI">
            <a:effectLst/>
          </a:endParaRPr>
        </a:p>
        <a:p>
          <a:r>
            <a:rPr lang="fi-FI" sz="1100">
              <a:solidFill>
                <a:schemeClr val="dk1"/>
              </a:solidFill>
              <a:effectLst/>
              <a:latin typeface="+mn-lt"/>
              <a:ea typeface="+mn-ea"/>
              <a:cs typeface="+mn-cs"/>
            </a:rPr>
            <a:t> </a:t>
          </a:r>
          <a:endParaRPr lang="fi-FI">
            <a:effectLst/>
          </a:endParaRPr>
        </a:p>
        <a:p>
          <a:r>
            <a:rPr lang="fi-FI" sz="1100" b="1">
              <a:solidFill>
                <a:schemeClr val="dk1"/>
              </a:solidFill>
              <a:effectLst/>
              <a:latin typeface="+mn-lt"/>
              <a:ea typeface="+mn-ea"/>
              <a:cs typeface="+mn-cs"/>
            </a:rPr>
            <a:t>Korotuspaine</a:t>
          </a:r>
          <a:endParaRPr lang="fi-FI">
            <a:effectLst/>
          </a:endParaRPr>
        </a:p>
        <a:p>
          <a:r>
            <a:rPr lang="fi-FI" sz="1100">
              <a:solidFill>
                <a:schemeClr val="dk1"/>
              </a:solidFill>
              <a:effectLst/>
              <a:latin typeface="+mn-lt"/>
              <a:ea typeface="+mn-ea"/>
              <a:cs typeface="+mn-cs"/>
            </a:rPr>
            <a:t>= toiminnan ja investointien rahavirta / veroprosentin tuotto</a:t>
          </a:r>
          <a:endParaRPr lang="fi-FI">
            <a:effectLst/>
          </a:endParaRPr>
        </a:p>
        <a:p>
          <a:r>
            <a:rPr lang="fi-FI" sz="1100">
              <a:solidFill>
                <a:schemeClr val="dk1"/>
              </a:solidFill>
              <a:effectLst/>
              <a:latin typeface="+mn-lt"/>
              <a:ea typeface="+mn-ea"/>
              <a:cs typeface="+mn-cs"/>
            </a:rPr>
            <a:t> </a:t>
          </a:r>
          <a:endParaRPr lang="fi-FI">
            <a:effectLst/>
          </a:endParaRPr>
        </a:p>
        <a:p>
          <a:r>
            <a:rPr lang="fi-FI" sz="1100" b="1">
              <a:solidFill>
                <a:schemeClr val="dk1"/>
              </a:solidFill>
              <a:effectLst/>
              <a:latin typeface="+mn-lt"/>
              <a:ea typeface="+mn-ea"/>
              <a:cs typeface="+mn-cs"/>
            </a:rPr>
            <a:t>Makroennusteet</a:t>
          </a:r>
          <a:endParaRPr lang="fi-FI">
            <a:effectLst/>
          </a:endParaRPr>
        </a:p>
        <a:p>
          <a:r>
            <a:rPr lang="fi-FI" sz="1100">
              <a:solidFill>
                <a:schemeClr val="dk1"/>
              </a:solidFill>
              <a:effectLst/>
              <a:latin typeface="+mn-lt"/>
              <a:ea typeface="+mn-ea"/>
              <a:cs typeface="+mn-cs"/>
            </a:rPr>
            <a:t>- Lähde: VM:n ennuste</a:t>
          </a:r>
          <a:endParaRPr lang="fi-FI">
            <a:effectLst/>
          </a:endParaRPr>
        </a:p>
        <a:p>
          <a:r>
            <a:rPr lang="fi-FI" sz="1100">
              <a:solidFill>
                <a:schemeClr val="dk1"/>
              </a:solidFill>
              <a:effectLst/>
              <a:latin typeface="+mn-lt"/>
              <a:ea typeface="+mn-ea"/>
              <a:cs typeface="+mn-cs"/>
            </a:rPr>
            <a:t> </a:t>
          </a:r>
          <a:endParaRPr lang="fi-FI">
            <a:effectLst/>
          </a:endParaRPr>
        </a:p>
        <a:p>
          <a:r>
            <a:rPr lang="fi-FI" sz="1100">
              <a:solidFill>
                <a:schemeClr val="dk1"/>
              </a:solidFill>
              <a:effectLst/>
              <a:latin typeface="+mn-lt"/>
              <a:ea typeface="+mn-ea"/>
              <a:cs typeface="+mn-cs"/>
            </a:rPr>
            <a:t> </a:t>
          </a:r>
          <a:endParaRPr lang="fi-FI">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219074</xdr:colOff>
      <xdr:row>44</xdr:row>
      <xdr:rowOff>95250</xdr:rowOff>
    </xdr:from>
    <xdr:to>
      <xdr:col>6</xdr:col>
      <xdr:colOff>565149</xdr:colOff>
      <xdr:row>71</xdr:row>
      <xdr:rowOff>44450</xdr:rowOff>
    </xdr:to>
    <xdr:graphicFrame macro="">
      <xdr:nvGraphicFramePr>
        <xdr:cNvPr id="3" name="Kaavio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600075</xdr:colOff>
      <xdr:row>105</xdr:row>
      <xdr:rowOff>19049</xdr:rowOff>
    </xdr:from>
    <xdr:to>
      <xdr:col>16</xdr:col>
      <xdr:colOff>9525</xdr:colOff>
      <xdr:row>128</xdr:row>
      <xdr:rowOff>85724</xdr:rowOff>
    </xdr:to>
    <xdr:graphicFrame macro="">
      <xdr:nvGraphicFramePr>
        <xdr:cNvPr id="4" name="Kaavio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9524</xdr:colOff>
      <xdr:row>131</xdr:row>
      <xdr:rowOff>9525</xdr:rowOff>
    </xdr:from>
    <xdr:to>
      <xdr:col>15</xdr:col>
      <xdr:colOff>590549</xdr:colOff>
      <xdr:row>154</xdr:row>
      <xdr:rowOff>28575</xdr:rowOff>
    </xdr:to>
    <xdr:graphicFrame macro="">
      <xdr:nvGraphicFramePr>
        <xdr:cNvPr id="5" name="Kaavio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2822</xdr:colOff>
      <xdr:row>156</xdr:row>
      <xdr:rowOff>19048</xdr:rowOff>
    </xdr:from>
    <xdr:to>
      <xdr:col>15</xdr:col>
      <xdr:colOff>592667</xdr:colOff>
      <xdr:row>179</xdr:row>
      <xdr:rowOff>180975</xdr:rowOff>
    </xdr:to>
    <xdr:graphicFrame macro="">
      <xdr:nvGraphicFramePr>
        <xdr:cNvPr id="6" name="Kaavio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19048</xdr:colOff>
      <xdr:row>181</xdr:row>
      <xdr:rowOff>19049</xdr:rowOff>
    </xdr:from>
    <xdr:to>
      <xdr:col>15</xdr:col>
      <xdr:colOff>592666</xdr:colOff>
      <xdr:row>206</xdr:row>
      <xdr:rowOff>161925</xdr:rowOff>
    </xdr:to>
    <xdr:graphicFrame macro="">
      <xdr:nvGraphicFramePr>
        <xdr:cNvPr id="7" name="Kaavio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571500</xdr:colOff>
      <xdr:row>81</xdr:row>
      <xdr:rowOff>9524</xdr:rowOff>
    </xdr:from>
    <xdr:to>
      <xdr:col>15</xdr:col>
      <xdr:colOff>581025</xdr:colOff>
      <xdr:row>103</xdr:row>
      <xdr:rowOff>0</xdr:rowOff>
    </xdr:to>
    <xdr:graphicFrame macro="">
      <xdr:nvGraphicFramePr>
        <xdr:cNvPr id="9" name="Kaavi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599722</xdr:colOff>
      <xdr:row>30</xdr:row>
      <xdr:rowOff>49389</xdr:rowOff>
    </xdr:from>
    <xdr:to>
      <xdr:col>15</xdr:col>
      <xdr:colOff>550333</xdr:colOff>
      <xdr:row>54</xdr:row>
      <xdr:rowOff>63500</xdr:rowOff>
    </xdr:to>
    <xdr:graphicFrame macro="">
      <xdr:nvGraphicFramePr>
        <xdr:cNvPr id="12" name="Kaavio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57</xdr:row>
      <xdr:rowOff>0</xdr:rowOff>
    </xdr:from>
    <xdr:to>
      <xdr:col>15</xdr:col>
      <xdr:colOff>578555</xdr:colOff>
      <xdr:row>79</xdr:row>
      <xdr:rowOff>70556</xdr:rowOff>
    </xdr:to>
    <xdr:graphicFrame macro="">
      <xdr:nvGraphicFramePr>
        <xdr:cNvPr id="13" name="Kaavio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42333</xdr:colOff>
      <xdr:row>0</xdr:row>
      <xdr:rowOff>148166</xdr:rowOff>
    </xdr:from>
    <xdr:to>
      <xdr:col>15</xdr:col>
      <xdr:colOff>571499</xdr:colOff>
      <xdr:row>28</xdr:row>
      <xdr:rowOff>137584</xdr:rowOff>
    </xdr:to>
    <xdr:graphicFrame macro="">
      <xdr:nvGraphicFramePr>
        <xdr:cNvPr id="10" name="Kaavio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39997558519241921"/>
  </sheetPr>
  <dimension ref="K15"/>
  <sheetViews>
    <sheetView tabSelected="1" zoomScale="110" zoomScaleNormal="110" workbookViewId="0">
      <selection activeCell="Q1" sqref="Q1"/>
    </sheetView>
  </sheetViews>
  <sheetFormatPr defaultRowHeight="15" x14ac:dyDescent="0.25"/>
  <sheetData>
    <row r="15" spans="11:11" x14ac:dyDescent="0.25">
      <c r="K15" s="258"/>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N309"/>
  <sheetViews>
    <sheetView zoomScaleNormal="100" workbookViewId="0"/>
  </sheetViews>
  <sheetFormatPr defaultRowHeight="15" x14ac:dyDescent="0.25"/>
  <cols>
    <col min="1" max="1" width="9.140625" style="29"/>
    <col min="2" max="2" width="20.5703125" style="29" bestFit="1" customWidth="1"/>
    <col min="3" max="8" width="13.85546875" customWidth="1"/>
    <col min="9" max="9" width="13.85546875" style="16" customWidth="1"/>
    <col min="10" max="14" width="13.85546875" customWidth="1"/>
    <col min="15" max="16" width="13.85546875" style="203" customWidth="1"/>
    <col min="17" max="18" width="5.140625" bestFit="1" customWidth="1"/>
  </cols>
  <sheetData>
    <row r="1" spans="1:40" x14ac:dyDescent="0.25">
      <c r="A1" s="18" t="s">
        <v>798</v>
      </c>
      <c r="B1" s="18"/>
      <c r="C1" s="18"/>
      <c r="D1" s="18"/>
      <c r="E1" s="18"/>
      <c r="F1" s="18"/>
      <c r="G1" s="18"/>
      <c r="H1" s="18"/>
      <c r="I1" s="22"/>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row>
    <row r="2" spans="1:40" x14ac:dyDescent="0.25">
      <c r="A2" s="18"/>
      <c r="B2" s="18"/>
      <c r="I2" s="364"/>
      <c r="J2" s="279"/>
      <c r="K2" s="279"/>
      <c r="L2" s="279"/>
    </row>
    <row r="3" spans="1:40" x14ac:dyDescent="0.25">
      <c r="A3" s="18"/>
      <c r="B3" s="18"/>
    </row>
    <row r="4" spans="1:40" x14ac:dyDescent="0.25">
      <c r="A4" s="18"/>
      <c r="B4" s="18"/>
    </row>
    <row r="5" spans="1:40" x14ac:dyDescent="0.25">
      <c r="A5" s="18"/>
      <c r="B5" s="18"/>
      <c r="H5" s="7"/>
      <c r="I5" s="7"/>
      <c r="J5" s="7"/>
      <c r="K5" s="7"/>
      <c r="L5" s="7"/>
      <c r="M5" s="435"/>
      <c r="N5" s="307"/>
      <c r="O5" s="426">
        <f>1+Makroennusteet!L11</f>
        <v>1.035053130900482</v>
      </c>
      <c r="P5" s="426">
        <f>1+Makroennusteet!M11</f>
        <v>1.0300551809946539</v>
      </c>
    </row>
    <row r="6" spans="1:40" x14ac:dyDescent="0.25">
      <c r="A6" s="18"/>
      <c r="B6" s="18"/>
      <c r="H6" s="16"/>
      <c r="J6" s="16"/>
      <c r="K6" s="16"/>
      <c r="L6" s="16"/>
    </row>
    <row r="7" spans="1:40" x14ac:dyDescent="0.25">
      <c r="A7" s="1"/>
      <c r="B7" s="1"/>
      <c r="G7" s="16"/>
      <c r="H7" s="315"/>
      <c r="J7" s="16"/>
      <c r="K7" s="316"/>
      <c r="L7" s="16"/>
      <c r="M7" s="16"/>
      <c r="N7" s="16"/>
      <c r="O7" s="16"/>
      <c r="P7" s="16"/>
      <c r="Q7" s="16"/>
    </row>
    <row r="8" spans="1:40" s="4" customFormat="1" ht="11.25" x14ac:dyDescent="0.2">
      <c r="A8" s="1" t="s">
        <v>622</v>
      </c>
      <c r="B8" s="1"/>
      <c r="C8" s="4" t="s">
        <v>323</v>
      </c>
      <c r="D8" s="4" t="s">
        <v>323</v>
      </c>
      <c r="E8" s="4" t="s">
        <v>323</v>
      </c>
      <c r="F8" s="4" t="s">
        <v>323</v>
      </c>
      <c r="G8" s="7" t="s">
        <v>323</v>
      </c>
      <c r="H8" s="7" t="s">
        <v>323</v>
      </c>
      <c r="I8" s="7" t="s">
        <v>323</v>
      </c>
      <c r="J8" s="7" t="s">
        <v>323</v>
      </c>
      <c r="K8" s="7" t="s">
        <v>323</v>
      </c>
      <c r="L8" s="7" t="s">
        <v>757</v>
      </c>
      <c r="M8" s="4" t="s">
        <v>758</v>
      </c>
      <c r="N8" s="7" t="s">
        <v>758</v>
      </c>
      <c r="O8" s="24" t="s">
        <v>815</v>
      </c>
      <c r="P8" s="24" t="s">
        <v>815</v>
      </c>
      <c r="R8" s="60"/>
    </row>
    <row r="9" spans="1:40" s="112" customFormat="1" ht="15" customHeight="1" x14ac:dyDescent="0.2">
      <c r="A9" s="111" t="s">
        <v>311</v>
      </c>
      <c r="B9" s="111"/>
      <c r="C9" s="108">
        <v>2015</v>
      </c>
      <c r="D9" s="108">
        <v>2016</v>
      </c>
      <c r="E9" s="108">
        <v>2017</v>
      </c>
      <c r="F9" s="108">
        <v>2018</v>
      </c>
      <c r="G9" s="108">
        <v>2019</v>
      </c>
      <c r="H9" s="108">
        <v>2020</v>
      </c>
      <c r="I9" s="108">
        <v>2021</v>
      </c>
      <c r="J9" s="108">
        <v>2022</v>
      </c>
      <c r="K9" s="108">
        <v>2023</v>
      </c>
      <c r="L9" s="108">
        <v>2024</v>
      </c>
      <c r="M9" s="108">
        <v>2025</v>
      </c>
      <c r="N9" s="108">
        <v>2026</v>
      </c>
      <c r="O9" s="108">
        <v>2027</v>
      </c>
      <c r="P9" s="108">
        <v>2028</v>
      </c>
      <c r="Q9" s="108"/>
      <c r="R9" s="108"/>
      <c r="S9" s="108"/>
      <c r="T9" s="108"/>
    </row>
    <row r="10" spans="1:40" s="4" customFormat="1" ht="11.25" x14ac:dyDescent="0.2">
      <c r="A10" s="1" t="s">
        <v>623</v>
      </c>
      <c r="B10" s="1"/>
      <c r="D10" s="69">
        <f>(D13/C13-1)*100</f>
        <v>5.951719127332189</v>
      </c>
      <c r="E10" s="69">
        <f>(E13/D13-1)*100</f>
        <v>25.529493091395693</v>
      </c>
      <c r="F10" s="69">
        <f>(F13/E13-1)*100</f>
        <v>-13.757489035984971</v>
      </c>
      <c r="G10" s="69">
        <f>(G13/F13-1)*100</f>
        <v>41.411701350155795</v>
      </c>
      <c r="H10" s="69">
        <f>(H13/G13-1)*100</f>
        <v>-16.037407379198541</v>
      </c>
      <c r="I10" s="202"/>
      <c r="J10" s="69"/>
      <c r="K10" s="69"/>
      <c r="L10" s="69"/>
      <c r="M10" s="69"/>
      <c r="N10" s="69"/>
      <c r="O10" s="69"/>
      <c r="P10" s="69"/>
      <c r="Q10" s="69"/>
      <c r="R10" s="69"/>
      <c r="S10" s="69"/>
      <c r="T10" s="69"/>
    </row>
    <row r="11" spans="1:40" s="4" customFormat="1" ht="12" thickBot="1" x14ac:dyDescent="0.25">
      <c r="A11" s="43" t="s">
        <v>624</v>
      </c>
      <c r="B11" s="43"/>
      <c r="D11" s="41">
        <f>D13-C13</f>
        <v>20234</v>
      </c>
      <c r="E11" s="41">
        <f>E13-D13</f>
        <v>91958</v>
      </c>
      <c r="F11" s="41">
        <f>F13-E13</f>
        <v>-62206</v>
      </c>
      <c r="G11" s="41">
        <f>G13-F13</f>
        <v>161487</v>
      </c>
      <c r="H11" s="41">
        <f t="shared" ref="H11:M11" si="0">H13-G13</f>
        <v>-88437</v>
      </c>
      <c r="I11" s="165">
        <f t="shared" si="0"/>
        <v>107132.33355999948</v>
      </c>
      <c r="J11" s="41">
        <f t="shared" si="0"/>
        <v>-235504.29976999958</v>
      </c>
      <c r="K11" s="41">
        <f t="shared" si="0"/>
        <v>88342.274410000187</v>
      </c>
      <c r="L11" s="41">
        <f t="shared" si="0"/>
        <v>-189953.08843000009</v>
      </c>
      <c r="M11" s="41">
        <f t="shared" si="0"/>
        <v>-67421.451730000088</v>
      </c>
      <c r="N11" s="41">
        <f>N13-M13</f>
        <v>-56931.285259999931</v>
      </c>
      <c r="O11" s="41">
        <f>O13-N13</f>
        <v>3809.2056047750666</v>
      </c>
      <c r="P11" s="41">
        <f>P13-O13</f>
        <v>3380.5673374455073</v>
      </c>
      <c r="Q11" s="41"/>
      <c r="R11" s="41"/>
      <c r="S11" s="41"/>
      <c r="T11" s="41"/>
    </row>
    <row r="12" spans="1:40" ht="15.75" thickBot="1" x14ac:dyDescent="0.3">
      <c r="A12" s="49" t="s">
        <v>326</v>
      </c>
      <c r="B12" s="50" t="s">
        <v>327</v>
      </c>
      <c r="C12" s="68" t="s">
        <v>636</v>
      </c>
      <c r="D12" s="68" t="s">
        <v>636</v>
      </c>
      <c r="E12" s="68" t="s">
        <v>636</v>
      </c>
      <c r="F12" s="68" t="s">
        <v>636</v>
      </c>
      <c r="G12" s="68" t="s">
        <v>636</v>
      </c>
      <c r="H12" s="68" t="s">
        <v>636</v>
      </c>
      <c r="I12" s="68" t="s">
        <v>636</v>
      </c>
      <c r="J12" s="68" t="s">
        <v>636</v>
      </c>
      <c r="K12" s="68" t="s">
        <v>636</v>
      </c>
      <c r="L12" s="68" t="s">
        <v>636</v>
      </c>
      <c r="M12" s="68" t="s">
        <v>636</v>
      </c>
      <c r="N12" s="68" t="s">
        <v>636</v>
      </c>
      <c r="O12" s="68" t="s">
        <v>636</v>
      </c>
      <c r="P12" s="68" t="s">
        <v>636</v>
      </c>
      <c r="Q12" s="68"/>
      <c r="R12" s="68"/>
      <c r="S12" s="68"/>
      <c r="T12" s="68"/>
    </row>
    <row r="13" spans="1:40" s="17" customFormat="1" x14ac:dyDescent="0.25">
      <c r="A13" s="37">
        <v>1</v>
      </c>
      <c r="B13" s="38" t="s">
        <v>312</v>
      </c>
      <c r="C13" s="166">
        <f t="shared" ref="C13:O13" si="1">SUM(C15:C307)</f>
        <v>339969</v>
      </c>
      <c r="D13" s="166">
        <f t="shared" si="1"/>
        <v>360203</v>
      </c>
      <c r="E13" s="166">
        <f t="shared" si="1"/>
        <v>452161</v>
      </c>
      <c r="F13" s="166">
        <f t="shared" si="1"/>
        <v>389955</v>
      </c>
      <c r="G13" s="166">
        <f t="shared" si="1"/>
        <v>551442</v>
      </c>
      <c r="H13" s="166">
        <f t="shared" si="1"/>
        <v>463005</v>
      </c>
      <c r="I13" s="126">
        <f t="shared" si="1"/>
        <v>570137.33355999948</v>
      </c>
      <c r="J13" s="166">
        <f>SUM(J15:J307)</f>
        <v>334633.0337899999</v>
      </c>
      <c r="K13" s="166">
        <f t="shared" si="1"/>
        <v>422975.30820000009</v>
      </c>
      <c r="L13" s="166">
        <f t="shared" si="1"/>
        <v>233022.21977</v>
      </c>
      <c r="M13" s="166">
        <f t="shared" si="1"/>
        <v>165600.76803999991</v>
      </c>
      <c r="N13" s="166">
        <f t="shared" si="1"/>
        <v>108669.48277999998</v>
      </c>
      <c r="O13" s="166">
        <f t="shared" si="1"/>
        <v>112478.68838477504</v>
      </c>
      <c r="P13" s="166">
        <f t="shared" ref="P13" si="2">SUM(P15:P307)</f>
        <v>115859.25572222055</v>
      </c>
      <c r="Q13" s="166"/>
      <c r="R13" s="166"/>
      <c r="S13" s="166"/>
      <c r="T13" s="166"/>
    </row>
    <row r="14" spans="1:40" x14ac:dyDescent="0.25">
      <c r="A14" s="37"/>
      <c r="B14" s="38"/>
      <c r="C14" s="41"/>
      <c r="D14" s="41"/>
      <c r="E14" s="41"/>
      <c r="F14" s="41"/>
      <c r="G14" s="41"/>
      <c r="H14" s="41"/>
      <c r="I14" s="165"/>
      <c r="J14" s="41"/>
      <c r="K14" s="41"/>
      <c r="L14" s="41"/>
      <c r="M14" s="41"/>
      <c r="N14" s="41"/>
      <c r="O14" s="41"/>
      <c r="P14" s="41"/>
      <c r="Q14" s="41"/>
      <c r="R14" s="41"/>
    </row>
    <row r="15" spans="1:40" x14ac:dyDescent="0.25">
      <c r="A15" s="30">
        <v>5</v>
      </c>
      <c r="B15" s="31" t="s">
        <v>328</v>
      </c>
      <c r="C15" s="41">
        <v>-189</v>
      </c>
      <c r="D15" s="41">
        <v>-170</v>
      </c>
      <c r="E15" s="41">
        <v>-35</v>
      </c>
      <c r="F15" s="41">
        <v>-46</v>
      </c>
      <c r="G15" s="41">
        <v>-52</v>
      </c>
      <c r="H15" s="41">
        <v>66</v>
      </c>
      <c r="I15" s="165">
        <v>49.474470000000004</v>
      </c>
      <c r="J15" s="41">
        <v>15.483139999999999</v>
      </c>
      <c r="K15" s="41">
        <v>-123.49992</v>
      </c>
      <c r="L15" s="41">
        <v>-297.5</v>
      </c>
      <c r="M15" s="41">
        <v>-331</v>
      </c>
      <c r="N15" s="41">
        <v>-405</v>
      </c>
      <c r="O15" s="41">
        <f t="shared" ref="O15:P16" si="3">N15*O$5</f>
        <v>-419.19651801469519</v>
      </c>
      <c r="P15" s="41">
        <f t="shared" si="3"/>
        <v>-431.79554523595556</v>
      </c>
      <c r="Q15" s="41"/>
      <c r="R15" s="41"/>
    </row>
    <row r="16" spans="1:40" x14ac:dyDescent="0.25">
      <c r="A16" s="30">
        <v>9</v>
      </c>
      <c r="B16" s="31" t="s">
        <v>329</v>
      </c>
      <c r="C16" s="41">
        <v>-52</v>
      </c>
      <c r="D16" s="41">
        <v>-45</v>
      </c>
      <c r="E16" s="41">
        <v>-36</v>
      </c>
      <c r="F16" s="41">
        <v>-18</v>
      </c>
      <c r="G16" s="41">
        <v>-15</v>
      </c>
      <c r="H16" s="41">
        <v>26</v>
      </c>
      <c r="I16" s="165">
        <v>133.50970999999998</v>
      </c>
      <c r="J16" s="41">
        <v>150.15362999999999</v>
      </c>
      <c r="K16" s="41">
        <v>-21.374869999999998</v>
      </c>
      <c r="L16" s="41">
        <v>-212.61</v>
      </c>
      <c r="M16" s="41">
        <v>-230.61</v>
      </c>
      <c r="N16" s="41">
        <v>-206.5</v>
      </c>
      <c r="O16" s="41">
        <f t="shared" si="3"/>
        <v>-213.73847153094954</v>
      </c>
      <c r="P16" s="41">
        <f t="shared" si="3"/>
        <v>-220.16241997833291</v>
      </c>
      <c r="Q16" s="41"/>
      <c r="R16" s="41"/>
    </row>
    <row r="17" spans="1:18" x14ac:dyDescent="0.25">
      <c r="A17" s="30">
        <v>10</v>
      </c>
      <c r="B17" s="31" t="s">
        <v>330</v>
      </c>
      <c r="C17" s="41">
        <v>726</v>
      </c>
      <c r="D17" s="41">
        <v>943</v>
      </c>
      <c r="E17" s="41">
        <v>1266</v>
      </c>
      <c r="F17" s="41">
        <v>967</v>
      </c>
      <c r="G17" s="41">
        <v>549</v>
      </c>
      <c r="H17" s="41">
        <v>731</v>
      </c>
      <c r="I17" s="165">
        <v>1110.41885</v>
      </c>
      <c r="J17" s="41">
        <v>-940.80124000000001</v>
      </c>
      <c r="K17" s="41">
        <v>587.81281000000001</v>
      </c>
      <c r="L17" s="41">
        <v>-219</v>
      </c>
      <c r="M17" s="41">
        <v>-412</v>
      </c>
      <c r="N17" s="41">
        <v>-723.8</v>
      </c>
      <c r="O17" s="41">
        <f t="shared" ref="O17:P79" si="4">N17*O$5</f>
        <v>-749.17145614576884</v>
      </c>
      <c r="P17" s="41">
        <f t="shared" si="4"/>
        <v>-771.68793985625837</v>
      </c>
      <c r="Q17" s="41"/>
      <c r="R17" s="41"/>
    </row>
    <row r="18" spans="1:18" x14ac:dyDescent="0.25">
      <c r="A18" s="30">
        <v>16</v>
      </c>
      <c r="B18" s="31" t="s">
        <v>331</v>
      </c>
      <c r="C18" s="41">
        <v>-169</v>
      </c>
      <c r="D18" s="41">
        <v>-165</v>
      </c>
      <c r="E18" s="41">
        <v>39</v>
      </c>
      <c r="F18" s="41">
        <v>-167</v>
      </c>
      <c r="G18" s="41">
        <v>107</v>
      </c>
      <c r="H18" s="41">
        <v>-31</v>
      </c>
      <c r="I18" s="165">
        <v>66.61417999999999</v>
      </c>
      <c r="J18" s="41">
        <v>381.96977000000004</v>
      </c>
      <c r="K18" s="41">
        <v>118.40673</v>
      </c>
      <c r="L18" s="41">
        <v>-150</v>
      </c>
      <c r="M18" s="41">
        <v>-150</v>
      </c>
      <c r="N18" s="41">
        <v>-150</v>
      </c>
      <c r="O18" s="41">
        <f t="shared" si="4"/>
        <v>-155.2579696350723</v>
      </c>
      <c r="P18" s="41">
        <f t="shared" si="4"/>
        <v>-159.92427601331687</v>
      </c>
      <c r="Q18" s="41"/>
      <c r="R18" s="41"/>
    </row>
    <row r="19" spans="1:18" x14ac:dyDescent="0.25">
      <c r="A19" s="30">
        <v>18</v>
      </c>
      <c r="B19" s="31" t="s">
        <v>332</v>
      </c>
      <c r="C19" s="41">
        <v>138</v>
      </c>
      <c r="D19" s="41">
        <v>110</v>
      </c>
      <c r="E19" s="41">
        <v>145</v>
      </c>
      <c r="F19" s="41">
        <v>97</v>
      </c>
      <c r="G19" s="41">
        <v>88</v>
      </c>
      <c r="H19" s="41">
        <v>193</v>
      </c>
      <c r="I19" s="165">
        <v>363.61197999999996</v>
      </c>
      <c r="J19" s="41">
        <v>-395.06059999999997</v>
      </c>
      <c r="K19" s="41">
        <v>-147.69567000000001</v>
      </c>
      <c r="L19" s="41">
        <v>0</v>
      </c>
      <c r="M19" s="41">
        <v>-25</v>
      </c>
      <c r="N19" s="41">
        <v>-115</v>
      </c>
      <c r="O19" s="41">
        <f t="shared" si="4"/>
        <v>-119.03111005355544</v>
      </c>
      <c r="P19" s="41">
        <f t="shared" si="4"/>
        <v>-122.60861161020961</v>
      </c>
      <c r="Q19" s="41"/>
      <c r="R19" s="41"/>
    </row>
    <row r="20" spans="1:18" x14ac:dyDescent="0.25">
      <c r="A20" s="30">
        <v>19</v>
      </c>
      <c r="B20" s="31" t="s">
        <v>333</v>
      </c>
      <c r="C20" s="41">
        <v>-45</v>
      </c>
      <c r="D20" s="41">
        <v>-27</v>
      </c>
      <c r="E20" s="41">
        <v>-1</v>
      </c>
      <c r="F20" s="41">
        <v>13</v>
      </c>
      <c r="G20" s="41">
        <v>3</v>
      </c>
      <c r="H20" s="41">
        <v>-2</v>
      </c>
      <c r="I20" s="165">
        <v>22.708919999999999</v>
      </c>
      <c r="J20" s="41">
        <v>45.341720000000002</v>
      </c>
      <c r="K20" s="41">
        <v>-98.540600000000012</v>
      </c>
      <c r="L20" s="41">
        <v>-149</v>
      </c>
      <c r="M20" s="41">
        <v>-127.5</v>
      </c>
      <c r="N20" s="41">
        <v>-148</v>
      </c>
      <c r="O20" s="41">
        <f t="shared" si="4"/>
        <v>-153.18786337327134</v>
      </c>
      <c r="P20" s="41">
        <f t="shared" si="4"/>
        <v>-157.79195233313931</v>
      </c>
      <c r="Q20" s="41"/>
      <c r="R20" s="41"/>
    </row>
    <row r="21" spans="1:18" x14ac:dyDescent="0.25">
      <c r="A21" s="30">
        <v>20</v>
      </c>
      <c r="B21" s="31" t="s">
        <v>334</v>
      </c>
      <c r="C21" s="41">
        <v>-208</v>
      </c>
      <c r="D21" s="41">
        <v>41</v>
      </c>
      <c r="E21" s="41">
        <v>754</v>
      </c>
      <c r="F21" s="41">
        <v>940</v>
      </c>
      <c r="G21" s="41">
        <v>406</v>
      </c>
      <c r="H21" s="41">
        <v>477</v>
      </c>
      <c r="I21" s="165">
        <v>-51.908300000000004</v>
      </c>
      <c r="J21" s="41">
        <v>10.634030000000001</v>
      </c>
      <c r="K21" s="41">
        <v>-1499.40291</v>
      </c>
      <c r="L21" s="41">
        <v>-2032.1</v>
      </c>
      <c r="M21" s="41">
        <v>-2577</v>
      </c>
      <c r="N21" s="41">
        <v>-3179</v>
      </c>
      <c r="O21" s="41">
        <f t="shared" si="4"/>
        <v>-3290.4339031326322</v>
      </c>
      <c r="P21" s="41">
        <f t="shared" si="4"/>
        <v>-3389.3284896422288</v>
      </c>
      <c r="Q21" s="41"/>
      <c r="R21" s="41"/>
    </row>
    <row r="22" spans="1:18" x14ac:dyDescent="0.25">
      <c r="A22" s="30">
        <v>46</v>
      </c>
      <c r="B22" s="31" t="s">
        <v>335</v>
      </c>
      <c r="C22" s="41">
        <v>81</v>
      </c>
      <c r="D22" s="41">
        <v>41</v>
      </c>
      <c r="E22" s="41">
        <v>66</v>
      </c>
      <c r="F22" s="41">
        <v>69</v>
      </c>
      <c r="G22" s="41">
        <v>101</v>
      </c>
      <c r="H22" s="41">
        <v>118</v>
      </c>
      <c r="I22" s="165">
        <v>134.75308999999999</v>
      </c>
      <c r="J22" s="41">
        <v>85.906530000000004</v>
      </c>
      <c r="K22" s="41">
        <v>250.48266000000001</v>
      </c>
      <c r="L22" s="41">
        <v>142.5</v>
      </c>
      <c r="M22" s="41">
        <v>142.5</v>
      </c>
      <c r="N22" s="41">
        <v>142.5</v>
      </c>
      <c r="O22" s="41">
        <f t="shared" si="4"/>
        <v>147.49507115331869</v>
      </c>
      <c r="P22" s="41">
        <f t="shared" si="4"/>
        <v>151.92806221265104</v>
      </c>
      <c r="Q22" s="41"/>
      <c r="R22" s="41"/>
    </row>
    <row r="23" spans="1:18" x14ac:dyDescent="0.25">
      <c r="A23" s="30">
        <v>47</v>
      </c>
      <c r="B23" s="31" t="s">
        <v>336</v>
      </c>
      <c r="C23" s="41">
        <v>243</v>
      </c>
      <c r="D23" s="41">
        <v>300</v>
      </c>
      <c r="E23" s="41">
        <v>289</v>
      </c>
      <c r="F23" s="41">
        <v>389</v>
      </c>
      <c r="G23" s="41">
        <v>344</v>
      </c>
      <c r="H23" s="41">
        <v>241</v>
      </c>
      <c r="I23" s="165">
        <v>917.10136</v>
      </c>
      <c r="J23" s="41">
        <v>2233.5800199999999</v>
      </c>
      <c r="K23" s="41">
        <v>574.98966000000007</v>
      </c>
      <c r="L23" s="41">
        <v>514.15</v>
      </c>
      <c r="M23" s="41">
        <v>336.15</v>
      </c>
      <c r="N23" s="41">
        <v>190.15</v>
      </c>
      <c r="O23" s="41">
        <f t="shared" si="4"/>
        <v>196.81535284072666</v>
      </c>
      <c r="P23" s="41">
        <f t="shared" si="4"/>
        <v>202.73067389288136</v>
      </c>
      <c r="Q23" s="41"/>
      <c r="R23" s="41"/>
    </row>
    <row r="24" spans="1:18" x14ac:dyDescent="0.25">
      <c r="A24" s="30">
        <v>49</v>
      </c>
      <c r="B24" s="31" t="s">
        <v>337</v>
      </c>
      <c r="C24" s="41">
        <v>43961</v>
      </c>
      <c r="D24" s="41">
        <v>27923</v>
      </c>
      <c r="E24" s="41">
        <v>47220</v>
      </c>
      <c r="F24" s="41">
        <v>26374</v>
      </c>
      <c r="G24" s="41">
        <v>45072</v>
      </c>
      <c r="H24" s="41">
        <v>20379</v>
      </c>
      <c r="I24" s="165">
        <v>82450.365279999998</v>
      </c>
      <c r="J24" s="41">
        <v>-16108.172289999999</v>
      </c>
      <c r="K24" s="41">
        <v>52544.361469999996</v>
      </c>
      <c r="L24" s="41">
        <v>20057</v>
      </c>
      <c r="M24" s="41">
        <v>18341</v>
      </c>
      <c r="N24" s="41">
        <v>15181</v>
      </c>
      <c r="O24" s="41">
        <f>N24*O$5</f>
        <v>15713.141580200218</v>
      </c>
      <c r="P24" s="41">
        <f>O24*P$5</f>
        <v>16185.402894387757</v>
      </c>
      <c r="Q24" s="41"/>
      <c r="R24" s="41"/>
    </row>
    <row r="25" spans="1:18" x14ac:dyDescent="0.25">
      <c r="A25" s="30">
        <v>50</v>
      </c>
      <c r="B25" s="31" t="s">
        <v>338</v>
      </c>
      <c r="C25" s="41">
        <v>-172</v>
      </c>
      <c r="D25" s="41">
        <v>-205</v>
      </c>
      <c r="E25" s="41">
        <v>-14</v>
      </c>
      <c r="F25" s="41">
        <v>-30</v>
      </c>
      <c r="G25" s="41">
        <v>-28</v>
      </c>
      <c r="H25" s="41">
        <v>3</v>
      </c>
      <c r="I25" s="165">
        <v>4.9953599999999998</v>
      </c>
      <c r="J25" s="41">
        <v>32.291869999999996</v>
      </c>
      <c r="K25" s="41">
        <v>-456.59255999999999</v>
      </c>
      <c r="L25" s="41">
        <v>-770.3</v>
      </c>
      <c r="M25" s="41">
        <v>-746.2</v>
      </c>
      <c r="N25" s="41">
        <v>-797.5</v>
      </c>
      <c r="O25" s="41">
        <f t="shared" si="4"/>
        <v>-825.4548718931344</v>
      </c>
      <c r="P25" s="41">
        <f t="shared" si="4"/>
        <v>-850.26406747080136</v>
      </c>
      <c r="Q25" s="41"/>
      <c r="R25" s="41"/>
    </row>
    <row r="26" spans="1:18" x14ac:dyDescent="0.25">
      <c r="A26" s="30">
        <v>51</v>
      </c>
      <c r="B26" s="31" t="s">
        <v>339</v>
      </c>
      <c r="C26" s="41">
        <v>1282</v>
      </c>
      <c r="D26" s="41">
        <v>859</v>
      </c>
      <c r="E26" s="41">
        <v>804</v>
      </c>
      <c r="F26" s="41">
        <v>-775</v>
      </c>
      <c r="G26" s="41">
        <v>1798</v>
      </c>
      <c r="H26" s="41">
        <v>547</v>
      </c>
      <c r="I26" s="165">
        <v>1210.1178600000001</v>
      </c>
      <c r="J26" s="41">
        <v>-48.731919999999995</v>
      </c>
      <c r="K26" s="41">
        <v>426.60321999999996</v>
      </c>
      <c r="L26" s="41">
        <v>325</v>
      </c>
      <c r="M26" s="41">
        <v>325</v>
      </c>
      <c r="N26" s="41">
        <v>325</v>
      </c>
      <c r="O26" s="41">
        <f t="shared" si="4"/>
        <v>336.39226754265667</v>
      </c>
      <c r="P26" s="41">
        <f t="shared" si="4"/>
        <v>346.50259802885324</v>
      </c>
      <c r="Q26" s="41"/>
      <c r="R26" s="41"/>
    </row>
    <row r="27" spans="1:18" x14ac:dyDescent="0.25">
      <c r="A27" s="30">
        <v>52</v>
      </c>
      <c r="B27" s="31" t="s">
        <v>340</v>
      </c>
      <c r="C27" s="41">
        <v>49</v>
      </c>
      <c r="D27" s="41">
        <v>197</v>
      </c>
      <c r="E27" s="41">
        <v>502</v>
      </c>
      <c r="F27" s="41">
        <v>-242</v>
      </c>
      <c r="G27" s="41">
        <v>637</v>
      </c>
      <c r="H27" s="41">
        <v>244</v>
      </c>
      <c r="I27" s="165">
        <v>272.81700000000001</v>
      </c>
      <c r="J27" s="41">
        <v>-159.24723999999998</v>
      </c>
      <c r="K27" s="41">
        <v>-43.529180000000004</v>
      </c>
      <c r="L27" s="41">
        <v>-279.39999999999998</v>
      </c>
      <c r="M27" s="41">
        <v>-285</v>
      </c>
      <c r="N27" s="41">
        <v>-291</v>
      </c>
      <c r="O27" s="41">
        <f t="shared" si="4"/>
        <v>-301.20046109204026</v>
      </c>
      <c r="P27" s="41">
        <f t="shared" si="4"/>
        <v>-310.25309546583475</v>
      </c>
      <c r="Q27" s="41"/>
      <c r="R27" s="41"/>
    </row>
    <row r="28" spans="1:18" x14ac:dyDescent="0.25">
      <c r="A28" s="30">
        <v>61</v>
      </c>
      <c r="B28" s="31" t="s">
        <v>341</v>
      </c>
      <c r="C28" s="41">
        <v>-357</v>
      </c>
      <c r="D28" s="41">
        <v>-67</v>
      </c>
      <c r="E28" s="41">
        <v>-343</v>
      </c>
      <c r="F28" s="41">
        <v>-317</v>
      </c>
      <c r="G28" s="41">
        <v>-184</v>
      </c>
      <c r="H28" s="41">
        <v>-407</v>
      </c>
      <c r="I28" s="165">
        <v>-408.76283000000001</v>
      </c>
      <c r="J28" s="41">
        <v>-277.60305</v>
      </c>
      <c r="K28" s="41">
        <v>-93.319130000000001</v>
      </c>
      <c r="L28" s="41">
        <v>-565</v>
      </c>
      <c r="M28" s="41">
        <v>-582</v>
      </c>
      <c r="N28" s="41">
        <v>-682</v>
      </c>
      <c r="O28" s="41">
        <f t="shared" si="4"/>
        <v>-705.90623527412868</v>
      </c>
      <c r="P28" s="41">
        <f t="shared" si="4"/>
        <v>-727.12237494054739</v>
      </c>
      <c r="Q28" s="41"/>
      <c r="R28" s="41"/>
    </row>
    <row r="29" spans="1:18" x14ac:dyDescent="0.25">
      <c r="A29" s="30">
        <v>69</v>
      </c>
      <c r="B29" s="31" t="s">
        <v>342</v>
      </c>
      <c r="C29" s="41">
        <v>1167</v>
      </c>
      <c r="D29" s="41">
        <v>501</v>
      </c>
      <c r="E29" s="41">
        <v>92</v>
      </c>
      <c r="F29" s="41">
        <v>-211</v>
      </c>
      <c r="G29" s="41">
        <v>1127</v>
      </c>
      <c r="H29" s="41">
        <v>10</v>
      </c>
      <c r="I29" s="165">
        <v>1062.3526999999999</v>
      </c>
      <c r="J29" s="41">
        <v>-1299.61006</v>
      </c>
      <c r="K29" s="41">
        <v>-191.43247</v>
      </c>
      <c r="L29" s="41">
        <v>-377.1</v>
      </c>
      <c r="M29" s="41">
        <v>300</v>
      </c>
      <c r="N29" s="41">
        <v>300</v>
      </c>
      <c r="O29" s="41">
        <f t="shared" si="4"/>
        <v>310.5159392701446</v>
      </c>
      <c r="P29" s="41">
        <f t="shared" si="4"/>
        <v>319.84855202663374</v>
      </c>
      <c r="Q29" s="41"/>
      <c r="R29" s="41"/>
    </row>
    <row r="30" spans="1:18" x14ac:dyDescent="0.25">
      <c r="A30" s="30">
        <v>71</v>
      </c>
      <c r="B30" s="31" t="s">
        <v>343</v>
      </c>
      <c r="C30" s="41">
        <v>432</v>
      </c>
      <c r="D30" s="41">
        <v>435</v>
      </c>
      <c r="E30" s="41">
        <v>690</v>
      </c>
      <c r="F30" s="41">
        <v>-18</v>
      </c>
      <c r="G30" s="41">
        <v>375</v>
      </c>
      <c r="H30" s="41">
        <v>37</v>
      </c>
      <c r="I30" s="165">
        <v>560.73742000000004</v>
      </c>
      <c r="J30" s="41">
        <v>-636.73514999999998</v>
      </c>
      <c r="K30" s="41">
        <v>29.646720000000002</v>
      </c>
      <c r="L30" s="41">
        <v>-546.44100000000003</v>
      </c>
      <c r="M30" s="41">
        <v>-516.44100000000003</v>
      </c>
      <c r="N30" s="41">
        <v>-496.44099999999997</v>
      </c>
      <c r="O30" s="41">
        <f t="shared" si="4"/>
        <v>-513.84281135736614</v>
      </c>
      <c r="P30" s="41">
        <f t="shared" si="4"/>
        <v>-529.28645005551357</v>
      </c>
      <c r="Q30" s="41"/>
      <c r="R30" s="41"/>
    </row>
    <row r="31" spans="1:18" x14ac:dyDescent="0.25">
      <c r="A31" s="30">
        <v>72</v>
      </c>
      <c r="B31" s="31" t="s">
        <v>344</v>
      </c>
      <c r="C31" s="41">
        <v>50</v>
      </c>
      <c r="D31" s="41">
        <v>-4</v>
      </c>
      <c r="E31" s="41">
        <v>78</v>
      </c>
      <c r="F31" s="41">
        <v>-13</v>
      </c>
      <c r="G31" s="41">
        <v>-14</v>
      </c>
      <c r="H31" s="41">
        <v>-13</v>
      </c>
      <c r="I31" s="165">
        <v>-10.793469999999999</v>
      </c>
      <c r="J31" s="41">
        <v>-9.9518500000000003</v>
      </c>
      <c r="K31" s="41">
        <v>-10.4879</v>
      </c>
      <c r="L31" s="41">
        <v>-17.202000000000002</v>
      </c>
      <c r="M31" s="41">
        <v>-17.202000000000002</v>
      </c>
      <c r="N31" s="41">
        <v>-17.202000000000002</v>
      </c>
      <c r="O31" s="41">
        <f t="shared" si="4"/>
        <v>-17.804983957750093</v>
      </c>
      <c r="P31" s="41">
        <f t="shared" si="4"/>
        <v>-18.34011597320718</v>
      </c>
      <c r="Q31" s="41"/>
      <c r="R31" s="41"/>
    </row>
    <row r="32" spans="1:18" x14ac:dyDescent="0.25">
      <c r="A32" s="30">
        <v>74</v>
      </c>
      <c r="B32" s="31" t="s">
        <v>345</v>
      </c>
      <c r="C32" s="41">
        <v>-48</v>
      </c>
      <c r="D32" s="41">
        <v>-26</v>
      </c>
      <c r="E32" s="41">
        <v>-23</v>
      </c>
      <c r="F32" s="41">
        <v>-21</v>
      </c>
      <c r="G32" s="41">
        <v>-22</v>
      </c>
      <c r="H32" s="41">
        <v>-5</v>
      </c>
      <c r="I32" s="165">
        <v>-1.74993</v>
      </c>
      <c r="J32" s="41">
        <v>67.561750000000004</v>
      </c>
      <c r="K32" s="41">
        <v>-147.74991</v>
      </c>
      <c r="L32" s="41">
        <v>-146.72</v>
      </c>
      <c r="M32" s="41">
        <v>-148</v>
      </c>
      <c r="N32" s="41">
        <v>-143</v>
      </c>
      <c r="O32" s="41">
        <f t="shared" si="4"/>
        <v>-148.01259771876892</v>
      </c>
      <c r="P32" s="41">
        <f t="shared" si="4"/>
        <v>-152.46114313269541</v>
      </c>
      <c r="Q32" s="41"/>
      <c r="R32" s="41"/>
    </row>
    <row r="33" spans="1:18" x14ac:dyDescent="0.25">
      <c r="A33" s="30">
        <v>75</v>
      </c>
      <c r="B33" s="31" t="s">
        <v>346</v>
      </c>
      <c r="C33" s="41">
        <v>1456</v>
      </c>
      <c r="D33" s="41">
        <v>1666</v>
      </c>
      <c r="E33" s="41">
        <v>777</v>
      </c>
      <c r="F33" s="41">
        <v>2001</v>
      </c>
      <c r="G33" s="41">
        <v>2246</v>
      </c>
      <c r="H33" s="41">
        <v>1961</v>
      </c>
      <c r="I33" s="165">
        <v>1671.0197000000001</v>
      </c>
      <c r="J33" s="41">
        <v>589.95904000000007</v>
      </c>
      <c r="K33" s="41">
        <v>649.95381000000009</v>
      </c>
      <c r="L33" s="41">
        <v>-204</v>
      </c>
      <c r="M33" s="41">
        <v>-681</v>
      </c>
      <c r="N33" s="41">
        <v>-1193</v>
      </c>
      <c r="O33" s="41">
        <f t="shared" si="4"/>
        <v>-1234.818385164275</v>
      </c>
      <c r="P33" s="41">
        <f t="shared" si="4"/>
        <v>-1271.9310752259134</v>
      </c>
      <c r="Q33" s="41"/>
      <c r="R33" s="41"/>
    </row>
    <row r="34" spans="1:18" x14ac:dyDescent="0.25">
      <c r="A34" s="30">
        <v>77</v>
      </c>
      <c r="B34" s="31" t="s">
        <v>347</v>
      </c>
      <c r="C34" s="41">
        <v>44</v>
      </c>
      <c r="D34" s="41">
        <v>0</v>
      </c>
      <c r="E34" s="41">
        <v>77</v>
      </c>
      <c r="F34" s="41">
        <v>112</v>
      </c>
      <c r="G34" s="41">
        <v>115</v>
      </c>
      <c r="H34" s="41">
        <v>130</v>
      </c>
      <c r="I34" s="165">
        <v>229.50989000000001</v>
      </c>
      <c r="J34" s="41">
        <v>184.92995999999999</v>
      </c>
      <c r="K34" s="41">
        <v>182.29204000000001</v>
      </c>
      <c r="L34" s="41">
        <v>140</v>
      </c>
      <c r="M34" s="41">
        <v>60</v>
      </c>
      <c r="N34" s="41">
        <v>71</v>
      </c>
      <c r="O34" s="41">
        <f t="shared" si="4"/>
        <v>73.488772293934218</v>
      </c>
      <c r="P34" s="41">
        <f t="shared" si="4"/>
        <v>75.697490646303322</v>
      </c>
      <c r="Q34" s="41"/>
      <c r="R34" s="41"/>
    </row>
    <row r="35" spans="1:18" x14ac:dyDescent="0.25">
      <c r="A35" s="30">
        <v>78</v>
      </c>
      <c r="B35" s="31" t="s">
        <v>348</v>
      </c>
      <c r="C35" s="41">
        <v>1206</v>
      </c>
      <c r="D35" s="41">
        <v>1659</v>
      </c>
      <c r="E35" s="41">
        <v>1974</v>
      </c>
      <c r="F35" s="41">
        <v>2079</v>
      </c>
      <c r="G35" s="41">
        <v>3202</v>
      </c>
      <c r="H35" s="41">
        <v>1278</v>
      </c>
      <c r="I35" s="165">
        <v>1529.41283</v>
      </c>
      <c r="J35" s="41">
        <v>1999.38274</v>
      </c>
      <c r="K35" s="41">
        <v>1192.28106</v>
      </c>
      <c r="L35" s="41">
        <v>1469.8</v>
      </c>
      <c r="M35" s="41">
        <v>1200</v>
      </c>
      <c r="N35" s="41">
        <v>1000</v>
      </c>
      <c r="O35" s="41">
        <f t="shared" si="4"/>
        <v>1035.0531309004821</v>
      </c>
      <c r="P35" s="41">
        <f t="shared" si="4"/>
        <v>1066.1618400887792</v>
      </c>
      <c r="Q35" s="41"/>
      <c r="R35" s="41"/>
    </row>
    <row r="36" spans="1:18" x14ac:dyDescent="0.25">
      <c r="A36" s="30">
        <v>79</v>
      </c>
      <c r="B36" s="31" t="s">
        <v>349</v>
      </c>
      <c r="C36" s="41">
        <v>-114</v>
      </c>
      <c r="D36" s="41">
        <v>-102</v>
      </c>
      <c r="E36" s="41">
        <v>-51</v>
      </c>
      <c r="F36" s="41">
        <v>-31</v>
      </c>
      <c r="G36" s="41">
        <v>3</v>
      </c>
      <c r="H36" s="41">
        <v>24</v>
      </c>
      <c r="I36" s="165">
        <v>33.902200000000001</v>
      </c>
      <c r="J36" s="41">
        <v>47.892600000000002</v>
      </c>
      <c r="K36" s="41">
        <v>-246.36745000000002</v>
      </c>
      <c r="L36" s="41">
        <v>-516.29999999999995</v>
      </c>
      <c r="M36" s="41">
        <v>-715.8</v>
      </c>
      <c r="N36" s="41">
        <v>-915.8</v>
      </c>
      <c r="O36" s="41">
        <f t="shared" si="4"/>
        <v>-947.90165727866133</v>
      </c>
      <c r="P36" s="41">
        <f t="shared" si="4"/>
        <v>-976.3910131533039</v>
      </c>
      <c r="Q36" s="41"/>
      <c r="R36" s="41"/>
    </row>
    <row r="37" spans="1:18" x14ac:dyDescent="0.25">
      <c r="A37" s="30">
        <v>81</v>
      </c>
      <c r="B37" s="31" t="s">
        <v>350</v>
      </c>
      <c r="C37" s="41">
        <v>-137</v>
      </c>
      <c r="D37" s="41">
        <v>-129</v>
      </c>
      <c r="E37" s="41">
        <v>-113</v>
      </c>
      <c r="F37" s="41">
        <v>-86</v>
      </c>
      <c r="G37" s="41">
        <v>-53</v>
      </c>
      <c r="H37" s="41">
        <v>-3</v>
      </c>
      <c r="I37" s="165">
        <v>20.11908</v>
      </c>
      <c r="J37" s="41">
        <v>93.694969999999998</v>
      </c>
      <c r="K37" s="41">
        <v>-138.66989999999998</v>
      </c>
      <c r="L37" s="41">
        <v>-88.45</v>
      </c>
      <c r="M37" s="41">
        <v>-88.45</v>
      </c>
      <c r="N37" s="41">
        <v>-88.45</v>
      </c>
      <c r="O37" s="41">
        <f t="shared" si="4"/>
        <v>-91.55044942814763</v>
      </c>
      <c r="P37" s="41">
        <f t="shared" si="4"/>
        <v>-94.302014755852511</v>
      </c>
      <c r="Q37" s="41"/>
      <c r="R37" s="41"/>
    </row>
    <row r="38" spans="1:18" x14ac:dyDescent="0.25">
      <c r="A38" s="30">
        <v>82</v>
      </c>
      <c r="B38" s="31" t="s">
        <v>351</v>
      </c>
      <c r="C38" s="41">
        <v>-116</v>
      </c>
      <c r="D38" s="41">
        <v>-70</v>
      </c>
      <c r="E38" s="41">
        <v>-80</v>
      </c>
      <c r="F38" s="41">
        <v>52</v>
      </c>
      <c r="G38" s="41">
        <v>82</v>
      </c>
      <c r="H38" s="41">
        <v>-38</v>
      </c>
      <c r="I38" s="165">
        <v>54.753809999999994</v>
      </c>
      <c r="J38" s="41">
        <v>-11.809469999999999</v>
      </c>
      <c r="K38" s="41">
        <v>-623.30471</v>
      </c>
      <c r="L38" s="41">
        <v>-719</v>
      </c>
      <c r="M38" s="41">
        <v>-769</v>
      </c>
      <c r="N38" s="41">
        <v>-761</v>
      </c>
      <c r="O38" s="41">
        <f t="shared" si="4"/>
        <v>-787.6754326152668</v>
      </c>
      <c r="P38" s="41">
        <f t="shared" si="4"/>
        <v>-811.34916030756096</v>
      </c>
      <c r="Q38" s="41"/>
      <c r="R38" s="41"/>
    </row>
    <row r="39" spans="1:18" x14ac:dyDescent="0.25">
      <c r="A39" s="30">
        <v>86</v>
      </c>
      <c r="B39" s="31" t="s">
        <v>352</v>
      </c>
      <c r="C39" s="41">
        <v>-499</v>
      </c>
      <c r="D39" s="41">
        <v>-394</v>
      </c>
      <c r="E39" s="41">
        <v>-405</v>
      </c>
      <c r="F39" s="41">
        <v>-189</v>
      </c>
      <c r="G39" s="41">
        <v>-211</v>
      </c>
      <c r="H39" s="41">
        <v>-158</v>
      </c>
      <c r="I39" s="165">
        <v>-29.091169999999998</v>
      </c>
      <c r="J39" s="41">
        <v>-183.41651000000002</v>
      </c>
      <c r="K39" s="41">
        <v>-393.28654</v>
      </c>
      <c r="L39" s="41">
        <v>-547</v>
      </c>
      <c r="M39" s="41">
        <v>-779</v>
      </c>
      <c r="N39" s="41">
        <v>-1009</v>
      </c>
      <c r="O39" s="41">
        <f t="shared" si="4"/>
        <v>-1044.3686090785864</v>
      </c>
      <c r="P39" s="41">
        <f t="shared" si="4"/>
        <v>-1075.7572966495782</v>
      </c>
      <c r="Q39" s="41"/>
      <c r="R39" s="41"/>
    </row>
    <row r="40" spans="1:18" x14ac:dyDescent="0.25">
      <c r="A40" s="30">
        <v>90</v>
      </c>
      <c r="B40" s="31" t="s">
        <v>353</v>
      </c>
      <c r="C40" s="41">
        <v>355</v>
      </c>
      <c r="D40" s="41">
        <v>406</v>
      </c>
      <c r="E40" s="41">
        <v>-11</v>
      </c>
      <c r="F40" s="41">
        <v>461</v>
      </c>
      <c r="G40" s="41">
        <v>452</v>
      </c>
      <c r="H40" s="41">
        <v>439</v>
      </c>
      <c r="I40" s="165">
        <v>254.29062999999999</v>
      </c>
      <c r="J40" s="41">
        <v>323.95565000000005</v>
      </c>
      <c r="K40" s="41">
        <v>354.27737000000002</v>
      </c>
      <c r="L40" s="41">
        <v>320</v>
      </c>
      <c r="M40" s="41">
        <v>330</v>
      </c>
      <c r="N40" s="41">
        <v>330</v>
      </c>
      <c r="O40" s="41">
        <f t="shared" si="4"/>
        <v>341.56753319715904</v>
      </c>
      <c r="P40" s="41">
        <f t="shared" si="4"/>
        <v>351.83340722929711</v>
      </c>
      <c r="Q40" s="41"/>
      <c r="R40" s="41"/>
    </row>
    <row r="41" spans="1:18" x14ac:dyDescent="0.25">
      <c r="A41" s="30">
        <v>91</v>
      </c>
      <c r="B41" s="31" t="s">
        <v>354</v>
      </c>
      <c r="C41" s="41">
        <v>70488</v>
      </c>
      <c r="D41" s="41">
        <v>114928</v>
      </c>
      <c r="E41" s="41">
        <v>97024</v>
      </c>
      <c r="F41" s="41">
        <v>112675</v>
      </c>
      <c r="G41" s="41">
        <v>133388</v>
      </c>
      <c r="H41" s="41">
        <v>142558</v>
      </c>
      <c r="I41" s="165">
        <v>153809.19552000001</v>
      </c>
      <c r="J41" s="41">
        <v>97139.982439999992</v>
      </c>
      <c r="K41" s="41">
        <v>161363.61145</v>
      </c>
      <c r="L41" s="41">
        <v>150998</v>
      </c>
      <c r="M41" s="41">
        <v>140266</v>
      </c>
      <c r="N41" s="41">
        <v>135513</v>
      </c>
      <c r="O41" s="41">
        <f t="shared" si="4"/>
        <v>140263.15492771703</v>
      </c>
      <c r="P41" s="41">
        <f t="shared" si="4"/>
        <v>144478.78943595075</v>
      </c>
      <c r="Q41" s="41"/>
      <c r="R41" s="41"/>
    </row>
    <row r="42" spans="1:18" x14ac:dyDescent="0.25">
      <c r="A42" s="30">
        <v>92</v>
      </c>
      <c r="B42" s="31" t="s">
        <v>355</v>
      </c>
      <c r="C42" s="41">
        <v>29504</v>
      </c>
      <c r="D42" s="41">
        <v>25715</v>
      </c>
      <c r="E42" s="41">
        <v>26774</v>
      </c>
      <c r="F42" s="41">
        <v>29037</v>
      </c>
      <c r="G42" s="41">
        <v>27130</v>
      </c>
      <c r="H42" s="41">
        <v>27042</v>
      </c>
      <c r="I42" s="165">
        <v>25764.40868</v>
      </c>
      <c r="J42" s="41">
        <v>26352.912660000002</v>
      </c>
      <c r="K42" s="41">
        <v>17702.9535</v>
      </c>
      <c r="L42" s="41">
        <v>5026</v>
      </c>
      <c r="M42" s="41">
        <v>826</v>
      </c>
      <c r="N42" s="41">
        <v>-4774</v>
      </c>
      <c r="O42" s="41">
        <f t="shared" si="4"/>
        <v>-4941.343646918901</v>
      </c>
      <c r="P42" s="41">
        <f t="shared" si="4"/>
        <v>-5089.8566245838319</v>
      </c>
      <c r="Q42" s="41"/>
      <c r="R42" s="41"/>
    </row>
    <row r="43" spans="1:18" x14ac:dyDescent="0.25">
      <c r="A43" s="30">
        <v>97</v>
      </c>
      <c r="B43" s="31" t="s">
        <v>356</v>
      </c>
      <c r="C43" s="41">
        <v>175</v>
      </c>
      <c r="D43" s="41">
        <v>110</v>
      </c>
      <c r="E43" s="41">
        <v>329</v>
      </c>
      <c r="F43" s="41">
        <v>219</v>
      </c>
      <c r="G43" s="41">
        <v>334</v>
      </c>
      <c r="H43" s="41">
        <v>432</v>
      </c>
      <c r="I43" s="165">
        <v>424.90017</v>
      </c>
      <c r="J43" s="41">
        <v>380.11754999999999</v>
      </c>
      <c r="K43" s="41">
        <v>295.11572999999999</v>
      </c>
      <c r="L43" s="41">
        <v>320.61700000000002</v>
      </c>
      <c r="M43" s="41">
        <v>320.61500000000001</v>
      </c>
      <c r="N43" s="41">
        <v>320.61500000000001</v>
      </c>
      <c r="O43" s="41">
        <f t="shared" si="4"/>
        <v>331.85355956365805</v>
      </c>
      <c r="P43" s="41">
        <f t="shared" si="4"/>
        <v>341.82747836006394</v>
      </c>
      <c r="Q43" s="41"/>
      <c r="R43" s="41"/>
    </row>
    <row r="44" spans="1:18" x14ac:dyDescent="0.25">
      <c r="A44" s="30">
        <v>98</v>
      </c>
      <c r="B44" s="31" t="s">
        <v>357</v>
      </c>
      <c r="C44" s="41">
        <v>314</v>
      </c>
      <c r="D44" s="41">
        <v>-520</v>
      </c>
      <c r="E44" s="41">
        <v>-160</v>
      </c>
      <c r="F44" s="41">
        <v>-60</v>
      </c>
      <c r="G44" s="41">
        <v>546</v>
      </c>
      <c r="H44" s="41">
        <v>825</v>
      </c>
      <c r="I44" s="165">
        <v>781.47530000000006</v>
      </c>
      <c r="J44" s="41">
        <v>463.77366999999998</v>
      </c>
      <c r="K44" s="41">
        <v>217.30185999999998</v>
      </c>
      <c r="L44" s="41">
        <v>-428.7</v>
      </c>
      <c r="M44" s="41">
        <v>-529.29999999999995</v>
      </c>
      <c r="N44" s="41">
        <v>-829.3</v>
      </c>
      <c r="O44" s="41">
        <f t="shared" si="4"/>
        <v>-858.36956145576971</v>
      </c>
      <c r="P44" s="41">
        <f t="shared" si="4"/>
        <v>-884.1680139856245</v>
      </c>
      <c r="Q44" s="41"/>
      <c r="R44" s="41"/>
    </row>
    <row r="45" spans="1:18" x14ac:dyDescent="0.25">
      <c r="A45" s="30">
        <v>102</v>
      </c>
      <c r="B45" s="31" t="s">
        <v>359</v>
      </c>
      <c r="C45" s="41">
        <v>-159</v>
      </c>
      <c r="D45" s="41">
        <v>-167</v>
      </c>
      <c r="E45" s="41">
        <v>-89</v>
      </c>
      <c r="F45" s="41">
        <v>142</v>
      </c>
      <c r="G45" s="41">
        <v>-124</v>
      </c>
      <c r="H45" s="41">
        <v>-87</v>
      </c>
      <c r="I45" s="165">
        <v>-66.190169999999995</v>
      </c>
      <c r="J45" s="41">
        <v>8.9300800000000002</v>
      </c>
      <c r="K45" s="41">
        <v>-204.95169000000001</v>
      </c>
      <c r="L45" s="41">
        <v>-533.4</v>
      </c>
      <c r="M45" s="41">
        <v>-653.4</v>
      </c>
      <c r="N45" s="41">
        <v>-823.4</v>
      </c>
      <c r="O45" s="41">
        <f t="shared" si="4"/>
        <v>-852.26274798345685</v>
      </c>
      <c r="P45" s="41">
        <f t="shared" si="4"/>
        <v>-877.87765912910072</v>
      </c>
      <c r="Q45" s="41"/>
      <c r="R45" s="41"/>
    </row>
    <row r="46" spans="1:18" x14ac:dyDescent="0.25">
      <c r="A46" s="30">
        <v>103</v>
      </c>
      <c r="B46" s="31" t="s">
        <v>360</v>
      </c>
      <c r="C46" s="41">
        <v>-15</v>
      </c>
      <c r="D46" s="41">
        <v>-22</v>
      </c>
      <c r="E46" s="41">
        <v>-25</v>
      </c>
      <c r="F46" s="41">
        <v>-24</v>
      </c>
      <c r="G46" s="41">
        <v>-36</v>
      </c>
      <c r="H46" s="41">
        <v>-30</v>
      </c>
      <c r="I46" s="165">
        <v>-17.215820000000001</v>
      </c>
      <c r="J46" s="41">
        <v>-32.278649999999999</v>
      </c>
      <c r="K46" s="41">
        <v>-33.511470000000003</v>
      </c>
      <c r="L46" s="41">
        <v>-38.700000000000003</v>
      </c>
      <c r="M46" s="41">
        <v>-41.7</v>
      </c>
      <c r="N46" s="41">
        <v>-42</v>
      </c>
      <c r="O46" s="41">
        <f t="shared" si="4"/>
        <v>-43.472231497820246</v>
      </c>
      <c r="P46" s="41">
        <f t="shared" si="4"/>
        <v>-44.778797283728728</v>
      </c>
      <c r="Q46" s="41"/>
      <c r="R46" s="41"/>
    </row>
    <row r="47" spans="1:18" x14ac:dyDescent="0.25">
      <c r="A47" s="30">
        <v>105</v>
      </c>
      <c r="B47" s="31" t="s">
        <v>361</v>
      </c>
      <c r="C47" s="41">
        <v>-33</v>
      </c>
      <c r="D47" s="41">
        <v>-20</v>
      </c>
      <c r="E47" s="41">
        <v>-98</v>
      </c>
      <c r="F47" s="41">
        <v>-12</v>
      </c>
      <c r="G47" s="41">
        <v>9</v>
      </c>
      <c r="H47" s="41">
        <v>6</v>
      </c>
      <c r="I47" s="165">
        <v>9.3316700000000008</v>
      </c>
      <c r="J47" s="41">
        <v>1.29575</v>
      </c>
      <c r="K47" s="41">
        <v>-95.329660000000004</v>
      </c>
      <c r="L47" s="41">
        <v>-100</v>
      </c>
      <c r="M47" s="41">
        <v>-100</v>
      </c>
      <c r="N47" s="41">
        <v>-100</v>
      </c>
      <c r="O47" s="41">
        <f t="shared" si="4"/>
        <v>-103.5053130900482</v>
      </c>
      <c r="P47" s="41">
        <f t="shared" si="4"/>
        <v>-106.61618400887792</v>
      </c>
      <c r="Q47" s="41"/>
      <c r="R47" s="41"/>
    </row>
    <row r="48" spans="1:18" x14ac:dyDescent="0.25">
      <c r="A48" s="30">
        <v>106</v>
      </c>
      <c r="B48" s="31" t="s">
        <v>362</v>
      </c>
      <c r="C48" s="41">
        <v>-1254</v>
      </c>
      <c r="D48" s="41">
        <v>-1144</v>
      </c>
      <c r="E48" s="41">
        <v>-1083</v>
      </c>
      <c r="F48" s="41">
        <v>-775</v>
      </c>
      <c r="G48" s="41">
        <v>-727</v>
      </c>
      <c r="H48" s="41">
        <v>-673</v>
      </c>
      <c r="I48" s="165">
        <v>-569.84063000000003</v>
      </c>
      <c r="J48" s="41">
        <v>-53.169550000000001</v>
      </c>
      <c r="K48" s="41">
        <v>-817.94308000000001</v>
      </c>
      <c r="L48" s="41">
        <v>-1940</v>
      </c>
      <c r="M48" s="41">
        <v>-2940</v>
      </c>
      <c r="N48" s="41">
        <v>-3940</v>
      </c>
      <c r="O48" s="41">
        <f t="shared" si="4"/>
        <v>-4078.109335747899</v>
      </c>
      <c r="P48" s="41">
        <f t="shared" si="4"/>
        <v>-4200.6776499497901</v>
      </c>
      <c r="Q48" s="41"/>
      <c r="R48" s="41"/>
    </row>
    <row r="49" spans="1:18" x14ac:dyDescent="0.25">
      <c r="A49" s="30">
        <v>108</v>
      </c>
      <c r="B49" s="31" t="s">
        <v>363</v>
      </c>
      <c r="C49" s="41">
        <v>23</v>
      </c>
      <c r="D49" s="41">
        <v>-55</v>
      </c>
      <c r="E49" s="41">
        <v>289</v>
      </c>
      <c r="F49" s="41">
        <v>305</v>
      </c>
      <c r="G49" s="41">
        <v>112</v>
      </c>
      <c r="H49" s="41">
        <v>43</v>
      </c>
      <c r="I49" s="165">
        <v>-350.09371000000004</v>
      </c>
      <c r="J49" s="41">
        <v>-362.50627000000003</v>
      </c>
      <c r="K49" s="41">
        <v>-215.91404</v>
      </c>
      <c r="L49" s="41">
        <v>-415</v>
      </c>
      <c r="M49" s="41">
        <v>-395</v>
      </c>
      <c r="N49" s="41">
        <v>-385</v>
      </c>
      <c r="O49" s="41">
        <f t="shared" si="4"/>
        <v>-398.4954553966856</v>
      </c>
      <c r="P49" s="41">
        <f t="shared" si="4"/>
        <v>-410.47230843417998</v>
      </c>
      <c r="Q49" s="41"/>
      <c r="R49" s="41"/>
    </row>
    <row r="50" spans="1:18" x14ac:dyDescent="0.25">
      <c r="A50" s="30">
        <v>109</v>
      </c>
      <c r="B50" s="31" t="s">
        <v>364</v>
      </c>
      <c r="C50" s="41">
        <v>4280</v>
      </c>
      <c r="D50" s="41">
        <v>2635</v>
      </c>
      <c r="E50" s="41">
        <v>1147</v>
      </c>
      <c r="F50" s="41">
        <v>-2287</v>
      </c>
      <c r="G50" s="41">
        <v>2465</v>
      </c>
      <c r="H50" s="41">
        <v>-2000</v>
      </c>
      <c r="I50" s="165">
        <v>3684.9165400000002</v>
      </c>
      <c r="J50" s="41">
        <v>-2406.73083</v>
      </c>
      <c r="K50" s="41">
        <v>5173.7750199999991</v>
      </c>
      <c r="L50" s="41">
        <v>800</v>
      </c>
      <c r="M50" s="41">
        <v>730</v>
      </c>
      <c r="N50" s="41">
        <v>510</v>
      </c>
      <c r="O50" s="41">
        <f t="shared" si="4"/>
        <v>527.87709675924577</v>
      </c>
      <c r="P50" s="41">
        <f t="shared" si="4"/>
        <v>543.74253844527732</v>
      </c>
      <c r="Q50" s="41"/>
      <c r="R50" s="41"/>
    </row>
    <row r="51" spans="1:18" x14ac:dyDescent="0.25">
      <c r="A51" s="30">
        <v>111</v>
      </c>
      <c r="B51" s="31" t="s">
        <v>365</v>
      </c>
      <c r="C51" s="41">
        <v>2546</v>
      </c>
      <c r="D51" s="41">
        <v>2530</v>
      </c>
      <c r="E51" s="41">
        <v>3638</v>
      </c>
      <c r="F51" s="41">
        <v>243</v>
      </c>
      <c r="G51" s="41">
        <v>3757</v>
      </c>
      <c r="H51" s="41">
        <v>2553</v>
      </c>
      <c r="I51" s="165">
        <v>5096.1695599999994</v>
      </c>
      <c r="J51" s="41">
        <v>-2660.7859700000004</v>
      </c>
      <c r="K51" s="41">
        <v>3213.7222499999998</v>
      </c>
      <c r="L51" s="41">
        <v>478.5</v>
      </c>
      <c r="M51" s="41">
        <v>-16.7</v>
      </c>
      <c r="N51" s="41">
        <v>-254</v>
      </c>
      <c r="O51" s="41">
        <f t="shared" si="4"/>
        <v>-262.90349524872244</v>
      </c>
      <c r="P51" s="41">
        <f t="shared" si="4"/>
        <v>-270.80510738254992</v>
      </c>
      <c r="Q51" s="41"/>
      <c r="R51" s="41"/>
    </row>
    <row r="52" spans="1:18" x14ac:dyDescent="0.25">
      <c r="A52" s="30">
        <v>139</v>
      </c>
      <c r="B52" s="31" t="s">
        <v>366</v>
      </c>
      <c r="C52" s="41">
        <v>-418</v>
      </c>
      <c r="D52" s="41">
        <v>-347</v>
      </c>
      <c r="E52" s="41">
        <v>-155</v>
      </c>
      <c r="F52" s="41">
        <v>-173</v>
      </c>
      <c r="G52" s="41">
        <v>-192</v>
      </c>
      <c r="H52" s="41">
        <v>-247</v>
      </c>
      <c r="I52" s="165">
        <v>-195.08204999999998</v>
      </c>
      <c r="J52" s="41">
        <v>-295.14936</v>
      </c>
      <c r="K52" s="41">
        <v>-346.47059000000002</v>
      </c>
      <c r="L52" s="41">
        <v>-579.40448000000004</v>
      </c>
      <c r="M52" s="41">
        <v>49</v>
      </c>
      <c r="N52" s="41">
        <v>61</v>
      </c>
      <c r="O52" s="41">
        <f t="shared" si="4"/>
        <v>63.138240984929404</v>
      </c>
      <c r="P52" s="41">
        <f t="shared" si="4"/>
        <v>65.035872245415533</v>
      </c>
      <c r="Q52" s="41"/>
      <c r="R52" s="41"/>
    </row>
    <row r="53" spans="1:18" x14ac:dyDescent="0.25">
      <c r="A53" s="30">
        <v>140</v>
      </c>
      <c r="B53" s="31" t="s">
        <v>367</v>
      </c>
      <c r="C53" s="41">
        <v>1161</v>
      </c>
      <c r="D53" s="41">
        <v>956</v>
      </c>
      <c r="E53" s="41">
        <v>1640</v>
      </c>
      <c r="F53" s="41">
        <v>623</v>
      </c>
      <c r="G53" s="41">
        <v>1459</v>
      </c>
      <c r="H53" s="41">
        <v>932</v>
      </c>
      <c r="I53" s="165">
        <v>1519.9818</v>
      </c>
      <c r="J53" s="41">
        <v>518.60338999999999</v>
      </c>
      <c r="K53" s="41">
        <v>-24.594169999999998</v>
      </c>
      <c r="L53" s="41">
        <v>-1575.6</v>
      </c>
      <c r="M53" s="41">
        <v>-1815.3</v>
      </c>
      <c r="N53" s="41">
        <v>-2338.1999999999998</v>
      </c>
      <c r="O53" s="41">
        <f t="shared" si="4"/>
        <v>-2420.1612306715069</v>
      </c>
      <c r="P53" s="41">
        <f t="shared" si="4"/>
        <v>-2492.8996144955831</v>
      </c>
      <c r="Q53" s="41"/>
      <c r="R53" s="41"/>
    </row>
    <row r="54" spans="1:18" x14ac:dyDescent="0.25">
      <c r="A54" s="30">
        <v>142</v>
      </c>
      <c r="B54" s="31" t="s">
        <v>368</v>
      </c>
      <c r="C54" s="41">
        <v>-67</v>
      </c>
      <c r="D54" s="41">
        <v>-5</v>
      </c>
      <c r="E54" s="41">
        <v>14</v>
      </c>
      <c r="F54" s="41">
        <v>193</v>
      </c>
      <c r="G54" s="41">
        <v>84</v>
      </c>
      <c r="H54" s="41">
        <v>-140</v>
      </c>
      <c r="I54" s="165">
        <v>52.518599999999999</v>
      </c>
      <c r="J54" s="41">
        <v>68.693919999999991</v>
      </c>
      <c r="K54" s="41">
        <v>292.09508</v>
      </c>
      <c r="L54" s="41">
        <v>-40</v>
      </c>
      <c r="M54" s="41">
        <v>-40</v>
      </c>
      <c r="N54" s="41">
        <v>-40</v>
      </c>
      <c r="O54" s="41">
        <f t="shared" si="4"/>
        <v>-41.40212523601928</v>
      </c>
      <c r="P54" s="41">
        <f t="shared" si="4"/>
        <v>-42.646473603551165</v>
      </c>
      <c r="Q54" s="41"/>
      <c r="R54" s="41"/>
    </row>
    <row r="55" spans="1:18" x14ac:dyDescent="0.25">
      <c r="A55" s="30">
        <v>143</v>
      </c>
      <c r="B55" s="31" t="s">
        <v>369</v>
      </c>
      <c r="C55" s="41">
        <v>87</v>
      </c>
      <c r="D55" s="41">
        <v>77</v>
      </c>
      <c r="E55" s="41">
        <v>428</v>
      </c>
      <c r="F55" s="41">
        <v>396</v>
      </c>
      <c r="G55" s="41">
        <v>82</v>
      </c>
      <c r="H55" s="41">
        <v>148</v>
      </c>
      <c r="I55" s="165">
        <v>125.27663000000001</v>
      </c>
      <c r="J55" s="41">
        <v>46.990629999999996</v>
      </c>
      <c r="K55" s="41">
        <v>-461.39603999999997</v>
      </c>
      <c r="L55" s="41">
        <v>-412.5</v>
      </c>
      <c r="M55" s="41">
        <v>-412.5</v>
      </c>
      <c r="N55" s="41">
        <v>-412.5</v>
      </c>
      <c r="O55" s="41">
        <f t="shared" si="4"/>
        <v>-426.95941649644885</v>
      </c>
      <c r="P55" s="41">
        <f t="shared" si="4"/>
        <v>-439.79175903662144</v>
      </c>
      <c r="Q55" s="41"/>
      <c r="R55" s="41"/>
    </row>
    <row r="56" spans="1:18" x14ac:dyDescent="0.25">
      <c r="A56" s="30">
        <v>145</v>
      </c>
      <c r="B56" s="31" t="s">
        <v>370</v>
      </c>
      <c r="C56" s="41">
        <v>-440</v>
      </c>
      <c r="D56" s="41">
        <v>-364</v>
      </c>
      <c r="E56" s="41">
        <v>-316</v>
      </c>
      <c r="F56" s="41">
        <v>-223</v>
      </c>
      <c r="G56" s="41">
        <v>-180</v>
      </c>
      <c r="H56" s="41">
        <v>-198</v>
      </c>
      <c r="I56" s="165">
        <v>-527.96493000000009</v>
      </c>
      <c r="J56" s="41">
        <v>-145.42641</v>
      </c>
      <c r="K56" s="41">
        <v>-1360.88474</v>
      </c>
      <c r="L56" s="41">
        <v>-1546</v>
      </c>
      <c r="M56" s="41">
        <v>-1700</v>
      </c>
      <c r="N56" s="41">
        <v>-1810</v>
      </c>
      <c r="O56" s="41">
        <f t="shared" si="4"/>
        <v>-1873.4461669298723</v>
      </c>
      <c r="P56" s="41">
        <f t="shared" si="4"/>
        <v>-1929.7529305606902</v>
      </c>
      <c r="Q56" s="41"/>
      <c r="R56" s="41"/>
    </row>
    <row r="57" spans="1:18" x14ac:dyDescent="0.25">
      <c r="A57" s="30">
        <v>146</v>
      </c>
      <c r="B57" s="31" t="s">
        <v>371</v>
      </c>
      <c r="C57" s="41">
        <v>288</v>
      </c>
      <c r="D57" s="41">
        <v>323</v>
      </c>
      <c r="E57" s="41">
        <v>254</v>
      </c>
      <c r="F57" s="41">
        <v>213</v>
      </c>
      <c r="G57" s="41">
        <v>233</v>
      </c>
      <c r="H57" s="41">
        <v>240</v>
      </c>
      <c r="I57" s="165">
        <v>250.7363</v>
      </c>
      <c r="J57" s="41">
        <v>106.66452000000001</v>
      </c>
      <c r="K57" s="41">
        <v>210.71904999999998</v>
      </c>
      <c r="L57" s="41">
        <v>165.8</v>
      </c>
      <c r="M57" s="41">
        <v>102.8</v>
      </c>
      <c r="N57" s="41">
        <v>102.8</v>
      </c>
      <c r="O57" s="41">
        <f t="shared" si="4"/>
        <v>106.40346185656955</v>
      </c>
      <c r="P57" s="41">
        <f t="shared" si="4"/>
        <v>109.6014371611265</v>
      </c>
      <c r="Q57" s="41"/>
      <c r="R57" s="41"/>
    </row>
    <row r="58" spans="1:18" x14ac:dyDescent="0.25">
      <c r="A58" s="30">
        <v>148</v>
      </c>
      <c r="B58" s="31" t="s">
        <v>372</v>
      </c>
      <c r="C58" s="41">
        <v>681</v>
      </c>
      <c r="D58" s="41">
        <v>535</v>
      </c>
      <c r="E58" s="41">
        <v>690</v>
      </c>
      <c r="F58" s="41">
        <v>723</v>
      </c>
      <c r="G58" s="41">
        <v>846</v>
      </c>
      <c r="H58" s="41">
        <v>884</v>
      </c>
      <c r="I58" s="165">
        <v>991.20809999999994</v>
      </c>
      <c r="J58" s="41">
        <v>1430.3632399999999</v>
      </c>
      <c r="K58" s="41">
        <v>914.09771999999998</v>
      </c>
      <c r="L58" s="41">
        <v>816.76</v>
      </c>
      <c r="M58" s="41">
        <v>836.76</v>
      </c>
      <c r="N58" s="41">
        <v>836.76</v>
      </c>
      <c r="O58" s="41">
        <f t="shared" si="4"/>
        <v>866.09105781228732</v>
      </c>
      <c r="P58" s="41">
        <f t="shared" si="4"/>
        <v>892.12158131268689</v>
      </c>
      <c r="Q58" s="41"/>
      <c r="R58" s="41"/>
    </row>
    <row r="59" spans="1:18" x14ac:dyDescent="0.25">
      <c r="A59" s="30">
        <v>149</v>
      </c>
      <c r="B59" s="31" t="s">
        <v>373</v>
      </c>
      <c r="C59" s="41">
        <v>-143</v>
      </c>
      <c r="D59" s="41">
        <v>-130</v>
      </c>
      <c r="E59" s="41">
        <v>-80</v>
      </c>
      <c r="F59" s="41">
        <v>-65</v>
      </c>
      <c r="G59" s="41">
        <v>-51</v>
      </c>
      <c r="H59" s="41">
        <v>-39</v>
      </c>
      <c r="I59" s="165">
        <v>-12.44726</v>
      </c>
      <c r="J59" s="41">
        <v>-98.540649999999999</v>
      </c>
      <c r="K59" s="41">
        <v>-732.92807999999991</v>
      </c>
      <c r="L59" s="41">
        <v>-750.89700000000005</v>
      </c>
      <c r="M59" s="41">
        <v>-750.91499999999996</v>
      </c>
      <c r="N59" s="41">
        <v>-750.93399999999997</v>
      </c>
      <c r="O59" s="41">
        <f t="shared" si="4"/>
        <v>-777.25658779962248</v>
      </c>
      <c r="P59" s="41">
        <f t="shared" si="4"/>
        <v>-800.61717522522724</v>
      </c>
      <c r="Q59" s="41"/>
      <c r="R59" s="41"/>
    </row>
    <row r="60" spans="1:18" x14ac:dyDescent="0.25">
      <c r="A60" s="30">
        <v>151</v>
      </c>
      <c r="B60" s="31" t="s">
        <v>374</v>
      </c>
      <c r="C60" s="41">
        <v>-12</v>
      </c>
      <c r="D60" s="41">
        <v>-5</v>
      </c>
      <c r="E60" s="41">
        <v>-10</v>
      </c>
      <c r="F60" s="41">
        <v>-6</v>
      </c>
      <c r="G60" s="41">
        <v>0</v>
      </c>
      <c r="H60" s="41">
        <v>1</v>
      </c>
      <c r="I60" s="165">
        <v>5.0789399999999993</v>
      </c>
      <c r="J60" s="41">
        <v>64.822890000000001</v>
      </c>
      <c r="K60" s="41">
        <v>0.70140999999999998</v>
      </c>
      <c r="L60" s="41">
        <v>30</v>
      </c>
      <c r="M60" s="41">
        <v>0</v>
      </c>
      <c r="N60" s="41">
        <v>0</v>
      </c>
      <c r="O60" s="41">
        <f t="shared" si="4"/>
        <v>0</v>
      </c>
      <c r="P60" s="41">
        <f t="shared" si="4"/>
        <v>0</v>
      </c>
      <c r="Q60" s="41"/>
      <c r="R60" s="41"/>
    </row>
    <row r="61" spans="1:18" x14ac:dyDescent="0.25">
      <c r="A61" s="30">
        <v>152</v>
      </c>
      <c r="B61" s="31" t="s">
        <v>375</v>
      </c>
      <c r="C61" s="41">
        <v>-39</v>
      </c>
      <c r="D61" s="41">
        <v>-65</v>
      </c>
      <c r="E61" s="41">
        <v>23</v>
      </c>
      <c r="F61" s="41">
        <v>47</v>
      </c>
      <c r="G61" s="41">
        <v>76</v>
      </c>
      <c r="H61" s="41">
        <v>59</v>
      </c>
      <c r="I61" s="165">
        <v>36.083649999999999</v>
      </c>
      <c r="J61" s="41">
        <v>107.21459</v>
      </c>
      <c r="K61" s="41">
        <v>13.057919999999999</v>
      </c>
      <c r="L61" s="41">
        <v>-30</v>
      </c>
      <c r="M61" s="41">
        <v>-120</v>
      </c>
      <c r="N61" s="41">
        <v>-132</v>
      </c>
      <c r="O61" s="41">
        <f t="shared" si="4"/>
        <v>-136.62701327886361</v>
      </c>
      <c r="P61" s="41">
        <f t="shared" si="4"/>
        <v>-140.73336289171883</v>
      </c>
      <c r="Q61" s="41"/>
      <c r="R61" s="41"/>
    </row>
    <row r="62" spans="1:18" x14ac:dyDescent="0.25">
      <c r="A62" s="30">
        <v>153</v>
      </c>
      <c r="B62" s="31" t="s">
        <v>376</v>
      </c>
      <c r="C62" s="41">
        <v>-451</v>
      </c>
      <c r="D62" s="41">
        <v>-400</v>
      </c>
      <c r="E62" s="41">
        <v>-270</v>
      </c>
      <c r="F62" s="41">
        <v>-206</v>
      </c>
      <c r="G62" s="41">
        <v>1457</v>
      </c>
      <c r="H62" s="41">
        <v>1631</v>
      </c>
      <c r="I62" s="165">
        <v>-696.07012999999995</v>
      </c>
      <c r="J62" s="41">
        <v>-99.286020000000008</v>
      </c>
      <c r="K62" s="41">
        <v>-942.57416000000001</v>
      </c>
      <c r="L62" s="41">
        <v>-1482.0920000000001</v>
      </c>
      <c r="M62" s="41">
        <v>-1684.336</v>
      </c>
      <c r="N62" s="41">
        <v>-1822.45</v>
      </c>
      <c r="O62" s="41">
        <f t="shared" si="4"/>
        <v>-1886.3325784095834</v>
      </c>
      <c r="P62" s="41">
        <f t="shared" si="4"/>
        <v>-1943.0266454697955</v>
      </c>
      <c r="Q62" s="41"/>
      <c r="R62" s="41"/>
    </row>
    <row r="63" spans="1:18" x14ac:dyDescent="0.25">
      <c r="A63" s="30">
        <v>165</v>
      </c>
      <c r="B63" s="31" t="s">
        <v>377</v>
      </c>
      <c r="C63" s="41">
        <v>-405</v>
      </c>
      <c r="D63" s="41">
        <v>-356</v>
      </c>
      <c r="E63" s="41">
        <v>-325</v>
      </c>
      <c r="F63" s="41">
        <v>-339</v>
      </c>
      <c r="G63" s="41">
        <v>-230</v>
      </c>
      <c r="H63" s="41">
        <v>-255</v>
      </c>
      <c r="I63" s="165">
        <v>-47.089970000000001</v>
      </c>
      <c r="J63" s="41">
        <v>-78.661270000000002</v>
      </c>
      <c r="K63" s="41">
        <v>-596.70265000000006</v>
      </c>
      <c r="L63" s="41">
        <v>-1348.1</v>
      </c>
      <c r="M63" s="41">
        <v>-1550.6</v>
      </c>
      <c r="N63" s="41">
        <v>-1649.6</v>
      </c>
      <c r="O63" s="41">
        <f t="shared" si="4"/>
        <v>-1707.4236447334351</v>
      </c>
      <c r="P63" s="41">
        <f t="shared" si="4"/>
        <v>-1758.7405714104502</v>
      </c>
      <c r="Q63" s="41"/>
      <c r="R63" s="41"/>
    </row>
    <row r="64" spans="1:18" x14ac:dyDescent="0.25">
      <c r="A64" s="30">
        <v>167</v>
      </c>
      <c r="B64" s="31" t="s">
        <v>378</v>
      </c>
      <c r="C64" s="41">
        <v>2729</v>
      </c>
      <c r="D64" s="41">
        <v>3422</v>
      </c>
      <c r="E64" s="41">
        <v>3954</v>
      </c>
      <c r="F64" s="41">
        <v>853</v>
      </c>
      <c r="G64" s="41">
        <v>2921</v>
      </c>
      <c r="H64" s="41">
        <v>2203</v>
      </c>
      <c r="I64" s="165">
        <v>12350.51715</v>
      </c>
      <c r="J64" s="41">
        <v>-4993.8617199999999</v>
      </c>
      <c r="K64" s="41">
        <v>2388.7429099999999</v>
      </c>
      <c r="L64" s="41">
        <v>-3562</v>
      </c>
      <c r="M64" s="41">
        <v>-4415</v>
      </c>
      <c r="N64" s="41">
        <v>-5211</v>
      </c>
      <c r="O64" s="41">
        <f t="shared" si="4"/>
        <v>-5393.6618651224117</v>
      </c>
      <c r="P64" s="41">
        <f t="shared" si="4"/>
        <v>-5555.7693487026281</v>
      </c>
      <c r="Q64" s="41"/>
      <c r="R64" s="41"/>
    </row>
    <row r="65" spans="1:18" x14ac:dyDescent="0.25">
      <c r="A65" s="30">
        <v>169</v>
      </c>
      <c r="B65" s="31" t="s">
        <v>379</v>
      </c>
      <c r="C65" s="41">
        <v>-135</v>
      </c>
      <c r="D65" s="41">
        <v>-150</v>
      </c>
      <c r="E65" s="41">
        <v>-74</v>
      </c>
      <c r="F65" s="41">
        <v>-113</v>
      </c>
      <c r="G65" s="41">
        <v>-92</v>
      </c>
      <c r="H65" s="41">
        <v>-78</v>
      </c>
      <c r="I65" s="165">
        <v>-84.251750000000001</v>
      </c>
      <c r="J65" s="41">
        <v>-28.95919</v>
      </c>
      <c r="K65" s="41">
        <v>-246.74112</v>
      </c>
      <c r="L65" s="41">
        <v>-190.4</v>
      </c>
      <c r="M65" s="41">
        <v>-144.19999999999999</v>
      </c>
      <c r="N65" s="41">
        <v>-144.19999999999999</v>
      </c>
      <c r="O65" s="41">
        <f t="shared" si="4"/>
        <v>-149.2546614758495</v>
      </c>
      <c r="P65" s="41">
        <f t="shared" si="4"/>
        <v>-153.74053734080195</v>
      </c>
      <c r="Q65" s="41"/>
      <c r="R65" s="41"/>
    </row>
    <row r="66" spans="1:18" x14ac:dyDescent="0.25">
      <c r="A66" s="30">
        <v>171</v>
      </c>
      <c r="B66" s="31" t="s">
        <v>380</v>
      </c>
      <c r="C66" s="41">
        <v>-178</v>
      </c>
      <c r="D66" s="41">
        <v>-151</v>
      </c>
      <c r="E66" s="41">
        <v>23</v>
      </c>
      <c r="F66" s="41">
        <v>-142</v>
      </c>
      <c r="G66" s="41">
        <v>175</v>
      </c>
      <c r="H66" s="41">
        <v>22</v>
      </c>
      <c r="I66" s="165">
        <v>308.76465999999999</v>
      </c>
      <c r="J66" s="41">
        <v>-196.30958999999999</v>
      </c>
      <c r="K66" s="41">
        <v>-16.382400000000001</v>
      </c>
      <c r="L66" s="41">
        <v>-193</v>
      </c>
      <c r="M66" s="41">
        <v>-150</v>
      </c>
      <c r="N66" s="41">
        <v>-150</v>
      </c>
      <c r="O66" s="41">
        <f t="shared" si="4"/>
        <v>-155.2579696350723</v>
      </c>
      <c r="P66" s="41">
        <f t="shared" si="4"/>
        <v>-159.92427601331687</v>
      </c>
      <c r="Q66" s="41"/>
      <c r="R66" s="41"/>
    </row>
    <row r="67" spans="1:18" x14ac:dyDescent="0.25">
      <c r="A67" s="30">
        <v>172</v>
      </c>
      <c r="B67" s="31" t="s">
        <v>381</v>
      </c>
      <c r="C67" s="41">
        <v>6</v>
      </c>
      <c r="D67" s="41">
        <v>-10</v>
      </c>
      <c r="E67" s="41">
        <v>1</v>
      </c>
      <c r="F67" s="41">
        <v>43</v>
      </c>
      <c r="G67" s="41">
        <v>114</v>
      </c>
      <c r="H67" s="41">
        <v>156</v>
      </c>
      <c r="I67" s="165">
        <v>213.31135</v>
      </c>
      <c r="J67" s="41">
        <v>0.93085000000000007</v>
      </c>
      <c r="K67" s="41">
        <v>-260.18711999999999</v>
      </c>
      <c r="L67" s="41">
        <v>-66</v>
      </c>
      <c r="M67" s="41">
        <v>-85</v>
      </c>
      <c r="N67" s="41">
        <v>-80</v>
      </c>
      <c r="O67" s="41">
        <f t="shared" si="4"/>
        <v>-82.804250472038561</v>
      </c>
      <c r="P67" s="41">
        <f t="shared" si="4"/>
        <v>-85.29294720710233</v>
      </c>
      <c r="Q67" s="41"/>
      <c r="R67" s="41"/>
    </row>
    <row r="68" spans="1:18" x14ac:dyDescent="0.25">
      <c r="A68" s="30">
        <v>176</v>
      </c>
      <c r="B68" s="31" t="s">
        <v>382</v>
      </c>
      <c r="C68" s="41">
        <v>420</v>
      </c>
      <c r="D68" s="41">
        <v>415</v>
      </c>
      <c r="E68" s="41">
        <v>405</v>
      </c>
      <c r="F68" s="41">
        <v>416</v>
      </c>
      <c r="G68" s="41">
        <v>479</v>
      </c>
      <c r="H68" s="41">
        <v>429</v>
      </c>
      <c r="I68" s="165">
        <v>282.77055999999999</v>
      </c>
      <c r="J68" s="41">
        <v>394.22002000000003</v>
      </c>
      <c r="K68" s="41">
        <v>579.18340000000001</v>
      </c>
      <c r="L68" s="41">
        <v>296.81400000000002</v>
      </c>
      <c r="M68" s="41">
        <v>296.81400000000002</v>
      </c>
      <c r="N68" s="41">
        <v>296.81400000000002</v>
      </c>
      <c r="O68" s="41">
        <f t="shared" si="4"/>
        <v>307.21825999509571</v>
      </c>
      <c r="P68" s="41">
        <f t="shared" si="4"/>
        <v>316.45176040411093</v>
      </c>
      <c r="Q68" s="41"/>
      <c r="R68" s="41"/>
    </row>
    <row r="69" spans="1:18" x14ac:dyDescent="0.25">
      <c r="A69" s="30">
        <v>177</v>
      </c>
      <c r="B69" s="31" t="s">
        <v>383</v>
      </c>
      <c r="C69" s="41">
        <v>25</v>
      </c>
      <c r="D69" s="41">
        <v>-5</v>
      </c>
      <c r="E69" s="41">
        <v>68</v>
      </c>
      <c r="F69" s="41">
        <v>93</v>
      </c>
      <c r="G69" s="41">
        <v>-11</v>
      </c>
      <c r="H69" s="41">
        <v>35</v>
      </c>
      <c r="I69" s="165">
        <v>-46.221980000000002</v>
      </c>
      <c r="J69" s="41">
        <v>38.192089999999993</v>
      </c>
      <c r="K69" s="41">
        <v>49.280500000000004</v>
      </c>
      <c r="L69" s="41">
        <v>-17.95</v>
      </c>
      <c r="M69" s="41">
        <v>-17.95</v>
      </c>
      <c r="N69" s="41">
        <v>-17.95</v>
      </c>
      <c r="O69" s="41">
        <f t="shared" si="4"/>
        <v>-18.579203699663651</v>
      </c>
      <c r="P69" s="41">
        <f t="shared" si="4"/>
        <v>-19.137605029593583</v>
      </c>
      <c r="Q69" s="41"/>
      <c r="R69" s="41"/>
    </row>
    <row r="70" spans="1:18" x14ac:dyDescent="0.25">
      <c r="A70" s="30">
        <v>178</v>
      </c>
      <c r="B70" s="31" t="s">
        <v>384</v>
      </c>
      <c r="C70" s="41">
        <v>145</v>
      </c>
      <c r="D70" s="41">
        <v>227</v>
      </c>
      <c r="E70" s="41">
        <v>506</v>
      </c>
      <c r="F70" s="41">
        <v>395</v>
      </c>
      <c r="G70" s="41">
        <v>572</v>
      </c>
      <c r="H70" s="41">
        <v>684</v>
      </c>
      <c r="I70" s="165">
        <v>602.60576000000003</v>
      </c>
      <c r="J70" s="41">
        <v>627.12195999999994</v>
      </c>
      <c r="K70" s="41">
        <v>624.44755000000009</v>
      </c>
      <c r="L70" s="41">
        <v>710</v>
      </c>
      <c r="M70" s="41">
        <v>574.60599999999999</v>
      </c>
      <c r="N70" s="41">
        <v>564.60599999999999</v>
      </c>
      <c r="O70" s="41">
        <f t="shared" si="4"/>
        <v>584.39720802519753</v>
      </c>
      <c r="P70" s="41">
        <f t="shared" si="4"/>
        <v>601.96137188516525</v>
      </c>
      <c r="Q70" s="41"/>
      <c r="R70" s="41"/>
    </row>
    <row r="71" spans="1:18" x14ac:dyDescent="0.25">
      <c r="A71" s="30">
        <v>179</v>
      </c>
      <c r="B71" s="31" t="s">
        <v>385</v>
      </c>
      <c r="C71" s="41">
        <v>12351</v>
      </c>
      <c r="D71" s="41">
        <v>6994</v>
      </c>
      <c r="E71" s="41">
        <v>7065</v>
      </c>
      <c r="F71" s="41">
        <v>13387</v>
      </c>
      <c r="G71" s="41">
        <v>11353</v>
      </c>
      <c r="H71" s="41">
        <v>11442</v>
      </c>
      <c r="I71" s="165">
        <v>8766.8759200000004</v>
      </c>
      <c r="J71" s="41">
        <v>5325.9927099999995</v>
      </c>
      <c r="K71" s="41">
        <v>10051.79084</v>
      </c>
      <c r="L71" s="41">
        <v>12142.5</v>
      </c>
      <c r="M71" s="41">
        <v>10192.5</v>
      </c>
      <c r="N71" s="41">
        <v>6592.5</v>
      </c>
      <c r="O71" s="41">
        <f t="shared" si="4"/>
        <v>6823.5877654614278</v>
      </c>
      <c r="P71" s="41">
        <f t="shared" si="4"/>
        <v>7028.6719307852773</v>
      </c>
      <c r="Q71" s="41"/>
      <c r="R71" s="41"/>
    </row>
    <row r="72" spans="1:18" x14ac:dyDescent="0.25">
      <c r="A72" s="30">
        <v>181</v>
      </c>
      <c r="B72" s="31" t="s">
        <v>386</v>
      </c>
      <c r="C72" s="41">
        <v>-37</v>
      </c>
      <c r="D72" s="41">
        <v>-36</v>
      </c>
      <c r="E72" s="41">
        <v>-33</v>
      </c>
      <c r="F72" s="41">
        <v>-27</v>
      </c>
      <c r="G72" s="41">
        <v>-30</v>
      </c>
      <c r="H72" s="41">
        <v>-23</v>
      </c>
      <c r="I72" s="165">
        <v>-43.120699999999999</v>
      </c>
      <c r="J72" s="41">
        <v>-129.29907</v>
      </c>
      <c r="K72" s="41">
        <v>-395.45240000000001</v>
      </c>
      <c r="L72" s="41">
        <v>-211.16</v>
      </c>
      <c r="M72" s="41">
        <v>-161.16</v>
      </c>
      <c r="N72" s="41">
        <v>-111.16</v>
      </c>
      <c r="O72" s="41">
        <f t="shared" si="4"/>
        <v>-115.05650603089758</v>
      </c>
      <c r="P72" s="41">
        <f t="shared" si="4"/>
        <v>-118.5145501442687</v>
      </c>
      <c r="Q72" s="41"/>
      <c r="R72" s="41"/>
    </row>
    <row r="73" spans="1:18" x14ac:dyDescent="0.25">
      <c r="A73" s="30">
        <v>182</v>
      </c>
      <c r="B73" s="31" t="s">
        <v>387</v>
      </c>
      <c r="C73" s="41">
        <v>692</v>
      </c>
      <c r="D73" s="41">
        <v>112</v>
      </c>
      <c r="E73" s="41">
        <v>579</v>
      </c>
      <c r="F73" s="41">
        <v>1285</v>
      </c>
      <c r="G73" s="41">
        <v>744</v>
      </c>
      <c r="H73" s="41">
        <v>830</v>
      </c>
      <c r="I73" s="165">
        <v>376.11142000000001</v>
      </c>
      <c r="J73" s="41">
        <v>516.29946999999993</v>
      </c>
      <c r="K73" s="41">
        <v>-269.88551000000001</v>
      </c>
      <c r="L73" s="41">
        <v>98</v>
      </c>
      <c r="M73" s="41">
        <v>98</v>
      </c>
      <c r="N73" s="41">
        <v>98</v>
      </c>
      <c r="O73" s="41">
        <f t="shared" si="4"/>
        <v>101.43520682824723</v>
      </c>
      <c r="P73" s="41">
        <f t="shared" si="4"/>
        <v>104.48386032870036</v>
      </c>
      <c r="Q73" s="41"/>
      <c r="R73" s="41"/>
    </row>
    <row r="74" spans="1:18" x14ac:dyDescent="0.25">
      <c r="A74" s="30">
        <v>186</v>
      </c>
      <c r="B74" s="31" t="s">
        <v>388</v>
      </c>
      <c r="C74" s="41">
        <v>513</v>
      </c>
      <c r="D74" s="41">
        <v>589</v>
      </c>
      <c r="E74" s="41">
        <v>783</v>
      </c>
      <c r="F74" s="41">
        <v>1021</v>
      </c>
      <c r="G74" s="41">
        <v>739</v>
      </c>
      <c r="H74" s="41">
        <v>402</v>
      </c>
      <c r="I74" s="165">
        <v>455.99912</v>
      </c>
      <c r="J74" s="41">
        <v>195.18077</v>
      </c>
      <c r="K74" s="41">
        <v>-5429.8916300000001</v>
      </c>
      <c r="L74" s="41">
        <v>-7755.7312699999993</v>
      </c>
      <c r="M74" s="41">
        <v>-8750.720949999999</v>
      </c>
      <c r="N74" s="41">
        <v>-9631.3724299999994</v>
      </c>
      <c r="O74" s="41">
        <f t="shared" si="4"/>
        <v>-9968.9821885400834</v>
      </c>
      <c r="P74" s="41">
        <f t="shared" si="4"/>
        <v>-10268.601752549137</v>
      </c>
      <c r="Q74" s="41"/>
      <c r="R74" s="41"/>
    </row>
    <row r="75" spans="1:18" x14ac:dyDescent="0.25">
      <c r="A75" s="30">
        <v>202</v>
      </c>
      <c r="B75" s="31" t="s">
        <v>389</v>
      </c>
      <c r="C75" s="41">
        <v>1127</v>
      </c>
      <c r="D75" s="41">
        <v>993</v>
      </c>
      <c r="E75" s="41">
        <v>1185</v>
      </c>
      <c r="F75" s="41">
        <v>424</v>
      </c>
      <c r="G75" s="41">
        <v>-128</v>
      </c>
      <c r="H75" s="41">
        <v>-791</v>
      </c>
      <c r="I75" s="165">
        <v>-2121.7980299999999</v>
      </c>
      <c r="J75" s="41">
        <v>-2033.39868</v>
      </c>
      <c r="K75" s="41">
        <v>-1860.6969299999998</v>
      </c>
      <c r="L75" s="41">
        <v>-1838</v>
      </c>
      <c r="M75" s="41">
        <v>-2732</v>
      </c>
      <c r="N75" s="41">
        <v>-4104</v>
      </c>
      <c r="O75" s="41">
        <f t="shared" si="4"/>
        <v>-4247.8580492155779</v>
      </c>
      <c r="P75" s="41">
        <f t="shared" si="4"/>
        <v>-4375.5281917243492</v>
      </c>
      <c r="Q75" s="41"/>
      <c r="R75" s="41"/>
    </row>
    <row r="76" spans="1:18" x14ac:dyDescent="0.25">
      <c r="A76" s="30">
        <v>204</v>
      </c>
      <c r="B76" s="31" t="s">
        <v>390</v>
      </c>
      <c r="C76" s="41">
        <v>212</v>
      </c>
      <c r="D76" s="41">
        <v>153</v>
      </c>
      <c r="E76" s="41">
        <v>75</v>
      </c>
      <c r="F76" s="41">
        <v>87</v>
      </c>
      <c r="G76" s="41">
        <v>73</v>
      </c>
      <c r="H76" s="41">
        <v>76</v>
      </c>
      <c r="I76" s="165">
        <v>41.331209999999999</v>
      </c>
      <c r="J76" s="41">
        <v>97.60099000000001</v>
      </c>
      <c r="K76" s="41">
        <v>-49.904300000000006</v>
      </c>
      <c r="L76" s="41">
        <v>90.9</v>
      </c>
      <c r="M76" s="41">
        <v>92.718000000000004</v>
      </c>
      <c r="N76" s="41">
        <v>94.572360000000003</v>
      </c>
      <c r="O76" s="41">
        <f t="shared" si="4"/>
        <v>97.887417314647507</v>
      </c>
      <c r="P76" s="41">
        <f t="shared" si="4"/>
        <v>100.82944135913846</v>
      </c>
      <c r="Q76" s="41"/>
      <c r="R76" s="41"/>
    </row>
    <row r="77" spans="1:18" x14ac:dyDescent="0.25">
      <c r="A77" s="30">
        <v>205</v>
      </c>
      <c r="B77" s="31" t="s">
        <v>391</v>
      </c>
      <c r="C77" s="41">
        <v>4862</v>
      </c>
      <c r="D77" s="41">
        <v>5325</v>
      </c>
      <c r="E77" s="41">
        <v>3928</v>
      </c>
      <c r="F77" s="41">
        <v>4232</v>
      </c>
      <c r="G77" s="41">
        <v>53373</v>
      </c>
      <c r="H77" s="41">
        <v>5098</v>
      </c>
      <c r="I77" s="165">
        <v>24402.889950000001</v>
      </c>
      <c r="J77" s="41">
        <v>3531.81486</v>
      </c>
      <c r="K77" s="41">
        <v>17249.992910000001</v>
      </c>
      <c r="L77" s="41">
        <v>8556.2999999999993</v>
      </c>
      <c r="M77" s="41">
        <v>8424.8639999999996</v>
      </c>
      <c r="N77" s="41">
        <v>8661.8639999999996</v>
      </c>
      <c r="O77" s="41">
        <f t="shared" si="4"/>
        <v>8965.4894526341723</v>
      </c>
      <c r="P77" s="41">
        <f t="shared" si="4"/>
        <v>9234.9488608387528</v>
      </c>
      <c r="Q77" s="41"/>
      <c r="R77" s="41"/>
    </row>
    <row r="78" spans="1:18" x14ac:dyDescent="0.25">
      <c r="A78" s="30">
        <v>208</v>
      </c>
      <c r="B78" s="31" t="s">
        <v>392</v>
      </c>
      <c r="C78" s="41">
        <v>349</v>
      </c>
      <c r="D78" s="41">
        <v>24</v>
      </c>
      <c r="E78" s="41">
        <v>613</v>
      </c>
      <c r="F78" s="41">
        <v>419</v>
      </c>
      <c r="G78" s="41">
        <v>714</v>
      </c>
      <c r="H78" s="41">
        <v>462</v>
      </c>
      <c r="I78" s="165">
        <v>561.22216000000003</v>
      </c>
      <c r="J78" s="41">
        <v>1140.5392099999999</v>
      </c>
      <c r="K78" s="41">
        <v>415.52010999999999</v>
      </c>
      <c r="L78" s="41">
        <v>-736</v>
      </c>
      <c r="M78" s="41">
        <v>-1270</v>
      </c>
      <c r="N78" s="41">
        <v>-1520</v>
      </c>
      <c r="O78" s="41">
        <f t="shared" si="4"/>
        <v>-1573.2807589687327</v>
      </c>
      <c r="P78" s="41">
        <f t="shared" si="4"/>
        <v>-1620.5659969349445</v>
      </c>
      <c r="Q78" s="41"/>
      <c r="R78" s="41"/>
    </row>
    <row r="79" spans="1:18" x14ac:dyDescent="0.25">
      <c r="A79" s="30">
        <v>211</v>
      </c>
      <c r="B79" s="31" t="s">
        <v>393</v>
      </c>
      <c r="C79" s="41">
        <v>1277</v>
      </c>
      <c r="D79" s="41">
        <v>440</v>
      </c>
      <c r="E79" s="41">
        <v>1895</v>
      </c>
      <c r="F79" s="41">
        <v>1142</v>
      </c>
      <c r="G79" s="41">
        <v>2942</v>
      </c>
      <c r="H79" s="41">
        <v>2209</v>
      </c>
      <c r="I79" s="165">
        <v>3814.4773999999998</v>
      </c>
      <c r="J79" s="41">
        <v>-154.81642000000002</v>
      </c>
      <c r="K79" s="41">
        <v>2047.2991299999999</v>
      </c>
      <c r="L79" s="41">
        <v>-1791</v>
      </c>
      <c r="M79" s="41">
        <v>-1830</v>
      </c>
      <c r="N79" s="41">
        <v>-1884</v>
      </c>
      <c r="O79" s="41">
        <f t="shared" si="4"/>
        <v>-1950.0400986165082</v>
      </c>
      <c r="P79" s="41">
        <f t="shared" si="4"/>
        <v>-2008.6489067272601</v>
      </c>
      <c r="Q79" s="41"/>
      <c r="R79" s="41"/>
    </row>
    <row r="80" spans="1:18" x14ac:dyDescent="0.25">
      <c r="A80" s="30">
        <v>213</v>
      </c>
      <c r="B80" s="31" t="s">
        <v>394</v>
      </c>
      <c r="C80" s="41">
        <v>89</v>
      </c>
      <c r="D80" s="41">
        <v>42</v>
      </c>
      <c r="E80" s="41">
        <v>169</v>
      </c>
      <c r="F80" s="41">
        <v>65</v>
      </c>
      <c r="G80" s="41">
        <v>157</v>
      </c>
      <c r="H80" s="41">
        <v>213</v>
      </c>
      <c r="I80" s="165">
        <v>245.07685999999998</v>
      </c>
      <c r="J80" s="41">
        <v>257.34762000000001</v>
      </c>
      <c r="K80" s="41">
        <v>18.92221</v>
      </c>
      <c r="L80" s="41">
        <v>81</v>
      </c>
      <c r="M80" s="41">
        <v>81</v>
      </c>
      <c r="N80" s="41">
        <v>81</v>
      </c>
      <c r="O80" s="41">
        <f t="shared" ref="O80:P143" si="5">N80*O$5</f>
        <v>83.83930360293904</v>
      </c>
      <c r="P80" s="41">
        <f t="shared" si="5"/>
        <v>86.359109047191112</v>
      </c>
      <c r="Q80" s="41"/>
      <c r="R80" s="41"/>
    </row>
    <row r="81" spans="1:18" x14ac:dyDescent="0.25">
      <c r="A81" s="30">
        <v>214</v>
      </c>
      <c r="B81" s="31" t="s">
        <v>395</v>
      </c>
      <c r="C81" s="41">
        <v>831</v>
      </c>
      <c r="D81" s="41">
        <v>777</v>
      </c>
      <c r="E81" s="41">
        <v>940</v>
      </c>
      <c r="F81" s="41">
        <v>857</v>
      </c>
      <c r="G81" s="41">
        <v>907</v>
      </c>
      <c r="H81" s="41">
        <v>838</v>
      </c>
      <c r="I81" s="165">
        <v>849.26317000000006</v>
      </c>
      <c r="J81" s="41">
        <v>717.38111000000004</v>
      </c>
      <c r="K81" s="41">
        <v>619.78996999999993</v>
      </c>
      <c r="L81" s="41">
        <v>494.41</v>
      </c>
      <c r="M81" s="41">
        <v>170</v>
      </c>
      <c r="N81" s="41">
        <v>140</v>
      </c>
      <c r="O81" s="41">
        <f t="shared" si="5"/>
        <v>144.90743832606748</v>
      </c>
      <c r="P81" s="41">
        <f t="shared" si="5"/>
        <v>149.26265761242908</v>
      </c>
      <c r="Q81" s="41"/>
      <c r="R81" s="41"/>
    </row>
    <row r="82" spans="1:18" x14ac:dyDescent="0.25">
      <c r="A82" s="30">
        <v>216</v>
      </c>
      <c r="B82" s="31" t="s">
        <v>396</v>
      </c>
      <c r="C82" s="41">
        <v>29</v>
      </c>
      <c r="D82" s="41">
        <v>-11</v>
      </c>
      <c r="E82" s="41">
        <v>66</v>
      </c>
      <c r="F82" s="41">
        <v>75</v>
      </c>
      <c r="G82" s="41">
        <v>-2386</v>
      </c>
      <c r="H82" s="41">
        <v>-517</v>
      </c>
      <c r="I82" s="165">
        <v>163.64855</v>
      </c>
      <c r="J82" s="41">
        <v>31.320340000000002</v>
      </c>
      <c r="K82" s="41">
        <v>-200.45223000000001</v>
      </c>
      <c r="L82" s="41">
        <v>-166.88</v>
      </c>
      <c r="M82" s="41">
        <v>-150</v>
      </c>
      <c r="N82" s="41">
        <v>-150</v>
      </c>
      <c r="O82" s="41">
        <f t="shared" si="5"/>
        <v>-155.2579696350723</v>
      </c>
      <c r="P82" s="41">
        <f t="shared" si="5"/>
        <v>-159.92427601331687</v>
      </c>
      <c r="Q82" s="41"/>
      <c r="R82" s="41"/>
    </row>
    <row r="83" spans="1:18" x14ac:dyDescent="0.25">
      <c r="A83" s="30">
        <v>217</v>
      </c>
      <c r="B83" s="31" t="s">
        <v>397</v>
      </c>
      <c r="C83" s="41">
        <v>3</v>
      </c>
      <c r="D83" s="41">
        <v>13</v>
      </c>
      <c r="E83" s="41">
        <v>39</v>
      </c>
      <c r="F83" s="41">
        <v>36</v>
      </c>
      <c r="G83" s="41">
        <v>20</v>
      </c>
      <c r="H83" s="41">
        <v>31</v>
      </c>
      <c r="I83" s="165">
        <v>74.89676</v>
      </c>
      <c r="J83" s="41">
        <v>250.19684000000001</v>
      </c>
      <c r="K83" s="41">
        <v>-513.89212999999995</v>
      </c>
      <c r="L83" s="41">
        <v>-841.8836</v>
      </c>
      <c r="M83" s="41">
        <v>-991.8836</v>
      </c>
      <c r="N83" s="41">
        <v>-1391.8836000000001</v>
      </c>
      <c r="O83" s="41">
        <f t="shared" si="5"/>
        <v>-1440.6734780290342</v>
      </c>
      <c r="P83" s="41">
        <f t="shared" si="5"/>
        <v>-1483.9731801653943</v>
      </c>
      <c r="Q83" s="41"/>
      <c r="R83" s="41"/>
    </row>
    <row r="84" spans="1:18" x14ac:dyDescent="0.25">
      <c r="A84" s="30">
        <v>218</v>
      </c>
      <c r="B84" s="31" t="s">
        <v>398</v>
      </c>
      <c r="C84" s="41">
        <v>-15</v>
      </c>
      <c r="D84" s="41">
        <v>-27</v>
      </c>
      <c r="E84" s="41">
        <v>-24</v>
      </c>
      <c r="F84" s="41">
        <v>-18</v>
      </c>
      <c r="G84" s="41">
        <v>-13</v>
      </c>
      <c r="H84" s="41">
        <v>-10</v>
      </c>
      <c r="I84" s="165">
        <v>-9.0572099999999995</v>
      </c>
      <c r="J84" s="41">
        <v>24.37398</v>
      </c>
      <c r="K84" s="41">
        <v>-20.326610000000002</v>
      </c>
      <c r="L84" s="41">
        <v>-17</v>
      </c>
      <c r="M84" s="41">
        <v>-17</v>
      </c>
      <c r="N84" s="41">
        <v>-17</v>
      </c>
      <c r="O84" s="41">
        <f t="shared" si="5"/>
        <v>-17.595903225308195</v>
      </c>
      <c r="P84" s="41">
        <f t="shared" si="5"/>
        <v>-18.124751281509248</v>
      </c>
      <c r="Q84" s="41"/>
      <c r="R84" s="41"/>
    </row>
    <row r="85" spans="1:18" x14ac:dyDescent="0.25">
      <c r="A85" s="30">
        <v>224</v>
      </c>
      <c r="B85" s="31" t="s">
        <v>399</v>
      </c>
      <c r="C85" s="41">
        <v>-330</v>
      </c>
      <c r="D85" s="41">
        <v>-416</v>
      </c>
      <c r="E85" s="41">
        <v>-246</v>
      </c>
      <c r="F85" s="41">
        <v>-413</v>
      </c>
      <c r="G85" s="41">
        <v>-388</v>
      </c>
      <c r="H85" s="41">
        <v>-274</v>
      </c>
      <c r="I85" s="165">
        <v>-145.19911999999999</v>
      </c>
      <c r="J85" s="41">
        <v>-39.161749999999998</v>
      </c>
      <c r="K85" s="41">
        <v>99.185940000000002</v>
      </c>
      <c r="L85" s="41">
        <v>-1684</v>
      </c>
      <c r="M85" s="41">
        <v>-1900</v>
      </c>
      <c r="N85" s="41">
        <v>-1900</v>
      </c>
      <c r="O85" s="41">
        <f t="shared" si="5"/>
        <v>-1966.6009487109159</v>
      </c>
      <c r="P85" s="41">
        <f t="shared" si="5"/>
        <v>-2025.7074961686806</v>
      </c>
      <c r="Q85" s="41"/>
      <c r="R85" s="41"/>
    </row>
    <row r="86" spans="1:18" x14ac:dyDescent="0.25">
      <c r="A86" s="30">
        <v>226</v>
      </c>
      <c r="B86" s="31" t="s">
        <v>400</v>
      </c>
      <c r="C86" s="41">
        <v>96</v>
      </c>
      <c r="D86" s="41">
        <v>38</v>
      </c>
      <c r="E86" s="41">
        <v>83</v>
      </c>
      <c r="F86" s="41">
        <v>83</v>
      </c>
      <c r="G86" s="41">
        <v>83</v>
      </c>
      <c r="H86" s="41">
        <v>67</v>
      </c>
      <c r="I86" s="165">
        <v>90.703729999999993</v>
      </c>
      <c r="J86" s="41">
        <v>32.56859</v>
      </c>
      <c r="K86" s="41">
        <v>-369.65206999999998</v>
      </c>
      <c r="L86" s="41">
        <v>-486.07</v>
      </c>
      <c r="M86" s="41">
        <v>-483</v>
      </c>
      <c r="N86" s="41">
        <v>-485</v>
      </c>
      <c r="O86" s="41">
        <f t="shared" si="5"/>
        <v>-502.00076848673376</v>
      </c>
      <c r="P86" s="41">
        <f t="shared" si="5"/>
        <v>-517.08849244305793</v>
      </c>
      <c r="Q86" s="41"/>
      <c r="R86" s="41"/>
    </row>
    <row r="87" spans="1:18" x14ac:dyDescent="0.25">
      <c r="A87" s="30">
        <v>230</v>
      </c>
      <c r="B87" s="31" t="s">
        <v>401</v>
      </c>
      <c r="C87" s="41">
        <v>413</v>
      </c>
      <c r="D87" s="41">
        <v>401</v>
      </c>
      <c r="E87" s="41">
        <v>406</v>
      </c>
      <c r="F87" s="41">
        <v>231</v>
      </c>
      <c r="G87" s="41">
        <v>232</v>
      </c>
      <c r="H87" s="41">
        <v>232</v>
      </c>
      <c r="I87" s="165">
        <v>232.23719</v>
      </c>
      <c r="J87" s="41">
        <v>255.80059</v>
      </c>
      <c r="K87" s="41">
        <v>282.22586999999999</v>
      </c>
      <c r="L87" s="41">
        <v>251.02699999999999</v>
      </c>
      <c r="M87" s="41">
        <v>255.33699999999999</v>
      </c>
      <c r="N87" s="41">
        <v>259.64699999999999</v>
      </c>
      <c r="O87" s="41">
        <f t="shared" si="5"/>
        <v>268.74844027891743</v>
      </c>
      <c r="P87" s="41">
        <f t="shared" si="5"/>
        <v>276.82572329353121</v>
      </c>
      <c r="Q87" s="41"/>
      <c r="R87" s="41"/>
    </row>
    <row r="88" spans="1:18" x14ac:dyDescent="0.25">
      <c r="A88" s="30">
        <v>231</v>
      </c>
      <c r="B88" s="31" t="s">
        <v>402</v>
      </c>
      <c r="C88" s="41">
        <v>-33</v>
      </c>
      <c r="D88" s="41">
        <v>17</v>
      </c>
      <c r="E88" s="41">
        <v>-36</v>
      </c>
      <c r="F88" s="41">
        <v>-33</v>
      </c>
      <c r="G88" s="41">
        <v>-44</v>
      </c>
      <c r="H88" s="41">
        <v>-13</v>
      </c>
      <c r="I88" s="165">
        <v>-26.641310000000001</v>
      </c>
      <c r="J88" s="41">
        <v>-3.3783099999999999</v>
      </c>
      <c r="K88" s="41">
        <v>-51.752339999999997</v>
      </c>
      <c r="L88" s="41">
        <v>-60</v>
      </c>
      <c r="M88" s="41">
        <v>-60</v>
      </c>
      <c r="N88" s="41">
        <v>-60</v>
      </c>
      <c r="O88" s="41">
        <f t="shared" si="5"/>
        <v>-62.103187854028917</v>
      </c>
      <c r="P88" s="41">
        <f t="shared" si="5"/>
        <v>-63.969710405326744</v>
      </c>
      <c r="Q88" s="41"/>
      <c r="R88" s="41"/>
    </row>
    <row r="89" spans="1:18" x14ac:dyDescent="0.25">
      <c r="A89" s="30">
        <v>232</v>
      </c>
      <c r="B89" s="31" t="s">
        <v>403</v>
      </c>
      <c r="C89" s="41">
        <v>2280</v>
      </c>
      <c r="D89" s="41">
        <v>273</v>
      </c>
      <c r="E89" s="41">
        <v>476</v>
      </c>
      <c r="F89" s="41">
        <v>348</v>
      </c>
      <c r="G89" s="41">
        <v>9270</v>
      </c>
      <c r="H89" s="41">
        <v>106</v>
      </c>
      <c r="I89" s="165">
        <v>2054.2085000000002</v>
      </c>
      <c r="J89" s="41">
        <v>-411.66933</v>
      </c>
      <c r="K89" s="41">
        <v>2875.1028300000003</v>
      </c>
      <c r="L89" s="41">
        <v>-455.83600000000001</v>
      </c>
      <c r="M89" s="41">
        <v>-500</v>
      </c>
      <c r="N89" s="41">
        <v>-400</v>
      </c>
      <c r="O89" s="41">
        <f t="shared" si="5"/>
        <v>-414.02125236019282</v>
      </c>
      <c r="P89" s="41">
        <f t="shared" si="5"/>
        <v>-426.46473603551169</v>
      </c>
      <c r="Q89" s="41"/>
      <c r="R89" s="41"/>
    </row>
    <row r="90" spans="1:18" x14ac:dyDescent="0.25">
      <c r="A90" s="30">
        <v>233</v>
      </c>
      <c r="B90" s="31" t="s">
        <v>404</v>
      </c>
      <c r="C90" s="41">
        <v>56</v>
      </c>
      <c r="D90" s="41">
        <v>74</v>
      </c>
      <c r="E90" s="41">
        <v>-21</v>
      </c>
      <c r="F90" s="41">
        <v>-1</v>
      </c>
      <c r="G90" s="41">
        <v>81</v>
      </c>
      <c r="H90" s="41">
        <v>117</v>
      </c>
      <c r="I90" s="165">
        <v>251.15998000000002</v>
      </c>
      <c r="J90" s="41">
        <v>713.90154000000007</v>
      </c>
      <c r="K90" s="41">
        <v>-1040.0169599999999</v>
      </c>
      <c r="L90" s="41">
        <v>-1421.5</v>
      </c>
      <c r="M90" s="41">
        <v>-1420</v>
      </c>
      <c r="N90" s="41">
        <v>-1370</v>
      </c>
      <c r="O90" s="41">
        <f t="shared" si="5"/>
        <v>-1418.0227893336603</v>
      </c>
      <c r="P90" s="41">
        <f t="shared" si="5"/>
        <v>-1460.6417209216274</v>
      </c>
      <c r="Q90" s="41"/>
      <c r="R90" s="41"/>
    </row>
    <row r="91" spans="1:18" x14ac:dyDescent="0.25">
      <c r="A91" s="30">
        <v>235</v>
      </c>
      <c r="B91" s="31" t="s">
        <v>405</v>
      </c>
      <c r="C91" s="41">
        <v>379</v>
      </c>
      <c r="D91" s="41">
        <v>356</v>
      </c>
      <c r="E91" s="41">
        <v>354</v>
      </c>
      <c r="F91" s="41">
        <v>353</v>
      </c>
      <c r="G91" s="41">
        <v>346</v>
      </c>
      <c r="H91" s="41">
        <v>266</v>
      </c>
      <c r="I91" s="165">
        <v>259.6395</v>
      </c>
      <c r="J91" s="41">
        <v>372.94607999999999</v>
      </c>
      <c r="K91" s="41">
        <v>780.21442000000002</v>
      </c>
      <c r="L91" s="41">
        <v>200</v>
      </c>
      <c r="M91" s="41">
        <v>150</v>
      </c>
      <c r="N91" s="41">
        <v>100</v>
      </c>
      <c r="O91" s="41">
        <f t="shared" si="5"/>
        <v>103.5053130900482</v>
      </c>
      <c r="P91" s="41">
        <f t="shared" si="5"/>
        <v>106.61618400887792</v>
      </c>
      <c r="Q91" s="41"/>
      <c r="R91" s="41"/>
    </row>
    <row r="92" spans="1:18" x14ac:dyDescent="0.25">
      <c r="A92" s="30">
        <v>236</v>
      </c>
      <c r="B92" s="31" t="s">
        <v>406</v>
      </c>
      <c r="C92" s="41">
        <v>-303</v>
      </c>
      <c r="D92" s="41">
        <v>-248</v>
      </c>
      <c r="E92" s="41">
        <v>-241</v>
      </c>
      <c r="F92" s="41">
        <v>-207</v>
      </c>
      <c r="G92" s="41">
        <v>-182</v>
      </c>
      <c r="H92" s="41">
        <v>-137</v>
      </c>
      <c r="I92" s="165">
        <v>-107.87899</v>
      </c>
      <c r="J92" s="41">
        <v>62.17259</v>
      </c>
      <c r="K92" s="41">
        <v>-444.84433000000001</v>
      </c>
      <c r="L92" s="41">
        <v>-729</v>
      </c>
      <c r="M92" s="41">
        <v>-668</v>
      </c>
      <c r="N92" s="41">
        <v>-660</v>
      </c>
      <c r="O92" s="41">
        <f t="shared" si="5"/>
        <v>-683.13506639431807</v>
      </c>
      <c r="P92" s="41">
        <f t="shared" si="5"/>
        <v>-703.66681445859422</v>
      </c>
      <c r="Q92" s="41"/>
      <c r="R92" s="41"/>
    </row>
    <row r="93" spans="1:18" x14ac:dyDescent="0.25">
      <c r="A93" s="30">
        <v>239</v>
      </c>
      <c r="B93" s="31" t="s">
        <v>407</v>
      </c>
      <c r="C93" s="41">
        <v>147</v>
      </c>
      <c r="D93" s="41">
        <v>71</v>
      </c>
      <c r="E93" s="41">
        <v>156</v>
      </c>
      <c r="F93" s="41">
        <v>245</v>
      </c>
      <c r="G93" s="41">
        <v>154</v>
      </c>
      <c r="H93" s="41">
        <v>158</v>
      </c>
      <c r="I93" s="165">
        <v>193.44086999999999</v>
      </c>
      <c r="J93" s="41">
        <v>204.48047</v>
      </c>
      <c r="K93" s="41">
        <v>30.312830000000002</v>
      </c>
      <c r="L93" s="41">
        <v>94</v>
      </c>
      <c r="M93" s="41">
        <v>78</v>
      </c>
      <c r="N93" s="41">
        <v>78</v>
      </c>
      <c r="O93" s="41">
        <f t="shared" si="5"/>
        <v>80.734144210237602</v>
      </c>
      <c r="P93" s="41">
        <f t="shared" si="5"/>
        <v>83.16062352692478</v>
      </c>
      <c r="Q93" s="41"/>
      <c r="R93" s="41"/>
    </row>
    <row r="94" spans="1:18" x14ac:dyDescent="0.25">
      <c r="A94" s="30">
        <v>240</v>
      </c>
      <c r="B94" s="31" t="s">
        <v>408</v>
      </c>
      <c r="C94" s="41">
        <v>-773</v>
      </c>
      <c r="D94" s="41">
        <v>387</v>
      </c>
      <c r="E94" s="41">
        <v>276</v>
      </c>
      <c r="F94" s="41">
        <v>1746</v>
      </c>
      <c r="G94" s="41">
        <v>916</v>
      </c>
      <c r="H94" s="41">
        <v>2521</v>
      </c>
      <c r="I94" s="165">
        <v>1586.077</v>
      </c>
      <c r="J94" s="41">
        <v>1156.6181100000001</v>
      </c>
      <c r="K94" s="41">
        <v>1157.1563200000001</v>
      </c>
      <c r="L94" s="41">
        <v>942</v>
      </c>
      <c r="M94" s="41">
        <v>928</v>
      </c>
      <c r="N94" s="41">
        <v>632</v>
      </c>
      <c r="O94" s="41">
        <f t="shared" si="5"/>
        <v>654.15357872910465</v>
      </c>
      <c r="P94" s="41">
        <f t="shared" si="5"/>
        <v>673.8142829361085</v>
      </c>
      <c r="Q94" s="41"/>
      <c r="R94" s="41"/>
    </row>
    <row r="95" spans="1:18" x14ac:dyDescent="0.25">
      <c r="A95" s="30">
        <v>241</v>
      </c>
      <c r="B95" s="31" t="s">
        <v>409</v>
      </c>
      <c r="C95" s="41">
        <v>100</v>
      </c>
      <c r="D95" s="41">
        <v>171</v>
      </c>
      <c r="E95" s="41">
        <v>147</v>
      </c>
      <c r="F95" s="41">
        <v>151</v>
      </c>
      <c r="G95" s="41">
        <v>185</v>
      </c>
      <c r="H95" s="41">
        <v>50</v>
      </c>
      <c r="I95" s="165">
        <v>43.608510000000003</v>
      </c>
      <c r="J95" s="115">
        <v>407.32423999999997</v>
      </c>
      <c r="K95" s="41">
        <v>138.80828</v>
      </c>
      <c r="L95" s="41">
        <v>55.4</v>
      </c>
      <c r="M95" s="41">
        <v>-11</v>
      </c>
      <c r="N95" s="41">
        <v>-197</v>
      </c>
      <c r="O95" s="41">
        <f t="shared" si="5"/>
        <v>-203.90546678739494</v>
      </c>
      <c r="P95" s="41">
        <f t="shared" si="5"/>
        <v>-210.03388249748949</v>
      </c>
      <c r="Q95" s="41"/>
      <c r="R95" s="41"/>
    </row>
    <row r="96" spans="1:18" x14ac:dyDescent="0.25">
      <c r="A96" s="30">
        <v>244</v>
      </c>
      <c r="B96" s="31" t="s">
        <v>410</v>
      </c>
      <c r="C96" s="41">
        <v>-684</v>
      </c>
      <c r="D96" s="41">
        <v>-710</v>
      </c>
      <c r="E96" s="41">
        <v>-614</v>
      </c>
      <c r="F96" s="41">
        <v>-731</v>
      </c>
      <c r="G96" s="41">
        <v>-698</v>
      </c>
      <c r="H96" s="41">
        <v>-592</v>
      </c>
      <c r="I96" s="165">
        <v>-507.59827000000001</v>
      </c>
      <c r="J96" s="41">
        <v>-475.23533000000003</v>
      </c>
      <c r="K96" s="41">
        <v>-608.05421999999999</v>
      </c>
      <c r="L96" s="41">
        <v>-985</v>
      </c>
      <c r="M96" s="41">
        <v>-1550</v>
      </c>
      <c r="N96" s="41">
        <v>-2130</v>
      </c>
      <c r="O96" s="41">
        <f t="shared" si="5"/>
        <v>-2204.6631688180269</v>
      </c>
      <c r="P96" s="41">
        <f t="shared" si="5"/>
        <v>-2270.9247193890997</v>
      </c>
      <c r="Q96" s="41"/>
      <c r="R96" s="41"/>
    </row>
    <row r="97" spans="1:18" x14ac:dyDescent="0.25">
      <c r="A97" s="30">
        <v>245</v>
      </c>
      <c r="B97" s="31" t="s">
        <v>411</v>
      </c>
      <c r="C97" s="41">
        <v>1235</v>
      </c>
      <c r="D97" s="41">
        <v>723</v>
      </c>
      <c r="E97" s="41">
        <v>869</v>
      </c>
      <c r="F97" s="41">
        <v>870</v>
      </c>
      <c r="G97" s="41">
        <v>784</v>
      </c>
      <c r="H97" s="41">
        <v>674</v>
      </c>
      <c r="I97" s="165">
        <v>1776.5451699999999</v>
      </c>
      <c r="J97" s="41">
        <v>1039.2297800000001</v>
      </c>
      <c r="K97" s="41">
        <v>496.94297999999998</v>
      </c>
      <c r="L97" s="41">
        <v>292.97500000000002</v>
      </c>
      <c r="M97" s="41">
        <v>-228.18</v>
      </c>
      <c r="N97" s="41">
        <v>-499.17200000000003</v>
      </c>
      <c r="O97" s="41">
        <f t="shared" si="5"/>
        <v>-516.66954145785542</v>
      </c>
      <c r="P97" s="41">
        <f t="shared" si="5"/>
        <v>-532.19813804079604</v>
      </c>
      <c r="Q97" s="41"/>
      <c r="R97" s="41"/>
    </row>
    <row r="98" spans="1:18" x14ac:dyDescent="0.25">
      <c r="A98" s="30">
        <v>249</v>
      </c>
      <c r="B98" s="31" t="s">
        <v>412</v>
      </c>
      <c r="C98" s="41">
        <v>302</v>
      </c>
      <c r="D98" s="41">
        <v>261</v>
      </c>
      <c r="E98" s="41">
        <v>281</v>
      </c>
      <c r="F98" s="41">
        <v>216</v>
      </c>
      <c r="G98" s="41">
        <v>280</v>
      </c>
      <c r="H98" s="41">
        <v>162</v>
      </c>
      <c r="I98" s="165">
        <v>218.11416</v>
      </c>
      <c r="J98" s="41">
        <v>238.35573000000002</v>
      </c>
      <c r="K98" s="41">
        <v>-1554.06717</v>
      </c>
      <c r="L98" s="41">
        <v>-1582.8</v>
      </c>
      <c r="M98" s="41">
        <v>-1582.8</v>
      </c>
      <c r="N98" s="41">
        <v>-1582.8</v>
      </c>
      <c r="O98" s="41">
        <f t="shared" si="5"/>
        <v>-1638.2820955892828</v>
      </c>
      <c r="P98" s="41">
        <f t="shared" si="5"/>
        <v>-1687.5209604925196</v>
      </c>
      <c r="Q98" s="41"/>
      <c r="R98" s="41"/>
    </row>
    <row r="99" spans="1:18" x14ac:dyDescent="0.25">
      <c r="A99" s="30">
        <v>250</v>
      </c>
      <c r="B99" s="31" t="s">
        <v>413</v>
      </c>
      <c r="C99" s="41">
        <v>-71</v>
      </c>
      <c r="D99" s="41">
        <v>-80</v>
      </c>
      <c r="E99" s="41">
        <v>-4</v>
      </c>
      <c r="F99" s="41">
        <v>2</v>
      </c>
      <c r="G99" s="41">
        <v>-139</v>
      </c>
      <c r="H99" s="41">
        <v>-60</v>
      </c>
      <c r="I99" s="165">
        <v>-36.74118</v>
      </c>
      <c r="J99" s="41">
        <v>-39.814910000000005</v>
      </c>
      <c r="K99" s="41">
        <v>-126.90777</v>
      </c>
      <c r="L99" s="41">
        <v>-144.97300000000001</v>
      </c>
      <c r="M99" s="41">
        <v>-132.29300000000001</v>
      </c>
      <c r="N99" s="41">
        <v>-101.29300000000001</v>
      </c>
      <c r="O99" s="41">
        <f t="shared" si="5"/>
        <v>-104.84363678830253</v>
      </c>
      <c r="P99" s="41">
        <f t="shared" si="5"/>
        <v>-107.99473126811272</v>
      </c>
      <c r="Q99" s="41"/>
      <c r="R99" s="41"/>
    </row>
    <row r="100" spans="1:18" x14ac:dyDescent="0.25">
      <c r="A100" s="30">
        <v>256</v>
      </c>
      <c r="B100" s="31" t="s">
        <v>414</v>
      </c>
      <c r="C100" s="41">
        <v>105</v>
      </c>
      <c r="D100" s="41">
        <v>79</v>
      </c>
      <c r="E100" s="41">
        <v>77</v>
      </c>
      <c r="F100" s="41">
        <v>74</v>
      </c>
      <c r="G100" s="41">
        <v>67</v>
      </c>
      <c r="H100" s="41">
        <v>-172</v>
      </c>
      <c r="I100" s="165">
        <v>69.628</v>
      </c>
      <c r="J100" s="41">
        <v>54.835569999999997</v>
      </c>
      <c r="K100" s="41">
        <v>-73.255750000000006</v>
      </c>
      <c r="L100" s="41">
        <v>-66</v>
      </c>
      <c r="M100" s="41">
        <v>-66</v>
      </c>
      <c r="N100" s="41">
        <v>-66</v>
      </c>
      <c r="O100" s="41">
        <f t="shared" si="5"/>
        <v>-68.313506639431807</v>
      </c>
      <c r="P100" s="41">
        <f t="shared" si="5"/>
        <v>-70.366681445859413</v>
      </c>
      <c r="Q100" s="41"/>
      <c r="R100" s="41"/>
    </row>
    <row r="101" spans="1:18" x14ac:dyDescent="0.25">
      <c r="A101" s="30">
        <v>257</v>
      </c>
      <c r="B101" s="31" t="s">
        <v>415</v>
      </c>
      <c r="C101" s="41">
        <v>-1329</v>
      </c>
      <c r="D101" s="41">
        <v>-713</v>
      </c>
      <c r="E101" s="41">
        <v>-526</v>
      </c>
      <c r="F101" s="41">
        <v>-519</v>
      </c>
      <c r="G101" s="41">
        <v>-612</v>
      </c>
      <c r="H101" s="41">
        <v>-638</v>
      </c>
      <c r="I101" s="165">
        <v>-416.72987999999998</v>
      </c>
      <c r="J101" s="41">
        <v>-399.89728000000002</v>
      </c>
      <c r="K101" s="41">
        <v>-43.625349999999997</v>
      </c>
      <c r="L101" s="41">
        <v>-400</v>
      </c>
      <c r="M101" s="41">
        <v>-1300</v>
      </c>
      <c r="N101" s="41">
        <v>-3000</v>
      </c>
      <c r="O101" s="41">
        <f t="shared" si="5"/>
        <v>-3105.159392701446</v>
      </c>
      <c r="P101" s="41">
        <f t="shared" si="5"/>
        <v>-3198.4855202663375</v>
      </c>
      <c r="Q101" s="41"/>
      <c r="R101" s="41"/>
    </row>
    <row r="102" spans="1:18" x14ac:dyDescent="0.25">
      <c r="A102" s="30">
        <v>260</v>
      </c>
      <c r="B102" s="31" t="s">
        <v>416</v>
      </c>
      <c r="C102" s="41">
        <v>247</v>
      </c>
      <c r="D102" s="41">
        <v>354</v>
      </c>
      <c r="E102" s="41">
        <v>419</v>
      </c>
      <c r="F102" s="41">
        <v>354</v>
      </c>
      <c r="G102" s="41">
        <v>386</v>
      </c>
      <c r="H102" s="41">
        <v>379</v>
      </c>
      <c r="I102" s="165">
        <v>250.76858999999999</v>
      </c>
      <c r="J102" s="41">
        <v>394.76128000000006</v>
      </c>
      <c r="K102" s="41">
        <v>743.84531000000004</v>
      </c>
      <c r="L102" s="41">
        <v>267.39999999999998</v>
      </c>
      <c r="M102" s="41">
        <v>267.39999999999998</v>
      </c>
      <c r="N102" s="41">
        <v>267.39999999999998</v>
      </c>
      <c r="O102" s="41">
        <f t="shared" si="5"/>
        <v>276.77320720278885</v>
      </c>
      <c r="P102" s="41">
        <f t="shared" si="5"/>
        <v>285.09167603973953</v>
      </c>
      <c r="Q102" s="41"/>
      <c r="R102" s="41"/>
    </row>
    <row r="103" spans="1:18" x14ac:dyDescent="0.25">
      <c r="A103" s="30">
        <v>261</v>
      </c>
      <c r="B103" s="31" t="s">
        <v>417</v>
      </c>
      <c r="C103" s="41">
        <v>951</v>
      </c>
      <c r="D103" s="41">
        <v>628</v>
      </c>
      <c r="E103" s="41">
        <v>945</v>
      </c>
      <c r="F103" s="41">
        <v>1173</v>
      </c>
      <c r="G103" s="41">
        <v>1407</v>
      </c>
      <c r="H103" s="41">
        <v>1546</v>
      </c>
      <c r="I103" s="165">
        <v>1363.3732299999999</v>
      </c>
      <c r="J103" s="41">
        <v>3201.8208100000002</v>
      </c>
      <c r="K103" s="41">
        <v>4159.14239</v>
      </c>
      <c r="L103" s="41">
        <v>3657.5770000000002</v>
      </c>
      <c r="M103" s="41">
        <v>2746.4769999999999</v>
      </c>
      <c r="N103" s="41">
        <v>2215.002</v>
      </c>
      <c r="O103" s="41">
        <f t="shared" si="5"/>
        <v>2292.6447550508292</v>
      </c>
      <c r="P103" s="41">
        <f t="shared" si="5"/>
        <v>2361.5506081203257</v>
      </c>
      <c r="Q103" s="41"/>
      <c r="R103" s="41"/>
    </row>
    <row r="104" spans="1:18" x14ac:dyDescent="0.25">
      <c r="A104" s="30">
        <v>263</v>
      </c>
      <c r="B104" s="31" t="s">
        <v>418</v>
      </c>
      <c r="C104" s="41">
        <v>963</v>
      </c>
      <c r="D104" s="41">
        <v>387</v>
      </c>
      <c r="E104" s="41">
        <v>911</v>
      </c>
      <c r="F104" s="41">
        <v>612</v>
      </c>
      <c r="G104" s="41">
        <v>915</v>
      </c>
      <c r="H104" s="41">
        <v>724</v>
      </c>
      <c r="I104" s="165">
        <v>1116.6910800000001</v>
      </c>
      <c r="J104" s="41">
        <v>753.94921999999997</v>
      </c>
      <c r="K104" s="41">
        <v>832.60118</v>
      </c>
      <c r="L104" s="41">
        <v>462</v>
      </c>
      <c r="M104" s="41">
        <v>302</v>
      </c>
      <c r="N104" s="41">
        <v>132</v>
      </c>
      <c r="O104" s="41">
        <f t="shared" si="5"/>
        <v>136.62701327886361</v>
      </c>
      <c r="P104" s="41">
        <f t="shared" si="5"/>
        <v>140.73336289171883</v>
      </c>
      <c r="Q104" s="41"/>
      <c r="R104" s="41"/>
    </row>
    <row r="105" spans="1:18" x14ac:dyDescent="0.25">
      <c r="A105" s="30">
        <v>265</v>
      </c>
      <c r="B105" s="31" t="s">
        <v>419</v>
      </c>
      <c r="C105" s="41">
        <v>4</v>
      </c>
      <c r="D105" s="41">
        <v>-33</v>
      </c>
      <c r="E105" s="41">
        <v>-32</v>
      </c>
      <c r="F105" s="41">
        <v>-239</v>
      </c>
      <c r="G105" s="41">
        <v>-1740</v>
      </c>
      <c r="H105" s="41">
        <v>-38</v>
      </c>
      <c r="I105" s="165">
        <v>-21.056639999999998</v>
      </c>
      <c r="J105" s="41">
        <v>-16.855650000000001</v>
      </c>
      <c r="K105" s="41">
        <v>-98.57141</v>
      </c>
      <c r="L105" s="41">
        <v>-43.57</v>
      </c>
      <c r="M105" s="41">
        <v>-44</v>
      </c>
      <c r="N105" s="41">
        <v>-42.5</v>
      </c>
      <c r="O105" s="41">
        <f t="shared" si="5"/>
        <v>-43.989758063270486</v>
      </c>
      <c r="P105" s="41">
        <f t="shared" si="5"/>
        <v>-45.311878203773112</v>
      </c>
      <c r="Q105" s="41"/>
      <c r="R105" s="41"/>
    </row>
    <row r="106" spans="1:18" x14ac:dyDescent="0.25">
      <c r="A106" s="30">
        <v>271</v>
      </c>
      <c r="B106" s="31" t="s">
        <v>420</v>
      </c>
      <c r="C106" s="41">
        <v>60</v>
      </c>
      <c r="D106" s="41">
        <v>126</v>
      </c>
      <c r="E106" s="41">
        <v>126</v>
      </c>
      <c r="F106" s="41">
        <v>142</v>
      </c>
      <c r="G106" s="41">
        <v>100</v>
      </c>
      <c r="H106" s="41">
        <v>105</v>
      </c>
      <c r="I106" s="165">
        <v>126.1093</v>
      </c>
      <c r="J106" s="41">
        <v>95.816789999999997</v>
      </c>
      <c r="K106" s="41">
        <v>-199.55954</v>
      </c>
      <c r="L106" s="41">
        <v>-414.1</v>
      </c>
      <c r="M106" s="41">
        <v>-600</v>
      </c>
      <c r="N106" s="41">
        <v>-739</v>
      </c>
      <c r="O106" s="41">
        <f t="shared" si="5"/>
        <v>-764.9042637354562</v>
      </c>
      <c r="P106" s="41">
        <f t="shared" si="5"/>
        <v>-787.89359982560779</v>
      </c>
      <c r="Q106" s="41"/>
      <c r="R106" s="41"/>
    </row>
    <row r="107" spans="1:18" x14ac:dyDescent="0.25">
      <c r="A107" s="30">
        <v>272</v>
      </c>
      <c r="B107" s="31" t="s">
        <v>421</v>
      </c>
      <c r="C107" s="41">
        <v>-1814</v>
      </c>
      <c r="D107" s="41">
        <v>-740</v>
      </c>
      <c r="E107" s="41">
        <v>-730</v>
      </c>
      <c r="F107" s="41">
        <v>885</v>
      </c>
      <c r="G107" s="41">
        <v>847</v>
      </c>
      <c r="H107" s="41">
        <v>-150</v>
      </c>
      <c r="I107" s="165">
        <v>-567.62982999999997</v>
      </c>
      <c r="J107" s="41">
        <v>3896.42308</v>
      </c>
      <c r="K107" s="41">
        <v>-2111.5788700000003</v>
      </c>
      <c r="L107" s="41">
        <v>-269.3</v>
      </c>
      <c r="M107" s="41">
        <v>-1132</v>
      </c>
      <c r="N107" s="41">
        <v>-2496</v>
      </c>
      <c r="O107" s="41">
        <f t="shared" si="5"/>
        <v>-2583.4926147276033</v>
      </c>
      <c r="P107" s="41">
        <f t="shared" si="5"/>
        <v>-2661.139952861593</v>
      </c>
      <c r="Q107" s="41"/>
      <c r="R107" s="41"/>
    </row>
    <row r="108" spans="1:18" x14ac:dyDescent="0.25">
      <c r="A108" s="30">
        <v>273</v>
      </c>
      <c r="B108" s="31" t="s">
        <v>422</v>
      </c>
      <c r="C108" s="41">
        <v>-134</v>
      </c>
      <c r="D108" s="41">
        <v>-87</v>
      </c>
      <c r="E108" s="41">
        <v>-68</v>
      </c>
      <c r="F108" s="41">
        <v>-58</v>
      </c>
      <c r="G108" s="41">
        <v>-45</v>
      </c>
      <c r="H108" s="41">
        <v>-31</v>
      </c>
      <c r="I108" s="165">
        <v>-47.422809999999998</v>
      </c>
      <c r="J108" s="41">
        <v>375.45241999999996</v>
      </c>
      <c r="K108" s="41">
        <v>-71.75921000000001</v>
      </c>
      <c r="L108" s="41">
        <v>-122.09</v>
      </c>
      <c r="M108" s="41">
        <v>-122.09</v>
      </c>
      <c r="N108" s="41">
        <v>-122.09</v>
      </c>
      <c r="O108" s="41">
        <f t="shared" si="5"/>
        <v>-126.36963675163985</v>
      </c>
      <c r="P108" s="41">
        <f t="shared" si="5"/>
        <v>-130.16769905643903</v>
      </c>
      <c r="Q108" s="41"/>
      <c r="R108" s="41"/>
    </row>
    <row r="109" spans="1:18" x14ac:dyDescent="0.25">
      <c r="A109" s="30">
        <v>275</v>
      </c>
      <c r="B109" s="31" t="s">
        <v>423</v>
      </c>
      <c r="C109" s="41">
        <v>71</v>
      </c>
      <c r="D109" s="41">
        <v>-39</v>
      </c>
      <c r="E109" s="41">
        <v>-10</v>
      </c>
      <c r="F109" s="41">
        <v>-28</v>
      </c>
      <c r="G109" s="41">
        <v>-35</v>
      </c>
      <c r="H109" s="41">
        <v>-224</v>
      </c>
      <c r="I109" s="165">
        <v>1002.0535</v>
      </c>
      <c r="J109" s="41">
        <v>-169.89212000000001</v>
      </c>
      <c r="K109" s="41">
        <v>-279.18729999999999</v>
      </c>
      <c r="L109" s="41">
        <v>48.5</v>
      </c>
      <c r="M109" s="41">
        <v>59</v>
      </c>
      <c r="N109" s="41">
        <v>16</v>
      </c>
      <c r="O109" s="41">
        <f t="shared" si="5"/>
        <v>16.560850094407712</v>
      </c>
      <c r="P109" s="41">
        <f t="shared" si="5"/>
        <v>17.058589441420466</v>
      </c>
      <c r="Q109" s="41"/>
      <c r="R109" s="41"/>
    </row>
    <row r="110" spans="1:18" x14ac:dyDescent="0.25">
      <c r="A110" s="30">
        <v>276</v>
      </c>
      <c r="B110" s="31" t="s">
        <v>424</v>
      </c>
      <c r="C110" s="41">
        <v>-562</v>
      </c>
      <c r="D110" s="41">
        <v>-467</v>
      </c>
      <c r="E110" s="41">
        <v>-384</v>
      </c>
      <c r="F110" s="41">
        <v>-240</v>
      </c>
      <c r="G110" s="41">
        <v>-144</v>
      </c>
      <c r="H110" s="41">
        <v>-90</v>
      </c>
      <c r="I110" s="165">
        <v>-108.00488</v>
      </c>
      <c r="J110" s="41">
        <v>-274.58777000000003</v>
      </c>
      <c r="K110" s="41">
        <v>-388.64742000000001</v>
      </c>
      <c r="L110" s="41">
        <v>-1210.5</v>
      </c>
      <c r="M110" s="41">
        <v>-1400</v>
      </c>
      <c r="N110" s="41">
        <v>-1650</v>
      </c>
      <c r="O110" s="41">
        <f t="shared" si="5"/>
        <v>-1707.8376659857954</v>
      </c>
      <c r="P110" s="41">
        <f t="shared" si="5"/>
        <v>-1759.1670361464858</v>
      </c>
      <c r="Q110" s="41"/>
      <c r="R110" s="41"/>
    </row>
    <row r="111" spans="1:18" x14ac:dyDescent="0.25">
      <c r="A111" s="30">
        <v>280</v>
      </c>
      <c r="B111" s="31" t="s">
        <v>425</v>
      </c>
      <c r="C111" s="41">
        <v>-16</v>
      </c>
      <c r="D111" s="41">
        <v>-35</v>
      </c>
      <c r="E111" s="41">
        <v>-15</v>
      </c>
      <c r="F111" s="41">
        <v>-21</v>
      </c>
      <c r="G111" s="41">
        <v>-12</v>
      </c>
      <c r="H111" s="41">
        <v>13</v>
      </c>
      <c r="I111" s="165">
        <v>3.5833200000000001</v>
      </c>
      <c r="J111" s="41">
        <v>-27.73086</v>
      </c>
      <c r="K111" s="41">
        <v>-107.99767</v>
      </c>
      <c r="L111" s="41">
        <v>-146.4</v>
      </c>
      <c r="M111" s="41">
        <v>-124.4</v>
      </c>
      <c r="N111" s="41">
        <v>-123.4</v>
      </c>
      <c r="O111" s="41">
        <f t="shared" si="5"/>
        <v>-127.72555635311949</v>
      </c>
      <c r="P111" s="41">
        <f t="shared" si="5"/>
        <v>-131.56437106695535</v>
      </c>
      <c r="Q111" s="41"/>
      <c r="R111" s="41"/>
    </row>
    <row r="112" spans="1:18" x14ac:dyDescent="0.25">
      <c r="A112" s="30">
        <v>284</v>
      </c>
      <c r="B112" s="31" t="s">
        <v>426</v>
      </c>
      <c r="C112" s="41">
        <v>37</v>
      </c>
      <c r="D112" s="41">
        <v>34</v>
      </c>
      <c r="E112" s="41">
        <v>27</v>
      </c>
      <c r="F112" s="41">
        <v>18</v>
      </c>
      <c r="G112" s="41">
        <v>19</v>
      </c>
      <c r="H112" s="41">
        <v>24</v>
      </c>
      <c r="I112" s="165">
        <v>23.49898</v>
      </c>
      <c r="J112" s="115">
        <v>18.199259999999999</v>
      </c>
      <c r="K112" s="115">
        <v>2.7324000000000002</v>
      </c>
      <c r="L112" s="41">
        <v>84.9</v>
      </c>
      <c r="M112" s="41">
        <v>86.227000000000004</v>
      </c>
      <c r="N112" s="41">
        <v>97.001999999999995</v>
      </c>
      <c r="O112" s="41">
        <f t="shared" si="5"/>
        <v>100.40222380360855</v>
      </c>
      <c r="P112" s="41">
        <f t="shared" si="5"/>
        <v>103.41983081229175</v>
      </c>
      <c r="Q112" s="41"/>
      <c r="R112" s="41"/>
    </row>
    <row r="113" spans="1:18" x14ac:dyDescent="0.25">
      <c r="A113" s="30">
        <v>285</v>
      </c>
      <c r="B113" s="31" t="s">
        <v>427</v>
      </c>
      <c r="C113" s="41">
        <v>2269</v>
      </c>
      <c r="D113" s="41">
        <v>1949</v>
      </c>
      <c r="E113" s="41">
        <v>1031</v>
      </c>
      <c r="F113" s="41">
        <v>186</v>
      </c>
      <c r="G113" s="41">
        <v>639</v>
      </c>
      <c r="H113" s="41">
        <v>1157</v>
      </c>
      <c r="I113" s="165">
        <v>2242.7050199999999</v>
      </c>
      <c r="J113" s="41">
        <v>2662.0510299999996</v>
      </c>
      <c r="K113" s="41">
        <v>1833.1608799999999</v>
      </c>
      <c r="L113" s="41">
        <v>-94.078000000000003</v>
      </c>
      <c r="M113" s="41">
        <v>1104.7280000000001</v>
      </c>
      <c r="N113" s="41">
        <v>1399.876</v>
      </c>
      <c r="O113" s="41">
        <f t="shared" si="5"/>
        <v>1448.9460366724431</v>
      </c>
      <c r="P113" s="41">
        <f t="shared" si="5"/>
        <v>1492.4943720561198</v>
      </c>
      <c r="Q113" s="41"/>
      <c r="R113" s="41"/>
    </row>
    <row r="114" spans="1:18" x14ac:dyDescent="0.25">
      <c r="A114" s="30">
        <v>286</v>
      </c>
      <c r="B114" s="31" t="s">
        <v>428</v>
      </c>
      <c r="C114" s="41">
        <v>8629</v>
      </c>
      <c r="D114" s="41">
        <v>6719</v>
      </c>
      <c r="E114" s="41">
        <v>8529</v>
      </c>
      <c r="F114" s="41">
        <v>6327</v>
      </c>
      <c r="G114" s="41">
        <v>7562</v>
      </c>
      <c r="H114" s="41">
        <v>9945</v>
      </c>
      <c r="I114" s="165">
        <v>11450.935460000001</v>
      </c>
      <c r="J114" s="41">
        <v>9075.7006999999994</v>
      </c>
      <c r="K114" s="41">
        <v>3656.6304399999999</v>
      </c>
      <c r="L114" s="41">
        <v>6321</v>
      </c>
      <c r="M114" s="41">
        <v>7221</v>
      </c>
      <c r="N114" s="41">
        <v>6721</v>
      </c>
      <c r="O114" s="41">
        <f t="shared" si="5"/>
        <v>6956.5920927821398</v>
      </c>
      <c r="P114" s="41">
        <f t="shared" si="5"/>
        <v>7165.6737272366854</v>
      </c>
      <c r="Q114" s="41"/>
      <c r="R114" s="41"/>
    </row>
    <row r="115" spans="1:18" x14ac:dyDescent="0.25">
      <c r="A115" s="30">
        <v>287</v>
      </c>
      <c r="B115" s="31" t="s">
        <v>429</v>
      </c>
      <c r="C115" s="41">
        <v>-563</v>
      </c>
      <c r="D115" s="41">
        <v>-374</v>
      </c>
      <c r="E115" s="41">
        <v>-362</v>
      </c>
      <c r="F115" s="41">
        <v>-309</v>
      </c>
      <c r="G115" s="41">
        <v>-305</v>
      </c>
      <c r="H115" s="41">
        <v>-415</v>
      </c>
      <c r="I115" s="165">
        <v>-185.96373</v>
      </c>
      <c r="J115" s="41">
        <v>-275.99694</v>
      </c>
      <c r="K115" s="41">
        <v>-285.73696000000001</v>
      </c>
      <c r="L115" s="41">
        <v>-395.7</v>
      </c>
      <c r="M115" s="41">
        <v>-500.7</v>
      </c>
      <c r="N115" s="41">
        <v>-600.70000000000005</v>
      </c>
      <c r="O115" s="41">
        <f t="shared" si="5"/>
        <v>-621.75641573191956</v>
      </c>
      <c r="P115" s="41">
        <f t="shared" si="5"/>
        <v>-640.44341734132968</v>
      </c>
      <c r="Q115" s="41"/>
      <c r="R115" s="41"/>
    </row>
    <row r="116" spans="1:18" x14ac:dyDescent="0.25">
      <c r="A116" s="30">
        <v>288</v>
      </c>
      <c r="B116" s="31" t="s">
        <v>430</v>
      </c>
      <c r="C116" s="41">
        <v>-346</v>
      </c>
      <c r="D116" s="41">
        <v>-123</v>
      </c>
      <c r="E116" s="41">
        <v>-105</v>
      </c>
      <c r="F116" s="41">
        <v>6</v>
      </c>
      <c r="G116" s="41">
        <v>-53</v>
      </c>
      <c r="H116" s="41">
        <v>-91</v>
      </c>
      <c r="I116" s="165">
        <v>-50.117170000000002</v>
      </c>
      <c r="J116" s="41">
        <v>-160.27622</v>
      </c>
      <c r="K116" s="41">
        <v>56.727550000000001</v>
      </c>
      <c r="L116" s="41">
        <v>-124.3</v>
      </c>
      <c r="M116" s="41">
        <v>-124.3</v>
      </c>
      <c r="N116" s="41">
        <v>-124.3</v>
      </c>
      <c r="O116" s="41">
        <f t="shared" si="5"/>
        <v>-128.6571041709299</v>
      </c>
      <c r="P116" s="41">
        <f t="shared" si="5"/>
        <v>-132.52391672303523</v>
      </c>
      <c r="Q116" s="41"/>
      <c r="R116" s="41"/>
    </row>
    <row r="117" spans="1:18" x14ac:dyDescent="0.25">
      <c r="A117" s="30">
        <v>290</v>
      </c>
      <c r="B117" s="31" t="s">
        <v>431</v>
      </c>
      <c r="C117" s="41">
        <v>543</v>
      </c>
      <c r="D117" s="41">
        <v>908</v>
      </c>
      <c r="E117" s="41">
        <v>1193</v>
      </c>
      <c r="F117" s="41">
        <v>-143</v>
      </c>
      <c r="G117" s="41">
        <v>1397</v>
      </c>
      <c r="H117" s="41">
        <v>524</v>
      </c>
      <c r="I117" s="165">
        <v>2834.5057599999996</v>
      </c>
      <c r="J117" s="41">
        <v>-183.90788000000001</v>
      </c>
      <c r="K117" s="41">
        <v>1080.5437899999999</v>
      </c>
      <c r="L117" s="41">
        <v>333.78199999999998</v>
      </c>
      <c r="M117" s="41">
        <v>449.21499999999997</v>
      </c>
      <c r="N117" s="41">
        <v>510.44200000000001</v>
      </c>
      <c r="O117" s="41">
        <f t="shared" si="5"/>
        <v>528.33459024310389</v>
      </c>
      <c r="P117" s="41">
        <f t="shared" si="5"/>
        <v>544.21378197859667</v>
      </c>
      <c r="Q117" s="41"/>
      <c r="R117" s="41"/>
    </row>
    <row r="118" spans="1:18" x14ac:dyDescent="0.25">
      <c r="A118" s="30">
        <v>291</v>
      </c>
      <c r="B118" s="31" t="s">
        <v>432</v>
      </c>
      <c r="C118" s="41">
        <v>63</v>
      </c>
      <c r="D118" s="41">
        <v>142</v>
      </c>
      <c r="E118" s="41">
        <v>109</v>
      </c>
      <c r="F118" s="41">
        <v>138</v>
      </c>
      <c r="G118" s="41">
        <v>261</v>
      </c>
      <c r="H118" s="41">
        <v>60</v>
      </c>
      <c r="I118" s="165">
        <v>-435.77030999999999</v>
      </c>
      <c r="J118" s="41">
        <v>27.222930000000002</v>
      </c>
      <c r="K118" s="41">
        <v>-130.81942999999998</v>
      </c>
      <c r="L118" s="41">
        <v>35</v>
      </c>
      <c r="M118" s="41">
        <v>37</v>
      </c>
      <c r="N118" s="41">
        <v>37</v>
      </c>
      <c r="O118" s="41">
        <f t="shared" si="5"/>
        <v>38.296965843317835</v>
      </c>
      <c r="P118" s="41">
        <f t="shared" si="5"/>
        <v>39.447988083284827</v>
      </c>
      <c r="Q118" s="41"/>
      <c r="R118" s="41"/>
    </row>
    <row r="119" spans="1:18" x14ac:dyDescent="0.25">
      <c r="A119" s="30">
        <v>297</v>
      </c>
      <c r="B119" s="31" t="s">
        <v>433</v>
      </c>
      <c r="C119" s="41">
        <v>5885</v>
      </c>
      <c r="D119" s="41">
        <v>6446</v>
      </c>
      <c r="E119" s="41">
        <v>6585</v>
      </c>
      <c r="F119" s="41">
        <v>13178</v>
      </c>
      <c r="G119" s="41">
        <v>9205</v>
      </c>
      <c r="H119" s="41">
        <v>12082</v>
      </c>
      <c r="I119" s="165">
        <v>11976.550800000001</v>
      </c>
      <c r="J119" s="41">
        <v>13135.991679999999</v>
      </c>
      <c r="K119" s="41">
        <v>4825.3593799999999</v>
      </c>
      <c r="L119" s="41">
        <v>7788</v>
      </c>
      <c r="M119" s="41">
        <v>5519</v>
      </c>
      <c r="N119" s="41">
        <v>3699</v>
      </c>
      <c r="O119" s="41">
        <f t="shared" si="5"/>
        <v>3828.661531200883</v>
      </c>
      <c r="P119" s="41">
        <f t="shared" si="5"/>
        <v>3943.732646488394</v>
      </c>
      <c r="Q119" s="41"/>
      <c r="R119" s="41"/>
    </row>
    <row r="120" spans="1:18" x14ac:dyDescent="0.25">
      <c r="A120" s="30">
        <v>300</v>
      </c>
      <c r="B120" s="31" t="s">
        <v>434</v>
      </c>
      <c r="C120" s="41">
        <v>28</v>
      </c>
      <c r="D120" s="41">
        <v>26</v>
      </c>
      <c r="E120" s="41">
        <v>-129</v>
      </c>
      <c r="F120" s="41">
        <v>176</v>
      </c>
      <c r="G120" s="41">
        <v>1</v>
      </c>
      <c r="H120" s="41">
        <v>4</v>
      </c>
      <c r="I120" s="165">
        <v>33.769649999999999</v>
      </c>
      <c r="J120" s="41">
        <v>63.633489999999995</v>
      </c>
      <c r="K120" s="41">
        <v>-142.87130999999999</v>
      </c>
      <c r="L120" s="41">
        <v>-109.8</v>
      </c>
      <c r="M120" s="41">
        <v>-111</v>
      </c>
      <c r="N120" s="41">
        <v>-111</v>
      </c>
      <c r="O120" s="41">
        <f t="shared" si="5"/>
        <v>-114.89089752995351</v>
      </c>
      <c r="P120" s="41">
        <f t="shared" si="5"/>
        <v>-118.34396424985449</v>
      </c>
      <c r="Q120" s="41"/>
      <c r="R120" s="41"/>
    </row>
    <row r="121" spans="1:18" x14ac:dyDescent="0.25">
      <c r="A121" s="30">
        <v>301</v>
      </c>
      <c r="B121" s="31" t="s">
        <v>435</v>
      </c>
      <c r="C121" s="41">
        <v>9076</v>
      </c>
      <c r="D121" s="41">
        <v>7138</v>
      </c>
      <c r="E121" s="41">
        <v>8871</v>
      </c>
      <c r="F121" s="41">
        <v>9577</v>
      </c>
      <c r="G121" s="41">
        <v>10725</v>
      </c>
      <c r="H121" s="41">
        <v>12200</v>
      </c>
      <c r="I121" s="165">
        <v>11321.26216</v>
      </c>
      <c r="J121" s="41">
        <v>11597.75474</v>
      </c>
      <c r="K121" s="41">
        <v>11768.784439999999</v>
      </c>
      <c r="L121" s="41">
        <v>7039.54</v>
      </c>
      <c r="M121" s="41">
        <v>6596.24</v>
      </c>
      <c r="N121" s="41">
        <v>5763.85</v>
      </c>
      <c r="O121" s="41">
        <f t="shared" si="5"/>
        <v>5965.8909885407438</v>
      </c>
      <c r="P121" s="41">
        <f t="shared" si="5"/>
        <v>6145.19692199571</v>
      </c>
      <c r="Q121" s="41"/>
      <c r="R121" s="41"/>
    </row>
    <row r="122" spans="1:18" x14ac:dyDescent="0.25">
      <c r="A122" s="30">
        <v>304</v>
      </c>
      <c r="B122" s="31" t="s">
        <v>436</v>
      </c>
      <c r="C122" s="41">
        <v>-22</v>
      </c>
      <c r="D122" s="41">
        <v>-20</v>
      </c>
      <c r="E122" s="41">
        <v>-21</v>
      </c>
      <c r="F122" s="41">
        <v>-30</v>
      </c>
      <c r="G122" s="41">
        <v>-20</v>
      </c>
      <c r="H122" s="41">
        <v>-18</v>
      </c>
      <c r="I122" s="165">
        <v>-11.97531</v>
      </c>
      <c r="J122" s="41">
        <v>-7.8669899999999995</v>
      </c>
      <c r="K122" s="41">
        <v>-33.866250000000001</v>
      </c>
      <c r="L122" s="41">
        <v>-37.5</v>
      </c>
      <c r="M122" s="41">
        <v>-37.5</v>
      </c>
      <c r="N122" s="41">
        <v>-37.5</v>
      </c>
      <c r="O122" s="41">
        <f t="shared" si="5"/>
        <v>-38.814492408768075</v>
      </c>
      <c r="P122" s="41">
        <f t="shared" si="5"/>
        <v>-39.981069003329218</v>
      </c>
      <c r="Q122" s="41"/>
      <c r="R122" s="41"/>
    </row>
    <row r="123" spans="1:18" x14ac:dyDescent="0.25">
      <c r="A123" s="30">
        <v>305</v>
      </c>
      <c r="B123" s="31" t="s">
        <v>437</v>
      </c>
      <c r="C123" s="41">
        <v>1050</v>
      </c>
      <c r="D123" s="41">
        <v>929</v>
      </c>
      <c r="E123" s="41">
        <v>302</v>
      </c>
      <c r="F123" s="41">
        <v>-358</v>
      </c>
      <c r="G123" s="41">
        <v>1290</v>
      </c>
      <c r="H123" s="41">
        <v>-214</v>
      </c>
      <c r="I123" s="165">
        <v>495.39321000000001</v>
      </c>
      <c r="J123" s="41">
        <v>-1335.7521100000001</v>
      </c>
      <c r="K123" s="41">
        <v>-358.28640999999999</v>
      </c>
      <c r="L123" s="41">
        <v>-300</v>
      </c>
      <c r="M123" s="41">
        <v>-300</v>
      </c>
      <c r="N123" s="41">
        <v>-300</v>
      </c>
      <c r="O123" s="41">
        <f t="shared" si="5"/>
        <v>-310.5159392701446</v>
      </c>
      <c r="P123" s="41">
        <f t="shared" si="5"/>
        <v>-319.84855202663374</v>
      </c>
      <c r="Q123" s="41"/>
      <c r="R123" s="41"/>
    </row>
    <row r="124" spans="1:18" x14ac:dyDescent="0.25">
      <c r="A124" s="30">
        <v>309</v>
      </c>
      <c r="B124" s="31" t="s">
        <v>438</v>
      </c>
      <c r="C124" s="41">
        <v>320</v>
      </c>
      <c r="D124" s="41">
        <v>371</v>
      </c>
      <c r="E124" s="41">
        <v>399</v>
      </c>
      <c r="F124" s="41">
        <v>423</v>
      </c>
      <c r="G124" s="41">
        <v>701</v>
      </c>
      <c r="H124" s="41">
        <v>30252</v>
      </c>
      <c r="I124" s="165">
        <v>666.75255000000004</v>
      </c>
      <c r="J124" s="41">
        <v>-3937.6396600000003</v>
      </c>
      <c r="K124" s="41">
        <v>1414.1240299999999</v>
      </c>
      <c r="L124" s="41">
        <v>1366.0830000000001</v>
      </c>
      <c r="M124" s="41">
        <v>1020.72</v>
      </c>
      <c r="N124" s="41">
        <v>1081.5719999999999</v>
      </c>
      <c r="O124" s="41">
        <f t="shared" si="5"/>
        <v>1119.484484894296</v>
      </c>
      <c r="P124" s="41">
        <f t="shared" si="5"/>
        <v>1153.130793708501</v>
      </c>
      <c r="Q124" s="41"/>
      <c r="R124" s="41"/>
    </row>
    <row r="125" spans="1:18" x14ac:dyDescent="0.25">
      <c r="A125" s="30">
        <v>312</v>
      </c>
      <c r="B125" s="31" t="s">
        <v>439</v>
      </c>
      <c r="C125" s="41">
        <v>419</v>
      </c>
      <c r="D125" s="41">
        <v>104</v>
      </c>
      <c r="E125" s="41">
        <v>358</v>
      </c>
      <c r="F125" s="41">
        <v>443</v>
      </c>
      <c r="G125" s="41">
        <v>473</v>
      </c>
      <c r="H125" s="41">
        <v>235</v>
      </c>
      <c r="I125" s="165">
        <v>74.922039999999996</v>
      </c>
      <c r="J125" s="41">
        <v>-128.68009000000001</v>
      </c>
      <c r="K125" s="41">
        <v>-28.494910000000001</v>
      </c>
      <c r="L125" s="41">
        <v>100.1</v>
      </c>
      <c r="M125" s="41">
        <v>50</v>
      </c>
      <c r="N125" s="41">
        <v>50</v>
      </c>
      <c r="O125" s="41">
        <f t="shared" si="5"/>
        <v>51.752656545024102</v>
      </c>
      <c r="P125" s="41">
        <f t="shared" si="5"/>
        <v>53.308092004438961</v>
      </c>
      <c r="Q125" s="41"/>
      <c r="R125" s="41"/>
    </row>
    <row r="126" spans="1:18" x14ac:dyDescent="0.25">
      <c r="A126" s="30">
        <v>316</v>
      </c>
      <c r="B126" s="31" t="s">
        <v>440</v>
      </c>
      <c r="C126" s="41">
        <v>-138</v>
      </c>
      <c r="D126" s="41">
        <v>-69</v>
      </c>
      <c r="E126" s="41">
        <v>-94</v>
      </c>
      <c r="F126" s="41">
        <v>-62</v>
      </c>
      <c r="G126" s="41">
        <v>65</v>
      </c>
      <c r="H126" s="41">
        <v>162</v>
      </c>
      <c r="I126" s="165">
        <v>93.543309999999991</v>
      </c>
      <c r="J126" s="41">
        <v>74.621880000000004</v>
      </c>
      <c r="K126" s="41">
        <v>-390.74152000000004</v>
      </c>
      <c r="L126" s="41">
        <v>-444.44</v>
      </c>
      <c r="M126" s="41">
        <v>-443.34</v>
      </c>
      <c r="N126" s="41">
        <v>-443.34</v>
      </c>
      <c r="O126" s="41">
        <f t="shared" si="5"/>
        <v>-458.88045505341967</v>
      </c>
      <c r="P126" s="41">
        <f t="shared" si="5"/>
        <v>-472.67219018495933</v>
      </c>
      <c r="Q126" s="41"/>
      <c r="R126" s="41"/>
    </row>
    <row r="127" spans="1:18" x14ac:dyDescent="0.25">
      <c r="A127" s="30">
        <v>317</v>
      </c>
      <c r="B127" s="31" t="s">
        <v>441</v>
      </c>
      <c r="C127" s="41">
        <v>220</v>
      </c>
      <c r="D127" s="41">
        <v>151</v>
      </c>
      <c r="E127" s="41">
        <v>408</v>
      </c>
      <c r="F127" s="41">
        <v>205</v>
      </c>
      <c r="G127" s="41">
        <v>589</v>
      </c>
      <c r="H127" s="41">
        <v>853</v>
      </c>
      <c r="I127" s="165">
        <v>742.05107999999996</v>
      </c>
      <c r="J127" s="41">
        <v>-378.03107</v>
      </c>
      <c r="K127" s="41">
        <v>324.91039000000001</v>
      </c>
      <c r="L127" s="41">
        <v>-11.5</v>
      </c>
      <c r="M127" s="41">
        <v>58.5</v>
      </c>
      <c r="N127" s="41">
        <v>83.5</v>
      </c>
      <c r="O127" s="41">
        <f t="shared" si="5"/>
        <v>86.426936430190253</v>
      </c>
      <c r="P127" s="41">
        <f t="shared" si="5"/>
        <v>89.024513647413059</v>
      </c>
      <c r="Q127" s="41"/>
      <c r="R127" s="41"/>
    </row>
    <row r="128" spans="1:18" x14ac:dyDescent="0.25">
      <c r="A128" s="30">
        <v>320</v>
      </c>
      <c r="B128" s="31" t="s">
        <v>442</v>
      </c>
      <c r="C128" s="41">
        <v>634</v>
      </c>
      <c r="D128" s="41">
        <v>1243</v>
      </c>
      <c r="E128" s="41">
        <v>1183</v>
      </c>
      <c r="F128" s="41">
        <v>1507</v>
      </c>
      <c r="G128" s="41">
        <v>3756</v>
      </c>
      <c r="H128" s="41">
        <v>1058</v>
      </c>
      <c r="I128" s="165">
        <v>3104.721</v>
      </c>
      <c r="J128" s="41">
        <v>8007.2939000000006</v>
      </c>
      <c r="K128" s="41">
        <v>2084.8104600000001</v>
      </c>
      <c r="L128" s="41">
        <v>1912.3</v>
      </c>
      <c r="M128" s="41">
        <v>1805</v>
      </c>
      <c r="N128" s="41">
        <v>1715</v>
      </c>
      <c r="O128" s="41">
        <f t="shared" si="5"/>
        <v>1775.1161194943265</v>
      </c>
      <c r="P128" s="41">
        <f t="shared" si="5"/>
        <v>1828.4675557522562</v>
      </c>
      <c r="Q128" s="41"/>
      <c r="R128" s="41"/>
    </row>
    <row r="129" spans="1:18" x14ac:dyDescent="0.25">
      <c r="A129" s="30">
        <v>322</v>
      </c>
      <c r="B129" s="31" t="s">
        <v>443</v>
      </c>
      <c r="C129" s="41">
        <v>-183</v>
      </c>
      <c r="D129" s="41">
        <v>-197</v>
      </c>
      <c r="E129" s="41">
        <v>-169</v>
      </c>
      <c r="F129" s="41">
        <v>-153</v>
      </c>
      <c r="G129" s="41">
        <v>-140</v>
      </c>
      <c r="H129" s="41">
        <v>-113</v>
      </c>
      <c r="I129" s="165">
        <v>-117.04886999999999</v>
      </c>
      <c r="J129" s="41">
        <v>-93.990100000000012</v>
      </c>
      <c r="K129" s="41">
        <v>-146.28614000000002</v>
      </c>
      <c r="L129" s="41">
        <v>-304</v>
      </c>
      <c r="M129" s="41">
        <v>-347</v>
      </c>
      <c r="N129" s="41">
        <v>-344</v>
      </c>
      <c r="O129" s="41">
        <f t="shared" si="5"/>
        <v>-356.0582770297658</v>
      </c>
      <c r="P129" s="41">
        <f t="shared" si="5"/>
        <v>-366.75967299054003</v>
      </c>
      <c r="Q129" s="41"/>
      <c r="R129" s="41"/>
    </row>
    <row r="130" spans="1:18" x14ac:dyDescent="0.25">
      <c r="A130" s="30">
        <v>398</v>
      </c>
      <c r="B130" s="31" t="s">
        <v>444</v>
      </c>
      <c r="C130" s="41">
        <v>5862</v>
      </c>
      <c r="D130" s="41">
        <v>4538</v>
      </c>
      <c r="E130" s="41">
        <v>11756</v>
      </c>
      <c r="F130" s="41">
        <v>11373</v>
      </c>
      <c r="G130" s="41">
        <v>8694</v>
      </c>
      <c r="H130" s="41">
        <v>12672</v>
      </c>
      <c r="I130" s="165">
        <v>12240.444449999999</v>
      </c>
      <c r="J130" s="41">
        <v>4296.4765499999994</v>
      </c>
      <c r="K130" s="41">
        <v>1044.2620899999999</v>
      </c>
      <c r="L130" s="41">
        <v>-5560.6</v>
      </c>
      <c r="M130" s="41">
        <v>-2718.3</v>
      </c>
      <c r="N130" s="41">
        <v>2655.4</v>
      </c>
      <c r="O130" s="41">
        <f t="shared" si="5"/>
        <v>2748.4800837931402</v>
      </c>
      <c r="P130" s="41">
        <f t="shared" si="5"/>
        <v>2831.0861501717445</v>
      </c>
      <c r="Q130" s="41"/>
      <c r="R130" s="41"/>
    </row>
    <row r="131" spans="1:18" x14ac:dyDescent="0.25">
      <c r="A131" s="30">
        <v>399</v>
      </c>
      <c r="B131" s="31" t="s">
        <v>445</v>
      </c>
      <c r="C131" s="41">
        <v>-102</v>
      </c>
      <c r="D131" s="41">
        <v>-109</v>
      </c>
      <c r="E131" s="41">
        <v>-146</v>
      </c>
      <c r="F131" s="41">
        <v>19</v>
      </c>
      <c r="G131" s="41">
        <v>-63</v>
      </c>
      <c r="H131" s="41">
        <v>-84</v>
      </c>
      <c r="I131" s="165">
        <v>-20.024519999999999</v>
      </c>
      <c r="J131" s="41">
        <v>-0.73287999999999998</v>
      </c>
      <c r="K131" s="41">
        <v>-560.40256999999997</v>
      </c>
      <c r="L131" s="41">
        <v>-698.4</v>
      </c>
      <c r="M131" s="41">
        <v>-750</v>
      </c>
      <c r="N131" s="41">
        <v>-750</v>
      </c>
      <c r="O131" s="41">
        <f t="shared" si="5"/>
        <v>-776.2898481753615</v>
      </c>
      <c r="P131" s="41">
        <f t="shared" si="5"/>
        <v>-799.62138006658438</v>
      </c>
      <c r="Q131" s="41"/>
      <c r="R131" s="41"/>
    </row>
    <row r="132" spans="1:18" x14ac:dyDescent="0.25">
      <c r="A132" s="30">
        <v>400</v>
      </c>
      <c r="B132" s="31" t="s">
        <v>446</v>
      </c>
      <c r="C132" s="41">
        <v>30</v>
      </c>
      <c r="D132" s="41">
        <v>34</v>
      </c>
      <c r="E132" s="41">
        <v>79</v>
      </c>
      <c r="F132" s="41">
        <v>83</v>
      </c>
      <c r="G132" s="41">
        <v>2</v>
      </c>
      <c r="H132" s="41">
        <v>63</v>
      </c>
      <c r="I132" s="165">
        <v>28.628240000000002</v>
      </c>
      <c r="J132" s="41">
        <v>3.3469899999999999</v>
      </c>
      <c r="K132" s="41">
        <v>-294.86283000000003</v>
      </c>
      <c r="L132" s="41">
        <v>-434.28</v>
      </c>
      <c r="M132" s="41">
        <v>-503.61</v>
      </c>
      <c r="N132" s="41">
        <v>-544.19000000000005</v>
      </c>
      <c r="O132" s="41">
        <f t="shared" si="5"/>
        <v>-563.2655633047334</v>
      </c>
      <c r="P132" s="41">
        <f t="shared" si="5"/>
        <v>-580.19461175791287</v>
      </c>
      <c r="Q132" s="41"/>
      <c r="R132" s="41"/>
    </row>
    <row r="133" spans="1:18" x14ac:dyDescent="0.25">
      <c r="A133" s="30">
        <v>402</v>
      </c>
      <c r="B133" s="31" t="s">
        <v>447</v>
      </c>
      <c r="C133" s="41">
        <v>996</v>
      </c>
      <c r="D133" s="41">
        <v>770</v>
      </c>
      <c r="E133" s="41">
        <v>1080</v>
      </c>
      <c r="F133" s="41">
        <v>996</v>
      </c>
      <c r="G133" s="41">
        <v>1124</v>
      </c>
      <c r="H133" s="41">
        <v>1065</v>
      </c>
      <c r="I133" s="165">
        <v>1100.23542</v>
      </c>
      <c r="J133" s="41">
        <v>1385.07843</v>
      </c>
      <c r="K133" s="41">
        <v>467.7765</v>
      </c>
      <c r="L133" s="41">
        <v>725</v>
      </c>
      <c r="M133" s="41">
        <v>7000</v>
      </c>
      <c r="N133" s="41">
        <v>700</v>
      </c>
      <c r="O133" s="41">
        <f t="shared" si="5"/>
        <v>724.53719163033736</v>
      </c>
      <c r="P133" s="41">
        <f t="shared" si="5"/>
        <v>746.31328806214538</v>
      </c>
      <c r="Q133" s="41"/>
      <c r="R133" s="41"/>
    </row>
    <row r="134" spans="1:18" x14ac:dyDescent="0.25">
      <c r="A134" s="30">
        <v>403</v>
      </c>
      <c r="B134" s="31" t="s">
        <v>448</v>
      </c>
      <c r="C134" s="41">
        <v>-89</v>
      </c>
      <c r="D134" s="41">
        <v>-80</v>
      </c>
      <c r="E134" s="41">
        <v>-76</v>
      </c>
      <c r="F134" s="41">
        <v>15</v>
      </c>
      <c r="G134" s="41">
        <v>-3</v>
      </c>
      <c r="H134" s="41">
        <v>-2</v>
      </c>
      <c r="I134" s="165">
        <v>35.252960000000002</v>
      </c>
      <c r="J134" s="41">
        <v>-5.6312499999999996</v>
      </c>
      <c r="K134" s="41">
        <v>-409.95801</v>
      </c>
      <c r="L134" s="41">
        <v>-392.05</v>
      </c>
      <c r="M134" s="41">
        <v>-391</v>
      </c>
      <c r="N134" s="41">
        <v>-391</v>
      </c>
      <c r="O134" s="41">
        <f t="shared" si="5"/>
        <v>-404.70577418208848</v>
      </c>
      <c r="P134" s="41">
        <f t="shared" si="5"/>
        <v>-416.86927947471264</v>
      </c>
      <c r="Q134" s="41"/>
      <c r="R134" s="41"/>
    </row>
    <row r="135" spans="1:18" x14ac:dyDescent="0.25">
      <c r="A135" s="30">
        <v>405</v>
      </c>
      <c r="B135" s="31" t="s">
        <v>449</v>
      </c>
      <c r="C135" s="41">
        <v>11406</v>
      </c>
      <c r="D135" s="41">
        <v>11457</v>
      </c>
      <c r="E135" s="41">
        <v>9247</v>
      </c>
      <c r="F135" s="41">
        <v>9910</v>
      </c>
      <c r="G135" s="41">
        <v>10714</v>
      </c>
      <c r="H135" s="41">
        <v>9264</v>
      </c>
      <c r="I135" s="165">
        <v>9717.2811700000002</v>
      </c>
      <c r="J135" s="41">
        <v>10241.591199999999</v>
      </c>
      <c r="K135" s="41">
        <v>11009.57849</v>
      </c>
      <c r="L135" s="41">
        <v>5400</v>
      </c>
      <c r="M135" s="41">
        <v>4000</v>
      </c>
      <c r="N135" s="41">
        <v>3000</v>
      </c>
      <c r="O135" s="41">
        <f t="shared" si="5"/>
        <v>3105.159392701446</v>
      </c>
      <c r="P135" s="41">
        <f t="shared" si="5"/>
        <v>3198.4855202663375</v>
      </c>
      <c r="Q135" s="41"/>
      <c r="R135" s="41"/>
    </row>
    <row r="136" spans="1:18" x14ac:dyDescent="0.25">
      <c r="A136" s="30">
        <v>407</v>
      </c>
      <c r="B136" s="31" t="s">
        <v>450</v>
      </c>
      <c r="C136" s="41">
        <v>691</v>
      </c>
      <c r="D136" s="41">
        <v>736</v>
      </c>
      <c r="E136" s="41">
        <v>742</v>
      </c>
      <c r="F136" s="41">
        <v>803</v>
      </c>
      <c r="G136" s="41">
        <v>822</v>
      </c>
      <c r="H136" s="41">
        <v>943</v>
      </c>
      <c r="I136" s="165">
        <v>837.88970999999992</v>
      </c>
      <c r="J136" s="41">
        <v>268.32907</v>
      </c>
      <c r="K136" s="41">
        <v>311.54419000000001</v>
      </c>
      <c r="L136" s="41">
        <v>450</v>
      </c>
      <c r="M136" s="41">
        <v>450</v>
      </c>
      <c r="N136" s="41">
        <v>450</v>
      </c>
      <c r="O136" s="41">
        <f t="shared" si="5"/>
        <v>465.7739089052169</v>
      </c>
      <c r="P136" s="41">
        <f t="shared" si="5"/>
        <v>479.77282803995064</v>
      </c>
      <c r="Q136" s="41"/>
      <c r="R136" s="41"/>
    </row>
    <row r="137" spans="1:18" x14ac:dyDescent="0.25">
      <c r="A137" s="30">
        <v>408</v>
      </c>
      <c r="B137" s="31" t="s">
        <v>451</v>
      </c>
      <c r="C137" s="41">
        <v>-168</v>
      </c>
      <c r="D137" s="41">
        <v>-187</v>
      </c>
      <c r="E137" s="41">
        <v>-252</v>
      </c>
      <c r="F137" s="41">
        <v>9</v>
      </c>
      <c r="G137" s="41">
        <v>-93</v>
      </c>
      <c r="H137" s="41">
        <v>-257</v>
      </c>
      <c r="I137" s="165">
        <v>-165.42463000000001</v>
      </c>
      <c r="J137" s="41">
        <v>2.8253000000000004</v>
      </c>
      <c r="K137" s="41">
        <v>-862.79271999999992</v>
      </c>
      <c r="L137" s="41">
        <v>-1566.5</v>
      </c>
      <c r="M137" s="41">
        <v>-2082.3000000000002</v>
      </c>
      <c r="N137" s="41">
        <v>-2180.5</v>
      </c>
      <c r="O137" s="41">
        <f t="shared" si="5"/>
        <v>-2256.933351928501</v>
      </c>
      <c r="P137" s="41">
        <f t="shared" si="5"/>
        <v>-2324.7658923135828</v>
      </c>
      <c r="Q137" s="41"/>
      <c r="R137" s="41"/>
    </row>
    <row r="138" spans="1:18" x14ac:dyDescent="0.25">
      <c r="A138" s="30">
        <v>410</v>
      </c>
      <c r="B138" s="31" t="s">
        <v>452</v>
      </c>
      <c r="C138" s="41">
        <v>616</v>
      </c>
      <c r="D138" s="41">
        <v>820</v>
      </c>
      <c r="E138" s="41">
        <v>923</v>
      </c>
      <c r="F138" s="41">
        <v>1251</v>
      </c>
      <c r="G138" s="41">
        <v>800</v>
      </c>
      <c r="H138" s="41">
        <v>556</v>
      </c>
      <c r="I138" s="165">
        <v>629.32393000000002</v>
      </c>
      <c r="J138" s="41">
        <v>495.99892</v>
      </c>
      <c r="K138" s="41">
        <v>-1104.7681299999999</v>
      </c>
      <c r="L138" s="41">
        <v>-2685</v>
      </c>
      <c r="M138" s="41">
        <v>-2565</v>
      </c>
      <c r="N138" s="41">
        <v>-1915</v>
      </c>
      <c r="O138" s="41">
        <f t="shared" si="5"/>
        <v>-1982.1267456744231</v>
      </c>
      <c r="P138" s="41">
        <f t="shared" si="5"/>
        <v>-2041.6999237700122</v>
      </c>
      <c r="Q138" s="41"/>
      <c r="R138" s="41"/>
    </row>
    <row r="139" spans="1:18" x14ac:dyDescent="0.25">
      <c r="A139" s="30">
        <v>416</v>
      </c>
      <c r="B139" s="31" t="s">
        <v>453</v>
      </c>
      <c r="C139" s="41">
        <v>-69</v>
      </c>
      <c r="D139" s="41">
        <v>-51</v>
      </c>
      <c r="E139" s="41">
        <v>-11</v>
      </c>
      <c r="F139" s="41">
        <v>-10</v>
      </c>
      <c r="G139" s="41">
        <v>-60</v>
      </c>
      <c r="H139" s="41">
        <v>-66</v>
      </c>
      <c r="I139" s="165">
        <v>-68.872439999999997</v>
      </c>
      <c r="J139" s="41">
        <v>-54.214550000000003</v>
      </c>
      <c r="K139" s="41">
        <v>-61.029489999999996</v>
      </c>
      <c r="L139" s="41">
        <v>-111.6</v>
      </c>
      <c r="M139" s="41">
        <v>-147.1</v>
      </c>
      <c r="N139" s="41">
        <v>-127</v>
      </c>
      <c r="O139" s="41">
        <f t="shared" si="5"/>
        <v>-131.45174762436122</v>
      </c>
      <c r="P139" s="41">
        <f t="shared" si="5"/>
        <v>-135.40255369127496</v>
      </c>
      <c r="Q139" s="41"/>
      <c r="R139" s="41"/>
    </row>
    <row r="140" spans="1:18" x14ac:dyDescent="0.25">
      <c r="A140" s="30">
        <v>418</v>
      </c>
      <c r="B140" s="31" t="s">
        <v>454</v>
      </c>
      <c r="C140" s="41">
        <v>-243</v>
      </c>
      <c r="D140" s="41">
        <v>-330</v>
      </c>
      <c r="E140" s="41">
        <v>253</v>
      </c>
      <c r="F140" s="41">
        <v>264</v>
      </c>
      <c r="G140" s="41">
        <v>380</v>
      </c>
      <c r="H140" s="41">
        <v>631</v>
      </c>
      <c r="I140" s="165">
        <v>419.83287000000001</v>
      </c>
      <c r="J140" s="41">
        <v>273.76448999999997</v>
      </c>
      <c r="K140" s="41">
        <v>-924.96861000000001</v>
      </c>
      <c r="L140" s="41">
        <v>-576</v>
      </c>
      <c r="M140" s="41">
        <v>-1341</v>
      </c>
      <c r="N140" s="41">
        <v>-1724</v>
      </c>
      <c r="O140" s="41">
        <f t="shared" si="5"/>
        <v>-1784.4315976724311</v>
      </c>
      <c r="P140" s="41">
        <f t="shared" si="5"/>
        <v>-1838.0630123130554</v>
      </c>
      <c r="Q140" s="41"/>
      <c r="R140" s="41"/>
    </row>
    <row r="141" spans="1:18" x14ac:dyDescent="0.25">
      <c r="A141" s="30">
        <v>420</v>
      </c>
      <c r="B141" s="31" t="s">
        <v>455</v>
      </c>
      <c r="C141" s="41">
        <v>508</v>
      </c>
      <c r="D141" s="41">
        <v>264</v>
      </c>
      <c r="E141" s="41">
        <v>622</v>
      </c>
      <c r="F141" s="41">
        <v>523</v>
      </c>
      <c r="G141" s="41">
        <v>679</v>
      </c>
      <c r="H141" s="41">
        <v>667</v>
      </c>
      <c r="I141" s="165">
        <v>795.34255000000007</v>
      </c>
      <c r="J141" s="41">
        <v>798.39751999999999</v>
      </c>
      <c r="K141" s="41">
        <v>1116.2278100000001</v>
      </c>
      <c r="L141" s="41">
        <v>521</v>
      </c>
      <c r="M141" s="41">
        <v>521</v>
      </c>
      <c r="N141" s="41">
        <v>521</v>
      </c>
      <c r="O141" s="41">
        <f t="shared" si="5"/>
        <v>539.26268119915107</v>
      </c>
      <c r="P141" s="41">
        <f t="shared" si="5"/>
        <v>555.4703186862539</v>
      </c>
      <c r="Q141" s="41"/>
      <c r="R141" s="41"/>
    </row>
    <row r="142" spans="1:18" x14ac:dyDescent="0.25">
      <c r="A142" s="30">
        <v>421</v>
      </c>
      <c r="B142" s="31" t="s">
        <v>456</v>
      </c>
      <c r="C142" s="41">
        <v>-17</v>
      </c>
      <c r="D142" s="41">
        <v>-13</v>
      </c>
      <c r="E142" s="41">
        <v>-17</v>
      </c>
      <c r="F142" s="41">
        <v>-23</v>
      </c>
      <c r="G142" s="41">
        <v>-24</v>
      </c>
      <c r="H142" s="41">
        <v>-15</v>
      </c>
      <c r="I142" s="165">
        <v>-4.2513100000000001</v>
      </c>
      <c r="J142" s="41">
        <v>4.2949999999999999</v>
      </c>
      <c r="K142" s="41">
        <v>-156.37970999999999</v>
      </c>
      <c r="L142" s="41">
        <v>-217.68306000000001</v>
      </c>
      <c r="M142" s="41">
        <v>-211.17232000000001</v>
      </c>
      <c r="N142" s="41">
        <v>-204.66158999999999</v>
      </c>
      <c r="O142" s="41">
        <f t="shared" si="5"/>
        <v>-211.83561950457076</v>
      </c>
      <c r="P142" s="41">
        <f t="shared" si="5"/>
        <v>-218.20237738989528</v>
      </c>
      <c r="Q142" s="41"/>
      <c r="R142" s="41"/>
    </row>
    <row r="143" spans="1:18" x14ac:dyDescent="0.25">
      <c r="A143" s="30">
        <v>422</v>
      </c>
      <c r="B143" s="31" t="s">
        <v>457</v>
      </c>
      <c r="C143" s="41">
        <v>506</v>
      </c>
      <c r="D143" s="41">
        <v>489</v>
      </c>
      <c r="E143" s="41">
        <v>516</v>
      </c>
      <c r="F143" s="41">
        <v>547</v>
      </c>
      <c r="G143" s="41">
        <v>567</v>
      </c>
      <c r="H143" s="41">
        <v>597</v>
      </c>
      <c r="I143" s="165">
        <v>461.58891999999997</v>
      </c>
      <c r="J143" s="41">
        <v>640.54006000000004</v>
      </c>
      <c r="K143" s="41">
        <v>1336.9258799999998</v>
      </c>
      <c r="L143" s="41">
        <v>1025</v>
      </c>
      <c r="M143" s="41">
        <v>865</v>
      </c>
      <c r="N143" s="41">
        <v>890</v>
      </c>
      <c r="O143" s="41">
        <f t="shared" si="5"/>
        <v>921.19728650142895</v>
      </c>
      <c r="P143" s="41">
        <f t="shared" si="5"/>
        <v>948.88403767901343</v>
      </c>
      <c r="Q143" s="41"/>
      <c r="R143" s="41"/>
    </row>
    <row r="144" spans="1:18" x14ac:dyDescent="0.25">
      <c r="A144" s="30">
        <v>423</v>
      </c>
      <c r="B144" s="31" t="s">
        <v>458</v>
      </c>
      <c r="C144" s="41">
        <v>-545</v>
      </c>
      <c r="D144" s="41">
        <v>-322</v>
      </c>
      <c r="E144" s="41">
        <v>-267</v>
      </c>
      <c r="F144" s="41">
        <v>-304</v>
      </c>
      <c r="G144" s="41">
        <v>-318</v>
      </c>
      <c r="H144" s="41">
        <v>-188</v>
      </c>
      <c r="I144" s="165">
        <v>-120.47744</v>
      </c>
      <c r="J144" s="41">
        <v>-446.43738000000002</v>
      </c>
      <c r="K144" s="41">
        <v>-329.31294000000003</v>
      </c>
      <c r="L144" s="41">
        <v>-1478.4929999999999</v>
      </c>
      <c r="M144" s="41">
        <v>-1780</v>
      </c>
      <c r="N144" s="41">
        <v>-2131</v>
      </c>
      <c r="O144" s="41">
        <f t="shared" ref="O144:P207" si="6">N144*O$5</f>
        <v>-2205.6982219489273</v>
      </c>
      <c r="P144" s="41">
        <f t="shared" si="6"/>
        <v>-2271.9908812291887</v>
      </c>
      <c r="Q144" s="41"/>
      <c r="R144" s="41"/>
    </row>
    <row r="145" spans="1:18" x14ac:dyDescent="0.25">
      <c r="A145" s="30">
        <v>425</v>
      </c>
      <c r="B145" s="31" t="s">
        <v>459</v>
      </c>
      <c r="C145" s="41">
        <v>-136</v>
      </c>
      <c r="D145" s="41">
        <v>-147</v>
      </c>
      <c r="E145" s="41">
        <v>-66</v>
      </c>
      <c r="F145" s="41">
        <v>-121</v>
      </c>
      <c r="G145" s="41">
        <v>-138</v>
      </c>
      <c r="H145" s="41">
        <v>-120</v>
      </c>
      <c r="I145" s="165">
        <v>-73.988249999999994</v>
      </c>
      <c r="J145" s="41">
        <v>-122.39863000000001</v>
      </c>
      <c r="K145" s="41">
        <v>-596.27267000000006</v>
      </c>
      <c r="L145" s="41">
        <v>-693.5</v>
      </c>
      <c r="M145" s="41">
        <v>-926</v>
      </c>
      <c r="N145" s="41">
        <v>-1148</v>
      </c>
      <c r="O145" s="41">
        <f t="shared" si="6"/>
        <v>-1188.2409942737534</v>
      </c>
      <c r="P145" s="41">
        <f t="shared" si="6"/>
        <v>-1223.9537924219185</v>
      </c>
      <c r="Q145" s="41"/>
      <c r="R145" s="41"/>
    </row>
    <row r="146" spans="1:18" x14ac:dyDescent="0.25">
      <c r="A146" s="30">
        <v>426</v>
      </c>
      <c r="B146" s="31" t="s">
        <v>460</v>
      </c>
      <c r="C146" s="41">
        <v>-122</v>
      </c>
      <c r="D146" s="41">
        <v>-68</v>
      </c>
      <c r="E146" s="41">
        <v>13</v>
      </c>
      <c r="F146" s="41">
        <v>95</v>
      </c>
      <c r="G146" s="41">
        <v>102</v>
      </c>
      <c r="H146" s="41">
        <v>562</v>
      </c>
      <c r="I146" s="165">
        <v>-18.013349999999999</v>
      </c>
      <c r="J146" s="41">
        <v>79.778689999999997</v>
      </c>
      <c r="K146" s="41">
        <v>-263.79990000000004</v>
      </c>
      <c r="L146" s="41">
        <v>-695</v>
      </c>
      <c r="M146" s="41">
        <v>-1195</v>
      </c>
      <c r="N146" s="41">
        <v>-1695</v>
      </c>
      <c r="O146" s="41">
        <f t="shared" si="6"/>
        <v>-1754.4150568763171</v>
      </c>
      <c r="P146" s="41">
        <f t="shared" si="6"/>
        <v>-1807.1443189504807</v>
      </c>
      <c r="Q146" s="41"/>
      <c r="R146" s="41"/>
    </row>
    <row r="147" spans="1:18" x14ac:dyDescent="0.25">
      <c r="A147" s="30">
        <v>430</v>
      </c>
      <c r="B147" s="31" t="s">
        <v>461</v>
      </c>
      <c r="C147" s="41">
        <v>-161</v>
      </c>
      <c r="D147" s="41">
        <v>-115</v>
      </c>
      <c r="E147" s="41">
        <v>-76</v>
      </c>
      <c r="F147" s="41">
        <v>-11</v>
      </c>
      <c r="G147" s="41">
        <v>5</v>
      </c>
      <c r="H147" s="41">
        <v>103</v>
      </c>
      <c r="I147" s="165">
        <v>38.614230000000006</v>
      </c>
      <c r="J147" s="41">
        <v>191.85556</v>
      </c>
      <c r="K147" s="41">
        <v>-367.92258000000004</v>
      </c>
      <c r="L147" s="41">
        <v>-725</v>
      </c>
      <c r="M147" s="41">
        <v>-724.9</v>
      </c>
      <c r="N147" s="41">
        <v>-724.9</v>
      </c>
      <c r="O147" s="41">
        <f t="shared" si="6"/>
        <v>-750.31001458975936</v>
      </c>
      <c r="P147" s="41">
        <f t="shared" si="6"/>
        <v>-772.86071788035599</v>
      </c>
      <c r="Q147" s="41"/>
      <c r="R147" s="41"/>
    </row>
    <row r="148" spans="1:18" x14ac:dyDescent="0.25">
      <c r="A148" s="30">
        <v>433</v>
      </c>
      <c r="B148" s="31" t="s">
        <v>462</v>
      </c>
      <c r="C148" s="41">
        <v>-305</v>
      </c>
      <c r="D148" s="41">
        <v>-284</v>
      </c>
      <c r="E148" s="41">
        <v>-317</v>
      </c>
      <c r="F148" s="41">
        <v>-235</v>
      </c>
      <c r="G148" s="41">
        <v>-274</v>
      </c>
      <c r="H148" s="41">
        <v>-258</v>
      </c>
      <c r="I148" s="165">
        <v>-227.96457000000001</v>
      </c>
      <c r="J148" s="41">
        <v>-202.97692999999998</v>
      </c>
      <c r="K148" s="41">
        <v>-384.36246</v>
      </c>
      <c r="L148" s="41">
        <v>-303</v>
      </c>
      <c r="M148" s="41">
        <v>-303</v>
      </c>
      <c r="N148" s="41">
        <v>-303</v>
      </c>
      <c r="O148" s="41">
        <f t="shared" si="6"/>
        <v>-313.62109866284607</v>
      </c>
      <c r="P148" s="41">
        <f t="shared" si="6"/>
        <v>-323.04703754690013</v>
      </c>
      <c r="Q148" s="41"/>
      <c r="R148" s="41"/>
    </row>
    <row r="149" spans="1:18" x14ac:dyDescent="0.25">
      <c r="A149" s="30">
        <v>434</v>
      </c>
      <c r="B149" s="31" t="s">
        <v>463</v>
      </c>
      <c r="C149" s="41">
        <v>1337</v>
      </c>
      <c r="D149" s="41">
        <v>1427</v>
      </c>
      <c r="E149" s="41">
        <v>1510</v>
      </c>
      <c r="F149" s="41">
        <v>1586</v>
      </c>
      <c r="G149" s="41">
        <v>1716</v>
      </c>
      <c r="H149" s="41">
        <v>2029</v>
      </c>
      <c r="I149" s="165">
        <v>1885.8112699999999</v>
      </c>
      <c r="J149" s="41">
        <v>596.11212</v>
      </c>
      <c r="K149" s="41">
        <v>-257.97267999999997</v>
      </c>
      <c r="L149" s="41">
        <v>863.95</v>
      </c>
      <c r="M149" s="41">
        <v>542.20000000000005</v>
      </c>
      <c r="N149" s="41">
        <v>213.7</v>
      </c>
      <c r="O149" s="41">
        <f t="shared" si="6"/>
        <v>221.190854073433</v>
      </c>
      <c r="P149" s="41">
        <f t="shared" si="6"/>
        <v>227.83878522697211</v>
      </c>
      <c r="Q149" s="41"/>
      <c r="R149" s="41"/>
    </row>
    <row r="150" spans="1:18" x14ac:dyDescent="0.25">
      <c r="A150" s="30">
        <v>435</v>
      </c>
      <c r="B150" s="31" t="s">
        <v>464</v>
      </c>
      <c r="C150" s="41">
        <v>18</v>
      </c>
      <c r="D150" s="41">
        <v>16</v>
      </c>
      <c r="E150" s="41">
        <v>9</v>
      </c>
      <c r="F150" s="41">
        <v>11</v>
      </c>
      <c r="G150" s="41">
        <v>22</v>
      </c>
      <c r="H150" s="41">
        <v>14</v>
      </c>
      <c r="I150" s="165">
        <v>5.2949899999999994</v>
      </c>
      <c r="J150" s="41">
        <v>7.9016700000000002</v>
      </c>
      <c r="K150" s="41">
        <v>-31.195349999999998</v>
      </c>
      <c r="L150" s="41">
        <v>-37.450000000000003</v>
      </c>
      <c r="M150" s="41">
        <v>-37.450000000000003</v>
      </c>
      <c r="N150" s="41">
        <v>-37.450000000000003</v>
      </c>
      <c r="O150" s="41">
        <f t="shared" si="6"/>
        <v>-38.762739752223055</v>
      </c>
      <c r="P150" s="41">
        <f t="shared" si="6"/>
        <v>-39.927760911324782</v>
      </c>
      <c r="Q150" s="41"/>
      <c r="R150" s="41"/>
    </row>
    <row r="151" spans="1:18" x14ac:dyDescent="0.25">
      <c r="A151" s="30">
        <v>436</v>
      </c>
      <c r="B151" s="31" t="s">
        <v>465</v>
      </c>
      <c r="C151" s="41">
        <v>-38</v>
      </c>
      <c r="D151" s="41">
        <v>-30</v>
      </c>
      <c r="E151" s="41">
        <v>-10</v>
      </c>
      <c r="F151" s="41">
        <v>-40</v>
      </c>
      <c r="G151" s="41">
        <v>-33</v>
      </c>
      <c r="H151" s="41">
        <v>-25</v>
      </c>
      <c r="I151" s="165">
        <v>-12.789860000000001</v>
      </c>
      <c r="J151" s="41">
        <v>-48.262869999999999</v>
      </c>
      <c r="K151" s="41">
        <v>-248.44766000000001</v>
      </c>
      <c r="L151" s="41">
        <v>-307.5</v>
      </c>
      <c r="M151" s="41">
        <v>-343</v>
      </c>
      <c r="N151" s="41">
        <v>-343</v>
      </c>
      <c r="O151" s="41">
        <f t="shared" si="6"/>
        <v>-355.02322389886535</v>
      </c>
      <c r="P151" s="41">
        <f t="shared" si="6"/>
        <v>-365.69351115045129</v>
      </c>
      <c r="Q151" s="41"/>
      <c r="R151" s="41"/>
    </row>
    <row r="152" spans="1:18" x14ac:dyDescent="0.25">
      <c r="A152" s="30">
        <v>440</v>
      </c>
      <c r="B152" s="31" t="s">
        <v>466</v>
      </c>
      <c r="C152" s="41">
        <v>19</v>
      </c>
      <c r="D152" s="41">
        <v>386</v>
      </c>
      <c r="E152" s="41">
        <v>-107</v>
      </c>
      <c r="F152" s="41">
        <v>-152</v>
      </c>
      <c r="G152" s="41">
        <v>45</v>
      </c>
      <c r="H152" s="41">
        <v>-160</v>
      </c>
      <c r="I152" s="165">
        <v>881.98268999999993</v>
      </c>
      <c r="J152" s="41">
        <v>699.04173000000003</v>
      </c>
      <c r="K152" s="41">
        <v>-538.95639000000006</v>
      </c>
      <c r="L152" s="41">
        <v>-330</v>
      </c>
      <c r="M152" s="41">
        <v>-385</v>
      </c>
      <c r="N152" s="41">
        <v>-415</v>
      </c>
      <c r="O152" s="41">
        <f t="shared" si="6"/>
        <v>-429.54704932370004</v>
      </c>
      <c r="P152" s="41">
        <f t="shared" si="6"/>
        <v>-442.45716363684335</v>
      </c>
      <c r="Q152" s="41"/>
      <c r="R152" s="41"/>
    </row>
    <row r="153" spans="1:18" x14ac:dyDescent="0.25">
      <c r="A153" s="30">
        <v>441</v>
      </c>
      <c r="B153" s="31" t="s">
        <v>467</v>
      </c>
      <c r="C153" s="41">
        <v>518</v>
      </c>
      <c r="D153" s="41">
        <v>529</v>
      </c>
      <c r="E153" s="41">
        <v>934</v>
      </c>
      <c r="F153" s="41">
        <v>271</v>
      </c>
      <c r="G153" s="41">
        <v>1408</v>
      </c>
      <c r="H153" s="41">
        <v>799</v>
      </c>
      <c r="I153" s="165">
        <v>902.95726999999999</v>
      </c>
      <c r="J153" s="41">
        <v>397.86768999999998</v>
      </c>
      <c r="K153" s="41">
        <v>510.84353999999996</v>
      </c>
      <c r="L153" s="41">
        <v>801.5</v>
      </c>
      <c r="M153" s="41">
        <v>581.9</v>
      </c>
      <c r="N153" s="41">
        <v>546.5</v>
      </c>
      <c r="O153" s="41">
        <f t="shared" si="6"/>
        <v>565.65653603711337</v>
      </c>
      <c r="P153" s="41">
        <f t="shared" si="6"/>
        <v>582.65744560851772</v>
      </c>
      <c r="Q153" s="41"/>
      <c r="R153" s="41"/>
    </row>
    <row r="154" spans="1:18" x14ac:dyDescent="0.25">
      <c r="A154" s="30">
        <v>444</v>
      </c>
      <c r="B154" s="31" t="s">
        <v>468</v>
      </c>
      <c r="C154" s="41">
        <v>481</v>
      </c>
      <c r="D154" s="41">
        <v>522</v>
      </c>
      <c r="E154" s="41">
        <v>435</v>
      </c>
      <c r="F154" s="41">
        <v>276</v>
      </c>
      <c r="G154" s="41">
        <v>-209</v>
      </c>
      <c r="H154" s="41">
        <v>157</v>
      </c>
      <c r="I154" s="165">
        <v>-140.45051000000001</v>
      </c>
      <c r="J154" s="41">
        <v>50.3476</v>
      </c>
      <c r="K154" s="41">
        <v>-1973.0830100000001</v>
      </c>
      <c r="L154" s="41">
        <v>-262</v>
      </c>
      <c r="M154" s="41">
        <v>-262</v>
      </c>
      <c r="N154" s="41">
        <v>-462</v>
      </c>
      <c r="O154" s="41">
        <f t="shared" si="6"/>
        <v>-478.19454647602271</v>
      </c>
      <c r="P154" s="41">
        <f t="shared" si="6"/>
        <v>-492.56677012101602</v>
      </c>
      <c r="Q154" s="41"/>
      <c r="R154" s="41"/>
    </row>
    <row r="155" spans="1:18" x14ac:dyDescent="0.25">
      <c r="A155" s="30">
        <v>445</v>
      </c>
      <c r="B155" s="31" t="s">
        <v>469</v>
      </c>
      <c r="C155" s="41">
        <v>-868</v>
      </c>
      <c r="D155" s="41">
        <v>-963</v>
      </c>
      <c r="E155" s="41">
        <v>-872</v>
      </c>
      <c r="F155" s="41">
        <v>-719</v>
      </c>
      <c r="G155" s="41">
        <v>-677</v>
      </c>
      <c r="H155" s="41">
        <v>-697</v>
      </c>
      <c r="I155" s="165">
        <v>-699.77017000000001</v>
      </c>
      <c r="J155" s="41">
        <v>-481.23536999999999</v>
      </c>
      <c r="K155" s="41">
        <v>254.20568</v>
      </c>
      <c r="L155" s="41">
        <v>-850.56</v>
      </c>
      <c r="M155" s="41">
        <v>-767.5</v>
      </c>
      <c r="N155" s="41">
        <v>-767.5</v>
      </c>
      <c r="O155" s="41">
        <f t="shared" si="6"/>
        <v>-794.40327796611996</v>
      </c>
      <c r="P155" s="41">
        <f t="shared" si="6"/>
        <v>-818.27921226813805</v>
      </c>
      <c r="Q155" s="41"/>
      <c r="R155" s="41"/>
    </row>
    <row r="156" spans="1:18" x14ac:dyDescent="0.25">
      <c r="A156" s="30">
        <v>475</v>
      </c>
      <c r="B156" s="31" t="s">
        <v>470</v>
      </c>
      <c r="C156" s="41">
        <v>-29</v>
      </c>
      <c r="D156" s="41">
        <v>-38</v>
      </c>
      <c r="E156" s="41">
        <v>-44</v>
      </c>
      <c r="F156" s="41">
        <v>-45</v>
      </c>
      <c r="G156" s="41">
        <v>-22</v>
      </c>
      <c r="H156" s="41">
        <v>-15</v>
      </c>
      <c r="I156" s="165">
        <v>-16.801080000000002</v>
      </c>
      <c r="J156" s="41">
        <v>-80.632390000000001</v>
      </c>
      <c r="K156" s="41">
        <v>-455.63211000000001</v>
      </c>
      <c r="L156" s="41">
        <v>-757.5</v>
      </c>
      <c r="M156" s="41">
        <v>-779</v>
      </c>
      <c r="N156" s="41">
        <v>-832</v>
      </c>
      <c r="O156" s="41">
        <f t="shared" si="6"/>
        <v>-861.16420490920109</v>
      </c>
      <c r="P156" s="41">
        <f t="shared" si="6"/>
        <v>-887.04665095386429</v>
      </c>
      <c r="Q156" s="41"/>
      <c r="R156" s="41"/>
    </row>
    <row r="157" spans="1:18" x14ac:dyDescent="0.25">
      <c r="A157" s="30">
        <v>480</v>
      </c>
      <c r="B157" s="31" t="s">
        <v>471</v>
      </c>
      <c r="C157" s="41">
        <v>-20</v>
      </c>
      <c r="D157" s="41">
        <v>-17</v>
      </c>
      <c r="E157" s="41">
        <v>-11</v>
      </c>
      <c r="F157" s="41">
        <v>-8</v>
      </c>
      <c r="G157" s="41">
        <v>-6</v>
      </c>
      <c r="H157" s="41">
        <v>-5</v>
      </c>
      <c r="I157" s="165">
        <v>-1.83371</v>
      </c>
      <c r="J157" s="41">
        <v>24.698880000000003</v>
      </c>
      <c r="K157" s="41">
        <v>0.35306999999999999</v>
      </c>
      <c r="L157" s="41">
        <v>-6.08</v>
      </c>
      <c r="M157" s="41">
        <v>-6</v>
      </c>
      <c r="N157" s="41">
        <v>-6</v>
      </c>
      <c r="O157" s="41">
        <f t="shared" si="6"/>
        <v>-6.2103187854028921</v>
      </c>
      <c r="P157" s="41">
        <f t="shared" si="6"/>
        <v>-6.3969710405326747</v>
      </c>
      <c r="Q157" s="41"/>
      <c r="R157" s="41"/>
    </row>
    <row r="158" spans="1:18" x14ac:dyDescent="0.25">
      <c r="A158" s="30">
        <v>481</v>
      </c>
      <c r="B158" s="31" t="s">
        <v>472</v>
      </c>
      <c r="C158" s="41">
        <v>-84</v>
      </c>
      <c r="D158" s="41">
        <v>-29</v>
      </c>
      <c r="E158" s="41">
        <v>93</v>
      </c>
      <c r="F158" s="41">
        <v>40</v>
      </c>
      <c r="G158" s="41">
        <v>26</v>
      </c>
      <c r="H158" s="41">
        <v>31</v>
      </c>
      <c r="I158" s="165">
        <v>48.66478</v>
      </c>
      <c r="J158" s="41">
        <v>-131.25867000000002</v>
      </c>
      <c r="K158" s="41">
        <v>-996.20756000000006</v>
      </c>
      <c r="L158" s="41">
        <v>-1129.5</v>
      </c>
      <c r="M158" s="41">
        <v>-998.16300000000001</v>
      </c>
      <c r="N158" s="41">
        <v>-896.79200000000003</v>
      </c>
      <c r="O158" s="41">
        <f t="shared" si="6"/>
        <v>-928.22736736650506</v>
      </c>
      <c r="P158" s="41">
        <f t="shared" si="6"/>
        <v>-956.12540889689649</v>
      </c>
      <c r="Q158" s="41"/>
      <c r="R158" s="41"/>
    </row>
    <row r="159" spans="1:18" x14ac:dyDescent="0.25">
      <c r="A159" s="30">
        <v>483</v>
      </c>
      <c r="B159" s="31" t="s">
        <v>473</v>
      </c>
      <c r="C159" s="41">
        <v>131</v>
      </c>
      <c r="D159" s="41">
        <v>123</v>
      </c>
      <c r="E159" s="41">
        <v>47</v>
      </c>
      <c r="F159" s="41">
        <v>32</v>
      </c>
      <c r="G159" s="41">
        <v>122</v>
      </c>
      <c r="H159" s="41">
        <v>45</v>
      </c>
      <c r="I159" s="165">
        <v>100.89962</v>
      </c>
      <c r="J159" s="41">
        <v>19.861549999999998</v>
      </c>
      <c r="K159" s="41">
        <v>-4.6832000000000003</v>
      </c>
      <c r="L159" s="41">
        <v>353.47</v>
      </c>
      <c r="M159" s="41">
        <v>177.45</v>
      </c>
      <c r="N159" s="41">
        <v>177.45</v>
      </c>
      <c r="O159" s="41">
        <f t="shared" si="6"/>
        <v>183.67017807829052</v>
      </c>
      <c r="P159" s="41">
        <f t="shared" si="6"/>
        <v>189.19041852375386</v>
      </c>
      <c r="Q159" s="41"/>
      <c r="R159" s="41"/>
    </row>
    <row r="160" spans="1:18" x14ac:dyDescent="0.25">
      <c r="A160" s="30">
        <v>484</v>
      </c>
      <c r="B160" s="31" t="s">
        <v>474</v>
      </c>
      <c r="C160" s="41">
        <v>75</v>
      </c>
      <c r="D160" s="41">
        <v>29</v>
      </c>
      <c r="E160" s="41">
        <v>73</v>
      </c>
      <c r="F160" s="41">
        <v>22</v>
      </c>
      <c r="G160" s="41">
        <v>113</v>
      </c>
      <c r="H160" s="41">
        <v>30</v>
      </c>
      <c r="I160" s="165">
        <v>114.55663</v>
      </c>
      <c r="J160" s="41">
        <v>165.37614000000002</v>
      </c>
      <c r="K160" s="41">
        <v>130.27383</v>
      </c>
      <c r="L160" s="41">
        <v>26.1</v>
      </c>
      <c r="M160" s="41">
        <v>60</v>
      </c>
      <c r="N160" s="41">
        <v>60</v>
      </c>
      <c r="O160" s="41">
        <f t="shared" si="6"/>
        <v>62.103187854028917</v>
      </c>
      <c r="P160" s="41">
        <f t="shared" si="6"/>
        <v>63.969710405326744</v>
      </c>
      <c r="Q160" s="41"/>
      <c r="R160" s="41"/>
    </row>
    <row r="161" spans="1:18" x14ac:dyDescent="0.25">
      <c r="A161" s="30">
        <v>489</v>
      </c>
      <c r="B161" s="31" t="s">
        <v>475</v>
      </c>
      <c r="C161" s="41">
        <v>-77</v>
      </c>
      <c r="D161" s="41">
        <v>-23</v>
      </c>
      <c r="E161" s="41">
        <v>-14</v>
      </c>
      <c r="F161" s="41">
        <v>-146</v>
      </c>
      <c r="G161" s="41">
        <v>3</v>
      </c>
      <c r="H161" s="41">
        <v>-1</v>
      </c>
      <c r="I161" s="165">
        <v>34.774560000000001</v>
      </c>
      <c r="J161" s="41">
        <v>30.091189999999997</v>
      </c>
      <c r="K161" s="41">
        <v>-190.77785</v>
      </c>
      <c r="L161" s="41">
        <v>-352</v>
      </c>
      <c r="M161" s="41">
        <v>-352</v>
      </c>
      <c r="N161" s="41">
        <v>-352</v>
      </c>
      <c r="O161" s="41">
        <f t="shared" si="6"/>
        <v>-364.33870207696964</v>
      </c>
      <c r="P161" s="41">
        <f t="shared" si="6"/>
        <v>-375.28896771125022</v>
      </c>
      <c r="Q161" s="41"/>
      <c r="R161" s="41"/>
    </row>
    <row r="162" spans="1:18" x14ac:dyDescent="0.25">
      <c r="A162" s="30">
        <v>491</v>
      </c>
      <c r="B162" s="31" t="s">
        <v>476</v>
      </c>
      <c r="C162" s="41">
        <v>3609</v>
      </c>
      <c r="D162" s="41">
        <v>3345</v>
      </c>
      <c r="E162" s="41">
        <v>5753</v>
      </c>
      <c r="F162" s="41">
        <v>2585</v>
      </c>
      <c r="G162" s="41">
        <v>1662</v>
      </c>
      <c r="H162" s="41">
        <v>3072</v>
      </c>
      <c r="I162" s="165">
        <v>2893.95235</v>
      </c>
      <c r="J162" s="41">
        <v>3285.4956699999998</v>
      </c>
      <c r="K162" s="41">
        <v>4783.6952699999993</v>
      </c>
      <c r="L162" s="41">
        <v>1831</v>
      </c>
      <c r="M162" s="41">
        <v>4850</v>
      </c>
      <c r="N162" s="41">
        <v>5050</v>
      </c>
      <c r="O162" s="41">
        <f t="shared" si="6"/>
        <v>5227.0183110474345</v>
      </c>
      <c r="P162" s="41">
        <f t="shared" si="6"/>
        <v>5384.1172924483353</v>
      </c>
      <c r="Q162" s="41"/>
      <c r="R162" s="41"/>
    </row>
    <row r="163" spans="1:18" x14ac:dyDescent="0.25">
      <c r="A163" s="30">
        <v>494</v>
      </c>
      <c r="B163" s="31" t="s">
        <v>477</v>
      </c>
      <c r="C163" s="41">
        <v>-367</v>
      </c>
      <c r="D163" s="41">
        <v>-330</v>
      </c>
      <c r="E163" s="41">
        <v>-256</v>
      </c>
      <c r="F163" s="41">
        <v>-244</v>
      </c>
      <c r="G163" s="41">
        <v>-251</v>
      </c>
      <c r="H163" s="41">
        <v>-238</v>
      </c>
      <c r="I163" s="165">
        <v>-120.72983000000001</v>
      </c>
      <c r="J163" s="41">
        <v>-149.41941</v>
      </c>
      <c r="K163" s="41">
        <v>-489.53480999999999</v>
      </c>
      <c r="L163" s="41">
        <v>-960.11099999999999</v>
      </c>
      <c r="M163" s="41">
        <v>-1268.2919999999999</v>
      </c>
      <c r="N163" s="41">
        <v>-1735.4659999999999</v>
      </c>
      <c r="O163" s="41">
        <f t="shared" si="6"/>
        <v>-1796.2995168713358</v>
      </c>
      <c r="P163" s="41">
        <f t="shared" si="6"/>
        <v>-1850.2876239715131</v>
      </c>
      <c r="Q163" s="41"/>
      <c r="R163" s="41"/>
    </row>
    <row r="164" spans="1:18" x14ac:dyDescent="0.25">
      <c r="A164" s="30">
        <v>495</v>
      </c>
      <c r="B164" s="31" t="s">
        <v>478</v>
      </c>
      <c r="C164" s="41">
        <v>10</v>
      </c>
      <c r="D164" s="41">
        <v>-6</v>
      </c>
      <c r="E164" s="41">
        <v>-20</v>
      </c>
      <c r="F164" s="41">
        <v>-57</v>
      </c>
      <c r="G164" s="41">
        <v>1</v>
      </c>
      <c r="H164" s="41">
        <v>2</v>
      </c>
      <c r="I164" s="165">
        <v>1.7309300000000001</v>
      </c>
      <c r="J164" s="41">
        <v>5.1879099999999996</v>
      </c>
      <c r="K164" s="41">
        <v>-31.679849999999998</v>
      </c>
      <c r="L164" s="41">
        <v>-13.03</v>
      </c>
      <c r="M164" s="41">
        <v>-13.03</v>
      </c>
      <c r="N164" s="41">
        <v>-13.03</v>
      </c>
      <c r="O164" s="41">
        <f t="shared" si="6"/>
        <v>-13.486742295633279</v>
      </c>
      <c r="P164" s="41">
        <f t="shared" si="6"/>
        <v>-13.892088776356792</v>
      </c>
      <c r="Q164" s="41"/>
      <c r="R164" s="41"/>
    </row>
    <row r="165" spans="1:18" x14ac:dyDescent="0.25">
      <c r="A165" s="30">
        <v>498</v>
      </c>
      <c r="B165" s="31" t="s">
        <v>479</v>
      </c>
      <c r="C165" s="41">
        <v>-109</v>
      </c>
      <c r="D165" s="41">
        <v>-77</v>
      </c>
      <c r="E165" s="41">
        <v>-59</v>
      </c>
      <c r="F165" s="41">
        <v>-34</v>
      </c>
      <c r="G165" s="41">
        <v>-32</v>
      </c>
      <c r="H165" s="41">
        <v>-21</v>
      </c>
      <c r="I165" s="165">
        <v>-4.0508800000000003</v>
      </c>
      <c r="J165" s="41">
        <v>219.18950000000001</v>
      </c>
      <c r="K165" s="41">
        <v>-106.46106</v>
      </c>
      <c r="L165" s="41">
        <v>-145</v>
      </c>
      <c r="M165" s="41">
        <v>-175</v>
      </c>
      <c r="N165" s="41">
        <v>-195</v>
      </c>
      <c r="O165" s="41">
        <f t="shared" si="6"/>
        <v>-201.83536052559398</v>
      </c>
      <c r="P165" s="41">
        <f t="shared" si="6"/>
        <v>-207.90155881731192</v>
      </c>
      <c r="Q165" s="41"/>
      <c r="R165" s="41"/>
    </row>
    <row r="166" spans="1:18" x14ac:dyDescent="0.25">
      <c r="A166" s="30">
        <v>499</v>
      </c>
      <c r="B166" s="31" t="s">
        <v>480</v>
      </c>
      <c r="C166" s="41">
        <v>-326</v>
      </c>
      <c r="D166" s="41">
        <v>-252</v>
      </c>
      <c r="E166" s="41">
        <v>-332</v>
      </c>
      <c r="F166" s="41">
        <v>-296</v>
      </c>
      <c r="G166" s="41">
        <v>-97</v>
      </c>
      <c r="H166" s="41">
        <v>-54</v>
      </c>
      <c r="I166" s="165">
        <v>-185.64490000000001</v>
      </c>
      <c r="J166" s="41">
        <v>-128.18278999999998</v>
      </c>
      <c r="K166" s="41">
        <v>-1165.17587</v>
      </c>
      <c r="L166" s="41">
        <v>-1840</v>
      </c>
      <c r="M166" s="41">
        <v>-2750</v>
      </c>
      <c r="N166" s="41">
        <v>-3550</v>
      </c>
      <c r="O166" s="41">
        <f t="shared" si="6"/>
        <v>-3674.4386146967113</v>
      </c>
      <c r="P166" s="41">
        <f t="shared" si="6"/>
        <v>-3784.8745323151661</v>
      </c>
      <c r="Q166" s="41"/>
      <c r="R166" s="41"/>
    </row>
    <row r="167" spans="1:18" x14ac:dyDescent="0.25">
      <c r="A167" s="30">
        <v>500</v>
      </c>
      <c r="B167" s="31" t="s">
        <v>481</v>
      </c>
      <c r="C167" s="41">
        <v>92</v>
      </c>
      <c r="D167" s="41">
        <v>57</v>
      </c>
      <c r="E167" s="41">
        <v>59</v>
      </c>
      <c r="F167" s="41">
        <v>331</v>
      </c>
      <c r="G167" s="41">
        <v>141</v>
      </c>
      <c r="H167" s="41">
        <v>200</v>
      </c>
      <c r="I167" s="165">
        <v>222.16263000000001</v>
      </c>
      <c r="J167" s="41">
        <v>38.529510000000002</v>
      </c>
      <c r="K167" s="41">
        <v>-689.99689000000001</v>
      </c>
      <c r="L167" s="41">
        <v>-543.09</v>
      </c>
      <c r="M167" s="41">
        <v>-899.69</v>
      </c>
      <c r="N167" s="41">
        <v>-799.69</v>
      </c>
      <c r="O167" s="41">
        <f t="shared" si="6"/>
        <v>-827.72163824980646</v>
      </c>
      <c r="P167" s="41">
        <f t="shared" si="6"/>
        <v>-852.59896190059578</v>
      </c>
      <c r="Q167" s="41"/>
      <c r="R167" s="41"/>
    </row>
    <row r="168" spans="1:18" x14ac:dyDescent="0.25">
      <c r="A168" s="30">
        <v>503</v>
      </c>
      <c r="B168" s="31" t="s">
        <v>482</v>
      </c>
      <c r="C168" s="41">
        <v>-48</v>
      </c>
      <c r="D168" s="41">
        <v>54</v>
      </c>
      <c r="E168" s="41">
        <v>-22</v>
      </c>
      <c r="F168" s="41">
        <v>-31</v>
      </c>
      <c r="G168" s="41">
        <v>-58</v>
      </c>
      <c r="H168" s="41">
        <v>-72</v>
      </c>
      <c r="I168" s="165">
        <v>-40.886540000000004</v>
      </c>
      <c r="J168" s="41">
        <v>-118.84117000000001</v>
      </c>
      <c r="K168" s="41">
        <v>-985.8605500000001</v>
      </c>
      <c r="L168" s="41">
        <v>-978</v>
      </c>
      <c r="M168" s="41">
        <v>-1178</v>
      </c>
      <c r="N168" s="41">
        <v>-1178</v>
      </c>
      <c r="O168" s="41">
        <f t="shared" si="6"/>
        <v>-1219.2925882007678</v>
      </c>
      <c r="P168" s="41">
        <f t="shared" si="6"/>
        <v>-1255.9386476245818</v>
      </c>
      <c r="Q168" s="41"/>
      <c r="R168" s="41"/>
    </row>
    <row r="169" spans="1:18" x14ac:dyDescent="0.25">
      <c r="A169" s="30">
        <v>504</v>
      </c>
      <c r="B169" s="31" t="s">
        <v>483</v>
      </c>
      <c r="C169" s="41">
        <v>255</v>
      </c>
      <c r="D169" s="41">
        <v>264</v>
      </c>
      <c r="E169" s="41">
        <v>284</v>
      </c>
      <c r="F169" s="41">
        <v>267</v>
      </c>
      <c r="G169" s="41">
        <v>271</v>
      </c>
      <c r="H169" s="41">
        <v>307</v>
      </c>
      <c r="I169" s="165">
        <v>303.06009999999998</v>
      </c>
      <c r="J169" s="41">
        <v>78.006070000000008</v>
      </c>
      <c r="K169" s="41">
        <v>-62.065669999999997</v>
      </c>
      <c r="L169" s="41">
        <v>75.3</v>
      </c>
      <c r="M169" s="41">
        <v>38.299999999999997</v>
      </c>
      <c r="N169" s="41">
        <v>58.3</v>
      </c>
      <c r="O169" s="41">
        <f t="shared" si="6"/>
        <v>60.343597531498098</v>
      </c>
      <c r="P169" s="41">
        <f t="shared" si="6"/>
        <v>62.157235277175822</v>
      </c>
      <c r="Q169" s="41"/>
      <c r="R169" s="41"/>
    </row>
    <row r="170" spans="1:18" x14ac:dyDescent="0.25">
      <c r="A170" s="30">
        <v>505</v>
      </c>
      <c r="B170" s="31" t="s">
        <v>484</v>
      </c>
      <c r="C170" s="41">
        <v>1456</v>
      </c>
      <c r="D170" s="41">
        <v>1521</v>
      </c>
      <c r="E170" s="41">
        <v>1409</v>
      </c>
      <c r="F170" s="41">
        <v>1375</v>
      </c>
      <c r="G170" s="41">
        <v>1351</v>
      </c>
      <c r="H170" s="41">
        <v>1672</v>
      </c>
      <c r="I170" s="165">
        <v>1537.19946</v>
      </c>
      <c r="J170" s="41">
        <v>107.15069</v>
      </c>
      <c r="K170" s="41">
        <v>154.65028000000001</v>
      </c>
      <c r="L170" s="41">
        <v>500</v>
      </c>
      <c r="M170" s="41">
        <v>1078</v>
      </c>
      <c r="N170" s="41">
        <v>-369</v>
      </c>
      <c r="O170" s="41">
        <f t="shared" si="6"/>
        <v>-381.93460530227787</v>
      </c>
      <c r="P170" s="41">
        <f t="shared" si="6"/>
        <v>-393.41371899275953</v>
      </c>
      <c r="Q170" s="41"/>
      <c r="R170" s="41"/>
    </row>
    <row r="171" spans="1:18" x14ac:dyDescent="0.25">
      <c r="A171" s="30">
        <v>507</v>
      </c>
      <c r="B171" s="31" t="s">
        <v>485</v>
      </c>
      <c r="C171" s="41">
        <v>-112</v>
      </c>
      <c r="D171" s="41">
        <v>-127</v>
      </c>
      <c r="E171" s="41">
        <v>196</v>
      </c>
      <c r="F171" s="41">
        <v>100</v>
      </c>
      <c r="G171" s="41">
        <v>242</v>
      </c>
      <c r="H171" s="41">
        <v>265</v>
      </c>
      <c r="I171" s="165">
        <v>358.12362000000002</v>
      </c>
      <c r="J171" s="41">
        <v>247.24396999999999</v>
      </c>
      <c r="K171" s="41">
        <v>298.30525</v>
      </c>
      <c r="L171" s="41">
        <v>245.6</v>
      </c>
      <c r="M171" s="41">
        <v>-27.599999999999994</v>
      </c>
      <c r="N171" s="41">
        <v>-168.68</v>
      </c>
      <c r="O171" s="41">
        <f t="shared" si="6"/>
        <v>-174.59276212029332</v>
      </c>
      <c r="P171" s="41">
        <f t="shared" si="6"/>
        <v>-179.84017918617528</v>
      </c>
      <c r="Q171" s="41"/>
      <c r="R171" s="41"/>
    </row>
    <row r="172" spans="1:18" x14ac:dyDescent="0.25">
      <c r="A172" s="30">
        <v>508</v>
      </c>
      <c r="B172" s="31" t="s">
        <v>486</v>
      </c>
      <c r="C172" s="41">
        <v>83</v>
      </c>
      <c r="D172" s="41">
        <v>1622</v>
      </c>
      <c r="E172" s="41">
        <v>659</v>
      </c>
      <c r="F172" s="41">
        <v>419</v>
      </c>
      <c r="G172" s="41">
        <v>1568</v>
      </c>
      <c r="H172" s="41">
        <v>276</v>
      </c>
      <c r="I172" s="165">
        <v>265.62513999999999</v>
      </c>
      <c r="J172" s="41">
        <v>817.89866000000006</v>
      </c>
      <c r="K172" s="41">
        <v>-269.21121999999997</v>
      </c>
      <c r="L172" s="41">
        <v>-312</v>
      </c>
      <c r="M172" s="41">
        <v>-324</v>
      </c>
      <c r="N172" s="41">
        <v>-313</v>
      </c>
      <c r="O172" s="41">
        <f t="shared" si="6"/>
        <v>-323.97162997185086</v>
      </c>
      <c r="P172" s="41">
        <f t="shared" si="6"/>
        <v>-333.70865594778786</v>
      </c>
      <c r="Q172" s="41"/>
      <c r="R172" s="41"/>
    </row>
    <row r="173" spans="1:18" x14ac:dyDescent="0.25">
      <c r="A173" s="30">
        <v>529</v>
      </c>
      <c r="B173" s="31" t="s">
        <v>487</v>
      </c>
      <c r="C173" s="41">
        <v>1100</v>
      </c>
      <c r="D173" s="41">
        <v>1329</v>
      </c>
      <c r="E173" s="41">
        <v>1581</v>
      </c>
      <c r="F173" s="41">
        <v>1874</v>
      </c>
      <c r="G173" s="41">
        <v>2432</v>
      </c>
      <c r="H173" s="41">
        <v>1778</v>
      </c>
      <c r="I173" s="165">
        <v>668.41843000000006</v>
      </c>
      <c r="J173" s="41">
        <v>3169.9609</v>
      </c>
      <c r="K173" s="41">
        <v>2453.1355199999998</v>
      </c>
      <c r="L173" s="41">
        <v>1250</v>
      </c>
      <c r="M173" s="41">
        <v>1399.1</v>
      </c>
      <c r="N173" s="41">
        <v>1249.0999999999999</v>
      </c>
      <c r="O173" s="41">
        <f t="shared" si="6"/>
        <v>1292.884865807792</v>
      </c>
      <c r="P173" s="41">
        <f t="shared" si="6"/>
        <v>1331.7427544548941</v>
      </c>
      <c r="Q173" s="41"/>
      <c r="R173" s="41"/>
    </row>
    <row r="174" spans="1:18" x14ac:dyDescent="0.25">
      <c r="A174" s="30">
        <v>531</v>
      </c>
      <c r="B174" s="31" t="s">
        <v>488</v>
      </c>
      <c r="C174" s="41">
        <v>11</v>
      </c>
      <c r="D174" s="41">
        <v>19</v>
      </c>
      <c r="E174" s="41">
        <v>111</v>
      </c>
      <c r="F174" s="41">
        <v>66</v>
      </c>
      <c r="G174" s="41">
        <v>49</v>
      </c>
      <c r="H174" s="41">
        <v>44</v>
      </c>
      <c r="I174" s="165">
        <v>32.929610000000004</v>
      </c>
      <c r="J174" s="41">
        <v>96.76091000000001</v>
      </c>
      <c r="K174" s="41">
        <v>227.64783</v>
      </c>
      <c r="L174" s="41">
        <v>160.9</v>
      </c>
      <c r="M174" s="41">
        <v>-80</v>
      </c>
      <c r="N174" s="41">
        <v>-130</v>
      </c>
      <c r="O174" s="41">
        <f t="shared" si="6"/>
        <v>-134.55690701706266</v>
      </c>
      <c r="P174" s="41">
        <f t="shared" si="6"/>
        <v>-138.60103921154129</v>
      </c>
      <c r="Q174" s="41"/>
      <c r="R174" s="41"/>
    </row>
    <row r="175" spans="1:18" x14ac:dyDescent="0.25">
      <c r="A175" s="30">
        <v>535</v>
      </c>
      <c r="B175" s="31" t="s">
        <v>489</v>
      </c>
      <c r="C175" s="41">
        <v>785</v>
      </c>
      <c r="D175" s="41">
        <v>1263</v>
      </c>
      <c r="E175" s="41">
        <v>774</v>
      </c>
      <c r="F175" s="41">
        <v>40</v>
      </c>
      <c r="G175" s="41">
        <v>938</v>
      </c>
      <c r="H175" s="41">
        <v>464</v>
      </c>
      <c r="I175" s="165">
        <v>1196.4558500000001</v>
      </c>
      <c r="J175" s="41">
        <v>-974.0406999999999</v>
      </c>
      <c r="K175" s="41">
        <v>728.64437999999996</v>
      </c>
      <c r="L175" s="41">
        <v>387.67099999999999</v>
      </c>
      <c r="M175" s="41">
        <v>145.50399999999999</v>
      </c>
      <c r="N175" s="41">
        <v>255.357</v>
      </c>
      <c r="O175" s="41">
        <f t="shared" si="6"/>
        <v>264.30806234735439</v>
      </c>
      <c r="P175" s="41">
        <f t="shared" si="6"/>
        <v>272.25188899955037</v>
      </c>
      <c r="Q175" s="41"/>
      <c r="R175" s="41"/>
    </row>
    <row r="176" spans="1:18" x14ac:dyDescent="0.25">
      <c r="A176" s="30">
        <v>536</v>
      </c>
      <c r="B176" s="31" t="s">
        <v>490</v>
      </c>
      <c r="C176" s="41">
        <v>396</v>
      </c>
      <c r="D176" s="41">
        <v>-49</v>
      </c>
      <c r="E176" s="41">
        <v>1012</v>
      </c>
      <c r="F176" s="41">
        <v>654</v>
      </c>
      <c r="G176" s="41">
        <v>487</v>
      </c>
      <c r="H176" s="41">
        <v>483</v>
      </c>
      <c r="I176" s="165">
        <v>774.94745</v>
      </c>
      <c r="J176" s="41">
        <v>329.30279999999999</v>
      </c>
      <c r="K176" s="41">
        <v>814.37017000000003</v>
      </c>
      <c r="L176" s="41">
        <v>321.49599999999998</v>
      </c>
      <c r="M176" s="41">
        <v>-827.97699999999998</v>
      </c>
      <c r="N176" s="41">
        <v>-1287.4459999999999</v>
      </c>
      <c r="O176" s="41">
        <f t="shared" si="6"/>
        <v>-1332.5750131653019</v>
      </c>
      <c r="P176" s="41">
        <f t="shared" si="6"/>
        <v>-1372.6257963749383</v>
      </c>
      <c r="Q176" s="41"/>
      <c r="R176" s="41"/>
    </row>
    <row r="177" spans="1:18" x14ac:dyDescent="0.25">
      <c r="A177" s="30">
        <v>538</v>
      </c>
      <c r="B177" s="31" t="s">
        <v>491</v>
      </c>
      <c r="C177" s="41">
        <v>-78</v>
      </c>
      <c r="D177" s="41">
        <v>-71</v>
      </c>
      <c r="E177" s="41">
        <v>-103</v>
      </c>
      <c r="F177" s="41">
        <v>-92</v>
      </c>
      <c r="G177" s="41">
        <v>-85</v>
      </c>
      <c r="H177" s="41">
        <v>-77</v>
      </c>
      <c r="I177" s="165">
        <v>-106.94756</v>
      </c>
      <c r="J177" s="41">
        <v>-47.750089999999993</v>
      </c>
      <c r="K177" s="41">
        <v>-334.0745</v>
      </c>
      <c r="L177" s="41">
        <v>-539.92399999999998</v>
      </c>
      <c r="M177" s="41">
        <v>-876.77499999999998</v>
      </c>
      <c r="N177" s="41">
        <v>-996.726</v>
      </c>
      <c r="O177" s="41">
        <f t="shared" si="6"/>
        <v>-1031.6643669499138</v>
      </c>
      <c r="P177" s="41">
        <f t="shared" si="6"/>
        <v>-1062.6712262243284</v>
      </c>
      <c r="Q177" s="41"/>
      <c r="R177" s="41"/>
    </row>
    <row r="178" spans="1:18" x14ac:dyDescent="0.25">
      <c r="A178" s="30">
        <v>541</v>
      </c>
      <c r="B178" s="31" t="s">
        <v>492</v>
      </c>
      <c r="C178" s="41">
        <v>-230</v>
      </c>
      <c r="D178" s="41">
        <v>224</v>
      </c>
      <c r="E178" s="41">
        <v>233</v>
      </c>
      <c r="F178" s="41">
        <v>391</v>
      </c>
      <c r="G178" s="41">
        <v>395</v>
      </c>
      <c r="H178" s="41">
        <v>503</v>
      </c>
      <c r="I178" s="165">
        <v>508.47626000000002</v>
      </c>
      <c r="J178" s="41">
        <v>674.3305600000001</v>
      </c>
      <c r="K178" s="41">
        <v>966.74559999999997</v>
      </c>
      <c r="L178" s="41">
        <v>855</v>
      </c>
      <c r="M178" s="41">
        <v>805</v>
      </c>
      <c r="N178" s="41">
        <v>805</v>
      </c>
      <c r="O178" s="41">
        <f t="shared" si="6"/>
        <v>833.217770374888</v>
      </c>
      <c r="P178" s="41">
        <f t="shared" si="6"/>
        <v>858.26028127146719</v>
      </c>
      <c r="Q178" s="41"/>
      <c r="R178" s="41"/>
    </row>
    <row r="179" spans="1:18" x14ac:dyDescent="0.25">
      <c r="A179" s="30">
        <v>543</v>
      </c>
      <c r="B179" s="31" t="s">
        <v>493</v>
      </c>
      <c r="C179" s="41">
        <v>1766</v>
      </c>
      <c r="D179" s="41">
        <v>961</v>
      </c>
      <c r="E179" s="41">
        <v>757</v>
      </c>
      <c r="F179" s="41">
        <v>900</v>
      </c>
      <c r="G179" s="41">
        <v>1320</v>
      </c>
      <c r="H179" s="41">
        <v>1292</v>
      </c>
      <c r="I179" s="165">
        <v>1841.2726200000002</v>
      </c>
      <c r="J179" s="41">
        <v>1414.5727400000001</v>
      </c>
      <c r="K179" s="41">
        <v>-286.54854999999998</v>
      </c>
      <c r="L179" s="41">
        <v>-1056</v>
      </c>
      <c r="M179" s="41">
        <v>-2266</v>
      </c>
      <c r="N179" s="41">
        <v>-4056</v>
      </c>
      <c r="O179" s="41">
        <f t="shared" si="6"/>
        <v>-4198.1754989323554</v>
      </c>
      <c r="P179" s="41">
        <f t="shared" si="6"/>
        <v>-4324.3524234000888</v>
      </c>
      <c r="Q179" s="41"/>
      <c r="R179" s="41"/>
    </row>
    <row r="180" spans="1:18" x14ac:dyDescent="0.25">
      <c r="A180" s="30">
        <v>545</v>
      </c>
      <c r="B180" s="31" t="s">
        <v>494</v>
      </c>
      <c r="C180" s="41">
        <v>295</v>
      </c>
      <c r="D180" s="41">
        <v>552</v>
      </c>
      <c r="E180" s="41">
        <v>649</v>
      </c>
      <c r="F180" s="41">
        <v>437</v>
      </c>
      <c r="G180" s="41">
        <v>640</v>
      </c>
      <c r="H180" s="41">
        <v>34</v>
      </c>
      <c r="I180" s="165">
        <v>1051.0940900000001</v>
      </c>
      <c r="J180" s="41">
        <v>-364.95564000000002</v>
      </c>
      <c r="K180" s="41">
        <v>-212.94407000000001</v>
      </c>
      <c r="L180" s="41">
        <v>-492.7</v>
      </c>
      <c r="M180" s="41">
        <v>-500</v>
      </c>
      <c r="N180" s="41">
        <v>-500</v>
      </c>
      <c r="O180" s="41">
        <f t="shared" si="6"/>
        <v>-517.52656545024104</v>
      </c>
      <c r="P180" s="41">
        <f t="shared" si="6"/>
        <v>-533.08092004438959</v>
      </c>
      <c r="Q180" s="41"/>
      <c r="R180" s="41"/>
    </row>
    <row r="181" spans="1:18" x14ac:dyDescent="0.25">
      <c r="A181" s="30">
        <v>560</v>
      </c>
      <c r="B181" s="31" t="s">
        <v>495</v>
      </c>
      <c r="C181" s="41">
        <v>1455</v>
      </c>
      <c r="D181" s="41">
        <v>1528</v>
      </c>
      <c r="E181" s="41">
        <v>1521</v>
      </c>
      <c r="F181" s="41">
        <v>1516</v>
      </c>
      <c r="G181" s="41">
        <v>1822</v>
      </c>
      <c r="H181" s="41">
        <v>2875</v>
      </c>
      <c r="I181" s="165">
        <v>1764.2315800000001</v>
      </c>
      <c r="J181" s="41">
        <v>776.05829000000006</v>
      </c>
      <c r="K181" s="41">
        <v>439.89296999999999</v>
      </c>
      <c r="L181" s="41">
        <v>847.5</v>
      </c>
      <c r="M181" s="41">
        <v>347.5</v>
      </c>
      <c r="N181" s="41">
        <v>-52.5</v>
      </c>
      <c r="O181" s="41">
        <f t="shared" si="6"/>
        <v>-54.340289372275308</v>
      </c>
      <c r="P181" s="41">
        <f t="shared" si="6"/>
        <v>-55.973496604660909</v>
      </c>
      <c r="Q181" s="41"/>
      <c r="R181" s="41"/>
    </row>
    <row r="182" spans="1:18" x14ac:dyDescent="0.25">
      <c r="A182" s="30">
        <v>561</v>
      </c>
      <c r="B182" s="31" t="s">
        <v>496</v>
      </c>
      <c r="C182" s="41">
        <v>-44</v>
      </c>
      <c r="D182" s="41">
        <v>-34</v>
      </c>
      <c r="E182" s="41">
        <v>-34</v>
      </c>
      <c r="F182" s="41">
        <v>-42</v>
      </c>
      <c r="G182" s="41">
        <v>-43</v>
      </c>
      <c r="H182" s="41">
        <v>-42</v>
      </c>
      <c r="I182" s="165">
        <v>-36.500389999999996</v>
      </c>
      <c r="J182" s="41">
        <v>-27.605349999999998</v>
      </c>
      <c r="K182" s="41">
        <v>-110.9161</v>
      </c>
      <c r="L182" s="41">
        <v>-97.8</v>
      </c>
      <c r="M182" s="41">
        <v>-95</v>
      </c>
      <c r="N182" s="41">
        <v>-95</v>
      </c>
      <c r="O182" s="41">
        <f t="shared" si="6"/>
        <v>-98.330047435545794</v>
      </c>
      <c r="P182" s="41">
        <f t="shared" si="6"/>
        <v>-101.28537480843403</v>
      </c>
      <c r="Q182" s="41"/>
      <c r="R182" s="41"/>
    </row>
    <row r="183" spans="1:18" x14ac:dyDescent="0.25">
      <c r="A183" s="30">
        <v>562</v>
      </c>
      <c r="B183" s="31" t="s">
        <v>497</v>
      </c>
      <c r="C183" s="41">
        <v>-210</v>
      </c>
      <c r="D183" s="41">
        <v>-156</v>
      </c>
      <c r="E183" s="41">
        <v>289</v>
      </c>
      <c r="F183" s="41">
        <v>331</v>
      </c>
      <c r="G183" s="41">
        <v>129</v>
      </c>
      <c r="H183" s="41">
        <v>216</v>
      </c>
      <c r="I183" s="165">
        <v>223.19745</v>
      </c>
      <c r="J183" s="41">
        <v>261.22789999999998</v>
      </c>
      <c r="K183" s="41">
        <v>-50.381430000000002</v>
      </c>
      <c r="L183" s="41">
        <v>-503</v>
      </c>
      <c r="M183" s="41">
        <v>-703</v>
      </c>
      <c r="N183" s="41">
        <v>-703</v>
      </c>
      <c r="O183" s="41">
        <f t="shared" si="6"/>
        <v>-727.64235102303883</v>
      </c>
      <c r="P183" s="41">
        <f t="shared" si="6"/>
        <v>-749.51177358241171</v>
      </c>
      <c r="Q183" s="41"/>
      <c r="R183" s="41"/>
    </row>
    <row r="184" spans="1:18" x14ac:dyDescent="0.25">
      <c r="A184" s="30">
        <v>563</v>
      </c>
      <c r="B184" s="31" t="s">
        <v>498</v>
      </c>
      <c r="C184" s="41">
        <v>306</v>
      </c>
      <c r="D184" s="41">
        <v>888</v>
      </c>
      <c r="E184" s="41">
        <v>266</v>
      </c>
      <c r="F184" s="41">
        <v>268</v>
      </c>
      <c r="G184" s="41">
        <v>1610</v>
      </c>
      <c r="H184" s="41">
        <v>161</v>
      </c>
      <c r="I184" s="165">
        <v>1965.22372</v>
      </c>
      <c r="J184" s="41">
        <v>-712.10026000000005</v>
      </c>
      <c r="K184" s="41">
        <v>-121.56314</v>
      </c>
      <c r="L184" s="41">
        <v>-338.18900000000002</v>
      </c>
      <c r="M184" s="41">
        <v>-700</v>
      </c>
      <c r="N184" s="41">
        <v>-600</v>
      </c>
      <c r="O184" s="41">
        <f t="shared" si="6"/>
        <v>-621.0318785402892</v>
      </c>
      <c r="P184" s="41">
        <f t="shared" si="6"/>
        <v>-639.69710405326748</v>
      </c>
      <c r="Q184" s="41"/>
      <c r="R184" s="41"/>
    </row>
    <row r="185" spans="1:18" x14ac:dyDescent="0.25">
      <c r="A185" s="30">
        <v>564</v>
      </c>
      <c r="B185" s="31" t="s">
        <v>499</v>
      </c>
      <c r="C185" s="41">
        <v>26909</v>
      </c>
      <c r="D185" s="41">
        <v>8435</v>
      </c>
      <c r="E185" s="41">
        <v>28126</v>
      </c>
      <c r="F185" s="41">
        <v>2354</v>
      </c>
      <c r="G185" s="41">
        <v>16033</v>
      </c>
      <c r="H185" s="41">
        <v>5625</v>
      </c>
      <c r="I185" s="165">
        <v>19599.91245</v>
      </c>
      <c r="J185" s="41">
        <v>15740.524710000002</v>
      </c>
      <c r="K185" s="41">
        <v>21268.715929999998</v>
      </c>
      <c r="L185" s="41">
        <v>4031.4201899999998</v>
      </c>
      <c r="M185" s="41">
        <v>-1327.27207</v>
      </c>
      <c r="N185" s="41">
        <v>-5700.2524400000002</v>
      </c>
      <c r="O185" s="41">
        <f t="shared" si="6"/>
        <v>-5900.0641349451125</v>
      </c>
      <c r="P185" s="41">
        <f t="shared" si="6"/>
        <v>-6077.3916304009535</v>
      </c>
      <c r="Q185" s="41"/>
      <c r="R185" s="41"/>
    </row>
    <row r="186" spans="1:18" x14ac:dyDescent="0.25">
      <c r="A186" s="30">
        <v>576</v>
      </c>
      <c r="B186" s="31" t="s">
        <v>500</v>
      </c>
      <c r="C186" s="41">
        <v>49</v>
      </c>
      <c r="D186" s="41">
        <v>-430</v>
      </c>
      <c r="E186" s="41">
        <v>79</v>
      </c>
      <c r="F186" s="41">
        <v>-24</v>
      </c>
      <c r="G186" s="41">
        <v>191</v>
      </c>
      <c r="H186" s="41">
        <v>102</v>
      </c>
      <c r="I186" s="165">
        <v>137.61831000000001</v>
      </c>
      <c r="J186" s="41">
        <v>11.22505</v>
      </c>
      <c r="K186" s="41">
        <v>90.046729999999997</v>
      </c>
      <c r="L186" s="41">
        <v>168.5</v>
      </c>
      <c r="M186" s="41">
        <v>168.5</v>
      </c>
      <c r="N186" s="41">
        <v>168.5</v>
      </c>
      <c r="O186" s="41">
        <f t="shared" si="6"/>
        <v>174.40645255673121</v>
      </c>
      <c r="P186" s="41">
        <f t="shared" si="6"/>
        <v>179.64827005495928</v>
      </c>
      <c r="Q186" s="41"/>
      <c r="R186" s="41"/>
    </row>
    <row r="187" spans="1:18" x14ac:dyDescent="0.25">
      <c r="A187" s="30">
        <v>577</v>
      </c>
      <c r="B187" s="31" t="s">
        <v>501</v>
      </c>
      <c r="C187" s="41">
        <v>-53</v>
      </c>
      <c r="D187" s="41">
        <v>517</v>
      </c>
      <c r="E187" s="41">
        <v>620</v>
      </c>
      <c r="F187" s="41">
        <v>644</v>
      </c>
      <c r="G187" s="41">
        <v>673</v>
      </c>
      <c r="H187" s="41">
        <v>783</v>
      </c>
      <c r="I187" s="165">
        <v>803.46796999999992</v>
      </c>
      <c r="J187" s="41">
        <v>608.35784999999998</v>
      </c>
      <c r="K187" s="41">
        <v>-238.01214999999999</v>
      </c>
      <c r="L187" s="41">
        <v>245</v>
      </c>
      <c r="M187" s="41">
        <v>-55</v>
      </c>
      <c r="N187" s="41">
        <v>-155</v>
      </c>
      <c r="O187" s="41">
        <f t="shared" si="6"/>
        <v>-160.43323528957472</v>
      </c>
      <c r="P187" s="41">
        <f t="shared" si="6"/>
        <v>-165.25508521376079</v>
      </c>
      <c r="Q187" s="41"/>
      <c r="R187" s="41"/>
    </row>
    <row r="188" spans="1:18" x14ac:dyDescent="0.25">
      <c r="A188" s="30">
        <v>578</v>
      </c>
      <c r="B188" s="31" t="s">
        <v>502</v>
      </c>
      <c r="C188" s="41">
        <v>-164</v>
      </c>
      <c r="D188" s="41">
        <v>-125</v>
      </c>
      <c r="E188" s="41">
        <v>509</v>
      </c>
      <c r="F188" s="41">
        <v>-57</v>
      </c>
      <c r="G188" s="41">
        <v>561</v>
      </c>
      <c r="H188" s="41">
        <v>47</v>
      </c>
      <c r="I188" s="165">
        <v>298.42384999999996</v>
      </c>
      <c r="J188" s="41">
        <v>-454.29500000000002</v>
      </c>
      <c r="K188" s="41">
        <v>-80.84272</v>
      </c>
      <c r="L188" s="41">
        <v>74.8</v>
      </c>
      <c r="M188" s="41">
        <v>49.8</v>
      </c>
      <c r="N188" s="41">
        <v>149.80000000000001</v>
      </c>
      <c r="O188" s="41">
        <f t="shared" si="6"/>
        <v>155.05095900889222</v>
      </c>
      <c r="P188" s="41">
        <f t="shared" si="6"/>
        <v>159.71104364529913</v>
      </c>
      <c r="Q188" s="41"/>
      <c r="R188" s="41"/>
    </row>
    <row r="189" spans="1:18" x14ac:dyDescent="0.25">
      <c r="A189" s="30">
        <v>580</v>
      </c>
      <c r="B189" s="31" t="s">
        <v>503</v>
      </c>
      <c r="C189" s="41">
        <v>38</v>
      </c>
      <c r="D189" s="41">
        <v>51</v>
      </c>
      <c r="E189" s="41">
        <v>25</v>
      </c>
      <c r="F189" s="41">
        <v>71</v>
      </c>
      <c r="G189" s="41">
        <v>22</v>
      </c>
      <c r="H189" s="41">
        <v>29</v>
      </c>
      <c r="I189" s="165">
        <v>28.53725</v>
      </c>
      <c r="J189" s="41">
        <v>-126.23217</v>
      </c>
      <c r="K189" s="41">
        <v>-82.025490000000005</v>
      </c>
      <c r="L189" s="41">
        <v>-197.2</v>
      </c>
      <c r="M189" s="41">
        <v>-227.2</v>
      </c>
      <c r="N189" s="41">
        <v>-210.2</v>
      </c>
      <c r="O189" s="41">
        <f t="shared" si="6"/>
        <v>-217.56816811528131</v>
      </c>
      <c r="P189" s="41">
        <f t="shared" si="6"/>
        <v>-224.10721878666138</v>
      </c>
      <c r="Q189" s="41"/>
      <c r="R189" s="41"/>
    </row>
    <row r="190" spans="1:18" x14ac:dyDescent="0.25">
      <c r="A190" s="30">
        <v>581</v>
      </c>
      <c r="B190" s="31" t="s">
        <v>504</v>
      </c>
      <c r="C190" s="41">
        <v>-25</v>
      </c>
      <c r="D190" s="41">
        <v>247</v>
      </c>
      <c r="E190" s="41">
        <v>391</v>
      </c>
      <c r="F190" s="41">
        <v>215</v>
      </c>
      <c r="G190" s="41">
        <v>-389</v>
      </c>
      <c r="H190" s="41">
        <v>-502</v>
      </c>
      <c r="I190" s="165">
        <v>-603.23420999999996</v>
      </c>
      <c r="J190" s="41">
        <v>-579.46099000000004</v>
      </c>
      <c r="K190" s="41">
        <v>-867.34798999999998</v>
      </c>
      <c r="L190" s="41">
        <v>-950</v>
      </c>
      <c r="M190" s="41">
        <v>-950</v>
      </c>
      <c r="N190" s="41">
        <v>-1000</v>
      </c>
      <c r="O190" s="41">
        <f t="shared" si="6"/>
        <v>-1035.0531309004821</v>
      </c>
      <c r="P190" s="41">
        <f t="shared" si="6"/>
        <v>-1066.1618400887792</v>
      </c>
      <c r="Q190" s="41"/>
      <c r="R190" s="41"/>
    </row>
    <row r="191" spans="1:18" x14ac:dyDescent="0.25">
      <c r="A191" s="30">
        <v>583</v>
      </c>
      <c r="B191" s="31" t="s">
        <v>505</v>
      </c>
      <c r="C191" s="41">
        <v>-23</v>
      </c>
      <c r="D191" s="41">
        <v>0</v>
      </c>
      <c r="E191" s="41">
        <v>-13</v>
      </c>
      <c r="F191" s="41">
        <v>-10</v>
      </c>
      <c r="G191" s="41">
        <v>65</v>
      </c>
      <c r="H191" s="41">
        <v>11</v>
      </c>
      <c r="I191" s="165">
        <v>3.7925300000000002</v>
      </c>
      <c r="J191" s="41">
        <v>16.38391</v>
      </c>
      <c r="K191" s="41">
        <v>-105.16455999999999</v>
      </c>
      <c r="L191" s="41">
        <v>-153.62239000000002</v>
      </c>
      <c r="M191" s="41">
        <v>-153.62239</v>
      </c>
      <c r="N191" s="41">
        <v>-153.62239</v>
      </c>
      <c r="O191" s="41">
        <f t="shared" si="6"/>
        <v>-159.0073357459149</v>
      </c>
      <c r="P191" s="41">
        <f t="shared" si="6"/>
        <v>-163.78633000123608</v>
      </c>
      <c r="Q191" s="41"/>
      <c r="R191" s="41"/>
    </row>
    <row r="192" spans="1:18" x14ac:dyDescent="0.25">
      <c r="A192" s="30">
        <v>584</v>
      </c>
      <c r="B192" s="31" t="s">
        <v>506</v>
      </c>
      <c r="C192" s="41">
        <v>304</v>
      </c>
      <c r="D192" s="41">
        <v>218</v>
      </c>
      <c r="E192" s="41">
        <v>285</v>
      </c>
      <c r="F192" s="41">
        <v>-34</v>
      </c>
      <c r="G192" s="41">
        <v>383</v>
      </c>
      <c r="H192" s="41">
        <v>248</v>
      </c>
      <c r="I192" s="165">
        <v>533.61173999999994</v>
      </c>
      <c r="J192" s="41">
        <v>-374.20834000000002</v>
      </c>
      <c r="K192" s="41">
        <v>210.24961999999999</v>
      </c>
      <c r="L192" s="41">
        <v>-489.51100000000002</v>
      </c>
      <c r="M192" s="41">
        <v>-477.96300000000002</v>
      </c>
      <c r="N192" s="41">
        <v>-464.24900000000002</v>
      </c>
      <c r="O192" s="41">
        <f t="shared" si="6"/>
        <v>-480.52238096741792</v>
      </c>
      <c r="P192" s="41">
        <f t="shared" si="6"/>
        <v>-494.9645680993757</v>
      </c>
      <c r="Q192" s="41"/>
      <c r="R192" s="41"/>
    </row>
    <row r="193" spans="1:18" x14ac:dyDescent="0.25">
      <c r="A193" s="30">
        <v>588</v>
      </c>
      <c r="B193" s="31" t="s">
        <v>507</v>
      </c>
      <c r="C193" s="41">
        <v>16</v>
      </c>
      <c r="D193" s="41">
        <v>29</v>
      </c>
      <c r="E193" s="41">
        <v>96</v>
      </c>
      <c r="F193" s="41">
        <v>0</v>
      </c>
      <c r="G193" s="41">
        <v>63</v>
      </c>
      <c r="H193" s="41">
        <v>90</v>
      </c>
      <c r="I193" s="165">
        <v>94.10342</v>
      </c>
      <c r="J193" s="41">
        <v>106.66244999999999</v>
      </c>
      <c r="K193" s="41">
        <v>-182.26820000000001</v>
      </c>
      <c r="L193" s="41">
        <v>-206.1</v>
      </c>
      <c r="M193" s="41">
        <v>0</v>
      </c>
      <c r="N193" s="41">
        <v>0</v>
      </c>
      <c r="O193" s="41">
        <v>0</v>
      </c>
      <c r="P193" s="41">
        <v>0</v>
      </c>
      <c r="Q193" s="41"/>
      <c r="R193" s="41"/>
    </row>
    <row r="194" spans="1:18" x14ac:dyDescent="0.25">
      <c r="A194" s="30">
        <v>592</v>
      </c>
      <c r="B194" s="31" t="s">
        <v>508</v>
      </c>
      <c r="C194" s="41">
        <v>378</v>
      </c>
      <c r="D194" s="41">
        <v>97</v>
      </c>
      <c r="E194" s="41">
        <v>167</v>
      </c>
      <c r="F194" s="41">
        <v>7</v>
      </c>
      <c r="G194" s="41">
        <v>-1791</v>
      </c>
      <c r="H194" s="41">
        <v>120</v>
      </c>
      <c r="I194" s="165">
        <v>299.78784000000002</v>
      </c>
      <c r="J194" s="41">
        <v>-290.71854999999999</v>
      </c>
      <c r="K194" s="41">
        <v>-261.61716000000001</v>
      </c>
      <c r="L194" s="41">
        <v>-638.4</v>
      </c>
      <c r="M194" s="41">
        <v>-550</v>
      </c>
      <c r="N194" s="41">
        <v>-300</v>
      </c>
      <c r="O194" s="41">
        <f t="shared" si="6"/>
        <v>-310.5159392701446</v>
      </c>
      <c r="P194" s="41">
        <f t="shared" si="6"/>
        <v>-319.84855202663374</v>
      </c>
      <c r="Q194" s="41"/>
      <c r="R194" s="41"/>
    </row>
    <row r="195" spans="1:18" x14ac:dyDescent="0.25">
      <c r="A195" s="30">
        <v>593</v>
      </c>
      <c r="B195" s="31" t="s">
        <v>509</v>
      </c>
      <c r="C195" s="41">
        <v>-33</v>
      </c>
      <c r="D195" s="41">
        <v>528</v>
      </c>
      <c r="E195" s="41">
        <v>1070</v>
      </c>
      <c r="F195" s="41">
        <v>859</v>
      </c>
      <c r="G195" s="41">
        <v>822</v>
      </c>
      <c r="H195" s="41">
        <v>996</v>
      </c>
      <c r="I195" s="165">
        <v>1261.8218899999999</v>
      </c>
      <c r="J195" s="41">
        <v>1455.9582600000001</v>
      </c>
      <c r="K195" s="41">
        <v>164.16884999999999</v>
      </c>
      <c r="L195" s="41">
        <v>-147</v>
      </c>
      <c r="M195" s="41">
        <v>-157</v>
      </c>
      <c r="N195" s="41">
        <v>-143</v>
      </c>
      <c r="O195" s="41">
        <f t="shared" si="6"/>
        <v>-148.01259771876892</v>
      </c>
      <c r="P195" s="41">
        <f t="shared" si="6"/>
        <v>-152.46114313269541</v>
      </c>
      <c r="Q195" s="41"/>
      <c r="R195" s="41"/>
    </row>
    <row r="196" spans="1:18" x14ac:dyDescent="0.25">
      <c r="A196" s="30">
        <v>595</v>
      </c>
      <c r="B196" s="31" t="s">
        <v>510</v>
      </c>
      <c r="C196" s="41">
        <v>405</v>
      </c>
      <c r="D196" s="41">
        <v>183</v>
      </c>
      <c r="E196" s="41">
        <v>412</v>
      </c>
      <c r="F196" s="41">
        <v>394</v>
      </c>
      <c r="G196" s="41">
        <v>464</v>
      </c>
      <c r="H196" s="41">
        <v>225</v>
      </c>
      <c r="I196" s="165">
        <v>450.74578000000002</v>
      </c>
      <c r="J196" s="41">
        <v>633.45172000000002</v>
      </c>
      <c r="K196" s="41">
        <v>705.8904</v>
      </c>
      <c r="L196" s="41">
        <v>378.16399999999999</v>
      </c>
      <c r="M196" s="41">
        <v>244.267</v>
      </c>
      <c r="N196" s="41">
        <v>246.1</v>
      </c>
      <c r="O196" s="41">
        <f t="shared" si="6"/>
        <v>254.72657551460861</v>
      </c>
      <c r="P196" s="41">
        <f t="shared" si="6"/>
        <v>262.38242884584855</v>
      </c>
      <c r="Q196" s="41"/>
      <c r="R196" s="41"/>
    </row>
    <row r="197" spans="1:18" x14ac:dyDescent="0.25">
      <c r="A197" s="30">
        <v>598</v>
      </c>
      <c r="B197" s="31" t="s">
        <v>511</v>
      </c>
      <c r="C197" s="41">
        <v>-528</v>
      </c>
      <c r="D197" s="41">
        <v>-148</v>
      </c>
      <c r="E197" s="41">
        <v>314</v>
      </c>
      <c r="F197" s="41">
        <v>1699</v>
      </c>
      <c r="G197" s="41">
        <v>959</v>
      </c>
      <c r="H197" s="41">
        <v>990</v>
      </c>
      <c r="I197" s="165">
        <v>1480.5429999999999</v>
      </c>
      <c r="J197" s="41">
        <v>631.53300000000002</v>
      </c>
      <c r="K197" s="41">
        <v>2421.51226</v>
      </c>
      <c r="L197" s="41">
        <v>564</v>
      </c>
      <c r="M197" s="41">
        <v>-443</v>
      </c>
      <c r="N197" s="41">
        <v>-443</v>
      </c>
      <c r="O197" s="41">
        <f t="shared" si="6"/>
        <v>-458.52853698891352</v>
      </c>
      <c r="P197" s="41">
        <f t="shared" si="6"/>
        <v>-472.30969515932918</v>
      </c>
      <c r="Q197" s="41"/>
      <c r="R197" s="41"/>
    </row>
    <row r="198" spans="1:18" x14ac:dyDescent="0.25">
      <c r="A198" s="30">
        <v>599</v>
      </c>
      <c r="B198" s="31" t="s">
        <v>512</v>
      </c>
      <c r="C198" s="41">
        <v>181</v>
      </c>
      <c r="D198" s="41">
        <v>188</v>
      </c>
      <c r="E198" s="41">
        <v>275</v>
      </c>
      <c r="F198" s="41">
        <v>214</v>
      </c>
      <c r="G198" s="41">
        <v>211</v>
      </c>
      <c r="H198" s="41">
        <v>179</v>
      </c>
      <c r="I198" s="165">
        <v>171.75384</v>
      </c>
      <c r="J198" s="41">
        <v>100.85002</v>
      </c>
      <c r="K198" s="41">
        <v>-363.77012999999999</v>
      </c>
      <c r="L198" s="41">
        <v>-773.3</v>
      </c>
      <c r="M198" s="41">
        <v>-773.3</v>
      </c>
      <c r="N198" s="41">
        <v>-773.3</v>
      </c>
      <c r="O198" s="41">
        <f t="shared" si="6"/>
        <v>-800.40658612534264</v>
      </c>
      <c r="P198" s="41">
        <f t="shared" si="6"/>
        <v>-824.46295094065283</v>
      </c>
      <c r="Q198" s="41"/>
      <c r="R198" s="41"/>
    </row>
    <row r="199" spans="1:18" x14ac:dyDescent="0.25">
      <c r="A199" s="30">
        <v>601</v>
      </c>
      <c r="B199" s="31" t="s">
        <v>513</v>
      </c>
      <c r="C199" s="41">
        <v>28</v>
      </c>
      <c r="D199" s="41">
        <v>233</v>
      </c>
      <c r="E199" s="41">
        <v>154</v>
      </c>
      <c r="F199" s="41">
        <v>113</v>
      </c>
      <c r="G199" s="41">
        <v>248</v>
      </c>
      <c r="H199" s="41">
        <v>66</v>
      </c>
      <c r="I199" s="165">
        <v>627.53023999999994</v>
      </c>
      <c r="J199" s="41">
        <v>-250.19415000000001</v>
      </c>
      <c r="K199" s="41">
        <v>-509.18645000000004</v>
      </c>
      <c r="L199" s="41">
        <v>-56</v>
      </c>
      <c r="M199" s="41">
        <v>-56</v>
      </c>
      <c r="N199" s="41">
        <v>-56</v>
      </c>
      <c r="O199" s="41">
        <f t="shared" si="6"/>
        <v>-57.962975330426993</v>
      </c>
      <c r="P199" s="41">
        <f t="shared" si="6"/>
        <v>-59.705063044971631</v>
      </c>
      <c r="Q199" s="41"/>
      <c r="R199" s="41"/>
    </row>
    <row r="200" spans="1:18" x14ac:dyDescent="0.25">
      <c r="A200" s="30">
        <v>604</v>
      </c>
      <c r="B200" s="31" t="s">
        <v>514</v>
      </c>
      <c r="C200" s="41">
        <v>-642</v>
      </c>
      <c r="D200" s="41">
        <v>-401</v>
      </c>
      <c r="E200" s="41">
        <v>37</v>
      </c>
      <c r="F200" s="41">
        <v>51</v>
      </c>
      <c r="G200" s="41">
        <v>147</v>
      </c>
      <c r="H200" s="41">
        <v>-203</v>
      </c>
      <c r="I200" s="165">
        <v>-267.29396999999994</v>
      </c>
      <c r="J200" s="41">
        <v>-608.74161000000004</v>
      </c>
      <c r="K200" s="41">
        <v>-1070.96246</v>
      </c>
      <c r="L200" s="41">
        <v>-926.5</v>
      </c>
      <c r="M200" s="41">
        <v>-696.5</v>
      </c>
      <c r="N200" s="41">
        <v>-786.5</v>
      </c>
      <c r="O200" s="41">
        <f t="shared" si="6"/>
        <v>-814.06928745322909</v>
      </c>
      <c r="P200" s="41">
        <f t="shared" si="6"/>
        <v>-838.53628722982478</v>
      </c>
      <c r="Q200" s="41"/>
      <c r="R200" s="41"/>
    </row>
    <row r="201" spans="1:18" x14ac:dyDescent="0.25">
      <c r="A201" s="30">
        <v>607</v>
      </c>
      <c r="B201" s="31" t="s">
        <v>515</v>
      </c>
      <c r="C201" s="41">
        <v>159</v>
      </c>
      <c r="D201" s="41">
        <v>204</v>
      </c>
      <c r="E201" s="41">
        <v>136</v>
      </c>
      <c r="F201" s="41">
        <v>175</v>
      </c>
      <c r="G201" s="41">
        <v>293</v>
      </c>
      <c r="H201" s="41">
        <v>276</v>
      </c>
      <c r="I201" s="165">
        <v>151.11933999999999</v>
      </c>
      <c r="J201" s="41">
        <v>230.68351999999999</v>
      </c>
      <c r="K201" s="41">
        <v>102.85378999999999</v>
      </c>
      <c r="L201" s="41">
        <v>-129.096</v>
      </c>
      <c r="M201" s="41">
        <v>-89</v>
      </c>
      <c r="N201" s="41">
        <v>-69</v>
      </c>
      <c r="O201" s="41">
        <f t="shared" si="6"/>
        <v>-71.41866603213326</v>
      </c>
      <c r="P201" s="41">
        <f t="shared" si="6"/>
        <v>-73.565166966125759</v>
      </c>
      <c r="Q201" s="41"/>
      <c r="R201" s="41"/>
    </row>
    <row r="202" spans="1:18" x14ac:dyDescent="0.25">
      <c r="A202" s="30">
        <v>608</v>
      </c>
      <c r="B202" s="31" t="s">
        <v>516</v>
      </c>
      <c r="C202" s="41">
        <v>-7</v>
      </c>
      <c r="D202" s="41">
        <v>-9</v>
      </c>
      <c r="E202" s="41">
        <v>-9</v>
      </c>
      <c r="F202" s="41">
        <v>-35</v>
      </c>
      <c r="G202" s="41">
        <v>0</v>
      </c>
      <c r="H202" s="41">
        <v>-14</v>
      </c>
      <c r="I202" s="165">
        <v>-11.080719999999999</v>
      </c>
      <c r="J202" s="41">
        <v>-26.03069</v>
      </c>
      <c r="K202" s="41">
        <v>-66.409899999999993</v>
      </c>
      <c r="L202" s="41">
        <v>-110.61499999999999</v>
      </c>
      <c r="M202" s="41">
        <v>-125.91500000000001</v>
      </c>
      <c r="N202" s="41">
        <v>-140.91499999999999</v>
      </c>
      <c r="O202" s="41">
        <f t="shared" si="6"/>
        <v>-145.85451194084141</v>
      </c>
      <c r="P202" s="41">
        <f t="shared" si="6"/>
        <v>-150.2381956961103</v>
      </c>
      <c r="Q202" s="41"/>
      <c r="R202" s="41"/>
    </row>
    <row r="203" spans="1:18" x14ac:dyDescent="0.25">
      <c r="A203" s="30">
        <v>609</v>
      </c>
      <c r="B203" s="31" t="s">
        <v>517</v>
      </c>
      <c r="C203" s="41">
        <v>10407</v>
      </c>
      <c r="D203" s="41">
        <v>5769</v>
      </c>
      <c r="E203" s="41">
        <v>7700</v>
      </c>
      <c r="F203" s="41">
        <v>6853</v>
      </c>
      <c r="G203" s="41">
        <v>4443</v>
      </c>
      <c r="H203" s="41">
        <v>4617</v>
      </c>
      <c r="I203" s="165">
        <v>5721.8155999999999</v>
      </c>
      <c r="J203" s="41">
        <v>5010.7581100000007</v>
      </c>
      <c r="K203" s="41">
        <v>-1584.8871999999999</v>
      </c>
      <c r="L203" s="41">
        <v>-2278.4760000000001</v>
      </c>
      <c r="M203" s="41">
        <v>-2988.4760000000001</v>
      </c>
      <c r="N203" s="41">
        <v>10393.391</v>
      </c>
      <c r="O203" s="41">
        <f t="shared" si="6"/>
        <v>10757.711895222892</v>
      </c>
      <c r="P203" s="41">
        <f t="shared" si="6"/>
        <v>11081.036873322157</v>
      </c>
      <c r="Q203" s="41"/>
      <c r="R203" s="41"/>
    </row>
    <row r="204" spans="1:18" x14ac:dyDescent="0.25">
      <c r="A204" s="30">
        <v>611</v>
      </c>
      <c r="B204" s="31" t="s">
        <v>518</v>
      </c>
      <c r="C204" s="41">
        <v>-149</v>
      </c>
      <c r="D204" s="41">
        <v>-155</v>
      </c>
      <c r="E204" s="41">
        <v>-150</v>
      </c>
      <c r="F204" s="41">
        <v>-143</v>
      </c>
      <c r="G204" s="41">
        <v>-92</v>
      </c>
      <c r="H204" s="41">
        <v>-47</v>
      </c>
      <c r="I204" s="165">
        <v>-37.01876</v>
      </c>
      <c r="J204" s="41">
        <v>-1.79758</v>
      </c>
      <c r="K204" s="41">
        <v>-152.94469000000001</v>
      </c>
      <c r="L204" s="41">
        <v>-85.75</v>
      </c>
      <c r="M204" s="41">
        <v>-95.25</v>
      </c>
      <c r="N204" s="41">
        <v>-110.25</v>
      </c>
      <c r="O204" s="41">
        <f t="shared" si="6"/>
        <v>-114.11460768177814</v>
      </c>
      <c r="P204" s="41">
        <f t="shared" si="6"/>
        <v>-117.5443428697879</v>
      </c>
      <c r="Q204" s="41"/>
      <c r="R204" s="41"/>
    </row>
    <row r="205" spans="1:18" x14ac:dyDescent="0.25">
      <c r="A205" s="30">
        <v>614</v>
      </c>
      <c r="B205" s="31" t="s">
        <v>519</v>
      </c>
      <c r="C205" s="41">
        <v>231</v>
      </c>
      <c r="D205" s="41">
        <v>-87</v>
      </c>
      <c r="E205" s="41">
        <v>164</v>
      </c>
      <c r="F205" s="41">
        <v>-158</v>
      </c>
      <c r="G205" s="41">
        <v>-51</v>
      </c>
      <c r="H205" s="41">
        <v>64</v>
      </c>
      <c r="I205" s="165">
        <v>125.67158000000001</v>
      </c>
      <c r="J205" s="41">
        <v>201.38298</v>
      </c>
      <c r="K205" s="41">
        <v>-551.85593999999992</v>
      </c>
      <c r="L205" s="41">
        <v>-163.22462999999999</v>
      </c>
      <c r="M205" s="41">
        <v>-163.22462999999999</v>
      </c>
      <c r="N205" s="41">
        <v>-163.22462999999999</v>
      </c>
      <c r="O205" s="41">
        <f t="shared" si="6"/>
        <v>-168.94616432157272</v>
      </c>
      <c r="P205" s="41">
        <f t="shared" si="6"/>
        <v>-174.02387186861012</v>
      </c>
      <c r="Q205" s="41"/>
      <c r="R205" s="41"/>
    </row>
    <row r="206" spans="1:18" x14ac:dyDescent="0.25">
      <c r="A206" s="30">
        <v>615</v>
      </c>
      <c r="B206" s="31" t="s">
        <v>520</v>
      </c>
      <c r="C206" s="41">
        <v>445</v>
      </c>
      <c r="D206" s="41">
        <v>136</v>
      </c>
      <c r="E206" s="41">
        <v>2064</v>
      </c>
      <c r="F206" s="41">
        <v>455</v>
      </c>
      <c r="G206" s="41">
        <v>791</v>
      </c>
      <c r="H206" s="41">
        <v>203</v>
      </c>
      <c r="I206" s="165">
        <v>984.20756999999992</v>
      </c>
      <c r="J206" s="41">
        <v>-57.779120000000006</v>
      </c>
      <c r="K206" s="41">
        <v>71.805080000000004</v>
      </c>
      <c r="L206" s="41">
        <v>-170</v>
      </c>
      <c r="M206" s="41">
        <v>0</v>
      </c>
      <c r="N206" s="41">
        <v>0</v>
      </c>
      <c r="O206" s="41">
        <f t="shared" si="6"/>
        <v>0</v>
      </c>
      <c r="P206" s="41">
        <f t="shared" si="6"/>
        <v>0</v>
      </c>
      <c r="Q206" s="41"/>
      <c r="R206" s="41"/>
    </row>
    <row r="207" spans="1:18" x14ac:dyDescent="0.25">
      <c r="A207" s="30">
        <v>616</v>
      </c>
      <c r="B207" s="31" t="s">
        <v>521</v>
      </c>
      <c r="C207" s="41">
        <v>17</v>
      </c>
      <c r="D207" s="41">
        <v>25</v>
      </c>
      <c r="E207" s="41">
        <v>93</v>
      </c>
      <c r="F207" s="41">
        <v>132</v>
      </c>
      <c r="G207" s="41">
        <v>134</v>
      </c>
      <c r="H207" s="41">
        <v>147</v>
      </c>
      <c r="I207" s="165">
        <v>131.91871</v>
      </c>
      <c r="J207" s="41">
        <v>70.519210000000001</v>
      </c>
      <c r="K207" s="41">
        <v>30.746549999999999</v>
      </c>
      <c r="L207" s="41">
        <v>104.94</v>
      </c>
      <c r="M207" s="41">
        <v>80.525000000000006</v>
      </c>
      <c r="N207" s="41">
        <v>65.292000000000002</v>
      </c>
      <c r="O207" s="41">
        <f t="shared" si="6"/>
        <v>67.580689022754271</v>
      </c>
      <c r="P207" s="41">
        <f t="shared" si="6"/>
        <v>69.611838863076571</v>
      </c>
      <c r="Q207" s="41"/>
      <c r="R207" s="41"/>
    </row>
    <row r="208" spans="1:18" x14ac:dyDescent="0.25">
      <c r="A208" s="30">
        <v>619</v>
      </c>
      <c r="B208" s="31" t="s">
        <v>522</v>
      </c>
      <c r="C208" s="41">
        <v>-16</v>
      </c>
      <c r="D208" s="41">
        <v>-8</v>
      </c>
      <c r="E208" s="41">
        <v>0</v>
      </c>
      <c r="F208" s="41">
        <v>-5</v>
      </c>
      <c r="G208" s="41">
        <v>-27</v>
      </c>
      <c r="H208" s="41">
        <v>-42</v>
      </c>
      <c r="I208" s="165">
        <v>-34.482759999999999</v>
      </c>
      <c r="J208" s="41">
        <v>-14.80827</v>
      </c>
      <c r="K208" s="41">
        <v>-70.051270000000002</v>
      </c>
      <c r="L208" s="41">
        <v>-177.9</v>
      </c>
      <c r="M208" s="41">
        <v>-147.1</v>
      </c>
      <c r="N208" s="41">
        <v>-126.2</v>
      </c>
      <c r="O208" s="41">
        <f t="shared" ref="O208:P271" si="7">N208*O$5</f>
        <v>-130.62370511964085</v>
      </c>
      <c r="P208" s="41">
        <f t="shared" si="7"/>
        <v>-134.54962421920393</v>
      </c>
      <c r="Q208" s="41"/>
      <c r="R208" s="41"/>
    </row>
    <row r="209" spans="1:18" x14ac:dyDescent="0.25">
      <c r="A209" s="30">
        <v>620</v>
      </c>
      <c r="B209" s="31" t="s">
        <v>523</v>
      </c>
      <c r="C209" s="41">
        <v>-63</v>
      </c>
      <c r="D209" s="41">
        <v>-46</v>
      </c>
      <c r="E209" s="41">
        <v>1340</v>
      </c>
      <c r="F209" s="41">
        <v>-42</v>
      </c>
      <c r="G209" s="41">
        <v>-36</v>
      </c>
      <c r="H209" s="41">
        <v>-41</v>
      </c>
      <c r="I209" s="165">
        <v>-23.029139999999998</v>
      </c>
      <c r="J209" s="41">
        <v>-73.117080000000001</v>
      </c>
      <c r="K209" s="41">
        <v>-67.971419999999995</v>
      </c>
      <c r="L209" s="41">
        <v>-43.164000000000001</v>
      </c>
      <c r="M209" s="41">
        <v>-43.164000000000001</v>
      </c>
      <c r="N209" s="41">
        <v>-43.164000000000001</v>
      </c>
      <c r="O209" s="41">
        <f t="shared" si="7"/>
        <v>-44.677033342188409</v>
      </c>
      <c r="P209" s="41">
        <f t="shared" si="7"/>
        <v>-46.019809665592071</v>
      </c>
      <c r="Q209" s="41"/>
      <c r="R209" s="41"/>
    </row>
    <row r="210" spans="1:18" x14ac:dyDescent="0.25">
      <c r="A210" s="30">
        <v>623</v>
      </c>
      <c r="B210" s="31" t="s">
        <v>524</v>
      </c>
      <c r="C210" s="41">
        <v>-39</v>
      </c>
      <c r="D210" s="41">
        <v>6</v>
      </c>
      <c r="E210" s="41">
        <v>90</v>
      </c>
      <c r="F210" s="41">
        <v>-6</v>
      </c>
      <c r="G210" s="41">
        <v>80</v>
      </c>
      <c r="H210" s="41">
        <v>87</v>
      </c>
      <c r="I210" s="165">
        <v>60.889720000000004</v>
      </c>
      <c r="J210" s="41">
        <v>63.24494</v>
      </c>
      <c r="K210" s="41">
        <v>174.75667999999999</v>
      </c>
      <c r="L210" s="41">
        <v>73.8</v>
      </c>
      <c r="M210" s="41">
        <v>76.013999999999996</v>
      </c>
      <c r="N210" s="41">
        <v>78.293999999999997</v>
      </c>
      <c r="O210" s="41">
        <f t="shared" si="7"/>
        <v>81.038449830722342</v>
      </c>
      <c r="P210" s="41">
        <f t="shared" si="7"/>
        <v>83.474075107910878</v>
      </c>
      <c r="Q210" s="41"/>
      <c r="R210" s="41"/>
    </row>
    <row r="211" spans="1:18" x14ac:dyDescent="0.25">
      <c r="A211" s="30">
        <v>624</v>
      </c>
      <c r="B211" s="31" t="s">
        <v>525</v>
      </c>
      <c r="C211" s="41">
        <v>-45</v>
      </c>
      <c r="D211" s="41">
        <v>2</v>
      </c>
      <c r="E211" s="41">
        <v>7</v>
      </c>
      <c r="F211" s="41">
        <v>18</v>
      </c>
      <c r="G211" s="41">
        <v>45</v>
      </c>
      <c r="H211" s="41">
        <v>22</v>
      </c>
      <c r="I211" s="165">
        <v>4.0983400000000003</v>
      </c>
      <c r="J211" s="41">
        <v>-44.362310000000001</v>
      </c>
      <c r="K211" s="41">
        <v>-177.87357</v>
      </c>
      <c r="L211" s="41">
        <v>-206</v>
      </c>
      <c r="M211" s="41">
        <v>-206</v>
      </c>
      <c r="N211" s="41">
        <v>-306</v>
      </c>
      <c r="O211" s="41">
        <f t="shared" si="7"/>
        <v>-316.72625805554748</v>
      </c>
      <c r="P211" s="41">
        <f t="shared" si="7"/>
        <v>-326.2455230671664</v>
      </c>
      <c r="Q211" s="41"/>
      <c r="R211" s="41"/>
    </row>
    <row r="212" spans="1:18" x14ac:dyDescent="0.25">
      <c r="A212" s="30">
        <v>625</v>
      </c>
      <c r="B212" s="31" t="s">
        <v>526</v>
      </c>
      <c r="C212" s="41">
        <v>307</v>
      </c>
      <c r="D212" s="41">
        <v>359</v>
      </c>
      <c r="E212" s="41">
        <v>402</v>
      </c>
      <c r="F212" s="41">
        <v>-80</v>
      </c>
      <c r="G212" s="41">
        <v>401</v>
      </c>
      <c r="H212" s="41">
        <v>143</v>
      </c>
      <c r="I212" s="165">
        <v>918.14879000000008</v>
      </c>
      <c r="J212" s="41">
        <v>-688.51923999999997</v>
      </c>
      <c r="K212" s="41">
        <v>85.609270000000009</v>
      </c>
      <c r="L212" s="41">
        <v>-227</v>
      </c>
      <c r="M212" s="41">
        <v>-240</v>
      </c>
      <c r="N212" s="41">
        <v>-253.16</v>
      </c>
      <c r="O212" s="41">
        <f t="shared" si="7"/>
        <v>-262.034050618766</v>
      </c>
      <c r="P212" s="41">
        <f t="shared" si="7"/>
        <v>-269.90953143687528</v>
      </c>
      <c r="Q212" s="41"/>
      <c r="R212" s="41"/>
    </row>
    <row r="213" spans="1:18" x14ac:dyDescent="0.25">
      <c r="A213" s="30">
        <v>626</v>
      </c>
      <c r="B213" s="31" t="s">
        <v>527</v>
      </c>
      <c r="C213" s="41">
        <v>461</v>
      </c>
      <c r="D213" s="41">
        <v>450</v>
      </c>
      <c r="E213" s="41">
        <v>532</v>
      </c>
      <c r="F213" s="41">
        <v>413</v>
      </c>
      <c r="G213" s="41">
        <v>488</v>
      </c>
      <c r="H213" s="41">
        <v>-285</v>
      </c>
      <c r="I213" s="165">
        <v>262.27947999999998</v>
      </c>
      <c r="J213" s="41">
        <v>-385.44988000000001</v>
      </c>
      <c r="K213" s="41">
        <v>-223.67721</v>
      </c>
      <c r="L213" s="41">
        <v>-498</v>
      </c>
      <c r="M213" s="41">
        <v>-535</v>
      </c>
      <c r="N213" s="41">
        <v>-735</v>
      </c>
      <c r="O213" s="41">
        <f t="shared" si="7"/>
        <v>-760.76405121185428</v>
      </c>
      <c r="P213" s="41">
        <f t="shared" si="7"/>
        <v>-783.62895246525272</v>
      </c>
      <c r="Q213" s="41"/>
      <c r="R213" s="41"/>
    </row>
    <row r="214" spans="1:18" x14ac:dyDescent="0.25">
      <c r="A214" s="30">
        <v>630</v>
      </c>
      <c r="B214" s="31" t="s">
        <v>528</v>
      </c>
      <c r="C214" s="41">
        <v>-16</v>
      </c>
      <c r="D214" s="41">
        <v>-8</v>
      </c>
      <c r="E214" s="41">
        <v>-9</v>
      </c>
      <c r="F214" s="41">
        <v>7</v>
      </c>
      <c r="G214" s="41">
        <v>9</v>
      </c>
      <c r="H214" s="41">
        <v>9</v>
      </c>
      <c r="I214" s="165">
        <v>29.686520000000002</v>
      </c>
      <c r="J214" s="41">
        <v>-54.111019999999996</v>
      </c>
      <c r="K214" s="41">
        <v>-160.48760999999999</v>
      </c>
      <c r="L214" s="41">
        <v>-273.45</v>
      </c>
      <c r="M214" s="41">
        <v>-273.45</v>
      </c>
      <c r="N214" s="41">
        <v>-273.45</v>
      </c>
      <c r="O214" s="41">
        <f t="shared" si="7"/>
        <v>-283.03527864473682</v>
      </c>
      <c r="P214" s="41">
        <f t="shared" si="7"/>
        <v>-291.54195517227669</v>
      </c>
      <c r="Q214" s="41"/>
      <c r="R214" s="41"/>
    </row>
    <row r="215" spans="1:18" x14ac:dyDescent="0.25">
      <c r="A215" s="30">
        <v>631</v>
      </c>
      <c r="B215" s="31" t="s">
        <v>529</v>
      </c>
      <c r="C215" s="41">
        <v>-5</v>
      </c>
      <c r="D215" s="41">
        <v>-9</v>
      </c>
      <c r="E215" s="41">
        <v>-9</v>
      </c>
      <c r="F215" s="41">
        <v>-8</v>
      </c>
      <c r="G215" s="41">
        <v>-13</v>
      </c>
      <c r="H215" s="41">
        <v>-6</v>
      </c>
      <c r="I215" s="165">
        <v>4.5534799999999995</v>
      </c>
      <c r="J215" s="41">
        <v>31.599499999999999</v>
      </c>
      <c r="K215" s="41">
        <v>-10.004760000000001</v>
      </c>
      <c r="L215" s="41">
        <v>-6.75</v>
      </c>
      <c r="M215" s="41">
        <v>10.75</v>
      </c>
      <c r="N215" s="41">
        <v>10.739000000000001</v>
      </c>
      <c r="O215" s="41">
        <f t="shared" si="7"/>
        <v>11.115435572740276</v>
      </c>
      <c r="P215" s="41">
        <f t="shared" si="7"/>
        <v>11.449512000713399</v>
      </c>
      <c r="Q215" s="41"/>
      <c r="R215" s="41"/>
    </row>
    <row r="216" spans="1:18" x14ac:dyDescent="0.25">
      <c r="A216" s="30">
        <v>635</v>
      </c>
      <c r="B216" s="31" t="s">
        <v>530</v>
      </c>
      <c r="C216" s="41">
        <v>50</v>
      </c>
      <c r="D216" s="41">
        <v>50</v>
      </c>
      <c r="E216" s="41">
        <v>345</v>
      </c>
      <c r="F216" s="41">
        <v>315</v>
      </c>
      <c r="G216" s="41">
        <v>73</v>
      </c>
      <c r="H216" s="41">
        <v>88</v>
      </c>
      <c r="I216" s="165">
        <v>71.435990000000004</v>
      </c>
      <c r="J216" s="41">
        <v>76.766530000000003</v>
      </c>
      <c r="K216" s="41">
        <v>180.60911999999999</v>
      </c>
      <c r="L216" s="41">
        <v>119</v>
      </c>
      <c r="M216" s="41">
        <v>119</v>
      </c>
      <c r="N216" s="41">
        <v>119</v>
      </c>
      <c r="O216" s="41">
        <f t="shared" si="7"/>
        <v>123.17132257715735</v>
      </c>
      <c r="P216" s="41">
        <f t="shared" si="7"/>
        <v>126.87325897056472</v>
      </c>
      <c r="Q216" s="41"/>
      <c r="R216" s="41"/>
    </row>
    <row r="217" spans="1:18" x14ac:dyDescent="0.25">
      <c r="A217" s="30">
        <v>636</v>
      </c>
      <c r="B217" s="31" t="s">
        <v>531</v>
      </c>
      <c r="C217" s="41">
        <v>-136</v>
      </c>
      <c r="D217" s="41">
        <v>-71</v>
      </c>
      <c r="E217" s="41">
        <v>-91</v>
      </c>
      <c r="F217" s="41">
        <v>-73</v>
      </c>
      <c r="G217" s="41">
        <v>-48</v>
      </c>
      <c r="H217" s="41">
        <v>-386</v>
      </c>
      <c r="I217" s="165">
        <v>-140.24226999999999</v>
      </c>
      <c r="J217" s="41">
        <v>51.229279999999996</v>
      </c>
      <c r="K217" s="41">
        <v>101.68125999999999</v>
      </c>
      <c r="L217" s="41">
        <v>-182.5</v>
      </c>
      <c r="M217" s="41">
        <v>-182.5</v>
      </c>
      <c r="N217" s="41">
        <v>-182.5</v>
      </c>
      <c r="O217" s="41">
        <f t="shared" si="7"/>
        <v>-188.89719638933798</v>
      </c>
      <c r="P217" s="41">
        <f t="shared" si="7"/>
        <v>-194.5745358162022</v>
      </c>
      <c r="Q217" s="41"/>
      <c r="R217" s="41"/>
    </row>
    <row r="218" spans="1:18" x14ac:dyDescent="0.25">
      <c r="A218" s="30">
        <v>638</v>
      </c>
      <c r="B218" s="31" t="s">
        <v>532</v>
      </c>
      <c r="C218" s="41">
        <v>1206</v>
      </c>
      <c r="D218" s="41">
        <v>1704</v>
      </c>
      <c r="E218" s="41">
        <v>1732</v>
      </c>
      <c r="F218" s="41">
        <v>2263</v>
      </c>
      <c r="G218" s="41">
        <v>2288</v>
      </c>
      <c r="H218" s="41">
        <v>2857</v>
      </c>
      <c r="I218" s="165">
        <v>2717.3024300000002</v>
      </c>
      <c r="J218" s="41">
        <v>3302.2158799999997</v>
      </c>
      <c r="K218" s="41">
        <v>3525.0338299999999</v>
      </c>
      <c r="L218" s="41">
        <v>1627</v>
      </c>
      <c r="M218" s="41">
        <v>-1431</v>
      </c>
      <c r="N218" s="41">
        <v>-4034</v>
      </c>
      <c r="O218" s="41">
        <f t="shared" si="7"/>
        <v>-4175.4043300525445</v>
      </c>
      <c r="P218" s="41">
        <f t="shared" si="7"/>
        <v>-4300.8968629181354</v>
      </c>
      <c r="Q218" s="41"/>
      <c r="R218" s="41"/>
    </row>
    <row r="219" spans="1:18" x14ac:dyDescent="0.25">
      <c r="A219" s="30">
        <v>678</v>
      </c>
      <c r="B219" s="31" t="s">
        <v>533</v>
      </c>
      <c r="C219" s="41">
        <v>1088</v>
      </c>
      <c r="D219" s="41">
        <v>1148</v>
      </c>
      <c r="E219" s="41">
        <v>1441</v>
      </c>
      <c r="F219" s="41">
        <v>-174</v>
      </c>
      <c r="G219" s="41">
        <v>3426</v>
      </c>
      <c r="H219" s="41">
        <v>1711</v>
      </c>
      <c r="I219" s="165">
        <v>3381.16608</v>
      </c>
      <c r="J219" s="41">
        <v>-171.40645999999998</v>
      </c>
      <c r="K219" s="41">
        <v>1825.19813</v>
      </c>
      <c r="L219" s="41">
        <v>-320</v>
      </c>
      <c r="M219" s="41">
        <v>165</v>
      </c>
      <c r="N219" s="41">
        <v>-320</v>
      </c>
      <c r="O219" s="41">
        <f t="shared" si="7"/>
        <v>-331.21700188815424</v>
      </c>
      <c r="P219" s="41">
        <f t="shared" si="7"/>
        <v>-341.17178882840932</v>
      </c>
      <c r="Q219" s="41"/>
      <c r="R219" s="41"/>
    </row>
    <row r="220" spans="1:18" x14ac:dyDescent="0.25">
      <c r="A220" s="30">
        <v>680</v>
      </c>
      <c r="B220" s="31" t="s">
        <v>534</v>
      </c>
      <c r="C220" s="41">
        <v>-214</v>
      </c>
      <c r="D220" s="41">
        <v>-29</v>
      </c>
      <c r="E220" s="41">
        <v>689</v>
      </c>
      <c r="F220" s="41">
        <v>1153</v>
      </c>
      <c r="G220" s="41">
        <v>2306</v>
      </c>
      <c r="H220" s="41">
        <v>1427</v>
      </c>
      <c r="I220" s="165">
        <v>370.24296000000004</v>
      </c>
      <c r="J220" s="41">
        <v>24.49128</v>
      </c>
      <c r="K220" s="41">
        <v>363.10681</v>
      </c>
      <c r="L220" s="41">
        <v>334.072</v>
      </c>
      <c r="M220" s="41">
        <v>-1219.6849999999999</v>
      </c>
      <c r="N220" s="41">
        <v>-2630.6849999999999</v>
      </c>
      <c r="O220" s="41">
        <f t="shared" si="7"/>
        <v>-2722.8987456629343</v>
      </c>
      <c r="P220" s="41">
        <f t="shared" si="7"/>
        <v>-2804.7359602939496</v>
      </c>
      <c r="Q220" s="41"/>
      <c r="R220" s="41"/>
    </row>
    <row r="221" spans="1:18" x14ac:dyDescent="0.25">
      <c r="A221" s="30">
        <v>681</v>
      </c>
      <c r="B221" s="31" t="s">
        <v>535</v>
      </c>
      <c r="C221" s="41">
        <v>57</v>
      </c>
      <c r="D221" s="41">
        <v>41</v>
      </c>
      <c r="E221" s="41">
        <v>118</v>
      </c>
      <c r="F221" s="41">
        <v>160</v>
      </c>
      <c r="G221" s="41">
        <v>261</v>
      </c>
      <c r="H221" s="41">
        <v>335</v>
      </c>
      <c r="I221" s="165">
        <v>322.59372999999999</v>
      </c>
      <c r="J221" s="41">
        <v>298.90009000000003</v>
      </c>
      <c r="K221" s="41">
        <v>254.71294</v>
      </c>
      <c r="L221" s="41">
        <v>261.31900000000002</v>
      </c>
      <c r="M221" s="41">
        <v>261.31900000000002</v>
      </c>
      <c r="N221" s="41">
        <v>261.31900000000002</v>
      </c>
      <c r="O221" s="41">
        <f t="shared" si="7"/>
        <v>270.47904911378305</v>
      </c>
      <c r="P221" s="41">
        <f t="shared" si="7"/>
        <v>278.60834589015968</v>
      </c>
      <c r="Q221" s="41"/>
      <c r="R221" s="41"/>
    </row>
    <row r="222" spans="1:18" x14ac:dyDescent="0.25">
      <c r="A222" s="30">
        <v>683</v>
      </c>
      <c r="B222" s="31" t="s">
        <v>536</v>
      </c>
      <c r="C222" s="41">
        <v>207</v>
      </c>
      <c r="D222" s="41">
        <v>100</v>
      </c>
      <c r="E222" s="41">
        <v>401</v>
      </c>
      <c r="F222" s="41">
        <v>10</v>
      </c>
      <c r="G222" s="41">
        <v>280</v>
      </c>
      <c r="H222" s="41">
        <v>67</v>
      </c>
      <c r="I222" s="165">
        <v>325.38503000000003</v>
      </c>
      <c r="J222" s="41">
        <v>196.01551999999998</v>
      </c>
      <c r="K222" s="41">
        <v>-103.65509</v>
      </c>
      <c r="L222" s="41">
        <v>-144</v>
      </c>
      <c r="M222" s="41">
        <v>-74</v>
      </c>
      <c r="N222" s="41">
        <v>-14</v>
      </c>
      <c r="O222" s="41">
        <f t="shared" si="7"/>
        <v>-14.490743832606748</v>
      </c>
      <c r="P222" s="41">
        <f t="shared" si="7"/>
        <v>-14.926265761242908</v>
      </c>
      <c r="Q222" s="41"/>
      <c r="R222" s="41"/>
    </row>
    <row r="223" spans="1:18" x14ac:dyDescent="0.25">
      <c r="A223" s="30">
        <v>684</v>
      </c>
      <c r="B223" s="31" t="s">
        <v>537</v>
      </c>
      <c r="C223" s="41">
        <v>2029</v>
      </c>
      <c r="D223" s="41">
        <v>1797</v>
      </c>
      <c r="E223" s="41">
        <v>2967</v>
      </c>
      <c r="F223" s="41">
        <v>2640</v>
      </c>
      <c r="G223" s="41">
        <v>3207</v>
      </c>
      <c r="H223" s="41">
        <v>3141</v>
      </c>
      <c r="I223" s="165">
        <v>1924.1679999999999</v>
      </c>
      <c r="J223" s="41">
        <v>1800.4644499999999</v>
      </c>
      <c r="K223" s="41">
        <v>1535.5340700000002</v>
      </c>
      <c r="L223" s="41">
        <v>1758.5930000000001</v>
      </c>
      <c r="M223" s="41">
        <v>-277.09199999999998</v>
      </c>
      <c r="N223" s="41">
        <v>-729.69799999999998</v>
      </c>
      <c r="O223" s="41">
        <f t="shared" si="7"/>
        <v>-755.27619951181987</v>
      </c>
      <c r="P223" s="41">
        <f t="shared" si="7"/>
        <v>-777.97616238910189</v>
      </c>
      <c r="Q223" s="41"/>
      <c r="R223" s="41"/>
    </row>
    <row r="224" spans="1:18" x14ac:dyDescent="0.25">
      <c r="A224" s="30">
        <v>686</v>
      </c>
      <c r="B224" s="31" t="s">
        <v>538</v>
      </c>
      <c r="C224" s="41">
        <v>37</v>
      </c>
      <c r="D224" s="41">
        <v>-98</v>
      </c>
      <c r="E224" s="41">
        <v>129</v>
      </c>
      <c r="F224" s="41">
        <v>211</v>
      </c>
      <c r="G224" s="41">
        <v>209</v>
      </c>
      <c r="H224" s="41">
        <v>229</v>
      </c>
      <c r="I224" s="165">
        <v>277.88821999999999</v>
      </c>
      <c r="J224" s="41">
        <v>396.19370000000004</v>
      </c>
      <c r="K224" s="41">
        <v>247.79211999999998</v>
      </c>
      <c r="L224" s="41">
        <v>480.44171999999998</v>
      </c>
      <c r="M224" s="41">
        <v>480.44171999999998</v>
      </c>
      <c r="N224" s="41">
        <v>480.44171999999998</v>
      </c>
      <c r="O224" s="41">
        <f t="shared" si="7"/>
        <v>497.28270650121272</v>
      </c>
      <c r="P224" s="41">
        <f t="shared" si="7"/>
        <v>512.22862825061804</v>
      </c>
      <c r="Q224" s="41"/>
      <c r="R224" s="41"/>
    </row>
    <row r="225" spans="1:18" x14ac:dyDescent="0.25">
      <c r="A225" s="30">
        <v>687</v>
      </c>
      <c r="B225" s="31" t="s">
        <v>539</v>
      </c>
      <c r="C225" s="41">
        <v>-225</v>
      </c>
      <c r="D225" s="41">
        <v>422</v>
      </c>
      <c r="E225" s="41">
        <v>203</v>
      </c>
      <c r="F225" s="41">
        <v>249</v>
      </c>
      <c r="G225" s="41">
        <v>244</v>
      </c>
      <c r="H225" s="41">
        <v>233</v>
      </c>
      <c r="I225" s="165">
        <v>267.65611000000001</v>
      </c>
      <c r="J225" s="41">
        <v>377.01096999999999</v>
      </c>
      <c r="K225" s="41">
        <v>170.80759</v>
      </c>
      <c r="L225" s="41">
        <v>219</v>
      </c>
      <c r="M225" s="41">
        <v>244</v>
      </c>
      <c r="N225" s="41">
        <v>263</v>
      </c>
      <c r="O225" s="41">
        <f t="shared" si="7"/>
        <v>272.21897342682678</v>
      </c>
      <c r="P225" s="41">
        <f t="shared" si="7"/>
        <v>280.40056394334891</v>
      </c>
      <c r="Q225" s="41"/>
      <c r="R225" s="41"/>
    </row>
    <row r="226" spans="1:18" x14ac:dyDescent="0.25">
      <c r="A226" s="30">
        <v>689</v>
      </c>
      <c r="B226" s="31" t="s">
        <v>540</v>
      </c>
      <c r="C226" s="41">
        <v>-17</v>
      </c>
      <c r="D226" s="41">
        <v>-15</v>
      </c>
      <c r="E226" s="41">
        <v>-3</v>
      </c>
      <c r="F226" s="41">
        <v>23</v>
      </c>
      <c r="G226" s="41">
        <v>34</v>
      </c>
      <c r="H226" s="41">
        <v>42</v>
      </c>
      <c r="I226" s="165">
        <v>52.10089</v>
      </c>
      <c r="J226" s="41">
        <v>76.63767</v>
      </c>
      <c r="K226" s="41">
        <v>12.86591</v>
      </c>
      <c r="L226" s="41">
        <v>97.300080000000008</v>
      </c>
      <c r="M226" s="41">
        <v>97.3</v>
      </c>
      <c r="N226" s="41">
        <v>97.3</v>
      </c>
      <c r="O226" s="41">
        <f t="shared" si="7"/>
        <v>100.7106696366169</v>
      </c>
      <c r="P226" s="41">
        <f t="shared" si="7"/>
        <v>103.73754704063822</v>
      </c>
      <c r="Q226" s="41"/>
      <c r="R226" s="41"/>
    </row>
    <row r="227" spans="1:18" x14ac:dyDescent="0.25">
      <c r="A227" s="30">
        <v>691</v>
      </c>
      <c r="B227" s="31" t="s">
        <v>541</v>
      </c>
      <c r="C227" s="41">
        <v>395</v>
      </c>
      <c r="D227" s="41">
        <v>61</v>
      </c>
      <c r="E227" s="41">
        <v>-51</v>
      </c>
      <c r="F227" s="41">
        <v>-683</v>
      </c>
      <c r="G227" s="41">
        <v>316</v>
      </c>
      <c r="H227" s="41">
        <v>312</v>
      </c>
      <c r="I227" s="165">
        <v>-213.45176999999998</v>
      </c>
      <c r="J227" s="41">
        <v>-695.28593000000001</v>
      </c>
      <c r="K227" s="41">
        <v>-658.46168</v>
      </c>
      <c r="L227" s="41">
        <v>-578.95000000000005</v>
      </c>
      <c r="M227" s="41">
        <v>-320.22899999999998</v>
      </c>
      <c r="N227" s="41">
        <v>-326.63357999999999</v>
      </c>
      <c r="O227" s="41">
        <f t="shared" si="7"/>
        <v>-338.08310963623308</v>
      </c>
      <c r="P227" s="41">
        <f t="shared" si="7"/>
        <v>-348.24425868758544</v>
      </c>
      <c r="Q227" s="41"/>
      <c r="R227" s="41"/>
    </row>
    <row r="228" spans="1:18" x14ac:dyDescent="0.25">
      <c r="A228" s="30">
        <v>694</v>
      </c>
      <c r="B228" s="31" t="s">
        <v>542</v>
      </c>
      <c r="C228" s="41">
        <v>233</v>
      </c>
      <c r="D228" s="41">
        <v>565</v>
      </c>
      <c r="E228" s="41">
        <v>878</v>
      </c>
      <c r="F228" s="41">
        <v>1564</v>
      </c>
      <c r="G228" s="41">
        <v>1762</v>
      </c>
      <c r="H228" s="41">
        <v>1839</v>
      </c>
      <c r="I228" s="165">
        <v>1409.3175800000001</v>
      </c>
      <c r="J228" s="41">
        <v>803.73095000000001</v>
      </c>
      <c r="K228" s="41">
        <v>649.61997999999994</v>
      </c>
      <c r="L228" s="41">
        <v>100.5</v>
      </c>
      <c r="M228" s="41">
        <v>278.39999999999998</v>
      </c>
      <c r="N228" s="41">
        <v>-178.7</v>
      </c>
      <c r="O228" s="41">
        <f t="shared" si="7"/>
        <v>-184.96399449191611</v>
      </c>
      <c r="P228" s="41">
        <f t="shared" si="7"/>
        <v>-190.52312082386482</v>
      </c>
      <c r="Q228" s="41"/>
      <c r="R228" s="41"/>
    </row>
    <row r="229" spans="1:18" x14ac:dyDescent="0.25">
      <c r="A229" s="32">
        <v>697</v>
      </c>
      <c r="B229" s="33" t="s">
        <v>543</v>
      </c>
      <c r="C229" s="41">
        <v>-34</v>
      </c>
      <c r="D229" s="41">
        <v>73</v>
      </c>
      <c r="E229" s="41">
        <v>-207</v>
      </c>
      <c r="F229" s="41">
        <v>-26</v>
      </c>
      <c r="G229" s="41">
        <v>5</v>
      </c>
      <c r="H229" s="41">
        <v>-6</v>
      </c>
      <c r="I229" s="165">
        <v>-4.9049199999999997</v>
      </c>
      <c r="J229" s="41">
        <v>-2.5734499999999998</v>
      </c>
      <c r="K229" s="41">
        <v>-57.199769999999994</v>
      </c>
      <c r="L229" s="41">
        <v>-70.5</v>
      </c>
      <c r="M229" s="41">
        <v>-56.5</v>
      </c>
      <c r="N229" s="41">
        <v>-46.5</v>
      </c>
      <c r="O229" s="41">
        <f t="shared" si="7"/>
        <v>-48.12997058687241</v>
      </c>
      <c r="P229" s="41">
        <f t="shared" si="7"/>
        <v>-49.576525564128225</v>
      </c>
      <c r="Q229" s="41"/>
      <c r="R229" s="41"/>
    </row>
    <row r="230" spans="1:18" x14ac:dyDescent="0.25">
      <c r="A230" s="30">
        <v>698</v>
      </c>
      <c r="B230" s="31" t="s">
        <v>544</v>
      </c>
      <c r="C230" s="41">
        <v>8102</v>
      </c>
      <c r="D230" s="41">
        <v>8868</v>
      </c>
      <c r="E230" s="41">
        <v>10776</v>
      </c>
      <c r="F230" s="41">
        <v>9352</v>
      </c>
      <c r="G230" s="41">
        <v>9700</v>
      </c>
      <c r="H230" s="41">
        <v>9562</v>
      </c>
      <c r="I230" s="165">
        <v>9599.0566799999997</v>
      </c>
      <c r="J230" s="41">
        <v>19439.00707</v>
      </c>
      <c r="K230" s="41">
        <v>18514.9277</v>
      </c>
      <c r="L230" s="41">
        <v>8512</v>
      </c>
      <c r="M230" s="41">
        <v>6208</v>
      </c>
      <c r="N230" s="41">
        <v>5227</v>
      </c>
      <c r="O230" s="41">
        <f t="shared" si="7"/>
        <v>5410.2227152168198</v>
      </c>
      <c r="P230" s="41">
        <f t="shared" si="7"/>
        <v>5572.8279381440489</v>
      </c>
      <c r="Q230" s="41"/>
      <c r="R230" s="41"/>
    </row>
    <row r="231" spans="1:18" x14ac:dyDescent="0.25">
      <c r="A231" s="30">
        <v>700</v>
      </c>
      <c r="B231" s="31" t="s">
        <v>545</v>
      </c>
      <c r="C231" s="41">
        <v>-75</v>
      </c>
      <c r="D231" s="41">
        <v>-42</v>
      </c>
      <c r="E231" s="41">
        <v>-39</v>
      </c>
      <c r="F231" s="41">
        <v>-127</v>
      </c>
      <c r="G231" s="41">
        <v>-157</v>
      </c>
      <c r="H231" s="41">
        <v>-153</v>
      </c>
      <c r="I231" s="165">
        <v>-148.88849999999999</v>
      </c>
      <c r="J231" s="41">
        <v>-198.02014000000003</v>
      </c>
      <c r="K231" s="41">
        <v>-201.20452</v>
      </c>
      <c r="L231" s="41">
        <v>-250.68</v>
      </c>
      <c r="M231" s="41">
        <v>-567.99199999999996</v>
      </c>
      <c r="N231" s="41">
        <v>-552.83199999999999</v>
      </c>
      <c r="O231" s="41">
        <f t="shared" si="7"/>
        <v>-572.21049246197526</v>
      </c>
      <c r="P231" s="41">
        <f t="shared" si="7"/>
        <v>-589.4083823799599</v>
      </c>
      <c r="Q231" s="41"/>
      <c r="R231" s="41"/>
    </row>
    <row r="232" spans="1:18" x14ac:dyDescent="0.25">
      <c r="A232" s="30">
        <v>702</v>
      </c>
      <c r="B232" s="31" t="s">
        <v>546</v>
      </c>
      <c r="C232" s="41">
        <v>6</v>
      </c>
      <c r="D232" s="41">
        <v>5</v>
      </c>
      <c r="E232" s="41">
        <v>199</v>
      </c>
      <c r="F232" s="41">
        <v>200</v>
      </c>
      <c r="G232" s="41">
        <v>129</v>
      </c>
      <c r="H232" s="41">
        <v>-4</v>
      </c>
      <c r="I232" s="165">
        <v>-103.27278</v>
      </c>
      <c r="J232" s="41">
        <v>4.7497799999999994</v>
      </c>
      <c r="K232" s="41">
        <v>-132.001</v>
      </c>
      <c r="L232" s="41">
        <v>-50</v>
      </c>
      <c r="M232" s="41">
        <v>-40</v>
      </c>
      <c r="N232" s="41">
        <v>-390</v>
      </c>
      <c r="O232" s="41">
        <f t="shared" si="7"/>
        <v>-403.67072105118797</v>
      </c>
      <c r="P232" s="41">
        <f t="shared" si="7"/>
        <v>-415.80311763462385</v>
      </c>
      <c r="Q232" s="41"/>
      <c r="R232" s="41"/>
    </row>
    <row r="233" spans="1:18" x14ac:dyDescent="0.25">
      <c r="A233" s="30">
        <v>704</v>
      </c>
      <c r="B233" s="31" t="s">
        <v>547</v>
      </c>
      <c r="C233" s="41">
        <v>-25</v>
      </c>
      <c r="D233" s="41">
        <v>-13</v>
      </c>
      <c r="E233" s="41">
        <v>10</v>
      </c>
      <c r="F233" s="41">
        <v>3</v>
      </c>
      <c r="G233" s="41">
        <v>49</v>
      </c>
      <c r="H233" s="41">
        <v>37</v>
      </c>
      <c r="I233" s="165">
        <v>16.24747</v>
      </c>
      <c r="J233" s="41">
        <v>55.401960000000003</v>
      </c>
      <c r="K233" s="41">
        <v>-201.19024999999999</v>
      </c>
      <c r="L233" s="41">
        <v>-227</v>
      </c>
      <c r="M233" s="41">
        <v>-227</v>
      </c>
      <c r="N233" s="41">
        <v>-327</v>
      </c>
      <c r="O233" s="41">
        <f t="shared" si="7"/>
        <v>-338.46237380445763</v>
      </c>
      <c r="P233" s="41">
        <f t="shared" si="7"/>
        <v>-348.63492170903078</v>
      </c>
      <c r="Q233" s="41"/>
      <c r="R233" s="41"/>
    </row>
    <row r="234" spans="1:18" x14ac:dyDescent="0.25">
      <c r="A234" s="30">
        <v>707</v>
      </c>
      <c r="B234" s="31" t="s">
        <v>548</v>
      </c>
      <c r="C234" s="41">
        <v>168</v>
      </c>
      <c r="D234" s="41">
        <v>125</v>
      </c>
      <c r="E234" s="41">
        <v>142</v>
      </c>
      <c r="F234" s="41">
        <v>149</v>
      </c>
      <c r="G234" s="41">
        <v>118</v>
      </c>
      <c r="H234" s="41">
        <v>121</v>
      </c>
      <c r="I234" s="165">
        <v>58.59675</v>
      </c>
      <c r="J234" s="41">
        <v>93.17880000000001</v>
      </c>
      <c r="K234" s="41">
        <v>93.281899999999993</v>
      </c>
      <c r="L234" s="41">
        <v>63.9</v>
      </c>
      <c r="M234" s="41">
        <v>63.9</v>
      </c>
      <c r="N234" s="41">
        <v>63.9</v>
      </c>
      <c r="O234" s="41">
        <f t="shared" si="7"/>
        <v>66.139895064540795</v>
      </c>
      <c r="P234" s="41">
        <f t="shared" si="7"/>
        <v>68.127741581672979</v>
      </c>
      <c r="Q234" s="41"/>
      <c r="R234" s="41"/>
    </row>
    <row r="235" spans="1:18" x14ac:dyDescent="0.25">
      <c r="A235" s="30">
        <v>710</v>
      </c>
      <c r="B235" s="31" t="s">
        <v>549</v>
      </c>
      <c r="C235" s="41">
        <v>83</v>
      </c>
      <c r="D235" s="41">
        <v>1014</v>
      </c>
      <c r="E235" s="41">
        <v>425</v>
      </c>
      <c r="F235" s="41">
        <v>642</v>
      </c>
      <c r="G235" s="41">
        <v>783</v>
      </c>
      <c r="H235" s="41">
        <v>1306</v>
      </c>
      <c r="I235" s="165">
        <v>2210.9771000000001</v>
      </c>
      <c r="J235" s="41">
        <v>1207.6827599999999</v>
      </c>
      <c r="K235" s="41">
        <v>1930.6707200000001</v>
      </c>
      <c r="L235" s="41">
        <v>1121</v>
      </c>
      <c r="M235" s="41">
        <v>624.35</v>
      </c>
      <c r="N235" s="41">
        <v>269.76</v>
      </c>
      <c r="O235" s="41">
        <f t="shared" si="7"/>
        <v>279.21593259171402</v>
      </c>
      <c r="P235" s="41">
        <f t="shared" si="7"/>
        <v>287.60781798234905</v>
      </c>
      <c r="Q235" s="41"/>
      <c r="R235" s="41"/>
    </row>
    <row r="236" spans="1:18" x14ac:dyDescent="0.25">
      <c r="A236" s="30">
        <v>729</v>
      </c>
      <c r="B236" s="31" t="s">
        <v>550</v>
      </c>
      <c r="C236" s="41">
        <v>-221</v>
      </c>
      <c r="D236" s="41">
        <v>-277</v>
      </c>
      <c r="E236" s="41">
        <v>-254</v>
      </c>
      <c r="F236" s="41">
        <v>-68</v>
      </c>
      <c r="G236" s="41">
        <v>-46</v>
      </c>
      <c r="H236" s="41">
        <v>-105</v>
      </c>
      <c r="I236" s="165">
        <v>-10.398809999999999</v>
      </c>
      <c r="J236" s="41">
        <v>-13.499879999999999</v>
      </c>
      <c r="K236" s="41">
        <v>-39.260959999999997</v>
      </c>
      <c r="L236" s="41">
        <v>-110</v>
      </c>
      <c r="M236" s="41">
        <v>-140</v>
      </c>
      <c r="N236" s="41">
        <v>-248</v>
      </c>
      <c r="O236" s="41">
        <f t="shared" si="7"/>
        <v>-256.69317646331956</v>
      </c>
      <c r="P236" s="41">
        <f t="shared" si="7"/>
        <v>-264.40813634201726</v>
      </c>
      <c r="Q236" s="41"/>
      <c r="R236" s="41"/>
    </row>
    <row r="237" spans="1:18" x14ac:dyDescent="0.25">
      <c r="A237" s="30">
        <v>732</v>
      </c>
      <c r="B237" s="31" t="s">
        <v>551</v>
      </c>
      <c r="C237" s="41">
        <v>-181</v>
      </c>
      <c r="D237" s="41">
        <v>-143</v>
      </c>
      <c r="E237" s="41">
        <v>-125</v>
      </c>
      <c r="F237" s="41">
        <v>-118</v>
      </c>
      <c r="G237" s="41">
        <v>38</v>
      </c>
      <c r="H237" s="41">
        <v>-186</v>
      </c>
      <c r="I237" s="165">
        <v>-3.3433800000000002</v>
      </c>
      <c r="J237" s="41">
        <v>641.29921000000002</v>
      </c>
      <c r="K237" s="41">
        <v>-193.41804000000002</v>
      </c>
      <c r="L237" s="41">
        <v>-120.4</v>
      </c>
      <c r="M237" s="41">
        <v>-110.4</v>
      </c>
      <c r="N237" s="41">
        <v>-110.4</v>
      </c>
      <c r="O237" s="41">
        <f t="shared" si="7"/>
        <v>-114.26986565141323</v>
      </c>
      <c r="P237" s="41">
        <f t="shared" si="7"/>
        <v>-117.70426714580124</v>
      </c>
      <c r="Q237" s="41"/>
      <c r="R237" s="41"/>
    </row>
    <row r="238" spans="1:18" x14ac:dyDescent="0.25">
      <c r="A238" s="30">
        <v>734</v>
      </c>
      <c r="B238" s="31" t="s">
        <v>552</v>
      </c>
      <c r="C238" s="41">
        <v>-1038</v>
      </c>
      <c r="D238" s="41">
        <v>-890</v>
      </c>
      <c r="E238" s="41">
        <v>-657</v>
      </c>
      <c r="F238" s="41">
        <v>-474</v>
      </c>
      <c r="G238" s="41">
        <v>-430</v>
      </c>
      <c r="H238" s="41">
        <v>-209</v>
      </c>
      <c r="I238" s="165">
        <v>-101.80146000000001</v>
      </c>
      <c r="J238" s="41">
        <v>1920.3818799999999</v>
      </c>
      <c r="K238" s="41">
        <v>1800.1788899999999</v>
      </c>
      <c r="L238" s="41">
        <v>-92.18</v>
      </c>
      <c r="M238" s="41">
        <v>-592</v>
      </c>
      <c r="N238" s="41">
        <v>-592</v>
      </c>
      <c r="O238" s="41">
        <f t="shared" si="7"/>
        <v>-612.75145349308536</v>
      </c>
      <c r="P238" s="41">
        <f t="shared" si="7"/>
        <v>-631.16780933255723</v>
      </c>
      <c r="Q238" s="41"/>
      <c r="R238" s="41"/>
    </row>
    <row r="239" spans="1:18" x14ac:dyDescent="0.25">
      <c r="A239" s="30">
        <v>738</v>
      </c>
      <c r="B239" s="31" t="s">
        <v>553</v>
      </c>
      <c r="C239" s="41">
        <v>28</v>
      </c>
      <c r="D239" s="41">
        <v>42</v>
      </c>
      <c r="E239" s="41">
        <v>60</v>
      </c>
      <c r="F239" s="41">
        <v>55</v>
      </c>
      <c r="G239" s="41">
        <v>46</v>
      </c>
      <c r="H239" s="41">
        <v>68</v>
      </c>
      <c r="I239" s="165">
        <v>66.77552</v>
      </c>
      <c r="J239" s="41">
        <v>29.14265</v>
      </c>
      <c r="K239" s="41">
        <v>-217.27092999999999</v>
      </c>
      <c r="L239" s="41">
        <v>-240</v>
      </c>
      <c r="M239" s="41">
        <v>-380</v>
      </c>
      <c r="N239" s="41">
        <v>-380</v>
      </c>
      <c r="O239" s="41">
        <f t="shared" si="7"/>
        <v>-393.32018974218317</v>
      </c>
      <c r="P239" s="41">
        <f t="shared" si="7"/>
        <v>-405.14149923373611</v>
      </c>
      <c r="Q239" s="41"/>
      <c r="R239" s="41"/>
    </row>
    <row r="240" spans="1:18" x14ac:dyDescent="0.25">
      <c r="A240" s="30">
        <v>739</v>
      </c>
      <c r="B240" s="31" t="s">
        <v>554</v>
      </c>
      <c r="C240" s="41">
        <v>-76</v>
      </c>
      <c r="D240" s="41">
        <v>-54</v>
      </c>
      <c r="E240" s="41">
        <v>-46</v>
      </c>
      <c r="F240" s="41">
        <v>-56</v>
      </c>
      <c r="G240" s="41">
        <v>-38</v>
      </c>
      <c r="H240" s="41">
        <v>-18</v>
      </c>
      <c r="I240" s="165">
        <v>-24.690300000000001</v>
      </c>
      <c r="J240" s="41">
        <v>-19.909029999999998</v>
      </c>
      <c r="K240" s="41">
        <v>-46.971150000000002</v>
      </c>
      <c r="L240" s="41">
        <v>-43.8</v>
      </c>
      <c r="M240" s="41">
        <v>-43.8</v>
      </c>
      <c r="N240" s="41">
        <v>-88.8</v>
      </c>
      <c r="O240" s="41">
        <f t="shared" si="7"/>
        <v>-91.912718023962796</v>
      </c>
      <c r="P240" s="41">
        <f t="shared" si="7"/>
        <v>-94.675171399883581</v>
      </c>
      <c r="Q240" s="41"/>
      <c r="R240" s="41"/>
    </row>
    <row r="241" spans="1:18" x14ac:dyDescent="0.25">
      <c r="A241" s="30">
        <v>740</v>
      </c>
      <c r="B241" s="31" t="s">
        <v>555</v>
      </c>
      <c r="C241" s="41">
        <v>-628</v>
      </c>
      <c r="D241" s="41">
        <v>-1055</v>
      </c>
      <c r="E241" s="41">
        <v>-321</v>
      </c>
      <c r="F241" s="41">
        <v>116</v>
      </c>
      <c r="G241" s="41">
        <v>627</v>
      </c>
      <c r="H241" s="41">
        <v>803</v>
      </c>
      <c r="I241" s="165">
        <v>1057.73714</v>
      </c>
      <c r="J241" s="41">
        <v>888.37206999999989</v>
      </c>
      <c r="K241" s="41">
        <v>-1069.6643000000001</v>
      </c>
      <c r="L241" s="41">
        <v>-1450</v>
      </c>
      <c r="M241" s="41">
        <v>-2370</v>
      </c>
      <c r="N241" s="41">
        <v>-2574.0500000000002</v>
      </c>
      <c r="O241" s="41">
        <f t="shared" si="7"/>
        <v>-2664.2785115943857</v>
      </c>
      <c r="P241" s="41">
        <f t="shared" si="7"/>
        <v>-2744.3538844805221</v>
      </c>
      <c r="Q241" s="41"/>
      <c r="R241" s="41"/>
    </row>
    <row r="242" spans="1:18" x14ac:dyDescent="0.25">
      <c r="A242" s="30">
        <v>742</v>
      </c>
      <c r="B242" s="31" t="s">
        <v>556</v>
      </c>
      <c r="C242" s="41">
        <v>-43</v>
      </c>
      <c r="D242" s="41">
        <v>-17</v>
      </c>
      <c r="E242" s="41">
        <v>-12</v>
      </c>
      <c r="F242" s="41">
        <v>-9</v>
      </c>
      <c r="G242" s="41">
        <v>13</v>
      </c>
      <c r="H242" s="41">
        <v>-11</v>
      </c>
      <c r="I242" s="165">
        <v>-0.27318000000000003</v>
      </c>
      <c r="J242" s="41">
        <v>144.667</v>
      </c>
      <c r="K242" s="41">
        <v>-6.0398000000000005</v>
      </c>
      <c r="L242" s="41">
        <v>18.085000000000001</v>
      </c>
      <c r="M242" s="41">
        <v>18.52</v>
      </c>
      <c r="N242" s="41">
        <v>18.52</v>
      </c>
      <c r="O242" s="41">
        <f t="shared" si="7"/>
        <v>19.169183984276927</v>
      </c>
      <c r="P242" s="41">
        <f t="shared" si="7"/>
        <v>19.74531727844419</v>
      </c>
      <c r="Q242" s="41"/>
      <c r="R242" s="41"/>
    </row>
    <row r="243" spans="1:18" x14ac:dyDescent="0.25">
      <c r="A243" s="30">
        <v>743</v>
      </c>
      <c r="B243" s="31" t="s">
        <v>557</v>
      </c>
      <c r="C243" s="41">
        <v>4421</v>
      </c>
      <c r="D243" s="41">
        <v>5439</v>
      </c>
      <c r="E243" s="41">
        <v>6755</v>
      </c>
      <c r="F243" s="41">
        <v>7421</v>
      </c>
      <c r="G243" s="41">
        <v>8411</v>
      </c>
      <c r="H243" s="41">
        <v>8836</v>
      </c>
      <c r="I243" s="165">
        <v>8932.0268800000013</v>
      </c>
      <c r="J243" s="41">
        <v>8051.6920599999994</v>
      </c>
      <c r="K243" s="41">
        <v>1010.2846</v>
      </c>
      <c r="L243" s="41">
        <v>6087</v>
      </c>
      <c r="M243" s="41">
        <v>7050</v>
      </c>
      <c r="N243" s="41">
        <v>6900</v>
      </c>
      <c r="O243" s="41">
        <f t="shared" si="7"/>
        <v>7141.866603213326</v>
      </c>
      <c r="P243" s="41">
        <f t="shared" si="7"/>
        <v>7356.5166966125762</v>
      </c>
      <c r="Q243" s="41"/>
      <c r="R243" s="41"/>
    </row>
    <row r="244" spans="1:18" x14ac:dyDescent="0.25">
      <c r="A244" s="30">
        <v>746</v>
      </c>
      <c r="B244" s="31" t="s">
        <v>558</v>
      </c>
      <c r="C244" s="41">
        <v>-135</v>
      </c>
      <c r="D244" s="41">
        <v>-166</v>
      </c>
      <c r="E244" s="41">
        <v>-93</v>
      </c>
      <c r="F244" s="41">
        <v>-77</v>
      </c>
      <c r="G244" s="41">
        <v>1</v>
      </c>
      <c r="H244" s="41">
        <v>28</v>
      </c>
      <c r="I244" s="165">
        <v>197.75874999999999</v>
      </c>
      <c r="J244" s="41">
        <v>22.683209999999999</v>
      </c>
      <c r="K244" s="41">
        <v>54.206440000000001</v>
      </c>
      <c r="L244" s="41">
        <v>-5.4</v>
      </c>
      <c r="M244" s="41">
        <v>-5.4</v>
      </c>
      <c r="N244" s="41">
        <v>-5.4</v>
      </c>
      <c r="O244" s="41">
        <f t="shared" si="7"/>
        <v>-5.5892869068626032</v>
      </c>
      <c r="P244" s="41">
        <f t="shared" si="7"/>
        <v>-5.7572739364794074</v>
      </c>
      <c r="Q244" s="41"/>
      <c r="R244" s="41"/>
    </row>
    <row r="245" spans="1:18" x14ac:dyDescent="0.25">
      <c r="A245" s="30">
        <v>747</v>
      </c>
      <c r="B245" s="31" t="s">
        <v>559</v>
      </c>
      <c r="C245" s="41">
        <v>-31</v>
      </c>
      <c r="D245" s="41">
        <v>-6</v>
      </c>
      <c r="E245" s="41">
        <v>-5</v>
      </c>
      <c r="F245" s="41">
        <v>-7</v>
      </c>
      <c r="G245" s="41">
        <v>-6</v>
      </c>
      <c r="H245" s="41">
        <v>-5</v>
      </c>
      <c r="I245" s="165">
        <v>0.53515000000000001</v>
      </c>
      <c r="J245" s="41">
        <v>-4.4979499999999994</v>
      </c>
      <c r="K245" s="41">
        <v>38.463039999999999</v>
      </c>
      <c r="L245" s="41">
        <v>24.65</v>
      </c>
      <c r="M245" s="41">
        <v>23.65</v>
      </c>
      <c r="N245" s="41">
        <v>23.15</v>
      </c>
      <c r="O245" s="41">
        <f t="shared" si="7"/>
        <v>23.961479980346159</v>
      </c>
      <c r="P245" s="41">
        <f t="shared" si="7"/>
        <v>24.681646598055238</v>
      </c>
      <c r="Q245" s="41"/>
      <c r="R245" s="41"/>
    </row>
    <row r="246" spans="1:18" x14ac:dyDescent="0.25">
      <c r="A246" s="30">
        <v>748</v>
      </c>
      <c r="B246" s="31" t="s">
        <v>560</v>
      </c>
      <c r="C246" s="41">
        <v>151</v>
      </c>
      <c r="D246" s="41">
        <v>0</v>
      </c>
      <c r="E246" s="41">
        <v>51</v>
      </c>
      <c r="F246" s="41">
        <v>-110</v>
      </c>
      <c r="G246" s="41">
        <v>53</v>
      </c>
      <c r="H246" s="41">
        <v>-48</v>
      </c>
      <c r="I246" s="165">
        <v>1.6964000000000001</v>
      </c>
      <c r="J246" s="41">
        <v>122.87702</v>
      </c>
      <c r="K246" s="41">
        <v>-239.05632999999997</v>
      </c>
      <c r="L246" s="41">
        <v>-256.05</v>
      </c>
      <c r="M246" s="41">
        <v>-256.05</v>
      </c>
      <c r="N246" s="41">
        <v>-256.05</v>
      </c>
      <c r="O246" s="41">
        <f t="shared" si="7"/>
        <v>-265.02535416706843</v>
      </c>
      <c r="P246" s="41">
        <f t="shared" si="7"/>
        <v>-272.9907391547319</v>
      </c>
      <c r="Q246" s="41"/>
      <c r="R246" s="41"/>
    </row>
    <row r="247" spans="1:18" x14ac:dyDescent="0.25">
      <c r="A247" s="30">
        <v>749</v>
      </c>
      <c r="B247" s="31" t="s">
        <v>561</v>
      </c>
      <c r="C247" s="41">
        <v>-153</v>
      </c>
      <c r="D247" s="41">
        <v>-153</v>
      </c>
      <c r="E247" s="41">
        <v>-78</v>
      </c>
      <c r="F247" s="41">
        <v>79</v>
      </c>
      <c r="G247" s="41">
        <v>142</v>
      </c>
      <c r="H247" s="41">
        <v>842</v>
      </c>
      <c r="I247" s="165">
        <v>915.08242000000007</v>
      </c>
      <c r="J247" s="41">
        <v>1110.5790400000001</v>
      </c>
      <c r="K247" s="41">
        <v>473.04653999999999</v>
      </c>
      <c r="L247" s="41">
        <v>-128.20008000000001</v>
      </c>
      <c r="M247" s="41">
        <v>-58.475879999999997</v>
      </c>
      <c r="N247" s="41">
        <v>-17.792999999999999</v>
      </c>
      <c r="O247" s="41">
        <f t="shared" si="7"/>
        <v>-18.416700358112276</v>
      </c>
      <c r="P247" s="41">
        <f t="shared" si="7"/>
        <v>-18.970217620699646</v>
      </c>
      <c r="Q247" s="41"/>
      <c r="R247" s="41"/>
    </row>
    <row r="248" spans="1:18" x14ac:dyDescent="0.25">
      <c r="A248" s="30">
        <v>751</v>
      </c>
      <c r="B248" s="31" t="s">
        <v>562</v>
      </c>
      <c r="C248" s="41">
        <v>-123</v>
      </c>
      <c r="D248" s="41">
        <v>-121</v>
      </c>
      <c r="E248" s="41">
        <v>-58</v>
      </c>
      <c r="F248" s="41">
        <v>-56</v>
      </c>
      <c r="G248" s="41">
        <v>-45</v>
      </c>
      <c r="H248" s="41">
        <v>-58</v>
      </c>
      <c r="I248" s="165">
        <v>7.5990900000000003</v>
      </c>
      <c r="J248" s="41">
        <v>-32.556710000000002</v>
      </c>
      <c r="K248" s="41">
        <v>33.883809999999997</v>
      </c>
      <c r="L248" s="41">
        <v>-180</v>
      </c>
      <c r="M248" s="41">
        <v>-183</v>
      </c>
      <c r="N248" s="41">
        <v>-183</v>
      </c>
      <c r="O248" s="41">
        <f t="shared" si="7"/>
        <v>-189.4147229547882</v>
      </c>
      <c r="P248" s="41">
        <f t="shared" si="7"/>
        <v>-195.10761673624657</v>
      </c>
      <c r="Q248" s="41"/>
      <c r="R248" s="41"/>
    </row>
    <row r="249" spans="1:18" x14ac:dyDescent="0.25">
      <c r="A249" s="30">
        <v>753</v>
      </c>
      <c r="B249" s="31" t="s">
        <v>563</v>
      </c>
      <c r="C249" s="41">
        <v>169</v>
      </c>
      <c r="D249" s="41">
        <v>-369</v>
      </c>
      <c r="E249" s="41">
        <v>-361</v>
      </c>
      <c r="F249" s="41">
        <v>-307</v>
      </c>
      <c r="G249" s="41">
        <v>-229</v>
      </c>
      <c r="H249" s="41">
        <v>-203</v>
      </c>
      <c r="I249" s="165">
        <v>-61.64828</v>
      </c>
      <c r="J249" s="41">
        <v>-179.69373999999999</v>
      </c>
      <c r="K249" s="41">
        <v>-1015.4379200000001</v>
      </c>
      <c r="L249" s="41">
        <v>-2114.9160000000002</v>
      </c>
      <c r="M249" s="41">
        <v>-3032.4009999999998</v>
      </c>
      <c r="N249" s="41">
        <v>-3578.5419999999999</v>
      </c>
      <c r="O249" s="41">
        <f t="shared" si="7"/>
        <v>-3703.9811011588727</v>
      </c>
      <c r="P249" s="41">
        <f t="shared" si="7"/>
        <v>-3815.3049235549797</v>
      </c>
      <c r="Q249" s="41"/>
      <c r="R249" s="41"/>
    </row>
    <row r="250" spans="1:18" x14ac:dyDescent="0.25">
      <c r="A250" s="30">
        <v>755</v>
      </c>
      <c r="B250" s="31" t="s">
        <v>564</v>
      </c>
      <c r="C250" s="41">
        <v>-424</v>
      </c>
      <c r="D250" s="41">
        <v>-395</v>
      </c>
      <c r="E250" s="41">
        <v>-326</v>
      </c>
      <c r="F250" s="41">
        <v>-249</v>
      </c>
      <c r="G250" s="41">
        <v>-233</v>
      </c>
      <c r="H250" s="41">
        <v>-174</v>
      </c>
      <c r="I250" s="165">
        <v>-148.47886</v>
      </c>
      <c r="J250" s="41">
        <v>-75.19811</v>
      </c>
      <c r="K250" s="41">
        <v>-417.79323999999997</v>
      </c>
      <c r="L250" s="41">
        <v>-732.99214000000006</v>
      </c>
      <c r="M250" s="41">
        <v>-774.23031000000003</v>
      </c>
      <c r="N250" s="41">
        <v>-792.89531000000011</v>
      </c>
      <c r="O250" s="41">
        <f t="shared" si="7"/>
        <v>-820.68877309180834</v>
      </c>
      <c r="P250" s="41">
        <f t="shared" si="7"/>
        <v>-845.35472270736307</v>
      </c>
      <c r="Q250" s="41"/>
      <c r="R250" s="41"/>
    </row>
    <row r="251" spans="1:18" x14ac:dyDescent="0.25">
      <c r="A251" s="30">
        <v>758</v>
      </c>
      <c r="B251" s="31" t="s">
        <v>565</v>
      </c>
      <c r="C251" s="41">
        <v>1073</v>
      </c>
      <c r="D251" s="41">
        <v>913</v>
      </c>
      <c r="E251" s="41">
        <v>1170</v>
      </c>
      <c r="F251" s="41">
        <v>1034</v>
      </c>
      <c r="G251" s="41">
        <v>1113</v>
      </c>
      <c r="H251" s="41">
        <v>1193</v>
      </c>
      <c r="I251" s="165">
        <v>1097.59881</v>
      </c>
      <c r="J251" s="41">
        <v>2733.1165099999998</v>
      </c>
      <c r="K251" s="41">
        <v>4616.5808200000001</v>
      </c>
      <c r="L251" s="41">
        <v>3267</v>
      </c>
      <c r="M251" s="41">
        <v>2374</v>
      </c>
      <c r="N251" s="41">
        <v>1896</v>
      </c>
      <c r="O251" s="41">
        <f t="shared" si="7"/>
        <v>1962.4607361873138</v>
      </c>
      <c r="P251" s="41">
        <f t="shared" si="7"/>
        <v>2021.4428488083252</v>
      </c>
      <c r="Q251" s="41"/>
      <c r="R251" s="41"/>
    </row>
    <row r="252" spans="1:18" x14ac:dyDescent="0.25">
      <c r="A252" s="30">
        <v>759</v>
      </c>
      <c r="B252" s="31" t="s">
        <v>566</v>
      </c>
      <c r="C252" s="41">
        <v>-37</v>
      </c>
      <c r="D252" s="41">
        <v>-33</v>
      </c>
      <c r="E252" s="41">
        <v>-103</v>
      </c>
      <c r="F252" s="41">
        <v>5</v>
      </c>
      <c r="G252" s="41">
        <v>13</v>
      </c>
      <c r="H252" s="41">
        <v>-15</v>
      </c>
      <c r="I252" s="165">
        <v>67.120039999999989</v>
      </c>
      <c r="J252" s="41">
        <v>-15.267910000000001</v>
      </c>
      <c r="K252" s="41">
        <v>-111.48827</v>
      </c>
      <c r="L252" s="41">
        <v>-78.8</v>
      </c>
      <c r="M252" s="41">
        <v>-72</v>
      </c>
      <c r="N252" s="41">
        <v>-72</v>
      </c>
      <c r="O252" s="41">
        <f t="shared" si="7"/>
        <v>-74.523825424834712</v>
      </c>
      <c r="P252" s="41">
        <f t="shared" si="7"/>
        <v>-76.763652486392104</v>
      </c>
      <c r="Q252" s="41"/>
      <c r="R252" s="41"/>
    </row>
    <row r="253" spans="1:18" x14ac:dyDescent="0.25">
      <c r="A253" s="30">
        <v>761</v>
      </c>
      <c r="B253" s="31" t="s">
        <v>567</v>
      </c>
      <c r="C253" s="41">
        <v>31</v>
      </c>
      <c r="D253" s="41">
        <v>165</v>
      </c>
      <c r="E253" s="41">
        <v>19</v>
      </c>
      <c r="F253" s="41">
        <v>83</v>
      </c>
      <c r="G253" s="41">
        <v>65</v>
      </c>
      <c r="H253" s="41">
        <v>26</v>
      </c>
      <c r="I253" s="165">
        <v>17.665959999999998</v>
      </c>
      <c r="J253" s="41">
        <v>135.55324999999999</v>
      </c>
      <c r="K253" s="41">
        <v>-232.70597000000001</v>
      </c>
      <c r="L253" s="41">
        <v>-134.1</v>
      </c>
      <c r="M253" s="41">
        <v>-208.1</v>
      </c>
      <c r="N253" s="41">
        <v>-208.1</v>
      </c>
      <c r="O253" s="41">
        <f t="shared" si="7"/>
        <v>-215.39455654039031</v>
      </c>
      <c r="P253" s="41">
        <f t="shared" si="7"/>
        <v>-221.86827892247496</v>
      </c>
      <c r="Q253" s="41"/>
      <c r="R253" s="41"/>
    </row>
    <row r="254" spans="1:18" x14ac:dyDescent="0.25">
      <c r="A254" s="30">
        <v>762</v>
      </c>
      <c r="B254" s="31" t="s">
        <v>568</v>
      </c>
      <c r="C254" s="41">
        <v>265</v>
      </c>
      <c r="D254" s="41">
        <v>132</v>
      </c>
      <c r="E254" s="41">
        <v>352</v>
      </c>
      <c r="F254" s="41">
        <v>401</v>
      </c>
      <c r="G254" s="41">
        <v>377</v>
      </c>
      <c r="H254" s="41">
        <v>411</v>
      </c>
      <c r="I254" s="165">
        <v>444.24804</v>
      </c>
      <c r="J254" s="41">
        <v>569.40131000000008</v>
      </c>
      <c r="K254" s="41">
        <v>577.93934000000002</v>
      </c>
      <c r="L254" s="41">
        <v>201</v>
      </c>
      <c r="M254" s="41">
        <v>201</v>
      </c>
      <c r="N254" s="41">
        <v>201</v>
      </c>
      <c r="O254" s="41">
        <f t="shared" si="7"/>
        <v>208.04567931099689</v>
      </c>
      <c r="P254" s="41">
        <f t="shared" si="7"/>
        <v>214.29852985784461</v>
      </c>
      <c r="Q254" s="41"/>
      <c r="R254" s="41"/>
    </row>
    <row r="255" spans="1:18" x14ac:dyDescent="0.25">
      <c r="A255" s="30">
        <v>765</v>
      </c>
      <c r="B255" s="31" t="s">
        <v>569</v>
      </c>
      <c r="C255" s="41">
        <v>1187</v>
      </c>
      <c r="D255" s="41">
        <v>1196</v>
      </c>
      <c r="E255" s="41">
        <v>1344</v>
      </c>
      <c r="F255" s="41">
        <v>1367</v>
      </c>
      <c r="G255" s="41">
        <v>17720</v>
      </c>
      <c r="H255" s="41">
        <v>1277</v>
      </c>
      <c r="I255" s="165">
        <v>3901.11283</v>
      </c>
      <c r="J255" s="41">
        <v>3267.8509199999999</v>
      </c>
      <c r="K255" s="41">
        <v>3751.5255299999999</v>
      </c>
      <c r="L255" s="41">
        <v>4852.32</v>
      </c>
      <c r="M255" s="41">
        <v>4852.32</v>
      </c>
      <c r="N255" s="41">
        <v>4852.32</v>
      </c>
      <c r="O255" s="41">
        <f t="shared" si="7"/>
        <v>5022.4090081310269</v>
      </c>
      <c r="P255" s="41">
        <f t="shared" si="7"/>
        <v>5173.358419899585</v>
      </c>
      <c r="Q255" s="41"/>
      <c r="R255" s="41"/>
    </row>
    <row r="256" spans="1:18" x14ac:dyDescent="0.25">
      <c r="A256" s="30">
        <v>768</v>
      </c>
      <c r="B256" s="31" t="s">
        <v>570</v>
      </c>
      <c r="C256" s="41">
        <v>56</v>
      </c>
      <c r="D256" s="41">
        <v>72</v>
      </c>
      <c r="E256" s="41">
        <v>147</v>
      </c>
      <c r="F256" s="41">
        <v>135</v>
      </c>
      <c r="G256" s="41">
        <v>188</v>
      </c>
      <c r="H256" s="41">
        <v>231</v>
      </c>
      <c r="I256" s="165">
        <v>232.60431</v>
      </c>
      <c r="J256" s="41">
        <v>173.61751000000001</v>
      </c>
      <c r="K256" s="41">
        <v>53.214930000000003</v>
      </c>
      <c r="L256" s="41">
        <v>113</v>
      </c>
      <c r="M256" s="41">
        <v>12</v>
      </c>
      <c r="N256" s="41">
        <v>-193</v>
      </c>
      <c r="O256" s="41">
        <f t="shared" si="7"/>
        <v>-199.76525426379303</v>
      </c>
      <c r="P256" s="41">
        <f t="shared" si="7"/>
        <v>-205.76923513713439</v>
      </c>
      <c r="Q256" s="41"/>
      <c r="R256" s="41"/>
    </row>
    <row r="257" spans="1:18" x14ac:dyDescent="0.25">
      <c r="A257" s="30">
        <v>777</v>
      </c>
      <c r="B257" s="31" t="s">
        <v>571</v>
      </c>
      <c r="C257" s="41">
        <v>1067</v>
      </c>
      <c r="D257" s="41">
        <v>200</v>
      </c>
      <c r="E257" s="41">
        <v>258</v>
      </c>
      <c r="F257" s="41">
        <v>-170</v>
      </c>
      <c r="G257" s="41">
        <v>299</v>
      </c>
      <c r="H257" s="41">
        <v>68</v>
      </c>
      <c r="I257" s="165">
        <v>36.651519999999998</v>
      </c>
      <c r="J257" s="41">
        <v>1618.64831</v>
      </c>
      <c r="K257" s="41">
        <v>-47.343040000000002</v>
      </c>
      <c r="L257" s="41">
        <v>-290.60000000000002</v>
      </c>
      <c r="M257" s="41">
        <v>-259.60000000000002</v>
      </c>
      <c r="N257" s="41">
        <v>-164.6</v>
      </c>
      <c r="O257" s="41">
        <f t="shared" si="7"/>
        <v>-170.36974534621933</v>
      </c>
      <c r="P257" s="41">
        <f t="shared" si="7"/>
        <v>-175.49023887861304</v>
      </c>
      <c r="Q257" s="41"/>
      <c r="R257" s="41"/>
    </row>
    <row r="258" spans="1:18" x14ac:dyDescent="0.25">
      <c r="A258" s="30">
        <v>778</v>
      </c>
      <c r="B258" s="31" t="s">
        <v>572</v>
      </c>
      <c r="C258" s="41">
        <v>163</v>
      </c>
      <c r="D258" s="41">
        <v>147</v>
      </c>
      <c r="E258" s="41">
        <v>242</v>
      </c>
      <c r="F258" s="41">
        <v>303</v>
      </c>
      <c r="G258" s="41">
        <v>297</v>
      </c>
      <c r="H258" s="41">
        <v>359</v>
      </c>
      <c r="I258" s="165">
        <v>502.67677000000003</v>
      </c>
      <c r="J258" s="41">
        <v>742.14104000000009</v>
      </c>
      <c r="K258" s="41">
        <v>551.67971</v>
      </c>
      <c r="L258" s="41">
        <v>450</v>
      </c>
      <c r="M258" s="41">
        <v>400</v>
      </c>
      <c r="N258" s="41">
        <v>400</v>
      </c>
      <c r="O258" s="41">
        <f t="shared" si="7"/>
        <v>414.02125236019282</v>
      </c>
      <c r="P258" s="41">
        <f t="shared" si="7"/>
        <v>426.46473603551169</v>
      </c>
      <c r="Q258" s="41"/>
      <c r="R258" s="41"/>
    </row>
    <row r="259" spans="1:18" x14ac:dyDescent="0.25">
      <c r="A259" s="30">
        <v>781</v>
      </c>
      <c r="B259" s="31" t="s">
        <v>573</v>
      </c>
      <c r="C259" s="41">
        <v>89</v>
      </c>
      <c r="D259" s="41">
        <v>94</v>
      </c>
      <c r="E259" s="41">
        <v>140</v>
      </c>
      <c r="F259" s="41">
        <v>131</v>
      </c>
      <c r="G259" s="41">
        <v>402</v>
      </c>
      <c r="H259" s="41">
        <v>274</v>
      </c>
      <c r="I259" s="165">
        <v>369.63900000000001</v>
      </c>
      <c r="J259" s="41">
        <v>249.71639999999999</v>
      </c>
      <c r="K259" s="41">
        <v>268.1558</v>
      </c>
      <c r="L259" s="41">
        <v>141.05000000000001</v>
      </c>
      <c r="M259" s="41">
        <v>141.05000000000001</v>
      </c>
      <c r="N259" s="41">
        <v>141.05000000000001</v>
      </c>
      <c r="O259" s="41">
        <f t="shared" si="7"/>
        <v>145.99424411351299</v>
      </c>
      <c r="P259" s="41">
        <f t="shared" si="7"/>
        <v>150.38212754452229</v>
      </c>
      <c r="Q259" s="41"/>
      <c r="R259" s="41"/>
    </row>
    <row r="260" spans="1:18" x14ac:dyDescent="0.25">
      <c r="A260" s="30">
        <v>783</v>
      </c>
      <c r="B260" s="31" t="s">
        <v>574</v>
      </c>
      <c r="C260" s="41">
        <v>12</v>
      </c>
      <c r="D260" s="41">
        <v>-47</v>
      </c>
      <c r="E260" s="41">
        <v>-47</v>
      </c>
      <c r="F260" s="41">
        <v>7</v>
      </c>
      <c r="G260" s="41">
        <v>-3</v>
      </c>
      <c r="H260" s="41">
        <v>14</v>
      </c>
      <c r="I260" s="165">
        <v>35.007370000000002</v>
      </c>
      <c r="J260" s="41">
        <v>36.45017</v>
      </c>
      <c r="K260" s="41">
        <v>7.8655600000000003</v>
      </c>
      <c r="L260" s="41">
        <v>-146.9</v>
      </c>
      <c r="M260" s="41">
        <v>-127</v>
      </c>
      <c r="N260" s="41">
        <v>-117</v>
      </c>
      <c r="O260" s="41">
        <f t="shared" si="7"/>
        <v>-121.1012163153564</v>
      </c>
      <c r="P260" s="41">
        <f t="shared" si="7"/>
        <v>-124.74093529038716</v>
      </c>
      <c r="Q260" s="41"/>
      <c r="R260" s="41"/>
    </row>
    <row r="261" spans="1:18" x14ac:dyDescent="0.25">
      <c r="A261" s="30">
        <v>785</v>
      </c>
      <c r="B261" s="31" t="s">
        <v>575</v>
      </c>
      <c r="C261" s="41">
        <v>-122</v>
      </c>
      <c r="D261" s="41">
        <v>-6</v>
      </c>
      <c r="E261" s="41">
        <v>-73</v>
      </c>
      <c r="F261" s="41">
        <v>-82</v>
      </c>
      <c r="G261" s="41">
        <v>-60</v>
      </c>
      <c r="H261" s="41">
        <v>-22</v>
      </c>
      <c r="I261" s="165">
        <v>6.3367599999999999</v>
      </c>
      <c r="J261" s="41">
        <v>-12.56251</v>
      </c>
      <c r="K261" s="41">
        <v>-96.512219999999999</v>
      </c>
      <c r="L261" s="41">
        <v>-325.8</v>
      </c>
      <c r="M261" s="41">
        <v>0</v>
      </c>
      <c r="N261" s="41">
        <v>0</v>
      </c>
      <c r="O261" s="41">
        <f t="shared" si="7"/>
        <v>0</v>
      </c>
      <c r="P261" s="41">
        <f t="shared" si="7"/>
        <v>0</v>
      </c>
      <c r="Q261" s="41"/>
      <c r="R261" s="41"/>
    </row>
    <row r="262" spans="1:18" x14ac:dyDescent="0.25">
      <c r="A262" s="30">
        <v>790</v>
      </c>
      <c r="B262" s="31" t="s">
        <v>576</v>
      </c>
      <c r="C262" s="41">
        <v>-275</v>
      </c>
      <c r="D262" s="41">
        <v>29</v>
      </c>
      <c r="E262" s="41">
        <v>1191</v>
      </c>
      <c r="F262" s="41">
        <v>1195</v>
      </c>
      <c r="G262" s="41">
        <v>167</v>
      </c>
      <c r="H262" s="41">
        <v>183</v>
      </c>
      <c r="I262" s="165">
        <v>172.78692000000001</v>
      </c>
      <c r="J262" s="41">
        <v>240.58141000000001</v>
      </c>
      <c r="K262" s="41">
        <v>-501.66492</v>
      </c>
      <c r="L262" s="41">
        <v>-1317.4</v>
      </c>
      <c r="M262" s="41">
        <v>-1913.8</v>
      </c>
      <c r="N262" s="41">
        <v>-2651.8</v>
      </c>
      <c r="O262" s="41">
        <f t="shared" si="7"/>
        <v>-2744.7538925218983</v>
      </c>
      <c r="P262" s="41">
        <f t="shared" si="7"/>
        <v>-2827.2479675474247</v>
      </c>
      <c r="Q262" s="41"/>
      <c r="R262" s="41"/>
    </row>
    <row r="263" spans="1:18" x14ac:dyDescent="0.25">
      <c r="A263" s="30">
        <v>791</v>
      </c>
      <c r="B263" s="31" t="s">
        <v>577</v>
      </c>
      <c r="C263" s="41">
        <v>17</v>
      </c>
      <c r="D263" s="41">
        <v>85</v>
      </c>
      <c r="E263" s="41">
        <v>127</v>
      </c>
      <c r="F263" s="41">
        <v>75</v>
      </c>
      <c r="G263" s="41">
        <v>86</v>
      </c>
      <c r="H263" s="41">
        <v>-1815</v>
      </c>
      <c r="I263" s="165">
        <v>84.23</v>
      </c>
      <c r="J263" s="41">
        <v>365.89046999999999</v>
      </c>
      <c r="K263" s="41">
        <v>-168.24534</v>
      </c>
      <c r="L263" s="41">
        <v>-292.8</v>
      </c>
      <c r="M263" s="41">
        <v>-292.8</v>
      </c>
      <c r="N263" s="41">
        <v>-292.8</v>
      </c>
      <c r="O263" s="41">
        <f t="shared" si="7"/>
        <v>-303.06355672766114</v>
      </c>
      <c r="P263" s="41">
        <f t="shared" si="7"/>
        <v>-312.17218677799457</v>
      </c>
      <c r="Q263" s="41"/>
      <c r="R263" s="41"/>
    </row>
    <row r="264" spans="1:18" x14ac:dyDescent="0.25">
      <c r="A264" s="30">
        <v>831</v>
      </c>
      <c r="B264" s="31" t="s">
        <v>578</v>
      </c>
      <c r="C264" s="41">
        <v>-96</v>
      </c>
      <c r="D264" s="41">
        <v>-121</v>
      </c>
      <c r="E264" s="41">
        <v>-125</v>
      </c>
      <c r="F264" s="41">
        <v>-131</v>
      </c>
      <c r="G264" s="41">
        <v>-128</v>
      </c>
      <c r="H264" s="41">
        <v>-121</v>
      </c>
      <c r="I264" s="165">
        <v>-106.72875000000001</v>
      </c>
      <c r="J264" s="41">
        <v>-111.71035000000001</v>
      </c>
      <c r="K264" s="41">
        <v>-269.18072999999998</v>
      </c>
      <c r="L264" s="41">
        <v>-184.6</v>
      </c>
      <c r="M264" s="41">
        <v>-234.6</v>
      </c>
      <c r="N264" s="41">
        <v>-234.6</v>
      </c>
      <c r="O264" s="41">
        <f t="shared" si="7"/>
        <v>-242.82346450925309</v>
      </c>
      <c r="P264" s="41">
        <f t="shared" si="7"/>
        <v>-250.1215676848276</v>
      </c>
      <c r="Q264" s="41"/>
      <c r="R264" s="41"/>
    </row>
    <row r="265" spans="1:18" x14ac:dyDescent="0.25">
      <c r="A265" s="30">
        <v>832</v>
      </c>
      <c r="B265" s="31" t="s">
        <v>579</v>
      </c>
      <c r="C265" s="41">
        <v>97</v>
      </c>
      <c r="D265" s="41">
        <v>82</v>
      </c>
      <c r="E265" s="41">
        <v>65</v>
      </c>
      <c r="F265" s="41">
        <v>72</v>
      </c>
      <c r="G265" s="41">
        <v>33</v>
      </c>
      <c r="H265" s="41">
        <v>32</v>
      </c>
      <c r="I265" s="165">
        <v>28.42605</v>
      </c>
      <c r="J265" s="41">
        <v>41.335050000000003</v>
      </c>
      <c r="K265" s="41">
        <v>119.798</v>
      </c>
      <c r="L265" s="41">
        <v>-17.805</v>
      </c>
      <c r="M265" s="41">
        <v>-184.13300000000001</v>
      </c>
      <c r="N265" s="41">
        <v>-270.17599999999999</v>
      </c>
      <c r="O265" s="41">
        <f t="shared" si="7"/>
        <v>-279.64651469416862</v>
      </c>
      <c r="P265" s="41">
        <f t="shared" si="7"/>
        <v>-288.05134130782596</v>
      </c>
      <c r="Q265" s="41"/>
      <c r="R265" s="41"/>
    </row>
    <row r="266" spans="1:18" x14ac:dyDescent="0.25">
      <c r="A266" s="30">
        <v>833</v>
      </c>
      <c r="B266" s="31" t="s">
        <v>580</v>
      </c>
      <c r="C266" s="41">
        <v>-137</v>
      </c>
      <c r="D266" s="41">
        <v>-126</v>
      </c>
      <c r="E266" s="41">
        <v>-85</v>
      </c>
      <c r="F266" s="41">
        <v>-38</v>
      </c>
      <c r="G266" s="41">
        <v>-90</v>
      </c>
      <c r="H266" s="41">
        <v>-90</v>
      </c>
      <c r="I266" s="165">
        <v>-53.097910000000006</v>
      </c>
      <c r="J266" s="41">
        <v>-191.16334000000001</v>
      </c>
      <c r="K266" s="41">
        <v>-134.5926</v>
      </c>
      <c r="L266" s="41">
        <v>-235.04</v>
      </c>
      <c r="M266" s="41">
        <v>-235.06399999999999</v>
      </c>
      <c r="N266" s="41">
        <v>-235.017</v>
      </c>
      <c r="O266" s="41">
        <f t="shared" si="7"/>
        <v>-243.25508166483857</v>
      </c>
      <c r="P266" s="41">
        <f t="shared" si="7"/>
        <v>-250.56615717214461</v>
      </c>
      <c r="Q266" s="41"/>
      <c r="R266" s="41"/>
    </row>
    <row r="267" spans="1:18" x14ac:dyDescent="0.25">
      <c r="A267" s="30">
        <v>834</v>
      </c>
      <c r="B267" s="31" t="s">
        <v>581</v>
      </c>
      <c r="C267" s="41">
        <v>-21</v>
      </c>
      <c r="D267" s="41">
        <v>-26</v>
      </c>
      <c r="E267" s="41">
        <v>-30</v>
      </c>
      <c r="F267" s="41">
        <v>-23</v>
      </c>
      <c r="G267" s="41">
        <v>-10</v>
      </c>
      <c r="H267" s="41">
        <v>-12</v>
      </c>
      <c r="I267" s="165">
        <v>62.0244</v>
      </c>
      <c r="J267" s="41">
        <v>28.012520000000002</v>
      </c>
      <c r="K267" s="41">
        <v>-1.95441</v>
      </c>
      <c r="L267" s="41">
        <v>-256.435</v>
      </c>
      <c r="M267" s="41">
        <v>-618.39700000000005</v>
      </c>
      <c r="N267" s="41">
        <v>-656.05</v>
      </c>
      <c r="O267" s="41">
        <f t="shared" si="7"/>
        <v>-679.04660652726113</v>
      </c>
      <c r="P267" s="41">
        <f t="shared" si="7"/>
        <v>-699.45547519024353</v>
      </c>
      <c r="Q267" s="41"/>
      <c r="R267" s="41"/>
    </row>
    <row r="268" spans="1:18" x14ac:dyDescent="0.25">
      <c r="A268" s="30">
        <v>837</v>
      </c>
      <c r="B268" s="31" t="s">
        <v>582</v>
      </c>
      <c r="C268" s="41">
        <v>1476</v>
      </c>
      <c r="D268" s="41">
        <v>5906</v>
      </c>
      <c r="E268" s="41">
        <v>18772</v>
      </c>
      <c r="F268" s="41">
        <v>22284</v>
      </c>
      <c r="G268" s="41">
        <v>25673</v>
      </c>
      <c r="H268" s="41">
        <v>25462</v>
      </c>
      <c r="I268" s="165">
        <v>19152.635690000003</v>
      </c>
      <c r="J268" s="41">
        <v>18643.103139999999</v>
      </c>
      <c r="K268" s="41">
        <v>27842.114679999999</v>
      </c>
      <c r="L268" s="41">
        <v>25369</v>
      </c>
      <c r="M268" s="41">
        <v>24069</v>
      </c>
      <c r="N268" s="41">
        <v>21667</v>
      </c>
      <c r="O268" s="41">
        <f t="shared" si="7"/>
        <v>22426.496187220742</v>
      </c>
      <c r="P268" s="41">
        <f t="shared" si="7"/>
        <v>23100.528589203575</v>
      </c>
      <c r="Q268" s="41"/>
      <c r="R268" s="41"/>
    </row>
    <row r="269" spans="1:18" x14ac:dyDescent="0.25">
      <c r="A269" s="30">
        <v>844</v>
      </c>
      <c r="B269" s="31" t="s">
        <v>583</v>
      </c>
      <c r="C269" s="41">
        <v>184</v>
      </c>
      <c r="D269" s="41">
        <v>186</v>
      </c>
      <c r="E269" s="41">
        <v>317</v>
      </c>
      <c r="F269" s="41">
        <v>192</v>
      </c>
      <c r="G269" s="41">
        <v>254</v>
      </c>
      <c r="H269" s="41">
        <v>199</v>
      </c>
      <c r="I269" s="165">
        <v>305.81061999999997</v>
      </c>
      <c r="J269" s="41">
        <v>100.84305999999999</v>
      </c>
      <c r="K269" s="41">
        <v>433.35033000000004</v>
      </c>
      <c r="L269" s="41">
        <v>226.95</v>
      </c>
      <c r="M269" s="41">
        <v>226.95</v>
      </c>
      <c r="N269" s="41">
        <v>226.95</v>
      </c>
      <c r="O269" s="41">
        <f t="shared" si="7"/>
        <v>234.90530805786437</v>
      </c>
      <c r="P269" s="41">
        <f t="shared" si="7"/>
        <v>241.96542960814841</v>
      </c>
      <c r="Q269" s="41"/>
      <c r="R269" s="41"/>
    </row>
    <row r="270" spans="1:18" x14ac:dyDescent="0.25">
      <c r="A270" s="30">
        <v>845</v>
      </c>
      <c r="B270" s="31" t="s">
        <v>584</v>
      </c>
      <c r="C270" s="41">
        <v>296</v>
      </c>
      <c r="D270" s="41">
        <v>427</v>
      </c>
      <c r="E270" s="41">
        <v>333</v>
      </c>
      <c r="F270" s="41">
        <v>438</v>
      </c>
      <c r="G270" s="41">
        <v>322</v>
      </c>
      <c r="H270" s="41">
        <v>168</v>
      </c>
      <c r="I270" s="165">
        <v>767.21465999999998</v>
      </c>
      <c r="J270" s="41">
        <v>1885.6928600000001</v>
      </c>
      <c r="K270" s="41">
        <v>656.17989999999998</v>
      </c>
      <c r="L270" s="41">
        <v>314.95</v>
      </c>
      <c r="M270" s="41">
        <v>480.85</v>
      </c>
      <c r="N270" s="41">
        <v>470.3</v>
      </c>
      <c r="O270" s="41">
        <f t="shared" si="7"/>
        <v>486.78548746249669</v>
      </c>
      <c r="P270" s="41">
        <f t="shared" si="7"/>
        <v>501.41591339375282</v>
      </c>
      <c r="Q270" s="41"/>
      <c r="R270" s="41"/>
    </row>
    <row r="271" spans="1:18" x14ac:dyDescent="0.25">
      <c r="A271" s="30">
        <v>846</v>
      </c>
      <c r="B271" s="31" t="s">
        <v>585</v>
      </c>
      <c r="C271" s="41">
        <v>-159</v>
      </c>
      <c r="D271" s="41">
        <v>-229</v>
      </c>
      <c r="E271" s="41">
        <v>-89</v>
      </c>
      <c r="F271" s="41">
        <v>-95</v>
      </c>
      <c r="G271" s="41">
        <v>-75</v>
      </c>
      <c r="H271" s="41">
        <v>-66</v>
      </c>
      <c r="I271" s="165">
        <v>-53.398910000000001</v>
      </c>
      <c r="J271" s="41">
        <v>1.28396</v>
      </c>
      <c r="K271" s="41">
        <v>-62.778760000000005</v>
      </c>
      <c r="L271" s="41">
        <v>-124.785</v>
      </c>
      <c r="M271" s="41">
        <v>-120</v>
      </c>
      <c r="N271" s="41">
        <v>-120</v>
      </c>
      <c r="O271" s="41">
        <f t="shared" si="7"/>
        <v>-124.20637570805783</v>
      </c>
      <c r="P271" s="41">
        <f t="shared" si="7"/>
        <v>-127.93942081065349</v>
      </c>
      <c r="Q271" s="41"/>
      <c r="R271" s="41"/>
    </row>
    <row r="272" spans="1:18" x14ac:dyDescent="0.25">
      <c r="A272" s="30">
        <v>848</v>
      </c>
      <c r="B272" s="31" t="s">
        <v>586</v>
      </c>
      <c r="C272" s="41">
        <v>147</v>
      </c>
      <c r="D272" s="41">
        <v>190</v>
      </c>
      <c r="E272" s="41">
        <v>181</v>
      </c>
      <c r="F272" s="41">
        <v>180</v>
      </c>
      <c r="G272" s="41">
        <v>176</v>
      </c>
      <c r="H272" s="41">
        <v>168</v>
      </c>
      <c r="I272" s="165">
        <v>106.72194999999999</v>
      </c>
      <c r="J272" s="41">
        <v>171.49476999999999</v>
      </c>
      <c r="K272" s="41">
        <v>-94.905929999999998</v>
      </c>
      <c r="L272" s="41">
        <v>-58.5</v>
      </c>
      <c r="M272" s="41">
        <v>-60</v>
      </c>
      <c r="N272" s="41">
        <v>-30</v>
      </c>
      <c r="O272" s="41">
        <f t="shared" ref="O272:P307" si="8">N272*O$5</f>
        <v>-31.051593927014459</v>
      </c>
      <c r="P272" s="41">
        <f t="shared" si="8"/>
        <v>-31.984855202663372</v>
      </c>
      <c r="Q272" s="41"/>
      <c r="R272" s="41"/>
    </row>
    <row r="273" spans="1:18" x14ac:dyDescent="0.25">
      <c r="A273" s="30">
        <v>849</v>
      </c>
      <c r="B273" s="31" t="s">
        <v>587</v>
      </c>
      <c r="C273" s="41">
        <v>-305</v>
      </c>
      <c r="D273" s="41">
        <v>-261</v>
      </c>
      <c r="E273" s="41">
        <v>-147</v>
      </c>
      <c r="F273" s="41">
        <v>-122</v>
      </c>
      <c r="G273" s="41">
        <v>-112</v>
      </c>
      <c r="H273" s="41">
        <v>-94</v>
      </c>
      <c r="I273" s="165">
        <v>-90.329259999999991</v>
      </c>
      <c r="J273" s="41">
        <v>52.405480000000004</v>
      </c>
      <c r="K273" s="41">
        <v>-280.19243999999998</v>
      </c>
      <c r="L273" s="41">
        <v>-248.9</v>
      </c>
      <c r="M273" s="41">
        <v>-127</v>
      </c>
      <c r="N273" s="41">
        <v>-72</v>
      </c>
      <c r="O273" s="41">
        <f t="shared" si="8"/>
        <v>-74.523825424834712</v>
      </c>
      <c r="P273" s="41">
        <f t="shared" si="8"/>
        <v>-76.763652486392104</v>
      </c>
      <c r="Q273" s="41"/>
      <c r="R273" s="41"/>
    </row>
    <row r="274" spans="1:18" x14ac:dyDescent="0.25">
      <c r="A274" s="30">
        <v>850</v>
      </c>
      <c r="B274" s="31" t="s">
        <v>588</v>
      </c>
      <c r="C274" s="41">
        <v>-14</v>
      </c>
      <c r="D274" s="41">
        <v>-60</v>
      </c>
      <c r="E274" s="41">
        <v>18</v>
      </c>
      <c r="F274" s="41">
        <v>-18</v>
      </c>
      <c r="G274" s="41">
        <v>-11</v>
      </c>
      <c r="H274" s="41">
        <v>17</v>
      </c>
      <c r="I274" s="165">
        <v>-7.30924</v>
      </c>
      <c r="J274" s="41">
        <v>-2.4002699999999999</v>
      </c>
      <c r="K274" s="41">
        <v>2808.88429</v>
      </c>
      <c r="L274" s="41">
        <v>-205.5</v>
      </c>
      <c r="M274" s="41">
        <v>-155.5</v>
      </c>
      <c r="N274" s="41">
        <v>-155.5</v>
      </c>
      <c r="O274" s="41">
        <f t="shared" si="8"/>
        <v>-160.95076185502495</v>
      </c>
      <c r="P274" s="41">
        <f t="shared" si="8"/>
        <v>-165.78816613380516</v>
      </c>
      <c r="Q274" s="41"/>
      <c r="R274" s="41"/>
    </row>
    <row r="275" spans="1:18" x14ac:dyDescent="0.25">
      <c r="A275" s="30">
        <v>851</v>
      </c>
      <c r="B275" s="31" t="s">
        <v>589</v>
      </c>
      <c r="C275" s="41">
        <v>-339</v>
      </c>
      <c r="D275" s="41">
        <v>-161</v>
      </c>
      <c r="E275" s="41">
        <v>-54</v>
      </c>
      <c r="F275" s="41">
        <v>214</v>
      </c>
      <c r="G275" s="41">
        <v>75</v>
      </c>
      <c r="H275" s="41">
        <v>1856</v>
      </c>
      <c r="I275" s="165">
        <v>211.99194</v>
      </c>
      <c r="J275" s="41">
        <v>286.88479999999998</v>
      </c>
      <c r="K275" s="41">
        <v>-393.66226</v>
      </c>
      <c r="L275" s="41">
        <v>-59.24</v>
      </c>
      <c r="M275" s="41">
        <v>-59.24</v>
      </c>
      <c r="N275" s="41">
        <v>-59.24</v>
      </c>
      <c r="O275" s="41">
        <f t="shared" si="8"/>
        <v>-61.316547474544556</v>
      </c>
      <c r="P275" s="41">
        <f t="shared" si="8"/>
        <v>-63.15942740685928</v>
      </c>
      <c r="Q275" s="41"/>
      <c r="R275" s="41"/>
    </row>
    <row r="276" spans="1:18" x14ac:dyDescent="0.25">
      <c r="A276" s="30">
        <v>853</v>
      </c>
      <c r="B276" s="31" t="s">
        <v>590</v>
      </c>
      <c r="C276" s="41">
        <v>27242</v>
      </c>
      <c r="D276" s="41">
        <v>44500</v>
      </c>
      <c r="E276" s="41">
        <v>58302</v>
      </c>
      <c r="F276" s="41">
        <v>31053</v>
      </c>
      <c r="G276" s="41">
        <v>36244</v>
      </c>
      <c r="H276" s="41">
        <v>30538</v>
      </c>
      <c r="I276" s="165">
        <v>29337.79147</v>
      </c>
      <c r="J276" s="41">
        <v>35303.17499</v>
      </c>
      <c r="K276" s="41">
        <v>37030.036950000002</v>
      </c>
      <c r="L276" s="41">
        <v>19141.999920000002</v>
      </c>
      <c r="M276" s="41">
        <v>7602.9999600000001</v>
      </c>
      <c r="N276" s="41">
        <v>560.00016000000005</v>
      </c>
      <c r="O276" s="41">
        <f t="shared" si="8"/>
        <v>579.6299189127709</v>
      </c>
      <c r="P276" s="41">
        <f t="shared" si="8"/>
        <v>597.05080103561079</v>
      </c>
      <c r="Q276" s="41"/>
      <c r="R276" s="41"/>
    </row>
    <row r="277" spans="1:18" x14ac:dyDescent="0.25">
      <c r="A277" s="30">
        <v>854</v>
      </c>
      <c r="B277" s="31" t="s">
        <v>591</v>
      </c>
      <c r="C277" s="41">
        <v>134</v>
      </c>
      <c r="D277" s="41">
        <v>61</v>
      </c>
      <c r="E277" s="41">
        <v>124</v>
      </c>
      <c r="F277" s="41">
        <v>95</v>
      </c>
      <c r="G277" s="41">
        <v>105</v>
      </c>
      <c r="H277" s="41">
        <v>184</v>
      </c>
      <c r="I277" s="165">
        <v>174.87216000000001</v>
      </c>
      <c r="J277" s="41">
        <v>757.99535000000003</v>
      </c>
      <c r="K277" s="41">
        <v>308.01052000000004</v>
      </c>
      <c r="L277" s="41">
        <v>223.8</v>
      </c>
      <c r="M277" s="41">
        <v>223.8</v>
      </c>
      <c r="N277" s="41">
        <v>223.8</v>
      </c>
      <c r="O277" s="41">
        <f t="shared" si="8"/>
        <v>231.64489069552789</v>
      </c>
      <c r="P277" s="41">
        <f t="shared" si="8"/>
        <v>238.60701981186878</v>
      </c>
      <c r="Q277" s="41"/>
      <c r="R277" s="41"/>
    </row>
    <row r="278" spans="1:18" x14ac:dyDescent="0.25">
      <c r="A278" s="30">
        <v>857</v>
      </c>
      <c r="B278" s="31" t="s">
        <v>592</v>
      </c>
      <c r="C278" s="41">
        <v>135</v>
      </c>
      <c r="D278" s="41">
        <v>121</v>
      </c>
      <c r="E278" s="41">
        <v>131</v>
      </c>
      <c r="F278" s="41">
        <v>148</v>
      </c>
      <c r="G278" s="41">
        <v>134</v>
      </c>
      <c r="H278" s="41">
        <v>162</v>
      </c>
      <c r="I278" s="165">
        <v>117.43377000000001</v>
      </c>
      <c r="J278" s="41">
        <v>168.52346</v>
      </c>
      <c r="K278" s="41">
        <v>132.14564000000001</v>
      </c>
      <c r="L278" s="41">
        <v>115.4</v>
      </c>
      <c r="M278" s="41">
        <v>115.4</v>
      </c>
      <c r="N278" s="41">
        <v>115.4</v>
      </c>
      <c r="O278" s="41">
        <f t="shared" si="8"/>
        <v>119.44513130591562</v>
      </c>
      <c r="P278" s="41">
        <f t="shared" si="8"/>
        <v>123.03507634624512</v>
      </c>
      <c r="Q278" s="41"/>
      <c r="R278" s="41"/>
    </row>
    <row r="279" spans="1:18" x14ac:dyDescent="0.25">
      <c r="A279" s="30">
        <v>858</v>
      </c>
      <c r="B279" s="31" t="s">
        <v>593</v>
      </c>
      <c r="C279" s="41">
        <v>260</v>
      </c>
      <c r="D279" s="41">
        <v>349</v>
      </c>
      <c r="E279" s="41">
        <v>313</v>
      </c>
      <c r="F279" s="41">
        <v>98</v>
      </c>
      <c r="G279" s="41">
        <v>-194</v>
      </c>
      <c r="H279" s="41">
        <v>-467</v>
      </c>
      <c r="I279" s="165">
        <v>-522.65306999999996</v>
      </c>
      <c r="J279" s="41">
        <v>-500.30458000000004</v>
      </c>
      <c r="K279" s="41">
        <v>-1303.51956</v>
      </c>
      <c r="L279" s="41">
        <v>-3255.35</v>
      </c>
      <c r="M279" s="41">
        <v>-4950</v>
      </c>
      <c r="N279" s="41">
        <v>-5665</v>
      </c>
      <c r="O279" s="41">
        <f t="shared" si="8"/>
        <v>-5863.5759865512309</v>
      </c>
      <c r="P279" s="41">
        <f t="shared" si="8"/>
        <v>-6039.8068241029341</v>
      </c>
      <c r="Q279" s="41"/>
      <c r="R279" s="41"/>
    </row>
    <row r="280" spans="1:18" x14ac:dyDescent="0.25">
      <c r="A280" s="30">
        <v>859</v>
      </c>
      <c r="B280" s="31" t="s">
        <v>594</v>
      </c>
      <c r="C280" s="41">
        <v>-186</v>
      </c>
      <c r="D280" s="41">
        <v>-206</v>
      </c>
      <c r="E280" s="41">
        <v>-273</v>
      </c>
      <c r="F280" s="41">
        <v>-306</v>
      </c>
      <c r="G280" s="41">
        <v>-273</v>
      </c>
      <c r="H280" s="41">
        <v>-259</v>
      </c>
      <c r="I280" s="165">
        <v>-221.49779999999998</v>
      </c>
      <c r="J280" s="41">
        <v>-257.27382999999998</v>
      </c>
      <c r="K280" s="41">
        <v>-433.38592</v>
      </c>
      <c r="L280" s="41">
        <v>-500</v>
      </c>
      <c r="M280" s="41">
        <v>-800</v>
      </c>
      <c r="N280" s="41">
        <v>-800</v>
      </c>
      <c r="O280" s="41">
        <f t="shared" si="8"/>
        <v>-828.04250472038564</v>
      </c>
      <c r="P280" s="41">
        <f t="shared" si="8"/>
        <v>-852.92947207102338</v>
      </c>
      <c r="Q280" s="41"/>
      <c r="R280" s="41"/>
    </row>
    <row r="281" spans="1:18" x14ac:dyDescent="0.25">
      <c r="A281" s="30">
        <v>886</v>
      </c>
      <c r="B281" s="31" t="s">
        <v>595</v>
      </c>
      <c r="C281" s="41">
        <v>-16</v>
      </c>
      <c r="D281" s="41">
        <v>-23</v>
      </c>
      <c r="E281" s="41">
        <v>42</v>
      </c>
      <c r="F281" s="41">
        <v>122</v>
      </c>
      <c r="G281" s="41">
        <v>7</v>
      </c>
      <c r="H281" s="41">
        <v>5</v>
      </c>
      <c r="I281" s="165">
        <v>0.28097000000000005</v>
      </c>
      <c r="J281" s="41">
        <v>69.827629999999999</v>
      </c>
      <c r="K281" s="41">
        <v>-191.05429000000001</v>
      </c>
      <c r="L281" s="41">
        <v>-237.5</v>
      </c>
      <c r="M281" s="41">
        <v>-237.5</v>
      </c>
      <c r="N281" s="41">
        <v>-237.5</v>
      </c>
      <c r="O281" s="41">
        <f t="shared" si="8"/>
        <v>-245.82511858886448</v>
      </c>
      <c r="P281" s="41">
        <f t="shared" si="8"/>
        <v>-253.21343702108507</v>
      </c>
      <c r="Q281" s="41"/>
      <c r="R281" s="41"/>
    </row>
    <row r="282" spans="1:18" x14ac:dyDescent="0.25">
      <c r="A282" s="30">
        <v>887</v>
      </c>
      <c r="B282" s="31" t="s">
        <v>596</v>
      </c>
      <c r="C282" s="41">
        <v>6</v>
      </c>
      <c r="D282" s="41">
        <v>5</v>
      </c>
      <c r="E282" s="41">
        <v>171</v>
      </c>
      <c r="F282" s="41">
        <v>182</v>
      </c>
      <c r="G282" s="41">
        <v>18</v>
      </c>
      <c r="H282" s="41">
        <v>-87</v>
      </c>
      <c r="I282" s="165">
        <v>-106.15103999999999</v>
      </c>
      <c r="J282" s="41">
        <v>-121.26185000000001</v>
      </c>
      <c r="K282" s="41">
        <v>-151.82943</v>
      </c>
      <c r="L282" s="41">
        <v>-224.80348999999998</v>
      </c>
      <c r="M282" s="41">
        <v>-239.80348999999998</v>
      </c>
      <c r="N282" s="41">
        <v>-239.80348999999998</v>
      </c>
      <c r="O282" s="41">
        <f t="shared" si="8"/>
        <v>-248.20935312536241</v>
      </c>
      <c r="P282" s="41">
        <f t="shared" si="8"/>
        <v>-255.66933015811114</v>
      </c>
      <c r="Q282" s="41"/>
      <c r="R282" s="41"/>
    </row>
    <row r="283" spans="1:18" x14ac:dyDescent="0.25">
      <c r="A283" s="30">
        <v>889</v>
      </c>
      <c r="B283" s="31" t="s">
        <v>597</v>
      </c>
      <c r="C283" s="41">
        <v>14</v>
      </c>
      <c r="D283" s="41">
        <v>-32</v>
      </c>
      <c r="E283" s="41">
        <v>-3</v>
      </c>
      <c r="F283" s="41">
        <v>-50</v>
      </c>
      <c r="G283" s="41">
        <v>-51</v>
      </c>
      <c r="H283" s="41">
        <v>-46</v>
      </c>
      <c r="I283" s="165">
        <v>-54.278419999999997</v>
      </c>
      <c r="J283" s="41">
        <v>-73.226679999999988</v>
      </c>
      <c r="K283" s="41">
        <v>-0.32329000000000002</v>
      </c>
      <c r="L283" s="41">
        <v>-44.33</v>
      </c>
      <c r="M283" s="41">
        <v>-125.68</v>
      </c>
      <c r="N283" s="41">
        <v>-200.68</v>
      </c>
      <c r="O283" s="41">
        <f t="shared" si="8"/>
        <v>-207.71446230910874</v>
      </c>
      <c r="P283" s="41">
        <f t="shared" si="8"/>
        <v>-213.95735806901621</v>
      </c>
      <c r="Q283" s="41"/>
      <c r="R283" s="41"/>
    </row>
    <row r="284" spans="1:18" x14ac:dyDescent="0.25">
      <c r="A284" s="30">
        <v>890</v>
      </c>
      <c r="B284" s="31" t="s">
        <v>598</v>
      </c>
      <c r="C284" s="41">
        <v>-44</v>
      </c>
      <c r="D284" s="41">
        <v>-38</v>
      </c>
      <c r="E284" s="41">
        <v>-30</v>
      </c>
      <c r="F284" s="41">
        <v>-42</v>
      </c>
      <c r="G284" s="41">
        <v>-39</v>
      </c>
      <c r="H284" s="41">
        <v>-72</v>
      </c>
      <c r="I284" s="165">
        <v>-84.408779999999993</v>
      </c>
      <c r="J284" s="41">
        <v>65.381550000000004</v>
      </c>
      <c r="K284" s="41">
        <v>-92.465279999999993</v>
      </c>
      <c r="L284" s="41">
        <v>-116.82299999999999</v>
      </c>
      <c r="M284" s="41">
        <v>-104.297</v>
      </c>
      <c r="N284" s="41">
        <v>-94.521000000000001</v>
      </c>
      <c r="O284" s="41">
        <f t="shared" si="8"/>
        <v>-97.834256985844462</v>
      </c>
      <c r="P284" s="41">
        <f t="shared" si="8"/>
        <v>-100.77468328703149</v>
      </c>
      <c r="Q284" s="41"/>
      <c r="R284" s="41"/>
    </row>
    <row r="285" spans="1:18" x14ac:dyDescent="0.25">
      <c r="A285" s="30">
        <v>892</v>
      </c>
      <c r="B285" s="31" t="s">
        <v>599</v>
      </c>
      <c r="C285" s="41">
        <v>84</v>
      </c>
      <c r="D285" s="41">
        <v>108</v>
      </c>
      <c r="E285" s="41">
        <v>263</v>
      </c>
      <c r="F285" s="41">
        <v>-36</v>
      </c>
      <c r="G285" s="41">
        <v>192</v>
      </c>
      <c r="H285" s="41">
        <v>-70</v>
      </c>
      <c r="I285" s="165">
        <v>283.53498999999999</v>
      </c>
      <c r="J285" s="41">
        <v>-183.20783</v>
      </c>
      <c r="K285" s="41">
        <v>-251.41027</v>
      </c>
      <c r="L285" s="41">
        <v>-292</v>
      </c>
      <c r="M285" s="41">
        <v>-155</v>
      </c>
      <c r="N285" s="41">
        <v>-155</v>
      </c>
      <c r="O285" s="41">
        <f t="shared" si="8"/>
        <v>-160.43323528957472</v>
      </c>
      <c r="P285" s="41">
        <f t="shared" si="8"/>
        <v>-165.25508521376079</v>
      </c>
      <c r="Q285" s="41"/>
      <c r="R285" s="41"/>
    </row>
    <row r="286" spans="1:18" x14ac:dyDescent="0.25">
      <c r="A286" s="30">
        <v>893</v>
      </c>
      <c r="B286" s="31" t="s">
        <v>600</v>
      </c>
      <c r="C286" s="41">
        <v>-75</v>
      </c>
      <c r="D286" s="41">
        <v>70</v>
      </c>
      <c r="E286" s="41">
        <v>95</v>
      </c>
      <c r="F286" s="41">
        <v>189</v>
      </c>
      <c r="G286" s="41">
        <v>297</v>
      </c>
      <c r="H286" s="41">
        <v>347</v>
      </c>
      <c r="I286" s="165">
        <v>511.20206999999999</v>
      </c>
      <c r="J286" s="41">
        <v>304.09017</v>
      </c>
      <c r="K286" s="41">
        <v>-279.05915000000005</v>
      </c>
      <c r="L286" s="41">
        <v>-145.39699999999999</v>
      </c>
      <c r="M286" s="41">
        <v>-150</v>
      </c>
      <c r="N286" s="41">
        <v>-150</v>
      </c>
      <c r="O286" s="41">
        <f t="shared" si="8"/>
        <v>-155.2579696350723</v>
      </c>
      <c r="P286" s="41">
        <f t="shared" si="8"/>
        <v>-159.92427601331687</v>
      </c>
      <c r="Q286" s="41"/>
      <c r="R286" s="41"/>
    </row>
    <row r="287" spans="1:18" x14ac:dyDescent="0.25">
      <c r="A287" s="30">
        <v>895</v>
      </c>
      <c r="B287" s="31" t="s">
        <v>601</v>
      </c>
      <c r="C287" s="41">
        <v>237</v>
      </c>
      <c r="D287" s="41">
        <v>85</v>
      </c>
      <c r="E287" s="41">
        <v>66</v>
      </c>
      <c r="F287" s="41">
        <v>-340</v>
      </c>
      <c r="G287" s="41">
        <v>1165</v>
      </c>
      <c r="H287" s="41">
        <v>1031</v>
      </c>
      <c r="I287" s="165">
        <v>515.43916999999999</v>
      </c>
      <c r="J287" s="41">
        <v>571.42511000000002</v>
      </c>
      <c r="K287" s="41">
        <v>629.32603000000006</v>
      </c>
      <c r="L287" s="41">
        <v>1.8</v>
      </c>
      <c r="M287" s="41">
        <v>188.21600000000001</v>
      </c>
      <c r="N287" s="41">
        <v>230.41399999999999</v>
      </c>
      <c r="O287" s="41">
        <f t="shared" si="8"/>
        <v>238.49073210330366</v>
      </c>
      <c r="P287" s="41">
        <f t="shared" si="8"/>
        <v>245.65861422221596</v>
      </c>
      <c r="Q287" s="41"/>
      <c r="R287" s="41"/>
    </row>
    <row r="288" spans="1:18" x14ac:dyDescent="0.25">
      <c r="A288" s="30">
        <v>905</v>
      </c>
      <c r="B288" s="31" t="s">
        <v>602</v>
      </c>
      <c r="C288" s="41">
        <v>10679</v>
      </c>
      <c r="D288" s="41">
        <v>12211</v>
      </c>
      <c r="E288" s="41">
        <v>11604</v>
      </c>
      <c r="F288" s="41">
        <v>13917</v>
      </c>
      <c r="G288" s="41">
        <v>13353</v>
      </c>
      <c r="H288" s="41">
        <v>10841</v>
      </c>
      <c r="I288" s="165">
        <v>10298.01519</v>
      </c>
      <c r="J288" s="41">
        <v>7897.7354400000004</v>
      </c>
      <c r="K288" s="41">
        <v>450.56759000000005</v>
      </c>
      <c r="L288" s="41">
        <v>3112</v>
      </c>
      <c r="M288" s="41">
        <v>1465</v>
      </c>
      <c r="N288" s="41">
        <v>211</v>
      </c>
      <c r="O288" s="41">
        <f t="shared" si="8"/>
        <v>218.39621062000171</v>
      </c>
      <c r="P288" s="41">
        <f t="shared" si="8"/>
        <v>224.9601482587324</v>
      </c>
      <c r="Q288" s="41"/>
      <c r="R288" s="41"/>
    </row>
    <row r="289" spans="1:18" x14ac:dyDescent="0.25">
      <c r="A289" s="30">
        <v>908</v>
      </c>
      <c r="B289" s="31" t="s">
        <v>603</v>
      </c>
      <c r="C289" s="41">
        <v>1694</v>
      </c>
      <c r="D289" s="41">
        <v>1814</v>
      </c>
      <c r="E289" s="41">
        <v>2807</v>
      </c>
      <c r="F289" s="41">
        <v>2762</v>
      </c>
      <c r="G289" s="41">
        <v>1606</v>
      </c>
      <c r="H289" s="41">
        <v>1688</v>
      </c>
      <c r="I289" s="165">
        <v>2326.7425400000002</v>
      </c>
      <c r="J289" s="41">
        <v>2173.08302</v>
      </c>
      <c r="K289" s="41">
        <v>689.04584</v>
      </c>
      <c r="L289" s="41">
        <v>663.30399999999997</v>
      </c>
      <c r="M289" s="41">
        <v>601.30399999999997</v>
      </c>
      <c r="N289" s="41">
        <v>586.30399999999997</v>
      </c>
      <c r="O289" s="41">
        <f t="shared" si="8"/>
        <v>606.8557908594762</v>
      </c>
      <c r="P289" s="41">
        <f t="shared" si="8"/>
        <v>625.09495149141162</v>
      </c>
      <c r="Q289" s="41"/>
      <c r="R289" s="41"/>
    </row>
    <row r="290" spans="1:18" x14ac:dyDescent="0.25">
      <c r="A290" s="30">
        <v>915</v>
      </c>
      <c r="B290" s="31" t="s">
        <v>604</v>
      </c>
      <c r="C290" s="41">
        <v>1402</v>
      </c>
      <c r="D290" s="41">
        <v>1692</v>
      </c>
      <c r="E290" s="41">
        <v>1473</v>
      </c>
      <c r="F290" s="41">
        <v>2221</v>
      </c>
      <c r="G290" s="41">
        <v>1646</v>
      </c>
      <c r="H290" s="41">
        <v>2051</v>
      </c>
      <c r="I290" s="165">
        <v>2229.02448</v>
      </c>
      <c r="J290" s="41">
        <v>2430.8916800000002</v>
      </c>
      <c r="K290" s="41">
        <v>1871.5960299999999</v>
      </c>
      <c r="L290" s="41">
        <v>2635</v>
      </c>
      <c r="M290" s="41">
        <v>1835</v>
      </c>
      <c r="N290" s="41">
        <v>1835</v>
      </c>
      <c r="O290" s="41">
        <f t="shared" si="8"/>
        <v>1899.3224952023845</v>
      </c>
      <c r="P290" s="41">
        <f t="shared" si="8"/>
        <v>1956.4069765629099</v>
      </c>
      <c r="Q290" s="41"/>
      <c r="R290" s="41"/>
    </row>
    <row r="291" spans="1:18" x14ac:dyDescent="0.25">
      <c r="A291" s="30">
        <v>918</v>
      </c>
      <c r="B291" s="31" t="s">
        <v>605</v>
      </c>
      <c r="C291" s="41">
        <v>-120</v>
      </c>
      <c r="D291" s="41">
        <v>-121</v>
      </c>
      <c r="E291" s="41">
        <v>-71</v>
      </c>
      <c r="F291" s="41">
        <v>-98</v>
      </c>
      <c r="G291" s="41">
        <v>-133</v>
      </c>
      <c r="H291" s="41">
        <v>-127</v>
      </c>
      <c r="I291" s="165">
        <v>-40.644150000000003</v>
      </c>
      <c r="J291" s="41">
        <v>-187.64823999999999</v>
      </c>
      <c r="K291" s="41">
        <v>-301.24288000000001</v>
      </c>
      <c r="L291" s="41">
        <v>-460</v>
      </c>
      <c r="M291" s="41">
        <v>-460</v>
      </c>
      <c r="N291" s="41">
        <v>-460</v>
      </c>
      <c r="O291" s="41">
        <f t="shared" si="8"/>
        <v>-476.12444021422175</v>
      </c>
      <c r="P291" s="41">
        <f t="shared" si="8"/>
        <v>-490.43444644083843</v>
      </c>
      <c r="Q291" s="41"/>
      <c r="R291" s="41"/>
    </row>
    <row r="292" spans="1:18" x14ac:dyDescent="0.25">
      <c r="A292" s="30">
        <v>921</v>
      </c>
      <c r="B292" s="31" t="s">
        <v>606</v>
      </c>
      <c r="C292" s="41">
        <v>148</v>
      </c>
      <c r="D292" s="41">
        <v>48</v>
      </c>
      <c r="E292" s="41">
        <v>154</v>
      </c>
      <c r="F292" s="41">
        <v>149</v>
      </c>
      <c r="G292" s="41">
        <v>166</v>
      </c>
      <c r="H292" s="41">
        <v>162</v>
      </c>
      <c r="I292" s="165">
        <v>133.71431000000001</v>
      </c>
      <c r="J292" s="41">
        <v>244.94948000000002</v>
      </c>
      <c r="K292" s="41">
        <v>196.45724999999999</v>
      </c>
      <c r="L292" s="41">
        <v>114.6</v>
      </c>
      <c r="M292" s="41">
        <v>114.6</v>
      </c>
      <c r="N292" s="41">
        <v>114.6</v>
      </c>
      <c r="O292" s="41">
        <f t="shared" si="8"/>
        <v>118.61708880119524</v>
      </c>
      <c r="P292" s="41">
        <f t="shared" si="8"/>
        <v>122.18214687417409</v>
      </c>
      <c r="Q292" s="41"/>
      <c r="R292" s="41"/>
    </row>
    <row r="293" spans="1:18" x14ac:dyDescent="0.25">
      <c r="A293" s="30">
        <v>922</v>
      </c>
      <c r="B293" s="31" t="s">
        <v>607</v>
      </c>
      <c r="C293" s="41">
        <v>-190</v>
      </c>
      <c r="D293" s="41">
        <v>-79</v>
      </c>
      <c r="E293" s="41">
        <v>44</v>
      </c>
      <c r="F293" s="41">
        <v>99</v>
      </c>
      <c r="G293" s="41">
        <v>44</v>
      </c>
      <c r="H293" s="41">
        <v>-27</v>
      </c>
      <c r="I293" s="165">
        <v>-812.76666</v>
      </c>
      <c r="J293" s="41">
        <v>707.01467000000002</v>
      </c>
      <c r="K293" s="41">
        <v>-9.0346000000000011</v>
      </c>
      <c r="L293" s="41">
        <v>-162.03200000000001</v>
      </c>
      <c r="M293" s="41">
        <v>622.22900000000004</v>
      </c>
      <c r="N293" s="41">
        <v>-275.03100000000001</v>
      </c>
      <c r="O293" s="41">
        <f t="shared" si="8"/>
        <v>-284.67169764469048</v>
      </c>
      <c r="P293" s="41">
        <f t="shared" si="8"/>
        <v>-293.22755704145703</v>
      </c>
      <c r="Q293" s="41"/>
      <c r="R293" s="41"/>
    </row>
    <row r="294" spans="1:18" x14ac:dyDescent="0.25">
      <c r="A294" s="30">
        <v>924</v>
      </c>
      <c r="B294" s="31" t="s">
        <v>608</v>
      </c>
      <c r="C294" s="41">
        <v>257</v>
      </c>
      <c r="D294" s="41">
        <v>-109</v>
      </c>
      <c r="E294" s="41">
        <v>-93</v>
      </c>
      <c r="F294" s="41">
        <v>-48</v>
      </c>
      <c r="G294" s="41">
        <v>64</v>
      </c>
      <c r="H294" s="41">
        <v>106</v>
      </c>
      <c r="I294" s="165">
        <v>147.92367000000002</v>
      </c>
      <c r="J294" s="41">
        <v>326.83032000000003</v>
      </c>
      <c r="K294" s="41">
        <v>-250.92359999999999</v>
      </c>
      <c r="L294" s="41">
        <v>-85.87</v>
      </c>
      <c r="M294" s="41">
        <v>-90.07</v>
      </c>
      <c r="N294" s="41">
        <v>-90</v>
      </c>
      <c r="O294" s="41">
        <f t="shared" si="8"/>
        <v>-93.154781781043383</v>
      </c>
      <c r="P294" s="41">
        <f t="shared" si="8"/>
        <v>-95.954565607990133</v>
      </c>
      <c r="Q294" s="41"/>
      <c r="R294" s="41"/>
    </row>
    <row r="295" spans="1:18" x14ac:dyDescent="0.25">
      <c r="A295" s="30">
        <v>925</v>
      </c>
      <c r="B295" s="31" t="s">
        <v>609</v>
      </c>
      <c r="C295" s="41">
        <v>455</v>
      </c>
      <c r="D295" s="41">
        <v>455</v>
      </c>
      <c r="E295" s="41">
        <v>334</v>
      </c>
      <c r="F295" s="41">
        <v>341</v>
      </c>
      <c r="G295" s="41">
        <v>423</v>
      </c>
      <c r="H295" s="41">
        <v>332</v>
      </c>
      <c r="I295" s="165">
        <v>428.76488000000001</v>
      </c>
      <c r="J295" s="41">
        <v>420.86819000000003</v>
      </c>
      <c r="K295" s="41">
        <v>397.18034999999998</v>
      </c>
      <c r="L295" s="41">
        <v>415.75</v>
      </c>
      <c r="M295" s="41">
        <v>168.15</v>
      </c>
      <c r="N295" s="41">
        <v>176.15</v>
      </c>
      <c r="O295" s="41">
        <f t="shared" si="8"/>
        <v>182.32460900811992</v>
      </c>
      <c r="P295" s="41">
        <f t="shared" si="8"/>
        <v>187.80440813163847</v>
      </c>
      <c r="Q295" s="41"/>
      <c r="R295" s="41"/>
    </row>
    <row r="296" spans="1:18" x14ac:dyDescent="0.25">
      <c r="A296" s="30">
        <v>927</v>
      </c>
      <c r="B296" s="31" t="s">
        <v>610</v>
      </c>
      <c r="C296" s="41">
        <v>-494</v>
      </c>
      <c r="D296" s="41">
        <v>-193</v>
      </c>
      <c r="E296" s="41">
        <v>-103</v>
      </c>
      <c r="F296" s="41">
        <v>-293</v>
      </c>
      <c r="G296" s="41">
        <v>-355</v>
      </c>
      <c r="H296" s="41">
        <v>-192</v>
      </c>
      <c r="I296" s="165">
        <v>233.56653</v>
      </c>
      <c r="J296" s="41">
        <v>32.240049999999997</v>
      </c>
      <c r="K296" s="41">
        <v>-922.62824999999998</v>
      </c>
      <c r="L296" s="41">
        <v>-1250.655</v>
      </c>
      <c r="M296" s="41">
        <v>-1582.9549999999999</v>
      </c>
      <c r="N296" s="41">
        <v>-1776.212</v>
      </c>
      <c r="O296" s="41">
        <f t="shared" si="8"/>
        <v>-1838.473791743007</v>
      </c>
      <c r="P296" s="41">
        <f t="shared" si="8"/>
        <v>-1893.7294543077708</v>
      </c>
      <c r="Q296" s="41"/>
      <c r="R296" s="41"/>
    </row>
    <row r="297" spans="1:18" x14ac:dyDescent="0.25">
      <c r="A297" s="30">
        <v>931</v>
      </c>
      <c r="B297" s="31" t="s">
        <v>611</v>
      </c>
      <c r="C297" s="41">
        <v>-479</v>
      </c>
      <c r="D297" s="41">
        <v>-565</v>
      </c>
      <c r="E297" s="41">
        <v>-117</v>
      </c>
      <c r="F297" s="41">
        <v>-121</v>
      </c>
      <c r="G297" s="41">
        <v>-60</v>
      </c>
      <c r="H297" s="41">
        <v>-1</v>
      </c>
      <c r="I297" s="165">
        <v>130.63759999999999</v>
      </c>
      <c r="J297" s="41">
        <v>244.25212999999999</v>
      </c>
      <c r="K297" s="41">
        <v>-299.05081999999999</v>
      </c>
      <c r="L297" s="41">
        <v>0</v>
      </c>
      <c r="M297" s="41">
        <v>0</v>
      </c>
      <c r="N297" s="41">
        <v>0</v>
      </c>
      <c r="O297" s="41">
        <f t="shared" si="8"/>
        <v>0</v>
      </c>
      <c r="P297" s="41">
        <f t="shared" si="8"/>
        <v>0</v>
      </c>
      <c r="Q297" s="41"/>
      <c r="R297" s="41"/>
    </row>
    <row r="298" spans="1:18" x14ac:dyDescent="0.25">
      <c r="A298" s="30">
        <v>934</v>
      </c>
      <c r="B298" s="31" t="s">
        <v>612</v>
      </c>
      <c r="C298" s="41">
        <v>-71</v>
      </c>
      <c r="D298" s="41">
        <v>-67</v>
      </c>
      <c r="E298" s="41">
        <v>-35</v>
      </c>
      <c r="F298" s="41">
        <v>-25</v>
      </c>
      <c r="G298" s="41">
        <v>-15</v>
      </c>
      <c r="H298" s="41">
        <v>-30</v>
      </c>
      <c r="I298" s="165">
        <v>-18.212499999999999</v>
      </c>
      <c r="J298" s="41">
        <v>-4.1057700000000006</v>
      </c>
      <c r="K298" s="41">
        <v>-225.2705</v>
      </c>
      <c r="L298" s="41">
        <v>-249.1</v>
      </c>
      <c r="M298" s="41">
        <v>-331</v>
      </c>
      <c r="N298" s="41">
        <v>-328.125</v>
      </c>
      <c r="O298" s="41">
        <f t="shared" si="8"/>
        <v>-339.62680857672063</v>
      </c>
      <c r="P298" s="41">
        <f t="shared" si="8"/>
        <v>-349.83435377913065</v>
      </c>
      <c r="Q298" s="41"/>
      <c r="R298" s="41"/>
    </row>
    <row r="299" spans="1:18" x14ac:dyDescent="0.25">
      <c r="A299" s="30">
        <v>935</v>
      </c>
      <c r="B299" s="31" t="s">
        <v>613</v>
      </c>
      <c r="C299" s="41">
        <v>144</v>
      </c>
      <c r="D299" s="41">
        <v>81</v>
      </c>
      <c r="E299" s="41">
        <v>258</v>
      </c>
      <c r="F299" s="41">
        <v>277</v>
      </c>
      <c r="G299" s="41">
        <v>165</v>
      </c>
      <c r="H299" s="41">
        <v>171</v>
      </c>
      <c r="I299" s="165">
        <v>132.53398000000001</v>
      </c>
      <c r="J299" s="41">
        <v>-64.994420000000005</v>
      </c>
      <c r="K299" s="41">
        <v>-439.28294</v>
      </c>
      <c r="L299" s="41">
        <v>-483</v>
      </c>
      <c r="M299" s="41">
        <v>-383</v>
      </c>
      <c r="N299" s="41">
        <v>-383</v>
      </c>
      <c r="O299" s="41">
        <f t="shared" si="8"/>
        <v>-396.42534913488458</v>
      </c>
      <c r="P299" s="41">
        <f t="shared" si="8"/>
        <v>-408.33998475400239</v>
      </c>
      <c r="Q299" s="41"/>
      <c r="R299" s="41"/>
    </row>
    <row r="300" spans="1:18" x14ac:dyDescent="0.25">
      <c r="A300" s="30">
        <v>936</v>
      </c>
      <c r="B300" s="31" t="s">
        <v>614</v>
      </c>
      <c r="C300" s="41">
        <v>149</v>
      </c>
      <c r="D300" s="41">
        <v>158</v>
      </c>
      <c r="E300" s="41">
        <v>402</v>
      </c>
      <c r="F300" s="41">
        <v>490</v>
      </c>
      <c r="G300" s="41">
        <v>695</v>
      </c>
      <c r="H300" s="41">
        <v>342</v>
      </c>
      <c r="I300" s="165">
        <v>-873.86057999999991</v>
      </c>
      <c r="J300" s="41">
        <v>3340.6581699999997</v>
      </c>
      <c r="K300" s="41">
        <v>209.36751999999998</v>
      </c>
      <c r="L300" s="41">
        <v>113.5</v>
      </c>
      <c r="M300" s="41">
        <v>103.5</v>
      </c>
      <c r="N300" s="41">
        <v>43.5</v>
      </c>
      <c r="O300" s="41">
        <f t="shared" si="8"/>
        <v>45.024811194170965</v>
      </c>
      <c r="P300" s="41">
        <f t="shared" si="8"/>
        <v>46.378040043861894</v>
      </c>
      <c r="Q300" s="41"/>
      <c r="R300" s="41"/>
    </row>
    <row r="301" spans="1:18" x14ac:dyDescent="0.25">
      <c r="A301" s="30">
        <v>946</v>
      </c>
      <c r="B301" s="31" t="s">
        <v>615</v>
      </c>
      <c r="C301" s="41">
        <v>17</v>
      </c>
      <c r="D301" s="41">
        <v>14</v>
      </c>
      <c r="E301" s="41">
        <v>16</v>
      </c>
      <c r="F301" s="41">
        <v>8</v>
      </c>
      <c r="G301" s="41">
        <v>74</v>
      </c>
      <c r="H301" s="41">
        <v>-3</v>
      </c>
      <c r="I301" s="165">
        <v>91.642610000000005</v>
      </c>
      <c r="J301" s="41">
        <v>-84.05364999999999</v>
      </c>
      <c r="K301" s="41">
        <v>-265.76062000000002</v>
      </c>
      <c r="L301" s="41">
        <v>-385.9</v>
      </c>
      <c r="M301" s="41">
        <v>-364.3</v>
      </c>
      <c r="N301" s="41">
        <v>-594</v>
      </c>
      <c r="O301" s="41">
        <f t="shared" si="8"/>
        <v>-614.82155975488627</v>
      </c>
      <c r="P301" s="41">
        <f t="shared" si="8"/>
        <v>-633.30013301273482</v>
      </c>
      <c r="Q301" s="41"/>
      <c r="R301" s="41"/>
    </row>
    <row r="302" spans="1:18" x14ac:dyDescent="0.25">
      <c r="A302" s="30">
        <v>976</v>
      </c>
      <c r="B302" s="31" t="s">
        <v>616</v>
      </c>
      <c r="C302" s="41">
        <v>382</v>
      </c>
      <c r="D302" s="41">
        <v>171</v>
      </c>
      <c r="E302" s="41">
        <v>299</v>
      </c>
      <c r="F302" s="41">
        <v>-153</v>
      </c>
      <c r="G302" s="41">
        <v>520</v>
      </c>
      <c r="H302" s="41">
        <v>60</v>
      </c>
      <c r="I302" s="165">
        <v>30.942830000000001</v>
      </c>
      <c r="J302" s="41">
        <v>-163.57729</v>
      </c>
      <c r="K302" s="41">
        <v>97.381</v>
      </c>
      <c r="L302" s="41">
        <v>-79.5</v>
      </c>
      <c r="M302" s="41">
        <v>-79.5</v>
      </c>
      <c r="N302" s="41">
        <v>-79.5</v>
      </c>
      <c r="O302" s="41">
        <f t="shared" si="8"/>
        <v>-82.286723906588321</v>
      </c>
      <c r="P302" s="41">
        <f t="shared" si="8"/>
        <v>-84.759866287057946</v>
      </c>
      <c r="Q302" s="41"/>
      <c r="R302" s="41"/>
    </row>
    <row r="303" spans="1:18" x14ac:dyDescent="0.25">
      <c r="A303" s="30">
        <v>977</v>
      </c>
      <c r="B303" s="31" t="s">
        <v>617</v>
      </c>
      <c r="C303" s="41">
        <v>-395</v>
      </c>
      <c r="D303" s="41">
        <v>-281</v>
      </c>
      <c r="E303" s="41">
        <v>-320</v>
      </c>
      <c r="F303" s="41">
        <v>-170</v>
      </c>
      <c r="G303" s="41">
        <v>-64</v>
      </c>
      <c r="H303" s="41">
        <v>-508</v>
      </c>
      <c r="I303" s="165">
        <v>-425.05363</v>
      </c>
      <c r="J303" s="41">
        <v>-853.76747</v>
      </c>
      <c r="K303" s="41">
        <v>-1840.80871</v>
      </c>
      <c r="L303" s="41">
        <v>-1385.1</v>
      </c>
      <c r="M303" s="41">
        <v>-2563.1</v>
      </c>
      <c r="N303" s="41">
        <v>-2713.1</v>
      </c>
      <c r="O303" s="41">
        <f t="shared" si="8"/>
        <v>-2808.2026494460974</v>
      </c>
      <c r="P303" s="41">
        <f t="shared" si="8"/>
        <v>-2892.6036883448664</v>
      </c>
      <c r="Q303" s="41"/>
      <c r="R303" s="41"/>
    </row>
    <row r="304" spans="1:18" x14ac:dyDescent="0.25">
      <c r="A304" s="30">
        <v>980</v>
      </c>
      <c r="B304" s="31" t="s">
        <v>618</v>
      </c>
      <c r="C304" s="41">
        <v>-672</v>
      </c>
      <c r="D304" s="41">
        <v>-459</v>
      </c>
      <c r="E304" s="41">
        <v>3614</v>
      </c>
      <c r="F304" s="41">
        <v>1349</v>
      </c>
      <c r="G304" s="41">
        <v>1226</v>
      </c>
      <c r="H304" s="41">
        <v>1163</v>
      </c>
      <c r="I304" s="165">
        <v>999.27756000000011</v>
      </c>
      <c r="J304" s="41">
        <v>-450.61745000000002</v>
      </c>
      <c r="K304" s="41">
        <v>-1212.2286100000001</v>
      </c>
      <c r="L304" s="41">
        <v>-1439.1</v>
      </c>
      <c r="M304" s="41">
        <v>-1939.5</v>
      </c>
      <c r="N304" s="41">
        <v>-2439.5</v>
      </c>
      <c r="O304" s="41">
        <f t="shared" si="8"/>
        <v>-2525.012112831726</v>
      </c>
      <c r="P304" s="41">
        <f t="shared" si="8"/>
        <v>-2600.9018088965768</v>
      </c>
      <c r="Q304" s="41"/>
      <c r="R304" s="41"/>
    </row>
    <row r="305" spans="1:18" x14ac:dyDescent="0.25">
      <c r="A305" s="30">
        <v>981</v>
      </c>
      <c r="B305" s="31" t="s">
        <v>619</v>
      </c>
      <c r="C305" s="41">
        <v>20</v>
      </c>
      <c r="D305" s="41">
        <v>5</v>
      </c>
      <c r="E305" s="41">
        <v>15</v>
      </c>
      <c r="F305" s="41">
        <v>7</v>
      </c>
      <c r="G305" s="41">
        <v>5</v>
      </c>
      <c r="H305" s="41">
        <v>13</v>
      </c>
      <c r="I305" s="165">
        <v>22.679779999999997</v>
      </c>
      <c r="J305" s="41">
        <v>12.981639999999999</v>
      </c>
      <c r="K305" s="41">
        <v>36.141249999999999</v>
      </c>
      <c r="L305" s="41">
        <v>-12</v>
      </c>
      <c r="M305" s="41">
        <v>-12</v>
      </c>
      <c r="N305" s="41">
        <v>-12</v>
      </c>
      <c r="O305" s="41">
        <f t="shared" si="8"/>
        <v>-12.420637570805784</v>
      </c>
      <c r="P305" s="41">
        <f t="shared" si="8"/>
        <v>-12.793942081065349</v>
      </c>
      <c r="Q305" s="41"/>
      <c r="R305" s="41"/>
    </row>
    <row r="306" spans="1:18" x14ac:dyDescent="0.25">
      <c r="A306" s="30">
        <v>989</v>
      </c>
      <c r="B306" s="31" t="s">
        <v>620</v>
      </c>
      <c r="C306" s="41">
        <v>15</v>
      </c>
      <c r="D306" s="41">
        <v>377</v>
      </c>
      <c r="E306" s="41">
        <v>636</v>
      </c>
      <c r="F306" s="41">
        <v>1052</v>
      </c>
      <c r="G306" s="41">
        <v>268</v>
      </c>
      <c r="H306" s="41">
        <v>482</v>
      </c>
      <c r="I306" s="165">
        <v>609.78730000000007</v>
      </c>
      <c r="J306" s="41">
        <v>612.35958999999991</v>
      </c>
      <c r="K306" s="41">
        <v>-555.7418100000001</v>
      </c>
      <c r="L306" s="41">
        <v>-565</v>
      </c>
      <c r="M306" s="41">
        <v>-565</v>
      </c>
      <c r="N306" s="41">
        <v>-565</v>
      </c>
      <c r="O306" s="41">
        <f t="shared" si="8"/>
        <v>-584.80501895877228</v>
      </c>
      <c r="P306" s="41">
        <f t="shared" si="8"/>
        <v>-602.38143965016013</v>
      </c>
      <c r="Q306" s="41"/>
      <c r="R306" s="41"/>
    </row>
    <row r="307" spans="1:18" x14ac:dyDescent="0.25">
      <c r="A307" s="30">
        <v>992</v>
      </c>
      <c r="B307" s="31" t="s">
        <v>621</v>
      </c>
      <c r="C307" s="41">
        <v>1417</v>
      </c>
      <c r="D307" s="41">
        <v>2470</v>
      </c>
      <c r="E307" s="41">
        <v>1678</v>
      </c>
      <c r="F307" s="41">
        <v>1818</v>
      </c>
      <c r="G307" s="41">
        <v>1738</v>
      </c>
      <c r="H307" s="41">
        <v>1732</v>
      </c>
      <c r="I307" s="165">
        <v>1157.8515199999999</v>
      </c>
      <c r="J307" s="41">
        <v>338.15821999999997</v>
      </c>
      <c r="K307" s="41">
        <v>2248.1564500000004</v>
      </c>
      <c r="L307" s="41">
        <v>1150</v>
      </c>
      <c r="M307" s="41">
        <v>850</v>
      </c>
      <c r="N307" s="41">
        <v>850</v>
      </c>
      <c r="O307" s="41">
        <f t="shared" si="8"/>
        <v>879.79516126540966</v>
      </c>
      <c r="P307" s="41">
        <f t="shared" si="8"/>
        <v>906.23756407546227</v>
      </c>
      <c r="Q307" s="41"/>
      <c r="R307" s="41"/>
    </row>
    <row r="309" spans="1:18" x14ac:dyDescent="0.25">
      <c r="O309" s="438"/>
      <c r="P309" s="438"/>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I312"/>
  <sheetViews>
    <sheetView workbookViewId="0"/>
  </sheetViews>
  <sheetFormatPr defaultRowHeight="15" x14ac:dyDescent="0.25"/>
  <cols>
    <col min="1" max="1" width="9.140625" style="29"/>
    <col min="2" max="2" width="20.5703125" style="29" bestFit="1" customWidth="1"/>
    <col min="9" max="9" width="9.140625" style="16"/>
    <col min="13" max="16" width="9.140625" style="203"/>
    <col min="17" max="17" width="9.140625" style="16"/>
    <col min="18" max="18" width="9.140625" style="117"/>
    <col min="19" max="20" width="9.140625" style="4"/>
    <col min="21" max="21" width="20.5703125" style="4" bestFit="1" customWidth="1"/>
    <col min="22" max="35" width="9.140625" style="4"/>
  </cols>
  <sheetData>
    <row r="1" spans="1:35" s="4" customFormat="1" ht="11.25" x14ac:dyDescent="0.2">
      <c r="A1" s="1" t="s">
        <v>799</v>
      </c>
      <c r="B1" s="1"/>
      <c r="C1" s="1"/>
      <c r="D1" s="1"/>
      <c r="E1" s="1"/>
      <c r="F1" s="1"/>
      <c r="G1" s="1"/>
      <c r="H1" s="1"/>
      <c r="I1" s="98"/>
      <c r="J1" s="1"/>
      <c r="K1" s="1"/>
      <c r="L1" s="1"/>
      <c r="M1" s="1"/>
      <c r="N1" s="1"/>
      <c r="O1" s="1"/>
      <c r="P1" s="1"/>
      <c r="Q1" s="98"/>
      <c r="R1" s="117"/>
    </row>
    <row r="2" spans="1:35" s="4" customFormat="1" ht="11.25" x14ac:dyDescent="0.2">
      <c r="A2" s="1"/>
      <c r="B2" s="1"/>
      <c r="I2" s="7"/>
      <c r="Q2" s="7"/>
      <c r="R2" s="117"/>
    </row>
    <row r="3" spans="1:35" s="4" customFormat="1" ht="11.25" x14ac:dyDescent="0.2">
      <c r="A3" s="1"/>
      <c r="B3" s="1"/>
      <c r="I3" s="364"/>
      <c r="J3" s="279"/>
      <c r="K3" s="279"/>
      <c r="L3" s="279"/>
      <c r="Q3" s="7"/>
      <c r="R3" s="117"/>
    </row>
    <row r="4" spans="1:35" s="4" customFormat="1" ht="11.25" x14ac:dyDescent="0.2">
      <c r="A4" s="1"/>
      <c r="B4" s="1"/>
      <c r="I4" s="7"/>
      <c r="Q4" s="7"/>
      <c r="R4" s="117"/>
    </row>
    <row r="5" spans="1:35" s="4" customFormat="1" ht="11.25" x14ac:dyDescent="0.2">
      <c r="A5" s="1"/>
      <c r="B5" s="1"/>
      <c r="I5" s="7"/>
      <c r="Q5" s="7"/>
      <c r="R5" s="117"/>
    </row>
    <row r="6" spans="1:35" s="4" customFormat="1" ht="11.25" x14ac:dyDescent="0.2">
      <c r="A6" s="1"/>
      <c r="B6" s="1"/>
      <c r="H6" s="306"/>
      <c r="I6" s="306"/>
      <c r="J6" s="306"/>
      <c r="K6" s="306"/>
      <c r="L6" s="306"/>
      <c r="M6" s="306"/>
      <c r="N6" s="93"/>
      <c r="O6" s="93">
        <f>1+Makroennusteet!L17</f>
        <v>1.0322663405915342</v>
      </c>
      <c r="P6" s="93">
        <f>1+Makroennusteet!M17</f>
        <v>1.0312577668405269</v>
      </c>
      <c r="Q6" s="306"/>
      <c r="R6" s="117"/>
    </row>
    <row r="7" spans="1:35" s="4" customFormat="1" ht="11.25" x14ac:dyDescent="0.2">
      <c r="A7" s="1"/>
      <c r="B7" s="1"/>
      <c r="I7" s="7"/>
      <c r="Q7" s="7"/>
      <c r="R7" s="123" t="s">
        <v>319</v>
      </c>
    </row>
    <row r="8" spans="1:35" s="4" customFormat="1" ht="11.25" x14ac:dyDescent="0.2">
      <c r="A8" s="1" t="s">
        <v>622</v>
      </c>
      <c r="B8" s="1"/>
      <c r="C8" s="4" t="s">
        <v>323</v>
      </c>
      <c r="D8" s="4" t="s">
        <v>323</v>
      </c>
      <c r="E8" s="4" t="s">
        <v>323</v>
      </c>
      <c r="F8" s="4" t="s">
        <v>323</v>
      </c>
      <c r="G8" s="4" t="s">
        <v>323</v>
      </c>
      <c r="H8" s="19" t="s">
        <v>323</v>
      </c>
      <c r="I8" s="168" t="s">
        <v>323</v>
      </c>
      <c r="J8" s="19" t="s">
        <v>323</v>
      </c>
      <c r="K8" s="19" t="s">
        <v>323</v>
      </c>
      <c r="L8" s="19" t="s">
        <v>757</v>
      </c>
      <c r="M8" s="19" t="s">
        <v>758</v>
      </c>
      <c r="N8" s="19" t="s">
        <v>758</v>
      </c>
      <c r="O8" s="19" t="s">
        <v>625</v>
      </c>
      <c r="P8" s="19" t="s">
        <v>625</v>
      </c>
      <c r="Q8" s="168"/>
      <c r="R8" s="117"/>
    </row>
    <row r="9" spans="1:35" s="120" customFormat="1" ht="11.25" x14ac:dyDescent="0.2">
      <c r="A9" s="106" t="s">
        <v>311</v>
      </c>
      <c r="B9" s="106"/>
      <c r="C9" s="107">
        <v>2015</v>
      </c>
      <c r="D9" s="107">
        <v>2016</v>
      </c>
      <c r="E9" s="107">
        <v>2017</v>
      </c>
      <c r="F9" s="107">
        <v>2018</v>
      </c>
      <c r="G9" s="107">
        <v>2019</v>
      </c>
      <c r="H9" s="107">
        <v>2020</v>
      </c>
      <c r="I9" s="107">
        <v>2021</v>
      </c>
      <c r="J9" s="107">
        <v>2022</v>
      </c>
      <c r="K9" s="107">
        <v>2023</v>
      </c>
      <c r="L9" s="107">
        <v>2024</v>
      </c>
      <c r="M9" s="107">
        <v>2025</v>
      </c>
      <c r="N9" s="107">
        <v>2026</v>
      </c>
      <c r="O9" s="107">
        <v>2027</v>
      </c>
      <c r="P9" s="107">
        <v>2028</v>
      </c>
      <c r="R9" s="107"/>
    </row>
    <row r="10" spans="1:35" s="4" customFormat="1" ht="11.25" x14ac:dyDescent="0.2">
      <c r="A10" s="1" t="s">
        <v>623</v>
      </c>
      <c r="B10" s="1"/>
      <c r="D10" s="76">
        <f>(D13/C13-1)*100</f>
        <v>3.9596634350122173</v>
      </c>
      <c r="E10" s="76">
        <f t="shared" ref="E10:M10" si="0">(E13/D13-1)*100</f>
        <v>3.9724721342673019</v>
      </c>
      <c r="F10" s="76">
        <f t="shared" si="0"/>
        <v>-7.6385663741740384E-2</v>
      </c>
      <c r="G10" s="76">
        <f t="shared" si="0"/>
        <v>5.1664505464883437</v>
      </c>
      <c r="H10" s="76">
        <f t="shared" si="0"/>
        <v>-0.25024666861832578</v>
      </c>
      <c r="I10" s="307">
        <f t="shared" si="0"/>
        <v>4.8487996069487949</v>
      </c>
      <c r="J10" s="76">
        <f t="shared" si="0"/>
        <v>-1.0132680480730127</v>
      </c>
      <c r="K10" s="76">
        <f t="shared" si="0"/>
        <v>4.5233509927802507</v>
      </c>
      <c r="L10" s="76">
        <f t="shared" si="0"/>
        <v>-1.4387144328923074</v>
      </c>
      <c r="M10" s="76">
        <f t="shared" si="0"/>
        <v>2.2301496119383257</v>
      </c>
      <c r="N10" s="76">
        <f>(N13/M13-1)*100</f>
        <v>5.8646292620881502</v>
      </c>
      <c r="O10" s="76">
        <f>(O13/N13-1)*100</f>
        <v>3.2266340591534659</v>
      </c>
      <c r="P10" s="76">
        <f>(P13/O13-1)*100</f>
        <v>3.1257766840525614</v>
      </c>
      <c r="Q10" s="307"/>
      <c r="R10" s="117"/>
    </row>
    <row r="11" spans="1:35" s="4" customFormat="1" ht="12" thickBot="1" x14ac:dyDescent="0.25">
      <c r="A11" s="43" t="s">
        <v>624</v>
      </c>
      <c r="B11" s="43"/>
      <c r="D11" s="41">
        <f>D13-C13</f>
        <v>80378</v>
      </c>
      <c r="E11" s="41">
        <f t="shared" ref="E11:M11" si="1">E13-D13</f>
        <v>83831</v>
      </c>
      <c r="F11" s="41">
        <f t="shared" si="1"/>
        <v>-1676</v>
      </c>
      <c r="G11" s="41">
        <f t="shared" si="1"/>
        <v>113272</v>
      </c>
      <c r="H11" s="41">
        <f t="shared" si="1"/>
        <v>-5770</v>
      </c>
      <c r="I11" s="165">
        <f t="shared" si="1"/>
        <v>111520.20899999933</v>
      </c>
      <c r="J11" s="41">
        <f t="shared" si="1"/>
        <v>-24434.707779998891</v>
      </c>
      <c r="K11" s="41">
        <f t="shared" si="1"/>
        <v>107974.2202100018</v>
      </c>
      <c r="L11" s="41">
        <f t="shared" si="1"/>
        <v>-35896.136900001206</v>
      </c>
      <c r="M11" s="41">
        <f t="shared" si="1"/>
        <v>54842.023569998797</v>
      </c>
      <c r="N11" s="41">
        <f>N13-M13</f>
        <v>147434.46946000168</v>
      </c>
      <c r="O11" s="41">
        <f>O13-N13</f>
        <v>85873.480021184776</v>
      </c>
      <c r="P11" s="41">
        <f>P13-O13</f>
        <v>85873.480021179654</v>
      </c>
      <c r="Q11" s="165"/>
      <c r="R11" s="117"/>
    </row>
    <row r="12" spans="1:35" ht="15.75" thickBot="1" x14ac:dyDescent="0.3">
      <c r="A12" s="49" t="s">
        <v>326</v>
      </c>
      <c r="B12" s="50" t="s">
        <v>327</v>
      </c>
      <c r="C12" s="67" t="s">
        <v>315</v>
      </c>
      <c r="D12" s="67" t="s">
        <v>315</v>
      </c>
      <c r="E12" s="67" t="s">
        <v>315</v>
      </c>
      <c r="F12" s="67" t="s">
        <v>315</v>
      </c>
      <c r="G12" s="67" t="s">
        <v>315</v>
      </c>
      <c r="H12" s="67" t="s">
        <v>315</v>
      </c>
      <c r="I12" s="365" t="s">
        <v>315</v>
      </c>
      <c r="J12" s="67" t="s">
        <v>315</v>
      </c>
      <c r="K12" s="67" t="s">
        <v>315</v>
      </c>
      <c r="L12" s="67" t="s">
        <v>315</v>
      </c>
      <c r="M12" s="67" t="s">
        <v>315</v>
      </c>
      <c r="N12" s="67" t="s">
        <v>315</v>
      </c>
      <c r="O12" s="67" t="s">
        <v>315</v>
      </c>
      <c r="P12" s="67" t="s">
        <v>315</v>
      </c>
      <c r="Q12" s="308"/>
      <c r="T12" s="94" t="s">
        <v>326</v>
      </c>
      <c r="U12" s="94" t="s">
        <v>327</v>
      </c>
      <c r="V12" s="345">
        <v>2015</v>
      </c>
      <c r="W12" s="345">
        <v>2016</v>
      </c>
      <c r="X12" s="345">
        <v>2017</v>
      </c>
      <c r="Y12" s="345">
        <v>2018</v>
      </c>
      <c r="Z12" s="345">
        <v>2019</v>
      </c>
      <c r="AA12" s="345">
        <v>2020</v>
      </c>
      <c r="AB12" s="345">
        <v>2021</v>
      </c>
      <c r="AC12" s="345">
        <v>2022</v>
      </c>
      <c r="AD12" s="345">
        <v>2023</v>
      </c>
      <c r="AE12" s="345">
        <v>2024</v>
      </c>
      <c r="AF12" s="345">
        <v>2025</v>
      </c>
      <c r="AG12" s="345">
        <v>2026</v>
      </c>
      <c r="AH12" s="345">
        <v>2027</v>
      </c>
      <c r="AI12" s="345">
        <v>2028</v>
      </c>
    </row>
    <row r="13" spans="1:35" x14ac:dyDescent="0.25">
      <c r="A13" s="37">
        <v>1</v>
      </c>
      <c r="B13" s="38" t="s">
        <v>312</v>
      </c>
      <c r="C13" s="41">
        <f t="shared" ref="C13:L13" si="2">SUM(C15:C307)</f>
        <v>2029920</v>
      </c>
      <c r="D13" s="41">
        <f t="shared" si="2"/>
        <v>2110298</v>
      </c>
      <c r="E13" s="41">
        <f t="shared" si="2"/>
        <v>2194129</v>
      </c>
      <c r="F13" s="41">
        <f t="shared" si="2"/>
        <v>2192453</v>
      </c>
      <c r="G13" s="41">
        <f t="shared" si="2"/>
        <v>2305725</v>
      </c>
      <c r="H13" s="41">
        <f t="shared" si="2"/>
        <v>2299955</v>
      </c>
      <c r="I13" s="165">
        <f t="shared" si="2"/>
        <v>2411475.2089999993</v>
      </c>
      <c r="J13" s="41">
        <f t="shared" si="2"/>
        <v>2387040.5012200004</v>
      </c>
      <c r="K13" s="41">
        <f t="shared" si="2"/>
        <v>2495014.7214300022</v>
      </c>
      <c r="L13" s="41">
        <f t="shared" si="2"/>
        <v>2459118.584530001</v>
      </c>
      <c r="M13" s="41">
        <f t="shared" ref="M13:O13" si="3">SUM(M15:M307)</f>
        <v>2513960.6080999998</v>
      </c>
      <c r="N13" s="41">
        <f t="shared" si="3"/>
        <v>2661395.0775600015</v>
      </c>
      <c r="O13" s="41">
        <f t="shared" si="3"/>
        <v>2747268.5575811863</v>
      </c>
      <c r="P13" s="41">
        <f t="shared" ref="P13" si="4">SUM(P15:P307)</f>
        <v>2833142.0376023659</v>
      </c>
      <c r="Q13" s="165"/>
      <c r="S13" s="8"/>
      <c r="T13" s="39"/>
      <c r="U13" s="86" t="s">
        <v>312</v>
      </c>
      <c r="V13" s="41">
        <f>C13/'1. Väestöennuste'!E13*1000</f>
        <v>372.05271773227315</v>
      </c>
      <c r="W13" s="41">
        <f>D13/'1. Väestöennuste'!F13*1000</f>
        <v>385.50712512031691</v>
      </c>
      <c r="X13" s="41">
        <f>E13/'1. Väestöennuste'!G13*1000</f>
        <v>400.12265573183947</v>
      </c>
      <c r="Y13" s="41">
        <f>F13/'1. Väestöennuste'!H13*1000</f>
        <v>399.48999021524634</v>
      </c>
      <c r="Z13" s="41">
        <f>G13/'1. Väestöennuste'!I13*1000</f>
        <v>419.57303261195528</v>
      </c>
      <c r="AA13" s="41">
        <f>H13/'1. Väestöennuste'!J13*1000</f>
        <v>417.8952421514104</v>
      </c>
      <c r="AB13" s="41">
        <f>I13/'1. Väestöennuste'!K13*1000</f>
        <v>437.02794905377891</v>
      </c>
      <c r="AC13" s="41">
        <f>J13/'1. Väestöennuste'!L13*1000</f>
        <v>431.37121514685447</v>
      </c>
      <c r="AD13" s="41">
        <f>K13/'1. Väestöennuste'!M13*1000</f>
        <v>447.67197974453285</v>
      </c>
      <c r="AE13" s="41">
        <f>L13/'1. Väestöennuste'!N13*1000</f>
        <v>444.00010987163819</v>
      </c>
      <c r="AF13" s="41">
        <f>M13/'1. Väestöennuste'!O13*1000</f>
        <v>453.38306944786848</v>
      </c>
      <c r="AG13" s="41">
        <f>N13/'1. Väestöennuste'!P13*1000</f>
        <v>479.4798456595953</v>
      </c>
      <c r="AH13" s="41">
        <f>O13/'1. Väestöennuste'!Q13*1000</f>
        <v>494.49575050280578</v>
      </c>
      <c r="AI13" s="41">
        <f>P13/'1. Väestöennuste'!R13*1000</f>
        <v>509.55498774150334</v>
      </c>
    </row>
    <row r="14" spans="1:35" x14ac:dyDescent="0.25">
      <c r="A14" s="37"/>
      <c r="B14" s="38"/>
      <c r="C14" s="41"/>
      <c r="D14" s="41"/>
      <c r="E14" s="41"/>
      <c r="F14" s="41"/>
      <c r="G14" s="41"/>
      <c r="H14" s="41"/>
      <c r="I14" s="165"/>
      <c r="J14" s="41"/>
      <c r="K14" s="41"/>
      <c r="L14" s="41"/>
      <c r="M14" s="41"/>
      <c r="N14" s="41"/>
      <c r="O14" s="41"/>
      <c r="P14" s="41"/>
      <c r="Q14" s="165"/>
      <c r="T14" s="39"/>
      <c r="U14" s="86"/>
      <c r="V14" s="41"/>
      <c r="W14" s="41"/>
      <c r="X14" s="41"/>
      <c r="Y14" s="41"/>
      <c r="Z14" s="41"/>
      <c r="AA14" s="41"/>
      <c r="AB14" s="41"/>
      <c r="AC14" s="41"/>
      <c r="AD14" s="41"/>
      <c r="AE14" s="41"/>
      <c r="AF14" s="41"/>
      <c r="AG14" s="41"/>
      <c r="AH14" s="41"/>
      <c r="AI14" s="41"/>
    </row>
    <row r="15" spans="1:35" x14ac:dyDescent="0.25">
      <c r="A15" s="30">
        <v>5</v>
      </c>
      <c r="B15" s="31" t="s">
        <v>328</v>
      </c>
      <c r="C15" s="41">
        <v>3127</v>
      </c>
      <c r="D15" s="41">
        <v>3035</v>
      </c>
      <c r="E15" s="41">
        <v>3001</v>
      </c>
      <c r="F15" s="41">
        <v>3573</v>
      </c>
      <c r="G15" s="41">
        <v>3246</v>
      </c>
      <c r="H15" s="41">
        <v>3584</v>
      </c>
      <c r="I15" s="165">
        <v>3827.3159300000002</v>
      </c>
      <c r="J15" s="41">
        <v>3848.1423199999999</v>
      </c>
      <c r="K15" s="41">
        <v>4066.5006100000001</v>
      </c>
      <c r="L15" s="41">
        <v>4237.3100000000004</v>
      </c>
      <c r="M15" s="41">
        <v>4287</v>
      </c>
      <c r="N15" s="41">
        <v>4337</v>
      </c>
      <c r="O15" s="41">
        <f t="shared" ref="O15:P78" si="5">N15*O$6</f>
        <v>4476.9391191454843</v>
      </c>
      <c r="P15" s="41">
        <f t="shared" si="5"/>
        <v>4616.8782382909676</v>
      </c>
      <c r="Q15" s="165"/>
      <c r="T15" s="34">
        <v>5</v>
      </c>
      <c r="U15" s="88" t="s">
        <v>328</v>
      </c>
      <c r="V15" s="41">
        <f>C15/'1. Väestöennuste'!E15*1000</f>
        <v>312.51249250449729</v>
      </c>
      <c r="W15" s="41">
        <f>D15/'1. Väestöennuste'!F15*1000</f>
        <v>306.5966259218103</v>
      </c>
      <c r="X15" s="41">
        <f>E15/'1. Väestöennuste'!G15*1000</f>
        <v>305.25887498728508</v>
      </c>
      <c r="Y15" s="41">
        <f>F15/'1. Väestöennuste'!H15*1000</f>
        <v>368.35051546391753</v>
      </c>
      <c r="Z15" s="41">
        <f>G15/'1. Väestöennuste'!I15*1000</f>
        <v>339.46873039113154</v>
      </c>
      <c r="AA15" s="41">
        <f>H15/'1. Väestöennuste'!J15*1000</f>
        <v>380.50748487100543</v>
      </c>
      <c r="AB15" s="41">
        <f>I15/'1. Väestöennuste'!K15*1000</f>
        <v>411.05315540758249</v>
      </c>
      <c r="AC15" s="41">
        <f>J15/'1. Väestöennuste'!L15*1000</f>
        <v>419.05067189371664</v>
      </c>
      <c r="AD15" s="41">
        <f>K15/'1. Väestöennuste'!M15*1000</f>
        <v>446.23072643476354</v>
      </c>
      <c r="AE15" s="41">
        <f>L15/'1. Väestöennuste'!N15*1000</f>
        <v>473.38956541168585</v>
      </c>
      <c r="AF15" s="41">
        <f>M15/'1. Väestöennuste'!O15*1000</f>
        <v>484.89989820156092</v>
      </c>
      <c r="AG15" s="41">
        <f>N15/'1. Väestöennuste'!P15*1000</f>
        <v>496.79266895761742</v>
      </c>
      <c r="AH15" s="41">
        <f>O15/'1. Väestöennuste'!Q15*1000</f>
        <v>519.30624279613551</v>
      </c>
      <c r="AI15" s="41">
        <f>P15/'1. Väestöennuste'!R15*1000</f>
        <v>542.39640957365691</v>
      </c>
    </row>
    <row r="16" spans="1:35" x14ac:dyDescent="0.25">
      <c r="A16" s="30">
        <v>9</v>
      </c>
      <c r="B16" s="31" t="s">
        <v>329</v>
      </c>
      <c r="C16" s="41">
        <v>795</v>
      </c>
      <c r="D16" s="41">
        <v>811</v>
      </c>
      <c r="E16" s="41">
        <v>817</v>
      </c>
      <c r="F16" s="41">
        <v>719</v>
      </c>
      <c r="G16" s="41">
        <v>745</v>
      </c>
      <c r="H16" s="41">
        <v>705</v>
      </c>
      <c r="I16" s="165">
        <v>738.17448000000002</v>
      </c>
      <c r="J16" s="41">
        <v>815.50556999999992</v>
      </c>
      <c r="K16" s="41">
        <v>865.50533999999993</v>
      </c>
      <c r="L16" s="41">
        <v>871.13704000000007</v>
      </c>
      <c r="M16" s="41">
        <v>871.13699999999994</v>
      </c>
      <c r="N16" s="41">
        <v>871.13699999999994</v>
      </c>
      <c r="O16" s="41">
        <f t="shared" si="5"/>
        <v>899.2454031438873</v>
      </c>
      <c r="P16" s="41">
        <f t="shared" si="5"/>
        <v>927.35380628777455</v>
      </c>
      <c r="Q16" s="165"/>
      <c r="T16" s="34">
        <v>9</v>
      </c>
      <c r="U16" s="88" t="s">
        <v>329</v>
      </c>
      <c r="V16" s="41">
        <f>C16/'1. Väestöennuste'!E16*1000</f>
        <v>295.8689988835132</v>
      </c>
      <c r="W16" s="41">
        <f>D16/'1. Väestöennuste'!F16*1000</f>
        <v>307.31337627889354</v>
      </c>
      <c r="X16" s="41">
        <f>E16/'1. Väestöennuste'!G16*1000</f>
        <v>313.02681992337165</v>
      </c>
      <c r="Y16" s="41">
        <f>F16/'1. Väestöennuste'!H16*1000</f>
        <v>279.44034201321415</v>
      </c>
      <c r="Z16" s="41">
        <f>G16/'1. Väestöennuste'!I16*1000</f>
        <v>295.75228265184592</v>
      </c>
      <c r="AA16" s="41">
        <f>H16/'1. Väestöennuste'!J16*1000</f>
        <v>280.09535160905841</v>
      </c>
      <c r="AB16" s="41">
        <f>I16/'1. Väestöennuste'!K16*1000</f>
        <v>296.3366037735849</v>
      </c>
      <c r="AC16" s="41">
        <f>J16/'1. Väestöennuste'!L16*1000</f>
        <v>333.26749897834077</v>
      </c>
      <c r="AD16" s="41">
        <f>K16/'1. Väestöennuste'!M16*1000</f>
        <v>355.151965531391</v>
      </c>
      <c r="AE16" s="41">
        <f>L16/'1. Väestöennuste'!N16*1000</f>
        <v>359.82529533250721</v>
      </c>
      <c r="AF16" s="41">
        <f>M16/'1. Väestöennuste'!O16*1000</f>
        <v>363.4280350438047</v>
      </c>
      <c r="AG16" s="41">
        <f>N16/'1. Väestöennuste'!P16*1000</f>
        <v>366.79452631578948</v>
      </c>
      <c r="AH16" s="41">
        <f>O16/'1. Väestöennuste'!Q16*1000</f>
        <v>382.33222922784324</v>
      </c>
      <c r="AI16" s="41">
        <f>P16/'1. Väestöennuste'!R16*1000</f>
        <v>398.17681678307196</v>
      </c>
    </row>
    <row r="17" spans="1:35" x14ac:dyDescent="0.25">
      <c r="A17" s="30">
        <v>10</v>
      </c>
      <c r="B17" s="31" t="s">
        <v>330</v>
      </c>
      <c r="C17" s="41">
        <v>2940</v>
      </c>
      <c r="D17" s="41">
        <v>3133</v>
      </c>
      <c r="E17" s="41">
        <v>3217</v>
      </c>
      <c r="F17" s="41">
        <v>3286</v>
      </c>
      <c r="G17" s="41">
        <v>3653</v>
      </c>
      <c r="H17" s="41">
        <v>4032</v>
      </c>
      <c r="I17" s="165">
        <v>4321.4855399999997</v>
      </c>
      <c r="J17" s="41">
        <v>4439.9894999999997</v>
      </c>
      <c r="K17" s="41">
        <v>4800.0612000000001</v>
      </c>
      <c r="L17" s="41">
        <v>5590</v>
      </c>
      <c r="M17" s="41">
        <v>5330</v>
      </c>
      <c r="N17" s="41">
        <v>5085</v>
      </c>
      <c r="O17" s="41">
        <f t="shared" si="5"/>
        <v>5249.0743419079517</v>
      </c>
      <c r="P17" s="41">
        <f t="shared" si="5"/>
        <v>5413.1486838159026</v>
      </c>
      <c r="Q17" s="165"/>
      <c r="T17" s="34">
        <v>10</v>
      </c>
      <c r="U17" s="88" t="s">
        <v>330</v>
      </c>
      <c r="V17" s="41">
        <f>C17/'1. Väestöennuste'!E17*1000</f>
        <v>244.10494852208569</v>
      </c>
      <c r="W17" s="41">
        <f>D17/'1. Väestöennuste'!F17*1000</f>
        <v>263.12253296380277</v>
      </c>
      <c r="X17" s="41">
        <f>E17/'1. Väestöennuste'!G17*1000</f>
        <v>274.65209596175191</v>
      </c>
      <c r="Y17" s="41">
        <f>F17/'1. Väestöennuste'!H17*1000</f>
        <v>284.65003465003463</v>
      </c>
      <c r="Z17" s="41">
        <f>G17/'1. Väestöennuste'!I17*1000</f>
        <v>318.53854202999651</v>
      </c>
      <c r="AA17" s="41">
        <f>H17/'1. Väestöennuste'!J17*1000</f>
        <v>355.80656547829153</v>
      </c>
      <c r="AB17" s="41">
        <f>I17/'1. Väestöennuste'!K17*1000</f>
        <v>385.95030275966775</v>
      </c>
      <c r="AC17" s="41">
        <f>J17/'1. Väestöennuste'!L17*1000</f>
        <v>399.9269951360115</v>
      </c>
      <c r="AD17" s="41">
        <f>K17/'1. Väestöennuste'!M17*1000</f>
        <v>439.04337327357541</v>
      </c>
      <c r="AE17" s="41">
        <f>L17/'1. Väestöennuste'!N17*1000</f>
        <v>516.87471104946837</v>
      </c>
      <c r="AF17" s="41">
        <f>M17/'1. Väestöennuste'!O17*1000</f>
        <v>498.78345498783455</v>
      </c>
      <c r="AG17" s="41">
        <f>N17/'1. Väestöennuste'!P17*1000</f>
        <v>481.44290854004925</v>
      </c>
      <c r="AH17" s="41">
        <f>O17/'1. Väestöennuste'!Q17*1000</f>
        <v>502.64046173589503</v>
      </c>
      <c r="AI17" s="41">
        <f>P17/'1. Väestöennuste'!R17*1000</f>
        <v>524.2759015802327</v>
      </c>
    </row>
    <row r="18" spans="1:35" x14ac:dyDescent="0.25">
      <c r="A18" s="30">
        <v>16</v>
      </c>
      <c r="B18" s="31" t="s">
        <v>331</v>
      </c>
      <c r="C18" s="41">
        <v>2000</v>
      </c>
      <c r="D18" s="41">
        <v>2164</v>
      </c>
      <c r="E18" s="41">
        <v>2353</v>
      </c>
      <c r="F18" s="41">
        <v>2255</v>
      </c>
      <c r="G18" s="41">
        <v>2215</v>
      </c>
      <c r="H18" s="41">
        <v>2509</v>
      </c>
      <c r="I18" s="165">
        <v>2388.0197000000003</v>
      </c>
      <c r="J18" s="41">
        <v>2306.2383100000002</v>
      </c>
      <c r="K18" s="41">
        <v>2956.1155600000002</v>
      </c>
      <c r="L18" s="41">
        <v>2459.9</v>
      </c>
      <c r="M18" s="41">
        <v>2459.9</v>
      </c>
      <c r="N18" s="41">
        <v>2459.9</v>
      </c>
      <c r="O18" s="41">
        <f t="shared" si="5"/>
        <v>2539.2719712211151</v>
      </c>
      <c r="P18" s="41">
        <f t="shared" si="5"/>
        <v>2618.6439424422301</v>
      </c>
      <c r="Q18" s="165"/>
      <c r="T18" s="34">
        <v>16</v>
      </c>
      <c r="U18" s="88" t="s">
        <v>331</v>
      </c>
      <c r="V18" s="41">
        <f>C18/'1. Väestöennuste'!E18*1000</f>
        <v>241.34186074574635</v>
      </c>
      <c r="W18" s="41">
        <f>D18/'1. Väestöennuste'!F18*1000</f>
        <v>260.00240297969486</v>
      </c>
      <c r="X18" s="41">
        <f>E18/'1. Väestöennuste'!G18*1000</f>
        <v>285.28128031037824</v>
      </c>
      <c r="Y18" s="41">
        <f>F18/'1. Väestöennuste'!H18*1000</f>
        <v>276.72107006994725</v>
      </c>
      <c r="Z18" s="41">
        <f>G18/'1. Väestöennuste'!I18*1000</f>
        <v>274.03191884201414</v>
      </c>
      <c r="AA18" s="41">
        <f>H18/'1. Väestöennuste'!J18*1000</f>
        <v>311.32894900111671</v>
      </c>
      <c r="AB18" s="41">
        <f>I18/'1. Väestöennuste'!K18*1000</f>
        <v>297.27619818249724</v>
      </c>
      <c r="AC18" s="41">
        <f>J18/'1. Väestöennuste'!L18*1000</f>
        <v>287.77618043424008</v>
      </c>
      <c r="AD18" s="41">
        <f>K18/'1. Väestöennuste'!M18*1000</f>
        <v>370.99843875502006</v>
      </c>
      <c r="AE18" s="41">
        <f>L18/'1. Väestöennuste'!N18*1000</f>
        <v>311.93253867613493</v>
      </c>
      <c r="AF18" s="41">
        <f>M18/'1. Väestöennuste'!O18*1000</f>
        <v>313.88286334056397</v>
      </c>
      <c r="AG18" s="41">
        <f>N18/'1. Väestöennuste'!P18*1000</f>
        <v>315.73610576305992</v>
      </c>
      <c r="AH18" s="41">
        <f>O18/'1. Väestöennuste'!Q18*1000</f>
        <v>327.94420395468359</v>
      </c>
      <c r="AI18" s="41">
        <f>P18/'1. Väestöennuste'!R18*1000</f>
        <v>340.12780133033255</v>
      </c>
    </row>
    <row r="19" spans="1:35" x14ac:dyDescent="0.25">
      <c r="A19" s="30">
        <v>18</v>
      </c>
      <c r="B19" s="31" t="s">
        <v>332</v>
      </c>
      <c r="C19" s="41">
        <v>1104</v>
      </c>
      <c r="D19" s="41">
        <v>1213</v>
      </c>
      <c r="E19" s="41">
        <v>1338</v>
      </c>
      <c r="F19" s="41">
        <v>1255</v>
      </c>
      <c r="G19" s="41">
        <v>1274</v>
      </c>
      <c r="H19" s="41">
        <v>1375</v>
      </c>
      <c r="I19" s="165">
        <v>1512.6518999999998</v>
      </c>
      <c r="J19" s="41">
        <v>1528.1799099999998</v>
      </c>
      <c r="K19" s="41">
        <v>1513.2139499999998</v>
      </c>
      <c r="L19" s="41">
        <v>1500</v>
      </c>
      <c r="M19" s="41">
        <v>1650</v>
      </c>
      <c r="N19" s="41">
        <v>1700</v>
      </c>
      <c r="O19" s="41">
        <f t="shared" si="5"/>
        <v>1754.8527790056082</v>
      </c>
      <c r="P19" s="41">
        <f t="shared" si="5"/>
        <v>1809.7055580112162</v>
      </c>
      <c r="Q19" s="165"/>
      <c r="T19" s="34">
        <v>18</v>
      </c>
      <c r="U19" s="88" t="s">
        <v>332</v>
      </c>
      <c r="V19" s="41">
        <f>C19/'1. Väestöennuste'!E19*1000</f>
        <v>216.30094043887146</v>
      </c>
      <c r="W19" s="41">
        <f>D19/'1. Väestöennuste'!F19*1000</f>
        <v>240.38842647641698</v>
      </c>
      <c r="X19" s="41">
        <f>E19/'1. Väestöennuste'!G19*1000</f>
        <v>268.13627254509021</v>
      </c>
      <c r="Y19" s="41">
        <f>F19/'1. Väestöennuste'!H19*1000</f>
        <v>253.12626058894716</v>
      </c>
      <c r="Z19" s="41">
        <f>G19/'1. Väestöennuste'!I19*1000</f>
        <v>257.73821565850699</v>
      </c>
      <c r="AA19" s="41">
        <f>H19/'1. Väestöennuste'!J19*1000</f>
        <v>281.87781877818782</v>
      </c>
      <c r="AB19" s="41">
        <f>I19/'1. Väestöennuste'!K19*1000</f>
        <v>312.08002888384567</v>
      </c>
      <c r="AC19" s="41">
        <f>J19/'1. Väestöennuste'!L19*1000</f>
        <v>320.8439869829939</v>
      </c>
      <c r="AD19" s="41">
        <f>K19/'1. Väestöennuste'!M19*1000</f>
        <v>321.96041489361698</v>
      </c>
      <c r="AE19" s="41">
        <f>L19/'1. Väestöennuste'!N19*1000</f>
        <v>316.85678073510775</v>
      </c>
      <c r="AF19" s="41">
        <f>M19/'1. Väestöennuste'!O19*1000</f>
        <v>350.39286472711831</v>
      </c>
      <c r="AG19" s="41">
        <f>N19/'1. Väestöennuste'!P19*1000</f>
        <v>362.78275714895432</v>
      </c>
      <c r="AH19" s="41">
        <f>O19/'1. Väestöennuste'!Q19*1000</f>
        <v>376.17422915447122</v>
      </c>
      <c r="AI19" s="41">
        <f>P19/'1. Väestöennuste'!R19*1000</f>
        <v>389.85470874864632</v>
      </c>
    </row>
    <row r="20" spans="1:35" x14ac:dyDescent="0.25">
      <c r="A20" s="30">
        <v>19</v>
      </c>
      <c r="B20" s="31" t="s">
        <v>333</v>
      </c>
      <c r="C20" s="41">
        <v>784</v>
      </c>
      <c r="D20" s="41">
        <v>724</v>
      </c>
      <c r="E20" s="41">
        <v>752</v>
      </c>
      <c r="F20" s="41">
        <v>804</v>
      </c>
      <c r="G20" s="41">
        <v>847</v>
      </c>
      <c r="H20" s="41">
        <v>893</v>
      </c>
      <c r="I20" s="165">
        <v>885.66905000000008</v>
      </c>
      <c r="J20" s="41">
        <v>894.73348999999996</v>
      </c>
      <c r="K20" s="41">
        <v>924.40859</v>
      </c>
      <c r="L20" s="41">
        <v>994.65</v>
      </c>
      <c r="M20" s="41">
        <v>1036.6600000000001</v>
      </c>
      <c r="N20" s="41">
        <v>991.14</v>
      </c>
      <c r="O20" s="41">
        <f t="shared" si="5"/>
        <v>1023.1204608138933</v>
      </c>
      <c r="P20" s="41">
        <f t="shared" si="5"/>
        <v>1055.1009216277864</v>
      </c>
      <c r="Q20" s="165"/>
      <c r="T20" s="34">
        <v>19</v>
      </c>
      <c r="U20" s="88" t="s">
        <v>333</v>
      </c>
      <c r="V20" s="41">
        <f>C20/'1. Väestöennuste'!E20*1000</f>
        <v>196.68840943301555</v>
      </c>
      <c r="W20" s="41">
        <f>D20/'1. Väestöennuste'!F20*1000</f>
        <v>181.72690763052211</v>
      </c>
      <c r="X20" s="41">
        <f>E20/'1. Väestöennuste'!G20*1000</f>
        <v>188.4239538962666</v>
      </c>
      <c r="Y20" s="41">
        <f>F20/'1. Väestöennuste'!H20*1000</f>
        <v>201.80722891566265</v>
      </c>
      <c r="Z20" s="41">
        <f>G20/'1. Väestöennuste'!I20*1000</f>
        <v>214.92007104795738</v>
      </c>
      <c r="AA20" s="41">
        <f>H20/'1. Väestöennuste'!J20*1000</f>
        <v>225.5620106087396</v>
      </c>
      <c r="AB20" s="41">
        <f>I20/'1. Väestöennuste'!K20*1000</f>
        <v>223.9365486725664</v>
      </c>
      <c r="AC20" s="41">
        <f>J20/'1. Väestöennuste'!L20*1000</f>
        <v>225.65787894073139</v>
      </c>
      <c r="AD20" s="41">
        <f>K20/'1. Väestöennuste'!M20*1000</f>
        <v>233.37757889421866</v>
      </c>
      <c r="AE20" s="41">
        <f>L20/'1. Väestöennuste'!N20*1000</f>
        <v>251.04745078243312</v>
      </c>
      <c r="AF20" s="41">
        <f>M20/'1. Väestöennuste'!O20*1000</f>
        <v>261.32089740357958</v>
      </c>
      <c r="AG20" s="41">
        <f>N20/'1. Väestöennuste'!P20*1000</f>
        <v>249.46891517744777</v>
      </c>
      <c r="AH20" s="41">
        <f>O20/'1. Väestöennuste'!Q20*1000</f>
        <v>256.9363286825448</v>
      </c>
      <c r="AI20" s="41">
        <f>P20/'1. Väestöennuste'!R20*1000</f>
        <v>264.5689372186024</v>
      </c>
    </row>
    <row r="21" spans="1:35" x14ac:dyDescent="0.25">
      <c r="A21" s="30">
        <v>20</v>
      </c>
      <c r="B21" s="31" t="s">
        <v>334</v>
      </c>
      <c r="C21" s="41">
        <v>4481</v>
      </c>
      <c r="D21" s="41">
        <v>4712</v>
      </c>
      <c r="E21" s="41">
        <v>4695</v>
      </c>
      <c r="F21" s="41">
        <v>4577</v>
      </c>
      <c r="G21" s="41">
        <v>6043</v>
      </c>
      <c r="H21" s="41">
        <v>4155</v>
      </c>
      <c r="I21" s="165">
        <v>4349.0901100000001</v>
      </c>
      <c r="J21" s="41">
        <v>4662.7954300000001</v>
      </c>
      <c r="K21" s="41">
        <v>6008.6858099999999</v>
      </c>
      <c r="L21" s="41">
        <v>6304.3</v>
      </c>
      <c r="M21" s="41">
        <v>6592</v>
      </c>
      <c r="N21" s="41">
        <v>6434.1</v>
      </c>
      <c r="O21" s="41">
        <f t="shared" si="5"/>
        <v>6641.7048619999905</v>
      </c>
      <c r="P21" s="41">
        <f t="shared" si="5"/>
        <v>6849.3097239999806</v>
      </c>
      <c r="Q21" s="165"/>
      <c r="T21" s="34">
        <v>20</v>
      </c>
      <c r="U21" s="88" t="s">
        <v>334</v>
      </c>
      <c r="V21" s="41">
        <f>C21/'1. Väestöennuste'!E21*1000</f>
        <v>262.9231942733087</v>
      </c>
      <c r="W21" s="41">
        <f>D21/'1. Väestöennuste'!F21*1000</f>
        <v>278.4376292619512</v>
      </c>
      <c r="X21" s="41">
        <f>E21/'1. Väestöennuste'!G21*1000</f>
        <v>279.98091716858488</v>
      </c>
      <c r="Y21" s="41">
        <f>F21/'1. Väestöennuste'!H21*1000</f>
        <v>275.54030461742218</v>
      </c>
      <c r="Z21" s="41">
        <f>G21/'1. Väestöennuste'!I21*1000</f>
        <v>366.79817905918054</v>
      </c>
      <c r="AA21" s="41">
        <f>H21/'1. Väestöennuste'!J21*1000</f>
        <v>253.492770422793</v>
      </c>
      <c r="AB21" s="41">
        <f>I21/'1. Väestöennuste'!K21*1000</f>
        <v>264.1094376632052</v>
      </c>
      <c r="AC21" s="41">
        <f>J21/'1. Väestöennuste'!L21*1000</f>
        <v>283.05684635464098</v>
      </c>
      <c r="AD21" s="41">
        <f>K21/'1. Väestöennuste'!M21*1000</f>
        <v>366.27161292288935</v>
      </c>
      <c r="AE21" s="41">
        <f>L21/'1. Väestöennuste'!N21*1000</f>
        <v>396.34729033069283</v>
      </c>
      <c r="AF21" s="41">
        <f>M21/'1. Väestöennuste'!O21*1000</f>
        <v>417.34726179170622</v>
      </c>
      <c r="AG21" s="41">
        <f>N21/'1. Väestöennuste'!P21*1000</f>
        <v>410.02421616110126</v>
      </c>
      <c r="AH21" s="41">
        <f>O21/'1. Väestöennuste'!Q21*1000</f>
        <v>425.88681385059249</v>
      </c>
      <c r="AI21" s="41">
        <f>P21/'1. Väestöennuste'!R21*1000</f>
        <v>441.83393910463042</v>
      </c>
    </row>
    <row r="22" spans="1:35" x14ac:dyDescent="0.25">
      <c r="A22" s="30">
        <v>46</v>
      </c>
      <c r="B22" s="31" t="s">
        <v>335</v>
      </c>
      <c r="C22" s="41">
        <v>532</v>
      </c>
      <c r="D22" s="41">
        <v>510</v>
      </c>
      <c r="E22" s="41">
        <v>513</v>
      </c>
      <c r="F22" s="41">
        <v>595</v>
      </c>
      <c r="G22" s="41">
        <v>655</v>
      </c>
      <c r="H22" s="41">
        <v>573</v>
      </c>
      <c r="I22" s="165">
        <v>568.68366000000003</v>
      </c>
      <c r="J22" s="41">
        <v>545.48644999999999</v>
      </c>
      <c r="K22" s="41">
        <v>550.46759999999995</v>
      </c>
      <c r="L22" s="41">
        <v>634.35799999999995</v>
      </c>
      <c r="M22" s="41">
        <v>634.35799999999995</v>
      </c>
      <c r="N22" s="41">
        <v>634.35799999999995</v>
      </c>
      <c r="O22" s="41">
        <f t="shared" si="5"/>
        <v>654.82641128496437</v>
      </c>
      <c r="P22" s="41">
        <f t="shared" si="5"/>
        <v>675.29482256992878</v>
      </c>
      <c r="Q22" s="165"/>
      <c r="T22" s="34">
        <v>46</v>
      </c>
      <c r="U22" s="88" t="s">
        <v>335</v>
      </c>
      <c r="V22" s="41">
        <f>C22/'1. Väestöennuste'!E22*1000</f>
        <v>361.16768499660554</v>
      </c>
      <c r="W22" s="41">
        <f>D22/'1. Väestöennuste'!F22*1000</f>
        <v>350.99793530626289</v>
      </c>
      <c r="X22" s="41">
        <f>E22/'1. Väestöennuste'!G22*1000</f>
        <v>362.28813559322032</v>
      </c>
      <c r="Y22" s="41">
        <f>F22/'1. Väestöennuste'!H22*1000</f>
        <v>423.4875444839858</v>
      </c>
      <c r="Z22" s="41">
        <f>G22/'1. Väestöennuste'!I22*1000</f>
        <v>481.26377663482731</v>
      </c>
      <c r="AA22" s="41">
        <f>H22/'1. Väestöennuste'!J22*1000</f>
        <v>418.55368882395908</v>
      </c>
      <c r="AB22" s="41">
        <f>I22/'1. Väestöennuste'!K22*1000</f>
        <v>417.5357268722467</v>
      </c>
      <c r="AC22" s="41">
        <f>J22/'1. Väestöennuste'!L22*1000</f>
        <v>406.77587621178225</v>
      </c>
      <c r="AD22" s="41">
        <f>K22/'1. Väestöennuste'!M22*1000</f>
        <v>417.02090909090907</v>
      </c>
      <c r="AE22" s="41">
        <f>L22/'1. Väestöennuste'!N22*1000</f>
        <v>482.76864535768641</v>
      </c>
      <c r="AF22" s="41">
        <f>M22/'1. Väestöennuste'!O22*1000</f>
        <v>487.96769230769229</v>
      </c>
      <c r="AG22" s="41">
        <f>N22/'1. Väestöennuste'!P22*1000</f>
        <v>492.89665889665883</v>
      </c>
      <c r="AH22" s="41">
        <f>O22/'1. Väestöennuste'!Q22*1000</f>
        <v>513.99247353607882</v>
      </c>
      <c r="AI22" s="41">
        <f>P22/'1. Väestöennuste'!R22*1000</f>
        <v>536.37396550431197</v>
      </c>
    </row>
    <row r="23" spans="1:35" x14ac:dyDescent="0.25">
      <c r="A23" s="30">
        <v>47</v>
      </c>
      <c r="B23" s="31" t="s">
        <v>336</v>
      </c>
      <c r="C23" s="41">
        <v>478</v>
      </c>
      <c r="D23" s="41">
        <v>382</v>
      </c>
      <c r="E23" s="41">
        <v>348</v>
      </c>
      <c r="F23" s="41">
        <v>354</v>
      </c>
      <c r="G23" s="41">
        <v>366</v>
      </c>
      <c r="H23" s="41">
        <v>510</v>
      </c>
      <c r="I23" s="165">
        <v>464.69193999999999</v>
      </c>
      <c r="J23" s="41">
        <v>881.51807999999994</v>
      </c>
      <c r="K23" s="41">
        <v>470.38452000000001</v>
      </c>
      <c r="L23" s="41">
        <v>456.03500000000003</v>
      </c>
      <c r="M23" s="41">
        <v>632.81799999999998</v>
      </c>
      <c r="N23" s="41">
        <v>584.19000000000005</v>
      </c>
      <c r="O23" s="41">
        <f t="shared" si="5"/>
        <v>603.03967351016843</v>
      </c>
      <c r="P23" s="41">
        <f t="shared" si="5"/>
        <v>621.8893470203368</v>
      </c>
      <c r="Q23" s="165"/>
      <c r="T23" s="34">
        <v>47</v>
      </c>
      <c r="U23" s="88" t="s">
        <v>336</v>
      </c>
      <c r="V23" s="41">
        <f>C23/'1. Väestöennuste'!E23*1000</f>
        <v>256.85115529285332</v>
      </c>
      <c r="W23" s="41">
        <f>D23/'1. Väestöennuste'!F23*1000</f>
        <v>204.05982905982907</v>
      </c>
      <c r="X23" s="41">
        <f>E23/'1. Väestöennuste'!G23*1000</f>
        <v>183.8351822503962</v>
      </c>
      <c r="Y23" s="41">
        <f>F23/'1. Väestöennuste'!H23*1000</f>
        <v>191.14470842332611</v>
      </c>
      <c r="Z23" s="41">
        <f>G23/'1. Väestöennuste'!I23*1000</f>
        <v>199.12948857453756</v>
      </c>
      <c r="AA23" s="41">
        <f>H23/'1. Väestöennuste'!J23*1000</f>
        <v>282.07964601769913</v>
      </c>
      <c r="AB23" s="41">
        <f>I23/'1. Väestöennuste'!K23*1000</f>
        <v>259.74954723309111</v>
      </c>
      <c r="AC23" s="41">
        <f>J23/'1. Väestöennuste'!L23*1000</f>
        <v>486.75763666482601</v>
      </c>
      <c r="AD23" s="41">
        <f>K23/'1. Väestöennuste'!M23*1000</f>
        <v>265.60390739695089</v>
      </c>
      <c r="AE23" s="41">
        <f>L23/'1. Väestöennuste'!N23*1000</f>
        <v>257.06595264937994</v>
      </c>
      <c r="AF23" s="41">
        <f>M23/'1. Väestöennuste'!O23*1000</f>
        <v>357.9287330316742</v>
      </c>
      <c r="AG23" s="41">
        <f>N23/'1. Väestöennuste'!P23*1000</f>
        <v>331.73764906303239</v>
      </c>
      <c r="AH23" s="41">
        <f>O23/'1. Väestöennuste'!Q23*1000</f>
        <v>344.00437735890955</v>
      </c>
      <c r="AI23" s="41">
        <f>P23/'1. Väestöennuste'!R23*1000</f>
        <v>356.38357995434774</v>
      </c>
    </row>
    <row r="24" spans="1:35" x14ac:dyDescent="0.25">
      <c r="A24" s="30">
        <v>49</v>
      </c>
      <c r="B24" s="31" t="s">
        <v>337</v>
      </c>
      <c r="C24" s="41">
        <v>123116</v>
      </c>
      <c r="D24" s="41">
        <v>138944</v>
      </c>
      <c r="E24" s="41">
        <v>144454</v>
      </c>
      <c r="F24" s="41">
        <v>161134</v>
      </c>
      <c r="G24" s="41">
        <v>178942</v>
      </c>
      <c r="H24" s="41">
        <v>174976</v>
      </c>
      <c r="I24" s="165">
        <v>190164.73984999998</v>
      </c>
      <c r="J24" s="41">
        <v>195731.09577000001</v>
      </c>
      <c r="K24" s="41">
        <v>192648.74299</v>
      </c>
      <c r="L24" s="41">
        <v>203130.02546</v>
      </c>
      <c r="M24" s="41">
        <v>212301.74584000002</v>
      </c>
      <c r="N24" s="41">
        <v>220718.06727999999</v>
      </c>
      <c r="O24" s="41">
        <f t="shared" si="5"/>
        <v>227839.83161356163</v>
      </c>
      <c r="P24" s="41">
        <f t="shared" si="5"/>
        <v>234961.59594712325</v>
      </c>
      <c r="Q24" s="165"/>
      <c r="T24" s="34">
        <v>49</v>
      </c>
      <c r="U24" s="88" t="s">
        <v>337</v>
      </c>
      <c r="V24" s="41">
        <f>C24/'1. Väestöennuste'!E24*1000</f>
        <v>456.31981971964626</v>
      </c>
      <c r="W24" s="41">
        <f>D24/'1. Väestöennuste'!F24*1000</f>
        <v>506.01821671407185</v>
      </c>
      <c r="X24" s="41">
        <f>E24/'1. Väestöennuste'!G24*1000</f>
        <v>517.67463195768403</v>
      </c>
      <c r="Y24" s="41">
        <f>F24/'1. Väestöennuste'!H24*1000</f>
        <v>568.1093811699667</v>
      </c>
      <c r="Z24" s="41">
        <f>G24/'1. Väestöennuste'!I24*1000</f>
        <v>617.61426978818281</v>
      </c>
      <c r="AA24" s="41">
        <f>H24/'1. Väestöennuste'!J24*1000</f>
        <v>597.60379240153554</v>
      </c>
      <c r="AB24" s="41">
        <f>I24/'1. Väestöennuste'!K24*1000</f>
        <v>640.00087452714615</v>
      </c>
      <c r="AC24" s="41">
        <f>J24/'1. Väestöennuste'!L24*1000</f>
        <v>641.1652999272784</v>
      </c>
      <c r="AD24" s="41">
        <f>K24/'1. Väestöennuste'!M24*1000</f>
        <v>613.48413812320075</v>
      </c>
      <c r="AE24" s="41">
        <f>L24/'1. Väestöennuste'!N24*1000</f>
        <v>653.4979183811347</v>
      </c>
      <c r="AF24" s="41">
        <f>M24/'1. Väestöennuste'!O24*1000</f>
        <v>674.51555007672835</v>
      </c>
      <c r="AG24" s="41">
        <f>N24/'1. Väestöennuste'!P24*1000</f>
        <v>693.06199454890282</v>
      </c>
      <c r="AH24" s="41">
        <f>O24/'1. Väestöennuste'!Q24*1000</f>
        <v>707.55734036490173</v>
      </c>
      <c r="AI24" s="41">
        <f>P24/'1. Väestöennuste'!R24*1000</f>
        <v>722.12331563214013</v>
      </c>
    </row>
    <row r="25" spans="1:35" x14ac:dyDescent="0.25">
      <c r="A25" s="30">
        <v>50</v>
      </c>
      <c r="B25" s="31" t="s">
        <v>338</v>
      </c>
      <c r="C25" s="41">
        <v>3282</v>
      </c>
      <c r="D25" s="41">
        <v>3174</v>
      </c>
      <c r="E25" s="41">
        <v>3535</v>
      </c>
      <c r="F25" s="41">
        <v>3515</v>
      </c>
      <c r="G25" s="41">
        <v>3726</v>
      </c>
      <c r="H25" s="41">
        <v>3977</v>
      </c>
      <c r="I25" s="165">
        <v>3798.15825</v>
      </c>
      <c r="J25" s="41">
        <v>3847.2541099999999</v>
      </c>
      <c r="K25" s="41">
        <v>4142.2550799999999</v>
      </c>
      <c r="L25" s="41">
        <v>4208.165</v>
      </c>
      <c r="M25" s="41">
        <v>4103</v>
      </c>
      <c r="N25" s="41">
        <v>4082.8</v>
      </c>
      <c r="O25" s="41">
        <f t="shared" si="5"/>
        <v>4214.5370153671165</v>
      </c>
      <c r="P25" s="41">
        <f t="shared" si="5"/>
        <v>4346.2740307342319</v>
      </c>
      <c r="Q25" s="165"/>
      <c r="T25" s="34">
        <v>50</v>
      </c>
      <c r="U25" s="88" t="s">
        <v>338</v>
      </c>
      <c r="V25" s="41">
        <f>C25/'1. Väestöennuste'!E25*1000</f>
        <v>270.61345646437996</v>
      </c>
      <c r="W25" s="41">
        <f>D25/'1. Väestöennuste'!F25*1000</f>
        <v>264.41186271242918</v>
      </c>
      <c r="X25" s="41">
        <f>E25/'1. Väestöennuste'!G25*1000</f>
        <v>296.8094038623006</v>
      </c>
      <c r="Y25" s="41">
        <f>F25/'1. Väestöennuste'!H25*1000</f>
        <v>299.19986380660538</v>
      </c>
      <c r="Z25" s="41">
        <f>G25/'1. Väestöennuste'!I25*1000</f>
        <v>320.32324621733147</v>
      </c>
      <c r="AA25" s="41">
        <f>H25/'1. Väestöennuste'!J25*1000</f>
        <v>346.33806496560135</v>
      </c>
      <c r="AB25" s="41">
        <f>I25/'1. Väestöennuste'!K25*1000</f>
        <v>332.67568100201453</v>
      </c>
      <c r="AC25" s="41">
        <f>J25/'1. Väestöennuste'!L25*1000</f>
        <v>341.18961599858108</v>
      </c>
      <c r="AD25" s="41">
        <f>K25/'1. Väestöennuste'!M25*1000</f>
        <v>370.37330829756792</v>
      </c>
      <c r="AE25" s="41">
        <f>L25/'1. Väestöennuste'!N25*1000</f>
        <v>383.22238411802203</v>
      </c>
      <c r="AF25" s="41">
        <f>M25/'1. Väestöennuste'!O25*1000</f>
        <v>377.63460653474459</v>
      </c>
      <c r="AG25" s="41">
        <f>N25/'1. Väestöennuste'!P25*1000</f>
        <v>379.65408220197139</v>
      </c>
      <c r="AH25" s="41">
        <f>O25/'1. Väestöennuste'!Q25*1000</f>
        <v>395.73117515184191</v>
      </c>
      <c r="AI25" s="41">
        <f>P25/'1. Väestöennuste'!R25*1000</f>
        <v>412.00815534498361</v>
      </c>
    </row>
    <row r="26" spans="1:35" x14ac:dyDescent="0.25">
      <c r="A26" s="30">
        <v>51</v>
      </c>
      <c r="B26" s="31" t="s">
        <v>339</v>
      </c>
      <c r="C26" s="41">
        <v>3359</v>
      </c>
      <c r="D26" s="41">
        <v>3845</v>
      </c>
      <c r="E26" s="41">
        <v>4906</v>
      </c>
      <c r="F26" s="41">
        <v>5212</v>
      </c>
      <c r="G26" s="41">
        <v>4915</v>
      </c>
      <c r="H26" s="41">
        <v>4715</v>
      </c>
      <c r="I26" s="165">
        <v>4657.4932600000002</v>
      </c>
      <c r="J26" s="41">
        <v>4354.3827300000003</v>
      </c>
      <c r="K26" s="41">
        <v>4191.8310199999996</v>
      </c>
      <c r="L26" s="41">
        <v>5393</v>
      </c>
      <c r="M26" s="41">
        <v>5707.2</v>
      </c>
      <c r="N26" s="41">
        <v>6485.8</v>
      </c>
      <c r="O26" s="41">
        <f t="shared" si="5"/>
        <v>6695.0730318085725</v>
      </c>
      <c r="P26" s="41">
        <f t="shared" si="5"/>
        <v>6904.3460636171449</v>
      </c>
      <c r="Q26" s="165"/>
      <c r="T26" s="34">
        <v>51</v>
      </c>
      <c r="U26" s="88" t="s">
        <v>339</v>
      </c>
      <c r="V26" s="41">
        <f>C26/'1. Väestöennuste'!E26*1000</f>
        <v>361.6883816087003</v>
      </c>
      <c r="W26" s="41">
        <f>D26/'1. Väestöennuste'!F26*1000</f>
        <v>408.26077723508178</v>
      </c>
      <c r="X26" s="41">
        <f>E26/'1. Väestöennuste'!G26*1000</f>
        <v>515.28200819241681</v>
      </c>
      <c r="Y26" s="41">
        <f>F26/'1. Väestöennuste'!H26*1000</f>
        <v>551.30103659826523</v>
      </c>
      <c r="Z26" s="41">
        <f>G26/'1. Väestöennuste'!I26*1000</f>
        <v>522.76111465645602</v>
      </c>
      <c r="AA26" s="41">
        <f>H26/'1. Väestöennuste'!J26*1000</f>
        <v>498.83622513753699</v>
      </c>
      <c r="AB26" s="41">
        <f>I26/'1. Väestöennuste'!K26*1000</f>
        <v>498.98149346475253</v>
      </c>
      <c r="AC26" s="41">
        <f>J26/'1. Väestöennuste'!L26*1000</f>
        <v>472.73724134187387</v>
      </c>
      <c r="AD26" s="41">
        <f>K26/'1. Väestöennuste'!M26*1000</f>
        <v>458.47435415071635</v>
      </c>
      <c r="AE26" s="41">
        <f>L26/'1. Väestöennuste'!N26*1000</f>
        <v>564.06233657567191</v>
      </c>
      <c r="AF26" s="41">
        <f>M26/'1. Väestöennuste'!O26*1000</f>
        <v>596.48829431438116</v>
      </c>
      <c r="AG26" s="41">
        <f>N26/'1. Väestöennuste'!P26*1000</f>
        <v>678.07631991636174</v>
      </c>
      <c r="AH26" s="41">
        <f>O26/'1. Väestöennuste'!Q26*1000</f>
        <v>700.3947098868681</v>
      </c>
      <c r="AI26" s="41">
        <f>P26/'1. Väestöennuste'!R26*1000</f>
        <v>723.11961286312783</v>
      </c>
    </row>
    <row r="27" spans="1:35" x14ac:dyDescent="0.25">
      <c r="A27" s="30">
        <v>52</v>
      </c>
      <c r="B27" s="31" t="s">
        <v>340</v>
      </c>
      <c r="C27" s="41">
        <v>399</v>
      </c>
      <c r="D27" s="41">
        <v>444</v>
      </c>
      <c r="E27" s="41">
        <v>494</v>
      </c>
      <c r="F27" s="41">
        <v>514</v>
      </c>
      <c r="G27" s="41">
        <v>619</v>
      </c>
      <c r="H27" s="41">
        <v>744</v>
      </c>
      <c r="I27" s="165">
        <v>840.02521000000002</v>
      </c>
      <c r="J27" s="41">
        <v>786.34137999999996</v>
      </c>
      <c r="K27" s="41">
        <v>940.79786000000001</v>
      </c>
      <c r="L27" s="41">
        <v>828.8</v>
      </c>
      <c r="M27" s="41">
        <v>837</v>
      </c>
      <c r="N27" s="41">
        <v>845</v>
      </c>
      <c r="O27" s="41">
        <f t="shared" si="5"/>
        <v>872.26505779984643</v>
      </c>
      <c r="P27" s="41">
        <f t="shared" si="5"/>
        <v>899.53011559969275</v>
      </c>
      <c r="Q27" s="165"/>
      <c r="T27" s="34">
        <v>52</v>
      </c>
      <c r="U27" s="88" t="s">
        <v>340</v>
      </c>
      <c r="V27" s="41">
        <f>C27/'1. Väestöennuste'!E27*1000</f>
        <v>154.89130434782609</v>
      </c>
      <c r="W27" s="41">
        <f>D27/'1. Väestöennuste'!F27*1000</f>
        <v>175.14792899408286</v>
      </c>
      <c r="X27" s="41">
        <f>E27/'1. Väestöennuste'!G27*1000</f>
        <v>197.67907162865146</v>
      </c>
      <c r="Y27" s="41">
        <f>F27/'1. Väestöennuste'!H27*1000</f>
        <v>207.84472300849171</v>
      </c>
      <c r="Z27" s="41">
        <f>G27/'1. Väestöennuste'!I27*1000</f>
        <v>255.25773195876289</v>
      </c>
      <c r="AA27" s="41">
        <f>H27/'1. Väestöennuste'!J27*1000</f>
        <v>308.97009966777409</v>
      </c>
      <c r="AB27" s="41">
        <f>I27/'1. Väestöennuste'!K27*1000</f>
        <v>349.42812396006656</v>
      </c>
      <c r="AC27" s="41">
        <f>J27/'1. Väestöennuste'!L27*1000</f>
        <v>335.18387894288151</v>
      </c>
      <c r="AD27" s="41">
        <f>K27/'1. Väestöennuste'!M27*1000</f>
        <v>410.47027050610819</v>
      </c>
      <c r="AE27" s="41">
        <f>L27/'1. Väestöennuste'!N27*1000</f>
        <v>361.29032258064512</v>
      </c>
      <c r="AF27" s="41">
        <f>M27/'1. Väestöennuste'!O27*1000</f>
        <v>368.88497135301895</v>
      </c>
      <c r="AG27" s="41">
        <f>N27/'1. Väestöennuste'!P27*1000</f>
        <v>376.55971479500892</v>
      </c>
      <c r="AH27" s="41">
        <f>O27/'1. Väestöennuste'!Q27*1000</f>
        <v>393.08925543030483</v>
      </c>
      <c r="AI27" s="41">
        <f>P27/'1. Väestöennuste'!R27*1000</f>
        <v>409.80870870145458</v>
      </c>
    </row>
    <row r="28" spans="1:35" x14ac:dyDescent="0.25">
      <c r="A28" s="30">
        <v>61</v>
      </c>
      <c r="B28" s="31" t="s">
        <v>341</v>
      </c>
      <c r="C28" s="41">
        <v>5815</v>
      </c>
      <c r="D28" s="41">
        <v>6024</v>
      </c>
      <c r="E28" s="41">
        <v>7029</v>
      </c>
      <c r="F28" s="41">
        <v>8099</v>
      </c>
      <c r="G28" s="41">
        <v>6058</v>
      </c>
      <c r="H28" s="41">
        <v>7583</v>
      </c>
      <c r="I28" s="165">
        <v>6122.3851500000001</v>
      </c>
      <c r="J28" s="41">
        <v>6215.3606</v>
      </c>
      <c r="K28" s="41">
        <v>7250.5371699999996</v>
      </c>
      <c r="L28" s="41">
        <v>7676.7370000000001</v>
      </c>
      <c r="M28" s="41">
        <v>7825</v>
      </c>
      <c r="N28" s="41">
        <v>7997</v>
      </c>
      <c r="O28" s="41">
        <f t="shared" si="5"/>
        <v>8255.0339257104988</v>
      </c>
      <c r="P28" s="41">
        <f t="shared" si="5"/>
        <v>8513.0678514209976</v>
      </c>
      <c r="Q28" s="165"/>
      <c r="T28" s="34">
        <v>61</v>
      </c>
      <c r="U28" s="88" t="s">
        <v>341</v>
      </c>
      <c r="V28" s="41">
        <f>C28/'1. Väestöennuste'!E28*1000</f>
        <v>333.77338996670875</v>
      </c>
      <c r="W28" s="41">
        <f>D28/'1. Väestöennuste'!F28*1000</f>
        <v>347.56519732287097</v>
      </c>
      <c r="X28" s="41">
        <f>E28/'1. Väestöennuste'!G28*1000</f>
        <v>409.01949374454466</v>
      </c>
      <c r="Y28" s="41">
        <f>F28/'1. Väestöennuste'!H28*1000</f>
        <v>475.62837679116751</v>
      </c>
      <c r="Z28" s="41">
        <f>G28/'1. Väestöennuste'!I28*1000</f>
        <v>358.44032897461688</v>
      </c>
      <c r="AA28" s="41">
        <f>H28/'1. Väestöennuste'!J28*1000</f>
        <v>451.36904761904759</v>
      </c>
      <c r="AB28" s="41">
        <f>I28/'1. Väestöennuste'!K28*1000</f>
        <v>369.4192451577868</v>
      </c>
      <c r="AC28" s="41">
        <f>J28/'1. Väestöennuste'!L28*1000</f>
        <v>377.62686675982741</v>
      </c>
      <c r="AD28" s="41">
        <f>K28/'1. Väestöennuste'!M28*1000</f>
        <v>440.25363835084096</v>
      </c>
      <c r="AE28" s="41">
        <f>L28/'1. Väestöennuste'!N28*1000</f>
        <v>471.37031806459532</v>
      </c>
      <c r="AF28" s="41">
        <f>M28/'1. Väestöennuste'!O28*1000</f>
        <v>484.16037619106544</v>
      </c>
      <c r="AG28" s="41">
        <f>N28/'1. Väestöennuste'!P28*1000</f>
        <v>498.44178509099976</v>
      </c>
      <c r="AH28" s="41">
        <f>O28/'1. Väestöennuste'!Q28*1000</f>
        <v>518.43458680590959</v>
      </c>
      <c r="AI28" s="41">
        <f>P28/'1. Väestöennuste'!R28*1000</f>
        <v>538.69947803714467</v>
      </c>
    </row>
    <row r="29" spans="1:35" x14ac:dyDescent="0.25">
      <c r="A29" s="30">
        <v>69</v>
      </c>
      <c r="B29" s="31" t="s">
        <v>342</v>
      </c>
      <c r="C29" s="41">
        <v>1643</v>
      </c>
      <c r="D29" s="41">
        <v>1732</v>
      </c>
      <c r="E29" s="41">
        <v>1751</v>
      </c>
      <c r="F29" s="41">
        <v>2056</v>
      </c>
      <c r="G29" s="41">
        <v>2114</v>
      </c>
      <c r="H29" s="41">
        <v>2384</v>
      </c>
      <c r="I29" s="165">
        <v>6062.1168799999996</v>
      </c>
      <c r="J29" s="41">
        <v>2310.01287</v>
      </c>
      <c r="K29" s="41">
        <v>2301.4972000000002</v>
      </c>
      <c r="L29" s="41">
        <v>2629.3240000000001</v>
      </c>
      <c r="M29" s="41">
        <v>2230</v>
      </c>
      <c r="N29" s="41">
        <v>2500</v>
      </c>
      <c r="O29" s="41">
        <f t="shared" si="5"/>
        <v>2580.6658514788355</v>
      </c>
      <c r="P29" s="41">
        <f t="shared" si="5"/>
        <v>2661.331702957671</v>
      </c>
      <c r="Q29" s="165"/>
      <c r="T29" s="34">
        <v>69</v>
      </c>
      <c r="U29" s="88" t="s">
        <v>342</v>
      </c>
      <c r="V29" s="41">
        <f>C29/'1. Väestöennuste'!E29*1000</f>
        <v>220.89271309491798</v>
      </c>
      <c r="W29" s="41">
        <f>D29/'1. Väestöennuste'!F29*1000</f>
        <v>236.22476813966176</v>
      </c>
      <c r="X29" s="41">
        <f>E29/'1. Väestöennuste'!G29*1000</f>
        <v>241.48393325058612</v>
      </c>
      <c r="Y29" s="41">
        <f>F29/'1. Väestöennuste'!H29*1000</f>
        <v>287.67314957324754</v>
      </c>
      <c r="Z29" s="41">
        <f>G29/'1. Väestöennuste'!I29*1000</f>
        <v>301.56918687589155</v>
      </c>
      <c r="AA29" s="41">
        <f>H29/'1. Väestöennuste'!J29*1000</f>
        <v>345.70765661252898</v>
      </c>
      <c r="AB29" s="41">
        <f>I29/'1. Väestöennuste'!K29*1000</f>
        <v>891.22565127903556</v>
      </c>
      <c r="AC29" s="41">
        <f>J29/'1. Väestöennuste'!L29*1000</f>
        <v>345.44831314490801</v>
      </c>
      <c r="AD29" s="41">
        <f>K29/'1. Väestöennuste'!M29*1000</f>
        <v>350.94498322659354</v>
      </c>
      <c r="AE29" s="41">
        <f>L29/'1. Väestöennuste'!N29*1000</f>
        <v>406.63841633158057</v>
      </c>
      <c r="AF29" s="41">
        <f>M29/'1. Väestöennuste'!O29*1000</f>
        <v>350.1334589417491</v>
      </c>
      <c r="AG29" s="41">
        <f>N29/'1. Väestöennuste'!P29*1000</f>
        <v>398.46987567739876</v>
      </c>
      <c r="AH29" s="41">
        <f>O29/'1. Väestöennuste'!Q29*1000</f>
        <v>417.31336537497339</v>
      </c>
      <c r="AI29" s="41">
        <f>P29/'1. Väestöennuste'!R29*1000</f>
        <v>436.64178883636936</v>
      </c>
    </row>
    <row r="30" spans="1:35" x14ac:dyDescent="0.25">
      <c r="A30" s="30">
        <v>71</v>
      </c>
      <c r="B30" s="31" t="s">
        <v>343</v>
      </c>
      <c r="C30" s="41">
        <v>2402</v>
      </c>
      <c r="D30" s="41">
        <v>2405</v>
      </c>
      <c r="E30" s="41">
        <v>2980</v>
      </c>
      <c r="F30" s="41">
        <v>1671</v>
      </c>
      <c r="G30" s="41">
        <v>1565</v>
      </c>
      <c r="H30" s="41">
        <v>1360</v>
      </c>
      <c r="I30" s="165">
        <v>1167.42848</v>
      </c>
      <c r="J30" s="41">
        <v>1456.3505400000001</v>
      </c>
      <c r="K30" s="41">
        <v>1479.1047699999999</v>
      </c>
      <c r="L30" s="41">
        <v>1592.2550000000001</v>
      </c>
      <c r="M30" s="41">
        <v>1478.9380000000001</v>
      </c>
      <c r="N30" s="41">
        <v>1468.039</v>
      </c>
      <c r="O30" s="41">
        <f t="shared" si="5"/>
        <v>1515.4072463756552</v>
      </c>
      <c r="P30" s="41">
        <f t="shared" si="5"/>
        <v>1562.7754927513104</v>
      </c>
      <c r="Q30" s="165"/>
      <c r="T30" s="34">
        <v>71</v>
      </c>
      <c r="U30" s="88" t="s">
        <v>343</v>
      </c>
      <c r="V30" s="41">
        <f>C30/'1. Väestöennuste'!E30*1000</f>
        <v>335.14720245569976</v>
      </c>
      <c r="W30" s="41">
        <f>D30/'1. Väestöennuste'!F30*1000</f>
        <v>338.82783882783883</v>
      </c>
      <c r="X30" s="41">
        <f>E30/'1. Väestöennuste'!G30*1000</f>
        <v>427.54662840746056</v>
      </c>
      <c r="Y30" s="41">
        <f>F30/'1. Väestöennuste'!H30*1000</f>
        <v>243.79924131893785</v>
      </c>
      <c r="Z30" s="41">
        <f>G30/'1. Väestöennuste'!I30*1000</f>
        <v>231.57738976028412</v>
      </c>
      <c r="AA30" s="41">
        <f>H30/'1. Väestöennuste'!J30*1000</f>
        <v>203.98980050997451</v>
      </c>
      <c r="AB30" s="41">
        <f>I30/'1. Väestöennuste'!K30*1000</f>
        <v>176.53538182368064</v>
      </c>
      <c r="AC30" s="41">
        <f>J30/'1. Väestöennuste'!L30*1000</f>
        <v>220.96048247610381</v>
      </c>
      <c r="AD30" s="41">
        <f>K30/'1. Väestöennuste'!M30*1000</f>
        <v>228.50374942067049</v>
      </c>
      <c r="AE30" s="41">
        <f>L30/'1. Väestöennuste'!N30*1000</f>
        <v>252.85929807845008</v>
      </c>
      <c r="AF30" s="41">
        <f>M30/'1. Väestöennuste'!O30*1000</f>
        <v>238.00096556163501</v>
      </c>
      <c r="AG30" s="41">
        <f>N30/'1. Väestöennuste'!P30*1000</f>
        <v>239.28916055419722</v>
      </c>
      <c r="AH30" s="41">
        <f>O30/'1. Väestöennuste'!Q30*1000</f>
        <v>250.06720237222029</v>
      </c>
      <c r="AI30" s="41">
        <f>P30/'1. Väestöennuste'!R30*1000</f>
        <v>260.89741114379137</v>
      </c>
    </row>
    <row r="31" spans="1:35" x14ac:dyDescent="0.25">
      <c r="A31" s="30">
        <v>72</v>
      </c>
      <c r="B31" s="31" t="s">
        <v>344</v>
      </c>
      <c r="C31" s="41">
        <v>380</v>
      </c>
      <c r="D31" s="41">
        <v>403</v>
      </c>
      <c r="E31" s="41">
        <v>409</v>
      </c>
      <c r="F31" s="41">
        <v>398</v>
      </c>
      <c r="G31" s="41">
        <v>367</v>
      </c>
      <c r="H31" s="41">
        <v>509</v>
      </c>
      <c r="I31" s="165">
        <v>509.84609999999998</v>
      </c>
      <c r="J31" s="41">
        <v>518.42858999999999</v>
      </c>
      <c r="K31" s="41">
        <v>724.97107999999992</v>
      </c>
      <c r="L31" s="41">
        <v>464.54599999999999</v>
      </c>
      <c r="M31" s="41">
        <v>442.43900000000002</v>
      </c>
      <c r="N31" s="41">
        <v>443.60300000000001</v>
      </c>
      <c r="O31" s="41">
        <f t="shared" si="5"/>
        <v>457.91644548542638</v>
      </c>
      <c r="P31" s="41">
        <f t="shared" si="5"/>
        <v>472.22989097085269</v>
      </c>
      <c r="Q31" s="165"/>
      <c r="T31" s="34">
        <v>72</v>
      </c>
      <c r="U31" s="88" t="s">
        <v>344</v>
      </c>
      <c r="V31" s="41">
        <f>C31/'1. Väestöennuste'!E31*1000</f>
        <v>382.6787512588117</v>
      </c>
      <c r="W31" s="41">
        <f>D31/'1. Väestöennuste'!F31*1000</f>
        <v>405.43259557344061</v>
      </c>
      <c r="X31" s="41">
        <f>E31/'1. Väestöennuste'!G31*1000</f>
        <v>422.95760082730095</v>
      </c>
      <c r="Y31" s="41">
        <f>F31/'1. Väestöennuste'!H31*1000</f>
        <v>408.62422997946612</v>
      </c>
      <c r="Z31" s="41">
        <f>G31/'1. Väestöennuste'!I31*1000</f>
        <v>382.6903023983316</v>
      </c>
      <c r="AA31" s="41">
        <f>H31/'1. Väestöennuste'!J31*1000</f>
        <v>536.35405690200207</v>
      </c>
      <c r="AB31" s="41">
        <f>I31/'1. Väestöennuste'!K31*1000</f>
        <v>536.68010526315788</v>
      </c>
      <c r="AC31" s="41">
        <f>J31/'1. Väestöennuste'!L31*1000</f>
        <v>540.02978125000004</v>
      </c>
      <c r="AD31" s="41">
        <f>K31/'1. Väestöennuste'!M31*1000</f>
        <v>764.73742616033746</v>
      </c>
      <c r="AE31" s="41">
        <f>L31/'1. Väestöennuste'!N31*1000</f>
        <v>501.66954643628515</v>
      </c>
      <c r="AF31" s="41">
        <f>M31/'1. Väestöennuste'!O31*1000</f>
        <v>480.91195652173917</v>
      </c>
      <c r="AG31" s="41">
        <f>N31/'1. Väestöennuste'!P31*1000</f>
        <v>485.34245076586433</v>
      </c>
      <c r="AH31" s="41">
        <f>O31/'1. Väestöennuste'!Q31*1000</f>
        <v>504.31326595311276</v>
      </c>
      <c r="AI31" s="41">
        <f>P31/'1. Väestöennuste'!R31*1000</f>
        <v>524.11752604978096</v>
      </c>
    </row>
    <row r="32" spans="1:35" x14ac:dyDescent="0.25">
      <c r="A32" s="30">
        <v>74</v>
      </c>
      <c r="B32" s="31" t="s">
        <v>345</v>
      </c>
      <c r="C32" s="41">
        <v>125</v>
      </c>
      <c r="D32" s="41">
        <v>133</v>
      </c>
      <c r="E32" s="41">
        <v>147</v>
      </c>
      <c r="F32" s="41">
        <v>129</v>
      </c>
      <c r="G32" s="41">
        <v>123</v>
      </c>
      <c r="H32" s="41">
        <v>492</v>
      </c>
      <c r="I32" s="165">
        <v>154.60378</v>
      </c>
      <c r="J32" s="41">
        <v>170.89680999999999</v>
      </c>
      <c r="K32" s="41">
        <v>155.59868</v>
      </c>
      <c r="L32" s="41">
        <v>166.828</v>
      </c>
      <c r="M32" s="41">
        <v>168</v>
      </c>
      <c r="N32" s="41">
        <v>169</v>
      </c>
      <c r="O32" s="41">
        <f t="shared" si="5"/>
        <v>174.45301155996927</v>
      </c>
      <c r="P32" s="41">
        <f t="shared" si="5"/>
        <v>179.90602311993854</v>
      </c>
      <c r="Q32" s="165"/>
      <c r="T32" s="34">
        <v>74</v>
      </c>
      <c r="U32" s="88" t="s">
        <v>345</v>
      </c>
      <c r="V32" s="41">
        <f>C32/'1. Väestöennuste'!E32*1000</f>
        <v>102.04081632653062</v>
      </c>
      <c r="W32" s="41">
        <f>D32/'1. Väestöennuste'!F32*1000</f>
        <v>109.10582444626743</v>
      </c>
      <c r="X32" s="41">
        <f>E32/'1. Väestöennuste'!G32*1000</f>
        <v>125.533731853117</v>
      </c>
      <c r="Y32" s="41">
        <f>F32/'1. Väestöennuste'!H32*1000</f>
        <v>110.72961373390558</v>
      </c>
      <c r="Z32" s="41">
        <f>G32/'1. Väestöennuste'!I32*1000</f>
        <v>109.13930789707186</v>
      </c>
      <c r="AA32" s="41">
        <f>H32/'1. Väestöennuste'!J32*1000</f>
        <v>446.05621033544878</v>
      </c>
      <c r="AB32" s="41">
        <f>I32/'1. Väestöennuste'!K32*1000</f>
        <v>142.75510618651893</v>
      </c>
      <c r="AC32" s="41">
        <f>J32/'1. Väestöennuste'!L32*1000</f>
        <v>162.44943916349808</v>
      </c>
      <c r="AD32" s="41">
        <f>K32/'1. Väestöennuste'!M32*1000</f>
        <v>153.60185587364265</v>
      </c>
      <c r="AE32" s="41">
        <f>L32/'1. Väestöennuste'!N32*1000</f>
        <v>166.66133866133868</v>
      </c>
      <c r="AF32" s="41">
        <f>M32/'1. Väestöennuste'!O32*1000</f>
        <v>171.60367722165475</v>
      </c>
      <c r="AG32" s="41">
        <f>N32/'1. Väestöennuste'!P32*1000</f>
        <v>176.22523461939522</v>
      </c>
      <c r="AH32" s="41">
        <f>O32/'1. Väestöennuste'!Q32*1000</f>
        <v>185.58831017018008</v>
      </c>
      <c r="AI32" s="41">
        <f>P32/'1. Väestöennuste'!R32*1000</f>
        <v>195.1258385248791</v>
      </c>
    </row>
    <row r="33" spans="1:35" x14ac:dyDescent="0.25">
      <c r="A33" s="30">
        <v>75</v>
      </c>
      <c r="B33" s="31" t="s">
        <v>346</v>
      </c>
      <c r="C33" s="41">
        <v>9312</v>
      </c>
      <c r="D33" s="41">
        <v>9680</v>
      </c>
      <c r="E33" s="41">
        <v>10036</v>
      </c>
      <c r="F33" s="41">
        <v>8918</v>
      </c>
      <c r="G33" s="41">
        <v>11140</v>
      </c>
      <c r="H33" s="41">
        <v>9728</v>
      </c>
      <c r="I33" s="165">
        <v>9930.5406999999996</v>
      </c>
      <c r="J33" s="41">
        <v>10866.272210000001</v>
      </c>
      <c r="K33" s="41">
        <v>10150.757869999999</v>
      </c>
      <c r="L33" s="41">
        <v>11177.5</v>
      </c>
      <c r="M33" s="41">
        <v>11170</v>
      </c>
      <c r="N33" s="41">
        <v>11225</v>
      </c>
      <c r="O33" s="41">
        <f t="shared" si="5"/>
        <v>11587.189673139972</v>
      </c>
      <c r="P33" s="41">
        <f t="shared" si="5"/>
        <v>11949.379346279942</v>
      </c>
      <c r="Q33" s="165"/>
      <c r="T33" s="34">
        <v>75</v>
      </c>
      <c r="U33" s="88" t="s">
        <v>346</v>
      </c>
      <c r="V33" s="41">
        <f>C33/'1. Väestöennuste'!E33*1000</f>
        <v>446.59728550189436</v>
      </c>
      <c r="W33" s="41">
        <f>D33/'1. Väestöennuste'!F33*1000</f>
        <v>469.08315565031984</v>
      </c>
      <c r="X33" s="41">
        <f>E33/'1. Väestöennuste'!G33*1000</f>
        <v>489.72819987312744</v>
      </c>
      <c r="Y33" s="41">
        <f>F33/'1. Väestöennuste'!H33*1000</f>
        <v>439.61352657004829</v>
      </c>
      <c r="Z33" s="41">
        <f>G33/'1. Väestöennuste'!I33*1000</f>
        <v>553.92571229675298</v>
      </c>
      <c r="AA33" s="41">
        <f>H33/'1. Väestöennuste'!J33*1000</f>
        <v>489.4098707048347</v>
      </c>
      <c r="AB33" s="41">
        <f>I33/'1. Väestöennuste'!K33*1000</f>
        <v>504.03718911785597</v>
      </c>
      <c r="AC33" s="41">
        <f>J33/'1. Väestöennuste'!L33*1000</f>
        <v>555.84798250549909</v>
      </c>
      <c r="AD33" s="41">
        <f>K33/'1. Väestöennuste'!M33*1000</f>
        <v>519.64563683833308</v>
      </c>
      <c r="AE33" s="41">
        <f>L33/'1. Väestöennuste'!N33*1000</f>
        <v>585.27070897476176</v>
      </c>
      <c r="AF33" s="41">
        <f>M33/'1. Väestöennuste'!O33*1000</f>
        <v>590.56783335095702</v>
      </c>
      <c r="AG33" s="41">
        <f>N33/'1. Väestöennuste'!P33*1000</f>
        <v>599.1779651969681</v>
      </c>
      <c r="AH33" s="41">
        <f>O33/'1. Väestöennuste'!Q33*1000</f>
        <v>624.37707043539024</v>
      </c>
      <c r="AI33" s="41">
        <f>P33/'1. Väestöennuste'!R33*1000</f>
        <v>650.23558503999243</v>
      </c>
    </row>
    <row r="34" spans="1:35" x14ac:dyDescent="0.25">
      <c r="A34" s="30">
        <v>77</v>
      </c>
      <c r="B34" s="31" t="s">
        <v>347</v>
      </c>
      <c r="C34" s="41">
        <v>1559</v>
      </c>
      <c r="D34" s="41">
        <v>1637</v>
      </c>
      <c r="E34" s="41">
        <v>1578</v>
      </c>
      <c r="F34" s="41">
        <v>1661</v>
      </c>
      <c r="G34" s="41">
        <v>1654</v>
      </c>
      <c r="H34" s="41">
        <v>2667</v>
      </c>
      <c r="I34" s="165">
        <v>1714.5369900000001</v>
      </c>
      <c r="J34" s="41">
        <v>1694.71884</v>
      </c>
      <c r="K34" s="41">
        <v>1674.33159</v>
      </c>
      <c r="L34" s="41">
        <v>1690</v>
      </c>
      <c r="M34" s="41">
        <v>1750</v>
      </c>
      <c r="N34" s="41">
        <v>1710</v>
      </c>
      <c r="O34" s="41">
        <f t="shared" si="5"/>
        <v>1765.1754424115236</v>
      </c>
      <c r="P34" s="41">
        <f t="shared" si="5"/>
        <v>1820.350884823047</v>
      </c>
      <c r="Q34" s="165"/>
      <c r="T34" s="34">
        <v>77</v>
      </c>
      <c r="U34" s="88" t="s">
        <v>347</v>
      </c>
      <c r="V34" s="41">
        <f>C34/'1. Väestöennuste'!E34*1000</f>
        <v>297.51908396946561</v>
      </c>
      <c r="W34" s="41">
        <f>D34/'1. Väestöennuste'!F34*1000</f>
        <v>317.30955611552622</v>
      </c>
      <c r="X34" s="41">
        <f>E34/'1. Väestöennuste'!G34*1000</f>
        <v>314.40526001195457</v>
      </c>
      <c r="Y34" s="41">
        <f>F34/'1. Väestöennuste'!H34*1000</f>
        <v>336.30289532293989</v>
      </c>
      <c r="Z34" s="41">
        <f>G34/'1. Väestöennuste'!I34*1000</f>
        <v>339.28205128205133</v>
      </c>
      <c r="AA34" s="41">
        <f>H34/'1. Väestöennuste'!J34*1000</f>
        <v>557.71643663739019</v>
      </c>
      <c r="AB34" s="41">
        <f>I34/'1. Väestöennuste'!K34*1000</f>
        <v>366.11936579115951</v>
      </c>
      <c r="AC34" s="41">
        <f>J34/'1. Väestöennuste'!L34*1000</f>
        <v>368.33706585524885</v>
      </c>
      <c r="AD34" s="41">
        <f>K34/'1. Väestöennuste'!M34*1000</f>
        <v>368.06585843042427</v>
      </c>
      <c r="AE34" s="41">
        <f>L34/'1. Väestöennuste'!N34*1000</f>
        <v>377.99150078282264</v>
      </c>
      <c r="AF34" s="41">
        <f>M34/'1. Väestöennuste'!O34*1000</f>
        <v>397.36603088101725</v>
      </c>
      <c r="AG34" s="41">
        <f>N34/'1. Väestöennuste'!P34*1000</f>
        <v>394.00921658986175</v>
      </c>
      <c r="AH34" s="41">
        <f>O34/'1. Väestöennuste'!Q34*1000</f>
        <v>412.5205520943033</v>
      </c>
      <c r="AI34" s="41">
        <f>P34/'1. Väestöennuste'!R34*1000</f>
        <v>431.66964306925468</v>
      </c>
    </row>
    <row r="35" spans="1:35" x14ac:dyDescent="0.25">
      <c r="A35" s="30">
        <v>78</v>
      </c>
      <c r="B35" s="31" t="s">
        <v>348</v>
      </c>
      <c r="C35" s="41">
        <v>3760</v>
      </c>
      <c r="D35" s="41">
        <v>3662</v>
      </c>
      <c r="E35" s="41">
        <v>3824</v>
      </c>
      <c r="F35" s="41">
        <v>3600</v>
      </c>
      <c r="G35" s="41">
        <v>3535</v>
      </c>
      <c r="H35" s="41">
        <v>3557</v>
      </c>
      <c r="I35" s="165">
        <v>3546.92227</v>
      </c>
      <c r="J35" s="41">
        <v>3366.6277099999998</v>
      </c>
      <c r="K35" s="41">
        <v>3130.0679</v>
      </c>
      <c r="L35" s="41">
        <v>3420</v>
      </c>
      <c r="M35" s="41">
        <v>3400</v>
      </c>
      <c r="N35" s="41">
        <v>3400</v>
      </c>
      <c r="O35" s="41">
        <f t="shared" si="5"/>
        <v>3509.7055580112165</v>
      </c>
      <c r="P35" s="41">
        <f t="shared" si="5"/>
        <v>3619.4111160224325</v>
      </c>
      <c r="Q35" s="165"/>
      <c r="T35" s="34">
        <v>78</v>
      </c>
      <c r="U35" s="88" t="s">
        <v>348</v>
      </c>
      <c r="V35" s="41">
        <f>C35/'1. Väestöennuste'!E35*1000</f>
        <v>424.18772563176896</v>
      </c>
      <c r="W35" s="41">
        <f>D35/'1. Väestöennuste'!F35*1000</f>
        <v>422.71730347454695</v>
      </c>
      <c r="X35" s="41">
        <f>E35/'1. Väestöennuste'!G35*1000</f>
        <v>448.9843841728308</v>
      </c>
      <c r="Y35" s="41">
        <f>F35/'1. Väestöennuste'!H35*1000</f>
        <v>429.64554242749733</v>
      </c>
      <c r="Z35" s="41">
        <f>G35/'1. Väestöennuste'!I35*1000</f>
        <v>431.15014026100744</v>
      </c>
      <c r="AA35" s="41">
        <f>H35/'1. Väestöennuste'!J35*1000</f>
        <v>442.30290972394926</v>
      </c>
      <c r="AB35" s="41">
        <f>I35/'1. Väestöennuste'!K35*1000</f>
        <v>444.53218072440154</v>
      </c>
      <c r="AC35" s="41">
        <f>J35/'1. Väestöennuste'!L35*1000</f>
        <v>429.85542773237995</v>
      </c>
      <c r="AD35" s="41">
        <f>K35/'1. Väestöennuste'!M35*1000</f>
        <v>405.39669731900011</v>
      </c>
      <c r="AE35" s="41">
        <f>L35/'1. Väestöennuste'!N35*1000</f>
        <v>458.01526717557249</v>
      </c>
      <c r="AF35" s="41">
        <f>M35/'1. Väestöennuste'!O35*1000</f>
        <v>462.71094175285793</v>
      </c>
      <c r="AG35" s="41">
        <f>N35/'1. Väestöennuste'!P35*1000</f>
        <v>469.87285793255944</v>
      </c>
      <c r="AH35" s="41">
        <f>O35/'1. Väestöennuste'!Q35*1000</f>
        <v>492.52112798361162</v>
      </c>
      <c r="AI35" s="41">
        <f>P35/'1. Väestöennuste'!R35*1000</f>
        <v>515.29201537904794</v>
      </c>
    </row>
    <row r="36" spans="1:35" x14ac:dyDescent="0.25">
      <c r="A36" s="30">
        <v>79</v>
      </c>
      <c r="B36" s="31" t="s">
        <v>349</v>
      </c>
      <c r="C36" s="41">
        <v>2142</v>
      </c>
      <c r="D36" s="41">
        <v>2245</v>
      </c>
      <c r="E36" s="41">
        <v>2314</v>
      </c>
      <c r="F36" s="41">
        <v>2373</v>
      </c>
      <c r="G36" s="41">
        <v>2389</v>
      </c>
      <c r="H36" s="41">
        <v>2505</v>
      </c>
      <c r="I36" s="165">
        <v>2785.5809599999998</v>
      </c>
      <c r="J36" s="41">
        <v>2647.8657899999998</v>
      </c>
      <c r="K36" s="41">
        <v>2914.9755</v>
      </c>
      <c r="L36" s="41">
        <v>3046.02</v>
      </c>
      <c r="M36" s="41">
        <v>3046.02</v>
      </c>
      <c r="N36" s="41">
        <v>3046.02</v>
      </c>
      <c r="O36" s="41">
        <f t="shared" si="5"/>
        <v>3144.303918768625</v>
      </c>
      <c r="P36" s="41">
        <f t="shared" si="5"/>
        <v>3242.5878375372499</v>
      </c>
      <c r="Q36" s="165"/>
      <c r="T36" s="34">
        <v>79</v>
      </c>
      <c r="U36" s="88" t="s">
        <v>349</v>
      </c>
      <c r="V36" s="41">
        <f>C36/'1. Väestöennuste'!E36*1000</f>
        <v>293.58552631578948</v>
      </c>
      <c r="W36" s="41">
        <f>D36/'1. Väestöennuste'!F36*1000</f>
        <v>310.08287292817681</v>
      </c>
      <c r="X36" s="41">
        <f>E36/'1. Väestöennuste'!G36*1000</f>
        <v>323.59110613900157</v>
      </c>
      <c r="Y36" s="41">
        <f>F36/'1. Väestöennuste'!H36*1000</f>
        <v>338.13052151610145</v>
      </c>
      <c r="Z36" s="41">
        <f>G36/'1. Väestöennuste'!I36*1000</f>
        <v>344.68330688212376</v>
      </c>
      <c r="AA36" s="41">
        <f>H36/'1. Väestöennuste'!J36*1000</f>
        <v>364.68190420730815</v>
      </c>
      <c r="AB36" s="41">
        <f>I36/'1. Väestöennuste'!K36*1000</f>
        <v>410.54988356669122</v>
      </c>
      <c r="AC36" s="41">
        <f>J36/'1. Väestöennuste'!L36*1000</f>
        <v>392.10214571301645</v>
      </c>
      <c r="AD36" s="41">
        <f>K36/'1. Väestöennuste'!M36*1000</f>
        <v>434.87624944054903</v>
      </c>
      <c r="AE36" s="41">
        <f>L36/'1. Väestöennuste'!N36*1000</f>
        <v>464.6156192800488</v>
      </c>
      <c r="AF36" s="41">
        <f>M36/'1. Väestöennuste'!O36*1000</f>
        <v>469.55757669184521</v>
      </c>
      <c r="AG36" s="41">
        <f>N36/'1. Väestöennuste'!P36*1000</f>
        <v>474.31018374338214</v>
      </c>
      <c r="AH36" s="41">
        <f>O36/'1. Väestöennuste'!Q36*1000</f>
        <v>494.46515470492608</v>
      </c>
      <c r="AI36" s="41">
        <f>P36/'1. Väestöennuste'!R36*1000</f>
        <v>514.69648214876986</v>
      </c>
    </row>
    <row r="37" spans="1:35" x14ac:dyDescent="0.25">
      <c r="A37" s="30">
        <v>81</v>
      </c>
      <c r="B37" s="31" t="s">
        <v>350</v>
      </c>
      <c r="C37" s="41">
        <v>535</v>
      </c>
      <c r="D37" s="41">
        <v>656</v>
      </c>
      <c r="E37" s="41">
        <v>782</v>
      </c>
      <c r="F37" s="41">
        <v>786</v>
      </c>
      <c r="G37" s="41">
        <v>750</v>
      </c>
      <c r="H37" s="41">
        <v>602</v>
      </c>
      <c r="I37" s="165">
        <v>993.99360999999999</v>
      </c>
      <c r="J37" s="41">
        <v>1258.83257</v>
      </c>
      <c r="K37" s="41">
        <v>728.82875999999999</v>
      </c>
      <c r="L37" s="41">
        <v>785.7</v>
      </c>
      <c r="M37" s="41">
        <v>785.7</v>
      </c>
      <c r="N37" s="41">
        <v>785.7</v>
      </c>
      <c r="O37" s="41">
        <f t="shared" si="5"/>
        <v>811.05166380276853</v>
      </c>
      <c r="P37" s="41">
        <f t="shared" si="5"/>
        <v>836.4033276055369</v>
      </c>
      <c r="Q37" s="165"/>
      <c r="T37" s="34">
        <v>81</v>
      </c>
      <c r="U37" s="88" t="s">
        <v>350</v>
      </c>
      <c r="V37" s="41">
        <f>C37/'1. Väestöennuste'!E37*1000</f>
        <v>179.40979208584844</v>
      </c>
      <c r="W37" s="41">
        <f>D37/'1. Väestöennuste'!F37*1000</f>
        <v>224.35020519835842</v>
      </c>
      <c r="X37" s="41">
        <f>E37/'1. Väestöennuste'!G37*1000</f>
        <v>271.33934767522555</v>
      </c>
      <c r="Y37" s="41">
        <f>F37/'1. Väestöennuste'!H37*1000</f>
        <v>282.73381294964031</v>
      </c>
      <c r="Z37" s="41">
        <f>G37/'1. Väestöennuste'!I37*1000</f>
        <v>278.08676307007784</v>
      </c>
      <c r="AA37" s="41">
        <f>H37/'1. Väestöennuste'!J37*1000</f>
        <v>226.74199623352166</v>
      </c>
      <c r="AB37" s="41">
        <f>I37/'1. Väestöennuste'!K37*1000</f>
        <v>379.24212514307516</v>
      </c>
      <c r="AC37" s="41">
        <f>J37/'1. Väestöennuste'!L37*1000</f>
        <v>489.05694250194256</v>
      </c>
      <c r="AD37" s="41">
        <f>K37/'1. Väestöennuste'!M37*1000</f>
        <v>287.96079020150137</v>
      </c>
      <c r="AE37" s="41">
        <f>L37/'1. Väestöennuste'!N37*1000</f>
        <v>324.13366336633663</v>
      </c>
      <c r="AF37" s="41">
        <f>M37/'1. Väestöennuste'!O37*1000</f>
        <v>330.40370058873003</v>
      </c>
      <c r="AG37" s="41">
        <f>N37/'1. Väestöennuste'!P37*1000</f>
        <v>336.2002567394095</v>
      </c>
      <c r="AH37" s="41">
        <f>O37/'1. Väestöennuste'!Q37*1000</f>
        <v>352.78454275892494</v>
      </c>
      <c r="AI37" s="41">
        <f>P37/'1. Väestöennuste'!R37*1000</f>
        <v>369.27299232032533</v>
      </c>
    </row>
    <row r="38" spans="1:35" x14ac:dyDescent="0.25">
      <c r="A38" s="30">
        <v>82</v>
      </c>
      <c r="B38" s="31" t="s">
        <v>351</v>
      </c>
      <c r="C38" s="41">
        <v>1537</v>
      </c>
      <c r="D38" s="41">
        <v>1549</v>
      </c>
      <c r="E38" s="41">
        <v>2081</v>
      </c>
      <c r="F38" s="41">
        <v>1985</v>
      </c>
      <c r="G38" s="41">
        <v>2093</v>
      </c>
      <c r="H38" s="41">
        <v>2100</v>
      </c>
      <c r="I38" s="165">
        <v>2219.2768099999998</v>
      </c>
      <c r="J38" s="41">
        <v>1985.8618200000001</v>
      </c>
      <c r="K38" s="41">
        <v>2168.77387</v>
      </c>
      <c r="L38" s="41">
        <v>2110</v>
      </c>
      <c r="M38" s="41">
        <v>2160</v>
      </c>
      <c r="N38" s="41">
        <v>2310</v>
      </c>
      <c r="O38" s="41">
        <f t="shared" si="5"/>
        <v>2384.5352467664438</v>
      </c>
      <c r="P38" s="41">
        <f t="shared" si="5"/>
        <v>2459.0704935328877</v>
      </c>
      <c r="Q38" s="165"/>
      <c r="T38" s="34">
        <v>82</v>
      </c>
      <c r="U38" s="88" t="s">
        <v>351</v>
      </c>
      <c r="V38" s="41">
        <f>C38/'1. Väestöennuste'!E38*1000</f>
        <v>157.68954550117985</v>
      </c>
      <c r="W38" s="41">
        <f>D38/'1. Väestöennuste'!F38*1000</f>
        <v>159.98760586655649</v>
      </c>
      <c r="X38" s="41">
        <f>E38/'1. Väestöennuste'!G38*1000</f>
        <v>216.54526534859522</v>
      </c>
      <c r="Y38" s="41">
        <f>F38/'1. Väestöennuste'!H38*1000</f>
        <v>209.49868073878628</v>
      </c>
      <c r="Z38" s="41">
        <f>G38/'1. Väestöennuste'!I38*1000</f>
        <v>222.13967310549776</v>
      </c>
      <c r="AA38" s="41">
        <f>H38/'1. Väestöennuste'!J38*1000</f>
        <v>223.66599211843646</v>
      </c>
      <c r="AB38" s="41">
        <f>I38/'1. Väestöennuste'!K38*1000</f>
        <v>235.96776289207867</v>
      </c>
      <c r="AC38" s="41">
        <f>J38/'1. Väestöennuste'!L38*1000</f>
        <v>212.18739395234533</v>
      </c>
      <c r="AD38" s="41">
        <f>K38/'1. Väestöennuste'!M38*1000</f>
        <v>231.43462490662682</v>
      </c>
      <c r="AE38" s="41">
        <f>L38/'1. Väestöennuste'!N38*1000</f>
        <v>229.9226326686281</v>
      </c>
      <c r="AF38" s="41">
        <f>M38/'1. Väestöennuste'!O38*1000</f>
        <v>236.79017759263317</v>
      </c>
      <c r="AG38" s="41">
        <f>N38/'1. Väestöennuste'!P38*1000</f>
        <v>254.79814692256787</v>
      </c>
      <c r="AH38" s="41">
        <f>O38/'1. Väestöennuste'!Q38*1000</f>
        <v>264.68367707475232</v>
      </c>
      <c r="AI38" s="41">
        <f>P38/'1. Väestöennuste'!R38*1000</f>
        <v>274.69509534549684</v>
      </c>
    </row>
    <row r="39" spans="1:35" x14ac:dyDescent="0.25">
      <c r="A39" s="30">
        <v>86</v>
      </c>
      <c r="B39" s="31" t="s">
        <v>352</v>
      </c>
      <c r="C39" s="41">
        <v>2090</v>
      </c>
      <c r="D39" s="41">
        <v>2075</v>
      </c>
      <c r="E39" s="41">
        <v>2117</v>
      </c>
      <c r="F39" s="41">
        <v>2479</v>
      </c>
      <c r="G39" s="41">
        <v>2198</v>
      </c>
      <c r="H39" s="41">
        <v>2054</v>
      </c>
      <c r="I39" s="165">
        <v>2278.9054500000002</v>
      </c>
      <c r="J39" s="41">
        <v>2376.2761299999997</v>
      </c>
      <c r="K39" s="41">
        <v>3588.7305499999998</v>
      </c>
      <c r="L39" s="41">
        <v>2770</v>
      </c>
      <c r="M39" s="41">
        <v>2770</v>
      </c>
      <c r="N39" s="41">
        <v>2770</v>
      </c>
      <c r="O39" s="41">
        <f t="shared" si="5"/>
        <v>2859.3777634385497</v>
      </c>
      <c r="P39" s="41">
        <f t="shared" si="5"/>
        <v>2948.7555268770993</v>
      </c>
      <c r="Q39" s="165"/>
      <c r="T39" s="34">
        <v>86</v>
      </c>
      <c r="U39" s="88" t="s">
        <v>352</v>
      </c>
      <c r="V39" s="41">
        <f>C39/'1. Väestöennuste'!E39*1000</f>
        <v>239.43177912704778</v>
      </c>
      <c r="W39" s="41">
        <f>D39/'1. Väestöennuste'!F39*1000</f>
        <v>240.13424372179145</v>
      </c>
      <c r="X39" s="41">
        <f>E39/'1. Väestöennuste'!G39*1000</f>
        <v>248.94167450611477</v>
      </c>
      <c r="Y39" s="41">
        <f>F39/'1. Väestöennuste'!H39*1000</f>
        <v>294.52298918854694</v>
      </c>
      <c r="Z39" s="41">
        <f>G39/'1. Väestöennuste'!I39*1000</f>
        <v>266.10169491525426</v>
      </c>
      <c r="AA39" s="41">
        <f>H39/'1. Väestöennuste'!J39*1000</f>
        <v>251.25382262996942</v>
      </c>
      <c r="AB39" s="41">
        <f>I39/'1. Väestöennuste'!K39*1000</f>
        <v>279.86067174260103</v>
      </c>
      <c r="AC39" s="41">
        <f>J39/'1. Väestöennuste'!L39*1000</f>
        <v>295.88795044203709</v>
      </c>
      <c r="AD39" s="41">
        <f>K39/'1. Väestöennuste'!M39*1000</f>
        <v>448.7034946236559</v>
      </c>
      <c r="AE39" s="41">
        <f>L39/'1. Väestöennuste'!N39*1000</f>
        <v>354.71891407350495</v>
      </c>
      <c r="AF39" s="41">
        <f>M39/'1. Väestöennuste'!O39*1000</f>
        <v>358.29776225585306</v>
      </c>
      <c r="AG39" s="41">
        <f>N39/'1. Väestöennuste'!P39*1000</f>
        <v>361.66601383992685</v>
      </c>
      <c r="AH39" s="41">
        <f>O39/'1. Väestöennuste'!Q39*1000</f>
        <v>376.63036926219041</v>
      </c>
      <c r="AI39" s="41">
        <f>P39/'1. Väestöennuste'!R39*1000</f>
        <v>391.8611995849966</v>
      </c>
    </row>
    <row r="40" spans="1:35" x14ac:dyDescent="0.25">
      <c r="A40" s="30">
        <v>90</v>
      </c>
      <c r="B40" s="31" t="s">
        <v>353</v>
      </c>
      <c r="C40" s="41">
        <v>1695</v>
      </c>
      <c r="D40" s="41">
        <v>1655</v>
      </c>
      <c r="E40" s="41">
        <v>1888</v>
      </c>
      <c r="F40" s="41">
        <v>1373</v>
      </c>
      <c r="G40" s="41">
        <v>1440</v>
      </c>
      <c r="H40" s="41">
        <v>1382</v>
      </c>
      <c r="I40" s="165">
        <v>1351.9571599999999</v>
      </c>
      <c r="J40" s="41">
        <v>1320.3333400000001</v>
      </c>
      <c r="K40" s="41">
        <v>1333.49767</v>
      </c>
      <c r="L40" s="41">
        <v>1385.2159999999999</v>
      </c>
      <c r="M40" s="41">
        <v>1350</v>
      </c>
      <c r="N40" s="41">
        <v>1350</v>
      </c>
      <c r="O40" s="41">
        <f t="shared" si="5"/>
        <v>1393.5595597985712</v>
      </c>
      <c r="P40" s="41">
        <f t="shared" si="5"/>
        <v>1437.1191195971423</v>
      </c>
      <c r="Q40" s="165"/>
      <c r="T40" s="34">
        <v>90</v>
      </c>
      <c r="U40" s="88" t="s">
        <v>353</v>
      </c>
      <c r="V40" s="41">
        <f>C40/'1. Väestöennuste'!E40*1000</f>
        <v>474.25853385562397</v>
      </c>
      <c r="W40" s="41">
        <f>D40/'1. Väestöennuste'!F40*1000</f>
        <v>470.97324985771201</v>
      </c>
      <c r="X40" s="41">
        <f>E40/'1. Väestöennuste'!G40*1000</f>
        <v>546.45441389290886</v>
      </c>
      <c r="Y40" s="41">
        <f>F40/'1. Väestöennuste'!H40*1000</f>
        <v>412.43616701712227</v>
      </c>
      <c r="Z40" s="41">
        <f>G40/'1. Väestöennuste'!I40*1000</f>
        <v>442.53226797787335</v>
      </c>
      <c r="AA40" s="41">
        <f>H40/'1. Väestöennuste'!J40*1000</f>
        <v>432.41551939924904</v>
      </c>
      <c r="AB40" s="41">
        <f>I40/'1. Väestöennuste'!K40*1000</f>
        <v>431.10878826530609</v>
      </c>
      <c r="AC40" s="41">
        <f>J40/'1. Väestöennuste'!L40*1000</f>
        <v>431.34052270499842</v>
      </c>
      <c r="AD40" s="41">
        <f>K40/'1. Väestöennuste'!M40*1000</f>
        <v>444.35110629790069</v>
      </c>
      <c r="AE40" s="41">
        <f>L40/'1. Väestöennuste'!N40*1000</f>
        <v>468.9289099526066</v>
      </c>
      <c r="AF40" s="41">
        <f>M40/'1. Väestöennuste'!O40*1000</f>
        <v>465.03616947984841</v>
      </c>
      <c r="AG40" s="41">
        <f>N40/'1. Väestöennuste'!P40*1000</f>
        <v>472.85464098073555</v>
      </c>
      <c r="AH40" s="41">
        <f>O40/'1. Väestöennuste'!Q40*1000</f>
        <v>496.63562359179303</v>
      </c>
      <c r="AI40" s="41">
        <f>P40/'1. Väestöennuste'!R40*1000</f>
        <v>521.07292226147297</v>
      </c>
    </row>
    <row r="41" spans="1:35" x14ac:dyDescent="0.25">
      <c r="A41" s="30">
        <v>91</v>
      </c>
      <c r="B41" s="31" t="s">
        <v>354</v>
      </c>
      <c r="C41" s="41">
        <v>385623</v>
      </c>
      <c r="D41" s="41">
        <v>337209</v>
      </c>
      <c r="E41" s="41">
        <v>354807</v>
      </c>
      <c r="F41" s="41">
        <v>346801</v>
      </c>
      <c r="G41" s="41">
        <v>364436</v>
      </c>
      <c r="H41" s="41">
        <v>375929</v>
      </c>
      <c r="I41" s="165">
        <v>408493.85476999998</v>
      </c>
      <c r="J41" s="41">
        <v>386961.68360000005</v>
      </c>
      <c r="K41" s="41">
        <v>364862.70677999995</v>
      </c>
      <c r="L41" s="41">
        <v>372975.01204</v>
      </c>
      <c r="M41" s="41">
        <v>380168.42557999998</v>
      </c>
      <c r="N41" s="41">
        <v>386745.67736999999</v>
      </c>
      <c r="O41" s="41">
        <f t="shared" si="5"/>
        <v>399224.54511832399</v>
      </c>
      <c r="P41" s="41">
        <f t="shared" si="5"/>
        <v>411703.412866648</v>
      </c>
      <c r="Q41" s="165"/>
      <c r="T41" s="34">
        <v>91</v>
      </c>
      <c r="U41" s="88" t="s">
        <v>354</v>
      </c>
      <c r="V41" s="41">
        <f>C41/'1. Väestöennuste'!E41*1000</f>
        <v>613.84605098948123</v>
      </c>
      <c r="W41" s="41">
        <f>D41/'1. Väestöennuste'!F41*1000</f>
        <v>530.88647173010531</v>
      </c>
      <c r="X41" s="41">
        <f>E41/'1. Väestöennuste'!G41*1000</f>
        <v>551.56605603850312</v>
      </c>
      <c r="Y41" s="41">
        <f>F41/'1. Väestöennuste'!H41*1000</f>
        <v>535.15204261452186</v>
      </c>
      <c r="Z41" s="41">
        <f>G41/'1. Väestöennuste'!I41*1000</f>
        <v>557.38221416718284</v>
      </c>
      <c r="AA41" s="41">
        <f>H41/'1. Väestöennuste'!J41*1000</f>
        <v>572.25994032758933</v>
      </c>
      <c r="AB41" s="41">
        <f>I41/'1. Väestöennuste'!K41*1000</f>
        <v>620.38045729637611</v>
      </c>
      <c r="AC41" s="41">
        <f>J41/'1. Väestöennuste'!L41*1000</f>
        <v>582.74904612456112</v>
      </c>
      <c r="AD41" s="41">
        <f>K41/'1. Väestöennuste'!M41*1000</f>
        <v>540.93803822090422</v>
      </c>
      <c r="AE41" s="41">
        <f>L41/'1. Väestöennuste'!N41*1000</f>
        <v>550.17312001510504</v>
      </c>
      <c r="AF41" s="41">
        <f>M41/'1. Väestöennuste'!O41*1000</f>
        <v>556.97518541254306</v>
      </c>
      <c r="AG41" s="41">
        <f>N41/'1. Väestöennuste'!P41*1000</f>
        <v>562.90515778258737</v>
      </c>
      <c r="AH41" s="41">
        <f>O41/'1. Väestöennuste'!Q41*1000</f>
        <v>577.41306087966768</v>
      </c>
      <c r="AI41" s="41">
        <f>P41/'1. Väestöennuste'!R41*1000</f>
        <v>591.86889697461902</v>
      </c>
    </row>
    <row r="42" spans="1:35" x14ac:dyDescent="0.25">
      <c r="A42" s="30">
        <v>92</v>
      </c>
      <c r="B42" s="31" t="s">
        <v>355</v>
      </c>
      <c r="C42" s="41">
        <v>91138</v>
      </c>
      <c r="D42" s="41">
        <v>116138</v>
      </c>
      <c r="E42" s="41">
        <v>123573</v>
      </c>
      <c r="F42" s="41">
        <v>108702</v>
      </c>
      <c r="G42" s="41">
        <v>115154</v>
      </c>
      <c r="H42" s="41">
        <v>107537</v>
      </c>
      <c r="I42" s="165">
        <v>105247.37209999999</v>
      </c>
      <c r="J42" s="41">
        <v>108745.84609000001</v>
      </c>
      <c r="K42" s="41">
        <v>111844.37809999999</v>
      </c>
      <c r="L42" s="41">
        <v>115785.39139</v>
      </c>
      <c r="M42" s="41">
        <v>121181.46716</v>
      </c>
      <c r="N42" s="41">
        <v>132736.68682999999</v>
      </c>
      <c r="O42" s="41">
        <f t="shared" si="5"/>
        <v>137019.6139762486</v>
      </c>
      <c r="P42" s="41">
        <f t="shared" si="5"/>
        <v>141302.54112249718</v>
      </c>
      <c r="Q42" s="165"/>
      <c r="T42" s="34">
        <v>92</v>
      </c>
      <c r="U42" s="88" t="s">
        <v>355</v>
      </c>
      <c r="V42" s="41">
        <f>C42/'1. Väestöennuste'!E42*1000</f>
        <v>424.67789660073157</v>
      </c>
      <c r="W42" s="41">
        <f>D42/'1. Väestöennuste'!F42*1000</f>
        <v>529.48605139941913</v>
      </c>
      <c r="X42" s="41">
        <f>E42/'1. Väestöennuste'!G42*1000</f>
        <v>554.07192851089781</v>
      </c>
      <c r="Y42" s="41">
        <f>F42/'1. Väestöennuste'!H42*1000</f>
        <v>476.41629340041897</v>
      </c>
      <c r="Z42" s="41">
        <f>G42/'1. Väestöennuste'!I42*1000</f>
        <v>492.58475029408623</v>
      </c>
      <c r="AA42" s="41">
        <f>H42/'1. Väestöennuste'!J42*1000</f>
        <v>453.30079121194109</v>
      </c>
      <c r="AB42" s="41">
        <f>I42/'1. Väestöennuste'!K42*1000</f>
        <v>439.98633855338079</v>
      </c>
      <c r="AC42" s="41">
        <f>J42/'1. Väestöennuste'!L42*1000</f>
        <v>447.84735168994195</v>
      </c>
      <c r="AD42" s="41">
        <f>K42/'1. Väestöennuste'!M42*1000</f>
        <v>452.00057427367108</v>
      </c>
      <c r="AE42" s="41">
        <f>L42/'1. Väestöennuste'!N42*1000</f>
        <v>459.91845701325116</v>
      </c>
      <c r="AF42" s="41">
        <f>M42/'1. Väestöennuste'!O42*1000</f>
        <v>475.35379325223886</v>
      </c>
      <c r="AG42" s="41">
        <f>N42/'1. Väestöennuste'!P42*1000</f>
        <v>514.55508067017092</v>
      </c>
      <c r="AH42" s="41">
        <f>O42/'1. Väestöennuste'!Q42*1000</f>
        <v>525.26312673225232</v>
      </c>
      <c r="AI42" s="41">
        <f>P42/'1. Väestöennuste'!R42*1000</f>
        <v>536.00029254732942</v>
      </c>
    </row>
    <row r="43" spans="1:35" x14ac:dyDescent="0.25">
      <c r="A43" s="30">
        <v>97</v>
      </c>
      <c r="B43" s="31" t="s">
        <v>356</v>
      </c>
      <c r="C43" s="41">
        <v>874</v>
      </c>
      <c r="D43" s="41">
        <v>780</v>
      </c>
      <c r="E43" s="41">
        <v>751</v>
      </c>
      <c r="F43" s="41">
        <v>1038</v>
      </c>
      <c r="G43" s="41">
        <v>666</v>
      </c>
      <c r="H43" s="41">
        <v>826</v>
      </c>
      <c r="I43" s="165">
        <v>614.38517000000002</v>
      </c>
      <c r="J43" s="41">
        <v>604.73043999999993</v>
      </c>
      <c r="K43" s="41">
        <v>528.82456999999999</v>
      </c>
      <c r="L43" s="41">
        <v>472.81</v>
      </c>
      <c r="M43" s="41">
        <v>452.83699999999999</v>
      </c>
      <c r="N43" s="41">
        <v>452.83699999999999</v>
      </c>
      <c r="O43" s="41">
        <f t="shared" si="5"/>
        <v>467.44839287444859</v>
      </c>
      <c r="P43" s="41">
        <f t="shared" si="5"/>
        <v>482.05978574889713</v>
      </c>
      <c r="Q43" s="165"/>
      <c r="T43" s="34">
        <v>97</v>
      </c>
      <c r="U43" s="88" t="s">
        <v>356</v>
      </c>
      <c r="V43" s="41">
        <f>C43/'1. Väestöennuste'!E43*1000</f>
        <v>381.65938864628822</v>
      </c>
      <c r="W43" s="41">
        <f>D43/'1. Väestöennuste'!F43*1000</f>
        <v>343.00791556728234</v>
      </c>
      <c r="X43" s="41">
        <f>E43/'1. Väestöennuste'!G43*1000</f>
        <v>335.86762075134169</v>
      </c>
      <c r="Y43" s="41">
        <f>F43/'1. Väestöennuste'!H43*1000</f>
        <v>482.34200743494426</v>
      </c>
      <c r="Z43" s="41">
        <f>G43/'1. Väestöennuste'!I43*1000</f>
        <v>311.79775280898878</v>
      </c>
      <c r="AA43" s="41">
        <f>H43/'1. Väestöennuste'!J43*1000</f>
        <v>383.11688311688312</v>
      </c>
      <c r="AB43" s="41">
        <f>I43/'1. Väestöennuste'!K43*1000</f>
        <v>288.30838573439701</v>
      </c>
      <c r="AC43" s="41">
        <f>J43/'1. Väestöennuste'!L43*1000</f>
        <v>289.20633189861303</v>
      </c>
      <c r="AD43" s="41">
        <f>K43/'1. Väestöennuste'!M43*1000</f>
        <v>256.46196411251208</v>
      </c>
      <c r="AE43" s="41">
        <f>L43/'1. Väestöennuste'!N43*1000</f>
        <v>225.2548832777513</v>
      </c>
      <c r="AF43" s="41">
        <f>M43/'1. Väestöennuste'!O43*1000</f>
        <v>217.08389261744964</v>
      </c>
      <c r="AG43" s="41">
        <f>N43/'1. Väestöennuste'!P43*1000</f>
        <v>218.33992285438765</v>
      </c>
      <c r="AH43" s="41">
        <f>O43/'1. Väestöennuste'!Q43*1000</f>
        <v>226.47693453219409</v>
      </c>
      <c r="AI43" s="41">
        <f>P43/'1. Väestöennuste'!R43*1000</f>
        <v>234.92192287957951</v>
      </c>
    </row>
    <row r="44" spans="1:35" x14ac:dyDescent="0.25">
      <c r="A44" s="30">
        <v>98</v>
      </c>
      <c r="B44" s="31" t="s">
        <v>357</v>
      </c>
      <c r="C44" s="41">
        <v>11182</v>
      </c>
      <c r="D44" s="41">
        <v>7407</v>
      </c>
      <c r="E44" s="41">
        <v>10915</v>
      </c>
      <c r="F44" s="41">
        <v>10437</v>
      </c>
      <c r="G44" s="41">
        <v>8992</v>
      </c>
      <c r="H44" s="41">
        <v>8602</v>
      </c>
      <c r="I44" s="165">
        <v>8963.6730100000004</v>
      </c>
      <c r="J44" s="41">
        <v>9673.6939600000005</v>
      </c>
      <c r="K44" s="41">
        <v>10132.03177</v>
      </c>
      <c r="L44" s="41">
        <v>8358</v>
      </c>
      <c r="M44" s="41">
        <v>8945.2999999999993</v>
      </c>
      <c r="N44" s="41">
        <v>9511.6</v>
      </c>
      <c r="O44" s="41">
        <f t="shared" si="5"/>
        <v>9818.5045251704378</v>
      </c>
      <c r="P44" s="41">
        <f t="shared" si="5"/>
        <v>10125.409050340873</v>
      </c>
      <c r="Q44" s="165"/>
      <c r="T44" s="34">
        <v>98</v>
      </c>
      <c r="U44" s="88" t="s">
        <v>357</v>
      </c>
      <c r="V44" s="41">
        <f>C44/'1. Väestöennuste'!E44*1000</f>
        <v>467.5726531465607</v>
      </c>
      <c r="W44" s="41">
        <f>D44/'1. Väestöennuste'!F44*1000</f>
        <v>311.33621957883236</v>
      </c>
      <c r="X44" s="41">
        <f>E44/'1. Väestöennuste'!G44*1000</f>
        <v>458.96055840551674</v>
      </c>
      <c r="Y44" s="41">
        <f>F44/'1. Väestöennuste'!H44*1000</f>
        <v>442.20828743326837</v>
      </c>
      <c r="Z44" s="41">
        <f>G44/'1. Väestöennuste'!I44*1000</f>
        <v>384.10935497650576</v>
      </c>
      <c r="AA44" s="41">
        <f>H44/'1. Väestöennuste'!J44*1000</f>
        <v>369.96258225452664</v>
      </c>
      <c r="AB44" s="41">
        <f>I44/'1. Väestöennuste'!K44*1000</f>
        <v>388.20584711996537</v>
      </c>
      <c r="AC44" s="41">
        <f>J44/'1. Väestöennuste'!L44*1000</f>
        <v>421.64032428191604</v>
      </c>
      <c r="AD44" s="41">
        <f>K44/'1. Väestöennuste'!M44*1000</f>
        <v>442.73680445706793</v>
      </c>
      <c r="AE44" s="41">
        <f>L44/'1. Väestöennuste'!N44*1000</f>
        <v>367.627006817682</v>
      </c>
      <c r="AF44" s="41">
        <f>M44/'1. Väestöennuste'!O44*1000</f>
        <v>395.86228260388543</v>
      </c>
      <c r="AG44" s="41">
        <f>N44/'1. Väestöennuste'!P44*1000</f>
        <v>423.47179555674279</v>
      </c>
      <c r="AH44" s="41">
        <f>O44/'1. Väestöennuste'!Q44*1000</f>
        <v>439.64109278513581</v>
      </c>
      <c r="AI44" s="41">
        <f>P44/'1. Väestöennuste'!R44*1000</f>
        <v>456.07896267469363</v>
      </c>
    </row>
    <row r="45" spans="1:35" x14ac:dyDescent="0.25">
      <c r="A45" s="30">
        <v>102</v>
      </c>
      <c r="B45" s="31" t="s">
        <v>359</v>
      </c>
      <c r="C45" s="41">
        <v>3487</v>
      </c>
      <c r="D45" s="41">
        <v>3748</v>
      </c>
      <c r="E45" s="41">
        <v>3675</v>
      </c>
      <c r="F45" s="41">
        <v>3715</v>
      </c>
      <c r="G45" s="41">
        <v>4456</v>
      </c>
      <c r="H45" s="41">
        <v>3855</v>
      </c>
      <c r="I45" s="165">
        <v>3832.1873300000002</v>
      </c>
      <c r="J45" s="41">
        <v>3632.1778999999997</v>
      </c>
      <c r="K45" s="41">
        <v>3856.7577000000001</v>
      </c>
      <c r="L45" s="41">
        <v>4549.34</v>
      </c>
      <c r="M45" s="41">
        <v>4626.87</v>
      </c>
      <c r="N45" s="41">
        <v>4841.54</v>
      </c>
      <c r="O45" s="41">
        <f t="shared" si="5"/>
        <v>4997.7587786275362</v>
      </c>
      <c r="P45" s="41">
        <f t="shared" si="5"/>
        <v>5153.9775572550725</v>
      </c>
      <c r="Q45" s="165"/>
      <c r="T45" s="34">
        <v>102</v>
      </c>
      <c r="U45" s="88" t="s">
        <v>359</v>
      </c>
      <c r="V45" s="41">
        <f>C45/'1. Väestöennuste'!E45*1000</f>
        <v>332.95139883509978</v>
      </c>
      <c r="W45" s="41">
        <f>D45/'1. Väestöennuste'!F45*1000</f>
        <v>360.28068826300108</v>
      </c>
      <c r="X45" s="41">
        <f>E45/'1. Väestöennuste'!G45*1000</f>
        <v>360.0470265504066</v>
      </c>
      <c r="Y45" s="41">
        <f>F45/'1. Väestöennuste'!H45*1000</f>
        <v>368.14983648795959</v>
      </c>
      <c r="Z45" s="41">
        <f>G45/'1. Väestöennuste'!I45*1000</f>
        <v>443.6479490242931</v>
      </c>
      <c r="AA45" s="41">
        <f>H45/'1. Väestöennuste'!J45*1000</f>
        <v>387.94404749924524</v>
      </c>
      <c r="AB45" s="41">
        <f>I45/'1. Väestöennuste'!K45*1000</f>
        <v>388.26619351570417</v>
      </c>
      <c r="AC45" s="41">
        <f>J45/'1. Väestöennuste'!L45*1000</f>
        <v>372.72220625962029</v>
      </c>
      <c r="AD45" s="41">
        <f>K45/'1. Väestöennuste'!M45*1000</f>
        <v>399.82974289861085</v>
      </c>
      <c r="AE45" s="41">
        <f>L45/'1. Väestöennuste'!N45*1000</f>
        <v>477.22018252386448</v>
      </c>
      <c r="AF45" s="41">
        <f>M45/'1. Väestöennuste'!O45*1000</f>
        <v>489.97882029016199</v>
      </c>
      <c r="AG45" s="41">
        <f>N45/'1. Väestöennuste'!P45*1000</f>
        <v>517.53500801710322</v>
      </c>
      <c r="AH45" s="41">
        <f>O45/'1. Väestöennuste'!Q45*1000</f>
        <v>538.95813422059052</v>
      </c>
      <c r="AI45" s="41">
        <f>P45/'1. Väestöennuste'!R45*1000</f>
        <v>560.64152695040491</v>
      </c>
    </row>
    <row r="46" spans="1:35" x14ac:dyDescent="0.25">
      <c r="A46" s="30">
        <v>103</v>
      </c>
      <c r="B46" s="31" t="s">
        <v>360</v>
      </c>
      <c r="C46" s="41">
        <v>427</v>
      </c>
      <c r="D46" s="41">
        <v>420</v>
      </c>
      <c r="E46" s="41">
        <v>380</v>
      </c>
      <c r="F46" s="41">
        <v>324</v>
      </c>
      <c r="G46" s="41">
        <v>378</v>
      </c>
      <c r="H46" s="41">
        <v>355</v>
      </c>
      <c r="I46" s="165">
        <v>337.41334000000001</v>
      </c>
      <c r="J46" s="41">
        <v>340.42323999999996</v>
      </c>
      <c r="K46" s="41">
        <v>356.92570000000001</v>
      </c>
      <c r="L46" s="41">
        <v>310.14</v>
      </c>
      <c r="M46" s="41">
        <v>310</v>
      </c>
      <c r="N46" s="41">
        <v>310</v>
      </c>
      <c r="O46" s="41">
        <f t="shared" si="5"/>
        <v>320.0025655833756</v>
      </c>
      <c r="P46" s="41">
        <f t="shared" si="5"/>
        <v>330.0051311667512</v>
      </c>
      <c r="Q46" s="165"/>
      <c r="T46" s="34">
        <v>103</v>
      </c>
      <c r="U46" s="88" t="s">
        <v>360</v>
      </c>
      <c r="V46" s="41">
        <f>C46/'1. Väestöennuste'!E46*1000</f>
        <v>178.81072026800672</v>
      </c>
      <c r="W46" s="41">
        <f>D46/'1. Väestöennuste'!F46*1000</f>
        <v>179.1044776119403</v>
      </c>
      <c r="X46" s="41">
        <f>E46/'1. Väestöennuste'!G46*1000</f>
        <v>165.93886462882097</v>
      </c>
      <c r="Y46" s="41">
        <f>F46/'1. Väestöennuste'!H46*1000</f>
        <v>144.96644295302013</v>
      </c>
      <c r="Z46" s="41">
        <f>G46/'1. Väestöennuste'!I46*1000</f>
        <v>173.07692307692307</v>
      </c>
      <c r="AA46" s="41">
        <f>H46/'1. Väestöennuste'!J46*1000</f>
        <v>163.29346826126957</v>
      </c>
      <c r="AB46" s="41">
        <f>I46/'1. Väestöennuste'!K46*1000</f>
        <v>155.77716528162512</v>
      </c>
      <c r="AC46" s="41">
        <f>J46/'1. Väestöennuste'!L46*1000</f>
        <v>157.53042110134197</v>
      </c>
      <c r="AD46" s="41">
        <f>K46/'1. Väestöennuste'!M46*1000</f>
        <v>167.96503529411765</v>
      </c>
      <c r="AE46" s="41">
        <f>L46/'1. Väestöennuste'!N46*1000</f>
        <v>148.81957773512474</v>
      </c>
      <c r="AF46" s="41">
        <f>M46/'1. Väestöennuste'!O46*1000</f>
        <v>150.19379844961239</v>
      </c>
      <c r="AG46" s="41">
        <f>N46/'1. Väestöennuste'!P46*1000</f>
        <v>151.81194906953965</v>
      </c>
      <c r="AH46" s="41">
        <f>O46/'1. Väestöennuste'!Q46*1000</f>
        <v>158.33872616693498</v>
      </c>
      <c r="AI46" s="41">
        <f>P46/'1. Väestöennuste'!R46*1000</f>
        <v>164.7554324347235</v>
      </c>
    </row>
    <row r="47" spans="1:35" x14ac:dyDescent="0.25">
      <c r="A47" s="30">
        <v>105</v>
      </c>
      <c r="B47" s="31" t="s">
        <v>361</v>
      </c>
      <c r="C47" s="41">
        <v>535</v>
      </c>
      <c r="D47" s="41">
        <v>482</v>
      </c>
      <c r="E47" s="41">
        <v>474</v>
      </c>
      <c r="F47" s="41">
        <v>486</v>
      </c>
      <c r="G47" s="41">
        <v>488</v>
      </c>
      <c r="H47" s="41">
        <v>477</v>
      </c>
      <c r="I47" s="165">
        <v>482.73621999999995</v>
      </c>
      <c r="J47" s="41">
        <v>516.93809999999996</v>
      </c>
      <c r="K47" s="41">
        <v>575.39443000000006</v>
      </c>
      <c r="L47" s="41">
        <v>516.827</v>
      </c>
      <c r="M47" s="41">
        <v>513.30100000000004</v>
      </c>
      <c r="N47" s="41">
        <v>501.61500000000001</v>
      </c>
      <c r="O47" s="41">
        <f t="shared" si="5"/>
        <v>517.8002804358224</v>
      </c>
      <c r="P47" s="41">
        <f t="shared" si="5"/>
        <v>533.98556087164479</v>
      </c>
      <c r="Q47" s="165"/>
      <c r="T47" s="34">
        <v>105</v>
      </c>
      <c r="U47" s="88" t="s">
        <v>361</v>
      </c>
      <c r="V47" s="41">
        <f>C47/'1. Väestöennuste'!E47*1000</f>
        <v>220.89182493806771</v>
      </c>
      <c r="W47" s="41">
        <f>D47/'1. Väestöennuste'!F47*1000</f>
        <v>200.33250207813799</v>
      </c>
      <c r="X47" s="41">
        <f>E47/'1. Väestöennuste'!G47*1000</f>
        <v>203.78331900257953</v>
      </c>
      <c r="Y47" s="41">
        <f>F47/'1. Väestöennuste'!H47*1000</f>
        <v>212.5054656755575</v>
      </c>
      <c r="Z47" s="41">
        <f>G47/'1. Väestöennuste'!I47*1000</f>
        <v>214.88331131660064</v>
      </c>
      <c r="AA47" s="41">
        <f>H47/'1. Väestöennuste'!J47*1000</f>
        <v>216.91678035470667</v>
      </c>
      <c r="AB47" s="41">
        <f>I47/'1. Väestöennuste'!K47*1000</f>
        <v>225.68313230481533</v>
      </c>
      <c r="AC47" s="41">
        <f>J47/'1. Väestöennuste'!L47*1000</f>
        <v>246.86633237822346</v>
      </c>
      <c r="AD47" s="41">
        <f>K47/'1. Väestöennuste'!M47*1000</f>
        <v>278.9115026660204</v>
      </c>
      <c r="AE47" s="41">
        <f>L47/'1. Väestöennuste'!N47*1000</f>
        <v>253.09843290891283</v>
      </c>
      <c r="AF47" s="41">
        <f>M47/'1. Väestöennuste'!O47*1000</f>
        <v>255.50074664011944</v>
      </c>
      <c r="AG47" s="41">
        <f>N47/'1. Väestöennuste'!P47*1000</f>
        <v>253.85374493927125</v>
      </c>
      <c r="AH47" s="41">
        <f>O47/'1. Väestöennuste'!Q47*1000</f>
        <v>266.22122387445887</v>
      </c>
      <c r="AI47" s="41">
        <f>P47/'1. Väestöennuste'!R47*1000</f>
        <v>278.69810066369769</v>
      </c>
    </row>
    <row r="48" spans="1:35" x14ac:dyDescent="0.25">
      <c r="A48" s="30">
        <v>106</v>
      </c>
      <c r="B48" s="31" t="s">
        <v>362</v>
      </c>
      <c r="C48" s="41">
        <v>19906</v>
      </c>
      <c r="D48" s="41">
        <v>20178</v>
      </c>
      <c r="E48" s="41">
        <v>19221</v>
      </c>
      <c r="F48" s="41">
        <v>19199</v>
      </c>
      <c r="G48" s="41">
        <v>19285</v>
      </c>
      <c r="H48" s="41">
        <v>19210</v>
      </c>
      <c r="I48" s="165">
        <v>21933.300079999997</v>
      </c>
      <c r="J48" s="41">
        <v>20767.439589999998</v>
      </c>
      <c r="K48" s="41">
        <v>20315.58858</v>
      </c>
      <c r="L48" s="41">
        <v>21900</v>
      </c>
      <c r="M48" s="41">
        <v>23550</v>
      </c>
      <c r="N48" s="41">
        <v>24100</v>
      </c>
      <c r="O48" s="41">
        <f t="shared" si="5"/>
        <v>24877.618808255975</v>
      </c>
      <c r="P48" s="41">
        <f t="shared" si="5"/>
        <v>25655.237616511949</v>
      </c>
      <c r="Q48" s="165"/>
      <c r="T48" s="34">
        <v>106</v>
      </c>
      <c r="U48" s="88" t="s">
        <v>362</v>
      </c>
      <c r="V48" s="41">
        <f>C48/'1. Väestöennuste'!E48*1000</f>
        <v>428.42692034522094</v>
      </c>
      <c r="W48" s="41">
        <f>D48/'1. Väestöennuste'!F48*1000</f>
        <v>433.04146278650529</v>
      </c>
      <c r="X48" s="41">
        <f>E48/'1. Väestöennuste'!G48*1000</f>
        <v>411.24114764971438</v>
      </c>
      <c r="Y48" s="41">
        <f>F48/'1. Väestöennuste'!H48*1000</f>
        <v>412.84620677791156</v>
      </c>
      <c r="Z48" s="41">
        <f>G48/'1. Väestöennuste'!I48*1000</f>
        <v>414.99892403701313</v>
      </c>
      <c r="AA48" s="41">
        <f>H48/'1. Väestöennuste'!J48*1000</f>
        <v>412.44417725867402</v>
      </c>
      <c r="AB48" s="41">
        <f>I48/'1. Väestöennuste'!K48*1000</f>
        <v>467.86049658703064</v>
      </c>
      <c r="AC48" s="41">
        <f>J48/'1. Väestöennuste'!L48*1000</f>
        <v>443.77715644165221</v>
      </c>
      <c r="AD48" s="41">
        <f>K48/'1. Väestöennuste'!M48*1000</f>
        <v>433.15896420118969</v>
      </c>
      <c r="AE48" s="41">
        <f>L48/'1. Väestöennuste'!N48*1000</f>
        <v>466.95095948827293</v>
      </c>
      <c r="AF48" s="41">
        <f>M48/'1. Väestöennuste'!O48*1000</f>
        <v>501.24513121767444</v>
      </c>
      <c r="AG48" s="41">
        <f>N48/'1. Väestöennuste'!P48*1000</f>
        <v>512.02515509475654</v>
      </c>
      <c r="AH48" s="41">
        <f>O48/'1. Väestöennuste'!Q48*1000</f>
        <v>527.6159319686958</v>
      </c>
      <c r="AI48" s="41">
        <f>P48/'1. Väestöennuste'!R48*1000</f>
        <v>543.12891897095324</v>
      </c>
    </row>
    <row r="49" spans="1:35" x14ac:dyDescent="0.25">
      <c r="A49" s="30">
        <v>108</v>
      </c>
      <c r="B49" s="31" t="s">
        <v>363</v>
      </c>
      <c r="C49" s="41">
        <v>3000</v>
      </c>
      <c r="D49" s="41">
        <v>6022</v>
      </c>
      <c r="E49" s="41">
        <v>5113</v>
      </c>
      <c r="F49" s="41">
        <v>5352</v>
      </c>
      <c r="G49" s="41">
        <v>5687</v>
      </c>
      <c r="H49" s="41">
        <v>5319</v>
      </c>
      <c r="I49" s="165">
        <v>5290.2018899999994</v>
      </c>
      <c r="J49" s="41">
        <v>5120.7707799999998</v>
      </c>
      <c r="K49" s="41">
        <v>5047.4285499999996</v>
      </c>
      <c r="L49" s="41">
        <v>5100</v>
      </c>
      <c r="M49" s="41">
        <v>5100</v>
      </c>
      <c r="N49" s="41">
        <v>5100</v>
      </c>
      <c r="O49" s="41">
        <f t="shared" si="5"/>
        <v>5264.5583370168242</v>
      </c>
      <c r="P49" s="41">
        <f t="shared" si="5"/>
        <v>5429.1166740336485</v>
      </c>
      <c r="Q49" s="165"/>
      <c r="T49" s="34">
        <v>108</v>
      </c>
      <c r="U49" s="88" t="s">
        <v>363</v>
      </c>
      <c r="V49" s="41">
        <f>C49/'1. Väestöennuste'!E49*1000</f>
        <v>281.24121121214961</v>
      </c>
      <c r="W49" s="41">
        <f>D49/'1. Väestöennuste'!F49*1000</f>
        <v>563.80488718284801</v>
      </c>
      <c r="X49" s="41">
        <f>E49/'1. Väestöennuste'!G49*1000</f>
        <v>482.40400037739414</v>
      </c>
      <c r="Y49" s="41">
        <f>F49/'1. Väestöennuste'!H49*1000</f>
        <v>509.22930542340629</v>
      </c>
      <c r="Z49" s="41">
        <f>G49/'1. Väestöennuste'!I49*1000</f>
        <v>546.61668589004228</v>
      </c>
      <c r="AA49" s="41">
        <f>H49/'1. Väestöennuste'!J49*1000</f>
        <v>514.21113689095137</v>
      </c>
      <c r="AB49" s="41">
        <f>I49/'1. Väestöennuste'!K49*1000</f>
        <v>511.77342459127397</v>
      </c>
      <c r="AC49" s="41">
        <f>J49/'1. Väestöennuste'!L49*1000</f>
        <v>499.24644437944818</v>
      </c>
      <c r="AD49" s="41">
        <f>K49/'1. Väestöennuste'!M49*1000</f>
        <v>489.13931097974603</v>
      </c>
      <c r="AE49" s="41">
        <f>L49/'1. Väestöennuste'!N49*1000</f>
        <v>507.21034311287917</v>
      </c>
      <c r="AF49" s="41">
        <f>M49/'1. Väestöennuste'!O49*1000</f>
        <v>510.25512756378191</v>
      </c>
      <c r="AG49" s="41">
        <f>N49/'1. Väestöennuste'!P49*1000</f>
        <v>512.97525648762826</v>
      </c>
      <c r="AH49" s="41">
        <f>O49/'1. Väestöennuste'!Q49*1000</f>
        <v>532.09605185130624</v>
      </c>
      <c r="AI49" s="41">
        <f>P49/'1. Väestöennuste'!R49*1000</f>
        <v>551.34728079959871</v>
      </c>
    </row>
    <row r="50" spans="1:35" x14ac:dyDescent="0.25">
      <c r="A50" s="30">
        <v>109</v>
      </c>
      <c r="B50" s="31" t="s">
        <v>364</v>
      </c>
      <c r="C50" s="41">
        <v>17130</v>
      </c>
      <c r="D50" s="41">
        <v>17472</v>
      </c>
      <c r="E50" s="41">
        <v>18108</v>
      </c>
      <c r="F50" s="41">
        <v>25569</v>
      </c>
      <c r="G50" s="41">
        <v>18370</v>
      </c>
      <c r="H50" s="41">
        <v>19834</v>
      </c>
      <c r="I50" s="165">
        <v>22022.97208</v>
      </c>
      <c r="J50" s="41">
        <v>19985.123920000002</v>
      </c>
      <c r="K50" s="41">
        <v>23681.016589999999</v>
      </c>
      <c r="L50" s="41">
        <v>21251</v>
      </c>
      <c r="M50" s="41">
        <v>21047</v>
      </c>
      <c r="N50" s="41">
        <v>21619</v>
      </c>
      <c r="O50" s="41">
        <f t="shared" si="5"/>
        <v>22316.566017248377</v>
      </c>
      <c r="P50" s="41">
        <f t="shared" si="5"/>
        <v>23014.132034496753</v>
      </c>
      <c r="Q50" s="165"/>
      <c r="T50" s="34">
        <v>109</v>
      </c>
      <c r="U50" s="88" t="s">
        <v>364</v>
      </c>
      <c r="V50" s="41">
        <f>C50/'1. Väestöennuste'!E50*1000</f>
        <v>251.87102086427194</v>
      </c>
      <c r="W50" s="41">
        <f>D50/'1. Väestöennuste'!F50*1000</f>
        <v>257.50921149594694</v>
      </c>
      <c r="X50" s="41">
        <f>E50/'1. Väestöennuste'!G50*1000</f>
        <v>267.6243681830274</v>
      </c>
      <c r="Y50" s="41">
        <f>F50/'1. Väestöennuste'!H50*1000</f>
        <v>378.62050583427117</v>
      </c>
      <c r="Z50" s="41">
        <f>G50/'1. Väestöennuste'!I50*1000</f>
        <v>271.61296999985211</v>
      </c>
      <c r="AA50" s="41">
        <f>H50/'1. Väestöennuste'!J50*1000</f>
        <v>292.32991392524468</v>
      </c>
      <c r="AB50" s="41">
        <f>I50/'1. Väestöennuste'!K50*1000</f>
        <v>324.00541525062158</v>
      </c>
      <c r="AC50" s="41">
        <f>J50/'1. Väestöennuste'!L50*1000</f>
        <v>293.71315080169899</v>
      </c>
      <c r="AD50" s="41">
        <f>K50/'1. Väestöennuste'!M50*1000</f>
        <v>346.62416882565611</v>
      </c>
      <c r="AE50" s="41">
        <f>L50/'1. Väestöennuste'!N50*1000</f>
        <v>312.21626386542277</v>
      </c>
      <c r="AF50" s="41">
        <f>M50/'1. Väestöennuste'!O50*1000</f>
        <v>309.1055955353209</v>
      </c>
      <c r="AG50" s="41">
        <f>N50/'1. Väestöennuste'!P50*1000</f>
        <v>317.41766873687766</v>
      </c>
      <c r="AH50" s="41">
        <f>O50/'1. Väestöennuste'!Q50*1000</f>
        <v>327.6066649625422</v>
      </c>
      <c r="AI50" s="41">
        <f>P50/'1. Väestöennuste'!R50*1000</f>
        <v>337.8518773689683</v>
      </c>
    </row>
    <row r="51" spans="1:35" x14ac:dyDescent="0.25">
      <c r="A51" s="30">
        <v>111</v>
      </c>
      <c r="B51" s="31" t="s">
        <v>365</v>
      </c>
      <c r="C51" s="41">
        <v>5600</v>
      </c>
      <c r="D51" s="41">
        <v>7175</v>
      </c>
      <c r="E51" s="41">
        <v>6771</v>
      </c>
      <c r="F51" s="41">
        <v>5777</v>
      </c>
      <c r="G51" s="41">
        <v>6367</v>
      </c>
      <c r="H51" s="41">
        <v>7501</v>
      </c>
      <c r="I51" s="165">
        <v>10559.813259999999</v>
      </c>
      <c r="J51" s="41">
        <v>8996.9221099999995</v>
      </c>
      <c r="K51" s="41">
        <v>10499.01643</v>
      </c>
      <c r="L51" s="41">
        <v>9271.6</v>
      </c>
      <c r="M51" s="41">
        <v>9248.1</v>
      </c>
      <c r="N51" s="41">
        <v>8973.2999999999993</v>
      </c>
      <c r="O51" s="41">
        <f t="shared" si="5"/>
        <v>9262.8355540300126</v>
      </c>
      <c r="P51" s="41">
        <f t="shared" si="5"/>
        <v>9552.371108060026</v>
      </c>
      <c r="Q51" s="165"/>
      <c r="T51" s="34">
        <v>111</v>
      </c>
      <c r="U51" s="88" t="s">
        <v>365</v>
      </c>
      <c r="V51" s="41">
        <f>C51/'1. Väestöennuste'!E51*1000</f>
        <v>286.07918263090676</v>
      </c>
      <c r="W51" s="41">
        <f>D51/'1. Väestöennuste'!F51*1000</f>
        <v>370.80103359173125</v>
      </c>
      <c r="X51" s="41">
        <f>E51/'1. Väestöennuste'!G51*1000</f>
        <v>353.98368883312418</v>
      </c>
      <c r="Y51" s="41">
        <f>F51/'1. Väestöennuste'!H51*1000</f>
        <v>305.83937741542701</v>
      </c>
      <c r="Z51" s="41">
        <f>G51/'1. Väestöennuste'!I51*1000</f>
        <v>341.08319494294744</v>
      </c>
      <c r="AA51" s="41">
        <f>H51/'1. Väestöennuste'!J51*1000</f>
        <v>405.52522030599556</v>
      </c>
      <c r="AB51" s="41">
        <f>I51/'1. Väestöennuste'!K51*1000</f>
        <v>575.65488770170077</v>
      </c>
      <c r="AC51" s="41">
        <f>J51/'1. Väestöennuste'!L51*1000</f>
        <v>496.21764436600296</v>
      </c>
      <c r="AD51" s="41">
        <f>K51/'1. Väestöennuste'!M51*1000</f>
        <v>584.80568317272878</v>
      </c>
      <c r="AE51" s="41">
        <f>L51/'1. Väestöennuste'!N51*1000</f>
        <v>525.4519693964296</v>
      </c>
      <c r="AF51" s="41">
        <f>M51/'1. Väestöennuste'!O51*1000</f>
        <v>529.61287366853742</v>
      </c>
      <c r="AG51" s="41">
        <f>N51/'1. Väestöennuste'!P51*1000</f>
        <v>518.9878542510121</v>
      </c>
      <c r="AH51" s="41">
        <f>O51/'1. Väestöennuste'!Q51*1000</f>
        <v>540.83234390319456</v>
      </c>
      <c r="AI51" s="41">
        <f>P51/'1. Väestöennuste'!R51*1000</f>
        <v>562.96387954149145</v>
      </c>
    </row>
    <row r="52" spans="1:35" x14ac:dyDescent="0.25">
      <c r="A52" s="30">
        <v>139</v>
      </c>
      <c r="B52" s="31" t="s">
        <v>366</v>
      </c>
      <c r="C52" s="41">
        <v>2489</v>
      </c>
      <c r="D52" s="41">
        <v>2971</v>
      </c>
      <c r="E52" s="41">
        <v>3075</v>
      </c>
      <c r="F52" s="41">
        <v>3148</v>
      </c>
      <c r="G52" s="41">
        <v>3362</v>
      </c>
      <c r="H52" s="41">
        <v>3712</v>
      </c>
      <c r="I52" s="165">
        <v>3892.6264700000002</v>
      </c>
      <c r="J52" s="41">
        <v>4121.6699399999998</v>
      </c>
      <c r="K52" s="41">
        <v>5012.3406199999999</v>
      </c>
      <c r="L52" s="41">
        <v>4010.4009999999998</v>
      </c>
      <c r="M52" s="41">
        <v>508</v>
      </c>
      <c r="N52" s="41">
        <v>560</v>
      </c>
      <c r="O52" s="41">
        <f t="shared" si="5"/>
        <v>578.06915073125913</v>
      </c>
      <c r="P52" s="41">
        <f t="shared" si="5"/>
        <v>596.13830146251826</v>
      </c>
      <c r="Q52" s="165"/>
      <c r="T52" s="34">
        <v>139</v>
      </c>
      <c r="U52" s="88" t="s">
        <v>366</v>
      </c>
      <c r="V52" s="41">
        <f>C52/'1. Väestöennuste'!E52*1000</f>
        <v>257.58046155438268</v>
      </c>
      <c r="W52" s="41">
        <f>D52/'1. Väestöennuste'!F52*1000</f>
        <v>308.57914416285831</v>
      </c>
      <c r="X52" s="41">
        <f>E52/'1. Väestöennuste'!G52*1000</f>
        <v>308.54906682721253</v>
      </c>
      <c r="Y52" s="41">
        <f>F52/'1. Väestöennuste'!H52*1000</f>
        <v>319.20502940580002</v>
      </c>
      <c r="Z52" s="41">
        <f>G52/'1. Väestöennuste'!I52*1000</f>
        <v>341.52783421373425</v>
      </c>
      <c r="AA52" s="41">
        <f>H52/'1. Väestöennuste'!J52*1000</f>
        <v>376.92932575142163</v>
      </c>
      <c r="AB52" s="41">
        <f>I52/'1. Väestöennuste'!K52*1000</f>
        <v>392.71857041969332</v>
      </c>
      <c r="AC52" s="41">
        <f>J52/'1. Väestöennuste'!L52*1000</f>
        <v>418.31624276869991</v>
      </c>
      <c r="AD52" s="41">
        <f>K52/'1. Väestöennuste'!M52*1000</f>
        <v>513.24397091951664</v>
      </c>
      <c r="AE52" s="41">
        <f>L52/'1. Väestöennuste'!N52*1000</f>
        <v>414.12649731515899</v>
      </c>
      <c r="AF52" s="41">
        <f>M52/'1. Väestöennuste'!O52*1000</f>
        <v>52.691629499014624</v>
      </c>
      <c r="AG52" s="41">
        <f>N52/'1. Väestöennuste'!P52*1000</f>
        <v>58.351568198395334</v>
      </c>
      <c r="AH52" s="41">
        <f>O52/'1. Väestöennuste'!Q52*1000</f>
        <v>60.524463483536714</v>
      </c>
      <c r="AI52" s="41">
        <f>P52/'1. Väestöennuste'!R52*1000</f>
        <v>62.705196325078177</v>
      </c>
    </row>
    <row r="53" spans="1:35" x14ac:dyDescent="0.25">
      <c r="A53" s="30">
        <v>140</v>
      </c>
      <c r="B53" s="31" t="s">
        <v>367</v>
      </c>
      <c r="C53" s="41">
        <v>7179</v>
      </c>
      <c r="D53" s="41">
        <v>6884</v>
      </c>
      <c r="E53" s="41">
        <v>8526</v>
      </c>
      <c r="F53" s="41">
        <v>9398</v>
      </c>
      <c r="G53" s="41">
        <v>7372</v>
      </c>
      <c r="H53" s="41">
        <v>8722</v>
      </c>
      <c r="I53" s="165">
        <v>8639.0589499999987</v>
      </c>
      <c r="J53" s="41">
        <v>8535.9893699999993</v>
      </c>
      <c r="K53" s="41">
        <v>9919.9265099999993</v>
      </c>
      <c r="L53" s="41">
        <v>10623.8</v>
      </c>
      <c r="M53" s="41">
        <v>11145.5</v>
      </c>
      <c r="N53" s="41">
        <v>11437.8</v>
      </c>
      <c r="O53" s="41">
        <f t="shared" si="5"/>
        <v>11806.85595041785</v>
      </c>
      <c r="P53" s="41">
        <f t="shared" si="5"/>
        <v>12175.911900835699</v>
      </c>
      <c r="Q53" s="165"/>
      <c r="T53" s="34">
        <v>140</v>
      </c>
      <c r="U53" s="88" t="s">
        <v>367</v>
      </c>
      <c r="V53" s="41">
        <f>C53/'1. Väestöennuste'!E53*1000</f>
        <v>327.13602187286398</v>
      </c>
      <c r="W53" s="41">
        <f>D53/'1. Väestöennuste'!F53*1000</f>
        <v>316.25855653052787</v>
      </c>
      <c r="X53" s="41">
        <f>E53/'1. Väestöennuste'!G53*1000</f>
        <v>394.01081380840145</v>
      </c>
      <c r="Y53" s="41">
        <f>F53/'1. Väestöennuste'!H53*1000</f>
        <v>437.68628912071534</v>
      </c>
      <c r="Z53" s="41">
        <f>G53/'1. Väestöennuste'!I53*1000</f>
        <v>345.00187195806814</v>
      </c>
      <c r="AA53" s="41">
        <f>H53/'1. Väestöennuste'!J53*1000</f>
        <v>412.89528498390456</v>
      </c>
      <c r="AB53" s="41">
        <f>I53/'1. Väestöennuste'!K53*1000</f>
        <v>412.20817587556058</v>
      </c>
      <c r="AC53" s="41">
        <f>J53/'1. Väestöennuste'!L53*1000</f>
        <v>410.36437527041966</v>
      </c>
      <c r="AD53" s="41">
        <f>K53/'1. Väestöennuste'!M53*1000</f>
        <v>481.12942622950817</v>
      </c>
      <c r="AE53" s="41">
        <f>L53/'1. Väestöennuste'!N53*1000</f>
        <v>519.29807410304034</v>
      </c>
      <c r="AF53" s="41">
        <f>M53/'1. Väestöennuste'!O53*1000</f>
        <v>549.14761529365398</v>
      </c>
      <c r="AG53" s="41">
        <f>N53/'1. Väestöennuste'!P53*1000</f>
        <v>568.0274135876042</v>
      </c>
      <c r="AH53" s="41">
        <f>O53/'1. Väestöennuste'!Q53*1000</f>
        <v>591.02247336526261</v>
      </c>
      <c r="AI53" s="41">
        <f>P53/'1. Väestöennuste'!R53*1000</f>
        <v>614.29352206426017</v>
      </c>
    </row>
    <row r="54" spans="1:35" x14ac:dyDescent="0.25">
      <c r="A54" s="30">
        <v>142</v>
      </c>
      <c r="B54" s="31" t="s">
        <v>368</v>
      </c>
      <c r="C54" s="41">
        <v>1810</v>
      </c>
      <c r="D54" s="41">
        <v>1691</v>
      </c>
      <c r="E54" s="41">
        <v>1633</v>
      </c>
      <c r="F54" s="41">
        <v>1625</v>
      </c>
      <c r="G54" s="41">
        <v>1689</v>
      </c>
      <c r="H54" s="41">
        <v>1616</v>
      </c>
      <c r="I54" s="165">
        <v>1662.3283700000002</v>
      </c>
      <c r="J54" s="41">
        <v>1608.6042199999999</v>
      </c>
      <c r="K54" s="41">
        <v>2456.37131</v>
      </c>
      <c r="L54" s="41">
        <v>1550</v>
      </c>
      <c r="M54" s="41">
        <v>1600</v>
      </c>
      <c r="N54" s="41">
        <v>1600</v>
      </c>
      <c r="O54" s="41">
        <f t="shared" si="5"/>
        <v>1651.6261449464548</v>
      </c>
      <c r="P54" s="41">
        <f t="shared" si="5"/>
        <v>1703.2522898929094</v>
      </c>
      <c r="Q54" s="165"/>
      <c r="T54" s="34">
        <v>142</v>
      </c>
      <c r="U54" s="88" t="s">
        <v>368</v>
      </c>
      <c r="V54" s="41">
        <f>C54/'1. Väestöennuste'!E54*1000</f>
        <v>261.93921852387842</v>
      </c>
      <c r="W54" s="41">
        <f>D54/'1. Väestöennuste'!F54*1000</f>
        <v>245.46378284221223</v>
      </c>
      <c r="X54" s="41">
        <f>E54/'1. Väestöennuste'!G54*1000</f>
        <v>239.44281524926686</v>
      </c>
      <c r="Y54" s="41">
        <f>F54/'1. Väestöennuste'!H54*1000</f>
        <v>240.20694752402071</v>
      </c>
      <c r="Z54" s="41">
        <f>G54/'1. Väestöennuste'!I54*1000</f>
        <v>251.67635225748768</v>
      </c>
      <c r="AA54" s="41">
        <f>H54/'1. Väestöennuste'!J54*1000</f>
        <v>243.9245283018868</v>
      </c>
      <c r="AB54" s="41">
        <f>I54/'1. Väestöennuste'!K54*1000</f>
        <v>253.44234944351274</v>
      </c>
      <c r="AC54" s="41">
        <f>J54/'1. Väestöennuste'!L54*1000</f>
        <v>247.32537207872076</v>
      </c>
      <c r="AD54" s="41">
        <f>K54/'1. Väestöennuste'!M54*1000</f>
        <v>381.18735412787089</v>
      </c>
      <c r="AE54" s="41">
        <f>L54/'1. Väestöennuste'!N54*1000</f>
        <v>241.84740209080979</v>
      </c>
      <c r="AF54" s="41">
        <f>M54/'1. Väestöennuste'!O54*1000</f>
        <v>251.77025963808026</v>
      </c>
      <c r="AG54" s="41">
        <f>N54/'1. Väestöennuste'!P54*1000</f>
        <v>253.76685170499601</v>
      </c>
      <c r="AH54" s="41">
        <f>O54/'1. Väestöennuste'!Q54*1000</f>
        <v>264.00673672417759</v>
      </c>
      <c r="AI54" s="41">
        <f>P54/'1. Väestöennuste'!R54*1000</f>
        <v>274.36409308841968</v>
      </c>
    </row>
    <row r="55" spans="1:35" x14ac:dyDescent="0.25">
      <c r="A55" s="30">
        <v>143</v>
      </c>
      <c r="B55" s="31" t="s">
        <v>369</v>
      </c>
      <c r="C55" s="41">
        <v>2100</v>
      </c>
      <c r="D55" s="41">
        <v>1799</v>
      </c>
      <c r="E55" s="41">
        <v>1799</v>
      </c>
      <c r="F55" s="41">
        <v>2326</v>
      </c>
      <c r="G55" s="41">
        <v>2185</v>
      </c>
      <c r="H55" s="41">
        <v>2186</v>
      </c>
      <c r="I55" s="165">
        <v>2058.9361599999997</v>
      </c>
      <c r="J55" s="41">
        <v>2042.0205800000001</v>
      </c>
      <c r="K55" s="41">
        <v>3600.7882599999998</v>
      </c>
      <c r="L55" s="41">
        <v>1976.0630000000001</v>
      </c>
      <c r="M55" s="41">
        <v>1976.0630000000001</v>
      </c>
      <c r="N55" s="41">
        <v>1976.0630000000001</v>
      </c>
      <c r="O55" s="41">
        <f t="shared" si="5"/>
        <v>2039.8233217883289</v>
      </c>
      <c r="P55" s="41">
        <f t="shared" si="5"/>
        <v>2103.5836435766578</v>
      </c>
      <c r="Q55" s="165"/>
      <c r="T55" s="34">
        <v>143</v>
      </c>
      <c r="U55" s="88" t="s">
        <v>369</v>
      </c>
      <c r="V55" s="41">
        <f>C55/'1. Väestöennuste'!E55*1000</f>
        <v>291.38337727209654</v>
      </c>
      <c r="W55" s="41">
        <f>D55/'1. Väestöennuste'!F55*1000</f>
        <v>252.38496071829402</v>
      </c>
      <c r="X55" s="41">
        <f>E55/'1. Väestöennuste'!G55*1000</f>
        <v>252.70403146509341</v>
      </c>
      <c r="Y55" s="41">
        <f>F55/'1. Väestöennuste'!H55*1000</f>
        <v>332.14336712837354</v>
      </c>
      <c r="Z55" s="41">
        <f>G55/'1. Väestöennuste'!I55*1000</f>
        <v>314.75079227888216</v>
      </c>
      <c r="AA55" s="41">
        <f>H55/'1. Väestöennuste'!J55*1000</f>
        <v>318.3804252840082</v>
      </c>
      <c r="AB55" s="41">
        <f>I55/'1. Väestöennuste'!K55*1000</f>
        <v>299.39452668314669</v>
      </c>
      <c r="AC55" s="41">
        <f>J55/'1. Väestöennuste'!L55*1000</f>
        <v>300.12060258671369</v>
      </c>
      <c r="AD55" s="41">
        <f>K55/'1. Väestöennuste'!M55*1000</f>
        <v>525.66251970802909</v>
      </c>
      <c r="AE55" s="41">
        <f>L55/'1. Väestöennuste'!N55*1000</f>
        <v>297.59984939759039</v>
      </c>
      <c r="AF55" s="41">
        <f>M55/'1. Väestöennuste'!O55*1000</f>
        <v>299.85781487101673</v>
      </c>
      <c r="AG55" s="41">
        <f>N55/'1. Väestöennuste'!P55*1000</f>
        <v>302.01176830200217</v>
      </c>
      <c r="AH55" s="41">
        <f>O55/'1. Väestöennuste'!Q55*1000</f>
        <v>313.96387898850685</v>
      </c>
      <c r="AI55" s="41">
        <f>P55/'1. Väestöennuste'!R55*1000</f>
        <v>325.98537789813389</v>
      </c>
    </row>
    <row r="56" spans="1:35" x14ac:dyDescent="0.25">
      <c r="A56" s="30">
        <v>145</v>
      </c>
      <c r="B56" s="31" t="s">
        <v>370</v>
      </c>
      <c r="C56" s="41">
        <v>3080</v>
      </c>
      <c r="D56" s="41">
        <v>3010</v>
      </c>
      <c r="E56" s="41">
        <v>3072</v>
      </c>
      <c r="F56" s="41">
        <v>3023</v>
      </c>
      <c r="G56" s="41">
        <v>3135</v>
      </c>
      <c r="H56" s="41">
        <v>3209</v>
      </c>
      <c r="I56" s="165">
        <v>3264.27511</v>
      </c>
      <c r="J56" s="41">
        <v>3969.7718799999998</v>
      </c>
      <c r="K56" s="41">
        <v>5373.7398300000004</v>
      </c>
      <c r="L56" s="41">
        <v>4068.0079999999998</v>
      </c>
      <c r="M56" s="41">
        <v>4100</v>
      </c>
      <c r="N56" s="41">
        <v>4150</v>
      </c>
      <c r="O56" s="41">
        <f t="shared" si="5"/>
        <v>4283.9053134548667</v>
      </c>
      <c r="P56" s="41">
        <f t="shared" si="5"/>
        <v>4417.8106269097334</v>
      </c>
      <c r="Q56" s="165"/>
      <c r="T56" s="34">
        <v>145</v>
      </c>
      <c r="U56" s="88" t="s">
        <v>370</v>
      </c>
      <c r="V56" s="41">
        <f>C56/'1. Väestöennuste'!E56*1000</f>
        <v>253.3103051237766</v>
      </c>
      <c r="W56" s="41">
        <f>D56/'1. Väestöennuste'!F56*1000</f>
        <v>247.39048245253557</v>
      </c>
      <c r="X56" s="41">
        <f>E56/'1. Väestöennuste'!G56*1000</f>
        <v>251.70012290045062</v>
      </c>
      <c r="Y56" s="41">
        <f>F56/'1. Väestöennuste'!H56*1000</f>
        <v>248.051202100599</v>
      </c>
      <c r="Z56" s="41">
        <f>G56/'1. Väestöennuste'!I56*1000</f>
        <v>255.52204743662892</v>
      </c>
      <c r="AA56" s="41">
        <f>H56/'1. Väestöennuste'!J56*1000</f>
        <v>261.0216365706849</v>
      </c>
      <c r="AB56" s="41">
        <f>I56/'1. Väestöennuste'!K56*1000</f>
        <v>263.97178634966843</v>
      </c>
      <c r="AC56" s="41">
        <f>J56/'1. Väestöennuste'!L56*1000</f>
        <v>320.94525669011239</v>
      </c>
      <c r="AD56" s="41">
        <f>K56/'1. Väestöennuste'!M56*1000</f>
        <v>435.36740095600749</v>
      </c>
      <c r="AE56" s="41">
        <f>L56/'1. Väestöennuste'!N56*1000</f>
        <v>327.08916941384575</v>
      </c>
      <c r="AF56" s="41">
        <f>M56/'1. Väestöennuste'!O56*1000</f>
        <v>329.15863840719334</v>
      </c>
      <c r="AG56" s="41">
        <f>N56/'1. Väestöennuste'!P56*1000</f>
        <v>332.8254070093833</v>
      </c>
      <c r="AH56" s="41">
        <f>O56/'1. Väestöennuste'!Q56*1000</f>
        <v>343.34417836458016</v>
      </c>
      <c r="AI56" s="41">
        <f>P56/'1. Väestöennuste'!R56*1000</f>
        <v>354.07635063795249</v>
      </c>
    </row>
    <row r="57" spans="1:35" x14ac:dyDescent="0.25">
      <c r="A57" s="30">
        <v>146</v>
      </c>
      <c r="B57" s="31" t="s">
        <v>371</v>
      </c>
      <c r="C57" s="41">
        <v>1750</v>
      </c>
      <c r="D57" s="41">
        <v>1890</v>
      </c>
      <c r="E57" s="41">
        <v>2653</v>
      </c>
      <c r="F57" s="41">
        <v>2083</v>
      </c>
      <c r="G57" s="41">
        <v>1903</v>
      </c>
      <c r="H57" s="41">
        <v>1689</v>
      </c>
      <c r="I57" s="165">
        <v>3703.1572900000001</v>
      </c>
      <c r="J57" s="41">
        <v>1122.50639</v>
      </c>
      <c r="K57" s="41">
        <v>1368.90463</v>
      </c>
      <c r="L57" s="41">
        <v>1034.2170000000001</v>
      </c>
      <c r="M57" s="41">
        <v>815.06200000000001</v>
      </c>
      <c r="N57" s="41">
        <v>905.06200000000001</v>
      </c>
      <c r="O57" s="41">
        <f t="shared" si="5"/>
        <v>934.26503874845514</v>
      </c>
      <c r="P57" s="41">
        <f t="shared" si="5"/>
        <v>963.46807749691027</v>
      </c>
      <c r="Q57" s="165"/>
      <c r="T57" s="34">
        <v>146</v>
      </c>
      <c r="U57" s="88" t="s">
        <v>371</v>
      </c>
      <c r="V57" s="41">
        <f>C57/'1. Väestöennuste'!E57*1000</f>
        <v>327.96101949025484</v>
      </c>
      <c r="W57" s="41">
        <f>D57/'1. Väestöennuste'!F57*1000</f>
        <v>360.89364139774682</v>
      </c>
      <c r="X57" s="41">
        <f>E57/'1. Väestöennuste'!G57*1000</f>
        <v>517.35569422776905</v>
      </c>
      <c r="Y57" s="41">
        <f>F57/'1. Väestöennuste'!H57*1000</f>
        <v>418.86185401166296</v>
      </c>
      <c r="Z57" s="41">
        <f>G57/'1. Väestöennuste'!I57*1000</f>
        <v>391.80564134239245</v>
      </c>
      <c r="AA57" s="41">
        <f>H57/'1. Väestöennuste'!J57*1000</f>
        <v>355.65382185723308</v>
      </c>
      <c r="AB57" s="41">
        <f>I57/'1. Väestöennuste'!K57*1000</f>
        <v>797.57856773637741</v>
      </c>
      <c r="AC57" s="41">
        <f>J57/'1. Väestöennuste'!L57*1000</f>
        <v>249.89011353517364</v>
      </c>
      <c r="AD57" s="41">
        <f>K57/'1. Väestöennuste'!M57*1000</f>
        <v>310.69101906491147</v>
      </c>
      <c r="AE57" s="41">
        <f>L57/'1. Väestöennuste'!N57*1000</f>
        <v>237.64177389705884</v>
      </c>
      <c r="AF57" s="41">
        <f>M57/'1. Väestöennuste'!O57*1000</f>
        <v>190.88103044496486</v>
      </c>
      <c r="AG57" s="41">
        <f>N57/'1. Väestöennuste'!P57*1000</f>
        <v>215.95371033166307</v>
      </c>
      <c r="AH57" s="41">
        <f>O57/'1. Väestöennuste'!Q57*1000</f>
        <v>227.03889155491012</v>
      </c>
      <c r="AI57" s="41">
        <f>P57/'1. Väestöennuste'!R57*1000</f>
        <v>238.36419532333258</v>
      </c>
    </row>
    <row r="58" spans="1:35" x14ac:dyDescent="0.25">
      <c r="A58" s="30">
        <v>148</v>
      </c>
      <c r="B58" s="31" t="s">
        <v>372</v>
      </c>
      <c r="C58" s="41">
        <v>1747</v>
      </c>
      <c r="D58" s="41">
        <v>1872</v>
      </c>
      <c r="E58" s="41">
        <v>2050</v>
      </c>
      <c r="F58" s="41">
        <v>1967</v>
      </c>
      <c r="G58" s="41">
        <v>2056</v>
      </c>
      <c r="H58" s="41">
        <v>2117</v>
      </c>
      <c r="I58" s="165">
        <v>3689.7747300000001</v>
      </c>
      <c r="J58" s="41">
        <v>2128.92632</v>
      </c>
      <c r="K58" s="41">
        <v>2616.2047000000002</v>
      </c>
      <c r="L58" s="41">
        <v>1792.70731</v>
      </c>
      <c r="M58" s="41">
        <v>1700</v>
      </c>
      <c r="N58" s="41">
        <v>1700</v>
      </c>
      <c r="O58" s="41">
        <f t="shared" si="5"/>
        <v>1754.8527790056082</v>
      </c>
      <c r="P58" s="41">
        <f t="shared" si="5"/>
        <v>1809.7055580112162</v>
      </c>
      <c r="Q58" s="165"/>
      <c r="T58" s="34">
        <v>148</v>
      </c>
      <c r="U58" s="88" t="s">
        <v>372</v>
      </c>
      <c r="V58" s="41">
        <f>C58/'1. Väestöennuste'!E58*1000</f>
        <v>256.76072898295121</v>
      </c>
      <c r="W58" s="41">
        <f>D58/'1. Väestöennuste'!F58*1000</f>
        <v>274.28571428571428</v>
      </c>
      <c r="X58" s="41">
        <f>E58/'1. Väestöennuste'!G58*1000</f>
        <v>298.44227689620033</v>
      </c>
      <c r="Y58" s="41">
        <f>F58/'1. Väestöennuste'!H58*1000</f>
        <v>283.83838383838383</v>
      </c>
      <c r="Z58" s="41">
        <f>G58/'1. Väestöennuste'!I58*1000</f>
        <v>297.66903141740266</v>
      </c>
      <c r="AA58" s="41">
        <f>H58/'1. Väestöennuste'!J58*1000</f>
        <v>308.51063829787233</v>
      </c>
      <c r="AB58" s="41">
        <f>I58/'1. Väestöennuste'!K58*1000</f>
        <v>526.50895119863014</v>
      </c>
      <c r="AC58" s="41">
        <f>J58/'1. Väestöennuste'!L58*1000</f>
        <v>302.10391939832556</v>
      </c>
      <c r="AD58" s="41">
        <f>K58/'1. Väestöennuste'!M58*1000</f>
        <v>367.08358355549325</v>
      </c>
      <c r="AE58" s="41">
        <f>L58/'1. Väestöennuste'!N58*1000</f>
        <v>260.11423534532793</v>
      </c>
      <c r="AF58" s="41">
        <f>M58/'1. Väestöennuste'!O58*1000</f>
        <v>246.37681159420291</v>
      </c>
      <c r="AG58" s="41">
        <f>N58/'1. Väestöennuste'!P58*1000</f>
        <v>246.16275702287865</v>
      </c>
      <c r="AH58" s="41">
        <f>O58/'1. Väestöennuste'!Q58*1000</f>
        <v>253.84822493933291</v>
      </c>
      <c r="AI58" s="41">
        <f>P58/'1. Väestöennuste'!R58*1000</f>
        <v>261.51814422127399</v>
      </c>
    </row>
    <row r="59" spans="1:35" x14ac:dyDescent="0.25">
      <c r="A59" s="30">
        <v>149</v>
      </c>
      <c r="B59" s="31" t="s">
        <v>373</v>
      </c>
      <c r="C59" s="41">
        <v>1428</v>
      </c>
      <c r="D59" s="41">
        <v>1550</v>
      </c>
      <c r="E59" s="41">
        <v>1592</v>
      </c>
      <c r="F59" s="41">
        <v>1953</v>
      </c>
      <c r="G59" s="41">
        <v>1563</v>
      </c>
      <c r="H59" s="41">
        <v>1635</v>
      </c>
      <c r="I59" s="165">
        <v>1912.03448</v>
      </c>
      <c r="J59" s="41">
        <v>2233.0036399999999</v>
      </c>
      <c r="K59" s="41">
        <v>2570.3811000000001</v>
      </c>
      <c r="L59" s="41">
        <v>3521.5309999999999</v>
      </c>
      <c r="M59" s="41">
        <v>3822.9589999999998</v>
      </c>
      <c r="N59" s="41">
        <v>3810.8009999999999</v>
      </c>
      <c r="O59" s="41">
        <f t="shared" si="5"/>
        <v>3933.7616029925589</v>
      </c>
      <c r="P59" s="41">
        <f t="shared" si="5"/>
        <v>4056.7222059851179</v>
      </c>
      <c r="Q59" s="165"/>
      <c r="T59" s="34">
        <v>149</v>
      </c>
      <c r="U59" s="88" t="s">
        <v>373</v>
      </c>
      <c r="V59" s="41">
        <f>C59/'1. Väestöennuste'!E59*1000</f>
        <v>257.71521386031407</v>
      </c>
      <c r="W59" s="41">
        <f>D59/'1. Väestöennuste'!F59*1000</f>
        <v>277.52909579230078</v>
      </c>
      <c r="X59" s="41">
        <f>E59/'1. Väestöennuste'!G59*1000</f>
        <v>290.4579456303594</v>
      </c>
      <c r="Y59" s="41">
        <f>F59/'1. Väestöennuste'!H59*1000</f>
        <v>361.46585230427542</v>
      </c>
      <c r="Z59" s="41">
        <f>G59/'1. Väestöennuste'!I59*1000</f>
        <v>290.19680653546231</v>
      </c>
      <c r="AA59" s="41">
        <f>H59/'1. Väestöennuste'!J59*1000</f>
        <v>307.27306897199776</v>
      </c>
      <c r="AB59" s="41">
        <f>I59/'1. Väestöennuste'!K59*1000</f>
        <v>357.18932934802916</v>
      </c>
      <c r="AC59" s="41">
        <f>J59/'1. Väestöennuste'!L59*1000</f>
        <v>414.74807578008915</v>
      </c>
      <c r="AD59" s="41">
        <f>K59/'1. Väestöennuste'!M59*1000</f>
        <v>477.85482431678747</v>
      </c>
      <c r="AE59" s="41">
        <f>L59/'1. Väestöennuste'!N59*1000</f>
        <v>679.3076774691358</v>
      </c>
      <c r="AF59" s="41">
        <f>M59/'1. Väestöennuste'!O59*1000</f>
        <v>740.73997287347413</v>
      </c>
      <c r="AG59" s="41">
        <f>N59/'1. Väestöennuste'!P59*1000</f>
        <v>741.83394977613398</v>
      </c>
      <c r="AH59" s="41">
        <f>O59/'1. Väestöennuste'!Q59*1000</f>
        <v>768.91352677727889</v>
      </c>
      <c r="AI59" s="41">
        <f>P59/'1. Väestöennuste'!R59*1000</f>
        <v>796.06008751670288</v>
      </c>
    </row>
    <row r="60" spans="1:35" x14ac:dyDescent="0.25">
      <c r="A60" s="30">
        <v>151</v>
      </c>
      <c r="B60" s="31" t="s">
        <v>374</v>
      </c>
      <c r="C60" s="41">
        <v>477</v>
      </c>
      <c r="D60" s="41">
        <v>478</v>
      </c>
      <c r="E60" s="41">
        <v>497</v>
      </c>
      <c r="F60" s="41">
        <v>494</v>
      </c>
      <c r="G60" s="41">
        <v>493</v>
      </c>
      <c r="H60" s="41">
        <v>501</v>
      </c>
      <c r="I60" s="165">
        <v>485.67831999999999</v>
      </c>
      <c r="J60" s="41">
        <v>513.25800000000004</v>
      </c>
      <c r="K60" s="41">
        <v>1391.4666000000002</v>
      </c>
      <c r="L60" s="41">
        <v>560.23400000000004</v>
      </c>
      <c r="M60" s="41">
        <v>551.73199999999997</v>
      </c>
      <c r="N60" s="41">
        <v>551.73199999999997</v>
      </c>
      <c r="O60" s="41">
        <f t="shared" si="5"/>
        <v>569.53437262724833</v>
      </c>
      <c r="P60" s="41">
        <f t="shared" si="5"/>
        <v>587.33674525449669</v>
      </c>
      <c r="Q60" s="165"/>
      <c r="T60" s="34">
        <v>151</v>
      </c>
      <c r="U60" s="88" t="s">
        <v>374</v>
      </c>
      <c r="V60" s="41">
        <f>C60/'1. Väestöennuste'!E60*1000</f>
        <v>224.68205369759775</v>
      </c>
      <c r="W60" s="41">
        <f>D60/'1. Väestöennuste'!F60*1000</f>
        <v>229.91822991822991</v>
      </c>
      <c r="X60" s="41">
        <f>E60/'1. Väestöennuste'!G60*1000</f>
        <v>244.58661417322836</v>
      </c>
      <c r="Y60" s="41">
        <f>F60/'1. Väestöennuste'!H60*1000</f>
        <v>250</v>
      </c>
      <c r="Z60" s="41">
        <f>G60/'1. Väestöennuste'!I60*1000</f>
        <v>252.69092772936958</v>
      </c>
      <c r="AA60" s="41">
        <f>H60/'1. Väestöennuste'!J60*1000</f>
        <v>260.25974025974023</v>
      </c>
      <c r="AB60" s="41">
        <f>I60/'1. Väestöennuste'!K60*1000</f>
        <v>256.83676361713378</v>
      </c>
      <c r="AC60" s="41">
        <f>J60/'1. Väestöennuste'!L60*1000</f>
        <v>277.13714902807777</v>
      </c>
      <c r="AD60" s="41">
        <f>K60/'1. Väestöennuste'!M60*1000</f>
        <v>767.07089305402428</v>
      </c>
      <c r="AE60" s="41">
        <f>L60/'1. Väestöennuste'!N60*1000</f>
        <v>311.93429844098</v>
      </c>
      <c r="AF60" s="41">
        <f>M60/'1. Väestöennuste'!O60*1000</f>
        <v>311.71299435028249</v>
      </c>
      <c r="AG60" s="41">
        <f>N60/'1. Väestöennuste'!P60*1000</f>
        <v>316.1787965616046</v>
      </c>
      <c r="AH60" s="41">
        <f>O60/'1. Väestöennuste'!Q60*1000</f>
        <v>330.1648536969555</v>
      </c>
      <c r="AI60" s="41">
        <f>P60/'1. Väestöennuste'!R60*1000</f>
        <v>344.6811885296342</v>
      </c>
    </row>
    <row r="61" spans="1:35" x14ac:dyDescent="0.25">
      <c r="A61" s="30">
        <v>152</v>
      </c>
      <c r="B61" s="31" t="s">
        <v>375</v>
      </c>
      <c r="C61" s="41">
        <v>997</v>
      </c>
      <c r="D61" s="41">
        <v>1136</v>
      </c>
      <c r="E61" s="41">
        <v>1131</v>
      </c>
      <c r="F61" s="41">
        <v>1145</v>
      </c>
      <c r="G61" s="41">
        <v>1265</v>
      </c>
      <c r="H61" s="41">
        <v>1453</v>
      </c>
      <c r="I61" s="165">
        <v>1626.6818999999998</v>
      </c>
      <c r="J61" s="41">
        <v>1750.7879599999999</v>
      </c>
      <c r="K61" s="41">
        <v>1811.3735300000001</v>
      </c>
      <c r="L61" s="41">
        <v>1955.3810000000001</v>
      </c>
      <c r="M61" s="41">
        <v>1994.489</v>
      </c>
      <c r="N61" s="41">
        <v>2034.38</v>
      </c>
      <c r="O61" s="41">
        <f t="shared" si="5"/>
        <v>2100.0219979726053</v>
      </c>
      <c r="P61" s="41">
        <f t="shared" si="5"/>
        <v>2165.6639959452104</v>
      </c>
      <c r="Q61" s="165"/>
      <c r="T61" s="34">
        <v>152</v>
      </c>
      <c r="U61" s="88" t="s">
        <v>375</v>
      </c>
      <c r="V61" s="41">
        <f>C61/'1. Väestöennuste'!E61*1000</f>
        <v>208.35945663531871</v>
      </c>
      <c r="W61" s="41">
        <f>D61/'1. Väestöennuste'!F61*1000</f>
        <v>241.08658743633276</v>
      </c>
      <c r="X61" s="41">
        <f>E61/'1. Väestöennuste'!G61*1000</f>
        <v>242.02867536914189</v>
      </c>
      <c r="Y61" s="41">
        <f>F61/'1. Väestöennuste'!H61*1000</f>
        <v>248.85894370788958</v>
      </c>
      <c r="Z61" s="41">
        <f>G61/'1. Väestöennuste'!I61*1000</f>
        <v>279.74347633790359</v>
      </c>
      <c r="AA61" s="41">
        <f>H61/'1. Väestöennuste'!J61*1000</f>
        <v>324.9832252292552</v>
      </c>
      <c r="AB61" s="41">
        <f>I61/'1. Väestöennuste'!K61*1000</f>
        <v>363.09863839285708</v>
      </c>
      <c r="AC61" s="41">
        <f>J61/'1. Väestöennuste'!L61*1000</f>
        <v>397.36449387199269</v>
      </c>
      <c r="AD61" s="41">
        <f>K61/'1. Väestöennuste'!M61*1000</f>
        <v>415.73870323617166</v>
      </c>
      <c r="AE61" s="41">
        <f>L61/'1. Väestöennuste'!N61*1000</f>
        <v>458.25662057651749</v>
      </c>
      <c r="AF61" s="41">
        <f>M61/'1. Väestöennuste'!O61*1000</f>
        <v>472.62772511848345</v>
      </c>
      <c r="AG61" s="41">
        <f>N61/'1. Väestöennuste'!P61*1000</f>
        <v>487.3933876377576</v>
      </c>
      <c r="AH61" s="41">
        <f>O61/'1. Väestöennuste'!Q61*1000</f>
        <v>508.84952701056585</v>
      </c>
      <c r="AI61" s="41">
        <f>P61/'1. Väestöennuste'!R61*1000</f>
        <v>530.02055701057532</v>
      </c>
    </row>
    <row r="62" spans="1:35" x14ac:dyDescent="0.25">
      <c r="A62" s="30">
        <v>153</v>
      </c>
      <c r="B62" s="31" t="s">
        <v>376</v>
      </c>
      <c r="C62" s="41">
        <v>8359</v>
      </c>
      <c r="D62" s="41">
        <v>9379</v>
      </c>
      <c r="E62" s="41">
        <v>10002</v>
      </c>
      <c r="F62" s="41">
        <v>8355</v>
      </c>
      <c r="G62" s="41">
        <v>11611</v>
      </c>
      <c r="H62" s="41">
        <v>8453</v>
      </c>
      <c r="I62" s="165">
        <v>9313.2607499999995</v>
      </c>
      <c r="J62" s="41">
        <v>9465.7751800000005</v>
      </c>
      <c r="K62" s="41">
        <v>12667.895849999999</v>
      </c>
      <c r="L62" s="41">
        <v>11402.867</v>
      </c>
      <c r="M62" s="41">
        <v>11266.084000000001</v>
      </c>
      <c r="N62" s="41">
        <v>12093.29</v>
      </c>
      <c r="O62" s="41">
        <f t="shared" si="5"/>
        <v>12483.496214012195</v>
      </c>
      <c r="P62" s="41">
        <f t="shared" si="5"/>
        <v>12873.70242802439</v>
      </c>
      <c r="Q62" s="165"/>
      <c r="T62" s="34">
        <v>153</v>
      </c>
      <c r="U62" s="88" t="s">
        <v>376</v>
      </c>
      <c r="V62" s="41">
        <f>C62/'1. Väestöennuste'!E62*1000</f>
        <v>300.30537093587213</v>
      </c>
      <c r="W62" s="41">
        <f>D62/'1. Väestöennuste'!F62*1000</f>
        <v>340.84384198858885</v>
      </c>
      <c r="X62" s="41">
        <f>E62/'1. Väestöennuste'!G62*1000</f>
        <v>366.79012798415783</v>
      </c>
      <c r="Y62" s="41">
        <f>F62/'1. Väestöennuste'!H62*1000</f>
        <v>310.22575375018562</v>
      </c>
      <c r="Z62" s="41">
        <f>G62/'1. Väestöennuste'!I62*1000</f>
        <v>438.01871133242793</v>
      </c>
      <c r="AA62" s="41">
        <f>H62/'1. Väestöennuste'!J62*1000</f>
        <v>324.18024928092041</v>
      </c>
      <c r="AB62" s="41">
        <f>I62/'1. Väestöennuste'!K62*1000</f>
        <v>363.01932371857339</v>
      </c>
      <c r="AC62" s="41">
        <f>J62/'1. Väestöennuste'!L62*1000</f>
        <v>375.50679070136465</v>
      </c>
      <c r="AD62" s="41">
        <f>K62/'1. Väestöennuste'!M62*1000</f>
        <v>508.36292989285283</v>
      </c>
      <c r="AE62" s="41">
        <f>L62/'1. Väestöennuste'!N62*1000</f>
        <v>461.31835099927184</v>
      </c>
      <c r="AF62" s="41">
        <f>M62/'1. Väestöennuste'!O62*1000</f>
        <v>461.85725413028331</v>
      </c>
      <c r="AG62" s="41">
        <f>N62/'1. Väestöennuste'!P62*1000</f>
        <v>502.27561573285715</v>
      </c>
      <c r="AH62" s="41">
        <f>O62/'1. Väestöennuste'!Q62*1000</f>
        <v>525.06818986381472</v>
      </c>
      <c r="AI62" s="41">
        <f>P62/'1. Väestöennuste'!R62*1000</f>
        <v>548.02700728042191</v>
      </c>
    </row>
    <row r="63" spans="1:35" x14ac:dyDescent="0.25">
      <c r="A63" s="30">
        <v>165</v>
      </c>
      <c r="B63" s="31" t="s">
        <v>377</v>
      </c>
      <c r="C63" s="41">
        <v>4990</v>
      </c>
      <c r="D63" s="41">
        <v>5006</v>
      </c>
      <c r="E63" s="41">
        <v>5254</v>
      </c>
      <c r="F63" s="41">
        <v>5527</v>
      </c>
      <c r="G63" s="41">
        <v>6091</v>
      </c>
      <c r="H63" s="41">
        <v>6467</v>
      </c>
      <c r="I63" s="165">
        <v>6160.9847300000001</v>
      </c>
      <c r="J63" s="41">
        <v>6305.7982499999998</v>
      </c>
      <c r="K63" s="41">
        <v>7685.6292000000003</v>
      </c>
      <c r="L63" s="41">
        <v>6294.893</v>
      </c>
      <c r="M63" s="41">
        <v>6779.0810000000001</v>
      </c>
      <c r="N63" s="41">
        <v>7312.3180000000002</v>
      </c>
      <c r="O63" s="41">
        <f t="shared" si="5"/>
        <v>7548.2597431016065</v>
      </c>
      <c r="P63" s="41">
        <f t="shared" si="5"/>
        <v>7784.201486203212</v>
      </c>
      <c r="Q63" s="165"/>
      <c r="T63" s="34">
        <v>165</v>
      </c>
      <c r="U63" s="88" t="s">
        <v>377</v>
      </c>
      <c r="V63" s="41">
        <f>C63/'1. Väestöennuste'!E63*1000</f>
        <v>296.08971696433866</v>
      </c>
      <c r="W63" s="41">
        <f>D63/'1. Väestöennuste'!F63*1000</f>
        <v>299.5990184930277</v>
      </c>
      <c r="X63" s="41">
        <f>E63/'1. Väestöennuste'!G63*1000</f>
        <v>316.37261395796952</v>
      </c>
      <c r="Y63" s="41">
        <f>F63/'1. Väestöennuste'!H63*1000</f>
        <v>336.049127500456</v>
      </c>
      <c r="Z63" s="41">
        <f>G63/'1. Väestöennuste'!I63*1000</f>
        <v>371.1082678364711</v>
      </c>
      <c r="AA63" s="41">
        <f>H63/'1. Väestöennuste'!J63*1000</f>
        <v>398.28786105807723</v>
      </c>
      <c r="AB63" s="41">
        <f>I63/'1. Väestöennuste'!K63*1000</f>
        <v>377.04924908200735</v>
      </c>
      <c r="AC63" s="41">
        <f>J63/'1. Väestöennuste'!L63*1000</f>
        <v>387.33404484029484</v>
      </c>
      <c r="AD63" s="41">
        <f>K63/'1. Väestöennuste'!M63*1000</f>
        <v>476.68729144700114</v>
      </c>
      <c r="AE63" s="41">
        <f>L63/'1. Väestöennuste'!N63*1000</f>
        <v>398.99176015719087</v>
      </c>
      <c r="AF63" s="41">
        <f>M63/'1. Väestöennuste'!O63*1000</f>
        <v>432.56004338948446</v>
      </c>
      <c r="AG63" s="41">
        <f>N63/'1. Väestöennuste'!P63*1000</f>
        <v>469.70182425488184</v>
      </c>
      <c r="AH63" s="41">
        <f>O63/'1. Väestöennuste'!Q63*1000</f>
        <v>488.02351736610893</v>
      </c>
      <c r="AI63" s="41">
        <f>P63/'1. Väestöennuste'!R63*1000</f>
        <v>506.61903587394806</v>
      </c>
    </row>
    <row r="64" spans="1:35" x14ac:dyDescent="0.25">
      <c r="A64" s="30">
        <v>167</v>
      </c>
      <c r="B64" s="31" t="s">
        <v>378</v>
      </c>
      <c r="C64" s="41">
        <v>27139</v>
      </c>
      <c r="D64" s="41">
        <v>29609</v>
      </c>
      <c r="E64" s="41">
        <v>33847</v>
      </c>
      <c r="F64" s="41">
        <v>32926</v>
      </c>
      <c r="G64" s="41">
        <v>35429</v>
      </c>
      <c r="H64" s="41">
        <v>34291</v>
      </c>
      <c r="I64" s="165">
        <v>35362.743090000004</v>
      </c>
      <c r="J64" s="41">
        <v>32970.10888</v>
      </c>
      <c r="K64" s="41">
        <v>37431.541409999998</v>
      </c>
      <c r="L64" s="41">
        <v>36942</v>
      </c>
      <c r="M64" s="41">
        <v>36815</v>
      </c>
      <c r="N64" s="41">
        <v>36280</v>
      </c>
      <c r="O64" s="41">
        <f t="shared" si="5"/>
        <v>37450.622836660863</v>
      </c>
      <c r="P64" s="41">
        <f t="shared" si="5"/>
        <v>38621.245673321719</v>
      </c>
      <c r="Q64" s="165"/>
      <c r="T64" s="34">
        <v>167</v>
      </c>
      <c r="U64" s="88" t="s">
        <v>378</v>
      </c>
      <c r="V64" s="41">
        <f>C64/'1. Väestöennuste'!E64*1000</f>
        <v>359.39031173027519</v>
      </c>
      <c r="W64" s="41">
        <f>D64/'1. Väestöennuste'!F64*1000</f>
        <v>390.37285096508805</v>
      </c>
      <c r="X64" s="41">
        <f>E64/'1. Väestöennuste'!G64*1000</f>
        <v>444.96299315077499</v>
      </c>
      <c r="Y64" s="41">
        <f>F64/'1. Väestöennuste'!H64*1000</f>
        <v>430.1184831027681</v>
      </c>
      <c r="Z64" s="41">
        <f>G64/'1. Väestöennuste'!I64*1000</f>
        <v>461.01496421600518</v>
      </c>
      <c r="AA64" s="41">
        <f>H64/'1. Väestöennuste'!J64*1000</f>
        <v>445.71391434327677</v>
      </c>
      <c r="AB64" s="41">
        <f>I64/'1. Väestöennuste'!K64*1000</f>
        <v>457.70496227074466</v>
      </c>
      <c r="AC64" s="41">
        <f>J64/'1. Väestöennuste'!L64*1000</f>
        <v>425.3494108085095</v>
      </c>
      <c r="AD64" s="41">
        <f>K64/'1. Väestöennuste'!M64*1000</f>
        <v>479.51040724039859</v>
      </c>
      <c r="AE64" s="41">
        <f>L64/'1. Väestöennuste'!N64*1000</f>
        <v>474.61328948044604</v>
      </c>
      <c r="AF64" s="41">
        <f>M64/'1. Väestöennuste'!O64*1000</f>
        <v>472.02954111266394</v>
      </c>
      <c r="AG64" s="41">
        <f>N64/'1. Väestöennuste'!P64*1000</f>
        <v>464.28297202528728</v>
      </c>
      <c r="AH64" s="41">
        <f>O64/'1. Väestöennuste'!Q64*1000</f>
        <v>478.40656647327432</v>
      </c>
      <c r="AI64" s="41">
        <f>P64/'1. Väestöennuste'!R64*1000</f>
        <v>492.54882189133821</v>
      </c>
    </row>
    <row r="65" spans="1:35" x14ac:dyDescent="0.25">
      <c r="A65" s="30">
        <v>169</v>
      </c>
      <c r="B65" s="31" t="s">
        <v>379</v>
      </c>
      <c r="C65" s="41">
        <v>1217</v>
      </c>
      <c r="D65" s="41">
        <v>1635</v>
      </c>
      <c r="E65" s="41">
        <v>1701</v>
      </c>
      <c r="F65" s="41">
        <v>1551</v>
      </c>
      <c r="G65" s="41">
        <v>1560</v>
      </c>
      <c r="H65" s="41">
        <v>1423</v>
      </c>
      <c r="I65" s="165">
        <v>1468.6357</v>
      </c>
      <c r="J65" s="41">
        <v>1534.8721</v>
      </c>
      <c r="K65" s="41">
        <v>1532.35311</v>
      </c>
      <c r="L65" s="41">
        <v>1532.48</v>
      </c>
      <c r="M65" s="41">
        <v>1532.48</v>
      </c>
      <c r="N65" s="41">
        <v>1532.48</v>
      </c>
      <c r="O65" s="41">
        <f t="shared" si="5"/>
        <v>1581.9275216297144</v>
      </c>
      <c r="P65" s="41">
        <f t="shared" si="5"/>
        <v>1631.3750432594286</v>
      </c>
      <c r="Q65" s="165"/>
      <c r="T65" s="34">
        <v>169</v>
      </c>
      <c r="U65" s="88" t="s">
        <v>379</v>
      </c>
      <c r="V65" s="41">
        <f>C65/'1. Väestöennuste'!E65*1000</f>
        <v>224.33179723502303</v>
      </c>
      <c r="W65" s="41">
        <f>D65/'1. Väestöennuste'!F65*1000</f>
        <v>306.12244897959187</v>
      </c>
      <c r="X65" s="41">
        <f>E65/'1. Väestöennuste'!G65*1000</f>
        <v>321.79341657207715</v>
      </c>
      <c r="Y65" s="41">
        <f>F65/'1. Väestöennuste'!H65*1000</f>
        <v>298.55630413859478</v>
      </c>
      <c r="Z65" s="41">
        <f>G65/'1. Väestöennuste'!I65*1000</f>
        <v>303.91583869082405</v>
      </c>
      <c r="AA65" s="41">
        <f>H65/'1. Väestöennuste'!J65*1000</f>
        <v>281.16972930250938</v>
      </c>
      <c r="AB65" s="41">
        <f>I65/'1. Väestöennuste'!K65*1000</f>
        <v>291.04948474038844</v>
      </c>
      <c r="AC65" s="41">
        <f>J65/'1. Väestöennuste'!L65*1000</f>
        <v>307.5895991983968</v>
      </c>
      <c r="AD65" s="41">
        <f>K65/'1. Väestöennuste'!M65*1000</f>
        <v>311.70730471928397</v>
      </c>
      <c r="AE65" s="41">
        <f>L65/'1. Väestöennuste'!N65*1000</f>
        <v>318.00788545341356</v>
      </c>
      <c r="AF65" s="41">
        <f>M65/'1. Väestöennuste'!O65*1000</f>
        <v>321.67926112510497</v>
      </c>
      <c r="AG65" s="41">
        <f>N65/'1. Väestöennuste'!P65*1000</f>
        <v>325.16019520475282</v>
      </c>
      <c r="AH65" s="41">
        <f>O65/'1. Väestöennuste'!Q65*1000</f>
        <v>339.25102329610002</v>
      </c>
      <c r="AI65" s="41">
        <f>P65/'1. Väestöennuste'!R65*1000</f>
        <v>353.26440954080306</v>
      </c>
    </row>
    <row r="66" spans="1:35" x14ac:dyDescent="0.25">
      <c r="A66" s="30">
        <v>171</v>
      </c>
      <c r="B66" s="31" t="s">
        <v>380</v>
      </c>
      <c r="C66" s="41">
        <v>750</v>
      </c>
      <c r="D66" s="41">
        <v>771</v>
      </c>
      <c r="E66" s="41">
        <v>1497</v>
      </c>
      <c r="F66" s="41">
        <v>925</v>
      </c>
      <c r="G66" s="41">
        <v>1050</v>
      </c>
      <c r="H66" s="41">
        <v>1151</v>
      </c>
      <c r="I66" s="165">
        <v>1326.87123</v>
      </c>
      <c r="J66" s="41">
        <v>1234.55756</v>
      </c>
      <c r="K66" s="41">
        <v>1927.9461899999999</v>
      </c>
      <c r="L66" s="41">
        <v>1147.9860000000001</v>
      </c>
      <c r="M66" s="41">
        <v>1208.6600000000001</v>
      </c>
      <c r="N66" s="41">
        <v>1203.115</v>
      </c>
      <c r="O66" s="41">
        <f t="shared" si="5"/>
        <v>1241.9351183607837</v>
      </c>
      <c r="P66" s="41">
        <f t="shared" si="5"/>
        <v>1280.7552367215674</v>
      </c>
      <c r="Q66" s="165"/>
      <c r="T66" s="34">
        <v>171</v>
      </c>
      <c r="U66" s="88" t="s">
        <v>380</v>
      </c>
      <c r="V66" s="41">
        <f>C66/'1. Väestöennuste'!E66*1000</f>
        <v>146.77103718199606</v>
      </c>
      <c r="W66" s="41">
        <f>D66/'1. Väestöennuste'!F66*1000</f>
        <v>153.00654891843621</v>
      </c>
      <c r="X66" s="41">
        <f>E66/'1. Väestöennuste'!G66*1000</f>
        <v>304.45393532641856</v>
      </c>
      <c r="Y66" s="41">
        <f>F66/'1. Väestöennuste'!H66*1000</f>
        <v>192.22776392352452</v>
      </c>
      <c r="Z66" s="41">
        <f>G66/'1. Väestöennuste'!I66*1000</f>
        <v>220.26431718061673</v>
      </c>
      <c r="AA66" s="41">
        <f>H66/'1. Väestöennuste'!J66*1000</f>
        <v>245.4681168692685</v>
      </c>
      <c r="AB66" s="41">
        <f>I66/'1. Väestöennuste'!K66*1000</f>
        <v>286.95312067474049</v>
      </c>
      <c r="AC66" s="41">
        <f>J66/'1. Väestöennuste'!L66*1000</f>
        <v>271.92897797356829</v>
      </c>
      <c r="AD66" s="41">
        <f>K66/'1. Väestöennuste'!M66*1000</f>
        <v>420.0318496732026</v>
      </c>
      <c r="AE66" s="41">
        <f>L66/'1. Väestöennuste'!N66*1000</f>
        <v>260.84662576687117</v>
      </c>
      <c r="AF66" s="41">
        <f>M66/'1. Väestöennuste'!O66*1000</f>
        <v>279.13625866050813</v>
      </c>
      <c r="AG66" s="41">
        <f>N66/'1. Väestöennuste'!P66*1000</f>
        <v>282.35508096690921</v>
      </c>
      <c r="AH66" s="41">
        <f>O66/'1. Väestöennuste'!Q66*1000</f>
        <v>296.05127970459682</v>
      </c>
      <c r="AI66" s="41">
        <f>P66/'1. Väestöennuste'!R66*1000</f>
        <v>310.33565222233278</v>
      </c>
    </row>
    <row r="67" spans="1:35" x14ac:dyDescent="0.25">
      <c r="A67" s="30">
        <v>172</v>
      </c>
      <c r="B67" s="31" t="s">
        <v>381</v>
      </c>
      <c r="C67" s="41">
        <v>1280</v>
      </c>
      <c r="D67" s="41">
        <v>1319</v>
      </c>
      <c r="E67" s="41">
        <v>1388</v>
      </c>
      <c r="F67" s="41">
        <v>1267</v>
      </c>
      <c r="G67" s="41">
        <v>1380</v>
      </c>
      <c r="H67" s="41">
        <v>1107</v>
      </c>
      <c r="I67" s="165">
        <v>1239.83043</v>
      </c>
      <c r="J67" s="41">
        <v>1308.58987</v>
      </c>
      <c r="K67" s="41">
        <v>1405.5334399999999</v>
      </c>
      <c r="L67" s="41">
        <v>1410.4960000000001</v>
      </c>
      <c r="M67" s="41">
        <v>1370</v>
      </c>
      <c r="N67" s="41">
        <v>1330</v>
      </c>
      <c r="O67" s="41">
        <f t="shared" si="5"/>
        <v>1372.9142329867404</v>
      </c>
      <c r="P67" s="41">
        <f t="shared" si="5"/>
        <v>1415.8284659734809</v>
      </c>
      <c r="Q67" s="165"/>
      <c r="T67" s="34">
        <v>172</v>
      </c>
      <c r="U67" s="88" t="s">
        <v>381</v>
      </c>
      <c r="V67" s="41">
        <f>C67/'1. Väestöennuste'!E67*1000</f>
        <v>273.03754266211604</v>
      </c>
      <c r="W67" s="41">
        <f>D67/'1. Väestöennuste'!F67*1000</f>
        <v>282.25979028461376</v>
      </c>
      <c r="X67" s="41">
        <f>E67/'1. Väestöennuste'!G67*1000</f>
        <v>303.91942194000438</v>
      </c>
      <c r="Y67" s="41">
        <f>F67/'1. Väestöennuste'!H67*1000</f>
        <v>283.63554958585178</v>
      </c>
      <c r="Z67" s="41">
        <f>G67/'1. Väestöennuste'!I67*1000</f>
        <v>315.28444139821801</v>
      </c>
      <c r="AA67" s="41">
        <f>H67/'1. Väestöennuste'!J67*1000</f>
        <v>257.62159646264837</v>
      </c>
      <c r="AB67" s="41">
        <f>I67/'1. Väestöennuste'!K67*1000</f>
        <v>290.83519352568618</v>
      </c>
      <c r="AC67" s="41">
        <f>J67/'1. Väestöennuste'!L67*1000</f>
        <v>313.73528410453127</v>
      </c>
      <c r="AD67" s="41">
        <f>K67/'1. Väestöennuste'!M67*1000</f>
        <v>344.57794557489581</v>
      </c>
      <c r="AE67" s="41">
        <f>L67/'1. Väestöennuste'!N67*1000</f>
        <v>350.52087475149108</v>
      </c>
      <c r="AF67" s="41">
        <f>M67/'1. Väestöennuste'!O67*1000</f>
        <v>345.26209677419354</v>
      </c>
      <c r="AG67" s="41">
        <f>N67/'1. Väestöennuste'!P67*1000</f>
        <v>340.153452685422</v>
      </c>
      <c r="AH67" s="41">
        <f>O67/'1. Väestöennuste'!Q67*1000</f>
        <v>355.7694306780877</v>
      </c>
      <c r="AI67" s="41">
        <f>P67/'1. Väestöennuste'!R67*1000</f>
        <v>371.51101180096583</v>
      </c>
    </row>
    <row r="68" spans="1:35" x14ac:dyDescent="0.25">
      <c r="A68" s="30">
        <v>176</v>
      </c>
      <c r="B68" s="31" t="s">
        <v>382</v>
      </c>
      <c r="C68" s="41">
        <v>1980</v>
      </c>
      <c r="D68" s="41">
        <v>2061</v>
      </c>
      <c r="E68" s="41">
        <v>2397</v>
      </c>
      <c r="F68" s="41">
        <v>1906</v>
      </c>
      <c r="G68" s="41">
        <v>1824</v>
      </c>
      <c r="H68" s="41">
        <v>2735</v>
      </c>
      <c r="I68" s="165">
        <v>2579.92695</v>
      </c>
      <c r="J68" s="41">
        <v>2012.4840099999999</v>
      </c>
      <c r="K68" s="41">
        <v>1787.50135</v>
      </c>
      <c r="L68" s="41">
        <v>1800.68</v>
      </c>
      <c r="M68" s="41">
        <v>1800.68</v>
      </c>
      <c r="N68" s="41">
        <v>1800.68</v>
      </c>
      <c r="O68" s="41">
        <f t="shared" si="5"/>
        <v>1858.7813541763639</v>
      </c>
      <c r="P68" s="41">
        <f t="shared" si="5"/>
        <v>1916.8827083527276</v>
      </c>
      <c r="Q68" s="165"/>
      <c r="T68" s="34">
        <v>176</v>
      </c>
      <c r="U68" s="88" t="s">
        <v>382</v>
      </c>
      <c r="V68" s="41">
        <f>C68/'1. Väestöennuste'!E68*1000</f>
        <v>393.32538736591181</v>
      </c>
      <c r="W68" s="41">
        <f>D68/'1. Väestöennuste'!F68*1000</f>
        <v>417.37545565006076</v>
      </c>
      <c r="X68" s="41">
        <f>E68/'1. Väestöennuste'!G68*1000</f>
        <v>497.61262196387793</v>
      </c>
      <c r="Y68" s="41">
        <f>F68/'1. Väestöennuste'!H68*1000</f>
        <v>404.75684858781057</v>
      </c>
      <c r="Z68" s="41">
        <f>G68/'1. Väestöennuste'!I68*1000</f>
        <v>396.00521059487625</v>
      </c>
      <c r="AA68" s="41">
        <f>H68/'1. Väestöennuste'!J68*1000</f>
        <v>604.15286061409324</v>
      </c>
      <c r="AB68" s="41">
        <f>I68/'1. Väestöennuste'!K68*1000</f>
        <v>580.54161791179115</v>
      </c>
      <c r="AC68" s="41">
        <f>J68/'1. Väestöennuste'!L68*1000</f>
        <v>462.42739200367646</v>
      </c>
      <c r="AD68" s="41">
        <f>K68/'1. Väestöennuste'!M68*1000</f>
        <v>419.69977694294437</v>
      </c>
      <c r="AE68" s="41">
        <f>L68/'1. Väestöennuste'!N68*1000</f>
        <v>431.92132405852726</v>
      </c>
      <c r="AF68" s="41">
        <f>M68/'1. Väestöennuste'!O68*1000</f>
        <v>440.69505628976998</v>
      </c>
      <c r="AG68" s="41">
        <f>N68/'1. Väestöennuste'!P68*1000</f>
        <v>449.60799001248444</v>
      </c>
      <c r="AH68" s="41">
        <f>O68/'1. Väestöennuste'!Q68*1000</f>
        <v>472.49144742663043</v>
      </c>
      <c r="AI68" s="41">
        <f>P68/'1. Väestöennuste'!R68*1000</f>
        <v>495.95930358414688</v>
      </c>
    </row>
    <row r="69" spans="1:35" x14ac:dyDescent="0.25">
      <c r="A69" s="30">
        <v>177</v>
      </c>
      <c r="B69" s="31" t="s">
        <v>383</v>
      </c>
      <c r="C69" s="41">
        <v>485</v>
      </c>
      <c r="D69" s="41">
        <v>480</v>
      </c>
      <c r="E69" s="41">
        <v>491</v>
      </c>
      <c r="F69" s="41">
        <v>513</v>
      </c>
      <c r="G69" s="41">
        <v>517</v>
      </c>
      <c r="H69" s="41">
        <v>558</v>
      </c>
      <c r="I69" s="165">
        <v>562.90108999999995</v>
      </c>
      <c r="J69" s="41">
        <v>627.90452000000005</v>
      </c>
      <c r="K69" s="41">
        <v>673.60341000000005</v>
      </c>
      <c r="L69" s="41">
        <v>661.65</v>
      </c>
      <c r="M69" s="41">
        <v>661.65</v>
      </c>
      <c r="N69" s="41">
        <v>661.65</v>
      </c>
      <c r="O69" s="41">
        <f t="shared" si="5"/>
        <v>682.99902425238861</v>
      </c>
      <c r="P69" s="41">
        <f t="shared" si="5"/>
        <v>704.34804850477713</v>
      </c>
      <c r="Q69" s="165"/>
      <c r="T69" s="34">
        <v>177</v>
      </c>
      <c r="U69" s="88" t="s">
        <v>383</v>
      </c>
      <c r="V69" s="41">
        <f>C69/'1. Väestöennuste'!E69*1000</f>
        <v>243.96378269617705</v>
      </c>
      <c r="W69" s="41">
        <f>D69/'1. Väestöennuste'!F69*1000</f>
        <v>245.27337761880429</v>
      </c>
      <c r="X69" s="41">
        <f>E69/'1. Väestöennuste'!G69*1000</f>
        <v>257.87815126050424</v>
      </c>
      <c r="Y69" s="41">
        <f>F69/'1. Väestöennuste'!H69*1000</f>
        <v>272.29299363057322</v>
      </c>
      <c r="Z69" s="41">
        <f>G69/'1. Väestöennuste'!I69*1000</f>
        <v>280.36876355748376</v>
      </c>
      <c r="AA69" s="41">
        <f>H69/'1. Väestöennuste'!J69*1000</f>
        <v>310</v>
      </c>
      <c r="AB69" s="41">
        <f>I69/'1. Väestöennuste'!K69*1000</f>
        <v>315.17418253079506</v>
      </c>
      <c r="AC69" s="41">
        <f>J69/'1. Väestöennuste'!L69*1000</f>
        <v>355.1496153846154</v>
      </c>
      <c r="AD69" s="41">
        <f>K69/'1. Väestöennuste'!M69*1000</f>
        <v>394.38138758782202</v>
      </c>
      <c r="AE69" s="41">
        <f>L69/'1. Väestöennuste'!N69*1000</f>
        <v>395.25089605734763</v>
      </c>
      <c r="AF69" s="41">
        <f>M69/'1. Väestöennuste'!O69*1000</f>
        <v>401.73041894353366</v>
      </c>
      <c r="AG69" s="41">
        <f>N69/'1. Väestöennuste'!P69*1000</f>
        <v>407.92231812577063</v>
      </c>
      <c r="AH69" s="41">
        <f>O69/'1. Väestöennuste'!Q69*1000</f>
        <v>426.87439015774288</v>
      </c>
      <c r="AI69" s="41">
        <f>P69/'1. Väestöennuste'!R69*1000</f>
        <v>446.35491033255835</v>
      </c>
    </row>
    <row r="70" spans="1:35" x14ac:dyDescent="0.25">
      <c r="A70" s="30">
        <v>178</v>
      </c>
      <c r="B70" s="31" t="s">
        <v>384</v>
      </c>
      <c r="C70" s="41">
        <v>1580</v>
      </c>
      <c r="D70" s="41">
        <v>1938</v>
      </c>
      <c r="E70" s="41">
        <v>3303</v>
      </c>
      <c r="F70" s="41">
        <v>1740</v>
      </c>
      <c r="G70" s="41">
        <v>1811</v>
      </c>
      <c r="H70" s="41">
        <v>2089</v>
      </c>
      <c r="I70" s="165">
        <v>1906.8908999999999</v>
      </c>
      <c r="J70" s="41">
        <v>2333.1623300000001</v>
      </c>
      <c r="K70" s="41">
        <v>2246.5745499999998</v>
      </c>
      <c r="L70" s="41">
        <v>2253.163</v>
      </c>
      <c r="M70" s="41">
        <v>1850.5940000000001</v>
      </c>
      <c r="N70" s="41">
        <v>2048.5830000000001</v>
      </c>
      <c r="O70" s="41">
        <f t="shared" si="5"/>
        <v>2114.6832768080271</v>
      </c>
      <c r="P70" s="41">
        <f t="shared" si="5"/>
        <v>2180.7835536160537</v>
      </c>
      <c r="Q70" s="165"/>
      <c r="T70" s="34">
        <v>178</v>
      </c>
      <c r="U70" s="88" t="s">
        <v>384</v>
      </c>
      <c r="V70" s="41">
        <f>C70/'1. Väestöennuste'!E70*1000</f>
        <v>241.29505192425168</v>
      </c>
      <c r="W70" s="41">
        <f>D70/'1. Väestöennuste'!F70*1000</f>
        <v>301.82214608316463</v>
      </c>
      <c r="X70" s="41">
        <f>E70/'1. Väestöennuste'!G70*1000</f>
        <v>521.47142406062517</v>
      </c>
      <c r="Y70" s="41">
        <f>F70/'1. Väestöennuste'!H70*1000</f>
        <v>279.51807228915663</v>
      </c>
      <c r="Z70" s="41">
        <f>G70/'1. Väestöennuste'!I70*1000</f>
        <v>296.10856769130152</v>
      </c>
      <c r="AA70" s="41">
        <f>H70/'1. Väestöennuste'!J70*1000</f>
        <v>352.15778826702632</v>
      </c>
      <c r="AB70" s="41">
        <f>I70/'1. Väestöennuste'!K70*1000</f>
        <v>323.91555970783082</v>
      </c>
      <c r="AC70" s="41">
        <f>J70/'1. Väestöennuste'!L70*1000</f>
        <v>404.43098110591092</v>
      </c>
      <c r="AD70" s="41">
        <f>K70/'1. Väestöennuste'!M70*1000</f>
        <v>391.79884025113353</v>
      </c>
      <c r="AE70" s="41">
        <f>L70/'1. Väestöennuste'!N70*1000</f>
        <v>408.03386454183266</v>
      </c>
      <c r="AF70" s="41">
        <f>M70/'1. Väestöennuste'!O70*1000</f>
        <v>340.62101969445979</v>
      </c>
      <c r="AG70" s="41">
        <f>N70/'1. Väestöennuste'!P70*1000</f>
        <v>383.12754815784558</v>
      </c>
      <c r="AH70" s="41">
        <f>O70/'1. Väestöennuste'!Q70*1000</f>
        <v>401.34433038679578</v>
      </c>
      <c r="AI70" s="41">
        <f>P70/'1. Väestöennuste'!R70*1000</f>
        <v>419.94676557212665</v>
      </c>
    </row>
    <row r="71" spans="1:35" x14ac:dyDescent="0.25">
      <c r="A71" s="30">
        <v>179</v>
      </c>
      <c r="B71" s="31" t="s">
        <v>385</v>
      </c>
      <c r="C71" s="41">
        <v>53325</v>
      </c>
      <c r="D71" s="41">
        <v>54862</v>
      </c>
      <c r="E71" s="41">
        <v>53588</v>
      </c>
      <c r="F71" s="41">
        <v>49087</v>
      </c>
      <c r="G71" s="41">
        <v>53776</v>
      </c>
      <c r="H71" s="41">
        <v>52831</v>
      </c>
      <c r="I71" s="165">
        <v>53856.838400000001</v>
      </c>
      <c r="J71" s="41">
        <v>62021.418689999999</v>
      </c>
      <c r="K71" s="41">
        <v>56897.845679999999</v>
      </c>
      <c r="L71" s="41">
        <v>58259.9</v>
      </c>
      <c r="M71" s="41">
        <v>60200</v>
      </c>
      <c r="N71" s="41">
        <v>61600</v>
      </c>
      <c r="O71" s="41">
        <f t="shared" si="5"/>
        <v>63587.606580438507</v>
      </c>
      <c r="P71" s="41">
        <f t="shared" si="5"/>
        <v>65575.213160877014</v>
      </c>
      <c r="Q71" s="165"/>
      <c r="T71" s="34">
        <v>179</v>
      </c>
      <c r="U71" s="88" t="s">
        <v>385</v>
      </c>
      <c r="V71" s="41">
        <f>C71/'1. Väestöennuste'!E71*1000</f>
        <v>388.19084502941001</v>
      </c>
      <c r="W71" s="41">
        <f>D71/'1. Väestöennuste'!F71*1000</f>
        <v>395.11703276917535</v>
      </c>
      <c r="X71" s="41">
        <f>E71/'1. Väestöennuste'!G71*1000</f>
        <v>382.25811053727853</v>
      </c>
      <c r="Y71" s="41">
        <f>F71/'1. Väestöennuste'!H71*1000</f>
        <v>347.38331976929339</v>
      </c>
      <c r="Z71" s="41">
        <f>G71/'1. Väestöennuste'!I71*1000</f>
        <v>377.64044943820227</v>
      </c>
      <c r="AA71" s="41">
        <f>H71/'1. Väestöennuste'!J71*1000</f>
        <v>368.36563938083947</v>
      </c>
      <c r="AB71" s="41">
        <f>I71/'1. Väestöennuste'!K71*1000</f>
        <v>372.78133907373694</v>
      </c>
      <c r="AC71" s="41">
        <f>J71/'1. Väestöennuste'!L71*1000</f>
        <v>425.13327911328628</v>
      </c>
      <c r="AD71" s="41">
        <f>K71/'1. Väestöennuste'!M71*1000</f>
        <v>385.1058281104057</v>
      </c>
      <c r="AE71" s="41">
        <f>L71/'1. Väestöennuste'!N71*1000</f>
        <v>394.80303861974562</v>
      </c>
      <c r="AF71" s="41">
        <f>M71/'1. Väestöennuste'!O71*1000</f>
        <v>405.65217684278622</v>
      </c>
      <c r="AG71" s="41">
        <f>N71/'1. Väestöennuste'!P71*1000</f>
        <v>412.93782470253058</v>
      </c>
      <c r="AH71" s="41">
        <f>O71/'1. Väestöennuste'!Q71*1000</f>
        <v>424.21149717429756</v>
      </c>
      <c r="AI71" s="41">
        <f>P71/'1. Väestöennuste'!R71*1000</f>
        <v>435.52181527743141</v>
      </c>
    </row>
    <row r="72" spans="1:35" x14ac:dyDescent="0.25">
      <c r="A72" s="30">
        <v>181</v>
      </c>
      <c r="B72" s="31" t="s">
        <v>386</v>
      </c>
      <c r="C72" s="41">
        <v>380</v>
      </c>
      <c r="D72" s="41">
        <v>364</v>
      </c>
      <c r="E72" s="41">
        <v>359</v>
      </c>
      <c r="F72" s="41">
        <v>349</v>
      </c>
      <c r="G72" s="41">
        <v>361</v>
      </c>
      <c r="H72" s="41">
        <v>343</v>
      </c>
      <c r="I72" s="165">
        <v>605.91611</v>
      </c>
      <c r="J72" s="41">
        <v>722.42550000000006</v>
      </c>
      <c r="K72" s="41">
        <v>915.20256999999992</v>
      </c>
      <c r="L72" s="41">
        <v>943.10799999999995</v>
      </c>
      <c r="M72" s="41">
        <v>775.01900000000001</v>
      </c>
      <c r="N72" s="41">
        <v>610.73</v>
      </c>
      <c r="O72" s="41">
        <f t="shared" si="5"/>
        <v>630.43602218946774</v>
      </c>
      <c r="P72" s="41">
        <f t="shared" si="5"/>
        <v>650.14204437893534</v>
      </c>
      <c r="Q72" s="165"/>
      <c r="T72" s="34">
        <v>181</v>
      </c>
      <c r="U72" s="88" t="s">
        <v>386</v>
      </c>
      <c r="V72" s="41">
        <f>C72/'1. Väestöennuste'!E72*1000</f>
        <v>195.07186858316223</v>
      </c>
      <c r="W72" s="41">
        <f>D72/'1. Väestöennuste'!F72*1000</f>
        <v>190.07832898172325</v>
      </c>
      <c r="X72" s="41">
        <f>E72/'1. Väestöennuste'!G72*1000</f>
        <v>192.28709159078736</v>
      </c>
      <c r="Y72" s="41">
        <f>F72/'1. Väestöennuste'!H72*1000</f>
        <v>192.92426755113323</v>
      </c>
      <c r="Z72" s="41">
        <f>G72/'1. Väestöennuste'!I72*1000</f>
        <v>207.59056929269696</v>
      </c>
      <c r="AA72" s="41">
        <f>H72/'1. Väestöennuste'!J72*1000</f>
        <v>200.93731693028704</v>
      </c>
      <c r="AB72" s="41">
        <f>I72/'1. Väestöennuste'!K72*1000</f>
        <v>359.59413056379822</v>
      </c>
      <c r="AC72" s="41">
        <f>J72/'1. Väestöennuste'!L72*1000</f>
        <v>429.24866310160434</v>
      </c>
      <c r="AD72" s="41">
        <f>K72/'1. Väestöennuste'!M72*1000</f>
        <v>544.11567776456593</v>
      </c>
      <c r="AE72" s="41">
        <f>L72/'1. Väestöennuste'!N72*1000</f>
        <v>603.0102301790281</v>
      </c>
      <c r="AF72" s="41">
        <f>M72/'1. Väestöennuste'!O72*1000</f>
        <v>504.89837133550486</v>
      </c>
      <c r="AG72" s="41">
        <f>N72/'1. Väestöennuste'!P72*1000</f>
        <v>405.26211015262112</v>
      </c>
      <c r="AH72" s="41">
        <f>O72/'1. Väestöennuste'!Q72*1000</f>
        <v>426.54669972223797</v>
      </c>
      <c r="AI72" s="41">
        <f>P72/'1. Väestöennuste'!R72*1000</f>
        <v>447.44806908391973</v>
      </c>
    </row>
    <row r="73" spans="1:35" x14ac:dyDescent="0.25">
      <c r="A73" s="30">
        <v>182</v>
      </c>
      <c r="B73" s="31" t="s">
        <v>387</v>
      </c>
      <c r="C73" s="41">
        <v>8436</v>
      </c>
      <c r="D73" s="41">
        <v>8825</v>
      </c>
      <c r="E73" s="41">
        <v>10786</v>
      </c>
      <c r="F73" s="41">
        <v>8183</v>
      </c>
      <c r="G73" s="41">
        <v>8110</v>
      </c>
      <c r="H73" s="41">
        <v>8434</v>
      </c>
      <c r="I73" s="165">
        <v>8550.6506699999991</v>
      </c>
      <c r="J73" s="41">
        <v>8630.9828800000014</v>
      </c>
      <c r="K73" s="41">
        <v>8275.6538</v>
      </c>
      <c r="L73" s="41">
        <v>7939.5</v>
      </c>
      <c r="M73" s="41">
        <v>7803.3</v>
      </c>
      <c r="N73" s="41">
        <v>7875.6</v>
      </c>
      <c r="O73" s="41">
        <f t="shared" si="5"/>
        <v>8129.7167919626872</v>
      </c>
      <c r="P73" s="41">
        <f t="shared" si="5"/>
        <v>8383.8335839253741</v>
      </c>
      <c r="Q73" s="165"/>
      <c r="T73" s="34">
        <v>182</v>
      </c>
      <c r="U73" s="88" t="s">
        <v>387</v>
      </c>
      <c r="V73" s="41">
        <f>C73/'1. Väestöennuste'!E73*1000</f>
        <v>391.60709312041593</v>
      </c>
      <c r="W73" s="41">
        <f>D73/'1. Väestöennuste'!F73*1000</f>
        <v>415.11830283644576</v>
      </c>
      <c r="X73" s="41">
        <f>E73/'1. Väestöennuste'!G73*1000</f>
        <v>516.64511184557171</v>
      </c>
      <c r="Y73" s="41">
        <f>F73/'1. Väestöennuste'!H73*1000</f>
        <v>397.09807347018005</v>
      </c>
      <c r="Z73" s="41">
        <f>G73/'1. Väestöennuste'!I73*1000</f>
        <v>401.84322663759787</v>
      </c>
      <c r="AA73" s="41">
        <f>H73/'1. Väestöennuste'!J73*1000</f>
        <v>424.09614320913158</v>
      </c>
      <c r="AB73" s="41">
        <f>I73/'1. Väestöennuste'!K73*1000</f>
        <v>432.57199726817419</v>
      </c>
      <c r="AC73" s="41">
        <f>J73/'1. Väestöennuste'!L73*1000</f>
        <v>446.11479195740952</v>
      </c>
      <c r="AD73" s="41">
        <f>K73/'1. Väestöennuste'!M73*1000</f>
        <v>431.42809925972261</v>
      </c>
      <c r="AE73" s="41">
        <f>L73/'1. Väestöennuste'!N73*1000</f>
        <v>426.25899280575538</v>
      </c>
      <c r="AF73" s="41">
        <f>M73/'1. Väestöennuste'!O73*1000</f>
        <v>424.97004683585664</v>
      </c>
      <c r="AG73" s="41">
        <f>N73/'1. Väestöennuste'!P73*1000</f>
        <v>435.0198851082634</v>
      </c>
      <c r="AH73" s="41">
        <f>O73/'1. Väestöennuste'!Q73*1000</f>
        <v>455.21679780293903</v>
      </c>
      <c r="AI73" s="41">
        <f>P73/'1. Väestöennuste'!R73*1000</f>
        <v>475.84048946735766</v>
      </c>
    </row>
    <row r="74" spans="1:35" x14ac:dyDescent="0.25">
      <c r="A74" s="30">
        <v>186</v>
      </c>
      <c r="B74" s="31" t="s">
        <v>388</v>
      </c>
      <c r="C74" s="41">
        <v>15020</v>
      </c>
      <c r="D74" s="41">
        <v>16116</v>
      </c>
      <c r="E74" s="41">
        <v>17617</v>
      </c>
      <c r="F74" s="41">
        <v>22499</v>
      </c>
      <c r="G74" s="41">
        <v>23684</v>
      </c>
      <c r="H74" s="41">
        <v>19996</v>
      </c>
      <c r="I74" s="165">
        <v>22156.976609999998</v>
      </c>
      <c r="J74" s="41">
        <v>21502.69169</v>
      </c>
      <c r="K74" s="41">
        <v>24456.232940000002</v>
      </c>
      <c r="L74" s="41">
        <v>28533.477340000001</v>
      </c>
      <c r="M74" s="41">
        <v>30098.164250000002</v>
      </c>
      <c r="N74" s="41">
        <v>31881.33725</v>
      </c>
      <c r="O74" s="41">
        <f t="shared" si="5"/>
        <v>32910.03133622207</v>
      </c>
      <c r="P74" s="41">
        <f t="shared" si="5"/>
        <v>33938.725422444135</v>
      </c>
      <c r="Q74" s="165"/>
      <c r="T74" s="34">
        <v>186</v>
      </c>
      <c r="U74" s="88" t="s">
        <v>388</v>
      </c>
      <c r="V74" s="41">
        <f>C74/'1. Väestöennuste'!E74*1000</f>
        <v>367.23716381418092</v>
      </c>
      <c r="W74" s="41">
        <f>D74/'1. Väestöennuste'!F74*1000</f>
        <v>388.0661706277541</v>
      </c>
      <c r="X74" s="41">
        <f>E74/'1. Väestöennuste'!G74*1000</f>
        <v>413.81659306586488</v>
      </c>
      <c r="Y74" s="41">
        <f>F74/'1. Väestöennuste'!H74*1000</f>
        <v>518.29071642478698</v>
      </c>
      <c r="Z74" s="41">
        <f>G74/'1. Väestöennuste'!I74*1000</f>
        <v>541.831575575942</v>
      </c>
      <c r="AA74" s="41">
        <f>H74/'1. Väestöennuste'!J74*1000</f>
        <v>449.80317174671012</v>
      </c>
      <c r="AB74" s="41">
        <f>I74/'1. Väestöennuste'!K74*1000</f>
        <v>489.91678702516242</v>
      </c>
      <c r="AC74" s="41">
        <f>J74/'1. Väestöennuste'!L74*1000</f>
        <v>471.24022989261448</v>
      </c>
      <c r="AD74" s="41">
        <f>K74/'1. Väestöennuste'!M74*1000</f>
        <v>526.05362314476235</v>
      </c>
      <c r="AE74" s="41">
        <f>L74/'1. Väestöennuste'!N74*1000</f>
        <v>605.03556700593731</v>
      </c>
      <c r="AF74" s="41">
        <f>M74/'1. Väestöennuste'!O74*1000</f>
        <v>630.13010049199204</v>
      </c>
      <c r="AG74" s="41">
        <f>N74/'1. Väestöennuste'!P74*1000</f>
        <v>659.52290546131564</v>
      </c>
      <c r="AH74" s="41">
        <f>O74/'1. Väestöennuste'!Q74*1000</f>
        <v>673.11689716563183</v>
      </c>
      <c r="AI74" s="41">
        <f>P74/'1. Väestöennuste'!R74*1000</f>
        <v>686.8240867455404</v>
      </c>
    </row>
    <row r="75" spans="1:35" x14ac:dyDescent="0.25">
      <c r="A75" s="30">
        <v>202</v>
      </c>
      <c r="B75" s="31" t="s">
        <v>389</v>
      </c>
      <c r="C75" s="41">
        <v>7854</v>
      </c>
      <c r="D75" s="41">
        <v>8221</v>
      </c>
      <c r="E75" s="41">
        <v>9145</v>
      </c>
      <c r="F75" s="41">
        <v>8786</v>
      </c>
      <c r="G75" s="41">
        <v>11670</v>
      </c>
      <c r="H75" s="41">
        <v>9598</v>
      </c>
      <c r="I75" s="165">
        <v>10372.586519999999</v>
      </c>
      <c r="J75" s="41">
        <v>12000.702949999999</v>
      </c>
      <c r="K75" s="41">
        <v>10841.27475</v>
      </c>
      <c r="L75" s="41">
        <v>12600</v>
      </c>
      <c r="M75" s="41">
        <v>13400</v>
      </c>
      <c r="N75" s="41">
        <v>14200</v>
      </c>
      <c r="O75" s="41">
        <f t="shared" si="5"/>
        <v>14658.182036399787</v>
      </c>
      <c r="P75" s="41">
        <f t="shared" si="5"/>
        <v>15116.364072799572</v>
      </c>
      <c r="Q75" s="165"/>
      <c r="T75" s="34">
        <v>202</v>
      </c>
      <c r="U75" s="88" t="s">
        <v>389</v>
      </c>
      <c r="V75" s="41">
        <f>C75/'1. Väestöennuste'!E75*1000</f>
        <v>240.99416999079475</v>
      </c>
      <c r="W75" s="41">
        <f>D75/'1. Väestöennuste'!F75*1000</f>
        <v>251.11491233429047</v>
      </c>
      <c r="X75" s="41">
        <f>E75/'1. Väestöennuste'!G75*1000</f>
        <v>276.29233511586455</v>
      </c>
      <c r="Y75" s="41">
        <f>F75/'1. Väestöennuste'!H75*1000</f>
        <v>262.59788391416106</v>
      </c>
      <c r="Z75" s="41">
        <f>G75/'1. Väestöennuste'!I75*1000</f>
        <v>343.87246957597898</v>
      </c>
      <c r="AA75" s="41">
        <f>H75/'1. Väestöennuste'!J75*1000</f>
        <v>276.86272247382237</v>
      </c>
      <c r="AB75" s="41">
        <f>I75/'1. Väestöennuste'!K75*1000</f>
        <v>292.21022959686729</v>
      </c>
      <c r="AC75" s="41">
        <f>J75/'1. Väestöennuste'!L75*1000</f>
        <v>334.76631750725284</v>
      </c>
      <c r="AD75" s="41">
        <f>K75/'1. Väestöennuste'!M75*1000</f>
        <v>298.33717906381571</v>
      </c>
      <c r="AE75" s="41">
        <f>L75/'1. Väestöennuste'!N75*1000</f>
        <v>344.81814947593114</v>
      </c>
      <c r="AF75" s="41">
        <f>M75/'1. Väestöennuste'!O75*1000</f>
        <v>362.67186315903433</v>
      </c>
      <c r="AG75" s="41">
        <f>N75/'1. Väestöennuste'!P75*1000</f>
        <v>380.34016338556313</v>
      </c>
      <c r="AH75" s="41">
        <f>O75/'1. Väestöennuste'!Q75*1000</f>
        <v>388.80088157873234</v>
      </c>
      <c r="AI75" s="41">
        <f>P75/'1. Väestöennuste'!R75*1000</f>
        <v>397.31809054301561</v>
      </c>
    </row>
    <row r="76" spans="1:35" x14ac:dyDescent="0.25">
      <c r="A76" s="30">
        <v>204</v>
      </c>
      <c r="B76" s="31" t="s">
        <v>390</v>
      </c>
      <c r="C76" s="41">
        <v>700</v>
      </c>
      <c r="D76" s="41">
        <v>853</v>
      </c>
      <c r="E76" s="41">
        <v>783</v>
      </c>
      <c r="F76" s="41">
        <v>776</v>
      </c>
      <c r="G76" s="41">
        <v>797</v>
      </c>
      <c r="H76" s="41">
        <v>840</v>
      </c>
      <c r="I76" s="165">
        <v>706.21343999999999</v>
      </c>
      <c r="J76" s="41">
        <v>677.70808999999997</v>
      </c>
      <c r="K76" s="41">
        <v>703.30142000000001</v>
      </c>
      <c r="L76" s="41">
        <v>845.04</v>
      </c>
      <c r="M76" s="41">
        <v>861.94080000000008</v>
      </c>
      <c r="N76" s="41">
        <v>879.17959999999994</v>
      </c>
      <c r="O76" s="41">
        <f t="shared" si="5"/>
        <v>907.54750841472878</v>
      </c>
      <c r="P76" s="41">
        <f t="shared" si="5"/>
        <v>935.91541682945751</v>
      </c>
      <c r="Q76" s="165"/>
      <c r="T76" s="34">
        <v>204</v>
      </c>
      <c r="U76" s="88" t="s">
        <v>390</v>
      </c>
      <c r="V76" s="41">
        <f>C76/'1. Väestöennuste'!E76*1000</f>
        <v>219.16092673763308</v>
      </c>
      <c r="W76" s="41">
        <f>D76/'1. Väestöennuste'!F76*1000</f>
        <v>270.45022194039313</v>
      </c>
      <c r="X76" s="41">
        <f>E76/'1. Väestöennuste'!G76*1000</f>
        <v>256.88976377952753</v>
      </c>
      <c r="Y76" s="41">
        <f>F76/'1. Väestöennuste'!H76*1000</f>
        <v>259.53177257525084</v>
      </c>
      <c r="Z76" s="41">
        <f>G76/'1. Väestöennuste'!I76*1000</f>
        <v>275.49256826823364</v>
      </c>
      <c r="AA76" s="41">
        <f>H76/'1. Väestöennuste'!J76*1000</f>
        <v>299.25187032418955</v>
      </c>
      <c r="AB76" s="41">
        <f>I76/'1. Väestöennuste'!K76*1000</f>
        <v>254.21650107991363</v>
      </c>
      <c r="AC76" s="41">
        <f>J76/'1. Väestöennuste'!L76*1000</f>
        <v>252.02978430643358</v>
      </c>
      <c r="AD76" s="41">
        <f>K76/'1. Väestöennuste'!M76*1000</f>
        <v>267.61850076103497</v>
      </c>
      <c r="AE76" s="41">
        <f>L76/'1. Väestöennuste'!N76*1000</f>
        <v>328.42596191216478</v>
      </c>
      <c r="AF76" s="41">
        <f>M76/'1. Väestöennuste'!O76*1000</f>
        <v>340.82277580071178</v>
      </c>
      <c r="AG76" s="41">
        <f>N76/'1. Väestöennuste'!P76*1000</f>
        <v>353.22603455202886</v>
      </c>
      <c r="AH76" s="41">
        <f>O76/'1. Väestöennuste'!Q76*1000</f>
        <v>370.27642122183954</v>
      </c>
      <c r="AI76" s="41">
        <f>P76/'1. Väestöennuste'!R76*1000</f>
        <v>387.86382794424264</v>
      </c>
    </row>
    <row r="77" spans="1:35" x14ac:dyDescent="0.25">
      <c r="A77" s="30">
        <v>205</v>
      </c>
      <c r="B77" s="31" t="s">
        <v>391</v>
      </c>
      <c r="C77" s="41">
        <v>13239</v>
      </c>
      <c r="D77" s="41">
        <v>13624</v>
      </c>
      <c r="E77" s="41">
        <v>15654</v>
      </c>
      <c r="F77" s="41">
        <v>14882</v>
      </c>
      <c r="G77" s="41">
        <v>17821</v>
      </c>
      <c r="H77" s="41">
        <v>15649</v>
      </c>
      <c r="I77" s="165">
        <v>17581.50445</v>
      </c>
      <c r="J77" s="41">
        <v>16181.24749</v>
      </c>
      <c r="K77" s="41">
        <v>18300.22364</v>
      </c>
      <c r="L77" s="41">
        <v>16636.901999999998</v>
      </c>
      <c r="M77" s="41">
        <v>17061.624</v>
      </c>
      <c r="N77" s="41">
        <v>17142.624</v>
      </c>
      <c r="O77" s="41">
        <f t="shared" si="5"/>
        <v>17695.75374461661</v>
      </c>
      <c r="P77" s="41">
        <f t="shared" si="5"/>
        <v>18248.883489233216</v>
      </c>
      <c r="Q77" s="165"/>
      <c r="T77" s="34">
        <v>205</v>
      </c>
      <c r="U77" s="88" t="s">
        <v>391</v>
      </c>
      <c r="V77" s="41">
        <f>C77/'1. Väestöennuste'!E77*1000</f>
        <v>351.89516772101433</v>
      </c>
      <c r="W77" s="41">
        <f>D77/'1. Väestöennuste'!F77*1000</f>
        <v>363.10332880253725</v>
      </c>
      <c r="X77" s="41">
        <f>E77/'1. Väestöennuste'!G77*1000</f>
        <v>420.36574558930158</v>
      </c>
      <c r="Y77" s="41">
        <f>F77/'1. Väestöennuste'!H77*1000</f>
        <v>402.50993968571657</v>
      </c>
      <c r="Z77" s="41">
        <f>G77/'1. Väestöennuste'!I77*1000</f>
        <v>485.46677926394074</v>
      </c>
      <c r="AA77" s="41">
        <f>H77/'1. Väestöennuste'!J77*1000</f>
        <v>427.95416632482841</v>
      </c>
      <c r="AB77" s="41">
        <f>I77/'1. Väestöennuste'!K77*1000</f>
        <v>481.77744909982738</v>
      </c>
      <c r="AC77" s="41">
        <f>J77/'1. Väestöennuste'!L77*1000</f>
        <v>445.80123674132847</v>
      </c>
      <c r="AD77" s="41">
        <f>K77/'1. Väestöennuste'!M77*1000</f>
        <v>501.19748144496481</v>
      </c>
      <c r="AE77" s="41">
        <f>L77/'1. Väestöennuste'!N77*1000</f>
        <v>463.59132833616621</v>
      </c>
      <c r="AF77" s="41">
        <f>M77/'1. Väestöennuste'!O77*1000</f>
        <v>477.88986611394319</v>
      </c>
      <c r="AG77" s="41">
        <f>N77/'1. Väestöennuste'!P77*1000</f>
        <v>482.7548296254576</v>
      </c>
      <c r="AH77" s="41">
        <f>O77/'1. Väestöennuste'!Q77*1000</f>
        <v>500.99809588110787</v>
      </c>
      <c r="AI77" s="41">
        <f>P77/'1. Väestöennuste'!R77*1000</f>
        <v>519.54116695325877</v>
      </c>
    </row>
    <row r="78" spans="1:35" x14ac:dyDescent="0.25">
      <c r="A78" s="30">
        <v>208</v>
      </c>
      <c r="B78" s="31" t="s">
        <v>392</v>
      </c>
      <c r="C78" s="41">
        <v>4758</v>
      </c>
      <c r="D78" s="41">
        <v>6117</v>
      </c>
      <c r="E78" s="41">
        <v>5503</v>
      </c>
      <c r="F78" s="41">
        <v>7189</v>
      </c>
      <c r="G78" s="41">
        <v>5866</v>
      </c>
      <c r="H78" s="41">
        <v>5614</v>
      </c>
      <c r="I78" s="165">
        <v>5441.8330700000006</v>
      </c>
      <c r="J78" s="41">
        <v>5341.1846100000002</v>
      </c>
      <c r="K78" s="41">
        <v>7036.7906600000006</v>
      </c>
      <c r="L78" s="41">
        <v>4880.1000000000004</v>
      </c>
      <c r="M78" s="41">
        <v>4932.6000000000004</v>
      </c>
      <c r="N78" s="41">
        <v>5544.9</v>
      </c>
      <c r="O78" s="41">
        <f t="shared" si="5"/>
        <v>5723.8136319459973</v>
      </c>
      <c r="P78" s="41">
        <f t="shared" si="5"/>
        <v>5902.7272638919949</v>
      </c>
      <c r="Q78" s="165"/>
      <c r="T78" s="34">
        <v>208</v>
      </c>
      <c r="U78" s="88" t="s">
        <v>392</v>
      </c>
      <c r="V78" s="41">
        <f>C78/'1. Väestöennuste'!E78*1000</f>
        <v>376.99072973615404</v>
      </c>
      <c r="W78" s="41">
        <f>D78/'1. Väestöennuste'!F78*1000</f>
        <v>486.01620848561896</v>
      </c>
      <c r="X78" s="41">
        <f>E78/'1. Väestöennuste'!G78*1000</f>
        <v>439.67721316714602</v>
      </c>
      <c r="Y78" s="41">
        <f>F78/'1. Väestöennuste'!H78*1000</f>
        <v>580.36651328005166</v>
      </c>
      <c r="Z78" s="41">
        <f>G78/'1. Väestöennuste'!I78*1000</f>
        <v>474.09682372908753</v>
      </c>
      <c r="AA78" s="41">
        <f>H78/'1. Väestöennuste'!J78*1000</f>
        <v>452.74193548387098</v>
      </c>
      <c r="AB78" s="41">
        <f>I78/'1. Väestöennuste'!K78*1000</f>
        <v>438.43321543667423</v>
      </c>
      <c r="AC78" s="41">
        <f>J78/'1. Väestöennuste'!L78*1000</f>
        <v>433.01050749898661</v>
      </c>
      <c r="AD78" s="41">
        <f>K78/'1. Väestöennuste'!M78*1000</f>
        <v>568.76743129647605</v>
      </c>
      <c r="AE78" s="41">
        <f>L78/'1. Väestöennuste'!N78*1000</f>
        <v>399.48428290766213</v>
      </c>
      <c r="AF78" s="41">
        <f>M78/'1. Väestöennuste'!O78*1000</f>
        <v>405.6748087836171</v>
      </c>
      <c r="AG78" s="41">
        <f>N78/'1. Väestöennuste'!P78*1000</f>
        <v>458.25619834710739</v>
      </c>
      <c r="AH78" s="41">
        <f>O78/'1. Väestöennuste'!Q78*1000</f>
        <v>475.47878650490094</v>
      </c>
      <c r="AI78" s="41">
        <f>P78/'1. Väestöennuste'!R78*1000</f>
        <v>492.96202304092157</v>
      </c>
    </row>
    <row r="79" spans="1:35" x14ac:dyDescent="0.25">
      <c r="A79" s="30">
        <v>211</v>
      </c>
      <c r="B79" s="31" t="s">
        <v>393</v>
      </c>
      <c r="C79" s="41">
        <v>15388</v>
      </c>
      <c r="D79" s="41">
        <v>12848</v>
      </c>
      <c r="E79" s="41">
        <v>13403</v>
      </c>
      <c r="F79" s="41">
        <v>11827</v>
      </c>
      <c r="G79" s="41">
        <v>13335</v>
      </c>
      <c r="H79" s="41">
        <v>12710</v>
      </c>
      <c r="I79" s="165">
        <v>14313.221619999998</v>
      </c>
      <c r="J79" s="41">
        <v>14664.468080000001</v>
      </c>
      <c r="K79" s="41">
        <v>16859.372309999999</v>
      </c>
      <c r="L79" s="41">
        <v>19483.427</v>
      </c>
      <c r="M79" s="41">
        <v>20675.206999999999</v>
      </c>
      <c r="N79" s="41">
        <v>23377.683000000001</v>
      </c>
      <c r="O79" s="41">
        <f t="shared" ref="O79:P142" si="6">N79*O$6</f>
        <v>24131.99528191892</v>
      </c>
      <c r="P79" s="41">
        <f t="shared" si="6"/>
        <v>24886.30756383784</v>
      </c>
      <c r="Q79" s="165"/>
      <c r="T79" s="34">
        <v>211</v>
      </c>
      <c r="U79" s="88" t="s">
        <v>393</v>
      </c>
      <c r="V79" s="41">
        <f>C79/'1. Väestöennuste'!E79*1000</f>
        <v>502.76080635148821</v>
      </c>
      <c r="W79" s="41">
        <f>D79/'1. Väestöennuste'!F79*1000</f>
        <v>411.9268996473229</v>
      </c>
      <c r="X79" s="41">
        <f>E79/'1. Väestöennuste'!G79*1000</f>
        <v>426.34475299805962</v>
      </c>
      <c r="Y79" s="41">
        <f>F79/'1. Väestöennuste'!H79*1000</f>
        <v>373.37416340447027</v>
      </c>
      <c r="Z79" s="41">
        <f>G79/'1. Väestöennuste'!I79*1000</f>
        <v>418.44483494414459</v>
      </c>
      <c r="AA79" s="41">
        <f>H79/'1. Väestöennuste'!J79*1000</f>
        <v>394.54895387098776</v>
      </c>
      <c r="AB79" s="41">
        <f>I79/'1. Väestöennuste'!K79*1000</f>
        <v>438.75978235546557</v>
      </c>
      <c r="AC79" s="41">
        <f>J79/'1. Väestöennuste'!L79*1000</f>
        <v>444.93061318607965</v>
      </c>
      <c r="AD79" s="41">
        <f>K79/'1. Väestöennuste'!M79*1000</f>
        <v>503.67078869536641</v>
      </c>
      <c r="AE79" s="41">
        <f>L79/'1. Väestöennuste'!N79*1000</f>
        <v>586.37334095765493</v>
      </c>
      <c r="AF79" s="41">
        <f>M79/'1. Väestöennuste'!O79*1000</f>
        <v>617.98203610712574</v>
      </c>
      <c r="AG79" s="41">
        <f>N79/'1. Väestöennuste'!P79*1000</f>
        <v>694.27663934426232</v>
      </c>
      <c r="AH79" s="41">
        <f>O79/'1. Väestöennuste'!Q79*1000</f>
        <v>712.32054082055959</v>
      </c>
      <c r="AI79" s="41">
        <f>P79/'1. Väestöennuste'!R79*1000</f>
        <v>730.33918015664983</v>
      </c>
    </row>
    <row r="80" spans="1:35" x14ac:dyDescent="0.25">
      <c r="A80" s="30">
        <v>213</v>
      </c>
      <c r="B80" s="31" t="s">
        <v>394</v>
      </c>
      <c r="C80" s="41">
        <v>1630</v>
      </c>
      <c r="D80" s="41">
        <v>1721</v>
      </c>
      <c r="E80" s="41">
        <v>1758</v>
      </c>
      <c r="F80" s="41">
        <v>1669</v>
      </c>
      <c r="G80" s="41">
        <v>1672</v>
      </c>
      <c r="H80" s="41">
        <v>1623</v>
      </c>
      <c r="I80" s="165">
        <v>1565.68156</v>
      </c>
      <c r="J80" s="41">
        <v>1506.6462099999999</v>
      </c>
      <c r="K80" s="41">
        <v>1672.4623300000001</v>
      </c>
      <c r="L80" s="41">
        <v>1446.6559999999999</v>
      </c>
      <c r="M80" s="41">
        <v>1446.6559999999999</v>
      </c>
      <c r="N80" s="41">
        <v>1446.6559999999999</v>
      </c>
      <c r="O80" s="41">
        <f t="shared" si="6"/>
        <v>1493.3342952147864</v>
      </c>
      <c r="P80" s="41">
        <f t="shared" si="6"/>
        <v>1540.0125904295728</v>
      </c>
      <c r="Q80" s="165"/>
      <c r="T80" s="34">
        <v>213</v>
      </c>
      <c r="U80" s="88" t="s">
        <v>394</v>
      </c>
      <c r="V80" s="41">
        <f>C80/'1. Väestöennuste'!E80*1000</f>
        <v>289.6233120113717</v>
      </c>
      <c r="W80" s="41">
        <f>D80/'1. Väestöennuste'!F80*1000</f>
        <v>307.15688024272714</v>
      </c>
      <c r="X80" s="41">
        <f>E80/'1. Väestöennuste'!G80*1000</f>
        <v>316.81384033159128</v>
      </c>
      <c r="Y80" s="41">
        <f>F80/'1. Väestöennuste'!H80*1000</f>
        <v>306.12619222303744</v>
      </c>
      <c r="Z80" s="41">
        <f>G80/'1. Väestöennuste'!I80*1000</f>
        <v>312.17326362957431</v>
      </c>
      <c r="AA80" s="41">
        <f>H80/'1. Väestöennuste'!J80*1000</f>
        <v>305.53463855421688</v>
      </c>
      <c r="AB80" s="41">
        <f>I80/'1. Väestöennuste'!K80*1000</f>
        <v>299.36549904397708</v>
      </c>
      <c r="AC80" s="41">
        <f>J80/'1. Väestöennuste'!L80*1000</f>
        <v>292.32561311602632</v>
      </c>
      <c r="AD80" s="41">
        <f>K80/'1. Väestöennuste'!M80*1000</f>
        <v>327.03604419241299</v>
      </c>
      <c r="AE80" s="41">
        <f>L80/'1. Väestöennuste'!N80*1000</f>
        <v>285.50542727452137</v>
      </c>
      <c r="AF80" s="41">
        <f>M80/'1. Väestöennuste'!O80*1000</f>
        <v>288.69606864897224</v>
      </c>
      <c r="AG80" s="41">
        <f>N80/'1. Väestöennuste'!P80*1000</f>
        <v>291.84103288279198</v>
      </c>
      <c r="AH80" s="41">
        <f>O80/'1. Väestöennuste'!Q80*1000</f>
        <v>304.51351860007878</v>
      </c>
      <c r="AI80" s="41">
        <f>P80/'1. Väestöennuste'!R80*1000</f>
        <v>317.33208127541167</v>
      </c>
    </row>
    <row r="81" spans="1:35" x14ac:dyDescent="0.25">
      <c r="A81" s="30">
        <v>214</v>
      </c>
      <c r="B81" s="31" t="s">
        <v>395</v>
      </c>
      <c r="C81" s="41">
        <v>2862</v>
      </c>
      <c r="D81" s="41">
        <v>3092</v>
      </c>
      <c r="E81" s="41">
        <v>4232</v>
      </c>
      <c r="F81" s="41">
        <v>4896</v>
      </c>
      <c r="G81" s="41">
        <v>3949</v>
      </c>
      <c r="H81" s="41">
        <v>4012</v>
      </c>
      <c r="I81" s="165">
        <v>5310.0736699999998</v>
      </c>
      <c r="J81" s="41">
        <v>3844.7732999999998</v>
      </c>
      <c r="K81" s="41">
        <v>4485.6679000000004</v>
      </c>
      <c r="L81" s="41">
        <v>4680</v>
      </c>
      <c r="M81" s="41">
        <v>4679.9999900000003</v>
      </c>
      <c r="N81" s="41">
        <v>4680.0001500000008</v>
      </c>
      <c r="O81" s="41">
        <f t="shared" si="6"/>
        <v>4831.0066288083317</v>
      </c>
      <c r="P81" s="41">
        <f t="shared" si="6"/>
        <v>4982.0131076166626</v>
      </c>
      <c r="Q81" s="165"/>
      <c r="T81" s="34">
        <v>214</v>
      </c>
      <c r="U81" s="88" t="s">
        <v>395</v>
      </c>
      <c r="V81" s="41">
        <f>C81/'1. Väestöennuste'!E81*1000</f>
        <v>211.03082141277099</v>
      </c>
      <c r="W81" s="41">
        <f>D81/'1. Väestöennuste'!F81*1000</f>
        <v>230.81516870707674</v>
      </c>
      <c r="X81" s="41">
        <f>E81/'1. Väestöennuste'!G81*1000</f>
        <v>318.38699969906708</v>
      </c>
      <c r="Y81" s="41">
        <f>F81/'1. Väestöennuste'!H81*1000</f>
        <v>372.68782827129479</v>
      </c>
      <c r="Z81" s="41">
        <f>G81/'1. Väestöennuste'!I81*1000</f>
        <v>305.98171393150477</v>
      </c>
      <c r="AA81" s="41">
        <f>H81/'1. Väestöennuste'!J81*1000</f>
        <v>314.46935256309769</v>
      </c>
      <c r="AB81" s="41">
        <f>I81/'1. Väestöennuste'!K81*1000</f>
        <v>419.37084741746958</v>
      </c>
      <c r="AC81" s="41">
        <f>J81/'1. Väestöennuste'!L81*1000</f>
        <v>306.89442049808429</v>
      </c>
      <c r="AD81" s="41">
        <f>K81/'1. Väestöennuste'!M81*1000</f>
        <v>361.92253509762787</v>
      </c>
      <c r="AE81" s="41">
        <f>L81/'1. Väestöennuste'!N81*1000</f>
        <v>385.59775891900802</v>
      </c>
      <c r="AF81" s="41">
        <f>M81/'1. Väestöennuste'!O81*1000</f>
        <v>390.06501000166696</v>
      </c>
      <c r="AG81" s="41">
        <f>N81/'1. Väestöennuste'!P81*1000</f>
        <v>394.40419265127264</v>
      </c>
      <c r="AH81" s="41">
        <f>O81/'1. Väestöennuste'!Q81*1000</f>
        <v>411.46466474817578</v>
      </c>
      <c r="AI81" s="41">
        <f>P81/'1. Väestöennuste'!R81*1000</f>
        <v>428.78157394067159</v>
      </c>
    </row>
    <row r="82" spans="1:35" x14ac:dyDescent="0.25">
      <c r="A82" s="30">
        <v>216</v>
      </c>
      <c r="B82" s="31" t="s">
        <v>396</v>
      </c>
      <c r="C82" s="41">
        <v>860</v>
      </c>
      <c r="D82" s="41">
        <v>1048</v>
      </c>
      <c r="E82" s="41">
        <v>1349</v>
      </c>
      <c r="F82" s="41">
        <v>1077</v>
      </c>
      <c r="G82" s="41">
        <v>1144</v>
      </c>
      <c r="H82" s="41">
        <v>1078</v>
      </c>
      <c r="I82" s="165">
        <v>662.81038000000001</v>
      </c>
      <c r="J82" s="41">
        <v>1132.82943</v>
      </c>
      <c r="K82" s="41">
        <v>1455.2382399999999</v>
      </c>
      <c r="L82" s="41">
        <v>1016.354</v>
      </c>
      <c r="M82" s="41">
        <v>1016.354</v>
      </c>
      <c r="N82" s="41">
        <v>1016.354</v>
      </c>
      <c r="O82" s="41">
        <f t="shared" si="6"/>
        <v>1049.1480243255683</v>
      </c>
      <c r="P82" s="41">
        <f t="shared" si="6"/>
        <v>1081.9420486511365</v>
      </c>
      <c r="Q82" s="165"/>
      <c r="T82" s="34">
        <v>216</v>
      </c>
      <c r="U82" s="88" t="s">
        <v>396</v>
      </c>
      <c r="V82" s="41">
        <f>C82/'1. Väestöennuste'!E82*1000</f>
        <v>588.23529411764707</v>
      </c>
      <c r="W82" s="41">
        <f>D82/'1. Väestöennuste'!F82*1000</f>
        <v>735.95505617977528</v>
      </c>
      <c r="X82" s="41">
        <f>E82/'1. Väestöennuste'!G82*1000</f>
        <v>958.09659090909099</v>
      </c>
      <c r="Y82" s="41">
        <f>F82/'1. Väestöennuste'!H82*1000</f>
        <v>796.00886917960088</v>
      </c>
      <c r="Z82" s="41">
        <f>G82/'1. Väestöennuste'!I82*1000</f>
        <v>854.36893203883494</v>
      </c>
      <c r="AA82" s="41">
        <f>H82/'1. Väestöennuste'!J82*1000</f>
        <v>814.81481481481478</v>
      </c>
      <c r="AB82" s="41">
        <f>I82/'1. Väestöennuste'!K82*1000</f>
        <v>505.57618611746756</v>
      </c>
      <c r="AC82" s="41">
        <f>J82/'1. Väestöennuste'!L82*1000</f>
        <v>892.69458628841608</v>
      </c>
      <c r="AD82" s="41">
        <f>K82/'1. Väestöennuste'!M82*1000</f>
        <v>1195.758619556286</v>
      </c>
      <c r="AE82" s="41">
        <f>L82/'1. Väestöennuste'!N82*1000</f>
        <v>818.32045088566827</v>
      </c>
      <c r="AF82" s="41">
        <f>M82/'1. Väestöennuste'!O82*1000</f>
        <v>830.35457516339875</v>
      </c>
      <c r="AG82" s="41">
        <f>N82/'1. Väestöennuste'!P82*1000</f>
        <v>839.9619834710744</v>
      </c>
      <c r="AH82" s="41">
        <f>O82/'1. Väestöennuste'!Q82*1000</f>
        <v>878.68343745859988</v>
      </c>
      <c r="AI82" s="41">
        <f>P82/'1. Väestöennuste'!R82*1000</f>
        <v>917.67773422488256</v>
      </c>
    </row>
    <row r="83" spans="1:35" x14ac:dyDescent="0.25">
      <c r="A83" s="30">
        <v>217</v>
      </c>
      <c r="B83" s="31" t="s">
        <v>397</v>
      </c>
      <c r="C83" s="41">
        <v>1074</v>
      </c>
      <c r="D83" s="41">
        <v>1145</v>
      </c>
      <c r="E83" s="41">
        <v>1114</v>
      </c>
      <c r="F83" s="41">
        <v>1116</v>
      </c>
      <c r="G83" s="41">
        <v>1159</v>
      </c>
      <c r="H83" s="41">
        <v>1230</v>
      </c>
      <c r="I83" s="165">
        <v>1165.1552099999999</v>
      </c>
      <c r="J83" s="41">
        <v>1232.9329700000001</v>
      </c>
      <c r="K83" s="41">
        <v>1496.12943</v>
      </c>
      <c r="L83" s="41">
        <v>1260.76658</v>
      </c>
      <c r="M83" s="41">
        <v>1260.76658</v>
      </c>
      <c r="N83" s="41">
        <v>1260.76658</v>
      </c>
      <c r="O83" s="41">
        <f t="shared" si="6"/>
        <v>1301.4469038767038</v>
      </c>
      <c r="P83" s="41">
        <f t="shared" si="6"/>
        <v>1342.1272277534074</v>
      </c>
      <c r="Q83" s="165"/>
      <c r="T83" s="34">
        <v>217</v>
      </c>
      <c r="U83" s="88" t="s">
        <v>397</v>
      </c>
      <c r="V83" s="41">
        <f>C83/'1. Väestöennuste'!E83*1000</f>
        <v>192.12880143112702</v>
      </c>
      <c r="W83" s="41">
        <f>D83/'1. Väestöennuste'!F83*1000</f>
        <v>205.27070634636073</v>
      </c>
      <c r="X83" s="41">
        <f>E83/'1. Väestöennuste'!G83*1000</f>
        <v>201.81159420289853</v>
      </c>
      <c r="Y83" s="41">
        <f>F83/'1. Väestöennuste'!H83*1000</f>
        <v>202.83533260632498</v>
      </c>
      <c r="Z83" s="41">
        <f>G83/'1. Väestöennuste'!I83*1000</f>
        <v>212.11566617862371</v>
      </c>
      <c r="AA83" s="41">
        <f>H83/'1. Väestöennuste'!J83*1000</f>
        <v>226.68632510136379</v>
      </c>
      <c r="AB83" s="41">
        <f>I83/'1. Väestöennuste'!K83*1000</f>
        <v>216.16979777365489</v>
      </c>
      <c r="AC83" s="41">
        <f>J83/'1. Väestöennuste'!L83*1000</f>
        <v>230.36864162929746</v>
      </c>
      <c r="AD83" s="41">
        <f>K83/'1. Väestöennuste'!M83*1000</f>
        <v>285.19432520015249</v>
      </c>
      <c r="AE83" s="41">
        <f>L83/'1. Väestöennuste'!N83*1000</f>
        <v>238.82678158742186</v>
      </c>
      <c r="AF83" s="41">
        <f>M83/'1. Väestöennuste'!O83*1000</f>
        <v>240.37494375595804</v>
      </c>
      <c r="AG83" s="41">
        <f>N83/'1. Väestöennuste'!P83*1000</f>
        <v>241.80410049865745</v>
      </c>
      <c r="AH83" s="41">
        <f>O83/'1. Väestöennuste'!Q83*1000</f>
        <v>251.00229582964394</v>
      </c>
      <c r="AI83" s="41">
        <f>P83/'1. Väestöennuste'!R83*1000</f>
        <v>260.35445737214496</v>
      </c>
    </row>
    <row r="84" spans="1:35" x14ac:dyDescent="0.25">
      <c r="A84" s="30">
        <v>218</v>
      </c>
      <c r="B84" s="31" t="s">
        <v>398</v>
      </c>
      <c r="C84" s="41">
        <v>249</v>
      </c>
      <c r="D84" s="41">
        <v>255</v>
      </c>
      <c r="E84" s="41">
        <v>254</v>
      </c>
      <c r="F84" s="41">
        <v>248</v>
      </c>
      <c r="G84" s="41">
        <v>271</v>
      </c>
      <c r="H84" s="41">
        <v>329</v>
      </c>
      <c r="I84" s="165">
        <v>300.77876000000003</v>
      </c>
      <c r="J84" s="41">
        <v>309.63528000000002</v>
      </c>
      <c r="K84" s="41">
        <v>295.76445000000001</v>
      </c>
      <c r="L84" s="41">
        <v>259.83999999999997</v>
      </c>
      <c r="M84" s="41">
        <v>259.83999999999997</v>
      </c>
      <c r="N84" s="41">
        <v>259.83999999999997</v>
      </c>
      <c r="O84" s="41">
        <f t="shared" si="6"/>
        <v>268.22408593930425</v>
      </c>
      <c r="P84" s="41">
        <f t="shared" si="6"/>
        <v>276.60817187860846</v>
      </c>
      <c r="Q84" s="165"/>
      <c r="T84" s="34">
        <v>218</v>
      </c>
      <c r="U84" s="88" t="s">
        <v>398</v>
      </c>
      <c r="V84" s="41">
        <f>C84/'1. Väestöennuste'!E84*1000</f>
        <v>181.88458728999268</v>
      </c>
      <c r="W84" s="41">
        <f>D84/'1. Väestöennuste'!F84*1000</f>
        <v>189.02891030392885</v>
      </c>
      <c r="X84" s="41">
        <f>E84/'1. Väestöennuste'!G84*1000</f>
        <v>191.12114371708049</v>
      </c>
      <c r="Y84" s="41">
        <f>F84/'1. Väestöennuste'!H84*1000</f>
        <v>194.6624803767661</v>
      </c>
      <c r="Z84" s="41">
        <f>G84/'1. Väestöennuste'!I84*1000</f>
        <v>217.67068273092369</v>
      </c>
      <c r="AA84" s="41">
        <f>H84/'1. Väestöennuste'!J84*1000</f>
        <v>272.57663628831813</v>
      </c>
      <c r="AB84" s="41">
        <f>I84/'1. Väestöennuste'!K84*1000</f>
        <v>252.33117449664434</v>
      </c>
      <c r="AC84" s="41">
        <f>J84/'1. Väestöennuste'!L84*1000</f>
        <v>258.02940000000001</v>
      </c>
      <c r="AD84" s="41">
        <f>K84/'1. Väestöennuste'!M84*1000</f>
        <v>248.95997474747475</v>
      </c>
      <c r="AE84" s="41">
        <f>L84/'1. Väestöennuste'!N84*1000</f>
        <v>234.72448057813909</v>
      </c>
      <c r="AF84" s="41">
        <f>M84/'1. Väestöennuste'!O84*1000</f>
        <v>238.8235294117647</v>
      </c>
      <c r="AG84" s="41">
        <f>N84/'1. Väestöennuste'!P84*1000</f>
        <v>242.61437908496731</v>
      </c>
      <c r="AH84" s="41">
        <f>O84/'1. Väestöennuste'!Q84*1000</f>
        <v>254.96586115903446</v>
      </c>
      <c r="AI84" s="41">
        <f>P84/'1. Väestöennuste'!R84*1000</f>
        <v>266.22538198133634</v>
      </c>
    </row>
    <row r="85" spans="1:35" x14ac:dyDescent="0.25">
      <c r="A85" s="30">
        <v>224</v>
      </c>
      <c r="B85" s="31" t="s">
        <v>399</v>
      </c>
      <c r="C85" s="41">
        <v>2000</v>
      </c>
      <c r="D85" s="41">
        <v>2465</v>
      </c>
      <c r="E85" s="41">
        <v>2762</v>
      </c>
      <c r="F85" s="41">
        <v>2957</v>
      </c>
      <c r="G85" s="41">
        <v>2897</v>
      </c>
      <c r="H85" s="41">
        <v>2935</v>
      </c>
      <c r="I85" s="165">
        <v>2869.7097599999997</v>
      </c>
      <c r="J85" s="41">
        <v>2893.1876299999999</v>
      </c>
      <c r="K85" s="41">
        <v>2888.6251099999999</v>
      </c>
      <c r="L85" s="41">
        <v>3105.8</v>
      </c>
      <c r="M85" s="41">
        <v>3221.3</v>
      </c>
      <c r="N85" s="41">
        <v>3293.86</v>
      </c>
      <c r="O85" s="41">
        <f t="shared" si="6"/>
        <v>3400.1408086208312</v>
      </c>
      <c r="P85" s="41">
        <f t="shared" si="6"/>
        <v>3506.4216172416618</v>
      </c>
      <c r="Q85" s="165"/>
      <c r="T85" s="34">
        <v>224</v>
      </c>
      <c r="U85" s="88" t="s">
        <v>399</v>
      </c>
      <c r="V85" s="41">
        <f>C85/'1. Väestöennuste'!E85*1000</f>
        <v>222.99029992195341</v>
      </c>
      <c r="W85" s="41">
        <f>D85/'1. Väestöennuste'!F85*1000</f>
        <v>276.62439681292784</v>
      </c>
      <c r="X85" s="41">
        <f>E85/'1. Väestöennuste'!G85*1000</f>
        <v>310.33707865168543</v>
      </c>
      <c r="Y85" s="41">
        <f>F85/'1. Väestöennuste'!H85*1000</f>
        <v>336.86488949646844</v>
      </c>
      <c r="Z85" s="41">
        <f>G85/'1. Väestöennuste'!I85*1000</f>
        <v>332.45352306633004</v>
      </c>
      <c r="AA85" s="41">
        <f>H85/'1. Väestöennuste'!J85*1000</f>
        <v>337.51149954001841</v>
      </c>
      <c r="AB85" s="41">
        <f>I85/'1. Väestöennuste'!K85*1000</f>
        <v>329.20841573935985</v>
      </c>
      <c r="AC85" s="41">
        <f>J85/'1. Väestöennuste'!L85*1000</f>
        <v>336.29985237707774</v>
      </c>
      <c r="AD85" s="41">
        <f>K85/'1. Väestöennuste'!M85*1000</f>
        <v>336.63035893252533</v>
      </c>
      <c r="AE85" s="41">
        <f>L85/'1. Väestöennuste'!N85*1000</f>
        <v>366.72570551422842</v>
      </c>
      <c r="AF85" s="41">
        <f>M85/'1. Väestöennuste'!O85*1000</f>
        <v>382.39553656220329</v>
      </c>
      <c r="AG85" s="41">
        <f>N85/'1. Väestöennuste'!P85*1000</f>
        <v>392.78082518483188</v>
      </c>
      <c r="AH85" s="41">
        <f>O85/'1. Väestöennuste'!Q85*1000</f>
        <v>407.25126465694467</v>
      </c>
      <c r="AI85" s="41">
        <f>P85/'1. Väestöennuste'!R85*1000</f>
        <v>421.69833039587036</v>
      </c>
    </row>
    <row r="86" spans="1:35" x14ac:dyDescent="0.25">
      <c r="A86" s="30">
        <v>226</v>
      </c>
      <c r="B86" s="31" t="s">
        <v>400</v>
      </c>
      <c r="C86" s="41">
        <v>1780</v>
      </c>
      <c r="D86" s="41">
        <v>2021</v>
      </c>
      <c r="E86" s="41">
        <v>1954</v>
      </c>
      <c r="F86" s="41">
        <v>1839</v>
      </c>
      <c r="G86" s="41">
        <v>1890</v>
      </c>
      <c r="H86" s="41">
        <v>1744</v>
      </c>
      <c r="I86" s="165">
        <v>2016.2168200000001</v>
      </c>
      <c r="J86" s="41">
        <v>1719.1723400000001</v>
      </c>
      <c r="K86" s="41">
        <v>1987.5366399999998</v>
      </c>
      <c r="L86" s="41">
        <v>1785.51</v>
      </c>
      <c r="M86" s="41">
        <v>1690</v>
      </c>
      <c r="N86" s="41">
        <v>1719</v>
      </c>
      <c r="O86" s="41">
        <f t="shared" si="6"/>
        <v>1774.4658394768473</v>
      </c>
      <c r="P86" s="41">
        <f t="shared" si="6"/>
        <v>1829.9316789536945</v>
      </c>
      <c r="Q86" s="165"/>
      <c r="T86" s="34">
        <v>226</v>
      </c>
      <c r="U86" s="88" t="s">
        <v>400</v>
      </c>
      <c r="V86" s="41">
        <f>C86/'1. Väestöennuste'!E86*1000</f>
        <v>417.05716963448924</v>
      </c>
      <c r="W86" s="41">
        <f>D86/'1. Väestöennuste'!F86*1000</f>
        <v>477.55198487712664</v>
      </c>
      <c r="X86" s="41">
        <f>E86/'1. Väestöennuste'!G86*1000</f>
        <v>471.29763627592865</v>
      </c>
      <c r="Y86" s="41">
        <f>F86/'1. Väestöennuste'!H86*1000</f>
        <v>456.21433887372859</v>
      </c>
      <c r="Z86" s="41">
        <f>G86/'1. Väestöennuste'!I86*1000</f>
        <v>478.6021777665232</v>
      </c>
      <c r="AA86" s="41">
        <f>H86/'1. Väestöennuste'!J86*1000</f>
        <v>452.04769310523585</v>
      </c>
      <c r="AB86" s="41">
        <f>I86/'1. Väestöennuste'!K86*1000</f>
        <v>534.23869104398511</v>
      </c>
      <c r="AC86" s="41">
        <f>J86/'1. Väestöennuste'!L86*1000</f>
        <v>469.07840109140517</v>
      </c>
      <c r="AD86" s="41">
        <f>K86/'1. Väestöennuste'!M86*1000</f>
        <v>548.28596965517238</v>
      </c>
      <c r="AE86" s="41">
        <f>L86/'1. Väestöennuste'!N86*1000</f>
        <v>500.9848484848485</v>
      </c>
      <c r="AF86" s="41">
        <f>M86/'1. Väestöennuste'!O86*1000</f>
        <v>482.99514146899116</v>
      </c>
      <c r="AG86" s="41">
        <f>N86/'1. Väestöennuste'!P86*1000</f>
        <v>500.29103608847493</v>
      </c>
      <c r="AH86" s="41">
        <f>O86/'1. Väestöennuste'!Q86*1000</f>
        <v>525.76765614128806</v>
      </c>
      <c r="AI86" s="41">
        <f>P86/'1. Väestöennuste'!R86*1000</f>
        <v>551.68274915697759</v>
      </c>
    </row>
    <row r="87" spans="1:35" x14ac:dyDescent="0.25">
      <c r="A87" s="30">
        <v>230</v>
      </c>
      <c r="B87" s="31" t="s">
        <v>401</v>
      </c>
      <c r="C87" s="41">
        <v>832</v>
      </c>
      <c r="D87" s="41">
        <v>813</v>
      </c>
      <c r="E87" s="41">
        <v>798</v>
      </c>
      <c r="F87" s="41">
        <v>923</v>
      </c>
      <c r="G87" s="41">
        <v>903</v>
      </c>
      <c r="H87" s="41">
        <v>840</v>
      </c>
      <c r="I87" s="165">
        <v>809.93465000000003</v>
      </c>
      <c r="J87" s="41">
        <v>808.57325000000003</v>
      </c>
      <c r="K87" s="41">
        <v>821.83652000000006</v>
      </c>
      <c r="L87" s="41">
        <v>863</v>
      </c>
      <c r="M87" s="41">
        <v>888</v>
      </c>
      <c r="N87" s="41">
        <v>897</v>
      </c>
      <c r="O87" s="41">
        <f t="shared" si="6"/>
        <v>925.94290751060623</v>
      </c>
      <c r="P87" s="41">
        <f t="shared" si="6"/>
        <v>954.88581502121235</v>
      </c>
      <c r="Q87" s="165"/>
      <c r="T87" s="34">
        <v>230</v>
      </c>
      <c r="U87" s="88" t="s">
        <v>401</v>
      </c>
      <c r="V87" s="41">
        <f>C87/'1. Väestöennuste'!E87*1000</f>
        <v>336.16161616161617</v>
      </c>
      <c r="W87" s="41">
        <f>D87/'1. Väestöennuste'!F87*1000</f>
        <v>331.97223356472028</v>
      </c>
      <c r="X87" s="41">
        <f>E87/'1. Väestöennuste'!G87*1000</f>
        <v>332.08489388264667</v>
      </c>
      <c r="Y87" s="41">
        <f>F87/'1. Väestöennuste'!H87*1000</f>
        <v>386.19246861924688</v>
      </c>
      <c r="Z87" s="41">
        <f>G87/'1. Väestöennuste'!I87*1000</f>
        <v>385.56789069171651</v>
      </c>
      <c r="AA87" s="41">
        <f>H87/'1. Väestöennuste'!J87*1000</f>
        <v>361.75710594315245</v>
      </c>
      <c r="AB87" s="41">
        <f>I87/'1. Väestöennuste'!K87*1000</f>
        <v>353.68325327510917</v>
      </c>
      <c r="AC87" s="41">
        <f>J87/'1. Väestöennuste'!L87*1000</f>
        <v>360.97020089285712</v>
      </c>
      <c r="AD87" s="41">
        <f>K87/'1. Väestöennuste'!M87*1000</f>
        <v>370.8648555956679</v>
      </c>
      <c r="AE87" s="41">
        <f>L87/'1. Väestöennuste'!N87*1000</f>
        <v>390.67451335445901</v>
      </c>
      <c r="AF87" s="41">
        <f>M87/'1. Väestöennuste'!O87*1000</f>
        <v>406.77966101694921</v>
      </c>
      <c r="AG87" s="41">
        <f>N87/'1. Väestöennuste'!P87*1000</f>
        <v>415.08560851457662</v>
      </c>
      <c r="AH87" s="41">
        <f>O87/'1. Väestöennuste'!Q87*1000</f>
        <v>432.68360164047021</v>
      </c>
      <c r="AI87" s="41">
        <f>P87/'1. Väestöennuste'!R87*1000</f>
        <v>450.4178372741568</v>
      </c>
    </row>
    <row r="88" spans="1:35" x14ac:dyDescent="0.25">
      <c r="A88" s="30">
        <v>231</v>
      </c>
      <c r="B88" s="31" t="s">
        <v>402</v>
      </c>
      <c r="C88" s="41">
        <v>900</v>
      </c>
      <c r="D88" s="41">
        <v>875</v>
      </c>
      <c r="E88" s="41">
        <v>855</v>
      </c>
      <c r="F88" s="41">
        <v>1625</v>
      </c>
      <c r="G88" s="41">
        <v>955</v>
      </c>
      <c r="H88" s="41">
        <v>1059</v>
      </c>
      <c r="I88" s="165">
        <v>683.67268999999999</v>
      </c>
      <c r="J88" s="41">
        <v>658.44054000000006</v>
      </c>
      <c r="K88" s="41">
        <v>665.60033999999996</v>
      </c>
      <c r="L88" s="41">
        <v>687.1</v>
      </c>
      <c r="M88" s="41">
        <v>687.1</v>
      </c>
      <c r="N88" s="41">
        <v>682.6</v>
      </c>
      <c r="O88" s="41">
        <f t="shared" si="6"/>
        <v>704.62500408778124</v>
      </c>
      <c r="P88" s="41">
        <f t="shared" si="6"/>
        <v>726.65000817556245</v>
      </c>
      <c r="Q88" s="165"/>
      <c r="T88" s="34">
        <v>231</v>
      </c>
      <c r="U88" s="88" t="s">
        <v>402</v>
      </c>
      <c r="V88" s="41">
        <f>C88/'1. Väestöennuste'!E88*1000</f>
        <v>700.38910505836566</v>
      </c>
      <c r="W88" s="41">
        <f>D88/'1. Väestöennuste'!F88*1000</f>
        <v>675.15432098765427</v>
      </c>
      <c r="X88" s="41">
        <f>E88/'1. Väestöennuste'!G88*1000</f>
        <v>671.11459968602821</v>
      </c>
      <c r="Y88" s="41">
        <f>F88/'1. Väestöennuste'!H88*1000</f>
        <v>1287.6386687797149</v>
      </c>
      <c r="Z88" s="41">
        <f>G88/'1. Väestöennuste'!I88*1000</f>
        <v>766.45264847512044</v>
      </c>
      <c r="AA88" s="41">
        <f>H88/'1. Väestöennuste'!J88*1000</f>
        <v>828.63849765258215</v>
      </c>
      <c r="AB88" s="41">
        <f>I88/'1. Väestöennuste'!K88*1000</f>
        <v>530.3899844840962</v>
      </c>
      <c r="AC88" s="41">
        <f>J88/'1. Väestöennuste'!L88*1000</f>
        <v>524.23609872611462</v>
      </c>
      <c r="AD88" s="41">
        <f>K88/'1. Väestöennuste'!M88*1000</f>
        <v>550.99365894039727</v>
      </c>
      <c r="AE88" s="41">
        <f>L88/'1. Väestöennuste'!N88*1000</f>
        <v>527.72657450076815</v>
      </c>
      <c r="AF88" s="41">
        <f>M88/'1. Väestöennuste'!O88*1000</f>
        <v>526.11026033690655</v>
      </c>
      <c r="AG88" s="41">
        <f>N88/'1. Väestöennuste'!P88*1000</f>
        <v>520.67124332570563</v>
      </c>
      <c r="AH88" s="41">
        <f>O88/'1. Väestöennuste'!Q88*1000</f>
        <v>536.2442953483876</v>
      </c>
      <c r="AI88" s="41">
        <f>P88/'1. Väestöennuste'!R88*1000</f>
        <v>551.74639952586369</v>
      </c>
    </row>
    <row r="89" spans="1:35" x14ac:dyDescent="0.25">
      <c r="A89" s="30">
        <v>232</v>
      </c>
      <c r="B89" s="31" t="s">
        <v>403</v>
      </c>
      <c r="C89" s="41">
        <v>4276</v>
      </c>
      <c r="D89" s="41">
        <v>4376</v>
      </c>
      <c r="E89" s="41">
        <v>4557</v>
      </c>
      <c r="F89" s="41">
        <v>4483</v>
      </c>
      <c r="G89" s="41">
        <v>4940</v>
      </c>
      <c r="H89" s="41">
        <v>4754</v>
      </c>
      <c r="I89" s="165">
        <v>5579.1940100000002</v>
      </c>
      <c r="J89" s="41">
        <v>5176.2645499999999</v>
      </c>
      <c r="K89" s="41">
        <v>5360.9909699999998</v>
      </c>
      <c r="L89" s="41">
        <v>5650</v>
      </c>
      <c r="M89" s="41">
        <v>5600</v>
      </c>
      <c r="N89" s="41">
        <v>5600</v>
      </c>
      <c r="O89" s="41">
        <f t="shared" si="6"/>
        <v>5780.691507312592</v>
      </c>
      <c r="P89" s="41">
        <f t="shared" si="6"/>
        <v>5961.383014625183</v>
      </c>
      <c r="Q89" s="165"/>
      <c r="T89" s="34">
        <v>232</v>
      </c>
      <c r="U89" s="88" t="s">
        <v>403</v>
      </c>
      <c r="V89" s="41">
        <f>C89/'1. Väestöennuste'!E89*1000</f>
        <v>308.18018018018017</v>
      </c>
      <c r="W89" s="41">
        <f>D89/'1. Väestöennuste'!F89*1000</f>
        <v>317.7461516119663</v>
      </c>
      <c r="X89" s="41">
        <f>E89/'1. Väestöennuste'!G89*1000</f>
        <v>334.8273328434974</v>
      </c>
      <c r="Y89" s="41">
        <f>F89/'1. Väestöennuste'!H89*1000</f>
        <v>335.17757009345792</v>
      </c>
      <c r="Z89" s="41">
        <f>G89/'1. Väestöennuste'!I89*1000</f>
        <v>374.69660194174759</v>
      </c>
      <c r="AA89" s="41">
        <f>H89/'1. Väestöennuste'!J89*1000</f>
        <v>365.49550242177287</v>
      </c>
      <c r="AB89" s="41">
        <f>I89/'1. Väestöennuste'!K89*1000</f>
        <v>432.83118774243599</v>
      </c>
      <c r="AC89" s="41">
        <f>J89/'1. Väestöennuste'!L89*1000</f>
        <v>405.98153333333329</v>
      </c>
      <c r="AD89" s="41">
        <f>K89/'1. Väestöennuste'!M89*1000</f>
        <v>424.86851878269141</v>
      </c>
      <c r="AE89" s="41">
        <f>L89/'1. Väestöennuste'!N89*1000</f>
        <v>456.16018084934603</v>
      </c>
      <c r="AF89" s="41">
        <f>M89/'1. Väestöennuste'!O89*1000</f>
        <v>457.10554240470162</v>
      </c>
      <c r="AG89" s="41">
        <f>N89/'1. Väestöennuste'!P89*1000</f>
        <v>462.04620462046205</v>
      </c>
      <c r="AH89" s="41">
        <f>O89/'1. Väestöennuste'!Q89*1000</f>
        <v>482.16627803091097</v>
      </c>
      <c r="AI89" s="41">
        <f>P89/'1. Väestöennuste'!R89*1000</f>
        <v>502.85812017082941</v>
      </c>
    </row>
    <row r="90" spans="1:35" x14ac:dyDescent="0.25">
      <c r="A90" s="30">
        <v>233</v>
      </c>
      <c r="B90" s="31" t="s">
        <v>404</v>
      </c>
      <c r="C90" s="41">
        <v>4150</v>
      </c>
      <c r="D90" s="41">
        <v>5345</v>
      </c>
      <c r="E90" s="41">
        <v>6186</v>
      </c>
      <c r="F90" s="41">
        <v>5984</v>
      </c>
      <c r="G90" s="41">
        <v>8008</v>
      </c>
      <c r="H90" s="41">
        <v>6231</v>
      </c>
      <c r="I90" s="165">
        <v>6239.7697400000006</v>
      </c>
      <c r="J90" s="41">
        <v>6410.5410700000002</v>
      </c>
      <c r="K90" s="41">
        <v>8507.0574499999984</v>
      </c>
      <c r="L90" s="41">
        <v>5762.82</v>
      </c>
      <c r="M90" s="41">
        <v>6324</v>
      </c>
      <c r="N90" s="41">
        <v>6441</v>
      </c>
      <c r="O90" s="41">
        <f t="shared" si="6"/>
        <v>6648.8274997500721</v>
      </c>
      <c r="P90" s="41">
        <f t="shared" si="6"/>
        <v>6856.6549995001433</v>
      </c>
      <c r="Q90" s="165"/>
      <c r="T90" s="34">
        <v>233</v>
      </c>
      <c r="U90" s="88" t="s">
        <v>404</v>
      </c>
      <c r="V90" s="41">
        <f>C90/'1. Väestöennuste'!E90*1000</f>
        <v>247.25929456625357</v>
      </c>
      <c r="W90" s="41">
        <f>D90/'1. Väestöennuste'!F90*1000</f>
        <v>322.00734984035182</v>
      </c>
      <c r="X90" s="41">
        <f>E90/'1. Väestöennuste'!G90*1000</f>
        <v>380.02211573903429</v>
      </c>
      <c r="Y90" s="41">
        <f>F90/'1. Väestöennuste'!H90*1000</f>
        <v>373.4864561228311</v>
      </c>
      <c r="Z90" s="41">
        <f>G90/'1. Väestöennuste'!I90*1000</f>
        <v>509.22039933867478</v>
      </c>
      <c r="AA90" s="41">
        <f>H90/'1. Väestöennuste'!J90*1000</f>
        <v>401.63723088823002</v>
      </c>
      <c r="AB90" s="41">
        <f>I90/'1. Väestöennuste'!K90*1000</f>
        <v>407.508473092999</v>
      </c>
      <c r="AC90" s="41">
        <f>J90/'1. Väestöennuste'!L90*1000</f>
        <v>424.08977705742262</v>
      </c>
      <c r="AD90" s="41">
        <f>K90/'1. Väestöennuste'!M90*1000</f>
        <v>560.96653148697646</v>
      </c>
      <c r="AE90" s="41">
        <f>L90/'1. Väestöennuste'!N90*1000</f>
        <v>394.30858706808067</v>
      </c>
      <c r="AF90" s="41">
        <f>M90/'1. Väestöennuste'!O90*1000</f>
        <v>438.80099916736054</v>
      </c>
      <c r="AG90" s="41">
        <f>N90/'1. Väestöennuste'!P90*1000</f>
        <v>453.1129088990503</v>
      </c>
      <c r="AH90" s="41">
        <f>O90/'1. Väestöennuste'!Q90*1000</f>
        <v>474.0358976008892</v>
      </c>
      <c r="AI90" s="41">
        <f>P90/'1. Väestöennuste'!R90*1000</f>
        <v>495.35146651496478</v>
      </c>
    </row>
    <row r="91" spans="1:35" x14ac:dyDescent="0.25">
      <c r="A91" s="30">
        <v>235</v>
      </c>
      <c r="B91" s="31" t="s">
        <v>405</v>
      </c>
      <c r="C91" s="41">
        <v>6780</v>
      </c>
      <c r="D91" s="41">
        <v>6781</v>
      </c>
      <c r="E91" s="41">
        <v>7356</v>
      </c>
      <c r="F91" s="41">
        <v>7245</v>
      </c>
      <c r="G91" s="41">
        <v>7799</v>
      </c>
      <c r="H91" s="41">
        <v>8494</v>
      </c>
      <c r="I91" s="165">
        <v>8572.7950399999991</v>
      </c>
      <c r="J91" s="41">
        <v>8469.3805800000009</v>
      </c>
      <c r="K91" s="41">
        <v>8981.0427</v>
      </c>
      <c r="L91" s="41">
        <v>11105</v>
      </c>
      <c r="M91" s="41">
        <v>10967</v>
      </c>
      <c r="N91" s="41">
        <v>11113</v>
      </c>
      <c r="O91" s="41">
        <f t="shared" si="6"/>
        <v>11471.57584299372</v>
      </c>
      <c r="P91" s="41">
        <f t="shared" si="6"/>
        <v>11830.151685987439</v>
      </c>
      <c r="Q91" s="165"/>
      <c r="T91" s="34">
        <v>235</v>
      </c>
      <c r="U91" s="88" t="s">
        <v>405</v>
      </c>
      <c r="V91" s="41">
        <f>C91/'1. Väestöennuste'!E91*1000</f>
        <v>714.73750790638837</v>
      </c>
      <c r="W91" s="41">
        <f>D91/'1. Väestöennuste'!F91*1000</f>
        <v>721.61328083430885</v>
      </c>
      <c r="X91" s="41">
        <f>E91/'1. Väestöennuste'!G91*1000</f>
        <v>764.33915211970077</v>
      </c>
      <c r="Y91" s="41">
        <f>F91/'1. Väestöennuste'!H91*1000</f>
        <v>753.51014040561631</v>
      </c>
      <c r="Z91" s="41">
        <f>G91/'1. Väestöennuste'!I91*1000</f>
        <v>796.0600183729714</v>
      </c>
      <c r="AA91" s="41">
        <f>H91/'1. Väestöennuste'!J91*1000</f>
        <v>834.54509726861863</v>
      </c>
      <c r="AB91" s="41">
        <f>I91/'1. Väestöennuste'!K91*1000</f>
        <v>824.62437860715659</v>
      </c>
      <c r="AC91" s="41">
        <f>J91/'1. Väestöennuste'!L91*1000</f>
        <v>823.54925904317395</v>
      </c>
      <c r="AD91" s="41">
        <f>K91/'1. Väestöennuste'!M91*1000</f>
        <v>874.49296007789678</v>
      </c>
      <c r="AE91" s="41">
        <f>L91/'1. Väestöennuste'!N91*1000</f>
        <v>1039.8913755969661</v>
      </c>
      <c r="AF91" s="41">
        <f>M91/'1. Väestöennuste'!O91*1000</f>
        <v>1015.1809682495602</v>
      </c>
      <c r="AG91" s="41">
        <f>N91/'1. Väestöennuste'!P91*1000</f>
        <v>1017.301354815086</v>
      </c>
      <c r="AH91" s="41">
        <f>O91/'1. Väestöennuste'!Q91*1000</f>
        <v>1039.2802901788114</v>
      </c>
      <c r="AI91" s="41">
        <f>P91/'1. Väestöennuste'!R91*1000</f>
        <v>1061.2856989313213</v>
      </c>
    </row>
    <row r="92" spans="1:35" x14ac:dyDescent="0.25">
      <c r="A92" s="30">
        <v>236</v>
      </c>
      <c r="B92" s="31" t="s">
        <v>406</v>
      </c>
      <c r="C92" s="41">
        <v>1112</v>
      </c>
      <c r="D92" s="41">
        <v>1257</v>
      </c>
      <c r="E92" s="41">
        <v>1486</v>
      </c>
      <c r="F92" s="41">
        <v>1366</v>
      </c>
      <c r="G92" s="41">
        <v>1456</v>
      </c>
      <c r="H92" s="41">
        <v>1585</v>
      </c>
      <c r="I92" s="165">
        <v>1524.87718</v>
      </c>
      <c r="J92" s="41">
        <v>1675.66031</v>
      </c>
      <c r="K92" s="41">
        <v>1730.60751</v>
      </c>
      <c r="L92" s="41">
        <v>1624.5519999999999</v>
      </c>
      <c r="M92" s="41">
        <v>1600</v>
      </c>
      <c r="N92" s="41">
        <v>1600</v>
      </c>
      <c r="O92" s="41">
        <f t="shared" si="6"/>
        <v>1651.6261449464548</v>
      </c>
      <c r="P92" s="41">
        <f t="shared" si="6"/>
        <v>1703.2522898929094</v>
      </c>
      <c r="Q92" s="165"/>
      <c r="T92" s="34">
        <v>236</v>
      </c>
      <c r="U92" s="88" t="s">
        <v>406</v>
      </c>
      <c r="V92" s="41">
        <f>C92/'1. Väestöennuste'!E92*1000</f>
        <v>258.3042973286876</v>
      </c>
      <c r="W92" s="41">
        <f>D92/'1. Väestöennuste'!F92*1000</f>
        <v>292.4616100511866</v>
      </c>
      <c r="X92" s="41">
        <f>E92/'1. Väestöennuste'!G92*1000</f>
        <v>344.85959619401251</v>
      </c>
      <c r="Y92" s="41">
        <f>F92/'1. Väestöennuste'!H92*1000</f>
        <v>319.6817224432483</v>
      </c>
      <c r="Z92" s="41">
        <f>G92/'1. Väestöennuste'!I92*1000</f>
        <v>341.70382539310026</v>
      </c>
      <c r="AA92" s="41">
        <f>H92/'1. Väestöennuste'!J92*1000</f>
        <v>374.88174077578049</v>
      </c>
      <c r="AB92" s="41">
        <f>I92/'1. Väestöennuste'!K92*1000</f>
        <v>363.41210200190653</v>
      </c>
      <c r="AC92" s="41">
        <f>J92/'1. Väestöennuste'!L92*1000</f>
        <v>399.15681515007145</v>
      </c>
      <c r="AD92" s="41">
        <f>K92/'1. Väestöennuste'!M92*1000</f>
        <v>418.32427121102251</v>
      </c>
      <c r="AE92" s="41">
        <f>L92/'1. Väestöennuste'!N92*1000</f>
        <v>394.30873786407767</v>
      </c>
      <c r="AF92" s="41">
        <f>M92/'1. Väestöennuste'!O92*1000</f>
        <v>391.29371484470533</v>
      </c>
      <c r="AG92" s="41">
        <f>N92/'1. Väestöennuste'!P92*1000</f>
        <v>394.28289797930017</v>
      </c>
      <c r="AH92" s="41">
        <f>O92/'1. Väestöennuste'!Q92*1000</f>
        <v>410.13810403438163</v>
      </c>
      <c r="AI92" s="41">
        <f>P92/'1. Väestöennuste'!R92*1000</f>
        <v>426.23931178501232</v>
      </c>
    </row>
    <row r="93" spans="1:35" x14ac:dyDescent="0.25">
      <c r="A93" s="30">
        <v>239</v>
      </c>
      <c r="B93" s="31" t="s">
        <v>407</v>
      </c>
      <c r="C93" s="41">
        <v>500</v>
      </c>
      <c r="D93" s="41">
        <v>566</v>
      </c>
      <c r="E93" s="41">
        <v>597</v>
      </c>
      <c r="F93" s="41">
        <v>553</v>
      </c>
      <c r="G93" s="41">
        <v>574</v>
      </c>
      <c r="H93" s="41">
        <v>572</v>
      </c>
      <c r="I93" s="165">
        <v>761.63867000000005</v>
      </c>
      <c r="J93" s="41">
        <v>773.31025999999997</v>
      </c>
      <c r="K93" s="41">
        <v>715.62307999999996</v>
      </c>
      <c r="L93" s="41">
        <v>689.83</v>
      </c>
      <c r="M93" s="41">
        <v>690</v>
      </c>
      <c r="N93" s="41">
        <v>690</v>
      </c>
      <c r="O93" s="41">
        <f t="shared" si="6"/>
        <v>712.26377500815863</v>
      </c>
      <c r="P93" s="41">
        <f t="shared" si="6"/>
        <v>734.52755001631715</v>
      </c>
      <c r="Q93" s="165"/>
      <c r="T93" s="34">
        <v>239</v>
      </c>
      <c r="U93" s="88" t="s">
        <v>407</v>
      </c>
      <c r="V93" s="41">
        <f>C93/'1. Väestöennuste'!E93*1000</f>
        <v>210.17234131988229</v>
      </c>
      <c r="W93" s="41">
        <f>D93/'1. Väestöennuste'!F93*1000</f>
        <v>241.26172208013642</v>
      </c>
      <c r="X93" s="41">
        <f>E93/'1. Väestöennuste'!G93*1000</f>
        <v>258.55348635773061</v>
      </c>
      <c r="Y93" s="41">
        <f>F93/'1. Väestöennuste'!H93*1000</f>
        <v>246.4349376114082</v>
      </c>
      <c r="Z93" s="41">
        <f>G93/'1. Väestöennuste'!I93*1000</f>
        <v>260.67211625794732</v>
      </c>
      <c r="AA93" s="41">
        <f>H93/'1. Väestöennuste'!J93*1000</f>
        <v>265.42923433874711</v>
      </c>
      <c r="AB93" s="41">
        <f>I93/'1. Väestöennuste'!K93*1000</f>
        <v>363.55067780429596</v>
      </c>
      <c r="AC93" s="41">
        <f>J93/'1. Väestöennuste'!L93*1000</f>
        <v>381.12876293740754</v>
      </c>
      <c r="AD93" s="41">
        <f>K93/'1. Väestöennuste'!M93*1000</f>
        <v>351.65753316953311</v>
      </c>
      <c r="AE93" s="41">
        <f>L93/'1. Väestöennuste'!N93*1000</f>
        <v>344.05486284289276</v>
      </c>
      <c r="AF93" s="41">
        <f>M93/'1. Väestöennuste'!O93*1000</f>
        <v>350.07610350076101</v>
      </c>
      <c r="AG93" s="41">
        <f>N93/'1. Väestöennuste'!P93*1000</f>
        <v>355.12094698919196</v>
      </c>
      <c r="AH93" s="41">
        <f>O93/'1. Väestöennuste'!Q93*1000</f>
        <v>372.13363375556878</v>
      </c>
      <c r="AI93" s="41">
        <f>P93/'1. Väestöennuste'!R93*1000</f>
        <v>388.84465326432883</v>
      </c>
    </row>
    <row r="94" spans="1:35" x14ac:dyDescent="0.25">
      <c r="A94" s="30">
        <v>240</v>
      </c>
      <c r="B94" s="31" t="s">
        <v>408</v>
      </c>
      <c r="C94" s="41">
        <v>4550</v>
      </c>
      <c r="D94" s="41">
        <v>4138</v>
      </c>
      <c r="E94" s="41">
        <v>4149</v>
      </c>
      <c r="F94" s="41">
        <v>4616</v>
      </c>
      <c r="G94" s="41">
        <v>5087</v>
      </c>
      <c r="H94" s="41">
        <v>5094</v>
      </c>
      <c r="I94" s="165">
        <v>9287.3790000000008</v>
      </c>
      <c r="J94" s="41">
        <v>4976.1402900000003</v>
      </c>
      <c r="K94" s="41">
        <v>5448.6284000000005</v>
      </c>
      <c r="L94" s="41">
        <v>4900</v>
      </c>
      <c r="M94" s="41">
        <v>4900</v>
      </c>
      <c r="N94" s="41">
        <v>4800</v>
      </c>
      <c r="O94" s="41">
        <f t="shared" si="6"/>
        <v>4954.8784348393647</v>
      </c>
      <c r="P94" s="41">
        <f t="shared" si="6"/>
        <v>5109.7568696787284</v>
      </c>
      <c r="Q94" s="165"/>
      <c r="T94" s="34">
        <v>240</v>
      </c>
      <c r="U94" s="88" t="s">
        <v>408</v>
      </c>
      <c r="V94" s="41">
        <f>C94/'1. Väestöennuste'!E94*1000</f>
        <v>209.11848515488558</v>
      </c>
      <c r="W94" s="41">
        <f>D94/'1. Väestöennuste'!F94*1000</f>
        <v>191.55633737616887</v>
      </c>
      <c r="X94" s="41">
        <f>E94/'1. Väestöennuste'!G94*1000</f>
        <v>195.19194580353783</v>
      </c>
      <c r="Y94" s="41">
        <f>F94/'1. Väestöennuste'!H94*1000</f>
        <v>219.58993387564814</v>
      </c>
      <c r="Z94" s="41">
        <f>G94/'1. Väestöennuste'!I94*1000</f>
        <v>245.66571690732601</v>
      </c>
      <c r="AA94" s="41">
        <f>H94/'1. Väestöennuste'!J94*1000</f>
        <v>249.25380437441893</v>
      </c>
      <c r="AB94" s="41">
        <f>I94/'1. Väestöennuste'!K94*1000</f>
        <v>464.78725853267946</v>
      </c>
      <c r="AC94" s="41">
        <f>J94/'1. Väestöennuste'!L94*1000</f>
        <v>255.19976870608753</v>
      </c>
      <c r="AD94" s="41">
        <f>K94/'1. Väestöennuste'!M94*1000</f>
        <v>281.27760053688507</v>
      </c>
      <c r="AE94" s="41">
        <f>L94/'1. Väestöennuste'!N94*1000</f>
        <v>253.33471202564368</v>
      </c>
      <c r="AF94" s="41">
        <f>M94/'1. Väestöennuste'!O94*1000</f>
        <v>256.62511783806428</v>
      </c>
      <c r="AG94" s="41">
        <f>N94/'1. Väestöennuste'!P94*1000</f>
        <v>254.57438345266507</v>
      </c>
      <c r="AH94" s="41">
        <f>O94/'1. Väestöennuste'!Q94*1000</f>
        <v>266.04802592565318</v>
      </c>
      <c r="AI94" s="41">
        <f>P94/'1. Väestöennuste'!R94*1000</f>
        <v>277.65890722592667</v>
      </c>
    </row>
    <row r="95" spans="1:35" x14ac:dyDescent="0.25">
      <c r="A95" s="30">
        <v>241</v>
      </c>
      <c r="B95" s="31" t="s">
        <v>409</v>
      </c>
      <c r="C95" s="41">
        <v>1919</v>
      </c>
      <c r="D95" s="41">
        <v>3305</v>
      </c>
      <c r="E95" s="41">
        <v>1978</v>
      </c>
      <c r="F95" s="41">
        <v>1909</v>
      </c>
      <c r="G95" s="41">
        <v>1688</v>
      </c>
      <c r="H95" s="41">
        <v>1684</v>
      </c>
      <c r="I95" s="165">
        <v>2534.5182</v>
      </c>
      <c r="J95" s="41">
        <v>3795.3805000000002</v>
      </c>
      <c r="K95" s="41">
        <v>1926.3516200000001</v>
      </c>
      <c r="L95" s="41">
        <v>1856</v>
      </c>
      <c r="M95" s="41">
        <v>1859.3</v>
      </c>
      <c r="N95" s="41">
        <v>1834.2</v>
      </c>
      <c r="O95" s="41">
        <f t="shared" si="6"/>
        <v>1893.3829219129921</v>
      </c>
      <c r="P95" s="41">
        <f t="shared" si="6"/>
        <v>1952.5658438259841</v>
      </c>
      <c r="Q95" s="165"/>
      <c r="T95" s="34">
        <v>241</v>
      </c>
      <c r="U95" s="88" t="s">
        <v>409</v>
      </c>
      <c r="V95" s="41">
        <f>C95/'1. Väestöennuste'!E95*1000</f>
        <v>228.77920839294231</v>
      </c>
      <c r="W95" s="41">
        <f>D95/'1. Väestöennuste'!F95*1000</f>
        <v>397.42664742664738</v>
      </c>
      <c r="X95" s="41">
        <f>E95/'1. Väestöennuste'!G95*1000</f>
        <v>238.4281581485053</v>
      </c>
      <c r="Y95" s="41">
        <f>F95/'1. Väestöennuste'!H95*1000</f>
        <v>234.31938136737449</v>
      </c>
      <c r="Z95" s="41">
        <f>G95/'1. Väestöennuste'!I95*1000</f>
        <v>208.9367495977225</v>
      </c>
      <c r="AA95" s="41">
        <f>H95/'1. Väestöennuste'!J95*1000</f>
        <v>210.92184368737475</v>
      </c>
      <c r="AB95" s="41">
        <f>I95/'1. Väestöennuste'!K95*1000</f>
        <v>320.66272773279354</v>
      </c>
      <c r="AC95" s="41">
        <f>J95/'1. Väestöennuste'!L95*1000</f>
        <v>488.40310127396737</v>
      </c>
      <c r="AD95" s="41">
        <f>K95/'1. Väestöennuste'!M95*1000</f>
        <v>250.46829020933558</v>
      </c>
      <c r="AE95" s="41">
        <f>L95/'1. Väestöennuste'!N95*1000</f>
        <v>240.66390041493776</v>
      </c>
      <c r="AF95" s="41">
        <f>M95/'1. Väestöennuste'!O95*1000</f>
        <v>243.20470896010463</v>
      </c>
      <c r="AG95" s="41">
        <f>N95/'1. Väestöennuste'!P95*1000</f>
        <v>242.04275534441805</v>
      </c>
      <c r="AH95" s="41">
        <f>O95/'1. Väestöennuste'!Q95*1000</f>
        <v>252.24925684958595</v>
      </c>
      <c r="AI95" s="41">
        <f>P95/'1. Väestöennuste'!R95*1000</f>
        <v>262.51221347485671</v>
      </c>
    </row>
    <row r="96" spans="1:35" x14ac:dyDescent="0.25">
      <c r="A96" s="30">
        <v>244</v>
      </c>
      <c r="B96" s="31" t="s">
        <v>410</v>
      </c>
      <c r="C96" s="41">
        <v>5109</v>
      </c>
      <c r="D96" s="41">
        <v>5143</v>
      </c>
      <c r="E96" s="41">
        <v>5468</v>
      </c>
      <c r="F96" s="41">
        <v>5144</v>
      </c>
      <c r="G96" s="41">
        <v>5241</v>
      </c>
      <c r="H96" s="41">
        <v>6724</v>
      </c>
      <c r="I96" s="165">
        <v>7126.5850499999997</v>
      </c>
      <c r="J96" s="41">
        <v>7121.1667900000002</v>
      </c>
      <c r="K96" s="41">
        <v>6647.3196399999997</v>
      </c>
      <c r="L96" s="41">
        <v>6152.7</v>
      </c>
      <c r="M96" s="41">
        <v>6644.5</v>
      </c>
      <c r="N96" s="41">
        <v>7176</v>
      </c>
      <c r="O96" s="41">
        <f t="shared" si="6"/>
        <v>7407.5432600848499</v>
      </c>
      <c r="P96" s="41">
        <f t="shared" si="6"/>
        <v>7639.0865201696988</v>
      </c>
      <c r="Q96" s="165"/>
      <c r="T96" s="34">
        <v>244</v>
      </c>
      <c r="U96" s="88" t="s">
        <v>410</v>
      </c>
      <c r="V96" s="41">
        <f>C96/'1. Väestöennuste'!E96*1000</f>
        <v>299.3671627797961</v>
      </c>
      <c r="W96" s="41">
        <f>D96/'1. Väestöennuste'!F96*1000</f>
        <v>297.33479794183967</v>
      </c>
      <c r="X96" s="41">
        <f>E96/'1. Väestöennuste'!G96*1000</f>
        <v>311.83347590533219</v>
      </c>
      <c r="Y96" s="41">
        <f>F96/'1. Väestöennuste'!H96*1000</f>
        <v>287.00552362885679</v>
      </c>
      <c r="Z96" s="41">
        <f>G96/'1. Väestöennuste'!I96*1000</f>
        <v>285.53527649141927</v>
      </c>
      <c r="AA96" s="41">
        <f>H96/'1. Väestöennuste'!J96*1000</f>
        <v>357.73568844434988</v>
      </c>
      <c r="AB96" s="41">
        <f>I96/'1. Väestöennuste'!K96*1000</f>
        <v>372.80733678593845</v>
      </c>
      <c r="AC96" s="41">
        <f>J96/'1. Väestöennuste'!L96*1000</f>
        <v>368.9723725388601</v>
      </c>
      <c r="AD96" s="41">
        <f>K96/'1. Väestöennuste'!M96*1000</f>
        <v>340.64362201496363</v>
      </c>
      <c r="AE96" s="41">
        <f>L96/'1. Väestöennuste'!N96*1000</f>
        <v>305.23887483256436</v>
      </c>
      <c r="AF96" s="41">
        <f>M96/'1. Väestöennuste'!O96*1000</f>
        <v>325.02568116225603</v>
      </c>
      <c r="AG96" s="41">
        <f>N96/'1. Väestöennuste'!P96*1000</f>
        <v>346.49927571221633</v>
      </c>
      <c r="AH96" s="41">
        <f>O96/'1. Väestöennuste'!Q96*1000</f>
        <v>353.31218449322</v>
      </c>
      <c r="AI96" s="41">
        <f>P96/'1. Väestöennuste'!R96*1000</f>
        <v>360.28328633541003</v>
      </c>
    </row>
    <row r="97" spans="1:35" x14ac:dyDescent="0.25">
      <c r="A97" s="30">
        <v>245</v>
      </c>
      <c r="B97" s="31" t="s">
        <v>411</v>
      </c>
      <c r="C97" s="41">
        <v>11300</v>
      </c>
      <c r="D97" s="41">
        <v>11646</v>
      </c>
      <c r="E97" s="41">
        <v>12243</v>
      </c>
      <c r="F97" s="41">
        <v>13995</v>
      </c>
      <c r="G97" s="41">
        <v>21953</v>
      </c>
      <c r="H97" s="41">
        <v>16399</v>
      </c>
      <c r="I97" s="165">
        <v>17180.981449999999</v>
      </c>
      <c r="J97" s="41">
        <v>18472.613890000001</v>
      </c>
      <c r="K97" s="41">
        <v>19800.753479999999</v>
      </c>
      <c r="L97" s="41">
        <v>19462.420999999998</v>
      </c>
      <c r="M97" s="41">
        <v>19643.27</v>
      </c>
      <c r="N97" s="41">
        <v>20624.245999999999</v>
      </c>
      <c r="O97" s="41">
        <f t="shared" si="6"/>
        <v>21289.714945879587</v>
      </c>
      <c r="P97" s="41">
        <f t="shared" si="6"/>
        <v>21955.183891759174</v>
      </c>
      <c r="Q97" s="165"/>
      <c r="T97" s="34">
        <v>245</v>
      </c>
      <c r="U97" s="88" t="s">
        <v>411</v>
      </c>
      <c r="V97" s="41">
        <f>C97/'1. Väestöennuste'!E97*1000</f>
        <v>320.176805598844</v>
      </c>
      <c r="W97" s="41">
        <f>D97/'1. Väestöennuste'!F97*1000</f>
        <v>327.95471825631495</v>
      </c>
      <c r="X97" s="41">
        <f>E97/'1. Väestöennuste'!G97*1000</f>
        <v>344.3494402880126</v>
      </c>
      <c r="Y97" s="41">
        <f>F97/'1. Väestöennuste'!H97*1000</f>
        <v>386.02636950405474</v>
      </c>
      <c r="Z97" s="41">
        <f>G97/'1. Väestöennuste'!I97*1000</f>
        <v>597.26303188595068</v>
      </c>
      <c r="AA97" s="41">
        <f>H97/'1. Väestöennuste'!J97*1000</f>
        <v>441.96199973049454</v>
      </c>
      <c r="AB97" s="41">
        <f>I97/'1. Väestöennuste'!K97*1000</f>
        <v>461.45738746239789</v>
      </c>
      <c r="AC97" s="41">
        <f>J97/'1. Väestöennuste'!L97*1000</f>
        <v>490.30188687758783</v>
      </c>
      <c r="AD97" s="41">
        <f>K97/'1. Väestöennuste'!M97*1000</f>
        <v>518.19511344900684</v>
      </c>
      <c r="AE97" s="41">
        <f>L97/'1. Väestöennuste'!N97*1000</f>
        <v>504.22086064405812</v>
      </c>
      <c r="AF97" s="41">
        <f>M97/'1. Väestöennuste'!O97*1000</f>
        <v>504.77373763330337</v>
      </c>
      <c r="AG97" s="41">
        <f>N97/'1. Väestöennuste'!P97*1000</f>
        <v>525.88724565250641</v>
      </c>
      <c r="AH97" s="41">
        <f>O97/'1. Väestöennuste'!Q97*1000</f>
        <v>538.99377062405597</v>
      </c>
      <c r="AI97" s="41">
        <f>P97/'1. Väestöennuste'!R97*1000</f>
        <v>552.09555389542015</v>
      </c>
    </row>
    <row r="98" spans="1:35" x14ac:dyDescent="0.25">
      <c r="A98" s="30">
        <v>249</v>
      </c>
      <c r="B98" s="31" t="s">
        <v>412</v>
      </c>
      <c r="C98" s="41">
        <v>3616</v>
      </c>
      <c r="D98" s="41">
        <v>5132</v>
      </c>
      <c r="E98" s="41">
        <v>4852</v>
      </c>
      <c r="F98" s="41">
        <v>4903</v>
      </c>
      <c r="G98" s="41">
        <v>5031</v>
      </c>
      <c r="H98" s="41">
        <v>4925</v>
      </c>
      <c r="I98" s="165">
        <v>4995.94506</v>
      </c>
      <c r="J98" s="41">
        <v>5080.4859500000002</v>
      </c>
      <c r="K98" s="41">
        <v>5422.5336600000001</v>
      </c>
      <c r="L98" s="41">
        <v>4508.55</v>
      </c>
      <c r="M98" s="41">
        <v>4408.55</v>
      </c>
      <c r="N98" s="41">
        <v>4308.55</v>
      </c>
      <c r="O98" s="41">
        <f t="shared" si="6"/>
        <v>4447.5711417556549</v>
      </c>
      <c r="P98" s="41">
        <f t="shared" si="6"/>
        <v>4586.5922835113097</v>
      </c>
      <c r="Q98" s="165"/>
      <c r="T98" s="34">
        <v>249</v>
      </c>
      <c r="U98" s="88" t="s">
        <v>412</v>
      </c>
      <c r="V98" s="41">
        <f>C98/'1. Väestöennuste'!E98*1000</f>
        <v>357.41820697835323</v>
      </c>
      <c r="W98" s="41">
        <f>D98/'1. Väestöennuste'!F98*1000</f>
        <v>513.61088871096888</v>
      </c>
      <c r="X98" s="41">
        <f>E98/'1. Väestöennuste'!G98*1000</f>
        <v>489.16221393285616</v>
      </c>
      <c r="Y98" s="41">
        <f>F98/'1. Väestöennuste'!H98*1000</f>
        <v>502.25363654988729</v>
      </c>
      <c r="Z98" s="41">
        <f>G98/'1. Väestöennuste'!I98*1000</f>
        <v>523.78969286829783</v>
      </c>
      <c r="AA98" s="41">
        <f>H98/'1. Väestöennuste'!J98*1000</f>
        <v>519.18616909129241</v>
      </c>
      <c r="AB98" s="41">
        <f>I98/'1. Väestöennuste'!K98*1000</f>
        <v>529.06333368632852</v>
      </c>
      <c r="AC98" s="41">
        <f>J98/'1. Väestöennuste'!L98*1000</f>
        <v>549.24172432432442</v>
      </c>
      <c r="AD98" s="41">
        <f>K98/'1. Väestöennuste'!M98*1000</f>
        <v>590.4326720383275</v>
      </c>
      <c r="AE98" s="41">
        <f>L98/'1. Väestöennuste'!N98*1000</f>
        <v>501.78631051752922</v>
      </c>
      <c r="AF98" s="41">
        <f>M98/'1. Väestöennuste'!O98*1000</f>
        <v>496.45833333333331</v>
      </c>
      <c r="AG98" s="41">
        <f>N98/'1. Väestöennuste'!P98*1000</f>
        <v>490.9469006381039</v>
      </c>
      <c r="AH98" s="41">
        <f>O98/'1. Väestöennuste'!Q98*1000</f>
        <v>512.4520269334779</v>
      </c>
      <c r="AI98" s="41">
        <f>P98/'1. Väestöennuste'!R98*1000</f>
        <v>534.381018701073</v>
      </c>
    </row>
    <row r="99" spans="1:35" x14ac:dyDescent="0.25">
      <c r="A99" s="30">
        <v>250</v>
      </c>
      <c r="B99" s="31" t="s">
        <v>413</v>
      </c>
      <c r="C99" s="41">
        <v>808</v>
      </c>
      <c r="D99" s="41">
        <v>835</v>
      </c>
      <c r="E99" s="41">
        <v>741</v>
      </c>
      <c r="F99" s="41">
        <v>611</v>
      </c>
      <c r="G99" s="41">
        <v>599</v>
      </c>
      <c r="H99" s="41">
        <v>588</v>
      </c>
      <c r="I99" s="165">
        <v>397.29806000000002</v>
      </c>
      <c r="J99" s="41">
        <v>410.95309000000003</v>
      </c>
      <c r="K99" s="41">
        <v>408.49941999999999</v>
      </c>
      <c r="L99" s="41">
        <v>444.09399999999999</v>
      </c>
      <c r="M99" s="41">
        <v>444.09399999999999</v>
      </c>
      <c r="N99" s="41">
        <v>444.09399999999999</v>
      </c>
      <c r="O99" s="41">
        <f t="shared" si="6"/>
        <v>458.42328825865678</v>
      </c>
      <c r="P99" s="41">
        <f t="shared" si="6"/>
        <v>472.75257651731357</v>
      </c>
      <c r="Q99" s="165"/>
      <c r="T99" s="34">
        <v>250</v>
      </c>
      <c r="U99" s="88" t="s">
        <v>413</v>
      </c>
      <c r="V99" s="41">
        <f>C99/'1. Väestöennuste'!E99*1000</f>
        <v>396.46712463199214</v>
      </c>
      <c r="W99" s="41">
        <f>D99/'1. Väestöennuste'!F99*1000</f>
        <v>418.75626880641926</v>
      </c>
      <c r="X99" s="41">
        <f>E99/'1. Väestöennuste'!G99*1000</f>
        <v>376.71581087951193</v>
      </c>
      <c r="Y99" s="41">
        <f>F99/'1. Väestöennuste'!H99*1000</f>
        <v>319.89528795811515</v>
      </c>
      <c r="Z99" s="41">
        <f>G99/'1. Väestöennuste'!I99*1000</f>
        <v>321.17962466487938</v>
      </c>
      <c r="AA99" s="41">
        <f>H99/'1. Väestöennuste'!J99*1000</f>
        <v>322.72228320526892</v>
      </c>
      <c r="AB99" s="41">
        <f>I99/'1. Väestöennuste'!K99*1000</f>
        <v>219.74450221238939</v>
      </c>
      <c r="AC99" s="41">
        <f>J99/'1. Väestöennuste'!L99*1000</f>
        <v>232.04578769057034</v>
      </c>
      <c r="AD99" s="41">
        <f>K99/'1. Väestöennuste'!M99*1000</f>
        <v>233.56170383076042</v>
      </c>
      <c r="AE99" s="41">
        <f>L99/'1. Väestöennuste'!N99*1000</f>
        <v>265.92455089820362</v>
      </c>
      <c r="AF99" s="41">
        <f>M99/'1. Väestöennuste'!O99*1000</f>
        <v>271.11965811965808</v>
      </c>
      <c r="AG99" s="41">
        <f>N99/'1. Väestöennuste'!P99*1000</f>
        <v>276.34971997510888</v>
      </c>
      <c r="AH99" s="41">
        <f>O99/'1. Väestöennuste'!Q99*1000</f>
        <v>290.50905466328061</v>
      </c>
      <c r="AI99" s="41">
        <f>P99/'1. Väestöennuste'!R99*1000</f>
        <v>305.59313284894216</v>
      </c>
    </row>
    <row r="100" spans="1:35" x14ac:dyDescent="0.25">
      <c r="A100" s="30">
        <v>256</v>
      </c>
      <c r="B100" s="31" t="s">
        <v>414</v>
      </c>
      <c r="C100" s="41">
        <v>779</v>
      </c>
      <c r="D100" s="41">
        <v>744</v>
      </c>
      <c r="E100" s="41">
        <v>787</v>
      </c>
      <c r="F100" s="41">
        <v>855</v>
      </c>
      <c r="G100" s="41">
        <v>927</v>
      </c>
      <c r="H100" s="41">
        <v>894</v>
      </c>
      <c r="I100" s="165">
        <v>851.27200000000005</v>
      </c>
      <c r="J100" s="41">
        <v>897.65260999999998</v>
      </c>
      <c r="K100" s="41">
        <v>1166.74872</v>
      </c>
      <c r="L100" s="41">
        <v>947.79</v>
      </c>
      <c r="M100" s="41">
        <v>947.79</v>
      </c>
      <c r="N100" s="41">
        <v>947.79</v>
      </c>
      <c r="O100" s="41">
        <f t="shared" si="6"/>
        <v>978.37171494925019</v>
      </c>
      <c r="P100" s="41">
        <f t="shared" si="6"/>
        <v>1008.9534298985003</v>
      </c>
      <c r="Q100" s="165"/>
      <c r="T100" s="34">
        <v>256</v>
      </c>
      <c r="U100" s="88" t="s">
        <v>414</v>
      </c>
      <c r="V100" s="41">
        <f>C100/'1. Väestöennuste'!E100*1000</f>
        <v>446.41833810888255</v>
      </c>
      <c r="W100" s="41">
        <f>D100/'1. Väestöennuste'!F100*1000</f>
        <v>437.90464979399644</v>
      </c>
      <c r="X100" s="41">
        <f>E100/'1. Väestöennuste'!G100*1000</f>
        <v>475.24154589371983</v>
      </c>
      <c r="Y100" s="41">
        <f>F100/'1. Väestöennuste'!H100*1000</f>
        <v>529.41176470588232</v>
      </c>
      <c r="Z100" s="41">
        <f>G100/'1. Väestöennuste'!I100*1000</f>
        <v>572.22222222222217</v>
      </c>
      <c r="AA100" s="41">
        <f>H100/'1. Väestöennuste'!J100*1000</f>
        <v>559.79962429555417</v>
      </c>
      <c r="AB100" s="41">
        <f>I100/'1. Väestöennuste'!K100*1000</f>
        <v>538.43896268184699</v>
      </c>
      <c r="AC100" s="41">
        <f>J100/'1. Väestöennuste'!L100*1000</f>
        <v>577.64003217503216</v>
      </c>
      <c r="AD100" s="41">
        <f>K100/'1. Väestöennuste'!M100*1000</f>
        <v>766.08583059750492</v>
      </c>
      <c r="AE100" s="41">
        <f>L100/'1. Väestöennuste'!N100*1000</f>
        <v>633.54946524064167</v>
      </c>
      <c r="AF100" s="41">
        <f>M100/'1. Väestöennuste'!O100*1000</f>
        <v>643.00542740841252</v>
      </c>
      <c r="AG100" s="41">
        <f>N100/'1. Väestöennuste'!P100*1000</f>
        <v>653.648275862069</v>
      </c>
      <c r="AH100" s="41">
        <f>O100/'1. Väestöennuste'!Q100*1000</f>
        <v>685.13425416614155</v>
      </c>
      <c r="AI100" s="41">
        <f>P100/'1. Väestöennuste'!R100*1000</f>
        <v>716.07766493860913</v>
      </c>
    </row>
    <row r="101" spans="1:35" x14ac:dyDescent="0.25">
      <c r="A101" s="30">
        <v>257</v>
      </c>
      <c r="B101" s="31" t="s">
        <v>415</v>
      </c>
      <c r="C101" s="41">
        <v>14000</v>
      </c>
      <c r="D101" s="41">
        <v>13990</v>
      </c>
      <c r="E101" s="41">
        <v>14150</v>
      </c>
      <c r="F101" s="41">
        <v>15554</v>
      </c>
      <c r="G101" s="41">
        <v>17602</v>
      </c>
      <c r="H101" s="41">
        <v>18303</v>
      </c>
      <c r="I101" s="165">
        <v>20929.211159999999</v>
      </c>
      <c r="J101" s="41">
        <v>19481.986510000002</v>
      </c>
      <c r="K101" s="41">
        <v>18611.871370000001</v>
      </c>
      <c r="L101" s="41">
        <v>17595.038</v>
      </c>
      <c r="M101" s="41">
        <v>17660.955999999998</v>
      </c>
      <c r="N101" s="41">
        <v>20388.952000000001</v>
      </c>
      <c r="O101" s="41">
        <f t="shared" si="6"/>
        <v>21046.828869536443</v>
      </c>
      <c r="P101" s="41">
        <f t="shared" si="6"/>
        <v>21704.705739072884</v>
      </c>
      <c r="Q101" s="165"/>
      <c r="T101" s="34">
        <v>257</v>
      </c>
      <c r="U101" s="88" t="s">
        <v>415</v>
      </c>
      <c r="V101" s="41">
        <f>C101/'1. Väestöennuste'!E101*1000</f>
        <v>362.23446919713314</v>
      </c>
      <c r="W101" s="41">
        <f>D101/'1. Väestöennuste'!F101*1000</f>
        <v>358.41467476238051</v>
      </c>
      <c r="X101" s="41">
        <f>E101/'1. Väestöennuste'!G101*1000</f>
        <v>361.24585141690068</v>
      </c>
      <c r="Y101" s="41">
        <f>F101/'1. Väestöennuste'!H101*1000</f>
        <v>396.15913606031279</v>
      </c>
      <c r="Z101" s="41">
        <f>G101/'1. Väestöennuste'!I101*1000</f>
        <v>444.65214974991159</v>
      </c>
      <c r="AA101" s="41">
        <f>H101/'1. Väestöennuste'!J101*1000</f>
        <v>456.63889027493639</v>
      </c>
      <c r="AB101" s="41">
        <f>I101/'1. Väestöennuste'!K101*1000</f>
        <v>517.62696708134433</v>
      </c>
      <c r="AC101" s="41">
        <f>J101/'1. Väestöennuste'!L101*1000</f>
        <v>478.41428490742112</v>
      </c>
      <c r="AD101" s="41">
        <f>K101/'1. Väestöennuste'!M101*1000</f>
        <v>452.24938936676875</v>
      </c>
      <c r="AE101" s="41">
        <f>L101/'1. Väestöennuste'!N101*1000</f>
        <v>424.3551600221885</v>
      </c>
      <c r="AF101" s="41">
        <f>M101/'1. Väestöennuste'!O101*1000</f>
        <v>422.9054859797418</v>
      </c>
      <c r="AG101" s="41">
        <f>N101/'1. Väestöennuste'!P101*1000</f>
        <v>484.9778073785115</v>
      </c>
      <c r="AH101" s="41">
        <f>O101/'1. Väestöennuste'!Q101*1000</f>
        <v>497.50215978102926</v>
      </c>
      <c r="AI101" s="41">
        <f>P101/'1. Väestöennuste'!R101*1000</f>
        <v>509.96700592262602</v>
      </c>
    </row>
    <row r="102" spans="1:35" x14ac:dyDescent="0.25">
      <c r="A102" s="30">
        <v>260</v>
      </c>
      <c r="B102" s="31" t="s">
        <v>416</v>
      </c>
      <c r="C102" s="41">
        <v>2665</v>
      </c>
      <c r="D102" s="41">
        <v>3075</v>
      </c>
      <c r="E102" s="41">
        <v>3905</v>
      </c>
      <c r="F102" s="41">
        <v>2909</v>
      </c>
      <c r="G102" s="41">
        <v>2871</v>
      </c>
      <c r="H102" s="41">
        <v>2932</v>
      </c>
      <c r="I102" s="165">
        <v>2912.3084399999998</v>
      </c>
      <c r="J102" s="41">
        <v>3349.59283</v>
      </c>
      <c r="K102" s="41">
        <v>3375.5609900000004</v>
      </c>
      <c r="L102" s="41">
        <v>3348.9409999999998</v>
      </c>
      <c r="M102" s="41">
        <v>3248.9409999999998</v>
      </c>
      <c r="N102" s="41">
        <v>3248.9409999999998</v>
      </c>
      <c r="O102" s="41">
        <f t="shared" si="6"/>
        <v>3353.7724368677996</v>
      </c>
      <c r="P102" s="41">
        <f t="shared" si="6"/>
        <v>3458.6038737355993</v>
      </c>
      <c r="Q102" s="165"/>
      <c r="T102" s="34">
        <v>260</v>
      </c>
      <c r="U102" s="88" t="s">
        <v>416</v>
      </c>
      <c r="V102" s="41">
        <f>C102/'1. Väestöennuste'!E102*1000</f>
        <v>246.03028064992617</v>
      </c>
      <c r="W102" s="41">
        <f>D102/'1. Väestöennuste'!F102*1000</f>
        <v>286.87377553876291</v>
      </c>
      <c r="X102" s="41">
        <f>E102/'1. Väestöennuste'!G102*1000</f>
        <v>372.40129696738512</v>
      </c>
      <c r="Y102" s="41">
        <f>F102/'1. Väestöennuste'!H102*1000</f>
        <v>280.84572311257</v>
      </c>
      <c r="Z102" s="41">
        <f>G102/'1. Väestöennuste'!I102*1000</f>
        <v>283.24782951854775</v>
      </c>
      <c r="AA102" s="41">
        <f>H102/'1. Väestöennuste'!J102*1000</f>
        <v>295.17769052652778</v>
      </c>
      <c r="AB102" s="41">
        <f>I102/'1. Väestöennuste'!K102*1000</f>
        <v>294.85759238635211</v>
      </c>
      <c r="AC102" s="41">
        <f>J102/'1. Väestöennuste'!L102*1000</f>
        <v>344.36031972859053</v>
      </c>
      <c r="AD102" s="41">
        <f>K102/'1. Väestöennuste'!M102*1000</f>
        <v>348.39106099700695</v>
      </c>
      <c r="AE102" s="41">
        <f>L102/'1. Väestöennuste'!N102*1000</f>
        <v>362.36106903267688</v>
      </c>
      <c r="AF102" s="41">
        <f>M102/'1. Väestöennuste'!O102*1000</f>
        <v>357.34062912450503</v>
      </c>
      <c r="AG102" s="41">
        <f>N102/'1. Väestöennuste'!P102*1000</f>
        <v>363.0913053196245</v>
      </c>
      <c r="AH102" s="41">
        <f>O102/'1. Väestöennuste'!Q102*1000</f>
        <v>380.54833051943717</v>
      </c>
      <c r="AI102" s="41">
        <f>P102/'1. Väestöennuste'!R102*1000</f>
        <v>398.27313147577149</v>
      </c>
    </row>
    <row r="103" spans="1:35" x14ac:dyDescent="0.25">
      <c r="A103" s="30">
        <v>261</v>
      </c>
      <c r="B103" s="31" t="s">
        <v>417</v>
      </c>
      <c r="C103" s="41">
        <v>2351</v>
      </c>
      <c r="D103" s="41">
        <v>3068</v>
      </c>
      <c r="E103" s="41">
        <v>2771</v>
      </c>
      <c r="F103" s="41">
        <v>2644</v>
      </c>
      <c r="G103" s="41">
        <v>2799</v>
      </c>
      <c r="H103" s="41">
        <v>2773</v>
      </c>
      <c r="I103" s="165">
        <v>2941.2967899999999</v>
      </c>
      <c r="J103" s="41">
        <v>3263.3714599999998</v>
      </c>
      <c r="K103" s="41">
        <v>3301.9112500000001</v>
      </c>
      <c r="L103" s="41">
        <v>4304.8879999999999</v>
      </c>
      <c r="M103" s="41">
        <v>4620.518</v>
      </c>
      <c r="N103" s="41">
        <v>4619.9579999999996</v>
      </c>
      <c r="O103" s="41">
        <f t="shared" si="6"/>
        <v>4769.0271383465824</v>
      </c>
      <c r="P103" s="41">
        <f t="shared" si="6"/>
        <v>4918.0962766931652</v>
      </c>
      <c r="Q103" s="165"/>
      <c r="T103" s="34">
        <v>261</v>
      </c>
      <c r="U103" s="88" t="s">
        <v>417</v>
      </c>
      <c r="V103" s="41">
        <f>C103/'1. Väestöennuste'!E103*1000</f>
        <v>366.42768079800499</v>
      </c>
      <c r="W103" s="41">
        <f>D103/'1. Väestöennuste'!F103*1000</f>
        <v>480.65173116089613</v>
      </c>
      <c r="X103" s="41">
        <f>E103/'1. Väestöennuste'!G103*1000</f>
        <v>431.55271764522661</v>
      </c>
      <c r="Y103" s="41">
        <f>F103/'1. Väestöennuste'!H103*1000</f>
        <v>410.81417029210689</v>
      </c>
      <c r="Z103" s="41">
        <f>G103/'1. Väestöennuste'!I103*1000</f>
        <v>433.75174337517439</v>
      </c>
      <c r="AA103" s="41">
        <f>H103/'1. Väestöennuste'!J103*1000</f>
        <v>430.85767557489123</v>
      </c>
      <c r="AB103" s="41">
        <f>I103/'1. Väestöennuste'!K103*1000</f>
        <v>450.91166487812359</v>
      </c>
      <c r="AC103" s="41">
        <f>J103/'1. Väestöennuste'!L103*1000</f>
        <v>491.69375621515741</v>
      </c>
      <c r="AD103" s="41">
        <f>K103/'1. Väestöennuste'!M103*1000</f>
        <v>484.00927147464091</v>
      </c>
      <c r="AE103" s="41">
        <f>L103/'1. Väestöennuste'!N103*1000</f>
        <v>672.11366120218577</v>
      </c>
      <c r="AF103" s="41">
        <f>M103/'1. Väestöennuste'!O103*1000</f>
        <v>722.74644142030343</v>
      </c>
      <c r="AG103" s="41">
        <f>N103/'1. Väestöennuste'!P103*1000</f>
        <v>724.24486596645227</v>
      </c>
      <c r="AH103" s="41">
        <f>O103/'1. Väestöennuste'!Q103*1000</f>
        <v>749.25799502695725</v>
      </c>
      <c r="AI103" s="41">
        <f>P103/'1. Väestöennuste'!R103*1000</f>
        <v>774.13761635340234</v>
      </c>
    </row>
    <row r="104" spans="1:35" x14ac:dyDescent="0.25">
      <c r="A104" s="30">
        <v>263</v>
      </c>
      <c r="B104" s="31" t="s">
        <v>418</v>
      </c>
      <c r="C104" s="41">
        <v>3800</v>
      </c>
      <c r="D104" s="41">
        <v>3652</v>
      </c>
      <c r="E104" s="41">
        <v>3949</v>
      </c>
      <c r="F104" s="41">
        <v>3141</v>
      </c>
      <c r="G104" s="41">
        <v>3639</v>
      </c>
      <c r="H104" s="41">
        <v>3182</v>
      </c>
      <c r="I104" s="165">
        <v>3695.9019800000001</v>
      </c>
      <c r="J104" s="41">
        <v>4125.8255799999997</v>
      </c>
      <c r="K104" s="41">
        <v>3924.5486299999998</v>
      </c>
      <c r="L104" s="41">
        <v>3470.2860000000001</v>
      </c>
      <c r="M104" s="41">
        <v>3465.9059999999999</v>
      </c>
      <c r="N104" s="41">
        <v>3461.913</v>
      </c>
      <c r="O104" s="41">
        <f t="shared" si="6"/>
        <v>3573.6162639562599</v>
      </c>
      <c r="P104" s="41">
        <f t="shared" si="6"/>
        <v>3685.3195279125198</v>
      </c>
      <c r="Q104" s="165"/>
      <c r="T104" s="34">
        <v>263</v>
      </c>
      <c r="U104" s="88" t="s">
        <v>418</v>
      </c>
      <c r="V104" s="41">
        <f>C104/'1. Väestöennuste'!E104*1000</f>
        <v>441.8604651162791</v>
      </c>
      <c r="W104" s="41">
        <f>D104/'1. Väestöennuste'!F104*1000</f>
        <v>432.4964471814306</v>
      </c>
      <c r="X104" s="41">
        <f>E104/'1. Väestöennuste'!G104*1000</f>
        <v>476.75962815405046</v>
      </c>
      <c r="Y104" s="41">
        <f>F104/'1. Väestöennuste'!H104*1000</f>
        <v>385.25696062798971</v>
      </c>
      <c r="Z104" s="41">
        <f>G104/'1. Väestöennuste'!I104*1000</f>
        <v>454.98874718679673</v>
      </c>
      <c r="AA104" s="41">
        <f>H104/'1. Väestöennuste'!J104*1000</f>
        <v>405.14387573211104</v>
      </c>
      <c r="AB104" s="41">
        <f>I104/'1. Väestöennuste'!K104*1000</f>
        <v>476.33741203763373</v>
      </c>
      <c r="AC104" s="41">
        <f>J104/'1. Väestöennuste'!L104*1000</f>
        <v>543.08616295906279</v>
      </c>
      <c r="AD104" s="41">
        <f>K104/'1. Väestöennuste'!M104*1000</f>
        <v>525.02322809364546</v>
      </c>
      <c r="AE104" s="41">
        <f>L104/'1. Väestöennuste'!N104*1000</f>
        <v>473.37143636611648</v>
      </c>
      <c r="AF104" s="41">
        <f>M104/'1. Väestöennuste'!O104*1000</f>
        <v>480.37505197505197</v>
      </c>
      <c r="AG104" s="41">
        <f>N104/'1. Väestöennuste'!P104*1000</f>
        <v>487.45606871303858</v>
      </c>
      <c r="AH104" s="41">
        <f>O104/'1. Väestöennuste'!Q104*1000</f>
        <v>510.95457019677724</v>
      </c>
      <c r="AI104" s="41">
        <f>P104/'1. Väestöennuste'!R104*1000</f>
        <v>534.80184703417785</v>
      </c>
    </row>
    <row r="105" spans="1:35" x14ac:dyDescent="0.25">
      <c r="A105" s="30">
        <v>265</v>
      </c>
      <c r="B105" s="31" t="s">
        <v>419</v>
      </c>
      <c r="C105" s="41">
        <v>549</v>
      </c>
      <c r="D105" s="41">
        <v>1027</v>
      </c>
      <c r="E105" s="41">
        <v>1010</v>
      </c>
      <c r="F105" s="41">
        <v>777</v>
      </c>
      <c r="G105" s="41">
        <v>620</v>
      </c>
      <c r="H105" s="41">
        <v>584</v>
      </c>
      <c r="I105" s="165">
        <v>557.34881000000007</v>
      </c>
      <c r="J105" s="41">
        <v>526.09710999999993</v>
      </c>
      <c r="K105" s="41">
        <v>639.32038999999997</v>
      </c>
      <c r="L105" s="41">
        <v>657.82</v>
      </c>
      <c r="M105" s="41">
        <v>650</v>
      </c>
      <c r="N105" s="41">
        <v>60</v>
      </c>
      <c r="O105" s="41">
        <f t="shared" si="6"/>
        <v>61.935980435492056</v>
      </c>
      <c r="P105" s="41">
        <f t="shared" si="6"/>
        <v>63.871960870984104</v>
      </c>
      <c r="Q105" s="165"/>
      <c r="T105" s="34">
        <v>265</v>
      </c>
      <c r="U105" s="88" t="s">
        <v>419</v>
      </c>
      <c r="V105" s="41">
        <f>C105/'1. Väestöennuste'!E105*1000</f>
        <v>457.5</v>
      </c>
      <c r="W105" s="41">
        <f>D105/'1. Väestöennuste'!F105*1000</f>
        <v>884.58225667527995</v>
      </c>
      <c r="X105" s="41">
        <f>E105/'1. Väestöennuste'!G105*1000</f>
        <v>892.22614840989399</v>
      </c>
      <c r="Y105" s="41">
        <f>F105/'1. Väestöennuste'!H105*1000</f>
        <v>704.44242973708072</v>
      </c>
      <c r="Z105" s="41">
        <f>G105/'1. Väestöennuste'!I105*1000</f>
        <v>565.69343065693431</v>
      </c>
      <c r="AA105" s="41">
        <f>H105/'1. Väestöennuste'!J105*1000</f>
        <v>527.55194218608847</v>
      </c>
      <c r="AB105" s="41">
        <f>I105/'1. Väestöennuste'!K105*1000</f>
        <v>512.26912683823537</v>
      </c>
      <c r="AC105" s="41">
        <f>J105/'1. Väestöennuste'!L105*1000</f>
        <v>494.45217105263151</v>
      </c>
      <c r="AD105" s="41">
        <f>K105/'1. Väestöennuste'!M105*1000</f>
        <v>617.70085990338168</v>
      </c>
      <c r="AE105" s="41">
        <f>L105/'1. Väestöennuste'!N105*1000</f>
        <v>628.29035339064001</v>
      </c>
      <c r="AF105" s="41">
        <f>M105/'1. Väestöennuste'!O105*1000</f>
        <v>629.84496124031011</v>
      </c>
      <c r="AG105" s="41">
        <f>N105/'1. Väestöennuste'!P105*1000</f>
        <v>58.997050147492622</v>
      </c>
      <c r="AH105" s="41">
        <f>O105/'1. Väestöennuste'!Q105*1000</f>
        <v>61.750728250739833</v>
      </c>
      <c r="AI105" s="41">
        <f>P105/'1. Väestöennuste'!R105*1000</f>
        <v>64.582366906960672</v>
      </c>
    </row>
    <row r="106" spans="1:35" x14ac:dyDescent="0.25">
      <c r="A106" s="30">
        <v>271</v>
      </c>
      <c r="B106" s="31" t="s">
        <v>420</v>
      </c>
      <c r="C106" s="41">
        <v>1629</v>
      </c>
      <c r="D106" s="41">
        <v>1554</v>
      </c>
      <c r="E106" s="41">
        <v>1720</v>
      </c>
      <c r="F106" s="41">
        <v>1590</v>
      </c>
      <c r="G106" s="41">
        <v>1658</v>
      </c>
      <c r="H106" s="41">
        <v>1865</v>
      </c>
      <c r="I106" s="165">
        <v>2134.6273099999999</v>
      </c>
      <c r="J106" s="41">
        <v>1862.42884</v>
      </c>
      <c r="K106" s="41">
        <v>2148.0299500000001</v>
      </c>
      <c r="L106" s="41">
        <v>2300</v>
      </c>
      <c r="M106" s="41">
        <v>2350</v>
      </c>
      <c r="N106" s="41">
        <v>2400</v>
      </c>
      <c r="O106" s="41">
        <f t="shared" si="6"/>
        <v>2477.4392174196823</v>
      </c>
      <c r="P106" s="41">
        <f t="shared" si="6"/>
        <v>2554.8784348393642</v>
      </c>
      <c r="Q106" s="165"/>
      <c r="T106" s="34">
        <v>271</v>
      </c>
      <c r="U106" s="88" t="s">
        <v>420</v>
      </c>
      <c r="V106" s="41">
        <f>C106/'1. Väestöennuste'!E106*1000</f>
        <v>214.59623238045052</v>
      </c>
      <c r="W106" s="41">
        <f>D106/'1. Väestöennuste'!F106*1000</f>
        <v>207.25526807148572</v>
      </c>
      <c r="X106" s="41">
        <f>E106/'1. Väestöennuste'!G106*1000</f>
        <v>233.03075464029263</v>
      </c>
      <c r="Y106" s="41">
        <f>F106/'1. Väestöennuste'!H106*1000</f>
        <v>220.03874896208137</v>
      </c>
      <c r="Z106" s="41">
        <f>G106/'1. Väestöennuste'!I106*1000</f>
        <v>233.42249753625231</v>
      </c>
      <c r="AA106" s="41">
        <f>H106/'1. Väestöennuste'!J106*1000</f>
        <v>265.93469271353206</v>
      </c>
      <c r="AB106" s="41">
        <f>I106/'1. Väestöennuste'!K106*1000</f>
        <v>307.09643360667525</v>
      </c>
      <c r="AC106" s="41">
        <f>J106/'1. Väestöennuste'!L106*1000</f>
        <v>269.79991887585106</v>
      </c>
      <c r="AD106" s="41">
        <f>K106/'1. Väestöennuste'!M106*1000</f>
        <v>317.47412799290572</v>
      </c>
      <c r="AE106" s="41">
        <f>L106/'1. Väestöennuste'!N106*1000</f>
        <v>346.69882423876999</v>
      </c>
      <c r="AF106" s="41">
        <f>M106/'1. Väestöennuste'!O106*1000</f>
        <v>358.77862595419845</v>
      </c>
      <c r="AG106" s="41">
        <f>N106/'1. Väestöennuste'!P106*1000</f>
        <v>370.77089448478296</v>
      </c>
      <c r="AH106" s="41">
        <f>O106/'1. Väestöennuste'!Q106*1000</f>
        <v>386.9789468009501</v>
      </c>
      <c r="AI106" s="41">
        <f>P106/'1. Väestöennuste'!R106*1000</f>
        <v>403.35939924839982</v>
      </c>
    </row>
    <row r="107" spans="1:35" x14ac:dyDescent="0.25">
      <c r="A107" s="30">
        <v>272</v>
      </c>
      <c r="B107" s="31" t="s">
        <v>421</v>
      </c>
      <c r="C107" s="41">
        <v>14254</v>
      </c>
      <c r="D107" s="41">
        <v>15440</v>
      </c>
      <c r="E107" s="41">
        <v>17298</v>
      </c>
      <c r="F107" s="41">
        <v>15085</v>
      </c>
      <c r="G107" s="41">
        <v>15059</v>
      </c>
      <c r="H107" s="41">
        <v>14719</v>
      </c>
      <c r="I107" s="165">
        <v>14609.268239999999</v>
      </c>
      <c r="J107" s="41">
        <v>15280.04348</v>
      </c>
      <c r="K107" s="41">
        <v>17896.614399999999</v>
      </c>
      <c r="L107" s="41">
        <v>16110.56</v>
      </c>
      <c r="M107" s="41">
        <v>16111</v>
      </c>
      <c r="N107" s="41">
        <v>16111</v>
      </c>
      <c r="O107" s="41">
        <f t="shared" si="6"/>
        <v>16630.843013270209</v>
      </c>
      <c r="P107" s="41">
        <f t="shared" si="6"/>
        <v>17150.686026540414</v>
      </c>
      <c r="Q107" s="165"/>
      <c r="T107" s="34">
        <v>272</v>
      </c>
      <c r="U107" s="88" t="s">
        <v>421</v>
      </c>
      <c r="V107" s="41">
        <f>C107/'1. Väestöennuste'!E107*1000</f>
        <v>299.6426319108682</v>
      </c>
      <c r="W107" s="41">
        <f>D107/'1. Väestöennuste'!F107*1000</f>
        <v>323.53372587641178</v>
      </c>
      <c r="X107" s="41">
        <f>E107/'1. Väestöennuste'!G107*1000</f>
        <v>362.46673511723907</v>
      </c>
      <c r="Y107" s="41">
        <f>F107/'1. Väestöennuste'!H107*1000</f>
        <v>316.53272341943472</v>
      </c>
      <c r="Z107" s="41">
        <f>G107/'1. Väestöennuste'!I107*1000</f>
        <v>315.82810763197085</v>
      </c>
      <c r="AA107" s="41">
        <f>H107/'1. Väestöennuste'!J107*1000</f>
        <v>308.10935275893831</v>
      </c>
      <c r="AB107" s="41">
        <f>I107/'1. Väestöennuste'!K107*1000</f>
        <v>304.93786637166295</v>
      </c>
      <c r="AC107" s="41">
        <f>J107/'1. Väestöennuste'!L107*1000</f>
        <v>318.29445236012168</v>
      </c>
      <c r="AD107" s="41">
        <f>K107/'1. Väestöennuste'!M107*1000</f>
        <v>370.56867998757633</v>
      </c>
      <c r="AE107" s="41">
        <f>L107/'1. Väestöennuste'!N107*1000</f>
        <v>336.43570145762851</v>
      </c>
      <c r="AF107" s="41">
        <f>M107/'1. Väestöennuste'!O107*1000</f>
        <v>336.54328208556149</v>
      </c>
      <c r="AG107" s="41">
        <f>N107/'1. Väestöennuste'!P107*1000</f>
        <v>336.74727755366513</v>
      </c>
      <c r="AH107" s="41">
        <f>O107/'1. Väestöennuste'!Q107*1000</f>
        <v>347.90375108822059</v>
      </c>
      <c r="AI107" s="41">
        <f>P107/'1. Väestöennuste'!R107*1000</f>
        <v>359.19171539206695</v>
      </c>
    </row>
    <row r="108" spans="1:35" x14ac:dyDescent="0.25">
      <c r="A108" s="30">
        <v>273</v>
      </c>
      <c r="B108" s="31" t="s">
        <v>422</v>
      </c>
      <c r="C108" s="41">
        <v>1538</v>
      </c>
      <c r="D108" s="41">
        <v>1701</v>
      </c>
      <c r="E108" s="41">
        <v>1530</v>
      </c>
      <c r="F108" s="41">
        <v>1552</v>
      </c>
      <c r="G108" s="41">
        <v>1551</v>
      </c>
      <c r="H108" s="41">
        <v>1605</v>
      </c>
      <c r="I108" s="165">
        <v>1590.43984</v>
      </c>
      <c r="J108" s="41">
        <v>2343.6815699999997</v>
      </c>
      <c r="K108" s="41">
        <v>1493.0418300000001</v>
      </c>
      <c r="L108" s="41">
        <v>1500</v>
      </c>
      <c r="M108" s="41">
        <v>1650</v>
      </c>
      <c r="N108" s="41">
        <v>1420</v>
      </c>
      <c r="O108" s="41">
        <f t="shared" si="6"/>
        <v>1465.8182036399785</v>
      </c>
      <c r="P108" s="41">
        <f t="shared" si="6"/>
        <v>1511.636407279957</v>
      </c>
      <c r="Q108" s="165"/>
      <c r="T108" s="34">
        <v>273</v>
      </c>
      <c r="U108" s="88" t="s">
        <v>422</v>
      </c>
      <c r="V108" s="41">
        <f>C108/'1. Väestöennuste'!E108*1000</f>
        <v>399.68814968814968</v>
      </c>
      <c r="W108" s="41">
        <f>D108/'1. Väestöennuste'!F108*1000</f>
        <v>444.47347792004183</v>
      </c>
      <c r="X108" s="41">
        <f>E108/'1. Väestöennuste'!G108*1000</f>
        <v>396.9901401141671</v>
      </c>
      <c r="Y108" s="41">
        <f>F108/'1. Väestöennuste'!H108*1000</f>
        <v>404.79916536254564</v>
      </c>
      <c r="Z108" s="41">
        <f>G108/'1. Väestöennuste'!I108*1000</f>
        <v>403.27613104524181</v>
      </c>
      <c r="AA108" s="41">
        <f>H108/'1. Väestöennuste'!J108*1000</f>
        <v>408.91719745222935</v>
      </c>
      <c r="AB108" s="41">
        <f>I108/'1. Väestöennuste'!K108*1000</f>
        <v>398.70640260716971</v>
      </c>
      <c r="AC108" s="41">
        <f>J108/'1. Väestöennuste'!L108*1000</f>
        <v>586.06690922730672</v>
      </c>
      <c r="AD108" s="41">
        <f>K108/'1. Väestöennuste'!M108*1000</f>
        <v>372.23680628272257</v>
      </c>
      <c r="AE108" s="41">
        <f>L108/'1. Väestöennuste'!N108*1000</f>
        <v>378.02419354838713</v>
      </c>
      <c r="AF108" s="41">
        <f>M108/'1. Väestöennuste'!O108*1000</f>
        <v>415.19879214896832</v>
      </c>
      <c r="AG108" s="41">
        <f>N108/'1. Väestöennuste'!P108*1000</f>
        <v>356.96329813976871</v>
      </c>
      <c r="AH108" s="41">
        <f>O108/'1. Väestöennuste'!Q108*1000</f>
        <v>368.57385055066095</v>
      </c>
      <c r="AI108" s="41">
        <f>P108/'1. Väestöennuste'!R108*1000</f>
        <v>380.09464603468871</v>
      </c>
    </row>
    <row r="109" spans="1:35" x14ac:dyDescent="0.25">
      <c r="A109" s="30">
        <v>275</v>
      </c>
      <c r="B109" s="31" t="s">
        <v>423</v>
      </c>
      <c r="C109" s="41">
        <v>654</v>
      </c>
      <c r="D109" s="41">
        <v>884</v>
      </c>
      <c r="E109" s="41">
        <v>1336</v>
      </c>
      <c r="F109" s="41">
        <v>1365</v>
      </c>
      <c r="G109" s="41">
        <v>1232</v>
      </c>
      <c r="H109" s="41">
        <v>1169</v>
      </c>
      <c r="I109" s="165">
        <v>1113.7938100000001</v>
      </c>
      <c r="J109" s="41">
        <v>975.78077000000008</v>
      </c>
      <c r="K109" s="41">
        <v>947.83262999999999</v>
      </c>
      <c r="L109" s="41">
        <v>904.81799999999998</v>
      </c>
      <c r="M109" s="41">
        <v>905</v>
      </c>
      <c r="N109" s="41">
        <v>905</v>
      </c>
      <c r="O109" s="41">
        <f t="shared" si="6"/>
        <v>934.2010382353385</v>
      </c>
      <c r="P109" s="41">
        <f t="shared" si="6"/>
        <v>963.40207647067689</v>
      </c>
      <c r="Q109" s="165"/>
      <c r="T109" s="34">
        <v>275</v>
      </c>
      <c r="U109" s="88" t="s">
        <v>423</v>
      </c>
      <c r="V109" s="41">
        <f>C109/'1. Väestöennuste'!E109*1000</f>
        <v>237.21436343852011</v>
      </c>
      <c r="W109" s="41">
        <f>D109/'1. Väestöennuste'!F109*1000</f>
        <v>321.10424990918995</v>
      </c>
      <c r="X109" s="41">
        <f>E109/'1. Väestöennuste'!G109*1000</f>
        <v>486.17176128093161</v>
      </c>
      <c r="Y109" s="41">
        <f>F109/'1. Väestöennuste'!H109*1000</f>
        <v>505.93031875463299</v>
      </c>
      <c r="Z109" s="41">
        <f>G109/'1. Väestöennuste'!I109*1000</f>
        <v>468.9760182717929</v>
      </c>
      <c r="AA109" s="41">
        <f>H109/'1. Väestöennuste'!J109*1000</f>
        <v>450.82915541843425</v>
      </c>
      <c r="AB109" s="41">
        <f>I109/'1. Väestöennuste'!K109*1000</f>
        <v>430.70139597834498</v>
      </c>
      <c r="AC109" s="41">
        <f>J109/'1. Väestöennuste'!L109*1000</f>
        <v>387.06099563665214</v>
      </c>
      <c r="AD109" s="41">
        <f>K109/'1. Väestöennuste'!M109*1000</f>
        <v>379.28476590636257</v>
      </c>
      <c r="AE109" s="41">
        <f>L109/'1. Väestöennuste'!N109*1000</f>
        <v>369.31346938775511</v>
      </c>
      <c r="AF109" s="41">
        <f>M109/'1. Väestöennuste'!O109*1000</f>
        <v>374.12153782554776</v>
      </c>
      <c r="AG109" s="41">
        <f>N109/'1. Väestöennuste'!P109*1000</f>
        <v>378.6610878661088</v>
      </c>
      <c r="AH109" s="41">
        <f>O109/'1. Väestöennuste'!Q109*1000</f>
        <v>395.84789755734681</v>
      </c>
      <c r="AI109" s="41">
        <f>P109/'1. Väestöennuste'!R109*1000</f>
        <v>413.29990410582451</v>
      </c>
    </row>
    <row r="110" spans="1:35" x14ac:dyDescent="0.25">
      <c r="A110" s="30">
        <v>276</v>
      </c>
      <c r="B110" s="31" t="s">
        <v>424</v>
      </c>
      <c r="C110" s="41">
        <v>4239</v>
      </c>
      <c r="D110" s="41">
        <v>4085</v>
      </c>
      <c r="E110" s="41">
        <v>3850</v>
      </c>
      <c r="F110" s="41">
        <v>3829</v>
      </c>
      <c r="G110" s="41">
        <v>5134</v>
      </c>
      <c r="H110" s="41">
        <v>4731</v>
      </c>
      <c r="I110" s="165">
        <v>5987.8722900000002</v>
      </c>
      <c r="J110" s="41">
        <v>5689.8493699999999</v>
      </c>
      <c r="K110" s="41">
        <v>6957.4292999999998</v>
      </c>
      <c r="L110" s="41">
        <v>7035</v>
      </c>
      <c r="M110" s="41">
        <v>6835</v>
      </c>
      <c r="N110" s="41">
        <v>6485</v>
      </c>
      <c r="O110" s="41">
        <f t="shared" si="6"/>
        <v>6694.2472187360991</v>
      </c>
      <c r="P110" s="41">
        <f t="shared" si="6"/>
        <v>6903.4944374721981</v>
      </c>
      <c r="Q110" s="165"/>
      <c r="T110" s="34">
        <v>276</v>
      </c>
      <c r="U110" s="88" t="s">
        <v>424</v>
      </c>
      <c r="V110" s="41">
        <f>C110/'1. Väestöennuste'!E110*1000</f>
        <v>285.89734943009375</v>
      </c>
      <c r="W110" s="41">
        <f>D110/'1. Väestöennuste'!F110*1000</f>
        <v>275.90166148858572</v>
      </c>
      <c r="X110" s="41">
        <f>E110/'1. Väestöennuste'!G110*1000</f>
        <v>259.60890087660147</v>
      </c>
      <c r="Y110" s="41">
        <f>F110/'1. Väestöennuste'!H110*1000</f>
        <v>257.8624823220419</v>
      </c>
      <c r="Z110" s="41">
        <f>G110/'1. Väestöennuste'!I110*1000</f>
        <v>346.40037784225086</v>
      </c>
      <c r="AA110" s="41">
        <f>H110/'1. Väestöennuste'!J110*1000</f>
        <v>318.43575418994413</v>
      </c>
      <c r="AB110" s="41">
        <f>I110/'1. Väestöennuste'!K110*1000</f>
        <v>398.26220751579649</v>
      </c>
      <c r="AC110" s="41">
        <f>J110/'1. Väestöennuste'!L110*1000</f>
        <v>375.39416573200504</v>
      </c>
      <c r="AD110" s="41">
        <f>K110/'1. Väestöennuste'!M110*1000</f>
        <v>459.66102669133193</v>
      </c>
      <c r="AE110" s="41">
        <f>L110/'1. Väestöennuste'!N110*1000</f>
        <v>470.60004013646403</v>
      </c>
      <c r="AF110" s="41">
        <f>M110/'1. Väestöennuste'!O110*1000</f>
        <v>457.31299344306171</v>
      </c>
      <c r="AG110" s="41">
        <f>N110/'1. Väestöennuste'!P110*1000</f>
        <v>434.30216983659255</v>
      </c>
      <c r="AH110" s="41">
        <f>O110/'1. Väestöennuste'!Q110*1000</f>
        <v>448.94689951955598</v>
      </c>
      <c r="AI110" s="41">
        <f>P110/'1. Väestöennuste'!R110*1000</f>
        <v>463.88216889344164</v>
      </c>
    </row>
    <row r="111" spans="1:35" x14ac:dyDescent="0.25">
      <c r="A111" s="30">
        <v>280</v>
      </c>
      <c r="B111" s="31" t="s">
        <v>425</v>
      </c>
      <c r="C111" s="41">
        <v>929</v>
      </c>
      <c r="D111" s="41">
        <v>978</v>
      </c>
      <c r="E111" s="41">
        <v>960</v>
      </c>
      <c r="F111" s="41">
        <v>1035</v>
      </c>
      <c r="G111" s="41">
        <v>1277</v>
      </c>
      <c r="H111" s="41">
        <v>1300</v>
      </c>
      <c r="I111" s="165">
        <v>1437.9896899999999</v>
      </c>
      <c r="J111" s="41">
        <v>988.16127000000006</v>
      </c>
      <c r="K111" s="41">
        <v>928.87592000000006</v>
      </c>
      <c r="L111" s="41">
        <v>1100</v>
      </c>
      <c r="M111" s="41">
        <v>1100</v>
      </c>
      <c r="N111" s="41">
        <v>1100</v>
      </c>
      <c r="O111" s="41">
        <f t="shared" si="6"/>
        <v>1135.4929746506875</v>
      </c>
      <c r="P111" s="41">
        <f t="shared" si="6"/>
        <v>1170.9859493013751</v>
      </c>
      <c r="Q111" s="165"/>
      <c r="T111" s="34">
        <v>280</v>
      </c>
      <c r="U111" s="88" t="s">
        <v>425</v>
      </c>
      <c r="V111" s="41">
        <f>C111/'1. Väestöennuste'!E111*1000</f>
        <v>422.08087233075872</v>
      </c>
      <c r="W111" s="41">
        <f>D111/'1. Väestöennuste'!F111*1000</f>
        <v>450.48364808843849</v>
      </c>
      <c r="X111" s="41">
        <f>E111/'1. Väestöennuste'!G111*1000</f>
        <v>445.68245125348187</v>
      </c>
      <c r="Y111" s="41">
        <f>F111/'1. Väestöennuste'!H111*1000</f>
        <v>487.74740810556079</v>
      </c>
      <c r="Z111" s="41">
        <f>G111/'1. Väestöennuste'!I111*1000</f>
        <v>614.82908040442953</v>
      </c>
      <c r="AA111" s="41">
        <f>H111/'1. Väestöennuste'!J111*1000</f>
        <v>628.62669245647976</v>
      </c>
      <c r="AB111" s="41">
        <f>I111/'1. Väestöennuste'!K111*1000</f>
        <v>701.45838536585359</v>
      </c>
      <c r="AC111" s="41">
        <f>J111/'1. Väestöennuste'!L111*1000</f>
        <v>488.22197134387358</v>
      </c>
      <c r="AD111" s="41">
        <f>K111/'1. Väestöennuste'!M111*1000</f>
        <v>460.98060545905713</v>
      </c>
      <c r="AE111" s="41">
        <f>L111/'1. Väestöennuste'!N111*1000</f>
        <v>545.90570719602977</v>
      </c>
      <c r="AF111" s="41">
        <f>M111/'1. Väestöennuste'!O111*1000</f>
        <v>548.62842892768083</v>
      </c>
      <c r="AG111" s="41">
        <f>N111/'1. Väestöennuste'!P111*1000</f>
        <v>551.37844611528817</v>
      </c>
      <c r="AH111" s="41">
        <f>O111/'1. Väestöennuste'!Q111*1000</f>
        <v>572.90261082274856</v>
      </c>
      <c r="AI111" s="41">
        <f>P111/'1. Väestöennuste'!R111*1000</f>
        <v>594.10753389212334</v>
      </c>
    </row>
    <row r="112" spans="1:35" x14ac:dyDescent="0.25">
      <c r="A112" s="30">
        <v>284</v>
      </c>
      <c r="B112" s="31" t="s">
        <v>426</v>
      </c>
      <c r="C112" s="41">
        <v>600</v>
      </c>
      <c r="D112" s="41">
        <v>664</v>
      </c>
      <c r="E112" s="41">
        <v>695</v>
      </c>
      <c r="F112" s="41">
        <v>793</v>
      </c>
      <c r="G112" s="41">
        <v>817</v>
      </c>
      <c r="H112" s="41">
        <v>789</v>
      </c>
      <c r="I112" s="165">
        <v>763.59036000000003</v>
      </c>
      <c r="J112" s="115">
        <v>728.41749000000004</v>
      </c>
      <c r="K112" s="115">
        <v>690.98546999999996</v>
      </c>
      <c r="L112" s="41">
        <v>629.12099999999998</v>
      </c>
      <c r="M112" s="41">
        <v>725.92200000000003</v>
      </c>
      <c r="N112" s="41">
        <v>850.51800000000003</v>
      </c>
      <c r="O112" s="41">
        <f t="shared" si="6"/>
        <v>877.96110346723049</v>
      </c>
      <c r="P112" s="41">
        <f t="shared" si="6"/>
        <v>905.40420693446094</v>
      </c>
      <c r="Q112" s="165"/>
      <c r="T112" s="34">
        <v>284</v>
      </c>
      <c r="U112" s="88" t="s">
        <v>426</v>
      </c>
      <c r="V112" s="41">
        <f>C112/'1. Väestöennuste'!E112*1000</f>
        <v>250.10421008753647</v>
      </c>
      <c r="W112" s="41">
        <f>D112/'1. Väestöennuste'!F112*1000</f>
        <v>274.83443708609275</v>
      </c>
      <c r="X112" s="41">
        <f>E112/'1. Väestöennuste'!G112*1000</f>
        <v>294.61636286562106</v>
      </c>
      <c r="Y112" s="41">
        <f>F112/'1. Väestöennuste'!H112*1000</f>
        <v>338.88888888888891</v>
      </c>
      <c r="Z112" s="41">
        <f>G112/'1. Väestöennuste'!I112*1000</f>
        <v>353.98613518197573</v>
      </c>
      <c r="AA112" s="41">
        <f>H112/'1. Väestöennuste'!J112*1000</f>
        <v>344.24083769633506</v>
      </c>
      <c r="AB112" s="41">
        <f>I112/'1. Väestöennuste'!K112*1000</f>
        <v>336.23529722589166</v>
      </c>
      <c r="AC112" s="41">
        <f>J112/'1. Väestöennuste'!L112*1000</f>
        <v>327.08463852716665</v>
      </c>
      <c r="AD112" s="41">
        <f>K112/'1. Väestöennuste'!M112*1000</f>
        <v>313.08811508835521</v>
      </c>
      <c r="AE112" s="41">
        <f>L112/'1. Väestöennuste'!N112*1000</f>
        <v>286.22429481346677</v>
      </c>
      <c r="AF112" s="41">
        <f>M112/'1. Väestöennuste'!O112*1000</f>
        <v>333.45062011943043</v>
      </c>
      <c r="AG112" s="41">
        <f>N112/'1. Väestöennuste'!P112*1000</f>
        <v>394.30598052851184</v>
      </c>
      <c r="AH112" s="41">
        <f>O112/'1. Väestöennuste'!Q112*1000</f>
        <v>410.45399881590953</v>
      </c>
      <c r="AI112" s="41">
        <f>P112/'1. Väestöennuste'!R112*1000</f>
        <v>427.48073981797023</v>
      </c>
    </row>
    <row r="113" spans="1:35" x14ac:dyDescent="0.25">
      <c r="A113" s="30">
        <v>285</v>
      </c>
      <c r="B113" s="31" t="s">
        <v>427</v>
      </c>
      <c r="C113" s="41">
        <v>19968</v>
      </c>
      <c r="D113" s="41">
        <v>21888</v>
      </c>
      <c r="E113" s="41">
        <v>26616</v>
      </c>
      <c r="F113" s="41">
        <v>20032</v>
      </c>
      <c r="G113" s="41">
        <v>21647</v>
      </c>
      <c r="H113" s="41">
        <v>35986</v>
      </c>
      <c r="I113" s="165">
        <v>21119.40094</v>
      </c>
      <c r="J113" s="41">
        <v>18966.493979999999</v>
      </c>
      <c r="K113" s="41">
        <v>16363.492410000001</v>
      </c>
      <c r="L113" s="41">
        <v>16358.30877</v>
      </c>
      <c r="M113" s="41">
        <v>17078.99411</v>
      </c>
      <c r="N113" s="41">
        <v>17408.693660000001</v>
      </c>
      <c r="O113" s="41">
        <f t="shared" si="6"/>
        <v>17970.408498887242</v>
      </c>
      <c r="P113" s="41">
        <f t="shared" si="6"/>
        <v>18532.123337774483</v>
      </c>
      <c r="Q113" s="165"/>
      <c r="T113" s="34">
        <v>285</v>
      </c>
      <c r="U113" s="88" t="s">
        <v>427</v>
      </c>
      <c r="V113" s="41">
        <f>C113/'1. Väestöennuste'!E113*1000</f>
        <v>367.60617831697931</v>
      </c>
      <c r="W113" s="41">
        <f>D113/'1. Väestöennuste'!F113*1000</f>
        <v>403.93452304058167</v>
      </c>
      <c r="X113" s="41">
        <f>E113/'1. Väestöennuste'!G113*1000</f>
        <v>497.13293113431331</v>
      </c>
      <c r="Y113" s="41">
        <f>F113/'1. Väestöennuste'!H113*1000</f>
        <v>378.79847966265152</v>
      </c>
      <c r="Z113" s="41">
        <f>G113/'1. Väestöennuste'!I113*1000</f>
        <v>415.28220082108737</v>
      </c>
      <c r="AA113" s="41">
        <f>H113/'1. Väestöennuste'!J113*1000</f>
        <v>696.48525199349695</v>
      </c>
      <c r="AB113" s="41">
        <f>I113/'1. Väestöennuste'!K113*1000</f>
        <v>412.15825100993339</v>
      </c>
      <c r="AC113" s="41">
        <f>J113/'1. Väestöennuste'!L113*1000</f>
        <v>374.70600746784675</v>
      </c>
      <c r="AD113" s="41">
        <f>K113/'1. Väestöennuste'!M113*1000</f>
        <v>324.02955267326735</v>
      </c>
      <c r="AE113" s="41">
        <f>L113/'1. Väestöennuste'!N113*1000</f>
        <v>328.35481984784917</v>
      </c>
      <c r="AF113" s="41">
        <f>M113/'1. Väestöennuste'!O113*1000</f>
        <v>345.81262877622095</v>
      </c>
      <c r="AG113" s="41">
        <f>N113/'1. Väestöennuste'!P113*1000</f>
        <v>355.46807816392374</v>
      </c>
      <c r="AH113" s="41">
        <f>O113/'1. Väestöennuste'!Q113*1000</f>
        <v>369.9898805618127</v>
      </c>
      <c r="AI113" s="41">
        <f>P113/'1. Väestöennuste'!R113*1000</f>
        <v>384.6834112667251</v>
      </c>
    </row>
    <row r="114" spans="1:35" x14ac:dyDescent="0.25">
      <c r="A114" s="30">
        <v>286</v>
      </c>
      <c r="B114" s="31" t="s">
        <v>428</v>
      </c>
      <c r="C114" s="41">
        <v>20707</v>
      </c>
      <c r="D114" s="41">
        <v>20424</v>
      </c>
      <c r="E114" s="41">
        <v>25517</v>
      </c>
      <c r="F114" s="41">
        <v>20279</v>
      </c>
      <c r="G114" s="41">
        <v>22575</v>
      </c>
      <c r="H114" s="41">
        <v>23213</v>
      </c>
      <c r="I114" s="165">
        <v>26660.653320000001</v>
      </c>
      <c r="J114" s="41">
        <v>25061.211930000001</v>
      </c>
      <c r="K114" s="41">
        <v>27867.078839999998</v>
      </c>
      <c r="L114" s="41">
        <v>27600.22</v>
      </c>
      <c r="M114" s="41">
        <v>27883.1</v>
      </c>
      <c r="N114" s="41">
        <v>28361.7</v>
      </c>
      <c r="O114" s="41">
        <f t="shared" si="6"/>
        <v>29276.828271954917</v>
      </c>
      <c r="P114" s="41">
        <f t="shared" si="6"/>
        <v>30191.95654390983</v>
      </c>
      <c r="Q114" s="165"/>
      <c r="T114" s="34">
        <v>286</v>
      </c>
      <c r="U114" s="88" t="s">
        <v>428</v>
      </c>
      <c r="V114" s="41">
        <f>C114/'1. Väestöennuste'!E114*1000</f>
        <v>241.18572010948691</v>
      </c>
      <c r="W114" s="41">
        <f>D114/'1. Väestöennuste'!F114*1000</f>
        <v>239.42043935948234</v>
      </c>
      <c r="X114" s="41">
        <f>E114/'1. Väestöennuste'!G114*1000</f>
        <v>303.06665399781463</v>
      </c>
      <c r="Y114" s="41">
        <f>F114/'1. Väestöennuste'!H114*1000</f>
        <v>243.80537889079915</v>
      </c>
      <c r="Z114" s="41">
        <f>G114/'1. Väestöennuste'!I114*1000</f>
        <v>274.92601658689853</v>
      </c>
      <c r="AA114" s="41">
        <f>H114/'1. Väestöennuste'!J114*1000</f>
        <v>285.9201596314681</v>
      </c>
      <c r="AB114" s="41">
        <f>I114/'1. Väestöennuste'!K114*1000</f>
        <v>331.37759862778734</v>
      </c>
      <c r="AC114" s="41">
        <f>J114/'1. Väestöennuste'!L114*1000</f>
        <v>315.51715280313238</v>
      </c>
      <c r="AD114" s="41">
        <f>K114/'1. Väestöennuste'!M114*1000</f>
        <v>353.2844680527383</v>
      </c>
      <c r="AE114" s="41">
        <f>L114/'1. Väestöennuste'!N114*1000</f>
        <v>354.23045330869138</v>
      </c>
      <c r="AF114" s="41">
        <f>M114/'1. Väestöennuste'!O114*1000</f>
        <v>361.43755266057423</v>
      </c>
      <c r="AG114" s="41">
        <f>N114/'1. Väestöennuste'!P114*1000</f>
        <v>371.27017580605047</v>
      </c>
      <c r="AH114" s="41">
        <f>O114/'1. Väestöennuste'!Q114*1000</f>
        <v>386.95764247419237</v>
      </c>
      <c r="AI114" s="41">
        <f>P114/'1. Väestöennuste'!R114*1000</f>
        <v>402.81722360857384</v>
      </c>
    </row>
    <row r="115" spans="1:35" x14ac:dyDescent="0.25">
      <c r="A115" s="30">
        <v>287</v>
      </c>
      <c r="B115" s="31" t="s">
        <v>429</v>
      </c>
      <c r="C115" s="41">
        <v>2223</v>
      </c>
      <c r="D115" s="41">
        <v>2491</v>
      </c>
      <c r="E115" s="41">
        <v>2526</v>
      </c>
      <c r="F115" s="41">
        <v>2550</v>
      </c>
      <c r="G115" s="41">
        <v>3095</v>
      </c>
      <c r="H115" s="41">
        <v>3594</v>
      </c>
      <c r="I115" s="165">
        <v>3088.8768100000002</v>
      </c>
      <c r="J115" s="41">
        <v>2899.4080299999996</v>
      </c>
      <c r="K115" s="41">
        <v>3507.78361</v>
      </c>
      <c r="L115" s="41">
        <v>3060</v>
      </c>
      <c r="M115" s="41">
        <v>3060</v>
      </c>
      <c r="N115" s="41">
        <v>3060</v>
      </c>
      <c r="O115" s="41">
        <f t="shared" si="6"/>
        <v>3158.7350022100945</v>
      </c>
      <c r="P115" s="41">
        <f t="shared" si="6"/>
        <v>3257.4700044201891</v>
      </c>
      <c r="Q115" s="165"/>
      <c r="T115" s="34">
        <v>287</v>
      </c>
      <c r="U115" s="88" t="s">
        <v>429</v>
      </c>
      <c r="V115" s="41">
        <f>C115/'1. Väestöennuste'!E115*1000</f>
        <v>327.24863830413659</v>
      </c>
      <c r="W115" s="41">
        <f>D115/'1. Väestöennuste'!F115*1000</f>
        <v>370.29879589713096</v>
      </c>
      <c r="X115" s="41">
        <f>E115/'1. Väestöennuste'!G115*1000</f>
        <v>380.53630611630007</v>
      </c>
      <c r="Y115" s="41">
        <f>F115/'1. Väestöennuste'!H115*1000</f>
        <v>386.59793814432993</v>
      </c>
      <c r="Z115" s="41">
        <f>G115/'1. Väestöennuste'!I115*1000</f>
        <v>477.18162195497996</v>
      </c>
      <c r="AA115" s="41">
        <f>H115/'1. Väestöennuste'!J115*1000</f>
        <v>561.21174266083699</v>
      </c>
      <c r="AB115" s="41">
        <f>I115/'1. Väestöennuste'!K115*1000</f>
        <v>484.14997021943577</v>
      </c>
      <c r="AC115" s="41">
        <f>J115/'1. Väestöennuste'!L115*1000</f>
        <v>464.49984460108936</v>
      </c>
      <c r="AD115" s="41">
        <f>K115/'1. Väestöennuste'!M115*1000</f>
        <v>565.86281819648332</v>
      </c>
      <c r="AE115" s="41">
        <f>L115/'1. Väestöennuste'!N115*1000</f>
        <v>500.90031101653301</v>
      </c>
      <c r="AF115" s="41">
        <f>M115/'1. Väestöennuste'!O115*1000</f>
        <v>506.03605093434754</v>
      </c>
      <c r="AG115" s="41">
        <f>N115/'1. Väestöennuste'!P115*1000</f>
        <v>511.0220440881763</v>
      </c>
      <c r="AH115" s="41">
        <f>O115/'1. Väestöennuste'!Q115*1000</f>
        <v>532.58050956164129</v>
      </c>
      <c r="AI115" s="41">
        <f>P115/'1. Väestöennuste'!R115*1000</f>
        <v>554.55737221998447</v>
      </c>
    </row>
    <row r="116" spans="1:35" x14ac:dyDescent="0.25">
      <c r="A116" s="30">
        <v>288</v>
      </c>
      <c r="B116" s="31" t="s">
        <v>430</v>
      </c>
      <c r="C116" s="41">
        <v>1087</v>
      </c>
      <c r="D116" s="41">
        <v>1125</v>
      </c>
      <c r="E116" s="41">
        <v>1132</v>
      </c>
      <c r="F116" s="41">
        <v>1464</v>
      </c>
      <c r="G116" s="41">
        <v>1192</v>
      </c>
      <c r="H116" s="41">
        <v>1511</v>
      </c>
      <c r="I116" s="165">
        <v>1359.7726</v>
      </c>
      <c r="J116" s="41">
        <v>1487.4893500000001</v>
      </c>
      <c r="K116" s="41">
        <v>1501.5879600000001</v>
      </c>
      <c r="L116" s="41">
        <v>1525</v>
      </c>
      <c r="M116" s="41">
        <v>1750</v>
      </c>
      <c r="N116" s="41">
        <v>1750</v>
      </c>
      <c r="O116" s="41">
        <f t="shared" si="6"/>
        <v>1806.4660960351848</v>
      </c>
      <c r="P116" s="41">
        <f t="shared" si="6"/>
        <v>1862.9321920703696</v>
      </c>
      <c r="Q116" s="165"/>
      <c r="T116" s="34">
        <v>288</v>
      </c>
      <c r="U116" s="88" t="s">
        <v>430</v>
      </c>
      <c r="V116" s="41">
        <f>C116/'1. Väestöennuste'!E116*1000</f>
        <v>162.67584555522299</v>
      </c>
      <c r="W116" s="41">
        <f>D116/'1. Väestöennuste'!F116*1000</f>
        <v>169.93957703927492</v>
      </c>
      <c r="X116" s="41">
        <f>E116/'1. Väestöennuste'!G116*1000</f>
        <v>173.32720869698363</v>
      </c>
      <c r="Y116" s="41">
        <f>F116/'1. Väestöennuste'!H116*1000</f>
        <v>224.91934244891689</v>
      </c>
      <c r="Z116" s="41">
        <f>G116/'1. Väestöennuste'!I116*1000</f>
        <v>185.43870566272557</v>
      </c>
      <c r="AA116" s="41">
        <f>H116/'1. Väestöennuste'!J116*1000</f>
        <v>235.50498753117208</v>
      </c>
      <c r="AB116" s="41">
        <f>I116/'1. Väestöennuste'!K116*1000</f>
        <v>211.07926109903758</v>
      </c>
      <c r="AC116" s="41">
        <f>J116/'1. Väestöennuste'!L116*1000</f>
        <v>232.2387743950039</v>
      </c>
      <c r="AD116" s="41">
        <f>K116/'1. Väestöennuste'!M116*1000</f>
        <v>235.80212939698495</v>
      </c>
      <c r="AE116" s="41">
        <f>L116/'1. Väestöennuste'!N116*1000</f>
        <v>245.01928020565552</v>
      </c>
      <c r="AF116" s="41">
        <f>M116/'1. Väestöennuste'!O116*1000</f>
        <v>283.30904970050187</v>
      </c>
      <c r="AG116" s="41">
        <f>N116/'1. Väestöennuste'!P116*1000</f>
        <v>285.43467623552436</v>
      </c>
      <c r="AH116" s="41">
        <f>O116/'1. Väestöennuste'!Q116*1000</f>
        <v>296.92079159026707</v>
      </c>
      <c r="AI116" s="41">
        <f>P116/'1. Väestöennuste'!R116*1000</f>
        <v>308.63687741391152</v>
      </c>
    </row>
    <row r="117" spans="1:35" x14ac:dyDescent="0.25">
      <c r="A117" s="30">
        <v>290</v>
      </c>
      <c r="B117" s="31" t="s">
        <v>431</v>
      </c>
      <c r="C117" s="41">
        <v>1837</v>
      </c>
      <c r="D117" s="41">
        <v>2051</v>
      </c>
      <c r="E117" s="41">
        <v>2311</v>
      </c>
      <c r="F117" s="41">
        <v>2546</v>
      </c>
      <c r="G117" s="41">
        <v>2939</v>
      </c>
      <c r="H117" s="41">
        <v>2609</v>
      </c>
      <c r="I117" s="165">
        <v>2338.1209399999998</v>
      </c>
      <c r="J117" s="41">
        <v>2331.3788999999997</v>
      </c>
      <c r="K117" s="41">
        <v>3319.6509599999999</v>
      </c>
      <c r="L117" s="41">
        <v>2862.9</v>
      </c>
      <c r="M117" s="41">
        <v>2862.9</v>
      </c>
      <c r="N117" s="41">
        <v>2422.9</v>
      </c>
      <c r="O117" s="41">
        <f t="shared" si="6"/>
        <v>2501.0781166192282</v>
      </c>
      <c r="P117" s="41">
        <f t="shared" si="6"/>
        <v>2579.2562332384564</v>
      </c>
      <c r="Q117" s="165"/>
      <c r="T117" s="34">
        <v>290</v>
      </c>
      <c r="U117" s="88" t="s">
        <v>431</v>
      </c>
      <c r="V117" s="41">
        <f>C117/'1. Väestöennuste'!E117*1000</f>
        <v>208.60776743129682</v>
      </c>
      <c r="W117" s="41">
        <f>D117/'1. Väestöennuste'!F117*1000</f>
        <v>237.1920897421071</v>
      </c>
      <c r="X117" s="41">
        <f>E117/'1. Väestöennuste'!G117*1000</f>
        <v>271.91434286386635</v>
      </c>
      <c r="Y117" s="41">
        <f>F117/'1. Väestöennuste'!H117*1000</f>
        <v>305.67895305558892</v>
      </c>
      <c r="Z117" s="41">
        <f>G117/'1. Väestöennuste'!I117*1000</f>
        <v>358.85225885225884</v>
      </c>
      <c r="AA117" s="41">
        <f>H117/'1. Väestöennuste'!J117*1000</f>
        <v>324.42178562546633</v>
      </c>
      <c r="AB117" s="41">
        <f>I117/'1. Väestöennuste'!K117*1000</f>
        <v>294.91939202825421</v>
      </c>
      <c r="AC117" s="41">
        <f>J117/'1. Väestöennuste'!L117*1000</f>
        <v>300.62912959381038</v>
      </c>
      <c r="AD117" s="41">
        <f>K117/'1. Väestöennuste'!M117*1000</f>
        <v>437.83315220258504</v>
      </c>
      <c r="AE117" s="41">
        <f>L117/'1. Väestöennuste'!N117*1000</f>
        <v>382.89420890731577</v>
      </c>
      <c r="AF117" s="41">
        <f>M117/'1. Väestöennuste'!O117*1000</f>
        <v>389.66925275622702</v>
      </c>
      <c r="AG117" s="41">
        <f>N117/'1. Väestöennuste'!P117*1000</f>
        <v>335.72121380074827</v>
      </c>
      <c r="AH117" s="41">
        <f>O117/'1. Väestöennuste'!Q117*1000</f>
        <v>352.76137046815631</v>
      </c>
      <c r="AI117" s="41">
        <f>P117/'1. Väestöennuste'!R117*1000</f>
        <v>370.21045403164294</v>
      </c>
    </row>
    <row r="118" spans="1:35" x14ac:dyDescent="0.25">
      <c r="A118" s="30">
        <v>291</v>
      </c>
      <c r="B118" s="31" t="s">
        <v>432</v>
      </c>
      <c r="C118" s="41">
        <v>1140</v>
      </c>
      <c r="D118" s="41">
        <v>1074</v>
      </c>
      <c r="E118" s="41">
        <v>1304</v>
      </c>
      <c r="F118" s="41">
        <v>1108</v>
      </c>
      <c r="G118" s="41">
        <v>1203</v>
      </c>
      <c r="H118" s="41">
        <v>1206</v>
      </c>
      <c r="I118" s="165">
        <v>1225.3424</v>
      </c>
      <c r="J118" s="41">
        <v>1125.46027</v>
      </c>
      <c r="K118" s="41">
        <v>1197.2974899999999</v>
      </c>
      <c r="L118" s="41">
        <v>1293.72</v>
      </c>
      <c r="M118" s="41">
        <v>1293.72</v>
      </c>
      <c r="N118" s="41">
        <v>1293.72</v>
      </c>
      <c r="O118" s="41">
        <f t="shared" si="6"/>
        <v>1335.4636101500796</v>
      </c>
      <c r="P118" s="41">
        <f t="shared" si="6"/>
        <v>1377.2072203001592</v>
      </c>
      <c r="Q118" s="165"/>
      <c r="T118" s="34">
        <v>291</v>
      </c>
      <c r="U118" s="88" t="s">
        <v>432</v>
      </c>
      <c r="V118" s="41">
        <f>C118/'1. Väestöennuste'!E118*1000</f>
        <v>488.43187660668383</v>
      </c>
      <c r="W118" s="41">
        <f>D118/'1. Väestöennuste'!F118*1000</f>
        <v>469.81627296587925</v>
      </c>
      <c r="X118" s="41">
        <f>E118/'1. Väestöennuste'!G118*1000</f>
        <v>579.04085257548843</v>
      </c>
      <c r="Y118" s="41">
        <f>F118/'1. Väestöennuste'!H118*1000</f>
        <v>495.08489722966937</v>
      </c>
      <c r="Z118" s="41">
        <f>G118/'1. Väestöennuste'!I118*1000</f>
        <v>545.33091568449686</v>
      </c>
      <c r="AA118" s="41">
        <f>H118/'1. Väestöennuste'!J118*1000</f>
        <v>558.07496529384548</v>
      </c>
      <c r="AB118" s="41">
        <f>I118/'1. Väestöennuste'!K118*1000</f>
        <v>567.81390176088973</v>
      </c>
      <c r="AC118" s="41">
        <f>J118/'1. Väestöennuste'!L118*1000</f>
        <v>531.12801793298729</v>
      </c>
      <c r="AD118" s="41">
        <f>K118/'1. Väestöennuste'!M118*1000</f>
        <v>572.32193594646265</v>
      </c>
      <c r="AE118" s="41">
        <f>L118/'1. Väestöennuste'!N118*1000</f>
        <v>633.55533790401569</v>
      </c>
      <c r="AF118" s="41">
        <f>M118/'1. Väestöennuste'!O118*1000</f>
        <v>642.04466501240699</v>
      </c>
      <c r="AG118" s="41">
        <f>N118/'1. Väestöennuste'!P118*1000</f>
        <v>650.43740573152343</v>
      </c>
      <c r="AH118" s="41">
        <f>O118/'1. Väestöennuste'!Q118*1000</f>
        <v>678.93421970009126</v>
      </c>
      <c r="AI118" s="41">
        <f>P118/'1. Väestöennuste'!R118*1000</f>
        <v>707.71182954787218</v>
      </c>
    </row>
    <row r="119" spans="1:35" x14ac:dyDescent="0.25">
      <c r="A119" s="30">
        <v>297</v>
      </c>
      <c r="B119" s="31" t="s">
        <v>433</v>
      </c>
      <c r="C119" s="41">
        <v>40880</v>
      </c>
      <c r="D119" s="41">
        <v>51235</v>
      </c>
      <c r="E119" s="41">
        <v>48339</v>
      </c>
      <c r="F119" s="41">
        <v>48135</v>
      </c>
      <c r="G119" s="41">
        <v>54646</v>
      </c>
      <c r="H119" s="41">
        <v>46165</v>
      </c>
      <c r="I119" s="165">
        <v>48774.518830000001</v>
      </c>
      <c r="J119" s="41">
        <v>48964.567889999998</v>
      </c>
      <c r="K119" s="41">
        <v>54381.412579999997</v>
      </c>
      <c r="L119" s="41">
        <v>58025</v>
      </c>
      <c r="M119" s="41">
        <v>59890</v>
      </c>
      <c r="N119" s="41">
        <v>62000</v>
      </c>
      <c r="O119" s="41">
        <f t="shared" si="6"/>
        <v>64000.513116675123</v>
      </c>
      <c r="P119" s="41">
        <f t="shared" si="6"/>
        <v>66001.026233350247</v>
      </c>
      <c r="Q119" s="165"/>
      <c r="T119" s="34">
        <v>297</v>
      </c>
      <c r="U119" s="88" t="s">
        <v>433</v>
      </c>
      <c r="V119" s="41">
        <f>C119/'1. Väestöennuste'!E119*1000</f>
        <v>349.63778961863142</v>
      </c>
      <c r="W119" s="41">
        <f>D119/'1. Väestöennuste'!F119*1000</f>
        <v>435.15372855444201</v>
      </c>
      <c r="X119" s="41">
        <f>E119/'1. Väestöennuste'!G119*1000</f>
        <v>408.92825419384309</v>
      </c>
      <c r="Y119" s="41">
        <f>F119/'1. Väestöennuste'!H119*1000</f>
        <v>405.64113800310122</v>
      </c>
      <c r="Z119" s="41">
        <f>G119/'1. Väestöennuste'!I119*1000</f>
        <v>458.12444459348433</v>
      </c>
      <c r="AA119" s="41">
        <f>H119/'1. Väestöennuste'!J119*1000</f>
        <v>384.03626986107645</v>
      </c>
      <c r="AB119" s="41">
        <f>I119/'1. Väestöennuste'!K119*1000</f>
        <v>401.29434710349426</v>
      </c>
      <c r="AC119" s="41">
        <f>J119/'1. Väestöennuste'!L119*1000</f>
        <v>399.40427663670323</v>
      </c>
      <c r="AD119" s="41">
        <f>K119/'1. Väestöennuste'!M119*1000</f>
        <v>438.4855192265826</v>
      </c>
      <c r="AE119" s="41">
        <f>L119/'1. Väestöennuste'!N119*1000</f>
        <v>472.62020151010404</v>
      </c>
      <c r="AF119" s="41">
        <f>M119/'1. Väestöennuste'!O119*1000</f>
        <v>485.7849697854565</v>
      </c>
      <c r="AG119" s="41">
        <f>N119/'1. Väestöennuste'!P119*1000</f>
        <v>500.93319005566826</v>
      </c>
      <c r="AH119" s="41">
        <f>O119/'1. Väestöennuste'!Q119*1000</f>
        <v>515.19833460797042</v>
      </c>
      <c r="AI119" s="41">
        <f>P119/'1. Väestöennuste'!R119*1000</f>
        <v>529.48653627608473</v>
      </c>
    </row>
    <row r="120" spans="1:35" x14ac:dyDescent="0.25">
      <c r="A120" s="30">
        <v>300</v>
      </c>
      <c r="B120" s="31" t="s">
        <v>434</v>
      </c>
      <c r="C120" s="41">
        <v>1143</v>
      </c>
      <c r="D120" s="41">
        <v>1191</v>
      </c>
      <c r="E120" s="41">
        <v>1522</v>
      </c>
      <c r="F120" s="41">
        <v>1217</v>
      </c>
      <c r="G120" s="41">
        <v>1268</v>
      </c>
      <c r="H120" s="41">
        <v>1229</v>
      </c>
      <c r="I120" s="165">
        <v>1060.70543</v>
      </c>
      <c r="J120" s="41">
        <v>1164.03224</v>
      </c>
      <c r="K120" s="41">
        <v>1164.0248200000001</v>
      </c>
      <c r="L120" s="41">
        <v>1235.5</v>
      </c>
      <c r="M120" s="41">
        <v>1250</v>
      </c>
      <c r="N120" s="41">
        <v>1280</v>
      </c>
      <c r="O120" s="41">
        <f t="shared" si="6"/>
        <v>1321.3009159571639</v>
      </c>
      <c r="P120" s="41">
        <f t="shared" si="6"/>
        <v>1362.6018319143275</v>
      </c>
      <c r="Q120" s="165"/>
      <c r="T120" s="34">
        <v>300</v>
      </c>
      <c r="U120" s="88" t="s">
        <v>434</v>
      </c>
      <c r="V120" s="41">
        <f>C120/'1. Väestöennuste'!E120*1000</f>
        <v>307.671601615074</v>
      </c>
      <c r="W120" s="41">
        <f>D120/'1. Väestöennuste'!F120*1000</f>
        <v>322.76422764227641</v>
      </c>
      <c r="X120" s="41">
        <f>E120/'1. Väestöennuste'!G120*1000</f>
        <v>418.47676656585099</v>
      </c>
      <c r="Y120" s="41">
        <f>F120/'1. Väestöennuste'!H120*1000</f>
        <v>340.70548712206045</v>
      </c>
      <c r="Z120" s="41">
        <f>G120/'1. Väestöennuste'!I120*1000</f>
        <v>357.08251196845958</v>
      </c>
      <c r="AA120" s="41">
        <f>H120/'1. Väestöennuste'!J120*1000</f>
        <v>347.76457272212792</v>
      </c>
      <c r="AB120" s="41">
        <f>I120/'1. Väestöennuste'!K120*1000</f>
        <v>300.65346655328796</v>
      </c>
      <c r="AC120" s="41">
        <f>J120/'1. Väestöennuste'!L120*1000</f>
        <v>338.67682281059064</v>
      </c>
      <c r="AD120" s="41">
        <f>K120/'1. Väestöennuste'!M120*1000</f>
        <v>344.28418219461696</v>
      </c>
      <c r="AE120" s="41">
        <f>L120/'1. Väestöennuste'!N120*1000</f>
        <v>364.77708886920578</v>
      </c>
      <c r="AF120" s="41">
        <f>M120/'1. Väestöennuste'!O120*1000</f>
        <v>372.68932617769826</v>
      </c>
      <c r="AG120" s="41">
        <f>N120/'1. Väestöennuste'!P120*1000</f>
        <v>385.65833082253693</v>
      </c>
      <c r="AH120" s="41">
        <f>O120/'1. Väestöennuste'!Q120*1000</f>
        <v>401.97776573080739</v>
      </c>
      <c r="AI120" s="41">
        <f>P120/'1. Väestöennuste'!R120*1000</f>
        <v>418.36101686040143</v>
      </c>
    </row>
    <row r="121" spans="1:35" x14ac:dyDescent="0.25">
      <c r="A121" s="30">
        <v>301</v>
      </c>
      <c r="B121" s="31" t="s">
        <v>435</v>
      </c>
      <c r="C121" s="41">
        <v>6945</v>
      </c>
      <c r="D121" s="41">
        <v>8853</v>
      </c>
      <c r="E121" s="41">
        <v>6508</v>
      </c>
      <c r="F121" s="41">
        <v>6714</v>
      </c>
      <c r="G121" s="41">
        <v>14932</v>
      </c>
      <c r="H121" s="41">
        <v>7150</v>
      </c>
      <c r="I121" s="165">
        <v>7055.3229499999998</v>
      </c>
      <c r="J121" s="41">
        <v>6908.3813200000004</v>
      </c>
      <c r="K121" s="41">
        <v>8029.8928099999994</v>
      </c>
      <c r="L121" s="41">
        <v>8041.25</v>
      </c>
      <c r="M121" s="41">
        <v>8254.58</v>
      </c>
      <c r="N121" s="41">
        <v>8444.58</v>
      </c>
      <c r="O121" s="41">
        <f t="shared" si="6"/>
        <v>8717.055694432458</v>
      </c>
      <c r="P121" s="41">
        <f t="shared" si="6"/>
        <v>8989.5313888649162</v>
      </c>
      <c r="Q121" s="165"/>
      <c r="T121" s="34">
        <v>301</v>
      </c>
      <c r="U121" s="88" t="s">
        <v>435</v>
      </c>
      <c r="V121" s="41">
        <f>C121/'1. Väestöennuste'!E121*1000</f>
        <v>319.54541271740135</v>
      </c>
      <c r="W121" s="41">
        <f>D121/'1. Väestöennuste'!F121*1000</f>
        <v>411.74829077717317</v>
      </c>
      <c r="X121" s="41">
        <f>E121/'1. Väestöennuste'!G121*1000</f>
        <v>306.93769749563745</v>
      </c>
      <c r="Y121" s="41">
        <f>F121/'1. Väestöennuste'!H121*1000</f>
        <v>320.44673539518902</v>
      </c>
      <c r="Z121" s="41">
        <f>G121/'1. Väestöennuste'!I121*1000</f>
        <v>722.12012767192175</v>
      </c>
      <c r="AA121" s="41">
        <f>H121/'1. Väestöennuste'!J121*1000</f>
        <v>349.53070003910835</v>
      </c>
      <c r="AB121" s="41">
        <f>I121/'1. Väestöennuste'!K121*1000</f>
        <v>349.3252933604</v>
      </c>
      <c r="AC121" s="41">
        <f>J121/'1. Väestöennuste'!L121*1000</f>
        <v>347.32937757667173</v>
      </c>
      <c r="AD121" s="41">
        <f>K121/'1. Väestöennuste'!M121*1000</f>
        <v>406.39166000303658</v>
      </c>
      <c r="AE121" s="41">
        <f>L121/'1. Väestöennuste'!N121*1000</f>
        <v>412.47755834829439</v>
      </c>
      <c r="AF121" s="41">
        <f>M121/'1. Väestöennuste'!O121*1000</f>
        <v>428.38652758316465</v>
      </c>
      <c r="AG121" s="41">
        <f>N121/'1. Väestöennuste'!P121*1000</f>
        <v>443.30831014751431</v>
      </c>
      <c r="AH121" s="41">
        <f>O121/'1. Väestöennuste'!Q121*1000</f>
        <v>462.83613116876171</v>
      </c>
      <c r="AI121" s="41">
        <f>P121/'1. Väestöennuste'!R121*1000</f>
        <v>482.73715975002233</v>
      </c>
    </row>
    <row r="122" spans="1:35" x14ac:dyDescent="0.25">
      <c r="A122" s="30">
        <v>304</v>
      </c>
      <c r="B122" s="31" t="s">
        <v>436</v>
      </c>
      <c r="C122" s="41">
        <v>271</v>
      </c>
      <c r="D122" s="41">
        <v>276</v>
      </c>
      <c r="E122" s="41">
        <v>300</v>
      </c>
      <c r="F122" s="41">
        <v>385</v>
      </c>
      <c r="G122" s="41">
        <v>392</v>
      </c>
      <c r="H122" s="41">
        <v>412</v>
      </c>
      <c r="I122" s="165">
        <v>506.59889000000004</v>
      </c>
      <c r="J122" s="41">
        <v>517.34405000000004</v>
      </c>
      <c r="K122" s="41">
        <v>500.53970000000004</v>
      </c>
      <c r="L122" s="41">
        <v>506.63799999999998</v>
      </c>
      <c r="M122" s="41">
        <v>506.63799999999998</v>
      </c>
      <c r="N122" s="41">
        <v>506.63799999999998</v>
      </c>
      <c r="O122" s="41">
        <f t="shared" si="6"/>
        <v>522.98535426461365</v>
      </c>
      <c r="P122" s="41">
        <f t="shared" si="6"/>
        <v>539.33270852922738</v>
      </c>
      <c r="Q122" s="165"/>
      <c r="T122" s="34">
        <v>304</v>
      </c>
      <c r="U122" s="88" t="s">
        <v>436</v>
      </c>
      <c r="V122" s="41">
        <f>C122/'1. Väestöennuste'!E122*1000</f>
        <v>302.79329608938548</v>
      </c>
      <c r="W122" s="41">
        <f>D122/'1. Väestöennuste'!F122*1000</f>
        <v>303.9647577092511</v>
      </c>
      <c r="X122" s="41">
        <f>E122/'1. Väestöennuste'!G122*1000</f>
        <v>325.0270855904659</v>
      </c>
      <c r="Y122" s="41">
        <f>F122/'1. Väestöennuste'!H122*1000</f>
        <v>415.76673866090715</v>
      </c>
      <c r="Z122" s="41">
        <f>G122/'1. Väestöennuste'!I122*1000</f>
        <v>413.0663856691254</v>
      </c>
      <c r="AA122" s="41">
        <f>H122/'1. Väestöennuste'!J122*1000</f>
        <v>428.27442827442832</v>
      </c>
      <c r="AB122" s="41">
        <f>I122/'1. Väestöennuste'!K122*1000</f>
        <v>521.72903192584965</v>
      </c>
      <c r="AC122" s="41">
        <f>J122/'1. Väestöennuste'!L122*1000</f>
        <v>544.5726842105264</v>
      </c>
      <c r="AD122" s="41">
        <f>K122/'1. Väestöennuste'!M122*1000</f>
        <v>527.43909378292938</v>
      </c>
      <c r="AE122" s="41">
        <f>L122/'1. Väestöennuste'!N122*1000</f>
        <v>494.28097560975607</v>
      </c>
      <c r="AF122" s="41">
        <f>M122/'1. Väestöennuste'!O122*1000</f>
        <v>488.56123432979746</v>
      </c>
      <c r="AG122" s="41">
        <f>N122/'1. Väestöennuste'!P122*1000</f>
        <v>482.51238095238091</v>
      </c>
      <c r="AH122" s="41">
        <f>O122/'1. Väestöennuste'!Q122*1000</f>
        <v>491.52758859456168</v>
      </c>
      <c r="AI122" s="41">
        <f>P122/'1. Väestöennuste'!R122*1000</f>
        <v>501.70484514346737</v>
      </c>
    </row>
    <row r="123" spans="1:35" x14ac:dyDescent="0.25">
      <c r="A123" s="30">
        <v>305</v>
      </c>
      <c r="B123" s="31" t="s">
        <v>437</v>
      </c>
      <c r="C123" s="41">
        <v>5130</v>
      </c>
      <c r="D123" s="41">
        <v>6251</v>
      </c>
      <c r="E123" s="41">
        <v>7051</v>
      </c>
      <c r="F123" s="41">
        <v>5135</v>
      </c>
      <c r="G123" s="41">
        <v>6023</v>
      </c>
      <c r="H123" s="41">
        <v>7929</v>
      </c>
      <c r="I123" s="165">
        <v>8183.3056799999995</v>
      </c>
      <c r="J123" s="41">
        <v>6855.6382100000001</v>
      </c>
      <c r="K123" s="41">
        <v>6797.5097100000003</v>
      </c>
      <c r="L123" s="41">
        <v>5700</v>
      </c>
      <c r="M123" s="41">
        <v>6000</v>
      </c>
      <c r="N123" s="41">
        <v>6000</v>
      </c>
      <c r="O123" s="41">
        <f t="shared" si="6"/>
        <v>6193.5980435492056</v>
      </c>
      <c r="P123" s="41">
        <f t="shared" si="6"/>
        <v>6387.1960870984103</v>
      </c>
      <c r="Q123" s="165"/>
      <c r="T123" s="34">
        <v>305</v>
      </c>
      <c r="U123" s="88" t="s">
        <v>437</v>
      </c>
      <c r="V123" s="41">
        <f>C123/'1. Väestöennuste'!E123*1000</f>
        <v>327.00152983171847</v>
      </c>
      <c r="W123" s="41">
        <f>D123/'1. Väestöennuste'!F123*1000</f>
        <v>402.4335286164939</v>
      </c>
      <c r="X123" s="41">
        <f>E123/'1. Väestöennuste'!G123*1000</f>
        <v>458.27375536201743</v>
      </c>
      <c r="Y123" s="41">
        <f>F123/'1. Väestöennuste'!H123*1000</f>
        <v>337.67343986322089</v>
      </c>
      <c r="Z123" s="41">
        <f>G123/'1. Väestöennuste'!I123*1000</f>
        <v>397.9780626404123</v>
      </c>
      <c r="AA123" s="41">
        <f>H123/'1. Väestöennuste'!J123*1000</f>
        <v>521.19897456123056</v>
      </c>
      <c r="AB123" s="41">
        <f>I123/'1. Väestöennuste'!K123*1000</f>
        <v>539.61791493570718</v>
      </c>
      <c r="AC123" s="41">
        <f>J123/'1. Väestöennuste'!L123*1000</f>
        <v>452.63688168493331</v>
      </c>
      <c r="AD123" s="41">
        <f>K123/'1. Väestöennuste'!M123*1000</f>
        <v>452.59402823090755</v>
      </c>
      <c r="AE123" s="41">
        <f>L123/'1. Väestöennuste'!N123*1000</f>
        <v>385.76069301570112</v>
      </c>
      <c r="AF123" s="41">
        <f>M123/'1. Väestöennuste'!O123*1000</f>
        <v>408.91433244735225</v>
      </c>
      <c r="AG123" s="41">
        <f>N123/'1. Väestöennuste'!P123*1000</f>
        <v>411.69205434335117</v>
      </c>
      <c r="AH123" s="41">
        <f>O123/'1. Väestöennuste'!Q123*1000</f>
        <v>427.91198311104091</v>
      </c>
      <c r="AI123" s="41">
        <f>P123/'1. Väestöennuste'!R123*1000</f>
        <v>444.35759615266522</v>
      </c>
    </row>
    <row r="124" spans="1:35" x14ac:dyDescent="0.25">
      <c r="A124" s="30">
        <v>309</v>
      </c>
      <c r="B124" s="31" t="s">
        <v>438</v>
      </c>
      <c r="C124" s="41">
        <v>1731</v>
      </c>
      <c r="D124" s="41">
        <v>1735</v>
      </c>
      <c r="E124" s="41">
        <v>2263</v>
      </c>
      <c r="F124" s="41">
        <v>1972</v>
      </c>
      <c r="G124" s="41">
        <v>2223</v>
      </c>
      <c r="H124" s="41">
        <v>1871</v>
      </c>
      <c r="I124" s="165">
        <v>2379.9064500000004</v>
      </c>
      <c r="J124" s="41">
        <v>2357.7252799999997</v>
      </c>
      <c r="K124" s="41">
        <v>2412.8981699999999</v>
      </c>
      <c r="L124" s="41">
        <v>2109.2660000000001</v>
      </c>
      <c r="M124" s="41">
        <v>2497.8829999999998</v>
      </c>
      <c r="N124" s="41">
        <v>2595.788</v>
      </c>
      <c r="O124" s="41">
        <f t="shared" si="6"/>
        <v>2679.5445797114176</v>
      </c>
      <c r="P124" s="41">
        <f t="shared" si="6"/>
        <v>2763.3011594228346</v>
      </c>
      <c r="Q124" s="165"/>
      <c r="T124" s="34">
        <v>309</v>
      </c>
      <c r="U124" s="88" t="s">
        <v>438</v>
      </c>
      <c r="V124" s="41">
        <f>C124/'1. Väestöennuste'!E124*1000</f>
        <v>242.47093430452443</v>
      </c>
      <c r="W124" s="41">
        <f>D124/'1. Väestöennuste'!F124*1000</f>
        <v>244.67635030320122</v>
      </c>
      <c r="X124" s="41">
        <f>E124/'1. Väestöennuste'!G124*1000</f>
        <v>323.14722261887761</v>
      </c>
      <c r="Y124" s="41">
        <f>F124/'1. Väestöennuste'!H124*1000</f>
        <v>289.87211524327506</v>
      </c>
      <c r="Z124" s="41">
        <f>G124/'1. Väestöennuste'!I124*1000</f>
        <v>332.38636363636363</v>
      </c>
      <c r="AA124" s="41">
        <f>H124/'1. Väestöennuste'!J124*1000</f>
        <v>285.56166056166057</v>
      </c>
      <c r="AB124" s="41">
        <f>I124/'1. Väestöennuste'!K124*1000</f>
        <v>365.80179065478023</v>
      </c>
      <c r="AC124" s="41">
        <f>J124/'1. Väestöennuste'!L124*1000</f>
        <v>365.14252439213254</v>
      </c>
      <c r="AD124" s="41">
        <f>K124/'1. Väestöennuste'!M124*1000</f>
        <v>376.48590575752843</v>
      </c>
      <c r="AE124" s="41">
        <f>L124/'1. Väestöennuste'!N124*1000</f>
        <v>343.30501302083331</v>
      </c>
      <c r="AF124" s="41">
        <f>M124/'1. Väestöennuste'!O124*1000</f>
        <v>412.94147793023637</v>
      </c>
      <c r="AG124" s="41">
        <f>N124/'1. Väestöennuste'!P124*1000</f>
        <v>436.04703510834872</v>
      </c>
      <c r="AH124" s="41">
        <f>O124/'1. Väestöennuste'!Q124*1000</f>
        <v>457.02619473160797</v>
      </c>
      <c r="AI124" s="41">
        <f>P124/'1. Väestöennuste'!R124*1000</f>
        <v>478.74240461241067</v>
      </c>
    </row>
    <row r="125" spans="1:35" x14ac:dyDescent="0.25">
      <c r="A125" s="30">
        <v>312</v>
      </c>
      <c r="B125" s="31" t="s">
        <v>439</v>
      </c>
      <c r="C125" s="41">
        <v>552</v>
      </c>
      <c r="D125" s="41">
        <v>565</v>
      </c>
      <c r="E125" s="41">
        <v>556</v>
      </c>
      <c r="F125" s="41">
        <v>470</v>
      </c>
      <c r="G125" s="41">
        <v>2662</v>
      </c>
      <c r="H125" s="41">
        <v>357</v>
      </c>
      <c r="I125" s="165">
        <v>362.12313</v>
      </c>
      <c r="J125" s="41">
        <v>376.76009999999997</v>
      </c>
      <c r="K125" s="41">
        <v>514.60744999999997</v>
      </c>
      <c r="L125" s="41">
        <v>345.24799999999999</v>
      </c>
      <c r="M125" s="41">
        <v>350</v>
      </c>
      <c r="N125" s="41">
        <v>350</v>
      </c>
      <c r="O125" s="41">
        <f t="shared" si="6"/>
        <v>361.293219207037</v>
      </c>
      <c r="P125" s="41">
        <f t="shared" si="6"/>
        <v>372.58643841407394</v>
      </c>
      <c r="Q125" s="165"/>
      <c r="T125" s="34">
        <v>312</v>
      </c>
      <c r="U125" s="88" t="s">
        <v>439</v>
      </c>
      <c r="V125" s="41">
        <f>C125/'1. Väestöennuste'!E125*1000</f>
        <v>400.29006526468459</v>
      </c>
      <c r="W125" s="41">
        <f>D125/'1. Väestöennuste'!F125*1000</f>
        <v>410.90909090909088</v>
      </c>
      <c r="X125" s="41">
        <f>E125/'1. Väestöennuste'!G125*1000</f>
        <v>411.24260355029583</v>
      </c>
      <c r="Y125" s="41">
        <f>F125/'1. Väestöennuste'!H125*1000</f>
        <v>349.96276991809384</v>
      </c>
      <c r="Z125" s="41">
        <f>G125/'1. Väestöennuste'!I125*1000</f>
        <v>2027.4181264280276</v>
      </c>
      <c r="AA125" s="41">
        <f>H125/'1. Väestöennuste'!J125*1000</f>
        <v>277.17391304347825</v>
      </c>
      <c r="AB125" s="41">
        <f>I125/'1. Väestöennuste'!K125*1000</f>
        <v>293.931112012987</v>
      </c>
      <c r="AC125" s="41">
        <f>J125/'1. Väestöennuste'!L125*1000</f>
        <v>315.01680602006689</v>
      </c>
      <c r="AD125" s="41">
        <f>K125/'1. Väestöennuste'!M125*1000</f>
        <v>438.33683986371381</v>
      </c>
      <c r="AE125" s="41">
        <f>L125/'1. Väestöennuste'!N125*1000</f>
        <v>287.94662218515424</v>
      </c>
      <c r="AF125" s="41">
        <f>M125/'1. Väestöennuste'!O125*1000</f>
        <v>296.86174724342663</v>
      </c>
      <c r="AG125" s="41">
        <f>N125/'1. Väestöennuste'!P125*1000</f>
        <v>301.46425495262702</v>
      </c>
      <c r="AH125" s="41">
        <f>O125/'1. Väestöennuste'!Q125*1000</f>
        <v>316.09205529924492</v>
      </c>
      <c r="AI125" s="41">
        <f>P125/'1. Väestöennuste'!R125*1000</f>
        <v>331.48259645380244</v>
      </c>
    </row>
    <row r="126" spans="1:35" x14ac:dyDescent="0.25">
      <c r="A126" s="30">
        <v>316</v>
      </c>
      <c r="B126" s="31" t="s">
        <v>440</v>
      </c>
      <c r="C126" s="41">
        <v>1350</v>
      </c>
      <c r="D126" s="41">
        <v>1062</v>
      </c>
      <c r="E126" s="41">
        <v>999</v>
      </c>
      <c r="F126" s="41">
        <v>936</v>
      </c>
      <c r="G126" s="41">
        <v>956</v>
      </c>
      <c r="H126" s="41">
        <v>1071</v>
      </c>
      <c r="I126" s="165">
        <v>1081.6737499999999</v>
      </c>
      <c r="J126" s="41">
        <v>1268.44444</v>
      </c>
      <c r="K126" s="41">
        <v>1461.5141599999999</v>
      </c>
      <c r="L126" s="41">
        <v>1545</v>
      </c>
      <c r="M126" s="41">
        <v>1566.94</v>
      </c>
      <c r="N126" s="41">
        <v>1575.41</v>
      </c>
      <c r="O126" s="41">
        <f t="shared" si="6"/>
        <v>1626.242715631309</v>
      </c>
      <c r="P126" s="41">
        <f t="shared" si="6"/>
        <v>1677.0754312626179</v>
      </c>
      <c r="Q126" s="165"/>
      <c r="T126" s="34">
        <v>316</v>
      </c>
      <c r="U126" s="88" t="s">
        <v>440</v>
      </c>
      <c r="V126" s="41">
        <f>C126/'1. Väestöennuste'!E126*1000</f>
        <v>293.22328410078194</v>
      </c>
      <c r="W126" s="41">
        <f>D126/'1. Väestöennuste'!F126*1000</f>
        <v>233.92070484581498</v>
      </c>
      <c r="X126" s="41">
        <f>E126/'1. Väestöennuste'!G126*1000</f>
        <v>221.60603371783498</v>
      </c>
      <c r="Y126" s="41">
        <f>F126/'1. Väestöennuste'!H126*1000</f>
        <v>210.28982251179508</v>
      </c>
      <c r="Z126" s="41">
        <f>G126/'1. Väestöennuste'!I126*1000</f>
        <v>218.86446886446888</v>
      </c>
      <c r="AA126" s="41">
        <f>H126/'1. Väestöennuste'!J126*1000</f>
        <v>247.57281553398059</v>
      </c>
      <c r="AB126" s="41">
        <f>I126/'1. Väestöennuste'!K126*1000</f>
        <v>254.81124852767962</v>
      </c>
      <c r="AC126" s="41">
        <f>J126/'1. Väestöennuste'!L126*1000</f>
        <v>302.15446403049071</v>
      </c>
      <c r="AD126" s="41">
        <f>K126/'1. Väestöennuste'!M126*1000</f>
        <v>355.25380651434125</v>
      </c>
      <c r="AE126" s="41">
        <f>L126/'1. Väestöennuste'!N126*1000</f>
        <v>374.00145243282498</v>
      </c>
      <c r="AF126" s="41">
        <f>M126/'1. Väestöennuste'!O126*1000</f>
        <v>383.0212661940846</v>
      </c>
      <c r="AG126" s="41">
        <f>N126/'1. Väestöennuste'!P126*1000</f>
        <v>388.51048088779288</v>
      </c>
      <c r="AH126" s="41">
        <f>O126/'1. Väestöennuste'!Q126*1000</f>
        <v>404.13586372547439</v>
      </c>
      <c r="AI126" s="41">
        <f>P126/'1. Väestöennuste'!R126*1000</f>
        <v>420.00386457866716</v>
      </c>
    </row>
    <row r="127" spans="1:35" x14ac:dyDescent="0.25">
      <c r="A127" s="30">
        <v>317</v>
      </c>
      <c r="B127" s="31" t="s">
        <v>441</v>
      </c>
      <c r="C127" s="41">
        <v>494</v>
      </c>
      <c r="D127" s="41">
        <v>583</v>
      </c>
      <c r="E127" s="41">
        <v>1030</v>
      </c>
      <c r="F127" s="41">
        <v>628</v>
      </c>
      <c r="G127" s="41">
        <v>638</v>
      </c>
      <c r="H127" s="41">
        <v>719</v>
      </c>
      <c r="I127" s="165">
        <v>807.26022999999998</v>
      </c>
      <c r="J127" s="41">
        <v>806.38007999999991</v>
      </c>
      <c r="K127" s="41">
        <v>908.9789300000001</v>
      </c>
      <c r="L127" s="41">
        <v>828.61</v>
      </c>
      <c r="M127" s="41">
        <v>815.61</v>
      </c>
      <c r="N127" s="41">
        <v>769.75</v>
      </c>
      <c r="O127" s="41">
        <f t="shared" si="6"/>
        <v>794.58701567033347</v>
      </c>
      <c r="P127" s="41">
        <f t="shared" si="6"/>
        <v>819.42403134066683</v>
      </c>
      <c r="Q127" s="165"/>
      <c r="T127" s="34">
        <v>317</v>
      </c>
      <c r="U127" s="88" t="s">
        <v>441</v>
      </c>
      <c r="V127" s="41">
        <f>C127/'1. Väestöennuste'!E127*1000</f>
        <v>185.85402558314524</v>
      </c>
      <c r="W127" s="41">
        <f>D127/'1. Väestöennuste'!F127*1000</f>
        <v>219.58568738229755</v>
      </c>
      <c r="X127" s="41">
        <f>E127/'1. Väestöennuste'!G127*1000</f>
        <v>394.48487169666794</v>
      </c>
      <c r="Y127" s="41">
        <f>F127/'1. Väestöennuste'!H127*1000</f>
        <v>240.33677765021051</v>
      </c>
      <c r="Z127" s="41">
        <f>G127/'1. Väestöennuste'!I127*1000</f>
        <v>247.67080745341616</v>
      </c>
      <c r="AA127" s="41">
        <f>H127/'1. Väestöennuste'!J127*1000</f>
        <v>283.29393223010248</v>
      </c>
      <c r="AB127" s="41">
        <f>I127/'1. Väestöennuste'!K127*1000</f>
        <v>318.69728780102645</v>
      </c>
      <c r="AC127" s="41">
        <f>J127/'1. Väestöennuste'!L127*1000</f>
        <v>325.94182700080836</v>
      </c>
      <c r="AD127" s="41">
        <f>K127/'1. Väestöennuste'!M127*1000</f>
        <v>372.53234836065582</v>
      </c>
      <c r="AE127" s="41">
        <f>L127/'1. Väestöennuste'!N127*1000</f>
        <v>342.40082644628103</v>
      </c>
      <c r="AF127" s="41">
        <f>M127/'1. Väestöennuste'!O127*1000</f>
        <v>340.68922305764409</v>
      </c>
      <c r="AG127" s="41">
        <f>N127/'1. Väestöennuste'!P127*1000</f>
        <v>324.92612916842552</v>
      </c>
      <c r="AH127" s="41">
        <f>O127/'1. Väestöennuste'!Q127*1000</f>
        <v>339.42204855631502</v>
      </c>
      <c r="AI127" s="41">
        <f>P127/'1. Väestöennuste'!R127*1000</f>
        <v>353.81003080339673</v>
      </c>
    </row>
    <row r="128" spans="1:35" x14ac:dyDescent="0.25">
      <c r="A128" s="30">
        <v>320</v>
      </c>
      <c r="B128" s="31" t="s">
        <v>442</v>
      </c>
      <c r="C128" s="41">
        <v>2800</v>
      </c>
      <c r="D128" s="41">
        <v>2282</v>
      </c>
      <c r="E128" s="41">
        <v>2385</v>
      </c>
      <c r="F128" s="41">
        <v>2419</v>
      </c>
      <c r="G128" s="41">
        <v>2449</v>
      </c>
      <c r="H128" s="41">
        <v>2584</v>
      </c>
      <c r="I128" s="165">
        <v>2934.55404</v>
      </c>
      <c r="J128" s="41">
        <v>2613.63157</v>
      </c>
      <c r="K128" s="41">
        <v>2687.6141499999999</v>
      </c>
      <c r="L128" s="41">
        <v>2873.54</v>
      </c>
      <c r="M128" s="41">
        <v>2636</v>
      </c>
      <c r="N128" s="41">
        <v>2598.6999999999998</v>
      </c>
      <c r="O128" s="41">
        <f t="shared" si="6"/>
        <v>2682.5505392952196</v>
      </c>
      <c r="P128" s="41">
        <f t="shared" si="6"/>
        <v>2766.4010785904393</v>
      </c>
      <c r="Q128" s="165"/>
      <c r="T128" s="34">
        <v>320</v>
      </c>
      <c r="U128" s="88" t="s">
        <v>442</v>
      </c>
      <c r="V128" s="41">
        <f>C128/'1. Väestöennuste'!E128*1000</f>
        <v>360.54596961112537</v>
      </c>
      <c r="W128" s="41">
        <f>D128/'1. Väestöennuste'!F128*1000</f>
        <v>297.87234042553189</v>
      </c>
      <c r="X128" s="41">
        <f>E128/'1. Väestöennuste'!G128*1000</f>
        <v>316.56490576055216</v>
      </c>
      <c r="Y128" s="41">
        <f>F128/'1. Väestöennuste'!H128*1000</f>
        <v>328.22252374491177</v>
      </c>
      <c r="Z128" s="41">
        <f>G128/'1. Väestöennuste'!I128*1000</f>
        <v>336.67858124828155</v>
      </c>
      <c r="AA128" s="41">
        <f>H128/'1. Väestöennuste'!J128*1000</f>
        <v>359.33806146572107</v>
      </c>
      <c r="AB128" s="41">
        <f>I128/'1. Väestöennuste'!K128*1000</f>
        <v>413.02660661505979</v>
      </c>
      <c r="AC128" s="41">
        <f>J128/'1. Väestöennuste'!L128*1000</f>
        <v>373.58941823899374</v>
      </c>
      <c r="AD128" s="41">
        <f>K128/'1. Väestöennuste'!M128*1000</f>
        <v>382.30642247510667</v>
      </c>
      <c r="AE128" s="41">
        <f>L128/'1. Väestöennuste'!N128*1000</f>
        <v>426.15156458549609</v>
      </c>
      <c r="AF128" s="41">
        <f>M128/'1. Väestöennuste'!O128*1000</f>
        <v>396.3313787400391</v>
      </c>
      <c r="AG128" s="41">
        <f>N128/'1. Väestöennuste'!P128*1000</f>
        <v>396.14329268292681</v>
      </c>
      <c r="AH128" s="41">
        <f>O128/'1. Väestöennuste'!Q128*1000</f>
        <v>414.29351958227329</v>
      </c>
      <c r="AI128" s="41">
        <f>P128/'1. Väestöennuste'!R128*1000</f>
        <v>432.58812800475988</v>
      </c>
    </row>
    <row r="129" spans="1:35" x14ac:dyDescent="0.25">
      <c r="A129" s="30">
        <v>322</v>
      </c>
      <c r="B129" s="31" t="s">
        <v>443</v>
      </c>
      <c r="C129" s="41">
        <v>2843</v>
      </c>
      <c r="D129" s="41">
        <v>3579</v>
      </c>
      <c r="E129" s="41">
        <v>3479</v>
      </c>
      <c r="F129" s="41">
        <v>3610</v>
      </c>
      <c r="G129" s="41">
        <v>3673</v>
      </c>
      <c r="H129" s="41">
        <v>3598</v>
      </c>
      <c r="I129" s="165">
        <v>3374.6920399999999</v>
      </c>
      <c r="J129" s="41">
        <v>3341.2671700000001</v>
      </c>
      <c r="K129" s="41">
        <v>3248.7764500000003</v>
      </c>
      <c r="L129" s="41">
        <v>3385</v>
      </c>
      <c r="M129" s="41">
        <v>3385</v>
      </c>
      <c r="N129" s="41">
        <v>3500</v>
      </c>
      <c r="O129" s="41">
        <f t="shared" si="6"/>
        <v>3612.9321920703696</v>
      </c>
      <c r="P129" s="41">
        <f t="shared" si="6"/>
        <v>3725.8643841407393</v>
      </c>
      <c r="Q129" s="165"/>
      <c r="T129" s="34">
        <v>322</v>
      </c>
      <c r="U129" s="88" t="s">
        <v>443</v>
      </c>
      <c r="V129" s="41">
        <f>C129/'1. Väestöennuste'!E129*1000</f>
        <v>411.4922564770589</v>
      </c>
      <c r="W129" s="41">
        <f>D129/'1. Väestöennuste'!F129*1000</f>
        <v>520.80908032596039</v>
      </c>
      <c r="X129" s="41">
        <f>E129/'1. Väestöennuste'!G129*1000</f>
        <v>512.14485499779187</v>
      </c>
      <c r="Y129" s="41">
        <f>F129/'1. Väestöennuste'!H129*1000</f>
        <v>536.88280785246877</v>
      </c>
      <c r="Z129" s="41">
        <f>G129/'1. Väestöennuste'!I129*1000</f>
        <v>553.16265060240971</v>
      </c>
      <c r="AA129" s="41">
        <f>H129/'1. Väestöennuste'!J129*1000</f>
        <v>544.40913905280672</v>
      </c>
      <c r="AB129" s="41">
        <f>I129/'1. Väestöennuste'!K129*1000</f>
        <v>510.23465981251894</v>
      </c>
      <c r="AC129" s="41">
        <f>J129/'1. Väestöennuste'!L129*1000</f>
        <v>510.19501755993281</v>
      </c>
      <c r="AD129" s="41">
        <f>K129/'1. Väestöennuste'!M129*1000</f>
        <v>502.75092076756425</v>
      </c>
      <c r="AE129" s="41">
        <f>L129/'1. Väestöennuste'!N129*1000</f>
        <v>531.81461115475258</v>
      </c>
      <c r="AF129" s="41">
        <f>M129/'1. Väestöennuste'!O129*1000</f>
        <v>535.60126582278474</v>
      </c>
      <c r="AG129" s="41">
        <f>N129/'1. Väestöennuste'!P129*1000</f>
        <v>557.50238929595412</v>
      </c>
      <c r="AH129" s="41">
        <f>O129/'1. Väestöennuste'!Q129*1000</f>
        <v>579.18117859415997</v>
      </c>
      <c r="AI129" s="41">
        <f>P129/'1. Väestöennuste'!R129*1000</f>
        <v>600.94586840979673</v>
      </c>
    </row>
    <row r="130" spans="1:35" x14ac:dyDescent="0.25">
      <c r="A130" s="30">
        <v>398</v>
      </c>
      <c r="B130" s="31" t="s">
        <v>444</v>
      </c>
      <c r="C130" s="41">
        <v>42700</v>
      </c>
      <c r="D130" s="41">
        <v>49416</v>
      </c>
      <c r="E130" s="41">
        <v>45557</v>
      </c>
      <c r="F130" s="41">
        <v>45146</v>
      </c>
      <c r="G130" s="41">
        <v>47927</v>
      </c>
      <c r="H130" s="41">
        <v>46833</v>
      </c>
      <c r="I130" s="165">
        <v>52268.53426</v>
      </c>
      <c r="J130" s="41">
        <v>52552.175880000003</v>
      </c>
      <c r="K130" s="41">
        <v>53503.277670000003</v>
      </c>
      <c r="L130" s="41">
        <v>55166.7</v>
      </c>
      <c r="M130" s="41">
        <v>58732.7</v>
      </c>
      <c r="N130" s="41">
        <v>59572.7</v>
      </c>
      <c r="O130" s="41">
        <f t="shared" si="6"/>
        <v>61494.89302815729</v>
      </c>
      <c r="P130" s="41">
        <f t="shared" si="6"/>
        <v>63417.086056314576</v>
      </c>
      <c r="Q130" s="165"/>
      <c r="T130" s="34">
        <v>398</v>
      </c>
      <c r="U130" s="88" t="s">
        <v>444</v>
      </c>
      <c r="V130" s="41">
        <f>C130/'1. Väestöennuste'!E130*1000</f>
        <v>359.60014485064386</v>
      </c>
      <c r="W130" s="41">
        <f>D130/'1. Väestöennuste'!F130*1000</f>
        <v>413.68918059136723</v>
      </c>
      <c r="X130" s="41">
        <f>E130/'1. Väestöennuste'!G130*1000</f>
        <v>380.99738235220326</v>
      </c>
      <c r="Y130" s="41">
        <f>F130/'1. Väestöennuste'!H130*1000</f>
        <v>376.37035122675093</v>
      </c>
      <c r="Z130" s="41">
        <f>G130/'1. Väestöennuste'!I130*1000</f>
        <v>399.98163958505461</v>
      </c>
      <c r="AA130" s="41">
        <f>H130/'1. Väestöennuste'!J130*1000</f>
        <v>390.32704360581408</v>
      </c>
      <c r="AB130" s="41">
        <f>I130/'1. Väestöennuste'!K130*1000</f>
        <v>435.47313737742343</v>
      </c>
      <c r="AC130" s="41">
        <f>J130/'1. Väestöennuste'!L130*1000</f>
        <v>437.29707410027049</v>
      </c>
      <c r="AD130" s="41">
        <f>K130/'1. Väestöennuste'!M130*1000</f>
        <v>443.30058636374935</v>
      </c>
      <c r="AE130" s="41">
        <f>L130/'1. Väestöennuste'!N130*1000</f>
        <v>456.69310242060993</v>
      </c>
      <c r="AF130" s="41">
        <f>M130/'1. Väestöennuste'!O130*1000</f>
        <v>485.78766273510774</v>
      </c>
      <c r="AG130" s="41">
        <f>N130/'1. Väestöennuste'!P130*1000</f>
        <v>492.47067382013279</v>
      </c>
      <c r="AH130" s="41">
        <f>O130/'1. Väestöennuste'!Q130*1000</f>
        <v>508.23485729528238</v>
      </c>
      <c r="AI130" s="41">
        <f>P130/'1. Väestöennuste'!R130*1000</f>
        <v>524.14280329537962</v>
      </c>
    </row>
    <row r="131" spans="1:35" x14ac:dyDescent="0.25">
      <c r="A131" s="30">
        <v>399</v>
      </c>
      <c r="B131" s="31" t="s">
        <v>445</v>
      </c>
      <c r="C131" s="41">
        <v>1990</v>
      </c>
      <c r="D131" s="41">
        <v>1721</v>
      </c>
      <c r="E131" s="41">
        <v>1825</v>
      </c>
      <c r="F131" s="41">
        <v>1953</v>
      </c>
      <c r="G131" s="41">
        <v>2045</v>
      </c>
      <c r="H131" s="41">
        <v>2056</v>
      </c>
      <c r="I131" s="165">
        <v>2161.8737099999998</v>
      </c>
      <c r="J131" s="41">
        <v>2165.6384600000001</v>
      </c>
      <c r="K131" s="41">
        <v>2192.1395699999998</v>
      </c>
      <c r="L131" s="41">
        <v>2150</v>
      </c>
      <c r="M131" s="41">
        <v>2150</v>
      </c>
      <c r="N131" s="41">
        <v>2150</v>
      </c>
      <c r="O131" s="41">
        <f t="shared" si="6"/>
        <v>2219.3726322717985</v>
      </c>
      <c r="P131" s="41">
        <f t="shared" si="6"/>
        <v>2288.7452645435969</v>
      </c>
      <c r="Q131" s="165"/>
      <c r="T131" s="34">
        <v>399</v>
      </c>
      <c r="U131" s="88" t="s">
        <v>445</v>
      </c>
      <c r="V131" s="41">
        <f>C131/'1. Väestöennuste'!E131*1000</f>
        <v>245.98269468479606</v>
      </c>
      <c r="W131" s="41">
        <f>D131/'1. Väestöennuste'!F131*1000</f>
        <v>211.45103821108245</v>
      </c>
      <c r="X131" s="41">
        <f>E131/'1. Väestöennuste'!G131*1000</f>
        <v>226.67991553844243</v>
      </c>
      <c r="Y131" s="41">
        <f>F131/'1. Väestöennuste'!H131*1000</f>
        <v>242.36783320923305</v>
      </c>
      <c r="Z131" s="41">
        <f>G131/'1. Väestöennuste'!I131*1000</f>
        <v>255.08294873394038</v>
      </c>
      <c r="AA131" s="41">
        <f>H131/'1. Väestöennuste'!J131*1000</f>
        <v>257.1285642821411</v>
      </c>
      <c r="AB131" s="41">
        <f>I131/'1. Väestöennuste'!K131*1000</f>
        <v>273.10178246589186</v>
      </c>
      <c r="AC131" s="41">
        <f>J131/'1. Väestöennuste'!L131*1000</f>
        <v>277.04214660355638</v>
      </c>
      <c r="AD131" s="41">
        <f>K131/'1. Väestöennuste'!M131*1000</f>
        <v>285.3605272064566</v>
      </c>
      <c r="AE131" s="41">
        <f>L131/'1. Väestöennuste'!N131*1000</f>
        <v>272.60048180550274</v>
      </c>
      <c r="AF131" s="41">
        <f>M131/'1. Väestöennuste'!O131*1000</f>
        <v>273.81558838512484</v>
      </c>
      <c r="AG131" s="41">
        <f>N131/'1. Väestöennuste'!P131*1000</f>
        <v>275.07676560900717</v>
      </c>
      <c r="AH131" s="41">
        <f>O131/'1. Väestöennuste'!Q131*1000</f>
        <v>285.41314715429507</v>
      </c>
      <c r="AI131" s="41">
        <f>P131/'1. Väestöennuste'!R131*1000</f>
        <v>296.08606268351832</v>
      </c>
    </row>
    <row r="132" spans="1:35" x14ac:dyDescent="0.25">
      <c r="A132" s="30">
        <v>400</v>
      </c>
      <c r="B132" s="31" t="s">
        <v>446</v>
      </c>
      <c r="C132" s="41">
        <v>2108</v>
      </c>
      <c r="D132" s="41">
        <v>2368</v>
      </c>
      <c r="E132" s="41">
        <v>4630</v>
      </c>
      <c r="F132" s="41">
        <v>2698</v>
      </c>
      <c r="G132" s="41">
        <v>2786</v>
      </c>
      <c r="H132" s="41">
        <v>3010</v>
      </c>
      <c r="I132" s="165">
        <v>3528.2047599999996</v>
      </c>
      <c r="J132" s="41">
        <v>3397.2599</v>
      </c>
      <c r="K132" s="41">
        <v>3629.9507599999997</v>
      </c>
      <c r="L132" s="41">
        <v>3835.4515999999999</v>
      </c>
      <c r="M132" s="41">
        <v>3912.1606499999998</v>
      </c>
      <c r="N132" s="41">
        <v>3990.4038799999998</v>
      </c>
      <c r="O132" s="41">
        <f t="shared" si="6"/>
        <v>4119.1596106898596</v>
      </c>
      <c r="P132" s="41">
        <f t="shared" si="6"/>
        <v>4247.9153413797194</v>
      </c>
      <c r="Q132" s="165"/>
      <c r="T132" s="34">
        <v>400</v>
      </c>
      <c r="U132" s="88" t="s">
        <v>446</v>
      </c>
      <c r="V132" s="41">
        <f>C132/'1. Väestöennuste'!E132*1000</f>
        <v>247.41784037558688</v>
      </c>
      <c r="W132" s="41">
        <f>D132/'1. Väestöennuste'!F132*1000</f>
        <v>277.93427230046944</v>
      </c>
      <c r="X132" s="41">
        <f>E132/'1. Väestöennuste'!G132*1000</f>
        <v>537.746806039489</v>
      </c>
      <c r="Y132" s="41">
        <f>F132/'1. Väestöennuste'!H132*1000</f>
        <v>312.01572799814966</v>
      </c>
      <c r="Z132" s="41">
        <f>G132/'1. Väestöennuste'!I132*1000</f>
        <v>324.40614811364691</v>
      </c>
      <c r="AA132" s="41">
        <f>H132/'1. Väestöennuste'!J132*1000</f>
        <v>355.45583372697217</v>
      </c>
      <c r="AB132" s="41">
        <f>I132/'1. Väestöennuste'!K132*1000</f>
        <v>417.24275780510879</v>
      </c>
      <c r="AC132" s="41">
        <f>J132/'1. Väestöennuste'!L132*1000</f>
        <v>406.07935692087023</v>
      </c>
      <c r="AD132" s="41">
        <f>K132/'1. Väestöennuste'!M132*1000</f>
        <v>430.03800023693873</v>
      </c>
      <c r="AE132" s="41">
        <f>L132/'1. Väestöennuste'!N132*1000</f>
        <v>457.80038195273329</v>
      </c>
      <c r="AF132" s="41">
        <f>M132/'1. Väestöennuste'!O132*1000</f>
        <v>468.46612980481376</v>
      </c>
      <c r="AG132" s="41">
        <f>N132/'1. Väestöennuste'!P132*1000</f>
        <v>479.38537722248918</v>
      </c>
      <c r="AH132" s="41">
        <f>O132/'1. Väestöennuste'!Q132*1000</f>
        <v>496.64330970458883</v>
      </c>
      <c r="AI132" s="41">
        <f>P132/'1. Väestöennuste'!R132*1000</f>
        <v>513.96434862428544</v>
      </c>
    </row>
    <row r="133" spans="1:35" x14ac:dyDescent="0.25">
      <c r="A133" s="30">
        <v>402</v>
      </c>
      <c r="B133" s="31" t="s">
        <v>447</v>
      </c>
      <c r="C133" s="41">
        <v>2850</v>
      </c>
      <c r="D133" s="41">
        <v>3113</v>
      </c>
      <c r="E133" s="41">
        <v>2806</v>
      </c>
      <c r="F133" s="41">
        <v>2784</v>
      </c>
      <c r="G133" s="41">
        <v>2686</v>
      </c>
      <c r="H133" s="41">
        <v>2679</v>
      </c>
      <c r="I133" s="165">
        <v>3195.6220499999999</v>
      </c>
      <c r="J133" s="41">
        <v>3273.34049</v>
      </c>
      <c r="K133" s="41">
        <v>3382.6771400000002</v>
      </c>
      <c r="L133" s="41">
        <v>3622</v>
      </c>
      <c r="M133" s="41">
        <v>3700</v>
      </c>
      <c r="N133" s="41">
        <v>3750</v>
      </c>
      <c r="O133" s="41">
        <f t="shared" si="6"/>
        <v>3870.9987772182535</v>
      </c>
      <c r="P133" s="41">
        <f t="shared" si="6"/>
        <v>3991.9975544365066</v>
      </c>
      <c r="Q133" s="165"/>
      <c r="T133" s="34">
        <v>402</v>
      </c>
      <c r="U133" s="88" t="s">
        <v>447</v>
      </c>
      <c r="V133" s="41">
        <f>C133/'1. Väestöennuste'!E133*1000</f>
        <v>285.51392506511718</v>
      </c>
      <c r="W133" s="41">
        <f>D133/'1. Väestöennuste'!F133*1000</f>
        <v>315.01720299534509</v>
      </c>
      <c r="X133" s="41">
        <f>E133/'1. Väestöennuste'!G133*1000</f>
        <v>289.51712752785801</v>
      </c>
      <c r="Y133" s="41">
        <f>F133/'1. Väestöennuste'!H133*1000</f>
        <v>289.48736612249144</v>
      </c>
      <c r="Z133" s="41">
        <f>G133/'1. Väestöennuste'!I133*1000</f>
        <v>283.18397469688983</v>
      </c>
      <c r="AA133" s="41">
        <f>H133/'1. Väestöennuste'!J133*1000</f>
        <v>286.27911946997222</v>
      </c>
      <c r="AB133" s="41">
        <f>I133/'1. Väestöennuste'!K133*1000</f>
        <v>345.58473558992102</v>
      </c>
      <c r="AC133" s="41">
        <f>J133/'1. Väestöennuste'!L133*1000</f>
        <v>359.74727882184851</v>
      </c>
      <c r="AD133" s="41">
        <f>K133/'1. Väestöennuste'!M133*1000</f>
        <v>376.89995988857942</v>
      </c>
      <c r="AE133" s="41">
        <f>L133/'1. Väestöennuste'!N133*1000</f>
        <v>405.23607070933093</v>
      </c>
      <c r="AF133" s="41">
        <f>M133/'1. Väestöennuste'!O133*1000</f>
        <v>418.55203619909503</v>
      </c>
      <c r="AG133" s="41">
        <f>N133/'1. Väestöennuste'!P133*1000</f>
        <v>428.86550777676121</v>
      </c>
      <c r="AH133" s="41">
        <f>O133/'1. Väestöennuste'!Q133*1000</f>
        <v>447.41086190687162</v>
      </c>
      <c r="AI133" s="41">
        <f>P133/'1. Väestöennuste'!R133*1000</f>
        <v>466.35485449024611</v>
      </c>
    </row>
    <row r="134" spans="1:35" x14ac:dyDescent="0.25">
      <c r="A134" s="30">
        <v>403</v>
      </c>
      <c r="B134" s="31" t="s">
        <v>448</v>
      </c>
      <c r="C134" s="41">
        <v>1109</v>
      </c>
      <c r="D134" s="41">
        <v>1203</v>
      </c>
      <c r="E134" s="41">
        <v>1238</v>
      </c>
      <c r="F134" s="41">
        <v>1739</v>
      </c>
      <c r="G134" s="41">
        <v>906</v>
      </c>
      <c r="H134" s="41">
        <v>921</v>
      </c>
      <c r="I134" s="165">
        <v>1076.82203</v>
      </c>
      <c r="J134" s="41">
        <v>1025.19894</v>
      </c>
      <c r="K134" s="41">
        <v>1104.9018899999999</v>
      </c>
      <c r="L134" s="41">
        <v>1070.8420000000001</v>
      </c>
      <c r="M134" s="41">
        <v>1274</v>
      </c>
      <c r="N134" s="41">
        <v>1326</v>
      </c>
      <c r="O134" s="41">
        <f t="shared" si="6"/>
        <v>1368.7851676243745</v>
      </c>
      <c r="P134" s="41">
        <f t="shared" si="6"/>
        <v>1411.5703352487487</v>
      </c>
      <c r="Q134" s="165"/>
      <c r="T134" s="34">
        <v>403</v>
      </c>
      <c r="U134" s="88" t="s">
        <v>448</v>
      </c>
      <c r="V134" s="41">
        <f>C134/'1. Väestöennuste'!E134*1000</f>
        <v>344.94556765163298</v>
      </c>
      <c r="W134" s="41">
        <f>D134/'1. Väestöennuste'!F134*1000</f>
        <v>378.77833753148616</v>
      </c>
      <c r="X134" s="41">
        <f>E134/'1. Väestöennuste'!G134*1000</f>
        <v>394.26751592356692</v>
      </c>
      <c r="Y134" s="41">
        <f>F134/'1. Väestöennuste'!H134*1000</f>
        <v>564.97725795971405</v>
      </c>
      <c r="Z134" s="41">
        <f>G134/'1. Väestöennuste'!I134*1000</f>
        <v>302.40320427236315</v>
      </c>
      <c r="AA134" s="41">
        <f>H134/'1. Väestöennuste'!J134*1000</f>
        <v>314.87179487179492</v>
      </c>
      <c r="AB134" s="41">
        <f>I134/'1. Väestöennuste'!K134*1000</f>
        <v>375.72296929518495</v>
      </c>
      <c r="AC134" s="41">
        <f>J134/'1. Väestöennuste'!L134*1000</f>
        <v>363.54572340425534</v>
      </c>
      <c r="AD134" s="41">
        <f>K134/'1. Väestöennuste'!M134*1000</f>
        <v>396.16417712441734</v>
      </c>
      <c r="AE134" s="41">
        <f>L134/'1. Väestöennuste'!N134*1000</f>
        <v>394.99889339727042</v>
      </c>
      <c r="AF134" s="41">
        <f>M134/'1. Väestöennuste'!O134*1000</f>
        <v>478.22822822822826</v>
      </c>
      <c r="AG134" s="41">
        <f>N134/'1. Väestöennuste'!P134*1000</f>
        <v>506.49350649350646</v>
      </c>
      <c r="AH134" s="41">
        <f>O134/'1. Väestöennuste'!Q134*1000</f>
        <v>531.56705538810661</v>
      </c>
      <c r="AI134" s="41">
        <f>P134/'1. Väestöennuste'!R134*1000</f>
        <v>557.93293883349747</v>
      </c>
    </row>
    <row r="135" spans="1:35" x14ac:dyDescent="0.25">
      <c r="A135" s="30">
        <v>405</v>
      </c>
      <c r="B135" s="31" t="s">
        <v>449</v>
      </c>
      <c r="C135" s="41">
        <v>20000</v>
      </c>
      <c r="D135" s="41">
        <v>23364</v>
      </c>
      <c r="E135" s="41">
        <v>30844</v>
      </c>
      <c r="F135" s="41">
        <v>22268</v>
      </c>
      <c r="G135" s="41">
        <v>26247</v>
      </c>
      <c r="H135" s="41">
        <v>26738</v>
      </c>
      <c r="I135" s="165">
        <v>30386.115989999998</v>
      </c>
      <c r="J135" s="41">
        <v>19836.63278</v>
      </c>
      <c r="K135" s="41">
        <v>34507.786959999998</v>
      </c>
      <c r="L135" s="41">
        <v>20000</v>
      </c>
      <c r="M135" s="41">
        <v>21000</v>
      </c>
      <c r="N135" s="41">
        <v>25000</v>
      </c>
      <c r="O135" s="41">
        <f t="shared" si="6"/>
        <v>25806.658514788356</v>
      </c>
      <c r="P135" s="41">
        <f t="shared" si="6"/>
        <v>26613.317029576709</v>
      </c>
      <c r="Q135" s="165"/>
      <c r="T135" s="34">
        <v>405</v>
      </c>
      <c r="U135" s="88" t="s">
        <v>449</v>
      </c>
      <c r="V135" s="41">
        <f>C135/'1. Väestöennuste'!E135*1000</f>
        <v>274.44253859348203</v>
      </c>
      <c r="W135" s="41">
        <f>D135/'1. Väestöennuste'!F135*1000</f>
        <v>320.6169722252717</v>
      </c>
      <c r="X135" s="41">
        <f>E135/'1. Väestöennuste'!G135*1000</f>
        <v>423.04790903729304</v>
      </c>
      <c r="Y135" s="41">
        <f>F135/'1. Väestöennuste'!H135*1000</f>
        <v>306.30407570943203</v>
      </c>
      <c r="Z135" s="41">
        <f>G135/'1. Väestöennuste'!I135*1000</f>
        <v>361.35969380730785</v>
      </c>
      <c r="AA135" s="41">
        <f>H135/'1. Väestöennuste'!J135*1000</f>
        <v>367.97776003963554</v>
      </c>
      <c r="AB135" s="41">
        <f>I135/'1. Väestöennuste'!K135*1000</f>
        <v>418.3456231241567</v>
      </c>
      <c r="AC135" s="41">
        <f>J135/'1. Väestöennuste'!L135*1000</f>
        <v>273.04380977288366</v>
      </c>
      <c r="AD135" s="41">
        <f>K135/'1. Väestöennuste'!M135*1000</f>
        <v>472.78712884309749</v>
      </c>
      <c r="AE135" s="41">
        <f>L135/'1. Väestöennuste'!N135*1000</f>
        <v>275.73275980919294</v>
      </c>
      <c r="AF135" s="41">
        <f>M135/'1. Väestöennuste'!O135*1000</f>
        <v>289.79107443490744</v>
      </c>
      <c r="AG135" s="41">
        <f>N135/'1. Väestöennuste'!P135*1000</f>
        <v>345.3658806139224</v>
      </c>
      <c r="AH135" s="41">
        <f>O135/'1. Väestöennuste'!Q135*1000</f>
        <v>356.91388582792831</v>
      </c>
      <c r="AI135" s="41">
        <f>P135/'1. Väestöennuste'!R135*1000</f>
        <v>368.51872868682869</v>
      </c>
    </row>
    <row r="136" spans="1:35" x14ac:dyDescent="0.25">
      <c r="A136" s="30">
        <v>407</v>
      </c>
      <c r="B136" s="31" t="s">
        <v>450</v>
      </c>
      <c r="C136" s="41">
        <v>720</v>
      </c>
      <c r="D136" s="41">
        <v>781</v>
      </c>
      <c r="E136" s="41">
        <v>759</v>
      </c>
      <c r="F136" s="41">
        <v>581</v>
      </c>
      <c r="G136" s="41">
        <v>584</v>
      </c>
      <c r="H136" s="41">
        <v>600</v>
      </c>
      <c r="I136" s="165">
        <v>564.46206000000006</v>
      </c>
      <c r="J136" s="41">
        <v>637.00545999999997</v>
      </c>
      <c r="K136" s="41">
        <v>597.58130000000006</v>
      </c>
      <c r="L136" s="41">
        <v>600</v>
      </c>
      <c r="M136" s="41">
        <v>650</v>
      </c>
      <c r="N136" s="41">
        <v>800</v>
      </c>
      <c r="O136" s="41">
        <f t="shared" si="6"/>
        <v>825.81307247322741</v>
      </c>
      <c r="P136" s="41">
        <f t="shared" si="6"/>
        <v>851.6261449464547</v>
      </c>
      <c r="Q136" s="165"/>
      <c r="T136" s="34">
        <v>407</v>
      </c>
      <c r="U136" s="88" t="s">
        <v>450</v>
      </c>
      <c r="V136" s="41">
        <f>C136/'1. Väestöennuste'!E136*1000</f>
        <v>259.5529920692141</v>
      </c>
      <c r="W136" s="41">
        <f>D136/'1. Väestöennuste'!F136*1000</f>
        <v>285.14056224899599</v>
      </c>
      <c r="X136" s="41">
        <f>E136/'1. Väestöennuste'!G136*1000</f>
        <v>280.48780487804879</v>
      </c>
      <c r="Y136" s="41">
        <f>F136/'1. Väestöennuste'!H136*1000</f>
        <v>218.01125703564728</v>
      </c>
      <c r="Z136" s="41">
        <f>G136/'1. Väestöennuste'!I136*1000</f>
        <v>224.09823484267073</v>
      </c>
      <c r="AA136" s="41">
        <f>H136/'1. Väestöennuste'!J136*1000</f>
        <v>228.92025944296071</v>
      </c>
      <c r="AB136" s="41">
        <f>I136/'1. Väestöennuste'!K136*1000</f>
        <v>218.78374418604653</v>
      </c>
      <c r="AC136" s="41">
        <f>J136/'1. Väestöennuste'!L136*1000</f>
        <v>252.98072279586975</v>
      </c>
      <c r="AD136" s="41">
        <f>K136/'1. Väestöennuste'!M136*1000</f>
        <v>244.01033074724378</v>
      </c>
      <c r="AE136" s="41">
        <f>L136/'1. Väestöennuste'!N136*1000</f>
        <v>237.4356944994064</v>
      </c>
      <c r="AF136" s="41">
        <f>M136/'1. Väestöennuste'!O136*1000</f>
        <v>259.17065390749599</v>
      </c>
      <c r="AG136" s="41">
        <f>N136/'1. Väestöennuste'!P136*1000</f>
        <v>321.15616218386191</v>
      </c>
      <c r="AH136" s="41">
        <f>O136/'1. Väestöennuste'!Q136*1000</f>
        <v>333.79671482345492</v>
      </c>
      <c r="AI136" s="41">
        <f>P136/'1. Väestöennuste'!R136*1000</f>
        <v>346.47117369668621</v>
      </c>
    </row>
    <row r="137" spans="1:35" x14ac:dyDescent="0.25">
      <c r="A137" s="30">
        <v>408</v>
      </c>
      <c r="B137" s="31" t="s">
        <v>451</v>
      </c>
      <c r="C137" s="41">
        <v>4450</v>
      </c>
      <c r="D137" s="41">
        <v>4991</v>
      </c>
      <c r="E137" s="41">
        <v>4987</v>
      </c>
      <c r="F137" s="41">
        <v>4994</v>
      </c>
      <c r="G137" s="41">
        <v>5386</v>
      </c>
      <c r="H137" s="41">
        <v>6134</v>
      </c>
      <c r="I137" s="165">
        <v>6499.0068899999997</v>
      </c>
      <c r="J137" s="41">
        <v>6524.7720899999995</v>
      </c>
      <c r="K137" s="41">
        <v>6642.7509800000007</v>
      </c>
      <c r="L137" s="41">
        <v>6700</v>
      </c>
      <c r="M137" s="41">
        <v>6800</v>
      </c>
      <c r="N137" s="41">
        <v>6800</v>
      </c>
      <c r="O137" s="41">
        <f t="shared" si="6"/>
        <v>7019.4111160224329</v>
      </c>
      <c r="P137" s="41">
        <f t="shared" si="6"/>
        <v>7238.8222320448649</v>
      </c>
      <c r="Q137" s="165"/>
      <c r="T137" s="34">
        <v>408</v>
      </c>
      <c r="U137" s="88" t="s">
        <v>451</v>
      </c>
      <c r="V137" s="41">
        <f>C137/'1. Väestöennuste'!E137*1000</f>
        <v>304.6067492641522</v>
      </c>
      <c r="W137" s="41">
        <f>D137/'1. Väestöennuste'!F137*1000</f>
        <v>342.43567753001713</v>
      </c>
      <c r="X137" s="41">
        <f>E137/'1. Väestöennuste'!G137*1000</f>
        <v>344.07340968676692</v>
      </c>
      <c r="Y137" s="41">
        <f>F137/'1. Väestöennuste'!H137*1000</f>
        <v>346.15651209537674</v>
      </c>
      <c r="Z137" s="41">
        <f>G137/'1. Väestöennuste'!I137*1000</f>
        <v>377.22370079843114</v>
      </c>
      <c r="AA137" s="41">
        <f>H137/'1. Väestöennuste'!J137*1000</f>
        <v>431.33394276070601</v>
      </c>
      <c r="AB137" s="41">
        <f>I137/'1. Väestöennuste'!K137*1000</f>
        <v>457.57986974582832</v>
      </c>
      <c r="AC137" s="41">
        <f>J137/'1. Väestöennuste'!L137*1000</f>
        <v>462.7826150790836</v>
      </c>
      <c r="AD137" s="41">
        <f>K137/'1. Väestöennuste'!M137*1000</f>
        <v>473.67020678836286</v>
      </c>
      <c r="AE137" s="41">
        <f>L137/'1. Väestöennuste'!N137*1000</f>
        <v>482.77849834270069</v>
      </c>
      <c r="AF137" s="41">
        <f>M137/'1. Väestöennuste'!O137*1000</f>
        <v>493.21824907521579</v>
      </c>
      <c r="AG137" s="41">
        <f>N137/'1. Väestöennuste'!P137*1000</f>
        <v>496.35036496350364</v>
      </c>
      <c r="AH137" s="41">
        <f>O137/'1. Väestöennuste'!Q137*1000</f>
        <v>515.82974103633398</v>
      </c>
      <c r="AI137" s="41">
        <f>P137/'1. Väestöennuste'!R137*1000</f>
        <v>535.49506081113077</v>
      </c>
    </row>
    <row r="138" spans="1:35" x14ac:dyDescent="0.25">
      <c r="A138" s="30">
        <v>410</v>
      </c>
      <c r="B138" s="31" t="s">
        <v>452</v>
      </c>
      <c r="C138" s="41">
        <v>7524</v>
      </c>
      <c r="D138" s="41">
        <v>5155</v>
      </c>
      <c r="E138" s="41">
        <v>5474</v>
      </c>
      <c r="F138" s="41">
        <v>5814</v>
      </c>
      <c r="G138" s="41">
        <v>7108</v>
      </c>
      <c r="H138" s="41">
        <v>8665</v>
      </c>
      <c r="I138" s="165">
        <v>6777.4489999999996</v>
      </c>
      <c r="J138" s="41">
        <v>6917.2226300000002</v>
      </c>
      <c r="K138" s="41">
        <v>7348.4149500000003</v>
      </c>
      <c r="L138" s="41">
        <v>7775</v>
      </c>
      <c r="M138" s="41">
        <v>7950</v>
      </c>
      <c r="N138" s="41">
        <v>7950</v>
      </c>
      <c r="O138" s="41">
        <f t="shared" si="6"/>
        <v>8206.5174077026968</v>
      </c>
      <c r="P138" s="41">
        <f t="shared" si="6"/>
        <v>8463.0348154053936</v>
      </c>
      <c r="Q138" s="165"/>
      <c r="T138" s="34">
        <v>410</v>
      </c>
      <c r="U138" s="88" t="s">
        <v>452</v>
      </c>
      <c r="V138" s="41">
        <f>C138/'1. Väestöennuste'!E138*1000</f>
        <v>398.8338192419825</v>
      </c>
      <c r="W138" s="41">
        <f>D138/'1. Väestöennuste'!F138*1000</f>
        <v>271.74486030574593</v>
      </c>
      <c r="X138" s="41">
        <f>E138/'1. Väestöennuste'!G138*1000</f>
        <v>288.43924544209079</v>
      </c>
      <c r="Y138" s="41">
        <f>F138/'1. Väestöennuste'!H138*1000</f>
        <v>307.18021873514027</v>
      </c>
      <c r="Z138" s="41">
        <f>G138/'1. Väestöennuste'!I138*1000</f>
        <v>376.02496958154791</v>
      </c>
      <c r="AA138" s="41">
        <f>H138/'1. Väestöennuste'!J138*1000</f>
        <v>460.34107209265261</v>
      </c>
      <c r="AB138" s="41">
        <f>I138/'1. Väestöennuste'!K138*1000</f>
        <v>360.73286140089419</v>
      </c>
      <c r="AC138" s="41">
        <f>J138/'1. Väestöennuste'!L138*1000</f>
        <v>368.427303861518</v>
      </c>
      <c r="AD138" s="41">
        <f>K138/'1. Väestöennuste'!M138*1000</f>
        <v>391.6647985289415</v>
      </c>
      <c r="AE138" s="41">
        <f>L138/'1. Väestöennuste'!N138*1000</f>
        <v>414.73302395049876</v>
      </c>
      <c r="AF138" s="41">
        <f>M138/'1. Väestöennuste'!O138*1000</f>
        <v>424.83834767274089</v>
      </c>
      <c r="AG138" s="41">
        <f>N138/'1. Väestöennuste'!P138*1000</f>
        <v>425.72560779693691</v>
      </c>
      <c r="AH138" s="41">
        <f>O138/'1. Väestöennuste'!Q138*1000</f>
        <v>440.40557087596312</v>
      </c>
      <c r="AI138" s="41">
        <f>P138/'1. Väestöennuste'!R138*1000</f>
        <v>455.24662804762738</v>
      </c>
    </row>
    <row r="139" spans="1:35" x14ac:dyDescent="0.25">
      <c r="A139" s="30">
        <v>416</v>
      </c>
      <c r="B139" s="31" t="s">
        <v>453</v>
      </c>
      <c r="C139" s="41">
        <v>629</v>
      </c>
      <c r="D139" s="41">
        <v>597</v>
      </c>
      <c r="E139" s="41">
        <v>634</v>
      </c>
      <c r="F139" s="41">
        <v>660</v>
      </c>
      <c r="G139" s="41">
        <v>579</v>
      </c>
      <c r="H139" s="41">
        <v>570</v>
      </c>
      <c r="I139" s="165">
        <v>560.24343999999996</v>
      </c>
      <c r="J139" s="41">
        <v>559.24099999999999</v>
      </c>
      <c r="K139" s="41">
        <v>630.01529000000005</v>
      </c>
      <c r="L139" s="41">
        <v>663.7</v>
      </c>
      <c r="M139" s="41">
        <v>632.4</v>
      </c>
      <c r="N139" s="41">
        <v>607.9</v>
      </c>
      <c r="O139" s="41">
        <f t="shared" si="6"/>
        <v>627.51470844559367</v>
      </c>
      <c r="P139" s="41">
        <f t="shared" si="6"/>
        <v>647.12941689118725</v>
      </c>
      <c r="Q139" s="165"/>
      <c r="T139" s="34">
        <v>416</v>
      </c>
      <c r="U139" s="88" t="s">
        <v>453</v>
      </c>
      <c r="V139" s="41">
        <f>C139/'1. Väestöennuste'!E139*1000</f>
        <v>204.6859746176375</v>
      </c>
      <c r="W139" s="41">
        <f>D139/'1. Väestöennuste'!F139*1000</f>
        <v>194.08322496749025</v>
      </c>
      <c r="X139" s="41">
        <f>E139/'1. Väestöennuste'!G139*1000</f>
        <v>206.9866144302971</v>
      </c>
      <c r="Y139" s="41">
        <f>F139/'1. Väestöennuste'!H139*1000</f>
        <v>216.89122576404861</v>
      </c>
      <c r="Z139" s="41">
        <f>G139/'1. Väestöennuste'!I139*1000</f>
        <v>194.88387748232918</v>
      </c>
      <c r="AA139" s="41">
        <f>H139/'1. Väestöennuste'!J139*1000</f>
        <v>192.30769230769232</v>
      </c>
      <c r="AB139" s="41">
        <f>I139/'1. Väestöennuste'!K139*1000</f>
        <v>192.06151525539937</v>
      </c>
      <c r="AC139" s="41">
        <f>J139/'1. Väestöennuste'!L139*1000</f>
        <v>193.77720027720028</v>
      </c>
      <c r="AD139" s="41">
        <f>K139/'1. Väestöennuste'!M139*1000</f>
        <v>220.13112858141162</v>
      </c>
      <c r="AE139" s="41">
        <f>L139/'1. Väestöennuste'!N139*1000</f>
        <v>230.13176144244107</v>
      </c>
      <c r="AF139" s="41">
        <f>M139/'1. Väestöennuste'!O139*1000</f>
        <v>220.6559665038381</v>
      </c>
      <c r="AG139" s="41">
        <f>N139/'1. Väestöennuste'!P139*1000</f>
        <v>213.59803232607166</v>
      </c>
      <c r="AH139" s="41">
        <f>O139/'1. Väestöennuste'!Q139*1000</f>
        <v>222.2077579481564</v>
      </c>
      <c r="AI139" s="41">
        <f>P139/'1. Väestöennuste'!R139*1000</f>
        <v>230.95268268778986</v>
      </c>
    </row>
    <row r="140" spans="1:35" x14ac:dyDescent="0.25">
      <c r="A140" s="30">
        <v>418</v>
      </c>
      <c r="B140" s="31" t="s">
        <v>454</v>
      </c>
      <c r="C140" s="41">
        <v>10053</v>
      </c>
      <c r="D140" s="41">
        <v>11523</v>
      </c>
      <c r="E140" s="41">
        <v>11440</v>
      </c>
      <c r="F140" s="41">
        <v>10740</v>
      </c>
      <c r="G140" s="41">
        <v>10828</v>
      </c>
      <c r="H140" s="41">
        <v>8504</v>
      </c>
      <c r="I140" s="165">
        <v>10129.260849999999</v>
      </c>
      <c r="J140" s="41">
        <v>10282.525240000001</v>
      </c>
      <c r="K140" s="41">
        <v>10076.65423</v>
      </c>
      <c r="L140" s="41">
        <v>11330</v>
      </c>
      <c r="M140" s="41">
        <v>11749</v>
      </c>
      <c r="N140" s="41">
        <v>12497.7</v>
      </c>
      <c r="O140" s="41">
        <f t="shared" si="6"/>
        <v>12900.955044810818</v>
      </c>
      <c r="P140" s="41">
        <f t="shared" si="6"/>
        <v>13304.210089621634</v>
      </c>
      <c r="Q140" s="165"/>
      <c r="T140" s="34">
        <v>418</v>
      </c>
      <c r="U140" s="88" t="s">
        <v>454</v>
      </c>
      <c r="V140" s="41">
        <f>C140/'1. Väestöennuste'!E140*1000</f>
        <v>446.08626198083067</v>
      </c>
      <c r="W140" s="41">
        <f>D140/'1. Väestöennuste'!F140*1000</f>
        <v>506.61683886568477</v>
      </c>
      <c r="X140" s="41">
        <f>E140/'1. Väestöennuste'!G140*1000</f>
        <v>501.11700030662752</v>
      </c>
      <c r="Y140" s="41">
        <f>F140/'1. Väestöennuste'!H140*1000</f>
        <v>462.81134189433766</v>
      </c>
      <c r="Z140" s="41">
        <f>G140/'1. Väestöennuste'!I140*1000</f>
        <v>460.31543595629807</v>
      </c>
      <c r="AA140" s="41">
        <f>H140/'1. Väestöennuste'!J140*1000</f>
        <v>356.89105254322646</v>
      </c>
      <c r="AB140" s="41">
        <f>I140/'1. Väestöennuste'!K140*1000</f>
        <v>419.18808351266341</v>
      </c>
      <c r="AC140" s="41">
        <f>J140/'1. Väestöennuste'!L140*1000</f>
        <v>418.32893572009766</v>
      </c>
      <c r="AD140" s="41">
        <f>K140/'1. Väestöennuste'!M140*1000</f>
        <v>407.78010723969084</v>
      </c>
      <c r="AE140" s="41">
        <f>L140/'1. Väestöennuste'!N140*1000</f>
        <v>459.02037839808776</v>
      </c>
      <c r="AF140" s="41">
        <f>M140/'1. Väestöennuste'!O140*1000</f>
        <v>472.68265207595749</v>
      </c>
      <c r="AG140" s="41">
        <f>N140/'1. Väestöennuste'!P140*1000</f>
        <v>499.60823505896462</v>
      </c>
      <c r="AH140" s="41">
        <f>O140/'1. Väestöennuste'!Q140*1000</f>
        <v>512.81770659501603</v>
      </c>
      <c r="AI140" s="41">
        <f>P140/'1. Väestöennuste'!R140*1000</f>
        <v>526.08683971772837</v>
      </c>
    </row>
    <row r="141" spans="1:35" x14ac:dyDescent="0.25">
      <c r="A141" s="30">
        <v>420</v>
      </c>
      <c r="B141" s="31" t="s">
        <v>455</v>
      </c>
      <c r="C141" s="41">
        <v>3650</v>
      </c>
      <c r="D141" s="41">
        <v>4407</v>
      </c>
      <c r="E141" s="41">
        <v>4796</v>
      </c>
      <c r="F141" s="41">
        <v>3414</v>
      </c>
      <c r="G141" s="41">
        <v>3902</v>
      </c>
      <c r="H141" s="41">
        <v>4709</v>
      </c>
      <c r="I141" s="165">
        <v>3583.4441299999999</v>
      </c>
      <c r="J141" s="41">
        <v>3298.0756499999998</v>
      </c>
      <c r="K141" s="41">
        <v>3717.5581400000001</v>
      </c>
      <c r="L141" s="41">
        <v>3216.8679999999999</v>
      </c>
      <c r="M141" s="41">
        <v>3200.02</v>
      </c>
      <c r="N141" s="41">
        <v>3250.52</v>
      </c>
      <c r="O141" s="41">
        <f t="shared" si="6"/>
        <v>3355.4023854195939</v>
      </c>
      <c r="P141" s="41">
        <f t="shared" si="6"/>
        <v>3460.2847708391873</v>
      </c>
      <c r="Q141" s="165"/>
      <c r="T141" s="34">
        <v>420</v>
      </c>
      <c r="U141" s="88" t="s">
        <v>455</v>
      </c>
      <c r="V141" s="41">
        <f>C141/'1. Väestöennuste'!E141*1000</f>
        <v>366.7236009243444</v>
      </c>
      <c r="W141" s="41">
        <f>D141/'1. Väestöennuste'!F141*1000</f>
        <v>446.73086670045615</v>
      </c>
      <c r="X141" s="41">
        <f>E141/'1. Väestöennuste'!G141*1000</f>
        <v>490.28828460437541</v>
      </c>
      <c r="Y141" s="41">
        <f>F141/'1. Väestöennuste'!H141*1000</f>
        <v>353.7823834196891</v>
      </c>
      <c r="Z141" s="41">
        <f>G141/'1. Väestöennuste'!I141*1000</f>
        <v>412.73535011635289</v>
      </c>
      <c r="AA141" s="41">
        <f>H141/'1. Väestöennuste'!J141*1000</f>
        <v>500.85088279089553</v>
      </c>
      <c r="AB141" s="41">
        <f>I141/'1. Väestöennuste'!K141*1000</f>
        <v>386.14699676724132</v>
      </c>
      <c r="AC141" s="41">
        <f>J141/'1. Väestöennuste'!L141*1000</f>
        <v>359.38494606080417</v>
      </c>
      <c r="AD141" s="41">
        <f>K141/'1. Väestöennuste'!M141*1000</f>
        <v>410.82530003315281</v>
      </c>
      <c r="AE141" s="41">
        <f>L141/'1. Väestöennuste'!N141*1000</f>
        <v>357.90698709390296</v>
      </c>
      <c r="AF141" s="41">
        <f>M141/'1. Väestöennuste'!O141*1000</f>
        <v>359.91676976718031</v>
      </c>
      <c r="AG141" s="41">
        <f>N141/'1. Väestöennuste'!P141*1000</f>
        <v>369.58726549175668</v>
      </c>
      <c r="AH141" s="41">
        <f>O141/'1. Väestöennuste'!Q141*1000</f>
        <v>385.54548838556752</v>
      </c>
      <c r="AI141" s="41">
        <f>P141/'1. Väestöennuste'!R141*1000</f>
        <v>401.84470686786523</v>
      </c>
    </row>
    <row r="142" spans="1:35" x14ac:dyDescent="0.25">
      <c r="A142" s="30">
        <v>421</v>
      </c>
      <c r="B142" s="31" t="s">
        <v>456</v>
      </c>
      <c r="C142" s="41">
        <v>316</v>
      </c>
      <c r="D142" s="41">
        <v>257</v>
      </c>
      <c r="E142" s="41">
        <v>286</v>
      </c>
      <c r="F142" s="41">
        <v>309</v>
      </c>
      <c r="G142" s="41">
        <v>502</v>
      </c>
      <c r="H142" s="41">
        <v>329</v>
      </c>
      <c r="I142" s="165">
        <v>435.14228000000003</v>
      </c>
      <c r="J142" s="41">
        <v>564.81399999999996</v>
      </c>
      <c r="K142" s="41">
        <v>578.96283999999991</v>
      </c>
      <c r="L142" s="41">
        <v>508.04899999999998</v>
      </c>
      <c r="M142" s="41">
        <v>508.07900000000001</v>
      </c>
      <c r="N142" s="41">
        <v>508.07900000000001</v>
      </c>
      <c r="O142" s="41">
        <f t="shared" si="6"/>
        <v>524.47285006140612</v>
      </c>
      <c r="P142" s="41">
        <f t="shared" si="6"/>
        <v>540.86670012281218</v>
      </c>
      <c r="Q142" s="165"/>
      <c r="T142" s="34">
        <v>421</v>
      </c>
      <c r="U142" s="88" t="s">
        <v>456</v>
      </c>
      <c r="V142" s="41">
        <f>C142/'1. Väestöennuste'!E142*1000</f>
        <v>395.98997493734333</v>
      </c>
      <c r="W142" s="41">
        <f>D142/'1. Väestöennuste'!F142*1000</f>
        <v>316.89272503082617</v>
      </c>
      <c r="X142" s="41">
        <f>E142/'1. Väestöennuste'!G142*1000</f>
        <v>362.48415716096326</v>
      </c>
      <c r="Y142" s="41">
        <f>F142/'1. Väestöennuste'!H142*1000</f>
        <v>419.26729986431479</v>
      </c>
      <c r="Z142" s="41">
        <f>G142/'1. Väestöennuste'!I142*1000</f>
        <v>698.19193324061189</v>
      </c>
      <c r="AA142" s="41">
        <f>H142/'1. Väestöennuste'!J142*1000</f>
        <v>455.6786703601108</v>
      </c>
      <c r="AB142" s="41">
        <f>I142/'1. Väestöennuste'!K142*1000</f>
        <v>605.20484005563287</v>
      </c>
      <c r="AC142" s="41">
        <f>J142/'1. Väestöennuste'!L142*1000</f>
        <v>812.68201438848916</v>
      </c>
      <c r="AD142" s="41">
        <f>K142/'1. Väestöennuste'!M142*1000</f>
        <v>848.91912023460407</v>
      </c>
      <c r="AE142" s="41">
        <f>L142/'1. Väestöennuste'!N142*1000</f>
        <v>749.33480825958702</v>
      </c>
      <c r="AF142" s="41">
        <f>M142/'1. Väestöennuste'!O142*1000</f>
        <v>759.46038863976082</v>
      </c>
      <c r="AG142" s="41">
        <f>N142/'1. Väestöennuste'!P142*1000</f>
        <v>769.81666666666672</v>
      </c>
      <c r="AH142" s="41">
        <f>O142/'1. Väestöennuste'!Q142*1000</f>
        <v>801.94625391652312</v>
      </c>
      <c r="AI142" s="41">
        <f>P142/'1. Väestöennuste'!R142*1000</f>
        <v>835.96089663494922</v>
      </c>
    </row>
    <row r="143" spans="1:35" x14ac:dyDescent="0.25">
      <c r="A143" s="30">
        <v>422</v>
      </c>
      <c r="B143" s="31" t="s">
        <v>457</v>
      </c>
      <c r="C143" s="41">
        <v>4180</v>
      </c>
      <c r="D143" s="41">
        <v>4005</v>
      </c>
      <c r="E143" s="41">
        <v>5286</v>
      </c>
      <c r="F143" s="41">
        <v>3421</v>
      </c>
      <c r="G143" s="41">
        <v>4549</v>
      </c>
      <c r="H143" s="41">
        <v>4243</v>
      </c>
      <c r="I143" s="165">
        <v>4002.0329700000002</v>
      </c>
      <c r="J143" s="41">
        <v>3694.6389700000004</v>
      </c>
      <c r="K143" s="41">
        <v>5719.2814699999999</v>
      </c>
      <c r="L143" s="41">
        <v>3935.4</v>
      </c>
      <c r="M143" s="41">
        <v>4111.098</v>
      </c>
      <c r="N143" s="41">
        <v>4457.4979999999996</v>
      </c>
      <c r="O143" s="41">
        <f t="shared" ref="O143:P206" si="7">N143*O$6</f>
        <v>4601.3251486540821</v>
      </c>
      <c r="P143" s="41">
        <f t="shared" si="7"/>
        <v>4745.1522973081646</v>
      </c>
      <c r="Q143" s="165"/>
      <c r="T143" s="34">
        <v>422</v>
      </c>
      <c r="U143" s="88" t="s">
        <v>457</v>
      </c>
      <c r="V143" s="41">
        <f>C143/'1. Väestöennuste'!E143*1000</f>
        <v>355.0798504926945</v>
      </c>
      <c r="W143" s="41">
        <f>D143/'1. Väestöennuste'!F143*1000</f>
        <v>345.85492227979273</v>
      </c>
      <c r="X143" s="41">
        <f>E143/'1. Väestöennuste'!G143*1000</f>
        <v>467.91183500044258</v>
      </c>
      <c r="Y143" s="41">
        <f>F143/'1. Väestöennuste'!H143*1000</f>
        <v>308.25373941250677</v>
      </c>
      <c r="Z143" s="41">
        <f>G143/'1. Väestöennuste'!I143*1000</f>
        <v>417.95295847115034</v>
      </c>
      <c r="AA143" s="41">
        <f>H143/'1. Väestöennuste'!J143*1000</f>
        <v>395.83916410112886</v>
      </c>
      <c r="AB143" s="41">
        <f>I143/'1. Väestöennuste'!K143*1000</f>
        <v>379.59147965474727</v>
      </c>
      <c r="AC143" s="41">
        <f>J143/'1. Väestöennuste'!L143*1000</f>
        <v>356.21278152718861</v>
      </c>
      <c r="AD143" s="41">
        <f>K143/'1. Väestöennuste'!M143*1000</f>
        <v>559.17886879155253</v>
      </c>
      <c r="AE143" s="41">
        <f>L143/'1. Väestöennuste'!N143*1000</f>
        <v>394.48676824378509</v>
      </c>
      <c r="AF143" s="41">
        <f>M143/'1. Väestöennuste'!O143*1000</f>
        <v>419.02945673223928</v>
      </c>
      <c r="AG143" s="41">
        <f>N143/'1. Väestöennuste'!P143*1000</f>
        <v>461.91689119170979</v>
      </c>
      <c r="AH143" s="41">
        <f>O143/'1. Väestöennuste'!Q143*1000</f>
        <v>484.60507094829723</v>
      </c>
      <c r="AI143" s="41">
        <f>P143/'1. Väestöennuste'!R143*1000</f>
        <v>507.66580692288056</v>
      </c>
    </row>
    <row r="144" spans="1:35" x14ac:dyDescent="0.25">
      <c r="A144" s="30">
        <v>423</v>
      </c>
      <c r="B144" s="31" t="s">
        <v>458</v>
      </c>
      <c r="C144" s="41">
        <v>5300</v>
      </c>
      <c r="D144" s="41">
        <v>5717</v>
      </c>
      <c r="E144" s="41">
        <v>6255</v>
      </c>
      <c r="F144" s="41">
        <v>7580</v>
      </c>
      <c r="G144" s="41">
        <v>7820</v>
      </c>
      <c r="H144" s="41">
        <v>7225</v>
      </c>
      <c r="I144" s="165">
        <v>7410.9320800000005</v>
      </c>
      <c r="J144" s="41">
        <v>7214.25965</v>
      </c>
      <c r="K144" s="41">
        <v>8404.3708299999998</v>
      </c>
      <c r="L144" s="41">
        <v>7824.634</v>
      </c>
      <c r="M144" s="41">
        <v>8000</v>
      </c>
      <c r="N144" s="41">
        <v>9000</v>
      </c>
      <c r="O144" s="41">
        <f t="shared" si="7"/>
        <v>9290.3970653238084</v>
      </c>
      <c r="P144" s="41">
        <f t="shared" si="7"/>
        <v>9580.794130647615</v>
      </c>
      <c r="Q144" s="165"/>
      <c r="T144" s="34">
        <v>423</v>
      </c>
      <c r="U144" s="88" t="s">
        <v>458</v>
      </c>
      <c r="V144" s="41">
        <f>C144/'1. Väestöennuste'!E144*1000</f>
        <v>275.13886725847482</v>
      </c>
      <c r="W144" s="41">
        <f>D144/'1. Väestöennuste'!F144*1000</f>
        <v>294.4175507261304</v>
      </c>
      <c r="X144" s="41">
        <f>E144/'1. Väestöennuste'!G144*1000</f>
        <v>319.19779546846291</v>
      </c>
      <c r="Y144" s="41">
        <f>F144/'1. Väestöennuste'!H144*1000</f>
        <v>382.22984216630527</v>
      </c>
      <c r="Z144" s="41">
        <f>G144/'1. Väestöennuste'!I144*1000</f>
        <v>391.11733520056021</v>
      </c>
      <c r="AA144" s="41">
        <f>H144/'1. Väestöennuste'!J144*1000</f>
        <v>358.63198649856048</v>
      </c>
      <c r="AB144" s="41">
        <f>I144/'1. Väestöennuste'!K144*1000</f>
        <v>365.23247153910603</v>
      </c>
      <c r="AC144" s="41">
        <f>J144/'1. Väestöennuste'!L144*1000</f>
        <v>351.96661218714934</v>
      </c>
      <c r="AD144" s="41">
        <f>K144/'1. Väestöennuste'!M144*1000</f>
        <v>407.24770218539516</v>
      </c>
      <c r="AE144" s="41">
        <f>L144/'1. Väestöennuste'!N144*1000</f>
        <v>377.07262300612024</v>
      </c>
      <c r="AF144" s="41">
        <f>M144/'1. Väestöennuste'!O144*1000</f>
        <v>382.92169251388094</v>
      </c>
      <c r="AG144" s="41">
        <f>N144/'1. Väestöennuste'!P144*1000</f>
        <v>428.00076089024157</v>
      </c>
      <c r="AH144" s="41">
        <f>O144/'1. Väestöennuste'!Q144*1000</f>
        <v>439.11693838085779</v>
      </c>
      <c r="AI144" s="41">
        <f>P144/'1. Väestöennuste'!R144*1000</f>
        <v>450.3310989728609</v>
      </c>
    </row>
    <row r="145" spans="1:35" x14ac:dyDescent="0.25">
      <c r="A145" s="30">
        <v>425</v>
      </c>
      <c r="B145" s="31" t="s">
        <v>459</v>
      </c>
      <c r="C145" s="41">
        <v>4200</v>
      </c>
      <c r="D145" s="41">
        <v>5610</v>
      </c>
      <c r="E145" s="41">
        <v>3990</v>
      </c>
      <c r="F145" s="41">
        <v>3812</v>
      </c>
      <c r="G145" s="41">
        <v>4830</v>
      </c>
      <c r="H145" s="41">
        <v>4524</v>
      </c>
      <c r="I145" s="165">
        <v>3920.0581699999998</v>
      </c>
      <c r="J145" s="41">
        <v>4192.2286899999999</v>
      </c>
      <c r="K145" s="41">
        <v>4165.4478900000004</v>
      </c>
      <c r="L145" s="41">
        <v>3993</v>
      </c>
      <c r="M145" s="41">
        <v>4000</v>
      </c>
      <c r="N145" s="41">
        <v>4050</v>
      </c>
      <c r="O145" s="41">
        <f t="shared" si="7"/>
        <v>4180.6786793957135</v>
      </c>
      <c r="P145" s="41">
        <f t="shared" si="7"/>
        <v>4311.357358791427</v>
      </c>
      <c r="Q145" s="165"/>
      <c r="T145" s="34">
        <v>425</v>
      </c>
      <c r="U145" s="88" t="s">
        <v>459</v>
      </c>
      <c r="V145" s="41">
        <f>C145/'1. Väestöennuste'!E145*1000</f>
        <v>422.66277548555905</v>
      </c>
      <c r="W145" s="41">
        <f>D145/'1. Väestöennuste'!F145*1000</f>
        <v>561</v>
      </c>
      <c r="X145" s="41">
        <f>E145/'1. Väestöennuste'!G145*1000</f>
        <v>393.76295272870823</v>
      </c>
      <c r="Y145" s="41">
        <f>F145/'1. Väestöennuste'!H145*1000</f>
        <v>375.15992520421219</v>
      </c>
      <c r="Z145" s="41">
        <f>G145/'1. Väestöennuste'!I145*1000</f>
        <v>473.94760082425671</v>
      </c>
      <c r="AA145" s="41">
        <f>H145/'1. Väestöennuste'!J145*1000</f>
        <v>441.883180308654</v>
      </c>
      <c r="AB145" s="41">
        <f>I145/'1. Väestöennuste'!K145*1000</f>
        <v>383.64241240947342</v>
      </c>
      <c r="AC145" s="41">
        <f>J145/'1. Väestöennuste'!L145*1000</f>
        <v>408.67895203743421</v>
      </c>
      <c r="AD145" s="41">
        <f>K145/'1. Väestöennuste'!M145*1000</f>
        <v>406.14741517160689</v>
      </c>
      <c r="AE145" s="41">
        <f>L145/'1. Väestöennuste'!N145*1000</f>
        <v>382.6178612495209</v>
      </c>
      <c r="AF145" s="41">
        <f>M145/'1. Väestöennuste'!O145*1000</f>
        <v>382.26299694189601</v>
      </c>
      <c r="AG145" s="41">
        <f>N145/'1. Väestöennuste'!P145*1000</f>
        <v>386.11879111450094</v>
      </c>
      <c r="AH145" s="41">
        <f>O145/'1. Väestöennuste'!Q145*1000</f>
        <v>397.70535382379313</v>
      </c>
      <c r="AI145" s="41">
        <f>P145/'1. Väestöennuste'!R145*1000</f>
        <v>409.43564660887245</v>
      </c>
    </row>
    <row r="146" spans="1:35" x14ac:dyDescent="0.25">
      <c r="A146" s="30">
        <v>426</v>
      </c>
      <c r="B146" s="31" t="s">
        <v>460</v>
      </c>
      <c r="C146" s="41">
        <v>2360</v>
      </c>
      <c r="D146" s="41">
        <v>3451</v>
      </c>
      <c r="E146" s="41">
        <v>4124</v>
      </c>
      <c r="F146" s="41">
        <v>2857</v>
      </c>
      <c r="G146" s="41">
        <v>2951</v>
      </c>
      <c r="H146" s="41">
        <v>3072</v>
      </c>
      <c r="I146" s="165">
        <v>3285.4640600000002</v>
      </c>
      <c r="J146" s="41">
        <v>3795.2409300000004</v>
      </c>
      <c r="K146" s="41">
        <v>4074.9191000000001</v>
      </c>
      <c r="L146" s="41">
        <v>4168.7740000000003</v>
      </c>
      <c r="M146" s="41">
        <v>4200</v>
      </c>
      <c r="N146" s="41">
        <v>4300</v>
      </c>
      <c r="O146" s="41">
        <f t="shared" si="7"/>
        <v>4438.7452645435969</v>
      </c>
      <c r="P146" s="41">
        <f t="shared" si="7"/>
        <v>4577.4905290871939</v>
      </c>
      <c r="Q146" s="165"/>
      <c r="T146" s="34">
        <v>426</v>
      </c>
      <c r="U146" s="88" t="s">
        <v>460</v>
      </c>
      <c r="V146" s="41">
        <f>C146/'1. Väestöennuste'!E146*1000</f>
        <v>191.27897552277517</v>
      </c>
      <c r="W146" s="41">
        <f>D146/'1. Väestöennuste'!F146*1000</f>
        <v>280.54629704902038</v>
      </c>
      <c r="X146" s="41">
        <f>E146/'1. Väestöennuste'!G146*1000</f>
        <v>339.42386831275724</v>
      </c>
      <c r="Y146" s="41">
        <f>F146/'1. Väestöennuste'!H146*1000</f>
        <v>235.24083985179087</v>
      </c>
      <c r="Z146" s="41">
        <f>G146/'1. Väestöennuste'!I146*1000</f>
        <v>244.20721615359153</v>
      </c>
      <c r="AA146" s="41">
        <f>H146/'1. Väestöennuste'!J146*1000</f>
        <v>256.12806403201597</v>
      </c>
      <c r="AB146" s="41">
        <f>I146/'1. Väestöennuste'!K146*1000</f>
        <v>274.26864178979883</v>
      </c>
      <c r="AC146" s="41">
        <f>J146/'1. Väestöennuste'!L146*1000</f>
        <v>317.27478097308148</v>
      </c>
      <c r="AD146" s="41">
        <f>K146/'1. Väestöennuste'!M146*1000</f>
        <v>340.45610326677252</v>
      </c>
      <c r="AE146" s="41">
        <f>L146/'1. Väestöennuste'!N146*1000</f>
        <v>354.91009705431634</v>
      </c>
      <c r="AF146" s="41">
        <f>M146/'1. Väestöennuste'!O146*1000</f>
        <v>359.58904109589042</v>
      </c>
      <c r="AG146" s="41">
        <f>N146/'1. Väestöennuste'!P146*1000</f>
        <v>370.27469215534313</v>
      </c>
      <c r="AH146" s="41">
        <f>O146/'1. Väestöennuste'!Q146*1000</f>
        <v>384.54000385892721</v>
      </c>
      <c r="AI146" s="41">
        <f>P146/'1. Väestöennuste'!R146*1000</f>
        <v>399.11853946178337</v>
      </c>
    </row>
    <row r="147" spans="1:35" x14ac:dyDescent="0.25">
      <c r="A147" s="30">
        <v>430</v>
      </c>
      <c r="B147" s="31" t="s">
        <v>461</v>
      </c>
      <c r="C147" s="41">
        <v>3840</v>
      </c>
      <c r="D147" s="41">
        <v>3964</v>
      </c>
      <c r="E147" s="41">
        <v>4165</v>
      </c>
      <c r="F147" s="41">
        <v>4674</v>
      </c>
      <c r="G147" s="41">
        <v>3960</v>
      </c>
      <c r="H147" s="41">
        <v>4141</v>
      </c>
      <c r="I147" s="165">
        <v>4413.7596100000001</v>
      </c>
      <c r="J147" s="41">
        <v>4359.2259400000003</v>
      </c>
      <c r="K147" s="41">
        <v>4428.1622300000008</v>
      </c>
      <c r="L147" s="41">
        <v>4448.0150000000003</v>
      </c>
      <c r="M147" s="41">
        <v>4408.5110000000004</v>
      </c>
      <c r="N147" s="41">
        <v>4579.5360000000001</v>
      </c>
      <c r="O147" s="41">
        <f t="shared" si="7"/>
        <v>4727.3008683271919</v>
      </c>
      <c r="P147" s="41">
        <f t="shared" si="7"/>
        <v>4875.0657366543837</v>
      </c>
      <c r="Q147" s="165"/>
      <c r="T147" s="34">
        <v>430</v>
      </c>
      <c r="U147" s="88" t="s">
        <v>461</v>
      </c>
      <c r="V147" s="41">
        <f>C147/'1. Väestöennuste'!E147*1000</f>
        <v>233.19366004736747</v>
      </c>
      <c r="W147" s="41">
        <f>D147/'1. Väestöennuste'!F147*1000</f>
        <v>243.68353107518288</v>
      </c>
      <c r="X147" s="41">
        <f>E147/'1. Väestöennuste'!G147*1000</f>
        <v>257.89473684210526</v>
      </c>
      <c r="Y147" s="41">
        <f>F147/'1. Väestöennuste'!H147*1000</f>
        <v>291.54191616766468</v>
      </c>
      <c r="Z147" s="41">
        <f>G147/'1. Väestöennuste'!I147*1000</f>
        <v>249.44881889763778</v>
      </c>
      <c r="AA147" s="41">
        <f>H147/'1. Väestöennuste'!J147*1000</f>
        <v>262.58719086873811</v>
      </c>
      <c r="AB147" s="41">
        <f>I147/'1. Väestöennuste'!K147*1000</f>
        <v>282.42638917327872</v>
      </c>
      <c r="AC147" s="41">
        <f>J147/'1. Väestöennuste'!L147*1000</f>
        <v>283.21374350311851</v>
      </c>
      <c r="AD147" s="41">
        <f>K147/'1. Väestöennuste'!M147*1000</f>
        <v>287.17005382619982</v>
      </c>
      <c r="AE147" s="41">
        <f>L147/'1. Väestöennuste'!N147*1000</f>
        <v>292.13286483646397</v>
      </c>
      <c r="AF147" s="41">
        <f>M147/'1. Väestöennuste'!O147*1000</f>
        <v>291.87705243644069</v>
      </c>
      <c r="AG147" s="41">
        <f>N147/'1. Väestöennuste'!P147*1000</f>
        <v>305.56722492827117</v>
      </c>
      <c r="AH147" s="41">
        <f>O147/'1. Väestöennuste'!Q147*1000</f>
        <v>317.82310530638648</v>
      </c>
      <c r="AI147" s="41">
        <f>P147/'1. Väestöennuste'!R147*1000</f>
        <v>330.17715791766904</v>
      </c>
    </row>
    <row r="148" spans="1:35" x14ac:dyDescent="0.25">
      <c r="A148" s="30">
        <v>433</v>
      </c>
      <c r="B148" s="31" t="s">
        <v>462</v>
      </c>
      <c r="C148" s="41">
        <v>1700</v>
      </c>
      <c r="D148" s="41">
        <v>2248</v>
      </c>
      <c r="E148" s="41">
        <v>2065</v>
      </c>
      <c r="F148" s="41">
        <v>2091</v>
      </c>
      <c r="G148" s="41">
        <v>2100</v>
      </c>
      <c r="H148" s="41">
        <v>4041</v>
      </c>
      <c r="I148" s="165">
        <v>2283.8302400000002</v>
      </c>
      <c r="J148" s="41">
        <v>2118.3461499999999</v>
      </c>
      <c r="K148" s="41">
        <v>2317.1611800000001</v>
      </c>
      <c r="L148" s="41">
        <v>2475</v>
      </c>
      <c r="M148" s="41">
        <v>2442</v>
      </c>
      <c r="N148" s="41">
        <v>2393.6999999999998</v>
      </c>
      <c r="O148" s="41">
        <f t="shared" si="7"/>
        <v>2470.9359394739554</v>
      </c>
      <c r="P148" s="41">
        <f t="shared" si="7"/>
        <v>2548.1718789479105</v>
      </c>
      <c r="Q148" s="165"/>
      <c r="T148" s="34">
        <v>433</v>
      </c>
      <c r="U148" s="88" t="s">
        <v>462</v>
      </c>
      <c r="V148" s="41">
        <f>C148/'1. Väestöennuste'!E148*1000</f>
        <v>207.95107033639144</v>
      </c>
      <c r="W148" s="41">
        <f>D148/'1. Väestöennuste'!F148*1000</f>
        <v>277.59940726105208</v>
      </c>
      <c r="X148" s="41">
        <f>E148/'1. Väestöennuste'!G148*1000</f>
        <v>257.22471350274037</v>
      </c>
      <c r="Y148" s="41">
        <f>F148/'1. Väestöennuste'!H148*1000</f>
        <v>265.99669253275664</v>
      </c>
      <c r="Z148" s="41">
        <f>G148/'1. Väestöennuste'!I148*1000</f>
        <v>268.26775677056719</v>
      </c>
      <c r="AA148" s="41">
        <f>H148/'1. Väestöennuste'!J148*1000</f>
        <v>514.58041512797661</v>
      </c>
      <c r="AB148" s="41">
        <f>I148/'1. Väestöennuste'!K148*1000</f>
        <v>292.83629183228624</v>
      </c>
      <c r="AC148" s="41">
        <f>J148/'1. Väestöennuste'!L148*1000</f>
        <v>273.37026067879725</v>
      </c>
      <c r="AD148" s="41">
        <f>K148/'1. Väestöennuste'!M148*1000</f>
        <v>301.2430031201248</v>
      </c>
      <c r="AE148" s="41">
        <f>L148/'1. Väestöennuste'!N148*1000</f>
        <v>323.65633581796783</v>
      </c>
      <c r="AF148" s="41">
        <f>M148/'1. Väestöennuste'!O148*1000</f>
        <v>321.18900434039193</v>
      </c>
      <c r="AG148" s="41">
        <f>N148/'1. Väestöennuste'!P148*1000</f>
        <v>316.75267963477563</v>
      </c>
      <c r="AH148" s="41">
        <f>O148/'1. Väestöennuste'!Q148*1000</f>
        <v>328.80052421476455</v>
      </c>
      <c r="AI148" s="41">
        <f>P148/'1. Väestöennuste'!R148*1000</f>
        <v>341.07507414642089</v>
      </c>
    </row>
    <row r="149" spans="1:35" x14ac:dyDescent="0.25">
      <c r="A149" s="30">
        <v>434</v>
      </c>
      <c r="B149" s="31" t="s">
        <v>463</v>
      </c>
      <c r="C149" s="41">
        <v>3812</v>
      </c>
      <c r="D149" s="41">
        <v>5468</v>
      </c>
      <c r="E149" s="41">
        <v>4624</v>
      </c>
      <c r="F149" s="41">
        <v>4970</v>
      </c>
      <c r="G149" s="41">
        <v>7132</v>
      </c>
      <c r="H149" s="41">
        <v>6295</v>
      </c>
      <c r="I149" s="165">
        <v>6901.7361100000007</v>
      </c>
      <c r="J149" s="41">
        <v>7217.2825000000003</v>
      </c>
      <c r="K149" s="41">
        <v>7227.1991399999997</v>
      </c>
      <c r="L149" s="41">
        <v>7929.4390000000003</v>
      </c>
      <c r="M149" s="41">
        <v>7960.13</v>
      </c>
      <c r="N149" s="41">
        <v>78979.407000000007</v>
      </c>
      <c r="O149" s="41">
        <f t="shared" si="7"/>
        <v>81527.78344597941</v>
      </c>
      <c r="P149" s="41">
        <f t="shared" si="7"/>
        <v>84076.159891958814</v>
      </c>
      <c r="Q149" s="165"/>
      <c r="T149" s="34">
        <v>434</v>
      </c>
      <c r="U149" s="88" t="s">
        <v>463</v>
      </c>
      <c r="V149" s="41">
        <f>C149/'1. Väestöennuste'!E149*1000</f>
        <v>248.97132780353994</v>
      </c>
      <c r="W149" s="41">
        <f>D149/'1. Väestöennuste'!F149*1000</f>
        <v>359.54760652288269</v>
      </c>
      <c r="X149" s="41">
        <f>E149/'1. Väestöennuste'!G149*1000</f>
        <v>306.52966523036127</v>
      </c>
      <c r="Y149" s="41">
        <f>F149/'1. Väestöennuste'!H149*1000</f>
        <v>333.75864616211129</v>
      </c>
      <c r="Z149" s="41">
        <f>G149/'1. Väestöennuste'!I149*1000</f>
        <v>482.8053073382074</v>
      </c>
      <c r="AA149" s="41">
        <f>H149/'1. Väestöennuste'!J149*1000</f>
        <v>426.92438114615123</v>
      </c>
      <c r="AB149" s="41">
        <f>I149/'1. Väestöennuste'!K149*1000</f>
        <v>471.33347742948854</v>
      </c>
      <c r="AC149" s="41">
        <f>J149/'1. Väestöennuste'!L149*1000</f>
        <v>495.42027045579351</v>
      </c>
      <c r="AD149" s="41">
        <f>K149/'1. Väestöennuste'!M149*1000</f>
        <v>499.87544196984368</v>
      </c>
      <c r="AE149" s="41">
        <f>L149/'1. Väestöennuste'!N149*1000</f>
        <v>553.53849912739975</v>
      </c>
      <c r="AF149" s="41">
        <f>M149/'1. Väestöennuste'!O149*1000</f>
        <v>559.07641522685765</v>
      </c>
      <c r="AG149" s="41">
        <f>N149/'1. Väestöennuste'!P149*1000</f>
        <v>5580.4004098071082</v>
      </c>
      <c r="AH149" s="41">
        <f>O149/'1. Väestöennuste'!Q149*1000</f>
        <v>5791.1481351029561</v>
      </c>
      <c r="AI149" s="41">
        <f>P149/'1. Väestöennuste'!R149*1000</f>
        <v>6002.0102721272715</v>
      </c>
    </row>
    <row r="150" spans="1:35" x14ac:dyDescent="0.25">
      <c r="A150" s="30">
        <v>435</v>
      </c>
      <c r="B150" s="31" t="s">
        <v>464</v>
      </c>
      <c r="C150" s="41">
        <v>216</v>
      </c>
      <c r="D150" s="41">
        <v>203</v>
      </c>
      <c r="E150" s="41">
        <v>228</v>
      </c>
      <c r="F150" s="41">
        <v>228</v>
      </c>
      <c r="G150" s="41">
        <v>248</v>
      </c>
      <c r="H150" s="41">
        <v>233</v>
      </c>
      <c r="I150" s="165">
        <v>221.79288</v>
      </c>
      <c r="J150" s="41">
        <v>213.63135999999997</v>
      </c>
      <c r="K150" s="41">
        <v>187.51035999999999</v>
      </c>
      <c r="L150" s="41">
        <v>189.50200000000001</v>
      </c>
      <c r="M150" s="41">
        <v>189.50200000000001</v>
      </c>
      <c r="N150" s="41">
        <v>189.50200000000001</v>
      </c>
      <c r="O150" s="41">
        <f t="shared" si="7"/>
        <v>195.61653607477692</v>
      </c>
      <c r="P150" s="41">
        <f t="shared" si="7"/>
        <v>201.73107214955382</v>
      </c>
      <c r="Q150" s="165"/>
      <c r="T150" s="34">
        <v>435</v>
      </c>
      <c r="U150" s="88" t="s">
        <v>464</v>
      </c>
      <c r="V150" s="41">
        <f>C150/'1. Väestöennuste'!E150*1000</f>
        <v>283.83705650459922</v>
      </c>
      <c r="W150" s="41">
        <f>D150/'1. Väestöennuste'!F150*1000</f>
        <v>268.51851851851853</v>
      </c>
      <c r="X150" s="41">
        <f>E150/'1. Väestöennuste'!G150*1000</f>
        <v>310.62670299727517</v>
      </c>
      <c r="Y150" s="41">
        <f>F150/'1. Väestöennuste'!H150*1000</f>
        <v>322.48939179632248</v>
      </c>
      <c r="Z150" s="41">
        <f>G150/'1. Väestöennuste'!I150*1000</f>
        <v>359.42028985507244</v>
      </c>
      <c r="AA150" s="41">
        <f>H150/'1. Väestöennuste'!J150*1000</f>
        <v>333.33333333333331</v>
      </c>
      <c r="AB150" s="41">
        <f>I150/'1. Väestöennuste'!K150*1000</f>
        <v>315.49485064011378</v>
      </c>
      <c r="AC150" s="41">
        <f>J150/'1. Väestöennuste'!L150*1000</f>
        <v>308.71583815028896</v>
      </c>
      <c r="AD150" s="41">
        <f>K150/'1. Väestöennuste'!M150*1000</f>
        <v>267.10877492877495</v>
      </c>
      <c r="AE150" s="41">
        <f>L150/'1. Väestöennuste'!N150*1000</f>
        <v>275.83988355167395</v>
      </c>
      <c r="AF150" s="41">
        <f>M150/'1. Väestöennuste'!O150*1000</f>
        <v>277.45534407027822</v>
      </c>
      <c r="AG150" s="41">
        <f>N150/'1. Väestöennuste'!P150*1000</f>
        <v>277.45534407027822</v>
      </c>
      <c r="AH150" s="41">
        <f>O150/'1. Väestöennuste'!Q150*1000</f>
        <v>287.67137658055429</v>
      </c>
      <c r="AI150" s="41">
        <f>P150/'1. Väestöennuste'!R150*1000</f>
        <v>297.10025353395264</v>
      </c>
    </row>
    <row r="151" spans="1:35" x14ac:dyDescent="0.25">
      <c r="A151" s="30">
        <v>436</v>
      </c>
      <c r="B151" s="31" t="s">
        <v>465</v>
      </c>
      <c r="C151" s="41">
        <v>626</v>
      </c>
      <c r="D151" s="41">
        <v>571</v>
      </c>
      <c r="E151" s="41">
        <v>569</v>
      </c>
      <c r="F151" s="41">
        <v>885</v>
      </c>
      <c r="G151" s="41">
        <v>577</v>
      </c>
      <c r="H151" s="41">
        <v>1184</v>
      </c>
      <c r="I151" s="165">
        <v>805.03026</v>
      </c>
      <c r="J151" s="41">
        <v>673.83767</v>
      </c>
      <c r="K151" s="41">
        <v>727.63860999999997</v>
      </c>
      <c r="L151" s="41">
        <v>877.35900000000004</v>
      </c>
      <c r="M151" s="41">
        <v>943.9999499999999</v>
      </c>
      <c r="N151" s="41">
        <v>946.00067000000001</v>
      </c>
      <c r="O151" s="41">
        <f t="shared" si="7"/>
        <v>976.52464981803962</v>
      </c>
      <c r="P151" s="41">
        <f t="shared" si="7"/>
        <v>1007.0486296360791</v>
      </c>
      <c r="Q151" s="165"/>
      <c r="T151" s="34">
        <v>436</v>
      </c>
      <c r="U151" s="88" t="s">
        <v>465</v>
      </c>
      <c r="V151" s="41">
        <f>C151/'1. Väestöennuste'!E151*1000</f>
        <v>301.54142581888249</v>
      </c>
      <c r="W151" s="41">
        <f>D151/'1. Väestöennuste'!F151*1000</f>
        <v>271.25890736342046</v>
      </c>
      <c r="X151" s="41">
        <f>E151/'1. Väestöennuste'!G151*1000</f>
        <v>273.42623738587218</v>
      </c>
      <c r="Y151" s="41">
        <f>F151/'1. Väestöennuste'!H151*1000</f>
        <v>431.28654970760232</v>
      </c>
      <c r="Z151" s="41">
        <f>G151/'1. Väestöennuste'!I151*1000</f>
        <v>285.6435643564356</v>
      </c>
      <c r="AA151" s="41">
        <f>H151/'1. Väestöennuste'!J151*1000</f>
        <v>581.53241650294694</v>
      </c>
      <c r="AB151" s="41">
        <f>I151/'1. Väestöennuste'!K151*1000</f>
        <v>398.92480673934591</v>
      </c>
      <c r="AC151" s="41">
        <f>J151/'1. Väestöennuste'!L151*1000</f>
        <v>338.95255030181085</v>
      </c>
      <c r="AD151" s="41">
        <f>K151/'1. Väestöennuste'!M151*1000</f>
        <v>357.9137284800787</v>
      </c>
      <c r="AE151" s="41">
        <f>L151/'1. Väestöennuste'!N151*1000</f>
        <v>434.76660059464814</v>
      </c>
      <c r="AF151" s="41">
        <f>M151/'1. Väestöennuste'!O151*1000</f>
        <v>469.8854902936784</v>
      </c>
      <c r="AG151" s="41">
        <f>N151/'1. Väestöennuste'!P151*1000</f>
        <v>472.05622255489021</v>
      </c>
      <c r="AH151" s="41">
        <f>O151/'1. Väestöennuste'!Q151*1000</f>
        <v>488.99581863697529</v>
      </c>
      <c r="AI151" s="41">
        <f>P151/'1. Väestöennuste'!R151*1000</f>
        <v>505.54650082132491</v>
      </c>
    </row>
    <row r="152" spans="1:35" x14ac:dyDescent="0.25">
      <c r="A152" s="30">
        <v>440</v>
      </c>
      <c r="B152" s="31" t="s">
        <v>466</v>
      </c>
      <c r="C152" s="41">
        <v>1150</v>
      </c>
      <c r="D152" s="41">
        <v>1259</v>
      </c>
      <c r="E152" s="41">
        <v>1291</v>
      </c>
      <c r="F152" s="41">
        <v>1414</v>
      </c>
      <c r="G152" s="41">
        <v>1670</v>
      </c>
      <c r="H152" s="41">
        <v>1548</v>
      </c>
      <c r="I152" s="165">
        <v>1564.0905299999999</v>
      </c>
      <c r="J152" s="41">
        <v>1406.4635000000001</v>
      </c>
      <c r="K152" s="41">
        <v>1431.7189699999999</v>
      </c>
      <c r="L152" s="41">
        <v>1696.3230000000001</v>
      </c>
      <c r="M152" s="41">
        <v>1865.9553000000001</v>
      </c>
      <c r="N152" s="41">
        <v>1949.9233200000001</v>
      </c>
      <c r="O152" s="41">
        <f t="shared" si="7"/>
        <v>2012.8402099704954</v>
      </c>
      <c r="P152" s="41">
        <f t="shared" si="7"/>
        <v>2075.7570999409904</v>
      </c>
      <c r="Q152" s="165"/>
      <c r="T152" s="34">
        <v>440</v>
      </c>
      <c r="U152" s="88" t="s">
        <v>466</v>
      </c>
      <c r="V152" s="41">
        <f>C152/'1. Väestöennuste'!E152*1000</f>
        <v>223.43112492714201</v>
      </c>
      <c r="W152" s="41">
        <f>D152/'1. Väestöennuste'!F152*1000</f>
        <v>243.23802163833074</v>
      </c>
      <c r="X152" s="41">
        <f>E152/'1. Väestöennuste'!G152*1000</f>
        <v>245.25075987841947</v>
      </c>
      <c r="Y152" s="41">
        <f>F152/'1. Väestöennuste'!H152*1000</f>
        <v>264.79400749063672</v>
      </c>
      <c r="Z152" s="41">
        <f>G152/'1. Väestöennuste'!I152*1000</f>
        <v>308.28872069411113</v>
      </c>
      <c r="AA152" s="41">
        <f>H152/'1. Väestöennuste'!J152*1000</f>
        <v>279.72533429707266</v>
      </c>
      <c r="AB152" s="41">
        <f>I152/'1. Väestöennuste'!K152*1000</f>
        <v>278.20891675560301</v>
      </c>
      <c r="AC152" s="41">
        <f>J152/'1. Väestöennuste'!L152*1000</f>
        <v>245.37046406140965</v>
      </c>
      <c r="AD152" s="41">
        <f>K152/'1. Väestöennuste'!M152*1000</f>
        <v>245.03148553825088</v>
      </c>
      <c r="AE152" s="41">
        <f>L152/'1. Väestöennuste'!N152*1000</f>
        <v>289.22813299232735</v>
      </c>
      <c r="AF152" s="41">
        <f>M152/'1. Väestöennuste'!O152*1000</f>
        <v>314.29262253663472</v>
      </c>
      <c r="AG152" s="41">
        <f>N152/'1. Väestöennuste'!P152*1000</f>
        <v>324.60851007158317</v>
      </c>
      <c r="AH152" s="41">
        <f>O152/'1. Väestöennuste'!Q152*1000</f>
        <v>331.33172180584285</v>
      </c>
      <c r="AI152" s="41">
        <f>P152/'1. Väestöennuste'!R152*1000</f>
        <v>338.12625833865297</v>
      </c>
    </row>
    <row r="153" spans="1:35" x14ac:dyDescent="0.25">
      <c r="A153" s="30">
        <v>441</v>
      </c>
      <c r="B153" s="31" t="s">
        <v>467</v>
      </c>
      <c r="C153" s="41">
        <v>1823</v>
      </c>
      <c r="D153" s="41">
        <v>1828</v>
      </c>
      <c r="E153" s="41">
        <v>1925</v>
      </c>
      <c r="F153" s="41">
        <v>2098</v>
      </c>
      <c r="G153" s="41">
        <v>2201</v>
      </c>
      <c r="H153" s="41">
        <v>2287</v>
      </c>
      <c r="I153" s="165">
        <v>1909.49072</v>
      </c>
      <c r="J153" s="41">
        <v>1801.07205</v>
      </c>
      <c r="K153" s="41">
        <v>1741.5141999999998</v>
      </c>
      <c r="L153" s="41">
        <v>1683.7080000000001</v>
      </c>
      <c r="M153" s="41">
        <v>1595.57</v>
      </c>
      <c r="N153" s="41">
        <v>1536.8</v>
      </c>
      <c r="O153" s="41">
        <f t="shared" si="7"/>
        <v>1586.3869122210697</v>
      </c>
      <c r="P153" s="41">
        <f t="shared" si="7"/>
        <v>1635.9738244421394</v>
      </c>
      <c r="Q153" s="165"/>
      <c r="T153" s="34">
        <v>441</v>
      </c>
      <c r="U153" s="88" t="s">
        <v>467</v>
      </c>
      <c r="V153" s="41">
        <f>C153/'1. Väestöennuste'!E153*1000</f>
        <v>375.10288065843622</v>
      </c>
      <c r="W153" s="41">
        <f>D153/'1. Väestöennuste'!F153*1000</f>
        <v>378.38956737735458</v>
      </c>
      <c r="X153" s="41">
        <f>E153/'1. Väestöennuste'!G153*1000</f>
        <v>405.51927533178849</v>
      </c>
      <c r="Y153" s="41">
        <f>F153/'1. Väestöennuste'!H153*1000</f>
        <v>450.02145002144999</v>
      </c>
      <c r="Z153" s="41">
        <f>G153/'1. Väestöennuste'!I153*1000</f>
        <v>474.76272648835203</v>
      </c>
      <c r="AA153" s="41">
        <f>H153/'1. Väestöennuste'!J153*1000</f>
        <v>503.41184239489326</v>
      </c>
      <c r="AB153" s="41">
        <f>I153/'1. Väestöennuste'!K153*1000</f>
        <v>426.8926268723452</v>
      </c>
      <c r="AC153" s="41">
        <f>J153/'1. Väestöennuste'!L153*1000</f>
        <v>407.3901945261253</v>
      </c>
      <c r="AD153" s="41">
        <f>K153/'1. Väestöennuste'!M153*1000</f>
        <v>396.15882620564145</v>
      </c>
      <c r="AE153" s="41">
        <f>L153/'1. Väestöennuste'!N153*1000</f>
        <v>391.92458100558662</v>
      </c>
      <c r="AF153" s="41">
        <f>M153/'1. Väestöennuste'!O153*1000</f>
        <v>375.87043580683155</v>
      </c>
      <c r="AG153" s="41">
        <f>N153/'1. Väestöennuste'!P153*1000</f>
        <v>366.07908527870416</v>
      </c>
      <c r="AH153" s="41">
        <f>O153/'1. Väestöennuste'!Q153*1000</f>
        <v>382.26190655929389</v>
      </c>
      <c r="AI153" s="41">
        <f>P153/'1. Väestöennuste'!R153*1000</f>
        <v>398.72625504317318</v>
      </c>
    </row>
    <row r="154" spans="1:35" x14ac:dyDescent="0.25">
      <c r="A154" s="30">
        <v>444</v>
      </c>
      <c r="B154" s="31" t="s">
        <v>468</v>
      </c>
      <c r="C154" s="41">
        <v>14033</v>
      </c>
      <c r="D154" s="41">
        <v>16924</v>
      </c>
      <c r="E154" s="41">
        <v>13996</v>
      </c>
      <c r="F154" s="41">
        <v>15801</v>
      </c>
      <c r="G154" s="41">
        <v>15919</v>
      </c>
      <c r="H154" s="41">
        <v>19350</v>
      </c>
      <c r="I154" s="165">
        <v>15788.16315</v>
      </c>
      <c r="J154" s="41">
        <v>17173.28528</v>
      </c>
      <c r="K154" s="41">
        <v>17688.733130000001</v>
      </c>
      <c r="L154" s="41">
        <v>17500.5</v>
      </c>
      <c r="M154" s="41">
        <v>18000</v>
      </c>
      <c r="N154" s="41">
        <v>19475</v>
      </c>
      <c r="O154" s="41">
        <f t="shared" si="7"/>
        <v>20103.386983020129</v>
      </c>
      <c r="P154" s="41">
        <f t="shared" si="7"/>
        <v>20731.773966040259</v>
      </c>
      <c r="Q154" s="165"/>
      <c r="T154" s="34">
        <v>444</v>
      </c>
      <c r="U154" s="88" t="s">
        <v>468</v>
      </c>
      <c r="V154" s="41">
        <f>C154/'1. Väestöennuste'!E154*1000</f>
        <v>296.34870018795004</v>
      </c>
      <c r="W154" s="41">
        <f>D154/'1. Väestöennuste'!F154*1000</f>
        <v>358.94716749029669</v>
      </c>
      <c r="X154" s="41">
        <f>E154/'1. Väestöennuste'!G154*1000</f>
        <v>299.15571230095117</v>
      </c>
      <c r="Y154" s="41">
        <f>F154/'1. Väestöennuste'!H154*1000</f>
        <v>341.30378434421982</v>
      </c>
      <c r="Z154" s="41">
        <f>G154/'1. Väestöennuste'!I154*1000</f>
        <v>346.32872838028931</v>
      </c>
      <c r="AA154" s="41">
        <f>H154/'1. Väestöennuste'!J154*1000</f>
        <v>421.69724970579261</v>
      </c>
      <c r="AB154" s="41">
        <f>I154/'1. Väestöennuste'!K154*1000</f>
        <v>343.31049730364441</v>
      </c>
      <c r="AC154" s="41">
        <f>J154/'1. Väestöennuste'!L154*1000</f>
        <v>374.87252581257775</v>
      </c>
      <c r="AD154" s="41">
        <f>K154/'1. Väestöennuste'!M154*1000</f>
        <v>387.52838492715523</v>
      </c>
      <c r="AE154" s="41">
        <f>L154/'1. Väestöennuste'!N154*1000</f>
        <v>389.79219101498984</v>
      </c>
      <c r="AF154" s="41">
        <f>M154/'1. Väestöennuste'!O154*1000</f>
        <v>402.96402426738905</v>
      </c>
      <c r="AG154" s="41">
        <f>N154/'1. Väestöennuste'!P154*1000</f>
        <v>438.12287687566084</v>
      </c>
      <c r="AH154" s="41">
        <f>O154/'1. Väestöennuste'!Q154*1000</f>
        <v>454.38571035011483</v>
      </c>
      <c r="AI154" s="41">
        <f>P154/'1. Väestöennuste'!R154*1000</f>
        <v>470.67391572729719</v>
      </c>
    </row>
    <row r="155" spans="1:35" x14ac:dyDescent="0.25">
      <c r="A155" s="30">
        <v>445</v>
      </c>
      <c r="B155" s="31" t="s">
        <v>469</v>
      </c>
      <c r="C155" s="41">
        <v>4307</v>
      </c>
      <c r="D155" s="41">
        <v>4718</v>
      </c>
      <c r="E155" s="41">
        <v>4703</v>
      </c>
      <c r="F155" s="41">
        <v>4960</v>
      </c>
      <c r="G155" s="41">
        <v>4997</v>
      </c>
      <c r="H155" s="41">
        <v>4881</v>
      </c>
      <c r="I155" s="165">
        <v>5148.7513799999997</v>
      </c>
      <c r="J155" s="41">
        <v>4823.2315899999994</v>
      </c>
      <c r="K155" s="41">
        <v>7470.4515799999999</v>
      </c>
      <c r="L155" s="41">
        <v>5300</v>
      </c>
      <c r="M155" s="41">
        <v>5500</v>
      </c>
      <c r="N155" s="41">
        <v>5800</v>
      </c>
      <c r="O155" s="41">
        <f t="shared" si="7"/>
        <v>5987.1447754308983</v>
      </c>
      <c r="P155" s="41">
        <f t="shared" si="7"/>
        <v>6174.2895508617967</v>
      </c>
      <c r="Q155" s="165"/>
      <c r="T155" s="34">
        <v>445</v>
      </c>
      <c r="U155" s="88" t="s">
        <v>469</v>
      </c>
      <c r="V155" s="41">
        <f>C155/'1. Väestöennuste'!E155*1000</f>
        <v>278.64398007375303</v>
      </c>
      <c r="W155" s="41">
        <f>D155/'1. Väestöennuste'!F155*1000</f>
        <v>306.40342901675541</v>
      </c>
      <c r="X155" s="41">
        <f>E155/'1. Väestöennuste'!G155*1000</f>
        <v>307.68727510631339</v>
      </c>
      <c r="Y155" s="41">
        <f>F155/'1. Väestöennuste'!H155*1000</f>
        <v>325.95123874613921</v>
      </c>
      <c r="Z155" s="41">
        <f>G155/'1. Väestöennuste'!I155*1000</f>
        <v>330.22733280465241</v>
      </c>
      <c r="AA155" s="41">
        <f>H155/'1. Väestöennuste'!J155*1000</f>
        <v>323.13803376365439</v>
      </c>
      <c r="AB155" s="41">
        <f>I155/'1. Väestöennuste'!K155*1000</f>
        <v>341.29334349728225</v>
      </c>
      <c r="AC155" s="41">
        <f>J155/'1. Väestöennuste'!L155*1000</f>
        <v>321.74181775732103</v>
      </c>
      <c r="AD155" s="41">
        <f>K155/'1. Väestöennuste'!M155*1000</f>
        <v>498.06330955397027</v>
      </c>
      <c r="AE155" s="41">
        <f>L155/'1. Väestöennuste'!N155*1000</f>
        <v>357.96298797784681</v>
      </c>
      <c r="AF155" s="41">
        <f>M155/'1. Väestöennuste'!O155*1000</f>
        <v>373.10901567057863</v>
      </c>
      <c r="AG155" s="41">
        <f>N155/'1. Väestöennuste'!P155*1000</f>
        <v>395.12228353430066</v>
      </c>
      <c r="AH155" s="41">
        <f>O155/'1. Väestöennuste'!Q155*1000</f>
        <v>409.48941764796513</v>
      </c>
      <c r="AI155" s="41">
        <f>P155/'1. Väestöennuste'!R155*1000</f>
        <v>423.97099161311519</v>
      </c>
    </row>
    <row r="156" spans="1:35" x14ac:dyDescent="0.25">
      <c r="A156" s="30">
        <v>475</v>
      </c>
      <c r="B156" s="31" t="s">
        <v>470</v>
      </c>
      <c r="C156" s="41">
        <v>1724</v>
      </c>
      <c r="D156" s="41">
        <v>2433</v>
      </c>
      <c r="E156" s="41">
        <v>1892</v>
      </c>
      <c r="F156" s="41">
        <v>1875</v>
      </c>
      <c r="G156" s="41">
        <v>1989</v>
      </c>
      <c r="H156" s="41">
        <v>2106</v>
      </c>
      <c r="I156" s="165">
        <v>2347.6622200000002</v>
      </c>
      <c r="J156" s="41">
        <v>2297.9837400000001</v>
      </c>
      <c r="K156" s="41">
        <v>2359.4965899999997</v>
      </c>
      <c r="L156" s="41">
        <v>2500</v>
      </c>
      <c r="M156" s="41">
        <v>2500</v>
      </c>
      <c r="N156" s="41">
        <v>2600</v>
      </c>
      <c r="O156" s="41">
        <f t="shared" si="7"/>
        <v>2683.8924855379892</v>
      </c>
      <c r="P156" s="41">
        <f t="shared" si="7"/>
        <v>2767.7849710759779</v>
      </c>
      <c r="Q156" s="165"/>
      <c r="T156" s="34">
        <v>475</v>
      </c>
      <c r="U156" s="88" t="s">
        <v>470</v>
      </c>
      <c r="V156" s="41">
        <f>C156/'1. Väestöennuste'!E156*1000</f>
        <v>310.91073038773669</v>
      </c>
      <c r="W156" s="41">
        <f>D156/'1. Väestöennuste'!F156*1000</f>
        <v>441.00054377379013</v>
      </c>
      <c r="X156" s="41">
        <f>E156/'1. Väestöennuste'!G156*1000</f>
        <v>345.44458645243748</v>
      </c>
      <c r="Y156" s="41">
        <f>F156/'1. Väestöennuste'!H156*1000</f>
        <v>342.34069746211429</v>
      </c>
      <c r="Z156" s="41">
        <f>G156/'1. Väestöennuste'!I156*1000</f>
        <v>363.28767123287668</v>
      </c>
      <c r="AA156" s="41">
        <f>H156/'1. Väestöennuste'!J156*1000</f>
        <v>386.35112823335169</v>
      </c>
      <c r="AB156" s="41">
        <f>I156/'1. Väestöennuste'!K156*1000</f>
        <v>427.85897940586841</v>
      </c>
      <c r="AC156" s="41">
        <f>J156/'1. Väestöennuste'!L156*1000</f>
        <v>419.41663442233983</v>
      </c>
      <c r="AD156" s="41">
        <f>K156/'1. Väestöennuste'!M156*1000</f>
        <v>432.4590524193548</v>
      </c>
      <c r="AE156" s="41">
        <f>L156/'1. Väestöennuste'!N156*1000</f>
        <v>462.96296296296299</v>
      </c>
      <c r="AF156" s="41">
        <f>M156/'1. Väestöennuste'!O156*1000</f>
        <v>463.9940608760208</v>
      </c>
      <c r="AG156" s="41">
        <f>N156/'1. Väestöennuste'!P156*1000</f>
        <v>483.63095238095241</v>
      </c>
      <c r="AH156" s="41">
        <f>O156/'1. Väestöennuste'!Q156*1000</f>
        <v>500.53944154009503</v>
      </c>
      <c r="AI156" s="41">
        <f>P156/'1. Väestöennuste'!R156*1000</f>
        <v>518.21474837595542</v>
      </c>
    </row>
    <row r="157" spans="1:35" x14ac:dyDescent="0.25">
      <c r="A157" s="30">
        <v>480</v>
      </c>
      <c r="B157" s="31" t="s">
        <v>471</v>
      </c>
      <c r="C157" s="41">
        <v>422</v>
      </c>
      <c r="D157" s="41">
        <v>423</v>
      </c>
      <c r="E157" s="41">
        <v>408</v>
      </c>
      <c r="F157" s="41">
        <v>432</v>
      </c>
      <c r="G157" s="41">
        <v>442</v>
      </c>
      <c r="H157" s="41">
        <v>464</v>
      </c>
      <c r="I157" s="165">
        <v>458.51284999999996</v>
      </c>
      <c r="J157" s="41">
        <v>508.50675999999999</v>
      </c>
      <c r="K157" s="41">
        <v>508.74480999999997</v>
      </c>
      <c r="L157" s="41">
        <v>546.47</v>
      </c>
      <c r="M157" s="41">
        <v>540</v>
      </c>
      <c r="N157" s="41">
        <v>540</v>
      </c>
      <c r="O157" s="41">
        <f t="shared" si="7"/>
        <v>557.42382391942851</v>
      </c>
      <c r="P157" s="41">
        <f t="shared" si="7"/>
        <v>574.84764783885691</v>
      </c>
      <c r="Q157" s="165"/>
      <c r="T157" s="34">
        <v>480</v>
      </c>
      <c r="U157" s="88" t="s">
        <v>471</v>
      </c>
      <c r="V157" s="41">
        <f>C157/'1. Väestöennuste'!E157*1000</f>
        <v>208.08678500986193</v>
      </c>
      <c r="W157" s="41">
        <f>D157/'1. Väestöennuste'!F157*1000</f>
        <v>209.30232558139537</v>
      </c>
      <c r="X157" s="41">
        <f>E157/'1. Väestöennuste'!G157*1000</f>
        <v>205.23138832997989</v>
      </c>
      <c r="Y157" s="41">
        <f>F157/'1. Väestöennuste'!H157*1000</f>
        <v>214.07333994053519</v>
      </c>
      <c r="Z157" s="41">
        <f>G157/'1. Väestöennuste'!I157*1000</f>
        <v>219.57277694982614</v>
      </c>
      <c r="AA157" s="41">
        <f>H157/'1. Väestöennuste'!J157*1000</f>
        <v>232.11605802901451</v>
      </c>
      <c r="AB157" s="41">
        <f>I157/'1. Väestöennuste'!K157*1000</f>
        <v>230.4084673366834</v>
      </c>
      <c r="AC157" s="41">
        <f>J157/'1. Väestöennuste'!L157*1000</f>
        <v>257.08127401415572</v>
      </c>
      <c r="AD157" s="41">
        <f>K157/'1. Väestöennuste'!M157*1000</f>
        <v>263.59834715025903</v>
      </c>
      <c r="AE157" s="41">
        <f>L157/'1. Väestöennuste'!N157*1000</f>
        <v>275.85562847046947</v>
      </c>
      <c r="AF157" s="41">
        <f>M157/'1. Väestöennuste'!O157*1000</f>
        <v>273.14112291350528</v>
      </c>
      <c r="AG157" s="41">
        <f>N157/'1. Väestöennuste'!P157*1000</f>
        <v>273.5562310030395</v>
      </c>
      <c r="AH157" s="41">
        <f>O157/'1. Väestöennuste'!Q157*1000</f>
        <v>283.09996136080679</v>
      </c>
      <c r="AI157" s="41">
        <f>P157/'1. Väestöennuste'!R157*1000</f>
        <v>293.14005499176795</v>
      </c>
    </row>
    <row r="158" spans="1:35" x14ac:dyDescent="0.25">
      <c r="A158" s="30">
        <v>481</v>
      </c>
      <c r="B158" s="31" t="s">
        <v>472</v>
      </c>
      <c r="C158" s="41">
        <v>2600</v>
      </c>
      <c r="D158" s="41">
        <v>4319</v>
      </c>
      <c r="E158" s="41">
        <v>2092</v>
      </c>
      <c r="F158" s="41">
        <v>2202</v>
      </c>
      <c r="G158" s="41">
        <v>2341</v>
      </c>
      <c r="H158" s="41">
        <v>3212</v>
      </c>
      <c r="I158" s="165">
        <v>3299.5727999999999</v>
      </c>
      <c r="J158" s="41">
        <v>3341.6385599999999</v>
      </c>
      <c r="K158" s="41">
        <v>3022.80699</v>
      </c>
      <c r="L158" s="41">
        <v>2940.9070000000002</v>
      </c>
      <c r="M158" s="41">
        <v>2940</v>
      </c>
      <c r="N158" s="41">
        <v>2940</v>
      </c>
      <c r="O158" s="41">
        <f t="shared" si="7"/>
        <v>3034.8630413391106</v>
      </c>
      <c r="P158" s="41">
        <f t="shared" si="7"/>
        <v>3129.7260826782212</v>
      </c>
      <c r="Q158" s="165"/>
      <c r="T158" s="34">
        <v>481</v>
      </c>
      <c r="U158" s="88" t="s">
        <v>472</v>
      </c>
      <c r="V158" s="41">
        <f>C158/'1. Väestöennuste'!E158*1000</f>
        <v>267.87554090253451</v>
      </c>
      <c r="W158" s="41">
        <f>D158/'1. Väestöennuste'!F158*1000</f>
        <v>446.40826873385015</v>
      </c>
      <c r="X158" s="41">
        <f>E158/'1. Väestöennuste'!G158*1000</f>
        <v>216.65285832642917</v>
      </c>
      <c r="Y158" s="41">
        <f>F158/'1. Väestöennuste'!H158*1000</f>
        <v>230.47938036424534</v>
      </c>
      <c r="Z158" s="41">
        <f>G158/'1. Väestöennuste'!I158*1000</f>
        <v>245.54226977134465</v>
      </c>
      <c r="AA158" s="41">
        <f>H158/'1. Väestöennuste'!J158*1000</f>
        <v>336.58178769778897</v>
      </c>
      <c r="AB158" s="41">
        <f>I158/'1. Väestöennuste'!K158*1000</f>
        <v>343.27640449438201</v>
      </c>
      <c r="AC158" s="41">
        <f>J158/'1. Väestöennuste'!L158*1000</f>
        <v>346.57110143123833</v>
      </c>
      <c r="AD158" s="41">
        <f>K158/'1. Väestöennuste'!M158*1000</f>
        <v>314.25376754340368</v>
      </c>
      <c r="AE158" s="41">
        <f>L158/'1. Väestöennuste'!N158*1000</f>
        <v>310.41872493139118</v>
      </c>
      <c r="AF158" s="41">
        <f>M158/'1. Väestöennuste'!O158*1000</f>
        <v>310.91370558375638</v>
      </c>
      <c r="AG158" s="41">
        <f>N158/'1. Väestöennuste'!P158*1000</f>
        <v>311.37470874814659</v>
      </c>
      <c r="AH158" s="41">
        <f>O158/'1. Väestöennuste'!Q158*1000</f>
        <v>321.79652649126399</v>
      </c>
      <c r="AI158" s="41">
        <f>P158/'1. Väestöennuste'!R158*1000</f>
        <v>332.17215906158157</v>
      </c>
    </row>
    <row r="159" spans="1:35" x14ac:dyDescent="0.25">
      <c r="A159" s="30">
        <v>483</v>
      </c>
      <c r="B159" s="31" t="s">
        <v>473</v>
      </c>
      <c r="C159" s="41">
        <v>390</v>
      </c>
      <c r="D159" s="41">
        <v>384</v>
      </c>
      <c r="E159" s="41">
        <v>353</v>
      </c>
      <c r="F159" s="41">
        <v>403</v>
      </c>
      <c r="G159" s="41">
        <v>399</v>
      </c>
      <c r="H159" s="41">
        <v>397</v>
      </c>
      <c r="I159" s="165">
        <v>389.26537999999999</v>
      </c>
      <c r="J159" s="41">
        <v>384.14438000000001</v>
      </c>
      <c r="K159" s="41">
        <v>342.53934000000004</v>
      </c>
      <c r="L159" s="41">
        <v>315.20999999999998</v>
      </c>
      <c r="M159" s="41">
        <v>315.20999999999998</v>
      </c>
      <c r="N159" s="41">
        <v>315.20999999999998</v>
      </c>
      <c r="O159" s="41">
        <f t="shared" si="7"/>
        <v>325.38067321785746</v>
      </c>
      <c r="P159" s="41">
        <f t="shared" si="7"/>
        <v>335.55134643571495</v>
      </c>
      <c r="Q159" s="165"/>
      <c r="T159" s="34">
        <v>483</v>
      </c>
      <c r="U159" s="88" t="s">
        <v>473</v>
      </c>
      <c r="V159" s="41">
        <f>C159/'1. Väestöennuste'!E159*1000</f>
        <v>343.9153439153439</v>
      </c>
      <c r="W159" s="41">
        <f>D159/'1. Väestöennuste'!F159*1000</f>
        <v>339.52254641909815</v>
      </c>
      <c r="X159" s="41">
        <f>E159/'1. Väestöennuste'!G159*1000</f>
        <v>315.46023235031276</v>
      </c>
      <c r="Y159" s="41">
        <f>F159/'1. Väestöennuste'!H159*1000</f>
        <v>365.036231884058</v>
      </c>
      <c r="Z159" s="41">
        <f>G159/'1. Väestöennuste'!I159*1000</f>
        <v>366.39118457300276</v>
      </c>
      <c r="AA159" s="41">
        <f>H159/'1. Väestöennuste'!J159*1000</f>
        <v>368.27458256029684</v>
      </c>
      <c r="AB159" s="41">
        <f>I159/'1. Väestöennuste'!K159*1000</f>
        <v>361.7707992565056</v>
      </c>
      <c r="AC159" s="41">
        <f>J159/'1. Väestöennuste'!L159*1000</f>
        <v>360.02284910965324</v>
      </c>
      <c r="AD159" s="41">
        <f>K159/'1. Väestöennuste'!M159*1000</f>
        <v>324.68183886255929</v>
      </c>
      <c r="AE159" s="41">
        <f>L159/'1. Väestöennuste'!N159*1000</f>
        <v>309.02941176470591</v>
      </c>
      <c r="AF159" s="41">
        <f>M159/'1. Väestöennuste'!O159*1000</f>
        <v>313.33001988071567</v>
      </c>
      <c r="AG159" s="41">
        <f>N159/'1. Väestöennuste'!P159*1000</f>
        <v>317.43202416918427</v>
      </c>
      <c r="AH159" s="41">
        <f>O159/'1. Väestöennuste'!Q159*1000</f>
        <v>332.3602382204877</v>
      </c>
      <c r="AI159" s="41">
        <f>P159/'1. Väestöennuste'!R159*1000</f>
        <v>346.28621923190394</v>
      </c>
    </row>
    <row r="160" spans="1:35" x14ac:dyDescent="0.25">
      <c r="A160" s="30">
        <v>484</v>
      </c>
      <c r="B160" s="31" t="s">
        <v>474</v>
      </c>
      <c r="C160" s="41">
        <v>1142</v>
      </c>
      <c r="D160" s="41">
        <v>1174</v>
      </c>
      <c r="E160" s="41">
        <v>1154</v>
      </c>
      <c r="F160" s="41">
        <v>1280</v>
      </c>
      <c r="G160" s="41">
        <v>1322</v>
      </c>
      <c r="H160" s="41">
        <v>1337</v>
      </c>
      <c r="I160" s="165">
        <v>1229.3732500000001</v>
      </c>
      <c r="J160" s="41">
        <v>1257.4618799999998</v>
      </c>
      <c r="K160" s="41">
        <v>1371.9782299999999</v>
      </c>
      <c r="L160" s="41">
        <v>1418.162</v>
      </c>
      <c r="M160" s="41">
        <v>1300</v>
      </c>
      <c r="N160" s="41">
        <v>1300</v>
      </c>
      <c r="O160" s="41">
        <f t="shared" si="7"/>
        <v>1341.9462427689946</v>
      </c>
      <c r="P160" s="41">
        <f t="shared" si="7"/>
        <v>1383.8924855379889</v>
      </c>
      <c r="Q160" s="165"/>
      <c r="T160" s="34">
        <v>484</v>
      </c>
      <c r="U160" s="88" t="s">
        <v>474</v>
      </c>
      <c r="V160" s="41">
        <f>C160/'1. Väestöennuste'!E160*1000</f>
        <v>358.55572998430142</v>
      </c>
      <c r="W160" s="41">
        <f>D160/'1. Väestöennuste'!F160*1000</f>
        <v>370.46386872830544</v>
      </c>
      <c r="X160" s="41">
        <f>E160/'1. Väestöennuste'!G160*1000</f>
        <v>365.65272496831432</v>
      </c>
      <c r="Y160" s="41">
        <f>F160/'1. Väestöennuste'!H160*1000</f>
        <v>410.91492776886037</v>
      </c>
      <c r="Z160" s="41">
        <f>G160/'1. Väestöennuste'!I160*1000</f>
        <v>431.04010433648517</v>
      </c>
      <c r="AA160" s="41">
        <f>H160/'1. Väestöennuste'!J160*1000</f>
        <v>436.07305936073061</v>
      </c>
      <c r="AB160" s="41">
        <f>I160/'1. Väestöennuste'!K160*1000</f>
        <v>402.41350245499183</v>
      </c>
      <c r="AC160" s="41">
        <f>J160/'1. Väestöennuste'!L160*1000</f>
        <v>423.81593528816978</v>
      </c>
      <c r="AD160" s="41">
        <f>K160/'1. Väestöennuste'!M160*1000</f>
        <v>462.56851989211054</v>
      </c>
      <c r="AE160" s="41">
        <f>L160/'1. Väestöennuste'!N160*1000</f>
        <v>475.73364642737334</v>
      </c>
      <c r="AF160" s="41">
        <f>M160/'1. Väestöennuste'!O160*1000</f>
        <v>438.44856661045532</v>
      </c>
      <c r="AG160" s="41">
        <f>N160/'1. Väestöennuste'!P160*1000</f>
        <v>440.67796610169489</v>
      </c>
      <c r="AH160" s="41">
        <f>O160/'1. Väestöennuste'!Q160*1000</f>
        <v>457.53366613330877</v>
      </c>
      <c r="AI160" s="41">
        <f>P160/'1. Väestöennuste'!R160*1000</f>
        <v>474.09814509694718</v>
      </c>
    </row>
    <row r="161" spans="1:35" x14ac:dyDescent="0.25">
      <c r="A161" s="30">
        <v>489</v>
      </c>
      <c r="B161" s="31" t="s">
        <v>475</v>
      </c>
      <c r="C161" s="41">
        <v>679</v>
      </c>
      <c r="D161" s="41">
        <v>816</v>
      </c>
      <c r="E161" s="41">
        <v>858</v>
      </c>
      <c r="F161" s="41">
        <v>936</v>
      </c>
      <c r="G161" s="41">
        <v>913</v>
      </c>
      <c r="H161" s="41">
        <v>962</v>
      </c>
      <c r="I161" s="165">
        <v>963.81743999999992</v>
      </c>
      <c r="J161" s="41">
        <v>971.60185999999999</v>
      </c>
      <c r="K161" s="41">
        <v>1012.94912</v>
      </c>
      <c r="L161" s="41">
        <v>1087.3</v>
      </c>
      <c r="M161" s="41">
        <v>1087.3</v>
      </c>
      <c r="N161" s="41">
        <v>1087.3</v>
      </c>
      <c r="O161" s="41">
        <f t="shared" si="7"/>
        <v>1122.3831921251751</v>
      </c>
      <c r="P161" s="41">
        <f t="shared" si="7"/>
        <v>1157.4663842503503</v>
      </c>
      <c r="Q161" s="165"/>
      <c r="T161" s="34">
        <v>489</v>
      </c>
      <c r="U161" s="88" t="s">
        <v>475</v>
      </c>
      <c r="V161" s="41">
        <f>C161/'1. Väestöennuste'!E161*1000</f>
        <v>325.65947242206232</v>
      </c>
      <c r="W161" s="41">
        <f>D161/'1. Väestöennuste'!F161*1000</f>
        <v>401.17994100294987</v>
      </c>
      <c r="X161" s="41">
        <f>E161/'1. Väestöennuste'!G161*1000</f>
        <v>430.7228915662651</v>
      </c>
      <c r="Y161" s="41">
        <f>F161/'1. Väestöennuste'!H161*1000</f>
        <v>482.4742268041237</v>
      </c>
      <c r="Z161" s="41">
        <f>G161/'1. Väestöennuste'!I161*1000</f>
        <v>491.65320409262256</v>
      </c>
      <c r="AA161" s="41">
        <f>H161/'1. Väestöennuste'!J161*1000</f>
        <v>514.98929336188439</v>
      </c>
      <c r="AB161" s="41">
        <f>I161/'1. Väestöennuste'!K161*1000</f>
        <v>525.24111171662128</v>
      </c>
      <c r="AC161" s="41">
        <f>J161/'1. Väestöennuste'!L161*1000</f>
        <v>542.4912674483528</v>
      </c>
      <c r="AD161" s="41">
        <f>K161/'1. Väestöennuste'!M161*1000</f>
        <v>578.16730593607303</v>
      </c>
      <c r="AE161" s="41">
        <f>L161/'1. Väestöennuste'!N161*1000</f>
        <v>628.86061307113937</v>
      </c>
      <c r="AF161" s="41">
        <f>M161/'1. Väestöennuste'!O161*1000</f>
        <v>638.83666274970619</v>
      </c>
      <c r="AG161" s="41">
        <f>N161/'1. Väestöennuste'!P161*1000</f>
        <v>649.1343283582089</v>
      </c>
      <c r="AH161" s="41">
        <f>O161/'1. Väestöennuste'!Q161*1000</f>
        <v>680.64474962108852</v>
      </c>
      <c r="AI161" s="41">
        <f>P161/'1. Väestöennuste'!R161*1000</f>
        <v>712.28700569252328</v>
      </c>
    </row>
    <row r="162" spans="1:35" x14ac:dyDescent="0.25">
      <c r="A162" s="30">
        <v>491</v>
      </c>
      <c r="B162" s="31" t="s">
        <v>476</v>
      </c>
      <c r="C162" s="41">
        <v>18589</v>
      </c>
      <c r="D162" s="41">
        <v>17256</v>
      </c>
      <c r="E162" s="41">
        <v>23216</v>
      </c>
      <c r="F162" s="41">
        <v>17644</v>
      </c>
      <c r="G162" s="41">
        <v>21474</v>
      </c>
      <c r="H162" s="41">
        <v>20423</v>
      </c>
      <c r="I162" s="165">
        <v>21664.051719999999</v>
      </c>
      <c r="J162" s="41">
        <v>22377.88551</v>
      </c>
      <c r="K162" s="41">
        <v>23443.94283</v>
      </c>
      <c r="L162" s="41">
        <v>21700</v>
      </c>
      <c r="M162" s="41">
        <v>21000</v>
      </c>
      <c r="N162" s="41">
        <v>21000</v>
      </c>
      <c r="O162" s="41">
        <f t="shared" si="7"/>
        <v>21677.593152422218</v>
      </c>
      <c r="P162" s="41">
        <f t="shared" si="7"/>
        <v>22355.186304844436</v>
      </c>
      <c r="Q162" s="165"/>
      <c r="T162" s="34">
        <v>491</v>
      </c>
      <c r="U162" s="88" t="s">
        <v>476</v>
      </c>
      <c r="V162" s="41">
        <f>C162/'1. Väestöennuste'!E162*1000</f>
        <v>340.053050397878</v>
      </c>
      <c r="W162" s="41">
        <f>D162/'1. Väestöennuste'!F162*1000</f>
        <v>316.52512060458207</v>
      </c>
      <c r="X162" s="41">
        <f>E162/'1. Väestöennuste'!G162*1000</f>
        <v>427.85794585429682</v>
      </c>
      <c r="Y162" s="41">
        <f>F162/'1. Väestöennuste'!H162*1000</f>
        <v>327.8457021814263</v>
      </c>
      <c r="Z162" s="41">
        <f>G162/'1. Väestöennuste'!I162*1000</f>
        <v>404.14800316181731</v>
      </c>
      <c r="AA162" s="41">
        <f>H162/'1. Väestöennuste'!J162*1000</f>
        <v>388.39548903638058</v>
      </c>
      <c r="AB162" s="41">
        <f>I162/'1. Väestöennuste'!K162*1000</f>
        <v>415.64122098154326</v>
      </c>
      <c r="AC162" s="41">
        <f>J162/'1. Väestöennuste'!L162*1000</f>
        <v>430.50953270488651</v>
      </c>
      <c r="AD162" s="41">
        <f>K162/'1. Väestöennuste'!M162*1000</f>
        <v>451.5484279358231</v>
      </c>
      <c r="AE162" s="41">
        <f>L162/'1. Väestöennuste'!N162*1000</f>
        <v>425.64042210976419</v>
      </c>
      <c r="AF162" s="41">
        <f>M162/'1. Väestöennuste'!O162*1000</f>
        <v>415.11820985213882</v>
      </c>
      <c r="AG162" s="41">
        <f>N162/'1. Väestöennuste'!P162*1000</f>
        <v>418.38503376964911</v>
      </c>
      <c r="AH162" s="41">
        <f>O162/'1. Väestöennuste'!Q162*1000</f>
        <v>435.19690735825856</v>
      </c>
      <c r="AI162" s="41">
        <f>P162/'1. Väestöennuste'!R162*1000</f>
        <v>452.25033490814337</v>
      </c>
    </row>
    <row r="163" spans="1:35" x14ac:dyDescent="0.25">
      <c r="A163" s="30">
        <v>494</v>
      </c>
      <c r="B163" s="31" t="s">
        <v>477</v>
      </c>
      <c r="C163" s="41">
        <v>2494</v>
      </c>
      <c r="D163" s="41">
        <v>3041</v>
      </c>
      <c r="E163" s="41">
        <v>3624</v>
      </c>
      <c r="F163" s="41">
        <v>3368</v>
      </c>
      <c r="G163" s="41">
        <v>3419</v>
      </c>
      <c r="H163" s="41">
        <v>8532</v>
      </c>
      <c r="I163" s="165">
        <v>3483.57303</v>
      </c>
      <c r="J163" s="41">
        <v>3962.88573</v>
      </c>
      <c r="K163" s="41">
        <v>3987.4988699999999</v>
      </c>
      <c r="L163" s="41">
        <v>3772.424</v>
      </c>
      <c r="M163" s="41">
        <v>3960.424</v>
      </c>
      <c r="N163" s="41">
        <v>4282.424</v>
      </c>
      <c r="O163" s="41">
        <f t="shared" si="7"/>
        <v>4420.6021513413607</v>
      </c>
      <c r="P163" s="41">
        <f t="shared" si="7"/>
        <v>4558.7803026827205</v>
      </c>
      <c r="Q163" s="165"/>
      <c r="T163" s="34">
        <v>494</v>
      </c>
      <c r="U163" s="88" t="s">
        <v>477</v>
      </c>
      <c r="V163" s="41">
        <f>C163/'1. Väestöennuste'!E163*1000</f>
        <v>275.18481738938544</v>
      </c>
      <c r="W163" s="41">
        <f>D163/'1. Väestöennuste'!F163*1000</f>
        <v>338.07670928293498</v>
      </c>
      <c r="X163" s="41">
        <f>E163/'1. Väestöennuste'!G163*1000</f>
        <v>401.81838341279519</v>
      </c>
      <c r="Y163" s="41">
        <f>F163/'1. Väestöennuste'!H163*1000</f>
        <v>375.05567928730511</v>
      </c>
      <c r="Z163" s="41">
        <f>G163/'1. Väestöennuste'!I163*1000</f>
        <v>383.81230354737318</v>
      </c>
      <c r="AA163" s="41">
        <f>H163/'1. Väestöennuste'!J163*1000</f>
        <v>958.32865326294507</v>
      </c>
      <c r="AB163" s="41">
        <f>I163/'1. Väestöennuste'!K163*1000</f>
        <v>391.01728925805367</v>
      </c>
      <c r="AC163" s="41">
        <f>J163/'1. Väestöennuste'!L163*1000</f>
        <v>446.17042670569691</v>
      </c>
      <c r="AD163" s="41">
        <f>K163/'1. Väestöennuste'!M163*1000</f>
        <v>451.73885465050409</v>
      </c>
      <c r="AE163" s="41">
        <f>L163/'1. Väestöennuste'!N163*1000</f>
        <v>429.66104783599093</v>
      </c>
      <c r="AF163" s="41">
        <f>M163/'1. Väestöennuste'!O163*1000</f>
        <v>452.61988571428566</v>
      </c>
      <c r="AG163" s="41">
        <f>N163/'1. Väestöennuste'!P163*1000</f>
        <v>491.10366972477067</v>
      </c>
      <c r="AH163" s="41">
        <f>O163/'1. Väestöennuste'!Q163*1000</f>
        <v>508.64137053749403</v>
      </c>
      <c r="AI163" s="41">
        <f>P163/'1. Väestöennuste'!R163*1000</f>
        <v>526.29650227230672</v>
      </c>
    </row>
    <row r="164" spans="1:35" x14ac:dyDescent="0.25">
      <c r="A164" s="30">
        <v>495</v>
      </c>
      <c r="B164" s="31" t="s">
        <v>478</v>
      </c>
      <c r="C164" s="41">
        <v>395</v>
      </c>
      <c r="D164" s="41">
        <v>341</v>
      </c>
      <c r="E164" s="41">
        <v>377</v>
      </c>
      <c r="F164" s="41">
        <v>427</v>
      </c>
      <c r="G164" s="41">
        <v>603</v>
      </c>
      <c r="H164" s="41">
        <v>504</v>
      </c>
      <c r="I164" s="165">
        <v>527.48325</v>
      </c>
      <c r="J164" s="41">
        <v>393.97207000000003</v>
      </c>
      <c r="K164" s="41">
        <v>392.78717</v>
      </c>
      <c r="L164" s="41">
        <v>399.33</v>
      </c>
      <c r="M164" s="41">
        <v>404.33</v>
      </c>
      <c r="N164" s="41">
        <v>409.33</v>
      </c>
      <c r="O164" s="41">
        <f t="shared" si="7"/>
        <v>422.53758119433269</v>
      </c>
      <c r="P164" s="41">
        <f t="shared" si="7"/>
        <v>435.74516238866534</v>
      </c>
      <c r="Q164" s="165"/>
      <c r="T164" s="34">
        <v>495</v>
      </c>
      <c r="U164" s="88" t="s">
        <v>478</v>
      </c>
      <c r="V164" s="41">
        <f>C164/'1. Väestöennuste'!E164*1000</f>
        <v>230.99415204678363</v>
      </c>
      <c r="W164" s="41">
        <f>D164/'1. Väestöennuste'!F164*1000</f>
        <v>205.05111244738424</v>
      </c>
      <c r="X164" s="41">
        <f>E164/'1. Väestöennuste'!G164*1000</f>
        <v>230.44009779951099</v>
      </c>
      <c r="Y164" s="41">
        <f>F164/'1. Väestöennuste'!H164*1000</f>
        <v>269.57070707070704</v>
      </c>
      <c r="Z164" s="41">
        <f>G164/'1. Väestöennuste'!I164*1000</f>
        <v>385.05747126436779</v>
      </c>
      <c r="AA164" s="41">
        <f>H164/'1. Väestöennuste'!J164*1000</f>
        <v>323.4916559691913</v>
      </c>
      <c r="AB164" s="41">
        <f>I164/'1. Väestöennuste'!K164*1000</f>
        <v>354.49143145161287</v>
      </c>
      <c r="AC164" s="41">
        <f>J164/'1. Väestöennuste'!L164*1000</f>
        <v>266.73802979011515</v>
      </c>
      <c r="AD164" s="41">
        <f>K164/'1. Väestöennuste'!M164*1000</f>
        <v>274.67634265734262</v>
      </c>
      <c r="AE164" s="41">
        <f>L164/'1. Väestöennuste'!N164*1000</f>
        <v>274.07687028140015</v>
      </c>
      <c r="AF164" s="41">
        <f>M164/'1. Väestöennuste'!O164*1000</f>
        <v>281.95955369595538</v>
      </c>
      <c r="AG164" s="41">
        <f>N164/'1. Väestöennuste'!P164*1000</f>
        <v>289.68860580325543</v>
      </c>
      <c r="AH164" s="41">
        <f>O164/'1. Väestöennuste'!Q164*1000</f>
        <v>304.20272224214017</v>
      </c>
      <c r="AI164" s="41">
        <f>P164/'1. Väestöennuste'!R164*1000</f>
        <v>318.76017731431261</v>
      </c>
    </row>
    <row r="165" spans="1:35" x14ac:dyDescent="0.25">
      <c r="A165" s="30">
        <v>498</v>
      </c>
      <c r="B165" s="31" t="s">
        <v>479</v>
      </c>
      <c r="C165" s="41">
        <v>600</v>
      </c>
      <c r="D165" s="41">
        <v>687</v>
      </c>
      <c r="E165" s="41">
        <v>704</v>
      </c>
      <c r="F165" s="41">
        <v>1020</v>
      </c>
      <c r="G165" s="41">
        <v>1074</v>
      </c>
      <c r="H165" s="41">
        <v>1061</v>
      </c>
      <c r="I165" s="165">
        <v>802.81823999999995</v>
      </c>
      <c r="J165" s="41">
        <v>858.83704</v>
      </c>
      <c r="K165" s="41">
        <v>900.15200000000004</v>
      </c>
      <c r="L165" s="41">
        <v>900</v>
      </c>
      <c r="M165" s="41">
        <v>1000</v>
      </c>
      <c r="N165" s="41">
        <v>1000</v>
      </c>
      <c r="O165" s="41">
        <f t="shared" si="7"/>
        <v>1032.2663405915341</v>
      </c>
      <c r="P165" s="41">
        <f t="shared" si="7"/>
        <v>1064.5326811830682</v>
      </c>
      <c r="Q165" s="165"/>
      <c r="T165" s="34">
        <v>498</v>
      </c>
      <c r="U165" s="88" t="s">
        <v>479</v>
      </c>
      <c r="V165" s="41">
        <f>C165/'1. Väestöennuste'!E165*1000</f>
        <v>254.45292620865141</v>
      </c>
      <c r="W165" s="41">
        <f>D165/'1. Väestöennuste'!F165*1000</f>
        <v>292.34042553191489</v>
      </c>
      <c r="X165" s="41">
        <f>E165/'1. Väestöennuste'!G165*1000</f>
        <v>301.88679245283015</v>
      </c>
      <c r="Y165" s="41">
        <f>F165/'1. Väestöennuste'!H165*1000</f>
        <v>443.67116137451069</v>
      </c>
      <c r="Z165" s="41">
        <f>G165/'1. Väestöennuste'!I165*1000</f>
        <v>465.33795493934144</v>
      </c>
      <c r="AA165" s="41">
        <f>H165/'1. Väestöennuste'!J165*1000</f>
        <v>461.90683500217676</v>
      </c>
      <c r="AB165" s="41">
        <f>I165/'1. Väestöennuste'!K165*1000</f>
        <v>345.89325290822921</v>
      </c>
      <c r="AC165" s="41">
        <f>J165/'1. Väestöennuste'!L165*1000</f>
        <v>376.51777290661994</v>
      </c>
      <c r="AD165" s="41">
        <f>K165/'1. Väestöennuste'!M165*1000</f>
        <v>387.16215053763443</v>
      </c>
      <c r="AE165" s="41">
        <f>L165/'1. Väestöennuste'!N165*1000</f>
        <v>399.11308203991132</v>
      </c>
      <c r="AF165" s="41">
        <f>M165/'1. Väestöennuste'!O165*1000</f>
        <v>445.43429844098</v>
      </c>
      <c r="AG165" s="41">
        <f>N165/'1. Väestöennuste'!P165*1000</f>
        <v>447.2271914132379</v>
      </c>
      <c r="AH165" s="41">
        <f>O165/'1. Väestöennuste'!Q165*1000</f>
        <v>463.52327821802157</v>
      </c>
      <c r="AI165" s="41">
        <f>P165/'1. Väestöennuste'!R165*1000</f>
        <v>480.16810157107273</v>
      </c>
    </row>
    <row r="166" spans="1:35" x14ac:dyDescent="0.25">
      <c r="A166" s="30">
        <v>499</v>
      </c>
      <c r="B166" s="31" t="s">
        <v>480</v>
      </c>
      <c r="C166" s="41">
        <v>7450</v>
      </c>
      <c r="D166" s="41">
        <v>7542</v>
      </c>
      <c r="E166" s="41">
        <v>9507</v>
      </c>
      <c r="F166" s="41">
        <v>7896</v>
      </c>
      <c r="G166" s="41">
        <v>8238</v>
      </c>
      <c r="H166" s="41">
        <v>8913</v>
      </c>
      <c r="I166" s="165">
        <v>9469.68714</v>
      </c>
      <c r="J166" s="41">
        <v>9438.4704700000002</v>
      </c>
      <c r="K166" s="41">
        <v>9570.3550599999999</v>
      </c>
      <c r="L166" s="41">
        <v>9700</v>
      </c>
      <c r="M166" s="41">
        <v>9900</v>
      </c>
      <c r="N166" s="41">
        <v>10100</v>
      </c>
      <c r="O166" s="41">
        <f t="shared" si="7"/>
        <v>10425.890039974496</v>
      </c>
      <c r="P166" s="41">
        <f t="shared" si="7"/>
        <v>10751.780079948991</v>
      </c>
      <c r="Q166" s="165"/>
      <c r="T166" s="34">
        <v>499</v>
      </c>
      <c r="U166" s="88" t="s">
        <v>480</v>
      </c>
      <c r="V166" s="41">
        <f>C166/'1. Väestöennuste'!E166*1000</f>
        <v>385.97036576520566</v>
      </c>
      <c r="W166" s="41">
        <f>D166/'1. Väestöennuste'!F166*1000</f>
        <v>389.16408668730651</v>
      </c>
      <c r="X166" s="41">
        <f>E166/'1. Väestöennuste'!G166*1000</f>
        <v>490.45604622368967</v>
      </c>
      <c r="Y166" s="41">
        <f>F166/'1. Väestöennuste'!H166*1000</f>
        <v>406.08928204073237</v>
      </c>
      <c r="Z166" s="41">
        <f>G166/'1. Väestöennuste'!I166*1000</f>
        <v>423.5911147675854</v>
      </c>
      <c r="AA166" s="41">
        <f>H166/'1. Väestöennuste'!J166*1000</f>
        <v>458.18125738960566</v>
      </c>
      <c r="AB166" s="41">
        <f>I166/'1. Väestöennuste'!K166*1000</f>
        <v>484.73009520884517</v>
      </c>
      <c r="AC166" s="41">
        <f>J166/'1. Väestöennuste'!L166*1000</f>
        <v>480.03613416742957</v>
      </c>
      <c r="AD166" s="41">
        <f>K166/'1. Väestöennuste'!M166*1000</f>
        <v>484.25618883772711</v>
      </c>
      <c r="AE166" s="41">
        <f>L166/'1. Väestöennuste'!N166*1000</f>
        <v>496.8498693848282</v>
      </c>
      <c r="AF166" s="41">
        <f>M166/'1. Väestöennuste'!O166*1000</f>
        <v>507.17213114754099</v>
      </c>
      <c r="AG166" s="41">
        <f>N166/'1. Väestöennuste'!P166*1000</f>
        <v>517.63017630176296</v>
      </c>
      <c r="AH166" s="41">
        <f>O166/'1. Väestöennuste'!Q166*1000</f>
        <v>534.68844761139007</v>
      </c>
      <c r="AI166" s="41">
        <f>P166/'1. Väestöennuste'!R166*1000</f>
        <v>551.8827676803711</v>
      </c>
    </row>
    <row r="167" spans="1:35" x14ac:dyDescent="0.25">
      <c r="A167" s="30">
        <v>500</v>
      </c>
      <c r="B167" s="31" t="s">
        <v>481</v>
      </c>
      <c r="C167" s="41">
        <v>3295</v>
      </c>
      <c r="D167" s="41">
        <v>3624</v>
      </c>
      <c r="E167" s="41">
        <v>3676</v>
      </c>
      <c r="F167" s="41">
        <v>3859</v>
      </c>
      <c r="G167" s="41">
        <v>3815</v>
      </c>
      <c r="H167" s="41">
        <v>4069</v>
      </c>
      <c r="I167" s="165">
        <v>4064.9938900000002</v>
      </c>
      <c r="J167" s="41">
        <v>4182.8502500000004</v>
      </c>
      <c r="K167" s="41">
        <v>4597.9837300000008</v>
      </c>
      <c r="L167" s="41">
        <v>5326.7110000000002</v>
      </c>
      <c r="M167" s="41">
        <v>6021.6559999999999</v>
      </c>
      <c r="N167" s="41">
        <v>6087.13</v>
      </c>
      <c r="O167" s="41">
        <f t="shared" si="7"/>
        <v>6283.5394098049455</v>
      </c>
      <c r="P167" s="41">
        <f t="shared" si="7"/>
        <v>6479.948819609891</v>
      </c>
      <c r="Q167" s="165"/>
      <c r="T167" s="34">
        <v>500</v>
      </c>
      <c r="U167" s="88" t="s">
        <v>481</v>
      </c>
      <c r="V167" s="41">
        <f>C167/'1. Väestöennuste'!E167*1000</f>
        <v>336.53355122050863</v>
      </c>
      <c r="W167" s="41">
        <f>D167/'1. Väestöennuste'!F167*1000</f>
        <v>364.550850015089</v>
      </c>
      <c r="X167" s="41">
        <f>E167/'1. Väestöennuste'!G167*1000</f>
        <v>364.06853520847778</v>
      </c>
      <c r="Y167" s="41">
        <f>F167/'1. Väestöennuste'!H167*1000</f>
        <v>379.44936086529009</v>
      </c>
      <c r="Z167" s="41">
        <f>G167/'1. Väestöennuste'!I167*1000</f>
        <v>375.34435261707989</v>
      </c>
      <c r="AA167" s="41">
        <f>H167/'1. Väestöennuste'!J167*1000</f>
        <v>396.31830135385218</v>
      </c>
      <c r="AB167" s="41">
        <f>I167/'1. Väestöennuste'!K167*1000</f>
        <v>389.89007193554573</v>
      </c>
      <c r="AC167" s="41">
        <f>J167/'1. Väestöennuste'!L167*1000</f>
        <v>398.89855521647917</v>
      </c>
      <c r="AD167" s="41">
        <f>K167/'1. Väestöennuste'!M167*1000</f>
        <v>435.78653492559954</v>
      </c>
      <c r="AE167" s="41">
        <f>L167/'1. Väestöennuste'!N167*1000</f>
        <v>501.14883808448587</v>
      </c>
      <c r="AF167" s="41">
        <f>M167/'1. Väestöennuste'!O167*1000</f>
        <v>562.77158878504679</v>
      </c>
      <c r="AG167" s="41">
        <f>N167/'1. Väestöennuste'!P167*1000</f>
        <v>565.56071727213612</v>
      </c>
      <c r="AH167" s="41">
        <f>O167/'1. Väestöennuste'!Q167*1000</f>
        <v>580.78744891440476</v>
      </c>
      <c r="AI167" s="41">
        <f>P167/'1. Väestöennuste'!R167*1000</f>
        <v>596.18629309135076</v>
      </c>
    </row>
    <row r="168" spans="1:35" x14ac:dyDescent="0.25">
      <c r="A168" s="30">
        <v>503</v>
      </c>
      <c r="B168" s="31" t="s">
        <v>482</v>
      </c>
      <c r="C168" s="41">
        <v>1700</v>
      </c>
      <c r="D168" s="41">
        <v>1856</v>
      </c>
      <c r="E168" s="41">
        <v>1613</v>
      </c>
      <c r="F168" s="41">
        <v>1452</v>
      </c>
      <c r="G168" s="41">
        <v>2480</v>
      </c>
      <c r="H168" s="41">
        <v>1384</v>
      </c>
      <c r="I168" s="165">
        <v>1678.85906</v>
      </c>
      <c r="J168" s="41">
        <v>1746.38743</v>
      </c>
      <c r="K168" s="41">
        <v>2054.3086499999999</v>
      </c>
      <c r="L168" s="41">
        <v>2100</v>
      </c>
      <c r="M168" s="41">
        <v>2100</v>
      </c>
      <c r="N168" s="41">
        <v>2100</v>
      </c>
      <c r="O168" s="41">
        <f t="shared" si="7"/>
        <v>2167.7593152422219</v>
      </c>
      <c r="P168" s="41">
        <f t="shared" si="7"/>
        <v>2235.5186304844437</v>
      </c>
      <c r="Q168" s="165"/>
      <c r="T168" s="34">
        <v>503</v>
      </c>
      <c r="U168" s="88" t="s">
        <v>482</v>
      </c>
      <c r="V168" s="41">
        <f>C168/'1. Väestöennuste'!E168*1000</f>
        <v>216.31250795266573</v>
      </c>
      <c r="W168" s="41">
        <f>D168/'1. Väestöennuste'!F168*1000</f>
        <v>236.67431777607754</v>
      </c>
      <c r="X168" s="41">
        <f>E168/'1. Väestöennuste'!G168*1000</f>
        <v>205.79229395253893</v>
      </c>
      <c r="Y168" s="41">
        <f>F168/'1. Väestöennuste'!H168*1000</f>
        <v>186.96883852691218</v>
      </c>
      <c r="Z168" s="41">
        <f>G168/'1. Väestöennuste'!I168*1000</f>
        <v>324.01358766657955</v>
      </c>
      <c r="AA168" s="41">
        <f>H168/'1. Väestöennuste'!J168*1000</f>
        <v>181.03335513407455</v>
      </c>
      <c r="AB168" s="41">
        <f>I168/'1. Väestöennuste'!K168*1000</f>
        <v>221.07704240189625</v>
      </c>
      <c r="AC168" s="41">
        <f>J168/'1. Väestöennuste'!L168*1000</f>
        <v>231.64709245257993</v>
      </c>
      <c r="AD168" s="41">
        <f>K168/'1. Väestöennuste'!M168*1000</f>
        <v>273.36109780439119</v>
      </c>
      <c r="AE168" s="41">
        <f>L168/'1. Väestöennuste'!N168*1000</f>
        <v>281.46361077603535</v>
      </c>
      <c r="AF168" s="41">
        <f>M168/'1. Väestöennuste'!O168*1000</f>
        <v>282.94260307194821</v>
      </c>
      <c r="AG168" s="41">
        <f>N168/'1. Väestöennuste'!P168*1000</f>
        <v>284.36018957345971</v>
      </c>
      <c r="AH168" s="41">
        <f>O168/'1. Väestöennuste'!Q168*1000</f>
        <v>294.89311865626746</v>
      </c>
      <c r="AI168" s="41">
        <f>P168/'1. Väestöennuste'!R168*1000</f>
        <v>305.56569580159152</v>
      </c>
    </row>
    <row r="169" spans="1:35" x14ac:dyDescent="0.25">
      <c r="A169" s="30">
        <v>504</v>
      </c>
      <c r="B169" s="31" t="s">
        <v>483</v>
      </c>
      <c r="C169" s="41">
        <v>470</v>
      </c>
      <c r="D169" s="41">
        <v>531</v>
      </c>
      <c r="E169" s="41">
        <v>447</v>
      </c>
      <c r="F169" s="41">
        <v>495</v>
      </c>
      <c r="G169" s="41">
        <v>483</v>
      </c>
      <c r="H169" s="41">
        <v>541</v>
      </c>
      <c r="I169" s="165">
        <v>610.24105000000009</v>
      </c>
      <c r="J169" s="41">
        <v>999.78449999999998</v>
      </c>
      <c r="K169" s="41">
        <v>817.75890000000004</v>
      </c>
      <c r="L169" s="41">
        <v>1000.547</v>
      </c>
      <c r="M169" s="41">
        <v>953.69200000000001</v>
      </c>
      <c r="N169" s="41">
        <v>938.60199999999998</v>
      </c>
      <c r="O169" s="41">
        <f t="shared" si="7"/>
        <v>968.88725181189523</v>
      </c>
      <c r="P169" s="41">
        <f t="shared" si="7"/>
        <v>999.17250362379036</v>
      </c>
      <c r="Q169" s="165"/>
      <c r="T169" s="34">
        <v>504</v>
      </c>
      <c r="U169" s="88" t="s">
        <v>483</v>
      </c>
      <c r="V169" s="41">
        <f>C169/'1. Väestöennuste'!E169*1000</f>
        <v>238.69984763839514</v>
      </c>
      <c r="W169" s="41">
        <f>D169/'1. Väestöennuste'!F169*1000</f>
        <v>267.3716012084592</v>
      </c>
      <c r="X169" s="41">
        <f>E169/'1. Väestöennuste'!G169*1000</f>
        <v>227.0187912646013</v>
      </c>
      <c r="Y169" s="41">
        <f>F169/'1. Väestöennuste'!H169*1000</f>
        <v>257.54422476586893</v>
      </c>
      <c r="Z169" s="41">
        <f>G169/'1. Väestöennuste'!I169*1000</f>
        <v>256.64187035069074</v>
      </c>
      <c r="AA169" s="41">
        <f>H169/'1. Väestöennuste'!J169*1000</f>
        <v>289.15018706574023</v>
      </c>
      <c r="AB169" s="41">
        <f>I169/'1. Väestöennuste'!K169*1000</f>
        <v>336.03582048458151</v>
      </c>
      <c r="AC169" s="41">
        <f>J169/'1. Väestöennuste'!L169*1000</f>
        <v>566.77125850340133</v>
      </c>
      <c r="AD169" s="41">
        <f>K169/'1. Väestöennuste'!M169*1000</f>
        <v>476.82734693877552</v>
      </c>
      <c r="AE169" s="41">
        <f>L169/'1. Väestöennuste'!N169*1000</f>
        <v>558.96480446927376</v>
      </c>
      <c r="AF169" s="41">
        <f>M169/'1. Väestöennuste'!O169*1000</f>
        <v>537.89734912577558</v>
      </c>
      <c r="AG169" s="41">
        <f>N169/'1. Väestöennuste'!P169*1000</f>
        <v>534.51138952164013</v>
      </c>
      <c r="AH169" s="41">
        <f>O169/'1. Väestöennuste'!Q169*1000</f>
        <v>555.23624745667348</v>
      </c>
      <c r="AI169" s="41">
        <f>P169/'1. Väestöennuste'!R169*1000</f>
        <v>576.22405053275111</v>
      </c>
    </row>
    <row r="170" spans="1:35" x14ac:dyDescent="0.25">
      <c r="A170" s="30">
        <v>505</v>
      </c>
      <c r="B170" s="31" t="s">
        <v>484</v>
      </c>
      <c r="C170" s="41">
        <v>5700</v>
      </c>
      <c r="D170" s="41">
        <v>5873</v>
      </c>
      <c r="E170" s="41">
        <v>6582</v>
      </c>
      <c r="F170" s="41">
        <v>6810</v>
      </c>
      <c r="G170" s="41">
        <v>7038</v>
      </c>
      <c r="H170" s="41">
        <v>12897</v>
      </c>
      <c r="I170" s="165">
        <v>8770.5801999999985</v>
      </c>
      <c r="J170" s="41">
        <v>7662.7270399999998</v>
      </c>
      <c r="K170" s="41">
        <v>8235.4034200000006</v>
      </c>
      <c r="L170" s="41">
        <v>9061.5560000000005</v>
      </c>
      <c r="M170" s="41">
        <v>9061.5560000000005</v>
      </c>
      <c r="N170" s="41">
        <v>9061.5560000000005</v>
      </c>
      <c r="O170" s="41">
        <f t="shared" si="7"/>
        <v>9353.9392521852606</v>
      </c>
      <c r="P170" s="41">
        <f t="shared" si="7"/>
        <v>9646.3225043705206</v>
      </c>
      <c r="Q170" s="165"/>
      <c r="T170" s="34">
        <v>505</v>
      </c>
      <c r="U170" s="88" t="s">
        <v>484</v>
      </c>
      <c r="V170" s="41">
        <f>C170/'1. Väestöennuste'!E170*1000</f>
        <v>275.56200145032631</v>
      </c>
      <c r="W170" s="41">
        <f>D170/'1. Väestöennuste'!F170*1000</f>
        <v>281.63813360187982</v>
      </c>
      <c r="X170" s="41">
        <f>E170/'1. Väestöennuste'!G170*1000</f>
        <v>316.39667355669854</v>
      </c>
      <c r="Y170" s="41">
        <f>F170/'1. Väestöennuste'!H170*1000</f>
        <v>329.20816010828582</v>
      </c>
      <c r="Z170" s="41">
        <f>G170/'1. Väestöennuste'!I170*1000</f>
        <v>339.65542203561603</v>
      </c>
      <c r="AA170" s="41">
        <f>H170/'1. Väestöennuste'!J170*1000</f>
        <v>620.55526151181255</v>
      </c>
      <c r="AB170" s="41">
        <f>I170/'1. Väestöennuste'!K170*1000</f>
        <v>420.91376877669524</v>
      </c>
      <c r="AC170" s="41">
        <f>J170/'1. Väestöennuste'!L170*1000</f>
        <v>366.42726855394034</v>
      </c>
      <c r="AD170" s="41">
        <f>K170/'1. Väestöennuste'!M170*1000</f>
        <v>392.96671374719665</v>
      </c>
      <c r="AE170" s="41">
        <f>L170/'1. Väestöennuste'!N170*1000</f>
        <v>433.77482048827193</v>
      </c>
      <c r="AF170" s="41">
        <f>M170/'1. Väestöennuste'!O170*1000</f>
        <v>433.00788455105851</v>
      </c>
      <c r="AG170" s="41">
        <f>N170/'1. Väestöennuste'!P170*1000</f>
        <v>432.11998092513113</v>
      </c>
      <c r="AH170" s="41">
        <f>O170/'1. Väestöennuste'!Q170*1000</f>
        <v>445.19248261316739</v>
      </c>
      <c r="AI170" s="41">
        <f>P170/'1. Väestöennuste'!R170*1000</f>
        <v>458.30114520954584</v>
      </c>
    </row>
    <row r="171" spans="1:35" x14ac:dyDescent="0.25">
      <c r="A171" s="30">
        <v>507</v>
      </c>
      <c r="B171" s="31" t="s">
        <v>485</v>
      </c>
      <c r="C171" s="41">
        <v>2191</v>
      </c>
      <c r="D171" s="41">
        <v>2453</v>
      </c>
      <c r="E171" s="41">
        <v>3130</v>
      </c>
      <c r="F171" s="41">
        <v>1783</v>
      </c>
      <c r="G171" s="41">
        <v>1887</v>
      </c>
      <c r="H171" s="41">
        <v>1292</v>
      </c>
      <c r="I171" s="165">
        <v>1424.24333</v>
      </c>
      <c r="J171" s="41">
        <v>1467.75389</v>
      </c>
      <c r="K171" s="41">
        <v>2014.7388700000001</v>
      </c>
      <c r="L171" s="41">
        <v>1610.8</v>
      </c>
      <c r="M171" s="41">
        <v>1963.6999999999998</v>
      </c>
      <c r="N171" s="41">
        <v>1939.12</v>
      </c>
      <c r="O171" s="41">
        <f t="shared" si="7"/>
        <v>2001.6883063678556</v>
      </c>
      <c r="P171" s="41">
        <f t="shared" si="7"/>
        <v>2064.2566127357113</v>
      </c>
      <c r="Q171" s="165"/>
      <c r="T171" s="34">
        <v>507</v>
      </c>
      <c r="U171" s="88" t="s">
        <v>485</v>
      </c>
      <c r="V171" s="41">
        <f>C171/'1. Väestöennuste'!E171*1000</f>
        <v>355.73956811170643</v>
      </c>
      <c r="W171" s="41">
        <f>D171/'1. Väestöennuste'!F171*1000</f>
        <v>402.32901426931278</v>
      </c>
      <c r="X171" s="41">
        <f>E171/'1. Väestöennuste'!G171*1000</f>
        <v>517.01354476379254</v>
      </c>
      <c r="Y171" s="41">
        <f>F171/'1. Väestöennuste'!H171*1000</f>
        <v>300.97906819716405</v>
      </c>
      <c r="Z171" s="41">
        <f>G171/'1. Väestöennuste'!I171*1000</f>
        <v>325.85045760663098</v>
      </c>
      <c r="AA171" s="41">
        <f>H171/'1. Väestöennuste'!J171*1000</f>
        <v>227.62508809020437</v>
      </c>
      <c r="AB171" s="41">
        <f>I171/'1. Väestöennuste'!K171*1000</f>
        <v>252.74948181011536</v>
      </c>
      <c r="AC171" s="41">
        <f>J171/'1. Väestöennuste'!L171*1000</f>
        <v>263.79473220704529</v>
      </c>
      <c r="AD171" s="41">
        <f>K171/'1. Väestöennuste'!M171*1000</f>
        <v>364.85673125679102</v>
      </c>
      <c r="AE171" s="41">
        <f>L171/'1. Väestöennuste'!N171*1000</f>
        <v>299.4052044609665</v>
      </c>
      <c r="AF171" s="41">
        <f>M171/'1. Väestöennuste'!O171*1000</f>
        <v>287.13262172832282</v>
      </c>
      <c r="AG171" s="41">
        <f>N171/'1. Väestöennuste'!P171*1000</f>
        <v>286.89451102234057</v>
      </c>
      <c r="AH171" s="41">
        <f>O171/'1. Väestöennuste'!Q171*1000</f>
        <v>299.47461196407176</v>
      </c>
      <c r="AI171" s="41">
        <f>P171/'1. Väestöennuste'!R171*1000</f>
        <v>312.10411441422906</v>
      </c>
    </row>
    <row r="172" spans="1:35" x14ac:dyDescent="0.25">
      <c r="A172" s="30">
        <v>508</v>
      </c>
      <c r="B172" s="31" t="s">
        <v>486</v>
      </c>
      <c r="C172" s="41">
        <v>2346</v>
      </c>
      <c r="D172" s="41">
        <v>2624</v>
      </c>
      <c r="E172" s="41">
        <v>3203</v>
      </c>
      <c r="F172" s="41">
        <v>2854</v>
      </c>
      <c r="G172" s="41">
        <v>2676</v>
      </c>
      <c r="H172" s="41">
        <v>2740</v>
      </c>
      <c r="I172" s="165">
        <v>2736.4768599999998</v>
      </c>
      <c r="J172" s="41">
        <v>2632.4323300000001</v>
      </c>
      <c r="K172" s="41">
        <v>3882.8510699999997</v>
      </c>
      <c r="L172" s="41">
        <v>2573.0700000000002</v>
      </c>
      <c r="M172" s="41">
        <v>2624.53</v>
      </c>
      <c r="N172" s="41">
        <v>2677.02</v>
      </c>
      <c r="O172" s="41">
        <f t="shared" si="7"/>
        <v>2763.397639090349</v>
      </c>
      <c r="P172" s="41">
        <f t="shared" si="7"/>
        <v>2849.7752781806976</v>
      </c>
      <c r="Q172" s="165"/>
      <c r="T172" s="34">
        <v>508</v>
      </c>
      <c r="U172" s="88" t="s">
        <v>486</v>
      </c>
      <c r="V172" s="41">
        <f>C172/'1. Väestöennuste'!E172*1000</f>
        <v>221.23726895511129</v>
      </c>
      <c r="W172" s="41">
        <f>D172/'1. Väestöennuste'!F172*1000</f>
        <v>251.14854517611025</v>
      </c>
      <c r="X172" s="41">
        <f>E172/'1. Väestöennuste'!G172*1000</f>
        <v>312.304992199688</v>
      </c>
      <c r="Y172" s="41">
        <f>F172/'1. Väestöennuste'!H172*1000</f>
        <v>285.88600621055792</v>
      </c>
      <c r="Z172" s="41">
        <f>G172/'1. Väestöennuste'!I172*1000</f>
        <v>271.53729071537293</v>
      </c>
      <c r="AA172" s="41">
        <f>H172/'1. Väestöennuste'!J172*1000</f>
        <v>283.26268996174917</v>
      </c>
      <c r="AB172" s="41">
        <f>I172/'1. Väestöennuste'!K172*1000</f>
        <v>286.15255254627209</v>
      </c>
      <c r="AC172" s="41">
        <f>J172/'1. Väestöennuste'!L172*1000</f>
        <v>281.24277029914532</v>
      </c>
      <c r="AD172" s="41">
        <f>K172/'1. Väestöennuste'!M172*1000</f>
        <v>418.81685578686222</v>
      </c>
      <c r="AE172" s="41">
        <f>L172/'1. Väestöennuste'!N172*1000</f>
        <v>287.20504520593818</v>
      </c>
      <c r="AF172" s="41">
        <f>M172/'1. Väestöennuste'!O172*1000</f>
        <v>297.80211051855213</v>
      </c>
      <c r="AG172" s="41">
        <f>N172/'1. Väestöennuste'!P172*1000</f>
        <v>308.5546334716459</v>
      </c>
      <c r="AH172" s="41">
        <f>O172/'1. Väestöennuste'!Q172*1000</f>
        <v>323.35567974378063</v>
      </c>
      <c r="AI172" s="41">
        <f>P172/'1. Väestöennuste'!R172*1000</f>
        <v>338.25225853776823</v>
      </c>
    </row>
    <row r="173" spans="1:35" x14ac:dyDescent="0.25">
      <c r="A173" s="30">
        <v>529</v>
      </c>
      <c r="B173" s="31" t="s">
        <v>487</v>
      </c>
      <c r="C173" s="41">
        <v>8349</v>
      </c>
      <c r="D173" s="41">
        <v>7932</v>
      </c>
      <c r="E173" s="41">
        <v>7885</v>
      </c>
      <c r="F173" s="41">
        <v>7768</v>
      </c>
      <c r="G173" s="41">
        <v>8909</v>
      </c>
      <c r="H173" s="41">
        <v>8783</v>
      </c>
      <c r="I173" s="165">
        <v>9934.6467400000001</v>
      </c>
      <c r="J173" s="41">
        <v>14071.293710000002</v>
      </c>
      <c r="K173" s="41">
        <v>11354.03966</v>
      </c>
      <c r="L173" s="41">
        <v>10900</v>
      </c>
      <c r="M173" s="41">
        <v>11400</v>
      </c>
      <c r="N173" s="41">
        <v>11900</v>
      </c>
      <c r="O173" s="41">
        <f t="shared" si="7"/>
        <v>12283.969453039257</v>
      </c>
      <c r="P173" s="41">
        <f t="shared" si="7"/>
        <v>12667.938906078514</v>
      </c>
      <c r="Q173" s="165"/>
      <c r="T173" s="34">
        <v>529</v>
      </c>
      <c r="U173" s="88" t="s">
        <v>487</v>
      </c>
      <c r="V173" s="41">
        <f>C173/'1. Väestöennuste'!E173*1000</f>
        <v>440.32487737988504</v>
      </c>
      <c r="W173" s="41">
        <f>D173/'1. Väestöennuste'!F173*1000</f>
        <v>415.9848961611076</v>
      </c>
      <c r="X173" s="41">
        <f>E173/'1. Väestöennuste'!G173*1000</f>
        <v>411.38414984087234</v>
      </c>
      <c r="Y173" s="41">
        <f>F173/'1. Väestöennuste'!H173*1000</f>
        <v>403.6373083917901</v>
      </c>
      <c r="Z173" s="41">
        <f>G173/'1. Väestöennuste'!I173*1000</f>
        <v>461.27161644403026</v>
      </c>
      <c r="AA173" s="41">
        <f>H173/'1. Väestöennuste'!J173*1000</f>
        <v>452.10274360426212</v>
      </c>
      <c r="AB173" s="41">
        <f>I173/'1. Väestöennuste'!K173*1000</f>
        <v>507.41338883497622</v>
      </c>
      <c r="AC173" s="41">
        <f>J173/'1. Väestöennuste'!L173*1000</f>
        <v>708.88129521410588</v>
      </c>
      <c r="AD173" s="41">
        <f>K173/'1. Väestöennuste'!M173*1000</f>
        <v>567.73036951847598</v>
      </c>
      <c r="AE173" s="41">
        <f>L173/'1. Väestöennuste'!N173*1000</f>
        <v>552.59822560202792</v>
      </c>
      <c r="AF173" s="41">
        <f>M173/'1. Väestöennuste'!O173*1000</f>
        <v>575.75757575757575</v>
      </c>
      <c r="AG173" s="41">
        <f>N173/'1. Väestöennuste'!P173*1000</f>
        <v>598.80239520958082</v>
      </c>
      <c r="AH173" s="41">
        <f>O173/'1. Väestöennuste'!Q173*1000</f>
        <v>615.98482865506253</v>
      </c>
      <c r="AI173" s="41">
        <f>P173/'1. Väestöennuste'!R173*1000</f>
        <v>633.1436878287941</v>
      </c>
    </row>
    <row r="174" spans="1:35" x14ac:dyDescent="0.25">
      <c r="A174" s="30">
        <v>531</v>
      </c>
      <c r="B174" s="31" t="s">
        <v>488</v>
      </c>
      <c r="C174" s="41">
        <v>1324</v>
      </c>
      <c r="D174" s="41">
        <v>1349</v>
      </c>
      <c r="E174" s="41">
        <v>1408</v>
      </c>
      <c r="F174" s="41">
        <v>1139</v>
      </c>
      <c r="G174" s="41">
        <v>1467</v>
      </c>
      <c r="H174" s="41">
        <v>1476</v>
      </c>
      <c r="I174" s="165">
        <v>1368.3768600000001</v>
      </c>
      <c r="J174" s="41">
        <v>1192.15338</v>
      </c>
      <c r="K174" s="41">
        <v>1181.4932900000001</v>
      </c>
      <c r="L174" s="41">
        <v>1179.3</v>
      </c>
      <c r="M174" s="41">
        <v>1200</v>
      </c>
      <c r="N174" s="41">
        <v>1200</v>
      </c>
      <c r="O174" s="41">
        <f t="shared" si="7"/>
        <v>1238.7196087098412</v>
      </c>
      <c r="P174" s="41">
        <f t="shared" si="7"/>
        <v>1277.4392174196821</v>
      </c>
      <c r="Q174" s="165"/>
      <c r="T174" s="34">
        <v>531</v>
      </c>
      <c r="U174" s="88" t="s">
        <v>488</v>
      </c>
      <c r="V174" s="41">
        <f>C174/'1. Väestöennuste'!E174*1000</f>
        <v>234.29481507697753</v>
      </c>
      <c r="W174" s="41">
        <f>D174/'1. Väestöennuste'!F174*1000</f>
        <v>243.15068493150685</v>
      </c>
      <c r="X174" s="41">
        <f>E174/'1. Väestöennuste'!G174*1000</f>
        <v>255.02626335808731</v>
      </c>
      <c r="Y174" s="41">
        <f>F174/'1. Väestöennuste'!H174*1000</f>
        <v>209.49052786463125</v>
      </c>
      <c r="Z174" s="41">
        <f>G174/'1. Väestöennuste'!I174*1000</f>
        <v>275.28617001313563</v>
      </c>
      <c r="AA174" s="41">
        <f>H174/'1. Väestöennuste'!J174*1000</f>
        <v>280.82191780821921</v>
      </c>
      <c r="AB174" s="41">
        <f>I174/'1. Väestöennuste'!K174*1000</f>
        <v>264.72757980266977</v>
      </c>
      <c r="AC174" s="41">
        <f>J174/'1. Väestöennuste'!L174*1000</f>
        <v>235.04601340694006</v>
      </c>
      <c r="AD174" s="41">
        <f>K174/'1. Väestöennuste'!M174*1000</f>
        <v>237.91649013290379</v>
      </c>
      <c r="AE174" s="41">
        <f>L174/'1. Väestöennuste'!N174*1000</f>
        <v>236.94996986136226</v>
      </c>
      <c r="AF174" s="41">
        <f>M174/'1. Väestöennuste'!O174*1000</f>
        <v>244.54860403505197</v>
      </c>
      <c r="AG174" s="41">
        <f>N174/'1. Väestöennuste'!P174*1000</f>
        <v>247.93388429752068</v>
      </c>
      <c r="AH174" s="41">
        <f>O174/'1. Väestöennuste'!Q174*1000</f>
        <v>259.36340215867699</v>
      </c>
      <c r="AI174" s="41">
        <f>P174/'1. Väestöennuste'!R174*1000</f>
        <v>271.04587681300279</v>
      </c>
    </row>
    <row r="175" spans="1:35" x14ac:dyDescent="0.25">
      <c r="A175" s="30">
        <v>535</v>
      </c>
      <c r="B175" s="31" t="s">
        <v>489</v>
      </c>
      <c r="C175" s="41">
        <v>2000</v>
      </c>
      <c r="D175" s="41">
        <v>2034</v>
      </c>
      <c r="E175" s="41">
        <v>2084</v>
      </c>
      <c r="F175" s="41">
        <v>2237</v>
      </c>
      <c r="G175" s="41">
        <v>2294</v>
      </c>
      <c r="H175" s="41">
        <v>2346</v>
      </c>
      <c r="I175" s="165">
        <v>2832.18012</v>
      </c>
      <c r="J175" s="41">
        <v>2742.5746400000003</v>
      </c>
      <c r="K175" s="41">
        <v>2931.9757599999998</v>
      </c>
      <c r="L175" s="41">
        <v>2864.7469999999998</v>
      </c>
      <c r="M175" s="41">
        <v>2896.6109999999999</v>
      </c>
      <c r="N175" s="41">
        <v>2917.2080000000001</v>
      </c>
      <c r="O175" s="41">
        <f t="shared" si="7"/>
        <v>3011.3356269043484</v>
      </c>
      <c r="P175" s="41">
        <f t="shared" si="7"/>
        <v>3105.4632538086967</v>
      </c>
      <c r="Q175" s="165"/>
      <c r="T175" s="34">
        <v>535</v>
      </c>
      <c r="U175" s="88" t="s">
        <v>489</v>
      </c>
      <c r="V175" s="41">
        <f>C175/'1. Väestöennuste'!E175*1000</f>
        <v>183.89113644722323</v>
      </c>
      <c r="W175" s="41">
        <f>D175/'1. Väestöennuste'!F175*1000</f>
        <v>186.79401230599689</v>
      </c>
      <c r="X175" s="41">
        <f>E175/'1. Väestöennuste'!G175*1000</f>
        <v>192.69533055940823</v>
      </c>
      <c r="Y175" s="41">
        <f>F175/'1. Väestöennuste'!H175*1000</f>
        <v>208.34497531899041</v>
      </c>
      <c r="Z175" s="41">
        <f>G175/'1. Väestöennuste'!I175*1000</f>
        <v>215.62176896324843</v>
      </c>
      <c r="AA175" s="41">
        <f>H175/'1. Väestöennuste'!J175*1000</f>
        <v>223.42857142857142</v>
      </c>
      <c r="AB175" s="41">
        <f>I175/'1. Väestöennuste'!K175*1000</f>
        <v>272.4297922277799</v>
      </c>
      <c r="AC175" s="41">
        <f>J175/'1. Väestöennuste'!L175*1000</f>
        <v>263.22820232267975</v>
      </c>
      <c r="AD175" s="41">
        <f>K175/'1. Väestöennuste'!M175*1000</f>
        <v>280.4644882341687</v>
      </c>
      <c r="AE175" s="41">
        <f>L175/'1. Väestöennuste'!N175*1000</f>
        <v>284.68120838716089</v>
      </c>
      <c r="AF175" s="41">
        <f>M175/'1. Väestöennuste'!O175*1000</f>
        <v>290.91202169328113</v>
      </c>
      <c r="AG175" s="41">
        <f>N175/'1. Väestöennuste'!P175*1000</f>
        <v>296.25347821671579</v>
      </c>
      <c r="AH175" s="41">
        <f>O175/'1. Väestöennuste'!Q175*1000</f>
        <v>309.26729248273068</v>
      </c>
      <c r="AI175" s="41">
        <f>P175/'1. Väestöennuste'!R175*1000</f>
        <v>322.51150210911794</v>
      </c>
    </row>
    <row r="176" spans="1:35" x14ac:dyDescent="0.25">
      <c r="A176" s="30">
        <v>536</v>
      </c>
      <c r="B176" s="31" t="s">
        <v>490</v>
      </c>
      <c r="C176" s="41">
        <v>10368</v>
      </c>
      <c r="D176" s="41">
        <v>12273</v>
      </c>
      <c r="E176" s="41">
        <v>13993</v>
      </c>
      <c r="F176" s="41">
        <v>13881</v>
      </c>
      <c r="G176" s="41">
        <v>13425</v>
      </c>
      <c r="H176" s="41">
        <v>11800</v>
      </c>
      <c r="I176" s="165">
        <v>12756.17303</v>
      </c>
      <c r="J176" s="41">
        <v>13623.81811</v>
      </c>
      <c r="K176" s="41">
        <v>14460.109960000002</v>
      </c>
      <c r="L176" s="41">
        <v>15282.522000000001</v>
      </c>
      <c r="M176" s="41">
        <v>16490.580999999998</v>
      </c>
      <c r="N176" s="41">
        <v>19330.784</v>
      </c>
      <c r="O176" s="41">
        <f t="shared" si="7"/>
        <v>19954.517660445381</v>
      </c>
      <c r="P176" s="41">
        <f t="shared" si="7"/>
        <v>20578.251320890759</v>
      </c>
      <c r="Q176" s="165"/>
      <c r="T176" s="34">
        <v>536</v>
      </c>
      <c r="U176" s="88" t="s">
        <v>490</v>
      </c>
      <c r="V176" s="41">
        <f>C176/'1. Väestöennuste'!E176*1000</f>
        <v>312.64700560882943</v>
      </c>
      <c r="W176" s="41">
        <f>D176/'1. Väestöennuste'!F176*1000</f>
        <v>369.55736224028908</v>
      </c>
      <c r="X176" s="41">
        <f>E176/'1. Väestöennuste'!G176*1000</f>
        <v>419.93277714422908</v>
      </c>
      <c r="Y176" s="41">
        <f>F176/'1. Väestöennuste'!H176*1000</f>
        <v>414.02451755301695</v>
      </c>
      <c r="Z176" s="41">
        <f>G176/'1. Väestöennuste'!I176*1000</f>
        <v>395.67921247310562</v>
      </c>
      <c r="AA176" s="41">
        <f>H176/'1. Väestöennuste'!J176*1000</f>
        <v>342.26708434853231</v>
      </c>
      <c r="AB176" s="41">
        <f>I176/'1. Väestöennuste'!K176*1000</f>
        <v>365.67403480105492</v>
      </c>
      <c r="AC176" s="41">
        <f>J176/'1. Väestöennuste'!L176*1000</f>
        <v>385.44158065976347</v>
      </c>
      <c r="AD176" s="41">
        <f>K176/'1. Väestöennuste'!M176*1000</f>
        <v>405.64731842791821</v>
      </c>
      <c r="AE176" s="41">
        <f>L176/'1. Väestöennuste'!N176*1000</f>
        <v>430.37234581807945</v>
      </c>
      <c r="AF176" s="41">
        <f>M176/'1. Väestöennuste'!O176*1000</f>
        <v>461.52027651059302</v>
      </c>
      <c r="AG176" s="41">
        <f>N176/'1. Väestöennuste'!P176*1000</f>
        <v>537.83273051026652</v>
      </c>
      <c r="AH176" s="41">
        <f>O176/'1. Väestöennuste'!Q176*1000</f>
        <v>552.1602053306782</v>
      </c>
      <c r="AI176" s="41">
        <f>P176/'1. Väestöennuste'!R176*1000</f>
        <v>566.55061177497828</v>
      </c>
    </row>
    <row r="177" spans="1:35" x14ac:dyDescent="0.25">
      <c r="A177" s="30">
        <v>538</v>
      </c>
      <c r="B177" s="31" t="s">
        <v>491</v>
      </c>
      <c r="C177" s="41">
        <v>791</v>
      </c>
      <c r="D177" s="41">
        <v>788</v>
      </c>
      <c r="E177" s="41">
        <v>878</v>
      </c>
      <c r="F177" s="41">
        <v>1610</v>
      </c>
      <c r="G177" s="41">
        <v>1054</v>
      </c>
      <c r="H177" s="41">
        <v>824</v>
      </c>
      <c r="I177" s="165">
        <v>1625.3132700000001</v>
      </c>
      <c r="J177" s="41">
        <v>1514.4196200000001</v>
      </c>
      <c r="K177" s="41">
        <v>2098.6582999999996</v>
      </c>
      <c r="L177" s="41">
        <v>1817.2639999999999</v>
      </c>
      <c r="M177" s="41">
        <v>1612.317</v>
      </c>
      <c r="N177" s="41">
        <v>1670.6690000000001</v>
      </c>
      <c r="O177" s="41">
        <f t="shared" si="7"/>
        <v>1724.575374969718</v>
      </c>
      <c r="P177" s="41">
        <f t="shared" si="7"/>
        <v>1778.4817499394358</v>
      </c>
      <c r="Q177" s="165"/>
      <c r="T177" s="34">
        <v>538</v>
      </c>
      <c r="U177" s="88" t="s">
        <v>491</v>
      </c>
      <c r="V177" s="41">
        <f>C177/'1. Väestöennuste'!E177*1000</f>
        <v>162.79069767441862</v>
      </c>
      <c r="W177" s="41">
        <f>D177/'1. Väestöennuste'!F177*1000</f>
        <v>163.65524402907579</v>
      </c>
      <c r="X177" s="41">
        <f>E177/'1. Väestöennuste'!G177*1000</f>
        <v>182.42260544359027</v>
      </c>
      <c r="Y177" s="41">
        <f>F177/'1. Väestöennuste'!H177*1000</f>
        <v>340.16480033805198</v>
      </c>
      <c r="Z177" s="41">
        <f>G177/'1. Väestöennuste'!I177*1000</f>
        <v>223.54188759278898</v>
      </c>
      <c r="AA177" s="41">
        <f>H177/'1. Väestöennuste'!J177*1000</f>
        <v>175.58065203494567</v>
      </c>
      <c r="AB177" s="41">
        <f>I177/'1. Väestöennuste'!K177*1000</f>
        <v>346.62257837492007</v>
      </c>
      <c r="AC177" s="41">
        <f>J177/'1. Väestöennuste'!L177*1000</f>
        <v>326.10241602067185</v>
      </c>
      <c r="AD177" s="41">
        <f>K177/'1. Väestöennuste'!M177*1000</f>
        <v>446.99857294994666</v>
      </c>
      <c r="AE177" s="41">
        <f>L177/'1. Väestöennuste'!N177*1000</f>
        <v>393.94407110340342</v>
      </c>
      <c r="AF177" s="41">
        <f>M177/'1. Väestöennuste'!O177*1000</f>
        <v>350.73243419621491</v>
      </c>
      <c r="AG177" s="41">
        <f>N177/'1. Väestöennuste'!P177*1000</f>
        <v>364.69526304300376</v>
      </c>
      <c r="AH177" s="41">
        <f>O177/'1. Väestöennuste'!Q177*1000</f>
        <v>377.6166794328264</v>
      </c>
      <c r="AI177" s="41">
        <f>P177/'1. Väestöennuste'!R177*1000</f>
        <v>390.53178523044261</v>
      </c>
    </row>
    <row r="178" spans="1:35" x14ac:dyDescent="0.25">
      <c r="A178" s="30">
        <v>541</v>
      </c>
      <c r="B178" s="31" t="s">
        <v>492</v>
      </c>
      <c r="C178" s="41">
        <v>2611</v>
      </c>
      <c r="D178" s="41">
        <v>3927</v>
      </c>
      <c r="E178" s="41">
        <v>3635</v>
      </c>
      <c r="F178" s="41">
        <v>4825</v>
      </c>
      <c r="G178" s="41">
        <v>5178</v>
      </c>
      <c r="H178" s="41">
        <v>5311</v>
      </c>
      <c r="I178" s="165">
        <v>4505.1897800000006</v>
      </c>
      <c r="J178" s="41">
        <v>4709.6679699999995</v>
      </c>
      <c r="K178" s="41">
        <v>5895.6536599999999</v>
      </c>
      <c r="L178" s="41">
        <v>4657.8999999999996</v>
      </c>
      <c r="M178" s="41">
        <v>4642.7</v>
      </c>
      <c r="N178" s="41">
        <v>4338.6000000000004</v>
      </c>
      <c r="O178" s="41">
        <f t="shared" si="7"/>
        <v>4478.5907452904303</v>
      </c>
      <c r="P178" s="41">
        <f t="shared" si="7"/>
        <v>4618.5814905808602</v>
      </c>
      <c r="Q178" s="165"/>
      <c r="T178" s="34">
        <v>541</v>
      </c>
      <c r="U178" s="88" t="s">
        <v>492</v>
      </c>
      <c r="V178" s="41">
        <f>C178/'1. Väestöennuste'!E178*1000</f>
        <v>326.53826913456732</v>
      </c>
      <c r="W178" s="41">
        <f>D178/'1. Väestöennuste'!F178*1000</f>
        <v>387.6604146100691</v>
      </c>
      <c r="X178" s="41">
        <f>E178/'1. Väestöennuste'!G178*1000</f>
        <v>364.11900230391666</v>
      </c>
      <c r="Y178" s="41">
        <f>F178/'1. Väestöennuste'!H178*1000</f>
        <v>493.15208503679474</v>
      </c>
      <c r="Z178" s="41">
        <f>G178/'1. Väestöennuste'!I178*1000</f>
        <v>542.0854271356784</v>
      </c>
      <c r="AA178" s="41">
        <f>H178/'1. Väestöennuste'!J178*1000</f>
        <v>558.99379012735506</v>
      </c>
      <c r="AB178" s="41">
        <f>I178/'1. Väestöennuste'!K178*1000</f>
        <v>478.10567547490189</v>
      </c>
      <c r="AC178" s="41">
        <f>J178/'1. Väestöennuste'!L178*1000</f>
        <v>509.53889105268848</v>
      </c>
      <c r="AD178" s="41">
        <f>K178/'1. Väestöennuste'!M178*1000</f>
        <v>645.74519824753565</v>
      </c>
      <c r="AE178" s="41">
        <f>L178/'1. Väestöennuste'!N178*1000</f>
        <v>524.18410983569652</v>
      </c>
      <c r="AF178" s="41">
        <f>M178/'1. Väestöennuste'!O178*1000</f>
        <v>530.83695403613069</v>
      </c>
      <c r="AG178" s="41">
        <f>N178/'1. Väestöennuste'!P178*1000</f>
        <v>503.6684467146506</v>
      </c>
      <c r="AH178" s="41">
        <f>O178/'1. Väestöennuste'!Q178*1000</f>
        <v>527.51363313197066</v>
      </c>
      <c r="AI178" s="41">
        <f>P178/'1. Väestöennuste'!R178*1000</f>
        <v>551.67002993082417</v>
      </c>
    </row>
    <row r="179" spans="1:35" x14ac:dyDescent="0.25">
      <c r="A179" s="30">
        <v>543</v>
      </c>
      <c r="B179" s="31" t="s">
        <v>493</v>
      </c>
      <c r="C179" s="41">
        <v>14544</v>
      </c>
      <c r="D179" s="41">
        <v>14575</v>
      </c>
      <c r="E179" s="41">
        <v>15168</v>
      </c>
      <c r="F179" s="41">
        <v>18854</v>
      </c>
      <c r="G179" s="41">
        <v>18033</v>
      </c>
      <c r="H179" s="41">
        <v>18232</v>
      </c>
      <c r="I179" s="165">
        <v>19069.366460000001</v>
      </c>
      <c r="J179" s="41">
        <v>19617.87905</v>
      </c>
      <c r="K179" s="41">
        <v>25760.549449999999</v>
      </c>
      <c r="L179" s="41">
        <v>24455.999500000002</v>
      </c>
      <c r="M179" s="41">
        <v>25425.62</v>
      </c>
      <c r="N179" s="41">
        <v>27415.62</v>
      </c>
      <c r="O179" s="41">
        <f t="shared" si="7"/>
        <v>28300.221732448077</v>
      </c>
      <c r="P179" s="41">
        <f t="shared" si="7"/>
        <v>29184.823464896152</v>
      </c>
      <c r="Q179" s="165"/>
      <c r="T179" s="34">
        <v>543</v>
      </c>
      <c r="U179" s="88" t="s">
        <v>493</v>
      </c>
      <c r="V179" s="41">
        <f>C179/'1. Väestöennuste'!E179*1000</f>
        <v>347.13702651741175</v>
      </c>
      <c r="W179" s="41">
        <f>D179/'1. Väestöennuste'!F179*1000</f>
        <v>346.94120447512501</v>
      </c>
      <c r="X179" s="41">
        <f>E179/'1. Väestöennuste'!G179*1000</f>
        <v>359.78082971607483</v>
      </c>
      <c r="Y179" s="41">
        <f>F179/'1. Väestöennuste'!H179*1000</f>
        <v>441.90788702683699</v>
      </c>
      <c r="Z179" s="41">
        <f>G179/'1. Väestöennuste'!I179*1000</f>
        <v>419.44037401437447</v>
      </c>
      <c r="AA179" s="41">
        <f>H179/'1. Väestöennuste'!J179*1000</f>
        <v>417.56177999679363</v>
      </c>
      <c r="AB179" s="41">
        <f>I179/'1. Väestöennuste'!K179*1000</f>
        <v>432.14735785346841</v>
      </c>
      <c r="AC179" s="41">
        <f>J179/'1. Väestöennuste'!L179*1000</f>
        <v>441.2676919789464</v>
      </c>
      <c r="AD179" s="41">
        <f>K179/'1. Väestöennuste'!M179*1000</f>
        <v>575.20485542034157</v>
      </c>
      <c r="AE179" s="41">
        <f>L179/'1. Väestöennuste'!N179*1000</f>
        <v>541.68511340480211</v>
      </c>
      <c r="AF179" s="41">
        <f>M179/'1. Väestöennuste'!O179*1000</f>
        <v>558.95225114315861</v>
      </c>
      <c r="AG179" s="41">
        <f>N179/'1. Väestöennuste'!P179*1000</f>
        <v>598.33304233958972</v>
      </c>
      <c r="AH179" s="41">
        <f>O179/'1. Väestöennuste'!Q179*1000</f>
        <v>613.32889195197606</v>
      </c>
      <c r="AI179" s="41">
        <f>P179/'1. Väestöennuste'!R179*1000</f>
        <v>628.31973702116625</v>
      </c>
    </row>
    <row r="180" spans="1:35" x14ac:dyDescent="0.25">
      <c r="A180" s="30">
        <v>545</v>
      </c>
      <c r="B180" s="31" t="s">
        <v>494</v>
      </c>
      <c r="C180" s="41">
        <v>2400</v>
      </c>
      <c r="D180" s="41">
        <v>2688</v>
      </c>
      <c r="E180" s="41">
        <v>2974</v>
      </c>
      <c r="F180" s="41">
        <v>2978</v>
      </c>
      <c r="G180" s="41">
        <v>3161</v>
      </c>
      <c r="H180" s="41">
        <v>3594</v>
      </c>
      <c r="I180" s="165">
        <v>3668.1836200000002</v>
      </c>
      <c r="J180" s="41">
        <v>4069.4664500000003</v>
      </c>
      <c r="K180" s="41">
        <v>4822.6412499999997</v>
      </c>
      <c r="L180" s="41">
        <v>5343.2439999999997</v>
      </c>
      <c r="M180" s="41">
        <v>5800</v>
      </c>
      <c r="N180" s="41">
        <v>6200</v>
      </c>
      <c r="O180" s="41">
        <f t="shared" si="7"/>
        <v>6400.051311667512</v>
      </c>
      <c r="P180" s="41">
        <f t="shared" si="7"/>
        <v>6600.102623335024</v>
      </c>
      <c r="Q180" s="165"/>
      <c r="T180" s="34">
        <v>545</v>
      </c>
      <c r="U180" s="88" t="s">
        <v>494</v>
      </c>
      <c r="V180" s="41">
        <f>C180/'1. Väestöennuste'!E180*1000</f>
        <v>255.67273889421537</v>
      </c>
      <c r="W180" s="41">
        <f>D180/'1. Väestöennuste'!F180*1000</f>
        <v>284.77592965356502</v>
      </c>
      <c r="X180" s="41">
        <f>E180/'1. Väestöennuste'!G180*1000</f>
        <v>312.8221310613232</v>
      </c>
      <c r="Y180" s="41">
        <f>F180/'1. Väestöennuste'!H180*1000</f>
        <v>314.4335339457291</v>
      </c>
      <c r="Z180" s="41">
        <f>G180/'1. Väestöennuste'!I180*1000</f>
        <v>333.47399514716739</v>
      </c>
      <c r="AA180" s="41">
        <f>H180/'1. Väestöennuste'!J180*1000</f>
        <v>376.02008788449467</v>
      </c>
      <c r="AB180" s="41">
        <f>I180/'1. Väestöennuste'!K180*1000</f>
        <v>383.62096005019873</v>
      </c>
      <c r="AC180" s="41">
        <f>J180/'1. Väestöennuste'!L180*1000</f>
        <v>424.61043927378967</v>
      </c>
      <c r="AD180" s="41">
        <f>K180/'1. Väestöennuste'!M180*1000</f>
        <v>501.26195301943665</v>
      </c>
      <c r="AE180" s="41">
        <f>L180/'1. Väestöennuste'!N180*1000</f>
        <v>555.89305035372445</v>
      </c>
      <c r="AF180" s="41">
        <f>M180/'1. Väestöennuste'!O180*1000</f>
        <v>602.7852837247973</v>
      </c>
      <c r="AG180" s="41">
        <f>N180/'1. Väestöennuste'!P180*1000</f>
        <v>643.95513086830078</v>
      </c>
      <c r="AH180" s="41">
        <f>O180/'1. Väestöennuste'!Q180*1000</f>
        <v>664.31921441431518</v>
      </c>
      <c r="AI180" s="41">
        <f>P180/'1. Väestöennuste'!R180*1000</f>
        <v>684.80002317234107</v>
      </c>
    </row>
    <row r="181" spans="1:35" x14ac:dyDescent="0.25">
      <c r="A181" s="30">
        <v>560</v>
      </c>
      <c r="B181" s="31" t="s">
        <v>495</v>
      </c>
      <c r="C181" s="41">
        <v>3150</v>
      </c>
      <c r="D181" s="41">
        <v>3379</v>
      </c>
      <c r="E181" s="41">
        <v>3404</v>
      </c>
      <c r="F181" s="41">
        <v>3927</v>
      </c>
      <c r="G181" s="41">
        <v>4654</v>
      </c>
      <c r="H181" s="41">
        <v>6104</v>
      </c>
      <c r="I181" s="165">
        <v>5425.2080500000002</v>
      </c>
      <c r="J181" s="41">
        <v>6143.5405599999995</v>
      </c>
      <c r="K181" s="41">
        <v>8375.0962099999997</v>
      </c>
      <c r="L181" s="41">
        <v>6760</v>
      </c>
      <c r="M181" s="41">
        <v>6550</v>
      </c>
      <c r="N181" s="41">
        <v>6215</v>
      </c>
      <c r="O181" s="41">
        <f t="shared" si="7"/>
        <v>6415.5353067763854</v>
      </c>
      <c r="P181" s="41">
        <f t="shared" si="7"/>
        <v>6616.0706135527698</v>
      </c>
      <c r="Q181" s="165"/>
      <c r="T181" s="34">
        <v>560</v>
      </c>
      <c r="U181" s="88" t="s">
        <v>495</v>
      </c>
      <c r="V181" s="41">
        <f>C181/'1. Väestöennuste'!E181*1000</f>
        <v>192.94377067254686</v>
      </c>
      <c r="W181" s="41">
        <f>D181/'1. Väestöennuste'!F181*1000</f>
        <v>207.56803243442474</v>
      </c>
      <c r="X181" s="41">
        <f>E181/'1. Väestöennuste'!G181*1000</f>
        <v>209.85142716232045</v>
      </c>
      <c r="Y181" s="41">
        <f>F181/'1. Väestöennuste'!H181*1000</f>
        <v>244.04946864706977</v>
      </c>
      <c r="Z181" s="41">
        <f>G181/'1. Väestöennuste'!I181*1000</f>
        <v>290.82047116165722</v>
      </c>
      <c r="AA181" s="41">
        <f>H181/'1. Väestöennuste'!J181*1000</f>
        <v>384.33446669185241</v>
      </c>
      <c r="AB181" s="41">
        <f>I181/'1. Väestöennuste'!K181*1000</f>
        <v>343.1938290738866</v>
      </c>
      <c r="AC181" s="41">
        <f>J181/'1. Väestöennuste'!L181*1000</f>
        <v>390.43791293295197</v>
      </c>
      <c r="AD181" s="41">
        <f>K181/'1. Väestöennuste'!M181*1000</f>
        <v>534.50100261663158</v>
      </c>
      <c r="AE181" s="41">
        <f>L181/'1. Väestöennuste'!N181*1000</f>
        <v>435.48283192681822</v>
      </c>
      <c r="AF181" s="41">
        <f>M181/'1. Väestöennuste'!O181*1000</f>
        <v>424.4152141514935</v>
      </c>
      <c r="AG181" s="41">
        <f>N181/'1. Väestöennuste'!P181*1000</f>
        <v>404.93875423507944</v>
      </c>
      <c r="AH181" s="41">
        <f>O181/'1. Väestöennuste'!Q181*1000</f>
        <v>420.24992183783479</v>
      </c>
      <c r="AI181" s="41">
        <f>P181/'1. Väestöennuste'!R181*1000</f>
        <v>435.72646295790105</v>
      </c>
    </row>
    <row r="182" spans="1:35" x14ac:dyDescent="0.25">
      <c r="A182" s="30">
        <v>561</v>
      </c>
      <c r="B182" s="31" t="s">
        <v>496</v>
      </c>
      <c r="C182" s="41">
        <v>350</v>
      </c>
      <c r="D182" s="41">
        <v>410</v>
      </c>
      <c r="E182" s="41">
        <v>459</v>
      </c>
      <c r="F182" s="41">
        <v>472</v>
      </c>
      <c r="G182" s="41">
        <v>443</v>
      </c>
      <c r="H182" s="41">
        <v>420</v>
      </c>
      <c r="I182" s="165">
        <v>440.81996999999996</v>
      </c>
      <c r="J182" s="41">
        <v>452.75301000000002</v>
      </c>
      <c r="K182" s="41">
        <v>485.63718999999998</v>
      </c>
      <c r="L182" s="41">
        <v>521.6</v>
      </c>
      <c r="M182" s="41">
        <v>515</v>
      </c>
      <c r="N182" s="41">
        <v>515</v>
      </c>
      <c r="O182" s="41">
        <f t="shared" si="7"/>
        <v>531.6171654046401</v>
      </c>
      <c r="P182" s="41">
        <f t="shared" si="7"/>
        <v>548.23433080928021</v>
      </c>
      <c r="Q182" s="165"/>
      <c r="T182" s="34">
        <v>561</v>
      </c>
      <c r="U182" s="88" t="s">
        <v>496</v>
      </c>
      <c r="V182" s="41">
        <f>C182/'1. Väestöennuste'!E182*1000</f>
        <v>254.17574437182279</v>
      </c>
      <c r="W182" s="41">
        <f>D182/'1. Väestöennuste'!F182*1000</f>
        <v>300.80704328686721</v>
      </c>
      <c r="X182" s="41">
        <f>E182/'1. Väestöennuste'!G182*1000</f>
        <v>332.12735166425472</v>
      </c>
      <c r="Y182" s="41">
        <f>F182/'1. Väestöennuste'!H182*1000</f>
        <v>346.04105571847509</v>
      </c>
      <c r="Z182" s="41">
        <f>G182/'1. Väestöennuste'!I182*1000</f>
        <v>333.33333333333331</v>
      </c>
      <c r="AA182" s="41">
        <f>H182/'1. Väestöennuste'!J182*1000</f>
        <v>314.84257871064472</v>
      </c>
      <c r="AB182" s="41">
        <f>I182/'1. Väestöennuste'!K182*1000</f>
        <v>329.7082797307404</v>
      </c>
      <c r="AC182" s="41">
        <f>J182/'1. Väestöennuste'!L182*1000</f>
        <v>343.77601366742601</v>
      </c>
      <c r="AD182" s="41">
        <f>K182/'1. Väestöennuste'!M182*1000</f>
        <v>369.30584790874519</v>
      </c>
      <c r="AE182" s="41">
        <f>L182/'1. Väestöennuste'!N182*1000</f>
        <v>398.16793893129773</v>
      </c>
      <c r="AF182" s="41">
        <f>M182/'1. Väestöennuste'!O182*1000</f>
        <v>394.63601532567048</v>
      </c>
      <c r="AG182" s="41">
        <f>N182/'1. Väestöennuste'!P182*1000</f>
        <v>395.84934665641811</v>
      </c>
      <c r="AH182" s="41">
        <f>O182/'1. Väestöennuste'!Q182*1000</f>
        <v>409.56638320850544</v>
      </c>
      <c r="AI182" s="41">
        <f>P182/'1. Väestöennuste'!R182*1000</f>
        <v>423.34697359789982</v>
      </c>
    </row>
    <row r="183" spans="1:35" x14ac:dyDescent="0.25">
      <c r="A183" s="30">
        <v>562</v>
      </c>
      <c r="B183" s="31" t="s">
        <v>497</v>
      </c>
      <c r="C183" s="41">
        <v>2953</v>
      </c>
      <c r="D183" s="41">
        <v>3028</v>
      </c>
      <c r="E183" s="41">
        <v>3283</v>
      </c>
      <c r="F183" s="41">
        <v>3004</v>
      </c>
      <c r="G183" s="41">
        <v>3140</v>
      </c>
      <c r="H183" s="41">
        <v>2930</v>
      </c>
      <c r="I183" s="165">
        <v>2925.87716</v>
      </c>
      <c r="J183" s="41">
        <v>2712.5756099999999</v>
      </c>
      <c r="K183" s="41">
        <v>3140.09483</v>
      </c>
      <c r="L183" s="41">
        <v>3478.76</v>
      </c>
      <c r="M183" s="41">
        <v>3548.8670000000002</v>
      </c>
      <c r="N183" s="41">
        <v>3460.2820000000002</v>
      </c>
      <c r="O183" s="41">
        <f t="shared" si="7"/>
        <v>3571.9326375547553</v>
      </c>
      <c r="P183" s="41">
        <f t="shared" si="7"/>
        <v>3683.5832751095104</v>
      </c>
      <c r="Q183" s="165"/>
      <c r="T183" s="34">
        <v>562</v>
      </c>
      <c r="U183" s="88" t="s">
        <v>497</v>
      </c>
      <c r="V183" s="41">
        <f>C183/'1. Väestöennuste'!E183*1000</f>
        <v>313.88180272108843</v>
      </c>
      <c r="W183" s="41">
        <f>D183/'1. Väestöennuste'!F183*1000</f>
        <v>325.17182130584195</v>
      </c>
      <c r="X183" s="41">
        <f>E183/'1. Väestöennuste'!G183*1000</f>
        <v>353.58104469574579</v>
      </c>
      <c r="Y183" s="41">
        <f>F183/'1. Väestöennuste'!H183*1000</f>
        <v>325.77811517189025</v>
      </c>
      <c r="Z183" s="41">
        <f>G183/'1. Väestöennuste'!I183*1000</f>
        <v>342.86962218825073</v>
      </c>
      <c r="AA183" s="41">
        <f>H183/'1. Väestöennuste'!J183*1000</f>
        <v>325.26642984014211</v>
      </c>
      <c r="AB183" s="41">
        <f>I183/'1. Väestöennuste'!K183*1000</f>
        <v>325.89409222543998</v>
      </c>
      <c r="AC183" s="41">
        <f>J183/'1. Väestöennuste'!L183*1000</f>
        <v>303.58988360380522</v>
      </c>
      <c r="AD183" s="41">
        <f>K183/'1. Väestöennuste'!M183*1000</f>
        <v>355.2545344495984</v>
      </c>
      <c r="AE183" s="41">
        <f>L183/'1. Väestöennuste'!N183*1000</f>
        <v>400.64033168259823</v>
      </c>
      <c r="AF183" s="41">
        <f>M183/'1. Väestöennuste'!O183*1000</f>
        <v>412.03610820852202</v>
      </c>
      <c r="AG183" s="41">
        <f>N183/'1. Väestöennuste'!P183*1000</f>
        <v>404.94815681685196</v>
      </c>
      <c r="AH183" s="41">
        <f>O183/'1. Väestöennuste'!Q183*1000</f>
        <v>421.21847140975888</v>
      </c>
      <c r="AI183" s="41">
        <f>P183/'1. Väestöennuste'!R183*1000</f>
        <v>437.53216238383538</v>
      </c>
    </row>
    <row r="184" spans="1:35" x14ac:dyDescent="0.25">
      <c r="A184" s="30">
        <v>563</v>
      </c>
      <c r="B184" s="31" t="s">
        <v>498</v>
      </c>
      <c r="C184" s="41">
        <v>1979</v>
      </c>
      <c r="D184" s="41">
        <v>2145</v>
      </c>
      <c r="E184" s="41">
        <v>2245</v>
      </c>
      <c r="F184" s="41">
        <v>2541</v>
      </c>
      <c r="G184" s="41">
        <v>2370</v>
      </c>
      <c r="H184" s="41">
        <v>2368</v>
      </c>
      <c r="I184" s="165">
        <v>2553.8984300000002</v>
      </c>
      <c r="J184" s="41">
        <v>2694.0201299999999</v>
      </c>
      <c r="K184" s="41">
        <v>2789.3515899999998</v>
      </c>
      <c r="L184" s="41">
        <v>2891.9879999999998</v>
      </c>
      <c r="M184" s="41">
        <v>2800</v>
      </c>
      <c r="N184" s="41">
        <v>2900</v>
      </c>
      <c r="O184" s="41">
        <f t="shared" si="7"/>
        <v>2993.5723877154492</v>
      </c>
      <c r="P184" s="41">
        <f t="shared" si="7"/>
        <v>3087.1447754308983</v>
      </c>
      <c r="Q184" s="165"/>
      <c r="T184" s="34">
        <v>563</v>
      </c>
      <c r="U184" s="88" t="s">
        <v>498</v>
      </c>
      <c r="V184" s="41">
        <f>C184/'1. Väestöennuste'!E184*1000</f>
        <v>260.05256241787123</v>
      </c>
      <c r="W184" s="41">
        <f>D184/'1. Väestöennuste'!F184*1000</f>
        <v>285.46712802768167</v>
      </c>
      <c r="X184" s="41">
        <f>E184/'1. Väestöennuste'!G184*1000</f>
        <v>300.45503211991439</v>
      </c>
      <c r="Y184" s="41">
        <f>F184/'1. Väestöennuste'!H184*1000</f>
        <v>341.99192462987889</v>
      </c>
      <c r="Z184" s="41">
        <f>G184/'1. Väestöennuste'!I184*1000</f>
        <v>325.19209659714596</v>
      </c>
      <c r="AA184" s="41">
        <f>H184/'1. Väestöennuste'!J184*1000</f>
        <v>330.95737246680648</v>
      </c>
      <c r="AB184" s="41">
        <f>I184/'1. Väestöennuste'!K184*1000</f>
        <v>359.60270768797523</v>
      </c>
      <c r="AC184" s="41">
        <f>J184/'1. Väestöennuste'!L184*1000</f>
        <v>383.49040996441278</v>
      </c>
      <c r="AD184" s="41">
        <f>K184/'1. Väestöennuste'!M184*1000</f>
        <v>399.73510891372882</v>
      </c>
      <c r="AE184" s="41">
        <f>L184/'1. Väestöennuste'!N184*1000</f>
        <v>423.92084432717672</v>
      </c>
      <c r="AF184" s="41">
        <f>M184/'1. Väestöennuste'!O184*1000</f>
        <v>415.30703055473157</v>
      </c>
      <c r="AG184" s="41">
        <f>N184/'1. Väestöennuste'!P184*1000</f>
        <v>435.23938165991297</v>
      </c>
      <c r="AH184" s="41">
        <f>O184/'1. Väestöennuste'!Q184*1000</f>
        <v>454.53574061880494</v>
      </c>
      <c r="AI184" s="41">
        <f>P184/'1. Väestöennuste'!R184*1000</f>
        <v>473.99735535558091</v>
      </c>
    </row>
    <row r="185" spans="1:35" x14ac:dyDescent="0.25">
      <c r="A185" s="30">
        <v>564</v>
      </c>
      <c r="B185" s="31" t="s">
        <v>499</v>
      </c>
      <c r="C185" s="41">
        <v>75192</v>
      </c>
      <c r="D185" s="41">
        <v>80982</v>
      </c>
      <c r="E185" s="41">
        <v>80640</v>
      </c>
      <c r="F185" s="41">
        <v>81437</v>
      </c>
      <c r="G185" s="41">
        <v>87249</v>
      </c>
      <c r="H185" s="41">
        <v>82956</v>
      </c>
      <c r="I185" s="165">
        <v>94963.11093000001</v>
      </c>
      <c r="J185" s="41">
        <v>89029.355060000002</v>
      </c>
      <c r="K185" s="41">
        <v>88081.335470000005</v>
      </c>
      <c r="L185" s="41">
        <v>91109.09</v>
      </c>
      <c r="M185" s="41">
        <v>93486.183000000005</v>
      </c>
      <c r="N185" s="41">
        <v>95976.926999999996</v>
      </c>
      <c r="O185" s="41">
        <f t="shared" si="7"/>
        <v>99073.751215510812</v>
      </c>
      <c r="P185" s="41">
        <f t="shared" si="7"/>
        <v>102170.57543102163</v>
      </c>
      <c r="Q185" s="165"/>
      <c r="T185" s="34">
        <v>564</v>
      </c>
      <c r="U185" s="88" t="s">
        <v>499</v>
      </c>
      <c r="V185" s="41">
        <f>C185/'1. Väestöennuste'!E185*1000</f>
        <v>378.75330562901399</v>
      </c>
      <c r="W185" s="41">
        <f>D185/'1. Väestöennuste'!F185*1000</f>
        <v>403.84788007540169</v>
      </c>
      <c r="X185" s="41">
        <f>E185/'1. Väestöennuste'!G185*1000</f>
        <v>399.58376690946926</v>
      </c>
      <c r="Y185" s="41">
        <f>F185/'1. Väestöennuste'!H185*1000</f>
        <v>400.05010635319081</v>
      </c>
      <c r="Z185" s="41">
        <f>G185/'1. Väestöennuste'!I185*1000</f>
        <v>424.59207062178513</v>
      </c>
      <c r="AA185" s="41">
        <f>H185/'1. Väestöennuste'!J185*1000</f>
        <v>400.12154712121435</v>
      </c>
      <c r="AB185" s="41">
        <f>I185/'1. Väestöennuste'!K185*1000</f>
        <v>453.17421978420532</v>
      </c>
      <c r="AC185" s="41">
        <f>J185/'1. Väestöennuste'!L185*1000</f>
        <v>420.25110012839394</v>
      </c>
      <c r="AD185" s="41">
        <f>K185/'1. Väestöennuste'!M185*1000</f>
        <v>410.38114115723124</v>
      </c>
      <c r="AE185" s="41">
        <f>L185/'1. Väestöennuste'!N185*1000</f>
        <v>423.9702645478024</v>
      </c>
      <c r="AF185" s="41">
        <f>M185/'1. Väestöennuste'!O185*1000</f>
        <v>431.80485540482493</v>
      </c>
      <c r="AG185" s="41">
        <f>N185/'1. Väestöennuste'!P185*1000</f>
        <v>440.22478419213093</v>
      </c>
      <c r="AH185" s="41">
        <f>O185/'1. Väestöennuste'!Q185*1000</f>
        <v>451.43097890110914</v>
      </c>
      <c r="AI185" s="41">
        <f>P185/'1. Väestöennuste'!R185*1000</f>
        <v>462.63057877635481</v>
      </c>
    </row>
    <row r="186" spans="1:35" x14ac:dyDescent="0.25">
      <c r="A186" s="30">
        <v>576</v>
      </c>
      <c r="B186" s="31" t="s">
        <v>500</v>
      </c>
      <c r="C186" s="41">
        <v>1122</v>
      </c>
      <c r="D186" s="41">
        <v>1555</v>
      </c>
      <c r="E186" s="41">
        <v>1596</v>
      </c>
      <c r="F186" s="41">
        <v>1588</v>
      </c>
      <c r="G186" s="41">
        <v>1512</v>
      </c>
      <c r="H186" s="41">
        <v>1474</v>
      </c>
      <c r="I186" s="165">
        <v>1432.4147700000001</v>
      </c>
      <c r="J186" s="41">
        <v>1230.4482600000001</v>
      </c>
      <c r="K186" s="41">
        <v>1094.7332099999999</v>
      </c>
      <c r="L186" s="41">
        <v>1122.3019999999999</v>
      </c>
      <c r="M186" s="41">
        <v>1122.3019999999999</v>
      </c>
      <c r="N186" s="41">
        <v>1122.3019999999999</v>
      </c>
      <c r="O186" s="41">
        <f t="shared" si="7"/>
        <v>1158.5145785785598</v>
      </c>
      <c r="P186" s="41">
        <f t="shared" si="7"/>
        <v>1194.7271571571198</v>
      </c>
      <c r="Q186" s="165"/>
      <c r="T186" s="34">
        <v>576</v>
      </c>
      <c r="U186" s="88" t="s">
        <v>500</v>
      </c>
      <c r="V186" s="41">
        <f>C186/'1. Väestöennuste'!E186*1000</f>
        <v>356.9837734648425</v>
      </c>
      <c r="W186" s="41">
        <f>D186/'1. Väestöennuste'!F186*1000</f>
        <v>506.0201757240481</v>
      </c>
      <c r="X186" s="41">
        <f>E186/'1. Väestöennuste'!G186*1000</f>
        <v>527.25470763131807</v>
      </c>
      <c r="Y186" s="41">
        <f>F186/'1. Väestöennuste'!H186*1000</f>
        <v>535.94330070874116</v>
      </c>
      <c r="Z186" s="41">
        <f>G186/'1. Väestöennuste'!I186*1000</f>
        <v>522.09944751381227</v>
      </c>
      <c r="AA186" s="41">
        <f>H186/'1. Väestöennuste'!J186*1000</f>
        <v>515.20447396015379</v>
      </c>
      <c r="AB186" s="41">
        <f>I186/'1. Väestöennuste'!K186*1000</f>
        <v>509.21250266619268</v>
      </c>
      <c r="AC186" s="41">
        <f>J186/'1. Väestöennuste'!L186*1000</f>
        <v>447.43573090909092</v>
      </c>
      <c r="AD186" s="41">
        <f>K186/'1. Väestöennuste'!M186*1000</f>
        <v>401.58958547322078</v>
      </c>
      <c r="AE186" s="41">
        <f>L186/'1. Väestöennuste'!N186*1000</f>
        <v>418.76940298507458</v>
      </c>
      <c r="AF186" s="41">
        <f>M186/'1. Väestöennuste'!O186*1000</f>
        <v>424.79258137774411</v>
      </c>
      <c r="AG186" s="41">
        <f>N186/'1. Väestöennuste'!P186*1000</f>
        <v>430.66078280890252</v>
      </c>
      <c r="AH186" s="41">
        <f>O186/'1. Väestöennuste'!Q186*1000</f>
        <v>450.43335092478998</v>
      </c>
      <c r="AI186" s="41">
        <f>P186/'1. Väestöennuste'!R186*1000</f>
        <v>470.55027851796763</v>
      </c>
    </row>
    <row r="187" spans="1:35" x14ac:dyDescent="0.25">
      <c r="A187" s="30">
        <v>577</v>
      </c>
      <c r="B187" s="31" t="s">
        <v>501</v>
      </c>
      <c r="C187" s="41">
        <v>1800</v>
      </c>
      <c r="D187" s="41">
        <v>1875</v>
      </c>
      <c r="E187" s="41">
        <v>1770</v>
      </c>
      <c r="F187" s="41">
        <v>1904</v>
      </c>
      <c r="G187" s="41">
        <v>2172</v>
      </c>
      <c r="H187" s="41">
        <v>2522</v>
      </c>
      <c r="I187" s="165">
        <v>2494.9400599999999</v>
      </c>
      <c r="J187" s="41">
        <v>2593.5314500000004</v>
      </c>
      <c r="K187" s="41">
        <v>2883.08563</v>
      </c>
      <c r="L187" s="41">
        <v>2700</v>
      </c>
      <c r="M187" s="41">
        <v>2700</v>
      </c>
      <c r="N187" s="41">
        <v>2700</v>
      </c>
      <c r="O187" s="41">
        <f t="shared" si="7"/>
        <v>2787.1191195971423</v>
      </c>
      <c r="P187" s="41">
        <f t="shared" si="7"/>
        <v>2874.2382391942847</v>
      </c>
      <c r="Q187" s="165"/>
      <c r="T187" s="34">
        <v>577</v>
      </c>
      <c r="U187" s="88" t="s">
        <v>501</v>
      </c>
      <c r="V187" s="41">
        <f>C187/'1. Väestöennuste'!E187*1000</f>
        <v>169.4915254237288</v>
      </c>
      <c r="W187" s="41">
        <f>D187/'1. Väestöennuste'!F187*1000</f>
        <v>175.02100252030246</v>
      </c>
      <c r="X187" s="41">
        <f>E187/'1. Väestöennuste'!G187*1000</f>
        <v>164.95806150978564</v>
      </c>
      <c r="Y187" s="41">
        <f>F187/'1. Väestöennuste'!H187*1000</f>
        <v>175.7754800590842</v>
      </c>
      <c r="Z187" s="41">
        <f>G187/'1. Väestöennuste'!I187*1000</f>
        <v>200.18433179723502</v>
      </c>
      <c r="AA187" s="41">
        <f>H187/'1. Väestöennuste'!J187*1000</f>
        <v>230.91008972715622</v>
      </c>
      <c r="AB187" s="41">
        <f>I187/'1. Väestöennuste'!K187*1000</f>
        <v>225.97047912326781</v>
      </c>
      <c r="AC187" s="41">
        <f>J187/'1. Väestöennuste'!L187*1000</f>
        <v>232.85432303824749</v>
      </c>
      <c r="AD187" s="41">
        <f>K187/'1. Väestöennuste'!M187*1000</f>
        <v>256.59359469562122</v>
      </c>
      <c r="AE187" s="41">
        <f>L187/'1. Väestöennuste'!N187*1000</f>
        <v>242.74026791333273</v>
      </c>
      <c r="AF187" s="41">
        <f>M187/'1. Väestöennuste'!O187*1000</f>
        <v>241.6539872907903</v>
      </c>
      <c r="AG187" s="41">
        <f>N187/'1. Väestöennuste'!P187*1000</f>
        <v>240.64171122994651</v>
      </c>
      <c r="AH187" s="41">
        <f>O187/'1. Väestöennuste'!Q187*1000</f>
        <v>247.45797030961046</v>
      </c>
      <c r="AI187" s="41">
        <f>P187/'1. Väestöennuste'!R187*1000</f>
        <v>254.3573663003792</v>
      </c>
    </row>
    <row r="188" spans="1:35" x14ac:dyDescent="0.25">
      <c r="A188" s="30">
        <v>578</v>
      </c>
      <c r="B188" s="31" t="s">
        <v>502</v>
      </c>
      <c r="C188" s="41">
        <v>1020</v>
      </c>
      <c r="D188" s="41">
        <v>1034</v>
      </c>
      <c r="E188" s="41">
        <v>1798</v>
      </c>
      <c r="F188" s="41">
        <v>1269</v>
      </c>
      <c r="G188" s="41">
        <v>1341</v>
      </c>
      <c r="H188" s="41">
        <v>1283</v>
      </c>
      <c r="I188" s="165">
        <v>1574.9957199999999</v>
      </c>
      <c r="J188" s="41">
        <v>1411.0313999999998</v>
      </c>
      <c r="K188" s="41">
        <v>1431.4631299999999</v>
      </c>
      <c r="L188" s="41">
        <v>1477.5329999999999</v>
      </c>
      <c r="M188" s="41">
        <v>1506.4010000000001</v>
      </c>
      <c r="N188" s="41">
        <v>1463.0650000000001</v>
      </c>
      <c r="O188" s="41">
        <f t="shared" si="7"/>
        <v>1510.272753597553</v>
      </c>
      <c r="P188" s="41">
        <f t="shared" si="7"/>
        <v>1557.4805071951059</v>
      </c>
      <c r="Q188" s="165"/>
      <c r="T188" s="34">
        <v>578</v>
      </c>
      <c r="U188" s="88" t="s">
        <v>502</v>
      </c>
      <c r="V188" s="41">
        <f>C188/'1. Väestöennuste'!E188*1000</f>
        <v>292.43119266055044</v>
      </c>
      <c r="W188" s="41">
        <f>D188/'1. Väestöennuste'!F188*1000</f>
        <v>296.19020338012029</v>
      </c>
      <c r="X188" s="41">
        <f>E188/'1. Väestöennuste'!G188*1000</f>
        <v>523.43522561863176</v>
      </c>
      <c r="Y188" s="41">
        <f>F188/'1. Väestöennuste'!H188*1000</f>
        <v>380.39568345323744</v>
      </c>
      <c r="Z188" s="41">
        <f>G188/'1. Väestöennuste'!I188*1000</f>
        <v>409.71585701191566</v>
      </c>
      <c r="AA188" s="41">
        <f>H188/'1. Väestöennuste'!J188*1000</f>
        <v>396.59969088098916</v>
      </c>
      <c r="AB188" s="41">
        <f>I188/'1. Väestöennuste'!K188*1000</f>
        <v>494.81486647816519</v>
      </c>
      <c r="AC188" s="41">
        <f>J188/'1. Väestöennuste'!L188*1000</f>
        <v>455.17141935483869</v>
      </c>
      <c r="AD188" s="41">
        <f>K188/'1. Väestöennuste'!M188*1000</f>
        <v>471.34116891669407</v>
      </c>
      <c r="AE188" s="41">
        <f>L188/'1. Väestöennuste'!N188*1000</f>
        <v>484.11959370904322</v>
      </c>
      <c r="AF188" s="41">
        <f>M188/'1. Väestöennuste'!O188*1000</f>
        <v>500.13313413014617</v>
      </c>
      <c r="AG188" s="41">
        <f>N188/'1. Väestöennuste'!P188*1000</f>
        <v>491.9519166106254</v>
      </c>
      <c r="AH188" s="41">
        <f>O188/'1. Väestöennuste'!Q188*1000</f>
        <v>514.04790796376892</v>
      </c>
      <c r="AI188" s="41">
        <f>P188/'1. Väestöennuste'!R188*1000</f>
        <v>536.50723637447675</v>
      </c>
    </row>
    <row r="189" spans="1:35" x14ac:dyDescent="0.25">
      <c r="A189" s="30">
        <v>580</v>
      </c>
      <c r="B189" s="31" t="s">
        <v>503</v>
      </c>
      <c r="C189" s="41">
        <v>1670</v>
      </c>
      <c r="D189" s="41">
        <v>1969</v>
      </c>
      <c r="E189" s="41">
        <v>2071</v>
      </c>
      <c r="F189" s="41">
        <v>1671</v>
      </c>
      <c r="G189" s="41">
        <v>1511</v>
      </c>
      <c r="H189" s="41">
        <v>1618</v>
      </c>
      <c r="I189" s="165">
        <v>1980.2443500000002</v>
      </c>
      <c r="J189" s="41">
        <v>1921.2325800000001</v>
      </c>
      <c r="K189" s="41">
        <v>1905.9993400000001</v>
      </c>
      <c r="L189" s="41">
        <v>2693.3389999999999</v>
      </c>
      <c r="M189" s="41">
        <v>2570.027</v>
      </c>
      <c r="N189" s="41">
        <v>2395.5949999999998</v>
      </c>
      <c r="O189" s="41">
        <f t="shared" si="7"/>
        <v>2472.8920841893764</v>
      </c>
      <c r="P189" s="41">
        <f t="shared" si="7"/>
        <v>2550.1891683787526</v>
      </c>
      <c r="Q189" s="165"/>
      <c r="T189" s="34">
        <v>580</v>
      </c>
      <c r="U189" s="88" t="s">
        <v>503</v>
      </c>
      <c r="V189" s="41">
        <f>C189/'1. Väestöennuste'!E189*1000</f>
        <v>319.00668576886341</v>
      </c>
      <c r="W189" s="41">
        <f>D189/'1. Väestöennuste'!F189*1000</f>
        <v>384.12017167381975</v>
      </c>
      <c r="X189" s="41">
        <f>E189/'1. Väestöennuste'!G189*1000</f>
        <v>416.78406117931172</v>
      </c>
      <c r="Y189" s="41">
        <f>F189/'1. Väestöennuste'!H189*1000</f>
        <v>345.10532837670382</v>
      </c>
      <c r="Z189" s="41">
        <f>G189/'1. Väestöennuste'!I189*1000</f>
        <v>319.18039712716518</v>
      </c>
      <c r="AA189" s="41">
        <f>H189/'1. Väestöennuste'!J189*1000</f>
        <v>347.58324382384529</v>
      </c>
      <c r="AB189" s="41">
        <f>I189/'1. Väestöennuste'!K189*1000</f>
        <v>433.59850010948111</v>
      </c>
      <c r="AC189" s="41">
        <f>J189/'1. Väestöennuste'!L189*1000</f>
        <v>432.90504281207751</v>
      </c>
      <c r="AD189" s="41">
        <f>K189/'1. Väestöennuste'!M189*1000</f>
        <v>436.55504809894643</v>
      </c>
      <c r="AE189" s="41">
        <f>L189/'1. Väestöennuste'!N189*1000</f>
        <v>627.08707799767171</v>
      </c>
      <c r="AF189" s="41">
        <f>M189/'1. Väestöennuste'!O189*1000</f>
        <v>609.15548708224696</v>
      </c>
      <c r="AG189" s="41">
        <f>N189/'1. Väestöennuste'!P189*1000</f>
        <v>578.0875965250965</v>
      </c>
      <c r="AH189" s="41">
        <f>O189/'1. Väestöennuste'!Q189*1000</f>
        <v>607.59019267552253</v>
      </c>
      <c r="AI189" s="41">
        <f>P189/'1. Väestöennuste'!R189*1000</f>
        <v>637.22867775581028</v>
      </c>
    </row>
    <row r="190" spans="1:35" x14ac:dyDescent="0.25">
      <c r="A190" s="30">
        <v>581</v>
      </c>
      <c r="B190" s="31" t="s">
        <v>504</v>
      </c>
      <c r="C190" s="41">
        <v>1750</v>
      </c>
      <c r="D190" s="41">
        <v>2286</v>
      </c>
      <c r="E190" s="41">
        <v>1723</v>
      </c>
      <c r="F190" s="41">
        <v>1988</v>
      </c>
      <c r="G190" s="41">
        <v>1974</v>
      </c>
      <c r="H190" s="41">
        <v>2111</v>
      </c>
      <c r="I190" s="165">
        <v>2252.4047300000002</v>
      </c>
      <c r="J190" s="41">
        <v>1917.4519700000001</v>
      </c>
      <c r="K190" s="41">
        <v>2230.8520099999996</v>
      </c>
      <c r="L190" s="41">
        <v>1780</v>
      </c>
      <c r="M190" s="41">
        <v>1800</v>
      </c>
      <c r="N190" s="41">
        <v>1800</v>
      </c>
      <c r="O190" s="41">
        <f t="shared" si="7"/>
        <v>1858.0794130647616</v>
      </c>
      <c r="P190" s="41">
        <f t="shared" si="7"/>
        <v>1916.158826129523</v>
      </c>
      <c r="Q190" s="165"/>
      <c r="T190" s="34">
        <v>581</v>
      </c>
      <c r="U190" s="88" t="s">
        <v>504</v>
      </c>
      <c r="V190" s="41">
        <f>C190/'1. Väestöennuste'!E190*1000</f>
        <v>258.64617203665387</v>
      </c>
      <c r="W190" s="41">
        <f>D190/'1. Väestöennuste'!F190*1000</f>
        <v>341.60191273161985</v>
      </c>
      <c r="X190" s="41">
        <f>E190/'1. Väestöennuste'!G190*1000</f>
        <v>262.57238646754041</v>
      </c>
      <c r="Y190" s="41">
        <f>F190/'1. Väestöennuste'!H190*1000</f>
        <v>307.31179471324782</v>
      </c>
      <c r="Z190" s="41">
        <f>G190/'1. Väestöennuste'!I190*1000</f>
        <v>308.24484697064338</v>
      </c>
      <c r="AA190" s="41">
        <f>H190/'1. Väestöennuste'!J190*1000</f>
        <v>332.33627204030228</v>
      </c>
      <c r="AB190" s="41">
        <f>I190/'1. Väestöennuste'!K190*1000</f>
        <v>358.32082882596251</v>
      </c>
      <c r="AC190" s="41">
        <f>J190/'1. Väestöennuste'!L190*1000</f>
        <v>307.28396955128204</v>
      </c>
      <c r="AD190" s="41">
        <f>K190/'1. Väestöennuste'!M190*1000</f>
        <v>364.33970439327123</v>
      </c>
      <c r="AE190" s="41">
        <f>L190/'1. Väestöennuste'!N190*1000</f>
        <v>294.4095269599735</v>
      </c>
      <c r="AF190" s="41">
        <f>M190/'1. Väestöennuste'!O190*1000</f>
        <v>300.95301788998495</v>
      </c>
      <c r="AG190" s="41">
        <f>N190/'1. Väestöennuste'!P190*1000</f>
        <v>304.15680973301789</v>
      </c>
      <c r="AH190" s="41">
        <f>O190/'1. Väestöennuste'!Q190*1000</f>
        <v>317.34917387954937</v>
      </c>
      <c r="AI190" s="41">
        <f>P190/'1. Väestöennuste'!R190*1000</f>
        <v>330.71432967371817</v>
      </c>
    </row>
    <row r="191" spans="1:35" x14ac:dyDescent="0.25">
      <c r="A191" s="30">
        <v>583</v>
      </c>
      <c r="B191" s="31" t="s">
        <v>505</v>
      </c>
      <c r="C191" s="41">
        <v>335</v>
      </c>
      <c r="D191" s="41">
        <v>588</v>
      </c>
      <c r="E191" s="41">
        <v>496</v>
      </c>
      <c r="F191" s="41">
        <v>254</v>
      </c>
      <c r="G191" s="41">
        <v>251</v>
      </c>
      <c r="H191" s="41">
        <v>249</v>
      </c>
      <c r="I191" s="165">
        <v>272.73942</v>
      </c>
      <c r="J191" s="41">
        <v>303.92131999999998</v>
      </c>
      <c r="K191" s="41">
        <v>528.36838999999998</v>
      </c>
      <c r="L191" s="41">
        <v>514.73099000000002</v>
      </c>
      <c r="M191" s="41">
        <v>514.73099000000002</v>
      </c>
      <c r="N191" s="41">
        <v>514.73099000000002</v>
      </c>
      <c r="O191" s="41">
        <f t="shared" si="7"/>
        <v>531.33947543635759</v>
      </c>
      <c r="P191" s="41">
        <f t="shared" si="7"/>
        <v>547.94796087271516</v>
      </c>
      <c r="Q191" s="165"/>
      <c r="T191" s="34">
        <v>583</v>
      </c>
      <c r="U191" s="88" t="s">
        <v>505</v>
      </c>
      <c r="V191" s="41">
        <f>C191/'1. Väestöennuste'!E191*1000</f>
        <v>349.68684759916493</v>
      </c>
      <c r="W191" s="41">
        <f>D191/'1. Väestöennuste'!F191*1000</f>
        <v>618.29652996845425</v>
      </c>
      <c r="X191" s="41">
        <f>E191/'1. Väestöennuste'!G191*1000</f>
        <v>517.74530271398748</v>
      </c>
      <c r="Y191" s="41">
        <f>F191/'1. Väestöennuste'!H191*1000</f>
        <v>266.2473794549266</v>
      </c>
      <c r="Z191" s="41">
        <f>G191/'1. Väestöennuste'!I191*1000</f>
        <v>267.30564430244942</v>
      </c>
      <c r="AA191" s="41">
        <f>H191/'1. Väestöennuste'!J191*1000</f>
        <v>267.45435016111708</v>
      </c>
      <c r="AB191" s="41">
        <f>I191/'1. Väestöennuste'!K191*1000</f>
        <v>295.17253246753245</v>
      </c>
      <c r="AC191" s="41">
        <f>J191/'1. Väestöennuste'!L191*1000</f>
        <v>320.93064413938754</v>
      </c>
      <c r="AD191" s="41">
        <f>K191/'1. Väestöennuste'!M191*1000</f>
        <v>579.35130482456145</v>
      </c>
      <c r="AE191" s="41">
        <f>L191/'1. Väestöennuste'!N191*1000</f>
        <v>561.93339519650658</v>
      </c>
      <c r="AF191" s="41">
        <f>M191/'1. Väestöennuste'!O191*1000</f>
        <v>564.39801535087724</v>
      </c>
      <c r="AG191" s="41">
        <f>N191/'1. Väestöennuste'!P191*1000</f>
        <v>565.63845054945057</v>
      </c>
      <c r="AH191" s="41">
        <f>O191/'1. Väestöennuste'!Q191*1000</f>
        <v>585.82081084493677</v>
      </c>
      <c r="AI191" s="41">
        <f>P191/'1. Väestöennuste'!R191*1000</f>
        <v>608.1553394813709</v>
      </c>
    </row>
    <row r="192" spans="1:35" x14ac:dyDescent="0.25">
      <c r="A192" s="30">
        <v>584</v>
      </c>
      <c r="B192" s="31" t="s">
        <v>506</v>
      </c>
      <c r="C192" s="41">
        <v>1158</v>
      </c>
      <c r="D192" s="41">
        <v>1293</v>
      </c>
      <c r="E192" s="41">
        <v>1352</v>
      </c>
      <c r="F192" s="41">
        <v>1413</v>
      </c>
      <c r="G192" s="41">
        <v>1491</v>
      </c>
      <c r="H192" s="41">
        <v>1467</v>
      </c>
      <c r="I192" s="165">
        <v>1678.31203</v>
      </c>
      <c r="J192" s="41">
        <v>1338.4664599999999</v>
      </c>
      <c r="K192" s="41">
        <v>1415.85924</v>
      </c>
      <c r="L192" s="41">
        <v>1168.7619999999999</v>
      </c>
      <c r="M192" s="41">
        <v>1368.7619999999999</v>
      </c>
      <c r="N192" s="41">
        <v>1368.7619999999999</v>
      </c>
      <c r="O192" s="41">
        <f t="shared" si="7"/>
        <v>1412.9269408807495</v>
      </c>
      <c r="P192" s="41">
        <f t="shared" si="7"/>
        <v>1457.0918817614991</v>
      </c>
      <c r="Q192" s="165"/>
      <c r="T192" s="34">
        <v>584</v>
      </c>
      <c r="U192" s="88" t="s">
        <v>506</v>
      </c>
      <c r="V192" s="41">
        <f>C192/'1. Väestöennuste'!E192*1000</f>
        <v>395.08700102354146</v>
      </c>
      <c r="W192" s="41">
        <f>D192/'1. Väestöennuste'!F192*1000</f>
        <v>444.78844169246645</v>
      </c>
      <c r="X192" s="41">
        <f>E192/'1. Väestöennuste'!G192*1000</f>
        <v>472.72727272727269</v>
      </c>
      <c r="Y192" s="41">
        <f>F192/'1. Väestöennuste'!H192*1000</f>
        <v>500.17699115044246</v>
      </c>
      <c r="Z192" s="41">
        <f>G192/'1. Väestöennuste'!I192*1000</f>
        <v>540.41319318593696</v>
      </c>
      <c r="AA192" s="41">
        <f>H192/'1. Väestöennuste'!J192*1000</f>
        <v>542.12860310421286</v>
      </c>
      <c r="AB192" s="41">
        <f>I192/'1. Väestöennuste'!K192*1000</f>
        <v>627.17190956651723</v>
      </c>
      <c r="AC192" s="41">
        <f>J192/'1. Väestöennuste'!L192*1000</f>
        <v>504.5105390124387</v>
      </c>
      <c r="AD192" s="41">
        <f>K192/'1. Väestöennuste'!M192*1000</f>
        <v>549.20839410395661</v>
      </c>
      <c r="AE192" s="41">
        <f>L192/'1. Väestöennuste'!N192*1000</f>
        <v>467.13109512390082</v>
      </c>
      <c r="AF192" s="41">
        <f>M192/'1. Väestöennuste'!O192*1000</f>
        <v>558.90649244589633</v>
      </c>
      <c r="AG192" s="41">
        <f>N192/'1. Väestöennuste'!P192*1000</f>
        <v>570.79316096747289</v>
      </c>
      <c r="AH192" s="41">
        <f>O192/'1. Väestöennuste'!Q192*1000</f>
        <v>601.50146482790524</v>
      </c>
      <c r="AI192" s="41">
        <f>P192/'1. Väestöennuste'!R192*1000</f>
        <v>632.96780267658517</v>
      </c>
    </row>
    <row r="193" spans="1:35" x14ac:dyDescent="0.25">
      <c r="A193" s="30">
        <v>588</v>
      </c>
      <c r="B193" s="31" t="s">
        <v>507</v>
      </c>
      <c r="C193" s="41">
        <v>712</v>
      </c>
      <c r="D193" s="41">
        <v>649</v>
      </c>
      <c r="E193" s="41">
        <v>642</v>
      </c>
      <c r="F193" s="41">
        <v>713</v>
      </c>
      <c r="G193" s="41">
        <v>691</v>
      </c>
      <c r="H193" s="41">
        <v>646</v>
      </c>
      <c r="I193" s="165">
        <v>619.88542000000007</v>
      </c>
      <c r="J193" s="41">
        <v>483.61420000000004</v>
      </c>
      <c r="K193" s="41">
        <v>413.88130000000001</v>
      </c>
      <c r="L193" s="41">
        <v>375.72</v>
      </c>
      <c r="M193" s="41">
        <v>0</v>
      </c>
      <c r="N193" s="41">
        <v>0</v>
      </c>
      <c r="O193" s="41">
        <f t="shared" si="7"/>
        <v>0</v>
      </c>
      <c r="P193" s="41">
        <f t="shared" si="7"/>
        <v>0</v>
      </c>
      <c r="Q193" s="165"/>
      <c r="T193" s="34">
        <v>588</v>
      </c>
      <c r="U193" s="88" t="s">
        <v>507</v>
      </c>
      <c r="V193" s="41">
        <f>C193/'1. Väestöennuste'!E193*1000</f>
        <v>391.85470555861315</v>
      </c>
      <c r="W193" s="41">
        <f>D193/'1. Väestöennuste'!F193*1000</f>
        <v>361.358574610245</v>
      </c>
      <c r="X193" s="41">
        <f>E193/'1. Väestöennuste'!G193*1000</f>
        <v>369.17768832662449</v>
      </c>
      <c r="Y193" s="41">
        <f>F193/'1. Väestöennuste'!H193*1000</f>
        <v>416.22883829538819</v>
      </c>
      <c r="Z193" s="41">
        <f>G193/'1. Väestöennuste'!I193*1000</f>
        <v>408.87573964497045</v>
      </c>
      <c r="AA193" s="41">
        <f>H193/'1. Väestöennuste'!J193*1000</f>
        <v>390.56831922611849</v>
      </c>
      <c r="AB193" s="41">
        <f>I193/'1. Väestöennuste'!K193*1000</f>
        <v>377.05925790754264</v>
      </c>
      <c r="AC193" s="41">
        <f>J193/'1. Väestöennuste'!L193*1000</f>
        <v>302.25887500000005</v>
      </c>
      <c r="AD193" s="41">
        <f>K193/'1. Väestöennuste'!M193*1000</f>
        <v>262.44850982878887</v>
      </c>
      <c r="AE193" s="41">
        <f>L193/'1. Väestöennuste'!N193*1000</f>
        <v>243.34196891191712</v>
      </c>
      <c r="AF193" s="41" t="e">
        <f>M193/'1. Väestöennuste'!O193*1000</f>
        <v>#DIV/0!</v>
      </c>
      <c r="AG193" s="41" t="e">
        <f>N193/'1. Väestöennuste'!P193*1000</f>
        <v>#DIV/0!</v>
      </c>
      <c r="AH193" s="41" t="e">
        <f>O193/'1. Väestöennuste'!Q193*1000</f>
        <v>#DIV/0!</v>
      </c>
      <c r="AI193" s="41" t="e">
        <f>P193/'1. Väestöennuste'!R193*1000</f>
        <v>#DIV/0!</v>
      </c>
    </row>
    <row r="194" spans="1:35" x14ac:dyDescent="0.25">
      <c r="A194" s="30">
        <v>592</v>
      </c>
      <c r="B194" s="31" t="s">
        <v>508</v>
      </c>
      <c r="C194" s="41">
        <v>1051</v>
      </c>
      <c r="D194" s="41">
        <v>1011</v>
      </c>
      <c r="E194" s="41">
        <v>981</v>
      </c>
      <c r="F194" s="41">
        <v>968</v>
      </c>
      <c r="G194" s="41">
        <v>1017</v>
      </c>
      <c r="H194" s="41">
        <v>947</v>
      </c>
      <c r="I194" s="165">
        <v>956.47856000000002</v>
      </c>
      <c r="J194" s="41">
        <v>1005.44222</v>
      </c>
      <c r="K194" s="41">
        <v>1118.8266799999999</v>
      </c>
      <c r="L194" s="41">
        <v>1104.48</v>
      </c>
      <c r="M194" s="41">
        <v>1100</v>
      </c>
      <c r="N194" s="41">
        <v>1000</v>
      </c>
      <c r="O194" s="41">
        <f t="shared" si="7"/>
        <v>1032.2663405915341</v>
      </c>
      <c r="P194" s="41">
        <f t="shared" si="7"/>
        <v>1064.5326811830682</v>
      </c>
      <c r="Q194" s="165"/>
      <c r="T194" s="34">
        <v>592</v>
      </c>
      <c r="U194" s="88" t="s">
        <v>508</v>
      </c>
      <c r="V194" s="41">
        <f>C194/'1. Väestöennuste'!E194*1000</f>
        <v>262.22554890219561</v>
      </c>
      <c r="W194" s="41">
        <f>D194/'1. Väestöennuste'!F194*1000</f>
        <v>253.95629238884703</v>
      </c>
      <c r="X194" s="41">
        <f>E194/'1. Väestöennuste'!G194*1000</f>
        <v>250.2551020408163</v>
      </c>
      <c r="Y194" s="41">
        <f>F194/'1. Väestöennuste'!H194*1000</f>
        <v>248.2051282051282</v>
      </c>
      <c r="Z194" s="41">
        <f>G194/'1. Väestöennuste'!I194*1000</f>
        <v>264.77479822962766</v>
      </c>
      <c r="AA194" s="41">
        <f>H194/'1. Väestöennuste'!J194*1000</f>
        <v>251.06044538706257</v>
      </c>
      <c r="AB194" s="41">
        <f>I194/'1. Väestöennuste'!K194*1000</f>
        <v>260.05398586188142</v>
      </c>
      <c r="AC194" s="41">
        <f>J194/'1. Väestöennuste'!L194*1000</f>
        <v>275.38817310325936</v>
      </c>
      <c r="AD194" s="41">
        <f>K194/'1. Väestöennuste'!M194*1000</f>
        <v>311.13088987764183</v>
      </c>
      <c r="AE194" s="41">
        <f>L194/'1. Väestöennuste'!N194*1000</f>
        <v>305.52697095435684</v>
      </c>
      <c r="AF194" s="41">
        <f>M194/'1. Väestöennuste'!O194*1000</f>
        <v>307.34842134674489</v>
      </c>
      <c r="AG194" s="41">
        <f>N194/'1. Väestöennuste'!P194*1000</f>
        <v>282.0078962210942</v>
      </c>
      <c r="AH194" s="41">
        <f>O194/'1. Väestöennuste'!Q194*1000</f>
        <v>294.26064441035749</v>
      </c>
      <c r="AI194" s="41">
        <f>P194/'1. Väestöennuste'!R194*1000</f>
        <v>306.42852077808527</v>
      </c>
    </row>
    <row r="195" spans="1:35" x14ac:dyDescent="0.25">
      <c r="A195" s="30">
        <v>593</v>
      </c>
      <c r="B195" s="31" t="s">
        <v>509</v>
      </c>
      <c r="C195" s="41">
        <v>6190</v>
      </c>
      <c r="D195" s="41">
        <v>6668</v>
      </c>
      <c r="E195" s="41">
        <v>5729</v>
      </c>
      <c r="F195" s="41">
        <v>6853</v>
      </c>
      <c r="G195" s="41">
        <v>4854</v>
      </c>
      <c r="H195" s="41">
        <v>5805</v>
      </c>
      <c r="I195" s="165">
        <v>6535.8553000000002</v>
      </c>
      <c r="J195" s="41">
        <v>6307.5015899999999</v>
      </c>
      <c r="K195" s="41">
        <v>6268.3506500000003</v>
      </c>
      <c r="L195" s="41">
        <v>6100.3050000000003</v>
      </c>
      <c r="M195" s="41">
        <v>6158.0060000000003</v>
      </c>
      <c r="N195" s="41">
        <v>6130.7839999999997</v>
      </c>
      <c r="O195" s="41">
        <f t="shared" si="7"/>
        <v>6328.6019646371278</v>
      </c>
      <c r="P195" s="41">
        <f t="shared" si="7"/>
        <v>6526.419929274256</v>
      </c>
      <c r="Q195" s="165"/>
      <c r="T195" s="34">
        <v>593</v>
      </c>
      <c r="U195" s="88" t="s">
        <v>509</v>
      </c>
      <c r="V195" s="41">
        <f>C195/'1. Väestöennuste'!E195*1000</f>
        <v>329.23780649965431</v>
      </c>
      <c r="W195" s="41">
        <f>D195/'1. Väestöennuste'!F195*1000</f>
        <v>360.92016238159675</v>
      </c>
      <c r="X195" s="41">
        <f>E195/'1. Väestöennuste'!G195*1000</f>
        <v>314.43468715697037</v>
      </c>
      <c r="Y195" s="41">
        <f>F195/'1. Väestöennuste'!H195*1000</f>
        <v>382.14464952880166</v>
      </c>
      <c r="Z195" s="41">
        <f>G195/'1. Väestöennuste'!I195*1000</f>
        <v>274.51645741431963</v>
      </c>
      <c r="AA195" s="41">
        <f>H195/'1. Väestöennuste'!J195*1000</f>
        <v>334.10071942446046</v>
      </c>
      <c r="AB195" s="41">
        <f>I195/'1. Väestöennuste'!K195*1000</f>
        <v>378.82427983539094</v>
      </c>
      <c r="AC195" s="41">
        <f>J195/'1. Väestöennuste'!L195*1000</f>
        <v>369.35653744802948</v>
      </c>
      <c r="AD195" s="41">
        <f>K195/'1. Väestöennuste'!M195*1000</f>
        <v>367.64519941348976</v>
      </c>
      <c r="AE195" s="41">
        <f>L195/'1. Väestöennuste'!N195*1000</f>
        <v>375.12636822039116</v>
      </c>
      <c r="AF195" s="41">
        <f>M195/'1. Väestöennuste'!O195*1000</f>
        <v>384.61095496845923</v>
      </c>
      <c r="AG195" s="41">
        <f>N195/'1. Väestöennuste'!P195*1000</f>
        <v>388.71316256657366</v>
      </c>
      <c r="AH195" s="41">
        <f>O195/'1. Väestöennuste'!Q195*1000</f>
        <v>407.24594367034285</v>
      </c>
      <c r="AI195" s="41">
        <f>P195/'1. Väestöennuste'!R195*1000</f>
        <v>426.08996078045675</v>
      </c>
    </row>
    <row r="196" spans="1:35" x14ac:dyDescent="0.25">
      <c r="A196" s="30">
        <v>595</v>
      </c>
      <c r="B196" s="31" t="s">
        <v>510</v>
      </c>
      <c r="C196" s="41">
        <v>1196</v>
      </c>
      <c r="D196" s="41">
        <v>1450</v>
      </c>
      <c r="E196" s="41">
        <v>1986</v>
      </c>
      <c r="F196" s="41">
        <v>1807</v>
      </c>
      <c r="G196" s="41">
        <v>1523</v>
      </c>
      <c r="H196" s="41">
        <v>1490</v>
      </c>
      <c r="I196" s="165">
        <v>1864.9781200000002</v>
      </c>
      <c r="J196" s="41">
        <v>2434.0777200000002</v>
      </c>
      <c r="K196" s="41">
        <v>1687.85761</v>
      </c>
      <c r="L196" s="41">
        <v>1711.357</v>
      </c>
      <c r="M196" s="41">
        <v>1484.671</v>
      </c>
      <c r="N196" s="41">
        <v>1651.08</v>
      </c>
      <c r="O196" s="41">
        <f t="shared" si="7"/>
        <v>1704.3543096238702</v>
      </c>
      <c r="P196" s="41">
        <f t="shared" si="7"/>
        <v>1757.6286192477405</v>
      </c>
      <c r="Q196" s="165"/>
      <c r="T196" s="34">
        <v>595</v>
      </c>
      <c r="U196" s="88" t="s">
        <v>510</v>
      </c>
      <c r="V196" s="41">
        <f>C196/'1. Väestöennuste'!E196*1000</f>
        <v>252.32067510548524</v>
      </c>
      <c r="W196" s="41">
        <f>D196/'1. Väestöennuste'!F196*1000</f>
        <v>308.70768575686606</v>
      </c>
      <c r="X196" s="41">
        <f>E196/'1. Väestöennuste'!G196*1000</f>
        <v>429.49826989619379</v>
      </c>
      <c r="Y196" s="41">
        <f>F196/'1. Väestöennuste'!H196*1000</f>
        <v>401.73410404624275</v>
      </c>
      <c r="Z196" s="41">
        <f>G196/'1. Väestöennuste'!I196*1000</f>
        <v>346.84582099749491</v>
      </c>
      <c r="AA196" s="41">
        <f>H196/'1. Väestöennuste'!J196*1000</f>
        <v>344.82758620689657</v>
      </c>
      <c r="AB196" s="41">
        <f>I196/'1. Väestöennuste'!K196*1000</f>
        <v>436.86533614429612</v>
      </c>
      <c r="AC196" s="41">
        <f>J196/'1. Väestöennuste'!L196*1000</f>
        <v>587.94147826086964</v>
      </c>
      <c r="AD196" s="41">
        <f>K196/'1. Väestöennuste'!M196*1000</f>
        <v>414.40157377854166</v>
      </c>
      <c r="AE196" s="41">
        <f>L196/'1. Väestöennuste'!N196*1000</f>
        <v>426.4532768502367</v>
      </c>
      <c r="AF196" s="41">
        <f>M196/'1. Väestöennuste'!O196*1000</f>
        <v>376.53335024093332</v>
      </c>
      <c r="AG196" s="41">
        <f>N196/'1. Väestöennuste'!P196*1000</f>
        <v>426.30518977536792</v>
      </c>
      <c r="AH196" s="41">
        <f>O196/'1. Väestöennuste'!Q196*1000</f>
        <v>447.4545312743162</v>
      </c>
      <c r="AI196" s="41">
        <f>P196/'1. Väestöennuste'!R196*1000</f>
        <v>469.07622611362171</v>
      </c>
    </row>
    <row r="197" spans="1:35" x14ac:dyDescent="0.25">
      <c r="A197" s="30">
        <v>598</v>
      </c>
      <c r="B197" s="31" t="s">
        <v>511</v>
      </c>
      <c r="C197" s="41">
        <v>7440</v>
      </c>
      <c r="D197" s="41">
        <v>6779</v>
      </c>
      <c r="E197" s="41">
        <v>7233</v>
      </c>
      <c r="F197" s="41">
        <v>7851</v>
      </c>
      <c r="G197" s="41">
        <v>7516</v>
      </c>
      <c r="H197" s="41">
        <v>6802</v>
      </c>
      <c r="I197" s="165">
        <v>6765.0429999999997</v>
      </c>
      <c r="J197" s="41">
        <v>6902.6289999999999</v>
      </c>
      <c r="K197" s="41">
        <v>6993.6378199999999</v>
      </c>
      <c r="L197" s="41">
        <v>6850</v>
      </c>
      <c r="M197" s="41">
        <v>6850</v>
      </c>
      <c r="N197" s="41">
        <v>6850</v>
      </c>
      <c r="O197" s="41">
        <f t="shared" si="7"/>
        <v>7071.024433052009</v>
      </c>
      <c r="P197" s="41">
        <f t="shared" si="7"/>
        <v>7292.0488661040181</v>
      </c>
      <c r="Q197" s="165"/>
      <c r="T197" s="34">
        <v>598</v>
      </c>
      <c r="U197" s="88" t="s">
        <v>511</v>
      </c>
      <c r="V197" s="41">
        <f>C197/'1. Väestöennuste'!E197*1000</f>
        <v>382.79481374768471</v>
      </c>
      <c r="W197" s="41">
        <f>D197/'1. Väestöennuste'!F197*1000</f>
        <v>349.84775765082316</v>
      </c>
      <c r="X197" s="41">
        <f>E197/'1. Väestöennuste'!G197*1000</f>
        <v>373.23907322359258</v>
      </c>
      <c r="Y197" s="41">
        <f>F197/'1. Väestöennuste'!H197*1000</f>
        <v>407.25178960473079</v>
      </c>
      <c r="Z197" s="41">
        <f>G197/'1. Väestöennuste'!I197*1000</f>
        <v>391.29529362765516</v>
      </c>
      <c r="AA197" s="41">
        <f>H197/'1. Väestöennuste'!J197*1000</f>
        <v>356.76072589950695</v>
      </c>
      <c r="AB197" s="41">
        <f>I197/'1. Väestöennuste'!K197*1000</f>
        <v>354.24637377598572</v>
      </c>
      <c r="AC197" s="41">
        <f>J197/'1. Väestöennuste'!L197*1000</f>
        <v>359.38090279585566</v>
      </c>
      <c r="AD197" s="41">
        <f>K197/'1. Väestöennuste'!M197*1000</f>
        <v>359.10848883183564</v>
      </c>
      <c r="AE197" s="41">
        <f>L197/'1. Väestöennuste'!N197*1000</f>
        <v>365.04130029309886</v>
      </c>
      <c r="AF197" s="41">
        <f>M197/'1. Väestöennuste'!O197*1000</f>
        <v>366.62384928280881</v>
      </c>
      <c r="AG197" s="41">
        <f>N197/'1. Väestöennuste'!P197*1000</f>
        <v>368.27956989247315</v>
      </c>
      <c r="AH197" s="41">
        <f>O197/'1. Väestöennuste'!Q197*1000</f>
        <v>381.80477500280824</v>
      </c>
      <c r="AI197" s="41">
        <f>P197/'1. Väestöennuste'!R197*1000</f>
        <v>395.42589155165217</v>
      </c>
    </row>
    <row r="198" spans="1:35" x14ac:dyDescent="0.25">
      <c r="A198" s="30">
        <v>599</v>
      </c>
      <c r="B198" s="31" t="s">
        <v>512</v>
      </c>
      <c r="C198" s="41">
        <v>1950</v>
      </c>
      <c r="D198" s="41">
        <v>2055</v>
      </c>
      <c r="E198" s="41">
        <v>1917</v>
      </c>
      <c r="F198" s="41">
        <v>2013</v>
      </c>
      <c r="G198" s="41">
        <v>2297</v>
      </c>
      <c r="H198" s="41">
        <v>2288</v>
      </c>
      <c r="I198" s="165">
        <v>2785.8365600000002</v>
      </c>
      <c r="J198" s="41">
        <v>2439.0613599999997</v>
      </c>
      <c r="K198" s="41">
        <v>2747.6671000000001</v>
      </c>
      <c r="L198" s="41">
        <v>2952.0050000000001</v>
      </c>
      <c r="M198" s="41">
        <v>3002</v>
      </c>
      <c r="N198" s="41">
        <v>3002</v>
      </c>
      <c r="O198" s="41">
        <f t="shared" si="7"/>
        <v>3098.8635544557856</v>
      </c>
      <c r="P198" s="41">
        <f t="shared" si="7"/>
        <v>3195.7271089115711</v>
      </c>
      <c r="Q198" s="165"/>
      <c r="T198" s="34">
        <v>599</v>
      </c>
      <c r="U198" s="88" t="s">
        <v>512</v>
      </c>
      <c r="V198" s="41">
        <f>C198/'1. Väestöennuste'!E198*1000</f>
        <v>175.21789918231647</v>
      </c>
      <c r="W198" s="41">
        <f>D198/'1. Väestöennuste'!F198*1000</f>
        <v>185.68717809704526</v>
      </c>
      <c r="X198" s="41">
        <f>E198/'1. Väestöennuste'!G198*1000</f>
        <v>172.95200288704439</v>
      </c>
      <c r="Y198" s="41">
        <f>F198/'1. Väestöennuste'!H198*1000</f>
        <v>182.73420479302831</v>
      </c>
      <c r="Z198" s="41">
        <f>G198/'1. Väestöennuste'!I198*1000</f>
        <v>207.29176067141955</v>
      </c>
      <c r="AA198" s="41">
        <f>H198/'1. Väestöennuste'!J198*1000</f>
        <v>204.76105244317165</v>
      </c>
      <c r="AB198" s="41">
        <f>I198/'1. Väestöennuste'!K198*1000</f>
        <v>249.35880415324027</v>
      </c>
      <c r="AC198" s="41">
        <f>J198/'1. Väestöennuste'!L198*1000</f>
        <v>217.65673389255753</v>
      </c>
      <c r="AD198" s="41">
        <f>K198/'1. Väestöennuste'!M198*1000</f>
        <v>244.78103340757241</v>
      </c>
      <c r="AE198" s="41">
        <f>L198/'1. Väestöennuste'!N198*1000</f>
        <v>261.93478260869568</v>
      </c>
      <c r="AF198" s="41">
        <f>M198/'1. Väestöennuste'!O198*1000</f>
        <v>265.87547604286601</v>
      </c>
      <c r="AG198" s="41">
        <f>N198/'1. Väestöennuste'!P198*1000</f>
        <v>265.45229463259352</v>
      </c>
      <c r="AH198" s="41">
        <f>O198/'1. Väestöennuste'!Q198*1000</f>
        <v>273.70283999786125</v>
      </c>
      <c r="AI198" s="41">
        <f>P198/'1. Väestöennuste'!R198*1000</f>
        <v>282.00909891559928</v>
      </c>
    </row>
    <row r="199" spans="1:35" x14ac:dyDescent="0.25">
      <c r="A199" s="30">
        <v>601</v>
      </c>
      <c r="B199" s="31" t="s">
        <v>513</v>
      </c>
      <c r="C199" s="41">
        <v>1533</v>
      </c>
      <c r="D199" s="41">
        <v>1490</v>
      </c>
      <c r="E199" s="41">
        <v>1539</v>
      </c>
      <c r="F199" s="41">
        <v>1621</v>
      </c>
      <c r="G199" s="41">
        <v>1721</v>
      </c>
      <c r="H199" s="41">
        <v>1732</v>
      </c>
      <c r="I199" s="165">
        <v>1722.5915199999999</v>
      </c>
      <c r="J199" s="41">
        <v>1714.95355</v>
      </c>
      <c r="K199" s="41">
        <v>1694.0332900000001</v>
      </c>
      <c r="L199" s="41">
        <v>1807.046</v>
      </c>
      <c r="M199" s="41">
        <v>1807.046</v>
      </c>
      <c r="N199" s="41">
        <v>1807.046</v>
      </c>
      <c r="O199" s="41">
        <f t="shared" si="7"/>
        <v>1865.3527617005695</v>
      </c>
      <c r="P199" s="41">
        <f t="shared" si="7"/>
        <v>1923.659523401139</v>
      </c>
      <c r="Q199" s="165"/>
      <c r="T199" s="34">
        <v>601</v>
      </c>
      <c r="U199" s="88" t="s">
        <v>513</v>
      </c>
      <c r="V199" s="41">
        <f>C199/'1. Väestöennuste'!E199*1000</f>
        <v>363.18407960199005</v>
      </c>
      <c r="W199" s="41">
        <f>D199/'1. Väestöennuste'!F199*1000</f>
        <v>354.59305092812946</v>
      </c>
      <c r="X199" s="41">
        <f>E199/'1. Väestöennuste'!G199*1000</f>
        <v>372.91010419190695</v>
      </c>
      <c r="Y199" s="41">
        <f>F199/'1. Väestöennuste'!H199*1000</f>
        <v>399.95065383666417</v>
      </c>
      <c r="Z199" s="41">
        <f>G199/'1. Väestöennuste'!I199*1000</f>
        <v>426.83531746031747</v>
      </c>
      <c r="AA199" s="41">
        <f>H199/'1. Väestöennuste'!J199*1000</f>
        <v>440.60035614347493</v>
      </c>
      <c r="AB199" s="41">
        <f>I199/'1. Väestöennuste'!K199*1000</f>
        <v>444.76930544797312</v>
      </c>
      <c r="AC199" s="41">
        <f>J199/'1. Väestöennuste'!L199*1000</f>
        <v>452.972411516112</v>
      </c>
      <c r="AD199" s="41">
        <f>K199/'1. Väestöennuste'!M199*1000</f>
        <v>453.07121957742714</v>
      </c>
      <c r="AE199" s="41">
        <f>L199/'1. Väestöennuste'!N199*1000</f>
        <v>490.64512625576975</v>
      </c>
      <c r="AF199" s="41">
        <f>M199/'1. Väestöennuste'!O199*1000</f>
        <v>498.08324145534732</v>
      </c>
      <c r="AG199" s="41">
        <f>N199/'1. Väestöennuste'!P199*1000</f>
        <v>505.75034984606771</v>
      </c>
      <c r="AH199" s="41">
        <f>O199/'1. Väestöennuste'!Q199*1000</f>
        <v>529.47850176002544</v>
      </c>
      <c r="AI199" s="41">
        <f>P199/'1. Väestöennuste'!R199*1000</f>
        <v>553.88987140833262</v>
      </c>
    </row>
    <row r="200" spans="1:35" x14ac:dyDescent="0.25">
      <c r="A200" s="30">
        <v>604</v>
      </c>
      <c r="B200" s="31" t="s">
        <v>514</v>
      </c>
      <c r="C200" s="41">
        <v>7023</v>
      </c>
      <c r="D200" s="41">
        <v>9046</v>
      </c>
      <c r="E200" s="41">
        <v>7944</v>
      </c>
      <c r="F200" s="41">
        <v>8164</v>
      </c>
      <c r="G200" s="41">
        <v>7941</v>
      </c>
      <c r="H200" s="41">
        <v>10976</v>
      </c>
      <c r="I200" s="165">
        <v>14238.643109999999</v>
      </c>
      <c r="J200" s="41">
        <v>9941.8506899999993</v>
      </c>
      <c r="K200" s="41">
        <v>10482.015029999999</v>
      </c>
      <c r="L200" s="41">
        <v>11447.328</v>
      </c>
      <c r="M200" s="41">
        <v>11871.91</v>
      </c>
      <c r="N200" s="41">
        <v>11849.636</v>
      </c>
      <c r="O200" s="41">
        <f t="shared" si="7"/>
        <v>12231.980391061705</v>
      </c>
      <c r="P200" s="41">
        <f t="shared" si="7"/>
        <v>12614.324782123409</v>
      </c>
      <c r="Q200" s="165"/>
      <c r="T200" s="34">
        <v>604</v>
      </c>
      <c r="U200" s="88" t="s">
        <v>514</v>
      </c>
      <c r="V200" s="41">
        <f>C200/'1. Väestöennuste'!E200*1000</f>
        <v>371.33188811928301</v>
      </c>
      <c r="W200" s="41">
        <f>D200/'1. Väestöennuste'!F200*1000</f>
        <v>472.05552366539689</v>
      </c>
      <c r="X200" s="41">
        <f>E200/'1. Väestöennuste'!G200*1000</f>
        <v>412.95420283828037</v>
      </c>
      <c r="Y200" s="41">
        <f>F200/'1. Väestöennuste'!H200*1000</f>
        <v>421.52003304419662</v>
      </c>
      <c r="Z200" s="41">
        <f>G200/'1. Väestöennuste'!I200*1000</f>
        <v>404.67818376395047</v>
      </c>
      <c r="AA200" s="41">
        <f>H200/'1. Väestöennuste'!J200*1000</f>
        <v>554.25945563803464</v>
      </c>
      <c r="AB200" s="41">
        <f>I200/'1. Väestöennuste'!K200*1000</f>
        <v>704.67401316440657</v>
      </c>
      <c r="AC200" s="41">
        <f>J200/'1. Väestöennuste'!L200*1000</f>
        <v>487.22620387160003</v>
      </c>
      <c r="AD200" s="41">
        <f>K200/'1. Väestöennuste'!M200*1000</f>
        <v>504.84106487501799</v>
      </c>
      <c r="AE200" s="41">
        <f>L200/'1. Väestöennuste'!N200*1000</f>
        <v>559.03345216584455</v>
      </c>
      <c r="AF200" s="41">
        <f>M200/'1. Väestöennuste'!O200*1000</f>
        <v>575.44035674470467</v>
      </c>
      <c r="AG200" s="41">
        <f>N200/'1. Väestöennuste'!P200*1000</f>
        <v>570.29723746270099</v>
      </c>
      <c r="AH200" s="41">
        <f>O200/'1. Väestöennuste'!Q200*1000</f>
        <v>584.78655596221756</v>
      </c>
      <c r="AI200" s="41">
        <f>P200/'1. Väestöennuste'!R200*1000</f>
        <v>599.28380360698407</v>
      </c>
    </row>
    <row r="201" spans="1:35" x14ac:dyDescent="0.25">
      <c r="A201" s="30">
        <v>607</v>
      </c>
      <c r="B201" s="31" t="s">
        <v>515</v>
      </c>
      <c r="C201" s="41">
        <v>1250</v>
      </c>
      <c r="D201" s="41">
        <v>1562</v>
      </c>
      <c r="E201" s="41">
        <v>1231</v>
      </c>
      <c r="F201" s="41">
        <v>1213</v>
      </c>
      <c r="G201" s="41">
        <v>2520</v>
      </c>
      <c r="H201" s="41">
        <v>1551</v>
      </c>
      <c r="I201" s="165">
        <v>1592.33419</v>
      </c>
      <c r="J201" s="41">
        <v>1551.6618100000001</v>
      </c>
      <c r="K201" s="41">
        <v>3534.4636499999997</v>
      </c>
      <c r="L201" s="41">
        <v>1858</v>
      </c>
      <c r="M201" s="41">
        <v>1858</v>
      </c>
      <c r="N201" s="41">
        <v>1858</v>
      </c>
      <c r="O201" s="41">
        <f t="shared" si="7"/>
        <v>1917.9508608190706</v>
      </c>
      <c r="P201" s="41">
        <f t="shared" si="7"/>
        <v>1977.901721638141</v>
      </c>
      <c r="Q201" s="165"/>
      <c r="T201" s="34">
        <v>607</v>
      </c>
      <c r="U201" s="88" t="s">
        <v>515</v>
      </c>
      <c r="V201" s="41">
        <f>C201/'1. Väestöennuste'!E201*1000</f>
        <v>274.36347673397717</v>
      </c>
      <c r="W201" s="41">
        <f>D201/'1. Väestöennuste'!F201*1000</f>
        <v>346.03455914931322</v>
      </c>
      <c r="X201" s="41">
        <f>E201/'1. Väestöennuste'!G201*1000</f>
        <v>278.88536474852742</v>
      </c>
      <c r="Y201" s="41">
        <f>F201/'1. Väestöennuste'!H201*1000</f>
        <v>281.63454840956581</v>
      </c>
      <c r="Z201" s="41">
        <f>G201/'1. Väestöennuste'!I201*1000</f>
        <v>593.49976448422046</v>
      </c>
      <c r="AA201" s="41">
        <f>H201/'1. Väestöennuste'!J201*1000</f>
        <v>369.19781004522736</v>
      </c>
      <c r="AB201" s="41">
        <f>I201/'1. Väestöennuste'!K201*1000</f>
        <v>382.68065128574864</v>
      </c>
      <c r="AC201" s="41">
        <f>J201/'1. Väestöennuste'!L201*1000</f>
        <v>379.93678011753184</v>
      </c>
      <c r="AD201" s="41">
        <f>K201/'1. Väestöennuste'!M201*1000</f>
        <v>869.70070127952749</v>
      </c>
      <c r="AE201" s="41">
        <f>L201/'1. Väestöennuste'!N201*1000</f>
        <v>470.49886047100529</v>
      </c>
      <c r="AF201" s="41">
        <f>M201/'1. Väestöennuste'!O201*1000</f>
        <v>477.38951695786233</v>
      </c>
      <c r="AG201" s="41">
        <f>N201/'1. Väestöennuste'!P201*1000</f>
        <v>483.85416666666663</v>
      </c>
      <c r="AH201" s="41">
        <f>O201/'1. Väestöennuste'!Q201*1000</f>
        <v>506.59029604307204</v>
      </c>
      <c r="AI201" s="41">
        <f>P201/'1. Väestöennuste'!R201*1000</f>
        <v>530.12643303086065</v>
      </c>
    </row>
    <row r="202" spans="1:35" x14ac:dyDescent="0.25">
      <c r="A202" s="30">
        <v>608</v>
      </c>
      <c r="B202" s="31" t="s">
        <v>516</v>
      </c>
      <c r="C202" s="41">
        <v>400</v>
      </c>
      <c r="D202" s="41">
        <v>549</v>
      </c>
      <c r="E202" s="41">
        <v>538</v>
      </c>
      <c r="F202" s="41">
        <v>537</v>
      </c>
      <c r="G202" s="41">
        <v>523</v>
      </c>
      <c r="H202" s="41">
        <v>536</v>
      </c>
      <c r="I202" s="165">
        <v>540.72388000000001</v>
      </c>
      <c r="J202" s="41">
        <v>496.77366999999998</v>
      </c>
      <c r="K202" s="41">
        <v>582.06716000000006</v>
      </c>
      <c r="L202" s="41">
        <v>679.08951000000002</v>
      </c>
      <c r="M202" s="41">
        <v>651.02746999999999</v>
      </c>
      <c r="N202" s="41">
        <v>626.02081999999996</v>
      </c>
      <c r="O202" s="41">
        <f t="shared" si="7"/>
        <v>646.22022099551145</v>
      </c>
      <c r="P202" s="41">
        <f t="shared" si="7"/>
        <v>666.41962199102295</v>
      </c>
      <c r="Q202" s="165"/>
      <c r="T202" s="34">
        <v>608</v>
      </c>
      <c r="U202" s="88" t="s">
        <v>516</v>
      </c>
      <c r="V202" s="41">
        <f>C202/'1. Väestöennuste'!E202*1000</f>
        <v>178.57142857142858</v>
      </c>
      <c r="W202" s="41">
        <f>D202/'1. Väestöennuste'!F202*1000</f>
        <v>245.85759068517692</v>
      </c>
      <c r="X202" s="41">
        <f>E202/'1. Väestöennuste'!G202*1000</f>
        <v>248.38411819021235</v>
      </c>
      <c r="Y202" s="41">
        <f>F202/'1. Väestöennuste'!H202*1000</f>
        <v>250.23299161230196</v>
      </c>
      <c r="Z202" s="41">
        <f>G202/'1. Väestöennuste'!I202*1000</f>
        <v>250.35902345619914</v>
      </c>
      <c r="AA202" s="41">
        <f>H202/'1. Väestöennuste'!J202*1000</f>
        <v>259.81580222976248</v>
      </c>
      <c r="AB202" s="41">
        <f>I202/'1. Väestöennuste'!K202*1000</f>
        <v>268.61593641331348</v>
      </c>
      <c r="AC202" s="41">
        <f>J202/'1. Väestöennuste'!L202*1000</f>
        <v>250.89579292929292</v>
      </c>
      <c r="AD202" s="41">
        <f>K202/'1. Väestöennuste'!M202*1000</f>
        <v>299.57136387030368</v>
      </c>
      <c r="AE202" s="41">
        <f>L202/'1. Väestöennuste'!N202*1000</f>
        <v>348.60857802874744</v>
      </c>
      <c r="AF202" s="41">
        <f>M202/'1. Väestöennuste'!O202*1000</f>
        <v>338.5478263130525</v>
      </c>
      <c r="AG202" s="41">
        <f>N202/'1. Väestöennuste'!P202*1000</f>
        <v>330.00570374275168</v>
      </c>
      <c r="AH202" s="41">
        <f>O202/'1. Väestöennuste'!Q202*1000</f>
        <v>345.3876114353348</v>
      </c>
      <c r="AI202" s="41">
        <f>P202/'1. Väestöennuste'!R202*1000</f>
        <v>360.81192311371029</v>
      </c>
    </row>
    <row r="203" spans="1:35" x14ac:dyDescent="0.25">
      <c r="A203" s="30">
        <v>609</v>
      </c>
      <c r="B203" s="31" t="s">
        <v>517</v>
      </c>
      <c r="C203" s="41">
        <v>26621</v>
      </c>
      <c r="D203" s="41">
        <v>28237</v>
      </c>
      <c r="E203" s="41">
        <v>24972</v>
      </c>
      <c r="F203" s="41">
        <v>25837</v>
      </c>
      <c r="G203" s="41">
        <v>30194</v>
      </c>
      <c r="H203" s="41">
        <v>28061</v>
      </c>
      <c r="I203" s="165">
        <v>29111.022929999999</v>
      </c>
      <c r="J203" s="41">
        <v>29546.97048</v>
      </c>
      <c r="K203" s="41">
        <v>31610.304789999998</v>
      </c>
      <c r="L203" s="41">
        <v>29954.999500000002</v>
      </c>
      <c r="M203" s="41">
        <v>29954.999500000002</v>
      </c>
      <c r="N203" s="41">
        <v>27683.058499999999</v>
      </c>
      <c r="O203" s="41">
        <f t="shared" si="7"/>
        <v>28576.289494176366</v>
      </c>
      <c r="P203" s="41">
        <f t="shared" si="7"/>
        <v>29469.520488352729</v>
      </c>
      <c r="Q203" s="165"/>
      <c r="T203" s="34">
        <v>609</v>
      </c>
      <c r="U203" s="88" t="s">
        <v>517</v>
      </c>
      <c r="V203" s="41">
        <f>C203/'1. Väestöennuste'!E203*1000</f>
        <v>311.85642491477574</v>
      </c>
      <c r="W203" s="41">
        <f>D203/'1. Väestöennuste'!F203*1000</f>
        <v>331.96957406035807</v>
      </c>
      <c r="X203" s="41">
        <f>E203/'1. Väestöennuste'!G203*1000</f>
        <v>295.22267015025949</v>
      </c>
      <c r="Y203" s="41">
        <f>F203/'1. Väestöennuste'!H203*1000</f>
        <v>306.11471156238525</v>
      </c>
      <c r="Z203" s="41">
        <f>G203/'1. Väestöennuste'!I203*1000</f>
        <v>359.73502990444871</v>
      </c>
      <c r="AA203" s="41">
        <f>H203/'1. Väestöennuste'!J203*1000</f>
        <v>335.32096936092921</v>
      </c>
      <c r="AB203" s="41">
        <f>I203/'1. Väestöennuste'!K203*1000</f>
        <v>348.71017620564908</v>
      </c>
      <c r="AC203" s="41">
        <f>J203/'1. Väestöennuste'!L203*1000</f>
        <v>355.11051595457008</v>
      </c>
      <c r="AD203" s="41">
        <f>K203/'1. Väestöennuste'!M203*1000</f>
        <v>380.36128306018816</v>
      </c>
      <c r="AE203" s="41">
        <f>L203/'1. Väestöennuste'!N203*1000</f>
        <v>364.20780697168288</v>
      </c>
      <c r="AF203" s="41">
        <f>M203/'1. Väestöennuste'!O203*1000</f>
        <v>365.86705791826466</v>
      </c>
      <c r="AG203" s="41">
        <f>N203/'1. Väestöennuste'!P203*1000</f>
        <v>339.69026934167738</v>
      </c>
      <c r="AH203" s="41">
        <f>O203/'1. Väestöennuste'!Q203*1000</f>
        <v>352.28918455269445</v>
      </c>
      <c r="AI203" s="41">
        <f>P203/'1. Väestöennuste'!R203*1000</f>
        <v>365.00638478458114</v>
      </c>
    </row>
    <row r="204" spans="1:35" x14ac:dyDescent="0.25">
      <c r="A204" s="30">
        <v>611</v>
      </c>
      <c r="B204" s="31" t="s">
        <v>518</v>
      </c>
      <c r="C204" s="41">
        <v>1785</v>
      </c>
      <c r="D204" s="41">
        <v>1749</v>
      </c>
      <c r="E204" s="41">
        <v>1705</v>
      </c>
      <c r="F204" s="41">
        <v>1626</v>
      </c>
      <c r="G204" s="41">
        <v>1667</v>
      </c>
      <c r="H204" s="41">
        <v>1804</v>
      </c>
      <c r="I204" s="165">
        <v>1608.38174</v>
      </c>
      <c r="J204" s="41">
        <v>1664.9758400000001</v>
      </c>
      <c r="K204" s="41">
        <v>1839.1669999999999</v>
      </c>
      <c r="L204" s="41">
        <v>1916.9429499999999</v>
      </c>
      <c r="M204" s="41">
        <v>2127.9013100000002</v>
      </c>
      <c r="N204" s="41">
        <v>2214.43354</v>
      </c>
      <c r="O204" s="41">
        <f t="shared" si="7"/>
        <v>2285.8852068189567</v>
      </c>
      <c r="P204" s="41">
        <f t="shared" si="7"/>
        <v>2357.3368736379134</v>
      </c>
      <c r="Q204" s="165"/>
      <c r="T204" s="34">
        <v>611</v>
      </c>
      <c r="U204" s="88" t="s">
        <v>518</v>
      </c>
      <c r="V204" s="41">
        <f>C204/'1. Väestöennuste'!E204*1000</f>
        <v>348.29268292682923</v>
      </c>
      <c r="W204" s="41">
        <f>D204/'1. Väestöennuste'!F204*1000</f>
        <v>342.40407204385275</v>
      </c>
      <c r="X204" s="41">
        <f>E204/'1. Väestöennuste'!G204*1000</f>
        <v>332.94278461238042</v>
      </c>
      <c r="Y204" s="41">
        <f>F204/'1. Väestöennuste'!H204*1000</f>
        <v>320.83662194159427</v>
      </c>
      <c r="Z204" s="41">
        <f>G204/'1. Väestöennuste'!I204*1000</f>
        <v>331.0824230387289</v>
      </c>
      <c r="AA204" s="41">
        <f>H204/'1. Väestöennuste'!J204*1000</f>
        <v>355.81854043392502</v>
      </c>
      <c r="AB204" s="41">
        <f>I204/'1. Väestöennuste'!K204*1000</f>
        <v>317.48553888669562</v>
      </c>
      <c r="AC204" s="41">
        <f>J204/'1. Väestöennuste'!L204*1000</f>
        <v>332.26418678906407</v>
      </c>
      <c r="AD204" s="41">
        <f>K204/'1. Väestöennuste'!M204*1000</f>
        <v>369.83048461693141</v>
      </c>
      <c r="AE204" s="41">
        <f>L204/'1. Väestöennuste'!N204*1000</f>
        <v>378.69279928881861</v>
      </c>
      <c r="AF204" s="41">
        <f>M204/'1. Väestöennuste'!O204*1000</f>
        <v>419.95289323070858</v>
      </c>
      <c r="AG204" s="41">
        <f>N204/'1. Väestöennuste'!P204*1000</f>
        <v>436.34158423645317</v>
      </c>
      <c r="AH204" s="41">
        <f>O204/'1. Väestöennuste'!Q204*1000</f>
        <v>449.35820853527753</v>
      </c>
      <c r="AI204" s="41">
        <f>P204/'1. Väestöennuste'!R204*1000</f>
        <v>462.49497226562949</v>
      </c>
    </row>
    <row r="205" spans="1:35" x14ac:dyDescent="0.25">
      <c r="A205" s="30">
        <v>614</v>
      </c>
      <c r="B205" s="31" t="s">
        <v>519</v>
      </c>
      <c r="C205" s="41">
        <v>1071</v>
      </c>
      <c r="D205" s="41">
        <v>1056</v>
      </c>
      <c r="E205" s="41">
        <v>1037</v>
      </c>
      <c r="F205" s="41">
        <v>1113</v>
      </c>
      <c r="G205" s="41">
        <v>1111</v>
      </c>
      <c r="H205" s="41">
        <v>1198</v>
      </c>
      <c r="I205" s="165">
        <v>1208.75415</v>
      </c>
      <c r="J205" s="41">
        <v>1275.08437</v>
      </c>
      <c r="K205" s="41">
        <v>1288.3881200000001</v>
      </c>
      <c r="L205" s="41">
        <v>1169.5378000000001</v>
      </c>
      <c r="M205" s="41">
        <v>1169.5378000000001</v>
      </c>
      <c r="N205" s="41">
        <v>1169.5378000000001</v>
      </c>
      <c r="O205" s="41">
        <f t="shared" si="7"/>
        <v>1207.2745049894736</v>
      </c>
      <c r="P205" s="41">
        <f t="shared" si="7"/>
        <v>1245.0112099789471</v>
      </c>
      <c r="Q205" s="165"/>
      <c r="T205" s="34">
        <v>614</v>
      </c>
      <c r="U205" s="88" t="s">
        <v>519</v>
      </c>
      <c r="V205" s="41">
        <f>C205/'1. Väestöennuste'!E205*1000</f>
        <v>308.02415875754963</v>
      </c>
      <c r="W205" s="41">
        <f>D205/'1. Väestöennuste'!F205*1000</f>
        <v>308.41121495327099</v>
      </c>
      <c r="X205" s="41">
        <f>E205/'1. Väestöennuste'!G205*1000</f>
        <v>313.29305135951665</v>
      </c>
      <c r="Y205" s="41">
        <f>F205/'1. Väestöennuste'!H205*1000</f>
        <v>343.8368860055607</v>
      </c>
      <c r="Z205" s="41">
        <f>G205/'1. Väestöennuste'!I205*1000</f>
        <v>349.04178448005024</v>
      </c>
      <c r="AA205" s="41">
        <f>H205/'1. Väestöennuste'!J205*1000</f>
        <v>384.34392043631698</v>
      </c>
      <c r="AB205" s="41">
        <f>I205/'1. Väestöennuste'!K205*1000</f>
        <v>394.24466731898241</v>
      </c>
      <c r="AC205" s="41">
        <f>J205/'1. Väestöennuste'!L205*1000</f>
        <v>425.16984661553852</v>
      </c>
      <c r="AD205" s="41">
        <f>K205/'1. Väestöennuste'!M205*1000</f>
        <v>440.77595620937393</v>
      </c>
      <c r="AE205" s="41">
        <f>L205/'1. Väestöennuste'!N205*1000</f>
        <v>409.50203081232496</v>
      </c>
      <c r="AF205" s="41">
        <f>M205/'1. Väestöennuste'!O205*1000</f>
        <v>417.09621968616267</v>
      </c>
      <c r="AG205" s="41">
        <f>N205/'1. Väestöennuste'!P205*1000</f>
        <v>424.20667392092861</v>
      </c>
      <c r="AH205" s="41">
        <f>O205/'1. Väestöennuste'!Q205*1000</f>
        <v>445.48874722858807</v>
      </c>
      <c r="AI205" s="41">
        <f>P205/'1. Väestöennuste'!R205*1000</f>
        <v>466.82085113571321</v>
      </c>
    </row>
    <row r="206" spans="1:35" x14ac:dyDescent="0.25">
      <c r="A206" s="30">
        <v>615</v>
      </c>
      <c r="B206" s="31" t="s">
        <v>520</v>
      </c>
      <c r="C206" s="41">
        <v>3224</v>
      </c>
      <c r="D206" s="41">
        <v>5610</v>
      </c>
      <c r="E206" s="41">
        <v>3628</v>
      </c>
      <c r="F206" s="41">
        <v>3675</v>
      </c>
      <c r="G206" s="41">
        <v>3646</v>
      </c>
      <c r="H206" s="41">
        <v>3688</v>
      </c>
      <c r="I206" s="165">
        <v>6461.9623700000002</v>
      </c>
      <c r="J206" s="41">
        <v>3646.4316200000003</v>
      </c>
      <c r="K206" s="41">
        <v>4853.0545700000002</v>
      </c>
      <c r="L206" s="41">
        <v>4978.768</v>
      </c>
      <c r="M206" s="41">
        <v>4431.6049999999996</v>
      </c>
      <c r="N206" s="41">
        <v>3931.06</v>
      </c>
      <c r="O206" s="41">
        <f t="shared" si="7"/>
        <v>4057.9009208457564</v>
      </c>
      <c r="P206" s="41">
        <f t="shared" si="7"/>
        <v>4184.7418416915125</v>
      </c>
      <c r="Q206" s="165"/>
      <c r="T206" s="34">
        <v>615</v>
      </c>
      <c r="U206" s="88" t="s">
        <v>520</v>
      </c>
      <c r="V206" s="41">
        <f>C206/'1. Väestöennuste'!E206*1000</f>
        <v>390.45658229381132</v>
      </c>
      <c r="W206" s="41">
        <f>D206/'1. Väestöennuste'!F206*1000</f>
        <v>685.23268596555522</v>
      </c>
      <c r="X206" s="41">
        <f>E206/'1. Väestöennuste'!G206*1000</f>
        <v>447.73540663951621</v>
      </c>
      <c r="Y206" s="41">
        <f>F206/'1. Väestöennuste'!H206*1000</f>
        <v>459.94993742177718</v>
      </c>
      <c r="Z206" s="41">
        <f>G206/'1. Väestöennuste'!I206*1000</f>
        <v>463.10174012447607</v>
      </c>
      <c r="AA206" s="41">
        <f>H206/'1. Väestöennuste'!J206*1000</f>
        <v>474.09692762565879</v>
      </c>
      <c r="AB206" s="41">
        <f>I206/'1. Väestöennuste'!K206*1000</f>
        <v>838.99797065697226</v>
      </c>
      <c r="AC206" s="41">
        <f>J206/'1. Väestöennuste'!L206*1000</f>
        <v>479.6043167170854</v>
      </c>
      <c r="AD206" s="41">
        <f>K206/'1. Väestöennuste'!M206*1000</f>
        <v>648.89083701029551</v>
      </c>
      <c r="AE206" s="41">
        <f>L206/'1. Väestöennuste'!N206*1000</f>
        <v>672.71557897581408</v>
      </c>
      <c r="AF206" s="41">
        <f>M206/'1. Väestöennuste'!O206*1000</f>
        <v>605.90716434235708</v>
      </c>
      <c r="AG206" s="41">
        <f>N206/'1. Väestöennuste'!P206*1000</f>
        <v>543.86552296624234</v>
      </c>
      <c r="AH206" s="41">
        <f>O206/'1. Väestöennuste'!Q206*1000</f>
        <v>567.61797745779222</v>
      </c>
      <c r="AI206" s="41">
        <f>P206/'1. Väestöennuste'!R206*1000</f>
        <v>591.81754231247533</v>
      </c>
    </row>
    <row r="207" spans="1:35" x14ac:dyDescent="0.25">
      <c r="A207" s="30">
        <v>616</v>
      </c>
      <c r="B207" s="31" t="s">
        <v>521</v>
      </c>
      <c r="C207" s="41">
        <v>463</v>
      </c>
      <c r="D207" s="41">
        <v>2521</v>
      </c>
      <c r="E207" s="41">
        <v>701</v>
      </c>
      <c r="F207" s="41">
        <v>340</v>
      </c>
      <c r="G207" s="41">
        <v>348</v>
      </c>
      <c r="H207" s="41">
        <v>377</v>
      </c>
      <c r="I207" s="165">
        <v>385.17665999999997</v>
      </c>
      <c r="J207" s="41">
        <v>386.07537000000002</v>
      </c>
      <c r="K207" s="41">
        <v>382.64390000000003</v>
      </c>
      <c r="L207" s="41">
        <v>428.05700000000002</v>
      </c>
      <c r="M207" s="41">
        <v>468.00099999999998</v>
      </c>
      <c r="N207" s="41">
        <v>445.779</v>
      </c>
      <c r="O207" s="41">
        <f t="shared" ref="O207:P270" si="8">N207*O$6</f>
        <v>460.16265704255352</v>
      </c>
      <c r="P207" s="41">
        <f t="shared" si="8"/>
        <v>474.54631408510704</v>
      </c>
      <c r="Q207" s="165"/>
      <c r="T207" s="34">
        <v>616</v>
      </c>
      <c r="U207" s="88" t="s">
        <v>521</v>
      </c>
      <c r="V207" s="41">
        <f>C207/'1. Väestöennuste'!E207*1000</f>
        <v>234.90613901572803</v>
      </c>
      <c r="W207" s="41">
        <f>D207/'1. Väestöennuste'!F207*1000</f>
        <v>1268.1086519114688</v>
      </c>
      <c r="X207" s="41">
        <f>E207/'1. Väestöennuste'!G207*1000</f>
        <v>361.34020618556701</v>
      </c>
      <c r="Y207" s="41">
        <f>F207/'1. Väestöennuste'!H207*1000</f>
        <v>179.04160084254872</v>
      </c>
      <c r="Z207" s="41">
        <f>G207/'1. Väestöennuste'!I207*1000</f>
        <v>187.09677419354838</v>
      </c>
      <c r="AA207" s="41">
        <f>H207/'1. Väestöennuste'!J207*1000</f>
        <v>205.67375886524823</v>
      </c>
      <c r="AB207" s="41">
        <f>I207/'1. Väestöennuste'!K207*1000</f>
        <v>208.42892857142854</v>
      </c>
      <c r="AC207" s="41">
        <f>J207/'1. Väestöennuste'!L207*1000</f>
        <v>213.65543442169343</v>
      </c>
      <c r="AD207" s="41">
        <f>K207/'1. Väestöennuste'!M207*1000</f>
        <v>214.84778214486244</v>
      </c>
      <c r="AE207" s="41">
        <f>L207/'1. Väestöennuste'!N207*1000</f>
        <v>245.44552752293581</v>
      </c>
      <c r="AF207" s="41">
        <f>M207/'1. Väestöennuste'!O207*1000</f>
        <v>270.83391203703707</v>
      </c>
      <c r="AG207" s="41">
        <f>N207/'1. Väestöennuste'!P207*1000</f>
        <v>259.62667443214912</v>
      </c>
      <c r="AH207" s="41">
        <f>O207/'1. Väestöennuste'!Q207*1000</f>
        <v>269.73192089246982</v>
      </c>
      <c r="AI207" s="41">
        <f>P207/'1. Väestöennuste'!R207*1000</f>
        <v>279.63837011497174</v>
      </c>
    </row>
    <row r="208" spans="1:35" x14ac:dyDescent="0.25">
      <c r="A208" s="30">
        <v>619</v>
      </c>
      <c r="B208" s="31" t="s">
        <v>522</v>
      </c>
      <c r="C208" s="41">
        <v>768</v>
      </c>
      <c r="D208" s="41">
        <v>848</v>
      </c>
      <c r="E208" s="41">
        <v>1184</v>
      </c>
      <c r="F208" s="41">
        <v>1044</v>
      </c>
      <c r="G208" s="41">
        <v>928</v>
      </c>
      <c r="H208" s="41">
        <v>1144</v>
      </c>
      <c r="I208" s="165">
        <v>1125.8971100000001</v>
      </c>
      <c r="J208" s="41">
        <v>1068.28998</v>
      </c>
      <c r="K208" s="41">
        <v>1196.2765099999999</v>
      </c>
      <c r="L208" s="41">
        <v>1220.45</v>
      </c>
      <c r="M208" s="41">
        <v>1105.9000000000001</v>
      </c>
      <c r="N208" s="41">
        <v>1037.2</v>
      </c>
      <c r="O208" s="41">
        <f t="shared" si="8"/>
        <v>1070.6666484615394</v>
      </c>
      <c r="P208" s="41">
        <f t="shared" si="8"/>
        <v>1104.1332969230787</v>
      </c>
      <c r="Q208" s="165"/>
      <c r="T208" s="34">
        <v>619</v>
      </c>
      <c r="U208" s="88" t="s">
        <v>522</v>
      </c>
      <c r="V208" s="41">
        <f>C208/'1. Väestöennuste'!E208*1000</f>
        <v>251.88586421777632</v>
      </c>
      <c r="W208" s="41">
        <f>D208/'1. Väestöennuste'!F208*1000</f>
        <v>282.38428238428236</v>
      </c>
      <c r="X208" s="41">
        <f>E208/'1. Väestöennuste'!G208*1000</f>
        <v>401.49203119701593</v>
      </c>
      <c r="Y208" s="41">
        <f>F208/'1. Väestöennuste'!H208*1000</f>
        <v>360.49723756906076</v>
      </c>
      <c r="Z208" s="41">
        <f>G208/'1. Väestöennuste'!I208*1000</f>
        <v>328.14710042432813</v>
      </c>
      <c r="AA208" s="41">
        <f>H208/'1. Väestöennuste'!J208*1000</f>
        <v>410.77199281867144</v>
      </c>
      <c r="AB208" s="41">
        <f>I208/'1. Väestöennuste'!K208*1000</f>
        <v>413.78063579566339</v>
      </c>
      <c r="AC208" s="41">
        <f>J208/'1. Väestöennuste'!L208*1000</f>
        <v>399.3607401869159</v>
      </c>
      <c r="AD208" s="41">
        <f>K208/'1. Väestöennuste'!M208*1000</f>
        <v>451.42509811320753</v>
      </c>
      <c r="AE208" s="41">
        <f>L208/'1. Väestöennuste'!N208*1000</f>
        <v>476.18025751072963</v>
      </c>
      <c r="AF208" s="41">
        <f>M208/'1. Väestöennuste'!O208*1000</f>
        <v>439.54689984101753</v>
      </c>
      <c r="AG208" s="41">
        <f>N208/'1. Väestöennuste'!P208*1000</f>
        <v>419.24009700889246</v>
      </c>
      <c r="AH208" s="41">
        <f>O208/'1. Väestöennuste'!Q208*1000</f>
        <v>439.51832859669105</v>
      </c>
      <c r="AI208" s="41">
        <f>P208/'1. Väestöennuste'!R208*1000</f>
        <v>460.05554038461611</v>
      </c>
    </row>
    <row r="209" spans="1:35" x14ac:dyDescent="0.25">
      <c r="A209" s="30">
        <v>620</v>
      </c>
      <c r="B209" s="31" t="s">
        <v>523</v>
      </c>
      <c r="C209" s="41">
        <v>900</v>
      </c>
      <c r="D209" s="41">
        <v>1150</v>
      </c>
      <c r="E209" s="41">
        <v>1218</v>
      </c>
      <c r="F209" s="41">
        <v>1093</v>
      </c>
      <c r="G209" s="41">
        <v>1034</v>
      </c>
      <c r="H209" s="41">
        <v>1125</v>
      </c>
      <c r="I209" s="165">
        <v>1227.88231</v>
      </c>
      <c r="J209" s="41">
        <v>949.88933999999995</v>
      </c>
      <c r="K209" s="41">
        <v>971.64847999999995</v>
      </c>
      <c r="L209" s="41">
        <v>997.49300000000005</v>
      </c>
      <c r="M209" s="41">
        <v>983.24800000000005</v>
      </c>
      <c r="N209" s="41">
        <v>935.08600000000001</v>
      </c>
      <c r="O209" s="41">
        <f t="shared" si="8"/>
        <v>965.25780335837533</v>
      </c>
      <c r="P209" s="41">
        <f t="shared" si="8"/>
        <v>995.42960671675064</v>
      </c>
      <c r="Q209" s="165"/>
      <c r="T209" s="34">
        <v>620</v>
      </c>
      <c r="U209" s="88" t="s">
        <v>523</v>
      </c>
      <c r="V209" s="41">
        <f>C209/'1. Väestöennuste'!E209*1000</f>
        <v>324.2074927953891</v>
      </c>
      <c r="W209" s="41">
        <f>D209/'1. Väestöennuste'!F209*1000</f>
        <v>420.47531992687385</v>
      </c>
      <c r="X209" s="41">
        <f>E209/'1. Väestöennuste'!G209*1000</f>
        <v>456.35069314349948</v>
      </c>
      <c r="Y209" s="41">
        <f>F209/'1. Väestöennuste'!H209*1000</f>
        <v>420.87023488640739</v>
      </c>
      <c r="Z209" s="41">
        <f>G209/'1. Väestöennuste'!I209*1000</f>
        <v>409.01898734177217</v>
      </c>
      <c r="AA209" s="41">
        <f>H209/'1. Väestöennuste'!J209*1000</f>
        <v>451.62585307105581</v>
      </c>
      <c r="AB209" s="41">
        <f>I209/'1. Väestöennuste'!K209*1000</f>
        <v>501.99603843008987</v>
      </c>
      <c r="AC209" s="41">
        <f>J209/'1. Väestöennuste'!L209*1000</f>
        <v>399.11316806722687</v>
      </c>
      <c r="AD209" s="41">
        <f>K209/'1. Väestöennuste'!M209*1000</f>
        <v>411.88998728274692</v>
      </c>
      <c r="AE209" s="41">
        <f>L209/'1. Väestöennuste'!N209*1000</f>
        <v>436.92203241349102</v>
      </c>
      <c r="AF209" s="41">
        <f>M209/'1. Väestöennuste'!O209*1000</f>
        <v>439.34226988382483</v>
      </c>
      <c r="AG209" s="41">
        <f>N209/'1. Väestöennuste'!P209*1000</f>
        <v>425.81329690346087</v>
      </c>
      <c r="AH209" s="41">
        <f>O209/'1. Väestöennuste'!Q209*1000</f>
        <v>447.50014063902427</v>
      </c>
      <c r="AI209" s="41">
        <f>P209/'1. Väestöennuste'!R209*1000</f>
        <v>469.76385404282712</v>
      </c>
    </row>
    <row r="210" spans="1:35" x14ac:dyDescent="0.25">
      <c r="A210" s="30">
        <v>623</v>
      </c>
      <c r="B210" s="31" t="s">
        <v>524</v>
      </c>
      <c r="C210" s="41">
        <v>529</v>
      </c>
      <c r="D210" s="41">
        <v>842</v>
      </c>
      <c r="E210" s="41">
        <v>609</v>
      </c>
      <c r="F210" s="41">
        <v>629</v>
      </c>
      <c r="G210" s="41">
        <v>869</v>
      </c>
      <c r="H210" s="41">
        <v>670</v>
      </c>
      <c r="I210" s="165">
        <v>711.43732999999997</v>
      </c>
      <c r="J210" s="41">
        <v>719.66314</v>
      </c>
      <c r="K210" s="41">
        <v>809.47930000000008</v>
      </c>
      <c r="L210" s="41">
        <v>860.81399999999996</v>
      </c>
      <c r="M210" s="41">
        <v>880</v>
      </c>
      <c r="N210" s="41">
        <v>890</v>
      </c>
      <c r="O210" s="41">
        <f t="shared" si="8"/>
        <v>918.71704312646546</v>
      </c>
      <c r="P210" s="41">
        <f t="shared" si="8"/>
        <v>947.4340862529308</v>
      </c>
      <c r="Q210" s="165"/>
      <c r="T210" s="34">
        <v>623</v>
      </c>
      <c r="U210" s="88" t="s">
        <v>524</v>
      </c>
      <c r="V210" s="41">
        <f>C210/'1. Väestöennuste'!E210*1000</f>
        <v>234.07079646017698</v>
      </c>
      <c r="W210" s="41">
        <f>D210/'1. Väestöennuste'!F210*1000</f>
        <v>376.90241718889882</v>
      </c>
      <c r="X210" s="41">
        <f>E210/'1. Väestöennuste'!G210*1000</f>
        <v>275.81521739130432</v>
      </c>
      <c r="Y210" s="41">
        <f>F210/'1. Väestöennuste'!H210*1000</f>
        <v>286.29949931725082</v>
      </c>
      <c r="Z210" s="41">
        <f>G210/'1. Väestöennuste'!I210*1000</f>
        <v>403.99814039981402</v>
      </c>
      <c r="AA210" s="41">
        <f>H210/'1. Väestöennuste'!J210*1000</f>
        <v>313.52363125877395</v>
      </c>
      <c r="AB210" s="41">
        <f>I210/'1. Väestöennuste'!K210*1000</f>
        <v>336.05920170051962</v>
      </c>
      <c r="AC210" s="41">
        <f>J210/'1. Väestöennuste'!L210*1000</f>
        <v>341.55820598006642</v>
      </c>
      <c r="AD210" s="41">
        <f>K210/'1. Väestöennuste'!M210*1000</f>
        <v>384.00346299810252</v>
      </c>
      <c r="AE210" s="41">
        <f>L210/'1. Väestöennuste'!N210*1000</f>
        <v>419.90926829268295</v>
      </c>
      <c r="AF210" s="41">
        <f>M210/'1. Väestöennuste'!O210*1000</f>
        <v>432.8578455484506</v>
      </c>
      <c r="AG210" s="41">
        <f>N210/'1. Väestöennuste'!P210*1000</f>
        <v>441.46825396825398</v>
      </c>
      <c r="AH210" s="41">
        <f>O210/'1. Väestöennuste'!Q210*1000</f>
        <v>459.35852156323273</v>
      </c>
      <c r="AI210" s="41">
        <f>P210/'1. Väestöennuste'!R210*1000</f>
        <v>477.77815746491717</v>
      </c>
    </row>
    <row r="211" spans="1:35" x14ac:dyDescent="0.25">
      <c r="A211" s="30">
        <v>624</v>
      </c>
      <c r="B211" s="31" t="s">
        <v>525</v>
      </c>
      <c r="C211" s="41">
        <v>1327</v>
      </c>
      <c r="D211" s="41">
        <v>1403</v>
      </c>
      <c r="E211" s="41">
        <v>1405</v>
      </c>
      <c r="F211" s="41">
        <v>1454</v>
      </c>
      <c r="G211" s="41">
        <v>1532</v>
      </c>
      <c r="H211" s="41">
        <v>1568</v>
      </c>
      <c r="I211" s="165">
        <v>1537.46378</v>
      </c>
      <c r="J211" s="41">
        <v>1495.4830300000001</v>
      </c>
      <c r="K211" s="41">
        <v>1560.69751</v>
      </c>
      <c r="L211" s="41">
        <v>1570.0364299999999</v>
      </c>
      <c r="M211" s="41">
        <v>1570.00018</v>
      </c>
      <c r="N211" s="41">
        <v>1570.00046</v>
      </c>
      <c r="O211" s="41">
        <f t="shared" si="8"/>
        <v>1620.6586295712254</v>
      </c>
      <c r="P211" s="41">
        <f t="shared" si="8"/>
        <v>1671.3167991424507</v>
      </c>
      <c r="Q211" s="165"/>
      <c r="T211" s="34">
        <v>624</v>
      </c>
      <c r="U211" s="88" t="s">
        <v>525</v>
      </c>
      <c r="V211" s="41">
        <f>C211/'1. Väestöennuste'!E211*1000</f>
        <v>249.38921255403122</v>
      </c>
      <c r="W211" s="41">
        <f>D211/'1. Väestöennuste'!F211*1000</f>
        <v>262.73408239700376</v>
      </c>
      <c r="X211" s="41">
        <f>E211/'1. Väestöennuste'!G211*1000</f>
        <v>266.90729483282678</v>
      </c>
      <c r="Y211" s="41">
        <f>F211/'1. Väestöennuste'!H211*1000</f>
        <v>280.31617505301716</v>
      </c>
      <c r="Z211" s="41">
        <f>G211/'1. Väestöennuste'!I211*1000</f>
        <v>298.0544747081712</v>
      </c>
      <c r="AA211" s="41">
        <f>H211/'1. Väestöennuste'!J211*1000</f>
        <v>305.95121951219511</v>
      </c>
      <c r="AB211" s="41">
        <f>I211/'1. Väestöennuste'!K211*1000</f>
        <v>300.34455557726119</v>
      </c>
      <c r="AC211" s="41">
        <f>J211/'1. Väestöennuste'!L211*1000</f>
        <v>292.25777408637879</v>
      </c>
      <c r="AD211" s="41">
        <f>K211/'1. Väestöennuste'!M211*1000</f>
        <v>308.13376307996049</v>
      </c>
      <c r="AE211" s="41">
        <f>L211/'1. Väestöennuste'!N211*1000</f>
        <v>314.8258331662322</v>
      </c>
      <c r="AF211" s="41">
        <f>M211/'1. Väestöennuste'!O211*1000</f>
        <v>317.42826122118885</v>
      </c>
      <c r="AG211" s="41">
        <f>N211/'1. Väestöennuste'!P211*1000</f>
        <v>319.95118402282452</v>
      </c>
      <c r="AH211" s="41">
        <f>O211/'1. Väestöennuste'!Q211*1000</f>
        <v>332.92083598422875</v>
      </c>
      <c r="AI211" s="41">
        <f>P211/'1. Väestöennuste'!R211*1000</f>
        <v>346.38690137667373</v>
      </c>
    </row>
    <row r="212" spans="1:35" x14ac:dyDescent="0.25">
      <c r="A212" s="30">
        <v>625</v>
      </c>
      <c r="B212" s="31" t="s">
        <v>526</v>
      </c>
      <c r="C212" s="41">
        <v>838</v>
      </c>
      <c r="D212" s="41">
        <v>740</v>
      </c>
      <c r="E212" s="41">
        <v>864</v>
      </c>
      <c r="F212" s="41">
        <v>2683</v>
      </c>
      <c r="G212" s="41">
        <v>991</v>
      </c>
      <c r="H212" s="41">
        <v>1152</v>
      </c>
      <c r="I212" s="165">
        <v>1162.2496599999999</v>
      </c>
      <c r="J212" s="41">
        <v>1424.3088799999998</v>
      </c>
      <c r="K212" s="41">
        <v>1883.81079</v>
      </c>
      <c r="L212" s="41">
        <v>1343.52</v>
      </c>
      <c r="M212" s="41">
        <v>1244.05</v>
      </c>
      <c r="N212" s="41">
        <v>1138.31</v>
      </c>
      <c r="O212" s="41">
        <f t="shared" si="8"/>
        <v>1175.0390981587493</v>
      </c>
      <c r="P212" s="41">
        <f t="shared" si="8"/>
        <v>1211.7681963174985</v>
      </c>
      <c r="Q212" s="165"/>
      <c r="T212" s="34">
        <v>625</v>
      </c>
      <c r="U212" s="88" t="s">
        <v>526</v>
      </c>
      <c r="V212" s="41">
        <f>C212/'1. Väestöennuste'!E212*1000</f>
        <v>260.97788850825287</v>
      </c>
      <c r="W212" s="41">
        <f>D212/'1. Väestöennuste'!F212*1000</f>
        <v>232.12045169385195</v>
      </c>
      <c r="X212" s="41">
        <f>E212/'1. Väestöennuste'!G212*1000</f>
        <v>270.931326434619</v>
      </c>
      <c r="Y212" s="41">
        <f>F212/'1. Väestöennuste'!H212*1000</f>
        <v>852.8289891926255</v>
      </c>
      <c r="Z212" s="41">
        <f>G212/'1. Väestöennuste'!I212*1000</f>
        <v>322.06694832629182</v>
      </c>
      <c r="AA212" s="41">
        <f>H212/'1. Väestöennuste'!J212*1000</f>
        <v>377.58112094395278</v>
      </c>
      <c r="AB212" s="41">
        <f>I212/'1. Väestöennuste'!K212*1000</f>
        <v>381.3155052493438</v>
      </c>
      <c r="AC212" s="41">
        <f>J212/'1. Väestöennuste'!L212*1000</f>
        <v>476.19822133065861</v>
      </c>
      <c r="AD212" s="41">
        <f>K212/'1. Väestöennuste'!M212*1000</f>
        <v>632.15127181208049</v>
      </c>
      <c r="AE212" s="41">
        <f>L212/'1. Väestöennuste'!N212*1000</f>
        <v>461.37362637362639</v>
      </c>
      <c r="AF212" s="41">
        <f>M212/'1. Väestöennuste'!O212*1000</f>
        <v>432.11184439041335</v>
      </c>
      <c r="AG212" s="41">
        <f>N212/'1. Väestöennuste'!P212*1000</f>
        <v>399.82788900597114</v>
      </c>
      <c r="AH212" s="41">
        <f>O212/'1. Väestöennuste'!Q212*1000</f>
        <v>417.56897589152425</v>
      </c>
      <c r="AI212" s="41">
        <f>P212/'1. Väestöennuste'!R212*1000</f>
        <v>435.73110259528892</v>
      </c>
    </row>
    <row r="213" spans="1:35" x14ac:dyDescent="0.25">
      <c r="A213" s="30">
        <v>626</v>
      </c>
      <c r="B213" s="31" t="s">
        <v>527</v>
      </c>
      <c r="C213" s="41">
        <v>1161</v>
      </c>
      <c r="D213" s="41">
        <v>1821</v>
      </c>
      <c r="E213" s="41">
        <v>1537</v>
      </c>
      <c r="F213" s="41">
        <v>1814</v>
      </c>
      <c r="G213" s="41">
        <v>1863</v>
      </c>
      <c r="H213" s="41">
        <v>1839</v>
      </c>
      <c r="I213" s="165">
        <v>1785.47271</v>
      </c>
      <c r="J213" s="41">
        <v>1431.0686599999999</v>
      </c>
      <c r="K213" s="41">
        <v>1351.5130300000001</v>
      </c>
      <c r="L213" s="41">
        <v>1374.7</v>
      </c>
      <c r="M213" s="41">
        <v>1322</v>
      </c>
      <c r="N213" s="41">
        <v>1202</v>
      </c>
      <c r="O213" s="41">
        <f t="shared" si="8"/>
        <v>1240.7841413910241</v>
      </c>
      <c r="P213" s="41">
        <f t="shared" si="8"/>
        <v>1279.5682827820483</v>
      </c>
      <c r="Q213" s="165"/>
      <c r="T213" s="34">
        <v>626</v>
      </c>
      <c r="U213" s="88" t="s">
        <v>527</v>
      </c>
      <c r="V213" s="41">
        <f>C213/'1. Väestöennuste'!E213*1000</f>
        <v>210.8991825613079</v>
      </c>
      <c r="W213" s="41">
        <f>D213/'1. Väestöennuste'!F213*1000</f>
        <v>334.37385236871097</v>
      </c>
      <c r="X213" s="41">
        <f>E213/'1. Väestöennuste'!G213*1000</f>
        <v>287.98950721379055</v>
      </c>
      <c r="Y213" s="41">
        <f>F213/'1. Väestöennuste'!H213*1000</f>
        <v>345.65548780487802</v>
      </c>
      <c r="Z213" s="41">
        <f>G213/'1. Väestöennuste'!I213*1000</f>
        <v>363.0871175209511</v>
      </c>
      <c r="AA213" s="41">
        <f>H213/'1. Väestöennuste'!J213*1000</f>
        <v>365.38843632028613</v>
      </c>
      <c r="AB213" s="41">
        <f>I213/'1. Väestöennuste'!K213*1000</f>
        <v>359.68426873489125</v>
      </c>
      <c r="AC213" s="41">
        <f>J213/'1. Väestöennuste'!L213*1000</f>
        <v>295.98110858324713</v>
      </c>
      <c r="AD213" s="41">
        <f>K213/'1. Väestöennuste'!M213*1000</f>
        <v>284.17010723296886</v>
      </c>
      <c r="AE213" s="41">
        <f>L213/'1. Väestöennuste'!N213*1000</f>
        <v>292.73850085178879</v>
      </c>
      <c r="AF213" s="41">
        <f>M213/'1. Väestöennuste'!O213*1000</f>
        <v>286.20913617666162</v>
      </c>
      <c r="AG213" s="41">
        <f>N213/'1. Väestöennuste'!P213*1000</f>
        <v>264.52464788732397</v>
      </c>
      <c r="AH213" s="41">
        <f>O213/'1. Väestöennuste'!Q213*1000</f>
        <v>277.45620335219684</v>
      </c>
      <c r="AI213" s="41">
        <f>P213/'1. Väestöennuste'!R213*1000</f>
        <v>290.8770817872354</v>
      </c>
    </row>
    <row r="214" spans="1:35" x14ac:dyDescent="0.25">
      <c r="A214" s="30">
        <v>630</v>
      </c>
      <c r="B214" s="31" t="s">
        <v>528</v>
      </c>
      <c r="C214" s="41">
        <v>517</v>
      </c>
      <c r="D214" s="41">
        <v>500</v>
      </c>
      <c r="E214" s="41">
        <v>647</v>
      </c>
      <c r="F214" s="41">
        <v>463</v>
      </c>
      <c r="G214" s="41">
        <v>464</v>
      </c>
      <c r="H214" s="41">
        <v>487</v>
      </c>
      <c r="I214" s="165">
        <v>1371.5771200000001</v>
      </c>
      <c r="J214" s="41">
        <v>507.22483</v>
      </c>
      <c r="K214" s="41">
        <v>894.17284999999993</v>
      </c>
      <c r="L214" s="41">
        <v>797.59400000000005</v>
      </c>
      <c r="M214" s="41">
        <v>731.80399999999997</v>
      </c>
      <c r="N214" s="41">
        <v>731.80399999999997</v>
      </c>
      <c r="O214" s="41">
        <f t="shared" si="8"/>
        <v>755.41663711024705</v>
      </c>
      <c r="P214" s="41">
        <f t="shared" si="8"/>
        <v>779.02927422049413</v>
      </c>
      <c r="Q214" s="165"/>
      <c r="T214" s="34">
        <v>630</v>
      </c>
      <c r="U214" s="88" t="s">
        <v>528</v>
      </c>
      <c r="V214" s="41">
        <f>C214/'1. Väestöennuste'!E214*1000</f>
        <v>325.77189666036548</v>
      </c>
      <c r="W214" s="41">
        <f>D214/'1. Väestöennuste'!F214*1000</f>
        <v>316.65611146295123</v>
      </c>
      <c r="X214" s="41">
        <f>E214/'1. Väestöennuste'!G214*1000</f>
        <v>409.75300823305889</v>
      </c>
      <c r="Y214" s="41">
        <f>F214/'1. Väestöennuste'!H214*1000</f>
        <v>297.36673089274245</v>
      </c>
      <c r="Z214" s="41">
        <f>G214/'1. Väestöennuste'!I214*1000</f>
        <v>294.04309252217996</v>
      </c>
      <c r="AA214" s="41">
        <f>H214/'1. Väestöennuste'!J214*1000</f>
        <v>305.71249215317016</v>
      </c>
      <c r="AB214" s="41">
        <f>I214/'1. Väestöennuste'!K214*1000</f>
        <v>840.9424402207236</v>
      </c>
      <c r="AC214" s="41">
        <f>J214/'1. Väestöennuste'!L214*1000</f>
        <v>310.22925382262997</v>
      </c>
      <c r="AD214" s="41">
        <f>K214/'1. Väestöennuste'!M214*1000</f>
        <v>543.23988456865129</v>
      </c>
      <c r="AE214" s="41">
        <f>L214/'1. Väestöennuste'!N214*1000</f>
        <v>499.12015018773468</v>
      </c>
      <c r="AF214" s="41">
        <f>M214/'1. Väestöennuste'!O214*1000</f>
        <v>457.66353971232019</v>
      </c>
      <c r="AG214" s="41">
        <f>N214/'1. Väestöennuste'!P214*1000</f>
        <v>458.23669380087659</v>
      </c>
      <c r="AH214" s="41">
        <f>O214/'1. Väestöennuste'!Q214*1000</f>
        <v>473.61544646410476</v>
      </c>
      <c r="AI214" s="41">
        <f>P214/'1. Väestöennuste'!R214*1000</f>
        <v>487.80793626831195</v>
      </c>
    </row>
    <row r="215" spans="1:35" x14ac:dyDescent="0.25">
      <c r="A215" s="30">
        <v>631</v>
      </c>
      <c r="B215" s="31" t="s">
        <v>529</v>
      </c>
      <c r="C215" s="41">
        <v>375</v>
      </c>
      <c r="D215" s="41">
        <v>496</v>
      </c>
      <c r="E215" s="41">
        <v>553</v>
      </c>
      <c r="F215" s="41">
        <v>619</v>
      </c>
      <c r="G215" s="41">
        <v>489</v>
      </c>
      <c r="H215" s="41">
        <v>536</v>
      </c>
      <c r="I215" s="165">
        <v>566.36075000000005</v>
      </c>
      <c r="J215" s="41">
        <v>1102.8962300000001</v>
      </c>
      <c r="K215" s="41">
        <v>693.93753000000004</v>
      </c>
      <c r="L215" s="41">
        <v>557.42100000000005</v>
      </c>
      <c r="M215" s="41">
        <v>582.69000000000005</v>
      </c>
      <c r="N215" s="41">
        <v>468.19900000000001</v>
      </c>
      <c r="O215" s="41">
        <f t="shared" si="8"/>
        <v>483.30606839861576</v>
      </c>
      <c r="P215" s="41">
        <f t="shared" si="8"/>
        <v>498.41313679723146</v>
      </c>
      <c r="Q215" s="165"/>
      <c r="T215" s="34">
        <v>631</v>
      </c>
      <c r="U215" s="88" t="s">
        <v>529</v>
      </c>
      <c r="V215" s="41">
        <f>C215/'1. Väestöennuste'!E215*1000</f>
        <v>175.56179775280901</v>
      </c>
      <c r="W215" s="41">
        <f>D215/'1. Väestöennuste'!F215*1000</f>
        <v>239.03614457831327</v>
      </c>
      <c r="X215" s="41">
        <f>E215/'1. Väestöennuste'!G215*1000</f>
        <v>266.24939817043816</v>
      </c>
      <c r="Y215" s="41">
        <f>F215/'1. Väestöennuste'!H215*1000</f>
        <v>305.22682445759369</v>
      </c>
      <c r="Z215" s="41">
        <f>G215/'1. Väestöennuste'!I215*1000</f>
        <v>244.0119760479042</v>
      </c>
      <c r="AA215" s="41">
        <f>H215/'1. Väestöennuste'!J215*1000</f>
        <v>268.80641925777331</v>
      </c>
      <c r="AB215" s="41">
        <f>I215/'1. Väestöennuste'!K215*1000</f>
        <v>285.32027707808567</v>
      </c>
      <c r="AC215" s="41">
        <f>J215/'1. Väestöennuste'!L215*1000</f>
        <v>561.84219561895065</v>
      </c>
      <c r="AD215" s="41">
        <f>K215/'1. Väestöennuste'!M215*1000</f>
        <v>359.55312435233162</v>
      </c>
      <c r="AE215" s="41">
        <f>L215/'1. Väestöennuste'!N215*1000</f>
        <v>292.91697320021018</v>
      </c>
      <c r="AF215" s="41">
        <f>M215/'1. Väestöennuste'!O215*1000</f>
        <v>309.44768985661182</v>
      </c>
      <c r="AG215" s="41">
        <f>N215/'1. Väestöennuste'!P215*1000</f>
        <v>251.31454643048846</v>
      </c>
      <c r="AH215" s="41">
        <f>O215/'1. Väestöennuste'!Q215*1000</f>
        <v>262.38114462465569</v>
      </c>
      <c r="AI215" s="41">
        <f>P215/'1. Väestöennuste'!R215*1000</f>
        <v>273.70298561078062</v>
      </c>
    </row>
    <row r="216" spans="1:35" x14ac:dyDescent="0.25">
      <c r="A216" s="30">
        <v>635</v>
      </c>
      <c r="B216" s="31" t="s">
        <v>530</v>
      </c>
      <c r="C216" s="41">
        <v>1390</v>
      </c>
      <c r="D216" s="41">
        <v>2341</v>
      </c>
      <c r="E216" s="41">
        <v>2368</v>
      </c>
      <c r="F216" s="41">
        <v>2398</v>
      </c>
      <c r="G216" s="41">
        <v>2551</v>
      </c>
      <c r="H216" s="41">
        <v>2646</v>
      </c>
      <c r="I216" s="165">
        <v>2607.00495</v>
      </c>
      <c r="J216" s="41">
        <v>2632.7071900000001</v>
      </c>
      <c r="K216" s="41">
        <v>2585.6924800000002</v>
      </c>
      <c r="L216" s="41">
        <v>2642.1899700000004</v>
      </c>
      <c r="M216" s="41">
        <v>2620.4324100000003</v>
      </c>
      <c r="N216" s="41">
        <v>2750.6235699999997</v>
      </c>
      <c r="O216" s="41">
        <f t="shared" si="8"/>
        <v>2839.3761269487213</v>
      </c>
      <c r="P216" s="41">
        <f t="shared" si="8"/>
        <v>2928.1286838974429</v>
      </c>
      <c r="Q216" s="165"/>
      <c r="T216" s="34">
        <v>635</v>
      </c>
      <c r="U216" s="88" t="s">
        <v>530</v>
      </c>
      <c r="V216" s="41">
        <f>C216/'1. Väestöennuste'!E216*1000</f>
        <v>208.20850808867587</v>
      </c>
      <c r="W216" s="41">
        <f>D216/'1. Väestöennuste'!F216*1000</f>
        <v>353.25184849856646</v>
      </c>
      <c r="X216" s="41">
        <f>E216/'1. Väestöennuste'!G216*1000</f>
        <v>360.59083295264202</v>
      </c>
      <c r="Y216" s="41">
        <f>F216/'1. Väestöennuste'!H216*1000</f>
        <v>368.97984305277737</v>
      </c>
      <c r="Z216" s="41">
        <f>G216/'1. Väestöennuste'!I216*1000</f>
        <v>396.42579642579648</v>
      </c>
      <c r="AA216" s="41">
        <f>H216/'1. Väestöennuste'!J216*1000</f>
        <v>412.47077162899456</v>
      </c>
      <c r="AB216" s="41">
        <f>I216/'1. Väestöennuste'!K216*1000</f>
        <v>404.87730237614539</v>
      </c>
      <c r="AC216" s="41">
        <f>J216/'1. Väestöennuste'!L216*1000</f>
        <v>414.79552386954464</v>
      </c>
      <c r="AD216" s="41">
        <f>K216/'1. Väestöennuste'!M216*1000</f>
        <v>408.03100520751144</v>
      </c>
      <c r="AE216" s="41">
        <f>L216/'1. Väestöennuste'!N216*1000</f>
        <v>426.43479180116213</v>
      </c>
      <c r="AF216" s="41">
        <f>M216/'1. Väestöennuste'!O216*1000</f>
        <v>426.29451927769651</v>
      </c>
      <c r="AG216" s="41">
        <f>N216/'1. Väestöennuste'!P216*1000</f>
        <v>450.62640399737876</v>
      </c>
      <c r="AH216" s="41">
        <f>O216/'1. Väestöennuste'!Q216*1000</f>
        <v>468.31207767585704</v>
      </c>
      <c r="AI216" s="41">
        <f>P216/'1. Väestöennuste'!R216*1000</f>
        <v>485.99646205766692</v>
      </c>
    </row>
    <row r="217" spans="1:35" x14ac:dyDescent="0.25">
      <c r="A217" s="30">
        <v>636</v>
      </c>
      <c r="B217" s="31" t="s">
        <v>531</v>
      </c>
      <c r="C217" s="41">
        <v>2051</v>
      </c>
      <c r="D217" s="41">
        <v>2071</v>
      </c>
      <c r="E217" s="41">
        <v>2304</v>
      </c>
      <c r="F217" s="41">
        <v>2091</v>
      </c>
      <c r="G217" s="41">
        <v>2837</v>
      </c>
      <c r="H217" s="41">
        <v>2952</v>
      </c>
      <c r="I217" s="165">
        <v>2868.5594700000001</v>
      </c>
      <c r="J217" s="41">
        <v>2875.4739</v>
      </c>
      <c r="K217" s="41">
        <v>3286.0430899999997</v>
      </c>
      <c r="L217" s="41">
        <v>2878.8620000000001</v>
      </c>
      <c r="M217" s="41">
        <v>2878.8620000000001</v>
      </c>
      <c r="N217" s="41">
        <v>2878.8620000000001</v>
      </c>
      <c r="O217" s="41">
        <f t="shared" si="8"/>
        <v>2971.7523418080254</v>
      </c>
      <c r="P217" s="41">
        <f t="shared" si="8"/>
        <v>3064.6426836160508</v>
      </c>
      <c r="Q217" s="165"/>
      <c r="T217" s="34">
        <v>636</v>
      </c>
      <c r="U217" s="88" t="s">
        <v>531</v>
      </c>
      <c r="V217" s="41">
        <f>C217/'1. Väestöennuste'!E217*1000</f>
        <v>239.54683485167016</v>
      </c>
      <c r="W217" s="41">
        <f>D217/'1. Väestöennuste'!F217*1000</f>
        <v>243.56109608373515</v>
      </c>
      <c r="X217" s="41">
        <f>E217/'1. Väestöennuste'!G217*1000</f>
        <v>273.56922346236053</v>
      </c>
      <c r="Y217" s="41">
        <f>F217/'1. Väestöennuste'!H217*1000</f>
        <v>250.93003720148803</v>
      </c>
      <c r="Z217" s="41">
        <f>G217/'1. Väestöennuste'!I217*1000</f>
        <v>342.79845335911068</v>
      </c>
      <c r="AA217" s="41">
        <f>H217/'1. Väestöennuste'!J217*1000</f>
        <v>358.73131607728766</v>
      </c>
      <c r="AB217" s="41">
        <f>I217/'1. Väestöennuste'!K217*1000</f>
        <v>348.8882838725371</v>
      </c>
      <c r="AC217" s="41">
        <f>J217/'1. Väestöennuste'!L217*1000</f>
        <v>352.64580573951434</v>
      </c>
      <c r="AD217" s="41">
        <f>K217/'1. Väestöennuste'!M217*1000</f>
        <v>404.18734194341937</v>
      </c>
      <c r="AE217" s="41">
        <f>L217/'1. Väestöennuste'!N217*1000</f>
        <v>360.26304592666753</v>
      </c>
      <c r="AF217" s="41">
        <f>M217/'1. Väestöennuste'!O217*1000</f>
        <v>362.39451158106749</v>
      </c>
      <c r="AG217" s="41">
        <f>N217/'1. Väestöennuste'!P217*1000</f>
        <v>364.50519118764248</v>
      </c>
      <c r="AH217" s="41">
        <f>O217/'1. Väestöennuste'!Q217*1000</f>
        <v>378.37437507104983</v>
      </c>
      <c r="AI217" s="41">
        <f>P217/'1. Väestöennuste'!R217*1000</f>
        <v>392.65120866317113</v>
      </c>
    </row>
    <row r="218" spans="1:35" x14ac:dyDescent="0.25">
      <c r="A218" s="30">
        <v>638</v>
      </c>
      <c r="B218" s="31" t="s">
        <v>532</v>
      </c>
      <c r="C218" s="41">
        <v>21934</v>
      </c>
      <c r="D218" s="41">
        <v>30613</v>
      </c>
      <c r="E218" s="41">
        <v>23714</v>
      </c>
      <c r="F218" s="41">
        <v>26157</v>
      </c>
      <c r="G218" s="41">
        <v>26567</v>
      </c>
      <c r="H218" s="41">
        <v>28323</v>
      </c>
      <c r="I218" s="165">
        <v>27876.464980000001</v>
      </c>
      <c r="J218" s="41">
        <v>34180.429469999995</v>
      </c>
      <c r="K218" s="41">
        <v>27169.187550000002</v>
      </c>
      <c r="L218" s="41">
        <v>29358</v>
      </c>
      <c r="M218" s="41">
        <v>30505</v>
      </c>
      <c r="N218" s="41">
        <v>33607</v>
      </c>
      <c r="O218" s="41">
        <f t="shared" si="8"/>
        <v>34691.374908259691</v>
      </c>
      <c r="P218" s="41">
        <f t="shared" si="8"/>
        <v>35775.749816519383</v>
      </c>
      <c r="Q218" s="165"/>
      <c r="T218" s="34">
        <v>638</v>
      </c>
      <c r="U218" s="88" t="s">
        <v>532</v>
      </c>
      <c r="V218" s="41">
        <f>C218/'1. Väestöennuste'!E218*1000</f>
        <v>439.31261015862844</v>
      </c>
      <c r="W218" s="41">
        <f>D218/'1. Väestöennuste'!F218*1000</f>
        <v>610.50175494575615</v>
      </c>
      <c r="X218" s="41">
        <f>E218/'1. Väestöennuste'!G218*1000</f>
        <v>472.7765705057916</v>
      </c>
      <c r="Y218" s="41">
        <f>F218/'1. Väestöennuste'!H218*1000</f>
        <v>520.41303569296883</v>
      </c>
      <c r="Z218" s="41">
        <f>G218/'1. Väestöennuste'!I218*1000</f>
        <v>527.33227471218731</v>
      </c>
      <c r="AA218" s="41">
        <f>H218/'1. Väestöennuste'!J218*1000</f>
        <v>559.53298168671836</v>
      </c>
      <c r="AB218" s="41">
        <f>I218/'1. Väestöennuste'!K218*1000</f>
        <v>545.00508279731764</v>
      </c>
      <c r="AC218" s="41">
        <f>J218/'1. Väestöennuste'!L218*1000</f>
        <v>667.16953212835722</v>
      </c>
      <c r="AD218" s="41">
        <f>K218/'1. Väestöennuste'!M218*1000</f>
        <v>529.72737916512312</v>
      </c>
      <c r="AE218" s="41">
        <f>L218/'1. Väestöennuste'!N218*1000</f>
        <v>571.7680052973941</v>
      </c>
      <c r="AF218" s="41">
        <f>M218/'1. Väestöennuste'!O218*1000</f>
        <v>592.49116264615623</v>
      </c>
      <c r="AG218" s="41">
        <f>N218/'1. Väestöennuste'!P218*1000</f>
        <v>651.04610616040293</v>
      </c>
      <c r="AH218" s="41">
        <f>O218/'1. Väestöennuste'!Q218*1000</f>
        <v>670.49429664205047</v>
      </c>
      <c r="AI218" s="41">
        <f>P218/'1. Väestöennuste'!R218*1000</f>
        <v>689.99883925474717</v>
      </c>
    </row>
    <row r="219" spans="1:35" x14ac:dyDescent="0.25">
      <c r="A219" s="30">
        <v>678</v>
      </c>
      <c r="B219" s="31" t="s">
        <v>533</v>
      </c>
      <c r="C219" s="41">
        <v>6300</v>
      </c>
      <c r="D219" s="41">
        <v>7248</v>
      </c>
      <c r="E219" s="41">
        <v>6647</v>
      </c>
      <c r="F219" s="41">
        <v>6933</v>
      </c>
      <c r="G219" s="41">
        <v>8190</v>
      </c>
      <c r="H219" s="41">
        <v>10041</v>
      </c>
      <c r="I219" s="165">
        <v>8969.4481300000007</v>
      </c>
      <c r="J219" s="41">
        <v>8304.9734499999995</v>
      </c>
      <c r="K219" s="41">
        <v>8153.4469200000003</v>
      </c>
      <c r="L219" s="41">
        <v>8322.5990000000002</v>
      </c>
      <c r="M219" s="41">
        <v>8322.5990000000002</v>
      </c>
      <c r="N219" s="41">
        <v>8322.5990000000002</v>
      </c>
      <c r="O219" s="41">
        <f t="shared" si="8"/>
        <v>8591.1388139407627</v>
      </c>
      <c r="P219" s="41">
        <f t="shared" si="8"/>
        <v>8859.6786278815234</v>
      </c>
      <c r="Q219" s="165"/>
      <c r="T219" s="34">
        <v>678</v>
      </c>
      <c r="U219" s="88" t="s">
        <v>533</v>
      </c>
      <c r="V219" s="41">
        <f>C219/'1. Väestöennuste'!E219*1000</f>
        <v>250.34770514603616</v>
      </c>
      <c r="W219" s="41">
        <f>D219/'1. Väestöennuste'!F219*1000</f>
        <v>289.80407836865254</v>
      </c>
      <c r="X219" s="41">
        <f>E219/'1. Väestöennuste'!G219*1000</f>
        <v>265.86936522539099</v>
      </c>
      <c r="Y219" s="41">
        <f>F219/'1. Väestöennuste'!H219*1000</f>
        <v>279.43250977389062</v>
      </c>
      <c r="Z219" s="41">
        <f>G219/'1. Väestöennuste'!I219*1000</f>
        <v>331.86109647878766</v>
      </c>
      <c r="AA219" s="41">
        <f>H219/'1. Väestöennuste'!J219*1000</f>
        <v>412.310598283579</v>
      </c>
      <c r="AB219" s="41">
        <f>I219/'1. Väestöennuste'!K219*1000</f>
        <v>369.72168713932399</v>
      </c>
      <c r="AC219" s="41">
        <f>J219/'1. Väestöennuste'!L219*1000</f>
        <v>344.99121214638808</v>
      </c>
      <c r="AD219" s="41">
        <f>K219/'1. Väestöennuste'!M219*1000</f>
        <v>342.62499138546877</v>
      </c>
      <c r="AE219" s="41">
        <f>L219/'1. Väestöennuste'!N219*1000</f>
        <v>351.93669654939106</v>
      </c>
      <c r="AF219" s="41">
        <f>M219/'1. Väestöennuste'!O219*1000</f>
        <v>354.72674963771203</v>
      </c>
      <c r="AG219" s="41">
        <f>N219/'1. Väestöennuste'!P219*1000</f>
        <v>357.62285149535921</v>
      </c>
      <c r="AH219" s="41">
        <f>O219/'1. Väestöennuste'!Q219*1000</f>
        <v>372.23305086398449</v>
      </c>
      <c r="AI219" s="41">
        <f>P219/'1. Väestöennuste'!R219*1000</f>
        <v>387.15603163264825</v>
      </c>
    </row>
    <row r="220" spans="1:35" x14ac:dyDescent="0.25">
      <c r="A220" s="30">
        <v>680</v>
      </c>
      <c r="B220" s="31" t="s">
        <v>534</v>
      </c>
      <c r="C220" s="41">
        <v>8369</v>
      </c>
      <c r="D220" s="41">
        <v>8649</v>
      </c>
      <c r="E220" s="41">
        <v>7176</v>
      </c>
      <c r="F220" s="41">
        <v>7630</v>
      </c>
      <c r="G220" s="41">
        <v>8053</v>
      </c>
      <c r="H220" s="41">
        <v>8174</v>
      </c>
      <c r="I220" s="165">
        <v>7927.6467999999995</v>
      </c>
      <c r="J220" s="41">
        <v>8170.5449699999999</v>
      </c>
      <c r="K220" s="41">
        <v>11160.562599999999</v>
      </c>
      <c r="L220" s="41">
        <v>8332.9889999999996</v>
      </c>
      <c r="M220" s="41">
        <v>10347.5</v>
      </c>
      <c r="N220" s="41">
        <v>12233</v>
      </c>
      <c r="O220" s="41">
        <f t="shared" si="8"/>
        <v>12627.714144456239</v>
      </c>
      <c r="P220" s="41">
        <f t="shared" si="8"/>
        <v>13022.428288912475</v>
      </c>
      <c r="Q220" s="165"/>
      <c r="T220" s="34">
        <v>680</v>
      </c>
      <c r="U220" s="88" t="s">
        <v>534</v>
      </c>
      <c r="V220" s="41">
        <f>C220/'1. Väestöennuste'!E220*1000</f>
        <v>344.54508027995064</v>
      </c>
      <c r="W220" s="41">
        <f>D220/'1. Väestöennuste'!F220*1000</f>
        <v>356.17510192315609</v>
      </c>
      <c r="X220" s="41">
        <f>E220/'1. Väestöennuste'!G220*1000</f>
        <v>296.1128992324833</v>
      </c>
      <c r="Y220" s="41">
        <f>F220/'1. Väestöennuste'!H220*1000</f>
        <v>315.57614360162131</v>
      </c>
      <c r="Z220" s="41">
        <f>G220/'1. Väestöennuste'!I220*1000</f>
        <v>334.76055869637509</v>
      </c>
      <c r="AA220" s="41">
        <f>H220/'1. Väestöennuste'!J220*1000</f>
        <v>334.90392100626872</v>
      </c>
      <c r="AB220" s="41">
        <f>I220/'1. Väestöennuste'!K220*1000</f>
        <v>319.53433293027007</v>
      </c>
      <c r="AC220" s="41">
        <f>J220/'1. Väestöennuste'!L220*1000</f>
        <v>327.58178854943469</v>
      </c>
      <c r="AD220" s="41">
        <f>K220/'1. Väestöennuste'!M220*1000</f>
        <v>440.58910425960283</v>
      </c>
      <c r="AE220" s="41">
        <f>L220/'1. Väestöennuste'!N220*1000</f>
        <v>339.47077035890334</v>
      </c>
      <c r="AF220" s="41">
        <f>M220/'1. Väestöennuste'!O220*1000</f>
        <v>420.7326990322843</v>
      </c>
      <c r="AG220" s="41">
        <f>N220/'1. Väestöennuste'!P220*1000</f>
        <v>496.52960993627471</v>
      </c>
      <c r="AH220" s="41">
        <f>O220/'1. Väestöennuste'!Q220*1000</f>
        <v>511.67851794871098</v>
      </c>
      <c r="AI220" s="41">
        <f>P220/'1. Väestöennuste'!R220*1000</f>
        <v>526.71203239413023</v>
      </c>
    </row>
    <row r="221" spans="1:35" x14ac:dyDescent="0.25">
      <c r="A221" s="30">
        <v>681</v>
      </c>
      <c r="B221" s="31" t="s">
        <v>535</v>
      </c>
      <c r="C221" s="41">
        <v>942</v>
      </c>
      <c r="D221" s="41">
        <v>1085</v>
      </c>
      <c r="E221" s="41">
        <v>1118</v>
      </c>
      <c r="F221" s="41">
        <v>1639</v>
      </c>
      <c r="G221" s="41">
        <v>1033</v>
      </c>
      <c r="H221" s="41">
        <v>1113</v>
      </c>
      <c r="I221" s="165">
        <v>1102.77747</v>
      </c>
      <c r="J221" s="41">
        <v>1046.52836</v>
      </c>
      <c r="K221" s="41">
        <v>1587.7548200000001</v>
      </c>
      <c r="L221" s="41">
        <v>895.15499999999997</v>
      </c>
      <c r="M221" s="41">
        <v>895.11500000000001</v>
      </c>
      <c r="N221" s="41">
        <v>895.11500000000001</v>
      </c>
      <c r="O221" s="41">
        <f t="shared" si="8"/>
        <v>923.99708545859119</v>
      </c>
      <c r="P221" s="41">
        <f t="shared" si="8"/>
        <v>952.87917091718225</v>
      </c>
      <c r="Q221" s="165"/>
      <c r="T221" s="34">
        <v>681</v>
      </c>
      <c r="U221" s="88" t="s">
        <v>535</v>
      </c>
      <c r="V221" s="41">
        <f>C221/'1. Väestöennuste'!E221*1000</f>
        <v>252.34395928207874</v>
      </c>
      <c r="W221" s="41">
        <f>D221/'1. Väestöennuste'!F221*1000</f>
        <v>297.34173746231846</v>
      </c>
      <c r="X221" s="41">
        <f>E221/'1. Väestöennuste'!G221*1000</f>
        <v>314.66366450886574</v>
      </c>
      <c r="Y221" s="41">
        <f>F221/'1. Väestöennuste'!H221*1000</f>
        <v>466.42003414911784</v>
      </c>
      <c r="Z221" s="41">
        <f>G221/'1. Väestöennuste'!I221*1000</f>
        <v>301.07840279801809</v>
      </c>
      <c r="AA221" s="41">
        <f>H221/'1. Väestöennuste'!J221*1000</f>
        <v>330.85612366230674</v>
      </c>
      <c r="AB221" s="41">
        <f>I221/'1. Väestöennuste'!K221*1000</f>
        <v>331.16440540540543</v>
      </c>
      <c r="AC221" s="41">
        <f>J221/'1. Väestöennuste'!L221*1000</f>
        <v>316.36286577992746</v>
      </c>
      <c r="AD221" s="41">
        <f>K221/'1. Väestöennuste'!M221*1000</f>
        <v>481.57562026084321</v>
      </c>
      <c r="AE221" s="41">
        <f>L221/'1. Väestöennuste'!N221*1000</f>
        <v>288.20186735350933</v>
      </c>
      <c r="AF221" s="41">
        <f>M221/'1. Väestöennuste'!O221*1000</f>
        <v>293.28800786369595</v>
      </c>
      <c r="AG221" s="41">
        <f>N221/'1. Väestöennuste'!P221*1000</f>
        <v>297.87520798668885</v>
      </c>
      <c r="AH221" s="41">
        <f>O221/'1. Väestöennuste'!Q221*1000</f>
        <v>312.26667301743532</v>
      </c>
      <c r="AI221" s="41">
        <f>P221/'1. Väestöennuste'!R221*1000</f>
        <v>327.00040182470218</v>
      </c>
    </row>
    <row r="222" spans="1:35" x14ac:dyDescent="0.25">
      <c r="A222" s="30">
        <v>683</v>
      </c>
      <c r="B222" s="31" t="s">
        <v>536</v>
      </c>
      <c r="C222" s="41">
        <v>1302</v>
      </c>
      <c r="D222" s="41">
        <v>3617</v>
      </c>
      <c r="E222" s="41">
        <v>2091</v>
      </c>
      <c r="F222" s="41">
        <v>7650</v>
      </c>
      <c r="G222" s="41">
        <v>2244</v>
      </c>
      <c r="H222" s="41">
        <v>757</v>
      </c>
      <c r="I222" s="165">
        <v>980.24306000000001</v>
      </c>
      <c r="J222" s="41">
        <v>789.09401000000003</v>
      </c>
      <c r="K222" s="41">
        <v>800.31799000000001</v>
      </c>
      <c r="L222" s="41">
        <v>747.23400000000004</v>
      </c>
      <c r="M222" s="41">
        <v>1107.2339999999999</v>
      </c>
      <c r="N222" s="41">
        <v>1107.2339999999999</v>
      </c>
      <c r="O222" s="41">
        <f t="shared" si="8"/>
        <v>1142.9603893585268</v>
      </c>
      <c r="P222" s="41">
        <f t="shared" si="8"/>
        <v>1178.6867787170536</v>
      </c>
      <c r="Q222" s="165"/>
      <c r="T222" s="34">
        <v>683</v>
      </c>
      <c r="U222" s="88" t="s">
        <v>536</v>
      </c>
      <c r="V222" s="41">
        <f>C222/'1. Väestöennuste'!E222*1000</f>
        <v>323.8805970149254</v>
      </c>
      <c r="W222" s="41">
        <f>D222/'1. Väestöennuste'!F222*1000</f>
        <v>899.08028834203333</v>
      </c>
      <c r="X222" s="41">
        <f>E222/'1. Väestöennuste'!G222*1000</f>
        <v>526.43504531722056</v>
      </c>
      <c r="Y222" s="41">
        <f>F222/'1. Väestöennuste'!H222*1000</f>
        <v>1963.5523613963039</v>
      </c>
      <c r="Z222" s="41">
        <f>G222/'1. Väestöennuste'!I222*1000</f>
        <v>593.18001586042828</v>
      </c>
      <c r="AA222" s="41">
        <f>H222/'1. Väestöennuste'!J222*1000</f>
        <v>203.93318965517241</v>
      </c>
      <c r="AB222" s="41">
        <f>I222/'1. Väestöennuste'!K222*1000</f>
        <v>267.09620163487739</v>
      </c>
      <c r="AC222" s="41">
        <f>J222/'1. Väestöennuste'!L222*1000</f>
        <v>218.10226920950802</v>
      </c>
      <c r="AD222" s="41">
        <f>K222/'1. Väestöennuste'!M222*1000</f>
        <v>222.3723228674632</v>
      </c>
      <c r="AE222" s="41">
        <f>L222/'1. Väestöennuste'!N222*1000</f>
        <v>216.40139009556907</v>
      </c>
      <c r="AF222" s="41">
        <f>M222/'1. Väestöennuste'!O222*1000</f>
        <v>326.23276370064821</v>
      </c>
      <c r="AG222" s="41">
        <f>N222/'1. Väestöennuste'!P222*1000</f>
        <v>331.80521426430926</v>
      </c>
      <c r="AH222" s="41">
        <f>O222/'1. Väestöennuste'!Q222*1000</f>
        <v>348.0390954197706</v>
      </c>
      <c r="AI222" s="41">
        <f>P222/'1. Väestöennuste'!R222*1000</f>
        <v>364.69269143473196</v>
      </c>
    </row>
    <row r="223" spans="1:35" x14ac:dyDescent="0.25">
      <c r="A223" s="30">
        <v>684</v>
      </c>
      <c r="B223" s="31" t="s">
        <v>537</v>
      </c>
      <c r="C223" s="41">
        <v>20401</v>
      </c>
      <c r="D223" s="41">
        <v>19742</v>
      </c>
      <c r="E223" s="41">
        <v>18475</v>
      </c>
      <c r="F223" s="41">
        <v>21782</v>
      </c>
      <c r="G223" s="41">
        <v>18109</v>
      </c>
      <c r="H223" s="41">
        <v>18461</v>
      </c>
      <c r="I223" s="165">
        <v>18050.330000000002</v>
      </c>
      <c r="J223" s="41">
        <v>17701.063630000001</v>
      </c>
      <c r="K223" s="41">
        <v>19351.69527</v>
      </c>
      <c r="L223" s="41">
        <v>21234.744999999999</v>
      </c>
      <c r="M223" s="41">
        <v>22868.052</v>
      </c>
      <c r="N223" s="41">
        <v>25232.2</v>
      </c>
      <c r="O223" s="41">
        <f t="shared" si="8"/>
        <v>26046.35075907371</v>
      </c>
      <c r="P223" s="41">
        <f t="shared" si="8"/>
        <v>26860.501518147419</v>
      </c>
      <c r="Q223" s="165"/>
      <c r="T223" s="34">
        <v>684</v>
      </c>
      <c r="U223" s="88" t="s">
        <v>537</v>
      </c>
      <c r="V223" s="41">
        <f>C223/'1. Väestöennuste'!E223*1000</f>
        <v>512.47205405812758</v>
      </c>
      <c r="W223" s="41">
        <f>D223/'1. Väestöennuste'!F223*1000</f>
        <v>498.35916595143129</v>
      </c>
      <c r="X223" s="41">
        <f>E223/'1. Väestöennuste'!G223*1000</f>
        <v>466.30489651691067</v>
      </c>
      <c r="Y223" s="41">
        <f>F223/'1. Väestöennuste'!H223*1000</f>
        <v>553.40447154471542</v>
      </c>
      <c r="Z223" s="41">
        <f>G223/'1. Väestöennuste'!I223*1000</f>
        <v>461.90536921311059</v>
      </c>
      <c r="AA223" s="41">
        <f>H223/'1. Väestöennuste'!J223*1000</f>
        <v>472.87397540983608</v>
      </c>
      <c r="AB223" s="41">
        <f>I223/'1. Väestöennuste'!K223*1000</f>
        <v>463.31605020662755</v>
      </c>
      <c r="AC223" s="41">
        <f>J223/'1. Väestöennuste'!L223*1000</f>
        <v>457.78218196394857</v>
      </c>
      <c r="AD223" s="41">
        <f>K223/'1. Väestöennuste'!M223*1000</f>
        <v>498.34402734857855</v>
      </c>
      <c r="AE223" s="41">
        <f>L223/'1. Väestöennuste'!N223*1000</f>
        <v>551.92454644695124</v>
      </c>
      <c r="AF223" s="41">
        <f>M223/'1. Väestöennuste'!O223*1000</f>
        <v>596.90564067761215</v>
      </c>
      <c r="AG223" s="41">
        <f>N223/'1. Väestöennuste'!P223*1000</f>
        <v>661.44650955514192</v>
      </c>
      <c r="AH223" s="41">
        <f>O223/'1. Väestöennuste'!Q223*1000</f>
        <v>685.77316971837786</v>
      </c>
      <c r="AI223" s="41">
        <f>P223/'1. Väestöennuste'!R223*1000</f>
        <v>710.25706060995878</v>
      </c>
    </row>
    <row r="224" spans="1:35" x14ac:dyDescent="0.25">
      <c r="A224" s="30">
        <v>686</v>
      </c>
      <c r="B224" s="31" t="s">
        <v>538</v>
      </c>
      <c r="C224" s="41">
        <v>725</v>
      </c>
      <c r="D224" s="41">
        <v>816</v>
      </c>
      <c r="E224" s="41">
        <v>832</v>
      </c>
      <c r="F224" s="41">
        <v>985</v>
      </c>
      <c r="G224" s="41">
        <v>986</v>
      </c>
      <c r="H224" s="41">
        <v>1139</v>
      </c>
      <c r="I224" s="165">
        <v>1009.10714</v>
      </c>
      <c r="J224" s="41">
        <v>1067.2492500000001</v>
      </c>
      <c r="K224" s="41">
        <v>1109.6238899999998</v>
      </c>
      <c r="L224" s="41">
        <v>999.91342000000009</v>
      </c>
      <c r="M224" s="41">
        <v>999.91342000000009</v>
      </c>
      <c r="N224" s="41">
        <v>999.91342000000009</v>
      </c>
      <c r="O224" s="41">
        <f t="shared" si="8"/>
        <v>1032.176966971766</v>
      </c>
      <c r="P224" s="41">
        <f t="shared" si="8"/>
        <v>1064.4405139435316</v>
      </c>
      <c r="Q224" s="165"/>
      <c r="T224" s="34">
        <v>686</v>
      </c>
      <c r="U224" s="88" t="s">
        <v>538</v>
      </c>
      <c r="V224" s="41">
        <f>C224/'1. Väestöennuste'!E224*1000</f>
        <v>219.49742658189524</v>
      </c>
      <c r="W224" s="41">
        <f>D224/'1. Väestöennuste'!F224*1000</f>
        <v>248.17518248175182</v>
      </c>
      <c r="X224" s="41">
        <f>E224/'1. Väestöennuste'!G224*1000</f>
        <v>255.60675883256528</v>
      </c>
      <c r="Y224" s="41">
        <f>F224/'1. Väestöennuste'!H224*1000</f>
        <v>308.19774718397997</v>
      </c>
      <c r="Z224" s="41">
        <f>G224/'1. Väestöennuste'!I224*1000</f>
        <v>315.92438321050946</v>
      </c>
      <c r="AA224" s="41">
        <f>H224/'1. Väestöennuste'!J224*1000</f>
        <v>373.07566328201767</v>
      </c>
      <c r="AB224" s="41">
        <f>I224/'1. Väestöennuste'!K224*1000</f>
        <v>332.7092449719749</v>
      </c>
      <c r="AC224" s="41">
        <f>J224/'1. Väestöennuste'!L224*1000</f>
        <v>360.07059716599196</v>
      </c>
      <c r="AD224" s="41">
        <f>K224/'1. Väestöennuste'!M224*1000</f>
        <v>378.32386293897031</v>
      </c>
      <c r="AE224" s="41">
        <f>L224/'1. Väestöennuste'!N224*1000</f>
        <v>348.76645273805372</v>
      </c>
      <c r="AF224" s="41">
        <f>M224/'1. Väestöennuste'!O224*1000</f>
        <v>354.57922695035467</v>
      </c>
      <c r="AG224" s="41">
        <f>N224/'1. Väestöennuste'!P224*1000</f>
        <v>359.68108633093527</v>
      </c>
      <c r="AH224" s="41">
        <f>O224/'1. Väestöennuste'!Q224*1000</f>
        <v>376.43215425666153</v>
      </c>
      <c r="AI224" s="41">
        <f>P224/'1. Väestöennuste'!R224*1000</f>
        <v>393.65403622172028</v>
      </c>
    </row>
    <row r="225" spans="1:35" x14ac:dyDescent="0.25">
      <c r="A225" s="30">
        <v>687</v>
      </c>
      <c r="B225" s="31" t="s">
        <v>539</v>
      </c>
      <c r="C225" s="41">
        <v>867</v>
      </c>
      <c r="D225" s="41">
        <v>1007</v>
      </c>
      <c r="E225" s="41">
        <v>963</v>
      </c>
      <c r="F225" s="41">
        <v>933</v>
      </c>
      <c r="G225" s="41">
        <v>880</v>
      </c>
      <c r="H225" s="41">
        <v>917</v>
      </c>
      <c r="I225" s="165">
        <v>1569.86655</v>
      </c>
      <c r="J225" s="41">
        <v>869.08589000000006</v>
      </c>
      <c r="K225" s="41">
        <v>737.41675999999995</v>
      </c>
      <c r="L225" s="41">
        <v>758.96400000000006</v>
      </c>
      <c r="M225" s="41">
        <v>799</v>
      </c>
      <c r="N225" s="41">
        <v>799.68499999999995</v>
      </c>
      <c r="O225" s="41">
        <f t="shared" si="8"/>
        <v>825.48790857594099</v>
      </c>
      <c r="P225" s="41">
        <f t="shared" si="8"/>
        <v>851.29081715188192</v>
      </c>
      <c r="Q225" s="165"/>
      <c r="T225" s="34">
        <v>687</v>
      </c>
      <c r="U225" s="88" t="s">
        <v>539</v>
      </c>
      <c r="V225" s="41">
        <f>C225/'1. Väestöennuste'!E225*1000</f>
        <v>499.13644214162349</v>
      </c>
      <c r="W225" s="41">
        <f>D225/'1. Väestöennuste'!F225*1000</f>
        <v>584.44573418456184</v>
      </c>
      <c r="X225" s="41">
        <f>E225/'1. Väestöennuste'!G225*1000</f>
        <v>567.13780918727923</v>
      </c>
      <c r="Y225" s="41">
        <f>F225/'1. Väestöennuste'!H225*1000</f>
        <v>565.11205330102962</v>
      </c>
      <c r="Z225" s="41">
        <f>G225/'1. Väestöennuste'!I225*1000</f>
        <v>549.31335830212231</v>
      </c>
      <c r="AA225" s="41">
        <f>H225/'1. Väestöennuste'!J225*1000</f>
        <v>587.44394618834087</v>
      </c>
      <c r="AB225" s="41">
        <f>I225/'1. Väestöennuste'!K225*1000</f>
        <v>1037.5852941176472</v>
      </c>
      <c r="AC225" s="41">
        <f>J225/'1. Väestöennuste'!L225*1000</f>
        <v>588.41292484766427</v>
      </c>
      <c r="AD225" s="41">
        <f>K225/'1. Väestöennuste'!M225*1000</f>
        <v>517.84884831460681</v>
      </c>
      <c r="AE225" s="41">
        <f>L225/'1. Väestöennuste'!N225*1000</f>
        <v>528.89477351916378</v>
      </c>
      <c r="AF225" s="41">
        <f>M225/'1. Väestöennuste'!O225*1000</f>
        <v>567.47159090909099</v>
      </c>
      <c r="AG225" s="41">
        <f>N225/'1. Väestöennuste'!P225*1000</f>
        <v>579.06227371469947</v>
      </c>
      <c r="AH225" s="41">
        <f>O225/'1. Väestöennuste'!Q225*1000</f>
        <v>609.21616869073137</v>
      </c>
      <c r="AI225" s="41">
        <f>P225/'1. Väestöennuste'!R225*1000</f>
        <v>639.58739079780753</v>
      </c>
    </row>
    <row r="226" spans="1:35" x14ac:dyDescent="0.25">
      <c r="A226" s="30">
        <v>689</v>
      </c>
      <c r="B226" s="31" t="s">
        <v>540</v>
      </c>
      <c r="C226" s="41">
        <v>1500</v>
      </c>
      <c r="D226" s="41">
        <v>1666</v>
      </c>
      <c r="E226" s="41">
        <v>1733</v>
      </c>
      <c r="F226" s="41">
        <v>1840</v>
      </c>
      <c r="G226" s="41">
        <v>1710</v>
      </c>
      <c r="H226" s="41">
        <v>1645</v>
      </c>
      <c r="I226" s="165">
        <v>1599.7398000000001</v>
      </c>
      <c r="J226" s="41">
        <v>1547.1999599999999</v>
      </c>
      <c r="K226" s="41">
        <v>1533.3281200000001</v>
      </c>
      <c r="L226" s="41">
        <v>1569.90012</v>
      </c>
      <c r="M226" s="41">
        <v>1642.6</v>
      </c>
      <c r="N226" s="41">
        <v>1689.9</v>
      </c>
      <c r="O226" s="41">
        <f t="shared" si="8"/>
        <v>1744.4268889656337</v>
      </c>
      <c r="P226" s="41">
        <f t="shared" si="8"/>
        <v>1798.9537779312673</v>
      </c>
      <c r="Q226" s="165"/>
      <c r="T226" s="34">
        <v>689</v>
      </c>
      <c r="U226" s="88" t="s">
        <v>540</v>
      </c>
      <c r="V226" s="41">
        <f>C226/'1. Väestöennuste'!E226*1000</f>
        <v>424.08821034775235</v>
      </c>
      <c r="W226" s="41">
        <f>D226/'1. Väestöennuste'!F226*1000</f>
        <v>479.70054707745464</v>
      </c>
      <c r="X226" s="41">
        <f>E226/'1. Väestöennuste'!G226*1000</f>
        <v>504.3655413271245</v>
      </c>
      <c r="Y226" s="41">
        <f>F226/'1. Väestöennuste'!H226*1000</f>
        <v>551.72413793103442</v>
      </c>
      <c r="Z226" s="41">
        <f>G226/'1. Väestöennuste'!I226*1000</f>
        <v>530.06819590824546</v>
      </c>
      <c r="AA226" s="41">
        <f>H226/'1. Väestöennuste'!J226*1000</f>
        <v>522.8862047043865</v>
      </c>
      <c r="AB226" s="41">
        <f>I226/'1. Väestöennuste'!K226*1000</f>
        <v>517.38027166882284</v>
      </c>
      <c r="AC226" s="41">
        <f>J226/'1. Väestöennuste'!L226*1000</f>
        <v>500.22630455868091</v>
      </c>
      <c r="AD226" s="41">
        <f>K226/'1. Väestöennuste'!M226*1000</f>
        <v>505.71507915567281</v>
      </c>
      <c r="AE226" s="41">
        <f>L226/'1. Väestöennuste'!N226*1000</f>
        <v>549.1081217208814</v>
      </c>
      <c r="AF226" s="41">
        <f>M226/'1. Väestöennuste'!O226*1000</f>
        <v>586.85244730260797</v>
      </c>
      <c r="AG226" s="41">
        <f>N226/'1. Väestöennuste'!P226*1000</f>
        <v>616.30196936542666</v>
      </c>
      <c r="AH226" s="41">
        <f>O226/'1. Väestöennuste'!Q226*1000</f>
        <v>648.72699478082313</v>
      </c>
      <c r="AI226" s="41">
        <f>P226/'1. Väestöennuste'!R226*1000</f>
        <v>681.68009773825963</v>
      </c>
    </row>
    <row r="227" spans="1:35" x14ac:dyDescent="0.25">
      <c r="A227" s="30">
        <v>691</v>
      </c>
      <c r="B227" s="31" t="s">
        <v>541</v>
      </c>
      <c r="C227" s="41">
        <v>640</v>
      </c>
      <c r="D227" s="41">
        <v>1463</v>
      </c>
      <c r="E227" s="41">
        <v>931</v>
      </c>
      <c r="F227" s="41">
        <v>941</v>
      </c>
      <c r="G227" s="41">
        <v>1166</v>
      </c>
      <c r="H227" s="41">
        <v>1272</v>
      </c>
      <c r="I227" s="165">
        <v>1047.39177</v>
      </c>
      <c r="J227" s="41">
        <v>1073.14797</v>
      </c>
      <c r="K227" s="41">
        <v>1192.29574</v>
      </c>
      <c r="L227" s="41">
        <v>1097.01</v>
      </c>
      <c r="M227" s="41">
        <v>1016.9502</v>
      </c>
      <c r="N227" s="41">
        <v>1037.2892099999999</v>
      </c>
      <c r="O227" s="41">
        <f t="shared" si="8"/>
        <v>1070.7587369417834</v>
      </c>
      <c r="P227" s="41">
        <f t="shared" si="8"/>
        <v>1104.2282638835668</v>
      </c>
      <c r="Q227" s="165"/>
      <c r="T227" s="34">
        <v>691</v>
      </c>
      <c r="U227" s="88" t="s">
        <v>541</v>
      </c>
      <c r="V227" s="41">
        <f>C227/'1. Väestöennuste'!E227*1000</f>
        <v>221.14720110573603</v>
      </c>
      <c r="W227" s="41">
        <f>D227/'1. Väestöennuste'!F227*1000</f>
        <v>512.61387526278907</v>
      </c>
      <c r="X227" s="41">
        <f>E227/'1. Väestöennuste'!G227*1000</f>
        <v>330.96338428723783</v>
      </c>
      <c r="Y227" s="41">
        <f>F227/'1. Väestöennuste'!H227*1000</f>
        <v>343.05504921618666</v>
      </c>
      <c r="Z227" s="41">
        <f>G227/'1. Väestöennuste'!I227*1000</f>
        <v>428.9919058130979</v>
      </c>
      <c r="AA227" s="41">
        <f>H227/'1. Väestöennuste'!J227*1000</f>
        <v>469.37269372693731</v>
      </c>
      <c r="AB227" s="41">
        <f>I227/'1. Väestöennuste'!K227*1000</f>
        <v>389.36497026022306</v>
      </c>
      <c r="AC227" s="41">
        <f>J227/'1. Väestöennuste'!L227*1000</f>
        <v>407.11227996965101</v>
      </c>
      <c r="AD227" s="41">
        <f>K227/'1. Väestöennuste'!M227*1000</f>
        <v>458.92830638953041</v>
      </c>
      <c r="AE227" s="41">
        <f>L227/'1. Väestöennuste'!N227*1000</f>
        <v>425.52754072924751</v>
      </c>
      <c r="AF227" s="41">
        <f>M227/'1. Väestöennuste'!O227*1000</f>
        <v>399.43055773762762</v>
      </c>
      <c r="AG227" s="41">
        <f>N227/'1. Väestöennuste'!P227*1000</f>
        <v>412.44103777335982</v>
      </c>
      <c r="AH227" s="41">
        <f>O227/'1. Väestöennuste'!Q227*1000</f>
        <v>430.71550158559268</v>
      </c>
      <c r="AI227" s="41">
        <f>P227/'1. Väestöennuste'!R227*1000</f>
        <v>449.78748019697224</v>
      </c>
    </row>
    <row r="228" spans="1:35" x14ac:dyDescent="0.25">
      <c r="A228" s="30">
        <v>694</v>
      </c>
      <c r="B228" s="31" t="s">
        <v>542</v>
      </c>
      <c r="C228" s="41">
        <v>8007</v>
      </c>
      <c r="D228" s="41">
        <v>9682</v>
      </c>
      <c r="E228" s="41">
        <v>14104</v>
      </c>
      <c r="F228" s="41">
        <v>17868</v>
      </c>
      <c r="G228" s="41">
        <v>-932</v>
      </c>
      <c r="H228" s="41">
        <v>8918</v>
      </c>
      <c r="I228" s="165">
        <v>8703.3531600000006</v>
      </c>
      <c r="J228" s="41">
        <v>9280.50612</v>
      </c>
      <c r="K228" s="41">
        <v>11820.608679999999</v>
      </c>
      <c r="L228" s="41">
        <v>10215.700000000001</v>
      </c>
      <c r="M228" s="41">
        <v>6498.4</v>
      </c>
      <c r="N228" s="41">
        <v>6498.4</v>
      </c>
      <c r="O228" s="41">
        <f t="shared" si="8"/>
        <v>6708.0795877000255</v>
      </c>
      <c r="P228" s="41">
        <f t="shared" si="8"/>
        <v>6917.7591754000514</v>
      </c>
      <c r="Q228" s="165"/>
      <c r="T228" s="34">
        <v>694</v>
      </c>
      <c r="U228" s="88" t="s">
        <v>542</v>
      </c>
      <c r="V228" s="41">
        <f>C228/'1. Väestöennuste'!E228*1000</f>
        <v>273.56588882435341</v>
      </c>
      <c r="W228" s="41">
        <f>D228/'1. Väestöennuste'!F228*1000</f>
        <v>332.03017832647464</v>
      </c>
      <c r="X228" s="41">
        <f>E228/'1. Väestöennuste'!G228*1000</f>
        <v>485.99290169187833</v>
      </c>
      <c r="Y228" s="41">
        <f>F228/'1. Väestöennuste'!H228*1000</f>
        <v>621.79844097995544</v>
      </c>
      <c r="Z228" s="41">
        <f>G228/'1. Väestöennuste'!I228*1000</f>
        <v>-32.368978571180499</v>
      </c>
      <c r="AA228" s="41">
        <f>H228/'1. Väestöennuste'!J228*1000</f>
        <v>310.62347614071751</v>
      </c>
      <c r="AB228" s="41">
        <f>I228/'1. Väestöennuste'!K228*1000</f>
        <v>305.15596087093724</v>
      </c>
      <c r="AC228" s="41">
        <f>J228/'1. Väestöennuste'!L228*1000</f>
        <v>327.36626053829059</v>
      </c>
      <c r="AD228" s="41">
        <f>K228/'1. Väestöennuste'!M228*1000</f>
        <v>415.00574658568269</v>
      </c>
      <c r="AE228" s="41">
        <f>L228/'1. Väestöennuste'!N228*1000</f>
        <v>361.04258702951051</v>
      </c>
      <c r="AF228" s="41">
        <f>M228/'1. Väestöennuste'!O228*1000</f>
        <v>230.41520405630607</v>
      </c>
      <c r="AG228" s="41">
        <f>N228/'1. Väestöennuste'!P228*1000</f>
        <v>231.17751689790109</v>
      </c>
      <c r="AH228" s="41">
        <f>O228/'1. Väestöennuste'!Q228*1000</f>
        <v>239.42890344076901</v>
      </c>
      <c r="AI228" s="41">
        <f>P228/'1. Väestöennuste'!R228*1000</f>
        <v>247.7175096827348</v>
      </c>
    </row>
    <row r="229" spans="1:35" x14ac:dyDescent="0.25">
      <c r="A229" s="32">
        <v>697</v>
      </c>
      <c r="B229" s="33" t="s">
        <v>543</v>
      </c>
      <c r="C229" s="41">
        <v>548</v>
      </c>
      <c r="D229" s="41">
        <v>519</v>
      </c>
      <c r="E229" s="41">
        <v>593</v>
      </c>
      <c r="F229" s="41">
        <v>566</v>
      </c>
      <c r="G229" s="41">
        <v>468</v>
      </c>
      <c r="H229" s="41">
        <v>381</v>
      </c>
      <c r="I229" s="165">
        <v>532.13724999999999</v>
      </c>
      <c r="J229" s="41">
        <v>637.88959</v>
      </c>
      <c r="K229" s="41">
        <v>298.35988000000003</v>
      </c>
      <c r="L229" s="41">
        <v>268.14115999999996</v>
      </c>
      <c r="M229" s="41">
        <v>252.34</v>
      </c>
      <c r="N229" s="41">
        <v>219.47499999999999</v>
      </c>
      <c r="O229" s="41">
        <f t="shared" si="8"/>
        <v>226.55665510132695</v>
      </c>
      <c r="P229" s="41">
        <f t="shared" si="8"/>
        <v>233.63831020265391</v>
      </c>
      <c r="Q229" s="165"/>
      <c r="T229" s="89">
        <v>697</v>
      </c>
      <c r="U229" s="90" t="s">
        <v>543</v>
      </c>
      <c r="V229" s="41">
        <f>C229/'1. Väestöennuste'!E229*1000</f>
        <v>405.62546262028127</v>
      </c>
      <c r="W229" s="41">
        <f>D229/'1. Väestöennuste'!F229*1000</f>
        <v>385.87360594795541</v>
      </c>
      <c r="X229" s="41">
        <f>E229/'1. Väestöennuste'!G229*1000</f>
        <v>450.2657555049355</v>
      </c>
      <c r="Y229" s="41">
        <f>F229/'1. Väestöennuste'!H229*1000</f>
        <v>439.44099378881992</v>
      </c>
      <c r="Z229" s="41">
        <f>G229/'1. Väestöennuste'!I229*1000</f>
        <v>367.92452830188677</v>
      </c>
      <c r="AA229" s="41">
        <f>H229/'1. Väestöennuste'!J229*1000</f>
        <v>308.502024291498</v>
      </c>
      <c r="AB229" s="41">
        <f>I229/'1. Väestöennuste'!K229*1000</f>
        <v>439.78285123966941</v>
      </c>
      <c r="AC229" s="41">
        <f>J229/'1. Väestöennuste'!L229*1000</f>
        <v>543.34718057921634</v>
      </c>
      <c r="AD229" s="41">
        <f>K229/'1. Väestöennuste'!M229*1000</f>
        <v>256.3229209621993</v>
      </c>
      <c r="AE229" s="41">
        <f>L229/'1. Väestöennuste'!N229*1000</f>
        <v>228.39962521294714</v>
      </c>
      <c r="AF229" s="41">
        <f>M229/'1. Väestöennuste'!O229*1000</f>
        <v>216.41509433962264</v>
      </c>
      <c r="AG229" s="41">
        <f>N229/'1. Väestöennuste'!P229*1000</f>
        <v>189.85726643598616</v>
      </c>
      <c r="AH229" s="41">
        <f>O229/'1. Väestöennuste'!Q229*1000</f>
        <v>197.86607432430301</v>
      </c>
      <c r="AI229" s="41">
        <f>P229/'1. Väestöennuste'!R229*1000</f>
        <v>205.48664045967803</v>
      </c>
    </row>
    <row r="230" spans="1:35" x14ac:dyDescent="0.25">
      <c r="A230" s="30">
        <v>698</v>
      </c>
      <c r="B230" s="31" t="s">
        <v>544</v>
      </c>
      <c r="C230" s="41">
        <v>20134</v>
      </c>
      <c r="D230" s="41">
        <v>14929</v>
      </c>
      <c r="E230" s="41">
        <v>16334</v>
      </c>
      <c r="F230" s="41">
        <v>13979</v>
      </c>
      <c r="G230" s="41">
        <v>19214</v>
      </c>
      <c r="H230" s="41">
        <v>16354</v>
      </c>
      <c r="I230" s="165">
        <v>15049.85317</v>
      </c>
      <c r="J230" s="41">
        <v>14670.815060000001</v>
      </c>
      <c r="K230" s="41">
        <v>20223.037270000001</v>
      </c>
      <c r="L230" s="41">
        <v>14654</v>
      </c>
      <c r="M230" s="41">
        <v>14215</v>
      </c>
      <c r="N230" s="41">
        <v>17468</v>
      </c>
      <c r="O230" s="41">
        <f t="shared" si="8"/>
        <v>18031.62843745292</v>
      </c>
      <c r="P230" s="41">
        <f t="shared" si="8"/>
        <v>18595.256874905837</v>
      </c>
      <c r="Q230" s="165"/>
      <c r="T230" s="34">
        <v>698</v>
      </c>
      <c r="U230" s="88" t="s">
        <v>544</v>
      </c>
      <c r="V230" s="41">
        <f>C230/'1. Väestöennuste'!E230*1000</f>
        <v>325.5926776415796</v>
      </c>
      <c r="W230" s="41">
        <f>D230/'1. Väestöennuste'!F230*1000</f>
        <v>239.89651459883336</v>
      </c>
      <c r="X230" s="41">
        <f>E230/'1. Väestöennuste'!G230*1000</f>
        <v>261.67894905479011</v>
      </c>
      <c r="Y230" s="41">
        <f>F230/'1. Väestöennuste'!H230*1000</f>
        <v>222.16394901624233</v>
      </c>
      <c r="Z230" s="41">
        <f>G230/'1. Väestöennuste'!I230*1000</f>
        <v>304.78093969099967</v>
      </c>
      <c r="AA230" s="41">
        <f>H230/'1. Väestöennuste'!J230*1000</f>
        <v>257.4297947361793</v>
      </c>
      <c r="AB230" s="41">
        <f>I230/'1. Väestöennuste'!K230*1000</f>
        <v>234.49444016827672</v>
      </c>
      <c r="AC230" s="41">
        <f>J230/'1. Väestöennuste'!L230*1000</f>
        <v>227.3311390718215</v>
      </c>
      <c r="AD230" s="41">
        <f>K230/'1. Väestöennuste'!M230*1000</f>
        <v>309.76070321355269</v>
      </c>
      <c r="AE230" s="41">
        <f>L230/'1. Väestöennuste'!N230*1000</f>
        <v>225.60928671500932</v>
      </c>
      <c r="AF230" s="41">
        <f>M230/'1. Väestöennuste'!O230*1000</f>
        <v>217.84439029623158</v>
      </c>
      <c r="AG230" s="41">
        <f>N230/'1. Väestöennuste'!P230*1000</f>
        <v>266.53239342061096</v>
      </c>
      <c r="AH230" s="41">
        <f>O230/'1. Väestöennuste'!Q230*1000</f>
        <v>274.02857720818395</v>
      </c>
      <c r="AI230" s="41">
        <f>P230/'1. Väestöennuste'!R230*1000</f>
        <v>281.558610546088</v>
      </c>
    </row>
    <row r="231" spans="1:35" x14ac:dyDescent="0.25">
      <c r="A231" s="30">
        <v>700</v>
      </c>
      <c r="B231" s="31" t="s">
        <v>545</v>
      </c>
      <c r="C231" s="41">
        <v>5267</v>
      </c>
      <c r="D231" s="41">
        <v>1385</v>
      </c>
      <c r="E231" s="41">
        <v>1332</v>
      </c>
      <c r="F231" s="41">
        <v>1899</v>
      </c>
      <c r="G231" s="41">
        <v>2050</v>
      </c>
      <c r="H231" s="41">
        <v>1863</v>
      </c>
      <c r="I231" s="165">
        <v>1818.6729499999999</v>
      </c>
      <c r="J231" s="41">
        <v>1845.1275700000001</v>
      </c>
      <c r="K231" s="41">
        <v>3799.3865499999997</v>
      </c>
      <c r="L231" s="41">
        <v>1744.057</v>
      </c>
      <c r="M231" s="41">
        <v>1835.153</v>
      </c>
      <c r="N231" s="41">
        <v>2125.8119999999999</v>
      </c>
      <c r="O231" s="41">
        <f t="shared" si="8"/>
        <v>2194.4041740255702</v>
      </c>
      <c r="P231" s="41">
        <f t="shared" si="8"/>
        <v>2262.9963480511406</v>
      </c>
      <c r="Q231" s="165"/>
      <c r="T231" s="34">
        <v>700</v>
      </c>
      <c r="U231" s="88" t="s">
        <v>545</v>
      </c>
      <c r="V231" s="41">
        <f>C231/'1. Väestöennuste'!E231*1000</f>
        <v>991.5286144578314</v>
      </c>
      <c r="W231" s="41">
        <f>D231/'1. Väestöennuste'!F231*1000</f>
        <v>264.06101048617728</v>
      </c>
      <c r="X231" s="41">
        <f>E231/'1. Väestöennuste'!G231*1000</f>
        <v>255.27021847451132</v>
      </c>
      <c r="Y231" s="41">
        <f>F231/'1. Väestöennuste'!H231*1000</f>
        <v>372.42596587566192</v>
      </c>
      <c r="Z231" s="41">
        <f>G231/'1. Väestöennuste'!I231*1000</f>
        <v>410.49259110933116</v>
      </c>
      <c r="AA231" s="41">
        <f>H231/'1. Väestöennuste'!J231*1000</f>
        <v>378.50467289719626</v>
      </c>
      <c r="AB231" s="41">
        <f>I231/'1. Väestöennuste'!K231*1000</f>
        <v>370.175646244657</v>
      </c>
      <c r="AC231" s="41">
        <f>J231/'1. Väestöennuste'!L231*1000</f>
        <v>381.06723874432055</v>
      </c>
      <c r="AD231" s="41">
        <f>K231/'1. Väestöennuste'!M231*1000</f>
        <v>798.52596679276996</v>
      </c>
      <c r="AE231" s="41">
        <f>L231/'1. Väestöennuste'!N231*1000</f>
        <v>376.03643811987922</v>
      </c>
      <c r="AF231" s="41">
        <f>M231/'1. Väestöennuste'!O231*1000</f>
        <v>401.21403585483165</v>
      </c>
      <c r="AG231" s="41">
        <f>N231/'1. Väestöennuste'!P231*1000</f>
        <v>471.14627659574467</v>
      </c>
      <c r="AH231" s="41">
        <f>O231/'1. Väestöennuste'!Q231*1000</f>
        <v>493.01374388352508</v>
      </c>
      <c r="AI231" s="41">
        <f>P231/'1. Väestöennuste'!R231*1000</f>
        <v>515.60636774917759</v>
      </c>
    </row>
    <row r="232" spans="1:35" x14ac:dyDescent="0.25">
      <c r="A232" s="30">
        <v>702</v>
      </c>
      <c r="B232" s="31" t="s">
        <v>546</v>
      </c>
      <c r="C232" s="41">
        <v>1254</v>
      </c>
      <c r="D232" s="41">
        <v>1171</v>
      </c>
      <c r="E232" s="41">
        <v>1140</v>
      </c>
      <c r="F232" s="41">
        <v>1205</v>
      </c>
      <c r="G232" s="41">
        <v>1226</v>
      </c>
      <c r="H232" s="41">
        <v>1277</v>
      </c>
      <c r="I232" s="165">
        <v>1372.5769399999999</v>
      </c>
      <c r="J232" s="41">
        <v>1329.5604599999999</v>
      </c>
      <c r="K232" s="41">
        <v>1331.20712</v>
      </c>
      <c r="L232" s="41">
        <v>1405</v>
      </c>
      <c r="M232" s="41">
        <v>1500</v>
      </c>
      <c r="N232" s="41">
        <v>1500</v>
      </c>
      <c r="O232" s="41">
        <f t="shared" si="8"/>
        <v>1548.3995108873014</v>
      </c>
      <c r="P232" s="41">
        <f t="shared" si="8"/>
        <v>1596.7990217746026</v>
      </c>
      <c r="Q232" s="165"/>
      <c r="T232" s="34">
        <v>702</v>
      </c>
      <c r="U232" s="88" t="s">
        <v>546</v>
      </c>
      <c r="V232" s="41">
        <f>C232/'1. Väestöennuste'!E232*1000</f>
        <v>271.25243348475016</v>
      </c>
      <c r="W232" s="41">
        <f>D232/'1. Väestöennuste'!F232*1000</f>
        <v>256.51697699890468</v>
      </c>
      <c r="X232" s="41">
        <f>E232/'1. Väestöennuste'!G232*1000</f>
        <v>255.66270464229646</v>
      </c>
      <c r="Y232" s="41">
        <f>F232/'1. Väestöennuste'!H232*1000</f>
        <v>273.98817644383809</v>
      </c>
      <c r="Z232" s="41">
        <f>G232/'1. Väestöennuste'!I232*1000</f>
        <v>286.2479570394583</v>
      </c>
      <c r="AA232" s="41">
        <f>H232/'1. Väestöennuste'!J232*1000</f>
        <v>302.96559905100827</v>
      </c>
      <c r="AB232" s="41">
        <f>I232/'1. Väestöennuste'!K232*1000</f>
        <v>330.34342719614915</v>
      </c>
      <c r="AC232" s="41">
        <f>J232/'1. Väestöennuste'!L232*1000</f>
        <v>323.17949927078263</v>
      </c>
      <c r="AD232" s="41">
        <f>K232/'1. Väestöennuste'!M232*1000</f>
        <v>322.79513094083416</v>
      </c>
      <c r="AE232" s="41">
        <f>L232/'1. Väestöennuste'!N232*1000</f>
        <v>359.97950294645142</v>
      </c>
      <c r="AF232" s="41">
        <f>M232/'1. Väestöennuste'!O232*1000</f>
        <v>390.42165538781887</v>
      </c>
      <c r="AG232" s="41">
        <f>N232/'1. Väestöennuste'!P232*1000</f>
        <v>395.98732840549098</v>
      </c>
      <c r="AH232" s="41">
        <f>O232/'1. Väestöennuste'!Q232*1000</f>
        <v>414.2320788890587</v>
      </c>
      <c r="AI232" s="41">
        <f>P232/'1. Väestöennuste'!R232*1000</f>
        <v>432.50244360092159</v>
      </c>
    </row>
    <row r="233" spans="1:35" x14ac:dyDescent="0.25">
      <c r="A233" s="30">
        <v>704</v>
      </c>
      <c r="B233" s="31" t="s">
        <v>547</v>
      </c>
      <c r="C233" s="41">
        <v>1551</v>
      </c>
      <c r="D233" s="41">
        <v>1586</v>
      </c>
      <c r="E233" s="41">
        <v>1613</v>
      </c>
      <c r="F233" s="41">
        <v>1653</v>
      </c>
      <c r="G233" s="41">
        <v>1687</v>
      </c>
      <c r="H233" s="41">
        <v>1714</v>
      </c>
      <c r="I233" s="165">
        <v>1675.3142</v>
      </c>
      <c r="J233" s="41">
        <v>1765.3382900000001</v>
      </c>
      <c r="K233" s="41">
        <v>2311.1386000000002</v>
      </c>
      <c r="L233" s="41">
        <v>2215.4589999999998</v>
      </c>
      <c r="M233" s="41">
        <v>2244.23</v>
      </c>
      <c r="N233" s="41">
        <v>2414.23</v>
      </c>
      <c r="O233" s="41">
        <f t="shared" si="8"/>
        <v>2492.1283674462998</v>
      </c>
      <c r="P233" s="41">
        <f t="shared" si="8"/>
        <v>2570.0267348925991</v>
      </c>
      <c r="Q233" s="165"/>
      <c r="T233" s="34">
        <v>704</v>
      </c>
      <c r="U233" s="88" t="s">
        <v>547</v>
      </c>
      <c r="V233" s="41">
        <f>C233/'1. Väestöennuste'!E233*1000</f>
        <v>253.84615384615384</v>
      </c>
      <c r="W233" s="41">
        <f>D233/'1. Väestöennuste'!F233*1000</f>
        <v>258.43245885611867</v>
      </c>
      <c r="X233" s="41">
        <f>E233/'1. Väestöennuste'!G233*1000</f>
        <v>257.54430783969343</v>
      </c>
      <c r="Y233" s="41">
        <f>F233/'1. Väestöennuste'!H233*1000</f>
        <v>264.43768996960489</v>
      </c>
      <c r="Z233" s="41">
        <f>G233/'1. Väestöennuste'!I233*1000</f>
        <v>266.63505610874034</v>
      </c>
      <c r="AA233" s="41">
        <f>H233/'1. Väestöennuste'!J233*1000</f>
        <v>269.75133774000631</v>
      </c>
      <c r="AB233" s="41">
        <f>I233/'1. Väestöennuste'!K233*1000</f>
        <v>262.62959711553538</v>
      </c>
      <c r="AC233" s="41">
        <f>J233/'1. Väestöennuste'!L233*1000</f>
        <v>274.63259023024273</v>
      </c>
      <c r="AD233" s="41">
        <f>K233/'1. Väestöennuste'!M233*1000</f>
        <v>359.09549409571167</v>
      </c>
      <c r="AE233" s="41">
        <f>L233/'1. Väestöennuste'!N233*1000</f>
        <v>336.95193916349808</v>
      </c>
      <c r="AF233" s="41">
        <f>M233/'1. Väestöennuste'!O233*1000</f>
        <v>338.24114544084398</v>
      </c>
      <c r="AG233" s="41">
        <f>N233/'1. Väestöennuste'!P233*1000</f>
        <v>360.81751606635783</v>
      </c>
      <c r="AH233" s="41">
        <f>O233/'1. Väestöennuste'!Q233*1000</f>
        <v>369.36836630299393</v>
      </c>
      <c r="AI233" s="41">
        <f>P233/'1. Väestöennuste'!R233*1000</f>
        <v>378.11192215574499</v>
      </c>
    </row>
    <row r="234" spans="1:35" x14ac:dyDescent="0.25">
      <c r="A234" s="30">
        <v>707</v>
      </c>
      <c r="B234" s="31" t="s">
        <v>548</v>
      </c>
      <c r="C234" s="41">
        <v>520</v>
      </c>
      <c r="D234" s="41">
        <v>536</v>
      </c>
      <c r="E234" s="41">
        <v>684</v>
      </c>
      <c r="F234" s="41">
        <v>438</v>
      </c>
      <c r="G234" s="41">
        <v>399</v>
      </c>
      <c r="H234" s="41">
        <v>408</v>
      </c>
      <c r="I234" s="165">
        <v>309.01434999999998</v>
      </c>
      <c r="J234" s="41">
        <v>299.58822999999995</v>
      </c>
      <c r="K234" s="41">
        <v>290.97253999999998</v>
      </c>
      <c r="L234" s="41">
        <v>284.58</v>
      </c>
      <c r="M234" s="41">
        <v>284.58</v>
      </c>
      <c r="N234" s="41">
        <v>284.58</v>
      </c>
      <c r="O234" s="41">
        <f t="shared" si="8"/>
        <v>293.76235520553877</v>
      </c>
      <c r="P234" s="41">
        <f t="shared" si="8"/>
        <v>302.94471041107755</v>
      </c>
      <c r="Q234" s="165"/>
      <c r="T234" s="34">
        <v>707</v>
      </c>
      <c r="U234" s="88" t="s">
        <v>548</v>
      </c>
      <c r="V234" s="41">
        <f>C234/'1. Väestöennuste'!E234*1000</f>
        <v>221.37079608343976</v>
      </c>
      <c r="W234" s="41">
        <f>D234/'1. Väestöennuste'!F234*1000</f>
        <v>236.33156966490299</v>
      </c>
      <c r="X234" s="41">
        <f>E234/'1. Väestöennuste'!G234*1000</f>
        <v>305.35714285714289</v>
      </c>
      <c r="Y234" s="41">
        <f>F234/'1. Väestöennuste'!H234*1000</f>
        <v>200.82530949105916</v>
      </c>
      <c r="Z234" s="41">
        <f>G234/'1. Väestöennuste'!I234*1000</f>
        <v>187.67638758231419</v>
      </c>
      <c r="AA234" s="41">
        <f>H234/'1. Väestöennuste'!J234*1000</f>
        <v>197.48305905130687</v>
      </c>
      <c r="AB234" s="41">
        <f>I234/'1. Väestöennuste'!K234*1000</f>
        <v>152.07399114173228</v>
      </c>
      <c r="AC234" s="41">
        <f>J234/'1. Väestöennuste'!L234*1000</f>
        <v>152.851137755102</v>
      </c>
      <c r="AD234" s="41">
        <f>K234/'1. Väestöennuste'!M234*1000</f>
        <v>152.98240799158779</v>
      </c>
      <c r="AE234" s="41">
        <f>L234/'1. Väestöennuste'!N234*1000</f>
        <v>149.30745015739768</v>
      </c>
      <c r="AF234" s="41">
        <f>M234/'1. Väestöennuste'!O234*1000</f>
        <v>151.69509594882729</v>
      </c>
      <c r="AG234" s="41">
        <f>N234/'1. Väestöennuste'!P234*1000</f>
        <v>154.07688142934487</v>
      </c>
      <c r="AH234" s="41">
        <f>O234/'1. Väestöennuste'!Q234*1000</f>
        <v>161.49662188319888</v>
      </c>
      <c r="AI234" s="41">
        <f>P234/'1. Väestöennuste'!R234*1000</f>
        <v>168.95968232631208</v>
      </c>
    </row>
    <row r="235" spans="1:35" x14ac:dyDescent="0.25">
      <c r="A235" s="30">
        <v>710</v>
      </c>
      <c r="B235" s="31" t="s">
        <v>549</v>
      </c>
      <c r="C235" s="41">
        <v>5889</v>
      </c>
      <c r="D235" s="41">
        <v>6197</v>
      </c>
      <c r="E235" s="41">
        <v>6308</v>
      </c>
      <c r="F235" s="41">
        <v>6429</v>
      </c>
      <c r="G235" s="41">
        <v>6680</v>
      </c>
      <c r="H235" s="41">
        <v>7157</v>
      </c>
      <c r="I235" s="165">
        <v>7395.0381900000002</v>
      </c>
      <c r="J235" s="41">
        <v>7320.1184699999994</v>
      </c>
      <c r="K235" s="41">
        <v>7796.0155000000004</v>
      </c>
      <c r="L235" s="41">
        <v>8173.5</v>
      </c>
      <c r="M235" s="41">
        <v>8270</v>
      </c>
      <c r="N235" s="41">
        <v>8821.6</v>
      </c>
      <c r="O235" s="41">
        <f t="shared" si="8"/>
        <v>9106.2407501622783</v>
      </c>
      <c r="P235" s="41">
        <f t="shared" si="8"/>
        <v>9390.8815003245563</v>
      </c>
      <c r="Q235" s="165"/>
      <c r="T235" s="34">
        <v>710</v>
      </c>
      <c r="U235" s="88" t="s">
        <v>549</v>
      </c>
      <c r="V235" s="41">
        <f>C235/'1. Väestöennuste'!E235*1000</f>
        <v>207.32265446224258</v>
      </c>
      <c r="W235" s="41">
        <f>D235/'1. Väestöennuste'!F235*1000</f>
        <v>220.71446379598962</v>
      </c>
      <c r="X235" s="41">
        <f>E235/'1. Väestöennuste'!G235*1000</f>
        <v>226.49096980359769</v>
      </c>
      <c r="Y235" s="41">
        <f>F235/'1. Väestöennuste'!H235*1000</f>
        <v>233.00231951290229</v>
      </c>
      <c r="Z235" s="41">
        <f>G235/'1. Väestöennuste'!I235*1000</f>
        <v>242.59151656013944</v>
      </c>
      <c r="AA235" s="41">
        <f>H235/'1. Väestöennuste'!J235*1000</f>
        <v>259.98982853821559</v>
      </c>
      <c r="AB235" s="41">
        <f>I235/'1. Väestöennuste'!K235*1000</f>
        <v>269.06702772522198</v>
      </c>
      <c r="AC235" s="41">
        <f>J235/'1. Väestöennuste'!L235*1000</f>
        <v>268.07728960667981</v>
      </c>
      <c r="AD235" s="41">
        <f>K235/'1. Väestöennuste'!M235*1000</f>
        <v>286.5234113712375</v>
      </c>
      <c r="AE235" s="41">
        <f>L235/'1. Väestöennuste'!N235*1000</f>
        <v>304.30007446016384</v>
      </c>
      <c r="AF235" s="41">
        <f>M235/'1. Väestöennuste'!O235*1000</f>
        <v>309.63345688719158</v>
      </c>
      <c r="AG235" s="41">
        <f>N235/'1. Väestöennuste'!P235*1000</f>
        <v>332.08854088239724</v>
      </c>
      <c r="AH235" s="41">
        <f>O235/'1. Väestöennuste'!Q235*1000</f>
        <v>344.58094941394324</v>
      </c>
      <c r="AI235" s="41">
        <f>P235/'1. Väestöennuste'!R235*1000</f>
        <v>357.10847246167077</v>
      </c>
    </row>
    <row r="236" spans="1:35" x14ac:dyDescent="0.25">
      <c r="A236" s="30">
        <v>729</v>
      </c>
      <c r="B236" s="31" t="s">
        <v>550</v>
      </c>
      <c r="C236" s="41">
        <v>4310</v>
      </c>
      <c r="D236" s="41">
        <v>4557</v>
      </c>
      <c r="E236" s="41">
        <v>4029</v>
      </c>
      <c r="F236" s="41">
        <v>3395</v>
      </c>
      <c r="G236" s="41">
        <v>3558</v>
      </c>
      <c r="H236" s="41">
        <v>3297</v>
      </c>
      <c r="I236" s="165">
        <v>3286.58446</v>
      </c>
      <c r="J236" s="41">
        <v>2988.8170800000003</v>
      </c>
      <c r="K236" s="41">
        <v>4026.5246299999999</v>
      </c>
      <c r="L236" s="41">
        <v>3135</v>
      </c>
      <c r="M236" s="41">
        <v>3150</v>
      </c>
      <c r="N236" s="41">
        <v>3150</v>
      </c>
      <c r="O236" s="41">
        <f t="shared" si="8"/>
        <v>3251.6389728633326</v>
      </c>
      <c r="P236" s="41">
        <f t="shared" si="8"/>
        <v>3353.2779457266652</v>
      </c>
      <c r="Q236" s="165"/>
      <c r="T236" s="34">
        <v>729</v>
      </c>
      <c r="U236" s="88" t="s">
        <v>550</v>
      </c>
      <c r="V236" s="41">
        <f>C236/'1. Väestöennuste'!E236*1000</f>
        <v>434.69490670700958</v>
      </c>
      <c r="W236" s="41">
        <f>D236/'1. Väestöennuste'!F236*1000</f>
        <v>470.27863777089783</v>
      </c>
      <c r="X236" s="41">
        <f>E236/'1. Väestöennuste'!G236*1000</f>
        <v>420.1689435811868</v>
      </c>
      <c r="Y236" s="41">
        <f>F236/'1. Väestöennuste'!H236*1000</f>
        <v>360.59479553903344</v>
      </c>
      <c r="Z236" s="41">
        <f>G236/'1. Väestöennuste'!I236*1000</f>
        <v>382.21076377699006</v>
      </c>
      <c r="AA236" s="41">
        <f>H236/'1. Väestöennuste'!J236*1000</f>
        <v>358.05821025195485</v>
      </c>
      <c r="AB236" s="41">
        <f>I236/'1. Väestöennuste'!K236*1000</f>
        <v>360.48968520346608</v>
      </c>
      <c r="AC236" s="41">
        <f>J236/'1. Väestöennuste'!L236*1000</f>
        <v>333.01583064066853</v>
      </c>
      <c r="AD236" s="41">
        <f>K236/'1. Väestöennuste'!M236*1000</f>
        <v>455.12881541765569</v>
      </c>
      <c r="AE236" s="41">
        <f>L236/'1. Väestöennuste'!N236*1000</f>
        <v>359.68334098210187</v>
      </c>
      <c r="AF236" s="41">
        <f>M236/'1. Väestöennuste'!O236*1000</f>
        <v>366.1939083933969</v>
      </c>
      <c r="AG236" s="41">
        <f>N236/'1. Väestöennuste'!P236*1000</f>
        <v>371.06844151254563</v>
      </c>
      <c r="AH236" s="41">
        <f>O236/'1. Väestöennuste'!Q236*1000</f>
        <v>387.93115877634602</v>
      </c>
      <c r="AI236" s="41">
        <f>P236/'1. Väestöennuste'!R236*1000</f>
        <v>405.08310530643456</v>
      </c>
    </row>
    <row r="237" spans="1:35" x14ac:dyDescent="0.25">
      <c r="A237" s="30">
        <v>732</v>
      </c>
      <c r="B237" s="31" t="s">
        <v>551</v>
      </c>
      <c r="C237" s="41">
        <v>1025</v>
      </c>
      <c r="D237" s="41">
        <v>1248</v>
      </c>
      <c r="E237" s="41">
        <v>1117</v>
      </c>
      <c r="F237" s="41">
        <v>1057</v>
      </c>
      <c r="G237" s="41">
        <v>1240</v>
      </c>
      <c r="H237" s="41">
        <v>1276</v>
      </c>
      <c r="I237" s="165">
        <v>1301.81584</v>
      </c>
      <c r="J237" s="41">
        <v>1408.3546000000001</v>
      </c>
      <c r="K237" s="41">
        <v>1537.068</v>
      </c>
      <c r="L237" s="41">
        <v>1522.7270000000001</v>
      </c>
      <c r="M237" s="41">
        <v>1632.4949999999999</v>
      </c>
      <c r="N237" s="41">
        <v>1700.8689999999999</v>
      </c>
      <c r="O237" s="41">
        <f t="shared" si="8"/>
        <v>1755.749818455582</v>
      </c>
      <c r="P237" s="41">
        <f t="shared" si="8"/>
        <v>1810.6306369111642</v>
      </c>
      <c r="Q237" s="165"/>
      <c r="T237" s="34">
        <v>732</v>
      </c>
      <c r="U237" s="88" t="s">
        <v>551</v>
      </c>
      <c r="V237" s="41">
        <f>C237/'1. Väestöennuste'!E237*1000</f>
        <v>275.02012342366515</v>
      </c>
      <c r="W237" s="41">
        <f>D237/'1. Väestöennuste'!F237*1000</f>
        <v>341.63701067615659</v>
      </c>
      <c r="X237" s="41">
        <f>E237/'1. Väestöennuste'!G237*1000</f>
        <v>312.44755244755248</v>
      </c>
      <c r="Y237" s="41">
        <f>F237/'1. Väestöennuste'!H237*1000</f>
        <v>302.77857347464908</v>
      </c>
      <c r="Z237" s="41">
        <f>G237/'1. Väestöennuste'!I237*1000</f>
        <v>364.70588235294116</v>
      </c>
      <c r="AA237" s="41">
        <f>H237/'1. Väestöennuste'!J237*1000</f>
        <v>374.52304079835631</v>
      </c>
      <c r="AB237" s="41">
        <f>I237/'1. Väestöennuste'!K237*1000</f>
        <v>381.09362997658081</v>
      </c>
      <c r="AC237" s="41">
        <f>J237/'1. Väestöennuste'!L237*1000</f>
        <v>422.16864508393286</v>
      </c>
      <c r="AD237" s="41">
        <f>K237/'1. Väestöennuste'!M237*1000</f>
        <v>459.64952153110045</v>
      </c>
      <c r="AE237" s="41">
        <f>L237/'1. Väestöennuste'!N237*1000</f>
        <v>479.75015752993073</v>
      </c>
      <c r="AF237" s="41">
        <f>M237/'1. Väestöennuste'!O237*1000</f>
        <v>522.06427886152858</v>
      </c>
      <c r="AG237" s="41">
        <f>N237/'1. Väestöennuste'!P237*1000</f>
        <v>552.05095748133715</v>
      </c>
      <c r="AH237" s="41">
        <f>O237/'1. Väestöennuste'!Q237*1000</f>
        <v>577.92949916246937</v>
      </c>
      <c r="AI237" s="41">
        <f>P237/'1. Väestöennuste'!R237*1000</f>
        <v>604.1476933303851</v>
      </c>
    </row>
    <row r="238" spans="1:35" x14ac:dyDescent="0.25">
      <c r="A238" s="30">
        <v>734</v>
      </c>
      <c r="B238" s="31" t="s">
        <v>552</v>
      </c>
      <c r="C238" s="41">
        <v>15271</v>
      </c>
      <c r="D238" s="41">
        <v>16806</v>
      </c>
      <c r="E238" s="41">
        <v>15398</v>
      </c>
      <c r="F238" s="41">
        <v>17388</v>
      </c>
      <c r="G238" s="41">
        <v>16164</v>
      </c>
      <c r="H238" s="41">
        <v>16270</v>
      </c>
      <c r="I238" s="165">
        <v>16157.592490000001</v>
      </c>
      <c r="J238" s="41">
        <v>15992.24719</v>
      </c>
      <c r="K238" s="41">
        <v>17679.541430000001</v>
      </c>
      <c r="L238" s="41">
        <v>16062.26</v>
      </c>
      <c r="M238" s="41">
        <v>16062</v>
      </c>
      <c r="N238" s="41">
        <v>14762</v>
      </c>
      <c r="O238" s="41">
        <f t="shared" si="8"/>
        <v>15238.315719812228</v>
      </c>
      <c r="P238" s="41">
        <f t="shared" si="8"/>
        <v>15714.631439624456</v>
      </c>
      <c r="Q238" s="165"/>
      <c r="T238" s="34">
        <v>734</v>
      </c>
      <c r="U238" s="88" t="s">
        <v>552</v>
      </c>
      <c r="V238" s="41">
        <f>C238/'1. Väestöennuste'!E238*1000</f>
        <v>283.37353868992392</v>
      </c>
      <c r="W238" s="41">
        <f>D238/'1. Väestöennuste'!F238*1000</f>
        <v>313.86097934486236</v>
      </c>
      <c r="X238" s="41">
        <f>E238/'1. Väestöennuste'!G238*1000</f>
        <v>290.61603502944286</v>
      </c>
      <c r="Y238" s="41">
        <f>F238/'1. Väestöennuste'!H238*1000</f>
        <v>332.33309760899067</v>
      </c>
      <c r="Z238" s="41">
        <f>G238/'1. Väestöennuste'!I238*1000</f>
        <v>311.8476646152065</v>
      </c>
      <c r="AA238" s="41">
        <f>H238/'1. Väestöennuste'!J238*1000</f>
        <v>315.54245374500601</v>
      </c>
      <c r="AB238" s="41">
        <f>I238/'1. Väestöennuste'!K238*1000</f>
        <v>314.35004844357979</v>
      </c>
      <c r="AC238" s="41">
        <f>J238/'1. Väestöennuste'!L238*1000</f>
        <v>313.98596568040364</v>
      </c>
      <c r="AD238" s="41">
        <f>K238/'1. Väestöennuste'!M238*1000</f>
        <v>345.97928434442269</v>
      </c>
      <c r="AE238" s="41">
        <f>L238/'1. Väestöennuste'!N238*1000</f>
        <v>322.2700186593367</v>
      </c>
      <c r="AF238" s="41">
        <f>M238/'1. Väestöennuste'!O238*1000</f>
        <v>324.8523582234447</v>
      </c>
      <c r="AG238" s="41">
        <f>N238/'1. Väestöennuste'!P238*1000</f>
        <v>300.92753032310668</v>
      </c>
      <c r="AH238" s="41">
        <f>O238/'1. Väestöennuste'!Q238*1000</f>
        <v>313.02388446852427</v>
      </c>
      <c r="AI238" s="41">
        <f>P238/'1. Väestöennuste'!R238*1000</f>
        <v>325.22675220150364</v>
      </c>
    </row>
    <row r="239" spans="1:35" x14ac:dyDescent="0.25">
      <c r="A239" s="30">
        <v>738</v>
      </c>
      <c r="B239" s="31" t="s">
        <v>553</v>
      </c>
      <c r="C239" s="41">
        <v>360</v>
      </c>
      <c r="D239" s="41">
        <v>385</v>
      </c>
      <c r="E239" s="41">
        <v>361</v>
      </c>
      <c r="F239" s="41">
        <v>388</v>
      </c>
      <c r="G239" s="41">
        <v>422</v>
      </c>
      <c r="H239" s="41">
        <v>381</v>
      </c>
      <c r="I239" s="165">
        <v>537.55607999999995</v>
      </c>
      <c r="J239" s="41">
        <v>680.35481000000004</v>
      </c>
      <c r="K239" s="41">
        <v>698.91577000000007</v>
      </c>
      <c r="L239" s="41">
        <v>874.53200000000004</v>
      </c>
      <c r="M239" s="41">
        <v>749.83199999999999</v>
      </c>
      <c r="N239" s="41">
        <v>820.56700000000001</v>
      </c>
      <c r="O239" s="41">
        <f t="shared" si="8"/>
        <v>847.04369430017346</v>
      </c>
      <c r="P239" s="41">
        <f t="shared" si="8"/>
        <v>873.52038860034691</v>
      </c>
      <c r="Q239" s="165"/>
      <c r="T239" s="34">
        <v>738</v>
      </c>
      <c r="U239" s="88" t="s">
        <v>553</v>
      </c>
      <c r="V239" s="41">
        <f>C239/'1. Väestöennuste'!E239*1000</f>
        <v>119.24478304074198</v>
      </c>
      <c r="W239" s="41">
        <f>D239/'1. Väestöennuste'!F239*1000</f>
        <v>126.3537906137184</v>
      </c>
      <c r="X239" s="41">
        <f>E239/'1. Väestöennuste'!G239*1000</f>
        <v>120.0532091785833</v>
      </c>
      <c r="Y239" s="41">
        <f>F239/'1. Väestöennuste'!H239*1000</f>
        <v>129.59251837007349</v>
      </c>
      <c r="Z239" s="41">
        <f>G239/'1. Väestöennuste'!I239*1000</f>
        <v>143.29371816638371</v>
      </c>
      <c r="AA239" s="41">
        <f>H239/'1. Väestöennuste'!J239*1000</f>
        <v>129.15254237288136</v>
      </c>
      <c r="AB239" s="41">
        <f>I239/'1. Väestöennuste'!K239*1000</f>
        <v>181.66815816154104</v>
      </c>
      <c r="AC239" s="41">
        <f>J239/'1. Väestöennuste'!L239*1000</f>
        <v>233.23785053136785</v>
      </c>
      <c r="AD239" s="41">
        <f>K239/'1. Väestöennuste'!M239*1000</f>
        <v>235.00866509751179</v>
      </c>
      <c r="AE239" s="41">
        <f>L239/'1. Väestöennuste'!N239*1000</f>
        <v>301.56275862068964</v>
      </c>
      <c r="AF239" s="41">
        <f>M239/'1. Väestöennuste'!O239*1000</f>
        <v>259.09882515549413</v>
      </c>
      <c r="AG239" s="41">
        <f>N239/'1. Väestöennuste'!P239*1000</f>
        <v>283.93321799307955</v>
      </c>
      <c r="AH239" s="41">
        <f>O239/'1. Väestöennuste'!Q239*1000</f>
        <v>294.01030694209425</v>
      </c>
      <c r="AI239" s="41">
        <f>P239/'1. Väestöennuste'!R239*1000</f>
        <v>303.727534283848</v>
      </c>
    </row>
    <row r="240" spans="1:35" x14ac:dyDescent="0.25">
      <c r="A240" s="30">
        <v>739</v>
      </c>
      <c r="B240" s="31" t="s">
        <v>554</v>
      </c>
      <c r="C240" s="41">
        <v>1115</v>
      </c>
      <c r="D240" s="41">
        <v>1099</v>
      </c>
      <c r="E240" s="41">
        <v>1325</v>
      </c>
      <c r="F240" s="41">
        <v>1307</v>
      </c>
      <c r="G240" s="41">
        <v>1191</v>
      </c>
      <c r="H240" s="41">
        <v>1180</v>
      </c>
      <c r="I240" s="165">
        <v>1984.6257599999999</v>
      </c>
      <c r="J240" s="41">
        <v>1034.49551</v>
      </c>
      <c r="K240" s="41">
        <v>1508.4164900000001</v>
      </c>
      <c r="L240" s="41">
        <v>1083.0070000000001</v>
      </c>
      <c r="M240" s="41">
        <v>1105.2729999999999</v>
      </c>
      <c r="N240" s="41">
        <v>1220.6890000000001</v>
      </c>
      <c r="O240" s="41">
        <f t="shared" si="8"/>
        <v>1260.0761670303393</v>
      </c>
      <c r="P240" s="41">
        <f t="shared" si="8"/>
        <v>1299.4633340606786</v>
      </c>
      <c r="Q240" s="165"/>
      <c r="T240" s="34">
        <v>739</v>
      </c>
      <c r="U240" s="88" t="s">
        <v>554</v>
      </c>
      <c r="V240" s="41">
        <f>C240/'1. Väestöennuste'!E240*1000</f>
        <v>308.60780514807641</v>
      </c>
      <c r="W240" s="41">
        <f>D240/'1. Väestöennuste'!F240*1000</f>
        <v>310.97906055461232</v>
      </c>
      <c r="X240" s="41">
        <f>E240/'1. Väestöennuste'!G240*1000</f>
        <v>380.74712643678163</v>
      </c>
      <c r="Y240" s="41">
        <f>F240/'1. Väestöennuste'!H240*1000</f>
        <v>381.1606882473024</v>
      </c>
      <c r="Z240" s="41">
        <f>G240/'1. Väestöennuste'!I240*1000</f>
        <v>352.05438959503397</v>
      </c>
      <c r="AA240" s="41">
        <f>H240/'1. Väestöennuste'!J240*1000</f>
        <v>354.78051713770293</v>
      </c>
      <c r="AB240" s="41">
        <f>I240/'1. Väestöennuste'!K240*1000</f>
        <v>608.59422263109479</v>
      </c>
      <c r="AC240" s="41">
        <f>J240/'1. Väestöennuste'!L240*1000</f>
        <v>317.7197512285012</v>
      </c>
      <c r="AD240" s="41">
        <f>K240/'1. Väestöennuste'!M240*1000</f>
        <v>469.03497823383088</v>
      </c>
      <c r="AE240" s="41">
        <f>L240/'1. Väestöennuste'!N240*1000</f>
        <v>348.23376205787781</v>
      </c>
      <c r="AF240" s="41">
        <f>M240/'1. Väestöennuste'!O240*1000</f>
        <v>360.8465556643813</v>
      </c>
      <c r="AG240" s="41">
        <f>N240/'1. Väestöennuste'!P240*1000</f>
        <v>404.46951623591787</v>
      </c>
      <c r="AH240" s="41">
        <f>O240/'1. Väestöennuste'!Q240*1000</f>
        <v>423.55501412784514</v>
      </c>
      <c r="AI240" s="41">
        <f>P240/'1. Väestöennuste'!R240*1000</f>
        <v>443.04921038550242</v>
      </c>
    </row>
    <row r="241" spans="1:35" x14ac:dyDescent="0.25">
      <c r="A241" s="30">
        <v>740</v>
      </c>
      <c r="B241" s="31" t="s">
        <v>555</v>
      </c>
      <c r="C241" s="41">
        <v>9067</v>
      </c>
      <c r="D241" s="41">
        <v>8685</v>
      </c>
      <c r="E241" s="41">
        <v>8723</v>
      </c>
      <c r="F241" s="41">
        <v>8795</v>
      </c>
      <c r="G241" s="41">
        <v>9627</v>
      </c>
      <c r="H241" s="41">
        <v>9998</v>
      </c>
      <c r="I241" s="165">
        <v>9205.2442499999997</v>
      </c>
      <c r="J241" s="41">
        <v>9879.4152599999998</v>
      </c>
      <c r="K241" s="41">
        <v>10611.68216</v>
      </c>
      <c r="L241" s="41">
        <v>12000</v>
      </c>
      <c r="M241" s="41">
        <v>12000</v>
      </c>
      <c r="N241" s="41">
        <v>12000</v>
      </c>
      <c r="O241" s="41">
        <f t="shared" si="8"/>
        <v>12387.196087098411</v>
      </c>
      <c r="P241" s="41">
        <f t="shared" si="8"/>
        <v>12774.392174196821</v>
      </c>
      <c r="Q241" s="165"/>
      <c r="T241" s="34">
        <v>740</v>
      </c>
      <c r="U241" s="88" t="s">
        <v>555</v>
      </c>
      <c r="V241" s="41">
        <f>C241/'1. Väestöennuste'!E241*1000</f>
        <v>255.24308194690764</v>
      </c>
      <c r="W241" s="41">
        <f>D241/'1. Väestöennuste'!F241*1000</f>
        <v>246.43890812099201</v>
      </c>
      <c r="X241" s="41">
        <f>E241/'1. Väestöennuste'!G241*1000</f>
        <v>251.64435725825064</v>
      </c>
      <c r="Y241" s="41">
        <f>F241/'1. Väestöennuste'!H241*1000</f>
        <v>261.67028651334385</v>
      </c>
      <c r="Z241" s="41">
        <f>G241/'1. Väestöennuste'!I241*1000</f>
        <v>291.95729969066537</v>
      </c>
      <c r="AA241" s="41">
        <f>H241/'1. Väestöennuste'!J241*1000</f>
        <v>306.10495376890577</v>
      </c>
      <c r="AB241" s="41">
        <f>I241/'1. Väestöennuste'!K241*1000</f>
        <v>282.82926997879986</v>
      </c>
      <c r="AC241" s="41">
        <f>J241/'1. Väestöennuste'!L241*1000</f>
        <v>307.91383076203834</v>
      </c>
      <c r="AD241" s="41">
        <f>K241/'1. Väestöennuste'!M241*1000</f>
        <v>333.25007568382375</v>
      </c>
      <c r="AE241" s="41">
        <f>L241/'1. Väestöennuste'!N241*1000</f>
        <v>391.46604032100214</v>
      </c>
      <c r="AF241" s="41">
        <f>M241/'1. Väestöennuste'!O241*1000</f>
        <v>397.25891349687157</v>
      </c>
      <c r="AG241" s="41">
        <f>N241/'1. Väestöennuste'!P241*1000</f>
        <v>403.02267002518892</v>
      </c>
      <c r="AH241" s="41">
        <f>O241/'1. Väestöennuste'!Q241*1000</f>
        <v>421.93596590702401</v>
      </c>
      <c r="AI241" s="41">
        <f>P241/'1. Väestöennuste'!R241*1000</f>
        <v>441.18087287849494</v>
      </c>
    </row>
    <row r="242" spans="1:35" x14ac:dyDescent="0.25">
      <c r="A242" s="30">
        <v>742</v>
      </c>
      <c r="B242" s="31" t="s">
        <v>556</v>
      </c>
      <c r="C242" s="41">
        <v>249</v>
      </c>
      <c r="D242" s="41">
        <v>230</v>
      </c>
      <c r="E242" s="41">
        <v>189</v>
      </c>
      <c r="F242" s="41">
        <v>351</v>
      </c>
      <c r="G242" s="41">
        <v>289</v>
      </c>
      <c r="H242" s="41">
        <v>781</v>
      </c>
      <c r="I242" s="165">
        <v>248.93164999999999</v>
      </c>
      <c r="J242" s="41">
        <v>211.24520000000001</v>
      </c>
      <c r="K242" s="41">
        <v>212.01014000000001</v>
      </c>
      <c r="L242" s="41">
        <v>290.94</v>
      </c>
      <c r="M242" s="41">
        <v>290.95600000000002</v>
      </c>
      <c r="N242" s="41">
        <v>290.95600000000002</v>
      </c>
      <c r="O242" s="41">
        <f t="shared" si="8"/>
        <v>300.34408539315046</v>
      </c>
      <c r="P242" s="41">
        <f t="shared" si="8"/>
        <v>309.73217078630086</v>
      </c>
      <c r="Q242" s="165"/>
      <c r="T242" s="34">
        <v>742</v>
      </c>
      <c r="U242" s="88" t="s">
        <v>556</v>
      </c>
      <c r="V242" s="41">
        <f>C242/'1. Väestöennuste'!E242*1000</f>
        <v>234.68426013195099</v>
      </c>
      <c r="W242" s="41">
        <f>D242/'1. Väestöennuste'!F242*1000</f>
        <v>220.3065134099617</v>
      </c>
      <c r="X242" s="41">
        <f>E242/'1. Väestöennuste'!G242*1000</f>
        <v>186.75889328063241</v>
      </c>
      <c r="Y242" s="41">
        <f>F242/'1. Väestöennuste'!H242*1000</f>
        <v>345.81280788177338</v>
      </c>
      <c r="Z242" s="41">
        <f>G242/'1. Väestöennuste'!I242*1000</f>
        <v>287.56218905472633</v>
      </c>
      <c r="AA242" s="41">
        <f>H242/'1. Väestöennuste'!J242*1000</f>
        <v>774.03369672943506</v>
      </c>
      <c r="AB242" s="41">
        <f>I242/'1. Väestöennuste'!K242*1000</f>
        <v>246.71124876114965</v>
      </c>
      <c r="AC242" s="41">
        <f>J242/'1. Väestöennuste'!L242*1000</f>
        <v>213.81093117408909</v>
      </c>
      <c r="AD242" s="41">
        <f>K242/'1. Väestöennuste'!M242*1000</f>
        <v>216.77928425357874</v>
      </c>
      <c r="AE242" s="41">
        <f>L242/'1. Väestöennuste'!N242*1000</f>
        <v>297.7891504605937</v>
      </c>
      <c r="AF242" s="41">
        <f>M242/'1. Väestöennuste'!O242*1000</f>
        <v>299.3374485596708</v>
      </c>
      <c r="AG242" s="41">
        <f>N242/'1. Väestöennuste'!P242*1000</f>
        <v>300.88521199586347</v>
      </c>
      <c r="AH242" s="41">
        <f>O242/'1. Väestöennuste'!Q242*1000</f>
        <v>311.56025455721004</v>
      </c>
      <c r="AI242" s="41">
        <f>P242/'1. Väestöennuste'!R242*1000</f>
        <v>322.63767790239672</v>
      </c>
    </row>
    <row r="243" spans="1:35" x14ac:dyDescent="0.25">
      <c r="A243" s="30">
        <v>743</v>
      </c>
      <c r="B243" s="31" t="s">
        <v>557</v>
      </c>
      <c r="C243" s="41">
        <v>16900</v>
      </c>
      <c r="D243" s="41">
        <v>18210</v>
      </c>
      <c r="E243" s="41">
        <v>19362</v>
      </c>
      <c r="F243" s="41">
        <v>22055</v>
      </c>
      <c r="G243" s="41">
        <v>22197</v>
      </c>
      <c r="H243" s="41">
        <v>24934</v>
      </c>
      <c r="I243" s="165">
        <v>23100.8001</v>
      </c>
      <c r="J243" s="41">
        <v>25229.530320000002</v>
      </c>
      <c r="K243" s="41">
        <v>21008.8364</v>
      </c>
      <c r="L243" s="41">
        <v>21700</v>
      </c>
      <c r="M243" s="41">
        <v>22300</v>
      </c>
      <c r="N243" s="41">
        <v>22500</v>
      </c>
      <c r="O243" s="41">
        <f t="shared" si="8"/>
        <v>23225.99266330952</v>
      </c>
      <c r="P243" s="41">
        <f t="shared" si="8"/>
        <v>23951.98532661904</v>
      </c>
      <c r="Q243" s="165"/>
      <c r="T243" s="34">
        <v>743</v>
      </c>
      <c r="U243" s="88" t="s">
        <v>557</v>
      </c>
      <c r="V243" s="41">
        <f>C243/'1. Väestöennuste'!E243*1000</f>
        <v>274.6627661303429</v>
      </c>
      <c r="W243" s="41">
        <f>D243/'1. Väestöennuste'!F243*1000</f>
        <v>293.46354670276543</v>
      </c>
      <c r="X243" s="41">
        <f>E243/'1. Väestöennuste'!G243*1000</f>
        <v>308.92207543557345</v>
      </c>
      <c r="Y243" s="41">
        <f>F243/'1. Väestöennuste'!H243*1000</f>
        <v>348.48628491973199</v>
      </c>
      <c r="Z243" s="41">
        <f>G243/'1. Väestöennuste'!I243*1000</f>
        <v>348.0190025242627</v>
      </c>
      <c r="AA243" s="41">
        <f>H243/'1. Väestöennuste'!J243*1000</f>
        <v>388.80399189147045</v>
      </c>
      <c r="AB243" s="41">
        <f>I243/'1. Väestöennuste'!K243*1000</f>
        <v>356.8462694636678</v>
      </c>
      <c r="AC243" s="41">
        <f>J243/'1. Väestöennuste'!L243*1000</f>
        <v>386.22736738974021</v>
      </c>
      <c r="AD243" s="41">
        <f>K243/'1. Väestöennuste'!M243*1000</f>
        <v>317.54589480048367</v>
      </c>
      <c r="AE243" s="41">
        <f>L243/'1. Väestöennuste'!N243*1000</f>
        <v>328.34014223029203</v>
      </c>
      <c r="AF243" s="41">
        <f>M243/'1. Väestöennuste'!O243*1000</f>
        <v>335.41400315860722</v>
      </c>
      <c r="AG243" s="41">
        <f>N243/'1. Väestöennuste'!P243*1000</f>
        <v>336.54924837334534</v>
      </c>
      <c r="AH243" s="41">
        <f>O243/'1. Väestöennuste'!Q243*1000</f>
        <v>345.61460467410973</v>
      </c>
      <c r="AI243" s="41">
        <f>P243/'1. Väestöennuste'!R243*1000</f>
        <v>354.76013576958115</v>
      </c>
    </row>
    <row r="244" spans="1:35" x14ac:dyDescent="0.25">
      <c r="A244" s="30">
        <v>746</v>
      </c>
      <c r="B244" s="31" t="s">
        <v>558</v>
      </c>
      <c r="C244" s="41">
        <v>610</v>
      </c>
      <c r="D244" s="41">
        <v>694</v>
      </c>
      <c r="E244" s="41">
        <v>734</v>
      </c>
      <c r="F244" s="41">
        <v>718</v>
      </c>
      <c r="G244" s="41">
        <v>924</v>
      </c>
      <c r="H244" s="41">
        <v>1150</v>
      </c>
      <c r="I244" s="165">
        <v>1155.7979800000001</v>
      </c>
      <c r="J244" s="41">
        <v>1151.9596999999999</v>
      </c>
      <c r="K244" s="41">
        <v>1291.8209099999999</v>
      </c>
      <c r="L244" s="41">
        <v>1447.691</v>
      </c>
      <c r="M244" s="41">
        <v>1494.5</v>
      </c>
      <c r="N244" s="41">
        <v>1449.56</v>
      </c>
      <c r="O244" s="41">
        <f t="shared" si="8"/>
        <v>1496.3319966678644</v>
      </c>
      <c r="P244" s="41">
        <f t="shared" si="8"/>
        <v>1543.1039933357285</v>
      </c>
      <c r="Q244" s="165"/>
      <c r="T244" s="34">
        <v>746</v>
      </c>
      <c r="U244" s="88" t="s">
        <v>558</v>
      </c>
      <c r="V244" s="41">
        <f>C244/'1. Väestöennuste'!E244*1000</f>
        <v>119.04761904761904</v>
      </c>
      <c r="W244" s="41">
        <f>D244/'1. Väestöennuste'!F244*1000</f>
        <v>136.91063326099822</v>
      </c>
      <c r="X244" s="41">
        <f>E244/'1. Väestöennuste'!G244*1000</f>
        <v>145.77954319761668</v>
      </c>
      <c r="Y244" s="41">
        <f>F244/'1. Väestöennuste'!H244*1000</f>
        <v>144.17670682730923</v>
      </c>
      <c r="Z244" s="41">
        <f>G244/'1. Väestöennuste'!I244*1000</f>
        <v>188.18737270875764</v>
      </c>
      <c r="AA244" s="41">
        <f>H244/'1. Väestöennuste'!J244*1000</f>
        <v>237.89822093504344</v>
      </c>
      <c r="AB244" s="41">
        <f>I244/'1. Väestöennuste'!K244*1000</f>
        <v>241.74816565572058</v>
      </c>
      <c r="AC244" s="41">
        <f>J244/'1. Väestöennuste'!L244*1000</f>
        <v>243.28610348468845</v>
      </c>
      <c r="AD244" s="41">
        <f>K244/'1. Väestöennuste'!M244*1000</f>
        <v>274.09737110120943</v>
      </c>
      <c r="AE244" s="41">
        <f>L244/'1. Väestöennuste'!N244*1000</f>
        <v>316.71209800918837</v>
      </c>
      <c r="AF244" s="41">
        <f>M244/'1. Väestöennuste'!O244*1000</f>
        <v>331.9635717458907</v>
      </c>
      <c r="AG244" s="41">
        <f>N244/'1. Väestöennuste'!P244*1000</f>
        <v>327.14060031595574</v>
      </c>
      <c r="AH244" s="41">
        <f>O244/'1. Väestöennuste'!Q244*1000</f>
        <v>342.88084249951061</v>
      </c>
      <c r="AI244" s="41">
        <f>P244/'1. Väestöennuste'!R244*1000</f>
        <v>358.94486935001828</v>
      </c>
    </row>
    <row r="245" spans="1:35" x14ac:dyDescent="0.25">
      <c r="A245" s="30">
        <v>747</v>
      </c>
      <c r="B245" s="31" t="s">
        <v>559</v>
      </c>
      <c r="C245" s="41">
        <v>582</v>
      </c>
      <c r="D245" s="41">
        <v>590</v>
      </c>
      <c r="E245" s="41">
        <v>563</v>
      </c>
      <c r="F245" s="41">
        <v>493</v>
      </c>
      <c r="G245" s="41">
        <v>537</v>
      </c>
      <c r="H245" s="41">
        <v>550</v>
      </c>
      <c r="I245" s="165">
        <v>510.97134</v>
      </c>
      <c r="J245" s="41">
        <v>473.88920000000002</v>
      </c>
      <c r="K245" s="41">
        <v>714.91931999999997</v>
      </c>
      <c r="L245" s="41">
        <v>521.79755999999998</v>
      </c>
      <c r="M245" s="41">
        <v>521.44229999999993</v>
      </c>
      <c r="N245" s="41">
        <v>521.44229999999993</v>
      </c>
      <c r="O245" s="41">
        <f t="shared" si="8"/>
        <v>538.26733485063289</v>
      </c>
      <c r="P245" s="41">
        <f t="shared" si="8"/>
        <v>555.09236970126585</v>
      </c>
      <c r="Q245" s="165"/>
      <c r="T245" s="34">
        <v>747</v>
      </c>
      <c r="U245" s="88" t="s">
        <v>559</v>
      </c>
      <c r="V245" s="41">
        <f>C245/'1. Väestöennuste'!E245*1000</f>
        <v>381.13948919449905</v>
      </c>
      <c r="W245" s="41">
        <f>D245/'1. Väestöennuste'!F245*1000</f>
        <v>394.91298527443109</v>
      </c>
      <c r="X245" s="41">
        <f>E245/'1. Väestöennuste'!G245*1000</f>
        <v>381.43631436314365</v>
      </c>
      <c r="Y245" s="41">
        <f>F245/'1. Väestöennuste'!H245*1000</f>
        <v>338.1344307270233</v>
      </c>
      <c r="Z245" s="41">
        <f>G245/'1. Väestöennuste'!I245*1000</f>
        <v>373.69519832985389</v>
      </c>
      <c r="AA245" s="41">
        <f>H245/'1. Väestöennuste'!J245*1000</f>
        <v>397.11191335740068</v>
      </c>
      <c r="AB245" s="41">
        <f>I245/'1. Väestöennuste'!K245*1000</f>
        <v>377.93738165680475</v>
      </c>
      <c r="AC245" s="41">
        <f>J245/'1. Väestöennuste'!L245*1000</f>
        <v>362.30061162079511</v>
      </c>
      <c r="AD245" s="41">
        <f>K245/'1. Väestöennuste'!M245*1000</f>
        <v>557.22472330475443</v>
      </c>
      <c r="AE245" s="41">
        <f>L245/'1. Väestöennuste'!N245*1000</f>
        <v>403.86808049535597</v>
      </c>
      <c r="AF245" s="41">
        <f>M245/'1. Väestöennuste'!O245*1000</f>
        <v>408.97435294117639</v>
      </c>
      <c r="AG245" s="41">
        <f>N245/'1. Väestöennuste'!P245*1000</f>
        <v>414.50103338632744</v>
      </c>
      <c r="AH245" s="41">
        <f>O245/'1. Väestöennuste'!Q245*1000</f>
        <v>433.03888564009083</v>
      </c>
      <c r="AI245" s="41">
        <f>P245/'1. Väestöennuste'!R245*1000</f>
        <v>453.13662832756398</v>
      </c>
    </row>
    <row r="246" spans="1:35" x14ac:dyDescent="0.25">
      <c r="A246" s="30">
        <v>748</v>
      </c>
      <c r="B246" s="31" t="s">
        <v>560</v>
      </c>
      <c r="C246" s="41">
        <v>1117</v>
      </c>
      <c r="D246" s="41">
        <v>1069</v>
      </c>
      <c r="E246" s="41">
        <v>1282</v>
      </c>
      <c r="F246" s="41">
        <v>1278</v>
      </c>
      <c r="G246" s="41">
        <v>1289</v>
      </c>
      <c r="H246" s="41">
        <v>1860</v>
      </c>
      <c r="I246" s="165">
        <v>942.81107999999995</v>
      </c>
      <c r="J246" s="41">
        <v>867.42372</v>
      </c>
      <c r="K246" s="41">
        <v>923.71524999999997</v>
      </c>
      <c r="L246" s="41">
        <v>1200.3679999999999</v>
      </c>
      <c r="M246" s="41">
        <v>1200.3679999999999</v>
      </c>
      <c r="N246" s="41">
        <v>1200.3679999999999</v>
      </c>
      <c r="O246" s="41">
        <f t="shared" si="8"/>
        <v>1239.0994827231787</v>
      </c>
      <c r="P246" s="41">
        <f t="shared" si="8"/>
        <v>1277.8309654463574</v>
      </c>
      <c r="Q246" s="165"/>
      <c r="T246" s="34">
        <v>748</v>
      </c>
      <c r="U246" s="88" t="s">
        <v>560</v>
      </c>
      <c r="V246" s="41">
        <f>C246/'1. Väestöennuste'!E246*1000</f>
        <v>204.35418953530919</v>
      </c>
      <c r="W246" s="41">
        <f>D246/'1. Väestöennuste'!F246*1000</f>
        <v>199.21729407379797</v>
      </c>
      <c r="X246" s="41">
        <f>E246/'1. Väestöennuste'!G246*1000</f>
        <v>239.94010855324723</v>
      </c>
      <c r="Y246" s="41">
        <f>F246/'1. Väestöennuste'!H246*1000</f>
        <v>243.47494760906841</v>
      </c>
      <c r="Z246" s="41">
        <f>G246/'1. Väestöennuste'!I246*1000</f>
        <v>250.53449951409135</v>
      </c>
      <c r="AA246" s="41">
        <f>H246/'1. Väestöennuste'!J246*1000</f>
        <v>369.48748510131105</v>
      </c>
      <c r="AB246" s="41">
        <f>I246/'1. Väestöennuste'!K246*1000</f>
        <v>187.51214797136038</v>
      </c>
      <c r="AC246" s="41">
        <f>J246/'1. Väestöennuste'!L246*1000</f>
        <v>177.13369818256075</v>
      </c>
      <c r="AD246" s="41">
        <f>K246/'1. Väestöennuste'!M246*1000</f>
        <v>190.96862724829438</v>
      </c>
      <c r="AE246" s="41">
        <f>L246/'1. Väestöennuste'!N246*1000</f>
        <v>257.70030055817944</v>
      </c>
      <c r="AF246" s="41">
        <f>M246/'1. Väestöennuste'!O246*1000</f>
        <v>262.4328815041539</v>
      </c>
      <c r="AG246" s="41">
        <f>N246/'1. Väestöennuste'!P246*1000</f>
        <v>266.8670520231214</v>
      </c>
      <c r="AH246" s="41">
        <f>O246/'1. Väestöennuste'!Q246*1000</f>
        <v>280.02248197133986</v>
      </c>
      <c r="AI246" s="41">
        <f>P246/'1. Väestöennuste'!R246*1000</f>
        <v>293.48437424123961</v>
      </c>
    </row>
    <row r="247" spans="1:35" x14ac:dyDescent="0.25">
      <c r="A247" s="30">
        <v>749</v>
      </c>
      <c r="B247" s="31" t="s">
        <v>561</v>
      </c>
      <c r="C247" s="41">
        <v>6031</v>
      </c>
      <c r="D247" s="41">
        <v>6432</v>
      </c>
      <c r="E247" s="41">
        <v>6579</v>
      </c>
      <c r="F247" s="41">
        <v>7787</v>
      </c>
      <c r="G247" s="41">
        <v>7420</v>
      </c>
      <c r="H247" s="41">
        <v>6655</v>
      </c>
      <c r="I247" s="165">
        <v>6829.9405700000007</v>
      </c>
      <c r="J247" s="41">
        <v>6739.7625199999993</v>
      </c>
      <c r="K247" s="41">
        <v>8560.6624300000003</v>
      </c>
      <c r="L247" s="41">
        <v>7255.8149999999996</v>
      </c>
      <c r="M247" s="41">
        <v>7251.6139199999998</v>
      </c>
      <c r="N247" s="41">
        <v>7652.1702000000005</v>
      </c>
      <c r="O247" s="41">
        <f t="shared" si="8"/>
        <v>7899.0777299375886</v>
      </c>
      <c r="P247" s="41">
        <f t="shared" si="8"/>
        <v>8145.9852598751768</v>
      </c>
      <c r="Q247" s="165"/>
      <c r="T247" s="34">
        <v>749</v>
      </c>
      <c r="U247" s="88" t="s">
        <v>561</v>
      </c>
      <c r="V247" s="41">
        <f>C247/'1. Väestöennuste'!E247*1000</f>
        <v>276.72753968982289</v>
      </c>
      <c r="W247" s="41">
        <f>D247/'1. Väestöennuste'!F247*1000</f>
        <v>295.47960308710032</v>
      </c>
      <c r="X247" s="41">
        <f>E247/'1. Väestöennuste'!G247*1000</f>
        <v>303.78168721429563</v>
      </c>
      <c r="Y247" s="41">
        <f>F247/'1. Väestöennuste'!H247*1000</f>
        <v>359.27839808064965</v>
      </c>
      <c r="Z247" s="41">
        <f>G247/'1. Väestöennuste'!I247*1000</f>
        <v>346.35671941371419</v>
      </c>
      <c r="AA247" s="41">
        <f>H247/'1. Väestöennuste'!J247*1000</f>
        <v>313.16173356547927</v>
      </c>
      <c r="AB247" s="41">
        <f>I247/'1. Väestöennuste'!K247*1000</f>
        <v>320.75990090640124</v>
      </c>
      <c r="AC247" s="41">
        <f>J247/'1. Väestöennuste'!L247*1000</f>
        <v>317.43418048229086</v>
      </c>
      <c r="AD247" s="41">
        <f>K247/'1. Väestöennuste'!M247*1000</f>
        <v>402.09781258806953</v>
      </c>
      <c r="AE247" s="41">
        <f>L247/'1. Väestöennuste'!N247*1000</f>
        <v>348.10089234312028</v>
      </c>
      <c r="AF247" s="41">
        <f>M247/'1. Väestöennuste'!O247*1000</f>
        <v>349.62701509088276</v>
      </c>
      <c r="AG247" s="41">
        <f>N247/'1. Väestöennuste'!P247*1000</f>
        <v>370.97833907015081</v>
      </c>
      <c r="AH247" s="41">
        <f>O247/'1. Väestöennuste'!Q247*1000</f>
        <v>385.17055441474491</v>
      </c>
      <c r="AI247" s="41">
        <f>P247/'1. Väestöennuste'!R247*1000</f>
        <v>399.56762936553577</v>
      </c>
    </row>
    <row r="248" spans="1:35" x14ac:dyDescent="0.25">
      <c r="A248" s="30">
        <v>751</v>
      </c>
      <c r="B248" s="31" t="s">
        <v>562</v>
      </c>
      <c r="C248" s="41">
        <v>820</v>
      </c>
      <c r="D248" s="41">
        <v>857</v>
      </c>
      <c r="E248" s="41">
        <v>893</v>
      </c>
      <c r="F248" s="41">
        <v>893</v>
      </c>
      <c r="G248" s="41">
        <v>914</v>
      </c>
      <c r="H248" s="41">
        <v>932</v>
      </c>
      <c r="I248" s="165">
        <v>1383.1334399999998</v>
      </c>
      <c r="J248" s="41">
        <v>1119.78799</v>
      </c>
      <c r="K248" s="41">
        <v>1219.95568</v>
      </c>
      <c r="L248" s="41">
        <v>955.3</v>
      </c>
      <c r="M248" s="41">
        <v>1000</v>
      </c>
      <c r="N248" s="41">
        <v>1000</v>
      </c>
      <c r="O248" s="41">
        <f t="shared" si="8"/>
        <v>1032.2663405915341</v>
      </c>
      <c r="P248" s="41">
        <f t="shared" si="8"/>
        <v>1064.5326811830682</v>
      </c>
      <c r="Q248" s="165"/>
      <c r="T248" s="34">
        <v>751</v>
      </c>
      <c r="U248" s="88" t="s">
        <v>562</v>
      </c>
      <c r="V248" s="41">
        <f>C248/'1. Väestöennuste'!E248*1000</f>
        <v>253.24274243360099</v>
      </c>
      <c r="W248" s="41">
        <f>D248/'1. Väestöennuste'!F248*1000</f>
        <v>270.34700315457411</v>
      </c>
      <c r="X248" s="41">
        <f>E248/'1. Väestöennuste'!G248*1000</f>
        <v>287.13826366559488</v>
      </c>
      <c r="Y248" s="41">
        <f>F248/'1. Väestöennuste'!H248*1000</f>
        <v>293.2676518883415</v>
      </c>
      <c r="Z248" s="41">
        <f>G248/'1. Väestöennuste'!I248*1000</f>
        <v>305.89022757697455</v>
      </c>
      <c r="AA248" s="41">
        <f>H248/'1. Väestöennuste'!J248*1000</f>
        <v>315.93220338983053</v>
      </c>
      <c r="AB248" s="41">
        <f>I248/'1. Väestöennuste'!K248*1000</f>
        <v>476.2856198347107</v>
      </c>
      <c r="AC248" s="41">
        <f>J248/'1. Väestöennuste'!L248*1000</f>
        <v>389.22071254779286</v>
      </c>
      <c r="AD248" s="41">
        <f>K248/'1. Väestöennuste'!M248*1000</f>
        <v>431.38461103253184</v>
      </c>
      <c r="AE248" s="41">
        <f>L248/'1. Väestöennuste'!N248*1000</f>
        <v>345.49728752260393</v>
      </c>
      <c r="AF248" s="41">
        <f>M248/'1. Väestöennuste'!O248*1000</f>
        <v>367.64705882352945</v>
      </c>
      <c r="AG248" s="41">
        <f>N248/'1. Väestöennuste'!P248*1000</f>
        <v>373.41299477221804</v>
      </c>
      <c r="AH248" s="41">
        <f>O248/'1. Väestöennuste'!Q248*1000</f>
        <v>390.86192373780165</v>
      </c>
      <c r="AI248" s="41">
        <f>P248/'1. Väestöennuste'!R248*1000</f>
        <v>409.43564660887239</v>
      </c>
    </row>
    <row r="249" spans="1:35" x14ac:dyDescent="0.25">
      <c r="A249" s="30">
        <v>753</v>
      </c>
      <c r="B249" s="31" t="s">
        <v>563</v>
      </c>
      <c r="C249" s="41">
        <v>9120</v>
      </c>
      <c r="D249" s="41">
        <v>6455</v>
      </c>
      <c r="E249" s="41">
        <v>7279</v>
      </c>
      <c r="F249" s="41">
        <v>7183</v>
      </c>
      <c r="G249" s="41">
        <v>13969</v>
      </c>
      <c r="H249" s="41">
        <v>9170</v>
      </c>
      <c r="I249" s="165">
        <v>14769.82798</v>
      </c>
      <c r="J249" s="41">
        <v>9762.5086300000003</v>
      </c>
      <c r="K249" s="41">
        <v>14909.535230000001</v>
      </c>
      <c r="L249" s="41">
        <v>10550</v>
      </c>
      <c r="M249" s="41">
        <v>11036</v>
      </c>
      <c r="N249" s="41">
        <v>11773.08</v>
      </c>
      <c r="O249" s="41">
        <f t="shared" si="8"/>
        <v>12152.95420909138</v>
      </c>
      <c r="P249" s="41">
        <f t="shared" si="8"/>
        <v>12532.828418182758</v>
      </c>
      <c r="Q249" s="165"/>
      <c r="T249" s="34">
        <v>753</v>
      </c>
      <c r="U249" s="88" t="s">
        <v>563</v>
      </c>
      <c r="V249" s="41">
        <f>C249/'1. Väestöennuste'!E249*1000</f>
        <v>470.12732615083252</v>
      </c>
      <c r="W249" s="41">
        <f>D249/'1. Väestöennuste'!F249*1000</f>
        <v>324.0136532476659</v>
      </c>
      <c r="X249" s="41">
        <f>E249/'1. Väestöennuste'!G249*1000</f>
        <v>358.3948793697686</v>
      </c>
      <c r="Y249" s="41">
        <f>F249/'1. Väestöennuste'!H249*1000</f>
        <v>347.57572824929838</v>
      </c>
      <c r="Z249" s="41">
        <f>G249/'1. Väestöennuste'!I249*1000</f>
        <v>659.84884270193663</v>
      </c>
      <c r="AA249" s="41">
        <f>H249/'1. Väestöennuste'!J249*1000</f>
        <v>422.83395582607091</v>
      </c>
      <c r="AB249" s="41">
        <f>I249/'1. Väestöennuste'!K249*1000</f>
        <v>665.60738981523207</v>
      </c>
      <c r="AC249" s="41">
        <f>J249/'1. Väestöennuste'!L249*1000</f>
        <v>437.38837948028674</v>
      </c>
      <c r="AD249" s="41">
        <f>K249/'1. Väestöennuste'!M249*1000</f>
        <v>659.8599349413588</v>
      </c>
      <c r="AE249" s="41">
        <f>L249/'1. Väestöennuste'!N249*1000</f>
        <v>453.95869191049917</v>
      </c>
      <c r="AF249" s="41">
        <f>M249/'1. Väestöennuste'!O249*1000</f>
        <v>467.54787324182342</v>
      </c>
      <c r="AG249" s="41">
        <f>N249/'1. Väestöennuste'!P249*1000</f>
        <v>491.36393989983304</v>
      </c>
      <c r="AH249" s="41">
        <f>O249/'1. Väestöennuste'!Q249*1000</f>
        <v>500.08041350882149</v>
      </c>
      <c r="AI249" s="41">
        <f>P249/'1. Väestöennuste'!R249*1000</f>
        <v>508.82336966354427</v>
      </c>
    </row>
    <row r="250" spans="1:35" x14ac:dyDescent="0.25">
      <c r="A250" s="30">
        <v>755</v>
      </c>
      <c r="B250" s="31" t="s">
        <v>564</v>
      </c>
      <c r="C250" s="41">
        <v>1905</v>
      </c>
      <c r="D250" s="41">
        <v>1550</v>
      </c>
      <c r="E250" s="41">
        <v>1982</v>
      </c>
      <c r="F250" s="41">
        <v>2027</v>
      </c>
      <c r="G250" s="41">
        <v>2268</v>
      </c>
      <c r="H250" s="41">
        <v>1896</v>
      </c>
      <c r="I250" s="165">
        <v>1645.2911799999999</v>
      </c>
      <c r="J250" s="41">
        <v>4109.3203199999998</v>
      </c>
      <c r="K250" s="41">
        <v>3089.7050199999999</v>
      </c>
      <c r="L250" s="41">
        <v>2000</v>
      </c>
      <c r="M250" s="41">
        <v>2100</v>
      </c>
      <c r="N250" s="41">
        <v>2250</v>
      </c>
      <c r="O250" s="41">
        <f t="shared" si="8"/>
        <v>2322.5992663309521</v>
      </c>
      <c r="P250" s="41">
        <f t="shared" si="8"/>
        <v>2395.1985326619038</v>
      </c>
      <c r="Q250" s="165"/>
      <c r="T250" s="34">
        <v>755</v>
      </c>
      <c r="U250" s="88" t="s">
        <v>564</v>
      </c>
      <c r="V250" s="41">
        <f>C250/'1. Väestöennuste'!E250*1000</f>
        <v>308.15270139113557</v>
      </c>
      <c r="W250" s="41">
        <f>D250/'1. Väestöennuste'!F250*1000</f>
        <v>250.89025574619617</v>
      </c>
      <c r="X250" s="41">
        <f>E250/'1. Väestöennuste'!G250*1000</f>
        <v>322.48616986657993</v>
      </c>
      <c r="Y250" s="41">
        <f>F250/'1. Väestöennuste'!H250*1000</f>
        <v>330.45321160743396</v>
      </c>
      <c r="Z250" s="41">
        <f>G250/'1. Väestöennuste'!I250*1000</f>
        <v>369.08055329536211</v>
      </c>
      <c r="AA250" s="41">
        <f>H250/'1. Väestöennuste'!J250*1000</f>
        <v>308.34281997072691</v>
      </c>
      <c r="AB250" s="41">
        <f>I250/'1. Väestöennuste'!K250*1000</f>
        <v>265.45517586318169</v>
      </c>
      <c r="AC250" s="41">
        <f>J250/'1. Väestöennuste'!L250*1000</f>
        <v>660.98123210551705</v>
      </c>
      <c r="AD250" s="41">
        <f>K250/'1. Väestöennuste'!M250*1000</f>
        <v>501.73839233517367</v>
      </c>
      <c r="AE250" s="41">
        <f>L250/'1. Väestöennuste'!N250*1000</f>
        <v>323.04958811177517</v>
      </c>
      <c r="AF250" s="41">
        <f>M250/'1. Väestöennuste'!O250*1000</f>
        <v>338.70967741935482</v>
      </c>
      <c r="AG250" s="41">
        <f>N250/'1. Väestöennuste'!P250*1000</f>
        <v>362.49395843402613</v>
      </c>
      <c r="AH250" s="41">
        <f>O250/'1. Väestöennuste'!Q250*1000</f>
        <v>373.8891285143194</v>
      </c>
      <c r="AI250" s="41">
        <f>P250/'1. Väestöennuste'!R250*1000</f>
        <v>385.26596954510273</v>
      </c>
    </row>
    <row r="251" spans="1:35" x14ac:dyDescent="0.25">
      <c r="A251" s="30">
        <v>758</v>
      </c>
      <c r="B251" s="31" t="s">
        <v>565</v>
      </c>
      <c r="C251" s="41">
        <v>2695</v>
      </c>
      <c r="D251" s="41">
        <v>3227</v>
      </c>
      <c r="E251" s="41">
        <v>4728</v>
      </c>
      <c r="F251" s="41">
        <v>3785</v>
      </c>
      <c r="G251" s="41">
        <v>4377</v>
      </c>
      <c r="H251" s="41">
        <v>2903</v>
      </c>
      <c r="I251" s="165">
        <v>4205.2817400000004</v>
      </c>
      <c r="J251" s="41">
        <v>2997.84618</v>
      </c>
      <c r="K251" s="41">
        <v>2911.1337699999999</v>
      </c>
      <c r="L251" s="41">
        <v>3000</v>
      </c>
      <c r="M251" s="41">
        <v>3000</v>
      </c>
      <c r="N251" s="41">
        <v>3000</v>
      </c>
      <c r="O251" s="41">
        <f t="shared" si="8"/>
        <v>3096.7990217746028</v>
      </c>
      <c r="P251" s="41">
        <f t="shared" si="8"/>
        <v>3193.5980435492052</v>
      </c>
      <c r="Q251" s="165"/>
      <c r="T251" s="34">
        <v>758</v>
      </c>
      <c r="U251" s="88" t="s">
        <v>565</v>
      </c>
      <c r="V251" s="41">
        <f>C251/'1. Väestöennuste'!E251*1000</f>
        <v>306.8777043953541</v>
      </c>
      <c r="W251" s="41">
        <f>D251/'1. Väestöennuste'!F251*1000</f>
        <v>372.93424245926269</v>
      </c>
      <c r="X251" s="41">
        <f>E251/'1. Väestöennuste'!G251*1000</f>
        <v>553.30602691632532</v>
      </c>
      <c r="Y251" s="41">
        <f>F251/'1. Väestöennuste'!H251*1000</f>
        <v>448.24727617243013</v>
      </c>
      <c r="Z251" s="41">
        <f>G251/'1. Väestöennuste'!I251*1000</f>
        <v>527.15885824400823</v>
      </c>
      <c r="AA251" s="41">
        <f>H251/'1. Väestöennuste'!J251*1000</f>
        <v>351.19767723203483</v>
      </c>
      <c r="AB251" s="41">
        <f>I251/'1. Väestöennuste'!K251*1000</f>
        <v>513.65356540857465</v>
      </c>
      <c r="AC251" s="41">
        <f>J251/'1. Väestöennuste'!L251*1000</f>
        <v>368.55743545611011</v>
      </c>
      <c r="AD251" s="41">
        <f>K251/'1. Väestöennuste'!M251*1000</f>
        <v>358.24929485601768</v>
      </c>
      <c r="AE251" s="41">
        <f>L251/'1. Väestöennuste'!N251*1000</f>
        <v>380.75897956593474</v>
      </c>
      <c r="AF251" s="41">
        <f>M251/'1. Väestöennuste'!O251*1000</f>
        <v>384.71402923826622</v>
      </c>
      <c r="AG251" s="41">
        <f>N251/'1. Väestöennuste'!P251*1000</f>
        <v>388.7521057405728</v>
      </c>
      <c r="AH251" s="41">
        <f>O251/'1. Väestöennuste'!Q251*1000</f>
        <v>405.60563481003311</v>
      </c>
      <c r="AI251" s="41">
        <f>P251/'1. Väestöennuste'!R251*1000</f>
        <v>422.60130257366745</v>
      </c>
    </row>
    <row r="252" spans="1:35" x14ac:dyDescent="0.25">
      <c r="A252" s="30">
        <v>759</v>
      </c>
      <c r="B252" s="31" t="s">
        <v>566</v>
      </c>
      <c r="C252" s="41">
        <v>501</v>
      </c>
      <c r="D252" s="41">
        <v>512</v>
      </c>
      <c r="E252" s="41">
        <v>476</v>
      </c>
      <c r="F252" s="41">
        <v>478</v>
      </c>
      <c r="G252" s="41">
        <v>490</v>
      </c>
      <c r="H252" s="41">
        <v>490</v>
      </c>
      <c r="I252" s="165">
        <v>588.63593999999989</v>
      </c>
      <c r="J252" s="41">
        <v>542.57444999999996</v>
      </c>
      <c r="K252" s="41">
        <v>530.46384</v>
      </c>
      <c r="L252" s="41">
        <v>494.91</v>
      </c>
      <c r="M252" s="41">
        <v>500</v>
      </c>
      <c r="N252" s="41">
        <v>500</v>
      </c>
      <c r="O252" s="41">
        <f t="shared" si="8"/>
        <v>516.13317029576706</v>
      </c>
      <c r="P252" s="41">
        <f t="shared" si="8"/>
        <v>532.26634059153412</v>
      </c>
      <c r="Q252" s="165"/>
      <c r="T252" s="34">
        <v>759</v>
      </c>
      <c r="U252" s="88" t="s">
        <v>566</v>
      </c>
      <c r="V252" s="41">
        <f>C252/'1. Väestöennuste'!E252*1000</f>
        <v>225.26978417266184</v>
      </c>
      <c r="W252" s="41">
        <f>D252/'1. Väestöennuste'!F252*1000</f>
        <v>234.2177493138152</v>
      </c>
      <c r="X252" s="41">
        <f>E252/'1. Väestöennuste'!G252*1000</f>
        <v>225.16556291390731</v>
      </c>
      <c r="Y252" s="41">
        <f>F252/'1. Väestöennuste'!H252*1000</f>
        <v>229.25659472422063</v>
      </c>
      <c r="Z252" s="41">
        <f>G252/'1. Väestöennuste'!I252*1000</f>
        <v>238.79142300194931</v>
      </c>
      <c r="AA252" s="41">
        <f>H252/'1. Väestöennuste'!J252*1000</f>
        <v>244.14549078226207</v>
      </c>
      <c r="AB252" s="41">
        <f>I252/'1. Väestöennuste'!K252*1000</f>
        <v>294.76011016524785</v>
      </c>
      <c r="AC252" s="41">
        <f>J252/'1. Väestöennuste'!L252*1000</f>
        <v>279.38952111225541</v>
      </c>
      <c r="AD252" s="41">
        <f>K252/'1. Väestöennuste'!M252*1000</f>
        <v>283.21614522156966</v>
      </c>
      <c r="AE252" s="41">
        <f>L252/'1. Väestöennuste'!N252*1000</f>
        <v>266.36706135629714</v>
      </c>
      <c r="AF252" s="41">
        <f>M252/'1. Väestöennuste'!O252*1000</f>
        <v>273.52297592997809</v>
      </c>
      <c r="AG252" s="41">
        <f>N252/'1. Väestöennuste'!P252*1000</f>
        <v>278.55153203342621</v>
      </c>
      <c r="AH252" s="41">
        <f>O252/'1. Väestöennuste'!Q252*1000</f>
        <v>292.26113833282392</v>
      </c>
      <c r="AI252" s="41">
        <f>P252/'1. Väestöennuste'!R252*1000</f>
        <v>306.42852077808527</v>
      </c>
    </row>
    <row r="253" spans="1:35" x14ac:dyDescent="0.25">
      <c r="A253" s="30">
        <v>761</v>
      </c>
      <c r="B253" s="31" t="s">
        <v>567</v>
      </c>
      <c r="C253" s="41">
        <v>2490</v>
      </c>
      <c r="D253" s="41">
        <v>2663</v>
      </c>
      <c r="E253" s="41">
        <v>3043</v>
      </c>
      <c r="F253" s="41">
        <v>3151</v>
      </c>
      <c r="G253" s="41">
        <v>3283</v>
      </c>
      <c r="H253" s="41">
        <v>3163</v>
      </c>
      <c r="I253" s="165">
        <v>3038.5170899999998</v>
      </c>
      <c r="J253" s="41">
        <v>3051.7621099999997</v>
      </c>
      <c r="K253" s="41">
        <v>2864.5984800000001</v>
      </c>
      <c r="L253" s="41">
        <v>2602.8000000000002</v>
      </c>
      <c r="M253" s="41">
        <v>2553.3000000000002</v>
      </c>
      <c r="N253" s="41">
        <v>2453.9</v>
      </c>
      <c r="O253" s="41">
        <f t="shared" si="8"/>
        <v>2533.0783731775659</v>
      </c>
      <c r="P253" s="41">
        <f t="shared" si="8"/>
        <v>2612.2567463551318</v>
      </c>
      <c r="Q253" s="165"/>
      <c r="T253" s="34">
        <v>761</v>
      </c>
      <c r="U253" s="88" t="s">
        <v>567</v>
      </c>
      <c r="V253" s="41">
        <f>C253/'1. Väestöennuste'!E253*1000</f>
        <v>273.83701748597821</v>
      </c>
      <c r="W253" s="41">
        <f>D253/'1. Väestöennuste'!F253*1000</f>
        <v>295.00387725711749</v>
      </c>
      <c r="X253" s="41">
        <f>E253/'1. Väestöennuste'!G253*1000</f>
        <v>341.18174683260457</v>
      </c>
      <c r="Y253" s="41">
        <f>F253/'1. Väestöennuste'!H253*1000</f>
        <v>356.93248753964656</v>
      </c>
      <c r="Z253" s="41">
        <f>G253/'1. Väestöennuste'!I253*1000</f>
        <v>376.87980714039719</v>
      </c>
      <c r="AA253" s="41">
        <f>H253/'1. Väestöennuste'!J253*1000</f>
        <v>365.83391163543837</v>
      </c>
      <c r="AB253" s="41">
        <f>I253/'1. Väestöennuste'!K253*1000</f>
        <v>354.84258904589512</v>
      </c>
      <c r="AC253" s="41">
        <f>J253/'1. Väestöennuste'!L253*1000</f>
        <v>362.18396748160455</v>
      </c>
      <c r="AD253" s="41">
        <f>K253/'1. Väestöennuste'!M253*1000</f>
        <v>340.61813079667064</v>
      </c>
      <c r="AE253" s="41">
        <f>L253/'1. Väestöennuste'!N253*1000</f>
        <v>314.08229757451431</v>
      </c>
      <c r="AF253" s="41">
        <f>M253/'1. Väestöennuste'!O253*1000</f>
        <v>310.92303945445695</v>
      </c>
      <c r="AG253" s="41">
        <f>N253/'1. Väestöennuste'!P253*1000</f>
        <v>301.42488637759493</v>
      </c>
      <c r="AH253" s="41">
        <f>O253/'1. Väestöennuste'!Q253*1000</f>
        <v>313.73276853821727</v>
      </c>
      <c r="AI253" s="41">
        <f>P253/'1. Väestöennuste'!R253*1000</f>
        <v>325.96166038871121</v>
      </c>
    </row>
    <row r="254" spans="1:35" x14ac:dyDescent="0.25">
      <c r="A254" s="30">
        <v>762</v>
      </c>
      <c r="B254" s="31" t="s">
        <v>568</v>
      </c>
      <c r="C254" s="41">
        <v>1605</v>
      </c>
      <c r="D254" s="41">
        <v>1561</v>
      </c>
      <c r="E254" s="41">
        <v>1212</v>
      </c>
      <c r="F254" s="41">
        <v>1291</v>
      </c>
      <c r="G254" s="41">
        <v>1279</v>
      </c>
      <c r="H254" s="41">
        <v>1322</v>
      </c>
      <c r="I254" s="165">
        <v>1308.6167600000001</v>
      </c>
      <c r="J254" s="41">
        <v>1309.9289199999998</v>
      </c>
      <c r="K254" s="41">
        <v>1226.75982</v>
      </c>
      <c r="L254" s="41">
        <v>1330.88</v>
      </c>
      <c r="M254" s="41">
        <v>1356.55</v>
      </c>
      <c r="N254" s="41">
        <v>1282.203</v>
      </c>
      <c r="O254" s="41">
        <f t="shared" si="8"/>
        <v>1323.5749987054869</v>
      </c>
      <c r="P254" s="41">
        <f t="shared" si="8"/>
        <v>1364.9469974109738</v>
      </c>
      <c r="Q254" s="165"/>
      <c r="T254" s="34">
        <v>762</v>
      </c>
      <c r="U254" s="88" t="s">
        <v>568</v>
      </c>
      <c r="V254" s="41">
        <f>C254/'1. Väestöennuste'!E254*1000</f>
        <v>375.17531556802243</v>
      </c>
      <c r="W254" s="41">
        <f>D254/'1. Väestöennuste'!F254*1000</f>
        <v>371.7551798047154</v>
      </c>
      <c r="X254" s="41">
        <f>E254/'1. Väestöennuste'!G254*1000</f>
        <v>297.42331288343559</v>
      </c>
      <c r="Y254" s="41">
        <f>F254/'1. Väestöennuste'!H254*1000</f>
        <v>325.43483740862109</v>
      </c>
      <c r="Z254" s="41">
        <f>G254/'1. Väestöennuste'!I254*1000</f>
        <v>328.20118039517575</v>
      </c>
      <c r="AA254" s="41">
        <f>H254/'1. Väestöennuste'!J254*1000</f>
        <v>344.18120281176778</v>
      </c>
      <c r="AB254" s="41">
        <f>I254/'1. Väestöennuste'!K254*1000</f>
        <v>346.46988615303155</v>
      </c>
      <c r="AC254" s="41">
        <f>J254/'1. Väestöennuste'!L254*1000</f>
        <v>356.73445533769058</v>
      </c>
      <c r="AD254" s="41">
        <f>K254/'1. Väestöennuste'!M254*1000</f>
        <v>337.29992301347261</v>
      </c>
      <c r="AE254" s="41">
        <f>L254/'1. Väestöennuste'!N254*1000</f>
        <v>374.26321709786282</v>
      </c>
      <c r="AF254" s="41">
        <f>M254/'1. Väestöennuste'!O254*1000</f>
        <v>387.91821561338293</v>
      </c>
      <c r="AG254" s="41">
        <f>N254/'1. Väestöennuste'!P254*1000</f>
        <v>372.51685066821614</v>
      </c>
      <c r="AH254" s="41">
        <f>O254/'1. Väestöennuste'!Q254*1000</f>
        <v>390.31996423045911</v>
      </c>
      <c r="AI254" s="41">
        <f>P254/'1. Väestöennuste'!R254*1000</f>
        <v>408.5444469952032</v>
      </c>
    </row>
    <row r="255" spans="1:35" x14ac:dyDescent="0.25">
      <c r="A255" s="30">
        <v>765</v>
      </c>
      <c r="B255" s="31" t="s">
        <v>569</v>
      </c>
      <c r="C255" s="41">
        <v>2356</v>
      </c>
      <c r="D255" s="41">
        <v>2724</v>
      </c>
      <c r="E255" s="41">
        <v>2973</v>
      </c>
      <c r="F255" s="41">
        <v>2830</v>
      </c>
      <c r="G255" s="41">
        <v>2781</v>
      </c>
      <c r="H255" s="41">
        <v>2862</v>
      </c>
      <c r="I255" s="165">
        <v>3065.5590099999999</v>
      </c>
      <c r="J255" s="41">
        <v>3458.8700699999999</v>
      </c>
      <c r="K255" s="41">
        <v>4033.5898500000003</v>
      </c>
      <c r="L255" s="41">
        <v>4112.4639999999999</v>
      </c>
      <c r="M255" s="41">
        <v>4659.6480000000001</v>
      </c>
      <c r="N255" s="41">
        <v>5098.6480000000001</v>
      </c>
      <c r="O255" s="41">
        <f t="shared" si="8"/>
        <v>5263.1627129243452</v>
      </c>
      <c r="P255" s="41">
        <f t="shared" si="8"/>
        <v>5427.6774258486894</v>
      </c>
      <c r="Q255" s="165"/>
      <c r="T255" s="34">
        <v>765</v>
      </c>
      <c r="U255" s="88" t="s">
        <v>569</v>
      </c>
      <c r="V255" s="41">
        <f>C255/'1. Väestöennuste'!E255*1000</f>
        <v>223.8905255155374</v>
      </c>
      <c r="W255" s="41">
        <f>D255/'1. Väestöennuste'!F255*1000</f>
        <v>260.14707286792094</v>
      </c>
      <c r="X255" s="41">
        <f>E255/'1. Väestöennuste'!G255*1000</f>
        <v>285.2345773769548</v>
      </c>
      <c r="Y255" s="41">
        <f>F255/'1. Väestöennuste'!H255*1000</f>
        <v>272.4035037058427</v>
      </c>
      <c r="Z255" s="41">
        <f>G255/'1. Väestöennuste'!I255*1000</f>
        <v>269.05959752321985</v>
      </c>
      <c r="AA255" s="41">
        <f>H255/'1. Väestöennuste'!J255*1000</f>
        <v>277.83710319386466</v>
      </c>
      <c r="AB255" s="41">
        <f>I255/'1. Väestöennuste'!K255*1000</f>
        <v>296.24652203324314</v>
      </c>
      <c r="AC255" s="41">
        <f>J255/'1. Väestöennuste'!L255*1000</f>
        <v>334.06123913463392</v>
      </c>
      <c r="AD255" s="41">
        <f>K255/'1. Väestöennuste'!M255*1000</f>
        <v>392.60169846213745</v>
      </c>
      <c r="AE255" s="41">
        <f>L255/'1. Väestöennuste'!N255*1000</f>
        <v>407.25529807882748</v>
      </c>
      <c r="AF255" s="41">
        <f>M255/'1. Väestöennuste'!O255*1000</f>
        <v>463.78501045088086</v>
      </c>
      <c r="AG255" s="41">
        <f>N255/'1. Väestöennuste'!P255*1000</f>
        <v>509.91579157915788</v>
      </c>
      <c r="AH255" s="41">
        <f>O255/'1. Väestöennuste'!Q255*1000</f>
        <v>529.01424393651075</v>
      </c>
      <c r="AI255" s="41">
        <f>P255/'1. Väestöennuste'!R255*1000</f>
        <v>548.25024503522116</v>
      </c>
    </row>
    <row r="256" spans="1:35" x14ac:dyDescent="0.25">
      <c r="A256" s="30">
        <v>768</v>
      </c>
      <c r="B256" s="31" t="s">
        <v>570</v>
      </c>
      <c r="C256" s="41">
        <v>415</v>
      </c>
      <c r="D256" s="41">
        <v>447</v>
      </c>
      <c r="E256" s="41">
        <v>429</v>
      </c>
      <c r="F256" s="41">
        <v>598</v>
      </c>
      <c r="G256" s="41">
        <v>560</v>
      </c>
      <c r="H256" s="41">
        <v>1539</v>
      </c>
      <c r="I256" s="165">
        <v>981.29819999999995</v>
      </c>
      <c r="J256" s="41">
        <v>549.12995000000001</v>
      </c>
      <c r="K256" s="41">
        <v>578.69628</v>
      </c>
      <c r="L256" s="41">
        <v>592.82596000000001</v>
      </c>
      <c r="M256" s="41">
        <v>647.23352</v>
      </c>
      <c r="N256" s="41">
        <v>706.23352</v>
      </c>
      <c r="O256" s="41">
        <f t="shared" si="8"/>
        <v>729.02109129347809</v>
      </c>
      <c r="P256" s="41">
        <f t="shared" si="8"/>
        <v>751.80866258695619</v>
      </c>
      <c r="Q256" s="165"/>
      <c r="T256" s="34">
        <v>768</v>
      </c>
      <c r="U256" s="88" t="s">
        <v>570</v>
      </c>
      <c r="V256" s="41">
        <f>C256/'1. Väestöennuste'!E256*1000</f>
        <v>152.34948604992658</v>
      </c>
      <c r="W256" s="41">
        <f>D256/'1. Väestöennuste'!F256*1000</f>
        <v>167.98196166854564</v>
      </c>
      <c r="X256" s="41">
        <f>E256/'1. Väestöennuste'!G256*1000</f>
        <v>165.76506955177746</v>
      </c>
      <c r="Y256" s="41">
        <f>F256/'1. Väestöennuste'!H256*1000</f>
        <v>236.36363636363635</v>
      </c>
      <c r="Z256" s="41">
        <f>G256/'1. Väestöennuste'!I256*1000</f>
        <v>224.71910112359549</v>
      </c>
      <c r="AA256" s="41">
        <f>H256/'1. Väestöennuste'!J256*1000</f>
        <v>620.06446414182119</v>
      </c>
      <c r="AB256" s="41">
        <f>I256/'1. Väestöennuste'!K256*1000</f>
        <v>403.82641975308644</v>
      </c>
      <c r="AC256" s="41">
        <f>J256/'1. Väestöennuste'!L256*1000</f>
        <v>231.21261052631579</v>
      </c>
      <c r="AD256" s="41">
        <f>K256/'1. Väestöennuste'!M256*1000</f>
        <v>244.38187500000001</v>
      </c>
      <c r="AE256" s="41">
        <f>L256/'1. Väestöennuste'!N256*1000</f>
        <v>258.53726995202794</v>
      </c>
      <c r="AF256" s="41">
        <f>M256/'1. Väestöennuste'!O256*1000</f>
        <v>287.14885536823425</v>
      </c>
      <c r="AG256" s="41">
        <f>N256/'1. Väestöennuste'!P256*1000</f>
        <v>318.41006311992788</v>
      </c>
      <c r="AH256" s="41">
        <f>O256/'1. Väestöennuste'!Q256*1000</f>
        <v>333.64809670182063</v>
      </c>
      <c r="AI256" s="41">
        <f>P256/'1. Väestöennuste'!R256*1000</f>
        <v>348.54365442139834</v>
      </c>
    </row>
    <row r="257" spans="1:35" x14ac:dyDescent="0.25">
      <c r="A257" s="30">
        <v>777</v>
      </c>
      <c r="B257" s="31" t="s">
        <v>571</v>
      </c>
      <c r="C257" s="41">
        <v>2916</v>
      </c>
      <c r="D257" s="41">
        <v>3507</v>
      </c>
      <c r="E257" s="41">
        <v>3719</v>
      </c>
      <c r="F257" s="41">
        <v>4950</v>
      </c>
      <c r="G257" s="41">
        <v>3958</v>
      </c>
      <c r="H257" s="41">
        <v>3753</v>
      </c>
      <c r="I257" s="165">
        <v>3531.99829</v>
      </c>
      <c r="J257" s="41">
        <v>3262.3106899999998</v>
      </c>
      <c r="K257" s="41">
        <v>5525.0466500000002</v>
      </c>
      <c r="L257" s="41">
        <v>4512.5469999999996</v>
      </c>
      <c r="M257" s="41">
        <v>4438.0060000000003</v>
      </c>
      <c r="N257" s="41">
        <v>4438.0060000000003</v>
      </c>
      <c r="O257" s="41">
        <f t="shared" si="8"/>
        <v>4581.2042131432727</v>
      </c>
      <c r="P257" s="41">
        <f t="shared" si="8"/>
        <v>4724.4024262865451</v>
      </c>
      <c r="Q257" s="165"/>
      <c r="T257" s="34">
        <v>777</v>
      </c>
      <c r="U257" s="88" t="s">
        <v>571</v>
      </c>
      <c r="V257" s="41">
        <f>C257/'1. Väestöennuste'!E257*1000</f>
        <v>349.8080614203455</v>
      </c>
      <c r="W257" s="41">
        <f>D257/'1. Väestöennuste'!F257*1000</f>
        <v>428.36203737632832</v>
      </c>
      <c r="X257" s="41">
        <f>E257/'1. Väestöennuste'!G257*1000</f>
        <v>461.93019500683147</v>
      </c>
      <c r="Y257" s="41">
        <f>F257/'1. Väestöennuste'!H257*1000</f>
        <v>629.61078605952684</v>
      </c>
      <c r="Z257" s="41">
        <f>G257/'1. Väestöennuste'!I257*1000</f>
        <v>512.22984340623793</v>
      </c>
      <c r="AA257" s="41">
        <f>H257/'1. Väestöennuste'!J257*1000</f>
        <v>494.20595206742161</v>
      </c>
      <c r="AB257" s="41">
        <f>I257/'1. Väestöennuste'!K257*1000</f>
        <v>470.43131193393714</v>
      </c>
      <c r="AC257" s="41">
        <f>J257/'1. Väestöennuste'!L257*1000</f>
        <v>442.82756753088091</v>
      </c>
      <c r="AD257" s="41">
        <f>K257/'1. Väestöennuste'!M257*1000</f>
        <v>770.36344813162304</v>
      </c>
      <c r="AE257" s="41">
        <f>L257/'1. Väestöennuste'!N257*1000</f>
        <v>641.62476894639553</v>
      </c>
      <c r="AF257" s="41">
        <f>M257/'1. Väestöennuste'!O257*1000</f>
        <v>642.35142567665366</v>
      </c>
      <c r="AG257" s="41">
        <f>N257/'1. Väestöennuste'!P257*1000</f>
        <v>653.51288470033876</v>
      </c>
      <c r="AH257" s="41">
        <f>O257/'1. Väestöennuste'!Q257*1000</f>
        <v>686.014407478777</v>
      </c>
      <c r="AI257" s="41">
        <f>P257/'1. Väestöennuste'!R257*1000</f>
        <v>718.97769384972537</v>
      </c>
    </row>
    <row r="258" spans="1:35" x14ac:dyDescent="0.25">
      <c r="A258" s="30">
        <v>778</v>
      </c>
      <c r="B258" s="31" t="s">
        <v>572</v>
      </c>
      <c r="C258" s="41">
        <v>2800</v>
      </c>
      <c r="D258" s="41">
        <v>2368</v>
      </c>
      <c r="E258" s="41">
        <v>2404</v>
      </c>
      <c r="F258" s="41">
        <v>2291</v>
      </c>
      <c r="G258" s="41">
        <v>2273</v>
      </c>
      <c r="H258" s="41">
        <v>2317</v>
      </c>
      <c r="I258" s="165">
        <v>3512.2820499999998</v>
      </c>
      <c r="J258" s="41">
        <v>2358.5586400000002</v>
      </c>
      <c r="K258" s="41">
        <v>2860.4965400000001</v>
      </c>
      <c r="L258" s="41">
        <v>2400</v>
      </c>
      <c r="M258" s="41">
        <v>2500</v>
      </c>
      <c r="N258" s="41">
        <v>2100</v>
      </c>
      <c r="O258" s="41">
        <f t="shared" si="8"/>
        <v>2167.7593152422219</v>
      </c>
      <c r="P258" s="41">
        <f t="shared" si="8"/>
        <v>2235.5186304844437</v>
      </c>
      <c r="Q258" s="165"/>
      <c r="T258" s="34">
        <v>778</v>
      </c>
      <c r="U258" s="88" t="s">
        <v>572</v>
      </c>
      <c r="V258" s="41">
        <f>C258/'1. Väestöennuste'!E258*1000</f>
        <v>378.89039242219212</v>
      </c>
      <c r="W258" s="41">
        <f>D258/'1. Väestöennuste'!F258*1000</f>
        <v>323.85120350109406</v>
      </c>
      <c r="X258" s="41">
        <f>E258/'1. Väestöennuste'!G258*1000</f>
        <v>330.85604183870083</v>
      </c>
      <c r="Y258" s="41">
        <f>F258/'1. Väestöennuste'!H258*1000</f>
        <v>320.64380685794265</v>
      </c>
      <c r="Z258" s="41">
        <f>G258/'1. Väestöennuste'!I258*1000</f>
        <v>321.77236693091731</v>
      </c>
      <c r="AA258" s="41">
        <f>H258/'1. Väestöennuste'!J258*1000</f>
        <v>334.2951954984851</v>
      </c>
      <c r="AB258" s="41">
        <f>I258/'1. Väestöennuste'!K258*1000</f>
        <v>509.6911986649252</v>
      </c>
      <c r="AC258" s="41">
        <f>J258/'1. Väestöennuste'!L258*1000</f>
        <v>348.74443885849479</v>
      </c>
      <c r="AD258" s="41">
        <f>K258/'1. Väestöennuste'!M258*1000</f>
        <v>426.43061121049499</v>
      </c>
      <c r="AE258" s="41">
        <f>L258/'1. Väestöennuste'!N258*1000</f>
        <v>365.63071297989029</v>
      </c>
      <c r="AF258" s="41">
        <f>M258/'1. Väestöennuste'!O258*1000</f>
        <v>385.32675709001234</v>
      </c>
      <c r="AG258" s="41">
        <f>N258/'1. Väestöennuste'!P258*1000</f>
        <v>327.30673316708231</v>
      </c>
      <c r="AH258" s="41">
        <f>O258/'1. Väestöennuste'!Q258*1000</f>
        <v>341.43318872928364</v>
      </c>
      <c r="AI258" s="41">
        <f>P258/'1. Väestöennuste'!R258*1000</f>
        <v>355.91762943551089</v>
      </c>
    </row>
    <row r="259" spans="1:35" x14ac:dyDescent="0.25">
      <c r="A259" s="30">
        <v>781</v>
      </c>
      <c r="B259" s="31" t="s">
        <v>573</v>
      </c>
      <c r="C259" s="41">
        <v>745</v>
      </c>
      <c r="D259" s="41">
        <v>829</v>
      </c>
      <c r="E259" s="41">
        <v>1054</v>
      </c>
      <c r="F259" s="41">
        <v>997</v>
      </c>
      <c r="G259" s="41">
        <v>1194</v>
      </c>
      <c r="H259" s="41">
        <v>1110</v>
      </c>
      <c r="I259" s="165">
        <v>1106.652</v>
      </c>
      <c r="J259" s="165">
        <v>1189.8178799999998</v>
      </c>
      <c r="K259" s="165">
        <v>1926.2908</v>
      </c>
      <c r="L259" s="165">
        <v>0</v>
      </c>
      <c r="M259" s="41">
        <v>0</v>
      </c>
      <c r="N259" s="41">
        <v>0</v>
      </c>
      <c r="O259" s="41">
        <f t="shared" si="8"/>
        <v>0</v>
      </c>
      <c r="P259" s="41">
        <f t="shared" si="8"/>
        <v>0</v>
      </c>
      <c r="Q259" s="165"/>
      <c r="T259" s="34">
        <v>781</v>
      </c>
      <c r="U259" s="88" t="s">
        <v>573</v>
      </c>
      <c r="V259" s="41">
        <f>C259/'1. Väestöennuste'!E259*1000</f>
        <v>184.40594059405942</v>
      </c>
      <c r="W259" s="41">
        <f>D259/'1. Väestöennuste'!F259*1000</f>
        <v>209.7141411586137</v>
      </c>
      <c r="X259" s="41">
        <f>E259/'1. Väestöennuste'!G259*1000</f>
        <v>273.12775330396477</v>
      </c>
      <c r="Y259" s="41">
        <f>F259/'1. Väestöennuste'!H259*1000</f>
        <v>265.65414335198506</v>
      </c>
      <c r="Z259" s="41">
        <f>G259/'1. Väestöennuste'!I259*1000</f>
        <v>326.49712879409356</v>
      </c>
      <c r="AA259" s="41">
        <f>H259/'1. Väestöennuste'!J259*1000</f>
        <v>305.7009088405398</v>
      </c>
      <c r="AB259" s="41">
        <f>I259/'1. Väestöennuste'!K259*1000</f>
        <v>308.77566964285711</v>
      </c>
      <c r="AC259" s="41">
        <f>J259/'1. Väestöennuste'!L259*1000</f>
        <v>339.55989726027389</v>
      </c>
      <c r="AD259" s="41">
        <f>K259/'1. Väestöennuste'!M259*1000</f>
        <v>550.99851258581236</v>
      </c>
      <c r="AE259" s="41">
        <f>L259/'1. Väestöennuste'!N259*1000</f>
        <v>0</v>
      </c>
      <c r="AF259" s="41">
        <f>M259/'1. Väestöennuste'!O259*1000</f>
        <v>0</v>
      </c>
      <c r="AG259" s="41">
        <f>N259/'1. Väestöennuste'!P259*1000</f>
        <v>0</v>
      </c>
      <c r="AH259" s="41">
        <f>O259/'1. Väestöennuste'!Q259*1000</f>
        <v>0</v>
      </c>
      <c r="AI259" s="41">
        <f>P259/'1. Väestöennuste'!R259*1000</f>
        <v>0</v>
      </c>
    </row>
    <row r="260" spans="1:35" x14ac:dyDescent="0.25">
      <c r="A260" s="30">
        <v>783</v>
      </c>
      <c r="B260" s="31" t="s">
        <v>574</v>
      </c>
      <c r="C260" s="41">
        <v>1817</v>
      </c>
      <c r="D260" s="41">
        <v>2184</v>
      </c>
      <c r="E260" s="41">
        <v>2122</v>
      </c>
      <c r="F260" s="41">
        <v>2147</v>
      </c>
      <c r="G260" s="41">
        <v>2258</v>
      </c>
      <c r="H260" s="41">
        <v>2328</v>
      </c>
      <c r="I260" s="165">
        <v>2268.5997499999999</v>
      </c>
      <c r="J260" s="41">
        <v>2235.19011</v>
      </c>
      <c r="K260" s="41">
        <v>2306.3068599999997</v>
      </c>
      <c r="L260" s="41">
        <v>2486.38</v>
      </c>
      <c r="M260" s="41">
        <v>2486</v>
      </c>
      <c r="N260" s="41">
        <v>2486</v>
      </c>
      <c r="O260" s="41">
        <f t="shared" si="8"/>
        <v>2566.214122710554</v>
      </c>
      <c r="P260" s="41">
        <f t="shared" si="8"/>
        <v>2646.4282454211079</v>
      </c>
      <c r="Q260" s="165"/>
      <c r="T260" s="34">
        <v>783</v>
      </c>
      <c r="U260" s="88" t="s">
        <v>574</v>
      </c>
      <c r="V260" s="41">
        <f>C260/'1. Väestöennuste'!E260*1000</f>
        <v>257.00141442715699</v>
      </c>
      <c r="W260" s="41">
        <f>D260/'1. Väestöennuste'!F260*1000</f>
        <v>312.53577561534058</v>
      </c>
      <c r="X260" s="41">
        <f>E260/'1. Väestöennuste'!G260*1000</f>
        <v>307.40257858901924</v>
      </c>
      <c r="Y260" s="41">
        <f>F260/'1. Väestöennuste'!H260*1000</f>
        <v>315.22537072382909</v>
      </c>
      <c r="Z260" s="41">
        <f>G260/'1. Väestöennuste'!I260*1000</f>
        <v>335.9619104299955</v>
      </c>
      <c r="AA260" s="41">
        <f>H260/'1. Väestöennuste'!J260*1000</f>
        <v>350.28588624736682</v>
      </c>
      <c r="AB260" s="41">
        <f>I260/'1. Väestöennuste'!K260*1000</f>
        <v>344.35333181542194</v>
      </c>
      <c r="AC260" s="41">
        <f>J260/'1. Väestöennuste'!L260*1000</f>
        <v>348.21469231967592</v>
      </c>
      <c r="AD260" s="41">
        <f>K260/'1. Väestöennuste'!M260*1000</f>
        <v>361.66016308609062</v>
      </c>
      <c r="AE260" s="41">
        <f>L260/'1. Väestöennuste'!N260*1000</f>
        <v>393.0414163768574</v>
      </c>
      <c r="AF260" s="41">
        <f>M260/'1. Väestöennuste'!O260*1000</f>
        <v>397.37851662404097</v>
      </c>
      <c r="AG260" s="41">
        <f>N260/'1. Väestöennuste'!P260*1000</f>
        <v>401.9401778496362</v>
      </c>
      <c r="AH260" s="41">
        <f>O260/'1. Väestöennuste'!Q260*1000</f>
        <v>419.45310930215004</v>
      </c>
      <c r="AI260" s="41">
        <f>P260/'1. Väestöennuste'!R260*1000</f>
        <v>437.28160036700399</v>
      </c>
    </row>
    <row r="261" spans="1:35" x14ac:dyDescent="0.25">
      <c r="A261" s="30">
        <v>785</v>
      </c>
      <c r="B261" s="31" t="s">
        <v>575</v>
      </c>
      <c r="C261" s="41">
        <v>1255</v>
      </c>
      <c r="D261" s="41">
        <v>1416</v>
      </c>
      <c r="E261" s="41">
        <v>2035</v>
      </c>
      <c r="F261" s="41">
        <v>995</v>
      </c>
      <c r="G261" s="41">
        <v>1249</v>
      </c>
      <c r="H261" s="41">
        <v>880</v>
      </c>
      <c r="I261" s="165">
        <v>1185.51126</v>
      </c>
      <c r="J261" s="41">
        <v>1148.35213</v>
      </c>
      <c r="K261" s="41">
        <v>1867.81106</v>
      </c>
      <c r="L261" s="41">
        <v>784.91</v>
      </c>
      <c r="M261" s="41">
        <v>0</v>
      </c>
      <c r="N261" s="41">
        <v>0</v>
      </c>
      <c r="O261" s="41">
        <f t="shared" si="8"/>
        <v>0</v>
      </c>
      <c r="P261" s="41">
        <f t="shared" si="8"/>
        <v>0</v>
      </c>
      <c r="Q261" s="165"/>
      <c r="T261" s="34">
        <v>785</v>
      </c>
      <c r="U261" s="88" t="s">
        <v>575</v>
      </c>
      <c r="V261" s="41">
        <f>C261/'1. Väestöennuste'!E261*1000</f>
        <v>408.2628497072219</v>
      </c>
      <c r="W261" s="41">
        <f>D261/'1. Väestöennuste'!F261*1000</f>
        <v>465.78947368421052</v>
      </c>
      <c r="X261" s="41">
        <f>E261/'1. Väestöennuste'!G261*1000</f>
        <v>691.94151649098944</v>
      </c>
      <c r="Y261" s="41">
        <f>F261/'1. Väestöennuste'!H261*1000</f>
        <v>346.81073544789126</v>
      </c>
      <c r="Z261" s="41">
        <f>G261/'1. Väestöennuste'!I261*1000</f>
        <v>447.34957020057311</v>
      </c>
      <c r="AA261" s="41">
        <f>H261/'1. Väestöennuste'!J261*1000</f>
        <v>321.51991231275116</v>
      </c>
      <c r="AB261" s="41">
        <f>I261/'1. Väestöennuste'!K261*1000</f>
        <v>443.51337822671155</v>
      </c>
      <c r="AC261" s="41">
        <f>J261/'1. Väestöennuste'!L261*1000</f>
        <v>437.30088728103578</v>
      </c>
      <c r="AD261" s="41">
        <f>K261/'1. Väestöennuste'!M261*1000</f>
        <v>721.44112012359983</v>
      </c>
      <c r="AE261" s="41">
        <f>L261/'1. Väestöennuste'!N261*1000</f>
        <v>314.71932638331998</v>
      </c>
      <c r="AF261" s="41">
        <f>M261/'1. Väestöennuste'!O261*1000</f>
        <v>0</v>
      </c>
      <c r="AG261" s="41">
        <f>N261/'1. Väestöennuste'!P261*1000</f>
        <v>0</v>
      </c>
      <c r="AH261" s="41">
        <f>O261/'1. Väestöennuste'!Q261*1000</f>
        <v>0</v>
      </c>
      <c r="AI261" s="41">
        <f>P261/'1. Väestöennuste'!R261*1000</f>
        <v>0</v>
      </c>
    </row>
    <row r="262" spans="1:35" x14ac:dyDescent="0.25">
      <c r="A262" s="30">
        <v>790</v>
      </c>
      <c r="B262" s="31" t="s">
        <v>576</v>
      </c>
      <c r="C262" s="41">
        <v>7270</v>
      </c>
      <c r="D262" s="41">
        <v>7566</v>
      </c>
      <c r="E262" s="41">
        <v>8252</v>
      </c>
      <c r="F262" s="41">
        <v>8034</v>
      </c>
      <c r="G262" s="41">
        <v>7715</v>
      </c>
      <c r="H262" s="41">
        <v>10514</v>
      </c>
      <c r="I262" s="165">
        <v>9339.2612499999996</v>
      </c>
      <c r="J262" s="41">
        <v>12002.60593</v>
      </c>
      <c r="K262" s="41">
        <v>8780.1629499999999</v>
      </c>
      <c r="L262" s="41">
        <v>9049</v>
      </c>
      <c r="M262" s="41">
        <v>9330</v>
      </c>
      <c r="N262" s="41">
        <v>9932</v>
      </c>
      <c r="O262" s="41">
        <f t="shared" si="8"/>
        <v>10252.469294755118</v>
      </c>
      <c r="P262" s="41">
        <f t="shared" si="8"/>
        <v>10572.938589510235</v>
      </c>
      <c r="Q262" s="165"/>
      <c r="T262" s="34">
        <v>790</v>
      </c>
      <c r="U262" s="88" t="s">
        <v>576</v>
      </c>
      <c r="V262" s="41">
        <f>C262/'1. Väestöennuste'!E262*1000</f>
        <v>288.26328310864392</v>
      </c>
      <c r="W262" s="41">
        <f>D262/'1. Väestöennuste'!F262*1000</f>
        <v>301.89130955231025</v>
      </c>
      <c r="X262" s="41">
        <f>E262/'1. Väestöennuste'!G262*1000</f>
        <v>332.47381144238517</v>
      </c>
      <c r="Y262" s="41">
        <f>F262/'1. Väestöennuste'!H262*1000</f>
        <v>325.90969940367529</v>
      </c>
      <c r="Z262" s="41">
        <f>G262/'1. Väestöennuste'!I262*1000</f>
        <v>317.79050129752437</v>
      </c>
      <c r="AA262" s="41">
        <f>H262/'1. Väestöennuste'!J262*1000</f>
        <v>437.13620488940632</v>
      </c>
      <c r="AB262" s="41">
        <f>I262/'1. Väestöennuste'!K262*1000</f>
        <v>389.1683161096758</v>
      </c>
      <c r="AC262" s="41">
        <f>J262/'1. Väestöennuste'!L262*1000</f>
        <v>505.71357251200811</v>
      </c>
      <c r="AD262" s="41">
        <f>K262/'1. Väestöennuste'!M262*1000</f>
        <v>373.38562406974273</v>
      </c>
      <c r="AE262" s="41">
        <f>L262/'1. Väestöennuste'!N262*1000</f>
        <v>393.43478260869563</v>
      </c>
      <c r="AF262" s="41">
        <f>M262/'1. Väestöennuste'!O262*1000</f>
        <v>409.7316762548856</v>
      </c>
      <c r="AG262" s="41">
        <f>N262/'1. Väestöennuste'!P262*1000</f>
        <v>440.28725950882171</v>
      </c>
      <c r="AH262" s="41">
        <f>O262/'1. Väestöennuste'!Q262*1000</f>
        <v>458.70293475706308</v>
      </c>
      <c r="AI262" s="41">
        <f>P262/'1. Väestöennuste'!R262*1000</f>
        <v>477.2904744271504</v>
      </c>
    </row>
    <row r="263" spans="1:35" x14ac:dyDescent="0.25">
      <c r="A263" s="30">
        <v>791</v>
      </c>
      <c r="B263" s="31" t="s">
        <v>577</v>
      </c>
      <c r="C263" s="41">
        <v>1040</v>
      </c>
      <c r="D263" s="41">
        <v>983</v>
      </c>
      <c r="E263" s="41">
        <v>1892</v>
      </c>
      <c r="F263" s="41">
        <v>1305</v>
      </c>
      <c r="G263" s="41">
        <v>1212</v>
      </c>
      <c r="H263" s="41">
        <v>1119</v>
      </c>
      <c r="I263" s="165">
        <v>1177.22226</v>
      </c>
      <c r="J263" s="41">
        <v>1238.5698799999998</v>
      </c>
      <c r="K263" s="41">
        <v>1815.90068</v>
      </c>
      <c r="L263" s="41">
        <v>1286.9590000000001</v>
      </c>
      <c r="M263" s="41">
        <v>1286.9590000000001</v>
      </c>
      <c r="N263" s="41">
        <v>1286.9590000000001</v>
      </c>
      <c r="O263" s="41">
        <f t="shared" si="8"/>
        <v>1328.4844574213403</v>
      </c>
      <c r="P263" s="41">
        <f t="shared" si="8"/>
        <v>1370.0099148426805</v>
      </c>
      <c r="Q263" s="165"/>
      <c r="T263" s="34">
        <v>791</v>
      </c>
      <c r="U263" s="88" t="s">
        <v>577</v>
      </c>
      <c r="V263" s="41">
        <f>C263/'1. Väestöennuste'!E263*1000</f>
        <v>183.19534965650871</v>
      </c>
      <c r="W263" s="41">
        <f>D263/'1. Väestöennuste'!F263*1000</f>
        <v>176.07021314705358</v>
      </c>
      <c r="X263" s="41">
        <f>E263/'1. Väestöennuste'!G263*1000</f>
        <v>347.34716357628054</v>
      </c>
      <c r="Y263" s="41">
        <f>F263/'1. Väestöennuste'!H263*1000</f>
        <v>246.17996604414262</v>
      </c>
      <c r="Z263" s="41">
        <f>G263/'1. Väestöennuste'!I263*1000</f>
        <v>231.6956604855668</v>
      </c>
      <c r="AA263" s="41">
        <f>H263/'1. Väestöennuste'!J263*1000</f>
        <v>215.06822986738419</v>
      </c>
      <c r="AB263" s="41">
        <f>I263/'1. Väestöennuste'!K263*1000</f>
        <v>229.43329955174428</v>
      </c>
      <c r="AC263" s="41">
        <f>J263/'1. Väestöennuste'!L263*1000</f>
        <v>246.28551998409225</v>
      </c>
      <c r="AD263" s="41">
        <f>K263/'1. Väestöennuste'!M263*1000</f>
        <v>368.26215372135471</v>
      </c>
      <c r="AE263" s="41">
        <f>L263/'1. Väestöennuste'!N263*1000</f>
        <v>266.06553648955969</v>
      </c>
      <c r="AF263" s="41">
        <f>M263/'1. Väestöennuste'!O263*1000</f>
        <v>270.54004624763508</v>
      </c>
      <c r="AG263" s="41">
        <f>N263/'1. Väestöennuste'!P263*1000</f>
        <v>275.05001068604406</v>
      </c>
      <c r="AH263" s="41">
        <f>O263/'1. Väestöennuste'!Q263*1000</f>
        <v>288.42476279230141</v>
      </c>
      <c r="AI263" s="41">
        <f>P263/'1. Väestöennuste'!R263*1000</f>
        <v>301.96383399662341</v>
      </c>
    </row>
    <row r="264" spans="1:35" x14ac:dyDescent="0.25">
      <c r="A264" s="30">
        <v>831</v>
      </c>
      <c r="B264" s="31" t="s">
        <v>578</v>
      </c>
      <c r="C264" s="41">
        <v>1540</v>
      </c>
      <c r="D264" s="41">
        <v>2411</v>
      </c>
      <c r="E264" s="41">
        <v>2172</v>
      </c>
      <c r="F264" s="41">
        <v>2059</v>
      </c>
      <c r="G264" s="41">
        <v>1666</v>
      </c>
      <c r="H264" s="41">
        <v>1626</v>
      </c>
      <c r="I264" s="165">
        <v>1637.7088100000001</v>
      </c>
      <c r="J264" s="41">
        <v>1527.99702</v>
      </c>
      <c r="K264" s="41">
        <v>1492.1569299999999</v>
      </c>
      <c r="L264" s="41">
        <v>1476.73</v>
      </c>
      <c r="M264" s="41">
        <v>1476.73</v>
      </c>
      <c r="N264" s="41">
        <v>1476.73</v>
      </c>
      <c r="O264" s="41">
        <f t="shared" si="8"/>
        <v>1524.3786731417363</v>
      </c>
      <c r="P264" s="41">
        <f t="shared" si="8"/>
        <v>1572.0273462834725</v>
      </c>
      <c r="Q264" s="165"/>
      <c r="T264" s="34">
        <v>831</v>
      </c>
      <c r="U264" s="88" t="s">
        <v>578</v>
      </c>
      <c r="V264" s="41">
        <f>C264/'1. Väestöennuste'!E264*1000</f>
        <v>319.83385254413292</v>
      </c>
      <c r="W264" s="41">
        <f>D264/'1. Väestöennuste'!F264*1000</f>
        <v>498.96523178807945</v>
      </c>
      <c r="X264" s="41">
        <f>E264/'1. Väestöennuste'!G264*1000</f>
        <v>454.96439044826144</v>
      </c>
      <c r="Y264" s="41">
        <f>F264/'1. Väestöennuste'!H264*1000</f>
        <v>436.69141039236479</v>
      </c>
      <c r="Z264" s="41">
        <f>G264/'1. Väestöennuste'!I264*1000</f>
        <v>356.66880753585957</v>
      </c>
      <c r="AA264" s="41">
        <f>H264/'1. Väestöennuste'!J264*1000</f>
        <v>351.33967156439064</v>
      </c>
      <c r="AB264" s="41">
        <f>I264/'1. Väestöennuste'!K264*1000</f>
        <v>356.41105767138197</v>
      </c>
      <c r="AC264" s="41">
        <f>J264/'1. Väestöennuste'!L264*1000</f>
        <v>335.16056591357756</v>
      </c>
      <c r="AD264" s="41">
        <f>K264/'1. Väestöennuste'!M264*1000</f>
        <v>322.62852540540536</v>
      </c>
      <c r="AE264" s="41">
        <f>L264/'1. Väestöennuste'!N264*1000</f>
        <v>328.08931348589203</v>
      </c>
      <c r="AF264" s="41">
        <f>M264/'1. Väestöennuste'!O264*1000</f>
        <v>330.43857686283286</v>
      </c>
      <c r="AG264" s="41">
        <f>N264/'1. Väestöennuste'!P264*1000</f>
        <v>332.89675383228132</v>
      </c>
      <c r="AH264" s="41">
        <f>O264/'1. Väestöennuste'!Q264*1000</f>
        <v>345.97791038169231</v>
      </c>
      <c r="AI264" s="41">
        <f>P264/'1. Väestöennuste'!R264*1000</f>
        <v>359.32053629336514</v>
      </c>
    </row>
    <row r="265" spans="1:35" x14ac:dyDescent="0.25">
      <c r="A265" s="30">
        <v>832</v>
      </c>
      <c r="B265" s="31" t="s">
        <v>579</v>
      </c>
      <c r="C265" s="41">
        <v>1980</v>
      </c>
      <c r="D265" s="41">
        <v>1956</v>
      </c>
      <c r="E265" s="41">
        <v>1825</v>
      </c>
      <c r="F265" s="41">
        <v>1915</v>
      </c>
      <c r="G265" s="41">
        <v>2707</v>
      </c>
      <c r="H265" s="41">
        <v>2455</v>
      </c>
      <c r="I265" s="165">
        <v>1702.8222599999999</v>
      </c>
      <c r="J265" s="41">
        <v>1826.5607600000001</v>
      </c>
      <c r="K265" s="41">
        <v>2374.1871599999999</v>
      </c>
      <c r="L265" s="41">
        <v>2034.5719999999999</v>
      </c>
      <c r="M265" s="41">
        <v>2182.7269999999999</v>
      </c>
      <c r="N265" s="41">
        <v>2329.183</v>
      </c>
      <c r="O265" s="41">
        <f t="shared" si="8"/>
        <v>2404.3372119780115</v>
      </c>
      <c r="P265" s="41">
        <f t="shared" si="8"/>
        <v>2479.491423956023</v>
      </c>
      <c r="Q265" s="165"/>
      <c r="T265" s="34">
        <v>832</v>
      </c>
      <c r="U265" s="88" t="s">
        <v>579</v>
      </c>
      <c r="V265" s="41">
        <f>C265/'1. Väestöennuste'!E265*1000</f>
        <v>471.54084305787092</v>
      </c>
      <c r="W265" s="41">
        <f>D265/'1. Väestöennuste'!F265*1000</f>
        <v>473.2639729010404</v>
      </c>
      <c r="X265" s="41">
        <f>E265/'1. Väestöennuste'!G265*1000</f>
        <v>449.72893050763923</v>
      </c>
      <c r="Y265" s="41">
        <f>F265/'1. Väestöennuste'!H265*1000</f>
        <v>475.89463220675941</v>
      </c>
      <c r="Z265" s="41">
        <f>G265/'1. Väestöennuste'!I265*1000</f>
        <v>680.83501006036215</v>
      </c>
      <c r="AA265" s="41">
        <f>H265/'1. Väestöennuste'!J265*1000</f>
        <v>626.91521961184878</v>
      </c>
      <c r="AB265" s="41">
        <f>I265/'1. Väestöennuste'!K265*1000</f>
        <v>435.1705238947099</v>
      </c>
      <c r="AC265" s="41">
        <f>J265/'1. Väestöennuste'!L265*1000</f>
        <v>477.53222483660136</v>
      </c>
      <c r="AD265" s="41">
        <f>K265/'1. Väestöennuste'!M265*1000</f>
        <v>636.34070222460468</v>
      </c>
      <c r="AE265" s="41">
        <f>L265/'1. Väestöennuste'!N265*1000</f>
        <v>552.42248167254945</v>
      </c>
      <c r="AF265" s="41">
        <f>M265/'1. Väestöennuste'!O265*1000</f>
        <v>601.30220385674932</v>
      </c>
      <c r="AG265" s="41">
        <f>N265/'1. Väestöennuste'!P265*1000</f>
        <v>650.97344885410848</v>
      </c>
      <c r="AH265" s="41">
        <f>O265/'1. Väestöennuste'!Q265*1000</f>
        <v>681.69470143975377</v>
      </c>
      <c r="AI265" s="41">
        <f>P265/'1. Väestöennuste'!R265*1000</f>
        <v>713.31744072382708</v>
      </c>
    </row>
    <row r="266" spans="1:35" x14ac:dyDescent="0.25">
      <c r="A266" s="30">
        <v>833</v>
      </c>
      <c r="B266" s="31" t="s">
        <v>580</v>
      </c>
      <c r="C266" s="41">
        <v>613</v>
      </c>
      <c r="D266" s="41">
        <v>683</v>
      </c>
      <c r="E266" s="41">
        <v>590</v>
      </c>
      <c r="F266" s="41">
        <v>509</v>
      </c>
      <c r="G266" s="41">
        <v>456</v>
      </c>
      <c r="H266" s="41">
        <v>471</v>
      </c>
      <c r="I266" s="165">
        <v>567.20993999999996</v>
      </c>
      <c r="J266" s="41">
        <v>608.47686999999996</v>
      </c>
      <c r="K266" s="41">
        <v>584.52393999999993</v>
      </c>
      <c r="L266" s="41">
        <v>560.00004000000001</v>
      </c>
      <c r="M266" s="41">
        <v>560</v>
      </c>
      <c r="N266" s="41">
        <v>560</v>
      </c>
      <c r="O266" s="41">
        <f t="shared" si="8"/>
        <v>578.06915073125913</v>
      </c>
      <c r="P266" s="41">
        <f t="shared" si="8"/>
        <v>596.13830146251826</v>
      </c>
      <c r="Q266" s="165"/>
      <c r="T266" s="34">
        <v>833</v>
      </c>
      <c r="U266" s="88" t="s">
        <v>580</v>
      </c>
      <c r="V266" s="41">
        <f>C266/'1. Väestöennuste'!E266*1000</f>
        <v>375.38273116962642</v>
      </c>
      <c r="W266" s="41">
        <f>D266/'1. Väestöennuste'!F266*1000</f>
        <v>421.08508014796547</v>
      </c>
      <c r="X266" s="41">
        <f>E266/'1. Väestöennuste'!G266*1000</f>
        <v>356.71100362756954</v>
      </c>
      <c r="Y266" s="41">
        <f>F266/'1. Väestöennuste'!H266*1000</f>
        <v>306.2575210589651</v>
      </c>
      <c r="Z266" s="41">
        <f>G266/'1. Väestöennuste'!I266*1000</f>
        <v>278.21842586943256</v>
      </c>
      <c r="AA266" s="41">
        <f>H266/'1. Väestöennuste'!J266*1000</f>
        <v>283.90596745027125</v>
      </c>
      <c r="AB266" s="41">
        <f>I266/'1. Väestöennuste'!K266*1000</f>
        <v>338.22894454382822</v>
      </c>
      <c r="AC266" s="41">
        <f>J266/'1. Väestöennuste'!L266*1000</f>
        <v>359.83256652868124</v>
      </c>
      <c r="AD266" s="41">
        <f>K266/'1. Väestöennuste'!M266*1000</f>
        <v>342.82929032258056</v>
      </c>
      <c r="AE266" s="41">
        <f>L266/'1. Väestöennuste'!N266*1000</f>
        <v>332.93700356718193</v>
      </c>
      <c r="AF266" s="41">
        <f>M266/'1. Väestöennuste'!O266*1000</f>
        <v>332.34421364985161</v>
      </c>
      <c r="AG266" s="41">
        <f>N266/'1. Väestöennuste'!P266*1000</f>
        <v>331.75355450236964</v>
      </c>
      <c r="AH266" s="41">
        <f>O266/'1. Väestöennuste'!Q266*1000</f>
        <v>341.44663362744188</v>
      </c>
      <c r="AI266" s="41">
        <f>P266/'1. Väestöennuste'!R266*1000</f>
        <v>351.70401266225264</v>
      </c>
    </row>
    <row r="267" spans="1:35" x14ac:dyDescent="0.25">
      <c r="A267" s="30">
        <v>834</v>
      </c>
      <c r="B267" s="31" t="s">
        <v>581</v>
      </c>
      <c r="C267" s="41">
        <v>2100</v>
      </c>
      <c r="D267" s="41">
        <v>2042</v>
      </c>
      <c r="E267" s="41">
        <v>2036</v>
      </c>
      <c r="F267" s="41">
        <v>2044</v>
      </c>
      <c r="G267" s="41">
        <v>2133</v>
      </c>
      <c r="H267" s="41">
        <v>2063</v>
      </c>
      <c r="I267" s="165">
        <v>2852.6581800000004</v>
      </c>
      <c r="J267" s="41">
        <v>2464.1737400000002</v>
      </c>
      <c r="K267" s="41">
        <v>2503.0287000000003</v>
      </c>
      <c r="L267" s="41">
        <v>1958.6969999999999</v>
      </c>
      <c r="M267" s="41">
        <v>2249.8919999999998</v>
      </c>
      <c r="N267" s="41">
        <v>2806.8029999999999</v>
      </c>
      <c r="O267" s="41">
        <f t="shared" si="8"/>
        <v>2897.3682615713401</v>
      </c>
      <c r="P267" s="41">
        <f t="shared" si="8"/>
        <v>2987.9335231426799</v>
      </c>
      <c r="Q267" s="165"/>
      <c r="T267" s="34">
        <v>834</v>
      </c>
      <c r="U267" s="88" t="s">
        <v>581</v>
      </c>
      <c r="V267" s="41">
        <f>C267/'1. Väestöennuste'!E267*1000</f>
        <v>334.39490445859872</v>
      </c>
      <c r="W267" s="41">
        <f>D267/'1. Väestöennuste'!F267*1000</f>
        <v>327.19115526357956</v>
      </c>
      <c r="X267" s="41">
        <f>E267/'1. Väestöennuste'!G267*1000</f>
        <v>330.78797725426483</v>
      </c>
      <c r="Y267" s="41">
        <f>F267/'1. Väestöennuste'!H267*1000</f>
        <v>336.12892616345994</v>
      </c>
      <c r="Z267" s="41">
        <f>G267/'1. Väestöennuste'!I267*1000</f>
        <v>354.61346633416457</v>
      </c>
      <c r="AA267" s="41">
        <f>H267/'1. Väestöennuste'!J267*1000</f>
        <v>342.91888297872339</v>
      </c>
      <c r="AB267" s="41">
        <f>I267/'1. Väestöennuste'!K267*1000</f>
        <v>478.07242835595781</v>
      </c>
      <c r="AC267" s="41">
        <f>J267/'1. Väestöennuste'!L267*1000</f>
        <v>419.1484504167376</v>
      </c>
      <c r="AD267" s="41">
        <f>K267/'1. Väestöennuste'!M267*1000</f>
        <v>428.30744353182757</v>
      </c>
      <c r="AE267" s="41">
        <f>L267/'1. Väestöennuste'!N267*1000</f>
        <v>337.99775668679894</v>
      </c>
      <c r="AF267" s="41">
        <f>M267/'1. Väestöennuste'!O267*1000</f>
        <v>391.69428969359325</v>
      </c>
      <c r="AG267" s="41">
        <f>N267/'1. Väestöennuste'!P267*1000</f>
        <v>492.8539069359087</v>
      </c>
      <c r="AH267" s="41">
        <f>O267/'1. Väestöennuste'!Q267*1000</f>
        <v>512.99013129804177</v>
      </c>
      <c r="AI267" s="41">
        <f>P267/'1. Väestöennuste'!R267*1000</f>
        <v>532.9884985984088</v>
      </c>
    </row>
    <row r="268" spans="1:35" x14ac:dyDescent="0.25">
      <c r="A268" s="30">
        <v>837</v>
      </c>
      <c r="B268" s="31" t="s">
        <v>582</v>
      </c>
      <c r="C268" s="41">
        <v>103215</v>
      </c>
      <c r="D268" s="41">
        <v>92953</v>
      </c>
      <c r="E268" s="41">
        <v>103867</v>
      </c>
      <c r="F268" s="41">
        <v>108318</v>
      </c>
      <c r="G268" s="41">
        <v>111513</v>
      </c>
      <c r="H268" s="41">
        <v>104065</v>
      </c>
      <c r="I268" s="165">
        <v>106709.98405</v>
      </c>
      <c r="J268" s="41">
        <v>120954.42288</v>
      </c>
      <c r="K268" s="41">
        <v>132683.38707</v>
      </c>
      <c r="L268" s="41">
        <v>128738</v>
      </c>
      <c r="M268" s="41">
        <v>126894</v>
      </c>
      <c r="N268" s="41">
        <v>125252</v>
      </c>
      <c r="O268" s="41">
        <f t="shared" si="8"/>
        <v>129293.42369177085</v>
      </c>
      <c r="P268" s="41">
        <f t="shared" si="8"/>
        <v>133334.8473835417</v>
      </c>
      <c r="Q268" s="165"/>
      <c r="T268" s="34">
        <v>837</v>
      </c>
      <c r="U268" s="88" t="s">
        <v>582</v>
      </c>
      <c r="V268" s="41">
        <f>C268/'1. Väestöennuste'!E268*1000</f>
        <v>458.49287928997234</v>
      </c>
      <c r="W268" s="41">
        <f>D268/'1. Väestöennuste'!F268*1000</f>
        <v>407.19924301497321</v>
      </c>
      <c r="X268" s="41">
        <f>E268/'1. Väestöennuste'!G268*1000</f>
        <v>447.98643968376518</v>
      </c>
      <c r="Y268" s="41">
        <f>F268/'1. Väestöennuste'!H268*1000</f>
        <v>460.45936260569039</v>
      </c>
      <c r="Z268" s="41">
        <f>G268/'1. Väestöennuste'!I268*1000</f>
        <v>468.26656588561349</v>
      </c>
      <c r="AA268" s="41">
        <f>H268/'1. Väestöennuste'!J268*1000</f>
        <v>431.78885435813601</v>
      </c>
      <c r="AB268" s="41">
        <f>I268/'1. Väestöennuste'!K268*1000</f>
        <v>436.93666874127337</v>
      </c>
      <c r="AC268" s="41">
        <f>J268/'1. Väestöennuste'!L268*1000</f>
        <v>485.74317747551294</v>
      </c>
      <c r="AD268" s="41">
        <f>K268/'1. Väestöennuste'!M268*1000</f>
        <v>520.22500321505584</v>
      </c>
      <c r="AE268" s="41">
        <f>L268/'1. Väestöennuste'!N268*1000</f>
        <v>507.15599799876298</v>
      </c>
      <c r="AF268" s="41">
        <f>M268/'1. Väestöennuste'!O268*1000</f>
        <v>494.54763704956622</v>
      </c>
      <c r="AG268" s="41">
        <f>N268/'1. Väestöennuste'!P268*1000</f>
        <v>483.24208788113788</v>
      </c>
      <c r="AH268" s="41">
        <f>O268/'1. Väestöennuste'!Q268*1000</f>
        <v>494.09548294947916</v>
      </c>
      <c r="AI268" s="41">
        <f>P268/'1. Väestöennuste'!R268*1000</f>
        <v>504.93765624566089</v>
      </c>
    </row>
    <row r="269" spans="1:35" x14ac:dyDescent="0.25">
      <c r="A269" s="30">
        <v>844</v>
      </c>
      <c r="B269" s="31" t="s">
        <v>583</v>
      </c>
      <c r="C269" s="41">
        <v>406</v>
      </c>
      <c r="D269" s="41">
        <v>409</v>
      </c>
      <c r="E269" s="41">
        <v>332</v>
      </c>
      <c r="F269" s="41">
        <v>285</v>
      </c>
      <c r="G269" s="41">
        <v>261</v>
      </c>
      <c r="H269" s="41">
        <v>312</v>
      </c>
      <c r="I269" s="165">
        <v>341.80948000000001</v>
      </c>
      <c r="J269" s="41">
        <v>330.86066</v>
      </c>
      <c r="K269" s="41">
        <v>297.74678999999998</v>
      </c>
      <c r="L269" s="41">
        <v>414.21499999999997</v>
      </c>
      <c r="M269" s="41">
        <v>414.21499999999997</v>
      </c>
      <c r="N269" s="41">
        <v>285.42</v>
      </c>
      <c r="O269" s="41">
        <f t="shared" si="8"/>
        <v>294.62945893163572</v>
      </c>
      <c r="P269" s="41">
        <f t="shared" si="8"/>
        <v>303.83891786327138</v>
      </c>
      <c r="Q269" s="165"/>
      <c r="T269" s="34">
        <v>844</v>
      </c>
      <c r="U269" s="88" t="s">
        <v>583</v>
      </c>
      <c r="V269" s="41">
        <f>C269/'1. Väestöennuste'!E269*1000</f>
        <v>252.48756218905473</v>
      </c>
      <c r="W269" s="41">
        <f>D269/'1. Väestöennuste'!F269*1000</f>
        <v>253.87957790192428</v>
      </c>
      <c r="X269" s="41">
        <f>E269/'1. Väestöennuste'!G269*1000</f>
        <v>209.46372239747635</v>
      </c>
      <c r="Y269" s="41">
        <f>F269/'1. Väestöennuste'!H269*1000</f>
        <v>181.8761965539247</v>
      </c>
      <c r="Z269" s="41">
        <f>G269/'1. Väestöennuste'!I269*1000</f>
        <v>171.71052631578948</v>
      </c>
      <c r="AA269" s="41">
        <f>H269/'1. Väestöennuste'!J269*1000</f>
        <v>207.58483033932134</v>
      </c>
      <c r="AB269" s="41">
        <f>I269/'1. Väestöennuste'!K269*1000</f>
        <v>231.10850574712643</v>
      </c>
      <c r="AC269" s="41">
        <f>J269/'1. Väestöennuste'!L269*1000</f>
        <v>229.60489937543372</v>
      </c>
      <c r="AD269" s="41">
        <f>K269/'1. Väestöennuste'!M269*1000</f>
        <v>210.86883144475917</v>
      </c>
      <c r="AE269" s="41">
        <f>L269/'1. Väestöennuste'!N269*1000</f>
        <v>288.85285913528594</v>
      </c>
      <c r="AF269" s="41">
        <f>M269/'1. Väestöennuste'!O269*1000</f>
        <v>291.29043600562585</v>
      </c>
      <c r="AG269" s="41">
        <f>N269/'1. Väestöennuste'!P269*1000</f>
        <v>202.13881019830029</v>
      </c>
      <c r="AH269" s="41">
        <f>O269/'1. Väestöennuste'!Q269*1000</f>
        <v>210.14940009389139</v>
      </c>
      <c r="AI269" s="41">
        <f>P269/'1. Väestöennuste'!R269*1000</f>
        <v>218.43200421514837</v>
      </c>
    </row>
    <row r="270" spans="1:35" x14ac:dyDescent="0.25">
      <c r="A270" s="30">
        <v>845</v>
      </c>
      <c r="B270" s="31" t="s">
        <v>584</v>
      </c>
      <c r="C270" s="41">
        <v>1320</v>
      </c>
      <c r="D270" s="41">
        <v>1370</v>
      </c>
      <c r="E270" s="41">
        <v>1321</v>
      </c>
      <c r="F270" s="41">
        <v>1199</v>
      </c>
      <c r="G270" s="41">
        <v>1325</v>
      </c>
      <c r="H270" s="41">
        <v>1151</v>
      </c>
      <c r="I270" s="165">
        <v>1887.2843500000001</v>
      </c>
      <c r="J270" s="41">
        <v>1092.2037700000001</v>
      </c>
      <c r="K270" s="41">
        <v>1072.5616499999999</v>
      </c>
      <c r="L270" s="41">
        <v>1378.4</v>
      </c>
      <c r="M270" s="41">
        <v>-1337.1</v>
      </c>
      <c r="N270" s="41">
        <v>-1339.1</v>
      </c>
      <c r="O270" s="41">
        <f t="shared" si="8"/>
        <v>-1382.3078566861234</v>
      </c>
      <c r="P270" s="41">
        <f t="shared" si="8"/>
        <v>-1425.5157133722469</v>
      </c>
      <c r="Q270" s="165"/>
      <c r="T270" s="34">
        <v>845</v>
      </c>
      <c r="U270" s="88" t="s">
        <v>584</v>
      </c>
      <c r="V270" s="41">
        <f>C270/'1. Väestöennuste'!E270*1000</f>
        <v>413.14553990610329</v>
      </c>
      <c r="W270" s="41">
        <f>D270/'1. Väestöennuste'!F270*1000</f>
        <v>442.07808970635688</v>
      </c>
      <c r="X270" s="41">
        <f>E270/'1. Väestöennuste'!G270*1000</f>
        <v>430.57366362451108</v>
      </c>
      <c r="Y270" s="41">
        <f>F270/'1. Väestöennuste'!H270*1000</f>
        <v>391.57413455258001</v>
      </c>
      <c r="Z270" s="41">
        <f>G270/'1. Väestöennuste'!I270*1000</f>
        <v>441.51949350216597</v>
      </c>
      <c r="AA270" s="41">
        <f>H270/'1. Väestöennuste'!J270*1000</f>
        <v>393.50427350427356</v>
      </c>
      <c r="AB270" s="41">
        <f>I270/'1. Väestöennuste'!K270*1000</f>
        <v>654.85230742539909</v>
      </c>
      <c r="AC270" s="41">
        <f>J270/'1. Väestöennuste'!L270*1000</f>
        <v>381.48926650366747</v>
      </c>
      <c r="AD270" s="41">
        <f>K270/'1. Väestöennuste'!M270*1000</f>
        <v>378.86317555634048</v>
      </c>
      <c r="AE270" s="41">
        <f>L270/'1. Väestöennuste'!N270*1000</f>
        <v>507.13760117733631</v>
      </c>
      <c r="AF270" s="41">
        <f>M270/'1. Väestöennuste'!O270*1000</f>
        <v>-499.66367713004485</v>
      </c>
      <c r="AG270" s="41">
        <f>N270/'1. Väestöennuste'!P270*1000</f>
        <v>-507.81190747061055</v>
      </c>
      <c r="AH270" s="41">
        <f>O270/'1. Väestöennuste'!Q270*1000</f>
        <v>-532.0661496097473</v>
      </c>
      <c r="AI270" s="41">
        <f>P270/'1. Väestöennuste'!R270*1000</f>
        <v>-556.62464403445802</v>
      </c>
    </row>
    <row r="271" spans="1:35" x14ac:dyDescent="0.25">
      <c r="A271" s="30">
        <v>846</v>
      </c>
      <c r="B271" s="31" t="s">
        <v>585</v>
      </c>
      <c r="C271" s="41">
        <v>1493</v>
      </c>
      <c r="D271" s="41">
        <v>2470</v>
      </c>
      <c r="E271" s="41">
        <v>1402</v>
      </c>
      <c r="F271" s="41">
        <v>1394</v>
      </c>
      <c r="G271" s="41">
        <v>1494</v>
      </c>
      <c r="H271" s="41">
        <v>1370</v>
      </c>
      <c r="I271" s="165">
        <v>1105.9788999999998</v>
      </c>
      <c r="J271" s="41">
        <v>1126.81691</v>
      </c>
      <c r="K271" s="41">
        <v>1305.6763799999999</v>
      </c>
      <c r="L271" s="41">
        <v>1200</v>
      </c>
      <c r="M271" s="41">
        <v>1200</v>
      </c>
      <c r="N271" s="41">
        <v>1200</v>
      </c>
      <c r="O271" s="41">
        <f t="shared" ref="O271:P307" si="9">N271*O$6</f>
        <v>1238.7196087098412</v>
      </c>
      <c r="P271" s="41">
        <f t="shared" si="9"/>
        <v>1277.4392174196821</v>
      </c>
      <c r="Q271" s="165"/>
      <c r="T271" s="34">
        <v>846</v>
      </c>
      <c r="U271" s="88" t="s">
        <v>585</v>
      </c>
      <c r="V271" s="41">
        <f>C271/'1. Väestöennuste'!E271*1000</f>
        <v>272.34585917548338</v>
      </c>
      <c r="W271" s="41">
        <f>D271/'1. Väestöennuste'!F271*1000</f>
        <v>460.56311765802724</v>
      </c>
      <c r="X271" s="41">
        <f>E271/'1. Väestöennuste'!G271*1000</f>
        <v>266.08464604289242</v>
      </c>
      <c r="Y271" s="41">
        <f>F271/'1. Väestöennuste'!H271*1000</f>
        <v>270.25979061651799</v>
      </c>
      <c r="Z271" s="41">
        <f>G271/'1. Väestöennuste'!I271*1000</f>
        <v>294.32624113475174</v>
      </c>
      <c r="AA271" s="41">
        <f>H271/'1. Väestöennuste'!J271*1000</f>
        <v>274.32919503404088</v>
      </c>
      <c r="AB271" s="41">
        <f>I271/'1. Väestöennuste'!K271*1000</f>
        <v>223.33984248788366</v>
      </c>
      <c r="AC271" s="41">
        <f>J271/'1. Väestöennuste'!L271*1000</f>
        <v>231.75995680789799</v>
      </c>
      <c r="AD271" s="41">
        <f>K271/'1. Väestöennuste'!M271*1000</f>
        <v>274.4170617906683</v>
      </c>
      <c r="AE271" s="41">
        <f>L271/'1. Väestöennuste'!N271*1000</f>
        <v>259.06735751295332</v>
      </c>
      <c r="AF271" s="41">
        <f>M271/'1. Väestöennuste'!O271*1000</f>
        <v>263.50461133069831</v>
      </c>
      <c r="AG271" s="41">
        <f>N271/'1. Väestöennuste'!P271*1000</f>
        <v>267.9169457468185</v>
      </c>
      <c r="AH271" s="41">
        <f>O271/'1. Väestöennuste'!Q271*1000</f>
        <v>281.08001105283438</v>
      </c>
      <c r="AI271" s="41">
        <f>P271/'1. Väestöennuste'!R271*1000</f>
        <v>294.74831966305544</v>
      </c>
    </row>
    <row r="272" spans="1:35" x14ac:dyDescent="0.25">
      <c r="A272" s="30">
        <v>848</v>
      </c>
      <c r="B272" s="31" t="s">
        <v>586</v>
      </c>
      <c r="C272" s="41">
        <v>823</v>
      </c>
      <c r="D272" s="41">
        <v>1021</v>
      </c>
      <c r="E272" s="41">
        <v>2409</v>
      </c>
      <c r="F272" s="41">
        <v>919</v>
      </c>
      <c r="G272" s="41">
        <v>959</v>
      </c>
      <c r="H272" s="41">
        <v>1568</v>
      </c>
      <c r="I272" s="165">
        <v>1863.4926599999999</v>
      </c>
      <c r="J272" s="41">
        <v>1588.4159099999999</v>
      </c>
      <c r="K272" s="41">
        <v>1298.87408</v>
      </c>
      <c r="L272" s="41">
        <v>950</v>
      </c>
      <c r="M272" s="41">
        <v>950</v>
      </c>
      <c r="N272" s="41">
        <v>950</v>
      </c>
      <c r="O272" s="41">
        <f t="shared" si="9"/>
        <v>980.65302356195753</v>
      </c>
      <c r="P272" s="41">
        <f t="shared" si="9"/>
        <v>1011.3060471239149</v>
      </c>
      <c r="Q272" s="165"/>
      <c r="T272" s="34">
        <v>848</v>
      </c>
      <c r="U272" s="88" t="s">
        <v>586</v>
      </c>
      <c r="V272" s="41">
        <f>C272/'1. Väestöennuste'!E272*1000</f>
        <v>173.70198395947659</v>
      </c>
      <c r="W272" s="41">
        <f>D272/'1. Väestöennuste'!F272*1000</f>
        <v>219.42832581130452</v>
      </c>
      <c r="X272" s="41">
        <f>E272/'1. Väestöennuste'!G272*1000</f>
        <v>527.018157952308</v>
      </c>
      <c r="Y272" s="41">
        <f>F272/'1. Väestöennuste'!H272*1000</f>
        <v>205.04239178937974</v>
      </c>
      <c r="Z272" s="41">
        <f>G272/'1. Väestöennuste'!I272*1000</f>
        <v>219.90369181380419</v>
      </c>
      <c r="AA272" s="41">
        <f>H272/'1. Väestöennuste'!J272*1000</f>
        <v>364.05850940329697</v>
      </c>
      <c r="AB272" s="41">
        <f>I272/'1. Väestöennuste'!K272*1000</f>
        <v>439.39935392596084</v>
      </c>
      <c r="AC272" s="41">
        <f>J272/'1. Väestöennuste'!L272*1000</f>
        <v>381.8307475961538</v>
      </c>
      <c r="AD272" s="41">
        <f>K272/'1. Väestöennuste'!M272*1000</f>
        <v>319.44763403836697</v>
      </c>
      <c r="AE272" s="41">
        <f>L272/'1. Väestöennuste'!N272*1000</f>
        <v>237.61880940470235</v>
      </c>
      <c r="AF272" s="41">
        <f>M272/'1. Väestöennuste'!O272*1000</f>
        <v>241.17796395024118</v>
      </c>
      <c r="AG272" s="41">
        <f>N272/'1. Väestöennuste'!P272*1000</f>
        <v>244.65619366469224</v>
      </c>
      <c r="AH272" s="41">
        <f>O272/'1. Väestöennuste'!Q272*1000</f>
        <v>256.11204585060267</v>
      </c>
      <c r="AI272" s="41">
        <f>P272/'1. Väestöennuste'!R272*1000</f>
        <v>267.75378531212993</v>
      </c>
    </row>
    <row r="273" spans="1:35" x14ac:dyDescent="0.25">
      <c r="A273" s="30">
        <v>849</v>
      </c>
      <c r="B273" s="31" t="s">
        <v>587</v>
      </c>
      <c r="C273" s="41">
        <v>975</v>
      </c>
      <c r="D273" s="41">
        <v>1362</v>
      </c>
      <c r="E273" s="41">
        <v>1043</v>
      </c>
      <c r="F273" s="41">
        <v>972</v>
      </c>
      <c r="G273" s="41">
        <v>965</v>
      </c>
      <c r="H273" s="41">
        <v>950</v>
      </c>
      <c r="I273" s="165">
        <v>952.35586000000001</v>
      </c>
      <c r="J273" s="41">
        <v>1050.7007100000001</v>
      </c>
      <c r="K273" s="41">
        <v>1270.5417</v>
      </c>
      <c r="L273" s="41">
        <v>934.25199999999995</v>
      </c>
      <c r="M273" s="41">
        <v>933.25199999999995</v>
      </c>
      <c r="N273" s="41">
        <v>931.25199999999995</v>
      </c>
      <c r="O273" s="41">
        <f t="shared" si="9"/>
        <v>961.30009420854742</v>
      </c>
      <c r="P273" s="41">
        <f t="shared" si="9"/>
        <v>991.34818841709478</v>
      </c>
      <c r="Q273" s="165"/>
      <c r="T273" s="34">
        <v>849</v>
      </c>
      <c r="U273" s="88" t="s">
        <v>587</v>
      </c>
      <c r="V273" s="41">
        <f>C273/'1. Väestöennuste'!E273*1000</f>
        <v>294.47296889157354</v>
      </c>
      <c r="W273" s="41">
        <f>D273/'1. Väestöennuste'!F273*1000</f>
        <v>421.41089108910887</v>
      </c>
      <c r="X273" s="41">
        <f>E273/'1. Väestöennuste'!G273*1000</f>
        <v>326.75438596491227</v>
      </c>
      <c r="Y273" s="41">
        <f>F273/'1. Väestöennuste'!H273*1000</f>
        <v>312.33933161953723</v>
      </c>
      <c r="Z273" s="41">
        <f>G273/'1. Väestöennuste'!I273*1000</f>
        <v>318.16683151994721</v>
      </c>
      <c r="AA273" s="41">
        <f>H273/'1. Väestöennuste'!J273*1000</f>
        <v>320.29669588671612</v>
      </c>
      <c r="AB273" s="41">
        <f>I273/'1. Väestöennuste'!K273*1000</f>
        <v>324.15107556160655</v>
      </c>
      <c r="AC273" s="41">
        <f>J273/'1. Väestöennuste'!L273*1000</f>
        <v>361.93617292456082</v>
      </c>
      <c r="AD273" s="41">
        <f>K273/'1. Väestöennuste'!M273*1000</f>
        <v>445.96058266058265</v>
      </c>
      <c r="AE273" s="41">
        <f>L273/'1. Väestöennuste'!N273*1000</f>
        <v>346.14746202297147</v>
      </c>
      <c r="AF273" s="41">
        <f>M273/'1. Väestöennuste'!O273*1000</f>
        <v>353.90671217292373</v>
      </c>
      <c r="AG273" s="41">
        <f>N273/'1. Väestöennuste'!P273*1000</f>
        <v>361.09034509499804</v>
      </c>
      <c r="AH273" s="41">
        <f>O273/'1. Väestöennuste'!Q273*1000</f>
        <v>380.86374572446414</v>
      </c>
      <c r="AI273" s="41">
        <f>P273/'1. Väestöennuste'!R273*1000</f>
        <v>401.1931155067158</v>
      </c>
    </row>
    <row r="274" spans="1:35" x14ac:dyDescent="0.25">
      <c r="A274" s="30">
        <v>850</v>
      </c>
      <c r="B274" s="31" t="s">
        <v>588</v>
      </c>
      <c r="C274" s="41">
        <v>500</v>
      </c>
      <c r="D274" s="41">
        <v>670</v>
      </c>
      <c r="E274" s="41">
        <v>1360</v>
      </c>
      <c r="F274" s="41">
        <v>1643</v>
      </c>
      <c r="G274" s="41">
        <v>875</v>
      </c>
      <c r="H274" s="41">
        <v>813</v>
      </c>
      <c r="I274" s="165">
        <v>923.66920999999991</v>
      </c>
      <c r="J274" s="41">
        <v>912.80944999999997</v>
      </c>
      <c r="K274" s="41">
        <v>834.31972999999994</v>
      </c>
      <c r="L274" s="41">
        <v>818.005</v>
      </c>
      <c r="M274" s="41">
        <v>887.005</v>
      </c>
      <c r="N274" s="41">
        <v>915.68899999999996</v>
      </c>
      <c r="O274" s="41">
        <f t="shared" si="9"/>
        <v>945.23493314992129</v>
      </c>
      <c r="P274" s="41">
        <f t="shared" si="9"/>
        <v>974.78086629984261</v>
      </c>
      <c r="Q274" s="165"/>
      <c r="T274" s="34">
        <v>850</v>
      </c>
      <c r="U274" s="88" t="s">
        <v>588</v>
      </c>
      <c r="V274" s="41">
        <f>C274/'1. Väestöennuste'!E274*1000</f>
        <v>205.67667626491158</v>
      </c>
      <c r="W274" s="41">
        <f>D274/'1. Väestöennuste'!F274*1000</f>
        <v>275.49342105263156</v>
      </c>
      <c r="X274" s="41">
        <f>E274/'1. Väestöennuste'!G274*1000</f>
        <v>570.46979865771812</v>
      </c>
      <c r="Y274" s="41">
        <f>F274/'1. Väestöennuste'!H274*1000</f>
        <v>682.87614297589357</v>
      </c>
      <c r="Z274" s="41">
        <f>G274/'1. Väestöennuste'!I274*1000</f>
        <v>366.41541038525963</v>
      </c>
      <c r="AA274" s="41">
        <f>H274/'1. Väestöennuste'!J274*1000</f>
        <v>338.60891295293629</v>
      </c>
      <c r="AB274" s="41">
        <f>I274/'1. Väestöennuste'!K274*1000</f>
        <v>386.95819438625881</v>
      </c>
      <c r="AC274" s="41">
        <f>J274/'1. Väestöennuste'!L274*1000</f>
        <v>379.2311798919817</v>
      </c>
      <c r="AD274" s="41">
        <f>K274/'1. Väestöennuste'!M274*1000</f>
        <v>352.33096706081079</v>
      </c>
      <c r="AE274" s="41">
        <f>L274/'1. Väestöennuste'!N274*1000</f>
        <v>342.26150627615067</v>
      </c>
      <c r="AF274" s="41">
        <f>M274/'1. Väestöennuste'!O274*1000</f>
        <v>372.22198908938316</v>
      </c>
      <c r="AG274" s="41">
        <f>N274/'1. Väestöennuste'!P274*1000</f>
        <v>385.22885990744629</v>
      </c>
      <c r="AH274" s="41">
        <f>O274/'1. Väestöennuste'!Q274*1000</f>
        <v>399.17015758020324</v>
      </c>
      <c r="AI274" s="41">
        <f>P274/'1. Väestöennuste'!R274*1000</f>
        <v>413.91968845003936</v>
      </c>
    </row>
    <row r="275" spans="1:35" x14ac:dyDescent="0.25">
      <c r="A275" s="30">
        <v>851</v>
      </c>
      <c r="B275" s="31" t="s">
        <v>589</v>
      </c>
      <c r="C275" s="41">
        <v>5500</v>
      </c>
      <c r="D275" s="41">
        <v>5524</v>
      </c>
      <c r="E275" s="41">
        <v>5656</v>
      </c>
      <c r="F275" s="41">
        <v>5935</v>
      </c>
      <c r="G275" s="41">
        <v>5796</v>
      </c>
      <c r="H275" s="41">
        <v>5671</v>
      </c>
      <c r="I275" s="165">
        <v>8029.3948300000002</v>
      </c>
      <c r="J275" s="41">
        <v>6118.1220199999998</v>
      </c>
      <c r="K275" s="41">
        <v>6291.0672000000004</v>
      </c>
      <c r="L275" s="41">
        <v>6000</v>
      </c>
      <c r="M275" s="41">
        <v>6000</v>
      </c>
      <c r="N275" s="41">
        <v>6000</v>
      </c>
      <c r="O275" s="41">
        <f t="shared" si="9"/>
        <v>6193.5980435492056</v>
      </c>
      <c r="P275" s="41">
        <f t="shared" si="9"/>
        <v>6387.1960870984103</v>
      </c>
      <c r="Q275" s="165"/>
      <c r="T275" s="34">
        <v>851</v>
      </c>
      <c r="U275" s="88" t="s">
        <v>589</v>
      </c>
      <c r="V275" s="41">
        <f>C275/'1. Väestöennuste'!E275*1000</f>
        <v>247.75890805892155</v>
      </c>
      <c r="W275" s="41">
        <f>D275/'1. Väestöennuste'!F275*1000</f>
        <v>249.76262603427227</v>
      </c>
      <c r="X275" s="41">
        <f>E275/'1. Väestöennuste'!G275*1000</f>
        <v>257.9350601970084</v>
      </c>
      <c r="Y275" s="41">
        <f>F275/'1. Väestöennuste'!H275*1000</f>
        <v>271.31428571428575</v>
      </c>
      <c r="Z275" s="41">
        <f>G275/'1. Väestöennuste'!I275*1000</f>
        <v>268.30848995463384</v>
      </c>
      <c r="AA275" s="41">
        <f>H275/'1. Väestöennuste'!J275*1000</f>
        <v>264.17291656961851</v>
      </c>
      <c r="AB275" s="41">
        <f>I275/'1. Väestöennuste'!K275*1000</f>
        <v>376.38376365255709</v>
      </c>
      <c r="AC275" s="41">
        <f>J275/'1. Väestöennuste'!L275*1000</f>
        <v>288.22358411457105</v>
      </c>
      <c r="AD275" s="41">
        <f>K275/'1. Väestöennuste'!M275*1000</f>
        <v>299.31807022552096</v>
      </c>
      <c r="AE275" s="41">
        <f>L275/'1. Väestöennuste'!N275*1000</f>
        <v>287.24626579854464</v>
      </c>
      <c r="AF275" s="41">
        <f>M275/'1. Väestöennuste'!O275*1000</f>
        <v>289.18449971081549</v>
      </c>
      <c r="AG275" s="41">
        <f>N275/'1. Väestöennuste'!P275*1000</f>
        <v>291.09256743644477</v>
      </c>
      <c r="AH275" s="41">
        <f>O275/'1. Väestöennuste'!Q275*1000</f>
        <v>302.48085776270784</v>
      </c>
      <c r="AI275" s="41">
        <f>P275/'1. Väestöennuste'!R275*1000</f>
        <v>314.02143987701129</v>
      </c>
    </row>
    <row r="276" spans="1:35" x14ac:dyDescent="0.25">
      <c r="A276" s="30">
        <v>853</v>
      </c>
      <c r="B276" s="31" t="s">
        <v>590</v>
      </c>
      <c r="C276" s="41">
        <v>57571</v>
      </c>
      <c r="D276" s="41">
        <v>59382</v>
      </c>
      <c r="E276" s="41">
        <v>55626</v>
      </c>
      <c r="F276" s="41">
        <v>56046</v>
      </c>
      <c r="G276" s="41">
        <v>57729</v>
      </c>
      <c r="H276" s="41">
        <v>56314</v>
      </c>
      <c r="I276" s="165">
        <v>57293.638599999998</v>
      </c>
      <c r="J276" s="41">
        <v>60504.293749999997</v>
      </c>
      <c r="K276" s="41">
        <v>66127.413369999995</v>
      </c>
      <c r="L276" s="41">
        <v>57901.494840000007</v>
      </c>
      <c r="M276" s="41">
        <v>58816.456319999998</v>
      </c>
      <c r="N276" s="41">
        <v>62668.791600000004</v>
      </c>
      <c r="O276" s="41">
        <f t="shared" si="9"/>
        <v>64690.884174225481</v>
      </c>
      <c r="P276" s="41">
        <f t="shared" si="9"/>
        <v>66712.97674845095</v>
      </c>
      <c r="Q276" s="165"/>
      <c r="T276" s="34">
        <v>853</v>
      </c>
      <c r="U276" s="88" t="s">
        <v>590</v>
      </c>
      <c r="V276" s="41">
        <f>C276/'1. Väestöennuste'!E276*1000</f>
        <v>309.67467779762029</v>
      </c>
      <c r="W276" s="41">
        <f>D276/'1. Väestöennuste'!F276*1000</f>
        <v>316.52843222959001</v>
      </c>
      <c r="X276" s="41">
        <f>E276/'1. Väestöennuste'!G276*1000</f>
        <v>293.27934454233429</v>
      </c>
      <c r="Y276" s="41">
        <f>F276/'1. Väestöennuste'!H276*1000</f>
        <v>292.92691722721361</v>
      </c>
      <c r="Z276" s="41">
        <f>G276/'1. Väestöennuste'!I276*1000</f>
        <v>299.17289414496116</v>
      </c>
      <c r="AA276" s="41">
        <f>H276/'1. Väestöennuste'!J276*1000</f>
        <v>289.6944817404098</v>
      </c>
      <c r="AB276" s="41">
        <f>I276/'1. Väestöennuste'!K276*1000</f>
        <v>293.6072533655842</v>
      </c>
      <c r="AC276" s="41">
        <f>J276/'1. Väestöennuste'!L276*1000</f>
        <v>305.73165108640728</v>
      </c>
      <c r="AD276" s="41">
        <f>K276/'1. Väestöennuste'!M276*1000</f>
        <v>327.58560692152594</v>
      </c>
      <c r="AE276" s="41">
        <f>L276/'1. Väestöennuste'!N276*1000</f>
        <v>289.47997360250776</v>
      </c>
      <c r="AF276" s="41">
        <f>M276/'1. Väestöennuste'!O276*1000</f>
        <v>292.26439705034687</v>
      </c>
      <c r="AG276" s="41">
        <f>N276/'1. Väestöennuste'!P276*1000</f>
        <v>309.56723770005931</v>
      </c>
      <c r="AH276" s="41">
        <f>O276/'1. Väestöennuste'!Q276*1000</f>
        <v>317.72738476081372</v>
      </c>
      <c r="AI276" s="41">
        <f>P276/'1. Väestöennuste'!R276*1000</f>
        <v>325.83764401445205</v>
      </c>
    </row>
    <row r="277" spans="1:35" x14ac:dyDescent="0.25">
      <c r="A277" s="30">
        <v>854</v>
      </c>
      <c r="B277" s="31" t="s">
        <v>591</v>
      </c>
      <c r="C277" s="41">
        <v>1170</v>
      </c>
      <c r="D277" s="41">
        <v>1119</v>
      </c>
      <c r="E277" s="41">
        <v>1205</v>
      </c>
      <c r="F277" s="41">
        <v>1152</v>
      </c>
      <c r="G277" s="41">
        <v>1159</v>
      </c>
      <c r="H277" s="41">
        <v>1057</v>
      </c>
      <c r="I277" s="165">
        <v>1079.2541100000001</v>
      </c>
      <c r="J277" s="41">
        <v>1032.16254</v>
      </c>
      <c r="K277" s="41">
        <v>1069.9184399999999</v>
      </c>
      <c r="L277" s="41">
        <v>1150</v>
      </c>
      <c r="M277" s="41">
        <v>1150</v>
      </c>
      <c r="N277" s="41">
        <v>1150</v>
      </c>
      <c r="O277" s="41">
        <f t="shared" si="9"/>
        <v>1187.1062916802643</v>
      </c>
      <c r="P277" s="41">
        <f t="shared" si="9"/>
        <v>1224.2125833605287</v>
      </c>
      <c r="Q277" s="165"/>
      <c r="T277" s="34">
        <v>854</v>
      </c>
      <c r="U277" s="88" t="s">
        <v>591</v>
      </c>
      <c r="V277" s="41">
        <f>C277/'1. Väestöennuste'!E277*1000</f>
        <v>322.93679271322105</v>
      </c>
      <c r="W277" s="41">
        <f>D277/'1. Väestöennuste'!F277*1000</f>
        <v>313.88499298737725</v>
      </c>
      <c r="X277" s="41">
        <f>E277/'1. Väestöennuste'!G277*1000</f>
        <v>343.3048433048433</v>
      </c>
      <c r="Y277" s="41">
        <f>F277/'1. Väestöennuste'!H277*1000</f>
        <v>335.07853403141365</v>
      </c>
      <c r="Z277" s="41">
        <f>G277/'1. Väestöennuste'!I277*1000</f>
        <v>343.61102875778238</v>
      </c>
      <c r="AA277" s="41">
        <f>H277/'1. Väestöennuste'!J277*1000</f>
        <v>319.91525423728814</v>
      </c>
      <c r="AB277" s="41">
        <f>I277/'1. Väestöennuste'!K277*1000</f>
        <v>327.4436013349515</v>
      </c>
      <c r="AC277" s="41">
        <f>J277/'1. Väestöennuste'!L277*1000</f>
        <v>316.42015328019625</v>
      </c>
      <c r="AD277" s="41">
        <f>K277/'1. Väestöennuste'!M277*1000</f>
        <v>328.9020719335997</v>
      </c>
      <c r="AE277" s="41">
        <f>L277/'1. Väestöennuste'!N277*1000</f>
        <v>375.3263707571802</v>
      </c>
      <c r="AF277" s="41">
        <f>M277/'1. Väestöennuste'!O277*1000</f>
        <v>381.55275381552758</v>
      </c>
      <c r="AG277" s="41">
        <f>N277/'1. Väestöennuste'!P277*1000</f>
        <v>387.46630727762806</v>
      </c>
      <c r="AH277" s="41">
        <f>O277/'1. Väestöennuste'!Q277*1000</f>
        <v>406.12599783792831</v>
      </c>
      <c r="AI277" s="41">
        <f>P277/'1. Väestöennuste'!R277*1000</f>
        <v>424.92626982316159</v>
      </c>
    </row>
    <row r="278" spans="1:35" x14ac:dyDescent="0.25">
      <c r="A278" s="30">
        <v>857</v>
      </c>
      <c r="B278" s="31" t="s">
        <v>592</v>
      </c>
      <c r="C278" s="41">
        <v>1233</v>
      </c>
      <c r="D278" s="41">
        <v>1188</v>
      </c>
      <c r="E278" s="41">
        <v>1109</v>
      </c>
      <c r="F278" s="41">
        <v>1118</v>
      </c>
      <c r="G278" s="41">
        <v>1051</v>
      </c>
      <c r="H278" s="41">
        <v>1062</v>
      </c>
      <c r="I278" s="165">
        <v>1048.59789</v>
      </c>
      <c r="J278" s="41">
        <v>986.91656</v>
      </c>
      <c r="K278" s="41">
        <v>928.72293000000002</v>
      </c>
      <c r="L278" s="41">
        <v>870.30700000000002</v>
      </c>
      <c r="M278" s="41">
        <v>854.40800000000002</v>
      </c>
      <c r="N278" s="41">
        <v>798.21299999999997</v>
      </c>
      <c r="O278" s="41">
        <f t="shared" si="9"/>
        <v>823.96841252259026</v>
      </c>
      <c r="P278" s="41">
        <f t="shared" si="9"/>
        <v>849.72382504518055</v>
      </c>
      <c r="Q278" s="165"/>
      <c r="T278" s="34">
        <v>857</v>
      </c>
      <c r="U278" s="88" t="s">
        <v>592</v>
      </c>
      <c r="V278" s="41">
        <f>C278/'1. Väestöennuste'!E278*1000</f>
        <v>453.4755424788525</v>
      </c>
      <c r="W278" s="41">
        <f>D278/'1. Väestöennuste'!F278*1000</f>
        <v>449.48921679909193</v>
      </c>
      <c r="X278" s="41">
        <f>E278/'1. Väestöennuste'!G278*1000</f>
        <v>427.03118983442437</v>
      </c>
      <c r="Y278" s="41">
        <f>F278/'1. Väestöennuste'!H278*1000</f>
        <v>438.25950607604864</v>
      </c>
      <c r="Z278" s="41">
        <f>G278/'1. Väestöennuste'!I278*1000</f>
        <v>424.30359305611626</v>
      </c>
      <c r="AA278" s="41">
        <f>H278/'1. Väestöennuste'!J278*1000</f>
        <v>436.49815043156599</v>
      </c>
      <c r="AB278" s="41">
        <f>I278/'1. Väestöennuste'!K278*1000</f>
        <v>433.30491322314055</v>
      </c>
      <c r="AC278" s="41">
        <f>J278/'1. Väestöennuste'!L278*1000</f>
        <v>412.24584795321641</v>
      </c>
      <c r="AD278" s="41">
        <f>K278/'1. Väestöennuste'!M278*1000</f>
        <v>401.52309987029832</v>
      </c>
      <c r="AE278" s="41">
        <f>L278/'1. Väestöennuste'!N278*1000</f>
        <v>387.83734402852048</v>
      </c>
      <c r="AF278" s="41">
        <f>M278/'1. Väestöennuste'!O278*1000</f>
        <v>387.1354780244676</v>
      </c>
      <c r="AG278" s="41">
        <f>N278/'1. Väestöennuste'!P278*1000</f>
        <v>367.16329346826126</v>
      </c>
      <c r="AH278" s="41">
        <f>O278/'1. Väestöennuste'!Q278*1000</f>
        <v>384.67246149514017</v>
      </c>
      <c r="AI278" s="41">
        <f>P278/'1. Väestöennuste'!R278*1000</f>
        <v>402.14094890921939</v>
      </c>
    </row>
    <row r="279" spans="1:35" x14ac:dyDescent="0.25">
      <c r="A279" s="30">
        <v>858</v>
      </c>
      <c r="B279" s="31" t="s">
        <v>593</v>
      </c>
      <c r="C279" s="41">
        <v>12872</v>
      </c>
      <c r="D279" s="41">
        <v>12638</v>
      </c>
      <c r="E279" s="41">
        <v>13078</v>
      </c>
      <c r="F279" s="41">
        <v>13465</v>
      </c>
      <c r="G279" s="41">
        <v>25385</v>
      </c>
      <c r="H279" s="41">
        <v>16691</v>
      </c>
      <c r="I279" s="165">
        <v>18938.959930000001</v>
      </c>
      <c r="J279" s="41">
        <v>19602.112880000001</v>
      </c>
      <c r="K279" s="41">
        <v>24165.72048</v>
      </c>
      <c r="L279" s="41">
        <v>22273.501</v>
      </c>
      <c r="M279" s="41">
        <v>23474</v>
      </c>
      <c r="N279" s="41">
        <v>25447</v>
      </c>
      <c r="O279" s="41">
        <f t="shared" si="9"/>
        <v>26268.081569032773</v>
      </c>
      <c r="P279" s="41">
        <f t="shared" si="9"/>
        <v>27089.163138065542</v>
      </c>
      <c r="Q279" s="165"/>
      <c r="T279" s="34">
        <v>858</v>
      </c>
      <c r="U279" s="88" t="s">
        <v>593</v>
      </c>
      <c r="V279" s="41">
        <f>C279/'1. Väestöennuste'!E279*1000</f>
        <v>334.69408980992745</v>
      </c>
      <c r="W279" s="41">
        <f>D279/'1. Väestöennuste'!F279*1000</f>
        <v>327.51114336063023</v>
      </c>
      <c r="X279" s="41">
        <f>E279/'1. Väestöennuste'!G279*1000</f>
        <v>338.40500957408273</v>
      </c>
      <c r="Y279" s="41">
        <f>F279/'1. Väestöennuste'!H279*1000</f>
        <v>348.25677632940204</v>
      </c>
      <c r="Z279" s="41">
        <f>G279/'1. Väestöennuste'!I279*1000</f>
        <v>657.65952485815694</v>
      </c>
      <c r="AA279" s="41">
        <f>H279/'1. Väestöennuste'!J279*1000</f>
        <v>430.36897609777481</v>
      </c>
      <c r="AB279" s="41">
        <f>I279/'1. Väestöennuste'!K279*1000</f>
        <v>476.83568986353799</v>
      </c>
      <c r="AC279" s="41">
        <f>J279/'1. Väestöennuste'!L279*1000</f>
        <v>485.39304873217117</v>
      </c>
      <c r="AD279" s="41">
        <f>K279/'1. Väestöennuste'!M279*1000</f>
        <v>584.58852581160193</v>
      </c>
      <c r="AE279" s="41">
        <f>L279/'1. Väestöennuste'!N279*1000</f>
        <v>567.4343617048379</v>
      </c>
      <c r="AF279" s="41">
        <f>M279/'1. Väestöennuste'!O279*1000</f>
        <v>596.4074290505348</v>
      </c>
      <c r="AG279" s="41">
        <f>N279/'1. Väestöennuste'!P279*1000</f>
        <v>644.79918915494738</v>
      </c>
      <c r="AH279" s="41">
        <f>O279/'1. Väestöennuste'!Q279*1000</f>
        <v>663.83830096115173</v>
      </c>
      <c r="AI279" s="41">
        <f>P279/'1. Väestöennuste'!R279*1000</f>
        <v>682.93155695218934</v>
      </c>
    </row>
    <row r="280" spans="1:35" x14ac:dyDescent="0.25">
      <c r="A280" s="30">
        <v>859</v>
      </c>
      <c r="B280" s="31" t="s">
        <v>594</v>
      </c>
      <c r="C280" s="41">
        <v>1650</v>
      </c>
      <c r="D280" s="41">
        <v>1624</v>
      </c>
      <c r="E280" s="41">
        <v>1642</v>
      </c>
      <c r="F280" s="41">
        <v>2026</v>
      </c>
      <c r="G280" s="41">
        <v>2009</v>
      </c>
      <c r="H280" s="41">
        <v>2036</v>
      </c>
      <c r="I280" s="165">
        <v>2121.4737599999999</v>
      </c>
      <c r="J280" s="41">
        <v>1996.6689799999999</v>
      </c>
      <c r="K280" s="41">
        <v>2113.14183</v>
      </c>
      <c r="L280" s="41">
        <v>2501.2620000000002</v>
      </c>
      <c r="M280" s="41">
        <v>2900</v>
      </c>
      <c r="N280" s="41">
        <v>3200</v>
      </c>
      <c r="O280" s="41">
        <f t="shared" si="9"/>
        <v>3303.2522898929096</v>
      </c>
      <c r="P280" s="41">
        <f t="shared" si="9"/>
        <v>3406.5045797858188</v>
      </c>
      <c r="Q280" s="165"/>
      <c r="T280" s="34">
        <v>859</v>
      </c>
      <c r="U280" s="88" t="s">
        <v>594</v>
      </c>
      <c r="V280" s="41">
        <f>C280/'1. Väestöennuste'!E280*1000</f>
        <v>242.89709995583689</v>
      </c>
      <c r="W280" s="41">
        <f>D280/'1. Väestöennuste'!F280*1000</f>
        <v>240.59259259259258</v>
      </c>
      <c r="X280" s="41">
        <f>E280/'1. Väestöennuste'!G280*1000</f>
        <v>243.9821693907875</v>
      </c>
      <c r="Y280" s="41">
        <f>F280/'1. Väestöennuste'!H280*1000</f>
        <v>299.79283811778635</v>
      </c>
      <c r="Z280" s="41">
        <f>G280/'1. Väestöennuste'!I280*1000</f>
        <v>302.69700165737532</v>
      </c>
      <c r="AA280" s="41">
        <f>H280/'1. Väestöennuste'!J280*1000</f>
        <v>308.3446918067545</v>
      </c>
      <c r="AB280" s="41">
        <f>I280/'1. Väestöennuste'!K280*1000</f>
        <v>321.77669649628393</v>
      </c>
      <c r="AC280" s="41">
        <f>J280/'1. Väestöennuste'!L280*1000</f>
        <v>304.27750380981405</v>
      </c>
      <c r="AD280" s="41">
        <f>K280/'1. Väestöennuste'!M280*1000</f>
        <v>323.85315402298852</v>
      </c>
      <c r="AE280" s="41">
        <f>L280/'1. Väestöennuste'!N280*1000</f>
        <v>386.41464545033216</v>
      </c>
      <c r="AF280" s="41">
        <f>M280/'1. Väestöennuste'!O280*1000</f>
        <v>451.01088646967344</v>
      </c>
      <c r="AG280" s="41">
        <f>N280/'1. Väestöennuste'!P280*1000</f>
        <v>501.33166222779255</v>
      </c>
      <c r="AH280" s="41">
        <f>O280/'1. Väestöennuste'!Q280*1000</f>
        <v>521.26436640254212</v>
      </c>
      <c r="AI280" s="41">
        <f>P280/'1. Väestöennuste'!R280*1000</f>
        <v>541.74691154354628</v>
      </c>
    </row>
    <row r="281" spans="1:35" x14ac:dyDescent="0.25">
      <c r="A281" s="30">
        <v>886</v>
      </c>
      <c r="B281" s="31" t="s">
        <v>595</v>
      </c>
      <c r="C281" s="41">
        <v>3240</v>
      </c>
      <c r="D281" s="41">
        <v>2939</v>
      </c>
      <c r="E281" s="41">
        <v>2950</v>
      </c>
      <c r="F281" s="41">
        <v>2835</v>
      </c>
      <c r="G281" s="41">
        <v>2948</v>
      </c>
      <c r="H281" s="41">
        <v>3057</v>
      </c>
      <c r="I281" s="165">
        <v>3225.5230299999998</v>
      </c>
      <c r="J281" s="41">
        <v>3075.8690499999998</v>
      </c>
      <c r="K281" s="41">
        <v>3372.3887799999998</v>
      </c>
      <c r="L281" s="41">
        <v>3106.4224599999998</v>
      </c>
      <c r="M281" s="41">
        <v>3102.5095499999998</v>
      </c>
      <c r="N281" s="41">
        <v>3093.00704</v>
      </c>
      <c r="O281" s="41">
        <f t="shared" si="9"/>
        <v>3192.8070586046529</v>
      </c>
      <c r="P281" s="41">
        <f t="shared" si="9"/>
        <v>3292.6070772093058</v>
      </c>
      <c r="Q281" s="165"/>
      <c r="T281" s="34">
        <v>886</v>
      </c>
      <c r="U281" s="88" t="s">
        <v>595</v>
      </c>
      <c r="V281" s="41">
        <f>C281/'1. Väestöennuste'!E281*1000</f>
        <v>242.6602756141402</v>
      </c>
      <c r="W281" s="41">
        <f>D281/'1. Väestöennuste'!F281*1000</f>
        <v>220.77824519230768</v>
      </c>
      <c r="X281" s="41">
        <f>E281/'1. Väestöennuste'!G281*1000</f>
        <v>222.86016468988441</v>
      </c>
      <c r="Y281" s="41">
        <f>F281/'1. Väestöennuste'!H281*1000</f>
        <v>217.72521311727212</v>
      </c>
      <c r="Z281" s="41">
        <f>G281/'1. Väestöennuste'!I281*1000</f>
        <v>229.04203247610909</v>
      </c>
      <c r="AA281" s="41">
        <f>H281/'1. Väestöennuste'!J281*1000</f>
        <v>240.04711425206125</v>
      </c>
      <c r="AB281" s="41">
        <f>I281/'1. Väestöennuste'!K281*1000</f>
        <v>254.59965506354092</v>
      </c>
      <c r="AC281" s="41">
        <f>J281/'1. Väestöennuste'!L281*1000</f>
        <v>244.13596714024922</v>
      </c>
      <c r="AD281" s="41">
        <f>K281/'1. Väestöennuste'!M281*1000</f>
        <v>269.08072927471471</v>
      </c>
      <c r="AE281" s="41">
        <f>L281/'1. Väestöennuste'!N281*1000</f>
        <v>252.88362585477043</v>
      </c>
      <c r="AF281" s="41">
        <f>M281/'1. Väestöennuste'!O281*1000</f>
        <v>254.99379880003286</v>
      </c>
      <c r="AG281" s="41">
        <f>N281/'1. Väestöennuste'!P281*1000</f>
        <v>256.72369189907039</v>
      </c>
      <c r="AH281" s="41">
        <f>O281/'1. Väestöennuste'!Q281*1000</f>
        <v>267.69573728554144</v>
      </c>
      <c r="AI281" s="41">
        <f>P281/'1. Väestöennuste'!R281*1000</f>
        <v>279.01085308103603</v>
      </c>
    </row>
    <row r="282" spans="1:35" x14ac:dyDescent="0.25">
      <c r="A282" s="30">
        <v>887</v>
      </c>
      <c r="B282" s="31" t="s">
        <v>596</v>
      </c>
      <c r="C282" s="41">
        <v>950</v>
      </c>
      <c r="D282" s="41">
        <v>837</v>
      </c>
      <c r="E282" s="41">
        <v>1310</v>
      </c>
      <c r="F282" s="41">
        <v>1401</v>
      </c>
      <c r="G282" s="41">
        <v>1423</v>
      </c>
      <c r="H282" s="41">
        <v>1368</v>
      </c>
      <c r="I282" s="165">
        <v>1656.08988</v>
      </c>
      <c r="J282" s="41">
        <v>1378.4769899999999</v>
      </c>
      <c r="K282" s="41">
        <v>1287.8723400000001</v>
      </c>
      <c r="L282" s="41">
        <v>1201.248</v>
      </c>
      <c r="M282" s="41">
        <v>1201.248</v>
      </c>
      <c r="N282" s="41">
        <v>1201.248</v>
      </c>
      <c r="O282" s="41">
        <f t="shared" si="9"/>
        <v>1240.0078771028993</v>
      </c>
      <c r="P282" s="41">
        <f t="shared" si="9"/>
        <v>1278.7677542057986</v>
      </c>
      <c r="Q282" s="165"/>
      <c r="T282" s="34">
        <v>887</v>
      </c>
      <c r="U282" s="88" t="s">
        <v>596</v>
      </c>
      <c r="V282" s="41">
        <f>C282/'1. Väestöennuste'!E282*1000</f>
        <v>192.77597402597402</v>
      </c>
      <c r="W282" s="41">
        <f>D282/'1. Väestöennuste'!F282*1000</f>
        <v>172.29312474269244</v>
      </c>
      <c r="X282" s="41">
        <f>E282/'1. Väestöennuste'!G282*1000</f>
        <v>271.27769724580656</v>
      </c>
      <c r="Y282" s="41">
        <f>F282/'1. Väestöennuste'!H282*1000</f>
        <v>292.36227045075123</v>
      </c>
      <c r="Z282" s="41">
        <f>G282/'1. Väestöennuste'!I282*1000</f>
        <v>303.5409556313993</v>
      </c>
      <c r="AA282" s="41">
        <f>H282/'1. Väestöennuste'!J282*1000</f>
        <v>294.57364341085275</v>
      </c>
      <c r="AB282" s="41">
        <f>I282/'1. Väestöennuste'!K282*1000</f>
        <v>354.69905333047762</v>
      </c>
      <c r="AC282" s="41">
        <f>J282/'1. Väestöennuste'!L282*1000</f>
        <v>301.70212081418254</v>
      </c>
      <c r="AD282" s="41">
        <f>K282/'1. Väestöennuste'!M282*1000</f>
        <v>281.93352451838882</v>
      </c>
      <c r="AE282" s="41">
        <f>L282/'1. Väestöennuste'!N282*1000</f>
        <v>270.67327625056333</v>
      </c>
      <c r="AF282" s="41">
        <f>M282/'1. Väestöennuste'!O282*1000</f>
        <v>273.63280182232347</v>
      </c>
      <c r="AG282" s="41">
        <f>N282/'1. Väestöennuste'!P282*1000</f>
        <v>276.40312931431203</v>
      </c>
      <c r="AH282" s="41">
        <f>O282/'1. Väestöennuste'!Q282*1000</f>
        <v>287.97210336806768</v>
      </c>
      <c r="AI282" s="41">
        <f>P282/'1. Väestöennuste'!R282*1000</f>
        <v>299.75802958410657</v>
      </c>
    </row>
    <row r="283" spans="1:35" x14ac:dyDescent="0.25">
      <c r="A283" s="30">
        <v>889</v>
      </c>
      <c r="B283" s="31" t="s">
        <v>597</v>
      </c>
      <c r="C283" s="41">
        <v>1096</v>
      </c>
      <c r="D283" s="41">
        <v>1737</v>
      </c>
      <c r="E283" s="41">
        <v>1273</v>
      </c>
      <c r="F283" s="41">
        <v>1053</v>
      </c>
      <c r="G283" s="41">
        <v>1153</v>
      </c>
      <c r="H283" s="41">
        <v>1113</v>
      </c>
      <c r="I283" s="165">
        <v>1216.1070199999999</v>
      </c>
      <c r="J283" s="41">
        <v>1289.67498</v>
      </c>
      <c r="K283" s="41">
        <v>1214.6948300000001</v>
      </c>
      <c r="L283" s="41">
        <v>1183.7629999999999</v>
      </c>
      <c r="M283" s="41">
        <v>1268.7629999999999</v>
      </c>
      <c r="N283" s="41">
        <v>1343.5</v>
      </c>
      <c r="O283" s="41">
        <f t="shared" si="9"/>
        <v>1386.8498285847263</v>
      </c>
      <c r="P283" s="41">
        <f t="shared" si="9"/>
        <v>1430.1996571694524</v>
      </c>
      <c r="Q283" s="165"/>
      <c r="T283" s="34">
        <v>889</v>
      </c>
      <c r="U283" s="88" t="s">
        <v>597</v>
      </c>
      <c r="V283" s="41">
        <f>C283/'1. Väestöennuste'!E283*1000</f>
        <v>383.08283816847256</v>
      </c>
      <c r="W283" s="41">
        <f>D283/'1. Väestöennuste'!F283*1000</f>
        <v>615.08498583569406</v>
      </c>
      <c r="X283" s="41">
        <f>E283/'1. Väestöennuste'!G283*1000</f>
        <v>459.89884393063585</v>
      </c>
      <c r="Y283" s="41">
        <f>F283/'1. Väestöennuste'!H283*1000</f>
        <v>389.71132494448557</v>
      </c>
      <c r="Z283" s="41">
        <f>G283/'1. Väestöennuste'!I283*1000</f>
        <v>430.86696562032881</v>
      </c>
      <c r="AA283" s="41">
        <f>H283/'1. Väestöennuste'!J283*1000</f>
        <v>424.97136311569301</v>
      </c>
      <c r="AB283" s="41">
        <f>I283/'1. Väestöennuste'!K283*1000</f>
        <v>473.56192367601238</v>
      </c>
      <c r="AC283" s="41">
        <f>J283/'1. Väestöennuste'!L283*1000</f>
        <v>511.16725326991673</v>
      </c>
      <c r="AD283" s="41">
        <f>K283/'1. Väestöennuste'!M283*1000</f>
        <v>487.63341228422325</v>
      </c>
      <c r="AE283" s="41">
        <f>L283/'1. Väestöennuste'!N283*1000</f>
        <v>486.54459515002054</v>
      </c>
      <c r="AF283" s="41">
        <f>M283/'1. Väestöennuste'!O283*1000</f>
        <v>529.31289111389231</v>
      </c>
      <c r="AG283" s="41">
        <f>N283/'1. Väestöennuste'!P283*1000</f>
        <v>568.55691917054594</v>
      </c>
      <c r="AH283" s="41">
        <f>O283/'1. Väestöennuste'!Q283*1000</f>
        <v>594.70404313238691</v>
      </c>
      <c r="AI283" s="41">
        <f>P283/'1. Väestöennuste'!R283*1000</f>
        <v>620.74637897979699</v>
      </c>
    </row>
    <row r="284" spans="1:35" x14ac:dyDescent="0.25">
      <c r="A284" s="30">
        <v>890</v>
      </c>
      <c r="B284" s="31" t="s">
        <v>598</v>
      </c>
      <c r="C284" s="41">
        <v>506</v>
      </c>
      <c r="D284" s="41">
        <v>521</v>
      </c>
      <c r="E284" s="41">
        <v>551</v>
      </c>
      <c r="F284" s="41">
        <v>566</v>
      </c>
      <c r="G284" s="41">
        <v>650</v>
      </c>
      <c r="H284" s="41">
        <v>645</v>
      </c>
      <c r="I284" s="165">
        <v>762.60321999999996</v>
      </c>
      <c r="J284" s="41">
        <v>681.77719999999999</v>
      </c>
      <c r="K284" s="41">
        <v>781.87801999999999</v>
      </c>
      <c r="L284" s="41">
        <v>720</v>
      </c>
      <c r="M284" s="41">
        <v>695</v>
      </c>
      <c r="N284" s="41">
        <v>660</v>
      </c>
      <c r="O284" s="41">
        <f t="shared" si="9"/>
        <v>681.29578479041254</v>
      </c>
      <c r="P284" s="41">
        <f t="shared" si="9"/>
        <v>702.59156958082508</v>
      </c>
      <c r="Q284" s="165"/>
      <c r="T284" s="34">
        <v>890</v>
      </c>
      <c r="U284" s="88" t="s">
        <v>598</v>
      </c>
      <c r="V284" s="41">
        <f>C284/'1. Väestöennuste'!E284*1000</f>
        <v>404.8</v>
      </c>
      <c r="W284" s="41">
        <f>D284/'1. Väestöennuste'!F284*1000</f>
        <v>419.82272360999195</v>
      </c>
      <c r="X284" s="41">
        <f>E284/'1. Väestöennuste'!G284*1000</f>
        <v>443.63929146537845</v>
      </c>
      <c r="Y284" s="41">
        <f>F284/'1. Väestöennuste'!H284*1000</f>
        <v>459.41558441558436</v>
      </c>
      <c r="Z284" s="41">
        <f>G284/'1. Väestöennuste'!I284*1000</f>
        <v>536.30363036303629</v>
      </c>
      <c r="AA284" s="41">
        <f>H284/'1. Väestöennuste'!J284*1000</f>
        <v>529.12223133716168</v>
      </c>
      <c r="AB284" s="41">
        <f>I284/'1. Väestöennuste'!K284*1000</f>
        <v>648.47212585034003</v>
      </c>
      <c r="AC284" s="41">
        <f>J284/'1. Väestöennuste'!L284*1000</f>
        <v>577.77728813559327</v>
      </c>
      <c r="AD284" s="41">
        <f>K284/'1. Väestöennuste'!M284*1000</f>
        <v>686.46007023704999</v>
      </c>
      <c r="AE284" s="41">
        <f>L284/'1. Väestöennuste'!N284*1000</f>
        <v>601.00166944908187</v>
      </c>
      <c r="AF284" s="41">
        <f>M284/'1. Väestöennuste'!O284*1000</f>
        <v>581.58995815899584</v>
      </c>
      <c r="AG284" s="41">
        <f>N284/'1. Väestöennuste'!P284*1000</f>
        <v>553.22715842414084</v>
      </c>
      <c r="AH284" s="41">
        <f>O284/'1. Väestöennuste'!Q284*1000</f>
        <v>571.55686643490992</v>
      </c>
      <c r="AI284" s="41">
        <f>P284/'1. Väestöennuste'!R284*1000</f>
        <v>589.42245770203454</v>
      </c>
    </row>
    <row r="285" spans="1:35" x14ac:dyDescent="0.25">
      <c r="A285" s="30">
        <v>892</v>
      </c>
      <c r="B285" s="31" t="s">
        <v>599</v>
      </c>
      <c r="C285" s="41">
        <v>1070</v>
      </c>
      <c r="D285" s="41">
        <v>1060</v>
      </c>
      <c r="E285" s="41">
        <v>1461</v>
      </c>
      <c r="F285" s="41">
        <v>1282</v>
      </c>
      <c r="G285" s="41">
        <v>1355</v>
      </c>
      <c r="H285" s="41">
        <v>1755</v>
      </c>
      <c r="I285" s="165">
        <v>1322.8677600000001</v>
      </c>
      <c r="J285" s="41">
        <v>1143.2601599999998</v>
      </c>
      <c r="K285" s="41">
        <v>1122.8764900000001</v>
      </c>
      <c r="L285" s="41">
        <v>1108.4269999999999</v>
      </c>
      <c r="M285" s="41">
        <v>1225</v>
      </c>
      <c r="N285" s="41">
        <v>1225</v>
      </c>
      <c r="O285" s="41">
        <f t="shared" si="9"/>
        <v>1264.5262672246295</v>
      </c>
      <c r="P285" s="41">
        <f t="shared" si="9"/>
        <v>1304.0525344492587</v>
      </c>
      <c r="Q285" s="165"/>
      <c r="T285" s="34">
        <v>892</v>
      </c>
      <c r="U285" s="88" t="s">
        <v>599</v>
      </c>
      <c r="V285" s="41">
        <f>C285/'1. Väestöennuste'!E285*1000</f>
        <v>291.87124931805778</v>
      </c>
      <c r="W285" s="41">
        <f>D285/'1. Väestöennuste'!F285*1000</f>
        <v>285.17621737960718</v>
      </c>
      <c r="X285" s="41">
        <f>E285/'1. Väestöennuste'!G285*1000</f>
        <v>389.91192954363493</v>
      </c>
      <c r="Y285" s="41">
        <f>F285/'1. Väestöennuste'!H285*1000</f>
        <v>338.88448321438011</v>
      </c>
      <c r="Z285" s="41">
        <f>G285/'1. Väestöennuste'!I285*1000</f>
        <v>368.10649280086932</v>
      </c>
      <c r="AA285" s="41">
        <f>H285/'1. Väestöennuste'!J285*1000</f>
        <v>481.34942402633027</v>
      </c>
      <c r="AB285" s="41">
        <f>I285/'1. Väestöennuste'!K285*1000</f>
        <v>364.02525041276834</v>
      </c>
      <c r="AC285" s="41">
        <f>J285/'1. Väestöennuste'!L285*1000</f>
        <v>318.27955456570152</v>
      </c>
      <c r="AD285" s="41">
        <f>K285/'1. Väestöennuste'!M285*1000</f>
        <v>310.61590318118954</v>
      </c>
      <c r="AE285" s="41">
        <f>L285/'1. Väestöennuste'!N285*1000</f>
        <v>302.68350628072091</v>
      </c>
      <c r="AF285" s="41">
        <f>M285/'1. Väestöennuste'!O285*1000</f>
        <v>335.15731874145007</v>
      </c>
      <c r="AG285" s="41">
        <f>N285/'1. Väestöennuste'!P285*1000</f>
        <v>336.44603131007966</v>
      </c>
      <c r="AH285" s="41">
        <f>O285/'1. Väestöennuste'!Q285*1000</f>
        <v>348.8348323378288</v>
      </c>
      <c r="AI285" s="41">
        <f>P285/'1. Väestöennuste'!R285*1000</f>
        <v>361.83477648425605</v>
      </c>
    </row>
    <row r="286" spans="1:35" x14ac:dyDescent="0.25">
      <c r="A286" s="30">
        <v>893</v>
      </c>
      <c r="B286" s="31" t="s">
        <v>600</v>
      </c>
      <c r="C286" s="41">
        <v>1795</v>
      </c>
      <c r="D286" s="41">
        <v>1810</v>
      </c>
      <c r="E286" s="41">
        <v>2009</v>
      </c>
      <c r="F286" s="41">
        <v>2143</v>
      </c>
      <c r="G286" s="41">
        <v>2205</v>
      </c>
      <c r="H286" s="41">
        <v>2789</v>
      </c>
      <c r="I286" s="165">
        <v>3047.8830699999999</v>
      </c>
      <c r="J286" s="41">
        <v>3052.3261899999998</v>
      </c>
      <c r="K286" s="41">
        <v>2476.5020499999996</v>
      </c>
      <c r="L286" s="41">
        <v>3150</v>
      </c>
      <c r="M286" s="41">
        <v>3300</v>
      </c>
      <c r="N286" s="41">
        <v>3500</v>
      </c>
      <c r="O286" s="41">
        <f t="shared" si="9"/>
        <v>3612.9321920703696</v>
      </c>
      <c r="P286" s="41">
        <f t="shared" si="9"/>
        <v>3725.8643841407393</v>
      </c>
      <c r="Q286" s="165"/>
      <c r="T286" s="34">
        <v>893</v>
      </c>
      <c r="U286" s="88" t="s">
        <v>600</v>
      </c>
      <c r="V286" s="41">
        <f>C286/'1. Väestöennuste'!E286*1000</f>
        <v>237.30830248545743</v>
      </c>
      <c r="W286" s="41">
        <f>D286/'1. Väestöennuste'!F286*1000</f>
        <v>240.81958488557746</v>
      </c>
      <c r="X286" s="41">
        <f>E286/'1. Väestöennuste'!G286*1000</f>
        <v>267.11873421087626</v>
      </c>
      <c r="Y286" s="41">
        <f>F286/'1. Väestöennuste'!H286*1000</f>
        <v>287.45808182427902</v>
      </c>
      <c r="Z286" s="41">
        <f>G286/'1. Väestöennuste'!I286*1000</f>
        <v>295.41800643086816</v>
      </c>
      <c r="AA286" s="41">
        <f>H286/'1. Väestöennuste'!J286*1000</f>
        <v>372.91081695413823</v>
      </c>
      <c r="AB286" s="41">
        <f>I286/'1. Väestöennuste'!K286*1000</f>
        <v>406.54702814459114</v>
      </c>
      <c r="AC286" s="41">
        <f>J286/'1. Väestöennuste'!L286*1000</f>
        <v>410.59001748722085</v>
      </c>
      <c r="AD286" s="41">
        <f>K286/'1. Väestöennuste'!M286*1000</f>
        <v>330.20027333333331</v>
      </c>
      <c r="AE286" s="41">
        <f>L286/'1. Väestöennuste'!N286*1000</f>
        <v>423.72881355932202</v>
      </c>
      <c r="AF286" s="41">
        <f>M286/'1. Väestöennuste'!O286*1000</f>
        <v>444.86384470207599</v>
      </c>
      <c r="AG286" s="41">
        <f>N286/'1. Väestöennuste'!P286*1000</f>
        <v>473.29276538201486</v>
      </c>
      <c r="AH286" s="41">
        <f>O286/'1. Väestöennuste'!Q286*1000</f>
        <v>490.22146432433783</v>
      </c>
      <c r="AI286" s="41">
        <f>P286/'1. Väestöennuste'!R286*1000</f>
        <v>507.74930282648398</v>
      </c>
    </row>
    <row r="287" spans="1:35" x14ac:dyDescent="0.25">
      <c r="A287" s="30">
        <v>895</v>
      </c>
      <c r="B287" s="31" t="s">
        <v>601</v>
      </c>
      <c r="C287" s="41">
        <v>5299</v>
      </c>
      <c r="D287" s="41">
        <v>5418</v>
      </c>
      <c r="E287" s="41">
        <v>5859</v>
      </c>
      <c r="F287" s="41">
        <v>6026</v>
      </c>
      <c r="G287" s="41">
        <v>6628</v>
      </c>
      <c r="H287" s="41">
        <v>7560</v>
      </c>
      <c r="I287" s="165">
        <v>7437.6290399999998</v>
      </c>
      <c r="J287" s="41">
        <v>9382.7073499999988</v>
      </c>
      <c r="K287" s="41">
        <v>6940.5024100000001</v>
      </c>
      <c r="L287" s="41">
        <v>7846.5540000000001</v>
      </c>
      <c r="M287" s="41">
        <v>13165.867</v>
      </c>
      <c r="N287" s="41">
        <v>10341.93</v>
      </c>
      <c r="O287" s="41">
        <f t="shared" si="9"/>
        <v>10675.626235753805</v>
      </c>
      <c r="P287" s="41">
        <f t="shared" si="9"/>
        <v>11009.32247150761</v>
      </c>
      <c r="Q287" s="165"/>
      <c r="T287" s="34">
        <v>895</v>
      </c>
      <c r="U287" s="88" t="s">
        <v>601</v>
      </c>
      <c r="V287" s="41">
        <f>C287/'1. Väestöennuste'!E287*1000</f>
        <v>341.65054803352672</v>
      </c>
      <c r="W287" s="41">
        <f>D287/'1. Väestöennuste'!F287*1000</f>
        <v>351.72682420150608</v>
      </c>
      <c r="X287" s="41">
        <f>E287/'1. Väestöennuste'!G287*1000</f>
        <v>371.95276790248852</v>
      </c>
      <c r="Y287" s="41">
        <f>F287/'1. Väestöennuste'!H287*1000</f>
        <v>383.82165605095543</v>
      </c>
      <c r="Z287" s="41">
        <f>G287/'1. Väestöennuste'!I287*1000</f>
        <v>427.00682901687924</v>
      </c>
      <c r="AA287" s="41">
        <f>H287/'1. Väestöennuste'!J287*1000</f>
        <v>491.61139289894658</v>
      </c>
      <c r="AB287" s="41">
        <f>I287/'1. Väestöennuste'!K287*1000</f>
        <v>480.99521696954019</v>
      </c>
      <c r="AC287" s="41">
        <f>J287/'1. Väestöennuste'!L287*1000</f>
        <v>621.70072554996011</v>
      </c>
      <c r="AD287" s="41">
        <f>K287/'1. Väestöennuste'!M287*1000</f>
        <v>464.62059244878833</v>
      </c>
      <c r="AE287" s="41">
        <f>L287/'1. Väestöennuste'!N287*1000</f>
        <v>521.40035882782911</v>
      </c>
      <c r="AF287" s="41">
        <f>M287/'1. Väestöennuste'!O287*1000</f>
        <v>880.01249916449433</v>
      </c>
      <c r="AG287" s="41">
        <f>N287/'1. Väestöennuste'!P287*1000</f>
        <v>695.20906157569243</v>
      </c>
      <c r="AH287" s="41">
        <f>O287/'1. Väestöennuste'!Q287*1000</f>
        <v>721.81380904352977</v>
      </c>
      <c r="AI287" s="41">
        <f>P287/'1. Väestöennuste'!R287*1000</f>
        <v>748.52614029831454</v>
      </c>
    </row>
    <row r="288" spans="1:35" x14ac:dyDescent="0.25">
      <c r="A288" s="30">
        <v>905</v>
      </c>
      <c r="B288" s="31" t="s">
        <v>602</v>
      </c>
      <c r="C288" s="41">
        <v>29291</v>
      </c>
      <c r="D288" s="41">
        <v>31292</v>
      </c>
      <c r="E288" s="41">
        <v>31999</v>
      </c>
      <c r="F288" s="41">
        <v>31204</v>
      </c>
      <c r="G288" s="41">
        <v>28828</v>
      </c>
      <c r="H288" s="41">
        <v>29268</v>
      </c>
      <c r="I288" s="165">
        <v>32020.975019999998</v>
      </c>
      <c r="J288" s="41">
        <v>31973.348480000001</v>
      </c>
      <c r="K288" s="41">
        <v>33670.148070000003</v>
      </c>
      <c r="L288" s="41">
        <v>33627.800000000003</v>
      </c>
      <c r="M288" s="41">
        <v>33500</v>
      </c>
      <c r="N288" s="41">
        <v>34000</v>
      </c>
      <c r="O288" s="41">
        <f t="shared" si="9"/>
        <v>35097.055580112166</v>
      </c>
      <c r="P288" s="41">
        <f t="shared" si="9"/>
        <v>36194.111160224325</v>
      </c>
      <c r="Q288" s="165"/>
      <c r="T288" s="34">
        <v>905</v>
      </c>
      <c r="U288" s="88" t="s">
        <v>602</v>
      </c>
      <c r="V288" s="41">
        <f>C288/'1. Väestöennuste'!E288*1000</f>
        <v>433.17706561765186</v>
      </c>
      <c r="W288" s="41">
        <f>D288/'1. Väestöennuste'!F288*1000</f>
        <v>462.76249630286895</v>
      </c>
      <c r="X288" s="41">
        <f>E288/'1. Väestöennuste'!G288*1000</f>
        <v>474.81896961063632</v>
      </c>
      <c r="Y288" s="41">
        <f>F288/'1. Väestöennuste'!H288*1000</f>
        <v>461.9256276646139</v>
      </c>
      <c r="Z288" s="41">
        <f>G288/'1. Väestöennuste'!I288*1000</f>
        <v>426.22272162753563</v>
      </c>
      <c r="AA288" s="41">
        <f>H288/'1. Väestöennuste'!J288*1000</f>
        <v>433.27263845094814</v>
      </c>
      <c r="AB288" s="41">
        <f>I288/'1. Väestöennuste'!K288*1000</f>
        <v>473.57797855505436</v>
      </c>
      <c r="AC288" s="41">
        <f>J288/'1. Väestöennuste'!L288*1000</f>
        <v>470.27929163970111</v>
      </c>
      <c r="AD288" s="41">
        <f>K288/'1. Väestöennuste'!M288*1000</f>
        <v>488.28453028017873</v>
      </c>
      <c r="AE288" s="41">
        <f>L288/'1. Väestöennuste'!N288*1000</f>
        <v>496.8866823292995</v>
      </c>
      <c r="AF288" s="41">
        <f>M288/'1. Väestöennuste'!O288*1000</f>
        <v>495.01292944218693</v>
      </c>
      <c r="AG288" s="41">
        <f>N288/'1. Väestöennuste'!P288*1000</f>
        <v>502.36406619385343</v>
      </c>
      <c r="AH288" s="41">
        <f>O288/'1. Väestöennuste'!Q288*1000</f>
        <v>518.47392758648846</v>
      </c>
      <c r="AI288" s="41">
        <f>P288/'1. Väestöennuste'!R288*1000</f>
        <v>534.55391691243892</v>
      </c>
    </row>
    <row r="289" spans="1:35" x14ac:dyDescent="0.25">
      <c r="A289" s="30">
        <v>908</v>
      </c>
      <c r="B289" s="31" t="s">
        <v>603</v>
      </c>
      <c r="C289" s="41">
        <v>8359</v>
      </c>
      <c r="D289" s="41">
        <v>8526</v>
      </c>
      <c r="E289" s="41">
        <v>8280</v>
      </c>
      <c r="F289" s="41">
        <v>7895</v>
      </c>
      <c r="G289" s="41">
        <v>7703</v>
      </c>
      <c r="H289" s="41">
        <v>8597</v>
      </c>
      <c r="I289" s="165">
        <v>9178.0089399999997</v>
      </c>
      <c r="J289" s="41">
        <v>9177.2055999999993</v>
      </c>
      <c r="K289" s="41">
        <v>9511.8847899999982</v>
      </c>
      <c r="L289" s="41">
        <v>9200</v>
      </c>
      <c r="M289" s="41">
        <v>9900</v>
      </c>
      <c r="N289" s="41">
        <v>9900</v>
      </c>
      <c r="O289" s="41">
        <f t="shared" si="9"/>
        <v>10219.436771856188</v>
      </c>
      <c r="P289" s="41">
        <f t="shared" si="9"/>
        <v>10538.873543712376</v>
      </c>
      <c r="Q289" s="165"/>
      <c r="T289" s="34">
        <v>908</v>
      </c>
      <c r="U289" s="88" t="s">
        <v>603</v>
      </c>
      <c r="V289" s="41">
        <f>C289/'1. Väestöennuste'!E289*1000</f>
        <v>391.85261578848679</v>
      </c>
      <c r="W289" s="41">
        <f>D289/'1. Väestöennuste'!F289*1000</f>
        <v>399.41909491239574</v>
      </c>
      <c r="X289" s="41">
        <f>E289/'1. Väestöennuste'!G289*1000</f>
        <v>391.74867524602575</v>
      </c>
      <c r="Y289" s="41">
        <f>F289/'1. Väestöennuste'!H289*1000</f>
        <v>373.51563608837586</v>
      </c>
      <c r="Z289" s="41">
        <f>G289/'1. Väestöennuste'!I289*1000</f>
        <v>367.29925615105856</v>
      </c>
      <c r="AA289" s="41">
        <f>H289/'1. Väestöennuste'!J289*1000</f>
        <v>414.01396580784979</v>
      </c>
      <c r="AB289" s="41">
        <f>I289/'1. Väestöennuste'!K289*1000</f>
        <v>443.48919739067406</v>
      </c>
      <c r="AC289" s="41">
        <f>J289/'1. Väestöennuste'!L289*1000</f>
        <v>443.27902236390861</v>
      </c>
      <c r="AD289" s="41">
        <f>K289/'1. Väestöennuste'!M289*1000</f>
        <v>459.64457282304039</v>
      </c>
      <c r="AE289" s="41">
        <f>L289/'1. Väestöennuste'!N289*1000</f>
        <v>454.2088373241175</v>
      </c>
      <c r="AF289" s="41">
        <f>M289/'1. Väestöennuste'!O289*1000</f>
        <v>491.60790545237859</v>
      </c>
      <c r="AG289" s="41">
        <f>N289/'1. Väestöennuste'!P289*1000</f>
        <v>494.4560982918789</v>
      </c>
      <c r="AH289" s="41">
        <f>O289/'1. Väestöennuste'!Q289*1000</f>
        <v>513.43633299116698</v>
      </c>
      <c r="AI289" s="41">
        <f>P289/'1. Väestöennuste'!R289*1000</f>
        <v>532.72372965234672</v>
      </c>
    </row>
    <row r="290" spans="1:35" x14ac:dyDescent="0.25">
      <c r="A290" s="30">
        <v>915</v>
      </c>
      <c r="B290" s="31" t="s">
        <v>604</v>
      </c>
      <c r="C290" s="41">
        <v>5023</v>
      </c>
      <c r="D290" s="41">
        <v>5487</v>
      </c>
      <c r="E290" s="41">
        <v>5949</v>
      </c>
      <c r="F290" s="41">
        <v>9169</v>
      </c>
      <c r="G290" s="41">
        <v>8994</v>
      </c>
      <c r="H290" s="41">
        <v>8723</v>
      </c>
      <c r="I290" s="165">
        <v>10426.88025</v>
      </c>
      <c r="J290" s="41">
        <v>7366.7477399999998</v>
      </c>
      <c r="K290" s="41">
        <v>7632.3066100000005</v>
      </c>
      <c r="L290" s="41">
        <v>7524.4939999999997</v>
      </c>
      <c r="M290" s="41">
        <v>7500</v>
      </c>
      <c r="N290" s="41">
        <v>7600</v>
      </c>
      <c r="O290" s="41">
        <f t="shared" si="9"/>
        <v>7845.2241884956602</v>
      </c>
      <c r="P290" s="41">
        <f t="shared" si="9"/>
        <v>8090.4483769913195</v>
      </c>
      <c r="Q290" s="165"/>
      <c r="T290" s="34">
        <v>915</v>
      </c>
      <c r="U290" s="88" t="s">
        <v>604</v>
      </c>
      <c r="V290" s="41">
        <f>C290/'1. Väestöennuste'!E290*1000</f>
        <v>232.13790553655605</v>
      </c>
      <c r="W290" s="41">
        <f>D290/'1. Väestöennuste'!F290*1000</f>
        <v>255.58971492453887</v>
      </c>
      <c r="X290" s="41">
        <f>E290/'1. Väestöennuste'!G290*1000</f>
        <v>281.2101158118648</v>
      </c>
      <c r="Y290" s="41">
        <f>F290/'1. Väestöennuste'!H290*1000</f>
        <v>440.20356234096693</v>
      </c>
      <c r="Z290" s="41">
        <f>G290/'1. Väestöennuste'!I290*1000</f>
        <v>439.4605687481677</v>
      </c>
      <c r="AA290" s="41">
        <f>H290/'1. Väestöennuste'!J290*1000</f>
        <v>430.17062826708747</v>
      </c>
      <c r="AB290" s="41">
        <f>I290/'1. Väestöennuste'!K290*1000</f>
        <v>522.04877835077355</v>
      </c>
      <c r="AC290" s="41">
        <f>J290/'1. Väestöennuste'!L290*1000</f>
        <v>372.82998835973478</v>
      </c>
      <c r="AD290" s="41">
        <f>K290/'1. Väestöennuste'!M290*1000</f>
        <v>386.89646727834946</v>
      </c>
      <c r="AE290" s="41">
        <f>L290/'1. Väestöennuste'!N290*1000</f>
        <v>390.80159966760152</v>
      </c>
      <c r="AF290" s="41">
        <f>M290/'1. Väestöennuste'!O290*1000</f>
        <v>394.30103569738714</v>
      </c>
      <c r="AG290" s="41">
        <f>N290/'1. Väestöennuste'!P290*1000</f>
        <v>404.31983827206471</v>
      </c>
      <c r="AH290" s="41">
        <f>O290/'1. Väestöennuste'!Q290*1000</f>
        <v>422.19482232782588</v>
      </c>
      <c r="AI290" s="41">
        <f>P290/'1. Väestöennuste'!R290*1000</f>
        <v>440.41635149653348</v>
      </c>
    </row>
    <row r="291" spans="1:35" x14ac:dyDescent="0.25">
      <c r="A291" s="30">
        <v>918</v>
      </c>
      <c r="B291" s="31" t="s">
        <v>605</v>
      </c>
      <c r="C291" s="41">
        <v>391</v>
      </c>
      <c r="D291" s="41">
        <v>992</v>
      </c>
      <c r="E291" s="41">
        <v>395</v>
      </c>
      <c r="F291" s="41">
        <v>378</v>
      </c>
      <c r="G291" s="41">
        <v>637</v>
      </c>
      <c r="H291" s="41">
        <v>735</v>
      </c>
      <c r="I291" s="165">
        <v>716.91314</v>
      </c>
      <c r="J291" s="41">
        <v>733.20407999999998</v>
      </c>
      <c r="K291" s="41">
        <v>956.34751000000006</v>
      </c>
      <c r="L291" s="41">
        <v>651.14700000000005</v>
      </c>
      <c r="M291" s="41">
        <v>651.14700000000005</v>
      </c>
      <c r="N291" s="41">
        <v>651.14700000000005</v>
      </c>
      <c r="O291" s="41">
        <f t="shared" si="9"/>
        <v>672.15713087715574</v>
      </c>
      <c r="P291" s="41">
        <f t="shared" si="9"/>
        <v>693.16726175431143</v>
      </c>
      <c r="Q291" s="165"/>
      <c r="T291" s="34">
        <v>918</v>
      </c>
      <c r="U291" s="88" t="s">
        <v>605</v>
      </c>
      <c r="V291" s="41">
        <f>C291/'1. Väestöennuste'!E291*1000</f>
        <v>171.792618629174</v>
      </c>
      <c r="W291" s="41">
        <f>D291/'1. Väestöennuste'!F291*1000</f>
        <v>435.6609574000878</v>
      </c>
      <c r="X291" s="41">
        <f>E291/'1. Väestöennuste'!G291*1000</f>
        <v>170.55267702936098</v>
      </c>
      <c r="Y291" s="41">
        <f>F291/'1. Väestöennuste'!H291*1000</f>
        <v>165.42669584245075</v>
      </c>
      <c r="Z291" s="41">
        <f>G291/'1. Väestöennuste'!I291*1000</f>
        <v>277.80200610553857</v>
      </c>
      <c r="AA291" s="41">
        <f>H291/'1. Väestöennuste'!J291*1000</f>
        <v>320.68062827225128</v>
      </c>
      <c r="AB291" s="41">
        <f>I291/'1. Väestöennuste'!K291*1000</f>
        <v>315.68169969176574</v>
      </c>
      <c r="AC291" s="41">
        <f>J291/'1. Väestöennuste'!L291*1000</f>
        <v>329.08621184919207</v>
      </c>
      <c r="AD291" s="41">
        <f>K291/'1. Väestöennuste'!M291*1000</f>
        <v>425.98998218262807</v>
      </c>
      <c r="AE291" s="41">
        <f>L291/'1. Väestöennuste'!N291*1000</f>
        <v>280.42506459948322</v>
      </c>
      <c r="AF291" s="41">
        <f>M291/'1. Väestöennuste'!O291*1000</f>
        <v>279.94282029234739</v>
      </c>
      <c r="AG291" s="41">
        <f>N291/'1. Väestöennuste'!P291*1000</f>
        <v>279.34234234234236</v>
      </c>
      <c r="AH291" s="41">
        <f>O291/'1. Väestöennuste'!Q291*1000</f>
        <v>287.61537478697289</v>
      </c>
      <c r="AI291" s="41">
        <f>P291/'1. Väestöennuste'!R291*1000</f>
        <v>295.97235770892888</v>
      </c>
    </row>
    <row r="292" spans="1:35" x14ac:dyDescent="0.25">
      <c r="A292" s="30">
        <v>921</v>
      </c>
      <c r="B292" s="31" t="s">
        <v>606</v>
      </c>
      <c r="C292" s="41">
        <v>671</v>
      </c>
      <c r="D292" s="41">
        <v>647</v>
      </c>
      <c r="E292" s="41">
        <v>735</v>
      </c>
      <c r="F292" s="41">
        <v>1677</v>
      </c>
      <c r="G292" s="41">
        <v>627</v>
      </c>
      <c r="H292" s="41">
        <v>628</v>
      </c>
      <c r="I292" s="165">
        <v>725.06414000000007</v>
      </c>
      <c r="J292" s="41">
        <v>817.98581999999999</v>
      </c>
      <c r="K292" s="41">
        <v>912.34821999999997</v>
      </c>
      <c r="L292" s="41">
        <v>772.58</v>
      </c>
      <c r="M292" s="41">
        <v>759.48</v>
      </c>
      <c r="N292" s="41">
        <v>812.13</v>
      </c>
      <c r="O292" s="41">
        <f t="shared" si="9"/>
        <v>838.33446318460267</v>
      </c>
      <c r="P292" s="41">
        <f t="shared" si="9"/>
        <v>864.53892636920534</v>
      </c>
      <c r="Q292" s="165"/>
      <c r="T292" s="34">
        <v>921</v>
      </c>
      <c r="U292" s="88" t="s">
        <v>606</v>
      </c>
      <c r="V292" s="41">
        <f>C292/'1. Väestöennuste'!E292*1000</f>
        <v>306.25285257873122</v>
      </c>
      <c r="W292" s="41">
        <f>D292/'1. Väestöennuste'!F292*1000</f>
        <v>301.21042830540034</v>
      </c>
      <c r="X292" s="41">
        <f>E292/'1. Väestöennuste'!G292*1000</f>
        <v>351.00286532951293</v>
      </c>
      <c r="Y292" s="41">
        <f>F292/'1. Väestöennuste'!H292*1000</f>
        <v>814.86880466472303</v>
      </c>
      <c r="Z292" s="41">
        <f>G292/'1. Väestöennuste'!I292*1000</f>
        <v>311.32075471698113</v>
      </c>
      <c r="AA292" s="41">
        <f>H292/'1. Väestöennuste'!J292*1000</f>
        <v>318.45841784989858</v>
      </c>
      <c r="AB292" s="41">
        <f>I292/'1. Väestöennuste'!K292*1000</f>
        <v>373.55184956208143</v>
      </c>
      <c r="AC292" s="41">
        <f>J292/'1. Väestöennuste'!L292*1000</f>
        <v>431.88269271383319</v>
      </c>
      <c r="AD292" s="41">
        <f>K292/'1. Väestöennuste'!M292*1000</f>
        <v>481.45024802110817</v>
      </c>
      <c r="AE292" s="41">
        <f>L292/'1. Väestöennuste'!N292*1000</f>
        <v>426.13348041919477</v>
      </c>
      <c r="AF292" s="41">
        <f>M292/'1. Väestöennuste'!O292*1000</f>
        <v>426.67415730337075</v>
      </c>
      <c r="AG292" s="41">
        <f>N292/'1. Väestöennuste'!P292*1000</f>
        <v>464.60526315789474</v>
      </c>
      <c r="AH292" s="41">
        <f>O292/'1. Väestöennuste'!Q292*1000</f>
        <v>487.97116599802246</v>
      </c>
      <c r="AI292" s="41">
        <f>P292/'1. Väestöennuste'!R292*1000</f>
        <v>511.86437322037028</v>
      </c>
    </row>
    <row r="293" spans="1:35" x14ac:dyDescent="0.25">
      <c r="A293" s="30">
        <v>922</v>
      </c>
      <c r="B293" s="31" t="s">
        <v>607</v>
      </c>
      <c r="C293" s="41">
        <v>1762</v>
      </c>
      <c r="D293" s="41">
        <v>1546</v>
      </c>
      <c r="E293" s="41">
        <v>1602</v>
      </c>
      <c r="F293" s="41">
        <v>1532</v>
      </c>
      <c r="G293" s="41">
        <v>1566</v>
      </c>
      <c r="H293" s="41">
        <v>1522</v>
      </c>
      <c r="I293" s="165">
        <v>1482.1226899999999</v>
      </c>
      <c r="J293" s="41">
        <v>1356.5371200000002</v>
      </c>
      <c r="K293" s="41">
        <v>1389.00424</v>
      </c>
      <c r="L293" s="41">
        <v>1588.4169999999999</v>
      </c>
      <c r="M293" s="41">
        <v>2068.6419999999998</v>
      </c>
      <c r="N293" s="41">
        <v>2101.857</v>
      </c>
      <c r="O293" s="41">
        <f t="shared" si="9"/>
        <v>2169.6762338367002</v>
      </c>
      <c r="P293" s="41">
        <f t="shared" si="9"/>
        <v>2237.4954676734005</v>
      </c>
      <c r="Q293" s="165"/>
      <c r="T293" s="34">
        <v>922</v>
      </c>
      <c r="U293" s="88" t="s">
        <v>607</v>
      </c>
      <c r="V293" s="41">
        <f>C293/'1. Väestöennuste'!E293*1000</f>
        <v>392.51503675651594</v>
      </c>
      <c r="W293" s="41">
        <f>D293/'1. Väestöennuste'!F293*1000</f>
        <v>346.48139847601971</v>
      </c>
      <c r="X293" s="41">
        <f>E293/'1. Väestöennuste'!G293*1000</f>
        <v>359.19282511210764</v>
      </c>
      <c r="Y293" s="41">
        <f>F293/'1. Väestöennuste'!H293*1000</f>
        <v>348.7366264511723</v>
      </c>
      <c r="Z293" s="41">
        <f>G293/'1. Väestöennuste'!I293*1000</f>
        <v>359.58668197474168</v>
      </c>
      <c r="AA293" s="41">
        <f>H293/'1. Väestöennuste'!J293*1000</f>
        <v>348.52301351041905</v>
      </c>
      <c r="AB293" s="41">
        <f>I293/'1. Väestöennuste'!K293*1000</f>
        <v>333.51095634563455</v>
      </c>
      <c r="AC293" s="41">
        <f>J293/'1. Väestöennuste'!L293*1000</f>
        <v>301.38571872917134</v>
      </c>
      <c r="AD293" s="41">
        <f>K293/'1. Väestöennuste'!M293*1000</f>
        <v>310.80873573506381</v>
      </c>
      <c r="AE293" s="41">
        <f>L293/'1. Väestöennuste'!N293*1000</f>
        <v>369.31341548477099</v>
      </c>
      <c r="AF293" s="41">
        <f>M293/'1. Väestöennuste'!O293*1000</f>
        <v>482.20093240093234</v>
      </c>
      <c r="AG293" s="41">
        <f>N293/'1. Väestöennuste'!P293*1000</f>
        <v>490.62955182072824</v>
      </c>
      <c r="AH293" s="41">
        <f>O293/'1. Väestöennuste'!Q293*1000</f>
        <v>507.1706951464937</v>
      </c>
      <c r="AI293" s="41">
        <f>P293/'1. Väestöennuste'!R293*1000</f>
        <v>523.75830235800572</v>
      </c>
    </row>
    <row r="294" spans="1:35" x14ac:dyDescent="0.25">
      <c r="A294" s="30">
        <v>924</v>
      </c>
      <c r="B294" s="31" t="s">
        <v>608</v>
      </c>
      <c r="C294" s="41">
        <v>1319</v>
      </c>
      <c r="D294" s="41">
        <v>1225</v>
      </c>
      <c r="E294" s="41">
        <v>1198</v>
      </c>
      <c r="F294" s="41">
        <v>1216</v>
      </c>
      <c r="G294" s="41">
        <v>1042</v>
      </c>
      <c r="H294" s="41">
        <v>1084</v>
      </c>
      <c r="I294" s="165">
        <v>1019.95137</v>
      </c>
      <c r="J294" s="41">
        <v>1052.1398700000002</v>
      </c>
      <c r="K294" s="41">
        <v>966.39442000000008</v>
      </c>
      <c r="L294" s="41">
        <v>1014.95</v>
      </c>
      <c r="M294" s="41">
        <v>1016.41</v>
      </c>
      <c r="N294" s="41">
        <v>1014.95</v>
      </c>
      <c r="O294" s="41">
        <f t="shared" si="9"/>
        <v>1047.6987223833778</v>
      </c>
      <c r="P294" s="41">
        <f t="shared" si="9"/>
        <v>1080.4474447667553</v>
      </c>
      <c r="Q294" s="165"/>
      <c r="T294" s="34">
        <v>924</v>
      </c>
      <c r="U294" s="88" t="s">
        <v>608</v>
      </c>
      <c r="V294" s="41">
        <f>C294/'1. Väestöennuste'!E294*1000</f>
        <v>399.45487583282858</v>
      </c>
      <c r="W294" s="41">
        <f>D294/'1. Väestöennuste'!F294*1000</f>
        <v>375.88217244553545</v>
      </c>
      <c r="X294" s="41">
        <f>E294/'1. Väestöennuste'!G294*1000</f>
        <v>372.5124378109453</v>
      </c>
      <c r="Y294" s="41">
        <f>F294/'1. Väestöennuste'!H294*1000</f>
        <v>384.08085912823753</v>
      </c>
      <c r="Z294" s="41">
        <f>G294/'1. Väestöennuste'!I294*1000</f>
        <v>334.61785484906869</v>
      </c>
      <c r="AA294" s="41">
        <f>H294/'1. Väestöennuste'!J294*1000</f>
        <v>353.67047308319735</v>
      </c>
      <c r="AB294" s="41">
        <f>I294/'1. Väestöennuste'!K294*1000</f>
        <v>339.53108189081229</v>
      </c>
      <c r="AC294" s="41">
        <f>J294/'1. Väestöennuste'!L294*1000</f>
        <v>357.14184317718951</v>
      </c>
      <c r="AD294" s="41">
        <f>K294/'1. Väestöennuste'!M294*1000</f>
        <v>329.15341280653956</v>
      </c>
      <c r="AE294" s="41">
        <f>L294/'1. Väestöennuste'!N294*1000</f>
        <v>351.55871146518882</v>
      </c>
      <c r="AF294" s="41">
        <f>M294/'1. Väestöennuste'!O294*1000</f>
        <v>357.51319029194514</v>
      </c>
      <c r="AG294" s="41">
        <f>N294/'1. Väestöennuste'!P294*1000</f>
        <v>362.3527311674402</v>
      </c>
      <c r="AH294" s="41">
        <f>O294/'1. Väestöennuste'!Q294*1000</f>
        <v>379.87625902225449</v>
      </c>
      <c r="AI294" s="41">
        <f>P294/'1. Väestöennuste'!R294*1000</f>
        <v>397.80833754298794</v>
      </c>
    </row>
    <row r="295" spans="1:35" x14ac:dyDescent="0.25">
      <c r="A295" s="30">
        <v>925</v>
      </c>
      <c r="B295" s="31" t="s">
        <v>609</v>
      </c>
      <c r="C295" s="41">
        <v>711</v>
      </c>
      <c r="D295" s="41">
        <v>867</v>
      </c>
      <c r="E295" s="41">
        <v>1086</v>
      </c>
      <c r="F295" s="41">
        <v>1977</v>
      </c>
      <c r="G295" s="41">
        <v>1317</v>
      </c>
      <c r="H295" s="41">
        <v>997</v>
      </c>
      <c r="I295" s="165">
        <v>1062.6021699999999</v>
      </c>
      <c r="J295" s="41">
        <v>1059.63905</v>
      </c>
      <c r="K295" s="41">
        <v>1107.5050900000001</v>
      </c>
      <c r="L295" s="41">
        <v>1248.2560000000001</v>
      </c>
      <c r="M295" s="41">
        <v>1375.91</v>
      </c>
      <c r="N295" s="41">
        <v>1489.27</v>
      </c>
      <c r="O295" s="41">
        <f t="shared" si="9"/>
        <v>1537.3232930527543</v>
      </c>
      <c r="P295" s="41">
        <f t="shared" si="9"/>
        <v>1585.3765861055083</v>
      </c>
      <c r="Q295" s="165"/>
      <c r="T295" s="34">
        <v>925</v>
      </c>
      <c r="U295" s="88" t="s">
        <v>609</v>
      </c>
      <c r="V295" s="41">
        <f>C295/'1. Väestöennuste'!E295*1000</f>
        <v>189.24673941974979</v>
      </c>
      <c r="W295" s="41">
        <f>D295/'1. Väestöennuste'!F295*1000</f>
        <v>233.00188121472723</v>
      </c>
      <c r="X295" s="41">
        <f>E295/'1. Väestöennuste'!G295*1000</f>
        <v>294.708276797829</v>
      </c>
      <c r="Y295" s="41">
        <f>F295/'1. Väestöennuste'!H295*1000</f>
        <v>537.81284004352563</v>
      </c>
      <c r="Z295" s="41">
        <f>G295/'1. Väestöennuste'!I295*1000</f>
        <v>367.97988264878455</v>
      </c>
      <c r="AA295" s="41">
        <f>H295/'1. Väestöennuste'!J295*1000</f>
        <v>283.07779670641679</v>
      </c>
      <c r="AB295" s="41">
        <f>I295/'1. Väestöennuste'!K295*1000</f>
        <v>304.47053581661885</v>
      </c>
      <c r="AC295" s="41">
        <f>J295/'1. Väestöennuste'!L295*1000</f>
        <v>309.20310767435075</v>
      </c>
      <c r="AD295" s="41">
        <f>K295/'1. Väestöennuste'!M295*1000</f>
        <v>326.98703572483026</v>
      </c>
      <c r="AE295" s="41">
        <f>L295/'1. Väestöennuste'!N295*1000</f>
        <v>373.05917513448895</v>
      </c>
      <c r="AF295" s="41">
        <f>M295/'1. Väestöennuste'!O295*1000</f>
        <v>415.80840132970684</v>
      </c>
      <c r="AG295" s="41">
        <f>N295/'1. Väestöennuste'!P295*1000</f>
        <v>455.29501681442986</v>
      </c>
      <c r="AH295" s="41">
        <f>O295/'1. Väestöennuste'!Q295*1000</f>
        <v>475.06900279751369</v>
      </c>
      <c r="AI295" s="41">
        <f>P295/'1. Väestöennuste'!R295*1000</f>
        <v>495.27540959247369</v>
      </c>
    </row>
    <row r="296" spans="1:35" x14ac:dyDescent="0.25">
      <c r="A296" s="30">
        <v>927</v>
      </c>
      <c r="B296" s="31" t="s">
        <v>610</v>
      </c>
      <c r="C296" s="41">
        <v>9150</v>
      </c>
      <c r="D296" s="41">
        <v>9476</v>
      </c>
      <c r="E296" s="41">
        <v>9813</v>
      </c>
      <c r="F296" s="41">
        <v>9939</v>
      </c>
      <c r="G296" s="41">
        <v>10508</v>
      </c>
      <c r="H296" s="41">
        <v>11667</v>
      </c>
      <c r="I296" s="165">
        <v>11809.172630000001</v>
      </c>
      <c r="J296" s="41">
        <v>11080.20724</v>
      </c>
      <c r="K296" s="41">
        <v>10141.802900000001</v>
      </c>
      <c r="L296" s="41">
        <v>13743.769</v>
      </c>
      <c r="M296" s="41">
        <v>15390.136</v>
      </c>
      <c r="N296" s="41">
        <v>16532.378000000001</v>
      </c>
      <c r="O296" s="41">
        <f t="shared" si="9"/>
        <v>17065.817339335987</v>
      </c>
      <c r="P296" s="41">
        <f t="shared" si="9"/>
        <v>17599.256678671973</v>
      </c>
      <c r="Q296" s="165"/>
      <c r="T296" s="34">
        <v>927</v>
      </c>
      <c r="U296" s="88" t="s">
        <v>610</v>
      </c>
      <c r="V296" s="41">
        <f>C296/'1. Väestöennuste'!E296*1000</f>
        <v>316.40098205332134</v>
      </c>
      <c r="W296" s="41">
        <f>D296/'1. Väestöennuste'!F296*1000</f>
        <v>327.13087306245035</v>
      </c>
      <c r="X296" s="41">
        <f>E296/'1. Väestöennuste'!G296*1000</f>
        <v>337.75039581468991</v>
      </c>
      <c r="Y296" s="41">
        <f>F296/'1. Väestöennuste'!H296*1000</f>
        <v>340.24853651021874</v>
      </c>
      <c r="Z296" s="41">
        <f>G296/'1. Väestöennuste'!I296*1000</f>
        <v>360.38137046436657</v>
      </c>
      <c r="AA296" s="41">
        <f>H296/'1. Väestöennuste'!J296*1000</f>
        <v>400.10288065843616</v>
      </c>
      <c r="AB296" s="41">
        <f>I296/'1. Väestöennuste'!K296*1000</f>
        <v>403.88428571428574</v>
      </c>
      <c r="AC296" s="41">
        <f>J296/'1. Väestöennuste'!L296*1000</f>
        <v>383.22578909141214</v>
      </c>
      <c r="AD296" s="41">
        <f>K296/'1. Väestöennuste'!M296*1000</f>
        <v>352.01148519662627</v>
      </c>
      <c r="AE296" s="41">
        <f>L296/'1. Väestöennuste'!N296*1000</f>
        <v>468.59082850323904</v>
      </c>
      <c r="AF296" s="41">
        <f>M296/'1. Väestöennuste'!O296*1000</f>
        <v>523.84819088464553</v>
      </c>
      <c r="AG296" s="41">
        <f>N296/'1. Väestöennuste'!P296*1000</f>
        <v>561.90530895248457</v>
      </c>
      <c r="AH296" s="41">
        <f>O296/'1. Väestöennuste'!Q296*1000</f>
        <v>579.24843321349499</v>
      </c>
      <c r="AI296" s="41">
        <f>P296/'1. Väestöennuste'!R296*1000</f>
        <v>596.6861053965747</v>
      </c>
    </row>
    <row r="297" spans="1:35" x14ac:dyDescent="0.25">
      <c r="A297" s="30">
        <v>931</v>
      </c>
      <c r="B297" s="31" t="s">
        <v>611</v>
      </c>
      <c r="C297" s="41">
        <v>2351</v>
      </c>
      <c r="D297" s="41">
        <v>2503</v>
      </c>
      <c r="E297" s="41">
        <v>2455</v>
      </c>
      <c r="F297" s="41">
        <v>2488</v>
      </c>
      <c r="G297" s="41">
        <v>2654</v>
      </c>
      <c r="H297" s="41">
        <v>2541</v>
      </c>
      <c r="I297" s="165">
        <v>2643.8373099999999</v>
      </c>
      <c r="J297" s="41">
        <v>2842.23153</v>
      </c>
      <c r="K297" s="41">
        <v>2819.27781</v>
      </c>
      <c r="L297" s="41">
        <v>2803.192</v>
      </c>
      <c r="M297" s="41">
        <v>3100</v>
      </c>
      <c r="N297" s="41">
        <v>3350</v>
      </c>
      <c r="O297" s="41">
        <f t="shared" si="9"/>
        <v>3458.0922409816394</v>
      </c>
      <c r="P297" s="41">
        <f t="shared" si="9"/>
        <v>3566.1844819632788</v>
      </c>
      <c r="Q297" s="165"/>
      <c r="T297" s="34">
        <v>931</v>
      </c>
      <c r="U297" s="88" t="s">
        <v>611</v>
      </c>
      <c r="V297" s="41">
        <f>C297/'1. Väestöennuste'!E297*1000</f>
        <v>352.68526852685267</v>
      </c>
      <c r="W297" s="41">
        <f>D297/'1. Väestöennuste'!F297*1000</f>
        <v>378.84062358105041</v>
      </c>
      <c r="X297" s="41">
        <f>E297/'1. Väestöennuste'!G297*1000</f>
        <v>382.93557947278117</v>
      </c>
      <c r="Y297" s="41">
        <f>F297/'1. Väestöennuste'!H297*1000</f>
        <v>397.19029374201784</v>
      </c>
      <c r="Z297" s="41">
        <f>G297/'1. Väestöennuste'!I297*1000</f>
        <v>429.72797927461136</v>
      </c>
      <c r="AA297" s="41">
        <f>H297/'1. Väestöennuste'!J297*1000</f>
        <v>416.76234213547644</v>
      </c>
      <c r="AB297" s="41">
        <f>I297/'1. Väestöennuste'!K297*1000</f>
        <v>435.5580411861614</v>
      </c>
      <c r="AC297" s="41">
        <f>J297/'1. Väestöennuste'!L297*1000</f>
        <v>477.60570156276253</v>
      </c>
      <c r="AD297" s="41">
        <f>K297/'1. Väestöennuste'!M297*1000</f>
        <v>479.71376722817763</v>
      </c>
      <c r="AE297" s="41">
        <f>L297/'1. Väestöennuste'!N297*1000</f>
        <v>493.17241379310343</v>
      </c>
      <c r="AF297" s="41">
        <f>M297/'1. Väestöennuste'!O297*1000</f>
        <v>553.86814364838312</v>
      </c>
      <c r="AG297" s="41">
        <f>N297/'1. Väestöennuste'!P297*1000</f>
        <v>607.54443235400799</v>
      </c>
      <c r="AH297" s="41">
        <f>O297/'1. Väestöennuste'!Q297*1000</f>
        <v>636.38061114862705</v>
      </c>
      <c r="AI297" s="41">
        <f>P297/'1. Väestöennuste'!R297*1000</f>
        <v>665.33292573941776</v>
      </c>
    </row>
    <row r="298" spans="1:35" x14ac:dyDescent="0.25">
      <c r="A298" s="30">
        <v>934</v>
      </c>
      <c r="B298" s="31" t="s">
        <v>612</v>
      </c>
      <c r="C298" s="41">
        <v>722</v>
      </c>
      <c r="D298" s="41">
        <v>868</v>
      </c>
      <c r="E298" s="41">
        <v>864</v>
      </c>
      <c r="F298" s="41">
        <v>857</v>
      </c>
      <c r="G298" s="41">
        <v>940</v>
      </c>
      <c r="H298" s="41">
        <v>980</v>
      </c>
      <c r="I298" s="165">
        <v>1067.71615</v>
      </c>
      <c r="J298" s="41">
        <v>1038.9871800000001</v>
      </c>
      <c r="K298" s="41">
        <v>1000.9636400000001</v>
      </c>
      <c r="L298" s="41">
        <v>885.63099999999997</v>
      </c>
      <c r="M298" s="41">
        <v>1060</v>
      </c>
      <c r="N298" s="41">
        <v>1060</v>
      </c>
      <c r="O298" s="41">
        <f t="shared" si="9"/>
        <v>1094.2023210270263</v>
      </c>
      <c r="P298" s="41">
        <f t="shared" si="9"/>
        <v>1128.4046420540526</v>
      </c>
      <c r="Q298" s="165"/>
      <c r="T298" s="34">
        <v>934</v>
      </c>
      <c r="U298" s="88" t="s">
        <v>612</v>
      </c>
      <c r="V298" s="41">
        <f>C298/'1. Väestöennuste'!E298*1000</f>
        <v>234.9495606898796</v>
      </c>
      <c r="W298" s="41">
        <f>D298/'1. Väestöennuste'!F298*1000</f>
        <v>286.94214876033061</v>
      </c>
      <c r="X298" s="41">
        <f>E298/'1. Väestöennuste'!G298*1000</f>
        <v>290.51782111634162</v>
      </c>
      <c r="Y298" s="41">
        <f>F298/'1. Väestöennuste'!H298*1000</f>
        <v>295.41537400896243</v>
      </c>
      <c r="Z298" s="41">
        <f>G298/'1. Väestöennuste'!I298*1000</f>
        <v>332.50795896710292</v>
      </c>
      <c r="AA298" s="41">
        <f>H298/'1. Väestöennuste'!J298*1000</f>
        <v>352.01149425287355</v>
      </c>
      <c r="AB298" s="41">
        <f>I298/'1. Väestöennuste'!K298*1000</f>
        <v>387.415148766328</v>
      </c>
      <c r="AC298" s="41">
        <f>J298/'1. Väestöennuste'!L298*1000</f>
        <v>388.98808685885439</v>
      </c>
      <c r="AD298" s="41">
        <f>K298/'1. Väestöennuste'!M298*1000</f>
        <v>376.86884036144579</v>
      </c>
      <c r="AE298" s="41">
        <f>L298/'1. Väestöennuste'!N298*1000</f>
        <v>346.62661448140898</v>
      </c>
      <c r="AF298" s="41">
        <f>M298/'1. Väestöennuste'!O298*1000</f>
        <v>423.66107114308556</v>
      </c>
      <c r="AG298" s="41">
        <f>N298/'1. Väestöennuste'!P298*1000</f>
        <v>431.94784026079867</v>
      </c>
      <c r="AH298" s="41">
        <f>O298/'1. Väestöennuste'!Q298*1000</f>
        <v>454.21433002367218</v>
      </c>
      <c r="AI298" s="41">
        <f>P298/'1. Väestöennuste'!R298*1000</f>
        <v>476.52223059715061</v>
      </c>
    </row>
    <row r="299" spans="1:35" x14ac:dyDescent="0.25">
      <c r="A299" s="30">
        <v>935</v>
      </c>
      <c r="B299" s="31" t="s">
        <v>613</v>
      </c>
      <c r="C299" s="41">
        <v>1079</v>
      </c>
      <c r="D299" s="41">
        <v>1160</v>
      </c>
      <c r="E299" s="41">
        <v>1290</v>
      </c>
      <c r="F299" s="41">
        <v>1760</v>
      </c>
      <c r="G299" s="41">
        <v>1429</v>
      </c>
      <c r="H299" s="41">
        <v>1381</v>
      </c>
      <c r="I299" s="165">
        <v>1362.57726</v>
      </c>
      <c r="J299" s="41">
        <v>1410.68904</v>
      </c>
      <c r="K299" s="41">
        <v>1511.8759700000001</v>
      </c>
      <c r="L299" s="41">
        <v>1503.2</v>
      </c>
      <c r="M299" s="41">
        <v>1503.2</v>
      </c>
      <c r="N299" s="41">
        <v>1557.616</v>
      </c>
      <c r="O299" s="41">
        <f t="shared" si="9"/>
        <v>1607.874568366823</v>
      </c>
      <c r="P299" s="41">
        <f t="shared" si="9"/>
        <v>1658.1331367336461</v>
      </c>
      <c r="Q299" s="165"/>
      <c r="T299" s="34">
        <v>935</v>
      </c>
      <c r="U299" s="88" t="s">
        <v>613</v>
      </c>
      <c r="V299" s="41">
        <f>C299/'1. Väestöennuste'!E299*1000</f>
        <v>322.37824917836872</v>
      </c>
      <c r="W299" s="41">
        <f>D299/'1. Väestöennuste'!F299*1000</f>
        <v>355.06580961126417</v>
      </c>
      <c r="X299" s="41">
        <f>E299/'1. Väestöennuste'!G299*1000</f>
        <v>402.24508886810099</v>
      </c>
      <c r="Y299" s="41">
        <f>F299/'1. Väestöennuste'!H299*1000</f>
        <v>558.73015873015879</v>
      </c>
      <c r="Z299" s="41">
        <f>G299/'1. Väestöennuste'!I299*1000</f>
        <v>459.63332261177226</v>
      </c>
      <c r="AA299" s="41">
        <f>H299/'1. Väestöennuste'!J299*1000</f>
        <v>447.35989633948822</v>
      </c>
      <c r="AB299" s="41">
        <f>I299/'1. Väestöennuste'!K299*1000</f>
        <v>448.21620394736846</v>
      </c>
      <c r="AC299" s="41">
        <f>J299/'1. Väestöennuste'!L299*1000</f>
        <v>472.59264321608043</v>
      </c>
      <c r="AD299" s="41">
        <f>K299/'1. Väestöennuste'!M299*1000</f>
        <v>516.52749231294843</v>
      </c>
      <c r="AE299" s="41">
        <f>L299/'1. Väestöennuste'!N299*1000</f>
        <v>516.20879120879124</v>
      </c>
      <c r="AF299" s="41">
        <f>M299/'1. Väestöennuste'!O299*1000</f>
        <v>522.67037552155773</v>
      </c>
      <c r="AG299" s="41">
        <f>N299/'1. Väestöennuste'!P299*1000</f>
        <v>548.07037297677698</v>
      </c>
      <c r="AH299" s="41">
        <f>O299/'1. Väestöennuste'!Q299*1000</f>
        <v>572.40105673436199</v>
      </c>
      <c r="AI299" s="41">
        <f>P299/'1. Väestöennuste'!R299*1000</f>
        <v>597.31020775707714</v>
      </c>
    </row>
    <row r="300" spans="1:35" x14ac:dyDescent="0.25">
      <c r="A300" s="30">
        <v>936</v>
      </c>
      <c r="B300" s="31" t="s">
        <v>614</v>
      </c>
      <c r="C300" s="41">
        <v>3440</v>
      </c>
      <c r="D300" s="41">
        <v>3085</v>
      </c>
      <c r="E300" s="41">
        <v>5665</v>
      </c>
      <c r="F300" s="41">
        <v>3655</v>
      </c>
      <c r="G300" s="41">
        <v>3917</v>
      </c>
      <c r="H300" s="41">
        <v>3855</v>
      </c>
      <c r="I300" s="165">
        <v>4306.55872</v>
      </c>
      <c r="J300" s="41">
        <v>4126.3042299999997</v>
      </c>
      <c r="K300" s="41">
        <v>4224.9144800000004</v>
      </c>
      <c r="L300" s="41">
        <v>3513.3339999999998</v>
      </c>
      <c r="M300" s="41">
        <v>3518.3339999999998</v>
      </c>
      <c r="N300" s="41">
        <v>3518.3339999999998</v>
      </c>
      <c r="O300" s="41">
        <f t="shared" si="9"/>
        <v>3631.8577631587746</v>
      </c>
      <c r="P300" s="41">
        <f t="shared" si="9"/>
        <v>3745.3815263175493</v>
      </c>
      <c r="Q300" s="165"/>
      <c r="T300" s="34">
        <v>936</v>
      </c>
      <c r="U300" s="88" t="s">
        <v>614</v>
      </c>
      <c r="V300" s="41">
        <f>C300/'1. Väestöennuste'!E300*1000</f>
        <v>491.28820337046557</v>
      </c>
      <c r="W300" s="41">
        <f>D300/'1. Väestöennuste'!F300*1000</f>
        <v>446.00260228422729</v>
      </c>
      <c r="X300" s="41">
        <f>E300/'1. Väestöennuste'!G300*1000</f>
        <v>827.73232028053769</v>
      </c>
      <c r="Y300" s="41">
        <f>F300/'1. Väestöennuste'!H300*1000</f>
        <v>542.36533610327945</v>
      </c>
      <c r="Z300" s="41">
        <f>G300/'1. Väestöennuste'!I300*1000</f>
        <v>598.56356968215164</v>
      </c>
      <c r="AA300" s="41">
        <f>H300/'1. Väestöennuste'!J300*1000</f>
        <v>592.16589861751152</v>
      </c>
      <c r="AB300" s="41">
        <f>I300/'1. Väestöennuste'!K300*1000</f>
        <v>666.13437277648882</v>
      </c>
      <c r="AC300" s="41">
        <f>J300/'1. Väestöennuste'!L300*1000</f>
        <v>645.23912900703669</v>
      </c>
      <c r="AD300" s="41">
        <f>K300/'1. Väestöennuste'!M300*1000</f>
        <v>673.29314422310756</v>
      </c>
      <c r="AE300" s="41">
        <f>L300/'1. Väestöennuste'!N300*1000</f>
        <v>573.04420159843414</v>
      </c>
      <c r="AF300" s="41">
        <f>M300/'1. Väestöennuste'!O300*1000</f>
        <v>581.73511904761904</v>
      </c>
      <c r="AG300" s="41">
        <f>N300/'1. Väestöennuste'!P300*1000</f>
        <v>589.53317694369969</v>
      </c>
      <c r="AH300" s="41">
        <f>O300/'1. Väestöennuste'!Q300*1000</f>
        <v>616.19575214773909</v>
      </c>
      <c r="AI300" s="41">
        <f>P300/'1. Väestöennuste'!R300*1000</f>
        <v>643.42579046857065</v>
      </c>
    </row>
    <row r="301" spans="1:35" x14ac:dyDescent="0.25">
      <c r="A301" s="30">
        <v>946</v>
      </c>
      <c r="B301" s="31" t="s">
        <v>615</v>
      </c>
      <c r="C301" s="41">
        <v>1602</v>
      </c>
      <c r="D301" s="41">
        <v>1598</v>
      </c>
      <c r="E301" s="41">
        <v>1510</v>
      </c>
      <c r="F301" s="41">
        <v>2140</v>
      </c>
      <c r="G301" s="41">
        <v>1694</v>
      </c>
      <c r="H301" s="41">
        <v>1643</v>
      </c>
      <c r="I301" s="41">
        <v>1643</v>
      </c>
      <c r="J301" s="41">
        <v>1946.0443799999998</v>
      </c>
      <c r="K301" s="41">
        <v>2046.6175800000001</v>
      </c>
      <c r="L301" s="41">
        <v>1981.6</v>
      </c>
      <c r="M301" s="41">
        <v>1691.1</v>
      </c>
      <c r="N301" s="41">
        <v>1749.7</v>
      </c>
      <c r="O301" s="41">
        <f t="shared" si="9"/>
        <v>1806.1564161330075</v>
      </c>
      <c r="P301" s="41">
        <f t="shared" si="9"/>
        <v>1862.6128322660147</v>
      </c>
      <c r="Q301" s="165"/>
      <c r="T301" s="34">
        <v>946</v>
      </c>
      <c r="U301" s="88" t="s">
        <v>615</v>
      </c>
      <c r="V301" s="41">
        <f>C301/'1. Väestöennuste'!E301*1000</f>
        <v>238.60589812332438</v>
      </c>
      <c r="W301" s="41">
        <f>D301/'1. Väestöennuste'!F301*1000</f>
        <v>239.0783961699581</v>
      </c>
      <c r="X301" s="41">
        <f>E301/'1. Väestöennuste'!G301*1000</f>
        <v>228.23458282950423</v>
      </c>
      <c r="Y301" s="41">
        <f>F301/'1. Väestöennuste'!H301*1000</f>
        <v>323.6050204143354</v>
      </c>
      <c r="Z301" s="41">
        <f>G301/'1. Väestöennuste'!I301*1000</f>
        <v>262.18851570964245</v>
      </c>
      <c r="AA301" s="41">
        <f>H301/'1. Väestöennuste'!J301*1000</f>
        <v>257.20100187852222</v>
      </c>
      <c r="AB301" s="41">
        <f>I301/'1. Väestöennuste'!K301*1000</f>
        <v>257.68506900878299</v>
      </c>
      <c r="AC301" s="41">
        <f>J301/'1. Väestöennuste'!L301*1000</f>
        <v>309.53465563861937</v>
      </c>
      <c r="AD301" s="41">
        <f>K301/'1. Väestöennuste'!M301*1000</f>
        <v>325.3246828803052</v>
      </c>
      <c r="AE301" s="41">
        <f>L301/'1. Väestöennuste'!N301*1000</f>
        <v>321.53172156417327</v>
      </c>
      <c r="AF301" s="41">
        <f>M301/'1. Väestöennuste'!O301*1000</f>
        <v>276.86640471512771</v>
      </c>
      <c r="AG301" s="41">
        <f>N301/'1. Väestöennuste'!P301*1000</f>
        <v>288.96779521056982</v>
      </c>
      <c r="AH301" s="41">
        <f>O301/'1. Väestöennuste'!Q301*1000</f>
        <v>301.07624873028965</v>
      </c>
      <c r="AI301" s="41">
        <f>P301/'1. Väestöennuste'!R301*1000</f>
        <v>313.51840300724029</v>
      </c>
    </row>
    <row r="302" spans="1:35" x14ac:dyDescent="0.25">
      <c r="A302" s="30">
        <v>976</v>
      </c>
      <c r="B302" s="31" t="s">
        <v>616</v>
      </c>
      <c r="C302" s="41">
        <v>948</v>
      </c>
      <c r="D302" s="41">
        <v>1372</v>
      </c>
      <c r="E302" s="41">
        <v>1584</v>
      </c>
      <c r="F302" s="41">
        <v>1461</v>
      </c>
      <c r="G302" s="41">
        <v>1500</v>
      </c>
      <c r="H302" s="41">
        <v>1368</v>
      </c>
      <c r="I302" s="165">
        <v>1372.5132599999999</v>
      </c>
      <c r="J302" s="41">
        <v>1513.93551</v>
      </c>
      <c r="K302" s="41">
        <v>1444.6979699999999</v>
      </c>
      <c r="L302" s="41">
        <v>1479.5</v>
      </c>
      <c r="M302" s="41">
        <v>1479.5</v>
      </c>
      <c r="N302" s="41">
        <v>1479.5</v>
      </c>
      <c r="O302" s="41">
        <f t="shared" si="9"/>
        <v>1527.2380509051748</v>
      </c>
      <c r="P302" s="41">
        <f t="shared" si="9"/>
        <v>1574.9761018103495</v>
      </c>
      <c r="Q302" s="165"/>
      <c r="T302" s="34">
        <v>976</v>
      </c>
      <c r="U302" s="88" t="s">
        <v>616</v>
      </c>
      <c r="V302" s="41">
        <f>C302/'1. Väestöennuste'!E302*1000</f>
        <v>220.9275227219762</v>
      </c>
      <c r="W302" s="41">
        <f>D302/'1. Väestöennuste'!F302*1000</f>
        <v>326.66666666666669</v>
      </c>
      <c r="X302" s="41">
        <f>E302/'1. Väestöennuste'!G302*1000</f>
        <v>384.65274405050997</v>
      </c>
      <c r="Y302" s="41">
        <f>F302/'1. Väestöennuste'!H302*1000</f>
        <v>363.25211337642963</v>
      </c>
      <c r="Z302" s="41">
        <f>G302/'1. Väestöennuste'!I302*1000</f>
        <v>382.84839203675347</v>
      </c>
      <c r="AA302" s="41">
        <f>H302/'1. Väestöennuste'!J302*1000</f>
        <v>351.67095115681235</v>
      </c>
      <c r="AB302" s="41">
        <f>I302/'1. Väestöennuste'!K302*1000</f>
        <v>358.35855352480417</v>
      </c>
      <c r="AC302" s="41">
        <f>J302/'1. Väestöennuste'!L302*1000</f>
        <v>399.66618532206974</v>
      </c>
      <c r="AD302" s="41">
        <f>K302/'1. Väestöennuste'!M302*1000</f>
        <v>383.71792031872508</v>
      </c>
      <c r="AE302" s="41">
        <f>L302/'1. Väestöennuste'!N302*1000</f>
        <v>411.5438108484006</v>
      </c>
      <c r="AF302" s="41">
        <f>M302/'1. Väestöennuste'!O302*1000</f>
        <v>418.17410966647822</v>
      </c>
      <c r="AG302" s="41">
        <f>N302/'1. Väestöennuste'!P302*1000</f>
        <v>424.89948305571511</v>
      </c>
      <c r="AH302" s="41">
        <f>O302/'1. Väestöennuste'!Q302*1000</f>
        <v>445.25890696943873</v>
      </c>
      <c r="AI302" s="41">
        <f>P302/'1. Väestöennuste'!R302*1000</f>
        <v>466.24514559216976</v>
      </c>
    </row>
    <row r="303" spans="1:35" x14ac:dyDescent="0.25">
      <c r="A303" s="30">
        <v>977</v>
      </c>
      <c r="B303" s="31" t="s">
        <v>617</v>
      </c>
      <c r="C303" s="41">
        <v>4100</v>
      </c>
      <c r="D303" s="41">
        <v>4188</v>
      </c>
      <c r="E303" s="41">
        <v>5066</v>
      </c>
      <c r="F303" s="41">
        <v>8634</v>
      </c>
      <c r="G303" s="41">
        <v>5846</v>
      </c>
      <c r="H303" s="41">
        <v>5799</v>
      </c>
      <c r="I303" s="165">
        <v>5499.5964899999999</v>
      </c>
      <c r="J303" s="41">
        <v>6119.49388</v>
      </c>
      <c r="K303" s="41">
        <v>7033.2747099999997</v>
      </c>
      <c r="L303" s="41">
        <v>7006.9809999999998</v>
      </c>
      <c r="M303" s="41">
        <v>7206.9809999999998</v>
      </c>
      <c r="N303" s="41">
        <v>7206.9809999999998</v>
      </c>
      <c r="O303" s="41">
        <f t="shared" si="9"/>
        <v>7439.5239035827153</v>
      </c>
      <c r="P303" s="41">
        <f t="shared" si="9"/>
        <v>7672.0668071654309</v>
      </c>
      <c r="Q303" s="165"/>
      <c r="T303" s="34">
        <v>977</v>
      </c>
      <c r="U303" s="88" t="s">
        <v>617</v>
      </c>
      <c r="V303" s="41">
        <f>C303/'1. Väestöennuste'!E303*1000</f>
        <v>272.62450960835162</v>
      </c>
      <c r="W303" s="41">
        <f>D303/'1. Väestöennuste'!F303*1000</f>
        <v>275.54444371340219</v>
      </c>
      <c r="X303" s="41">
        <f>E303/'1. Väestöennuste'!G303*1000</f>
        <v>332.17493934823943</v>
      </c>
      <c r="Y303" s="41">
        <f>F303/'1. Väestöennuste'!H303*1000</f>
        <v>567.57822771496194</v>
      </c>
      <c r="Z303" s="41">
        <f>G303/'1. Väestöennuste'!I303*1000</f>
        <v>383.21861684693545</v>
      </c>
      <c r="AA303" s="41">
        <f>H303/'1. Väestöennuste'!J303*1000</f>
        <v>378.92054364871927</v>
      </c>
      <c r="AB303" s="41">
        <f>I303/'1. Väestöennuste'!K303*1000</f>
        <v>358.11659113108027</v>
      </c>
      <c r="AC303" s="41">
        <f>J303/'1. Väestöennuste'!L303*1000</f>
        <v>400.14999542274245</v>
      </c>
      <c r="AD303" s="41">
        <f>K303/'1. Väestöennuste'!M303*1000</f>
        <v>457.62734790812669</v>
      </c>
      <c r="AE303" s="41">
        <f>L303/'1. Väestöennuste'!N303*1000</f>
        <v>453.05709297814559</v>
      </c>
      <c r="AF303" s="41">
        <f>M303/'1. Väestöennuste'!O303*1000</f>
        <v>465.38686555598599</v>
      </c>
      <c r="AG303" s="41">
        <f>N303/'1. Väestöennuste'!P303*1000</f>
        <v>465.02651955090977</v>
      </c>
      <c r="AH303" s="41">
        <f>O303/'1. Väestöennuste'!Q303*1000</f>
        <v>480.00025186029524</v>
      </c>
      <c r="AI303" s="41">
        <f>P303/'1. Väestöennuste'!R303*1000</f>
        <v>495.29159503973085</v>
      </c>
    </row>
    <row r="304" spans="1:35" x14ac:dyDescent="0.25">
      <c r="A304" s="30">
        <v>980</v>
      </c>
      <c r="B304" s="31" t="s">
        <v>618</v>
      </c>
      <c r="C304" s="41">
        <v>11667</v>
      </c>
      <c r="D304" s="41">
        <v>13175</v>
      </c>
      <c r="E304" s="41">
        <v>11111</v>
      </c>
      <c r="F304" s="41">
        <v>10656</v>
      </c>
      <c r="G304" s="41">
        <v>10231</v>
      </c>
      <c r="H304" s="41">
        <v>11036</v>
      </c>
      <c r="I304" s="165">
        <v>10873.927250000001</v>
      </c>
      <c r="J304" s="41">
        <v>11754.300539999998</v>
      </c>
      <c r="K304" s="41">
        <v>12192.396710000001</v>
      </c>
      <c r="L304" s="41">
        <v>13176.878789999999</v>
      </c>
      <c r="M304" s="41">
        <v>13700</v>
      </c>
      <c r="N304" s="41">
        <v>14400</v>
      </c>
      <c r="O304" s="41">
        <f t="shared" si="9"/>
        <v>14864.635304518093</v>
      </c>
      <c r="P304" s="41">
        <f t="shared" si="9"/>
        <v>15329.270609036184</v>
      </c>
      <c r="Q304" s="165"/>
      <c r="T304" s="34">
        <v>980</v>
      </c>
      <c r="U304" s="88" t="s">
        <v>618</v>
      </c>
      <c r="V304" s="41">
        <f>C304/'1. Väestöennuste'!E304*1000</f>
        <v>356.37485490866885</v>
      </c>
      <c r="W304" s="41">
        <f>D304/'1. Väestöennuste'!F304*1000</f>
        <v>401.68907588645999</v>
      </c>
      <c r="X304" s="41">
        <f>E304/'1. Väestöennuste'!G304*1000</f>
        <v>337.94634710140519</v>
      </c>
      <c r="Y304" s="41">
        <f>F304/'1. Väestöennuste'!H304*1000</f>
        <v>323.0755237546615</v>
      </c>
      <c r="Z304" s="41">
        <f>G304/'1. Väestöennuste'!I304*1000</f>
        <v>307.6622361219703</v>
      </c>
      <c r="AA304" s="41">
        <f>H304/'1. Väestöennuste'!J304*1000</f>
        <v>330.89469896857759</v>
      </c>
      <c r="AB304" s="41">
        <f>I304/'1. Väestöennuste'!K304*1000</f>
        <v>324.27540780723467</v>
      </c>
      <c r="AC304" s="41">
        <f>J304/'1. Väestöennuste'!L304*1000</f>
        <v>349.75750706698005</v>
      </c>
      <c r="AD304" s="41">
        <f>K304/'1. Väestöennuste'!M304*1000</f>
        <v>362.03927636072098</v>
      </c>
      <c r="AE304" s="41">
        <f>L304/'1. Väestöennuste'!N304*1000</f>
        <v>388.84760498126121</v>
      </c>
      <c r="AF304" s="41">
        <f>M304/'1. Väestöennuste'!O304*1000</f>
        <v>402.91747544262103</v>
      </c>
      <c r="AG304" s="41">
        <f>N304/'1. Väestöennuste'!P304*1000</f>
        <v>422.1883429107541</v>
      </c>
      <c r="AH304" s="41">
        <f>O304/'1. Väestöennuste'!Q304*1000</f>
        <v>434.587630233835</v>
      </c>
      <c r="AI304" s="41">
        <f>P304/'1. Väestöennuste'!R304*1000</f>
        <v>447.10000026355317</v>
      </c>
    </row>
    <row r="305" spans="1:35" x14ac:dyDescent="0.25">
      <c r="A305" s="30">
        <v>981</v>
      </c>
      <c r="B305" s="31" t="s">
        <v>619</v>
      </c>
      <c r="C305" s="41">
        <v>627</v>
      </c>
      <c r="D305" s="41">
        <v>648</v>
      </c>
      <c r="E305" s="41">
        <v>664</v>
      </c>
      <c r="F305" s="41">
        <v>620</v>
      </c>
      <c r="G305" s="41">
        <v>611</v>
      </c>
      <c r="H305" s="41">
        <v>640</v>
      </c>
      <c r="I305" s="165">
        <v>652.24396000000002</v>
      </c>
      <c r="J305" s="41">
        <v>672.75198999999998</v>
      </c>
      <c r="K305" s="41">
        <v>590.48431000000005</v>
      </c>
      <c r="L305" s="41">
        <v>595.70000000000005</v>
      </c>
      <c r="M305" s="41">
        <v>524.4</v>
      </c>
      <c r="N305" s="41">
        <v>487.2</v>
      </c>
      <c r="O305" s="41">
        <f t="shared" si="9"/>
        <v>502.92016113619547</v>
      </c>
      <c r="P305" s="41">
        <f t="shared" si="9"/>
        <v>518.6403222723909</v>
      </c>
      <c r="Q305" s="165"/>
      <c r="T305" s="34">
        <v>981</v>
      </c>
      <c r="U305" s="88" t="s">
        <v>619</v>
      </c>
      <c r="V305" s="41">
        <f>C305/'1. Väestöennuste'!E305*1000</f>
        <v>260.0580671920365</v>
      </c>
      <c r="W305" s="41">
        <f>D305/'1. Väestöennuste'!F305*1000</f>
        <v>272.04030226700252</v>
      </c>
      <c r="X305" s="41">
        <f>E305/'1. Väestöennuste'!G305*1000</f>
        <v>279.93254637436758</v>
      </c>
      <c r="Y305" s="41">
        <f>F305/'1. Väestöennuste'!H305*1000</f>
        <v>263.04624522698344</v>
      </c>
      <c r="Z305" s="41">
        <f>G305/'1. Väestöennuste'!I305*1000</f>
        <v>260.77678190354248</v>
      </c>
      <c r="AA305" s="41">
        <f>H305/'1. Väestöennuste'!J305*1000</f>
        <v>276.57735522904062</v>
      </c>
      <c r="AB305" s="41">
        <f>I305/'1. Väestöennuste'!K305*1000</f>
        <v>285.82119193689749</v>
      </c>
      <c r="AC305" s="41">
        <f>J305/'1. Väestöennuste'!L305*1000</f>
        <v>300.73848457755918</v>
      </c>
      <c r="AD305" s="41">
        <f>K305/'1. Väestöennuste'!M305*1000</f>
        <v>267.55066153149073</v>
      </c>
      <c r="AE305" s="41">
        <f>L305/'1. Väestöennuste'!N305*1000</f>
        <v>265.58181007579134</v>
      </c>
      <c r="AF305" s="41">
        <f>M305/'1. Väestöennuste'!O305*1000</f>
        <v>235.57951482479783</v>
      </c>
      <c r="AG305" s="41">
        <f>N305/'1. Väestöennuste'!P305*1000</f>
        <v>220.55228610230873</v>
      </c>
      <c r="AH305" s="41">
        <f>O305/'1. Väestöennuste'!Q305*1000</f>
        <v>229.12080233995238</v>
      </c>
      <c r="AI305" s="41">
        <f>P305/'1. Väestöennuste'!R305*1000</f>
        <v>237.90840471210592</v>
      </c>
    </row>
    <row r="306" spans="1:35" x14ac:dyDescent="0.25">
      <c r="A306" s="30">
        <v>989</v>
      </c>
      <c r="B306" s="31" t="s">
        <v>620</v>
      </c>
      <c r="C306" s="41">
        <v>1000</v>
      </c>
      <c r="D306" s="41">
        <v>980</v>
      </c>
      <c r="E306" s="41">
        <v>1206</v>
      </c>
      <c r="F306" s="41">
        <v>1491</v>
      </c>
      <c r="G306" s="41">
        <v>2945</v>
      </c>
      <c r="H306" s="41">
        <v>2697</v>
      </c>
      <c r="I306" s="165">
        <v>2718.8795399999999</v>
      </c>
      <c r="J306" s="41">
        <v>1877.16642</v>
      </c>
      <c r="K306" s="41">
        <v>1727.6126299999999</v>
      </c>
      <c r="L306" s="41">
        <v>2254.3000000000002</v>
      </c>
      <c r="M306" s="41">
        <v>2693</v>
      </c>
      <c r="N306" s="41">
        <v>2693</v>
      </c>
      <c r="O306" s="41">
        <f t="shared" si="9"/>
        <v>2779.8932552130018</v>
      </c>
      <c r="P306" s="41">
        <f t="shared" si="9"/>
        <v>2866.7865104260031</v>
      </c>
      <c r="Q306" s="165"/>
      <c r="T306" s="34">
        <v>989</v>
      </c>
      <c r="U306" s="88" t="s">
        <v>620</v>
      </c>
      <c r="V306" s="41">
        <f>C306/'1. Väestöennuste'!E306*1000</f>
        <v>164.79894528675015</v>
      </c>
      <c r="W306" s="41">
        <f>D306/'1. Väestöennuste'!F306*1000</f>
        <v>163.74269005847952</v>
      </c>
      <c r="X306" s="41">
        <f>E306/'1. Väestöennuste'!G306*1000</f>
        <v>204.1991195394514</v>
      </c>
      <c r="Y306" s="41">
        <f>F306/'1. Väestöennuste'!H306*1000</f>
        <v>261.44134665965282</v>
      </c>
      <c r="Z306" s="41">
        <f>G306/'1. Väestöennuste'!I306*1000</f>
        <v>524.39458689458684</v>
      </c>
      <c r="AA306" s="41">
        <f>H306/'1. Väestöennuste'!J306*1000</f>
        <v>488.40999637812388</v>
      </c>
      <c r="AB306" s="41">
        <f>I306/'1. Väestöennuste'!K306*1000</f>
        <v>495.78401531728662</v>
      </c>
      <c r="AC306" s="41">
        <f>J306/'1. Väestöennuste'!L306*1000</f>
        <v>347.23759156492781</v>
      </c>
      <c r="AD306" s="41">
        <f>K306/'1. Väestöennuste'!M306*1000</f>
        <v>324.98356471030849</v>
      </c>
      <c r="AE306" s="41">
        <f>L306/'1. Väestöennuste'!N306*1000</f>
        <v>436.45692158760897</v>
      </c>
      <c r="AF306" s="41">
        <f>M306/'1. Väestöennuste'!O306*1000</f>
        <v>529.3886377039513</v>
      </c>
      <c r="AG306" s="41">
        <f>N306/'1. Väestöennuste'!P306*1000</f>
        <v>537.52495009980044</v>
      </c>
      <c r="AH306" s="41">
        <f>O306/'1. Väestöennuste'!Q306*1000</f>
        <v>563.41573879469036</v>
      </c>
      <c r="AI306" s="41">
        <f>P306/'1. Väestöennuste'!R306*1000</f>
        <v>589.50987259428405</v>
      </c>
    </row>
    <row r="307" spans="1:35" x14ac:dyDescent="0.25">
      <c r="A307" s="30">
        <v>992</v>
      </c>
      <c r="B307" s="31" t="s">
        <v>621</v>
      </c>
      <c r="C307" s="41">
        <v>6163</v>
      </c>
      <c r="D307" s="41">
        <v>6988</v>
      </c>
      <c r="E307" s="41">
        <v>8580</v>
      </c>
      <c r="F307" s="41">
        <v>8840</v>
      </c>
      <c r="G307" s="41">
        <v>7152</v>
      </c>
      <c r="H307" s="41">
        <v>8599</v>
      </c>
      <c r="I307" s="165">
        <v>8952.5395200000003</v>
      </c>
      <c r="J307" s="41">
        <v>8240.7412899999999</v>
      </c>
      <c r="K307" s="41">
        <v>9216.1491100000003</v>
      </c>
      <c r="L307" s="41">
        <v>8500</v>
      </c>
      <c r="M307" s="41">
        <v>8500</v>
      </c>
      <c r="N307" s="41">
        <v>8300</v>
      </c>
      <c r="O307" s="41">
        <f t="shared" si="9"/>
        <v>8567.8106269097334</v>
      </c>
      <c r="P307" s="41">
        <f t="shared" si="9"/>
        <v>8835.6212538194668</v>
      </c>
      <c r="Q307" s="165"/>
      <c r="T307" s="34">
        <v>992</v>
      </c>
      <c r="U307" s="88" t="s">
        <v>621</v>
      </c>
      <c r="V307" s="41">
        <f>C307/'1. Väestöennuste'!E307*1000</f>
        <v>313.70253486714853</v>
      </c>
      <c r="W307" s="41">
        <f>D307/'1. Väestöennuste'!F307*1000</f>
        <v>360.68958397852788</v>
      </c>
      <c r="X307" s="41">
        <f>E307/'1. Väestöennuste'!G307*1000</f>
        <v>448.1821980777267</v>
      </c>
      <c r="Y307" s="41">
        <f>F307/'1. Väestöennuste'!H307*1000</f>
        <v>468.94063975385922</v>
      </c>
      <c r="Z307" s="41">
        <f>G307/'1. Väestöennuste'!I307*1000</f>
        <v>381.13509192645881</v>
      </c>
      <c r="AA307" s="41">
        <f>H307/'1. Väestöennuste'!J307*1000</f>
        <v>462.88421165957902</v>
      </c>
      <c r="AB307" s="41">
        <f>I307/'1. Väestöennuste'!K307*1000</f>
        <v>488.72909269570914</v>
      </c>
      <c r="AC307" s="41">
        <f>J307/'1. Väestöennuste'!L307*1000</f>
        <v>454.78704690949229</v>
      </c>
      <c r="AD307" s="41">
        <f>K307/'1. Väestöennuste'!M307*1000</f>
        <v>512.83451727783654</v>
      </c>
      <c r="AE307" s="41">
        <f>L307/'1. Väestöennuste'!N307*1000</f>
        <v>478.2804411433716</v>
      </c>
      <c r="AF307" s="41">
        <f>M307/'1. Väestöennuste'!O307*1000</f>
        <v>483.55899419729207</v>
      </c>
      <c r="AG307" s="41">
        <f>N307/'1. Väestöennuste'!P307*1000</f>
        <v>477.28579643473262</v>
      </c>
      <c r="AH307" s="41">
        <f>O307/'1. Väestöennuste'!Q307*1000</f>
        <v>497.92588056661435</v>
      </c>
      <c r="AI307" s="41">
        <f>P307/'1. Väestöennuste'!R307*1000</f>
        <v>518.79638622626192</v>
      </c>
    </row>
    <row r="309" spans="1:35" s="203" customFormat="1" x14ac:dyDescent="0.25">
      <c r="A309" s="30">
        <v>99</v>
      </c>
      <c r="B309" s="31" t="s">
        <v>358</v>
      </c>
      <c r="C309" s="41">
        <v>351</v>
      </c>
      <c r="D309" s="41">
        <v>370</v>
      </c>
      <c r="E309" s="41">
        <v>322</v>
      </c>
      <c r="F309" s="41">
        <v>286</v>
      </c>
      <c r="G309" s="41">
        <v>280</v>
      </c>
      <c r="H309" s="41">
        <f t="shared" ref="H309:N309" si="10">G309*H$6</f>
        <v>0</v>
      </c>
      <c r="I309" s="165">
        <f t="shared" si="10"/>
        <v>0</v>
      </c>
      <c r="J309" s="41">
        <f t="shared" si="10"/>
        <v>0</v>
      </c>
      <c r="K309" s="41">
        <f t="shared" si="10"/>
        <v>0</v>
      </c>
      <c r="L309" s="41">
        <f t="shared" si="10"/>
        <v>0</v>
      </c>
      <c r="M309" s="41">
        <f t="shared" si="10"/>
        <v>0</v>
      </c>
      <c r="N309" s="41">
        <f t="shared" si="10"/>
        <v>0</v>
      </c>
      <c r="O309" s="41"/>
      <c r="P309" s="41"/>
      <c r="Q309" s="165"/>
      <c r="R309" s="117"/>
      <c r="S309" s="4"/>
      <c r="T309" s="34">
        <v>99</v>
      </c>
      <c r="U309" s="88" t="s">
        <v>358</v>
      </c>
      <c r="V309" s="41" t="e">
        <f>C309/'1. Väestöennuste'!#REF!*1000</f>
        <v>#REF!</v>
      </c>
      <c r="W309" s="41" t="e">
        <f>D309/'1. Väestöennuste'!#REF!*1000</f>
        <v>#REF!</v>
      </c>
      <c r="X309" s="41" t="e">
        <f>E309/'1. Väestöennuste'!#REF!*1000</f>
        <v>#REF!</v>
      </c>
      <c r="Y309" s="41" t="e">
        <f>F309/'1. Väestöennuste'!#REF!*1000</f>
        <v>#REF!</v>
      </c>
      <c r="Z309" s="41" t="e">
        <f>G309/'1. Väestöennuste'!#REF!*1000</f>
        <v>#REF!</v>
      </c>
      <c r="AA309" s="41" t="e">
        <f>H309/'1. Väestöennuste'!#REF!*1000</f>
        <v>#REF!</v>
      </c>
      <c r="AB309" s="41" t="e">
        <f>I309/'1. Väestöennuste'!#REF!*1000</f>
        <v>#REF!</v>
      </c>
      <c r="AC309" s="41" t="e">
        <f>J309/'1. Väestöennuste'!#REF!*1000</f>
        <v>#REF!</v>
      </c>
      <c r="AD309" s="41" t="e">
        <f>K309/'1. Väestöennuste'!#REF!*1000</f>
        <v>#REF!</v>
      </c>
      <c r="AE309" s="41" t="e">
        <f>L309/'1. Väestöennuste'!#REF!*1000</f>
        <v>#REF!</v>
      </c>
      <c r="AF309" s="41" t="e">
        <f>M309/'1. Väestöennuste'!#REF!*1000</f>
        <v>#REF!</v>
      </c>
      <c r="AG309" s="41" t="e">
        <f>N309/'1. Väestöennuste'!#REF!*1000</f>
        <v>#REF!</v>
      </c>
      <c r="AH309" s="41"/>
      <c r="AI309" s="41"/>
    </row>
    <row r="310" spans="1:35" s="203" customFormat="1" x14ac:dyDescent="0.25">
      <c r="A310" s="30">
        <v>214</v>
      </c>
      <c r="B310" s="31" t="s">
        <v>395</v>
      </c>
      <c r="C310" s="41">
        <v>2511</v>
      </c>
      <c r="D310" s="41">
        <v>2722</v>
      </c>
      <c r="E310" s="41">
        <v>3910</v>
      </c>
      <c r="F310" s="41">
        <v>4610</v>
      </c>
      <c r="G310" s="41">
        <v>3624</v>
      </c>
      <c r="H310" s="41">
        <f t="shared" ref="H310:N310" si="11">G310*H$6</f>
        <v>0</v>
      </c>
      <c r="I310" s="165">
        <f t="shared" si="11"/>
        <v>0</v>
      </c>
      <c r="J310" s="41">
        <f t="shared" si="11"/>
        <v>0</v>
      </c>
      <c r="K310" s="41">
        <f t="shared" si="11"/>
        <v>0</v>
      </c>
      <c r="L310" s="41">
        <f t="shared" si="11"/>
        <v>0</v>
      </c>
      <c r="M310" s="41">
        <f t="shared" si="11"/>
        <v>0</v>
      </c>
      <c r="N310" s="41">
        <f t="shared" si="11"/>
        <v>0</v>
      </c>
      <c r="O310" s="41"/>
      <c r="P310" s="41"/>
      <c r="Q310" s="165"/>
      <c r="R310" s="117"/>
      <c r="S310" s="4"/>
      <c r="T310" s="34">
        <v>214</v>
      </c>
      <c r="U310" s="88" t="s">
        <v>395</v>
      </c>
      <c r="V310" s="41" t="e">
        <f>C310/'1. Väestöennuste'!E310*1000</f>
        <v>#DIV/0!</v>
      </c>
      <c r="W310" s="41" t="e">
        <f>D310/'1. Väestöennuste'!F310*1000</f>
        <v>#DIV/0!</v>
      </c>
      <c r="X310" s="41" t="e">
        <f>E310/'1. Väestöennuste'!G310*1000</f>
        <v>#DIV/0!</v>
      </c>
      <c r="Y310" s="41" t="e">
        <f>F310/'1. Väestöennuste'!H310*1000</f>
        <v>#DIV/0!</v>
      </c>
      <c r="Z310" s="41" t="e">
        <f>G310/'1. Väestöennuste'!I310*1000</f>
        <v>#DIV/0!</v>
      </c>
      <c r="AA310" s="41" t="e">
        <f>H310/'1. Väestöennuste'!J310*1000</f>
        <v>#DIV/0!</v>
      </c>
      <c r="AB310" s="41" t="e">
        <f>I310/'1. Väestöennuste'!K310*1000</f>
        <v>#DIV/0!</v>
      </c>
      <c r="AC310" s="41" t="e">
        <f>J310/'1. Väestöennuste'!L310*1000</f>
        <v>#DIV/0!</v>
      </c>
      <c r="AD310" s="41" t="e">
        <f>K310/'1. Väestöennuste'!M310*1000</f>
        <v>#DIV/0!</v>
      </c>
      <c r="AE310" s="41" t="e">
        <f>L310/'1. Väestöennuste'!N310*1000</f>
        <v>#DIV/0!</v>
      </c>
      <c r="AF310" s="41" t="e">
        <f>M310/'1. Väestöennuste'!O310*1000</f>
        <v>#DIV/0!</v>
      </c>
      <c r="AG310" s="41" t="e">
        <f>N310/'1. Väestöennuste'!P310*1000</f>
        <v>#DIV/0!</v>
      </c>
      <c r="AH310" s="41"/>
      <c r="AI310" s="41"/>
    </row>
    <row r="312" spans="1:35" x14ac:dyDescent="0.25">
      <c r="C312" s="273">
        <f>SUM(C309:C310)</f>
        <v>2862</v>
      </c>
      <c r="D312" s="273">
        <f>SUM(D309:D310)</f>
        <v>3092</v>
      </c>
      <c r="E312" s="273">
        <f>SUM(E309:E310)</f>
        <v>4232</v>
      </c>
      <c r="F312" s="273">
        <f>SUM(F309:F310)</f>
        <v>4896</v>
      </c>
      <c r="G312" s="273">
        <f>SUM(G309:G310)</f>
        <v>3904</v>
      </c>
      <c r="H312" s="273"/>
      <c r="I312" s="309"/>
      <c r="J312" s="273"/>
      <c r="K312" s="273"/>
      <c r="L312" s="273"/>
      <c r="M312" s="273"/>
      <c r="N312" s="273"/>
      <c r="O312" s="273"/>
      <c r="P312" s="273"/>
      <c r="Q312" s="309"/>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Z623"/>
  <sheetViews>
    <sheetView zoomScaleNormal="100" workbookViewId="0">
      <pane xSplit="2" ySplit="13" topLeftCell="C14" activePane="bottomRight" state="frozen"/>
      <selection pane="topRight" activeCell="C1" sqref="C1"/>
      <selection pane="bottomLeft" activeCell="A14" sqref="A14"/>
      <selection pane="bottomRight"/>
    </sheetView>
  </sheetViews>
  <sheetFormatPr defaultColWidth="9.140625" defaultRowHeight="11.25" x14ac:dyDescent="0.2"/>
  <cols>
    <col min="1" max="1" width="9.140625" style="4"/>
    <col min="2" max="2" width="20.5703125" style="4" bestFit="1" customWidth="1"/>
    <col min="3" max="8" width="14.5703125" style="4" bestFit="1" customWidth="1"/>
    <col min="9" max="9" width="14.5703125" style="7" bestFit="1" customWidth="1"/>
    <col min="10" max="10" width="15.42578125" style="4" bestFit="1" customWidth="1"/>
    <col min="11" max="14" width="14.5703125" style="4" bestFit="1" customWidth="1"/>
    <col min="15" max="16" width="14.5703125" style="4" customWidth="1"/>
    <col min="17" max="17" width="9.140625" style="7"/>
    <col min="18" max="18" width="9.140625" style="117"/>
    <col min="19" max="20" width="9.140625" style="4"/>
    <col min="21" max="21" width="20.5703125" style="4" bestFit="1" customWidth="1"/>
    <col min="22" max="37" width="9.140625" style="4"/>
    <col min="38" max="38" width="20.5703125" style="4" bestFit="1" customWidth="1"/>
    <col min="39" max="16384" width="9.140625" style="4"/>
  </cols>
  <sheetData>
    <row r="1" spans="1:52" x14ac:dyDescent="0.2">
      <c r="A1" s="1">
        <v>1</v>
      </c>
      <c r="B1" s="1">
        <v>2</v>
      </c>
      <c r="C1" s="1">
        <v>3</v>
      </c>
      <c r="D1" s="1">
        <v>4</v>
      </c>
      <c r="E1" s="1">
        <v>5</v>
      </c>
      <c r="F1" s="1">
        <v>6</v>
      </c>
      <c r="G1" s="1">
        <v>7</v>
      </c>
      <c r="H1" s="1">
        <v>8</v>
      </c>
      <c r="I1" s="98">
        <v>9</v>
      </c>
      <c r="J1" s="1">
        <v>10</v>
      </c>
      <c r="K1" s="1">
        <v>11</v>
      </c>
      <c r="L1" s="1">
        <v>12</v>
      </c>
      <c r="M1" s="1">
        <v>13</v>
      </c>
      <c r="N1" s="1">
        <v>14</v>
      </c>
      <c r="O1" s="1">
        <v>15</v>
      </c>
      <c r="P1" s="1">
        <v>16</v>
      </c>
    </row>
    <row r="2" spans="1:52" x14ac:dyDescent="0.2">
      <c r="A2" s="1" t="s">
        <v>800</v>
      </c>
      <c r="B2" s="1"/>
      <c r="I2" s="364"/>
      <c r="J2" s="279"/>
      <c r="K2" s="279"/>
      <c r="L2" s="279"/>
    </row>
    <row r="3" spans="1:52" x14ac:dyDescent="0.2">
      <c r="A3" s="1"/>
      <c r="B3" s="1"/>
      <c r="J3" s="120"/>
      <c r="K3" s="120"/>
      <c r="L3" s="120"/>
      <c r="M3" s="120"/>
      <c r="N3" s="120"/>
      <c r="O3" s="120"/>
      <c r="P3" s="120"/>
    </row>
    <row r="4" spans="1:52" x14ac:dyDescent="0.2">
      <c r="A4" s="1"/>
      <c r="B4" s="1"/>
      <c r="H4" s="41"/>
      <c r="K4" s="41"/>
      <c r="L4" s="7"/>
      <c r="M4" s="7"/>
      <c r="N4" s="7"/>
    </row>
    <row r="5" spans="1:52" x14ac:dyDescent="0.2">
      <c r="A5" s="1"/>
      <c r="B5" s="1"/>
      <c r="H5" s="41"/>
      <c r="I5" s="165"/>
      <c r="J5" s="41"/>
      <c r="K5" s="41"/>
      <c r="L5" s="41">
        <f>K13*L6</f>
        <v>-3801518.0807215967</v>
      </c>
      <c r="M5" s="41">
        <f>L13*M6</f>
        <v>-3964443.8798078885</v>
      </c>
      <c r="N5" s="41">
        <f>M13*N6</f>
        <v>-4104365.5664988123</v>
      </c>
      <c r="O5" s="41">
        <f>N13*O6</f>
        <v>-4287322.3395846216</v>
      </c>
      <c r="P5" s="41">
        <f t="shared" ref="P5" si="0">O5*P6</f>
        <v>-4465313.4893801287</v>
      </c>
    </row>
    <row r="6" spans="1:52" x14ac:dyDescent="0.2">
      <c r="A6" s="1"/>
      <c r="B6" s="1"/>
      <c r="G6" s="7"/>
      <c r="H6" s="393"/>
      <c r="I6" s="393"/>
      <c r="J6" s="393"/>
      <c r="K6" s="393"/>
      <c r="L6" s="72">
        <f>1+Makroennusteet!I21</f>
        <v>1.0306631054600006</v>
      </c>
      <c r="M6" s="72">
        <f>1+Makroennusteet!J21</f>
        <v>1.0428580886968626</v>
      </c>
      <c r="N6" s="72">
        <f>1+Makroennusteet!K21</f>
        <v>1.0352962821821365</v>
      </c>
      <c r="O6" s="72">
        <f>1+Makroennusteet!L21</f>
        <v>1.0445782885739743</v>
      </c>
      <c r="P6" s="72">
        <f>1+Makroennusteet!M21</f>
        <v>1.0415156910764847</v>
      </c>
    </row>
    <row r="7" spans="1:52" x14ac:dyDescent="0.2">
      <c r="A7" s="1"/>
      <c r="B7" s="1"/>
      <c r="M7" s="7"/>
      <c r="N7" s="7"/>
      <c r="R7" s="123" t="s">
        <v>319</v>
      </c>
    </row>
    <row r="8" spans="1:52" x14ac:dyDescent="0.2">
      <c r="A8" s="1" t="s">
        <v>622</v>
      </c>
      <c r="B8" s="1"/>
      <c r="C8" s="4" t="s">
        <v>323</v>
      </c>
      <c r="D8" s="4" t="s">
        <v>323</v>
      </c>
      <c r="E8" s="4" t="s">
        <v>323</v>
      </c>
      <c r="F8" s="4" t="s">
        <v>323</v>
      </c>
      <c r="G8" s="4" t="s">
        <v>323</v>
      </c>
      <c r="H8" s="19" t="s">
        <v>323</v>
      </c>
      <c r="I8" s="168" t="s">
        <v>323</v>
      </c>
      <c r="J8" s="19" t="s">
        <v>323</v>
      </c>
      <c r="K8" s="268" t="s">
        <v>323</v>
      </c>
      <c r="L8" s="268" t="s">
        <v>757</v>
      </c>
      <c r="M8" s="4" t="s">
        <v>625</v>
      </c>
      <c r="N8" s="4" t="s">
        <v>625</v>
      </c>
      <c r="O8" s="4" t="s">
        <v>625</v>
      </c>
      <c r="P8" s="4" t="s">
        <v>625</v>
      </c>
    </row>
    <row r="9" spans="1:52" s="120" customFormat="1" x14ac:dyDescent="0.2">
      <c r="A9" s="109" t="s">
        <v>311</v>
      </c>
      <c r="B9" s="109"/>
      <c r="C9" s="108">
        <v>2015</v>
      </c>
      <c r="D9" s="108">
        <v>2016</v>
      </c>
      <c r="E9" s="108">
        <v>2017</v>
      </c>
      <c r="F9" s="108">
        <v>2018</v>
      </c>
      <c r="G9" s="108">
        <v>2019</v>
      </c>
      <c r="H9" s="108">
        <v>2020</v>
      </c>
      <c r="I9" s="108">
        <v>2021</v>
      </c>
      <c r="J9" s="108">
        <v>2022</v>
      </c>
      <c r="K9" s="108">
        <v>2023</v>
      </c>
      <c r="L9" s="108">
        <v>2024</v>
      </c>
      <c r="M9" s="108">
        <v>2025</v>
      </c>
      <c r="N9" s="108">
        <v>2026</v>
      </c>
      <c r="O9" s="108">
        <v>2027</v>
      </c>
      <c r="P9" s="108">
        <v>2028</v>
      </c>
      <c r="R9" s="107"/>
      <c r="U9" s="120" t="s">
        <v>307</v>
      </c>
      <c r="V9" s="126">
        <f>MIN(V15:V307)</f>
        <v>-6776.0101813553929</v>
      </c>
      <c r="W9" s="126">
        <f t="shared" ref="W9:AG9" si="1">MIN(W15:W307)</f>
        <v>-2079.9128223755902</v>
      </c>
      <c r="X9" s="126">
        <f t="shared" si="1"/>
        <v>-2385.5585831062667</v>
      </c>
      <c r="Y9" s="126">
        <f t="shared" si="1"/>
        <v>-2400.8752735229759</v>
      </c>
      <c r="Z9" s="126">
        <f t="shared" si="1"/>
        <v>-2196.9589816124467</v>
      </c>
      <c r="AA9" s="126">
        <f t="shared" si="1"/>
        <v>-5721.6066481994458</v>
      </c>
      <c r="AB9" s="126">
        <f t="shared" si="1"/>
        <v>-3667.6013636363637</v>
      </c>
      <c r="AC9" s="126">
        <f t="shared" si="1"/>
        <v>-3466.9825765575506</v>
      </c>
      <c r="AD9" s="126">
        <f t="shared" si="1"/>
        <v>-3195.5502088036114</v>
      </c>
      <c r="AE9" s="126">
        <f t="shared" si="1"/>
        <v>-1692.4106897873198</v>
      </c>
      <c r="AF9" s="126" t="e">
        <f t="shared" si="1"/>
        <v>#DIV/0!</v>
      </c>
      <c r="AG9" s="126" t="e">
        <f t="shared" si="1"/>
        <v>#DIV/0!</v>
      </c>
      <c r="AH9" s="126" t="e">
        <f t="shared" ref="AH9:AI9" si="2">MIN(AH15:AH307)</f>
        <v>#DIV/0!</v>
      </c>
      <c r="AI9" s="126" t="e">
        <f t="shared" si="2"/>
        <v>#DIV/0!</v>
      </c>
      <c r="AL9" s="120" t="s">
        <v>307</v>
      </c>
      <c r="AM9" s="126">
        <f>MIN(AM15:AM307)</f>
        <v>0</v>
      </c>
      <c r="AN9" s="126">
        <f t="shared" ref="AN9:AX9" si="3">MIN(AN15:AN307)</f>
        <v>-2899.3036550507813</v>
      </c>
      <c r="AO9" s="126">
        <f t="shared" si="3"/>
        <v>-2008.580348067788</v>
      </c>
      <c r="AP9" s="126">
        <f t="shared" si="3"/>
        <v>-2227.3001439892973</v>
      </c>
      <c r="AQ9" s="126">
        <f t="shared" si="3"/>
        <v>-2553.1620675086815</v>
      </c>
      <c r="AR9" s="126">
        <f t="shared" si="3"/>
        <v>-5140.2436440269839</v>
      </c>
      <c r="AS9" s="126">
        <f t="shared" si="3"/>
        <v>-4970.693118571493</v>
      </c>
      <c r="AT9" s="126">
        <f t="shared" si="3"/>
        <v>-5182.5486496748808</v>
      </c>
      <c r="AU9" s="126">
        <f t="shared" si="3"/>
        <v>-2136.5911577492275</v>
      </c>
      <c r="AV9" s="126">
        <f t="shared" si="3"/>
        <v>-1692.4106897873198</v>
      </c>
      <c r="AW9" s="126" t="e">
        <f t="shared" si="3"/>
        <v>#DIV/0!</v>
      </c>
      <c r="AX9" s="126" t="e">
        <f t="shared" si="3"/>
        <v>#DIV/0!</v>
      </c>
      <c r="AY9" s="126" t="e">
        <f t="shared" ref="AY9:AZ9" si="4">MIN(AY15:AY307)</f>
        <v>#DIV/0!</v>
      </c>
      <c r="AZ9" s="126" t="e">
        <f t="shared" si="4"/>
        <v>#DIV/0!</v>
      </c>
    </row>
    <row r="10" spans="1:52" x14ac:dyDescent="0.2">
      <c r="A10" s="1" t="s">
        <v>623</v>
      </c>
      <c r="B10" s="1"/>
      <c r="D10" s="75">
        <f>(D13/C13-1)*100</f>
        <v>-4.3687953776771149</v>
      </c>
      <c r="E10" s="75">
        <f t="shared" ref="E10:M10" si="5">(E13/D13-1)*100</f>
        <v>-1.9456488217259538</v>
      </c>
      <c r="F10" s="75">
        <f t="shared" si="5"/>
        <v>17.069516638900815</v>
      </c>
      <c r="G10" s="75">
        <f t="shared" si="5"/>
        <v>-1.8359491310345977</v>
      </c>
      <c r="H10" s="75">
        <f t="shared" si="5"/>
        <v>21.501381054255365</v>
      </c>
      <c r="I10" s="366">
        <f t="shared" si="5"/>
        <v>-13.623861996047804</v>
      </c>
      <c r="J10" s="75">
        <f t="shared" si="5"/>
        <v>-27.289127784997046</v>
      </c>
      <c r="K10" s="75">
        <f t="shared" si="5"/>
        <v>76.854978659145942</v>
      </c>
      <c r="L10" s="75">
        <f t="shared" si="5"/>
        <v>3.0663105460000395</v>
      </c>
      <c r="M10" s="75">
        <f t="shared" si="5"/>
        <v>4.2855943413607545</v>
      </c>
      <c r="N10" s="75">
        <f>(N13/M13-1)*100</f>
        <v>3.5294152454418137</v>
      </c>
      <c r="O10" s="75">
        <f>(O13/N13-1)*100</f>
        <v>4.4576139752064314</v>
      </c>
      <c r="P10" s="75">
        <f>(P13/O13-1)*100</f>
        <v>4.1515691076483341</v>
      </c>
      <c r="U10" s="4" t="s">
        <v>308</v>
      </c>
      <c r="V10" s="41">
        <f>MAX(V15:V307)</f>
        <v>2844.1890166028097</v>
      </c>
      <c r="W10" s="41">
        <f t="shared" ref="W10:AG10" si="6">MAX(W15:W307)</f>
        <v>2174.0442655935612</v>
      </c>
      <c r="X10" s="41">
        <f t="shared" si="6"/>
        <v>599.51518244450119</v>
      </c>
      <c r="Y10" s="41">
        <f t="shared" si="6"/>
        <v>1752.7615334632878</v>
      </c>
      <c r="Z10" s="41">
        <f t="shared" si="6"/>
        <v>3538.2159442724455</v>
      </c>
      <c r="AA10" s="41">
        <f t="shared" si="6"/>
        <v>4800.5189255189262</v>
      </c>
      <c r="AB10" s="41">
        <f t="shared" si="6"/>
        <v>4373.0629346003361</v>
      </c>
      <c r="AC10" s="41">
        <f t="shared" si="6"/>
        <v>986.26648003536172</v>
      </c>
      <c r="AD10" s="41">
        <f t="shared" si="6"/>
        <v>630.76052631578955</v>
      </c>
      <c r="AE10" s="41">
        <f t="shared" si="6"/>
        <v>-5.0648803845068562</v>
      </c>
      <c r="AF10" s="41" t="e">
        <f t="shared" si="6"/>
        <v>#DIV/0!</v>
      </c>
      <c r="AG10" s="41" t="e">
        <f t="shared" si="6"/>
        <v>#DIV/0!</v>
      </c>
      <c r="AH10" s="41" t="e">
        <f t="shared" ref="AH10:AI10" si="7">MAX(AH15:AH307)</f>
        <v>#DIV/0!</v>
      </c>
      <c r="AI10" s="41" t="e">
        <f t="shared" si="7"/>
        <v>#DIV/0!</v>
      </c>
      <c r="AL10" s="4" t="s">
        <v>308</v>
      </c>
      <c r="AM10" s="41">
        <f>MAX(AM15:AM307)</f>
        <v>0</v>
      </c>
      <c r="AN10" s="41">
        <f t="shared" ref="AN10:AX10" si="8">MAX(AN15:AN307)</f>
        <v>6252.7430157192066</v>
      </c>
      <c r="AO10" s="41">
        <f t="shared" si="8"/>
        <v>1600.8901544311948</v>
      </c>
      <c r="AP10" s="41">
        <f t="shared" si="8"/>
        <v>2232.6978391957718</v>
      </c>
      <c r="AQ10" s="41">
        <f t="shared" si="8"/>
        <v>3806.672966122479</v>
      </c>
      <c r="AR10" s="41">
        <f t="shared" si="8"/>
        <v>5233.6828011170119</v>
      </c>
      <c r="AS10" s="41">
        <f t="shared" si="8"/>
        <v>5154.0363859277695</v>
      </c>
      <c r="AT10" s="41">
        <f t="shared" si="8"/>
        <v>1991.9481883077381</v>
      </c>
      <c r="AU10" s="41">
        <f t="shared" si="8"/>
        <v>2981.6634976101823</v>
      </c>
      <c r="AV10" s="41">
        <f t="shared" si="8"/>
        <v>2056.965291863864</v>
      </c>
      <c r="AW10" s="41" t="e">
        <f t="shared" si="8"/>
        <v>#DIV/0!</v>
      </c>
      <c r="AX10" s="41" t="e">
        <f t="shared" si="8"/>
        <v>#DIV/0!</v>
      </c>
      <c r="AY10" s="41" t="e">
        <f t="shared" ref="AY10:AZ10" si="9">MAX(AY15:AY307)</f>
        <v>#DIV/0!</v>
      </c>
      <c r="AZ10" s="41" t="e">
        <f t="shared" si="9"/>
        <v>#DIV/0!</v>
      </c>
    </row>
    <row r="11" spans="1:52" ht="12" thickBot="1" x14ac:dyDescent="0.25">
      <c r="A11" s="43" t="s">
        <v>624</v>
      </c>
      <c r="B11" s="43"/>
      <c r="D11" s="41">
        <f>D13-C13</f>
        <v>110802</v>
      </c>
      <c r="E11" s="41">
        <f t="shared" ref="E11:M11" si="10">E13-D13</f>
        <v>47190</v>
      </c>
      <c r="F11" s="41">
        <f t="shared" si="10"/>
        <v>-405951</v>
      </c>
      <c r="G11" s="41">
        <f t="shared" si="10"/>
        <v>51116</v>
      </c>
      <c r="H11" s="41">
        <f t="shared" si="10"/>
        <v>-587645</v>
      </c>
      <c r="I11" s="165">
        <f t="shared" si="10"/>
        <v>452407.85777999926</v>
      </c>
      <c r="J11" s="41">
        <f t="shared" si="10"/>
        <v>782732.45372000081</v>
      </c>
      <c r="K11" s="41">
        <f t="shared" si="10"/>
        <v>-1602857.9906199987</v>
      </c>
      <c r="L11" s="41">
        <f t="shared" si="10"/>
        <v>-113098.4016015972</v>
      </c>
      <c r="M11" s="41">
        <f t="shared" si="10"/>
        <v>-162917.64375321101</v>
      </c>
      <c r="N11" s="41">
        <f>N13-M13</f>
        <v>-139921.39885535557</v>
      </c>
      <c r="O11" s="41">
        <f>O13-N13</f>
        <v>-182956.39672194561</v>
      </c>
      <c r="P11" s="41">
        <f>P13-O13</f>
        <v>-177990.78364651371</v>
      </c>
    </row>
    <row r="12" spans="1:52" ht="12" thickBot="1" x14ac:dyDescent="0.25">
      <c r="A12" s="49" t="s">
        <v>326</v>
      </c>
      <c r="B12" s="50" t="s">
        <v>327</v>
      </c>
      <c r="C12" s="67" t="s">
        <v>637</v>
      </c>
      <c r="D12" s="67" t="s">
        <v>637</v>
      </c>
      <c r="E12" s="67" t="s">
        <v>637</v>
      </c>
      <c r="F12" s="67" t="s">
        <v>637</v>
      </c>
      <c r="G12" s="67" t="s">
        <v>637</v>
      </c>
      <c r="H12" s="67" t="s">
        <v>637</v>
      </c>
      <c r="I12" s="365" t="s">
        <v>637</v>
      </c>
      <c r="J12" s="67" t="s">
        <v>637</v>
      </c>
      <c r="K12" s="67" t="s">
        <v>637</v>
      </c>
      <c r="L12" s="67" t="s">
        <v>637</v>
      </c>
      <c r="M12" s="67" t="s">
        <v>637</v>
      </c>
      <c r="N12" s="67" t="s">
        <v>637</v>
      </c>
      <c r="O12" s="67" t="s">
        <v>637</v>
      </c>
      <c r="P12" s="67" t="s">
        <v>637</v>
      </c>
      <c r="T12" s="94" t="s">
        <v>326</v>
      </c>
      <c r="U12" s="94" t="s">
        <v>327</v>
      </c>
      <c r="V12" s="77">
        <v>2015</v>
      </c>
      <c r="W12" s="77">
        <v>2016</v>
      </c>
      <c r="X12" s="77">
        <v>2017</v>
      </c>
      <c r="Y12" s="77">
        <v>2018</v>
      </c>
      <c r="Z12" s="77">
        <v>2019</v>
      </c>
      <c r="AA12" s="77">
        <v>2020</v>
      </c>
      <c r="AB12" s="77">
        <v>2021</v>
      </c>
      <c r="AC12" s="77">
        <v>2022</v>
      </c>
      <c r="AD12" s="77">
        <v>2023</v>
      </c>
      <c r="AE12" s="77">
        <v>2024</v>
      </c>
      <c r="AF12" s="77">
        <v>2025</v>
      </c>
      <c r="AG12" s="77">
        <v>2026</v>
      </c>
      <c r="AH12" s="77">
        <v>2027</v>
      </c>
      <c r="AI12" s="77">
        <v>2028</v>
      </c>
      <c r="AK12" s="94" t="s">
        <v>326</v>
      </c>
      <c r="AL12" s="94" t="s">
        <v>327</v>
      </c>
      <c r="AM12" s="77">
        <v>2015</v>
      </c>
      <c r="AN12" s="77">
        <v>2016</v>
      </c>
      <c r="AO12" s="77">
        <v>2017</v>
      </c>
      <c r="AP12" s="77">
        <v>2018</v>
      </c>
      <c r="AQ12" s="77">
        <v>2019</v>
      </c>
      <c r="AR12" s="77">
        <v>2020</v>
      </c>
      <c r="AS12" s="77">
        <v>2021</v>
      </c>
      <c r="AT12" s="77">
        <v>2022</v>
      </c>
      <c r="AU12" s="77">
        <v>2023</v>
      </c>
      <c r="AV12" s="77">
        <v>2024</v>
      </c>
      <c r="AW12" s="77">
        <v>2025</v>
      </c>
      <c r="AX12" s="77">
        <v>2026</v>
      </c>
      <c r="AY12" s="77">
        <v>2027</v>
      </c>
      <c r="AZ12" s="77">
        <v>2028</v>
      </c>
    </row>
    <row r="13" spans="1:52" x14ac:dyDescent="0.2">
      <c r="A13" s="37">
        <v>1</v>
      </c>
      <c r="B13" s="38" t="s">
        <v>312</v>
      </c>
      <c r="C13" s="41">
        <f t="shared" ref="C13:K13" si="11">SUM(C15:C307)</f>
        <v>-2536214</v>
      </c>
      <c r="D13" s="41">
        <f t="shared" si="11"/>
        <v>-2425412</v>
      </c>
      <c r="E13" s="41">
        <f t="shared" si="11"/>
        <v>-2378222</v>
      </c>
      <c r="F13" s="41">
        <f t="shared" si="11"/>
        <v>-2784173</v>
      </c>
      <c r="G13" s="41">
        <f t="shared" si="11"/>
        <v>-2733057</v>
      </c>
      <c r="H13" s="41">
        <f t="shared" si="11"/>
        <v>-3320702</v>
      </c>
      <c r="I13" s="165">
        <f t="shared" si="11"/>
        <v>-2868294.1422200007</v>
      </c>
      <c r="J13" s="41">
        <f t="shared" si="11"/>
        <v>-2085561.6884999999</v>
      </c>
      <c r="K13" s="41">
        <f t="shared" si="11"/>
        <v>-3688419.6791199986</v>
      </c>
      <c r="L13" s="41">
        <f>SUM(L15:L307)</f>
        <v>-3801518.0807215958</v>
      </c>
      <c r="M13" s="41">
        <f t="shared" ref="M13:N13" si="12">SUM(M15:M307)</f>
        <v>-3964435.7244748068</v>
      </c>
      <c r="N13" s="41">
        <f t="shared" si="12"/>
        <v>-4104357.1233301624</v>
      </c>
      <c r="O13" s="41">
        <f t="shared" ref="O13:P13" si="13">SUM(O15:O307)</f>
        <v>-4287313.520052108</v>
      </c>
      <c r="P13" s="41">
        <f t="shared" si="13"/>
        <v>-4465304.3036986217</v>
      </c>
      <c r="S13" s="8"/>
      <c r="T13" s="39"/>
      <c r="U13" s="86" t="s">
        <v>312</v>
      </c>
      <c r="V13" s="41">
        <f>C13/'1. Väestöennuste'!E13*1000</f>
        <v>-464.84852183861403</v>
      </c>
      <c r="W13" s="41">
        <f>D13/'1. Väestöennuste'!F13*1000</f>
        <v>-443.07183504524869</v>
      </c>
      <c r="X13" s="41">
        <f>E13/'1. Väestöennuste'!G13*1000</f>
        <v>-433.69396355450698</v>
      </c>
      <c r="Y13" s="41">
        <f>F13/'1. Väestöennuste'!H13*1000</f>
        <v>-507.30813592243629</v>
      </c>
      <c r="Z13" s="41">
        <f>G13/'1. Väestöennuste'!I13*1000</f>
        <v>-497.33468379417872</v>
      </c>
      <c r="AA13" s="41">
        <f>H13/'1. Väestöennuste'!J13*1000</f>
        <v>-603.36205117172847</v>
      </c>
      <c r="AB13" s="41">
        <f>I13/'1. Väestöennuste'!K13*1000</f>
        <v>-519.81654282782017</v>
      </c>
      <c r="AC13" s="41">
        <f>J13/'1. Väestöennuste'!L13*1000</f>
        <v>-376.88982628160886</v>
      </c>
      <c r="AD13" s="41">
        <f>K13/'1. Väestöennuste'!M13*1000</f>
        <v>-661.80056001191372</v>
      </c>
      <c r="AE13" s="41">
        <f>L13/'1. Väestöennuste'!N13*1000</f>
        <v>-686.37375039073299</v>
      </c>
      <c r="AF13" s="41">
        <f>M13/'1. Väestöennuste'!O13*1000</f>
        <v>-714.97064496552173</v>
      </c>
      <c r="AG13" s="41">
        <f>N13/'1. Väestöennuste'!P13*1000</f>
        <v>-739.44546475619563</v>
      </c>
      <c r="AH13" s="41">
        <f>O13/'1. Väestöennuste'!Q13*1000</f>
        <v>-771.69678620920251</v>
      </c>
      <c r="AI13" s="41">
        <f>P13/'1. Väestöennuste'!R13*1000</f>
        <v>-803.1076626355067</v>
      </c>
      <c r="AK13" s="39"/>
      <c r="AL13" s="86" t="s">
        <v>312</v>
      </c>
      <c r="AM13" s="41"/>
      <c r="AN13" s="41">
        <f t="shared" ref="AN13:AZ13" si="14">W13-V13</f>
        <v>21.776686793365343</v>
      </c>
      <c r="AO13" s="41">
        <f t="shared" si="14"/>
        <v>9.3778714907417111</v>
      </c>
      <c r="AP13" s="41">
        <f t="shared" si="14"/>
        <v>-73.614172367929314</v>
      </c>
      <c r="AQ13" s="41">
        <f t="shared" si="14"/>
        <v>9.973452128257577</v>
      </c>
      <c r="AR13" s="41">
        <f t="shared" si="14"/>
        <v>-106.02736737754975</v>
      </c>
      <c r="AS13" s="41">
        <f t="shared" si="14"/>
        <v>83.545508343908296</v>
      </c>
      <c r="AT13" s="41">
        <f t="shared" si="14"/>
        <v>142.92671654621131</v>
      </c>
      <c r="AU13" s="41">
        <f t="shared" si="14"/>
        <v>-284.91073373030486</v>
      </c>
      <c r="AV13" s="41">
        <f t="shared" si="14"/>
        <v>-24.573190378819277</v>
      </c>
      <c r="AW13" s="41">
        <f t="shared" si="14"/>
        <v>-28.596894574788735</v>
      </c>
      <c r="AX13" s="41">
        <f t="shared" si="14"/>
        <v>-24.474819790673905</v>
      </c>
      <c r="AY13" s="41">
        <f t="shared" si="14"/>
        <v>-32.251321453006881</v>
      </c>
      <c r="AZ13" s="41">
        <f t="shared" si="14"/>
        <v>-31.410876426304185</v>
      </c>
    </row>
    <row r="14" spans="1:52" x14ac:dyDescent="0.2">
      <c r="A14" s="37"/>
      <c r="B14" s="38"/>
      <c r="C14" s="41"/>
      <c r="D14" s="41"/>
      <c r="E14" s="41"/>
      <c r="F14" s="41"/>
      <c r="G14" s="41"/>
      <c r="H14" s="41"/>
      <c r="I14" s="165"/>
      <c r="J14" s="41"/>
      <c r="K14" s="41"/>
      <c r="L14" s="41"/>
      <c r="M14" s="41"/>
      <c r="N14" s="41"/>
      <c r="O14" s="41"/>
      <c r="P14" s="41"/>
      <c r="T14" s="39"/>
      <c r="U14" s="86"/>
      <c r="V14" s="41"/>
      <c r="W14" s="41"/>
      <c r="X14" s="41"/>
      <c r="Y14" s="41"/>
      <c r="Z14" s="41"/>
      <c r="AA14" s="41"/>
      <c r="AB14" s="41"/>
      <c r="AC14" s="41"/>
      <c r="AD14" s="41"/>
      <c r="AE14" s="41"/>
      <c r="AF14" s="41"/>
      <c r="AG14" s="41"/>
      <c r="AH14" s="41"/>
      <c r="AI14" s="41"/>
      <c r="AK14" s="39"/>
      <c r="AL14" s="86"/>
      <c r="AM14" s="41"/>
      <c r="AN14" s="41"/>
      <c r="AO14" s="41"/>
      <c r="AP14" s="41"/>
      <c r="AQ14" s="41"/>
      <c r="AR14" s="41"/>
      <c r="AS14" s="41"/>
      <c r="AT14" s="41"/>
      <c r="AU14" s="41"/>
      <c r="AV14" s="41"/>
      <c r="AW14" s="41"/>
      <c r="AX14" s="41"/>
      <c r="AY14" s="41"/>
      <c r="AZ14" s="41"/>
    </row>
    <row r="15" spans="1:52" x14ac:dyDescent="0.2">
      <c r="A15" s="30">
        <v>5</v>
      </c>
      <c r="B15" s="31" t="s">
        <v>328</v>
      </c>
      <c r="C15" s="41">
        <v>-1776</v>
      </c>
      <c r="D15" s="41">
        <v>-3497</v>
      </c>
      <c r="E15" s="73">
        <v>-7439</v>
      </c>
      <c r="F15" s="73">
        <v>-7493</v>
      </c>
      <c r="G15" s="73">
        <v>-6887</v>
      </c>
      <c r="H15" s="41">
        <v>-5324</v>
      </c>
      <c r="I15" s="165">
        <v>-3992.7586299999998</v>
      </c>
      <c r="J15" s="41">
        <v>-3289.5912999999996</v>
      </c>
      <c r="K15" s="41">
        <v>-2661.5230899999997</v>
      </c>
      <c r="L15" s="41">
        <f>$L$5*'7.1. Nettoinvestointiennuste '!Y15</f>
        <v>-5198.4887015414024</v>
      </c>
      <c r="M15" s="41">
        <f>$M$5*'7.1. Nettoinvestointiennuste '!Y15</f>
        <v>-5421.2859914016999</v>
      </c>
      <c r="N15" s="41">
        <f>$N$5*'7.1. Nettoinvestointiennuste '!Y15</f>
        <v>-5612.6256856812324</v>
      </c>
      <c r="O15" s="41">
        <f>O$5*'7.1. Nettoinvestointiennuste '!$Y15</f>
        <v>-5862.8148726221816</v>
      </c>
      <c r="P15" s="41">
        <f>P$5*'7.1. Nettoinvestointiennuste '!$Y15</f>
        <v>-6106.2136837125845</v>
      </c>
      <c r="T15" s="34">
        <v>5</v>
      </c>
      <c r="U15" s="88" t="s">
        <v>328</v>
      </c>
      <c r="V15" s="41">
        <f>C15/'1. Väestöennuste'!E15*1000</f>
        <v>-177.49350389766141</v>
      </c>
      <c r="W15" s="41">
        <f>D15/'1. Väestöennuste'!F15*1000</f>
        <v>-353.26800686938077</v>
      </c>
      <c r="X15" s="41">
        <f>E15/'1. Väestöennuste'!G15*1000</f>
        <v>-756.68802766758211</v>
      </c>
      <c r="Y15" s="41">
        <f>F15/'1. Väestöennuste'!H15*1000</f>
        <v>-772.47422680412365</v>
      </c>
      <c r="Z15" s="41">
        <f>G15/'1. Väestöennuste'!I15*1000</f>
        <v>-720.24681029073417</v>
      </c>
      <c r="AA15" s="41">
        <f>H15/'1. Väestöennuste'!J15*1000</f>
        <v>-565.2404713876208</v>
      </c>
      <c r="AB15" s="41">
        <f>I15/'1. Väestöennuste'!K15*1000</f>
        <v>-428.82167651165287</v>
      </c>
      <c r="AC15" s="41">
        <f>J15/'1. Väestöennuste'!L15*1000</f>
        <v>-358.22621147773054</v>
      </c>
      <c r="AD15" s="41">
        <f>K15/'1. Väestöennuste'!M15*1000</f>
        <v>-292.05783935037857</v>
      </c>
      <c r="AE15" s="41">
        <f>L15/'1. Väestöennuste'!N15*1000</f>
        <v>-580.77183572130525</v>
      </c>
      <c r="AF15" s="41">
        <f>M15/'1. Väestöennuste'!O15*1000</f>
        <v>-613.19827976492479</v>
      </c>
      <c r="AG15" s="41">
        <f>N15/'1. Väestöennuste'!P15*1000</f>
        <v>-642.91244967711714</v>
      </c>
      <c r="AH15" s="41">
        <f>O15/'1. Väestöennuste'!Q15*1000</f>
        <v>-680.0620429906254</v>
      </c>
      <c r="AI15" s="41">
        <f>P15/'1. Väestöennuste'!R15*1000</f>
        <v>-717.3653293835273</v>
      </c>
      <c r="AK15" s="34">
        <v>5</v>
      </c>
      <c r="AL15" s="88" t="s">
        <v>328</v>
      </c>
      <c r="AM15" s="41"/>
      <c r="AN15" s="41">
        <f t="shared" ref="AN15:AN78" si="15">W15-V15</f>
        <v>-175.77450297171936</v>
      </c>
      <c r="AO15" s="41">
        <f t="shared" ref="AO15:AO78" si="16">X15-W15</f>
        <v>-403.42002079820134</v>
      </c>
      <c r="AP15" s="41">
        <f t="shared" ref="AP15:AP78" si="17">Y15-X15</f>
        <v>-15.786199136541541</v>
      </c>
      <c r="AQ15" s="41">
        <f t="shared" ref="AQ15:AQ78" si="18">Z15-Y15</f>
        <v>52.227416513389471</v>
      </c>
      <c r="AR15" s="41">
        <f t="shared" ref="AR15:AR78" si="19">AA15-Z15</f>
        <v>155.00633890311337</v>
      </c>
      <c r="AS15" s="41">
        <f t="shared" ref="AS15:AS78" si="20">AB15-AA15</f>
        <v>136.41879487596793</v>
      </c>
      <c r="AT15" s="41">
        <f t="shared" ref="AT15:AT78" si="21">AC15-AB15</f>
        <v>70.595465033922324</v>
      </c>
      <c r="AU15" s="41">
        <f t="shared" ref="AU15:AU78" si="22">AD15-AC15</f>
        <v>66.168372127351972</v>
      </c>
      <c r="AV15" s="41">
        <f t="shared" ref="AV15:AV78" si="23">AE15-AD15</f>
        <v>-288.71399637092668</v>
      </c>
      <c r="AW15" s="41">
        <f t="shared" ref="AW15:AW78" si="24">AF15-AE15</f>
        <v>-32.42644404361954</v>
      </c>
      <c r="AX15" s="41">
        <f t="shared" ref="AX15:AZ78" si="25">AG15-AF15</f>
        <v>-29.714169912192347</v>
      </c>
      <c r="AY15" s="41">
        <f t="shared" si="25"/>
        <v>-37.149593313508262</v>
      </c>
      <c r="AZ15" s="41">
        <f t="shared" si="25"/>
        <v>-37.303286392901896</v>
      </c>
    </row>
    <row r="16" spans="1:52" x14ac:dyDescent="0.2">
      <c r="A16" s="30">
        <v>9</v>
      </c>
      <c r="B16" s="31" t="s">
        <v>329</v>
      </c>
      <c r="C16" s="41">
        <v>-575</v>
      </c>
      <c r="D16" s="41">
        <v>-305</v>
      </c>
      <c r="E16" s="73">
        <v>-670</v>
      </c>
      <c r="F16" s="73">
        <v>-475</v>
      </c>
      <c r="G16" s="73">
        <v>-1136</v>
      </c>
      <c r="H16" s="41">
        <v>-249</v>
      </c>
      <c r="I16" s="165">
        <v>-1095.3593000000001</v>
      </c>
      <c r="J16" s="41">
        <v>-926.01874999999995</v>
      </c>
      <c r="K16" s="41">
        <v>-926.38980000000004</v>
      </c>
      <c r="L16" s="41">
        <f>$L$5*'7.1. Nettoinvestointiennuste '!Y16</f>
        <v>-1214.1694281213636</v>
      </c>
      <c r="M16" s="41">
        <f>$M$5*'7.1. Nettoinvestointiennuste '!Y16</f>
        <v>-1266.2064091648074</v>
      </c>
      <c r="N16" s="41">
        <f>$N$5*'7.1. Nettoinvestointiennuste '!Y16</f>
        <v>-1310.8960912086313</v>
      </c>
      <c r="O16" s="41">
        <f>O$5*'7.1. Nettoinvestointiennuste '!$Y16</f>
        <v>-1369.3307785707814</v>
      </c>
      <c r="P16" s="41">
        <f>P$5*'7.1. Nettoinvestointiennuste '!$Y16</f>
        <v>-1426.1794921554483</v>
      </c>
      <c r="T16" s="34">
        <v>9</v>
      </c>
      <c r="U16" s="88" t="s">
        <v>329</v>
      </c>
      <c r="V16" s="41">
        <f>C16/'1. Väestöennuste'!E16*1000</f>
        <v>-213.99330107927057</v>
      </c>
      <c r="W16" s="41">
        <f>D16/'1. Väestöennuste'!F16*1000</f>
        <v>-115.57408109132247</v>
      </c>
      <c r="X16" s="41">
        <f>E16/'1. Väestöennuste'!G16*1000</f>
        <v>-256.70498084291188</v>
      </c>
      <c r="Y16" s="41">
        <f>F16/'1. Väestöennuste'!H16*1000</f>
        <v>-184.60940536338904</v>
      </c>
      <c r="Z16" s="41">
        <f>G16/'1. Väestöennuste'!I16*1000</f>
        <v>-450.97260817784837</v>
      </c>
      <c r="AA16" s="41">
        <f>H16/'1. Väestöennuste'!J16*1000</f>
        <v>-98.927294398092968</v>
      </c>
      <c r="AB16" s="41">
        <f>I16/'1. Väestöennuste'!K16*1000</f>
        <v>-439.72673625050186</v>
      </c>
      <c r="AC16" s="41">
        <f>J16/'1. Väestöennuste'!L16*1000</f>
        <v>-378.43022067838166</v>
      </c>
      <c r="AD16" s="41">
        <f>K16/'1. Väestöennuste'!M16*1000</f>
        <v>-380.13533032416905</v>
      </c>
      <c r="AE16" s="41">
        <f>L16/'1. Väestöennuste'!N16*1000</f>
        <v>-501.51566630374379</v>
      </c>
      <c r="AF16" s="41">
        <f>M16/'1. Väestöennuste'!O16*1000</f>
        <v>-528.24631170830514</v>
      </c>
      <c r="AG16" s="41">
        <f>N16/'1. Väestöennuste'!P16*1000</f>
        <v>-551.95624892994999</v>
      </c>
      <c r="AH16" s="41">
        <f>O16/'1. Väestöennuste'!Q16*1000</f>
        <v>-582.1984602766928</v>
      </c>
      <c r="AI16" s="41">
        <f>P16/'1. Väestöennuste'!R16*1000</f>
        <v>-612.3570168121289</v>
      </c>
      <c r="AK16" s="34">
        <v>9</v>
      </c>
      <c r="AL16" s="88" t="s">
        <v>329</v>
      </c>
      <c r="AM16" s="41"/>
      <c r="AN16" s="41">
        <f t="shared" si="15"/>
        <v>98.419219987948097</v>
      </c>
      <c r="AO16" s="41">
        <f t="shared" si="16"/>
        <v>-141.13089975158942</v>
      </c>
      <c r="AP16" s="41">
        <f t="shared" si="17"/>
        <v>72.095575479522836</v>
      </c>
      <c r="AQ16" s="41">
        <f t="shared" si="18"/>
        <v>-266.36320281445933</v>
      </c>
      <c r="AR16" s="41">
        <f t="shared" si="19"/>
        <v>352.04531377975542</v>
      </c>
      <c r="AS16" s="41">
        <f t="shared" si="20"/>
        <v>-340.7994418524089</v>
      </c>
      <c r="AT16" s="41">
        <f t="shared" si="21"/>
        <v>61.2965155721202</v>
      </c>
      <c r="AU16" s="41">
        <f t="shared" si="22"/>
        <v>-1.7051096457873882</v>
      </c>
      <c r="AV16" s="41">
        <f t="shared" si="23"/>
        <v>-121.38033597957474</v>
      </c>
      <c r="AW16" s="41">
        <f t="shared" si="24"/>
        <v>-26.730645404561358</v>
      </c>
      <c r="AX16" s="41">
        <f t="shared" si="25"/>
        <v>-23.70993722164485</v>
      </c>
      <c r="AY16" s="41">
        <f t="shared" si="25"/>
        <v>-30.242211346742806</v>
      </c>
      <c r="AZ16" s="41">
        <f t="shared" si="25"/>
        <v>-30.158556535436105</v>
      </c>
    </row>
    <row r="17" spans="1:52" x14ac:dyDescent="0.2">
      <c r="A17" s="30">
        <v>10</v>
      </c>
      <c r="B17" s="31" t="s">
        <v>330</v>
      </c>
      <c r="C17" s="41">
        <v>-4697</v>
      </c>
      <c r="D17" s="41">
        <v>-3505</v>
      </c>
      <c r="E17" s="73">
        <v>-3441</v>
      </c>
      <c r="F17" s="73">
        <v>-5097</v>
      </c>
      <c r="G17" s="73">
        <v>1040</v>
      </c>
      <c r="H17" s="41">
        <v>-6428</v>
      </c>
      <c r="I17" s="165">
        <v>-4688.9586200000003</v>
      </c>
      <c r="J17" s="41">
        <v>-9217.4400100000003</v>
      </c>
      <c r="K17" s="41">
        <v>-10156.62948</v>
      </c>
      <c r="L17" s="41">
        <f>$L$5*'7.1. Nettoinvestointiennuste '!Y17</f>
        <v>-5934.9190708305659</v>
      </c>
      <c r="M17" s="41">
        <f>$M$5*'7.1. Nettoinvestointiennuste '!Y17</f>
        <v>-6189.2783587769218</v>
      </c>
      <c r="N17" s="41">
        <f>$N$5*'7.1. Nettoinvestointiennuste '!Y17</f>
        <v>-6407.7236927544236</v>
      </c>
      <c r="O17" s="41">
        <f>O$5*'7.1. Nettoinvestointiennuste '!$Y17</f>
        <v>-6693.3552795752548</v>
      </c>
      <c r="P17" s="41">
        <f>P$5*'7.1. Nettoinvestointiennuste '!$Y17</f>
        <v>-6971.2345496272592</v>
      </c>
      <c r="T17" s="34">
        <v>10</v>
      </c>
      <c r="U17" s="88" t="s">
        <v>330</v>
      </c>
      <c r="V17" s="41">
        <f>C17/'1. Väestöennuste'!E17*1000</f>
        <v>-389.98671537695117</v>
      </c>
      <c r="W17" s="41">
        <f>D17/'1. Väestöennuste'!F17*1000</f>
        <v>-294.36465944402454</v>
      </c>
      <c r="X17" s="41">
        <f>E17/'1. Väestöennuste'!G17*1000</f>
        <v>-293.77614616238367</v>
      </c>
      <c r="Y17" s="41">
        <f>F17/'1. Väestöennuste'!H17*1000</f>
        <v>-441.52806652806652</v>
      </c>
      <c r="Z17" s="41">
        <f>G17/'1. Väestöennuste'!I17*1000</f>
        <v>90.687129403557719</v>
      </c>
      <c r="AA17" s="41">
        <f>H17/'1. Väestöennuste'!J17*1000</f>
        <v>-567.24320508295091</v>
      </c>
      <c r="AB17" s="41">
        <f>I17/'1. Väestöennuste'!K17*1000</f>
        <v>-418.76918996159691</v>
      </c>
      <c r="AC17" s="41">
        <f>J17/'1. Väestöennuste'!L17*1000</f>
        <v>-830.25040623311122</v>
      </c>
      <c r="AD17" s="41">
        <f>K17/'1. Väestöennuste'!M17*1000</f>
        <v>-928.98833622976304</v>
      </c>
      <c r="AE17" s="41">
        <f>L17/'1. Väestöennuste'!N17*1000</f>
        <v>-548.76736669723209</v>
      </c>
      <c r="AF17" s="41">
        <f>M17/'1. Väestöennuste'!O17*1000</f>
        <v>-579.19505509797136</v>
      </c>
      <c r="AG17" s="41">
        <f>N17/'1. Väestöennuste'!P17*1000</f>
        <v>-606.67711539049651</v>
      </c>
      <c r="AH17" s="41">
        <f>O17/'1. Väestöennuste'!Q17*1000</f>
        <v>-640.94180595377338</v>
      </c>
      <c r="AI17" s="41">
        <f>P17/'1. Väestöennuste'!R17*1000</f>
        <v>-675.18010165881446</v>
      </c>
      <c r="AK17" s="34">
        <v>10</v>
      </c>
      <c r="AL17" s="88" t="s">
        <v>330</v>
      </c>
      <c r="AM17" s="41"/>
      <c r="AN17" s="41">
        <f t="shared" si="15"/>
        <v>95.622055932926628</v>
      </c>
      <c r="AO17" s="41">
        <f t="shared" si="16"/>
        <v>0.58851328164087136</v>
      </c>
      <c r="AP17" s="41">
        <f t="shared" si="17"/>
        <v>-147.75192036568285</v>
      </c>
      <c r="AQ17" s="41">
        <f t="shared" si="18"/>
        <v>532.21519593162429</v>
      </c>
      <c r="AR17" s="41">
        <f t="shared" si="19"/>
        <v>-657.93033448650863</v>
      </c>
      <c r="AS17" s="41">
        <f t="shared" si="20"/>
        <v>148.474015121354</v>
      </c>
      <c r="AT17" s="41">
        <f t="shared" si="21"/>
        <v>-411.48121627151431</v>
      </c>
      <c r="AU17" s="41">
        <f t="shared" si="22"/>
        <v>-98.737929996651815</v>
      </c>
      <c r="AV17" s="41">
        <f t="shared" si="23"/>
        <v>380.22096953253094</v>
      </c>
      <c r="AW17" s="41">
        <f t="shared" si="24"/>
        <v>-30.427688400739271</v>
      </c>
      <c r="AX17" s="41">
        <f t="shared" si="25"/>
        <v>-27.482060292525148</v>
      </c>
      <c r="AY17" s="41">
        <f t="shared" si="25"/>
        <v>-34.264690563276872</v>
      </c>
      <c r="AZ17" s="41">
        <f t="shared" si="25"/>
        <v>-34.238295705041082</v>
      </c>
    </row>
    <row r="18" spans="1:52" x14ac:dyDescent="0.2">
      <c r="A18" s="30">
        <v>16</v>
      </c>
      <c r="B18" s="31" t="s">
        <v>331</v>
      </c>
      <c r="C18" s="41">
        <v>-1895</v>
      </c>
      <c r="D18" s="41">
        <v>-2255</v>
      </c>
      <c r="E18" s="73">
        <v>-1687</v>
      </c>
      <c r="F18" s="73">
        <v>-919</v>
      </c>
      <c r="G18" s="73">
        <v>-1934</v>
      </c>
      <c r="H18" s="41">
        <v>-2031</v>
      </c>
      <c r="I18" s="165">
        <v>-3107.7228599999999</v>
      </c>
      <c r="J18" s="41">
        <v>-14903.815470000001</v>
      </c>
      <c r="K18" s="41">
        <v>-6115.0997400000006</v>
      </c>
      <c r="L18" s="41">
        <f>$L$5*'7.1. Nettoinvestointiennuste '!Y18</f>
        <v>-6730.1308120756294</v>
      </c>
      <c r="M18" s="41">
        <f>$M$5*'7.1. Nettoinvestointiennuste '!Y18</f>
        <v>-7018.5713553610522</v>
      </c>
      <c r="N18" s="41">
        <f>$N$5*'7.1. Nettoinvestointiennuste '!Y18</f>
        <v>-7266.285882789376</v>
      </c>
      <c r="O18" s="41">
        <f>O$5*'7.1. Nettoinvestointiennuste '!$Y18</f>
        <v>-7590.1888577790432</v>
      </c>
      <c r="P18" s="41">
        <f>P$5*'7.1. Nettoinvestointiennuste '!$Y18</f>
        <v>-7905.3007936107742</v>
      </c>
      <c r="T18" s="34">
        <v>16</v>
      </c>
      <c r="U18" s="88" t="s">
        <v>331</v>
      </c>
      <c r="V18" s="41">
        <f>C18/'1. Väestöennuste'!E18*1000</f>
        <v>-228.67141305659467</v>
      </c>
      <c r="W18" s="41">
        <f>D18/'1. Väestöennuste'!F18*1000</f>
        <v>-270.93596059113298</v>
      </c>
      <c r="X18" s="41">
        <f>E18/'1. Väestöennuste'!G18*1000</f>
        <v>-204.5344325897187</v>
      </c>
      <c r="Y18" s="41">
        <f>F18/'1. Väestöennuste'!H18*1000</f>
        <v>-112.77457356730886</v>
      </c>
      <c r="Z18" s="41">
        <f>G18/'1. Väestöennuste'!I18*1000</f>
        <v>-239.26759866386243</v>
      </c>
      <c r="AA18" s="41">
        <f>H18/'1. Väestöennuste'!J18*1000</f>
        <v>-252.0163792033751</v>
      </c>
      <c r="AB18" s="41">
        <f>I18/'1. Väestöennuste'!K18*1000</f>
        <v>-386.86952072700109</v>
      </c>
      <c r="AC18" s="41">
        <f>J18/'1. Väestöennuste'!L18*1000</f>
        <v>-1859.7224195158474</v>
      </c>
      <c r="AD18" s="41">
        <f>K18/'1. Väestöennuste'!M18*1000</f>
        <v>-767.45729668674699</v>
      </c>
      <c r="AE18" s="41">
        <f>L18/'1. Väestöennuste'!N18*1000</f>
        <v>-853.42769618001887</v>
      </c>
      <c r="AF18" s="41">
        <f>M18/'1. Väestöennuste'!O18*1000</f>
        <v>-895.56863026171391</v>
      </c>
      <c r="AG18" s="41">
        <f>N18/'1. Väestöennuste'!P18*1000</f>
        <v>-932.65124923493465</v>
      </c>
      <c r="AH18" s="41">
        <f>O18/'1. Väestöennuste'!Q18*1000</f>
        <v>-980.26460774622808</v>
      </c>
      <c r="AI18" s="41">
        <f>P18/'1. Väestöennuste'!R18*1000</f>
        <v>-1026.7957908313774</v>
      </c>
      <c r="AK18" s="34">
        <v>16</v>
      </c>
      <c r="AL18" s="88" t="s">
        <v>331</v>
      </c>
      <c r="AM18" s="41"/>
      <c r="AN18" s="41">
        <f t="shared" si="15"/>
        <v>-42.264547534538309</v>
      </c>
      <c r="AO18" s="41">
        <f t="shared" si="16"/>
        <v>66.401528001414277</v>
      </c>
      <c r="AP18" s="41">
        <f t="shared" si="17"/>
        <v>91.759859022409842</v>
      </c>
      <c r="AQ18" s="41">
        <f t="shared" si="18"/>
        <v>-126.49302509655357</v>
      </c>
      <c r="AR18" s="41">
        <f t="shared" si="19"/>
        <v>-12.748780539512666</v>
      </c>
      <c r="AS18" s="41">
        <f t="shared" si="20"/>
        <v>-134.85314152362599</v>
      </c>
      <c r="AT18" s="41">
        <f t="shared" si="21"/>
        <v>-1472.8528987888462</v>
      </c>
      <c r="AU18" s="41">
        <f t="shared" si="22"/>
        <v>1092.2651228291004</v>
      </c>
      <c r="AV18" s="41">
        <f t="shared" si="23"/>
        <v>-85.970399493271884</v>
      </c>
      <c r="AW18" s="41">
        <f t="shared" si="24"/>
        <v>-42.140934081695036</v>
      </c>
      <c r="AX18" s="41">
        <f t="shared" si="25"/>
        <v>-37.082618973220747</v>
      </c>
      <c r="AY18" s="41">
        <f t="shared" si="25"/>
        <v>-47.613358511293427</v>
      </c>
      <c r="AZ18" s="41">
        <f t="shared" si="25"/>
        <v>-46.531183085149337</v>
      </c>
    </row>
    <row r="19" spans="1:52" x14ac:dyDescent="0.2">
      <c r="A19" s="30">
        <v>18</v>
      </c>
      <c r="B19" s="31" t="s">
        <v>332</v>
      </c>
      <c r="C19" s="41">
        <v>-2484</v>
      </c>
      <c r="D19" s="41">
        <v>-1290</v>
      </c>
      <c r="E19" s="73">
        <v>-3033</v>
      </c>
      <c r="F19" s="73">
        <v>-1776</v>
      </c>
      <c r="G19" s="73">
        <v>-3592</v>
      </c>
      <c r="H19" s="41">
        <v>-3404</v>
      </c>
      <c r="I19" s="165">
        <v>-862.23201000000006</v>
      </c>
      <c r="J19" s="41">
        <v>-729.98186999999996</v>
      </c>
      <c r="K19" s="41">
        <v>-1100.1548700000001</v>
      </c>
      <c r="L19" s="41">
        <f>$L$5*'7.1. Nettoinvestointiennuste '!Y19</f>
        <v>-2300.1947455996478</v>
      </c>
      <c r="M19" s="41">
        <f>$M$5*'7.1. Nettoinvestointiennuste '!Y19</f>
        <v>-2398.776696026614</v>
      </c>
      <c r="N19" s="41">
        <f>$N$5*'7.1. Nettoinvestointiennuste '!Y19</f>
        <v>-2483.4394864402821</v>
      </c>
      <c r="O19" s="41">
        <f>O$5*'7.1. Nettoinvestointiennuste '!$Y19</f>
        <v>-2594.1416320536377</v>
      </c>
      <c r="P19" s="41">
        <f>P$5*'7.1. Nettoinvestointiennuste '!$Y19</f>
        <v>-2701.8392146586243</v>
      </c>
      <c r="T19" s="34">
        <v>18</v>
      </c>
      <c r="U19" s="88" t="s">
        <v>332</v>
      </c>
      <c r="V19" s="41">
        <f>C19/'1. Väestöennuste'!E19*1000</f>
        <v>-486.67711598746081</v>
      </c>
      <c r="W19" s="41">
        <f>D19/'1. Väestöennuste'!F19*1000</f>
        <v>-255.64803804994057</v>
      </c>
      <c r="X19" s="41">
        <f>E19/'1. Väestöennuste'!G19*1000</f>
        <v>-607.81563126252502</v>
      </c>
      <c r="Y19" s="41">
        <f>F19/'1. Väestöennuste'!H19*1000</f>
        <v>-358.20895522388059</v>
      </c>
      <c r="Z19" s="41">
        <f>G19/'1. Väestöennuste'!I19*1000</f>
        <v>-726.68419987861625</v>
      </c>
      <c r="AA19" s="41">
        <f>H19/'1. Väestöennuste'!J19*1000</f>
        <v>-697.82697826978267</v>
      </c>
      <c r="AB19" s="41">
        <f>I19/'1. Väestöennuste'!K19*1000</f>
        <v>-177.88983082318961</v>
      </c>
      <c r="AC19" s="41">
        <f>J19/'1. Väestöennuste'!L19*1000</f>
        <v>-153.26094268318286</v>
      </c>
      <c r="AD19" s="41">
        <f>K19/'1. Väestöennuste'!M19*1000</f>
        <v>-234.07550425531917</v>
      </c>
      <c r="AE19" s="41">
        <f>L19/'1. Väestöennuste'!N19*1000</f>
        <v>-485.88820143634302</v>
      </c>
      <c r="AF19" s="41">
        <f>M19/'1. Väestöennuste'!O19*1000</f>
        <v>-509.40256870388913</v>
      </c>
      <c r="AG19" s="41">
        <f>N19/'1. Väestöennuste'!P19*1000</f>
        <v>-529.97001417846388</v>
      </c>
      <c r="AH19" s="41">
        <f>O19/'1. Väestöennuste'!Q19*1000</f>
        <v>-556.08609475962226</v>
      </c>
      <c r="AI19" s="41">
        <f>P19/'1. Väestöennuste'!R19*1000</f>
        <v>-582.04205399798025</v>
      </c>
      <c r="AK19" s="34">
        <v>18</v>
      </c>
      <c r="AL19" s="88" t="s">
        <v>332</v>
      </c>
      <c r="AM19" s="41"/>
      <c r="AN19" s="41">
        <f t="shared" si="15"/>
        <v>231.02907793752024</v>
      </c>
      <c r="AO19" s="41">
        <f t="shared" si="16"/>
        <v>-352.16759321258445</v>
      </c>
      <c r="AP19" s="41">
        <f t="shared" si="17"/>
        <v>249.60667603864442</v>
      </c>
      <c r="AQ19" s="41">
        <f t="shared" si="18"/>
        <v>-368.47524465473566</v>
      </c>
      <c r="AR19" s="41">
        <f t="shared" si="19"/>
        <v>28.857221608833584</v>
      </c>
      <c r="AS19" s="41">
        <f t="shared" si="20"/>
        <v>519.93714744659303</v>
      </c>
      <c r="AT19" s="41">
        <f t="shared" si="21"/>
        <v>24.628888140006751</v>
      </c>
      <c r="AU19" s="41">
        <f t="shared" si="22"/>
        <v>-80.814561572136313</v>
      </c>
      <c r="AV19" s="41">
        <f t="shared" si="23"/>
        <v>-251.81269718102385</v>
      </c>
      <c r="AW19" s="41">
        <f t="shared" si="24"/>
        <v>-23.514367267546106</v>
      </c>
      <c r="AX19" s="41">
        <f t="shared" si="25"/>
        <v>-20.567445474574754</v>
      </c>
      <c r="AY19" s="41">
        <f t="shared" si="25"/>
        <v>-26.116080581158371</v>
      </c>
      <c r="AZ19" s="41">
        <f t="shared" si="25"/>
        <v>-25.955959238357991</v>
      </c>
    </row>
    <row r="20" spans="1:52" x14ac:dyDescent="0.2">
      <c r="A20" s="30">
        <v>19</v>
      </c>
      <c r="B20" s="31" t="s">
        <v>333</v>
      </c>
      <c r="C20" s="41">
        <v>-1321</v>
      </c>
      <c r="D20" s="41">
        <v>-678</v>
      </c>
      <c r="E20" s="73">
        <v>-615</v>
      </c>
      <c r="F20" s="73">
        <v>-1620</v>
      </c>
      <c r="G20" s="73">
        <v>-1064</v>
      </c>
      <c r="H20" s="41">
        <v>-706</v>
      </c>
      <c r="I20" s="165">
        <v>-723.64837</v>
      </c>
      <c r="J20" s="41">
        <v>-1141.2738300000001</v>
      </c>
      <c r="K20" s="41">
        <v>-1154.3588999999999</v>
      </c>
      <c r="L20" s="41">
        <f>$L$5*'7.1. Nettoinvestointiennuste '!Y20</f>
        <v>-1016.2327837320543</v>
      </c>
      <c r="M20" s="41">
        <f>$M$5*'7.1. Nettoinvestointiennuste '!Y20</f>
        <v>-1059.7865785139018</v>
      </c>
      <c r="N20" s="41">
        <f>$N$5*'7.1. Nettoinvestointiennuste '!Y20</f>
        <v>-1097.1908475851174</v>
      </c>
      <c r="O20" s="41">
        <f>O$5*'7.1. Nettoinvestointiennuste '!$Y20</f>
        <v>-1146.0993801417569</v>
      </c>
      <c r="P20" s="41">
        <f>P$5*'7.1. Nettoinvestointiennuste '!$Y20</f>
        <v>-1193.6804879506728</v>
      </c>
      <c r="T20" s="34">
        <v>19</v>
      </c>
      <c r="U20" s="88" t="s">
        <v>333</v>
      </c>
      <c r="V20" s="41">
        <f>C20/'1. Väestöennuste'!E20*1000</f>
        <v>-331.40993477170093</v>
      </c>
      <c r="W20" s="41">
        <f>D20/'1. Väestöennuste'!F20*1000</f>
        <v>-170.18072289156626</v>
      </c>
      <c r="X20" s="41">
        <f>E20/'1. Väestöennuste'!G20*1000</f>
        <v>-154.09671761463292</v>
      </c>
      <c r="Y20" s="41">
        <f>F20/'1. Väestöennuste'!H20*1000</f>
        <v>-406.62650602409639</v>
      </c>
      <c r="Z20" s="41">
        <f>G20/'1. Väestöennuste'!I20*1000</f>
        <v>-269.98223801065717</v>
      </c>
      <c r="AA20" s="41">
        <f>H20/'1. Väestöennuste'!J20*1000</f>
        <v>-178.32786057085124</v>
      </c>
      <c r="AB20" s="41">
        <f>I20/'1. Väestöennuste'!K20*1000</f>
        <v>-182.97051074589126</v>
      </c>
      <c r="AC20" s="41">
        <f>J20/'1. Väestöennuste'!L20*1000</f>
        <v>-287.83703152585122</v>
      </c>
      <c r="AD20" s="41">
        <f>K20/'1. Väestöennuste'!M20*1000</f>
        <v>-291.4311789952032</v>
      </c>
      <c r="AE20" s="41">
        <f>L20/'1. Väestöennuste'!N20*1000</f>
        <v>-256.49489745887286</v>
      </c>
      <c r="AF20" s="41">
        <f>M20/'1. Väestöennuste'!O20*1000</f>
        <v>-267.15063738691754</v>
      </c>
      <c r="AG20" s="41">
        <f>N20/'1. Väestöennuste'!P20*1000</f>
        <v>-276.16180407377732</v>
      </c>
      <c r="AH20" s="41">
        <f>O20/'1. Väestöennuste'!Q20*1000</f>
        <v>-287.82003519381141</v>
      </c>
      <c r="AI20" s="41">
        <f>P20/'1. Väestöennuste'!R20*1000</f>
        <v>-299.31807621631719</v>
      </c>
      <c r="AK20" s="34">
        <v>19</v>
      </c>
      <c r="AL20" s="88" t="s">
        <v>333</v>
      </c>
      <c r="AM20" s="41"/>
      <c r="AN20" s="41">
        <f t="shared" si="15"/>
        <v>161.22921188013467</v>
      </c>
      <c r="AO20" s="41">
        <f t="shared" si="16"/>
        <v>16.08400527693334</v>
      </c>
      <c r="AP20" s="41">
        <f t="shared" si="17"/>
        <v>-252.52978840946346</v>
      </c>
      <c r="AQ20" s="41">
        <f t="shared" si="18"/>
        <v>136.64426801343922</v>
      </c>
      <c r="AR20" s="41">
        <f t="shared" si="19"/>
        <v>91.654377439805927</v>
      </c>
      <c r="AS20" s="41">
        <f t="shared" si="20"/>
        <v>-4.6426501750400178</v>
      </c>
      <c r="AT20" s="41">
        <f t="shared" si="21"/>
        <v>-104.86652077995996</v>
      </c>
      <c r="AU20" s="41">
        <f t="shared" si="22"/>
        <v>-3.5941474693519808</v>
      </c>
      <c r="AV20" s="41">
        <f t="shared" si="23"/>
        <v>34.936281536330341</v>
      </c>
      <c r="AW20" s="41">
        <f t="shared" si="24"/>
        <v>-10.655739928044682</v>
      </c>
      <c r="AX20" s="41">
        <f t="shared" si="25"/>
        <v>-9.0111666868597808</v>
      </c>
      <c r="AY20" s="41">
        <f t="shared" si="25"/>
        <v>-11.658231120034088</v>
      </c>
      <c r="AZ20" s="41">
        <f t="shared" si="25"/>
        <v>-11.498041022505788</v>
      </c>
    </row>
    <row r="21" spans="1:52" x14ac:dyDescent="0.2">
      <c r="A21" s="30">
        <v>20</v>
      </c>
      <c r="B21" s="31" t="s">
        <v>334</v>
      </c>
      <c r="C21" s="41">
        <v>-7467</v>
      </c>
      <c r="D21" s="41">
        <v>-1927</v>
      </c>
      <c r="E21" s="73">
        <v>-984</v>
      </c>
      <c r="F21" s="73">
        <v>-3289</v>
      </c>
      <c r="G21" s="73">
        <v>-5130</v>
      </c>
      <c r="H21" s="41">
        <v>-9604</v>
      </c>
      <c r="I21" s="165">
        <v>-18681.755550000002</v>
      </c>
      <c r="J21" s="41">
        <v>-21960.526890000001</v>
      </c>
      <c r="K21" s="41">
        <v>-13564.740750000001</v>
      </c>
      <c r="L21" s="41">
        <f>$L$5*'7.1. Nettoinvestointiennuste '!Y21</f>
        <v>-15686.975948016858</v>
      </c>
      <c r="M21" s="41">
        <f>$M$5*'7.1. Nettoinvestointiennuste '!Y21</f>
        <v>-16359.289754582509</v>
      </c>
      <c r="N21" s="41">
        <f>$N$5*'7.1. Nettoinvestointiennuste '!Y21</f>
        <v>-16936.67702122674</v>
      </c>
      <c r="O21" s="41">
        <f>O$5*'7.1. Nettoinvestointiennuste '!$Y21</f>
        <v>-17691.648703060513</v>
      </c>
      <c r="P21" s="41">
        <f>P$5*'7.1. Nettoinvestointiennuste '!$Y21</f>
        <v>-18426.129725250463</v>
      </c>
      <c r="T21" s="34">
        <v>20</v>
      </c>
      <c r="U21" s="88" t="s">
        <v>334</v>
      </c>
      <c r="V21" s="41">
        <f>C21/'1. Väestöennuste'!E21*1000</f>
        <v>-438.12709030100331</v>
      </c>
      <c r="W21" s="41">
        <f>D21/'1. Väestöennuste'!F21*1000</f>
        <v>-113.86869940317911</v>
      </c>
      <c r="X21" s="41">
        <f>E21/'1. Väestöennuste'!G21*1000</f>
        <v>-58.679706601466989</v>
      </c>
      <c r="Y21" s="41">
        <f>F21/'1. Väestöennuste'!H21*1000</f>
        <v>-198.00132442357474</v>
      </c>
      <c r="Z21" s="41">
        <f>G21/'1. Väestöennuste'!I21*1000</f>
        <v>-311.38088012139605</v>
      </c>
      <c r="AA21" s="41">
        <f>H21/'1. Väestöennuste'!J21*1000</f>
        <v>-585.93130376426086</v>
      </c>
      <c r="AB21" s="41">
        <f>I21/'1. Väestöennuste'!K21*1000</f>
        <v>-1134.4966022955</v>
      </c>
      <c r="AC21" s="41">
        <f>J21/'1. Väestöennuste'!L21*1000</f>
        <v>-1333.1224968129666</v>
      </c>
      <c r="AD21" s="41">
        <f>K21/'1. Väestöennuste'!M21*1000</f>
        <v>-826.8662450472417</v>
      </c>
      <c r="AE21" s="41">
        <f>L21/'1. Väestöennuste'!N21*1000</f>
        <v>-986.23009858021237</v>
      </c>
      <c r="AF21" s="41">
        <f>M21/'1. Väestöennuste'!O21*1000</f>
        <v>-1035.7258470770819</v>
      </c>
      <c r="AG21" s="41">
        <f>N21/'1. Väestöennuste'!P21*1000</f>
        <v>-1079.3192085920687</v>
      </c>
      <c r="AH21" s="41">
        <f>O21/'1. Väestöennuste'!Q21*1000</f>
        <v>-1134.443648801572</v>
      </c>
      <c r="AI21" s="41">
        <f>P21/'1. Väestöennuste'!R21*1000</f>
        <v>-1188.6291914108156</v>
      </c>
      <c r="AK21" s="34">
        <v>20</v>
      </c>
      <c r="AL21" s="88" t="s">
        <v>334</v>
      </c>
      <c r="AM21" s="41"/>
      <c r="AN21" s="41">
        <f t="shared" si="15"/>
        <v>324.2583908978242</v>
      </c>
      <c r="AO21" s="41">
        <f t="shared" si="16"/>
        <v>55.188992801712118</v>
      </c>
      <c r="AP21" s="41">
        <f t="shared" si="17"/>
        <v>-139.32161782210775</v>
      </c>
      <c r="AQ21" s="41">
        <f t="shared" si="18"/>
        <v>-113.3795556978213</v>
      </c>
      <c r="AR21" s="41">
        <f t="shared" si="19"/>
        <v>-274.55042364286481</v>
      </c>
      <c r="AS21" s="41">
        <f t="shared" si="20"/>
        <v>-548.56529853123914</v>
      </c>
      <c r="AT21" s="41">
        <f t="shared" si="21"/>
        <v>-198.62589451746658</v>
      </c>
      <c r="AU21" s="41">
        <f t="shared" si="22"/>
        <v>506.25625176572487</v>
      </c>
      <c r="AV21" s="41">
        <f t="shared" si="23"/>
        <v>-159.36385353297067</v>
      </c>
      <c r="AW21" s="41">
        <f t="shared" si="24"/>
        <v>-49.49574849686951</v>
      </c>
      <c r="AX21" s="41">
        <f t="shared" si="25"/>
        <v>-43.593361514986782</v>
      </c>
      <c r="AY21" s="41">
        <f t="shared" si="25"/>
        <v>-55.124440209503291</v>
      </c>
      <c r="AZ21" s="41">
        <f t="shared" si="25"/>
        <v>-54.185542609243612</v>
      </c>
    </row>
    <row r="22" spans="1:52" x14ac:dyDescent="0.2">
      <c r="A22" s="30">
        <v>46</v>
      </c>
      <c r="B22" s="31" t="s">
        <v>335</v>
      </c>
      <c r="C22" s="41">
        <v>-498</v>
      </c>
      <c r="D22" s="41">
        <v>-572</v>
      </c>
      <c r="E22" s="73">
        <v>-753</v>
      </c>
      <c r="F22" s="73">
        <v>-696</v>
      </c>
      <c r="G22" s="73">
        <v>-550</v>
      </c>
      <c r="H22" s="41">
        <v>-145</v>
      </c>
      <c r="I22" s="165">
        <v>-291.94833</v>
      </c>
      <c r="J22" s="41">
        <v>-1284.25046</v>
      </c>
      <c r="K22" s="41">
        <v>-601.43746999999996</v>
      </c>
      <c r="L22" s="41">
        <f>$L$5*'7.1. Nettoinvestointiennuste '!Y22</f>
        <v>-528.12411080678328</v>
      </c>
      <c r="M22" s="41">
        <f>$M$5*'7.1. Nettoinvestointiennuste '!Y22</f>
        <v>-550.75850079069198</v>
      </c>
      <c r="N22" s="41">
        <f>$N$5*'7.1. Nettoinvestointiennuste '!Y22</f>
        <v>-570.19705528316535</v>
      </c>
      <c r="O22" s="41">
        <f>O$5*'7.1. Nettoinvestointiennuste '!$Y22</f>
        <v>-595.6142389056829</v>
      </c>
      <c r="P22" s="41">
        <f>P$5*'7.1. Nettoinvestointiennuste '!$Y22</f>
        <v>-620.34157564884686</v>
      </c>
      <c r="T22" s="34">
        <v>46</v>
      </c>
      <c r="U22" s="88" t="s">
        <v>335</v>
      </c>
      <c r="V22" s="41">
        <f>C22/'1. Väestöennuste'!E22*1000</f>
        <v>-338.08553971486759</v>
      </c>
      <c r="W22" s="41">
        <f>D22/'1. Väestöennuste'!F22*1000</f>
        <v>-393.66827253957331</v>
      </c>
      <c r="X22" s="41">
        <f>E22/'1. Väestöennuste'!G22*1000</f>
        <v>-531.77966101694915</v>
      </c>
      <c r="Y22" s="41">
        <f>F22/'1. Väestöennuste'!H22*1000</f>
        <v>-495.37366548042706</v>
      </c>
      <c r="Z22" s="41">
        <f>G22/'1. Väestöennuste'!I22*1000</f>
        <v>-404.11462160176342</v>
      </c>
      <c r="AA22" s="41">
        <f>H22/'1. Väestöennuste'!J22*1000</f>
        <v>-105.91672753834916</v>
      </c>
      <c r="AB22" s="41">
        <f>I22/'1. Väestöennuste'!K22*1000</f>
        <v>-214.3526651982379</v>
      </c>
      <c r="AC22" s="41">
        <f>J22/'1. Väestöennuste'!L22*1000</f>
        <v>-957.68117822520503</v>
      </c>
      <c r="AD22" s="41">
        <f>K22/'1. Väestöennuste'!M22*1000</f>
        <v>-455.63444696969697</v>
      </c>
      <c r="AE22" s="41">
        <f>L22/'1. Väestöennuste'!N22*1000</f>
        <v>-401.92093668704968</v>
      </c>
      <c r="AF22" s="41">
        <f>M22/'1. Väestöennuste'!O22*1000</f>
        <v>-423.66038522360924</v>
      </c>
      <c r="AG22" s="41">
        <f>N22/'1. Väestöennuste'!P22*1000</f>
        <v>-443.04355499857451</v>
      </c>
      <c r="AH22" s="41">
        <f>O22/'1. Väestöennuste'!Q22*1000</f>
        <v>-467.51510118185467</v>
      </c>
      <c r="AI22" s="41">
        <f>P22/'1. Väestöennuste'!R22*1000</f>
        <v>-492.72563594030726</v>
      </c>
      <c r="AK22" s="34">
        <v>46</v>
      </c>
      <c r="AL22" s="88" t="s">
        <v>335</v>
      </c>
      <c r="AM22" s="41"/>
      <c r="AN22" s="41">
        <f t="shared" si="15"/>
        <v>-55.582732824705715</v>
      </c>
      <c r="AO22" s="41">
        <f t="shared" si="16"/>
        <v>-138.11138847737584</v>
      </c>
      <c r="AP22" s="41">
        <f t="shared" si="17"/>
        <v>36.405995536522084</v>
      </c>
      <c r="AQ22" s="41">
        <f t="shared" si="18"/>
        <v>91.259043878663647</v>
      </c>
      <c r="AR22" s="41">
        <f t="shared" si="19"/>
        <v>298.19789406341425</v>
      </c>
      <c r="AS22" s="41">
        <f t="shared" si="20"/>
        <v>-108.43593765988874</v>
      </c>
      <c r="AT22" s="41">
        <f t="shared" si="21"/>
        <v>-743.32851302696713</v>
      </c>
      <c r="AU22" s="41">
        <f t="shared" si="22"/>
        <v>502.04673125550806</v>
      </c>
      <c r="AV22" s="41">
        <f t="shared" si="23"/>
        <v>53.713510282647292</v>
      </c>
      <c r="AW22" s="41">
        <f t="shared" si="24"/>
        <v>-21.739448536559564</v>
      </c>
      <c r="AX22" s="41">
        <f t="shared" si="25"/>
        <v>-19.383169774965268</v>
      </c>
      <c r="AY22" s="41">
        <f t="shared" si="25"/>
        <v>-24.471546183280168</v>
      </c>
      <c r="AZ22" s="41">
        <f t="shared" si="25"/>
        <v>-25.210534758452582</v>
      </c>
    </row>
    <row r="23" spans="1:52" x14ac:dyDescent="0.2">
      <c r="A23" s="30">
        <v>47</v>
      </c>
      <c r="B23" s="31" t="s">
        <v>336</v>
      </c>
      <c r="C23" s="41">
        <v>-833</v>
      </c>
      <c r="D23" s="41">
        <v>-261</v>
      </c>
      <c r="E23" s="73">
        <v>-372</v>
      </c>
      <c r="F23" s="73">
        <v>-316</v>
      </c>
      <c r="G23" s="73">
        <v>-938</v>
      </c>
      <c r="H23" s="41">
        <v>-1412</v>
      </c>
      <c r="I23" s="165">
        <v>7823.4095900000002</v>
      </c>
      <c r="J23" s="41">
        <v>-1465.9786299999998</v>
      </c>
      <c r="K23" s="41">
        <v>-762.67507999999998</v>
      </c>
      <c r="L23" s="41">
        <f>$L$5*'7.1. Nettoinvestointiennuste '!Y23</f>
        <v>-2807.1959399019111</v>
      </c>
      <c r="M23" s="41">
        <f>$M$5*'7.1. Nettoinvestointiennuste '!Y23</f>
        <v>-2927.5069924836985</v>
      </c>
      <c r="N23" s="41">
        <f>$N$5*'7.1. Nettoinvestointiennuste '!Y23</f>
        <v>-3030.830870587793</v>
      </c>
      <c r="O23" s="41">
        <f>O$5*'7.1. Nettoinvestointiennuste '!$Y23</f>
        <v>-3165.9336110399831</v>
      </c>
      <c r="P23" s="41">
        <f>P$5*'7.1. Nettoinvestointiennuste '!$Y23</f>
        <v>-3297.3695328045792</v>
      </c>
      <c r="T23" s="34">
        <v>47</v>
      </c>
      <c r="U23" s="88" t="s">
        <v>336</v>
      </c>
      <c r="V23" s="41">
        <f>C23/'1. Väestöennuste'!E23*1000</f>
        <v>-447.60881246641594</v>
      </c>
      <c r="W23" s="41">
        <f>D23/'1. Väestöennuste'!F23*1000</f>
        <v>-139.42307692307693</v>
      </c>
      <c r="X23" s="41">
        <f>E23/'1. Väestöennuste'!G23*1000</f>
        <v>-196.51347068145799</v>
      </c>
      <c r="Y23" s="41">
        <f>F23/'1. Väestöennuste'!H23*1000</f>
        <v>-170.62634989200865</v>
      </c>
      <c r="Z23" s="41">
        <f>G23/'1. Väestöennuste'!I23*1000</f>
        <v>-510.33732317736667</v>
      </c>
      <c r="AA23" s="41">
        <f>H23/'1. Väestöennuste'!J23*1000</f>
        <v>-780.97345132743362</v>
      </c>
      <c r="AB23" s="41">
        <f>I23/'1. Väestöennuste'!K23*1000</f>
        <v>4373.0629346003361</v>
      </c>
      <c r="AC23" s="41">
        <f>J23/'1. Väestöennuste'!L23*1000</f>
        <v>-809.48571507454437</v>
      </c>
      <c r="AD23" s="41">
        <f>K23/'1. Väestöennuste'!M23*1000</f>
        <v>-430.64657255787694</v>
      </c>
      <c r="AE23" s="41">
        <f>L23/'1. Väestöennuste'!N23*1000</f>
        <v>-1582.4103381634222</v>
      </c>
      <c r="AF23" s="41">
        <f>M23/'1. Väestöennuste'!O23*1000</f>
        <v>-1655.8297468799199</v>
      </c>
      <c r="AG23" s="41">
        <f>N23/'1. Väestöennuste'!P23*1000</f>
        <v>-1721.0851053877302</v>
      </c>
      <c r="AH23" s="41">
        <f>O23/'1. Väestöennuste'!Q23*1000</f>
        <v>-1806.0089053279994</v>
      </c>
      <c r="AI23" s="41">
        <f>P23/'1. Väestöennuste'!R23*1000</f>
        <v>-1889.6100474524808</v>
      </c>
      <c r="AK23" s="34">
        <v>47</v>
      </c>
      <c r="AL23" s="88" t="s">
        <v>336</v>
      </c>
      <c r="AM23" s="41"/>
      <c r="AN23" s="41">
        <f t="shared" si="15"/>
        <v>308.18573554333898</v>
      </c>
      <c r="AO23" s="41">
        <f t="shared" si="16"/>
        <v>-57.090393758381055</v>
      </c>
      <c r="AP23" s="41">
        <f t="shared" si="17"/>
        <v>25.887120789449341</v>
      </c>
      <c r="AQ23" s="41">
        <f t="shared" si="18"/>
        <v>-339.71097328535802</v>
      </c>
      <c r="AR23" s="41">
        <f t="shared" si="19"/>
        <v>-270.63612815006695</v>
      </c>
      <c r="AS23" s="41">
        <f t="shared" si="20"/>
        <v>5154.0363859277695</v>
      </c>
      <c r="AT23" s="41">
        <f t="shared" si="21"/>
        <v>-5182.5486496748808</v>
      </c>
      <c r="AU23" s="41">
        <f t="shared" si="22"/>
        <v>378.83914251666744</v>
      </c>
      <c r="AV23" s="41">
        <f t="shared" si="23"/>
        <v>-1151.7637656055454</v>
      </c>
      <c r="AW23" s="41">
        <f t="shared" si="24"/>
        <v>-73.419408716497628</v>
      </c>
      <c r="AX23" s="41">
        <f t="shared" si="25"/>
        <v>-65.255358507810342</v>
      </c>
      <c r="AY23" s="41">
        <f t="shared" si="25"/>
        <v>-84.923799940269191</v>
      </c>
      <c r="AZ23" s="41">
        <f t="shared" si="25"/>
        <v>-83.601142124481385</v>
      </c>
    </row>
    <row r="24" spans="1:52" x14ac:dyDescent="0.2">
      <c r="A24" s="30">
        <v>49</v>
      </c>
      <c r="B24" s="31" t="s">
        <v>337</v>
      </c>
      <c r="C24" s="41">
        <v>-262144</v>
      </c>
      <c r="D24" s="41">
        <v>-207836</v>
      </c>
      <c r="E24" s="73">
        <v>-234103</v>
      </c>
      <c r="F24" s="73">
        <v>-205837</v>
      </c>
      <c r="G24" s="73">
        <v>-201693</v>
      </c>
      <c r="H24" s="41">
        <v>-271043</v>
      </c>
      <c r="I24" s="165">
        <v>-220631.78740999999</v>
      </c>
      <c r="J24" s="41">
        <v>-44999.140899999999</v>
      </c>
      <c r="K24" s="41">
        <v>-211654.09026</v>
      </c>
      <c r="L24" s="41">
        <f>$L$5*'7.1. Nettoinvestointiennuste '!Y24</f>
        <v>-213570.0837192841</v>
      </c>
      <c r="M24" s="41">
        <f>$M$5*'7.1. Nettoinvestointiennuste '!Y24</f>
        <v>-222723.28931032147</v>
      </c>
      <c r="N24" s="41">
        <f>$N$5*'7.1. Nettoinvestointiennuste '!Y24</f>
        <v>-230584.11903838938</v>
      </c>
      <c r="O24" s="41">
        <f>O$5*'7.1. Nettoinvestointiennuste '!$Y24</f>
        <v>-240862.66895325112</v>
      </c>
      <c r="P24" s="41">
        <f>P$5*'7.1. Nettoinvestointiennuste '!$Y24</f>
        <v>-250862.24910937191</v>
      </c>
      <c r="T24" s="34">
        <v>49</v>
      </c>
      <c r="U24" s="88" t="s">
        <v>337</v>
      </c>
      <c r="V24" s="41">
        <f>C24/'1. Väestöennuste'!E24*1000</f>
        <v>-971.61622226669931</v>
      </c>
      <c r="W24" s="41">
        <f>D24/'1. Väestöennuste'!F24*1000</f>
        <v>-756.91503115633532</v>
      </c>
      <c r="X24" s="41">
        <f>E24/'1. Väestöennuste'!G24*1000</f>
        <v>-838.94654606441998</v>
      </c>
      <c r="Y24" s="41">
        <f>F24/'1. Väestöennuste'!H24*1000</f>
        <v>-725.71853669543634</v>
      </c>
      <c r="Z24" s="41">
        <f>G24/'1. Väestöennuste'!I24*1000</f>
        <v>-696.1388322271348</v>
      </c>
      <c r="AA24" s="41">
        <f>H24/'1. Väestöennuste'!J24*1000</f>
        <v>-925.70595226710748</v>
      </c>
      <c r="AB24" s="41">
        <f>I24/'1. Väestöennuste'!K24*1000</f>
        <v>-742.53795420890378</v>
      </c>
      <c r="AC24" s="41">
        <f>J24/'1. Väestöennuste'!L24*1000</f>
        <v>-147.40574336497701</v>
      </c>
      <c r="AD24" s="41">
        <f>K24/'1. Väestöennuste'!M24*1000</f>
        <v>-674.00609590349779</v>
      </c>
      <c r="AE24" s="41">
        <f>L24/'1. Väestöennuste'!N24*1000</f>
        <v>-687.08505708586256</v>
      </c>
      <c r="AF24" s="41">
        <f>M24/'1. Väestöennuste'!O24*1000</f>
        <v>-707.6264088627421</v>
      </c>
      <c r="AG24" s="41">
        <f>N24/'1. Väestöennuste'!P24*1000</f>
        <v>-724.04172173778647</v>
      </c>
      <c r="AH24" s="41">
        <f>O24/'1. Väestöennuste'!Q24*1000</f>
        <v>-747.99980420811573</v>
      </c>
      <c r="AI24" s="41">
        <f>P24/'1. Väestöennuste'!R24*1000</f>
        <v>-770.99186513256029</v>
      </c>
      <c r="AK24" s="34">
        <v>49</v>
      </c>
      <c r="AL24" s="88" t="s">
        <v>337</v>
      </c>
      <c r="AM24" s="41"/>
      <c r="AN24" s="41">
        <f t="shared" si="15"/>
        <v>214.70119111036399</v>
      </c>
      <c r="AO24" s="41">
        <f t="shared" si="16"/>
        <v>-82.03151490808466</v>
      </c>
      <c r="AP24" s="41">
        <f t="shared" si="17"/>
        <v>113.22800936898363</v>
      </c>
      <c r="AQ24" s="41">
        <f t="shared" si="18"/>
        <v>29.579704468301543</v>
      </c>
      <c r="AR24" s="41">
        <f t="shared" si="19"/>
        <v>-229.56712003997268</v>
      </c>
      <c r="AS24" s="41">
        <f t="shared" si="20"/>
        <v>183.16799805820369</v>
      </c>
      <c r="AT24" s="41">
        <f t="shared" si="21"/>
        <v>595.13221084392671</v>
      </c>
      <c r="AU24" s="41">
        <f t="shared" si="22"/>
        <v>-526.60035253852084</v>
      </c>
      <c r="AV24" s="41">
        <f t="shared" si="23"/>
        <v>-13.078961182364765</v>
      </c>
      <c r="AW24" s="41">
        <f t="shared" si="24"/>
        <v>-20.541351776879537</v>
      </c>
      <c r="AX24" s="41">
        <f t="shared" si="25"/>
        <v>-16.415312875044378</v>
      </c>
      <c r="AY24" s="41">
        <f t="shared" si="25"/>
        <v>-23.958082470329259</v>
      </c>
      <c r="AZ24" s="41">
        <f t="shared" si="25"/>
        <v>-22.992060924444559</v>
      </c>
    </row>
    <row r="25" spans="1:52" x14ac:dyDescent="0.2">
      <c r="A25" s="30">
        <v>50</v>
      </c>
      <c r="B25" s="31" t="s">
        <v>338</v>
      </c>
      <c r="C25" s="41">
        <v>-6376</v>
      </c>
      <c r="D25" s="41">
        <v>-4977</v>
      </c>
      <c r="E25" s="73">
        <v>-4581</v>
      </c>
      <c r="F25" s="73">
        <v>-3572</v>
      </c>
      <c r="G25" s="73">
        <v>-7662</v>
      </c>
      <c r="H25" s="41">
        <v>-5062</v>
      </c>
      <c r="I25" s="165">
        <v>-4261.5099400000008</v>
      </c>
      <c r="J25" s="41">
        <v>-2479.9483</v>
      </c>
      <c r="K25" s="41">
        <v>-5024.3446199999998</v>
      </c>
      <c r="L25" s="41">
        <f>$L$5*'7.1. Nettoinvestointiennuste '!Y25</f>
        <v>-3993.9400198570374</v>
      </c>
      <c r="M25" s="41">
        <f>$M$5*'7.1. Nettoinvestointiennuste '!Y25</f>
        <v>-4165.1126554780185</v>
      </c>
      <c r="N25" s="41">
        <f>$N$5*'7.1. Nettoinvestointiennuste '!Y25</f>
        <v>-4312.1167765302853</v>
      </c>
      <c r="O25" s="41">
        <f>O$5*'7.1. Nettoinvestointiennuste '!$Y25</f>
        <v>-4504.3342965881175</v>
      </c>
      <c r="P25" s="41">
        <f>P$5*'7.1. Nettoinvestointiennuste '!$Y25</f>
        <v>-4691.3348477504851</v>
      </c>
      <c r="T25" s="34">
        <v>50</v>
      </c>
      <c r="U25" s="88" t="s">
        <v>338</v>
      </c>
      <c r="V25" s="41">
        <f>C25/'1. Väestöennuste'!E25*1000</f>
        <v>-525.72559366754615</v>
      </c>
      <c r="W25" s="41">
        <f>D25/'1. Väestöennuste'!F25*1000</f>
        <v>-414.61179606797731</v>
      </c>
      <c r="X25" s="41">
        <f>E25/'1. Väestöennuste'!G25*1000</f>
        <v>-384.63476070528969</v>
      </c>
      <c r="Y25" s="41">
        <f>F25/'1. Väestöennuste'!H25*1000</f>
        <v>-304.05175348995573</v>
      </c>
      <c r="Z25" s="41">
        <f>G25/'1. Väestöennuste'!I25*1000</f>
        <v>-658.70013755158186</v>
      </c>
      <c r="AA25" s="41">
        <f>H25/'1. Väestöennuste'!J25*1000</f>
        <v>-440.8255682312984</v>
      </c>
      <c r="AB25" s="41">
        <f>I25/'1. Väestöennuste'!K25*1000</f>
        <v>-373.26004554611552</v>
      </c>
      <c r="AC25" s="41">
        <f>J25/'1. Väestöennuste'!L25*1000</f>
        <v>-219.93156261085491</v>
      </c>
      <c r="AD25" s="41">
        <f>K25/'1. Väestöennuste'!M25*1000</f>
        <v>-449.2439753218884</v>
      </c>
      <c r="AE25" s="41">
        <f>L25/'1. Väestöennuste'!N25*1000</f>
        <v>-363.71368908633434</v>
      </c>
      <c r="AF25" s="41">
        <f>M25/'1. Väestöennuste'!O25*1000</f>
        <v>-383.35137188016739</v>
      </c>
      <c r="AG25" s="41">
        <f>N25/'1. Väestöennuste'!P25*1000</f>
        <v>-400.97794090852568</v>
      </c>
      <c r="AH25" s="41">
        <f>O25/'1. Väestöennuste'!Q25*1000</f>
        <v>-422.94218747306269</v>
      </c>
      <c r="AI25" s="41">
        <f>P25/'1. Väestöennuste'!R25*1000</f>
        <v>-444.71844229315434</v>
      </c>
      <c r="AK25" s="34">
        <v>50</v>
      </c>
      <c r="AL25" s="88" t="s">
        <v>338</v>
      </c>
      <c r="AM25" s="41"/>
      <c r="AN25" s="41">
        <f t="shared" si="15"/>
        <v>111.11379759956884</v>
      </c>
      <c r="AO25" s="41">
        <f t="shared" si="16"/>
        <v>29.977035362687616</v>
      </c>
      <c r="AP25" s="41">
        <f t="shared" si="17"/>
        <v>80.583007215333964</v>
      </c>
      <c r="AQ25" s="41">
        <f t="shared" si="18"/>
        <v>-354.64838406162613</v>
      </c>
      <c r="AR25" s="41">
        <f t="shared" si="19"/>
        <v>217.87456932028346</v>
      </c>
      <c r="AS25" s="41">
        <f t="shared" si="20"/>
        <v>67.565522685182884</v>
      </c>
      <c r="AT25" s="41">
        <f t="shared" si="21"/>
        <v>153.32848293526061</v>
      </c>
      <c r="AU25" s="41">
        <f t="shared" si="22"/>
        <v>-229.31241271103349</v>
      </c>
      <c r="AV25" s="41">
        <f t="shared" si="23"/>
        <v>85.530286235554058</v>
      </c>
      <c r="AW25" s="41">
        <f t="shared" si="24"/>
        <v>-19.637682793833051</v>
      </c>
      <c r="AX25" s="41">
        <f t="shared" si="25"/>
        <v>-17.62656902835829</v>
      </c>
      <c r="AY25" s="41">
        <f t="shared" si="25"/>
        <v>-21.964246564537007</v>
      </c>
      <c r="AZ25" s="41">
        <f t="shared" si="25"/>
        <v>-21.776254820091651</v>
      </c>
    </row>
    <row r="26" spans="1:52" x14ac:dyDescent="0.2">
      <c r="A26" s="30">
        <v>51</v>
      </c>
      <c r="B26" s="31" t="s">
        <v>339</v>
      </c>
      <c r="C26" s="41">
        <v>-7328</v>
      </c>
      <c r="D26" s="41">
        <v>-6580</v>
      </c>
      <c r="E26" s="73">
        <v>-6026</v>
      </c>
      <c r="F26" s="73">
        <v>-2568</v>
      </c>
      <c r="G26" s="73">
        <v>-4103</v>
      </c>
      <c r="H26" s="41">
        <v>-3591</v>
      </c>
      <c r="I26" s="165">
        <v>-3492.0861299999997</v>
      </c>
      <c r="J26" s="41">
        <v>-1738.0477599999999</v>
      </c>
      <c r="K26" s="41">
        <v>-10570.546970000001</v>
      </c>
      <c r="L26" s="41">
        <f>$L$5*'7.1. Nettoinvestointiennuste '!Y26</f>
        <v>-6780.3568523826725</v>
      </c>
      <c r="M26" s="41">
        <f>$M$5*'7.1. Nettoinvestointiennuste '!Y26</f>
        <v>-7070.9499877584676</v>
      </c>
      <c r="N26" s="41">
        <f>$N$5*'7.1. Nettoinvestointiennuste '!Y26</f>
        <v>-7320.5131746239795</v>
      </c>
      <c r="O26" s="41">
        <f>O$5*'7.1. Nettoinvestointiennuste '!$Y26</f>
        <v>-7646.8333929528417</v>
      </c>
      <c r="P26" s="41">
        <f>P$5*'7.1. Nettoinvestointiennuste '!$Y26</f>
        <v>-7964.2969658080192</v>
      </c>
      <c r="T26" s="34">
        <v>51</v>
      </c>
      <c r="U26" s="88" t="s">
        <v>339</v>
      </c>
      <c r="V26" s="41">
        <f>C26/'1. Väestöennuste'!E26*1000</f>
        <v>-789.05997631097239</v>
      </c>
      <c r="W26" s="41">
        <f>D26/'1. Väestöennuste'!F26*1000</f>
        <v>-698.66213633467828</v>
      </c>
      <c r="X26" s="41">
        <f>E26/'1. Väestöennuste'!G26*1000</f>
        <v>-632.91671042957671</v>
      </c>
      <c r="Y26" s="41">
        <f>F26/'1. Väestöennuste'!H26*1000</f>
        <v>-271.63105563782523</v>
      </c>
      <c r="Z26" s="41">
        <f>G26/'1. Väestöennuste'!I26*1000</f>
        <v>-436.39651138055734</v>
      </c>
      <c r="AA26" s="41">
        <f>H26/'1. Väestöennuste'!J26*1000</f>
        <v>-379.91959373677531</v>
      </c>
      <c r="AB26" s="41">
        <f>I26/'1. Väestöennuste'!K26*1000</f>
        <v>-374.1253621169916</v>
      </c>
      <c r="AC26" s="41">
        <f>J26/'1. Väestöennuste'!L26*1000</f>
        <v>-188.69262403647812</v>
      </c>
      <c r="AD26" s="41">
        <f>K26/'1. Väestöennuste'!M26*1000</f>
        <v>-1156.1355102264029</v>
      </c>
      <c r="AE26" s="41">
        <f>L26/'1. Väestöennuste'!N26*1000</f>
        <v>-709.1681678049024</v>
      </c>
      <c r="AF26" s="41">
        <f>M26/'1. Väestöennuste'!O26*1000</f>
        <v>-739.02069270050879</v>
      </c>
      <c r="AG26" s="41">
        <f>N26/'1. Väestöennuste'!P26*1000</f>
        <v>-765.3437715236779</v>
      </c>
      <c r="AH26" s="41">
        <f>O26/'1. Väestöennuste'!Q26*1000</f>
        <v>-799.96164797079632</v>
      </c>
      <c r="AI26" s="41">
        <f>P26/'1. Väestöennuste'!R26*1000</f>
        <v>-834.13248489820057</v>
      </c>
      <c r="AK26" s="34">
        <v>51</v>
      </c>
      <c r="AL26" s="88" t="s">
        <v>339</v>
      </c>
      <c r="AM26" s="41"/>
      <c r="AN26" s="41">
        <f t="shared" si="15"/>
        <v>90.397839976294108</v>
      </c>
      <c r="AO26" s="41">
        <f t="shared" si="16"/>
        <v>65.74542590510157</v>
      </c>
      <c r="AP26" s="41">
        <f t="shared" si="17"/>
        <v>361.28565479175148</v>
      </c>
      <c r="AQ26" s="41">
        <f t="shared" si="18"/>
        <v>-164.76545574273212</v>
      </c>
      <c r="AR26" s="41">
        <f t="shared" si="19"/>
        <v>56.476917643782031</v>
      </c>
      <c r="AS26" s="41">
        <f t="shared" si="20"/>
        <v>5.7942316197837158</v>
      </c>
      <c r="AT26" s="41">
        <f t="shared" si="21"/>
        <v>185.43273808051347</v>
      </c>
      <c r="AU26" s="41">
        <f t="shared" si="22"/>
        <v>-967.44288618992471</v>
      </c>
      <c r="AV26" s="41">
        <f t="shared" si="23"/>
        <v>446.96734242150046</v>
      </c>
      <c r="AW26" s="41">
        <f t="shared" si="24"/>
        <v>-29.852524895606393</v>
      </c>
      <c r="AX26" s="41">
        <f t="shared" si="25"/>
        <v>-26.323078823169112</v>
      </c>
      <c r="AY26" s="41">
        <f t="shared" si="25"/>
        <v>-34.617876447118419</v>
      </c>
      <c r="AZ26" s="41">
        <f t="shared" si="25"/>
        <v>-34.170836927404252</v>
      </c>
    </row>
    <row r="27" spans="1:52" x14ac:dyDescent="0.2">
      <c r="A27" s="30">
        <v>52</v>
      </c>
      <c r="B27" s="31" t="s">
        <v>340</v>
      </c>
      <c r="C27" s="41">
        <v>-540</v>
      </c>
      <c r="D27" s="41">
        <v>-835</v>
      </c>
      <c r="E27" s="73">
        <v>-351</v>
      </c>
      <c r="F27" s="73">
        <v>-787</v>
      </c>
      <c r="G27" s="73">
        <v>-1217</v>
      </c>
      <c r="H27" s="41">
        <v>-1525</v>
      </c>
      <c r="I27" s="165">
        <v>-1952.4373700000001</v>
      </c>
      <c r="J27" s="41">
        <v>-1085.28667</v>
      </c>
      <c r="K27" s="41">
        <v>-1281.0614800000001</v>
      </c>
      <c r="L27" s="41">
        <f>$L$5*'7.1. Nettoinvestointiennuste '!Y27</f>
        <v>-2166.6586905771146</v>
      </c>
      <c r="M27" s="41">
        <f>$M$5*'7.1. Nettoinvestointiennuste '!Y27</f>
        <v>-2259.5175409136959</v>
      </c>
      <c r="N27" s="41">
        <f>$N$5*'7.1. Nettoinvestointiennuste '!Y27</f>
        <v>-2339.2652974761354</v>
      </c>
      <c r="O27" s="41">
        <f>O$5*'7.1. Nettoinvestointiennuste '!$Y27</f>
        <v>-2443.5407142935846</v>
      </c>
      <c r="P27" s="41">
        <f>P$5*'7.1. Nettoinvestointiennuste '!$Y27</f>
        <v>-2544.9859957210097</v>
      </c>
      <c r="T27" s="34">
        <v>52</v>
      </c>
      <c r="U27" s="88" t="s">
        <v>340</v>
      </c>
      <c r="V27" s="41">
        <f>C27/'1. Väestöennuste'!E27*1000</f>
        <v>-209.6273291925466</v>
      </c>
      <c r="W27" s="41">
        <f>D27/'1. Väestöennuste'!F27*1000</f>
        <v>-329.38856015779095</v>
      </c>
      <c r="X27" s="41">
        <f>E27/'1. Väestöennuste'!G27*1000</f>
        <v>-140.45618247298918</v>
      </c>
      <c r="Y27" s="41">
        <f>F27/'1. Väestöennuste'!H27*1000</f>
        <v>-318.23695915891631</v>
      </c>
      <c r="Z27" s="41">
        <f>G27/'1. Väestöennuste'!I27*1000</f>
        <v>-501.85567010309273</v>
      </c>
      <c r="AA27" s="41">
        <f>H27/'1. Väestöennuste'!J27*1000</f>
        <v>-633.30564784053161</v>
      </c>
      <c r="AB27" s="41">
        <f>I27/'1. Väestöennuste'!K27*1000</f>
        <v>-812.16196755407657</v>
      </c>
      <c r="AC27" s="41">
        <f>J27/'1. Väestöennuste'!L27*1000</f>
        <v>-462.61153878942878</v>
      </c>
      <c r="AD27" s="41">
        <f>K27/'1. Väestöennuste'!M27*1000</f>
        <v>-558.92734729493895</v>
      </c>
      <c r="AE27" s="41">
        <f>L27/'1. Väestöennuste'!N27*1000</f>
        <v>-944.48940304146231</v>
      </c>
      <c r="AF27" s="41">
        <f>M27/'1. Väestöennuste'!O27*1000</f>
        <v>-995.82086421934594</v>
      </c>
      <c r="AG27" s="41">
        <f>N27/'1. Väestöennuste'!P27*1000</f>
        <v>-1042.4533411212724</v>
      </c>
      <c r="AH27" s="41">
        <f>O27/'1. Väestöennuste'!Q27*1000</f>
        <v>-1101.1900470002636</v>
      </c>
      <c r="AI27" s="41">
        <f>P27/'1. Väestöennuste'!R27*1000</f>
        <v>-1159.4469228797311</v>
      </c>
      <c r="AK27" s="34">
        <v>52</v>
      </c>
      <c r="AL27" s="88" t="s">
        <v>340</v>
      </c>
      <c r="AM27" s="41"/>
      <c r="AN27" s="41">
        <f t="shared" si="15"/>
        <v>-119.76123096524435</v>
      </c>
      <c r="AO27" s="41">
        <f t="shared" si="16"/>
        <v>188.93237768480176</v>
      </c>
      <c r="AP27" s="41">
        <f t="shared" si="17"/>
        <v>-177.78077668592712</v>
      </c>
      <c r="AQ27" s="41">
        <f t="shared" si="18"/>
        <v>-183.61871094417643</v>
      </c>
      <c r="AR27" s="41">
        <f t="shared" si="19"/>
        <v>-131.44997773743887</v>
      </c>
      <c r="AS27" s="41">
        <f t="shared" si="20"/>
        <v>-178.85631971354496</v>
      </c>
      <c r="AT27" s="41">
        <f t="shared" si="21"/>
        <v>349.55042876464779</v>
      </c>
      <c r="AU27" s="41">
        <f t="shared" si="22"/>
        <v>-96.315808505510176</v>
      </c>
      <c r="AV27" s="41">
        <f t="shared" si="23"/>
        <v>-385.56205574652336</v>
      </c>
      <c r="AW27" s="41">
        <f t="shared" si="24"/>
        <v>-51.331461177883625</v>
      </c>
      <c r="AX27" s="41">
        <f t="shared" si="25"/>
        <v>-46.632476901926452</v>
      </c>
      <c r="AY27" s="41">
        <f t="shared" si="25"/>
        <v>-58.736705878991188</v>
      </c>
      <c r="AZ27" s="41">
        <f t="shared" si="25"/>
        <v>-58.256875879467543</v>
      </c>
    </row>
    <row r="28" spans="1:52" x14ac:dyDescent="0.2">
      <c r="A28" s="30">
        <v>61</v>
      </c>
      <c r="B28" s="31" t="s">
        <v>341</v>
      </c>
      <c r="C28" s="41">
        <v>-7725</v>
      </c>
      <c r="D28" s="41">
        <v>-7607</v>
      </c>
      <c r="E28" s="73">
        <v>-4185</v>
      </c>
      <c r="F28" s="73">
        <v>-4866</v>
      </c>
      <c r="G28" s="73">
        <v>-5826</v>
      </c>
      <c r="H28" s="41">
        <v>-5558</v>
      </c>
      <c r="I28" s="165">
        <v>-17077.394640000002</v>
      </c>
      <c r="J28" s="41">
        <v>-13814.480160000001</v>
      </c>
      <c r="K28" s="41">
        <v>-8735.3620099999989</v>
      </c>
      <c r="L28" s="41">
        <f>$L$5*'7.1. Nettoinvestointiennuste '!Y28</f>
        <v>-10221.29285761441</v>
      </c>
      <c r="M28" s="41">
        <f>$M$5*'7.1. Nettoinvestointiennuste '!Y28</f>
        <v>-10659.357933502652</v>
      </c>
      <c r="N28" s="41">
        <f>$N$5*'7.1. Nettoinvestointiennuste '!Y28</f>
        <v>-11035.570937473904</v>
      </c>
      <c r="O28" s="41">
        <f>O$5*'7.1. Nettoinvestointiennuste '!$Y28</f>
        <v>-11527.494089826554</v>
      </c>
      <c r="P28" s="41">
        <f>P$5*'7.1. Nettoinvestointiennuste '!$Y28</f>
        <v>-12006.065973345796</v>
      </c>
      <c r="T28" s="34">
        <v>61</v>
      </c>
      <c r="U28" s="88" t="s">
        <v>341</v>
      </c>
      <c r="V28" s="41">
        <f>C28/'1. Väestöennuste'!E28*1000</f>
        <v>-443.40489036849959</v>
      </c>
      <c r="W28" s="41">
        <f>D28/'1. Väestöennuste'!F28*1000</f>
        <v>-438.89914608816059</v>
      </c>
      <c r="X28" s="41">
        <f>E28/'1. Väestöennuste'!G28*1000</f>
        <v>-243.52633110270585</v>
      </c>
      <c r="Y28" s="41">
        <f>F28/'1. Väestöennuste'!H28*1000</f>
        <v>-285.76462297392527</v>
      </c>
      <c r="Z28" s="41">
        <f>G28/'1. Väestöennuste'!I28*1000</f>
        <v>-344.71333057215548</v>
      </c>
      <c r="AA28" s="41">
        <f>H28/'1. Väestöennuste'!J28*1000</f>
        <v>-330.83333333333331</v>
      </c>
      <c r="AB28" s="41">
        <f>I28/'1. Väestöennuste'!K28*1000</f>
        <v>-1030.4347215350269</v>
      </c>
      <c r="AC28" s="41">
        <f>J28/'1. Väestöennuste'!L28*1000</f>
        <v>-839.32682179962342</v>
      </c>
      <c r="AD28" s="41">
        <f>K28/'1. Väestöennuste'!M28*1000</f>
        <v>-530.41241180399538</v>
      </c>
      <c r="AE28" s="41">
        <f>L28/'1. Väestöennuste'!N28*1000</f>
        <v>-627.6122349020269</v>
      </c>
      <c r="AF28" s="41">
        <f>M28/'1. Väestöennuste'!O28*1000</f>
        <v>-659.53210824790563</v>
      </c>
      <c r="AG28" s="41">
        <f>N28/'1. Väestöennuste'!P28*1000</f>
        <v>-687.8316465640678</v>
      </c>
      <c r="AH28" s="41">
        <f>O28/'1. Väestöennuste'!Q28*1000</f>
        <v>-723.95240154660269</v>
      </c>
      <c r="AI28" s="41">
        <f>P28/'1. Väestöennuste'!R28*1000</f>
        <v>-759.73334008389531</v>
      </c>
      <c r="AK28" s="34">
        <v>61</v>
      </c>
      <c r="AL28" s="88" t="s">
        <v>341</v>
      </c>
      <c r="AM28" s="41"/>
      <c r="AN28" s="41">
        <f t="shared" si="15"/>
        <v>4.5057442803390018</v>
      </c>
      <c r="AO28" s="41">
        <f t="shared" si="16"/>
        <v>195.37281498545474</v>
      </c>
      <c r="AP28" s="41">
        <f t="shared" si="17"/>
        <v>-42.238291871219417</v>
      </c>
      <c r="AQ28" s="41">
        <f t="shared" si="18"/>
        <v>-58.948707598230214</v>
      </c>
      <c r="AR28" s="41">
        <f t="shared" si="19"/>
        <v>13.87999723882217</v>
      </c>
      <c r="AS28" s="41">
        <f t="shared" si="20"/>
        <v>-699.60138820169368</v>
      </c>
      <c r="AT28" s="41">
        <f t="shared" si="21"/>
        <v>191.10789973540352</v>
      </c>
      <c r="AU28" s="41">
        <f t="shared" si="22"/>
        <v>308.91440999562803</v>
      </c>
      <c r="AV28" s="41">
        <f t="shared" si="23"/>
        <v>-97.199823098031516</v>
      </c>
      <c r="AW28" s="41">
        <f t="shared" si="24"/>
        <v>-31.919873345878727</v>
      </c>
      <c r="AX28" s="41">
        <f t="shared" si="25"/>
        <v>-28.29953831616217</v>
      </c>
      <c r="AY28" s="41">
        <f t="shared" si="25"/>
        <v>-36.120754982534891</v>
      </c>
      <c r="AZ28" s="41">
        <f t="shared" si="25"/>
        <v>-35.780938537292627</v>
      </c>
    </row>
    <row r="29" spans="1:52" x14ac:dyDescent="0.2">
      <c r="A29" s="30">
        <v>69</v>
      </c>
      <c r="B29" s="31" t="s">
        <v>342</v>
      </c>
      <c r="C29" s="41">
        <v>-1136</v>
      </c>
      <c r="D29" s="41">
        <v>-3643</v>
      </c>
      <c r="E29" s="73">
        <v>-4768</v>
      </c>
      <c r="F29" s="73">
        <v>-1299</v>
      </c>
      <c r="G29" s="73">
        <v>-3364</v>
      </c>
      <c r="H29" s="41">
        <v>-2425</v>
      </c>
      <c r="I29" s="165">
        <v>-2376.6957000000002</v>
      </c>
      <c r="J29" s="41">
        <v>-6252.1530999999995</v>
      </c>
      <c r="K29" s="41">
        <v>-10934.775539999999</v>
      </c>
      <c r="L29" s="41">
        <f>$L$5*'7.1. Nettoinvestointiennuste '!Y29</f>
        <v>-4335.0039141477819</v>
      </c>
      <c r="M29" s="41">
        <f>$M$5*'7.1. Nettoinvestointiennuste '!Y29</f>
        <v>-4520.793896401573</v>
      </c>
      <c r="N29" s="41">
        <f>$N$5*'7.1. Nettoinvestointiennuste '!Y29</f>
        <v>-4680.3514853961724</v>
      </c>
      <c r="O29" s="41">
        <f>O$5*'7.1. Nettoinvestointiennuste '!$Y29</f>
        <v>-4888.9834872979709</v>
      </c>
      <c r="P29" s="41">
        <f>P$5*'7.1. Nettoinvestointiennuste '!$Y29</f>
        <v>-5091.9530154346685</v>
      </c>
      <c r="T29" s="34">
        <v>69</v>
      </c>
      <c r="U29" s="88" t="s">
        <v>342</v>
      </c>
      <c r="V29" s="41">
        <f>C29/'1. Väestöennuste'!E29*1000</f>
        <v>-152.72922828717398</v>
      </c>
      <c r="W29" s="41">
        <f>D29/'1. Väestöennuste'!F29*1000</f>
        <v>-496.86306601200221</v>
      </c>
      <c r="X29" s="41">
        <f>E29/'1. Väestöennuste'!G29*1000</f>
        <v>-657.56447386567379</v>
      </c>
      <c r="Y29" s="41">
        <f>F29/'1. Väestöennuste'!H29*1000</f>
        <v>-181.75458234224152</v>
      </c>
      <c r="Z29" s="41">
        <f>G29/'1. Väestöennuste'!I29*1000</f>
        <v>-479.88587731811697</v>
      </c>
      <c r="AA29" s="41">
        <f>H29/'1. Väestöennuste'!J29*1000</f>
        <v>-351.65313225058003</v>
      </c>
      <c r="AB29" s="41">
        <f>I29/'1. Väestöennuste'!K29*1000</f>
        <v>-349.41130549838283</v>
      </c>
      <c r="AC29" s="41">
        <f>J29/'1. Väestöennuste'!L29*1000</f>
        <v>-934.97130252729164</v>
      </c>
      <c r="AD29" s="41">
        <f>K29/'1. Väestöennuste'!M29*1000</f>
        <v>-1667.3948673376026</v>
      </c>
      <c r="AE29" s="41">
        <f>L29/'1. Väestöennuste'!N29*1000</f>
        <v>-670.43054657404605</v>
      </c>
      <c r="AF29" s="41">
        <f>M29/'1. Väestöennuste'!O29*1000</f>
        <v>-709.81219915239012</v>
      </c>
      <c r="AG29" s="41">
        <f>N29/'1. Väestöennuste'!P29*1000</f>
        <v>-745.99162980493657</v>
      </c>
      <c r="AH29" s="41">
        <f>O29/'1. Väestöennuste'!Q29*1000</f>
        <v>-790.58594555271202</v>
      </c>
      <c r="AI29" s="41">
        <f>P29/'1. Väestöennuste'!R29*1000</f>
        <v>-835.43117562504824</v>
      </c>
      <c r="AK29" s="34">
        <v>69</v>
      </c>
      <c r="AL29" s="88" t="s">
        <v>342</v>
      </c>
      <c r="AM29" s="41"/>
      <c r="AN29" s="41">
        <f t="shared" si="15"/>
        <v>-344.13383772482825</v>
      </c>
      <c r="AO29" s="41">
        <f t="shared" si="16"/>
        <v>-160.70140785367158</v>
      </c>
      <c r="AP29" s="41">
        <f t="shared" si="17"/>
        <v>475.80989152343227</v>
      </c>
      <c r="AQ29" s="41">
        <f t="shared" si="18"/>
        <v>-298.13129497587545</v>
      </c>
      <c r="AR29" s="41">
        <f t="shared" si="19"/>
        <v>128.23274506753694</v>
      </c>
      <c r="AS29" s="41">
        <f t="shared" si="20"/>
        <v>2.2418267521971984</v>
      </c>
      <c r="AT29" s="41">
        <f t="shared" si="21"/>
        <v>-585.55999702890881</v>
      </c>
      <c r="AU29" s="41">
        <f t="shared" si="22"/>
        <v>-732.42356481031095</v>
      </c>
      <c r="AV29" s="41">
        <f t="shared" si="23"/>
        <v>996.96432076355654</v>
      </c>
      <c r="AW29" s="41">
        <f t="shared" si="24"/>
        <v>-39.381652578344074</v>
      </c>
      <c r="AX29" s="41">
        <f t="shared" si="25"/>
        <v>-36.179430652546444</v>
      </c>
      <c r="AY29" s="41">
        <f t="shared" si="25"/>
        <v>-44.594315747775454</v>
      </c>
      <c r="AZ29" s="41">
        <f t="shared" si="25"/>
        <v>-44.845230072336221</v>
      </c>
    </row>
    <row r="30" spans="1:52" x14ac:dyDescent="0.2">
      <c r="A30" s="30">
        <v>71</v>
      </c>
      <c r="B30" s="31" t="s">
        <v>343</v>
      </c>
      <c r="C30" s="41">
        <v>-2869</v>
      </c>
      <c r="D30" s="41">
        <v>-1594</v>
      </c>
      <c r="E30" s="73">
        <v>-2954</v>
      </c>
      <c r="F30" s="73">
        <v>-276</v>
      </c>
      <c r="G30" s="73">
        <v>-708</v>
      </c>
      <c r="H30" s="41">
        <v>-6992</v>
      </c>
      <c r="I30" s="165">
        <v>-6577.7843800000001</v>
      </c>
      <c r="J30" s="41">
        <v>-3969.5169799999999</v>
      </c>
      <c r="K30" s="41">
        <v>-818.18439000000001</v>
      </c>
      <c r="L30" s="41">
        <f>$L$5*'7.1. Nettoinvestointiennuste '!Y30</f>
        <v>-3038.5881624149715</v>
      </c>
      <c r="M30" s="41">
        <f>$M$5*'7.1. Nettoinvestointiennuste '!Y30</f>
        <v>-3168.8162433929879</v>
      </c>
      <c r="N30" s="41">
        <f>$N$5*'7.1. Nettoinvestointiennuste '!Y30</f>
        <v>-3280.6569269873357</v>
      </c>
      <c r="O30" s="41">
        <f>O$5*'7.1. Nettoinvestointiennuste '!$Y30</f>
        <v>-3426.8959486432996</v>
      </c>
      <c r="P30" s="41">
        <f>P$5*'7.1. Nettoinvestointiennuste '!$Y30</f>
        <v>-3569.1659021984319</v>
      </c>
      <c r="T30" s="34">
        <v>71</v>
      </c>
      <c r="U30" s="88" t="s">
        <v>343</v>
      </c>
      <c r="V30" s="41">
        <f>C30/'1. Väestöennuste'!E30*1000</f>
        <v>-400.30696246686199</v>
      </c>
      <c r="W30" s="41">
        <f>D30/'1. Väestöennuste'!F30*1000</f>
        <v>-224.57030149337842</v>
      </c>
      <c r="X30" s="41">
        <f>E30/'1. Väestöennuste'!G30*1000</f>
        <v>-423.81635581061693</v>
      </c>
      <c r="Y30" s="41">
        <f>F30/'1. Väestöennuste'!H30*1000</f>
        <v>-40.268456375838923</v>
      </c>
      <c r="Z30" s="41">
        <f>G30/'1. Väestöennuste'!I30*1000</f>
        <v>-104.76472329091447</v>
      </c>
      <c r="AA30" s="41">
        <f>H30/'1. Väestöennuste'!J30*1000</f>
        <v>-1048.7475626218691</v>
      </c>
      <c r="AB30" s="41">
        <f>I30/'1. Väestöennuste'!K30*1000</f>
        <v>-994.67478905186761</v>
      </c>
      <c r="AC30" s="41">
        <f>J30/'1. Väestöennuste'!L30*1000</f>
        <v>-602.26323471400394</v>
      </c>
      <c r="AD30" s="41">
        <f>K30/'1. Väestöennuste'!M30*1000</f>
        <v>-126.39956588907772</v>
      </c>
      <c r="AE30" s="41">
        <f>L30/'1. Väestöennuste'!N30*1000</f>
        <v>-482.54536484277776</v>
      </c>
      <c r="AF30" s="41">
        <f>M30/'1. Väestöennuste'!O30*1000</f>
        <v>-509.94789884019764</v>
      </c>
      <c r="AG30" s="41">
        <f>N30/'1. Väestöennuste'!P30*1000</f>
        <v>-534.74440537690884</v>
      </c>
      <c r="AH30" s="41">
        <f>O30/'1. Väestöennuste'!Q30*1000</f>
        <v>-565.49438096424092</v>
      </c>
      <c r="AI30" s="41">
        <f>P30/'1. Väestöennuste'!R30*1000</f>
        <v>-595.85407382277663</v>
      </c>
      <c r="AK30" s="34">
        <v>71</v>
      </c>
      <c r="AL30" s="88" t="s">
        <v>343</v>
      </c>
      <c r="AM30" s="41"/>
      <c r="AN30" s="41">
        <f t="shared" si="15"/>
        <v>175.73666097348357</v>
      </c>
      <c r="AO30" s="41">
        <f t="shared" si="16"/>
        <v>-199.2460543172385</v>
      </c>
      <c r="AP30" s="41">
        <f t="shared" si="17"/>
        <v>383.547899434778</v>
      </c>
      <c r="AQ30" s="41">
        <f t="shared" si="18"/>
        <v>-64.496266915075552</v>
      </c>
      <c r="AR30" s="41">
        <f t="shared" si="19"/>
        <v>-943.98283933095456</v>
      </c>
      <c r="AS30" s="41">
        <f t="shared" si="20"/>
        <v>54.072773570001459</v>
      </c>
      <c r="AT30" s="41">
        <f t="shared" si="21"/>
        <v>392.41155433786366</v>
      </c>
      <c r="AU30" s="41">
        <f t="shared" si="22"/>
        <v>475.86366882492621</v>
      </c>
      <c r="AV30" s="41">
        <f t="shared" si="23"/>
        <v>-356.14579895370002</v>
      </c>
      <c r="AW30" s="41">
        <f t="shared" si="24"/>
        <v>-27.40253399741988</v>
      </c>
      <c r="AX30" s="41">
        <f t="shared" si="25"/>
        <v>-24.796506536711206</v>
      </c>
      <c r="AY30" s="41">
        <f t="shared" si="25"/>
        <v>-30.749975587332074</v>
      </c>
      <c r="AZ30" s="41">
        <f t="shared" si="25"/>
        <v>-30.359692858535709</v>
      </c>
    </row>
    <row r="31" spans="1:52" x14ac:dyDescent="0.2">
      <c r="A31" s="30">
        <v>72</v>
      </c>
      <c r="B31" s="31" t="s">
        <v>344</v>
      </c>
      <c r="C31" s="41">
        <v>-550</v>
      </c>
      <c r="D31" s="41">
        <v>-929</v>
      </c>
      <c r="E31" s="73">
        <v>-76</v>
      </c>
      <c r="F31" s="73">
        <v>-805</v>
      </c>
      <c r="G31" s="73">
        <v>-1852</v>
      </c>
      <c r="H31" s="41">
        <v>-341</v>
      </c>
      <c r="I31" s="165">
        <v>-298.24266</v>
      </c>
      <c r="J31" s="41">
        <v>-42.940709999999996</v>
      </c>
      <c r="K31" s="41">
        <v>-147.90577999999999</v>
      </c>
      <c r="L31" s="41">
        <f>$L$5*'7.1. Nettoinvestointiennuste '!Y31</f>
        <v>-230.64212468781207</v>
      </c>
      <c r="M31" s="41">
        <f>$M$5*'7.1. Nettoinvestointiennuste '!Y31</f>
        <v>-240.52700532491508</v>
      </c>
      <c r="N31" s="41">
        <f>$N$5*'7.1. Nettoinvestointiennuste '!Y31</f>
        <v>-249.01620212025725</v>
      </c>
      <c r="O31" s="41">
        <f>O$5*'7.1. Nettoinvestointiennuste '!$Y31</f>
        <v>-260.11638314649798</v>
      </c>
      <c r="P31" s="41">
        <f>P$5*'7.1. Nettoinvestointiennuste '!$Y31</f>
        <v>-270.91529455314054</v>
      </c>
      <c r="T31" s="34">
        <v>72</v>
      </c>
      <c r="U31" s="88" t="s">
        <v>344</v>
      </c>
      <c r="V31" s="41">
        <f>C31/'1. Väestöennuste'!E31*1000</f>
        <v>-553.87713997985895</v>
      </c>
      <c r="W31" s="41">
        <f>D31/'1. Väestöennuste'!F31*1000</f>
        <v>-934.60764587525148</v>
      </c>
      <c r="X31" s="41">
        <f>E31/'1. Väestöennuste'!G31*1000</f>
        <v>-78.593588417786961</v>
      </c>
      <c r="Y31" s="41">
        <f>F31/'1. Väestöennuste'!H31*1000</f>
        <v>-826.48870636550305</v>
      </c>
      <c r="Z31" s="41">
        <f>G31/'1. Väestöennuste'!I31*1000</f>
        <v>-1931.1783107403546</v>
      </c>
      <c r="AA31" s="41">
        <f>H31/'1. Väestöennuste'!J31*1000</f>
        <v>-359.32560590094835</v>
      </c>
      <c r="AB31" s="41">
        <f>I31/'1. Väestöennuste'!K31*1000</f>
        <v>-313.93964210526315</v>
      </c>
      <c r="AC31" s="41">
        <f>J31/'1. Väestöennuste'!L31*1000</f>
        <v>-44.729906249999992</v>
      </c>
      <c r="AD31" s="41">
        <f>K31/'1. Väestöennuste'!M31*1000</f>
        <v>-156.01875527426159</v>
      </c>
      <c r="AE31" s="41">
        <f>L31/'1. Väestöennuste'!N31*1000</f>
        <v>-249.07356877733486</v>
      </c>
      <c r="AF31" s="41">
        <f>M31/'1. Väestöennuste'!O31*1000</f>
        <v>-261.44239709229902</v>
      </c>
      <c r="AG31" s="41">
        <f>N31/'1. Väestöennuste'!P31*1000</f>
        <v>-272.44661063485478</v>
      </c>
      <c r="AH31" s="41">
        <f>O31/'1. Väestöennuste'!Q31*1000</f>
        <v>-286.47178760627531</v>
      </c>
      <c r="AI31" s="41">
        <f>P31/'1. Väestöennuste'!R31*1000</f>
        <v>-300.68290183478416</v>
      </c>
      <c r="AK31" s="34">
        <v>72</v>
      </c>
      <c r="AL31" s="88" t="s">
        <v>344</v>
      </c>
      <c r="AM31" s="41"/>
      <c r="AN31" s="41">
        <f t="shared" si="15"/>
        <v>-380.73050589539253</v>
      </c>
      <c r="AO31" s="41">
        <f t="shared" si="16"/>
        <v>856.01405745746456</v>
      </c>
      <c r="AP31" s="41">
        <f t="shared" si="17"/>
        <v>-747.89511794771613</v>
      </c>
      <c r="AQ31" s="41">
        <f t="shared" si="18"/>
        <v>-1104.6896043748516</v>
      </c>
      <c r="AR31" s="41">
        <f t="shared" si="19"/>
        <v>1571.8527048394062</v>
      </c>
      <c r="AS31" s="41">
        <f t="shared" si="20"/>
        <v>45.3859637956852</v>
      </c>
      <c r="AT31" s="41">
        <f t="shared" si="21"/>
        <v>269.20973585526315</v>
      </c>
      <c r="AU31" s="41">
        <f t="shared" si="22"/>
        <v>-111.28884902426159</v>
      </c>
      <c r="AV31" s="41">
        <f t="shared" si="23"/>
        <v>-93.054813503073262</v>
      </c>
      <c r="AW31" s="41">
        <f t="shared" si="24"/>
        <v>-12.368828314964162</v>
      </c>
      <c r="AX31" s="41">
        <f t="shared" si="25"/>
        <v>-11.00421354255576</v>
      </c>
      <c r="AY31" s="41">
        <f t="shared" si="25"/>
        <v>-14.025176971420535</v>
      </c>
      <c r="AZ31" s="41">
        <f t="shared" si="25"/>
        <v>-14.211114228508848</v>
      </c>
    </row>
    <row r="32" spans="1:52" x14ac:dyDescent="0.2">
      <c r="A32" s="30">
        <v>74</v>
      </c>
      <c r="B32" s="31" t="s">
        <v>345</v>
      </c>
      <c r="C32" s="41">
        <v>-312</v>
      </c>
      <c r="D32" s="41">
        <v>-270</v>
      </c>
      <c r="E32" s="73">
        <v>-197</v>
      </c>
      <c r="F32" s="73">
        <v>-309</v>
      </c>
      <c r="G32" s="73">
        <v>-463</v>
      </c>
      <c r="H32" s="41">
        <v>-407</v>
      </c>
      <c r="I32" s="165">
        <v>-1321.42409</v>
      </c>
      <c r="J32" s="41">
        <v>-228.83600000000001</v>
      </c>
      <c r="K32" s="41">
        <v>-570.47685000000001</v>
      </c>
      <c r="L32" s="41">
        <f>$L$5*'7.1. Nettoinvestointiennuste '!Y32</f>
        <v>-485.22748646457927</v>
      </c>
      <c r="M32" s="41">
        <f>$M$5*'7.1. Nettoinvestointiennuste '!Y32</f>
        <v>-506.02340911763378</v>
      </c>
      <c r="N32" s="41">
        <f>$N$5*'7.1. Nettoinvestointiennuste '!Y32</f>
        <v>-523.88307646453586</v>
      </c>
      <c r="O32" s="41">
        <f>O$5*'7.1. Nettoinvestointiennuste '!$Y32</f>
        <v>-547.23576169476007</v>
      </c>
      <c r="P32" s="41">
        <f>P$5*'7.1. Nettoinvestointiennuste '!$Y32</f>
        <v>-569.95463252328454</v>
      </c>
      <c r="T32" s="34">
        <v>74</v>
      </c>
      <c r="U32" s="88" t="s">
        <v>345</v>
      </c>
      <c r="V32" s="41">
        <f>C32/'1. Väestöennuste'!E32*1000</f>
        <v>-254.69387755102042</v>
      </c>
      <c r="W32" s="41">
        <f>D32/'1. Väestöennuste'!F32*1000</f>
        <v>-221.49302707136997</v>
      </c>
      <c r="X32" s="41">
        <f>E32/'1. Väestöennuste'!G32*1000</f>
        <v>-168.23228010247652</v>
      </c>
      <c r="Y32" s="41">
        <f>F32/'1. Väestöennuste'!H32*1000</f>
        <v>-265.23605150214593</v>
      </c>
      <c r="Z32" s="41">
        <f>G32/'1. Väestöennuste'!I32*1000</f>
        <v>-410.82519964507543</v>
      </c>
      <c r="AA32" s="41">
        <f>H32/'1. Väestöennuste'!J32*1000</f>
        <v>-368.99365367180417</v>
      </c>
      <c r="AB32" s="41">
        <f>I32/'1. Väestöennuste'!K32*1000</f>
        <v>-1220.151514312096</v>
      </c>
      <c r="AC32" s="41">
        <f>J32/'1. Väestöennuste'!L32*1000</f>
        <v>-217.52471482889734</v>
      </c>
      <c r="AD32" s="41">
        <f>K32/'1. Väestöennuste'!M32*1000</f>
        <v>-563.15582428430412</v>
      </c>
      <c r="AE32" s="41">
        <f>L32/'1. Väestöennuste'!N32*1000</f>
        <v>-484.74274372085841</v>
      </c>
      <c r="AF32" s="41">
        <f>M32/'1. Väestöennuste'!O32*1000</f>
        <v>-516.8778438382368</v>
      </c>
      <c r="AG32" s="41">
        <f>N32/'1. Väestöennuste'!P32*1000</f>
        <v>-546.28058025499047</v>
      </c>
      <c r="AH32" s="41">
        <f>O32/'1. Väestöennuste'!Q32*1000</f>
        <v>-582.1657039305959</v>
      </c>
      <c r="AI32" s="41">
        <f>P32/'1. Väestöennuste'!R32*1000</f>
        <v>-618.17205262829123</v>
      </c>
      <c r="AK32" s="34">
        <v>74</v>
      </c>
      <c r="AL32" s="88" t="s">
        <v>345</v>
      </c>
      <c r="AM32" s="41"/>
      <c r="AN32" s="41">
        <f t="shared" si="15"/>
        <v>33.200850479650455</v>
      </c>
      <c r="AO32" s="41">
        <f t="shared" si="16"/>
        <v>53.260746968893443</v>
      </c>
      <c r="AP32" s="41">
        <f t="shared" si="17"/>
        <v>-97.003771399669404</v>
      </c>
      <c r="AQ32" s="41">
        <f t="shared" si="18"/>
        <v>-145.5891481429295</v>
      </c>
      <c r="AR32" s="41">
        <f t="shared" si="19"/>
        <v>41.831545973271261</v>
      </c>
      <c r="AS32" s="41">
        <f t="shared" si="20"/>
        <v>-851.1578606402918</v>
      </c>
      <c r="AT32" s="41">
        <f t="shared" si="21"/>
        <v>1002.6267994831986</v>
      </c>
      <c r="AU32" s="41">
        <f t="shared" si="22"/>
        <v>-345.63110945540677</v>
      </c>
      <c r="AV32" s="41">
        <f t="shared" si="23"/>
        <v>78.413080563445703</v>
      </c>
      <c r="AW32" s="41">
        <f t="shared" si="24"/>
        <v>-32.135100117378386</v>
      </c>
      <c r="AX32" s="41">
        <f t="shared" si="25"/>
        <v>-29.402736416753669</v>
      </c>
      <c r="AY32" s="41">
        <f t="shared" si="25"/>
        <v>-35.885123675605428</v>
      </c>
      <c r="AZ32" s="41">
        <f t="shared" si="25"/>
        <v>-36.00634869769533</v>
      </c>
    </row>
    <row r="33" spans="1:52" x14ac:dyDescent="0.2">
      <c r="A33" s="30">
        <v>75</v>
      </c>
      <c r="B33" s="31" t="s">
        <v>346</v>
      </c>
      <c r="C33" s="41">
        <v>-10450</v>
      </c>
      <c r="D33" s="41">
        <v>-8959</v>
      </c>
      <c r="E33" s="73">
        <v>-10188</v>
      </c>
      <c r="F33" s="73">
        <v>-14330</v>
      </c>
      <c r="G33" s="73">
        <v>-11967</v>
      </c>
      <c r="H33" s="41">
        <v>-20714</v>
      </c>
      <c r="I33" s="165">
        <v>-13590.088609999999</v>
      </c>
      <c r="J33" s="41">
        <v>8062.8583699999999</v>
      </c>
      <c r="K33" s="41">
        <v>-21330.638999999999</v>
      </c>
      <c r="L33" s="41">
        <f>$L$5*'7.1. Nettoinvestointiennuste '!Y33</f>
        <v>-14575.017785847342</v>
      </c>
      <c r="M33" s="41">
        <f>$M$5*'7.1. Nettoinvestointiennuste '!Y33</f>
        <v>-15199.675190871532</v>
      </c>
      <c r="N33" s="41">
        <f>$N$5*'7.1. Nettoinvestointiennuste '!Y33</f>
        <v>-15736.134844315786</v>
      </c>
      <c r="O33" s="41">
        <f>O$5*'7.1. Nettoinvestointiennuste '!$Y33</f>
        <v>-16437.590990293327</v>
      </c>
      <c r="P33" s="41">
        <f>P$5*'7.1. Nettoinvestointiennuste '!$Y33</f>
        <v>-17120.008939887954</v>
      </c>
      <c r="T33" s="34">
        <v>75</v>
      </c>
      <c r="U33" s="88" t="s">
        <v>346</v>
      </c>
      <c r="V33" s="41">
        <f>C33/'1. Väestöennuste'!E33*1000</f>
        <v>-501.17500359694975</v>
      </c>
      <c r="W33" s="41">
        <f>D33/'1. Väestöennuste'!F33*1000</f>
        <v>-434.1442139949603</v>
      </c>
      <c r="X33" s="41">
        <f>E33/'1. Väestöennuste'!G33*1000</f>
        <v>-497.14536671058414</v>
      </c>
      <c r="Y33" s="41">
        <f>F33/'1. Väestöennuste'!H33*1000</f>
        <v>-706.39850142955731</v>
      </c>
      <c r="Z33" s="41">
        <f>G33/'1. Väestöennuste'!I33*1000</f>
        <v>-595.04748645020129</v>
      </c>
      <c r="AA33" s="41">
        <f>H33/'1. Väestöennuste'!J33*1000</f>
        <v>-1042.1089701665239</v>
      </c>
      <c r="AB33" s="41">
        <f>I33/'1. Väestöennuste'!K33*1000</f>
        <v>-689.78218505735458</v>
      </c>
      <c r="AC33" s="41">
        <f>J33/'1. Väestöennuste'!L33*1000</f>
        <v>412.44351987313928</v>
      </c>
      <c r="AD33" s="41">
        <f>K33/'1. Väestöennuste'!M33*1000</f>
        <v>-1091.9749667246851</v>
      </c>
      <c r="AE33" s="41">
        <f>L33/'1. Väestöennuste'!N33*1000</f>
        <v>-763.16984950504468</v>
      </c>
      <c r="AF33" s="41">
        <f>M33/'1. Väestöennuste'!O33*1000</f>
        <v>-803.62034423556793</v>
      </c>
      <c r="AG33" s="41">
        <f>N33/'1. Väestöennuste'!P33*1000</f>
        <v>-839.97730566434211</v>
      </c>
      <c r="AH33" s="41">
        <f>O33/'1. Väestöennuste'!Q33*1000</f>
        <v>-885.74151257103813</v>
      </c>
      <c r="AI33" s="41">
        <f>P33/'1. Väestöennuste'!R33*1000</f>
        <v>-931.59976818239943</v>
      </c>
      <c r="AK33" s="34">
        <v>75</v>
      </c>
      <c r="AL33" s="88" t="s">
        <v>346</v>
      </c>
      <c r="AM33" s="41"/>
      <c r="AN33" s="41">
        <f t="shared" si="15"/>
        <v>67.030789601989454</v>
      </c>
      <c r="AO33" s="41">
        <f t="shared" si="16"/>
        <v>-63.001152715623846</v>
      </c>
      <c r="AP33" s="41">
        <f t="shared" si="17"/>
        <v>-209.25313471897317</v>
      </c>
      <c r="AQ33" s="41">
        <f t="shared" si="18"/>
        <v>111.35101497935602</v>
      </c>
      <c r="AR33" s="41">
        <f t="shared" si="19"/>
        <v>-447.06148371632264</v>
      </c>
      <c r="AS33" s="41">
        <f t="shared" si="20"/>
        <v>352.32678510916935</v>
      </c>
      <c r="AT33" s="41">
        <f t="shared" si="21"/>
        <v>1102.225704930494</v>
      </c>
      <c r="AU33" s="41">
        <f t="shared" si="22"/>
        <v>-1504.4184865978245</v>
      </c>
      <c r="AV33" s="41">
        <f t="shared" si="23"/>
        <v>328.80511721964047</v>
      </c>
      <c r="AW33" s="41">
        <f t="shared" si="24"/>
        <v>-40.450494730523246</v>
      </c>
      <c r="AX33" s="41">
        <f t="shared" si="25"/>
        <v>-36.356961428774184</v>
      </c>
      <c r="AY33" s="41">
        <f t="shared" si="25"/>
        <v>-45.764206906696018</v>
      </c>
      <c r="AZ33" s="41">
        <f t="shared" si="25"/>
        <v>-45.858255611361301</v>
      </c>
    </row>
    <row r="34" spans="1:52" x14ac:dyDescent="0.2">
      <c r="A34" s="30">
        <v>77</v>
      </c>
      <c r="B34" s="31" t="s">
        <v>347</v>
      </c>
      <c r="C34" s="41">
        <v>-5012</v>
      </c>
      <c r="D34" s="41">
        <v>-3046</v>
      </c>
      <c r="E34" s="73">
        <v>-1501</v>
      </c>
      <c r="F34" s="73">
        <v>-10</v>
      </c>
      <c r="G34" s="73">
        <v>-2148</v>
      </c>
      <c r="H34" s="41">
        <v>2237</v>
      </c>
      <c r="I34" s="165">
        <v>-881.91152</v>
      </c>
      <c r="J34" s="41">
        <v>-625.90847999999994</v>
      </c>
      <c r="K34" s="41">
        <v>-989.95054000000005</v>
      </c>
      <c r="L34" s="41">
        <f>$L$5*'7.1. Nettoinvestointiennuste '!Y34</f>
        <v>-1157.194170286361</v>
      </c>
      <c r="M34" s="41">
        <f>$M$5*'7.1. Nettoinvestointiennuste '!Y34</f>
        <v>-1206.7893006759857</v>
      </c>
      <c r="N34" s="41">
        <f>$N$5*'7.1. Nettoinvestointiennuste '!Y34</f>
        <v>-1249.3819062344044</v>
      </c>
      <c r="O34" s="41">
        <f>O$5*'7.1. Nettoinvestointiennuste '!$Y34</f>
        <v>-1305.0745286904089</v>
      </c>
      <c r="P34" s="41">
        <f>P$5*'7.1. Nettoinvestointiennuste '!$Y34</f>
        <v>-1359.255599655309</v>
      </c>
      <c r="T34" s="34">
        <v>77</v>
      </c>
      <c r="U34" s="88" t="s">
        <v>347</v>
      </c>
      <c r="V34" s="41">
        <f>C34/'1. Väestöennuste'!E34*1000</f>
        <v>-956.48854961832069</v>
      </c>
      <c r="W34" s="41">
        <f>D34/'1. Väestöennuste'!F34*1000</f>
        <v>-590.42450087226212</v>
      </c>
      <c r="X34" s="41">
        <f>E34/'1. Väestöennuste'!G34*1000</f>
        <v>-299.06355847778445</v>
      </c>
      <c r="Y34" s="41">
        <f>F34/'1. Väestöennuste'!H34*1000</f>
        <v>-2.024701356549909</v>
      </c>
      <c r="Z34" s="41">
        <f>G34/'1. Väestöennuste'!I34*1000</f>
        <v>-440.61538461538464</v>
      </c>
      <c r="AA34" s="41">
        <f>H34/'1. Väestöennuste'!J34*1000</f>
        <v>467.79590129652865</v>
      </c>
      <c r="AB34" s="41">
        <f>I34/'1. Väestöennuste'!K34*1000</f>
        <v>-188.32191330343798</v>
      </c>
      <c r="AC34" s="41">
        <f>J34/'1. Väestöennuste'!L34*1000</f>
        <v>-136.0374875027168</v>
      </c>
      <c r="AD34" s="41">
        <f>K34/'1. Väestöennuste'!M34*1000</f>
        <v>-217.61937568696419</v>
      </c>
      <c r="AE34" s="41">
        <f>L34/'1. Väestöennuste'!N34*1000</f>
        <v>-258.82222551696731</v>
      </c>
      <c r="AF34" s="41">
        <f>M34/'1. Väestöennuste'!O34*1000</f>
        <v>-274.02118543959716</v>
      </c>
      <c r="AG34" s="41">
        <f>N34/'1. Väestöennuste'!P34*1000</f>
        <v>-287.87601526138349</v>
      </c>
      <c r="AH34" s="41">
        <f>O34/'1. Väestöennuste'!Q34*1000</f>
        <v>-304.99521586595205</v>
      </c>
      <c r="AI34" s="41">
        <f>P34/'1. Väestöennuste'!R34*1000</f>
        <v>-322.32762619286439</v>
      </c>
      <c r="AK34" s="34">
        <v>77</v>
      </c>
      <c r="AL34" s="88" t="s">
        <v>347</v>
      </c>
      <c r="AM34" s="41"/>
      <c r="AN34" s="41">
        <f t="shared" si="15"/>
        <v>366.06404874605857</v>
      </c>
      <c r="AO34" s="41">
        <f t="shared" si="16"/>
        <v>291.36094239447766</v>
      </c>
      <c r="AP34" s="41">
        <f t="shared" si="17"/>
        <v>297.03885712123457</v>
      </c>
      <c r="AQ34" s="41">
        <f t="shared" si="18"/>
        <v>-438.59068325883476</v>
      </c>
      <c r="AR34" s="41">
        <f t="shared" si="19"/>
        <v>908.4112859119133</v>
      </c>
      <c r="AS34" s="41">
        <f t="shared" si="20"/>
        <v>-656.11781459996666</v>
      </c>
      <c r="AT34" s="41">
        <f t="shared" si="21"/>
        <v>52.284425800721181</v>
      </c>
      <c r="AU34" s="41">
        <f t="shared" si="22"/>
        <v>-81.58188818424739</v>
      </c>
      <c r="AV34" s="41">
        <f t="shared" si="23"/>
        <v>-41.202849830003117</v>
      </c>
      <c r="AW34" s="41">
        <f t="shared" si="24"/>
        <v>-15.198959922629854</v>
      </c>
      <c r="AX34" s="41">
        <f t="shared" si="25"/>
        <v>-13.854829821786325</v>
      </c>
      <c r="AY34" s="41">
        <f t="shared" si="25"/>
        <v>-17.119200604568562</v>
      </c>
      <c r="AZ34" s="41">
        <f t="shared" si="25"/>
        <v>-17.332410326912338</v>
      </c>
    </row>
    <row r="35" spans="1:52" x14ac:dyDescent="0.2">
      <c r="A35" s="30">
        <v>78</v>
      </c>
      <c r="B35" s="31" t="s">
        <v>348</v>
      </c>
      <c r="C35" s="41">
        <v>-2585</v>
      </c>
      <c r="D35" s="41">
        <v>-2436</v>
      </c>
      <c r="E35" s="73">
        <v>-1529</v>
      </c>
      <c r="F35" s="73">
        <v>-2900</v>
      </c>
      <c r="G35" s="73">
        <v>-3892</v>
      </c>
      <c r="H35" s="41">
        <v>-2682</v>
      </c>
      <c r="I35" s="165">
        <v>-1347.9337600000001</v>
      </c>
      <c r="J35" s="41">
        <v>-2286.72964</v>
      </c>
      <c r="K35" s="41">
        <v>-4911.3667800000003</v>
      </c>
      <c r="L35" s="41">
        <f>$L$5*'7.1. Nettoinvestointiennuste '!Y35</f>
        <v>-2798.3787341808893</v>
      </c>
      <c r="M35" s="41">
        <f>$M$5*'7.1. Nettoinvestointiennuste '!Y35</f>
        <v>-2918.3118981778271</v>
      </c>
      <c r="N35" s="41">
        <f>$N$5*'7.1. Nettoinvestointiennuste '!Y35</f>
        <v>-3021.3112432216572</v>
      </c>
      <c r="O35" s="41">
        <f>O$5*'7.1. Nettoinvestointiennuste '!$Y35</f>
        <v>-3155.9896354339871</v>
      </c>
      <c r="P35" s="41">
        <f>P$5*'7.1. Nettoinvestointiennuste '!$Y35</f>
        <v>-3287.0127261792527</v>
      </c>
      <c r="T35" s="34">
        <v>78</v>
      </c>
      <c r="U35" s="88" t="s">
        <v>348</v>
      </c>
      <c r="V35" s="41">
        <f>C35/'1. Väestöennuste'!E35*1000</f>
        <v>-291.62906137184115</v>
      </c>
      <c r="W35" s="41">
        <f>D35/'1. Väestöennuste'!F35*1000</f>
        <v>-281.19589056908694</v>
      </c>
      <c r="X35" s="41">
        <f>E35/'1. Väestöennuste'!G35*1000</f>
        <v>-179.52330632851942</v>
      </c>
      <c r="Y35" s="41">
        <f>F35/'1. Väestöennuste'!H35*1000</f>
        <v>-346.10335362215062</v>
      </c>
      <c r="Z35" s="41">
        <f>G35/'1. Väestöennuste'!I35*1000</f>
        <v>-474.69203561409927</v>
      </c>
      <c r="AA35" s="41">
        <f>H35/'1. Väestöennuste'!J35*1000</f>
        <v>-333.49912956975874</v>
      </c>
      <c r="AB35" s="41">
        <f>I35/'1. Väestöennuste'!K35*1000</f>
        <v>-168.9351748339391</v>
      </c>
      <c r="AC35" s="41">
        <f>J35/'1. Väestöennuste'!L35*1000</f>
        <v>-291.9726302349336</v>
      </c>
      <c r="AD35" s="41">
        <f>K35/'1. Väestöennuste'!M35*1000</f>
        <v>-636.10500971376769</v>
      </c>
      <c r="AE35" s="41">
        <f>L35/'1. Väestöennuste'!N35*1000</f>
        <v>-374.766135553889</v>
      </c>
      <c r="AF35" s="41">
        <f>M35/'1. Väestöennuste'!O35*1000</f>
        <v>-397.15730786306847</v>
      </c>
      <c r="AG35" s="41">
        <f>N35/'1. Väestöennuste'!P35*1000</f>
        <v>-417.53886722245124</v>
      </c>
      <c r="AH35" s="41">
        <f>O35/'1. Väestöennuste'!Q35*1000</f>
        <v>-442.88375462166533</v>
      </c>
      <c r="AI35" s="41">
        <f>P35/'1. Väestöennuste'!R35*1000</f>
        <v>-467.96878220091867</v>
      </c>
      <c r="AK35" s="34">
        <v>78</v>
      </c>
      <c r="AL35" s="88" t="s">
        <v>348</v>
      </c>
      <c r="AM35" s="41"/>
      <c r="AN35" s="41">
        <f t="shared" si="15"/>
        <v>10.433170802754205</v>
      </c>
      <c r="AO35" s="41">
        <f t="shared" si="16"/>
        <v>101.67258424056752</v>
      </c>
      <c r="AP35" s="41">
        <f t="shared" si="17"/>
        <v>-166.5800472936312</v>
      </c>
      <c r="AQ35" s="41">
        <f t="shared" si="18"/>
        <v>-128.58868199194865</v>
      </c>
      <c r="AR35" s="41">
        <f t="shared" si="19"/>
        <v>141.19290604434053</v>
      </c>
      <c r="AS35" s="41">
        <f t="shared" si="20"/>
        <v>164.56395473581964</v>
      </c>
      <c r="AT35" s="41">
        <f t="shared" si="21"/>
        <v>-123.0374554009945</v>
      </c>
      <c r="AU35" s="41">
        <f t="shared" si="22"/>
        <v>-344.13237947883408</v>
      </c>
      <c r="AV35" s="41">
        <f t="shared" si="23"/>
        <v>261.33887415987869</v>
      </c>
      <c r="AW35" s="41">
        <f t="shared" si="24"/>
        <v>-22.391172309179467</v>
      </c>
      <c r="AX35" s="41">
        <f t="shared" si="25"/>
        <v>-20.381559359382777</v>
      </c>
      <c r="AY35" s="41">
        <f t="shared" si="25"/>
        <v>-25.344887399214088</v>
      </c>
      <c r="AZ35" s="41">
        <f t="shared" si="25"/>
        <v>-25.085027579253335</v>
      </c>
    </row>
    <row r="36" spans="1:52" x14ac:dyDescent="0.2">
      <c r="A36" s="30">
        <v>79</v>
      </c>
      <c r="B36" s="31" t="s">
        <v>349</v>
      </c>
      <c r="C36" s="41">
        <v>-1711</v>
      </c>
      <c r="D36" s="41">
        <v>-1935</v>
      </c>
      <c r="E36" s="73">
        <v>-2337</v>
      </c>
      <c r="F36" s="73">
        <v>-2083</v>
      </c>
      <c r="G36" s="73">
        <v>-3095</v>
      </c>
      <c r="H36" s="41">
        <v>-3176</v>
      </c>
      <c r="I36" s="165">
        <v>-4500.4624299999996</v>
      </c>
      <c r="J36" s="41">
        <v>-3880.6404199999997</v>
      </c>
      <c r="K36" s="41">
        <v>-4592.9216100000003</v>
      </c>
      <c r="L36" s="41">
        <f>$L$5*'7.1. Nettoinvestointiennuste '!Y36</f>
        <v>-4763.5442180056934</v>
      </c>
      <c r="M36" s="41">
        <f>$M$5*'7.1. Nettoinvestointiennuste '!Y36</f>
        <v>-4967.7006186124063</v>
      </c>
      <c r="N36" s="41">
        <f>$N$5*'7.1. Nettoinvestointiennuste '!Y36</f>
        <v>-5143.0314015936192</v>
      </c>
      <c r="O36" s="41">
        <f>O$5*'7.1. Nettoinvestointiennuste '!$Y36</f>
        <v>-5372.287888100308</v>
      </c>
      <c r="P36" s="41">
        <f>P$5*'7.1. Nettoinvestointiennuste '!$Y36</f>
        <v>-5595.3221324366214</v>
      </c>
      <c r="T36" s="34">
        <v>79</v>
      </c>
      <c r="U36" s="88" t="s">
        <v>349</v>
      </c>
      <c r="V36" s="41">
        <f>C36/'1. Väestöennuste'!E36*1000</f>
        <v>-234.51206140350877</v>
      </c>
      <c r="W36" s="41">
        <f>D36/'1. Väestöennuste'!F36*1000</f>
        <v>-267.26519337016572</v>
      </c>
      <c r="X36" s="41">
        <f>E36/'1. Väestöennuste'!G36*1000</f>
        <v>-326.8074395189484</v>
      </c>
      <c r="Y36" s="41">
        <f>F36/'1. Väestöennuste'!H36*1000</f>
        <v>-296.80820746651466</v>
      </c>
      <c r="Z36" s="41">
        <f>G36/'1. Väestöennuste'!I36*1000</f>
        <v>-446.54451017169237</v>
      </c>
      <c r="AA36" s="41">
        <f>H36/'1. Väestöennuste'!J36*1000</f>
        <v>-462.36715679138155</v>
      </c>
      <c r="AB36" s="41">
        <f>I36/'1. Väestöennuste'!K36*1000</f>
        <v>-663.29586293294028</v>
      </c>
      <c r="AC36" s="41">
        <f>J36/'1. Väestöennuste'!L36*1000</f>
        <v>-574.65428994520948</v>
      </c>
      <c r="AD36" s="41">
        <f>K36/'1. Väestöennuste'!M36*1000</f>
        <v>-685.20388035208123</v>
      </c>
      <c r="AE36" s="41">
        <f>L36/'1. Väestöennuste'!N36*1000</f>
        <v>-726.59307779220467</v>
      </c>
      <c r="AF36" s="41">
        <f>M36/'1. Väestöennuste'!O36*1000</f>
        <v>-765.7932200728236</v>
      </c>
      <c r="AG36" s="41">
        <f>N36/'1. Väestöennuste'!P36*1000</f>
        <v>-800.84574923600428</v>
      </c>
      <c r="AH36" s="41">
        <f>O36/'1. Väestöennuste'!Q36*1000</f>
        <v>-844.8321887246907</v>
      </c>
      <c r="AI36" s="41">
        <f>P36/'1. Väestöennuste'!R36*1000</f>
        <v>-888.14637022803515</v>
      </c>
      <c r="AK36" s="34">
        <v>79</v>
      </c>
      <c r="AL36" s="88" t="s">
        <v>349</v>
      </c>
      <c r="AM36" s="41"/>
      <c r="AN36" s="41">
        <f t="shared" si="15"/>
        <v>-32.753131966656952</v>
      </c>
      <c r="AO36" s="41">
        <f t="shared" si="16"/>
        <v>-59.542246148782681</v>
      </c>
      <c r="AP36" s="41">
        <f t="shared" si="17"/>
        <v>29.99923205243374</v>
      </c>
      <c r="AQ36" s="41">
        <f t="shared" si="18"/>
        <v>-149.73630270517771</v>
      </c>
      <c r="AR36" s="41">
        <f t="shared" si="19"/>
        <v>-15.822646619689181</v>
      </c>
      <c r="AS36" s="41">
        <f t="shared" si="20"/>
        <v>-200.92870614155873</v>
      </c>
      <c r="AT36" s="41">
        <f t="shared" si="21"/>
        <v>88.641572987730797</v>
      </c>
      <c r="AU36" s="41">
        <f t="shared" si="22"/>
        <v>-110.54959040687174</v>
      </c>
      <c r="AV36" s="41">
        <f t="shared" si="23"/>
        <v>-41.389197440123439</v>
      </c>
      <c r="AW36" s="41">
        <f t="shared" si="24"/>
        <v>-39.200142280618934</v>
      </c>
      <c r="AX36" s="41">
        <f t="shared" si="25"/>
        <v>-35.052529163180679</v>
      </c>
      <c r="AY36" s="41">
        <f t="shared" si="25"/>
        <v>-43.986439488686415</v>
      </c>
      <c r="AZ36" s="41">
        <f t="shared" si="25"/>
        <v>-43.314181503344457</v>
      </c>
    </row>
    <row r="37" spans="1:52" x14ac:dyDescent="0.2">
      <c r="A37" s="30">
        <v>81</v>
      </c>
      <c r="B37" s="31" t="s">
        <v>350</v>
      </c>
      <c r="C37" s="41">
        <v>-2729</v>
      </c>
      <c r="D37" s="41">
        <v>-2316</v>
      </c>
      <c r="E37" s="73">
        <v>-389</v>
      </c>
      <c r="F37" s="73">
        <v>-595</v>
      </c>
      <c r="G37" s="73">
        <v>3352</v>
      </c>
      <c r="H37" s="41">
        <v>-1641</v>
      </c>
      <c r="I37" s="165">
        <v>-3374.4154199999998</v>
      </c>
      <c r="J37" s="41">
        <v>-457.69790999999998</v>
      </c>
      <c r="K37" s="41">
        <v>-907.42882999999995</v>
      </c>
      <c r="L37" s="41">
        <f>$L$5*'7.1. Nettoinvestointiennuste '!Y37</f>
        <v>-1236.7602997131926</v>
      </c>
      <c r="M37" s="41">
        <f>$M$5*'7.1. Nettoinvestointiennuste '!Y37</f>
        <v>-1289.7654823350588</v>
      </c>
      <c r="N37" s="41">
        <f>$N$5*'7.1. Nettoinvestointiennuste '!Y37</f>
        <v>-1335.2866618990381</v>
      </c>
      <c r="O37" s="41">
        <f>O$5*'7.1. Nettoinvestointiennuste '!$Y37</f>
        <v>-1394.8085867489162</v>
      </c>
      <c r="P37" s="41">
        <f>P$5*'7.1. Nettoinvestointiennuste '!$Y37</f>
        <v>-1452.7150291472126</v>
      </c>
      <c r="T37" s="34">
        <v>81</v>
      </c>
      <c r="U37" s="88" t="s">
        <v>350</v>
      </c>
      <c r="V37" s="41">
        <f>C37/'1. Väestöennuste'!E37*1000</f>
        <v>-915.1576123407109</v>
      </c>
      <c r="W37" s="41">
        <f>D37/'1. Väestöennuste'!F37*1000</f>
        <v>-792.0656634746922</v>
      </c>
      <c r="X37" s="41">
        <f>E37/'1. Väestöennuste'!G37*1000</f>
        <v>-134.97571131158918</v>
      </c>
      <c r="Y37" s="41">
        <f>F37/'1. Väestöennuste'!H37*1000</f>
        <v>-214.02877697841726</v>
      </c>
      <c r="Z37" s="41">
        <f>G37/'1. Väestöennuste'!I37*1000</f>
        <v>1242.8624397478679</v>
      </c>
      <c r="AA37" s="41">
        <f>H37/'1. Väestöennuste'!J37*1000</f>
        <v>-618.07909604519773</v>
      </c>
      <c r="AB37" s="41">
        <f>I37/'1. Väestöennuste'!K37*1000</f>
        <v>-1287.4534223578787</v>
      </c>
      <c r="AC37" s="41">
        <f>J37/'1. Väestöennuste'!L37*1000</f>
        <v>-177.81581585081585</v>
      </c>
      <c r="AD37" s="41">
        <f>K37/'1. Väestöennuste'!M37*1000</f>
        <v>-358.52581193204264</v>
      </c>
      <c r="AE37" s="41">
        <f>L37/'1. Väestöennuste'!N37*1000</f>
        <v>-510.21464509620154</v>
      </c>
      <c r="AF37" s="41">
        <f>M37/'1. Väestöennuste'!O37*1000</f>
        <v>-542.37404639825843</v>
      </c>
      <c r="AG37" s="41">
        <f>N37/'1. Väestöennuste'!P37*1000</f>
        <v>-571.36784848054685</v>
      </c>
      <c r="AH37" s="41">
        <f>O37/'1. Väestöennuste'!Q37*1000</f>
        <v>-606.70229958630546</v>
      </c>
      <c r="AI37" s="41">
        <f>P37/'1. Väestöennuste'!R37*1000</f>
        <v>-641.3752888067163</v>
      </c>
      <c r="AK37" s="34">
        <v>81</v>
      </c>
      <c r="AL37" s="88" t="s">
        <v>350</v>
      </c>
      <c r="AM37" s="41"/>
      <c r="AN37" s="41">
        <f t="shared" si="15"/>
        <v>123.0919488660187</v>
      </c>
      <c r="AO37" s="41">
        <f t="shared" si="16"/>
        <v>657.08995216310302</v>
      </c>
      <c r="AP37" s="41">
        <f t="shared" si="17"/>
        <v>-79.053065666828076</v>
      </c>
      <c r="AQ37" s="41">
        <f t="shared" si="18"/>
        <v>1456.8912167262852</v>
      </c>
      <c r="AR37" s="41">
        <f t="shared" si="19"/>
        <v>-1860.9415357930657</v>
      </c>
      <c r="AS37" s="41">
        <f t="shared" si="20"/>
        <v>-669.37432631268098</v>
      </c>
      <c r="AT37" s="41">
        <f t="shared" si="21"/>
        <v>1109.6376065070629</v>
      </c>
      <c r="AU37" s="41">
        <f t="shared" si="22"/>
        <v>-180.70999608122679</v>
      </c>
      <c r="AV37" s="41">
        <f t="shared" si="23"/>
        <v>-151.68883316415889</v>
      </c>
      <c r="AW37" s="41">
        <f t="shared" si="24"/>
        <v>-32.159401302056892</v>
      </c>
      <c r="AX37" s="41">
        <f t="shared" si="25"/>
        <v>-28.993802082288425</v>
      </c>
      <c r="AY37" s="41">
        <f t="shared" si="25"/>
        <v>-35.334451105758603</v>
      </c>
      <c r="AZ37" s="41">
        <f t="shared" si="25"/>
        <v>-34.672989220410841</v>
      </c>
    </row>
    <row r="38" spans="1:52" x14ac:dyDescent="0.2">
      <c r="A38" s="30">
        <v>82</v>
      </c>
      <c r="B38" s="31" t="s">
        <v>351</v>
      </c>
      <c r="C38" s="41">
        <v>-7768</v>
      </c>
      <c r="D38" s="41">
        <v>-9844</v>
      </c>
      <c r="E38" s="73">
        <v>-647</v>
      </c>
      <c r="F38" s="73">
        <v>467</v>
      </c>
      <c r="G38" s="73">
        <v>-1389</v>
      </c>
      <c r="H38" s="41">
        <v>-2441</v>
      </c>
      <c r="I38" s="165">
        <v>-1894.14795</v>
      </c>
      <c r="J38" s="41">
        <v>-3148.2075499999996</v>
      </c>
      <c r="K38" s="41">
        <v>-393.96014000000002</v>
      </c>
      <c r="L38" s="41">
        <f>$L$5*'7.1. Nettoinvestointiennuste '!Y38</f>
        <v>-3123.8070306390664</v>
      </c>
      <c r="M38" s="41">
        <f>$M$5*'7.1. Nettoinvestointiennuste '!Y38</f>
        <v>-3257.6874294300778</v>
      </c>
      <c r="N38" s="41">
        <f>$N$5*'7.1. Nettoinvestointiennuste '!Y38</f>
        <v>-3372.6647462132237</v>
      </c>
      <c r="O38" s="41">
        <f>O$5*'7.1. Nettoinvestointiennuste '!$Y38</f>
        <v>-3523.0051212772828</v>
      </c>
      <c r="P38" s="41">
        <f>P$5*'7.1. Nettoinvestointiennuste '!$Y38</f>
        <v>-3669.2651135531046</v>
      </c>
      <c r="T38" s="34">
        <v>82</v>
      </c>
      <c r="U38" s="88" t="s">
        <v>351</v>
      </c>
      <c r="V38" s="41">
        <f>C38/'1. Väestöennuste'!E38*1000</f>
        <v>-796.96316815430396</v>
      </c>
      <c r="W38" s="41">
        <f>D38/'1. Väestöennuste'!F38*1000</f>
        <v>-1016.7320801487297</v>
      </c>
      <c r="X38" s="41">
        <f>E38/'1. Väestöennuste'!G38*1000</f>
        <v>-67.325702393340265</v>
      </c>
      <c r="Y38" s="41">
        <f>F38/'1. Väestöennuste'!H38*1000</f>
        <v>49.287598944591032</v>
      </c>
      <c r="Z38" s="41">
        <f>G38/'1. Väestöennuste'!I38*1000</f>
        <v>-147.42092973890894</v>
      </c>
      <c r="AA38" s="41">
        <f>H38/'1. Väestöennuste'!J38*1000</f>
        <v>-259.98508893385872</v>
      </c>
      <c r="AB38" s="41">
        <f>I38/'1. Väestöennuste'!K38*1000</f>
        <v>-201.39797448165868</v>
      </c>
      <c r="AC38" s="41">
        <f>J38/'1. Väestöennuste'!L38*1000</f>
        <v>-336.38289881397583</v>
      </c>
      <c r="AD38" s="41">
        <f>K38/'1. Väestöennuste'!M38*1000</f>
        <v>-42.040352150250776</v>
      </c>
      <c r="AE38" s="41">
        <f>L38/'1. Väestöennuste'!N38*1000</f>
        <v>-340.39523053711088</v>
      </c>
      <c r="AF38" s="41">
        <f>M38/'1. Väestöennuste'!O38*1000</f>
        <v>-357.12425229446148</v>
      </c>
      <c r="AG38" s="41">
        <f>N38/'1. Väestöennuste'!P38*1000</f>
        <v>-372.01243615852894</v>
      </c>
      <c r="AH38" s="41">
        <f>O38/'1. Väestöennuste'!Q38*1000</f>
        <v>-391.05395951573792</v>
      </c>
      <c r="AI38" s="41">
        <f>P38/'1. Väestöennuste'!R38*1000</f>
        <v>-409.88216192505638</v>
      </c>
      <c r="AK38" s="34">
        <v>82</v>
      </c>
      <c r="AL38" s="88" t="s">
        <v>351</v>
      </c>
      <c r="AM38" s="41"/>
      <c r="AN38" s="41">
        <f t="shared" si="15"/>
        <v>-219.76891199442571</v>
      </c>
      <c r="AO38" s="41">
        <f t="shared" si="16"/>
        <v>949.40637775538937</v>
      </c>
      <c r="AP38" s="41">
        <f t="shared" si="17"/>
        <v>116.61330133793129</v>
      </c>
      <c r="AQ38" s="41">
        <f t="shared" si="18"/>
        <v>-196.70852868349996</v>
      </c>
      <c r="AR38" s="41">
        <f t="shared" si="19"/>
        <v>-112.56415919494978</v>
      </c>
      <c r="AS38" s="41">
        <f t="shared" si="20"/>
        <v>58.587114452200041</v>
      </c>
      <c r="AT38" s="41">
        <f t="shared" si="21"/>
        <v>-134.98492433231715</v>
      </c>
      <c r="AU38" s="41">
        <f t="shared" si="22"/>
        <v>294.34254666372505</v>
      </c>
      <c r="AV38" s="41">
        <f t="shared" si="23"/>
        <v>-298.35487838686009</v>
      </c>
      <c r="AW38" s="41">
        <f t="shared" si="24"/>
        <v>-16.729021757350608</v>
      </c>
      <c r="AX38" s="41">
        <f t="shared" si="25"/>
        <v>-14.888183864067457</v>
      </c>
      <c r="AY38" s="41">
        <f t="shared" si="25"/>
        <v>-19.041523357208973</v>
      </c>
      <c r="AZ38" s="41">
        <f t="shared" si="25"/>
        <v>-18.828202409318465</v>
      </c>
    </row>
    <row r="39" spans="1:52" x14ac:dyDescent="0.2">
      <c r="A39" s="30">
        <v>86</v>
      </c>
      <c r="B39" s="31" t="s">
        <v>352</v>
      </c>
      <c r="C39" s="41">
        <v>-121</v>
      </c>
      <c r="D39" s="41">
        <v>-1266</v>
      </c>
      <c r="E39" s="73">
        <v>-3366</v>
      </c>
      <c r="F39" s="73">
        <v>-1194</v>
      </c>
      <c r="G39" s="73">
        <v>-1763</v>
      </c>
      <c r="H39" s="41">
        <v>-6387</v>
      </c>
      <c r="I39" s="165">
        <v>-2783.5703100000001</v>
      </c>
      <c r="J39" s="41">
        <v>-2417.9826600000001</v>
      </c>
      <c r="K39" s="41">
        <v>-4690.6844000000001</v>
      </c>
      <c r="L39" s="41">
        <f>$L$5*'7.1. Nettoinvestointiennuste '!Y39</f>
        <v>-4341.6631860474499</v>
      </c>
      <c r="M39" s="41">
        <f>$M$5*'7.1. Nettoinvestointiennuste '!Y39</f>
        <v>-4527.7385719669737</v>
      </c>
      <c r="N39" s="41">
        <f>$N$5*'7.1. Nettoinvestointiennuste '!Y39</f>
        <v>-4687.5412673997243</v>
      </c>
      <c r="O39" s="41">
        <f>O$5*'7.1. Nettoinvestointiennuste '!$Y39</f>
        <v>-4896.4937620289002</v>
      </c>
      <c r="P39" s="41">
        <f>P$5*'7.1. Nettoinvestointiennuste '!$Y39</f>
        <v>-5099.775084411227</v>
      </c>
      <c r="T39" s="34">
        <v>86</v>
      </c>
      <c r="U39" s="88" t="s">
        <v>352</v>
      </c>
      <c r="V39" s="41">
        <f>C39/'1. Väestöennuste'!E39*1000</f>
        <v>-13.861839844197503</v>
      </c>
      <c r="W39" s="41">
        <f>D39/'1. Väestöennuste'!F39*1000</f>
        <v>-146.51082050688578</v>
      </c>
      <c r="X39" s="41">
        <f>E39/'1. Väestöennuste'!G39*1000</f>
        <v>-395.8137347130762</v>
      </c>
      <c r="Y39" s="41">
        <f>F39/'1. Väestöennuste'!H39*1000</f>
        <v>-141.85576808839252</v>
      </c>
      <c r="Z39" s="41">
        <f>G39/'1. Väestöennuste'!I39*1000</f>
        <v>-213.43825665859563</v>
      </c>
      <c r="AA39" s="41">
        <f>H39/'1. Väestöennuste'!J39*1000</f>
        <v>-781.28440366972472</v>
      </c>
      <c r="AB39" s="41">
        <f>I39/'1. Väestöennuste'!K39*1000</f>
        <v>-341.83597077244258</v>
      </c>
      <c r="AC39" s="41">
        <f>J39/'1. Väestöennuste'!L39*1000</f>
        <v>-301.0811430706014</v>
      </c>
      <c r="AD39" s="41">
        <f>K39/'1. Väestöennuste'!M39*1000</f>
        <v>-586.48217054263557</v>
      </c>
      <c r="AE39" s="41">
        <f>L39/'1. Väestöennuste'!N39*1000</f>
        <v>-555.98196773561915</v>
      </c>
      <c r="AF39" s="41">
        <f>M39/'1. Väestöennuste'!O39*1000</f>
        <v>-585.66014383223046</v>
      </c>
      <c r="AG39" s="41">
        <f>N39/'1. Väestöennuste'!P39*1000</f>
        <v>-612.03045663921193</v>
      </c>
      <c r="AH39" s="41">
        <f>O39/'1. Väestöennuste'!Q39*1000</f>
        <v>-644.95439436629351</v>
      </c>
      <c r="AI39" s="41">
        <f>P39/'1. Väestöennuste'!R39*1000</f>
        <v>-677.71097467258835</v>
      </c>
      <c r="AK39" s="34">
        <v>86</v>
      </c>
      <c r="AL39" s="88" t="s">
        <v>352</v>
      </c>
      <c r="AM39" s="41"/>
      <c r="AN39" s="41">
        <f t="shared" si="15"/>
        <v>-132.64898066268827</v>
      </c>
      <c r="AO39" s="41">
        <f t="shared" si="16"/>
        <v>-249.30291420619042</v>
      </c>
      <c r="AP39" s="41">
        <f t="shared" si="17"/>
        <v>253.95796662468368</v>
      </c>
      <c r="AQ39" s="41">
        <f t="shared" si="18"/>
        <v>-71.582488570203111</v>
      </c>
      <c r="AR39" s="41">
        <f t="shared" si="19"/>
        <v>-567.84614701112912</v>
      </c>
      <c r="AS39" s="41">
        <f t="shared" si="20"/>
        <v>439.44843289728215</v>
      </c>
      <c r="AT39" s="41">
        <f t="shared" si="21"/>
        <v>40.75482770184118</v>
      </c>
      <c r="AU39" s="41">
        <f t="shared" si="22"/>
        <v>-285.40102747203417</v>
      </c>
      <c r="AV39" s="41">
        <f t="shared" si="23"/>
        <v>30.500202807016422</v>
      </c>
      <c r="AW39" s="41">
        <f t="shared" si="24"/>
        <v>-29.67817609661131</v>
      </c>
      <c r="AX39" s="41">
        <f t="shared" si="25"/>
        <v>-26.370312806981474</v>
      </c>
      <c r="AY39" s="41">
        <f t="shared" si="25"/>
        <v>-32.923937727081579</v>
      </c>
      <c r="AZ39" s="41">
        <f t="shared" si="25"/>
        <v>-32.756580306294836</v>
      </c>
    </row>
    <row r="40" spans="1:52" x14ac:dyDescent="0.2">
      <c r="A40" s="30">
        <v>90</v>
      </c>
      <c r="B40" s="31" t="s">
        <v>353</v>
      </c>
      <c r="C40" s="41">
        <v>-1157</v>
      </c>
      <c r="D40" s="41">
        <v>-1152</v>
      </c>
      <c r="E40" s="73">
        <v>-602</v>
      </c>
      <c r="F40" s="73">
        <v>-694</v>
      </c>
      <c r="G40" s="73">
        <v>-554</v>
      </c>
      <c r="H40" s="41">
        <v>-1079</v>
      </c>
      <c r="I40" s="165">
        <v>-503.90363000000002</v>
      </c>
      <c r="J40" s="41">
        <v>-480.23464000000001</v>
      </c>
      <c r="K40" s="41">
        <v>-735.99619999999993</v>
      </c>
      <c r="L40" s="41">
        <f>$L$5*'7.1. Nettoinvestointiennuste '!Y40</f>
        <v>-663.9410413107471</v>
      </c>
      <c r="M40" s="41">
        <f>$M$5*'7.1. Nettoinvestointiennuste '!Y40</f>
        <v>-692.3962853487302</v>
      </c>
      <c r="N40" s="41">
        <f>$N$5*'7.1. Nettoinvestointiennuste '!Y40</f>
        <v>-716.83382540270088</v>
      </c>
      <c r="O40" s="41">
        <f>O$5*'7.1. Nettoinvestointiennuste '!$Y40</f>
        <v>-748.78751018285811</v>
      </c>
      <c r="P40" s="41">
        <f>P$5*'7.1. Nettoinvestointiennuste '!$Y40</f>
        <v>-779.87394113753987</v>
      </c>
      <c r="T40" s="34">
        <v>90</v>
      </c>
      <c r="U40" s="88" t="s">
        <v>353</v>
      </c>
      <c r="V40" s="41">
        <f>C40/'1. Väestöennuste'!E40*1000</f>
        <v>-323.72691662003353</v>
      </c>
      <c r="W40" s="41">
        <f>D40/'1. Väestöennuste'!F40*1000</f>
        <v>-327.83153101878202</v>
      </c>
      <c r="X40" s="41">
        <f>E40/'1. Väestöennuste'!G40*1000</f>
        <v>-174.24023154848044</v>
      </c>
      <c r="Y40" s="41">
        <f>F40/'1. Väestöennuste'!H40*1000</f>
        <v>-208.47101231601081</v>
      </c>
      <c r="Z40" s="41">
        <f>G40/'1. Väestöennuste'!I40*1000</f>
        <v>-170.25199754148741</v>
      </c>
      <c r="AA40" s="41">
        <f>H40/'1. Väestöennuste'!J40*1000</f>
        <v>-337.60951188986235</v>
      </c>
      <c r="AB40" s="41">
        <f>I40/'1. Väestöennuste'!K40*1000</f>
        <v>-160.68355548469387</v>
      </c>
      <c r="AC40" s="41">
        <f>J40/'1. Väestöennuste'!L40*1000</f>
        <v>-156.88815419797453</v>
      </c>
      <c r="AD40" s="41">
        <f>K40/'1. Väestöennuste'!M40*1000</f>
        <v>-245.25031656114626</v>
      </c>
      <c r="AE40" s="41">
        <f>L40/'1. Väestöennuste'!N40*1000</f>
        <v>-224.76000044371941</v>
      </c>
      <c r="AF40" s="41">
        <f>M40/'1. Väestöennuste'!O40*1000</f>
        <v>-238.51060466714785</v>
      </c>
      <c r="AG40" s="41">
        <f>N40/'1. Väestöennuste'!P40*1000</f>
        <v>-251.08014900269731</v>
      </c>
      <c r="AH40" s="41">
        <f>O40/'1. Väestöennuste'!Q40*1000</f>
        <v>-266.85228445575842</v>
      </c>
      <c r="AI40" s="41">
        <f>P40/'1. Väestöennuste'!R40*1000</f>
        <v>-282.76792644580848</v>
      </c>
      <c r="AK40" s="34">
        <v>90</v>
      </c>
      <c r="AL40" s="88" t="s">
        <v>353</v>
      </c>
      <c r="AM40" s="41"/>
      <c r="AN40" s="41">
        <f t="shared" si="15"/>
        <v>-4.1046143987484811</v>
      </c>
      <c r="AO40" s="41">
        <f t="shared" si="16"/>
        <v>153.59129947030158</v>
      </c>
      <c r="AP40" s="41">
        <f t="shared" si="17"/>
        <v>-34.230780767530376</v>
      </c>
      <c r="AQ40" s="41">
        <f t="shared" si="18"/>
        <v>38.219014774523401</v>
      </c>
      <c r="AR40" s="41">
        <f t="shared" si="19"/>
        <v>-167.35751434837493</v>
      </c>
      <c r="AS40" s="41">
        <f t="shared" si="20"/>
        <v>176.92595640516848</v>
      </c>
      <c r="AT40" s="41">
        <f t="shared" si="21"/>
        <v>3.7954012867193399</v>
      </c>
      <c r="AU40" s="41">
        <f t="shared" si="22"/>
        <v>-88.362162363171734</v>
      </c>
      <c r="AV40" s="41">
        <f t="shared" si="23"/>
        <v>20.490316117426858</v>
      </c>
      <c r="AW40" s="41">
        <f t="shared" si="24"/>
        <v>-13.750604223428439</v>
      </c>
      <c r="AX40" s="41">
        <f t="shared" si="25"/>
        <v>-12.569544335549466</v>
      </c>
      <c r="AY40" s="41">
        <f t="shared" si="25"/>
        <v>-15.772135453061111</v>
      </c>
      <c r="AZ40" s="41">
        <f t="shared" si="25"/>
        <v>-15.915641990050062</v>
      </c>
    </row>
    <row r="41" spans="1:52" x14ac:dyDescent="0.2">
      <c r="A41" s="30">
        <v>91</v>
      </c>
      <c r="B41" s="31" t="s">
        <v>354</v>
      </c>
      <c r="C41" s="41">
        <v>-403282</v>
      </c>
      <c r="D41" s="41">
        <v>-397105</v>
      </c>
      <c r="E41" s="73">
        <v>-419145</v>
      </c>
      <c r="F41" s="73">
        <v>-475687</v>
      </c>
      <c r="G41" s="73">
        <v>-584156</v>
      </c>
      <c r="H41" s="41">
        <v>-737869</v>
      </c>
      <c r="I41" s="165">
        <v>-733210.31700000004</v>
      </c>
      <c r="J41" s="41">
        <v>-168417.60269</v>
      </c>
      <c r="K41" s="41">
        <v>-760168.40176000004</v>
      </c>
      <c r="L41" s="41">
        <f>$L$5*'7.1. Nettoinvestointiennuste '!Y41</f>
        <v>-754348.17863201385</v>
      </c>
      <c r="M41" s="41">
        <f>$M$5*'7.1. Nettoinvestointiennuste '!Y41</f>
        <v>-786678.09978014126</v>
      </c>
      <c r="N41" s="41">
        <f>$N$5*'7.1. Nettoinvestointiennuste '!Y41</f>
        <v>-814443.23656633333</v>
      </c>
      <c r="O41" s="41">
        <f>O$5*'7.1. Nettoinvestointiennuste '!$Y41</f>
        <v>-850747.97209963738</v>
      </c>
      <c r="P41" s="41">
        <f>P$5*'7.1. Nettoinvestointiennuste '!$Y41</f>
        <v>-886067.3620932718</v>
      </c>
      <c r="T41" s="34">
        <v>91</v>
      </c>
      <c r="U41" s="88" t="s">
        <v>354</v>
      </c>
      <c r="V41" s="41">
        <f>C41/'1. Väestöennuste'!E41*1000</f>
        <v>-641.95616738405113</v>
      </c>
      <c r="W41" s="41">
        <f>D41/'1. Väestöennuste'!F41*1000</f>
        <v>-625.18400267010509</v>
      </c>
      <c r="X41" s="41">
        <f>E41/'1. Väestöennuste'!G41*1000</f>
        <v>-651.58284520389509</v>
      </c>
      <c r="Y41" s="41">
        <f>F41/'1. Väestöennuste'!H41*1000</f>
        <v>-734.03730005153989</v>
      </c>
      <c r="Z41" s="41">
        <f>G41/'1. Väestöennuste'!I41*1000</f>
        <v>-893.43029969334771</v>
      </c>
      <c r="AA41" s="41">
        <f>H41/'1. Väestöennuste'!J41*1000</f>
        <v>-1123.2250502344275</v>
      </c>
      <c r="AB41" s="41">
        <f>I41/'1. Väestöennuste'!K41*1000</f>
        <v>-1113.5280162561869</v>
      </c>
      <c r="AC41" s="41">
        <f>J41/'1. Väestöennuste'!L41*1000</f>
        <v>-253.63027265416522</v>
      </c>
      <c r="AD41" s="41">
        <f>K41/'1. Väestöennuste'!M41*1000</f>
        <v>-1127.010232409192</v>
      </c>
      <c r="AE41" s="41">
        <f>L41/'1. Väestöennuste'!N41*1000</f>
        <v>-1112.7343055656968</v>
      </c>
      <c r="AF41" s="41">
        <f>M41/'1. Väestöennuste'!O41*1000</f>
        <v>-1152.5422707489627</v>
      </c>
      <c r="AG41" s="41">
        <f>N41/'1. Väestöennuste'!P41*1000</f>
        <v>-1185.4154433010749</v>
      </c>
      <c r="AH41" s="41">
        <f>O41/'1. Väestöennuste'!Q41*1000</f>
        <v>-1230.4679073818668</v>
      </c>
      <c r="AI41" s="41">
        <f>P41/'1. Väestöennuste'!R41*1000</f>
        <v>-1273.8192005642213</v>
      </c>
      <c r="AK41" s="34">
        <v>91</v>
      </c>
      <c r="AL41" s="88" t="s">
        <v>354</v>
      </c>
      <c r="AM41" s="41"/>
      <c r="AN41" s="41">
        <f t="shared" si="15"/>
        <v>16.77216471394604</v>
      </c>
      <c r="AO41" s="41">
        <f t="shared" si="16"/>
        <v>-26.398842533790003</v>
      </c>
      <c r="AP41" s="41">
        <f t="shared" si="17"/>
        <v>-82.454454847644797</v>
      </c>
      <c r="AQ41" s="41">
        <f t="shared" si="18"/>
        <v>-159.39299964180782</v>
      </c>
      <c r="AR41" s="41">
        <f t="shared" si="19"/>
        <v>-229.79475054107979</v>
      </c>
      <c r="AS41" s="41">
        <f t="shared" si="20"/>
        <v>9.6970339782405972</v>
      </c>
      <c r="AT41" s="41">
        <f t="shared" si="21"/>
        <v>859.89774360202171</v>
      </c>
      <c r="AU41" s="41">
        <f t="shared" si="22"/>
        <v>-873.37995975502679</v>
      </c>
      <c r="AV41" s="41">
        <f t="shared" si="23"/>
        <v>14.275926843495199</v>
      </c>
      <c r="AW41" s="41">
        <f t="shared" si="24"/>
        <v>-39.807965183265878</v>
      </c>
      <c r="AX41" s="41">
        <f t="shared" si="25"/>
        <v>-32.873172552112237</v>
      </c>
      <c r="AY41" s="41">
        <f t="shared" si="25"/>
        <v>-45.052464080791879</v>
      </c>
      <c r="AZ41" s="41">
        <f t="shared" si="25"/>
        <v>-43.351293182354539</v>
      </c>
    </row>
    <row r="42" spans="1:52" x14ac:dyDescent="0.2">
      <c r="A42" s="30">
        <v>92</v>
      </c>
      <c r="B42" s="31" t="s">
        <v>355</v>
      </c>
      <c r="C42" s="41">
        <v>-102853</v>
      </c>
      <c r="D42" s="41">
        <v>-76588</v>
      </c>
      <c r="E42" s="73">
        <v>-60062</v>
      </c>
      <c r="F42" s="73">
        <v>-64172</v>
      </c>
      <c r="G42" s="73">
        <v>-129775</v>
      </c>
      <c r="H42" s="41">
        <v>-102806</v>
      </c>
      <c r="I42" s="165">
        <v>-40643.551240000001</v>
      </c>
      <c r="J42" s="41">
        <v>-69123.525120000006</v>
      </c>
      <c r="K42" s="41">
        <v>-149387.81466</v>
      </c>
      <c r="L42" s="41">
        <f>$L$5*'7.1. Nettoinvestointiennuste '!Y42</f>
        <v>-146394.8166654981</v>
      </c>
      <c r="M42" s="41">
        <f>$M$5*'7.1. Nettoinvestointiennuste '!Y42</f>
        <v>-152669.01870290891</v>
      </c>
      <c r="N42" s="41">
        <f>$N$5*'7.1. Nettoinvestointiennuste '!Y42</f>
        <v>-158057.34232407578</v>
      </c>
      <c r="O42" s="41">
        <f>O$5*'7.1. Nettoinvestointiennuste '!$Y42</f>
        <v>-165102.92850435356</v>
      </c>
      <c r="P42" s="41">
        <f>P$5*'7.1. Nettoinvestointiennuste '!$Y42</f>
        <v>-171957.29067996325</v>
      </c>
      <c r="T42" s="34">
        <v>92</v>
      </c>
      <c r="U42" s="88" t="s">
        <v>355</v>
      </c>
      <c r="V42" s="41">
        <f>C42/'1. Väestöennuste'!E42*1000</f>
        <v>-479.26655949302204</v>
      </c>
      <c r="W42" s="41">
        <f>D42/'1. Väestöennuste'!F42*1000</f>
        <v>-349.17320519191583</v>
      </c>
      <c r="X42" s="41">
        <f>E42/'1. Väestöennuste'!G42*1000</f>
        <v>-269.30371659036803</v>
      </c>
      <c r="Y42" s="41">
        <f>F42/'1. Väestöennuste'!H42*1000</f>
        <v>-281.25136961685791</v>
      </c>
      <c r="Z42" s="41">
        <f>G42/'1. Väestöennuste'!I42*1000</f>
        <v>-555.12779381884297</v>
      </c>
      <c r="AA42" s="41">
        <f>H42/'1. Väestöennuste'!J42*1000</f>
        <v>-433.35820360745436</v>
      </c>
      <c r="AB42" s="41">
        <f>I42/'1. Väestöennuste'!K42*1000</f>
        <v>-169.91024991011932</v>
      </c>
      <c r="AC42" s="41">
        <f>J42/'1. Väestöennuste'!L42*1000</f>
        <v>-284.67098999666416</v>
      </c>
      <c r="AD42" s="41">
        <f>K42/'1. Väestöennuste'!M42*1000</f>
        <v>-603.7261699057965</v>
      </c>
      <c r="AE42" s="41">
        <f>L42/'1. Väestöennuste'!N42*1000</f>
        <v>-581.50408602711434</v>
      </c>
      <c r="AF42" s="41">
        <f>M42/'1. Väestöennuste'!O42*1000</f>
        <v>-598.8687779848857</v>
      </c>
      <c r="AG42" s="41">
        <f>N42/'1. Väestöennuste'!P42*1000</f>
        <v>-612.71085238279682</v>
      </c>
      <c r="AH42" s="41">
        <f>O42/'1. Väestöennuste'!Q42*1000</f>
        <v>-632.92019253448632</v>
      </c>
      <c r="AI42" s="41">
        <f>P42/'1. Väestöennuste'!R42*1000</f>
        <v>-652.28238202881096</v>
      </c>
      <c r="AK42" s="34">
        <v>92</v>
      </c>
      <c r="AL42" s="88" t="s">
        <v>355</v>
      </c>
      <c r="AM42" s="41"/>
      <c r="AN42" s="41">
        <f t="shared" si="15"/>
        <v>130.09335430110622</v>
      </c>
      <c r="AO42" s="41">
        <f t="shared" si="16"/>
        <v>79.8694886015478</v>
      </c>
      <c r="AP42" s="41">
        <f t="shared" si="17"/>
        <v>-11.947653026489888</v>
      </c>
      <c r="AQ42" s="41">
        <f t="shared" si="18"/>
        <v>-273.87642420198506</v>
      </c>
      <c r="AR42" s="41">
        <f t="shared" si="19"/>
        <v>121.76959021138862</v>
      </c>
      <c r="AS42" s="41">
        <f t="shared" si="20"/>
        <v>263.44795369733504</v>
      </c>
      <c r="AT42" s="41">
        <f t="shared" si="21"/>
        <v>-114.76074008654484</v>
      </c>
      <c r="AU42" s="41">
        <f t="shared" si="22"/>
        <v>-319.05517990913233</v>
      </c>
      <c r="AV42" s="41">
        <f t="shared" si="23"/>
        <v>22.222083878682156</v>
      </c>
      <c r="AW42" s="41">
        <f t="shared" si="24"/>
        <v>-17.364691957771356</v>
      </c>
      <c r="AX42" s="41">
        <f t="shared" si="25"/>
        <v>-13.842074397911119</v>
      </c>
      <c r="AY42" s="41">
        <f t="shared" si="25"/>
        <v>-20.209340151689503</v>
      </c>
      <c r="AZ42" s="41">
        <f t="shared" si="25"/>
        <v>-19.362189494324639</v>
      </c>
    </row>
    <row r="43" spans="1:52" x14ac:dyDescent="0.2">
      <c r="A43" s="30">
        <v>97</v>
      </c>
      <c r="B43" s="31" t="s">
        <v>356</v>
      </c>
      <c r="C43" s="41">
        <v>-710</v>
      </c>
      <c r="D43" s="41">
        <v>-683</v>
      </c>
      <c r="E43" s="73">
        <v>-78</v>
      </c>
      <c r="F43" s="73">
        <v>-230</v>
      </c>
      <c r="G43" s="73">
        <v>902</v>
      </c>
      <c r="H43" s="41">
        <v>-1178</v>
      </c>
      <c r="I43" s="165">
        <v>-587.88212999999996</v>
      </c>
      <c r="J43" s="41">
        <v>-338.59060999999997</v>
      </c>
      <c r="K43" s="41">
        <v>-274.4545</v>
      </c>
      <c r="L43" s="41">
        <f>$L$5*'7.1. Nettoinvestointiennuste '!Y43</f>
        <v>-585.1158196217981</v>
      </c>
      <c r="M43" s="41">
        <f>$M$5*'7.1. Nettoinvestointiennuste '!Y43</f>
        <v>-610.19276531708636</v>
      </c>
      <c r="N43" s="41">
        <f>$N$5*'7.1. Nettoinvestointiennuste '!Y43</f>
        <v>-631.72900180277054</v>
      </c>
      <c r="O43" s="41">
        <f>O$5*'7.1. Nettoinvestointiennuste '!$Y43</f>
        <v>-659.88904207256257</v>
      </c>
      <c r="P43" s="41">
        <f>P$5*'7.1. Nettoinvestointiennuste '!$Y43</f>
        <v>-687.28479168800447</v>
      </c>
      <c r="T43" s="34">
        <v>97</v>
      </c>
      <c r="U43" s="88" t="s">
        <v>356</v>
      </c>
      <c r="V43" s="41">
        <f>C43/'1. Väestöennuste'!E43*1000</f>
        <v>-310.04366812227073</v>
      </c>
      <c r="W43" s="41">
        <f>D43/'1. Väestöennuste'!F43*1000</f>
        <v>-300.35180299032544</v>
      </c>
      <c r="X43" s="41">
        <f>E43/'1. Väestöennuste'!G43*1000</f>
        <v>-34.883720930232556</v>
      </c>
      <c r="Y43" s="41">
        <f>F43/'1. Väestöennuste'!H43*1000</f>
        <v>-106.87732342007435</v>
      </c>
      <c r="Z43" s="41">
        <f>G43/'1. Väestöennuste'!I43*1000</f>
        <v>422.28464419475654</v>
      </c>
      <c r="AA43" s="41">
        <f>H43/'1. Väestöennuste'!J43*1000</f>
        <v>-546.38218923933209</v>
      </c>
      <c r="AB43" s="41">
        <f>I43/'1. Väestöennuste'!K43*1000</f>
        <v>-275.87148287189109</v>
      </c>
      <c r="AC43" s="41">
        <f>J43/'1. Väestöennuste'!L43*1000</f>
        <v>-161.92759923481586</v>
      </c>
      <c r="AD43" s="41">
        <f>K43/'1. Väestöennuste'!M43*1000</f>
        <v>-133.10111542192047</v>
      </c>
      <c r="AE43" s="41">
        <f>L43/'1. Väestöennuste'!N43*1000</f>
        <v>-278.75932330719297</v>
      </c>
      <c r="AF43" s="41">
        <f>M43/'1. Väestöennuste'!O43*1000</f>
        <v>-292.51810417885252</v>
      </c>
      <c r="AG43" s="41">
        <f>N43/'1. Väestöennuste'!P43*1000</f>
        <v>-304.59450424434453</v>
      </c>
      <c r="AH43" s="41">
        <f>O43/'1. Väestöennuste'!Q43*1000</f>
        <v>-319.7136831746912</v>
      </c>
      <c r="AI43" s="41">
        <f>P43/'1. Väestöennuste'!R43*1000</f>
        <v>-334.93410900974879</v>
      </c>
      <c r="AK43" s="34">
        <v>97</v>
      </c>
      <c r="AL43" s="88" t="s">
        <v>356</v>
      </c>
      <c r="AM43" s="41"/>
      <c r="AN43" s="41">
        <f t="shared" si="15"/>
        <v>9.691865131945292</v>
      </c>
      <c r="AO43" s="41">
        <f t="shared" si="16"/>
        <v>265.46808206009291</v>
      </c>
      <c r="AP43" s="41">
        <f t="shared" si="17"/>
        <v>-71.993602489841791</v>
      </c>
      <c r="AQ43" s="41">
        <f t="shared" si="18"/>
        <v>529.16196761483093</v>
      </c>
      <c r="AR43" s="41">
        <f t="shared" si="19"/>
        <v>-968.66683343408863</v>
      </c>
      <c r="AS43" s="41">
        <f t="shared" si="20"/>
        <v>270.510706367441</v>
      </c>
      <c r="AT43" s="41">
        <f t="shared" si="21"/>
        <v>113.94388363707523</v>
      </c>
      <c r="AU43" s="41">
        <f t="shared" si="22"/>
        <v>28.82648381289539</v>
      </c>
      <c r="AV43" s="41">
        <f t="shared" si="23"/>
        <v>-145.6582078852725</v>
      </c>
      <c r="AW43" s="41">
        <f t="shared" si="24"/>
        <v>-13.758780871659553</v>
      </c>
      <c r="AX43" s="41">
        <f t="shared" si="25"/>
        <v>-12.07640006549201</v>
      </c>
      <c r="AY43" s="41">
        <f t="shared" si="25"/>
        <v>-15.119178930346663</v>
      </c>
      <c r="AZ43" s="41">
        <f t="shared" si="25"/>
        <v>-15.220425835057597</v>
      </c>
    </row>
    <row r="44" spans="1:52" x14ac:dyDescent="0.2">
      <c r="A44" s="30">
        <v>98</v>
      </c>
      <c r="B44" s="31" t="s">
        <v>357</v>
      </c>
      <c r="C44" s="41">
        <v>-14358</v>
      </c>
      <c r="D44" s="41">
        <v>-9420</v>
      </c>
      <c r="E44" s="73">
        <v>-8963</v>
      </c>
      <c r="F44" s="73">
        <v>-3868</v>
      </c>
      <c r="G44" s="73">
        <v>-5807</v>
      </c>
      <c r="H44" s="41">
        <v>-18481</v>
      </c>
      <c r="I44" s="165">
        <v>-11298.956279999999</v>
      </c>
      <c r="J44" s="41">
        <v>-13473.23969</v>
      </c>
      <c r="K44" s="41">
        <v>-1998.9239299999999</v>
      </c>
      <c r="L44" s="41">
        <f>$L$5*'7.1. Nettoinvestointiennuste '!Y44</f>
        <v>-14539.314467210699</v>
      </c>
      <c r="M44" s="41">
        <f>$M$5*'7.1. Nettoinvestointiennuste '!Y44</f>
        <v>-15162.441696237987</v>
      </c>
      <c r="N44" s="41">
        <f>$N$5*'7.1. Nettoinvestointiennuste '!Y44</f>
        <v>-15697.587225046234</v>
      </c>
      <c r="O44" s="41">
        <f>O$5*'7.1. Nettoinvestointiennuste '!$Y44</f>
        <v>-16397.325066960108</v>
      </c>
      <c r="P44" s="41">
        <f>P$5*'7.1. Nettoinvestointiennuste '!$Y44</f>
        <v>-17078.071348920723</v>
      </c>
      <c r="T44" s="34">
        <v>98</v>
      </c>
      <c r="U44" s="88" t="s">
        <v>357</v>
      </c>
      <c r="V44" s="41">
        <f>C44/'1. Väestöennuste'!E44*1000</f>
        <v>-600.3763328454944</v>
      </c>
      <c r="W44" s="41">
        <f>D44/'1. Väestöennuste'!F44*1000</f>
        <v>-395.94804758101805</v>
      </c>
      <c r="X44" s="41">
        <f>E44/'1. Väestöennuste'!G44*1000</f>
        <v>-376.88167521655032</v>
      </c>
      <c r="Y44" s="41">
        <f>F44/'1. Väestöennuste'!H44*1000</f>
        <v>-163.88441657486655</v>
      </c>
      <c r="Z44" s="41">
        <f>G44/'1. Väestöennuste'!I44*1000</f>
        <v>-248.05638615976079</v>
      </c>
      <c r="AA44" s="41">
        <f>H44/'1. Väestöennuste'!J44*1000</f>
        <v>-794.84753343942191</v>
      </c>
      <c r="AB44" s="41">
        <f>I44/'1. Väestöennuste'!K44*1000</f>
        <v>-489.34414378518829</v>
      </c>
      <c r="AC44" s="41">
        <f>J44/'1. Väestöennuste'!L44*1000</f>
        <v>-587.2483846924988</v>
      </c>
      <c r="AD44" s="41">
        <f>K44/'1. Väestöennuste'!M44*1000</f>
        <v>-87.346468429102032</v>
      </c>
      <c r="AE44" s="41">
        <f>L44/'1. Väestöennuste'!N44*1000</f>
        <v>-639.51240234047498</v>
      </c>
      <c r="AF44" s="41">
        <f>M44/'1. Väestöennuste'!O44*1000</f>
        <v>-670.99356977643004</v>
      </c>
      <c r="AG44" s="41">
        <f>N44/'1. Väestöennuste'!P44*1000</f>
        <v>-698.88193869579425</v>
      </c>
      <c r="AH44" s="41">
        <f>O44/'1. Väestöennuste'!Q44*1000</f>
        <v>-734.21954358841651</v>
      </c>
      <c r="AI44" s="41">
        <f>P44/'1. Väestöennuste'!R44*1000</f>
        <v>-769.24784239091582</v>
      </c>
      <c r="AK44" s="34">
        <v>98</v>
      </c>
      <c r="AL44" s="88" t="s">
        <v>357</v>
      </c>
      <c r="AM44" s="41"/>
      <c r="AN44" s="41">
        <f t="shared" si="15"/>
        <v>204.42828526447636</v>
      </c>
      <c r="AO44" s="41">
        <f t="shared" si="16"/>
        <v>19.066372364467725</v>
      </c>
      <c r="AP44" s="41">
        <f t="shared" si="17"/>
        <v>212.99725864168377</v>
      </c>
      <c r="AQ44" s="41">
        <f t="shared" si="18"/>
        <v>-84.171969584894242</v>
      </c>
      <c r="AR44" s="41">
        <f t="shared" si="19"/>
        <v>-546.79114727966112</v>
      </c>
      <c r="AS44" s="41">
        <f t="shared" si="20"/>
        <v>305.50338965423362</v>
      </c>
      <c r="AT44" s="41">
        <f t="shared" si="21"/>
        <v>-97.904240907310509</v>
      </c>
      <c r="AU44" s="41">
        <f t="shared" si="22"/>
        <v>499.90191626339674</v>
      </c>
      <c r="AV44" s="41">
        <f t="shared" si="23"/>
        <v>-552.16593391137292</v>
      </c>
      <c r="AW44" s="41">
        <f t="shared" si="24"/>
        <v>-31.481167435955058</v>
      </c>
      <c r="AX44" s="41">
        <f t="shared" si="25"/>
        <v>-27.888368919364211</v>
      </c>
      <c r="AY44" s="41">
        <f t="shared" si="25"/>
        <v>-35.337604892622267</v>
      </c>
      <c r="AZ44" s="41">
        <f t="shared" si="25"/>
        <v>-35.028298802499307</v>
      </c>
    </row>
    <row r="45" spans="1:52" x14ac:dyDescent="0.2">
      <c r="A45" s="30">
        <v>102</v>
      </c>
      <c r="B45" s="31" t="s">
        <v>359</v>
      </c>
      <c r="C45" s="41">
        <v>-7466</v>
      </c>
      <c r="D45" s="41">
        <v>-2404</v>
      </c>
      <c r="E45" s="73">
        <v>-4658</v>
      </c>
      <c r="F45" s="73">
        <v>-4602</v>
      </c>
      <c r="G45" s="73">
        <v>-2883</v>
      </c>
      <c r="H45" s="41">
        <v>-4724</v>
      </c>
      <c r="I45" s="165">
        <v>-3690.1011000000003</v>
      </c>
      <c r="J45" s="41">
        <v>-1014.99721</v>
      </c>
      <c r="K45" s="41">
        <v>-14178.22486</v>
      </c>
      <c r="L45" s="41">
        <f>$L$5*'7.1. Nettoinvestointiennuste '!Y45</f>
        <v>-6135.9858893688142</v>
      </c>
      <c r="M45" s="41">
        <f>$M$5*'7.1. Nettoinvestointiennuste '!Y45</f>
        <v>-6398.9625168580778</v>
      </c>
      <c r="N45" s="41">
        <f>$N$5*'7.1. Nettoinvestointiennuste '!Y45</f>
        <v>-6624.808475478173</v>
      </c>
      <c r="O45" s="41">
        <f>O$5*'7.1. Nettoinvestointiennuste '!$Y45</f>
        <v>-6920.1168639117441</v>
      </c>
      <c r="P45" s="41">
        <f>P$5*'7.1. Nettoinvestointiennuste '!$Y45</f>
        <v>-7207.4102978470764</v>
      </c>
      <c r="T45" s="34">
        <v>102</v>
      </c>
      <c r="U45" s="88" t="s">
        <v>359</v>
      </c>
      <c r="V45" s="41">
        <f>C45/'1. Väestöennuste'!E45*1000</f>
        <v>-712.88074095292654</v>
      </c>
      <c r="W45" s="41">
        <f>D45/'1. Väestöennuste'!F45*1000</f>
        <v>-231.08718638854177</v>
      </c>
      <c r="X45" s="41">
        <f>E45/'1. Väestöennuste'!G45*1000</f>
        <v>-456.35348290388947</v>
      </c>
      <c r="Y45" s="41">
        <f>F45/'1. Väestöennuste'!H45*1000</f>
        <v>-456.04994549598655</v>
      </c>
      <c r="Z45" s="41">
        <f>G45/'1. Väestöennuste'!I45*1000</f>
        <v>-287.03703703703701</v>
      </c>
      <c r="AA45" s="41">
        <f>H45/'1. Väestöennuste'!J45*1000</f>
        <v>-475.39498842709065</v>
      </c>
      <c r="AB45" s="41">
        <f>I45/'1. Väestöennuste'!K45*1000</f>
        <v>-373.87042553191492</v>
      </c>
      <c r="AC45" s="41">
        <f>J45/'1. Väestöennuste'!L45*1000</f>
        <v>-104.15569112365316</v>
      </c>
      <c r="AD45" s="41">
        <f>K45/'1. Väestöennuste'!M45*1000</f>
        <v>-1469.8553659547999</v>
      </c>
      <c r="AE45" s="41">
        <f>L45/'1. Väestöennuste'!N45*1000</f>
        <v>-643.65738900333724</v>
      </c>
      <c r="AF45" s="41">
        <f>M45/'1. Väestöennuste'!O45*1000</f>
        <v>-677.64084685566854</v>
      </c>
      <c r="AG45" s="41">
        <f>N45/'1. Väestöennuste'!P45*1000</f>
        <v>-708.15697225848999</v>
      </c>
      <c r="AH45" s="41">
        <f>O45/'1. Väestöennuste'!Q45*1000</f>
        <v>-746.26516379939017</v>
      </c>
      <c r="AI45" s="41">
        <f>P45/'1. Väestöennuste'!R45*1000</f>
        <v>-784.01069268433332</v>
      </c>
      <c r="AK45" s="34">
        <v>102</v>
      </c>
      <c r="AL45" s="88" t="s">
        <v>359</v>
      </c>
      <c r="AM45" s="41"/>
      <c r="AN45" s="41">
        <f t="shared" si="15"/>
        <v>481.79355456438475</v>
      </c>
      <c r="AO45" s="41">
        <f t="shared" si="16"/>
        <v>-225.2662965153477</v>
      </c>
      <c r="AP45" s="41">
        <f t="shared" si="17"/>
        <v>0.3035374079029225</v>
      </c>
      <c r="AQ45" s="41">
        <f t="shared" si="18"/>
        <v>169.01290845894954</v>
      </c>
      <c r="AR45" s="41">
        <f t="shared" si="19"/>
        <v>-188.35795139005364</v>
      </c>
      <c r="AS45" s="41">
        <f t="shared" si="20"/>
        <v>101.52456289517573</v>
      </c>
      <c r="AT45" s="41">
        <f t="shared" si="21"/>
        <v>269.71473440826173</v>
      </c>
      <c r="AU45" s="41">
        <f t="shared" si="22"/>
        <v>-1365.6996748311467</v>
      </c>
      <c r="AV45" s="41">
        <f t="shared" si="23"/>
        <v>826.19797695146269</v>
      </c>
      <c r="AW45" s="41">
        <f t="shared" si="24"/>
        <v>-33.983457852331298</v>
      </c>
      <c r="AX45" s="41">
        <f t="shared" si="25"/>
        <v>-30.516125402821444</v>
      </c>
      <c r="AY45" s="41">
        <f t="shared" si="25"/>
        <v>-38.108191540900179</v>
      </c>
      <c r="AZ45" s="41">
        <f t="shared" si="25"/>
        <v>-37.745528884943155</v>
      </c>
    </row>
    <row r="46" spans="1:52" x14ac:dyDescent="0.2">
      <c r="A46" s="30">
        <v>103</v>
      </c>
      <c r="B46" s="31" t="s">
        <v>360</v>
      </c>
      <c r="C46" s="41">
        <v>-338</v>
      </c>
      <c r="D46" s="41">
        <v>-475</v>
      </c>
      <c r="E46" s="73">
        <v>-577</v>
      </c>
      <c r="F46" s="73">
        <v>-2217</v>
      </c>
      <c r="G46" s="73">
        <v>663</v>
      </c>
      <c r="H46" s="41">
        <v>-188</v>
      </c>
      <c r="I46" s="165">
        <v>-63.172620000000002</v>
      </c>
      <c r="J46" s="41">
        <v>-254.14961</v>
      </c>
      <c r="K46" s="41">
        <v>-374.02143999999998</v>
      </c>
      <c r="L46" s="41">
        <f>$L$5*'7.1. Nettoinvestointiennuste '!Y46</f>
        <v>-460.42246087284747</v>
      </c>
      <c r="M46" s="41">
        <f>$M$5*'7.1. Nettoinvestointiennuste '!Y46</f>
        <v>-480.15528753896359</v>
      </c>
      <c r="N46" s="41">
        <f>$N$5*'7.1. Nettoinvestointiennuste '!Y46</f>
        <v>-497.10196145915864</v>
      </c>
      <c r="O46" s="41">
        <f>O$5*'7.1. Nettoinvestointiennuste '!$Y46</f>
        <v>-519.26084796418706</v>
      </c>
      <c r="P46" s="41">
        <f>P$5*'7.1. Nettoinvestointiennuste '!$Y46</f>
        <v>-540.81832091638182</v>
      </c>
      <c r="T46" s="34">
        <v>103</v>
      </c>
      <c r="U46" s="88" t="s">
        <v>360</v>
      </c>
      <c r="V46" s="41">
        <f>C46/'1. Väestöennuste'!E46*1000</f>
        <v>-141.54103852596313</v>
      </c>
      <c r="W46" s="41">
        <f>D46/'1. Väestöennuste'!F46*1000</f>
        <v>-202.55863539445627</v>
      </c>
      <c r="X46" s="41">
        <f>E46/'1. Väestöennuste'!G46*1000</f>
        <v>-251.96506550218339</v>
      </c>
      <c r="Y46" s="41">
        <f>F46/'1. Väestöennuste'!H46*1000</f>
        <v>-991.94630872483219</v>
      </c>
      <c r="Z46" s="41">
        <f>G46/'1. Väestöennuste'!I46*1000</f>
        <v>303.57142857142856</v>
      </c>
      <c r="AA46" s="41">
        <f>H46/'1. Väestöennuste'!J46*1000</f>
        <v>-86.476540938362461</v>
      </c>
      <c r="AB46" s="41">
        <f>I46/'1. Väestöennuste'!K46*1000</f>
        <v>-29.165567867036014</v>
      </c>
      <c r="AC46" s="41">
        <f>J46/'1. Väestöennuste'!L46*1000</f>
        <v>-117.60740860712633</v>
      </c>
      <c r="AD46" s="41">
        <f>K46/'1. Väestöennuste'!M46*1000</f>
        <v>-176.01008941176468</v>
      </c>
      <c r="AE46" s="41">
        <f>L46/'1. Väestöennuste'!N46*1000</f>
        <v>-220.93208295242201</v>
      </c>
      <c r="AF46" s="41">
        <f>M46/'1. Väestöennuste'!O46*1000</f>
        <v>-232.63337574562189</v>
      </c>
      <c r="AG46" s="41">
        <f>N46/'1. Väestöennuste'!P46*1000</f>
        <v>-243.43876663034214</v>
      </c>
      <c r="AH46" s="41">
        <f>O46/'1. Väestöennuste'!Q46*1000</f>
        <v>-256.93263135288817</v>
      </c>
      <c r="AI46" s="41">
        <f>P46/'1. Väestöennuste'!R46*1000</f>
        <v>-270.00415422685063</v>
      </c>
      <c r="AK46" s="34">
        <v>103</v>
      </c>
      <c r="AL46" s="88" t="s">
        <v>360</v>
      </c>
      <c r="AM46" s="41"/>
      <c r="AN46" s="41">
        <f t="shared" si="15"/>
        <v>-61.017596868493143</v>
      </c>
      <c r="AO46" s="41">
        <f t="shared" si="16"/>
        <v>-49.406430107727118</v>
      </c>
      <c r="AP46" s="41">
        <f t="shared" si="17"/>
        <v>-739.9812432226488</v>
      </c>
      <c r="AQ46" s="41">
        <f t="shared" si="18"/>
        <v>1295.5177372962607</v>
      </c>
      <c r="AR46" s="41">
        <f t="shared" si="19"/>
        <v>-390.04796950979102</v>
      </c>
      <c r="AS46" s="41">
        <f t="shared" si="20"/>
        <v>57.310973071326444</v>
      </c>
      <c r="AT46" s="41">
        <f t="shared" si="21"/>
        <v>-88.441840740090313</v>
      </c>
      <c r="AU46" s="41">
        <f t="shared" si="22"/>
        <v>-58.402680804638351</v>
      </c>
      <c r="AV46" s="41">
        <f t="shared" si="23"/>
        <v>-44.921993540657326</v>
      </c>
      <c r="AW46" s="41">
        <f t="shared" si="24"/>
        <v>-11.701292793199883</v>
      </c>
      <c r="AX46" s="41">
        <f t="shared" si="25"/>
        <v>-10.805390884720254</v>
      </c>
      <c r="AY46" s="41">
        <f t="shared" si="25"/>
        <v>-13.493864722546022</v>
      </c>
      <c r="AZ46" s="41">
        <f t="shared" si="25"/>
        <v>-13.071522873962465</v>
      </c>
    </row>
    <row r="47" spans="1:52" x14ac:dyDescent="0.2">
      <c r="A47" s="30">
        <v>105</v>
      </c>
      <c r="B47" s="31" t="s">
        <v>361</v>
      </c>
      <c r="C47" s="41">
        <v>-166</v>
      </c>
      <c r="D47" s="41">
        <v>-150</v>
      </c>
      <c r="E47" s="73">
        <v>-259</v>
      </c>
      <c r="F47" s="73">
        <v>-710</v>
      </c>
      <c r="G47" s="73">
        <v>-293</v>
      </c>
      <c r="H47" s="41">
        <v>-240</v>
      </c>
      <c r="I47" s="165">
        <v>-702.85281999999995</v>
      </c>
      <c r="J47" s="41">
        <v>-1266.1580200000001</v>
      </c>
      <c r="K47" s="41">
        <v>-790.68901000000005</v>
      </c>
      <c r="L47" s="41">
        <f>$L$5*'7.1. Nettoinvestointiennuste '!Y47</f>
        <v>-688.12766954183178</v>
      </c>
      <c r="M47" s="41">
        <f>$M$5*'7.1. Nettoinvestointiennuste '!Y47</f>
        <v>-717.6195062378207</v>
      </c>
      <c r="N47" s="41">
        <f>$N$5*'7.1. Nettoinvestointiennuste '!Y47</f>
        <v>-742.94727849524247</v>
      </c>
      <c r="O47" s="41">
        <f>O$5*'7.1. Nettoinvestointiennuste '!$Y47</f>
        <v>-776.06500020986186</v>
      </c>
      <c r="P47" s="41">
        <f>P$5*'7.1. Nettoinvestointiennuste '!$Y47</f>
        <v>-808.28387501384657</v>
      </c>
      <c r="T47" s="34">
        <v>105</v>
      </c>
      <c r="U47" s="88" t="s">
        <v>361</v>
      </c>
      <c r="V47" s="41">
        <f>C47/'1. Väestöennuste'!E47*1000</f>
        <v>-68.538398018166802</v>
      </c>
      <c r="W47" s="41">
        <f>D47/'1. Väestöennuste'!F47*1000</f>
        <v>-62.344139650872819</v>
      </c>
      <c r="X47" s="41">
        <f>E47/'1. Väestöennuste'!G47*1000</f>
        <v>-111.3499570077386</v>
      </c>
      <c r="Y47" s="41">
        <f>F47/'1. Väestöennuste'!H47*1000</f>
        <v>-310.45037166593789</v>
      </c>
      <c r="Z47" s="41">
        <f>G47/'1. Väestöennuste'!I47*1000</f>
        <v>-129.01805372082782</v>
      </c>
      <c r="AA47" s="41">
        <f>H47/'1. Väestöennuste'!J47*1000</f>
        <v>-109.14051841746249</v>
      </c>
      <c r="AB47" s="41">
        <f>I47/'1. Väestöennuste'!K47*1000</f>
        <v>-328.58944366526413</v>
      </c>
      <c r="AC47" s="41">
        <f>J47/'1. Väestöennuste'!L47*1000</f>
        <v>-604.65999044890157</v>
      </c>
      <c r="AD47" s="41">
        <f>K47/'1. Väestöennuste'!M47*1000</f>
        <v>-383.27145419292299</v>
      </c>
      <c r="AE47" s="41">
        <f>L47/'1. Väestöennuste'!N47*1000</f>
        <v>-336.98710555427607</v>
      </c>
      <c r="AF47" s="41">
        <f>M47/'1. Väestöennuste'!O47*1000</f>
        <v>-357.20234257731244</v>
      </c>
      <c r="AG47" s="41">
        <f>N47/'1. Väestöennuste'!P47*1000</f>
        <v>-375.98546482552757</v>
      </c>
      <c r="AH47" s="41">
        <f>O47/'1. Väestöennuste'!Q47*1000</f>
        <v>-399.00514149607289</v>
      </c>
      <c r="AI47" s="41">
        <f>P47/'1. Väestöennuste'!R47*1000</f>
        <v>-421.86006002810359</v>
      </c>
      <c r="AK47" s="34">
        <v>105</v>
      </c>
      <c r="AL47" s="88" t="s">
        <v>361</v>
      </c>
      <c r="AM47" s="41"/>
      <c r="AN47" s="41">
        <f t="shared" si="15"/>
        <v>6.1942583672939833</v>
      </c>
      <c r="AO47" s="41">
        <f t="shared" si="16"/>
        <v>-49.005817356865776</v>
      </c>
      <c r="AP47" s="41">
        <f t="shared" si="17"/>
        <v>-199.1004146581993</v>
      </c>
      <c r="AQ47" s="41">
        <f t="shared" si="18"/>
        <v>181.43231794511007</v>
      </c>
      <c r="AR47" s="41">
        <f t="shared" si="19"/>
        <v>19.877535303365335</v>
      </c>
      <c r="AS47" s="41">
        <f t="shared" si="20"/>
        <v>-219.44892524780164</v>
      </c>
      <c r="AT47" s="41">
        <f t="shared" si="21"/>
        <v>-276.07054678363744</v>
      </c>
      <c r="AU47" s="41">
        <f t="shared" si="22"/>
        <v>221.38853625597858</v>
      </c>
      <c r="AV47" s="41">
        <f t="shared" si="23"/>
        <v>46.284348638646918</v>
      </c>
      <c r="AW47" s="41">
        <f t="shared" si="24"/>
        <v>-20.215237023036366</v>
      </c>
      <c r="AX47" s="41">
        <f t="shared" si="25"/>
        <v>-18.783122248215136</v>
      </c>
      <c r="AY47" s="41">
        <f t="shared" si="25"/>
        <v>-23.019676670545323</v>
      </c>
      <c r="AZ47" s="41">
        <f t="shared" si="25"/>
        <v>-22.854918532030695</v>
      </c>
    </row>
    <row r="48" spans="1:52" x14ac:dyDescent="0.2">
      <c r="A48" s="30">
        <v>106</v>
      </c>
      <c r="B48" s="31" t="s">
        <v>362</v>
      </c>
      <c r="C48" s="41">
        <v>-12002</v>
      </c>
      <c r="D48" s="41">
        <v>-13863</v>
      </c>
      <c r="E48" s="73">
        <v>-10992</v>
      </c>
      <c r="F48" s="73">
        <v>-8858</v>
      </c>
      <c r="G48" s="73">
        <v>-33919</v>
      </c>
      <c r="H48" s="41">
        <v>-33767</v>
      </c>
      <c r="I48" s="165">
        <v>-15327.281570000001</v>
      </c>
      <c r="J48" s="41">
        <v>-11129.112499999999</v>
      </c>
      <c r="K48" s="41">
        <v>-18984.607039999999</v>
      </c>
      <c r="L48" s="41">
        <f>$L$5*'7.1. Nettoinvestointiennuste '!Y48</f>
        <v>-31645.450917474755</v>
      </c>
      <c r="M48" s="41">
        <f>$M$5*'7.1. Nettoinvestointiennuste '!Y48</f>
        <v>-33001.714459748087</v>
      </c>
      <c r="N48" s="41">
        <f>$N$5*'7.1. Nettoinvestointiennuste '!Y48</f>
        <v>-34166.482001147604</v>
      </c>
      <c r="O48" s="41">
        <f>O$5*'7.1. Nettoinvestointiennuste '!$Y48</f>
        <v>-35689.491877667133</v>
      </c>
      <c r="P48" s="41">
        <f>P$5*'7.1. Nettoinvestointiennuste '!$Y48</f>
        <v>-37171.165797137073</v>
      </c>
      <c r="T48" s="34">
        <v>106</v>
      </c>
      <c r="U48" s="88" t="s">
        <v>362</v>
      </c>
      <c r="V48" s="41">
        <f>C48/'1. Väestöennuste'!E48*1000</f>
        <v>-258.31306631082794</v>
      </c>
      <c r="W48" s="41">
        <f>D48/'1. Väestöennuste'!F48*1000</f>
        <v>-297.51480813803761</v>
      </c>
      <c r="X48" s="41">
        <f>E48/'1. Väestöennuste'!G48*1000</f>
        <v>-235.1783307302253</v>
      </c>
      <c r="Y48" s="41">
        <f>F48/'1. Väestöennuste'!H48*1000</f>
        <v>-190.47823843110271</v>
      </c>
      <c r="Z48" s="41">
        <f>G48/'1. Väestöennuste'!I48*1000</f>
        <v>-729.91177103507641</v>
      </c>
      <c r="AA48" s="41">
        <f>H48/'1. Väestöennuste'!J48*1000</f>
        <v>-724.98711782892474</v>
      </c>
      <c r="AB48" s="41">
        <f>I48/'1. Väestöennuste'!K48*1000</f>
        <v>-326.94713246587031</v>
      </c>
      <c r="AC48" s="41">
        <f>J48/'1. Väestöennuste'!L48*1000</f>
        <v>-237.81679381156908</v>
      </c>
      <c r="AD48" s="41">
        <f>K48/'1. Väestöennuste'!M48*1000</f>
        <v>-404.78043197373188</v>
      </c>
      <c r="AE48" s="41">
        <f>L48/'1. Väestöennuste'!N48*1000</f>
        <v>-674.74308992483486</v>
      </c>
      <c r="AF48" s="41">
        <f>M48/'1. Väestöennuste'!O48*1000</f>
        <v>-702.41820360019767</v>
      </c>
      <c r="AG48" s="41">
        <f>N48/'1. Väestöennuste'!P48*1000</f>
        <v>-725.89619276679707</v>
      </c>
      <c r="AH48" s="41">
        <f>O48/'1. Väestöennuste'!Q48*1000</f>
        <v>-756.91908713849409</v>
      </c>
      <c r="AI48" s="41">
        <f>P48/'1. Väestöennuste'!R48*1000</f>
        <v>-786.92450243748567</v>
      </c>
      <c r="AK48" s="34">
        <v>106</v>
      </c>
      <c r="AL48" s="88" t="s">
        <v>362</v>
      </c>
      <c r="AM48" s="41"/>
      <c r="AN48" s="41">
        <f t="shared" si="15"/>
        <v>-39.201741827209673</v>
      </c>
      <c r="AO48" s="41">
        <f t="shared" si="16"/>
        <v>62.336477407812311</v>
      </c>
      <c r="AP48" s="41">
        <f t="shared" si="17"/>
        <v>44.700092299122588</v>
      </c>
      <c r="AQ48" s="41">
        <f t="shared" si="18"/>
        <v>-539.43353260397373</v>
      </c>
      <c r="AR48" s="41">
        <f t="shared" si="19"/>
        <v>4.9246532061516746</v>
      </c>
      <c r="AS48" s="41">
        <f t="shared" si="20"/>
        <v>398.03998536305443</v>
      </c>
      <c r="AT48" s="41">
        <f t="shared" si="21"/>
        <v>89.130338654301227</v>
      </c>
      <c r="AU48" s="41">
        <f t="shared" si="22"/>
        <v>-166.96363816216279</v>
      </c>
      <c r="AV48" s="41">
        <f t="shared" si="23"/>
        <v>-269.96265795110298</v>
      </c>
      <c r="AW48" s="41">
        <f t="shared" si="24"/>
        <v>-27.675113675362809</v>
      </c>
      <c r="AX48" s="41">
        <f t="shared" si="25"/>
        <v>-23.4779891665994</v>
      </c>
      <c r="AY48" s="41">
        <f t="shared" si="25"/>
        <v>-31.022894371697021</v>
      </c>
      <c r="AZ48" s="41">
        <f t="shared" si="25"/>
        <v>-30.005415298991579</v>
      </c>
    </row>
    <row r="49" spans="1:52" x14ac:dyDescent="0.2">
      <c r="A49" s="30">
        <v>108</v>
      </c>
      <c r="B49" s="31" t="s">
        <v>363</v>
      </c>
      <c r="C49" s="41">
        <v>-21977</v>
      </c>
      <c r="D49" s="41">
        <v>-8969</v>
      </c>
      <c r="E49" s="73">
        <v>-6944</v>
      </c>
      <c r="F49" s="73">
        <v>-9305</v>
      </c>
      <c r="G49" s="73">
        <v>-3413</v>
      </c>
      <c r="H49" s="41">
        <v>-2227</v>
      </c>
      <c r="I49" s="165">
        <v>-3726.8052400000001</v>
      </c>
      <c r="J49" s="41">
        <v>-2435.5432599999999</v>
      </c>
      <c r="K49" s="41">
        <v>-4315.9859400000005</v>
      </c>
      <c r="L49" s="41">
        <f>$L$5*'7.1. Nettoinvestointiennuste '!Y49</f>
        <v>-3818.1317063443321</v>
      </c>
      <c r="M49" s="41">
        <f>$M$5*'7.1. Nettoinvestointiennuste '!Y49</f>
        <v>-3981.7695336711395</v>
      </c>
      <c r="N49" s="41">
        <f>$N$5*'7.1. Nettoinvestointiennuste '!Y49</f>
        <v>-4122.302714630885</v>
      </c>
      <c r="O49" s="41">
        <f>O$5*'7.1. Nettoinvestointiennuste '!$Y49</f>
        <v>-4306.0590565385828</v>
      </c>
      <c r="P49" s="41">
        <f>P$5*'7.1. Nettoinvestointiennuste '!$Y49</f>
        <v>-4484.8280740869386</v>
      </c>
      <c r="T49" s="34">
        <v>108</v>
      </c>
      <c r="U49" s="88" t="s">
        <v>363</v>
      </c>
      <c r="V49" s="41">
        <f>C49/'1. Väestöennuste'!E49*1000</f>
        <v>-2060.2793662698041</v>
      </c>
      <c r="W49" s="41">
        <f>D49/'1. Väestöennuste'!F49*1000</f>
        <v>-839.71538245482634</v>
      </c>
      <c r="X49" s="41">
        <f>E49/'1. Väestöennuste'!G49*1000</f>
        <v>-655.15614680630256</v>
      </c>
      <c r="Y49" s="41">
        <f>F49/'1. Väestöennuste'!H49*1000</f>
        <v>-885.34728829686014</v>
      </c>
      <c r="Z49" s="41">
        <f>G49/'1. Väestöennuste'!I49*1000</f>
        <v>-328.04690503652438</v>
      </c>
      <c r="AA49" s="41">
        <f>H49/'1. Väestöennuste'!J49*1000</f>
        <v>-215.29389017788088</v>
      </c>
      <c r="AB49" s="41">
        <f>I49/'1. Väestöennuste'!K49*1000</f>
        <v>-360.53064138531488</v>
      </c>
      <c r="AC49" s="41">
        <f>J49/'1. Väestöennuste'!L49*1000</f>
        <v>-237.45181437067367</v>
      </c>
      <c r="AD49" s="41">
        <f>K49/'1. Väestöennuste'!M49*1000</f>
        <v>-418.25622056400817</v>
      </c>
      <c r="AE49" s="41">
        <f>L49/'1. Väestöennuste'!N49*1000</f>
        <v>-379.7246848676611</v>
      </c>
      <c r="AF49" s="41">
        <f>M49/'1. Väestöennuste'!O49*1000</f>
        <v>-398.37614143783287</v>
      </c>
      <c r="AG49" s="41">
        <f>N49/'1. Väestöennuste'!P49*1000</f>
        <v>-414.63515536420084</v>
      </c>
      <c r="AH49" s="41">
        <f>O49/'1. Väestöennuste'!Q49*1000</f>
        <v>-435.21922948641429</v>
      </c>
      <c r="AI49" s="41">
        <f>P49/'1. Väestöennuste'!R49*1000</f>
        <v>-455.45121093601489</v>
      </c>
      <c r="AK49" s="34">
        <v>108</v>
      </c>
      <c r="AL49" s="88" t="s">
        <v>363</v>
      </c>
      <c r="AM49" s="41"/>
      <c r="AN49" s="41">
        <f t="shared" si="15"/>
        <v>1220.5639838149777</v>
      </c>
      <c r="AO49" s="41">
        <f t="shared" si="16"/>
        <v>184.55923564852378</v>
      </c>
      <c r="AP49" s="41">
        <f t="shared" si="17"/>
        <v>-230.19114149055758</v>
      </c>
      <c r="AQ49" s="41">
        <f t="shared" si="18"/>
        <v>557.30038326033582</v>
      </c>
      <c r="AR49" s="41">
        <f t="shared" si="19"/>
        <v>112.7530148586435</v>
      </c>
      <c r="AS49" s="41">
        <f t="shared" si="20"/>
        <v>-145.236751207434</v>
      </c>
      <c r="AT49" s="41">
        <f t="shared" si="21"/>
        <v>123.07882701464121</v>
      </c>
      <c r="AU49" s="41">
        <f t="shared" si="22"/>
        <v>-180.8044061933345</v>
      </c>
      <c r="AV49" s="41">
        <f t="shared" si="23"/>
        <v>38.531535696347078</v>
      </c>
      <c r="AW49" s="41">
        <f t="shared" si="24"/>
        <v>-18.651456570171774</v>
      </c>
      <c r="AX49" s="41">
        <f t="shared" si="25"/>
        <v>-16.25901392636797</v>
      </c>
      <c r="AY49" s="41">
        <f t="shared" si="25"/>
        <v>-20.584074122213451</v>
      </c>
      <c r="AZ49" s="41">
        <f t="shared" si="25"/>
        <v>-20.231981449600596</v>
      </c>
    </row>
    <row r="50" spans="1:52" x14ac:dyDescent="0.2">
      <c r="A50" s="30">
        <v>109</v>
      </c>
      <c r="B50" s="31" t="s">
        <v>364</v>
      </c>
      <c r="C50" s="41">
        <v>-11703</v>
      </c>
      <c r="D50" s="41">
        <v>-26087</v>
      </c>
      <c r="E50" s="73">
        <v>-13614</v>
      </c>
      <c r="F50" s="73">
        <v>-20636</v>
      </c>
      <c r="G50" s="73">
        <v>-29310</v>
      </c>
      <c r="H50" s="41">
        <v>-28072</v>
      </c>
      <c r="I50" s="165">
        <v>-23193.403300000002</v>
      </c>
      <c r="J50" s="41">
        <v>-13642.17892</v>
      </c>
      <c r="K50" s="41">
        <v>-31592.35929</v>
      </c>
      <c r="L50" s="41">
        <f>$L$5*'7.1. Nettoinvestointiennuste '!Y50</f>
        <v>-28214.138648714743</v>
      </c>
      <c r="M50" s="41">
        <f>$M$5*'7.1. Nettoinvestointiennuste '!Y50</f>
        <v>-29423.34270542693</v>
      </c>
      <c r="N50" s="41">
        <f>$N$5*'7.1. Nettoinvestointiennuste '!Y50</f>
        <v>-30461.814648590855</v>
      </c>
      <c r="O50" s="41">
        <f>O$5*'7.1. Nettoinvestointiennuste '!$Y50</f>
        <v>-31819.684755467904</v>
      </c>
      <c r="P50" s="41">
        <f>P$5*'7.1. Nettoinvestointiennuste '!$Y50</f>
        <v>-33140.700957927038</v>
      </c>
      <c r="T50" s="34">
        <v>109</v>
      </c>
      <c r="U50" s="88" t="s">
        <v>364</v>
      </c>
      <c r="V50" s="41">
        <f>C50/'1. Väestöennuste'!E50*1000</f>
        <v>-172.07510549764007</v>
      </c>
      <c r="W50" s="41">
        <f>D50/'1. Väestöennuste'!F50*1000</f>
        <v>-384.48047162859251</v>
      </c>
      <c r="X50" s="41">
        <f>E50/'1. Väestöennuste'!G50*1000</f>
        <v>-201.20599450208391</v>
      </c>
      <c r="Y50" s="41">
        <f>F50/'1. Väestöennuste'!H50*1000</f>
        <v>-305.5736539714506</v>
      </c>
      <c r="Z50" s="41">
        <f>G50/'1. Väestöennuste'!I50*1000</f>
        <v>-433.36832611299218</v>
      </c>
      <c r="AA50" s="41">
        <f>H50/'1. Väestöennuste'!J50*1000</f>
        <v>-413.74837872892346</v>
      </c>
      <c r="AB50" s="41">
        <f>I50/'1. Väestöennuste'!K50*1000</f>
        <v>-341.22498271321592</v>
      </c>
      <c r="AC50" s="41">
        <f>J50/'1. Väestöennuste'!L50*1000</f>
        <v>-200.49349558367504</v>
      </c>
      <c r="AD50" s="41">
        <f>K50/'1. Väestöennuste'!M50*1000</f>
        <v>-462.42420541869762</v>
      </c>
      <c r="AE50" s="41">
        <f>L50/'1. Väestöennuste'!N50*1000</f>
        <v>-414.51757362395864</v>
      </c>
      <c r="AF50" s="41">
        <f>M50/'1. Väestöennuste'!O50*1000</f>
        <v>-432.12428705282611</v>
      </c>
      <c r="AG50" s="41">
        <f>N50/'1. Väestöennuste'!P50*1000</f>
        <v>-447.2509455224839</v>
      </c>
      <c r="AH50" s="41">
        <f>O50/'1. Väestöennuste'!Q50*1000</f>
        <v>-467.11222483070912</v>
      </c>
      <c r="AI50" s="41">
        <f>P50/'1. Väestöennuste'!R50*1000</f>
        <v>-486.5118536374145</v>
      </c>
      <c r="AK50" s="34">
        <v>109</v>
      </c>
      <c r="AL50" s="88" t="s">
        <v>364</v>
      </c>
      <c r="AM50" s="41"/>
      <c r="AN50" s="41">
        <f t="shared" si="15"/>
        <v>-212.40536613095244</v>
      </c>
      <c r="AO50" s="41">
        <f t="shared" si="16"/>
        <v>183.2744771265086</v>
      </c>
      <c r="AP50" s="41">
        <f t="shared" si="17"/>
        <v>-104.36765946936669</v>
      </c>
      <c r="AQ50" s="41">
        <f t="shared" si="18"/>
        <v>-127.79467214154158</v>
      </c>
      <c r="AR50" s="41">
        <f t="shared" si="19"/>
        <v>19.619947384068723</v>
      </c>
      <c r="AS50" s="41">
        <f t="shared" si="20"/>
        <v>72.523396015707533</v>
      </c>
      <c r="AT50" s="41">
        <f t="shared" si="21"/>
        <v>140.73148712954088</v>
      </c>
      <c r="AU50" s="41">
        <f t="shared" si="22"/>
        <v>-261.93070983502258</v>
      </c>
      <c r="AV50" s="41">
        <f t="shared" si="23"/>
        <v>47.906631794738985</v>
      </c>
      <c r="AW50" s="41">
        <f t="shared" si="24"/>
        <v>-17.606713428867465</v>
      </c>
      <c r="AX50" s="41">
        <f t="shared" si="25"/>
        <v>-15.126658469657798</v>
      </c>
      <c r="AY50" s="41">
        <f t="shared" si="25"/>
        <v>-19.861279308225221</v>
      </c>
      <c r="AZ50" s="41">
        <f t="shared" si="25"/>
        <v>-19.39962880670538</v>
      </c>
    </row>
    <row r="51" spans="1:52" x14ac:dyDescent="0.2">
      <c r="A51" s="30">
        <v>111</v>
      </c>
      <c r="B51" s="31" t="s">
        <v>365</v>
      </c>
      <c r="C51" s="41">
        <v>-7190</v>
      </c>
      <c r="D51" s="41">
        <v>-9358</v>
      </c>
      <c r="E51" s="73">
        <v>-12323</v>
      </c>
      <c r="F51" s="73">
        <v>-10845</v>
      </c>
      <c r="G51" s="73">
        <v>-19973</v>
      </c>
      <c r="H51" s="41">
        <v>-29896</v>
      </c>
      <c r="I51" s="165">
        <v>-19841.184100000002</v>
      </c>
      <c r="J51" s="41">
        <v>-14819.40056</v>
      </c>
      <c r="K51" s="41">
        <v>-6803.4372199999998</v>
      </c>
      <c r="L51" s="41">
        <f>$L$5*'7.1. Nettoinvestointiennuste '!Y51</f>
        <v>-14295.292607214282</v>
      </c>
      <c r="M51" s="41">
        <f>$M$5*'7.1. Nettoinvestointiennuste '!Y51</f>
        <v>-14907.96152572187</v>
      </c>
      <c r="N51" s="41">
        <f>$N$5*'7.1. Nettoinvestointiennuste '!Y51</f>
        <v>-15434.125392595295</v>
      </c>
      <c r="O51" s="41">
        <f>O$5*'7.1. Nettoinvestointiennuste '!$Y51</f>
        <v>-16122.119123046499</v>
      </c>
      <c r="P51" s="41">
        <f>P$5*'7.1. Nettoinvestointiennuste '!$Y51</f>
        <v>-16791.440040057187</v>
      </c>
      <c r="T51" s="34">
        <v>111</v>
      </c>
      <c r="U51" s="88" t="s">
        <v>365</v>
      </c>
      <c r="V51" s="41">
        <f>C51/'1. Väestöennuste'!E51*1000</f>
        <v>-367.30523627075348</v>
      </c>
      <c r="W51" s="41">
        <f>D51/'1. Väestöennuste'!F51*1000</f>
        <v>-483.61757105943155</v>
      </c>
      <c r="X51" s="41">
        <f>E51/'1. Väestöennuste'!G51*1000</f>
        <v>-644.23881221246336</v>
      </c>
      <c r="Y51" s="41">
        <f>F51/'1. Väestöennuste'!H51*1000</f>
        <v>-574.1436815077559</v>
      </c>
      <c r="Z51" s="41">
        <f>G51/'1. Väestöennuste'!I51*1000</f>
        <v>-1069.9630363743504</v>
      </c>
      <c r="AA51" s="41">
        <f>H51/'1. Väestöennuste'!J51*1000</f>
        <v>-1616.2620965561982</v>
      </c>
      <c r="AB51" s="41">
        <f>I51/'1. Väestöennuste'!K51*1000</f>
        <v>-1081.617100959442</v>
      </c>
      <c r="AC51" s="41">
        <f>J51/'1. Väestöennuste'!L51*1000</f>
        <v>-817.35152832165898</v>
      </c>
      <c r="AD51" s="41">
        <f>K51/'1. Väestöennuste'!M51*1000</f>
        <v>-378.95823650643348</v>
      </c>
      <c r="AE51" s="41">
        <f>L51/'1. Väestöennuste'!N51*1000</f>
        <v>-810.16109987046082</v>
      </c>
      <c r="AF51" s="41">
        <f>M51/'1. Väestöennuste'!O51*1000</f>
        <v>-853.73734541987574</v>
      </c>
      <c r="AG51" s="41">
        <f>N51/'1. Väestöennuste'!P51*1000</f>
        <v>-892.66196602633283</v>
      </c>
      <c r="AH51" s="41">
        <f>O51/'1. Väestöennuste'!Q51*1000</f>
        <v>-941.32767694555378</v>
      </c>
      <c r="AI51" s="41">
        <f>P51/'1. Väestöennuste'!R51*1000</f>
        <v>-989.59453324240837</v>
      </c>
      <c r="AK51" s="34">
        <v>111</v>
      </c>
      <c r="AL51" s="88" t="s">
        <v>365</v>
      </c>
      <c r="AM51" s="41"/>
      <c r="AN51" s="41">
        <f t="shared" si="15"/>
        <v>-116.31233478867807</v>
      </c>
      <c r="AO51" s="41">
        <f t="shared" si="16"/>
        <v>-160.6212411530318</v>
      </c>
      <c r="AP51" s="41">
        <f t="shared" si="17"/>
        <v>70.095130704707458</v>
      </c>
      <c r="AQ51" s="41">
        <f t="shared" si="18"/>
        <v>-495.81935486659449</v>
      </c>
      <c r="AR51" s="41">
        <f t="shared" si="19"/>
        <v>-546.29906018184784</v>
      </c>
      <c r="AS51" s="41">
        <f t="shared" si="20"/>
        <v>534.64499559675619</v>
      </c>
      <c r="AT51" s="41">
        <f t="shared" si="21"/>
        <v>264.26557263778307</v>
      </c>
      <c r="AU51" s="41">
        <f t="shared" si="22"/>
        <v>438.3932918152255</v>
      </c>
      <c r="AV51" s="41">
        <f t="shared" si="23"/>
        <v>-431.20286336402734</v>
      </c>
      <c r="AW51" s="41">
        <f t="shared" si="24"/>
        <v>-43.576245549414921</v>
      </c>
      <c r="AX51" s="41">
        <f t="shared" si="25"/>
        <v>-38.924620606457097</v>
      </c>
      <c r="AY51" s="41">
        <f t="shared" si="25"/>
        <v>-48.665710919220942</v>
      </c>
      <c r="AZ51" s="41">
        <f t="shared" si="25"/>
        <v>-48.266856296854598</v>
      </c>
    </row>
    <row r="52" spans="1:52" x14ac:dyDescent="0.2">
      <c r="A52" s="30">
        <v>139</v>
      </c>
      <c r="B52" s="31" t="s">
        <v>366</v>
      </c>
      <c r="C52" s="41">
        <v>-6183</v>
      </c>
      <c r="D52" s="41">
        <v>-7225</v>
      </c>
      <c r="E52" s="73">
        <v>-6875</v>
      </c>
      <c r="F52" s="73">
        <v>-5763</v>
      </c>
      <c r="G52" s="73">
        <v>-7252</v>
      </c>
      <c r="H52" s="41">
        <v>-4698</v>
      </c>
      <c r="I52" s="165">
        <v>-1635.43553</v>
      </c>
      <c r="J52" s="41">
        <v>-4839.3351199999997</v>
      </c>
      <c r="K52" s="41">
        <v>-2046.0815400000001</v>
      </c>
      <c r="L52" s="41">
        <f>$L$5*'7.1. Nettoinvestointiennuste '!Y52</f>
        <v>-5333.2685212790484</v>
      </c>
      <c r="M52" s="41">
        <f>$M$5*'7.1. Nettoinvestointiennuste '!Y52</f>
        <v>-5561.8422166082091</v>
      </c>
      <c r="N52" s="41">
        <f>$N$5*'7.1. Nettoinvestointiennuste '!Y52</f>
        <v>-5758.142723728597</v>
      </c>
      <c r="O52" s="41">
        <f>O$5*'7.1. Nettoinvestointiennuste '!$Y52</f>
        <v>-6014.8184984938516</v>
      </c>
      <c r="P52" s="41">
        <f>P$5*'7.1. Nettoinvestointiennuste '!$Y52</f>
        <v>-6264.5278451584481</v>
      </c>
      <c r="T52" s="34">
        <v>139</v>
      </c>
      <c r="U52" s="88" t="s">
        <v>366</v>
      </c>
      <c r="V52" s="41">
        <f>C52/'1. Väestöennuste'!E52*1000</f>
        <v>-639.86339646072645</v>
      </c>
      <c r="W52" s="41">
        <f>D52/'1. Väestöennuste'!F52*1000</f>
        <v>-750.41545492314083</v>
      </c>
      <c r="X52" s="41">
        <f>E52/'1. Väestöennuste'!G52*1000</f>
        <v>-689.84547461368652</v>
      </c>
      <c r="Y52" s="41">
        <f>F52/'1. Väestöennuste'!H52*1000</f>
        <v>-584.36422632326105</v>
      </c>
      <c r="Z52" s="41">
        <f>G52/'1. Väestöennuste'!I52*1000</f>
        <v>-736.69240146282004</v>
      </c>
      <c r="AA52" s="41">
        <f>H52/'1. Väestöennuste'!J52*1000</f>
        <v>-477.051177904143</v>
      </c>
      <c r="AB52" s="41">
        <f>I52/'1. Väestöennuste'!K52*1000</f>
        <v>-164.9955135189669</v>
      </c>
      <c r="AC52" s="41">
        <f>J52/'1. Väestöennuste'!L52*1000</f>
        <v>-491.15346797929561</v>
      </c>
      <c r="AD52" s="41">
        <f>K52/'1. Väestöennuste'!M52*1000</f>
        <v>-209.51070448494781</v>
      </c>
      <c r="AE52" s="41">
        <f>L52/'1. Väestöennuste'!N52*1000</f>
        <v>-550.72991752158691</v>
      </c>
      <c r="AF52" s="41">
        <f>M52/'1. Väestöennuste'!O52*1000</f>
        <v>-576.89474293208264</v>
      </c>
      <c r="AG52" s="41">
        <f>N52/'1. Väestöennuste'!P52*1000</f>
        <v>-599.99403185668405</v>
      </c>
      <c r="AH52" s="41">
        <f>O52/'1. Väestöennuste'!Q52*1000</f>
        <v>-629.7579832995342</v>
      </c>
      <c r="AI52" s="41">
        <f>P52/'1. Väestöennuste'!R52*1000</f>
        <v>-658.93845010607436</v>
      </c>
      <c r="AK52" s="34">
        <v>139</v>
      </c>
      <c r="AL52" s="88" t="s">
        <v>366</v>
      </c>
      <c r="AM52" s="41"/>
      <c r="AN52" s="41">
        <f t="shared" si="15"/>
        <v>-110.55205846241438</v>
      </c>
      <c r="AO52" s="41">
        <f t="shared" si="16"/>
        <v>60.569980309454309</v>
      </c>
      <c r="AP52" s="41">
        <f t="shared" si="17"/>
        <v>105.48124829042547</v>
      </c>
      <c r="AQ52" s="41">
        <f t="shared" si="18"/>
        <v>-152.32817513955899</v>
      </c>
      <c r="AR52" s="41">
        <f t="shared" si="19"/>
        <v>259.64122355867704</v>
      </c>
      <c r="AS52" s="41">
        <f t="shared" si="20"/>
        <v>312.0556643851761</v>
      </c>
      <c r="AT52" s="41">
        <f t="shared" si="21"/>
        <v>-326.15795446032871</v>
      </c>
      <c r="AU52" s="41">
        <f t="shared" si="22"/>
        <v>281.64276349434783</v>
      </c>
      <c r="AV52" s="41">
        <f t="shared" si="23"/>
        <v>-341.21921303663908</v>
      </c>
      <c r="AW52" s="41">
        <f t="shared" si="24"/>
        <v>-26.164825410495723</v>
      </c>
      <c r="AX52" s="41">
        <f t="shared" si="25"/>
        <v>-23.09928892460141</v>
      </c>
      <c r="AY52" s="41">
        <f t="shared" si="25"/>
        <v>-29.763951442850157</v>
      </c>
      <c r="AZ52" s="41">
        <f t="shared" si="25"/>
        <v>-29.180466806540153</v>
      </c>
    </row>
    <row r="53" spans="1:52" x14ac:dyDescent="0.2">
      <c r="A53" s="30">
        <v>140</v>
      </c>
      <c r="B53" s="31" t="s">
        <v>367</v>
      </c>
      <c r="C53" s="41">
        <v>-7915</v>
      </c>
      <c r="D53" s="41">
        <v>-18800</v>
      </c>
      <c r="E53" s="73">
        <v>-15867</v>
      </c>
      <c r="F53" s="73">
        <v>-12790</v>
      </c>
      <c r="G53" s="73">
        <v>-10680</v>
      </c>
      <c r="H53" s="41">
        <v>-11075</v>
      </c>
      <c r="I53" s="165">
        <v>-18530.521699999998</v>
      </c>
      <c r="J53" s="41">
        <v>-17048.837440000003</v>
      </c>
      <c r="K53" s="41">
        <v>-46468.845820000002</v>
      </c>
      <c r="L53" s="41">
        <f>$L$5*'7.1. Nettoinvestointiennuste '!Y53</f>
        <v>-19820.790387076115</v>
      </c>
      <c r="M53" s="41">
        <f>$M$5*'7.1. Nettoinvestointiennuste '!Y53</f>
        <v>-20670.27157952734</v>
      </c>
      <c r="N53" s="41">
        <f>$N$5*'7.1. Nettoinvestointiennuste '!Y53</f>
        <v>-21399.811295929398</v>
      </c>
      <c r="O53" s="41">
        <f>O$5*'7.1. Nettoinvestointiennuste '!$Y53</f>
        <v>-22353.73227492454</v>
      </c>
      <c r="P53" s="41">
        <f>P$5*'7.1. Nettoinvestointiennuste '!$Y53</f>
        <v>-23281.762918456756</v>
      </c>
      <c r="T53" s="34">
        <v>140</v>
      </c>
      <c r="U53" s="88" t="s">
        <v>367</v>
      </c>
      <c r="V53" s="41">
        <f>C53/'1. Väestöennuste'!E53*1000</f>
        <v>-360.67441330599223</v>
      </c>
      <c r="W53" s="41">
        <f>D53/'1. Väestöennuste'!F53*1000</f>
        <v>-863.69274589975657</v>
      </c>
      <c r="X53" s="41">
        <f>E53/'1. Väestöennuste'!G53*1000</f>
        <v>-733.25939276306678</v>
      </c>
      <c r="Y53" s="41">
        <f>F53/'1. Väestöennuste'!H53*1000</f>
        <v>-595.65946348733235</v>
      </c>
      <c r="Z53" s="41">
        <f>G53/'1. Väestöennuste'!I53*1000</f>
        <v>-499.81280419318608</v>
      </c>
      <c r="AA53" s="41">
        <f>H53/'1. Väestöennuste'!J53*1000</f>
        <v>-524.28517326263966</v>
      </c>
      <c r="AB53" s="41">
        <f>I53/'1. Väestöennuste'!K53*1000</f>
        <v>-884.1741435251455</v>
      </c>
      <c r="AC53" s="41">
        <f>J53/'1. Väestöennuste'!L53*1000</f>
        <v>-819.61624152684988</v>
      </c>
      <c r="AD53" s="41">
        <f>K53/'1. Väestöennuste'!M53*1000</f>
        <v>-2253.7998748666218</v>
      </c>
      <c r="AE53" s="41">
        <f>L53/'1. Väestöennuste'!N53*1000</f>
        <v>-968.85279045244476</v>
      </c>
      <c r="AF53" s="41">
        <f>M53/'1. Väestöennuste'!O53*1000</f>
        <v>-1018.4406572490805</v>
      </c>
      <c r="AG53" s="41">
        <f>N53/'1. Väestöennuste'!P53*1000</f>
        <v>-1062.7637711526318</v>
      </c>
      <c r="AH53" s="41">
        <f>O53/'1. Väestöennuste'!Q53*1000</f>
        <v>-1118.9734331944005</v>
      </c>
      <c r="AI53" s="41">
        <f>P53/'1. Väestöennuste'!R53*1000</f>
        <v>-1174.6008232912948</v>
      </c>
      <c r="AK53" s="34">
        <v>140</v>
      </c>
      <c r="AL53" s="88" t="s">
        <v>367</v>
      </c>
      <c r="AM53" s="41"/>
      <c r="AN53" s="41">
        <f t="shared" si="15"/>
        <v>-503.01833259376434</v>
      </c>
      <c r="AO53" s="41">
        <f t="shared" si="16"/>
        <v>130.43335313668979</v>
      </c>
      <c r="AP53" s="41">
        <f t="shared" si="17"/>
        <v>137.59992927573444</v>
      </c>
      <c r="AQ53" s="41">
        <f t="shared" si="18"/>
        <v>95.846659294146264</v>
      </c>
      <c r="AR53" s="41">
        <f t="shared" si="19"/>
        <v>-24.472369069453578</v>
      </c>
      <c r="AS53" s="41">
        <f t="shared" si="20"/>
        <v>-359.88897026250584</v>
      </c>
      <c r="AT53" s="41">
        <f t="shared" si="21"/>
        <v>64.55790199829562</v>
      </c>
      <c r="AU53" s="41">
        <f t="shared" si="22"/>
        <v>-1434.1836333397719</v>
      </c>
      <c r="AV53" s="41">
        <f t="shared" si="23"/>
        <v>1284.947084414177</v>
      </c>
      <c r="AW53" s="41">
        <f t="shared" si="24"/>
        <v>-49.587866796635694</v>
      </c>
      <c r="AX53" s="41">
        <f t="shared" si="25"/>
        <v>-44.323113903551302</v>
      </c>
      <c r="AY53" s="41">
        <f t="shared" si="25"/>
        <v>-56.209662041768752</v>
      </c>
      <c r="AZ53" s="41">
        <f t="shared" si="25"/>
        <v>-55.62739009689426</v>
      </c>
    </row>
    <row r="54" spans="1:52" x14ac:dyDescent="0.2">
      <c r="A54" s="30">
        <v>142</v>
      </c>
      <c r="B54" s="31" t="s">
        <v>368</v>
      </c>
      <c r="C54" s="41">
        <v>-1103</v>
      </c>
      <c r="D54" s="41">
        <v>-909</v>
      </c>
      <c r="E54" s="73">
        <v>-1030</v>
      </c>
      <c r="F54" s="73">
        <v>-845</v>
      </c>
      <c r="G54" s="73">
        <v>-973</v>
      </c>
      <c r="H54" s="41">
        <v>-1077</v>
      </c>
      <c r="I54" s="165">
        <v>-612.58855000000005</v>
      </c>
      <c r="J54" s="41">
        <v>-1155.0376200000001</v>
      </c>
      <c r="K54" s="41">
        <v>-1557.1432299999999</v>
      </c>
      <c r="L54" s="41">
        <f>$L$5*'7.1. Nettoinvestointiennuste '!Y54</f>
        <v>-3162.6592118652989</v>
      </c>
      <c r="M54" s="41">
        <f>$M$5*'7.1. Nettoinvestointiennuste '!Y54</f>
        <v>-3298.2047408853705</v>
      </c>
      <c r="N54" s="41">
        <f>$N$5*'7.1. Nettoinvestointiennuste '!Y54</f>
        <v>-3414.6120818360628</v>
      </c>
      <c r="O54" s="41">
        <f>O$5*'7.1. Nettoinvestointiennuste '!$Y54</f>
        <v>-3566.8223071950724</v>
      </c>
      <c r="P54" s="41">
        <f>P$5*'7.1. Nettoinvestointiennuste '!$Y54</f>
        <v>-3714.9014002252975</v>
      </c>
      <c r="T54" s="34">
        <v>142</v>
      </c>
      <c r="U54" s="88" t="s">
        <v>368</v>
      </c>
      <c r="V54" s="41">
        <f>C54/'1. Väestöennuste'!E54*1000</f>
        <v>-159.62373371924747</v>
      </c>
      <c r="W54" s="41">
        <f>D54/'1. Väestöennuste'!F54*1000</f>
        <v>-131.94948468573088</v>
      </c>
      <c r="X54" s="41">
        <f>E54/'1. Väestöennuste'!G54*1000</f>
        <v>-151.02639296187684</v>
      </c>
      <c r="Y54" s="41">
        <f>F54/'1. Väestöennuste'!H54*1000</f>
        <v>-124.90761271249076</v>
      </c>
      <c r="Z54" s="41">
        <f>G54/'1. Väestöennuste'!I54*1000</f>
        <v>-144.98584413649232</v>
      </c>
      <c r="AA54" s="41">
        <f>H54/'1. Väestöennuste'!J54*1000</f>
        <v>-162.56603773584905</v>
      </c>
      <c r="AB54" s="41">
        <f>I54/'1. Väestöennuste'!K54*1000</f>
        <v>-93.396638207043765</v>
      </c>
      <c r="AC54" s="41">
        <f>J54/'1. Väestöennuste'!L54*1000</f>
        <v>-177.58880996309964</v>
      </c>
      <c r="AD54" s="41">
        <f>K54/'1. Väestöennuste'!M54*1000</f>
        <v>-241.64233860955929</v>
      </c>
      <c r="AE54" s="41">
        <f>L54/'1. Väestöennuste'!N54*1000</f>
        <v>-493.47155747625197</v>
      </c>
      <c r="AF54" s="41">
        <f>M54/'1. Väestöennuste'!O54*1000</f>
        <v>-518.99366497016058</v>
      </c>
      <c r="AG54" s="41">
        <f>N54/'1. Väestöennuste'!P54*1000</f>
        <v>-541.5720986258624</v>
      </c>
      <c r="AH54" s="41">
        <f>O54/'1. Väestöennuste'!Q54*1000</f>
        <v>-570.14423068974941</v>
      </c>
      <c r="AI54" s="41">
        <f>P54/'1. Väestöennuste'!R54*1000</f>
        <v>-598.40550905690998</v>
      </c>
      <c r="AK54" s="34">
        <v>142</v>
      </c>
      <c r="AL54" s="88" t="s">
        <v>368</v>
      </c>
      <c r="AM54" s="41"/>
      <c r="AN54" s="41">
        <f t="shared" si="15"/>
        <v>27.674249033516588</v>
      </c>
      <c r="AO54" s="41">
        <f t="shared" si="16"/>
        <v>-19.076908276145957</v>
      </c>
      <c r="AP54" s="41">
        <f t="shared" si="17"/>
        <v>26.118780249386077</v>
      </c>
      <c r="AQ54" s="41">
        <f t="shared" si="18"/>
        <v>-20.078231424001558</v>
      </c>
      <c r="AR54" s="41">
        <f t="shared" si="19"/>
        <v>-17.580193599356733</v>
      </c>
      <c r="AS54" s="41">
        <f t="shared" si="20"/>
        <v>69.169399528805286</v>
      </c>
      <c r="AT54" s="41">
        <f t="shared" si="21"/>
        <v>-84.19217175605587</v>
      </c>
      <c r="AU54" s="41">
        <f t="shared" si="22"/>
        <v>-64.053528646459654</v>
      </c>
      <c r="AV54" s="41">
        <f t="shared" si="23"/>
        <v>-251.82921886669268</v>
      </c>
      <c r="AW54" s="41">
        <f t="shared" si="24"/>
        <v>-25.522107493908607</v>
      </c>
      <c r="AX54" s="41">
        <f t="shared" si="25"/>
        <v>-22.578433655701815</v>
      </c>
      <c r="AY54" s="41">
        <f t="shared" si="25"/>
        <v>-28.572132063887011</v>
      </c>
      <c r="AZ54" s="41">
        <f t="shared" si="25"/>
        <v>-28.261278367160571</v>
      </c>
    </row>
    <row r="55" spans="1:52" x14ac:dyDescent="0.2">
      <c r="A55" s="30">
        <v>143</v>
      </c>
      <c r="B55" s="31" t="s">
        <v>369</v>
      </c>
      <c r="C55" s="41">
        <v>-683</v>
      </c>
      <c r="D55" s="41">
        <v>-5945</v>
      </c>
      <c r="E55" s="73">
        <v>-3066</v>
      </c>
      <c r="F55" s="73">
        <v>-3499</v>
      </c>
      <c r="G55" s="73">
        <v>-1314</v>
      </c>
      <c r="H55" s="41">
        <v>-1037</v>
      </c>
      <c r="I55" s="165">
        <v>-3987.4560999999999</v>
      </c>
      <c r="J55" s="41">
        <v>-3669.5390000000002</v>
      </c>
      <c r="K55" s="41">
        <v>-2127.7772</v>
      </c>
      <c r="L55" s="41">
        <f>$L$5*'7.1. Nettoinvestointiennuste '!Y55</f>
        <v>-2449.7404133016375</v>
      </c>
      <c r="M55" s="41">
        <f>$M$5*'7.1. Nettoinvestointiennuste '!Y55</f>
        <v>-2554.7316052192068</v>
      </c>
      <c r="N55" s="41">
        <f>$N$5*'7.1. Nettoinvestointiennuste '!Y55</f>
        <v>-2644.8986919739336</v>
      </c>
      <c r="O55" s="41">
        <f>O$5*'7.1. Nettoinvestointiennuste '!$Y55</f>
        <v>-2762.7980656974141</v>
      </c>
      <c r="P55" s="41">
        <f>P$5*'7.1. Nettoinvestointiennuste '!$Y55</f>
        <v>-2877.4975366996177</v>
      </c>
      <c r="T55" s="34">
        <v>143</v>
      </c>
      <c r="U55" s="88" t="s">
        <v>369</v>
      </c>
      <c r="V55" s="41">
        <f>C55/'1. Väestöennuste'!E55*1000</f>
        <v>-94.768974608019988</v>
      </c>
      <c r="W55" s="41">
        <f>D55/'1. Väestöennuste'!F55*1000</f>
        <v>-834.03479236812575</v>
      </c>
      <c r="X55" s="41">
        <f>E55/'1. Väestöennuste'!G55*1000</f>
        <v>-430.67846607669617</v>
      </c>
      <c r="Y55" s="41">
        <f>F55/'1. Väestöennuste'!H55*1000</f>
        <v>-499.64301013851207</v>
      </c>
      <c r="Z55" s="41">
        <f>G55/'1. Väestöennuste'!I55*1000</f>
        <v>-189.28262748487467</v>
      </c>
      <c r="AA55" s="41">
        <f>H55/'1. Väestöennuste'!J55*1000</f>
        <v>-151.0340809787358</v>
      </c>
      <c r="AB55" s="41">
        <f>I55/'1. Väestöennuste'!K55*1000</f>
        <v>-579.82493819979641</v>
      </c>
      <c r="AC55" s="41">
        <f>J55/'1. Väestöennuste'!L55*1000</f>
        <v>-539.32084068195184</v>
      </c>
      <c r="AD55" s="41">
        <f>K55/'1. Väestöennuste'!M55*1000</f>
        <v>-310.62440875912404</v>
      </c>
      <c r="AE55" s="41">
        <f>L55/'1. Väestöennuste'!N55*1000</f>
        <v>-368.93680923217431</v>
      </c>
      <c r="AF55" s="41">
        <f>M55/'1. Väestöennuste'!O55*1000</f>
        <v>-387.66792188455338</v>
      </c>
      <c r="AG55" s="41">
        <f>N55/'1. Väestöennuste'!P55*1000</f>
        <v>-404.23333210666874</v>
      </c>
      <c r="AH55" s="41">
        <f>O55/'1. Väestöennuste'!Q55*1000</f>
        <v>-425.24212185584332</v>
      </c>
      <c r="AI55" s="41">
        <f>P55/'1. Väestöennuste'!R55*1000</f>
        <v>-445.91624619550873</v>
      </c>
      <c r="AK55" s="34">
        <v>143</v>
      </c>
      <c r="AL55" s="88" t="s">
        <v>369</v>
      </c>
      <c r="AM55" s="41"/>
      <c r="AN55" s="41">
        <f t="shared" si="15"/>
        <v>-739.26581776010573</v>
      </c>
      <c r="AO55" s="41">
        <f t="shared" si="16"/>
        <v>403.35632629142958</v>
      </c>
      <c r="AP55" s="41">
        <f t="shared" si="17"/>
        <v>-68.9645440618159</v>
      </c>
      <c r="AQ55" s="41">
        <f t="shared" si="18"/>
        <v>310.36038265363743</v>
      </c>
      <c r="AR55" s="41">
        <f t="shared" si="19"/>
        <v>38.248546506138865</v>
      </c>
      <c r="AS55" s="41">
        <f t="shared" si="20"/>
        <v>-428.79085722106061</v>
      </c>
      <c r="AT55" s="41">
        <f t="shared" si="21"/>
        <v>40.504097517844571</v>
      </c>
      <c r="AU55" s="41">
        <f t="shared" si="22"/>
        <v>228.6964319228278</v>
      </c>
      <c r="AV55" s="41">
        <f t="shared" si="23"/>
        <v>-58.312400473050275</v>
      </c>
      <c r="AW55" s="41">
        <f t="shared" si="24"/>
        <v>-18.731112652379068</v>
      </c>
      <c r="AX55" s="41">
        <f t="shared" si="25"/>
        <v>-16.565410222115361</v>
      </c>
      <c r="AY55" s="41">
        <f t="shared" si="25"/>
        <v>-21.008789749174582</v>
      </c>
      <c r="AZ55" s="41">
        <f t="shared" si="25"/>
        <v>-20.674124339665411</v>
      </c>
    </row>
    <row r="56" spans="1:52" x14ac:dyDescent="0.2">
      <c r="A56" s="30">
        <v>145</v>
      </c>
      <c r="B56" s="31" t="s">
        <v>370</v>
      </c>
      <c r="C56" s="41">
        <v>-3246</v>
      </c>
      <c r="D56" s="41">
        <v>-3726</v>
      </c>
      <c r="E56" s="73">
        <v>-2913</v>
      </c>
      <c r="F56" s="73">
        <v>-2727</v>
      </c>
      <c r="G56" s="73">
        <v>-3864</v>
      </c>
      <c r="H56" s="41">
        <v>-10044</v>
      </c>
      <c r="I56" s="165">
        <v>-8431.3022100000017</v>
      </c>
      <c r="J56" s="41">
        <v>-7803.8919599999999</v>
      </c>
      <c r="K56" s="41">
        <v>-5047.79612</v>
      </c>
      <c r="L56" s="41">
        <f>$L$5*'7.1. Nettoinvestointiennuste '!Y56</f>
        <v>-9182.1115689552717</v>
      </c>
      <c r="M56" s="41">
        <f>$M$5*'7.1. Nettoinvestointiennuste '!Y56</f>
        <v>-9575.6393210020433</v>
      </c>
      <c r="N56" s="41">
        <f>$N$5*'7.1. Nettoinvestointiennuste '!Y56</f>
        <v>-9913.6033950460078</v>
      </c>
      <c r="O56" s="41">
        <f>O$5*'7.1. Nettoinvestointiennuste '!$Y56</f>
        <v>-10355.513565430112</v>
      </c>
      <c r="P56" s="41">
        <f>P$5*'7.1. Nettoinvestointiennuste '!$Y56</f>
        <v>-10785.429867550856</v>
      </c>
      <c r="T56" s="34">
        <v>145</v>
      </c>
      <c r="U56" s="88" t="s">
        <v>370</v>
      </c>
      <c r="V56" s="41">
        <f>C56/'1. Väestöennuste'!E56*1000</f>
        <v>-266.96274364668147</v>
      </c>
      <c r="W56" s="41">
        <f>D56/'1. Väestöennuste'!F56*1000</f>
        <v>-306.23818525519846</v>
      </c>
      <c r="X56" s="41">
        <f>E56/'1. Väestöennuste'!G56*1000</f>
        <v>-238.67267513314218</v>
      </c>
      <c r="Y56" s="41">
        <f>F56/'1. Väestöennuste'!H56*1000</f>
        <v>-223.76302617543283</v>
      </c>
      <c r="Z56" s="41">
        <f>G56/'1. Väestöennuste'!I56*1000</f>
        <v>-314.94009291710819</v>
      </c>
      <c r="AA56" s="41">
        <f>H56/'1. Väestöennuste'!J56*1000</f>
        <v>-816.98389458272322</v>
      </c>
      <c r="AB56" s="41">
        <f>I56/'1. Väestöennuste'!K56*1000</f>
        <v>-681.81321445900062</v>
      </c>
      <c r="AC56" s="41">
        <f>J56/'1. Väestöennuste'!L56*1000</f>
        <v>-630.92343439243268</v>
      </c>
      <c r="AD56" s="41">
        <f>K56/'1. Väestöennuste'!M56*1000</f>
        <v>-408.9602300899295</v>
      </c>
      <c r="AE56" s="41">
        <f>L56/'1. Väestöennuste'!N56*1000</f>
        <v>-738.2899066459172</v>
      </c>
      <c r="AF56" s="41">
        <f>M56/'1. Väestöennuste'!O56*1000</f>
        <v>-768.75717092180821</v>
      </c>
      <c r="AG56" s="41">
        <f>N56/'1. Väestöennuste'!P56*1000</f>
        <v>-795.06002045440755</v>
      </c>
      <c r="AH56" s="41">
        <f>O56/'1. Väestöennuste'!Q56*1000</f>
        <v>-829.96822677166881</v>
      </c>
      <c r="AI56" s="41">
        <f>P56/'1. Väestöennuste'!R56*1000</f>
        <v>-864.42493127761929</v>
      </c>
      <c r="AK56" s="34">
        <v>145</v>
      </c>
      <c r="AL56" s="88" t="s">
        <v>370</v>
      </c>
      <c r="AM56" s="41"/>
      <c r="AN56" s="41">
        <f t="shared" si="15"/>
        <v>-39.275441608516985</v>
      </c>
      <c r="AO56" s="41">
        <f t="shared" si="16"/>
        <v>67.565510122056281</v>
      </c>
      <c r="AP56" s="41">
        <f t="shared" si="17"/>
        <v>14.909648957709351</v>
      </c>
      <c r="AQ56" s="41">
        <f t="shared" si="18"/>
        <v>-91.177066741675361</v>
      </c>
      <c r="AR56" s="41">
        <f t="shared" si="19"/>
        <v>-502.04380166561504</v>
      </c>
      <c r="AS56" s="41">
        <f t="shared" si="20"/>
        <v>135.1706801237226</v>
      </c>
      <c r="AT56" s="41">
        <f t="shared" si="21"/>
        <v>50.889780066567937</v>
      </c>
      <c r="AU56" s="41">
        <f t="shared" si="22"/>
        <v>221.96320430250319</v>
      </c>
      <c r="AV56" s="41">
        <f t="shared" si="23"/>
        <v>-329.3296765559877</v>
      </c>
      <c r="AW56" s="41">
        <f t="shared" si="24"/>
        <v>-30.467264275891011</v>
      </c>
      <c r="AX56" s="41">
        <f t="shared" si="25"/>
        <v>-26.302849532599339</v>
      </c>
      <c r="AY56" s="41">
        <f t="shared" si="25"/>
        <v>-34.908206317261261</v>
      </c>
      <c r="AZ56" s="41">
        <f t="shared" si="25"/>
        <v>-34.456704505950484</v>
      </c>
    </row>
    <row r="57" spans="1:52" x14ac:dyDescent="0.2">
      <c r="A57" s="30">
        <v>146</v>
      </c>
      <c r="B57" s="31" t="s">
        <v>371</v>
      </c>
      <c r="C57" s="41">
        <v>-3951</v>
      </c>
      <c r="D57" s="41">
        <v>-2516</v>
      </c>
      <c r="E57" s="73">
        <v>-2258</v>
      </c>
      <c r="F57" s="73">
        <v>-983</v>
      </c>
      <c r="G57" s="73">
        <v>301</v>
      </c>
      <c r="H57" s="41">
        <v>-421</v>
      </c>
      <c r="I57" s="165">
        <v>-507.53724</v>
      </c>
      <c r="J57" s="41">
        <v>-683.84093000000007</v>
      </c>
      <c r="K57" s="41">
        <v>-276.92134999999996</v>
      </c>
      <c r="L57" s="41">
        <f>$L$5*'7.1. Nettoinvestointiennuste '!Y57</f>
        <v>-758.98536625333929</v>
      </c>
      <c r="M57" s="41">
        <f>$M$5*'7.1. Nettoinvestointiennuste '!Y57</f>
        <v>-791.51402839984542</v>
      </c>
      <c r="N57" s="41">
        <f>$N$5*'7.1. Nettoinvestointiennuste '!Y57</f>
        <v>-819.44984518800004</v>
      </c>
      <c r="O57" s="41">
        <f>O$5*'7.1. Nettoinvestointiennuste '!$Y57</f>
        <v>-855.97775600690738</v>
      </c>
      <c r="P57" s="41">
        <f>P$5*'7.1. Nettoinvestointiennuste '!$Y57</f>
        <v>-891.51426409363285</v>
      </c>
      <c r="T57" s="34">
        <v>146</v>
      </c>
      <c r="U57" s="88" t="s">
        <v>371</v>
      </c>
      <c r="V57" s="41">
        <f>C57/'1. Väestöennuste'!E57*1000</f>
        <v>-740.44227886056967</v>
      </c>
      <c r="W57" s="41">
        <f>D57/'1. Väestöennuste'!F57*1000</f>
        <v>-480.42772579721213</v>
      </c>
      <c r="X57" s="41">
        <f>E57/'1. Väestöennuste'!G57*1000</f>
        <v>-440.32761310452418</v>
      </c>
      <c r="Y57" s="41">
        <f>F57/'1. Väestöennuste'!H57*1000</f>
        <v>-197.66740398150009</v>
      </c>
      <c r="Z57" s="41">
        <f>G57/'1. Väestöennuste'!I57*1000</f>
        <v>61.972410953263328</v>
      </c>
      <c r="AA57" s="41">
        <f>H57/'1. Väestöennuste'!J57*1000</f>
        <v>-88.650242156243422</v>
      </c>
      <c r="AB57" s="41">
        <f>I57/'1. Väestöennuste'!K57*1000</f>
        <v>-109.31234977385311</v>
      </c>
      <c r="AC57" s="41">
        <f>J57/'1. Väestöennuste'!L57*1000</f>
        <v>-152.23529162956368</v>
      </c>
      <c r="AD57" s="41">
        <f>K57/'1. Väestöennuste'!M57*1000</f>
        <v>-62.850964593735803</v>
      </c>
      <c r="AE57" s="41">
        <f>L57/'1. Väestöennuste'!N57*1000</f>
        <v>-174.39921099571214</v>
      </c>
      <c r="AF57" s="41">
        <f>M57/'1. Väestöennuste'!O57*1000</f>
        <v>-185.36628299762188</v>
      </c>
      <c r="AG57" s="41">
        <f>N57/'1. Väestöennuste'!P57*1000</f>
        <v>-195.52609047673585</v>
      </c>
      <c r="AH57" s="41">
        <f>O57/'1. Väestöennuste'!Q57*1000</f>
        <v>-208.01403548162997</v>
      </c>
      <c r="AI57" s="41">
        <f>P57/'1. Väestöennuste'!R57*1000</f>
        <v>-220.56265811321941</v>
      </c>
      <c r="AK57" s="34">
        <v>146</v>
      </c>
      <c r="AL57" s="88" t="s">
        <v>371</v>
      </c>
      <c r="AM57" s="41"/>
      <c r="AN57" s="41">
        <f t="shared" si="15"/>
        <v>260.01455306335754</v>
      </c>
      <c r="AO57" s="41">
        <f t="shared" si="16"/>
        <v>40.100112692687958</v>
      </c>
      <c r="AP57" s="41">
        <f t="shared" si="17"/>
        <v>242.66020912302409</v>
      </c>
      <c r="AQ57" s="41">
        <f t="shared" si="18"/>
        <v>259.63981493476342</v>
      </c>
      <c r="AR57" s="41">
        <f t="shared" si="19"/>
        <v>-150.62265310950676</v>
      </c>
      <c r="AS57" s="41">
        <f t="shared" si="20"/>
        <v>-20.662107617609692</v>
      </c>
      <c r="AT57" s="41">
        <f t="shared" si="21"/>
        <v>-42.922941855710562</v>
      </c>
      <c r="AU57" s="41">
        <f t="shared" si="22"/>
        <v>89.38432703582788</v>
      </c>
      <c r="AV57" s="41">
        <f t="shared" si="23"/>
        <v>-111.54824640197634</v>
      </c>
      <c r="AW57" s="41">
        <f t="shared" si="24"/>
        <v>-10.967072001909742</v>
      </c>
      <c r="AX57" s="41">
        <f t="shared" si="25"/>
        <v>-10.159807479113965</v>
      </c>
      <c r="AY57" s="41">
        <f t="shared" si="25"/>
        <v>-12.487945004894129</v>
      </c>
      <c r="AZ57" s="41">
        <f t="shared" si="25"/>
        <v>-12.548622631589438</v>
      </c>
    </row>
    <row r="58" spans="1:52" x14ac:dyDescent="0.2">
      <c r="A58" s="30">
        <v>148</v>
      </c>
      <c r="B58" s="31" t="s">
        <v>372</v>
      </c>
      <c r="C58" s="41">
        <v>-3682</v>
      </c>
      <c r="D58" s="41">
        <v>-1824</v>
      </c>
      <c r="E58" s="73">
        <v>-2429</v>
      </c>
      <c r="F58" s="73">
        <v>-1906</v>
      </c>
      <c r="G58" s="73">
        <v>-3810</v>
      </c>
      <c r="H58" s="41">
        <v>-2323</v>
      </c>
      <c r="I58" s="165">
        <v>-837.13771999999994</v>
      </c>
      <c r="J58" s="41">
        <v>-2400.1688100000001</v>
      </c>
      <c r="K58" s="41">
        <v>-1881.6713400000001</v>
      </c>
      <c r="L58" s="41">
        <f>$L$5*'7.1. Nettoinvestointiennuste '!Y58</f>
        <v>-3087.2727761425522</v>
      </c>
      <c r="M58" s="41">
        <f>$M$5*'7.1. Nettoinvestointiennuste '!Y58</f>
        <v>-3219.5873866138782</v>
      </c>
      <c r="N58" s="41">
        <f>$N$5*'7.1. Nettoinvestointiennuste '!Y58</f>
        <v>-3333.2199946773494</v>
      </c>
      <c r="O58" s="41">
        <f>O$5*'7.1. Nettoinvestointiennuste '!$Y58</f>
        <v>-3481.80207498446</v>
      </c>
      <c r="P58" s="41">
        <f>P$5*'7.1. Nettoinvestointiennuste '!$Y58</f>
        <v>-3626.3514943189784</v>
      </c>
      <c r="T58" s="34">
        <v>148</v>
      </c>
      <c r="U58" s="88" t="s">
        <v>372</v>
      </c>
      <c r="V58" s="41">
        <f>C58/'1. Väestöennuste'!E58*1000</f>
        <v>-541.15226337448564</v>
      </c>
      <c r="W58" s="41">
        <f>D58/'1. Väestöennuste'!F58*1000</f>
        <v>-267.25274725274727</v>
      </c>
      <c r="X58" s="41">
        <f>E58/'1. Väestöennuste'!G58*1000</f>
        <v>-353.6177027223759</v>
      </c>
      <c r="Y58" s="41">
        <f>F58/'1. Väestöennuste'!H58*1000</f>
        <v>-275.03607503607503</v>
      </c>
      <c r="Z58" s="41">
        <f>G58/'1. Väestöennuste'!I58*1000</f>
        <v>-551.61430432894167</v>
      </c>
      <c r="AA58" s="41">
        <f>H58/'1. Väestöennuste'!J58*1000</f>
        <v>-338.53104051296998</v>
      </c>
      <c r="AB58" s="41">
        <f>I58/'1. Väestöennuste'!K58*1000</f>
        <v>-119.45458333333332</v>
      </c>
      <c r="AC58" s="41">
        <f>J58/'1. Väestöennuste'!L58*1000</f>
        <v>-340.59441038739891</v>
      </c>
      <c r="AD58" s="41">
        <f>K58/'1. Väestöennuste'!M58*1000</f>
        <v>-264.02011224919323</v>
      </c>
      <c r="AE58" s="41">
        <f>L58/'1. Väestöennuste'!N58*1000</f>
        <v>-447.95019967245389</v>
      </c>
      <c r="AF58" s="41">
        <f>M58/'1. Väestöennuste'!O58*1000</f>
        <v>-466.6068676251997</v>
      </c>
      <c r="AG58" s="41">
        <f>N58/'1. Väestöennuste'!P58*1000</f>
        <v>-482.65566097268311</v>
      </c>
      <c r="AH58" s="41">
        <f>O58/'1. Väestöennuste'!Q58*1000</f>
        <v>-503.66007160197603</v>
      </c>
      <c r="AI58" s="41">
        <f>P58/'1. Väestöennuste'!R58*1000</f>
        <v>-524.03923328308929</v>
      </c>
      <c r="AK58" s="34">
        <v>148</v>
      </c>
      <c r="AL58" s="88" t="s">
        <v>372</v>
      </c>
      <c r="AM58" s="41"/>
      <c r="AN58" s="41">
        <f t="shared" si="15"/>
        <v>273.89951612173837</v>
      </c>
      <c r="AO58" s="41">
        <f t="shared" si="16"/>
        <v>-86.364955469628626</v>
      </c>
      <c r="AP58" s="41">
        <f t="shared" si="17"/>
        <v>78.581627686300862</v>
      </c>
      <c r="AQ58" s="41">
        <f t="shared" si="18"/>
        <v>-276.57822929286664</v>
      </c>
      <c r="AR58" s="41">
        <f t="shared" si="19"/>
        <v>213.08326381597169</v>
      </c>
      <c r="AS58" s="41">
        <f t="shared" si="20"/>
        <v>219.07645717963666</v>
      </c>
      <c r="AT58" s="41">
        <f t="shared" si="21"/>
        <v>-221.13982705406559</v>
      </c>
      <c r="AU58" s="41">
        <f t="shared" si="22"/>
        <v>76.574298138205677</v>
      </c>
      <c r="AV58" s="41">
        <f t="shared" si="23"/>
        <v>-183.93008742326066</v>
      </c>
      <c r="AW58" s="41">
        <f t="shared" si="24"/>
        <v>-18.656667952745806</v>
      </c>
      <c r="AX58" s="41">
        <f t="shared" si="25"/>
        <v>-16.048793347483411</v>
      </c>
      <c r="AY58" s="41">
        <f t="shared" si="25"/>
        <v>-21.00441062929292</v>
      </c>
      <c r="AZ58" s="41">
        <f t="shared" si="25"/>
        <v>-20.37916168111326</v>
      </c>
    </row>
    <row r="59" spans="1:52" x14ac:dyDescent="0.2">
      <c r="A59" s="30">
        <v>149</v>
      </c>
      <c r="B59" s="31" t="s">
        <v>373</v>
      </c>
      <c r="C59" s="41">
        <v>-1176</v>
      </c>
      <c r="D59" s="41">
        <v>-470</v>
      </c>
      <c r="E59" s="73">
        <v>-945</v>
      </c>
      <c r="F59" s="73">
        <v>-1962</v>
      </c>
      <c r="G59" s="73">
        <v>-1808</v>
      </c>
      <c r="H59" s="41">
        <v>-2241</v>
      </c>
      <c r="I59" s="165">
        <v>-4825.1185400000004</v>
      </c>
      <c r="J59" s="41">
        <v>-10670.925880000001</v>
      </c>
      <c r="K59" s="41">
        <v>-11508.896070000001</v>
      </c>
      <c r="L59" s="41">
        <f>$L$5*'7.1. Nettoinvestointiennuste '!Y59</f>
        <v>-6485.2985513610101</v>
      </c>
      <c r="M59" s="41">
        <f>$M$5*'7.1. Nettoinvestointiennuste '!Y59</f>
        <v>-6763.2460519008728</v>
      </c>
      <c r="N59" s="41">
        <f>$N$5*'7.1. Nettoinvestointiennuste '!Y59</f>
        <v>-7001.9490891434025</v>
      </c>
      <c r="O59" s="41">
        <f>O$5*'7.1. Nettoinvestointiennuste '!$Y59</f>
        <v>-7314.0689502778941</v>
      </c>
      <c r="P59" s="41">
        <f>P$5*'7.1. Nettoinvestointiennuste '!$Y59</f>
        <v>-7617.7175773297404</v>
      </c>
      <c r="T59" s="34">
        <v>149</v>
      </c>
      <c r="U59" s="88" t="s">
        <v>373</v>
      </c>
      <c r="V59" s="41">
        <f>C59/'1. Väestöennuste'!E59*1000</f>
        <v>-212.23605847319979</v>
      </c>
      <c r="W59" s="41">
        <f>D59/'1. Väestöennuste'!F59*1000</f>
        <v>-84.153983885407342</v>
      </c>
      <c r="X59" s="41">
        <f>E59/'1. Väestöennuste'!G59*1000</f>
        <v>-172.41379310344828</v>
      </c>
      <c r="Y59" s="41">
        <f>F59/'1. Väestöennuste'!H59*1000</f>
        <v>-363.13159355913382</v>
      </c>
      <c r="Z59" s="41">
        <f>G59/'1. Väestöennuste'!I59*1000</f>
        <v>-335.6851095432603</v>
      </c>
      <c r="AA59" s="41">
        <f>H59/'1. Väestöennuste'!J59*1000</f>
        <v>-421.16143582033453</v>
      </c>
      <c r="AB59" s="41">
        <f>I59/'1. Väestöennuste'!K59*1000</f>
        <v>-901.38586586960594</v>
      </c>
      <c r="AC59" s="41">
        <f>J59/'1. Väestöennuste'!L59*1000</f>
        <v>-1981.9698885586924</v>
      </c>
      <c r="AD59" s="41">
        <f>K59/'1. Väestöennuste'!M59*1000</f>
        <v>-2139.5977077523703</v>
      </c>
      <c r="AE59" s="41">
        <f>L59/'1. Väestöennuste'!N59*1000</f>
        <v>-1251.0220970989603</v>
      </c>
      <c r="AF59" s="41">
        <f>M59/'1. Väestöennuste'!O59*1000</f>
        <v>-1310.4526355165419</v>
      </c>
      <c r="AG59" s="41">
        <f>N59/'1. Väestöennuste'!P59*1000</f>
        <v>-1363.0424545733702</v>
      </c>
      <c r="AH59" s="41">
        <f>O59/'1. Väestöennuste'!Q59*1000</f>
        <v>-1429.6460027908315</v>
      </c>
      <c r="AI59" s="41">
        <f>P59/'1. Väestöennuste'!R59*1000</f>
        <v>-1494.8425387224765</v>
      </c>
      <c r="AK59" s="34">
        <v>149</v>
      </c>
      <c r="AL59" s="88" t="s">
        <v>373</v>
      </c>
      <c r="AM59" s="41"/>
      <c r="AN59" s="41">
        <f t="shared" si="15"/>
        <v>128.08207458779245</v>
      </c>
      <c r="AO59" s="41">
        <f t="shared" si="16"/>
        <v>-88.259809218040942</v>
      </c>
      <c r="AP59" s="41">
        <f t="shared" si="17"/>
        <v>-190.71780045568553</v>
      </c>
      <c r="AQ59" s="41">
        <f t="shared" si="18"/>
        <v>27.446484015873523</v>
      </c>
      <c r="AR59" s="41">
        <f t="shared" si="19"/>
        <v>-85.476326277074236</v>
      </c>
      <c r="AS59" s="41">
        <f t="shared" si="20"/>
        <v>-480.2244300492714</v>
      </c>
      <c r="AT59" s="41">
        <f t="shared" si="21"/>
        <v>-1080.5840226890864</v>
      </c>
      <c r="AU59" s="41">
        <f t="shared" si="22"/>
        <v>-157.62781919367785</v>
      </c>
      <c r="AV59" s="41">
        <f t="shared" si="23"/>
        <v>888.57561065340997</v>
      </c>
      <c r="AW59" s="41">
        <f t="shared" si="24"/>
        <v>-59.430538417581602</v>
      </c>
      <c r="AX59" s="41">
        <f t="shared" si="25"/>
        <v>-52.589819056828219</v>
      </c>
      <c r="AY59" s="41">
        <f t="shared" si="25"/>
        <v>-66.603548217461366</v>
      </c>
      <c r="AZ59" s="41">
        <f t="shared" si="25"/>
        <v>-65.19653593164503</v>
      </c>
    </row>
    <row r="60" spans="1:52" x14ac:dyDescent="0.2">
      <c r="A60" s="30">
        <v>151</v>
      </c>
      <c r="B60" s="31" t="s">
        <v>374</v>
      </c>
      <c r="C60" s="41">
        <v>-91</v>
      </c>
      <c r="D60" s="41">
        <v>-347</v>
      </c>
      <c r="E60" s="73">
        <v>-226</v>
      </c>
      <c r="F60" s="73">
        <v>-96</v>
      </c>
      <c r="G60" s="73">
        <v>-283</v>
      </c>
      <c r="H60" s="41">
        <v>-407</v>
      </c>
      <c r="I60" s="165">
        <v>-553.40531999999996</v>
      </c>
      <c r="J60" s="41">
        <v>-389.40232000000003</v>
      </c>
      <c r="K60" s="41">
        <v>-229.18812</v>
      </c>
      <c r="L60" s="41">
        <f>$L$5*'7.1. Nettoinvestointiennuste '!Y60</f>
        <v>-474.91705074510691</v>
      </c>
      <c r="M60" s="41">
        <f>$M$5*'7.1. Nettoinvestointiennuste '!Y60</f>
        <v>-495.27108782959294</v>
      </c>
      <c r="N60" s="41">
        <f>$N$5*'7.1. Nettoinvestointiennuste '!Y60</f>
        <v>-512.75126110971598</v>
      </c>
      <c r="O60" s="41">
        <f>O$5*'7.1. Nettoinvestointiennuste '!$Y60</f>
        <v>-535.60773298298966</v>
      </c>
      <c r="P60" s="41">
        <f>P$5*'7.1. Nettoinvestointiennuste '!$Y60</f>
        <v>-557.84385816368774</v>
      </c>
      <c r="T60" s="34">
        <v>151</v>
      </c>
      <c r="U60" s="88" t="s">
        <v>374</v>
      </c>
      <c r="V60" s="41">
        <f>C60/'1. Väestöennuste'!E60*1000</f>
        <v>-42.863871879415917</v>
      </c>
      <c r="W60" s="41">
        <f>D60/'1. Väestöennuste'!F60*1000</f>
        <v>-166.90716690716692</v>
      </c>
      <c r="X60" s="41">
        <f>E60/'1. Väestöennuste'!G60*1000</f>
        <v>-111.22047244094487</v>
      </c>
      <c r="Y60" s="41">
        <f>F60/'1. Väestöennuste'!H60*1000</f>
        <v>-48.582995951417004</v>
      </c>
      <c r="Z60" s="41">
        <f>G60/'1. Väestöennuste'!I60*1000</f>
        <v>-145.05381855458739</v>
      </c>
      <c r="AA60" s="41">
        <f>H60/'1. Väestöennuste'!J60*1000</f>
        <v>-211.42857142857144</v>
      </c>
      <c r="AB60" s="41">
        <f>I60/'1. Väestöennuste'!K60*1000</f>
        <v>-292.65220518244314</v>
      </c>
      <c r="AC60" s="41">
        <f>J60/'1. Väestöennuste'!L60*1000</f>
        <v>-210.26043196544279</v>
      </c>
      <c r="AD60" s="41">
        <f>K60/'1. Väestöennuste'!M60*1000</f>
        <v>-126.3440573318633</v>
      </c>
      <c r="AE60" s="41">
        <f>L60/'1. Väestöennuste'!N60*1000</f>
        <v>-264.43042914538245</v>
      </c>
      <c r="AF60" s="41">
        <f>M60/'1. Väestöennuste'!O60*1000</f>
        <v>-279.8141739150243</v>
      </c>
      <c r="AG60" s="41">
        <f>N60/'1. Väestöennuste'!P60*1000</f>
        <v>-293.84026424625557</v>
      </c>
      <c r="AH60" s="41">
        <f>O60/'1. Väestöennuste'!Q60*1000</f>
        <v>-310.49723651187804</v>
      </c>
      <c r="AI60" s="41">
        <f>P60/'1. Väestöennuste'!R60*1000</f>
        <v>-327.37315619934725</v>
      </c>
      <c r="AK60" s="34">
        <v>151</v>
      </c>
      <c r="AL60" s="88" t="s">
        <v>374</v>
      </c>
      <c r="AM60" s="41"/>
      <c r="AN60" s="41">
        <f t="shared" si="15"/>
        <v>-124.04329502775101</v>
      </c>
      <c r="AO60" s="41">
        <f t="shared" si="16"/>
        <v>55.68669446622205</v>
      </c>
      <c r="AP60" s="41">
        <f t="shared" si="17"/>
        <v>62.63747648952787</v>
      </c>
      <c r="AQ60" s="41">
        <f t="shared" si="18"/>
        <v>-96.47082260317039</v>
      </c>
      <c r="AR60" s="41">
        <f t="shared" si="19"/>
        <v>-66.37475287398405</v>
      </c>
      <c r="AS60" s="41">
        <f t="shared" si="20"/>
        <v>-81.223633753871695</v>
      </c>
      <c r="AT60" s="41">
        <f t="shared" si="21"/>
        <v>82.391773217000349</v>
      </c>
      <c r="AU60" s="41">
        <f t="shared" si="22"/>
        <v>83.916374633579494</v>
      </c>
      <c r="AV60" s="41">
        <f t="shared" si="23"/>
        <v>-138.08637181351915</v>
      </c>
      <c r="AW60" s="41">
        <f t="shared" si="24"/>
        <v>-15.383744769641851</v>
      </c>
      <c r="AX60" s="41">
        <f t="shared" si="25"/>
        <v>-14.026090331231273</v>
      </c>
      <c r="AY60" s="41">
        <f t="shared" si="25"/>
        <v>-16.656972265622471</v>
      </c>
      <c r="AZ60" s="41">
        <f t="shared" si="25"/>
        <v>-16.875919687469207</v>
      </c>
    </row>
    <row r="61" spans="1:52" x14ac:dyDescent="0.2">
      <c r="A61" s="30">
        <v>152</v>
      </c>
      <c r="B61" s="31" t="s">
        <v>375</v>
      </c>
      <c r="C61" s="41">
        <v>-656</v>
      </c>
      <c r="D61" s="41">
        <v>-1057</v>
      </c>
      <c r="E61" s="73">
        <v>-2068</v>
      </c>
      <c r="F61" s="73">
        <v>-1712</v>
      </c>
      <c r="G61" s="73">
        <v>-4897</v>
      </c>
      <c r="H61" s="41">
        <v>-1808</v>
      </c>
      <c r="I61" s="165">
        <v>-1686.84529</v>
      </c>
      <c r="J61" s="41">
        <v>-2848.60257</v>
      </c>
      <c r="K61" s="41">
        <v>-2600.79133</v>
      </c>
      <c r="L61" s="41">
        <f>$L$5*'7.1. Nettoinvestointiennuste '!Y61</f>
        <v>-2561.82574212697</v>
      </c>
      <c r="M61" s="41">
        <f>$M$5*'7.1. Nettoinvestointiennuste '!Y61</f>
        <v>-2671.6206970089529</v>
      </c>
      <c r="N61" s="41">
        <f>$N$5*'7.1. Nettoinvestointiennuste '!Y61</f>
        <v>-2765.9132851895652</v>
      </c>
      <c r="O61" s="41">
        <f>O$5*'7.1. Nettoinvestointiennuste '!$Y61</f>
        <v>-2889.2070223322648</v>
      </c>
      <c r="P61" s="41">
        <f>P$5*'7.1. Nettoinvestointiennuste '!$Y61</f>
        <v>-3009.1544485274217</v>
      </c>
      <c r="T61" s="34">
        <v>152</v>
      </c>
      <c r="U61" s="88" t="s">
        <v>375</v>
      </c>
      <c r="V61" s="41">
        <f>C61/'1. Väestöennuste'!E61*1000</f>
        <v>-137.09508881922676</v>
      </c>
      <c r="W61" s="41">
        <f>D61/'1. Väestöennuste'!F61*1000</f>
        <v>-224.32088285229202</v>
      </c>
      <c r="X61" s="41">
        <f>E61/'1. Väestöennuste'!G61*1000</f>
        <v>-442.54226407019047</v>
      </c>
      <c r="Y61" s="41">
        <f>F61/'1. Väestöennuste'!H61*1000</f>
        <v>-372.09302325581393</v>
      </c>
      <c r="Z61" s="41">
        <f>G61/'1. Väestöennuste'!I61*1000</f>
        <v>-1082.9279080053075</v>
      </c>
      <c r="AA61" s="41">
        <f>H61/'1. Väestöennuste'!J61*1000</f>
        <v>-404.383806754641</v>
      </c>
      <c r="AB61" s="41">
        <f>I61/'1. Väestöennuste'!K61*1000</f>
        <v>-376.52796651785712</v>
      </c>
      <c r="AC61" s="41">
        <f>J61/'1. Väestöennuste'!L61*1000</f>
        <v>-646.52804584657281</v>
      </c>
      <c r="AD61" s="41">
        <f>K61/'1. Väestöennuste'!M61*1000</f>
        <v>-596.92249942621072</v>
      </c>
      <c r="AE61" s="41">
        <f>L61/'1. Väestöennuste'!N61*1000</f>
        <v>-600.38100354510664</v>
      </c>
      <c r="AF61" s="41">
        <f>M61/'1. Väestöennuste'!O61*1000</f>
        <v>-633.08547322487038</v>
      </c>
      <c r="AG61" s="41">
        <f>N61/'1. Väestöennuste'!P61*1000</f>
        <v>-662.65291930751448</v>
      </c>
      <c r="AH61" s="41">
        <f>O61/'1. Väestöennuste'!Q61*1000</f>
        <v>-700.07439358668887</v>
      </c>
      <c r="AI61" s="41">
        <f>P61/'1. Väestöennuste'!R61*1000</f>
        <v>-736.4548332176754</v>
      </c>
      <c r="AK61" s="34">
        <v>152</v>
      </c>
      <c r="AL61" s="88" t="s">
        <v>375</v>
      </c>
      <c r="AM61" s="41"/>
      <c r="AN61" s="41">
        <f t="shared" si="15"/>
        <v>-87.225794033065256</v>
      </c>
      <c r="AO61" s="41">
        <f t="shared" si="16"/>
        <v>-218.22138121789845</v>
      </c>
      <c r="AP61" s="41">
        <f t="shared" si="17"/>
        <v>70.449240814376537</v>
      </c>
      <c r="AQ61" s="41">
        <f t="shared" si="18"/>
        <v>-710.83488474949354</v>
      </c>
      <c r="AR61" s="41">
        <f t="shared" si="19"/>
        <v>678.54410125066647</v>
      </c>
      <c r="AS61" s="41">
        <f t="shared" si="20"/>
        <v>27.855840236783877</v>
      </c>
      <c r="AT61" s="41">
        <f t="shared" si="21"/>
        <v>-270.00007932871569</v>
      </c>
      <c r="AU61" s="41">
        <f t="shared" si="22"/>
        <v>49.605546420362089</v>
      </c>
      <c r="AV61" s="41">
        <f t="shared" si="23"/>
        <v>-3.4585041188959167</v>
      </c>
      <c r="AW61" s="41">
        <f t="shared" si="24"/>
        <v>-32.704469679763747</v>
      </c>
      <c r="AX61" s="41">
        <f t="shared" si="25"/>
        <v>-29.567446082644096</v>
      </c>
      <c r="AY61" s="41">
        <f t="shared" si="25"/>
        <v>-37.42147427917439</v>
      </c>
      <c r="AZ61" s="41">
        <f t="shared" si="25"/>
        <v>-36.38043963098653</v>
      </c>
    </row>
    <row r="62" spans="1:52" x14ac:dyDescent="0.2">
      <c r="A62" s="30">
        <v>153</v>
      </c>
      <c r="B62" s="31" t="s">
        <v>376</v>
      </c>
      <c r="C62" s="41">
        <v>-20013</v>
      </c>
      <c r="D62" s="41">
        <v>-8159</v>
      </c>
      <c r="E62" s="73">
        <v>-2738</v>
      </c>
      <c r="F62" s="73">
        <v>-19414</v>
      </c>
      <c r="G62" s="73">
        <v>-29304</v>
      </c>
      <c r="H62" s="41">
        <v>-28909</v>
      </c>
      <c r="I62" s="165">
        <v>-20952.310329999997</v>
      </c>
      <c r="J62" s="41">
        <v>-18345.540780000003</v>
      </c>
      <c r="K62" s="41">
        <v>-17543.200519999999</v>
      </c>
      <c r="L62" s="41">
        <f>$L$5*'7.1. Nettoinvestointiennuste '!Y62</f>
        <v>-19566.796586157627</v>
      </c>
      <c r="M62" s="41">
        <f>$M$5*'7.1. Nettoinvestointiennuste '!Y62</f>
        <v>-20405.392089760633</v>
      </c>
      <c r="N62" s="41">
        <f>$N$5*'7.1. Nettoinvestointiennuste '!Y62</f>
        <v>-21125.583109068819</v>
      </c>
      <c r="O62" s="41">
        <f>O$5*'7.1. Nettoinvestointiennuste '!$Y62</f>
        <v>-22067.280054082508</v>
      </c>
      <c r="P62" s="41">
        <f>P$5*'7.1. Nettoinvestointiennuste '!$Y62</f>
        <v>-22983.418435706069</v>
      </c>
      <c r="T62" s="34">
        <v>153</v>
      </c>
      <c r="U62" s="88" t="s">
        <v>376</v>
      </c>
      <c r="V62" s="41">
        <f>C62/'1. Väestöennuste'!E62*1000</f>
        <v>-718.98688701275375</v>
      </c>
      <c r="W62" s="41">
        <f>D62/'1. Väestöennuste'!F62*1000</f>
        <v>-296.50761347530619</v>
      </c>
      <c r="X62" s="41">
        <f>E62/'1. Väestöennuste'!G62*1000</f>
        <v>-100.40705563093623</v>
      </c>
      <c r="Y62" s="41">
        <f>F62/'1. Väestöennuste'!H62*1000</f>
        <v>-720.85251745135906</v>
      </c>
      <c r="Z62" s="41">
        <f>G62/'1. Väestöennuste'!I62*1000</f>
        <v>-1105.4775916704391</v>
      </c>
      <c r="AA62" s="41">
        <f>H62/'1. Väestöennuste'!J62*1000</f>
        <v>-1108.686481303931</v>
      </c>
      <c r="AB62" s="41">
        <f>I62/'1. Väestöennuste'!K62*1000</f>
        <v>-816.6950040927693</v>
      </c>
      <c r="AC62" s="41">
        <f>J62/'1. Väestöennuste'!L62*1000</f>
        <v>-727.76661298000647</v>
      </c>
      <c r="AD62" s="41">
        <f>K62/'1. Väestöennuste'!M62*1000</f>
        <v>-704.00900999237524</v>
      </c>
      <c r="AE62" s="41">
        <f>L62/'1. Väestöennuste'!N62*1000</f>
        <v>-791.6011241264514</v>
      </c>
      <c r="AF62" s="41">
        <f>M62/'1. Väestöennuste'!O62*1000</f>
        <v>-836.52654818024166</v>
      </c>
      <c r="AG62" s="41">
        <f>N62/'1. Väestöennuste'!P62*1000</f>
        <v>-877.41758147064911</v>
      </c>
      <c r="AH62" s="41">
        <f>O62/'1. Väestöennuste'!Q62*1000</f>
        <v>-928.17161110757127</v>
      </c>
      <c r="AI62" s="41">
        <f>P62/'1. Väestöennuste'!R62*1000</f>
        <v>-978.39250928892204</v>
      </c>
      <c r="AK62" s="34">
        <v>153</v>
      </c>
      <c r="AL62" s="88" t="s">
        <v>376</v>
      </c>
      <c r="AM62" s="41"/>
      <c r="AN62" s="41">
        <f t="shared" si="15"/>
        <v>422.47927353744757</v>
      </c>
      <c r="AO62" s="41">
        <f t="shared" si="16"/>
        <v>196.10055784436997</v>
      </c>
      <c r="AP62" s="41">
        <f t="shared" si="17"/>
        <v>-620.44546182042279</v>
      </c>
      <c r="AQ62" s="41">
        <f t="shared" si="18"/>
        <v>-384.62507421908003</v>
      </c>
      <c r="AR62" s="41">
        <f t="shared" si="19"/>
        <v>-3.2088896334919355</v>
      </c>
      <c r="AS62" s="41">
        <f t="shared" si="20"/>
        <v>291.99147721116174</v>
      </c>
      <c r="AT62" s="41">
        <f t="shared" si="21"/>
        <v>88.928391112762824</v>
      </c>
      <c r="AU62" s="41">
        <f t="shared" si="22"/>
        <v>23.75760298763123</v>
      </c>
      <c r="AV62" s="41">
        <f t="shared" si="23"/>
        <v>-87.592114134076155</v>
      </c>
      <c r="AW62" s="41">
        <f t="shared" si="24"/>
        <v>-44.925424053790266</v>
      </c>
      <c r="AX62" s="41">
        <f t="shared" si="25"/>
        <v>-40.891033290407449</v>
      </c>
      <c r="AY62" s="41">
        <f t="shared" si="25"/>
        <v>-50.754029636922155</v>
      </c>
      <c r="AZ62" s="41">
        <f t="shared" si="25"/>
        <v>-50.220898181350776</v>
      </c>
    </row>
    <row r="63" spans="1:52" x14ac:dyDescent="0.2">
      <c r="A63" s="30">
        <v>165</v>
      </c>
      <c r="B63" s="31" t="s">
        <v>377</v>
      </c>
      <c r="C63" s="41">
        <v>-6492</v>
      </c>
      <c r="D63" s="41">
        <v>-6326</v>
      </c>
      <c r="E63" s="73">
        <v>-4206</v>
      </c>
      <c r="F63" s="73">
        <v>-6065</v>
      </c>
      <c r="G63" s="73">
        <v>-6937</v>
      </c>
      <c r="H63" s="41">
        <v>-10838</v>
      </c>
      <c r="I63" s="165">
        <v>-5306.6217800000004</v>
      </c>
      <c r="J63" s="41">
        <v>-4460.0067300000001</v>
      </c>
      <c r="K63" s="41">
        <v>-9747.4328399999995</v>
      </c>
      <c r="L63" s="41">
        <f>$L$5*'7.1. Nettoinvestointiennuste '!Y63</f>
        <v>-9559.4364479620326</v>
      </c>
      <c r="M63" s="41">
        <f>$M$5*'7.1. Nettoinvestointiennuste '!Y63</f>
        <v>-9969.1356231408063</v>
      </c>
      <c r="N63" s="41">
        <f>$N$5*'7.1. Nettoinvestointiennuste '!Y63</f>
        <v>-10320.987815662707</v>
      </c>
      <c r="O63" s="41">
        <f>O$5*'7.1. Nettoinvestointiennuste '!$Y63</f>
        <v>-10781.057610913034</v>
      </c>
      <c r="P63" s="41">
        <f>P$5*'7.1. Nettoinvestointiennuste '!$Y63</f>
        <v>-11228.640668165484</v>
      </c>
      <c r="T63" s="34">
        <v>165</v>
      </c>
      <c r="U63" s="88" t="s">
        <v>377</v>
      </c>
      <c r="V63" s="41">
        <f>C63/'1. Väestöennuste'!E63*1000</f>
        <v>-385.21331513677092</v>
      </c>
      <c r="W63" s="41">
        <f>D63/'1. Väestöennuste'!F63*1000</f>
        <v>-378.59836016518045</v>
      </c>
      <c r="X63" s="41">
        <f>E63/'1. Väestöennuste'!G63*1000</f>
        <v>-253.26669476726681</v>
      </c>
      <c r="Y63" s="41">
        <f>F63/'1. Väestöennuste'!H63*1000</f>
        <v>-368.76026022982916</v>
      </c>
      <c r="Z63" s="41">
        <f>G63/'1. Väestöennuste'!I63*1000</f>
        <v>-422.65277523913971</v>
      </c>
      <c r="AA63" s="41">
        <f>H63/'1. Väestöennuste'!J63*1000</f>
        <v>-667.48783642298463</v>
      </c>
      <c r="AB63" s="41">
        <f>I63/'1. Väestöennuste'!K63*1000</f>
        <v>-324.76265483476135</v>
      </c>
      <c r="AC63" s="41">
        <f>J63/'1. Väestöennuste'!L63*1000</f>
        <v>-273.95618734643733</v>
      </c>
      <c r="AD63" s="41">
        <f>K63/'1. Väestöennuste'!M63*1000</f>
        <v>-604.56694411709975</v>
      </c>
      <c r="AE63" s="41">
        <f>L63/'1. Väestöennuste'!N63*1000</f>
        <v>-605.90964365608363</v>
      </c>
      <c r="AF63" s="41">
        <f>M63/'1. Väestöennuste'!O63*1000</f>
        <v>-636.11125721929591</v>
      </c>
      <c r="AG63" s="41">
        <f>N63/'1. Väestöennuste'!P63*1000</f>
        <v>-662.96170450043076</v>
      </c>
      <c r="AH63" s="41">
        <f>O63/'1. Väestöennuste'!Q63*1000</f>
        <v>-697.03611630652574</v>
      </c>
      <c r="AI63" s="41">
        <f>P63/'1. Väestöennuste'!R63*1000</f>
        <v>-730.79340502215973</v>
      </c>
      <c r="AK63" s="34">
        <v>165</v>
      </c>
      <c r="AL63" s="88" t="s">
        <v>377</v>
      </c>
      <c r="AM63" s="41"/>
      <c r="AN63" s="41">
        <f t="shared" si="15"/>
        <v>6.6149549715904641</v>
      </c>
      <c r="AO63" s="41">
        <f t="shared" si="16"/>
        <v>125.33166539791364</v>
      </c>
      <c r="AP63" s="41">
        <f t="shared" si="17"/>
        <v>-115.49356546256234</v>
      </c>
      <c r="AQ63" s="41">
        <f t="shared" si="18"/>
        <v>-53.892515009310557</v>
      </c>
      <c r="AR63" s="41">
        <f t="shared" si="19"/>
        <v>-244.83506118384491</v>
      </c>
      <c r="AS63" s="41">
        <f t="shared" si="20"/>
        <v>342.72518158822328</v>
      </c>
      <c r="AT63" s="41">
        <f t="shared" si="21"/>
        <v>50.806467488324017</v>
      </c>
      <c r="AU63" s="41">
        <f t="shared" si="22"/>
        <v>-330.61075677066242</v>
      </c>
      <c r="AV63" s="41">
        <f t="shared" si="23"/>
        <v>-1.3426995389838794</v>
      </c>
      <c r="AW63" s="41">
        <f t="shared" si="24"/>
        <v>-30.201613563212277</v>
      </c>
      <c r="AX63" s="41">
        <f t="shared" si="25"/>
        <v>-26.850447281134848</v>
      </c>
      <c r="AY63" s="41">
        <f t="shared" si="25"/>
        <v>-34.074411806094986</v>
      </c>
      <c r="AZ63" s="41">
        <f t="shared" si="25"/>
        <v>-33.75728871563399</v>
      </c>
    </row>
    <row r="64" spans="1:52" x14ac:dyDescent="0.2">
      <c r="A64" s="30">
        <v>167</v>
      </c>
      <c r="B64" s="31" t="s">
        <v>378</v>
      </c>
      <c r="C64" s="41">
        <v>-46269</v>
      </c>
      <c r="D64" s="41">
        <v>-47096</v>
      </c>
      <c r="E64" s="73">
        <v>-36936</v>
      </c>
      <c r="F64" s="73">
        <v>-33355</v>
      </c>
      <c r="G64" s="73">
        <v>-44742</v>
      </c>
      <c r="H64" s="41">
        <v>-40065</v>
      </c>
      <c r="I64" s="165">
        <v>-31276.649960000002</v>
      </c>
      <c r="J64" s="41">
        <v>-36978.24912</v>
      </c>
      <c r="K64" s="41">
        <v>-47367.525390000003</v>
      </c>
      <c r="L64" s="41">
        <f>$L$5*'7.1. Nettoinvestointiennuste '!Y64</f>
        <v>-39591.10252600821</v>
      </c>
      <c r="M64" s="41">
        <f>$M$5*'7.1. Nettoinvestointiennuste '!Y64</f>
        <v>-41287.901509674441</v>
      </c>
      <c r="N64" s="41">
        <f>$N$5*'7.1. Nettoinvestointiennuste '!Y64</f>
        <v>-42745.123000079882</v>
      </c>
      <c r="O64" s="41">
        <f>O$5*'7.1. Nettoinvestointiennuste '!$Y64</f>
        <v>-44650.535576650596</v>
      </c>
      <c r="P64" s="41">
        <f>P$5*'7.1. Nettoinvestointiennuste '!$Y64</f>
        <v>-46504.233418050411</v>
      </c>
      <c r="T64" s="34">
        <v>167</v>
      </c>
      <c r="U64" s="88" t="s">
        <v>378</v>
      </c>
      <c r="V64" s="41">
        <f>C64/'1. Väestöennuste'!E64*1000</f>
        <v>-612.72081998040096</v>
      </c>
      <c r="W64" s="41">
        <f>D64/'1. Väestöennuste'!F64*1000</f>
        <v>-620.92606265161896</v>
      </c>
      <c r="X64" s="41">
        <f>E64/'1. Väestöennuste'!G64*1000</f>
        <v>-485.57193000907097</v>
      </c>
      <c r="Y64" s="41">
        <f>F64/'1. Väestöennuste'!H64*1000</f>
        <v>-435.72259016864575</v>
      </c>
      <c r="Z64" s="41">
        <f>G64/'1. Väestöennuste'!I64*1000</f>
        <v>-582.19908913467805</v>
      </c>
      <c r="AA64" s="41">
        <f>H64/'1. Väestöennuste'!J64*1000</f>
        <v>-520.76428153636186</v>
      </c>
      <c r="AB64" s="41">
        <f>I64/'1. Väestöennuste'!K64*1000</f>
        <v>-404.81808363857573</v>
      </c>
      <c r="AC64" s="41">
        <f>J64/'1. Väestöennuste'!L64*1000</f>
        <v>-477.05867557699997</v>
      </c>
      <c r="AD64" s="41">
        <f>K64/'1. Väestöennuste'!M64*1000</f>
        <v>-606.79364338602647</v>
      </c>
      <c r="AE64" s="41">
        <f>L64/'1. Väestöennuste'!N64*1000</f>
        <v>-508.64770191181731</v>
      </c>
      <c r="AF64" s="41">
        <f>M64/'1. Väestöennuste'!O64*1000</f>
        <v>-529.37957906061365</v>
      </c>
      <c r="AG64" s="41">
        <f>N64/'1. Väestöennuste'!P64*1000</f>
        <v>-547.01854316602964</v>
      </c>
      <c r="AH64" s="41">
        <f>O64/'1. Väestöennuste'!Q64*1000</f>
        <v>-570.38061849020971</v>
      </c>
      <c r="AI64" s="41">
        <f>P64/'1. Väestöennuste'!R64*1000</f>
        <v>-593.08302939702867</v>
      </c>
      <c r="AK64" s="34">
        <v>167</v>
      </c>
      <c r="AL64" s="88" t="s">
        <v>378</v>
      </c>
      <c r="AM64" s="41"/>
      <c r="AN64" s="41">
        <f t="shared" si="15"/>
        <v>-8.2052426712180022</v>
      </c>
      <c r="AO64" s="41">
        <f t="shared" si="16"/>
        <v>135.354132642548</v>
      </c>
      <c r="AP64" s="41">
        <f t="shared" si="17"/>
        <v>49.849339840425216</v>
      </c>
      <c r="AQ64" s="41">
        <f t="shared" si="18"/>
        <v>-146.4764989660323</v>
      </c>
      <c r="AR64" s="41">
        <f t="shared" si="19"/>
        <v>61.434807598316183</v>
      </c>
      <c r="AS64" s="41">
        <f t="shared" si="20"/>
        <v>115.94619789778613</v>
      </c>
      <c r="AT64" s="41">
        <f t="shared" si="21"/>
        <v>-72.240591938424245</v>
      </c>
      <c r="AU64" s="41">
        <f t="shared" si="22"/>
        <v>-129.7349678090265</v>
      </c>
      <c r="AV64" s="41">
        <f t="shared" si="23"/>
        <v>98.145941474209167</v>
      </c>
      <c r="AW64" s="41">
        <f t="shared" si="24"/>
        <v>-20.731877148796343</v>
      </c>
      <c r="AX64" s="41">
        <f t="shared" si="25"/>
        <v>-17.638964105415994</v>
      </c>
      <c r="AY64" s="41">
        <f t="shared" si="25"/>
        <v>-23.362075324180068</v>
      </c>
      <c r="AZ64" s="41">
        <f t="shared" si="25"/>
        <v>-22.702410906818955</v>
      </c>
    </row>
    <row r="65" spans="1:52" x14ac:dyDescent="0.2">
      <c r="A65" s="30">
        <v>169</v>
      </c>
      <c r="B65" s="31" t="s">
        <v>379</v>
      </c>
      <c r="C65" s="41">
        <v>-3383</v>
      </c>
      <c r="D65" s="41">
        <v>-1168</v>
      </c>
      <c r="E65" s="73">
        <v>-676</v>
      </c>
      <c r="F65" s="73">
        <v>-532</v>
      </c>
      <c r="G65" s="73">
        <v>-922</v>
      </c>
      <c r="H65" s="41">
        <v>-797</v>
      </c>
      <c r="I65" s="165">
        <v>-1030.3579</v>
      </c>
      <c r="J65" s="41">
        <v>-1945.02773</v>
      </c>
      <c r="K65" s="41">
        <v>-1045.21577</v>
      </c>
      <c r="L65" s="41">
        <f>$L$5*'7.1. Nettoinvestointiennuste '!Y65</f>
        <v>-1363.0276483432931</v>
      </c>
      <c r="M65" s="41">
        <f>$M$5*'7.1. Nettoinvestointiennuste '!Y65</f>
        <v>-1421.4444081922657</v>
      </c>
      <c r="N65" s="41">
        <f>$N$5*'7.1. Nettoinvestointiennuste '!Y65</f>
        <v>-1471.6130838404833</v>
      </c>
      <c r="O65" s="41">
        <f>O$5*'7.1. Nettoinvestointiennuste '!$Y65</f>
        <v>-1537.2119143267223</v>
      </c>
      <c r="P65" s="41">
        <f>P$5*'7.1. Nettoinvestointiennuste '!$Y65</f>
        <v>-1601.0303292810022</v>
      </c>
      <c r="T65" s="34">
        <v>169</v>
      </c>
      <c r="U65" s="88" t="s">
        <v>379</v>
      </c>
      <c r="V65" s="41">
        <f>C65/'1. Väestöennuste'!E65*1000</f>
        <v>-623.59447004608296</v>
      </c>
      <c r="W65" s="41">
        <f>D65/'1. Väestöennuste'!F65*1000</f>
        <v>-218.68563939337201</v>
      </c>
      <c r="X65" s="41">
        <f>E65/'1. Väestöennuste'!G65*1000</f>
        <v>-127.88497919031403</v>
      </c>
      <c r="Y65" s="41">
        <f>F65/'1. Väestöennuste'!H65*1000</f>
        <v>-102.40615976900865</v>
      </c>
      <c r="Z65" s="41">
        <f>G65/'1. Väestöennuste'!I65*1000</f>
        <v>-179.6220533800896</v>
      </c>
      <c r="AA65" s="41">
        <f>H65/'1. Väestöennuste'!J65*1000</f>
        <v>-157.47875913851018</v>
      </c>
      <c r="AB65" s="41">
        <f>I65/'1. Väestöennuste'!K65*1000</f>
        <v>-204.19300435988902</v>
      </c>
      <c r="AC65" s="41">
        <f>J65/'1. Väestöennuste'!L65*1000</f>
        <v>-389.78511623246493</v>
      </c>
      <c r="AD65" s="41">
        <f>K65/'1. Väestöennuste'!M65*1000</f>
        <v>-212.61508746948741</v>
      </c>
      <c r="AE65" s="41">
        <f>L65/'1. Väestöennuste'!N65*1000</f>
        <v>-282.84450059001728</v>
      </c>
      <c r="AF65" s="41">
        <f>M65/'1. Väestöennuste'!O65*1000</f>
        <v>-298.37204202188616</v>
      </c>
      <c r="AG65" s="41">
        <f>N65/'1. Väestöennuste'!P65*1000</f>
        <v>-312.24550898376475</v>
      </c>
      <c r="AH65" s="41">
        <f>O65/'1. Väestöennuste'!Q65*1000</f>
        <v>-329.66157287727265</v>
      </c>
      <c r="AI65" s="41">
        <f>P65/'1. Väestöennuste'!R65*1000</f>
        <v>-346.69344505868389</v>
      </c>
      <c r="AK65" s="34">
        <v>169</v>
      </c>
      <c r="AL65" s="88" t="s">
        <v>379</v>
      </c>
      <c r="AM65" s="41"/>
      <c r="AN65" s="41">
        <f t="shared" si="15"/>
        <v>404.90883065271095</v>
      </c>
      <c r="AO65" s="41">
        <f t="shared" si="16"/>
        <v>90.800660203057987</v>
      </c>
      <c r="AP65" s="41">
        <f t="shared" si="17"/>
        <v>25.478819421305374</v>
      </c>
      <c r="AQ65" s="41">
        <f t="shared" si="18"/>
        <v>-77.215893611080944</v>
      </c>
      <c r="AR65" s="41">
        <f t="shared" si="19"/>
        <v>22.143294241579412</v>
      </c>
      <c r="AS65" s="41">
        <f t="shared" si="20"/>
        <v>-46.714245221378832</v>
      </c>
      <c r="AT65" s="41">
        <f t="shared" si="21"/>
        <v>-185.59211187257591</v>
      </c>
      <c r="AU65" s="41">
        <f t="shared" si="22"/>
        <v>177.17002876297752</v>
      </c>
      <c r="AV65" s="41">
        <f t="shared" si="23"/>
        <v>-70.22941312052987</v>
      </c>
      <c r="AW65" s="41">
        <f t="shared" si="24"/>
        <v>-15.527541431868883</v>
      </c>
      <c r="AX65" s="41">
        <f t="shared" si="25"/>
        <v>-13.873466961878592</v>
      </c>
      <c r="AY65" s="41">
        <f t="shared" si="25"/>
        <v>-17.416063893507896</v>
      </c>
      <c r="AZ65" s="41">
        <f t="shared" si="25"/>
        <v>-17.031872181411245</v>
      </c>
    </row>
    <row r="66" spans="1:52" x14ac:dyDescent="0.2">
      <c r="A66" s="30">
        <v>171</v>
      </c>
      <c r="B66" s="31" t="s">
        <v>380</v>
      </c>
      <c r="C66" s="41">
        <v>-1220</v>
      </c>
      <c r="D66" s="41">
        <v>-1165</v>
      </c>
      <c r="E66" s="73">
        <v>-1452</v>
      </c>
      <c r="F66" s="73">
        <v>-5674</v>
      </c>
      <c r="G66" s="73">
        <v>-5221</v>
      </c>
      <c r="H66" s="41">
        <v>-768</v>
      </c>
      <c r="I66" s="165">
        <v>-915.45465999999999</v>
      </c>
      <c r="J66" s="41">
        <v>-1579.4310399999999</v>
      </c>
      <c r="K66" s="41">
        <v>-844.47004000000004</v>
      </c>
      <c r="L66" s="41">
        <f>$L$5*'7.1. Nettoinvestointiennuste '!Y66</f>
        <v>-1070.3710297578048</v>
      </c>
      <c r="M66" s="41">
        <f>$M$5*'7.1. Nettoinvestointiennuste '!Y66</f>
        <v>-1116.2450862897165</v>
      </c>
      <c r="N66" s="41">
        <f>$N$5*'7.1. Nettoinvestointiennuste '!Y66</f>
        <v>-1155.6420105417208</v>
      </c>
      <c r="O66" s="41">
        <f>O$5*'7.1. Nettoinvestointiennuste '!$Y66</f>
        <v>-1207.1560703069845</v>
      </c>
      <c r="P66" s="41">
        <f>P$5*'7.1. Nettoinvestointiennuste '!$Y66</f>
        <v>-1257.2719888029524</v>
      </c>
      <c r="T66" s="34">
        <v>171</v>
      </c>
      <c r="U66" s="88" t="s">
        <v>380</v>
      </c>
      <c r="V66" s="41">
        <f>C66/'1. Väestöennuste'!E66*1000</f>
        <v>-238.74755381604695</v>
      </c>
      <c r="W66" s="41">
        <f>D66/'1. Väestöennuste'!F66*1000</f>
        <v>-231.19666600515976</v>
      </c>
      <c r="X66" s="41">
        <f>E66/'1. Väestöennuste'!G66*1000</f>
        <v>-295.30201342281879</v>
      </c>
      <c r="Y66" s="41">
        <f>F66/'1. Väestöennuste'!H66*1000</f>
        <v>-1179.1354945968412</v>
      </c>
      <c r="Z66" s="41">
        <f>G66/'1. Väestöennuste'!I66*1000</f>
        <v>-1095.2380952380954</v>
      </c>
      <c r="AA66" s="41">
        <f>H66/'1. Väestöennuste'!J66*1000</f>
        <v>-163.78758797184901</v>
      </c>
      <c r="AB66" s="41">
        <f>I66/'1. Väestöennuste'!K66*1000</f>
        <v>-197.9789489619377</v>
      </c>
      <c r="AC66" s="41">
        <f>J66/'1. Väestöennuste'!L66*1000</f>
        <v>-347.89229955947138</v>
      </c>
      <c r="AD66" s="41">
        <f>K66/'1. Väestöennuste'!M66*1000</f>
        <v>-183.98040087145969</v>
      </c>
      <c r="AE66" s="41">
        <f>L66/'1. Väestöennuste'!N66*1000</f>
        <v>-243.21086792951709</v>
      </c>
      <c r="AF66" s="41">
        <f>M66/'1. Väestöennuste'!O66*1000</f>
        <v>-257.79332246875668</v>
      </c>
      <c r="AG66" s="41">
        <f>N66/'1. Väestöennuste'!P66*1000</f>
        <v>-271.21380205156555</v>
      </c>
      <c r="AH66" s="41">
        <f>O66/'1. Väestöennuste'!Q66*1000</f>
        <v>-287.76068422097364</v>
      </c>
      <c r="AI66" s="41">
        <f>P66/'1. Väestöennuste'!R66*1000</f>
        <v>-304.64550249647499</v>
      </c>
      <c r="AK66" s="34">
        <v>171</v>
      </c>
      <c r="AL66" s="88" t="s">
        <v>380</v>
      </c>
      <c r="AM66" s="41"/>
      <c r="AN66" s="41">
        <f t="shared" si="15"/>
        <v>7.5508878108871897</v>
      </c>
      <c r="AO66" s="41">
        <f t="shared" si="16"/>
        <v>-64.105347417659033</v>
      </c>
      <c r="AP66" s="41">
        <f t="shared" si="17"/>
        <v>-883.83348117402238</v>
      </c>
      <c r="AQ66" s="41">
        <f t="shared" si="18"/>
        <v>83.897399358745815</v>
      </c>
      <c r="AR66" s="41">
        <f t="shared" si="19"/>
        <v>931.4505072662464</v>
      </c>
      <c r="AS66" s="41">
        <f t="shared" si="20"/>
        <v>-34.191360990088697</v>
      </c>
      <c r="AT66" s="41">
        <f t="shared" si="21"/>
        <v>-149.91335059753368</v>
      </c>
      <c r="AU66" s="41">
        <f t="shared" si="22"/>
        <v>163.91189868801169</v>
      </c>
      <c r="AV66" s="41">
        <f t="shared" si="23"/>
        <v>-59.2304670580574</v>
      </c>
      <c r="AW66" s="41">
        <f t="shared" si="24"/>
        <v>-14.582454539239592</v>
      </c>
      <c r="AX66" s="41">
        <f t="shared" si="25"/>
        <v>-13.420479582808866</v>
      </c>
      <c r="AY66" s="41">
        <f t="shared" si="25"/>
        <v>-16.546882169408093</v>
      </c>
      <c r="AZ66" s="41">
        <f t="shared" si="25"/>
        <v>-16.884818275501345</v>
      </c>
    </row>
    <row r="67" spans="1:52" x14ac:dyDescent="0.2">
      <c r="A67" s="30">
        <v>172</v>
      </c>
      <c r="B67" s="31" t="s">
        <v>381</v>
      </c>
      <c r="C67" s="41">
        <v>-387</v>
      </c>
      <c r="D67" s="41">
        <v>-892</v>
      </c>
      <c r="E67" s="73">
        <v>-2076</v>
      </c>
      <c r="F67" s="73">
        <v>-642</v>
      </c>
      <c r="G67" s="73">
        <v>-1896</v>
      </c>
      <c r="H67" s="41">
        <v>-4181</v>
      </c>
      <c r="I67" s="165">
        <v>-2296.41941</v>
      </c>
      <c r="J67" s="41">
        <v>-2858.85718</v>
      </c>
      <c r="K67" s="41">
        <v>-786.14743999999996</v>
      </c>
      <c r="L67" s="41">
        <f>$L$5*'7.1. Nettoinvestointiennuste '!Y67</f>
        <v>-2417.2714337506272</v>
      </c>
      <c r="M67" s="41">
        <f>$M$5*'7.1. Nettoinvestointiennuste '!Y67</f>
        <v>-2520.871067262703</v>
      </c>
      <c r="N67" s="41">
        <f>$N$5*'7.1. Nettoinvestointiennuste '!Y67</f>
        <v>-2609.8430750286043</v>
      </c>
      <c r="O67" s="41">
        <f>O$5*'7.1. Nettoinvestointiennuste '!$Y67</f>
        <v>-2726.1798046720351</v>
      </c>
      <c r="P67" s="41">
        <f>P$5*'7.1. Nettoinvestointiennuste '!$Y67</f>
        <v>-2839.3590432617511</v>
      </c>
      <c r="T67" s="34">
        <v>172</v>
      </c>
      <c r="U67" s="88" t="s">
        <v>381</v>
      </c>
      <c r="V67" s="41">
        <f>C67/'1. Väestöennuste'!E67*1000</f>
        <v>-82.551194539249153</v>
      </c>
      <c r="W67" s="41">
        <f>D67/'1. Väestöennuste'!F67*1000</f>
        <v>-190.88380055638777</v>
      </c>
      <c r="X67" s="41">
        <f>E67/'1. Väestöennuste'!G67*1000</f>
        <v>-454.56536019268668</v>
      </c>
      <c r="Y67" s="41">
        <f>F67/'1. Väestöennuste'!H67*1000</f>
        <v>-143.72061786433849</v>
      </c>
      <c r="Z67" s="41">
        <f>G67/'1. Väestöennuste'!I67*1000</f>
        <v>-433.17340644276902</v>
      </c>
      <c r="AA67" s="41">
        <f>H67/'1. Väestöennuste'!J67*1000</f>
        <v>-973.00442168955078</v>
      </c>
      <c r="AB67" s="41">
        <f>I67/'1. Väestöennuste'!K67*1000</f>
        <v>-538.68623269997647</v>
      </c>
      <c r="AC67" s="41">
        <f>J67/'1. Väestöennuste'!L67*1000</f>
        <v>-685.41289379045793</v>
      </c>
      <c r="AD67" s="41">
        <f>K67/'1. Väestöennuste'!M67*1000</f>
        <v>-192.73043392988475</v>
      </c>
      <c r="AE67" s="41">
        <f>L67/'1. Väestöennuste'!N67*1000</f>
        <v>-600.71357697580197</v>
      </c>
      <c r="AF67" s="41">
        <f>M67/'1. Väestöennuste'!O67*1000</f>
        <v>-635.30016816096349</v>
      </c>
      <c r="AG67" s="41">
        <f>N67/'1. Väestöennuste'!P67*1000</f>
        <v>-667.47904732189363</v>
      </c>
      <c r="AH67" s="41">
        <f>O67/'1. Väestöennuste'!Q67*1000</f>
        <v>-706.44721551490932</v>
      </c>
      <c r="AI67" s="41">
        <f>P67/'1. Väestöennuste'!R67*1000</f>
        <v>-745.04304467639759</v>
      </c>
      <c r="AK67" s="34">
        <v>172</v>
      </c>
      <c r="AL67" s="88" t="s">
        <v>381</v>
      </c>
      <c r="AM67" s="41"/>
      <c r="AN67" s="41">
        <f t="shared" si="15"/>
        <v>-108.33260601713862</v>
      </c>
      <c r="AO67" s="41">
        <f t="shared" si="16"/>
        <v>-263.68155963629891</v>
      </c>
      <c r="AP67" s="41">
        <f t="shared" si="17"/>
        <v>310.84474232834816</v>
      </c>
      <c r="AQ67" s="41">
        <f t="shared" si="18"/>
        <v>-289.4527885784305</v>
      </c>
      <c r="AR67" s="41">
        <f t="shared" si="19"/>
        <v>-539.83101524678182</v>
      </c>
      <c r="AS67" s="41">
        <f t="shared" si="20"/>
        <v>434.31818898957431</v>
      </c>
      <c r="AT67" s="41">
        <f t="shared" si="21"/>
        <v>-146.72666109048146</v>
      </c>
      <c r="AU67" s="41">
        <f t="shared" si="22"/>
        <v>492.6824598605732</v>
      </c>
      <c r="AV67" s="41">
        <f t="shared" si="23"/>
        <v>-407.98314304591725</v>
      </c>
      <c r="AW67" s="41">
        <f t="shared" si="24"/>
        <v>-34.586591185161524</v>
      </c>
      <c r="AX67" s="41">
        <f t="shared" si="25"/>
        <v>-32.178879160930137</v>
      </c>
      <c r="AY67" s="41">
        <f t="shared" si="25"/>
        <v>-38.968168193015686</v>
      </c>
      <c r="AZ67" s="41">
        <f t="shared" si="25"/>
        <v>-38.595829161488268</v>
      </c>
    </row>
    <row r="68" spans="1:52" x14ac:dyDescent="0.2">
      <c r="A68" s="30">
        <v>176</v>
      </c>
      <c r="B68" s="31" t="s">
        <v>382</v>
      </c>
      <c r="C68" s="41">
        <v>-4089</v>
      </c>
      <c r="D68" s="41">
        <v>-1279</v>
      </c>
      <c r="E68" s="73">
        <v>-404</v>
      </c>
      <c r="F68" s="73">
        <v>-1150</v>
      </c>
      <c r="G68" s="73">
        <v>-1686</v>
      </c>
      <c r="H68" s="41">
        <v>-5257</v>
      </c>
      <c r="I68" s="165">
        <v>-7201.4327199999998</v>
      </c>
      <c r="J68" s="41">
        <v>-1212.45596</v>
      </c>
      <c r="K68" s="41">
        <v>-540.25466000000006</v>
      </c>
      <c r="L68" s="41">
        <f>$L$5*'7.1. Nettoinvestointiennuste '!Y68</f>
        <v>-2369.1818499584028</v>
      </c>
      <c r="M68" s="41">
        <f>$M$5*'7.1. Nettoinvestointiennuste '!Y68</f>
        <v>-2470.7204558229164</v>
      </c>
      <c r="N68" s="41">
        <f>$N$5*'7.1. Nettoinvestointiennuste '!Y68</f>
        <v>-2557.9224402629793</v>
      </c>
      <c r="O68" s="41">
        <f>O$5*'7.1. Nettoinvestointiennuste '!$Y68</f>
        <v>-2671.9447484350817</v>
      </c>
      <c r="P68" s="41">
        <f>P$5*'7.1. Nettoinvestointiennuste '!$Y68</f>
        <v>-2782.8723811845484</v>
      </c>
      <c r="T68" s="34">
        <v>176</v>
      </c>
      <c r="U68" s="88" t="s">
        <v>382</v>
      </c>
      <c r="V68" s="41">
        <f>C68/'1. Väestöennuste'!E68*1000</f>
        <v>-812.27651966626934</v>
      </c>
      <c r="W68" s="41">
        <f>D68/'1. Väestöennuste'!F68*1000</f>
        <v>-259.01174564601052</v>
      </c>
      <c r="X68" s="41">
        <f>E68/'1. Väestöennuste'!G68*1000</f>
        <v>-83.869628399418716</v>
      </c>
      <c r="Y68" s="41">
        <f>F68/'1. Väestöennuste'!H68*1000</f>
        <v>-244.21320874920366</v>
      </c>
      <c r="Z68" s="41">
        <f>G68/'1. Väestöennuste'!I68*1000</f>
        <v>-366.04429005644812</v>
      </c>
      <c r="AA68" s="41">
        <f>H68/'1. Väestöennuste'!J68*1000</f>
        <v>-1161.254694057875</v>
      </c>
      <c r="AB68" s="41">
        <f>I68/'1. Väestöennuste'!K68*1000</f>
        <v>-1620.484410441044</v>
      </c>
      <c r="AC68" s="41">
        <f>J68/'1. Väestöennuste'!L68*1000</f>
        <v>-278.59741727941179</v>
      </c>
      <c r="AD68" s="41">
        <f>K68/'1. Väestöennuste'!M68*1000</f>
        <v>-126.85011974641935</v>
      </c>
      <c r="AE68" s="41">
        <f>L68/'1. Väestöennuste'!N68*1000</f>
        <v>-568.28540416368503</v>
      </c>
      <c r="AF68" s="41">
        <f>M68/'1. Väestöennuste'!O68*1000</f>
        <v>-604.67950460668544</v>
      </c>
      <c r="AG68" s="41">
        <f>N68/'1. Väestöennuste'!P68*1000</f>
        <v>-638.6822572441896</v>
      </c>
      <c r="AH68" s="41">
        <f>O68/'1. Väestöennuste'!Q68*1000</f>
        <v>-679.19286945477415</v>
      </c>
      <c r="AI68" s="41">
        <f>P68/'1. Väestöennuste'!R68*1000</f>
        <v>-720.01872734399694</v>
      </c>
      <c r="AK68" s="34">
        <v>176</v>
      </c>
      <c r="AL68" s="88" t="s">
        <v>382</v>
      </c>
      <c r="AM68" s="41"/>
      <c r="AN68" s="41">
        <f t="shared" si="15"/>
        <v>553.26477402025876</v>
      </c>
      <c r="AO68" s="41">
        <f t="shared" si="16"/>
        <v>175.14211724659179</v>
      </c>
      <c r="AP68" s="41">
        <f t="shared" si="17"/>
        <v>-160.34358034978493</v>
      </c>
      <c r="AQ68" s="41">
        <f t="shared" si="18"/>
        <v>-121.83108130724446</v>
      </c>
      <c r="AR68" s="41">
        <f t="shared" si="19"/>
        <v>-795.21040400142692</v>
      </c>
      <c r="AS68" s="41">
        <f t="shared" si="20"/>
        <v>-459.22971638316903</v>
      </c>
      <c r="AT68" s="41">
        <f t="shared" si="21"/>
        <v>1341.8869931616323</v>
      </c>
      <c r="AU68" s="41">
        <f t="shared" si="22"/>
        <v>151.74729753299243</v>
      </c>
      <c r="AV68" s="41">
        <f t="shared" si="23"/>
        <v>-441.43528441726568</v>
      </c>
      <c r="AW68" s="41">
        <f t="shared" si="24"/>
        <v>-36.394100443000411</v>
      </c>
      <c r="AX68" s="41">
        <f t="shared" si="25"/>
        <v>-34.002752637504159</v>
      </c>
      <c r="AY68" s="41">
        <f t="shared" si="25"/>
        <v>-40.510612210584554</v>
      </c>
      <c r="AZ68" s="41">
        <f t="shared" si="25"/>
        <v>-40.825857889222789</v>
      </c>
    </row>
    <row r="69" spans="1:52" x14ac:dyDescent="0.2">
      <c r="A69" s="30">
        <v>177</v>
      </c>
      <c r="B69" s="31" t="s">
        <v>383</v>
      </c>
      <c r="C69" s="41">
        <v>-371</v>
      </c>
      <c r="D69" s="41">
        <v>-474</v>
      </c>
      <c r="E69" s="73">
        <v>-750</v>
      </c>
      <c r="F69" s="73">
        <v>-339</v>
      </c>
      <c r="G69" s="73">
        <v>-711</v>
      </c>
      <c r="H69" s="41">
        <v>-193</v>
      </c>
      <c r="I69" s="165">
        <v>-374.39107999999999</v>
      </c>
      <c r="J69" s="41">
        <v>-198.56062</v>
      </c>
      <c r="K69" s="41">
        <v>-236.00807999999998</v>
      </c>
      <c r="L69" s="41">
        <f>$L$5*'7.1. Nettoinvestointiennuste '!Y69</f>
        <v>-285.82760504856032</v>
      </c>
      <c r="M69" s="41">
        <f>$M$5*'7.1. Nettoinvestointiennuste '!Y69</f>
        <v>-298.07762989774324</v>
      </c>
      <c r="N69" s="41">
        <f>$N$5*'7.1. Nettoinvestointiennuste '!Y69</f>
        <v>-308.59802721060578</v>
      </c>
      <c r="O69" s="41">
        <f>O$5*'7.1. Nettoinvestointiennuste '!$Y69</f>
        <v>-322.35413599875687</v>
      </c>
      <c r="P69" s="41">
        <f>P$5*'7.1. Nettoinvestointiennuste '!$Y69</f>
        <v>-335.73689072610841</v>
      </c>
      <c r="T69" s="34">
        <v>177</v>
      </c>
      <c r="U69" s="88" t="s">
        <v>383</v>
      </c>
      <c r="V69" s="41">
        <f>C69/'1. Väestöennuste'!E69*1000</f>
        <v>-186.61971830985917</v>
      </c>
      <c r="W69" s="41">
        <f>D69/'1. Väestöennuste'!F69*1000</f>
        <v>-242.20746039856925</v>
      </c>
      <c r="X69" s="41">
        <f>E69/'1. Väestöennuste'!G69*1000</f>
        <v>-393.9075630252101</v>
      </c>
      <c r="Y69" s="41">
        <f>F69/'1. Väestöennuste'!H69*1000</f>
        <v>-179.93630573248407</v>
      </c>
      <c r="Z69" s="41">
        <f>G69/'1. Väestöennuste'!I69*1000</f>
        <v>-385.57483731019522</v>
      </c>
      <c r="AA69" s="41">
        <f>H69/'1. Väestöennuste'!J69*1000</f>
        <v>-107.22222222222221</v>
      </c>
      <c r="AB69" s="41">
        <f>I69/'1. Väestöennuste'!K69*1000</f>
        <v>-209.62546472564389</v>
      </c>
      <c r="AC69" s="41">
        <f>J69/'1. Väestöennuste'!L69*1000</f>
        <v>-112.30804298642533</v>
      </c>
      <c r="AD69" s="41">
        <f>K69/'1. Väestöennuste'!M69*1000</f>
        <v>-138.17803278688524</v>
      </c>
      <c r="AE69" s="41">
        <f>L69/'1. Väestöennuste'!N69*1000</f>
        <v>-170.74528378050201</v>
      </c>
      <c r="AF69" s="41">
        <f>M69/'1. Väestöennuste'!O69*1000</f>
        <v>-180.98216751532681</v>
      </c>
      <c r="AG69" s="41">
        <f>N69/'1. Väestöennuste'!P69*1000</f>
        <v>-190.25772331110096</v>
      </c>
      <c r="AH69" s="41">
        <f>O69/'1. Väestöennuste'!Q69*1000</f>
        <v>-201.47133499922305</v>
      </c>
      <c r="AI69" s="41">
        <f>P69/'1. Väestöennuste'!R69*1000</f>
        <v>-212.76102073897871</v>
      </c>
      <c r="AK69" s="34">
        <v>177</v>
      </c>
      <c r="AL69" s="88" t="s">
        <v>383</v>
      </c>
      <c r="AM69" s="41"/>
      <c r="AN69" s="41">
        <f t="shared" si="15"/>
        <v>-55.587742088710087</v>
      </c>
      <c r="AO69" s="41">
        <f t="shared" si="16"/>
        <v>-151.70010262664084</v>
      </c>
      <c r="AP69" s="41">
        <f t="shared" si="17"/>
        <v>213.97125729272602</v>
      </c>
      <c r="AQ69" s="41">
        <f t="shared" si="18"/>
        <v>-205.63853157771115</v>
      </c>
      <c r="AR69" s="41">
        <f t="shared" si="19"/>
        <v>278.35261508797299</v>
      </c>
      <c r="AS69" s="41">
        <f t="shared" si="20"/>
        <v>-102.40324250342168</v>
      </c>
      <c r="AT69" s="41">
        <f t="shared" si="21"/>
        <v>97.31742173921856</v>
      </c>
      <c r="AU69" s="41">
        <f t="shared" si="22"/>
        <v>-25.869989800459905</v>
      </c>
      <c r="AV69" s="41">
        <f t="shared" si="23"/>
        <v>-32.567250993616767</v>
      </c>
      <c r="AW69" s="41">
        <f t="shared" si="24"/>
        <v>-10.236883734824801</v>
      </c>
      <c r="AX69" s="41">
        <f t="shared" si="25"/>
        <v>-9.275555795774153</v>
      </c>
      <c r="AY69" s="41">
        <f t="shared" si="25"/>
        <v>-11.213611688122086</v>
      </c>
      <c r="AZ69" s="41">
        <f t="shared" si="25"/>
        <v>-11.289685739755669</v>
      </c>
    </row>
    <row r="70" spans="1:52" x14ac:dyDescent="0.2">
      <c r="A70" s="30">
        <v>178</v>
      </c>
      <c r="B70" s="31" t="s">
        <v>384</v>
      </c>
      <c r="C70" s="41">
        <v>-3305</v>
      </c>
      <c r="D70" s="41">
        <v>-2703</v>
      </c>
      <c r="E70" s="73">
        <v>-3155</v>
      </c>
      <c r="F70" s="73">
        <v>-3838</v>
      </c>
      <c r="G70" s="73">
        <v>-2848</v>
      </c>
      <c r="H70" s="41">
        <v>-3711</v>
      </c>
      <c r="I70" s="165">
        <v>-2217.8260599999999</v>
      </c>
      <c r="J70" s="41">
        <v>-1404.95778</v>
      </c>
      <c r="K70" s="41">
        <v>-1480.9571000000001</v>
      </c>
      <c r="L70" s="41">
        <f>$L$5*'7.1. Nettoinvestointiennuste '!Y70</f>
        <v>-2724.6808561654325</v>
      </c>
      <c r="M70" s="41">
        <f>$M$5*'7.1. Nettoinvestointiennuste '!Y70</f>
        <v>-2841.4554699696132</v>
      </c>
      <c r="N70" s="41">
        <f>$N$5*'7.1. Nettoinvestointiennuste '!Y70</f>
        <v>-2941.7422325191606</v>
      </c>
      <c r="O70" s="41">
        <f>O$5*'7.1. Nettoinvestointiennuste '!$Y70</f>
        <v>-3072.8737453904828</v>
      </c>
      <c r="P70" s="41">
        <f>P$5*'7.1. Nettoinvestointiennuste '!$Y70</f>
        <v>-3200.4462225211546</v>
      </c>
      <c r="T70" s="34">
        <v>178</v>
      </c>
      <c r="U70" s="88" t="s">
        <v>384</v>
      </c>
      <c r="V70" s="41">
        <f>C70/'1. Väestöennuste'!E70*1000</f>
        <v>-504.73427000610872</v>
      </c>
      <c r="W70" s="41">
        <f>D70/'1. Väestöennuste'!F70*1000</f>
        <v>-420.96246690546644</v>
      </c>
      <c r="X70" s="41">
        <f>E70/'1. Väestöennuste'!G70*1000</f>
        <v>-498.10546258288599</v>
      </c>
      <c r="Y70" s="41">
        <f>F70/'1. Väestöennuste'!H70*1000</f>
        <v>-616.54618473895584</v>
      </c>
      <c r="Z70" s="41">
        <f>G70/'1. Väestöennuste'!I70*1000</f>
        <v>-465.66383257030742</v>
      </c>
      <c r="AA70" s="41">
        <f>H70/'1. Väestöennuste'!J70*1000</f>
        <v>-625.59002022926506</v>
      </c>
      <c r="AB70" s="41">
        <f>I70/'1. Väestöennuste'!K70*1000</f>
        <v>-376.73281127908945</v>
      </c>
      <c r="AC70" s="41">
        <f>J70/'1. Väestöennuste'!L70*1000</f>
        <v>-243.53575663026518</v>
      </c>
      <c r="AD70" s="41">
        <f>K70/'1. Väestöennuste'!M70*1000</f>
        <v>-258.27643878618767</v>
      </c>
      <c r="AE70" s="41">
        <f>L70/'1. Väestöennuste'!N70*1000</f>
        <v>-493.42282799084251</v>
      </c>
      <c r="AF70" s="41">
        <f>M70/'1. Väestöennuste'!O70*1000</f>
        <v>-522.99935026129447</v>
      </c>
      <c r="AG70" s="41">
        <f>N70/'1. Väestöennuste'!P70*1000</f>
        <v>-550.16686600320941</v>
      </c>
      <c r="AH70" s="41">
        <f>O70/'1. Väestöennuste'!Q70*1000</f>
        <v>-583.19866111035924</v>
      </c>
      <c r="AI70" s="41">
        <f>P70/'1. Väestöennuste'!R70*1000</f>
        <v>-616.30006210690431</v>
      </c>
      <c r="AK70" s="34">
        <v>178</v>
      </c>
      <c r="AL70" s="88" t="s">
        <v>384</v>
      </c>
      <c r="AM70" s="41"/>
      <c r="AN70" s="41">
        <f t="shared" si="15"/>
        <v>83.771803100642273</v>
      </c>
      <c r="AO70" s="41">
        <f t="shared" si="16"/>
        <v>-77.142995677419549</v>
      </c>
      <c r="AP70" s="41">
        <f t="shared" si="17"/>
        <v>-118.44072215606985</v>
      </c>
      <c r="AQ70" s="41">
        <f t="shared" si="18"/>
        <v>150.88235216864842</v>
      </c>
      <c r="AR70" s="41">
        <f t="shared" si="19"/>
        <v>-159.92618765895764</v>
      </c>
      <c r="AS70" s="41">
        <f t="shared" si="20"/>
        <v>248.85720895017562</v>
      </c>
      <c r="AT70" s="41">
        <f t="shared" si="21"/>
        <v>133.19705464882426</v>
      </c>
      <c r="AU70" s="41">
        <f t="shared" si="22"/>
        <v>-14.740682155922485</v>
      </c>
      <c r="AV70" s="41">
        <f t="shared" si="23"/>
        <v>-235.14638920465484</v>
      </c>
      <c r="AW70" s="41">
        <f t="shared" si="24"/>
        <v>-29.57652227045196</v>
      </c>
      <c r="AX70" s="41">
        <f t="shared" si="25"/>
        <v>-27.16751574191494</v>
      </c>
      <c r="AY70" s="41">
        <f t="shared" si="25"/>
        <v>-33.031795107149833</v>
      </c>
      <c r="AZ70" s="41">
        <f t="shared" si="25"/>
        <v>-33.101400996545067</v>
      </c>
    </row>
    <row r="71" spans="1:52" x14ac:dyDescent="0.2">
      <c r="A71" s="30">
        <v>179</v>
      </c>
      <c r="B71" s="31" t="s">
        <v>385</v>
      </c>
      <c r="C71" s="41">
        <v>-90074</v>
      </c>
      <c r="D71" s="41">
        <v>-24892</v>
      </c>
      <c r="E71" s="73">
        <v>-27922</v>
      </c>
      <c r="F71" s="73">
        <v>-47409</v>
      </c>
      <c r="G71" s="73">
        <v>-55153</v>
      </c>
      <c r="H71" s="41">
        <v>-54099</v>
      </c>
      <c r="I71" s="165">
        <v>37845.69371</v>
      </c>
      <c r="J71" s="41">
        <v>16903.147550000002</v>
      </c>
      <c r="K71" s="41">
        <v>-64801.004689999994</v>
      </c>
      <c r="L71" s="41">
        <f>$L$5*'7.1. Nettoinvestointiennuste '!Y71</f>
        <v>-54046.659348885856</v>
      </c>
      <c r="M71" s="41">
        <f>$M$5*'7.1. Nettoinvestointiennuste '!Y71</f>
        <v>-56362.995869029503</v>
      </c>
      <c r="N71" s="41">
        <f>$N$5*'7.1. Nettoinvestointiennuste '!Y71</f>
        <v>-58352.280038018762</v>
      </c>
      <c r="O71" s="41">
        <f>O$5*'7.1. Nettoinvestointiennuste '!$Y71</f>
        <v>-60953.399427845041</v>
      </c>
      <c r="P71" s="41">
        <f>P$5*'7.1. Nettoinvestointiennuste '!$Y71</f>
        <v>-63483.921928553042</v>
      </c>
      <c r="T71" s="34">
        <v>179</v>
      </c>
      <c r="U71" s="88" t="s">
        <v>385</v>
      </c>
      <c r="V71" s="41">
        <f>C71/'1. Väestöennuste'!E71*1000</f>
        <v>-655.7131209597577</v>
      </c>
      <c r="W71" s="41">
        <f>D71/'1. Väestöennuste'!F71*1000</f>
        <v>-179.27259632697155</v>
      </c>
      <c r="X71" s="41">
        <f>E71/'1. Väestöennuste'!G71*1000</f>
        <v>-199.17539304362714</v>
      </c>
      <c r="Y71" s="41">
        <f>F71/'1. Väestöennuste'!H71*1000</f>
        <v>-335.50829765401079</v>
      </c>
      <c r="Z71" s="41">
        <f>G71/'1. Väestöennuste'!I71*1000</f>
        <v>-387.31039325842698</v>
      </c>
      <c r="AA71" s="41">
        <f>H71/'1. Väestöennuste'!J71*1000</f>
        <v>-377.20680518756097</v>
      </c>
      <c r="AB71" s="41">
        <f>I71/'1. Väestöennuste'!K71*1000</f>
        <v>261.95686190499265</v>
      </c>
      <c r="AC71" s="41">
        <f>J71/'1. Väestöennuste'!L71*1000</f>
        <v>115.86465929109517</v>
      </c>
      <c r="AD71" s="41">
        <f>K71/'1. Väestöennuste'!M71*1000</f>
        <v>-438.59735417540912</v>
      </c>
      <c r="AE71" s="41">
        <f>L71/'1. Väestöennuste'!N71*1000</f>
        <v>-366.25166432119551</v>
      </c>
      <c r="AF71" s="41">
        <f>M71/'1. Väestöennuste'!O71*1000</f>
        <v>-379.7968765390828</v>
      </c>
      <c r="AG71" s="41">
        <f>N71/'1. Väestöennuste'!P71*1000</f>
        <v>-391.16661664500594</v>
      </c>
      <c r="AH71" s="41">
        <f>O71/'1. Väestöennuste'!Q71*1000</f>
        <v>-406.63793181836098</v>
      </c>
      <c r="AI71" s="41">
        <f>P71/'1. Väestöennuste'!R71*1000</f>
        <v>-421.63237580979256</v>
      </c>
      <c r="AK71" s="34">
        <v>179</v>
      </c>
      <c r="AL71" s="88" t="s">
        <v>385</v>
      </c>
      <c r="AM71" s="41"/>
      <c r="AN71" s="41">
        <f t="shared" si="15"/>
        <v>476.44052463278615</v>
      </c>
      <c r="AO71" s="41">
        <f t="shared" si="16"/>
        <v>-19.902796716655587</v>
      </c>
      <c r="AP71" s="41">
        <f t="shared" si="17"/>
        <v>-136.33290461038365</v>
      </c>
      <c r="AQ71" s="41">
        <f t="shared" si="18"/>
        <v>-51.802095604416195</v>
      </c>
      <c r="AR71" s="41">
        <f t="shared" si="19"/>
        <v>10.10358807086601</v>
      </c>
      <c r="AS71" s="41">
        <f t="shared" si="20"/>
        <v>639.16366709255362</v>
      </c>
      <c r="AT71" s="41">
        <f t="shared" si="21"/>
        <v>-146.09220261389748</v>
      </c>
      <c r="AU71" s="41">
        <f t="shared" si="22"/>
        <v>-554.46201346650423</v>
      </c>
      <c r="AV71" s="41">
        <f t="shared" si="23"/>
        <v>72.345689854213617</v>
      </c>
      <c r="AW71" s="41">
        <f t="shared" si="24"/>
        <v>-13.545212217887297</v>
      </c>
      <c r="AX71" s="41">
        <f t="shared" si="25"/>
        <v>-11.369740105923142</v>
      </c>
      <c r="AY71" s="41">
        <f t="shared" si="25"/>
        <v>-15.471315173355038</v>
      </c>
      <c r="AZ71" s="41">
        <f t="shared" si="25"/>
        <v>-14.994443991431581</v>
      </c>
    </row>
    <row r="72" spans="1:52" x14ac:dyDescent="0.2">
      <c r="A72" s="30">
        <v>181</v>
      </c>
      <c r="B72" s="31" t="s">
        <v>386</v>
      </c>
      <c r="C72" s="41">
        <v>-359</v>
      </c>
      <c r="D72" s="41">
        <v>-318</v>
      </c>
      <c r="E72" s="73">
        <v>-142</v>
      </c>
      <c r="F72" s="73">
        <v>268</v>
      </c>
      <c r="G72" s="73">
        <v>386</v>
      </c>
      <c r="H72" s="41">
        <v>-230</v>
      </c>
      <c r="I72" s="165">
        <v>-5156.1599800000004</v>
      </c>
      <c r="J72" s="41">
        <v>-4907.3681699999997</v>
      </c>
      <c r="K72" s="41">
        <v>20.329459999999997</v>
      </c>
      <c r="L72" s="41">
        <f>$L$5*'7.1. Nettoinvestointiennuste '!Y72</f>
        <v>-2312.9924951079256</v>
      </c>
      <c r="M72" s="41">
        <f>$M$5*'7.1. Nettoinvestointiennuste '!Y72</f>
        <v>-2412.1229326184375</v>
      </c>
      <c r="N72" s="41">
        <f>$N$5*'7.1. Nettoinvestointiennuste '!Y72</f>
        <v>-2497.2567671410707</v>
      </c>
      <c r="O72" s="41">
        <f>O$5*'7.1. Nettoinvestointiennuste '!$Y72</f>
        <v>-2608.5748337899377</v>
      </c>
      <c r="P72" s="41">
        <f>P$5*'7.1. Nettoinvestointiennuste '!$Y72</f>
        <v>-2716.8716207394532</v>
      </c>
      <c r="T72" s="34">
        <v>181</v>
      </c>
      <c r="U72" s="88" t="s">
        <v>386</v>
      </c>
      <c r="V72" s="41">
        <f>C72/'1. Väestöennuste'!E72*1000</f>
        <v>-184.29158110882958</v>
      </c>
      <c r="W72" s="41">
        <f>D72/'1. Väestöennuste'!F72*1000</f>
        <v>-166.0574412532637</v>
      </c>
      <c r="X72" s="41">
        <f>E72/'1. Väestöennuste'!G72*1000</f>
        <v>-76.057846813069091</v>
      </c>
      <c r="Y72" s="41">
        <f>F72/'1. Väestöennuste'!H72*1000</f>
        <v>148.14814814814815</v>
      </c>
      <c r="Z72" s="41">
        <f>G72/'1. Väestöennuste'!I72*1000</f>
        <v>221.96664749856239</v>
      </c>
      <c r="AA72" s="41">
        <f>H72/'1. Väestöennuste'!J72*1000</f>
        <v>-134.73930872876392</v>
      </c>
      <c r="AB72" s="41">
        <f>I72/'1. Väestöennuste'!K72*1000</f>
        <v>-3060.0355964391692</v>
      </c>
      <c r="AC72" s="41">
        <f>J72/'1. Väestöennuste'!L72*1000</f>
        <v>-2915.8456149732615</v>
      </c>
      <c r="AD72" s="41">
        <f>K72/'1. Väestöennuste'!M72*1000</f>
        <v>12.086480380499404</v>
      </c>
      <c r="AE72" s="41">
        <f>L72/'1. Väestöennuste'!N72*1000</f>
        <v>-1478.8954572301313</v>
      </c>
      <c r="AF72" s="41">
        <f>M72/'1. Väestöennuste'!O72*1000</f>
        <v>-1571.4155912823696</v>
      </c>
      <c r="AG72" s="41">
        <f>N72/'1. Väestöennuste'!P72*1000</f>
        <v>-1657.1046895428472</v>
      </c>
      <c r="AH72" s="41">
        <f>O72/'1. Väestöennuste'!Q72*1000</f>
        <v>-1764.9356114952218</v>
      </c>
      <c r="AI72" s="41">
        <f>P72/'1. Väestöennuste'!R72*1000</f>
        <v>-1869.8359399445651</v>
      </c>
      <c r="AK72" s="34">
        <v>181</v>
      </c>
      <c r="AL72" s="88" t="s">
        <v>386</v>
      </c>
      <c r="AM72" s="41"/>
      <c r="AN72" s="41">
        <f t="shared" si="15"/>
        <v>18.234139855565871</v>
      </c>
      <c r="AO72" s="41">
        <f t="shared" si="16"/>
        <v>89.999594440194613</v>
      </c>
      <c r="AP72" s="41">
        <f t="shared" si="17"/>
        <v>224.20599496121724</v>
      </c>
      <c r="AQ72" s="41">
        <f t="shared" si="18"/>
        <v>73.818499350414243</v>
      </c>
      <c r="AR72" s="41">
        <f t="shared" si="19"/>
        <v>-356.70595622732628</v>
      </c>
      <c r="AS72" s="41">
        <f t="shared" si="20"/>
        <v>-2925.2962877104055</v>
      </c>
      <c r="AT72" s="41">
        <f t="shared" si="21"/>
        <v>144.18998146590775</v>
      </c>
      <c r="AU72" s="41">
        <f t="shared" si="22"/>
        <v>2927.9320953537608</v>
      </c>
      <c r="AV72" s="41">
        <f t="shared" si="23"/>
        <v>-1490.9819376106307</v>
      </c>
      <c r="AW72" s="41">
        <f t="shared" si="24"/>
        <v>-92.520134052238291</v>
      </c>
      <c r="AX72" s="41">
        <f t="shared" si="25"/>
        <v>-85.689098260477522</v>
      </c>
      <c r="AY72" s="41">
        <f t="shared" si="25"/>
        <v>-107.83092195237464</v>
      </c>
      <c r="AZ72" s="41">
        <f t="shared" si="25"/>
        <v>-104.90032844934331</v>
      </c>
    </row>
    <row r="73" spans="1:52" x14ac:dyDescent="0.2">
      <c r="A73" s="30">
        <v>182</v>
      </c>
      <c r="B73" s="31" t="s">
        <v>387</v>
      </c>
      <c r="C73" s="41">
        <v>-7127</v>
      </c>
      <c r="D73" s="41">
        <v>-8741</v>
      </c>
      <c r="E73" s="73">
        <v>-7039</v>
      </c>
      <c r="F73" s="73">
        <v>-1531</v>
      </c>
      <c r="G73" s="73">
        <v>-7093</v>
      </c>
      <c r="H73" s="41">
        <v>-7620</v>
      </c>
      <c r="I73" s="165">
        <v>-6148.7092199999997</v>
      </c>
      <c r="J73" s="41">
        <v>-4017.4436600000004</v>
      </c>
      <c r="K73" s="41">
        <v>-1875.7083400000001</v>
      </c>
      <c r="L73" s="41">
        <f>$L$5*'7.1. Nettoinvestointiennuste '!Y73</f>
        <v>-5625.0370112688406</v>
      </c>
      <c r="M73" s="41">
        <f>$M$5*'7.1. Nettoinvestointiennuste '!Y73</f>
        <v>-5866.1153464209337</v>
      </c>
      <c r="N73" s="41">
        <f>$N$5*'7.1. Nettoinvestointiennuste '!Y73</f>
        <v>-6073.154915772715</v>
      </c>
      <c r="O73" s="41">
        <f>O$5*'7.1. Nettoinvestointiennuste '!$Y73</f>
        <v>-6343.872718034133</v>
      </c>
      <c r="P73" s="41">
        <f>P$5*'7.1. Nettoinvestointiennuste '!$Y73</f>
        <v>-6607.2429780245775</v>
      </c>
      <c r="T73" s="34">
        <v>182</v>
      </c>
      <c r="U73" s="88" t="s">
        <v>387</v>
      </c>
      <c r="V73" s="41">
        <f>C73/'1. Väestöennuste'!E73*1000</f>
        <v>-330.84207594466625</v>
      </c>
      <c r="W73" s="41">
        <f>D73/'1. Väestöennuste'!F73*1000</f>
        <v>-411.16703513805919</v>
      </c>
      <c r="X73" s="41">
        <f>E73/'1. Väestöennuste'!G73*1000</f>
        <v>-337.16530152799731</v>
      </c>
      <c r="Y73" s="41">
        <f>F73/'1. Väestöennuste'!H73*1000</f>
        <v>-74.295142427330518</v>
      </c>
      <c r="Z73" s="41">
        <f>G73/'1. Väestöennuste'!I73*1000</f>
        <v>-351.45178872262409</v>
      </c>
      <c r="AA73" s="41">
        <f>H73/'1. Väestöennuste'!J73*1000</f>
        <v>-383.16488158093227</v>
      </c>
      <c r="AB73" s="41">
        <f>I73/'1. Väestöennuste'!K73*1000</f>
        <v>-311.05930186674755</v>
      </c>
      <c r="AC73" s="41">
        <f>J73/'1. Väestöennuste'!L73*1000</f>
        <v>-207.65202150204169</v>
      </c>
      <c r="AD73" s="41">
        <f>K73/'1. Väestöennuste'!M73*1000</f>
        <v>-97.784815973308326</v>
      </c>
      <c r="AE73" s="41">
        <f>L73/'1. Väestöennuste'!N73*1000</f>
        <v>-301.99919527911737</v>
      </c>
      <c r="AF73" s="41">
        <f>M73/'1. Väestöennuste'!O73*1000</f>
        <v>-319.47039246383474</v>
      </c>
      <c r="AG73" s="41">
        <f>N73/'1. Väestöennuste'!P73*1000</f>
        <v>-335.45928611205892</v>
      </c>
      <c r="AH73" s="41">
        <f>O73/'1. Väestöennuste'!Q73*1000</f>
        <v>-355.2199293372604</v>
      </c>
      <c r="AI73" s="41">
        <f>P73/'1. Väestöennuste'!R73*1000</f>
        <v>-375.00669606814108</v>
      </c>
      <c r="AK73" s="34">
        <v>182</v>
      </c>
      <c r="AL73" s="88" t="s">
        <v>387</v>
      </c>
      <c r="AM73" s="41"/>
      <c r="AN73" s="41">
        <f t="shared" si="15"/>
        <v>-80.324959193392942</v>
      </c>
      <c r="AO73" s="41">
        <f t="shared" si="16"/>
        <v>74.001733610061876</v>
      </c>
      <c r="AP73" s="41">
        <f t="shared" si="17"/>
        <v>262.8701591006668</v>
      </c>
      <c r="AQ73" s="41">
        <f t="shared" si="18"/>
        <v>-277.15664629529357</v>
      </c>
      <c r="AR73" s="41">
        <f t="shared" si="19"/>
        <v>-31.713092858308187</v>
      </c>
      <c r="AS73" s="41">
        <f t="shared" si="20"/>
        <v>72.105579714184728</v>
      </c>
      <c r="AT73" s="41">
        <f t="shared" si="21"/>
        <v>103.40728036470585</v>
      </c>
      <c r="AU73" s="41">
        <f t="shared" si="22"/>
        <v>109.86720552873336</v>
      </c>
      <c r="AV73" s="41">
        <f t="shared" si="23"/>
        <v>-204.21437930580905</v>
      </c>
      <c r="AW73" s="41">
        <f t="shared" si="24"/>
        <v>-17.471197184717369</v>
      </c>
      <c r="AX73" s="41">
        <f t="shared" si="25"/>
        <v>-15.988893648224177</v>
      </c>
      <c r="AY73" s="41">
        <f t="shared" si="25"/>
        <v>-19.760643225201477</v>
      </c>
      <c r="AZ73" s="41">
        <f t="shared" si="25"/>
        <v>-19.786766730880686</v>
      </c>
    </row>
    <row r="74" spans="1:52" x14ac:dyDescent="0.2">
      <c r="A74" s="30">
        <v>186</v>
      </c>
      <c r="B74" s="31" t="s">
        <v>388</v>
      </c>
      <c r="C74" s="41">
        <v>-12719</v>
      </c>
      <c r="D74" s="41">
        <v>-11253</v>
      </c>
      <c r="E74" s="73">
        <v>-14971</v>
      </c>
      <c r="F74" s="73">
        <v>-55982</v>
      </c>
      <c r="G74" s="73">
        <v>-42695</v>
      </c>
      <c r="H74" s="41">
        <v>-26321</v>
      </c>
      <c r="I74" s="165">
        <v>-21190.692070000001</v>
      </c>
      <c r="J74" s="41">
        <v>-41194.878159999993</v>
      </c>
      <c r="K74" s="41">
        <v>-25155.88521</v>
      </c>
      <c r="L74" s="41">
        <f>$L$5*'7.1. Nettoinvestointiennuste '!Y74</f>
        <v>-34724.991929838601</v>
      </c>
      <c r="M74" s="41">
        <f>$M$5*'7.1. Nettoinvestointiennuste '!Y74</f>
        <v>-36213.238713965453</v>
      </c>
      <c r="N74" s="41">
        <f>$N$5*'7.1. Nettoinvestointiennuste '!Y74</f>
        <v>-37491.35428200438</v>
      </c>
      <c r="O74" s="41">
        <f>O$5*'7.1. Nettoinvestointiennuste '!$Y74</f>
        <v>-39162.574129973138</v>
      </c>
      <c r="P74" s="41">
        <f>P$5*'7.1. Nettoinvestointiennuste '!$Y74</f>
        <v>-40788.435459313034</v>
      </c>
      <c r="T74" s="34">
        <v>186</v>
      </c>
      <c r="U74" s="88" t="s">
        <v>388</v>
      </c>
      <c r="V74" s="41">
        <f>C74/'1. Väestöennuste'!E74*1000</f>
        <v>-310.97799511002444</v>
      </c>
      <c r="W74" s="41">
        <f>D74/'1. Väestöennuste'!F74*1000</f>
        <v>-270.96727587950585</v>
      </c>
      <c r="X74" s="41">
        <f>E74/'1. Väestöennuste'!G74*1000</f>
        <v>-351.66306492530305</v>
      </c>
      <c r="Y74" s="41">
        <f>F74/'1. Väestöennuste'!H74*1000</f>
        <v>-1289.6106887813867</v>
      </c>
      <c r="Z74" s="41">
        <f>G74/'1. Väestöennuste'!I74*1000</f>
        <v>-976.75642286838547</v>
      </c>
      <c r="AA74" s="41">
        <f>H74/'1. Väestöennuste'!J74*1000</f>
        <v>-592.08188055336848</v>
      </c>
      <c r="AB74" s="41">
        <f>I74/'1. Väestöennuste'!K74*1000</f>
        <v>-468.55110047317913</v>
      </c>
      <c r="AC74" s="41">
        <f>J74/'1. Väestöennuste'!L74*1000</f>
        <v>-902.80250186280944</v>
      </c>
      <c r="AD74" s="41">
        <f>K74/'1. Väestöennuste'!M74*1000</f>
        <v>-541.10314497741456</v>
      </c>
      <c r="AE74" s="41">
        <f>L74/'1. Väestöennuste'!N74*1000</f>
        <v>-736.32298409326984</v>
      </c>
      <c r="AF74" s="41">
        <f>M74/'1. Väestöennuste'!O74*1000</f>
        <v>-758.1542701552487</v>
      </c>
      <c r="AG74" s="41">
        <f>N74/'1. Väestöennuste'!P74*1000</f>
        <v>-775.57621601167523</v>
      </c>
      <c r="AH74" s="41">
        <f>O74/'1. Väestöennuste'!Q74*1000</f>
        <v>-801.00167982437085</v>
      </c>
      <c r="AI74" s="41">
        <f>P74/'1. Väestöennuste'!R74*1000</f>
        <v>-825.44289997395549</v>
      </c>
      <c r="AK74" s="34">
        <v>186</v>
      </c>
      <c r="AL74" s="88" t="s">
        <v>388</v>
      </c>
      <c r="AM74" s="41"/>
      <c r="AN74" s="41">
        <f t="shared" si="15"/>
        <v>40.010719230518589</v>
      </c>
      <c r="AO74" s="41">
        <f t="shared" si="16"/>
        <v>-80.695789045797198</v>
      </c>
      <c r="AP74" s="41">
        <f t="shared" si="17"/>
        <v>-937.94762385608362</v>
      </c>
      <c r="AQ74" s="41">
        <f t="shared" si="18"/>
        <v>312.8542659130012</v>
      </c>
      <c r="AR74" s="41">
        <f t="shared" si="19"/>
        <v>384.67454231501699</v>
      </c>
      <c r="AS74" s="41">
        <f t="shared" si="20"/>
        <v>123.53078008018934</v>
      </c>
      <c r="AT74" s="41">
        <f t="shared" si="21"/>
        <v>-434.2514013896303</v>
      </c>
      <c r="AU74" s="41">
        <f t="shared" si="22"/>
        <v>361.69935688539488</v>
      </c>
      <c r="AV74" s="41">
        <f t="shared" si="23"/>
        <v>-195.21983911585528</v>
      </c>
      <c r="AW74" s="41">
        <f t="shared" si="24"/>
        <v>-21.831286061978858</v>
      </c>
      <c r="AX74" s="41">
        <f t="shared" si="25"/>
        <v>-17.421945856426532</v>
      </c>
      <c r="AY74" s="41">
        <f t="shared" si="25"/>
        <v>-25.425463812695625</v>
      </c>
      <c r="AZ74" s="41">
        <f t="shared" si="25"/>
        <v>-24.441220149584638</v>
      </c>
    </row>
    <row r="75" spans="1:52" x14ac:dyDescent="0.2">
      <c r="A75" s="30">
        <v>202</v>
      </c>
      <c r="B75" s="31" t="s">
        <v>389</v>
      </c>
      <c r="C75" s="41">
        <v>-11202</v>
      </c>
      <c r="D75" s="41">
        <v>-9731</v>
      </c>
      <c r="E75" s="73">
        <v>-17863</v>
      </c>
      <c r="F75" s="73">
        <v>-12156</v>
      </c>
      <c r="G75" s="73">
        <v>-10215</v>
      </c>
      <c r="H75" s="41">
        <v>-15704</v>
      </c>
      <c r="I75" s="165">
        <v>-23694.614000000001</v>
      </c>
      <c r="J75" s="41">
        <v>-16845.08712</v>
      </c>
      <c r="K75" s="41">
        <v>-36763.13553</v>
      </c>
      <c r="L75" s="41">
        <f>$L$5*'7.1. Nettoinvestointiennuste '!Y75</f>
        <v>-21154.833844372708</v>
      </c>
      <c r="M75" s="41">
        <f>$M$5*'7.1. Nettoinvestointiennuste '!Y75</f>
        <v>-22061.489589642217</v>
      </c>
      <c r="N75" s="41">
        <f>$N$5*'7.1. Nettoinvestointiennuste '!Y75</f>
        <v>-22840.131166590603</v>
      </c>
      <c r="O75" s="41">
        <f>O$5*'7.1. Nettoinvestointiennuste '!$Y75</f>
        <v>-23858.256045428014</v>
      </c>
      <c r="P75" s="41">
        <f>P$5*'7.1. Nettoinvestointiennuste '!$Y75</f>
        <v>-24848.748033033677</v>
      </c>
      <c r="T75" s="34">
        <v>202</v>
      </c>
      <c r="U75" s="88" t="s">
        <v>389</v>
      </c>
      <c r="V75" s="41">
        <f>C75/'1. Väestöennuste'!E75*1000</f>
        <v>-343.72506903958271</v>
      </c>
      <c r="W75" s="41">
        <f>D75/'1. Väestöennuste'!F75*1000</f>
        <v>-297.23868287616841</v>
      </c>
      <c r="X75" s="41">
        <f>E75/'1. Väestöennuste'!G75*1000</f>
        <v>-539.68397836792644</v>
      </c>
      <c r="Y75" s="41">
        <f>F75/'1. Väestöennuste'!H75*1000</f>
        <v>-363.32117879132045</v>
      </c>
      <c r="Z75" s="41">
        <f>G75/'1. Väestöennuste'!I75*1000</f>
        <v>-300.99890974452666</v>
      </c>
      <c r="AA75" s="41">
        <f>H75/'1. Väestöennuste'!J75*1000</f>
        <v>-452.99564427265119</v>
      </c>
      <c r="AB75" s="41">
        <f>I75/'1. Väestöennuste'!K75*1000</f>
        <v>-667.51032481618165</v>
      </c>
      <c r="AC75" s="41">
        <f>J75/'1. Väestöennuste'!L75*1000</f>
        <v>-469.90312207096628</v>
      </c>
      <c r="AD75" s="41">
        <f>K75/'1. Väestöennuste'!M75*1000</f>
        <v>-1011.6716346074465</v>
      </c>
      <c r="AE75" s="41">
        <f>L75/'1. Väestöennuste'!N75*1000</f>
        <v>-578.93417926090444</v>
      </c>
      <c r="AF75" s="41">
        <f>M75/'1. Väestöennuste'!O75*1000</f>
        <v>-597.09563683128226</v>
      </c>
      <c r="AG75" s="41">
        <f>N75/'1. Väestöennuste'!P75*1000</f>
        <v>-611.76191687667347</v>
      </c>
      <c r="AH75" s="41">
        <f>O75/'1. Väestöennuste'!Q75*1000</f>
        <v>-632.82820204843404</v>
      </c>
      <c r="AI75" s="41">
        <f>P75/'1. Väestöennuste'!R75*1000</f>
        <v>-653.12379837653566</v>
      </c>
      <c r="AK75" s="34">
        <v>202</v>
      </c>
      <c r="AL75" s="88" t="s">
        <v>389</v>
      </c>
      <c r="AM75" s="41"/>
      <c r="AN75" s="41">
        <f t="shared" si="15"/>
        <v>46.486386163414295</v>
      </c>
      <c r="AO75" s="41">
        <f t="shared" si="16"/>
        <v>-242.44529549175803</v>
      </c>
      <c r="AP75" s="41">
        <f t="shared" si="17"/>
        <v>176.36279957660599</v>
      </c>
      <c r="AQ75" s="41">
        <f t="shared" si="18"/>
        <v>62.322269046793792</v>
      </c>
      <c r="AR75" s="41">
        <f t="shared" si="19"/>
        <v>-151.99673452812453</v>
      </c>
      <c r="AS75" s="41">
        <f t="shared" si="20"/>
        <v>-214.51468054353046</v>
      </c>
      <c r="AT75" s="41">
        <f t="shared" si="21"/>
        <v>197.60720274521537</v>
      </c>
      <c r="AU75" s="41">
        <f t="shared" si="22"/>
        <v>-541.76851253648033</v>
      </c>
      <c r="AV75" s="41">
        <f t="shared" si="23"/>
        <v>432.73745534654211</v>
      </c>
      <c r="AW75" s="41">
        <f t="shared" si="24"/>
        <v>-18.16145757037782</v>
      </c>
      <c r="AX75" s="41">
        <f t="shared" si="25"/>
        <v>-14.666280045391204</v>
      </c>
      <c r="AY75" s="41">
        <f t="shared" si="25"/>
        <v>-21.066285171760569</v>
      </c>
      <c r="AZ75" s="41">
        <f t="shared" si="25"/>
        <v>-20.295596328101624</v>
      </c>
    </row>
    <row r="76" spans="1:52" x14ac:dyDescent="0.2">
      <c r="A76" s="30">
        <v>204</v>
      </c>
      <c r="B76" s="31" t="s">
        <v>390</v>
      </c>
      <c r="C76" s="41">
        <v>-3284</v>
      </c>
      <c r="D76" s="41">
        <v>-3597</v>
      </c>
      <c r="E76" s="73">
        <v>-514</v>
      </c>
      <c r="F76" s="73">
        <v>478</v>
      </c>
      <c r="G76" s="73">
        <v>19</v>
      </c>
      <c r="H76" s="41">
        <v>-668</v>
      </c>
      <c r="I76" s="165">
        <v>-789.83937000000003</v>
      </c>
      <c r="J76" s="41">
        <v>-3595.2018399999997</v>
      </c>
      <c r="K76" s="41">
        <v>-917.63301000000001</v>
      </c>
      <c r="L76" s="41">
        <f>$L$5*'7.1. Nettoinvestointiennuste '!Y76</f>
        <v>-1240.3975568322901</v>
      </c>
      <c r="M76" s="41">
        <f>$M$5*'7.1. Nettoinvestointiennuste '!Y76</f>
        <v>-1293.5586253423796</v>
      </c>
      <c r="N76" s="41">
        <f>$N$5*'7.1. Nettoinvestointiennuste '!Y76</f>
        <v>-1339.2136806739409</v>
      </c>
      <c r="O76" s="41">
        <f>O$5*'7.1. Nettoinvestointiennuste '!$Y76</f>
        <v>-1398.9106568615382</v>
      </c>
      <c r="P76" s="41">
        <f>P$5*'7.1. Nettoinvestointiennuste '!$Y76</f>
        <v>-1456.9873995354042</v>
      </c>
      <c r="T76" s="34">
        <v>204</v>
      </c>
      <c r="U76" s="88" t="s">
        <v>390</v>
      </c>
      <c r="V76" s="41">
        <f>C76/'1. Väestöennuste'!E76*1000</f>
        <v>-1028.1778334376957</v>
      </c>
      <c r="W76" s="41">
        <f>D76/'1. Väestöennuste'!F76*1000</f>
        <v>-1140.4565630944833</v>
      </c>
      <c r="X76" s="41">
        <f>E76/'1. Väestöennuste'!G76*1000</f>
        <v>-168.63517060367454</v>
      </c>
      <c r="Y76" s="41">
        <f>F76/'1. Väestöennuste'!H76*1000</f>
        <v>159.86622073578596</v>
      </c>
      <c r="Z76" s="41">
        <f>G76/'1. Väestöennuste'!I76*1000</f>
        <v>6.5675769097822334</v>
      </c>
      <c r="AA76" s="41">
        <f>H76/'1. Väestöennuste'!J76*1000</f>
        <v>-237.97648735304597</v>
      </c>
      <c r="AB76" s="41">
        <f>I76/'1. Väestöennuste'!K76*1000</f>
        <v>-284.31942764578832</v>
      </c>
      <c r="AC76" s="41">
        <f>J76/'1. Väestöennuste'!L76*1000</f>
        <v>-1337.00328746746</v>
      </c>
      <c r="AD76" s="41">
        <f>K76/'1. Väestöennuste'!M76*1000</f>
        <v>-349.17542237442922</v>
      </c>
      <c r="AE76" s="41">
        <f>L76/'1. Väestöennuste'!N76*1000</f>
        <v>-482.08222185475711</v>
      </c>
      <c r="AF76" s="41">
        <f>M76/'1. Väestöennuste'!O76*1000</f>
        <v>-511.4901642318622</v>
      </c>
      <c r="AG76" s="41">
        <f>N76/'1. Väestöennuste'!P76*1000</f>
        <v>-538.05290505180426</v>
      </c>
      <c r="AH76" s="41">
        <f>O76/'1. Väestöennuste'!Q76*1000</f>
        <v>-570.75098199165166</v>
      </c>
      <c r="AI76" s="41">
        <f>P76/'1. Väestöennuste'!R76*1000</f>
        <v>-603.80745940132783</v>
      </c>
      <c r="AK76" s="34">
        <v>204</v>
      </c>
      <c r="AL76" s="88" t="s">
        <v>390</v>
      </c>
      <c r="AM76" s="41"/>
      <c r="AN76" s="41">
        <f t="shared" si="15"/>
        <v>-112.27872965678762</v>
      </c>
      <c r="AO76" s="41">
        <f t="shared" si="16"/>
        <v>971.82139249080876</v>
      </c>
      <c r="AP76" s="41">
        <f t="shared" si="17"/>
        <v>328.5013913394605</v>
      </c>
      <c r="AQ76" s="41">
        <f t="shared" si="18"/>
        <v>-153.29864382600371</v>
      </c>
      <c r="AR76" s="41">
        <f t="shared" si="19"/>
        <v>-244.54406426282821</v>
      </c>
      <c r="AS76" s="41">
        <f t="shared" si="20"/>
        <v>-46.342940292742355</v>
      </c>
      <c r="AT76" s="41">
        <f t="shared" si="21"/>
        <v>-1052.6838598216718</v>
      </c>
      <c r="AU76" s="41">
        <f t="shared" si="22"/>
        <v>987.82786509303082</v>
      </c>
      <c r="AV76" s="41">
        <f t="shared" si="23"/>
        <v>-132.90679948032789</v>
      </c>
      <c r="AW76" s="41">
        <f t="shared" si="24"/>
        <v>-29.407942377105087</v>
      </c>
      <c r="AX76" s="41">
        <f t="shared" si="25"/>
        <v>-26.562740819942064</v>
      </c>
      <c r="AY76" s="41">
        <f t="shared" si="25"/>
        <v>-32.698076939847397</v>
      </c>
      <c r="AZ76" s="41">
        <f t="shared" si="25"/>
        <v>-33.056477409676177</v>
      </c>
    </row>
    <row r="77" spans="1:52" x14ac:dyDescent="0.2">
      <c r="A77" s="30">
        <v>205</v>
      </c>
      <c r="B77" s="31" t="s">
        <v>391</v>
      </c>
      <c r="C77" s="41">
        <v>-23714</v>
      </c>
      <c r="D77" s="41">
        <v>-32690</v>
      </c>
      <c r="E77" s="71">
        <v>-21505</v>
      </c>
      <c r="F77" s="73">
        <v>-18819</v>
      </c>
      <c r="G77" s="73">
        <v>96434</v>
      </c>
      <c r="H77" s="41">
        <v>-50401</v>
      </c>
      <c r="I77" s="165">
        <v>-16357.836359999999</v>
      </c>
      <c r="J77" s="41">
        <v>-14752.176609999999</v>
      </c>
      <c r="K77" s="41">
        <v>-18005.830979999999</v>
      </c>
      <c r="L77" s="41">
        <f>$L$5*'7.1. Nettoinvestointiennuste '!Y77</f>
        <v>-22976.208908566496</v>
      </c>
      <c r="M77" s="41">
        <f>$M$5*'7.1. Nettoinvestointiennuste '!Y77</f>
        <v>-23960.925307887475</v>
      </c>
      <c r="N77" s="41">
        <f>$N$5*'7.1. Nettoinvestointiennuste '!Y77</f>
        <v>-24806.605858652976</v>
      </c>
      <c r="O77" s="41">
        <f>O$5*'7.1. Nettoinvestointiennuste '!$Y77</f>
        <v>-25912.388588182654</v>
      </c>
      <c r="P77" s="41">
        <f>P$5*'7.1. Nettoinvestointiennuste '!$Y77</f>
        <v>-26988.159307863476</v>
      </c>
      <c r="T77" s="34">
        <v>205</v>
      </c>
      <c r="U77" s="88" t="s">
        <v>391</v>
      </c>
      <c r="V77" s="41">
        <f>C77/'1. Väestöennuste'!E77*1000</f>
        <v>-630.32268353622874</v>
      </c>
      <c r="W77" s="41">
        <f>D77/'1. Väestöennuste'!F77*1000</f>
        <v>-871.2454358892353</v>
      </c>
      <c r="X77" s="41">
        <f>E77/'1. Väestöennuste'!G77*1000</f>
        <v>-577.48596901098313</v>
      </c>
      <c r="Y77" s="41">
        <f>F77/'1. Väestöennuste'!H77*1000</f>
        <v>-508.9930489816893</v>
      </c>
      <c r="Z77" s="41">
        <f>G77/'1. Väestöennuste'!I77*1000</f>
        <v>2626.9852079871421</v>
      </c>
      <c r="AA77" s="41">
        <f>H77/'1. Väestöennuste'!J77*1000</f>
        <v>-1378.3192495966307</v>
      </c>
      <c r="AB77" s="41">
        <f>I77/'1. Väestöennuste'!K77*1000</f>
        <v>-448.24586523442849</v>
      </c>
      <c r="AC77" s="41">
        <f>J77/'1. Väestöennuste'!L77*1000</f>
        <v>-406.42963908862987</v>
      </c>
      <c r="AD77" s="41">
        <f>K77/'1. Väestöennuste'!M77*1000</f>
        <v>-493.13480075589513</v>
      </c>
      <c r="AE77" s="41">
        <f>L77/'1. Väestöennuste'!N77*1000</f>
        <v>-640.23766011554301</v>
      </c>
      <c r="AF77" s="41">
        <f>M77/'1. Väestöennuste'!O77*1000</f>
        <v>-671.13677967305682</v>
      </c>
      <c r="AG77" s="41">
        <f>N77/'1. Väestöennuste'!P77*1000</f>
        <v>-698.58084648417287</v>
      </c>
      <c r="AH77" s="41">
        <f>O77/'1. Väestöennuste'!Q77*1000</f>
        <v>-733.62556519301984</v>
      </c>
      <c r="AI77" s="41">
        <f>P77/'1. Väestöennuste'!R77*1000</f>
        <v>-768.34617246586413</v>
      </c>
      <c r="AK77" s="34">
        <v>205</v>
      </c>
      <c r="AL77" s="88" t="s">
        <v>391</v>
      </c>
      <c r="AM77" s="41"/>
      <c r="AN77" s="41">
        <f t="shared" si="15"/>
        <v>-240.92275235300656</v>
      </c>
      <c r="AO77" s="41">
        <f t="shared" si="16"/>
        <v>293.75946687825217</v>
      </c>
      <c r="AP77" s="41">
        <f t="shared" si="17"/>
        <v>68.492920029293828</v>
      </c>
      <c r="AQ77" s="41">
        <f t="shared" si="18"/>
        <v>3135.9782569688314</v>
      </c>
      <c r="AR77" s="41">
        <f t="shared" si="19"/>
        <v>-4005.304457583773</v>
      </c>
      <c r="AS77" s="41">
        <f t="shared" si="20"/>
        <v>930.07338436220221</v>
      </c>
      <c r="AT77" s="41">
        <f t="shared" si="21"/>
        <v>41.816226145798623</v>
      </c>
      <c r="AU77" s="41">
        <f t="shared" si="22"/>
        <v>-86.705161667265259</v>
      </c>
      <c r="AV77" s="41">
        <f t="shared" si="23"/>
        <v>-147.10285935964788</v>
      </c>
      <c r="AW77" s="41">
        <f t="shared" si="24"/>
        <v>-30.899119557513814</v>
      </c>
      <c r="AX77" s="41">
        <f t="shared" si="25"/>
        <v>-27.444066811116045</v>
      </c>
      <c r="AY77" s="41">
        <f t="shared" si="25"/>
        <v>-35.044718708846972</v>
      </c>
      <c r="AZ77" s="41">
        <f t="shared" si="25"/>
        <v>-34.72060727284429</v>
      </c>
    </row>
    <row r="78" spans="1:52" x14ac:dyDescent="0.2">
      <c r="A78" s="30">
        <v>208</v>
      </c>
      <c r="B78" s="31" t="s">
        <v>392</v>
      </c>
      <c r="C78" s="41">
        <v>-7109</v>
      </c>
      <c r="D78" s="41">
        <v>-5515</v>
      </c>
      <c r="E78" s="73">
        <v>-6962</v>
      </c>
      <c r="F78" s="73">
        <v>-12881</v>
      </c>
      <c r="G78" s="73">
        <v>-7574</v>
      </c>
      <c r="H78" s="41">
        <v>-3701</v>
      </c>
      <c r="I78" s="165">
        <v>-8261.7599599999994</v>
      </c>
      <c r="J78" s="41">
        <v>-5613.4066600000006</v>
      </c>
      <c r="K78" s="41">
        <v>-5306.1617200000001</v>
      </c>
      <c r="L78" s="41">
        <f>$L$5*'7.1. Nettoinvestointiennuste '!Y78</f>
        <v>-9550.2126380417958</v>
      </c>
      <c r="M78" s="41">
        <f>$M$5*'7.1. Nettoinvestointiennuste '!Y78</f>
        <v>-9959.5164983568848</v>
      </c>
      <c r="N78" s="41">
        <f>$N$5*'7.1. Nettoinvestointiennuste '!Y78</f>
        <v>-10311.029192022184</v>
      </c>
      <c r="O78" s="41">
        <f>O$5*'7.1. Nettoinvestointiennuste '!$Y78</f>
        <v>-10770.655070273373</v>
      </c>
      <c r="P78" s="41">
        <f>P$5*'7.1. Nettoinvestointiennuste '!$Y78</f>
        <v>-11217.806258862218</v>
      </c>
      <c r="T78" s="34">
        <v>208</v>
      </c>
      <c r="U78" s="88" t="s">
        <v>392</v>
      </c>
      <c r="V78" s="41">
        <f>C78/'1. Väestöennuste'!E78*1000</f>
        <v>-563.26756992314392</v>
      </c>
      <c r="W78" s="41">
        <f>D78/'1. Väestöennuste'!F78*1000</f>
        <v>-438.18528523756555</v>
      </c>
      <c r="X78" s="41">
        <f>E78/'1. Väestöennuste'!G78*1000</f>
        <v>-556.24800255672733</v>
      </c>
      <c r="Y78" s="41">
        <f>F78/'1. Väestöennuste'!H78*1000</f>
        <v>-1039.880519899895</v>
      </c>
      <c r="Z78" s="41">
        <f>G78/'1. Väestöennuste'!I78*1000</f>
        <v>-612.13933565020602</v>
      </c>
      <c r="AA78" s="41">
        <f>H78/'1. Väestöennuste'!J78*1000</f>
        <v>-298.46774193548384</v>
      </c>
      <c r="AB78" s="41">
        <f>I78/'1. Väestöennuste'!K78*1000</f>
        <v>-665.6268095391556</v>
      </c>
      <c r="AC78" s="41">
        <f>J78/'1. Väestöennuste'!L78*1000</f>
        <v>-455.07958329955414</v>
      </c>
      <c r="AD78" s="41">
        <f>K78/'1. Väestöennuste'!M78*1000</f>
        <v>-428.88471710313615</v>
      </c>
      <c r="AE78" s="41">
        <f>L78/'1. Väestöennuste'!N78*1000</f>
        <v>-781.77903061900759</v>
      </c>
      <c r="AF78" s="41">
        <f>M78/'1. Väestöennuste'!O78*1000</f>
        <v>-819.10654645586681</v>
      </c>
      <c r="AG78" s="41">
        <f>N78/'1. Väestöennuste'!P78*1000</f>
        <v>-852.15117289439536</v>
      </c>
      <c r="AH78" s="41">
        <f>O78/'1. Väestöennuste'!Q78*1000</f>
        <v>-894.72130505676796</v>
      </c>
      <c r="AI78" s="41">
        <f>P78/'1. Väestöennuste'!R78*1000</f>
        <v>-936.84702345600613</v>
      </c>
      <c r="AK78" s="34">
        <v>208</v>
      </c>
      <c r="AL78" s="88" t="s">
        <v>392</v>
      </c>
      <c r="AM78" s="41"/>
      <c r="AN78" s="41">
        <f t="shared" si="15"/>
        <v>125.08228468557837</v>
      </c>
      <c r="AO78" s="41">
        <f t="shared" si="16"/>
        <v>-118.06271731916178</v>
      </c>
      <c r="AP78" s="41">
        <f t="shared" si="17"/>
        <v>-483.63251734316771</v>
      </c>
      <c r="AQ78" s="41">
        <f t="shared" si="18"/>
        <v>427.74118424968901</v>
      </c>
      <c r="AR78" s="41">
        <f t="shared" si="19"/>
        <v>313.67159371472218</v>
      </c>
      <c r="AS78" s="41">
        <f t="shared" si="20"/>
        <v>-367.15906760367176</v>
      </c>
      <c r="AT78" s="41">
        <f t="shared" si="21"/>
        <v>210.54722623960146</v>
      </c>
      <c r="AU78" s="41">
        <f t="shared" si="22"/>
        <v>26.194866196417991</v>
      </c>
      <c r="AV78" s="41">
        <f t="shared" si="23"/>
        <v>-352.89431351587143</v>
      </c>
      <c r="AW78" s="41">
        <f t="shared" si="24"/>
        <v>-37.32751583685922</v>
      </c>
      <c r="AX78" s="41">
        <f t="shared" si="25"/>
        <v>-33.044626438528553</v>
      </c>
      <c r="AY78" s="41">
        <f t="shared" si="25"/>
        <v>-42.570132162372602</v>
      </c>
      <c r="AZ78" s="41">
        <f t="shared" si="25"/>
        <v>-42.125718399238167</v>
      </c>
    </row>
    <row r="79" spans="1:52" x14ac:dyDescent="0.2">
      <c r="A79" s="30">
        <v>211</v>
      </c>
      <c r="B79" s="31" t="s">
        <v>393</v>
      </c>
      <c r="C79" s="41">
        <v>-16580</v>
      </c>
      <c r="D79" s="41">
        <v>-17143</v>
      </c>
      <c r="E79" s="73">
        <v>-11743</v>
      </c>
      <c r="F79" s="73">
        <v>-19115</v>
      </c>
      <c r="G79" s="73">
        <v>-21185</v>
      </c>
      <c r="H79" s="41">
        <v>-24377</v>
      </c>
      <c r="I79" s="165">
        <v>-18866.67223</v>
      </c>
      <c r="J79" s="41">
        <v>-40011.114609999997</v>
      </c>
      <c r="K79" s="41">
        <v>-42900.307249999998</v>
      </c>
      <c r="L79" s="41">
        <f>$L$5*'7.1. Nettoinvestointiennuste '!Y79</f>
        <v>-34990.641702363879</v>
      </c>
      <c r="M79" s="41">
        <f>$M$5*'7.1. Nettoinvestointiennuste '!Y79</f>
        <v>-36490.273728003915</v>
      </c>
      <c r="N79" s="41">
        <f>$N$5*'7.1. Nettoinvestointiennuste '!Y79</f>
        <v>-37778.167012063524</v>
      </c>
      <c r="O79" s="41">
        <f>O$5*'7.1. Nettoinvestointiennuste '!$Y79</f>
        <v>-39462.171864370073</v>
      </c>
      <c r="P79" s="41">
        <f>P$5*'7.1. Nettoinvestointiennuste '!$Y79</f>
        <v>-41100.471200698412</v>
      </c>
      <c r="T79" s="34">
        <v>211</v>
      </c>
      <c r="U79" s="88" t="s">
        <v>393</v>
      </c>
      <c r="V79" s="41">
        <f>C79/'1. Väestöennuste'!E79*1000</f>
        <v>-541.70614565295512</v>
      </c>
      <c r="W79" s="41">
        <f>D79/'1. Väestöennuste'!F79*1000</f>
        <v>-549.63129208079511</v>
      </c>
      <c r="X79" s="41">
        <f>E79/'1. Väestöennuste'!G79*1000</f>
        <v>-373.54073225816717</v>
      </c>
      <c r="Y79" s="41">
        <f>F79/'1. Väestöennuste'!H79*1000</f>
        <v>-603.45371890390197</v>
      </c>
      <c r="Z79" s="41">
        <f>G79/'1. Väestöennuste'!I79*1000</f>
        <v>-664.77344044182257</v>
      </c>
      <c r="AA79" s="41">
        <f>H79/'1. Väestöennuste'!J79*1000</f>
        <v>-756.72068044949401</v>
      </c>
      <c r="AB79" s="41">
        <f>I79/'1. Väestöennuste'!K79*1000</f>
        <v>-578.3419848568451</v>
      </c>
      <c r="AC79" s="41">
        <f>J79/'1. Väestöennuste'!L79*1000</f>
        <v>-1213.9662796201339</v>
      </c>
      <c r="AD79" s="41">
        <f>K79/'1. Väestöennuste'!M79*1000</f>
        <v>-1281.6391494637469</v>
      </c>
      <c r="AE79" s="41">
        <f>L79/'1. Väestöennuste'!N79*1000</f>
        <v>-1053.0785717146862</v>
      </c>
      <c r="AF79" s="41">
        <f>M79/'1. Väestöennuste'!O79*1000</f>
        <v>-1090.69445624115</v>
      </c>
      <c r="AG79" s="41">
        <f>N79/'1. Väestöennuste'!P79*1000</f>
        <v>-1121.9460386096318</v>
      </c>
      <c r="AH79" s="41">
        <f>O79/'1. Väestöennuste'!Q79*1000</f>
        <v>-1164.8318042496628</v>
      </c>
      <c r="AI79" s="41">
        <f>P79/'1. Väestöennuste'!R79*1000</f>
        <v>-1206.1767043491832</v>
      </c>
      <c r="AK79" s="34">
        <v>211</v>
      </c>
      <c r="AL79" s="88" t="s">
        <v>393</v>
      </c>
      <c r="AM79" s="41"/>
      <c r="AN79" s="41">
        <f t="shared" ref="AN79:AN142" si="26">W79-V79</f>
        <v>-7.9251464278399908</v>
      </c>
      <c r="AO79" s="41">
        <f t="shared" ref="AO79:AO142" si="27">X79-W79</f>
        <v>176.09055982262794</v>
      </c>
      <c r="AP79" s="41">
        <f t="shared" ref="AP79:AP142" si="28">Y79-X79</f>
        <v>-229.9129866457348</v>
      </c>
      <c r="AQ79" s="41">
        <f t="shared" ref="AQ79:AQ142" si="29">Z79-Y79</f>
        <v>-61.3197215379206</v>
      </c>
      <c r="AR79" s="41">
        <f t="shared" ref="AR79:AR142" si="30">AA79-Z79</f>
        <v>-91.947240007671439</v>
      </c>
      <c r="AS79" s="41">
        <f t="shared" ref="AS79:AS142" si="31">AB79-AA79</f>
        <v>178.37869559264891</v>
      </c>
      <c r="AT79" s="41">
        <f t="shared" ref="AT79:AT142" si="32">AC79-AB79</f>
        <v>-635.62429476328884</v>
      </c>
      <c r="AU79" s="41">
        <f t="shared" ref="AU79:AU142" si="33">AD79-AC79</f>
        <v>-67.672869843612943</v>
      </c>
      <c r="AV79" s="41">
        <f t="shared" ref="AV79:AV142" si="34">AE79-AD79</f>
        <v>228.56057774906071</v>
      </c>
      <c r="AW79" s="41">
        <f t="shared" ref="AW79:AW142" si="35">AF79-AE79</f>
        <v>-37.615884526463788</v>
      </c>
      <c r="AX79" s="41">
        <f t="shared" ref="AX79:AZ142" si="36">AG79-AF79</f>
        <v>-31.251582368481877</v>
      </c>
      <c r="AY79" s="41">
        <f t="shared" si="36"/>
        <v>-42.885765640030968</v>
      </c>
      <c r="AZ79" s="41">
        <f t="shared" si="36"/>
        <v>-41.344900099520373</v>
      </c>
    </row>
    <row r="80" spans="1:52" x14ac:dyDescent="0.2">
      <c r="A80" s="30">
        <v>213</v>
      </c>
      <c r="B80" s="31" t="s">
        <v>394</v>
      </c>
      <c r="C80" s="41">
        <v>-6479</v>
      </c>
      <c r="D80" s="41">
        <v>-3674</v>
      </c>
      <c r="E80" s="73">
        <v>-1952</v>
      </c>
      <c r="F80" s="73">
        <v>-1647</v>
      </c>
      <c r="G80" s="73">
        <v>-1144</v>
      </c>
      <c r="H80" s="41">
        <v>1107</v>
      </c>
      <c r="I80" s="165">
        <v>-670.42025999999998</v>
      </c>
      <c r="J80" s="41">
        <v>-358.94896999999997</v>
      </c>
      <c r="K80" s="41">
        <v>-689.46268000000009</v>
      </c>
      <c r="L80" s="41">
        <f>$L$5*'7.1. Nettoinvestointiennuste '!Y80</f>
        <v>-1178.1159280801521</v>
      </c>
      <c r="M80" s="41">
        <f>$M$5*'7.1. Nettoinvestointiennuste '!Y80</f>
        <v>-1228.6077250209973</v>
      </c>
      <c r="N80" s="41">
        <f>$N$5*'7.1. Nettoinvestointiennuste '!Y80</f>
        <v>-1271.9703933745641</v>
      </c>
      <c r="O80" s="41">
        <f>O$5*'7.1. Nettoinvestointiennuste '!$Y80</f>
        <v>-1328.6699233901161</v>
      </c>
      <c r="P80" s="41">
        <f>P$5*'7.1. Nettoinvestointiennuste '!$Y80</f>
        <v>-1383.8305734721969</v>
      </c>
      <c r="T80" s="34">
        <v>213</v>
      </c>
      <c r="U80" s="88" t="s">
        <v>394</v>
      </c>
      <c r="V80" s="41">
        <f>C80/'1. Väestöennuste'!E80*1000</f>
        <v>-1151.2082444918265</v>
      </c>
      <c r="W80" s="41">
        <f>D80/'1. Väestöennuste'!F80*1000</f>
        <v>-655.72014991968581</v>
      </c>
      <c r="X80" s="41">
        <f>E80/'1. Väestöennuste'!G80*1000</f>
        <v>-351.77509461164175</v>
      </c>
      <c r="Y80" s="41">
        <f>F80/'1. Väestöennuste'!H80*1000</f>
        <v>-302.09097578870143</v>
      </c>
      <c r="Z80" s="41">
        <f>G80/'1. Väestöennuste'!I80*1000</f>
        <v>-213.59223300970874</v>
      </c>
      <c r="AA80" s="41">
        <f>H80/'1. Väestöennuste'!J80*1000</f>
        <v>208.39608433734941</v>
      </c>
      <c r="AB80" s="41">
        <f>I80/'1. Väestöennuste'!K80*1000</f>
        <v>-128.18743021032506</v>
      </c>
      <c r="AC80" s="41">
        <f>J80/'1. Väestöennuste'!L80*1000</f>
        <v>-69.644736127279785</v>
      </c>
      <c r="AD80" s="41">
        <f>K80/'1. Väestöennuste'!M80*1000</f>
        <v>-134.81867031677749</v>
      </c>
      <c r="AE80" s="41">
        <f>L80/'1. Väestöennuste'!N80*1000</f>
        <v>-232.50758399055695</v>
      </c>
      <c r="AF80" s="41">
        <f>M80/'1. Väestöennuste'!O80*1000</f>
        <v>-245.18214428676856</v>
      </c>
      <c r="AG80" s="41">
        <f>N80/'1. Väestöennuste'!P80*1000</f>
        <v>-256.60084595008351</v>
      </c>
      <c r="AH80" s="41">
        <f>O80/'1. Väestöennuste'!Q80*1000</f>
        <v>-270.93595501429775</v>
      </c>
      <c r="AI80" s="41">
        <f>P80/'1. Väestöennuste'!R80*1000</f>
        <v>-285.14951029717633</v>
      </c>
      <c r="AK80" s="34">
        <v>213</v>
      </c>
      <c r="AL80" s="88" t="s">
        <v>394</v>
      </c>
      <c r="AM80" s="41"/>
      <c r="AN80" s="41">
        <f t="shared" si="26"/>
        <v>495.48809457214065</v>
      </c>
      <c r="AO80" s="41">
        <f t="shared" si="27"/>
        <v>303.94505530804406</v>
      </c>
      <c r="AP80" s="41">
        <f t="shared" si="28"/>
        <v>49.68411882294032</v>
      </c>
      <c r="AQ80" s="41">
        <f t="shared" si="29"/>
        <v>88.498742778992693</v>
      </c>
      <c r="AR80" s="41">
        <f t="shared" si="30"/>
        <v>421.98831734705811</v>
      </c>
      <c r="AS80" s="41">
        <f t="shared" si="31"/>
        <v>-336.58351454767444</v>
      </c>
      <c r="AT80" s="41">
        <f t="shared" si="32"/>
        <v>58.542694083045276</v>
      </c>
      <c r="AU80" s="41">
        <f t="shared" si="33"/>
        <v>-65.1739341894977</v>
      </c>
      <c r="AV80" s="41">
        <f t="shared" si="34"/>
        <v>-97.688913673779467</v>
      </c>
      <c r="AW80" s="41">
        <f t="shared" si="35"/>
        <v>-12.67456029621161</v>
      </c>
      <c r="AX80" s="41">
        <f t="shared" si="36"/>
        <v>-11.418701663314948</v>
      </c>
      <c r="AY80" s="41">
        <f t="shared" si="36"/>
        <v>-14.335109064214237</v>
      </c>
      <c r="AZ80" s="41">
        <f t="shared" si="36"/>
        <v>-14.213555282878588</v>
      </c>
    </row>
    <row r="81" spans="1:52" x14ac:dyDescent="0.2">
      <c r="A81" s="30">
        <v>214</v>
      </c>
      <c r="B81" s="31" t="s">
        <v>395</v>
      </c>
      <c r="C81" s="41">
        <v>-7799</v>
      </c>
      <c r="D81" s="41">
        <v>-8221</v>
      </c>
      <c r="E81" s="73">
        <v>-7876</v>
      </c>
      <c r="F81" s="73">
        <v>-6505</v>
      </c>
      <c r="G81" s="73">
        <v>-7027</v>
      </c>
      <c r="H81" s="41">
        <v>-7916</v>
      </c>
      <c r="I81" s="165">
        <v>-7466.1030899999996</v>
      </c>
      <c r="J81" s="41">
        <v>-9936.5109600000014</v>
      </c>
      <c r="K81" s="41">
        <v>-1686.5354299999999</v>
      </c>
      <c r="L81" s="41">
        <f>$L$5*'7.1. Nettoinvestointiennuste '!Y81</f>
        <v>-5662.707434095405</v>
      </c>
      <c r="M81" s="41">
        <f>$M$5*'7.1. Nettoinvestointiennuste '!Y81</f>
        <v>-5905.4002515702468</v>
      </c>
      <c r="N81" s="41">
        <f>$N$5*'7.1. Nettoinvestointiennuste '!Y81</f>
        <v>-6113.8263483535256</v>
      </c>
      <c r="O81" s="41">
        <f>O$5*'7.1. Nettoinvestointiennuste '!$Y81</f>
        <v>-6386.3571260775816</v>
      </c>
      <c r="P81" s="41">
        <f>P$5*'7.1. Nettoinvestointiennuste '!$Y81</f>
        <v>-6651.4911556279258</v>
      </c>
      <c r="T81" s="34">
        <v>214</v>
      </c>
      <c r="U81" s="88" t="s">
        <v>395</v>
      </c>
      <c r="V81" s="41">
        <f>C81/'1. Väestöennuste'!E81*1000</f>
        <v>-575.06267512166346</v>
      </c>
      <c r="W81" s="41">
        <f>D81/'1. Väestöennuste'!F81*1000</f>
        <v>-613.69065392654522</v>
      </c>
      <c r="X81" s="41">
        <f>E81/'1. Väestöennuste'!G81*1000</f>
        <v>-592.53686427926573</v>
      </c>
      <c r="Y81" s="41">
        <f>F81/'1. Väestöennuste'!H81*1000</f>
        <v>-495.16632412270684</v>
      </c>
      <c r="Z81" s="41">
        <f>G81/'1. Väestöennuste'!I81*1000</f>
        <v>-544.4754377808772</v>
      </c>
      <c r="AA81" s="41">
        <f>H81/'1. Väestöennuste'!J81*1000</f>
        <v>-620.47342843705906</v>
      </c>
      <c r="AB81" s="41">
        <f>I81/'1. Väestöennuste'!K81*1000</f>
        <v>-589.64642947401671</v>
      </c>
      <c r="AC81" s="41">
        <f>J81/'1. Väestöennuste'!L81*1000</f>
        <v>-793.14423371647524</v>
      </c>
      <c r="AD81" s="41">
        <f>K81/'1. Väestöennuste'!M81*1000</f>
        <v>-136.07676537034047</v>
      </c>
      <c r="AE81" s="41">
        <f>L81/'1. Väestöennuste'!N81*1000</f>
        <v>-466.56566153871677</v>
      </c>
      <c r="AF81" s="41">
        <f>M81/'1. Väestöennuste'!O81*1000</f>
        <v>-492.19872075097908</v>
      </c>
      <c r="AG81" s="41">
        <f>N81/'1. Väestöennuste'!P81*1000</f>
        <v>-515.23903154841776</v>
      </c>
      <c r="AH81" s="41">
        <f>O81/'1. Väestöennuste'!Q81*1000</f>
        <v>-543.93638753748246</v>
      </c>
      <c r="AI81" s="41">
        <f>P81/'1. Väestöennuste'!R81*1000</f>
        <v>-572.46674891366945</v>
      </c>
      <c r="AK81" s="34">
        <v>214</v>
      </c>
      <c r="AL81" s="88" t="s">
        <v>395</v>
      </c>
      <c r="AM81" s="41"/>
      <c r="AN81" s="41">
        <f t="shared" si="26"/>
        <v>-38.627978804881764</v>
      </c>
      <c r="AO81" s="41">
        <f t="shared" si="27"/>
        <v>21.153789647279496</v>
      </c>
      <c r="AP81" s="41">
        <f t="shared" si="28"/>
        <v>97.370540156558889</v>
      </c>
      <c r="AQ81" s="41">
        <f t="shared" si="29"/>
        <v>-49.309113658170361</v>
      </c>
      <c r="AR81" s="41">
        <f t="shared" si="30"/>
        <v>-75.997990656181855</v>
      </c>
      <c r="AS81" s="41">
        <f t="shared" si="31"/>
        <v>30.826998963042342</v>
      </c>
      <c r="AT81" s="41">
        <f t="shared" si="32"/>
        <v>-203.49780424245853</v>
      </c>
      <c r="AU81" s="41">
        <f t="shared" si="33"/>
        <v>657.06746834613477</v>
      </c>
      <c r="AV81" s="41">
        <f t="shared" si="34"/>
        <v>-330.4888961683763</v>
      </c>
      <c r="AW81" s="41">
        <f t="shared" si="35"/>
        <v>-25.63305921226231</v>
      </c>
      <c r="AX81" s="41">
        <f t="shared" si="36"/>
        <v>-23.040310797438678</v>
      </c>
      <c r="AY81" s="41">
        <f t="shared" si="36"/>
        <v>-28.697355989064704</v>
      </c>
      <c r="AZ81" s="41">
        <f t="shared" si="36"/>
        <v>-28.530361376186988</v>
      </c>
    </row>
    <row r="82" spans="1:52" x14ac:dyDescent="0.2">
      <c r="A82" s="30">
        <v>216</v>
      </c>
      <c r="B82" s="31" t="s">
        <v>396</v>
      </c>
      <c r="C82" s="41">
        <v>-568</v>
      </c>
      <c r="D82" s="41">
        <v>-1278</v>
      </c>
      <c r="E82" s="73">
        <v>-1956</v>
      </c>
      <c r="F82" s="73">
        <v>-1029</v>
      </c>
      <c r="G82" s="73">
        <v>-492</v>
      </c>
      <c r="H82" s="41">
        <v>-425</v>
      </c>
      <c r="I82" s="165">
        <v>-347.21787</v>
      </c>
      <c r="J82" s="41">
        <v>-240.61985000000001</v>
      </c>
      <c r="K82" s="41">
        <v>-364.51785999999998</v>
      </c>
      <c r="L82" s="41">
        <f>$L$5*'7.1. Nettoinvestointiennuste '!Y82</f>
        <v>-804.2926503721776</v>
      </c>
      <c r="M82" s="41">
        <f>$M$5*'7.1. Nettoinvestointiennuste '!Y82</f>
        <v>-838.76309612006276</v>
      </c>
      <c r="N82" s="41">
        <f>$N$5*'7.1. Nettoinvestointiennuste '!Y82</f>
        <v>-868.36652870766386</v>
      </c>
      <c r="O82" s="41">
        <f>O$5*'7.1. Nettoinvestointiennuste '!$Y82</f>
        <v>-907.07495644735116</v>
      </c>
      <c r="P82" s="41">
        <f>P$5*'7.1. Nettoinvestointiennuste '!$Y82</f>
        <v>-944.73280012243526</v>
      </c>
      <c r="T82" s="34">
        <v>216</v>
      </c>
      <c r="U82" s="88" t="s">
        <v>396</v>
      </c>
      <c r="V82" s="41">
        <f>C82/'1. Väestöennuste'!E82*1000</f>
        <v>-388.50889192886456</v>
      </c>
      <c r="W82" s="41">
        <f>D82/'1. Väestöennuste'!F82*1000</f>
        <v>-897.47191011235964</v>
      </c>
      <c r="X82" s="41">
        <f>E82/'1. Väestöennuste'!G82*1000</f>
        <v>-1389.2045454545455</v>
      </c>
      <c r="Y82" s="41">
        <f>F82/'1. Väestöennuste'!H82*1000</f>
        <v>-760.53215077605319</v>
      </c>
      <c r="Z82" s="41">
        <f>G82/'1. Väestöennuste'!I82*1000</f>
        <v>-367.43838685586263</v>
      </c>
      <c r="AA82" s="41">
        <f>H82/'1. Väestöennuste'!J82*1000</f>
        <v>-321.23960695389263</v>
      </c>
      <c r="AB82" s="41">
        <f>I82/'1. Väestöennuste'!K82*1000</f>
        <v>-264.84963386727691</v>
      </c>
      <c r="AC82" s="41">
        <f>J82/'1. Väestöennuste'!L82*1000</f>
        <v>-189.61375098502759</v>
      </c>
      <c r="AD82" s="41">
        <f>K82/'1. Väestöennuste'!M82*1000</f>
        <v>-299.52165981922758</v>
      </c>
      <c r="AE82" s="41">
        <f>L82/'1. Väestöennuste'!N82*1000</f>
        <v>-647.57862348806577</v>
      </c>
      <c r="AF82" s="41">
        <f>M82/'1. Väestöennuste'!O82*1000</f>
        <v>-685.26396741835197</v>
      </c>
      <c r="AG82" s="41">
        <f>N82/'1. Väestöennuste'!P82*1000</f>
        <v>-717.65828818815191</v>
      </c>
      <c r="AH82" s="41">
        <f>O82/'1. Väestöennuste'!Q82*1000</f>
        <v>-759.6942683813661</v>
      </c>
      <c r="AI82" s="41">
        <f>P82/'1. Väestöennuste'!R82*1000</f>
        <v>-801.30008492148875</v>
      </c>
      <c r="AK82" s="34">
        <v>216</v>
      </c>
      <c r="AL82" s="88" t="s">
        <v>396</v>
      </c>
      <c r="AM82" s="41"/>
      <c r="AN82" s="41">
        <f t="shared" si="26"/>
        <v>-508.96301818349508</v>
      </c>
      <c r="AO82" s="41">
        <f t="shared" si="27"/>
        <v>-491.73263534218586</v>
      </c>
      <c r="AP82" s="41">
        <f t="shared" si="28"/>
        <v>628.67239467849231</v>
      </c>
      <c r="AQ82" s="41">
        <f t="shared" si="29"/>
        <v>393.09376392019055</v>
      </c>
      <c r="AR82" s="41">
        <f t="shared" si="30"/>
        <v>46.198779901969999</v>
      </c>
      <c r="AS82" s="41">
        <f t="shared" si="31"/>
        <v>56.389973086615726</v>
      </c>
      <c r="AT82" s="41">
        <f t="shared" si="32"/>
        <v>75.235882882249314</v>
      </c>
      <c r="AU82" s="41">
        <f t="shared" si="33"/>
        <v>-109.90790883419999</v>
      </c>
      <c r="AV82" s="41">
        <f t="shared" si="34"/>
        <v>-348.05696366883819</v>
      </c>
      <c r="AW82" s="41">
        <f t="shared" si="35"/>
        <v>-37.685343930286194</v>
      </c>
      <c r="AX82" s="41">
        <f t="shared" si="36"/>
        <v>-32.394320769799947</v>
      </c>
      <c r="AY82" s="41">
        <f t="shared" si="36"/>
        <v>-42.035980193214186</v>
      </c>
      <c r="AZ82" s="41">
        <f t="shared" si="36"/>
        <v>-41.605816540122646</v>
      </c>
    </row>
    <row r="83" spans="1:52" x14ac:dyDescent="0.2">
      <c r="A83" s="30">
        <v>217</v>
      </c>
      <c r="B83" s="31" t="s">
        <v>397</v>
      </c>
      <c r="C83" s="41">
        <v>-859</v>
      </c>
      <c r="D83" s="41">
        <v>-935</v>
      </c>
      <c r="E83" s="73">
        <v>-1122</v>
      </c>
      <c r="F83" s="73">
        <v>-1474</v>
      </c>
      <c r="G83" s="73">
        <v>-1257</v>
      </c>
      <c r="H83" s="41">
        <v>-798</v>
      </c>
      <c r="I83" s="165">
        <v>-1575.01702</v>
      </c>
      <c r="J83" s="41">
        <v>-3268.3338599999997</v>
      </c>
      <c r="K83" s="41">
        <v>-7682.0672999999997</v>
      </c>
      <c r="L83" s="41">
        <f>$L$5*'7.1. Nettoinvestointiennuste '!Y83</f>
        <v>-4961.1157148969778</v>
      </c>
      <c r="M83" s="41">
        <f>$M$5*'7.1. Nettoinvestointiennuste '!Y83</f>
        <v>-5173.7396522414292</v>
      </c>
      <c r="N83" s="41">
        <f>$N$5*'7.1. Nettoinvestointiennuste '!Y83</f>
        <v>-5356.3424082871052</v>
      </c>
      <c r="O83" s="41">
        <f>O$5*'7.1. Nettoinvestointiennuste '!$Y83</f>
        <v>-5595.1074760388174</v>
      </c>
      <c r="P83" s="41">
        <f>P$5*'7.1. Nettoinvestointiennuste '!$Y83</f>
        <v>-5827.392229553775</v>
      </c>
      <c r="T83" s="34">
        <v>217</v>
      </c>
      <c r="U83" s="88" t="s">
        <v>397</v>
      </c>
      <c r="V83" s="41">
        <f>C83/'1. Väestöennuste'!E83*1000</f>
        <v>-153.66726296958853</v>
      </c>
      <c r="W83" s="41">
        <f>D83/'1. Väestöennuste'!F83*1000</f>
        <v>-167.62280387235566</v>
      </c>
      <c r="X83" s="41">
        <f>E83/'1. Väestöennuste'!G83*1000</f>
        <v>-203.26086956521738</v>
      </c>
      <c r="Y83" s="41">
        <f>F83/'1. Väestöennuste'!H83*1000</f>
        <v>-267.9025808796801</v>
      </c>
      <c r="Z83" s="41">
        <f>G83/'1. Väestöennuste'!I83*1000</f>
        <v>-230.05124450951683</v>
      </c>
      <c r="AA83" s="41">
        <f>H83/'1. Väestöennuste'!J83*1000</f>
        <v>-147.06966457795798</v>
      </c>
      <c r="AB83" s="41">
        <f>I83/'1. Väestöennuste'!K83*1000</f>
        <v>-292.2109499072356</v>
      </c>
      <c r="AC83" s="41">
        <f>J83/'1. Väestöennuste'!L83*1000</f>
        <v>-610.67523542600884</v>
      </c>
      <c r="AD83" s="41">
        <f>K83/'1. Väestöennuste'!M83*1000</f>
        <v>-1464.3666221883341</v>
      </c>
      <c r="AE83" s="41">
        <f>L83/'1. Väestöennuste'!N83*1000</f>
        <v>-939.78323828319333</v>
      </c>
      <c r="AF83" s="41">
        <f>M83/'1. Väestöennuste'!O83*1000</f>
        <v>-986.4136610565165</v>
      </c>
      <c r="AG83" s="41">
        <f>N83/'1. Väestöennuste'!P83*1000</f>
        <v>-1027.3000399476612</v>
      </c>
      <c r="AH83" s="41">
        <f>O83/'1. Väestöennuste'!Q83*1000</f>
        <v>-1079.0949809139474</v>
      </c>
      <c r="AI83" s="41">
        <f>P83/'1. Väestöennuste'!R83*1000</f>
        <v>-1130.4349620860862</v>
      </c>
      <c r="AK83" s="34">
        <v>217</v>
      </c>
      <c r="AL83" s="88" t="s">
        <v>397</v>
      </c>
      <c r="AM83" s="41"/>
      <c r="AN83" s="41">
        <f t="shared" si="26"/>
        <v>-13.955540902767126</v>
      </c>
      <c r="AO83" s="41">
        <f t="shared" si="27"/>
        <v>-35.638065692861716</v>
      </c>
      <c r="AP83" s="41">
        <f t="shared" si="28"/>
        <v>-64.641711314462725</v>
      </c>
      <c r="AQ83" s="41">
        <f t="shared" si="29"/>
        <v>37.851336370163267</v>
      </c>
      <c r="AR83" s="41">
        <f t="shared" si="30"/>
        <v>82.981579931558855</v>
      </c>
      <c r="AS83" s="41">
        <f t="shared" si="31"/>
        <v>-145.14128532927762</v>
      </c>
      <c r="AT83" s="41">
        <f t="shared" si="32"/>
        <v>-318.46428551877324</v>
      </c>
      <c r="AU83" s="41">
        <f t="shared" si="33"/>
        <v>-853.69138676232524</v>
      </c>
      <c r="AV83" s="41">
        <f t="shared" si="34"/>
        <v>524.58338390514075</v>
      </c>
      <c r="AW83" s="41">
        <f t="shared" si="35"/>
        <v>-46.630422773323176</v>
      </c>
      <c r="AX83" s="41">
        <f t="shared" si="36"/>
        <v>-40.886378891144659</v>
      </c>
      <c r="AY83" s="41">
        <f t="shared" si="36"/>
        <v>-51.794940966286276</v>
      </c>
      <c r="AZ83" s="41">
        <f t="shared" si="36"/>
        <v>-51.339981172138778</v>
      </c>
    </row>
    <row r="84" spans="1:52" x14ac:dyDescent="0.2">
      <c r="A84" s="30">
        <v>218</v>
      </c>
      <c r="B84" s="31" t="s">
        <v>398</v>
      </c>
      <c r="C84" s="41">
        <v>-211</v>
      </c>
      <c r="D84" s="41">
        <v>-215</v>
      </c>
      <c r="E84" s="73">
        <v>-262</v>
      </c>
      <c r="F84" s="73">
        <v>-994</v>
      </c>
      <c r="G84" s="73">
        <v>-432</v>
      </c>
      <c r="H84" s="41">
        <v>-133</v>
      </c>
      <c r="I84" s="165">
        <v>-184.78448</v>
      </c>
      <c r="J84" s="41">
        <v>-169.47685999999999</v>
      </c>
      <c r="K84" s="41">
        <v>-155.99265</v>
      </c>
      <c r="L84" s="41">
        <f>$L$5*'7.1. Nettoinvestointiennuste '!Y84</f>
        <v>-235.50561154587865</v>
      </c>
      <c r="M84" s="41">
        <f>$M$5*'7.1. Nettoinvestointiennuste '!Y84</f>
        <v>-245.59893193412071</v>
      </c>
      <c r="N84" s="41">
        <f>$N$5*'7.1. Nettoinvestointiennuste '!Y84</f>
        <v>-254.26713808044579</v>
      </c>
      <c r="O84" s="41">
        <f>O$5*'7.1. Nettoinvestointiennuste '!$Y84</f>
        <v>-265.60138556187701</v>
      </c>
      <c r="P84" s="41">
        <f>P$5*'7.1. Nettoinvestointiennuste '!$Y84</f>
        <v>-276.62801063435023</v>
      </c>
      <c r="T84" s="34">
        <v>218</v>
      </c>
      <c r="U84" s="88" t="s">
        <v>398</v>
      </c>
      <c r="V84" s="41">
        <f>C84/'1. Väestöennuste'!E84*1000</f>
        <v>-154.12710007304602</v>
      </c>
      <c r="W84" s="41">
        <f>D84/'1. Väestöennuste'!F84*1000</f>
        <v>-159.37731653076352</v>
      </c>
      <c r="X84" s="41">
        <f>E84/'1. Väestöennuste'!G84*1000</f>
        <v>-197.14070729872086</v>
      </c>
      <c r="Y84" s="41">
        <f>F84/'1. Väestöennuste'!H84*1000</f>
        <v>-780.2197802197802</v>
      </c>
      <c r="Z84" s="41">
        <f>G84/'1. Väestöennuste'!I84*1000</f>
        <v>-346.98795180722891</v>
      </c>
      <c r="AA84" s="41">
        <f>H84/'1. Väestöennuste'!J84*1000</f>
        <v>-110.19055509527755</v>
      </c>
      <c r="AB84" s="41">
        <f>I84/'1. Väestöennuste'!K84*1000</f>
        <v>-155.02053691275168</v>
      </c>
      <c r="AC84" s="41">
        <f>J84/'1. Väestöennuste'!L84*1000</f>
        <v>-141.23071666666664</v>
      </c>
      <c r="AD84" s="41">
        <f>K84/'1. Väestöennuste'!M84*1000</f>
        <v>-131.30694444444444</v>
      </c>
      <c r="AE84" s="41">
        <f>L84/'1. Väestöennuste'!N84*1000</f>
        <v>-212.74219651840889</v>
      </c>
      <c r="AF84" s="41">
        <f>M84/'1. Väestöennuste'!O84*1000</f>
        <v>-225.73431243944918</v>
      </c>
      <c r="AG84" s="41">
        <f>N84/'1. Väestöennuste'!P84*1000</f>
        <v>-237.41095992571971</v>
      </c>
      <c r="AH84" s="41">
        <f>O84/'1. Väestöennuste'!Q84*1000</f>
        <v>-252.47279996376142</v>
      </c>
      <c r="AI84" s="41">
        <f>P84/'1. Väestöennuste'!R84*1000</f>
        <v>-266.24447606770957</v>
      </c>
      <c r="AK84" s="34">
        <v>218</v>
      </c>
      <c r="AL84" s="88" t="s">
        <v>398</v>
      </c>
      <c r="AM84" s="41"/>
      <c r="AN84" s="41">
        <f t="shared" si="26"/>
        <v>-5.2502164577174995</v>
      </c>
      <c r="AO84" s="41">
        <f t="shared" si="27"/>
        <v>-37.763390767957333</v>
      </c>
      <c r="AP84" s="41">
        <f t="shared" si="28"/>
        <v>-583.07907292105938</v>
      </c>
      <c r="AQ84" s="41">
        <f t="shared" si="29"/>
        <v>433.23182841255129</v>
      </c>
      <c r="AR84" s="41">
        <f t="shared" si="30"/>
        <v>236.79739671195136</v>
      </c>
      <c r="AS84" s="41">
        <f t="shared" si="31"/>
        <v>-44.829981817474135</v>
      </c>
      <c r="AT84" s="41">
        <f t="shared" si="32"/>
        <v>13.789820246085043</v>
      </c>
      <c r="AU84" s="41">
        <f t="shared" si="33"/>
        <v>9.9237722222221976</v>
      </c>
      <c r="AV84" s="41">
        <f t="shared" si="34"/>
        <v>-81.435252073964449</v>
      </c>
      <c r="AW84" s="41">
        <f t="shared" si="35"/>
        <v>-12.992115921040295</v>
      </c>
      <c r="AX84" s="41">
        <f t="shared" si="36"/>
        <v>-11.676647486270525</v>
      </c>
      <c r="AY84" s="41">
        <f t="shared" si="36"/>
        <v>-15.061840038041709</v>
      </c>
      <c r="AZ84" s="41">
        <f t="shared" si="36"/>
        <v>-13.771676103948153</v>
      </c>
    </row>
    <row r="85" spans="1:52" x14ac:dyDescent="0.2">
      <c r="A85" s="30">
        <v>224</v>
      </c>
      <c r="B85" s="31" t="s">
        <v>399</v>
      </c>
      <c r="C85" s="41">
        <v>-8234</v>
      </c>
      <c r="D85" s="41">
        <v>-10139</v>
      </c>
      <c r="E85" s="73">
        <v>-6096</v>
      </c>
      <c r="F85" s="73">
        <v>-808</v>
      </c>
      <c r="G85" s="73">
        <v>-2322</v>
      </c>
      <c r="H85" s="41">
        <v>-1094</v>
      </c>
      <c r="I85" s="165">
        <v>-1492.7382600000001</v>
      </c>
      <c r="J85" s="41">
        <v>-1080.07089</v>
      </c>
      <c r="K85" s="41">
        <v>158.82816</v>
      </c>
      <c r="L85" s="41">
        <f>$L$5*'7.1. Nettoinvestointiennuste '!Y85</f>
        <v>-2082.7314145983923</v>
      </c>
      <c r="M85" s="41">
        <f>$M$5*'7.1. Nettoinvestointiennuste '!Y85</f>
        <v>-2171.9933022969917</v>
      </c>
      <c r="N85" s="41">
        <f>$N$5*'7.1. Nettoinvestointiennuste '!Y85</f>
        <v>-2248.6519650382365</v>
      </c>
      <c r="O85" s="41">
        <f>O$5*'7.1. Nettoinvestointiennuste '!$Y85</f>
        <v>-2348.8881892855338</v>
      </c>
      <c r="P85" s="41">
        <f>P$5*'7.1. Nettoinvestointiennuste '!$Y85</f>
        <v>-2446.4039057251157</v>
      </c>
      <c r="T85" s="34">
        <v>224</v>
      </c>
      <c r="U85" s="88" t="s">
        <v>399</v>
      </c>
      <c r="V85" s="41">
        <f>C85/'1. Väestöennuste'!E85*1000</f>
        <v>-918.05106477868219</v>
      </c>
      <c r="W85" s="41">
        <f>D85/'1. Väestöennuste'!F85*1000</f>
        <v>-1137.8072045786107</v>
      </c>
      <c r="X85" s="41">
        <f>E85/'1. Väestöennuste'!G85*1000</f>
        <v>-684.94382022471916</v>
      </c>
      <c r="Y85" s="41">
        <f>F85/'1. Väestöennuste'!H85*1000</f>
        <v>-92.048302574618361</v>
      </c>
      <c r="Z85" s="41">
        <f>G85/'1. Väestöennuste'!I85*1000</f>
        <v>-266.46775304108331</v>
      </c>
      <c r="AA85" s="41">
        <f>H85/'1. Väestöennuste'!J85*1000</f>
        <v>-125.80496780128794</v>
      </c>
      <c r="AB85" s="41">
        <f>I85/'1. Väestöennuste'!K85*1000</f>
        <v>-171.24449466559597</v>
      </c>
      <c r="AC85" s="41">
        <f>J85/'1. Väestöennuste'!L85*1000</f>
        <v>-125.54584331047309</v>
      </c>
      <c r="AD85" s="41">
        <f>K85/'1. Väestöennuste'!M85*1000</f>
        <v>18.50928330031465</v>
      </c>
      <c r="AE85" s="41">
        <f>L85/'1. Väestöennuste'!N85*1000</f>
        <v>-245.92412499685824</v>
      </c>
      <c r="AF85" s="41">
        <f>M85/'1. Väestöennuste'!O85*1000</f>
        <v>-257.83396276080151</v>
      </c>
      <c r="AG85" s="41">
        <f>N85/'1. Väestöennuste'!P85*1000</f>
        <v>-268.14356845197193</v>
      </c>
      <c r="AH85" s="41">
        <f>O85/'1. Väestöennuste'!Q85*1000</f>
        <v>-281.33766789861465</v>
      </c>
      <c r="AI85" s="41">
        <f>P85/'1. Väestöennuste'!R85*1000</f>
        <v>-294.21574332232296</v>
      </c>
      <c r="AK85" s="34">
        <v>224</v>
      </c>
      <c r="AL85" s="88" t="s">
        <v>399</v>
      </c>
      <c r="AM85" s="41"/>
      <c r="AN85" s="41">
        <f t="shared" si="26"/>
        <v>-219.75613979992852</v>
      </c>
      <c r="AO85" s="41">
        <f t="shared" si="27"/>
        <v>452.86338435389155</v>
      </c>
      <c r="AP85" s="41">
        <f t="shared" si="28"/>
        <v>592.89551765010083</v>
      </c>
      <c r="AQ85" s="41">
        <f t="shared" si="29"/>
        <v>-174.41945046646495</v>
      </c>
      <c r="AR85" s="41">
        <f t="shared" si="30"/>
        <v>140.66278523979537</v>
      </c>
      <c r="AS85" s="41">
        <f t="shared" si="31"/>
        <v>-45.439526864308021</v>
      </c>
      <c r="AT85" s="41">
        <f t="shared" si="32"/>
        <v>45.698651355122877</v>
      </c>
      <c r="AU85" s="41">
        <f t="shared" si="33"/>
        <v>144.05512661078774</v>
      </c>
      <c r="AV85" s="41">
        <f t="shared" si="34"/>
        <v>-264.43340829717289</v>
      </c>
      <c r="AW85" s="41">
        <f t="shared" si="35"/>
        <v>-11.909837763943273</v>
      </c>
      <c r="AX85" s="41">
        <f t="shared" si="36"/>
        <v>-10.309605691170418</v>
      </c>
      <c r="AY85" s="41">
        <f t="shared" si="36"/>
        <v>-13.194099446642724</v>
      </c>
      <c r="AZ85" s="41">
        <f t="shared" si="36"/>
        <v>-12.87807542370831</v>
      </c>
    </row>
    <row r="86" spans="1:52" x14ac:dyDescent="0.2">
      <c r="A86" s="30">
        <v>226</v>
      </c>
      <c r="B86" s="31" t="s">
        <v>400</v>
      </c>
      <c r="C86" s="41">
        <v>-1132</v>
      </c>
      <c r="D86" s="41">
        <v>-598</v>
      </c>
      <c r="E86" s="73">
        <v>-658</v>
      </c>
      <c r="F86" s="71">
        <v>-851</v>
      </c>
      <c r="G86" s="73">
        <v>-757</v>
      </c>
      <c r="H86" s="41">
        <v>-322</v>
      </c>
      <c r="I86" s="165">
        <v>-4063.63285</v>
      </c>
      <c r="J86" s="41">
        <v>-5346.0450799999999</v>
      </c>
      <c r="K86" s="41">
        <v>-1975.566</v>
      </c>
      <c r="L86" s="41">
        <f>$L$5*'7.1. Nettoinvestointiennuste '!Y86</f>
        <v>-2229.1018477781995</v>
      </c>
      <c r="M86" s="41">
        <f>$M$5*'7.1. Nettoinvestointiennuste '!Y86</f>
        <v>-2324.636892484617</v>
      </c>
      <c r="N86" s="41">
        <f>$N$5*'7.1. Nettoinvestointiennuste '!Y86</f>
        <v>-2406.6829813691334</v>
      </c>
      <c r="O86" s="41">
        <f>O$5*'7.1. Nettoinvestointiennuste '!$Y86</f>
        <v>-2513.9636182855575</v>
      </c>
      <c r="P86" s="41">
        <f>P$5*'7.1. Nettoinvestointiennuste '!$Y86</f>
        <v>-2618.3325552398223</v>
      </c>
      <c r="T86" s="34">
        <v>226</v>
      </c>
      <c r="U86" s="88" t="s">
        <v>400</v>
      </c>
      <c r="V86" s="41">
        <f>C86/'1. Väestöennuste'!E86*1000</f>
        <v>-265.22961574507963</v>
      </c>
      <c r="W86" s="41">
        <f>D86/'1. Väestöennuste'!F86*1000</f>
        <v>-141.30434782608694</v>
      </c>
      <c r="X86" s="41">
        <f>E86/'1. Väestöennuste'!G86*1000</f>
        <v>-158.7071876507477</v>
      </c>
      <c r="Y86" s="41">
        <f>F86/'1. Väestöennuste'!H86*1000</f>
        <v>-211.11386752666834</v>
      </c>
      <c r="Z86" s="41">
        <f>G86/'1. Väestöennuste'!I86*1000</f>
        <v>-191.69409977209421</v>
      </c>
      <c r="AA86" s="41">
        <f>H86/'1. Väestöennuste'!J86*1000</f>
        <v>-83.462934162778637</v>
      </c>
      <c r="AB86" s="41">
        <f>I86/'1. Väestöennuste'!K86*1000</f>
        <v>-1076.7442633810281</v>
      </c>
      <c r="AC86" s="41">
        <f>J86/'1. Väestöennuste'!L86*1000</f>
        <v>-1458.6753287858116</v>
      </c>
      <c r="AD86" s="41">
        <f>K86/'1. Väestöennuste'!M86*1000</f>
        <v>-544.98372413793106</v>
      </c>
      <c r="AE86" s="41">
        <f>L86/'1. Väestöennuste'!N86*1000</f>
        <v>-625.44945223855211</v>
      </c>
      <c r="AF86" s="41">
        <f>M86/'1. Väestöennuste'!O86*1000</f>
        <v>-664.37178979268856</v>
      </c>
      <c r="AG86" s="41">
        <f>N86/'1. Väestöennuste'!P86*1000</f>
        <v>-700.43160109695384</v>
      </c>
      <c r="AH86" s="41">
        <f>O86/'1. Väestöennuste'!Q86*1000</f>
        <v>-744.87810912164662</v>
      </c>
      <c r="AI86" s="41">
        <f>P86/'1. Väestöennuste'!R86*1000</f>
        <v>-789.36766814586144</v>
      </c>
      <c r="AK86" s="34">
        <v>226</v>
      </c>
      <c r="AL86" s="88" t="s">
        <v>400</v>
      </c>
      <c r="AM86" s="41"/>
      <c r="AN86" s="41">
        <f t="shared" si="26"/>
        <v>123.92526791899269</v>
      </c>
      <c r="AO86" s="41">
        <f t="shared" si="27"/>
        <v>-17.402839824660759</v>
      </c>
      <c r="AP86" s="41">
        <f t="shared" si="28"/>
        <v>-52.406679875920645</v>
      </c>
      <c r="AQ86" s="41">
        <f t="shared" si="29"/>
        <v>19.419767754574139</v>
      </c>
      <c r="AR86" s="41">
        <f t="shared" si="30"/>
        <v>108.23116560931557</v>
      </c>
      <c r="AS86" s="41">
        <f t="shared" si="31"/>
        <v>-993.28132921824943</v>
      </c>
      <c r="AT86" s="41">
        <f t="shared" si="32"/>
        <v>-381.93106540478357</v>
      </c>
      <c r="AU86" s="41">
        <f t="shared" si="33"/>
        <v>913.69160464788058</v>
      </c>
      <c r="AV86" s="41">
        <f t="shared" si="34"/>
        <v>-80.46572810062105</v>
      </c>
      <c r="AW86" s="41">
        <f t="shared" si="35"/>
        <v>-38.922337554136448</v>
      </c>
      <c r="AX86" s="41">
        <f t="shared" si="36"/>
        <v>-36.059811304265281</v>
      </c>
      <c r="AY86" s="41">
        <f t="shared" si="36"/>
        <v>-44.446508024692776</v>
      </c>
      <c r="AZ86" s="41">
        <f t="shared" si="36"/>
        <v>-44.489559024214827</v>
      </c>
    </row>
    <row r="87" spans="1:52" x14ac:dyDescent="0.2">
      <c r="A87" s="30">
        <v>230</v>
      </c>
      <c r="B87" s="31" t="s">
        <v>401</v>
      </c>
      <c r="C87" s="41">
        <v>-580</v>
      </c>
      <c r="D87" s="41">
        <v>-1392</v>
      </c>
      <c r="E87" s="73">
        <v>-3104</v>
      </c>
      <c r="F87" s="73">
        <v>-62</v>
      </c>
      <c r="G87" s="73">
        <v>-338</v>
      </c>
      <c r="H87" s="41">
        <v>-276</v>
      </c>
      <c r="I87" s="165">
        <v>-812.62522999999999</v>
      </c>
      <c r="J87" s="41">
        <v>-93.227240000000009</v>
      </c>
      <c r="K87" s="41">
        <v>-171.43598</v>
      </c>
      <c r="L87" s="41">
        <f>$L$5*'7.1. Nettoinvestointiennuste '!Y87</f>
        <v>-450.57311571623228</v>
      </c>
      <c r="M87" s="41">
        <f>$M$5*'7.1. Nettoinvestointiennuste '!Y87</f>
        <v>-469.88381827402014</v>
      </c>
      <c r="N87" s="41">
        <f>$N$5*'7.1. Nettoinvestointiennuste '!Y87</f>
        <v>-486.46796939204739</v>
      </c>
      <c r="O87" s="41">
        <f>O$5*'7.1. Nettoinvestointiennuste '!$Y87</f>
        <v>-508.15283358056996</v>
      </c>
      <c r="P87" s="41">
        <f>P$5*'7.1. Nettoinvestointiennuste '!$Y87</f>
        <v>-529.24914963914125</v>
      </c>
      <c r="T87" s="34">
        <v>230</v>
      </c>
      <c r="U87" s="88" t="s">
        <v>401</v>
      </c>
      <c r="V87" s="41">
        <f>C87/'1. Väestöennuste'!E87*1000</f>
        <v>-234.34343434343435</v>
      </c>
      <c r="W87" s="41">
        <f>D87/'1. Väestöennuste'!F87*1000</f>
        <v>-568.39526337280518</v>
      </c>
      <c r="X87" s="41">
        <f>E87/'1. Väestöennuste'!G87*1000</f>
        <v>-1291.7186849771119</v>
      </c>
      <c r="Y87" s="41">
        <f>F87/'1. Väestöennuste'!H87*1000</f>
        <v>-25.94142259414226</v>
      </c>
      <c r="Z87" s="41">
        <f>G87/'1. Väestöennuste'!I87*1000</f>
        <v>-144.3210930828352</v>
      </c>
      <c r="AA87" s="41">
        <f>H87/'1. Väestöennuste'!J87*1000</f>
        <v>-118.86304909560722</v>
      </c>
      <c r="AB87" s="41">
        <f>I87/'1. Väestöennuste'!K87*1000</f>
        <v>-354.85817903930126</v>
      </c>
      <c r="AC87" s="41">
        <f>J87/'1. Väestöennuste'!L87*1000</f>
        <v>-41.619303571428574</v>
      </c>
      <c r="AD87" s="41">
        <f>K87/'1. Väestöennuste'!M87*1000</f>
        <v>-77.362806859205776</v>
      </c>
      <c r="AE87" s="41">
        <f>L87/'1. Väestöennuste'!N87*1000</f>
        <v>-203.97153269182087</v>
      </c>
      <c r="AF87" s="41">
        <f>M87/'1. Väestöennuste'!O87*1000</f>
        <v>-215.2468246788915</v>
      </c>
      <c r="AG87" s="41">
        <f>N87/'1. Väestöennuste'!P87*1000</f>
        <v>-225.11243377697704</v>
      </c>
      <c r="AH87" s="41">
        <f>O87/'1. Väestöennuste'!Q87*1000</f>
        <v>-237.45459513110745</v>
      </c>
      <c r="AI87" s="41">
        <f>P87/'1. Väestöennuste'!R87*1000</f>
        <v>-249.64582530148172</v>
      </c>
      <c r="AK87" s="34">
        <v>230</v>
      </c>
      <c r="AL87" s="88" t="s">
        <v>401</v>
      </c>
      <c r="AM87" s="41"/>
      <c r="AN87" s="41">
        <f t="shared" si="26"/>
        <v>-334.05182902937082</v>
      </c>
      <c r="AO87" s="41">
        <f t="shared" si="27"/>
        <v>-723.32342160430676</v>
      </c>
      <c r="AP87" s="41">
        <f t="shared" si="28"/>
        <v>1265.7772623829696</v>
      </c>
      <c r="AQ87" s="41">
        <f t="shared" si="29"/>
        <v>-118.37967048869294</v>
      </c>
      <c r="AR87" s="41">
        <f t="shared" si="30"/>
        <v>25.458043987227981</v>
      </c>
      <c r="AS87" s="41">
        <f t="shared" si="31"/>
        <v>-235.99512994369405</v>
      </c>
      <c r="AT87" s="41">
        <f t="shared" si="32"/>
        <v>313.23887546787267</v>
      </c>
      <c r="AU87" s="41">
        <f t="shared" si="33"/>
        <v>-35.743503287777202</v>
      </c>
      <c r="AV87" s="41">
        <f t="shared" si="34"/>
        <v>-126.60872583261509</v>
      </c>
      <c r="AW87" s="41">
        <f t="shared" si="35"/>
        <v>-11.275291987070631</v>
      </c>
      <c r="AX87" s="41">
        <f t="shared" si="36"/>
        <v>-9.8656090980855424</v>
      </c>
      <c r="AY87" s="41">
        <f t="shared" si="36"/>
        <v>-12.342161354130411</v>
      </c>
      <c r="AZ87" s="41">
        <f t="shared" si="36"/>
        <v>-12.191230170374268</v>
      </c>
    </row>
    <row r="88" spans="1:52" x14ac:dyDescent="0.2">
      <c r="A88" s="30">
        <v>231</v>
      </c>
      <c r="B88" s="31" t="s">
        <v>402</v>
      </c>
      <c r="C88" s="41">
        <v>-319</v>
      </c>
      <c r="D88" s="41">
        <v>-606</v>
      </c>
      <c r="E88" s="73">
        <v>-1477</v>
      </c>
      <c r="F88" s="73">
        <v>434</v>
      </c>
      <c r="G88" s="73">
        <v>-499</v>
      </c>
      <c r="H88" s="41">
        <v>-599</v>
      </c>
      <c r="I88" s="165">
        <v>-502.67601999999999</v>
      </c>
      <c r="J88" s="41">
        <v>1080.4443200000001</v>
      </c>
      <c r="K88" s="41">
        <v>-317.08348000000001</v>
      </c>
      <c r="L88" s="41">
        <f>$L$5*'7.1. Nettoinvestointiennuste '!Y88</f>
        <v>-634.39614783769969</v>
      </c>
      <c r="M88" s="41">
        <f>$M$5*'7.1. Nettoinvestointiennuste '!Y88</f>
        <v>-661.58515421067557</v>
      </c>
      <c r="N88" s="41">
        <f>$N$5*'7.1. Nettoinvestointiennuste '!Y88</f>
        <v>-684.93524150496671</v>
      </c>
      <c r="O88" s="41">
        <f>O$5*'7.1. Nettoinvestointiennuste '!$Y88</f>
        <v>-715.46701055140568</v>
      </c>
      <c r="P88" s="41">
        <f>P$5*'7.1. Nettoinvestointiennuste '!$Y88</f>
        <v>-745.17011793687391</v>
      </c>
      <c r="T88" s="34">
        <v>231</v>
      </c>
      <c r="U88" s="88" t="s">
        <v>402</v>
      </c>
      <c r="V88" s="41">
        <f>C88/'1. Väestöennuste'!E88*1000</f>
        <v>-248.24902723735408</v>
      </c>
      <c r="W88" s="41">
        <f>D88/'1. Väestöennuste'!F88*1000</f>
        <v>-467.59259259259261</v>
      </c>
      <c r="X88" s="41">
        <f>E88/'1. Väestöennuste'!G88*1000</f>
        <v>-1159.3406593406594</v>
      </c>
      <c r="Y88" s="41">
        <f>F88/'1. Väestöennuste'!H88*1000</f>
        <v>343.89857369255151</v>
      </c>
      <c r="Z88" s="41">
        <f>G88/'1. Väestöennuste'!I88*1000</f>
        <v>-400.48154093097918</v>
      </c>
      <c r="AA88" s="41">
        <f>H88/'1. Väestöennuste'!J88*1000</f>
        <v>-468.70109546165884</v>
      </c>
      <c r="AB88" s="41">
        <f>I88/'1. Väestöennuste'!K88*1000</f>
        <v>-389.97363847944143</v>
      </c>
      <c r="AC88" s="41">
        <f>J88/'1. Väestöennuste'!L88*1000</f>
        <v>860.22636942675172</v>
      </c>
      <c r="AD88" s="41">
        <f>K88/'1. Väestöennuste'!M88*1000</f>
        <v>-262.48632450331127</v>
      </c>
      <c r="AE88" s="41">
        <f>L88/'1. Väestöennuste'!N88*1000</f>
        <v>-487.24742537457735</v>
      </c>
      <c r="AF88" s="41">
        <f>M88/'1. Väestöennuste'!O88*1000</f>
        <v>-506.57362496988947</v>
      </c>
      <c r="AG88" s="41">
        <f>N88/'1. Väestöennuste'!P88*1000</f>
        <v>-522.45251068265964</v>
      </c>
      <c r="AH88" s="41">
        <f>O88/'1. Väestöennuste'!Q88*1000</f>
        <v>-544.49544181994349</v>
      </c>
      <c r="AI88" s="41">
        <f>P88/'1. Väestöennuste'!R88*1000</f>
        <v>-565.80874558608491</v>
      </c>
      <c r="AK88" s="34">
        <v>231</v>
      </c>
      <c r="AL88" s="88" t="s">
        <v>402</v>
      </c>
      <c r="AM88" s="41"/>
      <c r="AN88" s="41">
        <f t="shared" si="26"/>
        <v>-219.34356535523852</v>
      </c>
      <c r="AO88" s="41">
        <f t="shared" si="27"/>
        <v>-691.74806674806678</v>
      </c>
      <c r="AP88" s="41">
        <f t="shared" si="28"/>
        <v>1503.2392330332109</v>
      </c>
      <c r="AQ88" s="41">
        <f t="shared" si="29"/>
        <v>-744.38011462353074</v>
      </c>
      <c r="AR88" s="41">
        <f t="shared" si="30"/>
        <v>-68.219554530679659</v>
      </c>
      <c r="AS88" s="41">
        <f t="shared" si="31"/>
        <v>78.727456982217404</v>
      </c>
      <c r="AT88" s="41">
        <f t="shared" si="32"/>
        <v>1250.2000079061932</v>
      </c>
      <c r="AU88" s="41">
        <f t="shared" si="33"/>
        <v>-1122.7126939300629</v>
      </c>
      <c r="AV88" s="41">
        <f t="shared" si="34"/>
        <v>-224.76110087126608</v>
      </c>
      <c r="AW88" s="41">
        <f t="shared" si="35"/>
        <v>-19.326199595312119</v>
      </c>
      <c r="AX88" s="41">
        <f t="shared" si="36"/>
        <v>-15.87888571277017</v>
      </c>
      <c r="AY88" s="41">
        <f t="shared" si="36"/>
        <v>-22.042931137283858</v>
      </c>
      <c r="AZ88" s="41">
        <f t="shared" si="36"/>
        <v>-21.313303766141416</v>
      </c>
    </row>
    <row r="89" spans="1:52" x14ac:dyDescent="0.2">
      <c r="A89" s="30">
        <v>232</v>
      </c>
      <c r="B89" s="31" t="s">
        <v>403</v>
      </c>
      <c r="C89" s="41">
        <v>-3452</v>
      </c>
      <c r="D89" s="41">
        <v>-7354</v>
      </c>
      <c r="E89" s="73">
        <v>-3129</v>
      </c>
      <c r="F89" s="73">
        <v>-2800</v>
      </c>
      <c r="G89" s="73">
        <v>-5424</v>
      </c>
      <c r="H89" s="41">
        <v>-5449</v>
      </c>
      <c r="I89" s="165">
        <v>-4889.5129800000004</v>
      </c>
      <c r="J89" s="41">
        <v>-8171.25911</v>
      </c>
      <c r="K89" s="41">
        <v>-5603.9840199999999</v>
      </c>
      <c r="L89" s="41">
        <f>$L$5*'7.1. Nettoinvestointiennuste '!Y89</f>
        <v>-6152.2882273160849</v>
      </c>
      <c r="M89" s="41">
        <f>$M$5*'7.1. Nettoinvestointiennuste '!Y89</f>
        <v>-6415.9635418510597</v>
      </c>
      <c r="N89" s="41">
        <f>$N$5*'7.1. Nettoinvestointiennuste '!Y89</f>
        <v>-6642.4095372391384</v>
      </c>
      <c r="O89" s="41">
        <f>O$5*'7.1. Nettoinvestointiennuste '!$Y89</f>
        <v>-6938.5025130615513</v>
      </c>
      <c r="P89" s="41">
        <f>P$5*'7.1. Nettoinvestointiennuste '!$Y89</f>
        <v>-7226.5592399272273</v>
      </c>
      <c r="T89" s="34">
        <v>232</v>
      </c>
      <c r="U89" s="88" t="s">
        <v>403</v>
      </c>
      <c r="V89" s="41">
        <f>C89/'1. Väestöennuste'!E89*1000</f>
        <v>-248.7927927927928</v>
      </c>
      <c r="W89" s="41">
        <f>D89/'1. Väestöennuste'!F89*1000</f>
        <v>-533.98199244844614</v>
      </c>
      <c r="X89" s="41">
        <f>E89/'1. Väestöennuste'!G89*1000</f>
        <v>-229.90448199853051</v>
      </c>
      <c r="Y89" s="41">
        <f>F89/'1. Väestöennuste'!H89*1000</f>
        <v>-209.34579439252337</v>
      </c>
      <c r="Z89" s="41">
        <f>G89/'1. Väestöennuste'!I89*1000</f>
        <v>-411.40776699029124</v>
      </c>
      <c r="AA89" s="41">
        <f>H89/'1. Väestöennuste'!J89*1000</f>
        <v>-418.92826939340353</v>
      </c>
      <c r="AB89" s="41">
        <f>I89/'1. Väestöennuste'!K89*1000</f>
        <v>-379.32606516679601</v>
      </c>
      <c r="AC89" s="41">
        <f>J89/'1. Väestöennuste'!L89*1000</f>
        <v>-640.88306745098032</v>
      </c>
      <c r="AD89" s="41">
        <f>K89/'1. Väestöennuste'!M89*1000</f>
        <v>-444.12617055000794</v>
      </c>
      <c r="AE89" s="41">
        <f>L89/'1. Väestöennuste'!N89*1000</f>
        <v>-496.71308148846157</v>
      </c>
      <c r="AF89" s="41">
        <f>M89/'1. Väestöennuste'!O89*1000</f>
        <v>-523.7093740797535</v>
      </c>
      <c r="AG89" s="41">
        <f>N89/'1. Väestöennuste'!P89*1000</f>
        <v>-548.05359218144713</v>
      </c>
      <c r="AH89" s="41">
        <f>O89/'1. Väestöennuste'!Q89*1000</f>
        <v>-578.73905355422062</v>
      </c>
      <c r="AI89" s="41">
        <f>P89/'1. Väestöennuste'!R89*1000</f>
        <v>-609.57901644261722</v>
      </c>
      <c r="AK89" s="34">
        <v>232</v>
      </c>
      <c r="AL89" s="88" t="s">
        <v>403</v>
      </c>
      <c r="AM89" s="41"/>
      <c r="AN89" s="41">
        <f t="shared" si="26"/>
        <v>-285.18919965565334</v>
      </c>
      <c r="AO89" s="41">
        <f t="shared" si="27"/>
        <v>304.07751044991562</v>
      </c>
      <c r="AP89" s="41">
        <f t="shared" si="28"/>
        <v>20.55868760600714</v>
      </c>
      <c r="AQ89" s="41">
        <f t="shared" si="29"/>
        <v>-202.06197259776786</v>
      </c>
      <c r="AR89" s="41">
        <f t="shared" si="30"/>
        <v>-7.5205024031122889</v>
      </c>
      <c r="AS89" s="41">
        <f t="shared" si="31"/>
        <v>39.602204226607512</v>
      </c>
      <c r="AT89" s="41">
        <f t="shared" si="32"/>
        <v>-261.55700228418431</v>
      </c>
      <c r="AU89" s="41">
        <f t="shared" si="33"/>
        <v>196.75689690097238</v>
      </c>
      <c r="AV89" s="41">
        <f t="shared" si="34"/>
        <v>-52.586910938453627</v>
      </c>
      <c r="AW89" s="41">
        <f t="shared" si="35"/>
        <v>-26.996292591291933</v>
      </c>
      <c r="AX89" s="41">
        <f t="shared" si="36"/>
        <v>-24.344218101693627</v>
      </c>
      <c r="AY89" s="41">
        <f t="shared" si="36"/>
        <v>-30.685461372773489</v>
      </c>
      <c r="AZ89" s="41">
        <f t="shared" si="36"/>
        <v>-30.839962888396599</v>
      </c>
    </row>
    <row r="90" spans="1:52" x14ac:dyDescent="0.2">
      <c r="A90" s="30">
        <v>233</v>
      </c>
      <c r="B90" s="31" t="s">
        <v>404</v>
      </c>
      <c r="C90" s="41">
        <v>-8997</v>
      </c>
      <c r="D90" s="41">
        <v>-9754</v>
      </c>
      <c r="E90" s="73">
        <v>-4694</v>
      </c>
      <c r="F90" s="73">
        <v>-11347</v>
      </c>
      <c r="G90" s="73">
        <v>-8824</v>
      </c>
      <c r="H90" s="41">
        <v>-12092</v>
      </c>
      <c r="I90" s="165">
        <v>-11207.114519999999</v>
      </c>
      <c r="J90" s="41">
        <v>-12427.34382</v>
      </c>
      <c r="K90" s="41">
        <v>-11074.244279999999</v>
      </c>
      <c r="L90" s="41">
        <f>$L$5*'7.1. Nettoinvestointiennuste '!Y90</f>
        <v>-10737.973435452834</v>
      </c>
      <c r="M90" s="41">
        <f>$M$5*'7.1. Nettoinvestointiennuste '!Y90</f>
        <v>-11198.182453374022</v>
      </c>
      <c r="N90" s="41">
        <f>$N$5*'7.1. Nettoinvestointiennuste '!Y90</f>
        <v>-11593.412812095792</v>
      </c>
      <c r="O90" s="41">
        <f>O$5*'7.1. Nettoinvestointiennuste '!$Y90</f>
        <v>-12110.202401811141</v>
      </c>
      <c r="P90" s="41">
        <f>P$5*'7.1. Nettoinvestointiennuste '!$Y90</f>
        <v>-12612.965823598435</v>
      </c>
      <c r="T90" s="34">
        <v>233</v>
      </c>
      <c r="U90" s="88" t="s">
        <v>404</v>
      </c>
      <c r="V90" s="41">
        <f>C90/'1. Väestöennuste'!E90*1000</f>
        <v>-536.04623450905615</v>
      </c>
      <c r="W90" s="41">
        <f>D90/'1. Väestöennuste'!F90*1000</f>
        <v>-587.6257605879872</v>
      </c>
      <c r="X90" s="41">
        <f>E90/'1. Väestöennuste'!G90*1000</f>
        <v>-288.36466396363193</v>
      </c>
      <c r="Y90" s="41">
        <f>F90/'1. Väestöennuste'!H90*1000</f>
        <v>-708.21370615403828</v>
      </c>
      <c r="Z90" s="41">
        <f>G90/'1. Väestöennuste'!I90*1000</f>
        <v>-561.10899147907924</v>
      </c>
      <c r="AA90" s="41">
        <f>H90/'1. Väestöennuste'!J90*1000</f>
        <v>-779.42503545184991</v>
      </c>
      <c r="AB90" s="41">
        <f>I90/'1. Väestöennuste'!K90*1000</f>
        <v>-731.91709247648896</v>
      </c>
      <c r="AC90" s="41">
        <f>J90/'1. Väestöennuste'!L90*1000</f>
        <v>-822.13176898650443</v>
      </c>
      <c r="AD90" s="41">
        <f>K90/'1. Väestöennuste'!M90*1000</f>
        <v>-730.25019980217598</v>
      </c>
      <c r="AE90" s="41">
        <f>L90/'1. Väestöennuste'!N90*1000</f>
        <v>-734.72278039362527</v>
      </c>
      <c r="AF90" s="41">
        <f>M90/'1. Väestöennuste'!O90*1000</f>
        <v>-777.00405588218302</v>
      </c>
      <c r="AG90" s="41">
        <f>N90/'1. Väestöennuste'!P90*1000</f>
        <v>-815.57599803698849</v>
      </c>
      <c r="AH90" s="41">
        <f>O90/'1. Väestöennuste'!Q90*1000</f>
        <v>-863.41097973842443</v>
      </c>
      <c r="AI90" s="41">
        <f>P90/'1. Väestöennuste'!R90*1000</f>
        <v>-911.20978352827888</v>
      </c>
      <c r="AK90" s="34">
        <v>233</v>
      </c>
      <c r="AL90" s="88" t="s">
        <v>404</v>
      </c>
      <c r="AM90" s="41"/>
      <c r="AN90" s="41">
        <f t="shared" si="26"/>
        <v>-51.579526078931053</v>
      </c>
      <c r="AO90" s="41">
        <f t="shared" si="27"/>
        <v>299.26109662435528</v>
      </c>
      <c r="AP90" s="41">
        <f t="shared" si="28"/>
        <v>-419.84904219040635</v>
      </c>
      <c r="AQ90" s="41">
        <f t="shared" si="29"/>
        <v>147.10471467495904</v>
      </c>
      <c r="AR90" s="41">
        <f t="shared" si="30"/>
        <v>-218.31604397277067</v>
      </c>
      <c r="AS90" s="41">
        <f t="shared" si="31"/>
        <v>47.507942975360947</v>
      </c>
      <c r="AT90" s="41">
        <f t="shared" si="32"/>
        <v>-90.214676510015465</v>
      </c>
      <c r="AU90" s="41">
        <f t="shared" si="33"/>
        <v>91.881569184328441</v>
      </c>
      <c r="AV90" s="41">
        <f t="shared" si="34"/>
        <v>-4.4725805914492867</v>
      </c>
      <c r="AW90" s="41">
        <f t="shared" si="35"/>
        <v>-42.281275488557753</v>
      </c>
      <c r="AX90" s="41">
        <f t="shared" si="36"/>
        <v>-38.57194215480547</v>
      </c>
      <c r="AY90" s="41">
        <f t="shared" si="36"/>
        <v>-47.834981701435936</v>
      </c>
      <c r="AZ90" s="41">
        <f t="shared" si="36"/>
        <v>-47.798803789854446</v>
      </c>
    </row>
    <row r="91" spans="1:52" x14ac:dyDescent="0.2">
      <c r="A91" s="30">
        <v>235</v>
      </c>
      <c r="B91" s="31" t="s">
        <v>405</v>
      </c>
      <c r="C91" s="41">
        <v>1794</v>
      </c>
      <c r="D91" s="41">
        <v>-301</v>
      </c>
      <c r="E91" s="73">
        <v>-14620</v>
      </c>
      <c r="F91" s="73">
        <v>-8724</v>
      </c>
      <c r="G91" s="73">
        <v>-8752</v>
      </c>
      <c r="H91" s="41">
        <v>-4285</v>
      </c>
      <c r="I91" s="165">
        <v>-5512.8731200000002</v>
      </c>
      <c r="J91" s="41">
        <v>-11473.23588</v>
      </c>
      <c r="K91" s="41">
        <v>-8502.2673200000008</v>
      </c>
      <c r="L91" s="41">
        <f>$L$5*'7.1. Nettoinvestointiennuste '!Y91</f>
        <v>-11931.175838449288</v>
      </c>
      <c r="M91" s="41">
        <f>$M$5*'7.1. Nettoinvestointiennuste '!Y91</f>
        <v>-12442.523230791408</v>
      </c>
      <c r="N91" s="41">
        <f>$N$5*'7.1. Nettoinvestointiennuste '!Y91</f>
        <v>-12881.671542616597</v>
      </c>
      <c r="O91" s="41">
        <f>O$5*'7.1. Nettoinvestointiennuste '!$Y91</f>
        <v>-13455.886733540457</v>
      </c>
      <c r="P91" s="41">
        <f>P$5*'7.1. Nettoinvestointiennuste '!$Y91</f>
        <v>-14014.517170330293</v>
      </c>
      <c r="T91" s="34">
        <v>235</v>
      </c>
      <c r="U91" s="88" t="s">
        <v>405</v>
      </c>
      <c r="V91" s="41">
        <f>C91/'1. Väestöennuste'!E91*1000</f>
        <v>189.12080961416825</v>
      </c>
      <c r="W91" s="41">
        <f>D91/'1. Väestöennuste'!F91*1000</f>
        <v>-32.031499414706822</v>
      </c>
      <c r="X91" s="41">
        <f>E91/'1. Väestöennuste'!G91*1000</f>
        <v>-1519.1188694929342</v>
      </c>
      <c r="Y91" s="41">
        <f>F91/'1. Väestöennuste'!H91*1000</f>
        <v>-907.33229329173173</v>
      </c>
      <c r="Z91" s="41">
        <f>G91/'1. Väestöennuste'!I91*1000</f>
        <v>-893.33469429417164</v>
      </c>
      <c r="AA91" s="41">
        <f>H91/'1. Väestöennuste'!J91*1000</f>
        <v>-421.00609157005306</v>
      </c>
      <c r="AB91" s="41">
        <f>I91/'1. Väestöennuste'!K91*1000</f>
        <v>-530.28791073489799</v>
      </c>
      <c r="AC91" s="41">
        <f>J91/'1. Väestöennuste'!L91*1000</f>
        <v>-1115.6394282380397</v>
      </c>
      <c r="AD91" s="41">
        <f>K91/'1. Väestöennuste'!M91*1000</f>
        <v>-827.87413047711789</v>
      </c>
      <c r="AE91" s="41">
        <f>L91/'1. Väestöennuste'!N91*1000</f>
        <v>-1117.2559077113297</v>
      </c>
      <c r="AF91" s="41">
        <f>M91/'1. Väestöennuste'!O91*1000</f>
        <v>-1151.7655494576884</v>
      </c>
      <c r="AG91" s="41">
        <f>N91/'1. Väestöennuste'!P91*1000</f>
        <v>-1179.2083067206697</v>
      </c>
      <c r="AH91" s="41">
        <f>O91/'1. Väestöennuste'!Q91*1000</f>
        <v>-1219.0511626690034</v>
      </c>
      <c r="AI91" s="41">
        <f>P91/'1. Väestöennuste'!R91*1000</f>
        <v>-1257.245641906369</v>
      </c>
      <c r="AK91" s="34">
        <v>235</v>
      </c>
      <c r="AL91" s="88" t="s">
        <v>405</v>
      </c>
      <c r="AM91" s="41"/>
      <c r="AN91" s="41">
        <f t="shared" si="26"/>
        <v>-221.15230902887507</v>
      </c>
      <c r="AO91" s="41">
        <f t="shared" si="27"/>
        <v>-1487.0873700782274</v>
      </c>
      <c r="AP91" s="41">
        <f t="shared" si="28"/>
        <v>611.78657620120248</v>
      </c>
      <c r="AQ91" s="41">
        <f t="shared" si="29"/>
        <v>13.99759899756009</v>
      </c>
      <c r="AR91" s="41">
        <f t="shared" si="30"/>
        <v>472.32860272411858</v>
      </c>
      <c r="AS91" s="41">
        <f t="shared" si="31"/>
        <v>-109.28181916484493</v>
      </c>
      <c r="AT91" s="41">
        <f t="shared" si="32"/>
        <v>-585.35151750314174</v>
      </c>
      <c r="AU91" s="41">
        <f t="shared" si="33"/>
        <v>287.76529776092184</v>
      </c>
      <c r="AV91" s="41">
        <f t="shared" si="34"/>
        <v>-289.38177723421177</v>
      </c>
      <c r="AW91" s="41">
        <f t="shared" si="35"/>
        <v>-34.509641746358739</v>
      </c>
      <c r="AX91" s="41">
        <f t="shared" si="36"/>
        <v>-27.442757262981331</v>
      </c>
      <c r="AY91" s="41">
        <f t="shared" si="36"/>
        <v>-39.842855948333636</v>
      </c>
      <c r="AZ91" s="41">
        <f t="shared" si="36"/>
        <v>-38.194479237365613</v>
      </c>
    </row>
    <row r="92" spans="1:52" x14ac:dyDescent="0.2">
      <c r="A92" s="30">
        <v>236</v>
      </c>
      <c r="B92" s="31" t="s">
        <v>406</v>
      </c>
      <c r="C92" s="41">
        <v>-6540</v>
      </c>
      <c r="D92" s="41">
        <v>-2230</v>
      </c>
      <c r="E92" s="73">
        <v>-2555</v>
      </c>
      <c r="F92" s="73">
        <v>-945</v>
      </c>
      <c r="G92" s="73">
        <v>-1036</v>
      </c>
      <c r="H92" s="41">
        <v>-1848</v>
      </c>
      <c r="I92" s="165">
        <v>-6045.1279100000002</v>
      </c>
      <c r="J92" s="41">
        <v>-2031.0938200000001</v>
      </c>
      <c r="K92" s="41">
        <v>-1182.1110000000001</v>
      </c>
      <c r="L92" s="41">
        <f>$L$5*'7.1. Nettoinvestointiennuste '!Y92</f>
        <v>-2141.3602195259691</v>
      </c>
      <c r="M92" s="41">
        <f>$M$5*'7.1. Nettoinvestointiennuste '!Y92</f>
        <v>-2233.1348257463455</v>
      </c>
      <c r="N92" s="41">
        <f>$N$5*'7.1. Nettoinvestointiennuste '!Y92</f>
        <v>-2311.9514267375071</v>
      </c>
      <c r="O92" s="41">
        <f>O$5*'7.1. Nettoinvestointiennuste '!$Y92</f>
        <v>-2415.0092966357415</v>
      </c>
      <c r="P92" s="41">
        <f>P$5*'7.1. Nettoinvestointiennuste '!$Y92</f>
        <v>-2515.2700765417098</v>
      </c>
      <c r="T92" s="34">
        <v>236</v>
      </c>
      <c r="U92" s="88" t="s">
        <v>406</v>
      </c>
      <c r="V92" s="41">
        <f>C92/'1. Väestöennuste'!E92*1000</f>
        <v>-1519.1637630662021</v>
      </c>
      <c r="W92" s="41">
        <f>D92/'1. Väestöennuste'!F92*1000</f>
        <v>-518.84597487203359</v>
      </c>
      <c r="X92" s="41">
        <f>E92/'1. Väestöennuste'!G92*1000</f>
        <v>-592.94499883963795</v>
      </c>
      <c r="Y92" s="41">
        <f>F92/'1. Väestöennuste'!H92*1000</f>
        <v>-221.15609641937746</v>
      </c>
      <c r="Z92" s="41">
        <f>G92/'1. Väestöennuste'!I92*1000</f>
        <v>-243.13541422201362</v>
      </c>
      <c r="AA92" s="41">
        <f>H92/'1. Väestöennuste'!J92*1000</f>
        <v>-437.08609271523181</v>
      </c>
      <c r="AB92" s="41">
        <f>I92/'1. Väestöennuste'!K92*1000</f>
        <v>-1440.6882530981889</v>
      </c>
      <c r="AC92" s="41">
        <f>J92/'1. Väestöennuste'!L92*1000</f>
        <v>-483.82415912339212</v>
      </c>
      <c r="AD92" s="41">
        <f>K92/'1. Väestöennuste'!M92*1000</f>
        <v>-285.74111675126909</v>
      </c>
      <c r="AE92" s="41">
        <f>L92/'1. Väestöennuste'!N92*1000</f>
        <v>-519.74762609853622</v>
      </c>
      <c r="AF92" s="41">
        <f>M92/'1. Väestöennuste'!O92*1000</f>
        <v>-546.13226357210704</v>
      </c>
      <c r="AG92" s="41">
        <f>N92/'1. Väestöennuste'!P92*1000</f>
        <v>-569.72681782590121</v>
      </c>
      <c r="AH92" s="41">
        <f>O92/'1. Väestöennuste'!Q92*1000</f>
        <v>-599.70431999894242</v>
      </c>
      <c r="AI92" s="41">
        <f>P92/'1. Väestöennuste'!R92*1000</f>
        <v>-629.44696610152891</v>
      </c>
      <c r="AK92" s="34">
        <v>236</v>
      </c>
      <c r="AL92" s="88" t="s">
        <v>406</v>
      </c>
      <c r="AM92" s="41"/>
      <c r="AN92" s="41">
        <f t="shared" si="26"/>
        <v>1000.3177881941685</v>
      </c>
      <c r="AO92" s="41">
        <f t="shared" si="27"/>
        <v>-74.099023967604353</v>
      </c>
      <c r="AP92" s="41">
        <f t="shared" si="28"/>
        <v>371.78890242026046</v>
      </c>
      <c r="AQ92" s="41">
        <f t="shared" si="29"/>
        <v>-21.97931780263616</v>
      </c>
      <c r="AR92" s="41">
        <f t="shared" si="30"/>
        <v>-193.95067849321819</v>
      </c>
      <c r="AS92" s="41">
        <f t="shared" si="31"/>
        <v>-1003.602160382957</v>
      </c>
      <c r="AT92" s="41">
        <f t="shared" si="32"/>
        <v>956.86409397479679</v>
      </c>
      <c r="AU92" s="41">
        <f t="shared" si="33"/>
        <v>198.08304237212303</v>
      </c>
      <c r="AV92" s="41">
        <f t="shared" si="34"/>
        <v>-234.00650934726713</v>
      </c>
      <c r="AW92" s="41">
        <f t="shared" si="35"/>
        <v>-26.38463747357082</v>
      </c>
      <c r="AX92" s="41">
        <f t="shared" si="36"/>
        <v>-23.594554253794172</v>
      </c>
      <c r="AY92" s="41">
        <f t="shared" si="36"/>
        <v>-29.977502173041216</v>
      </c>
      <c r="AZ92" s="41">
        <f t="shared" si="36"/>
        <v>-29.742646102586491</v>
      </c>
    </row>
    <row r="93" spans="1:52" x14ac:dyDescent="0.2">
      <c r="A93" s="30">
        <v>239</v>
      </c>
      <c r="B93" s="31" t="s">
        <v>407</v>
      </c>
      <c r="C93" s="41">
        <v>-700</v>
      </c>
      <c r="D93" s="41">
        <v>-413</v>
      </c>
      <c r="E93" s="73">
        <v>-568</v>
      </c>
      <c r="F93" s="73">
        <v>-854</v>
      </c>
      <c r="G93" s="73">
        <v>-721</v>
      </c>
      <c r="H93" s="41">
        <v>-483</v>
      </c>
      <c r="I93" s="165">
        <v>-580.15854999999999</v>
      </c>
      <c r="J93" s="41">
        <v>-857.55113000000006</v>
      </c>
      <c r="K93" s="41">
        <v>-1227.8155099999999</v>
      </c>
      <c r="L93" s="41">
        <f>$L$5*'7.1. Nettoinvestointiennuste '!Y93</f>
        <v>-1134.8708908824751</v>
      </c>
      <c r="M93" s="41">
        <f>$M$5*'7.1. Nettoinvestointiennuste '!Y93</f>
        <v>-1183.5092881834032</v>
      </c>
      <c r="N93" s="41">
        <f>$N$5*'7.1. Nettoinvestointiennuste '!Y93</f>
        <v>-1225.280245431768</v>
      </c>
      <c r="O93" s="41">
        <f>O$5*'7.1. Nettoinvestointiennuste '!$Y93</f>
        <v>-1279.8985088875775</v>
      </c>
      <c r="P93" s="41">
        <f>P$5*'7.1. Nettoinvestointiennuste '!$Y93</f>
        <v>-1333.0343799918076</v>
      </c>
      <c r="T93" s="34">
        <v>239</v>
      </c>
      <c r="U93" s="88" t="s">
        <v>407</v>
      </c>
      <c r="V93" s="41">
        <f>C93/'1. Väestöennuste'!E93*1000</f>
        <v>-294.24127784783519</v>
      </c>
      <c r="W93" s="41">
        <f>D93/'1. Väestöennuste'!F93*1000</f>
        <v>-176.04433077578858</v>
      </c>
      <c r="X93" s="41">
        <f>E93/'1. Väestöennuste'!G93*1000</f>
        <v>-245.99393676916415</v>
      </c>
      <c r="Y93" s="41">
        <f>F93/'1. Väestöennuste'!H93*1000</f>
        <v>-380.57040998217468</v>
      </c>
      <c r="Z93" s="41">
        <f>G93/'1. Väestöennuste'!I93*1000</f>
        <v>-327.42960944595825</v>
      </c>
      <c r="AA93" s="41">
        <f>H93/'1. Väestöennuste'!J93*1000</f>
        <v>-224.12993039443154</v>
      </c>
      <c r="AB93" s="41">
        <f>I93/'1. Väestöennuste'!K93*1000</f>
        <v>-276.92532219570404</v>
      </c>
      <c r="AC93" s="41">
        <f>J93/'1. Väestöennuste'!L93*1000</f>
        <v>-422.64718087727948</v>
      </c>
      <c r="AD93" s="41">
        <f>K93/'1. Väestöennuste'!M93*1000</f>
        <v>-603.34914496314491</v>
      </c>
      <c r="AE93" s="41">
        <f>L93/'1. Väestöennuste'!N93*1000</f>
        <v>-566.02039445509979</v>
      </c>
      <c r="AF93" s="41">
        <f>M93/'1. Väestöennuste'!O93*1000</f>
        <v>-600.46133342638416</v>
      </c>
      <c r="AG93" s="41">
        <f>N93/'1. Väestöennuste'!P93*1000</f>
        <v>-630.61258128243333</v>
      </c>
      <c r="AH93" s="41">
        <f>O93/'1. Väestöennuste'!Q93*1000</f>
        <v>-668.7035051659235</v>
      </c>
      <c r="AI93" s="41">
        <f>P93/'1. Väestöennuste'!R93*1000</f>
        <v>-705.68257278549891</v>
      </c>
      <c r="AK93" s="34">
        <v>239</v>
      </c>
      <c r="AL93" s="88" t="s">
        <v>407</v>
      </c>
      <c r="AM93" s="41"/>
      <c r="AN93" s="41">
        <f t="shared" si="26"/>
        <v>118.19694707204661</v>
      </c>
      <c r="AO93" s="41">
        <f t="shared" si="27"/>
        <v>-69.94960599337557</v>
      </c>
      <c r="AP93" s="41">
        <f t="shared" si="28"/>
        <v>-134.57647321301053</v>
      </c>
      <c r="AQ93" s="41">
        <f t="shared" si="29"/>
        <v>53.140800536216432</v>
      </c>
      <c r="AR93" s="41">
        <f t="shared" si="30"/>
        <v>103.29967905152671</v>
      </c>
      <c r="AS93" s="41">
        <f t="shared" si="31"/>
        <v>-52.795391801272501</v>
      </c>
      <c r="AT93" s="41">
        <f t="shared" si="32"/>
        <v>-145.72185868157544</v>
      </c>
      <c r="AU93" s="41">
        <f t="shared" si="33"/>
        <v>-180.70196408586543</v>
      </c>
      <c r="AV93" s="41">
        <f t="shared" si="34"/>
        <v>37.328750508045118</v>
      </c>
      <c r="AW93" s="41">
        <f t="shared" si="35"/>
        <v>-34.440938971284368</v>
      </c>
      <c r="AX93" s="41">
        <f t="shared" si="36"/>
        <v>-30.151247856049167</v>
      </c>
      <c r="AY93" s="41">
        <f t="shared" si="36"/>
        <v>-38.090923883490177</v>
      </c>
      <c r="AZ93" s="41">
        <f t="shared" si="36"/>
        <v>-36.979067619575403</v>
      </c>
    </row>
    <row r="94" spans="1:52" x14ac:dyDescent="0.2">
      <c r="A94" s="30">
        <v>240</v>
      </c>
      <c r="B94" s="31" t="s">
        <v>408</v>
      </c>
      <c r="C94" s="41">
        <v>-3994</v>
      </c>
      <c r="D94" s="41">
        <v>263</v>
      </c>
      <c r="E94" s="73">
        <v>-1732</v>
      </c>
      <c r="F94" s="73">
        <v>-8481</v>
      </c>
      <c r="G94" s="73">
        <v>-4092</v>
      </c>
      <c r="H94" s="41">
        <v>-5989</v>
      </c>
      <c r="I94" s="165">
        <v>-15199.78645</v>
      </c>
      <c r="J94" s="41">
        <v>4868.8986199999999</v>
      </c>
      <c r="K94" s="41">
        <v>-2162.3743199999999</v>
      </c>
      <c r="L94" s="41">
        <f>$L$5*'7.1. Nettoinvestointiennuste '!Y94</f>
        <v>-8700.1829432259165</v>
      </c>
      <c r="M94" s="41">
        <f>$M$5*'7.1. Nettoinvestointiennuste '!Y94</f>
        <v>-9073.0561554856213</v>
      </c>
      <c r="N94" s="41">
        <f>$N$5*'7.1. Nettoinvestointiennuste '!Y94</f>
        <v>-9393.2819826648247</v>
      </c>
      <c r="O94" s="41">
        <f>O$5*'7.1. Nettoinvestointiennuste '!$Y94</f>
        <v>-9811.9982330546354</v>
      </c>
      <c r="P94" s="41">
        <f>P$5*'7.1. Nettoinvestointiennuste '!$Y94</f>
        <v>-10219.350120541145</v>
      </c>
      <c r="T94" s="34">
        <v>240</v>
      </c>
      <c r="U94" s="88" t="s">
        <v>408</v>
      </c>
      <c r="V94" s="41">
        <f>C94/'1. Väestöennuste'!E94*1000</f>
        <v>-183.56466587002481</v>
      </c>
      <c r="W94" s="41">
        <f>D94/'1. Väestöennuste'!F94*1000</f>
        <v>12.174798629756504</v>
      </c>
      <c r="X94" s="41">
        <f>E94/'1. Väestöennuste'!G94*1000</f>
        <v>-81.482875423409865</v>
      </c>
      <c r="Y94" s="41">
        <f>F94/'1. Väestöennuste'!H94*1000</f>
        <v>-403.45368916797486</v>
      </c>
      <c r="Z94" s="41">
        <f>G94/'1. Väestöennuste'!I94*1000</f>
        <v>-197.61433331723572</v>
      </c>
      <c r="AA94" s="41">
        <f>H94/'1. Väestöennuste'!J94*1000</f>
        <v>-293.04692469540538</v>
      </c>
      <c r="AB94" s="41">
        <f>I94/'1. Väestöennuste'!K94*1000</f>
        <v>-760.67392903613256</v>
      </c>
      <c r="AC94" s="41">
        <f>J94/'1. Väestöennuste'!L94*1000</f>
        <v>249.69991384173548</v>
      </c>
      <c r="AD94" s="41">
        <f>K94/'1. Väestöennuste'!M94*1000</f>
        <v>-111.62946259873004</v>
      </c>
      <c r="AE94" s="41">
        <f>L94/'1. Väestöennuste'!N94*1000</f>
        <v>-449.80782459031724</v>
      </c>
      <c r="AF94" s="41">
        <f>M94/'1. Väestöennuste'!O94*1000</f>
        <v>-475.1783887863005</v>
      </c>
      <c r="AG94" s="41">
        <f>N94/'1. Väestöennuste'!P94*1000</f>
        <v>-498.18520194456772</v>
      </c>
      <c r="AH94" s="41">
        <f>O94/'1. Väestöennuste'!Q94*1000</f>
        <v>-526.846984163157</v>
      </c>
      <c r="AI94" s="41">
        <f>P94/'1. Väestöennuste'!R94*1000</f>
        <v>-555.30892357447942</v>
      </c>
      <c r="AK94" s="34">
        <v>240</v>
      </c>
      <c r="AL94" s="88" t="s">
        <v>408</v>
      </c>
      <c r="AM94" s="41"/>
      <c r="AN94" s="41">
        <f t="shared" si="26"/>
        <v>195.73946449978132</v>
      </c>
      <c r="AO94" s="41">
        <f t="shared" si="27"/>
        <v>-93.657674053166375</v>
      </c>
      <c r="AP94" s="41">
        <f t="shared" si="28"/>
        <v>-321.97081374456502</v>
      </c>
      <c r="AQ94" s="41">
        <f t="shared" si="29"/>
        <v>205.83935585073914</v>
      </c>
      <c r="AR94" s="41">
        <f t="shared" si="30"/>
        <v>-95.432591378169661</v>
      </c>
      <c r="AS94" s="41">
        <f t="shared" si="31"/>
        <v>-467.62700434072718</v>
      </c>
      <c r="AT94" s="41">
        <f t="shared" si="32"/>
        <v>1010.373842877868</v>
      </c>
      <c r="AU94" s="41">
        <f t="shared" si="33"/>
        <v>-361.32937644046552</v>
      </c>
      <c r="AV94" s="41">
        <f t="shared" si="34"/>
        <v>-338.17836199158717</v>
      </c>
      <c r="AW94" s="41">
        <f t="shared" si="35"/>
        <v>-25.370564195983263</v>
      </c>
      <c r="AX94" s="41">
        <f t="shared" si="36"/>
        <v>-23.006813158267221</v>
      </c>
      <c r="AY94" s="41">
        <f t="shared" si="36"/>
        <v>-28.661782218589281</v>
      </c>
      <c r="AZ94" s="41">
        <f t="shared" si="36"/>
        <v>-28.461939411322419</v>
      </c>
    </row>
    <row r="95" spans="1:52" x14ac:dyDescent="0.2">
      <c r="A95" s="30">
        <v>241</v>
      </c>
      <c r="B95" s="31" t="s">
        <v>409</v>
      </c>
      <c r="C95" s="41">
        <v>-72</v>
      </c>
      <c r="D95" s="41">
        <v>-1819</v>
      </c>
      <c r="E95" s="73">
        <v>-1695</v>
      </c>
      <c r="F95" s="73">
        <v>5437</v>
      </c>
      <c r="G95" s="73">
        <v>-1282</v>
      </c>
      <c r="H95" s="41">
        <v>-3629</v>
      </c>
      <c r="I95" s="165">
        <v>-4225.95327</v>
      </c>
      <c r="J95" s="41">
        <v>-1696.00946</v>
      </c>
      <c r="K95" s="41">
        <v>-3297.7966299999998</v>
      </c>
      <c r="L95" s="41">
        <f>$L$5*'7.1. Nettoinvestointiennuste '!Y95</f>
        <v>-4342.1729088159327</v>
      </c>
      <c r="M95" s="41">
        <f>$M$5*'7.1. Nettoinvestointiennuste '!Y95</f>
        <v>-4528.2701404790787</v>
      </c>
      <c r="N95" s="41">
        <f>$N$5*'7.1. Nettoinvestointiennuste '!Y95</f>
        <v>-4688.091597171936</v>
      </c>
      <c r="O95" s="41">
        <f>O$5*'7.1. Nettoinvestointiennuste '!$Y95</f>
        <v>-4897.0686233779479</v>
      </c>
      <c r="P95" s="41">
        <f>P$5*'7.1. Nettoinvestointiennuste '!$Y95</f>
        <v>-5100.3738115264532</v>
      </c>
      <c r="T95" s="34">
        <v>241</v>
      </c>
      <c r="U95" s="88" t="s">
        <v>409</v>
      </c>
      <c r="V95" s="41">
        <f>C95/'1. Väestöennuste'!E95*1000</f>
        <v>-8.5836909871244629</v>
      </c>
      <c r="W95" s="41">
        <f>D95/'1. Väestöennuste'!F95*1000</f>
        <v>-218.73496873496873</v>
      </c>
      <c r="X95" s="41">
        <f>E95/'1. Väestöennuste'!G95*1000</f>
        <v>-204.31533269045323</v>
      </c>
      <c r="Y95" s="41">
        <f>F95/'1. Väestöennuste'!H95*1000</f>
        <v>667.36221922179936</v>
      </c>
      <c r="Z95" s="41">
        <f>G95/'1. Väestöennuste'!I95*1000</f>
        <v>-158.68300532244089</v>
      </c>
      <c r="AA95" s="41">
        <f>H95/'1. Väestöennuste'!J95*1000</f>
        <v>-454.53406813627254</v>
      </c>
      <c r="AB95" s="41">
        <f>I95/'1. Väestöennuste'!K95*1000</f>
        <v>-534.66007970647775</v>
      </c>
      <c r="AC95" s="41">
        <f>J95/'1. Väestöennuste'!L95*1000</f>
        <v>-218.24854716252733</v>
      </c>
      <c r="AD95" s="41">
        <f>K95/'1. Väestöennuste'!M95*1000</f>
        <v>-428.78645559745155</v>
      </c>
      <c r="AE95" s="41">
        <f>L95/'1. Väestöennuste'!N95*1000</f>
        <v>-563.04109294812406</v>
      </c>
      <c r="AF95" s="41">
        <f>M95/'1. Väestöennuste'!O95*1000</f>
        <v>-592.31787318235172</v>
      </c>
      <c r="AG95" s="41">
        <f>N95/'1. Väestöennuste'!P95*1000</f>
        <v>-618.64497191500868</v>
      </c>
      <c r="AH95" s="41">
        <f>O95/'1. Väestöennuste'!Q95*1000</f>
        <v>-652.42054667971593</v>
      </c>
      <c r="AI95" s="41">
        <f>P95/'1. Väestöennuste'!R95*1000</f>
        <v>-685.71844736843957</v>
      </c>
      <c r="AK95" s="34">
        <v>241</v>
      </c>
      <c r="AL95" s="88" t="s">
        <v>409</v>
      </c>
      <c r="AM95" s="41"/>
      <c r="AN95" s="41">
        <f t="shared" si="26"/>
        <v>-210.15127774784426</v>
      </c>
      <c r="AO95" s="41">
        <f t="shared" si="27"/>
        <v>14.419636044515499</v>
      </c>
      <c r="AP95" s="41">
        <f t="shared" si="28"/>
        <v>871.67755191225262</v>
      </c>
      <c r="AQ95" s="41">
        <f t="shared" si="29"/>
        <v>-826.04522454424023</v>
      </c>
      <c r="AR95" s="41">
        <f t="shared" si="30"/>
        <v>-295.85106281383162</v>
      </c>
      <c r="AS95" s="41">
        <f t="shared" si="31"/>
        <v>-80.126011570205208</v>
      </c>
      <c r="AT95" s="41">
        <f t="shared" si="32"/>
        <v>316.41153254395044</v>
      </c>
      <c r="AU95" s="41">
        <f t="shared" si="33"/>
        <v>-210.53790843492422</v>
      </c>
      <c r="AV95" s="41">
        <f t="shared" si="34"/>
        <v>-134.25463735067251</v>
      </c>
      <c r="AW95" s="41">
        <f t="shared" si="35"/>
        <v>-29.276780234227658</v>
      </c>
      <c r="AX95" s="41">
        <f t="shared" si="36"/>
        <v>-26.327098732656964</v>
      </c>
      <c r="AY95" s="41">
        <f t="shared" si="36"/>
        <v>-33.775574764707244</v>
      </c>
      <c r="AZ95" s="41">
        <f t="shared" si="36"/>
        <v>-33.297900688723644</v>
      </c>
    </row>
    <row r="96" spans="1:52" x14ac:dyDescent="0.2">
      <c r="A96" s="30">
        <v>244</v>
      </c>
      <c r="B96" s="31" t="s">
        <v>410</v>
      </c>
      <c r="C96" s="41">
        <v>-4878</v>
      </c>
      <c r="D96" s="41">
        <v>-5203</v>
      </c>
      <c r="E96" s="73">
        <v>-15218</v>
      </c>
      <c r="F96" s="73">
        <v>-13844</v>
      </c>
      <c r="G96" s="73">
        <v>-11802</v>
      </c>
      <c r="H96" s="41">
        <v>-4526</v>
      </c>
      <c r="I96" s="165">
        <v>-4379.7944200000002</v>
      </c>
      <c r="J96" s="41">
        <v>-7718.8611000000001</v>
      </c>
      <c r="K96" s="41">
        <v>-16304.88852</v>
      </c>
      <c r="L96" s="41">
        <f>$L$5*'7.1. Nettoinvestointiennuste '!Y96</f>
        <v>-11213.722031353371</v>
      </c>
      <c r="M96" s="41">
        <f>$M$5*'7.1. Nettoinvestointiennuste '!Y96</f>
        <v>-11694.320724795072</v>
      </c>
      <c r="N96" s="41">
        <f>$N$5*'7.1. Nettoinvestointiennuste '!Y96</f>
        <v>-12107.061863306848</v>
      </c>
      <c r="O96" s="41">
        <f>O$5*'7.1. Nettoinvestointiennuste '!$Y96</f>
        <v>-12646.747944912495</v>
      </c>
      <c r="P96" s="41">
        <f>P$5*'7.1. Nettoinvestointiennuste '!$Y96</f>
        <v>-13171.786425715651</v>
      </c>
      <c r="T96" s="34">
        <v>244</v>
      </c>
      <c r="U96" s="88" t="s">
        <v>410</v>
      </c>
      <c r="V96" s="41">
        <f>C96/'1. Väestöennuste'!E96*1000</f>
        <v>-285.83147779210128</v>
      </c>
      <c r="W96" s="41">
        <f>D96/'1. Väestöennuste'!F96*1000</f>
        <v>-300.80360756200497</v>
      </c>
      <c r="X96" s="41">
        <f>E96/'1. Väestöennuste'!G96*1000</f>
        <v>-867.86427145708581</v>
      </c>
      <c r="Y96" s="41">
        <f>F96/'1. Väestöennuste'!H96*1000</f>
        <v>-772.41533225464491</v>
      </c>
      <c r="Z96" s="41">
        <f>G96/'1. Väestöennuste'!I96*1000</f>
        <v>-642.9855625170253</v>
      </c>
      <c r="AA96" s="41">
        <f>H96/'1. Väestöennuste'!J96*1000</f>
        <v>-240.79591402426047</v>
      </c>
      <c r="AB96" s="41">
        <f>I96/'1. Väestöennuste'!K96*1000</f>
        <v>-229.1166781753505</v>
      </c>
      <c r="AC96" s="41">
        <f>J96/'1. Väestöennuste'!L96*1000</f>
        <v>-399.94098963730568</v>
      </c>
      <c r="AD96" s="41">
        <f>K96/'1. Väestöennuste'!M96*1000</f>
        <v>-835.54824843701954</v>
      </c>
      <c r="AE96" s="41">
        <f>L96/'1. Väestöennuste'!N96*1000</f>
        <v>-556.31899743778195</v>
      </c>
      <c r="AF96" s="41">
        <f>M96/'1. Väestöennuste'!O96*1000</f>
        <v>-572.04523430000847</v>
      </c>
      <c r="AG96" s="41">
        <f>N96/'1. Väestöennuste'!P96*1000</f>
        <v>-584.59980025624566</v>
      </c>
      <c r="AH96" s="41">
        <f>O96/'1. Väestöennuste'!Q96*1000</f>
        <v>-603.20270652067609</v>
      </c>
      <c r="AI96" s="41">
        <f>P96/'1. Väestöennuste'!R96*1000</f>
        <v>-621.22277157551525</v>
      </c>
      <c r="AK96" s="34">
        <v>244</v>
      </c>
      <c r="AL96" s="88" t="s">
        <v>410</v>
      </c>
      <c r="AM96" s="41"/>
      <c r="AN96" s="41">
        <f t="shared" si="26"/>
        <v>-14.972129769903688</v>
      </c>
      <c r="AO96" s="41">
        <f t="shared" si="27"/>
        <v>-567.06066389508078</v>
      </c>
      <c r="AP96" s="41">
        <f t="shared" si="28"/>
        <v>95.448939202440897</v>
      </c>
      <c r="AQ96" s="41">
        <f t="shared" si="29"/>
        <v>129.42976973761961</v>
      </c>
      <c r="AR96" s="41">
        <f t="shared" si="30"/>
        <v>402.18964849276483</v>
      </c>
      <c r="AS96" s="41">
        <f t="shared" si="31"/>
        <v>11.679235848909968</v>
      </c>
      <c r="AT96" s="41">
        <f t="shared" si="32"/>
        <v>-170.82431146195518</v>
      </c>
      <c r="AU96" s="41">
        <f t="shared" si="33"/>
        <v>-435.60725879971386</v>
      </c>
      <c r="AV96" s="41">
        <f t="shared" si="34"/>
        <v>279.22925099923759</v>
      </c>
      <c r="AW96" s="41">
        <f t="shared" si="35"/>
        <v>-15.726236862226529</v>
      </c>
      <c r="AX96" s="41">
        <f t="shared" si="36"/>
        <v>-12.554565956237184</v>
      </c>
      <c r="AY96" s="41">
        <f t="shared" si="36"/>
        <v>-18.60290626443043</v>
      </c>
      <c r="AZ96" s="41">
        <f t="shared" si="36"/>
        <v>-18.020065054839165</v>
      </c>
    </row>
    <row r="97" spans="1:52" x14ac:dyDescent="0.2">
      <c r="A97" s="30">
        <v>245</v>
      </c>
      <c r="B97" s="31" t="s">
        <v>411</v>
      </c>
      <c r="C97" s="41">
        <v>-20246</v>
      </c>
      <c r="D97" s="41">
        <v>-13501</v>
      </c>
      <c r="E97" s="73">
        <v>-22506</v>
      </c>
      <c r="F97" s="73">
        <v>-21209</v>
      </c>
      <c r="G97" s="73">
        <v>-32396</v>
      </c>
      <c r="H97" s="41">
        <v>-31113</v>
      </c>
      <c r="I97" s="165">
        <v>-22478.045329999997</v>
      </c>
      <c r="J97" s="41">
        <v>-15272.487590000001</v>
      </c>
      <c r="K97" s="41">
        <v>-15533.51024</v>
      </c>
      <c r="L97" s="41">
        <f>$L$5*'7.1. Nettoinvestointiennuste '!Y97</f>
        <v>-21143.285668872562</v>
      </c>
      <c r="M97" s="41">
        <f>$M$5*'7.1. Nettoinvestointiennuste '!Y97</f>
        <v>-22049.4464814122</v>
      </c>
      <c r="N97" s="41">
        <f>$N$5*'7.1. Nettoinvestointiennuste '!Y97</f>
        <v>-22827.663007062689</v>
      </c>
      <c r="O97" s="41">
        <f>O$5*'7.1. Nettoinvestointiennuste '!$Y97</f>
        <v>-23845.232103478531</v>
      </c>
      <c r="P97" s="41">
        <f>P$5*'7.1. Nettoinvestointiennuste '!$Y97</f>
        <v>-24835.183393133626</v>
      </c>
      <c r="T97" s="34">
        <v>245</v>
      </c>
      <c r="U97" s="88" t="s">
        <v>411</v>
      </c>
      <c r="V97" s="41">
        <f>C97/'1. Väestöennuste'!E97*1000</f>
        <v>-573.65483240302603</v>
      </c>
      <c r="W97" s="41">
        <f>D97/'1. Väestöennuste'!F97*1000</f>
        <v>-380.19205316662442</v>
      </c>
      <c r="X97" s="41">
        <f>E97/'1. Väestöennuste'!G97*1000</f>
        <v>-633.00894414130619</v>
      </c>
      <c r="Y97" s="41">
        <f>F97/'1. Väestöennuste'!H97*1000</f>
        <v>-585.01130909692722</v>
      </c>
      <c r="Z97" s="41">
        <f>G97/'1. Väestöennuste'!I97*1000</f>
        <v>-881.37991076286869</v>
      </c>
      <c r="AA97" s="41">
        <f>H97/'1. Väestöennuste'!J97*1000</f>
        <v>-838.51232987467995</v>
      </c>
      <c r="AB97" s="41">
        <f>I97/'1. Väestöennuste'!K97*1000</f>
        <v>-603.72919343575415</v>
      </c>
      <c r="AC97" s="41">
        <f>J97/'1. Väestöennuste'!L97*1000</f>
        <v>-405.36382816647205</v>
      </c>
      <c r="AD97" s="41">
        <f>K97/'1. Väestöennuste'!M97*1000</f>
        <v>-406.51933317631045</v>
      </c>
      <c r="AE97" s="41">
        <f>L97/'1. Väestöennuste'!N97*1000</f>
        <v>-547.76770561083356</v>
      </c>
      <c r="AF97" s="41">
        <f>M97/'1. Väestöennuste'!O97*1000</f>
        <v>-566.60533165648724</v>
      </c>
      <c r="AG97" s="41">
        <f>N97/'1. Väestöennuste'!P97*1000</f>
        <v>-582.07106448729382</v>
      </c>
      <c r="AH97" s="41">
        <f>O97/'1. Väestöennuste'!Q97*1000</f>
        <v>-603.6920454563035</v>
      </c>
      <c r="AI97" s="41">
        <f>P97/'1. Väestöennuste'!R97*1000</f>
        <v>-624.51739867562617</v>
      </c>
      <c r="AK97" s="34">
        <v>245</v>
      </c>
      <c r="AL97" s="88" t="s">
        <v>411</v>
      </c>
      <c r="AM97" s="41"/>
      <c r="AN97" s="41">
        <f t="shared" si="26"/>
        <v>193.46277923640162</v>
      </c>
      <c r="AO97" s="41">
        <f t="shared" si="27"/>
        <v>-252.81689097468177</v>
      </c>
      <c r="AP97" s="41">
        <f t="shared" si="28"/>
        <v>47.997635044378967</v>
      </c>
      <c r="AQ97" s="41">
        <f t="shared" si="29"/>
        <v>-296.36860166594147</v>
      </c>
      <c r="AR97" s="41">
        <f t="shared" si="30"/>
        <v>42.867580888188741</v>
      </c>
      <c r="AS97" s="41">
        <f t="shared" si="31"/>
        <v>234.78313643892579</v>
      </c>
      <c r="AT97" s="41">
        <f t="shared" si="32"/>
        <v>198.36536526928211</v>
      </c>
      <c r="AU97" s="41">
        <f t="shared" si="33"/>
        <v>-1.1555050098384072</v>
      </c>
      <c r="AV97" s="41">
        <f t="shared" si="34"/>
        <v>-141.24837243452311</v>
      </c>
      <c r="AW97" s="41">
        <f t="shared" si="35"/>
        <v>-18.837626045653678</v>
      </c>
      <c r="AX97" s="41">
        <f t="shared" si="36"/>
        <v>-15.465732830806587</v>
      </c>
      <c r="AY97" s="41">
        <f t="shared" si="36"/>
        <v>-21.620980969009679</v>
      </c>
      <c r="AZ97" s="41">
        <f t="shared" si="36"/>
        <v>-20.825353219322665</v>
      </c>
    </row>
    <row r="98" spans="1:52" x14ac:dyDescent="0.2">
      <c r="A98" s="30">
        <v>249</v>
      </c>
      <c r="B98" s="31" t="s">
        <v>412</v>
      </c>
      <c r="C98" s="41">
        <v>-14999</v>
      </c>
      <c r="D98" s="41">
        <v>-12039</v>
      </c>
      <c r="E98" s="73">
        <v>-5170</v>
      </c>
      <c r="F98" s="73">
        <v>-3792</v>
      </c>
      <c r="G98" s="73">
        <v>-6303</v>
      </c>
      <c r="H98" s="41">
        <v>-5778</v>
      </c>
      <c r="I98" s="165">
        <v>-2838.9360000000001</v>
      </c>
      <c r="J98" s="41">
        <v>-2816.9059999999999</v>
      </c>
      <c r="K98" s="41">
        <v>-1675.825</v>
      </c>
      <c r="L98" s="41">
        <f>$L$5*'7.1. Nettoinvestointiennuste '!Y98</f>
        <v>-2573.1762685166791</v>
      </c>
      <c r="M98" s="41">
        <f>$M$5*'7.1. Nettoinvestointiennuste '!Y98</f>
        <v>-2683.4576852654277</v>
      </c>
      <c r="N98" s="41">
        <f>$N$5*'7.1. Nettoinvestointiennuste '!Y98</f>
        <v>-2778.1680499141653</v>
      </c>
      <c r="O98" s="41">
        <f>O$5*'7.1. Nettoinvestointiennuste '!$Y98</f>
        <v>-2902.0080571618578</v>
      </c>
      <c r="P98" s="41">
        <f>P$5*'7.1. Nettoinvestointiennuste '!$Y98</f>
        <v>-3022.4869271644588</v>
      </c>
      <c r="T98" s="34">
        <v>249</v>
      </c>
      <c r="U98" s="88" t="s">
        <v>412</v>
      </c>
      <c r="V98" s="41">
        <f>C98/'1. Väestöennuste'!E98*1000</f>
        <v>-1482.5541168330533</v>
      </c>
      <c r="W98" s="41">
        <f>D98/'1. Väestöennuste'!F98*1000</f>
        <v>-1204.8638911128903</v>
      </c>
      <c r="X98" s="41">
        <f>E98/'1. Väestöennuste'!G98*1000</f>
        <v>-521.22189736868643</v>
      </c>
      <c r="Y98" s="41">
        <f>F98/'1. Väestöennuste'!H98*1000</f>
        <v>-388.44499078057777</v>
      </c>
      <c r="Z98" s="41">
        <f>G98/'1. Väestöennuste'!I98*1000</f>
        <v>-656.22071837584599</v>
      </c>
      <c r="AA98" s="41">
        <f>H98/'1. Väestöennuste'!J98*1000</f>
        <v>-609.10815939278939</v>
      </c>
      <c r="AB98" s="41">
        <f>I98/'1. Väestöennuste'!K98*1000</f>
        <v>-300.63920364291016</v>
      </c>
      <c r="AC98" s="41">
        <f>J98/'1. Väestöennuste'!L98*1000</f>
        <v>-304.53037837837837</v>
      </c>
      <c r="AD98" s="41">
        <f>K98/'1. Väestöennuste'!M98*1000</f>
        <v>-182.4722343205575</v>
      </c>
      <c r="AE98" s="41">
        <f>L98/'1. Väestöennuste'!N98*1000</f>
        <v>-286.38578391949682</v>
      </c>
      <c r="AF98" s="41">
        <f>M98/'1. Väestöennuste'!O98*1000</f>
        <v>-302.19118077313374</v>
      </c>
      <c r="AG98" s="41">
        <f>N98/'1. Väestöennuste'!P98*1000</f>
        <v>-316.56427186806809</v>
      </c>
      <c r="AH98" s="41">
        <f>O98/'1. Väestöennuste'!Q98*1000</f>
        <v>-334.37124751260029</v>
      </c>
      <c r="AI98" s="41">
        <f>P98/'1. Väestöennuste'!R98*1000</f>
        <v>-352.14807493469169</v>
      </c>
      <c r="AK98" s="34">
        <v>249</v>
      </c>
      <c r="AL98" s="88" t="s">
        <v>412</v>
      </c>
      <c r="AM98" s="41"/>
      <c r="AN98" s="41">
        <f t="shared" si="26"/>
        <v>277.69022572016297</v>
      </c>
      <c r="AO98" s="41">
        <f t="shared" si="27"/>
        <v>683.64199374420389</v>
      </c>
      <c r="AP98" s="41">
        <f t="shared" si="28"/>
        <v>132.77690658810866</v>
      </c>
      <c r="AQ98" s="41">
        <f t="shared" si="29"/>
        <v>-267.77572759526822</v>
      </c>
      <c r="AR98" s="41">
        <f t="shared" si="30"/>
        <v>47.112558983056601</v>
      </c>
      <c r="AS98" s="41">
        <f t="shared" si="31"/>
        <v>308.46895574987923</v>
      </c>
      <c r="AT98" s="41">
        <f t="shared" si="32"/>
        <v>-3.891174735468212</v>
      </c>
      <c r="AU98" s="41">
        <f t="shared" si="33"/>
        <v>122.05814405782087</v>
      </c>
      <c r="AV98" s="41">
        <f t="shared" si="34"/>
        <v>-103.91354959893931</v>
      </c>
      <c r="AW98" s="41">
        <f t="shared" si="35"/>
        <v>-15.805396853636921</v>
      </c>
      <c r="AX98" s="41">
        <f t="shared" si="36"/>
        <v>-14.373091094934352</v>
      </c>
      <c r="AY98" s="41">
        <f t="shared" si="36"/>
        <v>-17.806975644532201</v>
      </c>
      <c r="AZ98" s="41">
        <f t="shared" si="36"/>
        <v>-17.776827422091401</v>
      </c>
    </row>
    <row r="99" spans="1:52" x14ac:dyDescent="0.2">
      <c r="A99" s="30">
        <v>250</v>
      </c>
      <c r="B99" s="31" t="s">
        <v>413</v>
      </c>
      <c r="C99" s="41">
        <v>-659</v>
      </c>
      <c r="D99" s="41">
        <v>-67</v>
      </c>
      <c r="E99" s="73">
        <v>-1017</v>
      </c>
      <c r="F99" s="73">
        <v>-132</v>
      </c>
      <c r="G99" s="73">
        <v>-794</v>
      </c>
      <c r="H99" s="41">
        <v>2715</v>
      </c>
      <c r="I99" s="165">
        <v>-396.01021999999995</v>
      </c>
      <c r="J99" s="41">
        <v>-385.50258000000002</v>
      </c>
      <c r="K99" s="41">
        <v>-117.51155</v>
      </c>
      <c r="L99" s="41">
        <f>$L$5*'7.1. Nettoinvestointiennuste '!Y99</f>
        <v>-354.14752064267861</v>
      </c>
      <c r="M99" s="41">
        <f>$M$5*'7.1. Nettoinvestointiennuste '!Y99</f>
        <v>-369.32560649415637</v>
      </c>
      <c r="N99" s="41">
        <f>$N$5*'7.1. Nettoinvestointiennuste '!Y99</f>
        <v>-382.36064075508148</v>
      </c>
      <c r="O99" s="41">
        <f>O$5*'7.1. Nettoinvestointiennuste '!$Y99</f>
        <v>-399.40480211306863</v>
      </c>
      <c r="P99" s="41">
        <f>P$5*'7.1. Nettoinvestointiennuste '!$Y99</f>
        <v>-415.98636849205934</v>
      </c>
      <c r="T99" s="34">
        <v>250</v>
      </c>
      <c r="U99" s="88" t="s">
        <v>413</v>
      </c>
      <c r="V99" s="41">
        <f>C99/'1. Väestöennuste'!E99*1000</f>
        <v>-323.35623159960744</v>
      </c>
      <c r="W99" s="41">
        <f>D99/'1. Väestöennuste'!F99*1000</f>
        <v>-33.600802407221664</v>
      </c>
      <c r="X99" s="41">
        <f>E99/'1. Väestöennuste'!G99*1000</f>
        <v>-517.03101169293336</v>
      </c>
      <c r="Y99" s="41">
        <f>F99/'1. Väestöennuste'!H99*1000</f>
        <v>-69.109947643979055</v>
      </c>
      <c r="Z99" s="41">
        <f>G99/'1. Väestöennuste'!I99*1000</f>
        <v>-425.73726541554959</v>
      </c>
      <c r="AA99" s="41">
        <f>H99/'1. Väestöennuste'!J99*1000</f>
        <v>1490.1207464324916</v>
      </c>
      <c r="AB99" s="41">
        <f>I99/'1. Väestöennuste'!K99*1000</f>
        <v>-219.0322013274336</v>
      </c>
      <c r="AC99" s="41">
        <f>J99/'1. Väestöennuste'!L99*1000</f>
        <v>-217.67508752117448</v>
      </c>
      <c r="AD99" s="41">
        <f>K99/'1. Väestöennuste'!M99*1000</f>
        <v>-67.187850200114354</v>
      </c>
      <c r="AE99" s="41">
        <f>L99/'1. Väestöennuste'!N99*1000</f>
        <v>-212.06438361837044</v>
      </c>
      <c r="AF99" s="41">
        <f>M99/'1. Väestöennuste'!O99*1000</f>
        <v>-225.4735082381907</v>
      </c>
      <c r="AG99" s="41">
        <f>N99/'1. Väestöennuste'!P99*1000</f>
        <v>-237.93443730870038</v>
      </c>
      <c r="AH99" s="41">
        <f>O99/'1. Väestöennuste'!Q99*1000</f>
        <v>-253.10823961537938</v>
      </c>
      <c r="AI99" s="41">
        <f>P99/'1. Väestöennuste'!R99*1000</f>
        <v>-268.89875144929499</v>
      </c>
      <c r="AK99" s="34">
        <v>250</v>
      </c>
      <c r="AL99" s="88" t="s">
        <v>413</v>
      </c>
      <c r="AM99" s="41"/>
      <c r="AN99" s="41">
        <f t="shared" si="26"/>
        <v>289.7554291923858</v>
      </c>
      <c r="AO99" s="41">
        <f t="shared" si="27"/>
        <v>-483.43020928571173</v>
      </c>
      <c r="AP99" s="41">
        <f t="shared" si="28"/>
        <v>447.92106404895429</v>
      </c>
      <c r="AQ99" s="41">
        <f t="shared" si="29"/>
        <v>-356.62731777157052</v>
      </c>
      <c r="AR99" s="41">
        <f t="shared" si="30"/>
        <v>1915.8580118480413</v>
      </c>
      <c r="AS99" s="41">
        <f t="shared" si="31"/>
        <v>-1709.1529477599252</v>
      </c>
      <c r="AT99" s="41">
        <f t="shared" si="32"/>
        <v>1.3571138062591217</v>
      </c>
      <c r="AU99" s="41">
        <f t="shared" si="33"/>
        <v>150.48723732106012</v>
      </c>
      <c r="AV99" s="41">
        <f t="shared" si="34"/>
        <v>-144.87653341825609</v>
      </c>
      <c r="AW99" s="41">
        <f t="shared" si="35"/>
        <v>-13.409124619820261</v>
      </c>
      <c r="AX99" s="41">
        <f t="shared" si="36"/>
        <v>-12.460929070509678</v>
      </c>
      <c r="AY99" s="41">
        <f t="shared" si="36"/>
        <v>-15.173802306678994</v>
      </c>
      <c r="AZ99" s="41">
        <f t="shared" si="36"/>
        <v>-15.790511833915616</v>
      </c>
    </row>
    <row r="100" spans="1:52" x14ac:dyDescent="0.2">
      <c r="A100" s="30">
        <v>256</v>
      </c>
      <c r="B100" s="31" t="s">
        <v>414</v>
      </c>
      <c r="C100" s="41">
        <v>-543</v>
      </c>
      <c r="D100" s="41">
        <v>-1148</v>
      </c>
      <c r="E100" s="73">
        <v>-96</v>
      </c>
      <c r="F100" s="73">
        <v>-1134</v>
      </c>
      <c r="G100" s="73">
        <v>-594</v>
      </c>
      <c r="H100" s="41">
        <v>-1341</v>
      </c>
      <c r="I100" s="165">
        <v>-1284.28926</v>
      </c>
      <c r="J100" s="41">
        <v>-419.56953999999996</v>
      </c>
      <c r="K100" s="41">
        <v>-825.49506999999994</v>
      </c>
      <c r="L100" s="41">
        <f>$L$5*'7.1. Nettoinvestointiennuste '!Y100</f>
        <v>-721.50925371334483</v>
      </c>
      <c r="M100" s="41">
        <f>$M$5*'7.1. Nettoinvestointiennuste '!Y100</f>
        <v>-752.43176130459824</v>
      </c>
      <c r="N100" s="41">
        <f>$N$5*'7.1. Nettoinvestointiennuste '!Y100</f>
        <v>-778.98820259962895</v>
      </c>
      <c r="O100" s="41">
        <f>O$5*'7.1. Nettoinvestointiennuste '!$Y100</f>
        <v>-813.71248958391891</v>
      </c>
      <c r="P100" s="41">
        <f>P$5*'7.1. Nettoinvestointiennuste '!$Y100</f>
        <v>-847.49432592656228</v>
      </c>
      <c r="T100" s="34">
        <v>256</v>
      </c>
      <c r="U100" s="88" t="s">
        <v>414</v>
      </c>
      <c r="V100" s="41">
        <f>C100/'1. Väestöennuste'!E100*1000</f>
        <v>-311.1747851002865</v>
      </c>
      <c r="W100" s="41">
        <f>D100/'1. Väestöennuste'!F100*1000</f>
        <v>-675.69158328428489</v>
      </c>
      <c r="X100" s="41">
        <f>E100/'1. Väestöennuste'!G100*1000</f>
        <v>-57.971014492753625</v>
      </c>
      <c r="Y100" s="41">
        <f>F100/'1. Väestöennuste'!H100*1000</f>
        <v>-702.16718266253872</v>
      </c>
      <c r="Z100" s="41">
        <f>G100/'1. Väestöennuste'!I100*1000</f>
        <v>-366.66666666666663</v>
      </c>
      <c r="AA100" s="41">
        <f>H100/'1. Väestöennuste'!J100*1000</f>
        <v>-839.69943644333125</v>
      </c>
      <c r="AB100" s="41">
        <f>I100/'1. Väestöennuste'!K100*1000</f>
        <v>-812.32717267552175</v>
      </c>
      <c r="AC100" s="41">
        <f>J100/'1. Väestöennuste'!L100*1000</f>
        <v>-269.99326898326899</v>
      </c>
      <c r="AD100" s="41">
        <f>K100/'1. Väestöennuste'!M100*1000</f>
        <v>-542.01908732764286</v>
      </c>
      <c r="AE100" s="41">
        <f>L100/'1. Väestöennuste'!N100*1000</f>
        <v>-482.29228189394706</v>
      </c>
      <c r="AF100" s="41">
        <f>M100/'1. Väestöennuste'!O100*1000</f>
        <v>-510.46930889050077</v>
      </c>
      <c r="AG100" s="41">
        <f>N100/'1. Väestöennuste'!P100*1000</f>
        <v>-537.23324317215793</v>
      </c>
      <c r="AH100" s="41">
        <f>O100/'1. Väestöennuste'!Q100*1000</f>
        <v>-569.82667337809448</v>
      </c>
      <c r="AI100" s="41">
        <f>P100/'1. Väestöennuste'!R100*1000</f>
        <v>-601.48639171509035</v>
      </c>
      <c r="AK100" s="34">
        <v>256</v>
      </c>
      <c r="AL100" s="88" t="s">
        <v>414</v>
      </c>
      <c r="AM100" s="41"/>
      <c r="AN100" s="41">
        <f t="shared" si="26"/>
        <v>-364.51679818399839</v>
      </c>
      <c r="AO100" s="41">
        <f t="shared" si="27"/>
        <v>617.72056879153126</v>
      </c>
      <c r="AP100" s="41">
        <f t="shared" si="28"/>
        <v>-644.1961681697851</v>
      </c>
      <c r="AQ100" s="41">
        <f t="shared" si="29"/>
        <v>335.50051599587209</v>
      </c>
      <c r="AR100" s="41">
        <f t="shared" si="30"/>
        <v>-473.03276977666462</v>
      </c>
      <c r="AS100" s="41">
        <f t="shared" si="31"/>
        <v>27.3722637678095</v>
      </c>
      <c r="AT100" s="41">
        <f t="shared" si="32"/>
        <v>542.33390369225276</v>
      </c>
      <c r="AU100" s="41">
        <f t="shared" si="33"/>
        <v>-272.02581834437387</v>
      </c>
      <c r="AV100" s="41">
        <f t="shared" si="34"/>
        <v>59.726805433695802</v>
      </c>
      <c r="AW100" s="41">
        <f t="shared" si="35"/>
        <v>-28.177026996553707</v>
      </c>
      <c r="AX100" s="41">
        <f t="shared" si="36"/>
        <v>-26.763934281657157</v>
      </c>
      <c r="AY100" s="41">
        <f t="shared" si="36"/>
        <v>-32.593430205936556</v>
      </c>
      <c r="AZ100" s="41">
        <f t="shared" si="36"/>
        <v>-31.659718336995866</v>
      </c>
    </row>
    <row r="101" spans="1:52" x14ac:dyDescent="0.2">
      <c r="A101" s="30">
        <v>257</v>
      </c>
      <c r="B101" s="31" t="s">
        <v>415</v>
      </c>
      <c r="C101" s="41">
        <v>-16354</v>
      </c>
      <c r="D101" s="41">
        <v>-22455</v>
      </c>
      <c r="E101" s="73">
        <v>-22057</v>
      </c>
      <c r="F101" s="73">
        <v>-26383</v>
      </c>
      <c r="G101" s="73">
        <v>-42965</v>
      </c>
      <c r="H101" s="41">
        <v>-52710</v>
      </c>
      <c r="I101" s="165">
        <v>-33513.823530000001</v>
      </c>
      <c r="J101" s="41">
        <v>40162.743600000002</v>
      </c>
      <c r="K101" s="41">
        <v>-22986.752769999999</v>
      </c>
      <c r="L101" s="41">
        <f>$L$5*'7.1. Nettoinvestointiennuste '!Y101</f>
        <v>-52378.63516957601</v>
      </c>
      <c r="M101" s="41">
        <f>$M$5*'7.1. Nettoinvestointiennuste '!Y101</f>
        <v>-54623.483361494284</v>
      </c>
      <c r="N101" s="41">
        <f>$N$5*'7.1. Nettoinvestointiennuste '!Y101</f>
        <v>-56551.372910846221</v>
      </c>
      <c r="O101" s="41">
        <f>O$5*'7.1. Nettoinvestointiennuste '!$Y101</f>
        <v>-59072.214812891179</v>
      </c>
      <c r="P101" s="41">
        <f>P$5*'7.1. Nettoinvestointiennuste '!$Y101</f>
        <v>-61524.638634266914</v>
      </c>
      <c r="T101" s="34">
        <v>257</v>
      </c>
      <c r="U101" s="88" t="s">
        <v>415</v>
      </c>
      <c r="V101" s="41">
        <f>C101/'1. Väestöennuste'!E101*1000</f>
        <v>-423.14160780356542</v>
      </c>
      <c r="W101" s="41">
        <f>D101/'1. Väestöennuste'!F101*1000</f>
        <v>-575.2824533087387</v>
      </c>
      <c r="X101" s="41">
        <f>E101/'1. Väestöennuste'!G101*1000</f>
        <v>-563.10952259382191</v>
      </c>
      <c r="Y101" s="41">
        <f>F101/'1. Väestöennuste'!H101*1000</f>
        <v>-671.97290000509406</v>
      </c>
      <c r="Z101" s="41">
        <f>G101/'1. Väestöennuste'!I101*1000</f>
        <v>-1085.358460061638</v>
      </c>
      <c r="AA101" s="41">
        <f>H101/'1. Väestöennuste'!J101*1000</f>
        <v>-1315.0541390150192</v>
      </c>
      <c r="AB101" s="41">
        <f>I101/'1. Väestöennuste'!K101*1000</f>
        <v>-828.87303761778753</v>
      </c>
      <c r="AC101" s="41">
        <f>J101/'1. Väestöennuste'!L101*1000</f>
        <v>986.26648003536172</v>
      </c>
      <c r="AD101" s="41">
        <f>K101/'1. Väestöennuste'!M101*1000</f>
        <v>-558.5545213102007</v>
      </c>
      <c r="AE101" s="41">
        <f>L101/'1. Väestöennuste'!N101*1000</f>
        <v>-1263.2620690634062</v>
      </c>
      <c r="AF101" s="41">
        <f>M101/'1. Väestöennuste'!O101*1000</f>
        <v>-1308.0022835060051</v>
      </c>
      <c r="AG101" s="41">
        <f>N101/'1. Väestöennuste'!P101*1000</f>
        <v>-1345.1481389797154</v>
      </c>
      <c r="AH101" s="41">
        <f>O101/'1. Väestöennuste'!Q101*1000</f>
        <v>-1396.3412081997678</v>
      </c>
      <c r="AI101" s="41">
        <f>P101/'1. Väestöennuste'!R101*1000</f>
        <v>-1445.5637469577059</v>
      </c>
      <c r="AK101" s="34">
        <v>257</v>
      </c>
      <c r="AL101" s="88" t="s">
        <v>415</v>
      </c>
      <c r="AM101" s="41"/>
      <c r="AN101" s="41">
        <f t="shared" si="26"/>
        <v>-152.14084550517327</v>
      </c>
      <c r="AO101" s="41">
        <f t="shared" si="27"/>
        <v>12.172930714916788</v>
      </c>
      <c r="AP101" s="41">
        <f t="shared" si="28"/>
        <v>-108.86337741127215</v>
      </c>
      <c r="AQ101" s="41">
        <f t="shared" si="29"/>
        <v>-413.38556005654391</v>
      </c>
      <c r="AR101" s="41">
        <f t="shared" si="30"/>
        <v>-229.69567895338128</v>
      </c>
      <c r="AS101" s="41">
        <f t="shared" si="31"/>
        <v>486.18110139723171</v>
      </c>
      <c r="AT101" s="41">
        <f t="shared" si="32"/>
        <v>1815.1395176531491</v>
      </c>
      <c r="AU101" s="41">
        <f t="shared" si="33"/>
        <v>-1544.8210013455623</v>
      </c>
      <c r="AV101" s="41">
        <f t="shared" si="34"/>
        <v>-704.70754775320552</v>
      </c>
      <c r="AW101" s="41">
        <f t="shared" si="35"/>
        <v>-44.740214442598926</v>
      </c>
      <c r="AX101" s="41">
        <f t="shared" si="36"/>
        <v>-37.145855473710299</v>
      </c>
      <c r="AY101" s="41">
        <f t="shared" si="36"/>
        <v>-51.193069220052394</v>
      </c>
      <c r="AZ101" s="41">
        <f t="shared" si="36"/>
        <v>-49.222538757938082</v>
      </c>
    </row>
    <row r="102" spans="1:52" x14ac:dyDescent="0.2">
      <c r="A102" s="30">
        <v>260</v>
      </c>
      <c r="B102" s="31" t="s">
        <v>416</v>
      </c>
      <c r="C102" s="41">
        <v>-5539</v>
      </c>
      <c r="D102" s="41">
        <v>-3094</v>
      </c>
      <c r="E102" s="73">
        <v>-830</v>
      </c>
      <c r="F102" s="73">
        <v>-2765</v>
      </c>
      <c r="G102" s="73">
        <v>-1766</v>
      </c>
      <c r="H102" s="41">
        <v>-3155</v>
      </c>
      <c r="I102" s="165">
        <v>-2064.2414699999999</v>
      </c>
      <c r="J102" s="41">
        <v>-2479.59121</v>
      </c>
      <c r="K102" s="41">
        <v>-4996.74449</v>
      </c>
      <c r="L102" s="41">
        <f>$L$5*'7.1. Nettoinvestointiennuste '!Y102</f>
        <v>-4400.8698969554698</v>
      </c>
      <c r="M102" s="41">
        <f>$M$5*'7.1. Nettoinvestointiennuste '!Y102</f>
        <v>-4589.4827693425386</v>
      </c>
      <c r="N102" s="41">
        <f>$N$5*'7.1. Nettoinvestointiennuste '!Y102</f>
        <v>-4751.4646738906386</v>
      </c>
      <c r="O102" s="41">
        <f>O$5*'7.1. Nettoinvestointiennuste '!$Y102</f>
        <v>-4963.2666272209817</v>
      </c>
      <c r="P102" s="41">
        <f>P$5*'7.1. Nettoinvestointiennuste '!$Y102</f>
        <v>-5169.3200712469143</v>
      </c>
      <c r="T102" s="34">
        <v>260</v>
      </c>
      <c r="U102" s="88" t="s">
        <v>416</v>
      </c>
      <c r="V102" s="41">
        <f>C102/'1. Väestöennuste'!E102*1000</f>
        <v>-511.35524372230424</v>
      </c>
      <c r="W102" s="41">
        <f>D102/'1. Väestöennuste'!F102*1000</f>
        <v>-288.64632894859591</v>
      </c>
      <c r="X102" s="41">
        <f>E102/'1. Väestöennuste'!G102*1000</f>
        <v>-79.1531565897387</v>
      </c>
      <c r="Y102" s="41">
        <f>F102/'1. Väestöennuste'!H102*1000</f>
        <v>-266.94342537169337</v>
      </c>
      <c r="Z102" s="41">
        <f>G102/'1. Väestöennuste'!I102*1000</f>
        <v>-174.23046566692977</v>
      </c>
      <c r="AA102" s="41">
        <f>H102/'1. Väestöennuste'!J102*1000</f>
        <v>-317.62810832578276</v>
      </c>
      <c r="AB102" s="41">
        <f>I102/'1. Väestöennuste'!K102*1000</f>
        <v>-208.99478282879417</v>
      </c>
      <c r="AC102" s="41">
        <f>J102/'1. Väestöennuste'!L102*1000</f>
        <v>-254.91839313251774</v>
      </c>
      <c r="AD102" s="41">
        <f>K102/'1. Väestöennuste'!M102*1000</f>
        <v>-515.71312725771486</v>
      </c>
      <c r="AE102" s="41">
        <f>L102/'1. Väestöennuste'!N102*1000</f>
        <v>-476.18155128278181</v>
      </c>
      <c r="AF102" s="41">
        <f>M102/'1. Väestöennuste'!O102*1000</f>
        <v>-504.78253072399235</v>
      </c>
      <c r="AG102" s="41">
        <f>N102/'1. Väestöennuste'!P102*1000</f>
        <v>-531.00856882997743</v>
      </c>
      <c r="AH102" s="41">
        <f>O102/'1. Väestöennuste'!Q102*1000</f>
        <v>-563.17560730976754</v>
      </c>
      <c r="AI102" s="41">
        <f>P102/'1. Väestöennuste'!R102*1000</f>
        <v>-595.26946928223333</v>
      </c>
      <c r="AK102" s="34">
        <v>260</v>
      </c>
      <c r="AL102" s="88" t="s">
        <v>416</v>
      </c>
      <c r="AM102" s="41"/>
      <c r="AN102" s="41">
        <f t="shared" si="26"/>
        <v>222.70891477370833</v>
      </c>
      <c r="AO102" s="41">
        <f t="shared" si="27"/>
        <v>209.49317235885721</v>
      </c>
      <c r="AP102" s="41">
        <f t="shared" si="28"/>
        <v>-187.79026878195467</v>
      </c>
      <c r="AQ102" s="41">
        <f t="shared" si="29"/>
        <v>92.712959704763591</v>
      </c>
      <c r="AR102" s="41">
        <f t="shared" si="30"/>
        <v>-143.39764265885299</v>
      </c>
      <c r="AS102" s="41">
        <f t="shared" si="31"/>
        <v>108.63332549698859</v>
      </c>
      <c r="AT102" s="41">
        <f t="shared" si="32"/>
        <v>-45.923610303723564</v>
      </c>
      <c r="AU102" s="41">
        <f t="shared" si="33"/>
        <v>-260.79473412519712</v>
      </c>
      <c r="AV102" s="41">
        <f t="shared" si="34"/>
        <v>39.531575974933048</v>
      </c>
      <c r="AW102" s="41">
        <f t="shared" si="35"/>
        <v>-28.600979441210541</v>
      </c>
      <c r="AX102" s="41">
        <f t="shared" si="36"/>
        <v>-26.226038105985083</v>
      </c>
      <c r="AY102" s="41">
        <f t="shared" si="36"/>
        <v>-32.167038479790108</v>
      </c>
      <c r="AZ102" s="41">
        <f t="shared" si="36"/>
        <v>-32.093861972465788</v>
      </c>
    </row>
    <row r="103" spans="1:52" x14ac:dyDescent="0.2">
      <c r="A103" s="30">
        <v>261</v>
      </c>
      <c r="B103" s="31" t="s">
        <v>417</v>
      </c>
      <c r="C103" s="41">
        <v>-3903</v>
      </c>
      <c r="D103" s="41">
        <v>-3326</v>
      </c>
      <c r="E103" s="73">
        <v>-1348</v>
      </c>
      <c r="F103" s="73">
        <v>-109</v>
      </c>
      <c r="G103" s="73">
        <v>-4139</v>
      </c>
      <c r="H103" s="41">
        <v>-3426</v>
      </c>
      <c r="I103" s="165">
        <v>2768.6219999999998</v>
      </c>
      <c r="J103" s="41">
        <v>-4228.0383000000002</v>
      </c>
      <c r="K103" s="41">
        <v>-14876.965920000001</v>
      </c>
      <c r="L103" s="41">
        <f>$L$5*'7.1. Nettoinvestointiennuste '!Y103</f>
        <v>-9672.3142922930183</v>
      </c>
      <c r="M103" s="41">
        <f>$M$5*'7.1. Nettoinvestointiennuste '!Y103</f>
        <v>-10086.851196136042</v>
      </c>
      <c r="N103" s="41">
        <f>$N$5*'7.1. Nettoinvestointiennuste '!Y103</f>
        <v>-10442.858060037495</v>
      </c>
      <c r="O103" s="41">
        <f>O$5*'7.1. Nettoinvestointiennuste '!$Y103</f>
        <v>-10908.360360332692</v>
      </c>
      <c r="P103" s="41">
        <f>P$5*'7.1. Nettoinvestointiennuste '!$Y103</f>
        <v>-11361.228479203235</v>
      </c>
      <c r="T103" s="34">
        <v>261</v>
      </c>
      <c r="U103" s="88" t="s">
        <v>417</v>
      </c>
      <c r="V103" s="41">
        <f>C103/'1. Väestöennuste'!E103*1000</f>
        <v>-608.32294264339146</v>
      </c>
      <c r="W103" s="41">
        <f>D103/'1. Väestöennuste'!F103*1000</f>
        <v>-521.07159642801196</v>
      </c>
      <c r="X103" s="41">
        <f>E103/'1. Väestöennuste'!G103*1000</f>
        <v>-209.9361470175985</v>
      </c>
      <c r="Y103" s="41">
        <f>F103/'1. Väestöennuste'!H103*1000</f>
        <v>-16.935985083903045</v>
      </c>
      <c r="Z103" s="41">
        <f>G103/'1. Väestöennuste'!I103*1000</f>
        <v>-641.4070974740431</v>
      </c>
      <c r="AA103" s="41">
        <f>H103/'1. Väestöennuste'!J103*1000</f>
        <v>-532.31821006836549</v>
      </c>
      <c r="AB103" s="41">
        <f>I103/'1. Väestöennuste'!K103*1000</f>
        <v>424.43998160355659</v>
      </c>
      <c r="AC103" s="41">
        <f>J103/'1. Väestöennuste'!L103*1000</f>
        <v>-637.04057556124758</v>
      </c>
      <c r="AD103" s="41">
        <f>K103/'1. Väestöennuste'!M103*1000</f>
        <v>-2180.7337906772204</v>
      </c>
      <c r="AE103" s="41">
        <f>L103/'1. Väestöennuste'!N103*1000</f>
        <v>-1510.1193274462169</v>
      </c>
      <c r="AF103" s="41">
        <f>M103/'1. Väestöennuste'!O103*1000</f>
        <v>-1577.7962140053248</v>
      </c>
      <c r="AG103" s="41">
        <f>N103/'1. Väestöennuste'!P103*1000</f>
        <v>-1637.0682019184032</v>
      </c>
      <c r="AH103" s="41">
        <f>O103/'1. Väestöennuste'!Q103*1000</f>
        <v>-1713.8036701229682</v>
      </c>
      <c r="AI103" s="41">
        <f>P103/'1. Väestöennuste'!R103*1000</f>
        <v>-1788.3249613101266</v>
      </c>
      <c r="AK103" s="34">
        <v>261</v>
      </c>
      <c r="AL103" s="88" t="s">
        <v>417</v>
      </c>
      <c r="AM103" s="41"/>
      <c r="AN103" s="41">
        <f t="shared" si="26"/>
        <v>87.251346215379499</v>
      </c>
      <c r="AO103" s="41">
        <f t="shared" si="27"/>
        <v>311.13544941041346</v>
      </c>
      <c r="AP103" s="41">
        <f t="shared" si="28"/>
        <v>193.00016193369547</v>
      </c>
      <c r="AQ103" s="41">
        <f t="shared" si="29"/>
        <v>-624.47111239014009</v>
      </c>
      <c r="AR103" s="41">
        <f t="shared" si="30"/>
        <v>109.08888740567761</v>
      </c>
      <c r="AS103" s="41">
        <f t="shared" si="31"/>
        <v>956.75819167192208</v>
      </c>
      <c r="AT103" s="41">
        <f t="shared" si="32"/>
        <v>-1061.4805571648042</v>
      </c>
      <c r="AU103" s="41">
        <f t="shared" si="33"/>
        <v>-1543.6932151159729</v>
      </c>
      <c r="AV103" s="41">
        <f t="shared" si="34"/>
        <v>670.61446323100358</v>
      </c>
      <c r="AW103" s="41">
        <f t="shared" si="35"/>
        <v>-67.67688655910797</v>
      </c>
      <c r="AX103" s="41">
        <f t="shared" si="36"/>
        <v>-59.271987913078419</v>
      </c>
      <c r="AY103" s="41">
        <f t="shared" si="36"/>
        <v>-76.735468204564995</v>
      </c>
      <c r="AZ103" s="41">
        <f t="shared" si="36"/>
        <v>-74.52129118715834</v>
      </c>
    </row>
    <row r="104" spans="1:52" x14ac:dyDescent="0.2">
      <c r="A104" s="30">
        <v>263</v>
      </c>
      <c r="B104" s="31" t="s">
        <v>418</v>
      </c>
      <c r="C104" s="41">
        <v>-3242</v>
      </c>
      <c r="D104" s="41">
        <v>-3103</v>
      </c>
      <c r="E104" s="73">
        <v>-3915</v>
      </c>
      <c r="F104" s="73">
        <v>-3523</v>
      </c>
      <c r="G104" s="73">
        <v>-2919</v>
      </c>
      <c r="H104" s="41">
        <v>-2836</v>
      </c>
      <c r="I104" s="165">
        <v>-3890.5453199999997</v>
      </c>
      <c r="J104" s="41">
        <v>-2370.1173699999999</v>
      </c>
      <c r="K104" s="41">
        <v>-190.76161999999999</v>
      </c>
      <c r="L104" s="41">
        <f>$L$5*'7.1. Nettoinvestointiennuste '!Y104</f>
        <v>-1986.422811507882</v>
      </c>
      <c r="M104" s="41">
        <f>$M$5*'7.1. Nettoinvestointiennuste '!Y104</f>
        <v>-2071.5570965529573</v>
      </c>
      <c r="N104" s="41">
        <f>$N$5*'7.1. Nettoinvestointiennuste '!Y104</f>
        <v>-2144.6709485367287</v>
      </c>
      <c r="O104" s="41">
        <f>O$5*'7.1. Nettoinvestointiennuste '!$Y104</f>
        <v>-2240.2721004608934</v>
      </c>
      <c r="P104" s="41">
        <f>P$5*'7.1. Nettoinvestointiennuste '!$Y104</f>
        <v>-2333.2785449108951</v>
      </c>
      <c r="T104" s="34">
        <v>263</v>
      </c>
      <c r="U104" s="88" t="s">
        <v>418</v>
      </c>
      <c r="V104" s="41">
        <f>C104/'1. Väestöennuste'!E104*1000</f>
        <v>-376.97674418604646</v>
      </c>
      <c r="W104" s="41">
        <f>D104/'1. Väestöennuste'!F104*1000</f>
        <v>-367.47986736144009</v>
      </c>
      <c r="X104" s="41">
        <f>E104/'1. Väestöennuste'!G104*1000</f>
        <v>-472.65483520463602</v>
      </c>
      <c r="Y104" s="41">
        <f>F104/'1. Väestöennuste'!H104*1000</f>
        <v>-432.11087943088432</v>
      </c>
      <c r="Z104" s="41">
        <f>G104/'1. Väestöennuste'!I104*1000</f>
        <v>-364.96624156039007</v>
      </c>
      <c r="AA104" s="41">
        <f>H104/'1. Väestöennuste'!J104*1000</f>
        <v>-361.08989050165519</v>
      </c>
      <c r="AB104" s="41">
        <f>I104/'1. Väestöennuste'!K104*1000</f>
        <v>-501.4235494264725</v>
      </c>
      <c r="AC104" s="41">
        <f>J104/'1. Väestöennuste'!L104*1000</f>
        <v>-311.98069896011583</v>
      </c>
      <c r="AD104" s="41">
        <f>K104/'1. Väestöennuste'!M104*1000</f>
        <v>-25.519949163879598</v>
      </c>
      <c r="AE104" s="41">
        <f>L104/'1. Väestöennuste'!N104*1000</f>
        <v>-270.9620531316167</v>
      </c>
      <c r="AF104" s="41">
        <f>M104/'1. Väestöennuste'!O104*1000</f>
        <v>-287.11810070034062</v>
      </c>
      <c r="AG104" s="41">
        <f>N104/'1. Väestöennuste'!P104*1000</f>
        <v>-301.9812656345718</v>
      </c>
      <c r="AH104" s="41">
        <f>O104/'1. Väestöennuste'!Q104*1000</f>
        <v>-320.31342585943571</v>
      </c>
      <c r="AI104" s="41">
        <f>P104/'1. Väestöennuste'!R104*1000</f>
        <v>-338.59796037017782</v>
      </c>
      <c r="AK104" s="34">
        <v>263</v>
      </c>
      <c r="AL104" s="88" t="s">
        <v>418</v>
      </c>
      <c r="AM104" s="41"/>
      <c r="AN104" s="41">
        <f t="shared" si="26"/>
        <v>9.4968768246063746</v>
      </c>
      <c r="AO104" s="41">
        <f t="shared" si="27"/>
        <v>-105.17496784319593</v>
      </c>
      <c r="AP104" s="41">
        <f t="shared" si="28"/>
        <v>40.543955773751691</v>
      </c>
      <c r="AQ104" s="41">
        <f t="shared" si="29"/>
        <v>67.14463787049425</v>
      </c>
      <c r="AR104" s="41">
        <f t="shared" si="30"/>
        <v>3.8763510587348833</v>
      </c>
      <c r="AS104" s="41">
        <f t="shared" si="31"/>
        <v>-140.33365892481731</v>
      </c>
      <c r="AT104" s="41">
        <f t="shared" si="32"/>
        <v>189.44285046635667</v>
      </c>
      <c r="AU104" s="41">
        <f t="shared" si="33"/>
        <v>286.46074979623626</v>
      </c>
      <c r="AV104" s="41">
        <f t="shared" si="34"/>
        <v>-245.4421039677371</v>
      </c>
      <c r="AW104" s="41">
        <f t="shared" si="35"/>
        <v>-16.15604756872392</v>
      </c>
      <c r="AX104" s="41">
        <f t="shared" si="36"/>
        <v>-14.863164934231179</v>
      </c>
      <c r="AY104" s="41">
        <f t="shared" si="36"/>
        <v>-18.332160224863912</v>
      </c>
      <c r="AZ104" s="41">
        <f t="shared" si="36"/>
        <v>-18.284534510742105</v>
      </c>
    </row>
    <row r="105" spans="1:52" x14ac:dyDescent="0.2">
      <c r="A105" s="30">
        <v>265</v>
      </c>
      <c r="B105" s="31" t="s">
        <v>419</v>
      </c>
      <c r="C105" s="41">
        <v>-3294</v>
      </c>
      <c r="D105" s="41">
        <v>-185</v>
      </c>
      <c r="E105" s="73">
        <v>-231</v>
      </c>
      <c r="F105" s="73">
        <v>-352</v>
      </c>
      <c r="G105" s="73">
        <v>-146</v>
      </c>
      <c r="H105" s="41">
        <v>-202</v>
      </c>
      <c r="I105" s="165">
        <v>-965.86552000000006</v>
      </c>
      <c r="J105" s="41">
        <v>-117.81756</v>
      </c>
      <c r="K105" s="41">
        <v>-39.312669999999997</v>
      </c>
      <c r="L105" s="41">
        <f>$L$5*'7.1. Nettoinvestointiennuste '!Y105</f>
        <v>-282.21466620316244</v>
      </c>
      <c r="M105" s="41">
        <f>$M$5*'7.1. Nettoinvestointiennuste '!Y105</f>
        <v>-294.30984739885298</v>
      </c>
      <c r="N105" s="41">
        <f>$N$5*'7.1. Nettoinvestointiennuste '!Y105</f>
        <v>-304.69726402178458</v>
      </c>
      <c r="O105" s="41">
        <f>O$5*'7.1. Nettoinvestointiennuste '!$Y105</f>
        <v>-318.27949184489108</v>
      </c>
      <c r="P105" s="41">
        <f>P$5*'7.1. Nettoinvestointiennuste '!$Y105</f>
        <v>-331.49308490430411</v>
      </c>
      <c r="T105" s="34">
        <v>265</v>
      </c>
      <c r="U105" s="88" t="s">
        <v>419</v>
      </c>
      <c r="V105" s="41">
        <f>C105/'1. Väestöennuste'!E105*1000</f>
        <v>-2745</v>
      </c>
      <c r="W105" s="41">
        <f>D105/'1. Väestöennuste'!F105*1000</f>
        <v>-159.34539190353144</v>
      </c>
      <c r="X105" s="41">
        <f>E105/'1. Väestöennuste'!G105*1000</f>
        <v>-204.0636042402827</v>
      </c>
      <c r="Y105" s="41">
        <f>F105/'1. Väestöennuste'!H105*1000</f>
        <v>-319.12964641885765</v>
      </c>
      <c r="Z105" s="41">
        <f>G105/'1. Väestöennuste'!I105*1000</f>
        <v>-133.2116788321168</v>
      </c>
      <c r="AA105" s="41">
        <f>H105/'1. Väestöennuste'!J105*1000</f>
        <v>-182.4751580849142</v>
      </c>
      <c r="AB105" s="41">
        <f>I105/'1. Väestöennuste'!K105*1000</f>
        <v>-887.74404411764704</v>
      </c>
      <c r="AC105" s="41">
        <f>J105/'1. Väestöennuste'!L105*1000</f>
        <v>-110.73078947368421</v>
      </c>
      <c r="AD105" s="41">
        <f>K105/'1. Väestöennuste'!M105*1000</f>
        <v>-37.98325603864734</v>
      </c>
      <c r="AE105" s="41">
        <f>L105/'1. Väestöennuste'!N105*1000</f>
        <v>-269.54600401448181</v>
      </c>
      <c r="AF105" s="41">
        <f>M105/'1. Väestöennuste'!O105*1000</f>
        <v>-285.18396065780325</v>
      </c>
      <c r="AG105" s="41">
        <f>N105/'1. Väestöennuste'!P105*1000</f>
        <v>-299.60399608828374</v>
      </c>
      <c r="AH105" s="41">
        <f>O105/'1. Väestöennuste'!Q105*1000</f>
        <v>-317.32750931694028</v>
      </c>
      <c r="AI105" s="41">
        <f>P105/'1. Väestöennuste'!R105*1000</f>
        <v>-335.18006562619223</v>
      </c>
      <c r="AK105" s="34">
        <v>265</v>
      </c>
      <c r="AL105" s="88" t="s">
        <v>419</v>
      </c>
      <c r="AM105" s="41"/>
      <c r="AN105" s="41">
        <f t="shared" si="26"/>
        <v>2585.6546080964686</v>
      </c>
      <c r="AO105" s="41">
        <f t="shared" si="27"/>
        <v>-44.718212336751265</v>
      </c>
      <c r="AP105" s="41">
        <f t="shared" si="28"/>
        <v>-115.06604217857495</v>
      </c>
      <c r="AQ105" s="41">
        <f t="shared" si="29"/>
        <v>185.91796758674084</v>
      </c>
      <c r="AR105" s="41">
        <f t="shared" si="30"/>
        <v>-49.263479252797396</v>
      </c>
      <c r="AS105" s="41">
        <f t="shared" si="31"/>
        <v>-705.26888603273278</v>
      </c>
      <c r="AT105" s="41">
        <f t="shared" si="32"/>
        <v>777.0132546439628</v>
      </c>
      <c r="AU105" s="41">
        <f t="shared" si="33"/>
        <v>72.747533435036871</v>
      </c>
      <c r="AV105" s="41">
        <f t="shared" si="34"/>
        <v>-231.56274797583447</v>
      </c>
      <c r="AW105" s="41">
        <f t="shared" si="35"/>
        <v>-15.637956643321445</v>
      </c>
      <c r="AX105" s="41">
        <f t="shared" si="36"/>
        <v>-14.420035430480482</v>
      </c>
      <c r="AY105" s="41">
        <f t="shared" si="36"/>
        <v>-17.723513228656543</v>
      </c>
      <c r="AZ105" s="41">
        <f t="shared" si="36"/>
        <v>-17.852556309251952</v>
      </c>
    </row>
    <row r="106" spans="1:52" x14ac:dyDescent="0.2">
      <c r="A106" s="30">
        <v>271</v>
      </c>
      <c r="B106" s="31" t="s">
        <v>420</v>
      </c>
      <c r="C106" s="41">
        <v>-2439</v>
      </c>
      <c r="D106" s="41">
        <v>-3626</v>
      </c>
      <c r="E106" s="73">
        <v>-1713</v>
      </c>
      <c r="F106" s="73">
        <v>-1408</v>
      </c>
      <c r="G106" s="73">
        <v>-2116</v>
      </c>
      <c r="H106" s="41">
        <v>-4715</v>
      </c>
      <c r="I106" s="165">
        <v>-3929.2456099999999</v>
      </c>
      <c r="J106" s="41">
        <v>-1000.82975</v>
      </c>
      <c r="K106" s="41">
        <v>-1841.7565400000001</v>
      </c>
      <c r="L106" s="41">
        <f>$L$5*'7.1. Nettoinvestointiennuste '!Y106</f>
        <v>-3466.5924063059947</v>
      </c>
      <c r="M106" s="41">
        <f>$M$5*'7.1. Nettoinvestointiennuste '!Y106</f>
        <v>-3615.1639311313261</v>
      </c>
      <c r="N106" s="41">
        <f>$N$5*'7.1. Nettoinvestointiennuste '!Y106</f>
        <v>-3742.758078064388</v>
      </c>
      <c r="O106" s="41">
        <f>O$5*'7.1. Nettoinvestointiennuste '!$Y106</f>
        <v>-3909.5957852103516</v>
      </c>
      <c r="P106" s="41">
        <f>P$5*'7.1. Nettoinvestointiennuste '!$Y106</f>
        <v>-4071.9053560630714</v>
      </c>
      <c r="T106" s="34">
        <v>271</v>
      </c>
      <c r="U106" s="88" t="s">
        <v>420</v>
      </c>
      <c r="V106" s="41">
        <f>C106/'1. Väestöennuste'!E106*1000</f>
        <v>-321.30154129890661</v>
      </c>
      <c r="W106" s="41">
        <f>D106/'1. Väestöennuste'!F106*1000</f>
        <v>-483.59562550013334</v>
      </c>
      <c r="X106" s="41">
        <f>E106/'1. Väestöennuste'!G106*1000</f>
        <v>-232.0823736621054</v>
      </c>
      <c r="Y106" s="41">
        <f>F106/'1. Väestöennuste'!H106*1000</f>
        <v>-194.85192360918904</v>
      </c>
      <c r="Z106" s="41">
        <f>G106/'1. Väestöennuste'!I106*1000</f>
        <v>-297.90229480501193</v>
      </c>
      <c r="AA106" s="41">
        <f>H106/'1. Väestöennuste'!J106*1000</f>
        <v>-672.32282903179805</v>
      </c>
      <c r="AB106" s="41">
        <f>I106/'1. Väestöennuste'!K106*1000</f>
        <v>-565.27774564810818</v>
      </c>
      <c r="AC106" s="41">
        <f>J106/'1. Väestöennuste'!L106*1000</f>
        <v>-144.98475300593944</v>
      </c>
      <c r="AD106" s="41">
        <f>K106/'1. Väestöennuste'!M106*1000</f>
        <v>-272.2075879396985</v>
      </c>
      <c r="AE106" s="41">
        <f>L106/'1. Väestöennuste'!N106*1000</f>
        <v>-522.5493527744942</v>
      </c>
      <c r="AF106" s="41">
        <f>M106/'1. Väestöennuste'!O106*1000</f>
        <v>-551.93342460020244</v>
      </c>
      <c r="AG106" s="41">
        <f>N106/'1. Väestöennuste'!P106*1000</f>
        <v>-578.21073351836674</v>
      </c>
      <c r="AH106" s="41">
        <f>O106/'1. Väestöennuste'!Q106*1000</f>
        <v>-610.68350284447843</v>
      </c>
      <c r="AI106" s="41">
        <f>P106/'1. Väestöennuste'!R106*1000</f>
        <v>-642.86475466736204</v>
      </c>
      <c r="AK106" s="34">
        <v>271</v>
      </c>
      <c r="AL106" s="88" t="s">
        <v>420</v>
      </c>
      <c r="AM106" s="41"/>
      <c r="AN106" s="41">
        <f t="shared" si="26"/>
        <v>-162.29408420122672</v>
      </c>
      <c r="AO106" s="41">
        <f t="shared" si="27"/>
        <v>251.51325183802794</v>
      </c>
      <c r="AP106" s="41">
        <f t="shared" si="28"/>
        <v>37.230450052916353</v>
      </c>
      <c r="AQ106" s="41">
        <f t="shared" si="29"/>
        <v>-103.05037119582289</v>
      </c>
      <c r="AR106" s="41">
        <f t="shared" si="30"/>
        <v>-374.42053422678612</v>
      </c>
      <c r="AS106" s="41">
        <f t="shared" si="31"/>
        <v>107.04508338368987</v>
      </c>
      <c r="AT106" s="41">
        <f t="shared" si="32"/>
        <v>420.29299264216877</v>
      </c>
      <c r="AU106" s="41">
        <f t="shared" si="33"/>
        <v>-127.22283493375906</v>
      </c>
      <c r="AV106" s="41">
        <f t="shared" si="34"/>
        <v>-250.3417648347957</v>
      </c>
      <c r="AW106" s="41">
        <f t="shared" si="35"/>
        <v>-29.384071825708247</v>
      </c>
      <c r="AX106" s="41">
        <f t="shared" si="36"/>
        <v>-26.277308918164294</v>
      </c>
      <c r="AY106" s="41">
        <f t="shared" si="36"/>
        <v>-32.472769326111688</v>
      </c>
      <c r="AZ106" s="41">
        <f t="shared" si="36"/>
        <v>-32.18125182288361</v>
      </c>
    </row>
    <row r="107" spans="1:52" x14ac:dyDescent="0.2">
      <c r="A107" s="30">
        <v>272</v>
      </c>
      <c r="B107" s="31" t="s">
        <v>421</v>
      </c>
      <c r="C107" s="41">
        <v>-54543</v>
      </c>
      <c r="D107" s="41">
        <v>-15224</v>
      </c>
      <c r="E107" s="73">
        <v>-13051</v>
      </c>
      <c r="F107" s="73">
        <v>-13244</v>
      </c>
      <c r="G107" s="73">
        <v>-17531</v>
      </c>
      <c r="H107" s="41">
        <v>-15637</v>
      </c>
      <c r="I107" s="165">
        <v>-28811.6433</v>
      </c>
      <c r="J107" s="41">
        <v>-10082.270410000001</v>
      </c>
      <c r="K107" s="41">
        <v>-22792.769239999998</v>
      </c>
      <c r="L107" s="41">
        <f>$L$5*'7.1. Nettoinvestointiennuste '!Y107</f>
        <v>-33282.398228773141</v>
      </c>
      <c r="M107" s="41">
        <f>$M$5*'7.1. Nettoinvestointiennuste '!Y107</f>
        <v>-34708.818204106195</v>
      </c>
      <c r="N107" s="41">
        <f>$N$5*'7.1. Nettoinvestointiennuste '!Y107</f>
        <v>-35933.836525314597</v>
      </c>
      <c r="O107" s="41">
        <f>O$5*'7.1. Nettoinvestointiennuste '!$Y107</f>
        <v>-37535.628244094827</v>
      </c>
      <c r="P107" s="41">
        <f>P$5*'7.1. Nettoinvestointiennuste '!$Y107</f>
        <v>-39093.945790638449</v>
      </c>
      <c r="T107" s="34">
        <v>272</v>
      </c>
      <c r="U107" s="88" t="s">
        <v>421</v>
      </c>
      <c r="V107" s="41">
        <f>C107/'1. Väestöennuste'!E107*1000</f>
        <v>-1146.583981500946</v>
      </c>
      <c r="W107" s="41">
        <f>D107/'1. Väestöennuste'!F107*1000</f>
        <v>-319.00760639523918</v>
      </c>
      <c r="X107" s="41">
        <f>E107/'1. Väestöennuste'!G107*1000</f>
        <v>-273.47400624436852</v>
      </c>
      <c r="Y107" s="41">
        <f>F107/'1. Väestöennuste'!H107*1000</f>
        <v>-277.90251169817651</v>
      </c>
      <c r="Z107" s="41">
        <f>G107/'1. Väestöennuste'!I107*1000</f>
        <v>-367.6726578721084</v>
      </c>
      <c r="AA107" s="41">
        <f>H107/'1. Väestöennuste'!J107*1000</f>
        <v>-327.32563007619524</v>
      </c>
      <c r="AB107" s="41">
        <f>I107/'1. Väestöennuste'!K107*1000</f>
        <v>-601.38269009998123</v>
      </c>
      <c r="AC107" s="41">
        <f>J107/'1. Väestöennuste'!L107*1000</f>
        <v>-210.02104757738618</v>
      </c>
      <c r="AD107" s="41">
        <f>K107/'1. Väestöennuste'!M107*1000</f>
        <v>-471.9488402526141</v>
      </c>
      <c r="AE107" s="41">
        <f>L107/'1. Väestöennuste'!N107*1000</f>
        <v>-695.03400218797015</v>
      </c>
      <c r="AF107" s="41">
        <f>M107/'1. Väestöennuste'!O107*1000</f>
        <v>-725.03380272614879</v>
      </c>
      <c r="AG107" s="41">
        <f>N107/'1. Väestöennuste'!P107*1000</f>
        <v>-751.07824604047812</v>
      </c>
      <c r="AH107" s="41">
        <f>O107/'1. Väestöennuste'!Q107*1000</f>
        <v>-785.21490793663213</v>
      </c>
      <c r="AI107" s="41">
        <f>P107/'1. Väestöennuste'!R107*1000</f>
        <v>-818.75567124567419</v>
      </c>
      <c r="AK107" s="34">
        <v>272</v>
      </c>
      <c r="AL107" s="88" t="s">
        <v>421</v>
      </c>
      <c r="AM107" s="41"/>
      <c r="AN107" s="41">
        <f t="shared" si="26"/>
        <v>827.5763751057068</v>
      </c>
      <c r="AO107" s="41">
        <f t="shared" si="27"/>
        <v>45.533600150870654</v>
      </c>
      <c r="AP107" s="41">
        <f t="shared" si="28"/>
        <v>-4.4285054538079862</v>
      </c>
      <c r="AQ107" s="41">
        <f t="shared" si="29"/>
        <v>-89.770146173931892</v>
      </c>
      <c r="AR107" s="41">
        <f t="shared" si="30"/>
        <v>40.347027795913164</v>
      </c>
      <c r="AS107" s="41">
        <f t="shared" si="31"/>
        <v>-274.05706002378599</v>
      </c>
      <c r="AT107" s="41">
        <f t="shared" si="32"/>
        <v>391.36164252259505</v>
      </c>
      <c r="AU107" s="41">
        <f t="shared" si="33"/>
        <v>-261.92779267522792</v>
      </c>
      <c r="AV107" s="41">
        <f t="shared" si="34"/>
        <v>-223.08516193535604</v>
      </c>
      <c r="AW107" s="41">
        <f t="shared" si="35"/>
        <v>-29.999800538178647</v>
      </c>
      <c r="AX107" s="41">
        <f t="shared" si="36"/>
        <v>-26.044443314329328</v>
      </c>
      <c r="AY107" s="41">
        <f t="shared" si="36"/>
        <v>-34.13666189615401</v>
      </c>
      <c r="AZ107" s="41">
        <f t="shared" si="36"/>
        <v>-33.540763309042063</v>
      </c>
    </row>
    <row r="108" spans="1:52" x14ac:dyDescent="0.2">
      <c r="A108" s="30">
        <v>273</v>
      </c>
      <c r="B108" s="31" t="s">
        <v>422</v>
      </c>
      <c r="C108" s="41">
        <v>-1684</v>
      </c>
      <c r="D108" s="41">
        <v>-2222</v>
      </c>
      <c r="E108" s="73">
        <v>-2078</v>
      </c>
      <c r="F108" s="73">
        <v>-1630</v>
      </c>
      <c r="G108" s="73">
        <v>-648</v>
      </c>
      <c r="H108" s="41">
        <v>-955</v>
      </c>
      <c r="I108" s="165">
        <v>-190.547</v>
      </c>
      <c r="J108" s="41">
        <v>-768.82286999999997</v>
      </c>
      <c r="K108" s="41">
        <v>-1231.4355600000001</v>
      </c>
      <c r="L108" s="41">
        <f>$L$5*'7.1. Nettoinvestointiennuste '!Y108</f>
        <v>-1342.9547651704588</v>
      </c>
      <c r="M108" s="41">
        <f>$M$5*'7.1. Nettoinvestointiennuste '!Y108</f>
        <v>-1400.5112396120082</v>
      </c>
      <c r="N108" s="41">
        <f>$N$5*'7.1. Nettoinvestointiennuste '!Y108</f>
        <v>-1449.9410968170002</v>
      </c>
      <c r="O108" s="41">
        <f>O$5*'7.1. Nettoinvestointiennuste '!$Y108</f>
        <v>-1514.5738737809754</v>
      </c>
      <c r="P108" s="41">
        <f>P$5*'7.1. Nettoinvestointiennuste '!$Y108</f>
        <v>-1577.4524548373813</v>
      </c>
      <c r="T108" s="34">
        <v>273</v>
      </c>
      <c r="U108" s="88" t="s">
        <v>422</v>
      </c>
      <c r="V108" s="41">
        <f>C108/'1. Väestöennuste'!E108*1000</f>
        <v>-437.62993762993761</v>
      </c>
      <c r="W108" s="41">
        <f>D108/'1. Väestöennuste'!F108*1000</f>
        <v>-580.61144499608054</v>
      </c>
      <c r="X108" s="41">
        <f>E108/'1. Väestöennuste'!G108*1000</f>
        <v>-539.1800726517904</v>
      </c>
      <c r="Y108" s="41">
        <f>F108/'1. Väestöennuste'!H108*1000</f>
        <v>-425.14345331246739</v>
      </c>
      <c r="Z108" s="41">
        <f>G108/'1. Väestöennuste'!I108*1000</f>
        <v>-168.48673946957879</v>
      </c>
      <c r="AA108" s="41">
        <f>H108/'1. Väestöennuste'!J108*1000</f>
        <v>-243.31210191082803</v>
      </c>
      <c r="AB108" s="41">
        <f>I108/'1. Väestöennuste'!K108*1000</f>
        <v>-47.768112308849339</v>
      </c>
      <c r="AC108" s="41">
        <f>J108/'1. Väestöennuste'!L108*1000</f>
        <v>-192.25378094523629</v>
      </c>
      <c r="AD108" s="41">
        <f>K108/'1. Väestöennuste'!M108*1000</f>
        <v>-307.0145998504114</v>
      </c>
      <c r="AE108" s="41">
        <f>L108/'1. Väestöennuste'!N108*1000</f>
        <v>-338.44626138368415</v>
      </c>
      <c r="AF108" s="41">
        <f>M108/'1. Väestöennuste'!O108*1000</f>
        <v>-352.41853035027884</v>
      </c>
      <c r="AG108" s="41">
        <f>N108/'1. Väestöennuste'!P108*1000</f>
        <v>-364.48996903393669</v>
      </c>
      <c r="AH108" s="41">
        <f>O108/'1. Väestöennuste'!Q108*1000</f>
        <v>-380.83325968845242</v>
      </c>
      <c r="AI108" s="41">
        <f>P108/'1. Väestöennuste'!R108*1000</f>
        <v>-396.64381564932899</v>
      </c>
      <c r="AK108" s="34">
        <v>273</v>
      </c>
      <c r="AL108" s="88" t="s">
        <v>422</v>
      </c>
      <c r="AM108" s="41"/>
      <c r="AN108" s="41">
        <f t="shared" si="26"/>
        <v>-142.98150736614292</v>
      </c>
      <c r="AO108" s="41">
        <f t="shared" si="27"/>
        <v>41.431372344290139</v>
      </c>
      <c r="AP108" s="41">
        <f t="shared" si="28"/>
        <v>114.03661933932301</v>
      </c>
      <c r="AQ108" s="41">
        <f t="shared" si="29"/>
        <v>256.65671384288862</v>
      </c>
      <c r="AR108" s="41">
        <f t="shared" si="30"/>
        <v>-74.82536244124924</v>
      </c>
      <c r="AS108" s="41">
        <f t="shared" si="31"/>
        <v>195.54398960197869</v>
      </c>
      <c r="AT108" s="41">
        <f t="shared" si="32"/>
        <v>-144.48566863638695</v>
      </c>
      <c r="AU108" s="41">
        <f t="shared" si="33"/>
        <v>-114.76081890517511</v>
      </c>
      <c r="AV108" s="41">
        <f t="shared" si="34"/>
        <v>-31.431661533272745</v>
      </c>
      <c r="AW108" s="41">
        <f t="shared" si="35"/>
        <v>-13.972268966594697</v>
      </c>
      <c r="AX108" s="41">
        <f t="shared" si="36"/>
        <v>-12.071438683657846</v>
      </c>
      <c r="AY108" s="41">
        <f t="shared" si="36"/>
        <v>-16.343290654515727</v>
      </c>
      <c r="AZ108" s="41">
        <f t="shared" si="36"/>
        <v>-15.81055596087657</v>
      </c>
    </row>
    <row r="109" spans="1:52" x14ac:dyDescent="0.2">
      <c r="A109" s="30">
        <v>275</v>
      </c>
      <c r="B109" s="31" t="s">
        <v>423</v>
      </c>
      <c r="C109" s="41">
        <v>-5034</v>
      </c>
      <c r="D109" s="41">
        <v>-5726</v>
      </c>
      <c r="E109" s="73">
        <v>-3009</v>
      </c>
      <c r="F109" s="73">
        <v>-922</v>
      </c>
      <c r="G109" s="73">
        <v>-115</v>
      </c>
      <c r="H109" s="41">
        <v>-153</v>
      </c>
      <c r="I109" s="165">
        <v>-1356.48966</v>
      </c>
      <c r="J109" s="41">
        <v>-1237.7463</v>
      </c>
      <c r="K109" s="41">
        <v>-266.62461999999999</v>
      </c>
      <c r="L109" s="41">
        <f>$L$5*'7.1. Nettoinvestointiennuste '!Y109</f>
        <v>-825.49570154400419</v>
      </c>
      <c r="M109" s="41">
        <f>$M$5*'7.1. Nettoinvestointiennuste '!Y109</f>
        <v>-860.87486953965572</v>
      </c>
      <c r="N109" s="41">
        <f>$N$5*'7.1. Nettoinvestointiennuste '!Y109</f>
        <v>-891.25871842936544</v>
      </c>
      <c r="O109" s="41">
        <f>O$5*'7.1. Nettoinvestointiennuste '!$Y109</f>
        <v>-930.98759161731812</v>
      </c>
      <c r="P109" s="41">
        <f>P$5*'7.1. Nettoinvestointiennuste '!$Y109</f>
        <v>-969.63818486694322</v>
      </c>
      <c r="T109" s="34">
        <v>275</v>
      </c>
      <c r="U109" s="88" t="s">
        <v>423</v>
      </c>
      <c r="V109" s="41">
        <f>C109/'1. Väestöennuste'!E109*1000</f>
        <v>-1825.8977149075081</v>
      </c>
      <c r="W109" s="41">
        <f>D109/'1. Väestöennuste'!F109*1000</f>
        <v>-2079.9128223755902</v>
      </c>
      <c r="X109" s="41">
        <f>E109/'1. Väestöennuste'!G109*1000</f>
        <v>-1094.9781659388645</v>
      </c>
      <c r="Y109" s="41">
        <f>F109/'1. Väestöennuste'!H109*1000</f>
        <v>-341.73461823573012</v>
      </c>
      <c r="Z109" s="41">
        <f>G109/'1. Väestöennuste'!I109*1000</f>
        <v>-43.776170536733915</v>
      </c>
      <c r="AA109" s="41">
        <f>H109/'1. Väestöennuste'!J109*1000</f>
        <v>-59.005013497878906</v>
      </c>
      <c r="AB109" s="41">
        <f>I109/'1. Väestöennuste'!K109*1000</f>
        <v>-524.55129930394423</v>
      </c>
      <c r="AC109" s="41">
        <f>J109/'1. Väestöennuste'!L109*1000</f>
        <v>-490.97433558111862</v>
      </c>
      <c r="AD109" s="41">
        <f>K109/'1. Väestöennuste'!M109*1000</f>
        <v>-106.69252501000399</v>
      </c>
      <c r="AE109" s="41">
        <f>L109/'1. Väestöennuste'!N109*1000</f>
        <v>-336.93702103836904</v>
      </c>
      <c r="AF109" s="41">
        <f>M109/'1. Väestöennuste'!O109*1000</f>
        <v>-355.88047521275558</v>
      </c>
      <c r="AG109" s="41">
        <f>N109/'1. Väestöennuste'!P109*1000</f>
        <v>-372.9115976691906</v>
      </c>
      <c r="AH109" s="41">
        <f>O109/'1. Väestöennuste'!Q109*1000</f>
        <v>-394.48626763445679</v>
      </c>
      <c r="AI109" s="41">
        <f>P109/'1. Väestöennuste'!R109*1000</f>
        <v>-415.97519728311596</v>
      </c>
      <c r="AK109" s="34">
        <v>275</v>
      </c>
      <c r="AL109" s="88" t="s">
        <v>423</v>
      </c>
      <c r="AM109" s="41"/>
      <c r="AN109" s="41">
        <f t="shared" si="26"/>
        <v>-254.01510746808208</v>
      </c>
      <c r="AO109" s="41">
        <f t="shared" si="27"/>
        <v>984.93465643672562</v>
      </c>
      <c r="AP109" s="41">
        <f t="shared" si="28"/>
        <v>753.24354770313448</v>
      </c>
      <c r="AQ109" s="41">
        <f t="shared" si="29"/>
        <v>297.95844769899622</v>
      </c>
      <c r="AR109" s="41">
        <f t="shared" si="30"/>
        <v>-15.228842961144991</v>
      </c>
      <c r="AS109" s="41">
        <f t="shared" si="31"/>
        <v>-465.54628580606533</v>
      </c>
      <c r="AT109" s="41">
        <f t="shared" si="32"/>
        <v>33.57696372282561</v>
      </c>
      <c r="AU109" s="41">
        <f t="shared" si="33"/>
        <v>384.28181057111465</v>
      </c>
      <c r="AV109" s="41">
        <f t="shared" si="34"/>
        <v>-230.24449602836506</v>
      </c>
      <c r="AW109" s="41">
        <f t="shared" si="35"/>
        <v>-18.943454174386545</v>
      </c>
      <c r="AX109" s="41">
        <f t="shared" si="36"/>
        <v>-17.031122456435014</v>
      </c>
      <c r="AY109" s="41">
        <f t="shared" si="36"/>
        <v>-21.574669965266196</v>
      </c>
      <c r="AZ109" s="41">
        <f t="shared" si="36"/>
        <v>-21.488929648659166</v>
      </c>
    </row>
    <row r="110" spans="1:52" x14ac:dyDescent="0.2">
      <c r="A110" s="30">
        <v>276</v>
      </c>
      <c r="B110" s="31" t="s">
        <v>424</v>
      </c>
      <c r="C110" s="41">
        <v>-3483</v>
      </c>
      <c r="D110" s="41">
        <v>4646</v>
      </c>
      <c r="E110" s="73">
        <v>-5084</v>
      </c>
      <c r="F110" s="73">
        <v>-6779</v>
      </c>
      <c r="G110" s="73">
        <v>-4813</v>
      </c>
      <c r="H110" s="41">
        <v>-8261</v>
      </c>
      <c r="I110" s="165">
        <v>-18103.798220000001</v>
      </c>
      <c r="J110" s="41">
        <v>-14915.068539999998</v>
      </c>
      <c r="K110" s="41">
        <v>-11003.181619999999</v>
      </c>
      <c r="L110" s="41">
        <f>$L$5*'7.1. Nettoinvestointiennuste '!Y110</f>
        <v>-9172.4812387767706</v>
      </c>
      <c r="M110" s="41">
        <f>$M$5*'7.1. Nettoinvestointiennuste '!Y110</f>
        <v>-9565.5962532785707</v>
      </c>
      <c r="N110" s="41">
        <f>$N$5*'7.1. Nettoinvestointiennuste '!Y110</f>
        <v>-9903.2058657591933</v>
      </c>
      <c r="O110" s="41">
        <f>O$5*'7.1. Nettoinvestointiennuste '!$Y110</f>
        <v>-10344.652554424732</v>
      </c>
      <c r="P110" s="41">
        <f>P$5*'7.1. Nettoinvestointiennuste '!$Y110</f>
        <v>-10774.117954167799</v>
      </c>
      <c r="T110" s="34">
        <v>276</v>
      </c>
      <c r="U110" s="88" t="s">
        <v>424</v>
      </c>
      <c r="V110" s="41">
        <f>C110/'1. Väestöennuste'!E110*1000</f>
        <v>-234.90928711135092</v>
      </c>
      <c r="W110" s="41">
        <f>D110/'1. Väestöennuste'!F110*1000</f>
        <v>313.79170606510877</v>
      </c>
      <c r="X110" s="41">
        <f>E110/'1. Väestöennuste'!G110*1000</f>
        <v>-342.81861092380313</v>
      </c>
      <c r="Y110" s="41">
        <f>F110/'1. Väestöennuste'!H110*1000</f>
        <v>-456.52905919590546</v>
      </c>
      <c r="Z110" s="41">
        <f>G110/'1. Väestöennuste'!I110*1000</f>
        <v>-324.74192024829637</v>
      </c>
      <c r="AA110" s="41">
        <f>H110/'1. Väestöennuste'!J110*1000</f>
        <v>-556.03419263646765</v>
      </c>
      <c r="AB110" s="41">
        <f>I110/'1. Väestöennuste'!K110*1000</f>
        <v>-1204.110290655138</v>
      </c>
      <c r="AC110" s="41">
        <f>J110/'1. Väestöennuste'!L110*1000</f>
        <v>-984.03830177475743</v>
      </c>
      <c r="AD110" s="41">
        <f>K110/'1. Väestöennuste'!M110*1000</f>
        <v>-726.95438821353059</v>
      </c>
      <c r="AE110" s="41">
        <f>L110/'1. Väestöennuste'!N110*1000</f>
        <v>-613.58493804112459</v>
      </c>
      <c r="AF110" s="41">
        <f>M110/'1. Väestöennuste'!O110*1000</f>
        <v>-640.0104545215155</v>
      </c>
      <c r="AG110" s="41">
        <f>N110/'1. Väestöennuste'!P110*1000</f>
        <v>-663.22032318237302</v>
      </c>
      <c r="AH110" s="41">
        <f>O110/'1. Väestöennuste'!Q110*1000</f>
        <v>-693.75981184526404</v>
      </c>
      <c r="AI110" s="41">
        <f>P110/'1. Väestöennuste'!R110*1000</f>
        <v>-723.969759049039</v>
      </c>
      <c r="AK110" s="34">
        <v>276</v>
      </c>
      <c r="AL110" s="88" t="s">
        <v>424</v>
      </c>
      <c r="AM110" s="41"/>
      <c r="AN110" s="41">
        <f t="shared" si="26"/>
        <v>548.70099317645963</v>
      </c>
      <c r="AO110" s="41">
        <f t="shared" si="27"/>
        <v>-656.6103169889119</v>
      </c>
      <c r="AP110" s="41">
        <f t="shared" si="28"/>
        <v>-113.71044827210233</v>
      </c>
      <c r="AQ110" s="41">
        <f t="shared" si="29"/>
        <v>131.78713894760909</v>
      </c>
      <c r="AR110" s="41">
        <f t="shared" si="30"/>
        <v>-231.29227238817128</v>
      </c>
      <c r="AS110" s="41">
        <f t="shared" si="31"/>
        <v>-648.07609801867034</v>
      </c>
      <c r="AT110" s="41">
        <f t="shared" si="32"/>
        <v>220.07198888038056</v>
      </c>
      <c r="AU110" s="41">
        <f t="shared" si="33"/>
        <v>257.08391356122684</v>
      </c>
      <c r="AV110" s="41">
        <f t="shared" si="34"/>
        <v>113.369450172406</v>
      </c>
      <c r="AW110" s="41">
        <f t="shared" si="35"/>
        <v>-26.425516480390911</v>
      </c>
      <c r="AX110" s="41">
        <f t="shared" si="36"/>
        <v>-23.209868660857524</v>
      </c>
      <c r="AY110" s="41">
        <f t="shared" si="36"/>
        <v>-30.539488662891017</v>
      </c>
      <c r="AZ110" s="41">
        <f t="shared" si="36"/>
        <v>-30.209947203774959</v>
      </c>
    </row>
    <row r="111" spans="1:52" x14ac:dyDescent="0.2">
      <c r="A111" s="30">
        <v>280</v>
      </c>
      <c r="B111" s="31" t="s">
        <v>425</v>
      </c>
      <c r="C111" s="41">
        <v>-1169</v>
      </c>
      <c r="D111" s="41">
        <v>-1375</v>
      </c>
      <c r="E111" s="73">
        <v>-1306</v>
      </c>
      <c r="F111" s="73">
        <v>-667</v>
      </c>
      <c r="G111" s="73">
        <v>-647</v>
      </c>
      <c r="H111" s="41">
        <v>-1668</v>
      </c>
      <c r="I111" s="165">
        <v>-3008.0845099999997</v>
      </c>
      <c r="J111" s="41">
        <v>-1923.4434699999999</v>
      </c>
      <c r="K111" s="41">
        <v>-564.10292000000004</v>
      </c>
      <c r="L111" s="41">
        <f>$L$5*'7.1. Nettoinvestointiennuste '!Y111</f>
        <v>-1675.4804155858171</v>
      </c>
      <c r="M111" s="41">
        <f>$M$5*'7.1. Nettoinvestointiennuste '!Y111</f>
        <v>-1747.2883038468497</v>
      </c>
      <c r="N111" s="41">
        <f>$N$5*'7.1. Nettoinvestointiennuste '!Y111</f>
        <v>-1808.9573636246416</v>
      </c>
      <c r="O111" s="41">
        <f>O$5*'7.1. Nettoinvestointiennuste '!$Y111</f>
        <v>-1889.5936998710986</v>
      </c>
      <c r="P111" s="41">
        <f>P$5*'7.1. Nettoinvestointiennuste '!$Y111</f>
        <v>-1968.0414881750189</v>
      </c>
      <c r="T111" s="34">
        <v>280</v>
      </c>
      <c r="U111" s="88" t="s">
        <v>425</v>
      </c>
      <c r="V111" s="41">
        <f>C111/'1. Väestöennuste'!E111*1000</f>
        <v>-531.12221717401189</v>
      </c>
      <c r="W111" s="41">
        <f>D111/'1. Väestöennuste'!F111*1000</f>
        <v>-633.34868724090279</v>
      </c>
      <c r="X111" s="41">
        <f>E111/'1. Väestöennuste'!G111*1000</f>
        <v>-606.31383472609105</v>
      </c>
      <c r="Y111" s="41">
        <f>F111/'1. Väestöennuste'!H111*1000</f>
        <v>-314.32610744580586</v>
      </c>
      <c r="Z111" s="41">
        <f>G111/'1. Väestöennuste'!I111*1000</f>
        <v>-311.50698122291766</v>
      </c>
      <c r="AA111" s="41">
        <f>H111/'1. Väestöennuste'!J111*1000</f>
        <v>-806.57640232108315</v>
      </c>
      <c r="AB111" s="41">
        <f>I111/'1. Väestöennuste'!K111*1000</f>
        <v>-1467.3582975609754</v>
      </c>
      <c r="AC111" s="41">
        <f>J111/'1. Väestöennuste'!L111*1000</f>
        <v>-950.31791996047434</v>
      </c>
      <c r="AD111" s="41">
        <f>K111/'1. Väestöennuste'!M111*1000</f>
        <v>-279.95182133995041</v>
      </c>
      <c r="AE111" s="41">
        <f>L111/'1. Väestöennuste'!N111*1000</f>
        <v>-831.50392833043031</v>
      </c>
      <c r="AF111" s="41">
        <f>M111/'1. Väestöennuste'!O111*1000</f>
        <v>-871.46548820291753</v>
      </c>
      <c r="AG111" s="41">
        <f>N111/'1. Väestöennuste'!P111*1000</f>
        <v>-906.74554567651217</v>
      </c>
      <c r="AH111" s="41">
        <f>O111/'1. Väestöennuste'!Q111*1000</f>
        <v>-953.37724514182571</v>
      </c>
      <c r="AI111" s="41">
        <f>P111/'1. Väestöennuste'!R111*1000</f>
        <v>-998.49897928717348</v>
      </c>
      <c r="AK111" s="34">
        <v>280</v>
      </c>
      <c r="AL111" s="88" t="s">
        <v>425</v>
      </c>
      <c r="AM111" s="41"/>
      <c r="AN111" s="41">
        <f t="shared" si="26"/>
        <v>-102.2264700668909</v>
      </c>
      <c r="AO111" s="41">
        <f t="shared" si="27"/>
        <v>27.034852514811746</v>
      </c>
      <c r="AP111" s="41">
        <f t="shared" si="28"/>
        <v>291.98772728028518</v>
      </c>
      <c r="AQ111" s="41">
        <f t="shared" si="29"/>
        <v>2.819126222888201</v>
      </c>
      <c r="AR111" s="41">
        <f t="shared" si="30"/>
        <v>-495.06942109816549</v>
      </c>
      <c r="AS111" s="41">
        <f t="shared" si="31"/>
        <v>-660.78189523989226</v>
      </c>
      <c r="AT111" s="41">
        <f t="shared" si="32"/>
        <v>517.04037760050107</v>
      </c>
      <c r="AU111" s="41">
        <f t="shared" si="33"/>
        <v>670.36609862052387</v>
      </c>
      <c r="AV111" s="41">
        <f t="shared" si="34"/>
        <v>-551.55210699047984</v>
      </c>
      <c r="AW111" s="41">
        <f t="shared" si="35"/>
        <v>-39.961559872487214</v>
      </c>
      <c r="AX111" s="41">
        <f t="shared" si="36"/>
        <v>-35.280057473594638</v>
      </c>
      <c r="AY111" s="41">
        <f t="shared" si="36"/>
        <v>-46.631699465313545</v>
      </c>
      <c r="AZ111" s="41">
        <f t="shared" si="36"/>
        <v>-45.121734145347773</v>
      </c>
    </row>
    <row r="112" spans="1:52" x14ac:dyDescent="0.2">
      <c r="A112" s="30">
        <v>284</v>
      </c>
      <c r="B112" s="31" t="s">
        <v>426</v>
      </c>
      <c r="C112" s="41">
        <v>-807</v>
      </c>
      <c r="D112" s="41">
        <v>-1371</v>
      </c>
      <c r="E112" s="73">
        <v>-1644</v>
      </c>
      <c r="F112" s="73">
        <v>-1008</v>
      </c>
      <c r="G112" s="73">
        <v>-903</v>
      </c>
      <c r="H112" s="41">
        <v>-1432</v>
      </c>
      <c r="I112" s="165">
        <v>-406.67599999999999</v>
      </c>
      <c r="J112" s="41">
        <v>-440.90794</v>
      </c>
      <c r="K112" s="41">
        <v>-502.09591999999998</v>
      </c>
      <c r="L112" s="41">
        <f>$L$5*'7.1. Nettoinvestointiennuste '!Y112</f>
        <v>-1084.1234701449439</v>
      </c>
      <c r="M112" s="41">
        <f>$M$5*'7.1. Nettoinvestointiennuste '!Y112</f>
        <v>-1130.5869299867659</v>
      </c>
      <c r="N112" s="41">
        <f>$N$5*'7.1. Nettoinvestointiennuste '!Y112</f>
        <v>-1170.4900374566912</v>
      </c>
      <c r="O112" s="41">
        <f>O$5*'7.1. Nettoinvestointiennuste '!$Y112</f>
        <v>-1222.665964944759</v>
      </c>
      <c r="P112" s="41">
        <f>P$5*'7.1. Nettoinvestointiennuste '!$Y112</f>
        <v>-1273.4257874351376</v>
      </c>
      <c r="T112" s="34">
        <v>284</v>
      </c>
      <c r="U112" s="88" t="s">
        <v>426</v>
      </c>
      <c r="V112" s="41">
        <f>C112/'1. Väestöennuste'!E112*1000</f>
        <v>-336.39016256773658</v>
      </c>
      <c r="W112" s="41">
        <f>D112/'1. Väestöennuste'!F112*1000</f>
        <v>-567.46688741721846</v>
      </c>
      <c r="X112" s="41">
        <f>E112/'1. Väestöennuste'!G112*1000</f>
        <v>-696.90546841882156</v>
      </c>
      <c r="Y112" s="41">
        <f>F112/'1. Väestöennuste'!H112*1000</f>
        <v>-430.76923076923077</v>
      </c>
      <c r="Z112" s="41">
        <f>G112/'1. Väestöennuste'!I112*1000</f>
        <v>-391.24783362218369</v>
      </c>
      <c r="AA112" s="41">
        <f>H112/'1. Väestöennuste'!J112*1000</f>
        <v>-624.78184991273997</v>
      </c>
      <c r="AB112" s="41">
        <f>I112/'1. Väestöennuste'!K112*1000</f>
        <v>-179.07353588727432</v>
      </c>
      <c r="AC112" s="41">
        <f>J112/'1. Väestöennuste'!L112*1000</f>
        <v>-197.98290974405029</v>
      </c>
      <c r="AD112" s="41">
        <f>K112/'1. Väestöennuste'!M112*1000</f>
        <v>-227.5015496148618</v>
      </c>
      <c r="AE112" s="41">
        <f>L112/'1. Väestöennuste'!N112*1000</f>
        <v>-493.23178805502454</v>
      </c>
      <c r="AF112" s="41">
        <f>M112/'1. Väestöennuste'!O112*1000</f>
        <v>-519.3325355933697</v>
      </c>
      <c r="AG112" s="41">
        <f>N112/'1. Väestöennuste'!P112*1000</f>
        <v>-542.64721254366771</v>
      </c>
      <c r="AH112" s="41">
        <f>O112/'1. Väestöennuste'!Q112*1000</f>
        <v>-571.60634172265497</v>
      </c>
      <c r="AI112" s="41">
        <f>P112/'1. Väestöennuste'!R112*1000</f>
        <v>-601.239748552945</v>
      </c>
      <c r="AK112" s="34">
        <v>284</v>
      </c>
      <c r="AL112" s="88" t="s">
        <v>426</v>
      </c>
      <c r="AM112" s="41"/>
      <c r="AN112" s="41">
        <f t="shared" si="26"/>
        <v>-231.07672484948188</v>
      </c>
      <c r="AO112" s="41">
        <f t="shared" si="27"/>
        <v>-129.4385810016031</v>
      </c>
      <c r="AP112" s="41">
        <f t="shared" si="28"/>
        <v>266.13623764959078</v>
      </c>
      <c r="AQ112" s="41">
        <f t="shared" si="29"/>
        <v>39.521397147047082</v>
      </c>
      <c r="AR112" s="41">
        <f t="shared" si="30"/>
        <v>-233.53401629055628</v>
      </c>
      <c r="AS112" s="41">
        <f t="shared" si="31"/>
        <v>445.70831402546565</v>
      </c>
      <c r="AT112" s="41">
        <f t="shared" si="32"/>
        <v>-18.909373856775971</v>
      </c>
      <c r="AU112" s="41">
        <f t="shared" si="33"/>
        <v>-29.518639870811512</v>
      </c>
      <c r="AV112" s="41">
        <f t="shared" si="34"/>
        <v>-265.73023844016274</v>
      </c>
      <c r="AW112" s="41">
        <f t="shared" si="35"/>
        <v>-26.100747538345161</v>
      </c>
      <c r="AX112" s="41">
        <f t="shared" si="36"/>
        <v>-23.314676950298008</v>
      </c>
      <c r="AY112" s="41">
        <f t="shared" si="36"/>
        <v>-28.959129178987268</v>
      </c>
      <c r="AZ112" s="41">
        <f t="shared" si="36"/>
        <v>-29.633406830290028</v>
      </c>
    </row>
    <row r="113" spans="1:52" x14ac:dyDescent="0.2">
      <c r="A113" s="30">
        <v>285</v>
      </c>
      <c r="B113" s="31" t="s">
        <v>427</v>
      </c>
      <c r="C113" s="41">
        <v>-21858</v>
      </c>
      <c r="D113" s="41">
        <v>-18844</v>
      </c>
      <c r="E113" s="73">
        <v>19210</v>
      </c>
      <c r="F113" s="73">
        <v>-13650</v>
      </c>
      <c r="G113" s="73">
        <v>-34412</v>
      </c>
      <c r="H113" s="41">
        <v>-16188</v>
      </c>
      <c r="I113" s="165">
        <v>-17347.09347</v>
      </c>
      <c r="J113" s="41">
        <v>-22573.888879999999</v>
      </c>
      <c r="K113" s="41">
        <v>-27133.824789999999</v>
      </c>
      <c r="L113" s="41">
        <f>$L$5*'7.1. Nettoinvestointiennuste '!Y113</f>
        <v>-20679.694820454431</v>
      </c>
      <c r="M113" s="41">
        <f>$M$5*'7.1. Nettoinvestointiennuste '!Y113</f>
        <v>-21565.987015293511</v>
      </c>
      <c r="N113" s="41">
        <f>$N$5*'7.1. Nettoinvestointiennuste '!Y113</f>
        <v>-22327.140248841275</v>
      </c>
      <c r="O113" s="41">
        <f>O$5*'7.1. Nettoinvestointiennuste '!$Y113</f>
        <v>-23322.397972837553</v>
      </c>
      <c r="P113" s="41">
        <f>P$5*'7.1. Nettoinvestointiennuste '!$Y113</f>
        <v>-24290.643442240711</v>
      </c>
      <c r="T113" s="34">
        <v>285</v>
      </c>
      <c r="U113" s="88" t="s">
        <v>427</v>
      </c>
      <c r="V113" s="41">
        <f>C113/'1. Väestöennuste'!E113*1000</f>
        <v>-402.40063329590015</v>
      </c>
      <c r="W113" s="41">
        <f>D113/'1. Väestöennuste'!F113*1000</f>
        <v>-347.75868750807388</v>
      </c>
      <c r="X113" s="41">
        <f>E113/'1. Väestöennuste'!G113*1000</f>
        <v>358.8038626048301</v>
      </c>
      <c r="Y113" s="41">
        <f>F113/'1. Väestöennuste'!H113*1000</f>
        <v>-258.11697520942454</v>
      </c>
      <c r="Z113" s="41">
        <f>G113/'1. Väestöennuste'!I113*1000</f>
        <v>-660.16958907263165</v>
      </c>
      <c r="AA113" s="41">
        <f>H113/'1. Väestöennuste'!J113*1000</f>
        <v>-313.3080436633893</v>
      </c>
      <c r="AB113" s="41">
        <f>I113/'1. Väestöennuste'!K113*1000</f>
        <v>-338.53932339337638</v>
      </c>
      <c r="AC113" s="41">
        <f>J113/'1. Väestöennuste'!L113*1000</f>
        <v>-445.97445285180862</v>
      </c>
      <c r="AD113" s="41">
        <f>K113/'1. Väestöennuste'!M113*1000</f>
        <v>-537.30346118811883</v>
      </c>
      <c r="AE113" s="41">
        <f>L113/'1. Väestöennuste'!N113*1000</f>
        <v>-415.09654590526566</v>
      </c>
      <c r="AF113" s="41">
        <f>M113/'1. Väestöennuste'!O113*1000</f>
        <v>-436.66451395670026</v>
      </c>
      <c r="AG113" s="41">
        <f>N113/'1. Väestöennuste'!P113*1000</f>
        <v>-455.89782841592017</v>
      </c>
      <c r="AH113" s="41">
        <f>O113/'1. Väestöennuste'!Q113*1000</f>
        <v>-480.18114006253973</v>
      </c>
      <c r="AI113" s="41">
        <f>P113/'1. Väestöennuste'!R113*1000</f>
        <v>-504.21678136462299</v>
      </c>
      <c r="AK113" s="34">
        <v>285</v>
      </c>
      <c r="AL113" s="88" t="s">
        <v>427</v>
      </c>
      <c r="AM113" s="41"/>
      <c r="AN113" s="41">
        <f t="shared" si="26"/>
        <v>54.641945787826273</v>
      </c>
      <c r="AO113" s="41">
        <f t="shared" si="27"/>
        <v>706.56255011290398</v>
      </c>
      <c r="AP113" s="41">
        <f t="shared" si="28"/>
        <v>-616.92083781425458</v>
      </c>
      <c r="AQ113" s="41">
        <f t="shared" si="29"/>
        <v>-402.05261386320711</v>
      </c>
      <c r="AR113" s="41">
        <f t="shared" si="30"/>
        <v>346.86154540924235</v>
      </c>
      <c r="AS113" s="41">
        <f t="shared" si="31"/>
        <v>-25.231279729987079</v>
      </c>
      <c r="AT113" s="41">
        <f t="shared" si="32"/>
        <v>-107.43512945843224</v>
      </c>
      <c r="AU113" s="41">
        <f t="shared" si="33"/>
        <v>-91.32900833631021</v>
      </c>
      <c r="AV113" s="41">
        <f t="shared" si="34"/>
        <v>122.20691528285317</v>
      </c>
      <c r="AW113" s="41">
        <f t="shared" si="35"/>
        <v>-21.567968051434605</v>
      </c>
      <c r="AX113" s="41">
        <f t="shared" si="36"/>
        <v>-19.233314459219912</v>
      </c>
      <c r="AY113" s="41">
        <f t="shared" si="36"/>
        <v>-24.283311646619552</v>
      </c>
      <c r="AZ113" s="41">
        <f t="shared" si="36"/>
        <v>-24.035641302083263</v>
      </c>
    </row>
    <row r="114" spans="1:52" x14ac:dyDescent="0.2">
      <c r="A114" s="30">
        <v>286</v>
      </c>
      <c r="B114" s="31" t="s">
        <v>428</v>
      </c>
      <c r="C114" s="41">
        <v>-28284</v>
      </c>
      <c r="D114" s="41">
        <v>-18700</v>
      </c>
      <c r="E114" s="73">
        <v>-29611</v>
      </c>
      <c r="F114" s="73">
        <v>-29940</v>
      </c>
      <c r="G114" s="73">
        <v>-41163</v>
      </c>
      <c r="H114" s="41">
        <v>-26756</v>
      </c>
      <c r="I114" s="165">
        <v>-35039.609799999998</v>
      </c>
      <c r="J114" s="41">
        <v>-26598.474340000001</v>
      </c>
      <c r="K114" s="41">
        <v>-27451.95563</v>
      </c>
      <c r="L114" s="41">
        <f>$L$5*'7.1. Nettoinvestointiennuste '!Y114</f>
        <v>-36819.620424860273</v>
      </c>
      <c r="M114" s="41">
        <f>$M$5*'7.1. Nettoinvestointiennuste '!Y114</f>
        <v>-38397.638982813733</v>
      </c>
      <c r="N114" s="41">
        <f>$N$5*'7.1. Nettoinvestointiennuste '!Y114</f>
        <v>-39752.851106962866</v>
      </c>
      <c r="O114" s="41">
        <f>O$5*'7.1. Nettoinvestointiennuste '!$Y114</f>
        <v>-41524.879753449823</v>
      </c>
      <c r="P114" s="41">
        <f>P$5*'7.1. Nettoinvestointiennuste '!$Y114</f>
        <v>-43248.81383328222</v>
      </c>
      <c r="T114" s="34">
        <v>286</v>
      </c>
      <c r="U114" s="88" t="s">
        <v>428</v>
      </c>
      <c r="V114" s="41">
        <f>C114/'1. Väestöennuste'!E114*1000</f>
        <v>-329.43917069477607</v>
      </c>
      <c r="W114" s="41">
        <f>D114/'1. Väestöennuste'!F114*1000</f>
        <v>-219.21084097249903</v>
      </c>
      <c r="X114" s="41">
        <f>E114/'1. Väestöennuste'!G114*1000</f>
        <v>-351.69129174782648</v>
      </c>
      <c r="Y114" s="41">
        <f>F114/'1. Väestöennuste'!H114*1000</f>
        <v>-359.95527609795982</v>
      </c>
      <c r="Z114" s="41">
        <f>G114/'1. Väestöennuste'!I114*1000</f>
        <v>-501.29699316795148</v>
      </c>
      <c r="AA114" s="41">
        <f>H114/'1. Väestöennuste'!J114*1000</f>
        <v>-329.56015125574288</v>
      </c>
      <c r="AB114" s="41">
        <f>I114/'1. Väestöennuste'!K114*1000</f>
        <v>-435.52352648718522</v>
      </c>
      <c r="AC114" s="41">
        <f>J114/'1. Väestöennuste'!L114*1000</f>
        <v>-334.87107152299541</v>
      </c>
      <c r="AD114" s="41">
        <f>K114/'1. Väestöennuste'!M114*1000</f>
        <v>-348.02174987322513</v>
      </c>
      <c r="AE114" s="41">
        <f>L114/'1. Väestöennuste'!N114*1000</f>
        <v>-472.55532143411205</v>
      </c>
      <c r="AF114" s="41">
        <f>M114/'1. Väestöennuste'!O114*1000</f>
        <v>-497.73334607315746</v>
      </c>
      <c r="AG114" s="41">
        <f>N114/'1. Väestöennuste'!P114*1000</f>
        <v>-520.38657835298488</v>
      </c>
      <c r="AH114" s="41">
        <f>O114/'1. Väestöennuste'!Q114*1000</f>
        <v>-548.84256669331899</v>
      </c>
      <c r="AI114" s="41">
        <f>P114/'1. Väestöennuste'!R114*1000</f>
        <v>-577.02014400259122</v>
      </c>
      <c r="AK114" s="34">
        <v>286</v>
      </c>
      <c r="AL114" s="88" t="s">
        <v>428</v>
      </c>
      <c r="AM114" s="41"/>
      <c r="AN114" s="41">
        <f t="shared" si="26"/>
        <v>110.22832972227704</v>
      </c>
      <c r="AO114" s="41">
        <f t="shared" si="27"/>
        <v>-132.48045077532745</v>
      </c>
      <c r="AP114" s="41">
        <f t="shared" si="28"/>
        <v>-8.2639843501333416</v>
      </c>
      <c r="AQ114" s="41">
        <f t="shared" si="29"/>
        <v>-141.34171706999166</v>
      </c>
      <c r="AR114" s="41">
        <f t="shared" si="30"/>
        <v>171.7368419122086</v>
      </c>
      <c r="AS114" s="41">
        <f t="shared" si="31"/>
        <v>-105.96337523144234</v>
      </c>
      <c r="AT114" s="41">
        <f t="shared" si="32"/>
        <v>100.65245496418981</v>
      </c>
      <c r="AU114" s="41">
        <f t="shared" si="33"/>
        <v>-13.150678350229725</v>
      </c>
      <c r="AV114" s="41">
        <f t="shared" si="34"/>
        <v>-124.53357156088691</v>
      </c>
      <c r="AW114" s="41">
        <f t="shared" si="35"/>
        <v>-25.178024639045418</v>
      </c>
      <c r="AX114" s="41">
        <f t="shared" si="36"/>
        <v>-22.653232279827421</v>
      </c>
      <c r="AY114" s="41">
        <f t="shared" si="36"/>
        <v>-28.455988340334102</v>
      </c>
      <c r="AZ114" s="41">
        <f t="shared" si="36"/>
        <v>-28.177577309272237</v>
      </c>
    </row>
    <row r="115" spans="1:52" x14ac:dyDescent="0.2">
      <c r="A115" s="30">
        <v>287</v>
      </c>
      <c r="B115" s="31" t="s">
        <v>429</v>
      </c>
      <c r="C115" s="41">
        <v>-2515</v>
      </c>
      <c r="D115" s="41">
        <v>-824</v>
      </c>
      <c r="E115" s="73">
        <v>-6925</v>
      </c>
      <c r="F115" s="73">
        <v>-5389</v>
      </c>
      <c r="G115" s="73">
        <v>-5677</v>
      </c>
      <c r="H115" s="41">
        <v>-3253</v>
      </c>
      <c r="I115" s="165">
        <v>-1745.0472199999999</v>
      </c>
      <c r="J115" s="41">
        <v>-4035.9462899999999</v>
      </c>
      <c r="K115" s="41">
        <v>-3824.7602599999996</v>
      </c>
      <c r="L115" s="41">
        <f>$L$5*'7.1. Nettoinvestointiennuste '!Y115</f>
        <v>-3476.8566252931964</v>
      </c>
      <c r="M115" s="41">
        <f>$M$5*'7.1. Nettoinvestointiennuste '!Y115</f>
        <v>-3625.8680549262854</v>
      </c>
      <c r="N115" s="41">
        <f>$N$5*'7.1. Nettoinvestointiennuste '!Y115</f>
        <v>-3753.8399948364577</v>
      </c>
      <c r="O115" s="41">
        <f>O$5*'7.1. Nettoinvestointiennuste '!$Y115</f>
        <v>-3921.1716910531741</v>
      </c>
      <c r="P115" s="41">
        <f>P$5*'7.1. Nettoinvestointiennuste '!$Y115</f>
        <v>-4083.961843636795</v>
      </c>
      <c r="T115" s="34">
        <v>287</v>
      </c>
      <c r="U115" s="88" t="s">
        <v>429</v>
      </c>
      <c r="V115" s="41">
        <f>C115/'1. Väestöennuste'!E115*1000</f>
        <v>-370.23406447813926</v>
      </c>
      <c r="W115" s="41">
        <f>D115/'1. Väestöennuste'!F115*1000</f>
        <v>-122.49145235617661</v>
      </c>
      <c r="X115" s="41">
        <f>E115/'1. Väestöennuste'!G115*1000</f>
        <v>-1043.2359144320578</v>
      </c>
      <c r="Y115" s="41">
        <f>F115/'1. Väestöennuste'!H115*1000</f>
        <v>-817.01030927835052</v>
      </c>
      <c r="Z115" s="41">
        <f>G115/'1. Väestöennuste'!I115*1000</f>
        <v>-875.26981190255935</v>
      </c>
      <c r="AA115" s="41">
        <f>H115/'1. Väestöennuste'!J115*1000</f>
        <v>-507.96377264209866</v>
      </c>
      <c r="AB115" s="41">
        <f>I115/'1. Väestöennuste'!K115*1000</f>
        <v>-273.51837304075235</v>
      </c>
      <c r="AC115" s="41">
        <f>J115/'1. Väestöennuste'!L115*1000</f>
        <v>-646.57902755527073</v>
      </c>
      <c r="AD115" s="41">
        <f>K115/'1. Väestöennuste'!M115*1000</f>
        <v>-616.99633166639774</v>
      </c>
      <c r="AE115" s="41">
        <f>L115/'1. Väestöennuste'!N115*1000</f>
        <v>-569.13678593766519</v>
      </c>
      <c r="AF115" s="41">
        <f>M115/'1. Väestöennuste'!O115*1000</f>
        <v>-599.61436330846459</v>
      </c>
      <c r="AG115" s="41">
        <f>N115/'1. Väestöennuste'!P115*1000</f>
        <v>-626.89378671283521</v>
      </c>
      <c r="AH115" s="41">
        <f>O115/'1. Väestöennuste'!Q115*1000</f>
        <v>-661.13162890797071</v>
      </c>
      <c r="AI115" s="41">
        <f>P115/'1. Väestöennuste'!R115*1000</f>
        <v>-695.26078373115342</v>
      </c>
      <c r="AK115" s="34">
        <v>287</v>
      </c>
      <c r="AL115" s="88" t="s">
        <v>429</v>
      </c>
      <c r="AM115" s="41"/>
      <c r="AN115" s="41">
        <f t="shared" si="26"/>
        <v>247.74261212196265</v>
      </c>
      <c r="AO115" s="41">
        <f t="shared" si="27"/>
        <v>-920.74446207588119</v>
      </c>
      <c r="AP115" s="41">
        <f t="shared" si="28"/>
        <v>226.22560515370731</v>
      </c>
      <c r="AQ115" s="41">
        <f t="shared" si="29"/>
        <v>-58.259502624208835</v>
      </c>
      <c r="AR115" s="41">
        <f t="shared" si="30"/>
        <v>367.30603926046069</v>
      </c>
      <c r="AS115" s="41">
        <f t="shared" si="31"/>
        <v>234.44539960134631</v>
      </c>
      <c r="AT115" s="41">
        <f t="shared" si="32"/>
        <v>-373.06065451451838</v>
      </c>
      <c r="AU115" s="41">
        <f t="shared" si="33"/>
        <v>29.582695888872991</v>
      </c>
      <c r="AV115" s="41">
        <f t="shared" si="34"/>
        <v>47.859545728732542</v>
      </c>
      <c r="AW115" s="41">
        <f t="shared" si="35"/>
        <v>-30.477577370799395</v>
      </c>
      <c r="AX115" s="41">
        <f t="shared" si="36"/>
        <v>-27.279423404370618</v>
      </c>
      <c r="AY115" s="41">
        <f t="shared" si="36"/>
        <v>-34.237842195135499</v>
      </c>
      <c r="AZ115" s="41">
        <f t="shared" si="36"/>
        <v>-34.129154823182716</v>
      </c>
    </row>
    <row r="116" spans="1:52" x14ac:dyDescent="0.2">
      <c r="A116" s="30">
        <v>288</v>
      </c>
      <c r="B116" s="31" t="s">
        <v>430</v>
      </c>
      <c r="C116" s="41">
        <v>-2737</v>
      </c>
      <c r="D116" s="41">
        <v>-2043</v>
      </c>
      <c r="E116" s="73">
        <v>-2534</v>
      </c>
      <c r="F116" s="73">
        <v>-674</v>
      </c>
      <c r="G116" s="73">
        <v>-3649</v>
      </c>
      <c r="H116" s="41">
        <v>-4231</v>
      </c>
      <c r="I116" s="165">
        <v>-3201.4737799999998</v>
      </c>
      <c r="J116" s="41">
        <v>-807.53244999999993</v>
      </c>
      <c r="K116" s="41">
        <v>-1951.0260000000001</v>
      </c>
      <c r="L116" s="41">
        <f>$L$5*'7.1. Nettoinvestointiennuste '!Y116</f>
        <v>-2902.625014002886</v>
      </c>
      <c r="M116" s="41">
        <f>$M$5*'7.1. Nettoinvestointiennuste '!Y116</f>
        <v>-3027.0259743067527</v>
      </c>
      <c r="N116" s="41">
        <f>$N$5*'7.1. Nettoinvestointiennuste '!Y116</f>
        <v>-3133.8622905274183</v>
      </c>
      <c r="O116" s="41">
        <f>O$5*'7.1. Nettoinvestointiennuste '!$Y116</f>
        <v>-3273.5577739536911</v>
      </c>
      <c r="P116" s="41">
        <f>P$5*'7.1. Nettoinvestointiennuste '!$Y116</f>
        <v>-3409.4617872181775</v>
      </c>
      <c r="T116" s="34">
        <v>288</v>
      </c>
      <c r="U116" s="88" t="s">
        <v>430</v>
      </c>
      <c r="V116" s="41">
        <f>C116/'1. Väestöennuste'!E116*1000</f>
        <v>-409.60790182580064</v>
      </c>
      <c r="W116" s="41">
        <f>D116/'1. Väestöennuste'!F116*1000</f>
        <v>-308.61027190332322</v>
      </c>
      <c r="X116" s="41">
        <f>E116/'1. Väestöennuste'!G116*1000</f>
        <v>-387.9957127545552</v>
      </c>
      <c r="Y116" s="41">
        <f>F116/'1. Väestöennuste'!H116*1000</f>
        <v>-103.54893224765709</v>
      </c>
      <c r="Z116" s="41">
        <f>G116/'1. Väestöennuste'!I116*1000</f>
        <v>-567.67268201617924</v>
      </c>
      <c r="AA116" s="41">
        <f>H116/'1. Väestöennuste'!J116*1000</f>
        <v>-659.4451371571073</v>
      </c>
      <c r="AB116" s="41">
        <f>I116/'1. Väestöennuste'!K116*1000</f>
        <v>-496.96891959018933</v>
      </c>
      <c r="AC116" s="41">
        <f>J116/'1. Väestöennuste'!L116*1000</f>
        <v>-126.07844652615144</v>
      </c>
      <c r="AD116" s="41">
        <f>K116/'1. Väestöennuste'!M116*1000</f>
        <v>-306.3797110552764</v>
      </c>
      <c r="AE116" s="41">
        <f>L116/'1. Väestöennuste'!N116*1000</f>
        <v>-466.36006009043803</v>
      </c>
      <c r="AF116" s="41">
        <f>M116/'1. Väestöennuste'!O116*1000</f>
        <v>-490.04791554261823</v>
      </c>
      <c r="AG116" s="41">
        <f>N116/'1. Väestöennuste'!P116*1000</f>
        <v>-511.15026757909288</v>
      </c>
      <c r="AH116" s="41">
        <f>O116/'1. Väestöennuste'!Q116*1000</f>
        <v>-538.06012063670141</v>
      </c>
      <c r="AI116" s="41">
        <f>P116/'1. Väestöennuste'!R116*1000</f>
        <v>-564.85450417796176</v>
      </c>
      <c r="AK116" s="34">
        <v>288</v>
      </c>
      <c r="AL116" s="88" t="s">
        <v>430</v>
      </c>
      <c r="AM116" s="41"/>
      <c r="AN116" s="41">
        <f t="shared" si="26"/>
        <v>100.99762992247742</v>
      </c>
      <c r="AO116" s="41">
        <f t="shared" si="27"/>
        <v>-79.385440851231976</v>
      </c>
      <c r="AP116" s="41">
        <f t="shared" si="28"/>
        <v>284.44678050689811</v>
      </c>
      <c r="AQ116" s="41">
        <f t="shared" si="29"/>
        <v>-464.12374976852215</v>
      </c>
      <c r="AR116" s="41">
        <f t="shared" si="30"/>
        <v>-91.772455140928059</v>
      </c>
      <c r="AS116" s="41">
        <f t="shared" si="31"/>
        <v>162.47621756691797</v>
      </c>
      <c r="AT116" s="41">
        <f t="shared" si="32"/>
        <v>370.89047306403791</v>
      </c>
      <c r="AU116" s="41">
        <f t="shared" si="33"/>
        <v>-180.30126452912498</v>
      </c>
      <c r="AV116" s="41">
        <f t="shared" si="34"/>
        <v>-159.98034903516162</v>
      </c>
      <c r="AW116" s="41">
        <f t="shared" si="35"/>
        <v>-23.687855452180202</v>
      </c>
      <c r="AX116" s="41">
        <f t="shared" si="36"/>
        <v>-21.102352036474656</v>
      </c>
      <c r="AY116" s="41">
        <f t="shared" si="36"/>
        <v>-26.90985305760853</v>
      </c>
      <c r="AZ116" s="41">
        <f t="shared" si="36"/>
        <v>-26.794383541260345</v>
      </c>
    </row>
    <row r="117" spans="1:52" x14ac:dyDescent="0.2">
      <c r="A117" s="30">
        <v>290</v>
      </c>
      <c r="B117" s="31" t="s">
        <v>431</v>
      </c>
      <c r="C117" s="41">
        <v>-8048</v>
      </c>
      <c r="D117" s="41">
        <v>-6029</v>
      </c>
      <c r="E117" s="73">
        <v>-13029</v>
      </c>
      <c r="F117" s="73">
        <v>-3370</v>
      </c>
      <c r="G117" s="73">
        <v>-1837</v>
      </c>
      <c r="H117" s="41">
        <v>-1171</v>
      </c>
      <c r="I117" s="165">
        <v>-3009.4932200000003</v>
      </c>
      <c r="J117" s="41">
        <v>-2246.18912</v>
      </c>
      <c r="K117" s="41">
        <v>-1329.44363</v>
      </c>
      <c r="L117" s="41">
        <f>$L$5*'7.1. Nettoinvestointiennuste '!Y117</f>
        <v>-2286.2861952969629</v>
      </c>
      <c r="M117" s="41">
        <f>$M$5*'7.1. Nettoinvestointiennuste '!Y117</f>
        <v>-2384.2720518414117</v>
      </c>
      <c r="N117" s="41">
        <f>$N$5*'7.1. Nettoinvestointiennuste '!Y117</f>
        <v>-2468.4229131319107</v>
      </c>
      <c r="O117" s="41">
        <f>O$5*'7.1. Nettoinvestointiennuste '!$Y117</f>
        <v>-2578.4556778748747</v>
      </c>
      <c r="P117" s="41">
        <f>P$5*'7.1. Nettoinvestointiennuste '!$Y117</f>
        <v>-2685.5020472519363</v>
      </c>
      <c r="T117" s="34">
        <v>290</v>
      </c>
      <c r="U117" s="88" t="s">
        <v>431</v>
      </c>
      <c r="V117" s="41">
        <f>C117/'1. Väestöennuste'!E117*1000</f>
        <v>-913.92232568703162</v>
      </c>
      <c r="W117" s="41">
        <f>D117/'1. Väestöennuste'!F117*1000</f>
        <v>-697.23603561928996</v>
      </c>
      <c r="X117" s="41">
        <f>E117/'1. Väestöennuste'!G117*1000</f>
        <v>-1533.0038828097422</v>
      </c>
      <c r="Y117" s="41">
        <f>F117/'1. Väestöennuste'!H117*1000</f>
        <v>-404.61039740665143</v>
      </c>
      <c r="Z117" s="41">
        <f>G117/'1. Väestöennuste'!I117*1000</f>
        <v>-224.29792429792431</v>
      </c>
      <c r="AA117" s="41">
        <f>H117/'1. Väestöennuste'!J117*1000</f>
        <v>-145.61054464063668</v>
      </c>
      <c r="AB117" s="41">
        <f>I117/'1. Väestöennuste'!K117*1000</f>
        <v>-379.60308022199803</v>
      </c>
      <c r="AC117" s="41">
        <f>J117/'1. Väestöennuste'!L117*1000</f>
        <v>-289.64398710509346</v>
      </c>
      <c r="AD117" s="41">
        <f>K117/'1. Väestöennuste'!M117*1000</f>
        <v>-175.34207728831444</v>
      </c>
      <c r="AE117" s="41">
        <f>L117/'1. Väestöennuste'!N117*1000</f>
        <v>-305.77587204720646</v>
      </c>
      <c r="AF117" s="41">
        <f>M117/'1. Väestöennuste'!O117*1000</f>
        <v>-324.5232138071882</v>
      </c>
      <c r="AG117" s="41">
        <f>N117/'1. Väestöennuste'!P117*1000</f>
        <v>-342.02894736482062</v>
      </c>
      <c r="AH117" s="41">
        <f>O117/'1. Väestöennuste'!Q117*1000</f>
        <v>-363.67498982720377</v>
      </c>
      <c r="AI117" s="41">
        <f>P117/'1. Väestöennuste'!R117*1000</f>
        <v>-385.46031968593888</v>
      </c>
      <c r="AK117" s="34">
        <v>290</v>
      </c>
      <c r="AL117" s="88" t="s">
        <v>431</v>
      </c>
      <c r="AM117" s="41"/>
      <c r="AN117" s="41">
        <f t="shared" si="26"/>
        <v>216.68629006774165</v>
      </c>
      <c r="AO117" s="41">
        <f t="shared" si="27"/>
        <v>-835.76784719045224</v>
      </c>
      <c r="AP117" s="41">
        <f t="shared" si="28"/>
        <v>1128.3934854030908</v>
      </c>
      <c r="AQ117" s="41">
        <f t="shared" si="29"/>
        <v>180.31247310872712</v>
      </c>
      <c r="AR117" s="41">
        <f t="shared" si="30"/>
        <v>78.687379657287636</v>
      </c>
      <c r="AS117" s="41">
        <f t="shared" si="31"/>
        <v>-233.99253558136135</v>
      </c>
      <c r="AT117" s="41">
        <f t="shared" si="32"/>
        <v>89.959093116904569</v>
      </c>
      <c r="AU117" s="41">
        <f t="shared" si="33"/>
        <v>114.30190981677902</v>
      </c>
      <c r="AV117" s="41">
        <f t="shared" si="34"/>
        <v>-130.43379475889202</v>
      </c>
      <c r="AW117" s="41">
        <f t="shared" si="35"/>
        <v>-18.747341759981737</v>
      </c>
      <c r="AX117" s="41">
        <f t="shared" si="36"/>
        <v>-17.505733557632425</v>
      </c>
      <c r="AY117" s="41">
        <f t="shared" si="36"/>
        <v>-21.64604246238315</v>
      </c>
      <c r="AZ117" s="41">
        <f t="shared" si="36"/>
        <v>-21.785329858735111</v>
      </c>
    </row>
    <row r="118" spans="1:52" x14ac:dyDescent="0.2">
      <c r="A118" s="30">
        <v>291</v>
      </c>
      <c r="B118" s="31" t="s">
        <v>432</v>
      </c>
      <c r="C118" s="41">
        <v>-1465</v>
      </c>
      <c r="D118" s="41">
        <v>-897</v>
      </c>
      <c r="E118" s="73">
        <v>-970</v>
      </c>
      <c r="F118" s="73">
        <v>-2567</v>
      </c>
      <c r="G118" s="73">
        <v>-1493</v>
      </c>
      <c r="H118" s="41">
        <v>-1317</v>
      </c>
      <c r="I118" s="165">
        <v>-5241.5655900000002</v>
      </c>
      <c r="J118" s="41">
        <v>-925.90029000000004</v>
      </c>
      <c r="K118" s="41">
        <v>-867.30918000000008</v>
      </c>
      <c r="L118" s="41">
        <f>$L$5*'7.1. Nettoinvestointiennuste '!Y118</f>
        <v>-1695.2114839517296</v>
      </c>
      <c r="M118" s="41">
        <f>$M$5*'7.1. Nettoinvestointiennuste '!Y118</f>
        <v>-1767.8650080908724</v>
      </c>
      <c r="N118" s="41">
        <f>$N$5*'7.1. Nettoinvestointiennuste '!Y118</f>
        <v>-1830.2603052052623</v>
      </c>
      <c r="O118" s="41">
        <f>O$5*'7.1. Nettoinvestointiennuste '!$Y118</f>
        <v>-1911.8462443527469</v>
      </c>
      <c r="P118" s="41">
        <f>P$5*'7.1. Nettoinvestointiennuste '!$Y118</f>
        <v>-1991.2178624190333</v>
      </c>
      <c r="T118" s="34">
        <v>291</v>
      </c>
      <c r="U118" s="88" t="s">
        <v>432</v>
      </c>
      <c r="V118" s="41">
        <f>C118/'1. Väestöennuste'!E118*1000</f>
        <v>-627.67780634104543</v>
      </c>
      <c r="W118" s="41">
        <f>D118/'1. Väestöennuste'!F118*1000</f>
        <v>-392.38845144356952</v>
      </c>
      <c r="X118" s="41">
        <f>E118/'1. Väestöennuste'!G118*1000</f>
        <v>-430.72824156305506</v>
      </c>
      <c r="Y118" s="41">
        <f>F118/'1. Väestöennuste'!H118*1000</f>
        <v>-1147.006255585344</v>
      </c>
      <c r="Z118" s="41">
        <f>G118/'1. Väestöennuste'!I118*1000</f>
        <v>-676.79057116953766</v>
      </c>
      <c r="AA118" s="41">
        <f>H118/'1. Väestöennuste'!J118*1000</f>
        <v>-609.4400740397964</v>
      </c>
      <c r="AB118" s="41">
        <f>I118/'1. Väestöennuste'!K118*1000</f>
        <v>-2428.8997173308621</v>
      </c>
      <c r="AC118" s="41">
        <f>J118/'1. Väestöennuste'!L118*1000</f>
        <v>-436.95152902312412</v>
      </c>
      <c r="AD118" s="41">
        <f>K118/'1. Väestöennuste'!M118*1000</f>
        <v>-414.58373804971319</v>
      </c>
      <c r="AE118" s="41">
        <f>L118/'1. Väestöennuste'!N118*1000</f>
        <v>-830.17212730251208</v>
      </c>
      <c r="AF118" s="41">
        <f>M118/'1. Väestöennuste'!O118*1000</f>
        <v>-877.35236133542048</v>
      </c>
      <c r="AG118" s="41">
        <f>N118/'1. Väestöennuste'!P118*1000</f>
        <v>-920.19120422587343</v>
      </c>
      <c r="AH118" s="41">
        <f>O118/'1. Väestöennuste'!Q118*1000</f>
        <v>-971.96046993022208</v>
      </c>
      <c r="AI118" s="41">
        <f>P118/'1. Väestöennuste'!R118*1000</f>
        <v>-1023.236311623347</v>
      </c>
      <c r="AK118" s="34">
        <v>291</v>
      </c>
      <c r="AL118" s="88" t="s">
        <v>432</v>
      </c>
      <c r="AM118" s="41"/>
      <c r="AN118" s="41">
        <f t="shared" si="26"/>
        <v>235.2893548974759</v>
      </c>
      <c r="AO118" s="41">
        <f t="shared" si="27"/>
        <v>-38.339790119485542</v>
      </c>
      <c r="AP118" s="41">
        <f t="shared" si="28"/>
        <v>-716.27801402228897</v>
      </c>
      <c r="AQ118" s="41">
        <f t="shared" si="29"/>
        <v>470.21568441580632</v>
      </c>
      <c r="AR118" s="41">
        <f t="shared" si="30"/>
        <v>67.350497129741257</v>
      </c>
      <c r="AS118" s="41">
        <f t="shared" si="31"/>
        <v>-1819.4596432910657</v>
      </c>
      <c r="AT118" s="41">
        <f t="shared" si="32"/>
        <v>1991.9481883077381</v>
      </c>
      <c r="AU118" s="41">
        <f t="shared" si="33"/>
        <v>22.367790973410933</v>
      </c>
      <c r="AV118" s="41">
        <f t="shared" si="34"/>
        <v>-415.58838925279889</v>
      </c>
      <c r="AW118" s="41">
        <f t="shared" si="35"/>
        <v>-47.180234032908402</v>
      </c>
      <c r="AX118" s="41">
        <f t="shared" si="36"/>
        <v>-42.838842890452952</v>
      </c>
      <c r="AY118" s="41">
        <f t="shared" si="36"/>
        <v>-51.769265704348641</v>
      </c>
      <c r="AZ118" s="41">
        <f t="shared" si="36"/>
        <v>-51.275841693124903</v>
      </c>
    </row>
    <row r="119" spans="1:52" x14ac:dyDescent="0.2">
      <c r="A119" s="30">
        <v>297</v>
      </c>
      <c r="B119" s="31" t="s">
        <v>433</v>
      </c>
      <c r="C119" s="41">
        <v>-31934</v>
      </c>
      <c r="D119" s="41">
        <v>-40721</v>
      </c>
      <c r="E119" s="73">
        <v>-49120</v>
      </c>
      <c r="F119" s="73">
        <v>-66311</v>
      </c>
      <c r="G119" s="73">
        <v>63144</v>
      </c>
      <c r="H119" s="41">
        <v>-60433</v>
      </c>
      <c r="I119" s="165">
        <v>-64348.209000000003</v>
      </c>
      <c r="J119" s="41">
        <v>-91403.672640000004</v>
      </c>
      <c r="K119" s="41">
        <v>-81085.166209999996</v>
      </c>
      <c r="L119" s="41">
        <f>$L$5*'7.1. Nettoinvestointiennuste '!Y119</f>
        <v>-76848.385826065321</v>
      </c>
      <c r="M119" s="41">
        <f>$M$5*'7.1. Nettoinvestointiennuste '!Y119</f>
        <v>-80141.960762009519</v>
      </c>
      <c r="N119" s="41">
        <f>$N$5*'7.1. Nettoinvestointiennuste '!Y119</f>
        <v>-82970.503343139862</v>
      </c>
      <c r="O119" s="41">
        <f>O$5*'7.1. Nettoinvestointiennuste '!$Y119</f>
        <v>-86669.008095462748</v>
      </c>
      <c r="P119" s="41">
        <f>P$5*'7.1. Nettoinvestointiennuste '!$Y119</f>
        <v>-90267.131861459333</v>
      </c>
      <c r="T119" s="34">
        <v>297</v>
      </c>
      <c r="U119" s="88" t="s">
        <v>433</v>
      </c>
      <c r="V119" s="41">
        <f>C119/'1. Väestöennuste'!E119*1000</f>
        <v>-273.12458839729391</v>
      </c>
      <c r="W119" s="41">
        <f>D119/'1. Väestöennuste'!F119*1000</f>
        <v>-345.85527433327672</v>
      </c>
      <c r="X119" s="41">
        <f>E119/'1. Väestöennuste'!G119*1000</f>
        <v>-415.53519613565805</v>
      </c>
      <c r="Y119" s="41">
        <f>F119/'1. Väestöennuste'!H119*1000</f>
        <v>-558.8131193959415</v>
      </c>
      <c r="Z119" s="41">
        <f>G119/'1. Väestöennuste'!I119*1000</f>
        <v>529.3673814993042</v>
      </c>
      <c r="AA119" s="41">
        <f>H119/'1. Väestöennuste'!J119*1000</f>
        <v>-502.72855835620999</v>
      </c>
      <c r="AB119" s="41">
        <f>I119/'1. Väestöennuste'!K119*1000</f>
        <v>-529.42751947870306</v>
      </c>
      <c r="AC119" s="41">
        <f>J119/'1. Väestöennuste'!L119*1000</f>
        <v>-745.58031094507066</v>
      </c>
      <c r="AD119" s="41">
        <f>K119/'1. Väestöennuste'!M119*1000</f>
        <v>-653.80190620943222</v>
      </c>
      <c r="AE119" s="41">
        <f>L119/'1. Väestöennuste'!N119*1000</f>
        <v>-625.93881249187791</v>
      </c>
      <c r="AF119" s="41">
        <f>M119/'1. Väestöennuste'!O119*1000</f>
        <v>-650.05443291567929</v>
      </c>
      <c r="AG119" s="41">
        <f>N119/'1. Väestöennuste'!P119*1000</f>
        <v>-670.36578903554084</v>
      </c>
      <c r="AH119" s="41">
        <f>O119/'1. Väestöennuste'!Q119*1000</f>
        <v>-697.67766629472931</v>
      </c>
      <c r="AI119" s="41">
        <f>P119/'1. Väestöennuste'!R119*1000</f>
        <v>-724.15890655878684</v>
      </c>
      <c r="AK119" s="34">
        <v>297</v>
      </c>
      <c r="AL119" s="88" t="s">
        <v>433</v>
      </c>
      <c r="AM119" s="41"/>
      <c r="AN119" s="41">
        <f t="shared" si="26"/>
        <v>-72.73068593598282</v>
      </c>
      <c r="AO119" s="41">
        <f t="shared" si="27"/>
        <v>-69.67992180238133</v>
      </c>
      <c r="AP119" s="41">
        <f t="shared" si="28"/>
        <v>-143.27792326028344</v>
      </c>
      <c r="AQ119" s="41">
        <f t="shared" si="29"/>
        <v>1088.1805008952456</v>
      </c>
      <c r="AR119" s="41">
        <f t="shared" si="30"/>
        <v>-1032.0959398555142</v>
      </c>
      <c r="AS119" s="41">
        <f t="shared" si="31"/>
        <v>-26.698961122493074</v>
      </c>
      <c r="AT119" s="41">
        <f t="shared" si="32"/>
        <v>-216.1527914663676</v>
      </c>
      <c r="AU119" s="41">
        <f t="shared" si="33"/>
        <v>91.778404735638446</v>
      </c>
      <c r="AV119" s="41">
        <f t="shared" si="34"/>
        <v>27.863093717554307</v>
      </c>
      <c r="AW119" s="41">
        <f t="shared" si="35"/>
        <v>-24.115620423801374</v>
      </c>
      <c r="AX119" s="41">
        <f t="shared" si="36"/>
        <v>-20.311356119861557</v>
      </c>
      <c r="AY119" s="41">
        <f t="shared" si="36"/>
        <v>-27.311877259188464</v>
      </c>
      <c r="AZ119" s="41">
        <f t="shared" si="36"/>
        <v>-26.481240264057533</v>
      </c>
    </row>
    <row r="120" spans="1:52" x14ac:dyDescent="0.2">
      <c r="A120" s="30">
        <v>300</v>
      </c>
      <c r="B120" s="31" t="s">
        <v>434</v>
      </c>
      <c r="C120" s="41">
        <v>-1284</v>
      </c>
      <c r="D120" s="41">
        <v>-1624</v>
      </c>
      <c r="E120" s="73">
        <v>-748</v>
      </c>
      <c r="F120" s="73">
        <v>-1749</v>
      </c>
      <c r="G120" s="73">
        <v>-2696</v>
      </c>
      <c r="H120" s="41">
        <v>-3336</v>
      </c>
      <c r="I120" s="165">
        <v>-669.79818999999998</v>
      </c>
      <c r="J120" s="41">
        <v>-1443.15182</v>
      </c>
      <c r="K120" s="41">
        <v>-1373.6467700000001</v>
      </c>
      <c r="L120" s="41">
        <f>$L$5*'7.1. Nettoinvestointiennuste '!Y120</f>
        <v>-1803.9485571313239</v>
      </c>
      <c r="M120" s="41">
        <f>$M$5*'7.1. Nettoinvestointiennuste '!Y120</f>
        <v>-1881.2623443974348</v>
      </c>
      <c r="N120" s="41">
        <f>$N$5*'7.1. Nettoinvestointiennuste '!Y120</f>
        <v>-1947.6599043873537</v>
      </c>
      <c r="O120" s="41">
        <f>O$5*'7.1. Nettoinvestointiennuste '!$Y120</f>
        <v>-2034.4790644748155</v>
      </c>
      <c r="P120" s="41">
        <f>P$5*'7.1. Nettoinvestointiennuste '!$Y120</f>
        <v>-2118.9418688171277</v>
      </c>
      <c r="T120" s="34">
        <v>300</v>
      </c>
      <c r="U120" s="88" t="s">
        <v>434</v>
      </c>
      <c r="V120" s="41">
        <f>C120/'1. Väestöennuste'!E120*1000</f>
        <v>-345.62584118438758</v>
      </c>
      <c r="W120" s="41">
        <f>D120/'1. Väestöennuste'!F120*1000</f>
        <v>-440.10840108401084</v>
      </c>
      <c r="X120" s="41">
        <f>E120/'1. Väestöennuste'!G120*1000</f>
        <v>-205.66400879846029</v>
      </c>
      <c r="Y120" s="41">
        <f>F120/'1. Väestöennuste'!H120*1000</f>
        <v>-489.64165733482645</v>
      </c>
      <c r="Z120" s="41">
        <f>G120/'1. Väestöennuste'!I120*1000</f>
        <v>-759.22275415375952</v>
      </c>
      <c r="AA120" s="41">
        <f>H120/'1. Väestöennuste'!J120*1000</f>
        <v>-943.97283531409175</v>
      </c>
      <c r="AB120" s="41">
        <f>I120/'1. Väestöennuste'!K120*1000</f>
        <v>-189.85209467120183</v>
      </c>
      <c r="AC120" s="41">
        <f>J120/'1. Väestöennuste'!L120*1000</f>
        <v>-419.88705848123362</v>
      </c>
      <c r="AD120" s="41">
        <f>K120/'1. Väestöennuste'!M120*1000</f>
        <v>-406.28416740609293</v>
      </c>
      <c r="AE120" s="41">
        <f>L120/'1. Väestöennuste'!N120*1000</f>
        <v>-532.60955333077175</v>
      </c>
      <c r="AF120" s="41">
        <f>M120/'1. Väestöennuste'!O120*1000</f>
        <v>-560.9011163975656</v>
      </c>
      <c r="AG120" s="41">
        <f>N120/'1. Väestöennuste'!P120*1000</f>
        <v>-586.82130291875683</v>
      </c>
      <c r="AH120" s="41">
        <f>O120/'1. Väestöennuste'!Q120*1000</f>
        <v>-618.94708380736711</v>
      </c>
      <c r="AI120" s="41">
        <f>P120/'1. Väestöennuste'!R120*1000</f>
        <v>-650.58086239395993</v>
      </c>
      <c r="AK120" s="34">
        <v>300</v>
      </c>
      <c r="AL120" s="88" t="s">
        <v>434</v>
      </c>
      <c r="AM120" s="41"/>
      <c r="AN120" s="41">
        <f t="shared" si="26"/>
        <v>-94.482559899623254</v>
      </c>
      <c r="AO120" s="41">
        <f t="shared" si="27"/>
        <v>234.44439228555055</v>
      </c>
      <c r="AP120" s="41">
        <f t="shared" si="28"/>
        <v>-283.97764853636613</v>
      </c>
      <c r="AQ120" s="41">
        <f t="shared" si="29"/>
        <v>-269.58109681893308</v>
      </c>
      <c r="AR120" s="41">
        <f t="shared" si="30"/>
        <v>-184.75008116033223</v>
      </c>
      <c r="AS120" s="41">
        <f t="shared" si="31"/>
        <v>754.12074064288993</v>
      </c>
      <c r="AT120" s="41">
        <f t="shared" si="32"/>
        <v>-230.0349638100318</v>
      </c>
      <c r="AU120" s="41">
        <f t="shared" si="33"/>
        <v>13.60289107514069</v>
      </c>
      <c r="AV120" s="41">
        <f t="shared" si="34"/>
        <v>-126.32538592467881</v>
      </c>
      <c r="AW120" s="41">
        <f t="shared" si="35"/>
        <v>-28.291563066793856</v>
      </c>
      <c r="AX120" s="41">
        <f t="shared" si="36"/>
        <v>-25.920186521191226</v>
      </c>
      <c r="AY120" s="41">
        <f t="shared" si="36"/>
        <v>-32.125780888610279</v>
      </c>
      <c r="AZ120" s="41">
        <f t="shared" si="36"/>
        <v>-31.633778586592825</v>
      </c>
    </row>
    <row r="121" spans="1:52" x14ac:dyDescent="0.2">
      <c r="A121" s="30">
        <v>301</v>
      </c>
      <c r="B121" s="31" t="s">
        <v>435</v>
      </c>
      <c r="C121" s="41">
        <v>-4895</v>
      </c>
      <c r="D121" s="41">
        <v>-2988</v>
      </c>
      <c r="E121" s="73">
        <v>-5473</v>
      </c>
      <c r="F121" s="73">
        <v>-11067</v>
      </c>
      <c r="G121" s="73">
        <v>-3224</v>
      </c>
      <c r="H121" s="41">
        <v>-4082</v>
      </c>
      <c r="I121" s="165">
        <v>-13930.517619999999</v>
      </c>
      <c r="J121" s="41">
        <v>-30264.51714</v>
      </c>
      <c r="K121" s="41">
        <v>-22906.615559999998</v>
      </c>
      <c r="L121" s="41">
        <f>$L$5*'7.1. Nettoinvestointiennuste '!Y121</f>
        <v>-16206.92173060914</v>
      </c>
      <c r="M121" s="41">
        <f>$M$5*'7.1. Nettoinvestointiennuste '!Y121</f>
        <v>-16901.519419642689</v>
      </c>
      <c r="N121" s="41">
        <f>$N$5*'7.1. Nettoinvestointiennuste '!Y121</f>
        <v>-17498.044222750865</v>
      </c>
      <c r="O121" s="41">
        <f>O$5*'7.1. Nettoinvestointiennuste '!$Y121</f>
        <v>-18278.039487411999</v>
      </c>
      <c r="P121" s="41">
        <f>P$5*'7.1. Nettoinvestointiennuste '!$Y121</f>
        <v>-19036.864928255185</v>
      </c>
      <c r="T121" s="34">
        <v>301</v>
      </c>
      <c r="U121" s="88" t="s">
        <v>435</v>
      </c>
      <c r="V121" s="41">
        <f>C121/'1. Väestöennuste'!E121*1000</f>
        <v>-225.2231526640287</v>
      </c>
      <c r="W121" s="41">
        <f>D121/'1. Väestöennuste'!F121*1000</f>
        <v>-138.97028045207199</v>
      </c>
      <c r="X121" s="41">
        <f>E121/'1. Väestöennuste'!G121*1000</f>
        <v>-258.12385039852853</v>
      </c>
      <c r="Y121" s="41">
        <f>F121/'1. Väestöennuste'!H121*1000</f>
        <v>-528.20733104238263</v>
      </c>
      <c r="Z121" s="41">
        <f>G121/'1. Väestöennuste'!I121*1000</f>
        <v>-155.91449850082211</v>
      </c>
      <c r="AA121" s="41">
        <f>H121/'1. Väestöennuste'!J121*1000</f>
        <v>-199.55025420414549</v>
      </c>
      <c r="AB121" s="41">
        <f>I121/'1. Väestöennuste'!K121*1000</f>
        <v>-689.73202059711832</v>
      </c>
      <c r="AC121" s="41">
        <f>J121/'1. Väestöennuste'!L121*1000</f>
        <v>-1521.5946274509804</v>
      </c>
      <c r="AD121" s="41">
        <f>K121/'1. Väestöennuste'!M121*1000</f>
        <v>-1159.3003471835618</v>
      </c>
      <c r="AE121" s="41">
        <f>L121/'1. Väestöennuste'!N121*1000</f>
        <v>-831.33735473758088</v>
      </c>
      <c r="AF121" s="41">
        <f>M121/'1. Väestöennuste'!O121*1000</f>
        <v>-877.13526491476921</v>
      </c>
      <c r="AG121" s="41">
        <f>N121/'1. Väestöennuste'!P121*1000</f>
        <v>-918.58072459188747</v>
      </c>
      <c r="AH121" s="41">
        <f>O121/'1. Väestöennuste'!Q121*1000</f>
        <v>-970.48101770266533</v>
      </c>
      <c r="AI121" s="41">
        <f>P121/'1. Väestöennuste'!R121*1000</f>
        <v>-1022.2782154578018</v>
      </c>
      <c r="AK121" s="34">
        <v>301</v>
      </c>
      <c r="AL121" s="88" t="s">
        <v>435</v>
      </c>
      <c r="AM121" s="41"/>
      <c r="AN121" s="41">
        <f t="shared" si="26"/>
        <v>86.252872211956713</v>
      </c>
      <c r="AO121" s="41">
        <f t="shared" si="27"/>
        <v>-119.15356994645654</v>
      </c>
      <c r="AP121" s="41">
        <f t="shared" si="28"/>
        <v>-270.0834806438541</v>
      </c>
      <c r="AQ121" s="41">
        <f t="shared" si="29"/>
        <v>372.29283254156053</v>
      </c>
      <c r="AR121" s="41">
        <f t="shared" si="30"/>
        <v>-43.635755703323383</v>
      </c>
      <c r="AS121" s="41">
        <f t="shared" si="31"/>
        <v>-490.1817663929728</v>
      </c>
      <c r="AT121" s="41">
        <f t="shared" si="32"/>
        <v>-831.86260685386208</v>
      </c>
      <c r="AU121" s="41">
        <f t="shared" si="33"/>
        <v>362.29428026741857</v>
      </c>
      <c r="AV121" s="41">
        <f t="shared" si="34"/>
        <v>327.96299244598094</v>
      </c>
      <c r="AW121" s="41">
        <f t="shared" si="35"/>
        <v>-45.797910177188328</v>
      </c>
      <c r="AX121" s="41">
        <f t="shared" si="36"/>
        <v>-41.445459677118265</v>
      </c>
      <c r="AY121" s="41">
        <f t="shared" si="36"/>
        <v>-51.900293110777852</v>
      </c>
      <c r="AZ121" s="41">
        <f t="shared" si="36"/>
        <v>-51.797197755136494</v>
      </c>
    </row>
    <row r="122" spans="1:52" x14ac:dyDescent="0.2">
      <c r="A122" s="30">
        <v>304</v>
      </c>
      <c r="B122" s="31" t="s">
        <v>436</v>
      </c>
      <c r="C122" s="41">
        <v>-495</v>
      </c>
      <c r="D122" s="41">
        <v>-880</v>
      </c>
      <c r="E122" s="73">
        <v>-1000</v>
      </c>
      <c r="F122" s="73">
        <v>-207</v>
      </c>
      <c r="G122" s="73">
        <v>-947</v>
      </c>
      <c r="H122" s="41">
        <v>-817</v>
      </c>
      <c r="I122" s="165">
        <v>-826.46422999999993</v>
      </c>
      <c r="J122" s="41">
        <v>-445.74463000000003</v>
      </c>
      <c r="K122" s="41">
        <v>-942.75831999999991</v>
      </c>
      <c r="L122" s="41">
        <f>$L$5*'7.1. Nettoinvestointiennuste '!Y122</f>
        <v>-841.88077343368627</v>
      </c>
      <c r="M122" s="41">
        <f>$M$5*'7.1. Nettoinvestointiennuste '!Y122</f>
        <v>-877.96217429369017</v>
      </c>
      <c r="N122" s="41">
        <f>$N$5*'7.1. Nettoinvestointiennuste '!Y122</f>
        <v>-908.94910512242393</v>
      </c>
      <c r="O122" s="41">
        <f>O$5*'7.1. Nettoinvestointiennuste '!$Y122</f>
        <v>-949.46654745987439</v>
      </c>
      <c r="P122" s="41">
        <f>P$5*'7.1. Nettoinvestointiennuste '!$Y122</f>
        <v>-988.88430733167513</v>
      </c>
      <c r="T122" s="34">
        <v>304</v>
      </c>
      <c r="U122" s="88" t="s">
        <v>436</v>
      </c>
      <c r="V122" s="41">
        <f>C122/'1. Väestöennuste'!E122*1000</f>
        <v>-553.07262569832403</v>
      </c>
      <c r="W122" s="41">
        <f>D122/'1. Väestöennuste'!F122*1000</f>
        <v>-969.16299559471361</v>
      </c>
      <c r="X122" s="41">
        <f>E122/'1. Väestöennuste'!G122*1000</f>
        <v>-1083.4236186348862</v>
      </c>
      <c r="Y122" s="41">
        <f>F122/'1. Väestöennuste'!H122*1000</f>
        <v>-223.54211663066957</v>
      </c>
      <c r="Z122" s="41">
        <f>G122/'1. Väestöennuste'!I122*1000</f>
        <v>-997.89251844046362</v>
      </c>
      <c r="AA122" s="41">
        <f>H122/'1. Väestöennuste'!J122*1000</f>
        <v>-849.27234927234929</v>
      </c>
      <c r="AB122" s="41">
        <f>I122/'1. Väestöennuste'!K122*1000</f>
        <v>-851.14750772399589</v>
      </c>
      <c r="AC122" s="41">
        <f>J122/'1. Väestöennuste'!L122*1000</f>
        <v>-469.20487368421055</v>
      </c>
      <c r="AD122" s="41">
        <f>K122/'1. Väestöennuste'!M122*1000</f>
        <v>-993.4228872497365</v>
      </c>
      <c r="AE122" s="41">
        <f>L122/'1. Väestöennuste'!N122*1000</f>
        <v>-821.34709603286467</v>
      </c>
      <c r="AF122" s="41">
        <f>M122/'1. Väestöennuste'!O122*1000</f>
        <v>-846.63661937675033</v>
      </c>
      <c r="AG122" s="41">
        <f>N122/'1. Väestöennuste'!P122*1000</f>
        <v>-865.66581440230846</v>
      </c>
      <c r="AH122" s="41">
        <f>O122/'1. Väestöennuste'!Q122*1000</f>
        <v>-892.35577768785186</v>
      </c>
      <c r="AI122" s="41">
        <f>P122/'1. Väestöennuste'!R122*1000</f>
        <v>-919.89237891318623</v>
      </c>
      <c r="AK122" s="34">
        <v>304</v>
      </c>
      <c r="AL122" s="88" t="s">
        <v>436</v>
      </c>
      <c r="AM122" s="41"/>
      <c r="AN122" s="41">
        <f t="shared" si="26"/>
        <v>-416.09036989638957</v>
      </c>
      <c r="AO122" s="41">
        <f t="shared" si="27"/>
        <v>-114.26062304017262</v>
      </c>
      <c r="AP122" s="41">
        <f t="shared" si="28"/>
        <v>859.8815020042166</v>
      </c>
      <c r="AQ122" s="41">
        <f t="shared" si="29"/>
        <v>-774.35040180979399</v>
      </c>
      <c r="AR122" s="41">
        <f t="shared" si="30"/>
        <v>148.62016916811433</v>
      </c>
      <c r="AS122" s="41">
        <f t="shared" si="31"/>
        <v>-1.8751584516465982</v>
      </c>
      <c r="AT122" s="41">
        <f t="shared" si="32"/>
        <v>381.94263403978533</v>
      </c>
      <c r="AU122" s="41">
        <f t="shared" si="33"/>
        <v>-524.21801356552601</v>
      </c>
      <c r="AV122" s="41">
        <f t="shared" si="34"/>
        <v>172.07579121687183</v>
      </c>
      <c r="AW122" s="41">
        <f t="shared" si="35"/>
        <v>-25.289523343885662</v>
      </c>
      <c r="AX122" s="41">
        <f t="shared" si="36"/>
        <v>-19.029195025558124</v>
      </c>
      <c r="AY122" s="41">
        <f t="shared" si="36"/>
        <v>-26.689963285543399</v>
      </c>
      <c r="AZ122" s="41">
        <f t="shared" si="36"/>
        <v>-27.53660122533438</v>
      </c>
    </row>
    <row r="123" spans="1:52" x14ac:dyDescent="0.2">
      <c r="A123" s="30">
        <v>305</v>
      </c>
      <c r="B123" s="31" t="s">
        <v>437</v>
      </c>
      <c r="C123" s="41">
        <v>-4293</v>
      </c>
      <c r="D123" s="41">
        <v>-5899</v>
      </c>
      <c r="E123" s="73">
        <v>-7552</v>
      </c>
      <c r="F123" s="73">
        <v>-8676</v>
      </c>
      <c r="G123" s="73">
        <v>-6157</v>
      </c>
      <c r="H123" s="41">
        <v>-10731</v>
      </c>
      <c r="I123" s="165">
        <v>-16710.310369999999</v>
      </c>
      <c r="J123" s="41">
        <v>-16990.875840000001</v>
      </c>
      <c r="K123" s="41">
        <v>-20898.083579999999</v>
      </c>
      <c r="L123" s="41">
        <f>$L$5*'7.1. Nettoinvestointiennuste '!Y123</f>
        <v>-17152.649664883218</v>
      </c>
      <c r="M123" s="41">
        <f>$M$5*'7.1. Nettoinvestointiennuste '!Y123</f>
        <v>-17887.77944560699</v>
      </c>
      <c r="N123" s="41">
        <f>$N$5*'7.1. Nettoinvestointiennuste '!Y123</f>
        <v>-18519.113460431246</v>
      </c>
      <c r="O123" s="41">
        <f>O$5*'7.1. Nettoinvestointiennuste '!$Y123</f>
        <v>-19344.624050127753</v>
      </c>
      <c r="P123" s="41">
        <f>P$5*'7.1. Nettoinvestointiennuste '!$Y123</f>
        <v>-20147.729486183594</v>
      </c>
      <c r="T123" s="34">
        <v>305</v>
      </c>
      <c r="U123" s="88" t="s">
        <v>437</v>
      </c>
      <c r="V123" s="41">
        <f>C123/'1. Väestöennuste'!E123*1000</f>
        <v>-273.64864864864865</v>
      </c>
      <c r="W123" s="41">
        <f>D123/'1. Väestöennuste'!F123*1000</f>
        <v>-379.77209811369346</v>
      </c>
      <c r="X123" s="41">
        <f>E123/'1. Väestöennuste'!G123*1000</f>
        <v>-490.83582477577022</v>
      </c>
      <c r="Y123" s="41">
        <f>F123/'1. Väestöennuste'!H123*1000</f>
        <v>-570.52673111067281</v>
      </c>
      <c r="Z123" s="41">
        <f>G123/'1. Väestöennuste'!I123*1000</f>
        <v>-406.83229813664593</v>
      </c>
      <c r="AA123" s="41">
        <f>H123/'1. Väestöennuste'!J123*1000</f>
        <v>-705.38355353973566</v>
      </c>
      <c r="AB123" s="41">
        <f>I123/'1. Väestöennuste'!K123*1000</f>
        <v>-1101.8997936036926</v>
      </c>
      <c r="AC123" s="41">
        <f>J123/'1. Väestöennuste'!L123*1000</f>
        <v>-1121.8061428760068</v>
      </c>
      <c r="AD123" s="41">
        <f>K123/'1. Väestöennuste'!M123*1000</f>
        <v>-1391.4430774352486</v>
      </c>
      <c r="AE123" s="41">
        <f>L123/'1. Väestöennuste'!N123*1000</f>
        <v>-1160.8452669791025</v>
      </c>
      <c r="AF123" s="41">
        <f>M123/'1. Väestöennuste'!O123*1000</f>
        <v>-1219.0948984943086</v>
      </c>
      <c r="AG123" s="41">
        <f>N123/'1. Väestöennuste'!P123*1000</f>
        <v>-1270.695310857091</v>
      </c>
      <c r="AH123" s="41">
        <f>O123/'1. Väestöennuste'!Q123*1000</f>
        <v>-1336.5085014597039</v>
      </c>
      <c r="AI123" s="41">
        <f>P123/'1. Väestöennuste'!R123*1000</f>
        <v>-1401.6786897303182</v>
      </c>
      <c r="AK123" s="34">
        <v>305</v>
      </c>
      <c r="AL123" s="88" t="s">
        <v>437</v>
      </c>
      <c r="AM123" s="41"/>
      <c r="AN123" s="41">
        <f t="shared" si="26"/>
        <v>-106.12344946504481</v>
      </c>
      <c r="AO123" s="41">
        <f t="shared" si="27"/>
        <v>-111.06372666207676</v>
      </c>
      <c r="AP123" s="41">
        <f t="shared" si="28"/>
        <v>-79.690906334902593</v>
      </c>
      <c r="AQ123" s="41">
        <f t="shared" si="29"/>
        <v>163.69443297402688</v>
      </c>
      <c r="AR123" s="41">
        <f t="shared" si="30"/>
        <v>-298.55125540308973</v>
      </c>
      <c r="AS123" s="41">
        <f t="shared" si="31"/>
        <v>-396.51624006395696</v>
      </c>
      <c r="AT123" s="41">
        <f t="shared" si="32"/>
        <v>-19.906349272314174</v>
      </c>
      <c r="AU123" s="41">
        <f t="shared" si="33"/>
        <v>-269.63693455924181</v>
      </c>
      <c r="AV123" s="41">
        <f t="shared" si="34"/>
        <v>230.59781045614614</v>
      </c>
      <c r="AW123" s="41">
        <f t="shared" si="35"/>
        <v>-58.249631515206147</v>
      </c>
      <c r="AX123" s="41">
        <f t="shared" si="36"/>
        <v>-51.600412362782436</v>
      </c>
      <c r="AY123" s="41">
        <f t="shared" si="36"/>
        <v>-65.813190602612849</v>
      </c>
      <c r="AZ123" s="41">
        <f t="shared" si="36"/>
        <v>-65.17018827061429</v>
      </c>
    </row>
    <row r="124" spans="1:52" x14ac:dyDescent="0.2">
      <c r="A124" s="30">
        <v>309</v>
      </c>
      <c r="B124" s="31" t="s">
        <v>438</v>
      </c>
      <c r="C124" s="41">
        <v>-2130</v>
      </c>
      <c r="D124" s="41">
        <v>-4316</v>
      </c>
      <c r="E124" s="73">
        <v>-1565</v>
      </c>
      <c r="F124" s="73">
        <v>-1356</v>
      </c>
      <c r="G124" s="73">
        <v>-2897</v>
      </c>
      <c r="H124" s="41">
        <v>31453</v>
      </c>
      <c r="I124" s="165">
        <v>-1107.1532999999999</v>
      </c>
      <c r="J124" s="41">
        <v>-2296.6375699999999</v>
      </c>
      <c r="K124" s="41">
        <v>-5809.2064700000001</v>
      </c>
      <c r="L124" s="41">
        <f>$L$5*'7.1. Nettoinvestointiennuste '!Y124</f>
        <v>-3690.4977323854828</v>
      </c>
      <c r="M124" s="41">
        <f>$M$5*'7.1. Nettoinvestointiennuste '!Y124</f>
        <v>-3848.6654115356287</v>
      </c>
      <c r="N124" s="41">
        <f>$N$5*'7.1. Nettoinvestointiennuste '!Y124</f>
        <v>-3984.5007953164122</v>
      </c>
      <c r="O124" s="41">
        <f>O$5*'7.1. Nettoinvestointiennuste '!$Y124</f>
        <v>-4162.114459610646</v>
      </c>
      <c r="P124" s="41">
        <f>P$5*'7.1. Nettoinvestointiennuste '!$Y124</f>
        <v>-4334.9075177408122</v>
      </c>
      <c r="T124" s="34">
        <v>309</v>
      </c>
      <c r="U124" s="88" t="s">
        <v>438</v>
      </c>
      <c r="V124" s="41">
        <f>C124/'1. Väestöennuste'!E124*1000</f>
        <v>-298.36111500210109</v>
      </c>
      <c r="W124" s="41">
        <f>D124/'1. Väestöennuste'!F124*1000</f>
        <v>-608.65886334790571</v>
      </c>
      <c r="X124" s="41">
        <f>E124/'1. Väestöennuste'!G124*1000</f>
        <v>-223.47565329144652</v>
      </c>
      <c r="Y124" s="41">
        <f>F124/'1. Väestöennuste'!H124*1000</f>
        <v>-199.32382772306337</v>
      </c>
      <c r="Z124" s="41">
        <f>G124/'1. Väestöennuste'!I124*1000</f>
        <v>-433.16387559808612</v>
      </c>
      <c r="AA124" s="41">
        <f>H124/'1. Väestöennuste'!J124*1000</f>
        <v>4800.5189255189262</v>
      </c>
      <c r="AB124" s="41">
        <f>I124/'1. Väestöennuste'!K124*1000</f>
        <v>-170.17419305256684</v>
      </c>
      <c r="AC124" s="41">
        <f>J124/'1. Väestöennuste'!L124*1000</f>
        <v>-355.68182902276595</v>
      </c>
      <c r="AD124" s="41">
        <f>K124/'1. Väestöennuste'!M124*1000</f>
        <v>-906.41386643782187</v>
      </c>
      <c r="AE124" s="41">
        <f>L124/'1. Väestöennuste'!N124*1000</f>
        <v>-600.66694863044972</v>
      </c>
      <c r="AF124" s="41">
        <f>M124/'1. Väestöennuste'!O124*1000</f>
        <v>-636.24820822212416</v>
      </c>
      <c r="AG124" s="41">
        <f>N124/'1. Väestöennuste'!P124*1000</f>
        <v>-669.3265236546971</v>
      </c>
      <c r="AH124" s="41">
        <f>O124/'1. Väestöennuste'!Q124*1000</f>
        <v>-709.89501272567736</v>
      </c>
      <c r="AI124" s="41">
        <f>P124/'1. Väestöennuste'!R124*1000</f>
        <v>-751.0234784720742</v>
      </c>
      <c r="AK124" s="34">
        <v>309</v>
      </c>
      <c r="AL124" s="88" t="s">
        <v>438</v>
      </c>
      <c r="AM124" s="41"/>
      <c r="AN124" s="41">
        <f t="shared" si="26"/>
        <v>-310.29774834580462</v>
      </c>
      <c r="AO124" s="41">
        <f t="shared" si="27"/>
        <v>385.18321005645919</v>
      </c>
      <c r="AP124" s="41">
        <f t="shared" si="28"/>
        <v>24.151825568383146</v>
      </c>
      <c r="AQ124" s="41">
        <f t="shared" si="29"/>
        <v>-233.84004787502275</v>
      </c>
      <c r="AR124" s="41">
        <f t="shared" si="30"/>
        <v>5233.6828011170119</v>
      </c>
      <c r="AS124" s="41">
        <f t="shared" si="31"/>
        <v>-4970.693118571493</v>
      </c>
      <c r="AT124" s="41">
        <f t="shared" si="32"/>
        <v>-185.50763597019912</v>
      </c>
      <c r="AU124" s="41">
        <f t="shared" si="33"/>
        <v>-550.73203741505586</v>
      </c>
      <c r="AV124" s="41">
        <f t="shared" si="34"/>
        <v>305.74691780737214</v>
      </c>
      <c r="AW124" s="41">
        <f t="shared" si="35"/>
        <v>-35.581259591674439</v>
      </c>
      <c r="AX124" s="41">
        <f t="shared" si="36"/>
        <v>-33.078315432572936</v>
      </c>
      <c r="AY124" s="41">
        <f t="shared" si="36"/>
        <v>-40.568489070980263</v>
      </c>
      <c r="AZ124" s="41">
        <f t="shared" si="36"/>
        <v>-41.128465746396841</v>
      </c>
    </row>
    <row r="125" spans="1:52" x14ac:dyDescent="0.2">
      <c r="A125" s="30">
        <v>312</v>
      </c>
      <c r="B125" s="31" t="s">
        <v>439</v>
      </c>
      <c r="C125" s="41">
        <v>-1092</v>
      </c>
      <c r="D125" s="41">
        <v>-466</v>
      </c>
      <c r="E125" s="73">
        <v>-536</v>
      </c>
      <c r="F125" s="73">
        <v>-736</v>
      </c>
      <c r="G125" s="73">
        <v>513</v>
      </c>
      <c r="H125" s="41">
        <v>-94</v>
      </c>
      <c r="I125" s="165">
        <v>-438.82244000000003</v>
      </c>
      <c r="J125" s="41">
        <v>-283.15325999999999</v>
      </c>
      <c r="K125" s="41">
        <v>-5</v>
      </c>
      <c r="L125" s="41">
        <f>$L$5*'7.1. Nettoinvestointiennuste '!Y125</f>
        <v>-243.85943135308887</v>
      </c>
      <c r="M125" s="41">
        <f>$M$5*'7.1. Nettoinvestointiennuste '!Y125</f>
        <v>-254.31078049158594</v>
      </c>
      <c r="N125" s="41">
        <f>$N$5*'7.1. Nettoinvestointiennuste '!Y125</f>
        <v>-263.28646394905797</v>
      </c>
      <c r="O125" s="41">
        <f>O$5*'7.1. Nettoinvestointiennuste '!$Y125</f>
        <v>-275.02275816087791</v>
      </c>
      <c r="P125" s="41">
        <f>P$5*'7.1. Nettoinvestointiennuste '!$Y125</f>
        <v>-286.44051802768769</v>
      </c>
      <c r="T125" s="34">
        <v>312</v>
      </c>
      <c r="U125" s="88" t="s">
        <v>439</v>
      </c>
      <c r="V125" s="41">
        <f>C125/'1. Väestöennuste'!E125*1000</f>
        <v>-791.87817258883251</v>
      </c>
      <c r="W125" s="41">
        <f>D125/'1. Väestöennuste'!F125*1000</f>
        <v>-338.90909090909088</v>
      </c>
      <c r="X125" s="41">
        <f>E125/'1. Väestöennuste'!G125*1000</f>
        <v>-396.44970414201185</v>
      </c>
      <c r="Y125" s="41">
        <f>F125/'1. Väestöennuste'!H125*1000</f>
        <v>-548.02680565897242</v>
      </c>
      <c r="Z125" s="41">
        <f>G125/'1. Väestöennuste'!I125*1000</f>
        <v>390.70830159939067</v>
      </c>
      <c r="AA125" s="41">
        <f>H125/'1. Väestöennuste'!J125*1000</f>
        <v>-72.981366459627324</v>
      </c>
      <c r="AB125" s="41">
        <f>I125/'1. Väestöennuste'!K125*1000</f>
        <v>-356.18704545454551</v>
      </c>
      <c r="AC125" s="41">
        <f>J125/'1. Väestöennuste'!L125*1000</f>
        <v>-236.75021739130435</v>
      </c>
      <c r="AD125" s="41">
        <f>K125/'1. Väestöennuste'!M125*1000</f>
        <v>-4.2589437819420786</v>
      </c>
      <c r="AE125" s="41">
        <f>L125/'1. Väestöennuste'!N125*1000</f>
        <v>-203.38568086162539</v>
      </c>
      <c r="AF125" s="41">
        <f>M125/'1. Väestöennuste'!O125*1000</f>
        <v>-215.70040754163355</v>
      </c>
      <c r="AG125" s="41">
        <f>N125/'1. Väestöennuste'!P125*1000</f>
        <v>-226.77559341004132</v>
      </c>
      <c r="AH125" s="41">
        <f>O125/'1. Väestöennuste'!Q125*1000</f>
        <v>-240.61483653620112</v>
      </c>
      <c r="AI125" s="41">
        <f>P125/'1. Väestöennuste'!R125*1000</f>
        <v>-254.84031852997126</v>
      </c>
      <c r="AK125" s="34">
        <v>312</v>
      </c>
      <c r="AL125" s="88" t="s">
        <v>439</v>
      </c>
      <c r="AM125" s="41"/>
      <c r="AN125" s="41">
        <f t="shared" si="26"/>
        <v>452.96908167974163</v>
      </c>
      <c r="AO125" s="41">
        <f t="shared" si="27"/>
        <v>-57.540613232920975</v>
      </c>
      <c r="AP125" s="41">
        <f t="shared" si="28"/>
        <v>-151.57710151696057</v>
      </c>
      <c r="AQ125" s="41">
        <f t="shared" si="29"/>
        <v>938.73510725836309</v>
      </c>
      <c r="AR125" s="41">
        <f t="shared" si="30"/>
        <v>-463.689668059018</v>
      </c>
      <c r="AS125" s="41">
        <f t="shared" si="31"/>
        <v>-283.20567899491817</v>
      </c>
      <c r="AT125" s="41">
        <f t="shared" si="32"/>
        <v>119.43682806324117</v>
      </c>
      <c r="AU125" s="41">
        <f t="shared" si="33"/>
        <v>232.49127360936228</v>
      </c>
      <c r="AV125" s="41">
        <f t="shared" si="34"/>
        <v>-199.12673707968332</v>
      </c>
      <c r="AW125" s="41">
        <f t="shared" si="35"/>
        <v>-12.314726680008164</v>
      </c>
      <c r="AX125" s="41">
        <f t="shared" si="36"/>
        <v>-11.075185868407772</v>
      </c>
      <c r="AY125" s="41">
        <f t="shared" si="36"/>
        <v>-13.839243126159801</v>
      </c>
      <c r="AZ125" s="41">
        <f t="shared" si="36"/>
        <v>-14.225481993770131</v>
      </c>
    </row>
    <row r="126" spans="1:52" x14ac:dyDescent="0.2">
      <c r="A126" s="30">
        <v>316</v>
      </c>
      <c r="B126" s="31" t="s">
        <v>440</v>
      </c>
      <c r="C126" s="41">
        <v>-1571</v>
      </c>
      <c r="D126" s="41">
        <v>-628</v>
      </c>
      <c r="E126" s="73">
        <v>-199</v>
      </c>
      <c r="F126" s="73">
        <v>-577</v>
      </c>
      <c r="G126" s="73">
        <v>-5305</v>
      </c>
      <c r="H126" s="41">
        <v>-3066</v>
      </c>
      <c r="I126" s="165">
        <v>-9752.3393699999997</v>
      </c>
      <c r="J126" s="41">
        <v>-4140.43786</v>
      </c>
      <c r="K126" s="41">
        <v>-2489.0215200000002</v>
      </c>
      <c r="L126" s="41">
        <f>$L$5*'7.1. Nettoinvestointiennuste '!Y126</f>
        <v>-3681.5763154155152</v>
      </c>
      <c r="M126" s="41">
        <f>$M$5*'7.1. Nettoinvestointiennuste '!Y126</f>
        <v>-3839.3616396858606</v>
      </c>
      <c r="N126" s="41">
        <f>$N$5*'7.1. Nettoinvestointiennuste '!Y126</f>
        <v>-3974.8686547245775</v>
      </c>
      <c r="O126" s="41">
        <f>O$5*'7.1. Nettoinvestointiennuste '!$Y126</f>
        <v>-4152.0529553736778</v>
      </c>
      <c r="P126" s="41">
        <f>P$5*'7.1. Nettoinvestointiennuste '!$Y126</f>
        <v>-4324.4283032021767</v>
      </c>
      <c r="T126" s="34">
        <v>316</v>
      </c>
      <c r="U126" s="88" t="s">
        <v>440</v>
      </c>
      <c r="V126" s="41">
        <f>C126/'1. Väestöennuste'!E126*1000</f>
        <v>-341.22502172024326</v>
      </c>
      <c r="W126" s="41">
        <f>D126/'1. Väestöennuste'!F126*1000</f>
        <v>-138.32599118942733</v>
      </c>
      <c r="X126" s="41">
        <f>E126/'1. Väestöennuste'!G126*1000</f>
        <v>-44.143744454303459</v>
      </c>
      <c r="Y126" s="41">
        <f>F126/'1. Väestöennuste'!H126*1000</f>
        <v>-129.63379015951472</v>
      </c>
      <c r="Z126" s="41">
        <f>G126/'1. Väestöennuste'!I126*1000</f>
        <v>-1214.514652014652</v>
      </c>
      <c r="AA126" s="41">
        <f>H126/'1. Väestöennuste'!J126*1000</f>
        <v>-708.73786407766988</v>
      </c>
      <c r="AB126" s="41">
        <f>I126/'1. Väestöennuste'!K126*1000</f>
        <v>-2297.3708763250884</v>
      </c>
      <c r="AC126" s="41">
        <f>J126/'1. Väestöennuste'!L126*1000</f>
        <v>-986.28819914244878</v>
      </c>
      <c r="AD126" s="41">
        <f>K126/'1. Väestöennuste'!M126*1000</f>
        <v>-605.01252309188146</v>
      </c>
      <c r="AE126" s="41">
        <f>L126/'1. Väestöennuste'!N126*1000</f>
        <v>-891.2070480308679</v>
      </c>
      <c r="AF126" s="41">
        <f>M126/'1. Väestöennuste'!O126*1000</f>
        <v>-938.48976770615025</v>
      </c>
      <c r="AG126" s="41">
        <f>N126/'1. Väestöennuste'!P126*1000</f>
        <v>-980.23887909360735</v>
      </c>
      <c r="AH126" s="41">
        <f>O126/'1. Väestöennuste'!Q126*1000</f>
        <v>-1031.8223050133395</v>
      </c>
      <c r="AI126" s="41">
        <f>P126/'1. Väestöennuste'!R126*1000</f>
        <v>-1083.0023298778303</v>
      </c>
      <c r="AK126" s="34">
        <v>316</v>
      </c>
      <c r="AL126" s="88" t="s">
        <v>440</v>
      </c>
      <c r="AM126" s="41"/>
      <c r="AN126" s="41">
        <f t="shared" si="26"/>
        <v>202.89903053081593</v>
      </c>
      <c r="AO126" s="41">
        <f t="shared" si="27"/>
        <v>94.182246735123869</v>
      </c>
      <c r="AP126" s="41">
        <f t="shared" si="28"/>
        <v>-85.490045705211259</v>
      </c>
      <c r="AQ126" s="41">
        <f t="shared" si="29"/>
        <v>-1084.8808618551373</v>
      </c>
      <c r="AR126" s="41">
        <f t="shared" si="30"/>
        <v>505.77678793698215</v>
      </c>
      <c r="AS126" s="41">
        <f t="shared" si="31"/>
        <v>-1588.6330122474185</v>
      </c>
      <c r="AT126" s="41">
        <f t="shared" si="32"/>
        <v>1311.0826771826396</v>
      </c>
      <c r="AU126" s="41">
        <f t="shared" si="33"/>
        <v>381.27567605056731</v>
      </c>
      <c r="AV126" s="41">
        <f t="shared" si="34"/>
        <v>-286.19452493898643</v>
      </c>
      <c r="AW126" s="41">
        <f t="shared" si="35"/>
        <v>-47.282719675282351</v>
      </c>
      <c r="AX126" s="41">
        <f t="shared" si="36"/>
        <v>-41.749111387457106</v>
      </c>
      <c r="AY126" s="41">
        <f t="shared" si="36"/>
        <v>-51.583425919732122</v>
      </c>
      <c r="AZ126" s="41">
        <f t="shared" si="36"/>
        <v>-51.180024864490861</v>
      </c>
    </row>
    <row r="127" spans="1:52" x14ac:dyDescent="0.2">
      <c r="A127" s="30">
        <v>317</v>
      </c>
      <c r="B127" s="31" t="s">
        <v>441</v>
      </c>
      <c r="C127" s="41">
        <v>-815</v>
      </c>
      <c r="D127" s="41">
        <v>-86</v>
      </c>
      <c r="E127" s="73">
        <v>-663</v>
      </c>
      <c r="F127" s="73">
        <v>-621</v>
      </c>
      <c r="G127" s="73">
        <v>-690</v>
      </c>
      <c r="H127" s="41">
        <v>-759</v>
      </c>
      <c r="I127" s="165">
        <v>-945.74473999999998</v>
      </c>
      <c r="J127" s="41">
        <v>-1099.27791</v>
      </c>
      <c r="K127" s="41">
        <v>-608.12397999999996</v>
      </c>
      <c r="L127" s="41">
        <f>$L$5*'7.1. Nettoinvestointiennuste '!Y127</f>
        <v>-668.95827326502763</v>
      </c>
      <c r="M127" s="41">
        <f>$M$5*'7.1. Nettoinvestointiennuste '!Y127</f>
        <v>-697.62854627512002</v>
      </c>
      <c r="N127" s="41">
        <f>$N$5*'7.1. Nettoinvestointiennuste '!Y127</f>
        <v>-722.2507545439081</v>
      </c>
      <c r="O127" s="41">
        <f>O$5*'7.1. Nettoinvestointiennuste '!$Y127</f>
        <v>-754.44590511449087</v>
      </c>
      <c r="P127" s="41">
        <f>P$5*'7.1. Nettoinvestointiennuste '!$Y127</f>
        <v>-785.76724824514292</v>
      </c>
      <c r="T127" s="34">
        <v>317</v>
      </c>
      <c r="U127" s="88" t="s">
        <v>441</v>
      </c>
      <c r="V127" s="41">
        <f>C127/'1. Väestöennuste'!E127*1000</f>
        <v>-306.62151993980433</v>
      </c>
      <c r="W127" s="41">
        <f>D127/'1. Väestöennuste'!F127*1000</f>
        <v>-32.391713747645944</v>
      </c>
      <c r="X127" s="41">
        <f>E127/'1. Väestöennuste'!G127*1000</f>
        <v>-253.92569896591343</v>
      </c>
      <c r="Y127" s="41">
        <f>F127/'1. Väestöennuste'!H127*1000</f>
        <v>-237.65786452353615</v>
      </c>
      <c r="Z127" s="41">
        <f>G127/'1. Väestöennuste'!I127*1000</f>
        <v>-267.85714285714283</v>
      </c>
      <c r="AA127" s="41">
        <f>H127/'1. Väestöennuste'!J127*1000</f>
        <v>-299.0543735224586</v>
      </c>
      <c r="AB127" s="41">
        <f>I127/'1. Väestöennuste'!K127*1000</f>
        <v>-373.36941966048164</v>
      </c>
      <c r="AC127" s="41">
        <f>J127/'1. Väestöennuste'!L127*1000</f>
        <v>-444.33221907841551</v>
      </c>
      <c r="AD127" s="41">
        <f>K127/'1. Väestöennuste'!M127*1000</f>
        <v>-249.23113934426229</v>
      </c>
      <c r="AE127" s="41">
        <f>L127/'1. Väestöennuste'!N127*1000</f>
        <v>-276.42903853926759</v>
      </c>
      <c r="AF127" s="41">
        <f>M127/'1. Väestöennuste'!O127*1000</f>
        <v>-291.40707864457812</v>
      </c>
      <c r="AG127" s="41">
        <f>N127/'1. Väestöennuste'!P127*1000</f>
        <v>-304.87579339126557</v>
      </c>
      <c r="AH127" s="41">
        <f>O127/'1. Väestöennuste'!Q127*1000</f>
        <v>-322.27505558073085</v>
      </c>
      <c r="AI127" s="41">
        <f>P127/'1. Väestöennuste'!R127*1000</f>
        <v>-339.27774103849003</v>
      </c>
      <c r="AK127" s="34">
        <v>317</v>
      </c>
      <c r="AL127" s="88" t="s">
        <v>441</v>
      </c>
      <c r="AM127" s="41"/>
      <c r="AN127" s="41">
        <f t="shared" si="26"/>
        <v>274.22980619215838</v>
      </c>
      <c r="AO127" s="41">
        <f t="shared" si="27"/>
        <v>-221.53398521826747</v>
      </c>
      <c r="AP127" s="41">
        <f t="shared" si="28"/>
        <v>16.267834442377278</v>
      </c>
      <c r="AQ127" s="41">
        <f t="shared" si="29"/>
        <v>-30.199278333606685</v>
      </c>
      <c r="AR127" s="41">
        <f t="shared" si="30"/>
        <v>-31.197230665315772</v>
      </c>
      <c r="AS127" s="41">
        <f t="shared" si="31"/>
        <v>-74.315046138023035</v>
      </c>
      <c r="AT127" s="41">
        <f t="shared" si="32"/>
        <v>-70.962799417933866</v>
      </c>
      <c r="AU127" s="41">
        <f t="shared" si="33"/>
        <v>195.10107973415322</v>
      </c>
      <c r="AV127" s="41">
        <f t="shared" si="34"/>
        <v>-27.197899195005306</v>
      </c>
      <c r="AW127" s="41">
        <f t="shared" si="35"/>
        <v>-14.978040105310527</v>
      </c>
      <c r="AX127" s="41">
        <f t="shared" si="36"/>
        <v>-13.468714746687453</v>
      </c>
      <c r="AY127" s="41">
        <f t="shared" si="36"/>
        <v>-17.399262189465276</v>
      </c>
      <c r="AZ127" s="41">
        <f t="shared" si="36"/>
        <v>-17.002685457759185</v>
      </c>
    </row>
    <row r="128" spans="1:52" x14ac:dyDescent="0.2">
      <c r="A128" s="30">
        <v>320</v>
      </c>
      <c r="B128" s="31" t="s">
        <v>442</v>
      </c>
      <c r="C128" s="41">
        <v>-3147</v>
      </c>
      <c r="D128" s="41">
        <v>8235</v>
      </c>
      <c r="E128" s="73">
        <v>-1756</v>
      </c>
      <c r="F128" s="73">
        <v>826</v>
      </c>
      <c r="G128" s="73">
        <v>-2582</v>
      </c>
      <c r="H128" s="41">
        <v>-6666</v>
      </c>
      <c r="I128" s="165">
        <v>-2539.7399700000001</v>
      </c>
      <c r="J128" s="41">
        <v>-1464.6601599999999</v>
      </c>
      <c r="K128" s="41">
        <v>-5448.39437</v>
      </c>
      <c r="L128" s="41">
        <f>$L$5*'7.1. Nettoinvestointiennuste '!Y128</f>
        <v>-3784.5871725166617</v>
      </c>
      <c r="M128" s="41">
        <f>$M$5*'7.1. Nettoinvestointiennuste '!Y128</f>
        <v>-3946.7873452373879</v>
      </c>
      <c r="N128" s="41">
        <f>$N$5*'7.1. Nettoinvestointiennuste '!Y128</f>
        <v>-4086.0858595053637</v>
      </c>
      <c r="O128" s="41">
        <f>O$5*'7.1. Nettoinvestointiennuste '!$Y128</f>
        <v>-4268.2277938176067</v>
      </c>
      <c r="P128" s="41">
        <f>P$5*'7.1. Nettoinvestointiennuste '!$Y128</f>
        <v>-4445.4262203498038</v>
      </c>
      <c r="T128" s="34">
        <v>320</v>
      </c>
      <c r="U128" s="88" t="s">
        <v>442</v>
      </c>
      <c r="V128" s="41">
        <f>C128/'1. Väestöennuste'!E128*1000</f>
        <v>-405.22791655936129</v>
      </c>
      <c r="W128" s="41">
        <f>D128/'1. Väestöennuste'!F128*1000</f>
        <v>1074.9249445242135</v>
      </c>
      <c r="X128" s="41">
        <f>E128/'1. Väestöennuste'!G128*1000</f>
        <v>-233.0767188744359</v>
      </c>
      <c r="Y128" s="41">
        <f>F128/'1. Väestöennuste'!H128*1000</f>
        <v>112.07598371777476</v>
      </c>
      <c r="Z128" s="41">
        <f>G128/'1. Väestöennuste'!I128*1000</f>
        <v>-354.96288149573826</v>
      </c>
      <c r="AA128" s="41">
        <f>H128/'1. Väestöennuste'!J128*1000</f>
        <v>-926.99207342511465</v>
      </c>
      <c r="AB128" s="41">
        <f>I128/'1. Väestöennuste'!K128*1000</f>
        <v>-357.45812385643916</v>
      </c>
      <c r="AC128" s="41">
        <f>J128/'1. Väestöennuste'!L128*1000</f>
        <v>-209.35679817038306</v>
      </c>
      <c r="AD128" s="41">
        <f>K128/'1. Väestöennuste'!M128*1000</f>
        <v>-775.02053627311523</v>
      </c>
      <c r="AE128" s="41">
        <f>L128/'1. Väestöennuste'!N128*1000</f>
        <v>-561.26163021157674</v>
      </c>
      <c r="AF128" s="41">
        <f>M128/'1. Väestöennuste'!O128*1000</f>
        <v>-593.41262144600626</v>
      </c>
      <c r="AG128" s="41">
        <f>N128/'1. Väestöennuste'!P128*1000</f>
        <v>-622.87894199776883</v>
      </c>
      <c r="AH128" s="41">
        <f>O128/'1. Väestöennuste'!Q128*1000</f>
        <v>-659.18575966295077</v>
      </c>
      <c r="AI128" s="41">
        <f>P128/'1. Väestöennuste'!R128*1000</f>
        <v>-695.14092577792087</v>
      </c>
      <c r="AK128" s="34">
        <v>320</v>
      </c>
      <c r="AL128" s="88" t="s">
        <v>442</v>
      </c>
      <c r="AM128" s="41"/>
      <c r="AN128" s="41">
        <f t="shared" si="26"/>
        <v>1480.1528610835749</v>
      </c>
      <c r="AO128" s="41">
        <f t="shared" si="27"/>
        <v>-1308.0016633986495</v>
      </c>
      <c r="AP128" s="41">
        <f t="shared" si="28"/>
        <v>345.15270259221063</v>
      </c>
      <c r="AQ128" s="41">
        <f t="shared" si="29"/>
        <v>-467.03886521351302</v>
      </c>
      <c r="AR128" s="41">
        <f t="shared" si="30"/>
        <v>-572.02919192937634</v>
      </c>
      <c r="AS128" s="41">
        <f t="shared" si="31"/>
        <v>569.53394956867555</v>
      </c>
      <c r="AT128" s="41">
        <f t="shared" si="32"/>
        <v>148.1013256860561</v>
      </c>
      <c r="AU128" s="41">
        <f t="shared" si="33"/>
        <v>-565.66373810273217</v>
      </c>
      <c r="AV128" s="41">
        <f t="shared" si="34"/>
        <v>213.75890606153848</v>
      </c>
      <c r="AW128" s="41">
        <f t="shared" si="35"/>
        <v>-32.150991234429512</v>
      </c>
      <c r="AX128" s="41">
        <f t="shared" si="36"/>
        <v>-29.466320551762578</v>
      </c>
      <c r="AY128" s="41">
        <f t="shared" si="36"/>
        <v>-36.306817665181939</v>
      </c>
      <c r="AZ128" s="41">
        <f t="shared" si="36"/>
        <v>-35.955166114970098</v>
      </c>
    </row>
    <row r="129" spans="1:52" x14ac:dyDescent="0.2">
      <c r="A129" s="30">
        <v>322</v>
      </c>
      <c r="B129" s="31" t="s">
        <v>443</v>
      </c>
      <c r="C129" s="41">
        <v>-9482</v>
      </c>
      <c r="D129" s="41">
        <v>-3852</v>
      </c>
      <c r="E129" s="73">
        <v>-4942</v>
      </c>
      <c r="F129" s="73">
        <v>-913</v>
      </c>
      <c r="G129" s="73">
        <v>-1186</v>
      </c>
      <c r="H129" s="41">
        <v>-1014</v>
      </c>
      <c r="I129" s="165">
        <v>-1714.7841799999999</v>
      </c>
      <c r="J129" s="41">
        <v>-1828.80269</v>
      </c>
      <c r="K129" s="41">
        <v>-3105.6177200000002</v>
      </c>
      <c r="L129" s="41">
        <f>$L$5*'7.1. Nettoinvestointiennuste '!Y129</f>
        <v>-4686.8294398189191</v>
      </c>
      <c r="M129" s="41">
        <f>$M$5*'7.1. Nettoinvestointiennuste '!Y129</f>
        <v>-4887.6979916577438</v>
      </c>
      <c r="N129" s="41">
        <f>$N$5*'7.1. Nettoinvestointiennuste '!Y129</f>
        <v>-5060.2051497264638</v>
      </c>
      <c r="O129" s="41">
        <f>O$5*'7.1. Nettoinvestointiennuste '!$Y129</f>
        <v>-5285.7695616547835</v>
      </c>
      <c r="P129" s="41">
        <f>P$5*'7.1. Nettoinvestointiennuste '!$Y129</f>
        <v>-5505.2119378779298</v>
      </c>
      <c r="T129" s="34">
        <v>322</v>
      </c>
      <c r="U129" s="88" t="s">
        <v>443</v>
      </c>
      <c r="V129" s="41">
        <f>C129/'1. Väestöennuste'!E129*1000</f>
        <v>-1372.4127949051961</v>
      </c>
      <c r="W129" s="41">
        <f>D129/'1. Väestöennuste'!F129*1000</f>
        <v>-560.53550640279389</v>
      </c>
      <c r="X129" s="41">
        <f>E129/'1. Väestöennuste'!G129*1000</f>
        <v>-727.51361695863397</v>
      </c>
      <c r="Y129" s="41">
        <f>F129/'1. Väestöennuste'!H129*1000</f>
        <v>-135.78227245687091</v>
      </c>
      <c r="Z129" s="41">
        <f>G129/'1. Väestöennuste'!I129*1000</f>
        <v>-178.6144578313253</v>
      </c>
      <c r="AA129" s="41">
        <f>H129/'1. Väestöennuste'!J129*1000</f>
        <v>-153.42714480254199</v>
      </c>
      <c r="AB129" s="41">
        <f>I129/'1. Väestöennuste'!K129*1000</f>
        <v>-259.26582703356513</v>
      </c>
      <c r="AC129" s="41">
        <f>J129/'1. Väestöennuste'!L129*1000</f>
        <v>-279.24915101542217</v>
      </c>
      <c r="AD129" s="41">
        <f>K129/'1. Väestöennuste'!M129*1000</f>
        <v>-480.59698545342002</v>
      </c>
      <c r="AE129" s="41">
        <f>L129/'1. Väestöennuste'!N129*1000</f>
        <v>-736.34398111844769</v>
      </c>
      <c r="AF129" s="41">
        <f>M129/'1. Väestöennuste'!O129*1000</f>
        <v>-773.3699353888835</v>
      </c>
      <c r="AG129" s="41">
        <f>N129/'1. Väestöennuste'!P129*1000</f>
        <v>-806.02184608576999</v>
      </c>
      <c r="AH129" s="41">
        <f>O129/'1. Väestöennuste'!Q129*1000</f>
        <v>-847.3500419453004</v>
      </c>
      <c r="AI129" s="41">
        <f>P129/'1. Väestöennuste'!R129*1000</f>
        <v>-887.93740933514994</v>
      </c>
      <c r="AK129" s="34">
        <v>322</v>
      </c>
      <c r="AL129" s="88" t="s">
        <v>443</v>
      </c>
      <c r="AM129" s="41"/>
      <c r="AN129" s="41">
        <f t="shared" si="26"/>
        <v>811.87728850240217</v>
      </c>
      <c r="AO129" s="41">
        <f t="shared" si="27"/>
        <v>-166.97811055584009</v>
      </c>
      <c r="AP129" s="41">
        <f t="shared" si="28"/>
        <v>591.73134450176303</v>
      </c>
      <c r="AQ129" s="41">
        <f t="shared" si="29"/>
        <v>-42.832185374454383</v>
      </c>
      <c r="AR129" s="41">
        <f t="shared" si="30"/>
        <v>25.187313028783308</v>
      </c>
      <c r="AS129" s="41">
        <f t="shared" si="31"/>
        <v>-105.83868223102314</v>
      </c>
      <c r="AT129" s="41">
        <f t="shared" si="32"/>
        <v>-19.983323981857041</v>
      </c>
      <c r="AU129" s="41">
        <f t="shared" si="33"/>
        <v>-201.34783443799785</v>
      </c>
      <c r="AV129" s="41">
        <f t="shared" si="34"/>
        <v>-255.74699566502767</v>
      </c>
      <c r="AW129" s="41">
        <f t="shared" si="35"/>
        <v>-37.025954270435818</v>
      </c>
      <c r="AX129" s="41">
        <f t="shared" si="36"/>
        <v>-32.651910696886489</v>
      </c>
      <c r="AY129" s="41">
        <f t="shared" si="36"/>
        <v>-41.32819585953041</v>
      </c>
      <c r="AZ129" s="41">
        <f t="shared" si="36"/>
        <v>-40.587367389849533</v>
      </c>
    </row>
    <row r="130" spans="1:52" x14ac:dyDescent="0.2">
      <c r="A130" s="30">
        <v>398</v>
      </c>
      <c r="B130" s="31" t="s">
        <v>444</v>
      </c>
      <c r="C130" s="41">
        <v>-83654</v>
      </c>
      <c r="D130" s="41">
        <v>-39603</v>
      </c>
      <c r="E130" s="73">
        <v>-37572</v>
      </c>
      <c r="F130" s="73">
        <v>-101452</v>
      </c>
      <c r="G130" s="73">
        <v>-92142</v>
      </c>
      <c r="H130" s="41">
        <v>-83943</v>
      </c>
      <c r="I130" s="165">
        <v>-8972.6980600000006</v>
      </c>
      <c r="J130" s="41">
        <v>16378.099050000001</v>
      </c>
      <c r="K130" s="41">
        <v>-42793.85297</v>
      </c>
      <c r="L130" s="41">
        <f>$L$5*'7.1. Nettoinvestointiennuste '!Y130</f>
        <v>-56439.763614234493</v>
      </c>
      <c r="M130" s="41">
        <f>$M$5*'7.1. Nettoinvestointiennuste '!Y130</f>
        <v>-58858.664009243294</v>
      </c>
      <c r="N130" s="41">
        <f>$N$5*'7.1. Nettoinvestointiennuste '!Y130</f>
        <v>-60936.030670048887</v>
      </c>
      <c r="O130" s="41">
        <f>O$5*'7.1. Nettoinvestointiennuste '!$Y130</f>
        <v>-63652.323689133023</v>
      </c>
      <c r="P130" s="41">
        <f>P$5*'7.1. Nettoinvestointiennuste '!$Y130</f>
        <v>-66294.893895711488</v>
      </c>
      <c r="T130" s="34">
        <v>398</v>
      </c>
      <c r="U130" s="88" t="s">
        <v>444</v>
      </c>
      <c r="V130" s="41">
        <f>C130/'1. Väestöennuste'!E130*1000</f>
        <v>-704.49626504299204</v>
      </c>
      <c r="W130" s="41">
        <f>D130/'1. Väestöennuste'!F130*1000</f>
        <v>-331.539028228912</v>
      </c>
      <c r="X130" s="41">
        <f>E130/'1. Väestöennuste'!G130*1000</f>
        <v>-314.21809271323792</v>
      </c>
      <c r="Y130" s="41">
        <f>F130/'1. Väestöennuste'!H130*1000</f>
        <v>-845.77869296629456</v>
      </c>
      <c r="Z130" s="41">
        <f>G130/'1. Väestöennuste'!I130*1000</f>
        <v>-768.98425177136278</v>
      </c>
      <c r="AA130" s="41">
        <f>H130/'1. Väestöennuste'!J130*1000</f>
        <v>-699.61828243765831</v>
      </c>
      <c r="AB130" s="41">
        <f>I130/'1. Väestöennuste'!K130*1000</f>
        <v>-74.755663808976323</v>
      </c>
      <c r="AC130" s="41">
        <f>J130/'1. Väestöennuste'!L130*1000</f>
        <v>136.28540919492409</v>
      </c>
      <c r="AD130" s="41">
        <f>K130/'1. Väestöennuste'!M130*1000</f>
        <v>-354.56781230063052</v>
      </c>
      <c r="AE130" s="41">
        <f>L130/'1. Väestöennuste'!N130*1000</f>
        <v>-467.2320574707316</v>
      </c>
      <c r="AF130" s="41">
        <f>M130/'1. Väestöennuste'!O130*1000</f>
        <v>-486.82953143242702</v>
      </c>
      <c r="AG130" s="41">
        <f>N130/'1. Väestöennuste'!P130*1000</f>
        <v>-503.7409431501888</v>
      </c>
      <c r="AH130" s="41">
        <f>O130/'1. Väestöennuste'!Q130*1000</f>
        <v>-526.06530483510346</v>
      </c>
      <c r="AI130" s="41">
        <f>P130/'1. Väestöennuste'!R130*1000</f>
        <v>-547.92791172731654</v>
      </c>
      <c r="AK130" s="34">
        <v>398</v>
      </c>
      <c r="AL130" s="88" t="s">
        <v>444</v>
      </c>
      <c r="AM130" s="41"/>
      <c r="AN130" s="41">
        <f t="shared" si="26"/>
        <v>372.95723681408003</v>
      </c>
      <c r="AO130" s="41">
        <f t="shared" si="27"/>
        <v>17.32093551567408</v>
      </c>
      <c r="AP130" s="41">
        <f t="shared" si="28"/>
        <v>-531.56060025305669</v>
      </c>
      <c r="AQ130" s="41">
        <f t="shared" si="29"/>
        <v>76.794441194931778</v>
      </c>
      <c r="AR130" s="41">
        <f t="shared" si="30"/>
        <v>69.36596933370447</v>
      </c>
      <c r="AS130" s="41">
        <f t="shared" si="31"/>
        <v>624.86261862868196</v>
      </c>
      <c r="AT130" s="41">
        <f t="shared" si="32"/>
        <v>211.04107300390041</v>
      </c>
      <c r="AU130" s="41">
        <f t="shared" si="33"/>
        <v>-490.85322149555464</v>
      </c>
      <c r="AV130" s="41">
        <f t="shared" si="34"/>
        <v>-112.66424517010108</v>
      </c>
      <c r="AW130" s="41">
        <f t="shared" si="35"/>
        <v>-19.597473961695414</v>
      </c>
      <c r="AX130" s="41">
        <f t="shared" si="36"/>
        <v>-16.91141171776178</v>
      </c>
      <c r="AY130" s="41">
        <f t="shared" si="36"/>
        <v>-22.324361684914663</v>
      </c>
      <c r="AZ130" s="41">
        <f t="shared" si="36"/>
        <v>-21.86260689221308</v>
      </c>
    </row>
    <row r="131" spans="1:52" x14ac:dyDescent="0.2">
      <c r="A131" s="30">
        <v>399</v>
      </c>
      <c r="B131" s="31" t="s">
        <v>445</v>
      </c>
      <c r="C131" s="41">
        <v>-2706</v>
      </c>
      <c r="D131" s="41">
        <v>-4072</v>
      </c>
      <c r="E131" s="73">
        <v>-7163</v>
      </c>
      <c r="F131" s="73">
        <v>-2202</v>
      </c>
      <c r="G131" s="73">
        <v>-1598</v>
      </c>
      <c r="H131" s="41">
        <v>-1517</v>
      </c>
      <c r="I131" s="165">
        <v>-1318.5440000000001</v>
      </c>
      <c r="J131" s="41">
        <v>-2303.5430899999997</v>
      </c>
      <c r="K131" s="41">
        <v>-1737.1281200000001</v>
      </c>
      <c r="L131" s="41">
        <f>$L$5*'7.1. Nettoinvestointiennuste '!Y131</f>
        <v>-2094.6474367324558</v>
      </c>
      <c r="M131" s="41">
        <f>$M$5*'7.1. Nettoinvestointiennuste '!Y131</f>
        <v>-2184.4200223645907</v>
      </c>
      <c r="N131" s="41">
        <f>$N$5*'7.1. Nettoinvestointiennuste '!Y131</f>
        <v>-2261.5172756584097</v>
      </c>
      <c r="O131" s="41">
        <f>O$5*'7.1. Nettoinvestointiennuste '!$Y131</f>
        <v>-2362.3269857898654</v>
      </c>
      <c r="P131" s="41">
        <f>P$5*'7.1. Nettoinvestointiennuste '!$Y131</f>
        <v>-2460.4006231535609</v>
      </c>
      <c r="T131" s="34">
        <v>399</v>
      </c>
      <c r="U131" s="88" t="s">
        <v>445</v>
      </c>
      <c r="V131" s="41">
        <f>C131/'1. Väestöennuste'!E131*1000</f>
        <v>-334.48702101359703</v>
      </c>
      <c r="W131" s="41">
        <f>D131/'1. Väestöennuste'!F131*1000</f>
        <v>-500.30716304214275</v>
      </c>
      <c r="X131" s="41">
        <f>E131/'1. Väestöennuste'!G131*1000</f>
        <v>-889.70314246677424</v>
      </c>
      <c r="Y131" s="41">
        <f>F131/'1. Väestöennuste'!H131*1000</f>
        <v>-273.26880119136257</v>
      </c>
      <c r="Z131" s="41">
        <f>G131/'1. Väestöennuste'!I131*1000</f>
        <v>-199.32643133341648</v>
      </c>
      <c r="AA131" s="41">
        <f>H131/'1. Väestöennuste'!J131*1000</f>
        <v>-189.719859929965</v>
      </c>
      <c r="AB131" s="41">
        <f>I131/'1. Väestöennuste'!K131*1000</f>
        <v>-166.56695300656898</v>
      </c>
      <c r="AC131" s="41">
        <f>J131/'1. Väestöennuste'!L131*1000</f>
        <v>-294.68377766406547</v>
      </c>
      <c r="AD131" s="41">
        <f>K131/'1. Väestöennuste'!M131*1000</f>
        <v>-226.12966935693831</v>
      </c>
      <c r="AE131" s="41">
        <f>L131/'1. Väestöennuste'!N131*1000</f>
        <v>-265.58227928647847</v>
      </c>
      <c r="AF131" s="41">
        <f>M131/'1. Väestöennuste'!O131*1000</f>
        <v>-278.19918776930604</v>
      </c>
      <c r="AG131" s="41">
        <f>N131/'1. Väestöennuste'!P131*1000</f>
        <v>-289.34458491023668</v>
      </c>
      <c r="AH131" s="41">
        <f>O131/'1. Väestöennuste'!Q131*1000</f>
        <v>-303.79719467462263</v>
      </c>
      <c r="AI131" s="41">
        <f>P131/'1. Väestöennuste'!R131*1000</f>
        <v>-318.29244801469093</v>
      </c>
      <c r="AK131" s="34">
        <v>399</v>
      </c>
      <c r="AL131" s="88" t="s">
        <v>445</v>
      </c>
      <c r="AM131" s="41"/>
      <c r="AN131" s="41">
        <f t="shared" si="26"/>
        <v>-165.82014202854572</v>
      </c>
      <c r="AO131" s="41">
        <f t="shared" si="27"/>
        <v>-389.39597942463149</v>
      </c>
      <c r="AP131" s="41">
        <f t="shared" si="28"/>
        <v>616.43434127541173</v>
      </c>
      <c r="AQ131" s="41">
        <f t="shared" si="29"/>
        <v>73.94236985794609</v>
      </c>
      <c r="AR131" s="41">
        <f t="shared" si="30"/>
        <v>9.6065714034514826</v>
      </c>
      <c r="AS131" s="41">
        <f t="shared" si="31"/>
        <v>23.152906923396017</v>
      </c>
      <c r="AT131" s="41">
        <f t="shared" si="32"/>
        <v>-128.11682465749649</v>
      </c>
      <c r="AU131" s="41">
        <f t="shared" si="33"/>
        <v>68.554108307127166</v>
      </c>
      <c r="AV131" s="41">
        <f t="shared" si="34"/>
        <v>-39.452609929540159</v>
      </c>
      <c r="AW131" s="41">
        <f t="shared" si="35"/>
        <v>-12.616908482827569</v>
      </c>
      <c r="AX131" s="41">
        <f t="shared" si="36"/>
        <v>-11.14539714093064</v>
      </c>
      <c r="AY131" s="41">
        <f t="shared" si="36"/>
        <v>-14.452609764385954</v>
      </c>
      <c r="AZ131" s="41">
        <f t="shared" si="36"/>
        <v>-14.495253340068302</v>
      </c>
    </row>
    <row r="132" spans="1:52" x14ac:dyDescent="0.2">
      <c r="A132" s="30">
        <v>400</v>
      </c>
      <c r="B132" s="31" t="s">
        <v>446</v>
      </c>
      <c r="C132" s="41">
        <v>-3648</v>
      </c>
      <c r="D132" s="41">
        <v>-4175</v>
      </c>
      <c r="E132" s="73">
        <v>-3637</v>
      </c>
      <c r="F132" s="73">
        <v>-9093</v>
      </c>
      <c r="G132" s="73">
        <v>-6049</v>
      </c>
      <c r="H132" s="41">
        <v>-6517</v>
      </c>
      <c r="I132" s="165">
        <v>-4232.7190300000002</v>
      </c>
      <c r="J132" s="41">
        <v>-3941.8402599999999</v>
      </c>
      <c r="K132" s="41">
        <v>-6007.9912000000004</v>
      </c>
      <c r="L132" s="41">
        <f>$L$5*'7.1. Nettoinvestointiennuste '!Y132</f>
        <v>-5030.820329175911</v>
      </c>
      <c r="M132" s="41">
        <f>$M$5*'7.1. Nettoinvestointiennuste '!Y132</f>
        <v>-5246.4316730617102</v>
      </c>
      <c r="N132" s="41">
        <f>$N$5*'7.1. Nettoinvestointiennuste '!Y132</f>
        <v>-5431.6000323724365</v>
      </c>
      <c r="O132" s="41">
        <f>O$5*'7.1. Nettoinvestointiennuste '!$Y132</f>
        <v>-5673.7197944927848</v>
      </c>
      <c r="P132" s="41">
        <f>P$5*'7.1. Nettoinvestointiennuste '!$Y132</f>
        <v>-5909.2681927354834</v>
      </c>
      <c r="T132" s="34">
        <v>400</v>
      </c>
      <c r="U132" s="88" t="s">
        <v>446</v>
      </c>
      <c r="V132" s="41">
        <f>C132/'1. Väestöennuste'!E132*1000</f>
        <v>-428.16901408450701</v>
      </c>
      <c r="W132" s="41">
        <f>D132/'1. Väestöennuste'!F132*1000</f>
        <v>-490.02347417840377</v>
      </c>
      <c r="X132" s="41">
        <f>E132/'1. Väestöennuste'!G132*1000</f>
        <v>-422.41579558652734</v>
      </c>
      <c r="Y132" s="41">
        <f>F132/'1. Väestöennuste'!H132*1000</f>
        <v>-1051.5785821672257</v>
      </c>
      <c r="Z132" s="41">
        <f>G132/'1. Väestöennuste'!I132*1000</f>
        <v>-704.35491383325564</v>
      </c>
      <c r="AA132" s="41">
        <f>H132/'1. Väestöennuste'!J132*1000</f>
        <v>-769.60321209258382</v>
      </c>
      <c r="AB132" s="41">
        <f>I132/'1. Väestöennuste'!K132*1000</f>
        <v>-500.55806882686846</v>
      </c>
      <c r="AC132" s="41">
        <f>J132/'1. Väestöennuste'!L132*1000</f>
        <v>-471.17382978723407</v>
      </c>
      <c r="AD132" s="41">
        <f>K132/'1. Väestöennuste'!M132*1000</f>
        <v>-711.76296647316667</v>
      </c>
      <c r="AE132" s="41">
        <f>L132/'1. Väestöennuste'!N132*1000</f>
        <v>-600.47986741178215</v>
      </c>
      <c r="AF132" s="41">
        <f>M132/'1. Väestöennuste'!O132*1000</f>
        <v>-628.23993211132927</v>
      </c>
      <c r="AG132" s="41">
        <f>N132/'1. Väestöennuste'!P132*1000</f>
        <v>-652.5228294536804</v>
      </c>
      <c r="AH132" s="41">
        <f>O132/'1. Väestöennuste'!Q132*1000</f>
        <v>-684.07521033190073</v>
      </c>
      <c r="AI132" s="41">
        <f>P132/'1. Väestöennuste'!R132*1000</f>
        <v>-714.97497794742696</v>
      </c>
      <c r="AK132" s="34">
        <v>400</v>
      </c>
      <c r="AL132" s="88" t="s">
        <v>446</v>
      </c>
      <c r="AM132" s="41"/>
      <c r="AN132" s="41">
        <f t="shared" si="26"/>
        <v>-61.854460093896762</v>
      </c>
      <c r="AO132" s="41">
        <f t="shared" si="27"/>
        <v>67.607678591876436</v>
      </c>
      <c r="AP132" s="41">
        <f t="shared" si="28"/>
        <v>-629.16278658069837</v>
      </c>
      <c r="AQ132" s="41">
        <f t="shared" si="29"/>
        <v>347.22366833397007</v>
      </c>
      <c r="AR132" s="41">
        <f t="shared" si="30"/>
        <v>-65.24829825932818</v>
      </c>
      <c r="AS132" s="41">
        <f t="shared" si="31"/>
        <v>269.04514326571535</v>
      </c>
      <c r="AT132" s="41">
        <f t="shared" si="32"/>
        <v>29.384239039634394</v>
      </c>
      <c r="AU132" s="41">
        <f t="shared" si="33"/>
        <v>-240.5891366859326</v>
      </c>
      <c r="AV132" s="41">
        <f t="shared" si="34"/>
        <v>111.28309906138452</v>
      </c>
      <c r="AW132" s="41">
        <f t="shared" si="35"/>
        <v>-27.760064699547115</v>
      </c>
      <c r="AX132" s="41">
        <f t="shared" si="36"/>
        <v>-24.282897342351134</v>
      </c>
      <c r="AY132" s="41">
        <f t="shared" si="36"/>
        <v>-31.552380878220333</v>
      </c>
      <c r="AZ132" s="41">
        <f t="shared" si="36"/>
        <v>-30.89976761552623</v>
      </c>
    </row>
    <row r="133" spans="1:52" x14ac:dyDescent="0.2">
      <c r="A133" s="30">
        <v>402</v>
      </c>
      <c r="B133" s="31" t="s">
        <v>447</v>
      </c>
      <c r="C133" s="41">
        <v>-3283</v>
      </c>
      <c r="D133" s="41">
        <v>-4868</v>
      </c>
      <c r="E133" s="73">
        <v>-926</v>
      </c>
      <c r="F133" s="73">
        <v>-4580</v>
      </c>
      <c r="G133" s="73">
        <v>-4581</v>
      </c>
      <c r="H133" s="41">
        <v>-7224</v>
      </c>
      <c r="I133" s="165">
        <v>-5039.5691100000004</v>
      </c>
      <c r="J133" s="41">
        <v>-4086.4200699999997</v>
      </c>
      <c r="K133" s="41">
        <v>-2312.0561600000001</v>
      </c>
      <c r="L133" s="41">
        <f>$L$5*'7.1. Nettoinvestointiennuste '!Y133</f>
        <v>-3644.853101144713</v>
      </c>
      <c r="M133" s="41">
        <f>$M$5*'7.1. Nettoinvestointiennuste '!Y133</f>
        <v>-3801.0645386406068</v>
      </c>
      <c r="N133" s="41">
        <f>$N$5*'7.1. Nettoinvestointiennuste '!Y133</f>
        <v>-3935.2198899564701</v>
      </c>
      <c r="O133" s="41">
        <f>O$5*'7.1. Nettoinvestointiennuste '!$Y133</f>
        <v>-4110.6368017262703</v>
      </c>
      <c r="P133" s="41">
        <f>P$5*'7.1. Nettoinvestointiennuste '!$Y133</f>
        <v>-4281.2927293143675</v>
      </c>
      <c r="T133" s="34">
        <v>402</v>
      </c>
      <c r="U133" s="88" t="s">
        <v>447</v>
      </c>
      <c r="V133" s="41">
        <f>C133/'1. Väestöennuste'!E133*1000</f>
        <v>-328.89200561009818</v>
      </c>
      <c r="W133" s="41">
        <f>D133/'1. Väestöennuste'!F133*1000</f>
        <v>-492.61283141064558</v>
      </c>
      <c r="X133" s="41">
        <f>E133/'1. Väestöennuste'!G133*1000</f>
        <v>-95.542715641766407</v>
      </c>
      <c r="Y133" s="41">
        <f>F133/'1. Väestöennuste'!H133*1000</f>
        <v>-476.2399916813975</v>
      </c>
      <c r="Z133" s="41">
        <f>G133/'1. Väestöennuste'!I133*1000</f>
        <v>-482.97311544544021</v>
      </c>
      <c r="AA133" s="41">
        <f>H133/'1. Väestöennuste'!J133*1000</f>
        <v>-771.95982047446034</v>
      </c>
      <c r="AB133" s="41">
        <f>I133/'1. Väestöennuste'!K133*1000</f>
        <v>-544.99503730939773</v>
      </c>
      <c r="AC133" s="41">
        <f>J133/'1. Väestöennuste'!L133*1000</f>
        <v>-449.10650291240796</v>
      </c>
      <c r="AD133" s="41">
        <f>K133/'1. Väestöennuste'!M133*1000</f>
        <v>-257.61071420612814</v>
      </c>
      <c r="AE133" s="41">
        <f>L133/'1. Väestöennuste'!N133*1000</f>
        <v>-407.79291800679266</v>
      </c>
      <c r="AF133" s="41">
        <f>M133/'1. Väestöennuste'!O133*1000</f>
        <v>-429.98467631681069</v>
      </c>
      <c r="AG133" s="41">
        <f>N133/'1. Väestöennuste'!P133*1000</f>
        <v>-450.04802035183781</v>
      </c>
      <c r="AH133" s="41">
        <f>O133/'1. Väestöennuste'!Q133*1000</f>
        <v>-475.10827574274964</v>
      </c>
      <c r="AI133" s="41">
        <f>P133/'1. Väestöennuste'!R133*1000</f>
        <v>-500.15101977971585</v>
      </c>
      <c r="AK133" s="34">
        <v>402</v>
      </c>
      <c r="AL133" s="88" t="s">
        <v>447</v>
      </c>
      <c r="AM133" s="41"/>
      <c r="AN133" s="41">
        <f t="shared" si="26"/>
        <v>-163.7208258005474</v>
      </c>
      <c r="AO133" s="41">
        <f t="shared" si="27"/>
        <v>397.07011576887919</v>
      </c>
      <c r="AP133" s="41">
        <f t="shared" si="28"/>
        <v>-380.69727603963111</v>
      </c>
      <c r="AQ133" s="41">
        <f t="shared" si="29"/>
        <v>-6.7331237640427162</v>
      </c>
      <c r="AR133" s="41">
        <f t="shared" si="30"/>
        <v>-288.98670502902013</v>
      </c>
      <c r="AS133" s="41">
        <f t="shared" si="31"/>
        <v>226.96478316506261</v>
      </c>
      <c r="AT133" s="41">
        <f t="shared" si="32"/>
        <v>95.888534396989769</v>
      </c>
      <c r="AU133" s="41">
        <f t="shared" si="33"/>
        <v>191.49578870627982</v>
      </c>
      <c r="AV133" s="41">
        <f t="shared" si="34"/>
        <v>-150.18220380066452</v>
      </c>
      <c r="AW133" s="41">
        <f t="shared" si="35"/>
        <v>-22.191758310018031</v>
      </c>
      <c r="AX133" s="41">
        <f t="shared" si="36"/>
        <v>-20.063344035027114</v>
      </c>
      <c r="AY133" s="41">
        <f t="shared" si="36"/>
        <v>-25.060255390911834</v>
      </c>
      <c r="AZ133" s="41">
        <f t="shared" si="36"/>
        <v>-25.042744036966212</v>
      </c>
    </row>
    <row r="134" spans="1:52" x14ac:dyDescent="0.2">
      <c r="A134" s="30">
        <v>403</v>
      </c>
      <c r="B134" s="31" t="s">
        <v>448</v>
      </c>
      <c r="C134" s="41">
        <v>-2784</v>
      </c>
      <c r="D134" s="41">
        <v>-1111</v>
      </c>
      <c r="E134" s="73">
        <v>-1507</v>
      </c>
      <c r="F134" s="73">
        <v>5395</v>
      </c>
      <c r="G134" s="73">
        <v>-2398</v>
      </c>
      <c r="H134" s="41">
        <v>-5629</v>
      </c>
      <c r="I134" s="165">
        <v>-1678.3443500000001</v>
      </c>
      <c r="J134" s="41">
        <v>-1581.6576499999999</v>
      </c>
      <c r="K134" s="41">
        <v>-588.56835999999998</v>
      </c>
      <c r="L134" s="41">
        <f>$L$5*'7.1. Nettoinvestointiennuste '!Y134</f>
        <v>-1874.3538280127386</v>
      </c>
      <c r="M134" s="41">
        <f>$M$5*'7.1. Nettoinvestointiennuste '!Y134</f>
        <v>-1954.6850506230119</v>
      </c>
      <c r="N134" s="41">
        <f>$N$5*'7.1. Nettoinvestointiennuste '!Y134</f>
        <v>-2023.674002800072</v>
      </c>
      <c r="O134" s="41">
        <f>O$5*'7.1. Nettoinvestointiennuste '!$Y134</f>
        <v>-2113.8815779615065</v>
      </c>
      <c r="P134" s="41">
        <f>P$5*'7.1. Nettoinvestointiennuste '!$Y134</f>
        <v>-2201.6408325244283</v>
      </c>
      <c r="T134" s="34">
        <v>403</v>
      </c>
      <c r="U134" s="88" t="s">
        <v>448</v>
      </c>
      <c r="V134" s="41">
        <f>C134/'1. Väestöennuste'!E134*1000</f>
        <v>-865.94090202177301</v>
      </c>
      <c r="W134" s="41">
        <f>D134/'1. Väestöennuste'!F134*1000</f>
        <v>-349.8110831234257</v>
      </c>
      <c r="X134" s="41">
        <f>E134/'1. Väestöennuste'!G134*1000</f>
        <v>-479.93630573248407</v>
      </c>
      <c r="Y134" s="41">
        <f>F134/'1. Väestöennuste'!H134*1000</f>
        <v>1752.7615334632878</v>
      </c>
      <c r="Z134" s="41">
        <f>G134/'1. Väestöennuste'!I134*1000</f>
        <v>-800.4005340453939</v>
      </c>
      <c r="AA134" s="41">
        <f>H134/'1. Väestöennuste'!J134*1000</f>
        <v>-1924.4444444444443</v>
      </c>
      <c r="AB134" s="41">
        <f>I134/'1. Väestöennuste'!K134*1000</f>
        <v>-585.60514654570829</v>
      </c>
      <c r="AC134" s="41">
        <f>J134/'1. Väestöennuste'!L134*1000</f>
        <v>-560.87150709219861</v>
      </c>
      <c r="AD134" s="41">
        <f>K134/'1. Väestöennuste'!M134*1000</f>
        <v>-211.03204015776265</v>
      </c>
      <c r="AE134" s="41">
        <f>L134/'1. Väestöennuste'!N134*1000</f>
        <v>-691.38835411757236</v>
      </c>
      <c r="AF134" s="41">
        <f>M134/'1. Väestöennuste'!O134*1000</f>
        <v>-733.74063461824767</v>
      </c>
      <c r="AG134" s="41">
        <f>N134/'1. Väestöennuste'!P134*1000</f>
        <v>-772.98472223073804</v>
      </c>
      <c r="AH134" s="41">
        <f>O134/'1. Väestöennuste'!Q134*1000</f>
        <v>-820.92488464524524</v>
      </c>
      <c r="AI134" s="41">
        <f>P134/'1. Väestöennuste'!R134*1000</f>
        <v>-870.21376779621676</v>
      </c>
      <c r="AK134" s="34">
        <v>403</v>
      </c>
      <c r="AL134" s="88" t="s">
        <v>448</v>
      </c>
      <c r="AM134" s="41"/>
      <c r="AN134" s="41">
        <f t="shared" si="26"/>
        <v>516.12981889834737</v>
      </c>
      <c r="AO134" s="41">
        <f t="shared" si="27"/>
        <v>-130.12522260905837</v>
      </c>
      <c r="AP134" s="41">
        <f t="shared" si="28"/>
        <v>2232.6978391957718</v>
      </c>
      <c r="AQ134" s="41">
        <f t="shared" si="29"/>
        <v>-2553.1620675086815</v>
      </c>
      <c r="AR134" s="41">
        <f t="shared" si="30"/>
        <v>-1124.0439103990504</v>
      </c>
      <c r="AS134" s="41">
        <f t="shared" si="31"/>
        <v>1338.839297898736</v>
      </c>
      <c r="AT134" s="41">
        <f t="shared" si="32"/>
        <v>24.733639453509682</v>
      </c>
      <c r="AU134" s="41">
        <f t="shared" si="33"/>
        <v>349.83946693443596</v>
      </c>
      <c r="AV134" s="41">
        <f t="shared" si="34"/>
        <v>-480.35631395980971</v>
      </c>
      <c r="AW134" s="41">
        <f t="shared" si="35"/>
        <v>-42.352280500675306</v>
      </c>
      <c r="AX134" s="41">
        <f t="shared" si="36"/>
        <v>-39.244087612490375</v>
      </c>
      <c r="AY134" s="41">
        <f t="shared" si="36"/>
        <v>-47.940162414507199</v>
      </c>
      <c r="AZ134" s="41">
        <f t="shared" si="36"/>
        <v>-49.288883150971515</v>
      </c>
    </row>
    <row r="135" spans="1:52" x14ac:dyDescent="0.2">
      <c r="A135" s="30">
        <v>405</v>
      </c>
      <c r="B135" s="31" t="s">
        <v>449</v>
      </c>
      <c r="C135" s="41">
        <v>-24237</v>
      </c>
      <c r="D135" s="41">
        <v>-16801</v>
      </c>
      <c r="E135" s="73">
        <v>-6437</v>
      </c>
      <c r="F135" s="73">
        <v>-18756</v>
      </c>
      <c r="G135" s="73">
        <v>-34837</v>
      </c>
      <c r="H135" s="41">
        <v>-40643</v>
      </c>
      <c r="I135" s="165">
        <v>-33687.957049999997</v>
      </c>
      <c r="J135" s="41">
        <v>-18557.605170000003</v>
      </c>
      <c r="K135" s="41">
        <v>-20361.993260000003</v>
      </c>
      <c r="L135" s="41">
        <f>$L$5*'7.1. Nettoinvestointiennuste '!Y135</f>
        <v>-44875.63881009278</v>
      </c>
      <c r="M135" s="41">
        <f>$M$5*'7.1. Nettoinvestointiennuste '!Y135</f>
        <v>-46798.922918544093</v>
      </c>
      <c r="N135" s="41">
        <f>$N$5*'7.1. Nettoinvestointiennuste '!Y135</f>
        <v>-48450.651238733735</v>
      </c>
      <c r="O135" s="41">
        <f>O$5*'7.1. Nettoinvestointiennuste '!$Y135</f>
        <v>-50610.394239430032</v>
      </c>
      <c r="P135" s="41">
        <f>P$5*'7.1. Nettoinvestointiennuste '!$Y135</f>
        <v>-52711.519731933317</v>
      </c>
      <c r="T135" s="34">
        <v>405</v>
      </c>
      <c r="U135" s="88" t="s">
        <v>449</v>
      </c>
      <c r="V135" s="41">
        <f>C135/'1. Väestöennuste'!E135*1000</f>
        <v>-332.58319039451118</v>
      </c>
      <c r="W135" s="41">
        <f>D135/'1. Väestöennuste'!F135*1000</f>
        <v>-230.5549456581403</v>
      </c>
      <c r="X135" s="41">
        <f>E135/'1. Väestöennuste'!G135*1000</f>
        <v>-88.288140010149633</v>
      </c>
      <c r="Y135" s="41">
        <f>F135/'1. Väestöennuste'!H135*1000</f>
        <v>-257.9952956711922</v>
      </c>
      <c r="Z135" s="41">
        <f>G135/'1. Väestöennuste'!I135*1000</f>
        <v>-479.62386761021008</v>
      </c>
      <c r="AA135" s="41">
        <f>H135/'1. Väestöennuste'!J135*1000</f>
        <v>-559.34326057636724</v>
      </c>
      <c r="AB135" s="41">
        <f>I135/'1. Väestöennuste'!K135*1000</f>
        <v>-463.80423837321359</v>
      </c>
      <c r="AC135" s="41">
        <f>J135/'1. Väestöennuste'!L135*1000</f>
        <v>-255.43847446662082</v>
      </c>
      <c r="AD135" s="41">
        <f>K135/'1. Väestöennuste'!M135*1000</f>
        <v>-278.97727379843269</v>
      </c>
      <c r="AE135" s="41">
        <f>L135/'1. Väestöennuste'!N135*1000</f>
        <v>-618.68418686537041</v>
      </c>
      <c r="AF135" s="41">
        <f>M135/'1. Väestöennuste'!O135*1000</f>
        <v>-645.80524547434788</v>
      </c>
      <c r="AG135" s="41">
        <f>N135/'1. Väestöennuste'!P135*1000</f>
        <v>-669.32807325533224</v>
      </c>
      <c r="AH135" s="41">
        <f>O135/'1. Väestöennuste'!Q135*1000</f>
        <v>-699.95704639278097</v>
      </c>
      <c r="AI135" s="41">
        <f>P135/'1. Väestöennuste'!R135*1000</f>
        <v>-729.90458938938639</v>
      </c>
      <c r="AK135" s="34">
        <v>405</v>
      </c>
      <c r="AL135" s="88" t="s">
        <v>449</v>
      </c>
      <c r="AM135" s="41"/>
      <c r="AN135" s="41">
        <f t="shared" si="26"/>
        <v>102.02824473637088</v>
      </c>
      <c r="AO135" s="41">
        <f t="shared" si="27"/>
        <v>142.26680564799068</v>
      </c>
      <c r="AP135" s="41">
        <f t="shared" si="28"/>
        <v>-169.70715566104258</v>
      </c>
      <c r="AQ135" s="41">
        <f t="shared" si="29"/>
        <v>-221.62857193901789</v>
      </c>
      <c r="AR135" s="41">
        <f t="shared" si="30"/>
        <v>-79.719392966157159</v>
      </c>
      <c r="AS135" s="41">
        <f t="shared" si="31"/>
        <v>95.53902220315365</v>
      </c>
      <c r="AT135" s="41">
        <f t="shared" si="32"/>
        <v>208.36576390659278</v>
      </c>
      <c r="AU135" s="41">
        <f t="shared" si="33"/>
        <v>-23.538799331811873</v>
      </c>
      <c r="AV135" s="41">
        <f t="shared" si="34"/>
        <v>-339.70691306693772</v>
      </c>
      <c r="AW135" s="41">
        <f t="shared" si="35"/>
        <v>-27.121058608977478</v>
      </c>
      <c r="AX135" s="41">
        <f t="shared" si="36"/>
        <v>-23.522827780984358</v>
      </c>
      <c r="AY135" s="41">
        <f t="shared" si="36"/>
        <v>-30.628973137448725</v>
      </c>
      <c r="AZ135" s="41">
        <f t="shared" si="36"/>
        <v>-29.947542996605421</v>
      </c>
    </row>
    <row r="136" spans="1:52" x14ac:dyDescent="0.2">
      <c r="A136" s="30">
        <v>407</v>
      </c>
      <c r="B136" s="31" t="s">
        <v>450</v>
      </c>
      <c r="C136" s="41">
        <v>-121</v>
      </c>
      <c r="D136" s="41">
        <v>-556</v>
      </c>
      <c r="E136" s="73">
        <v>-1141</v>
      </c>
      <c r="F136" s="73">
        <v>-859</v>
      </c>
      <c r="G136" s="73">
        <v>-511</v>
      </c>
      <c r="H136" s="41">
        <v>-347</v>
      </c>
      <c r="I136" s="165">
        <v>2947.68235</v>
      </c>
      <c r="J136" s="41">
        <v>-454.76979</v>
      </c>
      <c r="K136" s="41">
        <v>-602.20560999999998</v>
      </c>
      <c r="L136" s="41">
        <f>$L$5*'7.1. Nettoinvestointiennuste '!Y136</f>
        <v>-1239.2833390620933</v>
      </c>
      <c r="M136" s="41">
        <f>$M$5*'7.1. Nettoinvestointiennuste '!Y136</f>
        <v>-1292.3966543281601</v>
      </c>
      <c r="N136" s="41">
        <f>$N$5*'7.1. Nettoinvestointiennuste '!Y136</f>
        <v>-1338.0106988775981</v>
      </c>
      <c r="O136" s="41">
        <f>O$5*'7.1. Nettoinvestointiennuste '!$Y136</f>
        <v>-1397.6540507805223</v>
      </c>
      <c r="P136" s="41">
        <f>P$5*'7.1. Nettoinvestointiennuste '!$Y136</f>
        <v>-1455.678624584524</v>
      </c>
      <c r="T136" s="34">
        <v>407</v>
      </c>
      <c r="U136" s="88" t="s">
        <v>450</v>
      </c>
      <c r="V136" s="41">
        <f>C136/'1. Väestöennuste'!E136*1000</f>
        <v>-43.619322278298483</v>
      </c>
      <c r="W136" s="41">
        <f>D136/'1. Väestöennuste'!F136*1000</f>
        <v>-202.99379335523915</v>
      </c>
      <c r="X136" s="41">
        <f>E136/'1. Väestöennuste'!G136*1000</f>
        <v>-421.65558019216553</v>
      </c>
      <c r="Y136" s="41">
        <f>F136/'1. Väestöennuste'!H136*1000</f>
        <v>-322.32645403377109</v>
      </c>
      <c r="Z136" s="41">
        <f>G136/'1. Väestöennuste'!I136*1000</f>
        <v>-196.08595548733692</v>
      </c>
      <c r="AA136" s="41">
        <f>H136/'1. Väestöennuste'!J136*1000</f>
        <v>-132.39221671117892</v>
      </c>
      <c r="AB136" s="41">
        <f>I136/'1. Väestöennuste'!K136*1000</f>
        <v>1142.51253875969</v>
      </c>
      <c r="AC136" s="41">
        <f>J136/'1. Väestöennuste'!L136*1000</f>
        <v>-180.6075416997617</v>
      </c>
      <c r="AD136" s="41">
        <f>K136/'1. Väestöennuste'!M136*1000</f>
        <v>-245.89857492854225</v>
      </c>
      <c r="AE136" s="41">
        <f>L136/'1. Väestöennuste'!N136*1000</f>
        <v>-490.4168338195858</v>
      </c>
      <c r="AF136" s="41">
        <f>M136/'1. Väestöennuste'!O136*1000</f>
        <v>-515.30967078475283</v>
      </c>
      <c r="AG136" s="41">
        <f>N136/'1. Väestöennuste'!P136*1000</f>
        <v>-537.13797626559528</v>
      </c>
      <c r="AH136" s="41">
        <f>O136/'1. Väestöennuste'!Q136*1000</f>
        <v>-564.93696474556282</v>
      </c>
      <c r="AI136" s="41">
        <f>P136/'1. Väestöennuste'!R136*1000</f>
        <v>-592.22075857791867</v>
      </c>
      <c r="AK136" s="34">
        <v>407</v>
      </c>
      <c r="AL136" s="88" t="s">
        <v>450</v>
      </c>
      <c r="AM136" s="41"/>
      <c r="AN136" s="41">
        <f t="shared" si="26"/>
        <v>-159.37447107694067</v>
      </c>
      <c r="AO136" s="41">
        <f t="shared" si="27"/>
        <v>-218.66178683692638</v>
      </c>
      <c r="AP136" s="41">
        <f t="shared" si="28"/>
        <v>99.329126158394445</v>
      </c>
      <c r="AQ136" s="41">
        <f t="shared" si="29"/>
        <v>126.24049854643417</v>
      </c>
      <c r="AR136" s="41">
        <f t="shared" si="30"/>
        <v>63.693738776158</v>
      </c>
      <c r="AS136" s="41">
        <f t="shared" si="31"/>
        <v>1274.9047554708688</v>
      </c>
      <c r="AT136" s="41">
        <f t="shared" si="32"/>
        <v>-1323.1200804594516</v>
      </c>
      <c r="AU136" s="41">
        <f t="shared" si="33"/>
        <v>-65.291033228780549</v>
      </c>
      <c r="AV136" s="41">
        <f t="shared" si="34"/>
        <v>-244.51825889104356</v>
      </c>
      <c r="AW136" s="41">
        <f t="shared" si="35"/>
        <v>-24.892836965167021</v>
      </c>
      <c r="AX136" s="41">
        <f t="shared" si="36"/>
        <v>-21.828305480842459</v>
      </c>
      <c r="AY136" s="41">
        <f t="shared" si="36"/>
        <v>-27.798988479967534</v>
      </c>
      <c r="AZ136" s="41">
        <f t="shared" si="36"/>
        <v>-27.283793832355855</v>
      </c>
    </row>
    <row r="137" spans="1:52" x14ac:dyDescent="0.2">
      <c r="A137" s="30">
        <v>408</v>
      </c>
      <c r="B137" s="31" t="s">
        <v>451</v>
      </c>
      <c r="C137" s="41">
        <v>-6601</v>
      </c>
      <c r="D137" s="41">
        <v>-5689</v>
      </c>
      <c r="E137" s="73">
        <v>-8880</v>
      </c>
      <c r="F137" s="73">
        <v>-12757</v>
      </c>
      <c r="G137" s="73">
        <v>-17059</v>
      </c>
      <c r="H137" s="41">
        <v>-13253</v>
      </c>
      <c r="I137" s="165">
        <v>-6236.0023200000005</v>
      </c>
      <c r="J137" s="41">
        <v>-7934.4033200000003</v>
      </c>
      <c r="K137" s="41">
        <v>-6645.98614</v>
      </c>
      <c r="L137" s="41">
        <f>$L$5*'7.1. Nettoinvestointiennuste '!Y137</f>
        <v>-8590.3714663396549</v>
      </c>
      <c r="M137" s="41">
        <f>$M$5*'7.1. Nettoinvestointiennuste '!Y137</f>
        <v>-8958.5383685830348</v>
      </c>
      <c r="N137" s="41">
        <f>$N$5*'7.1. Nettoinvestointiennuste '!Y137</f>
        <v>-9274.7223875325562</v>
      </c>
      <c r="O137" s="41">
        <f>O$5*'7.1. Nettoinvestointiennuste '!$Y137</f>
        <v>-9688.1537088408022</v>
      </c>
      <c r="P137" s="41">
        <f>P$5*'7.1. Nettoinvestointiennuste '!$Y137</f>
        <v>-10090.364105318537</v>
      </c>
      <c r="T137" s="34">
        <v>408</v>
      </c>
      <c r="U137" s="88" t="s">
        <v>451</v>
      </c>
      <c r="V137" s="41">
        <f>C137/'1. Väestöennuste'!E137*1000</f>
        <v>-451.84475323430763</v>
      </c>
      <c r="W137" s="41">
        <f>D137/'1. Väestöennuste'!F137*1000</f>
        <v>-390.32590051457976</v>
      </c>
      <c r="X137" s="41">
        <f>E137/'1. Väestöennuste'!G137*1000</f>
        <v>-612.66731061128746</v>
      </c>
      <c r="Y137" s="41">
        <f>F137/'1. Väestöennuste'!H137*1000</f>
        <v>-884.2448187426354</v>
      </c>
      <c r="Z137" s="41">
        <f>G137/'1. Väestöennuste'!I137*1000</f>
        <v>-1194.7751785964419</v>
      </c>
      <c r="AA137" s="41">
        <f>H137/'1. Väestöennuste'!J137*1000</f>
        <v>-931.93165037620417</v>
      </c>
      <c r="AB137" s="41">
        <f>I137/'1. Väestöennuste'!K137*1000</f>
        <v>-439.06233330986419</v>
      </c>
      <c r="AC137" s="41">
        <f>J137/'1. Väestöennuste'!L137*1000</f>
        <v>-562.76355202496632</v>
      </c>
      <c r="AD137" s="41">
        <f>K137/'1. Väestöennuste'!M137*1000</f>
        <v>-473.90089418140332</v>
      </c>
      <c r="AE137" s="41">
        <f>L137/'1. Väestöennuste'!N137*1000</f>
        <v>-618.99203533215552</v>
      </c>
      <c r="AF137" s="41">
        <f>M137/'1. Väestöennuste'!O137*1000</f>
        <v>-649.78156006259769</v>
      </c>
      <c r="AG137" s="41">
        <f>N137/'1. Väestöennuste'!P137*1000</f>
        <v>-676.98703558631803</v>
      </c>
      <c r="AH137" s="41">
        <f>O137/'1. Väestöennuste'!Q137*1000</f>
        <v>-711.94545185485026</v>
      </c>
      <c r="AI137" s="41">
        <f>P137/'1. Väestöennuste'!R137*1000</f>
        <v>-746.43912600373835</v>
      </c>
      <c r="AK137" s="34">
        <v>408</v>
      </c>
      <c r="AL137" s="88" t="s">
        <v>451</v>
      </c>
      <c r="AM137" s="41"/>
      <c r="AN137" s="41">
        <f t="shared" si="26"/>
        <v>61.518852719727875</v>
      </c>
      <c r="AO137" s="41">
        <f t="shared" si="27"/>
        <v>-222.3414100967077</v>
      </c>
      <c r="AP137" s="41">
        <f t="shared" si="28"/>
        <v>-271.57750813134794</v>
      </c>
      <c r="AQ137" s="41">
        <f t="shared" si="29"/>
        <v>-310.53035985380654</v>
      </c>
      <c r="AR137" s="41">
        <f t="shared" si="30"/>
        <v>262.84352822023777</v>
      </c>
      <c r="AS137" s="41">
        <f t="shared" si="31"/>
        <v>492.86931706633999</v>
      </c>
      <c r="AT137" s="41">
        <f t="shared" si="32"/>
        <v>-123.70121871510213</v>
      </c>
      <c r="AU137" s="41">
        <f t="shared" si="33"/>
        <v>88.862657843562999</v>
      </c>
      <c r="AV137" s="41">
        <f t="shared" si="34"/>
        <v>-145.09114115075221</v>
      </c>
      <c r="AW137" s="41">
        <f t="shared" si="35"/>
        <v>-30.789524730442167</v>
      </c>
      <c r="AX137" s="41">
        <f t="shared" si="36"/>
        <v>-27.205475523720338</v>
      </c>
      <c r="AY137" s="41">
        <f t="shared" si="36"/>
        <v>-34.958416268532233</v>
      </c>
      <c r="AZ137" s="41">
        <f t="shared" si="36"/>
        <v>-34.49367414888809</v>
      </c>
    </row>
    <row r="138" spans="1:52" x14ac:dyDescent="0.2">
      <c r="A138" s="30">
        <v>410</v>
      </c>
      <c r="B138" s="31" t="s">
        <v>452</v>
      </c>
      <c r="C138" s="41">
        <v>-16820</v>
      </c>
      <c r="D138" s="41">
        <v>-12094</v>
      </c>
      <c r="E138" s="73">
        <v>-13326</v>
      </c>
      <c r="F138" s="73">
        <v>-6304</v>
      </c>
      <c r="G138" s="73">
        <v>-5035</v>
      </c>
      <c r="H138" s="41">
        <v>-14273</v>
      </c>
      <c r="I138" s="165">
        <v>-15747.305279999999</v>
      </c>
      <c r="J138" s="41">
        <v>-8678.9785700000011</v>
      </c>
      <c r="K138" s="41">
        <v>-4392.0677400000004</v>
      </c>
      <c r="L138" s="41">
        <f>$L$5*'7.1. Nettoinvestointiennuste '!Y138</f>
        <v>-8311.3632809557166</v>
      </c>
      <c r="M138" s="41">
        <f>$M$5*'7.1. Nettoinvestointiennuste '!Y138</f>
        <v>-8667.572425642762</v>
      </c>
      <c r="N138" s="41">
        <f>$N$5*'7.1. Nettoinvestointiennuste '!Y138</f>
        <v>-8973.487048243107</v>
      </c>
      <c r="O138" s="41">
        <f>O$5*'7.1. Nettoinvestointiennuste '!$Y138</f>
        <v>-9373.4904609689256</v>
      </c>
      <c r="P138" s="41">
        <f>P$5*'7.1. Nettoinvestointiennuste '!$Y138</f>
        <v>-9762.6373952548875</v>
      </c>
      <c r="T138" s="34">
        <v>410</v>
      </c>
      <c r="U138" s="88" t="s">
        <v>452</v>
      </c>
      <c r="V138" s="41">
        <f>C138/'1. Väestöennuste'!E138*1000</f>
        <v>-891.59819772064679</v>
      </c>
      <c r="W138" s="41">
        <f>D138/'1. Väestöennuste'!F138*1000</f>
        <v>-637.53294675803897</v>
      </c>
      <c r="X138" s="41">
        <f>E138/'1. Väestöennuste'!G138*1000</f>
        <v>-702.18147328485611</v>
      </c>
      <c r="Y138" s="41">
        <f>F138/'1. Väestöennuste'!H138*1000</f>
        <v>-333.06916045860413</v>
      </c>
      <c r="Z138" s="41">
        <f>G138/'1. Väestöennuste'!I138*1000</f>
        <v>-266.35983706290006</v>
      </c>
      <c r="AA138" s="41">
        <f>H138/'1. Väestöennuste'!J138*1000</f>
        <v>-758.27445146894752</v>
      </c>
      <c r="AB138" s="41">
        <f>I138/'1. Väestöennuste'!K138*1000</f>
        <v>-838.1576154992548</v>
      </c>
      <c r="AC138" s="41">
        <f>J138/'1. Väestöennuste'!L138*1000</f>
        <v>-462.2625070572571</v>
      </c>
      <c r="AD138" s="41">
        <f>K138/'1. Väestöennuste'!M138*1000</f>
        <v>-234.09379277262553</v>
      </c>
      <c r="AE138" s="41">
        <f>L138/'1. Väestöennuste'!N138*1000</f>
        <v>-443.34364330056633</v>
      </c>
      <c r="AF138" s="41">
        <f>M138/'1. Väestöennuste'!O138*1000</f>
        <v>-463.18454687344422</v>
      </c>
      <c r="AG138" s="41">
        <f>N138/'1. Väestöennuste'!P138*1000</f>
        <v>-480.5337393297155</v>
      </c>
      <c r="AH138" s="41">
        <f>O138/'1. Väestöennuste'!Q138*1000</f>
        <v>-503.03157995969337</v>
      </c>
      <c r="AI138" s="41">
        <f>P138/'1. Väestöennuste'!R138*1000</f>
        <v>-525.15531980929995</v>
      </c>
      <c r="AK138" s="34">
        <v>410</v>
      </c>
      <c r="AL138" s="88" t="s">
        <v>452</v>
      </c>
      <c r="AM138" s="41"/>
      <c r="AN138" s="41">
        <f t="shared" si="26"/>
        <v>254.06525096260782</v>
      </c>
      <c r="AO138" s="41">
        <f t="shared" si="27"/>
        <v>-64.648526526817136</v>
      </c>
      <c r="AP138" s="41">
        <f t="shared" si="28"/>
        <v>369.11231282625198</v>
      </c>
      <c r="AQ138" s="41">
        <f t="shared" si="29"/>
        <v>66.709323395704075</v>
      </c>
      <c r="AR138" s="41">
        <f t="shared" si="30"/>
        <v>-491.91461440604746</v>
      </c>
      <c r="AS138" s="41">
        <f t="shared" si="31"/>
        <v>-79.883164030307285</v>
      </c>
      <c r="AT138" s="41">
        <f t="shared" si="32"/>
        <v>375.89510844199771</v>
      </c>
      <c r="AU138" s="41">
        <f t="shared" si="33"/>
        <v>228.16871428463156</v>
      </c>
      <c r="AV138" s="41">
        <f t="shared" si="34"/>
        <v>-209.24985052794079</v>
      </c>
      <c r="AW138" s="41">
        <f t="shared" si="35"/>
        <v>-19.840903572877892</v>
      </c>
      <c r="AX138" s="41">
        <f t="shared" si="36"/>
        <v>-17.349192456271282</v>
      </c>
      <c r="AY138" s="41">
        <f t="shared" si="36"/>
        <v>-22.497840629977873</v>
      </c>
      <c r="AZ138" s="41">
        <f t="shared" si="36"/>
        <v>-22.123739849606579</v>
      </c>
    </row>
    <row r="139" spans="1:52" x14ac:dyDescent="0.2">
      <c r="A139" s="30">
        <v>416</v>
      </c>
      <c r="B139" s="31" t="s">
        <v>453</v>
      </c>
      <c r="C139" s="41">
        <v>-648</v>
      </c>
      <c r="D139" s="41">
        <v>-1031</v>
      </c>
      <c r="E139" s="73">
        <v>-1086</v>
      </c>
      <c r="F139" s="73">
        <v>-1216</v>
      </c>
      <c r="G139" s="73">
        <v>-207</v>
      </c>
      <c r="H139" s="41">
        <v>-83</v>
      </c>
      <c r="I139" s="165">
        <v>-438.42723000000001</v>
      </c>
      <c r="J139" s="41">
        <v>-939.78078000000005</v>
      </c>
      <c r="K139" s="41">
        <v>-153.47092000000001</v>
      </c>
      <c r="L139" s="41">
        <f>$L$5*'7.1. Nettoinvestointiennuste '!Y139</f>
        <v>-338.39478175950774</v>
      </c>
      <c r="M139" s="41">
        <f>$M$5*'7.1. Nettoinvestointiennuste '!Y139</f>
        <v>-352.89773533071207</v>
      </c>
      <c r="N139" s="41">
        <f>$N$5*'7.1. Nettoinvestointiennuste '!Y139</f>
        <v>-365.35296180229307</v>
      </c>
      <c r="O139" s="41">
        <f>O$5*'7.1. Nettoinvestointiennuste '!$Y139</f>
        <v>-381.63898648642248</v>
      </c>
      <c r="P139" s="41">
        <f>P$5*'7.1. Nettoinvestointiennuste '!$Y139</f>
        <v>-397.48299275213554</v>
      </c>
      <c r="T139" s="34">
        <v>416</v>
      </c>
      <c r="U139" s="88" t="s">
        <v>453</v>
      </c>
      <c r="V139" s="41">
        <f>C139/'1. Väestöennuste'!E139*1000</f>
        <v>-210.86885779368694</v>
      </c>
      <c r="W139" s="41">
        <f>D139/'1. Väestöennuste'!F139*1000</f>
        <v>-335.17555266579973</v>
      </c>
      <c r="X139" s="41">
        <f>E139/'1. Väestöennuste'!G139*1000</f>
        <v>-354.55435847208622</v>
      </c>
      <c r="Y139" s="41">
        <f>F139/'1. Väestöennuste'!H139*1000</f>
        <v>-399.6056523167926</v>
      </c>
      <c r="Z139" s="41">
        <f>G139/'1. Väestöennuste'!I139*1000</f>
        <v>-69.673510602490751</v>
      </c>
      <c r="AA139" s="41">
        <f>H139/'1. Väestöennuste'!J139*1000</f>
        <v>-28.002699055330634</v>
      </c>
      <c r="AB139" s="41">
        <f>I139/'1. Väestöennuste'!K139*1000</f>
        <v>-150.3007302022626</v>
      </c>
      <c r="AC139" s="41">
        <f>J139/'1. Väestöennuste'!L139*1000</f>
        <v>-325.63436590436589</v>
      </c>
      <c r="AD139" s="41">
        <f>K139/'1. Väestöennuste'!M139*1000</f>
        <v>-53.62366177498253</v>
      </c>
      <c r="AE139" s="41">
        <f>L139/'1. Väestöennuste'!N139*1000</f>
        <v>-117.33522252410116</v>
      </c>
      <c r="AF139" s="41">
        <f>M139/'1. Väestöennuste'!O139*1000</f>
        <v>-123.13249662620798</v>
      </c>
      <c r="AG139" s="41">
        <f>N139/'1. Väestöennuste'!P139*1000</f>
        <v>-128.37419599518378</v>
      </c>
      <c r="AH139" s="41">
        <f>O139/'1. Väestöennuste'!Q139*1000</f>
        <v>-135.14128416658019</v>
      </c>
      <c r="AI139" s="41">
        <f>P139/'1. Väestöennuste'!R139*1000</f>
        <v>-141.85688535051233</v>
      </c>
      <c r="AK139" s="34">
        <v>416</v>
      </c>
      <c r="AL139" s="88" t="s">
        <v>453</v>
      </c>
      <c r="AM139" s="41"/>
      <c r="AN139" s="41">
        <f t="shared" si="26"/>
        <v>-124.30669487211279</v>
      </c>
      <c r="AO139" s="41">
        <f t="shared" si="27"/>
        <v>-19.378805806286493</v>
      </c>
      <c r="AP139" s="41">
        <f t="shared" si="28"/>
        <v>-45.051293844706379</v>
      </c>
      <c r="AQ139" s="41">
        <f t="shared" si="29"/>
        <v>329.93214171430185</v>
      </c>
      <c r="AR139" s="41">
        <f t="shared" si="30"/>
        <v>41.670811547160113</v>
      </c>
      <c r="AS139" s="41">
        <f t="shared" si="31"/>
        <v>-122.29803114693196</v>
      </c>
      <c r="AT139" s="41">
        <f t="shared" si="32"/>
        <v>-175.33363570210329</v>
      </c>
      <c r="AU139" s="41">
        <f t="shared" si="33"/>
        <v>272.01070412938338</v>
      </c>
      <c r="AV139" s="41">
        <f t="shared" si="34"/>
        <v>-63.711560749118625</v>
      </c>
      <c r="AW139" s="41">
        <f t="shared" si="35"/>
        <v>-5.7972741021068259</v>
      </c>
      <c r="AX139" s="41">
        <f t="shared" si="36"/>
        <v>-5.2416993689758016</v>
      </c>
      <c r="AY139" s="41">
        <f t="shared" si="36"/>
        <v>-6.7670881713964093</v>
      </c>
      <c r="AZ139" s="41">
        <f t="shared" si="36"/>
        <v>-6.7156011839321366</v>
      </c>
    </row>
    <row r="140" spans="1:52" x14ac:dyDescent="0.2">
      <c r="A140" s="30">
        <v>418</v>
      </c>
      <c r="B140" s="31" t="s">
        <v>454</v>
      </c>
      <c r="C140" s="41">
        <v>-16666</v>
      </c>
      <c r="D140" s="41">
        <v>-5923</v>
      </c>
      <c r="E140" s="73">
        <v>-6531</v>
      </c>
      <c r="F140" s="73">
        <v>-14413</v>
      </c>
      <c r="G140" s="73">
        <v>21253</v>
      </c>
      <c r="H140" s="41">
        <v>-11645</v>
      </c>
      <c r="I140" s="165">
        <v>-5065.8273899999995</v>
      </c>
      <c r="J140" s="41">
        <v>-9104.5832300000002</v>
      </c>
      <c r="K140" s="41">
        <v>-16115.27103</v>
      </c>
      <c r="L140" s="41">
        <f>$L$5*'7.1. Nettoinvestointiennuste '!Y140</f>
        <v>-14571.090713895974</v>
      </c>
      <c r="M140" s="41">
        <f>$M$5*'7.1. Nettoinvestointiennuste '!Y140</f>
        <v>-15195.579812122154</v>
      </c>
      <c r="N140" s="41">
        <f>$N$5*'7.1. Nettoinvestointiennuste '!Y140</f>
        <v>-15731.894922644469</v>
      </c>
      <c r="O140" s="41">
        <f>O$5*'7.1. Nettoinvestointiennuste '!$Y140</f>
        <v>-16433.16206928105</v>
      </c>
      <c r="P140" s="41">
        <f>P$5*'7.1. Nettoinvestointiennuste '!$Y140</f>
        <v>-17115.396149159129</v>
      </c>
      <c r="T140" s="34">
        <v>418</v>
      </c>
      <c r="U140" s="88" t="s">
        <v>454</v>
      </c>
      <c r="V140" s="41">
        <f>C140/'1. Väestöennuste'!E140*1000</f>
        <v>-739.52786652467159</v>
      </c>
      <c r="W140" s="41">
        <f>D140/'1. Väestöennuste'!F140*1000</f>
        <v>-260.40888107276322</v>
      </c>
      <c r="X140" s="41">
        <f>E140/'1. Väestöennuste'!G140*1000</f>
        <v>-286.08349029742868</v>
      </c>
      <c r="Y140" s="41">
        <f>F140/'1. Väestöennuste'!H140*1000</f>
        <v>-621.08937343790399</v>
      </c>
      <c r="Z140" s="41">
        <f>G140/'1. Väestöennuste'!I140*1000</f>
        <v>903.49870339667564</v>
      </c>
      <c r="AA140" s="41">
        <f>H140/'1. Väestöennuste'!J140*1000</f>
        <v>-488.71076044989087</v>
      </c>
      <c r="AB140" s="41">
        <f>I140/'1. Väestöennuste'!K140*1000</f>
        <v>-209.64357680847539</v>
      </c>
      <c r="AC140" s="41">
        <f>J140/'1. Väestöennuste'!L140*1000</f>
        <v>-370.40615256305944</v>
      </c>
      <c r="AD140" s="41">
        <f>K140/'1. Väestöennuste'!M140*1000</f>
        <v>-652.14969163530407</v>
      </c>
      <c r="AE140" s="41">
        <f>L140/'1. Väestöennuste'!N140*1000</f>
        <v>-590.32900027938149</v>
      </c>
      <c r="AF140" s="41">
        <f>M140/'1. Väestöennuste'!O140*1000</f>
        <v>-611.34453701811049</v>
      </c>
      <c r="AG140" s="41">
        <f>N140/'1. Väestöennuste'!P140*1000</f>
        <v>-628.89845783108012</v>
      </c>
      <c r="AH140" s="41">
        <f>O140/'1. Väestöennuste'!Q140*1000</f>
        <v>-653.22423457809168</v>
      </c>
      <c r="AI140" s="41">
        <f>P140/'1. Väestöennuste'!R140*1000</f>
        <v>-676.79212895563796</v>
      </c>
      <c r="AK140" s="34">
        <v>418</v>
      </c>
      <c r="AL140" s="88" t="s">
        <v>454</v>
      </c>
      <c r="AM140" s="41"/>
      <c r="AN140" s="41">
        <f t="shared" si="26"/>
        <v>479.11898545190837</v>
      </c>
      <c r="AO140" s="41">
        <f t="shared" si="27"/>
        <v>-25.67460922466546</v>
      </c>
      <c r="AP140" s="41">
        <f t="shared" si="28"/>
        <v>-335.00588314047531</v>
      </c>
      <c r="AQ140" s="41">
        <f t="shared" si="29"/>
        <v>1524.5880768345796</v>
      </c>
      <c r="AR140" s="41">
        <f t="shared" si="30"/>
        <v>-1392.2094638465665</v>
      </c>
      <c r="AS140" s="41">
        <f t="shared" si="31"/>
        <v>279.06718364141545</v>
      </c>
      <c r="AT140" s="41">
        <f t="shared" si="32"/>
        <v>-160.76257575458405</v>
      </c>
      <c r="AU140" s="41">
        <f t="shared" si="33"/>
        <v>-281.74353907224463</v>
      </c>
      <c r="AV140" s="41">
        <f t="shared" si="34"/>
        <v>61.820691355922577</v>
      </c>
      <c r="AW140" s="41">
        <f t="shared" si="35"/>
        <v>-21.015536738728997</v>
      </c>
      <c r="AX140" s="41">
        <f t="shared" si="36"/>
        <v>-17.553920812969636</v>
      </c>
      <c r="AY140" s="41">
        <f t="shared" si="36"/>
        <v>-24.32577674701156</v>
      </c>
      <c r="AZ140" s="41">
        <f t="shared" si="36"/>
        <v>-23.567894377546281</v>
      </c>
    </row>
    <row r="141" spans="1:52" x14ac:dyDescent="0.2">
      <c r="A141" s="30">
        <v>420</v>
      </c>
      <c r="B141" s="31" t="s">
        <v>455</v>
      </c>
      <c r="C141" s="41">
        <v>-2634</v>
      </c>
      <c r="D141" s="41">
        <v>-2806</v>
      </c>
      <c r="E141" s="73">
        <v>-8506</v>
      </c>
      <c r="F141" s="73">
        <v>-6055</v>
      </c>
      <c r="G141" s="73">
        <v>-3227</v>
      </c>
      <c r="H141" s="41">
        <v>-2281</v>
      </c>
      <c r="I141" s="165">
        <v>-1709.5101299999999</v>
      </c>
      <c r="J141" s="41">
        <v>-975.20729000000006</v>
      </c>
      <c r="K141" s="41">
        <v>-1868.9251999999999</v>
      </c>
      <c r="L141" s="41">
        <f>$L$5*'7.1. Nettoinvestointiennuste '!Y141</f>
        <v>-4362.7070750369194</v>
      </c>
      <c r="M141" s="41">
        <f>$M$5*'7.1. Nettoinvestointiennuste '!Y141</f>
        <v>-4549.6843618172807</v>
      </c>
      <c r="N141" s="41">
        <f>$N$5*'7.1. Nettoinvestointiennuste '!Y141</f>
        <v>-4710.2616153027402</v>
      </c>
      <c r="O141" s="41">
        <f>O$5*'7.1. Nettoinvestointiennuste '!$Y141</f>
        <v>-4920.2268953352568</v>
      </c>
      <c r="P141" s="41">
        <f>P$5*'7.1. Nettoinvestointiennuste '!$Y141</f>
        <v>-5124.4935151482068</v>
      </c>
      <c r="T141" s="34">
        <v>420</v>
      </c>
      <c r="U141" s="88" t="s">
        <v>455</v>
      </c>
      <c r="V141" s="41">
        <f>C141/'1. Väestöennuste'!E141*1000</f>
        <v>-264.64382598211597</v>
      </c>
      <c r="W141" s="41">
        <f>D141/'1. Väestöennuste'!F141*1000</f>
        <v>-284.43993917891538</v>
      </c>
      <c r="X141" s="41">
        <f>E141/'1. Väestöennuste'!G141*1000</f>
        <v>-869.55632794929465</v>
      </c>
      <c r="Y141" s="41">
        <f>F141/'1. Väestöennuste'!H141*1000</f>
        <v>-627.46113989637308</v>
      </c>
      <c r="Z141" s="41">
        <f>G141/'1. Väestöennuste'!I141*1000</f>
        <v>-341.33700021155067</v>
      </c>
      <c r="AA141" s="41">
        <f>H141/'1. Väestöennuste'!J141*1000</f>
        <v>-242.60795575409489</v>
      </c>
      <c r="AB141" s="41">
        <f>I141/'1. Väestöennuste'!K141*1000</f>
        <v>-184.21445366379311</v>
      </c>
      <c r="AC141" s="41">
        <f>J141/'1. Väestöennuste'!L141*1000</f>
        <v>-106.26645853764848</v>
      </c>
      <c r="AD141" s="41">
        <f>K141/'1. Väestöennuste'!M141*1000</f>
        <v>-206.5338932478727</v>
      </c>
      <c r="AE141" s="41">
        <f>L141/'1. Väestöennuste'!N141*1000</f>
        <v>-485.39242045359583</v>
      </c>
      <c r="AF141" s="41">
        <f>M141/'1. Väestöennuste'!O141*1000</f>
        <v>-511.71795768949278</v>
      </c>
      <c r="AG141" s="41">
        <f>N141/'1. Väestöennuste'!P141*1000</f>
        <v>-535.56129793095397</v>
      </c>
      <c r="AH141" s="41">
        <f>O141/'1. Väestöennuste'!Q141*1000</f>
        <v>-565.34837358787286</v>
      </c>
      <c r="AI141" s="41">
        <f>P141/'1. Väestöennuste'!R141*1000</f>
        <v>-595.11015156755388</v>
      </c>
      <c r="AK141" s="34">
        <v>420</v>
      </c>
      <c r="AL141" s="88" t="s">
        <v>455</v>
      </c>
      <c r="AM141" s="41"/>
      <c r="AN141" s="41">
        <f t="shared" si="26"/>
        <v>-19.796113196799411</v>
      </c>
      <c r="AO141" s="41">
        <f t="shared" si="27"/>
        <v>-585.11638877037922</v>
      </c>
      <c r="AP141" s="41">
        <f t="shared" si="28"/>
        <v>242.09518805292157</v>
      </c>
      <c r="AQ141" s="41">
        <f t="shared" si="29"/>
        <v>286.12413968482241</v>
      </c>
      <c r="AR141" s="41">
        <f t="shared" si="30"/>
        <v>98.729044457455785</v>
      </c>
      <c r="AS141" s="41">
        <f t="shared" si="31"/>
        <v>58.39350209030178</v>
      </c>
      <c r="AT141" s="41">
        <f t="shared" si="32"/>
        <v>77.947995126144633</v>
      </c>
      <c r="AU141" s="41">
        <f t="shared" si="33"/>
        <v>-100.26743471022422</v>
      </c>
      <c r="AV141" s="41">
        <f t="shared" si="34"/>
        <v>-278.85852720572314</v>
      </c>
      <c r="AW141" s="41">
        <f t="shared" si="35"/>
        <v>-26.325537235896945</v>
      </c>
      <c r="AX141" s="41">
        <f t="shared" si="36"/>
        <v>-23.843340241461192</v>
      </c>
      <c r="AY141" s="41">
        <f t="shared" si="36"/>
        <v>-29.787075656918887</v>
      </c>
      <c r="AZ141" s="41">
        <f t="shared" si="36"/>
        <v>-29.761777979681028</v>
      </c>
    </row>
    <row r="142" spans="1:52" x14ac:dyDescent="0.2">
      <c r="A142" s="30">
        <v>421</v>
      </c>
      <c r="B142" s="31" t="s">
        <v>456</v>
      </c>
      <c r="C142" s="41">
        <v>-43</v>
      </c>
      <c r="D142" s="41">
        <v>-666</v>
      </c>
      <c r="E142" s="73">
        <v>-235</v>
      </c>
      <c r="F142" s="73">
        <v>-300</v>
      </c>
      <c r="G142" s="73">
        <v>-418</v>
      </c>
      <c r="H142" s="41">
        <v>-4131</v>
      </c>
      <c r="I142" s="165">
        <v>-1895.3101899999999</v>
      </c>
      <c r="J142" s="41">
        <v>-782.53129000000001</v>
      </c>
      <c r="K142" s="41">
        <v>0</v>
      </c>
      <c r="L142" s="41">
        <f>$L$5*'7.1. Nettoinvestointiennuste '!Y142</f>
        <v>-1147.4544476758028</v>
      </c>
      <c r="M142" s="41">
        <f>$M$5*'7.1. Nettoinvestointiennuste '!Y142</f>
        <v>-1196.6321521699015</v>
      </c>
      <c r="N142" s="41">
        <f>$N$5*'7.1. Nettoinvestointiennuste '!Y142</f>
        <v>-1238.8662697804441</v>
      </c>
      <c r="O142" s="41">
        <f>O$5*'7.1. Nettoinvestointiennuste '!$Y142</f>
        <v>-1294.0901457562952</v>
      </c>
      <c r="P142" s="41">
        <f>P$5*'7.1. Nettoinvestointiennuste '!$Y142</f>
        <v>-1347.8151924726367</v>
      </c>
      <c r="T142" s="34">
        <v>421</v>
      </c>
      <c r="U142" s="88" t="s">
        <v>456</v>
      </c>
      <c r="V142" s="41">
        <f>C142/'1. Väestöennuste'!E142*1000</f>
        <v>-53.884711779448615</v>
      </c>
      <c r="W142" s="41">
        <f>D142/'1. Väestöennuste'!F142*1000</f>
        <v>-821.20838471023433</v>
      </c>
      <c r="X142" s="41">
        <f>E142/'1. Väestöennuste'!G142*1000</f>
        <v>-297.84537389100126</v>
      </c>
      <c r="Y142" s="41">
        <f>F142/'1. Väestöennuste'!H142*1000</f>
        <v>-407.05563093622794</v>
      </c>
      <c r="Z142" s="41">
        <f>G142/'1. Väestöennuste'!I142*1000</f>
        <v>-581.36300417246173</v>
      </c>
      <c r="AA142" s="41">
        <f>H142/'1. Väestöennuste'!J142*1000</f>
        <v>-5721.6066481994458</v>
      </c>
      <c r="AB142" s="41">
        <f>I142/'1. Väestöennuste'!K142*1000</f>
        <v>-2636.0364255910986</v>
      </c>
      <c r="AC142" s="41">
        <f>J142/'1. Väestöennuste'!L142*1000</f>
        <v>-1125.9443021582733</v>
      </c>
      <c r="AD142" s="41">
        <f>K142/'1. Väestöennuste'!M142*1000</f>
        <v>0</v>
      </c>
      <c r="AE142" s="41">
        <f>L142/'1. Väestöennuste'!N142*1000</f>
        <v>-1692.4106897873198</v>
      </c>
      <c r="AF142" s="41">
        <f>M142/'1. Väestöennuste'!O142*1000</f>
        <v>-1788.6878208817661</v>
      </c>
      <c r="AG142" s="41">
        <f>N142/'1. Väestöennuste'!P142*1000</f>
        <v>-1877.0701057279455</v>
      </c>
      <c r="AH142" s="41">
        <f>O142/'1. Väestöennuste'!Q142*1000</f>
        <v>-1978.7311097191059</v>
      </c>
      <c r="AI142" s="41">
        <f>P142/'1. Väestöennuste'!R142*1000</f>
        <v>-2083.1764953209226</v>
      </c>
      <c r="AK142" s="34">
        <v>421</v>
      </c>
      <c r="AL142" s="88" t="s">
        <v>456</v>
      </c>
      <c r="AM142" s="41"/>
      <c r="AN142" s="41">
        <f t="shared" si="26"/>
        <v>-767.32367293078573</v>
      </c>
      <c r="AO142" s="41">
        <f t="shared" si="27"/>
        <v>523.36301081923307</v>
      </c>
      <c r="AP142" s="41">
        <f t="shared" si="28"/>
        <v>-109.21025704522668</v>
      </c>
      <c r="AQ142" s="41">
        <f t="shared" si="29"/>
        <v>-174.30737323623379</v>
      </c>
      <c r="AR142" s="41">
        <f t="shared" si="30"/>
        <v>-5140.2436440269839</v>
      </c>
      <c r="AS142" s="41">
        <f t="shared" si="31"/>
        <v>3085.5702226083472</v>
      </c>
      <c r="AT142" s="41">
        <f t="shared" si="32"/>
        <v>1510.0921234328252</v>
      </c>
      <c r="AU142" s="41">
        <f t="shared" si="33"/>
        <v>1125.9443021582733</v>
      </c>
      <c r="AV142" s="41">
        <f t="shared" si="34"/>
        <v>-1692.4106897873198</v>
      </c>
      <c r="AW142" s="41">
        <f t="shared" si="35"/>
        <v>-96.277131094446304</v>
      </c>
      <c r="AX142" s="41">
        <f t="shared" si="36"/>
        <v>-88.382284846179346</v>
      </c>
      <c r="AY142" s="41">
        <f t="shared" si="36"/>
        <v>-101.66100399116044</v>
      </c>
      <c r="AZ142" s="41">
        <f t="shared" si="36"/>
        <v>-104.44538560181672</v>
      </c>
    </row>
    <row r="143" spans="1:52" x14ac:dyDescent="0.2">
      <c r="A143" s="30">
        <v>422</v>
      </c>
      <c r="B143" s="31" t="s">
        <v>457</v>
      </c>
      <c r="C143" s="41">
        <v>-2868</v>
      </c>
      <c r="D143" s="41">
        <v>-1874</v>
      </c>
      <c r="E143" s="73">
        <v>-2241</v>
      </c>
      <c r="F143" s="73">
        <v>-2173</v>
      </c>
      <c r="G143" s="73">
        <v>-4263</v>
      </c>
      <c r="H143" s="41">
        <v>-9705</v>
      </c>
      <c r="I143" s="165">
        <v>-2515.7077599999998</v>
      </c>
      <c r="J143" s="41">
        <v>-3573.7719999999999</v>
      </c>
      <c r="K143" s="41">
        <v>-3980.7509500000001</v>
      </c>
      <c r="L143" s="41">
        <f>$L$5*'7.1. Nettoinvestointiennuste '!Y143</f>
        <v>-5680.375735974586</v>
      </c>
      <c r="M143" s="41">
        <f>$M$5*'7.1. Nettoinvestointiennuste '!Y143</f>
        <v>-5923.8257830984885</v>
      </c>
      <c r="N143" s="41">
        <f>$N$5*'7.1. Nettoinvestointiennuste '!Y143</f>
        <v>-6132.9021934005787</v>
      </c>
      <c r="O143" s="41">
        <f>O$5*'7.1. Nettoinvestointiennuste '!$Y143</f>
        <v>-6406.2832986593412</v>
      </c>
      <c r="P143" s="41">
        <f>P$5*'7.1. Nettoinvestointiennuste '!$Y143</f>
        <v>-6672.2445770349259</v>
      </c>
      <c r="T143" s="34">
        <v>422</v>
      </c>
      <c r="U143" s="88" t="s">
        <v>457</v>
      </c>
      <c r="V143" s="41">
        <f>C143/'1. Väestöennuste'!E143*1000</f>
        <v>-243.6289500509684</v>
      </c>
      <c r="W143" s="41">
        <f>D143/'1. Väestöennuste'!F143*1000</f>
        <v>-161.83074265975819</v>
      </c>
      <c r="X143" s="41">
        <f>E143/'1. Väestöennuste'!G143*1000</f>
        <v>-198.3712490041604</v>
      </c>
      <c r="Y143" s="41">
        <f>F143/'1. Väestöennuste'!H143*1000</f>
        <v>-195.80104523337539</v>
      </c>
      <c r="Z143" s="41">
        <f>G143/'1. Väestöennuste'!I143*1000</f>
        <v>-391.67585446527016</v>
      </c>
      <c r="AA143" s="41">
        <f>H143/'1. Väestöennuste'!J143*1000</f>
        <v>-905.40162328575423</v>
      </c>
      <c r="AB143" s="41">
        <f>I143/'1. Väestöennuste'!K143*1000</f>
        <v>-238.61403395617944</v>
      </c>
      <c r="AC143" s="41">
        <f>J143/'1. Väestöennuste'!L143*1000</f>
        <v>-344.55958349402238</v>
      </c>
      <c r="AD143" s="41">
        <f>K143/'1. Väestöennuste'!M143*1000</f>
        <v>-389.20130524051621</v>
      </c>
      <c r="AE143" s="41">
        <f>L143/'1. Väestöennuste'!N143*1000</f>
        <v>-569.40414354195934</v>
      </c>
      <c r="AF143" s="41">
        <f>M143/'1. Väestöennuste'!O143*1000</f>
        <v>-603.79429039837817</v>
      </c>
      <c r="AG143" s="41">
        <f>N143/'1. Väestöennuste'!P143*1000</f>
        <v>-635.53390605187349</v>
      </c>
      <c r="AH143" s="41">
        <f>O143/'1. Väestöennuste'!Q143*1000</f>
        <v>-674.70071602520704</v>
      </c>
      <c r="AI143" s="41">
        <f>P143/'1. Väestöennuste'!R143*1000</f>
        <v>-713.83808462981983</v>
      </c>
      <c r="AK143" s="34">
        <v>422</v>
      </c>
      <c r="AL143" s="88" t="s">
        <v>457</v>
      </c>
      <c r="AM143" s="41"/>
      <c r="AN143" s="41">
        <f t="shared" ref="AN143:AN206" si="37">W143-V143</f>
        <v>81.798207391210212</v>
      </c>
      <c r="AO143" s="41">
        <f t="shared" ref="AO143:AO206" si="38">X143-W143</f>
        <v>-36.540506344402218</v>
      </c>
      <c r="AP143" s="41">
        <f t="shared" ref="AP143:AP206" si="39">Y143-X143</f>
        <v>2.5702037707850138</v>
      </c>
      <c r="AQ143" s="41">
        <f t="shared" ref="AQ143:AQ206" si="40">Z143-Y143</f>
        <v>-195.87480923189477</v>
      </c>
      <c r="AR143" s="41">
        <f t="shared" ref="AR143:AR206" si="41">AA143-Z143</f>
        <v>-513.72576882048406</v>
      </c>
      <c r="AS143" s="41">
        <f t="shared" ref="AS143:AS206" si="42">AB143-AA143</f>
        <v>666.78758932957476</v>
      </c>
      <c r="AT143" s="41">
        <f t="shared" ref="AT143:AT206" si="43">AC143-AB143</f>
        <v>-105.94554953784294</v>
      </c>
      <c r="AU143" s="41">
        <f t="shared" ref="AU143:AU206" si="44">AD143-AC143</f>
        <v>-44.641721746493829</v>
      </c>
      <c r="AV143" s="41">
        <f t="shared" ref="AV143:AV206" si="45">AE143-AD143</f>
        <v>-180.20283830144314</v>
      </c>
      <c r="AW143" s="41">
        <f t="shared" ref="AW143:AW206" si="46">AF143-AE143</f>
        <v>-34.390146856418824</v>
      </c>
      <c r="AX143" s="41">
        <f t="shared" ref="AX143:AZ206" si="47">AG143-AF143</f>
        <v>-31.739615653495321</v>
      </c>
      <c r="AY143" s="41">
        <f t="shared" si="47"/>
        <v>-39.166809973333557</v>
      </c>
      <c r="AZ143" s="41">
        <f t="shared" si="47"/>
        <v>-39.137368604612789</v>
      </c>
    </row>
    <row r="144" spans="1:52" x14ac:dyDescent="0.2">
      <c r="A144" s="30">
        <v>423</v>
      </c>
      <c r="B144" s="31" t="s">
        <v>458</v>
      </c>
      <c r="C144" s="41">
        <v>-4444</v>
      </c>
      <c r="D144" s="41">
        <v>-8681</v>
      </c>
      <c r="E144" s="73">
        <v>-15477</v>
      </c>
      <c r="F144" s="73">
        <v>-7023</v>
      </c>
      <c r="G144" s="73">
        <v>-7305</v>
      </c>
      <c r="H144" s="41">
        <v>-9237</v>
      </c>
      <c r="I144" s="165">
        <v>-6923.9925000000003</v>
      </c>
      <c r="J144" s="41">
        <v>-9647.3881799999999</v>
      </c>
      <c r="K144" s="41">
        <v>-9317.4975999999988</v>
      </c>
      <c r="L144" s="41">
        <f>$L$5*'7.1. Nettoinvestointiennuste '!Y144</f>
        <v>-12527.591083233272</v>
      </c>
      <c r="M144" s="41">
        <f>$M$5*'7.1. Nettoinvestointiennuste '!Y144</f>
        <v>-13064.499693036505</v>
      </c>
      <c r="N144" s="41">
        <f>$N$5*'7.1. Nettoinvestointiennuste '!Y144</f>
        <v>-13525.600136943231</v>
      </c>
      <c r="O144" s="41">
        <f>O$5*'7.1. Nettoinvestointiennuste '!$Y144</f>
        <v>-14128.519178878145</v>
      </c>
      <c r="P144" s="41">
        <f>P$5*'7.1. Nettoinvestointiennuste '!$Y144</f>
        <v>-14715.07441647664</v>
      </c>
      <c r="T144" s="34">
        <v>423</v>
      </c>
      <c r="U144" s="88" t="s">
        <v>458</v>
      </c>
      <c r="V144" s="41">
        <f>C144/'1. Väestöennuste'!E144*1000</f>
        <v>-230.70134454654001</v>
      </c>
      <c r="W144" s="41">
        <f>D144/'1. Väestöennuste'!F144*1000</f>
        <v>-447.05942939540631</v>
      </c>
      <c r="X144" s="41">
        <f>E144/'1. Väestöennuste'!G144*1000</f>
        <v>-789.80404164115123</v>
      </c>
      <c r="Y144" s="41">
        <f>F144/'1. Väestöennuste'!H144*1000</f>
        <v>-354.14250416015329</v>
      </c>
      <c r="Z144" s="41">
        <f>G144/'1. Väestöennuste'!I144*1000</f>
        <v>-365.35960788236468</v>
      </c>
      <c r="AA144" s="41">
        <f>H144/'1. Väestöennuste'!J144*1000</f>
        <v>-458.50292862106625</v>
      </c>
      <c r="AB144" s="41">
        <f>I144/'1. Väestöennuste'!K144*1000</f>
        <v>-341.23466068700407</v>
      </c>
      <c r="AC144" s="41">
        <f>J144/'1. Väestöennuste'!L144*1000</f>
        <v>-470.67318046543392</v>
      </c>
      <c r="AD144" s="41">
        <f>K144/'1. Väestöennuste'!M144*1000</f>
        <v>-451.49477152686916</v>
      </c>
      <c r="AE144" s="41">
        <f>L144/'1. Väestöennuste'!N144*1000</f>
        <v>-603.71023484329783</v>
      </c>
      <c r="AF144" s="41">
        <f>M144/'1. Väestöennuste'!O144*1000</f>
        <v>-625.33504178807698</v>
      </c>
      <c r="AG144" s="41">
        <f>N144/'1. Väestöennuste'!P144*1000</f>
        <v>-643.21857223431755</v>
      </c>
      <c r="AH144" s="41">
        <f>O144/'1. Väestöennuste'!Q144*1000</f>
        <v>-667.79407188534037</v>
      </c>
      <c r="AI144" s="41">
        <f>P144/'1. Väestöennuste'!R144*1000</f>
        <v>-691.66037210230979</v>
      </c>
      <c r="AK144" s="34">
        <v>423</v>
      </c>
      <c r="AL144" s="88" t="s">
        <v>458</v>
      </c>
      <c r="AM144" s="41"/>
      <c r="AN144" s="41">
        <f t="shared" si="37"/>
        <v>-216.3580848488663</v>
      </c>
      <c r="AO144" s="41">
        <f t="shared" si="38"/>
        <v>-342.74461224574492</v>
      </c>
      <c r="AP144" s="41">
        <f t="shared" si="39"/>
        <v>435.66153748099794</v>
      </c>
      <c r="AQ144" s="41">
        <f t="shared" si="40"/>
        <v>-11.217103722211391</v>
      </c>
      <c r="AR144" s="41">
        <f t="shared" si="41"/>
        <v>-93.143320738701561</v>
      </c>
      <c r="AS144" s="41">
        <f t="shared" si="42"/>
        <v>117.26826793406218</v>
      </c>
      <c r="AT144" s="41">
        <f t="shared" si="43"/>
        <v>-129.43851977842985</v>
      </c>
      <c r="AU144" s="41">
        <f t="shared" si="44"/>
        <v>19.178408938564758</v>
      </c>
      <c r="AV144" s="41">
        <f t="shared" si="45"/>
        <v>-152.21546331642867</v>
      </c>
      <c r="AW144" s="41">
        <f t="shared" si="46"/>
        <v>-21.624806944779152</v>
      </c>
      <c r="AX144" s="41">
        <f t="shared" si="47"/>
        <v>-17.88353044624057</v>
      </c>
      <c r="AY144" s="41">
        <f t="shared" si="47"/>
        <v>-24.575499651022824</v>
      </c>
      <c r="AZ144" s="41">
        <f t="shared" si="47"/>
        <v>-23.866300216969421</v>
      </c>
    </row>
    <row r="145" spans="1:52" x14ac:dyDescent="0.2">
      <c r="A145" s="30">
        <v>425</v>
      </c>
      <c r="B145" s="31" t="s">
        <v>459</v>
      </c>
      <c r="C145" s="41">
        <v>-1696</v>
      </c>
      <c r="D145" s="41">
        <v>-2006</v>
      </c>
      <c r="E145" s="73">
        <v>-6736</v>
      </c>
      <c r="F145" s="73">
        <v>-16633</v>
      </c>
      <c r="G145" s="73">
        <v>-7202</v>
      </c>
      <c r="H145" s="41">
        <v>-6356</v>
      </c>
      <c r="I145" s="165">
        <v>-2152.6546600000001</v>
      </c>
      <c r="J145" s="41">
        <v>-4179.0032499999998</v>
      </c>
      <c r="K145" s="41">
        <v>-4294.0285599999997</v>
      </c>
      <c r="L145" s="41">
        <f>$L$5*'7.1. Nettoinvestointiennuste '!Y145</f>
        <v>-4179.345851318205</v>
      </c>
      <c r="M145" s="41">
        <f>$M$5*'7.1. Nettoinvestointiennuste '!Y145</f>
        <v>-4358.4646265088641</v>
      </c>
      <c r="N145" s="41">
        <f>$N$5*'7.1. Nettoinvestointiennuste '!Y145</f>
        <v>-4512.2929415040553</v>
      </c>
      <c r="O145" s="41">
        <f>O$5*'7.1. Nettoinvestointiennuste '!$Y145</f>
        <v>-4713.4335422667909</v>
      </c>
      <c r="P145" s="41">
        <f>P$5*'7.1. Nettoinvestointiennuste '!$Y145</f>
        <v>-4909.1149931170803</v>
      </c>
      <c r="T145" s="34">
        <v>425</v>
      </c>
      <c r="U145" s="88" t="s">
        <v>459</v>
      </c>
      <c r="V145" s="41">
        <f>C145/'1. Väestöennuste'!E145*1000</f>
        <v>-170.67525410083525</v>
      </c>
      <c r="W145" s="41">
        <f>D145/'1. Väestöennuste'!F145*1000</f>
        <v>-200.6</v>
      </c>
      <c r="X145" s="41">
        <f>E145/'1. Väestöennuste'!G145*1000</f>
        <v>-664.7587091680648</v>
      </c>
      <c r="Y145" s="41">
        <f>F145/'1. Väestöennuste'!H145*1000</f>
        <v>-1636.9451825607714</v>
      </c>
      <c r="Z145" s="41">
        <f>G145/'1. Väestöennuste'!I145*1000</f>
        <v>-706.70199195368468</v>
      </c>
      <c r="AA145" s="41">
        <f>H145/'1. Väestöennuste'!J145*1000</f>
        <v>-620.82437976167216</v>
      </c>
      <c r="AB145" s="41">
        <f>I145/'1. Väestöennuste'!K145*1000</f>
        <v>-210.67279898218831</v>
      </c>
      <c r="AC145" s="41">
        <f>J145/'1. Väestöennuste'!L145*1000</f>
        <v>-407.3896714759212</v>
      </c>
      <c r="AD145" s="41">
        <f>K145/'1. Väestöennuste'!M145*1000</f>
        <v>-418.68453198127924</v>
      </c>
      <c r="AE145" s="41">
        <f>L145/'1. Väestöennuste'!N145*1000</f>
        <v>-400.47392212707985</v>
      </c>
      <c r="AF145" s="41">
        <f>M145/'1. Väestöennuste'!O145*1000</f>
        <v>-416.51993754862997</v>
      </c>
      <c r="AG145" s="41">
        <f>N145/'1. Väestöennuste'!P145*1000</f>
        <v>-430.1928631427262</v>
      </c>
      <c r="AH145" s="41">
        <f>O145/'1. Väestöennuste'!Q145*1000</f>
        <v>-448.38599146373582</v>
      </c>
      <c r="AI145" s="41">
        <f>P145/'1. Väestöennuste'!R145*1000</f>
        <v>-466.2027533824388</v>
      </c>
      <c r="AK145" s="34">
        <v>425</v>
      </c>
      <c r="AL145" s="88" t="s">
        <v>459</v>
      </c>
      <c r="AM145" s="41"/>
      <c r="AN145" s="41">
        <f t="shared" si="37"/>
        <v>-29.924745899164748</v>
      </c>
      <c r="AO145" s="41">
        <f t="shared" si="38"/>
        <v>-464.15870916806477</v>
      </c>
      <c r="AP145" s="41">
        <f t="shared" si="39"/>
        <v>-972.1864733927066</v>
      </c>
      <c r="AQ145" s="41">
        <f t="shared" si="40"/>
        <v>930.24319060708672</v>
      </c>
      <c r="AR145" s="41">
        <f t="shared" si="41"/>
        <v>85.877612192012521</v>
      </c>
      <c r="AS145" s="41">
        <f t="shared" si="42"/>
        <v>410.15158077948388</v>
      </c>
      <c r="AT145" s="41">
        <f t="shared" si="43"/>
        <v>-196.71687249373289</v>
      </c>
      <c r="AU145" s="41">
        <f t="shared" si="44"/>
        <v>-11.294860505358031</v>
      </c>
      <c r="AV145" s="41">
        <f t="shared" si="45"/>
        <v>18.21060985419939</v>
      </c>
      <c r="AW145" s="41">
        <f t="shared" si="46"/>
        <v>-16.046015421550123</v>
      </c>
      <c r="AX145" s="41">
        <f t="shared" si="47"/>
        <v>-13.672925594096228</v>
      </c>
      <c r="AY145" s="41">
        <f t="shared" si="47"/>
        <v>-18.193128321009624</v>
      </c>
      <c r="AZ145" s="41">
        <f t="shared" si="47"/>
        <v>-17.81676191870298</v>
      </c>
    </row>
    <row r="146" spans="1:52" x14ac:dyDescent="0.2">
      <c r="A146" s="30">
        <v>426</v>
      </c>
      <c r="B146" s="31" t="s">
        <v>460</v>
      </c>
      <c r="C146" s="41">
        <v>-6728</v>
      </c>
      <c r="D146" s="41">
        <v>-2567</v>
      </c>
      <c r="E146" s="73">
        <v>-2893</v>
      </c>
      <c r="F146" s="73">
        <v>-3594</v>
      </c>
      <c r="G146" s="73">
        <v>-2763</v>
      </c>
      <c r="H146" s="41">
        <v>-8623</v>
      </c>
      <c r="I146" s="165">
        <v>-14428.83635</v>
      </c>
      <c r="J146" s="41">
        <v>-5660.4199000000008</v>
      </c>
      <c r="K146" s="41">
        <v>-2660.7090699999999</v>
      </c>
      <c r="L146" s="41">
        <f>$L$5*'7.1. Nettoinvestointiennuste '!Y146</f>
        <v>-6822.8026761653537</v>
      </c>
      <c r="M146" s="41">
        <f>$M$5*'7.1. Nettoinvestointiennuste '!Y146</f>
        <v>-7115.2149584216377</v>
      </c>
      <c r="N146" s="41">
        <f>$N$5*'7.1. Nettoinvestointiennuste '!Y146</f>
        <v>-7366.3404399101255</v>
      </c>
      <c r="O146" s="41">
        <f>O$5*'7.1. Nettoinvestointiennuste '!$Y146</f>
        <v>-7694.7034608208378</v>
      </c>
      <c r="P146" s="41">
        <f>P$5*'7.1. Nettoinvestointiennuste '!$Y146</f>
        <v>-8014.1543926254344</v>
      </c>
      <c r="T146" s="34">
        <v>426</v>
      </c>
      <c r="U146" s="88" t="s">
        <v>460</v>
      </c>
      <c r="V146" s="41">
        <f>C146/'1. Väestöennuste'!E146*1000</f>
        <v>-545.30718106662346</v>
      </c>
      <c r="W146" s="41">
        <f>D146/'1. Väestöennuste'!F146*1000</f>
        <v>-208.68222095764571</v>
      </c>
      <c r="X146" s="41">
        <f>E146/'1. Väestöennuste'!G146*1000</f>
        <v>-238.10699588477365</v>
      </c>
      <c r="Y146" s="41">
        <f>F146/'1. Väestöennuste'!H146*1000</f>
        <v>-295.92424866200082</v>
      </c>
      <c r="Z146" s="41">
        <f>G146/'1. Väestöennuste'!I146*1000</f>
        <v>-228.64945382323734</v>
      </c>
      <c r="AA146" s="41">
        <f>H146/'1. Väestöennuste'!J146*1000</f>
        <v>-718.9428047357012</v>
      </c>
      <c r="AB146" s="41">
        <f>I146/'1. Väestöennuste'!K146*1000</f>
        <v>-1204.5109232824109</v>
      </c>
      <c r="AC146" s="41">
        <f>J146/'1. Väestöennuste'!L146*1000</f>
        <v>-473.20012539709086</v>
      </c>
      <c r="AD146" s="41">
        <f>K146/'1. Väestöennuste'!M146*1000</f>
        <v>-222.30003091319239</v>
      </c>
      <c r="AE146" s="41">
        <f>L146/'1. Väestöennuste'!N146*1000</f>
        <v>-580.86179773244965</v>
      </c>
      <c r="AF146" s="41">
        <f>M146/'1. Väestöennuste'!O146*1000</f>
        <v>-609.17936287856492</v>
      </c>
      <c r="AG146" s="41">
        <f>N146/'1. Väestöennuste'!P146*1000</f>
        <v>-634.31847411608771</v>
      </c>
      <c r="AH146" s="41">
        <f>O146/'1. Väestöennuste'!Q146*1000</f>
        <v>-666.61209917879557</v>
      </c>
      <c r="AI146" s="41">
        <f>P146/'1. Väestöennuste'!R146*1000</f>
        <v>-698.76662242788689</v>
      </c>
      <c r="AK146" s="34">
        <v>426</v>
      </c>
      <c r="AL146" s="88" t="s">
        <v>460</v>
      </c>
      <c r="AM146" s="41"/>
      <c r="AN146" s="41">
        <f t="shared" si="37"/>
        <v>336.62496010897775</v>
      </c>
      <c r="AO146" s="41">
        <f t="shared" si="38"/>
        <v>-29.424774927127942</v>
      </c>
      <c r="AP146" s="41">
        <f t="shared" si="39"/>
        <v>-57.817252777227168</v>
      </c>
      <c r="AQ146" s="41">
        <f t="shared" si="40"/>
        <v>67.274794838763484</v>
      </c>
      <c r="AR146" s="41">
        <f t="shared" si="41"/>
        <v>-490.29335091246389</v>
      </c>
      <c r="AS146" s="41">
        <f t="shared" si="42"/>
        <v>-485.56811854670968</v>
      </c>
      <c r="AT146" s="41">
        <f t="shared" si="43"/>
        <v>731.31079788531997</v>
      </c>
      <c r="AU146" s="41">
        <f t="shared" si="44"/>
        <v>250.90009448389847</v>
      </c>
      <c r="AV146" s="41">
        <f t="shared" si="45"/>
        <v>-358.56176681925729</v>
      </c>
      <c r="AW146" s="41">
        <f t="shared" si="46"/>
        <v>-28.317565146115271</v>
      </c>
      <c r="AX146" s="41">
        <f t="shared" si="47"/>
        <v>-25.139111237522798</v>
      </c>
      <c r="AY146" s="41">
        <f t="shared" si="47"/>
        <v>-32.293625062707861</v>
      </c>
      <c r="AZ146" s="41">
        <f t="shared" si="47"/>
        <v>-32.154523249091312</v>
      </c>
    </row>
    <row r="147" spans="1:52" x14ac:dyDescent="0.2">
      <c r="A147" s="30">
        <v>430</v>
      </c>
      <c r="B147" s="31" t="s">
        <v>461</v>
      </c>
      <c r="C147" s="41">
        <v>-2590</v>
      </c>
      <c r="D147" s="41">
        <v>-2247</v>
      </c>
      <c r="E147" s="73">
        <v>-4849</v>
      </c>
      <c r="F147" s="73">
        <v>-2311</v>
      </c>
      <c r="G147" s="73">
        <v>-3555</v>
      </c>
      <c r="H147" s="41">
        <v>-3310</v>
      </c>
      <c r="I147" s="165">
        <v>-3931.3877200000002</v>
      </c>
      <c r="J147" s="41">
        <v>-3129.6211800000001</v>
      </c>
      <c r="K147" s="41">
        <v>-5115.1482999999998</v>
      </c>
      <c r="L147" s="41">
        <f>$L$5*'7.1. Nettoinvestointiennuste '!Y147</f>
        <v>-4789.7226145950262</v>
      </c>
      <c r="M147" s="41">
        <f>$M$5*'7.1. Nettoinvestointiennuste '!Y147</f>
        <v>-4995.0009712447072</v>
      </c>
      <c r="N147" s="41">
        <f>$N$5*'7.1. Nettoinvestointiennuste '!Y147</f>
        <v>-5171.2952970337828</v>
      </c>
      <c r="O147" s="41">
        <f>O$5*'7.1. Nettoinvestointiennuste '!$Y147</f>
        <v>-5401.8116788935513</v>
      </c>
      <c r="P147" s="41">
        <f>P$5*'7.1. Nettoinvestointiennuste '!$Y147</f>
        <v>-5626.071623807843</v>
      </c>
      <c r="T147" s="34">
        <v>430</v>
      </c>
      <c r="U147" s="88" t="s">
        <v>461</v>
      </c>
      <c r="V147" s="41">
        <f>C147/'1. Väestöennuste'!E147*1000</f>
        <v>-157.28426550069838</v>
      </c>
      <c r="W147" s="41">
        <f>D147/'1. Väestöennuste'!F147*1000</f>
        <v>-138.13241531935822</v>
      </c>
      <c r="X147" s="41">
        <f>E147/'1. Väestöennuste'!G147*1000</f>
        <v>-300.24767801857581</v>
      </c>
      <c r="Y147" s="41">
        <f>F147/'1. Väestöennuste'!H147*1000</f>
        <v>-144.14920159680639</v>
      </c>
      <c r="Z147" s="41">
        <f>G147/'1. Väestöennuste'!I147*1000</f>
        <v>-223.93700787401573</v>
      </c>
      <c r="AA147" s="41">
        <f>H147/'1. Väestöennuste'!J147*1000</f>
        <v>-209.89220038046923</v>
      </c>
      <c r="AB147" s="41">
        <f>I147/'1. Väestöennuste'!K147*1000</f>
        <v>-251.56051446122345</v>
      </c>
      <c r="AC147" s="41">
        <f>J147/'1. Väestöennuste'!L147*1000</f>
        <v>-203.32777936590438</v>
      </c>
      <c r="AD147" s="41">
        <f>K147/'1. Väestöennuste'!M147*1000</f>
        <v>-331.72167963683523</v>
      </c>
      <c r="AE147" s="41">
        <f>L147/'1. Väestöennuste'!N147*1000</f>
        <v>-314.57524068008843</v>
      </c>
      <c r="AF147" s="41">
        <f>M147/'1. Väestöennuste'!O147*1000</f>
        <v>-330.70716176143458</v>
      </c>
      <c r="AG147" s="41">
        <f>N147/'1. Väestöennuste'!P147*1000</f>
        <v>-345.05206492518738</v>
      </c>
      <c r="AH147" s="41">
        <f>O147/'1. Väestöennuste'!Q147*1000</f>
        <v>-363.17141850837373</v>
      </c>
      <c r="AI147" s="41">
        <f>P147/'1. Väestöennuste'!R147*1000</f>
        <v>-381.04108525620342</v>
      </c>
      <c r="AK147" s="34">
        <v>430</v>
      </c>
      <c r="AL147" s="88" t="s">
        <v>461</v>
      </c>
      <c r="AM147" s="41"/>
      <c r="AN147" s="41">
        <f t="shared" si="37"/>
        <v>19.151850181340166</v>
      </c>
      <c r="AO147" s="41">
        <f t="shared" si="38"/>
        <v>-162.1152626992176</v>
      </c>
      <c r="AP147" s="41">
        <f t="shared" si="39"/>
        <v>156.09847642176942</v>
      </c>
      <c r="AQ147" s="41">
        <f t="shared" si="40"/>
        <v>-79.787806277209341</v>
      </c>
      <c r="AR147" s="41">
        <f t="shared" si="41"/>
        <v>14.0448074935465</v>
      </c>
      <c r="AS147" s="41">
        <f t="shared" si="42"/>
        <v>-41.668314080754215</v>
      </c>
      <c r="AT147" s="41">
        <f t="shared" si="43"/>
        <v>48.232735095319072</v>
      </c>
      <c r="AU147" s="41">
        <f t="shared" si="44"/>
        <v>-128.39390027093086</v>
      </c>
      <c r="AV147" s="41">
        <f t="shared" si="45"/>
        <v>17.146438956746806</v>
      </c>
      <c r="AW147" s="41">
        <f t="shared" si="46"/>
        <v>-16.13192108134615</v>
      </c>
      <c r="AX147" s="41">
        <f t="shared" si="47"/>
        <v>-14.344903163752804</v>
      </c>
      <c r="AY147" s="41">
        <f t="shared" si="47"/>
        <v>-18.119353583186353</v>
      </c>
      <c r="AZ147" s="41">
        <f t="shared" si="47"/>
        <v>-17.869666747829683</v>
      </c>
    </row>
    <row r="148" spans="1:52" x14ac:dyDescent="0.2">
      <c r="A148" s="30">
        <v>433</v>
      </c>
      <c r="B148" s="31" t="s">
        <v>462</v>
      </c>
      <c r="C148" s="41">
        <v>-4264</v>
      </c>
      <c r="D148" s="41">
        <v>-7943</v>
      </c>
      <c r="E148" s="73">
        <v>-2310</v>
      </c>
      <c r="F148" s="73">
        <v>-1648</v>
      </c>
      <c r="G148" s="73">
        <v>-1632</v>
      </c>
      <c r="H148" s="41">
        <v>-1167</v>
      </c>
      <c r="I148" s="165">
        <v>-721.70382999999993</v>
      </c>
      <c r="J148" s="41">
        <v>-6006.0612499999997</v>
      </c>
      <c r="K148" s="41">
        <v>-3761.14338</v>
      </c>
      <c r="L148" s="41">
        <f>$L$5*'7.1. Nettoinvestointiennuste '!Y148</f>
        <v>-2445.5630713915634</v>
      </c>
      <c r="M148" s="41">
        <f>$M$5*'7.1. Nettoinvestointiennuste '!Y148</f>
        <v>-2550.3752304190339</v>
      </c>
      <c r="N148" s="41">
        <f>$N$5*'7.1. Nettoinvestointiennuste '!Y148</f>
        <v>-2640.3885626174147</v>
      </c>
      <c r="O148" s="41">
        <f>O$5*'7.1. Nettoinvestointiennuste '!$Y148</f>
        <v>-2758.0868921843994</v>
      </c>
      <c r="P148" s="41">
        <f>P$5*'7.1. Nettoinvestointiennuste '!$Y148</f>
        <v>-2872.5907755624289</v>
      </c>
      <c r="T148" s="34">
        <v>433</v>
      </c>
      <c r="U148" s="88" t="s">
        <v>462</v>
      </c>
      <c r="V148" s="41">
        <f>C148/'1. Väestöennuste'!E148*1000</f>
        <v>-521.59021406727823</v>
      </c>
      <c r="W148" s="41">
        <f>D148/'1. Väestöennuste'!F148*1000</f>
        <v>-980.85947147443812</v>
      </c>
      <c r="X148" s="41">
        <f>E148/'1. Väestöennuste'!G148*1000</f>
        <v>-287.74289985052314</v>
      </c>
      <c r="Y148" s="41">
        <f>F148/'1. Väestöennuste'!H148*1000</f>
        <v>-209.64253911716065</v>
      </c>
      <c r="Z148" s="41">
        <f>G148/'1. Väestöennuste'!I148*1000</f>
        <v>-208.48237097598366</v>
      </c>
      <c r="AA148" s="41">
        <f>H148/'1. Väestöennuste'!J148*1000</f>
        <v>-148.60562842225903</v>
      </c>
      <c r="AB148" s="41">
        <f>I148/'1. Väestöennuste'!K148*1000</f>
        <v>-92.537995896909848</v>
      </c>
      <c r="AC148" s="41">
        <f>J148/'1. Väestöennuste'!L148*1000</f>
        <v>-775.07565492321589</v>
      </c>
      <c r="AD148" s="41">
        <f>K148/'1. Väestöennuste'!M148*1000</f>
        <v>-488.96819812792512</v>
      </c>
      <c r="AE148" s="41">
        <f>L148/'1. Väestöennuste'!N148*1000</f>
        <v>-319.80686169629439</v>
      </c>
      <c r="AF148" s="41">
        <f>M148/'1. Väestöennuste'!O148*1000</f>
        <v>-335.44327639340185</v>
      </c>
      <c r="AG148" s="41">
        <f>N148/'1. Väestöennuste'!P148*1000</f>
        <v>-349.39639574135435</v>
      </c>
      <c r="AH148" s="41">
        <f>O148/'1. Väestöennuste'!Q148*1000</f>
        <v>-367.01089716359274</v>
      </c>
      <c r="AI148" s="41">
        <f>P148/'1. Väestöennuste'!R148*1000</f>
        <v>-384.49883222626539</v>
      </c>
      <c r="AK148" s="34">
        <v>433</v>
      </c>
      <c r="AL148" s="88" t="s">
        <v>462</v>
      </c>
      <c r="AM148" s="41"/>
      <c r="AN148" s="41">
        <f t="shared" si="37"/>
        <v>-459.2692574071599</v>
      </c>
      <c r="AO148" s="41">
        <f t="shared" si="38"/>
        <v>693.11657162391498</v>
      </c>
      <c r="AP148" s="41">
        <f t="shared" si="39"/>
        <v>78.100360733362493</v>
      </c>
      <c r="AQ148" s="41">
        <f t="shared" si="40"/>
        <v>1.160168141176996</v>
      </c>
      <c r="AR148" s="41">
        <f t="shared" si="41"/>
        <v>59.876742553724625</v>
      </c>
      <c r="AS148" s="41">
        <f t="shared" si="42"/>
        <v>56.067632525349183</v>
      </c>
      <c r="AT148" s="41">
        <f t="shared" si="43"/>
        <v>-682.53765902630607</v>
      </c>
      <c r="AU148" s="41">
        <f t="shared" si="44"/>
        <v>286.10745679529077</v>
      </c>
      <c r="AV148" s="41">
        <f t="shared" si="45"/>
        <v>169.16133643163073</v>
      </c>
      <c r="AW148" s="41">
        <f t="shared" si="46"/>
        <v>-15.636414697107455</v>
      </c>
      <c r="AX148" s="41">
        <f t="shared" si="47"/>
        <v>-13.953119347952509</v>
      </c>
      <c r="AY148" s="41">
        <f t="shared" si="47"/>
        <v>-17.614501422238391</v>
      </c>
      <c r="AZ148" s="41">
        <f t="shared" si="47"/>
        <v>-17.487935062672648</v>
      </c>
    </row>
    <row r="149" spans="1:52" x14ac:dyDescent="0.2">
      <c r="A149" s="30">
        <v>434</v>
      </c>
      <c r="B149" s="31" t="s">
        <v>463</v>
      </c>
      <c r="C149" s="41">
        <v>-1394</v>
      </c>
      <c r="D149" s="41">
        <v>-10197</v>
      </c>
      <c r="E149" s="73">
        <v>-7713</v>
      </c>
      <c r="F149" s="73">
        <v>-12010</v>
      </c>
      <c r="G149" s="73">
        <v>-11173</v>
      </c>
      <c r="H149" s="41">
        <v>-13229</v>
      </c>
      <c r="I149" s="165">
        <v>-9144.8119999999999</v>
      </c>
      <c r="J149" s="41">
        <v>-7921.9141500000005</v>
      </c>
      <c r="K149" s="41">
        <v>-3841.60484</v>
      </c>
      <c r="L149" s="41">
        <f>$L$5*'7.1. Nettoinvestointiennuste '!Y149</f>
        <v>-9502.8876897799473</v>
      </c>
      <c r="M149" s="41">
        <f>$M$5*'7.1. Nettoinvestointiennuste '!Y149</f>
        <v>-9910.1632932648572</v>
      </c>
      <c r="N149" s="41">
        <f>$N$5*'7.1. Nettoinvestointiennuste '!Y149</f>
        <v>-10259.934107385523</v>
      </c>
      <c r="O149" s="41">
        <f>O$5*'7.1. Nettoinvestointiennuste '!$Y149</f>
        <v>-10717.282364003306</v>
      </c>
      <c r="P149" s="41">
        <f>P$5*'7.1. Nettoinvestointiennuste '!$Y149</f>
        <v>-11162.217747806726</v>
      </c>
      <c r="T149" s="34">
        <v>434</v>
      </c>
      <c r="U149" s="88" t="s">
        <v>463</v>
      </c>
      <c r="V149" s="41">
        <f>C149/'1. Väestöennuste'!E149*1000</f>
        <v>-91.045653451766697</v>
      </c>
      <c r="W149" s="41">
        <f>D149/'1. Väestöennuste'!F149*1000</f>
        <v>-670.502367175171</v>
      </c>
      <c r="X149" s="41">
        <f>E149/'1. Väestöennuste'!G149*1000</f>
        <v>-511.30261849519388</v>
      </c>
      <c r="Y149" s="41">
        <f>F149/'1. Väestöennuste'!H149*1000</f>
        <v>-806.5274326774562</v>
      </c>
      <c r="Z149" s="41">
        <f>G149/'1. Väestöennuste'!I149*1000</f>
        <v>-756.36339019767127</v>
      </c>
      <c r="AA149" s="41">
        <f>H149/'1. Väestöennuste'!J149*1000</f>
        <v>-897.18548660562897</v>
      </c>
      <c r="AB149" s="41">
        <f>I149/'1. Väestöennuste'!K149*1000</f>
        <v>-624.51765348630738</v>
      </c>
      <c r="AC149" s="41">
        <f>J149/'1. Väestöennuste'!L149*1000</f>
        <v>-543.78872528830311</v>
      </c>
      <c r="AD149" s="41">
        <f>K149/'1. Väestöennuste'!M149*1000</f>
        <v>-265.70790150781573</v>
      </c>
      <c r="AE149" s="41">
        <f>L149/'1. Väestöennuste'!N149*1000</f>
        <v>-663.37784919929823</v>
      </c>
      <c r="AF149" s="41">
        <f>M149/'1. Väestöennuste'!O149*1000</f>
        <v>-696.03619140784224</v>
      </c>
      <c r="AG149" s="41">
        <f>N149/'1. Väestöennuste'!P149*1000</f>
        <v>-724.9299870971189</v>
      </c>
      <c r="AH149" s="41">
        <f>O149/'1. Väestöennuste'!Q149*1000</f>
        <v>-761.27875863072211</v>
      </c>
      <c r="AI149" s="41">
        <f>P149/'1. Väestöennuste'!R149*1000</f>
        <v>-796.84592717066857</v>
      </c>
      <c r="AK149" s="34">
        <v>434</v>
      </c>
      <c r="AL149" s="88" t="s">
        <v>463</v>
      </c>
      <c r="AM149" s="41"/>
      <c r="AN149" s="41">
        <f t="shared" si="37"/>
        <v>-579.45671372340428</v>
      </c>
      <c r="AO149" s="41">
        <f t="shared" si="38"/>
        <v>159.19974867997712</v>
      </c>
      <c r="AP149" s="41">
        <f t="shared" si="39"/>
        <v>-295.22481418226232</v>
      </c>
      <c r="AQ149" s="41">
        <f t="shared" si="40"/>
        <v>50.164042479784939</v>
      </c>
      <c r="AR149" s="41">
        <f t="shared" si="41"/>
        <v>-140.8220964079577</v>
      </c>
      <c r="AS149" s="41">
        <f t="shared" si="42"/>
        <v>272.66783311932159</v>
      </c>
      <c r="AT149" s="41">
        <f t="shared" si="43"/>
        <v>80.728928198004269</v>
      </c>
      <c r="AU149" s="41">
        <f t="shared" si="44"/>
        <v>278.08082378048738</v>
      </c>
      <c r="AV149" s="41">
        <f t="shared" si="45"/>
        <v>-397.66994769148249</v>
      </c>
      <c r="AW149" s="41">
        <f t="shared" si="46"/>
        <v>-32.658342208544013</v>
      </c>
      <c r="AX149" s="41">
        <f t="shared" si="47"/>
        <v>-28.893795689276658</v>
      </c>
      <c r="AY149" s="41">
        <f t="shared" si="47"/>
        <v>-36.348771533603212</v>
      </c>
      <c r="AZ149" s="41">
        <f t="shared" si="47"/>
        <v>-35.567168539946465</v>
      </c>
    </row>
    <row r="150" spans="1:52" x14ac:dyDescent="0.2">
      <c r="A150" s="30">
        <v>435</v>
      </c>
      <c r="B150" s="31" t="s">
        <v>464</v>
      </c>
      <c r="C150" s="41">
        <v>-30</v>
      </c>
      <c r="D150" s="41">
        <v>-544</v>
      </c>
      <c r="E150" s="73">
        <v>-1751</v>
      </c>
      <c r="F150" s="73">
        <v>-348</v>
      </c>
      <c r="G150" s="73">
        <v>-26</v>
      </c>
      <c r="H150" s="41">
        <v>-40</v>
      </c>
      <c r="I150" s="165">
        <v>-47.367550000000001</v>
      </c>
      <c r="J150" s="41">
        <v>14.210930000000001</v>
      </c>
      <c r="K150" s="41">
        <v>-30.151540000000001</v>
      </c>
      <c r="L150" s="41">
        <f>$L$5*'7.1. Nettoinvestointiennuste '!Y150</f>
        <v>-245.64114181207177</v>
      </c>
      <c r="M150" s="41">
        <f>$M$5*'7.1. Nettoinvestointiennuste '!Y150</f>
        <v>-256.16885165545204</v>
      </c>
      <c r="N150" s="41">
        <f>$N$5*'7.1. Nettoinvestointiennuste '!Y150</f>
        <v>-265.21011415985276</v>
      </c>
      <c r="O150" s="41">
        <f>O$5*'7.1. Nettoinvestointiennuste '!$Y150</f>
        <v>-277.0321572723031</v>
      </c>
      <c r="P150" s="41">
        <f>P$5*'7.1. Nettoinvestointiennuste '!$Y150</f>
        <v>-288.53333873187222</v>
      </c>
      <c r="T150" s="34">
        <v>435</v>
      </c>
      <c r="U150" s="88" t="s">
        <v>464</v>
      </c>
      <c r="V150" s="41">
        <f>C150/'1. Väestöennuste'!E150*1000</f>
        <v>-39.421813403416557</v>
      </c>
      <c r="W150" s="41">
        <f>D150/'1. Väestöennuste'!F150*1000</f>
        <v>-719.57671957671948</v>
      </c>
      <c r="X150" s="41">
        <f>E150/'1. Väestöennuste'!G150*1000</f>
        <v>-2385.5585831062667</v>
      </c>
      <c r="Y150" s="41">
        <f>F150/'1. Väestöennuste'!H150*1000</f>
        <v>-492.22065063649222</v>
      </c>
      <c r="Z150" s="41">
        <f>G150/'1. Väestöennuste'!I150*1000</f>
        <v>-37.681159420289859</v>
      </c>
      <c r="AA150" s="41">
        <f>H150/'1. Väestöennuste'!J150*1000</f>
        <v>-57.224606580829757</v>
      </c>
      <c r="AB150" s="41">
        <f>I150/'1. Väestöennuste'!K150*1000</f>
        <v>-67.379160739687052</v>
      </c>
      <c r="AC150" s="41">
        <f>J150/'1. Väestöennuste'!L150*1000</f>
        <v>20.536026011560697</v>
      </c>
      <c r="AD150" s="41">
        <f>K150/'1. Väestöennuste'!M150*1000</f>
        <v>-42.95091168091168</v>
      </c>
      <c r="AE150" s="41">
        <f>L150/'1. Väestöennuste'!N150*1000</f>
        <v>-357.55624717914372</v>
      </c>
      <c r="AF150" s="41">
        <f>M150/'1. Väestöennuste'!O150*1000</f>
        <v>-375.06420447357544</v>
      </c>
      <c r="AG150" s="41">
        <f>N150/'1. Väestöennuste'!P150*1000</f>
        <v>-388.30177768646087</v>
      </c>
      <c r="AH150" s="41">
        <f>O150/'1. Väestöennuste'!Q150*1000</f>
        <v>-407.4002312827987</v>
      </c>
      <c r="AI150" s="41">
        <f>P150/'1. Väestöennuste'!R150*1000</f>
        <v>-424.9386431986336</v>
      </c>
      <c r="AK150" s="34">
        <v>435</v>
      </c>
      <c r="AL150" s="88" t="s">
        <v>464</v>
      </c>
      <c r="AM150" s="41"/>
      <c r="AN150" s="41">
        <f t="shared" si="37"/>
        <v>-680.15490617330295</v>
      </c>
      <c r="AO150" s="41">
        <f t="shared" si="38"/>
        <v>-1665.9818635295474</v>
      </c>
      <c r="AP150" s="41">
        <f t="shared" si="39"/>
        <v>1893.3379324697744</v>
      </c>
      <c r="AQ150" s="41">
        <f t="shared" si="40"/>
        <v>454.53949121620235</v>
      </c>
      <c r="AR150" s="41">
        <f t="shared" si="41"/>
        <v>-19.543447160539898</v>
      </c>
      <c r="AS150" s="41">
        <f t="shared" si="42"/>
        <v>-10.154554158857295</v>
      </c>
      <c r="AT150" s="41">
        <f t="shared" si="43"/>
        <v>87.915186751247745</v>
      </c>
      <c r="AU150" s="41">
        <f t="shared" si="44"/>
        <v>-63.486937692472381</v>
      </c>
      <c r="AV150" s="41">
        <f t="shared" si="45"/>
        <v>-314.60533549823202</v>
      </c>
      <c r="AW150" s="41">
        <f t="shared" si="46"/>
        <v>-17.507957294431719</v>
      </c>
      <c r="AX150" s="41">
        <f t="shared" si="47"/>
        <v>-13.237573212885422</v>
      </c>
      <c r="AY150" s="41">
        <f t="shared" si="47"/>
        <v>-19.098453596337833</v>
      </c>
      <c r="AZ150" s="41">
        <f t="shared" si="47"/>
        <v>-17.538411915834899</v>
      </c>
    </row>
    <row r="151" spans="1:52" x14ac:dyDescent="0.2">
      <c r="A151" s="30">
        <v>436</v>
      </c>
      <c r="B151" s="31" t="s">
        <v>465</v>
      </c>
      <c r="C151" s="41">
        <v>-145</v>
      </c>
      <c r="D151" s="41">
        <v>-179</v>
      </c>
      <c r="E151" s="73">
        <v>-594</v>
      </c>
      <c r="F151" s="73">
        <v>-1848</v>
      </c>
      <c r="G151" s="73">
        <v>-461</v>
      </c>
      <c r="H151" s="41">
        <v>-459</v>
      </c>
      <c r="I151" s="165">
        <v>-492.01333</v>
      </c>
      <c r="J151" s="41">
        <v>-2557.9771600000004</v>
      </c>
      <c r="K151" s="41">
        <v>-1754.78322</v>
      </c>
      <c r="L151" s="41">
        <f>$L$5*'7.1. Nettoinvestointiennuste '!Y151</f>
        <v>-1078.4638018770818</v>
      </c>
      <c r="M151" s="41">
        <f>$M$5*'7.1. Nettoinvestointiennuste '!Y151</f>
        <v>-1124.6846991542852</v>
      </c>
      <c r="N151" s="41">
        <f>$N$5*'7.1. Nettoinvestointiennuste '!Y151</f>
        <v>-1164.3794923893877</v>
      </c>
      <c r="O151" s="41">
        <f>O$5*'7.1. Nettoinvestointiennuste '!$Y151</f>
        <v>-1216.283035366574</v>
      </c>
      <c r="P151" s="41">
        <f>P$5*'7.1. Nettoinvestointiennuste '!$Y151</f>
        <v>-1266.777866124422</v>
      </c>
      <c r="T151" s="34">
        <v>436</v>
      </c>
      <c r="U151" s="88" t="s">
        <v>465</v>
      </c>
      <c r="V151" s="41">
        <f>C151/'1. Väestöennuste'!E151*1000</f>
        <v>-69.845857418111748</v>
      </c>
      <c r="W151" s="41">
        <f>D151/'1. Väestöennuste'!F151*1000</f>
        <v>-85.035629453681707</v>
      </c>
      <c r="X151" s="41">
        <f>E151/'1. Väestöennuste'!G151*1000</f>
        <v>-285.43969245555024</v>
      </c>
      <c r="Y151" s="41">
        <f>F151/'1. Väestöennuste'!H151*1000</f>
        <v>-900.58479532163733</v>
      </c>
      <c r="Z151" s="41">
        <f>G151/'1. Väestöennuste'!I151*1000</f>
        <v>-228.21782178217822</v>
      </c>
      <c r="AA151" s="41">
        <f>H151/'1. Väestöennuste'!J151*1000</f>
        <v>-225.44204322200392</v>
      </c>
      <c r="AB151" s="41">
        <f>I151/'1. Väestöennuste'!K151*1000</f>
        <v>-243.81235381565907</v>
      </c>
      <c r="AC151" s="41">
        <f>J151/'1. Väestöennuste'!L151*1000</f>
        <v>-1286.7088329979881</v>
      </c>
      <c r="AD151" s="41">
        <f>K151/'1. Väestöennuste'!M151*1000</f>
        <v>-863.14964092474179</v>
      </c>
      <c r="AE151" s="41">
        <f>L151/'1. Väestöennuste'!N151*1000</f>
        <v>-534.42210202035767</v>
      </c>
      <c r="AF151" s="41">
        <f>M151/'1. Väestöennuste'!O151*1000</f>
        <v>-559.82314542274025</v>
      </c>
      <c r="AG151" s="41">
        <f>N151/'1. Väestöennuste'!P151*1000</f>
        <v>-581.02769081306769</v>
      </c>
      <c r="AH151" s="41">
        <f>O151/'1. Väestöennuste'!Q151*1000</f>
        <v>-609.05510033378778</v>
      </c>
      <c r="AI151" s="41">
        <f>P151/'1. Väestöennuste'!R151*1000</f>
        <v>-635.93266371707932</v>
      </c>
      <c r="AK151" s="34">
        <v>436</v>
      </c>
      <c r="AL151" s="88" t="s">
        <v>465</v>
      </c>
      <c r="AM151" s="41"/>
      <c r="AN151" s="41">
        <f t="shared" si="37"/>
        <v>-15.189772035569959</v>
      </c>
      <c r="AO151" s="41">
        <f t="shared" si="38"/>
        <v>-200.40406300186854</v>
      </c>
      <c r="AP151" s="41">
        <f t="shared" si="39"/>
        <v>-615.14510286608709</v>
      </c>
      <c r="AQ151" s="41">
        <f t="shared" si="40"/>
        <v>672.36697353945908</v>
      </c>
      <c r="AR151" s="41">
        <f t="shared" si="41"/>
        <v>2.7757785601743024</v>
      </c>
      <c r="AS151" s="41">
        <f t="shared" si="42"/>
        <v>-18.370310593655148</v>
      </c>
      <c r="AT151" s="41">
        <f t="shared" si="43"/>
        <v>-1042.8964791823291</v>
      </c>
      <c r="AU151" s="41">
        <f t="shared" si="44"/>
        <v>423.55919207324632</v>
      </c>
      <c r="AV151" s="41">
        <f t="shared" si="45"/>
        <v>328.72753890438412</v>
      </c>
      <c r="AW151" s="41">
        <f t="shared" si="46"/>
        <v>-25.401043402382584</v>
      </c>
      <c r="AX151" s="41">
        <f t="shared" si="47"/>
        <v>-21.204545390327439</v>
      </c>
      <c r="AY151" s="41">
        <f t="shared" si="47"/>
        <v>-28.027409520720084</v>
      </c>
      <c r="AZ151" s="41">
        <f t="shared" si="47"/>
        <v>-26.877563383291545</v>
      </c>
    </row>
    <row r="152" spans="1:52" x14ac:dyDescent="0.2">
      <c r="A152" s="30">
        <v>440</v>
      </c>
      <c r="B152" s="31" t="s">
        <v>466</v>
      </c>
      <c r="C152" s="41">
        <v>-783</v>
      </c>
      <c r="D152" s="41">
        <v>-3416</v>
      </c>
      <c r="E152" s="73">
        <v>-10294</v>
      </c>
      <c r="F152" s="73">
        <v>-3338</v>
      </c>
      <c r="G152" s="73">
        <v>-990</v>
      </c>
      <c r="H152" s="41">
        <v>-4497</v>
      </c>
      <c r="I152" s="165">
        <v>-1542.07754</v>
      </c>
      <c r="J152" s="41">
        <v>-3481.1063100000001</v>
      </c>
      <c r="K152" s="41">
        <v>-7659.9839900000006</v>
      </c>
      <c r="L152" s="41">
        <f>$L$5*'7.1. Nettoinvestointiennuste '!Y152</f>
        <v>-4003.0816211894662</v>
      </c>
      <c r="M152" s="41">
        <f>$M$5*'7.1. Nettoinvestointiennuste '!Y152</f>
        <v>-4174.6460483711835</v>
      </c>
      <c r="N152" s="41">
        <f>$N$5*'7.1. Nettoinvestointiennuste '!Y152</f>
        <v>-4321.9866424456295</v>
      </c>
      <c r="O152" s="41">
        <f>O$5*'7.1. Nettoinvestointiennuste '!$Y152</f>
        <v>-4514.6441230258388</v>
      </c>
      <c r="P152" s="41">
        <f>P$5*'7.1. Nettoinvestointiennuste '!$Y152</f>
        <v>-4702.0726937576464</v>
      </c>
      <c r="T152" s="34">
        <v>440</v>
      </c>
      <c r="U152" s="88" t="s">
        <v>466</v>
      </c>
      <c r="V152" s="41">
        <f>C152/'1. Väestöennuste'!E152*1000</f>
        <v>-152.12745288517581</v>
      </c>
      <c r="W152" s="41">
        <f>D152/'1. Väestöennuste'!F152*1000</f>
        <v>-659.96908809891806</v>
      </c>
      <c r="X152" s="41">
        <f>E152/'1. Väestöennuste'!G152*1000</f>
        <v>-1955.547112462006</v>
      </c>
      <c r="Y152" s="41">
        <f>F152/'1. Väestöennuste'!H152*1000</f>
        <v>-625.09363295880144</v>
      </c>
      <c r="Z152" s="41">
        <f>G152/'1. Väestöennuste'!I152*1000</f>
        <v>-182.75798412405391</v>
      </c>
      <c r="AA152" s="41">
        <f>H152/'1. Väestöennuste'!J152*1000</f>
        <v>-812.61293820021683</v>
      </c>
      <c r="AB152" s="41">
        <f>I152/'1. Väestöennuste'!K152*1000</f>
        <v>-274.29340803984348</v>
      </c>
      <c r="AC152" s="41">
        <f>J152/'1. Väestöennuste'!L152*1000</f>
        <v>-607.31094033496174</v>
      </c>
      <c r="AD152" s="41">
        <f>K152/'1. Väestöennuste'!M152*1000</f>
        <v>-1310.9676518911519</v>
      </c>
      <c r="AE152" s="41">
        <f>L152/'1. Väestöennuste'!N152*1000</f>
        <v>-682.53736081661827</v>
      </c>
      <c r="AF152" s="41">
        <f>M152/'1. Väestöennuste'!O152*1000</f>
        <v>-703.15749509368084</v>
      </c>
      <c r="AG152" s="41">
        <f>N152/'1. Väestöennuste'!P152*1000</f>
        <v>-719.4917000908323</v>
      </c>
      <c r="AH152" s="41">
        <f>O152/'1. Väestöennuste'!Q152*1000</f>
        <v>-743.15129597133148</v>
      </c>
      <c r="AI152" s="41">
        <f>P152/'1. Väestöennuste'!R152*1000</f>
        <v>-765.93463003056627</v>
      </c>
      <c r="AK152" s="34">
        <v>440</v>
      </c>
      <c r="AL152" s="88" t="s">
        <v>466</v>
      </c>
      <c r="AM152" s="41"/>
      <c r="AN152" s="41">
        <f t="shared" si="37"/>
        <v>-507.84163521374228</v>
      </c>
      <c r="AO152" s="41">
        <f t="shared" si="38"/>
        <v>-1295.5780243630879</v>
      </c>
      <c r="AP152" s="41">
        <f t="shared" si="39"/>
        <v>1330.4534795032046</v>
      </c>
      <c r="AQ152" s="41">
        <f t="shared" si="40"/>
        <v>442.33564883474753</v>
      </c>
      <c r="AR152" s="41">
        <f t="shared" si="41"/>
        <v>-629.85495407616293</v>
      </c>
      <c r="AS152" s="41">
        <f t="shared" si="42"/>
        <v>538.31953016037335</v>
      </c>
      <c r="AT152" s="41">
        <f t="shared" si="43"/>
        <v>-333.01753229511826</v>
      </c>
      <c r="AU152" s="41">
        <f t="shared" si="44"/>
        <v>-703.6567115561902</v>
      </c>
      <c r="AV152" s="41">
        <f t="shared" si="45"/>
        <v>628.43029107453367</v>
      </c>
      <c r="AW152" s="41">
        <f t="shared" si="46"/>
        <v>-20.620134277062562</v>
      </c>
      <c r="AX152" s="41">
        <f t="shared" si="47"/>
        <v>-16.33420499715146</v>
      </c>
      <c r="AY152" s="41">
        <f t="shared" si="47"/>
        <v>-23.659595880499182</v>
      </c>
      <c r="AZ152" s="41">
        <f t="shared" si="47"/>
        <v>-22.783334059234789</v>
      </c>
    </row>
    <row r="153" spans="1:52" x14ac:dyDescent="0.2">
      <c r="A153" s="30">
        <v>441</v>
      </c>
      <c r="B153" s="31" t="s">
        <v>467</v>
      </c>
      <c r="C153" s="41">
        <v>-2907</v>
      </c>
      <c r="D153" s="41">
        <v>-2442</v>
      </c>
      <c r="E153" s="73">
        <v>-3098</v>
      </c>
      <c r="F153" s="73">
        <v>-3043</v>
      </c>
      <c r="G153" s="73">
        <v>-3347</v>
      </c>
      <c r="H153" s="41">
        <v>-456</v>
      </c>
      <c r="I153" s="165">
        <v>-507.53667999999999</v>
      </c>
      <c r="J153" s="41">
        <v>-750.69156999999996</v>
      </c>
      <c r="K153" s="41">
        <v>-1565.67598</v>
      </c>
      <c r="L153" s="41">
        <f>$L$5*'7.1. Nettoinvestointiennuste '!Y153</f>
        <v>-1904.5774738406665</v>
      </c>
      <c r="M153" s="41">
        <f>$M$5*'7.1. Nettoinvestointiennuste '!Y153</f>
        <v>-1986.2040241445757</v>
      </c>
      <c r="N153" s="41">
        <f>$N$5*'7.1. Nettoinvestointiennuste '!Y153</f>
        <v>-2056.3054117783126</v>
      </c>
      <c r="O153" s="41">
        <f>O$5*'7.1. Nettoinvestointiennuste '!$Y153</f>
        <v>-2147.9675691866678</v>
      </c>
      <c r="P153" s="41">
        <f>P$5*'7.1. Nettoinvestointiennuste '!$Y153</f>
        <v>-2237.1419272313296</v>
      </c>
      <c r="T153" s="34">
        <v>441</v>
      </c>
      <c r="U153" s="88" t="s">
        <v>467</v>
      </c>
      <c r="V153" s="41">
        <f>C153/'1. Väestöennuste'!E153*1000</f>
        <v>-598.14814814814804</v>
      </c>
      <c r="W153" s="41">
        <f>D153/'1. Väestöennuste'!F153*1000</f>
        <v>-505.48540674808527</v>
      </c>
      <c r="X153" s="41">
        <f>E153/'1. Väestöennuste'!G153*1000</f>
        <v>-652.62270907941854</v>
      </c>
      <c r="Y153" s="41">
        <f>F153/'1. Väestöennuste'!H153*1000</f>
        <v>-652.72415272415276</v>
      </c>
      <c r="Z153" s="41">
        <f>G153/'1. Väestöennuste'!I153*1000</f>
        <v>-721.95858498705775</v>
      </c>
      <c r="AA153" s="41">
        <f>H153/'1. Väestöennuste'!J153*1000</f>
        <v>-100.37420206911732</v>
      </c>
      <c r="AB153" s="41">
        <f>I153/'1. Väestöennuste'!K153*1000</f>
        <v>-113.46672926447573</v>
      </c>
      <c r="AC153" s="41">
        <f>J153/'1. Väestöennuste'!L153*1000</f>
        <v>-169.80130513458491</v>
      </c>
      <c r="AD153" s="41">
        <f>K153/'1. Väestöennuste'!M153*1000</f>
        <v>-356.15923111919926</v>
      </c>
      <c r="AE153" s="41">
        <f>L153/'1. Väestöennuste'!N153*1000</f>
        <v>-443.33740080090001</v>
      </c>
      <c r="AF153" s="41">
        <f>M153/'1. Väestöennuste'!O153*1000</f>
        <v>-467.8925851930685</v>
      </c>
      <c r="AG153" s="41">
        <f>N153/'1. Väestöennuste'!P153*1000</f>
        <v>-489.82977888954565</v>
      </c>
      <c r="AH153" s="41">
        <f>O153/'1. Väestöennuste'!Q153*1000</f>
        <v>-517.58254679196818</v>
      </c>
      <c r="AI153" s="41">
        <f>P153/'1. Väestöennuste'!R153*1000</f>
        <v>-545.24541243756505</v>
      </c>
      <c r="AK153" s="34">
        <v>441</v>
      </c>
      <c r="AL153" s="88" t="s">
        <v>467</v>
      </c>
      <c r="AM153" s="41"/>
      <c r="AN153" s="41">
        <f t="shared" si="37"/>
        <v>92.662741400062771</v>
      </c>
      <c r="AO153" s="41">
        <f t="shared" si="38"/>
        <v>-147.13730233133327</v>
      </c>
      <c r="AP153" s="41">
        <f t="shared" si="39"/>
        <v>-0.10144364473421774</v>
      </c>
      <c r="AQ153" s="41">
        <f t="shared" si="40"/>
        <v>-69.234432262904988</v>
      </c>
      <c r="AR153" s="41">
        <f t="shared" si="41"/>
        <v>621.58438291794039</v>
      </c>
      <c r="AS153" s="41">
        <f t="shared" si="42"/>
        <v>-13.092527195358414</v>
      </c>
      <c r="AT153" s="41">
        <f t="shared" si="43"/>
        <v>-56.334575870109177</v>
      </c>
      <c r="AU153" s="41">
        <f t="shared" si="44"/>
        <v>-186.35792598461435</v>
      </c>
      <c r="AV153" s="41">
        <f t="shared" si="45"/>
        <v>-87.178169681700751</v>
      </c>
      <c r="AW153" s="41">
        <f t="shared" si="46"/>
        <v>-24.555184392168485</v>
      </c>
      <c r="AX153" s="41">
        <f t="shared" si="47"/>
        <v>-21.937193696477152</v>
      </c>
      <c r="AY153" s="41">
        <f t="shared" si="47"/>
        <v>-27.752767902422534</v>
      </c>
      <c r="AZ153" s="41">
        <f t="shared" si="47"/>
        <v>-27.662865645596867</v>
      </c>
    </row>
    <row r="154" spans="1:52" x14ac:dyDescent="0.2">
      <c r="A154" s="30">
        <v>444</v>
      </c>
      <c r="B154" s="31" t="s">
        <v>468</v>
      </c>
      <c r="C154" s="41">
        <v>-21738</v>
      </c>
      <c r="D154" s="41">
        <v>-23416</v>
      </c>
      <c r="E154" s="73">
        <v>-38749</v>
      </c>
      <c r="F154" s="73">
        <v>-26912</v>
      </c>
      <c r="G154" s="73">
        <v>-22238</v>
      </c>
      <c r="H154" s="41">
        <v>-32049</v>
      </c>
      <c r="I154" s="165">
        <v>-29072.857459999999</v>
      </c>
      <c r="J154" s="41">
        <v>-25873.33411</v>
      </c>
      <c r="K154" s="41">
        <v>-35579.331899999997</v>
      </c>
      <c r="L154" s="41">
        <f>$L$5*'7.1. Nettoinvestointiennuste '!Y154</f>
        <v>-30920.334551576128</v>
      </c>
      <c r="M154" s="41">
        <f>$M$5*'7.1. Nettoinvestointiennuste '!Y154</f>
        <v>-32245.520992324233</v>
      </c>
      <c r="N154" s="41">
        <f>$N$5*'7.1. Nettoinvestointiennuste '!Y154</f>
        <v>-33383.599326199459</v>
      </c>
      <c r="O154" s="41">
        <f>O$5*'7.1. Nettoinvestointiennuste '!$Y154</f>
        <v>-34871.711315191023</v>
      </c>
      <c r="P154" s="41">
        <f>P$5*'7.1. Nettoinvestointiennuste '!$Y154</f>
        <v>-36319.434509460851</v>
      </c>
      <c r="T154" s="34">
        <v>444</v>
      </c>
      <c r="U154" s="88" t="s">
        <v>468</v>
      </c>
      <c r="V154" s="41">
        <f>C154/'1. Väestöennuste'!E154*1000</f>
        <v>-459.06278377293938</v>
      </c>
      <c r="W154" s="41">
        <f>D154/'1. Väestöennuste'!F154*1000</f>
        <v>-496.63831682538336</v>
      </c>
      <c r="X154" s="41">
        <f>E154/'1. Väestöennuste'!G154*1000</f>
        <v>-828.23554558084857</v>
      </c>
      <c r="Y154" s="41">
        <f>F154/'1. Väestöennuste'!H154*1000</f>
        <v>-581.30292033869011</v>
      </c>
      <c r="Z154" s="41">
        <f>G154/'1. Väestöennuste'!I154*1000</f>
        <v>-483.80289350592841</v>
      </c>
      <c r="AA154" s="41">
        <f>H154/'1. Väestöennuste'!J154*1000</f>
        <v>-698.44832846619886</v>
      </c>
      <c r="AB154" s="41">
        <f>I154/'1. Väestöennuste'!K154*1000</f>
        <v>-632.18355788466556</v>
      </c>
      <c r="AC154" s="41">
        <f>J154/'1. Väestöennuste'!L154*1000</f>
        <v>-564.7843118464998</v>
      </c>
      <c r="AD154" s="41">
        <f>K154/'1. Väestöennuste'!M154*1000</f>
        <v>-779.47928360170886</v>
      </c>
      <c r="AE154" s="41">
        <f>L154/'1. Väestöennuste'!N154*1000</f>
        <v>-688.69489167597226</v>
      </c>
      <c r="AF154" s="41">
        <f>M154/'1. Väestöennuste'!O154*1000</f>
        <v>-721.87693909253028</v>
      </c>
      <c r="AG154" s="41">
        <f>N154/'1. Väestöennuste'!P154*1000</f>
        <v>-751.02020935860742</v>
      </c>
      <c r="AH154" s="41">
        <f>O154/'1. Väestöennuste'!Q154*1000</f>
        <v>-788.18595744391246</v>
      </c>
      <c r="AI154" s="41">
        <f>P154/'1. Väestöennuste'!R154*1000</f>
        <v>-824.56091242220475</v>
      </c>
      <c r="AK154" s="34">
        <v>444</v>
      </c>
      <c r="AL154" s="88" t="s">
        <v>468</v>
      </c>
      <c r="AM154" s="41"/>
      <c r="AN154" s="41">
        <f t="shared" si="37"/>
        <v>-37.575533052443973</v>
      </c>
      <c r="AO154" s="41">
        <f t="shared" si="38"/>
        <v>-331.59722875546521</v>
      </c>
      <c r="AP154" s="41">
        <f t="shared" si="39"/>
        <v>246.93262524215845</v>
      </c>
      <c r="AQ154" s="41">
        <f t="shared" si="40"/>
        <v>97.500026832761705</v>
      </c>
      <c r="AR154" s="41">
        <f t="shared" si="41"/>
        <v>-214.64543496027045</v>
      </c>
      <c r="AS154" s="41">
        <f t="shared" si="42"/>
        <v>66.264770581533298</v>
      </c>
      <c r="AT154" s="41">
        <f t="shared" si="43"/>
        <v>67.399246038165757</v>
      </c>
      <c r="AU154" s="41">
        <f t="shared" si="44"/>
        <v>-214.69497175520905</v>
      </c>
      <c r="AV154" s="41">
        <f t="shared" si="45"/>
        <v>90.7843919257366</v>
      </c>
      <c r="AW154" s="41">
        <f t="shared" si="46"/>
        <v>-33.182047416558021</v>
      </c>
      <c r="AX154" s="41">
        <f t="shared" si="47"/>
        <v>-29.143270266077138</v>
      </c>
      <c r="AY154" s="41">
        <f t="shared" si="47"/>
        <v>-37.16574808530504</v>
      </c>
      <c r="AZ154" s="41">
        <f t="shared" si="47"/>
        <v>-36.374954978292294</v>
      </c>
    </row>
    <row r="155" spans="1:52" x14ac:dyDescent="0.2">
      <c r="A155" s="30">
        <v>445</v>
      </c>
      <c r="B155" s="31" t="s">
        <v>469</v>
      </c>
      <c r="C155" s="41">
        <v>-5504</v>
      </c>
      <c r="D155" s="41">
        <v>-5282</v>
      </c>
      <c r="E155" s="73">
        <v>-4327</v>
      </c>
      <c r="F155" s="73">
        <v>-4352</v>
      </c>
      <c r="G155" s="73">
        <v>-2879</v>
      </c>
      <c r="H155" s="41">
        <v>-4371</v>
      </c>
      <c r="I155" s="165">
        <v>-5140.4719000000005</v>
      </c>
      <c r="J155" s="41">
        <v>-10830.076869999999</v>
      </c>
      <c r="K155" s="41">
        <v>-11475.197970000001</v>
      </c>
      <c r="L155" s="41">
        <f>$L$5*'7.1. Nettoinvestointiennuste '!Y155</f>
        <v>-8642.1984878868025</v>
      </c>
      <c r="M155" s="41">
        <f>$M$5*'7.1. Nettoinvestointiennuste '!Y155</f>
        <v>-9012.5865972165448</v>
      </c>
      <c r="N155" s="41">
        <f>$N$5*'7.1. Nettoinvestointiennuste '!Y155</f>
        <v>-9330.678202587349</v>
      </c>
      <c r="O155" s="41">
        <f>O$5*'7.1. Nettoinvestointiennuste '!$Y155</f>
        <v>-9746.603818127418</v>
      </c>
      <c r="P155" s="41">
        <f>P$5*'7.1. Nettoinvestointiennuste '!$Y155</f>
        <v>-10151.240811285683</v>
      </c>
      <c r="T155" s="34">
        <v>445</v>
      </c>
      <c r="U155" s="88" t="s">
        <v>469</v>
      </c>
      <c r="V155" s="41">
        <f>C155/'1. Väestöennuste'!E155*1000</f>
        <v>-356.08462185417613</v>
      </c>
      <c r="W155" s="41">
        <f>D155/'1. Väestöennuste'!F155*1000</f>
        <v>-343.03156254058968</v>
      </c>
      <c r="X155" s="41">
        <f>E155/'1. Väestöennuste'!G155*1000</f>
        <v>-283.08799476611057</v>
      </c>
      <c r="Y155" s="41">
        <f>F155/'1. Väestöennuste'!H155*1000</f>
        <v>-285.99592560951572</v>
      </c>
      <c r="Z155" s="41">
        <f>G155/'1. Väestöennuste'!I155*1000</f>
        <v>-190.2590536611155</v>
      </c>
      <c r="AA155" s="41">
        <f>H155/'1. Väestöennuste'!J155*1000</f>
        <v>-289.37437934458785</v>
      </c>
      <c r="AB155" s="41">
        <f>I155/'1. Väestöennuste'!K155*1000</f>
        <v>-340.74452472491055</v>
      </c>
      <c r="AC155" s="41">
        <f>J155/'1. Väestöennuste'!L155*1000</f>
        <v>-722.43858781935819</v>
      </c>
      <c r="AD155" s="41">
        <f>K155/'1. Väestöennuste'!M155*1000</f>
        <v>-765.06420228015202</v>
      </c>
      <c r="AE155" s="41">
        <f>L155/'1. Väestöennuste'!N155*1000</f>
        <v>-583.69569687199794</v>
      </c>
      <c r="AF155" s="41">
        <f>M155/'1. Väestöennuste'!O155*1000</f>
        <v>-611.39587526060268</v>
      </c>
      <c r="AG155" s="41">
        <f>N155/'1. Väestöennuste'!P155*1000</f>
        <v>-635.64808247069618</v>
      </c>
      <c r="AH155" s="41">
        <f>O155/'1. Väestöennuste'!Q155*1000</f>
        <v>-666.61677163856223</v>
      </c>
      <c r="AI155" s="41">
        <f>P155/'1. Väestöennuste'!R155*1000</f>
        <v>-697.05698079280944</v>
      </c>
      <c r="AK155" s="34">
        <v>445</v>
      </c>
      <c r="AL155" s="88" t="s">
        <v>469</v>
      </c>
      <c r="AM155" s="41"/>
      <c r="AN155" s="41">
        <f t="shared" si="37"/>
        <v>13.053059313586459</v>
      </c>
      <c r="AO155" s="41">
        <f t="shared" si="38"/>
        <v>59.943567774479106</v>
      </c>
      <c r="AP155" s="41">
        <f t="shared" si="39"/>
        <v>-2.9079308434051541</v>
      </c>
      <c r="AQ155" s="41">
        <f t="shared" si="40"/>
        <v>95.736871948400221</v>
      </c>
      <c r="AR155" s="41">
        <f t="shared" si="41"/>
        <v>-99.115325683472349</v>
      </c>
      <c r="AS155" s="41">
        <f t="shared" si="42"/>
        <v>-51.370145380322697</v>
      </c>
      <c r="AT155" s="41">
        <f t="shared" si="43"/>
        <v>-381.69406309444764</v>
      </c>
      <c r="AU155" s="41">
        <f t="shared" si="44"/>
        <v>-42.625614460793827</v>
      </c>
      <c r="AV155" s="41">
        <f t="shared" si="45"/>
        <v>181.36850540815408</v>
      </c>
      <c r="AW155" s="41">
        <f t="shared" si="46"/>
        <v>-27.700178388604741</v>
      </c>
      <c r="AX155" s="41">
        <f t="shared" si="47"/>
        <v>-24.252207210093502</v>
      </c>
      <c r="AY155" s="41">
        <f t="shared" si="47"/>
        <v>-30.968689167866046</v>
      </c>
      <c r="AZ155" s="41">
        <f t="shared" si="47"/>
        <v>-30.440209154247214</v>
      </c>
    </row>
    <row r="156" spans="1:52" x14ac:dyDescent="0.2">
      <c r="A156" s="30">
        <v>475</v>
      </c>
      <c r="B156" s="31" t="s">
        <v>470</v>
      </c>
      <c r="C156" s="41">
        <v>-5862</v>
      </c>
      <c r="D156" s="41">
        <v>-5412</v>
      </c>
      <c r="E156" s="73">
        <v>-5112</v>
      </c>
      <c r="F156" s="73">
        <v>-4798</v>
      </c>
      <c r="G156" s="73">
        <v>-5710</v>
      </c>
      <c r="H156" s="41">
        <v>-1778</v>
      </c>
      <c r="I156" s="165">
        <v>-3671.5786600000001</v>
      </c>
      <c r="J156" s="41">
        <v>-3413.8014800000001</v>
      </c>
      <c r="K156" s="41">
        <v>-1989.8253400000001</v>
      </c>
      <c r="L156" s="41">
        <f>$L$5*'7.1. Nettoinvestointiennuste '!Y156</f>
        <v>-2989.2539976542057</v>
      </c>
      <c r="M156" s="41">
        <f>$M$5*'7.1. Nettoinvestointiennuste '!Y156</f>
        <v>-3117.3677106231194</v>
      </c>
      <c r="N156" s="41">
        <f>$N$5*'7.1. Nettoinvestointiennuste '!Y156</f>
        <v>-3227.3925618583316</v>
      </c>
      <c r="O156" s="41">
        <f>O$5*'7.1. Nettoinvestointiennuste '!$Y156</f>
        <v>-3371.2572637304997</v>
      </c>
      <c r="P156" s="41">
        <f>P$5*'7.1. Nettoinvestointiennuste '!$Y156</f>
        <v>-3511.2173388308906</v>
      </c>
      <c r="T156" s="34">
        <v>475</v>
      </c>
      <c r="U156" s="88" t="s">
        <v>470</v>
      </c>
      <c r="V156" s="41">
        <f>C156/'1. Väestöennuste'!E156*1000</f>
        <v>-1057.1686203787197</v>
      </c>
      <c r="W156" s="41">
        <f>D156/'1. Väestöennuste'!F156*1000</f>
        <v>-980.96791734638384</v>
      </c>
      <c r="X156" s="41">
        <f>E156/'1. Väestöennuste'!G156*1000</f>
        <v>-933.35767756070845</v>
      </c>
      <c r="Y156" s="41">
        <f>F156/'1. Väestöennuste'!H156*1000</f>
        <v>-876.02702209238635</v>
      </c>
      <c r="Z156" s="41">
        <f>G156/'1. Väestöennuste'!I156*1000</f>
        <v>-1042.9223744292237</v>
      </c>
      <c r="AA156" s="41">
        <f>H156/'1. Väestöennuste'!J156*1000</f>
        <v>-326.17868281049351</v>
      </c>
      <c r="AB156" s="41">
        <f>I156/'1. Väestöennuste'!K156*1000</f>
        <v>-669.14136322216143</v>
      </c>
      <c r="AC156" s="41">
        <f>J156/'1. Väestöennuste'!L156*1000</f>
        <v>-623.07017338930461</v>
      </c>
      <c r="AD156" s="41">
        <f>K156/'1. Väestöennuste'!M156*1000</f>
        <v>-364.70405791788858</v>
      </c>
      <c r="AE156" s="41">
        <f>L156/'1. Väestöennuste'!N156*1000</f>
        <v>-553.56555512114926</v>
      </c>
      <c r="AF156" s="41">
        <f>M156/'1. Väestöennuste'!O156*1000</f>
        <v>-578.57604131832204</v>
      </c>
      <c r="AG156" s="41">
        <f>N156/'1. Väestöennuste'!P156*1000</f>
        <v>-600.33343784567182</v>
      </c>
      <c r="AH156" s="41">
        <f>O156/'1. Väestöennuste'!Q156*1000</f>
        <v>-628.73130617875779</v>
      </c>
      <c r="AI156" s="41">
        <f>P156/'1. Väestöennuste'!R156*1000</f>
        <v>-657.40822670490377</v>
      </c>
      <c r="AK156" s="34">
        <v>475</v>
      </c>
      <c r="AL156" s="88" t="s">
        <v>470</v>
      </c>
      <c r="AM156" s="41"/>
      <c r="AN156" s="41">
        <f t="shared" si="37"/>
        <v>76.200703032335809</v>
      </c>
      <c r="AO156" s="41">
        <f t="shared" si="38"/>
        <v>47.61023978567539</v>
      </c>
      <c r="AP156" s="41">
        <f t="shared" si="39"/>
        <v>57.330655468322107</v>
      </c>
      <c r="AQ156" s="41">
        <f t="shared" si="40"/>
        <v>-166.89535233683739</v>
      </c>
      <c r="AR156" s="41">
        <f t="shared" si="41"/>
        <v>716.74369161873028</v>
      </c>
      <c r="AS156" s="41">
        <f t="shared" si="42"/>
        <v>-342.96268041166792</v>
      </c>
      <c r="AT156" s="41">
        <f t="shared" si="43"/>
        <v>46.071189832856817</v>
      </c>
      <c r="AU156" s="41">
        <f t="shared" si="44"/>
        <v>258.36611547141604</v>
      </c>
      <c r="AV156" s="41">
        <f t="shared" si="45"/>
        <v>-188.86149720326068</v>
      </c>
      <c r="AW156" s="41">
        <f t="shared" si="46"/>
        <v>-25.010486197172781</v>
      </c>
      <c r="AX156" s="41">
        <f t="shared" si="47"/>
        <v>-21.757396527349783</v>
      </c>
      <c r="AY156" s="41">
        <f t="shared" si="47"/>
        <v>-28.397868333085967</v>
      </c>
      <c r="AZ156" s="41">
        <f t="shared" si="47"/>
        <v>-28.676920526145977</v>
      </c>
    </row>
    <row r="157" spans="1:52" x14ac:dyDescent="0.2">
      <c r="A157" s="30">
        <v>480</v>
      </c>
      <c r="B157" s="31" t="s">
        <v>471</v>
      </c>
      <c r="C157" s="41">
        <v>-287</v>
      </c>
      <c r="D157" s="41">
        <v>-665</v>
      </c>
      <c r="E157" s="73">
        <v>-1275</v>
      </c>
      <c r="F157" s="73">
        <v>-70</v>
      </c>
      <c r="G157" s="73">
        <v>-464</v>
      </c>
      <c r="H157" s="41">
        <v>-690</v>
      </c>
      <c r="I157" s="165">
        <v>-646.49648999999999</v>
      </c>
      <c r="J157" s="41">
        <v>-186.82585</v>
      </c>
      <c r="K157" s="41">
        <v>-547.05775000000006</v>
      </c>
      <c r="L157" s="41">
        <f>$L$5*'7.1. Nettoinvestointiennuste '!Y157</f>
        <v>-648.71597842972301</v>
      </c>
      <c r="M157" s="41">
        <f>$M$5*'7.1. Nettoinvestointiennuste '!Y157</f>
        <v>-676.51870537233583</v>
      </c>
      <c r="N157" s="41">
        <f>$N$5*'7.1. Nettoinvestointiennuste '!Y157</f>
        <v>-700.39585969801249</v>
      </c>
      <c r="O157" s="41">
        <f>O$5*'7.1. Nettoinvestointiennuste '!$Y157</f>
        <v>-731.6168034216779</v>
      </c>
      <c r="P157" s="41">
        <f>P$5*'7.1. Nettoinvestointiennuste '!$Y157</f>
        <v>-761.99038061889758</v>
      </c>
      <c r="T157" s="34">
        <v>480</v>
      </c>
      <c r="U157" s="88" t="s">
        <v>471</v>
      </c>
      <c r="V157" s="41">
        <f>C157/'1. Väestöennuste'!E157*1000</f>
        <v>-141.51873767258382</v>
      </c>
      <c r="W157" s="41">
        <f>D157/'1. Väestöennuste'!F157*1000</f>
        <v>-329.04502721425041</v>
      </c>
      <c r="X157" s="41">
        <f>E157/'1. Väestöennuste'!G157*1000</f>
        <v>-641.34808853118705</v>
      </c>
      <c r="Y157" s="41">
        <f>F157/'1. Väestöennuste'!H157*1000</f>
        <v>-34.68780971258672</v>
      </c>
      <c r="Z157" s="41">
        <f>G157/'1. Väestöennuste'!I157*1000</f>
        <v>-230.50173869846003</v>
      </c>
      <c r="AA157" s="41">
        <f>H157/'1. Väestöennuste'!J157*1000</f>
        <v>-345.17258629314659</v>
      </c>
      <c r="AB157" s="41">
        <f>I157/'1. Väestöennuste'!K157*1000</f>
        <v>-324.87260804020104</v>
      </c>
      <c r="AC157" s="41">
        <f>J157/'1. Väestöennuste'!L157*1000</f>
        <v>-94.451895854398373</v>
      </c>
      <c r="AD157" s="41">
        <f>K157/'1. Väestöennuste'!M157*1000</f>
        <v>-283.44961139896373</v>
      </c>
      <c r="AE157" s="41">
        <f>L157/'1. Väestöennuste'!N157*1000</f>
        <v>-327.46894418461534</v>
      </c>
      <c r="AF157" s="41">
        <f>M157/'1. Väestöennuste'!O157*1000</f>
        <v>-342.19459047664941</v>
      </c>
      <c r="AG157" s="41">
        <f>N157/'1. Väestöennuste'!P157*1000</f>
        <v>-354.81046590578143</v>
      </c>
      <c r="AH157" s="41">
        <f>O157/'1. Väestöennuste'!Q157*1000</f>
        <v>-371.56770107754085</v>
      </c>
      <c r="AI157" s="41">
        <f>P157/'1. Väestöennuste'!R157*1000</f>
        <v>-388.57235115701047</v>
      </c>
      <c r="AK157" s="34">
        <v>480</v>
      </c>
      <c r="AL157" s="88" t="s">
        <v>471</v>
      </c>
      <c r="AM157" s="41"/>
      <c r="AN157" s="41">
        <f t="shared" si="37"/>
        <v>-187.52628954166659</v>
      </c>
      <c r="AO157" s="41">
        <f t="shared" si="38"/>
        <v>-312.30306131693663</v>
      </c>
      <c r="AP157" s="41">
        <f t="shared" si="39"/>
        <v>606.66027881860032</v>
      </c>
      <c r="AQ157" s="41">
        <f t="shared" si="40"/>
        <v>-195.8139289858733</v>
      </c>
      <c r="AR157" s="41">
        <f t="shared" si="41"/>
        <v>-114.67084759468656</v>
      </c>
      <c r="AS157" s="41">
        <f t="shared" si="42"/>
        <v>20.29997825294555</v>
      </c>
      <c r="AT157" s="41">
        <f t="shared" si="43"/>
        <v>230.42071218580267</v>
      </c>
      <c r="AU157" s="41">
        <f t="shared" si="44"/>
        <v>-188.99771554456535</v>
      </c>
      <c r="AV157" s="41">
        <f t="shared" si="45"/>
        <v>-44.019332785651613</v>
      </c>
      <c r="AW157" s="41">
        <f t="shared" si="46"/>
        <v>-14.725646292034071</v>
      </c>
      <c r="AX157" s="41">
        <f t="shared" si="47"/>
        <v>-12.615875429132018</v>
      </c>
      <c r="AY157" s="41">
        <f t="shared" si="47"/>
        <v>-16.757235171759419</v>
      </c>
      <c r="AZ157" s="41">
        <f t="shared" si="47"/>
        <v>-17.004650079469627</v>
      </c>
    </row>
    <row r="158" spans="1:52" x14ac:dyDescent="0.2">
      <c r="A158" s="30">
        <v>481</v>
      </c>
      <c r="B158" s="31" t="s">
        <v>472</v>
      </c>
      <c r="C158" s="41">
        <v>-442</v>
      </c>
      <c r="D158" s="41">
        <v>-2245</v>
      </c>
      <c r="E158" s="73">
        <v>-5858</v>
      </c>
      <c r="F158" s="73">
        <v>-10134</v>
      </c>
      <c r="G158" s="73">
        <v>-9024</v>
      </c>
      <c r="H158" s="41">
        <v>-1069</v>
      </c>
      <c r="I158" s="165">
        <v>-438.06148999999999</v>
      </c>
      <c r="J158" s="41">
        <v>-1374.8150600000001</v>
      </c>
      <c r="K158" s="41">
        <v>-1398.78009</v>
      </c>
      <c r="L158" s="41">
        <f>$L$5*'7.1. Nettoinvestointiennuste '!Y158</f>
        <v>-1922.6866365124397</v>
      </c>
      <c r="M158" s="41">
        <f>$M$5*'7.1. Nettoinvestointiennuste '!Y158</f>
        <v>-2005.0893109163617</v>
      </c>
      <c r="N158" s="41">
        <f>$N$5*'7.1. Nettoinvestointiennuste '!Y158</f>
        <v>-2075.8572387405675</v>
      </c>
      <c r="O158" s="41">
        <f>O$5*'7.1. Nettoinvestointiennuste '!$Y158</f>
        <v>-2168.3909411200002</v>
      </c>
      <c r="P158" s="41">
        <f>P$5*'7.1. Nettoinvestointiennuste '!$Y158</f>
        <v>-2258.4131895645864</v>
      </c>
      <c r="T158" s="34">
        <v>481</v>
      </c>
      <c r="U158" s="88" t="s">
        <v>472</v>
      </c>
      <c r="V158" s="41">
        <f>C158/'1. Väestöennuste'!E158*1000</f>
        <v>-45.538841953430868</v>
      </c>
      <c r="W158" s="41">
        <f>D158/'1. Väestöennuste'!F158*1000</f>
        <v>-232.04134366925064</v>
      </c>
      <c r="X158" s="41">
        <f>E158/'1. Väestöennuste'!G158*1000</f>
        <v>-606.66942833471421</v>
      </c>
      <c r="Y158" s="41">
        <f>F158/'1. Väestöennuste'!H158*1000</f>
        <v>-1060.70755704417</v>
      </c>
      <c r="Z158" s="41">
        <f>G158/'1. Väestöennuste'!I158*1000</f>
        <v>-946.50723725613591</v>
      </c>
      <c r="AA158" s="41">
        <f>H158/'1. Väestöennuste'!J158*1000</f>
        <v>-112.0192811484858</v>
      </c>
      <c r="AB158" s="41">
        <f>I158/'1. Väestöennuste'!K158*1000</f>
        <v>-45.574437161880986</v>
      </c>
      <c r="AC158" s="41">
        <f>J158/'1. Väestöennuste'!L158*1000</f>
        <v>-142.5860879485584</v>
      </c>
      <c r="AD158" s="41">
        <f>K158/'1. Väestöennuste'!M158*1000</f>
        <v>-145.4184520220397</v>
      </c>
      <c r="AE158" s="41">
        <f>L158/'1. Väestöennuste'!N158*1000</f>
        <v>-202.94349129326997</v>
      </c>
      <c r="AF158" s="41">
        <f>M158/'1. Väestöennuste'!O158*1000</f>
        <v>-212.04413186509746</v>
      </c>
      <c r="AG158" s="41">
        <f>N158/'1. Väestöennuste'!P158*1000</f>
        <v>-219.85355208012788</v>
      </c>
      <c r="AH158" s="41">
        <f>O158/'1. Väestöennuste'!Q158*1000</f>
        <v>-229.92163515215779</v>
      </c>
      <c r="AI158" s="41">
        <f>P158/'1. Väestöennuste'!R158*1000</f>
        <v>-239.69573228238022</v>
      </c>
      <c r="AK158" s="34">
        <v>481</v>
      </c>
      <c r="AL158" s="88" t="s">
        <v>472</v>
      </c>
      <c r="AM158" s="41"/>
      <c r="AN158" s="41">
        <f t="shared" si="37"/>
        <v>-186.50250171581976</v>
      </c>
      <c r="AO158" s="41">
        <f t="shared" si="38"/>
        <v>-374.62808466546358</v>
      </c>
      <c r="AP158" s="41">
        <f t="shared" si="39"/>
        <v>-454.0381287094558</v>
      </c>
      <c r="AQ158" s="41">
        <f t="shared" si="40"/>
        <v>114.20031978803411</v>
      </c>
      <c r="AR158" s="41">
        <f t="shared" si="41"/>
        <v>834.48795610765012</v>
      </c>
      <c r="AS158" s="41">
        <f t="shared" si="42"/>
        <v>66.444843986604809</v>
      </c>
      <c r="AT158" s="41">
        <f t="shared" si="43"/>
        <v>-97.011650786677421</v>
      </c>
      <c r="AU158" s="41">
        <f t="shared" si="44"/>
        <v>-2.8323640734813011</v>
      </c>
      <c r="AV158" s="41">
        <f t="shared" si="45"/>
        <v>-57.52503927123027</v>
      </c>
      <c r="AW158" s="41">
        <f t="shared" si="46"/>
        <v>-9.1006405718274834</v>
      </c>
      <c r="AX158" s="41">
        <f t="shared" si="47"/>
        <v>-7.8094202150304284</v>
      </c>
      <c r="AY158" s="41">
        <f t="shared" si="47"/>
        <v>-10.068083072029907</v>
      </c>
      <c r="AZ158" s="41">
        <f t="shared" si="47"/>
        <v>-9.7740971302224295</v>
      </c>
    </row>
    <row r="159" spans="1:52" x14ac:dyDescent="0.2">
      <c r="A159" s="30">
        <v>483</v>
      </c>
      <c r="B159" s="31" t="s">
        <v>473</v>
      </c>
      <c r="C159" s="41">
        <v>-105</v>
      </c>
      <c r="D159" s="41">
        <v>-80</v>
      </c>
      <c r="E159" s="73">
        <v>-312</v>
      </c>
      <c r="F159" s="73">
        <v>-1189</v>
      </c>
      <c r="G159" s="73">
        <v>-71</v>
      </c>
      <c r="H159" s="41">
        <v>104</v>
      </c>
      <c r="I159" s="165">
        <v>-103.10921</v>
      </c>
      <c r="J159" s="41">
        <v>-79.600189999999998</v>
      </c>
      <c r="K159" s="41">
        <v>183.18880999999999</v>
      </c>
      <c r="L159" s="41">
        <f>$L$5*'7.1. Nettoinvestointiennuste '!Y159</f>
        <v>-1096.8752200096296</v>
      </c>
      <c r="M159" s="41">
        <f>$M$5*'7.1. Nettoinvestointiennuste '!Y159</f>
        <v>-1143.8851954781928</v>
      </c>
      <c r="N159" s="41">
        <f>$N$5*'7.1. Nettoinvestointiennuste '!Y159</f>
        <v>-1184.2576539577517</v>
      </c>
      <c r="O159" s="41">
        <f>O$5*'7.1. Nettoinvestointiennuste '!$Y159</f>
        <v>-1237.0472886430236</v>
      </c>
      <c r="P159" s="41">
        <f>P$5*'7.1. Nettoinvestointiennuste '!$Y159</f>
        <v>-1288.4041617253304</v>
      </c>
      <c r="T159" s="34">
        <v>483</v>
      </c>
      <c r="U159" s="88" t="s">
        <v>473</v>
      </c>
      <c r="V159" s="41">
        <f>C159/'1. Väestöennuste'!E159*1000</f>
        <v>-92.592592592592581</v>
      </c>
      <c r="W159" s="41">
        <f>D159/'1. Väestöennuste'!F159*1000</f>
        <v>-70.733863837312114</v>
      </c>
      <c r="X159" s="41">
        <f>E159/'1. Väestöennuste'!G159*1000</f>
        <v>-278.82037533512067</v>
      </c>
      <c r="Y159" s="41">
        <f>F159/'1. Väestöennuste'!H159*1000</f>
        <v>-1076.9927536231885</v>
      </c>
      <c r="Z159" s="41">
        <f>G159/'1. Väestöennuste'!I159*1000</f>
        <v>-65.197428833792472</v>
      </c>
      <c r="AA159" s="41">
        <f>H159/'1. Väestöennuste'!J159*1000</f>
        <v>96.474953617810769</v>
      </c>
      <c r="AB159" s="41">
        <f>I159/'1. Väestöennuste'!K159*1000</f>
        <v>-95.826403345724913</v>
      </c>
      <c r="AC159" s="41">
        <f>J159/'1. Väestöennuste'!L159*1000</f>
        <v>-74.601865042174325</v>
      </c>
      <c r="AD159" s="41">
        <f>K159/'1. Väestöennuste'!M159*1000</f>
        <v>173.63868246445497</v>
      </c>
      <c r="AE159" s="41">
        <f>L159/'1. Väestöennuste'!N159*1000</f>
        <v>-1075.3678627545389</v>
      </c>
      <c r="AF159" s="41">
        <f>M159/'1. Väestöennuste'!O159*1000</f>
        <v>-1137.0628185667922</v>
      </c>
      <c r="AG159" s="41">
        <f>N159/'1. Väestöennuste'!P159*1000</f>
        <v>-1192.605895224322</v>
      </c>
      <c r="AH159" s="41">
        <f>O159/'1. Väestöennuste'!Q159*1000</f>
        <v>-1263.5825215965513</v>
      </c>
      <c r="AI159" s="41">
        <f>P159/'1. Väestöennuste'!R159*1000</f>
        <v>-1329.6224579208774</v>
      </c>
      <c r="AK159" s="34">
        <v>483</v>
      </c>
      <c r="AL159" s="88" t="s">
        <v>473</v>
      </c>
      <c r="AM159" s="41"/>
      <c r="AN159" s="41">
        <f t="shared" si="37"/>
        <v>21.858728755280467</v>
      </c>
      <c r="AO159" s="41">
        <f t="shared" si="38"/>
        <v>-208.08651149780854</v>
      </c>
      <c r="AP159" s="41">
        <f t="shared" si="39"/>
        <v>-798.17237828806788</v>
      </c>
      <c r="AQ159" s="41">
        <f t="shared" si="40"/>
        <v>1011.795324789396</v>
      </c>
      <c r="AR159" s="41">
        <f t="shared" si="41"/>
        <v>161.67238245160326</v>
      </c>
      <c r="AS159" s="41">
        <f t="shared" si="42"/>
        <v>-192.30135696353568</v>
      </c>
      <c r="AT159" s="41">
        <f t="shared" si="43"/>
        <v>21.224538303550588</v>
      </c>
      <c r="AU159" s="41">
        <f t="shared" si="44"/>
        <v>248.2405475066293</v>
      </c>
      <c r="AV159" s="41">
        <f t="shared" si="45"/>
        <v>-1249.0065452189938</v>
      </c>
      <c r="AW159" s="41">
        <f t="shared" si="46"/>
        <v>-61.694955812253284</v>
      </c>
      <c r="AX159" s="41">
        <f t="shared" si="47"/>
        <v>-55.543076657529809</v>
      </c>
      <c r="AY159" s="41">
        <f t="shared" si="47"/>
        <v>-70.976626372229248</v>
      </c>
      <c r="AZ159" s="41">
        <f t="shared" si="47"/>
        <v>-66.039936324326163</v>
      </c>
    </row>
    <row r="160" spans="1:52" x14ac:dyDescent="0.2">
      <c r="A160" s="30">
        <v>484</v>
      </c>
      <c r="B160" s="31" t="s">
        <v>474</v>
      </c>
      <c r="C160" s="41">
        <v>-1239</v>
      </c>
      <c r="D160" s="41">
        <v>-1130</v>
      </c>
      <c r="E160" s="73">
        <v>-1387</v>
      </c>
      <c r="F160" s="73">
        <v>-1201</v>
      </c>
      <c r="G160" s="73">
        <v>-2606</v>
      </c>
      <c r="H160" s="41">
        <v>1358</v>
      </c>
      <c r="I160" s="165">
        <v>-985.38936999999999</v>
      </c>
      <c r="J160" s="41">
        <v>-1258.3020900000001</v>
      </c>
      <c r="K160" s="41">
        <v>-2548.1304500000001</v>
      </c>
      <c r="L160" s="41">
        <f>$L$5*'7.1. Nettoinvestointiennuste '!Y160</f>
        <v>-1786.6719353283809</v>
      </c>
      <c r="M160" s="41">
        <f>$M$5*'7.1. Nettoinvestointiennuste '!Y160</f>
        <v>-1863.2452796048792</v>
      </c>
      <c r="N160" s="41">
        <f>$N$5*'7.1. Nettoinvestointiennuste '!Y160</f>
        <v>-1929.0069425632284</v>
      </c>
      <c r="O160" s="41">
        <f>O$5*'7.1. Nettoinvestointiennuste '!$Y160</f>
        <v>-2014.9946256176281</v>
      </c>
      <c r="P160" s="41">
        <f>P$5*'7.1. Nettoinvestointiennuste '!$Y160</f>
        <v>-2098.6485200155466</v>
      </c>
      <c r="T160" s="34">
        <v>484</v>
      </c>
      <c r="U160" s="88" t="s">
        <v>474</v>
      </c>
      <c r="V160" s="41">
        <f>C160/'1. Väestöennuste'!E160*1000</f>
        <v>-389.01098901098902</v>
      </c>
      <c r="W160" s="41">
        <f>D160/'1. Väestöennuste'!F160*1000</f>
        <v>-356.57936257494475</v>
      </c>
      <c r="X160" s="41">
        <f>E160/'1. Väestöennuste'!G160*1000</f>
        <v>-439.48035487959442</v>
      </c>
      <c r="Y160" s="41">
        <f>F160/'1. Väestöennuste'!H160*1000</f>
        <v>-385.553772070626</v>
      </c>
      <c r="Z160" s="41">
        <f>G160/'1. Väestöennuste'!I160*1000</f>
        <v>-849.69025105966739</v>
      </c>
      <c r="AA160" s="41">
        <f>H160/'1. Väestöennuste'!J160*1000</f>
        <v>442.92237442922374</v>
      </c>
      <c r="AB160" s="41">
        <f>I160/'1. Väestöennuste'!K160*1000</f>
        <v>-322.5497119476268</v>
      </c>
      <c r="AC160" s="41">
        <f>J160/'1. Väestöennuste'!L160*1000</f>
        <v>-424.09912032355919</v>
      </c>
      <c r="AD160" s="41">
        <f>K160/'1. Väestöennuste'!M160*1000</f>
        <v>-859.11343560350645</v>
      </c>
      <c r="AE160" s="41">
        <f>L160/'1. Väestöennuste'!N160*1000</f>
        <v>-599.3532154741298</v>
      </c>
      <c r="AF160" s="41">
        <f>M160/'1. Väestöennuste'!O160*1000</f>
        <v>-628.41324775881253</v>
      </c>
      <c r="AG160" s="41">
        <f>N160/'1. Väestöennuste'!P160*1000</f>
        <v>-653.90065849600967</v>
      </c>
      <c r="AH160" s="41">
        <f>O160/'1. Väestöennuste'!Q160*1000</f>
        <v>-687.00805510318037</v>
      </c>
      <c r="AI160" s="41">
        <f>P160/'1. Väestöennuste'!R160*1000</f>
        <v>-718.96146626089296</v>
      </c>
      <c r="AK160" s="34">
        <v>484</v>
      </c>
      <c r="AL160" s="88" t="s">
        <v>474</v>
      </c>
      <c r="AM160" s="41"/>
      <c r="AN160" s="41">
        <f t="shared" si="37"/>
        <v>32.431626436044269</v>
      </c>
      <c r="AO160" s="41">
        <f t="shared" si="38"/>
        <v>-82.900992304649662</v>
      </c>
      <c r="AP160" s="41">
        <f t="shared" si="39"/>
        <v>53.926582808968419</v>
      </c>
      <c r="AQ160" s="41">
        <f t="shared" si="40"/>
        <v>-464.13647898904139</v>
      </c>
      <c r="AR160" s="41">
        <f t="shared" si="41"/>
        <v>1292.6126254888911</v>
      </c>
      <c r="AS160" s="41">
        <f t="shared" si="42"/>
        <v>-765.47208637685048</v>
      </c>
      <c r="AT160" s="41">
        <f t="shared" si="43"/>
        <v>-101.54940837593239</v>
      </c>
      <c r="AU160" s="41">
        <f t="shared" si="44"/>
        <v>-435.01431527994725</v>
      </c>
      <c r="AV160" s="41">
        <f t="shared" si="45"/>
        <v>259.76022012937665</v>
      </c>
      <c r="AW160" s="41">
        <f t="shared" si="46"/>
        <v>-29.060032284682734</v>
      </c>
      <c r="AX160" s="41">
        <f t="shared" si="47"/>
        <v>-25.487410737197138</v>
      </c>
      <c r="AY160" s="41">
        <f t="shared" si="47"/>
        <v>-33.107396607170699</v>
      </c>
      <c r="AZ160" s="41">
        <f t="shared" si="47"/>
        <v>-31.953411157712594</v>
      </c>
    </row>
    <row r="161" spans="1:52" x14ac:dyDescent="0.2">
      <c r="A161" s="30">
        <v>489</v>
      </c>
      <c r="B161" s="31" t="s">
        <v>475</v>
      </c>
      <c r="C161" s="41">
        <v>-2915</v>
      </c>
      <c r="D161" s="41">
        <v>-1283</v>
      </c>
      <c r="E161" s="73">
        <v>-1684</v>
      </c>
      <c r="F161" s="73">
        <v>-667</v>
      </c>
      <c r="G161" s="73">
        <v>-569</v>
      </c>
      <c r="H161" s="41">
        <v>-391</v>
      </c>
      <c r="I161" s="165">
        <v>-336.22919999999999</v>
      </c>
      <c r="J161" s="41">
        <v>-399.90021000000002</v>
      </c>
      <c r="K161" s="41">
        <v>-2416.0501899999999</v>
      </c>
      <c r="L161" s="41">
        <f>$L$5*'7.1. Nettoinvestointiennuste '!Y161</f>
        <v>-721.62875813602045</v>
      </c>
      <c r="M161" s="41">
        <f>$M$5*'7.1. Nettoinvestointiennuste '!Y161</f>
        <v>-752.55638745842055</v>
      </c>
      <c r="N161" s="41">
        <f>$N$5*'7.1. Nettoinvestointiennuste '!Y161</f>
        <v>-779.11722732792407</v>
      </c>
      <c r="O161" s="41">
        <f>O$5*'7.1. Nettoinvestointiennuste '!$Y161</f>
        <v>-813.84726573653404</v>
      </c>
      <c r="P161" s="41">
        <f>P$5*'7.1. Nettoinvestointiennuste '!$Y161</f>
        <v>-847.63469740429377</v>
      </c>
      <c r="T161" s="34">
        <v>489</v>
      </c>
      <c r="U161" s="88" t="s">
        <v>475</v>
      </c>
      <c r="V161" s="41">
        <f>C161/'1. Väestöennuste'!E161*1000</f>
        <v>-1398.0815347721823</v>
      </c>
      <c r="W161" s="41">
        <f>D161/'1. Väestöennuste'!F161*1000</f>
        <v>-630.77679449360869</v>
      </c>
      <c r="X161" s="41">
        <f>E161/'1. Väestöennuste'!G161*1000</f>
        <v>-845.38152610441762</v>
      </c>
      <c r="Y161" s="41">
        <f>F161/'1. Väestöennuste'!H161*1000</f>
        <v>-343.81443298969072</v>
      </c>
      <c r="Z161" s="41">
        <f>G161/'1. Väestöennuste'!I161*1000</f>
        <v>-306.40818524501884</v>
      </c>
      <c r="AA161" s="41">
        <f>H161/'1. Väestöennuste'!J161*1000</f>
        <v>-209.31477516059957</v>
      </c>
      <c r="AB161" s="41">
        <f>I161/'1. Väestöennuste'!K161*1000</f>
        <v>-183.23117166212532</v>
      </c>
      <c r="AC161" s="41">
        <f>J161/'1. Väestöennuste'!L161*1000</f>
        <v>-223.28319932998326</v>
      </c>
      <c r="AD161" s="41">
        <f>K161/'1. Väestöennuste'!M161*1000</f>
        <v>-1379.0240810502282</v>
      </c>
      <c r="AE161" s="41">
        <f>L161/'1. Väestöennuste'!N161*1000</f>
        <v>-417.36770279700431</v>
      </c>
      <c r="AF161" s="41">
        <f>M161/'1. Väestöennuste'!O161*1000</f>
        <v>-442.16003963479466</v>
      </c>
      <c r="AG161" s="41">
        <f>N161/'1. Väestöennuste'!P161*1000</f>
        <v>-465.14461333010394</v>
      </c>
      <c r="AH161" s="41">
        <f>O161/'1. Väestöennuste'!Q161*1000</f>
        <v>-493.53988219316801</v>
      </c>
      <c r="AI161" s="41">
        <f>P161/'1. Väestöennuste'!R161*1000</f>
        <v>-521.62135224879614</v>
      </c>
      <c r="AK161" s="34">
        <v>489</v>
      </c>
      <c r="AL161" s="88" t="s">
        <v>475</v>
      </c>
      <c r="AM161" s="41"/>
      <c r="AN161" s="41">
        <f t="shared" si="37"/>
        <v>767.3047402785736</v>
      </c>
      <c r="AO161" s="41">
        <f t="shared" si="38"/>
        <v>-214.60473161080893</v>
      </c>
      <c r="AP161" s="41">
        <f t="shared" si="39"/>
        <v>501.5670931147269</v>
      </c>
      <c r="AQ161" s="41">
        <f t="shared" si="40"/>
        <v>37.406247744671873</v>
      </c>
      <c r="AR161" s="41">
        <f t="shared" si="41"/>
        <v>97.093410084419276</v>
      </c>
      <c r="AS161" s="41">
        <f t="shared" si="42"/>
        <v>26.083603498474247</v>
      </c>
      <c r="AT161" s="41">
        <f t="shared" si="43"/>
        <v>-40.052027667857942</v>
      </c>
      <c r="AU161" s="41">
        <f t="shared" si="44"/>
        <v>-1155.7408817202449</v>
      </c>
      <c r="AV161" s="41">
        <f t="shared" si="45"/>
        <v>961.65637825322392</v>
      </c>
      <c r="AW161" s="41">
        <f t="shared" si="46"/>
        <v>-24.792336837790344</v>
      </c>
      <c r="AX161" s="41">
        <f t="shared" si="47"/>
        <v>-22.98457369530928</v>
      </c>
      <c r="AY161" s="41">
        <f t="shared" si="47"/>
        <v>-28.395268863064075</v>
      </c>
      <c r="AZ161" s="41">
        <f t="shared" si="47"/>
        <v>-28.081470055628131</v>
      </c>
    </row>
    <row r="162" spans="1:52" x14ac:dyDescent="0.2">
      <c r="A162" s="30">
        <v>491</v>
      </c>
      <c r="B162" s="31" t="s">
        <v>476</v>
      </c>
      <c r="C162" s="41">
        <v>-26097</v>
      </c>
      <c r="D162" s="41">
        <v>-23822</v>
      </c>
      <c r="E162" s="73">
        <v>-27898</v>
      </c>
      <c r="F162" s="73">
        <v>-32065</v>
      </c>
      <c r="G162" s="73">
        <v>-33803</v>
      </c>
      <c r="H162" s="41">
        <v>-46761</v>
      </c>
      <c r="I162" s="165">
        <v>-22064.057659999999</v>
      </c>
      <c r="J162" s="41">
        <v>-26495.020129999997</v>
      </c>
      <c r="K162" s="41">
        <v>-23061.333210000001</v>
      </c>
      <c r="L162" s="41">
        <f>$L$5*'7.1. Nettoinvestointiennuste '!Y162</f>
        <v>-28005.801465226559</v>
      </c>
      <c r="M162" s="41">
        <f>$M$5*'7.1. Nettoinvestointiennuste '!Y162</f>
        <v>-29206.076588449956</v>
      </c>
      <c r="N162" s="41">
        <f>$N$5*'7.1. Nettoinvestointiennuste '!Y162</f>
        <v>-30236.880308158114</v>
      </c>
      <c r="O162" s="41">
        <f>O$5*'7.1. Nettoinvestointiennuste '!$Y162</f>
        <v>-31584.723710440994</v>
      </c>
      <c r="P162" s="41">
        <f>P$5*'7.1. Nettoinvestointiennuste '!$Y162</f>
        <v>-32895.98534273979</v>
      </c>
      <c r="T162" s="34">
        <v>491</v>
      </c>
      <c r="U162" s="88" t="s">
        <v>476</v>
      </c>
      <c r="V162" s="41">
        <f>C162/'1. Väestöennuste'!E162*1000</f>
        <v>-477.39870117991399</v>
      </c>
      <c r="W162" s="41">
        <f>D162/'1. Väestöennuste'!F162*1000</f>
        <v>-436.9646165416292</v>
      </c>
      <c r="X162" s="41">
        <f>E162/'1. Väestöennuste'!G162*1000</f>
        <v>-514.14459740882035</v>
      </c>
      <c r="Y162" s="41">
        <f>F162/'1. Väestöennuste'!H162*1000</f>
        <v>-595.80437771749223</v>
      </c>
      <c r="Z162" s="41">
        <f>G162/'1. Väestöennuste'!I162*1000</f>
        <v>-636.18398765385632</v>
      </c>
      <c r="AA162" s="41">
        <f>H162/'1. Väestöennuste'!J162*1000</f>
        <v>-889.27980526025522</v>
      </c>
      <c r="AB162" s="41">
        <f>I162/'1. Väestöennuste'!K162*1000</f>
        <v>-423.31563754268831</v>
      </c>
      <c r="AC162" s="41">
        <f>J162/'1. Väestöennuste'!L162*1000</f>
        <v>-509.7156623701423</v>
      </c>
      <c r="AD162" s="41">
        <f>K162/'1. Väestöennuste'!M162*1000</f>
        <v>-444.17907143820185</v>
      </c>
      <c r="AE162" s="41">
        <f>L162/'1. Väestöennuste'!N162*1000</f>
        <v>-549.32724226641869</v>
      </c>
      <c r="AF162" s="41">
        <f>M162/'1. Väestöennuste'!O162*1000</f>
        <v>-577.33210620008617</v>
      </c>
      <c r="AG162" s="41">
        <f>N162/'1. Väestöennuste'!P162*1000</f>
        <v>-602.4122947055987</v>
      </c>
      <c r="AH162" s="41">
        <f>O162/'1. Väestöennuste'!Q162*1000</f>
        <v>-634.09133947202417</v>
      </c>
      <c r="AI162" s="41">
        <f>P162/'1. Väestöennuste'!R162*1000</f>
        <v>-665.49301739272505</v>
      </c>
      <c r="AK162" s="34">
        <v>491</v>
      </c>
      <c r="AL162" s="88" t="s">
        <v>476</v>
      </c>
      <c r="AM162" s="41"/>
      <c r="AN162" s="41">
        <f t="shared" si="37"/>
        <v>40.434084638284787</v>
      </c>
      <c r="AO162" s="41">
        <f t="shared" si="38"/>
        <v>-77.179980867191148</v>
      </c>
      <c r="AP162" s="41">
        <f t="shared" si="39"/>
        <v>-81.659780308671884</v>
      </c>
      <c r="AQ162" s="41">
        <f t="shared" si="40"/>
        <v>-40.379609936364091</v>
      </c>
      <c r="AR162" s="41">
        <f t="shared" si="41"/>
        <v>-253.0958176063989</v>
      </c>
      <c r="AS162" s="41">
        <f t="shared" si="42"/>
        <v>465.96416771756691</v>
      </c>
      <c r="AT162" s="41">
        <f t="shared" si="43"/>
        <v>-86.40002482745399</v>
      </c>
      <c r="AU162" s="41">
        <f t="shared" si="44"/>
        <v>65.536590931940452</v>
      </c>
      <c r="AV162" s="41">
        <f t="shared" si="45"/>
        <v>-105.14817082821685</v>
      </c>
      <c r="AW162" s="41">
        <f t="shared" si="46"/>
        <v>-28.00486393366748</v>
      </c>
      <c r="AX162" s="41">
        <f t="shared" si="47"/>
        <v>-25.080188505512524</v>
      </c>
      <c r="AY162" s="41">
        <f t="shared" si="47"/>
        <v>-31.679044766425477</v>
      </c>
      <c r="AZ162" s="41">
        <f t="shared" si="47"/>
        <v>-31.401677920700877</v>
      </c>
    </row>
    <row r="163" spans="1:52" x14ac:dyDescent="0.2">
      <c r="A163" s="30">
        <v>494</v>
      </c>
      <c r="B163" s="31" t="s">
        <v>477</v>
      </c>
      <c r="C163" s="41">
        <v>-13925</v>
      </c>
      <c r="D163" s="41">
        <v>-4913</v>
      </c>
      <c r="E163" s="73">
        <v>-5753</v>
      </c>
      <c r="F163" s="73">
        <v>-2643</v>
      </c>
      <c r="G163" s="73">
        <v>-9238</v>
      </c>
      <c r="H163" s="41">
        <v>-5742</v>
      </c>
      <c r="I163" s="165">
        <v>-6257.15391</v>
      </c>
      <c r="J163" s="41">
        <v>-4984.5539500000004</v>
      </c>
      <c r="K163" s="41">
        <v>-5276.9153200000001</v>
      </c>
      <c r="L163" s="41">
        <f>$L$5*'7.1. Nettoinvestointiennuste '!Y163</f>
        <v>-5178.3787873818883</v>
      </c>
      <c r="M163" s="41">
        <f>$M$5*'7.1. Nettoinvestointiennuste '!Y163</f>
        <v>-5400.314204757452</v>
      </c>
      <c r="N163" s="41">
        <f>$N$5*'7.1. Nettoinvestointiennuste '!Y163</f>
        <v>-5590.9137176019203</v>
      </c>
      <c r="O163" s="41">
        <f>O$5*'7.1. Nettoinvestointiennuste '!$Y163</f>
        <v>-5840.1350688194734</v>
      </c>
      <c r="P163" s="41">
        <f>P$5*'7.1. Nettoinvestointiennuste '!$Y163</f>
        <v>-6082.5923121815276</v>
      </c>
      <c r="T163" s="34">
        <v>494</v>
      </c>
      <c r="U163" s="88" t="s">
        <v>477</v>
      </c>
      <c r="V163" s="41">
        <f>C163/'1. Väestöennuste'!E163*1000</f>
        <v>-1536.4669535473904</v>
      </c>
      <c r="W163" s="41">
        <f>D163/'1. Väestöennuste'!F163*1000</f>
        <v>-546.19232907170647</v>
      </c>
      <c r="X163" s="41">
        <f>E163/'1. Väestöennuste'!G163*1000</f>
        <v>-637.87559596407584</v>
      </c>
      <c r="Y163" s="41">
        <f>F163/'1. Väestöennuste'!H163*1000</f>
        <v>-294.32071269487756</v>
      </c>
      <c r="Z163" s="41">
        <f>G163/'1. Väestöennuste'!I163*1000</f>
        <v>-1037.045352492142</v>
      </c>
      <c r="AA163" s="41">
        <f>H163/'1. Väestöennuste'!J163*1000</f>
        <v>-644.95114006514655</v>
      </c>
      <c r="AB163" s="41">
        <f>I163/'1. Väestöennuste'!K163*1000</f>
        <v>-702.34076888539676</v>
      </c>
      <c r="AC163" s="41">
        <f>J163/'1. Väestöennuste'!L163*1000</f>
        <v>-561.19724724161233</v>
      </c>
      <c r="AD163" s="41">
        <f>K163/'1. Väestöennuste'!M163*1000</f>
        <v>-597.81526226350968</v>
      </c>
      <c r="AE163" s="41">
        <f>L163/'1. Väestöennuste'!N163*1000</f>
        <v>-589.79257259474809</v>
      </c>
      <c r="AF163" s="41">
        <f>M163/'1. Väestöennuste'!O163*1000</f>
        <v>-617.17876625799454</v>
      </c>
      <c r="AG163" s="41">
        <f>N163/'1. Väestöennuste'!P163*1000</f>
        <v>-641.15983000022027</v>
      </c>
      <c r="AH163" s="41">
        <f>O163/'1. Väestöennuste'!Q163*1000</f>
        <v>-671.9750395604043</v>
      </c>
      <c r="AI163" s="41">
        <f>P163/'1. Väestöennuste'!R163*1000</f>
        <v>-702.21569062358901</v>
      </c>
      <c r="AK163" s="34">
        <v>494</v>
      </c>
      <c r="AL163" s="88" t="s">
        <v>477</v>
      </c>
      <c r="AM163" s="41"/>
      <c r="AN163" s="41">
        <f t="shared" si="37"/>
        <v>990.27462447568394</v>
      </c>
      <c r="AO163" s="41">
        <f t="shared" si="38"/>
        <v>-91.683266892369375</v>
      </c>
      <c r="AP163" s="41">
        <f t="shared" si="39"/>
        <v>343.55488326919829</v>
      </c>
      <c r="AQ163" s="41">
        <f t="shared" si="40"/>
        <v>-742.72463979726444</v>
      </c>
      <c r="AR163" s="41">
        <f t="shared" si="41"/>
        <v>392.09421242699545</v>
      </c>
      <c r="AS163" s="41">
        <f t="shared" si="42"/>
        <v>-57.389628820250209</v>
      </c>
      <c r="AT163" s="41">
        <f t="shared" si="43"/>
        <v>141.14352164378442</v>
      </c>
      <c r="AU163" s="41">
        <f t="shared" si="44"/>
        <v>-36.618015021897349</v>
      </c>
      <c r="AV163" s="41">
        <f t="shared" si="45"/>
        <v>8.0226896687615863</v>
      </c>
      <c r="AW163" s="41">
        <f t="shared" si="46"/>
        <v>-27.386193663246445</v>
      </c>
      <c r="AX163" s="41">
        <f t="shared" si="47"/>
        <v>-23.981063742225729</v>
      </c>
      <c r="AY163" s="41">
        <f t="shared" si="47"/>
        <v>-30.81520956018403</v>
      </c>
      <c r="AZ163" s="41">
        <f t="shared" si="47"/>
        <v>-30.240651063184714</v>
      </c>
    </row>
    <row r="164" spans="1:52" x14ac:dyDescent="0.2">
      <c r="A164" s="30">
        <v>495</v>
      </c>
      <c r="B164" s="31" t="s">
        <v>478</v>
      </c>
      <c r="C164" s="41">
        <v>-197</v>
      </c>
      <c r="D164" s="41">
        <v>-309</v>
      </c>
      <c r="E164" s="71">
        <v>-326</v>
      </c>
      <c r="F164" s="73">
        <v>-228</v>
      </c>
      <c r="G164" s="73">
        <v>230</v>
      </c>
      <c r="H164" s="41">
        <v>-198</v>
      </c>
      <c r="I164" s="165">
        <v>-308.21938</v>
      </c>
      <c r="J164" s="41">
        <v>-224.88923</v>
      </c>
      <c r="K164" s="41">
        <v>-198.68048000000002</v>
      </c>
      <c r="L164" s="41">
        <f>$L$5*'7.1. Nettoinvestointiennuste '!Y164</f>
        <v>-207.79570354063202</v>
      </c>
      <c r="M164" s="41">
        <f>$M$5*'7.1. Nettoinvestointiennuste '!Y164</f>
        <v>-216.70143023380334</v>
      </c>
      <c r="N164" s="41">
        <f>$N$5*'7.1. Nettoinvestointiennuste '!Y164</f>
        <v>-224.3497235495656</v>
      </c>
      <c r="O164" s="41">
        <f>O$5*'7.1. Nettoinvestointiennuste '!$Y164</f>
        <v>-234.35036817984789</v>
      </c>
      <c r="P164" s="41">
        <f>P$5*'7.1. Nettoinvestointiennuste '!$Y164</f>
        <v>-244.07958566886293</v>
      </c>
      <c r="T164" s="34">
        <v>495</v>
      </c>
      <c r="U164" s="88" t="s">
        <v>478</v>
      </c>
      <c r="V164" s="41">
        <f>C164/'1. Väestöennuste'!E164*1000</f>
        <v>-115.20467836257311</v>
      </c>
      <c r="W164" s="41">
        <f>D164/'1. Väestöennuste'!F164*1000</f>
        <v>-185.80877931449189</v>
      </c>
      <c r="X164" s="41">
        <f>E164/'1. Väestöennuste'!G164*1000</f>
        <v>-199.26650366748166</v>
      </c>
      <c r="Y164" s="41">
        <f>F164/'1. Väestöennuste'!H164*1000</f>
        <v>-143.93939393939394</v>
      </c>
      <c r="Z164" s="41">
        <f>G164/'1. Väestöennuste'!I164*1000</f>
        <v>146.87100893997444</v>
      </c>
      <c r="AA164" s="41">
        <f>H164/'1. Väestöennuste'!J164*1000</f>
        <v>-127.08600770218229</v>
      </c>
      <c r="AB164" s="41">
        <f>I164/'1. Väestöennuste'!K164*1000</f>
        <v>-207.1366801075269</v>
      </c>
      <c r="AC164" s="41">
        <f>J164/'1. Väestöennuste'!L164*1000</f>
        <v>-152.26081922816519</v>
      </c>
      <c r="AD164" s="41">
        <f>K164/'1. Väestöennuste'!M164*1000</f>
        <v>-138.93739860139863</v>
      </c>
      <c r="AE164" s="41">
        <f>L164/'1. Väestöennuste'!N164*1000</f>
        <v>-142.61887682953466</v>
      </c>
      <c r="AF164" s="41">
        <f>M164/'1. Väestöennuste'!O164*1000</f>
        <v>-151.1167574852185</v>
      </c>
      <c r="AG164" s="41">
        <f>N164/'1. Väestöennuste'!P164*1000</f>
        <v>-158.77545898766144</v>
      </c>
      <c r="AH164" s="41">
        <f>O164/'1. Väestöennuste'!Q164*1000</f>
        <v>-168.71876758808344</v>
      </c>
      <c r="AI164" s="41">
        <f>P164/'1. Väestöennuste'!R164*1000</f>
        <v>-178.55126969192605</v>
      </c>
      <c r="AK164" s="34">
        <v>495</v>
      </c>
      <c r="AL164" s="88" t="s">
        <v>478</v>
      </c>
      <c r="AM164" s="41"/>
      <c r="AN164" s="41">
        <f t="shared" si="37"/>
        <v>-70.604100951918781</v>
      </c>
      <c r="AO164" s="41">
        <f t="shared" si="38"/>
        <v>-13.457724352989771</v>
      </c>
      <c r="AP164" s="41">
        <f t="shared" si="39"/>
        <v>55.32710972808772</v>
      </c>
      <c r="AQ164" s="41">
        <f t="shared" si="40"/>
        <v>290.81040287936838</v>
      </c>
      <c r="AR164" s="41">
        <f t="shared" si="41"/>
        <v>-273.95701664215676</v>
      </c>
      <c r="AS164" s="41">
        <f t="shared" si="42"/>
        <v>-80.050672405344613</v>
      </c>
      <c r="AT164" s="41">
        <f t="shared" si="43"/>
        <v>54.87586087936171</v>
      </c>
      <c r="AU164" s="41">
        <f t="shared" si="44"/>
        <v>13.323420626766563</v>
      </c>
      <c r="AV164" s="41">
        <f t="shared" si="45"/>
        <v>-3.6814782281360294</v>
      </c>
      <c r="AW164" s="41">
        <f t="shared" si="46"/>
        <v>-8.4978806556838435</v>
      </c>
      <c r="AX164" s="41">
        <f t="shared" si="47"/>
        <v>-7.6587015024429377</v>
      </c>
      <c r="AY164" s="41">
        <f t="shared" si="47"/>
        <v>-9.9433086004220002</v>
      </c>
      <c r="AZ164" s="41">
        <f t="shared" si="47"/>
        <v>-9.8325021038426144</v>
      </c>
    </row>
    <row r="165" spans="1:52" x14ac:dyDescent="0.2">
      <c r="A165" s="30">
        <v>498</v>
      </c>
      <c r="B165" s="31" t="s">
        <v>479</v>
      </c>
      <c r="C165" s="41">
        <v>-650</v>
      </c>
      <c r="D165" s="41">
        <v>-1512</v>
      </c>
      <c r="E165" s="73">
        <v>-605</v>
      </c>
      <c r="F165" s="73">
        <v>-734</v>
      </c>
      <c r="G165" s="73">
        <v>-554</v>
      </c>
      <c r="H165" s="41">
        <v>-906</v>
      </c>
      <c r="I165" s="165">
        <v>-2343.7217999999998</v>
      </c>
      <c r="J165" s="41">
        <v>-875.31479000000002</v>
      </c>
      <c r="K165" s="41">
        <v>-579.57781</v>
      </c>
      <c r="L165" s="41">
        <f>$L$5*'7.1. Nettoinvestointiennuste '!Y165</f>
        <v>-1424.6248239918691</v>
      </c>
      <c r="M165" s="41">
        <f>$M$5*'7.1. Nettoinvestointiennuste '!Y165</f>
        <v>-1485.6815210582643</v>
      </c>
      <c r="N165" s="41">
        <f>$N$5*'7.1. Nettoinvestointiennuste '!Y165</f>
        <v>-1538.1173911612063</v>
      </c>
      <c r="O165" s="41">
        <f>O$5*'7.1. Nettoinvestointiennuste '!$Y165</f>
        <v>-1606.6807269446879</v>
      </c>
      <c r="P165" s="41">
        <f>P$5*'7.1. Nettoinvestointiennuste '!$Y165</f>
        <v>-1673.3831876630654</v>
      </c>
      <c r="T165" s="34">
        <v>498</v>
      </c>
      <c r="U165" s="88" t="s">
        <v>479</v>
      </c>
      <c r="V165" s="41">
        <f>C165/'1. Väestöennuste'!E165*1000</f>
        <v>-275.65733672603903</v>
      </c>
      <c r="W165" s="41">
        <f>D165/'1. Väestöennuste'!F165*1000</f>
        <v>-643.40425531914889</v>
      </c>
      <c r="X165" s="41">
        <f>E165/'1. Väestöennuste'!G165*1000</f>
        <v>-259.43396226415092</v>
      </c>
      <c r="Y165" s="41">
        <f>F165/'1. Väestöennuste'!H165*1000</f>
        <v>-319.26924749891253</v>
      </c>
      <c r="Z165" s="41">
        <f>G165/'1. Väestöennuste'!I165*1000</f>
        <v>-240.03466204506066</v>
      </c>
      <c r="AA165" s="41">
        <f>H165/'1. Väestöennuste'!J165*1000</f>
        <v>-394.42751414888988</v>
      </c>
      <c r="AB165" s="41">
        <f>I165/'1. Väestöennuste'!K165*1000</f>
        <v>-1009.78965962947</v>
      </c>
      <c r="AC165" s="41">
        <f>J165/'1. Väestöennuste'!L165*1000</f>
        <v>-383.74168785620344</v>
      </c>
      <c r="AD165" s="41">
        <f>K165/'1. Väestöennuste'!M165*1000</f>
        <v>-249.28077849462366</v>
      </c>
      <c r="AE165" s="41">
        <f>L165/'1. Väestöennuste'!N165*1000</f>
        <v>-631.76267139329013</v>
      </c>
      <c r="AF165" s="41">
        <f>M165/'1. Väestöennuste'!O165*1000</f>
        <v>-661.77350603931598</v>
      </c>
      <c r="AG165" s="41">
        <f>N165/'1. Väestöennuste'!P165*1000</f>
        <v>-687.88792091288303</v>
      </c>
      <c r="AH165" s="41">
        <f>O165/'1. Väestöennuste'!Q165*1000</f>
        <v>-721.45519844844546</v>
      </c>
      <c r="AI165" s="41">
        <f>P165/'1. Väestöennuste'!R165*1000</f>
        <v>-754.79620553137818</v>
      </c>
      <c r="AK165" s="34">
        <v>498</v>
      </c>
      <c r="AL165" s="88" t="s">
        <v>479</v>
      </c>
      <c r="AM165" s="41"/>
      <c r="AN165" s="41">
        <f t="shared" si="37"/>
        <v>-367.74691859310985</v>
      </c>
      <c r="AO165" s="41">
        <f t="shared" si="38"/>
        <v>383.97029305499797</v>
      </c>
      <c r="AP165" s="41">
        <f t="shared" si="39"/>
        <v>-59.835285234761614</v>
      </c>
      <c r="AQ165" s="41">
        <f t="shared" si="40"/>
        <v>79.234585453851878</v>
      </c>
      <c r="AR165" s="41">
        <f t="shared" si="41"/>
        <v>-154.39285210382923</v>
      </c>
      <c r="AS165" s="41">
        <f t="shared" si="42"/>
        <v>-615.36214548058001</v>
      </c>
      <c r="AT165" s="41">
        <f t="shared" si="43"/>
        <v>626.04797177326645</v>
      </c>
      <c r="AU165" s="41">
        <f t="shared" si="44"/>
        <v>134.46090936157978</v>
      </c>
      <c r="AV165" s="41">
        <f t="shared" si="45"/>
        <v>-382.4818928986665</v>
      </c>
      <c r="AW165" s="41">
        <f t="shared" si="46"/>
        <v>-30.010834646025842</v>
      </c>
      <c r="AX165" s="41">
        <f t="shared" si="47"/>
        <v>-26.114414873567057</v>
      </c>
      <c r="AY165" s="41">
        <f t="shared" si="47"/>
        <v>-33.567277535562425</v>
      </c>
      <c r="AZ165" s="41">
        <f t="shared" si="47"/>
        <v>-33.34100708293272</v>
      </c>
    </row>
    <row r="166" spans="1:52" x14ac:dyDescent="0.2">
      <c r="A166" s="30">
        <v>499</v>
      </c>
      <c r="B166" s="31" t="s">
        <v>480</v>
      </c>
      <c r="C166" s="41">
        <v>-8345</v>
      </c>
      <c r="D166" s="41">
        <v>-9365</v>
      </c>
      <c r="E166" s="73">
        <v>-12446</v>
      </c>
      <c r="F166" s="73">
        <v>-21138</v>
      </c>
      <c r="G166" s="73">
        <v>-20651</v>
      </c>
      <c r="H166" s="41">
        <v>-9296</v>
      </c>
      <c r="I166" s="165">
        <v>-9921.24215</v>
      </c>
      <c r="J166" s="41">
        <v>-13191.98134</v>
      </c>
      <c r="K166" s="41">
        <v>-18605.567179999998</v>
      </c>
      <c r="L166" s="41">
        <f>$L$5*'7.1. Nettoinvestointiennuste '!Y166</f>
        <v>-14449.10265491361</v>
      </c>
      <c r="M166" s="41">
        <f>$M$5*'7.1. Nettoinvestointiennuste '!Y166</f>
        <v>-15068.363578087965</v>
      </c>
      <c r="N166" s="41">
        <f>$N$5*'7.1. Nettoinvestointiennuste '!Y166</f>
        <v>-15600.188699451601</v>
      </c>
      <c r="O166" s="41">
        <f>O$5*'7.1. Nettoinvestointiennuste '!$Y166</f>
        <v>-16295.58489107692</v>
      </c>
      <c r="P166" s="41">
        <f>P$5*'7.1. Nettoinvestointiennuste '!$Y166</f>
        <v>-16972.107359325502</v>
      </c>
      <c r="T166" s="34">
        <v>499</v>
      </c>
      <c r="U166" s="88" t="s">
        <v>480</v>
      </c>
      <c r="V166" s="41">
        <f>C166/'1. Väestöennuste'!E166*1000</f>
        <v>-432.33861775981762</v>
      </c>
      <c r="W166" s="41">
        <f>D166/'1. Väestöennuste'!F166*1000</f>
        <v>-483.23013415892672</v>
      </c>
      <c r="X166" s="41">
        <f>E166/'1. Väestöennuste'!G166*1000</f>
        <v>-642.0759389186959</v>
      </c>
      <c r="Y166" s="41">
        <f>F166/'1. Väestöennuste'!H166*1000</f>
        <v>-1087.1219913598025</v>
      </c>
      <c r="Z166" s="41">
        <f>G166/'1. Väestöennuste'!I166*1000</f>
        <v>-1061.8572603866721</v>
      </c>
      <c r="AA166" s="41">
        <f>H166/'1. Väestöennuste'!J166*1000</f>
        <v>-477.86973731558112</v>
      </c>
      <c r="AB166" s="41">
        <f>I166/'1. Väestöennuste'!K166*1000</f>
        <v>-507.84409039721544</v>
      </c>
      <c r="AC166" s="41">
        <f>J166/'1. Väestöennuste'!L166*1000</f>
        <v>-670.93791781100595</v>
      </c>
      <c r="AD166" s="41">
        <f>K166/'1. Väestöennuste'!M166*1000</f>
        <v>-941.43435612002213</v>
      </c>
      <c r="AE166" s="41">
        <f>L166/'1. Väestöennuste'!N166*1000</f>
        <v>-740.10667699193823</v>
      </c>
      <c r="AF166" s="41">
        <f>M166/'1. Väestöennuste'!O166*1000</f>
        <v>-771.94485543483427</v>
      </c>
      <c r="AG166" s="41">
        <f>N166/'1. Väestöennuste'!P166*1000</f>
        <v>-799.51766602355474</v>
      </c>
      <c r="AH166" s="41">
        <f>O166/'1. Väestöennuste'!Q166*1000</f>
        <v>-835.71387717713321</v>
      </c>
      <c r="AI166" s="41">
        <f>P166/'1. Väestöennuste'!R166*1000</f>
        <v>-871.16863562906804</v>
      </c>
      <c r="AK166" s="34">
        <v>499</v>
      </c>
      <c r="AL166" s="88" t="s">
        <v>480</v>
      </c>
      <c r="AM166" s="41"/>
      <c r="AN166" s="41">
        <f t="shared" si="37"/>
        <v>-50.891516399109094</v>
      </c>
      <c r="AO166" s="41">
        <f t="shared" si="38"/>
        <v>-158.84580475976918</v>
      </c>
      <c r="AP166" s="41">
        <f t="shared" si="39"/>
        <v>-445.04605244110655</v>
      </c>
      <c r="AQ166" s="41">
        <f t="shared" si="40"/>
        <v>25.264730973130327</v>
      </c>
      <c r="AR166" s="41">
        <f t="shared" si="41"/>
        <v>583.987523071091</v>
      </c>
      <c r="AS166" s="41">
        <f t="shared" si="42"/>
        <v>-29.97435308163432</v>
      </c>
      <c r="AT166" s="41">
        <f t="shared" si="43"/>
        <v>-163.09382741379051</v>
      </c>
      <c r="AU166" s="41">
        <f t="shared" si="44"/>
        <v>-270.49643830901618</v>
      </c>
      <c r="AV166" s="41">
        <f t="shared" si="45"/>
        <v>201.3276791280839</v>
      </c>
      <c r="AW166" s="41">
        <f t="shared" si="46"/>
        <v>-31.838178442896037</v>
      </c>
      <c r="AX166" s="41">
        <f t="shared" si="47"/>
        <v>-27.572810588720472</v>
      </c>
      <c r="AY166" s="41">
        <f t="shared" si="47"/>
        <v>-36.196211153578474</v>
      </c>
      <c r="AZ166" s="41">
        <f t="shared" si="47"/>
        <v>-35.454758451934822</v>
      </c>
    </row>
    <row r="167" spans="1:52" x14ac:dyDescent="0.2">
      <c r="A167" s="30">
        <v>500</v>
      </c>
      <c r="B167" s="31" t="s">
        <v>481</v>
      </c>
      <c r="C167" s="41">
        <v>-7389</v>
      </c>
      <c r="D167" s="41">
        <v>-2908</v>
      </c>
      <c r="E167" s="73">
        <v>-3409</v>
      </c>
      <c r="F167" s="73">
        <v>-1202</v>
      </c>
      <c r="G167" s="73">
        <v>-3425</v>
      </c>
      <c r="H167" s="41">
        <v>-3783</v>
      </c>
      <c r="I167" s="165">
        <v>-3823.4029</v>
      </c>
      <c r="J167" s="41">
        <v>-6369.85052</v>
      </c>
      <c r="K167" s="41">
        <v>-15782.98704</v>
      </c>
      <c r="L167" s="41">
        <f>$L$5*'7.1. Nettoinvestointiennuste '!Y167</f>
        <v>-7267.8684967094923</v>
      </c>
      <c r="M167" s="41">
        <f>$M$5*'7.1. Nettoinvestointiennuste '!Y167</f>
        <v>-7579.3554493785987</v>
      </c>
      <c r="N167" s="41">
        <f>$N$5*'7.1. Nettoinvestointiennuste '!Y167</f>
        <v>-7846.8623761151903</v>
      </c>
      <c r="O167" s="41">
        <f>O$5*'7.1. Nettoinvestointiennuste '!$Y167</f>
        <v>-8196.6452100081133</v>
      </c>
      <c r="P167" s="41">
        <f>P$5*'7.1. Nettoinvestointiennuste '!$Y167</f>
        <v>-8536.9346004103572</v>
      </c>
      <c r="T167" s="34">
        <v>500</v>
      </c>
      <c r="U167" s="88" t="s">
        <v>481</v>
      </c>
      <c r="V167" s="41">
        <f>C167/'1. Väestöennuste'!E167*1000</f>
        <v>-754.6726585639874</v>
      </c>
      <c r="W167" s="41">
        <f>D167/'1. Väestöennuste'!F167*1000</f>
        <v>-292.5259028266774</v>
      </c>
      <c r="X167" s="41">
        <f>E167/'1. Väestöennuste'!G167*1000</f>
        <v>-337.62503713974445</v>
      </c>
      <c r="Y167" s="41">
        <f>F167/'1. Väestöennuste'!H167*1000</f>
        <v>-118.19075712881022</v>
      </c>
      <c r="Z167" s="41">
        <f>G167/'1. Väestöennuste'!I167*1000</f>
        <v>-336.97363242817789</v>
      </c>
      <c r="AA167" s="41">
        <f>H167/'1. Väestöennuste'!J167*1000</f>
        <v>-368.46206292003507</v>
      </c>
      <c r="AB167" s="41">
        <f>I167/'1. Väestöennuste'!K167*1000</f>
        <v>-366.71809898331099</v>
      </c>
      <c r="AC167" s="41">
        <f>J167/'1. Väestöennuste'!L167*1000</f>
        <v>-607.46238031661255</v>
      </c>
      <c r="AD167" s="41">
        <f>K167/'1. Väestöennuste'!M167*1000</f>
        <v>-1495.8759397213535</v>
      </c>
      <c r="AE167" s="41">
        <f>L167/'1. Väestöennuste'!N167*1000</f>
        <v>-683.77726001594624</v>
      </c>
      <c r="AF167" s="41">
        <f>M167/'1. Väestöennuste'!O167*1000</f>
        <v>-708.35097657743916</v>
      </c>
      <c r="AG167" s="41">
        <f>N167/'1. Väestöennuste'!P167*1000</f>
        <v>-729.05903336571498</v>
      </c>
      <c r="AH167" s="41">
        <f>O167/'1. Väestöennuste'!Q167*1000</f>
        <v>-757.61578796636593</v>
      </c>
      <c r="AI167" s="41">
        <f>P167/'1. Väestöennuste'!R167*1000</f>
        <v>-785.43882605670774</v>
      </c>
      <c r="AK167" s="34">
        <v>500</v>
      </c>
      <c r="AL167" s="88" t="s">
        <v>481</v>
      </c>
      <c r="AM167" s="41"/>
      <c r="AN167" s="41">
        <f t="shared" si="37"/>
        <v>462.14675573731</v>
      </c>
      <c r="AO167" s="41">
        <f t="shared" si="38"/>
        <v>-45.099134313067054</v>
      </c>
      <c r="AP167" s="41">
        <f t="shared" si="39"/>
        <v>219.43428001093423</v>
      </c>
      <c r="AQ167" s="41">
        <f t="shared" si="40"/>
        <v>-218.78287529936767</v>
      </c>
      <c r="AR167" s="41">
        <f t="shared" si="41"/>
        <v>-31.488430491857173</v>
      </c>
      <c r="AS167" s="41">
        <f t="shared" si="42"/>
        <v>1.7439639367240716</v>
      </c>
      <c r="AT167" s="41">
        <f t="shared" si="43"/>
        <v>-240.74428133330156</v>
      </c>
      <c r="AU167" s="41">
        <f t="shared" si="44"/>
        <v>-888.41355940474091</v>
      </c>
      <c r="AV167" s="41">
        <f t="shared" si="45"/>
        <v>812.09867970540722</v>
      </c>
      <c r="AW167" s="41">
        <f t="shared" si="46"/>
        <v>-24.573716561492915</v>
      </c>
      <c r="AX167" s="41">
        <f t="shared" si="47"/>
        <v>-20.708056788275826</v>
      </c>
      <c r="AY167" s="41">
        <f t="shared" si="47"/>
        <v>-28.556754600650947</v>
      </c>
      <c r="AZ167" s="41">
        <f t="shared" si="47"/>
        <v>-27.823038090341811</v>
      </c>
    </row>
    <row r="168" spans="1:52" x14ac:dyDescent="0.2">
      <c r="A168" s="30">
        <v>503</v>
      </c>
      <c r="B168" s="31" t="s">
        <v>482</v>
      </c>
      <c r="C168" s="41">
        <v>-2113</v>
      </c>
      <c r="D168" s="41">
        <v>-1294</v>
      </c>
      <c r="E168" s="73">
        <v>4699</v>
      </c>
      <c r="F168" s="73">
        <v>-2264</v>
      </c>
      <c r="G168" s="73">
        <v>-7332</v>
      </c>
      <c r="H168" s="41">
        <v>-7101</v>
      </c>
      <c r="I168" s="165">
        <v>-5048.2426399999995</v>
      </c>
      <c r="J168" s="41">
        <v>-5139.4044899999999</v>
      </c>
      <c r="K168" s="41">
        <v>-3040.79441</v>
      </c>
      <c r="L168" s="41">
        <f>$L$5*'7.1. Nettoinvestointiennuste '!Y168</f>
        <v>-4279.7498091614307</v>
      </c>
      <c r="M168" s="41">
        <f>$M$5*'7.1. Nettoinvestointiennuste '!Y168</f>
        <v>-4463.1717060828505</v>
      </c>
      <c r="N168" s="41">
        <f>$N$5*'7.1. Nettoinvestointiennuste '!Y168</f>
        <v>-4620.6955687075833</v>
      </c>
      <c r="O168" s="41">
        <f>O$5*'7.1. Nettoinvestointiennuste '!$Y168</f>
        <v>-4826.6683401300343</v>
      </c>
      <c r="P168" s="41">
        <f>P$5*'7.1. Nettoinvestointiennuste '!$Y168</f>
        <v>-5027.0508118675225</v>
      </c>
      <c r="T168" s="34">
        <v>503</v>
      </c>
      <c r="U168" s="88" t="s">
        <v>482</v>
      </c>
      <c r="V168" s="41">
        <f>C168/'1. Väestöennuste'!E168*1000</f>
        <v>-268.8637231199898</v>
      </c>
      <c r="W168" s="41">
        <f>D168/'1. Väestöennuste'!F168*1000</f>
        <v>-165.00892629431269</v>
      </c>
      <c r="X168" s="41">
        <f>E168/'1. Väestöennuste'!G168*1000</f>
        <v>599.51518244450119</v>
      </c>
      <c r="Y168" s="41">
        <f>F168/'1. Väestöennuste'!H168*1000</f>
        <v>-291.52716971413855</v>
      </c>
      <c r="Z168" s="41">
        <f>G168/'1. Väestöennuste'!I168*1000</f>
        <v>-957.93049385941981</v>
      </c>
      <c r="AA168" s="41">
        <f>H168/'1. Väestöennuste'!J168*1000</f>
        <v>-928.84238064094177</v>
      </c>
      <c r="AB168" s="41">
        <f>I168/'1. Väestöennuste'!K168*1000</f>
        <v>-664.76726889649717</v>
      </c>
      <c r="AC168" s="41">
        <f>J168/'1. Väestöennuste'!L168*1000</f>
        <v>-681.70904496617595</v>
      </c>
      <c r="AD168" s="41">
        <f>K168/'1. Väestöennuste'!M168*1000</f>
        <v>-404.62999467731203</v>
      </c>
      <c r="AE168" s="41">
        <f>L168/'1. Väestöennuste'!N168*1000</f>
        <v>-573.61611166886883</v>
      </c>
      <c r="AF168" s="41">
        <f>M168/'1. Väestöennuste'!O168*1000</f>
        <v>-601.34353356007148</v>
      </c>
      <c r="AG168" s="41">
        <f>N168/'1. Väestöennuste'!P168*1000</f>
        <v>-625.68660375187312</v>
      </c>
      <c r="AH168" s="41">
        <f>O168/'1. Väestöennuste'!Q168*1000</f>
        <v>-656.60023672017871</v>
      </c>
      <c r="AI168" s="41">
        <f>P168/'1. Väestöennuste'!R168*1000</f>
        <v>-687.13105684356515</v>
      </c>
      <c r="AK168" s="34">
        <v>503</v>
      </c>
      <c r="AL168" s="88" t="s">
        <v>482</v>
      </c>
      <c r="AM168" s="41"/>
      <c r="AN168" s="41">
        <f t="shared" si="37"/>
        <v>103.85479682567711</v>
      </c>
      <c r="AO168" s="41">
        <f t="shared" si="38"/>
        <v>764.52410873881388</v>
      </c>
      <c r="AP168" s="41">
        <f t="shared" si="39"/>
        <v>-891.04235215863969</v>
      </c>
      <c r="AQ168" s="41">
        <f t="shared" si="40"/>
        <v>-666.4033241452812</v>
      </c>
      <c r="AR168" s="41">
        <f t="shared" si="41"/>
        <v>29.088113218478043</v>
      </c>
      <c r="AS168" s="41">
        <f t="shared" si="42"/>
        <v>264.0751117444446</v>
      </c>
      <c r="AT168" s="41">
        <f t="shared" si="43"/>
        <v>-16.941776069678781</v>
      </c>
      <c r="AU168" s="41">
        <f t="shared" si="44"/>
        <v>277.07905028886393</v>
      </c>
      <c r="AV168" s="41">
        <f t="shared" si="45"/>
        <v>-168.9861169915568</v>
      </c>
      <c r="AW168" s="41">
        <f t="shared" si="46"/>
        <v>-27.727421891202653</v>
      </c>
      <c r="AX168" s="41">
        <f t="shared" si="47"/>
        <v>-24.343070191801644</v>
      </c>
      <c r="AY168" s="41">
        <f t="shared" si="47"/>
        <v>-30.913632968305592</v>
      </c>
      <c r="AZ168" s="41">
        <f t="shared" si="47"/>
        <v>-30.530820123386434</v>
      </c>
    </row>
    <row r="169" spans="1:52" x14ac:dyDescent="0.2">
      <c r="A169" s="30">
        <v>504</v>
      </c>
      <c r="B169" s="31" t="s">
        <v>483</v>
      </c>
      <c r="C169" s="41">
        <v>-386</v>
      </c>
      <c r="D169" s="41">
        <v>-16</v>
      </c>
      <c r="E169" s="73">
        <v>-31</v>
      </c>
      <c r="F169" s="73">
        <v>68</v>
      </c>
      <c r="G169" s="73">
        <v>-543</v>
      </c>
      <c r="H169" s="41">
        <v>-5975</v>
      </c>
      <c r="I169" s="165">
        <v>-2825.0068099999999</v>
      </c>
      <c r="J169" s="41">
        <v>-1942.3305600000001</v>
      </c>
      <c r="K169" s="41">
        <v>-3350.27916</v>
      </c>
      <c r="L169" s="41">
        <f>$L$5*'7.1. Nettoinvestointiennuste '!Y169</f>
        <v>-2256.5089460229133</v>
      </c>
      <c r="M169" s="41">
        <f>$M$5*'7.1. Nettoinvestointiennuste '!Y169</f>
        <v>-2353.2186065768265</v>
      </c>
      <c r="N169" s="41">
        <f>$N$5*'7.1. Nettoinvestointiennuste '!Y169</f>
        <v>-2436.2734628359221</v>
      </c>
      <c r="O169" s="41">
        <f>O$5*'7.1. Nettoinvestointiennuste '!$Y169</f>
        <v>-2544.8731291895406</v>
      </c>
      <c r="P169" s="41">
        <f>P$5*'7.1. Nettoinvestointiennuste '!$Y169</f>
        <v>-2650.5252958498204</v>
      </c>
      <c r="T169" s="34">
        <v>504</v>
      </c>
      <c r="U169" s="88" t="s">
        <v>483</v>
      </c>
      <c r="V169" s="41">
        <f>C169/'1. Väestöennuste'!E169*1000</f>
        <v>-196.03859827323512</v>
      </c>
      <c r="W169" s="41">
        <f>D169/'1. Väestöennuste'!F169*1000</f>
        <v>-8.0563947633434037</v>
      </c>
      <c r="X169" s="41">
        <f>E169/'1. Väestöennuste'!G169*1000</f>
        <v>-15.744032503809041</v>
      </c>
      <c r="Y169" s="41">
        <f>F169/'1. Väestöennuste'!H169*1000</f>
        <v>35.379812695109258</v>
      </c>
      <c r="Z169" s="41">
        <f>G169/'1. Väestöennuste'!I169*1000</f>
        <v>-288.52284803400636</v>
      </c>
      <c r="AA169" s="41">
        <f>H169/'1. Väestöennuste'!J169*1000</f>
        <v>-3193.4794227685729</v>
      </c>
      <c r="AB169" s="41">
        <f>I169/'1. Väestöennuste'!K169*1000</f>
        <v>-1555.6204900881057</v>
      </c>
      <c r="AC169" s="41">
        <f>J169/'1. Väestöennuste'!L169*1000</f>
        <v>-1101.0944217687074</v>
      </c>
      <c r="AD169" s="41">
        <f>K169/'1. Väestöennuste'!M169*1000</f>
        <v>-1953.5155451895043</v>
      </c>
      <c r="AE169" s="41">
        <f>L169/'1. Väestöennuste'!N169*1000</f>
        <v>-1260.6195229178288</v>
      </c>
      <c r="AF169" s="41">
        <f>M169/'1. Väestöennuste'!O169*1000</f>
        <v>-1327.252457178131</v>
      </c>
      <c r="AG169" s="41">
        <f>N169/'1. Väestöennuste'!P169*1000</f>
        <v>-1387.3994663074727</v>
      </c>
      <c r="AH169" s="41">
        <f>O169/'1. Väestöennuste'!Q169*1000</f>
        <v>-1458.3800167275306</v>
      </c>
      <c r="AI169" s="41">
        <f>P169/'1. Väestöennuste'!R169*1000</f>
        <v>-1528.5613009514536</v>
      </c>
      <c r="AK169" s="34">
        <v>504</v>
      </c>
      <c r="AL169" s="88" t="s">
        <v>483</v>
      </c>
      <c r="AM169" s="41"/>
      <c r="AN169" s="41">
        <f t="shared" si="37"/>
        <v>187.98220350989172</v>
      </c>
      <c r="AO169" s="41">
        <f t="shared" si="38"/>
        <v>-7.6876377404656377</v>
      </c>
      <c r="AP169" s="41">
        <f t="shared" si="39"/>
        <v>51.123845198918303</v>
      </c>
      <c r="AQ169" s="41">
        <f t="shared" si="40"/>
        <v>-323.90266072911561</v>
      </c>
      <c r="AR169" s="41">
        <f t="shared" si="41"/>
        <v>-2904.9565747345664</v>
      </c>
      <c r="AS169" s="41">
        <f t="shared" si="42"/>
        <v>1637.8589326804672</v>
      </c>
      <c r="AT169" s="41">
        <f t="shared" si="43"/>
        <v>454.52606831939829</v>
      </c>
      <c r="AU169" s="41">
        <f t="shared" si="44"/>
        <v>-852.4211234207969</v>
      </c>
      <c r="AV169" s="41">
        <f t="shared" si="45"/>
        <v>692.89602227167552</v>
      </c>
      <c r="AW169" s="41">
        <f t="shared" si="46"/>
        <v>-66.632934260302136</v>
      </c>
      <c r="AX169" s="41">
        <f t="shared" si="47"/>
        <v>-60.147009129341768</v>
      </c>
      <c r="AY169" s="41">
        <f t="shared" si="47"/>
        <v>-70.980550420057853</v>
      </c>
      <c r="AZ169" s="41">
        <f t="shared" si="47"/>
        <v>-70.181284223923058</v>
      </c>
    </row>
    <row r="170" spans="1:52" x14ac:dyDescent="0.2">
      <c r="A170" s="30">
        <v>505</v>
      </c>
      <c r="B170" s="31" t="s">
        <v>484</v>
      </c>
      <c r="C170" s="41">
        <v>-15663</v>
      </c>
      <c r="D170" s="41">
        <v>-13126</v>
      </c>
      <c r="E170" s="73">
        <v>-16900</v>
      </c>
      <c r="F170" s="71">
        <v>-17232</v>
      </c>
      <c r="G170" s="73">
        <v>-7402</v>
      </c>
      <c r="H170" s="41">
        <v>-1836</v>
      </c>
      <c r="I170" s="165">
        <v>-4575.2759599999999</v>
      </c>
      <c r="J170" s="41">
        <v>-10265.766039999999</v>
      </c>
      <c r="K170" s="41">
        <v>-8704.1147600000004</v>
      </c>
      <c r="L170" s="41">
        <f>$L$5*'7.1. Nettoinvestointiennuste '!Y170</f>
        <v>-8091.0624388412507</v>
      </c>
      <c r="M170" s="41">
        <f>$M$5*'7.1. Nettoinvestointiennuste '!Y170</f>
        <v>-8437.8299104969592</v>
      </c>
      <c r="N170" s="41">
        <f>$N$5*'7.1. Nettoinvestointiennuste '!Y170</f>
        <v>-8735.6359657424873</v>
      </c>
      <c r="O170" s="41">
        <f>O$5*'7.1. Nettoinvestointiennuste '!$Y170</f>
        <v>-9125.0368953745783</v>
      </c>
      <c r="P170" s="41">
        <f>P$5*'7.1. Nettoinvestointiennuste '!$Y170</f>
        <v>-9503.8691081844754</v>
      </c>
      <c r="T170" s="34">
        <v>505</v>
      </c>
      <c r="U170" s="88" t="s">
        <v>484</v>
      </c>
      <c r="V170" s="41">
        <f>C170/'1. Väestöennuste'!E170*1000</f>
        <v>-757.21537345902823</v>
      </c>
      <c r="W170" s="41">
        <f>D170/'1. Väestöennuste'!F170*1000</f>
        <v>-629.45379561693755</v>
      </c>
      <c r="X170" s="41">
        <f>E170/'1. Väestöennuste'!G170*1000</f>
        <v>-812.38282939960584</v>
      </c>
      <c r="Y170" s="41">
        <f>F170/'1. Väestöennuste'!H170*1000</f>
        <v>-833.02716813303675</v>
      </c>
      <c r="Z170" s="41">
        <f>G170/'1. Väestöennuste'!I170*1000</f>
        <v>-357.22214178852374</v>
      </c>
      <c r="AA170" s="41">
        <f>H170/'1. Väestöennuste'!J170*1000</f>
        <v>-88.341432901890968</v>
      </c>
      <c r="AB170" s="41">
        <f>I170/'1. Väestöennuste'!K170*1000</f>
        <v>-219.57460095023276</v>
      </c>
      <c r="AC170" s="41">
        <f>J170/'1. Väestöennuste'!L170*1000</f>
        <v>-490.90311973986223</v>
      </c>
      <c r="AD170" s="41">
        <f>K170/'1. Väestöennuste'!M170*1000</f>
        <v>-415.33209715130988</v>
      </c>
      <c r="AE170" s="41">
        <f>L170/'1. Väestöennuste'!N170*1000</f>
        <v>-387.31749348210872</v>
      </c>
      <c r="AF170" s="41">
        <f>M170/'1. Väestöennuste'!O170*1000</f>
        <v>-403.2030348591274</v>
      </c>
      <c r="AG170" s="41">
        <f>N170/'1. Väestöennuste'!P170*1000</f>
        <v>-416.57777614413391</v>
      </c>
      <c r="AH170" s="41">
        <f>O170/'1. Väestöennuste'!Q170*1000</f>
        <v>-434.29807697751551</v>
      </c>
      <c r="AI170" s="41">
        <f>P170/'1. Väestöennuste'!R170*1000</f>
        <v>-451.53311992514608</v>
      </c>
      <c r="AK170" s="34">
        <v>505</v>
      </c>
      <c r="AL170" s="88" t="s">
        <v>484</v>
      </c>
      <c r="AM170" s="41"/>
      <c r="AN170" s="41">
        <f t="shared" si="37"/>
        <v>127.76157784209067</v>
      </c>
      <c r="AO170" s="41">
        <f t="shared" si="38"/>
        <v>-182.92903378266828</v>
      </c>
      <c r="AP170" s="41">
        <f t="shared" si="39"/>
        <v>-20.644338733430914</v>
      </c>
      <c r="AQ170" s="41">
        <f t="shared" si="40"/>
        <v>475.80502634451301</v>
      </c>
      <c r="AR170" s="41">
        <f t="shared" si="41"/>
        <v>268.88070888663276</v>
      </c>
      <c r="AS170" s="41">
        <f t="shared" si="42"/>
        <v>-131.23316804834178</v>
      </c>
      <c r="AT170" s="41">
        <f t="shared" si="43"/>
        <v>-271.32851878962947</v>
      </c>
      <c r="AU170" s="41">
        <f t="shared" si="44"/>
        <v>75.571022588552353</v>
      </c>
      <c r="AV170" s="41">
        <f t="shared" si="45"/>
        <v>28.014603669201165</v>
      </c>
      <c r="AW170" s="41">
        <f t="shared" si="46"/>
        <v>-15.885541377018683</v>
      </c>
      <c r="AX170" s="41">
        <f t="shared" si="47"/>
        <v>-13.374741285006507</v>
      </c>
      <c r="AY170" s="41">
        <f t="shared" si="47"/>
        <v>-17.7203008333816</v>
      </c>
      <c r="AZ170" s="41">
        <f t="shared" si="47"/>
        <v>-17.235042947630575</v>
      </c>
    </row>
    <row r="171" spans="1:52" x14ac:dyDescent="0.2">
      <c r="A171" s="30">
        <v>507</v>
      </c>
      <c r="B171" s="31" t="s">
        <v>485</v>
      </c>
      <c r="C171" s="41">
        <v>-3371</v>
      </c>
      <c r="D171" s="41">
        <v>-4044</v>
      </c>
      <c r="E171" s="73">
        <v>-670</v>
      </c>
      <c r="F171" s="73">
        <v>-1573</v>
      </c>
      <c r="G171" s="73">
        <v>-3915</v>
      </c>
      <c r="H171" s="41">
        <v>-5763</v>
      </c>
      <c r="I171" s="165">
        <v>-2208.5873700000002</v>
      </c>
      <c r="J171" s="41">
        <v>-752.52242000000001</v>
      </c>
      <c r="K171" s="41">
        <v>-1004.40826</v>
      </c>
      <c r="L171" s="41">
        <f>$L$5*'7.1. Nettoinvestointiennuste '!Y171</f>
        <v>-2478.9382253964363</v>
      </c>
      <c r="M171" s="41">
        <f>$M$5*'7.1. Nettoinvestointiennuste '!Y171</f>
        <v>-2585.1807797345191</v>
      </c>
      <c r="N171" s="41">
        <f>$N$5*'7.1. Nettoinvestointiennuste '!Y171</f>
        <v>-2676.4225442966999</v>
      </c>
      <c r="O171" s="41">
        <f>O$5*'7.1. Nettoinvestointiennuste '!$Y171</f>
        <v>-2795.7271296668437</v>
      </c>
      <c r="P171" s="41">
        <f>P$5*'7.1. Nettoinvestointiennuste '!$Y171</f>
        <v>-2911.7936735162398</v>
      </c>
      <c r="T171" s="34">
        <v>507</v>
      </c>
      <c r="U171" s="88" t="s">
        <v>485</v>
      </c>
      <c r="V171" s="41">
        <f>C171/'1. Väestöennuste'!E171*1000</f>
        <v>-547.32911186880983</v>
      </c>
      <c r="W171" s="41">
        <f>D171/'1. Väestöennuste'!F171*1000</f>
        <v>-663.27702148597666</v>
      </c>
      <c r="X171" s="41">
        <f>E171/'1. Väestöennuste'!G171*1000</f>
        <v>-110.67063098777668</v>
      </c>
      <c r="Y171" s="41">
        <f>F171/'1. Väestöennuste'!H171*1000</f>
        <v>-265.53004726536125</v>
      </c>
      <c r="Z171" s="41">
        <f>G171/'1. Väestöennuste'!I171*1000</f>
        <v>-676.04904161630122</v>
      </c>
      <c r="AA171" s="41">
        <f>H171/'1. Väestöennuste'!J171*1000</f>
        <v>-1015.3276955602537</v>
      </c>
      <c r="AB171" s="41">
        <f>I171/'1. Väestöennuste'!K171*1000</f>
        <v>-391.94097071872233</v>
      </c>
      <c r="AC171" s="41">
        <f>J171/'1. Väestöennuste'!L171*1000</f>
        <v>-135.24845794392525</v>
      </c>
      <c r="AD171" s="41">
        <f>K171/'1. Väestöennuste'!M171*1000</f>
        <v>-181.89211517566102</v>
      </c>
      <c r="AE171" s="41">
        <f>L171/'1. Väestöennuste'!N171*1000</f>
        <v>-460.76918687666102</v>
      </c>
      <c r="AF171" s="41">
        <f>M171/'1. Väestöennuste'!O171*1000</f>
        <v>-378.00567038083335</v>
      </c>
      <c r="AG171" s="41">
        <f>N171/'1. Väestöennuste'!P171*1000</f>
        <v>-395.97907150417223</v>
      </c>
      <c r="AH171" s="41">
        <f>O171/'1. Väestöennuste'!Q171*1000</f>
        <v>-418.27156338522497</v>
      </c>
      <c r="AI171" s="41">
        <f>P171/'1. Väestöennuste'!R171*1000</f>
        <v>-440.24700234596912</v>
      </c>
      <c r="AK171" s="34">
        <v>507</v>
      </c>
      <c r="AL171" s="88" t="s">
        <v>485</v>
      </c>
      <c r="AM171" s="41"/>
      <c r="AN171" s="41">
        <f t="shared" si="37"/>
        <v>-115.94790961716683</v>
      </c>
      <c r="AO171" s="41">
        <f t="shared" si="38"/>
        <v>552.60639049819997</v>
      </c>
      <c r="AP171" s="41">
        <f t="shared" si="39"/>
        <v>-154.85941627758456</v>
      </c>
      <c r="AQ171" s="41">
        <f t="shared" si="40"/>
        <v>-410.51899435093998</v>
      </c>
      <c r="AR171" s="41">
        <f t="shared" si="41"/>
        <v>-339.27865394395246</v>
      </c>
      <c r="AS171" s="41">
        <f t="shared" si="42"/>
        <v>623.3867248415313</v>
      </c>
      <c r="AT171" s="41">
        <f t="shared" si="43"/>
        <v>256.69251277479708</v>
      </c>
      <c r="AU171" s="41">
        <f t="shared" si="44"/>
        <v>-46.643657231735773</v>
      </c>
      <c r="AV171" s="41">
        <f t="shared" si="45"/>
        <v>-278.87707170099998</v>
      </c>
      <c r="AW171" s="41">
        <f t="shared" si="46"/>
        <v>82.763516495827673</v>
      </c>
      <c r="AX171" s="41">
        <f t="shared" si="47"/>
        <v>-17.973401123338874</v>
      </c>
      <c r="AY171" s="41">
        <f t="shared" si="47"/>
        <v>-22.29249188105274</v>
      </c>
      <c r="AZ171" s="41">
        <f t="shared" si="47"/>
        <v>-21.975438960744157</v>
      </c>
    </row>
    <row r="172" spans="1:52" x14ac:dyDescent="0.2">
      <c r="A172" s="30">
        <v>508</v>
      </c>
      <c r="B172" s="31" t="s">
        <v>486</v>
      </c>
      <c r="C172" s="41">
        <v>-7216</v>
      </c>
      <c r="D172" s="41">
        <v>-6116</v>
      </c>
      <c r="E172" s="73">
        <v>-4646</v>
      </c>
      <c r="F172" s="73">
        <v>1170</v>
      </c>
      <c r="G172" s="73">
        <v>2</v>
      </c>
      <c r="H172" s="41">
        <v>-1238</v>
      </c>
      <c r="I172" s="165">
        <v>-1125.46747</v>
      </c>
      <c r="J172" s="41">
        <v>-895.09486000000004</v>
      </c>
      <c r="K172" s="41">
        <v>-1898.82917</v>
      </c>
      <c r="L172" s="41">
        <f>$L$5*'7.1. Nettoinvestointiennuste '!Y172</f>
        <v>-1408.8898169119102</v>
      </c>
      <c r="M172" s="41">
        <f>$M$5*'7.1. Nettoinvestointiennuste '!Y172</f>
        <v>-1469.272141649227</v>
      </c>
      <c r="N172" s="41">
        <f>$N$5*'7.1. Nettoinvestointiennuste '!Y172</f>
        <v>-1521.1288566136238</v>
      </c>
      <c r="O172" s="41">
        <f>O$5*'7.1. Nettoinvestointiennuste '!$Y172</f>
        <v>-1588.9349091069298</v>
      </c>
      <c r="P172" s="41">
        <f>P$5*'7.1. Nettoinvestointiennuste '!$Y172</f>
        <v>-1654.9006399340553</v>
      </c>
      <c r="T172" s="34">
        <v>508</v>
      </c>
      <c r="U172" s="88" t="s">
        <v>486</v>
      </c>
      <c r="V172" s="41">
        <f>C172/'1. Väestöennuste'!E172*1000</f>
        <v>-680.49792531120329</v>
      </c>
      <c r="W172" s="41">
        <f>D172/'1. Väestöennuste'!F172*1000</f>
        <v>-585.37519142419603</v>
      </c>
      <c r="X172" s="41">
        <f>E172/'1. Väestöennuste'!G172*1000</f>
        <v>-453.00312012480498</v>
      </c>
      <c r="Y172" s="41">
        <f>F172/'1. Väestöennuste'!H172*1000</f>
        <v>117.19923870579986</v>
      </c>
      <c r="Z172" s="41">
        <f>G172/'1. Väestöennuste'!I172*1000</f>
        <v>0.20294266869609334</v>
      </c>
      <c r="AA172" s="41">
        <f>H172/'1. Väestöennuste'!J172*1000</f>
        <v>-127.98511320169546</v>
      </c>
      <c r="AB172" s="41">
        <f>I172/'1. Väestöennuste'!K172*1000</f>
        <v>-117.6897908606086</v>
      </c>
      <c r="AC172" s="41">
        <f>J172/'1. Väestöennuste'!L172*1000</f>
        <v>-95.629792735042741</v>
      </c>
      <c r="AD172" s="41">
        <f>K172/'1. Väestöennuste'!M172*1000</f>
        <v>-204.8138464027613</v>
      </c>
      <c r="AE172" s="41">
        <f>L172/'1. Väestöennuste'!N172*1000</f>
        <v>-157.25971837391563</v>
      </c>
      <c r="AF172" s="41">
        <f>M172/'1. Väestöennuste'!O172*1000</f>
        <v>-166.71645769309282</v>
      </c>
      <c r="AG172" s="41">
        <f>N172/'1. Väestöennuste'!P172*1000</f>
        <v>-175.32605539576116</v>
      </c>
      <c r="AH172" s="41">
        <f>O172/'1. Väestöennuste'!Q172*1000</f>
        <v>-185.92732378971797</v>
      </c>
      <c r="AI172" s="41">
        <f>P172/'1. Väestöennuste'!R172*1000</f>
        <v>-196.4273756598285</v>
      </c>
      <c r="AK172" s="34">
        <v>508</v>
      </c>
      <c r="AL172" s="88" t="s">
        <v>486</v>
      </c>
      <c r="AM172" s="41"/>
      <c r="AN172" s="41">
        <f t="shared" si="37"/>
        <v>95.122733887007257</v>
      </c>
      <c r="AO172" s="41">
        <f t="shared" si="38"/>
        <v>132.37207129939105</v>
      </c>
      <c r="AP172" s="41">
        <f t="shared" si="39"/>
        <v>570.20235883060479</v>
      </c>
      <c r="AQ172" s="41">
        <f t="shared" si="40"/>
        <v>-116.99629603710376</v>
      </c>
      <c r="AR172" s="41">
        <f t="shared" si="41"/>
        <v>-128.18805587039154</v>
      </c>
      <c r="AS172" s="41">
        <f t="shared" si="42"/>
        <v>10.295322341086859</v>
      </c>
      <c r="AT172" s="41">
        <f t="shared" si="43"/>
        <v>22.059998125565855</v>
      </c>
      <c r="AU172" s="41">
        <f t="shared" si="44"/>
        <v>-109.18405366771856</v>
      </c>
      <c r="AV172" s="41">
        <f t="shared" si="45"/>
        <v>47.554128028845668</v>
      </c>
      <c r="AW172" s="41">
        <f t="shared" si="46"/>
        <v>-9.4567393191771885</v>
      </c>
      <c r="AX172" s="41">
        <f t="shared" si="47"/>
        <v>-8.6095977026683386</v>
      </c>
      <c r="AY172" s="41">
        <f t="shared" si="47"/>
        <v>-10.601268393956815</v>
      </c>
      <c r="AZ172" s="41">
        <f t="shared" si="47"/>
        <v>-10.500051870110525</v>
      </c>
    </row>
    <row r="173" spans="1:52" x14ac:dyDescent="0.2">
      <c r="A173" s="30">
        <v>529</v>
      </c>
      <c r="B173" s="31" t="s">
        <v>487</v>
      </c>
      <c r="C173" s="41">
        <v>-5764</v>
      </c>
      <c r="D173" s="41">
        <v>-7150</v>
      </c>
      <c r="E173" s="73">
        <v>-7631</v>
      </c>
      <c r="F173" s="73">
        <v>-8672</v>
      </c>
      <c r="G173" s="73">
        <v>-6605</v>
      </c>
      <c r="H173" s="41">
        <v>-12706</v>
      </c>
      <c r="I173" s="165">
        <v>-12397.044669999999</v>
      </c>
      <c r="J173" s="41">
        <v>-21456.45522</v>
      </c>
      <c r="K173" s="41">
        <v>-13496.455109999999</v>
      </c>
      <c r="L173" s="41">
        <f>$L$5*'7.1. Nettoinvestointiennuste '!Y173</f>
        <v>-16262.417220838237</v>
      </c>
      <c r="M173" s="41">
        <f>$M$5*'7.1. Nettoinvestointiennuste '!Y173</f>
        <v>-16959.393340514303</v>
      </c>
      <c r="N173" s="41">
        <f>$N$5*'7.1. Nettoinvestointiennuste '!Y173</f>
        <v>-17557.960754608855</v>
      </c>
      <c r="O173" s="41">
        <f>O$5*'7.1. Nettoinvestointiennuste '!$Y173</f>
        <v>-18340.626866967548</v>
      </c>
      <c r="P173" s="41">
        <f>P$5*'7.1. Nettoinvestointiennuste '!$Y173</f>
        <v>-19102.050666125651</v>
      </c>
      <c r="T173" s="34">
        <v>529</v>
      </c>
      <c r="U173" s="88" t="s">
        <v>487</v>
      </c>
      <c r="V173" s="41">
        <f>C173/'1. Väestöennuste'!E173*1000</f>
        <v>-303.99240546384686</v>
      </c>
      <c r="W173" s="41">
        <f>D173/'1. Väestöennuste'!F173*1000</f>
        <v>-374.97377805747851</v>
      </c>
      <c r="X173" s="41">
        <f>E173/'1. Väestöennuste'!G173*1000</f>
        <v>-398.13220639641048</v>
      </c>
      <c r="Y173" s="41">
        <f>F173/'1. Väestöennuste'!H173*1000</f>
        <v>-450.61054819433622</v>
      </c>
      <c r="Z173" s="41">
        <f>G173/'1. Väestöennuste'!I173*1000</f>
        <v>-341.97991094542817</v>
      </c>
      <c r="AA173" s="41">
        <f>H173/'1. Väestöennuste'!J173*1000</f>
        <v>-654.0381942657126</v>
      </c>
      <c r="AB173" s="41">
        <f>I173/'1. Väestöennuste'!K173*1000</f>
        <v>-633.18068696051887</v>
      </c>
      <c r="AC173" s="41">
        <f>J173/'1. Väestöennuste'!L173*1000</f>
        <v>-1080.9297340050377</v>
      </c>
      <c r="AD173" s="41">
        <f>K173/'1. Väestöennuste'!M173*1000</f>
        <v>-674.85649832491629</v>
      </c>
      <c r="AE173" s="41">
        <f>L173/'1. Väestöennuste'!N173*1000</f>
        <v>-824.45714681055699</v>
      </c>
      <c r="AF173" s="41">
        <f>M173/'1. Väestöennuste'!O173*1000</f>
        <v>-856.53501719769213</v>
      </c>
      <c r="AG173" s="41">
        <f>N173/'1. Väestöennuste'!P173*1000</f>
        <v>-883.5083155340842</v>
      </c>
      <c r="AH173" s="41">
        <f>O173/'1. Väestöennuste'!Q173*1000</f>
        <v>-919.69846890821123</v>
      </c>
      <c r="AI173" s="41">
        <f>P173/'1. Väestöennuste'!R173*1000</f>
        <v>-954.72064504826324</v>
      </c>
      <c r="AK173" s="34">
        <v>529</v>
      </c>
      <c r="AL173" s="88" t="s">
        <v>487</v>
      </c>
      <c r="AM173" s="41"/>
      <c r="AN173" s="41">
        <f t="shared" si="37"/>
        <v>-70.981372593631647</v>
      </c>
      <c r="AO173" s="41">
        <f t="shared" si="38"/>
        <v>-23.158428338931969</v>
      </c>
      <c r="AP173" s="41">
        <f t="shared" si="39"/>
        <v>-52.478341797925737</v>
      </c>
      <c r="AQ173" s="41">
        <f t="shared" si="40"/>
        <v>108.63063724890804</v>
      </c>
      <c r="AR173" s="41">
        <f t="shared" si="41"/>
        <v>-312.05828332028443</v>
      </c>
      <c r="AS173" s="41">
        <f t="shared" si="42"/>
        <v>20.857507305193735</v>
      </c>
      <c r="AT173" s="41">
        <f t="shared" si="43"/>
        <v>-447.74904704451887</v>
      </c>
      <c r="AU173" s="41">
        <f t="shared" si="44"/>
        <v>406.07323568012146</v>
      </c>
      <c r="AV173" s="41">
        <f t="shared" si="45"/>
        <v>-149.6006484856407</v>
      </c>
      <c r="AW173" s="41">
        <f t="shared" si="46"/>
        <v>-32.077870387135135</v>
      </c>
      <c r="AX173" s="41">
        <f t="shared" si="47"/>
        <v>-26.973298336392077</v>
      </c>
      <c r="AY173" s="41">
        <f t="shared" si="47"/>
        <v>-36.190153374127021</v>
      </c>
      <c r="AZ173" s="41">
        <f t="shared" si="47"/>
        <v>-35.022176140052011</v>
      </c>
    </row>
    <row r="174" spans="1:52" x14ac:dyDescent="0.2">
      <c r="A174" s="30">
        <v>531</v>
      </c>
      <c r="B174" s="31" t="s">
        <v>488</v>
      </c>
      <c r="C174" s="41">
        <v>-783</v>
      </c>
      <c r="D174" s="41">
        <v>-639</v>
      </c>
      <c r="E174" s="73">
        <v>-2696</v>
      </c>
      <c r="F174" s="73">
        <v>-5163</v>
      </c>
      <c r="G174" s="73">
        <v>-1137</v>
      </c>
      <c r="H174" s="41">
        <v>-1033</v>
      </c>
      <c r="I174" s="165">
        <v>-1026.75234</v>
      </c>
      <c r="J174" s="41">
        <v>413.81887</v>
      </c>
      <c r="K174" s="41">
        <v>-132.27482000000001</v>
      </c>
      <c r="L174" s="41">
        <f>$L$5*'7.1. Nettoinvestointiennuste '!Y174</f>
        <v>-2328.6059730514726</v>
      </c>
      <c r="M174" s="41">
        <f>$M$5*'7.1. Nettoinvestointiennuste '!Y174</f>
        <v>-2428.4055743845561</v>
      </c>
      <c r="N174" s="41">
        <f>$N$5*'7.1. Nettoinvestointiennuste '!Y174</f>
        <v>-2514.1140909480428</v>
      </c>
      <c r="O174" s="41">
        <f>O$5*'7.1. Nettoinvestointiennuste '!$Y174</f>
        <v>-2626.1835920187755</v>
      </c>
      <c r="P174" s="41">
        <f>P$5*'7.1. Nettoinvestointiennuste '!$Y174</f>
        <v>-2735.2114187351604</v>
      </c>
      <c r="T174" s="34">
        <v>531</v>
      </c>
      <c r="U174" s="88" t="s">
        <v>488</v>
      </c>
      <c r="V174" s="41">
        <f>C174/'1. Väestöennuste'!E174*1000</f>
        <v>-138.55954698283489</v>
      </c>
      <c r="W174" s="41">
        <f>D174/'1. Väestöennuste'!F174*1000</f>
        <v>-115.17664023071376</v>
      </c>
      <c r="X174" s="41">
        <f>E174/'1. Väestöennuste'!G174*1000</f>
        <v>-488.31733381633762</v>
      </c>
      <c r="Y174" s="41">
        <f>F174/'1. Väestöennuste'!H174*1000</f>
        <v>-949.60456133897378</v>
      </c>
      <c r="Z174" s="41">
        <f>G174/'1. Väestöennuste'!I174*1000</f>
        <v>-213.36085569525241</v>
      </c>
      <c r="AA174" s="41">
        <f>H174/'1. Väestöennuste'!J174*1000</f>
        <v>-196.5372907153729</v>
      </c>
      <c r="AB174" s="41">
        <f>I174/'1. Väestöennuste'!K174*1000</f>
        <v>-198.63655252466629</v>
      </c>
      <c r="AC174" s="41">
        <f>J174/'1. Väestöennuste'!L174*1000</f>
        <v>81.588893927444801</v>
      </c>
      <c r="AD174" s="41">
        <f>K174/'1. Väestöennuste'!M174*1000</f>
        <v>-26.636089407974225</v>
      </c>
      <c r="AE174" s="41">
        <f>L174/'1. Väestöennuste'!N174*1000</f>
        <v>-467.87341230690629</v>
      </c>
      <c r="AF174" s="41">
        <f>M174/'1. Väestöennuste'!O174*1000</f>
        <v>-494.88599437223479</v>
      </c>
      <c r="AG174" s="41">
        <f>N174/'1. Väestöennuste'!P174*1000</f>
        <v>-519.44506011323199</v>
      </c>
      <c r="AH174" s="41">
        <f>O174/'1. Väestöennuste'!Q174*1000</f>
        <v>-549.87093635233998</v>
      </c>
      <c r="AI174" s="41">
        <f>P174/'1. Väestöennuste'!R174*1000</f>
        <v>-580.35464008808833</v>
      </c>
      <c r="AK174" s="34">
        <v>531</v>
      </c>
      <c r="AL174" s="88" t="s">
        <v>488</v>
      </c>
      <c r="AM174" s="41"/>
      <c r="AN174" s="41">
        <f t="shared" si="37"/>
        <v>23.38290675212113</v>
      </c>
      <c r="AO174" s="41">
        <f t="shared" si="38"/>
        <v>-373.14069358562386</v>
      </c>
      <c r="AP174" s="41">
        <f t="shared" si="39"/>
        <v>-461.28722752263616</v>
      </c>
      <c r="AQ174" s="41">
        <f t="shared" si="40"/>
        <v>736.24370564372134</v>
      </c>
      <c r="AR174" s="41">
        <f t="shared" si="41"/>
        <v>16.823564979879507</v>
      </c>
      <c r="AS174" s="41">
        <f t="shared" si="42"/>
        <v>-2.099261809293381</v>
      </c>
      <c r="AT174" s="41">
        <f t="shared" si="43"/>
        <v>280.2254464521111</v>
      </c>
      <c r="AU174" s="41">
        <f t="shared" si="44"/>
        <v>-108.22498333541903</v>
      </c>
      <c r="AV174" s="41">
        <f t="shared" si="45"/>
        <v>-441.23732289893206</v>
      </c>
      <c r="AW174" s="41">
        <f t="shared" si="46"/>
        <v>-27.012582065328502</v>
      </c>
      <c r="AX174" s="41">
        <f t="shared" si="47"/>
        <v>-24.559065740997198</v>
      </c>
      <c r="AY174" s="41">
        <f t="shared" si="47"/>
        <v>-30.425876239107993</v>
      </c>
      <c r="AZ174" s="41">
        <f t="shared" si="47"/>
        <v>-30.48370373574835</v>
      </c>
    </row>
    <row r="175" spans="1:52" x14ac:dyDescent="0.2">
      <c r="A175" s="30">
        <v>535</v>
      </c>
      <c r="B175" s="31" t="s">
        <v>489</v>
      </c>
      <c r="C175" s="41">
        <v>-2982</v>
      </c>
      <c r="D175" s="41">
        <v>-2805</v>
      </c>
      <c r="E175" s="73">
        <v>-4017</v>
      </c>
      <c r="F175" s="73">
        <v>-6022</v>
      </c>
      <c r="G175" s="73">
        <v>-3433</v>
      </c>
      <c r="H175" s="41">
        <v>-6237</v>
      </c>
      <c r="I175" s="165">
        <v>-4471.9830700000002</v>
      </c>
      <c r="J175" s="41">
        <v>-9019.5654400000003</v>
      </c>
      <c r="K175" s="41">
        <v>-6876.8909299999996</v>
      </c>
      <c r="L175" s="41">
        <f>$L$5*'7.1. Nettoinvestointiennuste '!Y175</f>
        <v>-6057.0533535100822</v>
      </c>
      <c r="M175" s="41">
        <f>$M$5*'7.1. Nettoinvestointiennuste '!Y175</f>
        <v>-6316.6470833764442</v>
      </c>
      <c r="N175" s="41">
        <f>$N$5*'7.1. Nettoinvestointiennuste '!Y175</f>
        <v>-6539.5877885378868</v>
      </c>
      <c r="O175" s="41">
        <f>O$5*'7.1. Nettoinvestointiennuste '!$Y175</f>
        <v>-6831.0973677206412</v>
      </c>
      <c r="P175" s="41">
        <f>P$5*'7.1. Nettoinvestointiennuste '!$Y175</f>
        <v>-7114.6950957523195</v>
      </c>
      <c r="T175" s="34">
        <v>535</v>
      </c>
      <c r="U175" s="88" t="s">
        <v>489</v>
      </c>
      <c r="V175" s="41">
        <f>C175/'1. Väestöennuste'!E175*1000</f>
        <v>-274.18168444280985</v>
      </c>
      <c r="W175" s="41">
        <f>D175/'1. Väestöennuste'!F175*1000</f>
        <v>-257.5994122508954</v>
      </c>
      <c r="X175" s="41">
        <f>E175/'1. Väestöennuste'!G175*1000</f>
        <v>-371.42857142857144</v>
      </c>
      <c r="Y175" s="41">
        <f>F175/'1. Väestöennuste'!H175*1000</f>
        <v>-560.86430101518113</v>
      </c>
      <c r="Z175" s="41">
        <f>G175/'1. Väestöennuste'!I175*1000</f>
        <v>-322.68070307359716</v>
      </c>
      <c r="AA175" s="41">
        <f>H175/'1. Väestöennuste'!J175*1000</f>
        <v>-594</v>
      </c>
      <c r="AB175" s="41">
        <f>I175/'1. Väestöennuste'!K175*1000</f>
        <v>-430.16381973836093</v>
      </c>
      <c r="AC175" s="41">
        <f>J175/'1. Väestöennuste'!L175*1000</f>
        <v>-865.68436894135709</v>
      </c>
      <c r="AD175" s="41">
        <f>K175/'1. Väestöennuste'!M175*1000</f>
        <v>-657.82388846374579</v>
      </c>
      <c r="AE175" s="41">
        <f>L175/'1. Väestöennuste'!N175*1000</f>
        <v>-601.91328167644667</v>
      </c>
      <c r="AF175" s="41">
        <f>M175/'1. Väestöennuste'!O175*1000</f>
        <v>-634.39259650260556</v>
      </c>
      <c r="AG175" s="41">
        <f>N175/'1. Väestöennuste'!P175*1000</f>
        <v>-664.11981197703744</v>
      </c>
      <c r="AH175" s="41">
        <f>O175/'1. Väestöennuste'!Q175*1000</f>
        <v>-701.56078542884268</v>
      </c>
      <c r="AI175" s="41">
        <f>P175/'1. Väestöennuste'!R175*1000</f>
        <v>-738.88203299951397</v>
      </c>
      <c r="AK175" s="34">
        <v>535</v>
      </c>
      <c r="AL175" s="88" t="s">
        <v>489</v>
      </c>
      <c r="AM175" s="41"/>
      <c r="AN175" s="41">
        <f t="shared" si="37"/>
        <v>16.582272191914456</v>
      </c>
      <c r="AO175" s="41">
        <f t="shared" si="38"/>
        <v>-113.82915917767605</v>
      </c>
      <c r="AP175" s="41">
        <f t="shared" si="39"/>
        <v>-189.43572958660968</v>
      </c>
      <c r="AQ175" s="41">
        <f t="shared" si="40"/>
        <v>238.18359794158397</v>
      </c>
      <c r="AR175" s="41">
        <f t="shared" si="41"/>
        <v>-271.31929692640284</v>
      </c>
      <c r="AS175" s="41">
        <f t="shared" si="42"/>
        <v>163.83618026163907</v>
      </c>
      <c r="AT175" s="41">
        <f t="shared" si="43"/>
        <v>-435.52054920299616</v>
      </c>
      <c r="AU175" s="41">
        <f t="shared" si="44"/>
        <v>207.8604804776113</v>
      </c>
      <c r="AV175" s="41">
        <f t="shared" si="45"/>
        <v>55.910606787299116</v>
      </c>
      <c r="AW175" s="41">
        <f t="shared" si="46"/>
        <v>-32.479314826158884</v>
      </c>
      <c r="AX175" s="41">
        <f t="shared" si="47"/>
        <v>-29.727215474431887</v>
      </c>
      <c r="AY175" s="41">
        <f t="shared" si="47"/>
        <v>-37.440973451805235</v>
      </c>
      <c r="AZ175" s="41">
        <f t="shared" si="47"/>
        <v>-37.321247570671289</v>
      </c>
    </row>
    <row r="176" spans="1:52" x14ac:dyDescent="0.2">
      <c r="A176" s="30">
        <v>536</v>
      </c>
      <c r="B176" s="31" t="s">
        <v>490</v>
      </c>
      <c r="C176" s="41">
        <v>-11716</v>
      </c>
      <c r="D176" s="41">
        <v>-9363</v>
      </c>
      <c r="E176" s="73">
        <v>-11302</v>
      </c>
      <c r="F176" s="73">
        <v>-6838</v>
      </c>
      <c r="G176" s="73">
        <v>-15765</v>
      </c>
      <c r="H176" s="41">
        <v>-25834</v>
      </c>
      <c r="I176" s="165">
        <v>-26652.473699999999</v>
      </c>
      <c r="J176" s="41">
        <v>-10539.366550000001</v>
      </c>
      <c r="K176" s="41">
        <v>-23945.739000000001</v>
      </c>
      <c r="L176" s="41">
        <f>$L$5*'7.1. Nettoinvestointiennuste '!Y176</f>
        <v>-26410.515510406127</v>
      </c>
      <c r="M176" s="41">
        <f>$M$5*'7.1. Nettoinvestointiennuste '!Y176</f>
        <v>-27542.419726680968</v>
      </c>
      <c r="N176" s="41">
        <f>$N$5*'7.1. Nettoinvestointiennuste '!Y176</f>
        <v>-28514.506087478014</v>
      </c>
      <c r="O176" s="41">
        <f>O$5*'7.1. Nettoinvestointiennuste '!$Y176</f>
        <v>-29785.572695794508</v>
      </c>
      <c r="P176" s="41">
        <f>P$5*'7.1. Nettoinvestointiennuste '!$Y176</f>
        <v>-31022.14133036929</v>
      </c>
      <c r="T176" s="34">
        <v>536</v>
      </c>
      <c r="U176" s="88" t="s">
        <v>490</v>
      </c>
      <c r="V176" s="41">
        <f>C176/'1. Väestöennuste'!E176*1000</f>
        <v>-353.2959411374465</v>
      </c>
      <c r="W176" s="41">
        <f>D176/'1. Väestöennuste'!F176*1000</f>
        <v>-281.93315266485996</v>
      </c>
      <c r="X176" s="41">
        <f>E176/'1. Väestöennuste'!G176*1000</f>
        <v>-339.17531960866694</v>
      </c>
      <c r="Y176" s="41">
        <f>F176/'1. Väestöennuste'!H176*1000</f>
        <v>-203.95502132609539</v>
      </c>
      <c r="Z176" s="41">
        <f>G176/'1. Väestöennuste'!I176*1000</f>
        <v>-464.646762356686</v>
      </c>
      <c r="AA176" s="41">
        <f>H176/'1. Väestöennuste'!J176*1000</f>
        <v>-749.33286924237154</v>
      </c>
      <c r="AB176" s="41">
        <f>I176/'1. Väestöennuste'!K176*1000</f>
        <v>-764.03146714826278</v>
      </c>
      <c r="AC176" s="41">
        <f>J176/'1. Väestöennuste'!L176*1000</f>
        <v>-298.1770652973463</v>
      </c>
      <c r="AD176" s="41">
        <f>K176/'1. Väestöennuste'!M176*1000</f>
        <v>-671.74626195752808</v>
      </c>
      <c r="AE176" s="41">
        <f>L176/'1. Väestöennuste'!N176*1000</f>
        <v>-743.74867672222263</v>
      </c>
      <c r="AF176" s="41">
        <f>M176/'1. Väestöennuste'!O176*1000</f>
        <v>-770.82700530858267</v>
      </c>
      <c r="AG176" s="41">
        <f>N176/'1. Väestöennuste'!P176*1000</f>
        <v>-793.34778497240029</v>
      </c>
      <c r="AH176" s="41">
        <f>O176/'1. Väestöennuste'!Q176*1000</f>
        <v>-824.19471196752841</v>
      </c>
      <c r="AI176" s="41">
        <f>P176/'1. Väestöennuste'!R176*1000</f>
        <v>-854.0868159894635</v>
      </c>
      <c r="AK176" s="34">
        <v>536</v>
      </c>
      <c r="AL176" s="88" t="s">
        <v>490</v>
      </c>
      <c r="AM176" s="41"/>
      <c r="AN176" s="41">
        <f t="shared" si="37"/>
        <v>71.362788472586544</v>
      </c>
      <c r="AO176" s="41">
        <f t="shared" si="38"/>
        <v>-57.242166943806978</v>
      </c>
      <c r="AP176" s="41">
        <f t="shared" si="39"/>
        <v>135.22029828257155</v>
      </c>
      <c r="AQ176" s="41">
        <f t="shared" si="40"/>
        <v>-260.69174103059061</v>
      </c>
      <c r="AR176" s="41">
        <f t="shared" si="41"/>
        <v>-284.68610688568555</v>
      </c>
      <c r="AS176" s="41">
        <f t="shared" si="42"/>
        <v>-14.698597905891233</v>
      </c>
      <c r="AT176" s="41">
        <f t="shared" si="43"/>
        <v>465.85440185091647</v>
      </c>
      <c r="AU176" s="41">
        <f t="shared" si="44"/>
        <v>-373.56919666018177</v>
      </c>
      <c r="AV176" s="41">
        <f t="shared" si="45"/>
        <v>-72.002414764694549</v>
      </c>
      <c r="AW176" s="41">
        <f t="shared" si="46"/>
        <v>-27.078328586360044</v>
      </c>
      <c r="AX176" s="41">
        <f t="shared" si="47"/>
        <v>-22.520779663817621</v>
      </c>
      <c r="AY176" s="41">
        <f t="shared" si="47"/>
        <v>-30.846926995128115</v>
      </c>
      <c r="AZ176" s="41">
        <f t="shared" si="47"/>
        <v>-29.892104021935097</v>
      </c>
    </row>
    <row r="177" spans="1:52" x14ac:dyDescent="0.2">
      <c r="A177" s="30">
        <v>538</v>
      </c>
      <c r="B177" s="31" t="s">
        <v>491</v>
      </c>
      <c r="C177" s="41">
        <v>-1619</v>
      </c>
      <c r="D177" s="41">
        <v>2178</v>
      </c>
      <c r="E177" s="73">
        <v>-472</v>
      </c>
      <c r="F177" s="73">
        <v>-1139</v>
      </c>
      <c r="G177" s="73">
        <v>-2822</v>
      </c>
      <c r="H177" s="41">
        <v>-8154</v>
      </c>
      <c r="I177" s="165">
        <v>-3593.7927799999998</v>
      </c>
      <c r="J177" s="41">
        <v>-1217.76846</v>
      </c>
      <c r="K177" s="41">
        <v>-2483.21155</v>
      </c>
      <c r="L177" s="41">
        <f>$L$5*'7.1. Nettoinvestointiennuste '!Y177</f>
        <v>-4650.4118299635629</v>
      </c>
      <c r="M177" s="41">
        <f>$M$5*'7.1. Nettoinvestointiennuste '!Y177</f>
        <v>-4849.7195926490785</v>
      </c>
      <c r="N177" s="41">
        <f>$N$5*'7.1. Nettoinvestointiennuste '!Y177</f>
        <v>-5020.8863353132128</v>
      </c>
      <c r="O177" s="41">
        <f>O$5*'7.1. Nettoinvestointiennuste '!$Y177</f>
        <v>-5244.6980662753622</v>
      </c>
      <c r="P177" s="41">
        <f>P$5*'7.1. Nettoinvestointiennuste '!$Y177</f>
        <v>-5462.4353309842863</v>
      </c>
      <c r="T177" s="34">
        <v>538</v>
      </c>
      <c r="U177" s="88" t="s">
        <v>491</v>
      </c>
      <c r="V177" s="41">
        <f>C177/'1. Väestöennuste'!E177*1000</f>
        <v>-333.19613089112988</v>
      </c>
      <c r="W177" s="41">
        <f>D177/'1. Väestöennuste'!F177*1000</f>
        <v>452.3364485981308</v>
      </c>
      <c r="X177" s="41">
        <f>E177/'1. Väestöennuste'!G177*1000</f>
        <v>-98.067733222522335</v>
      </c>
      <c r="Y177" s="41">
        <f>F177/'1. Väestöennuste'!H177*1000</f>
        <v>-240.65075005282063</v>
      </c>
      <c r="Z177" s="41">
        <f>G177/'1. Väestöennuste'!I177*1000</f>
        <v>-598.51537645811231</v>
      </c>
      <c r="AA177" s="41">
        <f>H177/'1. Väestöennuste'!J177*1000</f>
        <v>-1737.4813552098872</v>
      </c>
      <c r="AB177" s="41">
        <f>I177/'1. Väestöennuste'!K177*1000</f>
        <v>-766.43053529537212</v>
      </c>
      <c r="AC177" s="41">
        <f>J177/'1. Väestöennuste'!L177*1000</f>
        <v>-262.22404392764861</v>
      </c>
      <c r="AD177" s="41">
        <f>K177/'1. Väestöennuste'!M177*1000</f>
        <v>-528.90554845580402</v>
      </c>
      <c r="AE177" s="41">
        <f>L177/'1. Väestöennuste'!N177*1000</f>
        <v>-1008.1100867035689</v>
      </c>
      <c r="AF177" s="41">
        <f>M177/'1. Väestöennuste'!O177*1000</f>
        <v>-1054.9748950726732</v>
      </c>
      <c r="AG177" s="41">
        <f>N177/'1. Väestöennuste'!P177*1000</f>
        <v>-1096.0240854209153</v>
      </c>
      <c r="AH177" s="41">
        <f>O177/'1. Väestöennuste'!Q177*1000</f>
        <v>-1148.3902050088377</v>
      </c>
      <c r="AI177" s="41">
        <f>P177/'1. Väestöennuste'!R177*1000</f>
        <v>-1199.4807490084072</v>
      </c>
      <c r="AK177" s="34">
        <v>538</v>
      </c>
      <c r="AL177" s="88" t="s">
        <v>491</v>
      </c>
      <c r="AM177" s="41"/>
      <c r="AN177" s="41">
        <f t="shared" si="37"/>
        <v>785.53257948926068</v>
      </c>
      <c r="AO177" s="41">
        <f t="shared" si="38"/>
        <v>-550.40418182065309</v>
      </c>
      <c r="AP177" s="41">
        <f t="shared" si="39"/>
        <v>-142.58301683029828</v>
      </c>
      <c r="AQ177" s="41">
        <f t="shared" si="40"/>
        <v>-357.86462640529169</v>
      </c>
      <c r="AR177" s="41">
        <f t="shared" si="41"/>
        <v>-1138.9659787517749</v>
      </c>
      <c r="AS177" s="41">
        <f t="shared" si="42"/>
        <v>971.05081991451505</v>
      </c>
      <c r="AT177" s="41">
        <f t="shared" si="43"/>
        <v>504.20649136772352</v>
      </c>
      <c r="AU177" s="41">
        <f t="shared" si="44"/>
        <v>-266.68150452815541</v>
      </c>
      <c r="AV177" s="41">
        <f t="shared" si="45"/>
        <v>-479.20453824776484</v>
      </c>
      <c r="AW177" s="41">
        <f t="shared" si="46"/>
        <v>-46.864808369104367</v>
      </c>
      <c r="AX177" s="41">
        <f t="shared" si="47"/>
        <v>-41.049190348242064</v>
      </c>
      <c r="AY177" s="41">
        <f t="shared" si="47"/>
        <v>-52.366119587922412</v>
      </c>
      <c r="AZ177" s="41">
        <f t="shared" si="47"/>
        <v>-51.090543999569491</v>
      </c>
    </row>
    <row r="178" spans="1:52" x14ac:dyDescent="0.2">
      <c r="A178" s="30">
        <v>541</v>
      </c>
      <c r="B178" s="31" t="s">
        <v>492</v>
      </c>
      <c r="C178" s="41">
        <v>-2664</v>
      </c>
      <c r="D178" s="41">
        <v>-1987</v>
      </c>
      <c r="E178" s="73">
        <v>-4770</v>
      </c>
      <c r="F178" s="74">
        <v>-7003</v>
      </c>
      <c r="G178" s="73">
        <v>-7265</v>
      </c>
      <c r="H178" s="41">
        <v>-3137</v>
      </c>
      <c r="I178" s="165">
        <v>-583.91705000000002</v>
      </c>
      <c r="J178" s="41">
        <v>-3859.3205800000001</v>
      </c>
      <c r="K178" s="41">
        <v>-3015.8244</v>
      </c>
      <c r="L178" s="41">
        <f>$L$5*'7.1. Nettoinvestointiennuste '!Y178</f>
        <v>-2734.3132385555678</v>
      </c>
      <c r="M178" s="41">
        <f>$M$5*'7.1. Nettoinvestointiennuste '!Y178</f>
        <v>-2851.5006778585871</v>
      </c>
      <c r="N178" s="41">
        <f>$N$5*'7.1. Nettoinvestointiennuste '!Y178</f>
        <v>-2952.1419775068039</v>
      </c>
      <c r="O178" s="41">
        <f>O$5*'7.1. Nettoinvestointiennuste '!$Y178</f>
        <v>-3083.737070864081</v>
      </c>
      <c r="P178" s="41">
        <f>P$5*'7.1. Nettoinvestointiennuste '!$Y178</f>
        <v>-3211.7605464591784</v>
      </c>
      <c r="T178" s="34">
        <v>541</v>
      </c>
      <c r="U178" s="88" t="s">
        <v>492</v>
      </c>
      <c r="V178" s="41">
        <f>C178/'1. Väestöennuste'!E178*1000</f>
        <v>-333.16658329164585</v>
      </c>
      <c r="W178" s="41">
        <f>D178/'1. Väestöennuste'!F178*1000</f>
        <v>-196.15004935834156</v>
      </c>
      <c r="X178" s="41">
        <f>E178/'1. Väestöennuste'!G178*1000</f>
        <v>-477.81228087749173</v>
      </c>
      <c r="Y178" s="41">
        <f>F178/'1. Väestöennuste'!H178*1000</f>
        <v>-715.76042518397389</v>
      </c>
      <c r="Z178" s="41">
        <f>G178/'1. Väestöennuste'!I178*1000</f>
        <v>-760.57370184254603</v>
      </c>
      <c r="AA178" s="41">
        <f>H178/'1. Väestöennuste'!J178*1000</f>
        <v>-330.17577097147671</v>
      </c>
      <c r="AB178" s="41">
        <f>I178/'1. Väestöennuste'!K178*1000</f>
        <v>-61.967213201740421</v>
      </c>
      <c r="AC178" s="41">
        <f>J178/'1. Väestöennuste'!L178*1000</f>
        <v>-417.53982256843022</v>
      </c>
      <c r="AD178" s="41">
        <f>K178/'1. Väestöennuste'!M178*1000</f>
        <v>-330.32030668127055</v>
      </c>
      <c r="AE178" s="41">
        <f>L178/'1. Väestöennuste'!N178*1000</f>
        <v>-307.71024516718069</v>
      </c>
      <c r="AF178" s="41">
        <f>M178/'1. Väestöennuste'!O178*1000</f>
        <v>-326.03483625183935</v>
      </c>
      <c r="AG178" s="41">
        <f>N178/'1. Väestöennuste'!P178*1000</f>
        <v>-342.71441577743258</v>
      </c>
      <c r="AH178" s="41">
        <f>O178/'1. Väestöennuste'!Q178*1000</f>
        <v>-363.21991411826633</v>
      </c>
      <c r="AI178" s="41">
        <f>P178/'1. Väestöennuste'!R178*1000</f>
        <v>-383.63121672947665</v>
      </c>
      <c r="AK178" s="34">
        <v>541</v>
      </c>
      <c r="AL178" s="88" t="s">
        <v>492</v>
      </c>
      <c r="AM178" s="41"/>
      <c r="AN178" s="41">
        <f t="shared" si="37"/>
        <v>137.01653393330429</v>
      </c>
      <c r="AO178" s="41">
        <f t="shared" si="38"/>
        <v>-281.66223151915017</v>
      </c>
      <c r="AP178" s="41">
        <f t="shared" si="39"/>
        <v>-237.94814430648216</v>
      </c>
      <c r="AQ178" s="41">
        <f t="shared" si="40"/>
        <v>-44.813276658572136</v>
      </c>
      <c r="AR178" s="41">
        <f t="shared" si="41"/>
        <v>430.39793087106932</v>
      </c>
      <c r="AS178" s="41">
        <f t="shared" si="42"/>
        <v>268.20855776973627</v>
      </c>
      <c r="AT178" s="41">
        <f t="shared" si="43"/>
        <v>-355.57260936668979</v>
      </c>
      <c r="AU178" s="41">
        <f t="shared" si="44"/>
        <v>87.219515887159673</v>
      </c>
      <c r="AV178" s="41">
        <f t="shared" si="45"/>
        <v>22.610061514089864</v>
      </c>
      <c r="AW178" s="41">
        <f t="shared" si="46"/>
        <v>-18.324591084658664</v>
      </c>
      <c r="AX178" s="41">
        <f t="shared" si="47"/>
        <v>-16.679579525593226</v>
      </c>
      <c r="AY178" s="41">
        <f t="shared" si="47"/>
        <v>-20.505498340833753</v>
      </c>
      <c r="AZ178" s="41">
        <f t="shared" si="47"/>
        <v>-20.411302611210317</v>
      </c>
    </row>
    <row r="179" spans="1:52" x14ac:dyDescent="0.2">
      <c r="A179" s="30">
        <v>543</v>
      </c>
      <c r="B179" s="31" t="s">
        <v>493</v>
      </c>
      <c r="C179" s="41">
        <v>-16754</v>
      </c>
      <c r="D179" s="41">
        <v>-30160</v>
      </c>
      <c r="E179" s="73">
        <v>-32109</v>
      </c>
      <c r="F179" s="73">
        <v>-26417</v>
      </c>
      <c r="G179" s="73">
        <v>-30808</v>
      </c>
      <c r="H179" s="41">
        <v>-33033</v>
      </c>
      <c r="I179" s="165">
        <v>-17882.871999999999</v>
      </c>
      <c r="J179" s="41">
        <v>-30722.513469999998</v>
      </c>
      <c r="K179" s="41">
        <v>-11438.702140000001</v>
      </c>
      <c r="L179" s="41">
        <f>$L$5*'7.1. Nettoinvestointiennuste '!Y179</f>
        <v>-35616.594258437013</v>
      </c>
      <c r="M179" s="41">
        <f>$M$5*'7.1. Nettoinvestointiennuste '!Y179</f>
        <v>-37143.05341424526</v>
      </c>
      <c r="N179" s="41">
        <f>$N$5*'7.1. Nettoinvestointiennuste '!Y179</f>
        <v>-38453.986004070219</v>
      </c>
      <c r="O179" s="41">
        <f>O$5*'7.1. Nettoinvestointiennuste '!$Y179</f>
        <v>-40168.116258211558</v>
      </c>
      <c r="P179" s="41">
        <f>P$5*'7.1. Nettoinvestointiennuste '!$Y179</f>
        <v>-41835.723363911791</v>
      </c>
      <c r="T179" s="34">
        <v>543</v>
      </c>
      <c r="U179" s="88" t="s">
        <v>493</v>
      </c>
      <c r="V179" s="41">
        <f>C179/'1. Väestöennuste'!E179*1000</f>
        <v>-399.8854333245817</v>
      </c>
      <c r="W179" s="41">
        <f>D179/'1. Väestöennuste'!F179*1000</f>
        <v>-717.92430373720538</v>
      </c>
      <c r="X179" s="41">
        <f>E179/'1. Väestöennuste'!G179*1000</f>
        <v>-761.61673663986335</v>
      </c>
      <c r="Y179" s="41">
        <f>F179/'1. Väestöennuste'!H179*1000</f>
        <v>-619.17262393062231</v>
      </c>
      <c r="Z179" s="41">
        <f>G179/'1. Väestöennuste'!I179*1000</f>
        <v>-716.58176912520639</v>
      </c>
      <c r="AA179" s="41">
        <f>H179/'1. Väestöennuste'!J179*1000</f>
        <v>-756.54444266312441</v>
      </c>
      <c r="AB179" s="41">
        <f>I179/'1. Väestöennuste'!K179*1000</f>
        <v>-405.25918371971807</v>
      </c>
      <c r="AC179" s="41">
        <f>J179/'1. Väestöennuste'!L179*1000</f>
        <v>-691.04578411084617</v>
      </c>
      <c r="AD179" s="41">
        <f>K179/'1. Väestöennuste'!M179*1000</f>
        <v>-255.41369074466903</v>
      </c>
      <c r="AE179" s="41">
        <f>L179/'1. Väestöennuste'!N179*1000</f>
        <v>-788.88531625846133</v>
      </c>
      <c r="AF179" s="41">
        <f>M179/'1. Väestöennuste'!O179*1000</f>
        <v>-816.54619711232101</v>
      </c>
      <c r="AG179" s="41">
        <f>N179/'1. Väestöennuste'!P179*1000</f>
        <v>-839.24020087451368</v>
      </c>
      <c r="AH179" s="41">
        <f>O179/'1. Väestöennuste'!Q179*1000</f>
        <v>-870.53262230097425</v>
      </c>
      <c r="AI179" s="41">
        <f>P179/'1. Väestöennuste'!R179*1000</f>
        <v>-900.68081904695021</v>
      </c>
      <c r="AK179" s="34">
        <v>543</v>
      </c>
      <c r="AL179" s="88" t="s">
        <v>493</v>
      </c>
      <c r="AM179" s="41"/>
      <c r="AN179" s="41">
        <f t="shared" si="37"/>
        <v>-318.03887041262368</v>
      </c>
      <c r="AO179" s="41">
        <f t="shared" si="38"/>
        <v>-43.69243290265797</v>
      </c>
      <c r="AP179" s="41">
        <f t="shared" si="39"/>
        <v>142.44411270924104</v>
      </c>
      <c r="AQ179" s="41">
        <f t="shared" si="40"/>
        <v>-97.409145194584084</v>
      </c>
      <c r="AR179" s="41">
        <f t="shared" si="41"/>
        <v>-39.962673537918022</v>
      </c>
      <c r="AS179" s="41">
        <f t="shared" si="42"/>
        <v>351.28525894340635</v>
      </c>
      <c r="AT179" s="41">
        <f t="shared" si="43"/>
        <v>-285.7866003911281</v>
      </c>
      <c r="AU179" s="41">
        <f t="shared" si="44"/>
        <v>435.63209336617717</v>
      </c>
      <c r="AV179" s="41">
        <f t="shared" si="45"/>
        <v>-533.47162551379233</v>
      </c>
      <c r="AW179" s="41">
        <f t="shared" si="46"/>
        <v>-27.66088085385968</v>
      </c>
      <c r="AX179" s="41">
        <f t="shared" si="47"/>
        <v>-22.694003762192665</v>
      </c>
      <c r="AY179" s="41">
        <f t="shared" si="47"/>
        <v>-31.292421426460578</v>
      </c>
      <c r="AZ179" s="41">
        <f t="shared" si="47"/>
        <v>-30.148196745975952</v>
      </c>
    </row>
    <row r="180" spans="1:52" x14ac:dyDescent="0.2">
      <c r="A180" s="30">
        <v>545</v>
      </c>
      <c r="B180" s="31" t="s">
        <v>494</v>
      </c>
      <c r="C180" s="41">
        <v>-3390</v>
      </c>
      <c r="D180" s="41">
        <v>-5046</v>
      </c>
      <c r="E180" s="73">
        <v>-6619</v>
      </c>
      <c r="F180" s="73">
        <v>-10609</v>
      </c>
      <c r="G180" s="73">
        <v>-12630</v>
      </c>
      <c r="H180" s="41">
        <v>-10594</v>
      </c>
      <c r="I180" s="165">
        <v>-17135.761999999999</v>
      </c>
      <c r="J180" s="41">
        <v>-10795.84274</v>
      </c>
      <c r="K180" s="41">
        <v>-10231.569820000001</v>
      </c>
      <c r="L180" s="41">
        <f>$L$5*'7.1. Nettoinvestointiennuste '!Y180</f>
        <v>-10936.952856622953</v>
      </c>
      <c r="M180" s="41">
        <f>$M$5*'7.1. Nettoinvestointiennuste '!Y180</f>
        <v>-11405.6897522255</v>
      </c>
      <c r="N180" s="41">
        <f>$N$5*'7.1. Nettoinvestointiennuste '!Y180</f>
        <v>-11808.243905188339</v>
      </c>
      <c r="O180" s="41">
        <f>O$5*'7.1. Nettoinvestointiennuste '!$Y180</f>
        <v>-12334.60983573247</v>
      </c>
      <c r="P180" s="41">
        <f>P$5*'7.1. Nettoinvestointiennuste '!$Y180</f>
        <v>-12846.689687221709</v>
      </c>
      <c r="T180" s="34">
        <v>545</v>
      </c>
      <c r="U180" s="88" t="s">
        <v>494</v>
      </c>
      <c r="V180" s="41">
        <f>C180/'1. Väestöennuste'!E180*1000</f>
        <v>-361.1377436880793</v>
      </c>
      <c r="W180" s="41">
        <f>D180/'1. Väestöennuste'!F180*1000</f>
        <v>-534.59052865769672</v>
      </c>
      <c r="X180" s="41">
        <f>E180/'1. Väestöennuste'!G180*1000</f>
        <v>-696.22383506889662</v>
      </c>
      <c r="Y180" s="41">
        <f>F180/'1. Väestöennuste'!H180*1000</f>
        <v>-1120.1562664977298</v>
      </c>
      <c r="Z180" s="41">
        <f>G180/'1. Väestöennuste'!I180*1000</f>
        <v>-1332.4190315434116</v>
      </c>
      <c r="AA180" s="41">
        <f>H180/'1. Väestöennuste'!J180*1000</f>
        <v>-1108.3908767524586</v>
      </c>
      <c r="AB180" s="41">
        <f>I180/'1. Väestöennuste'!K180*1000</f>
        <v>-1792.0688140556367</v>
      </c>
      <c r="AC180" s="41">
        <f>J180/'1. Väestöennuste'!L180*1000</f>
        <v>-1126.4443593489148</v>
      </c>
      <c r="AD180" s="41">
        <f>K180/'1. Väestöennuste'!M180*1000</f>
        <v>-1063.4621993555763</v>
      </c>
      <c r="AE180" s="41">
        <f>L180/'1. Väestöennuste'!N180*1000</f>
        <v>-1137.843618042338</v>
      </c>
      <c r="AF180" s="41">
        <f>M180/'1. Väestöennuste'!O180*1000</f>
        <v>-1185.3761954090107</v>
      </c>
      <c r="AG180" s="41">
        <f>N180/'1. Väestöennuste'!P180*1000</f>
        <v>-1226.4482660145761</v>
      </c>
      <c r="AH180" s="41">
        <f>O180/'1. Väestöennuste'!Q180*1000</f>
        <v>-1280.3207219983881</v>
      </c>
      <c r="AI180" s="41">
        <f>P180/'1. Väestöennuste'!R180*1000</f>
        <v>-1332.9206979893868</v>
      </c>
      <c r="AK180" s="34">
        <v>545</v>
      </c>
      <c r="AL180" s="88" t="s">
        <v>494</v>
      </c>
      <c r="AM180" s="41"/>
      <c r="AN180" s="41">
        <f t="shared" si="37"/>
        <v>-173.45278496961743</v>
      </c>
      <c r="AO180" s="41">
        <f t="shared" si="38"/>
        <v>-161.6333064111999</v>
      </c>
      <c r="AP180" s="41">
        <f t="shared" si="39"/>
        <v>-423.93243142883318</v>
      </c>
      <c r="AQ180" s="41">
        <f t="shared" si="40"/>
        <v>-212.26276504568182</v>
      </c>
      <c r="AR180" s="41">
        <f t="shared" si="41"/>
        <v>224.02815479095307</v>
      </c>
      <c r="AS180" s="41">
        <f t="shared" si="42"/>
        <v>-683.67793730317817</v>
      </c>
      <c r="AT180" s="41">
        <f t="shared" si="43"/>
        <v>665.62445470672196</v>
      </c>
      <c r="AU180" s="41">
        <f t="shared" si="44"/>
        <v>62.982159993338428</v>
      </c>
      <c r="AV180" s="41">
        <f t="shared" si="45"/>
        <v>-74.381418686761663</v>
      </c>
      <c r="AW180" s="41">
        <f t="shared" si="46"/>
        <v>-47.53257736667274</v>
      </c>
      <c r="AX180" s="41">
        <f t="shared" si="47"/>
        <v>-41.072070605565386</v>
      </c>
      <c r="AY180" s="41">
        <f t="shared" si="47"/>
        <v>-53.87245598381196</v>
      </c>
      <c r="AZ180" s="41">
        <f t="shared" si="47"/>
        <v>-52.599975990998701</v>
      </c>
    </row>
    <row r="181" spans="1:52" x14ac:dyDescent="0.2">
      <c r="A181" s="30">
        <v>560</v>
      </c>
      <c r="B181" s="31" t="s">
        <v>495</v>
      </c>
      <c r="C181" s="41">
        <v>-6261</v>
      </c>
      <c r="D181" s="41">
        <v>-3875</v>
      </c>
      <c r="E181" s="73">
        <v>-9925</v>
      </c>
      <c r="F181" s="73">
        <v>-11621</v>
      </c>
      <c r="G181" s="73">
        <v>-6106</v>
      </c>
      <c r="H181" s="41">
        <v>-13972</v>
      </c>
      <c r="I181" s="165">
        <v>-18601.159949999997</v>
      </c>
      <c r="J181" s="41">
        <v>-11764.591349999999</v>
      </c>
      <c r="K181" s="41">
        <v>-4595.2493899999999</v>
      </c>
      <c r="L181" s="41">
        <f>$L$5*'7.1. Nettoinvestointiennuste '!Y181</f>
        <v>-10144.019980618164</v>
      </c>
      <c r="M181" s="41">
        <f>$M$5*'7.1. Nettoinvestointiennuste '!Y181</f>
        <v>-10578.773288690241</v>
      </c>
      <c r="N181" s="41">
        <f>$N$5*'7.1. Nettoinvestointiennuste '!Y181</f>
        <v>-10952.142125921999</v>
      </c>
      <c r="O181" s="41">
        <f>O$5*'7.1. Nettoinvestointiennuste '!$Y181</f>
        <v>-11440.346343911562</v>
      </c>
      <c r="P181" s="41">
        <f>P$5*'7.1. Nettoinvestointiennuste '!$Y181</f>
        <v>-11915.300228533386</v>
      </c>
      <c r="T181" s="34">
        <v>560</v>
      </c>
      <c r="U181" s="88" t="s">
        <v>495</v>
      </c>
      <c r="V181" s="41">
        <f>C181/'1. Väestöennuste'!E181*1000</f>
        <v>-383.49871370819551</v>
      </c>
      <c r="W181" s="41">
        <f>D181/'1. Väestöennuste'!F181*1000</f>
        <v>-238.03673444314759</v>
      </c>
      <c r="X181" s="41">
        <f>E181/'1. Väestöennuste'!G181*1000</f>
        <v>-611.86116762221809</v>
      </c>
      <c r="Y181" s="41">
        <f>F181/'1. Väestöennuste'!H181*1000</f>
        <v>-722.20495929401534</v>
      </c>
      <c r="Z181" s="41">
        <f>G181/'1. Väestöennuste'!I181*1000</f>
        <v>-381.55345872648877</v>
      </c>
      <c r="AA181" s="41">
        <f>H181/'1. Väestöennuste'!J181*1000</f>
        <v>-879.73806825336862</v>
      </c>
      <c r="AB181" s="41">
        <f>I181/'1. Väestöennuste'!K181*1000</f>
        <v>-1176.6928106022265</v>
      </c>
      <c r="AC181" s="41">
        <f>J181/'1. Väestöennuste'!L181*1000</f>
        <v>-747.6702478551</v>
      </c>
      <c r="AD181" s="41">
        <f>K181/'1. Väestöennuste'!M181*1000</f>
        <v>-293.27011232369648</v>
      </c>
      <c r="AE181" s="41">
        <f>L181/'1. Väestöennuste'!N181*1000</f>
        <v>-653.48321720145361</v>
      </c>
      <c r="AF181" s="41">
        <f>M181/'1. Väestöennuste'!O181*1000</f>
        <v>-685.46447798161353</v>
      </c>
      <c r="AG181" s="41">
        <f>N181/'1. Väestöennuste'!P181*1000</f>
        <v>-713.58757661727896</v>
      </c>
      <c r="AH181" s="41">
        <f>O181/'1. Väestöennuste'!Q181*1000</f>
        <v>-749.40038935618782</v>
      </c>
      <c r="AI181" s="41">
        <f>P181/'1. Väestöennuste'!R181*1000</f>
        <v>-784.72735962416925</v>
      </c>
      <c r="AK181" s="34">
        <v>560</v>
      </c>
      <c r="AL181" s="88" t="s">
        <v>495</v>
      </c>
      <c r="AM181" s="41"/>
      <c r="AN181" s="41">
        <f t="shared" si="37"/>
        <v>145.46197926504792</v>
      </c>
      <c r="AO181" s="41">
        <f t="shared" si="38"/>
        <v>-373.82443317907052</v>
      </c>
      <c r="AP181" s="41">
        <f t="shared" si="39"/>
        <v>-110.34379167179725</v>
      </c>
      <c r="AQ181" s="41">
        <f t="shared" si="40"/>
        <v>340.65150056752657</v>
      </c>
      <c r="AR181" s="41">
        <f t="shared" si="41"/>
        <v>-498.18460952687985</v>
      </c>
      <c r="AS181" s="41">
        <f t="shared" si="42"/>
        <v>-296.95474234885785</v>
      </c>
      <c r="AT181" s="41">
        <f t="shared" si="43"/>
        <v>429.02256274712647</v>
      </c>
      <c r="AU181" s="41">
        <f t="shared" si="44"/>
        <v>454.40013553140352</v>
      </c>
      <c r="AV181" s="41">
        <f t="shared" si="45"/>
        <v>-360.21310487775713</v>
      </c>
      <c r="AW181" s="41">
        <f t="shared" si="46"/>
        <v>-31.981260780159914</v>
      </c>
      <c r="AX181" s="41">
        <f t="shared" si="47"/>
        <v>-28.123098635665428</v>
      </c>
      <c r="AY181" s="41">
        <f t="shared" si="47"/>
        <v>-35.81281273890886</v>
      </c>
      <c r="AZ181" s="41">
        <f t="shared" si="47"/>
        <v>-35.326970267981437</v>
      </c>
    </row>
    <row r="182" spans="1:52" x14ac:dyDescent="0.2">
      <c r="A182" s="30">
        <v>561</v>
      </c>
      <c r="B182" s="31" t="s">
        <v>496</v>
      </c>
      <c r="C182" s="41">
        <v>-662</v>
      </c>
      <c r="D182" s="41">
        <v>-307</v>
      </c>
      <c r="E182" s="73">
        <v>-918</v>
      </c>
      <c r="F182" s="73">
        <v>-68</v>
      </c>
      <c r="G182" s="73">
        <v>-165</v>
      </c>
      <c r="H182" s="41">
        <v>-431</v>
      </c>
      <c r="I182" s="165">
        <v>-309.56011000000001</v>
      </c>
      <c r="J182" s="41">
        <v>-378.97494</v>
      </c>
      <c r="K182" s="41">
        <v>-505.17986999999999</v>
      </c>
      <c r="L182" s="41">
        <f>$L$5*'7.1. Nettoinvestointiennuste '!Y182</f>
        <v>-558.47001953085442</v>
      </c>
      <c r="M182" s="41">
        <f>$M$5*'7.1. Nettoinvestointiennuste '!Y182</f>
        <v>-582.40497716244613</v>
      </c>
      <c r="N182" s="41">
        <f>$N$5*'7.1. Nettoinvestointiennuste '!Y182</f>
        <v>-602.96046721662924</v>
      </c>
      <c r="O182" s="41">
        <f>O$5*'7.1. Nettoinvestointiennuste '!$Y182</f>
        <v>-629.8381172682474</v>
      </c>
      <c r="P182" s="41">
        <f>P$5*'7.1. Nettoinvestointiennuste '!$Y182</f>
        <v>-655.98628197295079</v>
      </c>
      <c r="T182" s="34">
        <v>561</v>
      </c>
      <c r="U182" s="88" t="s">
        <v>496</v>
      </c>
      <c r="V182" s="41">
        <f>C182/'1. Väestöennuste'!E182*1000</f>
        <v>-480.75526506899058</v>
      </c>
      <c r="W182" s="41">
        <f>D182/'1. Väestöennuste'!F182*1000</f>
        <v>-225.2384446074835</v>
      </c>
      <c r="X182" s="41">
        <f>E182/'1. Väestöennuste'!G182*1000</f>
        <v>-664.25470332850944</v>
      </c>
      <c r="Y182" s="41">
        <f>F182/'1. Väestöennuste'!H182*1000</f>
        <v>-49.853372434017594</v>
      </c>
      <c r="Z182" s="41">
        <f>G182/'1. Väestöennuste'!I182*1000</f>
        <v>-124.15349887133183</v>
      </c>
      <c r="AA182" s="41">
        <f>H182/'1. Väestöennuste'!J182*1000</f>
        <v>-323.08845577211395</v>
      </c>
      <c r="AB182" s="41">
        <f>I182/'1. Väestöennuste'!K182*1000</f>
        <v>-231.53336574420345</v>
      </c>
      <c r="AC182" s="41">
        <f>J182/'1. Väestöennuste'!L182*1000</f>
        <v>-287.75621867881551</v>
      </c>
      <c r="AD182" s="41">
        <f>K182/'1. Väestöennuste'!M182*1000</f>
        <v>-384.16720152091256</v>
      </c>
      <c r="AE182" s="41">
        <f>L182/'1. Väestöennuste'!N182*1000</f>
        <v>-426.31299200828585</v>
      </c>
      <c r="AF182" s="41">
        <f>M182/'1. Väestöennuste'!O182*1000</f>
        <v>-446.28733882179779</v>
      </c>
      <c r="AG182" s="41">
        <f>N182/'1. Väestöennuste'!P182*1000</f>
        <v>-463.45923690747827</v>
      </c>
      <c r="AH182" s="41">
        <f>O182/'1. Väestöennuste'!Q182*1000</f>
        <v>-485.2373784809302</v>
      </c>
      <c r="AI182" s="41">
        <f>P182/'1. Väestöennuste'!R182*1000</f>
        <v>-506.5531134926261</v>
      </c>
      <c r="AK182" s="34">
        <v>561</v>
      </c>
      <c r="AL182" s="88" t="s">
        <v>496</v>
      </c>
      <c r="AM182" s="41"/>
      <c r="AN182" s="41">
        <f t="shared" si="37"/>
        <v>255.51682046150708</v>
      </c>
      <c r="AO182" s="41">
        <f t="shared" si="38"/>
        <v>-439.01625872102591</v>
      </c>
      <c r="AP182" s="41">
        <f t="shared" si="39"/>
        <v>614.40133089449182</v>
      </c>
      <c r="AQ182" s="41">
        <f t="shared" si="40"/>
        <v>-74.300126437314248</v>
      </c>
      <c r="AR182" s="41">
        <f t="shared" si="41"/>
        <v>-198.93495690078211</v>
      </c>
      <c r="AS182" s="41">
        <f t="shared" si="42"/>
        <v>91.555090027910495</v>
      </c>
      <c r="AT182" s="41">
        <f t="shared" si="43"/>
        <v>-56.222852934612064</v>
      </c>
      <c r="AU182" s="41">
        <f t="shared" si="44"/>
        <v>-96.410982842097042</v>
      </c>
      <c r="AV182" s="41">
        <f t="shared" si="45"/>
        <v>-42.14579048737329</v>
      </c>
      <c r="AW182" s="41">
        <f t="shared" si="46"/>
        <v>-19.974346813511943</v>
      </c>
      <c r="AX182" s="41">
        <f t="shared" si="47"/>
        <v>-17.171898085680482</v>
      </c>
      <c r="AY182" s="41">
        <f t="shared" si="47"/>
        <v>-21.778141573451933</v>
      </c>
      <c r="AZ182" s="41">
        <f t="shared" si="47"/>
        <v>-21.315735011695892</v>
      </c>
    </row>
    <row r="183" spans="1:52" x14ac:dyDescent="0.2">
      <c r="A183" s="30">
        <v>562</v>
      </c>
      <c r="B183" s="31" t="s">
        <v>497</v>
      </c>
      <c r="C183" s="41">
        <v>-2030</v>
      </c>
      <c r="D183" s="41">
        <v>-2825</v>
      </c>
      <c r="E183" s="73">
        <v>-1964</v>
      </c>
      <c r="F183" s="73">
        <v>-2885</v>
      </c>
      <c r="G183" s="73">
        <v>-2781</v>
      </c>
      <c r="H183" s="41">
        <v>-1894</v>
      </c>
      <c r="I183" s="165">
        <v>-920.65566000000001</v>
      </c>
      <c r="J183" s="41">
        <v>-4265.7414200000003</v>
      </c>
      <c r="K183" s="41">
        <v>-5424.2025199999998</v>
      </c>
      <c r="L183" s="41">
        <f>$L$5*'7.1. Nettoinvestointiennuste '!Y183</f>
        <v>-3528.9355999599311</v>
      </c>
      <c r="M183" s="41">
        <f>$M$5*'7.1. Nettoinvestointiennuste '!Y183</f>
        <v>-3680.179034908529</v>
      </c>
      <c r="N183" s="41">
        <f>$N$5*'7.1. Nettoinvestointiennuste '!Y183</f>
        <v>-3810.0678348261431</v>
      </c>
      <c r="O183" s="41">
        <f>O$5*'7.1. Nettoinvestointiennuste '!$Y183</f>
        <v>-3979.9059510961961</v>
      </c>
      <c r="P183" s="41">
        <f>P$5*'7.1. Nettoinvestointiennuste '!$Y183</f>
        <v>-4145.1344970753689</v>
      </c>
      <c r="T183" s="34">
        <v>562</v>
      </c>
      <c r="U183" s="88" t="s">
        <v>497</v>
      </c>
      <c r="V183" s="41">
        <f>C183/'1. Väestöennuste'!E183*1000</f>
        <v>-215.77380952380955</v>
      </c>
      <c r="W183" s="41">
        <f>D183/'1. Väestöennuste'!F183*1000</f>
        <v>-303.37199312714773</v>
      </c>
      <c r="X183" s="41">
        <f>E183/'1. Väestöennuste'!G183*1000</f>
        <v>-211.52396338179861</v>
      </c>
      <c r="Y183" s="41">
        <f>F183/'1. Väestöennuste'!H183*1000</f>
        <v>-312.872790369808</v>
      </c>
      <c r="Z183" s="41">
        <f>G183/'1. Väestöennuste'!I183*1000</f>
        <v>-303.66892334570866</v>
      </c>
      <c r="AA183" s="41">
        <f>H183/'1. Väestöennuste'!J183*1000</f>
        <v>-210.25754884547069</v>
      </c>
      <c r="AB183" s="41">
        <f>I183/'1. Väestöennuste'!K183*1000</f>
        <v>-102.54574069948762</v>
      </c>
      <c r="AC183" s="41">
        <f>J183/'1. Väestöennuste'!L183*1000</f>
        <v>-477.41929714605487</v>
      </c>
      <c r="AD183" s="41">
        <f>K183/'1. Väestöennuste'!M183*1000</f>
        <v>-613.66698947844782</v>
      </c>
      <c r="AE183" s="41">
        <f>L183/'1. Väestöennuste'!N183*1000</f>
        <v>-406.41893354369819</v>
      </c>
      <c r="AF183" s="41">
        <f>M183/'1. Väestöennuste'!O183*1000</f>
        <v>-427.28190350731785</v>
      </c>
      <c r="AG183" s="41">
        <f>N183/'1. Väestöennuste'!P183*1000</f>
        <v>-445.88271911365047</v>
      </c>
      <c r="AH183" s="41">
        <f>O183/'1. Väestöennuste'!Q183*1000</f>
        <v>-469.32853196889107</v>
      </c>
      <c r="AI183" s="41">
        <f>P183/'1. Väestöennuste'!R183*1000</f>
        <v>-492.35473299386734</v>
      </c>
      <c r="AK183" s="34">
        <v>562</v>
      </c>
      <c r="AL183" s="88" t="s">
        <v>497</v>
      </c>
      <c r="AM183" s="41"/>
      <c r="AN183" s="41">
        <f t="shared" si="37"/>
        <v>-87.598183603338185</v>
      </c>
      <c r="AO183" s="41">
        <f t="shared" si="38"/>
        <v>91.848029745349123</v>
      </c>
      <c r="AP183" s="41">
        <f t="shared" si="39"/>
        <v>-101.34882698800939</v>
      </c>
      <c r="AQ183" s="41">
        <f t="shared" si="40"/>
        <v>9.2038670240993383</v>
      </c>
      <c r="AR183" s="41">
        <f t="shared" si="41"/>
        <v>93.411374500237969</v>
      </c>
      <c r="AS183" s="41">
        <f t="shared" si="42"/>
        <v>107.71180814598307</v>
      </c>
      <c r="AT183" s="41">
        <f t="shared" si="43"/>
        <v>-374.87355644656725</v>
      </c>
      <c r="AU183" s="41">
        <f t="shared" si="44"/>
        <v>-136.24769233239294</v>
      </c>
      <c r="AV183" s="41">
        <f t="shared" si="45"/>
        <v>207.24805593474963</v>
      </c>
      <c r="AW183" s="41">
        <f t="shared" si="46"/>
        <v>-20.862969963619662</v>
      </c>
      <c r="AX183" s="41">
        <f t="shared" si="47"/>
        <v>-18.600815606332617</v>
      </c>
      <c r="AY183" s="41">
        <f t="shared" si="47"/>
        <v>-23.445812855240604</v>
      </c>
      <c r="AZ183" s="41">
        <f t="shared" si="47"/>
        <v>-23.026201024976274</v>
      </c>
    </row>
    <row r="184" spans="1:52" x14ac:dyDescent="0.2">
      <c r="A184" s="30">
        <v>563</v>
      </c>
      <c r="B184" s="31" t="s">
        <v>498</v>
      </c>
      <c r="C184" s="41">
        <v>-5758</v>
      </c>
      <c r="D184" s="41">
        <v>-5303</v>
      </c>
      <c r="E184" s="73">
        <v>-3063</v>
      </c>
      <c r="F184" s="73">
        <v>-1107</v>
      </c>
      <c r="G184" s="73">
        <v>-2350</v>
      </c>
      <c r="H184" s="41">
        <v>-2441</v>
      </c>
      <c r="I184" s="165">
        <v>-3029.72955</v>
      </c>
      <c r="J184" s="41">
        <v>-3365.9644700000003</v>
      </c>
      <c r="K184" s="41">
        <v>-3286.8603199999998</v>
      </c>
      <c r="L184" s="41">
        <f>$L$5*'7.1. Nettoinvestointiennuste '!Y184</f>
        <v>-3037.2231941964637</v>
      </c>
      <c r="M184" s="41">
        <f>$M$5*'7.1. Nettoinvestointiennuste '!Y184</f>
        <v>-3167.3927752455029</v>
      </c>
      <c r="N184" s="41">
        <f>$N$5*'7.1. Nettoinvestointiennuste '!Y184</f>
        <v>-3279.1832187380396</v>
      </c>
      <c r="O184" s="41">
        <f>O$5*'7.1. Nettoinvestointiennuste '!$Y184</f>
        <v>-3425.3565481691289</v>
      </c>
      <c r="P184" s="41">
        <f>P$5*'7.1. Nettoinvestointiennuste '!$Y184</f>
        <v>-3567.5625924497326</v>
      </c>
      <c r="T184" s="34">
        <v>563</v>
      </c>
      <c r="U184" s="88" t="s">
        <v>498</v>
      </c>
      <c r="V184" s="41">
        <f>C184/'1. Väestöennuste'!E184*1000</f>
        <v>-756.63600525624179</v>
      </c>
      <c r="W184" s="41">
        <f>D184/'1. Väestöennuste'!F184*1000</f>
        <v>-705.74926803300514</v>
      </c>
      <c r="X184" s="41">
        <f>E184/'1. Väestöennuste'!G184*1000</f>
        <v>-409.93040685224838</v>
      </c>
      <c r="Y184" s="41">
        <f>F184/'1. Väestöennuste'!H184*1000</f>
        <v>-148.99057873485867</v>
      </c>
      <c r="Z184" s="41">
        <f>G184/'1. Väestöennuste'!I184*1000</f>
        <v>-322.44785949506036</v>
      </c>
      <c r="AA184" s="41">
        <f>H184/'1. Väestöennuste'!J184*1000</f>
        <v>-341.16002795248079</v>
      </c>
      <c r="AB184" s="41">
        <f>I184/'1. Väestöennuste'!K184*1000</f>
        <v>-426.6023021684033</v>
      </c>
      <c r="AC184" s="41">
        <f>J184/'1. Väestöennuste'!L184*1000</f>
        <v>-479.14084982206413</v>
      </c>
      <c r="AD184" s="41">
        <f>K184/'1. Väestöennuste'!M184*1000</f>
        <v>-471.0318601318429</v>
      </c>
      <c r="AE184" s="41">
        <f>L184/'1. Väestöennuste'!N184*1000</f>
        <v>-445.21008416834707</v>
      </c>
      <c r="AF184" s="41">
        <f>M184/'1. Väestöennuste'!O184*1000</f>
        <v>-469.80017431704283</v>
      </c>
      <c r="AG184" s="41">
        <f>N184/'1. Väestöennuste'!P184*1000</f>
        <v>-492.14816430107157</v>
      </c>
      <c r="AH184" s="41">
        <f>O184/'1. Väestöennuste'!Q184*1000</f>
        <v>-520.09665171107338</v>
      </c>
      <c r="AI184" s="41">
        <f>P184/'1. Väestöennuste'!R184*1000</f>
        <v>-547.76026292794916</v>
      </c>
      <c r="AK184" s="34">
        <v>563</v>
      </c>
      <c r="AL184" s="88" t="s">
        <v>498</v>
      </c>
      <c r="AM184" s="41"/>
      <c r="AN184" s="41">
        <f t="shared" si="37"/>
        <v>50.886737223236651</v>
      </c>
      <c r="AO184" s="41">
        <f t="shared" si="38"/>
        <v>295.81886118075676</v>
      </c>
      <c r="AP184" s="41">
        <f t="shared" si="39"/>
        <v>260.93982811738971</v>
      </c>
      <c r="AQ184" s="41">
        <f t="shared" si="40"/>
        <v>-173.45728076020168</v>
      </c>
      <c r="AR184" s="41">
        <f t="shared" si="41"/>
        <v>-18.712168457420432</v>
      </c>
      <c r="AS184" s="41">
        <f t="shared" si="42"/>
        <v>-85.442274215922509</v>
      </c>
      <c r="AT184" s="41">
        <f t="shared" si="43"/>
        <v>-52.538547653660828</v>
      </c>
      <c r="AU184" s="41">
        <f t="shared" si="44"/>
        <v>8.1089896902212217</v>
      </c>
      <c r="AV184" s="41">
        <f t="shared" si="45"/>
        <v>25.821775963495838</v>
      </c>
      <c r="AW184" s="41">
        <f t="shared" si="46"/>
        <v>-24.590090148695765</v>
      </c>
      <c r="AX184" s="41">
        <f t="shared" si="47"/>
        <v>-22.347989984028743</v>
      </c>
      <c r="AY184" s="41">
        <f t="shared" si="47"/>
        <v>-27.948487410001803</v>
      </c>
      <c r="AZ184" s="41">
        <f t="shared" si="47"/>
        <v>-27.663611216875779</v>
      </c>
    </row>
    <row r="185" spans="1:52" x14ac:dyDescent="0.2">
      <c r="A185" s="30">
        <v>564</v>
      </c>
      <c r="B185" s="31" t="s">
        <v>499</v>
      </c>
      <c r="C185" s="41">
        <v>-101850</v>
      </c>
      <c r="D185" s="41">
        <v>-94754</v>
      </c>
      <c r="E185" s="73">
        <v>-75742</v>
      </c>
      <c r="F185" s="73">
        <v>-85881</v>
      </c>
      <c r="G185" s="73">
        <v>-103267</v>
      </c>
      <c r="H185" s="41">
        <v>-104018</v>
      </c>
      <c r="I185" s="165">
        <v>-64787.081279999999</v>
      </c>
      <c r="J185" s="41">
        <v>83227.330489999993</v>
      </c>
      <c r="K185" s="41">
        <v>-162046.50147999998</v>
      </c>
      <c r="L185" s="41">
        <f>$L$5*'7.1. Nettoinvestointiennuste '!Y185</f>
        <v>-148904.06196679594</v>
      </c>
      <c r="M185" s="41">
        <f>$M$5*'7.1. Nettoinvestointiennuste '!Y185</f>
        <v>-155285.80546189193</v>
      </c>
      <c r="N185" s="41">
        <f>$N$5*'7.1. Nettoinvestointiennuste '!Y185</f>
        <v>-160766.48635387103</v>
      </c>
      <c r="O185" s="41">
        <f>O$5*'7.1. Nettoinvestointiennuste '!$Y185</f>
        <v>-167932.83571702943</v>
      </c>
      <c r="P185" s="41">
        <f>P$5*'7.1. Nettoinvestointiennuste '!$Y185</f>
        <v>-174904.68344625572</v>
      </c>
      <c r="T185" s="34">
        <v>564</v>
      </c>
      <c r="U185" s="88" t="s">
        <v>499</v>
      </c>
      <c r="V185" s="41">
        <f>C185/'1. Väestöennuste'!E185*1000</f>
        <v>-513.0336229693994</v>
      </c>
      <c r="W185" s="41">
        <f>D185/'1. Väestöennuste'!F185*1000</f>
        <v>-472.52725332375849</v>
      </c>
      <c r="X185" s="41">
        <f>E185/'1. Väestöennuste'!G185*1000</f>
        <v>-375.31341360685792</v>
      </c>
      <c r="Y185" s="41">
        <f>F185/'1. Väestöennuste'!H185*1000</f>
        <v>-421.88075670418095</v>
      </c>
      <c r="Z185" s="41">
        <f>G185/'1. Väestöennuste'!I185*1000</f>
        <v>-502.54271518183458</v>
      </c>
      <c r="AA185" s="41">
        <f>H185/'1. Väestöennuste'!J185*1000</f>
        <v>-501.70985930438394</v>
      </c>
      <c r="AB185" s="41">
        <f>I185/'1. Väestöennuste'!K185*1000</f>
        <v>-309.17094778836656</v>
      </c>
      <c r="AC185" s="41">
        <f>J185/'1. Väestöennuste'!L185*1000</f>
        <v>392.86342325629693</v>
      </c>
      <c r="AD185" s="41">
        <f>K185/'1. Väestöennuste'!M185*1000</f>
        <v>-754.99341424664408</v>
      </c>
      <c r="AE185" s="41">
        <f>L185/'1. Väestöennuste'!N185*1000</f>
        <v>-692.91543296398686</v>
      </c>
      <c r="AF185" s="41">
        <f>M185/'1. Väestöennuste'!O185*1000</f>
        <v>-717.25213953696255</v>
      </c>
      <c r="AG185" s="41">
        <f>N185/'1. Väestöennuste'!P185*1000</f>
        <v>-737.40006033387624</v>
      </c>
      <c r="AH185" s="41">
        <f>O185/'1. Väestöennuste'!Q185*1000</f>
        <v>-765.18839235703672</v>
      </c>
      <c r="AI185" s="41">
        <f>P185/'1. Väestöennuste'!R185*1000</f>
        <v>-791.97219543962888</v>
      </c>
      <c r="AK185" s="34">
        <v>564</v>
      </c>
      <c r="AL185" s="88" t="s">
        <v>499</v>
      </c>
      <c r="AM185" s="41"/>
      <c r="AN185" s="41">
        <f t="shared" si="37"/>
        <v>40.506369645640916</v>
      </c>
      <c r="AO185" s="41">
        <f t="shared" si="38"/>
        <v>97.213839716900566</v>
      </c>
      <c r="AP185" s="41">
        <f t="shared" si="39"/>
        <v>-46.567343097323032</v>
      </c>
      <c r="AQ185" s="41">
        <f t="shared" si="40"/>
        <v>-80.661958477653627</v>
      </c>
      <c r="AR185" s="41">
        <f t="shared" si="41"/>
        <v>0.83285587745064049</v>
      </c>
      <c r="AS185" s="41">
        <f t="shared" si="42"/>
        <v>192.53891151601738</v>
      </c>
      <c r="AT185" s="41">
        <f t="shared" si="43"/>
        <v>702.03437104466343</v>
      </c>
      <c r="AU185" s="41">
        <f t="shared" si="44"/>
        <v>-1147.8568375029411</v>
      </c>
      <c r="AV185" s="41">
        <f t="shared" si="45"/>
        <v>62.07798128265722</v>
      </c>
      <c r="AW185" s="41">
        <f t="shared" si="46"/>
        <v>-24.336706572975686</v>
      </c>
      <c r="AX185" s="41">
        <f t="shared" si="47"/>
        <v>-20.147920796913695</v>
      </c>
      <c r="AY185" s="41">
        <f t="shared" si="47"/>
        <v>-27.788332023160478</v>
      </c>
      <c r="AZ185" s="41">
        <f t="shared" si="47"/>
        <v>-26.783803082592158</v>
      </c>
    </row>
    <row r="186" spans="1:52" x14ac:dyDescent="0.2">
      <c r="A186" s="30">
        <v>576</v>
      </c>
      <c r="B186" s="31" t="s">
        <v>500</v>
      </c>
      <c r="C186" s="41">
        <v>-21297</v>
      </c>
      <c r="D186" s="41">
        <v>-1608</v>
      </c>
      <c r="E186" s="73">
        <v>-1475</v>
      </c>
      <c r="F186" s="73">
        <v>-1232</v>
      </c>
      <c r="G186" s="73">
        <v>-1491</v>
      </c>
      <c r="H186" s="41">
        <v>-965</v>
      </c>
      <c r="I186" s="165">
        <v>-666.10741000000007</v>
      </c>
      <c r="J186" s="41">
        <v>-622.75279</v>
      </c>
      <c r="K186" s="41">
        <v>-1708.3008500000001</v>
      </c>
      <c r="L186" s="41">
        <f>$L$5*'7.1. Nettoinvestointiennuste '!Y186</f>
        <v>-1211.6675824164583</v>
      </c>
      <c r="M186" s="41">
        <f>$M$5*'7.1. Nettoinvestointiennuste '!Y186</f>
        <v>-1263.5973391347757</v>
      </c>
      <c r="N186" s="41">
        <f>$N$5*'7.1. Nettoinvestointiennuste '!Y186</f>
        <v>-1308.1949362631951</v>
      </c>
      <c r="O186" s="41">
        <f>O$5*'7.1. Nettoinvestointiennuste '!$Y186</f>
        <v>-1366.5092165650055</v>
      </c>
      <c r="P186" s="41">
        <f>P$5*'7.1. Nettoinvestointiennuste '!$Y186</f>
        <v>-1423.2407910530874</v>
      </c>
      <c r="T186" s="34">
        <v>576</v>
      </c>
      <c r="U186" s="88" t="s">
        <v>500</v>
      </c>
      <c r="V186" s="41">
        <f>C186/'1. Väestöennuste'!E186*1000</f>
        <v>-6776.0101813553929</v>
      </c>
      <c r="W186" s="41">
        <f>D186/'1. Väestöennuste'!F186*1000</f>
        <v>-523.26716563618618</v>
      </c>
      <c r="X186" s="41">
        <f>E186/'1. Väestöennuste'!G186*1000</f>
        <v>-487.28113643871819</v>
      </c>
      <c r="Y186" s="41">
        <f>F186/'1. Väestöennuste'!H186*1000</f>
        <v>-415.79480256496794</v>
      </c>
      <c r="Z186" s="41">
        <f>G186/'1. Väestöennuste'!I186*1000</f>
        <v>-514.84806629834259</v>
      </c>
      <c r="AA186" s="41">
        <f>H186/'1. Väestöennuste'!J186*1000</f>
        <v>-337.29465221950369</v>
      </c>
      <c r="AB186" s="41">
        <f>I186/'1. Väestöennuste'!K186*1000</f>
        <v>-236.79609313899755</v>
      </c>
      <c r="AC186" s="41">
        <f>J186/'1. Väestöennuste'!L186*1000</f>
        <v>-226.45555999999999</v>
      </c>
      <c r="AD186" s="41">
        <f>K186/'1. Väestöennuste'!M186*1000</f>
        <v>-626.66942406456349</v>
      </c>
      <c r="AE186" s="41">
        <f>L186/'1. Väestöennuste'!N186*1000</f>
        <v>-452.11476955837998</v>
      </c>
      <c r="AF186" s="41">
        <f>M186/'1. Väestöennuste'!O186*1000</f>
        <v>-478.27302768159564</v>
      </c>
      <c r="AG186" s="41">
        <f>N186/'1. Väestöennuste'!P186*1000</f>
        <v>-501.99345213476408</v>
      </c>
      <c r="AH186" s="41">
        <f>O186/'1. Väestöennuste'!Q186*1000</f>
        <v>-531.30218373445007</v>
      </c>
      <c r="AI186" s="41">
        <f>P186/'1. Väestöennuste'!R186*1000</f>
        <v>-560.55170974914824</v>
      </c>
      <c r="AK186" s="34">
        <v>576</v>
      </c>
      <c r="AL186" s="88" t="s">
        <v>500</v>
      </c>
      <c r="AM186" s="41"/>
      <c r="AN186" s="41">
        <f t="shared" si="37"/>
        <v>6252.7430157192066</v>
      </c>
      <c r="AO186" s="41">
        <f t="shared" si="38"/>
        <v>35.986029197467985</v>
      </c>
      <c r="AP186" s="41">
        <f t="shared" si="39"/>
        <v>71.486333873750254</v>
      </c>
      <c r="AQ186" s="41">
        <f t="shared" si="40"/>
        <v>-99.053263733374649</v>
      </c>
      <c r="AR186" s="41">
        <f t="shared" si="41"/>
        <v>177.5534140788389</v>
      </c>
      <c r="AS186" s="41">
        <f t="shared" si="42"/>
        <v>100.49855908050614</v>
      </c>
      <c r="AT186" s="41">
        <f t="shared" si="43"/>
        <v>10.340533138997557</v>
      </c>
      <c r="AU186" s="41">
        <f t="shared" si="44"/>
        <v>-400.2138640645635</v>
      </c>
      <c r="AV186" s="41">
        <f t="shared" si="45"/>
        <v>174.55465450618351</v>
      </c>
      <c r="AW186" s="41">
        <f t="shared" si="46"/>
        <v>-26.15825812321566</v>
      </c>
      <c r="AX186" s="41">
        <f t="shared" si="47"/>
        <v>-23.720424453168448</v>
      </c>
      <c r="AY186" s="41">
        <f t="shared" si="47"/>
        <v>-29.308731599685984</v>
      </c>
      <c r="AZ186" s="41">
        <f t="shared" si="47"/>
        <v>-29.249526014698176</v>
      </c>
    </row>
    <row r="187" spans="1:52" x14ac:dyDescent="0.2">
      <c r="A187" s="30">
        <v>577</v>
      </c>
      <c r="B187" s="31" t="s">
        <v>501</v>
      </c>
      <c r="C187" s="41">
        <v>-5495</v>
      </c>
      <c r="D187" s="41">
        <v>-3210</v>
      </c>
      <c r="E187" s="73">
        <v>-672</v>
      </c>
      <c r="F187" s="73">
        <v>-4494</v>
      </c>
      <c r="G187" s="73">
        <v>-6372</v>
      </c>
      <c r="H187" s="41">
        <v>-1596</v>
      </c>
      <c r="I187" s="165">
        <v>-2248.2148999999999</v>
      </c>
      <c r="J187" s="41">
        <v>-2871.0188399999997</v>
      </c>
      <c r="K187" s="41">
        <v>-4741.8475799999997</v>
      </c>
      <c r="L187" s="41">
        <f>$L$5*'7.1. Nettoinvestointiennuste '!Y187</f>
        <v>-5389.1658354146748</v>
      </c>
      <c r="M187" s="41">
        <f>$M$5*'7.1. Nettoinvestointiennuste '!Y187</f>
        <v>-5620.1351827909766</v>
      </c>
      <c r="N187" s="41">
        <f>$N$5*'7.1. Nettoinvestointiennuste '!Y187</f>
        <v>-5818.4930907468397</v>
      </c>
      <c r="O187" s="41">
        <f>O$5*'7.1. Nettoinvestointiennuste '!$Y187</f>
        <v>-6077.8590519063882</v>
      </c>
      <c r="P187" s="41">
        <f>P$5*'7.1. Nettoinvestointiennuste '!$Y187</f>
        <v>-6330.1855707117502</v>
      </c>
      <c r="T187" s="34">
        <v>577</v>
      </c>
      <c r="U187" s="88" t="s">
        <v>501</v>
      </c>
      <c r="V187" s="41">
        <f>C187/'1. Väestöennuste'!E187*1000</f>
        <v>-517.41996233521661</v>
      </c>
      <c r="W187" s="41">
        <f>D187/'1. Väestöennuste'!F187*1000</f>
        <v>-299.63595631475778</v>
      </c>
      <c r="X187" s="41">
        <f>E187/'1. Väestöennuste'!G187*1000</f>
        <v>-62.628145386766072</v>
      </c>
      <c r="Y187" s="41">
        <f>F187/'1. Väestöennuste'!H187*1000</f>
        <v>-414.88183161004434</v>
      </c>
      <c r="Z187" s="41">
        <f>G187/'1. Väestöennuste'!I187*1000</f>
        <v>-587.28110599078343</v>
      </c>
      <c r="AA187" s="41">
        <f>H187/'1. Väestöennuste'!J187*1000</f>
        <v>-146.12708295184032</v>
      </c>
      <c r="AB187" s="41">
        <f>I187/'1. Väestöennuste'!K187*1000</f>
        <v>-203.62420976360838</v>
      </c>
      <c r="AC187" s="41">
        <f>J187/'1. Väestöennuste'!L187*1000</f>
        <v>-257.76789728856164</v>
      </c>
      <c r="AD187" s="41">
        <f>K187/'1. Väestöennuste'!M187*1000</f>
        <v>-422.02274652901383</v>
      </c>
      <c r="AE187" s="41">
        <f>L187/'1. Väestöennuste'!N187*1000</f>
        <v>-484.50650322886582</v>
      </c>
      <c r="AF187" s="41">
        <f>M187/'1. Väestöennuste'!O187*1000</f>
        <v>-503.0103985313682</v>
      </c>
      <c r="AG187" s="41">
        <f>N187/'1. Väestöennuste'!P187*1000</f>
        <v>-518.58227190257037</v>
      </c>
      <c r="AH187" s="41">
        <f>O187/'1. Väestöennuste'!Q187*1000</f>
        <v>-539.63056485007439</v>
      </c>
      <c r="AI187" s="41">
        <f>P187/'1. Väestöennuste'!R187*1000</f>
        <v>-560.19341333732302</v>
      </c>
      <c r="AK187" s="34">
        <v>577</v>
      </c>
      <c r="AL187" s="88" t="s">
        <v>501</v>
      </c>
      <c r="AM187" s="41"/>
      <c r="AN187" s="41">
        <f t="shared" si="37"/>
        <v>217.78400602045883</v>
      </c>
      <c r="AO187" s="41">
        <f t="shared" si="38"/>
        <v>237.0078109279917</v>
      </c>
      <c r="AP187" s="41">
        <f t="shared" si="39"/>
        <v>-352.25368622327829</v>
      </c>
      <c r="AQ187" s="41">
        <f t="shared" si="40"/>
        <v>-172.39927438073909</v>
      </c>
      <c r="AR187" s="41">
        <f t="shared" si="41"/>
        <v>441.15402303894314</v>
      </c>
      <c r="AS187" s="41">
        <f t="shared" si="42"/>
        <v>-57.497126811768055</v>
      </c>
      <c r="AT187" s="41">
        <f t="shared" si="43"/>
        <v>-54.143687524953265</v>
      </c>
      <c r="AU187" s="41">
        <f t="shared" si="44"/>
        <v>-164.25484924045219</v>
      </c>
      <c r="AV187" s="41">
        <f t="shared" si="45"/>
        <v>-62.483756699851995</v>
      </c>
      <c r="AW187" s="41">
        <f t="shared" si="46"/>
        <v>-18.503895302502372</v>
      </c>
      <c r="AX187" s="41">
        <f t="shared" si="47"/>
        <v>-15.571873371202173</v>
      </c>
      <c r="AY187" s="41">
        <f t="shared" si="47"/>
        <v>-21.048292947504024</v>
      </c>
      <c r="AZ187" s="41">
        <f t="shared" si="47"/>
        <v>-20.56284848724863</v>
      </c>
    </row>
    <row r="188" spans="1:52" x14ac:dyDescent="0.2">
      <c r="A188" s="30">
        <v>578</v>
      </c>
      <c r="B188" s="31" t="s">
        <v>502</v>
      </c>
      <c r="C188" s="41">
        <v>-1834</v>
      </c>
      <c r="D188" s="41">
        <v>-1895</v>
      </c>
      <c r="E188" s="73">
        <v>-1903</v>
      </c>
      <c r="F188" s="73">
        <v>-1921</v>
      </c>
      <c r="G188" s="73">
        <v>-1578</v>
      </c>
      <c r="H188" s="41">
        <v>-1170</v>
      </c>
      <c r="I188" s="165">
        <v>-2124.2190499999997</v>
      </c>
      <c r="J188" s="41">
        <v>-2231.9258399999999</v>
      </c>
      <c r="K188" s="41">
        <v>-568.86438999999996</v>
      </c>
      <c r="L188" s="41">
        <f>$L$5*'7.1. Nettoinvestointiennuste '!Y188</f>
        <v>-1141.7430630958304</v>
      </c>
      <c r="M188" s="41">
        <f>$M$5*'7.1. Nettoinvestointiennuste '!Y188</f>
        <v>-1190.6759885630188</v>
      </c>
      <c r="N188" s="41">
        <f>$N$5*'7.1. Nettoinvestointiennuste '!Y188</f>
        <v>-1232.6998884271766</v>
      </c>
      <c r="O188" s="41">
        <f>O$5*'7.1. Nettoinvestointiennuste '!$Y188</f>
        <v>-1287.6488909260599</v>
      </c>
      <c r="P188" s="41">
        <f>P$5*'7.1. Nettoinvestointiennuste '!$Y188</f>
        <v>-1341.1065244967244</v>
      </c>
      <c r="T188" s="34">
        <v>578</v>
      </c>
      <c r="U188" s="88" t="s">
        <v>502</v>
      </c>
      <c r="V188" s="41">
        <f>C188/'1. Väestöennuste'!E188*1000</f>
        <v>-525.80275229357801</v>
      </c>
      <c r="W188" s="41">
        <f>D188/'1. Väestöennuste'!F188*1000</f>
        <v>-542.82440561443707</v>
      </c>
      <c r="X188" s="41">
        <f>E188/'1. Väestöennuste'!G188*1000</f>
        <v>-554.00291120815132</v>
      </c>
      <c r="Y188" s="41">
        <f>F188/'1. Väestöennuste'!H188*1000</f>
        <v>-575.83932853717022</v>
      </c>
      <c r="Z188" s="41">
        <f>G188/'1. Väestöennuste'!I188*1000</f>
        <v>-482.12648945921171</v>
      </c>
      <c r="AA188" s="41">
        <f>H188/'1. Väestöennuste'!J188*1000</f>
        <v>-361.66924265842346</v>
      </c>
      <c r="AB188" s="41">
        <f>I188/'1. Väestöennuste'!K188*1000</f>
        <v>-667.36382343700905</v>
      </c>
      <c r="AC188" s="41">
        <f>J188/'1. Väestöennuste'!L188*1000</f>
        <v>-719.97607741935474</v>
      </c>
      <c r="AD188" s="41">
        <f>K188/'1. Väestöennuste'!M188*1000</f>
        <v>-187.31129074744811</v>
      </c>
      <c r="AE188" s="41">
        <f>L188/'1. Väestöennuste'!N188*1000</f>
        <v>-374.09667860282781</v>
      </c>
      <c r="AF188" s="41">
        <f>M188/'1. Väestöennuste'!O188*1000</f>
        <v>-395.31075317497306</v>
      </c>
      <c r="AG188" s="41">
        <f>N188/'1. Väestöennuste'!P188*1000</f>
        <v>-414.49222879192217</v>
      </c>
      <c r="AH188" s="41">
        <f>O188/'1. Väestöennuste'!Q188*1000</f>
        <v>-438.27395879035396</v>
      </c>
      <c r="AI188" s="41">
        <f>P188/'1. Väestöennuste'!R188*1000</f>
        <v>-461.97262297510315</v>
      </c>
      <c r="AK188" s="34">
        <v>578</v>
      </c>
      <c r="AL188" s="88" t="s">
        <v>502</v>
      </c>
      <c r="AM188" s="41"/>
      <c r="AN188" s="41">
        <f t="shared" si="37"/>
        <v>-17.021653320859059</v>
      </c>
      <c r="AO188" s="41">
        <f t="shared" si="38"/>
        <v>-11.178505593714249</v>
      </c>
      <c r="AP188" s="41">
        <f t="shared" si="39"/>
        <v>-21.8364173290189</v>
      </c>
      <c r="AQ188" s="41">
        <f t="shared" si="40"/>
        <v>93.712839077958506</v>
      </c>
      <c r="AR188" s="41">
        <f t="shared" si="41"/>
        <v>120.45724680078825</v>
      </c>
      <c r="AS188" s="41">
        <f t="shared" si="42"/>
        <v>-305.69458077858559</v>
      </c>
      <c r="AT188" s="41">
        <f t="shared" si="43"/>
        <v>-52.612253982345692</v>
      </c>
      <c r="AU188" s="41">
        <f t="shared" si="44"/>
        <v>532.66478667190665</v>
      </c>
      <c r="AV188" s="41">
        <f t="shared" si="45"/>
        <v>-186.7853878553797</v>
      </c>
      <c r="AW188" s="41">
        <f t="shared" si="46"/>
        <v>-21.21407457214525</v>
      </c>
      <c r="AX188" s="41">
        <f t="shared" si="47"/>
        <v>-19.181475616949115</v>
      </c>
      <c r="AY188" s="41">
        <f t="shared" si="47"/>
        <v>-23.781729998431786</v>
      </c>
      <c r="AZ188" s="41">
        <f t="shared" si="47"/>
        <v>-23.698664184749191</v>
      </c>
    </row>
    <row r="189" spans="1:52" x14ac:dyDescent="0.2">
      <c r="A189" s="30">
        <v>580</v>
      </c>
      <c r="B189" s="31" t="s">
        <v>503</v>
      </c>
      <c r="C189" s="41">
        <v>-2124</v>
      </c>
      <c r="D189" s="41">
        <v>-2843</v>
      </c>
      <c r="E189" s="73">
        <v>-2512</v>
      </c>
      <c r="F189" s="73">
        <v>1052</v>
      </c>
      <c r="G189" s="73">
        <v>-2171</v>
      </c>
      <c r="H189" s="41">
        <v>-1177</v>
      </c>
      <c r="I189" s="165">
        <v>-5787.8574400000007</v>
      </c>
      <c r="J189" s="41">
        <v>-6166.6155599999993</v>
      </c>
      <c r="K189" s="41">
        <v>-7259.2087599999995</v>
      </c>
      <c r="L189" s="41">
        <f>$L$5*'7.1. Nettoinvestointiennuste '!Y189</f>
        <v>-3561.2213407469458</v>
      </c>
      <c r="M189" s="41">
        <f>$M$5*'7.1. Nettoinvestointiennuste '!Y189</f>
        <v>-3713.8484808378371</v>
      </c>
      <c r="N189" s="41">
        <f>$N$5*'7.1. Nettoinvestointiennuste '!Y189</f>
        <v>-3844.9256153131359</v>
      </c>
      <c r="O189" s="41">
        <f>O$5*'7.1. Nettoinvestointiennuste '!$Y189</f>
        <v>-4016.3175568776242</v>
      </c>
      <c r="P189" s="41">
        <f>P$5*'7.1. Nettoinvestointiennuste '!$Y189</f>
        <v>-4183.0577558340174</v>
      </c>
      <c r="T189" s="34">
        <v>580</v>
      </c>
      <c r="U189" s="88" t="s">
        <v>503</v>
      </c>
      <c r="V189" s="41">
        <f>C189/'1. Väestöennuste'!E189*1000</f>
        <v>-405.73065902578799</v>
      </c>
      <c r="W189" s="41">
        <f>D189/'1. Väestöennuste'!F189*1000</f>
        <v>-554.62348809988293</v>
      </c>
      <c r="X189" s="41">
        <f>E189/'1. Väestöennuste'!G189*1000</f>
        <v>-505.53431273898161</v>
      </c>
      <c r="Y189" s="41">
        <f>F189/'1. Väestöennuste'!H189*1000</f>
        <v>217.26559273027672</v>
      </c>
      <c r="Z189" s="41">
        <f>G189/'1. Väestöennuste'!I189*1000</f>
        <v>-458.59738065061254</v>
      </c>
      <c r="AA189" s="41">
        <f>H189/'1. Väestöennuste'!J189*1000</f>
        <v>-252.8464017185822</v>
      </c>
      <c r="AB189" s="41">
        <f>I189/'1. Väestöennuste'!K189*1000</f>
        <v>-1267.3215327348371</v>
      </c>
      <c r="AC189" s="41">
        <f>J189/'1. Väestöennuste'!L189*1000</f>
        <v>-1389.5032807570976</v>
      </c>
      <c r="AD189" s="41">
        <f>K189/'1. Väestöennuste'!M189*1000</f>
        <v>-1662.6680622995875</v>
      </c>
      <c r="AE189" s="41">
        <f>L189/'1. Väestöennuste'!N189*1000</f>
        <v>-829.15514336366607</v>
      </c>
      <c r="AF189" s="41">
        <f>M189/'1. Väestöennuste'!O189*1000</f>
        <v>-880.26747590372997</v>
      </c>
      <c r="AG189" s="41">
        <f>N189/'1. Väestöennuste'!P189*1000</f>
        <v>-927.82954037479146</v>
      </c>
      <c r="AH189" s="41">
        <f>O189/'1. Väestöennuste'!Q189*1000</f>
        <v>-986.81021053504276</v>
      </c>
      <c r="AI189" s="41">
        <f>P189/'1. Väestöennuste'!R189*1000</f>
        <v>-1045.2418180494797</v>
      </c>
      <c r="AK189" s="34">
        <v>580</v>
      </c>
      <c r="AL189" s="88" t="s">
        <v>503</v>
      </c>
      <c r="AM189" s="41"/>
      <c r="AN189" s="41">
        <f t="shared" si="37"/>
        <v>-148.89282907409495</v>
      </c>
      <c r="AO189" s="41">
        <f t="shared" si="38"/>
        <v>49.089175360901322</v>
      </c>
      <c r="AP189" s="41">
        <f t="shared" si="39"/>
        <v>722.79990546925831</v>
      </c>
      <c r="AQ189" s="41">
        <f t="shared" si="40"/>
        <v>-675.86297338088923</v>
      </c>
      <c r="AR189" s="41">
        <f t="shared" si="41"/>
        <v>205.75097893203034</v>
      </c>
      <c r="AS189" s="41">
        <f t="shared" si="42"/>
        <v>-1014.4751310162549</v>
      </c>
      <c r="AT189" s="41">
        <f t="shared" si="43"/>
        <v>-122.18174802226054</v>
      </c>
      <c r="AU189" s="41">
        <f t="shared" si="44"/>
        <v>-273.16478154248989</v>
      </c>
      <c r="AV189" s="41">
        <f t="shared" si="45"/>
        <v>833.51291893592145</v>
      </c>
      <c r="AW189" s="41">
        <f t="shared" si="46"/>
        <v>-51.112332540063903</v>
      </c>
      <c r="AX189" s="41">
        <f t="shared" si="47"/>
        <v>-47.56206447106149</v>
      </c>
      <c r="AY189" s="41">
        <f t="shared" si="47"/>
        <v>-58.980670160251293</v>
      </c>
      <c r="AZ189" s="41">
        <f t="shared" si="47"/>
        <v>-58.431607514436905</v>
      </c>
    </row>
    <row r="190" spans="1:52" x14ac:dyDescent="0.2">
      <c r="A190" s="30">
        <v>581</v>
      </c>
      <c r="B190" s="31" t="s">
        <v>504</v>
      </c>
      <c r="C190" s="41">
        <v>-1880</v>
      </c>
      <c r="D190" s="41">
        <v>-3819</v>
      </c>
      <c r="E190" s="73">
        <v>-1066</v>
      </c>
      <c r="F190" s="73">
        <v>-395</v>
      </c>
      <c r="G190" s="73">
        <v>-3045</v>
      </c>
      <c r="H190" s="41">
        <v>-3599</v>
      </c>
      <c r="I190" s="165">
        <v>-1453.81549</v>
      </c>
      <c r="J190" s="41">
        <v>-1150.3809199999998</v>
      </c>
      <c r="K190" s="41">
        <v>-1504.7400400000001</v>
      </c>
      <c r="L190" s="41">
        <f>$L$5*'7.1. Nettoinvestointiennuste '!Y190</f>
        <v>-1766.8031893229356</v>
      </c>
      <c r="M190" s="41">
        <f>$M$5*'7.1. Nettoinvestointiennuste '!Y190</f>
        <v>-1842.524997120837</v>
      </c>
      <c r="N190" s="41">
        <f>$N$5*'7.1. Nettoinvestointiennuste '!Y190</f>
        <v>-1907.5553552702959</v>
      </c>
      <c r="O190" s="41">
        <f>O$5*'7.1. Nettoinvestointiennuste '!$Y190</f>
        <v>-1992.5868093716222</v>
      </c>
      <c r="P190" s="41">
        <f>P$5*'7.1. Nettoinvestointiennuste '!$Y190</f>
        <v>-2075.3104277925731</v>
      </c>
      <c r="T190" s="34">
        <v>581</v>
      </c>
      <c r="U190" s="88" t="s">
        <v>504</v>
      </c>
      <c r="V190" s="41">
        <f>C190/'1. Väestöennuste'!E190*1000</f>
        <v>-277.85988767366246</v>
      </c>
      <c r="W190" s="41">
        <f>D190/'1. Väestöennuste'!F190*1000</f>
        <v>-570.68141063956966</v>
      </c>
      <c r="X190" s="41">
        <f>E190/'1. Väestöennuste'!G190*1000</f>
        <v>-162.45047241694604</v>
      </c>
      <c r="Y190" s="41">
        <f>F190/'1. Väestöennuste'!H190*1000</f>
        <v>-61.060442108517549</v>
      </c>
      <c r="Z190" s="41">
        <f>G190/'1. Väestöennuste'!I190*1000</f>
        <v>-475.48407245471583</v>
      </c>
      <c r="AA190" s="41">
        <f>H190/'1. Väestöennuste'!J190*1000</f>
        <v>-566.59319899244326</v>
      </c>
      <c r="AB190" s="41">
        <f>I190/'1. Väestöennuste'!K190*1000</f>
        <v>-231.27831530384981</v>
      </c>
      <c r="AC190" s="41">
        <f>J190/'1. Väestöennuste'!L190*1000</f>
        <v>-184.35591666666664</v>
      </c>
      <c r="AD190" s="41">
        <f>K190/'1. Väestöennuste'!M190*1000</f>
        <v>-245.75208884533728</v>
      </c>
      <c r="AE190" s="41">
        <f>L190/'1. Väestöennuste'!N190*1000</f>
        <v>-292.22679280895397</v>
      </c>
      <c r="AF190" s="41">
        <f>M190/'1. Väestöennuste'!O190*1000</f>
        <v>-308.06303245625099</v>
      </c>
      <c r="AG190" s="41">
        <f>N190/'1. Väestöennuste'!P190*1000</f>
        <v>-322.33108402674821</v>
      </c>
      <c r="AH190" s="41">
        <f>O190/'1. Väestöennuste'!Q190*1000</f>
        <v>-340.32225608396624</v>
      </c>
      <c r="AI190" s="41">
        <f>P190/'1. Väestöennuste'!R190*1000</f>
        <v>-358.18267652616038</v>
      </c>
      <c r="AK190" s="34">
        <v>581</v>
      </c>
      <c r="AL190" s="88" t="s">
        <v>504</v>
      </c>
      <c r="AM190" s="41"/>
      <c r="AN190" s="41">
        <f t="shared" si="37"/>
        <v>-292.82152296590721</v>
      </c>
      <c r="AO190" s="41">
        <f t="shared" si="38"/>
        <v>408.23093822262365</v>
      </c>
      <c r="AP190" s="41">
        <f t="shared" si="39"/>
        <v>101.39003030842849</v>
      </c>
      <c r="AQ190" s="41">
        <f t="shared" si="40"/>
        <v>-414.42363034619825</v>
      </c>
      <c r="AR190" s="41">
        <f t="shared" si="41"/>
        <v>-91.109126537727434</v>
      </c>
      <c r="AS190" s="41">
        <f t="shared" si="42"/>
        <v>335.31488368859345</v>
      </c>
      <c r="AT190" s="41">
        <f t="shared" si="43"/>
        <v>46.922398637183164</v>
      </c>
      <c r="AU190" s="41">
        <f t="shared" si="44"/>
        <v>-61.396172178670639</v>
      </c>
      <c r="AV190" s="41">
        <f t="shared" si="45"/>
        <v>-46.47470396361669</v>
      </c>
      <c r="AW190" s="41">
        <f t="shared" si="46"/>
        <v>-15.83623964729702</v>
      </c>
      <c r="AX190" s="41">
        <f t="shared" si="47"/>
        <v>-14.268051570497221</v>
      </c>
      <c r="AY190" s="41">
        <f t="shared" si="47"/>
        <v>-17.991172057218023</v>
      </c>
      <c r="AZ190" s="41">
        <f t="shared" si="47"/>
        <v>-17.86042044219414</v>
      </c>
    </row>
    <row r="191" spans="1:52" x14ac:dyDescent="0.2">
      <c r="A191" s="30">
        <v>583</v>
      </c>
      <c r="B191" s="31" t="s">
        <v>505</v>
      </c>
      <c r="C191" s="41">
        <v>-211</v>
      </c>
      <c r="D191" s="41">
        <v>-399</v>
      </c>
      <c r="E191" s="73">
        <v>-26</v>
      </c>
      <c r="F191" s="73">
        <v>-217</v>
      </c>
      <c r="G191" s="73">
        <v>-692</v>
      </c>
      <c r="H191" s="41">
        <v>-1386</v>
      </c>
      <c r="I191" s="165">
        <v>-3388.86366</v>
      </c>
      <c r="J191" s="41">
        <v>-3283.2325000000001</v>
      </c>
      <c r="K191" s="41">
        <v>-442.61099999999999</v>
      </c>
      <c r="L191" s="41">
        <f>$L$5*'7.1. Nettoinvestointiennuste '!Y191</f>
        <v>-1460.1356356252272</v>
      </c>
      <c r="M191" s="41">
        <f>$M$5*'7.1. Nettoinvestointiennuste '!Y191</f>
        <v>-1522.7142582063025</v>
      </c>
      <c r="N191" s="41">
        <f>$N$5*'7.1. Nettoinvestointiennuste '!Y191</f>
        <v>-1576.4571673799517</v>
      </c>
      <c r="O191" s="41">
        <f>O$5*'7.1. Nettoinvestointiennuste '!$Y191</f>
        <v>-1646.7295423862229</v>
      </c>
      <c r="P191" s="41">
        <f>P$5*'7.1. Nettoinvestointiennuste '!$Y191</f>
        <v>-1715.0946573544504</v>
      </c>
      <c r="T191" s="34">
        <v>583</v>
      </c>
      <c r="U191" s="88" t="s">
        <v>505</v>
      </c>
      <c r="V191" s="41">
        <f>C191/'1. Väestöennuste'!E191*1000</f>
        <v>-220.25052192066804</v>
      </c>
      <c r="W191" s="41">
        <f>D191/'1. Väestöennuste'!F191*1000</f>
        <v>-419.55835962145113</v>
      </c>
      <c r="X191" s="41">
        <f>E191/'1. Väestöennuste'!G191*1000</f>
        <v>-27.139874739039669</v>
      </c>
      <c r="Y191" s="41">
        <f>F191/'1. Väestöennuste'!H191*1000</f>
        <v>-227.46331236897274</v>
      </c>
      <c r="Z191" s="41">
        <f>G191/'1. Väestöennuste'!I191*1000</f>
        <v>-736.95420660276886</v>
      </c>
      <c r="AA191" s="41">
        <f>H191/'1. Väestöennuste'!J191*1000</f>
        <v>-1488.7218045112782</v>
      </c>
      <c r="AB191" s="41">
        <f>I191/'1. Väestöennuste'!K191*1000</f>
        <v>-3667.6013636363637</v>
      </c>
      <c r="AC191" s="41">
        <f>J191/'1. Väestöennuste'!L191*1000</f>
        <v>-3466.9825765575506</v>
      </c>
      <c r="AD191" s="41">
        <f>K191/'1. Väestöennuste'!M191*1000</f>
        <v>-485.31907894736844</v>
      </c>
      <c r="AE191" s="41">
        <f>L191/'1. Väestöennuste'!N191*1000</f>
        <v>-1594.0345367087634</v>
      </c>
      <c r="AF191" s="41">
        <f>M191/'1. Väestöennuste'!O191*1000</f>
        <v>-1669.6428269805947</v>
      </c>
      <c r="AG191" s="41">
        <f>N191/'1. Väestöennuste'!P191*1000</f>
        <v>-1732.3705136043425</v>
      </c>
      <c r="AH191" s="41">
        <f>O191/'1. Väestöennuste'!Q191*1000</f>
        <v>-1815.5783267764309</v>
      </c>
      <c r="AI191" s="41">
        <f>P191/'1. Väestöennuste'!R191*1000</f>
        <v>-1903.5456796386795</v>
      </c>
      <c r="AK191" s="34">
        <v>583</v>
      </c>
      <c r="AL191" s="88" t="s">
        <v>505</v>
      </c>
      <c r="AM191" s="41"/>
      <c r="AN191" s="41">
        <f t="shared" si="37"/>
        <v>-199.3078377007831</v>
      </c>
      <c r="AO191" s="41">
        <f t="shared" si="38"/>
        <v>392.41848488241146</v>
      </c>
      <c r="AP191" s="41">
        <f t="shared" si="39"/>
        <v>-200.32343762993307</v>
      </c>
      <c r="AQ191" s="41">
        <f t="shared" si="40"/>
        <v>-509.4908942337961</v>
      </c>
      <c r="AR191" s="41">
        <f t="shared" si="41"/>
        <v>-751.76759790850929</v>
      </c>
      <c r="AS191" s="41">
        <f t="shared" si="42"/>
        <v>-2178.8795591250855</v>
      </c>
      <c r="AT191" s="41">
        <f t="shared" si="43"/>
        <v>200.61878707881306</v>
      </c>
      <c r="AU191" s="41">
        <f t="shared" si="44"/>
        <v>2981.6634976101823</v>
      </c>
      <c r="AV191" s="41">
        <f t="shared" si="45"/>
        <v>-1108.7154577613951</v>
      </c>
      <c r="AW191" s="41">
        <f t="shared" si="46"/>
        <v>-75.608290271831265</v>
      </c>
      <c r="AX191" s="41">
        <f t="shared" si="47"/>
        <v>-62.727686623747786</v>
      </c>
      <c r="AY191" s="41">
        <f t="shared" si="47"/>
        <v>-83.207813172088436</v>
      </c>
      <c r="AZ191" s="41">
        <f t="shared" si="47"/>
        <v>-87.967352862248617</v>
      </c>
    </row>
    <row r="192" spans="1:52" x14ac:dyDescent="0.2">
      <c r="A192" s="30">
        <v>584</v>
      </c>
      <c r="B192" s="31" t="s">
        <v>506</v>
      </c>
      <c r="C192" s="41">
        <v>-2096</v>
      </c>
      <c r="D192" s="41">
        <v>-3634</v>
      </c>
      <c r="E192" s="73">
        <v>-4373</v>
      </c>
      <c r="F192" s="73">
        <v>-3852</v>
      </c>
      <c r="G192" s="73">
        <v>-1250</v>
      </c>
      <c r="H192" s="41">
        <v>-2185</v>
      </c>
      <c r="I192" s="165">
        <v>-1501.31185</v>
      </c>
      <c r="J192" s="41">
        <v>-1119.70354</v>
      </c>
      <c r="K192" s="41">
        <v>-2055.2711399999998</v>
      </c>
      <c r="L192" s="41">
        <f>$L$5*'7.1. Nettoinvestointiennuste '!Y192</f>
        <v>-1527.6221318649989</v>
      </c>
      <c r="M192" s="41">
        <f>$M$5*'7.1. Nettoinvestointiennuste '!Y192</f>
        <v>-1593.0930966877588</v>
      </c>
      <c r="N192" s="41">
        <f>$N$5*'7.1. Nettoinvestointiennuste '!Y192</f>
        <v>-1649.3199673163374</v>
      </c>
      <c r="O192" s="41">
        <f>O$5*'7.1. Nettoinvestointiennuste '!$Y192</f>
        <v>-1722.8402846752995</v>
      </c>
      <c r="P192" s="41">
        <f>P$5*'7.1. Nettoinvestointiennuste '!$Y192</f>
        <v>-1794.3651897080024</v>
      </c>
      <c r="T192" s="34">
        <v>584</v>
      </c>
      <c r="U192" s="88" t="s">
        <v>506</v>
      </c>
      <c r="V192" s="41">
        <f>C192/'1. Väestöennuste'!E192*1000</f>
        <v>-715.11429546229954</v>
      </c>
      <c r="W192" s="41">
        <f>D192/'1. Väestöennuste'!F192*1000</f>
        <v>-1250.0859993120055</v>
      </c>
      <c r="X192" s="41">
        <f>E192/'1. Väestöennuste'!G192*1000</f>
        <v>-1529.020979020979</v>
      </c>
      <c r="Y192" s="41">
        <f>F192/'1. Väestöennuste'!H192*1000</f>
        <v>-1363.5398230088497</v>
      </c>
      <c r="Z192" s="41">
        <f>G192/'1. Väestöennuste'!I192*1000</f>
        <v>-453.06270387821672</v>
      </c>
      <c r="AA192" s="41">
        <f>H192/'1. Väestöennuste'!J192*1000</f>
        <v>-807.46489283074652</v>
      </c>
      <c r="AB192" s="41">
        <f>I192/'1. Väestöennuste'!K192*1000</f>
        <v>-561.02834454409572</v>
      </c>
      <c r="AC192" s="41">
        <f>J192/'1. Väestöennuste'!L192*1000</f>
        <v>-422.05184319638147</v>
      </c>
      <c r="AD192" s="41">
        <f>K192/'1. Väestöennuste'!M192*1000</f>
        <v>-797.23473235065933</v>
      </c>
      <c r="AE192" s="41">
        <f>L192/'1. Väestöennuste'!N192*1000</f>
        <v>-610.5604044224616</v>
      </c>
      <c r="AF192" s="41">
        <f>M192/'1. Väestöennuste'!O192*1000</f>
        <v>-650.50759358422158</v>
      </c>
      <c r="AG192" s="41">
        <f>N192/'1. Väestöennuste'!P192*1000</f>
        <v>-687.78981122449431</v>
      </c>
      <c r="AH192" s="41">
        <f>O192/'1. Väestöennuste'!Q192*1000</f>
        <v>-733.43562565998275</v>
      </c>
      <c r="AI192" s="41">
        <f>P192/'1. Väestöennuste'!R192*1000</f>
        <v>-779.48096859600446</v>
      </c>
      <c r="AK192" s="34">
        <v>584</v>
      </c>
      <c r="AL192" s="88" t="s">
        <v>506</v>
      </c>
      <c r="AM192" s="41"/>
      <c r="AN192" s="41">
        <f t="shared" si="37"/>
        <v>-534.97170384970593</v>
      </c>
      <c r="AO192" s="41">
        <f t="shared" si="38"/>
        <v>-278.93497970897351</v>
      </c>
      <c r="AP192" s="41">
        <f t="shared" si="39"/>
        <v>165.4811560121293</v>
      </c>
      <c r="AQ192" s="41">
        <f t="shared" si="40"/>
        <v>910.4771191306329</v>
      </c>
      <c r="AR192" s="41">
        <f t="shared" si="41"/>
        <v>-354.4021889525298</v>
      </c>
      <c r="AS192" s="41">
        <f t="shared" si="42"/>
        <v>246.4365482866508</v>
      </c>
      <c r="AT192" s="41">
        <f t="shared" si="43"/>
        <v>138.97650134771425</v>
      </c>
      <c r="AU192" s="41">
        <f t="shared" si="44"/>
        <v>-375.18288915427786</v>
      </c>
      <c r="AV192" s="41">
        <f t="shared" si="45"/>
        <v>186.67432792819773</v>
      </c>
      <c r="AW192" s="41">
        <f t="shared" si="46"/>
        <v>-39.947189161759979</v>
      </c>
      <c r="AX192" s="41">
        <f t="shared" si="47"/>
        <v>-37.282217640272734</v>
      </c>
      <c r="AY192" s="41">
        <f t="shared" si="47"/>
        <v>-45.645814435488433</v>
      </c>
      <c r="AZ192" s="41">
        <f t="shared" si="47"/>
        <v>-46.045342936021711</v>
      </c>
    </row>
    <row r="193" spans="1:52" x14ac:dyDescent="0.2">
      <c r="A193" s="30">
        <v>588</v>
      </c>
      <c r="B193" s="31" t="s">
        <v>507</v>
      </c>
      <c r="C193" s="41">
        <v>-177</v>
      </c>
      <c r="D193" s="41">
        <v>-1331</v>
      </c>
      <c r="E193" s="73">
        <v>-1249</v>
      </c>
      <c r="F193" s="73">
        <v>-274</v>
      </c>
      <c r="G193" s="73">
        <v>-75</v>
      </c>
      <c r="H193" s="41">
        <v>-212</v>
      </c>
      <c r="I193" s="165">
        <v>-441.98955000000001</v>
      </c>
      <c r="J193" s="41">
        <v>47.235320000000002</v>
      </c>
      <c r="K193" s="41">
        <v>994.70934999999997</v>
      </c>
      <c r="L193" s="41">
        <f>$L$5*'7.1. Nettoinvestointiennuste '!Y193</f>
        <v>-7.8201753136785861</v>
      </c>
      <c r="M193" s="41">
        <v>0</v>
      </c>
      <c r="N193" s="41">
        <v>0</v>
      </c>
      <c r="O193" s="41">
        <v>0</v>
      </c>
      <c r="P193" s="41">
        <v>0</v>
      </c>
      <c r="T193" s="34">
        <v>588</v>
      </c>
      <c r="U193" s="88" t="s">
        <v>507</v>
      </c>
      <c r="V193" s="41">
        <f>C193/'1. Väestöennuste'!E193*1000</f>
        <v>-97.413318657127135</v>
      </c>
      <c r="W193" s="41">
        <f>D193/'1. Väestöennuste'!F193*1000</f>
        <v>-741.09131403118045</v>
      </c>
      <c r="X193" s="41">
        <f>E193/'1. Väestöennuste'!G193*1000</f>
        <v>-718.2288671650374</v>
      </c>
      <c r="Y193" s="41">
        <f>F193/'1. Väestöennuste'!H193*1000</f>
        <v>-159.95329830706362</v>
      </c>
      <c r="Z193" s="41">
        <f>G193/'1. Väestöennuste'!I193*1000</f>
        <v>-44.378698224852066</v>
      </c>
      <c r="AA193" s="41">
        <f>H193/'1. Väestöennuste'!J193*1000</f>
        <v>-128.17412333736397</v>
      </c>
      <c r="AB193" s="41">
        <f>I193/'1. Väestöennuste'!K193*1000</f>
        <v>-268.85009124087594</v>
      </c>
      <c r="AC193" s="41">
        <f>J193/'1. Väestöennuste'!L193*1000</f>
        <v>29.522075000000001</v>
      </c>
      <c r="AD193" s="41">
        <f>K193/'1. Väestöennuste'!M193*1000</f>
        <v>630.76052631578955</v>
      </c>
      <c r="AE193" s="41">
        <f>L193/'1. Väestöennuste'!N193*1000</f>
        <v>-5.0648803845068562</v>
      </c>
      <c r="AF193" s="41" t="e">
        <f>M193/'1. Väestöennuste'!O193*1000</f>
        <v>#DIV/0!</v>
      </c>
      <c r="AG193" s="41" t="e">
        <f>N193/'1. Väestöennuste'!P193*1000</f>
        <v>#DIV/0!</v>
      </c>
      <c r="AH193" s="41" t="e">
        <f>O193/'1. Väestöennuste'!Q193*1000</f>
        <v>#DIV/0!</v>
      </c>
      <c r="AI193" s="41" t="e">
        <f>P193/'1. Väestöennuste'!R193*1000</f>
        <v>#DIV/0!</v>
      </c>
      <c r="AK193" s="34">
        <v>588</v>
      </c>
      <c r="AL193" s="88" t="s">
        <v>507</v>
      </c>
      <c r="AM193" s="41"/>
      <c r="AN193" s="41">
        <f t="shared" si="37"/>
        <v>-643.67799537405335</v>
      </c>
      <c r="AO193" s="41">
        <f t="shared" si="38"/>
        <v>22.862446866143046</v>
      </c>
      <c r="AP193" s="41">
        <f t="shared" si="39"/>
        <v>558.27556885797378</v>
      </c>
      <c r="AQ193" s="41">
        <f t="shared" si="40"/>
        <v>115.57460008221156</v>
      </c>
      <c r="AR193" s="41">
        <f t="shared" si="41"/>
        <v>-83.795425112511907</v>
      </c>
      <c r="AS193" s="41">
        <f t="shared" si="42"/>
        <v>-140.67596790351197</v>
      </c>
      <c r="AT193" s="41">
        <f t="shared" si="43"/>
        <v>298.37216624087591</v>
      </c>
      <c r="AU193" s="41">
        <f t="shared" si="44"/>
        <v>601.23845131578958</v>
      </c>
      <c r="AV193" s="41">
        <f t="shared" si="45"/>
        <v>-635.82540670029641</v>
      </c>
      <c r="AW193" s="41" t="e">
        <f t="shared" si="46"/>
        <v>#DIV/0!</v>
      </c>
      <c r="AX193" s="41" t="e">
        <f t="shared" si="47"/>
        <v>#DIV/0!</v>
      </c>
      <c r="AY193" s="41" t="e">
        <f t="shared" si="47"/>
        <v>#DIV/0!</v>
      </c>
      <c r="AZ193" s="41" t="e">
        <f t="shared" si="47"/>
        <v>#DIV/0!</v>
      </c>
    </row>
    <row r="194" spans="1:52" x14ac:dyDescent="0.2">
      <c r="A194" s="30">
        <v>592</v>
      </c>
      <c r="B194" s="31" t="s">
        <v>508</v>
      </c>
      <c r="C194" s="41">
        <v>-636</v>
      </c>
      <c r="D194" s="41">
        <v>-2299</v>
      </c>
      <c r="E194" s="73">
        <v>-1092</v>
      </c>
      <c r="F194" s="73">
        <v>-1520</v>
      </c>
      <c r="G194" s="73">
        <v>-860</v>
      </c>
      <c r="H194" s="41">
        <v>-737</v>
      </c>
      <c r="I194" s="165">
        <v>-1593.6773000000001</v>
      </c>
      <c r="J194" s="41">
        <v>-1000.4848000000001</v>
      </c>
      <c r="K194" s="41">
        <v>-1004.27959</v>
      </c>
      <c r="L194" s="41">
        <f>$L$5*'7.1. Nettoinvestointiennuste '!Y194</f>
        <v>-1111.5579548500059</v>
      </c>
      <c r="M194" s="41">
        <f>$M$5*'7.1. Nettoinvestointiennuste '!Y194</f>
        <v>-1159.1972042706702</v>
      </c>
      <c r="N194" s="41">
        <f>$N$5*'7.1. Nettoinvestointiennuste '!Y194</f>
        <v>-1200.1100871229344</v>
      </c>
      <c r="O194" s="41">
        <f>O$5*'7.1. Nettoinvestointiennuste '!$Y194</f>
        <v>-1253.6063620843877</v>
      </c>
      <c r="P194" s="41">
        <f>P$5*'7.1. Nettoinvestointiennuste '!$Y194</f>
        <v>-1305.650696544199</v>
      </c>
      <c r="T194" s="34">
        <v>592</v>
      </c>
      <c r="U194" s="88" t="s">
        <v>508</v>
      </c>
      <c r="V194" s="41">
        <f>C194/'1. Väestöennuste'!E194*1000</f>
        <v>-158.68263473053892</v>
      </c>
      <c r="W194" s="41">
        <f>D194/'1. Väestöennuste'!F194*1000</f>
        <v>-577.49309218789244</v>
      </c>
      <c r="X194" s="41">
        <f>E194/'1. Väestöennuste'!G194*1000</f>
        <v>-278.57142857142856</v>
      </c>
      <c r="Y194" s="41">
        <f>F194/'1. Väestöennuste'!H194*1000</f>
        <v>-389.74358974358972</v>
      </c>
      <c r="Z194" s="41">
        <f>G194/'1. Väestöennuste'!I194*1000</f>
        <v>-223.90002603488674</v>
      </c>
      <c r="AA194" s="41">
        <f>H194/'1. Väestöennuste'!J194*1000</f>
        <v>-195.38706256627782</v>
      </c>
      <c r="AB194" s="41">
        <f>I194/'1. Väestöennuste'!K194*1000</f>
        <v>-433.29997281131051</v>
      </c>
      <c r="AC194" s="41">
        <f>J194/'1. Väestöennuste'!L194*1000</f>
        <v>-274.03034784990416</v>
      </c>
      <c r="AD194" s="41">
        <f>K194/'1. Väestöennuste'!M194*1000</f>
        <v>-279.27686040044489</v>
      </c>
      <c r="AE194" s="41">
        <f>L194/'1. Väestöennuste'!N194*1000</f>
        <v>-307.48491143845251</v>
      </c>
      <c r="AF194" s="41">
        <f>M194/'1. Väestöennuste'!O194*1000</f>
        <v>-323.88857342013699</v>
      </c>
      <c r="AG194" s="41">
        <f>N194/'1. Väestöennuste'!P194*1000</f>
        <v>-338.44052090325278</v>
      </c>
      <c r="AH194" s="41">
        <f>O194/'1. Väestöennuste'!Q194*1000</f>
        <v>-357.35643160900446</v>
      </c>
      <c r="AI194" s="41">
        <f>P194/'1. Väestöennuste'!R194*1000</f>
        <v>-375.83497309850287</v>
      </c>
      <c r="AK194" s="34">
        <v>592</v>
      </c>
      <c r="AL194" s="88" t="s">
        <v>508</v>
      </c>
      <c r="AM194" s="41"/>
      <c r="AN194" s="41">
        <f t="shared" si="37"/>
        <v>-418.81045745735355</v>
      </c>
      <c r="AO194" s="41">
        <f t="shared" si="38"/>
        <v>298.92166361646389</v>
      </c>
      <c r="AP194" s="41">
        <f t="shared" si="39"/>
        <v>-111.17216117216117</v>
      </c>
      <c r="AQ194" s="41">
        <f t="shared" si="40"/>
        <v>165.84356370870299</v>
      </c>
      <c r="AR194" s="41">
        <f t="shared" si="41"/>
        <v>28.512963468608916</v>
      </c>
      <c r="AS194" s="41">
        <f t="shared" si="42"/>
        <v>-237.91291024503269</v>
      </c>
      <c r="AT194" s="41">
        <f t="shared" si="43"/>
        <v>159.26962496140635</v>
      </c>
      <c r="AU194" s="41">
        <f t="shared" si="44"/>
        <v>-5.2465125505407286</v>
      </c>
      <c r="AV194" s="41">
        <f t="shared" si="45"/>
        <v>-28.208051038007625</v>
      </c>
      <c r="AW194" s="41">
        <f t="shared" si="46"/>
        <v>-16.403661981684479</v>
      </c>
      <c r="AX194" s="41">
        <f t="shared" si="47"/>
        <v>-14.551947483115782</v>
      </c>
      <c r="AY194" s="41">
        <f t="shared" si="47"/>
        <v>-18.915910705751685</v>
      </c>
      <c r="AZ194" s="41">
        <f t="shared" si="47"/>
        <v>-18.478541489498411</v>
      </c>
    </row>
    <row r="195" spans="1:52" x14ac:dyDescent="0.2">
      <c r="A195" s="30">
        <v>593</v>
      </c>
      <c r="B195" s="31" t="s">
        <v>509</v>
      </c>
      <c r="C195" s="41">
        <v>-6670</v>
      </c>
      <c r="D195" s="41">
        <v>-4127</v>
      </c>
      <c r="E195" s="73">
        <v>-4737</v>
      </c>
      <c r="F195" s="73">
        <v>-14467</v>
      </c>
      <c r="G195" s="73">
        <v>-13399</v>
      </c>
      <c r="H195" s="41">
        <v>-13806</v>
      </c>
      <c r="I195" s="165">
        <v>-4801.6525999999994</v>
      </c>
      <c r="J195" s="41">
        <v>-6814.5452500000001</v>
      </c>
      <c r="K195" s="41">
        <v>-6273.1002900000003</v>
      </c>
      <c r="L195" s="41">
        <f>$L$5*'7.1. Nettoinvestointiennuste '!Y195</f>
        <v>-8357.3059821875504</v>
      </c>
      <c r="M195" s="41">
        <f>$M$5*'7.1. Nettoinvestointiennuste '!Y195</f>
        <v>-8715.4841432389621</v>
      </c>
      <c r="N195" s="41">
        <f>$N$5*'7.1. Nettoinvestointiennuste '!Y195</f>
        <v>-9023.0897693045008</v>
      </c>
      <c r="O195" s="41">
        <f>O$5*'7.1. Nettoinvestointiennuste '!$Y195</f>
        <v>-9425.3042798564347</v>
      </c>
      <c r="P195" s="41">
        <f>P$5*'7.1. Nettoinvestointiennuste '!$Y195</f>
        <v>-9816.6023006408232</v>
      </c>
      <c r="T195" s="34">
        <v>593</v>
      </c>
      <c r="U195" s="88" t="s">
        <v>509</v>
      </c>
      <c r="V195" s="41">
        <f>C195/'1. Väestöennuste'!E195*1000</f>
        <v>-354.76836338492632</v>
      </c>
      <c r="W195" s="41">
        <f>D195/'1. Väestöennuste'!F195*1000</f>
        <v>-223.38294993234101</v>
      </c>
      <c r="X195" s="41">
        <f>E195/'1. Väestöennuste'!G195*1000</f>
        <v>-259.98902305159169</v>
      </c>
      <c r="Y195" s="41">
        <f>F195/'1. Väestöennuste'!H195*1000</f>
        <v>-806.72503206379292</v>
      </c>
      <c r="Z195" s="41">
        <f>G195/'1. Väestöennuste'!I195*1000</f>
        <v>-757.77626965275419</v>
      </c>
      <c r="AA195" s="41">
        <f>H195/'1. Väestöennuste'!J195*1000</f>
        <v>-794.58992805755395</v>
      </c>
      <c r="AB195" s="41">
        <f>I195/'1. Väestöennuste'!K195*1000</f>
        <v>-278.30827102532891</v>
      </c>
      <c r="AC195" s="41">
        <f>J195/'1. Väestöennuste'!L195*1000</f>
        <v>-399.04814955788487</v>
      </c>
      <c r="AD195" s="41">
        <f>K195/'1. Väestöennuste'!M195*1000</f>
        <v>-367.92377067448683</v>
      </c>
      <c r="AE195" s="41">
        <f>L195/'1. Väestöennuste'!N195*1000</f>
        <v>-513.91624536880761</v>
      </c>
      <c r="AF195" s="41">
        <f>M195/'1. Väestöennuste'!O195*1000</f>
        <v>-544.34352278052359</v>
      </c>
      <c r="AG195" s="41">
        <f>N195/'1. Väestöennuste'!P195*1000</f>
        <v>-572.09547104390697</v>
      </c>
      <c r="AH195" s="41">
        <f>O195/'1. Väestöennuste'!Q195*1000</f>
        <v>-606.51893692769852</v>
      </c>
      <c r="AI195" s="41">
        <f>P195/'1. Väestöennuste'!R195*1000</f>
        <v>-640.89588696486408</v>
      </c>
      <c r="AK195" s="34">
        <v>593</v>
      </c>
      <c r="AL195" s="88" t="s">
        <v>509</v>
      </c>
      <c r="AM195" s="41"/>
      <c r="AN195" s="41">
        <f t="shared" si="37"/>
        <v>131.38541345258531</v>
      </c>
      <c r="AO195" s="41">
        <f t="shared" si="38"/>
        <v>-36.606073119250681</v>
      </c>
      <c r="AP195" s="41">
        <f t="shared" si="39"/>
        <v>-546.73600901220129</v>
      </c>
      <c r="AQ195" s="41">
        <f t="shared" si="40"/>
        <v>48.948762411038729</v>
      </c>
      <c r="AR195" s="41">
        <f t="shared" si="41"/>
        <v>-36.813658404799753</v>
      </c>
      <c r="AS195" s="41">
        <f t="shared" si="42"/>
        <v>516.28165703222498</v>
      </c>
      <c r="AT195" s="41">
        <f t="shared" si="43"/>
        <v>-120.73987853255596</v>
      </c>
      <c r="AU195" s="41">
        <f t="shared" si="44"/>
        <v>31.124378883398037</v>
      </c>
      <c r="AV195" s="41">
        <f t="shared" si="45"/>
        <v>-145.99247469432078</v>
      </c>
      <c r="AW195" s="41">
        <f t="shared" si="46"/>
        <v>-30.427277411715977</v>
      </c>
      <c r="AX195" s="41">
        <f t="shared" si="47"/>
        <v>-27.751948263383383</v>
      </c>
      <c r="AY195" s="41">
        <f t="shared" si="47"/>
        <v>-34.42346588379155</v>
      </c>
      <c r="AZ195" s="41">
        <f t="shared" si="47"/>
        <v>-34.376950037165557</v>
      </c>
    </row>
    <row r="196" spans="1:52" x14ac:dyDescent="0.2">
      <c r="A196" s="30">
        <v>595</v>
      </c>
      <c r="B196" s="31" t="s">
        <v>510</v>
      </c>
      <c r="C196" s="41">
        <v>-3047</v>
      </c>
      <c r="D196" s="41">
        <v>-8460</v>
      </c>
      <c r="E196" s="73">
        <v>-926</v>
      </c>
      <c r="F196" s="73">
        <v>-877</v>
      </c>
      <c r="G196" s="73">
        <v>-809</v>
      </c>
      <c r="H196" s="41">
        <v>-456</v>
      </c>
      <c r="I196" s="165">
        <v>-740.37301000000002</v>
      </c>
      <c r="J196" s="41">
        <v>-2016.63193</v>
      </c>
      <c r="K196" s="41">
        <v>-764.89658999999995</v>
      </c>
      <c r="L196" s="41">
        <f>$L$5*'7.1. Nettoinvestointiennuste '!Y196</f>
        <v>-2701.7498645056262</v>
      </c>
      <c r="M196" s="41">
        <f>$M$5*'7.1. Nettoinvestointiennuste '!Y196</f>
        <v>-2817.5416998353439</v>
      </c>
      <c r="N196" s="41">
        <f>$N$5*'7.1. Nettoinvestointiennuste '!Y196</f>
        <v>-2916.9844461360126</v>
      </c>
      <c r="O196" s="41">
        <f>O$5*'7.1. Nettoinvestointiennuste '!$Y196</f>
        <v>-3047.0123524615678</v>
      </c>
      <c r="P196" s="41">
        <f>P$5*'7.1. Nettoinvestointiennuste '!$Y196</f>
        <v>-3173.5111759925953</v>
      </c>
      <c r="T196" s="34">
        <v>595</v>
      </c>
      <c r="U196" s="88" t="s">
        <v>510</v>
      </c>
      <c r="V196" s="41">
        <f>C196/'1. Väestöennuste'!E196*1000</f>
        <v>-642.82700421940933</v>
      </c>
      <c r="W196" s="41">
        <f>D196/'1. Väestöennuste'!F196*1000</f>
        <v>-1801.1496700021289</v>
      </c>
      <c r="X196" s="41">
        <f>E196/'1. Väestöennuste'!G196*1000</f>
        <v>-200.25951557093424</v>
      </c>
      <c r="Y196" s="41">
        <f>F196/'1. Väestöennuste'!H196*1000</f>
        <v>-194.97554468652734</v>
      </c>
      <c r="Z196" s="41">
        <f>G196/'1. Väestöennuste'!I196*1000</f>
        <v>-184.24049191528124</v>
      </c>
      <c r="AA196" s="41">
        <f>H196/'1. Väestöennuste'!J196*1000</f>
        <v>-105.5311270539227</v>
      </c>
      <c r="AB196" s="41">
        <f>I196/'1. Väestöennuste'!K196*1000</f>
        <v>-173.43007964394471</v>
      </c>
      <c r="AC196" s="41">
        <f>J196/'1. Väestöennuste'!L196*1000</f>
        <v>-487.10916183574881</v>
      </c>
      <c r="AD196" s="41">
        <f>K196/'1. Väestöennuste'!M196*1000</f>
        <v>-187.7968548981095</v>
      </c>
      <c r="AE196" s="41">
        <f>L196/'1. Väestöennuste'!N196*1000</f>
        <v>-673.24940555834189</v>
      </c>
      <c r="AF196" s="41">
        <f>M196/'1. Väestöennuste'!O196*1000</f>
        <v>-714.56801923290493</v>
      </c>
      <c r="AG196" s="41">
        <f>N196/'1. Väestöennuste'!P196*1000</f>
        <v>-753.15890682571978</v>
      </c>
      <c r="AH196" s="41">
        <f>O196/'1. Väestöennuste'!Q196*1000</f>
        <v>-799.9507357473268</v>
      </c>
      <c r="AI196" s="41">
        <f>P196/'1. Väestöennuste'!R196*1000</f>
        <v>-846.94720469511492</v>
      </c>
      <c r="AK196" s="34">
        <v>595</v>
      </c>
      <c r="AL196" s="88" t="s">
        <v>510</v>
      </c>
      <c r="AM196" s="41"/>
      <c r="AN196" s="41">
        <f t="shared" si="37"/>
        <v>-1158.3226657827195</v>
      </c>
      <c r="AO196" s="41">
        <f t="shared" si="38"/>
        <v>1600.8901544311948</v>
      </c>
      <c r="AP196" s="41">
        <f t="shared" si="39"/>
        <v>5.283970884406898</v>
      </c>
      <c r="AQ196" s="41">
        <f t="shared" si="40"/>
        <v>10.735052771246103</v>
      </c>
      <c r="AR196" s="41">
        <f t="shared" si="41"/>
        <v>78.709364861358537</v>
      </c>
      <c r="AS196" s="41">
        <f t="shared" si="42"/>
        <v>-67.898952590022006</v>
      </c>
      <c r="AT196" s="41">
        <f t="shared" si="43"/>
        <v>-313.67908219180413</v>
      </c>
      <c r="AU196" s="41">
        <f t="shared" si="44"/>
        <v>299.31230693763928</v>
      </c>
      <c r="AV196" s="41">
        <f t="shared" si="45"/>
        <v>-485.45255066023242</v>
      </c>
      <c r="AW196" s="41">
        <f t="shared" si="46"/>
        <v>-41.318613674563039</v>
      </c>
      <c r="AX196" s="41">
        <f t="shared" si="47"/>
        <v>-38.590887592814852</v>
      </c>
      <c r="AY196" s="41">
        <f t="shared" si="47"/>
        <v>-46.791828921607021</v>
      </c>
      <c r="AZ196" s="41">
        <f t="shared" si="47"/>
        <v>-46.996468947788117</v>
      </c>
    </row>
    <row r="197" spans="1:52" x14ac:dyDescent="0.2">
      <c r="A197" s="30">
        <v>598</v>
      </c>
      <c r="B197" s="31" t="s">
        <v>511</v>
      </c>
      <c r="C197" s="41">
        <v>-12527</v>
      </c>
      <c r="D197" s="41">
        <v>-7075</v>
      </c>
      <c r="E197" s="73">
        <v>-9702</v>
      </c>
      <c r="F197" s="73">
        <v>-7255</v>
      </c>
      <c r="G197" s="73">
        <v>-8814</v>
      </c>
      <c r="H197" s="41">
        <v>-7382</v>
      </c>
      <c r="I197" s="165">
        <v>-5402.8860000000004</v>
      </c>
      <c r="J197" s="41">
        <v>-7231.8869999999997</v>
      </c>
      <c r="K197" s="41">
        <v>-7780.5730000000003</v>
      </c>
      <c r="L197" s="41">
        <f>$L$5*'7.1. Nettoinvestointiennuste '!Y197</f>
        <v>-8206.2915518283698</v>
      </c>
      <c r="M197" s="41">
        <f>$M$5*'7.1. Nettoinvestointiennuste '!Y197</f>
        <v>-8557.9975230289419</v>
      </c>
      <c r="N197" s="41">
        <f>$N$5*'7.1. Nettoinvestointiennuste '!Y197</f>
        <v>-8860.0447923112552</v>
      </c>
      <c r="O197" s="41">
        <f>O$5*'7.1. Nettoinvestointiennuste '!$Y197</f>
        <v>-9254.9913871828667</v>
      </c>
      <c r="P197" s="41">
        <f>P$5*'7.1. Nettoinvestointiennuste '!$Y197</f>
        <v>-9639.2187505286784</v>
      </c>
      <c r="T197" s="34">
        <v>598</v>
      </c>
      <c r="U197" s="88" t="s">
        <v>511</v>
      </c>
      <c r="V197" s="41">
        <f>C197/'1. Väestöennuste'!E197*1000</f>
        <v>-644.52562255608143</v>
      </c>
      <c r="W197" s="41">
        <f>D197/'1. Väestöennuste'!F197*1000</f>
        <v>-365.12360014450121</v>
      </c>
      <c r="X197" s="41">
        <f>E197/'1. Väestöennuste'!G197*1000</f>
        <v>-500.64502812322621</v>
      </c>
      <c r="Y197" s="41">
        <f>F197/'1. Väestöennuste'!H197*1000</f>
        <v>-376.3357194729744</v>
      </c>
      <c r="Z197" s="41">
        <f>G197/'1. Väestöennuste'!I197*1000</f>
        <v>-458.87130362349023</v>
      </c>
      <c r="AA197" s="41">
        <f>H197/'1. Väestöennuste'!J197*1000</f>
        <v>-387.18136997797126</v>
      </c>
      <c r="AB197" s="41">
        <f>I197/'1. Väestöennuste'!K197*1000</f>
        <v>-282.9180499554904</v>
      </c>
      <c r="AC197" s="41">
        <f>J197/'1. Väestöennuste'!L197*1000</f>
        <v>-376.52350705471957</v>
      </c>
      <c r="AD197" s="41">
        <f>K197/'1. Väestöennuste'!M197*1000</f>
        <v>-399.51594351732996</v>
      </c>
      <c r="AE197" s="41">
        <f>L197/'1. Väestöennuste'!N197*1000</f>
        <v>-437.31902754214605</v>
      </c>
      <c r="AF197" s="41">
        <f>M197/'1. Väestöennuste'!O197*1000</f>
        <v>-458.03883124753492</v>
      </c>
      <c r="AG197" s="41">
        <f>N197/'1. Väestöennuste'!P197*1000</f>
        <v>-476.34649421028251</v>
      </c>
      <c r="AH197" s="41">
        <f>O197/'1. Väestöennuste'!Q197*1000</f>
        <v>-499.72955654335135</v>
      </c>
      <c r="AI197" s="41">
        <f>P197/'1. Väestöennuste'!R197*1000</f>
        <v>-522.70585925539172</v>
      </c>
      <c r="AK197" s="34">
        <v>598</v>
      </c>
      <c r="AL197" s="88" t="s">
        <v>511</v>
      </c>
      <c r="AM197" s="41"/>
      <c r="AN197" s="41">
        <f t="shared" si="37"/>
        <v>279.40202241158022</v>
      </c>
      <c r="AO197" s="41">
        <f t="shared" si="38"/>
        <v>-135.521427978725</v>
      </c>
      <c r="AP197" s="41">
        <f t="shared" si="39"/>
        <v>124.30930865025181</v>
      </c>
      <c r="AQ197" s="41">
        <f t="shared" si="40"/>
        <v>-82.535584150515831</v>
      </c>
      <c r="AR197" s="41">
        <f t="shared" si="41"/>
        <v>71.689933645518977</v>
      </c>
      <c r="AS197" s="41">
        <f t="shared" si="42"/>
        <v>104.26332002248085</v>
      </c>
      <c r="AT197" s="41">
        <f t="shared" si="43"/>
        <v>-93.60545709922917</v>
      </c>
      <c r="AU197" s="41">
        <f t="shared" si="44"/>
        <v>-22.992436462610385</v>
      </c>
      <c r="AV197" s="41">
        <f t="shared" si="45"/>
        <v>-37.803084024816087</v>
      </c>
      <c r="AW197" s="41">
        <f t="shared" si="46"/>
        <v>-20.71980370538887</v>
      </c>
      <c r="AX197" s="41">
        <f t="shared" si="47"/>
        <v>-18.3076629627476</v>
      </c>
      <c r="AY197" s="41">
        <f t="shared" si="47"/>
        <v>-23.383062333068835</v>
      </c>
      <c r="AZ197" s="41">
        <f t="shared" si="47"/>
        <v>-22.976302712040365</v>
      </c>
    </row>
    <row r="198" spans="1:52" x14ac:dyDescent="0.2">
      <c r="A198" s="30">
        <v>599</v>
      </c>
      <c r="B198" s="31" t="s">
        <v>512</v>
      </c>
      <c r="C198" s="41">
        <v>-4589</v>
      </c>
      <c r="D198" s="41">
        <v>2</v>
      </c>
      <c r="E198" s="73">
        <v>-5783</v>
      </c>
      <c r="F198" s="73">
        <v>-4678</v>
      </c>
      <c r="G198" s="73">
        <v>-5296</v>
      </c>
      <c r="H198" s="41">
        <v>-1718</v>
      </c>
      <c r="I198" s="165">
        <v>-4331.7771199999997</v>
      </c>
      <c r="J198" s="41">
        <v>-7960.6649800000005</v>
      </c>
      <c r="K198" s="41">
        <v>-15598.026529999999</v>
      </c>
      <c r="L198" s="41">
        <f>$L$5*'7.1. Nettoinvestointiennuste '!Y198</f>
        <v>-7462.1293116634133</v>
      </c>
      <c r="M198" s="41">
        <f>$M$5*'7.1. Nettoinvestointiennuste '!Y198</f>
        <v>-7781.9419115701394</v>
      </c>
      <c r="N198" s="41">
        <f>$N$5*'7.1. Nettoinvestointiennuste '!Y198</f>
        <v>-8056.5989557885205</v>
      </c>
      <c r="O198" s="41">
        <f>O$5*'7.1. Nettoinvestointiennuste '!$Y198</f>
        <v>-8415.7310367680802</v>
      </c>
      <c r="P198" s="41">
        <f>P$5*'7.1. Nettoinvestointiennuste '!$Y198</f>
        <v>-8765.1159266733284</v>
      </c>
      <c r="T198" s="34">
        <v>599</v>
      </c>
      <c r="U198" s="88" t="s">
        <v>512</v>
      </c>
      <c r="V198" s="41">
        <f>C198/'1. Väestöennuste'!E198*1000</f>
        <v>-412.34612274238475</v>
      </c>
      <c r="W198" s="41">
        <f>D198/'1. Väestöennuste'!F198*1000</f>
        <v>0.18071744826963043</v>
      </c>
      <c r="X198" s="41">
        <f>E198/'1. Väestöennuste'!G198*1000</f>
        <v>-521.74305304944073</v>
      </c>
      <c r="Y198" s="41">
        <f>F198/'1. Väestöennuste'!H198*1000</f>
        <v>-424.65504720406682</v>
      </c>
      <c r="Z198" s="41">
        <f>G198/'1. Väestöennuste'!I198*1000</f>
        <v>-477.93520440393468</v>
      </c>
      <c r="AA198" s="41">
        <f>H198/'1. Väestöennuste'!J198*1000</f>
        <v>-153.74977626633253</v>
      </c>
      <c r="AB198" s="41">
        <f>I198/'1. Väestöennuste'!K198*1000</f>
        <v>-387.73515216612958</v>
      </c>
      <c r="AC198" s="41">
        <f>J198/'1. Väestöennuste'!L198*1000</f>
        <v>-710.39309120114228</v>
      </c>
      <c r="AD198" s="41">
        <f>K198/'1. Väestöennuste'!M198*1000</f>
        <v>-1389.5792008908686</v>
      </c>
      <c r="AE198" s="41">
        <f>L198/'1. Väestöennuste'!N198*1000</f>
        <v>-662.12327521414488</v>
      </c>
      <c r="AF198" s="41">
        <f>M198/'1. Väestöennuste'!O198*1000</f>
        <v>-689.21635918608968</v>
      </c>
      <c r="AG198" s="41">
        <f>N198/'1. Väestöennuste'!P198*1000</f>
        <v>-712.40595594557612</v>
      </c>
      <c r="AH198" s="41">
        <f>O198/'1. Väestöennuste'!Q198*1000</f>
        <v>-743.30781105529763</v>
      </c>
      <c r="AI198" s="41">
        <f>P198/'1. Väestöennuste'!R198*1000</f>
        <v>-773.48357983350934</v>
      </c>
      <c r="AK198" s="34">
        <v>599</v>
      </c>
      <c r="AL198" s="88" t="s">
        <v>512</v>
      </c>
      <c r="AM198" s="41"/>
      <c r="AN198" s="41">
        <f t="shared" si="37"/>
        <v>412.52684019065435</v>
      </c>
      <c r="AO198" s="41">
        <f t="shared" si="38"/>
        <v>-521.92377049771039</v>
      </c>
      <c r="AP198" s="41">
        <f t="shared" si="39"/>
        <v>97.088005845373914</v>
      </c>
      <c r="AQ198" s="41">
        <f t="shared" si="40"/>
        <v>-53.280157199867858</v>
      </c>
      <c r="AR198" s="41">
        <f t="shared" si="41"/>
        <v>324.18542813760212</v>
      </c>
      <c r="AS198" s="41">
        <f t="shared" si="42"/>
        <v>-233.98537589979705</v>
      </c>
      <c r="AT198" s="41">
        <f t="shared" si="43"/>
        <v>-322.6579390350127</v>
      </c>
      <c r="AU198" s="41">
        <f t="shared" si="44"/>
        <v>-679.18610968972632</v>
      </c>
      <c r="AV198" s="41">
        <f t="shared" si="45"/>
        <v>727.45592567672372</v>
      </c>
      <c r="AW198" s="41">
        <f t="shared" si="46"/>
        <v>-27.093083971944793</v>
      </c>
      <c r="AX198" s="41">
        <f t="shared" si="47"/>
        <v>-23.189596759486449</v>
      </c>
      <c r="AY198" s="41">
        <f t="shared" si="47"/>
        <v>-30.90185510972151</v>
      </c>
      <c r="AZ198" s="41">
        <f t="shared" si="47"/>
        <v>-30.175768778211705</v>
      </c>
    </row>
    <row r="199" spans="1:52" x14ac:dyDescent="0.2">
      <c r="A199" s="30">
        <v>601</v>
      </c>
      <c r="B199" s="31" t="s">
        <v>513</v>
      </c>
      <c r="C199" s="41">
        <v>-1010</v>
      </c>
      <c r="D199" s="41">
        <v>-1481</v>
      </c>
      <c r="E199" s="73">
        <v>-1104</v>
      </c>
      <c r="F199" s="73">
        <v>-1878</v>
      </c>
      <c r="G199" s="73">
        <v>-1657</v>
      </c>
      <c r="H199" s="41">
        <v>-1053</v>
      </c>
      <c r="I199" s="165">
        <v>-1238.4093500000001</v>
      </c>
      <c r="J199" s="41">
        <v>-1361.3163100000002</v>
      </c>
      <c r="K199" s="41">
        <v>-1673.8319299999998</v>
      </c>
      <c r="L199" s="41">
        <f>$L$5*'7.1. Nettoinvestointiennuste '!Y199</f>
        <v>-1304.3494745558435</v>
      </c>
      <c r="M199" s="41">
        <f>$M$5*'7.1. Nettoinvestointiennuste '!Y199</f>
        <v>-1360.2514000280635</v>
      </c>
      <c r="N199" s="41">
        <f>$N$5*'7.1. Nettoinvestointiennuste '!Y199</f>
        <v>-1408.2603203169895</v>
      </c>
      <c r="O199" s="41">
        <f>O$5*'7.1. Nettoinvestointiennuste '!$Y199</f>
        <v>-1471.0351291627258</v>
      </c>
      <c r="P199" s="41">
        <f>P$5*'7.1. Nettoinvestointiennuste '!$Y199</f>
        <v>-1532.1061691477023</v>
      </c>
      <c r="T199" s="34">
        <v>601</v>
      </c>
      <c r="U199" s="88" t="s">
        <v>513</v>
      </c>
      <c r="V199" s="41">
        <f>C199/'1. Väestöennuste'!E199*1000</f>
        <v>-239.27979151859748</v>
      </c>
      <c r="W199" s="41">
        <f>D199/'1. Väestöennuste'!F199*1000</f>
        <v>-352.4512137077582</v>
      </c>
      <c r="X199" s="41">
        <f>E199/'1. Väestöennuste'!G199*1000</f>
        <v>-267.50666343590984</v>
      </c>
      <c r="Y199" s="41">
        <f>F199/'1. Väestöennuste'!H199*1000</f>
        <v>-463.36047372316801</v>
      </c>
      <c r="Z199" s="41">
        <f>G199/'1. Väestöennuste'!I199*1000</f>
        <v>-410.96230158730157</v>
      </c>
      <c r="AA199" s="41">
        <f>H199/'1. Väestöennuste'!J199*1000</f>
        <v>-267.87077079623504</v>
      </c>
      <c r="AB199" s="41">
        <f>I199/'1. Väestöennuste'!K199*1000</f>
        <v>-319.75454428091922</v>
      </c>
      <c r="AC199" s="41">
        <f>J199/'1. Väestöennuste'!L199*1000</f>
        <v>-359.56585050184896</v>
      </c>
      <c r="AD199" s="41">
        <f>K199/'1. Väestöennuste'!M199*1000</f>
        <v>-447.668341802621</v>
      </c>
      <c r="AE199" s="41">
        <f>L199/'1. Väestöennuste'!N199*1000</f>
        <v>-354.15407943411441</v>
      </c>
      <c r="AF199" s="41">
        <f>M199/'1. Väestöennuste'!O199*1000</f>
        <v>-374.93147740575068</v>
      </c>
      <c r="AG199" s="41">
        <f>N199/'1. Väestöennuste'!P199*1000</f>
        <v>-394.13946832269511</v>
      </c>
      <c r="AH199" s="41">
        <f>O199/'1. Väestöennuste'!Q199*1000</f>
        <v>-417.55183910381089</v>
      </c>
      <c r="AI199" s="41">
        <f>P199/'1. Väestöennuste'!R199*1000</f>
        <v>-441.14775961638418</v>
      </c>
      <c r="AK199" s="34">
        <v>601</v>
      </c>
      <c r="AL199" s="88" t="s">
        <v>513</v>
      </c>
      <c r="AM199" s="41"/>
      <c r="AN199" s="41">
        <f t="shared" si="37"/>
        <v>-113.17142218916072</v>
      </c>
      <c r="AO199" s="41">
        <f t="shared" si="38"/>
        <v>84.944550271848357</v>
      </c>
      <c r="AP199" s="41">
        <f t="shared" si="39"/>
        <v>-195.85381028725817</v>
      </c>
      <c r="AQ199" s="41">
        <f t="shared" si="40"/>
        <v>52.398172135866446</v>
      </c>
      <c r="AR199" s="41">
        <f t="shared" si="41"/>
        <v>143.09153079106653</v>
      </c>
      <c r="AS199" s="41">
        <f t="shared" si="42"/>
        <v>-51.883773484684184</v>
      </c>
      <c r="AT199" s="41">
        <f t="shared" si="43"/>
        <v>-39.811306220929737</v>
      </c>
      <c r="AU199" s="41">
        <f t="shared" si="44"/>
        <v>-88.102491300772044</v>
      </c>
      <c r="AV199" s="41">
        <f t="shared" si="45"/>
        <v>93.514262368506593</v>
      </c>
      <c r="AW199" s="41">
        <f t="shared" si="46"/>
        <v>-20.777397971636276</v>
      </c>
      <c r="AX199" s="41">
        <f t="shared" si="47"/>
        <v>-19.207990916944425</v>
      </c>
      <c r="AY199" s="41">
        <f t="shared" si="47"/>
        <v>-23.412370781115783</v>
      </c>
      <c r="AZ199" s="41">
        <f t="shared" si="47"/>
        <v>-23.595920512573286</v>
      </c>
    </row>
    <row r="200" spans="1:52" x14ac:dyDescent="0.2">
      <c r="A200" s="30">
        <v>604</v>
      </c>
      <c r="B200" s="31" t="s">
        <v>514</v>
      </c>
      <c r="C200" s="41">
        <v>-5083</v>
      </c>
      <c r="D200" s="41">
        <v>-1062</v>
      </c>
      <c r="E200" s="73">
        <v>-7534</v>
      </c>
      <c r="F200" s="73">
        <v>-8668</v>
      </c>
      <c r="G200" s="73">
        <v>-8973</v>
      </c>
      <c r="H200" s="41">
        <v>-12143</v>
      </c>
      <c r="I200" s="165">
        <v>-12192.821460000001</v>
      </c>
      <c r="J200" s="41">
        <v>-16031.92172</v>
      </c>
      <c r="K200" s="41">
        <v>-17405.90238</v>
      </c>
      <c r="L200" s="41">
        <f>$L$5*'7.1. Nettoinvestointiennuste '!Y200</f>
        <v>-13377.676665358391</v>
      </c>
      <c r="M200" s="41">
        <f>$M$5*'7.1. Nettoinvestointiennuste '!Y200</f>
        <v>-13951.018318440267</v>
      </c>
      <c r="N200" s="41">
        <f>$N$5*'7.1. Nettoinvestointiennuste '!Y200</f>
        <v>-14443.407685865674</v>
      </c>
      <c r="O200" s="41">
        <f>O$5*'7.1. Nettoinvestointiennuste '!$Y200</f>
        <v>-15087.239045366854</v>
      </c>
      <c r="P200" s="41">
        <f>P$5*'7.1. Nettoinvestointiennuste '!$Y200</f>
        <v>-15713.596200771382</v>
      </c>
      <c r="T200" s="34">
        <v>604</v>
      </c>
      <c r="U200" s="88" t="s">
        <v>514</v>
      </c>
      <c r="V200" s="41">
        <f>C200/'1. Väestöennuste'!E200*1000</f>
        <v>-268.75693967112568</v>
      </c>
      <c r="W200" s="41">
        <f>D200/'1. Väestöennuste'!F200*1000</f>
        <v>-55.419297604759173</v>
      </c>
      <c r="X200" s="41">
        <f>E200/'1. Väestöennuste'!G200*1000</f>
        <v>-391.64110828091697</v>
      </c>
      <c r="Y200" s="41">
        <f>F200/'1. Väestöennuste'!H200*1000</f>
        <v>-447.54233787691038</v>
      </c>
      <c r="Z200" s="41">
        <f>G200/'1. Väestöennuste'!I200*1000</f>
        <v>-457.26953065280543</v>
      </c>
      <c r="AA200" s="41">
        <f>H200/'1. Väestöennuste'!J200*1000</f>
        <v>-613.18992071908292</v>
      </c>
      <c r="AB200" s="41">
        <f>I200/'1. Väestöennuste'!K200*1000</f>
        <v>-603.42578738988425</v>
      </c>
      <c r="AC200" s="41">
        <f>J200/'1. Väestöennuste'!L200*1000</f>
        <v>-785.68594560156828</v>
      </c>
      <c r="AD200" s="41">
        <f>K200/'1. Väestöennuste'!M200*1000</f>
        <v>-838.31346048258911</v>
      </c>
      <c r="AE200" s="41">
        <f>L200/'1. Väestöennuste'!N200*1000</f>
        <v>-653.30256704392195</v>
      </c>
      <c r="AF200" s="41">
        <f>M200/'1. Väestöennuste'!O200*1000</f>
        <v>-676.21629191218392</v>
      </c>
      <c r="AG200" s="41">
        <f>N200/'1. Väestöennuste'!P200*1000</f>
        <v>-695.12983376001887</v>
      </c>
      <c r="AH200" s="41">
        <f>O200/'1. Väestöennuste'!Q200*1000</f>
        <v>-721.29077044350788</v>
      </c>
      <c r="AI200" s="41">
        <f>P200/'1. Väestöennuste'!R200*1000</f>
        <v>-746.5245950292832</v>
      </c>
      <c r="AK200" s="34">
        <v>604</v>
      </c>
      <c r="AL200" s="88" t="s">
        <v>514</v>
      </c>
      <c r="AM200" s="41"/>
      <c r="AN200" s="41">
        <f t="shared" si="37"/>
        <v>213.3376420663665</v>
      </c>
      <c r="AO200" s="41">
        <f t="shared" si="38"/>
        <v>-336.22181067615782</v>
      </c>
      <c r="AP200" s="41">
        <f t="shared" si="39"/>
        <v>-55.901229595993414</v>
      </c>
      <c r="AQ200" s="41">
        <f t="shared" si="40"/>
        <v>-9.7271927758950483</v>
      </c>
      <c r="AR200" s="41">
        <f t="shared" si="41"/>
        <v>-155.92039006627749</v>
      </c>
      <c r="AS200" s="41">
        <f t="shared" si="42"/>
        <v>9.7641333291986712</v>
      </c>
      <c r="AT200" s="41">
        <f t="shared" si="43"/>
        <v>-182.26015821168403</v>
      </c>
      <c r="AU200" s="41">
        <f t="shared" si="44"/>
        <v>-52.627514881020829</v>
      </c>
      <c r="AV200" s="41">
        <f t="shared" si="45"/>
        <v>185.01089343866715</v>
      </c>
      <c r="AW200" s="41">
        <f t="shared" si="46"/>
        <v>-22.913724868261966</v>
      </c>
      <c r="AX200" s="41">
        <f t="shared" si="47"/>
        <v>-18.913541847834949</v>
      </c>
      <c r="AY200" s="41">
        <f t="shared" si="47"/>
        <v>-26.160936683489012</v>
      </c>
      <c r="AZ200" s="41">
        <f t="shared" si="47"/>
        <v>-25.233824585775324</v>
      </c>
    </row>
    <row r="201" spans="1:52" x14ac:dyDescent="0.2">
      <c r="A201" s="30">
        <v>607</v>
      </c>
      <c r="B201" s="31" t="s">
        <v>515</v>
      </c>
      <c r="C201" s="41">
        <v>-1132</v>
      </c>
      <c r="D201" s="41">
        <v>-1714</v>
      </c>
      <c r="E201" s="73">
        <v>-1304</v>
      </c>
      <c r="F201" s="73">
        <v>-4778</v>
      </c>
      <c r="G201" s="73">
        <v>-2658</v>
      </c>
      <c r="H201" s="41">
        <v>-2209</v>
      </c>
      <c r="I201" s="165">
        <v>-1800.0313100000001</v>
      </c>
      <c r="J201" s="41">
        <v>-2496.3035599999998</v>
      </c>
      <c r="K201" s="41">
        <v>-6284.4709999999995</v>
      </c>
      <c r="L201" s="41">
        <f>$L$5*'7.1. Nettoinvestointiennuste '!Y201</f>
        <v>-2671.754626359279</v>
      </c>
      <c r="M201" s="41">
        <f>$M$5*'7.1. Nettoinvestointiennuste '!Y201</f>
        <v>-2786.2609231120373</v>
      </c>
      <c r="N201" s="41">
        <f>$N$5*'7.1. Nettoinvestointiennuste '!Y201</f>
        <v>-2884.5996409101408</v>
      </c>
      <c r="O201" s="41">
        <f>O$5*'7.1. Nettoinvestointiennuste '!$Y201</f>
        <v>-3013.183957632104</v>
      </c>
      <c r="P201" s="41">
        <f>P$5*'7.1. Nettoinvestointiennuste '!$Y201</f>
        <v>-3138.2783719737781</v>
      </c>
      <c r="T201" s="34">
        <v>607</v>
      </c>
      <c r="U201" s="88" t="s">
        <v>515</v>
      </c>
      <c r="V201" s="41">
        <f>C201/'1. Väestöennuste'!E201*1000</f>
        <v>-248.46356453028972</v>
      </c>
      <c r="W201" s="41">
        <f>D201/'1. Väestöennuste'!F201*1000</f>
        <v>-379.70757642888793</v>
      </c>
      <c r="X201" s="41">
        <f>E201/'1. Väestöennuste'!G201*1000</f>
        <v>-295.42365201631173</v>
      </c>
      <c r="Y201" s="41">
        <f>F201/'1. Väestöennuste'!H201*1000</f>
        <v>-1109.3568609240772</v>
      </c>
      <c r="Z201" s="41">
        <f>G201/'1. Väestöennuste'!I201*1000</f>
        <v>-626.00094206311815</v>
      </c>
      <c r="AA201" s="41">
        <f>H201/'1. Väestöennuste'!J201*1000</f>
        <v>-525.82718400380861</v>
      </c>
      <c r="AB201" s="41">
        <f>I201/'1. Väestöennuste'!K201*1000</f>
        <v>-432.5958447488585</v>
      </c>
      <c r="AC201" s="41">
        <f>J201/'1. Väestöennuste'!L201*1000</f>
        <v>-611.2398530852106</v>
      </c>
      <c r="AD201" s="41">
        <f>K201/'1. Väestöennuste'!M201*1000</f>
        <v>-1546.3757381889761</v>
      </c>
      <c r="AE201" s="41">
        <f>L201/'1. Väestöennuste'!N201*1000</f>
        <v>-676.56485853615573</v>
      </c>
      <c r="AF201" s="41">
        <f>M201/'1. Väestöennuste'!O201*1000</f>
        <v>-715.89437901131475</v>
      </c>
      <c r="AG201" s="41">
        <f>N201/'1. Väestöennuste'!P201*1000</f>
        <v>-751.19782315368252</v>
      </c>
      <c r="AH201" s="41">
        <f>O201/'1. Väestöennuste'!Q201*1000</f>
        <v>-795.87531897308611</v>
      </c>
      <c r="AI201" s="41">
        <f>P201/'1. Väestöennuste'!R201*1000</f>
        <v>-841.13598819988692</v>
      </c>
      <c r="AK201" s="34">
        <v>607</v>
      </c>
      <c r="AL201" s="88" t="s">
        <v>515</v>
      </c>
      <c r="AM201" s="41"/>
      <c r="AN201" s="41">
        <f t="shared" si="37"/>
        <v>-131.24401189859822</v>
      </c>
      <c r="AO201" s="41">
        <f t="shared" si="38"/>
        <v>84.283924412576198</v>
      </c>
      <c r="AP201" s="41">
        <f t="shared" si="39"/>
        <v>-813.93320890776545</v>
      </c>
      <c r="AQ201" s="41">
        <f t="shared" si="40"/>
        <v>483.35591886095904</v>
      </c>
      <c r="AR201" s="41">
        <f t="shared" si="41"/>
        <v>100.17375805930953</v>
      </c>
      <c r="AS201" s="41">
        <f t="shared" si="42"/>
        <v>93.231339254950115</v>
      </c>
      <c r="AT201" s="41">
        <f t="shared" si="43"/>
        <v>-178.6440083363521</v>
      </c>
      <c r="AU201" s="41">
        <f t="shared" si="44"/>
        <v>-935.13588510376553</v>
      </c>
      <c r="AV201" s="41">
        <f t="shared" si="45"/>
        <v>869.8108796528204</v>
      </c>
      <c r="AW201" s="41">
        <f t="shared" si="46"/>
        <v>-39.329520475159029</v>
      </c>
      <c r="AX201" s="41">
        <f t="shared" si="47"/>
        <v>-35.303444142367766</v>
      </c>
      <c r="AY201" s="41">
        <f t="shared" si="47"/>
        <v>-44.677495819403589</v>
      </c>
      <c r="AZ201" s="41">
        <f t="shared" si="47"/>
        <v>-45.260669226800815</v>
      </c>
    </row>
    <row r="202" spans="1:52" x14ac:dyDescent="0.2">
      <c r="A202" s="30">
        <v>608</v>
      </c>
      <c r="B202" s="31" t="s">
        <v>516</v>
      </c>
      <c r="C202" s="41">
        <v>-2119</v>
      </c>
      <c r="D202" s="41">
        <v>-163</v>
      </c>
      <c r="E202" s="73">
        <v>-231</v>
      </c>
      <c r="F202" s="73">
        <v>-151</v>
      </c>
      <c r="G202" s="73">
        <v>-729</v>
      </c>
      <c r="H202" s="41">
        <v>-210</v>
      </c>
      <c r="I202" s="165">
        <v>-529.99525000000006</v>
      </c>
      <c r="J202" s="41">
        <v>-1947.1541299999999</v>
      </c>
      <c r="K202" s="41">
        <v>-1713.3588999999999</v>
      </c>
      <c r="L202" s="41">
        <f>$L$5*'7.1. Nettoinvestointiennuste '!Y202</f>
        <v>-723.12358445988275</v>
      </c>
      <c r="M202" s="41">
        <f>$M$5*'7.1. Nettoinvestointiennuste '!Y202</f>
        <v>-754.11527918145737</v>
      </c>
      <c r="N202" s="41">
        <f>$N$5*'7.1. Nettoinvestointiennuste '!Y202</f>
        <v>-780.73113881309371</v>
      </c>
      <c r="O202" s="41">
        <f>O$5*'7.1. Nettoinvestointiennuste '!$Y202</f>
        <v>-815.53311916561404</v>
      </c>
      <c r="P202" s="41">
        <f>P$5*'7.1. Nettoinvestointiennuste '!$Y202</f>
        <v>-849.39054020353569</v>
      </c>
      <c r="T202" s="34">
        <v>608</v>
      </c>
      <c r="U202" s="88" t="s">
        <v>516</v>
      </c>
      <c r="V202" s="41">
        <f>C202/'1. Väestöennuste'!E202*1000</f>
        <v>-945.98214285714289</v>
      </c>
      <c r="W202" s="41">
        <f>D202/'1. Väestöennuste'!F202*1000</f>
        <v>-72.99596954769369</v>
      </c>
      <c r="X202" s="41">
        <f>E202/'1. Väestöennuste'!G202*1000</f>
        <v>-106.64819944598338</v>
      </c>
      <c r="Y202" s="41">
        <f>F202/'1. Väestöennuste'!H202*1000</f>
        <v>-70.363466915191054</v>
      </c>
      <c r="Z202" s="41">
        <f>G202/'1. Väestöennuste'!I202*1000</f>
        <v>-348.97079942556246</v>
      </c>
      <c r="AA202" s="41">
        <f>H202/'1. Väestöennuste'!J202*1000</f>
        <v>-101.79350460494426</v>
      </c>
      <c r="AB202" s="41">
        <f>I202/'1. Väestöennuste'!K202*1000</f>
        <v>-263.28626428216597</v>
      </c>
      <c r="AC202" s="41">
        <f>J202/'1. Väestöennuste'!L202*1000</f>
        <v>-983.41117676767681</v>
      </c>
      <c r="AD202" s="41">
        <f>K202/'1. Väestöennuste'!M202*1000</f>
        <v>-881.81106536284096</v>
      </c>
      <c r="AE202" s="41">
        <f>L202/'1. Väestöennuste'!N202*1000</f>
        <v>-371.21333904511431</v>
      </c>
      <c r="AF202" s="41">
        <f>M202/'1. Väestöennuste'!O202*1000</f>
        <v>-392.15563139961381</v>
      </c>
      <c r="AG202" s="41">
        <f>N202/'1. Väestöennuste'!P202*1000</f>
        <v>-411.56095878391869</v>
      </c>
      <c r="AH202" s="41">
        <f>O202/'1. Väestöennuste'!Q202*1000</f>
        <v>-435.88087609065423</v>
      </c>
      <c r="AI202" s="41">
        <f>P202/'1. Väestöennuste'!R202*1000</f>
        <v>-459.87576621739885</v>
      </c>
      <c r="AK202" s="34">
        <v>608</v>
      </c>
      <c r="AL202" s="88" t="s">
        <v>516</v>
      </c>
      <c r="AM202" s="41"/>
      <c r="AN202" s="41">
        <f t="shared" si="37"/>
        <v>872.98617330944921</v>
      </c>
      <c r="AO202" s="41">
        <f t="shared" si="38"/>
        <v>-33.65222989828969</v>
      </c>
      <c r="AP202" s="41">
        <f t="shared" si="39"/>
        <v>36.284732530792326</v>
      </c>
      <c r="AQ202" s="41">
        <f t="shared" si="40"/>
        <v>-278.60733251037141</v>
      </c>
      <c r="AR202" s="41">
        <f t="shared" si="41"/>
        <v>247.17729482061821</v>
      </c>
      <c r="AS202" s="41">
        <f t="shared" si="42"/>
        <v>-161.49275967722173</v>
      </c>
      <c r="AT202" s="41">
        <f t="shared" si="43"/>
        <v>-720.12491248551078</v>
      </c>
      <c r="AU202" s="41">
        <f t="shared" si="44"/>
        <v>101.60011140483584</v>
      </c>
      <c r="AV202" s="41">
        <f t="shared" si="45"/>
        <v>510.59772631772665</v>
      </c>
      <c r="AW202" s="41">
        <f t="shared" si="46"/>
        <v>-20.9422923544995</v>
      </c>
      <c r="AX202" s="41">
        <f t="shared" si="47"/>
        <v>-19.405327384304883</v>
      </c>
      <c r="AY202" s="41">
        <f t="shared" si="47"/>
        <v>-24.319917306735533</v>
      </c>
      <c r="AZ202" s="41">
        <f t="shared" si="47"/>
        <v>-23.994890126744622</v>
      </c>
    </row>
    <row r="203" spans="1:52" x14ac:dyDescent="0.2">
      <c r="A203" s="30">
        <v>609</v>
      </c>
      <c r="B203" s="31" t="s">
        <v>517</v>
      </c>
      <c r="C203" s="41">
        <v>-28624</v>
      </c>
      <c r="D203" s="41">
        <v>-15800</v>
      </c>
      <c r="E203" s="73">
        <v>-21206</v>
      </c>
      <c r="F203" s="73">
        <v>-26431</v>
      </c>
      <c r="G203" s="73">
        <v>-25046</v>
      </c>
      <c r="H203" s="41">
        <v>-25550</v>
      </c>
      <c r="I203" s="165">
        <v>-33701.247869999999</v>
      </c>
      <c r="J203" s="41">
        <v>-40338.711940000001</v>
      </c>
      <c r="K203" s="41">
        <v>-55837.601640000001</v>
      </c>
      <c r="L203" s="41">
        <f>$L$5*'7.1. Nettoinvestointiennuste '!Y203</f>
        <v>-41928.733234320513</v>
      </c>
      <c r="M203" s="41">
        <f>$M$5*'7.1. Nettoinvestointiennuste '!Y203</f>
        <v>-43725.7186022241</v>
      </c>
      <c r="N203" s="41">
        <f>$N$5*'7.1. Nettoinvestointiennuste '!Y203</f>
        <v>-45268.980780749975</v>
      </c>
      <c r="O203" s="41">
        <f>O$5*'7.1. Nettoinvestointiennuste '!$Y203</f>
        <v>-47286.897194466168</v>
      </c>
      <c r="P203" s="41">
        <f>P$5*'7.1. Nettoinvestointiennuste '!$Y203</f>
        <v>-49250.045410357125</v>
      </c>
      <c r="T203" s="34">
        <v>609</v>
      </c>
      <c r="U203" s="88" t="s">
        <v>517</v>
      </c>
      <c r="V203" s="41">
        <f>C203/'1. Väestöennuste'!E203*1000</f>
        <v>-335.32092358515985</v>
      </c>
      <c r="W203" s="41">
        <f>D203/'1. Väestöennuste'!F203*1000</f>
        <v>-185.75341821559152</v>
      </c>
      <c r="X203" s="41">
        <f>E203/'1. Väestöennuste'!G203*1000</f>
        <v>-250.70046224597158</v>
      </c>
      <c r="Y203" s="41">
        <f>F203/'1. Väestöennuste'!H203*1000</f>
        <v>-313.15237610037559</v>
      </c>
      <c r="Z203" s="41">
        <f>G203/'1. Väestöennuste'!I203*1000</f>
        <v>-298.40112469321133</v>
      </c>
      <c r="AA203" s="41">
        <f>H203/'1. Väestöennuste'!J203*1000</f>
        <v>-305.31523349744276</v>
      </c>
      <c r="AB203" s="41">
        <f>I203/'1. Väestöennuste'!K203*1000</f>
        <v>-403.69478294722217</v>
      </c>
      <c r="AC203" s="41">
        <f>J203/'1. Väestöennuste'!L203*1000</f>
        <v>-484.81115245478037</v>
      </c>
      <c r="AD203" s="41">
        <f>K203/'1. Väestöennuste'!M203*1000</f>
        <v>-671.88411955815468</v>
      </c>
      <c r="AE203" s="41">
        <f>L203/'1. Väestöennuste'!N203*1000</f>
        <v>-509.79042681581711</v>
      </c>
      <c r="AF203" s="41">
        <f>M203/'1. Väestöennuste'!O203*1000</f>
        <v>-534.06110123145447</v>
      </c>
      <c r="AG203" s="41">
        <f>N203/'1. Väestöennuste'!P203*1000</f>
        <v>-555.48169557334768</v>
      </c>
      <c r="AH203" s="41">
        <f>O203/'1. Väestöennuste'!Q203*1000</f>
        <v>-582.95400653959973</v>
      </c>
      <c r="AI203" s="41">
        <f>P203/'1. Väestöennuste'!R203*1000</f>
        <v>-610.00588838273802</v>
      </c>
      <c r="AK203" s="34">
        <v>609</v>
      </c>
      <c r="AL203" s="88" t="s">
        <v>517</v>
      </c>
      <c r="AM203" s="41"/>
      <c r="AN203" s="41">
        <f t="shared" si="37"/>
        <v>149.56750536956832</v>
      </c>
      <c r="AO203" s="41">
        <f t="shared" si="38"/>
        <v>-64.947044030380056</v>
      </c>
      <c r="AP203" s="41">
        <f t="shared" si="39"/>
        <v>-62.451913854404012</v>
      </c>
      <c r="AQ203" s="41">
        <f t="shared" si="40"/>
        <v>14.751251407164261</v>
      </c>
      <c r="AR203" s="41">
        <f t="shared" si="41"/>
        <v>-6.9141088042314323</v>
      </c>
      <c r="AS203" s="41">
        <f t="shared" si="42"/>
        <v>-98.379549449779404</v>
      </c>
      <c r="AT203" s="41">
        <f t="shared" si="43"/>
        <v>-81.116369507558204</v>
      </c>
      <c r="AU203" s="41">
        <f t="shared" si="44"/>
        <v>-187.07296710337431</v>
      </c>
      <c r="AV203" s="41">
        <f t="shared" si="45"/>
        <v>162.09369274233757</v>
      </c>
      <c r="AW203" s="41">
        <f t="shared" si="46"/>
        <v>-24.270674415637359</v>
      </c>
      <c r="AX203" s="41">
        <f t="shared" si="47"/>
        <v>-21.420594341893207</v>
      </c>
      <c r="AY203" s="41">
        <f t="shared" si="47"/>
        <v>-27.472310966252053</v>
      </c>
      <c r="AZ203" s="41">
        <f t="shared" si="47"/>
        <v>-27.05188184313829</v>
      </c>
    </row>
    <row r="204" spans="1:52" x14ac:dyDescent="0.2">
      <c r="A204" s="30">
        <v>611</v>
      </c>
      <c r="B204" s="31" t="s">
        <v>518</v>
      </c>
      <c r="C204" s="41">
        <v>-134</v>
      </c>
      <c r="D204" s="41">
        <v>-1539</v>
      </c>
      <c r="E204" s="73">
        <v>-956</v>
      </c>
      <c r="F204" s="73">
        <v>-307</v>
      </c>
      <c r="G204" s="73">
        <v>-1565</v>
      </c>
      <c r="H204" s="41">
        <v>-901</v>
      </c>
      <c r="I204" s="165">
        <v>-1744.5886</v>
      </c>
      <c r="J204" s="41">
        <v>-1803.8647100000001</v>
      </c>
      <c r="K204" s="41">
        <v>-1786.9463899999998</v>
      </c>
      <c r="L204" s="41">
        <f>$L$5*'7.1. Nettoinvestointiennuste '!Y204</f>
        <v>-1945.8960299290914</v>
      </c>
      <c r="M204" s="41">
        <f>$M$5*'7.1. Nettoinvestointiennuste '!Y204</f>
        <v>-2029.2934145746644</v>
      </c>
      <c r="N204" s="41">
        <f>$N$5*'7.1. Nettoinvestointiennuste '!Y204</f>
        <v>-2100.915605723409</v>
      </c>
      <c r="O204" s="41">
        <f>O$5*'7.1. Nettoinvestointiennuste '!$Y204</f>
        <v>-2194.5663133714274</v>
      </c>
      <c r="P204" s="41">
        <f>P$5*'7.1. Nettoinvestointiennuste '!$Y204</f>
        <v>-2285.6752504842157</v>
      </c>
      <c r="T204" s="34">
        <v>611</v>
      </c>
      <c r="U204" s="88" t="s">
        <v>518</v>
      </c>
      <c r="V204" s="41">
        <f>C204/'1. Väestöennuste'!E204*1000</f>
        <v>-26.146341463414632</v>
      </c>
      <c r="W204" s="41">
        <f>D204/'1. Väestöennuste'!F204*1000</f>
        <v>-301.2920908379013</v>
      </c>
      <c r="X204" s="41">
        <f>E204/'1. Väestöennuste'!G204*1000</f>
        <v>-186.68228861550477</v>
      </c>
      <c r="Y204" s="41">
        <f>F204/'1. Väestöennuste'!H204*1000</f>
        <v>-60.576164167324386</v>
      </c>
      <c r="Z204" s="41">
        <f>G204/'1. Väestöennuste'!I204*1000</f>
        <v>-310.82423038728894</v>
      </c>
      <c r="AA204" s="41">
        <f>H204/'1. Väestöennuste'!J204*1000</f>
        <v>-177.7120315581854</v>
      </c>
      <c r="AB204" s="41">
        <f>I204/'1. Väestöennuste'!K204*1000</f>
        <v>-344.37200947493091</v>
      </c>
      <c r="AC204" s="41">
        <f>J204/'1. Väestöennuste'!L204*1000</f>
        <v>-359.98098383556174</v>
      </c>
      <c r="AD204" s="41">
        <f>K204/'1. Väestöennuste'!M204*1000</f>
        <v>-359.32965815403173</v>
      </c>
      <c r="AE204" s="41">
        <f>L204/'1. Väestöennuste'!N204*1000</f>
        <v>-384.4124910962251</v>
      </c>
      <c r="AF204" s="41">
        <f>M204/'1. Väestöennuste'!O204*1000</f>
        <v>-400.49208892335986</v>
      </c>
      <c r="AG204" s="41">
        <f>N204/'1. Väestöennuste'!P204*1000</f>
        <v>-413.97351836914464</v>
      </c>
      <c r="AH204" s="41">
        <f>O204/'1. Väestöennuste'!Q204*1000</f>
        <v>-431.40678462186503</v>
      </c>
      <c r="AI204" s="41">
        <f>P204/'1. Väestöennuste'!R204*1000</f>
        <v>-448.43540327334028</v>
      </c>
      <c r="AK204" s="34">
        <v>611</v>
      </c>
      <c r="AL204" s="88" t="s">
        <v>518</v>
      </c>
      <c r="AM204" s="41"/>
      <c r="AN204" s="41">
        <f t="shared" si="37"/>
        <v>-275.14574937448668</v>
      </c>
      <c r="AO204" s="41">
        <f t="shared" si="38"/>
        <v>114.60980222239652</v>
      </c>
      <c r="AP204" s="41">
        <f t="shared" si="39"/>
        <v>126.1061244481804</v>
      </c>
      <c r="AQ204" s="41">
        <f t="shared" si="40"/>
        <v>-250.24806621996456</v>
      </c>
      <c r="AR204" s="41">
        <f t="shared" si="41"/>
        <v>133.11219882910353</v>
      </c>
      <c r="AS204" s="41">
        <f t="shared" si="42"/>
        <v>-166.6599779167455</v>
      </c>
      <c r="AT204" s="41">
        <f t="shared" si="43"/>
        <v>-15.608974360630839</v>
      </c>
      <c r="AU204" s="41">
        <f t="shared" si="44"/>
        <v>0.65132568153001102</v>
      </c>
      <c r="AV204" s="41">
        <f t="shared" si="45"/>
        <v>-25.082832942193363</v>
      </c>
      <c r="AW204" s="41">
        <f t="shared" si="46"/>
        <v>-16.079597827134762</v>
      </c>
      <c r="AX204" s="41">
        <f t="shared" si="47"/>
        <v>-13.481429445784784</v>
      </c>
      <c r="AY204" s="41">
        <f t="shared" si="47"/>
        <v>-17.433266252720387</v>
      </c>
      <c r="AZ204" s="41">
        <f t="shared" si="47"/>
        <v>-17.028618651475256</v>
      </c>
    </row>
    <row r="205" spans="1:52" x14ac:dyDescent="0.2">
      <c r="A205" s="30">
        <v>614</v>
      </c>
      <c r="B205" s="31" t="s">
        <v>519</v>
      </c>
      <c r="C205" s="41">
        <v>-307</v>
      </c>
      <c r="D205" s="41">
        <v>-408</v>
      </c>
      <c r="E205" s="73">
        <v>-660</v>
      </c>
      <c r="F205" s="73">
        <v>-730</v>
      </c>
      <c r="G205" s="73">
        <v>-983</v>
      </c>
      <c r="H205" s="41">
        <v>-1015</v>
      </c>
      <c r="I205" s="165">
        <v>-1293.07069</v>
      </c>
      <c r="J205" s="41">
        <v>-1005.5590999999999</v>
      </c>
      <c r="K205" s="41">
        <v>-914.92671999999993</v>
      </c>
      <c r="L205" s="41">
        <f>$L$5*'7.1. Nettoinvestointiennuste '!Y205</f>
        <v>-1085.0147465264704</v>
      </c>
      <c r="M205" s="41">
        <f>$M$5*'7.1. Nettoinvestointiennuste '!Y205</f>
        <v>-1131.5164047705055</v>
      </c>
      <c r="N205" s="41">
        <f>$N$5*'7.1. Nettoinvestointiennuste '!Y205</f>
        <v>-1171.4523172651504</v>
      </c>
      <c r="O205" s="41">
        <f>O$5*'7.1. Nettoinvestointiennuste '!$Y205</f>
        <v>-1223.6711394724407</v>
      </c>
      <c r="P205" s="41">
        <f>P$5*'7.1. Nettoinvestointiennuste '!$Y205</f>
        <v>-1274.4726924779886</v>
      </c>
      <c r="T205" s="34">
        <v>614</v>
      </c>
      <c r="U205" s="88" t="s">
        <v>519</v>
      </c>
      <c r="V205" s="41">
        <f>C205/'1. Väestöennuste'!E205*1000</f>
        <v>-88.294506758700024</v>
      </c>
      <c r="W205" s="41">
        <f>D205/'1. Väestöennuste'!F205*1000</f>
        <v>-119.1588785046729</v>
      </c>
      <c r="X205" s="41">
        <f>E205/'1. Väestöennuste'!G205*1000</f>
        <v>-199.39577039274926</v>
      </c>
      <c r="Y205" s="41">
        <f>F205/'1. Väestöennuste'!H205*1000</f>
        <v>-225.51745443311708</v>
      </c>
      <c r="Z205" s="41">
        <f>G205/'1. Väestöennuste'!I205*1000</f>
        <v>-308.8281495444549</v>
      </c>
      <c r="AA205" s="41">
        <f>H205/'1. Väestöennuste'!J205*1000</f>
        <v>-325.6336220725056</v>
      </c>
      <c r="AB205" s="41">
        <f>I205/'1. Väestöennuste'!K205*1000</f>
        <v>-421.7451696020874</v>
      </c>
      <c r="AC205" s="41">
        <f>J205/'1. Väestöennuste'!L205*1000</f>
        <v>-335.29813271090364</v>
      </c>
      <c r="AD205" s="41">
        <f>K205/'1. Väestöennuste'!M205*1000</f>
        <v>-313.00948340745805</v>
      </c>
      <c r="AE205" s="41">
        <f>L205/'1. Väestöennuste'!N205*1000</f>
        <v>-379.90712413391822</v>
      </c>
      <c r="AF205" s="41">
        <f>M205/'1. Väestöennuste'!O205*1000</f>
        <v>-403.53652095952407</v>
      </c>
      <c r="AG205" s="41">
        <f>N205/'1. Väestöennuste'!P205*1000</f>
        <v>-424.90109440157795</v>
      </c>
      <c r="AH205" s="41">
        <f>O205/'1. Väestöennuste'!Q205*1000</f>
        <v>-451.53916585698914</v>
      </c>
      <c r="AI205" s="41">
        <f>P205/'1. Väestöennuste'!R205*1000</f>
        <v>-477.86752623846593</v>
      </c>
      <c r="AK205" s="34">
        <v>614</v>
      </c>
      <c r="AL205" s="88" t="s">
        <v>519</v>
      </c>
      <c r="AM205" s="41"/>
      <c r="AN205" s="41">
        <f t="shared" si="37"/>
        <v>-30.864371745972875</v>
      </c>
      <c r="AO205" s="41">
        <f t="shared" si="38"/>
        <v>-80.236891888076357</v>
      </c>
      <c r="AP205" s="41">
        <f t="shared" si="39"/>
        <v>-26.121684040367825</v>
      </c>
      <c r="AQ205" s="41">
        <f t="shared" si="40"/>
        <v>-83.310695111337822</v>
      </c>
      <c r="AR205" s="41">
        <f t="shared" si="41"/>
        <v>-16.8054725280507</v>
      </c>
      <c r="AS205" s="41">
        <f t="shared" si="42"/>
        <v>-96.111547529581799</v>
      </c>
      <c r="AT205" s="41">
        <f t="shared" si="43"/>
        <v>86.447036891183757</v>
      </c>
      <c r="AU205" s="41">
        <f t="shared" si="44"/>
        <v>22.288649303445595</v>
      </c>
      <c r="AV205" s="41">
        <f t="shared" si="45"/>
        <v>-66.897640726460168</v>
      </c>
      <c r="AW205" s="41">
        <f t="shared" si="46"/>
        <v>-23.629396825605852</v>
      </c>
      <c r="AX205" s="41">
        <f t="shared" si="47"/>
        <v>-21.364573442053882</v>
      </c>
      <c r="AY205" s="41">
        <f t="shared" si="47"/>
        <v>-26.638071455411193</v>
      </c>
      <c r="AZ205" s="41">
        <f t="shared" si="47"/>
        <v>-26.328360381476784</v>
      </c>
    </row>
    <row r="206" spans="1:52" x14ac:dyDescent="0.2">
      <c r="A206" s="30">
        <v>615</v>
      </c>
      <c r="B206" s="31" t="s">
        <v>520</v>
      </c>
      <c r="C206" s="41">
        <v>-3142</v>
      </c>
      <c r="D206" s="41">
        <v>-5661</v>
      </c>
      <c r="E206" s="73">
        <v>-2982</v>
      </c>
      <c r="F206" s="73">
        <v>-4335</v>
      </c>
      <c r="G206" s="73">
        <v>-9721</v>
      </c>
      <c r="H206" s="41">
        <v>-6533</v>
      </c>
      <c r="I206" s="165">
        <v>-2243.7930999999999</v>
      </c>
      <c r="J206" s="41">
        <v>-2047.56521</v>
      </c>
      <c r="K206" s="41">
        <v>-276.25241999999997</v>
      </c>
      <c r="L206" s="41">
        <f>$L$5*'7.1. Nettoinvestointiennuste '!Y206</f>
        <v>-2245.7983985029514</v>
      </c>
      <c r="M206" s="41">
        <f>$M$5*'7.1. Nettoinvestointiennuste '!Y206</f>
        <v>-2342.0490254612623</v>
      </c>
      <c r="N206" s="41">
        <f>$N$5*'7.1. Nettoinvestointiennuste '!Y206</f>
        <v>-2424.7096608216129</v>
      </c>
      <c r="O206" s="41">
        <f>O$5*'7.1. Nettoinvestointiennuste '!$Y206</f>
        <v>-2532.7938575205762</v>
      </c>
      <c r="P206" s="41">
        <f>P$5*'7.1. Nettoinvestointiennuste '!$Y206</f>
        <v>-2637.9445448698189</v>
      </c>
      <c r="T206" s="34">
        <v>615</v>
      </c>
      <c r="U206" s="88" t="s">
        <v>520</v>
      </c>
      <c r="V206" s="41">
        <f>C206/'1. Väestöennuste'!E206*1000</f>
        <v>-380.52561463001086</v>
      </c>
      <c r="W206" s="41">
        <f>D206/'1. Väestöennuste'!F206*1000</f>
        <v>-691.46207401978745</v>
      </c>
      <c r="X206" s="41">
        <f>E206/'1. Väestöennuste'!G206*1000</f>
        <v>-368.01184746390226</v>
      </c>
      <c r="Y206" s="41">
        <f>F206/'1. Väestöennuste'!H206*1000</f>
        <v>-542.55319148936167</v>
      </c>
      <c r="Z206" s="41">
        <f>G206/'1. Väestöennuste'!I206*1000</f>
        <v>-1234.72627969008</v>
      </c>
      <c r="AA206" s="41">
        <f>H206/'1. Väestöennuste'!J206*1000</f>
        <v>-839.82517033037664</v>
      </c>
      <c r="AB206" s="41">
        <f>I206/'1. Väestöennuste'!K206*1000</f>
        <v>-291.32603219942871</v>
      </c>
      <c r="AC206" s="41">
        <f>J206/'1. Väestöennuste'!L206*1000</f>
        <v>-269.31016835459684</v>
      </c>
      <c r="AD206" s="41">
        <f>K206/'1. Väestöennuste'!M206*1000</f>
        <v>-36.937079823505812</v>
      </c>
      <c r="AE206" s="41">
        <f>L206/'1. Väestöennuste'!N206*1000</f>
        <v>-303.44526395121625</v>
      </c>
      <c r="AF206" s="41">
        <f>M206/'1. Väestöennuste'!O206*1000</f>
        <v>-320.21452357960931</v>
      </c>
      <c r="AG206" s="41">
        <f>N206/'1. Väestöennuste'!P206*1000</f>
        <v>-335.46066143077104</v>
      </c>
      <c r="AH206" s="41">
        <f>O206/'1. Väestöennuste'!Q206*1000</f>
        <v>-354.28645370269635</v>
      </c>
      <c r="AI206" s="41">
        <f>P206/'1. Väestöennuste'!R206*1000</f>
        <v>-373.06527292742453</v>
      </c>
      <c r="AK206" s="34">
        <v>615</v>
      </c>
      <c r="AL206" s="88" t="s">
        <v>520</v>
      </c>
      <c r="AM206" s="41"/>
      <c r="AN206" s="41">
        <f t="shared" si="37"/>
        <v>-310.93645938977659</v>
      </c>
      <c r="AO206" s="41">
        <f t="shared" si="38"/>
        <v>323.45022655588519</v>
      </c>
      <c r="AP206" s="41">
        <f t="shared" si="39"/>
        <v>-174.54134402545941</v>
      </c>
      <c r="AQ206" s="41">
        <f t="shared" si="40"/>
        <v>-692.17308820071833</v>
      </c>
      <c r="AR206" s="41">
        <f t="shared" si="41"/>
        <v>394.90110935970336</v>
      </c>
      <c r="AS206" s="41">
        <f t="shared" si="42"/>
        <v>548.49913813094793</v>
      </c>
      <c r="AT206" s="41">
        <f t="shared" si="43"/>
        <v>22.01586384483187</v>
      </c>
      <c r="AU206" s="41">
        <f t="shared" si="44"/>
        <v>232.37308853109101</v>
      </c>
      <c r="AV206" s="41">
        <f t="shared" si="45"/>
        <v>-266.50818412771042</v>
      </c>
      <c r="AW206" s="41">
        <f t="shared" si="46"/>
        <v>-16.769259628393058</v>
      </c>
      <c r="AX206" s="41">
        <f t="shared" si="47"/>
        <v>-15.246137851161734</v>
      </c>
      <c r="AY206" s="41">
        <f t="shared" si="47"/>
        <v>-18.825792271925309</v>
      </c>
      <c r="AZ206" s="41">
        <f t="shared" si="47"/>
        <v>-18.778819224728181</v>
      </c>
    </row>
    <row r="207" spans="1:52" x14ac:dyDescent="0.2">
      <c r="A207" s="30">
        <v>616</v>
      </c>
      <c r="B207" s="31" t="s">
        <v>521</v>
      </c>
      <c r="C207" s="41">
        <v>323</v>
      </c>
      <c r="D207" s="41">
        <v>4322</v>
      </c>
      <c r="E207" s="73">
        <v>321</v>
      </c>
      <c r="F207" s="73">
        <v>38</v>
      </c>
      <c r="G207" s="73">
        <v>5</v>
      </c>
      <c r="H207" s="41">
        <v>-112</v>
      </c>
      <c r="I207" s="165">
        <v>-200.14391000000001</v>
      </c>
      <c r="J207" s="41">
        <v>-117.77211</v>
      </c>
      <c r="K207" s="41">
        <v>-160.33421999999999</v>
      </c>
      <c r="L207" s="41">
        <f>$L$5*'7.1. Nettoinvestointiennuste '!Y207</f>
        <v>-517.61716062703215</v>
      </c>
      <c r="M207" s="41">
        <f>$M$5*'7.1. Nettoinvestointiennuste '!Y207</f>
        <v>-539.80124280820348</v>
      </c>
      <c r="N207" s="41">
        <f>$N$5*'7.1. Nettoinvestointiennuste '!Y207</f>
        <v>-558.85307016696049</v>
      </c>
      <c r="O207" s="41">
        <f>O$5*'7.1. Nettoinvestointiennuste '!$Y207</f>
        <v>-583.76458272359275</v>
      </c>
      <c r="P207" s="41">
        <f>P$5*'7.1. Nettoinvestointiennuste '!$Y207</f>
        <v>-607.99997280133846</v>
      </c>
      <c r="T207" s="34">
        <v>616</v>
      </c>
      <c r="U207" s="88" t="s">
        <v>521</v>
      </c>
      <c r="V207" s="41">
        <f>C207/'1. Väestöennuste'!E207*1000</f>
        <v>163.87620497209537</v>
      </c>
      <c r="W207" s="41">
        <f>D207/'1. Väestöennuste'!F207*1000</f>
        <v>2174.0442655935612</v>
      </c>
      <c r="X207" s="41">
        <f>E207/'1. Väestöennuste'!G207*1000</f>
        <v>165.46391752577318</v>
      </c>
      <c r="Y207" s="41">
        <f>F207/'1. Väestöennuste'!H207*1000</f>
        <v>20.010531858873094</v>
      </c>
      <c r="Z207" s="41">
        <f>G207/'1. Väestöennuste'!I207*1000</f>
        <v>2.688172043010753</v>
      </c>
      <c r="AA207" s="41">
        <f>H207/'1. Väestöennuste'!J207*1000</f>
        <v>-61.102018548827061</v>
      </c>
      <c r="AB207" s="41">
        <f>I207/'1. Väestöennuste'!K207*1000</f>
        <v>-108.3029816017316</v>
      </c>
      <c r="AC207" s="41">
        <f>J207/'1. Väestöennuste'!L207*1000</f>
        <v>-65.17548976203652</v>
      </c>
      <c r="AD207" s="41">
        <f>K207/'1. Väestöennuste'!M207*1000</f>
        <v>-90.024828747894432</v>
      </c>
      <c r="AE207" s="41">
        <f>L207/'1. Väestöennuste'!N207*1000</f>
        <v>-296.79883063476615</v>
      </c>
      <c r="AF207" s="41">
        <f>M207/'1. Väestöennuste'!O207*1000</f>
        <v>-312.38497847696959</v>
      </c>
      <c r="AG207" s="41">
        <f>N207/'1. Väestöennuste'!P207*1000</f>
        <v>-325.48227732496241</v>
      </c>
      <c r="AH207" s="41">
        <f>O207/'1. Väestöennuste'!Q207*1000</f>
        <v>-342.18322551207075</v>
      </c>
      <c r="AI207" s="41">
        <f>P207/'1. Väestöennuste'!R207*1000</f>
        <v>-358.27930041328136</v>
      </c>
      <c r="AK207" s="34">
        <v>616</v>
      </c>
      <c r="AL207" s="88" t="s">
        <v>521</v>
      </c>
      <c r="AM207" s="41"/>
      <c r="AN207" s="41">
        <f t="shared" ref="AN207:AN271" si="48">W207-V207</f>
        <v>2010.1680606214659</v>
      </c>
      <c r="AO207" s="41">
        <f t="shared" ref="AO207:AO271" si="49">X207-W207</f>
        <v>-2008.580348067788</v>
      </c>
      <c r="AP207" s="41">
        <f t="shared" ref="AP207:AP271" si="50">Y207-X207</f>
        <v>-145.45338566690009</v>
      </c>
      <c r="AQ207" s="41">
        <f t="shared" ref="AQ207:AQ271" si="51">Z207-Y207</f>
        <v>-17.322359815862342</v>
      </c>
      <c r="AR207" s="41">
        <f t="shared" ref="AR207:AR271" si="52">AA207-Z207</f>
        <v>-63.790190591837813</v>
      </c>
      <c r="AS207" s="41">
        <f t="shared" ref="AS207:AS271" si="53">AB207-AA207</f>
        <v>-47.200963052904541</v>
      </c>
      <c r="AT207" s="41">
        <f t="shared" ref="AT207:AT271" si="54">AC207-AB207</f>
        <v>43.127491839695082</v>
      </c>
      <c r="AU207" s="41">
        <f t="shared" ref="AU207:AU271" si="55">AD207-AC207</f>
        <v>-24.849338985857912</v>
      </c>
      <c r="AV207" s="41">
        <f t="shared" ref="AV207:AV271" si="56">AE207-AD207</f>
        <v>-206.7740018868717</v>
      </c>
      <c r="AW207" s="41">
        <f t="shared" ref="AW207:AW271" si="57">AF207-AE207</f>
        <v>-15.586147842203445</v>
      </c>
      <c r="AX207" s="41">
        <f t="shared" ref="AX207:AZ271" si="58">AG207-AF207</f>
        <v>-13.097298847992818</v>
      </c>
      <c r="AY207" s="41">
        <f t="shared" si="58"/>
        <v>-16.700948187108338</v>
      </c>
      <c r="AZ207" s="41">
        <f t="shared" si="58"/>
        <v>-16.096074901210613</v>
      </c>
    </row>
    <row r="208" spans="1:52" x14ac:dyDescent="0.2">
      <c r="A208" s="30">
        <v>619</v>
      </c>
      <c r="B208" s="31" t="s">
        <v>522</v>
      </c>
      <c r="C208" s="41">
        <v>-947</v>
      </c>
      <c r="D208" s="41">
        <v>-813</v>
      </c>
      <c r="E208" s="73">
        <v>-366</v>
      </c>
      <c r="F208" s="73">
        <v>-2110</v>
      </c>
      <c r="G208" s="73">
        <v>-6213</v>
      </c>
      <c r="H208" s="41">
        <v>-908</v>
      </c>
      <c r="I208" s="165">
        <v>-111.14747</v>
      </c>
      <c r="J208" s="41">
        <v>-1814.34872</v>
      </c>
      <c r="K208" s="41">
        <v>-650.66526999999996</v>
      </c>
      <c r="L208" s="41">
        <f>$L$5*'7.1. Nettoinvestointiennuste '!Y208</f>
        <v>-1140.3178296130759</v>
      </c>
      <c r="M208" s="41">
        <f>$M$5*'7.1. Nettoinvestointiennuste '!Y208</f>
        <v>-1189.1896722972467</v>
      </c>
      <c r="N208" s="41">
        <f>$N$5*'7.1. Nettoinvestointiennuste '!Y208</f>
        <v>-1231.1611138885251</v>
      </c>
      <c r="O208" s="41">
        <f>O$5*'7.1. Nettoinvestointiennuste '!$Y208</f>
        <v>-1286.0415237585262</v>
      </c>
      <c r="P208" s="41">
        <f>P$5*'7.1. Nettoinvestointiennuste '!$Y208</f>
        <v>-1339.432426370417</v>
      </c>
      <c r="T208" s="34">
        <v>619</v>
      </c>
      <c r="U208" s="88" t="s">
        <v>522</v>
      </c>
      <c r="V208" s="41">
        <f>C208/'1. Väestöennuste'!E208*1000</f>
        <v>-310.59363725811738</v>
      </c>
      <c r="W208" s="41">
        <f>D208/'1. Väestöennuste'!F208*1000</f>
        <v>-270.7292707292707</v>
      </c>
      <c r="X208" s="41">
        <f>E208/'1. Väestöennuste'!G208*1000</f>
        <v>-124.10986775178026</v>
      </c>
      <c r="Y208" s="41">
        <f>F208/'1. Väestöennuste'!H208*1000</f>
        <v>-728.59116022099442</v>
      </c>
      <c r="Z208" s="41">
        <f>G208/'1. Väestöennuste'!I208*1000</f>
        <v>-2196.9589816124467</v>
      </c>
      <c r="AA208" s="41">
        <f>H208/'1. Väestöennuste'!J208*1000</f>
        <v>-326.03231597845598</v>
      </c>
      <c r="AB208" s="41">
        <f>I208/'1. Väestöennuste'!K208*1000</f>
        <v>-40.848022785740532</v>
      </c>
      <c r="AC208" s="41">
        <f>J208/'1. Väestöennuste'!L208*1000</f>
        <v>-678.26120373831782</v>
      </c>
      <c r="AD208" s="41">
        <f>K208/'1. Väestöennuste'!M208*1000</f>
        <v>-245.53406415094338</v>
      </c>
      <c r="AE208" s="41">
        <f>L208/'1. Väestöennuste'!N208*1000</f>
        <v>-444.91526711395863</v>
      </c>
      <c r="AF208" s="41">
        <f>M208/'1. Väestöennuste'!O208*1000</f>
        <v>-472.65090313881029</v>
      </c>
      <c r="AG208" s="41">
        <f>N208/'1. Väestöennuste'!P208*1000</f>
        <v>-497.63990052082664</v>
      </c>
      <c r="AH208" s="41">
        <f>O208/'1. Väestöennuste'!Q208*1000</f>
        <v>-527.93165999939492</v>
      </c>
      <c r="AI208" s="41">
        <f>P208/'1. Väestöennuste'!R208*1000</f>
        <v>-558.0968443210071</v>
      </c>
      <c r="AK208" s="34">
        <v>619</v>
      </c>
      <c r="AL208" s="88" t="s">
        <v>522</v>
      </c>
      <c r="AM208" s="41"/>
      <c r="AN208" s="41">
        <f t="shared" si="48"/>
        <v>39.864366528846688</v>
      </c>
      <c r="AO208" s="41">
        <f t="shared" si="49"/>
        <v>146.61940297749044</v>
      </c>
      <c r="AP208" s="41">
        <f t="shared" si="50"/>
        <v>-604.48129246921417</v>
      </c>
      <c r="AQ208" s="41">
        <f t="shared" si="51"/>
        <v>-1468.3678213914523</v>
      </c>
      <c r="AR208" s="41">
        <f t="shared" si="52"/>
        <v>1870.9266656339908</v>
      </c>
      <c r="AS208" s="41">
        <f t="shared" si="53"/>
        <v>285.18429319271547</v>
      </c>
      <c r="AT208" s="41">
        <f t="shared" si="54"/>
        <v>-637.41318095257725</v>
      </c>
      <c r="AU208" s="41">
        <f t="shared" si="55"/>
        <v>432.72713958737444</v>
      </c>
      <c r="AV208" s="41">
        <f t="shared" si="56"/>
        <v>-199.38120296301526</v>
      </c>
      <c r="AW208" s="41">
        <f t="shared" si="57"/>
        <v>-27.735636024851658</v>
      </c>
      <c r="AX208" s="41">
        <f t="shared" si="58"/>
        <v>-24.98899738201635</v>
      </c>
      <c r="AY208" s="41">
        <f t="shared" si="58"/>
        <v>-30.291759478568281</v>
      </c>
      <c r="AZ208" s="41">
        <f t="shared" si="58"/>
        <v>-30.165184321612173</v>
      </c>
    </row>
    <row r="209" spans="1:52" x14ac:dyDescent="0.2">
      <c r="A209" s="30">
        <v>620</v>
      </c>
      <c r="B209" s="31" t="s">
        <v>523</v>
      </c>
      <c r="C209" s="41">
        <v>-770</v>
      </c>
      <c r="D209" s="41">
        <v>-372</v>
      </c>
      <c r="E209" s="73">
        <v>-533</v>
      </c>
      <c r="F209" s="73">
        <v>-588</v>
      </c>
      <c r="G209" s="73">
        <v>184</v>
      </c>
      <c r="H209" s="41">
        <v>-499</v>
      </c>
      <c r="I209" s="165">
        <v>-1442.8409299999998</v>
      </c>
      <c r="J209" s="41">
        <v>-2971.1305600000001</v>
      </c>
      <c r="K209" s="41">
        <v>598.99479000000008</v>
      </c>
      <c r="L209" s="41">
        <f>$L$5*'7.1. Nettoinvestointiennuste '!Y209</f>
        <v>-1518.839522842947</v>
      </c>
      <c r="M209" s="41">
        <f>$M$5*'7.1. Nettoinvestointiennuste '!Y209</f>
        <v>-1583.9340818292501</v>
      </c>
      <c r="N209" s="41">
        <f>$N$5*'7.1. Nettoinvestointiennuste '!Y209</f>
        <v>-1639.8376927910801</v>
      </c>
      <c r="O209" s="41">
        <f>O$5*'7.1. Nettoinvestointiennuste '!$Y209</f>
        <v>-1712.935326955637</v>
      </c>
      <c r="P209" s="41">
        <f>P$5*'7.1. Nettoinvestointiennuste '!$Y209</f>
        <v>-1784.0490208235246</v>
      </c>
      <c r="T209" s="34">
        <v>620</v>
      </c>
      <c r="U209" s="88" t="s">
        <v>523</v>
      </c>
      <c r="V209" s="41">
        <f>C209/'1. Väestöennuste'!E209*1000</f>
        <v>-277.37752161383281</v>
      </c>
      <c r="W209" s="41">
        <f>D209/'1. Väestöennuste'!F209*1000</f>
        <v>-136.01462522851921</v>
      </c>
      <c r="X209" s="41">
        <f>E209/'1. Väestöennuste'!G209*1000</f>
        <v>-199.70026227051329</v>
      </c>
      <c r="Y209" s="41">
        <f>F209/'1. Väestöennuste'!H209*1000</f>
        <v>-226.41509433962264</v>
      </c>
      <c r="Z209" s="41">
        <f>G209/'1. Väestöennuste'!I209*1000</f>
        <v>72.784810126582272</v>
      </c>
      <c r="AA209" s="41">
        <f>H209/'1. Väestöennuste'!J209*1000</f>
        <v>-200.32115616218385</v>
      </c>
      <c r="AB209" s="41">
        <f>I209/'1. Väestöennuste'!K209*1000</f>
        <v>-589.87773098937032</v>
      </c>
      <c r="AC209" s="41">
        <f>J209/'1. Väestöennuste'!L209*1000</f>
        <v>-1248.3741848739496</v>
      </c>
      <c r="AD209" s="41">
        <f>K209/'1. Väestöennuste'!M209*1000</f>
        <v>253.91894446799495</v>
      </c>
      <c r="AE209" s="41">
        <f>L209/'1. Väestöennuste'!N209*1000</f>
        <v>-665.28231399165441</v>
      </c>
      <c r="AF209" s="41">
        <f>M209/'1. Väestöennuste'!O209*1000</f>
        <v>-707.74534487455321</v>
      </c>
      <c r="AG209" s="41">
        <f>N209/'1. Väestöennuste'!P209*1000</f>
        <v>-746.73847577007291</v>
      </c>
      <c r="AH209" s="41">
        <f>O209/'1. Väestöennuste'!Q209*1000</f>
        <v>-794.12857067947937</v>
      </c>
      <c r="AI209" s="41">
        <f>P209/'1. Väestöennuste'!R209*1000</f>
        <v>-841.9296936401721</v>
      </c>
      <c r="AK209" s="34">
        <v>620</v>
      </c>
      <c r="AL209" s="88" t="s">
        <v>523</v>
      </c>
      <c r="AM209" s="41"/>
      <c r="AN209" s="41">
        <f t="shared" si="48"/>
        <v>141.3628963853136</v>
      </c>
      <c r="AO209" s="41">
        <f t="shared" si="49"/>
        <v>-63.685637041994084</v>
      </c>
      <c r="AP209" s="41">
        <f t="shared" si="50"/>
        <v>-26.714832069109349</v>
      </c>
      <c r="AQ209" s="41">
        <f t="shared" si="51"/>
        <v>299.19990446620488</v>
      </c>
      <c r="AR209" s="41">
        <f t="shared" si="52"/>
        <v>-273.10596628876613</v>
      </c>
      <c r="AS209" s="41">
        <f t="shared" si="53"/>
        <v>-389.55657482718647</v>
      </c>
      <c r="AT209" s="41">
        <f t="shared" si="54"/>
        <v>-658.4964538845793</v>
      </c>
      <c r="AU209" s="41">
        <f t="shared" si="55"/>
        <v>1502.2931293419447</v>
      </c>
      <c r="AV209" s="41">
        <f t="shared" si="56"/>
        <v>-919.20125845964935</v>
      </c>
      <c r="AW209" s="41">
        <f t="shared" si="57"/>
        <v>-42.463030882898806</v>
      </c>
      <c r="AX209" s="41">
        <f t="shared" si="58"/>
        <v>-38.993130895519698</v>
      </c>
      <c r="AY209" s="41">
        <f t="shared" si="58"/>
        <v>-47.390094909406457</v>
      </c>
      <c r="AZ209" s="41">
        <f t="shared" si="58"/>
        <v>-47.801122960692737</v>
      </c>
    </row>
    <row r="210" spans="1:52" x14ac:dyDescent="0.2">
      <c r="A210" s="30">
        <v>623</v>
      </c>
      <c r="B210" s="31" t="s">
        <v>524</v>
      </c>
      <c r="C210" s="41">
        <v>-1152</v>
      </c>
      <c r="D210" s="41">
        <v>-629</v>
      </c>
      <c r="E210" s="73">
        <v>-844</v>
      </c>
      <c r="F210" s="73">
        <v>-613</v>
      </c>
      <c r="G210" s="73">
        <v>-468</v>
      </c>
      <c r="H210" s="41">
        <v>-1083</v>
      </c>
      <c r="I210" s="165">
        <v>-1450.8861100000001</v>
      </c>
      <c r="J210" s="41">
        <v>-1905.0559800000001</v>
      </c>
      <c r="K210" s="41">
        <v>-1419.9606399999998</v>
      </c>
      <c r="L210" s="41">
        <f>$L$5*'7.1. Nettoinvestointiennuste '!Y210</f>
        <v>-1077.903571256795</v>
      </c>
      <c r="M210" s="41">
        <f>$M$5*'7.1. Nettoinvestointiennuste '!Y210</f>
        <v>-1124.1004581203831</v>
      </c>
      <c r="N210" s="41">
        <f>$N$5*'7.1. Nettoinvestointiennuste '!Y210</f>
        <v>-1163.774631063365</v>
      </c>
      <c r="O210" s="41">
        <f>O$5*'7.1. Nettoinvestointiennuste '!$Y210</f>
        <v>-1215.651211657552</v>
      </c>
      <c r="P210" s="41">
        <f>P$5*'7.1. Nettoinvestointiennuste '!$Y210</f>
        <v>-1266.1198118174814</v>
      </c>
      <c r="T210" s="34">
        <v>623</v>
      </c>
      <c r="U210" s="88" t="s">
        <v>524</v>
      </c>
      <c r="V210" s="41">
        <f>C210/'1. Väestöennuste'!E210*1000</f>
        <v>-509.73451327433628</v>
      </c>
      <c r="W210" s="41">
        <f>D210/'1. Väestöennuste'!F210*1000</f>
        <v>-281.55774395702775</v>
      </c>
      <c r="X210" s="41">
        <f>E210/'1. Väestöennuste'!G210*1000</f>
        <v>-382.24637681159419</v>
      </c>
      <c r="Y210" s="41">
        <f>F210/'1. Väestöennuste'!H210*1000</f>
        <v>-279.01684114701862</v>
      </c>
      <c r="Z210" s="41">
        <f>G210/'1. Väestöennuste'!I210*1000</f>
        <v>-217.57322175732219</v>
      </c>
      <c r="AA210" s="41">
        <f>H210/'1. Väestöennuste'!J210*1000</f>
        <v>-506.78521291530188</v>
      </c>
      <c r="AB210" s="41">
        <f>I210/'1. Väestöennuste'!K210*1000</f>
        <v>-685.35007557864913</v>
      </c>
      <c r="AC210" s="41">
        <f>J210/'1. Väestöennuste'!L210*1000</f>
        <v>-904.1556620787851</v>
      </c>
      <c r="AD210" s="41">
        <f>K210/'1. Väestöennuste'!M210*1000</f>
        <v>-673.60561669829212</v>
      </c>
      <c r="AE210" s="41">
        <f>L210/'1. Väestöennuste'!N210*1000</f>
        <v>-525.80662012526579</v>
      </c>
      <c r="AF210" s="41">
        <f>M210/'1. Väestöennuste'!O210*1000</f>
        <v>-552.92693463865373</v>
      </c>
      <c r="AG210" s="41">
        <f>N210/'1. Väestöennuste'!P210*1000</f>
        <v>-577.26916223381193</v>
      </c>
      <c r="AH210" s="41">
        <f>O210/'1. Väestöennuste'!Q210*1000</f>
        <v>-607.82560582877602</v>
      </c>
      <c r="AI210" s="41">
        <f>P210/'1. Väestöennuste'!R210*1000</f>
        <v>-638.48704579802381</v>
      </c>
      <c r="AK210" s="34">
        <v>623</v>
      </c>
      <c r="AL210" s="88" t="s">
        <v>524</v>
      </c>
      <c r="AM210" s="41"/>
      <c r="AN210" s="41">
        <f t="shared" si="48"/>
        <v>228.17676931730853</v>
      </c>
      <c r="AO210" s="41">
        <f t="shared" si="49"/>
        <v>-100.68863285456644</v>
      </c>
      <c r="AP210" s="41">
        <f t="shared" si="50"/>
        <v>103.22953566457556</v>
      </c>
      <c r="AQ210" s="41">
        <f t="shared" si="51"/>
        <v>61.443619389696437</v>
      </c>
      <c r="AR210" s="41">
        <f t="shared" si="52"/>
        <v>-289.2119911579797</v>
      </c>
      <c r="AS210" s="41">
        <f t="shared" si="53"/>
        <v>-178.56486266334724</v>
      </c>
      <c r="AT210" s="41">
        <f t="shared" si="54"/>
        <v>-218.80558650013597</v>
      </c>
      <c r="AU210" s="41">
        <f t="shared" si="55"/>
        <v>230.55004538049297</v>
      </c>
      <c r="AV210" s="41">
        <f t="shared" si="56"/>
        <v>147.79899657302633</v>
      </c>
      <c r="AW210" s="41">
        <f t="shared" si="57"/>
        <v>-27.120314513387939</v>
      </c>
      <c r="AX210" s="41">
        <f t="shared" si="58"/>
        <v>-24.342227595158192</v>
      </c>
      <c r="AY210" s="41">
        <f t="shared" si="58"/>
        <v>-30.556443594964094</v>
      </c>
      <c r="AZ210" s="41">
        <f t="shared" si="58"/>
        <v>-30.661439969247795</v>
      </c>
    </row>
    <row r="211" spans="1:52" x14ac:dyDescent="0.2">
      <c r="A211" s="30">
        <v>624</v>
      </c>
      <c r="B211" s="31" t="s">
        <v>525</v>
      </c>
      <c r="C211" s="41">
        <v>-1288</v>
      </c>
      <c r="D211" s="41">
        <v>-630</v>
      </c>
      <c r="E211" s="73">
        <v>-1201</v>
      </c>
      <c r="F211" s="73">
        <v>-1619</v>
      </c>
      <c r="G211" s="73">
        <v>-1408</v>
      </c>
      <c r="H211" s="41">
        <v>-1135</v>
      </c>
      <c r="I211" s="165">
        <v>-1117.9040600000001</v>
      </c>
      <c r="J211" s="41">
        <v>-1744.7469799999999</v>
      </c>
      <c r="K211" s="41">
        <v>-2026.9019099999998</v>
      </c>
      <c r="L211" s="41">
        <f>$L$5*'7.1. Nettoinvestointiennuste '!Y211</f>
        <v>-851.92180210386766</v>
      </c>
      <c r="M211" s="41">
        <f>$M$5*'7.1. Nettoinvestointiennuste '!Y211</f>
        <v>-888.43354226122597</v>
      </c>
      <c r="N211" s="41">
        <f>$N$5*'7.1. Nettoinvestointiennuste '!Y211</f>
        <v>-919.79005114741233</v>
      </c>
      <c r="O211" s="41">
        <f>O$5*'7.1. Nettoinvestointiennuste '!$Y211</f>
        <v>-960.79074100991716</v>
      </c>
      <c r="P211" s="41">
        <f>P$5*'7.1. Nettoinvestointiennuste '!$Y211</f>
        <v>-1000.6786326028318</v>
      </c>
      <c r="T211" s="34">
        <v>624</v>
      </c>
      <c r="U211" s="88" t="s">
        <v>525</v>
      </c>
      <c r="V211" s="41">
        <f>C211/'1. Väestöennuste'!E211*1000</f>
        <v>-242.05976320240558</v>
      </c>
      <c r="W211" s="41">
        <f>D211/'1. Väestöennuste'!F211*1000</f>
        <v>-117.97752808988764</v>
      </c>
      <c r="X211" s="41">
        <f>E211/'1. Väestöennuste'!G211*1000</f>
        <v>-228.1534954407295</v>
      </c>
      <c r="Y211" s="41">
        <f>F211/'1. Väestöennuste'!H211*1000</f>
        <v>-312.12647002120684</v>
      </c>
      <c r="Z211" s="41">
        <f>G211/'1. Väestöennuste'!I211*1000</f>
        <v>-273.92996108949421</v>
      </c>
      <c r="AA211" s="41">
        <f>H211/'1. Väestöennuste'!J211*1000</f>
        <v>-221.46341463414635</v>
      </c>
      <c r="AB211" s="41">
        <f>I211/'1. Väestöennuste'!K211*1000</f>
        <v>-218.38328970502053</v>
      </c>
      <c r="AC211" s="41">
        <f>J211/'1. Väestöennuste'!L211*1000</f>
        <v>-340.97068204025794</v>
      </c>
      <c r="AD211" s="41">
        <f>K211/'1. Väestöennuste'!M211*1000</f>
        <v>-400.17806712734449</v>
      </c>
      <c r="AE211" s="41">
        <f>L211/'1. Väestöennuste'!N211*1000</f>
        <v>-170.82851455862595</v>
      </c>
      <c r="AF211" s="41">
        <f>M211/'1. Väestöennuste'!O211*1000</f>
        <v>-179.62667655908328</v>
      </c>
      <c r="AG211" s="41">
        <f>N211/'1. Väestöennuste'!P211*1000</f>
        <v>-187.44447751119063</v>
      </c>
      <c r="AH211" s="41">
        <f>O211/'1. Väestöennuste'!Q211*1000</f>
        <v>-197.36868139069784</v>
      </c>
      <c r="AI211" s="41">
        <f>P211/'1. Väestöennuste'!R211*1000</f>
        <v>-207.39453525447294</v>
      </c>
      <c r="AK211" s="34">
        <v>624</v>
      </c>
      <c r="AL211" s="88" t="s">
        <v>525</v>
      </c>
      <c r="AM211" s="41"/>
      <c r="AN211" s="41">
        <f t="shared" si="48"/>
        <v>124.08223511251794</v>
      </c>
      <c r="AO211" s="41">
        <f t="shared" si="49"/>
        <v>-110.17596735084186</v>
      </c>
      <c r="AP211" s="41">
        <f t="shared" si="50"/>
        <v>-83.972974580477342</v>
      </c>
      <c r="AQ211" s="41">
        <f t="shared" si="51"/>
        <v>38.196508931712629</v>
      </c>
      <c r="AR211" s="41">
        <f t="shared" si="52"/>
        <v>52.466546455347867</v>
      </c>
      <c r="AS211" s="41">
        <f t="shared" si="53"/>
        <v>3.0801249291258159</v>
      </c>
      <c r="AT211" s="41">
        <f t="shared" si="54"/>
        <v>-122.58739233523741</v>
      </c>
      <c r="AU211" s="41">
        <f t="shared" si="55"/>
        <v>-59.20738508708655</v>
      </c>
      <c r="AV211" s="41">
        <f t="shared" si="56"/>
        <v>229.34955256871854</v>
      </c>
      <c r="AW211" s="41">
        <f t="shared" si="57"/>
        <v>-8.7981620004573244</v>
      </c>
      <c r="AX211" s="41">
        <f t="shared" si="58"/>
        <v>-7.8178009521073477</v>
      </c>
      <c r="AY211" s="41">
        <f t="shared" si="58"/>
        <v>-9.9242038795072176</v>
      </c>
      <c r="AZ211" s="41">
        <f t="shared" si="58"/>
        <v>-10.025853863775097</v>
      </c>
    </row>
    <row r="212" spans="1:52" x14ac:dyDescent="0.2">
      <c r="A212" s="30">
        <v>625</v>
      </c>
      <c r="B212" s="31" t="s">
        <v>526</v>
      </c>
      <c r="C212" s="41">
        <v>-123</v>
      </c>
      <c r="D212" s="41">
        <v>-1716</v>
      </c>
      <c r="E212" s="73">
        <v>-3237</v>
      </c>
      <c r="F212" s="73">
        <v>-2321</v>
      </c>
      <c r="G212" s="73">
        <v>-1872</v>
      </c>
      <c r="H212" s="41">
        <v>-1069</v>
      </c>
      <c r="I212" s="165">
        <v>-1909.83079</v>
      </c>
      <c r="J212" s="41">
        <v>-3520.8841499999999</v>
      </c>
      <c r="K212" s="41">
        <v>-2268.5507900000002</v>
      </c>
      <c r="L212" s="41">
        <f>$L$5*'7.1. Nettoinvestointiennuste '!Y212</f>
        <v>-2982.8947828306341</v>
      </c>
      <c r="M212" s="41">
        <f>$M$5*'7.1. Nettoinvestointiennuste '!Y212</f>
        <v>-3110.735952006597</v>
      </c>
      <c r="N212" s="41">
        <f>$N$5*'7.1. Nettoinvestointiennuste '!Y212</f>
        <v>-3220.5267409421567</v>
      </c>
      <c r="O212" s="41">
        <f>O$5*'7.1. Nettoinvestointiennuste '!$Y212</f>
        <v>-3364.0853910216529</v>
      </c>
      <c r="P212" s="41">
        <f>P$5*'7.1. Nettoinvestointiennuste '!$Y212</f>
        <v>-3503.747720870223</v>
      </c>
      <c r="T212" s="34">
        <v>625</v>
      </c>
      <c r="U212" s="88" t="s">
        <v>526</v>
      </c>
      <c r="V212" s="41">
        <f>C212/'1. Väestöennuste'!E212*1000</f>
        <v>-38.305823730924949</v>
      </c>
      <c r="W212" s="41">
        <f>D212/'1. Väestöennuste'!F212*1000</f>
        <v>-538.26850690087826</v>
      </c>
      <c r="X212" s="41">
        <f>E212/'1. Väestöennuste'!G212*1000</f>
        <v>-1015.0517403574788</v>
      </c>
      <c r="Y212" s="41">
        <f>F212/'1. Väestöennuste'!H212*1000</f>
        <v>-737.76223776223776</v>
      </c>
      <c r="Z212" s="41">
        <f>G212/'1. Väestöennuste'!I212*1000</f>
        <v>-608.38479038024047</v>
      </c>
      <c r="AA212" s="41">
        <f>H212/'1. Väestöennuste'!J212*1000</f>
        <v>-350.37692559816452</v>
      </c>
      <c r="AB212" s="41">
        <f>I212/'1. Väestöennuste'!K212*1000</f>
        <v>-626.584904855643</v>
      </c>
      <c r="AC212" s="41">
        <f>J212/'1. Väestöennuste'!L212*1000</f>
        <v>-1177.1595285857572</v>
      </c>
      <c r="AD212" s="41">
        <f>K212/'1. Väestöennuste'!M212*1000</f>
        <v>-761.25865436241611</v>
      </c>
      <c r="AE212" s="41">
        <f>L212/'1. Väestöennuste'!N212*1000</f>
        <v>-1024.3457358621683</v>
      </c>
      <c r="AF212" s="41">
        <f>M212/'1. Väestöennuste'!O212*1000</f>
        <v>-1080.4918207733924</v>
      </c>
      <c r="AG212" s="41">
        <f>N212/'1. Väestöennuste'!P212*1000</f>
        <v>-1131.2001197548846</v>
      </c>
      <c r="AH212" s="41">
        <f>O212/'1. Väestöennuste'!Q212*1000</f>
        <v>-1195.4816599224068</v>
      </c>
      <c r="AI212" s="41">
        <f>P212/'1. Väestöennuste'!R212*1000</f>
        <v>-1259.8877097699472</v>
      </c>
      <c r="AK212" s="34">
        <v>625</v>
      </c>
      <c r="AL212" s="88" t="s">
        <v>526</v>
      </c>
      <c r="AM212" s="41"/>
      <c r="AN212" s="41">
        <f t="shared" si="48"/>
        <v>-499.96268316995332</v>
      </c>
      <c r="AO212" s="41">
        <f t="shared" si="49"/>
        <v>-476.78323345660056</v>
      </c>
      <c r="AP212" s="41">
        <f t="shared" si="50"/>
        <v>277.28950259524106</v>
      </c>
      <c r="AQ212" s="41">
        <f t="shared" si="51"/>
        <v>129.37744738199729</v>
      </c>
      <c r="AR212" s="41">
        <f t="shared" si="52"/>
        <v>258.00786478207596</v>
      </c>
      <c r="AS212" s="41">
        <f t="shared" si="53"/>
        <v>-276.20797925747848</v>
      </c>
      <c r="AT212" s="41">
        <f t="shared" si="54"/>
        <v>-550.57462373011424</v>
      </c>
      <c r="AU212" s="41">
        <f t="shared" si="55"/>
        <v>415.90087422334113</v>
      </c>
      <c r="AV212" s="41">
        <f t="shared" si="56"/>
        <v>-263.08708149975223</v>
      </c>
      <c r="AW212" s="41">
        <f t="shared" si="57"/>
        <v>-56.146084911224079</v>
      </c>
      <c r="AX212" s="41">
        <f t="shared" si="58"/>
        <v>-50.708298981492135</v>
      </c>
      <c r="AY212" s="41">
        <f t="shared" si="58"/>
        <v>-64.28154016752228</v>
      </c>
      <c r="AZ212" s="41">
        <f t="shared" si="58"/>
        <v>-64.406049847540316</v>
      </c>
    </row>
    <row r="213" spans="1:52" x14ac:dyDescent="0.2">
      <c r="A213" s="30">
        <v>626</v>
      </c>
      <c r="B213" s="31" t="s">
        <v>527</v>
      </c>
      <c r="C213" s="41">
        <v>-6784</v>
      </c>
      <c r="D213" s="41">
        <v>-5347</v>
      </c>
      <c r="E213" s="73">
        <v>-3432</v>
      </c>
      <c r="F213" s="73">
        <v>558</v>
      </c>
      <c r="G213" s="73">
        <v>-2615</v>
      </c>
      <c r="H213" s="41">
        <v>-1504</v>
      </c>
      <c r="I213" s="165">
        <v>-1141.8356299999998</v>
      </c>
      <c r="J213" s="41">
        <v>-1055.73705</v>
      </c>
      <c r="K213" s="41">
        <v>-2240.2087000000001</v>
      </c>
      <c r="L213" s="41">
        <f>$L$5*'7.1. Nettoinvestointiennuste '!Y213</f>
        <v>-2243.7969349643486</v>
      </c>
      <c r="M213" s="41">
        <f>$M$5*'7.1. Nettoinvestointiennuste '!Y213</f>
        <v>-2339.9617830207981</v>
      </c>
      <c r="N213" s="41">
        <f>$N$5*'7.1. Nettoinvestointiennuste '!Y213</f>
        <v>-2422.5487509282457</v>
      </c>
      <c r="O213" s="41">
        <f>O$5*'7.1. Nettoinvestointiennuste '!$Y213</f>
        <v>-2530.5366226058109</v>
      </c>
      <c r="P213" s="41">
        <f>P$5*'7.1. Nettoinvestointiennuste '!$Y213</f>
        <v>-2635.5935992876448</v>
      </c>
      <c r="T213" s="34">
        <v>626</v>
      </c>
      <c r="U213" s="88" t="s">
        <v>527</v>
      </c>
      <c r="V213" s="41">
        <f>C213/'1. Väestöennuste'!E213*1000</f>
        <v>-1232.3342415985467</v>
      </c>
      <c r="W213" s="41">
        <f>D213/'1. Väestöennuste'!F213*1000</f>
        <v>-981.82152038193169</v>
      </c>
      <c r="X213" s="41">
        <f>E213/'1. Väestöennuste'!G213*1000</f>
        <v>-643.05789769533453</v>
      </c>
      <c r="Y213" s="41">
        <f>F213/'1. Väestöennuste'!H213*1000</f>
        <v>106.32621951219512</v>
      </c>
      <c r="Z213" s="41">
        <f>G213/'1. Väestöennuste'!I213*1000</f>
        <v>-509.64724225297209</v>
      </c>
      <c r="AA213" s="41">
        <f>H213/'1. Väestöennuste'!J213*1000</f>
        <v>-298.82773693622096</v>
      </c>
      <c r="AB213" s="41">
        <f>I213/'1. Väestöennuste'!K213*1000</f>
        <v>-230.02329371474613</v>
      </c>
      <c r="AC213" s="41">
        <f>J213/'1. Väestöennuste'!L213*1000</f>
        <v>-218.35306101344364</v>
      </c>
      <c r="AD213" s="41">
        <f>K213/'1. Väestöennuste'!M213*1000</f>
        <v>-471.0279015979815</v>
      </c>
      <c r="AE213" s="41">
        <f>L213/'1. Väestöennuste'!N213*1000</f>
        <v>-477.81025020535532</v>
      </c>
      <c r="AF213" s="41">
        <f>M213/'1. Väestöennuste'!O213*1000</f>
        <v>-506.59488699302835</v>
      </c>
      <c r="AG213" s="41">
        <f>N213/'1. Väestöennuste'!P213*1000</f>
        <v>-533.13132722892726</v>
      </c>
      <c r="AH213" s="41">
        <f>O213/'1. Väestöennuste'!Q213*1000</f>
        <v>-565.86239324816881</v>
      </c>
      <c r="AI213" s="41">
        <f>P213/'1. Väestöennuste'!R213*1000</f>
        <v>-599.1347122727085</v>
      </c>
      <c r="AK213" s="34">
        <v>626</v>
      </c>
      <c r="AL213" s="88" t="s">
        <v>527</v>
      </c>
      <c r="AM213" s="41"/>
      <c r="AN213" s="41">
        <f t="shared" si="48"/>
        <v>250.51272121661498</v>
      </c>
      <c r="AO213" s="41">
        <f t="shared" si="49"/>
        <v>338.76362268659716</v>
      </c>
      <c r="AP213" s="41">
        <f t="shared" si="50"/>
        <v>749.3841172075297</v>
      </c>
      <c r="AQ213" s="41">
        <f t="shared" si="51"/>
        <v>-615.97346176516726</v>
      </c>
      <c r="AR213" s="41">
        <f t="shared" si="52"/>
        <v>210.81950531675113</v>
      </c>
      <c r="AS213" s="41">
        <f t="shared" si="53"/>
        <v>68.804443221474827</v>
      </c>
      <c r="AT213" s="41">
        <f t="shared" si="54"/>
        <v>11.670232701302496</v>
      </c>
      <c r="AU213" s="41">
        <f t="shared" si="55"/>
        <v>-252.67484058453786</v>
      </c>
      <c r="AV213" s="41">
        <f t="shared" si="56"/>
        <v>-6.7823486073738195</v>
      </c>
      <c r="AW213" s="41">
        <f t="shared" si="57"/>
        <v>-28.784636787673037</v>
      </c>
      <c r="AX213" s="41">
        <f t="shared" si="58"/>
        <v>-26.536440235898908</v>
      </c>
      <c r="AY213" s="41">
        <f t="shared" si="58"/>
        <v>-32.731066019241553</v>
      </c>
      <c r="AZ213" s="41">
        <f t="shared" si="58"/>
        <v>-33.272319024539684</v>
      </c>
    </row>
    <row r="214" spans="1:52" x14ac:dyDescent="0.2">
      <c r="A214" s="30">
        <v>630</v>
      </c>
      <c r="B214" s="31" t="s">
        <v>528</v>
      </c>
      <c r="C214" s="41">
        <v>-378</v>
      </c>
      <c r="D214" s="41">
        <v>-590</v>
      </c>
      <c r="E214" s="73">
        <v>-908</v>
      </c>
      <c r="F214" s="73">
        <v>-1405</v>
      </c>
      <c r="G214" s="73">
        <v>-1236</v>
      </c>
      <c r="H214" s="41">
        <v>-364</v>
      </c>
      <c r="I214" s="165">
        <v>-605.76774999999998</v>
      </c>
      <c r="J214" s="41">
        <v>-3144.0005299999998</v>
      </c>
      <c r="K214" s="41">
        <v>-4194.4626500000004</v>
      </c>
      <c r="L214" s="41">
        <f>$L$5*'7.1. Nettoinvestointiennuste '!Y214</f>
        <v>-1459.8100547096399</v>
      </c>
      <c r="M214" s="41">
        <f>$M$5*'7.1. Nettoinvestointiennuste '!Y214</f>
        <v>-1522.3747235149569</v>
      </c>
      <c r="N214" s="41">
        <f>$N$5*'7.1. Nettoinvestointiennuste '!Y214</f>
        <v>-1576.1056490994461</v>
      </c>
      <c r="O214" s="41">
        <f>O$5*'7.1. Nettoinvestointiennuste '!$Y214</f>
        <v>-1646.3623547777202</v>
      </c>
      <c r="P214" s="41">
        <f>P$5*'7.1. Nettoinvestointiennuste '!$Y214</f>
        <v>-1714.7122256986261</v>
      </c>
      <c r="T214" s="34">
        <v>630</v>
      </c>
      <c r="U214" s="88" t="s">
        <v>528</v>
      </c>
      <c r="V214" s="41">
        <f>C214/'1. Väestöennuste'!E214*1000</f>
        <v>-238.18525519848771</v>
      </c>
      <c r="W214" s="41">
        <f>D214/'1. Väestöennuste'!F214*1000</f>
        <v>-373.6542115262825</v>
      </c>
      <c r="X214" s="41">
        <f>E214/'1. Väestöennuste'!G214*1000</f>
        <v>-575.04749841671946</v>
      </c>
      <c r="Y214" s="41">
        <f>F214/'1. Väestöennuste'!H214*1000</f>
        <v>-902.37636480411038</v>
      </c>
      <c r="Z214" s="41">
        <f>G214/'1. Väestöennuste'!I214*1000</f>
        <v>-783.26996197718631</v>
      </c>
      <c r="AA214" s="41">
        <f>H214/'1. Väestöennuste'!J214*1000</f>
        <v>-228.49968612680476</v>
      </c>
      <c r="AB214" s="41">
        <f>I214/'1. Väestöennuste'!K214*1000</f>
        <v>-371.40879828326177</v>
      </c>
      <c r="AC214" s="41">
        <f>J214/'1. Väestöennuste'!L214*1000</f>
        <v>-1922.9361039755352</v>
      </c>
      <c r="AD214" s="41">
        <f>K214/'1. Väestöennuste'!M214*1000</f>
        <v>-2548.2762150668286</v>
      </c>
      <c r="AE214" s="41">
        <f>L214/'1. Väestöennuste'!N214*1000</f>
        <v>-913.52318817874834</v>
      </c>
      <c r="AF214" s="41">
        <f>M214/'1. Väestöennuste'!O214*1000</f>
        <v>-952.07925172917885</v>
      </c>
      <c r="AG214" s="41">
        <f>N214/'1. Väestöennuste'!P214*1000</f>
        <v>-986.91649912300943</v>
      </c>
      <c r="AH214" s="41">
        <f>O214/'1. Väestöennuste'!Q214*1000</f>
        <v>-1032.2021033089154</v>
      </c>
      <c r="AI214" s="41">
        <f>P214/'1. Väestöennuste'!R214*1000</f>
        <v>-1073.7083442070295</v>
      </c>
      <c r="AK214" s="34">
        <v>630</v>
      </c>
      <c r="AL214" s="88" t="s">
        <v>528</v>
      </c>
      <c r="AM214" s="41"/>
      <c r="AN214" s="41">
        <f t="shared" si="48"/>
        <v>-135.46895632779479</v>
      </c>
      <c r="AO214" s="41">
        <f t="shared" si="49"/>
        <v>-201.39328689043697</v>
      </c>
      <c r="AP214" s="41">
        <f t="shared" si="50"/>
        <v>-327.32886638739092</v>
      </c>
      <c r="AQ214" s="41">
        <f t="shared" si="51"/>
        <v>119.10640282692407</v>
      </c>
      <c r="AR214" s="41">
        <f t="shared" si="52"/>
        <v>554.77027585038149</v>
      </c>
      <c r="AS214" s="41">
        <f t="shared" si="53"/>
        <v>-142.90911215645701</v>
      </c>
      <c r="AT214" s="41">
        <f t="shared" si="54"/>
        <v>-1551.5273056922733</v>
      </c>
      <c r="AU214" s="41">
        <f t="shared" si="55"/>
        <v>-625.34011109129347</v>
      </c>
      <c r="AV214" s="41">
        <f t="shared" si="56"/>
        <v>1634.7530268880803</v>
      </c>
      <c r="AW214" s="41">
        <f t="shared" si="57"/>
        <v>-38.556063550430508</v>
      </c>
      <c r="AX214" s="41">
        <f t="shared" si="58"/>
        <v>-34.83724739383058</v>
      </c>
      <c r="AY214" s="41">
        <f t="shared" si="58"/>
        <v>-45.285604185905981</v>
      </c>
      <c r="AZ214" s="41">
        <f t="shared" si="58"/>
        <v>-41.506240898114129</v>
      </c>
    </row>
    <row r="215" spans="1:52" x14ac:dyDescent="0.2">
      <c r="A215" s="30">
        <v>631</v>
      </c>
      <c r="B215" s="31" t="s">
        <v>529</v>
      </c>
      <c r="C215" s="41">
        <v>-1731</v>
      </c>
      <c r="D215" s="41">
        <v>-389</v>
      </c>
      <c r="E215" s="73">
        <v>-212</v>
      </c>
      <c r="F215" s="73">
        <v>-498</v>
      </c>
      <c r="G215" s="73">
        <v>-1153</v>
      </c>
      <c r="H215" s="41">
        <v>-259</v>
      </c>
      <c r="I215" s="165">
        <v>-530.89628000000005</v>
      </c>
      <c r="J215" s="41">
        <v>-217.97158999999999</v>
      </c>
      <c r="K215" s="41">
        <v>-539.02383999999995</v>
      </c>
      <c r="L215" s="41">
        <f>$L$5*'7.1. Nettoinvestointiennuste '!Y215</f>
        <v>-376.19177017981065</v>
      </c>
      <c r="M215" s="41">
        <f>$M$5*'7.1. Nettoinvestointiennuste '!Y215</f>
        <v>-392.31463043320656</v>
      </c>
      <c r="N215" s="41">
        <f>$N$5*'7.1. Nettoinvestointiennuste '!Y215</f>
        <v>-406.16104280981483</v>
      </c>
      <c r="O215" s="41">
        <f>O$5*'7.1. Nettoinvestointiennuste '!$Y215</f>
        <v>-424.26613421594908</v>
      </c>
      <c r="P215" s="41">
        <f>P$5*'7.1. Nettoinvestointiennuste '!$Y215</f>
        <v>-441.87983597827281</v>
      </c>
      <c r="T215" s="34">
        <v>631</v>
      </c>
      <c r="U215" s="88" t="s">
        <v>529</v>
      </c>
      <c r="V215" s="41">
        <f>C215/'1. Väestöennuste'!E215*1000</f>
        <v>-810.39325842696633</v>
      </c>
      <c r="W215" s="41">
        <f>D215/'1. Väestöennuste'!F215*1000</f>
        <v>-187.46987951807228</v>
      </c>
      <c r="X215" s="41">
        <f>E215/'1. Väestöennuste'!G215*1000</f>
        <v>-102.0702936928262</v>
      </c>
      <c r="Y215" s="41">
        <f>F215/'1. Väestöennuste'!H215*1000</f>
        <v>-245.5621301775148</v>
      </c>
      <c r="Z215" s="41">
        <f>G215/'1. Väestöennuste'!I215*1000</f>
        <v>-575.34930139720564</v>
      </c>
      <c r="AA215" s="41">
        <f>H215/'1. Väestöennuste'!J215*1000</f>
        <v>-129.88966900702107</v>
      </c>
      <c r="AB215" s="41">
        <f>I215/'1. Väestöennuste'!K215*1000</f>
        <v>-267.45404534005041</v>
      </c>
      <c r="AC215" s="41">
        <f>J215/'1. Väestöennuste'!L215*1000</f>
        <v>-111.04003565970454</v>
      </c>
      <c r="AD215" s="41">
        <f>K215/'1. Väestöennuste'!M215*1000</f>
        <v>-279.28696373056994</v>
      </c>
      <c r="AE215" s="41">
        <f>L215/'1. Väestöennuste'!N215*1000</f>
        <v>-197.68353661577018</v>
      </c>
      <c r="AF215" s="41">
        <f>M215/'1. Väestöennuste'!O215*1000</f>
        <v>-208.34552864217022</v>
      </c>
      <c r="AG215" s="41">
        <f>N215/'1. Väestöennuste'!P215*1000</f>
        <v>-218.01451573258981</v>
      </c>
      <c r="AH215" s="41">
        <f>O215/'1. Väestöennuste'!Q215*1000</f>
        <v>-230.32906309226334</v>
      </c>
      <c r="AI215" s="41">
        <f>P215/'1. Väestöennuste'!R215*1000</f>
        <v>-242.65779021321956</v>
      </c>
      <c r="AK215" s="34">
        <v>631</v>
      </c>
      <c r="AL215" s="88" t="s">
        <v>529</v>
      </c>
      <c r="AM215" s="41"/>
      <c r="AN215" s="41">
        <f t="shared" si="48"/>
        <v>622.92337890889405</v>
      </c>
      <c r="AO215" s="41">
        <f t="shared" si="49"/>
        <v>85.399585825246078</v>
      </c>
      <c r="AP215" s="41">
        <f t="shared" si="50"/>
        <v>-143.4918364846886</v>
      </c>
      <c r="AQ215" s="41">
        <f t="shared" si="51"/>
        <v>-329.78717121969083</v>
      </c>
      <c r="AR215" s="41">
        <f t="shared" si="52"/>
        <v>445.45963239018454</v>
      </c>
      <c r="AS215" s="41">
        <f t="shared" si="53"/>
        <v>-137.56437633302934</v>
      </c>
      <c r="AT215" s="41">
        <f t="shared" si="54"/>
        <v>156.41400968034588</v>
      </c>
      <c r="AU215" s="41">
        <f t="shared" si="55"/>
        <v>-168.24692807086541</v>
      </c>
      <c r="AV215" s="41">
        <f t="shared" si="56"/>
        <v>81.603427114799757</v>
      </c>
      <c r="AW215" s="41">
        <f t="shared" si="57"/>
        <v>-10.661992026400043</v>
      </c>
      <c r="AX215" s="41">
        <f t="shared" si="58"/>
        <v>-9.6689870904195914</v>
      </c>
      <c r="AY215" s="41">
        <f t="shared" si="58"/>
        <v>-12.314547359673526</v>
      </c>
      <c r="AZ215" s="41">
        <f t="shared" si="58"/>
        <v>-12.328727120956216</v>
      </c>
    </row>
    <row r="216" spans="1:52" x14ac:dyDescent="0.2">
      <c r="A216" s="30">
        <v>635</v>
      </c>
      <c r="B216" s="31" t="s">
        <v>530</v>
      </c>
      <c r="C216" s="41">
        <v>-3128</v>
      </c>
      <c r="D216" s="41">
        <v>-2481</v>
      </c>
      <c r="E216" s="73">
        <v>-3912</v>
      </c>
      <c r="F216" s="73">
        <v>-4352</v>
      </c>
      <c r="G216" s="73">
        <v>-2469</v>
      </c>
      <c r="H216" s="41">
        <v>-1427</v>
      </c>
      <c r="I216" s="165">
        <v>-1044.1945000000001</v>
      </c>
      <c r="J216" s="41">
        <v>-549.26089000000002</v>
      </c>
      <c r="K216" s="41">
        <v>-2695.3114100000003</v>
      </c>
      <c r="L216" s="41">
        <f>$L$5*'7.1. Nettoinvestointiennuste '!Y216</f>
        <v>-4147.9519817356932</v>
      </c>
      <c r="M216" s="41">
        <f>$M$5*'7.1. Nettoinvestointiennuste '!Y216</f>
        <v>-4325.7252756792477</v>
      </c>
      <c r="N216" s="41">
        <f>$N$5*'7.1. Nettoinvestointiennuste '!Y216</f>
        <v>-4478.3980830350001</v>
      </c>
      <c r="O216" s="41">
        <f>O$5*'7.1. Nettoinvestointiennuste '!$Y216</f>
        <v>-4678.0277818497425</v>
      </c>
      <c r="P216" s="41">
        <f>P$5*'7.1. Nettoinvestointiennuste '!$Y216</f>
        <v>-4872.2393380882295</v>
      </c>
      <c r="T216" s="34">
        <v>635</v>
      </c>
      <c r="U216" s="88" t="s">
        <v>530</v>
      </c>
      <c r="V216" s="41">
        <f>C216/'1. Väestöennuste'!E216*1000</f>
        <v>-468.54403834631512</v>
      </c>
      <c r="W216" s="41">
        <f>D216/'1. Väestöennuste'!F216*1000</f>
        <v>-374.37754640108642</v>
      </c>
      <c r="X216" s="41">
        <f>E216/'1. Väestöennuste'!G216*1000</f>
        <v>-595.70580173595249</v>
      </c>
      <c r="Y216" s="41">
        <f>F216/'1. Väestöennuste'!H216*1000</f>
        <v>-669.64148330512387</v>
      </c>
      <c r="Z216" s="41">
        <f>G216/'1. Väestöennuste'!I216*1000</f>
        <v>-383.68298368298372</v>
      </c>
      <c r="AA216" s="41">
        <f>H216/'1. Väestöennuste'!J216*1000</f>
        <v>-222.44738893219019</v>
      </c>
      <c r="AB216" s="41">
        <f>I216/'1. Väestöennuste'!K216*1000</f>
        <v>-162.16718434539527</v>
      </c>
      <c r="AC216" s="41">
        <f>J216/'1. Väestöennuste'!L216*1000</f>
        <v>-86.538662360170164</v>
      </c>
      <c r="AD216" s="41">
        <f>K216/'1. Väestöennuste'!M216*1000</f>
        <v>-425.32924254379043</v>
      </c>
      <c r="AE216" s="41">
        <f>L216/'1. Väestöennuste'!N216*1000</f>
        <v>-669.45642055127382</v>
      </c>
      <c r="AF216" s="41">
        <f>M216/'1. Väestöennuste'!O216*1000</f>
        <v>-703.71323827545916</v>
      </c>
      <c r="AG216" s="41">
        <f>N216/'1. Väestöennuste'!P216*1000</f>
        <v>-733.68251687991483</v>
      </c>
      <c r="AH216" s="41">
        <f>O216/'1. Väestöennuste'!Q216*1000</f>
        <v>-771.56981392870568</v>
      </c>
      <c r="AI216" s="41">
        <f>P216/'1. Väestöennuste'!R216*1000</f>
        <v>-808.67042955821239</v>
      </c>
      <c r="AK216" s="34">
        <v>635</v>
      </c>
      <c r="AL216" s="88" t="s">
        <v>530</v>
      </c>
      <c r="AM216" s="41"/>
      <c r="AN216" s="41">
        <f t="shared" si="48"/>
        <v>94.166491945228699</v>
      </c>
      <c r="AO216" s="41">
        <f t="shared" si="49"/>
        <v>-221.32825533486607</v>
      </c>
      <c r="AP216" s="41">
        <f t="shared" si="50"/>
        <v>-73.935681569171379</v>
      </c>
      <c r="AQ216" s="41">
        <f t="shared" si="51"/>
        <v>285.95849962214015</v>
      </c>
      <c r="AR216" s="41">
        <f t="shared" si="52"/>
        <v>161.23559475079352</v>
      </c>
      <c r="AS216" s="41">
        <f t="shared" si="53"/>
        <v>60.280204586794923</v>
      </c>
      <c r="AT216" s="41">
        <f t="shared" si="54"/>
        <v>75.628521985225106</v>
      </c>
      <c r="AU216" s="41">
        <f t="shared" si="55"/>
        <v>-338.79058018362025</v>
      </c>
      <c r="AV216" s="41">
        <f t="shared" si="56"/>
        <v>-244.12717800748339</v>
      </c>
      <c r="AW216" s="41">
        <f t="shared" si="57"/>
        <v>-34.256817724185339</v>
      </c>
      <c r="AX216" s="41">
        <f t="shared" si="58"/>
        <v>-29.969278604455667</v>
      </c>
      <c r="AY216" s="41">
        <f t="shared" si="58"/>
        <v>-37.887297048790856</v>
      </c>
      <c r="AZ216" s="41">
        <f t="shared" si="58"/>
        <v>-37.100615629506706</v>
      </c>
    </row>
    <row r="217" spans="1:52" x14ac:dyDescent="0.2">
      <c r="A217" s="30">
        <v>636</v>
      </c>
      <c r="B217" s="31" t="s">
        <v>531</v>
      </c>
      <c r="C217" s="41">
        <v>-1038</v>
      </c>
      <c r="D217" s="41">
        <v>-888</v>
      </c>
      <c r="E217" s="73">
        <v>-2100</v>
      </c>
      <c r="F217" s="73">
        <v>-7312</v>
      </c>
      <c r="G217" s="73">
        <v>-8989</v>
      </c>
      <c r="H217" s="41">
        <v>1529</v>
      </c>
      <c r="I217" s="165">
        <v>-1582.8550700000001</v>
      </c>
      <c r="J217" s="41">
        <v>-2679.1959400000001</v>
      </c>
      <c r="K217" s="41">
        <v>142.16867000000002</v>
      </c>
      <c r="L217" s="41">
        <f>$L$5*'7.1. Nettoinvestointiennuste '!Y217</f>
        <v>-3124.6654441365304</v>
      </c>
      <c r="M217" s="41">
        <f>$M$5*'7.1. Nettoinvestointiennuste '!Y217</f>
        <v>-3258.582632889354</v>
      </c>
      <c r="N217" s="41">
        <f>$N$5*'7.1. Nettoinvestointiennuste '!Y217</f>
        <v>-3373.5915451198698</v>
      </c>
      <c r="O217" s="41">
        <f>O$5*'7.1. Nettoinvestointiennuste '!$Y217</f>
        <v>-3523.9732333015136</v>
      </c>
      <c r="P217" s="41">
        <f>P$5*'7.1. Nettoinvestointiennuste '!$Y217</f>
        <v>-3670.2734174170605</v>
      </c>
      <c r="T217" s="34">
        <v>636</v>
      </c>
      <c r="U217" s="88" t="s">
        <v>531</v>
      </c>
      <c r="V217" s="41">
        <f>C217/'1. Väestöennuste'!E217*1000</f>
        <v>-121.2333566923616</v>
      </c>
      <c r="W217" s="41">
        <f>D217/'1. Väestöennuste'!F217*1000</f>
        <v>-104.43372927202165</v>
      </c>
      <c r="X217" s="41">
        <f>E217/'1. Väestöennuste'!G217*1000</f>
        <v>-249.34694846829734</v>
      </c>
      <c r="Y217" s="41">
        <f>F217/'1. Väestöennuste'!H217*1000</f>
        <v>-877.47509900396017</v>
      </c>
      <c r="Z217" s="41">
        <f>G217/'1. Väestöennuste'!I217*1000</f>
        <v>-1086.1527307878202</v>
      </c>
      <c r="AA217" s="41">
        <f>H217/'1. Väestöennuste'!J217*1000</f>
        <v>185.80629481103415</v>
      </c>
      <c r="AB217" s="41">
        <f>I217/'1. Väestöennuste'!K217*1000</f>
        <v>-192.5146035027974</v>
      </c>
      <c r="AC217" s="41">
        <f>J217/'1. Väestöennuste'!L217*1000</f>
        <v>-328.57443463330884</v>
      </c>
      <c r="AD217" s="41">
        <f>K217/'1. Väestöennuste'!M217*1000</f>
        <v>17.486921279212794</v>
      </c>
      <c r="AE217" s="41">
        <f>L217/'1. Väestöennuste'!N217*1000</f>
        <v>-391.0230814837355</v>
      </c>
      <c r="AF217" s="41">
        <f>M217/'1. Väestöennuste'!O217*1000</f>
        <v>-410.19418843018053</v>
      </c>
      <c r="AG217" s="41">
        <f>N217/'1. Väestöennuste'!P217*1000</f>
        <v>-427.14504243097872</v>
      </c>
      <c r="AH217" s="41">
        <f>O217/'1. Väestöennuste'!Q217*1000</f>
        <v>-448.68515830169514</v>
      </c>
      <c r="AI217" s="41">
        <f>P217/'1. Väestöennuste'!R217*1000</f>
        <v>-470.24643400602957</v>
      </c>
      <c r="AK217" s="34">
        <v>636</v>
      </c>
      <c r="AL217" s="88" t="s">
        <v>531</v>
      </c>
      <c r="AM217" s="41"/>
      <c r="AN217" s="41">
        <f t="shared" si="48"/>
        <v>16.799627420339945</v>
      </c>
      <c r="AO217" s="41">
        <f t="shared" si="49"/>
        <v>-144.91321919627569</v>
      </c>
      <c r="AP217" s="41">
        <f t="shared" si="50"/>
        <v>-628.12815053566283</v>
      </c>
      <c r="AQ217" s="41">
        <f t="shared" si="51"/>
        <v>-208.67763178386008</v>
      </c>
      <c r="AR217" s="41">
        <f t="shared" si="52"/>
        <v>1271.9590255988544</v>
      </c>
      <c r="AS217" s="41">
        <f t="shared" si="53"/>
        <v>-378.32089831383155</v>
      </c>
      <c r="AT217" s="41">
        <f t="shared" si="54"/>
        <v>-136.05983113051144</v>
      </c>
      <c r="AU217" s="41">
        <f t="shared" si="55"/>
        <v>346.06135591252166</v>
      </c>
      <c r="AV217" s="41">
        <f t="shared" si="56"/>
        <v>-408.51000276294826</v>
      </c>
      <c r="AW217" s="41">
        <f t="shared" si="57"/>
        <v>-19.171106946445036</v>
      </c>
      <c r="AX217" s="41">
        <f t="shared" si="58"/>
        <v>-16.950854000798188</v>
      </c>
      <c r="AY217" s="41">
        <f t="shared" si="58"/>
        <v>-21.54011587071642</v>
      </c>
      <c r="AZ217" s="41">
        <f t="shared" si="58"/>
        <v>-21.561275704334435</v>
      </c>
    </row>
    <row r="218" spans="1:52" x14ac:dyDescent="0.2">
      <c r="A218" s="30">
        <v>638</v>
      </c>
      <c r="B218" s="31" t="s">
        <v>532</v>
      </c>
      <c r="C218" s="41">
        <v>-11821</v>
      </c>
      <c r="D218" s="41">
        <v>-34025</v>
      </c>
      <c r="E218" s="73">
        <v>-43003</v>
      </c>
      <c r="F218" s="73">
        <v>-44842</v>
      </c>
      <c r="G218" s="73">
        <v>-36785</v>
      </c>
      <c r="H218" s="41">
        <v>-15932</v>
      </c>
      <c r="I218" s="165">
        <v>-23184.104510000001</v>
      </c>
      <c r="J218" s="41">
        <v>-18470.829510000003</v>
      </c>
      <c r="K218" s="41">
        <v>-44271.551399999997</v>
      </c>
      <c r="L218" s="41">
        <f>$L$5*'7.1. Nettoinvestointiennuste '!Y218</f>
        <v>-35479.928658822704</v>
      </c>
      <c r="M218" s="41">
        <f>$M$5*'7.1. Nettoinvestointiennuste '!Y218</f>
        <v>-37000.530588240879</v>
      </c>
      <c r="N218" s="41">
        <f>$N$5*'7.1. Nettoinvestointiennuste '!Y218</f>
        <v>-38306.432955716606</v>
      </c>
      <c r="O218" s="41">
        <f>O$5*'7.1. Nettoinvestointiennuste '!$Y218</f>
        <v>-40013.985864553688</v>
      </c>
      <c r="P218" s="41">
        <f>P$5*'7.1. Nettoinvestointiennuste '!$Y218</f>
        <v>-41675.194140445325</v>
      </c>
      <c r="T218" s="34">
        <v>638</v>
      </c>
      <c r="U218" s="88" t="s">
        <v>532</v>
      </c>
      <c r="V218" s="41">
        <f>C218/'1. Väestöennuste'!E218*1000</f>
        <v>-236.76093574747637</v>
      </c>
      <c r="W218" s="41">
        <f>D218/'1. Väestöennuste'!F218*1000</f>
        <v>-678.54578813018509</v>
      </c>
      <c r="X218" s="41">
        <f>E218/'1. Väestöennuste'!G218*1000</f>
        <v>-857.33367890109446</v>
      </c>
      <c r="Y218" s="41">
        <f>F218/'1. Väestöennuste'!H218*1000</f>
        <v>-892.16505511121727</v>
      </c>
      <c r="Z218" s="41">
        <f>G218/'1. Väestöennuste'!I218*1000</f>
        <v>-730.1508535132989</v>
      </c>
      <c r="AA218" s="41">
        <f>H218/'1. Väestöennuste'!J218*1000</f>
        <v>-314.7434757699678</v>
      </c>
      <c r="AB218" s="41">
        <f>I218/'1. Väestöennuste'!K218*1000</f>
        <v>-453.26603667715892</v>
      </c>
      <c r="AC218" s="41">
        <f>J218/'1. Väestöennuste'!L218*1000</f>
        <v>-360.53305570737041</v>
      </c>
      <c r="AD218" s="41">
        <f>K218/'1. Väestöennuste'!M218*1000</f>
        <v>-863.17829164148247</v>
      </c>
      <c r="AE218" s="41">
        <f>L218/'1. Väestöennuste'!N218*1000</f>
        <v>-690.99693566826431</v>
      </c>
      <c r="AF218" s="41">
        <f>M218/'1. Väestöennuste'!O218*1000</f>
        <v>-718.65226640719573</v>
      </c>
      <c r="AG218" s="41">
        <f>N218/'1. Väestöennuste'!P218*1000</f>
        <v>-742.08510181550957</v>
      </c>
      <c r="AH218" s="41">
        <f>O218/'1. Väestöennuste'!Q218*1000</f>
        <v>-773.36656096934075</v>
      </c>
      <c r="AI218" s="41">
        <f>P218/'1. Väestöennuste'!R218*1000</f>
        <v>-803.78009489952217</v>
      </c>
      <c r="AK218" s="34">
        <v>638</v>
      </c>
      <c r="AL218" s="88" t="s">
        <v>532</v>
      </c>
      <c r="AM218" s="41"/>
      <c r="AN218" s="41">
        <f t="shared" si="48"/>
        <v>-441.78485238270872</v>
      </c>
      <c r="AO218" s="41">
        <f t="shared" si="49"/>
        <v>-178.78789077090937</v>
      </c>
      <c r="AP218" s="41">
        <f t="shared" si="50"/>
        <v>-34.831376210122812</v>
      </c>
      <c r="AQ218" s="41">
        <f t="shared" si="51"/>
        <v>162.01420159791837</v>
      </c>
      <c r="AR218" s="41">
        <f t="shared" si="52"/>
        <v>415.4073777433311</v>
      </c>
      <c r="AS218" s="41">
        <f t="shared" si="53"/>
        <v>-138.52256090719112</v>
      </c>
      <c r="AT218" s="41">
        <f t="shared" si="54"/>
        <v>92.732980969788514</v>
      </c>
      <c r="AU218" s="41">
        <f t="shared" si="55"/>
        <v>-502.64523593411207</v>
      </c>
      <c r="AV218" s="41">
        <f t="shared" si="56"/>
        <v>172.18135597321816</v>
      </c>
      <c r="AW218" s="41">
        <f t="shared" si="57"/>
        <v>-27.655330738931411</v>
      </c>
      <c r="AX218" s="41">
        <f t="shared" si="58"/>
        <v>-23.432835408313849</v>
      </c>
      <c r="AY218" s="41">
        <f t="shared" si="58"/>
        <v>-31.281459153831179</v>
      </c>
      <c r="AZ218" s="41">
        <f t="shared" si="58"/>
        <v>-30.413533930181416</v>
      </c>
    </row>
    <row r="219" spans="1:52" x14ac:dyDescent="0.2">
      <c r="A219" s="30">
        <v>678</v>
      </c>
      <c r="B219" s="31" t="s">
        <v>533</v>
      </c>
      <c r="C219" s="41">
        <v>-5323</v>
      </c>
      <c r="D219" s="41">
        <v>-10888</v>
      </c>
      <c r="E219" s="73">
        <v>-12776</v>
      </c>
      <c r="F219" s="73">
        <v>-16376</v>
      </c>
      <c r="G219" s="73">
        <v>-10368</v>
      </c>
      <c r="H219" s="41">
        <v>-30687</v>
      </c>
      <c r="I219" s="165">
        <v>20780.661</v>
      </c>
      <c r="J219" s="41">
        <v>-6413.9037600000001</v>
      </c>
      <c r="K219" s="41">
        <v>-4601.2880700000005</v>
      </c>
      <c r="L219" s="41">
        <f>$L$5*'7.1. Nettoinvestointiennuste '!Y219</f>
        <v>-14197.77202408562</v>
      </c>
      <c r="M219" s="41">
        <f>$M$5*'7.1. Nettoinvestointiennuste '!Y219</f>
        <v>-14806.261396791711</v>
      </c>
      <c r="N219" s="41">
        <f>$N$5*'7.1. Nettoinvestointiennuste '!Y219</f>
        <v>-15328.835843810042</v>
      </c>
      <c r="O219" s="41">
        <f>O$5*'7.1. Nettoinvestointiennuste '!$Y219</f>
        <v>-16012.136172620161</v>
      </c>
      <c r="P219" s="41">
        <f>P$5*'7.1. Nettoinvestointiennuste '!$Y219</f>
        <v>-16676.891071437269</v>
      </c>
      <c r="T219" s="34">
        <v>678</v>
      </c>
      <c r="U219" s="88" t="s">
        <v>533</v>
      </c>
      <c r="V219" s="41">
        <f>C219/'1. Väestöennuste'!E219*1000</f>
        <v>-211.52394198291276</v>
      </c>
      <c r="W219" s="41">
        <f>D219/'1. Väestöennuste'!F219*1000</f>
        <v>-435.34586165533784</v>
      </c>
      <c r="X219" s="41">
        <f>E219/'1. Väestöennuste'!G219*1000</f>
        <v>-511.0195592176313</v>
      </c>
      <c r="Y219" s="41">
        <f>F219/'1. Väestöennuste'!H219*1000</f>
        <v>-660.02982548063358</v>
      </c>
      <c r="Z219" s="41">
        <f>G219/'1. Väestöennuste'!I219*1000</f>
        <v>-420.11426719072898</v>
      </c>
      <c r="AA219" s="41">
        <f>H219/'1. Väestöennuste'!J219*1000</f>
        <v>-1260.0911592000984</v>
      </c>
      <c r="AB219" s="41">
        <f>I219/'1. Väestöennuste'!K219*1000</f>
        <v>856.58124484748555</v>
      </c>
      <c r="AC219" s="41">
        <f>J219/'1. Väestöennuste'!L219*1000</f>
        <v>-266.43558177210986</v>
      </c>
      <c r="AD219" s="41">
        <f>K219/'1. Väestöennuste'!M219*1000</f>
        <v>-193.35580409295292</v>
      </c>
      <c r="AE219" s="41">
        <f>L219/'1. Väestöennuste'!N219*1000</f>
        <v>-600.37939885341757</v>
      </c>
      <c r="AF219" s="41">
        <f>M219/'1. Väestöennuste'!O219*1000</f>
        <v>-631.07413676548083</v>
      </c>
      <c r="AG219" s="41">
        <f>N219/'1. Väestöennuste'!P219*1000</f>
        <v>-658.68149896055525</v>
      </c>
      <c r="AH219" s="41">
        <f>O219/'1. Väestöennuste'!Q219*1000</f>
        <v>-693.76673191595148</v>
      </c>
      <c r="AI219" s="41">
        <f>P219/'1. Väestöennuste'!R219*1000</f>
        <v>-728.75769408483086</v>
      </c>
      <c r="AK219" s="34">
        <v>678</v>
      </c>
      <c r="AL219" s="88" t="s">
        <v>533</v>
      </c>
      <c r="AM219" s="41"/>
      <c r="AN219" s="41">
        <f t="shared" si="48"/>
        <v>-223.82191967242508</v>
      </c>
      <c r="AO219" s="41">
        <f t="shared" si="49"/>
        <v>-75.673697562293455</v>
      </c>
      <c r="AP219" s="41">
        <f t="shared" si="50"/>
        <v>-149.01026626300228</v>
      </c>
      <c r="AQ219" s="41">
        <f t="shared" si="51"/>
        <v>239.9155582899046</v>
      </c>
      <c r="AR219" s="41">
        <f t="shared" si="52"/>
        <v>-839.97689200936952</v>
      </c>
      <c r="AS219" s="41">
        <f t="shared" si="53"/>
        <v>2116.6724040475838</v>
      </c>
      <c r="AT219" s="41">
        <f t="shared" si="54"/>
        <v>-1123.0168266195953</v>
      </c>
      <c r="AU219" s="41">
        <f t="shared" si="55"/>
        <v>73.079777679156933</v>
      </c>
      <c r="AV219" s="41">
        <f t="shared" si="56"/>
        <v>-407.02359476046468</v>
      </c>
      <c r="AW219" s="41">
        <f t="shared" si="57"/>
        <v>-30.69473791206326</v>
      </c>
      <c r="AX219" s="41">
        <f t="shared" si="58"/>
        <v>-27.607362195074415</v>
      </c>
      <c r="AY219" s="41">
        <f t="shared" si="58"/>
        <v>-35.085232955396236</v>
      </c>
      <c r="AZ219" s="41">
        <f t="shared" si="58"/>
        <v>-34.990962168879378</v>
      </c>
    </row>
    <row r="220" spans="1:52" x14ac:dyDescent="0.2">
      <c r="A220" s="30">
        <v>680</v>
      </c>
      <c r="B220" s="31" t="s">
        <v>534</v>
      </c>
      <c r="C220" s="41">
        <v>-10960</v>
      </c>
      <c r="D220" s="41">
        <v>34306</v>
      </c>
      <c r="E220" s="73">
        <v>-12589</v>
      </c>
      <c r="F220" s="73">
        <v>-6454</v>
      </c>
      <c r="G220" s="73">
        <v>-7980</v>
      </c>
      <c r="H220" s="41">
        <v>-4654</v>
      </c>
      <c r="I220" s="165">
        <v>-4717.9569800000008</v>
      </c>
      <c r="J220" s="41">
        <v>-7502.4155599999995</v>
      </c>
      <c r="K220" s="41">
        <v>-23827.332979999999</v>
      </c>
      <c r="L220" s="41">
        <f>$L$5*'7.1. Nettoinvestointiennuste '!Y220</f>
        <v>-22933.696949441717</v>
      </c>
      <c r="M220" s="41">
        <f>$M$5*'7.1. Nettoinvestointiennuste '!Y220</f>
        <v>-23916.591367447851</v>
      </c>
      <c r="N220" s="41">
        <f>$N$5*'7.1. Nettoinvestointiennuste '!Y220</f>
        <v>-24760.707189360572</v>
      </c>
      <c r="O220" s="41">
        <f>O$5*'7.1. Nettoinvestointiennuste '!$Y220</f>
        <v>-25864.443933393439</v>
      </c>
      <c r="P220" s="41">
        <f>P$5*'7.1. Nettoinvestointiennuste '!$Y220</f>
        <v>-26938.224197597261</v>
      </c>
      <c r="T220" s="34">
        <v>680</v>
      </c>
      <c r="U220" s="88" t="s">
        <v>534</v>
      </c>
      <c r="V220" s="41">
        <f>C220/'1. Väestöennuste'!E220*1000</f>
        <v>-451.21449156031292</v>
      </c>
      <c r="W220" s="41">
        <f>D220/'1. Väestöennuste'!F220*1000</f>
        <v>1412.757896470782</v>
      </c>
      <c r="X220" s="41">
        <f>E220/'1. Väestöennuste'!G220*1000</f>
        <v>-519.47676817694139</v>
      </c>
      <c r="Y220" s="41">
        <f>F220/'1. Väestöennuste'!H220*1000</f>
        <v>-266.93688477127967</v>
      </c>
      <c r="Z220" s="41">
        <f>G220/'1. Väestöennuste'!I220*1000</f>
        <v>-331.72597273029595</v>
      </c>
      <c r="AA220" s="41">
        <f>H220/'1. Väestöennuste'!J220*1000</f>
        <v>-190.68300077846521</v>
      </c>
      <c r="AB220" s="41">
        <f>I220/'1. Väestöennuste'!K220*1000</f>
        <v>-190.16352196694885</v>
      </c>
      <c r="AC220" s="41">
        <f>J220/'1. Väestöennuste'!L220*1000</f>
        <v>-300.79446556009941</v>
      </c>
      <c r="AD220" s="41">
        <f>K220/'1. Väestöennuste'!M220*1000</f>
        <v>-940.63925545773952</v>
      </c>
      <c r="AE220" s="41">
        <f>L220/'1. Väestöennuste'!N220*1000</f>
        <v>-934.27697679723451</v>
      </c>
      <c r="AF220" s="41">
        <f>M220/'1. Väestöennuste'!O220*1000</f>
        <v>-972.45634575294184</v>
      </c>
      <c r="AG220" s="41">
        <f>N220/'1. Väestöennuste'!P220*1000</f>
        <v>-1005.0211953306236</v>
      </c>
      <c r="AH220" s="41">
        <f>O220/'1. Väestöennuste'!Q220*1000</f>
        <v>-1048.0345205799845</v>
      </c>
      <c r="AI220" s="41">
        <f>P220/'1. Väestöennuste'!R220*1000</f>
        <v>-1089.5576847434584</v>
      </c>
      <c r="AK220" s="34">
        <v>680</v>
      </c>
      <c r="AL220" s="88" t="s">
        <v>534</v>
      </c>
      <c r="AM220" s="41"/>
      <c r="AN220" s="41">
        <f t="shared" si="48"/>
        <v>1863.9723880310949</v>
      </c>
      <c r="AO220" s="41">
        <f t="shared" si="49"/>
        <v>-1932.2346646477235</v>
      </c>
      <c r="AP220" s="41">
        <f t="shared" si="50"/>
        <v>252.53988340566173</v>
      </c>
      <c r="AQ220" s="41">
        <f t="shared" si="51"/>
        <v>-64.789087959016285</v>
      </c>
      <c r="AR220" s="41">
        <f t="shared" si="52"/>
        <v>141.04297195183074</v>
      </c>
      <c r="AS220" s="41">
        <f t="shared" si="53"/>
        <v>0.51947881151636466</v>
      </c>
      <c r="AT220" s="41">
        <f t="shared" si="54"/>
        <v>-110.63094359315056</v>
      </c>
      <c r="AU220" s="41">
        <f t="shared" si="55"/>
        <v>-639.84478989764011</v>
      </c>
      <c r="AV220" s="41">
        <f t="shared" si="56"/>
        <v>6.3622786605050123</v>
      </c>
      <c r="AW220" s="41">
        <f t="shared" si="57"/>
        <v>-38.179368955707332</v>
      </c>
      <c r="AX220" s="41">
        <f t="shared" si="58"/>
        <v>-32.564849577681798</v>
      </c>
      <c r="AY220" s="41">
        <f t="shared" si="58"/>
        <v>-43.013325249360832</v>
      </c>
      <c r="AZ220" s="41">
        <f t="shared" si="58"/>
        <v>-41.523164163473893</v>
      </c>
    </row>
    <row r="221" spans="1:52" x14ac:dyDescent="0.2">
      <c r="A221" s="30">
        <v>681</v>
      </c>
      <c r="B221" s="31" t="s">
        <v>535</v>
      </c>
      <c r="C221" s="41">
        <v>-3374</v>
      </c>
      <c r="D221" s="41">
        <v>-900</v>
      </c>
      <c r="E221" s="73">
        <v>-1624</v>
      </c>
      <c r="F221" s="73">
        <v>-1406</v>
      </c>
      <c r="G221" s="73">
        <v>285</v>
      </c>
      <c r="H221" s="41">
        <v>323</v>
      </c>
      <c r="I221" s="165">
        <v>-889.09875</v>
      </c>
      <c r="J221" s="41">
        <v>-997.95878000000005</v>
      </c>
      <c r="K221" s="41">
        <v>-2237.0930600000002</v>
      </c>
      <c r="L221" s="41">
        <f>$L$5*'7.1. Nettoinvestointiennuste '!Y221</f>
        <v>-1749.6118124547784</v>
      </c>
      <c r="M221" s="41">
        <f>$M$5*'7.1. Nettoinvestointiennuste '!Y221</f>
        <v>-1824.5968306980433</v>
      </c>
      <c r="N221" s="41">
        <f>$N$5*'7.1. Nettoinvestointiennuste '!Y221</f>
        <v>-1888.9944294085478</v>
      </c>
      <c r="O221" s="41">
        <f>O$5*'7.1. Nettoinvestointiennuste '!$Y221</f>
        <v>-1973.1985090847331</v>
      </c>
      <c r="P221" s="41">
        <f>P$5*'7.1. Nettoinvestointiennuste '!$Y221</f>
        <v>-2055.1172088204753</v>
      </c>
      <c r="T221" s="34">
        <v>681</v>
      </c>
      <c r="U221" s="88" t="s">
        <v>535</v>
      </c>
      <c r="V221" s="41">
        <f>C221/'1. Väestöennuste'!E221*1000</f>
        <v>-903.83069916956867</v>
      </c>
      <c r="W221" s="41">
        <f>D221/'1. Väestöennuste'!F221*1000</f>
        <v>-246.64291586736093</v>
      </c>
      <c r="X221" s="41">
        <f>E221/'1. Väestöennuste'!G221*1000</f>
        <v>-457.07852518998033</v>
      </c>
      <c r="Y221" s="41">
        <f>F221/'1. Väestöennuste'!H221*1000</f>
        <v>-400.11383039271487</v>
      </c>
      <c r="Z221" s="41">
        <f>G221/'1. Väestöennuste'!I221*1000</f>
        <v>83.066161468959478</v>
      </c>
      <c r="AA221" s="41">
        <f>H221/'1. Väestöennuste'!J221*1000</f>
        <v>96.016646848989296</v>
      </c>
      <c r="AB221" s="41">
        <f>I221/'1. Väestöennuste'!K221*1000</f>
        <v>-266.99662162162161</v>
      </c>
      <c r="AC221" s="41">
        <f>J221/'1. Väestöennuste'!L221*1000</f>
        <v>-301.68040507859735</v>
      </c>
      <c r="AD221" s="41">
        <f>K221/'1. Väestöennuste'!M221*1000</f>
        <v>-678.52382772217163</v>
      </c>
      <c r="AE221" s="41">
        <f>L221/'1. Väestöennuste'!N221*1000</f>
        <v>-563.30064792491248</v>
      </c>
      <c r="AF221" s="41">
        <f>M221/'1. Väestöennuste'!O221*1000</f>
        <v>-597.83644518284507</v>
      </c>
      <c r="AG221" s="41">
        <f>N221/'1. Väestöennuste'!P221*1000</f>
        <v>-628.61711461182961</v>
      </c>
      <c r="AH221" s="41">
        <f>O221/'1. Väestöennuste'!Q221*1000</f>
        <v>-666.84640388128867</v>
      </c>
      <c r="AI221" s="41">
        <f>P221/'1. Väestöennuste'!R221*1000</f>
        <v>-705.25642032274368</v>
      </c>
      <c r="AK221" s="34">
        <v>681</v>
      </c>
      <c r="AL221" s="88" t="s">
        <v>535</v>
      </c>
      <c r="AM221" s="41"/>
      <c r="AN221" s="41">
        <f t="shared" si="48"/>
        <v>657.18778330220778</v>
      </c>
      <c r="AO221" s="41">
        <f t="shared" si="49"/>
        <v>-210.4356093226194</v>
      </c>
      <c r="AP221" s="41">
        <f t="shared" si="50"/>
        <v>56.964694797265452</v>
      </c>
      <c r="AQ221" s="41">
        <f t="shared" si="51"/>
        <v>483.17999186167435</v>
      </c>
      <c r="AR221" s="41">
        <f t="shared" si="52"/>
        <v>12.950485380029818</v>
      </c>
      <c r="AS221" s="41">
        <f t="shared" si="53"/>
        <v>-363.01326847061091</v>
      </c>
      <c r="AT221" s="41">
        <f t="shared" si="54"/>
        <v>-34.683783456975732</v>
      </c>
      <c r="AU221" s="41">
        <f t="shared" si="55"/>
        <v>-376.84342264357429</v>
      </c>
      <c r="AV221" s="41">
        <f t="shared" si="56"/>
        <v>115.22317979725915</v>
      </c>
      <c r="AW221" s="41">
        <f t="shared" si="57"/>
        <v>-34.535797257932586</v>
      </c>
      <c r="AX221" s="41">
        <f t="shared" si="58"/>
        <v>-30.780669428984538</v>
      </c>
      <c r="AY221" s="41">
        <f t="shared" si="58"/>
        <v>-38.229289269459059</v>
      </c>
      <c r="AZ221" s="41">
        <f t="shared" si="58"/>
        <v>-38.410016441455014</v>
      </c>
    </row>
    <row r="222" spans="1:52" x14ac:dyDescent="0.2">
      <c r="A222" s="30">
        <v>683</v>
      </c>
      <c r="B222" s="31" t="s">
        <v>536</v>
      </c>
      <c r="C222" s="41">
        <v>-3642</v>
      </c>
      <c r="D222" s="41">
        <v>-2185</v>
      </c>
      <c r="E222" s="73">
        <v>-1821</v>
      </c>
      <c r="F222" s="73">
        <v>-882</v>
      </c>
      <c r="G222" s="73">
        <v>-1053</v>
      </c>
      <c r="H222" s="41">
        <v>-1142</v>
      </c>
      <c r="I222" s="165">
        <v>-1351.8243200000002</v>
      </c>
      <c r="J222" s="41">
        <v>-1734.4623300000001</v>
      </c>
      <c r="K222" s="41">
        <v>-8155.5003200000001</v>
      </c>
      <c r="L222" s="41">
        <f>$L$5*'7.1. Nettoinvestointiennuste '!Y222</f>
        <v>-2665.6734080603551</v>
      </c>
      <c r="M222" s="41">
        <f>$M$5*'7.1. Nettoinvestointiennuste '!Y222</f>
        <v>-2779.9190754198726</v>
      </c>
      <c r="N222" s="41">
        <f>$N$5*'7.1. Nettoinvestointiennuste '!Y222</f>
        <v>-2878.0339630786862</v>
      </c>
      <c r="O222" s="41">
        <f>O$5*'7.1. Nettoinvestointiennuste '!$Y222</f>
        <v>-3006.3256072280678</v>
      </c>
      <c r="P222" s="41">
        <f>P$5*'7.1. Nettoinvestointiennuste '!$Y222</f>
        <v>-3131.1352924130738</v>
      </c>
      <c r="T222" s="34">
        <v>683</v>
      </c>
      <c r="U222" s="88" t="s">
        <v>536</v>
      </c>
      <c r="V222" s="41">
        <f>C222/'1. Väestöennuste'!E222*1000</f>
        <v>-905.97014925373128</v>
      </c>
      <c r="W222" s="41">
        <f>D222/'1. Väestöennuste'!F222*1000</f>
        <v>-543.12701963708673</v>
      </c>
      <c r="X222" s="41">
        <f>E222/'1. Väestöennuste'!G222*1000</f>
        <v>-458.45921450151059</v>
      </c>
      <c r="Y222" s="41">
        <f>F222/'1. Väestöennuste'!H222*1000</f>
        <v>-226.38603696098565</v>
      </c>
      <c r="Z222" s="41">
        <f>G222/'1. Väestöennuste'!I222*1000</f>
        <v>-278.35051546391753</v>
      </c>
      <c r="AA222" s="41">
        <f>H222/'1. Väestöennuste'!J222*1000</f>
        <v>-307.65086206896552</v>
      </c>
      <c r="AB222" s="41">
        <f>I222/'1. Väestöennuste'!K222*1000</f>
        <v>-368.34450136239786</v>
      </c>
      <c r="AC222" s="41">
        <f>J222/'1. Väestöennuste'!L222*1000</f>
        <v>-479.39810116086238</v>
      </c>
      <c r="AD222" s="41">
        <f>K222/'1. Väestöennuste'!M222*1000</f>
        <v>-2266.046212836899</v>
      </c>
      <c r="AE222" s="41">
        <f>L222/'1. Väestöennuste'!N222*1000</f>
        <v>-771.98766523612949</v>
      </c>
      <c r="AF222" s="41">
        <f>M222/'1. Väestöennuste'!O222*1000</f>
        <v>-819.06867278134132</v>
      </c>
      <c r="AG222" s="41">
        <f>N222/'1. Väestöennuste'!P222*1000</f>
        <v>-862.46148129418225</v>
      </c>
      <c r="AH222" s="41">
        <f>O222/'1. Väestöennuste'!Q222*1000</f>
        <v>-915.44628721926551</v>
      </c>
      <c r="AI222" s="41">
        <f>P222/'1. Väestöennuste'!R222*1000</f>
        <v>-968.79186027632238</v>
      </c>
      <c r="AK222" s="34">
        <v>683</v>
      </c>
      <c r="AL222" s="88" t="s">
        <v>536</v>
      </c>
      <c r="AM222" s="41"/>
      <c r="AN222" s="41">
        <f t="shared" si="48"/>
        <v>362.84312961664455</v>
      </c>
      <c r="AO222" s="41">
        <f t="shared" si="49"/>
        <v>84.667805135576145</v>
      </c>
      <c r="AP222" s="41">
        <f t="shared" si="50"/>
        <v>232.07317754052494</v>
      </c>
      <c r="AQ222" s="41">
        <f t="shared" si="51"/>
        <v>-51.964478502931883</v>
      </c>
      <c r="AR222" s="41">
        <f t="shared" si="52"/>
        <v>-29.300346605047991</v>
      </c>
      <c r="AS222" s="41">
        <f t="shared" si="53"/>
        <v>-60.693639293432341</v>
      </c>
      <c r="AT222" s="41">
        <f t="shared" si="54"/>
        <v>-111.05359979846452</v>
      </c>
      <c r="AU222" s="41">
        <f t="shared" si="55"/>
        <v>-1786.6481116760367</v>
      </c>
      <c r="AV222" s="41">
        <f t="shared" si="56"/>
        <v>1494.0585476007695</v>
      </c>
      <c r="AW222" s="41">
        <f t="shared" si="57"/>
        <v>-47.081007545211833</v>
      </c>
      <c r="AX222" s="41">
        <f t="shared" si="58"/>
        <v>-43.392808512840929</v>
      </c>
      <c r="AY222" s="41">
        <f t="shared" si="58"/>
        <v>-52.984805925083265</v>
      </c>
      <c r="AZ222" s="41">
        <f t="shared" si="58"/>
        <v>-53.345573057056868</v>
      </c>
    </row>
    <row r="223" spans="1:52" x14ac:dyDescent="0.2">
      <c r="A223" s="30">
        <v>684</v>
      </c>
      <c r="B223" s="31" t="s">
        <v>537</v>
      </c>
      <c r="C223" s="41">
        <v>-27013</v>
      </c>
      <c r="D223" s="41">
        <v>-26014</v>
      </c>
      <c r="E223" s="73">
        <v>-17796</v>
      </c>
      <c r="F223" s="73">
        <v>-26191</v>
      </c>
      <c r="G223" s="73">
        <v>-26073</v>
      </c>
      <c r="H223" s="41">
        <v>-15120</v>
      </c>
      <c r="I223" s="165">
        <v>-39731.250999999997</v>
      </c>
      <c r="J223" s="41">
        <v>-44970.277999999998</v>
      </c>
      <c r="K223" s="41">
        <v>-41655.896059999999</v>
      </c>
      <c r="L223" s="41">
        <f>$L$5*'7.1. Nettoinvestointiennuste '!Y223</f>
        <v>-38791.347921962522</v>
      </c>
      <c r="M223" s="41">
        <f>$M$5*'7.1. Nettoinvestointiennuste '!Y223</f>
        <v>-40453.870951872836</v>
      </c>
      <c r="N223" s="41">
        <f>$N$5*'7.1. Nettoinvestointiennuste '!Y223</f>
        <v>-41881.656040619586</v>
      </c>
      <c r="O223" s="41">
        <f>O$5*'7.1. Nettoinvestointiennuste '!$Y223</f>
        <v>-43748.57859333411</v>
      </c>
      <c r="P223" s="41">
        <f>P$5*'7.1. Nettoinvestointiennuste '!$Y223</f>
        <v>-45564.831067250285</v>
      </c>
      <c r="T223" s="34">
        <v>684</v>
      </c>
      <c r="U223" s="88" t="s">
        <v>537</v>
      </c>
      <c r="V223" s="41">
        <f>C223/'1. Väestöennuste'!E223*1000</f>
        <v>-678.56514858449088</v>
      </c>
      <c r="W223" s="41">
        <f>D223/'1. Väestöennuste'!F223*1000</f>
        <v>-656.68702983793605</v>
      </c>
      <c r="X223" s="41">
        <f>E223/'1. Väestöennuste'!G223*1000</f>
        <v>-449.1670873296315</v>
      </c>
      <c r="Y223" s="41">
        <f>F223/'1. Väestöennuste'!H223*1000</f>
        <v>-665.42174796747963</v>
      </c>
      <c r="Z223" s="41">
        <f>G223/'1. Väestöennuste'!I223*1000</f>
        <v>-665.04272414232878</v>
      </c>
      <c r="AA223" s="41">
        <f>H223/'1. Väestöennuste'!J223*1000</f>
        <v>-387.29508196721315</v>
      </c>
      <c r="AB223" s="41">
        <f>I223/'1. Väestöennuste'!K223*1000</f>
        <v>-1019.8221463589927</v>
      </c>
      <c r="AC223" s="41">
        <f>J223/'1. Väestöennuste'!L223*1000</f>
        <v>-1163.0144050482322</v>
      </c>
      <c r="AD223" s="41">
        <f>K223/'1. Väestöennuste'!M223*1000</f>
        <v>-1072.7208503296251</v>
      </c>
      <c r="AE223" s="41">
        <f>L223/'1. Väestöennuste'!N223*1000</f>
        <v>-1008.2483734980124</v>
      </c>
      <c r="AF223" s="41">
        <f>M223/'1. Väestöennuste'!O223*1000</f>
        <v>-1055.9335687367293</v>
      </c>
      <c r="AG223" s="41">
        <f>N223/'1. Väestöennuste'!P223*1000</f>
        <v>-1097.9016971352814</v>
      </c>
      <c r="AH223" s="41">
        <f>O223/'1. Väestöennuste'!Q223*1000</f>
        <v>-1151.8543111907036</v>
      </c>
      <c r="AI223" s="41">
        <f>P223/'1. Väestöennuste'!R223*1000</f>
        <v>-1204.8450755526546</v>
      </c>
      <c r="AK223" s="34">
        <v>684</v>
      </c>
      <c r="AL223" s="88" t="s">
        <v>537</v>
      </c>
      <c r="AM223" s="41"/>
      <c r="AN223" s="41">
        <f t="shared" si="48"/>
        <v>21.878118746554833</v>
      </c>
      <c r="AO223" s="41">
        <f t="shared" si="49"/>
        <v>207.51994250830455</v>
      </c>
      <c r="AP223" s="41">
        <f t="shared" si="50"/>
        <v>-216.25466063784813</v>
      </c>
      <c r="AQ223" s="41">
        <f t="shared" si="51"/>
        <v>0.37902382515085264</v>
      </c>
      <c r="AR223" s="41">
        <f t="shared" si="52"/>
        <v>277.74764217511563</v>
      </c>
      <c r="AS223" s="41">
        <f t="shared" si="53"/>
        <v>-632.5270643917795</v>
      </c>
      <c r="AT223" s="41">
        <f t="shared" si="54"/>
        <v>-143.19225868923957</v>
      </c>
      <c r="AU223" s="41">
        <f t="shared" si="55"/>
        <v>90.293554718607083</v>
      </c>
      <c r="AV223" s="41">
        <f t="shared" si="56"/>
        <v>64.472476831612767</v>
      </c>
      <c r="AW223" s="41">
        <f t="shared" si="57"/>
        <v>-47.685195238716915</v>
      </c>
      <c r="AX223" s="41">
        <f t="shared" si="58"/>
        <v>-41.968128398552153</v>
      </c>
      <c r="AY223" s="41">
        <f t="shared" si="58"/>
        <v>-53.952614055422146</v>
      </c>
      <c r="AZ223" s="41">
        <f t="shared" si="58"/>
        <v>-52.990764361951051</v>
      </c>
    </row>
    <row r="224" spans="1:52" x14ac:dyDescent="0.2">
      <c r="A224" s="30">
        <v>686</v>
      </c>
      <c r="B224" s="31" t="s">
        <v>538</v>
      </c>
      <c r="C224" s="41">
        <v>-1899</v>
      </c>
      <c r="D224" s="41">
        <v>-1040</v>
      </c>
      <c r="E224" s="73">
        <v>-2283</v>
      </c>
      <c r="F224" s="73">
        <v>-2360</v>
      </c>
      <c r="G224" s="73">
        <v>-2186</v>
      </c>
      <c r="H224" s="41">
        <v>-802</v>
      </c>
      <c r="I224" s="165">
        <v>-645.06015000000002</v>
      </c>
      <c r="J224" s="41">
        <v>-378.39221000000003</v>
      </c>
      <c r="K224" s="41">
        <v>-63.350490000000001</v>
      </c>
      <c r="L224" s="41">
        <f>$L$5*'7.1. Nettoinvestointiennuste '!Y224</f>
        <v>-445.99597171884949</v>
      </c>
      <c r="M224" s="41">
        <f>$M$5*'7.1. Nettoinvestointiennuste '!Y224</f>
        <v>-465.11050663321919</v>
      </c>
      <c r="N224" s="41">
        <f>$N$5*'7.1. Nettoinvestointiennuste '!Y224</f>
        <v>-481.52618776248357</v>
      </c>
      <c r="O224" s="41">
        <f>O$5*'7.1. Nettoinvestointiennuste '!$Y224</f>
        <v>-502.99076640246255</v>
      </c>
      <c r="P224" s="41">
        <f>P$5*'7.1. Nettoinvestointiennuste '!$Y224</f>
        <v>-523.87277567475155</v>
      </c>
      <c r="T224" s="34">
        <v>686</v>
      </c>
      <c r="U224" s="88" t="s">
        <v>538</v>
      </c>
      <c r="V224" s="41">
        <f>C224/'1. Väestöennuste'!E224*1000</f>
        <v>-574.93188010899189</v>
      </c>
      <c r="W224" s="41">
        <f>D224/'1. Väestöennuste'!F224*1000</f>
        <v>-316.30170316301701</v>
      </c>
      <c r="X224" s="41">
        <f>E224/'1. Väestöennuste'!G224*1000</f>
        <v>-701.38248847926263</v>
      </c>
      <c r="Y224" s="41">
        <f>F224/'1. Väestöennuste'!H224*1000</f>
        <v>-738.42302878598241</v>
      </c>
      <c r="Z224" s="41">
        <f>G224/'1. Väestöennuste'!I224*1000</f>
        <v>-700.41653316244788</v>
      </c>
      <c r="AA224" s="41">
        <f>H224/'1. Väestöennuste'!J224*1000</f>
        <v>-262.69243367179826</v>
      </c>
      <c r="AB224" s="41">
        <f>I224/'1. Väestöennuste'!K224*1000</f>
        <v>-212.68056379821959</v>
      </c>
      <c r="AC224" s="41">
        <f>J224/'1. Väestöennuste'!L224*1000</f>
        <v>-127.66268893387317</v>
      </c>
      <c r="AD224" s="41">
        <f>K224/'1. Väestöennuste'!M224*1000</f>
        <v>-21.599212410501195</v>
      </c>
      <c r="AE224" s="41">
        <f>L224/'1. Väestöennuste'!N224*1000</f>
        <v>-155.56190154127992</v>
      </c>
      <c r="AF224" s="41">
        <f>M224/'1. Väestöennuste'!O224*1000</f>
        <v>-164.93280377064508</v>
      </c>
      <c r="AG224" s="41">
        <f>N224/'1. Väestöennuste'!P224*1000</f>
        <v>-173.21085890736819</v>
      </c>
      <c r="AH224" s="41">
        <f>O224/'1. Väestöennuste'!Q224*1000</f>
        <v>-183.43937505560268</v>
      </c>
      <c r="AI224" s="41">
        <f>P224/'1. Väestöennuste'!R224*1000</f>
        <v>-193.73993183237855</v>
      </c>
      <c r="AK224" s="34">
        <v>686</v>
      </c>
      <c r="AL224" s="88" t="s">
        <v>538</v>
      </c>
      <c r="AM224" s="41"/>
      <c r="AN224" s="41">
        <f t="shared" si="48"/>
        <v>258.63017694597488</v>
      </c>
      <c r="AO224" s="41">
        <f t="shared" si="49"/>
        <v>-385.08078531624562</v>
      </c>
      <c r="AP224" s="41">
        <f t="shared" si="50"/>
        <v>-37.040540306719777</v>
      </c>
      <c r="AQ224" s="41">
        <f t="shared" si="51"/>
        <v>38.006495623534533</v>
      </c>
      <c r="AR224" s="41">
        <f t="shared" si="52"/>
        <v>437.72409949064962</v>
      </c>
      <c r="AS224" s="41">
        <f t="shared" si="53"/>
        <v>50.011869873578661</v>
      </c>
      <c r="AT224" s="41">
        <f t="shared" si="54"/>
        <v>85.017874864346425</v>
      </c>
      <c r="AU224" s="41">
        <f t="shared" si="55"/>
        <v>106.06347652337197</v>
      </c>
      <c r="AV224" s="41">
        <f t="shared" si="56"/>
        <v>-133.96268913077873</v>
      </c>
      <c r="AW224" s="41">
        <f t="shared" si="57"/>
        <v>-9.3709022293651572</v>
      </c>
      <c r="AX224" s="41">
        <f t="shared" si="58"/>
        <v>-8.2780551367231112</v>
      </c>
      <c r="AY224" s="41">
        <f t="shared" si="58"/>
        <v>-10.22851614823449</v>
      </c>
      <c r="AZ224" s="41">
        <f t="shared" si="58"/>
        <v>-10.300556776775863</v>
      </c>
    </row>
    <row r="225" spans="1:52" x14ac:dyDescent="0.2">
      <c r="A225" s="30">
        <v>687</v>
      </c>
      <c r="B225" s="31" t="s">
        <v>539</v>
      </c>
      <c r="C225" s="41">
        <v>-3127</v>
      </c>
      <c r="D225" s="41">
        <v>-1822</v>
      </c>
      <c r="E225" s="73">
        <v>-1096</v>
      </c>
      <c r="F225" s="73">
        <v>-798</v>
      </c>
      <c r="G225" s="73">
        <v>-499</v>
      </c>
      <c r="H225" s="41">
        <v>-799</v>
      </c>
      <c r="I225" s="165">
        <v>-296.14600000000002</v>
      </c>
      <c r="J225" s="41">
        <v>-363.49200000000002</v>
      </c>
      <c r="K225" s="41">
        <v>-404.53566999999998</v>
      </c>
      <c r="L225" s="41">
        <f>$L$5*'7.1. Nettoinvestointiennuste '!Y225</f>
        <v>-440.67115405312211</v>
      </c>
      <c r="M225" s="41">
        <f>$M$5*'7.1. Nettoinvestointiennuste '!Y225</f>
        <v>-459.55747745967949</v>
      </c>
      <c r="N225" s="41">
        <f>$N$5*'7.1. Nettoinvestointiennuste '!Y225</f>
        <v>-475.77716913070913</v>
      </c>
      <c r="O225" s="41">
        <f>O$5*'7.1. Nettoinvestointiennuste '!$Y225</f>
        <v>-496.98547871272092</v>
      </c>
      <c r="P225" s="41">
        <f>P$5*'7.1. Nettoinvestointiennuste '!$Y225</f>
        <v>-517.61817431645716</v>
      </c>
      <c r="T225" s="34">
        <v>687</v>
      </c>
      <c r="U225" s="88" t="s">
        <v>539</v>
      </c>
      <c r="V225" s="41">
        <f>C225/'1. Väestöennuste'!E225*1000</f>
        <v>-1800.2302820955672</v>
      </c>
      <c r="W225" s="41">
        <f>D225/'1. Väestöennuste'!F225*1000</f>
        <v>-1057.4579222286709</v>
      </c>
      <c r="X225" s="41">
        <f>E225/'1. Väestöennuste'!G225*1000</f>
        <v>-645.46525323910487</v>
      </c>
      <c r="Y225" s="41">
        <f>F225/'1. Väestöennuste'!H225*1000</f>
        <v>-483.34342822531801</v>
      </c>
      <c r="Z225" s="41">
        <f>G225/'1. Väestöennuste'!I225*1000</f>
        <v>-311.48564294631711</v>
      </c>
      <c r="AA225" s="41">
        <f>H225/'1. Väestöennuste'!J225*1000</f>
        <v>-511.85137732222927</v>
      </c>
      <c r="AB225" s="41">
        <f>I225/'1. Väestöennuste'!K225*1000</f>
        <v>-195.73430270984798</v>
      </c>
      <c r="AC225" s="41">
        <f>J225/'1. Väestöennuste'!L225*1000</f>
        <v>-246.10155721056196</v>
      </c>
      <c r="AD225" s="41">
        <f>K225/'1. Väestöennuste'!M225*1000</f>
        <v>-284.08403792134828</v>
      </c>
      <c r="AE225" s="41">
        <f>L225/'1. Väestöennuste'!N225*1000</f>
        <v>-307.08791223214081</v>
      </c>
      <c r="AF225" s="41">
        <f>M225/'1. Väestöennuste'!O225*1000</f>
        <v>-326.3902538776133</v>
      </c>
      <c r="AG225" s="41">
        <f>N225/'1. Väestöennuste'!P225*1000</f>
        <v>-344.51641501137522</v>
      </c>
      <c r="AH225" s="41">
        <f>O225/'1. Väestöennuste'!Q225*1000</f>
        <v>-366.77895107949882</v>
      </c>
      <c r="AI225" s="41">
        <f>P225/'1. Väestöennuste'!R225*1000</f>
        <v>-388.89419557960719</v>
      </c>
      <c r="AK225" s="34">
        <v>687</v>
      </c>
      <c r="AL225" s="88" t="s">
        <v>539</v>
      </c>
      <c r="AM225" s="41"/>
      <c r="AN225" s="41">
        <f t="shared" si="48"/>
        <v>742.77235986689629</v>
      </c>
      <c r="AO225" s="41">
        <f t="shared" si="49"/>
        <v>411.99266898956603</v>
      </c>
      <c r="AP225" s="41">
        <f t="shared" si="50"/>
        <v>162.12182501378686</v>
      </c>
      <c r="AQ225" s="41">
        <f t="shared" si="51"/>
        <v>171.85778527900089</v>
      </c>
      <c r="AR225" s="41">
        <f t="shared" si="52"/>
        <v>-200.36573437591215</v>
      </c>
      <c r="AS225" s="41">
        <f t="shared" si="53"/>
        <v>316.11707461238132</v>
      </c>
      <c r="AT225" s="41">
        <f t="shared" si="54"/>
        <v>-50.367254500713983</v>
      </c>
      <c r="AU225" s="41">
        <f t="shared" si="55"/>
        <v>-37.982480710786319</v>
      </c>
      <c r="AV225" s="41">
        <f t="shared" si="56"/>
        <v>-23.003874310792526</v>
      </c>
      <c r="AW225" s="41">
        <f t="shared" si="57"/>
        <v>-19.302341645472495</v>
      </c>
      <c r="AX225" s="41">
        <f t="shared" si="58"/>
        <v>-18.126161133761912</v>
      </c>
      <c r="AY225" s="41">
        <f t="shared" si="58"/>
        <v>-22.262536068123609</v>
      </c>
      <c r="AZ225" s="41">
        <f t="shared" si="58"/>
        <v>-22.115244500108361</v>
      </c>
    </row>
    <row r="226" spans="1:52" x14ac:dyDescent="0.2">
      <c r="A226" s="30">
        <v>689</v>
      </c>
      <c r="B226" s="31" t="s">
        <v>540</v>
      </c>
      <c r="C226" s="41">
        <v>-6313</v>
      </c>
      <c r="D226" s="41">
        <v>-3566</v>
      </c>
      <c r="E226" s="73">
        <v>-888</v>
      </c>
      <c r="F226" s="73">
        <v>-805</v>
      </c>
      <c r="G226" s="73">
        <v>-591</v>
      </c>
      <c r="H226" s="41">
        <v>-482</v>
      </c>
      <c r="I226" s="165">
        <v>-420.50297999999998</v>
      </c>
      <c r="J226" s="41">
        <v>-810.24526000000003</v>
      </c>
      <c r="K226" s="41">
        <v>-1833.2265300000001</v>
      </c>
      <c r="L226" s="41">
        <f>$L$5*'7.1. Nettoinvestointiennuste '!Y226</f>
        <v>-1083.5583029281213</v>
      </c>
      <c r="M226" s="41">
        <f>$M$5*'7.1. Nettoinvestointiennuste '!Y226</f>
        <v>-1129.9975407832362</v>
      </c>
      <c r="N226" s="41">
        <f>$N$5*'7.1. Nettoinvestointiennuste '!Y226</f>
        <v>-1169.8798462607572</v>
      </c>
      <c r="O226" s="41">
        <f>O$5*'7.1. Nettoinvestointiennuste '!$Y226</f>
        <v>-1222.0285737807994</v>
      </c>
      <c r="P226" s="41">
        <f>P$5*'7.1. Nettoinvestointiennuste '!$Y226</f>
        <v>-1272.7619345365204</v>
      </c>
      <c r="T226" s="34">
        <v>689</v>
      </c>
      <c r="U226" s="88" t="s">
        <v>540</v>
      </c>
      <c r="V226" s="41">
        <f>C226/'1. Väestöennuste'!E226*1000</f>
        <v>-1784.8459146169068</v>
      </c>
      <c r="W226" s="41">
        <f>D226/'1. Väestöennuste'!F226*1000</f>
        <v>-1026.7780017276129</v>
      </c>
      <c r="X226" s="41">
        <f>E226/'1. Väestöennuste'!G226*1000</f>
        <v>-258.44004656577414</v>
      </c>
      <c r="Y226" s="41">
        <f>F226/'1. Väestöennuste'!H226*1000</f>
        <v>-241.37931034482759</v>
      </c>
      <c r="Z226" s="41">
        <f>G226/'1. Väestöennuste'!I226*1000</f>
        <v>-183.19900805951642</v>
      </c>
      <c r="AA226" s="41">
        <f>H226/'1. Väestöennuste'!J226*1000</f>
        <v>-153.21042593769866</v>
      </c>
      <c r="AB226" s="41">
        <f>I226/'1. Väestöennuste'!K226*1000</f>
        <v>-135.99708279430789</v>
      </c>
      <c r="AC226" s="41">
        <f>J226/'1. Väestöennuste'!L226*1000</f>
        <v>-261.9609634658907</v>
      </c>
      <c r="AD226" s="41">
        <f>K226/'1. Väestöennuste'!M226*1000</f>
        <v>-604.62616424802115</v>
      </c>
      <c r="AE226" s="41">
        <f>L226/'1. Väestöennuste'!N226*1000</f>
        <v>-378.99905663802775</v>
      </c>
      <c r="AF226" s="41">
        <f>M226/'1. Väestöennuste'!O226*1000</f>
        <v>-403.71473411333915</v>
      </c>
      <c r="AG226" s="41">
        <f>N226/'1. Väestöennuste'!P226*1000</f>
        <v>-426.65202270633011</v>
      </c>
      <c r="AH226" s="41">
        <f>O226/'1. Väestöennuste'!Q226*1000</f>
        <v>-454.45465741197449</v>
      </c>
      <c r="AI226" s="41">
        <f>P226/'1. Väestöennuste'!R226*1000</f>
        <v>-482.28947879367956</v>
      </c>
      <c r="AK226" s="34">
        <v>689</v>
      </c>
      <c r="AL226" s="88" t="s">
        <v>540</v>
      </c>
      <c r="AM226" s="41"/>
      <c r="AN226" s="41">
        <f t="shared" si="48"/>
        <v>758.06791288929389</v>
      </c>
      <c r="AO226" s="41">
        <f t="shared" si="49"/>
        <v>768.33795516183886</v>
      </c>
      <c r="AP226" s="41">
        <f t="shared" si="50"/>
        <v>17.060736220946552</v>
      </c>
      <c r="AQ226" s="41">
        <f t="shared" si="51"/>
        <v>58.180302285311171</v>
      </c>
      <c r="AR226" s="41">
        <f t="shared" si="52"/>
        <v>29.988582121817757</v>
      </c>
      <c r="AS226" s="41">
        <f t="shared" si="53"/>
        <v>17.213343143390773</v>
      </c>
      <c r="AT226" s="41">
        <f t="shared" si="54"/>
        <v>-125.96388067158281</v>
      </c>
      <c r="AU226" s="41">
        <f t="shared" si="55"/>
        <v>-342.66520078213046</v>
      </c>
      <c r="AV226" s="41">
        <f t="shared" si="56"/>
        <v>225.6271076099934</v>
      </c>
      <c r="AW226" s="41">
        <f t="shared" si="57"/>
        <v>-24.715677475311395</v>
      </c>
      <c r="AX226" s="41">
        <f t="shared" si="58"/>
        <v>-22.937288592990967</v>
      </c>
      <c r="AY226" s="41">
        <f t="shared" si="58"/>
        <v>-27.80263470564438</v>
      </c>
      <c r="AZ226" s="41">
        <f t="shared" si="58"/>
        <v>-27.834821381705069</v>
      </c>
    </row>
    <row r="227" spans="1:52" x14ac:dyDescent="0.2">
      <c r="A227" s="30">
        <v>691</v>
      </c>
      <c r="B227" s="31" t="s">
        <v>541</v>
      </c>
      <c r="C227" s="41">
        <v>-1439</v>
      </c>
      <c r="D227" s="41">
        <v>-4863</v>
      </c>
      <c r="E227" s="73">
        <v>-6139</v>
      </c>
      <c r="F227" s="73">
        <v>-650</v>
      </c>
      <c r="G227" s="73">
        <v>-4029</v>
      </c>
      <c r="H227" s="41">
        <v>-2235</v>
      </c>
      <c r="I227" s="165">
        <v>-381.90360999999996</v>
      </c>
      <c r="J227" s="41">
        <v>-964.81465000000003</v>
      </c>
      <c r="K227" s="41">
        <v>-877.58003000000008</v>
      </c>
      <c r="L227" s="41">
        <f>$L$5*'7.1. Nettoinvestointiennuste '!Y227</f>
        <v>-853.63585181097631</v>
      </c>
      <c r="M227" s="41">
        <f>$M$5*'7.1. Nettoinvestointiennuste '!Y227</f>
        <v>-890.22105286271278</v>
      </c>
      <c r="N227" s="41">
        <f>$N$5*'7.1. Nettoinvestointiennuste '!Y227</f>
        <v>-921.64065042058178</v>
      </c>
      <c r="O227" s="41">
        <f>O$5*'7.1. Nettoinvestointiennuste '!$Y227</f>
        <v>-962.72383285491253</v>
      </c>
      <c r="P227" s="41">
        <f>P$5*'7.1. Nettoinvestointiennuste '!$Y227</f>
        <v>-1002.6919780916865</v>
      </c>
      <c r="T227" s="34">
        <v>691</v>
      </c>
      <c r="U227" s="88" t="s">
        <v>541</v>
      </c>
      <c r="V227" s="41">
        <f>C227/'1. Väestöennuste'!E227*1000</f>
        <v>-497.23565998617829</v>
      </c>
      <c r="W227" s="41">
        <f>D227/'1. Väestöennuste'!F227*1000</f>
        <v>-1703.9243167484233</v>
      </c>
      <c r="X227" s="41">
        <f>E227/'1. Väestöennuste'!G227*1000</f>
        <v>-2182.3675790970497</v>
      </c>
      <c r="Y227" s="41">
        <f>F227/'1. Väestöennuste'!H227*1000</f>
        <v>-236.96682464454977</v>
      </c>
      <c r="Z227" s="41">
        <f>G227/'1. Väestöennuste'!I227*1000</f>
        <v>-1482.3399558498895</v>
      </c>
      <c r="AA227" s="41">
        <f>H227/'1. Väestöennuste'!J227*1000</f>
        <v>-824.72324723247232</v>
      </c>
      <c r="AB227" s="41">
        <f>I227/'1. Väestöennuste'!K227*1000</f>
        <v>-141.97160223048326</v>
      </c>
      <c r="AC227" s="41">
        <f>J227/'1. Väestöennuste'!L227*1000</f>
        <v>-366.01466236722308</v>
      </c>
      <c r="AD227" s="41">
        <f>K227/'1. Väestöennuste'!M227*1000</f>
        <v>-337.79061970746733</v>
      </c>
      <c r="AE227" s="41">
        <f>L227/'1. Väestöennuste'!N227*1000</f>
        <v>-331.12329395305517</v>
      </c>
      <c r="AF227" s="41">
        <f>M227/'1. Väestöennuste'!O227*1000</f>
        <v>-349.6547733160694</v>
      </c>
      <c r="AG227" s="41">
        <f>N227/'1. Väestöennuste'!P227*1000</f>
        <v>-366.45751507776612</v>
      </c>
      <c r="AH227" s="41">
        <f>O227/'1. Väestöennuste'!Q227*1000</f>
        <v>-387.25817894405168</v>
      </c>
      <c r="AI227" s="41">
        <f>P227/'1. Väestöennuste'!R227*1000</f>
        <v>-408.4285043143326</v>
      </c>
      <c r="AK227" s="34">
        <v>691</v>
      </c>
      <c r="AL227" s="88" t="s">
        <v>541</v>
      </c>
      <c r="AM227" s="41"/>
      <c r="AN227" s="41">
        <f t="shared" si="48"/>
        <v>-1206.688656762245</v>
      </c>
      <c r="AO227" s="41">
        <f t="shared" si="49"/>
        <v>-478.44326234862638</v>
      </c>
      <c r="AP227" s="41">
        <f t="shared" si="50"/>
        <v>1945.4007544524998</v>
      </c>
      <c r="AQ227" s="41">
        <f t="shared" si="51"/>
        <v>-1245.3731312053396</v>
      </c>
      <c r="AR227" s="41">
        <f t="shared" si="52"/>
        <v>657.6167086174172</v>
      </c>
      <c r="AS227" s="41">
        <f t="shared" si="53"/>
        <v>682.75164500198912</v>
      </c>
      <c r="AT227" s="41">
        <f t="shared" si="54"/>
        <v>-224.04306013673983</v>
      </c>
      <c r="AU227" s="41">
        <f t="shared" si="55"/>
        <v>28.224042659755753</v>
      </c>
      <c r="AV227" s="41">
        <f t="shared" si="56"/>
        <v>6.6673257544121611</v>
      </c>
      <c r="AW227" s="41">
        <f t="shared" si="57"/>
        <v>-18.531479363014228</v>
      </c>
      <c r="AX227" s="41">
        <f t="shared" si="58"/>
        <v>-16.802741761696723</v>
      </c>
      <c r="AY227" s="41">
        <f t="shared" si="58"/>
        <v>-20.800663866285561</v>
      </c>
      <c r="AZ227" s="41">
        <f t="shared" si="58"/>
        <v>-21.170325370280921</v>
      </c>
    </row>
    <row r="228" spans="1:52" x14ac:dyDescent="0.2">
      <c r="A228" s="30">
        <v>694</v>
      </c>
      <c r="B228" s="31" t="s">
        <v>542</v>
      </c>
      <c r="C228" s="41">
        <v>-9249</v>
      </c>
      <c r="D228" s="41">
        <v>-7928</v>
      </c>
      <c r="E228" s="73">
        <v>-8672</v>
      </c>
      <c r="F228" s="73">
        <v>-15605</v>
      </c>
      <c r="G228" s="73">
        <v>35240</v>
      </c>
      <c r="H228" s="41">
        <v>-10368</v>
      </c>
      <c r="I228" s="165">
        <v>-11691.588880000001</v>
      </c>
      <c r="J228" s="41">
        <v>-14509.60153</v>
      </c>
      <c r="K228" s="41">
        <v>-24051.827129999998</v>
      </c>
      <c r="L228" s="41">
        <f>$L$5*'7.1. Nettoinvestointiennuste '!Y228</f>
        <v>-18266.480691600314</v>
      </c>
      <c r="M228" s="41">
        <f>$M$5*'7.1. Nettoinvestointiennuste '!Y228</f>
        <v>-19049.347141260441</v>
      </c>
      <c r="N228" s="41">
        <f>$N$5*'7.1. Nettoinvestointiennuste '!Y228</f>
        <v>-19721.677703421221</v>
      </c>
      <c r="O228" s="41">
        <f>O$5*'7.1. Nettoinvestointiennuste '!$Y228</f>
        <v>-20600.793964874083</v>
      </c>
      <c r="P228" s="41">
        <f>P$5*'7.1. Nettoinvestointiennuste '!$Y228</f>
        <v>-21456.050163050106</v>
      </c>
      <c r="T228" s="34">
        <v>694</v>
      </c>
      <c r="U228" s="88" t="s">
        <v>542</v>
      </c>
      <c r="V228" s="41">
        <f>C228/'1. Väestöennuste'!E228*1000</f>
        <v>-315.99986333663605</v>
      </c>
      <c r="W228" s="41">
        <f>D228/'1. Väestöennuste'!F228*1000</f>
        <v>-271.87928669410149</v>
      </c>
      <c r="X228" s="41">
        <f>E228/'1. Väestöennuste'!G228*1000</f>
        <v>-298.81809723992967</v>
      </c>
      <c r="Y228" s="41">
        <f>F228/'1. Väestöennuste'!H228*1000</f>
        <v>-543.04704899777278</v>
      </c>
      <c r="Z228" s="41">
        <f>G228/'1. Väestöennuste'!I228*1000</f>
        <v>1223.9085888931338</v>
      </c>
      <c r="AA228" s="41">
        <f>H228/'1. Väestöennuste'!J228*1000</f>
        <v>-361.12852664576798</v>
      </c>
      <c r="AB228" s="41">
        <f>I228/'1. Väestöennuste'!K228*1000</f>
        <v>-409.92913572455387</v>
      </c>
      <c r="AC228" s="41">
        <f>J228/'1. Väestöennuste'!L228*1000</f>
        <v>-511.82057673992034</v>
      </c>
      <c r="AD228" s="41">
        <f>K228/'1. Väestöennuste'!M228*1000</f>
        <v>-844.42745251553549</v>
      </c>
      <c r="AE228" s="41">
        <f>L228/'1. Väestöennuste'!N228*1000</f>
        <v>-645.57274047005887</v>
      </c>
      <c r="AF228" s="41">
        <f>M228/'1. Väestöennuste'!O228*1000</f>
        <v>-675.436908884177</v>
      </c>
      <c r="AG228" s="41">
        <f>N228/'1. Väestöennuste'!P228*1000</f>
        <v>-701.58938823981578</v>
      </c>
      <c r="AH228" s="41">
        <f>O228/'1. Väestöennuste'!Q228*1000</f>
        <v>-735.29621175979162</v>
      </c>
      <c r="AI228" s="41">
        <f>P228/'1. Väestöennuste'!R228*1000</f>
        <v>-768.31806069791969</v>
      </c>
      <c r="AK228" s="34">
        <v>694</v>
      </c>
      <c r="AL228" s="88" t="s">
        <v>542</v>
      </c>
      <c r="AM228" s="41"/>
      <c r="AN228" s="41">
        <f t="shared" si="48"/>
        <v>44.120576642534559</v>
      </c>
      <c r="AO228" s="41">
        <f t="shared" si="49"/>
        <v>-26.938810545828176</v>
      </c>
      <c r="AP228" s="41">
        <f t="shared" si="50"/>
        <v>-244.22895175784311</v>
      </c>
      <c r="AQ228" s="41">
        <f t="shared" si="51"/>
        <v>1766.9556378909065</v>
      </c>
      <c r="AR228" s="41">
        <f t="shared" si="52"/>
        <v>-1585.0371155389018</v>
      </c>
      <c r="AS228" s="41">
        <f t="shared" si="53"/>
        <v>-48.800609078785897</v>
      </c>
      <c r="AT228" s="41">
        <f t="shared" si="54"/>
        <v>-101.89144101536647</v>
      </c>
      <c r="AU228" s="41">
        <f t="shared" si="55"/>
        <v>-332.60687577561515</v>
      </c>
      <c r="AV228" s="41">
        <f t="shared" si="56"/>
        <v>198.85471204547662</v>
      </c>
      <c r="AW228" s="41">
        <f t="shared" si="57"/>
        <v>-29.864168414118126</v>
      </c>
      <c r="AX228" s="41">
        <f t="shared" si="58"/>
        <v>-26.152479355638775</v>
      </c>
      <c r="AY228" s="41">
        <f t="shared" si="58"/>
        <v>-33.706823519975842</v>
      </c>
      <c r="AZ228" s="41">
        <f t="shared" si="58"/>
        <v>-33.021848938128073</v>
      </c>
    </row>
    <row r="229" spans="1:52" x14ac:dyDescent="0.2">
      <c r="A229" s="32">
        <v>697</v>
      </c>
      <c r="B229" s="33" t="s">
        <v>543</v>
      </c>
      <c r="C229" s="41">
        <v>4</v>
      </c>
      <c r="D229" s="41">
        <v>-166</v>
      </c>
      <c r="E229" s="73">
        <v>-301</v>
      </c>
      <c r="F229" s="73">
        <v>-111</v>
      </c>
      <c r="G229" s="73">
        <v>-348</v>
      </c>
      <c r="H229" s="41">
        <v>350</v>
      </c>
      <c r="I229" s="165">
        <v>247.24024</v>
      </c>
      <c r="J229" s="41">
        <v>-36.4</v>
      </c>
      <c r="K229" s="41">
        <v>-96.079729999999998</v>
      </c>
      <c r="L229" s="41">
        <f>$L$5*'7.1. Nettoinvestointiennuste '!Y229</f>
        <v>-69.537806233339538</v>
      </c>
      <c r="M229" s="41">
        <f>$M$5*'7.1. Nettoinvestointiennuste '!Y229</f>
        <v>-72.518063700673224</v>
      </c>
      <c r="N229" s="41">
        <f>$N$5*'7.1. Nettoinvestointiennuste '!Y229</f>
        <v>-75.07752729662397</v>
      </c>
      <c r="O229" s="41">
        <f>O$5*'7.1. Nettoinvestointiennuste '!$Y229</f>
        <v>-78.424193645637672</v>
      </c>
      <c r="P229" s="41">
        <f>P$5*'7.1. Nettoinvestointiennuste '!$Y229</f>
        <v>-81.680028241952385</v>
      </c>
      <c r="T229" s="89">
        <v>697</v>
      </c>
      <c r="U229" s="90" t="s">
        <v>543</v>
      </c>
      <c r="V229" s="41">
        <f>C229/'1. Väestöennuste'!E229*1000</f>
        <v>2.9607698001480385</v>
      </c>
      <c r="W229" s="41">
        <f>D229/'1. Väestöennuste'!F229*1000</f>
        <v>-123.42007434944239</v>
      </c>
      <c r="X229" s="41">
        <f>E229/'1. Väestöennuste'!G229*1000</f>
        <v>-228.54973424449506</v>
      </c>
      <c r="Y229" s="41">
        <f>F229/'1. Väestöennuste'!H229*1000</f>
        <v>-86.180124223602476</v>
      </c>
      <c r="Z229" s="41">
        <f>G229/'1. Väestöennuste'!I229*1000</f>
        <v>-273.58490566037733</v>
      </c>
      <c r="AA229" s="41">
        <f>H229/'1. Väestöennuste'!J229*1000</f>
        <v>283.40080971659921</v>
      </c>
      <c r="AB229" s="41">
        <f>I229/'1. Väestöennuste'!K229*1000</f>
        <v>204.33077685950411</v>
      </c>
      <c r="AC229" s="41">
        <f>J229/'1. Väestöennuste'!L229*1000</f>
        <v>-31.005110732538331</v>
      </c>
      <c r="AD229" s="41">
        <f>K229/'1. Väestöennuste'!M229*1000</f>
        <v>-82.54272336769759</v>
      </c>
      <c r="AE229" s="41">
        <f>L229/'1. Väestöennuste'!N229*1000</f>
        <v>-59.231521493474901</v>
      </c>
      <c r="AF229" s="41">
        <f>M229/'1. Väestöennuste'!O229*1000</f>
        <v>-62.193879674676865</v>
      </c>
      <c r="AG229" s="41">
        <f>N229/'1. Väestöennuste'!P229*1000</f>
        <v>-64.945957869051867</v>
      </c>
      <c r="AH229" s="41">
        <f>O229/'1. Väestöennuste'!Q229*1000</f>
        <v>-68.492745542041646</v>
      </c>
      <c r="AI229" s="41">
        <f>P229/'1. Väestöennuste'!R229*1000</f>
        <v>-71.838195463458561</v>
      </c>
      <c r="AK229" s="89">
        <v>697</v>
      </c>
      <c r="AL229" s="90" t="s">
        <v>543</v>
      </c>
      <c r="AM229" s="41"/>
      <c r="AN229" s="41">
        <f t="shared" si="48"/>
        <v>-126.38084414959043</v>
      </c>
      <c r="AO229" s="41">
        <f t="shared" si="49"/>
        <v>-105.12965989505267</v>
      </c>
      <c r="AP229" s="41">
        <f t="shared" si="50"/>
        <v>142.36961002089259</v>
      </c>
      <c r="AQ229" s="41">
        <f t="shared" si="51"/>
        <v>-187.40478143677484</v>
      </c>
      <c r="AR229" s="41">
        <f t="shared" si="52"/>
        <v>556.98571537697649</v>
      </c>
      <c r="AS229" s="41">
        <f t="shared" si="53"/>
        <v>-79.0700328570951</v>
      </c>
      <c r="AT229" s="41">
        <f t="shared" si="54"/>
        <v>-235.33588759204244</v>
      </c>
      <c r="AU229" s="41">
        <f t="shared" si="55"/>
        <v>-51.537612635159263</v>
      </c>
      <c r="AV229" s="41">
        <f t="shared" si="56"/>
        <v>23.311201874222689</v>
      </c>
      <c r="AW229" s="41">
        <f t="shared" si="57"/>
        <v>-2.9623581812019637</v>
      </c>
      <c r="AX229" s="41">
        <f t="shared" si="58"/>
        <v>-2.7520781943750023</v>
      </c>
      <c r="AY229" s="41">
        <f t="shared" si="58"/>
        <v>-3.5467876729897796</v>
      </c>
      <c r="AZ229" s="41">
        <f t="shared" si="58"/>
        <v>-3.3454499214169147</v>
      </c>
    </row>
    <row r="230" spans="1:52" x14ac:dyDescent="0.2">
      <c r="A230" s="30">
        <v>698</v>
      </c>
      <c r="B230" s="31" t="s">
        <v>544</v>
      </c>
      <c r="C230" s="41">
        <v>55198</v>
      </c>
      <c r="D230" s="41">
        <v>-12801</v>
      </c>
      <c r="E230" s="73">
        <v>-13637</v>
      </c>
      <c r="F230" s="73">
        <v>-18778</v>
      </c>
      <c r="G230" s="73">
        <v>-18090</v>
      </c>
      <c r="H230" s="41">
        <v>-12183</v>
      </c>
      <c r="I230" s="165">
        <v>-9586.2383000000009</v>
      </c>
      <c r="J230" s="41">
        <v>-14142.619839999999</v>
      </c>
      <c r="K230" s="41">
        <v>-26062.843960000002</v>
      </c>
      <c r="L230" s="41">
        <f>$L$5*'7.1. Nettoinvestointiennuste '!Y230</f>
        <v>-31212.098641902048</v>
      </c>
      <c r="M230" s="41">
        <f>$M$5*'7.1. Nettoinvestointiennuste '!Y230</f>
        <v>-32549.789533911899</v>
      </c>
      <c r="N230" s="41">
        <f>$N$5*'7.1. Nettoinvestointiennuste '!Y230</f>
        <v>-33698.606768081001</v>
      </c>
      <c r="O230" s="41">
        <f>O$5*'7.1. Nettoinvestointiennuste '!$Y230</f>
        <v>-35200.760572824824</v>
      </c>
      <c r="P230" s="41">
        <f>P$5*'7.1. Nettoinvestointiennuste '!$Y230</f>
        <v>-36662.14447442352</v>
      </c>
      <c r="T230" s="34">
        <v>698</v>
      </c>
      <c r="U230" s="88" t="s">
        <v>544</v>
      </c>
      <c r="V230" s="41">
        <f>C230/'1. Väestöennuste'!E230*1000</f>
        <v>892.62265920631319</v>
      </c>
      <c r="W230" s="41">
        <f>D230/'1. Väestöennuste'!F230*1000</f>
        <v>-205.70133856116726</v>
      </c>
      <c r="X230" s="41">
        <f>E230/'1. Väestöennuste'!G230*1000</f>
        <v>-218.47164370394103</v>
      </c>
      <c r="Y230" s="41">
        <f>F230/'1. Väestöennuste'!H230*1000</f>
        <v>-298.43298051555894</v>
      </c>
      <c r="Z230" s="41">
        <f>G230/'1. Väestöennuste'!I230*1000</f>
        <v>-286.95155610545351</v>
      </c>
      <c r="AA230" s="41">
        <f>H230/'1. Väestöennuste'!J230*1000</f>
        <v>-191.77370608235739</v>
      </c>
      <c r="AB230" s="41">
        <f>I230/'1. Väestöennuste'!K230*1000</f>
        <v>-149.36488469928327</v>
      </c>
      <c r="AC230" s="41">
        <f>J230/'1. Väestöennuste'!L230*1000</f>
        <v>-219.14650716665375</v>
      </c>
      <c r="AD230" s="41">
        <f>K230/'1. Väestöennuste'!M230*1000</f>
        <v>-399.21030481267047</v>
      </c>
      <c r="AE230" s="41">
        <f>L230/'1. Väestöennuste'!N230*1000</f>
        <v>-480.53359570615748</v>
      </c>
      <c r="AF230" s="41">
        <f>M230/'1. Väestöennuste'!O230*1000</f>
        <v>-498.82441472287707</v>
      </c>
      <c r="AG230" s="41">
        <f>N230/'1. Väestöennuste'!P230*1000</f>
        <v>-514.18424071654613</v>
      </c>
      <c r="AH230" s="41">
        <f>O230/'1. Väestöennuste'!Q230*1000</f>
        <v>-534.94970628286114</v>
      </c>
      <c r="AI230" s="41">
        <f>P230/'1. Väestöennuste'!R230*1000</f>
        <v>-555.11695951825322</v>
      </c>
      <c r="AK230" s="34">
        <v>698</v>
      </c>
      <c r="AL230" s="88" t="s">
        <v>544</v>
      </c>
      <c r="AM230" s="41"/>
      <c r="AN230" s="41">
        <f t="shared" si="48"/>
        <v>-1098.3239977674805</v>
      </c>
      <c r="AO230" s="41">
        <f t="shared" si="49"/>
        <v>-12.770305142773765</v>
      </c>
      <c r="AP230" s="41">
        <f t="shared" si="50"/>
        <v>-79.961336811617912</v>
      </c>
      <c r="AQ230" s="41">
        <f t="shared" si="51"/>
        <v>11.481424410105433</v>
      </c>
      <c r="AR230" s="41">
        <f t="shared" si="52"/>
        <v>95.177850023096113</v>
      </c>
      <c r="AS230" s="41">
        <f t="shared" si="53"/>
        <v>42.408821383074127</v>
      </c>
      <c r="AT230" s="41">
        <f t="shared" si="54"/>
        <v>-69.781622467370482</v>
      </c>
      <c r="AU230" s="41">
        <f t="shared" si="55"/>
        <v>-180.06379764601672</v>
      </c>
      <c r="AV230" s="41">
        <f t="shared" si="56"/>
        <v>-81.323290893487012</v>
      </c>
      <c r="AW230" s="41">
        <f t="shared" si="57"/>
        <v>-18.290819016719581</v>
      </c>
      <c r="AX230" s="41">
        <f t="shared" si="58"/>
        <v>-15.359825993669062</v>
      </c>
      <c r="AY230" s="41">
        <f t="shared" si="58"/>
        <v>-20.765465566315015</v>
      </c>
      <c r="AZ230" s="41">
        <f t="shared" si="58"/>
        <v>-20.167253235392081</v>
      </c>
    </row>
    <row r="231" spans="1:52" x14ac:dyDescent="0.2">
      <c r="A231" s="30">
        <v>700</v>
      </c>
      <c r="B231" s="31" t="s">
        <v>545</v>
      </c>
      <c r="C231" s="41">
        <v>-2040</v>
      </c>
      <c r="D231" s="41">
        <v>-788</v>
      </c>
      <c r="E231" s="73">
        <v>-7045</v>
      </c>
      <c r="F231" s="73">
        <v>-8477</v>
      </c>
      <c r="G231" s="73">
        <v>-1282</v>
      </c>
      <c r="H231" s="41">
        <v>-944</v>
      </c>
      <c r="I231" s="165">
        <v>-1491.93481</v>
      </c>
      <c r="J231" s="41">
        <v>-2876.2211699999998</v>
      </c>
      <c r="K231" s="41">
        <v>-1456.8027500000001</v>
      </c>
      <c r="L231" s="41">
        <f>$L$5*'7.1. Nettoinvestointiennuste '!Y231</f>
        <v>-2869.6024250362648</v>
      </c>
      <c r="M231" s="41">
        <f>$M$5*'7.1. Nettoinvestointiennuste '!Y231</f>
        <v>-2992.5881002932001</v>
      </c>
      <c r="N231" s="41">
        <f>$N$5*'7.1. Nettoinvestointiennuste '!Y231</f>
        <v>-3098.2089609382251</v>
      </c>
      <c r="O231" s="41">
        <f>O$5*'7.1. Nettoinvestointiennuste '!$Y231</f>
        <v>-3236.3151565621038</v>
      </c>
      <c r="P231" s="41">
        <f>P$5*'7.1. Nettoinvestointiennuste '!$Y231</f>
        <v>-3370.6730168280815</v>
      </c>
      <c r="T231" s="34">
        <v>700</v>
      </c>
      <c r="U231" s="88" t="s">
        <v>545</v>
      </c>
      <c r="V231" s="41">
        <f>C231/'1. Väestöennuste'!E231*1000</f>
        <v>-384.03614457831327</v>
      </c>
      <c r="W231" s="41">
        <f>D231/'1. Väestöennuste'!F231*1000</f>
        <v>-150.23832221163013</v>
      </c>
      <c r="X231" s="41">
        <f>E231/'1. Väestöennuste'!G231*1000</f>
        <v>-1350.1341510157147</v>
      </c>
      <c r="Y231" s="41">
        <f>F231/'1. Väestöennuste'!H231*1000</f>
        <v>-1662.4828397725043</v>
      </c>
      <c r="Z231" s="41">
        <f>G231/'1. Väestöennuste'!I231*1000</f>
        <v>-256.7080496595915</v>
      </c>
      <c r="AA231" s="41">
        <f>H231/'1. Väestöennuste'!J231*1000</f>
        <v>-191.79195449004467</v>
      </c>
      <c r="AB231" s="41">
        <f>I231/'1. Väestöennuste'!K231*1000</f>
        <v>-303.67083452065947</v>
      </c>
      <c r="AC231" s="41">
        <f>J231/'1. Väestöennuste'!L231*1000</f>
        <v>-594.01511152416356</v>
      </c>
      <c r="AD231" s="41">
        <f>K231/'1. Väestöennuste'!M231*1000</f>
        <v>-306.17964480874315</v>
      </c>
      <c r="AE231" s="41">
        <f>L231/'1. Väestöennuste'!N231*1000</f>
        <v>-618.71548620876774</v>
      </c>
      <c r="AF231" s="41">
        <f>M231/'1. Väestöennuste'!O231*1000</f>
        <v>-654.26062533738525</v>
      </c>
      <c r="AG231" s="41">
        <f>N231/'1. Väestöennuste'!P231*1000</f>
        <v>-686.65978744198253</v>
      </c>
      <c r="AH231" s="41">
        <f>O231/'1. Väestöennuste'!Q231*1000</f>
        <v>-727.09844002743284</v>
      </c>
      <c r="AI231" s="41">
        <f>P231/'1. Väestöennuste'!R231*1000</f>
        <v>-767.98200428983398</v>
      </c>
      <c r="AK231" s="34">
        <v>700</v>
      </c>
      <c r="AL231" s="88" t="s">
        <v>545</v>
      </c>
      <c r="AM231" s="41"/>
      <c r="AN231" s="41">
        <f t="shared" si="48"/>
        <v>233.79782236668314</v>
      </c>
      <c r="AO231" s="41">
        <f t="shared" si="49"/>
        <v>-1199.8958288040844</v>
      </c>
      <c r="AP231" s="41">
        <f t="shared" si="50"/>
        <v>-312.34868875678967</v>
      </c>
      <c r="AQ231" s="41">
        <f t="shared" si="51"/>
        <v>1405.7747901129128</v>
      </c>
      <c r="AR231" s="41">
        <f t="shared" si="52"/>
        <v>64.916095169546821</v>
      </c>
      <c r="AS231" s="41">
        <f t="shared" si="53"/>
        <v>-111.87888003061479</v>
      </c>
      <c r="AT231" s="41">
        <f t="shared" si="54"/>
        <v>-290.34427700350409</v>
      </c>
      <c r="AU231" s="41">
        <f t="shared" si="55"/>
        <v>287.83546671542041</v>
      </c>
      <c r="AV231" s="41">
        <f t="shared" si="56"/>
        <v>-312.53584140002459</v>
      </c>
      <c r="AW231" s="41">
        <f t="shared" si="57"/>
        <v>-35.545139128617507</v>
      </c>
      <c r="AX231" s="41">
        <f t="shared" si="58"/>
        <v>-32.399162104597281</v>
      </c>
      <c r="AY231" s="41">
        <f t="shared" si="58"/>
        <v>-40.438652585450313</v>
      </c>
      <c r="AZ231" s="41">
        <f t="shared" si="58"/>
        <v>-40.883564262401137</v>
      </c>
    </row>
    <row r="232" spans="1:52" x14ac:dyDescent="0.2">
      <c r="A232" s="30">
        <v>702</v>
      </c>
      <c r="B232" s="31" t="s">
        <v>546</v>
      </c>
      <c r="C232" s="41">
        <v>-1209</v>
      </c>
      <c r="D232" s="41">
        <v>-478</v>
      </c>
      <c r="E232" s="73">
        <v>-751</v>
      </c>
      <c r="F232" s="73">
        <v>-1097</v>
      </c>
      <c r="G232" s="73">
        <v>-1763</v>
      </c>
      <c r="H232" s="41">
        <v>-3708</v>
      </c>
      <c r="I232" s="165">
        <v>-811.67093999999997</v>
      </c>
      <c r="J232" s="41">
        <v>-777.01756</v>
      </c>
      <c r="K232" s="41">
        <v>-1011.69052</v>
      </c>
      <c r="L232" s="41">
        <f>$L$5*'7.1. Nettoinvestointiennuste '!Y232</f>
        <v>-1411.7101635469878</v>
      </c>
      <c r="M232" s="41">
        <f>$M$5*'7.1. Nettoinvestointiennuste '!Y232</f>
        <v>-1472.2133629505465</v>
      </c>
      <c r="N232" s="41">
        <f>$N$5*'7.1. Nettoinvestointiennuste '!Y232</f>
        <v>-1524.1738858279543</v>
      </c>
      <c r="O232" s="41">
        <f>O$5*'7.1. Nettoinvestointiennuste '!$Y232</f>
        <v>-1592.1156739690673</v>
      </c>
      <c r="P232" s="41">
        <f>P$5*'7.1. Nettoinvestointiennuste '!$Y232</f>
        <v>-1658.2134564475966</v>
      </c>
      <c r="T232" s="34">
        <v>702</v>
      </c>
      <c r="U232" s="88" t="s">
        <v>546</v>
      </c>
      <c r="V232" s="41">
        <f>C232/'1. Väestöennuste'!E232*1000</f>
        <v>-261.51849448410127</v>
      </c>
      <c r="W232" s="41">
        <f>D232/'1. Väestöennuste'!F232*1000</f>
        <v>-104.70974808324206</v>
      </c>
      <c r="X232" s="41">
        <f>E232/'1. Väestöennuste'!G232*1000</f>
        <v>-168.42341332137249</v>
      </c>
      <c r="Y232" s="41">
        <f>F232/'1. Väestöennuste'!H232*1000</f>
        <v>-249.43155979990905</v>
      </c>
      <c r="Z232" s="41">
        <f>G232/'1. Väestöennuste'!I232*1000</f>
        <v>-411.62736399719824</v>
      </c>
      <c r="AA232" s="41">
        <f>H232/'1. Väestöennuste'!J232*1000</f>
        <v>-879.71530249110322</v>
      </c>
      <c r="AB232" s="41">
        <f>I232/'1. Väestöennuste'!K232*1000</f>
        <v>-195.34799999999998</v>
      </c>
      <c r="AC232" s="41">
        <f>J232/'1. Väestöennuste'!L232*1000</f>
        <v>-188.87155080213904</v>
      </c>
      <c r="AD232" s="41">
        <f>K232/'1. Väestöennuste'!M232*1000</f>
        <v>-245.31777885548013</v>
      </c>
      <c r="AE232" s="41">
        <f>L232/'1. Väestöennuste'!N232*1000</f>
        <v>-361.69873521572839</v>
      </c>
      <c r="AF232" s="41">
        <f>M232/'1. Väestöennuste'!O232*1000</f>
        <v>-383.18931883148014</v>
      </c>
      <c r="AG232" s="41">
        <f>N232/'1. Väestöennuste'!P232*1000</f>
        <v>-402.3690300496184</v>
      </c>
      <c r="AH232" s="41">
        <f>O232/'1. Väestöennuste'!Q232*1000</f>
        <v>-425.92714659418601</v>
      </c>
      <c r="AI232" s="41">
        <f>P232/'1. Väestöennuste'!R232*1000</f>
        <v>-449.13690586337935</v>
      </c>
      <c r="AK232" s="34">
        <v>702</v>
      </c>
      <c r="AL232" s="88" t="s">
        <v>546</v>
      </c>
      <c r="AM232" s="41"/>
      <c r="AN232" s="41">
        <f t="shared" si="48"/>
        <v>156.80874640085921</v>
      </c>
      <c r="AO232" s="41">
        <f t="shared" si="49"/>
        <v>-63.713665238130432</v>
      </c>
      <c r="AP232" s="41">
        <f t="shared" si="50"/>
        <v>-81.00814647853656</v>
      </c>
      <c r="AQ232" s="41">
        <f t="shared" si="51"/>
        <v>-162.19580419728919</v>
      </c>
      <c r="AR232" s="41">
        <f t="shared" si="52"/>
        <v>-468.08793849390497</v>
      </c>
      <c r="AS232" s="41">
        <f t="shared" si="53"/>
        <v>684.36730249110326</v>
      </c>
      <c r="AT232" s="41">
        <f t="shared" si="54"/>
        <v>6.4764491978609442</v>
      </c>
      <c r="AU232" s="41">
        <f t="shared" si="55"/>
        <v>-56.446228053341088</v>
      </c>
      <c r="AV232" s="41">
        <f t="shared" si="56"/>
        <v>-116.38095636024826</v>
      </c>
      <c r="AW232" s="41">
        <f t="shared" si="57"/>
        <v>-21.490583615751746</v>
      </c>
      <c r="AX232" s="41">
        <f t="shared" si="58"/>
        <v>-19.179711218138266</v>
      </c>
      <c r="AY232" s="41">
        <f t="shared" si="58"/>
        <v>-23.558116544567611</v>
      </c>
      <c r="AZ232" s="41">
        <f t="shared" si="58"/>
        <v>-23.209759269193341</v>
      </c>
    </row>
    <row r="233" spans="1:52" x14ac:dyDescent="0.2">
      <c r="A233" s="30">
        <v>704</v>
      </c>
      <c r="B233" s="31" t="s">
        <v>547</v>
      </c>
      <c r="C233" s="41">
        <v>-575</v>
      </c>
      <c r="D233" s="41">
        <v>454</v>
      </c>
      <c r="E233" s="73">
        <v>189</v>
      </c>
      <c r="F233" s="73">
        <v>-772</v>
      </c>
      <c r="G233" s="73">
        <v>-3929</v>
      </c>
      <c r="H233" s="41">
        <v>-515</v>
      </c>
      <c r="I233" s="165">
        <v>-1915.62601</v>
      </c>
      <c r="J233" s="41">
        <v>-2860.0491099999999</v>
      </c>
      <c r="K233" s="41">
        <v>-2353.7813799999999</v>
      </c>
      <c r="L233" s="41">
        <f>$L$5*'7.1. Nettoinvestointiennuste '!Y233</f>
        <v>-2810.0619142353125</v>
      </c>
      <c r="M233" s="41">
        <f>$M$5*'7.1. Nettoinvestointiennuste '!Y233</f>
        <v>-2930.4957969992843</v>
      </c>
      <c r="N233" s="41">
        <f>$N$5*'7.1. Nettoinvestointiennuste '!Y233</f>
        <v>-3033.9251624256081</v>
      </c>
      <c r="O233" s="41">
        <f>O$5*'7.1. Nettoinvestointiennuste '!$Y233</f>
        <v>-3169.1658344631946</v>
      </c>
      <c r="P233" s="41">
        <f>P$5*'7.1. Nettoinvestointiennuste '!$Y233</f>
        <v>-3300.7359442169186</v>
      </c>
      <c r="T233" s="34">
        <v>704</v>
      </c>
      <c r="U233" s="88" t="s">
        <v>547</v>
      </c>
      <c r="V233" s="41">
        <f>C233/'1. Väestöennuste'!E233*1000</f>
        <v>-94.10801963993454</v>
      </c>
      <c r="W233" s="41">
        <f>D233/'1. Väestöennuste'!F233*1000</f>
        <v>73.977513443050356</v>
      </c>
      <c r="X233" s="41">
        <f>E233/'1. Väestöennuste'!G233*1000</f>
        <v>30.177231358773749</v>
      </c>
      <c r="Y233" s="41">
        <f>F233/'1. Väestöennuste'!H233*1000</f>
        <v>-123.50023996160614</v>
      </c>
      <c r="Z233" s="41">
        <f>G233/'1. Väestöennuste'!I233*1000</f>
        <v>-620.9894104630946</v>
      </c>
      <c r="AA233" s="41">
        <f>H233/'1. Väestöennuste'!J233*1000</f>
        <v>-81.051306263770854</v>
      </c>
      <c r="AB233" s="41">
        <f>I233/'1. Väestöennuste'!K233*1000</f>
        <v>-300.30192976955635</v>
      </c>
      <c r="AC233" s="41">
        <f>J233/'1. Väestöennuste'!L233*1000</f>
        <v>-444.93607809583074</v>
      </c>
      <c r="AD233" s="41">
        <f>K233/'1. Väestöennuste'!M233*1000</f>
        <v>-365.72115910503419</v>
      </c>
      <c r="AE233" s="41">
        <f>L233/'1. Väestöennuste'!N233*1000</f>
        <v>-427.38584246924904</v>
      </c>
      <c r="AF233" s="41">
        <f>M233/'1. Väestöennuste'!O233*1000</f>
        <v>-441.67231303681751</v>
      </c>
      <c r="AG233" s="41">
        <f>N233/'1. Väestöennuste'!P233*1000</f>
        <v>-453.43374120843043</v>
      </c>
      <c r="AH233" s="41">
        <f>O233/'1. Väestöennuste'!Q233*1000</f>
        <v>-469.71481168863124</v>
      </c>
      <c r="AI233" s="41">
        <f>P233/'1. Väestöennuste'!R233*1000</f>
        <v>-485.61658734984826</v>
      </c>
      <c r="AK233" s="34">
        <v>704</v>
      </c>
      <c r="AL233" s="88" t="s">
        <v>547</v>
      </c>
      <c r="AM233" s="41"/>
      <c r="AN233" s="41">
        <f t="shared" si="48"/>
        <v>168.08553308298491</v>
      </c>
      <c r="AO233" s="41">
        <f t="shared" si="49"/>
        <v>-43.800282084276603</v>
      </c>
      <c r="AP233" s="41">
        <f t="shared" si="50"/>
        <v>-153.67747132037988</v>
      </c>
      <c r="AQ233" s="41">
        <f t="shared" si="51"/>
        <v>-497.48917050148845</v>
      </c>
      <c r="AR233" s="41">
        <f t="shared" si="52"/>
        <v>539.93810419932379</v>
      </c>
      <c r="AS233" s="41">
        <f t="shared" si="53"/>
        <v>-219.25062350578548</v>
      </c>
      <c r="AT233" s="41">
        <f t="shared" si="54"/>
        <v>-144.63414832627438</v>
      </c>
      <c r="AU233" s="41">
        <f t="shared" si="55"/>
        <v>79.214918990796548</v>
      </c>
      <c r="AV233" s="41">
        <f t="shared" si="56"/>
        <v>-61.664683364214852</v>
      </c>
      <c r="AW233" s="41">
        <f t="shared" si="57"/>
        <v>-14.286470567568472</v>
      </c>
      <c r="AX233" s="41">
        <f t="shared" si="58"/>
        <v>-11.76142817161292</v>
      </c>
      <c r="AY233" s="41">
        <f t="shared" si="58"/>
        <v>-16.28107048020081</v>
      </c>
      <c r="AZ233" s="41">
        <f t="shared" si="58"/>
        <v>-15.901775661217016</v>
      </c>
    </row>
    <row r="234" spans="1:52" x14ac:dyDescent="0.2">
      <c r="A234" s="30">
        <v>707</v>
      </c>
      <c r="B234" s="31" t="s">
        <v>548</v>
      </c>
      <c r="C234" s="41">
        <v>6681</v>
      </c>
      <c r="D234" s="41">
        <v>-125</v>
      </c>
      <c r="E234" s="73">
        <v>-56</v>
      </c>
      <c r="F234" s="73">
        <v>-110</v>
      </c>
      <c r="G234" s="73">
        <v>-181</v>
      </c>
      <c r="H234" s="41">
        <v>-44</v>
      </c>
      <c r="I234" s="165">
        <v>-405.16300000000001</v>
      </c>
      <c r="J234" s="41">
        <v>866.83570999999995</v>
      </c>
      <c r="K234" s="41">
        <v>-435.26396999999997</v>
      </c>
      <c r="L234" s="41">
        <f>$L$5*'7.1. Nettoinvestointiennuste '!Y234</f>
        <v>-332.12453855969284</v>
      </c>
      <c r="M234" s="41">
        <f>$M$5*'7.1. Nettoinvestointiennuste '!Y234</f>
        <v>-346.3587614916886</v>
      </c>
      <c r="N234" s="41">
        <f>$N$5*'7.1. Nettoinvestointiennuste '!Y234</f>
        <v>-358.58320042369962</v>
      </c>
      <c r="O234" s="41">
        <f>O$5*'7.1. Nettoinvestointiennuste '!$Y234</f>
        <v>-374.56745527852871</v>
      </c>
      <c r="P234" s="41">
        <f>P$5*'7.1. Nettoinvestointiennuste '!$Y234</f>
        <v>-390.11788203917718</v>
      </c>
      <c r="T234" s="34">
        <v>707</v>
      </c>
      <c r="U234" s="88" t="s">
        <v>548</v>
      </c>
      <c r="V234" s="41">
        <f>C234/'1. Väestöennuste'!E234*1000</f>
        <v>2844.1890166028097</v>
      </c>
      <c r="W234" s="41">
        <f>D234/'1. Väestöennuste'!F234*1000</f>
        <v>-55.114638447971778</v>
      </c>
      <c r="X234" s="41">
        <f>E234/'1. Väestöennuste'!G234*1000</f>
        <v>-25</v>
      </c>
      <c r="Y234" s="41">
        <f>F234/'1. Väestöennuste'!H234*1000</f>
        <v>-50.435580009170103</v>
      </c>
      <c r="Z234" s="41">
        <f>G234/'1. Väestöennuste'!I234*1000</f>
        <v>-85.136406396989642</v>
      </c>
      <c r="AA234" s="41">
        <f>H234/'1. Väestöennuste'!J234*1000</f>
        <v>-21.297192642787994</v>
      </c>
      <c r="AB234" s="41">
        <f>I234/'1. Väestöennuste'!K234*1000</f>
        <v>-199.39124015748033</v>
      </c>
      <c r="AC234" s="41">
        <f>J234/'1. Väestöennuste'!L234*1000</f>
        <v>442.26311734693871</v>
      </c>
      <c r="AD234" s="41">
        <f>K234/'1. Väestöennuste'!M234*1000</f>
        <v>-228.8454100946372</v>
      </c>
      <c r="AE234" s="41">
        <f>L234/'1. Väestöennuste'!N234*1000</f>
        <v>-174.25211886657547</v>
      </c>
      <c r="AF234" s="41">
        <f>M234/'1. Väestöennuste'!O234*1000</f>
        <v>-184.62620548597471</v>
      </c>
      <c r="AG234" s="41">
        <f>N234/'1. Väestöennuste'!P234*1000</f>
        <v>-194.14358441997814</v>
      </c>
      <c r="AH234" s="41">
        <f>O234/'1. Väestöennuste'!Q234*1000</f>
        <v>-205.91943665669527</v>
      </c>
      <c r="AI234" s="41">
        <f>P234/'1. Väestöennuste'!R234*1000</f>
        <v>-217.57829450037769</v>
      </c>
      <c r="AK234" s="34">
        <v>707</v>
      </c>
      <c r="AL234" s="88" t="s">
        <v>548</v>
      </c>
      <c r="AM234" s="41"/>
      <c r="AN234" s="41">
        <f t="shared" si="48"/>
        <v>-2899.3036550507813</v>
      </c>
      <c r="AO234" s="41">
        <f t="shared" si="49"/>
        <v>30.114638447971778</v>
      </c>
      <c r="AP234" s="41">
        <f t="shared" si="50"/>
        <v>-25.435580009170103</v>
      </c>
      <c r="AQ234" s="41">
        <f t="shared" si="51"/>
        <v>-34.700826387819539</v>
      </c>
      <c r="AR234" s="41">
        <f t="shared" si="52"/>
        <v>63.839213754201651</v>
      </c>
      <c r="AS234" s="41">
        <f t="shared" si="53"/>
        <v>-178.09404751469233</v>
      </c>
      <c r="AT234" s="41">
        <f t="shared" si="54"/>
        <v>641.65435750441907</v>
      </c>
      <c r="AU234" s="41">
        <f t="shared" si="55"/>
        <v>-671.10852744157592</v>
      </c>
      <c r="AV234" s="41">
        <f t="shared" si="56"/>
        <v>54.59329122806173</v>
      </c>
      <c r="AW234" s="41">
        <f t="shared" si="57"/>
        <v>-10.374086619399236</v>
      </c>
      <c r="AX234" s="41">
        <f t="shared" si="58"/>
        <v>-9.5173789340034318</v>
      </c>
      <c r="AY234" s="41">
        <f t="shared" si="58"/>
        <v>-11.775852236717128</v>
      </c>
      <c r="AZ234" s="41">
        <f t="shared" si="58"/>
        <v>-11.658857843682426</v>
      </c>
    </row>
    <row r="235" spans="1:52" x14ac:dyDescent="0.2">
      <c r="A235" s="30">
        <v>710</v>
      </c>
      <c r="B235" s="31" t="s">
        <v>549</v>
      </c>
      <c r="C235" s="41">
        <v>-7544</v>
      </c>
      <c r="D235" s="41">
        <v>-6623</v>
      </c>
      <c r="E235" s="73">
        <v>-1514</v>
      </c>
      <c r="F235" s="73">
        <v>-8445</v>
      </c>
      <c r="G235" s="73">
        <v>-10986</v>
      </c>
      <c r="H235" s="41">
        <v>-10062</v>
      </c>
      <c r="I235" s="165">
        <v>-8098.1957699999994</v>
      </c>
      <c r="J235" s="41">
        <v>-11248.736919999999</v>
      </c>
      <c r="K235" s="41">
        <v>-12641.963519999999</v>
      </c>
      <c r="L235" s="41">
        <f>$L$5*'7.1. Nettoinvestointiennuste '!Y235</f>
        <v>-16098.702429846207</v>
      </c>
      <c r="M235" s="41">
        <f>$M$5*'7.1. Nettoinvestointiennuste '!Y235</f>
        <v>-16788.662046488949</v>
      </c>
      <c r="N235" s="41">
        <f>$N$5*'7.1. Nettoinvestointiennuste '!Y235</f>
        <v>-17381.203644263427</v>
      </c>
      <c r="O235" s="41">
        <f>O$5*'7.1. Nettoinvestointiennuste '!$Y235</f>
        <v>-18155.990606969193</v>
      </c>
      <c r="P235" s="41">
        <f>P$5*'7.1. Nettoinvestointiennuste '!$Y235</f>
        <v>-18909.749104195689</v>
      </c>
      <c r="T235" s="34">
        <v>710</v>
      </c>
      <c r="U235" s="88" t="s">
        <v>549</v>
      </c>
      <c r="V235" s="41">
        <f>C235/'1. Väestöennuste'!E235*1000</f>
        <v>-265.58704453441294</v>
      </c>
      <c r="W235" s="41">
        <f>D235/'1. Väestöennuste'!F235*1000</f>
        <v>-235.88702496705488</v>
      </c>
      <c r="X235" s="41">
        <f>E235/'1. Väestöennuste'!G235*1000</f>
        <v>-54.360705181142507</v>
      </c>
      <c r="Y235" s="41">
        <f>F235/'1. Väestöennuste'!H235*1000</f>
        <v>-306.06697593505368</v>
      </c>
      <c r="Z235" s="41">
        <f>G235/'1. Väestöennuste'!I235*1000</f>
        <v>-398.96862289366646</v>
      </c>
      <c r="AA235" s="41">
        <f>H235/'1. Väestöennuste'!J235*1000</f>
        <v>-365.51874455100261</v>
      </c>
      <c r="AB235" s="41">
        <f>I235/'1. Väestöennuste'!K235*1000</f>
        <v>-294.65127965361665</v>
      </c>
      <c r="AC235" s="41">
        <f>J235/'1. Väestöennuste'!L235*1000</f>
        <v>-411.95110671647257</v>
      </c>
      <c r="AD235" s="41">
        <f>K235/'1. Väestöennuste'!M235*1000</f>
        <v>-464.62433459517069</v>
      </c>
      <c r="AE235" s="41">
        <f>L235/'1. Väestöennuste'!N235*1000</f>
        <v>-599.35601004639636</v>
      </c>
      <c r="AF235" s="41">
        <f>M235/'1. Väestöennuste'!O235*1000</f>
        <v>-628.57696081803692</v>
      </c>
      <c r="AG235" s="41">
        <f>N235/'1. Väestöennuste'!P235*1000</f>
        <v>-654.31424650893791</v>
      </c>
      <c r="AH235" s="41">
        <f>O235/'1. Väestöennuste'!Q235*1000</f>
        <v>-687.02427846404032</v>
      </c>
      <c r="AI235" s="41">
        <f>P235/'1. Väestöennuste'!R235*1000</f>
        <v>-719.08389185822296</v>
      </c>
      <c r="AK235" s="34">
        <v>710</v>
      </c>
      <c r="AL235" s="88" t="s">
        <v>549</v>
      </c>
      <c r="AM235" s="41"/>
      <c r="AN235" s="41">
        <f t="shared" si="48"/>
        <v>29.700019567358055</v>
      </c>
      <c r="AO235" s="41">
        <f t="shared" si="49"/>
        <v>181.52631978591239</v>
      </c>
      <c r="AP235" s="41">
        <f t="shared" si="50"/>
        <v>-251.70627075391116</v>
      </c>
      <c r="AQ235" s="41">
        <f t="shared" si="51"/>
        <v>-92.901646958612787</v>
      </c>
      <c r="AR235" s="41">
        <f t="shared" si="52"/>
        <v>33.449878342663851</v>
      </c>
      <c r="AS235" s="41">
        <f t="shared" si="53"/>
        <v>70.867464897385958</v>
      </c>
      <c r="AT235" s="41">
        <f t="shared" si="54"/>
        <v>-117.29982706285591</v>
      </c>
      <c r="AU235" s="41">
        <f t="shared" si="55"/>
        <v>-52.673227878698128</v>
      </c>
      <c r="AV235" s="41">
        <f t="shared" si="56"/>
        <v>-134.73167545122567</v>
      </c>
      <c r="AW235" s="41">
        <f t="shared" si="57"/>
        <v>-29.22095077164056</v>
      </c>
      <c r="AX235" s="41">
        <f t="shared" si="58"/>
        <v>-25.73728569090099</v>
      </c>
      <c r="AY235" s="41">
        <f t="shared" si="58"/>
        <v>-32.710031955102409</v>
      </c>
      <c r="AZ235" s="41">
        <f t="shared" si="58"/>
        <v>-32.059613394182634</v>
      </c>
    </row>
    <row r="236" spans="1:52" x14ac:dyDescent="0.2">
      <c r="A236" s="30">
        <v>729</v>
      </c>
      <c r="B236" s="31" t="s">
        <v>550</v>
      </c>
      <c r="C236" s="41">
        <v>-2688</v>
      </c>
      <c r="D236" s="41">
        <v>-2046</v>
      </c>
      <c r="E236" s="73">
        <v>5546</v>
      </c>
      <c r="F236" s="73">
        <v>-1561</v>
      </c>
      <c r="G236" s="73">
        <v>-1175</v>
      </c>
      <c r="H236" s="41">
        <v>-1065</v>
      </c>
      <c r="I236" s="165">
        <v>-367.26267999999999</v>
      </c>
      <c r="J236" s="41">
        <v>-1883.9446200000002</v>
      </c>
      <c r="K236" s="41">
        <v>152.10867000000002</v>
      </c>
      <c r="L236" s="41">
        <f>$L$5*'7.1. Nettoinvestointiennuste '!Y236</f>
        <v>-2842.0313220844191</v>
      </c>
      <c r="M236" s="41">
        <f>$M$5*'7.1. Nettoinvestointiennuste '!Y236</f>
        <v>-2963.8353525655739</v>
      </c>
      <c r="N236" s="41">
        <f>$N$5*'7.1. Nettoinvestointiennuste '!Y236</f>
        <v>-3068.4414093488167</v>
      </c>
      <c r="O236" s="41">
        <f>O$5*'7.1. Nettoinvestointiennuste '!$Y236</f>
        <v>-3205.2206824329692</v>
      </c>
      <c r="P236" s="41">
        <f>P$5*'7.1. Nettoinvestointiennuste '!$Y236</f>
        <v>-3338.2876341168158</v>
      </c>
      <c r="T236" s="34">
        <v>729</v>
      </c>
      <c r="U236" s="88" t="s">
        <v>550</v>
      </c>
      <c r="V236" s="41">
        <f>C236/'1. Väestöennuste'!E236*1000</f>
        <v>-271.10438729198182</v>
      </c>
      <c r="W236" s="41">
        <f>D236/'1. Väestöennuste'!F236*1000</f>
        <v>-211.14551083591331</v>
      </c>
      <c r="X236" s="41">
        <f>E236/'1. Väestöennuste'!G236*1000</f>
        <v>578.37105016164355</v>
      </c>
      <c r="Y236" s="41">
        <f>F236/'1. Väestöennuste'!H236*1000</f>
        <v>-165.79925650557621</v>
      </c>
      <c r="Z236" s="41">
        <f>G236/'1. Väestöennuste'!I236*1000</f>
        <v>-126.22193576109142</v>
      </c>
      <c r="AA236" s="41">
        <f>H236/'1. Väestöennuste'!J236*1000</f>
        <v>-115.66029539530842</v>
      </c>
      <c r="AB236" s="41">
        <f>I236/'1. Väestöennuste'!K236*1000</f>
        <v>-40.283281781287705</v>
      </c>
      <c r="AC236" s="41">
        <f>J236/'1. Väestöennuste'!L236*1000</f>
        <v>-209.91026406685239</v>
      </c>
      <c r="AD236" s="41">
        <f>K236/'1. Väestöennuste'!M236*1000</f>
        <v>17.193248558833506</v>
      </c>
      <c r="AE236" s="41">
        <f>L236/'1. Väestöennuste'!N236*1000</f>
        <v>-326.07059684309536</v>
      </c>
      <c r="AF236" s="41">
        <f>M236/'1. Väestöennuste'!O236*1000</f>
        <v>-344.55188939381236</v>
      </c>
      <c r="AG236" s="41">
        <f>N236/'1. Väestöennuste'!P236*1000</f>
        <v>-361.46087988559509</v>
      </c>
      <c r="AH236" s="41">
        <f>O236/'1. Väestöennuste'!Q236*1000</f>
        <v>-382.39330499080995</v>
      </c>
      <c r="AI236" s="41">
        <f>P236/'1. Väestöennuste'!R236*1000</f>
        <v>-403.2722437928021</v>
      </c>
      <c r="AK236" s="34">
        <v>729</v>
      </c>
      <c r="AL236" s="88" t="s">
        <v>550</v>
      </c>
      <c r="AM236" s="41"/>
      <c r="AN236" s="41">
        <f t="shared" si="48"/>
        <v>59.958876456068509</v>
      </c>
      <c r="AO236" s="41">
        <f t="shared" si="49"/>
        <v>789.51656099755689</v>
      </c>
      <c r="AP236" s="41">
        <f t="shared" si="50"/>
        <v>-744.17030666721973</v>
      </c>
      <c r="AQ236" s="41">
        <f t="shared" si="51"/>
        <v>39.577320744484794</v>
      </c>
      <c r="AR236" s="41">
        <f t="shared" si="52"/>
        <v>10.561640365782992</v>
      </c>
      <c r="AS236" s="41">
        <f t="shared" si="53"/>
        <v>75.377013614020711</v>
      </c>
      <c r="AT236" s="41">
        <f t="shared" si="54"/>
        <v>-169.62698228556468</v>
      </c>
      <c r="AU236" s="41">
        <f t="shared" si="55"/>
        <v>227.10351262568591</v>
      </c>
      <c r="AV236" s="41">
        <f t="shared" si="56"/>
        <v>-343.26384540192885</v>
      </c>
      <c r="AW236" s="41">
        <f t="shared" si="57"/>
        <v>-18.481292550717001</v>
      </c>
      <c r="AX236" s="41">
        <f t="shared" si="58"/>
        <v>-16.908990491782731</v>
      </c>
      <c r="AY236" s="41">
        <f t="shared" si="58"/>
        <v>-20.932425105214861</v>
      </c>
      <c r="AZ236" s="41">
        <f t="shared" si="58"/>
        <v>-20.878938801992149</v>
      </c>
    </row>
    <row r="237" spans="1:52" x14ac:dyDescent="0.2">
      <c r="A237" s="30">
        <v>732</v>
      </c>
      <c r="B237" s="31" t="s">
        <v>551</v>
      </c>
      <c r="C237" s="41">
        <v>-3314</v>
      </c>
      <c r="D237" s="41">
        <v>-726</v>
      </c>
      <c r="E237" s="73">
        <v>-1406</v>
      </c>
      <c r="F237" s="73">
        <v>-671</v>
      </c>
      <c r="G237" s="73">
        <v>1712</v>
      </c>
      <c r="H237" s="41">
        <v>-1768</v>
      </c>
      <c r="I237" s="165">
        <v>-2233.0240899999999</v>
      </c>
      <c r="J237" s="41">
        <v>-2497.84204</v>
      </c>
      <c r="K237" s="41">
        <v>-2491.0018799999998</v>
      </c>
      <c r="L237" s="41">
        <f>$L$5*'7.1. Nettoinvestointiennuste '!Y237</f>
        <v>-1958.4251307511934</v>
      </c>
      <c r="M237" s="41">
        <f>$M$5*'7.1. Nettoinvestointiennuste '!Y237</f>
        <v>-2042.3594887110919</v>
      </c>
      <c r="N237" s="41">
        <f>$N$5*'7.1. Nettoinvestointiennuste '!Y237</f>
        <v>-2114.4428358723885</v>
      </c>
      <c r="O237" s="41">
        <f>O$5*'7.1. Nettoinvestointiennuste '!$Y237</f>
        <v>-2208.6965352219859</v>
      </c>
      <c r="P237" s="41">
        <f>P$5*'7.1. Nettoinvestointiennuste '!$Y237</f>
        <v>-2300.3920982599643</v>
      </c>
      <c r="T237" s="34">
        <v>732</v>
      </c>
      <c r="U237" s="88" t="s">
        <v>551</v>
      </c>
      <c r="V237" s="41">
        <f>C237/'1. Väestöennuste'!E237*1000</f>
        <v>-889.18701368392806</v>
      </c>
      <c r="W237" s="41">
        <f>D237/'1. Väestöennuste'!F237*1000</f>
        <v>-198.74076101834109</v>
      </c>
      <c r="X237" s="41">
        <f>E237/'1. Väestöennuste'!G237*1000</f>
        <v>-393.28671328671328</v>
      </c>
      <c r="Y237" s="41">
        <f>F237/'1. Väestöennuste'!H237*1000</f>
        <v>-192.20853623603551</v>
      </c>
      <c r="Z237" s="41">
        <f>G237/'1. Väestöennuste'!I237*1000</f>
        <v>503.52941176470591</v>
      </c>
      <c r="AA237" s="41">
        <f>H237/'1. Väestöennuste'!J237*1000</f>
        <v>-518.93161138831806</v>
      </c>
      <c r="AB237" s="41">
        <f>I237/'1. Väestöennuste'!K237*1000</f>
        <v>-653.69557669789219</v>
      </c>
      <c r="AC237" s="41">
        <f>J237/'1. Väestöennuste'!L237*1000</f>
        <v>-748.7536091127098</v>
      </c>
      <c r="AD237" s="41">
        <f>K237/'1. Väestöennuste'!M237*1000</f>
        <v>-744.91683014354055</v>
      </c>
      <c r="AE237" s="41">
        <f>L237/'1. Väestöennuste'!N237*1000</f>
        <v>-617.02115020516487</v>
      </c>
      <c r="AF237" s="41">
        <f>M237/'1. Väestöennuste'!O237*1000</f>
        <v>-653.13702868918836</v>
      </c>
      <c r="AG237" s="41">
        <f>N237/'1. Väestöennuste'!P237*1000</f>
        <v>-686.28459457072006</v>
      </c>
      <c r="AH237" s="41">
        <f>O237/'1. Väestöennuste'!Q237*1000</f>
        <v>-727.02321765042325</v>
      </c>
      <c r="AI237" s="41">
        <f>P237/'1. Väestöennuste'!R237*1000</f>
        <v>-767.56493101767239</v>
      </c>
      <c r="AK237" s="34">
        <v>732</v>
      </c>
      <c r="AL237" s="88" t="s">
        <v>551</v>
      </c>
      <c r="AM237" s="41"/>
      <c r="AN237" s="41">
        <f t="shared" si="48"/>
        <v>690.44625266558694</v>
      </c>
      <c r="AO237" s="41">
        <f t="shared" si="49"/>
        <v>-194.54595226837219</v>
      </c>
      <c r="AP237" s="41">
        <f t="shared" si="50"/>
        <v>201.07817705067777</v>
      </c>
      <c r="AQ237" s="41">
        <f t="shared" si="51"/>
        <v>695.73794800074143</v>
      </c>
      <c r="AR237" s="41">
        <f t="shared" si="52"/>
        <v>-1022.4610231530239</v>
      </c>
      <c r="AS237" s="41">
        <f t="shared" si="53"/>
        <v>-134.76396530957413</v>
      </c>
      <c r="AT237" s="41">
        <f t="shared" si="54"/>
        <v>-95.058032414817603</v>
      </c>
      <c r="AU237" s="41">
        <f t="shared" si="55"/>
        <v>3.8367789691692451</v>
      </c>
      <c r="AV237" s="41">
        <f t="shared" si="56"/>
        <v>127.89567993837568</v>
      </c>
      <c r="AW237" s="41">
        <f t="shared" si="57"/>
        <v>-36.115878484023483</v>
      </c>
      <c r="AX237" s="41">
        <f t="shared" si="58"/>
        <v>-33.147565881531705</v>
      </c>
      <c r="AY237" s="41">
        <f t="shared" si="58"/>
        <v>-40.738623079703189</v>
      </c>
      <c r="AZ237" s="41">
        <f t="shared" si="58"/>
        <v>-40.541713367249145</v>
      </c>
    </row>
    <row r="238" spans="1:52" x14ac:dyDescent="0.2">
      <c r="A238" s="30">
        <v>734</v>
      </c>
      <c r="B238" s="31" t="s">
        <v>552</v>
      </c>
      <c r="C238" s="41">
        <v>-3396</v>
      </c>
      <c r="D238" s="41">
        <v>-14400</v>
      </c>
      <c r="E238" s="73">
        <v>-15064</v>
      </c>
      <c r="F238" s="73">
        <v>-12400</v>
      </c>
      <c r="G238" s="73">
        <v>-11714</v>
      </c>
      <c r="H238" s="41">
        <v>-13474</v>
      </c>
      <c r="I238" s="165">
        <v>-17943.141729999999</v>
      </c>
      <c r="J238" s="41">
        <v>-13049.586670000001</v>
      </c>
      <c r="K238" s="41">
        <v>-10598.539779999999</v>
      </c>
      <c r="L238" s="41">
        <f>$L$5*'7.1. Nettoinvestointiennuste '!Y238</f>
        <v>-17667.74210589498</v>
      </c>
      <c r="M238" s="41">
        <f>$M$5*'7.1. Nettoinvestointiennuste '!Y238</f>
        <v>-18424.947764142718</v>
      </c>
      <c r="N238" s="41">
        <f>$N$5*'7.1. Nettoinvestointiennuste '!Y238</f>
        <v>-19075.240679495058</v>
      </c>
      <c r="O238" s="41">
        <f>O$5*'7.1. Nettoinvestointiennuste '!$Y238</f>
        <v>-19925.541273828479</v>
      </c>
      <c r="P238" s="41">
        <f>P$5*'7.1. Nettoinvestointiennuste '!$Y238</f>
        <v>-20752.763889884489</v>
      </c>
      <c r="T238" s="34">
        <v>734</v>
      </c>
      <c r="U238" s="88" t="s">
        <v>552</v>
      </c>
      <c r="V238" s="41">
        <f>C238/'1. Väestöennuste'!E238*1000</f>
        <v>-63.017257376136577</v>
      </c>
      <c r="W238" s="41">
        <f>D238/'1. Väestöennuste'!F238*1000</f>
        <v>-268.9276509916707</v>
      </c>
      <c r="X238" s="41">
        <f>E238/'1. Väestöennuste'!G238*1000</f>
        <v>-284.31224520609993</v>
      </c>
      <c r="Y238" s="41">
        <f>F238/'1. Väestöennuste'!H238*1000</f>
        <v>-236.99852831559028</v>
      </c>
      <c r="Z238" s="41">
        <f>G238/'1. Väestöennuste'!I238*1000</f>
        <v>-225.99502247602879</v>
      </c>
      <c r="AA238" s="41">
        <f>H238/'1. Väestöennuste'!J238*1000</f>
        <v>-261.31647337186297</v>
      </c>
      <c r="AB238" s="41">
        <f>I238/'1. Väestöennuste'!K238*1000</f>
        <v>-349.08836050583659</v>
      </c>
      <c r="AC238" s="41">
        <f>J238/'1. Väestöennuste'!L238*1000</f>
        <v>-256.21083914161738</v>
      </c>
      <c r="AD238" s="41">
        <f>K238/'1. Väestöennuste'!M238*1000</f>
        <v>-207.40782348336592</v>
      </c>
      <c r="AE238" s="41">
        <f>L238/'1. Väestöennuste'!N238*1000</f>
        <v>-354.48209518057382</v>
      </c>
      <c r="AF238" s="41">
        <f>M238/'1. Väestöennuste'!O238*1000</f>
        <v>-372.64274258034783</v>
      </c>
      <c r="AG238" s="41">
        <f>N238/'1. Väestöennuste'!P238*1000</f>
        <v>-388.85415716022953</v>
      </c>
      <c r="AH238" s="41">
        <f>O238/'1. Väestöennuste'!Q238*1000</f>
        <v>-409.30838055562702</v>
      </c>
      <c r="AI238" s="41">
        <f>P238/'1. Väestöennuste'!R238*1000</f>
        <v>-429.49489620820981</v>
      </c>
      <c r="AK238" s="34">
        <v>734</v>
      </c>
      <c r="AL238" s="88" t="s">
        <v>552</v>
      </c>
      <c r="AM238" s="41"/>
      <c r="AN238" s="41">
        <f t="shared" si="48"/>
        <v>-205.91039361553413</v>
      </c>
      <c r="AO238" s="41">
        <f t="shared" si="49"/>
        <v>-15.384594214429228</v>
      </c>
      <c r="AP238" s="41">
        <f t="shared" si="50"/>
        <v>47.313716890509653</v>
      </c>
      <c r="AQ238" s="41">
        <f t="shared" si="51"/>
        <v>11.003505839561484</v>
      </c>
      <c r="AR238" s="41">
        <f t="shared" si="52"/>
        <v>-35.321450895834175</v>
      </c>
      <c r="AS238" s="41">
        <f t="shared" si="53"/>
        <v>-87.771887133973621</v>
      </c>
      <c r="AT238" s="41">
        <f t="shared" si="54"/>
        <v>92.877521364219206</v>
      </c>
      <c r="AU238" s="41">
        <f t="shared" si="55"/>
        <v>48.803015658251468</v>
      </c>
      <c r="AV238" s="41">
        <f t="shared" si="56"/>
        <v>-147.07427169720791</v>
      </c>
      <c r="AW238" s="41">
        <f t="shared" si="57"/>
        <v>-18.160647399774007</v>
      </c>
      <c r="AX238" s="41">
        <f t="shared" si="58"/>
        <v>-16.211414579881705</v>
      </c>
      <c r="AY238" s="41">
        <f t="shared" si="58"/>
        <v>-20.454223395397491</v>
      </c>
      <c r="AZ238" s="41">
        <f t="shared" si="58"/>
        <v>-20.186515652582784</v>
      </c>
    </row>
    <row r="239" spans="1:52" x14ac:dyDescent="0.2">
      <c r="A239" s="30">
        <v>738</v>
      </c>
      <c r="B239" s="31" t="s">
        <v>553</v>
      </c>
      <c r="C239" s="41">
        <v>-478</v>
      </c>
      <c r="D239" s="41">
        <v>-149</v>
      </c>
      <c r="E239" s="73">
        <v>-492</v>
      </c>
      <c r="F239" s="73">
        <v>-191</v>
      </c>
      <c r="G239" s="73">
        <v>-1451</v>
      </c>
      <c r="H239" s="41">
        <v>-3227</v>
      </c>
      <c r="I239" s="165">
        <v>-2220.4679999999998</v>
      </c>
      <c r="J239" s="41">
        <v>-864.04480000000001</v>
      </c>
      <c r="K239" s="41">
        <v>-445.95299999999997</v>
      </c>
      <c r="L239" s="41">
        <f>$L$5*'7.1. Nettoinvestointiennuste '!Y239</f>
        <v>-1406.2231430101547</v>
      </c>
      <c r="M239" s="41">
        <f>$M$5*'7.1. Nettoinvestointiennuste '!Y239</f>
        <v>-1466.4911792008643</v>
      </c>
      <c r="N239" s="41">
        <f>$N$5*'7.1. Nettoinvestointiennuste '!Y239</f>
        <v>-1518.2497424526389</v>
      </c>
      <c r="O239" s="41">
        <f>O$5*'7.1. Nettoinvestointiennuste '!$Y239</f>
        <v>-1585.9274551507424</v>
      </c>
      <c r="P239" s="41">
        <f>P$5*'7.1. Nettoinvestointiennuste '!$Y239</f>
        <v>-1651.7683294484964</v>
      </c>
      <c r="T239" s="34">
        <v>738</v>
      </c>
      <c r="U239" s="88" t="s">
        <v>553</v>
      </c>
      <c r="V239" s="41">
        <f>C239/'1. Väestöennuste'!E239*1000</f>
        <v>-158.33057303742962</v>
      </c>
      <c r="W239" s="41">
        <f>D239/'1. Väestöennuste'!F239*1000</f>
        <v>-48.900557925828679</v>
      </c>
      <c r="X239" s="41">
        <f>E239/'1. Väestöennuste'!G239*1000</f>
        <v>-163.61822414366478</v>
      </c>
      <c r="Y239" s="41">
        <f>F239/'1. Väestöennuste'!H239*1000</f>
        <v>-63.794255177020709</v>
      </c>
      <c r="Z239" s="41">
        <f>G239/'1. Väestöennuste'!I239*1000</f>
        <v>-492.69949066213917</v>
      </c>
      <c r="AA239" s="41">
        <f>H239/'1. Väestöennuste'!J239*1000</f>
        <v>-1093.8983050847457</v>
      </c>
      <c r="AB239" s="41">
        <f>I239/'1. Väestöennuste'!K239*1000</f>
        <v>-750.41162554917196</v>
      </c>
      <c r="AC239" s="41">
        <f>J239/'1. Väestöennuste'!L239*1000</f>
        <v>-296.21007884813167</v>
      </c>
      <c r="AD239" s="41">
        <f>K239/'1. Väestöennuste'!M239*1000</f>
        <v>-149.95057162071285</v>
      </c>
      <c r="AE239" s="41">
        <f>L239/'1. Väestöennuste'!N239*1000</f>
        <v>-484.90453207246713</v>
      </c>
      <c r="AF239" s="41">
        <f>M239/'1. Väestöennuste'!O239*1000</f>
        <v>-506.73503082268979</v>
      </c>
      <c r="AG239" s="41">
        <f>N239/'1. Väestöennuste'!P239*1000</f>
        <v>-525.34593164451167</v>
      </c>
      <c r="AH239" s="41">
        <f>O239/'1. Väestöennuste'!Q239*1000</f>
        <v>-550.47811702559613</v>
      </c>
      <c r="AI239" s="41">
        <f>P239/'1. Väestöennuste'!R239*1000</f>
        <v>-574.32834820879566</v>
      </c>
      <c r="AK239" s="34">
        <v>738</v>
      </c>
      <c r="AL239" s="88" t="s">
        <v>553</v>
      </c>
      <c r="AM239" s="41"/>
      <c r="AN239" s="41">
        <f t="shared" si="48"/>
        <v>109.43001511160094</v>
      </c>
      <c r="AO239" s="41">
        <f t="shared" si="49"/>
        <v>-114.7176662178361</v>
      </c>
      <c r="AP239" s="41">
        <f t="shared" si="50"/>
        <v>99.82396896664406</v>
      </c>
      <c r="AQ239" s="41">
        <f t="shared" si="51"/>
        <v>-428.90523548511845</v>
      </c>
      <c r="AR239" s="41">
        <f t="shared" si="52"/>
        <v>-601.19881442260657</v>
      </c>
      <c r="AS239" s="41">
        <f t="shared" si="53"/>
        <v>343.48667953557378</v>
      </c>
      <c r="AT239" s="41">
        <f t="shared" si="54"/>
        <v>454.20154670104029</v>
      </c>
      <c r="AU239" s="41">
        <f t="shared" si="55"/>
        <v>146.25950722741882</v>
      </c>
      <c r="AV239" s="41">
        <f t="shared" si="56"/>
        <v>-334.95396045175426</v>
      </c>
      <c r="AW239" s="41">
        <f t="shared" si="57"/>
        <v>-21.83049875022266</v>
      </c>
      <c r="AX239" s="41">
        <f t="shared" si="58"/>
        <v>-18.610900821821872</v>
      </c>
      <c r="AY239" s="41">
        <f t="shared" si="58"/>
        <v>-25.132185381084469</v>
      </c>
      <c r="AZ239" s="41">
        <f t="shared" si="58"/>
        <v>-23.850231183199526</v>
      </c>
    </row>
    <row r="240" spans="1:52" x14ac:dyDescent="0.2">
      <c r="A240" s="30">
        <v>739</v>
      </c>
      <c r="B240" s="31" t="s">
        <v>554</v>
      </c>
      <c r="C240" s="41">
        <v>-1180</v>
      </c>
      <c r="D240" s="41">
        <v>-1970</v>
      </c>
      <c r="E240" s="73">
        <v>-2787</v>
      </c>
      <c r="F240" s="73">
        <v>-1330</v>
      </c>
      <c r="G240" s="73">
        <v>-741</v>
      </c>
      <c r="H240" s="41">
        <v>-825</v>
      </c>
      <c r="I240" s="165">
        <v>-962.47358999999994</v>
      </c>
      <c r="J240" s="41">
        <v>-1032.24478</v>
      </c>
      <c r="K240" s="41">
        <v>-1375.2471699999999</v>
      </c>
      <c r="L240" s="41">
        <f>$L$5*'7.1. Nettoinvestointiennuste '!Y240</f>
        <v>-1365.4827968263219</v>
      </c>
      <c r="M240" s="41">
        <f>$M$5*'7.1. Nettoinvestointiennuste '!Y240</f>
        <v>-1424.0047796467438</v>
      </c>
      <c r="N240" s="41">
        <f>$N$5*'7.1. Nettoinvestointiennuste '!Y240</f>
        <v>-1474.2638214354158</v>
      </c>
      <c r="O240" s="41">
        <f>O$5*'7.1. Nettoinvestointiennuste '!$Y240</f>
        <v>-1539.9808115711326</v>
      </c>
      <c r="P240" s="41">
        <f>P$5*'7.1. Nettoinvestointiennuste '!$Y240</f>
        <v>-1603.9141792080341</v>
      </c>
      <c r="T240" s="34">
        <v>739</v>
      </c>
      <c r="U240" s="88" t="s">
        <v>554</v>
      </c>
      <c r="V240" s="41">
        <f>C240/'1. Väestöennuste'!E240*1000</f>
        <v>-326.59839468585659</v>
      </c>
      <c r="W240" s="41">
        <f>D240/'1. Väestöennuste'!F240*1000</f>
        <v>-557.4419920769667</v>
      </c>
      <c r="X240" s="41">
        <f>E240/'1. Väestöennuste'!G240*1000</f>
        <v>-800.86206896551721</v>
      </c>
      <c r="Y240" s="41">
        <f>F240/'1. Väestöennuste'!H240*1000</f>
        <v>-387.86818314377371</v>
      </c>
      <c r="Z240" s="41">
        <f>G240/'1. Väestöennuste'!I240*1000</f>
        <v>-219.0363582618977</v>
      </c>
      <c r="AA240" s="41">
        <f>H240/'1. Väestöennuste'!J240*1000</f>
        <v>-248.04570054119063</v>
      </c>
      <c r="AB240" s="41">
        <f>I240/'1. Väestöennuste'!K240*1000</f>
        <v>-295.14676172953079</v>
      </c>
      <c r="AC240" s="41">
        <f>J240/'1. Väestöennuste'!L240*1000</f>
        <v>-317.02849508599508</v>
      </c>
      <c r="AD240" s="41">
        <f>K240/'1. Väestöennuste'!M240*1000</f>
        <v>-427.6266075870646</v>
      </c>
      <c r="AE240" s="41">
        <f>L240/'1. Väestöennuste'!N240*1000</f>
        <v>-439.06199254865658</v>
      </c>
      <c r="AF240" s="41">
        <f>M240/'1. Väestöennuste'!O240*1000</f>
        <v>-464.90524963981187</v>
      </c>
      <c r="AG240" s="41">
        <f>N240/'1. Väestöennuste'!P240*1000</f>
        <v>-488.49033182087999</v>
      </c>
      <c r="AH240" s="41">
        <f>O240/'1. Väestöennuste'!Q240*1000</f>
        <v>-517.64060893147314</v>
      </c>
      <c r="AI240" s="41">
        <f>P240/'1. Väestöennuste'!R240*1000</f>
        <v>-546.85106689670442</v>
      </c>
      <c r="AK240" s="34">
        <v>739</v>
      </c>
      <c r="AL240" s="88" t="s">
        <v>554</v>
      </c>
      <c r="AM240" s="41"/>
      <c r="AN240" s="41">
        <f t="shared" si="48"/>
        <v>-230.84359739111011</v>
      </c>
      <c r="AO240" s="41">
        <f t="shared" si="49"/>
        <v>-243.42007688855051</v>
      </c>
      <c r="AP240" s="41">
        <f t="shared" si="50"/>
        <v>412.9938858217435</v>
      </c>
      <c r="AQ240" s="41">
        <f t="shared" si="51"/>
        <v>168.831824881876</v>
      </c>
      <c r="AR240" s="41">
        <f t="shared" si="52"/>
        <v>-29.009342279292923</v>
      </c>
      <c r="AS240" s="41">
        <f t="shared" si="53"/>
        <v>-47.101061188340168</v>
      </c>
      <c r="AT240" s="41">
        <f t="shared" si="54"/>
        <v>-21.881733356464281</v>
      </c>
      <c r="AU240" s="41">
        <f t="shared" si="55"/>
        <v>-110.59811250106952</v>
      </c>
      <c r="AV240" s="41">
        <f t="shared" si="56"/>
        <v>-11.435384961591978</v>
      </c>
      <c r="AW240" s="41">
        <f t="shared" si="57"/>
        <v>-25.843257091155294</v>
      </c>
      <c r="AX240" s="41">
        <f t="shared" si="58"/>
        <v>-23.585082181068117</v>
      </c>
      <c r="AY240" s="41">
        <f t="shared" si="58"/>
        <v>-29.150277110593152</v>
      </c>
      <c r="AZ240" s="41">
        <f t="shared" si="58"/>
        <v>-29.210457965231285</v>
      </c>
    </row>
    <row r="241" spans="1:52" x14ac:dyDescent="0.2">
      <c r="A241" s="30">
        <v>740</v>
      </c>
      <c r="B241" s="31" t="s">
        <v>555</v>
      </c>
      <c r="C241" s="41">
        <v>-7407</v>
      </c>
      <c r="D241" s="41">
        <v>-14280</v>
      </c>
      <c r="E241" s="73">
        <v>-6885</v>
      </c>
      <c r="F241" s="73">
        <v>-13849</v>
      </c>
      <c r="G241" s="73">
        <v>-9855</v>
      </c>
      <c r="H241" s="41">
        <v>-12975</v>
      </c>
      <c r="I241" s="165">
        <v>-15393.24048</v>
      </c>
      <c r="J241" s="41">
        <v>-25026.27577</v>
      </c>
      <c r="K241" s="41">
        <v>-20981.608840000001</v>
      </c>
      <c r="L241" s="41">
        <f>$L$5*'7.1. Nettoinvestointiennuste '!Y241</f>
        <v>-21483.128142662183</v>
      </c>
      <c r="M241" s="41">
        <f>$M$5*'7.1. Nettoinvestointiennuste '!Y241</f>
        <v>-22403.853954086455</v>
      </c>
      <c r="N241" s="41">
        <f>$N$5*'7.1. Nettoinvestointiennuste '!Y241</f>
        <v>-23194.578991108498</v>
      </c>
      <c r="O241" s="41">
        <f>O$5*'7.1. Nettoinvestointiennuste '!$Y241</f>
        <v>-24228.503785706431</v>
      </c>
      <c r="P241" s="41">
        <f>P$5*'7.1. Nettoinvestointiennuste '!$Y241</f>
        <v>-25234.36686411926</v>
      </c>
      <c r="T241" s="34">
        <v>740</v>
      </c>
      <c r="U241" s="88" t="s">
        <v>555</v>
      </c>
      <c r="V241" s="41">
        <f>C241/'1. Väestöennuste'!E241*1000</f>
        <v>-208.51279452748923</v>
      </c>
      <c r="W241" s="41">
        <f>D241/'1. Väestöennuste'!F241*1000</f>
        <v>-405.19834288632882</v>
      </c>
      <c r="X241" s="41">
        <f>E241/'1. Väestöennuste'!G241*1000</f>
        <v>-198.6210477729056</v>
      </c>
      <c r="Y241" s="41">
        <f>F241/'1. Väestöennuste'!H241*1000</f>
        <v>-412.03772574454791</v>
      </c>
      <c r="Z241" s="41">
        <f>G241/'1. Väestöennuste'!I241*1000</f>
        <v>-298.8718384181476</v>
      </c>
      <c r="AA241" s="41">
        <f>H241/'1. Väestöennuste'!J241*1000</f>
        <v>-397.25062764068338</v>
      </c>
      <c r="AB241" s="41">
        <f>I241/'1. Väestöennuste'!K241*1000</f>
        <v>-472.95420407410819</v>
      </c>
      <c r="AC241" s="41">
        <f>J241/'1. Väestöennuste'!L241*1000</f>
        <v>-779.99924481845096</v>
      </c>
      <c r="AD241" s="41">
        <f>K241/'1. Väestöennuste'!M241*1000</f>
        <v>-658.9080438400905</v>
      </c>
      <c r="AE241" s="41">
        <f>L241/'1. Väestöennuste'!N241*1000</f>
        <v>-700.82625897638752</v>
      </c>
      <c r="AF241" s="41">
        <f>M241/'1. Väestöennuste'!O241*1000</f>
        <v>-741.67755666191465</v>
      </c>
      <c r="AG241" s="41">
        <f>N241/'1. Väestöennuste'!P241*1000</f>
        <v>-778.99509625889164</v>
      </c>
      <c r="AH241" s="41">
        <f>O241/'1. Väestöennuste'!Q241*1000</f>
        <v>-825.27773641618739</v>
      </c>
      <c r="AI241" s="41">
        <f>P241/'1. Väestöennuste'!R241*1000</f>
        <v>-871.50291362870871</v>
      </c>
      <c r="AK241" s="34">
        <v>740</v>
      </c>
      <c r="AL241" s="88" t="s">
        <v>555</v>
      </c>
      <c r="AM241" s="41"/>
      <c r="AN241" s="41">
        <f t="shared" si="48"/>
        <v>-196.68554835883958</v>
      </c>
      <c r="AO241" s="41">
        <f t="shared" si="49"/>
        <v>206.57729511342322</v>
      </c>
      <c r="AP241" s="41">
        <f t="shared" si="50"/>
        <v>-213.41667797164232</v>
      </c>
      <c r="AQ241" s="41">
        <f t="shared" si="51"/>
        <v>113.16588732640031</v>
      </c>
      <c r="AR241" s="41">
        <f t="shared" si="52"/>
        <v>-98.378789222535772</v>
      </c>
      <c r="AS241" s="41">
        <f t="shared" si="53"/>
        <v>-75.703576433424814</v>
      </c>
      <c r="AT241" s="41">
        <f t="shared" si="54"/>
        <v>-307.04504074434277</v>
      </c>
      <c r="AU241" s="41">
        <f t="shared" si="55"/>
        <v>121.09120097836046</v>
      </c>
      <c r="AV241" s="41">
        <f t="shared" si="56"/>
        <v>-41.918215136297022</v>
      </c>
      <c r="AW241" s="41">
        <f t="shared" si="57"/>
        <v>-40.851297685527129</v>
      </c>
      <c r="AX241" s="41">
        <f t="shared" si="58"/>
        <v>-37.317539596976985</v>
      </c>
      <c r="AY241" s="41">
        <f t="shared" si="58"/>
        <v>-46.282640157295759</v>
      </c>
      <c r="AZ241" s="41">
        <f t="shared" si="58"/>
        <v>-46.225177212521317</v>
      </c>
    </row>
    <row r="242" spans="1:52" x14ac:dyDescent="0.2">
      <c r="A242" s="30">
        <v>742</v>
      </c>
      <c r="B242" s="31" t="s">
        <v>556</v>
      </c>
      <c r="C242" s="41">
        <v>116</v>
      </c>
      <c r="D242" s="41">
        <v>-50</v>
      </c>
      <c r="E242" s="73">
        <v>-872</v>
      </c>
      <c r="F242" s="73">
        <v>-211</v>
      </c>
      <c r="G242" s="73">
        <v>-44</v>
      </c>
      <c r="H242" s="41">
        <v>-300</v>
      </c>
      <c r="I242" s="165">
        <v>-12.121690000000001</v>
      </c>
      <c r="J242" s="41">
        <v>-368.21</v>
      </c>
      <c r="K242" s="41">
        <v>-370.79124000000002</v>
      </c>
      <c r="L242" s="41">
        <f>$L$5*'7.1. Nettoinvestointiennuste '!Y242</f>
        <v>-471.73600258812905</v>
      </c>
      <c r="M242" s="41">
        <f>$M$5*'7.1. Nettoinvestointiennuste '!Y242</f>
        <v>-491.95370602855434</v>
      </c>
      <c r="N242" s="41">
        <f>$N$5*'7.1. Nettoinvestointiennuste '!Y242</f>
        <v>-509.316795129642</v>
      </c>
      <c r="O242" s="41">
        <f>O$5*'7.1. Nettoinvestointiennuste '!$Y242</f>
        <v>-532.02017176741413</v>
      </c>
      <c r="P242" s="41">
        <f>P$5*'7.1. Nettoinvestointiennuste '!$Y242</f>
        <v>-554.10735686496844</v>
      </c>
      <c r="T242" s="34">
        <v>742</v>
      </c>
      <c r="U242" s="88" t="s">
        <v>556</v>
      </c>
      <c r="V242" s="41">
        <f>C242/'1. Väestöennuste'!E242*1000</f>
        <v>109.33081998114987</v>
      </c>
      <c r="W242" s="41">
        <f>D242/'1. Väestöennuste'!F242*1000</f>
        <v>-47.892720306513411</v>
      </c>
      <c r="X242" s="41">
        <f>E242/'1. Väestöennuste'!G242*1000</f>
        <v>-861.66007905138338</v>
      </c>
      <c r="Y242" s="41">
        <f>F242/'1. Väestöennuste'!H242*1000</f>
        <v>-207.88177339901478</v>
      </c>
      <c r="Z242" s="41">
        <f>G242/'1. Väestöennuste'!I242*1000</f>
        <v>-43.781094527363187</v>
      </c>
      <c r="AA242" s="41">
        <f>H242/'1. Väestöennuste'!J242*1000</f>
        <v>-297.32408325074334</v>
      </c>
      <c r="AB242" s="41">
        <f>I242/'1. Väestöennuste'!K242*1000</f>
        <v>-12.01356788899901</v>
      </c>
      <c r="AC242" s="41">
        <f>J242/'1. Väestöennuste'!L242*1000</f>
        <v>-372.68218623481778</v>
      </c>
      <c r="AD242" s="41">
        <f>K242/'1. Väestöennuste'!M242*1000</f>
        <v>-379.13214723926382</v>
      </c>
      <c r="AE242" s="41">
        <f>L242/'1. Väestöennuste'!N242*1000</f>
        <v>-482.84135372377591</v>
      </c>
      <c r="AF242" s="41">
        <f>M242/'1. Väestöennuste'!O242*1000</f>
        <v>-506.12521196353322</v>
      </c>
      <c r="AG242" s="41">
        <f>N242/'1. Väestöennuste'!P242*1000</f>
        <v>-526.69782329849227</v>
      </c>
      <c r="AH242" s="41">
        <f>O242/'1. Väestöennuste'!Q242*1000</f>
        <v>-551.88814498694421</v>
      </c>
      <c r="AI242" s="41">
        <f>P242/'1. Väestöennuste'!R242*1000</f>
        <v>-577.1951634010087</v>
      </c>
      <c r="AK242" s="34">
        <v>742</v>
      </c>
      <c r="AL242" s="88" t="s">
        <v>556</v>
      </c>
      <c r="AM242" s="41"/>
      <c r="AN242" s="41">
        <f t="shared" si="48"/>
        <v>-157.2235402876633</v>
      </c>
      <c r="AO242" s="41">
        <f t="shared" si="49"/>
        <v>-813.76735874486997</v>
      </c>
      <c r="AP242" s="41">
        <f t="shared" si="50"/>
        <v>653.77830565236854</v>
      </c>
      <c r="AQ242" s="41">
        <f t="shared" si="51"/>
        <v>164.10067887165158</v>
      </c>
      <c r="AR242" s="41">
        <f t="shared" si="52"/>
        <v>-253.54298872338015</v>
      </c>
      <c r="AS242" s="41">
        <f t="shared" si="53"/>
        <v>285.31051536174431</v>
      </c>
      <c r="AT242" s="41">
        <f t="shared" si="54"/>
        <v>-360.66861834581874</v>
      </c>
      <c r="AU242" s="41">
        <f t="shared" si="55"/>
        <v>-6.4499610044460383</v>
      </c>
      <c r="AV242" s="41">
        <f t="shared" si="56"/>
        <v>-103.70920648451209</v>
      </c>
      <c r="AW242" s="41">
        <f t="shared" si="57"/>
        <v>-23.283858239757308</v>
      </c>
      <c r="AX242" s="41">
        <f t="shared" si="58"/>
        <v>-20.572611334959049</v>
      </c>
      <c r="AY242" s="41">
        <f t="shared" si="58"/>
        <v>-25.190321688451945</v>
      </c>
      <c r="AZ242" s="41">
        <f t="shared" si="58"/>
        <v>-25.307018414064487</v>
      </c>
    </row>
    <row r="243" spans="1:52" x14ac:dyDescent="0.2">
      <c r="A243" s="30">
        <v>743</v>
      </c>
      <c r="B243" s="31" t="s">
        <v>557</v>
      </c>
      <c r="C243" s="41">
        <v>-35745</v>
      </c>
      <c r="D243" s="41">
        <v>-24936</v>
      </c>
      <c r="E243" s="73">
        <v>-38700</v>
      </c>
      <c r="F243" s="73">
        <v>-31083</v>
      </c>
      <c r="G243" s="73">
        <v>-37761</v>
      </c>
      <c r="H243" s="41">
        <v>-26595</v>
      </c>
      <c r="I243" s="165">
        <v>-26357.238989999998</v>
      </c>
      <c r="J243" s="41">
        <v>-8419.01541</v>
      </c>
      <c r="K243" s="41">
        <v>-38737.619679999996</v>
      </c>
      <c r="L243" s="41">
        <f>$L$5*'7.1. Nettoinvestointiennuste '!Y243</f>
        <v>-27299.461926912176</v>
      </c>
      <c r="M243" s="41">
        <f>$M$5*'7.1. Nettoinvestointiennuste '!Y243</f>
        <v>-28469.464687552394</v>
      </c>
      <c r="N243" s="41">
        <f>$N$5*'7.1. Nettoinvestointiennuste '!Y243</f>
        <v>-29474.270314530535</v>
      </c>
      <c r="O243" s="41">
        <f>O$5*'7.1. Nettoinvestointiennuste '!$Y243</f>
        <v>-30788.119507161151</v>
      </c>
      <c r="P243" s="41">
        <f>P$5*'7.1. Nettoinvestointiennuste '!$Y243</f>
        <v>-32066.30956544635</v>
      </c>
      <c r="T243" s="34">
        <v>743</v>
      </c>
      <c r="U243" s="88" t="s">
        <v>557</v>
      </c>
      <c r="V243" s="41">
        <f>C243/'1. Väestöennuste'!E243*1000</f>
        <v>-580.93612871769869</v>
      </c>
      <c r="W243" s="41">
        <f>D243/'1. Väestöennuste'!F243*1000</f>
        <v>-401.85650744536838</v>
      </c>
      <c r="X243" s="41">
        <f>E243/'1. Väestöennuste'!G243*1000</f>
        <v>-617.46122917863295</v>
      </c>
      <c r="Y243" s="41">
        <f>F243/'1. Väestöennuste'!H243*1000</f>
        <v>-491.13576033371254</v>
      </c>
      <c r="Z243" s="41">
        <f>G243/'1. Väestöennuste'!I243*1000</f>
        <v>-592.04151706621087</v>
      </c>
      <c r="AA243" s="41">
        <f>H243/'1. Väestöennuste'!J243*1000</f>
        <v>-414.70450647123033</v>
      </c>
      <c r="AB243" s="41">
        <f>I243/'1. Väestöennuste'!K243*1000</f>
        <v>-407.14963837740976</v>
      </c>
      <c r="AC243" s="41">
        <f>J243/'1. Väestöennuste'!L243*1000</f>
        <v>-128.882865300124</v>
      </c>
      <c r="AD243" s="41">
        <f>K243/'1. Väestöennuste'!M243*1000</f>
        <v>-585.51420314389361</v>
      </c>
      <c r="AE243" s="41">
        <f>L243/'1. Väestöennuste'!N243*1000</f>
        <v>-413.06494064022053</v>
      </c>
      <c r="AF243" s="41">
        <f>M243/'1. Väestöennuste'!O243*1000</f>
        <v>-428.20883940065266</v>
      </c>
      <c r="AG243" s="41">
        <f>N243/'1. Väestöennuste'!P243*1000</f>
        <v>-440.86860092035801</v>
      </c>
      <c r="AH243" s="41">
        <f>O243/'1. Väestöennuste'!Q243*1000</f>
        <v>-458.14290507962784</v>
      </c>
      <c r="AI243" s="41">
        <f>P243/'1. Väestöennuste'!R243*1000</f>
        <v>-474.94385872158227</v>
      </c>
      <c r="AK243" s="34">
        <v>743</v>
      </c>
      <c r="AL243" s="88" t="s">
        <v>557</v>
      </c>
      <c r="AM243" s="41"/>
      <c r="AN243" s="41">
        <f t="shared" si="48"/>
        <v>179.07962127233031</v>
      </c>
      <c r="AO243" s="41">
        <f t="shared" si="49"/>
        <v>-215.60472173326457</v>
      </c>
      <c r="AP243" s="41">
        <f t="shared" si="50"/>
        <v>126.32546884492041</v>
      </c>
      <c r="AQ243" s="41">
        <f t="shared" si="51"/>
        <v>-100.90575673249833</v>
      </c>
      <c r="AR243" s="41">
        <f t="shared" si="52"/>
        <v>177.33701059498054</v>
      </c>
      <c r="AS243" s="41">
        <f t="shared" si="53"/>
        <v>7.5548680938205734</v>
      </c>
      <c r="AT243" s="41">
        <f t="shared" si="54"/>
        <v>278.26677307728573</v>
      </c>
      <c r="AU243" s="41">
        <f t="shared" si="55"/>
        <v>-456.63133784376964</v>
      </c>
      <c r="AV243" s="41">
        <f t="shared" si="56"/>
        <v>172.44926250367308</v>
      </c>
      <c r="AW243" s="41">
        <f t="shared" si="57"/>
        <v>-15.143898760432137</v>
      </c>
      <c r="AX243" s="41">
        <f t="shared" si="58"/>
        <v>-12.659761519705341</v>
      </c>
      <c r="AY243" s="41">
        <f t="shared" si="58"/>
        <v>-17.274304159269832</v>
      </c>
      <c r="AZ243" s="41">
        <f t="shared" si="58"/>
        <v>-16.800953641954436</v>
      </c>
    </row>
    <row r="244" spans="1:52" x14ac:dyDescent="0.2">
      <c r="A244" s="30">
        <v>746</v>
      </c>
      <c r="B244" s="31" t="s">
        <v>558</v>
      </c>
      <c r="C244" s="41">
        <v>147</v>
      </c>
      <c r="D244" s="41">
        <v>-102</v>
      </c>
      <c r="E244" s="73">
        <v>-1978</v>
      </c>
      <c r="F244" s="73">
        <v>-4423</v>
      </c>
      <c r="G244" s="73">
        <v>-3232</v>
      </c>
      <c r="H244" s="41">
        <v>-210</v>
      </c>
      <c r="I244" s="165">
        <v>-267.83708000000001</v>
      </c>
      <c r="J244" s="41">
        <v>-2694.4752899999999</v>
      </c>
      <c r="K244" s="41">
        <v>-90.140749999999997</v>
      </c>
      <c r="L244" s="41">
        <f>$L$5*'7.1. Nettoinvestointiennuste '!Y244</f>
        <v>-918.24937767288634</v>
      </c>
      <c r="M244" s="41">
        <f>$M$5*'7.1. Nettoinvestointiennuste '!Y244</f>
        <v>-957.60379094702955</v>
      </c>
      <c r="N244" s="41">
        <f>$N$5*'7.1. Nettoinvestointiennuste '!Y244</f>
        <v>-991.40160513564251</v>
      </c>
      <c r="O244" s="41">
        <f>O$5*'7.1. Nettoinvestointiennuste '!$Y244</f>
        <v>-1035.5944616365894</v>
      </c>
      <c r="P244" s="41">
        <f>P$5*'7.1. Nettoinvestointiennuste '!$Y244</f>
        <v>-1078.5878813864124</v>
      </c>
      <c r="T244" s="34">
        <v>746</v>
      </c>
      <c r="U244" s="88" t="s">
        <v>558</v>
      </c>
      <c r="V244" s="41">
        <f>C244/'1. Väestöennuste'!E244*1000</f>
        <v>28.688524590163937</v>
      </c>
      <c r="W244" s="41">
        <f>D244/'1. Väestöennuste'!F244*1000</f>
        <v>-20.122312093115013</v>
      </c>
      <c r="X244" s="41">
        <f>E244/'1. Väestöennuste'!G244*1000</f>
        <v>-392.85004965243297</v>
      </c>
      <c r="Y244" s="41">
        <f>F244/'1. Väestöennuste'!H244*1000</f>
        <v>-888.15261044176702</v>
      </c>
      <c r="Z244" s="41">
        <f>G244/'1. Väestöennuste'!I244*1000</f>
        <v>-658.24847250509163</v>
      </c>
      <c r="AA244" s="41">
        <f>H244/'1. Väestöennuste'!J244*1000</f>
        <v>-43.442283822920977</v>
      </c>
      <c r="AB244" s="41">
        <f>I244/'1. Väestöennuste'!K244*1000</f>
        <v>-56.021142020497805</v>
      </c>
      <c r="AC244" s="41">
        <f>J244/'1. Väestöennuste'!L244*1000</f>
        <v>-569.05497148891243</v>
      </c>
      <c r="AD244" s="41">
        <f>K244/'1. Väestöennuste'!M244*1000</f>
        <v>-19.125981328241036</v>
      </c>
      <c r="AE244" s="41">
        <f>L244/'1. Väestöennuste'!N244*1000</f>
        <v>-200.88588441760805</v>
      </c>
      <c r="AF244" s="41">
        <f>M244/'1. Väestöennuste'!O244*1000</f>
        <v>-212.70630629654144</v>
      </c>
      <c r="AG244" s="41">
        <f>N244/'1. Väestöennuste'!P244*1000</f>
        <v>-223.74218125381233</v>
      </c>
      <c r="AH244" s="41">
        <f>O244/'1. Väestöennuste'!Q244*1000</f>
        <v>-237.30395546209655</v>
      </c>
      <c r="AI244" s="41">
        <f>P244/'1. Väestöennuste'!R244*1000</f>
        <v>-250.89273816850721</v>
      </c>
      <c r="AK244" s="34">
        <v>746</v>
      </c>
      <c r="AL244" s="88" t="s">
        <v>558</v>
      </c>
      <c r="AM244" s="41"/>
      <c r="AN244" s="41">
        <f t="shared" si="48"/>
        <v>-48.81083668327895</v>
      </c>
      <c r="AO244" s="41">
        <f t="shared" si="49"/>
        <v>-372.72773755931797</v>
      </c>
      <c r="AP244" s="41">
        <f t="shared" si="50"/>
        <v>-495.30256078933405</v>
      </c>
      <c r="AQ244" s="41">
        <f t="shared" si="51"/>
        <v>229.9041379366754</v>
      </c>
      <c r="AR244" s="41">
        <f t="shared" si="52"/>
        <v>614.80618868217061</v>
      </c>
      <c r="AS244" s="41">
        <f t="shared" si="53"/>
        <v>-12.578858197576828</v>
      </c>
      <c r="AT244" s="41">
        <f t="shared" si="54"/>
        <v>-513.03382946841464</v>
      </c>
      <c r="AU244" s="41">
        <f t="shared" si="55"/>
        <v>549.92899016067145</v>
      </c>
      <c r="AV244" s="41">
        <f t="shared" si="56"/>
        <v>-181.75990308936701</v>
      </c>
      <c r="AW244" s="41">
        <f t="shared" si="57"/>
        <v>-11.820421878933388</v>
      </c>
      <c r="AX244" s="41">
        <f t="shared" si="58"/>
        <v>-11.035874957270892</v>
      </c>
      <c r="AY244" s="41">
        <f t="shared" si="58"/>
        <v>-13.56177420828422</v>
      </c>
      <c r="AZ244" s="41">
        <f t="shared" si="58"/>
        <v>-13.588782706410655</v>
      </c>
    </row>
    <row r="245" spans="1:52" x14ac:dyDescent="0.2">
      <c r="A245" s="30">
        <v>747</v>
      </c>
      <c r="B245" s="31" t="s">
        <v>559</v>
      </c>
      <c r="C245" s="41">
        <v>-467</v>
      </c>
      <c r="D245" s="41">
        <v>-276</v>
      </c>
      <c r="E245" s="73">
        <v>-308</v>
      </c>
      <c r="F245" s="73">
        <v>-321</v>
      </c>
      <c r="G245" s="73">
        <v>-177</v>
      </c>
      <c r="H245" s="41">
        <v>-314</v>
      </c>
      <c r="I245" s="165">
        <v>-219.68149</v>
      </c>
      <c r="J245" s="41">
        <v>-777.58119999999997</v>
      </c>
      <c r="K245" s="41">
        <v>-95.191100000000006</v>
      </c>
      <c r="L245" s="41">
        <f>$L$5*'7.1. Nettoinvestointiennuste '!Y245</f>
        <v>-382.28647402740665</v>
      </c>
      <c r="M245" s="41">
        <f>$M$5*'7.1. Nettoinvestointiennuste '!Y245</f>
        <v>-398.670541638884</v>
      </c>
      <c r="N245" s="41">
        <f>$N$5*'7.1. Nettoinvestointiennuste '!Y245</f>
        <v>-412.74128051457217</v>
      </c>
      <c r="O245" s="41">
        <f>O$5*'7.1. Nettoinvestointiennuste '!$Y245</f>
        <v>-431.13969351623547</v>
      </c>
      <c r="P245" s="41">
        <f>P$5*'7.1. Nettoinvestointiennuste '!$Y245</f>
        <v>-449.03875584306581</v>
      </c>
      <c r="T245" s="34">
        <v>747</v>
      </c>
      <c r="U245" s="88" t="s">
        <v>559</v>
      </c>
      <c r="V245" s="41">
        <f>C245/'1. Väestöennuste'!E245*1000</f>
        <v>-305.82842174197771</v>
      </c>
      <c r="W245" s="41">
        <f>D245/'1. Väestöennuste'!F245*1000</f>
        <v>-184.73895582329317</v>
      </c>
      <c r="X245" s="41">
        <f>E245/'1. Väestöennuste'!G245*1000</f>
        <v>-208.67208672086721</v>
      </c>
      <c r="Y245" s="41">
        <f>F245/'1. Väestöennuste'!H245*1000</f>
        <v>-220.16460905349794</v>
      </c>
      <c r="Z245" s="41">
        <f>G245/'1. Väestöennuste'!I245*1000</f>
        <v>-123.17327766179541</v>
      </c>
      <c r="AA245" s="41">
        <f>H245/'1. Väestöennuste'!J245*1000</f>
        <v>-226.71480144404333</v>
      </c>
      <c r="AB245" s="41">
        <f>I245/'1. Väestöennuste'!K245*1000</f>
        <v>-162.48630917159761</v>
      </c>
      <c r="AC245" s="41">
        <f>J245/'1. Väestöennuste'!L245*1000</f>
        <v>-594.48103975535162</v>
      </c>
      <c r="AD245" s="41">
        <f>K245/'1. Väestöennuste'!M245*1000</f>
        <v>-74.19415432579892</v>
      </c>
      <c r="AE245" s="41">
        <f>L245/'1. Väestöennuste'!N245*1000</f>
        <v>-295.88736379830237</v>
      </c>
      <c r="AF245" s="41">
        <f>M245/'1. Väestöennuste'!O245*1000</f>
        <v>-312.68277775598744</v>
      </c>
      <c r="AG245" s="41">
        <f>N245/'1. Väestöennuste'!P245*1000</f>
        <v>-328.09322775403194</v>
      </c>
      <c r="AH245" s="41">
        <f>O245/'1. Väestöennuste'!Q245*1000</f>
        <v>-346.85413798570835</v>
      </c>
      <c r="AI245" s="41">
        <f>P245/'1. Väestöennuste'!R245*1000</f>
        <v>-366.56224966780883</v>
      </c>
      <c r="AK245" s="34">
        <v>747</v>
      </c>
      <c r="AL245" s="88" t="s">
        <v>559</v>
      </c>
      <c r="AM245" s="41"/>
      <c r="AN245" s="41">
        <f t="shared" si="48"/>
        <v>121.08946591868454</v>
      </c>
      <c r="AO245" s="41">
        <f t="shared" si="49"/>
        <v>-23.933130897574046</v>
      </c>
      <c r="AP245" s="41">
        <f t="shared" si="50"/>
        <v>-11.492522332630728</v>
      </c>
      <c r="AQ245" s="41">
        <f t="shared" si="51"/>
        <v>96.991331391702531</v>
      </c>
      <c r="AR245" s="41">
        <f t="shared" si="52"/>
        <v>-103.54152378224792</v>
      </c>
      <c r="AS245" s="41">
        <f t="shared" si="53"/>
        <v>64.22849227244572</v>
      </c>
      <c r="AT245" s="41">
        <f t="shared" si="54"/>
        <v>-431.99473058375401</v>
      </c>
      <c r="AU245" s="41">
        <f t="shared" si="55"/>
        <v>520.28688542955274</v>
      </c>
      <c r="AV245" s="41">
        <f t="shared" si="56"/>
        <v>-221.69320947250344</v>
      </c>
      <c r="AW245" s="41">
        <f t="shared" si="57"/>
        <v>-16.795413957685071</v>
      </c>
      <c r="AX245" s="41">
        <f t="shared" si="58"/>
        <v>-15.410449998044498</v>
      </c>
      <c r="AY245" s="41">
        <f t="shared" si="58"/>
        <v>-18.760910231676405</v>
      </c>
      <c r="AZ245" s="41">
        <f t="shared" si="58"/>
        <v>-19.70811168210048</v>
      </c>
    </row>
    <row r="246" spans="1:52" x14ac:dyDescent="0.2">
      <c r="A246" s="30">
        <v>748</v>
      </c>
      <c r="B246" s="31" t="s">
        <v>560</v>
      </c>
      <c r="C246" s="41">
        <v>-5957</v>
      </c>
      <c r="D246" s="41">
        <v>-3993</v>
      </c>
      <c r="E246" s="73">
        <v>-670</v>
      </c>
      <c r="F246" s="73">
        <v>-59</v>
      </c>
      <c r="G246" s="73">
        <v>-1132</v>
      </c>
      <c r="H246" s="41">
        <v>-282</v>
      </c>
      <c r="I246" s="165">
        <v>-504.08049999999997</v>
      </c>
      <c r="J246" s="41">
        <v>-3533.8708500000002</v>
      </c>
      <c r="K246" s="41">
        <v>-4089.5662000000002</v>
      </c>
      <c r="L246" s="41">
        <f>$L$5*'7.1. Nettoinvestointiennuste '!Y246</f>
        <v>-1516.9458583055061</v>
      </c>
      <c r="M246" s="41">
        <f>$M$5*'7.1. Nettoinvestointiennuste '!Y246</f>
        <v>-1581.9592584491015</v>
      </c>
      <c r="N246" s="41">
        <f>$N$5*'7.1. Nettoinvestointiennuste '!Y246</f>
        <v>-1637.793169693482</v>
      </c>
      <c r="O246" s="41">
        <f>O$5*'7.1. Nettoinvestointiennuste '!$Y246</f>
        <v>-1710.7996669107142</v>
      </c>
      <c r="P246" s="41">
        <f>P$5*'7.1. Nettoinvestointiennuste '!$Y246</f>
        <v>-1781.8246973759324</v>
      </c>
      <c r="T246" s="34">
        <v>748</v>
      </c>
      <c r="U246" s="88" t="s">
        <v>560</v>
      </c>
      <c r="V246" s="41">
        <f>C246/'1. Väestöennuste'!E246*1000</f>
        <v>-1089.8280278082693</v>
      </c>
      <c r="W246" s="41">
        <f>D246/'1. Väestöennuste'!F246*1000</f>
        <v>-744.12970555348488</v>
      </c>
      <c r="X246" s="41">
        <f>E246/'1. Väestöennuste'!G246*1000</f>
        <v>-125.39771663859256</v>
      </c>
      <c r="Y246" s="41">
        <f>F246/'1. Väestöennuste'!H246*1000</f>
        <v>-11.240236235473423</v>
      </c>
      <c r="Z246" s="41">
        <f>G246/'1. Väestöennuste'!I246*1000</f>
        <v>-220.01943634596697</v>
      </c>
      <c r="AA246" s="41">
        <f>H246/'1. Väestöennuste'!J246*1000</f>
        <v>-56.019070321811675</v>
      </c>
      <c r="AB246" s="41">
        <f>I246/'1. Väestöennuste'!K246*1000</f>
        <v>-100.25467382657119</v>
      </c>
      <c r="AC246" s="41">
        <f>J246/'1. Väestöennuste'!L246*1000</f>
        <v>-721.63995303246884</v>
      </c>
      <c r="AD246" s="41">
        <f>K246/'1. Väestöennuste'!M246*1000</f>
        <v>-845.47574943146583</v>
      </c>
      <c r="AE246" s="41">
        <f>L246/'1. Väestöennuste'!N246*1000</f>
        <v>-325.66463252587079</v>
      </c>
      <c r="AF246" s="41">
        <f>M246/'1. Väestöennuste'!O246*1000</f>
        <v>-345.85904207457401</v>
      </c>
      <c r="AG246" s="41">
        <f>N246/'1. Väestöennuste'!P246*1000</f>
        <v>-364.11586698387771</v>
      </c>
      <c r="AH246" s="41">
        <f>O246/'1. Väestöennuste'!Q246*1000</f>
        <v>-386.62139365213881</v>
      </c>
      <c r="AI246" s="41">
        <f>P246/'1. Väestöennuste'!R246*1000</f>
        <v>-409.2385616389372</v>
      </c>
      <c r="AK246" s="34">
        <v>748</v>
      </c>
      <c r="AL246" s="88" t="s">
        <v>560</v>
      </c>
      <c r="AM246" s="41"/>
      <c r="AN246" s="41">
        <f t="shared" si="48"/>
        <v>345.69832225478444</v>
      </c>
      <c r="AO246" s="41">
        <f t="shared" si="49"/>
        <v>618.73198891489233</v>
      </c>
      <c r="AP246" s="41">
        <f t="shared" si="50"/>
        <v>114.15748040311914</v>
      </c>
      <c r="AQ246" s="41">
        <f t="shared" si="51"/>
        <v>-208.77920011049355</v>
      </c>
      <c r="AR246" s="41">
        <f t="shared" si="52"/>
        <v>164.00036602415528</v>
      </c>
      <c r="AS246" s="41">
        <f t="shared" si="53"/>
        <v>-44.235603504759517</v>
      </c>
      <c r="AT246" s="41">
        <f t="shared" si="54"/>
        <v>-621.38527920589763</v>
      </c>
      <c r="AU246" s="41">
        <f t="shared" si="55"/>
        <v>-123.83579639899699</v>
      </c>
      <c r="AV246" s="41">
        <f t="shared" si="56"/>
        <v>519.8111169055951</v>
      </c>
      <c r="AW246" s="41">
        <f t="shared" si="57"/>
        <v>-20.19440954870322</v>
      </c>
      <c r="AX246" s="41">
        <f t="shared" si="58"/>
        <v>-18.256824909303702</v>
      </c>
      <c r="AY246" s="41">
        <f t="shared" si="58"/>
        <v>-22.505526668261098</v>
      </c>
      <c r="AZ246" s="41">
        <f t="shared" si="58"/>
        <v>-22.617167986798393</v>
      </c>
    </row>
    <row r="247" spans="1:52" x14ac:dyDescent="0.2">
      <c r="A247" s="30">
        <v>749</v>
      </c>
      <c r="B247" s="31" t="s">
        <v>561</v>
      </c>
      <c r="C247" s="41">
        <v>-6939</v>
      </c>
      <c r="D247" s="41">
        <v>-7524</v>
      </c>
      <c r="E247" s="73">
        <v>-10840</v>
      </c>
      <c r="F247" s="73">
        <v>-11959</v>
      </c>
      <c r="G247" s="73">
        <v>9434</v>
      </c>
      <c r="H247" s="41">
        <v>-609</v>
      </c>
      <c r="I247" s="165">
        <v>-2222.3589999999999</v>
      </c>
      <c r="J247" s="41">
        <v>-3738.4769999999999</v>
      </c>
      <c r="K247" s="41">
        <v>-6997.4962500000001</v>
      </c>
      <c r="L247" s="41">
        <f>$L$5*'7.1. Nettoinvestointiennuste '!Y247</f>
        <v>-4513.3289757795037</v>
      </c>
      <c r="M247" s="41">
        <f>$M$5*'7.1. Nettoinvestointiennuste '!Y247</f>
        <v>-4706.7616293415795</v>
      </c>
      <c r="N247" s="41">
        <f>$N$5*'7.1. Nettoinvestointiennuste '!Y247</f>
        <v>-4872.8827918541656</v>
      </c>
      <c r="O247" s="41">
        <f>O$5*'7.1. Nettoinvestointiennuste '!$Y247</f>
        <v>-5090.0970961792837</v>
      </c>
      <c r="P247" s="41">
        <f>P$5*'7.1. Nettoinvestointiennuste '!$Y247</f>
        <v>-5301.4159947735752</v>
      </c>
      <c r="T247" s="34">
        <v>749</v>
      </c>
      <c r="U247" s="88" t="s">
        <v>561</v>
      </c>
      <c r="V247" s="41">
        <f>C247/'1. Väestöennuste'!E247*1000</f>
        <v>-318.39038267413048</v>
      </c>
      <c r="W247" s="41">
        <f>D247/'1. Väestöennuste'!F247*1000</f>
        <v>-345.64498346196257</v>
      </c>
      <c r="X247" s="41">
        <f>E247/'1. Väestöennuste'!G247*1000</f>
        <v>-500.53100614120149</v>
      </c>
      <c r="Y247" s="41">
        <f>F247/'1. Väestöennuste'!H247*1000</f>
        <v>-551.76709421426597</v>
      </c>
      <c r="Z247" s="41">
        <f>G247/'1. Väestöennuste'!I247*1000</f>
        <v>440.36782896886524</v>
      </c>
      <c r="AA247" s="41">
        <f>H247/'1. Väestöennuste'!J247*1000</f>
        <v>-28.657474942355655</v>
      </c>
      <c r="AB247" s="41">
        <f>I247/'1. Väestöennuste'!K247*1000</f>
        <v>-104.37040341896397</v>
      </c>
      <c r="AC247" s="41">
        <f>J247/'1. Väestöennuste'!L247*1000</f>
        <v>-176.07747739261492</v>
      </c>
      <c r="AD247" s="41">
        <f>K247/'1. Väestöennuste'!M247*1000</f>
        <v>-328.67525833724756</v>
      </c>
      <c r="AE247" s="41">
        <f>L247/'1. Väestöennuste'!N247*1000</f>
        <v>-216.52892802626673</v>
      </c>
      <c r="AF247" s="41">
        <f>M247/'1. Väestöennuste'!O247*1000</f>
        <v>-226.9303133571949</v>
      </c>
      <c r="AG247" s="41">
        <f>N247/'1. Väestöennuste'!P247*1000</f>
        <v>-236.23807591284071</v>
      </c>
      <c r="AH247" s="41">
        <f>O247/'1. Väestöennuste'!Q247*1000</f>
        <v>-248.20056057047412</v>
      </c>
      <c r="AI247" s="41">
        <f>P247/'1. Väestöennuste'!R247*1000</f>
        <v>-260.03904423277459</v>
      </c>
      <c r="AK247" s="34">
        <v>749</v>
      </c>
      <c r="AL247" s="88" t="s">
        <v>561</v>
      </c>
      <c r="AM247" s="41"/>
      <c r="AN247" s="41">
        <f t="shared" si="48"/>
        <v>-27.254600787832089</v>
      </c>
      <c r="AO247" s="41">
        <f t="shared" si="49"/>
        <v>-154.88602267923892</v>
      </c>
      <c r="AP247" s="41">
        <f t="shared" si="50"/>
        <v>-51.236088073064479</v>
      </c>
      <c r="AQ247" s="41">
        <f t="shared" si="51"/>
        <v>992.13492318313115</v>
      </c>
      <c r="AR247" s="41">
        <f t="shared" si="52"/>
        <v>-469.02530391122087</v>
      </c>
      <c r="AS247" s="41">
        <f t="shared" si="53"/>
        <v>-75.712928476608312</v>
      </c>
      <c r="AT247" s="41">
        <f t="shared" si="54"/>
        <v>-71.707073973650949</v>
      </c>
      <c r="AU247" s="41">
        <f t="shared" si="55"/>
        <v>-152.59778094463263</v>
      </c>
      <c r="AV247" s="41">
        <f t="shared" si="56"/>
        <v>112.14633031098083</v>
      </c>
      <c r="AW247" s="41">
        <f t="shared" si="57"/>
        <v>-10.401385330928179</v>
      </c>
      <c r="AX247" s="41">
        <f t="shared" si="58"/>
        <v>-9.3077625556458088</v>
      </c>
      <c r="AY247" s="41">
        <f t="shared" si="58"/>
        <v>-11.962484657633411</v>
      </c>
      <c r="AZ247" s="41">
        <f t="shared" si="58"/>
        <v>-11.838483662300462</v>
      </c>
    </row>
    <row r="248" spans="1:52" x14ac:dyDescent="0.2">
      <c r="A248" s="30">
        <v>751</v>
      </c>
      <c r="B248" s="31" t="s">
        <v>562</v>
      </c>
      <c r="C248" s="41">
        <v>-553</v>
      </c>
      <c r="D248" s="41">
        <v>-780</v>
      </c>
      <c r="E248" s="73">
        <v>-715</v>
      </c>
      <c r="F248" s="73">
        <v>-722</v>
      </c>
      <c r="G248" s="73">
        <v>-1173</v>
      </c>
      <c r="H248" s="41">
        <v>-632</v>
      </c>
      <c r="I248" s="165">
        <v>-434.02012999999999</v>
      </c>
      <c r="J248" s="41">
        <v>-1139.5728300000001</v>
      </c>
      <c r="K248" s="41">
        <v>-2019.1019899999999</v>
      </c>
      <c r="L248" s="41">
        <f>$L$5*'7.1. Nettoinvestointiennuste '!Y248</f>
        <v>-2839.9099358656199</v>
      </c>
      <c r="M248" s="41">
        <f>$M$5*'7.1. Nettoinvestointiennuste '!Y248</f>
        <v>-2961.6230477880495</v>
      </c>
      <c r="N248" s="41">
        <f>$N$5*'7.1. Nettoinvestointiennuste '!Y248</f>
        <v>-3066.1510231491984</v>
      </c>
      <c r="O248" s="41">
        <f>O$5*'7.1. Nettoinvestointiennuste '!$Y248</f>
        <v>-3202.8281996580304</v>
      </c>
      <c r="P248" s="41">
        <f>P$5*'7.1. Nettoinvestointiennuste '!$Y248</f>
        <v>-3335.7958257660871</v>
      </c>
      <c r="T248" s="34">
        <v>751</v>
      </c>
      <c r="U248" s="88" t="s">
        <v>562</v>
      </c>
      <c r="V248" s="41">
        <f>C248/'1. Väestöennuste'!E248*1000</f>
        <v>-170.78443483631872</v>
      </c>
      <c r="W248" s="41">
        <f>D248/'1. Väestöennuste'!F248*1000</f>
        <v>-246.05678233438485</v>
      </c>
      <c r="X248" s="41">
        <f>E248/'1. Väestöennuste'!G248*1000</f>
        <v>-229.90353697749197</v>
      </c>
      <c r="Y248" s="41">
        <f>F248/'1. Väestöennuste'!H248*1000</f>
        <v>-237.11001642036126</v>
      </c>
      <c r="Z248" s="41">
        <f>G248/'1. Väestöennuste'!I248*1000</f>
        <v>-392.57028112449797</v>
      </c>
      <c r="AA248" s="41">
        <f>H248/'1. Väestöennuste'!J248*1000</f>
        <v>-214.23728813559322</v>
      </c>
      <c r="AB248" s="41">
        <f>I248/'1. Väestöennuste'!K248*1000</f>
        <v>-149.45596763085399</v>
      </c>
      <c r="AC248" s="41">
        <f>J248/'1. Väestöennuste'!L248*1000</f>
        <v>-396.0976120959333</v>
      </c>
      <c r="AD248" s="41">
        <f>K248/'1. Väestöennuste'!M248*1000</f>
        <v>-713.96817185289956</v>
      </c>
      <c r="AE248" s="41">
        <f>L248/'1. Väestöennuste'!N248*1000</f>
        <v>-1027.0922010363906</v>
      </c>
      <c r="AF248" s="41">
        <f>M248/'1. Väestöennuste'!O248*1000</f>
        <v>-1088.8320028632534</v>
      </c>
      <c r="AG248" s="41">
        <f>N248/'1. Väestöennuste'!P248*1000</f>
        <v>-1144.9406359780428</v>
      </c>
      <c r="AH248" s="41">
        <f>O248/'1. Väestöennuste'!Q248*1000</f>
        <v>-1212.7331312601402</v>
      </c>
      <c r="AI248" s="41">
        <f>P248/'1. Väestöennuste'!R248*1000</f>
        <v>-1282.9983945254182</v>
      </c>
      <c r="AK248" s="34">
        <v>751</v>
      </c>
      <c r="AL248" s="88" t="s">
        <v>562</v>
      </c>
      <c r="AM248" s="41"/>
      <c r="AN248" s="41">
        <f t="shared" si="48"/>
        <v>-75.272347498066125</v>
      </c>
      <c r="AO248" s="41">
        <f t="shared" si="49"/>
        <v>16.153245356892882</v>
      </c>
      <c r="AP248" s="41">
        <f t="shared" si="50"/>
        <v>-7.2064794428692949</v>
      </c>
      <c r="AQ248" s="41">
        <f t="shared" si="51"/>
        <v>-155.4602647041367</v>
      </c>
      <c r="AR248" s="41">
        <f t="shared" si="52"/>
        <v>178.33299298890475</v>
      </c>
      <c r="AS248" s="41">
        <f t="shared" si="53"/>
        <v>64.781320504739227</v>
      </c>
      <c r="AT248" s="41">
        <f t="shared" si="54"/>
        <v>-246.64164446507931</v>
      </c>
      <c r="AU248" s="41">
        <f t="shared" si="55"/>
        <v>-317.87055975696626</v>
      </c>
      <c r="AV248" s="41">
        <f t="shared" si="56"/>
        <v>-313.12402918349107</v>
      </c>
      <c r="AW248" s="41">
        <f t="shared" si="57"/>
        <v>-61.739801826862731</v>
      </c>
      <c r="AX248" s="41">
        <f t="shared" si="58"/>
        <v>-56.108633114789427</v>
      </c>
      <c r="AY248" s="41">
        <f t="shared" si="58"/>
        <v>-67.792495282097434</v>
      </c>
      <c r="AZ248" s="41">
        <f t="shared" si="58"/>
        <v>-70.265263265278008</v>
      </c>
    </row>
    <row r="249" spans="1:52" x14ac:dyDescent="0.2">
      <c r="A249" s="30">
        <v>753</v>
      </c>
      <c r="B249" s="31" t="s">
        <v>563</v>
      </c>
      <c r="C249" s="41">
        <v>-4090</v>
      </c>
      <c r="D249" s="41">
        <v>-14152</v>
      </c>
      <c r="E249" s="73">
        <v>-10729</v>
      </c>
      <c r="F249" s="73">
        <v>-28957</v>
      </c>
      <c r="G249" s="73">
        <v>-31377</v>
      </c>
      <c r="H249" s="41">
        <v>-19832</v>
      </c>
      <c r="I249" s="165">
        <v>-15053.18266</v>
      </c>
      <c r="J249" s="41">
        <v>-3576.4463300000002</v>
      </c>
      <c r="K249" s="41">
        <v>-11605.271869999999</v>
      </c>
      <c r="L249" s="41">
        <f>$L$5*'7.1. Nettoinvestointiennuste '!Y249</f>
        <v>-15926.236279023678</v>
      </c>
      <c r="M249" s="41">
        <f>$M$5*'7.1. Nettoinvestointiennuste '!Y249</f>
        <v>-16608.804326077261</v>
      </c>
      <c r="N249" s="41">
        <f>$N$5*'7.1. Nettoinvestointiennuste '!Y249</f>
        <v>-17194.997998047427</v>
      </c>
      <c r="O249" s="41">
        <f>O$5*'7.1. Nettoinvestointiennuste '!$Y249</f>
        <v>-17961.484631844847</v>
      </c>
      <c r="P249" s="41">
        <f>P$5*'7.1. Nettoinvestointiennuste '!$Y249</f>
        <v>-18707.168079095547</v>
      </c>
      <c r="T249" s="34">
        <v>753</v>
      </c>
      <c r="U249" s="88" t="s">
        <v>563</v>
      </c>
      <c r="V249" s="41">
        <f>C249/'1. Väestöennuste'!E249*1000</f>
        <v>-210.83561008299398</v>
      </c>
      <c r="W249" s="41">
        <f>D249/'1. Väestöennuste'!F249*1000</f>
        <v>-710.3704447344644</v>
      </c>
      <c r="X249" s="41">
        <f>E249/'1. Väestöennuste'!G249*1000</f>
        <v>-528.26193993106835</v>
      </c>
      <c r="Y249" s="41">
        <f>F249/'1. Väestöennuste'!H249*1000</f>
        <v>-1401.1903609793865</v>
      </c>
      <c r="Z249" s="41">
        <f>G249/'1. Väestöennuste'!I249*1000</f>
        <v>-1482.1445441662731</v>
      </c>
      <c r="AA249" s="41">
        <f>H249/'1. Väestöennuste'!J249*1000</f>
        <v>-914.46488679854292</v>
      </c>
      <c r="AB249" s="41">
        <f>I249/'1. Väestöennuste'!K249*1000</f>
        <v>-678.37686615592611</v>
      </c>
      <c r="AC249" s="41">
        <f>J249/'1. Väestöennuste'!L249*1000</f>
        <v>-160.23505062724016</v>
      </c>
      <c r="AD249" s="41">
        <f>K249/'1. Väestöennuste'!M249*1000</f>
        <v>-513.62123788448764</v>
      </c>
      <c r="AE249" s="41">
        <f>L249/'1. Väestöennuste'!N249*1000</f>
        <v>-685.29416002683638</v>
      </c>
      <c r="AF249" s="41">
        <f>M249/'1. Väestöennuste'!O249*1000</f>
        <v>-703.64363353996191</v>
      </c>
      <c r="AG249" s="41">
        <f>N249/'1. Väestöennuste'!P249*1000</f>
        <v>-717.65434048611962</v>
      </c>
      <c r="AH249" s="41">
        <f>O249/'1. Väestöennuste'!Q249*1000</f>
        <v>-739.09491530922753</v>
      </c>
      <c r="AI249" s="41">
        <f>P249/'1. Väestöennuste'!R249*1000</f>
        <v>-759.49689736898813</v>
      </c>
      <c r="AK249" s="34">
        <v>753</v>
      </c>
      <c r="AL249" s="88" t="s">
        <v>563</v>
      </c>
      <c r="AM249" s="41"/>
      <c r="AN249" s="41">
        <f t="shared" si="48"/>
        <v>-499.53483465147042</v>
      </c>
      <c r="AO249" s="41">
        <f t="shared" si="49"/>
        <v>182.10850480339604</v>
      </c>
      <c r="AP249" s="41">
        <f t="shared" si="50"/>
        <v>-872.92842104831811</v>
      </c>
      <c r="AQ249" s="41">
        <f t="shared" si="51"/>
        <v>-80.954183186886667</v>
      </c>
      <c r="AR249" s="41">
        <f t="shared" si="52"/>
        <v>567.67965736773021</v>
      </c>
      <c r="AS249" s="41">
        <f t="shared" si="53"/>
        <v>236.08802064261681</v>
      </c>
      <c r="AT249" s="41">
        <f t="shared" si="54"/>
        <v>518.14181552868592</v>
      </c>
      <c r="AU249" s="41">
        <f t="shared" si="55"/>
        <v>-353.38618725724746</v>
      </c>
      <c r="AV249" s="41">
        <f t="shared" si="56"/>
        <v>-171.67292214234874</v>
      </c>
      <c r="AW249" s="41">
        <f t="shared" si="57"/>
        <v>-18.349473513125531</v>
      </c>
      <c r="AX249" s="41">
        <f t="shared" si="58"/>
        <v>-14.010706946157711</v>
      </c>
      <c r="AY249" s="41">
        <f t="shared" si="58"/>
        <v>-21.440574823107909</v>
      </c>
      <c r="AZ249" s="41">
        <f t="shared" si="58"/>
        <v>-20.401982059760599</v>
      </c>
    </row>
    <row r="250" spans="1:52" x14ac:dyDescent="0.2">
      <c r="A250" s="30">
        <v>755</v>
      </c>
      <c r="B250" s="31" t="s">
        <v>564</v>
      </c>
      <c r="C250" s="41">
        <v>-787</v>
      </c>
      <c r="D250" s="41">
        <v>-903</v>
      </c>
      <c r="E250" s="73">
        <v>-3932</v>
      </c>
      <c r="F250" s="73">
        <v>-3533</v>
      </c>
      <c r="G250" s="73">
        <v>-2331</v>
      </c>
      <c r="H250" s="41">
        <v>-2945</v>
      </c>
      <c r="I250" s="165">
        <v>-1084.2151200000001</v>
      </c>
      <c r="J250" s="41">
        <v>-6533.0732500000004</v>
      </c>
      <c r="K250" s="41">
        <v>-3261.9860199999998</v>
      </c>
      <c r="L250" s="41">
        <f>$L$5*'7.1. Nettoinvestointiennuste '!Y250</f>
        <v>-5954.9268722650195</v>
      </c>
      <c r="M250" s="41">
        <f>$M$5*'7.1. Nettoinvestointiennuste '!Y250</f>
        <v>-6210.1436563398829</v>
      </c>
      <c r="N250" s="41">
        <f>$N$5*'7.1. Nettoinvestointiennuste '!Y250</f>
        <v>-6429.3254133105793</v>
      </c>
      <c r="O250" s="41">
        <f>O$5*'7.1. Nettoinvestointiennuste '!$Y250</f>
        <v>-6715.9199214458058</v>
      </c>
      <c r="P250" s="41">
        <f>P$5*'7.1. Nettoinvestointiennuste '!$Y250</f>
        <v>-6994.7359781989599</v>
      </c>
      <c r="T250" s="34">
        <v>755</v>
      </c>
      <c r="U250" s="88" t="s">
        <v>564</v>
      </c>
      <c r="V250" s="41">
        <f>C250/'1. Väestöennuste'!E250*1000</f>
        <v>-127.30507926237463</v>
      </c>
      <c r="W250" s="41">
        <f>D250/'1. Väestöennuste'!F250*1000</f>
        <v>-146.16380705730009</v>
      </c>
      <c r="X250" s="41">
        <f>E250/'1. Väestöennuste'!G250*1000</f>
        <v>-639.76570126911815</v>
      </c>
      <c r="Y250" s="41">
        <f>F250/'1. Väestöennuste'!H250*1000</f>
        <v>-575.97000326051523</v>
      </c>
      <c r="Z250" s="41">
        <f>G250/'1. Väestöennuste'!I250*1000</f>
        <v>-379.33279088689994</v>
      </c>
      <c r="AA250" s="41">
        <f>H250/'1. Väestöennuste'!J250*1000</f>
        <v>-478.93966498617664</v>
      </c>
      <c r="AB250" s="41">
        <f>I250/'1. Väestöennuste'!K250*1000</f>
        <v>-174.92983543078412</v>
      </c>
      <c r="AC250" s="41">
        <f>J250/'1. Väestöennuste'!L250*1000</f>
        <v>-1050.8401560238055</v>
      </c>
      <c r="AD250" s="41">
        <f>K250/'1. Väestöennuste'!M250*1000</f>
        <v>-529.71517050990576</v>
      </c>
      <c r="AE250" s="41">
        <f>L250/'1. Väestöennuste'!N250*1000</f>
        <v>-961.86833666047801</v>
      </c>
      <c r="AF250" s="41">
        <f>M250/'1. Väestöennuste'!O250*1000</f>
        <v>-1001.6360736032068</v>
      </c>
      <c r="AG250" s="41">
        <f>N250/'1. Väestöennuste'!P250*1000</f>
        <v>-1035.818497391748</v>
      </c>
      <c r="AH250" s="41">
        <f>O250/'1. Väestöennuste'!Q250*1000</f>
        <v>-1081.120399460046</v>
      </c>
      <c r="AI250" s="41">
        <f>P250/'1. Väestöennuste'!R250*1000</f>
        <v>-1125.0982754059771</v>
      </c>
      <c r="AK250" s="34">
        <v>755</v>
      </c>
      <c r="AL250" s="88" t="s">
        <v>564</v>
      </c>
      <c r="AM250" s="41"/>
      <c r="AN250" s="41">
        <f t="shared" si="48"/>
        <v>-18.858727794925457</v>
      </c>
      <c r="AO250" s="41">
        <f t="shared" si="49"/>
        <v>-493.60189421181803</v>
      </c>
      <c r="AP250" s="41">
        <f t="shared" si="50"/>
        <v>63.795698008602926</v>
      </c>
      <c r="AQ250" s="41">
        <f t="shared" si="51"/>
        <v>196.63721237361528</v>
      </c>
      <c r="AR250" s="41">
        <f t="shared" si="52"/>
        <v>-99.606874099276695</v>
      </c>
      <c r="AS250" s="41">
        <f t="shared" si="53"/>
        <v>304.00982955539251</v>
      </c>
      <c r="AT250" s="41">
        <f t="shared" si="54"/>
        <v>-875.91032059302142</v>
      </c>
      <c r="AU250" s="41">
        <f t="shared" si="55"/>
        <v>521.12498551389979</v>
      </c>
      <c r="AV250" s="41">
        <f t="shared" si="56"/>
        <v>-432.15316615057225</v>
      </c>
      <c r="AW250" s="41">
        <f t="shared" si="57"/>
        <v>-39.767736942728789</v>
      </c>
      <c r="AX250" s="41">
        <f t="shared" si="58"/>
        <v>-34.1824237885412</v>
      </c>
      <c r="AY250" s="41">
        <f t="shared" si="58"/>
        <v>-45.301902068297977</v>
      </c>
      <c r="AZ250" s="41">
        <f t="shared" si="58"/>
        <v>-43.977875945931146</v>
      </c>
    </row>
    <row r="251" spans="1:52" x14ac:dyDescent="0.2">
      <c r="A251" s="30">
        <v>758</v>
      </c>
      <c r="B251" s="31" t="s">
        <v>565</v>
      </c>
      <c r="C251" s="41">
        <v>-2836</v>
      </c>
      <c r="D251" s="41">
        <v>-4241</v>
      </c>
      <c r="E251" s="73">
        <v>-4504</v>
      </c>
      <c r="F251" s="73">
        <v>-5025</v>
      </c>
      <c r="G251" s="73">
        <v>-2457</v>
      </c>
      <c r="H251" s="41">
        <v>-3169</v>
      </c>
      <c r="I251" s="165">
        <v>-1821.1999799999999</v>
      </c>
      <c r="J251" s="41">
        <v>-4057.4742299999998</v>
      </c>
      <c r="K251" s="41">
        <v>-4928.5214599999999</v>
      </c>
      <c r="L251" s="41">
        <f>$L$5*'7.1. Nettoinvestointiennuste '!Y251</f>
        <v>-4689.2884872146024</v>
      </c>
      <c r="M251" s="41">
        <f>$M$5*'7.1. Nettoinvestointiennuste '!Y251</f>
        <v>-4890.2624291248203</v>
      </c>
      <c r="N251" s="41">
        <f>$N$5*'7.1. Nettoinvestointiennuste '!Y251</f>
        <v>-5062.8600968404644</v>
      </c>
      <c r="O251" s="41">
        <f>O$5*'7.1. Nettoinvestointiennuste '!$Y251</f>
        <v>-5288.5428560623714</v>
      </c>
      <c r="P251" s="41">
        <f>P$5*'7.1. Nettoinvestointiennuste '!$Y251</f>
        <v>-5508.1003675194079</v>
      </c>
      <c r="T251" s="34">
        <v>758</v>
      </c>
      <c r="U251" s="88" t="s">
        <v>565</v>
      </c>
      <c r="V251" s="41">
        <f>C251/'1. Väestöennuste'!E251*1000</f>
        <v>-322.93327260305171</v>
      </c>
      <c r="W251" s="41">
        <f>D251/'1. Väestöennuste'!F251*1000</f>
        <v>-490.11903386108861</v>
      </c>
      <c r="X251" s="41">
        <f>E251/'1. Väestöennuste'!G251*1000</f>
        <v>-527.09186658864837</v>
      </c>
      <c r="Y251" s="41">
        <f>F251/'1. Väestöennuste'!H251*1000</f>
        <v>-595.09711037423017</v>
      </c>
      <c r="Z251" s="41">
        <f>G251/'1. Väestöennuste'!I251*1000</f>
        <v>-295.91713838371675</v>
      </c>
      <c r="AA251" s="41">
        <f>H251/'1. Väestöennuste'!J251*1000</f>
        <v>-383.37769174933459</v>
      </c>
      <c r="AB251" s="41">
        <f>I251/'1. Väestöennuste'!K251*1000</f>
        <v>-222.45022352510074</v>
      </c>
      <c r="AC251" s="41">
        <f>J251/'1. Väestöennuste'!L251*1000</f>
        <v>-498.82889476272436</v>
      </c>
      <c r="AD251" s="41">
        <f>K251/'1. Väestöennuste'!M251*1000</f>
        <v>-606.51260890967262</v>
      </c>
      <c r="AE251" s="41">
        <f>L251/'1. Väestöennuste'!N251*1000</f>
        <v>-595.16289976070607</v>
      </c>
      <c r="AF251" s="41">
        <f>M251/'1. Väestöennuste'!O251*1000</f>
        <v>-627.11752104704033</v>
      </c>
      <c r="AG251" s="41">
        <f>N251/'1. Väestöennuste'!P251*1000</f>
        <v>-656.06584123888354</v>
      </c>
      <c r="AH251" s="41">
        <f>O251/'1. Väestöennuste'!Q251*1000</f>
        <v>-692.67097001471791</v>
      </c>
      <c r="AI251" s="41">
        <f>P251/'1. Väestöennuste'!R251*1000</f>
        <v>-728.87394038896491</v>
      </c>
      <c r="AK251" s="34">
        <v>758</v>
      </c>
      <c r="AL251" s="88" t="s">
        <v>565</v>
      </c>
      <c r="AM251" s="41"/>
      <c r="AN251" s="41">
        <f t="shared" si="48"/>
        <v>-167.18576125803691</v>
      </c>
      <c r="AO251" s="41">
        <f t="shared" si="49"/>
        <v>-36.972832727559762</v>
      </c>
      <c r="AP251" s="41">
        <f t="shared" si="50"/>
        <v>-68.005243785581797</v>
      </c>
      <c r="AQ251" s="41">
        <f t="shared" si="51"/>
        <v>299.17997199051342</v>
      </c>
      <c r="AR251" s="41">
        <f t="shared" si="52"/>
        <v>-87.460553365617841</v>
      </c>
      <c r="AS251" s="41">
        <f t="shared" si="53"/>
        <v>160.92746822423385</v>
      </c>
      <c r="AT251" s="41">
        <f t="shared" si="54"/>
        <v>-276.37867123762362</v>
      </c>
      <c r="AU251" s="41">
        <f t="shared" si="55"/>
        <v>-107.68371414694826</v>
      </c>
      <c r="AV251" s="41">
        <f t="shared" si="56"/>
        <v>11.349709148966554</v>
      </c>
      <c r="AW251" s="41">
        <f t="shared" si="57"/>
        <v>-31.954621286334259</v>
      </c>
      <c r="AX251" s="41">
        <f t="shared" si="58"/>
        <v>-28.948320191843209</v>
      </c>
      <c r="AY251" s="41">
        <f t="shared" si="58"/>
        <v>-36.605128775834373</v>
      </c>
      <c r="AZ251" s="41">
        <f t="shared" si="58"/>
        <v>-36.202970374247002</v>
      </c>
    </row>
    <row r="252" spans="1:52" x14ac:dyDescent="0.2">
      <c r="A252" s="30">
        <v>759</v>
      </c>
      <c r="B252" s="31" t="s">
        <v>566</v>
      </c>
      <c r="C252" s="41">
        <v>-714</v>
      </c>
      <c r="D252" s="41">
        <v>-487</v>
      </c>
      <c r="E252" s="73">
        <v>-974</v>
      </c>
      <c r="F252" s="73">
        <v>-351</v>
      </c>
      <c r="G252" s="73">
        <v>-184</v>
      </c>
      <c r="H252" s="41">
        <v>-974</v>
      </c>
      <c r="I252" s="165">
        <v>-303.64186999999998</v>
      </c>
      <c r="J252" s="41">
        <v>-400.51803000000001</v>
      </c>
      <c r="K252" s="41">
        <v>-549.70940000000007</v>
      </c>
      <c r="L252" s="41">
        <f>$L$5*'7.1. Nettoinvestointiennuste '!Y252</f>
        <v>-545.30784325896263</v>
      </c>
      <c r="M252" s="41">
        <f>$M$5*'7.1. Nettoinvestointiennuste '!Y252</f>
        <v>-568.67869517244992</v>
      </c>
      <c r="N252" s="41">
        <f>$N$5*'7.1. Nettoinvestointiennuste '!Y252</f>
        <v>-588.74972773744582</v>
      </c>
      <c r="O252" s="41">
        <f>O$5*'7.1. Nettoinvestointiennuste '!$Y252</f>
        <v>-614.99391788005971</v>
      </c>
      <c r="P252" s="41">
        <f>P$5*'7.1. Nettoinvestointiennuste '!$Y252</f>
        <v>-640.52581538868537</v>
      </c>
      <c r="T252" s="34">
        <v>759</v>
      </c>
      <c r="U252" s="88" t="s">
        <v>566</v>
      </c>
      <c r="V252" s="41">
        <f>C252/'1. Väestöennuste'!E252*1000</f>
        <v>-321.0431654676259</v>
      </c>
      <c r="W252" s="41">
        <f>D252/'1. Väestöennuste'!F252*1000</f>
        <v>-222.78133577310155</v>
      </c>
      <c r="X252" s="41">
        <f>E252/'1. Väestöennuste'!G252*1000</f>
        <v>-460.73793755912959</v>
      </c>
      <c r="Y252" s="41">
        <f>F252/'1. Väestöennuste'!H252*1000</f>
        <v>-168.34532374100718</v>
      </c>
      <c r="Z252" s="41">
        <f>G252/'1. Väestöennuste'!I252*1000</f>
        <v>-89.668615984405449</v>
      </c>
      <c r="AA252" s="41">
        <f>H252/'1. Väestöennuste'!J252*1000</f>
        <v>-485.30144494270053</v>
      </c>
      <c r="AB252" s="41">
        <f>I252/'1. Väestöennuste'!K252*1000</f>
        <v>-152.04900851276915</v>
      </c>
      <c r="AC252" s="41">
        <f>J252/'1. Väestöennuste'!L252*1000</f>
        <v>-206.23997425334707</v>
      </c>
      <c r="AD252" s="41">
        <f>K252/'1. Väestöennuste'!M252*1000</f>
        <v>-293.49140416444214</v>
      </c>
      <c r="AE252" s="41">
        <f>L252/'1. Väestöennuste'!N252*1000</f>
        <v>-293.49184244292928</v>
      </c>
      <c r="AF252" s="41">
        <f>M252/'1. Väestöennuste'!O252*1000</f>
        <v>-311.0933781030908</v>
      </c>
      <c r="AG252" s="41">
        <f>N252/'1. Väestöennuste'!P252*1000</f>
        <v>-327.99427729105616</v>
      </c>
      <c r="AH252" s="41">
        <f>O252/'1. Väestöennuste'!Q252*1000</f>
        <v>-348.24117660252529</v>
      </c>
      <c r="AI252" s="41">
        <f>P252/'1. Väestöennuste'!R252*1000</f>
        <v>-368.75406758128116</v>
      </c>
      <c r="AK252" s="34">
        <v>759</v>
      </c>
      <c r="AL252" s="88" t="s">
        <v>566</v>
      </c>
      <c r="AM252" s="41"/>
      <c r="AN252" s="41">
        <f t="shared" si="48"/>
        <v>98.261829694524351</v>
      </c>
      <c r="AO252" s="41">
        <f t="shared" si="49"/>
        <v>-237.95660178602805</v>
      </c>
      <c r="AP252" s="41">
        <f t="shared" si="50"/>
        <v>292.39261381812241</v>
      </c>
      <c r="AQ252" s="41">
        <f t="shared" si="51"/>
        <v>78.676707756601729</v>
      </c>
      <c r="AR252" s="41">
        <f t="shared" si="52"/>
        <v>-395.63282895829508</v>
      </c>
      <c r="AS252" s="41">
        <f t="shared" si="53"/>
        <v>333.25243642993138</v>
      </c>
      <c r="AT252" s="41">
        <f t="shared" si="54"/>
        <v>-54.190965740577923</v>
      </c>
      <c r="AU252" s="41">
        <f t="shared" si="55"/>
        <v>-87.251429911095073</v>
      </c>
      <c r="AV252" s="41">
        <f t="shared" si="56"/>
        <v>-4.382784871381773E-4</v>
      </c>
      <c r="AW252" s="41">
        <f t="shared" si="57"/>
        <v>-17.601535660161517</v>
      </c>
      <c r="AX252" s="41">
        <f t="shared" si="58"/>
        <v>-16.900899187965365</v>
      </c>
      <c r="AY252" s="41">
        <f t="shared" si="58"/>
        <v>-20.246899311469122</v>
      </c>
      <c r="AZ252" s="41">
        <f t="shared" si="58"/>
        <v>-20.512890978755877</v>
      </c>
    </row>
    <row r="253" spans="1:52" x14ac:dyDescent="0.2">
      <c r="A253" s="30">
        <v>761</v>
      </c>
      <c r="B253" s="31" t="s">
        <v>567</v>
      </c>
      <c r="C253" s="41">
        <v>-6737</v>
      </c>
      <c r="D253" s="41">
        <v>-10656</v>
      </c>
      <c r="E253" s="73">
        <v>-7840</v>
      </c>
      <c r="F253" s="73">
        <v>-4699</v>
      </c>
      <c r="G253" s="73">
        <v>-2322</v>
      </c>
      <c r="H253" s="41">
        <v>-440</v>
      </c>
      <c r="I253" s="165">
        <v>-1330.2504199999998</v>
      </c>
      <c r="J253" s="41">
        <v>-461.93115</v>
      </c>
      <c r="K253" s="41">
        <v>-6200.59951</v>
      </c>
      <c r="L253" s="41">
        <f>$L$5*'7.1. Nettoinvestointiennuste '!Y253</f>
        <v>-4001.7665327128534</v>
      </c>
      <c r="M253" s="41">
        <f>$M$5*'7.1. Nettoinvestointiennuste '!Y253</f>
        <v>-4173.2745977159957</v>
      </c>
      <c r="N253" s="41">
        <f>$N$5*'7.1. Nettoinvestointiennuste '!Y253</f>
        <v>-4320.5667876019343</v>
      </c>
      <c r="O253" s="41">
        <f>O$5*'7.1. Nettoinvestointiennuste '!$Y253</f>
        <v>-4513.1609765342027</v>
      </c>
      <c r="P253" s="41">
        <f>P$5*'7.1. Nettoinvestointiennuste '!$Y253</f>
        <v>-4700.5279734144433</v>
      </c>
      <c r="T253" s="34">
        <v>761</v>
      </c>
      <c r="U253" s="88" t="s">
        <v>567</v>
      </c>
      <c r="V253" s="41">
        <f>C253/'1. Väestöennuste'!E253*1000</f>
        <v>-740.89959309358846</v>
      </c>
      <c r="W253" s="41">
        <f>D253/'1. Väestöennuste'!F253*1000</f>
        <v>-1180.4586241276172</v>
      </c>
      <c r="X253" s="41">
        <f>E253/'1. Väestöennuste'!G253*1000</f>
        <v>-879.02231191837654</v>
      </c>
      <c r="Y253" s="41">
        <f>F253/'1. Väestöennuste'!H253*1000</f>
        <v>-532.28364295423648</v>
      </c>
      <c r="Z253" s="41">
        <f>G253/'1. Väestöennuste'!I253*1000</f>
        <v>-266.55952244288829</v>
      </c>
      <c r="AA253" s="41">
        <f>H253/'1. Väestöennuste'!J253*1000</f>
        <v>-50.890585241730278</v>
      </c>
      <c r="AB253" s="41">
        <f>I253/'1. Väestöennuste'!K253*1000</f>
        <v>-155.34864183113393</v>
      </c>
      <c r="AC253" s="41">
        <f>J253/'1. Väestöennuste'!L253*1000</f>
        <v>-54.822116069309274</v>
      </c>
      <c r="AD253" s="41">
        <f>K253/'1. Väestöennuste'!M253*1000</f>
        <v>-737.28888347205714</v>
      </c>
      <c r="AE253" s="41">
        <f>L253/'1. Väestöennuste'!N253*1000</f>
        <v>-482.89689063748682</v>
      </c>
      <c r="AF253" s="41">
        <f>M253/'1. Väestöennuste'!O253*1000</f>
        <v>-508.19223060350652</v>
      </c>
      <c r="AG253" s="41">
        <f>N253/'1. Väestöennuste'!P253*1000</f>
        <v>-530.71696199507858</v>
      </c>
      <c r="AH253" s="41">
        <f>O253/'1. Väestöennuste'!Q253*1000</f>
        <v>-558.97460695246502</v>
      </c>
      <c r="AI253" s="41">
        <f>P253/'1. Väestöennuste'!R253*1000</f>
        <v>-586.53955246000044</v>
      </c>
      <c r="AK253" s="34">
        <v>761</v>
      </c>
      <c r="AL253" s="88" t="s">
        <v>567</v>
      </c>
      <c r="AM253" s="41"/>
      <c r="AN253" s="41">
        <f t="shared" si="48"/>
        <v>-439.55903103402875</v>
      </c>
      <c r="AO253" s="41">
        <f t="shared" si="49"/>
        <v>301.43631220924067</v>
      </c>
      <c r="AP253" s="41">
        <f t="shared" si="50"/>
        <v>346.73866896414006</v>
      </c>
      <c r="AQ253" s="41">
        <f t="shared" si="51"/>
        <v>265.72412051134819</v>
      </c>
      <c r="AR253" s="41">
        <f t="shared" si="52"/>
        <v>215.66893720115803</v>
      </c>
      <c r="AS253" s="41">
        <f t="shared" si="53"/>
        <v>-104.45805658940365</v>
      </c>
      <c r="AT253" s="41">
        <f t="shared" si="54"/>
        <v>100.52652576182466</v>
      </c>
      <c r="AU253" s="41">
        <f t="shared" si="55"/>
        <v>-682.46676740274791</v>
      </c>
      <c r="AV253" s="41">
        <f t="shared" si="56"/>
        <v>254.39199283457032</v>
      </c>
      <c r="AW253" s="41">
        <f t="shared" si="57"/>
        <v>-25.295339966019696</v>
      </c>
      <c r="AX253" s="41">
        <f t="shared" si="58"/>
        <v>-22.524731391572061</v>
      </c>
      <c r="AY253" s="41">
        <f t="shared" si="58"/>
        <v>-28.257644957386447</v>
      </c>
      <c r="AZ253" s="41">
        <f t="shared" si="58"/>
        <v>-27.564945507535413</v>
      </c>
    </row>
    <row r="254" spans="1:52" x14ac:dyDescent="0.2">
      <c r="A254" s="30">
        <v>762</v>
      </c>
      <c r="B254" s="31" t="s">
        <v>568</v>
      </c>
      <c r="C254" s="41">
        <v>-1565</v>
      </c>
      <c r="D254" s="41">
        <v>-2820</v>
      </c>
      <c r="E254" s="73">
        <v>-2220</v>
      </c>
      <c r="F254" s="73">
        <v>-1562</v>
      </c>
      <c r="G254" s="73">
        <v>-2577</v>
      </c>
      <c r="H254" s="41">
        <v>-1206</v>
      </c>
      <c r="I254" s="165">
        <v>-1993.8148200000001</v>
      </c>
      <c r="J254" s="41">
        <v>-2951.3193900000001</v>
      </c>
      <c r="K254" s="41">
        <v>-238.81307000000001</v>
      </c>
      <c r="L254" s="41">
        <f>$L$5*'7.1. Nettoinvestointiennuste '!Y254</f>
        <v>-1282.3804997941493</v>
      </c>
      <c r="M254" s="41">
        <f>$M$5*'7.1. Nettoinvestointiennuste '!Y254</f>
        <v>-1337.3408769974535</v>
      </c>
      <c r="N254" s="41">
        <f>$N$5*'7.1. Nettoinvestointiennuste '!Y254</f>
        <v>-1384.5411897937267</v>
      </c>
      <c r="O254" s="41">
        <f>O$5*'7.1. Nettoinvestointiennuste '!$Y254</f>
        <v>-1446.2586913624605</v>
      </c>
      <c r="P254" s="41">
        <f>P$5*'7.1. Nettoinvestointiennuste '!$Y254</f>
        <v>-1506.3011204097454</v>
      </c>
      <c r="T254" s="34">
        <v>762</v>
      </c>
      <c r="U254" s="88" t="s">
        <v>568</v>
      </c>
      <c r="V254" s="41">
        <f>C254/'1. Väestöennuste'!E254*1000</f>
        <v>-365.82515194015895</v>
      </c>
      <c r="W254" s="41">
        <f>D254/'1. Väestöennuste'!F254*1000</f>
        <v>-671.58847344605852</v>
      </c>
      <c r="X254" s="41">
        <f>E254/'1. Väestöennuste'!G254*1000</f>
        <v>-544.78527607361957</v>
      </c>
      <c r="Y254" s="41">
        <f>F254/'1. Väestöennuste'!H254*1000</f>
        <v>-393.74842450214271</v>
      </c>
      <c r="Z254" s="41">
        <f>G254/'1. Väestöennuste'!I254*1000</f>
        <v>-661.27790608160115</v>
      </c>
      <c r="AA254" s="41">
        <f>H254/'1. Väestöennuste'!J254*1000</f>
        <v>-313.98073418380631</v>
      </c>
      <c r="AB254" s="41">
        <f>I254/'1. Väestöennuste'!K254*1000</f>
        <v>-527.88319301032573</v>
      </c>
      <c r="AC254" s="41">
        <f>J254/'1. Väestöennuste'!L254*1000</f>
        <v>-803.7362173202614</v>
      </c>
      <c r="AD254" s="41">
        <f>K254/'1. Väestöennuste'!M254*1000</f>
        <v>-65.662103381908167</v>
      </c>
      <c r="AE254" s="41">
        <f>L254/'1. Väestöennuste'!N254*1000</f>
        <v>-360.6244375124154</v>
      </c>
      <c r="AF254" s="41">
        <f>M254/'1. Väestöennuste'!O254*1000</f>
        <v>-382.42518644479657</v>
      </c>
      <c r="AG254" s="41">
        <f>N254/'1. Väestöennuste'!P254*1000</f>
        <v>-402.24903828986828</v>
      </c>
      <c r="AH254" s="41">
        <f>O254/'1. Väestöennuste'!Q254*1000</f>
        <v>-426.49917173767631</v>
      </c>
      <c r="AI254" s="41">
        <f>P254/'1. Väestöennuste'!R254*1000</f>
        <v>-450.85337336418604</v>
      </c>
      <c r="AK254" s="34">
        <v>762</v>
      </c>
      <c r="AL254" s="88" t="s">
        <v>568</v>
      </c>
      <c r="AM254" s="41"/>
      <c r="AN254" s="41">
        <f t="shared" si="48"/>
        <v>-305.76332150589957</v>
      </c>
      <c r="AO254" s="41">
        <f t="shared" si="49"/>
        <v>126.80319737243894</v>
      </c>
      <c r="AP254" s="41">
        <f t="shared" si="50"/>
        <v>151.03685157147686</v>
      </c>
      <c r="AQ254" s="41">
        <f t="shared" si="51"/>
        <v>-267.52948157945843</v>
      </c>
      <c r="AR254" s="41">
        <f t="shared" si="52"/>
        <v>347.29717189779484</v>
      </c>
      <c r="AS254" s="41">
        <f t="shared" si="53"/>
        <v>-213.90245882651942</v>
      </c>
      <c r="AT254" s="41">
        <f t="shared" si="54"/>
        <v>-275.85302430993568</v>
      </c>
      <c r="AU254" s="41">
        <f t="shared" si="55"/>
        <v>738.07411393835321</v>
      </c>
      <c r="AV254" s="41">
        <f t="shared" si="56"/>
        <v>-294.9623341305072</v>
      </c>
      <c r="AW254" s="41">
        <f t="shared" si="57"/>
        <v>-21.800748932381168</v>
      </c>
      <c r="AX254" s="41">
        <f t="shared" si="58"/>
        <v>-19.823851845071715</v>
      </c>
      <c r="AY254" s="41">
        <f t="shared" si="58"/>
        <v>-24.250133447808025</v>
      </c>
      <c r="AZ254" s="41">
        <f t="shared" si="58"/>
        <v>-24.354201626509735</v>
      </c>
    </row>
    <row r="255" spans="1:52" x14ac:dyDescent="0.2">
      <c r="A255" s="30">
        <v>765</v>
      </c>
      <c r="B255" s="31" t="s">
        <v>569</v>
      </c>
      <c r="C255" s="41">
        <v>-5939</v>
      </c>
      <c r="D255" s="41">
        <v>-3282</v>
      </c>
      <c r="E255" s="73">
        <v>-3030</v>
      </c>
      <c r="F255" s="73">
        <v>-2789</v>
      </c>
      <c r="G255" s="73">
        <v>36571</v>
      </c>
      <c r="H255" s="41">
        <v>-7111</v>
      </c>
      <c r="I255" s="165">
        <v>-8042.4831100000001</v>
      </c>
      <c r="J255" s="41">
        <v>-9525.26541</v>
      </c>
      <c r="K255" s="41">
        <v>-22802.713070000002</v>
      </c>
      <c r="L255" s="41">
        <f>$L$5*'7.1. Nettoinvestointiennuste '!Y255</f>
        <v>-15029.068216428335</v>
      </c>
      <c r="M255" s="41">
        <f>$M$5*'7.1. Nettoinvestointiennuste '!Y255</f>
        <v>-15673.185355079215</v>
      </c>
      <c r="N255" s="41">
        <f>$N$5*'7.1. Nettoinvestointiennuste '!Y255</f>
        <v>-16226.357148447731</v>
      </c>
      <c r="O255" s="41">
        <f>O$5*'7.1. Nettoinvestointiennuste '!$Y255</f>
        <v>-16949.665512363834</v>
      </c>
      <c r="P255" s="41">
        <f>P$5*'7.1. Nettoinvestointiennuste '!$Y255</f>
        <v>-17653.342589624881</v>
      </c>
      <c r="T255" s="34">
        <v>765</v>
      </c>
      <c r="U255" s="88" t="s">
        <v>569</v>
      </c>
      <c r="V255" s="41">
        <f>C255/'1. Väestöennuste'!E255*1000</f>
        <v>-564.38278057588138</v>
      </c>
      <c r="W255" s="41">
        <f>D255/'1. Väestöennuste'!F255*1000</f>
        <v>-313.43711202368445</v>
      </c>
      <c r="X255" s="41">
        <f>E255/'1. Väestöennuste'!G255*1000</f>
        <v>-290.7032524225271</v>
      </c>
      <c r="Y255" s="41">
        <f>F255/'1. Väestöennuste'!H255*1000</f>
        <v>-268.4570218500337</v>
      </c>
      <c r="Z255" s="41">
        <f>G255/'1. Väestöennuste'!I255*1000</f>
        <v>3538.2159442724455</v>
      </c>
      <c r="AA255" s="41">
        <f>H255/'1. Väestöennuste'!J255*1000</f>
        <v>-690.32132802640524</v>
      </c>
      <c r="AB255" s="41">
        <f>I255/'1. Väestöennuste'!K255*1000</f>
        <v>-777.20169211441828</v>
      </c>
      <c r="AC255" s="41">
        <f>J255/'1. Väestöennuste'!L255*1000</f>
        <v>-919.95995847015638</v>
      </c>
      <c r="AD255" s="41">
        <f>K255/'1. Väestöennuste'!M255*1000</f>
        <v>-2219.4581535915904</v>
      </c>
      <c r="AE255" s="41">
        <f>L255/'1. Väestöennuste'!N255*1000</f>
        <v>-1488.3212731658086</v>
      </c>
      <c r="AF255" s="41">
        <f>M255/'1. Väestöennuste'!O255*1000</f>
        <v>-1559.986598494995</v>
      </c>
      <c r="AG255" s="41">
        <f>N255/'1. Väestöennuste'!P255*1000</f>
        <v>-1622.7979946442374</v>
      </c>
      <c r="AH255" s="41">
        <f>O255/'1. Väestöennuste'!Q255*1000</f>
        <v>-1703.6551927192515</v>
      </c>
      <c r="AI255" s="41">
        <f>P255/'1. Väestöennuste'!R255*1000</f>
        <v>-1783.1659181439275</v>
      </c>
      <c r="AK255" s="34">
        <v>765</v>
      </c>
      <c r="AL255" s="88" t="s">
        <v>569</v>
      </c>
      <c r="AM255" s="41"/>
      <c r="AN255" s="41">
        <f t="shared" si="48"/>
        <v>250.94566855219693</v>
      </c>
      <c r="AO255" s="41">
        <f t="shared" si="49"/>
        <v>22.733859601157349</v>
      </c>
      <c r="AP255" s="41">
        <f t="shared" si="50"/>
        <v>22.246230572493403</v>
      </c>
      <c r="AQ255" s="41">
        <f t="shared" si="51"/>
        <v>3806.672966122479</v>
      </c>
      <c r="AR255" s="41">
        <f t="shared" si="52"/>
        <v>-4228.5372722988504</v>
      </c>
      <c r="AS255" s="41">
        <f t="shared" si="53"/>
        <v>-86.880364088013039</v>
      </c>
      <c r="AT255" s="41">
        <f t="shared" si="54"/>
        <v>-142.7582663557381</v>
      </c>
      <c r="AU255" s="41">
        <f t="shared" si="55"/>
        <v>-1299.498195121434</v>
      </c>
      <c r="AV255" s="41">
        <f t="shared" si="56"/>
        <v>731.13688042578178</v>
      </c>
      <c r="AW255" s="41">
        <f t="shared" si="57"/>
        <v>-71.665325329186317</v>
      </c>
      <c r="AX255" s="41">
        <f t="shared" si="58"/>
        <v>-62.811396149242455</v>
      </c>
      <c r="AY255" s="41">
        <f t="shared" si="58"/>
        <v>-80.857198075014139</v>
      </c>
      <c r="AZ255" s="41">
        <f t="shared" si="58"/>
        <v>-79.510725424675911</v>
      </c>
    </row>
    <row r="256" spans="1:52" x14ac:dyDescent="0.2">
      <c r="A256" s="30">
        <v>768</v>
      </c>
      <c r="B256" s="31" t="s">
        <v>570</v>
      </c>
      <c r="C256" s="41">
        <v>-337</v>
      </c>
      <c r="D256" s="41">
        <v>-200</v>
      </c>
      <c r="E256" s="73">
        <v>-866</v>
      </c>
      <c r="F256" s="73">
        <v>-1727</v>
      </c>
      <c r="G256" s="73">
        <v>-1310</v>
      </c>
      <c r="H256" s="41">
        <v>-654</v>
      </c>
      <c r="I256" s="165">
        <v>-1069.9154099999998</v>
      </c>
      <c r="J256" s="41">
        <v>-959.86181999999997</v>
      </c>
      <c r="K256" s="41">
        <v>-789.82803999999999</v>
      </c>
      <c r="L256" s="41">
        <f>$L$5*'7.1. Nettoinvestointiennuste '!Y256</f>
        <v>-2146.949896956814</v>
      </c>
      <c r="M256" s="41">
        <f>$M$5*'7.1. Nettoinvestointiennuste '!Y256</f>
        <v>-2238.9640660683085</v>
      </c>
      <c r="N256" s="41">
        <f>$N$5*'7.1. Nettoinvestointiennuste '!Y256</f>
        <v>-2317.9864051560867</v>
      </c>
      <c r="O256" s="41">
        <f>O$5*'7.1. Nettoinvestointiennuste '!$Y256</f>
        <v>-2421.3132910957083</v>
      </c>
      <c r="P256" s="41">
        <f>P$5*'7.1. Nettoinvestointiennuste '!$Y256</f>
        <v>-2521.8357856882244</v>
      </c>
      <c r="T256" s="34">
        <v>768</v>
      </c>
      <c r="U256" s="88" t="s">
        <v>570</v>
      </c>
      <c r="V256" s="41">
        <f>C256/'1. Väestöennuste'!E256*1000</f>
        <v>-123.71512481644641</v>
      </c>
      <c r="W256" s="41">
        <f>D256/'1. Väestöennuste'!F256*1000</f>
        <v>-75.159714393085309</v>
      </c>
      <c r="X256" s="41">
        <f>E256/'1. Väestöennuste'!G256*1000</f>
        <v>-334.62132921174651</v>
      </c>
      <c r="Y256" s="41">
        <f>F256/'1. Väestöennuste'!H256*1000</f>
        <v>-682.60869565217388</v>
      </c>
      <c r="Z256" s="41">
        <f>G256/'1. Väestöennuste'!I256*1000</f>
        <v>-525.68218298555382</v>
      </c>
      <c r="AA256" s="41">
        <f>H256/'1. Väestöennuste'!J256*1000</f>
        <v>-263.49717969379532</v>
      </c>
      <c r="AB256" s="41">
        <f>I256/'1. Väestöennuste'!K256*1000</f>
        <v>-440.29440740740733</v>
      </c>
      <c r="AC256" s="41">
        <f>J256/'1. Väestöennuste'!L256*1000</f>
        <v>-404.15234526315783</v>
      </c>
      <c r="AD256" s="41">
        <f>K256/'1. Väestöennuste'!M256*1000</f>
        <v>-333.54224662162164</v>
      </c>
      <c r="AE256" s="41">
        <f>L256/'1. Väestöennuste'!N256*1000</f>
        <v>-936.30610421143217</v>
      </c>
      <c r="AF256" s="41">
        <f>M256/'1. Väestöennuste'!O256*1000</f>
        <v>-993.3292218581671</v>
      </c>
      <c r="AG256" s="41">
        <f>N256/'1. Väestöennuste'!P256*1000</f>
        <v>-1045.0795334337633</v>
      </c>
      <c r="AH256" s="41">
        <f>O256/'1. Väestöennuste'!Q256*1000</f>
        <v>-1108.1525359705759</v>
      </c>
      <c r="AI256" s="41">
        <f>P256/'1. Väestöennuste'!R256*1000</f>
        <v>-1169.140373522589</v>
      </c>
      <c r="AK256" s="34">
        <v>768</v>
      </c>
      <c r="AL256" s="88" t="s">
        <v>570</v>
      </c>
      <c r="AM256" s="41"/>
      <c r="AN256" s="41">
        <f t="shared" si="48"/>
        <v>48.555410423361096</v>
      </c>
      <c r="AO256" s="41">
        <f t="shared" si="49"/>
        <v>-259.46161481866119</v>
      </c>
      <c r="AP256" s="41">
        <f t="shared" si="50"/>
        <v>-347.98736644042737</v>
      </c>
      <c r="AQ256" s="41">
        <f t="shared" si="51"/>
        <v>156.92651266662006</v>
      </c>
      <c r="AR256" s="41">
        <f t="shared" si="52"/>
        <v>262.18500329175851</v>
      </c>
      <c r="AS256" s="41">
        <f t="shared" si="53"/>
        <v>-176.79722771361202</v>
      </c>
      <c r="AT256" s="41">
        <f t="shared" si="54"/>
        <v>36.142062144249508</v>
      </c>
      <c r="AU256" s="41">
        <f t="shared" si="55"/>
        <v>70.610098641536183</v>
      </c>
      <c r="AV256" s="41">
        <f t="shared" si="56"/>
        <v>-602.76385758981053</v>
      </c>
      <c r="AW256" s="41">
        <f t="shared" si="57"/>
        <v>-57.023117646734931</v>
      </c>
      <c r="AX256" s="41">
        <f t="shared" si="58"/>
        <v>-51.750311575596243</v>
      </c>
      <c r="AY256" s="41">
        <f t="shared" si="58"/>
        <v>-63.07300253681251</v>
      </c>
      <c r="AZ256" s="41">
        <f t="shared" si="58"/>
        <v>-60.987837552013161</v>
      </c>
    </row>
    <row r="257" spans="1:52" x14ac:dyDescent="0.2">
      <c r="A257" s="30">
        <v>777</v>
      </c>
      <c r="B257" s="31" t="s">
        <v>571</v>
      </c>
      <c r="C257" s="41">
        <v>-7328</v>
      </c>
      <c r="D257" s="41">
        <v>-5401</v>
      </c>
      <c r="E257" s="73">
        <v>-3870</v>
      </c>
      <c r="F257" s="73">
        <v>-1526</v>
      </c>
      <c r="G257" s="73">
        <v>-2505</v>
      </c>
      <c r="H257" s="41">
        <v>-8581</v>
      </c>
      <c r="I257" s="165">
        <v>-7771.34004</v>
      </c>
      <c r="J257" s="41">
        <v>-9242.2616699999999</v>
      </c>
      <c r="K257" s="41">
        <v>-886.78993999999989</v>
      </c>
      <c r="L257" s="41">
        <f>$L$5*'7.1. Nettoinvestointiennuste '!Y257</f>
        <v>-5693.5690746025621</v>
      </c>
      <c r="M257" s="41">
        <f>$M$5*'7.1. Nettoinvestointiennuste '!Y257</f>
        <v>-5937.5845630035901</v>
      </c>
      <c r="N257" s="41">
        <f>$N$5*'7.1. Nettoinvestointiennuste '!Y257</f>
        <v>-6147.1465777812382</v>
      </c>
      <c r="O257" s="41">
        <f>O$5*'7.1. Nettoinvestointiennuste '!$Y257</f>
        <v>-6421.1626427088349</v>
      </c>
      <c r="P257" s="41">
        <f>P$5*'7.1. Nettoinvestointiennuste '!$Y257</f>
        <v>-6687.7416473353987</v>
      </c>
      <c r="T257" s="34">
        <v>777</v>
      </c>
      <c r="U257" s="88" t="s">
        <v>571</v>
      </c>
      <c r="V257" s="41">
        <f>C257/'1. Väestöennuste'!E257*1000</f>
        <v>-879.07869481765829</v>
      </c>
      <c r="W257" s="41">
        <f>D257/'1. Väestöennuste'!F257*1000</f>
        <v>-659.70440942958351</v>
      </c>
      <c r="X257" s="41">
        <f>E257/'1. Väestöennuste'!G257*1000</f>
        <v>-480.68562911439574</v>
      </c>
      <c r="Y257" s="41">
        <f>F257/'1. Väestöennuste'!H257*1000</f>
        <v>-194.09819384380563</v>
      </c>
      <c r="Z257" s="41">
        <f>G257/'1. Väestöennuste'!I257*1000</f>
        <v>-324.18791251455934</v>
      </c>
      <c r="AA257" s="41">
        <f>H257/'1. Väestöennuste'!J257*1000</f>
        <v>-1129.9710297603372</v>
      </c>
      <c r="AB257" s="41">
        <f>I257/'1. Väestöennuste'!K257*1000</f>
        <v>-1035.0745924347361</v>
      </c>
      <c r="AC257" s="41">
        <f>J257/'1. Väestöennuste'!L257*1000</f>
        <v>-1254.5488896430027</v>
      </c>
      <c r="AD257" s="41">
        <f>K257/'1. Väestöennuste'!M257*1000</f>
        <v>-123.6461154489682</v>
      </c>
      <c r="AE257" s="41">
        <f>L257/'1. Väestöennuste'!N257*1000</f>
        <v>-809.55055802681113</v>
      </c>
      <c r="AF257" s="41">
        <f>M257/'1. Väestöennuste'!O257*1000</f>
        <v>-859.39854725772034</v>
      </c>
      <c r="AG257" s="41">
        <f>N257/'1. Väestöennuste'!P257*1000</f>
        <v>-905.19018963057556</v>
      </c>
      <c r="AH257" s="41">
        <f>O257/'1. Väestöennuste'!Q257*1000</f>
        <v>-961.53977878239516</v>
      </c>
      <c r="AI257" s="41">
        <f>P257/'1. Väestöennuste'!R257*1000</f>
        <v>-1017.7661919548622</v>
      </c>
      <c r="AK257" s="34">
        <v>777</v>
      </c>
      <c r="AL257" s="88" t="s">
        <v>571</v>
      </c>
      <c r="AM257" s="41"/>
      <c r="AN257" s="41">
        <f t="shared" si="48"/>
        <v>219.37428538807478</v>
      </c>
      <c r="AO257" s="41">
        <f t="shared" si="49"/>
        <v>179.01878031518777</v>
      </c>
      <c r="AP257" s="41">
        <f t="shared" si="50"/>
        <v>286.58743527059011</v>
      </c>
      <c r="AQ257" s="41">
        <f t="shared" si="51"/>
        <v>-130.08971867075371</v>
      </c>
      <c r="AR257" s="41">
        <f t="shared" si="52"/>
        <v>-805.78311724577782</v>
      </c>
      <c r="AS257" s="41">
        <f t="shared" si="53"/>
        <v>94.896437325601028</v>
      </c>
      <c r="AT257" s="41">
        <f t="shared" si="54"/>
        <v>-219.47429720826653</v>
      </c>
      <c r="AU257" s="41">
        <f t="shared" si="55"/>
        <v>1130.9027741940345</v>
      </c>
      <c r="AV257" s="41">
        <f t="shared" si="56"/>
        <v>-685.90444257784293</v>
      </c>
      <c r="AW257" s="41">
        <f t="shared" si="57"/>
        <v>-49.847989230909207</v>
      </c>
      <c r="AX257" s="41">
        <f t="shared" si="58"/>
        <v>-45.791642372855222</v>
      </c>
      <c r="AY257" s="41">
        <f t="shared" si="58"/>
        <v>-56.3495891518196</v>
      </c>
      <c r="AZ257" s="41">
        <f t="shared" si="58"/>
        <v>-56.226413172467005</v>
      </c>
    </row>
    <row r="258" spans="1:52" x14ac:dyDescent="0.2">
      <c r="A258" s="30">
        <v>778</v>
      </c>
      <c r="B258" s="31" t="s">
        <v>572</v>
      </c>
      <c r="C258" s="41">
        <v>228</v>
      </c>
      <c r="D258" s="41">
        <v>-2508</v>
      </c>
      <c r="E258" s="73">
        <v>-2984</v>
      </c>
      <c r="F258" s="73">
        <v>-1522</v>
      </c>
      <c r="G258" s="73">
        <v>-1140</v>
      </c>
      <c r="H258" s="41">
        <v>-957</v>
      </c>
      <c r="I258" s="165">
        <v>-2303.7181299999997</v>
      </c>
      <c r="J258" s="41">
        <v>-947.63052000000005</v>
      </c>
      <c r="K258" s="41">
        <v>-1184.4596100000001</v>
      </c>
      <c r="L258" s="41">
        <f>$L$5*'7.1. Nettoinvestointiennuste '!Y258</f>
        <v>-2287.5803752393767</v>
      </c>
      <c r="M258" s="41">
        <f>$M$5*'7.1. Nettoinvestointiennuste '!Y258</f>
        <v>-2385.6216978625876</v>
      </c>
      <c r="N258" s="41">
        <f>$N$5*'7.1. Nettoinvestointiennuste '!Y258</f>
        <v>-2469.8201937655167</v>
      </c>
      <c r="O258" s="41">
        <f>O$5*'7.1. Nettoinvestointiennuste '!$Y258</f>
        <v>-2579.9152438852775</v>
      </c>
      <c r="P258" s="41">
        <f>P$5*'7.1. Nettoinvestointiennuste '!$Y258</f>
        <v>-2687.0222081539328</v>
      </c>
      <c r="T258" s="34">
        <v>778</v>
      </c>
      <c r="U258" s="88" t="s">
        <v>572</v>
      </c>
      <c r="V258" s="41">
        <f>C258/'1. Väestöennuste'!E258*1000</f>
        <v>30.852503382949934</v>
      </c>
      <c r="W258" s="41">
        <f>D258/'1. Väestöennuste'!F258*1000</f>
        <v>-342.99781181619255</v>
      </c>
      <c r="X258" s="41">
        <f>E258/'1. Väestöennuste'!G258*1000</f>
        <v>-410.67987888797137</v>
      </c>
      <c r="Y258" s="41">
        <f>F258/'1. Väestöennuste'!H258*1000</f>
        <v>-213.01609517144857</v>
      </c>
      <c r="Z258" s="41">
        <f>G258/'1. Väestöennuste'!I258*1000</f>
        <v>-161.38165345413364</v>
      </c>
      <c r="AA258" s="41">
        <f>H258/'1. Väestöennuste'!J258*1000</f>
        <v>-138.07531380753139</v>
      </c>
      <c r="AB258" s="41">
        <f>I258/'1. Väestöennuste'!K258*1000</f>
        <v>-334.30824698882594</v>
      </c>
      <c r="AC258" s="41">
        <f>J258/'1. Väestöennuste'!L258*1000</f>
        <v>-140.11984622209079</v>
      </c>
      <c r="AD258" s="41">
        <f>K258/'1. Väestöennuste'!M258*1000</f>
        <v>-176.57418157423973</v>
      </c>
      <c r="AE258" s="41">
        <f>L258/'1. Väestöennuste'!N258*1000</f>
        <v>-348.50401816565761</v>
      </c>
      <c r="AF258" s="41">
        <f>M258/'1. Väestöennuste'!O258*1000</f>
        <v>-367.69754899238404</v>
      </c>
      <c r="AG258" s="41">
        <f>N258/'1. Väestöennuste'!P258*1000</f>
        <v>-384.94703768165783</v>
      </c>
      <c r="AH258" s="41">
        <f>O258/'1. Väestöennuste'!Q258*1000</f>
        <v>-406.34985728229287</v>
      </c>
      <c r="AI258" s="41">
        <f>P258/'1. Väestöennuste'!R258*1000</f>
        <v>-427.8016570854852</v>
      </c>
      <c r="AK258" s="34">
        <v>778</v>
      </c>
      <c r="AL258" s="88" t="s">
        <v>572</v>
      </c>
      <c r="AM258" s="41"/>
      <c r="AN258" s="41">
        <f t="shared" si="48"/>
        <v>-373.85031519914247</v>
      </c>
      <c r="AO258" s="41">
        <f t="shared" si="49"/>
        <v>-67.682067071778818</v>
      </c>
      <c r="AP258" s="41">
        <f t="shared" si="50"/>
        <v>197.6637837165228</v>
      </c>
      <c r="AQ258" s="41">
        <f t="shared" si="51"/>
        <v>51.634441717314928</v>
      </c>
      <c r="AR258" s="41">
        <f t="shared" si="52"/>
        <v>23.306339646602254</v>
      </c>
      <c r="AS258" s="41">
        <f t="shared" si="53"/>
        <v>-196.23293318129456</v>
      </c>
      <c r="AT258" s="41">
        <f t="shared" si="54"/>
        <v>194.18840076673516</v>
      </c>
      <c r="AU258" s="41">
        <f t="shared" si="55"/>
        <v>-36.454335352148945</v>
      </c>
      <c r="AV258" s="41">
        <f t="shared" si="56"/>
        <v>-171.92983659141788</v>
      </c>
      <c r="AW258" s="41">
        <f t="shared" si="57"/>
        <v>-19.19353082672643</v>
      </c>
      <c r="AX258" s="41">
        <f t="shared" si="58"/>
        <v>-17.24948868927379</v>
      </c>
      <c r="AY258" s="41">
        <f t="shared" si="58"/>
        <v>-21.402819600635041</v>
      </c>
      <c r="AZ258" s="41">
        <f t="shared" si="58"/>
        <v>-21.45179980319233</v>
      </c>
    </row>
    <row r="259" spans="1:52" x14ac:dyDescent="0.2">
      <c r="A259" s="30">
        <v>781</v>
      </c>
      <c r="B259" s="31" t="s">
        <v>573</v>
      </c>
      <c r="C259" s="41">
        <v>-2237</v>
      </c>
      <c r="D259" s="41">
        <v>-2021</v>
      </c>
      <c r="E259" s="73">
        <v>-2641</v>
      </c>
      <c r="F259" s="73">
        <v>-4281</v>
      </c>
      <c r="G259" s="73">
        <v>-2370</v>
      </c>
      <c r="H259" s="41">
        <v>-786</v>
      </c>
      <c r="I259" s="165">
        <v>-4545.4750000000004</v>
      </c>
      <c r="J259" s="41">
        <v>-4734.6689200000001</v>
      </c>
      <c r="K259" s="41">
        <v>754.57718</v>
      </c>
      <c r="L259" s="41">
        <f>$L$5*'7.1. Nettoinvestointiennuste '!Y259</f>
        <v>-2866.7012678644637</v>
      </c>
      <c r="M259" s="41">
        <f>$M$5*'7.1. Nettoinvestointiennuste '!Y259</f>
        <v>-2989.5626050700062</v>
      </c>
      <c r="N259" s="41">
        <f>$N$5*'7.1. Nettoinvestointiennuste '!Y259</f>
        <v>-3095.0766834253741</v>
      </c>
      <c r="O259" s="41">
        <f>O$5*'7.1. Nettoinvestointiennuste '!$Y259</f>
        <v>-3233.0432542090975</v>
      </c>
      <c r="P259" s="41">
        <f>P$5*'7.1. Nettoinvestointiennuste '!$Y259</f>
        <v>-3367.2652791877554</v>
      </c>
      <c r="T259" s="34">
        <v>781</v>
      </c>
      <c r="U259" s="88" t="s">
        <v>573</v>
      </c>
      <c r="V259" s="41">
        <f>C259/'1. Väestöennuste'!E259*1000</f>
        <v>-553.71287128712879</v>
      </c>
      <c r="W259" s="41">
        <f>D259/'1. Väestöennuste'!F259*1000</f>
        <v>-511.25727295724766</v>
      </c>
      <c r="X259" s="41">
        <f>E259/'1. Väestöennuste'!G259*1000</f>
        <v>-684.37419020471623</v>
      </c>
      <c r="Y259" s="41">
        <f>F259/'1. Väestöennuste'!H259*1000</f>
        <v>-1140.6874500399679</v>
      </c>
      <c r="Z259" s="41">
        <f>G259/'1. Väestöennuste'!I259*1000</f>
        <v>-648.07219031993429</v>
      </c>
      <c r="AA259" s="41">
        <f>H259/'1. Väestöennuste'!J259*1000</f>
        <v>-216.46929220600387</v>
      </c>
      <c r="AB259" s="41">
        <f>I259/'1. Väestöennuste'!K259*1000</f>
        <v>-1268.2686941964287</v>
      </c>
      <c r="AC259" s="41">
        <f>J259/'1. Väestöennuste'!L259*1000</f>
        <v>-1351.218299086758</v>
      </c>
      <c r="AD259" s="41">
        <f>K259/'1. Väestöennuste'!M259*1000</f>
        <v>215.84015446224257</v>
      </c>
      <c r="AE259" s="41">
        <f>L259/'1. Väestöennuste'!N259*1000</f>
        <v>-860.61280932586726</v>
      </c>
      <c r="AF259" s="41">
        <f>M259/'1. Väestöennuste'!O259*1000</f>
        <v>-914.2393287675859</v>
      </c>
      <c r="AG259" s="41">
        <f>N259/'1. Väestöennuste'!P259*1000</f>
        <v>-961.80133108308712</v>
      </c>
      <c r="AH259" s="41">
        <f>O259/'1. Väestöennuste'!Q259*1000</f>
        <v>-1020.2092944806241</v>
      </c>
      <c r="AI259" s="41">
        <f>P259/'1. Väestöennuste'!R259*1000</f>
        <v>-1077.869807678539</v>
      </c>
      <c r="AK259" s="34">
        <v>781</v>
      </c>
      <c r="AL259" s="88" t="s">
        <v>573</v>
      </c>
      <c r="AM259" s="41"/>
      <c r="AN259" s="41">
        <f t="shared" si="48"/>
        <v>42.455598329881127</v>
      </c>
      <c r="AO259" s="41">
        <f t="shared" si="49"/>
        <v>-173.11691724746856</v>
      </c>
      <c r="AP259" s="41">
        <f t="shared" si="50"/>
        <v>-456.31325983525164</v>
      </c>
      <c r="AQ259" s="41">
        <f t="shared" si="51"/>
        <v>492.61525972003358</v>
      </c>
      <c r="AR259" s="41">
        <f t="shared" si="52"/>
        <v>431.60289811393045</v>
      </c>
      <c r="AS259" s="41">
        <f t="shared" si="53"/>
        <v>-1051.7994019904247</v>
      </c>
      <c r="AT259" s="41">
        <f t="shared" si="54"/>
        <v>-82.949604890329283</v>
      </c>
      <c r="AU259" s="41">
        <f t="shared" si="55"/>
        <v>1567.0584535490004</v>
      </c>
      <c r="AV259" s="41">
        <f t="shared" si="56"/>
        <v>-1076.4529637881099</v>
      </c>
      <c r="AW259" s="41">
        <f t="shared" si="57"/>
        <v>-53.626519441718642</v>
      </c>
      <c r="AX259" s="41">
        <f t="shared" si="58"/>
        <v>-47.562002315501218</v>
      </c>
      <c r="AY259" s="41">
        <f t="shared" si="58"/>
        <v>-58.407963397536946</v>
      </c>
      <c r="AZ259" s="41">
        <f t="shared" si="58"/>
        <v>-57.660513197914952</v>
      </c>
    </row>
    <row r="260" spans="1:52" x14ac:dyDescent="0.2">
      <c r="A260" s="30">
        <v>783</v>
      </c>
      <c r="B260" s="31" t="s">
        <v>574</v>
      </c>
      <c r="C260" s="41">
        <v>-2698</v>
      </c>
      <c r="D260" s="41">
        <v>-1079</v>
      </c>
      <c r="E260" s="73">
        <v>-1436</v>
      </c>
      <c r="F260" s="73">
        <v>-2107</v>
      </c>
      <c r="G260" s="73">
        <v>-2671</v>
      </c>
      <c r="H260" s="41">
        <v>-2236</v>
      </c>
      <c r="I260" s="165">
        <v>-1814.8917099999999</v>
      </c>
      <c r="J260" s="41">
        <v>-1519.9596799999999</v>
      </c>
      <c r="K260" s="41">
        <v>-3714.9547599999996</v>
      </c>
      <c r="L260" s="41">
        <f>$L$5*'7.1. Nettoinvestointiennuste '!Y260</f>
        <v>-2467.5176387013335</v>
      </c>
      <c r="M260" s="41">
        <f>$M$5*'7.1. Nettoinvestointiennuste '!Y260</f>
        <v>-2573.2707285218671</v>
      </c>
      <c r="N260" s="41">
        <f>$N$5*'7.1. Nettoinvestointiennuste '!Y260</f>
        <v>-2664.0921379208089</v>
      </c>
      <c r="O260" s="41">
        <f>O$5*'7.1. Nettoinvestointiennuste '!$Y260</f>
        <v>-2782.8470813731415</v>
      </c>
      <c r="P260" s="41">
        <f>P$5*'7.1. Nettoinvestointiennuste '!$Y260</f>
        <v>-2898.3789011165259</v>
      </c>
      <c r="T260" s="34">
        <v>783</v>
      </c>
      <c r="U260" s="88" t="s">
        <v>574</v>
      </c>
      <c r="V260" s="41">
        <f>C260/'1. Väestöennuste'!E260*1000</f>
        <v>-381.61244695898159</v>
      </c>
      <c r="W260" s="41">
        <f>D260/'1. Väestöennuste'!F260*1000</f>
        <v>-154.40755580995994</v>
      </c>
      <c r="X260" s="41">
        <f>E260/'1. Väestöennuste'!G260*1000</f>
        <v>-208.02549616108936</v>
      </c>
      <c r="Y260" s="41">
        <f>F260/'1. Väestöennuste'!H260*1000</f>
        <v>-309.35251798561154</v>
      </c>
      <c r="Z260" s="41">
        <f>G260/'1. Väestöennuste'!I260*1000</f>
        <v>-397.41109953875912</v>
      </c>
      <c r="AA260" s="41">
        <f>H260/'1. Väestöennuste'!J260*1000</f>
        <v>-336.44297321697263</v>
      </c>
      <c r="AB260" s="41">
        <f>I260/'1. Väestöennuste'!K260*1000</f>
        <v>-275.48447328476016</v>
      </c>
      <c r="AC260" s="41">
        <f>J260/'1. Väestöennuste'!L260*1000</f>
        <v>-236.79072752765225</v>
      </c>
      <c r="AD260" s="41">
        <f>K260/'1. Väestöennuste'!M260*1000</f>
        <v>-582.55523914066168</v>
      </c>
      <c r="AE260" s="41">
        <f>L260/'1. Väestöennuste'!N260*1000</f>
        <v>-390.0596962853831</v>
      </c>
      <c r="AF260" s="41">
        <f>M260/'1. Väestöennuste'!O260*1000</f>
        <v>-411.32844125988925</v>
      </c>
      <c r="AG260" s="41">
        <f>N260/'1. Väestöennuste'!P260*1000</f>
        <v>-430.73437961532886</v>
      </c>
      <c r="AH260" s="41">
        <f>O260/'1. Väestöennuste'!Q260*1000</f>
        <v>-454.86222317311893</v>
      </c>
      <c r="AI260" s="41">
        <f>P260/'1. Väestöennuste'!R260*1000</f>
        <v>-478.91257454007371</v>
      </c>
      <c r="AK260" s="34">
        <v>783</v>
      </c>
      <c r="AL260" s="88" t="s">
        <v>574</v>
      </c>
      <c r="AM260" s="41"/>
      <c r="AN260" s="41">
        <f t="shared" si="48"/>
        <v>227.20489114902165</v>
      </c>
      <c r="AO260" s="41">
        <f t="shared" si="49"/>
        <v>-53.61794035112942</v>
      </c>
      <c r="AP260" s="41">
        <f t="shared" si="50"/>
        <v>-101.32702182452218</v>
      </c>
      <c r="AQ260" s="41">
        <f t="shared" si="51"/>
        <v>-88.058581553147576</v>
      </c>
      <c r="AR260" s="41">
        <f t="shared" si="52"/>
        <v>60.968126321786485</v>
      </c>
      <c r="AS260" s="41">
        <f t="shared" si="53"/>
        <v>60.958499932212476</v>
      </c>
      <c r="AT260" s="41">
        <f t="shared" si="54"/>
        <v>38.693745757107905</v>
      </c>
      <c r="AU260" s="41">
        <f t="shared" si="55"/>
        <v>-345.7645116130094</v>
      </c>
      <c r="AV260" s="41">
        <f t="shared" si="56"/>
        <v>192.49554285527859</v>
      </c>
      <c r="AW260" s="41">
        <f t="shared" si="57"/>
        <v>-21.268744974506149</v>
      </c>
      <c r="AX260" s="41">
        <f t="shared" si="58"/>
        <v>-19.405938355439616</v>
      </c>
      <c r="AY260" s="41">
        <f t="shared" si="58"/>
        <v>-24.127843557790072</v>
      </c>
      <c r="AZ260" s="41">
        <f t="shared" si="58"/>
        <v>-24.050351366954771</v>
      </c>
    </row>
    <row r="261" spans="1:52" x14ac:dyDescent="0.2">
      <c r="A261" s="30">
        <v>785</v>
      </c>
      <c r="B261" s="31" t="s">
        <v>575</v>
      </c>
      <c r="C261" s="41">
        <v>-807</v>
      </c>
      <c r="D261" s="41">
        <v>-1679</v>
      </c>
      <c r="E261" s="73">
        <v>-2139</v>
      </c>
      <c r="F261" s="73">
        <v>-550</v>
      </c>
      <c r="G261" s="73">
        <v>-335</v>
      </c>
      <c r="H261" s="41">
        <v>-404</v>
      </c>
      <c r="I261" s="165">
        <v>-1014.98421</v>
      </c>
      <c r="J261" s="41">
        <v>-910.32528000000002</v>
      </c>
      <c r="K261" s="41">
        <v>-1667.1323</v>
      </c>
      <c r="L261" s="41">
        <f>$L$5*'7.1. Nettoinvestointiennuste '!Y261</f>
        <v>-1240.477166144997</v>
      </c>
      <c r="M261" s="41">
        <f>$M$5*'7.1. Nettoinvestointiennuste '!Y261</f>
        <v>-1293.6416465580717</v>
      </c>
      <c r="N261" s="41">
        <f>$N$5*'7.1. Nettoinvestointiennuste '!Y261</f>
        <v>-1339.2996320530765</v>
      </c>
      <c r="O261" s="41">
        <f>O$5*'7.1. Nettoinvestointiennuste '!$Y261</f>
        <v>-1399.0004396213619</v>
      </c>
      <c r="P261" s="41">
        <f>P$5*'7.1. Nettoinvestointiennuste '!$Y261</f>
        <v>-1457.0809096885487</v>
      </c>
      <c r="T261" s="34">
        <v>785</v>
      </c>
      <c r="U261" s="88" t="s">
        <v>575</v>
      </c>
      <c r="V261" s="41">
        <f>C261/'1. Väestöennuste'!E261*1000</f>
        <v>-262.52439817826934</v>
      </c>
      <c r="W261" s="41">
        <f>D261/'1. Väestöennuste'!F261*1000</f>
        <v>-552.30263157894728</v>
      </c>
      <c r="X261" s="41">
        <f>E261/'1. Väestöennuste'!G261*1000</f>
        <v>-727.30363821829314</v>
      </c>
      <c r="Y261" s="41">
        <f>F261/'1. Väestöennuste'!H261*1000</f>
        <v>-191.70442662948764</v>
      </c>
      <c r="Z261" s="41">
        <f>G261/'1. Väestöennuste'!I261*1000</f>
        <v>-119.98567335243553</v>
      </c>
      <c r="AA261" s="41">
        <f>H261/'1. Väestöennuste'!J261*1000</f>
        <v>-147.60686883449031</v>
      </c>
      <c r="AB261" s="41">
        <f>I261/'1. Väestöennuste'!K261*1000</f>
        <v>-379.71725028058364</v>
      </c>
      <c r="AC261" s="41">
        <f>J261/'1. Väestöennuste'!L261*1000</f>
        <v>-346.65852246763143</v>
      </c>
      <c r="AD261" s="41">
        <f>K261/'1. Väestöennuste'!M261*1000</f>
        <v>-643.92904596369249</v>
      </c>
      <c r="AE261" s="41">
        <f>L261/'1. Väestöennuste'!N261*1000</f>
        <v>-497.38458947273335</v>
      </c>
      <c r="AF261" s="41">
        <f>M261/'1. Väestöennuste'!O261*1000</f>
        <v>-528.66434268821888</v>
      </c>
      <c r="AG261" s="41">
        <f>N261/'1. Väestöennuste'!P261*1000</f>
        <v>-557.34483231505476</v>
      </c>
      <c r="AH261" s="41">
        <f>O261/'1. Väestöennuste'!Q261*1000</f>
        <v>-592.29485166018719</v>
      </c>
      <c r="AI261" s="41">
        <f>P261/'1. Väestöennuste'!R261*1000</f>
        <v>-626.70146653270911</v>
      </c>
      <c r="AK261" s="34">
        <v>785</v>
      </c>
      <c r="AL261" s="88" t="s">
        <v>575</v>
      </c>
      <c r="AM261" s="41"/>
      <c r="AN261" s="41">
        <f t="shared" si="48"/>
        <v>-289.77823340067795</v>
      </c>
      <c r="AO261" s="41">
        <f t="shared" si="49"/>
        <v>-175.00100663934586</v>
      </c>
      <c r="AP261" s="41">
        <f t="shared" si="50"/>
        <v>535.59921158880547</v>
      </c>
      <c r="AQ261" s="41">
        <f t="shared" si="51"/>
        <v>71.718753277052116</v>
      </c>
      <c r="AR261" s="41">
        <f t="shared" si="52"/>
        <v>-27.621195482054787</v>
      </c>
      <c r="AS261" s="41">
        <f t="shared" si="53"/>
        <v>-232.11038144609333</v>
      </c>
      <c r="AT261" s="41">
        <f t="shared" si="54"/>
        <v>33.058727812952213</v>
      </c>
      <c r="AU261" s="41">
        <f t="shared" si="55"/>
        <v>-297.27052349606106</v>
      </c>
      <c r="AV261" s="41">
        <f t="shared" si="56"/>
        <v>146.54445649095913</v>
      </c>
      <c r="AW261" s="41">
        <f t="shared" si="57"/>
        <v>-31.279753215485528</v>
      </c>
      <c r="AX261" s="41">
        <f t="shared" si="58"/>
        <v>-28.680489626835879</v>
      </c>
      <c r="AY261" s="41">
        <f t="shared" si="58"/>
        <v>-34.950019345132432</v>
      </c>
      <c r="AZ261" s="41">
        <f t="shared" si="58"/>
        <v>-34.406614872521914</v>
      </c>
    </row>
    <row r="262" spans="1:52" x14ac:dyDescent="0.2">
      <c r="A262" s="30">
        <v>790</v>
      </c>
      <c r="B262" s="31" t="s">
        <v>576</v>
      </c>
      <c r="C262" s="41">
        <v>-6454</v>
      </c>
      <c r="D262" s="41">
        <v>-7778</v>
      </c>
      <c r="E262" s="73">
        <v>-6711</v>
      </c>
      <c r="F262" s="73">
        <v>-9733</v>
      </c>
      <c r="G262" s="73">
        <v>-13118</v>
      </c>
      <c r="H262" s="41">
        <v>-10342</v>
      </c>
      <c r="I262" s="165">
        <v>-7146.8957300000002</v>
      </c>
      <c r="J262" s="41">
        <v>-11169.09288</v>
      </c>
      <c r="K262" s="41">
        <v>-13189.61102</v>
      </c>
      <c r="L262" s="41">
        <f>$L$5*'7.1. Nettoinvestointiennuste '!Y262</f>
        <v>-16072.898317293719</v>
      </c>
      <c r="M262" s="41">
        <f>$M$5*'7.1. Nettoinvestointiennuste '!Y262</f>
        <v>-16761.752018991941</v>
      </c>
      <c r="N262" s="41">
        <f>$N$5*'7.1. Nettoinvestointiennuste '!Y262</f>
        <v>-17353.343850153393</v>
      </c>
      <c r="O262" s="41">
        <f>O$5*'7.1. Nettoinvestointiennuste '!$Y262</f>
        <v>-18126.888930783443</v>
      </c>
      <c r="P262" s="41">
        <f>P$5*'7.1. Nettoinvestointiennuste '!$Y262</f>
        <v>-18879.4392518116</v>
      </c>
      <c r="T262" s="34">
        <v>790</v>
      </c>
      <c r="U262" s="88" t="s">
        <v>576</v>
      </c>
      <c r="V262" s="41">
        <f>C262/'1. Väestöennuste'!E262*1000</f>
        <v>-255.90800951625693</v>
      </c>
      <c r="W262" s="41">
        <f>D262/'1. Väestöennuste'!F262*1000</f>
        <v>-310.35033117867687</v>
      </c>
      <c r="X262" s="41">
        <f>E262/'1. Väestöennuste'!G262*1000</f>
        <v>-270.38678485092663</v>
      </c>
      <c r="Y262" s="41">
        <f>F262/'1. Väestöennuste'!H262*1000</f>
        <v>-394.83185266317793</v>
      </c>
      <c r="Z262" s="41">
        <f>G262/'1. Väestöennuste'!I262*1000</f>
        <v>-540.34683033323722</v>
      </c>
      <c r="AA262" s="41">
        <f>H262/'1. Väestöennuste'!J262*1000</f>
        <v>-429.98503242973555</v>
      </c>
      <c r="AB262" s="41">
        <f>I262/'1. Väestöennuste'!K262*1000</f>
        <v>-297.81213976164685</v>
      </c>
      <c r="AC262" s="41">
        <f>J262/'1. Väestöennuste'!L262*1000</f>
        <v>-470.59462711721585</v>
      </c>
      <c r="AD262" s="41">
        <f>K262/'1. Väestöennuste'!M262*1000</f>
        <v>-560.90202083776319</v>
      </c>
      <c r="AE262" s="41">
        <f>L262/'1. Väestöennuste'!N262*1000</f>
        <v>-698.8216659692921</v>
      </c>
      <c r="AF262" s="41">
        <f>M262/'1. Väestöennuste'!O262*1000</f>
        <v>-736.10083083711481</v>
      </c>
      <c r="AG262" s="41">
        <f>N262/'1. Väestöennuste'!P262*1000</f>
        <v>-769.27670228537067</v>
      </c>
      <c r="AH262" s="41">
        <f>O262/'1. Väestöennuste'!Q262*1000</f>
        <v>-811.01019778906732</v>
      </c>
      <c r="AI262" s="41">
        <f>P262/'1. Väestöennuste'!R262*1000</f>
        <v>-852.26793299980136</v>
      </c>
      <c r="AK262" s="34">
        <v>790</v>
      </c>
      <c r="AL262" s="88" t="s">
        <v>576</v>
      </c>
      <c r="AM262" s="41"/>
      <c r="AN262" s="41">
        <f t="shared" si="48"/>
        <v>-54.442321662419943</v>
      </c>
      <c r="AO262" s="41">
        <f t="shared" si="49"/>
        <v>39.963546327750237</v>
      </c>
      <c r="AP262" s="41">
        <f t="shared" si="50"/>
        <v>-124.4450678122513</v>
      </c>
      <c r="AQ262" s="41">
        <f t="shared" si="51"/>
        <v>-145.5149776700593</v>
      </c>
      <c r="AR262" s="41">
        <f t="shared" si="52"/>
        <v>110.36179790350167</v>
      </c>
      <c r="AS262" s="41">
        <f t="shared" si="53"/>
        <v>132.17289266808871</v>
      </c>
      <c r="AT262" s="41">
        <f t="shared" si="54"/>
        <v>-172.782487355569</v>
      </c>
      <c r="AU262" s="41">
        <f t="shared" si="55"/>
        <v>-90.307393720547338</v>
      </c>
      <c r="AV262" s="41">
        <f t="shared" si="56"/>
        <v>-137.91964513152891</v>
      </c>
      <c r="AW262" s="41">
        <f t="shared" si="57"/>
        <v>-37.279164867822715</v>
      </c>
      <c r="AX262" s="41">
        <f t="shared" si="58"/>
        <v>-33.175871448255862</v>
      </c>
      <c r="AY262" s="41">
        <f t="shared" si="58"/>
        <v>-41.733495503696645</v>
      </c>
      <c r="AZ262" s="41">
        <f t="shared" si="58"/>
        <v>-41.25773521073404</v>
      </c>
    </row>
    <row r="263" spans="1:52" x14ac:dyDescent="0.2">
      <c r="A263" s="30">
        <v>791</v>
      </c>
      <c r="B263" s="31" t="s">
        <v>577</v>
      </c>
      <c r="C263" s="41">
        <v>362</v>
      </c>
      <c r="D263" s="41">
        <v>-1509</v>
      </c>
      <c r="E263" s="73">
        <v>-1509</v>
      </c>
      <c r="F263" s="73">
        <v>-576</v>
      </c>
      <c r="G263" s="73">
        <v>-634</v>
      </c>
      <c r="H263" s="41">
        <v>-1798</v>
      </c>
      <c r="I263" s="165">
        <v>-1438.9703400000001</v>
      </c>
      <c r="J263" s="41">
        <v>-1676.85581</v>
      </c>
      <c r="K263" s="41">
        <v>-876.83445999999992</v>
      </c>
      <c r="L263" s="41">
        <f>$L$5*'7.1. Nettoinvestointiennuste '!Y263</f>
        <v>-1358.9260052552077</v>
      </c>
      <c r="M263" s="41">
        <f>$M$5*'7.1. Nettoinvestointiennuste '!Y263</f>
        <v>-1417.1669765209081</v>
      </c>
      <c r="N263" s="41">
        <f>$N$5*'7.1. Nettoinvestointiennuste '!Y263</f>
        <v>-1467.1846838436036</v>
      </c>
      <c r="O263" s="41">
        <f>O$5*'7.1. Nettoinvestointiennuste '!$Y263</f>
        <v>-1532.5861133527035</v>
      </c>
      <c r="P263" s="41">
        <f>P$5*'7.1. Nettoinvestointiennuste '!$Y263</f>
        <v>-1596.2124849827649</v>
      </c>
      <c r="T263" s="34">
        <v>791</v>
      </c>
      <c r="U263" s="88" t="s">
        <v>577</v>
      </c>
      <c r="V263" s="41">
        <f>C263/'1. Väestöennuste'!E263*1000</f>
        <v>63.766073630438612</v>
      </c>
      <c r="W263" s="41">
        <f>D263/'1. Väestöennuste'!F263*1000</f>
        <v>-270.28479312197743</v>
      </c>
      <c r="X263" s="41">
        <f>E263/'1. Väestöennuste'!G263*1000</f>
        <v>-277.03322930053241</v>
      </c>
      <c r="Y263" s="41">
        <f>F263/'1. Väestöennuste'!H263*1000</f>
        <v>-108.65874363327674</v>
      </c>
      <c r="Z263" s="41">
        <f>G263/'1. Väestöennuste'!I263*1000</f>
        <v>-121.20053527050277</v>
      </c>
      <c r="AA263" s="41">
        <f>H263/'1. Väestöennuste'!J263*1000</f>
        <v>-345.56986354026526</v>
      </c>
      <c r="AB263" s="41">
        <f>I263/'1. Väestöennuste'!K263*1000</f>
        <v>-280.44637302670043</v>
      </c>
      <c r="AC263" s="41">
        <f>J263/'1. Väestöennuste'!L263*1000</f>
        <v>-333.43722608868563</v>
      </c>
      <c r="AD263" s="41">
        <f>K263/'1. Väestöennuste'!M263*1000</f>
        <v>-177.82081930642872</v>
      </c>
      <c r="AE263" s="41">
        <f>L263/'1. Väestöennuste'!N263*1000</f>
        <v>-280.94397462377663</v>
      </c>
      <c r="AF263" s="41">
        <f>M263/'1. Väestöennuste'!O263*1000</f>
        <v>-297.91191434116212</v>
      </c>
      <c r="AG263" s="41">
        <f>N263/'1. Väestöennuste'!P263*1000</f>
        <v>-313.56800253122543</v>
      </c>
      <c r="AH263" s="41">
        <f>O263/'1. Väestöennuste'!Q263*1000</f>
        <v>-332.73688956854181</v>
      </c>
      <c r="AI263" s="41">
        <f>P263/'1. Väestöennuste'!R263*1000</f>
        <v>-351.82113400545848</v>
      </c>
      <c r="AK263" s="34">
        <v>791</v>
      </c>
      <c r="AL263" s="88" t="s">
        <v>577</v>
      </c>
      <c r="AM263" s="41"/>
      <c r="AN263" s="41">
        <f t="shared" si="48"/>
        <v>-334.05086675241603</v>
      </c>
      <c r="AO263" s="41">
        <f t="shared" si="49"/>
        <v>-6.7484361785549822</v>
      </c>
      <c r="AP263" s="41">
        <f t="shared" si="50"/>
        <v>168.37448566725567</v>
      </c>
      <c r="AQ263" s="41">
        <f t="shared" si="51"/>
        <v>-12.541791637226027</v>
      </c>
      <c r="AR263" s="41">
        <f t="shared" si="52"/>
        <v>-224.36932826976249</v>
      </c>
      <c r="AS263" s="41">
        <f t="shared" si="53"/>
        <v>65.123490513564832</v>
      </c>
      <c r="AT263" s="41">
        <f t="shared" si="54"/>
        <v>-52.990853061985206</v>
      </c>
      <c r="AU263" s="41">
        <f t="shared" si="55"/>
        <v>155.61640678225692</v>
      </c>
      <c r="AV263" s="41">
        <f t="shared" si="56"/>
        <v>-103.12315531734791</v>
      </c>
      <c r="AW263" s="41">
        <f t="shared" si="57"/>
        <v>-16.967939717385491</v>
      </c>
      <c r="AX263" s="41">
        <f t="shared" si="58"/>
        <v>-15.656088190063315</v>
      </c>
      <c r="AY263" s="41">
        <f t="shared" si="58"/>
        <v>-19.168887037316381</v>
      </c>
      <c r="AZ263" s="41">
        <f t="shared" si="58"/>
        <v>-19.084244436916663</v>
      </c>
    </row>
    <row r="264" spans="1:52" x14ac:dyDescent="0.2">
      <c r="A264" s="30">
        <v>831</v>
      </c>
      <c r="B264" s="31" t="s">
        <v>578</v>
      </c>
      <c r="C264" s="41">
        <v>-8784</v>
      </c>
      <c r="D264" s="41">
        <v>-1999</v>
      </c>
      <c r="E264" s="73">
        <v>-1649</v>
      </c>
      <c r="F264" s="73">
        <v>-815</v>
      </c>
      <c r="G264" s="73">
        <v>-814</v>
      </c>
      <c r="H264" s="41">
        <v>-353</v>
      </c>
      <c r="I264" s="165">
        <v>-712.24387999999999</v>
      </c>
      <c r="J264" s="41">
        <v>-388.07927000000001</v>
      </c>
      <c r="K264" s="41">
        <v>-1081.0892200000001</v>
      </c>
      <c r="L264" s="41">
        <f>$L$5*'7.1. Nettoinvestointiennuste '!Y264</f>
        <v>-1078.4592661709714</v>
      </c>
      <c r="M264" s="41">
        <f>$M$5*'7.1. Nettoinvestointiennuste '!Y264</f>
        <v>-1124.6799690564801</v>
      </c>
      <c r="N264" s="41">
        <f>$N$5*'7.1. Nettoinvestointiennuste '!Y264</f>
        <v>-1164.3745953467894</v>
      </c>
      <c r="O264" s="41">
        <f>O$5*'7.1. Nettoinvestointiennuste '!$Y264</f>
        <v>-1216.2779200327207</v>
      </c>
      <c r="P264" s="41">
        <f>P$5*'7.1. Nettoinvestointiennuste '!$Y264</f>
        <v>-1266.7725384239484</v>
      </c>
      <c r="T264" s="34">
        <v>831</v>
      </c>
      <c r="U264" s="88" t="s">
        <v>578</v>
      </c>
      <c r="V264" s="41">
        <f>C264/'1. Väestöennuste'!E264*1000</f>
        <v>-1824.2990654205607</v>
      </c>
      <c r="W264" s="41">
        <f>D264/'1. Väestöennuste'!F264*1000</f>
        <v>-413.7003311258278</v>
      </c>
      <c r="X264" s="41">
        <f>E264/'1. Väestöennuste'!G264*1000</f>
        <v>-345.41265186426477</v>
      </c>
      <c r="Y264" s="41">
        <f>F264/'1. Väestöennuste'!H264*1000</f>
        <v>-172.8525980911983</v>
      </c>
      <c r="Z264" s="41">
        <f>G264/'1. Väestöennuste'!I264*1000</f>
        <v>-174.26675230143437</v>
      </c>
      <c r="AA264" s="41">
        <f>H264/'1. Väestöennuste'!J264*1000</f>
        <v>-76.274848746758849</v>
      </c>
      <c r="AB264" s="41">
        <f>I264/'1. Väestöennuste'!K264*1000</f>
        <v>-155.00410881392818</v>
      </c>
      <c r="AC264" s="41">
        <f>J264/'1. Väestöennuste'!L264*1000</f>
        <v>-85.123770563720115</v>
      </c>
      <c r="AD264" s="41">
        <f>K264/'1. Väestöennuste'!M264*1000</f>
        <v>-233.74902054054056</v>
      </c>
      <c r="AE264" s="41">
        <f>L264/'1. Väestöennuste'!N264*1000</f>
        <v>-239.60436928926271</v>
      </c>
      <c r="AF264" s="41">
        <f>M264/'1. Väestöennuste'!O264*1000</f>
        <v>-251.66255740802868</v>
      </c>
      <c r="AG264" s="41">
        <f>N264/'1. Väestöennuste'!P264*1000</f>
        <v>-262.48300165617434</v>
      </c>
      <c r="AH264" s="41">
        <f>O264/'1. Väestöennuste'!Q264*1000</f>
        <v>-276.05036768786215</v>
      </c>
      <c r="AI264" s="41">
        <f>P264/'1. Väestöennuste'!R264*1000</f>
        <v>-289.54800878261676</v>
      </c>
      <c r="AK264" s="34">
        <v>831</v>
      </c>
      <c r="AL264" s="88" t="s">
        <v>578</v>
      </c>
      <c r="AM264" s="41"/>
      <c r="AN264" s="41">
        <f t="shared" si="48"/>
        <v>1410.5987342947328</v>
      </c>
      <c r="AO264" s="41">
        <f t="shared" si="49"/>
        <v>68.287679261563028</v>
      </c>
      <c r="AP264" s="41">
        <f t="shared" si="50"/>
        <v>172.56005377306647</v>
      </c>
      <c r="AQ264" s="41">
        <f t="shared" si="51"/>
        <v>-1.4141542102360631</v>
      </c>
      <c r="AR264" s="41">
        <f t="shared" si="52"/>
        <v>97.991903554675517</v>
      </c>
      <c r="AS264" s="41">
        <f t="shared" si="53"/>
        <v>-78.729260067169335</v>
      </c>
      <c r="AT264" s="41">
        <f t="shared" si="54"/>
        <v>69.880338250208069</v>
      </c>
      <c r="AU264" s="41">
        <f t="shared" si="55"/>
        <v>-148.62524997682044</v>
      </c>
      <c r="AV264" s="41">
        <f t="shared" si="56"/>
        <v>-5.8553487487221503</v>
      </c>
      <c r="AW264" s="41">
        <f t="shared" si="57"/>
        <v>-12.058188118765969</v>
      </c>
      <c r="AX264" s="41">
        <f t="shared" si="58"/>
        <v>-10.820444248145662</v>
      </c>
      <c r="AY264" s="41">
        <f t="shared" si="58"/>
        <v>-13.567366031687811</v>
      </c>
      <c r="AZ264" s="41">
        <f t="shared" si="58"/>
        <v>-13.497641094754613</v>
      </c>
    </row>
    <row r="265" spans="1:52" x14ac:dyDescent="0.2">
      <c r="A265" s="30">
        <v>832</v>
      </c>
      <c r="B265" s="31" t="s">
        <v>579</v>
      </c>
      <c r="C265" s="41">
        <v>-3168</v>
      </c>
      <c r="D265" s="41">
        <v>-3330</v>
      </c>
      <c r="E265" s="73">
        <v>-3709</v>
      </c>
      <c r="F265" s="73">
        <v>-3017</v>
      </c>
      <c r="G265" s="73">
        <v>-3252</v>
      </c>
      <c r="H265" s="41">
        <v>-4222</v>
      </c>
      <c r="I265" s="165">
        <v>-3253.9257799999996</v>
      </c>
      <c r="J265" s="41">
        <v>-1405.8399099999999</v>
      </c>
      <c r="K265" s="41">
        <v>-3895.02286</v>
      </c>
      <c r="L265" s="41">
        <f>$L$5*'7.1. Nettoinvestointiennuste '!Y265</f>
        <v>-3105.5676610727965</v>
      </c>
      <c r="M265" s="41">
        <f>$M$5*'7.1. Nettoinvestointiennuste '!Y265</f>
        <v>-3238.6663553451613</v>
      </c>
      <c r="N265" s="41">
        <f>$N$5*'7.1. Nettoinvestointiennuste '!Y265</f>
        <v>-3352.9723394397074</v>
      </c>
      <c r="O265" s="41">
        <f>O$5*'7.1. Nettoinvestointiennuste '!$Y265</f>
        <v>-3502.4349030273761</v>
      </c>
      <c r="P265" s="41">
        <f>P$5*'7.1. Nettoinvestointiennuste '!$Y265</f>
        <v>-3647.8409084769587</v>
      </c>
      <c r="T265" s="34">
        <v>832</v>
      </c>
      <c r="U265" s="88" t="s">
        <v>579</v>
      </c>
      <c r="V265" s="41">
        <f>C265/'1. Väestöennuste'!E265*1000</f>
        <v>-754.4653488925934</v>
      </c>
      <c r="W265" s="41">
        <f>D265/'1. Väestöennuste'!F265*1000</f>
        <v>-805.71013791434802</v>
      </c>
      <c r="X265" s="41">
        <f>E265/'1. Väestöennuste'!G265*1000</f>
        <v>-913.99704287826512</v>
      </c>
      <c r="Y265" s="41">
        <f>F265/'1. Väestöennuste'!H265*1000</f>
        <v>-749.75149105367791</v>
      </c>
      <c r="Z265" s="41">
        <f>G265/'1. Väestöennuste'!I265*1000</f>
        <v>-817.907444668008</v>
      </c>
      <c r="AA265" s="41">
        <f>H265/'1. Väestöennuste'!J265*1000</f>
        <v>-1078.1409601634321</v>
      </c>
      <c r="AB265" s="41">
        <f>I265/'1. Väestöennuste'!K265*1000</f>
        <v>-831.56805008944536</v>
      </c>
      <c r="AC265" s="41">
        <f>J265/'1. Väestöennuste'!L265*1000</f>
        <v>-367.53984575163395</v>
      </c>
      <c r="AD265" s="41">
        <f>K265/'1. Väestöennuste'!M265*1000</f>
        <v>-1043.9621709997321</v>
      </c>
      <c r="AE265" s="41">
        <f>L265/'1. Väestöennuste'!N265*1000</f>
        <v>-843.21685068498414</v>
      </c>
      <c r="AF265" s="41">
        <f>M265/'1. Väestöennuste'!O265*1000</f>
        <v>-892.19458824935566</v>
      </c>
      <c r="AG265" s="41">
        <f>N265/'1. Väestöennuste'!P265*1000</f>
        <v>-937.10797636660345</v>
      </c>
      <c r="AH265" s="41">
        <f>O265/'1. Väestöennuste'!Q265*1000</f>
        <v>-993.03512986316298</v>
      </c>
      <c r="AI265" s="41">
        <f>P265/'1. Väestöennuste'!R265*1000</f>
        <v>-1049.4363948437742</v>
      </c>
      <c r="AK265" s="34">
        <v>832</v>
      </c>
      <c r="AL265" s="88" t="s">
        <v>579</v>
      </c>
      <c r="AM265" s="41"/>
      <c r="AN265" s="41">
        <f t="shared" si="48"/>
        <v>-51.244789021754627</v>
      </c>
      <c r="AO265" s="41">
        <f t="shared" si="49"/>
        <v>-108.2869049639171</v>
      </c>
      <c r="AP265" s="41">
        <f t="shared" si="50"/>
        <v>164.24555182458721</v>
      </c>
      <c r="AQ265" s="41">
        <f t="shared" si="51"/>
        <v>-68.155953614330087</v>
      </c>
      <c r="AR265" s="41">
        <f t="shared" si="52"/>
        <v>-260.23351549542406</v>
      </c>
      <c r="AS265" s="41">
        <f t="shared" si="53"/>
        <v>246.57291007398669</v>
      </c>
      <c r="AT265" s="41">
        <f t="shared" si="54"/>
        <v>464.02820433781142</v>
      </c>
      <c r="AU265" s="41">
        <f t="shared" si="55"/>
        <v>-676.4223252480981</v>
      </c>
      <c r="AV265" s="41">
        <f t="shared" si="56"/>
        <v>200.74532031474791</v>
      </c>
      <c r="AW265" s="41">
        <f t="shared" si="57"/>
        <v>-48.977737564371523</v>
      </c>
      <c r="AX265" s="41">
        <f t="shared" si="58"/>
        <v>-44.913388117247791</v>
      </c>
      <c r="AY265" s="41">
        <f t="shared" si="58"/>
        <v>-55.927153496559527</v>
      </c>
      <c r="AZ265" s="41">
        <f t="shared" si="58"/>
        <v>-56.401264980611245</v>
      </c>
    </row>
    <row r="266" spans="1:52" x14ac:dyDescent="0.2">
      <c r="A266" s="30">
        <v>833</v>
      </c>
      <c r="B266" s="31" t="s">
        <v>580</v>
      </c>
      <c r="C266" s="41">
        <v>-2671</v>
      </c>
      <c r="D266" s="41">
        <v>873</v>
      </c>
      <c r="E266" s="73">
        <v>-4</v>
      </c>
      <c r="F266" s="73">
        <v>-553</v>
      </c>
      <c r="G266" s="73">
        <v>-456</v>
      </c>
      <c r="H266" s="41">
        <v>-376</v>
      </c>
      <c r="I266" s="165">
        <v>-739.24167</v>
      </c>
      <c r="J266" s="41">
        <v>-463.04822999999999</v>
      </c>
      <c r="K266" s="41">
        <v>-474.54121000000004</v>
      </c>
      <c r="L266" s="41">
        <f>$L$5*'7.1. Nettoinvestointiennuste '!Y266</f>
        <v>-724.64650929495622</v>
      </c>
      <c r="M266" s="41">
        <f>$M$5*'7.1. Nettoinvestointiennuste '!Y266</f>
        <v>-755.70347366419105</v>
      </c>
      <c r="N266" s="41">
        <f>$N$5*'7.1. Nettoinvestointiennuste '!Y266</f>
        <v>-782.3753872740283</v>
      </c>
      <c r="O266" s="41">
        <f>O$5*'7.1. Nettoinvestointiennuste '!$Y266</f>
        <v>-817.25066187573032</v>
      </c>
      <c r="P266" s="41">
        <f>P$5*'7.1. Nettoinvestointiennuste '!$Y266</f>
        <v>-851.17938788621586</v>
      </c>
      <c r="T266" s="34">
        <v>833</v>
      </c>
      <c r="U266" s="88" t="s">
        <v>580</v>
      </c>
      <c r="V266" s="41">
        <f>C266/'1. Väestöennuste'!E266*1000</f>
        <v>-1635.6399265156153</v>
      </c>
      <c r="W266" s="41">
        <f>D266/'1. Väestöennuste'!F266*1000</f>
        <v>538.22441430332924</v>
      </c>
      <c r="X266" s="41">
        <f>E266/'1. Väestöennuste'!G266*1000</f>
        <v>-2.4183796856106405</v>
      </c>
      <c r="Y266" s="41">
        <f>F266/'1. Väestöennuste'!H266*1000</f>
        <v>-332.73164861612514</v>
      </c>
      <c r="Z266" s="41">
        <f>G266/'1. Väestöennuste'!I266*1000</f>
        <v>-278.21842586943256</v>
      </c>
      <c r="AA266" s="41">
        <f>H266/'1. Väestöennuste'!J266*1000</f>
        <v>-226.64255575647982</v>
      </c>
      <c r="AB266" s="41">
        <f>I266/'1. Väestöennuste'!K266*1000</f>
        <v>-440.81196779964222</v>
      </c>
      <c r="AC266" s="41">
        <f>J266/'1. Väestöennuste'!L266*1000</f>
        <v>-273.83100532229446</v>
      </c>
      <c r="AD266" s="41">
        <f>K266/'1. Väestöennuste'!M266*1000</f>
        <v>-278.3232903225807</v>
      </c>
      <c r="AE266" s="41">
        <f>L266/'1. Väestöennuste'!N266*1000</f>
        <v>-430.8243218162641</v>
      </c>
      <c r="AF266" s="41">
        <f>M266/'1. Väestöennuste'!O266*1000</f>
        <v>-448.48870840604809</v>
      </c>
      <c r="AG266" s="41">
        <f>N266/'1. Väestöennuste'!P266*1000</f>
        <v>-463.49252800594093</v>
      </c>
      <c r="AH266" s="41">
        <f>O266/'1. Väestöennuste'!Q266*1000</f>
        <v>-482.72336791242191</v>
      </c>
      <c r="AI266" s="41">
        <f>P266/'1. Väestöennuste'!R266*1000</f>
        <v>-502.17073031635152</v>
      </c>
      <c r="AK266" s="34">
        <v>833</v>
      </c>
      <c r="AL266" s="88" t="s">
        <v>580</v>
      </c>
      <c r="AM266" s="41"/>
      <c r="AN266" s="41">
        <f t="shared" si="48"/>
        <v>2173.8643408189446</v>
      </c>
      <c r="AO266" s="41">
        <f t="shared" si="49"/>
        <v>-540.64279398893984</v>
      </c>
      <c r="AP266" s="41">
        <f t="shared" si="50"/>
        <v>-330.31326893051448</v>
      </c>
      <c r="AQ266" s="41">
        <f t="shared" si="51"/>
        <v>54.513222746692577</v>
      </c>
      <c r="AR266" s="41">
        <f t="shared" si="52"/>
        <v>51.575870112952742</v>
      </c>
      <c r="AS266" s="41">
        <f t="shared" si="53"/>
        <v>-214.1694120431624</v>
      </c>
      <c r="AT266" s="41">
        <f t="shared" si="54"/>
        <v>166.98096247734776</v>
      </c>
      <c r="AU266" s="41">
        <f t="shared" si="55"/>
        <v>-4.4922850002862447</v>
      </c>
      <c r="AV266" s="41">
        <f t="shared" si="56"/>
        <v>-152.5010314936834</v>
      </c>
      <c r="AW266" s="41">
        <f t="shared" si="57"/>
        <v>-17.664386589783987</v>
      </c>
      <c r="AX266" s="41">
        <f t="shared" si="58"/>
        <v>-15.003819599892836</v>
      </c>
      <c r="AY266" s="41">
        <f t="shared" si="58"/>
        <v>-19.230839906480981</v>
      </c>
      <c r="AZ266" s="41">
        <f t="shared" si="58"/>
        <v>-19.447362403929617</v>
      </c>
    </row>
    <row r="267" spans="1:52" x14ac:dyDescent="0.2">
      <c r="A267" s="30">
        <v>834</v>
      </c>
      <c r="B267" s="31" t="s">
        <v>581</v>
      </c>
      <c r="C267" s="41">
        <v>-2056</v>
      </c>
      <c r="D267" s="41">
        <v>-1404</v>
      </c>
      <c r="E267" s="73">
        <v>-1914</v>
      </c>
      <c r="F267" s="73">
        <v>-1756</v>
      </c>
      <c r="G267" s="73">
        <v>-1494</v>
      </c>
      <c r="H267" s="41">
        <v>-920</v>
      </c>
      <c r="I267" s="165">
        <v>-891.93421999999998</v>
      </c>
      <c r="J267" s="41">
        <v>-3051.2428799999998</v>
      </c>
      <c r="K267" s="41">
        <v>-5960.2790599999998</v>
      </c>
      <c r="L267" s="41">
        <f>$L$5*'7.1. Nettoinvestointiennuste '!Y267</f>
        <v>-4959.0950505884421</v>
      </c>
      <c r="M267" s="41">
        <f>$M$5*'7.1. Nettoinvestointiennuste '!Y267</f>
        <v>-5171.632386122732</v>
      </c>
      <c r="N267" s="41">
        <f>$N$5*'7.1. Nettoinvestointiennuste '!Y267</f>
        <v>-5354.1607679967528</v>
      </c>
      <c r="O267" s="41">
        <f>O$5*'7.1. Nettoinvestointiennuste '!$Y267</f>
        <v>-5592.8285866459937</v>
      </c>
      <c r="P267" s="41">
        <f>P$5*'7.1. Nettoinvestointiennuste '!$Y267</f>
        <v>-5825.0187304929213</v>
      </c>
      <c r="T267" s="34">
        <v>834</v>
      </c>
      <c r="U267" s="88" t="s">
        <v>581</v>
      </c>
      <c r="V267" s="41">
        <f>C267/'1. Väestöennuste'!E267*1000</f>
        <v>-327.38853503184714</v>
      </c>
      <c r="W267" s="41">
        <f>D267/'1. Väestöennuste'!F267*1000</f>
        <v>-224.96394808524275</v>
      </c>
      <c r="X267" s="41">
        <f>E267/'1. Väestöennuste'!G267*1000</f>
        <v>-310.96669374492279</v>
      </c>
      <c r="Y267" s="41">
        <f>F267/'1. Väestöennuste'!H267*1000</f>
        <v>-288.7682946883736</v>
      </c>
      <c r="Z267" s="41">
        <f>G267/'1. Väestöennuste'!I267*1000</f>
        <v>-248.3790523690773</v>
      </c>
      <c r="AA267" s="41">
        <f>H267/'1. Väestöennuste'!J267*1000</f>
        <v>-152.92553191489361</v>
      </c>
      <c r="AB267" s="41">
        <f>I267/'1. Väestöennuste'!K267*1000</f>
        <v>-149.47783140606668</v>
      </c>
      <c r="AC267" s="41">
        <f>J267/'1. Väestöennuste'!L267*1000</f>
        <v>-519.0071236604864</v>
      </c>
      <c r="AD267" s="41">
        <f>K267/'1. Väestöennuste'!M267*1000</f>
        <v>-1019.8971697467487</v>
      </c>
      <c r="AE267" s="41">
        <f>L267/'1. Väestöennuste'!N267*1000</f>
        <v>-855.75410709032656</v>
      </c>
      <c r="AF267" s="41">
        <f>M267/'1. Väestöennuste'!O267*1000</f>
        <v>-900.35382766760654</v>
      </c>
      <c r="AG267" s="41">
        <f>N267/'1. Väestöennuste'!P267*1000</f>
        <v>-940.15114451216027</v>
      </c>
      <c r="AH267" s="41">
        <f>O267/'1. Väestöennuste'!Q267*1000</f>
        <v>-990.23169027018298</v>
      </c>
      <c r="AI267" s="41">
        <f>P267/'1. Väestöennuste'!R267*1000</f>
        <v>-1039.0686283433681</v>
      </c>
      <c r="AK267" s="34">
        <v>834</v>
      </c>
      <c r="AL267" s="88" t="s">
        <v>581</v>
      </c>
      <c r="AM267" s="41"/>
      <c r="AN267" s="41">
        <f t="shared" si="48"/>
        <v>102.42458694660439</v>
      </c>
      <c r="AO267" s="41">
        <f t="shared" si="49"/>
        <v>-86.002745659680045</v>
      </c>
      <c r="AP267" s="41">
        <f t="shared" si="50"/>
        <v>22.198399056549192</v>
      </c>
      <c r="AQ267" s="41">
        <f t="shared" si="51"/>
        <v>40.389242319296301</v>
      </c>
      <c r="AR267" s="41">
        <f t="shared" si="52"/>
        <v>95.453520454183689</v>
      </c>
      <c r="AS267" s="41">
        <f t="shared" si="53"/>
        <v>3.4477005088269266</v>
      </c>
      <c r="AT267" s="41">
        <f t="shared" si="54"/>
        <v>-369.52929225441972</v>
      </c>
      <c r="AU267" s="41">
        <f t="shared" si="55"/>
        <v>-500.89004608626226</v>
      </c>
      <c r="AV267" s="41">
        <f t="shared" si="56"/>
        <v>164.1430626564221</v>
      </c>
      <c r="AW267" s="41">
        <f t="shared" si="57"/>
        <v>-44.599720577279982</v>
      </c>
      <c r="AX267" s="41">
        <f t="shared" si="58"/>
        <v>-39.797316844553734</v>
      </c>
      <c r="AY267" s="41">
        <f t="shared" si="58"/>
        <v>-50.080545758022708</v>
      </c>
      <c r="AZ267" s="41">
        <f t="shared" si="58"/>
        <v>-48.836938073185138</v>
      </c>
    </row>
    <row r="268" spans="1:52" x14ac:dyDescent="0.2">
      <c r="A268" s="30">
        <v>837</v>
      </c>
      <c r="B268" s="31" t="s">
        <v>582</v>
      </c>
      <c r="C268" s="41">
        <v>-178794</v>
      </c>
      <c r="D268" s="41">
        <v>-199647</v>
      </c>
      <c r="E268" s="73">
        <v>-118486</v>
      </c>
      <c r="F268" s="73">
        <v>-167502</v>
      </c>
      <c r="G268" s="73">
        <v>-120358</v>
      </c>
      <c r="H268" s="41">
        <v>-177227</v>
      </c>
      <c r="I268" s="165">
        <v>-125283.14090000001</v>
      </c>
      <c r="J268" s="41">
        <v>-215759.96902000002</v>
      </c>
      <c r="K268" s="41">
        <v>-195636.31946</v>
      </c>
      <c r="L268" s="41">
        <f>$L$5*'7.1. Nettoinvestointiennuste '!Y268</f>
        <v>-192210.42380120608</v>
      </c>
      <c r="M268" s="41">
        <f>$M$5*'7.1. Nettoinvestointiennuste '!Y268</f>
        <v>-200448.19519293966</v>
      </c>
      <c r="N268" s="41">
        <f>$N$5*'7.1. Nettoinvestointiennuste '!Y268</f>
        <v>-207522.8443532922</v>
      </c>
      <c r="O268" s="41">
        <f>O$5*'7.1. Nettoinvestointiennuste '!$Y268</f>
        <v>-216773.41166493032</v>
      </c>
      <c r="P268" s="41">
        <f>P$5*'7.1. Nettoinvestointiennuste '!$Y268</f>
        <v>-225772.90965720723</v>
      </c>
      <c r="T268" s="34">
        <v>837</v>
      </c>
      <c r="U268" s="88" t="s">
        <v>582</v>
      </c>
      <c r="V268" s="41">
        <f>C268/'1. Väestöennuste'!E268*1000</f>
        <v>-794.22347391145979</v>
      </c>
      <c r="W268" s="41">
        <f>D268/'1. Väestöennuste'!F268*1000</f>
        <v>-874.59369003916345</v>
      </c>
      <c r="X268" s="41">
        <f>E268/'1. Väestöennuste'!G268*1000</f>
        <v>-511.03932232923444</v>
      </c>
      <c r="Y268" s="41">
        <f>F268/'1. Väestöennuste'!H268*1000</f>
        <v>-712.05029778225548</v>
      </c>
      <c r="Z268" s="41">
        <f>G268/'1. Väestöennuste'!I268*1000</f>
        <v>-505.40858318636094</v>
      </c>
      <c r="AA268" s="41">
        <f>H268/'1. Väestöennuste'!J268*1000</f>
        <v>-735.35428137538429</v>
      </c>
      <c r="AB268" s="41">
        <f>I268/'1. Väestöennuste'!K268*1000</f>
        <v>-512.986659323651</v>
      </c>
      <c r="AC268" s="41">
        <f>J268/'1. Väestöennuste'!L268*1000</f>
        <v>-866.47458132035388</v>
      </c>
      <c r="AD268" s="41">
        <f>K268/'1. Väestöennuste'!M268*1000</f>
        <v>-767.05085065673393</v>
      </c>
      <c r="AE268" s="41">
        <f>L268/'1. Väestöennuste'!N268*1000</f>
        <v>-757.20198627185346</v>
      </c>
      <c r="AF268" s="41">
        <f>M268/'1. Väestöennuste'!O268*1000</f>
        <v>-781.21251819249551</v>
      </c>
      <c r="AG268" s="41">
        <f>N268/'1. Väestöennuste'!P268*1000</f>
        <v>-800.65605809342219</v>
      </c>
      <c r="AH268" s="41">
        <f>O268/'1. Väestöennuste'!Q268*1000</f>
        <v>-828.40070646228105</v>
      </c>
      <c r="AI268" s="41">
        <f>P268/'1. Väestöennuste'!R268*1000</f>
        <v>-854.99962000290554</v>
      </c>
      <c r="AK268" s="34">
        <v>837</v>
      </c>
      <c r="AL268" s="88" t="s">
        <v>582</v>
      </c>
      <c r="AM268" s="41"/>
      <c r="AN268" s="41">
        <f t="shared" si="48"/>
        <v>-80.370216127703657</v>
      </c>
      <c r="AO268" s="41">
        <f t="shared" si="49"/>
        <v>363.55436770992901</v>
      </c>
      <c r="AP268" s="41">
        <f t="shared" si="50"/>
        <v>-201.01097545302105</v>
      </c>
      <c r="AQ268" s="41">
        <f t="shared" si="51"/>
        <v>206.64171459589454</v>
      </c>
      <c r="AR268" s="41">
        <f t="shared" si="52"/>
        <v>-229.94569818902335</v>
      </c>
      <c r="AS268" s="41">
        <f t="shared" si="53"/>
        <v>222.36762205173329</v>
      </c>
      <c r="AT268" s="41">
        <f t="shared" si="54"/>
        <v>-353.48792199670288</v>
      </c>
      <c r="AU268" s="41">
        <f t="shared" si="55"/>
        <v>99.423730663619949</v>
      </c>
      <c r="AV268" s="41">
        <f t="shared" si="56"/>
        <v>9.8488643848804713</v>
      </c>
      <c r="AW268" s="41">
        <f t="shared" si="57"/>
        <v>-24.010531920642052</v>
      </c>
      <c r="AX268" s="41">
        <f t="shared" si="58"/>
        <v>-19.44353990092668</v>
      </c>
      <c r="AY268" s="41">
        <f t="shared" si="58"/>
        <v>-27.744648368858861</v>
      </c>
      <c r="AZ268" s="41">
        <f t="shared" si="58"/>
        <v>-26.598913540624494</v>
      </c>
    </row>
    <row r="269" spans="1:52" x14ac:dyDescent="0.2">
      <c r="A269" s="30">
        <v>844</v>
      </c>
      <c r="B269" s="31" t="s">
        <v>583</v>
      </c>
      <c r="C269" s="41">
        <v>-227</v>
      </c>
      <c r="D269" s="41">
        <v>-708</v>
      </c>
      <c r="E269" s="73">
        <v>-92</v>
      </c>
      <c r="F269" s="73">
        <v>56</v>
      </c>
      <c r="G269" s="73">
        <v>237</v>
      </c>
      <c r="H269" s="41">
        <v>-637</v>
      </c>
      <c r="I269" s="165">
        <v>-15.15178</v>
      </c>
      <c r="J269" s="41">
        <v>75.63239999999999</v>
      </c>
      <c r="K269" s="41">
        <v>-207.37461999999999</v>
      </c>
      <c r="L269" s="41">
        <f>$L$5*'7.1. Nettoinvestointiennuste '!Y269</f>
        <v>-177.09778552532401</v>
      </c>
      <c r="M269" s="41">
        <f>$M$5*'7.1. Nettoinvestointiennuste '!Y269</f>
        <v>-184.68785812538624</v>
      </c>
      <c r="N269" s="41">
        <f>$N$5*'7.1. Nettoinvestointiennuste '!Y269</f>
        <v>-191.20625954654355</v>
      </c>
      <c r="O269" s="41">
        <f>O$5*'7.1. Nettoinvestointiennuste '!$Y269</f>
        <v>-199.72949649355965</v>
      </c>
      <c r="P269" s="41">
        <f>P$5*'7.1. Nettoinvestointiennuste '!$Y269</f>
        <v>-208.02140456884811</v>
      </c>
      <c r="T269" s="34">
        <v>844</v>
      </c>
      <c r="U269" s="88" t="s">
        <v>583</v>
      </c>
      <c r="V269" s="41">
        <f>C269/'1. Väestöennuste'!E269*1000</f>
        <v>-141.16915422885572</v>
      </c>
      <c r="W269" s="41">
        <f>D269/'1. Väestöennuste'!F269*1000</f>
        <v>-439.47858472998138</v>
      </c>
      <c r="X269" s="41">
        <f>E269/'1. Väestöennuste'!G269*1000</f>
        <v>-58.044164037854891</v>
      </c>
      <c r="Y269" s="41">
        <f>F269/'1. Väestöennuste'!H269*1000</f>
        <v>35.737077217613276</v>
      </c>
      <c r="Z269" s="41">
        <f>G269/'1. Väestöennuste'!I269*1000</f>
        <v>155.92105263157896</v>
      </c>
      <c r="AA269" s="41">
        <f>H269/'1. Väestöennuste'!J269*1000</f>
        <v>-423.81902860944774</v>
      </c>
      <c r="AB269" s="41">
        <f>I269/'1. Väestöennuste'!K269*1000</f>
        <v>-10.244611223799865</v>
      </c>
      <c r="AC269" s="41">
        <f>J269/'1. Väestöennuste'!L269*1000</f>
        <v>52.48605135322692</v>
      </c>
      <c r="AD269" s="41">
        <f>K269/'1. Väestöennuste'!M269*1000</f>
        <v>-146.86587818696884</v>
      </c>
      <c r="AE269" s="41">
        <f>L269/'1. Väestöennuste'!N269*1000</f>
        <v>-123.49915308600001</v>
      </c>
      <c r="AF269" s="41">
        <f>M269/'1. Väestöennuste'!O269*1000</f>
        <v>-129.87894382938552</v>
      </c>
      <c r="AG269" s="41">
        <f>N269/'1. Väestöennuste'!P269*1000</f>
        <v>-135.41519797913847</v>
      </c>
      <c r="AH269" s="41">
        <f>O269/'1. Väestöennuste'!Q269*1000</f>
        <v>-142.46041119369448</v>
      </c>
      <c r="AI269" s="41">
        <f>P269/'1. Väestöennuste'!R269*1000</f>
        <v>-149.54809818033655</v>
      </c>
      <c r="AK269" s="34">
        <v>844</v>
      </c>
      <c r="AL269" s="88" t="s">
        <v>583</v>
      </c>
      <c r="AM269" s="41"/>
      <c r="AN269" s="41">
        <f t="shared" si="48"/>
        <v>-298.30943050112569</v>
      </c>
      <c r="AO269" s="41">
        <f t="shared" si="49"/>
        <v>381.43442069212648</v>
      </c>
      <c r="AP269" s="41">
        <f t="shared" si="50"/>
        <v>93.78124125546816</v>
      </c>
      <c r="AQ269" s="41">
        <f t="shared" si="51"/>
        <v>120.18397541396568</v>
      </c>
      <c r="AR269" s="41">
        <f t="shared" si="52"/>
        <v>-579.7400812410267</v>
      </c>
      <c r="AS269" s="41">
        <f t="shared" si="53"/>
        <v>413.57441738564785</v>
      </c>
      <c r="AT269" s="41">
        <f t="shared" si="54"/>
        <v>62.730662577026784</v>
      </c>
      <c r="AU269" s="41">
        <f t="shared" si="55"/>
        <v>-199.35192954019575</v>
      </c>
      <c r="AV269" s="41">
        <f t="shared" si="56"/>
        <v>23.366725100968836</v>
      </c>
      <c r="AW269" s="41">
        <f t="shared" si="57"/>
        <v>-6.379790743385513</v>
      </c>
      <c r="AX269" s="41">
        <f t="shared" si="58"/>
        <v>-5.5362541497529492</v>
      </c>
      <c r="AY269" s="41">
        <f t="shared" si="58"/>
        <v>-7.0452132145560142</v>
      </c>
      <c r="AZ269" s="41">
        <f t="shared" si="58"/>
        <v>-7.0876869866420691</v>
      </c>
    </row>
    <row r="270" spans="1:52" x14ac:dyDescent="0.2">
      <c r="A270" s="30">
        <v>845</v>
      </c>
      <c r="B270" s="31" t="s">
        <v>584</v>
      </c>
      <c r="C270" s="41">
        <v>-1141</v>
      </c>
      <c r="D270" s="41">
        <v>-461</v>
      </c>
      <c r="E270" s="73">
        <v>-528</v>
      </c>
      <c r="F270" s="73">
        <v>-1086</v>
      </c>
      <c r="G270" s="73">
        <v>-1077</v>
      </c>
      <c r="H270" s="41">
        <v>-972</v>
      </c>
      <c r="I270" s="165">
        <v>-792.76832999999999</v>
      </c>
      <c r="J270" s="41">
        <v>-1710.29702</v>
      </c>
      <c r="K270" s="41">
        <v>-1445.7585800000002</v>
      </c>
      <c r="L270" s="41">
        <f>$L$5*'7.1. Nettoinvestointiennuste '!Y270</f>
        <v>-2198.1999981061167</v>
      </c>
      <c r="M270" s="41">
        <f>$M$5*'7.1. Nettoinvestointiennuste '!Y270</f>
        <v>-2292.4106485983912</v>
      </c>
      <c r="N270" s="41">
        <f>$N$5*'7.1. Nettoinvestointiennuste '!Y270</f>
        <v>-2373.3193395181538</v>
      </c>
      <c r="O270" s="41">
        <f>O$5*'7.1. Nettoinvestointiennuste '!$Y270</f>
        <v>-2479.1127540727907</v>
      </c>
      <c r="P270" s="41">
        <f>P$5*'7.1. Nettoinvestointiennuste '!$Y270</f>
        <v>-2582.0348333146499</v>
      </c>
      <c r="T270" s="34">
        <v>845</v>
      </c>
      <c r="U270" s="88" t="s">
        <v>584</v>
      </c>
      <c r="V270" s="41">
        <f>C270/'1. Väestöennuste'!E270*1000</f>
        <v>-357.12050078247262</v>
      </c>
      <c r="W270" s="41">
        <f>D270/'1. Väestöennuste'!F270*1000</f>
        <v>-148.75766376250405</v>
      </c>
      <c r="X270" s="41">
        <f>E270/'1. Väestöennuste'!G270*1000</f>
        <v>-172.09908735332462</v>
      </c>
      <c r="Y270" s="41">
        <f>F270/'1. Väestöennuste'!H270*1000</f>
        <v>-354.67015022860875</v>
      </c>
      <c r="Z270" s="41">
        <f>G270/'1. Väestöennuste'!I270*1000</f>
        <v>-358.88037320893034</v>
      </c>
      <c r="AA270" s="41">
        <f>H270/'1. Väestöennuste'!J270*1000</f>
        <v>-332.30769230769232</v>
      </c>
      <c r="AB270" s="41">
        <f>I270/'1. Väestöennuste'!K270*1000</f>
        <v>-275.07575641915338</v>
      </c>
      <c r="AC270" s="41">
        <f>J270/'1. Väestöennuste'!L270*1000</f>
        <v>-597.37932937478172</v>
      </c>
      <c r="AD270" s="41">
        <f>K270/'1. Väestöennuste'!M270*1000</f>
        <v>-510.68830095372664</v>
      </c>
      <c r="AE270" s="41">
        <f>L270/'1. Väestöennuste'!N270*1000</f>
        <v>-808.7564378609701</v>
      </c>
      <c r="AF270" s="41">
        <f>M270/'1. Väestöennuste'!O270*1000</f>
        <v>-856.65569828041521</v>
      </c>
      <c r="AG270" s="41">
        <f>N270/'1. Väestöennuste'!P270*1000</f>
        <v>-900.00733390904588</v>
      </c>
      <c r="AH270" s="41">
        <f>O270/'1. Väestöennuste'!Q270*1000</f>
        <v>-954.23893536289097</v>
      </c>
      <c r="AI270" s="41">
        <f>P270/'1. Väestöennuste'!R270*1000</f>
        <v>-1008.2135233559742</v>
      </c>
      <c r="AK270" s="34">
        <v>845</v>
      </c>
      <c r="AL270" s="88" t="s">
        <v>584</v>
      </c>
      <c r="AM270" s="41"/>
      <c r="AN270" s="41">
        <f t="shared" si="48"/>
        <v>208.36283701996857</v>
      </c>
      <c r="AO270" s="41">
        <f t="shared" si="49"/>
        <v>-23.341423590820568</v>
      </c>
      <c r="AP270" s="41">
        <f t="shared" si="50"/>
        <v>-182.57106287528413</v>
      </c>
      <c r="AQ270" s="41">
        <f t="shared" si="51"/>
        <v>-4.2102229803215891</v>
      </c>
      <c r="AR270" s="41">
        <f t="shared" si="52"/>
        <v>26.572680901238016</v>
      </c>
      <c r="AS270" s="41">
        <f t="shared" si="53"/>
        <v>57.231935888538942</v>
      </c>
      <c r="AT270" s="41">
        <f t="shared" si="54"/>
        <v>-322.30357295562834</v>
      </c>
      <c r="AU270" s="41">
        <f t="shared" si="55"/>
        <v>86.69102842105508</v>
      </c>
      <c r="AV270" s="41">
        <f t="shared" si="56"/>
        <v>-298.06813690724346</v>
      </c>
      <c r="AW270" s="41">
        <f t="shared" si="57"/>
        <v>-47.899260419445113</v>
      </c>
      <c r="AX270" s="41">
        <f t="shared" si="58"/>
        <v>-43.351635628630675</v>
      </c>
      <c r="AY270" s="41">
        <f t="shared" si="58"/>
        <v>-54.231601453845087</v>
      </c>
      <c r="AZ270" s="41">
        <f t="shared" si="58"/>
        <v>-53.974587993083219</v>
      </c>
    </row>
    <row r="271" spans="1:52" x14ac:dyDescent="0.2">
      <c r="A271" s="30">
        <v>846</v>
      </c>
      <c r="B271" s="31" t="s">
        <v>585</v>
      </c>
      <c r="C271" s="41">
        <v>-3850</v>
      </c>
      <c r="D271" s="41">
        <v>831</v>
      </c>
      <c r="E271" s="73">
        <v>-1011</v>
      </c>
      <c r="F271" s="73">
        <v>-709</v>
      </c>
      <c r="G271" s="73">
        <v>-29</v>
      </c>
      <c r="H271" s="41">
        <v>-844</v>
      </c>
      <c r="I271" s="165">
        <v>-1655.36969</v>
      </c>
      <c r="J271" s="41">
        <v>-652.38643999999999</v>
      </c>
      <c r="K271" s="41">
        <v>737.3043100000001</v>
      </c>
      <c r="L271" s="41">
        <f>$L$5*'7.1. Nettoinvestointiennuste '!Y271</f>
        <v>-1772.7523135031227</v>
      </c>
      <c r="M271" s="41">
        <f>$M$5*'7.1. Nettoinvestointiennuste '!Y271</f>
        <v>-1848.7290893928073</v>
      </c>
      <c r="N271" s="41">
        <f>$N$5*'7.1. Nettoinvestointiennuste '!Y271</f>
        <v>-1913.9784157207544</v>
      </c>
      <c r="O271" s="41">
        <f>O$5*'7.1. Nettoinvestointiennuste '!$Y271</f>
        <v>-1999.2961850623562</v>
      </c>
      <c r="P271" s="41">
        <f>P$5*'7.1. Nettoinvestointiennuste '!$Y271</f>
        <v>-2082.2983478517995</v>
      </c>
      <c r="T271" s="34">
        <v>846</v>
      </c>
      <c r="U271" s="88" t="s">
        <v>585</v>
      </c>
      <c r="V271" s="41">
        <f>C271/'1. Väestöennuste'!E271*1000</f>
        <v>-702.2984312294783</v>
      </c>
      <c r="W271" s="41">
        <f>D271/'1. Väestöennuste'!F271*1000</f>
        <v>154.95058735782212</v>
      </c>
      <c r="X271" s="41">
        <f>E271/'1. Väestöennuste'!G271*1000</f>
        <v>-191.87701651167205</v>
      </c>
      <c r="Y271" s="41">
        <f>F271/'1. Väestöennuste'!H271*1000</f>
        <v>-137.45637844125631</v>
      </c>
      <c r="Z271" s="41">
        <f>G271/'1. Väestöennuste'!I271*1000</f>
        <v>-5.7131599684791166</v>
      </c>
      <c r="AA271" s="41">
        <f>H271/'1. Väestöennuste'!J271*1000</f>
        <v>-169.00280336403682</v>
      </c>
      <c r="AB271" s="41">
        <f>I271/'1. Väestöennuste'!K271*1000</f>
        <v>-334.2830553311793</v>
      </c>
      <c r="AC271" s="41">
        <f>J271/'1. Väestöennuste'!L271*1000</f>
        <v>-134.18067461949815</v>
      </c>
      <c r="AD271" s="41">
        <f>K271/'1. Väestöennuste'!M271*1000</f>
        <v>154.96097309794033</v>
      </c>
      <c r="AE271" s="41">
        <f>L271/'1. Väestöennuste'!N271*1000</f>
        <v>-382.71854782019057</v>
      </c>
      <c r="AF271" s="41">
        <f>M271/'1. Väestöennuste'!O271*1000</f>
        <v>-405.95720013017291</v>
      </c>
      <c r="AG271" s="41">
        <f>N271/'1. Väestöennuste'!P271*1000</f>
        <v>-427.32270947103245</v>
      </c>
      <c r="AH271" s="41">
        <f>O271/'1. Väestöennuste'!Q271*1000</f>
        <v>-453.66375880697893</v>
      </c>
      <c r="AI271" s="41">
        <f>P271/'1. Väestöennuste'!R271*1000</f>
        <v>-480.45647158555596</v>
      </c>
      <c r="AK271" s="34">
        <v>846</v>
      </c>
      <c r="AL271" s="88" t="s">
        <v>585</v>
      </c>
      <c r="AM271" s="41"/>
      <c r="AN271" s="41">
        <f t="shared" si="48"/>
        <v>857.24901858730038</v>
      </c>
      <c r="AO271" s="41">
        <f t="shared" si="49"/>
        <v>-346.82760386949417</v>
      </c>
      <c r="AP271" s="41">
        <f t="shared" si="50"/>
        <v>54.420638070415748</v>
      </c>
      <c r="AQ271" s="41">
        <f t="shared" si="51"/>
        <v>131.74321847277719</v>
      </c>
      <c r="AR271" s="41">
        <f t="shared" si="52"/>
        <v>-163.2896433955577</v>
      </c>
      <c r="AS271" s="41">
        <f t="shared" si="53"/>
        <v>-165.28025196714248</v>
      </c>
      <c r="AT271" s="41">
        <f t="shared" si="54"/>
        <v>200.10238071168115</v>
      </c>
      <c r="AU271" s="41">
        <f t="shared" si="55"/>
        <v>289.14164771743845</v>
      </c>
      <c r="AV271" s="41">
        <f t="shared" si="56"/>
        <v>-537.67952091813095</v>
      </c>
      <c r="AW271" s="41">
        <f t="shared" si="57"/>
        <v>-23.238652309982342</v>
      </c>
      <c r="AX271" s="41">
        <f t="shared" si="58"/>
        <v>-21.365509340859546</v>
      </c>
      <c r="AY271" s="41">
        <f t="shared" si="58"/>
        <v>-26.341049335946479</v>
      </c>
      <c r="AZ271" s="41">
        <f t="shared" si="58"/>
        <v>-26.792712778577027</v>
      </c>
    </row>
    <row r="272" spans="1:52" x14ac:dyDescent="0.2">
      <c r="A272" s="30">
        <v>848</v>
      </c>
      <c r="B272" s="31" t="s">
        <v>586</v>
      </c>
      <c r="C272" s="41">
        <v>-1600</v>
      </c>
      <c r="D272" s="41">
        <v>-1450</v>
      </c>
      <c r="E272" s="73">
        <v>-1096</v>
      </c>
      <c r="F272" s="73">
        <v>-2021</v>
      </c>
      <c r="G272" s="73">
        <v>-2718</v>
      </c>
      <c r="H272" s="41">
        <v>-2170</v>
      </c>
      <c r="I272" s="165">
        <v>-1604.0766000000001</v>
      </c>
      <c r="J272" s="41">
        <v>-1043.06069</v>
      </c>
      <c r="K272" s="41">
        <v>-1327.3822700000001</v>
      </c>
      <c r="L272" s="41">
        <f>$L$5*'7.1. Nettoinvestointiennuste '!Y272</f>
        <v>-1165.551942554767</v>
      </c>
      <c r="M272" s="41">
        <f>$M$5*'7.1. Nettoinvestointiennuste '!Y272</f>
        <v>-1215.5052710895793</v>
      </c>
      <c r="N272" s="41">
        <f>$N$5*'7.1. Nettoinvestointiennuste '!Y272</f>
        <v>-1258.4054994365636</v>
      </c>
      <c r="O272" s="41">
        <f>O$5*'7.1. Nettoinvestointiennuste '!$Y272</f>
        <v>-1314.5003588442135</v>
      </c>
      <c r="P272" s="41">
        <f>P$5*'7.1. Nettoinvestointiennuste '!$Y272</f>
        <v>-1369.0727496619181</v>
      </c>
      <c r="T272" s="34">
        <v>848</v>
      </c>
      <c r="U272" s="88" t="s">
        <v>586</v>
      </c>
      <c r="V272" s="41">
        <f>C272/'1. Väestöennuste'!E272*1000</f>
        <v>-337.69523005487542</v>
      </c>
      <c r="W272" s="41">
        <f>D272/'1. Väestöennuste'!F272*1000</f>
        <v>-311.62690737158823</v>
      </c>
      <c r="X272" s="41">
        <f>E272/'1. Väestöennuste'!G272*1000</f>
        <v>-239.77247866987531</v>
      </c>
      <c r="Y272" s="41">
        <f>F272/'1. Väestöennuste'!H272*1000</f>
        <v>-450.91477019187863</v>
      </c>
      <c r="Z272" s="41">
        <f>G272/'1. Väestöennuste'!I272*1000</f>
        <v>-623.25154781013521</v>
      </c>
      <c r="AA272" s="41">
        <f>H272/'1. Väestöennuste'!J272*1000</f>
        <v>-503.83097283491986</v>
      </c>
      <c r="AB272" s="41">
        <f>I272/'1. Väestöennuste'!K272*1000</f>
        <v>-378.23074746522053</v>
      </c>
      <c r="AC272" s="41">
        <f>J272/'1. Väestöennuste'!L272*1000</f>
        <v>-250.73574278846155</v>
      </c>
      <c r="AD272" s="41">
        <f>K272/'1. Väestöennuste'!M272*1000</f>
        <v>-326.45899409739303</v>
      </c>
      <c r="AE272" s="41">
        <f>L272/'1. Väestöennuste'!N272*1000</f>
        <v>-291.53375251494924</v>
      </c>
      <c r="AF272" s="41">
        <f>M272/'1. Väestöennuste'!O272*1000</f>
        <v>-308.5821962654428</v>
      </c>
      <c r="AG272" s="41">
        <f>N272/'1. Väestöennuste'!P272*1000</f>
        <v>-324.08073639880598</v>
      </c>
      <c r="AH272" s="41">
        <f>O272/'1. Väestöennuste'!Q272*1000</f>
        <v>-343.30121672609386</v>
      </c>
      <c r="AI272" s="41">
        <f>P272/'1. Väestöennuste'!R272*1000</f>
        <v>-362.47623766532115</v>
      </c>
      <c r="AK272" s="34">
        <v>848</v>
      </c>
      <c r="AL272" s="88" t="s">
        <v>586</v>
      </c>
      <c r="AM272" s="41"/>
      <c r="AN272" s="41">
        <f t="shared" ref="AN272:AN307" si="59">W272-V272</f>
        <v>26.068322683287192</v>
      </c>
      <c r="AO272" s="41">
        <f t="shared" ref="AO272:AO307" si="60">X272-W272</f>
        <v>71.854428701712919</v>
      </c>
      <c r="AP272" s="41">
        <f t="shared" ref="AP272:AP307" si="61">Y272-X272</f>
        <v>-211.14229152200332</v>
      </c>
      <c r="AQ272" s="41">
        <f t="shared" ref="AQ272:AQ307" si="62">Z272-Y272</f>
        <v>-172.33677761825658</v>
      </c>
      <c r="AR272" s="41">
        <f t="shared" ref="AR272:AR307" si="63">AA272-Z272</f>
        <v>119.42057497521535</v>
      </c>
      <c r="AS272" s="41">
        <f t="shared" ref="AS272:AS307" si="64">AB272-AA272</f>
        <v>125.60022536969933</v>
      </c>
      <c r="AT272" s="41">
        <f t="shared" ref="AT272:AT307" si="65">AC272-AB272</f>
        <v>127.49500467675898</v>
      </c>
      <c r="AU272" s="41">
        <f t="shared" ref="AU272:AU307" si="66">AD272-AC272</f>
        <v>-75.723251308931481</v>
      </c>
      <c r="AV272" s="41">
        <f t="shared" ref="AV272:AV307" si="67">AE272-AD272</f>
        <v>34.925241582443789</v>
      </c>
      <c r="AW272" s="41">
        <f t="shared" ref="AW272:AW307" si="68">AF272-AE272</f>
        <v>-17.048443750493561</v>
      </c>
      <c r="AX272" s="41">
        <f t="shared" ref="AX272:AZ307" si="69">AG272-AF272</f>
        <v>-15.498540133363178</v>
      </c>
      <c r="AY272" s="41">
        <f t="shared" si="69"/>
        <v>-19.220480327287873</v>
      </c>
      <c r="AZ272" s="41">
        <f t="shared" si="69"/>
        <v>-19.175020939227295</v>
      </c>
    </row>
    <row r="273" spans="1:52" x14ac:dyDescent="0.2">
      <c r="A273" s="30">
        <v>849</v>
      </c>
      <c r="B273" s="31" t="s">
        <v>587</v>
      </c>
      <c r="C273" s="41">
        <v>-2114</v>
      </c>
      <c r="D273" s="41">
        <v>-369</v>
      </c>
      <c r="E273" s="73">
        <v>-632</v>
      </c>
      <c r="F273" s="73">
        <v>123</v>
      </c>
      <c r="G273" s="73">
        <v>-596</v>
      </c>
      <c r="H273" s="41">
        <v>-1945</v>
      </c>
      <c r="I273" s="165">
        <v>-2292.7637100000002</v>
      </c>
      <c r="J273" s="41">
        <v>-1679.1700700000001</v>
      </c>
      <c r="K273" s="41">
        <v>1365.0509999999999</v>
      </c>
      <c r="L273" s="41">
        <f>$L$5*'7.1. Nettoinvestointiennuste '!Y273</f>
        <v>-1377.9492313833991</v>
      </c>
      <c r="M273" s="41">
        <f>$M$5*'7.1. Nettoinvestointiennuste '!Y273</f>
        <v>-1437.005501761802</v>
      </c>
      <c r="N273" s="41">
        <f>$N$5*'7.1. Nettoinvestointiennuste '!Y273</f>
        <v>-1487.7233930188204</v>
      </c>
      <c r="O273" s="41">
        <f>O$5*'7.1. Nettoinvestointiennuste '!$Y273</f>
        <v>-1554.0403588984416</v>
      </c>
      <c r="P273" s="41">
        <f>P$5*'7.1. Nettoinvestointiennuste '!$Y273</f>
        <v>-1618.557418358859</v>
      </c>
      <c r="T273" s="34">
        <v>849</v>
      </c>
      <c r="U273" s="88" t="s">
        <v>587</v>
      </c>
      <c r="V273" s="41">
        <f>C273/'1. Väestöennuste'!E273*1000</f>
        <v>-638.47780126849898</v>
      </c>
      <c r="W273" s="41">
        <f>D273/'1. Väestöennuste'!F273*1000</f>
        <v>-114.17079207920793</v>
      </c>
      <c r="X273" s="41">
        <f>E273/'1. Väestöennuste'!G273*1000</f>
        <v>-197.99498746867167</v>
      </c>
      <c r="Y273" s="41">
        <f>F273/'1. Väestöennuste'!H273*1000</f>
        <v>39.524421593830333</v>
      </c>
      <c r="Z273" s="41">
        <f>G273/'1. Väestöennuste'!I273*1000</f>
        <v>-196.50511045169799</v>
      </c>
      <c r="AA273" s="41">
        <f>H273/'1. Väestöennuste'!J273*1000</f>
        <v>-655.76534052596094</v>
      </c>
      <c r="AB273" s="41">
        <f>I273/'1. Väestöennuste'!K273*1000</f>
        <v>-780.3824744724302</v>
      </c>
      <c r="AC273" s="41">
        <f>J273/'1. Väestöennuste'!L273*1000</f>
        <v>-578.42579056148816</v>
      </c>
      <c r="AD273" s="41">
        <f>K273/'1. Väestöennuste'!M273*1000</f>
        <v>479.13338013338006</v>
      </c>
      <c r="AE273" s="41">
        <f>L273/'1. Väestöennuste'!N273*1000</f>
        <v>-510.54065631100377</v>
      </c>
      <c r="AF273" s="41">
        <f>M273/'1. Väestöennuste'!O273*1000</f>
        <v>-544.93951526803266</v>
      </c>
      <c r="AG273" s="41">
        <f>N273/'1. Väestöennuste'!P273*1000</f>
        <v>-576.86056340396294</v>
      </c>
      <c r="AH273" s="41">
        <f>O273/'1. Väestöennuste'!Q273*1000</f>
        <v>-615.70537198828902</v>
      </c>
      <c r="AI273" s="41">
        <f>P273/'1. Väestöennuste'!R273*1000</f>
        <v>-655.02121341920633</v>
      </c>
      <c r="AK273" s="34">
        <v>849</v>
      </c>
      <c r="AL273" s="88" t="s">
        <v>587</v>
      </c>
      <c r="AM273" s="41"/>
      <c r="AN273" s="41">
        <f t="shared" si="59"/>
        <v>524.30700918929108</v>
      </c>
      <c r="AO273" s="41">
        <f t="shared" si="60"/>
        <v>-83.824195389463739</v>
      </c>
      <c r="AP273" s="41">
        <f t="shared" si="61"/>
        <v>237.51940906250201</v>
      </c>
      <c r="AQ273" s="41">
        <f t="shared" si="62"/>
        <v>-236.02953204552833</v>
      </c>
      <c r="AR273" s="41">
        <f t="shared" si="63"/>
        <v>-459.26023007426295</v>
      </c>
      <c r="AS273" s="41">
        <f t="shared" si="64"/>
        <v>-124.61713394646927</v>
      </c>
      <c r="AT273" s="41">
        <f t="shared" si="65"/>
        <v>201.95668391094205</v>
      </c>
      <c r="AU273" s="41">
        <f t="shared" si="66"/>
        <v>1057.5591706948683</v>
      </c>
      <c r="AV273" s="41">
        <f t="shared" si="67"/>
        <v>-989.67403644438377</v>
      </c>
      <c r="AW273" s="41">
        <f t="shared" si="68"/>
        <v>-34.398858957028892</v>
      </c>
      <c r="AX273" s="41">
        <f t="shared" si="69"/>
        <v>-31.921048135930278</v>
      </c>
      <c r="AY273" s="41">
        <f t="shared" si="69"/>
        <v>-38.844808584326074</v>
      </c>
      <c r="AZ273" s="41">
        <f t="shared" si="69"/>
        <v>-39.315841430917317</v>
      </c>
    </row>
    <row r="274" spans="1:52" x14ac:dyDescent="0.2">
      <c r="A274" s="30">
        <v>850</v>
      </c>
      <c r="B274" s="31" t="s">
        <v>588</v>
      </c>
      <c r="C274" s="41">
        <v>-2508</v>
      </c>
      <c r="D274" s="41">
        <v>-2991</v>
      </c>
      <c r="E274" s="73">
        <v>-1254</v>
      </c>
      <c r="F274" s="73">
        <v>-1762</v>
      </c>
      <c r="G274" s="73">
        <v>-464</v>
      </c>
      <c r="H274" s="41">
        <v>-468</v>
      </c>
      <c r="I274" s="165">
        <v>-519.21400000000006</v>
      </c>
      <c r="J274" s="41">
        <v>-201.40384</v>
      </c>
      <c r="K274" s="41">
        <v>-177.70939999999999</v>
      </c>
      <c r="L274" s="41">
        <f>$L$5*'7.1. Nettoinvestointiennuste '!Y274</f>
        <v>-639.44587941432189</v>
      </c>
      <c r="M274" s="41">
        <f>$M$5*'7.1. Nettoinvestointiennuste '!Y274</f>
        <v>-666.85130763110396</v>
      </c>
      <c r="N274" s="41">
        <f>$N$5*'7.1. Nettoinvestointiennuste '!Y274</f>
        <v>-690.38725934706417</v>
      </c>
      <c r="O274" s="41">
        <f>O$5*'7.1. Nettoinvestointiennuste '!$Y274</f>
        <v>-721.16205830276317</v>
      </c>
      <c r="P274" s="41">
        <f>P$5*'7.1. Nettoinvestointiennuste '!$Y274</f>
        <v>-751.10159953134257</v>
      </c>
      <c r="T274" s="34">
        <v>850</v>
      </c>
      <c r="U274" s="88" t="s">
        <v>588</v>
      </c>
      <c r="V274" s="41">
        <f>C274/'1. Väestöennuste'!E274*1000</f>
        <v>-1031.6742081447965</v>
      </c>
      <c r="W274" s="41">
        <f>D274/'1. Väestöennuste'!F274*1000</f>
        <v>-1229.8519736842106</v>
      </c>
      <c r="X274" s="41">
        <f>E274/'1. Väestöennuste'!G274*1000</f>
        <v>-526.00671140939596</v>
      </c>
      <c r="Y274" s="41">
        <f>F274/'1. Väestöennuste'!H274*1000</f>
        <v>-732.33582709891937</v>
      </c>
      <c r="Z274" s="41">
        <f>G274/'1. Väestöennuste'!I274*1000</f>
        <v>-194.30485762144053</v>
      </c>
      <c r="AA274" s="41">
        <f>H274/'1. Väestöennuste'!J274*1000</f>
        <v>-194.91878384006665</v>
      </c>
      <c r="AB274" s="41">
        <f>I274/'1. Väestöennuste'!K274*1000</f>
        <v>-217.51738583996652</v>
      </c>
      <c r="AC274" s="41">
        <f>J274/'1. Väestöennuste'!L274*1000</f>
        <v>-83.67421686746988</v>
      </c>
      <c r="AD274" s="41">
        <f>K274/'1. Väestöennuste'!M274*1000</f>
        <v>-75.04619932432432</v>
      </c>
      <c r="AE274" s="41">
        <f>L274/'1. Väestöennuste'!N274*1000</f>
        <v>-267.55057716080415</v>
      </c>
      <c r="AF274" s="41">
        <f>M274/'1. Väestöennuste'!O274*1000</f>
        <v>-279.83688948011076</v>
      </c>
      <c r="AG274" s="41">
        <f>N274/'1. Väestöennuste'!P274*1000</f>
        <v>-290.44478727263959</v>
      </c>
      <c r="AH274" s="41">
        <f>O274/'1. Väestöennuste'!Q274*1000</f>
        <v>-304.54478813461282</v>
      </c>
      <c r="AI274" s="41">
        <f>P274/'1. Väestöennuste'!R274*1000</f>
        <v>-318.93910808124946</v>
      </c>
      <c r="AK274" s="34">
        <v>850</v>
      </c>
      <c r="AL274" s="88" t="s">
        <v>588</v>
      </c>
      <c r="AM274" s="41"/>
      <c r="AN274" s="41">
        <f t="shared" si="59"/>
        <v>-198.17776553941417</v>
      </c>
      <c r="AO274" s="41">
        <f t="shared" si="60"/>
        <v>703.84526227481467</v>
      </c>
      <c r="AP274" s="41">
        <f t="shared" si="61"/>
        <v>-206.32911568952341</v>
      </c>
      <c r="AQ274" s="41">
        <f t="shared" si="62"/>
        <v>538.03096947747883</v>
      </c>
      <c r="AR274" s="41">
        <f t="shared" si="63"/>
        <v>-0.61392621862611918</v>
      </c>
      <c r="AS274" s="41">
        <f t="shared" si="64"/>
        <v>-22.59860199989987</v>
      </c>
      <c r="AT274" s="41">
        <f t="shared" si="65"/>
        <v>133.84316897249664</v>
      </c>
      <c r="AU274" s="41">
        <f t="shared" si="66"/>
        <v>8.6280175431455604</v>
      </c>
      <c r="AV274" s="41">
        <f t="shared" si="67"/>
        <v>-192.50437783647982</v>
      </c>
      <c r="AW274" s="41">
        <f t="shared" si="68"/>
        <v>-12.286312319306603</v>
      </c>
      <c r="AX274" s="41">
        <f t="shared" si="69"/>
        <v>-10.607897792528831</v>
      </c>
      <c r="AY274" s="41">
        <f t="shared" si="69"/>
        <v>-14.100000861973228</v>
      </c>
      <c r="AZ274" s="41">
        <f t="shared" si="69"/>
        <v>-14.394319946636642</v>
      </c>
    </row>
    <row r="275" spans="1:52" x14ac:dyDescent="0.2">
      <c r="A275" s="30">
        <v>851</v>
      </c>
      <c r="B275" s="31" t="s">
        <v>589</v>
      </c>
      <c r="C275" s="41">
        <v>-6334</v>
      </c>
      <c r="D275" s="41">
        <v>-2164</v>
      </c>
      <c r="E275" s="73">
        <v>-6259</v>
      </c>
      <c r="F275" s="73">
        <v>-7954</v>
      </c>
      <c r="G275" s="73">
        <v>-4796</v>
      </c>
      <c r="H275" s="41">
        <v>-7073</v>
      </c>
      <c r="I275" s="165">
        <v>-9162.6372300000003</v>
      </c>
      <c r="J275" s="41">
        <v>-6712.4748499999996</v>
      </c>
      <c r="K275" s="41">
        <v>-7739.2220599999991</v>
      </c>
      <c r="L275" s="41">
        <f>$L$5*'7.1. Nettoinvestointiennuste '!Y275</f>
        <v>-7440.8351570570121</v>
      </c>
      <c r="M275" s="41">
        <f>$M$5*'7.1. Nettoinvestointiennuste '!Y275</f>
        <v>-7759.7351301968929</v>
      </c>
      <c r="N275" s="41">
        <f>$N$5*'7.1. Nettoinvestointiennuste '!Y275</f>
        <v>-8033.6084048879648</v>
      </c>
      <c r="O275" s="41">
        <f>O$5*'7.1. Nettoinvestointiennuste '!$Y275</f>
        <v>-8391.7156558576044</v>
      </c>
      <c r="P275" s="41">
        <f>P$5*'7.1. Nettoinvestointiennuste '!$Y275</f>
        <v>-8740.10353062789</v>
      </c>
      <c r="T275" s="34">
        <v>851</v>
      </c>
      <c r="U275" s="88" t="s">
        <v>589</v>
      </c>
      <c r="V275" s="41">
        <f>C275/'1. Väestöennuste'!E275*1000</f>
        <v>-285.32816793549262</v>
      </c>
      <c r="W275" s="41">
        <f>D275/'1. Väestöennuste'!F275*1000</f>
        <v>-97.843287968530987</v>
      </c>
      <c r="X275" s="41">
        <f>E275/'1. Väestöennuste'!G275*1000</f>
        <v>-285.43414812112366</v>
      </c>
      <c r="Y275" s="41">
        <f>F275/'1. Väestöennuste'!H275*1000</f>
        <v>-363.61142857142858</v>
      </c>
      <c r="Z275" s="41">
        <f>G275/'1. Väestöennuste'!I275*1000</f>
        <v>-222.01647995555967</v>
      </c>
      <c r="AA275" s="41">
        <f>H275/'1. Väestöennuste'!J275*1000</f>
        <v>-329.48246145246191</v>
      </c>
      <c r="AB275" s="41">
        <f>I275/'1. Väestöennuste'!K275*1000</f>
        <v>-429.50533117704964</v>
      </c>
      <c r="AC275" s="41">
        <f>J275/'1. Väestöennuste'!L275*1000</f>
        <v>-316.22343477646393</v>
      </c>
      <c r="AD275" s="41">
        <f>K275/'1. Väestöennuste'!M275*1000</f>
        <v>-368.21876772290415</v>
      </c>
      <c r="AE275" s="41">
        <f>L275/'1. Väestöennuste'!N275*1000</f>
        <v>-356.22535221452569</v>
      </c>
      <c r="AF275" s="41">
        <f>M275/'1. Väestöennuste'!O275*1000</f>
        <v>-373.99918691907135</v>
      </c>
      <c r="AG275" s="41">
        <f>N275/'1. Väestöennuste'!P275*1000</f>
        <v>-389.75394939297325</v>
      </c>
      <c r="AH275" s="41">
        <f>O275/'1. Väestöennuste'!Q275*1000</f>
        <v>-409.83178627942976</v>
      </c>
      <c r="AI275" s="41">
        <f>P275/'1. Väestöennuste'!R275*1000</f>
        <v>-429.70027190894251</v>
      </c>
      <c r="AK275" s="34">
        <v>851</v>
      </c>
      <c r="AL275" s="88" t="s">
        <v>589</v>
      </c>
      <c r="AM275" s="41"/>
      <c r="AN275" s="41">
        <f t="shared" si="59"/>
        <v>187.48487996696161</v>
      </c>
      <c r="AO275" s="41">
        <f t="shared" si="60"/>
        <v>-187.59086015259265</v>
      </c>
      <c r="AP275" s="41">
        <f t="shared" si="61"/>
        <v>-78.17728045030492</v>
      </c>
      <c r="AQ275" s="41">
        <f t="shared" si="62"/>
        <v>141.5949486158689</v>
      </c>
      <c r="AR275" s="41">
        <f t="shared" si="63"/>
        <v>-107.46598149690223</v>
      </c>
      <c r="AS275" s="41">
        <f t="shared" si="64"/>
        <v>-100.02286972458774</v>
      </c>
      <c r="AT275" s="41">
        <f t="shared" si="65"/>
        <v>113.28189640058571</v>
      </c>
      <c r="AU275" s="41">
        <f t="shared" si="66"/>
        <v>-51.995332946440215</v>
      </c>
      <c r="AV275" s="41">
        <f t="shared" si="67"/>
        <v>11.993415508378462</v>
      </c>
      <c r="AW275" s="41">
        <f t="shared" si="68"/>
        <v>-17.773834704545663</v>
      </c>
      <c r="AX275" s="41">
        <f t="shared" si="69"/>
        <v>-15.754762473901906</v>
      </c>
      <c r="AY275" s="41">
        <f t="shared" si="69"/>
        <v>-20.07783688645651</v>
      </c>
      <c r="AZ275" s="41">
        <f t="shared" si="69"/>
        <v>-19.868485629512747</v>
      </c>
    </row>
    <row r="276" spans="1:52" x14ac:dyDescent="0.2">
      <c r="A276" s="30">
        <v>853</v>
      </c>
      <c r="B276" s="31" t="s">
        <v>590</v>
      </c>
      <c r="C276" s="41">
        <v>96292</v>
      </c>
      <c r="D276" s="41">
        <v>-51422</v>
      </c>
      <c r="E276" s="73">
        <v>15756</v>
      </c>
      <c r="F276" s="73">
        <v>-60118</v>
      </c>
      <c r="G276" s="73">
        <v>-83424</v>
      </c>
      <c r="H276" s="41">
        <v>-52621</v>
      </c>
      <c r="I276" s="165">
        <v>-104918.84858000001</v>
      </c>
      <c r="J276" s="41">
        <v>-74179.637889999998</v>
      </c>
      <c r="K276" s="41">
        <v>-150082.72400999998</v>
      </c>
      <c r="L276" s="41">
        <f>$L$5*'7.1. Nettoinvestointiennuste '!Y276</f>
        <v>-195815.87316826236</v>
      </c>
      <c r="M276" s="41">
        <f>$M$5*'7.1. Nettoinvestointiennuste '!Y276</f>
        <v>-204208.16722876127</v>
      </c>
      <c r="N276" s="41">
        <f>$N$5*'7.1. Nettoinvestointiennuste '!Y276</f>
        <v>-211415.52141537046</v>
      </c>
      <c r="O276" s="41">
        <f>O$5*'7.1. Nettoinvestointiennuste '!$Y276</f>
        <v>-220839.60924373742</v>
      </c>
      <c r="P276" s="41">
        <f>P$5*'7.1. Nettoinvestointiennuste '!$Y276</f>
        <v>-230007.91823855205</v>
      </c>
      <c r="T276" s="34">
        <v>853</v>
      </c>
      <c r="U276" s="88" t="s">
        <v>590</v>
      </c>
      <c r="V276" s="41">
        <f>C276/'1. Väestöennuste'!E276*1000</f>
        <v>517.9551175850421</v>
      </c>
      <c r="W276" s="41">
        <f>D276/'1. Väestöennuste'!F276*1000</f>
        <v>-274.09863329140103</v>
      </c>
      <c r="X276" s="41">
        <f>E276/'1. Väestöennuste'!G276*1000</f>
        <v>83.071034275501006</v>
      </c>
      <c r="Y276" s="41">
        <f>F276/'1. Väestöennuste'!H276*1000</f>
        <v>-314.20940673492532</v>
      </c>
      <c r="Z276" s="41">
        <f>G276/'1. Väestöennuste'!I276*1000</f>
        <v>-432.33382738570288</v>
      </c>
      <c r="AA276" s="41">
        <f>H276/'1. Väestöennuste'!J276*1000</f>
        <v>-270.69668863270419</v>
      </c>
      <c r="AB276" s="41">
        <f>I276/'1. Väestöennuste'!K276*1000</f>
        <v>-537.66763135643168</v>
      </c>
      <c r="AC276" s="41">
        <f>J276/'1. Väestöennuste'!L276*1000</f>
        <v>-374.83394588175844</v>
      </c>
      <c r="AD276" s="41">
        <f>K276/'1. Väestöennuste'!M276*1000</f>
        <v>-743.48802905931245</v>
      </c>
      <c r="AE276" s="41">
        <f>L276/'1. Väestöennuste'!N276*1000</f>
        <v>-978.98636213690884</v>
      </c>
      <c r="AF276" s="41">
        <f>M276/'1. Väestöennuste'!O276*1000</f>
        <v>-1014.7292203929621</v>
      </c>
      <c r="AG276" s="41">
        <f>N276/'1. Väestöennuste'!P276*1000</f>
        <v>-1044.3366993448451</v>
      </c>
      <c r="AH276" s="41">
        <f>O276/'1. Väestöennuste'!Q276*1000</f>
        <v>-1084.6472790144517</v>
      </c>
      <c r="AI276" s="41">
        <f>P276/'1. Väestöennuste'!R276*1000</f>
        <v>-1123.398202813049</v>
      </c>
      <c r="AK276" s="34">
        <v>853</v>
      </c>
      <c r="AL276" s="88" t="s">
        <v>590</v>
      </c>
      <c r="AM276" s="41"/>
      <c r="AN276" s="41">
        <f t="shared" si="59"/>
        <v>-792.05375087644313</v>
      </c>
      <c r="AO276" s="41">
        <f t="shared" si="60"/>
        <v>357.16966756690204</v>
      </c>
      <c r="AP276" s="41">
        <f t="shared" si="61"/>
        <v>-397.28044101042633</v>
      </c>
      <c r="AQ276" s="41">
        <f t="shared" si="62"/>
        <v>-118.12442065077755</v>
      </c>
      <c r="AR276" s="41">
        <f t="shared" si="63"/>
        <v>161.63713875299868</v>
      </c>
      <c r="AS276" s="41">
        <f t="shared" si="64"/>
        <v>-266.97094272372749</v>
      </c>
      <c r="AT276" s="41">
        <f t="shared" si="65"/>
        <v>162.83368547467325</v>
      </c>
      <c r="AU276" s="41">
        <f t="shared" si="66"/>
        <v>-368.65408317755401</v>
      </c>
      <c r="AV276" s="41">
        <f t="shared" si="67"/>
        <v>-235.49833307759639</v>
      </c>
      <c r="AW276" s="41">
        <f t="shared" si="68"/>
        <v>-35.742858256053296</v>
      </c>
      <c r="AX276" s="41">
        <f t="shared" si="69"/>
        <v>-29.607478951882968</v>
      </c>
      <c r="AY276" s="41">
        <f t="shared" si="69"/>
        <v>-40.310579669606568</v>
      </c>
      <c r="AZ276" s="41">
        <f t="shared" si="69"/>
        <v>-38.750923798597341</v>
      </c>
    </row>
    <row r="277" spans="1:52" x14ac:dyDescent="0.2">
      <c r="A277" s="30">
        <v>854</v>
      </c>
      <c r="B277" s="31" t="s">
        <v>591</v>
      </c>
      <c r="C277" s="41">
        <v>275</v>
      </c>
      <c r="D277" s="41">
        <v>-1436</v>
      </c>
      <c r="E277" s="73">
        <v>-944</v>
      </c>
      <c r="F277" s="73">
        <v>-607</v>
      </c>
      <c r="G277" s="73">
        <v>-200</v>
      </c>
      <c r="H277" s="41">
        <v>-405</v>
      </c>
      <c r="I277" s="165">
        <v>-518.09213999999997</v>
      </c>
      <c r="J277" s="41">
        <v>-1110.4290900000001</v>
      </c>
      <c r="K277" s="41">
        <v>-501.25704999999999</v>
      </c>
      <c r="L277" s="41">
        <f>$L$5*'7.1. Nettoinvestointiennuste '!Y277</f>
        <v>-785.17765941257437</v>
      </c>
      <c r="M277" s="41">
        <f>$M$5*'7.1. Nettoinvestointiennuste '!Y277</f>
        <v>-818.82887318247322</v>
      </c>
      <c r="N277" s="41">
        <f>$N$5*'7.1. Nettoinvestointiennuste '!Y277</f>
        <v>-847.72874426665464</v>
      </c>
      <c r="O277" s="41">
        <f>O$5*'7.1. Nettoinvestointiennuste '!$Y277</f>
        <v>-885.51721924292656</v>
      </c>
      <c r="P277" s="41">
        <f>P$5*'7.1. Nettoinvestointiennuste '!$Y277</f>
        <v>-922.28007855992371</v>
      </c>
      <c r="T277" s="34">
        <v>854</v>
      </c>
      <c r="U277" s="88" t="s">
        <v>591</v>
      </c>
      <c r="V277" s="41">
        <f>C277/'1. Väestöennuste'!E277*1000</f>
        <v>75.903947005244277</v>
      </c>
      <c r="W277" s="41">
        <f>D277/'1. Väestöennuste'!F277*1000</f>
        <v>-402.80504908835906</v>
      </c>
      <c r="X277" s="41">
        <f>E277/'1. Väestöennuste'!G277*1000</f>
        <v>-268.94586894586899</v>
      </c>
      <c r="Y277" s="41">
        <f>F277/'1. Väestöennuste'!H277*1000</f>
        <v>-176.55613728912158</v>
      </c>
      <c r="Z277" s="41">
        <f>G277/'1. Väestöennuste'!I277*1000</f>
        <v>-59.294396679513788</v>
      </c>
      <c r="AA277" s="41">
        <f>H277/'1. Väestöennuste'!J277*1000</f>
        <v>-122.57869249394673</v>
      </c>
      <c r="AB277" s="41">
        <f>I277/'1. Väestöennuste'!K277*1000</f>
        <v>-157.18814927184465</v>
      </c>
      <c r="AC277" s="41">
        <f>J277/'1. Väestöennuste'!L277*1000</f>
        <v>-340.4135775597793</v>
      </c>
      <c r="AD277" s="41">
        <f>K277/'1. Väestöennuste'!M277*1000</f>
        <v>-154.09070089148477</v>
      </c>
      <c r="AE277" s="41">
        <f>L277/'1. Väestöennuste'!N277*1000</f>
        <v>-256.25902722342505</v>
      </c>
      <c r="AF277" s="41">
        <f>M277/'1. Väestöennuste'!O277*1000</f>
        <v>-271.67514040559826</v>
      </c>
      <c r="AG277" s="41">
        <f>N277/'1. Väestöennuste'!P277*1000</f>
        <v>-285.62289227313164</v>
      </c>
      <c r="AH277" s="41">
        <f>O277/'1. Väestöennuste'!Q277*1000</f>
        <v>-302.94807363767586</v>
      </c>
      <c r="AI277" s="41">
        <f>P277/'1. Väestöennuste'!R277*1000</f>
        <v>-320.12498388057054</v>
      </c>
      <c r="AK277" s="34">
        <v>854</v>
      </c>
      <c r="AL277" s="88" t="s">
        <v>591</v>
      </c>
      <c r="AM277" s="41"/>
      <c r="AN277" s="41">
        <f t="shared" si="59"/>
        <v>-478.70899609360333</v>
      </c>
      <c r="AO277" s="41">
        <f t="shared" si="60"/>
        <v>133.85918014249006</v>
      </c>
      <c r="AP277" s="41">
        <f t="shared" si="61"/>
        <v>92.389731656747415</v>
      </c>
      <c r="AQ277" s="41">
        <f t="shared" si="62"/>
        <v>117.26174060960778</v>
      </c>
      <c r="AR277" s="41">
        <f t="shared" si="63"/>
        <v>-63.284295814432944</v>
      </c>
      <c r="AS277" s="41">
        <f t="shared" si="64"/>
        <v>-34.609456777897918</v>
      </c>
      <c r="AT277" s="41">
        <f t="shared" si="65"/>
        <v>-183.22542828793465</v>
      </c>
      <c r="AU277" s="41">
        <f t="shared" si="66"/>
        <v>186.32287666829453</v>
      </c>
      <c r="AV277" s="41">
        <f t="shared" si="67"/>
        <v>-102.16832633194028</v>
      </c>
      <c r="AW277" s="41">
        <f t="shared" si="68"/>
        <v>-15.416113182173206</v>
      </c>
      <c r="AX277" s="41">
        <f t="shared" si="69"/>
        <v>-13.947751867533384</v>
      </c>
      <c r="AY277" s="41">
        <f t="shared" si="69"/>
        <v>-17.325181364544221</v>
      </c>
      <c r="AZ277" s="41">
        <f t="shared" si="69"/>
        <v>-17.176910242894678</v>
      </c>
    </row>
    <row r="278" spans="1:52" x14ac:dyDescent="0.2">
      <c r="A278" s="30">
        <v>857</v>
      </c>
      <c r="B278" s="31" t="s">
        <v>592</v>
      </c>
      <c r="C278" s="41">
        <v>-1307</v>
      </c>
      <c r="D278" s="41">
        <v>-273</v>
      </c>
      <c r="E278" s="73">
        <v>-585</v>
      </c>
      <c r="F278" s="73">
        <v>-670</v>
      </c>
      <c r="G278" s="73">
        <v>-1032</v>
      </c>
      <c r="H278" s="41">
        <v>-759</v>
      </c>
      <c r="I278" s="165">
        <v>-272.86925000000002</v>
      </c>
      <c r="J278" s="41">
        <v>-261.20366000000001</v>
      </c>
      <c r="K278" s="41">
        <v>-517.23054999999999</v>
      </c>
      <c r="L278" s="41">
        <f>$L$5*'7.1. Nettoinvestointiennuste '!Y278</f>
        <v>-557.96182072488989</v>
      </c>
      <c r="M278" s="41">
        <f>$M$5*'7.1. Nettoinvestointiennuste '!Y278</f>
        <v>-581.87499792697997</v>
      </c>
      <c r="N278" s="41">
        <f>$N$5*'7.1. Nettoinvestointiennuste '!Y278</f>
        <v>-602.41178281322902</v>
      </c>
      <c r="O278" s="41">
        <f>O$5*'7.1. Nettoinvestointiennuste '!$Y278</f>
        <v>-629.2649746322013</v>
      </c>
      <c r="P278" s="41">
        <f>P$5*'7.1. Nettoinvestointiennuste '!$Y278</f>
        <v>-655.38934492428382</v>
      </c>
      <c r="T278" s="34">
        <v>857</v>
      </c>
      <c r="U278" s="88" t="s">
        <v>592</v>
      </c>
      <c r="V278" s="41">
        <f>C278/'1. Väestöennuste'!E278*1000</f>
        <v>-480.69143067304157</v>
      </c>
      <c r="W278" s="41">
        <f>D278/'1. Väestöennuste'!F278*1000</f>
        <v>-103.2917139614075</v>
      </c>
      <c r="X278" s="41">
        <f>E278/'1. Väestöennuste'!G278*1000</f>
        <v>-225.25991528686947</v>
      </c>
      <c r="Y278" s="41">
        <f>F278/'1. Väestöennuste'!H278*1000</f>
        <v>-262.64210113680906</v>
      </c>
      <c r="Z278" s="41">
        <f>G278/'1. Väestöennuste'!I278*1000</f>
        <v>-416.63302381913604</v>
      </c>
      <c r="AA278" s="41">
        <f>H278/'1. Väestöennuste'!J278*1000</f>
        <v>-311.96054254007402</v>
      </c>
      <c r="AB278" s="41">
        <f>I278/'1. Väestöennuste'!K278*1000</f>
        <v>-112.75588842975208</v>
      </c>
      <c r="AC278" s="41">
        <f>J278/'1. Väestöennuste'!L278*1000</f>
        <v>-109.10762740183793</v>
      </c>
      <c r="AD278" s="41">
        <f>K278/'1. Väestöennuste'!M278*1000</f>
        <v>-223.6189148292261</v>
      </c>
      <c r="AE278" s="41">
        <f>L278/'1. Väestöennuste'!N278*1000</f>
        <v>-248.64608766706323</v>
      </c>
      <c r="AF278" s="41">
        <f>M278/'1. Väestöennuste'!O278*1000</f>
        <v>-263.64974985363841</v>
      </c>
      <c r="AG278" s="41">
        <f>N278/'1. Väestöennuste'!P278*1000</f>
        <v>-277.09833616063895</v>
      </c>
      <c r="AH278" s="41">
        <f>O278/'1. Väestöennuste'!Q278*1000</f>
        <v>-293.77449796087831</v>
      </c>
      <c r="AI278" s="41">
        <f>P278/'1. Väestöennuste'!R278*1000</f>
        <v>-310.17006385437003</v>
      </c>
      <c r="AK278" s="34">
        <v>857</v>
      </c>
      <c r="AL278" s="88" t="s">
        <v>592</v>
      </c>
      <c r="AM278" s="41"/>
      <c r="AN278" s="41">
        <f t="shared" si="59"/>
        <v>377.39971671163408</v>
      </c>
      <c r="AO278" s="41">
        <f t="shared" si="60"/>
        <v>-121.96820132546198</v>
      </c>
      <c r="AP278" s="41">
        <f t="shared" si="61"/>
        <v>-37.382185849939589</v>
      </c>
      <c r="AQ278" s="41">
        <f t="shared" si="62"/>
        <v>-153.99092268232698</v>
      </c>
      <c r="AR278" s="41">
        <f t="shared" si="63"/>
        <v>104.67248127906203</v>
      </c>
      <c r="AS278" s="41">
        <f t="shared" si="64"/>
        <v>199.20465411032194</v>
      </c>
      <c r="AT278" s="41">
        <f t="shared" si="65"/>
        <v>3.6482610279141454</v>
      </c>
      <c r="AU278" s="41">
        <f t="shared" si="66"/>
        <v>-114.51128742738817</v>
      </c>
      <c r="AV278" s="41">
        <f t="shared" si="67"/>
        <v>-25.027172837837128</v>
      </c>
      <c r="AW278" s="41">
        <f t="shared" si="68"/>
        <v>-15.003662186575184</v>
      </c>
      <c r="AX278" s="41">
        <f t="shared" si="69"/>
        <v>-13.448586307000539</v>
      </c>
      <c r="AY278" s="41">
        <f t="shared" si="69"/>
        <v>-16.676161800239356</v>
      </c>
      <c r="AZ278" s="41">
        <f t="shared" si="69"/>
        <v>-16.395565893491721</v>
      </c>
    </row>
    <row r="279" spans="1:52" x14ac:dyDescent="0.2">
      <c r="A279" s="30">
        <v>858</v>
      </c>
      <c r="B279" s="31" t="s">
        <v>593</v>
      </c>
      <c r="C279" s="41">
        <v>-16174</v>
      </c>
      <c r="D279" s="41">
        <v>-18831</v>
      </c>
      <c r="E279" s="73">
        <v>-27262</v>
      </c>
      <c r="F279" s="73">
        <v>-28013</v>
      </c>
      <c r="G279" s="73">
        <v>-27685</v>
      </c>
      <c r="H279" s="41">
        <v>-18402</v>
      </c>
      <c r="I279" s="165">
        <v>-21430.459800000001</v>
      </c>
      <c r="J279" s="41">
        <v>-44786.008240000003</v>
      </c>
      <c r="K279" s="41">
        <v>-69789.975409999999</v>
      </c>
      <c r="L279" s="41">
        <f>$L$5*'7.1. Nettoinvestointiennuste '!Y279</f>
        <v>-46135.460557288628</v>
      </c>
      <c r="M279" s="41">
        <f>$M$5*'7.1. Nettoinvestointiennuste '!Y279</f>
        <v>-48112.738217923492</v>
      </c>
      <c r="N279" s="41">
        <f>$N$5*'7.1. Nettoinvestointiennuste '!Y279</f>
        <v>-49810.836535586386</v>
      </c>
      <c r="O279" s="41">
        <f>O$5*'7.1. Nettoinvestointiennuste '!$Y279</f>
        <v>-52031.211346163887</v>
      </c>
      <c r="P279" s="41">
        <f>P$5*'7.1. Nettoinvestointiennuste '!$Y279</f>
        <v>-54191.323042746517</v>
      </c>
      <c r="T279" s="34">
        <v>858</v>
      </c>
      <c r="U279" s="88" t="s">
        <v>593</v>
      </c>
      <c r="V279" s="41">
        <f>C279/'1. Väestöennuste'!E279*1000</f>
        <v>-420.55175641592348</v>
      </c>
      <c r="W279" s="41">
        <f>D279/'1. Väestöennuste'!F279*1000</f>
        <v>-488.00145122836113</v>
      </c>
      <c r="X279" s="41">
        <f>E279/'1. Väestöennuste'!G279*1000</f>
        <v>-705.42876364953679</v>
      </c>
      <c r="Y279" s="41">
        <f>F279/'1. Väestöennuste'!H279*1000</f>
        <v>-724.52410511069729</v>
      </c>
      <c r="Z279" s="41">
        <f>G279/'1. Väestöennuste'!I279*1000</f>
        <v>-717.2465607917303</v>
      </c>
      <c r="AA279" s="41">
        <f>H279/'1. Väestöennuste'!J279*1000</f>
        <v>-474.48624397287472</v>
      </c>
      <c r="AB279" s="41">
        <f>I279/'1. Väestöennuste'!K279*1000</f>
        <v>-539.56543129059878</v>
      </c>
      <c r="AC279" s="41">
        <f>J279/'1. Väestöennuste'!L279*1000</f>
        <v>-1109.0037698098258</v>
      </c>
      <c r="AD279" s="41">
        <f>K279/'1. Väestöennuste'!M279*1000</f>
        <v>-1688.2765351492571</v>
      </c>
      <c r="AE279" s="41">
        <f>L279/'1. Väestöennuste'!N279*1000</f>
        <v>-1175.3359120905059</v>
      </c>
      <c r="AF279" s="41">
        <f>M279/'1. Väestöennuste'!O279*1000</f>
        <v>-1222.4075362159479</v>
      </c>
      <c r="AG279" s="41">
        <f>N279/'1. Väestöennuste'!P279*1000</f>
        <v>-1262.15219905198</v>
      </c>
      <c r="AH279" s="41">
        <f>O279/'1. Väestöennuste'!Q279*1000</f>
        <v>-1314.9156266404825</v>
      </c>
      <c r="AI279" s="41">
        <f>P279/'1. Väestöennuste'!R279*1000</f>
        <v>-1366.1907689897273</v>
      </c>
      <c r="AK279" s="34">
        <v>858</v>
      </c>
      <c r="AL279" s="88" t="s">
        <v>593</v>
      </c>
      <c r="AM279" s="41"/>
      <c r="AN279" s="41">
        <f t="shared" si="59"/>
        <v>-67.449694812437656</v>
      </c>
      <c r="AO279" s="41">
        <f t="shared" si="60"/>
        <v>-217.42731242117566</v>
      </c>
      <c r="AP279" s="41">
        <f t="shared" si="61"/>
        <v>-19.095341461160501</v>
      </c>
      <c r="AQ279" s="41">
        <f t="shared" si="62"/>
        <v>7.2775443189669886</v>
      </c>
      <c r="AR279" s="41">
        <f t="shared" si="63"/>
        <v>242.76031681885559</v>
      </c>
      <c r="AS279" s="41">
        <f t="shared" si="64"/>
        <v>-65.079187317724063</v>
      </c>
      <c r="AT279" s="41">
        <f t="shared" si="65"/>
        <v>-569.43833851922705</v>
      </c>
      <c r="AU279" s="41">
        <f t="shared" si="66"/>
        <v>-579.27276533943132</v>
      </c>
      <c r="AV279" s="41">
        <f t="shared" si="67"/>
        <v>512.94062305875127</v>
      </c>
      <c r="AW279" s="41">
        <f t="shared" si="68"/>
        <v>-47.071624125441986</v>
      </c>
      <c r="AX279" s="41">
        <f t="shared" si="69"/>
        <v>-39.744662836032148</v>
      </c>
      <c r="AY279" s="41">
        <f t="shared" si="69"/>
        <v>-52.763427588502509</v>
      </c>
      <c r="AZ279" s="41">
        <f t="shared" si="69"/>
        <v>-51.275142349244788</v>
      </c>
    </row>
    <row r="280" spans="1:52" x14ac:dyDescent="0.2">
      <c r="A280" s="30">
        <v>859</v>
      </c>
      <c r="B280" s="31" t="s">
        <v>594</v>
      </c>
      <c r="C280" s="41">
        <v>-1887</v>
      </c>
      <c r="D280" s="41">
        <v>-8496</v>
      </c>
      <c r="E280" s="73">
        <v>-7725</v>
      </c>
      <c r="F280" s="73">
        <v>-2518</v>
      </c>
      <c r="G280" s="73">
        <v>-505</v>
      </c>
      <c r="H280" s="41">
        <v>-942</v>
      </c>
      <c r="I280" s="165">
        <v>-920.57237999999995</v>
      </c>
      <c r="J280" s="41">
        <v>-1485.5996399999999</v>
      </c>
      <c r="K280" s="41">
        <v>-4046.1115800000002</v>
      </c>
      <c r="L280" s="41">
        <f>$L$5*'7.1. Nettoinvestointiennuste '!Y280</f>
        <v>-3277.9353549436005</v>
      </c>
      <c r="M280" s="41">
        <f>$M$5*'7.1. Nettoinvestointiennuste '!Y280</f>
        <v>-3418.4213991283541</v>
      </c>
      <c r="N280" s="41">
        <f>$N$5*'7.1. Nettoinvestointiennuste '!Y280</f>
        <v>-3539.071685142635</v>
      </c>
      <c r="O280" s="41">
        <f>O$5*'7.1. Nettoinvestointiennuste '!$Y280</f>
        <v>-3696.829839172125</v>
      </c>
      <c r="P280" s="41">
        <f>P$5*'7.1. Nettoinvestointiennuste '!$Y280</f>
        <v>-3850.3062847375259</v>
      </c>
      <c r="T280" s="34">
        <v>859</v>
      </c>
      <c r="U280" s="88" t="s">
        <v>594</v>
      </c>
      <c r="V280" s="41">
        <f>C280/'1. Väestöennuste'!E280*1000</f>
        <v>-277.78595613131165</v>
      </c>
      <c r="W280" s="41">
        <f>D280/'1. Väestöennuste'!F280*1000</f>
        <v>-1258.6666666666665</v>
      </c>
      <c r="X280" s="41">
        <f>E280/'1. Väestöennuste'!G280*1000</f>
        <v>-1147.8454680534917</v>
      </c>
      <c r="Y280" s="41">
        <f>F280/'1. Väestöennuste'!H280*1000</f>
        <v>-372.59544243859125</v>
      </c>
      <c r="Z280" s="41">
        <f>G280/'1. Väestöennuste'!I280*1000</f>
        <v>-76.088594244387522</v>
      </c>
      <c r="AA280" s="41">
        <f>H280/'1. Väestöennuste'!J280*1000</f>
        <v>-142.66242616992275</v>
      </c>
      <c r="AB280" s="41">
        <f>I280/'1. Väestöennuste'!K280*1000</f>
        <v>-139.62875473987563</v>
      </c>
      <c r="AC280" s="41">
        <f>J280/'1. Väestöennuste'!L280*1000</f>
        <v>-226.39433709234987</v>
      </c>
      <c r="AD280" s="41">
        <f>K280/'1. Väestöennuste'!M280*1000</f>
        <v>-620.09372873563223</v>
      </c>
      <c r="AE280" s="41">
        <f>L280/'1. Väestöennuste'!N280*1000</f>
        <v>-506.40125983988884</v>
      </c>
      <c r="AF280" s="41">
        <f>M280/'1. Väestöennuste'!O280*1000</f>
        <v>-531.6362984647518</v>
      </c>
      <c r="AG280" s="41">
        <f>N280/'1. Väestöennuste'!P280*1000</f>
        <v>-554.45271582996008</v>
      </c>
      <c r="AH280" s="41">
        <f>O280/'1. Väestöennuste'!Q280*1000</f>
        <v>-583.37223278714305</v>
      </c>
      <c r="AI280" s="41">
        <f>P280/'1. Väestöennuste'!R280*1000</f>
        <v>-612.32606309439018</v>
      </c>
      <c r="AK280" s="34">
        <v>859</v>
      </c>
      <c r="AL280" s="88" t="s">
        <v>594</v>
      </c>
      <c r="AM280" s="41"/>
      <c r="AN280" s="41">
        <f t="shared" si="59"/>
        <v>-980.88071053535486</v>
      </c>
      <c r="AO280" s="41">
        <f t="shared" si="60"/>
        <v>110.82119861317483</v>
      </c>
      <c r="AP280" s="41">
        <f t="shared" si="61"/>
        <v>775.25002561490044</v>
      </c>
      <c r="AQ280" s="41">
        <f t="shared" si="62"/>
        <v>296.50684819420371</v>
      </c>
      <c r="AR280" s="41">
        <f t="shared" si="63"/>
        <v>-66.573831925535231</v>
      </c>
      <c r="AS280" s="41">
        <f t="shared" si="64"/>
        <v>3.0336714300471215</v>
      </c>
      <c r="AT280" s="41">
        <f t="shared" si="65"/>
        <v>-86.76558235247424</v>
      </c>
      <c r="AU280" s="41">
        <f t="shared" si="66"/>
        <v>-393.69939164328235</v>
      </c>
      <c r="AV280" s="41">
        <f t="shared" si="67"/>
        <v>113.69246889574339</v>
      </c>
      <c r="AW280" s="41">
        <f t="shared" si="68"/>
        <v>-25.235038624862966</v>
      </c>
      <c r="AX280" s="41">
        <f t="shared" si="69"/>
        <v>-22.816417365208281</v>
      </c>
      <c r="AY280" s="41">
        <f t="shared" si="69"/>
        <v>-28.919516957182964</v>
      </c>
      <c r="AZ280" s="41">
        <f t="shared" si="69"/>
        <v>-28.953830307247131</v>
      </c>
    </row>
    <row r="281" spans="1:52" x14ac:dyDescent="0.2">
      <c r="A281" s="30">
        <v>886</v>
      </c>
      <c r="B281" s="31" t="s">
        <v>595</v>
      </c>
      <c r="C281" s="41">
        <v>-2907</v>
      </c>
      <c r="D281" s="41">
        <v>-2365</v>
      </c>
      <c r="E281" s="73">
        <v>-4577</v>
      </c>
      <c r="F281" s="73">
        <v>-4736</v>
      </c>
      <c r="G281" s="73">
        <v>-833</v>
      </c>
      <c r="H281" s="41">
        <v>-2355</v>
      </c>
      <c r="I281" s="165">
        <v>-2322.9662599999997</v>
      </c>
      <c r="J281" s="41">
        <v>-2002.9123</v>
      </c>
      <c r="K281" s="41">
        <v>-4641.2268199999999</v>
      </c>
      <c r="L281" s="41">
        <f>$L$5*'7.1. Nettoinvestointiennuste '!Y281</f>
        <v>-5287.8612678240306</v>
      </c>
      <c r="M281" s="41">
        <f>$M$5*'7.1. Nettoinvestointiennuste '!Y281</f>
        <v>-5514.4888950571358</v>
      </c>
      <c r="N281" s="41">
        <f>$N$5*'7.1. Nettoinvestointiennuste '!Y281</f>
        <v>-5709.1181068274773</v>
      </c>
      <c r="O281" s="41">
        <f>O$5*'7.1. Nettoinvestointiennuste '!$Y281</f>
        <v>-5963.6085534184558</v>
      </c>
      <c r="P281" s="41">
        <f>P$5*'7.1. Nettoinvestointiennuste '!$Y281</f>
        <v>-6211.1918838232586</v>
      </c>
      <c r="T281" s="34">
        <v>886</v>
      </c>
      <c r="U281" s="88" t="s">
        <v>595</v>
      </c>
      <c r="V281" s="41">
        <f>C281/'1. Väestöennuste'!E281*1000</f>
        <v>-217.7201917315758</v>
      </c>
      <c r="W281" s="41">
        <f>D281/'1. Väestöennuste'!F281*1000</f>
        <v>-177.65925480769232</v>
      </c>
      <c r="X281" s="41">
        <f>E281/'1. Väestöennuste'!G281*1000</f>
        <v>-345.77321145274607</v>
      </c>
      <c r="Y281" s="41">
        <f>F281/'1. Väestöennuste'!H281*1000</f>
        <v>-363.72014438215189</v>
      </c>
      <c r="Z281" s="41">
        <f>G281/'1. Väestöennuste'!I281*1000</f>
        <v>-64.719136042265561</v>
      </c>
      <c r="AA281" s="41">
        <f>H281/'1. Väestöennuste'!J281*1000</f>
        <v>-184.92343934040048</v>
      </c>
      <c r="AB281" s="41">
        <f>I281/'1. Väestöennuste'!K281*1000</f>
        <v>-183.3582966295682</v>
      </c>
      <c r="AC281" s="41">
        <f>J281/'1. Väestöennuste'!L281*1000</f>
        <v>-158.97391062782759</v>
      </c>
      <c r="AD281" s="41">
        <f>K281/'1. Väestöennuste'!M281*1000</f>
        <v>-370.32049948136921</v>
      </c>
      <c r="AE281" s="41">
        <f>L281/'1. Väestöennuste'!N281*1000</f>
        <v>-430.46737771279965</v>
      </c>
      <c r="AF281" s="41">
        <f>M281/'1. Väestöennuste'!O281*1000</f>
        <v>-453.23324525825063</v>
      </c>
      <c r="AG281" s="41">
        <f>N281/'1. Väestöennuste'!P281*1000</f>
        <v>-473.86438469683577</v>
      </c>
      <c r="AH281" s="41">
        <f>O281/'1. Väestöennuste'!Q281*1000</f>
        <v>-500.00910148557523</v>
      </c>
      <c r="AI281" s="41">
        <f>P281/'1. Väestöennuste'!R281*1000</f>
        <v>-526.32758951133451</v>
      </c>
      <c r="AK281" s="34">
        <v>886</v>
      </c>
      <c r="AL281" s="88" t="s">
        <v>595</v>
      </c>
      <c r="AM281" s="41"/>
      <c r="AN281" s="41">
        <f t="shared" si="59"/>
        <v>40.060936923883474</v>
      </c>
      <c r="AO281" s="41">
        <f t="shared" si="60"/>
        <v>-168.11395664505375</v>
      </c>
      <c r="AP281" s="41">
        <f t="shared" si="61"/>
        <v>-17.946932929405818</v>
      </c>
      <c r="AQ281" s="41">
        <f t="shared" si="62"/>
        <v>299.00100833988631</v>
      </c>
      <c r="AR281" s="41">
        <f t="shared" si="63"/>
        <v>-120.20430329813492</v>
      </c>
      <c r="AS281" s="41">
        <f t="shared" si="64"/>
        <v>1.5651427108322764</v>
      </c>
      <c r="AT281" s="41">
        <f t="shared" si="65"/>
        <v>24.384386001740609</v>
      </c>
      <c r="AU281" s="41">
        <f t="shared" si="66"/>
        <v>-211.34658885354162</v>
      </c>
      <c r="AV281" s="41">
        <f t="shared" si="67"/>
        <v>-60.146878231430435</v>
      </c>
      <c r="AW281" s="41">
        <f t="shared" si="68"/>
        <v>-22.765867545450988</v>
      </c>
      <c r="AX281" s="41">
        <f t="shared" si="69"/>
        <v>-20.631139438585137</v>
      </c>
      <c r="AY281" s="41">
        <f t="shared" si="69"/>
        <v>-26.144716788739458</v>
      </c>
      <c r="AZ281" s="41">
        <f t="shared" si="69"/>
        <v>-26.318488025759279</v>
      </c>
    </row>
    <row r="282" spans="1:52" x14ac:dyDescent="0.2">
      <c r="A282" s="30">
        <v>887</v>
      </c>
      <c r="B282" s="31" t="s">
        <v>596</v>
      </c>
      <c r="C282" s="41">
        <v>-4994</v>
      </c>
      <c r="D282" s="41">
        <v>-6181</v>
      </c>
      <c r="E282" s="73">
        <v>-2490</v>
      </c>
      <c r="F282" s="73">
        <v>-581</v>
      </c>
      <c r="G282" s="73">
        <v>-466</v>
      </c>
      <c r="H282" s="41">
        <v>-1461</v>
      </c>
      <c r="I282" s="165">
        <v>-2118.0605599999999</v>
      </c>
      <c r="J282" s="41">
        <v>-1321.74855</v>
      </c>
      <c r="K282" s="41">
        <v>-623.23318999999992</v>
      </c>
      <c r="L282" s="41">
        <f>$L$5*'7.1. Nettoinvestointiennuste '!Y282</f>
        <v>-1295.1571743335755</v>
      </c>
      <c r="M282" s="41">
        <f>$M$5*'7.1. Nettoinvestointiennuste '!Y282</f>
        <v>-1350.6651353875413</v>
      </c>
      <c r="N282" s="41">
        <f>$N$5*'7.1. Nettoinvestointiennuste '!Y282</f>
        <v>-1398.3357165907762</v>
      </c>
      <c r="O282" s="41">
        <f>O$5*'7.1. Nettoinvestointiennuste '!$Y282</f>
        <v>-1460.6681249138289</v>
      </c>
      <c r="P282" s="41">
        <f>P$5*'7.1. Nettoinvestointiennuste '!$Y282</f>
        <v>-1521.3087715530196</v>
      </c>
      <c r="T282" s="34">
        <v>887</v>
      </c>
      <c r="U282" s="88" t="s">
        <v>596</v>
      </c>
      <c r="V282" s="41">
        <f>C282/'1. Väestöennuste'!E282*1000</f>
        <v>-1013.3928571428572</v>
      </c>
      <c r="W282" s="41">
        <f>D282/'1. Väestöennuste'!F282*1000</f>
        <v>-1272.3342939481267</v>
      </c>
      <c r="X282" s="41">
        <f>E282/'1. Väestöennuste'!G282*1000</f>
        <v>-515.63470697867058</v>
      </c>
      <c r="Y282" s="41">
        <f>F282/'1. Väestöennuste'!H282*1000</f>
        <v>-121.24373956594324</v>
      </c>
      <c r="Z282" s="41">
        <f>G282/'1. Väestöennuste'!I282*1000</f>
        <v>-99.402730375426614</v>
      </c>
      <c r="AA282" s="41">
        <f>H282/'1. Väestöennuste'!J282*1000</f>
        <v>-314.5994832041344</v>
      </c>
      <c r="AB282" s="41">
        <f>I282/'1. Väestöennuste'!K282*1000</f>
        <v>-453.64329835082458</v>
      </c>
      <c r="AC282" s="41">
        <f>J282/'1. Väestöennuste'!L282*1000</f>
        <v>-289.28617859487855</v>
      </c>
      <c r="AD282" s="41">
        <f>K282/'1. Väestöennuste'!M282*1000</f>
        <v>-136.43458625218912</v>
      </c>
      <c r="AE282" s="41">
        <f>L282/'1. Väestöennuste'!N282*1000</f>
        <v>-291.83352283316259</v>
      </c>
      <c r="AF282" s="41">
        <f>M282/'1. Väestöennuste'!O282*1000</f>
        <v>-307.66859576026002</v>
      </c>
      <c r="AG282" s="41">
        <f>N282/'1. Väestöennuste'!P282*1000</f>
        <v>-321.7523508032159</v>
      </c>
      <c r="AH282" s="41">
        <f>O282/'1. Väestöennuste'!Q282*1000</f>
        <v>-339.21693565114469</v>
      </c>
      <c r="AI282" s="41">
        <f>P282/'1. Väestöennuste'!R282*1000</f>
        <v>-356.6124640302437</v>
      </c>
      <c r="AK282" s="34">
        <v>887</v>
      </c>
      <c r="AL282" s="88" t="s">
        <v>596</v>
      </c>
      <c r="AM282" s="41"/>
      <c r="AN282" s="41">
        <f t="shared" si="59"/>
        <v>-258.94143680526952</v>
      </c>
      <c r="AO282" s="41">
        <f t="shared" si="60"/>
        <v>756.69958696945616</v>
      </c>
      <c r="AP282" s="41">
        <f t="shared" si="61"/>
        <v>394.39096741272732</v>
      </c>
      <c r="AQ282" s="41">
        <f t="shared" si="62"/>
        <v>21.84100919051663</v>
      </c>
      <c r="AR282" s="41">
        <f t="shared" si="63"/>
        <v>-215.19675282870779</v>
      </c>
      <c r="AS282" s="41">
        <f t="shared" si="64"/>
        <v>-139.04381514669018</v>
      </c>
      <c r="AT282" s="41">
        <f t="shared" si="65"/>
        <v>164.35711975594603</v>
      </c>
      <c r="AU282" s="41">
        <f t="shared" si="66"/>
        <v>152.85159234268943</v>
      </c>
      <c r="AV282" s="41">
        <f t="shared" si="67"/>
        <v>-155.39893658097347</v>
      </c>
      <c r="AW282" s="41">
        <f t="shared" si="68"/>
        <v>-15.835072927097428</v>
      </c>
      <c r="AX282" s="41">
        <f t="shared" si="69"/>
        <v>-14.083755042955886</v>
      </c>
      <c r="AY282" s="41">
        <f t="shared" si="69"/>
        <v>-17.464584847928791</v>
      </c>
      <c r="AZ282" s="41">
        <f t="shared" si="69"/>
        <v>-17.395528379099005</v>
      </c>
    </row>
    <row r="283" spans="1:52" x14ac:dyDescent="0.2">
      <c r="A283" s="30">
        <v>889</v>
      </c>
      <c r="B283" s="31" t="s">
        <v>597</v>
      </c>
      <c r="C283" s="41">
        <v>-2789</v>
      </c>
      <c r="D283" s="41">
        <v>-1511</v>
      </c>
      <c r="E283" s="73">
        <v>-3839</v>
      </c>
      <c r="F283" s="73">
        <v>-385</v>
      </c>
      <c r="G283" s="73">
        <v>-3488</v>
      </c>
      <c r="H283" s="41">
        <v>-2008</v>
      </c>
      <c r="I283" s="165">
        <v>-2995.5673099999999</v>
      </c>
      <c r="J283" s="41">
        <v>-1465.8998700000002</v>
      </c>
      <c r="K283" s="41">
        <v>-967.18344999999999</v>
      </c>
      <c r="L283" s="41">
        <f>$L$5*'7.1. Nettoinvestointiennuste '!Y283</f>
        <v>-2029.3667611818717</v>
      </c>
      <c r="M283" s="41">
        <f>$M$5*'7.1. Nettoinvestointiennuste '!Y283</f>
        <v>-2116.3415418310683</v>
      </c>
      <c r="N283" s="41">
        <f>$N$5*'7.1. Nettoinvestointiennuste '!Y283</f>
        <v>-2191.0360228540721</v>
      </c>
      <c r="O283" s="41">
        <f>O$5*'7.1. Nettoinvestointiennuste '!$Y283</f>
        <v>-2288.7039508106209</v>
      </c>
      <c r="P283" s="41">
        <f>P$5*'7.1. Nettoinvestointiennuste '!$Y283</f>
        <v>-2383.7210769980047</v>
      </c>
      <c r="T283" s="34">
        <v>889</v>
      </c>
      <c r="U283" s="88" t="s">
        <v>597</v>
      </c>
      <c r="V283" s="41">
        <f>C283/'1. Väestöennuste'!E283*1000</f>
        <v>-974.83397413491787</v>
      </c>
      <c r="W283" s="41">
        <f>D283/'1. Väestöennuste'!F283*1000</f>
        <v>-535.05665722379604</v>
      </c>
      <c r="X283" s="41">
        <f>E283/'1. Väestöennuste'!G283*1000</f>
        <v>-1386.9219653179191</v>
      </c>
      <c r="Y283" s="41">
        <f>F283/'1. Väestöennuste'!H283*1000</f>
        <v>-142.48704663212436</v>
      </c>
      <c r="Z283" s="41">
        <f>G283/'1. Väestöennuste'!I283*1000</f>
        <v>-1303.4379671150971</v>
      </c>
      <c r="AA283" s="41">
        <f>H283/'1. Väestöennuste'!J283*1000</f>
        <v>-766.70484917907595</v>
      </c>
      <c r="AB283" s="41">
        <f>I283/'1. Väestöennuste'!K283*1000</f>
        <v>-1166.4981736760126</v>
      </c>
      <c r="AC283" s="41">
        <f>J283/'1. Väestöennuste'!L283*1000</f>
        <v>-581.01461355529136</v>
      </c>
      <c r="AD283" s="41">
        <f>K283/'1. Väestöennuste'!M283*1000</f>
        <v>-388.2711561621839</v>
      </c>
      <c r="AE283" s="41">
        <f>L283/'1. Väestöennuste'!N283*1000</f>
        <v>-834.10060056797033</v>
      </c>
      <c r="AF283" s="41">
        <f>M283/'1. Väestöennuste'!O283*1000</f>
        <v>-882.91261653361221</v>
      </c>
      <c r="AG283" s="41">
        <f>N283/'1. Väestöennuste'!P283*1000</f>
        <v>-927.2264167812408</v>
      </c>
      <c r="AH283" s="41">
        <f>O283/'1. Väestöennuste'!Q283*1000</f>
        <v>-981.43394117093521</v>
      </c>
      <c r="AI283" s="41">
        <f>P283/'1. Väestöennuste'!R283*1000</f>
        <v>-1034.6011618914952</v>
      </c>
      <c r="AK283" s="34">
        <v>889</v>
      </c>
      <c r="AL283" s="88" t="s">
        <v>597</v>
      </c>
      <c r="AM283" s="41"/>
      <c r="AN283" s="41">
        <f t="shared" si="59"/>
        <v>439.77731691112183</v>
      </c>
      <c r="AO283" s="41">
        <f t="shared" si="60"/>
        <v>-851.86530809412307</v>
      </c>
      <c r="AP283" s="41">
        <f t="shared" si="61"/>
        <v>1244.4349186857949</v>
      </c>
      <c r="AQ283" s="41">
        <f t="shared" si="62"/>
        <v>-1160.9509204829728</v>
      </c>
      <c r="AR283" s="41">
        <f t="shared" si="63"/>
        <v>536.73311793602113</v>
      </c>
      <c r="AS283" s="41">
        <f t="shared" si="64"/>
        <v>-399.79332449693663</v>
      </c>
      <c r="AT283" s="41">
        <f t="shared" si="65"/>
        <v>585.48356012072122</v>
      </c>
      <c r="AU283" s="41">
        <f t="shared" si="66"/>
        <v>192.74345739310746</v>
      </c>
      <c r="AV283" s="41">
        <f t="shared" si="67"/>
        <v>-445.82944440578643</v>
      </c>
      <c r="AW283" s="41">
        <f t="shared" si="68"/>
        <v>-48.812015965641876</v>
      </c>
      <c r="AX283" s="41">
        <f t="shared" si="69"/>
        <v>-44.313800247628592</v>
      </c>
      <c r="AY283" s="41">
        <f t="shared" si="69"/>
        <v>-54.207524389694413</v>
      </c>
      <c r="AZ283" s="41">
        <f t="shared" si="69"/>
        <v>-53.167220720559953</v>
      </c>
    </row>
    <row r="284" spans="1:52" x14ac:dyDescent="0.2">
      <c r="A284" s="30">
        <v>890</v>
      </c>
      <c r="B284" s="31" t="s">
        <v>598</v>
      </c>
      <c r="C284" s="41">
        <v>-1730</v>
      </c>
      <c r="D284" s="41">
        <v>-1004</v>
      </c>
      <c r="E284" s="73">
        <v>-483</v>
      </c>
      <c r="F284" s="73">
        <v>-595</v>
      </c>
      <c r="G284" s="73">
        <v>-2633</v>
      </c>
      <c r="H284" s="41">
        <v>-6414</v>
      </c>
      <c r="I284" s="165">
        <v>-2116.11357</v>
      </c>
      <c r="J284" s="41">
        <v>-734.01783</v>
      </c>
      <c r="K284" s="41">
        <v>228.06959000000001</v>
      </c>
      <c r="L284" s="41">
        <f>$L$5*'7.1. Nettoinvestointiennuste '!Y284</f>
        <v>-1623.8013457616989</v>
      </c>
      <c r="M284" s="41">
        <f>$M$5*'7.1. Nettoinvestointiennuste '!Y284</f>
        <v>-1693.3943678644382</v>
      </c>
      <c r="N284" s="41">
        <f>$N$5*'7.1. Nettoinvestointiennuste '!Y284</f>
        <v>-1753.1612868492982</v>
      </c>
      <c r="O284" s="41">
        <f>O$5*'7.1. Nettoinvestointiennuste '!$Y284</f>
        <v>-1831.3104493798005</v>
      </c>
      <c r="P284" s="41">
        <f>P$5*'7.1. Nettoinvestointiennuste '!$Y284</f>
        <v>-1907.3385682613907</v>
      </c>
      <c r="T284" s="34">
        <v>890</v>
      </c>
      <c r="U284" s="88" t="s">
        <v>598</v>
      </c>
      <c r="V284" s="41">
        <f>C284/'1. Väestöennuste'!E284*1000</f>
        <v>-1384</v>
      </c>
      <c r="W284" s="41">
        <f>D284/'1. Väestöennuste'!F284*1000</f>
        <v>-809.02497985495575</v>
      </c>
      <c r="X284" s="41">
        <f>E284/'1. Väestöennuste'!G284*1000</f>
        <v>-388.88888888888891</v>
      </c>
      <c r="Y284" s="41">
        <f>F284/'1. Väestöennuste'!H284*1000</f>
        <v>-482.9545454545455</v>
      </c>
      <c r="Z284" s="41">
        <f>G284/'1. Väestöennuste'!I284*1000</f>
        <v>-2172.4422442244222</v>
      </c>
      <c r="AA284" s="41">
        <f>H284/'1. Väestöennuste'!J284*1000</f>
        <v>-5261.6899097620999</v>
      </c>
      <c r="AB284" s="41">
        <f>I284/'1. Väestöennuste'!K284*1000</f>
        <v>-1799.4163010204081</v>
      </c>
      <c r="AC284" s="41">
        <f>J284/'1. Väestöennuste'!L284*1000</f>
        <v>-622.04900847457623</v>
      </c>
      <c r="AD284" s="41">
        <f>K284/'1. Väestöennuste'!M284*1000</f>
        <v>200.23669007901668</v>
      </c>
      <c r="AE284" s="41">
        <f>L284/'1. Väestöennuste'!N284*1000</f>
        <v>-1355.4268328561761</v>
      </c>
      <c r="AF284" s="41">
        <f>M284/'1. Väestöennuste'!O284*1000</f>
        <v>-1417.0664166229608</v>
      </c>
      <c r="AG284" s="41">
        <f>N284/'1. Väestöennuste'!P284*1000</f>
        <v>-1469.540056034617</v>
      </c>
      <c r="AH284" s="41">
        <f>O284/'1. Väestöennuste'!Q284*1000</f>
        <v>-1536.3342696139266</v>
      </c>
      <c r="AI284" s="41">
        <f>P284/'1. Väestöennuste'!R284*1000</f>
        <v>-1600.116248541435</v>
      </c>
      <c r="AK284" s="34">
        <v>890</v>
      </c>
      <c r="AL284" s="88" t="s">
        <v>598</v>
      </c>
      <c r="AM284" s="41"/>
      <c r="AN284" s="41">
        <f t="shared" si="59"/>
        <v>574.97502014504425</v>
      </c>
      <c r="AO284" s="41">
        <f t="shared" si="60"/>
        <v>420.13609096606683</v>
      </c>
      <c r="AP284" s="41">
        <f t="shared" si="61"/>
        <v>-94.065656565656582</v>
      </c>
      <c r="AQ284" s="41">
        <f t="shared" si="62"/>
        <v>-1689.4876987698767</v>
      </c>
      <c r="AR284" s="41">
        <f t="shared" si="63"/>
        <v>-3089.2476655376777</v>
      </c>
      <c r="AS284" s="41">
        <f t="shared" si="64"/>
        <v>3462.2736087416915</v>
      </c>
      <c r="AT284" s="41">
        <f t="shared" si="65"/>
        <v>1177.3672925458318</v>
      </c>
      <c r="AU284" s="41">
        <f t="shared" si="66"/>
        <v>822.28569855359297</v>
      </c>
      <c r="AV284" s="41">
        <f t="shared" si="67"/>
        <v>-1555.6635229351928</v>
      </c>
      <c r="AW284" s="41">
        <f t="shared" si="68"/>
        <v>-61.639583766784654</v>
      </c>
      <c r="AX284" s="41">
        <f t="shared" si="69"/>
        <v>-52.473639411656222</v>
      </c>
      <c r="AY284" s="41">
        <f t="shared" si="69"/>
        <v>-66.794213579309599</v>
      </c>
      <c r="AZ284" s="41">
        <f t="shared" si="69"/>
        <v>-63.781978927508362</v>
      </c>
    </row>
    <row r="285" spans="1:52" x14ac:dyDescent="0.2">
      <c r="A285" s="30">
        <v>892</v>
      </c>
      <c r="B285" s="31" t="s">
        <v>599</v>
      </c>
      <c r="C285" s="41">
        <v>-740</v>
      </c>
      <c r="D285" s="41">
        <v>-1968</v>
      </c>
      <c r="E285" s="73">
        <v>-3523</v>
      </c>
      <c r="F285" s="73">
        <v>-936</v>
      </c>
      <c r="G285" s="73">
        <v>-766</v>
      </c>
      <c r="H285" s="41">
        <v>-301</v>
      </c>
      <c r="I285" s="165">
        <v>-1491.0273400000001</v>
      </c>
      <c r="J285" s="41">
        <v>-815.50175000000002</v>
      </c>
      <c r="K285" s="41">
        <v>-1230.6279999999999</v>
      </c>
      <c r="L285" s="41">
        <f>$L$5*'7.1. Nettoinvestointiennuste '!Y285</f>
        <v>-886.32344400241925</v>
      </c>
      <c r="M285" s="41">
        <f>$M$5*'7.1. Nettoinvestointiennuste '!Y285</f>
        <v>-924.30957277958339</v>
      </c>
      <c r="N285" s="41">
        <f>$N$5*'7.1. Nettoinvestointiennuste '!Y285</f>
        <v>-956.93229575634393</v>
      </c>
      <c r="O285" s="41">
        <f>O$5*'7.1. Nettoinvestointiennuste '!$Y285</f>
        <v>-999.58864350524186</v>
      </c>
      <c r="P285" s="41">
        <f>P$5*'7.1. Nettoinvestointiennuste '!$Y285</f>
        <v>-1041.0872568325681</v>
      </c>
      <c r="T285" s="34">
        <v>892</v>
      </c>
      <c r="U285" s="88" t="s">
        <v>599</v>
      </c>
      <c r="V285" s="41">
        <f>C285/'1. Väestöennuste'!E285*1000</f>
        <v>-201.85488270594652</v>
      </c>
      <c r="W285" s="41">
        <f>D285/'1. Väestöennuste'!F285*1000</f>
        <v>-529.45924132364803</v>
      </c>
      <c r="X285" s="41">
        <f>E285/'1. Väestöennuste'!G285*1000</f>
        <v>-940.21884174005879</v>
      </c>
      <c r="Y285" s="41">
        <f>F285/'1. Väestöennuste'!H285*1000</f>
        <v>-247.42268041237114</v>
      </c>
      <c r="Z285" s="41">
        <f>G285/'1. Väestöennuste'!I285*1000</f>
        <v>-208.09562618853573</v>
      </c>
      <c r="AA285" s="41">
        <f>H285/'1. Väestöennuste'!J285*1000</f>
        <v>-82.556226001097087</v>
      </c>
      <c r="AB285" s="41">
        <f>I285/'1. Väestöennuste'!K285*1000</f>
        <v>-410.29921298844249</v>
      </c>
      <c r="AC285" s="41">
        <f>J285/'1. Väestöennuste'!L285*1000</f>
        <v>-227.03278118040092</v>
      </c>
      <c r="AD285" s="41">
        <f>K285/'1. Väestöennuste'!M285*1000</f>
        <v>-340.42268326417701</v>
      </c>
      <c r="AE285" s="41">
        <f>L285/'1. Väestöennuste'!N285*1000</f>
        <v>-242.03261714975949</v>
      </c>
      <c r="AF285" s="41">
        <f>M285/'1. Väestöennuste'!O285*1000</f>
        <v>-252.88907599988602</v>
      </c>
      <c r="AG285" s="41">
        <f>N285/'1. Väestöennuste'!P285*1000</f>
        <v>-262.82128419564515</v>
      </c>
      <c r="AH285" s="41">
        <f>O285/'1. Väestöennuste'!Q285*1000</f>
        <v>-275.74859131179085</v>
      </c>
      <c r="AI285" s="41">
        <f>P285/'1. Väestöennuste'!R285*1000</f>
        <v>-288.86993807784904</v>
      </c>
      <c r="AK285" s="34">
        <v>892</v>
      </c>
      <c r="AL285" s="88" t="s">
        <v>599</v>
      </c>
      <c r="AM285" s="41"/>
      <c r="AN285" s="41">
        <f t="shared" si="59"/>
        <v>-327.60435861770151</v>
      </c>
      <c r="AO285" s="41">
        <f t="shared" si="60"/>
        <v>-410.75960041641076</v>
      </c>
      <c r="AP285" s="41">
        <f t="shared" si="61"/>
        <v>692.79616132768763</v>
      </c>
      <c r="AQ285" s="41">
        <f t="shared" si="62"/>
        <v>39.327054223835404</v>
      </c>
      <c r="AR285" s="41">
        <f t="shared" si="63"/>
        <v>125.53940018743864</v>
      </c>
      <c r="AS285" s="41">
        <f t="shared" si="64"/>
        <v>-327.74298698734538</v>
      </c>
      <c r="AT285" s="41">
        <f t="shared" si="65"/>
        <v>183.26643180804157</v>
      </c>
      <c r="AU285" s="41">
        <f t="shared" si="66"/>
        <v>-113.38990208377609</v>
      </c>
      <c r="AV285" s="41">
        <f t="shared" si="67"/>
        <v>98.390066114417522</v>
      </c>
      <c r="AW285" s="41">
        <f t="shared" si="68"/>
        <v>-10.856458850126529</v>
      </c>
      <c r="AX285" s="41">
        <f t="shared" si="69"/>
        <v>-9.9322081957591308</v>
      </c>
      <c r="AY285" s="41">
        <f t="shared" si="69"/>
        <v>-12.927307116145698</v>
      </c>
      <c r="AZ285" s="41">
        <f t="shared" si="69"/>
        <v>-13.121346766058195</v>
      </c>
    </row>
    <row r="286" spans="1:52" x14ac:dyDescent="0.2">
      <c r="A286" s="30">
        <v>893</v>
      </c>
      <c r="B286" s="31" t="s">
        <v>600</v>
      </c>
      <c r="C286" s="41">
        <v>-1250</v>
      </c>
      <c r="D286" s="41">
        <v>-6895</v>
      </c>
      <c r="E286" s="73">
        <v>-3977</v>
      </c>
      <c r="F286" s="73">
        <v>-5660</v>
      </c>
      <c r="G286" s="73">
        <v>-6174</v>
      </c>
      <c r="H286" s="41">
        <v>-2059</v>
      </c>
      <c r="I286" s="165">
        <v>-538.83074999999997</v>
      </c>
      <c r="J286" s="41">
        <v>-3538.6109999999999</v>
      </c>
      <c r="K286" s="41">
        <v>-3065.1392799999999</v>
      </c>
      <c r="L286" s="41">
        <f>$L$5*'7.1. Nettoinvestointiennuste '!Y286</f>
        <v>-4061.9579795727564</v>
      </c>
      <c r="M286" s="41">
        <f>$M$5*'7.1. Nettoinvestointiennuste '!Y286</f>
        <v>-4236.0457349442131</v>
      </c>
      <c r="N286" s="41">
        <f>$N$5*'7.1. Nettoinvestointiennuste '!Y286</f>
        <v>-4385.5533789172205</v>
      </c>
      <c r="O286" s="41">
        <f>O$5*'7.1. Nettoinvestointiennuste '!$Y286</f>
        <v>-4581.0444192259702</v>
      </c>
      <c r="P286" s="41">
        <f>P$5*'7.1. Nettoinvestointiennuste '!$Y286</f>
        <v>-4771.2296441422104</v>
      </c>
      <c r="T286" s="34">
        <v>893</v>
      </c>
      <c r="U286" s="88" t="s">
        <v>600</v>
      </c>
      <c r="V286" s="41">
        <f>C286/'1. Väestöennuste'!E286*1000</f>
        <v>-165.25647805393973</v>
      </c>
      <c r="W286" s="41">
        <f>D286/'1. Väestöennuste'!F286*1000</f>
        <v>-917.37626397019687</v>
      </c>
      <c r="X286" s="41">
        <f>E286/'1. Väestöennuste'!G286*1000</f>
        <v>-528.78606568275495</v>
      </c>
      <c r="Y286" s="41">
        <f>F286/'1. Väestöennuste'!H286*1000</f>
        <v>-759.22199865861842</v>
      </c>
      <c r="Z286" s="41">
        <f>G286/'1. Väestöennuste'!I286*1000</f>
        <v>-827.17041800643085</v>
      </c>
      <c r="AA286" s="41">
        <f>H286/'1. Väestöennuste'!J286*1000</f>
        <v>-275.30418505147748</v>
      </c>
      <c r="AB286" s="41">
        <f>I286/'1. Väestöennuste'!K286*1000</f>
        <v>-71.872849139655855</v>
      </c>
      <c r="AC286" s="41">
        <f>J286/'1. Väestöennuste'!L286*1000</f>
        <v>-476.00363196125903</v>
      </c>
      <c r="AD286" s="41">
        <f>K286/'1. Väestöennuste'!M286*1000</f>
        <v>-408.68523733333336</v>
      </c>
      <c r="AE286" s="41">
        <f>L286/'1. Väestöennuste'!N286*1000</f>
        <v>-546.40274140069369</v>
      </c>
      <c r="AF286" s="41">
        <f>M286/'1. Väestöennuste'!O286*1000</f>
        <v>-571.04957332761035</v>
      </c>
      <c r="AG286" s="41">
        <f>N286/'1. Väestöennuste'!P286*1000</f>
        <v>-593.04305326804877</v>
      </c>
      <c r="AH286" s="41">
        <f>O286/'1. Väestöennuste'!Q286*1000</f>
        <v>-621.57997547163779</v>
      </c>
      <c r="AI286" s="41">
        <f>P286/'1. Väestöennuste'!R286*1000</f>
        <v>-650.20845518427507</v>
      </c>
      <c r="AK286" s="34">
        <v>893</v>
      </c>
      <c r="AL286" s="88" t="s">
        <v>600</v>
      </c>
      <c r="AM286" s="41"/>
      <c r="AN286" s="41">
        <f t="shared" si="59"/>
        <v>-752.11978591625711</v>
      </c>
      <c r="AO286" s="41">
        <f t="shared" si="60"/>
        <v>388.59019828744192</v>
      </c>
      <c r="AP286" s="41">
        <f t="shared" si="61"/>
        <v>-230.43593297586347</v>
      </c>
      <c r="AQ286" s="41">
        <f t="shared" si="62"/>
        <v>-67.948419347812433</v>
      </c>
      <c r="AR286" s="41">
        <f t="shared" si="63"/>
        <v>551.86623295495338</v>
      </c>
      <c r="AS286" s="41">
        <f t="shared" si="64"/>
        <v>203.43133591182163</v>
      </c>
      <c r="AT286" s="41">
        <f t="shared" si="65"/>
        <v>-404.13078282160319</v>
      </c>
      <c r="AU286" s="41">
        <f t="shared" si="66"/>
        <v>67.31839462792567</v>
      </c>
      <c r="AV286" s="41">
        <f t="shared" si="67"/>
        <v>-137.71750406736032</v>
      </c>
      <c r="AW286" s="41">
        <f t="shared" si="68"/>
        <v>-24.646831926916661</v>
      </c>
      <c r="AX286" s="41">
        <f t="shared" si="69"/>
        <v>-21.993479940438419</v>
      </c>
      <c r="AY286" s="41">
        <f t="shared" si="69"/>
        <v>-28.536922203589029</v>
      </c>
      <c r="AZ286" s="41">
        <f t="shared" si="69"/>
        <v>-28.628479712637272</v>
      </c>
    </row>
    <row r="287" spans="1:52" x14ac:dyDescent="0.2">
      <c r="A287" s="30">
        <v>895</v>
      </c>
      <c r="B287" s="31" t="s">
        <v>601</v>
      </c>
      <c r="C287" s="41">
        <v>-6681</v>
      </c>
      <c r="D287" s="41">
        <v>-8461</v>
      </c>
      <c r="E287" s="73">
        <v>-8905</v>
      </c>
      <c r="F287" s="73">
        <v>-11526</v>
      </c>
      <c r="G287" s="73">
        <v>-12378</v>
      </c>
      <c r="H287" s="41">
        <v>-12016</v>
      </c>
      <c r="I287" s="165">
        <v>-12794.65501</v>
      </c>
      <c r="J287" s="41">
        <v>-22273.306809999998</v>
      </c>
      <c r="K287" s="41">
        <v>-17951.643829999997</v>
      </c>
      <c r="L287" s="41">
        <f>$L$5*'7.1. Nettoinvestointiennuste '!Y287</f>
        <v>-15871.2961696538</v>
      </c>
      <c r="M287" s="41">
        <f>$M$5*'7.1. Nettoinvestointiennuste '!Y287</f>
        <v>-16551.509588626996</v>
      </c>
      <c r="N287" s="41">
        <f>$N$5*'7.1. Nettoinvestointiennuste '!Y287</f>
        <v>-17135.681091398754</v>
      </c>
      <c r="O287" s="41">
        <f>O$5*'7.1. Nettoinvestointiennuste '!$Y287</f>
        <v>-17899.523606475741</v>
      </c>
      <c r="P287" s="41">
        <f>P$5*'7.1. Nettoinvestointiennuste '!$Y287</f>
        <v>-18642.634698938436</v>
      </c>
      <c r="T287" s="34">
        <v>895</v>
      </c>
      <c r="U287" s="88" t="s">
        <v>601</v>
      </c>
      <c r="V287" s="41">
        <f>C287/'1. Väestöennuste'!E287*1000</f>
        <v>-430.75435203094776</v>
      </c>
      <c r="W287" s="41">
        <f>D287/'1. Väestöennuste'!F287*1000</f>
        <v>-549.2729161256816</v>
      </c>
      <c r="X287" s="41">
        <f>E287/'1. Väestöennuste'!G287*1000</f>
        <v>-565.32503809040122</v>
      </c>
      <c r="Y287" s="41">
        <f>F287/'1. Väestöennuste'!H287*1000</f>
        <v>-734.14012738853512</v>
      </c>
      <c r="Z287" s="41">
        <f>G287/'1. Väestöennuste'!I287*1000</f>
        <v>-797.44878237340549</v>
      </c>
      <c r="AA287" s="41">
        <f>H287/'1. Väestöennuste'!J287*1000</f>
        <v>-781.37599167642088</v>
      </c>
      <c r="AB287" s="41">
        <f>I287/'1. Väestöennuste'!K287*1000</f>
        <v>-827.436785229257</v>
      </c>
      <c r="AC287" s="41">
        <f>J287/'1. Väestöennuste'!L287*1000</f>
        <v>-1475.8353306387489</v>
      </c>
      <c r="AD287" s="41">
        <f>K287/'1. Väestöennuste'!M287*1000</f>
        <v>-1201.7434616414512</v>
      </c>
      <c r="AE287" s="41">
        <f>L287/'1. Väestöennuste'!N287*1000</f>
        <v>-1054.6412498939333</v>
      </c>
      <c r="AF287" s="41">
        <f>M287/'1. Väestöennuste'!O287*1000</f>
        <v>-1106.3103795619943</v>
      </c>
      <c r="AG287" s="41">
        <f>N287/'1. Väestöennuste'!P287*1000</f>
        <v>-1151.9011220354096</v>
      </c>
      <c r="AH287" s="41">
        <f>O287/'1. Väestöennuste'!Q287*1000</f>
        <v>-1210.2450038185084</v>
      </c>
      <c r="AI287" s="41">
        <f>P287/'1. Väestöennuste'!R287*1000</f>
        <v>-1267.5166371320668</v>
      </c>
      <c r="AK287" s="34">
        <v>895</v>
      </c>
      <c r="AL287" s="88" t="s">
        <v>601</v>
      </c>
      <c r="AM287" s="41"/>
      <c r="AN287" s="41">
        <f t="shared" si="59"/>
        <v>-118.51856409473385</v>
      </c>
      <c r="AO287" s="41">
        <f t="shared" si="60"/>
        <v>-16.052121964719618</v>
      </c>
      <c r="AP287" s="41">
        <f t="shared" si="61"/>
        <v>-168.8150892981339</v>
      </c>
      <c r="AQ287" s="41">
        <f t="shared" si="62"/>
        <v>-63.308654984870373</v>
      </c>
      <c r="AR287" s="41">
        <f t="shared" si="63"/>
        <v>16.072790696984612</v>
      </c>
      <c r="AS287" s="41">
        <f t="shared" si="64"/>
        <v>-46.060793552836117</v>
      </c>
      <c r="AT287" s="41">
        <f t="shared" si="65"/>
        <v>-648.39854540949193</v>
      </c>
      <c r="AU287" s="41">
        <f t="shared" si="66"/>
        <v>274.09186899729775</v>
      </c>
      <c r="AV287" s="41">
        <f t="shared" si="67"/>
        <v>147.10221174751791</v>
      </c>
      <c r="AW287" s="41">
        <f t="shared" si="68"/>
        <v>-51.669129668061032</v>
      </c>
      <c r="AX287" s="41">
        <f t="shared" si="69"/>
        <v>-45.590742473415276</v>
      </c>
      <c r="AY287" s="41">
        <f t="shared" si="69"/>
        <v>-58.343881783098823</v>
      </c>
      <c r="AZ287" s="41">
        <f t="shared" si="69"/>
        <v>-57.271633313558368</v>
      </c>
    </row>
    <row r="288" spans="1:52" x14ac:dyDescent="0.2">
      <c r="A288" s="30">
        <v>905</v>
      </c>
      <c r="B288" s="31" t="s">
        <v>602</v>
      </c>
      <c r="C288" s="41">
        <v>-38025</v>
      </c>
      <c r="D288" s="41">
        <v>-35622</v>
      </c>
      <c r="E288" s="73">
        <v>-30110</v>
      </c>
      <c r="F288" s="73">
        <v>-26462</v>
      </c>
      <c r="G288" s="73">
        <v>-47479</v>
      </c>
      <c r="H288" s="41">
        <v>-64754</v>
      </c>
      <c r="I288" s="165">
        <v>-53148.32144</v>
      </c>
      <c r="J288" s="41">
        <v>-43546.091</v>
      </c>
      <c r="K288" s="41">
        <v>-46940.000930000002</v>
      </c>
      <c r="L288" s="41">
        <f>$L$5*'7.1. Nettoinvestointiennuste '!Y288</f>
        <v>-54085.460677812916</v>
      </c>
      <c r="M288" s="41">
        <f>$M$5*'7.1. Nettoinvestointiennuste '!Y288</f>
        <v>-56403.460148753278</v>
      </c>
      <c r="N288" s="41">
        <f>$N$5*'7.1. Nettoinvestointiennuste '!Y288</f>
        <v>-58394.172470200057</v>
      </c>
      <c r="O288" s="41">
        <f>O$5*'7.1. Nettoinvestointiennuste '!$Y288</f>
        <v>-60997.159262937814</v>
      </c>
      <c r="P288" s="41">
        <f>P$5*'7.1. Nettoinvestointiennuste '!$Y288</f>
        <v>-63529.498483441079</v>
      </c>
      <c r="T288" s="34">
        <v>905</v>
      </c>
      <c r="U288" s="88" t="s">
        <v>602</v>
      </c>
      <c r="V288" s="41">
        <f>C288/'1. Väestöennuste'!E288*1000</f>
        <v>-562.3419453112291</v>
      </c>
      <c r="W288" s="41">
        <f>D288/'1. Väestöennuste'!F288*1000</f>
        <v>-526.79680567879325</v>
      </c>
      <c r="X288" s="41">
        <f>E288/'1. Väestöennuste'!G288*1000</f>
        <v>-446.78893637226969</v>
      </c>
      <c r="Y288" s="41">
        <f>F288/'1. Väestöennuste'!H288*1000</f>
        <v>-391.7278540975841</v>
      </c>
      <c r="Z288" s="41">
        <f>G288/'1. Väestöennuste'!I288*1000</f>
        <v>-701.97823644213145</v>
      </c>
      <c r="AA288" s="41">
        <f>H288/'1. Väestöennuste'!J288*1000</f>
        <v>-958.59424730944033</v>
      </c>
      <c r="AB288" s="41">
        <f>I288/'1. Väestöennuste'!K288*1000</f>
        <v>-786.04335487687638</v>
      </c>
      <c r="AC288" s="41">
        <f>J288/'1. Väestöennuste'!L288*1000</f>
        <v>-640.49672000941337</v>
      </c>
      <c r="AD288" s="41">
        <f>K288/'1. Väestöennuste'!M288*1000</f>
        <v>-680.72395339056789</v>
      </c>
      <c r="AE288" s="41">
        <f>L288/'1. Väestöennuste'!N288*1000</f>
        <v>-799.17048151976178</v>
      </c>
      <c r="AF288" s="41">
        <f>M288/'1. Väestöennuste'!O288*1000</f>
        <v>-833.44603101223902</v>
      </c>
      <c r="AG288" s="41">
        <f>N288/'1. Väestöennuste'!P288*1000</f>
        <v>-862.79805659279043</v>
      </c>
      <c r="AH288" s="41">
        <f>O288/'1. Väestöennuste'!Q288*1000</f>
        <v>-901.08518255857791</v>
      </c>
      <c r="AI288" s="41">
        <f>P288/'1. Väestöennuste'!R288*1000</f>
        <v>-938.27258537921216</v>
      </c>
      <c r="AK288" s="34">
        <v>905</v>
      </c>
      <c r="AL288" s="88" t="s">
        <v>602</v>
      </c>
      <c r="AM288" s="41"/>
      <c r="AN288" s="41">
        <f t="shared" si="59"/>
        <v>35.545139632435848</v>
      </c>
      <c r="AO288" s="41">
        <f t="shared" si="60"/>
        <v>80.00786930652356</v>
      </c>
      <c r="AP288" s="41">
        <f t="shared" si="61"/>
        <v>55.061082274685589</v>
      </c>
      <c r="AQ288" s="41">
        <f t="shared" si="62"/>
        <v>-310.25038234454735</v>
      </c>
      <c r="AR288" s="41">
        <f t="shared" si="63"/>
        <v>-256.61601086730889</v>
      </c>
      <c r="AS288" s="41">
        <f t="shared" si="64"/>
        <v>172.55089243256396</v>
      </c>
      <c r="AT288" s="41">
        <f t="shared" si="65"/>
        <v>145.54663486746301</v>
      </c>
      <c r="AU288" s="41">
        <f t="shared" si="66"/>
        <v>-40.22723338115452</v>
      </c>
      <c r="AV288" s="41">
        <f t="shared" si="67"/>
        <v>-118.44652812919389</v>
      </c>
      <c r="AW288" s="41">
        <f t="shared" si="68"/>
        <v>-34.275549492477239</v>
      </c>
      <c r="AX288" s="41">
        <f t="shared" si="69"/>
        <v>-29.352025580551413</v>
      </c>
      <c r="AY288" s="41">
        <f t="shared" si="69"/>
        <v>-38.287125965787482</v>
      </c>
      <c r="AZ288" s="41">
        <f t="shared" si="69"/>
        <v>-37.187402820634247</v>
      </c>
    </row>
    <row r="289" spans="1:52" x14ac:dyDescent="0.2">
      <c r="A289" s="30">
        <v>908</v>
      </c>
      <c r="B289" s="31" t="s">
        <v>603</v>
      </c>
      <c r="C289" s="41">
        <v>-7283</v>
      </c>
      <c r="D289" s="41">
        <v>-9668</v>
      </c>
      <c r="E289" s="73">
        <v>-8772</v>
      </c>
      <c r="F289" s="73">
        <v>-8546</v>
      </c>
      <c r="G289" s="73">
        <v>-19313</v>
      </c>
      <c r="H289" s="41">
        <v>-14835</v>
      </c>
      <c r="I289" s="165">
        <v>-8561.9088300000003</v>
      </c>
      <c r="J289" s="41">
        <v>-6872.9299900000005</v>
      </c>
      <c r="K289" s="41">
        <v>-20697.831989999999</v>
      </c>
      <c r="L289" s="41">
        <f>$L$5*'7.1. Nettoinvestointiennuste '!Y289</f>
        <v>-13594.84136049076</v>
      </c>
      <c r="M289" s="41">
        <f>$M$5*'7.1. Nettoinvestointiennuste '!Y289</f>
        <v>-14177.490277338444</v>
      </c>
      <c r="N289" s="41">
        <f>$N$5*'7.1. Nettoinvestointiennuste '!Y289</f>
        <v>-14677.872780607855</v>
      </c>
      <c r="O289" s="41">
        <f>O$5*'7.1. Nettoinvestointiennuste '!$Y289</f>
        <v>-15332.155688939243</v>
      </c>
      <c r="P289" s="41">
        <f>P$5*'7.1. Nettoinvestointiennuste '!$Y289</f>
        <v>-15968.680728057814</v>
      </c>
      <c r="T289" s="34">
        <v>908</v>
      </c>
      <c r="U289" s="88" t="s">
        <v>603</v>
      </c>
      <c r="V289" s="41">
        <f>C289/'1. Väestöennuste'!E289*1000</f>
        <v>-341.41196324770294</v>
      </c>
      <c r="W289" s="41">
        <f>D289/'1. Väestöennuste'!F289*1000</f>
        <v>-452.91857959336647</v>
      </c>
      <c r="X289" s="41">
        <f>E289/'1. Väestöennuste'!G289*1000</f>
        <v>-415.02649507948524</v>
      </c>
      <c r="Y289" s="41">
        <f>F289/'1. Väestöennuste'!H289*1000</f>
        <v>-404.31470880446614</v>
      </c>
      <c r="Z289" s="41">
        <f>G289/'1. Väestöennuste'!I289*1000</f>
        <v>-920.89452603471295</v>
      </c>
      <c r="AA289" s="41">
        <f>H289/'1. Väestöennuste'!J289*1000</f>
        <v>-714.4233084517216</v>
      </c>
      <c r="AB289" s="41">
        <f>I289/'1. Väestöennuste'!K289*1000</f>
        <v>-413.71871611500364</v>
      </c>
      <c r="AC289" s="41">
        <f>J289/'1. Väestöennuste'!L289*1000</f>
        <v>-331.97749070183067</v>
      </c>
      <c r="AD289" s="41">
        <f>K289/'1. Väestöennuste'!M289*1000</f>
        <v>-1000.1851739634675</v>
      </c>
      <c r="AE289" s="41">
        <f>L289/'1. Väestöennuste'!N289*1000</f>
        <v>-671.18446608199258</v>
      </c>
      <c r="AF289" s="41">
        <f>M289/'1. Väestöennuste'!O289*1000</f>
        <v>-704.01679796099143</v>
      </c>
      <c r="AG289" s="41">
        <f>N289/'1. Väestöennuste'!P289*1000</f>
        <v>-733.08724306302338</v>
      </c>
      <c r="AH289" s="41">
        <f>O289/'1. Väestöennuste'!Q289*1000</f>
        <v>-770.30524964525932</v>
      </c>
      <c r="AI289" s="41">
        <f>P289/'1. Väestöennuste'!R289*1000</f>
        <v>-807.19207036636578</v>
      </c>
      <c r="AK289" s="34">
        <v>908</v>
      </c>
      <c r="AL289" s="88" t="s">
        <v>603</v>
      </c>
      <c r="AM289" s="41"/>
      <c r="AN289" s="41">
        <f t="shared" si="59"/>
        <v>-111.50661634566353</v>
      </c>
      <c r="AO289" s="41">
        <f t="shared" si="60"/>
        <v>37.89208451388123</v>
      </c>
      <c r="AP289" s="41">
        <f t="shared" si="61"/>
        <v>10.711786275019108</v>
      </c>
      <c r="AQ289" s="41">
        <f t="shared" si="62"/>
        <v>-516.57981723024682</v>
      </c>
      <c r="AR289" s="41">
        <f t="shared" si="63"/>
        <v>206.47121758299136</v>
      </c>
      <c r="AS289" s="41">
        <f t="shared" si="64"/>
        <v>300.70459233671795</v>
      </c>
      <c r="AT289" s="41">
        <f t="shared" si="65"/>
        <v>81.74122541317297</v>
      </c>
      <c r="AU289" s="41">
        <f t="shared" si="66"/>
        <v>-668.20768326163682</v>
      </c>
      <c r="AV289" s="41">
        <f t="shared" si="67"/>
        <v>329.00070788147491</v>
      </c>
      <c r="AW289" s="41">
        <f t="shared" si="68"/>
        <v>-32.832331878998843</v>
      </c>
      <c r="AX289" s="41">
        <f t="shared" si="69"/>
        <v>-29.070445102031954</v>
      </c>
      <c r="AY289" s="41">
        <f t="shared" si="69"/>
        <v>-37.218006582235944</v>
      </c>
      <c r="AZ289" s="41">
        <f t="shared" si="69"/>
        <v>-36.88682072110646</v>
      </c>
    </row>
    <row r="290" spans="1:52" x14ac:dyDescent="0.2">
      <c r="A290" s="30">
        <v>915</v>
      </c>
      <c r="B290" s="31" t="s">
        <v>604</v>
      </c>
      <c r="C290" s="41">
        <v>-6644</v>
      </c>
      <c r="D290" s="41">
        <v>-10111</v>
      </c>
      <c r="E290" s="73">
        <v>-10815</v>
      </c>
      <c r="F290" s="73">
        <v>-10814</v>
      </c>
      <c r="G290" s="73">
        <v>-10524</v>
      </c>
      <c r="H290" s="41">
        <v>-10345</v>
      </c>
      <c r="I290" s="165">
        <v>-13299.46305</v>
      </c>
      <c r="J290" s="41">
        <v>-6368.6563599999999</v>
      </c>
      <c r="K290" s="41">
        <v>-9655.1101099999996</v>
      </c>
      <c r="L290" s="41">
        <f>$L$5*'7.1. Nettoinvestointiennuste '!Y290</f>
        <v>-10366.275199736994</v>
      </c>
      <c r="M290" s="41">
        <f>$M$5*'7.1. Nettoinvestointiennuste '!Y290</f>
        <v>-10810.553941703405</v>
      </c>
      <c r="N290" s="41">
        <f>$N$5*'7.1. Nettoinvestointiennuste '!Y290</f>
        <v>-11192.103280638594</v>
      </c>
      <c r="O290" s="41">
        <f>O$5*'7.1. Nettoinvestointiennuste '!$Y290</f>
        <v>-11691.004040595872</v>
      </c>
      <c r="P290" s="41">
        <f>P$5*'7.1. Nettoinvestointiennuste '!$Y290</f>
        <v>-12176.364152719185</v>
      </c>
      <c r="T290" s="34">
        <v>915</v>
      </c>
      <c r="U290" s="88" t="s">
        <v>604</v>
      </c>
      <c r="V290" s="41">
        <f>C290/'1. Väestöennuste'!E290*1000</f>
        <v>-307.05240780109068</v>
      </c>
      <c r="W290" s="41">
        <f>D290/'1. Väestöennuste'!F290*1000</f>
        <v>-470.98006335010245</v>
      </c>
      <c r="X290" s="41">
        <f>E290/'1. Väestöennuste'!G290*1000</f>
        <v>-511.2266603639801</v>
      </c>
      <c r="Y290" s="41">
        <f>F290/'1. Väestöennuste'!H290*1000</f>
        <v>-519.1799894378031</v>
      </c>
      <c r="Z290" s="41">
        <f>G290/'1. Väestöennuste'!I290*1000</f>
        <v>-514.21870419231891</v>
      </c>
      <c r="AA290" s="41">
        <f>H290/'1. Väestöennuste'!J290*1000</f>
        <v>-510.15879278035317</v>
      </c>
      <c r="AB290" s="41">
        <f>I290/'1. Väestöennuste'!K290*1000</f>
        <v>-665.87207980774042</v>
      </c>
      <c r="AC290" s="41">
        <f>J290/'1. Väestöennuste'!L290*1000</f>
        <v>-322.31673465256341</v>
      </c>
      <c r="AD290" s="41">
        <f>K290/'1. Väestöennuste'!M290*1000</f>
        <v>-489.43631114715868</v>
      </c>
      <c r="AE290" s="41">
        <f>L290/'1. Väestöennuste'!N290*1000</f>
        <v>-538.39592810517263</v>
      </c>
      <c r="AF290" s="41">
        <f>M290/'1. Väestöennuste'!O290*1000</f>
        <v>-568.34834875681634</v>
      </c>
      <c r="AG290" s="41">
        <f>N290/'1. Väestöennuste'!P290*1000</f>
        <v>-595.41965636211069</v>
      </c>
      <c r="AH290" s="41">
        <f>O290/'1. Väestöennuste'!Q290*1000</f>
        <v>-629.15746639736687</v>
      </c>
      <c r="AI290" s="41">
        <f>P290/'1. Väestöennuste'!R290*1000</f>
        <v>-662.83963814475692</v>
      </c>
      <c r="AK290" s="34">
        <v>915</v>
      </c>
      <c r="AL290" s="88" t="s">
        <v>604</v>
      </c>
      <c r="AM290" s="41"/>
      <c r="AN290" s="41">
        <f t="shared" si="59"/>
        <v>-163.92765554901177</v>
      </c>
      <c r="AO290" s="41">
        <f t="shared" si="60"/>
        <v>-40.246597013877647</v>
      </c>
      <c r="AP290" s="41">
        <f t="shared" si="61"/>
        <v>-7.9533290738229994</v>
      </c>
      <c r="AQ290" s="41">
        <f t="shared" si="62"/>
        <v>4.9612852454841914</v>
      </c>
      <c r="AR290" s="41">
        <f t="shared" si="63"/>
        <v>4.0599114119657429</v>
      </c>
      <c r="AS290" s="41">
        <f t="shared" si="64"/>
        <v>-155.71328702738725</v>
      </c>
      <c r="AT290" s="41">
        <f t="shared" si="65"/>
        <v>343.55534515517701</v>
      </c>
      <c r="AU290" s="41">
        <f t="shared" si="66"/>
        <v>-167.11957649459526</v>
      </c>
      <c r="AV290" s="41">
        <f t="shared" si="67"/>
        <v>-48.959616958013953</v>
      </c>
      <c r="AW290" s="41">
        <f t="shared" si="68"/>
        <v>-29.952420651643706</v>
      </c>
      <c r="AX290" s="41">
        <f t="shared" si="69"/>
        <v>-27.071307605294351</v>
      </c>
      <c r="AY290" s="41">
        <f t="shared" si="69"/>
        <v>-33.737810035256189</v>
      </c>
      <c r="AZ290" s="41">
        <f t="shared" si="69"/>
        <v>-33.682171747390043</v>
      </c>
    </row>
    <row r="291" spans="1:52" x14ac:dyDescent="0.2">
      <c r="A291" s="30">
        <v>918</v>
      </c>
      <c r="B291" s="31" t="s">
        <v>605</v>
      </c>
      <c r="C291" s="41">
        <v>-879</v>
      </c>
      <c r="D291" s="41">
        <v>-710</v>
      </c>
      <c r="E291" s="73">
        <v>-402</v>
      </c>
      <c r="F291" s="73">
        <v>-5486</v>
      </c>
      <c r="G291" s="73">
        <v>-3332</v>
      </c>
      <c r="H291" s="41">
        <v>-111</v>
      </c>
      <c r="I291" s="165">
        <v>-80.653679999999994</v>
      </c>
      <c r="J291" s="41">
        <v>-100.79669</v>
      </c>
      <c r="K291" s="41">
        <v>-17.098800000000001</v>
      </c>
      <c r="L291" s="41">
        <f>$L$5*'7.1. Nettoinvestointiennuste '!Y291</f>
        <v>-181.56561379531442</v>
      </c>
      <c r="M291" s="41">
        <f>$M$5*'7.1. Nettoinvestointiennuste '!Y291</f>
        <v>-189.34716897565426</v>
      </c>
      <c r="N291" s="41">
        <f>$N$5*'7.1. Nettoinvestointiennuste '!Y291</f>
        <v>-196.03001682429343</v>
      </c>
      <c r="O291" s="41">
        <f>O$5*'7.1. Nettoinvestointiennuste '!$Y291</f>
        <v>-204.76827824985253</v>
      </c>
      <c r="P291" s="41">
        <f>P$5*'7.1. Nettoinvestointiennuste '!$Y291</f>
        <v>-213.26937483193709</v>
      </c>
      <c r="T291" s="34">
        <v>918</v>
      </c>
      <c r="U291" s="88" t="s">
        <v>605</v>
      </c>
      <c r="V291" s="41">
        <f>C291/'1. Väestöennuste'!E291*1000</f>
        <v>-386.20386643233746</v>
      </c>
      <c r="W291" s="41">
        <f>D291/'1. Väestöennuste'!F291*1000</f>
        <v>-311.81379007465966</v>
      </c>
      <c r="X291" s="41">
        <f>E291/'1. Väestöennuste'!G291*1000</f>
        <v>-173.57512953367876</v>
      </c>
      <c r="Y291" s="41">
        <f>F291/'1. Väestöennuste'!H291*1000</f>
        <v>-2400.8752735229759</v>
      </c>
      <c r="Z291" s="41">
        <f>G291/'1. Väestöennuste'!I291*1000</f>
        <v>-1453.1181857828174</v>
      </c>
      <c r="AA291" s="41">
        <f>H291/'1. Väestöennuste'!J291*1000</f>
        <v>-48.42931937172775</v>
      </c>
      <c r="AB291" s="41">
        <f>I291/'1. Väestöennuste'!K291*1000</f>
        <v>-35.514610303830906</v>
      </c>
      <c r="AC291" s="41">
        <f>J291/'1. Väestöennuste'!L291*1000</f>
        <v>-45.240884201077201</v>
      </c>
      <c r="AD291" s="41">
        <f>K291/'1. Väestöennuste'!M291*1000</f>
        <v>-7.6163919821826287</v>
      </c>
      <c r="AE291" s="41">
        <f>L291/'1. Väestöennuste'!N291*1000</f>
        <v>-78.193632125458407</v>
      </c>
      <c r="AF291" s="41">
        <f>M291/'1. Väestöennuste'!O291*1000</f>
        <v>-81.404629826162619</v>
      </c>
      <c r="AG291" s="41">
        <f>N291/'1. Väestöennuste'!P291*1000</f>
        <v>-84.096961314583197</v>
      </c>
      <c r="AH291" s="41">
        <f>O291/'1. Väestöennuste'!Q291*1000</f>
        <v>-87.620144736778997</v>
      </c>
      <c r="AI291" s="41">
        <f>P291/'1. Väestöennuste'!R291*1000</f>
        <v>-91.062926913722066</v>
      </c>
      <c r="AK291" s="34">
        <v>918</v>
      </c>
      <c r="AL291" s="88" t="s">
        <v>605</v>
      </c>
      <c r="AM291" s="41"/>
      <c r="AN291" s="41">
        <f t="shared" si="59"/>
        <v>74.390076357677799</v>
      </c>
      <c r="AO291" s="41">
        <f t="shared" si="60"/>
        <v>138.2386605409809</v>
      </c>
      <c r="AP291" s="41">
        <f t="shared" si="61"/>
        <v>-2227.3001439892973</v>
      </c>
      <c r="AQ291" s="41">
        <f t="shared" si="62"/>
        <v>947.75708774015857</v>
      </c>
      <c r="AR291" s="41">
        <f t="shared" si="63"/>
        <v>1404.6888664110895</v>
      </c>
      <c r="AS291" s="41">
        <f t="shared" si="64"/>
        <v>12.914709067896844</v>
      </c>
      <c r="AT291" s="41">
        <f t="shared" si="65"/>
        <v>-9.7262738972462941</v>
      </c>
      <c r="AU291" s="41">
        <f t="shared" si="66"/>
        <v>37.624492218894574</v>
      </c>
      <c r="AV291" s="41">
        <f t="shared" si="67"/>
        <v>-70.577240143275773</v>
      </c>
      <c r="AW291" s="41">
        <f t="shared" si="68"/>
        <v>-3.2109977007042119</v>
      </c>
      <c r="AX291" s="41">
        <f t="shared" si="69"/>
        <v>-2.692331488420578</v>
      </c>
      <c r="AY291" s="41">
        <f t="shared" si="69"/>
        <v>-3.5231834221957996</v>
      </c>
      <c r="AZ291" s="41">
        <f t="shared" si="69"/>
        <v>-3.4427821769430693</v>
      </c>
    </row>
    <row r="292" spans="1:52" x14ac:dyDescent="0.2">
      <c r="A292" s="30">
        <v>921</v>
      </c>
      <c r="B292" s="31" t="s">
        <v>606</v>
      </c>
      <c r="C292" s="41">
        <v>-1664</v>
      </c>
      <c r="D292" s="41">
        <v>-993</v>
      </c>
      <c r="E292" s="73">
        <v>-359</v>
      </c>
      <c r="F292" s="73">
        <v>-421</v>
      </c>
      <c r="G292" s="73">
        <v>-837</v>
      </c>
      <c r="H292" s="41">
        <v>-657</v>
      </c>
      <c r="I292" s="165">
        <v>-2028.8325600000001</v>
      </c>
      <c r="J292" s="41">
        <v>-122.63388999999999</v>
      </c>
      <c r="K292" s="41">
        <v>-279.03397999999999</v>
      </c>
      <c r="L292" s="41">
        <f>$L$5*'7.1. Nettoinvestointiennuste '!Y292</f>
        <v>-626.44562379825447</v>
      </c>
      <c r="M292" s="41">
        <f>$M$5*'7.1. Nettoinvestointiennuste '!Y292</f>
        <v>-653.29388590676126</v>
      </c>
      <c r="N292" s="41">
        <f>$N$5*'7.1. Nettoinvestointiennuste '!Y292</f>
        <v>-676.35133991349358</v>
      </c>
      <c r="O292" s="41">
        <f>O$5*'7.1. Nettoinvestointiennuste '!$Y292</f>
        <v>-706.50047176297301</v>
      </c>
      <c r="P292" s="41">
        <f>P$5*'7.1. Nettoinvestointiennuste '!$Y292</f>
        <v>-735.83132709407539</v>
      </c>
      <c r="T292" s="34">
        <v>921</v>
      </c>
      <c r="U292" s="88" t="s">
        <v>606</v>
      </c>
      <c r="V292" s="41">
        <f>C292/'1. Väestöennuste'!E292*1000</f>
        <v>-759.47056138749429</v>
      </c>
      <c r="W292" s="41">
        <f>D292/'1. Väestöennuste'!F292*1000</f>
        <v>-462.29050279329607</v>
      </c>
      <c r="X292" s="41">
        <f>E292/'1. Väestöennuste'!G292*1000</f>
        <v>-171.4422158548233</v>
      </c>
      <c r="Y292" s="41">
        <f>F292/'1. Väestöennuste'!H292*1000</f>
        <v>-204.56754130223518</v>
      </c>
      <c r="Z292" s="41">
        <f>G292/'1. Väestöennuste'!I292*1000</f>
        <v>-415.59086395233368</v>
      </c>
      <c r="AA292" s="41">
        <f>H292/'1. Väestöennuste'!J292*1000</f>
        <v>-333.1643002028398</v>
      </c>
      <c r="AB292" s="41">
        <f>I292/'1. Väestöennuste'!K292*1000</f>
        <v>-1045.2511901081918</v>
      </c>
      <c r="AC292" s="41">
        <f>J292/'1. Väestöennuste'!L292*1000</f>
        <v>-64.74862196409714</v>
      </c>
      <c r="AD292" s="41">
        <f>K292/'1. Väestöennuste'!M292*1000</f>
        <v>-147.24748284960421</v>
      </c>
      <c r="AE292" s="41">
        <f>L292/'1. Väestöennuste'!N292*1000</f>
        <v>-345.52985317057613</v>
      </c>
      <c r="AF292" s="41">
        <f>M292/'1. Väestöennuste'!O292*1000</f>
        <v>-367.01903702627038</v>
      </c>
      <c r="AG292" s="41">
        <f>N292/'1. Väestöennuste'!P292*1000</f>
        <v>-386.92868416103755</v>
      </c>
      <c r="AH292" s="41">
        <f>O292/'1. Väestöennuste'!Q292*1000</f>
        <v>-411.23426761523456</v>
      </c>
      <c r="AI292" s="41">
        <f>P292/'1. Väestöennuste'!R292*1000</f>
        <v>-435.66093966493514</v>
      </c>
      <c r="AK292" s="34">
        <v>921</v>
      </c>
      <c r="AL292" s="88" t="s">
        <v>606</v>
      </c>
      <c r="AM292" s="41"/>
      <c r="AN292" s="41">
        <f t="shared" si="59"/>
        <v>297.18005859419821</v>
      </c>
      <c r="AO292" s="41">
        <f t="shared" si="60"/>
        <v>290.84828693847277</v>
      </c>
      <c r="AP292" s="41">
        <f t="shared" si="61"/>
        <v>-33.125325447411882</v>
      </c>
      <c r="AQ292" s="41">
        <f t="shared" si="62"/>
        <v>-211.02332265009849</v>
      </c>
      <c r="AR292" s="41">
        <f t="shared" si="63"/>
        <v>82.42656374949388</v>
      </c>
      <c r="AS292" s="41">
        <f t="shared" si="64"/>
        <v>-712.08688990535211</v>
      </c>
      <c r="AT292" s="41">
        <f t="shared" si="65"/>
        <v>980.50256814409477</v>
      </c>
      <c r="AU292" s="41">
        <f t="shared" si="66"/>
        <v>-82.498860885507071</v>
      </c>
      <c r="AV292" s="41">
        <f t="shared" si="67"/>
        <v>-198.28237032097192</v>
      </c>
      <c r="AW292" s="41">
        <f t="shared" si="68"/>
        <v>-21.48918385569425</v>
      </c>
      <c r="AX292" s="41">
        <f t="shared" si="69"/>
        <v>-19.90964713476717</v>
      </c>
      <c r="AY292" s="41">
        <f t="shared" si="69"/>
        <v>-24.305583454197006</v>
      </c>
      <c r="AZ292" s="41">
        <f t="shared" si="69"/>
        <v>-24.426672049700585</v>
      </c>
    </row>
    <row r="293" spans="1:52" x14ac:dyDescent="0.2">
      <c r="A293" s="30">
        <v>922</v>
      </c>
      <c r="B293" s="31" t="s">
        <v>607</v>
      </c>
      <c r="C293" s="41">
        <v>-912</v>
      </c>
      <c r="D293" s="41">
        <v>-975</v>
      </c>
      <c r="E293" s="73">
        <v>-1244</v>
      </c>
      <c r="F293" s="73">
        <v>-1222</v>
      </c>
      <c r="G293" s="73">
        <v>-614</v>
      </c>
      <c r="H293" s="41">
        <v>-1231</v>
      </c>
      <c r="I293" s="165">
        <v>-403.59458000000001</v>
      </c>
      <c r="J293" s="41">
        <v>-1356.4318899999998</v>
      </c>
      <c r="K293" s="41">
        <v>-4354.8522000000003</v>
      </c>
      <c r="L293" s="41">
        <f>$L$5*'7.1. Nettoinvestointiennuste '!Y293</f>
        <v>-2617.3989211576045</v>
      </c>
      <c r="M293" s="41">
        <f>$M$5*'7.1. Nettoinvestointiennuste '!Y293</f>
        <v>-2729.5756362756488</v>
      </c>
      <c r="N293" s="41">
        <f>$N$5*'7.1. Nettoinvestointiennuste '!Y293</f>
        <v>-2825.9136949182266</v>
      </c>
      <c r="O293" s="41">
        <f>O$5*'7.1. Nettoinvestointiennuste '!$Y293</f>
        <v>-2951.8820187101724</v>
      </c>
      <c r="P293" s="41">
        <f>P$5*'7.1. Nettoinvestointiennuste '!$Y293</f>
        <v>-3074.431440693174</v>
      </c>
      <c r="T293" s="34">
        <v>922</v>
      </c>
      <c r="U293" s="88" t="s">
        <v>607</v>
      </c>
      <c r="V293" s="41">
        <f>C293/'1. Väestöennuste'!E293*1000</f>
        <v>-203.16328803742482</v>
      </c>
      <c r="W293" s="41">
        <f>D293/'1. Väestöennuste'!F293*1000</f>
        <v>-218.51187808157778</v>
      </c>
      <c r="X293" s="41">
        <f>E293/'1. Väestöennuste'!G293*1000</f>
        <v>-278.92376681614348</v>
      </c>
      <c r="Y293" s="41">
        <f>F293/'1. Väestöennuste'!H293*1000</f>
        <v>-278.16981561575233</v>
      </c>
      <c r="Z293" s="41">
        <f>G293/'1. Väestöennuste'!I293*1000</f>
        <v>-140.9873708381171</v>
      </c>
      <c r="AA293" s="41">
        <f>H293/'1. Väestöennuste'!J293*1000</f>
        <v>-281.88687886420882</v>
      </c>
      <c r="AB293" s="41">
        <f>I293/'1. Väestöennuste'!K293*1000</f>
        <v>-90.817862286228618</v>
      </c>
      <c r="AC293" s="41">
        <f>J293/'1. Väestöennuste'!L293*1000</f>
        <v>-301.36233948011551</v>
      </c>
      <c r="AD293" s="41">
        <f>K293/'1. Väestöennuste'!M293*1000</f>
        <v>-974.45786529424936</v>
      </c>
      <c r="AE293" s="41">
        <f>L293/'1. Väestöennuste'!N293*1000</f>
        <v>-608.55589889737371</v>
      </c>
      <c r="AF293" s="41">
        <f>M293/'1. Väestöennuste'!O293*1000</f>
        <v>-636.2647170805709</v>
      </c>
      <c r="AG293" s="41">
        <f>N293/'1. Väestöennuste'!P293*1000</f>
        <v>-659.64371963544045</v>
      </c>
      <c r="AH293" s="41">
        <f>O293/'1. Väestöennuste'!Q293*1000</f>
        <v>-690.0144971272025</v>
      </c>
      <c r="AI293" s="41">
        <f>P293/'1. Väestöennuste'!R293*1000</f>
        <v>-719.67028106113617</v>
      </c>
      <c r="AK293" s="34">
        <v>922</v>
      </c>
      <c r="AL293" s="88" t="s">
        <v>607</v>
      </c>
      <c r="AM293" s="41"/>
      <c r="AN293" s="41">
        <f t="shared" si="59"/>
        <v>-15.348590044152957</v>
      </c>
      <c r="AO293" s="41">
        <f t="shared" si="60"/>
        <v>-60.411888734565707</v>
      </c>
      <c r="AP293" s="41">
        <f t="shared" si="61"/>
        <v>0.75395120039115682</v>
      </c>
      <c r="AQ293" s="41">
        <f t="shared" si="62"/>
        <v>137.18244477763523</v>
      </c>
      <c r="AR293" s="41">
        <f t="shared" si="63"/>
        <v>-140.89950802609172</v>
      </c>
      <c r="AS293" s="41">
        <f t="shared" si="64"/>
        <v>191.06901657798022</v>
      </c>
      <c r="AT293" s="41">
        <f t="shared" si="65"/>
        <v>-210.54447719388691</v>
      </c>
      <c r="AU293" s="41">
        <f t="shared" si="66"/>
        <v>-673.09552581413391</v>
      </c>
      <c r="AV293" s="41">
        <f t="shared" si="67"/>
        <v>365.90196639687565</v>
      </c>
      <c r="AW293" s="41">
        <f t="shared" si="68"/>
        <v>-27.708818183197195</v>
      </c>
      <c r="AX293" s="41">
        <f t="shared" si="69"/>
        <v>-23.379002554869544</v>
      </c>
      <c r="AY293" s="41">
        <f t="shared" si="69"/>
        <v>-30.370777491762055</v>
      </c>
      <c r="AZ293" s="41">
        <f t="shared" si="69"/>
        <v>-29.655783933933662</v>
      </c>
    </row>
    <row r="294" spans="1:52" x14ac:dyDescent="0.2">
      <c r="A294" s="30">
        <v>924</v>
      </c>
      <c r="B294" s="31" t="s">
        <v>608</v>
      </c>
      <c r="C294" s="41">
        <v>-2214</v>
      </c>
      <c r="D294" s="41">
        <v>-1557</v>
      </c>
      <c r="E294" s="73">
        <v>-856</v>
      </c>
      <c r="F294" s="73">
        <v>1356</v>
      </c>
      <c r="G294" s="73">
        <v>-699</v>
      </c>
      <c r="H294" s="41">
        <v>-1138</v>
      </c>
      <c r="I294" s="165">
        <v>-611.99</v>
      </c>
      <c r="J294" s="41">
        <v>-875.90242000000001</v>
      </c>
      <c r="K294" s="41">
        <v>-1973.8923400000001</v>
      </c>
      <c r="L294" s="41">
        <f>$L$5*'7.1. Nettoinvestointiennuste '!Y294</f>
        <v>-1913.677907923473</v>
      </c>
      <c r="M294" s="41">
        <f>$M$5*'7.1. Nettoinvestointiennuste '!Y294</f>
        <v>-1995.6944854384828</v>
      </c>
      <c r="N294" s="41">
        <f>$N$5*'7.1. Nettoinvestointiennuste '!Y294</f>
        <v>-2066.1308308599901</v>
      </c>
      <c r="O294" s="41">
        <f>O$5*'7.1. Nettoinvestointiennuste '!$Y294</f>
        <v>-2158.2309675224524</v>
      </c>
      <c r="P294" s="41">
        <f>P$5*'7.1. Nettoinvestointiennuste '!$Y294</f>
        <v>-2247.8314176418176</v>
      </c>
      <c r="T294" s="34">
        <v>924</v>
      </c>
      <c r="U294" s="88" t="s">
        <v>608</v>
      </c>
      <c r="V294" s="41">
        <f>C294/'1. Väestöennuste'!E294*1000</f>
        <v>-670.50272562083592</v>
      </c>
      <c r="W294" s="41">
        <f>D294/'1. Väestöennuste'!F294*1000</f>
        <v>-477.75391224301933</v>
      </c>
      <c r="X294" s="41">
        <f>E294/'1. Väestöennuste'!G294*1000</f>
        <v>-266.16915422885575</v>
      </c>
      <c r="Y294" s="41">
        <f>F294/'1. Väestöennuste'!H294*1000</f>
        <v>428.30069488313325</v>
      </c>
      <c r="Z294" s="41">
        <f>G294/'1. Väestöennuste'!I294*1000</f>
        <v>-224.47013487475914</v>
      </c>
      <c r="AA294" s="41">
        <f>H294/'1. Väestöennuste'!J294*1000</f>
        <v>-371.28874388254485</v>
      </c>
      <c r="AB294" s="41">
        <f>I294/'1. Väestöennuste'!K294*1000</f>
        <v>-203.72503328894805</v>
      </c>
      <c r="AC294" s="41">
        <f>J294/'1. Väestöennuste'!L294*1000</f>
        <v>-297.3192192803802</v>
      </c>
      <c r="AD294" s="41">
        <f>K294/'1. Väestöennuste'!M294*1000</f>
        <v>-672.3066553133516</v>
      </c>
      <c r="AE294" s="41">
        <f>L294/'1. Väestöennuste'!N294*1000</f>
        <v>-662.86037683528673</v>
      </c>
      <c r="AF294" s="41">
        <f>M294/'1. Väestöennuste'!O294*1000</f>
        <v>-701.96781056576947</v>
      </c>
      <c r="AG294" s="41">
        <f>N294/'1. Väestöennuste'!P294*1000</f>
        <v>-737.6404251552982</v>
      </c>
      <c r="AH294" s="41">
        <f>O294/'1. Väestöennuste'!Q294*1000</f>
        <v>-782.5347960560016</v>
      </c>
      <c r="AI294" s="41">
        <f>P294/'1. Väestöennuste'!R294*1000</f>
        <v>-827.6257060536883</v>
      </c>
      <c r="AK294" s="34">
        <v>924</v>
      </c>
      <c r="AL294" s="88" t="s">
        <v>608</v>
      </c>
      <c r="AM294" s="41"/>
      <c r="AN294" s="41">
        <f t="shared" si="59"/>
        <v>192.74881337781659</v>
      </c>
      <c r="AO294" s="41">
        <f t="shared" si="60"/>
        <v>211.58475801416358</v>
      </c>
      <c r="AP294" s="41">
        <f t="shared" si="61"/>
        <v>694.46984911198899</v>
      </c>
      <c r="AQ294" s="41">
        <f t="shared" si="62"/>
        <v>-652.77082975789244</v>
      </c>
      <c r="AR294" s="41">
        <f t="shared" si="63"/>
        <v>-146.81860900778571</v>
      </c>
      <c r="AS294" s="41">
        <f t="shared" si="64"/>
        <v>167.5637105935968</v>
      </c>
      <c r="AT294" s="41">
        <f t="shared" si="65"/>
        <v>-93.594185991432141</v>
      </c>
      <c r="AU294" s="41">
        <f t="shared" si="66"/>
        <v>-374.9874360329714</v>
      </c>
      <c r="AV294" s="41">
        <f t="shared" si="67"/>
        <v>9.446278478064869</v>
      </c>
      <c r="AW294" s="41">
        <f t="shared" si="68"/>
        <v>-39.10743373048274</v>
      </c>
      <c r="AX294" s="41">
        <f t="shared" si="69"/>
        <v>-35.672614589528735</v>
      </c>
      <c r="AY294" s="41">
        <f t="shared" si="69"/>
        <v>-44.894370900703393</v>
      </c>
      <c r="AZ294" s="41">
        <f t="shared" si="69"/>
        <v>-45.090909997686708</v>
      </c>
    </row>
    <row r="295" spans="1:52" x14ac:dyDescent="0.2">
      <c r="A295" s="30">
        <v>925</v>
      </c>
      <c r="B295" s="31" t="s">
        <v>609</v>
      </c>
      <c r="C295" s="41">
        <v>-4261</v>
      </c>
      <c r="D295" s="41">
        <v>-2555</v>
      </c>
      <c r="E295" s="73">
        <v>-1530</v>
      </c>
      <c r="F295" s="73">
        <v>-1796</v>
      </c>
      <c r="G295" s="73">
        <v>630</v>
      </c>
      <c r="H295" s="41">
        <v>-963</v>
      </c>
      <c r="I295" s="165">
        <v>-2194.0159100000001</v>
      </c>
      <c r="J295" s="41">
        <v>-1533.43749</v>
      </c>
      <c r="K295" s="41">
        <v>352.00682</v>
      </c>
      <c r="L295" s="41">
        <f>$L$5*'7.1. Nettoinvestointiennuste '!Y295</f>
        <v>-2216.3148846826975</v>
      </c>
      <c r="M295" s="41">
        <f>$M$5*'7.1. Nettoinvestointiennuste '!Y295</f>
        <v>-2311.3019045906049</v>
      </c>
      <c r="N295" s="41">
        <f>$N$5*'7.1. Nettoinvestointiennuste '!Y295</f>
        <v>-2392.8773463794123</v>
      </c>
      <c r="O295" s="41">
        <f>O$5*'7.1. Nettoinvestointiennuste '!$Y295</f>
        <v>-2499.5425813811685</v>
      </c>
      <c r="P295" s="41">
        <f>P$5*'7.1. Nettoinvestointiennuste '!$Y295</f>
        <v>-2603.3128190223083</v>
      </c>
      <c r="T295" s="34">
        <v>925</v>
      </c>
      <c r="U295" s="88" t="s">
        <v>609</v>
      </c>
      <c r="V295" s="41">
        <f>C295/'1. Väestöennuste'!E295*1000</f>
        <v>-1134.1495874367847</v>
      </c>
      <c r="W295" s="41">
        <f>D295/'1. Väestöennuste'!F295*1000</f>
        <v>-686.64337543671058</v>
      </c>
      <c r="X295" s="41">
        <f>E295/'1. Väestöennuste'!G295*1000</f>
        <v>-415.19674355495249</v>
      </c>
      <c r="Y295" s="41">
        <f>F295/'1. Väestöennuste'!H295*1000</f>
        <v>-488.57453754080518</v>
      </c>
      <c r="Z295" s="41">
        <f>G295/'1. Väestöennuste'!I295*1000</f>
        <v>176.0268231349539</v>
      </c>
      <c r="AA295" s="41">
        <f>H295/'1. Väestöennuste'!J295*1000</f>
        <v>-273.4241908006814</v>
      </c>
      <c r="AB295" s="41">
        <f>I295/'1. Väestöennuste'!K295*1000</f>
        <v>-628.65785386819482</v>
      </c>
      <c r="AC295" s="41">
        <f>J295/'1. Väestöennuste'!L295*1000</f>
        <v>-447.45768602276041</v>
      </c>
      <c r="AD295" s="41">
        <f>K295/'1. Väestöennuste'!M295*1000</f>
        <v>103.92879244168881</v>
      </c>
      <c r="AE295" s="41">
        <f>L295/'1. Väestöennuste'!N295*1000</f>
        <v>-662.37743116637705</v>
      </c>
      <c r="AF295" s="41">
        <f>M295/'1. Väestöennuste'!O295*1000</f>
        <v>-698.48954505609095</v>
      </c>
      <c r="AG295" s="41">
        <f>N295/'1. Väestöennuste'!P295*1000</f>
        <v>-731.54305911935569</v>
      </c>
      <c r="AH295" s="41">
        <f>O295/'1. Väestöennuste'!Q295*1000</f>
        <v>-772.4173613662449</v>
      </c>
      <c r="AI295" s="41">
        <f>P295/'1. Väestöennuste'!R295*1000</f>
        <v>-813.28110559897175</v>
      </c>
      <c r="AK295" s="34">
        <v>925</v>
      </c>
      <c r="AL295" s="88" t="s">
        <v>609</v>
      </c>
      <c r="AM295" s="41"/>
      <c r="AN295" s="41">
        <f t="shared" si="59"/>
        <v>447.50621200007413</v>
      </c>
      <c r="AO295" s="41">
        <f t="shared" si="60"/>
        <v>271.44663188175809</v>
      </c>
      <c r="AP295" s="41">
        <f t="shared" si="61"/>
        <v>-73.377793985852691</v>
      </c>
      <c r="AQ295" s="41">
        <f t="shared" si="62"/>
        <v>664.60136067575911</v>
      </c>
      <c r="AR295" s="41">
        <f t="shared" si="63"/>
        <v>-449.45101393563527</v>
      </c>
      <c r="AS295" s="41">
        <f t="shared" si="64"/>
        <v>-355.23366306751342</v>
      </c>
      <c r="AT295" s="41">
        <f t="shared" si="65"/>
        <v>181.20016784543441</v>
      </c>
      <c r="AU295" s="41">
        <f t="shared" si="66"/>
        <v>551.38647846444928</v>
      </c>
      <c r="AV295" s="41">
        <f t="shared" si="67"/>
        <v>-766.30622360806592</v>
      </c>
      <c r="AW295" s="41">
        <f t="shared" si="68"/>
        <v>-36.112113889713896</v>
      </c>
      <c r="AX295" s="41">
        <f t="shared" si="69"/>
        <v>-33.053514063264743</v>
      </c>
      <c r="AY295" s="41">
        <f t="shared" si="69"/>
        <v>-40.874302246889215</v>
      </c>
      <c r="AZ295" s="41">
        <f t="shared" si="69"/>
        <v>-40.863744232726845</v>
      </c>
    </row>
    <row r="296" spans="1:52" x14ac:dyDescent="0.2">
      <c r="A296" s="30">
        <v>927</v>
      </c>
      <c r="B296" s="31" t="s">
        <v>610</v>
      </c>
      <c r="C296" s="41">
        <v>-9357</v>
      </c>
      <c r="D296" s="41">
        <v>-13754</v>
      </c>
      <c r="E296" s="73">
        <v>-8664</v>
      </c>
      <c r="F296" s="73">
        <v>-19633</v>
      </c>
      <c r="G296" s="73">
        <v>-16115</v>
      </c>
      <c r="H296" s="41">
        <v>-7967</v>
      </c>
      <c r="I296" s="165">
        <v>-13236.574339999999</v>
      </c>
      <c r="J296" s="41">
        <v>-20827.66433</v>
      </c>
      <c r="K296" s="41">
        <v>-3229.8393300000002</v>
      </c>
      <c r="L296" s="41">
        <f>$L$5*'7.1. Nettoinvestointiennuste '!Y296</f>
        <v>-16993.061874384111</v>
      </c>
      <c r="M296" s="41">
        <f>$M$5*'7.1. Nettoinvestointiennuste '!Y296</f>
        <v>-17721.352027427736</v>
      </c>
      <c r="N296" s="41">
        <f>$N$5*'7.1. Nettoinvestointiennuste '!Y296</f>
        <v>-18346.812127582176</v>
      </c>
      <c r="O296" s="41">
        <f>O$5*'7.1. Nettoinvestointiennuste '!$Y296</f>
        <v>-19164.642188986138</v>
      </c>
      <c r="P296" s="41">
        <f>P$5*'7.1. Nettoinvestointiennuste '!$Y296</f>
        <v>-19960.275553695454</v>
      </c>
      <c r="T296" s="34">
        <v>927</v>
      </c>
      <c r="U296" s="88" t="s">
        <v>610</v>
      </c>
      <c r="V296" s="41">
        <f>C296/'1. Väestöennuste'!E296*1000</f>
        <v>-323.55890590960962</v>
      </c>
      <c r="W296" s="41">
        <f>D296/'1. Väestöennuste'!F296*1000</f>
        <v>-474.81617012462459</v>
      </c>
      <c r="X296" s="41">
        <f>E296/'1. Väestöennuste'!G296*1000</f>
        <v>-298.20334549459625</v>
      </c>
      <c r="Y296" s="41">
        <f>F296/'1. Väestöennuste'!H296*1000</f>
        <v>-672.10982164253198</v>
      </c>
      <c r="Z296" s="41">
        <f>G296/'1. Väestöennuste'!I296*1000</f>
        <v>-552.67851018588374</v>
      </c>
      <c r="AA296" s="41">
        <f>H296/'1. Väestöennuste'!J296*1000</f>
        <v>-273.21673525377224</v>
      </c>
      <c r="AB296" s="41">
        <f>I296/'1. Väestöennuste'!K296*1000</f>
        <v>-452.70270323882482</v>
      </c>
      <c r="AC296" s="41">
        <f>J296/'1. Väestöennuste'!L296*1000</f>
        <v>-720.35639089682843</v>
      </c>
      <c r="AD296" s="41">
        <f>K296/'1. Väestöennuste'!M296*1000</f>
        <v>-112.10438131269308</v>
      </c>
      <c r="AE296" s="41">
        <f>L296/'1. Väestöennuste'!N296*1000</f>
        <v>-579.37476557736488</v>
      </c>
      <c r="AF296" s="41">
        <f>M296/'1. Väestöennuste'!O296*1000</f>
        <v>-603.19793142815399</v>
      </c>
      <c r="AG296" s="41">
        <f>N296/'1. Väestöennuste'!P296*1000</f>
        <v>-623.57460837407984</v>
      </c>
      <c r="AH296" s="41">
        <f>O296/'1. Väestöennuste'!Q296*1000</f>
        <v>-650.48680296606267</v>
      </c>
      <c r="AI296" s="41">
        <f>P296/'1. Väestöennuste'!R296*1000</f>
        <v>-676.73421100849146</v>
      </c>
      <c r="AK296" s="34">
        <v>927</v>
      </c>
      <c r="AL296" s="88" t="s">
        <v>610</v>
      </c>
      <c r="AM296" s="41"/>
      <c r="AN296" s="41">
        <f t="shared" si="59"/>
        <v>-151.25726421501497</v>
      </c>
      <c r="AO296" s="41">
        <f t="shared" si="60"/>
        <v>176.61282463002834</v>
      </c>
      <c r="AP296" s="41">
        <f t="shared" si="61"/>
        <v>-373.90647614793573</v>
      </c>
      <c r="AQ296" s="41">
        <f t="shared" si="62"/>
        <v>119.43131145664825</v>
      </c>
      <c r="AR296" s="41">
        <f t="shared" si="63"/>
        <v>279.4617749321115</v>
      </c>
      <c r="AS296" s="41">
        <f t="shared" si="64"/>
        <v>-179.48596798505258</v>
      </c>
      <c r="AT296" s="41">
        <f t="shared" si="65"/>
        <v>-267.65368765800361</v>
      </c>
      <c r="AU296" s="41">
        <f t="shared" si="66"/>
        <v>608.25200958413529</v>
      </c>
      <c r="AV296" s="41">
        <f t="shared" si="67"/>
        <v>-467.2703842646718</v>
      </c>
      <c r="AW296" s="41">
        <f t="shared" si="68"/>
        <v>-23.82316585078911</v>
      </c>
      <c r="AX296" s="41">
        <f t="shared" si="69"/>
        <v>-20.376676945925851</v>
      </c>
      <c r="AY296" s="41">
        <f t="shared" si="69"/>
        <v>-26.912194591982825</v>
      </c>
      <c r="AZ296" s="41">
        <f t="shared" si="69"/>
        <v>-26.247408042428788</v>
      </c>
    </row>
    <row r="297" spans="1:52" x14ac:dyDescent="0.2">
      <c r="A297" s="30">
        <v>931</v>
      </c>
      <c r="B297" s="31" t="s">
        <v>611</v>
      </c>
      <c r="C297" s="41">
        <v>-1297</v>
      </c>
      <c r="D297" s="41">
        <v>-1553</v>
      </c>
      <c r="E297" s="73">
        <v>-3041</v>
      </c>
      <c r="F297" s="73">
        <v>3062</v>
      </c>
      <c r="G297" s="73">
        <v>-2112</v>
      </c>
      <c r="H297" s="41">
        <v>-3920</v>
      </c>
      <c r="I297" s="165">
        <v>-3478.8578600000001</v>
      </c>
      <c r="J297" s="41">
        <v>-2556.0164</v>
      </c>
      <c r="K297" s="41">
        <v>-2330.2894999999999</v>
      </c>
      <c r="L297" s="41">
        <f>$L$5*'7.1. Nettoinvestointiennuste '!Y297</f>
        <v>-2674.3601087517627</v>
      </c>
      <c r="M297" s="41">
        <f>$M$5*'7.1. Nettoinvestointiennuste '!Y297</f>
        <v>-2788.9780714999956</v>
      </c>
      <c r="N297" s="41">
        <f>$N$5*'7.1. Nettoinvestointiennuste '!Y297</f>
        <v>-2887.412688747545</v>
      </c>
      <c r="O297" s="41">
        <f>O$5*'7.1. Nettoinvestointiennuste '!$Y297</f>
        <v>-3016.1224002830377</v>
      </c>
      <c r="P297" s="41">
        <f>P$5*'7.1. Nettoinvestointiennuste '!$Y297</f>
        <v>-3141.3388061020541</v>
      </c>
      <c r="T297" s="34">
        <v>931</v>
      </c>
      <c r="U297" s="88" t="s">
        <v>611</v>
      </c>
      <c r="V297" s="41">
        <f>C297/'1. Väestöennuste'!E297*1000</f>
        <v>-194.56945694569458</v>
      </c>
      <c r="W297" s="41">
        <f>D297/'1. Väestöennuste'!F297*1000</f>
        <v>-235.05373089147875</v>
      </c>
      <c r="X297" s="41">
        <f>E297/'1. Väestöennuste'!G297*1000</f>
        <v>-474.34097644673216</v>
      </c>
      <c r="Y297" s="41">
        <f>F297/'1. Väestöennuste'!H297*1000</f>
        <v>488.8250319284802</v>
      </c>
      <c r="Z297" s="41">
        <f>G297/'1. Väestöennuste'!I297*1000</f>
        <v>-341.96891191709847</v>
      </c>
      <c r="AA297" s="41">
        <f>H297/'1. Väestöennuste'!J297*1000</f>
        <v>-642.93915040183697</v>
      </c>
      <c r="AB297" s="41">
        <f>I297/'1. Väestöennuste'!K297*1000</f>
        <v>-573.12320593080722</v>
      </c>
      <c r="AC297" s="41">
        <f>J297/'1. Väestöennuste'!L297*1000</f>
        <v>-429.51040161317428</v>
      </c>
      <c r="AD297" s="41">
        <f>K297/'1. Väestöennuste'!M297*1000</f>
        <v>-396.5100391356134</v>
      </c>
      <c r="AE297" s="41">
        <f>L297/'1. Väestöennuste'!N297*1000</f>
        <v>-470.50670456575699</v>
      </c>
      <c r="AF297" s="41">
        <f>M297/'1. Väestöennuste'!O297*1000</f>
        <v>-498.2987442379839</v>
      </c>
      <c r="AG297" s="41">
        <f>N297/'1. Väestöennuste'!P297*1000</f>
        <v>-523.65119491250368</v>
      </c>
      <c r="AH297" s="41">
        <f>O297/'1. Väestöennuste'!Q297*1000</f>
        <v>-555.04644834064004</v>
      </c>
      <c r="AI297" s="41">
        <f>P297/'1. Väestöennuste'!R297*1000</f>
        <v>-586.07067278023396</v>
      </c>
      <c r="AK297" s="34">
        <v>931</v>
      </c>
      <c r="AL297" s="88" t="s">
        <v>611</v>
      </c>
      <c r="AM297" s="41"/>
      <c r="AN297" s="41">
        <f t="shared" si="59"/>
        <v>-40.484273945784167</v>
      </c>
      <c r="AO297" s="41">
        <f t="shared" si="60"/>
        <v>-239.28724555525341</v>
      </c>
      <c r="AP297" s="41">
        <f t="shared" si="61"/>
        <v>963.16600837521241</v>
      </c>
      <c r="AQ297" s="41">
        <f t="shared" si="62"/>
        <v>-830.79394384557872</v>
      </c>
      <c r="AR297" s="41">
        <f t="shared" si="63"/>
        <v>-300.9702384847385</v>
      </c>
      <c r="AS297" s="41">
        <f t="shared" si="64"/>
        <v>69.815944471029752</v>
      </c>
      <c r="AT297" s="41">
        <f t="shared" si="65"/>
        <v>143.61280431763294</v>
      </c>
      <c r="AU297" s="41">
        <f t="shared" si="66"/>
        <v>33.000362477560884</v>
      </c>
      <c r="AV297" s="41">
        <f t="shared" si="67"/>
        <v>-73.996665430143594</v>
      </c>
      <c r="AW297" s="41">
        <f t="shared" si="68"/>
        <v>-27.792039672226906</v>
      </c>
      <c r="AX297" s="41">
        <f t="shared" si="69"/>
        <v>-25.352450674519787</v>
      </c>
      <c r="AY297" s="41">
        <f t="shared" si="69"/>
        <v>-31.395253428136357</v>
      </c>
      <c r="AZ297" s="41">
        <f t="shared" si="69"/>
        <v>-31.024224439593922</v>
      </c>
    </row>
    <row r="298" spans="1:52" x14ac:dyDescent="0.2">
      <c r="A298" s="30">
        <v>934</v>
      </c>
      <c r="B298" s="31" t="s">
        <v>612</v>
      </c>
      <c r="C298" s="41">
        <v>-1407</v>
      </c>
      <c r="D298" s="41">
        <v>-454</v>
      </c>
      <c r="E298" s="73">
        <v>-641</v>
      </c>
      <c r="F298" s="73">
        <v>-1259</v>
      </c>
      <c r="G298" s="73">
        <v>-1412</v>
      </c>
      <c r="H298" s="41">
        <v>-2134</v>
      </c>
      <c r="I298" s="165">
        <v>-1302.3198</v>
      </c>
      <c r="J298" s="41">
        <v>-1899.0708</v>
      </c>
      <c r="K298" s="41">
        <v>-1360.4247</v>
      </c>
      <c r="L298" s="41">
        <f>$L$5*'7.1. Nettoinvestointiennuste '!Y298</f>
        <v>-2733.0567683637655</v>
      </c>
      <c r="M298" s="41">
        <f>$M$5*'7.1. Nettoinvestointiennuste '!Y298</f>
        <v>-2850.1903577558596</v>
      </c>
      <c r="N298" s="41">
        <f>$N$5*'7.1. Nettoinvestointiennuste '!Y298</f>
        <v>-2950.7854107666067</v>
      </c>
      <c r="O298" s="41">
        <f>O$5*'7.1. Nettoinvestointiennuste '!$Y298</f>
        <v>-3082.32003361529</v>
      </c>
      <c r="P298" s="41">
        <f>P$5*'7.1. Nettoinvestointiennuste '!$Y298</f>
        <v>-3210.2846799297222</v>
      </c>
      <c r="T298" s="34">
        <v>934</v>
      </c>
      <c r="U298" s="88" t="s">
        <v>612</v>
      </c>
      <c r="V298" s="41">
        <f>C298/'1. Väestöennuste'!E298*1000</f>
        <v>-457.85876993166283</v>
      </c>
      <c r="W298" s="41">
        <f>D298/'1. Väestöennuste'!F298*1000</f>
        <v>-150.08264462809916</v>
      </c>
      <c r="X298" s="41">
        <f>E298/'1. Väestöennuste'!G298*1000</f>
        <v>-215.53463349024881</v>
      </c>
      <c r="Y298" s="41">
        <f>F298/'1. Väestöennuste'!H298*1000</f>
        <v>-433.98827990348155</v>
      </c>
      <c r="Z298" s="41">
        <f>G298/'1. Väestöennuste'!I298*1000</f>
        <v>-499.46940219313763</v>
      </c>
      <c r="AA298" s="41">
        <f>H298/'1. Väestöennuste'!J298*1000</f>
        <v>-766.52298850574709</v>
      </c>
      <c r="AB298" s="41">
        <f>I298/'1. Väestöennuste'!K298*1000</f>
        <v>-472.53984034833093</v>
      </c>
      <c r="AC298" s="41">
        <f>J298/'1. Väestöennuste'!L298*1000</f>
        <v>-710.99618120554101</v>
      </c>
      <c r="AD298" s="41">
        <f>K298/'1. Väestöennuste'!M298*1000</f>
        <v>-512.20809487951817</v>
      </c>
      <c r="AE298" s="41">
        <f>L298/'1. Väestöennuste'!N298*1000</f>
        <v>-1069.6895375200647</v>
      </c>
      <c r="AF298" s="41">
        <f>M298/'1. Väestöennuste'!O298*1000</f>
        <v>-1139.1648112533412</v>
      </c>
      <c r="AG298" s="41">
        <f>N298/'1. Väestöennuste'!P298*1000</f>
        <v>-1202.4390426921786</v>
      </c>
      <c r="AH298" s="41">
        <f>O298/'1. Väestöennuste'!Q298*1000</f>
        <v>-1279.5018819490617</v>
      </c>
      <c r="AI298" s="41">
        <f>P298/'1. Väestöennuste'!R298*1000</f>
        <v>-1355.6945438892408</v>
      </c>
      <c r="AK298" s="34">
        <v>934</v>
      </c>
      <c r="AL298" s="88" t="s">
        <v>612</v>
      </c>
      <c r="AM298" s="41"/>
      <c r="AN298" s="41">
        <f t="shared" si="59"/>
        <v>307.77612530356367</v>
      </c>
      <c r="AO298" s="41">
        <f t="shared" si="60"/>
        <v>-65.451988862149648</v>
      </c>
      <c r="AP298" s="41">
        <f t="shared" si="61"/>
        <v>-218.45364641323275</v>
      </c>
      <c r="AQ298" s="41">
        <f t="shared" si="62"/>
        <v>-65.481122289656071</v>
      </c>
      <c r="AR298" s="41">
        <f t="shared" si="63"/>
        <v>-267.05358631260947</v>
      </c>
      <c r="AS298" s="41">
        <f t="shared" si="64"/>
        <v>293.98314815741617</v>
      </c>
      <c r="AT298" s="41">
        <f t="shared" si="65"/>
        <v>-238.45634085721008</v>
      </c>
      <c r="AU298" s="41">
        <f t="shared" si="66"/>
        <v>198.78808632602284</v>
      </c>
      <c r="AV298" s="41">
        <f t="shared" si="67"/>
        <v>-557.48144264054656</v>
      </c>
      <c r="AW298" s="41">
        <f t="shared" si="68"/>
        <v>-69.475273733276481</v>
      </c>
      <c r="AX298" s="41">
        <f t="shared" si="69"/>
        <v>-63.274231438837433</v>
      </c>
      <c r="AY298" s="41">
        <f t="shared" si="69"/>
        <v>-77.06283925688308</v>
      </c>
      <c r="AZ298" s="41">
        <f t="shared" si="69"/>
        <v>-76.19266194017905</v>
      </c>
    </row>
    <row r="299" spans="1:52" x14ac:dyDescent="0.2">
      <c r="A299" s="30">
        <v>935</v>
      </c>
      <c r="B299" s="31" t="s">
        <v>613</v>
      </c>
      <c r="C299" s="41">
        <v>-1493</v>
      </c>
      <c r="D299" s="41">
        <v>-2532</v>
      </c>
      <c r="E299" s="73">
        <v>-489</v>
      </c>
      <c r="F299" s="73">
        <v>-4475</v>
      </c>
      <c r="G299" s="73">
        <v>-447</v>
      </c>
      <c r="H299" s="41">
        <v>-1270</v>
      </c>
      <c r="I299" s="165">
        <v>-1843.09256</v>
      </c>
      <c r="J299" s="41">
        <v>-3097.2467099999999</v>
      </c>
      <c r="K299" s="41">
        <v>-257.57892000000004</v>
      </c>
      <c r="L299" s="41">
        <f>$L$5*'7.1. Nettoinvestointiennuste '!Y299</f>
        <v>-1267.6413132139687</v>
      </c>
      <c r="M299" s="41">
        <f>$M$5*'7.1. Nettoinvestointiennuste '!Y299</f>
        <v>-1321.9699970515001</v>
      </c>
      <c r="N299" s="41">
        <f>$N$5*'7.1. Nettoinvestointiennuste '!Y299</f>
        <v>-1368.6278076676022</v>
      </c>
      <c r="O299" s="41">
        <f>O$5*'7.1. Nettoinvestointiennuste '!$Y299</f>
        <v>-1429.6359520907538</v>
      </c>
      <c r="P299" s="41">
        <f>P$5*'7.1. Nettoinvestointiennuste '!$Y299</f>
        <v>-1488.9882766295896</v>
      </c>
      <c r="T299" s="34">
        <v>935</v>
      </c>
      <c r="U299" s="88" t="s">
        <v>613</v>
      </c>
      <c r="V299" s="41">
        <f>C299/'1. Väestöennuste'!E299*1000</f>
        <v>-446.07110845533316</v>
      </c>
      <c r="W299" s="41">
        <f>D299/'1. Väestöennuste'!F299*1000</f>
        <v>-775.02295684113869</v>
      </c>
      <c r="X299" s="41">
        <f>E299/'1. Väestöennuste'!G299*1000</f>
        <v>-152.47895229186156</v>
      </c>
      <c r="Y299" s="41">
        <f>F299/'1. Väestöennuste'!H299*1000</f>
        <v>-1420.6349206349207</v>
      </c>
      <c r="Z299" s="41">
        <f>G299/'1. Väestöennuste'!I299*1000</f>
        <v>-143.77613380508203</v>
      </c>
      <c r="AA299" s="41">
        <f>H299/'1. Väestöennuste'!J299*1000</f>
        <v>-411.40265630061549</v>
      </c>
      <c r="AB299" s="41">
        <f>I299/'1. Väestöennuste'!K299*1000</f>
        <v>-606.28044736842105</v>
      </c>
      <c r="AC299" s="41">
        <f>J299/'1. Väestöennuste'!L299*1000</f>
        <v>-1037.6035879396986</v>
      </c>
      <c r="AD299" s="41">
        <f>K299/'1. Väestöennuste'!M299*1000</f>
        <v>-88.000997608472858</v>
      </c>
      <c r="AE299" s="41">
        <f>L299/'1. Väestöennuste'!N299*1000</f>
        <v>-435.31638503226947</v>
      </c>
      <c r="AF299" s="41">
        <f>M299/'1. Väestöennuste'!O299*1000</f>
        <v>-459.65577088021558</v>
      </c>
      <c r="AG299" s="41">
        <f>N299/'1. Väestöennuste'!P299*1000</f>
        <v>-481.5720646261795</v>
      </c>
      <c r="AH299" s="41">
        <f>O299/'1. Väestöennuste'!Q299*1000</f>
        <v>-508.94836315085581</v>
      </c>
      <c r="AI299" s="41">
        <f>P299/'1. Väestöennuste'!R299*1000</f>
        <v>-536.37906218645162</v>
      </c>
      <c r="AK299" s="34">
        <v>935</v>
      </c>
      <c r="AL299" s="88" t="s">
        <v>613</v>
      </c>
      <c r="AM299" s="41"/>
      <c r="AN299" s="41">
        <f t="shared" si="59"/>
        <v>-328.95184838580553</v>
      </c>
      <c r="AO299" s="41">
        <f t="shared" si="60"/>
        <v>622.54400454927713</v>
      </c>
      <c r="AP299" s="41">
        <f t="shared" si="61"/>
        <v>-1268.1559683430592</v>
      </c>
      <c r="AQ299" s="41">
        <f t="shared" si="62"/>
        <v>1276.8587868298387</v>
      </c>
      <c r="AR299" s="41">
        <f t="shared" si="63"/>
        <v>-267.62652249553344</v>
      </c>
      <c r="AS299" s="41">
        <f t="shared" si="64"/>
        <v>-194.87779106780556</v>
      </c>
      <c r="AT299" s="41">
        <f t="shared" si="65"/>
        <v>-431.32314057127758</v>
      </c>
      <c r="AU299" s="41">
        <f t="shared" si="66"/>
        <v>949.60259033122577</v>
      </c>
      <c r="AV299" s="41">
        <f t="shared" si="67"/>
        <v>-347.31538742379661</v>
      </c>
      <c r="AW299" s="41">
        <f t="shared" si="68"/>
        <v>-24.339385847946119</v>
      </c>
      <c r="AX299" s="41">
        <f t="shared" si="69"/>
        <v>-21.916293745963912</v>
      </c>
      <c r="AY299" s="41">
        <f t="shared" si="69"/>
        <v>-27.376298524676315</v>
      </c>
      <c r="AZ299" s="41">
        <f t="shared" si="69"/>
        <v>-27.430699035595808</v>
      </c>
    </row>
    <row r="300" spans="1:52" x14ac:dyDescent="0.2">
      <c r="A300" s="30">
        <v>936</v>
      </c>
      <c r="B300" s="31" t="s">
        <v>614</v>
      </c>
      <c r="C300" s="41">
        <v>-3463</v>
      </c>
      <c r="D300" s="41">
        <v>-4494</v>
      </c>
      <c r="E300" s="73">
        <v>-6933</v>
      </c>
      <c r="F300" s="73">
        <v>-6101</v>
      </c>
      <c r="G300" s="73">
        <v>-6201</v>
      </c>
      <c r="H300" s="41">
        <v>-11264</v>
      </c>
      <c r="I300" s="165">
        <v>-8558.7835899999991</v>
      </c>
      <c r="J300" s="41">
        <v>-3001.7525900000001</v>
      </c>
      <c r="K300" s="41">
        <v>-2903.8250699999999</v>
      </c>
      <c r="L300" s="41">
        <f>$L$5*'7.1. Nettoinvestointiennuste '!Y300</f>
        <v>-6509.5286523234772</v>
      </c>
      <c r="M300" s="41">
        <f>$M$5*'7.1. Nettoinvestointiennuste '!Y300</f>
        <v>-6788.514608679523</v>
      </c>
      <c r="N300" s="41">
        <f>$N$5*'7.1. Nettoinvestointiennuste '!Y300</f>
        <v>-7028.1094782173013</v>
      </c>
      <c r="O300" s="41">
        <f>O$5*'7.1. Nettoinvestointiennuste '!$Y300</f>
        <v>-7341.3954685111194</v>
      </c>
      <c r="P300" s="41">
        <f>P$5*'7.1. Nettoinvestointiennuste '!$Y300</f>
        <v>-7646.1785748521324</v>
      </c>
      <c r="T300" s="34">
        <v>936</v>
      </c>
      <c r="U300" s="88" t="s">
        <v>614</v>
      </c>
      <c r="V300" s="41">
        <f>C300/'1. Väestöennuste'!E300*1000</f>
        <v>-494.57297914881462</v>
      </c>
      <c r="W300" s="41">
        <f>D300/'1. Väestöennuste'!F300*1000</f>
        <v>-649.70362874078353</v>
      </c>
      <c r="X300" s="41">
        <f>E300/'1. Väestöennuste'!G300*1000</f>
        <v>-1013.0040911747516</v>
      </c>
      <c r="Y300" s="41">
        <f>F300/'1. Väestöennuste'!H300*1000</f>
        <v>-905.32719988128804</v>
      </c>
      <c r="Z300" s="41">
        <f>G300/'1. Väestöennuste'!I300*1000</f>
        <v>-947.58557457212714</v>
      </c>
      <c r="AA300" s="41">
        <f>H300/'1. Väestöennuste'!J300*1000</f>
        <v>-1730.2611367127497</v>
      </c>
      <c r="AB300" s="41">
        <f>I300/'1. Väestöennuste'!K300*1000</f>
        <v>-1323.8644377416858</v>
      </c>
      <c r="AC300" s="41">
        <f>J300/'1. Väestöennuste'!L300*1000</f>
        <v>-469.39055355746677</v>
      </c>
      <c r="AD300" s="41">
        <f>K300/'1. Väestöennuste'!M300*1000</f>
        <v>-462.76096733067726</v>
      </c>
      <c r="AE300" s="41">
        <f>L300/'1. Väestöennuste'!N300*1000</f>
        <v>-1061.7401161838977</v>
      </c>
      <c r="AF300" s="41">
        <f>M300/'1. Väestöennuste'!O300*1000</f>
        <v>-1122.4395847684395</v>
      </c>
      <c r="AG300" s="41">
        <f>N300/'1. Väestöennuste'!P300*1000</f>
        <v>-1177.6322852240785</v>
      </c>
      <c r="AH300" s="41">
        <f>O300/'1. Väestöennuste'!Q300*1000</f>
        <v>-1245.5709990687342</v>
      </c>
      <c r="AI300" s="41">
        <f>P300/'1. Väestöennuste'!R300*1000</f>
        <v>-1313.5506914365458</v>
      </c>
      <c r="AK300" s="34">
        <v>936</v>
      </c>
      <c r="AL300" s="88" t="s">
        <v>614</v>
      </c>
      <c r="AM300" s="41"/>
      <c r="AN300" s="41">
        <f t="shared" si="59"/>
        <v>-155.1306495919689</v>
      </c>
      <c r="AO300" s="41">
        <f t="shared" si="60"/>
        <v>-363.30046243396805</v>
      </c>
      <c r="AP300" s="41">
        <f t="shared" si="61"/>
        <v>107.67689129346354</v>
      </c>
      <c r="AQ300" s="41">
        <f t="shared" si="62"/>
        <v>-42.258374690839105</v>
      </c>
      <c r="AR300" s="41">
        <f t="shared" si="63"/>
        <v>-782.67556214062256</v>
      </c>
      <c r="AS300" s="41">
        <f t="shared" si="64"/>
        <v>406.39669897106387</v>
      </c>
      <c r="AT300" s="41">
        <f t="shared" si="65"/>
        <v>854.47388418421906</v>
      </c>
      <c r="AU300" s="41">
        <f t="shared" si="66"/>
        <v>6.6295862267895131</v>
      </c>
      <c r="AV300" s="41">
        <f t="shared" si="67"/>
        <v>-598.97914885322052</v>
      </c>
      <c r="AW300" s="41">
        <f t="shared" si="68"/>
        <v>-60.699468584541819</v>
      </c>
      <c r="AX300" s="41">
        <f t="shared" si="69"/>
        <v>-55.192700455638942</v>
      </c>
      <c r="AY300" s="41">
        <f t="shared" si="69"/>
        <v>-67.938713844655695</v>
      </c>
      <c r="AZ300" s="41">
        <f t="shared" si="69"/>
        <v>-67.979692367811595</v>
      </c>
    </row>
    <row r="301" spans="1:52" x14ac:dyDescent="0.2">
      <c r="A301" s="30">
        <v>946</v>
      </c>
      <c r="B301" s="31" t="s">
        <v>615</v>
      </c>
      <c r="C301" s="41">
        <v>-3103</v>
      </c>
      <c r="D301" s="41">
        <v>-2228</v>
      </c>
      <c r="E301" s="73">
        <v>-2400</v>
      </c>
      <c r="F301" s="73">
        <v>-3339</v>
      </c>
      <c r="G301" s="73">
        <v>-6171</v>
      </c>
      <c r="H301" s="41">
        <v>-8415</v>
      </c>
      <c r="I301" s="165">
        <v>-3583.67</v>
      </c>
      <c r="J301" s="41">
        <v>-5305.38</v>
      </c>
      <c r="K301" s="41">
        <v>-9356.7768000000015</v>
      </c>
      <c r="L301" s="41">
        <f>$L$5*'7.1. Nettoinvestointiennuste '!Y301</f>
        <v>-6976.8832872729972</v>
      </c>
      <c r="M301" s="41">
        <f>$M$5*'7.1. Nettoinvestointiennuste '!Y301</f>
        <v>-7275.8991700265997</v>
      </c>
      <c r="N301" s="41">
        <f>$N$5*'7.1. Nettoinvestointiennuste '!Y301</f>
        <v>-7532.6958645764907</v>
      </c>
      <c r="O301" s="41">
        <f>O$5*'7.1. Nettoinvestointiennuste '!$Y301</f>
        <v>-7868.4743681456448</v>
      </c>
      <c r="P301" s="41">
        <f>P$5*'7.1. Nettoinvestointiennuste '!$Y301</f>
        <v>-8195.1395192568179</v>
      </c>
      <c r="T301" s="34">
        <v>946</v>
      </c>
      <c r="U301" s="88" t="s">
        <v>615</v>
      </c>
      <c r="V301" s="41">
        <f>C301/'1. Väestöennuste'!E301*1000</f>
        <v>-462.16860291927316</v>
      </c>
      <c r="W301" s="41">
        <f>D301/'1. Väestöennuste'!F301*1000</f>
        <v>-333.33333333333331</v>
      </c>
      <c r="X301" s="41">
        <f>E301/'1. Väestöennuste'!G301*1000</f>
        <v>-362.75695284159616</v>
      </c>
      <c r="Y301" s="41">
        <f>F301/'1. Väestöennuste'!H301*1000</f>
        <v>-504.9145622259187</v>
      </c>
      <c r="Z301" s="41">
        <f>G301/'1. Väestöennuste'!I301*1000</f>
        <v>-955.11530722798329</v>
      </c>
      <c r="AA301" s="41">
        <f>H301/'1. Väestöennuste'!J301*1000</f>
        <v>-1317.3137132122729</v>
      </c>
      <c r="AB301" s="41">
        <f>I301/'1. Väestöennuste'!K301*1000</f>
        <v>-562.05614805520702</v>
      </c>
      <c r="AC301" s="41">
        <f>J301/'1. Väestöennuste'!L301*1000</f>
        <v>-843.86511849848898</v>
      </c>
      <c r="AD301" s="41">
        <f>K301/'1. Väestöennuste'!M301*1000</f>
        <v>-1487.3274201239867</v>
      </c>
      <c r="AE301" s="41">
        <f>L301/'1. Väestöennuste'!N301*1000</f>
        <v>-1132.0595955335059</v>
      </c>
      <c r="AF301" s="41">
        <f>M301/'1. Väestöennuste'!O301*1000</f>
        <v>-1191.2081155904714</v>
      </c>
      <c r="AG301" s="41">
        <f>N301/'1. Väestöennuste'!P301*1000</f>
        <v>-1244.0455597979342</v>
      </c>
      <c r="AH301" s="41">
        <f>O301/'1. Väestöennuste'!Q301*1000</f>
        <v>-1311.6309998575837</v>
      </c>
      <c r="AI301" s="41">
        <f>P301/'1. Väestöennuste'!R301*1000</f>
        <v>-1379.4208919806124</v>
      </c>
      <c r="AK301" s="34">
        <v>946</v>
      </c>
      <c r="AL301" s="88" t="s">
        <v>615</v>
      </c>
      <c r="AM301" s="41"/>
      <c r="AN301" s="41">
        <f t="shared" si="59"/>
        <v>128.83526958593984</v>
      </c>
      <c r="AO301" s="41">
        <f t="shared" si="60"/>
        <v>-29.423619508262846</v>
      </c>
      <c r="AP301" s="41">
        <f t="shared" si="61"/>
        <v>-142.15760938432254</v>
      </c>
      <c r="AQ301" s="41">
        <f t="shared" si="62"/>
        <v>-450.20074500206459</v>
      </c>
      <c r="AR301" s="41">
        <f t="shared" si="63"/>
        <v>-362.19840598428959</v>
      </c>
      <c r="AS301" s="41">
        <f t="shared" si="64"/>
        <v>755.25756515706587</v>
      </c>
      <c r="AT301" s="41">
        <f t="shared" si="65"/>
        <v>-281.80897044328196</v>
      </c>
      <c r="AU301" s="41">
        <f t="shared" si="66"/>
        <v>-643.46230162549773</v>
      </c>
      <c r="AV301" s="41">
        <f t="shared" si="67"/>
        <v>355.26782459048081</v>
      </c>
      <c r="AW301" s="41">
        <f t="shared" si="68"/>
        <v>-59.148520056965481</v>
      </c>
      <c r="AX301" s="41">
        <f t="shared" si="69"/>
        <v>-52.837444207462795</v>
      </c>
      <c r="AY301" s="41">
        <f t="shared" si="69"/>
        <v>-67.5854400596495</v>
      </c>
      <c r="AZ301" s="41">
        <f t="shared" si="69"/>
        <v>-67.789892123028721</v>
      </c>
    </row>
    <row r="302" spans="1:52" x14ac:dyDescent="0.2">
      <c r="A302" s="30">
        <v>976</v>
      </c>
      <c r="B302" s="31" t="s">
        <v>616</v>
      </c>
      <c r="C302" s="41">
        <v>-5350</v>
      </c>
      <c r="D302" s="41">
        <v>-2923</v>
      </c>
      <c r="E302" s="73">
        <v>-1404</v>
      </c>
      <c r="F302" s="73">
        <v>-2192</v>
      </c>
      <c r="G302" s="73">
        <v>-1360</v>
      </c>
      <c r="H302" s="41">
        <v>-2481</v>
      </c>
      <c r="I302" s="165">
        <v>-2896.9377400000003</v>
      </c>
      <c r="J302" s="41">
        <v>-1481.56143</v>
      </c>
      <c r="K302" s="41">
        <v>-2044.6133400000001</v>
      </c>
      <c r="L302" s="41">
        <f>$L$5*'7.1. Nettoinvestointiennuste '!Y302</f>
        <v>-1659.5868628553465</v>
      </c>
      <c r="M302" s="41">
        <f>$M$5*'7.1. Nettoinvestointiennuste '!Y302</f>
        <v>-1730.7135838237484</v>
      </c>
      <c r="N302" s="41">
        <f>$N$5*'7.1. Nettoinvestointiennuste '!Y302</f>
        <v>-1791.7976529061557</v>
      </c>
      <c r="O302" s="41">
        <f>O$5*'7.1. Nettoinvestointiennuste '!$Y302</f>
        <v>-1871.6690754895203</v>
      </c>
      <c r="P302" s="41">
        <f>P$5*'7.1. Nettoinvestointiennuste '!$Y302</f>
        <v>-1949.372710624953</v>
      </c>
      <c r="T302" s="34">
        <v>976</v>
      </c>
      <c r="U302" s="88" t="s">
        <v>616</v>
      </c>
      <c r="V302" s="41">
        <f>C302/'1. Väestöennuste'!E302*1000</f>
        <v>-1246.7956187368911</v>
      </c>
      <c r="W302" s="41">
        <f>D302/'1. Väestöennuste'!F302*1000</f>
        <v>-695.95238095238096</v>
      </c>
      <c r="X302" s="41">
        <f>E302/'1. Väestöennuste'!G302*1000</f>
        <v>-340.94220495386105</v>
      </c>
      <c r="Y302" s="41">
        <f>F302/'1. Väestöennuste'!H302*1000</f>
        <v>-545.00248632521129</v>
      </c>
      <c r="Z302" s="41">
        <f>G302/'1. Väestöennuste'!I302*1000</f>
        <v>-347.11587544665645</v>
      </c>
      <c r="AA302" s="41">
        <f>H302/'1. Väestöennuste'!J302*1000</f>
        <v>-637.78920308483293</v>
      </c>
      <c r="AB302" s="41">
        <f>I302/'1. Väestöennuste'!K302*1000</f>
        <v>-756.38061096605747</v>
      </c>
      <c r="AC302" s="41">
        <f>J302/'1. Väestöennuste'!L302*1000</f>
        <v>-391.11970168954593</v>
      </c>
      <c r="AD302" s="41">
        <f>K302/'1. Väestöennuste'!M302*1000</f>
        <v>-543.05799203187257</v>
      </c>
      <c r="AE302" s="41">
        <f>L302/'1. Väestöennuste'!N302*1000</f>
        <v>-461.63751400705047</v>
      </c>
      <c r="AF302" s="41">
        <f>M302/'1. Väestöennuste'!O302*1000</f>
        <v>-489.17851436510693</v>
      </c>
      <c r="AG302" s="41">
        <f>N302/'1. Väestöennuste'!P302*1000</f>
        <v>-514.5886424199183</v>
      </c>
      <c r="AH302" s="41">
        <f>O302/'1. Väestöennuste'!Q302*1000</f>
        <v>-545.67611530306715</v>
      </c>
      <c r="AI302" s="41">
        <f>P302/'1. Väestöennuste'!R302*1000</f>
        <v>-577.07895518796715</v>
      </c>
      <c r="AK302" s="34">
        <v>976</v>
      </c>
      <c r="AL302" s="88" t="s">
        <v>616</v>
      </c>
      <c r="AM302" s="41"/>
      <c r="AN302" s="41">
        <f t="shared" si="59"/>
        <v>550.84323778451017</v>
      </c>
      <c r="AO302" s="41">
        <f t="shared" si="60"/>
        <v>355.01017599851991</v>
      </c>
      <c r="AP302" s="41">
        <f t="shared" si="61"/>
        <v>-204.06028137135024</v>
      </c>
      <c r="AQ302" s="41">
        <f t="shared" si="62"/>
        <v>197.88661087855485</v>
      </c>
      <c r="AR302" s="41">
        <f t="shared" si="63"/>
        <v>-290.67332763817649</v>
      </c>
      <c r="AS302" s="41">
        <f t="shared" si="64"/>
        <v>-118.59140788122454</v>
      </c>
      <c r="AT302" s="41">
        <f t="shared" si="65"/>
        <v>365.26090927651154</v>
      </c>
      <c r="AU302" s="41">
        <f t="shared" si="66"/>
        <v>-151.93829034232664</v>
      </c>
      <c r="AV302" s="41">
        <f t="shared" si="67"/>
        <v>81.420478024822103</v>
      </c>
      <c r="AW302" s="41">
        <f t="shared" si="68"/>
        <v>-27.541000358056465</v>
      </c>
      <c r="AX302" s="41">
        <f t="shared" si="69"/>
        <v>-25.410128054811366</v>
      </c>
      <c r="AY302" s="41">
        <f t="shared" si="69"/>
        <v>-31.087472883148848</v>
      </c>
      <c r="AZ302" s="41">
        <f t="shared" si="69"/>
        <v>-31.402839884900004</v>
      </c>
    </row>
    <row r="303" spans="1:52" x14ac:dyDescent="0.2">
      <c r="A303" s="30">
        <v>977</v>
      </c>
      <c r="B303" s="31" t="s">
        <v>617</v>
      </c>
      <c r="C303" s="41">
        <v>-5360</v>
      </c>
      <c r="D303" s="41">
        <v>-19613</v>
      </c>
      <c r="E303" s="73">
        <v>-12637</v>
      </c>
      <c r="F303" s="73">
        <v>-12492</v>
      </c>
      <c r="G303" s="73">
        <v>-18800</v>
      </c>
      <c r="H303" s="41">
        <v>-21795</v>
      </c>
      <c r="I303" s="165">
        <v>-13470.092000000001</v>
      </c>
      <c r="J303" s="41">
        <v>-4018.7465999999999</v>
      </c>
      <c r="K303" s="41">
        <v>-1900.6900800000001</v>
      </c>
      <c r="L303" s="41">
        <f>$L$5*'7.1. Nettoinvestointiennuste '!Y303</f>
        <v>-8636.4430241744103</v>
      </c>
      <c r="M303" s="41">
        <f>$M$5*'7.1. Nettoinvestointiennuste '!Y303</f>
        <v>-9006.5844653298755</v>
      </c>
      <c r="N303" s="41">
        <f>$N$5*'7.1. Nettoinvestointiennuste '!Y303</f>
        <v>-9324.4642305428188</v>
      </c>
      <c r="O303" s="41">
        <f>O$5*'7.1. Nettoinvestointiennuste '!$Y303</f>
        <v>-9740.1128511966162</v>
      </c>
      <c r="P303" s="41">
        <f>P$5*'7.1. Nettoinvestointiennuste '!$Y303</f>
        <v>-10144.480367376993</v>
      </c>
      <c r="T303" s="34">
        <v>977</v>
      </c>
      <c r="U303" s="88" t="s">
        <v>617</v>
      </c>
      <c r="V303" s="41">
        <f>C303/'1. Väestöennuste'!E303*1000</f>
        <v>-356.4066759757963</v>
      </c>
      <c r="W303" s="41">
        <f>D303/'1. Väestöennuste'!F303*1000</f>
        <v>-1290.413843015988</v>
      </c>
      <c r="X303" s="41">
        <f>E303/'1. Väestöennuste'!G303*1000</f>
        <v>-828.60140318667629</v>
      </c>
      <c r="Y303" s="41">
        <f>F303/'1. Väestöennuste'!H303*1000</f>
        <v>-821.19379437286352</v>
      </c>
      <c r="Z303" s="41">
        <f>G303/'1. Väestöennuste'!I303*1000</f>
        <v>-1232.3828253031793</v>
      </c>
      <c r="AA303" s="41">
        <f>H303/'1. Väestöennuste'!J303*1000</f>
        <v>-1424.1374803972817</v>
      </c>
      <c r="AB303" s="41">
        <f>I303/'1. Väestöennuste'!K303*1000</f>
        <v>-877.13042912027095</v>
      </c>
      <c r="AC303" s="41">
        <f>J303/'1. Väestöennuste'!L303*1000</f>
        <v>-262.7834041718433</v>
      </c>
      <c r="AD303" s="41">
        <f>K303/'1. Väestöennuste'!M303*1000</f>
        <v>-123.6703806363459</v>
      </c>
      <c r="AE303" s="41">
        <f>L303/'1. Väestöennuste'!N303*1000</f>
        <v>-558.41478237258571</v>
      </c>
      <c r="AF303" s="41">
        <f>M303/'1. Väestöennuste'!O303*1000</f>
        <v>-581.59527736858297</v>
      </c>
      <c r="AG303" s="41">
        <f>N303/'1. Väestöennuste'!P303*1000</f>
        <v>-601.65597048282484</v>
      </c>
      <c r="AH303" s="41">
        <f>O303/'1. Väestöennuste'!Q303*1000</f>
        <v>-628.43492168505168</v>
      </c>
      <c r="AI303" s="41">
        <f>P303/'1. Väestöennuste'!R303*1000</f>
        <v>-654.90512378160065</v>
      </c>
      <c r="AK303" s="34">
        <v>977</v>
      </c>
      <c r="AL303" s="88" t="s">
        <v>617</v>
      </c>
      <c r="AM303" s="41"/>
      <c r="AN303" s="41">
        <f t="shared" si="59"/>
        <v>-934.00716704019169</v>
      </c>
      <c r="AO303" s="41">
        <f t="shared" si="60"/>
        <v>461.81243982931176</v>
      </c>
      <c r="AP303" s="41">
        <f t="shared" si="61"/>
        <v>7.4076088138127716</v>
      </c>
      <c r="AQ303" s="41">
        <f t="shared" si="62"/>
        <v>-411.18903093031577</v>
      </c>
      <c r="AR303" s="41">
        <f t="shared" si="63"/>
        <v>-191.75465509410242</v>
      </c>
      <c r="AS303" s="41">
        <f t="shared" si="64"/>
        <v>547.00705127701076</v>
      </c>
      <c r="AT303" s="41">
        <f t="shared" si="65"/>
        <v>614.34702494842759</v>
      </c>
      <c r="AU303" s="41">
        <f t="shared" si="66"/>
        <v>139.1130235354974</v>
      </c>
      <c r="AV303" s="41">
        <f t="shared" si="67"/>
        <v>-434.74440173623981</v>
      </c>
      <c r="AW303" s="41">
        <f t="shared" si="68"/>
        <v>-23.180494995997265</v>
      </c>
      <c r="AX303" s="41">
        <f t="shared" si="69"/>
        <v>-20.060693114241872</v>
      </c>
      <c r="AY303" s="41">
        <f t="shared" si="69"/>
        <v>-26.778951202226835</v>
      </c>
      <c r="AZ303" s="41">
        <f t="shared" si="69"/>
        <v>-26.470202096548974</v>
      </c>
    </row>
    <row r="304" spans="1:52" x14ac:dyDescent="0.2">
      <c r="A304" s="30">
        <v>980</v>
      </c>
      <c r="B304" s="31" t="s">
        <v>618</v>
      </c>
      <c r="C304" s="41">
        <v>-8644</v>
      </c>
      <c r="D304" s="41">
        <v>686</v>
      </c>
      <c r="E304" s="73">
        <v>-6604</v>
      </c>
      <c r="F304" s="73">
        <v>-5834</v>
      </c>
      <c r="G304" s="73">
        <v>-11222</v>
      </c>
      <c r="H304" s="41">
        <v>-8956</v>
      </c>
      <c r="I304" s="165">
        <v>-11979.54234</v>
      </c>
      <c r="J304" s="41">
        <v>-21710.572230000002</v>
      </c>
      <c r="K304" s="41">
        <v>-18716.704550000002</v>
      </c>
      <c r="L304" s="41">
        <f>$L$5*'7.1. Nettoinvestointiennuste '!Y304</f>
        <v>-18906.950410426442</v>
      </c>
      <c r="M304" s="41">
        <f>$M$5*'7.1. Nettoinvestointiennuste '!Y304</f>
        <v>-19717.266168103677</v>
      </c>
      <c r="N304" s="41">
        <f>$N$5*'7.1. Nettoinvestointiennuste '!Y304</f>
        <v>-20413.170366225062</v>
      </c>
      <c r="O304" s="41">
        <f>O$5*'7.1. Nettoinvestointiennuste '!$Y304</f>
        <v>-21323.110701252597</v>
      </c>
      <c r="P304" s="41">
        <f>P$5*'7.1. Nettoinvestointiennuste '!$Y304</f>
        <v>-22208.354377915486</v>
      </c>
      <c r="T304" s="34">
        <v>980</v>
      </c>
      <c r="U304" s="88" t="s">
        <v>618</v>
      </c>
      <c r="V304" s="41">
        <f>C304/'1. Väestöennuste'!E304*1000</f>
        <v>-264.03567719469726</v>
      </c>
      <c r="W304" s="41">
        <f>D304/'1. Väestöennuste'!F304*1000</f>
        <v>20.915271807067288</v>
      </c>
      <c r="X304" s="41">
        <f>E304/'1. Väestöennuste'!G304*1000</f>
        <v>-200.86379950118621</v>
      </c>
      <c r="Y304" s="41">
        <f>F304/'1. Väestöennuste'!H304*1000</f>
        <v>-176.87899827183702</v>
      </c>
      <c r="Z304" s="41">
        <f>G304/'1. Väestöennuste'!I304*1000</f>
        <v>-337.46316232633666</v>
      </c>
      <c r="AA304" s="41">
        <f>H304/'1. Väestöennuste'!J304*1000</f>
        <v>-268.52962341088994</v>
      </c>
      <c r="AB304" s="41">
        <f>I304/'1. Väestöennuste'!K304*1000</f>
        <v>-357.24636447678404</v>
      </c>
      <c r="AC304" s="41">
        <f>J304/'1. Väestöennuste'!L304*1000</f>
        <v>-646.01339691135786</v>
      </c>
      <c r="AD304" s="41">
        <f>K304/'1. Väestöennuste'!M304*1000</f>
        <v>-555.77113608694378</v>
      </c>
      <c r="AE304" s="41">
        <f>L304/'1. Väestöennuste'!N304*1000</f>
        <v>-557.94111046792102</v>
      </c>
      <c r="AF304" s="41">
        <f>M304/'1. Väestöennuste'!O304*1000</f>
        <v>-579.88548226879823</v>
      </c>
      <c r="AG304" s="41">
        <f>N304/'1. Väestöennuste'!P304*1000</f>
        <v>-598.48628961607426</v>
      </c>
      <c r="AH304" s="41">
        <f>O304/'1. Väestöennuste'!Q304*1000</f>
        <v>-623.40985560906904</v>
      </c>
      <c r="AI304" s="41">
        <f>P304/'1. Väestöennuste'!R304*1000</f>
        <v>-647.7382715369389</v>
      </c>
      <c r="AK304" s="34">
        <v>980</v>
      </c>
      <c r="AL304" s="88" t="s">
        <v>618</v>
      </c>
      <c r="AM304" s="41"/>
      <c r="AN304" s="41">
        <f t="shared" si="59"/>
        <v>284.95094900176457</v>
      </c>
      <c r="AO304" s="41">
        <f t="shared" si="60"/>
        <v>-221.77907130825349</v>
      </c>
      <c r="AP304" s="41">
        <f t="shared" si="61"/>
        <v>23.984801229349188</v>
      </c>
      <c r="AQ304" s="41">
        <f t="shared" si="62"/>
        <v>-160.58416405449964</v>
      </c>
      <c r="AR304" s="41">
        <f t="shared" si="63"/>
        <v>68.933538915446718</v>
      </c>
      <c r="AS304" s="41">
        <f t="shared" si="64"/>
        <v>-88.716741065894098</v>
      </c>
      <c r="AT304" s="41">
        <f t="shared" si="65"/>
        <v>-288.76703243457382</v>
      </c>
      <c r="AU304" s="41">
        <f t="shared" si="66"/>
        <v>90.242260824414075</v>
      </c>
      <c r="AV304" s="41">
        <f t="shared" si="67"/>
        <v>-2.1699743809772372</v>
      </c>
      <c r="AW304" s="41">
        <f t="shared" si="68"/>
        <v>-21.944371800877207</v>
      </c>
      <c r="AX304" s="41">
        <f t="shared" si="69"/>
        <v>-18.600807347276032</v>
      </c>
      <c r="AY304" s="41">
        <f t="shared" si="69"/>
        <v>-24.923565992994781</v>
      </c>
      <c r="AZ304" s="41">
        <f t="shared" si="69"/>
        <v>-24.328415927869855</v>
      </c>
    </row>
    <row r="305" spans="1:52" x14ac:dyDescent="0.2">
      <c r="A305" s="30">
        <v>981</v>
      </c>
      <c r="B305" s="31" t="s">
        <v>619</v>
      </c>
      <c r="C305" s="41">
        <v>-1214</v>
      </c>
      <c r="D305" s="41">
        <v>-193</v>
      </c>
      <c r="E305" s="73">
        <v>-458</v>
      </c>
      <c r="F305" s="73">
        <v>-1188</v>
      </c>
      <c r="G305" s="73">
        <v>-841</v>
      </c>
      <c r="H305" s="41">
        <v>110</v>
      </c>
      <c r="I305" s="165">
        <v>-367.49639000000002</v>
      </c>
      <c r="J305" s="41">
        <v>-251.74177</v>
      </c>
      <c r="K305" s="41">
        <v>-851.2405500000001</v>
      </c>
      <c r="L305" s="41">
        <f>$L$5*'7.1. Nettoinvestointiennuste '!Y305</f>
        <v>-748.59104312694762</v>
      </c>
      <c r="M305" s="41">
        <f>$M$5*'7.1. Nettoinvestointiennuste '!Y305</f>
        <v>-780.67422445095895</v>
      </c>
      <c r="N305" s="41">
        <f>$N$5*'7.1. Nettoinvestointiennuste '!Y305</f>
        <v>-808.22745954596564</v>
      </c>
      <c r="O305" s="41">
        <f>O$5*'7.1. Nettoinvestointiennuste '!$Y305</f>
        <v>-844.255119734142</v>
      </c>
      <c r="P305" s="41">
        <f>P$5*'7.1. Nettoinvestointiennuste '!$Y305</f>
        <v>-879.30495447476528</v>
      </c>
      <c r="T305" s="34">
        <v>981</v>
      </c>
      <c r="U305" s="88" t="s">
        <v>619</v>
      </c>
      <c r="V305" s="41">
        <f>C305/'1. Väestöennuste'!E305*1000</f>
        <v>-503.52550808793029</v>
      </c>
      <c r="W305" s="41">
        <f>D305/'1. Väestöennuste'!F305*1000</f>
        <v>-81.02434928631402</v>
      </c>
      <c r="X305" s="41">
        <f>E305/'1. Väestöennuste'!G305*1000</f>
        <v>-193.08600337268129</v>
      </c>
      <c r="Y305" s="41">
        <f>F305/'1. Väestöennuste'!H305*1000</f>
        <v>-504.03054730589736</v>
      </c>
      <c r="Z305" s="41">
        <f>G305/'1. Väestöennuste'!I305*1000</f>
        <v>-358.94152795561246</v>
      </c>
      <c r="AA305" s="41">
        <f>H305/'1. Väestöennuste'!J305*1000</f>
        <v>47.536732929991359</v>
      </c>
      <c r="AB305" s="41">
        <f>I305/'1. Väestöennuste'!K305*1000</f>
        <v>-161.04136283961438</v>
      </c>
      <c r="AC305" s="41">
        <f>J305/'1. Väestöennuste'!L305*1000</f>
        <v>-112.53543585158694</v>
      </c>
      <c r="AD305" s="41">
        <f>K305/'1. Väestöennuste'!M305*1000</f>
        <v>-385.70029451744455</v>
      </c>
      <c r="AE305" s="41">
        <f>L305/'1. Väestöennuste'!N305*1000</f>
        <v>-333.74544945472474</v>
      </c>
      <c r="AF305" s="41">
        <f>M305/'1. Väestöennuste'!O305*1000</f>
        <v>-350.70719876503097</v>
      </c>
      <c r="AG305" s="41">
        <f>N305/'1. Väestöennuste'!P305*1000</f>
        <v>-365.87933886191291</v>
      </c>
      <c r="AH305" s="41">
        <f>O305/'1. Väestöennuste'!Q305*1000</f>
        <v>-384.6264782387891</v>
      </c>
      <c r="AI305" s="41">
        <f>P305/'1. Väestöennuste'!R305*1000</f>
        <v>-403.35089654805745</v>
      </c>
      <c r="AK305" s="34">
        <v>981</v>
      </c>
      <c r="AL305" s="88" t="s">
        <v>619</v>
      </c>
      <c r="AM305" s="41"/>
      <c r="AN305" s="41">
        <f t="shared" si="59"/>
        <v>422.50115880161627</v>
      </c>
      <c r="AO305" s="41">
        <f t="shared" si="60"/>
        <v>-112.06165408636727</v>
      </c>
      <c r="AP305" s="41">
        <f t="shared" si="61"/>
        <v>-310.9445439332161</v>
      </c>
      <c r="AQ305" s="41">
        <f t="shared" si="62"/>
        <v>145.0890193502849</v>
      </c>
      <c r="AR305" s="41">
        <f t="shared" si="63"/>
        <v>406.47826088560385</v>
      </c>
      <c r="AS305" s="41">
        <f t="shared" si="64"/>
        <v>-208.57809576960574</v>
      </c>
      <c r="AT305" s="41">
        <f t="shared" si="65"/>
        <v>48.50592698802744</v>
      </c>
      <c r="AU305" s="41">
        <f t="shared" si="66"/>
        <v>-273.16485866585759</v>
      </c>
      <c r="AV305" s="41">
        <f t="shared" si="67"/>
        <v>51.954845062719812</v>
      </c>
      <c r="AW305" s="41">
        <f t="shared" si="68"/>
        <v>-16.961749310306232</v>
      </c>
      <c r="AX305" s="41">
        <f t="shared" si="69"/>
        <v>-15.172140096881947</v>
      </c>
      <c r="AY305" s="41">
        <f t="shared" si="69"/>
        <v>-18.747139376876191</v>
      </c>
      <c r="AZ305" s="41">
        <f t="shared" si="69"/>
        <v>-18.724418309268344</v>
      </c>
    </row>
    <row r="306" spans="1:52" x14ac:dyDescent="0.2">
      <c r="A306" s="30">
        <v>989</v>
      </c>
      <c r="B306" s="31" t="s">
        <v>620</v>
      </c>
      <c r="C306" s="41">
        <v>-2461</v>
      </c>
      <c r="D306" s="41">
        <v>-1488</v>
      </c>
      <c r="E306" s="73">
        <v>-3443</v>
      </c>
      <c r="F306" s="73">
        <v>-5143</v>
      </c>
      <c r="G306" s="73">
        <v>-3458</v>
      </c>
      <c r="H306" s="41">
        <v>-1717</v>
      </c>
      <c r="I306" s="165">
        <v>-2707.5468999999998</v>
      </c>
      <c r="J306" s="41">
        <v>-5724.7326299999995</v>
      </c>
      <c r="K306" s="41">
        <v>-16987.544910000001</v>
      </c>
      <c r="L306" s="41">
        <f>$L$5*'7.1. Nettoinvestointiennuste '!Y306</f>
        <v>-5880.7910959937972</v>
      </c>
      <c r="M306" s="41">
        <f>$M$5*'7.1. Nettoinvestointiennuste '!Y306</f>
        <v>-6132.8305623936176</v>
      </c>
      <c r="N306" s="41">
        <f>$N$5*'7.1. Nettoinvestointiennuste '!Y306</f>
        <v>-6349.2836192398518</v>
      </c>
      <c r="O306" s="41">
        <f>O$5*'7.1. Nettoinvestointiennuste '!$Y306</f>
        <v>-6632.3101731765764</v>
      </c>
      <c r="P306" s="41">
        <f>P$5*'7.1. Nettoinvestointiennuste '!$Y306</f>
        <v>-6907.6551134496021</v>
      </c>
      <c r="T306" s="34">
        <v>989</v>
      </c>
      <c r="U306" s="88" t="s">
        <v>620</v>
      </c>
      <c r="V306" s="41">
        <f>C306/'1. Väestöennuste'!E306*1000</f>
        <v>-405.57020435069211</v>
      </c>
      <c r="W306" s="41">
        <f>D306/'1. Väestöennuste'!F306*1000</f>
        <v>-248.62155388471177</v>
      </c>
      <c r="X306" s="41">
        <f>E306/'1. Väestöennuste'!G306*1000</f>
        <v>-582.96647477141892</v>
      </c>
      <c r="Y306" s="41">
        <f>F306/'1. Väestöennuste'!H306*1000</f>
        <v>-901.80606698229008</v>
      </c>
      <c r="Z306" s="41">
        <f>G306/'1. Väestöennuste'!I306*1000</f>
        <v>-615.74074074074065</v>
      </c>
      <c r="AA306" s="41">
        <f>H306/'1. Väestöennuste'!J306*1000</f>
        <v>-310.93806591814558</v>
      </c>
      <c r="AB306" s="41">
        <f>I306/'1. Väestöennuste'!K306*1000</f>
        <v>-493.7175237053246</v>
      </c>
      <c r="AC306" s="41">
        <f>J306/'1. Väestöennuste'!L306*1000</f>
        <v>-1058.959051054384</v>
      </c>
      <c r="AD306" s="41">
        <f>K306/'1. Väestöennuste'!M306*1000</f>
        <v>-3195.5502088036114</v>
      </c>
      <c r="AE306" s="41">
        <f>L306/'1. Väestöennuste'!N306*1000</f>
        <v>-1138.5849169397477</v>
      </c>
      <c r="AF306" s="41">
        <f>M306/'1. Väestöennuste'!O306*1000</f>
        <v>-1205.5888662067264</v>
      </c>
      <c r="AG306" s="41">
        <f>N306/'1. Väestöennuste'!P306*1000</f>
        <v>-1267.322079688593</v>
      </c>
      <c r="AH306" s="41">
        <f>O306/'1. Väestöennuste'!Q306*1000</f>
        <v>-1344.2055478671618</v>
      </c>
      <c r="AI306" s="41">
        <f>P306/'1. Väestöennuste'!R306*1000</f>
        <v>-1420.4513907977796</v>
      </c>
      <c r="AK306" s="34">
        <v>989</v>
      </c>
      <c r="AL306" s="88" t="s">
        <v>620</v>
      </c>
      <c r="AM306" s="41"/>
      <c r="AN306" s="41">
        <f t="shared" si="59"/>
        <v>156.94865046598034</v>
      </c>
      <c r="AO306" s="41">
        <f t="shared" si="60"/>
        <v>-334.34492088670714</v>
      </c>
      <c r="AP306" s="41">
        <f t="shared" si="61"/>
        <v>-318.83959221087116</v>
      </c>
      <c r="AQ306" s="41">
        <f t="shared" si="62"/>
        <v>286.06532624154943</v>
      </c>
      <c r="AR306" s="41">
        <f t="shared" si="63"/>
        <v>304.80267482259507</v>
      </c>
      <c r="AS306" s="41">
        <f t="shared" si="64"/>
        <v>-182.77945778717901</v>
      </c>
      <c r="AT306" s="41">
        <f t="shared" si="65"/>
        <v>-565.24152734905942</v>
      </c>
      <c r="AU306" s="41">
        <f t="shared" si="66"/>
        <v>-2136.5911577492275</v>
      </c>
      <c r="AV306" s="41">
        <f t="shared" si="67"/>
        <v>2056.965291863864</v>
      </c>
      <c r="AW306" s="41">
        <f t="shared" si="68"/>
        <v>-67.00394926697868</v>
      </c>
      <c r="AX306" s="41">
        <f t="shared" si="69"/>
        <v>-61.733213481866642</v>
      </c>
      <c r="AY306" s="41">
        <f t="shared" si="69"/>
        <v>-76.883468178568819</v>
      </c>
      <c r="AZ306" s="41">
        <f t="shared" si="69"/>
        <v>-76.245842930617755</v>
      </c>
    </row>
    <row r="307" spans="1:52" x14ac:dyDescent="0.2">
      <c r="A307" s="30">
        <v>992</v>
      </c>
      <c r="B307" s="31" t="s">
        <v>621</v>
      </c>
      <c r="C307" s="41">
        <v>-4588</v>
      </c>
      <c r="D307" s="41">
        <v>-6264</v>
      </c>
      <c r="E307" s="73">
        <v>-4815</v>
      </c>
      <c r="F307" s="73">
        <v>-10754</v>
      </c>
      <c r="G307" s="73">
        <v>-14716</v>
      </c>
      <c r="H307" s="41">
        <v>-8392</v>
      </c>
      <c r="I307" s="165">
        <v>-7817.6411799999996</v>
      </c>
      <c r="J307" s="41">
        <v>-7462.3133699999998</v>
      </c>
      <c r="K307" s="41">
        <v>-6037.0217499999999</v>
      </c>
      <c r="L307" s="41">
        <f>$L$5*'7.1. Nettoinvestointiennuste '!Y307</f>
        <v>-5898.4985650122471</v>
      </c>
      <c r="M307" s="41">
        <f>$M$5*'7.1. Nettoinvestointiennuste '!Y307</f>
        <v>-6151.2969396898561</v>
      </c>
      <c r="N307" s="41">
        <f>$N$5*'7.1. Nettoinvestointiennuste '!Y307</f>
        <v>-6368.4017516716649</v>
      </c>
      <c r="O307" s="41">
        <f>O$5*'7.1. Nettoinvestointiennuste '!$Y307</f>
        <v>-6652.2805181514686</v>
      </c>
      <c r="P307" s="41">
        <f>P$5*'7.1. Nettoinvestointiennuste '!$Y307</f>
        <v>-6928.4545410971623</v>
      </c>
      <c r="T307" s="34">
        <v>992</v>
      </c>
      <c r="U307" s="88" t="s">
        <v>621</v>
      </c>
      <c r="V307" s="41">
        <f>C307/'1. Väestöennuste'!E307*1000</f>
        <v>-233.53354372391328</v>
      </c>
      <c r="W307" s="41">
        <f>D307/'1. Väestöennuste'!F307*1000</f>
        <v>-323.31991328584701</v>
      </c>
      <c r="X307" s="41">
        <f>E307/'1. Väestöennuste'!G307*1000</f>
        <v>-251.51483493522775</v>
      </c>
      <c r="Y307" s="41">
        <f>F307/'1. Väestöennuste'!H307*1000</f>
        <v>-570.47371492228524</v>
      </c>
      <c r="Z307" s="41">
        <f>G307/'1. Väestöennuste'!I307*1000</f>
        <v>-784.22595257127637</v>
      </c>
      <c r="AA307" s="41">
        <f>H307/'1. Väestöennuste'!J307*1000</f>
        <v>-451.74140065672606</v>
      </c>
      <c r="AB307" s="41">
        <f>I307/'1. Väestöennuste'!K307*1000</f>
        <v>-426.7737296648105</v>
      </c>
      <c r="AC307" s="41">
        <f>J307/'1. Väestöennuste'!L307*1000</f>
        <v>-411.82744867549673</v>
      </c>
      <c r="AD307" s="41">
        <f>K307/'1. Väestöennuste'!M307*1000</f>
        <v>-335.93131990429026</v>
      </c>
      <c r="AE307" s="41">
        <f>L307/'1. Väestöennuste'!N307*1000</f>
        <v>-331.8984112656002</v>
      </c>
      <c r="AF307" s="41">
        <f>M307/'1. Väestöennuste'!O307*1000</f>
        <v>-349.94293660768329</v>
      </c>
      <c r="AG307" s="41">
        <f>N307/'1. Väestöennuste'!P307*1000</f>
        <v>-366.21056651360925</v>
      </c>
      <c r="AH307" s="41">
        <f>O307/'1. Väestöennuste'!Q307*1000</f>
        <v>-386.60315674733937</v>
      </c>
      <c r="AI307" s="41">
        <f>P307/'1. Väestöennuste'!R307*1000</f>
        <v>-406.8143116139488</v>
      </c>
      <c r="AK307" s="34">
        <v>992</v>
      </c>
      <c r="AL307" s="88" t="s">
        <v>621</v>
      </c>
      <c r="AM307" s="41"/>
      <c r="AN307" s="41">
        <f t="shared" si="59"/>
        <v>-89.786369561933725</v>
      </c>
      <c r="AO307" s="41">
        <f t="shared" si="60"/>
        <v>71.805078350619254</v>
      </c>
      <c r="AP307" s="41">
        <f t="shared" si="61"/>
        <v>-318.95887998705746</v>
      </c>
      <c r="AQ307" s="41">
        <f t="shared" si="62"/>
        <v>-213.75223764899113</v>
      </c>
      <c r="AR307" s="41">
        <f t="shared" si="63"/>
        <v>332.48455191455031</v>
      </c>
      <c r="AS307" s="41">
        <f t="shared" si="64"/>
        <v>24.967670991915554</v>
      </c>
      <c r="AT307" s="41">
        <f t="shared" si="65"/>
        <v>14.946280989313777</v>
      </c>
      <c r="AU307" s="41">
        <f t="shared" si="66"/>
        <v>75.896128771206463</v>
      </c>
      <c r="AV307" s="41">
        <f t="shared" si="67"/>
        <v>4.0329086386900599</v>
      </c>
      <c r="AW307" s="41">
        <f t="shared" si="68"/>
        <v>-18.044525342083091</v>
      </c>
      <c r="AX307" s="41">
        <f t="shared" si="69"/>
        <v>-16.267629905925958</v>
      </c>
      <c r="AY307" s="41">
        <f t="shared" si="69"/>
        <v>-20.392590233730118</v>
      </c>
      <c r="AZ307" s="41">
        <f t="shared" si="69"/>
        <v>-20.211154866609434</v>
      </c>
    </row>
    <row r="308" spans="1:52" x14ac:dyDescent="0.2">
      <c r="A308" s="274"/>
      <c r="B308" s="274"/>
      <c r="C308" s="41"/>
      <c r="D308" s="41"/>
      <c r="E308" s="73"/>
      <c r="F308" s="73"/>
      <c r="G308" s="73"/>
      <c r="H308" s="41"/>
      <c r="I308" s="165"/>
      <c r="J308" s="41"/>
      <c r="K308" s="41"/>
      <c r="L308" s="41"/>
      <c r="M308" s="41"/>
      <c r="N308" s="41"/>
      <c r="O308" s="41"/>
      <c r="P308" s="41"/>
      <c r="T308" s="65"/>
      <c r="U308" s="65"/>
      <c r="V308" s="41"/>
      <c r="W308" s="41"/>
      <c r="X308" s="41"/>
      <c r="Y308" s="41"/>
      <c r="Z308" s="41"/>
      <c r="AA308" s="41"/>
      <c r="AB308" s="41"/>
      <c r="AC308" s="41"/>
      <c r="AD308" s="41"/>
      <c r="AE308" s="41"/>
      <c r="AF308" s="41"/>
      <c r="AG308" s="41"/>
      <c r="AH308" s="41"/>
      <c r="AI308" s="41"/>
    </row>
    <row r="325" spans="1:35" x14ac:dyDescent="0.2">
      <c r="I325" s="7" t="s">
        <v>718</v>
      </c>
    </row>
    <row r="327" spans="1:35" s="107" customFormat="1" x14ac:dyDescent="0.2">
      <c r="A327" s="106" t="s">
        <v>311</v>
      </c>
      <c r="B327" s="106"/>
      <c r="I327" s="120">
        <v>2021</v>
      </c>
      <c r="J327" s="107">
        <v>2022</v>
      </c>
      <c r="K327" s="107">
        <v>2023</v>
      </c>
      <c r="L327" s="107">
        <v>2024</v>
      </c>
      <c r="M327" s="107">
        <v>2024</v>
      </c>
      <c r="N327" s="107">
        <v>2024</v>
      </c>
      <c r="Q327" s="120"/>
      <c r="R327" s="117"/>
      <c r="S327" s="4"/>
      <c r="T327" s="4"/>
      <c r="U327" s="4"/>
      <c r="V327" s="4"/>
      <c r="W327" s="4"/>
      <c r="X327" s="4"/>
      <c r="Y327" s="4"/>
      <c r="Z327" s="4"/>
      <c r="AA327" s="4"/>
      <c r="AB327" s="4"/>
      <c r="AC327" s="4"/>
      <c r="AD327" s="4"/>
      <c r="AE327" s="4"/>
      <c r="AF327" s="4"/>
      <c r="AG327" s="4"/>
      <c r="AH327" s="4"/>
      <c r="AI327" s="4"/>
    </row>
    <row r="328" spans="1:35" x14ac:dyDescent="0.2">
      <c r="A328" s="37"/>
      <c r="B328" s="38" t="s">
        <v>312</v>
      </c>
      <c r="I328" s="165" t="e">
        <f>SUM(I330:I623)</f>
        <v>#REF!</v>
      </c>
      <c r="J328" s="4">
        <f t="shared" ref="J328:N328" si="70">J13/J$13</f>
        <v>1</v>
      </c>
      <c r="K328" s="4">
        <f t="shared" si="70"/>
        <v>1</v>
      </c>
      <c r="L328" s="4">
        <f t="shared" si="70"/>
        <v>1</v>
      </c>
      <c r="M328" s="4">
        <f t="shared" si="70"/>
        <v>1</v>
      </c>
      <c r="N328" s="4">
        <f t="shared" si="70"/>
        <v>1</v>
      </c>
    </row>
    <row r="329" spans="1:35" x14ac:dyDescent="0.2">
      <c r="A329" s="37"/>
      <c r="B329" s="38"/>
    </row>
    <row r="330" spans="1:35" x14ac:dyDescent="0.2">
      <c r="A330" s="30">
        <v>5</v>
      </c>
      <c r="B330" s="31" t="s">
        <v>328</v>
      </c>
      <c r="F330" s="73" t="e">
        <f>IF(A330&lt;0,A330,#REF!)</f>
        <v>#REF!</v>
      </c>
      <c r="G330" s="73">
        <f>IF(B330&lt;0,B330,A330)</f>
        <v>5</v>
      </c>
      <c r="H330" s="73" t="str">
        <f>IF(C330&lt;0,C330,B330)</f>
        <v xml:space="preserve">ALAJÄRVI           </v>
      </c>
      <c r="I330" s="165">
        <f t="shared" ref="I330:I359" si="71">AVERAGE(H15:I15)</f>
        <v>-4658.3793150000001</v>
      </c>
      <c r="J330" s="4">
        <f t="shared" ref="J330:L359" si="72">J15/J$13</f>
        <v>1.5773167095172211E-3</v>
      </c>
      <c r="K330" s="4">
        <f t="shared" si="72"/>
        <v>7.2158900600893632E-4</v>
      </c>
      <c r="L330" s="4">
        <f t="shared" si="72"/>
        <v>1.367477042370041E-3</v>
      </c>
      <c r="M330" s="4">
        <f t="shared" ref="M330:N330" si="73">M15/M$13</f>
        <v>1.3674798554389202E-3</v>
      </c>
      <c r="N330" s="4">
        <f t="shared" si="73"/>
        <v>1.36747985543892E-3</v>
      </c>
    </row>
    <row r="331" spans="1:35" x14ac:dyDescent="0.2">
      <c r="A331" s="30">
        <v>9</v>
      </c>
      <c r="B331" s="31" t="s">
        <v>329</v>
      </c>
      <c r="I331" s="165">
        <f t="shared" si="71"/>
        <v>-672.17965000000004</v>
      </c>
      <c r="J331" s="4">
        <f t="shared" si="72"/>
        <v>4.4401407788902233E-4</v>
      </c>
      <c r="K331" s="4">
        <f t="shared" si="72"/>
        <v>2.5116171167946451E-4</v>
      </c>
      <c r="L331" s="4">
        <f t="shared" si="72"/>
        <v>3.1939067560370321E-4</v>
      </c>
      <c r="M331" s="4">
        <f t="shared" ref="M331:N331" si="74">M16/M$13</f>
        <v>3.1939133262970219E-4</v>
      </c>
      <c r="N331" s="4">
        <f t="shared" si="74"/>
        <v>3.1939133262970214E-4</v>
      </c>
    </row>
    <row r="332" spans="1:35" x14ac:dyDescent="0.2">
      <c r="A332" s="30">
        <v>10</v>
      </c>
      <c r="B332" s="31" t="s">
        <v>330</v>
      </c>
      <c r="I332" s="165">
        <f t="shared" si="71"/>
        <v>-5558.4793100000006</v>
      </c>
      <c r="J332" s="4">
        <f t="shared" si="72"/>
        <v>4.4196439073588209E-3</v>
      </c>
      <c r="K332" s="4">
        <f t="shared" si="72"/>
        <v>2.7536534243910167E-3</v>
      </c>
      <c r="L332" s="4">
        <f t="shared" si="72"/>
        <v>1.5611971177851172E-3</v>
      </c>
      <c r="M332" s="4">
        <f t="shared" ref="M332:N332" si="75">M17/M$13</f>
        <v>1.5612003293600765E-3</v>
      </c>
      <c r="N332" s="4">
        <f t="shared" si="75"/>
        <v>1.5612003293600761E-3</v>
      </c>
    </row>
    <row r="333" spans="1:35" x14ac:dyDescent="0.2">
      <c r="A333" s="30">
        <v>16</v>
      </c>
      <c r="B333" s="31" t="s">
        <v>331</v>
      </c>
      <c r="I333" s="165">
        <f t="shared" si="71"/>
        <v>-2569.3614299999999</v>
      </c>
      <c r="J333" s="4">
        <f t="shared" si="72"/>
        <v>7.1461877882496409E-3</v>
      </c>
      <c r="K333" s="4">
        <f t="shared" si="72"/>
        <v>1.6579186404999801E-3</v>
      </c>
      <c r="L333" s="4">
        <f t="shared" si="72"/>
        <v>1.770379798061655E-3</v>
      </c>
      <c r="M333" s="4">
        <f t="shared" ref="M333:N333" si="76">M18/M$13</f>
        <v>1.7703834399511787E-3</v>
      </c>
      <c r="N333" s="4">
        <f t="shared" si="76"/>
        <v>1.7703834399511785E-3</v>
      </c>
    </row>
    <row r="334" spans="1:35" x14ac:dyDescent="0.2">
      <c r="A334" s="30">
        <v>18</v>
      </c>
      <c r="B334" s="31" t="s">
        <v>332</v>
      </c>
      <c r="I334" s="165">
        <f t="shared" si="71"/>
        <v>-2133.1160049999999</v>
      </c>
      <c r="J334" s="4">
        <f t="shared" si="72"/>
        <v>3.5001691583864172E-4</v>
      </c>
      <c r="K334" s="4">
        <f t="shared" si="72"/>
        <v>2.9827269283588695E-4</v>
      </c>
      <c r="L334" s="4">
        <f t="shared" si="72"/>
        <v>6.0507268326947692E-4</v>
      </c>
      <c r="M334" s="4">
        <f t="shared" ref="M334:N334" si="77">M19/M$13</f>
        <v>6.0507392797858885E-4</v>
      </c>
      <c r="N334" s="4">
        <f t="shared" si="77"/>
        <v>6.0507392797858864E-4</v>
      </c>
    </row>
    <row r="335" spans="1:35" x14ac:dyDescent="0.2">
      <c r="A335" s="30">
        <v>19</v>
      </c>
      <c r="B335" s="31" t="s">
        <v>333</v>
      </c>
      <c r="I335" s="165">
        <f t="shared" si="71"/>
        <v>-714.82418499999994</v>
      </c>
      <c r="J335" s="4">
        <f t="shared" si="72"/>
        <v>5.4722611960753812E-4</v>
      </c>
      <c r="K335" s="4">
        <f t="shared" si="72"/>
        <v>3.1296842561999688E-4</v>
      </c>
      <c r="L335" s="4">
        <f t="shared" si="72"/>
        <v>2.6732288579281335E-4</v>
      </c>
      <c r="M335" s="4">
        <f t="shared" ref="M335:N335" si="78">M20/M$13</f>
        <v>2.6732343570894904E-4</v>
      </c>
      <c r="N335" s="4">
        <f t="shared" si="78"/>
        <v>2.6732343570894898E-4</v>
      </c>
    </row>
    <row r="336" spans="1:35" x14ac:dyDescent="0.2">
      <c r="A336" s="30">
        <v>20</v>
      </c>
      <c r="B336" s="31" t="s">
        <v>334</v>
      </c>
      <c r="I336" s="165">
        <f t="shared" si="71"/>
        <v>-14142.877775000001</v>
      </c>
      <c r="J336" s="4">
        <f t="shared" si="72"/>
        <v>1.05297901333212E-2</v>
      </c>
      <c r="K336" s="4">
        <f t="shared" si="72"/>
        <v>3.6776565385955059E-3</v>
      </c>
      <c r="L336" s="4">
        <f t="shared" si="72"/>
        <v>4.1265030482346646E-3</v>
      </c>
      <c r="M336" s="4">
        <f t="shared" ref="M336:N336" si="79">M21/M$13</f>
        <v>4.1265115369602126E-3</v>
      </c>
      <c r="N336" s="4">
        <f t="shared" si="79"/>
        <v>4.1265115369602118E-3</v>
      </c>
    </row>
    <row r="337" spans="1:14" x14ac:dyDescent="0.2">
      <c r="A337" s="30">
        <v>46</v>
      </c>
      <c r="B337" s="31" t="s">
        <v>335</v>
      </c>
      <c r="I337" s="165">
        <f t="shared" si="71"/>
        <v>-218.474165</v>
      </c>
      <c r="J337" s="4">
        <f t="shared" si="72"/>
        <v>6.15781574374658E-4</v>
      </c>
      <c r="K337" s="4">
        <f t="shared" si="72"/>
        <v>1.6306101862668021E-4</v>
      </c>
      <c r="L337" s="4">
        <f t="shared" si="72"/>
        <v>1.3892452951493945E-4</v>
      </c>
      <c r="M337" s="4">
        <f t="shared" ref="M337:N337" si="80">M22/M$13</f>
        <v>1.3892481529982539E-4</v>
      </c>
      <c r="N337" s="4">
        <f t="shared" si="80"/>
        <v>1.3892481529982536E-4</v>
      </c>
    </row>
    <row r="338" spans="1:14" x14ac:dyDescent="0.2">
      <c r="A338" s="30">
        <v>47</v>
      </c>
      <c r="B338" s="31" t="s">
        <v>336</v>
      </c>
      <c r="I338" s="165">
        <f t="shared" si="71"/>
        <v>3205.7047950000001</v>
      </c>
      <c r="J338" s="4">
        <f t="shared" si="72"/>
        <v>7.0291789405394032E-4</v>
      </c>
      <c r="K338" s="4">
        <f t="shared" si="72"/>
        <v>2.0677556957996785E-4</v>
      </c>
      <c r="L338" s="4">
        <f t="shared" si="72"/>
        <v>7.3844077031696119E-4</v>
      </c>
      <c r="M338" s="4">
        <f t="shared" ref="M338:N338" si="81">M23/M$13</f>
        <v>7.3844228938067173E-4</v>
      </c>
      <c r="N338" s="4">
        <f t="shared" si="81"/>
        <v>7.3844228938067173E-4</v>
      </c>
    </row>
    <row r="339" spans="1:14" x14ac:dyDescent="0.2">
      <c r="A339" s="30">
        <v>49</v>
      </c>
      <c r="B339" s="31" t="s">
        <v>337</v>
      </c>
      <c r="I339" s="165">
        <f t="shared" si="71"/>
        <v>-245837.39370499999</v>
      </c>
      <c r="J339" s="4">
        <f t="shared" si="72"/>
        <v>2.1576509171668166E-2</v>
      </c>
      <c r="K339" s="4">
        <f t="shared" si="72"/>
        <v>5.7383407712025186E-2</v>
      </c>
      <c r="L339" s="4">
        <f t="shared" si="72"/>
        <v>5.6180209901499321E-2</v>
      </c>
      <c r="M339" s="4">
        <f t="shared" ref="M339:N339" si="82">M24/M$13</f>
        <v>5.6180325471117835E-2</v>
      </c>
      <c r="N339" s="4">
        <f t="shared" si="82"/>
        <v>5.6180325471117822E-2</v>
      </c>
    </row>
    <row r="340" spans="1:14" x14ac:dyDescent="0.2">
      <c r="A340" s="30">
        <v>50</v>
      </c>
      <c r="B340" s="31" t="s">
        <v>338</v>
      </c>
      <c r="I340" s="165">
        <f t="shared" si="71"/>
        <v>-4661.75497</v>
      </c>
      <c r="J340" s="4">
        <f t="shared" si="72"/>
        <v>1.1891033066414138E-3</v>
      </c>
      <c r="K340" s="4">
        <f t="shared" si="72"/>
        <v>1.3621943968151512E-3</v>
      </c>
      <c r="L340" s="4">
        <f t="shared" si="72"/>
        <v>1.0506171311169764E-3</v>
      </c>
      <c r="M340" s="4">
        <f t="shared" ref="M340:N340" si="83">M25/M$13</f>
        <v>1.0506192923659511E-3</v>
      </c>
      <c r="N340" s="4">
        <f t="shared" si="83"/>
        <v>1.0506192923659509E-3</v>
      </c>
    </row>
    <row r="341" spans="1:14" x14ac:dyDescent="0.2">
      <c r="A341" s="30">
        <v>51</v>
      </c>
      <c r="B341" s="31" t="s">
        <v>339</v>
      </c>
      <c r="I341" s="165">
        <f t="shared" si="71"/>
        <v>-3541.5430649999998</v>
      </c>
      <c r="J341" s="4">
        <f t="shared" si="72"/>
        <v>8.3337154186508737E-4</v>
      </c>
      <c r="K341" s="4">
        <f t="shared" si="72"/>
        <v>2.8658742468595589E-3</v>
      </c>
      <c r="L341" s="4">
        <f t="shared" si="72"/>
        <v>1.783591898922559E-3</v>
      </c>
      <c r="M341" s="4">
        <f t="shared" ref="M341:N341" si="84">M26/M$13</f>
        <v>1.7835955679910032E-3</v>
      </c>
      <c r="N341" s="4">
        <f t="shared" si="84"/>
        <v>1.7835955679910028E-3</v>
      </c>
    </row>
    <row r="342" spans="1:14" x14ac:dyDescent="0.2">
      <c r="A342" s="30">
        <v>52</v>
      </c>
      <c r="B342" s="31" t="s">
        <v>340</v>
      </c>
      <c r="I342" s="165">
        <f t="shared" si="71"/>
        <v>-1738.7186850000001</v>
      </c>
      <c r="J342" s="4">
        <f t="shared" si="72"/>
        <v>5.2038099663240917E-4</v>
      </c>
      <c r="K342" s="4">
        <f t="shared" si="72"/>
        <v>3.4731987990738682E-4</v>
      </c>
      <c r="L342" s="4">
        <f t="shared" si="72"/>
        <v>5.6994564923017394E-4</v>
      </c>
      <c r="M342" s="4">
        <f t="shared" ref="M342:N342" si="85">M27/M$13</f>
        <v>5.6994682167864591E-4</v>
      </c>
      <c r="N342" s="4">
        <f t="shared" si="85"/>
        <v>5.6994682167864569E-4</v>
      </c>
    </row>
    <row r="343" spans="1:14" x14ac:dyDescent="0.2">
      <c r="A343" s="30">
        <v>61</v>
      </c>
      <c r="B343" s="31" t="s">
        <v>341</v>
      </c>
      <c r="I343" s="165">
        <f t="shared" si="71"/>
        <v>-11317.697320000001</v>
      </c>
      <c r="J343" s="4">
        <f t="shared" si="72"/>
        <v>6.6238655208208201E-3</v>
      </c>
      <c r="K343" s="4">
        <f t="shared" si="72"/>
        <v>2.3683210615783627E-3</v>
      </c>
      <c r="L343" s="4">
        <f t="shared" si="72"/>
        <v>2.6887397720003021E-3</v>
      </c>
      <c r="M343" s="4">
        <f t="shared" ref="M343:N343" si="86">M28/M$13</f>
        <v>2.6887453030695211E-3</v>
      </c>
      <c r="N343" s="4">
        <f t="shared" si="86"/>
        <v>2.6887453030695206E-3</v>
      </c>
    </row>
    <row r="344" spans="1:14" x14ac:dyDescent="0.2">
      <c r="A344" s="30">
        <v>69</v>
      </c>
      <c r="B344" s="31" t="s">
        <v>342</v>
      </c>
      <c r="I344" s="165">
        <f t="shared" si="71"/>
        <v>-2400.8478500000001</v>
      </c>
      <c r="J344" s="4">
        <f t="shared" si="72"/>
        <v>2.9978269808440621E-3</v>
      </c>
      <c r="K344" s="4">
        <f t="shared" si="72"/>
        <v>2.9646234678502941E-3</v>
      </c>
      <c r="L344" s="4">
        <f t="shared" si="72"/>
        <v>1.1403349456975149E-3</v>
      </c>
      <c r="M344" s="4">
        <f t="shared" ref="M344:N344" si="87">M29/M$13</f>
        <v>1.140337291507096E-3</v>
      </c>
      <c r="N344" s="4">
        <f t="shared" si="87"/>
        <v>1.1403372915070958E-3</v>
      </c>
    </row>
    <row r="345" spans="1:14" x14ac:dyDescent="0.2">
      <c r="A345" s="30">
        <v>71</v>
      </c>
      <c r="B345" s="31" t="s">
        <v>343</v>
      </c>
      <c r="I345" s="165">
        <f t="shared" si="71"/>
        <v>-6784.8921900000005</v>
      </c>
      <c r="J345" s="4">
        <f t="shared" si="72"/>
        <v>1.903332326196977E-3</v>
      </c>
      <c r="K345" s="4">
        <f t="shared" si="72"/>
        <v>2.2182518834060837E-4</v>
      </c>
      <c r="L345" s="4">
        <f t="shared" si="72"/>
        <v>7.9930914384555374E-4</v>
      </c>
      <c r="M345" s="4">
        <f t="shared" ref="M345:N345" si="88">M30/M$13</f>
        <v>7.9931078812301348E-4</v>
      </c>
      <c r="N345" s="4">
        <f t="shared" si="88"/>
        <v>7.9931078812301326E-4</v>
      </c>
    </row>
    <row r="346" spans="1:14" x14ac:dyDescent="0.2">
      <c r="A346" s="30">
        <v>72</v>
      </c>
      <c r="B346" s="31" t="s">
        <v>344</v>
      </c>
      <c r="I346" s="165">
        <f t="shared" si="71"/>
        <v>-319.62133</v>
      </c>
      <c r="J346" s="4">
        <f t="shared" si="72"/>
        <v>2.058951803573083E-5</v>
      </c>
      <c r="K346" s="4">
        <f t="shared" si="72"/>
        <v>4.0100040902961477E-5</v>
      </c>
      <c r="L346" s="4">
        <f t="shared" si="72"/>
        <v>6.0671058190530054E-5</v>
      </c>
      <c r="M346" s="4">
        <f t="shared" ref="M346:N346" si="89">M31/M$13</f>
        <v>6.0671182998377196E-5</v>
      </c>
      <c r="N346" s="4">
        <f t="shared" si="89"/>
        <v>6.067118299837719E-5</v>
      </c>
    </row>
    <row r="347" spans="1:14" x14ac:dyDescent="0.2">
      <c r="A347" s="30">
        <v>74</v>
      </c>
      <c r="B347" s="31" t="s">
        <v>345</v>
      </c>
      <c r="I347" s="165">
        <f t="shared" si="71"/>
        <v>-864.21204499999999</v>
      </c>
      <c r="J347" s="4">
        <f t="shared" si="72"/>
        <v>1.0972391814724306E-4</v>
      </c>
      <c r="K347" s="4">
        <f t="shared" si="72"/>
        <v>1.5466701179083482E-4</v>
      </c>
      <c r="L347" s="4">
        <f t="shared" si="72"/>
        <v>1.2764045209341066E-4</v>
      </c>
      <c r="M347" s="4">
        <f t="shared" ref="M347:N347" si="90">M32/M$13</f>
        <v>1.2764071466555806E-4</v>
      </c>
      <c r="N347" s="4">
        <f t="shared" si="90"/>
        <v>1.2764071466555803E-4</v>
      </c>
    </row>
    <row r="348" spans="1:14" x14ac:dyDescent="0.2">
      <c r="A348" s="30">
        <v>75</v>
      </c>
      <c r="B348" s="31" t="s">
        <v>346</v>
      </c>
      <c r="I348" s="165">
        <f t="shared" si="71"/>
        <v>-17152.044304999999</v>
      </c>
      <c r="J348" s="4">
        <f t="shared" si="72"/>
        <v>-3.8660368640541414E-3</v>
      </c>
      <c r="K348" s="4">
        <f t="shared" si="72"/>
        <v>5.783137727182165E-3</v>
      </c>
      <c r="L348" s="4">
        <f t="shared" si="72"/>
        <v>3.8339993329929772E-3</v>
      </c>
      <c r="M348" s="4">
        <f t="shared" ref="M348:N348" si="91">M33/M$13</f>
        <v>3.8340072200023188E-3</v>
      </c>
      <c r="N348" s="4">
        <f t="shared" si="91"/>
        <v>3.8340072200023175E-3</v>
      </c>
    </row>
    <row r="349" spans="1:14" x14ac:dyDescent="0.2">
      <c r="A349" s="30">
        <v>77</v>
      </c>
      <c r="B349" s="31" t="s">
        <v>347</v>
      </c>
      <c r="I349" s="165">
        <f t="shared" si="71"/>
        <v>677.54423999999995</v>
      </c>
      <c r="J349" s="4">
        <f t="shared" si="72"/>
        <v>3.0011506418214489E-4</v>
      </c>
      <c r="K349" s="4">
        <f t="shared" si="72"/>
        <v>2.683942246605157E-4</v>
      </c>
      <c r="L349" s="4">
        <f t="shared" si="72"/>
        <v>3.0440317413055814E-4</v>
      </c>
      <c r="M349" s="4">
        <f t="shared" ref="M349:N349" si="92">M34/M$13</f>
        <v>3.044038003254187E-4</v>
      </c>
      <c r="N349" s="4">
        <f t="shared" si="92"/>
        <v>3.0440380032541864E-4</v>
      </c>
    </row>
    <row r="350" spans="1:14" x14ac:dyDescent="0.2">
      <c r="A350" s="30">
        <v>78</v>
      </c>
      <c r="B350" s="31" t="s">
        <v>348</v>
      </c>
      <c r="I350" s="165">
        <f t="shared" si="71"/>
        <v>-2014.9668799999999</v>
      </c>
      <c r="J350" s="4">
        <f t="shared" si="72"/>
        <v>1.09645744482614E-3</v>
      </c>
      <c r="K350" s="4">
        <f t="shared" si="72"/>
        <v>1.3315639778746053E-3</v>
      </c>
      <c r="L350" s="4">
        <f t="shared" si="72"/>
        <v>7.3612137960677728E-4</v>
      </c>
      <c r="M350" s="4">
        <f t="shared" ref="M350:N350" si="93">M35/M$13</f>
        <v>7.3612289389921536E-4</v>
      </c>
      <c r="N350" s="4">
        <f t="shared" si="93"/>
        <v>7.3612289389921514E-4</v>
      </c>
    </row>
    <row r="351" spans="1:14" x14ac:dyDescent="0.2">
      <c r="A351" s="30">
        <v>79</v>
      </c>
      <c r="B351" s="31" t="s">
        <v>349</v>
      </c>
      <c r="I351" s="165">
        <f t="shared" si="71"/>
        <v>-3838.2312149999998</v>
      </c>
      <c r="J351" s="4">
        <f t="shared" si="72"/>
        <v>1.8607171590263895E-3</v>
      </c>
      <c r="K351" s="4">
        <f t="shared" si="72"/>
        <v>1.2452274983783306E-3</v>
      </c>
      <c r="L351" s="4">
        <f t="shared" si="72"/>
        <v>1.2530636753150699E-3</v>
      </c>
      <c r="M351" s="4">
        <f t="shared" ref="M351:N351" si="94">M36/M$13</f>
        <v>1.2530662530215466E-3</v>
      </c>
      <c r="N351" s="4">
        <f t="shared" si="94"/>
        <v>1.2530662530215464E-3</v>
      </c>
    </row>
    <row r="352" spans="1:14" x14ac:dyDescent="0.2">
      <c r="A352" s="30">
        <v>81</v>
      </c>
      <c r="B352" s="31" t="s">
        <v>350</v>
      </c>
      <c r="I352" s="165">
        <f t="shared" si="71"/>
        <v>-2507.7077099999997</v>
      </c>
      <c r="J352" s="4">
        <f t="shared" si="72"/>
        <v>2.1946025980616781E-4</v>
      </c>
      <c r="K352" s="4">
        <f t="shared" si="72"/>
        <v>2.460210358210915E-4</v>
      </c>
      <c r="L352" s="4">
        <f t="shared" si="72"/>
        <v>3.253332677766545E-4</v>
      </c>
      <c r="M352" s="4">
        <f t="shared" ref="M352:N352" si="95">M37/M$13</f>
        <v>3.2533393702729839E-4</v>
      </c>
      <c r="N352" s="4">
        <f t="shared" si="95"/>
        <v>3.2533393702729828E-4</v>
      </c>
    </row>
    <row r="353" spans="1:14" x14ac:dyDescent="0.2">
      <c r="A353" s="30">
        <v>82</v>
      </c>
      <c r="B353" s="31" t="s">
        <v>351</v>
      </c>
      <c r="I353" s="165">
        <f t="shared" si="71"/>
        <v>-2167.5739750000002</v>
      </c>
      <c r="J353" s="4">
        <f t="shared" si="72"/>
        <v>1.5095250202185519E-3</v>
      </c>
      <c r="K353" s="4">
        <f t="shared" si="72"/>
        <v>1.0681000923788395E-4</v>
      </c>
      <c r="L353" s="4">
        <f t="shared" si="72"/>
        <v>8.2172620629654143E-4</v>
      </c>
      <c r="M353" s="4">
        <f t="shared" ref="M353:N353" si="96">M38/M$13</f>
        <v>8.2172789668866274E-4</v>
      </c>
      <c r="N353" s="4">
        <f t="shared" si="96"/>
        <v>8.2172789668866252E-4</v>
      </c>
    </row>
    <row r="354" spans="1:14" x14ac:dyDescent="0.2">
      <c r="A354" s="30">
        <v>86</v>
      </c>
      <c r="B354" s="31" t="s">
        <v>352</v>
      </c>
      <c r="I354" s="165">
        <f t="shared" si="71"/>
        <v>-4585.2851549999996</v>
      </c>
      <c r="J354" s="4">
        <f t="shared" si="72"/>
        <v>1.1593915794162327E-3</v>
      </c>
      <c r="K354" s="4">
        <f t="shared" si="72"/>
        <v>1.2717328308797893E-3</v>
      </c>
      <c r="L354" s="4">
        <f t="shared" si="72"/>
        <v>1.1420866858598039E-3</v>
      </c>
      <c r="M354" s="4">
        <f t="shared" ref="M354:N354" si="97">M39/M$13</f>
        <v>1.1420890352729306E-3</v>
      </c>
      <c r="N354" s="4">
        <f t="shared" si="97"/>
        <v>1.1420890352729302E-3</v>
      </c>
    </row>
    <row r="355" spans="1:14" x14ac:dyDescent="0.2">
      <c r="A355" s="30">
        <v>90</v>
      </c>
      <c r="B355" s="31" t="s">
        <v>353</v>
      </c>
      <c r="I355" s="165">
        <f t="shared" si="71"/>
        <v>-791.45181500000001</v>
      </c>
      <c r="J355" s="4">
        <f t="shared" si="72"/>
        <v>2.3026633191818916E-4</v>
      </c>
      <c r="K355" s="4">
        <f t="shared" si="72"/>
        <v>1.9954242305083827E-4</v>
      </c>
      <c r="L355" s="4">
        <f t="shared" si="72"/>
        <v>1.746515542508532E-4</v>
      </c>
      <c r="M355" s="4">
        <f t="shared" ref="M355:N355" si="98">M40/M$13</f>
        <v>1.7465191353063398E-4</v>
      </c>
      <c r="N355" s="4">
        <f t="shared" si="98"/>
        <v>1.746519135306339E-4</v>
      </c>
    </row>
    <row r="356" spans="1:14" x14ac:dyDescent="0.2">
      <c r="A356" s="30">
        <v>91</v>
      </c>
      <c r="B356" s="31" t="s">
        <v>354</v>
      </c>
      <c r="I356" s="165">
        <f t="shared" si="71"/>
        <v>-735539.65850000002</v>
      </c>
      <c r="J356" s="4">
        <f t="shared" si="72"/>
        <v>8.0754073887467276E-2</v>
      </c>
      <c r="K356" s="4">
        <f t="shared" si="72"/>
        <v>0.206095961927349</v>
      </c>
      <c r="L356" s="4">
        <f t="shared" si="72"/>
        <v>0.19843340544860044</v>
      </c>
      <c r="M356" s="4">
        <f t="shared" ref="M356:N356" si="99">M41/M$13</f>
        <v>0.19843381365058135</v>
      </c>
      <c r="N356" s="4">
        <f t="shared" si="99"/>
        <v>0.1984338136505813</v>
      </c>
    </row>
    <row r="357" spans="1:14" x14ac:dyDescent="0.2">
      <c r="A357" s="30">
        <v>92</v>
      </c>
      <c r="B357" s="31" t="s">
        <v>355</v>
      </c>
      <c r="I357" s="165">
        <f t="shared" si="71"/>
        <v>-71724.77562</v>
      </c>
      <c r="J357" s="4">
        <f t="shared" si="72"/>
        <v>3.3143841057857067E-2</v>
      </c>
      <c r="K357" s="4">
        <f t="shared" si="72"/>
        <v>4.0501848394768808E-2</v>
      </c>
      <c r="L357" s="4">
        <f t="shared" si="72"/>
        <v>3.8509567377280438E-2</v>
      </c>
      <c r="M357" s="4">
        <f t="shared" ref="M357:N357" si="100">M42/M$13</f>
        <v>3.850964659620857E-2</v>
      </c>
      <c r="N357" s="4">
        <f t="shared" si="100"/>
        <v>3.850964659620857E-2</v>
      </c>
    </row>
    <row r="358" spans="1:14" x14ac:dyDescent="0.2">
      <c r="A358" s="30">
        <v>97</v>
      </c>
      <c r="B358" s="31" t="s">
        <v>356</v>
      </c>
      <c r="I358" s="165">
        <f t="shared" si="71"/>
        <v>-882.94106499999998</v>
      </c>
      <c r="J358" s="4">
        <f t="shared" si="72"/>
        <v>1.6234984170788289E-4</v>
      </c>
      <c r="K358" s="4">
        <f t="shared" si="72"/>
        <v>7.4409780848333596E-5</v>
      </c>
      <c r="L358" s="4">
        <f t="shared" si="72"/>
        <v>1.5391635846454601E-4</v>
      </c>
      <c r="M358" s="4">
        <f t="shared" ref="M358:N358" si="101">M43/M$13</f>
        <v>1.539166750894725E-4</v>
      </c>
      <c r="N358" s="4">
        <f t="shared" si="101"/>
        <v>1.5391667508947248E-4</v>
      </c>
    </row>
    <row r="359" spans="1:14" x14ac:dyDescent="0.2">
      <c r="A359" s="30">
        <v>98</v>
      </c>
      <c r="B359" s="31" t="s">
        <v>357</v>
      </c>
      <c r="I359" s="165">
        <f t="shared" si="71"/>
        <v>-14889.978139999999</v>
      </c>
      <c r="J359" s="4">
        <f t="shared" si="72"/>
        <v>6.4602451053319687E-3</v>
      </c>
      <c r="K359" s="4">
        <f t="shared" si="72"/>
        <v>5.4194590201213572E-4</v>
      </c>
      <c r="L359" s="4">
        <f t="shared" si="72"/>
        <v>3.8246074748251304E-3</v>
      </c>
      <c r="M359" s="4">
        <f t="shared" ref="M359:N359" si="102">M44/M$13</f>
        <v>3.8246153425142613E-3</v>
      </c>
      <c r="N359" s="4">
        <f t="shared" si="102"/>
        <v>3.8246153425142608E-3</v>
      </c>
    </row>
    <row r="360" spans="1:14" x14ac:dyDescent="0.2">
      <c r="A360" s="30">
        <v>99</v>
      </c>
      <c r="B360" s="31" t="s">
        <v>358</v>
      </c>
      <c r="I360" s="165" t="e">
        <f>AVERAGE(#REF!)</f>
        <v>#REF!</v>
      </c>
      <c r="J360" s="4" t="e">
        <f>#REF!/J$13</f>
        <v>#REF!</v>
      </c>
      <c r="K360" s="4" t="e">
        <f>#REF!/K$13</f>
        <v>#REF!</v>
      </c>
      <c r="L360" s="4" t="e">
        <f>#REF!/L$13</f>
        <v>#REF!</v>
      </c>
      <c r="M360" s="4" t="e">
        <f>#REF!/M$13</f>
        <v>#REF!</v>
      </c>
      <c r="N360" s="4" t="e">
        <f>#REF!/N$13</f>
        <v>#REF!</v>
      </c>
    </row>
    <row r="361" spans="1:14" x14ac:dyDescent="0.2">
      <c r="A361" s="30">
        <v>102</v>
      </c>
      <c r="B361" s="31" t="s">
        <v>359</v>
      </c>
      <c r="I361" s="165">
        <f t="shared" ref="I361:I394" si="103">AVERAGE(H45:I45)</f>
        <v>-4207.0505499999999</v>
      </c>
      <c r="J361" s="4">
        <f t="shared" ref="J361:L380" si="104">J45/J$13</f>
        <v>4.8667810479872075E-4</v>
      </c>
      <c r="K361" s="4">
        <f t="shared" si="104"/>
        <v>3.8439836280731239E-3</v>
      </c>
      <c r="L361" s="4">
        <f t="shared" si="104"/>
        <v>1.6140883086906415E-3</v>
      </c>
      <c r="M361" s="4">
        <f t="shared" ref="M361:N361" si="105">M45/M$13</f>
        <v>1.6140916290693016E-3</v>
      </c>
      <c r="N361" s="4">
        <f t="shared" si="105"/>
        <v>1.6140916290693012E-3</v>
      </c>
    </row>
    <row r="362" spans="1:14" x14ac:dyDescent="0.2">
      <c r="A362" s="30">
        <v>103</v>
      </c>
      <c r="B362" s="31" t="s">
        <v>360</v>
      </c>
      <c r="I362" s="165">
        <f t="shared" si="103"/>
        <v>-125.58631</v>
      </c>
      <c r="J362" s="4">
        <f t="shared" si="104"/>
        <v>1.2186146849618829E-4</v>
      </c>
      <c r="K362" s="4">
        <f t="shared" si="104"/>
        <v>1.014042523732646E-4</v>
      </c>
      <c r="L362" s="4">
        <f t="shared" si="104"/>
        <v>1.2111542049681666E-4</v>
      </c>
      <c r="M362" s="4">
        <f t="shared" ref="M362:N362" si="106">M46/M$13</f>
        <v>1.2111566964616957E-4</v>
      </c>
      <c r="N362" s="4">
        <f t="shared" si="106"/>
        <v>1.2111566964616954E-4</v>
      </c>
    </row>
    <row r="363" spans="1:14" x14ac:dyDescent="0.2">
      <c r="A363" s="30">
        <v>105</v>
      </c>
      <c r="B363" s="31" t="s">
        <v>361</v>
      </c>
      <c r="I363" s="165">
        <f t="shared" si="103"/>
        <v>-471.42640999999998</v>
      </c>
      <c r="J363" s="4">
        <f t="shared" si="104"/>
        <v>6.0710648214422271E-4</v>
      </c>
      <c r="K363" s="4">
        <f t="shared" si="104"/>
        <v>2.1437067329297153E-4</v>
      </c>
      <c r="L363" s="4">
        <f t="shared" si="104"/>
        <v>1.8101391468621213E-4</v>
      </c>
      <c r="M363" s="4">
        <f t="shared" ref="M363:N363" si="107">M47/M$13</f>
        <v>1.8101428705415276E-4</v>
      </c>
      <c r="N363" s="4">
        <f t="shared" si="107"/>
        <v>1.810142870541527E-4</v>
      </c>
    </row>
    <row r="364" spans="1:14" x14ac:dyDescent="0.2">
      <c r="A364" s="30">
        <v>106</v>
      </c>
      <c r="B364" s="31" t="s">
        <v>362</v>
      </c>
      <c r="I364" s="165">
        <f t="shared" si="103"/>
        <v>-24547.140785</v>
      </c>
      <c r="J364" s="4">
        <f t="shared" si="104"/>
        <v>5.3362662736696122E-3</v>
      </c>
      <c r="K364" s="4">
        <f t="shared" si="104"/>
        <v>5.1470843048233164E-3</v>
      </c>
      <c r="L364" s="4">
        <f t="shared" si="104"/>
        <v>8.3244246760146631E-3</v>
      </c>
      <c r="M364" s="4">
        <f t="shared" ref="M364:N364" si="108">M48/M$13</f>
        <v>8.3244418003825815E-3</v>
      </c>
      <c r="N364" s="4">
        <f t="shared" si="108"/>
        <v>8.3244418003825798E-3</v>
      </c>
    </row>
    <row r="365" spans="1:14" x14ac:dyDescent="0.2">
      <c r="A365" s="30">
        <v>108</v>
      </c>
      <c r="B365" s="31" t="s">
        <v>363</v>
      </c>
      <c r="I365" s="165">
        <f t="shared" si="103"/>
        <v>-2976.9026199999998</v>
      </c>
      <c r="J365" s="4">
        <f t="shared" si="104"/>
        <v>1.1678116612085052E-3</v>
      </c>
      <c r="K365" s="4">
        <f t="shared" si="104"/>
        <v>1.1701450256413688E-3</v>
      </c>
      <c r="L365" s="4">
        <f t="shared" si="104"/>
        <v>1.0043702608457889E-3</v>
      </c>
      <c r="M365" s="4">
        <f t="shared" ref="M365:N365" si="109">M49/M$13</f>
        <v>1.0043723269592495E-3</v>
      </c>
      <c r="N365" s="4">
        <f t="shared" si="109"/>
        <v>1.0043723269592491E-3</v>
      </c>
    </row>
    <row r="366" spans="1:14" x14ac:dyDescent="0.2">
      <c r="A366" s="30">
        <v>109</v>
      </c>
      <c r="B366" s="31" t="s">
        <v>364</v>
      </c>
      <c r="I366" s="165">
        <f t="shared" si="103"/>
        <v>-25632.701650000003</v>
      </c>
      <c r="J366" s="4">
        <f t="shared" si="104"/>
        <v>6.5412492928041245E-3</v>
      </c>
      <c r="K366" s="4">
        <f t="shared" si="104"/>
        <v>8.565283248227723E-3</v>
      </c>
      <c r="L366" s="4">
        <f t="shared" si="104"/>
        <v>7.4218083538245853E-3</v>
      </c>
      <c r="M366" s="4">
        <f t="shared" ref="M366:N366" si="110">M50/M$13</f>
        <v>7.4218236213994416E-3</v>
      </c>
      <c r="N366" s="4">
        <f t="shared" si="110"/>
        <v>7.4218236213994399E-3</v>
      </c>
    </row>
    <row r="367" spans="1:14" x14ac:dyDescent="0.2">
      <c r="A367" s="30">
        <v>111</v>
      </c>
      <c r="B367" s="31" t="s">
        <v>365</v>
      </c>
      <c r="I367" s="165">
        <f t="shared" si="103"/>
        <v>-24868.592049999999</v>
      </c>
      <c r="J367" s="4">
        <f t="shared" si="104"/>
        <v>7.1057119248573121E-3</v>
      </c>
      <c r="K367" s="4">
        <f t="shared" si="104"/>
        <v>1.8445398875062931E-3</v>
      </c>
      <c r="L367" s="4">
        <f t="shared" si="104"/>
        <v>3.7604168397117766E-3</v>
      </c>
      <c r="M367" s="4">
        <f t="shared" ref="M367:N367" si="111">M51/M$13</f>
        <v>3.7604245753528566E-3</v>
      </c>
      <c r="N367" s="4">
        <f t="shared" si="111"/>
        <v>3.7604245753528561E-3</v>
      </c>
    </row>
    <row r="368" spans="1:14" x14ac:dyDescent="0.2">
      <c r="A368" s="30">
        <v>139</v>
      </c>
      <c r="B368" s="31" t="s">
        <v>366</v>
      </c>
      <c r="I368" s="165">
        <f t="shared" si="103"/>
        <v>-3166.7177649999999</v>
      </c>
      <c r="J368" s="4">
        <f t="shared" si="104"/>
        <v>2.3203989345817904E-3</v>
      </c>
      <c r="K368" s="4">
        <f t="shared" si="104"/>
        <v>5.5473121770355704E-4</v>
      </c>
      <c r="L368" s="4">
        <f t="shared" si="104"/>
        <v>1.4029312522082491E-3</v>
      </c>
      <c r="M368" s="4">
        <f t="shared" ref="M368:N368" si="112">M52/M$13</f>
        <v>1.4029341382108095E-3</v>
      </c>
      <c r="N368" s="4">
        <f t="shared" si="112"/>
        <v>1.4029341382108091E-3</v>
      </c>
    </row>
    <row r="369" spans="1:14" x14ac:dyDescent="0.2">
      <c r="A369" s="30">
        <v>140</v>
      </c>
      <c r="B369" s="31" t="s">
        <v>367</v>
      </c>
      <c r="I369" s="165">
        <f t="shared" si="103"/>
        <v>-14802.760849999999</v>
      </c>
      <c r="J369" s="4">
        <f t="shared" si="104"/>
        <v>8.17469822830417E-3</v>
      </c>
      <c r="K369" s="4">
        <f t="shared" si="104"/>
        <v>1.2598578758013452E-2</v>
      </c>
      <c r="L369" s="4">
        <f t="shared" si="104"/>
        <v>5.2139145378768724E-3</v>
      </c>
      <c r="M369" s="4">
        <f t="shared" ref="M369:N369" si="113">M53/M$13</f>
        <v>5.2139252635419273E-3</v>
      </c>
      <c r="N369" s="4">
        <f t="shared" si="113"/>
        <v>5.2139252635419256E-3</v>
      </c>
    </row>
    <row r="370" spans="1:14" x14ac:dyDescent="0.2">
      <c r="A370" s="30">
        <v>142</v>
      </c>
      <c r="B370" s="31" t="s">
        <v>368</v>
      </c>
      <c r="I370" s="165">
        <f t="shared" si="103"/>
        <v>-844.79427499999997</v>
      </c>
      <c r="J370" s="4">
        <f t="shared" si="104"/>
        <v>5.5382567984874076E-4</v>
      </c>
      <c r="K370" s="4">
        <f t="shared" si="104"/>
        <v>4.2217083885950603E-4</v>
      </c>
      <c r="L370" s="4">
        <f t="shared" si="104"/>
        <v>8.319463816057847E-4</v>
      </c>
      <c r="M370" s="4">
        <f t="shared" ref="M370:N370" si="114">M54/M$13</f>
        <v>8.3194809302206661E-4</v>
      </c>
      <c r="N370" s="4">
        <f t="shared" si="114"/>
        <v>8.3194809302206639E-4</v>
      </c>
    </row>
    <row r="371" spans="1:14" x14ac:dyDescent="0.2">
      <c r="A371" s="30">
        <v>143</v>
      </c>
      <c r="B371" s="31" t="s">
        <v>369</v>
      </c>
      <c r="I371" s="165">
        <f t="shared" si="103"/>
        <v>-2512.2280499999997</v>
      </c>
      <c r="J371" s="4">
        <f t="shared" si="104"/>
        <v>1.7594967438432595E-3</v>
      </c>
      <c r="K371" s="4">
        <f t="shared" si="104"/>
        <v>5.7688044883971983E-4</v>
      </c>
      <c r="L371" s="4">
        <f t="shared" si="104"/>
        <v>6.4441109085469172E-4</v>
      </c>
      <c r="M371" s="4">
        <f t="shared" ref="M371:N371" si="115">M55/M$13</f>
        <v>6.4441241648775826E-4</v>
      </c>
      <c r="N371" s="4">
        <f t="shared" si="115"/>
        <v>6.4441241648775815E-4</v>
      </c>
    </row>
    <row r="372" spans="1:14" x14ac:dyDescent="0.2">
      <c r="A372" s="30">
        <v>145</v>
      </c>
      <c r="B372" s="31" t="s">
        <v>370</v>
      </c>
      <c r="I372" s="165">
        <f t="shared" si="103"/>
        <v>-9237.6511050000008</v>
      </c>
      <c r="J372" s="4">
        <f t="shared" si="104"/>
        <v>3.741865801923509E-3</v>
      </c>
      <c r="K372" s="4">
        <f t="shared" si="104"/>
        <v>1.3685525398791734E-3</v>
      </c>
      <c r="L372" s="4">
        <f t="shared" si="104"/>
        <v>2.4153802175820097E-3</v>
      </c>
      <c r="M372" s="4">
        <f t="shared" ref="M372:N372" si="116">M56/M$13</f>
        <v>2.4153851863169219E-3</v>
      </c>
      <c r="N372" s="4">
        <f t="shared" si="116"/>
        <v>2.4153851863169215E-3</v>
      </c>
    </row>
    <row r="373" spans="1:14" x14ac:dyDescent="0.2">
      <c r="A373" s="30">
        <v>146</v>
      </c>
      <c r="B373" s="31" t="s">
        <v>371</v>
      </c>
      <c r="I373" s="165">
        <f t="shared" si="103"/>
        <v>-464.26862</v>
      </c>
      <c r="J373" s="4">
        <f t="shared" si="104"/>
        <v>3.2789292868715835E-4</v>
      </c>
      <c r="K373" s="4">
        <f t="shared" si="104"/>
        <v>7.5078590315424528E-5</v>
      </c>
      <c r="L373" s="4">
        <f t="shared" si="104"/>
        <v>1.9965323066654212E-4</v>
      </c>
      <c r="M373" s="4">
        <f t="shared" ref="M373:N373" si="117">M57/M$13</f>
        <v>1.9965364137785387E-4</v>
      </c>
      <c r="N373" s="4">
        <f t="shared" si="117"/>
        <v>1.9965364137785384E-4</v>
      </c>
    </row>
    <row r="374" spans="1:14" x14ac:dyDescent="0.2">
      <c r="A374" s="30">
        <v>148</v>
      </c>
      <c r="B374" s="31" t="s">
        <v>372</v>
      </c>
      <c r="I374" s="165">
        <f t="shared" si="103"/>
        <v>-1580.0688599999999</v>
      </c>
      <c r="J374" s="4">
        <f t="shared" si="104"/>
        <v>1.1508500675068861E-3</v>
      </c>
      <c r="K374" s="4">
        <f t="shared" si="104"/>
        <v>5.1015651788544265E-4</v>
      </c>
      <c r="L374" s="4">
        <f t="shared" si="104"/>
        <v>8.1211576811875455E-4</v>
      </c>
      <c r="M374" s="4">
        <f t="shared" ref="M374:N374" si="118">M58/M$13</f>
        <v>8.1211743874101954E-4</v>
      </c>
      <c r="N374" s="4">
        <f t="shared" si="118"/>
        <v>8.1211743874101932E-4</v>
      </c>
    </row>
    <row r="375" spans="1:14" x14ac:dyDescent="0.2">
      <c r="A375" s="30">
        <v>149</v>
      </c>
      <c r="B375" s="31" t="s">
        <v>373</v>
      </c>
      <c r="I375" s="165">
        <f t="shared" si="103"/>
        <v>-3533.0592700000002</v>
      </c>
      <c r="J375" s="4">
        <f t="shared" si="104"/>
        <v>5.1165716837054381E-3</v>
      </c>
      <c r="K375" s="4">
        <f t="shared" si="104"/>
        <v>3.1202783498720109E-3</v>
      </c>
      <c r="L375" s="4">
        <f t="shared" si="104"/>
        <v>1.7059759847650087E-3</v>
      </c>
      <c r="M375" s="4">
        <f t="shared" ref="M375:N375" si="119">M59/M$13</f>
        <v>1.7059794941679479E-3</v>
      </c>
      <c r="N375" s="4">
        <f t="shared" si="119"/>
        <v>1.7059794941679475E-3</v>
      </c>
    </row>
    <row r="376" spans="1:14" x14ac:dyDescent="0.2">
      <c r="A376" s="30">
        <v>151</v>
      </c>
      <c r="B376" s="31" t="s">
        <v>374</v>
      </c>
      <c r="I376" s="165">
        <f t="shared" si="103"/>
        <v>-480.20265999999998</v>
      </c>
      <c r="J376" s="4">
        <f t="shared" si="104"/>
        <v>1.8671340298740823E-4</v>
      </c>
      <c r="K376" s="4">
        <f t="shared" si="104"/>
        <v>6.213721320744087E-5</v>
      </c>
      <c r="L376" s="4">
        <f t="shared" si="104"/>
        <v>1.2492826304142139E-4</v>
      </c>
      <c r="M376" s="4">
        <f t="shared" ref="M376:N376" si="120">M60/M$13</f>
        <v>1.2492852003426151E-4</v>
      </c>
      <c r="N376" s="4">
        <f t="shared" si="120"/>
        <v>1.2492852003426148E-4</v>
      </c>
    </row>
    <row r="377" spans="1:14" x14ac:dyDescent="0.2">
      <c r="A377" s="30">
        <v>152</v>
      </c>
      <c r="B377" s="31" t="s">
        <v>375</v>
      </c>
      <c r="I377" s="165">
        <f t="shared" si="103"/>
        <v>-1747.4226450000001</v>
      </c>
      <c r="J377" s="4">
        <f t="shared" si="104"/>
        <v>1.365868286566389E-3</v>
      </c>
      <c r="K377" s="4">
        <f t="shared" si="104"/>
        <v>7.0512348275413971E-4</v>
      </c>
      <c r="L377" s="4">
        <f t="shared" si="104"/>
        <v>6.7389545116689007E-4</v>
      </c>
      <c r="M377" s="4">
        <f t="shared" ref="M377:N377" si="121">M61/M$13</f>
        <v>6.7389683745292125E-4</v>
      </c>
      <c r="N377" s="4">
        <f t="shared" si="121"/>
        <v>6.7389683745292103E-4</v>
      </c>
    </row>
    <row r="378" spans="1:14" x14ac:dyDescent="0.2">
      <c r="A378" s="30">
        <v>153</v>
      </c>
      <c r="B378" s="31" t="s">
        <v>376</v>
      </c>
      <c r="I378" s="165">
        <f t="shared" si="103"/>
        <v>-24930.655164999996</v>
      </c>
      <c r="J378" s="4">
        <f t="shared" si="104"/>
        <v>8.7964507984391871E-3</v>
      </c>
      <c r="K378" s="4">
        <f t="shared" si="104"/>
        <v>4.7562918664899711E-3</v>
      </c>
      <c r="L378" s="4">
        <f t="shared" si="104"/>
        <v>5.147100755717963E-3</v>
      </c>
      <c r="M378" s="4">
        <f t="shared" ref="M378:N378" si="122">M62/M$13</f>
        <v>5.1471113439388299E-3</v>
      </c>
      <c r="N378" s="4">
        <f t="shared" si="122"/>
        <v>5.147111343938829E-3</v>
      </c>
    </row>
    <row r="379" spans="1:14" x14ac:dyDescent="0.2">
      <c r="A379" s="30">
        <v>165</v>
      </c>
      <c r="B379" s="31" t="s">
        <v>377</v>
      </c>
      <c r="I379" s="165">
        <f t="shared" si="103"/>
        <v>-8072.3108900000007</v>
      </c>
      <c r="J379" s="4">
        <f t="shared" si="104"/>
        <v>2.1385158514336607E-3</v>
      </c>
      <c r="K379" s="4">
        <f t="shared" si="104"/>
        <v>2.6427125132153046E-3</v>
      </c>
      <c r="L379" s="4">
        <f t="shared" si="104"/>
        <v>2.5146365859576502E-3</v>
      </c>
      <c r="M379" s="4">
        <f t="shared" ref="M379:N379" si="123">M63/M$13</f>
        <v>2.5146417588751495E-3</v>
      </c>
      <c r="N379" s="4">
        <f t="shared" si="123"/>
        <v>2.5146417588751491E-3</v>
      </c>
    </row>
    <row r="380" spans="1:14" x14ac:dyDescent="0.2">
      <c r="A380" s="30">
        <v>167</v>
      </c>
      <c r="B380" s="31" t="s">
        <v>378</v>
      </c>
      <c r="I380" s="165">
        <f t="shared" si="103"/>
        <v>-35670.824980000005</v>
      </c>
      <c r="J380" s="4">
        <f t="shared" si="104"/>
        <v>1.7730594747641291E-2</v>
      </c>
      <c r="K380" s="4">
        <f t="shared" si="104"/>
        <v>1.2842227704766281E-2</v>
      </c>
      <c r="L380" s="4">
        <f t="shared" si="104"/>
        <v>1.0414550630913509E-2</v>
      </c>
      <c r="M380" s="4">
        <f t="shared" ref="M380:N380" si="124">M64/M$13</f>
        <v>1.0414572054928222E-2</v>
      </c>
      <c r="N380" s="4">
        <f t="shared" si="124"/>
        <v>1.0414572054928219E-2</v>
      </c>
    </row>
    <row r="381" spans="1:14" x14ac:dyDescent="0.2">
      <c r="A381" s="30">
        <v>169</v>
      </c>
      <c r="B381" s="31" t="s">
        <v>379</v>
      </c>
      <c r="I381" s="165">
        <f t="shared" si="103"/>
        <v>-913.67894999999999</v>
      </c>
      <c r="J381" s="4">
        <f t="shared" ref="J381:L400" si="125">J65/J$13</f>
        <v>9.3261577479346758E-4</v>
      </c>
      <c r="K381" s="4">
        <f t="shared" si="125"/>
        <v>2.8337766873897952E-4</v>
      </c>
      <c r="L381" s="4">
        <f t="shared" si="125"/>
        <v>3.5854824819998388E-4</v>
      </c>
      <c r="M381" s="4">
        <f t="shared" ref="M381:N381" si="126">M65/M$13</f>
        <v>3.5854898577793772E-4</v>
      </c>
      <c r="N381" s="4">
        <f t="shared" si="126"/>
        <v>3.5854898577793761E-4</v>
      </c>
    </row>
    <row r="382" spans="1:14" x14ac:dyDescent="0.2">
      <c r="A382" s="30">
        <v>171</v>
      </c>
      <c r="B382" s="31" t="s">
        <v>380</v>
      </c>
      <c r="I382" s="165">
        <f t="shared" si="103"/>
        <v>-841.72732999999994</v>
      </c>
      <c r="J382" s="4">
        <f t="shared" si="125"/>
        <v>7.5731686514436084E-4</v>
      </c>
      <c r="K382" s="4">
        <f t="shared" si="125"/>
        <v>2.2895172281519707E-4</v>
      </c>
      <c r="L382" s="4">
        <f t="shared" si="125"/>
        <v>2.8156410334753142E-4</v>
      </c>
      <c r="M382" s="4">
        <f t="shared" ref="M382:N382" si="127">M66/M$13</f>
        <v>2.8156468255960746E-4</v>
      </c>
      <c r="N382" s="4">
        <f t="shared" si="127"/>
        <v>2.8156468255960746E-4</v>
      </c>
    </row>
    <row r="383" spans="1:14" x14ac:dyDescent="0.2">
      <c r="A383" s="30">
        <v>172</v>
      </c>
      <c r="B383" s="31" t="s">
        <v>381</v>
      </c>
      <c r="I383" s="165">
        <f t="shared" si="103"/>
        <v>-3238.7097050000002</v>
      </c>
      <c r="J383" s="4">
        <f t="shared" si="125"/>
        <v>1.3707852401413155E-3</v>
      </c>
      <c r="K383" s="4">
        <f t="shared" si="125"/>
        <v>2.1313936818262582E-4</v>
      </c>
      <c r="L383" s="4">
        <f t="shared" si="125"/>
        <v>6.3587003466041285E-4</v>
      </c>
      <c r="M383" s="4">
        <f t="shared" ref="M383:N383" si="128">M67/M$13</f>
        <v>6.3587134272347383E-4</v>
      </c>
      <c r="N383" s="4">
        <f t="shared" si="128"/>
        <v>6.3587134272347372E-4</v>
      </c>
    </row>
    <row r="384" spans="1:14" x14ac:dyDescent="0.2">
      <c r="A384" s="30">
        <v>176</v>
      </c>
      <c r="B384" s="31" t="s">
        <v>382</v>
      </c>
      <c r="I384" s="165">
        <f t="shared" si="103"/>
        <v>-6229.2163600000003</v>
      </c>
      <c r="J384" s="4">
        <f t="shared" si="125"/>
        <v>5.8135703522250429E-4</v>
      </c>
      <c r="K384" s="4">
        <f t="shared" si="125"/>
        <v>1.4647320722703029E-4</v>
      </c>
      <c r="L384" s="4">
        <f t="shared" si="125"/>
        <v>6.2321993468164431E-4</v>
      </c>
      <c r="M384" s="4">
        <f t="shared" ref="M384:N384" si="129">M68/M$13</f>
        <v>6.2322121672188997E-4</v>
      </c>
      <c r="N384" s="4">
        <f t="shared" si="129"/>
        <v>6.2322121672188976E-4</v>
      </c>
    </row>
    <row r="385" spans="1:14" x14ac:dyDescent="0.2">
      <c r="A385" s="30">
        <v>177</v>
      </c>
      <c r="B385" s="31" t="s">
        <v>383</v>
      </c>
      <c r="I385" s="165">
        <f t="shared" si="103"/>
        <v>-283.69553999999999</v>
      </c>
      <c r="J385" s="4">
        <f t="shared" si="125"/>
        <v>9.520726291381527E-5</v>
      </c>
      <c r="K385" s="4">
        <f t="shared" si="125"/>
        <v>6.3986232731603893E-5</v>
      </c>
      <c r="L385" s="4">
        <f t="shared" si="125"/>
        <v>7.5187753676106452E-5</v>
      </c>
      <c r="M385" s="4">
        <f t="shared" ref="M385:N385" si="130">M69/M$13</f>
        <v>7.5187908346586055E-5</v>
      </c>
      <c r="N385" s="4">
        <f t="shared" si="130"/>
        <v>7.5187908346586042E-5</v>
      </c>
    </row>
    <row r="386" spans="1:14" x14ac:dyDescent="0.2">
      <c r="A386" s="30">
        <v>178</v>
      </c>
      <c r="B386" s="31" t="s">
        <v>384</v>
      </c>
      <c r="I386" s="165">
        <f t="shared" si="103"/>
        <v>-2964.4130299999997</v>
      </c>
      <c r="J386" s="4">
        <f t="shared" si="125"/>
        <v>6.7365918147954131E-4</v>
      </c>
      <c r="K386" s="4">
        <f t="shared" si="125"/>
        <v>4.0151534500904035E-4</v>
      </c>
      <c r="L386" s="4">
        <f t="shared" si="125"/>
        <v>7.1673494596354503E-4</v>
      </c>
      <c r="M386" s="4">
        <f t="shared" ref="M386:N386" si="131">M70/M$13</f>
        <v>7.1673642037569881E-4</v>
      </c>
      <c r="N386" s="4">
        <f t="shared" si="131"/>
        <v>7.167364203756987E-4</v>
      </c>
    </row>
    <row r="387" spans="1:14" x14ac:dyDescent="0.2">
      <c r="A387" s="30">
        <v>179</v>
      </c>
      <c r="B387" s="31" t="s">
        <v>385</v>
      </c>
      <c r="I387" s="165">
        <f t="shared" si="103"/>
        <v>-8126.6531450000002</v>
      </c>
      <c r="J387" s="4">
        <f t="shared" si="125"/>
        <v>-8.104841800271689E-3</v>
      </c>
      <c r="K387" s="4">
        <f t="shared" si="125"/>
        <v>1.756877208329518E-2</v>
      </c>
      <c r="L387" s="4">
        <f t="shared" si="125"/>
        <v>1.4217125422333081E-2</v>
      </c>
      <c r="M387" s="4">
        <f t="shared" ref="M387:N387" si="132">M71/M$13</f>
        <v>1.4217154668712975E-2</v>
      </c>
      <c r="N387" s="4">
        <f t="shared" si="132"/>
        <v>1.4217154668712971E-2</v>
      </c>
    </row>
    <row r="388" spans="1:14" x14ac:dyDescent="0.2">
      <c r="A388" s="30">
        <v>181</v>
      </c>
      <c r="B388" s="31" t="s">
        <v>386</v>
      </c>
      <c r="I388" s="165">
        <f t="shared" si="103"/>
        <v>-2693.0799900000002</v>
      </c>
      <c r="J388" s="4">
        <f t="shared" si="125"/>
        <v>2.3530199068479869E-3</v>
      </c>
      <c r="K388" s="4">
        <f t="shared" si="125"/>
        <v>-5.5116992556688397E-6</v>
      </c>
      <c r="L388" s="4">
        <f t="shared" si="125"/>
        <v>6.0843916719419589E-4</v>
      </c>
      <c r="M388" s="4">
        <f t="shared" ref="M388:N388" si="133">M72/M$13</f>
        <v>6.0844041882858024E-4</v>
      </c>
      <c r="N388" s="4">
        <f t="shared" si="133"/>
        <v>6.0844041882858024E-4</v>
      </c>
    </row>
    <row r="389" spans="1:14" x14ac:dyDescent="0.2">
      <c r="A389" s="30">
        <v>182</v>
      </c>
      <c r="B389" s="31" t="s">
        <v>387</v>
      </c>
      <c r="I389" s="165">
        <f t="shared" si="103"/>
        <v>-6884.3546100000003</v>
      </c>
      <c r="J389" s="4">
        <f t="shared" si="125"/>
        <v>1.9263125527058706E-3</v>
      </c>
      <c r="K389" s="4">
        <f t="shared" si="125"/>
        <v>5.0853983634734209E-4</v>
      </c>
      <c r="L389" s="4">
        <f t="shared" si="125"/>
        <v>1.4796817723410928E-3</v>
      </c>
      <c r="M389" s="4">
        <f t="shared" ref="M389:N389" si="134">M73/M$13</f>
        <v>1.4796848162289362E-3</v>
      </c>
      <c r="N389" s="4">
        <f t="shared" si="134"/>
        <v>1.4796848162289358E-3</v>
      </c>
    </row>
    <row r="390" spans="1:14" x14ac:dyDescent="0.2">
      <c r="A390" s="30">
        <v>186</v>
      </c>
      <c r="B390" s="31" t="s">
        <v>388</v>
      </c>
      <c r="I390" s="165">
        <f t="shared" si="103"/>
        <v>-23755.846035000002</v>
      </c>
      <c r="J390" s="4">
        <f t="shared" si="125"/>
        <v>1.975241412764377E-2</v>
      </c>
      <c r="K390" s="4">
        <f t="shared" si="125"/>
        <v>6.8202339751103963E-3</v>
      </c>
      <c r="L390" s="4">
        <f t="shared" si="125"/>
        <v>9.1345065819724257E-3</v>
      </c>
      <c r="M390" s="4">
        <f t="shared" ref="M390:N390" si="135">M74/M$13</f>
        <v>9.1345253727787065E-3</v>
      </c>
      <c r="N390" s="4">
        <f t="shared" si="135"/>
        <v>9.1345253727787047E-3</v>
      </c>
    </row>
    <row r="391" spans="1:14" x14ac:dyDescent="0.2">
      <c r="A391" s="30">
        <v>202</v>
      </c>
      <c r="B391" s="31" t="s">
        <v>389</v>
      </c>
      <c r="I391" s="165">
        <f t="shared" si="103"/>
        <v>-19699.307000000001</v>
      </c>
      <c r="J391" s="4">
        <f t="shared" si="125"/>
        <v>8.0770025710030693E-3</v>
      </c>
      <c r="K391" s="4">
        <f t="shared" si="125"/>
        <v>9.9671780134225757E-3</v>
      </c>
      <c r="L391" s="4">
        <f t="shared" si="125"/>
        <v>5.5648384132786092E-3</v>
      </c>
      <c r="M391" s="4">
        <f t="shared" ref="M391:N391" si="136">M75/M$13</f>
        <v>5.5648498608373426E-3</v>
      </c>
      <c r="N391" s="4">
        <f t="shared" si="136"/>
        <v>5.5648498608373408E-3</v>
      </c>
    </row>
    <row r="392" spans="1:14" x14ac:dyDescent="0.2">
      <c r="A392" s="30">
        <v>204</v>
      </c>
      <c r="B392" s="31" t="s">
        <v>390</v>
      </c>
      <c r="I392" s="165">
        <f t="shared" si="103"/>
        <v>-728.91968500000007</v>
      </c>
      <c r="J392" s="4">
        <f t="shared" si="125"/>
        <v>1.7238530319310667E-3</v>
      </c>
      <c r="K392" s="4">
        <f t="shared" si="125"/>
        <v>2.4878758108647049E-4</v>
      </c>
      <c r="L392" s="4">
        <f t="shared" si="125"/>
        <v>3.2629005846970496E-4</v>
      </c>
      <c r="M392" s="4">
        <f t="shared" ref="M392:N392" si="137">M76/M$13</f>
        <v>3.2629072968858518E-4</v>
      </c>
      <c r="N392" s="4">
        <f t="shared" si="137"/>
        <v>3.2629072968858513E-4</v>
      </c>
    </row>
    <row r="393" spans="1:14" x14ac:dyDescent="0.2">
      <c r="A393" s="30">
        <v>205</v>
      </c>
      <c r="B393" s="31" t="s">
        <v>391</v>
      </c>
      <c r="I393" s="165">
        <f t="shared" si="103"/>
        <v>-33379.418180000001</v>
      </c>
      <c r="J393" s="4">
        <f t="shared" si="125"/>
        <v>7.0734789056324764E-3</v>
      </c>
      <c r="K393" s="4">
        <f t="shared" si="125"/>
        <v>4.881719692021576E-3</v>
      </c>
      <c r="L393" s="4">
        <f t="shared" si="125"/>
        <v>6.0439562355587171E-3</v>
      </c>
      <c r="M393" s="4">
        <f t="shared" ref="M393:N393" si="138">M77/M$13</f>
        <v>6.0439686687218837E-3</v>
      </c>
      <c r="N393" s="4">
        <f t="shared" si="138"/>
        <v>6.0439686687218819E-3</v>
      </c>
    </row>
    <row r="394" spans="1:14" x14ac:dyDescent="0.2">
      <c r="A394" s="30">
        <v>208</v>
      </c>
      <c r="B394" s="31" t="s">
        <v>392</v>
      </c>
      <c r="I394" s="165">
        <f t="shared" si="103"/>
        <v>-5981.3799799999997</v>
      </c>
      <c r="J394" s="4">
        <f t="shared" si="125"/>
        <v>2.6915562799954074E-3</v>
      </c>
      <c r="K394" s="4">
        <f t="shared" si="125"/>
        <v>1.4386003171054467E-3</v>
      </c>
      <c r="L394" s="4">
        <f t="shared" si="125"/>
        <v>2.5122102368717383E-3</v>
      </c>
      <c r="M394" s="4">
        <f t="shared" ref="M394:N394" si="139">M78/M$13</f>
        <v>2.5122154047979382E-3</v>
      </c>
      <c r="N394" s="4">
        <f t="shared" si="139"/>
        <v>2.5122154047979382E-3</v>
      </c>
    </row>
    <row r="395" spans="1:14" x14ac:dyDescent="0.2">
      <c r="A395" s="30">
        <v>211</v>
      </c>
      <c r="B395" s="31" t="s">
        <v>393</v>
      </c>
      <c r="I395" s="165">
        <f t="shared" ref="I395:I458" si="140">AVERAGE(H79:I79)</f>
        <v>-21621.836114999998</v>
      </c>
      <c r="J395" s="4">
        <f t="shared" si="125"/>
        <v>1.9184814733903759E-2</v>
      </c>
      <c r="K395" s="4">
        <f t="shared" si="125"/>
        <v>1.1631080783148669E-2</v>
      </c>
      <c r="L395" s="4">
        <f t="shared" si="125"/>
        <v>9.204386500174697E-3</v>
      </c>
      <c r="M395" s="4">
        <f t="shared" ref="M395:N395" si="141">M79/M$13</f>
        <v>9.2044054347325821E-3</v>
      </c>
      <c r="N395" s="4">
        <f t="shared" si="141"/>
        <v>9.2044054347325804E-3</v>
      </c>
    </row>
    <row r="396" spans="1:14" x14ac:dyDescent="0.2">
      <c r="A396" s="30">
        <v>213</v>
      </c>
      <c r="B396" s="31" t="s">
        <v>394</v>
      </c>
      <c r="I396" s="165">
        <f t="shared" si="140"/>
        <v>218.28987000000001</v>
      </c>
      <c r="J396" s="4">
        <f t="shared" si="125"/>
        <v>1.7211141342846929E-4</v>
      </c>
      <c r="K396" s="4">
        <f t="shared" si="125"/>
        <v>1.8692630990530218E-4</v>
      </c>
      <c r="L396" s="4">
        <f t="shared" si="125"/>
        <v>3.099067012346091E-4</v>
      </c>
      <c r="M396" s="4">
        <f t="shared" ref="M396:N396" si="142">M80/M$13</f>
        <v>3.0990733875090347E-4</v>
      </c>
      <c r="N396" s="4">
        <f t="shared" si="142"/>
        <v>3.0990733875090341E-4</v>
      </c>
    </row>
    <row r="397" spans="1:14" x14ac:dyDescent="0.2">
      <c r="A397" s="30">
        <v>214</v>
      </c>
      <c r="B397" s="31" t="s">
        <v>395</v>
      </c>
      <c r="I397" s="165">
        <f t="shared" si="140"/>
        <v>-7691.0515450000003</v>
      </c>
      <c r="J397" s="4">
        <f t="shared" si="125"/>
        <v>4.7644291774206144E-3</v>
      </c>
      <c r="K397" s="4">
        <f t="shared" si="125"/>
        <v>4.5725149975405779E-4</v>
      </c>
      <c r="L397" s="4">
        <f t="shared" si="125"/>
        <v>1.4895910827867277E-3</v>
      </c>
      <c r="M397" s="4">
        <f t="shared" ref="M397:N397" si="143">M81/M$13</f>
        <v>1.4895941470592442E-3</v>
      </c>
      <c r="N397" s="4">
        <f t="shared" si="143"/>
        <v>1.489594147059244E-3</v>
      </c>
    </row>
    <row r="398" spans="1:14" x14ac:dyDescent="0.2">
      <c r="A398" s="30">
        <v>216</v>
      </c>
      <c r="B398" s="31" t="s">
        <v>396</v>
      </c>
      <c r="I398" s="165">
        <f t="shared" si="140"/>
        <v>-386.10893499999997</v>
      </c>
      <c r="J398" s="4">
        <f t="shared" si="125"/>
        <v>1.1537412262931489E-4</v>
      </c>
      <c r="K398" s="4">
        <f t="shared" si="125"/>
        <v>9.8827652954874286E-5</v>
      </c>
      <c r="L398" s="4">
        <f t="shared" si="125"/>
        <v>2.1157143890777143E-4</v>
      </c>
      <c r="M398" s="4">
        <f t="shared" ref="M398:N398" si="144">M82/M$13</f>
        <v>2.1157187413630696E-4</v>
      </c>
      <c r="N398" s="4">
        <f t="shared" si="144"/>
        <v>2.1157187413630693E-4</v>
      </c>
    </row>
    <row r="399" spans="1:14" x14ac:dyDescent="0.2">
      <c r="A399" s="30">
        <v>217</v>
      </c>
      <c r="B399" s="31" t="s">
        <v>397</v>
      </c>
      <c r="I399" s="165">
        <f t="shared" si="140"/>
        <v>-1186.5085100000001</v>
      </c>
      <c r="J399" s="4">
        <f t="shared" si="125"/>
        <v>1.5671240405028181E-3</v>
      </c>
      <c r="K399" s="4">
        <f t="shared" si="125"/>
        <v>2.0827530401401678E-3</v>
      </c>
      <c r="L399" s="4">
        <f t="shared" si="125"/>
        <v>1.3050354120518269E-3</v>
      </c>
      <c r="M399" s="4">
        <f t="shared" ref="M399:N399" si="145">M83/M$13</f>
        <v>1.3050380966705738E-3</v>
      </c>
      <c r="N399" s="4">
        <f t="shared" si="145"/>
        <v>1.3050380966705734E-3</v>
      </c>
    </row>
    <row r="400" spans="1:14" x14ac:dyDescent="0.2">
      <c r="A400" s="30">
        <v>218</v>
      </c>
      <c r="B400" s="31" t="s">
        <v>398</v>
      </c>
      <c r="I400" s="165">
        <f t="shared" si="140"/>
        <v>-158.89224000000002</v>
      </c>
      <c r="J400" s="4">
        <f t="shared" si="125"/>
        <v>8.1261974140833476E-5</v>
      </c>
      <c r="K400" s="4">
        <f t="shared" si="125"/>
        <v>4.2292543574438771E-5</v>
      </c>
      <c r="L400" s="4">
        <f t="shared" si="125"/>
        <v>6.195041205779968E-5</v>
      </c>
      <c r="M400" s="4">
        <f t="shared" ref="M400:N400" si="146">M84/M$13</f>
        <v>6.1950539497435469E-5</v>
      </c>
      <c r="N400" s="4">
        <f t="shared" si="146"/>
        <v>6.1950539497435456E-5</v>
      </c>
    </row>
    <row r="401" spans="1:14" x14ac:dyDescent="0.2">
      <c r="A401" s="30">
        <v>224</v>
      </c>
      <c r="B401" s="31" t="s">
        <v>399</v>
      </c>
      <c r="I401" s="165">
        <f t="shared" si="140"/>
        <v>-1293.36913</v>
      </c>
      <c r="J401" s="4">
        <f t="shared" ref="J401:L420" si="147">J85/J$13</f>
        <v>5.1788009722062941E-4</v>
      </c>
      <c r="K401" s="4">
        <f t="shared" si="147"/>
        <v>-4.3061303706603689E-5</v>
      </c>
      <c r="L401" s="4">
        <f t="shared" si="147"/>
        <v>5.4786834374415312E-4</v>
      </c>
      <c r="M401" s="4">
        <f t="shared" ref="M401:N401" si="148">M85/M$13</f>
        <v>5.4786947077688566E-4</v>
      </c>
      <c r="N401" s="4">
        <f t="shared" si="148"/>
        <v>5.4786947077688556E-4</v>
      </c>
    </row>
    <row r="402" spans="1:14" x14ac:dyDescent="0.2">
      <c r="A402" s="30">
        <v>226</v>
      </c>
      <c r="B402" s="31" t="s">
        <v>400</v>
      </c>
      <c r="I402" s="165">
        <f t="shared" si="140"/>
        <v>-2192.816425</v>
      </c>
      <c r="J402" s="4">
        <f t="shared" si="147"/>
        <v>2.5633598418491471E-3</v>
      </c>
      <c r="K402" s="4">
        <f t="shared" si="147"/>
        <v>5.3561312753632752E-4</v>
      </c>
      <c r="L402" s="4">
        <f t="shared" si="147"/>
        <v>5.8637149697709091E-4</v>
      </c>
      <c r="M402" s="4">
        <f t="shared" ref="M402:N402" si="149">M86/M$13</f>
        <v>5.8637270321555679E-4</v>
      </c>
      <c r="N402" s="4">
        <f t="shared" si="149"/>
        <v>5.8637270321555668E-4</v>
      </c>
    </row>
    <row r="403" spans="1:14" x14ac:dyDescent="0.2">
      <c r="A403" s="30">
        <v>230</v>
      </c>
      <c r="B403" s="31" t="s">
        <v>401</v>
      </c>
      <c r="I403" s="165">
        <f t="shared" si="140"/>
        <v>-544.31261500000005</v>
      </c>
      <c r="J403" s="4">
        <f t="shared" si="147"/>
        <v>4.4701262261415965E-5</v>
      </c>
      <c r="K403" s="4">
        <f t="shared" si="147"/>
        <v>4.6479521018308318E-5</v>
      </c>
      <c r="L403" s="4">
        <f t="shared" si="147"/>
        <v>1.1852452261142619E-4</v>
      </c>
      <c r="M403" s="4">
        <f t="shared" ref="M403:N403" si="150">M87/M$13</f>
        <v>1.1852476643098269E-4</v>
      </c>
      <c r="N403" s="4">
        <f t="shared" si="150"/>
        <v>1.1852476643098266E-4</v>
      </c>
    </row>
    <row r="404" spans="1:14" x14ac:dyDescent="0.2">
      <c r="A404" s="30">
        <v>231</v>
      </c>
      <c r="B404" s="31" t="s">
        <v>402</v>
      </c>
      <c r="I404" s="165">
        <f t="shared" si="140"/>
        <v>-550.83800999999994</v>
      </c>
      <c r="J404" s="4">
        <f t="shared" si="147"/>
        <v>-5.180591521016522E-4</v>
      </c>
      <c r="K404" s="4">
        <f t="shared" si="147"/>
        <v>8.5967299706971343E-5</v>
      </c>
      <c r="L404" s="4">
        <f t="shared" si="147"/>
        <v>1.668796871057575E-4</v>
      </c>
      <c r="M404" s="4">
        <f t="shared" ref="M404:N404" si="151">M88/M$13</f>
        <v>1.6688003039784933E-4</v>
      </c>
      <c r="N404" s="4">
        <f t="shared" si="151"/>
        <v>1.6688003039784928E-4</v>
      </c>
    </row>
    <row r="405" spans="1:14" x14ac:dyDescent="0.2">
      <c r="A405" s="30">
        <v>232</v>
      </c>
      <c r="B405" s="31" t="s">
        <v>403</v>
      </c>
      <c r="I405" s="165">
        <f t="shared" si="140"/>
        <v>-5169.2564899999998</v>
      </c>
      <c r="J405" s="4">
        <f t="shared" si="147"/>
        <v>3.9180136243665946E-3</v>
      </c>
      <c r="K405" s="4">
        <f t="shared" si="147"/>
        <v>1.5193455483723658E-3</v>
      </c>
      <c r="L405" s="4">
        <f t="shared" si="147"/>
        <v>1.618376684439778E-3</v>
      </c>
      <c r="M405" s="4">
        <f t="shared" ref="M405:N405" si="152">M89/M$13</f>
        <v>1.6183800136401561E-3</v>
      </c>
      <c r="N405" s="4">
        <f t="shared" si="152"/>
        <v>1.6183800136401556E-3</v>
      </c>
    </row>
    <row r="406" spans="1:14" x14ac:dyDescent="0.2">
      <c r="A406" s="30">
        <v>233</v>
      </c>
      <c r="B406" s="31" t="s">
        <v>404</v>
      </c>
      <c r="I406" s="165">
        <f t="shared" si="140"/>
        <v>-11649.55726</v>
      </c>
      <c r="J406" s="4">
        <f t="shared" si="147"/>
        <v>5.958751490557984E-3</v>
      </c>
      <c r="K406" s="4">
        <f t="shared" si="147"/>
        <v>3.0024360684037309E-3</v>
      </c>
      <c r="L406" s="4">
        <f t="shared" si="147"/>
        <v>2.8246540480519233E-3</v>
      </c>
      <c r="M406" s="4">
        <f t="shared" ref="M406:N406" si="153">M90/M$13</f>
        <v>2.8246598587135662E-3</v>
      </c>
      <c r="N406" s="4">
        <f t="shared" si="153"/>
        <v>2.8246598587135653E-3</v>
      </c>
    </row>
    <row r="407" spans="1:14" x14ac:dyDescent="0.2">
      <c r="A407" s="30">
        <v>235</v>
      </c>
      <c r="B407" s="31" t="s">
        <v>405</v>
      </c>
      <c r="I407" s="165">
        <f t="shared" si="140"/>
        <v>-4898.9365600000001</v>
      </c>
      <c r="J407" s="4">
        <f t="shared" si="147"/>
        <v>5.5012690074163683E-3</v>
      </c>
      <c r="K407" s="4">
        <f t="shared" si="147"/>
        <v>2.3051247037128146E-3</v>
      </c>
      <c r="L407" s="4">
        <f t="shared" si="147"/>
        <v>3.1385292888530831E-3</v>
      </c>
      <c r="M407" s="4">
        <f t="shared" ref="M407:N407" si="154">M91/M$13</f>
        <v>3.1385357451947961E-3</v>
      </c>
      <c r="N407" s="4">
        <f t="shared" si="154"/>
        <v>3.1385357451947952E-3</v>
      </c>
    </row>
    <row r="408" spans="1:14" x14ac:dyDescent="0.2">
      <c r="A408" s="30">
        <v>236</v>
      </c>
      <c r="B408" s="31" t="s">
        <v>406</v>
      </c>
      <c r="I408" s="165">
        <f t="shared" si="140"/>
        <v>-3946.5639550000001</v>
      </c>
      <c r="J408" s="4">
        <f t="shared" si="147"/>
        <v>9.7388335775424857E-4</v>
      </c>
      <c r="K408" s="4">
        <f t="shared" si="147"/>
        <v>3.2049254229172587E-4</v>
      </c>
      <c r="L408" s="4">
        <f t="shared" si="147"/>
        <v>5.6329081542063871E-4</v>
      </c>
      <c r="M408" s="4">
        <f t="shared" ref="M408:N408" si="155">M92/M$13</f>
        <v>5.6329197417929707E-4</v>
      </c>
      <c r="N408" s="4">
        <f t="shared" si="155"/>
        <v>5.6329197417929685E-4</v>
      </c>
    </row>
    <row r="409" spans="1:14" x14ac:dyDescent="0.2">
      <c r="A409" s="30">
        <v>239</v>
      </c>
      <c r="B409" s="31" t="s">
        <v>407</v>
      </c>
      <c r="I409" s="165">
        <f t="shared" si="140"/>
        <v>-531.57927500000005</v>
      </c>
      <c r="J409" s="4">
        <f t="shared" si="147"/>
        <v>4.1118473489833678E-4</v>
      </c>
      <c r="K409" s="4">
        <f t="shared" si="147"/>
        <v>3.3288389522228613E-4</v>
      </c>
      <c r="L409" s="4">
        <f t="shared" si="147"/>
        <v>2.9853097283363611E-4</v>
      </c>
      <c r="M409" s="4">
        <f t="shared" ref="M409:N409" si="156">M93/M$13</f>
        <v>2.985315869486546E-4</v>
      </c>
      <c r="N409" s="4">
        <f t="shared" si="156"/>
        <v>2.9853158694865455E-4</v>
      </c>
    </row>
    <row r="410" spans="1:14" x14ac:dyDescent="0.2">
      <c r="A410" s="30">
        <v>240</v>
      </c>
      <c r="B410" s="31" t="s">
        <v>408</v>
      </c>
      <c r="I410" s="165">
        <f t="shared" si="140"/>
        <v>-10594.393225</v>
      </c>
      <c r="J410" s="4">
        <f t="shared" si="147"/>
        <v>-2.3345742525131738E-3</v>
      </c>
      <c r="K410" s="4">
        <f t="shared" si="147"/>
        <v>5.8626037927330169E-4</v>
      </c>
      <c r="L410" s="4">
        <f t="shared" si="147"/>
        <v>2.2886075400631706E-3</v>
      </c>
      <c r="M410" s="4">
        <f t="shared" ref="M410:N410" si="157">M94/M$13</f>
        <v>2.2886122480110546E-3</v>
      </c>
      <c r="N410" s="4">
        <f t="shared" si="157"/>
        <v>2.2886122480110537E-3</v>
      </c>
    </row>
    <row r="411" spans="1:14" x14ac:dyDescent="0.2">
      <c r="A411" s="30">
        <v>241</v>
      </c>
      <c r="B411" s="31" t="s">
        <v>409</v>
      </c>
      <c r="I411" s="165">
        <f t="shared" si="140"/>
        <v>-3927.476635</v>
      </c>
      <c r="J411" s="4">
        <f t="shared" si="147"/>
        <v>8.1321471781533445E-4</v>
      </c>
      <c r="K411" s="4">
        <f t="shared" si="147"/>
        <v>8.9409473891181618E-4</v>
      </c>
      <c r="L411" s="4">
        <f t="shared" si="147"/>
        <v>1.1422207698645777E-3</v>
      </c>
      <c r="M411" s="4">
        <f t="shared" ref="M411:N411" si="158">M95/M$13</f>
        <v>1.1422231195535315E-3</v>
      </c>
      <c r="N411" s="4">
        <f t="shared" si="158"/>
        <v>1.1422231195535313E-3</v>
      </c>
    </row>
    <row r="412" spans="1:14" x14ac:dyDescent="0.2">
      <c r="A412" s="30">
        <v>244</v>
      </c>
      <c r="B412" s="31" t="s">
        <v>410</v>
      </c>
      <c r="I412" s="165">
        <f t="shared" si="140"/>
        <v>-4452.8972100000001</v>
      </c>
      <c r="J412" s="4">
        <f t="shared" si="147"/>
        <v>3.701094598430048E-3</v>
      </c>
      <c r="K412" s="4">
        <f t="shared" si="147"/>
        <v>4.4205621752593247E-3</v>
      </c>
      <c r="L412" s="4">
        <f t="shared" si="147"/>
        <v>2.9498010513801915E-3</v>
      </c>
      <c r="M412" s="4">
        <f t="shared" ref="M412:N412" si="159">M96/M$13</f>
        <v>2.9498071194846501E-3</v>
      </c>
      <c r="N412" s="4">
        <f t="shared" si="159"/>
        <v>2.9498071194846492E-3</v>
      </c>
    </row>
    <row r="413" spans="1:14" x14ac:dyDescent="0.2">
      <c r="A413" s="30">
        <v>245</v>
      </c>
      <c r="B413" s="31" t="s">
        <v>411</v>
      </c>
      <c r="I413" s="165">
        <f t="shared" si="140"/>
        <v>-26795.522664999997</v>
      </c>
      <c r="J413" s="4">
        <f t="shared" si="147"/>
        <v>7.3229613270199851E-3</v>
      </c>
      <c r="K413" s="4">
        <f t="shared" si="147"/>
        <v>4.2114270043440557E-3</v>
      </c>
      <c r="L413" s="4">
        <f t="shared" si="147"/>
        <v>5.5618006333036278E-3</v>
      </c>
      <c r="M413" s="4">
        <f t="shared" ref="M413:N413" si="160">M97/M$13</f>
        <v>5.5618120746132732E-3</v>
      </c>
      <c r="N413" s="4">
        <f t="shared" si="160"/>
        <v>5.5618120746132715E-3</v>
      </c>
    </row>
    <row r="414" spans="1:14" x14ac:dyDescent="0.2">
      <c r="A414" s="30">
        <v>249</v>
      </c>
      <c r="B414" s="31" t="s">
        <v>412</v>
      </c>
      <c r="I414" s="165">
        <f t="shared" si="140"/>
        <v>-4308.4679999999998</v>
      </c>
      <c r="J414" s="4">
        <f t="shared" si="147"/>
        <v>1.3506701890108105E-3</v>
      </c>
      <c r="K414" s="4">
        <f t="shared" si="147"/>
        <v>4.5434770058482785E-4</v>
      </c>
      <c r="L414" s="4">
        <f t="shared" si="147"/>
        <v>6.7688123898867385E-4</v>
      </c>
      <c r="M414" s="4">
        <f t="shared" ref="M414:N414" si="161">M98/M$13</f>
        <v>6.7688263141683848E-4</v>
      </c>
      <c r="N414" s="4">
        <f t="shared" si="161"/>
        <v>6.7688263141683837E-4</v>
      </c>
    </row>
    <row r="415" spans="1:14" x14ac:dyDescent="0.2">
      <c r="A415" s="30">
        <v>250</v>
      </c>
      <c r="B415" s="31" t="s">
        <v>413</v>
      </c>
      <c r="I415" s="165">
        <f t="shared" si="140"/>
        <v>1159.4948899999999</v>
      </c>
      <c r="J415" s="4">
        <f t="shared" si="147"/>
        <v>1.8484352782547771E-4</v>
      </c>
      <c r="K415" s="4">
        <f t="shared" si="147"/>
        <v>3.1859593056947492E-5</v>
      </c>
      <c r="L415" s="4">
        <f t="shared" si="147"/>
        <v>9.3159499211287482E-5</v>
      </c>
      <c r="M415" s="4">
        <f t="shared" ref="M415:N415" si="162">M99/M$13</f>
        <v>9.3159690851863462E-5</v>
      </c>
      <c r="N415" s="4">
        <f t="shared" si="162"/>
        <v>9.3159690851863435E-5</v>
      </c>
    </row>
    <row r="416" spans="1:14" x14ac:dyDescent="0.2">
      <c r="A416" s="30">
        <v>256</v>
      </c>
      <c r="B416" s="31" t="s">
        <v>414</v>
      </c>
      <c r="I416" s="165">
        <f t="shared" si="140"/>
        <v>-1312.64463</v>
      </c>
      <c r="J416" s="4">
        <f t="shared" si="147"/>
        <v>2.0117819689225653E-4</v>
      </c>
      <c r="K416" s="4">
        <f t="shared" si="147"/>
        <v>2.2380725129331016E-4</v>
      </c>
      <c r="L416" s="4">
        <f t="shared" si="147"/>
        <v>1.8979503408711647E-4</v>
      </c>
      <c r="M416" s="4">
        <f t="shared" ref="M416:N416" si="163">M100/M$13</f>
        <v>1.8979542451890238E-4</v>
      </c>
      <c r="N416" s="4">
        <f t="shared" si="163"/>
        <v>1.8979542451890233E-4</v>
      </c>
    </row>
    <row r="417" spans="1:14" x14ac:dyDescent="0.2">
      <c r="A417" s="30">
        <v>257</v>
      </c>
      <c r="B417" s="31" t="s">
        <v>415</v>
      </c>
      <c r="I417" s="165">
        <f t="shared" si="140"/>
        <v>-43111.911764999997</v>
      </c>
      <c r="J417" s="4">
        <f t="shared" si="147"/>
        <v>-1.9257518883982895E-2</v>
      </c>
      <c r="K417" s="4">
        <f t="shared" si="147"/>
        <v>6.2321413423009099E-3</v>
      </c>
      <c r="L417" s="4">
        <f t="shared" si="147"/>
        <v>1.3778346980697145E-2</v>
      </c>
      <c r="M417" s="4">
        <f t="shared" ref="M417:N417" si="164">M101/M$13</f>
        <v>1.3778375324455687E-2</v>
      </c>
      <c r="N417" s="4">
        <f t="shared" si="164"/>
        <v>1.3778375324455683E-2</v>
      </c>
    </row>
    <row r="418" spans="1:14" x14ac:dyDescent="0.2">
      <c r="A418" s="30">
        <v>260</v>
      </c>
      <c r="B418" s="31" t="s">
        <v>416</v>
      </c>
      <c r="I418" s="165">
        <f t="shared" si="140"/>
        <v>-2609.620735</v>
      </c>
      <c r="J418" s="4">
        <f t="shared" si="147"/>
        <v>1.1889320865801857E-3</v>
      </c>
      <c r="K418" s="4">
        <f t="shared" si="147"/>
        <v>1.3547114820708656E-3</v>
      </c>
      <c r="L418" s="4">
        <f t="shared" si="147"/>
        <v>1.1576611773263239E-3</v>
      </c>
      <c r="M418" s="4">
        <f t="shared" ref="M418:N418" si="165">M102/M$13</f>
        <v>1.1576635587780997E-3</v>
      </c>
      <c r="N418" s="4">
        <f t="shared" si="165"/>
        <v>1.1576635587780995E-3</v>
      </c>
    </row>
    <row r="419" spans="1:14" x14ac:dyDescent="0.2">
      <c r="A419" s="30">
        <v>261</v>
      </c>
      <c r="B419" s="31" t="s">
        <v>417</v>
      </c>
      <c r="I419" s="165">
        <f t="shared" si="140"/>
        <v>-328.68900000000008</v>
      </c>
      <c r="J419" s="4">
        <f t="shared" si="147"/>
        <v>2.0272899733984541E-3</v>
      </c>
      <c r="K419" s="4">
        <f t="shared" si="147"/>
        <v>4.0334254814380069E-3</v>
      </c>
      <c r="L419" s="4">
        <f t="shared" si="147"/>
        <v>2.5443294196977858E-3</v>
      </c>
      <c r="M419" s="4">
        <f t="shared" ref="M419:N419" si="166">M103/M$13</f>
        <v>2.5443346536971057E-3</v>
      </c>
      <c r="N419" s="4">
        <f t="shared" si="166"/>
        <v>2.5443346536971052E-3</v>
      </c>
    </row>
    <row r="420" spans="1:14" x14ac:dyDescent="0.2">
      <c r="A420" s="30">
        <v>263</v>
      </c>
      <c r="B420" s="31" t="s">
        <v>418</v>
      </c>
      <c r="I420" s="165">
        <f t="shared" si="140"/>
        <v>-3363.2726599999996</v>
      </c>
      <c r="J420" s="4">
        <f t="shared" si="147"/>
        <v>1.1364407886225898E-3</v>
      </c>
      <c r="K420" s="4">
        <f t="shared" si="147"/>
        <v>5.1719065777653815E-5</v>
      </c>
      <c r="L420" s="4">
        <f t="shared" si="147"/>
        <v>5.2253409541348902E-4</v>
      </c>
      <c r="M420" s="4">
        <f t="shared" ref="M420:N420" si="167">M104/M$13</f>
        <v>5.2253517033054922E-4</v>
      </c>
      <c r="N420" s="4">
        <f t="shared" si="167"/>
        <v>5.2253517033054901E-4</v>
      </c>
    </row>
    <row r="421" spans="1:14" x14ac:dyDescent="0.2">
      <c r="A421" s="30">
        <v>265</v>
      </c>
      <c r="B421" s="31" t="s">
        <v>419</v>
      </c>
      <c r="I421" s="165">
        <f t="shared" si="140"/>
        <v>-583.93276000000003</v>
      </c>
      <c r="J421" s="4">
        <f t="shared" ref="J421:L440" si="168">J105/J$13</f>
        <v>5.6492004360100233E-5</v>
      </c>
      <c r="K421" s="4">
        <f t="shared" si="168"/>
        <v>1.065840479665248E-5</v>
      </c>
      <c r="L421" s="4">
        <f t="shared" si="168"/>
        <v>7.42373599732013E-5</v>
      </c>
      <c r="M421" s="4">
        <f t="shared" ref="M421:N421" si="169">M105/M$13</f>
        <v>7.4237512688603879E-5</v>
      </c>
      <c r="N421" s="4">
        <f t="shared" si="169"/>
        <v>7.4237512688603866E-5</v>
      </c>
    </row>
    <row r="422" spans="1:14" x14ac:dyDescent="0.2">
      <c r="A422" s="30">
        <v>271</v>
      </c>
      <c r="B422" s="31" t="s">
        <v>420</v>
      </c>
      <c r="I422" s="165">
        <f t="shared" si="140"/>
        <v>-4322.122805</v>
      </c>
      <c r="J422" s="4">
        <f t="shared" si="168"/>
        <v>4.7988498998551682E-4</v>
      </c>
      <c r="K422" s="4">
        <f t="shared" si="168"/>
        <v>4.993348643122454E-4</v>
      </c>
      <c r="L422" s="4">
        <f t="shared" si="168"/>
        <v>9.1189686138437988E-4</v>
      </c>
      <c r="M422" s="4">
        <f t="shared" ref="M422:N422" si="170">M106/M$13</f>
        <v>9.1189873726865614E-4</v>
      </c>
      <c r="N422" s="4">
        <f t="shared" si="170"/>
        <v>9.1189873726865592E-4</v>
      </c>
    </row>
    <row r="423" spans="1:14" x14ac:dyDescent="0.2">
      <c r="A423" s="30">
        <v>272</v>
      </c>
      <c r="B423" s="31" t="s">
        <v>421</v>
      </c>
      <c r="I423" s="165">
        <f t="shared" si="140"/>
        <v>-22224.321649999998</v>
      </c>
      <c r="J423" s="4">
        <f t="shared" si="168"/>
        <v>4.8343189585782426E-3</v>
      </c>
      <c r="K423" s="4">
        <f t="shared" si="168"/>
        <v>6.1795487560781072E-3</v>
      </c>
      <c r="L423" s="4">
        <f t="shared" si="168"/>
        <v>8.7550282603037228E-3</v>
      </c>
      <c r="M423" s="4">
        <f t="shared" ref="M423:N423" si="171">M107/M$13</f>
        <v>8.755046270476307E-3</v>
      </c>
      <c r="N423" s="4">
        <f t="shared" si="171"/>
        <v>8.7550462704763053E-3</v>
      </c>
    </row>
    <row r="424" spans="1:14" x14ac:dyDescent="0.2">
      <c r="A424" s="30">
        <v>273</v>
      </c>
      <c r="B424" s="31" t="s">
        <v>422</v>
      </c>
      <c r="I424" s="165">
        <f t="shared" si="140"/>
        <v>-572.77350000000001</v>
      </c>
      <c r="J424" s="4">
        <f t="shared" si="168"/>
        <v>3.6864067566994913E-4</v>
      </c>
      <c r="K424" s="4">
        <f t="shared" si="168"/>
        <v>3.3386535891539385E-4</v>
      </c>
      <c r="L424" s="4">
        <f t="shared" si="168"/>
        <v>3.532680199473212E-4</v>
      </c>
      <c r="M424" s="4">
        <f t="shared" ref="M424:N424" si="172">M108/M$13</f>
        <v>3.5326874666319444E-4</v>
      </c>
      <c r="N424" s="4">
        <f t="shared" si="172"/>
        <v>3.5326874666319433E-4</v>
      </c>
    </row>
    <row r="425" spans="1:14" x14ac:dyDescent="0.2">
      <c r="A425" s="30">
        <v>275</v>
      </c>
      <c r="B425" s="31" t="s">
        <v>423</v>
      </c>
      <c r="I425" s="165">
        <f t="shared" si="140"/>
        <v>-754.74482999999998</v>
      </c>
      <c r="J425" s="4">
        <f t="shared" si="168"/>
        <v>5.9348342790580563E-4</v>
      </c>
      <c r="K425" s="4">
        <f t="shared" si="168"/>
        <v>7.2286953003030446E-5</v>
      </c>
      <c r="L425" s="4">
        <f t="shared" si="168"/>
        <v>2.1714896102435752E-4</v>
      </c>
      <c r="M425" s="4">
        <f t="shared" ref="M425:N425" si="173">M109/M$13</f>
        <v>2.1714940772654375E-4</v>
      </c>
      <c r="N425" s="4">
        <f t="shared" si="173"/>
        <v>2.1714940772654369E-4</v>
      </c>
    </row>
    <row r="426" spans="1:14" x14ac:dyDescent="0.2">
      <c r="A426" s="30">
        <v>276</v>
      </c>
      <c r="B426" s="31" t="s">
        <v>424</v>
      </c>
      <c r="I426" s="165">
        <f t="shared" si="140"/>
        <v>-13182.39911</v>
      </c>
      <c r="J426" s="4">
        <f t="shared" si="168"/>
        <v>7.1515834905499119E-3</v>
      </c>
      <c r="K426" s="4">
        <f t="shared" si="168"/>
        <v>2.9831696437063781E-3</v>
      </c>
      <c r="L426" s="4">
        <f t="shared" si="168"/>
        <v>2.4128469322012721E-3</v>
      </c>
      <c r="M426" s="4">
        <f t="shared" ref="M426:N426" si="174">M110/M$13</f>
        <v>2.4128518957249041E-3</v>
      </c>
      <c r="N426" s="4">
        <f t="shared" si="174"/>
        <v>2.4128518957249032E-3</v>
      </c>
    </row>
    <row r="427" spans="1:14" x14ac:dyDescent="0.2">
      <c r="A427" s="30">
        <v>280</v>
      </c>
      <c r="B427" s="31" t="s">
        <v>425</v>
      </c>
      <c r="I427" s="165">
        <f t="shared" si="140"/>
        <v>-2338.0422549999998</v>
      </c>
      <c r="J427" s="4">
        <f t="shared" si="168"/>
        <v>9.2226639979342908E-4</v>
      </c>
      <c r="K427" s="4">
        <f t="shared" si="168"/>
        <v>1.5293891939503656E-4</v>
      </c>
      <c r="L427" s="4">
        <f t="shared" si="168"/>
        <v>4.4073982551406964E-4</v>
      </c>
      <c r="M427" s="4">
        <f t="shared" ref="M427:N427" si="175">M111/M$13</f>
        <v>4.4074073217023179E-4</v>
      </c>
      <c r="N427" s="4">
        <f t="shared" si="175"/>
        <v>4.4074073217023168E-4</v>
      </c>
    </row>
    <row r="428" spans="1:14" x14ac:dyDescent="0.2">
      <c r="A428" s="30">
        <v>284</v>
      </c>
      <c r="B428" s="31" t="s">
        <v>426</v>
      </c>
      <c r="I428" s="165">
        <f t="shared" si="140"/>
        <v>-919.33799999999997</v>
      </c>
      <c r="J428" s="4">
        <f t="shared" si="168"/>
        <v>2.1140968518515245E-4</v>
      </c>
      <c r="K428" s="4">
        <f t="shared" si="168"/>
        <v>1.3612765457313484E-4</v>
      </c>
      <c r="L428" s="4">
        <f t="shared" si="168"/>
        <v>2.8518172138725117E-4</v>
      </c>
      <c r="M428" s="4">
        <f t="shared" ref="M428:N428" si="176">M112/M$13</f>
        <v>2.851823080412135E-4</v>
      </c>
      <c r="N428" s="4">
        <f t="shared" si="176"/>
        <v>2.851823080412135E-4</v>
      </c>
    </row>
    <row r="429" spans="1:14" x14ac:dyDescent="0.2">
      <c r="A429" s="30">
        <v>285</v>
      </c>
      <c r="B429" s="31" t="s">
        <v>427</v>
      </c>
      <c r="I429" s="165">
        <f t="shared" si="140"/>
        <v>-16767.546735</v>
      </c>
      <c r="J429" s="4">
        <f t="shared" si="168"/>
        <v>1.0823889316952228E-2</v>
      </c>
      <c r="K429" s="4">
        <f t="shared" si="168"/>
        <v>7.3564906248612472E-3</v>
      </c>
      <c r="L429" s="4">
        <f t="shared" si="168"/>
        <v>5.4398517595710232E-3</v>
      </c>
      <c r="M429" s="4">
        <f t="shared" ref="M429:N429" si="177">M113/M$13</f>
        <v>5.4398629500167998E-3</v>
      </c>
      <c r="N429" s="4">
        <f t="shared" si="177"/>
        <v>5.439862950016798E-3</v>
      </c>
    </row>
    <row r="430" spans="1:14" x14ac:dyDescent="0.2">
      <c r="A430" s="30">
        <v>286</v>
      </c>
      <c r="B430" s="31" t="s">
        <v>428</v>
      </c>
      <c r="I430" s="165">
        <f t="shared" si="140"/>
        <v>-30897.804899999999</v>
      </c>
      <c r="J430" s="4">
        <f t="shared" si="168"/>
        <v>1.2753626270882661E-2</v>
      </c>
      <c r="K430" s="4">
        <f t="shared" si="168"/>
        <v>7.4427418835780702E-3</v>
      </c>
      <c r="L430" s="4">
        <f t="shared" si="168"/>
        <v>9.6855044861107846E-3</v>
      </c>
      <c r="M430" s="4">
        <f t="shared" ref="M430:N430" si="178">M114/M$13</f>
        <v>9.6855244103876866E-3</v>
      </c>
      <c r="N430" s="4">
        <f t="shared" si="178"/>
        <v>9.6855244103876848E-3</v>
      </c>
    </row>
    <row r="431" spans="1:14" x14ac:dyDescent="0.2">
      <c r="A431" s="30">
        <v>287</v>
      </c>
      <c r="B431" s="31" t="s">
        <v>429</v>
      </c>
      <c r="I431" s="165">
        <f t="shared" si="140"/>
        <v>-2499.0236100000002</v>
      </c>
      <c r="J431" s="4">
        <f t="shared" si="168"/>
        <v>1.9351843257644306E-3</v>
      </c>
      <c r="K431" s="4">
        <f t="shared" si="168"/>
        <v>1.0369644977364749E-3</v>
      </c>
      <c r="L431" s="4">
        <f t="shared" si="168"/>
        <v>9.1459689299523922E-4</v>
      </c>
      <c r="M431" s="4">
        <f t="shared" ref="M431:N431" si="179">M115/M$13</f>
        <v>9.1459877443381338E-4</v>
      </c>
      <c r="N431" s="4">
        <f t="shared" si="179"/>
        <v>9.1459877443381317E-4</v>
      </c>
    </row>
    <row r="432" spans="1:14" x14ac:dyDescent="0.2">
      <c r="A432" s="30">
        <v>288</v>
      </c>
      <c r="B432" s="31" t="s">
        <v>430</v>
      </c>
      <c r="I432" s="165">
        <f t="shared" si="140"/>
        <v>-3716.2368900000001</v>
      </c>
      <c r="J432" s="4">
        <f t="shared" si="168"/>
        <v>3.8720142130190454E-4</v>
      </c>
      <c r="K432" s="4">
        <f t="shared" si="168"/>
        <v>5.2895987163409928E-4</v>
      </c>
      <c r="L432" s="4">
        <f t="shared" si="168"/>
        <v>7.6354365607855172E-4</v>
      </c>
      <c r="M432" s="4">
        <f t="shared" ref="M432:N432" si="180">M116/M$13</f>
        <v>7.6354522678199338E-4</v>
      </c>
      <c r="N432" s="4">
        <f t="shared" si="180"/>
        <v>7.6354522678199327E-4</v>
      </c>
    </row>
    <row r="433" spans="1:14" x14ac:dyDescent="0.2">
      <c r="A433" s="30">
        <v>290</v>
      </c>
      <c r="B433" s="31" t="s">
        <v>431</v>
      </c>
      <c r="I433" s="165">
        <f t="shared" si="140"/>
        <v>-2090.2466100000001</v>
      </c>
      <c r="J433" s="4">
        <f t="shared" si="168"/>
        <v>1.0770187870182484E-3</v>
      </c>
      <c r="K433" s="4">
        <f t="shared" si="168"/>
        <v>3.6043719144161632E-4</v>
      </c>
      <c r="L433" s="4">
        <f t="shared" si="168"/>
        <v>6.0141400007835419E-4</v>
      </c>
      <c r="M433" s="4">
        <f t="shared" ref="M433:N433" si="181">M117/M$13</f>
        <v>6.0141523726110378E-4</v>
      </c>
      <c r="N433" s="4">
        <f t="shared" si="181"/>
        <v>6.0141523726110367E-4</v>
      </c>
    </row>
    <row r="434" spans="1:14" x14ac:dyDescent="0.2">
      <c r="A434" s="30">
        <v>291</v>
      </c>
      <c r="B434" s="31" t="s">
        <v>432</v>
      </c>
      <c r="I434" s="165">
        <f t="shared" si="140"/>
        <v>-3279.2827950000001</v>
      </c>
      <c r="J434" s="4">
        <f t="shared" si="168"/>
        <v>4.4395727784294692E-4</v>
      </c>
      <c r="K434" s="4">
        <f t="shared" si="168"/>
        <v>2.3514384355712118E-4</v>
      </c>
      <c r="L434" s="4">
        <f t="shared" si="168"/>
        <v>4.459301384224768E-4</v>
      </c>
      <c r="M434" s="4">
        <f t="shared" ref="M434:N434" si="182">M118/M$13</f>
        <v>4.4593105575575255E-4</v>
      </c>
      <c r="N434" s="4">
        <f t="shared" si="182"/>
        <v>4.4593105575575244E-4</v>
      </c>
    </row>
    <row r="435" spans="1:14" x14ac:dyDescent="0.2">
      <c r="A435" s="30">
        <v>297</v>
      </c>
      <c r="B435" s="31" t="s">
        <v>433</v>
      </c>
      <c r="I435" s="165">
        <f t="shared" si="140"/>
        <v>-62390.604500000001</v>
      </c>
      <c r="J435" s="4">
        <f t="shared" si="168"/>
        <v>4.3826885171514791E-2</v>
      </c>
      <c r="K435" s="4">
        <f t="shared" si="168"/>
        <v>2.1983714778722168E-2</v>
      </c>
      <c r="L435" s="4">
        <f t="shared" si="168"/>
        <v>2.0215183564634823E-2</v>
      </c>
      <c r="M435" s="4">
        <f t="shared" ref="M435:N435" si="183">M119/M$13</f>
        <v>2.0215225149759847E-2</v>
      </c>
      <c r="N435" s="4">
        <f t="shared" si="183"/>
        <v>2.0215225149759843E-2</v>
      </c>
    </row>
    <row r="436" spans="1:14" x14ac:dyDescent="0.2">
      <c r="A436" s="30">
        <v>300</v>
      </c>
      <c r="B436" s="31" t="s">
        <v>434</v>
      </c>
      <c r="I436" s="165">
        <f t="shared" si="140"/>
        <v>-2002.899095</v>
      </c>
      <c r="J436" s="4">
        <f t="shared" si="168"/>
        <v>6.9197273231364311E-4</v>
      </c>
      <c r="K436" s="4">
        <f t="shared" si="168"/>
        <v>3.7242149470575743E-4</v>
      </c>
      <c r="L436" s="4">
        <f t="shared" si="168"/>
        <v>4.7453373069026737E-4</v>
      </c>
      <c r="M436" s="4">
        <f t="shared" ref="M436:N436" si="184">M120/M$13</f>
        <v>4.7453470686465907E-4</v>
      </c>
      <c r="N436" s="4">
        <f t="shared" si="184"/>
        <v>4.7453470686465902E-4</v>
      </c>
    </row>
    <row r="437" spans="1:14" x14ac:dyDescent="0.2">
      <c r="A437" s="30">
        <v>301</v>
      </c>
      <c r="B437" s="31" t="s">
        <v>435</v>
      </c>
      <c r="I437" s="165">
        <f t="shared" si="140"/>
        <v>-9006.2588099999994</v>
      </c>
      <c r="J437" s="4">
        <f t="shared" si="168"/>
        <v>1.4511446631802663E-2</v>
      </c>
      <c r="K437" s="4">
        <f t="shared" si="168"/>
        <v>6.21041463629355E-3</v>
      </c>
      <c r="L437" s="4">
        <f t="shared" si="168"/>
        <v>4.2632762455605041E-3</v>
      </c>
      <c r="M437" s="4">
        <f t="shared" ref="M437:N437" si="185">M121/M$13</f>
        <v>4.263285015645382E-3</v>
      </c>
      <c r="N437" s="4">
        <f t="shared" si="185"/>
        <v>4.263285015645382E-3</v>
      </c>
    </row>
    <row r="438" spans="1:14" x14ac:dyDescent="0.2">
      <c r="A438" s="30">
        <v>304</v>
      </c>
      <c r="B438" s="31" t="s">
        <v>436</v>
      </c>
      <c r="I438" s="165">
        <f t="shared" si="140"/>
        <v>-821.73211500000002</v>
      </c>
      <c r="J438" s="4">
        <f t="shared" si="168"/>
        <v>2.1372881581872233E-4</v>
      </c>
      <c r="K438" s="4">
        <f t="shared" si="168"/>
        <v>2.5559952554665032E-4</v>
      </c>
      <c r="L438" s="4">
        <f t="shared" si="168"/>
        <v>2.2145910016923615E-4</v>
      </c>
      <c r="M438" s="4">
        <f t="shared" ref="M438:N438" si="186">M122/M$13</f>
        <v>2.2145955573791003E-4</v>
      </c>
      <c r="N438" s="4">
        <f t="shared" si="186"/>
        <v>2.2145955573790998E-4</v>
      </c>
    </row>
    <row r="439" spans="1:14" x14ac:dyDescent="0.2">
      <c r="A439" s="30">
        <v>305</v>
      </c>
      <c r="B439" s="31" t="s">
        <v>437</v>
      </c>
      <c r="I439" s="165">
        <f t="shared" si="140"/>
        <v>-13720.655185</v>
      </c>
      <c r="J439" s="4">
        <f t="shared" si="168"/>
        <v>8.1469063867491542E-3</v>
      </c>
      <c r="K439" s="4">
        <f t="shared" si="168"/>
        <v>5.6658638110796454E-3</v>
      </c>
      <c r="L439" s="4">
        <f t="shared" si="168"/>
        <v>4.5120526328332865E-3</v>
      </c>
      <c r="M439" s="4">
        <f t="shared" ref="M439:N439" si="187">M123/M$13</f>
        <v>4.5120619146818662E-3</v>
      </c>
      <c r="N439" s="4">
        <f t="shared" si="187"/>
        <v>4.5120619146818653E-3</v>
      </c>
    </row>
    <row r="440" spans="1:14" x14ac:dyDescent="0.2">
      <c r="A440" s="30">
        <v>309</v>
      </c>
      <c r="B440" s="31" t="s">
        <v>438</v>
      </c>
      <c r="I440" s="165">
        <f t="shared" si="140"/>
        <v>15172.923350000001</v>
      </c>
      <c r="J440" s="4">
        <f t="shared" si="168"/>
        <v>1.1012081698009192E-3</v>
      </c>
      <c r="K440" s="4">
        <f t="shared" si="168"/>
        <v>1.5749852173508598E-3</v>
      </c>
      <c r="L440" s="4">
        <f t="shared" si="168"/>
        <v>9.7079578579433205E-4</v>
      </c>
      <c r="M440" s="4">
        <f t="shared" ref="M440:N440" si="188">M124/M$13</f>
        <v>9.7079778284095777E-4</v>
      </c>
      <c r="N440" s="4">
        <f t="shared" si="188"/>
        <v>9.7079778284095755E-4</v>
      </c>
    </row>
    <row r="441" spans="1:14" x14ac:dyDescent="0.2">
      <c r="A441" s="30">
        <v>312</v>
      </c>
      <c r="B441" s="31" t="s">
        <v>439</v>
      </c>
      <c r="I441" s="165">
        <f t="shared" si="140"/>
        <v>-266.41122000000001</v>
      </c>
      <c r="J441" s="4">
        <f t="shared" ref="J441:L460" si="189">J125/J$13</f>
        <v>1.3576834555474238E-4</v>
      </c>
      <c r="K441" s="4">
        <f t="shared" si="189"/>
        <v>1.3555941121084478E-6</v>
      </c>
      <c r="L441" s="4">
        <f t="shared" si="189"/>
        <v>6.4147907802874371E-5</v>
      </c>
      <c r="M441" s="4">
        <f t="shared" ref="M441:N441" si="190">M125/M$13</f>
        <v>6.4148039763029847E-5</v>
      </c>
      <c r="N441" s="4">
        <f t="shared" si="190"/>
        <v>6.4148039763029833E-5</v>
      </c>
    </row>
    <row r="442" spans="1:14" x14ac:dyDescent="0.2">
      <c r="A442" s="30">
        <v>316</v>
      </c>
      <c r="B442" s="31" t="s">
        <v>440</v>
      </c>
      <c r="I442" s="165">
        <f t="shared" si="140"/>
        <v>-6409.1696849999998</v>
      </c>
      <c r="J442" s="4">
        <f t="shared" si="189"/>
        <v>1.9852866893512655E-3</v>
      </c>
      <c r="K442" s="4">
        <f t="shared" si="189"/>
        <v>6.7482058348464387E-4</v>
      </c>
      <c r="L442" s="4">
        <f t="shared" si="189"/>
        <v>9.6844898202264669E-4</v>
      </c>
      <c r="M442" s="4">
        <f t="shared" ref="M442:N442" si="191">M126/M$13</f>
        <v>9.6845097424160778E-4</v>
      </c>
      <c r="N442" s="4">
        <f t="shared" si="191"/>
        <v>9.6845097424160757E-4</v>
      </c>
    </row>
    <row r="443" spans="1:14" x14ac:dyDescent="0.2">
      <c r="A443" s="30">
        <v>317</v>
      </c>
      <c r="B443" s="31" t="s">
        <v>441</v>
      </c>
      <c r="I443" s="165">
        <f t="shared" si="140"/>
        <v>-852.37237000000005</v>
      </c>
      <c r="J443" s="4">
        <f t="shared" si="189"/>
        <v>5.2708961622258913E-4</v>
      </c>
      <c r="K443" s="4">
        <f t="shared" si="189"/>
        <v>1.6487385734399108E-4</v>
      </c>
      <c r="L443" s="4">
        <f t="shared" si="189"/>
        <v>1.7597135119716369E-4</v>
      </c>
      <c r="M443" s="4">
        <f t="shared" ref="M443:N443" si="192">M127/M$13</f>
        <v>1.7597171319192953E-4</v>
      </c>
      <c r="N443" s="4">
        <f t="shared" si="192"/>
        <v>1.7597171319192948E-4</v>
      </c>
    </row>
    <row r="444" spans="1:14" x14ac:dyDescent="0.2">
      <c r="A444" s="30">
        <v>320</v>
      </c>
      <c r="B444" s="31" t="s">
        <v>442</v>
      </c>
      <c r="I444" s="165">
        <f t="shared" si="140"/>
        <v>-4602.8699850000003</v>
      </c>
      <c r="J444" s="4">
        <f t="shared" si="189"/>
        <v>7.0228570465035182E-4</v>
      </c>
      <c r="K444" s="4">
        <f t="shared" si="189"/>
        <v>1.4771622656833631E-3</v>
      </c>
      <c r="L444" s="4">
        <f t="shared" si="189"/>
        <v>9.9554627708051818E-4</v>
      </c>
      <c r="M444" s="4">
        <f t="shared" ref="M444:N444" si="193">M128/M$13</f>
        <v>9.955483250419562E-4</v>
      </c>
      <c r="N444" s="4">
        <f t="shared" si="193"/>
        <v>9.9554832504195599E-4</v>
      </c>
    </row>
    <row r="445" spans="1:14" x14ac:dyDescent="0.2">
      <c r="A445" s="30">
        <v>322</v>
      </c>
      <c r="B445" s="31" t="s">
        <v>443</v>
      </c>
      <c r="I445" s="165">
        <f t="shared" si="140"/>
        <v>-1364.3920899999998</v>
      </c>
      <c r="J445" s="4">
        <f t="shared" si="189"/>
        <v>8.7688736328644923E-4</v>
      </c>
      <c r="K445" s="4">
        <f t="shared" si="189"/>
        <v>8.4199141913833238E-4</v>
      </c>
      <c r="L445" s="4">
        <f t="shared" si="189"/>
        <v>1.2328836376149172E-3</v>
      </c>
      <c r="M445" s="4">
        <f t="shared" ref="M445:N445" si="194">M129/M$13</f>
        <v>1.2328861738085683E-3</v>
      </c>
      <c r="N445" s="4">
        <f t="shared" si="194"/>
        <v>1.2328861738085677E-3</v>
      </c>
    </row>
    <row r="446" spans="1:14" x14ac:dyDescent="0.2">
      <c r="A446" s="30">
        <v>398</v>
      </c>
      <c r="B446" s="31" t="s">
        <v>444</v>
      </c>
      <c r="I446" s="165">
        <f t="shared" si="140"/>
        <v>-46457.849029999998</v>
      </c>
      <c r="J446" s="4">
        <f t="shared" si="189"/>
        <v>-7.8530877989898412E-3</v>
      </c>
      <c r="K446" s="4">
        <f t="shared" si="189"/>
        <v>1.1602219024113321E-2</v>
      </c>
      <c r="L446" s="4">
        <f t="shared" si="189"/>
        <v>1.4846638215520791E-2</v>
      </c>
      <c r="M446" s="4">
        <f t="shared" ref="M446:N446" si="195">M130/M$13</f>
        <v>1.4846668756886117E-2</v>
      </c>
      <c r="N446" s="4">
        <f t="shared" si="195"/>
        <v>1.4846668756886113E-2</v>
      </c>
    </row>
    <row r="447" spans="1:14" x14ac:dyDescent="0.2">
      <c r="A447" s="30">
        <v>399</v>
      </c>
      <c r="B447" s="31" t="s">
        <v>445</v>
      </c>
      <c r="I447" s="165">
        <f t="shared" si="140"/>
        <v>-1417.7719999999999</v>
      </c>
      <c r="J447" s="4">
        <f t="shared" si="189"/>
        <v>1.1045192778050975E-3</v>
      </c>
      <c r="K447" s="4">
        <f t="shared" si="189"/>
        <v>4.7096813029000339E-4</v>
      </c>
      <c r="L447" s="4">
        <f t="shared" si="189"/>
        <v>5.5100288680853902E-4</v>
      </c>
      <c r="M447" s="4">
        <f t="shared" ref="M447:N447" si="196">M131/M$13</f>
        <v>5.5100402028941317E-4</v>
      </c>
      <c r="N447" s="4">
        <f t="shared" si="196"/>
        <v>5.5100402028941307E-4</v>
      </c>
    </row>
    <row r="448" spans="1:14" x14ac:dyDescent="0.2">
      <c r="A448" s="30">
        <v>400</v>
      </c>
      <c r="B448" s="31" t="s">
        <v>446</v>
      </c>
      <c r="I448" s="165">
        <f t="shared" si="140"/>
        <v>-5374.8595150000001</v>
      </c>
      <c r="J448" s="4">
        <f t="shared" si="189"/>
        <v>1.890061695003178E-3</v>
      </c>
      <c r="K448" s="4">
        <f t="shared" si="189"/>
        <v>1.6288794992638735E-3</v>
      </c>
      <c r="L448" s="4">
        <f t="shared" si="189"/>
        <v>1.323371406462171E-3</v>
      </c>
      <c r="M448" s="4">
        <f t="shared" ref="M448:N448" si="197">M132/M$13</f>
        <v>1.3233741288003194E-3</v>
      </c>
      <c r="N448" s="4">
        <f t="shared" si="197"/>
        <v>1.3233741288003189E-3</v>
      </c>
    </row>
    <row r="449" spans="1:14" x14ac:dyDescent="0.2">
      <c r="A449" s="30">
        <v>402</v>
      </c>
      <c r="B449" s="31" t="s">
        <v>447</v>
      </c>
      <c r="I449" s="165">
        <f t="shared" si="140"/>
        <v>-6131.7845550000002</v>
      </c>
      <c r="J449" s="4">
        <f t="shared" si="189"/>
        <v>1.9593858539562444E-3</v>
      </c>
      <c r="K449" s="4">
        <f t="shared" si="189"/>
        <v>6.2684194347201346E-4</v>
      </c>
      <c r="L449" s="4">
        <f t="shared" si="189"/>
        <v>9.5878883744592242E-4</v>
      </c>
      <c r="M449" s="4">
        <f t="shared" ref="M449:N449" si="198">M133/M$13</f>
        <v>9.5879080979277499E-4</v>
      </c>
      <c r="N449" s="4">
        <f t="shared" si="198"/>
        <v>9.5879080979277477E-4</v>
      </c>
    </row>
    <row r="450" spans="1:14" x14ac:dyDescent="0.2">
      <c r="A450" s="30">
        <v>403</v>
      </c>
      <c r="B450" s="31" t="s">
        <v>448</v>
      </c>
      <c r="I450" s="165">
        <f t="shared" si="140"/>
        <v>-3653.6721750000002</v>
      </c>
      <c r="J450" s="4">
        <f t="shared" si="189"/>
        <v>7.5838449599521394E-4</v>
      </c>
      <c r="K450" s="4">
        <f t="shared" si="189"/>
        <v>1.5957196067786504E-4</v>
      </c>
      <c r="L450" s="4">
        <f t="shared" si="189"/>
        <v>4.9305403478626961E-4</v>
      </c>
      <c r="M450" s="4">
        <f t="shared" ref="M450:N450" si="199">M134/M$13</f>
        <v>4.9305504905921031E-4</v>
      </c>
      <c r="N450" s="4">
        <f t="shared" si="199"/>
        <v>4.930550490592102E-4</v>
      </c>
    </row>
    <row r="451" spans="1:14" x14ac:dyDescent="0.2">
      <c r="A451" s="30">
        <v>405</v>
      </c>
      <c r="B451" s="31" t="s">
        <v>449</v>
      </c>
      <c r="I451" s="165">
        <f t="shared" si="140"/>
        <v>-37165.478524999999</v>
      </c>
      <c r="J451" s="4">
        <f t="shared" si="189"/>
        <v>8.8981329453492221E-3</v>
      </c>
      <c r="K451" s="4">
        <f t="shared" si="189"/>
        <v>5.5205196348095797E-3</v>
      </c>
      <c r="L451" s="4">
        <f t="shared" si="189"/>
        <v>1.1804662731361937E-2</v>
      </c>
      <c r="M451" s="4">
        <f t="shared" ref="M451:N451" si="200">M135/M$13</f>
        <v>1.1804687015008633E-2</v>
      </c>
      <c r="N451" s="4">
        <f t="shared" si="200"/>
        <v>1.1804687015008629E-2</v>
      </c>
    </row>
    <row r="452" spans="1:14" x14ac:dyDescent="0.2">
      <c r="A452" s="30">
        <v>407</v>
      </c>
      <c r="B452" s="31" t="s">
        <v>450</v>
      </c>
      <c r="I452" s="165">
        <f t="shared" si="140"/>
        <v>1300.341175</v>
      </c>
      <c r="J452" s="4">
        <f t="shared" si="189"/>
        <v>2.1805626393486564E-4</v>
      </c>
      <c r="K452" s="4">
        <f t="shared" si="189"/>
        <v>1.6326927583893523E-4</v>
      </c>
      <c r="L452" s="4">
        <f t="shared" si="189"/>
        <v>3.2599696035823017E-4</v>
      </c>
      <c r="M452" s="4">
        <f t="shared" ref="M452:N452" si="201">M136/M$13</f>
        <v>3.2599763097417147E-4</v>
      </c>
      <c r="N452" s="4">
        <f t="shared" si="201"/>
        <v>3.2599763097417142E-4</v>
      </c>
    </row>
    <row r="453" spans="1:14" x14ac:dyDescent="0.2">
      <c r="A453" s="30">
        <v>408</v>
      </c>
      <c r="B453" s="31" t="s">
        <v>451</v>
      </c>
      <c r="I453" s="165">
        <f t="shared" si="140"/>
        <v>-9744.5011599999998</v>
      </c>
      <c r="J453" s="4">
        <f t="shared" si="189"/>
        <v>3.8044443200846612E-3</v>
      </c>
      <c r="K453" s="4">
        <f t="shared" si="189"/>
        <v>1.8018519361076698E-3</v>
      </c>
      <c r="L453" s="4">
        <f t="shared" si="189"/>
        <v>2.2597213228850539E-3</v>
      </c>
      <c r="M453" s="4">
        <f t="shared" ref="M453:N453" si="202">M137/M$13</f>
        <v>2.2597259714104275E-3</v>
      </c>
      <c r="N453" s="4">
        <f t="shared" si="202"/>
        <v>2.2597259714104267E-3</v>
      </c>
    </row>
    <row r="454" spans="1:14" x14ac:dyDescent="0.2">
      <c r="A454" s="30">
        <v>410</v>
      </c>
      <c r="B454" s="31" t="s">
        <v>452</v>
      </c>
      <c r="I454" s="165">
        <f t="shared" si="140"/>
        <v>-15010.15264</v>
      </c>
      <c r="J454" s="4">
        <f t="shared" si="189"/>
        <v>4.1614585738972741E-3</v>
      </c>
      <c r="K454" s="4">
        <f t="shared" si="189"/>
        <v>1.1907722336650915E-3</v>
      </c>
      <c r="L454" s="4">
        <f t="shared" si="189"/>
        <v>2.1863274366902582E-3</v>
      </c>
      <c r="M454" s="4">
        <f t="shared" ref="M454:N454" si="203">M138/M$13</f>
        <v>2.1863319342353593E-3</v>
      </c>
      <c r="N454" s="4">
        <f t="shared" si="203"/>
        <v>2.1863319342353589E-3</v>
      </c>
    </row>
    <row r="455" spans="1:14" x14ac:dyDescent="0.2">
      <c r="A455" s="30">
        <v>416</v>
      </c>
      <c r="B455" s="31" t="s">
        <v>453</v>
      </c>
      <c r="I455" s="165">
        <f t="shared" si="140"/>
        <v>-260.713615</v>
      </c>
      <c r="J455" s="4">
        <f t="shared" si="189"/>
        <v>4.5061279423286646E-4</v>
      </c>
      <c r="K455" s="4">
        <f t="shared" si="189"/>
        <v>4.1608855106373322E-5</v>
      </c>
      <c r="L455" s="4">
        <f t="shared" si="189"/>
        <v>8.9015697038398505E-5</v>
      </c>
      <c r="M455" s="4">
        <f t="shared" ref="M455:N455" si="204">M139/M$13</f>
        <v>8.9015880154662519E-5</v>
      </c>
      <c r="N455" s="4">
        <f t="shared" si="204"/>
        <v>8.9015880154662505E-5</v>
      </c>
    </row>
    <row r="456" spans="1:14" x14ac:dyDescent="0.2">
      <c r="A456" s="30">
        <v>418</v>
      </c>
      <c r="B456" s="31" t="s">
        <v>454</v>
      </c>
      <c r="I456" s="165">
        <f t="shared" si="140"/>
        <v>-8355.4136949999993</v>
      </c>
      <c r="J456" s="4">
        <f t="shared" si="189"/>
        <v>4.3655305331909396E-3</v>
      </c>
      <c r="K456" s="4">
        <f t="shared" si="189"/>
        <v>4.369153304659968E-3</v>
      </c>
      <c r="L456" s="4">
        <f t="shared" si="189"/>
        <v>3.83296630569494E-3</v>
      </c>
      <c r="M456" s="4">
        <f t="shared" ref="M456:N456" si="205">M140/M$13</f>
        <v>3.8329741905792167E-3</v>
      </c>
      <c r="N456" s="4">
        <f t="shared" si="205"/>
        <v>3.8329741905792163E-3</v>
      </c>
    </row>
    <row r="457" spans="1:14" x14ac:dyDescent="0.2">
      <c r="A457" s="30">
        <v>420</v>
      </c>
      <c r="B457" s="31" t="s">
        <v>455</v>
      </c>
      <c r="I457" s="165">
        <f t="shared" si="140"/>
        <v>-1995.2550649999998</v>
      </c>
      <c r="J457" s="4">
        <f t="shared" si="189"/>
        <v>4.6759935003476167E-4</v>
      </c>
      <c r="K457" s="4">
        <f t="shared" si="189"/>
        <v>5.0670079941822054E-4</v>
      </c>
      <c r="L457" s="4">
        <f t="shared" si="189"/>
        <v>1.1476223399176362E-3</v>
      </c>
      <c r="M457" s="4">
        <f t="shared" ref="M457:N457" si="206">M141/M$13</f>
        <v>1.1476247007182858E-3</v>
      </c>
      <c r="N457" s="4">
        <f t="shared" si="206"/>
        <v>1.1476247007182853E-3</v>
      </c>
    </row>
    <row r="458" spans="1:14" x14ac:dyDescent="0.2">
      <c r="A458" s="30">
        <v>421</v>
      </c>
      <c r="B458" s="31" t="s">
        <v>456</v>
      </c>
      <c r="I458" s="165">
        <f t="shared" si="140"/>
        <v>-3013.1550950000001</v>
      </c>
      <c r="J458" s="4">
        <f t="shared" si="189"/>
        <v>3.7521368670845724E-4</v>
      </c>
      <c r="K458" s="4">
        <f t="shared" si="189"/>
        <v>0</v>
      </c>
      <c r="L458" s="4">
        <f t="shared" si="189"/>
        <v>3.0184111276356093E-4</v>
      </c>
      <c r="M458" s="4">
        <f t="shared" ref="M458:N458" si="207">M142/M$13</f>
        <v>3.0184173368794537E-4</v>
      </c>
      <c r="N458" s="4">
        <f t="shared" si="207"/>
        <v>3.0184173368794532E-4</v>
      </c>
    </row>
    <row r="459" spans="1:14" x14ac:dyDescent="0.2">
      <c r="A459" s="30">
        <v>422</v>
      </c>
      <c r="B459" s="31" t="s">
        <v>457</v>
      </c>
      <c r="I459" s="165">
        <f t="shared" ref="I459:I522" si="208">AVERAGE(H143:I143)</f>
        <v>-6110.3538799999997</v>
      </c>
      <c r="J459" s="4">
        <f t="shared" si="189"/>
        <v>1.7135776993344976E-3</v>
      </c>
      <c r="K459" s="4">
        <f t="shared" si="189"/>
        <v>1.0792565099180219E-3</v>
      </c>
      <c r="L459" s="4">
        <f t="shared" si="189"/>
        <v>1.4942387791816972E-3</v>
      </c>
      <c r="M459" s="4">
        <f t="shared" ref="M459:N459" si="209">M143/M$13</f>
        <v>1.4942418530150981E-3</v>
      </c>
      <c r="N459" s="4">
        <f t="shared" si="209"/>
        <v>1.4942418530150979E-3</v>
      </c>
    </row>
    <row r="460" spans="1:14" x14ac:dyDescent="0.2">
      <c r="A460" s="30">
        <v>423</v>
      </c>
      <c r="B460" s="31" t="s">
        <v>458</v>
      </c>
      <c r="I460" s="165">
        <f t="shared" si="208"/>
        <v>-8080.4962500000001</v>
      </c>
      <c r="J460" s="4">
        <f t="shared" si="189"/>
        <v>4.6257985238205533E-3</v>
      </c>
      <c r="K460" s="4">
        <f t="shared" si="189"/>
        <v>2.5261489772289182E-3</v>
      </c>
      <c r="L460" s="4">
        <f t="shared" si="189"/>
        <v>3.2954179928180987E-3</v>
      </c>
      <c r="M460" s="4">
        <f t="shared" ref="M460:N460" si="210">M144/M$13</f>
        <v>3.2954247718992189E-3</v>
      </c>
      <c r="N460" s="4">
        <f t="shared" si="210"/>
        <v>3.2954247718992181E-3</v>
      </c>
    </row>
    <row r="461" spans="1:14" x14ac:dyDescent="0.2">
      <c r="A461" s="30">
        <v>425</v>
      </c>
      <c r="B461" s="31" t="s">
        <v>459</v>
      </c>
      <c r="I461" s="165">
        <f t="shared" si="208"/>
        <v>-4254.3273300000001</v>
      </c>
      <c r="J461" s="4">
        <f t="shared" ref="J461:L480" si="211">J145/J$13</f>
        <v>2.0037782977331479E-3</v>
      </c>
      <c r="K461" s="4">
        <f t="shared" si="211"/>
        <v>1.1641919666323032E-3</v>
      </c>
      <c r="L461" s="4">
        <f t="shared" si="211"/>
        <v>1.0993886554197029E-3</v>
      </c>
      <c r="M461" s="4">
        <f t="shared" ref="M461:N461" si="212">M145/M$13</f>
        <v>1.0993909169977165E-3</v>
      </c>
      <c r="N461" s="4">
        <f t="shared" si="212"/>
        <v>1.099390916997716E-3</v>
      </c>
    </row>
    <row r="462" spans="1:14" x14ac:dyDescent="0.2">
      <c r="A462" s="30">
        <v>426</v>
      </c>
      <c r="B462" s="31" t="s">
        <v>460</v>
      </c>
      <c r="I462" s="165">
        <f t="shared" si="208"/>
        <v>-11525.918174999999</v>
      </c>
      <c r="J462" s="4">
        <f t="shared" si="211"/>
        <v>2.7140985237752179E-3</v>
      </c>
      <c r="K462" s="4">
        <f t="shared" si="211"/>
        <v>7.2136830986510873E-4</v>
      </c>
      <c r="L462" s="4">
        <f t="shared" si="211"/>
        <v>1.7947573919917445E-3</v>
      </c>
      <c r="M462" s="4">
        <f t="shared" ref="M462:N462" si="213">M146/M$13</f>
        <v>1.7947610840289847E-3</v>
      </c>
      <c r="N462" s="4">
        <f t="shared" si="213"/>
        <v>1.7947610840289843E-3</v>
      </c>
    </row>
    <row r="463" spans="1:14" x14ac:dyDescent="0.2">
      <c r="A463" s="30">
        <v>430</v>
      </c>
      <c r="B463" s="31" t="s">
        <v>461</v>
      </c>
      <c r="I463" s="165">
        <f t="shared" si="208"/>
        <v>-3620.6938600000003</v>
      </c>
      <c r="J463" s="4">
        <f t="shared" si="211"/>
        <v>1.500613094907262E-3</v>
      </c>
      <c r="K463" s="4">
        <f t="shared" si="211"/>
        <v>1.3868129836083071E-3</v>
      </c>
      <c r="L463" s="4">
        <f t="shared" si="211"/>
        <v>1.2599499760069144E-3</v>
      </c>
      <c r="M463" s="4">
        <f t="shared" ref="M463:N463" si="214">M147/M$13</f>
        <v>1.2599525678793609E-3</v>
      </c>
      <c r="N463" s="4">
        <f t="shared" si="214"/>
        <v>1.2599525678793605E-3</v>
      </c>
    </row>
    <row r="464" spans="1:14" x14ac:dyDescent="0.2">
      <c r="A464" s="30">
        <v>433</v>
      </c>
      <c r="B464" s="31" t="s">
        <v>462</v>
      </c>
      <c r="I464" s="165">
        <f t="shared" si="208"/>
        <v>-944.35191499999996</v>
      </c>
      <c r="J464" s="4">
        <f t="shared" si="211"/>
        <v>2.8798291046091009E-3</v>
      </c>
      <c r="K464" s="4">
        <f t="shared" si="211"/>
        <v>1.0197167641447331E-3</v>
      </c>
      <c r="L464" s="4">
        <f t="shared" si="211"/>
        <v>6.4331222934164024E-4</v>
      </c>
      <c r="M464" s="4">
        <f t="shared" ref="M464:N464" si="215">M148/M$13</f>
        <v>6.4331355271421322E-4</v>
      </c>
      <c r="N464" s="4">
        <f t="shared" si="215"/>
        <v>6.4331355271421311E-4</v>
      </c>
    </row>
    <row r="465" spans="1:14" x14ac:dyDescent="0.2">
      <c r="A465" s="30">
        <v>434</v>
      </c>
      <c r="B465" s="31" t="s">
        <v>463</v>
      </c>
      <c r="I465" s="165">
        <f t="shared" si="208"/>
        <v>-11186.905999999999</v>
      </c>
      <c r="J465" s="4">
        <f t="shared" si="211"/>
        <v>3.798455923736154E-3</v>
      </c>
      <c r="K465" s="4">
        <f t="shared" si="211"/>
        <v>1.0415313804302631E-3</v>
      </c>
      <c r="L465" s="4">
        <f t="shared" si="211"/>
        <v>2.4997612764151656E-3</v>
      </c>
      <c r="M465" s="4">
        <f t="shared" ref="M465:N465" si="216">M149/M$13</f>
        <v>2.4997664187323197E-3</v>
      </c>
      <c r="N465" s="4">
        <f t="shared" si="216"/>
        <v>2.4997664187323188E-3</v>
      </c>
    </row>
    <row r="466" spans="1:14" x14ac:dyDescent="0.2">
      <c r="A466" s="30">
        <v>435</v>
      </c>
      <c r="B466" s="31" t="s">
        <v>464</v>
      </c>
      <c r="I466" s="165">
        <f t="shared" si="208"/>
        <v>-43.683774999999997</v>
      </c>
      <c r="J466" s="4">
        <f t="shared" si="211"/>
        <v>-6.8139581189856527E-6</v>
      </c>
      <c r="K466" s="4">
        <f t="shared" si="211"/>
        <v>8.1746500190004683E-6</v>
      </c>
      <c r="L466" s="4">
        <f t="shared" si="211"/>
        <v>6.4616591739436022E-5</v>
      </c>
      <c r="M466" s="4">
        <f t="shared" ref="M466:N466" si="217">M150/M$13</f>
        <v>6.4616724663732144E-5</v>
      </c>
      <c r="N466" s="4">
        <f t="shared" si="217"/>
        <v>6.4616724663732131E-5</v>
      </c>
    </row>
    <row r="467" spans="1:14" x14ac:dyDescent="0.2">
      <c r="A467" s="30">
        <v>436</v>
      </c>
      <c r="B467" s="31" t="s">
        <v>465</v>
      </c>
      <c r="I467" s="165">
        <f t="shared" si="208"/>
        <v>-475.506665</v>
      </c>
      <c r="J467" s="4">
        <f t="shared" si="211"/>
        <v>1.2265171412118604E-3</v>
      </c>
      <c r="K467" s="4">
        <f t="shared" si="211"/>
        <v>4.7575476021174056E-4</v>
      </c>
      <c r="L467" s="4">
        <f t="shared" si="211"/>
        <v>2.8369292976567146E-4</v>
      </c>
      <c r="M467" s="4">
        <f t="shared" ref="M467:N467" si="218">M151/M$13</f>
        <v>2.8369351335700595E-4</v>
      </c>
      <c r="N467" s="4">
        <f t="shared" si="218"/>
        <v>2.8369351335700589E-4</v>
      </c>
    </row>
    <row r="468" spans="1:14" x14ac:dyDescent="0.2">
      <c r="A468" s="30">
        <v>440</v>
      </c>
      <c r="B468" s="31" t="s">
        <v>466</v>
      </c>
      <c r="I468" s="165">
        <f t="shared" si="208"/>
        <v>-3019.5387700000001</v>
      </c>
      <c r="J468" s="4">
        <f t="shared" si="211"/>
        <v>1.6691456930740412E-3</v>
      </c>
      <c r="K468" s="4">
        <f t="shared" si="211"/>
        <v>2.0767658391377952E-3</v>
      </c>
      <c r="L468" s="4">
        <f t="shared" si="211"/>
        <v>1.0530218550031491E-3</v>
      </c>
      <c r="M468" s="4">
        <f t="shared" ref="M468:N468" si="219">M152/M$13</f>
        <v>1.0530240211989374E-3</v>
      </c>
      <c r="N468" s="4">
        <f t="shared" si="219"/>
        <v>1.0530240211989372E-3</v>
      </c>
    </row>
    <row r="469" spans="1:14" x14ac:dyDescent="0.2">
      <c r="A469" s="30">
        <v>441</v>
      </c>
      <c r="B469" s="31" t="s">
        <v>467</v>
      </c>
      <c r="I469" s="165">
        <f t="shared" si="208"/>
        <v>-481.76833999999997</v>
      </c>
      <c r="J469" s="4">
        <f t="shared" si="211"/>
        <v>3.5994695056942687E-4</v>
      </c>
      <c r="K469" s="4">
        <f t="shared" si="211"/>
        <v>4.2448422799152473E-4</v>
      </c>
      <c r="L469" s="4">
        <f t="shared" si="211"/>
        <v>5.0100444964321826E-4</v>
      </c>
      <c r="M469" s="4">
        <f t="shared" ref="M469:N469" si="220">M153/M$13</f>
        <v>5.0100548027114263E-4</v>
      </c>
      <c r="N469" s="4">
        <f t="shared" si="220"/>
        <v>5.0100548027114241E-4</v>
      </c>
    </row>
    <row r="470" spans="1:14" x14ac:dyDescent="0.2">
      <c r="A470" s="30">
        <v>444</v>
      </c>
      <c r="B470" s="31" t="s">
        <v>468</v>
      </c>
      <c r="I470" s="165">
        <f t="shared" si="208"/>
        <v>-30560.92873</v>
      </c>
      <c r="J470" s="4">
        <f t="shared" si="211"/>
        <v>1.240593085913891E-2</v>
      </c>
      <c r="K470" s="4">
        <f t="shared" si="211"/>
        <v>9.6462265672784524E-3</v>
      </c>
      <c r="L470" s="4">
        <f t="shared" si="211"/>
        <v>8.133680780943937E-3</v>
      </c>
      <c r="M470" s="4">
        <f t="shared" ref="M470:N470" si="221">M154/M$13</f>
        <v>8.1336975129281466E-3</v>
      </c>
      <c r="N470" s="4">
        <f t="shared" si="221"/>
        <v>8.1336975129281449E-3</v>
      </c>
    </row>
    <row r="471" spans="1:14" x14ac:dyDescent="0.2">
      <c r="A471" s="30">
        <v>445</v>
      </c>
      <c r="B471" s="31" t="s">
        <v>469</v>
      </c>
      <c r="I471" s="165">
        <f t="shared" si="208"/>
        <v>-4755.7359500000002</v>
      </c>
      <c r="J471" s="4">
        <f t="shared" si="211"/>
        <v>5.1928825360180661E-3</v>
      </c>
      <c r="K471" s="4">
        <f t="shared" si="211"/>
        <v>3.1111421606821624E-3</v>
      </c>
      <c r="L471" s="4">
        <f t="shared" si="211"/>
        <v>2.2733545663542812E-3</v>
      </c>
      <c r="M471" s="4">
        <f t="shared" ref="M471:N471" si="222">M155/M$13</f>
        <v>2.273359242924918E-3</v>
      </c>
      <c r="N471" s="4">
        <f t="shared" si="222"/>
        <v>2.2733592429249171E-3</v>
      </c>
    </row>
    <row r="472" spans="1:14" x14ac:dyDescent="0.2">
      <c r="A472" s="30">
        <v>475</v>
      </c>
      <c r="B472" s="31" t="s">
        <v>470</v>
      </c>
      <c r="I472" s="165">
        <f t="shared" si="208"/>
        <v>-2724.7893300000001</v>
      </c>
      <c r="J472" s="4">
        <f t="shared" si="211"/>
        <v>1.636873892929684E-3</v>
      </c>
      <c r="K472" s="4">
        <f t="shared" si="211"/>
        <v>5.3947910300563803E-4</v>
      </c>
      <c r="L472" s="4">
        <f t="shared" si="211"/>
        <v>7.8633165335012479E-4</v>
      </c>
      <c r="M472" s="4">
        <f t="shared" ref="M472:N472" si="223">M156/M$13</f>
        <v>7.8633327093128647E-4</v>
      </c>
      <c r="N472" s="4">
        <f t="shared" si="223"/>
        <v>7.8633327093128637E-4</v>
      </c>
    </row>
    <row r="473" spans="1:14" x14ac:dyDescent="0.2">
      <c r="A473" s="30">
        <v>480</v>
      </c>
      <c r="B473" s="31" t="s">
        <v>471</v>
      </c>
      <c r="I473" s="165">
        <f t="shared" si="208"/>
        <v>-668.248245</v>
      </c>
      <c r="J473" s="4">
        <f t="shared" si="211"/>
        <v>8.9580591660355481E-5</v>
      </c>
      <c r="K473" s="4">
        <f t="shared" si="211"/>
        <v>1.4831765297665904E-4</v>
      </c>
      <c r="L473" s="4">
        <f t="shared" si="211"/>
        <v>1.7064655873123854E-4</v>
      </c>
      <c r="M473" s="4">
        <f t="shared" ref="M473:N473" si="224">M157/M$13</f>
        <v>1.7064690977224971E-4</v>
      </c>
      <c r="N473" s="4">
        <f t="shared" si="224"/>
        <v>1.7064690977224969E-4</v>
      </c>
    </row>
    <row r="474" spans="1:14" x14ac:dyDescent="0.2">
      <c r="A474" s="30">
        <v>481</v>
      </c>
      <c r="B474" s="31" t="s">
        <v>472</v>
      </c>
      <c r="I474" s="165">
        <f t="shared" si="208"/>
        <v>-753.53074500000002</v>
      </c>
      <c r="J474" s="4">
        <f t="shared" si="211"/>
        <v>6.5920613500951362E-4</v>
      </c>
      <c r="K474" s="4">
        <f t="shared" si="211"/>
        <v>3.7923561082770489E-4</v>
      </c>
      <c r="L474" s="4">
        <f t="shared" si="211"/>
        <v>5.05768115706944E-4</v>
      </c>
      <c r="M474" s="4">
        <f t="shared" ref="M474:N474" si="225">M158/M$13</f>
        <v>5.0576915613431673E-4</v>
      </c>
      <c r="N474" s="4">
        <f t="shared" si="225"/>
        <v>5.0576915613431662E-4</v>
      </c>
    </row>
    <row r="475" spans="1:14" x14ac:dyDescent="0.2">
      <c r="A475" s="30">
        <v>483</v>
      </c>
      <c r="B475" s="31" t="s">
        <v>473</v>
      </c>
      <c r="I475" s="165">
        <f t="shared" si="208"/>
        <v>0.44539499999999776</v>
      </c>
      <c r="J475" s="4">
        <f t="shared" si="211"/>
        <v>3.8167267091126372E-5</v>
      </c>
      <c r="K475" s="4">
        <f t="shared" si="211"/>
        <v>-4.9665934448030625E-5</v>
      </c>
      <c r="L475" s="4">
        <f t="shared" si="211"/>
        <v>2.8853610497662639E-4</v>
      </c>
      <c r="M475" s="4">
        <f t="shared" ref="M475:N475" si="226">M159/M$13</f>
        <v>2.8853669853096944E-4</v>
      </c>
      <c r="N475" s="4">
        <f t="shared" si="226"/>
        <v>2.8853669853096939E-4</v>
      </c>
    </row>
    <row r="476" spans="1:14" x14ac:dyDescent="0.2">
      <c r="A476" s="30">
        <v>484</v>
      </c>
      <c r="B476" s="31" t="s">
        <v>474</v>
      </c>
      <c r="I476" s="165">
        <f t="shared" si="208"/>
        <v>186.30531500000001</v>
      </c>
      <c r="J476" s="4">
        <f t="shared" si="211"/>
        <v>6.0333966477156076E-4</v>
      </c>
      <c r="K476" s="4">
        <f t="shared" si="211"/>
        <v>6.9084612698084983E-4</v>
      </c>
      <c r="L476" s="4">
        <f t="shared" si="211"/>
        <v>4.6998906683859274E-4</v>
      </c>
      <c r="M476" s="4">
        <f t="shared" ref="M476:N476" si="227">M160/M$13</f>
        <v>4.699900336640506E-4</v>
      </c>
      <c r="N476" s="4">
        <f t="shared" si="227"/>
        <v>4.6999003366405049E-4</v>
      </c>
    </row>
    <row r="477" spans="1:14" x14ac:dyDescent="0.2">
      <c r="A477" s="30">
        <v>489</v>
      </c>
      <c r="B477" s="31" t="s">
        <v>475</v>
      </c>
      <c r="I477" s="165">
        <f t="shared" si="208"/>
        <v>-363.6146</v>
      </c>
      <c r="J477" s="4">
        <f t="shared" si="211"/>
        <v>1.9174700619266772E-4</v>
      </c>
      <c r="K477" s="4">
        <f t="shared" si="211"/>
        <v>6.550366824244993E-4</v>
      </c>
      <c r="L477" s="4">
        <f t="shared" si="211"/>
        <v>1.8982647006088749E-4</v>
      </c>
      <c r="M477" s="4">
        <f t="shared" ref="M477:N477" si="228">M161/M$13</f>
        <v>1.8982686055734105E-4</v>
      </c>
      <c r="N477" s="4">
        <f t="shared" si="228"/>
        <v>1.8982686055734103E-4</v>
      </c>
    </row>
    <row r="478" spans="1:14" x14ac:dyDescent="0.2">
      <c r="A478" s="30">
        <v>491</v>
      </c>
      <c r="B478" s="31" t="s">
        <v>476</v>
      </c>
      <c r="I478" s="165">
        <f t="shared" si="208"/>
        <v>-34412.528829999996</v>
      </c>
      <c r="J478" s="4">
        <f t="shared" si="211"/>
        <v>1.2704021308070744E-2</v>
      </c>
      <c r="K478" s="4">
        <f t="shared" si="211"/>
        <v>6.2523615033694014E-3</v>
      </c>
      <c r="L478" s="4">
        <f t="shared" si="211"/>
        <v>7.3670046730148816E-3</v>
      </c>
      <c r="M478" s="4">
        <f t="shared" ref="M478:N478" si="229">M162/M$13</f>
        <v>7.3670198278518095E-3</v>
      </c>
      <c r="N478" s="4">
        <f t="shared" si="229"/>
        <v>7.3670198278518078E-3</v>
      </c>
    </row>
    <row r="479" spans="1:14" x14ac:dyDescent="0.2">
      <c r="A479" s="30">
        <v>494</v>
      </c>
      <c r="B479" s="31" t="s">
        <v>477</v>
      </c>
      <c r="I479" s="165">
        <f t="shared" si="208"/>
        <v>-5999.5769550000005</v>
      </c>
      <c r="J479" s="4">
        <f t="shared" si="211"/>
        <v>2.3900294954042069E-3</v>
      </c>
      <c r="K479" s="4">
        <f t="shared" si="211"/>
        <v>1.4306710675773731E-3</v>
      </c>
      <c r="L479" s="4">
        <f t="shared" si="211"/>
        <v>1.3621870730124055E-3</v>
      </c>
      <c r="M479" s="4">
        <f t="shared" ref="M479:N479" si="230">M163/M$13</f>
        <v>1.3621898751991659E-3</v>
      </c>
      <c r="N479" s="4">
        <f t="shared" si="230"/>
        <v>1.3621898751991657E-3</v>
      </c>
    </row>
    <row r="480" spans="1:14" x14ac:dyDescent="0.2">
      <c r="A480" s="30">
        <v>495</v>
      </c>
      <c r="B480" s="31" t="s">
        <v>478</v>
      </c>
      <c r="I480" s="165">
        <f t="shared" si="208"/>
        <v>-253.10969</v>
      </c>
      <c r="J480" s="4">
        <f t="shared" si="211"/>
        <v>1.0783149270532834E-4</v>
      </c>
      <c r="K480" s="4">
        <f t="shared" si="211"/>
        <v>5.3866017775776045E-5</v>
      </c>
      <c r="L480" s="4">
        <f t="shared" si="211"/>
        <v>5.4661242989850176E-5</v>
      </c>
      <c r="M480" s="4">
        <f t="shared" ref="M480:N480" si="231">M164/M$13</f>
        <v>5.4661355434766469E-5</v>
      </c>
      <c r="N480" s="4">
        <f t="shared" si="231"/>
        <v>5.4661355434766455E-5</v>
      </c>
    </row>
    <row r="481" spans="1:14" x14ac:dyDescent="0.2">
      <c r="A481" s="30">
        <v>498</v>
      </c>
      <c r="B481" s="31" t="s">
        <v>479</v>
      </c>
      <c r="I481" s="165">
        <f t="shared" si="208"/>
        <v>-1624.8608999999999</v>
      </c>
      <c r="J481" s="4">
        <f t="shared" ref="J481:L500" si="232">J165/J$13</f>
        <v>4.1970218134835098E-4</v>
      </c>
      <c r="K481" s="4">
        <f t="shared" si="232"/>
        <v>1.5713445334894171E-4</v>
      </c>
      <c r="L481" s="4">
        <f t="shared" si="232"/>
        <v>3.7475155812528713E-4</v>
      </c>
      <c r="M481" s="4">
        <f t="shared" ref="M481:N481" si="233">M165/M$13</f>
        <v>3.7475232903544717E-4</v>
      </c>
      <c r="N481" s="4">
        <f t="shared" si="233"/>
        <v>3.7475232903544717E-4</v>
      </c>
    </row>
    <row r="482" spans="1:14" x14ac:dyDescent="0.2">
      <c r="A482" s="30">
        <v>499</v>
      </c>
      <c r="B482" s="31" t="s">
        <v>480</v>
      </c>
      <c r="I482" s="165">
        <f t="shared" si="208"/>
        <v>-9608.6210749999991</v>
      </c>
      <c r="J482" s="4">
        <f t="shared" si="232"/>
        <v>6.3253853447452222E-3</v>
      </c>
      <c r="K482" s="4">
        <f t="shared" si="232"/>
        <v>5.0443194643292341E-3</v>
      </c>
      <c r="L482" s="4">
        <f t="shared" si="232"/>
        <v>3.8008770044231678E-3</v>
      </c>
      <c r="M482" s="4">
        <f t="shared" ref="M482:N482" si="234">M166/M$13</f>
        <v>3.8008848232957953E-3</v>
      </c>
      <c r="N482" s="4">
        <f t="shared" si="234"/>
        <v>3.8008848232957949E-3</v>
      </c>
    </row>
    <row r="483" spans="1:14" x14ac:dyDescent="0.2">
      <c r="A483" s="30">
        <v>500</v>
      </c>
      <c r="B483" s="31" t="s">
        <v>481</v>
      </c>
      <c r="I483" s="165">
        <f t="shared" si="208"/>
        <v>-3803.20145</v>
      </c>
      <c r="J483" s="4">
        <f t="shared" si="232"/>
        <v>3.0542613796196998E-3</v>
      </c>
      <c r="K483" s="4">
        <f t="shared" si="232"/>
        <v>4.2790648605815877E-3</v>
      </c>
      <c r="L483" s="4">
        <f t="shared" si="232"/>
        <v>1.9118332051520643E-3</v>
      </c>
      <c r="M483" s="4">
        <f t="shared" ref="M483:N483" si="235">M167/M$13</f>
        <v>1.911837138028687E-3</v>
      </c>
      <c r="N483" s="4">
        <f t="shared" si="235"/>
        <v>1.9118371380286866E-3</v>
      </c>
    </row>
    <row r="484" spans="1:14" x14ac:dyDescent="0.2">
      <c r="A484" s="30">
        <v>503</v>
      </c>
      <c r="B484" s="31" t="s">
        <v>482</v>
      </c>
      <c r="I484" s="165">
        <f t="shared" si="208"/>
        <v>-6074.6213200000002</v>
      </c>
      <c r="J484" s="4">
        <f t="shared" si="232"/>
        <v>2.4642783372648244E-3</v>
      </c>
      <c r="K484" s="4">
        <f t="shared" si="232"/>
        <v>8.2441659966565623E-4</v>
      </c>
      <c r="L484" s="4">
        <f t="shared" si="232"/>
        <v>1.1258001983115802E-3</v>
      </c>
      <c r="M484" s="4">
        <f t="shared" ref="M484:N484" si="236">M168/M$13</f>
        <v>1.1258025142213939E-3</v>
      </c>
      <c r="N484" s="4">
        <f t="shared" si="236"/>
        <v>1.1258025142213935E-3</v>
      </c>
    </row>
    <row r="485" spans="1:14" x14ac:dyDescent="0.2">
      <c r="A485" s="30">
        <v>504</v>
      </c>
      <c r="B485" s="31" t="s">
        <v>483</v>
      </c>
      <c r="I485" s="165">
        <f t="shared" si="208"/>
        <v>-4400.0034049999995</v>
      </c>
      <c r="J485" s="4">
        <f t="shared" si="232"/>
        <v>9.3132251647611724E-4</v>
      </c>
      <c r="K485" s="4">
        <f t="shared" si="232"/>
        <v>9.0832374064312717E-4</v>
      </c>
      <c r="L485" s="4">
        <f t="shared" si="232"/>
        <v>5.9358101108770414E-4</v>
      </c>
      <c r="M485" s="4">
        <f t="shared" ref="M485:N485" si="237">M169/M$13</f>
        <v>5.9358223215702955E-4</v>
      </c>
      <c r="N485" s="4">
        <f t="shared" si="237"/>
        <v>5.9358223215702944E-4</v>
      </c>
    </row>
    <row r="486" spans="1:14" x14ac:dyDescent="0.2">
      <c r="A486" s="30">
        <v>505</v>
      </c>
      <c r="B486" s="31" t="s">
        <v>484</v>
      </c>
      <c r="I486" s="165">
        <f t="shared" si="208"/>
        <v>-3205.63798</v>
      </c>
      <c r="J486" s="4">
        <f t="shared" si="232"/>
        <v>4.9223027525900961E-3</v>
      </c>
      <c r="K486" s="4">
        <f t="shared" si="232"/>
        <v>2.3598493439544468E-3</v>
      </c>
      <c r="L486" s="4">
        <f t="shared" si="232"/>
        <v>2.1283766819031997E-3</v>
      </c>
      <c r="M486" s="4">
        <f t="shared" ref="M486:N486" si="238">M170/M$13</f>
        <v>2.1283810602364529E-3</v>
      </c>
      <c r="N486" s="4">
        <f t="shared" si="238"/>
        <v>2.1283810602364525E-3</v>
      </c>
    </row>
    <row r="487" spans="1:14" x14ac:dyDescent="0.2">
      <c r="A487" s="30">
        <v>507</v>
      </c>
      <c r="B487" s="31" t="s">
        <v>485</v>
      </c>
      <c r="I487" s="165">
        <f t="shared" si="208"/>
        <v>-3985.7936850000001</v>
      </c>
      <c r="J487" s="4">
        <f t="shared" si="232"/>
        <v>3.6082481959152083E-4</v>
      </c>
      <c r="K487" s="4">
        <f t="shared" si="232"/>
        <v>2.7231398468181817E-4</v>
      </c>
      <c r="L487" s="4">
        <f t="shared" si="232"/>
        <v>6.5209165726916383E-4</v>
      </c>
      <c r="M487" s="4">
        <f t="shared" ref="M487:N487" si="239">M171/M$13</f>
        <v>6.5209299870210252E-4</v>
      </c>
      <c r="N487" s="4">
        <f t="shared" si="239"/>
        <v>6.520929987021023E-4</v>
      </c>
    </row>
    <row r="488" spans="1:14" x14ac:dyDescent="0.2">
      <c r="A488" s="30">
        <v>508</v>
      </c>
      <c r="B488" s="31" t="s">
        <v>486</v>
      </c>
      <c r="I488" s="165">
        <f t="shared" si="208"/>
        <v>-1181.733735</v>
      </c>
      <c r="J488" s="4">
        <f t="shared" si="232"/>
        <v>4.2918647045332893E-4</v>
      </c>
      <c r="K488" s="4">
        <f t="shared" si="232"/>
        <v>5.1480832855035409E-4</v>
      </c>
      <c r="L488" s="4">
        <f t="shared" si="232"/>
        <v>3.7061242035299691E-4</v>
      </c>
      <c r="M488" s="4">
        <f t="shared" ref="M488:N488" si="240">M172/M$13</f>
        <v>3.7061318274844035E-4</v>
      </c>
      <c r="N488" s="4">
        <f t="shared" si="240"/>
        <v>3.7061318274844024E-4</v>
      </c>
    </row>
    <row r="489" spans="1:14" x14ac:dyDescent="0.2">
      <c r="A489" s="30">
        <v>529</v>
      </c>
      <c r="B489" s="31" t="s">
        <v>487</v>
      </c>
      <c r="I489" s="165">
        <f t="shared" si="208"/>
        <v>-12551.522335</v>
      </c>
      <c r="J489" s="4">
        <f t="shared" si="232"/>
        <v>1.0288094252168653E-2</v>
      </c>
      <c r="K489" s="4">
        <f t="shared" si="232"/>
        <v>3.6591430162903941E-3</v>
      </c>
      <c r="L489" s="4">
        <f t="shared" si="232"/>
        <v>4.2778744900119851E-3</v>
      </c>
      <c r="M489" s="4">
        <f t="shared" ref="M489:N489" si="241">M173/M$13</f>
        <v>4.2778832901272526E-3</v>
      </c>
      <c r="N489" s="4">
        <f t="shared" si="241"/>
        <v>4.2778832901272509E-3</v>
      </c>
    </row>
    <row r="490" spans="1:14" x14ac:dyDescent="0.2">
      <c r="A490" s="30">
        <v>531</v>
      </c>
      <c r="B490" s="31" t="s">
        <v>488</v>
      </c>
      <c r="I490" s="165">
        <f t="shared" si="208"/>
        <v>-1029.87617</v>
      </c>
      <c r="J490" s="4">
        <f t="shared" si="232"/>
        <v>-1.9842082460655059E-4</v>
      </c>
      <c r="K490" s="4">
        <f t="shared" si="232"/>
        <v>3.5862193434440947E-5</v>
      </c>
      <c r="L490" s="4">
        <f t="shared" si="232"/>
        <v>6.1254633638608441E-4</v>
      </c>
      <c r="M490" s="4">
        <f t="shared" ref="M490:N490" si="242">M174/M$13</f>
        <v>6.1254759646942232E-4</v>
      </c>
      <c r="N490" s="4">
        <f t="shared" si="242"/>
        <v>6.1254759646942221E-4</v>
      </c>
    </row>
    <row r="491" spans="1:14" x14ac:dyDescent="0.2">
      <c r="A491" s="30">
        <v>535</v>
      </c>
      <c r="B491" s="31" t="s">
        <v>489</v>
      </c>
      <c r="I491" s="165">
        <f t="shared" si="208"/>
        <v>-5354.4915350000001</v>
      </c>
      <c r="J491" s="4">
        <f t="shared" si="232"/>
        <v>4.3247655965943394E-3</v>
      </c>
      <c r="K491" s="4">
        <f t="shared" si="232"/>
        <v>1.8644545708639973E-3</v>
      </c>
      <c r="L491" s="4">
        <f t="shared" si="232"/>
        <v>1.5933248836107984E-3</v>
      </c>
      <c r="M491" s="4">
        <f t="shared" ref="M491:N491" si="243">M175/M$13</f>
        <v>1.5933281612765331E-3</v>
      </c>
      <c r="N491" s="4">
        <f t="shared" si="243"/>
        <v>1.5933281612765327E-3</v>
      </c>
    </row>
    <row r="492" spans="1:14" x14ac:dyDescent="0.2">
      <c r="A492" s="30">
        <v>536</v>
      </c>
      <c r="B492" s="31" t="s">
        <v>490</v>
      </c>
      <c r="I492" s="165">
        <f t="shared" si="208"/>
        <v>-26243.236850000001</v>
      </c>
      <c r="J492" s="4">
        <f t="shared" si="232"/>
        <v>5.0534906774108599E-3</v>
      </c>
      <c r="K492" s="4">
        <f t="shared" si="232"/>
        <v>6.4921405596971259E-3</v>
      </c>
      <c r="L492" s="4">
        <f t="shared" si="232"/>
        <v>6.9473602254689105E-3</v>
      </c>
      <c r="M492" s="4">
        <f t="shared" ref="M492:N492" si="244">M176/M$13</f>
        <v>6.9473745170454699E-3</v>
      </c>
      <c r="N492" s="4">
        <f t="shared" si="244"/>
        <v>6.9473745170454682E-3</v>
      </c>
    </row>
    <row r="493" spans="1:14" x14ac:dyDescent="0.2">
      <c r="A493" s="30">
        <v>538</v>
      </c>
      <c r="B493" s="31" t="s">
        <v>491</v>
      </c>
      <c r="I493" s="165">
        <f t="shared" si="208"/>
        <v>-5873.8963899999999</v>
      </c>
      <c r="J493" s="4">
        <f t="shared" si="232"/>
        <v>5.8390431063003298E-4</v>
      </c>
      <c r="K493" s="4">
        <f t="shared" si="232"/>
        <v>6.7324539125993845E-4</v>
      </c>
      <c r="L493" s="4">
        <f t="shared" si="232"/>
        <v>1.2233038831373471E-3</v>
      </c>
      <c r="M493" s="4">
        <f t="shared" ref="M493:N493" si="245">M177/M$13</f>
        <v>1.223306399624262E-3</v>
      </c>
      <c r="N493" s="4">
        <f t="shared" si="245"/>
        <v>1.2233063996242618E-3</v>
      </c>
    </row>
    <row r="494" spans="1:14" x14ac:dyDescent="0.2">
      <c r="A494" s="30">
        <v>541</v>
      </c>
      <c r="B494" s="31" t="s">
        <v>492</v>
      </c>
      <c r="I494" s="165">
        <f t="shared" si="208"/>
        <v>-1860.458525</v>
      </c>
      <c r="J494" s="4">
        <f t="shared" si="232"/>
        <v>1.8504945700147293E-3</v>
      </c>
      <c r="K494" s="4">
        <f t="shared" si="232"/>
        <v>8.1764675995859844E-4</v>
      </c>
      <c r="L494" s="4">
        <f t="shared" si="232"/>
        <v>7.1926877118431239E-4</v>
      </c>
      <c r="M494" s="4">
        <f t="shared" ref="M494:N494" si="246">M178/M$13</f>
        <v>7.1927025080885702E-4</v>
      </c>
      <c r="N494" s="4">
        <f t="shared" si="246"/>
        <v>7.192702508088568E-4</v>
      </c>
    </row>
    <row r="495" spans="1:14" x14ac:dyDescent="0.2">
      <c r="A495" s="30">
        <v>543</v>
      </c>
      <c r="B495" s="31" t="s">
        <v>493</v>
      </c>
      <c r="I495" s="165">
        <f t="shared" si="208"/>
        <v>-25457.936000000002</v>
      </c>
      <c r="J495" s="4">
        <f t="shared" si="232"/>
        <v>1.4731049980159817E-2</v>
      </c>
      <c r="K495" s="4">
        <f t="shared" si="232"/>
        <v>3.1012474542292602E-3</v>
      </c>
      <c r="L495" s="4">
        <f t="shared" si="232"/>
        <v>9.369045076770055E-3</v>
      </c>
      <c r="M495" s="4">
        <f t="shared" ref="M495:N495" si="247">M179/M$13</f>
        <v>9.3690643500509343E-3</v>
      </c>
      <c r="N495" s="4">
        <f t="shared" si="247"/>
        <v>9.3690643500509308E-3</v>
      </c>
    </row>
    <row r="496" spans="1:14" x14ac:dyDescent="0.2">
      <c r="A496" s="30">
        <v>545</v>
      </c>
      <c r="B496" s="31" t="s">
        <v>494</v>
      </c>
      <c r="I496" s="165">
        <f t="shared" si="208"/>
        <v>-13864.880999999999</v>
      </c>
      <c r="J496" s="4">
        <f t="shared" si="232"/>
        <v>5.1764677110868402E-3</v>
      </c>
      <c r="K496" s="4">
        <f t="shared" si="232"/>
        <v>2.7739711611236982E-3</v>
      </c>
      <c r="L496" s="4">
        <f t="shared" si="232"/>
        <v>2.8769961432215324E-3</v>
      </c>
      <c r="M496" s="4">
        <f t="shared" ref="M496:N496" si="248">M180/M$13</f>
        <v>2.8770020615573183E-3</v>
      </c>
      <c r="N496" s="4">
        <f t="shared" si="248"/>
        <v>2.8770020615573179E-3</v>
      </c>
    </row>
    <row r="497" spans="1:14" x14ac:dyDescent="0.2">
      <c r="A497" s="30">
        <v>560</v>
      </c>
      <c r="B497" s="31" t="s">
        <v>495</v>
      </c>
      <c r="I497" s="165">
        <f t="shared" si="208"/>
        <v>-16286.579974999999</v>
      </c>
      <c r="J497" s="4">
        <f t="shared" si="232"/>
        <v>5.6409702071490656E-3</v>
      </c>
      <c r="K497" s="4">
        <f t="shared" si="232"/>
        <v>1.2458586033507872E-3</v>
      </c>
      <c r="L497" s="4">
        <f t="shared" si="232"/>
        <v>2.6684129248420274E-3</v>
      </c>
      <c r="M497" s="4">
        <f t="shared" ref="M497:N497" si="249">M181/M$13</f>
        <v>2.6684184140964165E-3</v>
      </c>
      <c r="N497" s="4">
        <f t="shared" si="249"/>
        <v>2.6684184140964157E-3</v>
      </c>
    </row>
    <row r="498" spans="1:14" x14ac:dyDescent="0.2">
      <c r="A498" s="30">
        <v>561</v>
      </c>
      <c r="B498" s="31" t="s">
        <v>496</v>
      </c>
      <c r="I498" s="165">
        <f t="shared" si="208"/>
        <v>-370.280055</v>
      </c>
      <c r="J498" s="4">
        <f t="shared" si="232"/>
        <v>1.8171360842007527E-4</v>
      </c>
      <c r="K498" s="4">
        <f t="shared" si="232"/>
        <v>1.369637714655422E-4</v>
      </c>
      <c r="L498" s="4">
        <f t="shared" si="232"/>
        <v>1.4690710596984636E-4</v>
      </c>
      <c r="M498" s="4">
        <f t="shared" ref="M498:N498" si="250">M182/M$13</f>
        <v>1.4690740817587626E-4</v>
      </c>
      <c r="N498" s="4">
        <f t="shared" si="250"/>
        <v>1.469074081758762E-4</v>
      </c>
    </row>
    <row r="499" spans="1:14" x14ac:dyDescent="0.2">
      <c r="A499" s="30">
        <v>562</v>
      </c>
      <c r="B499" s="31" t="s">
        <v>497</v>
      </c>
      <c r="I499" s="165">
        <f t="shared" si="208"/>
        <v>-1407.3278299999999</v>
      </c>
      <c r="J499" s="4">
        <f t="shared" si="232"/>
        <v>2.0453681344079792E-3</v>
      </c>
      <c r="K499" s="4">
        <f t="shared" si="232"/>
        <v>1.4706033997991608E-3</v>
      </c>
      <c r="L499" s="4">
        <f t="shared" si="232"/>
        <v>9.2829641343967421E-4</v>
      </c>
      <c r="M499" s="4">
        <f t="shared" ref="M499:N499" si="251">M183/M$13</f>
        <v>9.2829832305985115E-4</v>
      </c>
      <c r="N499" s="4">
        <f t="shared" si="251"/>
        <v>9.2829832305985082E-4</v>
      </c>
    </row>
    <row r="500" spans="1:14" x14ac:dyDescent="0.2">
      <c r="A500" s="30">
        <v>563</v>
      </c>
      <c r="B500" s="31" t="s">
        <v>498</v>
      </c>
      <c r="I500" s="165">
        <f t="shared" si="208"/>
        <v>-2735.364775</v>
      </c>
      <c r="J500" s="4">
        <f t="shared" si="232"/>
        <v>1.6139366620322344E-3</v>
      </c>
      <c r="K500" s="4">
        <f t="shared" si="232"/>
        <v>8.911296994229776E-4</v>
      </c>
      <c r="L500" s="4">
        <f t="shared" si="232"/>
        <v>7.9895008512492587E-4</v>
      </c>
      <c r="M500" s="4">
        <f t="shared" ref="M500:N500" si="252">M184/M$13</f>
        <v>7.9895172866375759E-4</v>
      </c>
      <c r="N500" s="4">
        <f t="shared" si="252"/>
        <v>7.9895172866375737E-4</v>
      </c>
    </row>
    <row r="501" spans="1:14" x14ac:dyDescent="0.2">
      <c r="A501" s="30">
        <v>564</v>
      </c>
      <c r="B501" s="31" t="s">
        <v>499</v>
      </c>
      <c r="I501" s="165">
        <f t="shared" si="208"/>
        <v>-84402.540639999992</v>
      </c>
      <c r="J501" s="4">
        <f t="shared" ref="J501:L520" si="253">J185/J$13</f>
        <v>-3.9906434294858788E-2</v>
      </c>
      <c r="K501" s="4">
        <f t="shared" si="253"/>
        <v>4.3933856658812165E-2</v>
      </c>
      <c r="L501" s="4">
        <f t="shared" si="253"/>
        <v>3.9169631395921521E-2</v>
      </c>
      <c r="M501" s="4">
        <f t="shared" ref="M501:N501" si="254">M185/M$13</f>
        <v>3.9169711972682715E-2</v>
      </c>
      <c r="N501" s="4">
        <f t="shared" si="254"/>
        <v>3.9169711972682715E-2</v>
      </c>
    </row>
    <row r="502" spans="1:14" x14ac:dyDescent="0.2">
      <c r="A502" s="30">
        <v>576</v>
      </c>
      <c r="B502" s="31" t="s">
        <v>500</v>
      </c>
      <c r="I502" s="165">
        <f t="shared" si="208"/>
        <v>-815.55370500000004</v>
      </c>
      <c r="J502" s="4">
        <f t="shared" si="253"/>
        <v>2.9860195142340909E-4</v>
      </c>
      <c r="K502" s="4">
        <f t="shared" si="253"/>
        <v>4.6315251479397133E-4</v>
      </c>
      <c r="L502" s="4">
        <f t="shared" si="253"/>
        <v>3.1873255806965999E-4</v>
      </c>
      <c r="M502" s="4">
        <f t="shared" ref="M502:N502" si="255">M186/M$13</f>
        <v>3.1873321374183009E-4</v>
      </c>
      <c r="N502" s="4">
        <f t="shared" si="255"/>
        <v>3.1873321374182998E-4</v>
      </c>
    </row>
    <row r="503" spans="1:14" x14ac:dyDescent="0.2">
      <c r="A503" s="30">
        <v>577</v>
      </c>
      <c r="B503" s="31" t="s">
        <v>501</v>
      </c>
      <c r="I503" s="165">
        <f t="shared" si="208"/>
        <v>-1922.10745</v>
      </c>
      <c r="J503" s="4">
        <f t="shared" si="253"/>
        <v>1.3766165996580637E-3</v>
      </c>
      <c r="K503" s="4">
        <f t="shared" si="253"/>
        <v>1.2856041319927382E-3</v>
      </c>
      <c r="L503" s="4">
        <f t="shared" si="253"/>
        <v>1.4176351975660512E-3</v>
      </c>
      <c r="M503" s="4">
        <f t="shared" ref="M503:N503" si="256">M187/M$13</f>
        <v>1.4176381138164399E-3</v>
      </c>
      <c r="N503" s="4">
        <f t="shared" si="256"/>
        <v>1.4176381138164397E-3</v>
      </c>
    </row>
    <row r="504" spans="1:14" x14ac:dyDescent="0.2">
      <c r="A504" s="30">
        <v>578</v>
      </c>
      <c r="B504" s="31" t="s">
        <v>502</v>
      </c>
      <c r="I504" s="165">
        <f t="shared" si="208"/>
        <v>-1647.1095249999998</v>
      </c>
      <c r="J504" s="4">
        <f t="shared" si="253"/>
        <v>1.0701797277477174E-3</v>
      </c>
      <c r="K504" s="4">
        <f t="shared" si="253"/>
        <v>1.5422984353443274E-4</v>
      </c>
      <c r="L504" s="4">
        <f t="shared" si="253"/>
        <v>3.0033871702094E-4</v>
      </c>
      <c r="M504" s="4">
        <f t="shared" ref="M504:N504" si="257">M188/M$13</f>
        <v>3.0033933485471123E-4</v>
      </c>
      <c r="N504" s="4">
        <f t="shared" si="257"/>
        <v>3.0033933485471112E-4</v>
      </c>
    </row>
    <row r="505" spans="1:14" x14ac:dyDescent="0.2">
      <c r="A505" s="30">
        <v>580</v>
      </c>
      <c r="B505" s="31" t="s">
        <v>503</v>
      </c>
      <c r="I505" s="165">
        <f t="shared" si="208"/>
        <v>-3482.4287200000003</v>
      </c>
      <c r="J505" s="4">
        <f t="shared" si="253"/>
        <v>2.9568128308087682E-3</v>
      </c>
      <c r="K505" s="4">
        <f t="shared" si="253"/>
        <v>1.9681081307244132E-3</v>
      </c>
      <c r="L505" s="4">
        <f t="shared" si="253"/>
        <v>9.367892681628289E-4</v>
      </c>
      <c r="M505" s="4">
        <f t="shared" ref="M505:N505" si="258">M189/M$13</f>
        <v>9.3679119525385505E-4</v>
      </c>
      <c r="N505" s="4">
        <f t="shared" si="258"/>
        <v>9.3679119525385483E-4</v>
      </c>
    </row>
    <row r="506" spans="1:14" x14ac:dyDescent="0.2">
      <c r="A506" s="30">
        <v>581</v>
      </c>
      <c r="B506" s="31" t="s">
        <v>504</v>
      </c>
      <c r="I506" s="165">
        <f t="shared" si="208"/>
        <v>-2526.407745</v>
      </c>
      <c r="J506" s="4">
        <f t="shared" si="253"/>
        <v>5.5159285210469567E-4</v>
      </c>
      <c r="K506" s="4">
        <f t="shared" si="253"/>
        <v>4.0796334769556603E-4</v>
      </c>
      <c r="L506" s="4">
        <f t="shared" si="253"/>
        <v>4.647625374407176E-4</v>
      </c>
      <c r="M506" s="4">
        <f t="shared" ref="M506:N506" si="259">M190/M$13</f>
        <v>4.6476349351456004E-4</v>
      </c>
      <c r="N506" s="4">
        <f t="shared" si="259"/>
        <v>4.6476349351455993E-4</v>
      </c>
    </row>
    <row r="507" spans="1:14" x14ac:dyDescent="0.2">
      <c r="A507" s="30">
        <v>583</v>
      </c>
      <c r="B507" s="31" t="s">
        <v>505</v>
      </c>
      <c r="I507" s="165">
        <f t="shared" si="208"/>
        <v>-2387.43183</v>
      </c>
      <c r="J507" s="4">
        <f t="shared" si="253"/>
        <v>1.5742677467197826E-3</v>
      </c>
      <c r="K507" s="4">
        <f t="shared" si="253"/>
        <v>1.2000017311088643E-4</v>
      </c>
      <c r="L507" s="4">
        <f t="shared" si="253"/>
        <v>3.8409277678565386E-4</v>
      </c>
      <c r="M507" s="4">
        <f t="shared" ref="M507:N507" si="260">M191/M$13</f>
        <v>3.8409356691185243E-4</v>
      </c>
      <c r="N507" s="4">
        <f t="shared" si="260"/>
        <v>3.8409356691185238E-4</v>
      </c>
    </row>
    <row r="508" spans="1:14" x14ac:dyDescent="0.2">
      <c r="A508" s="30">
        <v>584</v>
      </c>
      <c r="B508" s="31" t="s">
        <v>506</v>
      </c>
      <c r="I508" s="165">
        <f t="shared" si="208"/>
        <v>-1843.155925</v>
      </c>
      <c r="J508" s="4">
        <f t="shared" si="253"/>
        <v>5.3688344304278295E-4</v>
      </c>
      <c r="K508" s="4">
        <f t="shared" si="253"/>
        <v>5.5722269123408333E-4</v>
      </c>
      <c r="L508" s="4">
        <f t="shared" si="253"/>
        <v>4.0184528902070327E-4</v>
      </c>
      <c r="M508" s="4">
        <f t="shared" ref="M508:N508" si="261">M192/M$13</f>
        <v>4.0184611566600832E-4</v>
      </c>
      <c r="N508" s="4">
        <f t="shared" si="261"/>
        <v>4.0184611566600827E-4</v>
      </c>
    </row>
    <row r="509" spans="1:14" x14ac:dyDescent="0.2">
      <c r="A509" s="30">
        <v>588</v>
      </c>
      <c r="B509" s="31" t="s">
        <v>507</v>
      </c>
      <c r="I509" s="165">
        <f t="shared" si="208"/>
        <v>-326.994775</v>
      </c>
      <c r="J509" s="4">
        <f t="shared" si="253"/>
        <v>-2.2648728282869972E-5</v>
      </c>
      <c r="K509" s="4">
        <f t="shared" si="253"/>
        <v>-2.6968442762384423E-4</v>
      </c>
      <c r="L509" s="4">
        <f t="shared" si="253"/>
        <v>2.0571190633911644E-6</v>
      </c>
      <c r="M509" s="4">
        <f t="shared" ref="M509:N509" si="262">M193/M$13</f>
        <v>0</v>
      </c>
      <c r="N509" s="4">
        <f t="shared" si="262"/>
        <v>0</v>
      </c>
    </row>
    <row r="510" spans="1:14" x14ac:dyDescent="0.2">
      <c r="A510" s="30">
        <v>592</v>
      </c>
      <c r="B510" s="31" t="s">
        <v>508</v>
      </c>
      <c r="I510" s="165">
        <f t="shared" si="208"/>
        <v>-1165.3386500000001</v>
      </c>
      <c r="J510" s="4">
        <f t="shared" si="253"/>
        <v>4.7971959089811411E-4</v>
      </c>
      <c r="K510" s="4">
        <f t="shared" si="253"/>
        <v>2.7227909982293719E-4</v>
      </c>
      <c r="L510" s="4">
        <f t="shared" si="253"/>
        <v>2.9239843958311842E-4</v>
      </c>
      <c r="M510" s="4">
        <f t="shared" ref="M510:N510" si="263">M194/M$13</f>
        <v>2.9239904108275996E-4</v>
      </c>
      <c r="N510" s="4">
        <f t="shared" si="263"/>
        <v>2.9239904108275991E-4</v>
      </c>
    </row>
    <row r="511" spans="1:14" x14ac:dyDescent="0.2">
      <c r="A511" s="30">
        <v>593</v>
      </c>
      <c r="B511" s="31" t="s">
        <v>509</v>
      </c>
      <c r="I511" s="165">
        <f t="shared" si="208"/>
        <v>-9303.8263000000006</v>
      </c>
      <c r="J511" s="4">
        <f t="shared" si="253"/>
        <v>3.2674867818948241E-3</v>
      </c>
      <c r="K511" s="4">
        <f t="shared" si="253"/>
        <v>1.7007555635579592E-3</v>
      </c>
      <c r="L511" s="4">
        <f t="shared" si="253"/>
        <v>2.1984127931863433E-3</v>
      </c>
      <c r="M511" s="4">
        <f t="shared" ref="M511:N511" si="264">M195/M$13</f>
        <v>2.1984173155925124E-3</v>
      </c>
      <c r="N511" s="4">
        <f t="shared" si="264"/>
        <v>2.198417315592512E-3</v>
      </c>
    </row>
    <row r="512" spans="1:14" x14ac:dyDescent="0.2">
      <c r="A512" s="30">
        <v>595</v>
      </c>
      <c r="B512" s="31" t="s">
        <v>510</v>
      </c>
      <c r="I512" s="165">
        <f t="shared" si="208"/>
        <v>-598.18650500000001</v>
      </c>
      <c r="J512" s="4">
        <f t="shared" si="253"/>
        <v>9.6694906754372901E-4</v>
      </c>
      <c r="K512" s="4">
        <f t="shared" si="253"/>
        <v>2.0737786275516586E-4</v>
      </c>
      <c r="L512" s="4">
        <f t="shared" si="253"/>
        <v>7.1070288425217377E-4</v>
      </c>
      <c r="M512" s="4">
        <f t="shared" ref="M512:N512" si="265">M196/M$13</f>
        <v>7.1070434625563293E-4</v>
      </c>
      <c r="N512" s="4">
        <f t="shared" si="265"/>
        <v>7.1070434625563283E-4</v>
      </c>
    </row>
    <row r="513" spans="1:14" x14ac:dyDescent="0.2">
      <c r="A513" s="30">
        <v>598</v>
      </c>
      <c r="B513" s="31" t="s">
        <v>511</v>
      </c>
      <c r="I513" s="165">
        <f t="shared" si="208"/>
        <v>-6392.4430000000002</v>
      </c>
      <c r="J513" s="4">
        <f t="shared" si="253"/>
        <v>3.4675967821414071E-3</v>
      </c>
      <c r="K513" s="4">
        <f t="shared" si="253"/>
        <v>2.1094597895259925E-3</v>
      </c>
      <c r="L513" s="4">
        <f t="shared" si="253"/>
        <v>2.1586880234621083E-3</v>
      </c>
      <c r="M513" s="4">
        <f t="shared" ref="M513:N513" si="266">M197/M$13</f>
        <v>2.1586924641495285E-3</v>
      </c>
      <c r="N513" s="4">
        <f t="shared" si="266"/>
        <v>2.1586924641495277E-3</v>
      </c>
    </row>
    <row r="514" spans="1:14" x14ac:dyDescent="0.2">
      <c r="A514" s="30">
        <v>599</v>
      </c>
      <c r="B514" s="31" t="s">
        <v>512</v>
      </c>
      <c r="I514" s="165">
        <f t="shared" si="208"/>
        <v>-3024.8885599999999</v>
      </c>
      <c r="J514" s="4">
        <f t="shared" si="253"/>
        <v>3.8170364482124504E-3</v>
      </c>
      <c r="K514" s="4">
        <f t="shared" si="253"/>
        <v>4.2289185849158717E-3</v>
      </c>
      <c r="L514" s="4">
        <f t="shared" si="253"/>
        <v>1.962934057713851E-3</v>
      </c>
      <c r="M514" s="4">
        <f t="shared" ref="M514:N514" si="267">M198/M$13</f>
        <v>1.962938095711228E-3</v>
      </c>
      <c r="N514" s="4">
        <f t="shared" si="267"/>
        <v>1.9629380957112276E-3</v>
      </c>
    </row>
    <row r="515" spans="1:14" x14ac:dyDescent="0.2">
      <c r="A515" s="30">
        <v>601</v>
      </c>
      <c r="B515" s="31" t="s">
        <v>513</v>
      </c>
      <c r="I515" s="165">
        <f t="shared" si="208"/>
        <v>-1145.704675</v>
      </c>
      <c r="J515" s="4">
        <f t="shared" si="253"/>
        <v>6.5273365803871311E-4</v>
      </c>
      <c r="K515" s="4">
        <f t="shared" si="253"/>
        <v>4.5380734179342383E-4</v>
      </c>
      <c r="L515" s="4">
        <f t="shared" si="253"/>
        <v>3.4311278990635622E-4</v>
      </c>
      <c r="M515" s="4">
        <f t="shared" ref="M515:N515" si="268">M199/M$13</f>
        <v>3.4311349573166918E-4</v>
      </c>
      <c r="N515" s="4">
        <f t="shared" si="268"/>
        <v>3.4311349573166913E-4</v>
      </c>
    </row>
    <row r="516" spans="1:14" x14ac:dyDescent="0.2">
      <c r="A516" s="30">
        <v>604</v>
      </c>
      <c r="B516" s="31" t="s">
        <v>514</v>
      </c>
      <c r="I516" s="165">
        <f t="shared" si="208"/>
        <v>-12167.91073</v>
      </c>
      <c r="J516" s="4">
        <f t="shared" si="253"/>
        <v>7.6871002226410528E-3</v>
      </c>
      <c r="K516" s="4">
        <f t="shared" si="253"/>
        <v>4.7190677564524835E-3</v>
      </c>
      <c r="L516" s="4">
        <f t="shared" si="253"/>
        <v>3.5190353909402084E-3</v>
      </c>
      <c r="M516" s="4">
        <f t="shared" ref="M516:N516" si="269">M200/M$13</f>
        <v>3.5190426300298876E-3</v>
      </c>
      <c r="N516" s="4">
        <f t="shared" si="269"/>
        <v>3.5190426300298863E-3</v>
      </c>
    </row>
    <row r="517" spans="1:14" x14ac:dyDescent="0.2">
      <c r="A517" s="30">
        <v>607</v>
      </c>
      <c r="B517" s="31" t="s">
        <v>515</v>
      </c>
      <c r="I517" s="165">
        <f t="shared" si="208"/>
        <v>-2004.5156550000002</v>
      </c>
      <c r="J517" s="4">
        <f t="shared" si="253"/>
        <v>1.1969454434097406E-3</v>
      </c>
      <c r="K517" s="4">
        <f t="shared" si="253"/>
        <v>1.7038383770632576E-3</v>
      </c>
      <c r="L517" s="4">
        <f t="shared" si="253"/>
        <v>7.0281255267688541E-4</v>
      </c>
      <c r="M517" s="4">
        <f t="shared" ref="M517:N517" si="270">M201/M$13</f>
        <v>7.0281399844895974E-4</v>
      </c>
      <c r="N517" s="4">
        <f t="shared" si="270"/>
        <v>7.0281399844895952E-4</v>
      </c>
    </row>
    <row r="518" spans="1:14" x14ac:dyDescent="0.2">
      <c r="A518" s="30">
        <v>608</v>
      </c>
      <c r="B518" s="31" t="s">
        <v>516</v>
      </c>
      <c r="I518" s="165">
        <f t="shared" si="208"/>
        <v>-369.99762500000003</v>
      </c>
      <c r="J518" s="4">
        <f t="shared" si="253"/>
        <v>9.3363535623846878E-4</v>
      </c>
      <c r="K518" s="4">
        <f t="shared" si="253"/>
        <v>4.6452384735372131E-4</v>
      </c>
      <c r="L518" s="4">
        <f t="shared" si="253"/>
        <v>1.9021968832057246E-4</v>
      </c>
      <c r="M518" s="4">
        <f t="shared" ref="M518:N518" si="271">M202/M$13</f>
        <v>1.9022007962592448E-4</v>
      </c>
      <c r="N518" s="4">
        <f t="shared" si="271"/>
        <v>1.9022007962592446E-4</v>
      </c>
    </row>
    <row r="519" spans="1:14" x14ac:dyDescent="0.2">
      <c r="A519" s="30">
        <v>609</v>
      </c>
      <c r="B519" s="31" t="s">
        <v>517</v>
      </c>
      <c r="I519" s="165">
        <f t="shared" si="208"/>
        <v>-29625.623935</v>
      </c>
      <c r="J519" s="4">
        <f t="shared" si="253"/>
        <v>1.934189343927431E-2</v>
      </c>
      <c r="K519" s="4">
        <f t="shared" si="253"/>
        <v>1.5138624803488201E-2</v>
      </c>
      <c r="L519" s="4">
        <f t="shared" si="253"/>
        <v>1.1029470949237652E-2</v>
      </c>
      <c r="M519" s="4">
        <f t="shared" ref="M519:N519" si="272">M203/M$13</f>
        <v>1.1029493638219274E-2</v>
      </c>
      <c r="N519" s="4">
        <f t="shared" si="272"/>
        <v>1.102949363821927E-2</v>
      </c>
    </row>
    <row r="520" spans="1:14" x14ac:dyDescent="0.2">
      <c r="A520" s="30">
        <v>611</v>
      </c>
      <c r="B520" s="31" t="s">
        <v>518</v>
      </c>
      <c r="I520" s="165">
        <f t="shared" si="208"/>
        <v>-1322.7943</v>
      </c>
      <c r="J520" s="4">
        <f t="shared" si="253"/>
        <v>8.6492992269022496E-4</v>
      </c>
      <c r="K520" s="4">
        <f t="shared" si="253"/>
        <v>4.8447480098748916E-4</v>
      </c>
      <c r="L520" s="4">
        <f t="shared" si="253"/>
        <v>5.1187341178178102E-4</v>
      </c>
      <c r="M520" s="4">
        <f t="shared" ref="M520:N520" si="273">M204/M$13</f>
        <v>5.1187446476850054E-4</v>
      </c>
      <c r="N520" s="4">
        <f t="shared" si="273"/>
        <v>5.1187446476850043E-4</v>
      </c>
    </row>
    <row r="521" spans="1:14" x14ac:dyDescent="0.2">
      <c r="A521" s="30">
        <v>614</v>
      </c>
      <c r="B521" s="31" t="s">
        <v>519</v>
      </c>
      <c r="I521" s="165">
        <f t="shared" si="208"/>
        <v>-1154.035345</v>
      </c>
      <c r="J521" s="4">
        <f t="shared" ref="J521:L540" si="274">J205/J$13</f>
        <v>4.8215265246995834E-4</v>
      </c>
      <c r="K521" s="4">
        <f t="shared" si="274"/>
        <v>2.4805385492853886E-4</v>
      </c>
      <c r="L521" s="4">
        <f t="shared" si="274"/>
        <v>2.8541617414075675E-4</v>
      </c>
      <c r="M521" s="4">
        <f t="shared" ref="M521:N521" si="275">M205/M$13</f>
        <v>2.8541676127701742E-4</v>
      </c>
      <c r="N521" s="4">
        <f t="shared" si="275"/>
        <v>2.8541676127701732E-4</v>
      </c>
    </row>
    <row r="522" spans="1:14" x14ac:dyDescent="0.2">
      <c r="A522" s="30">
        <v>615</v>
      </c>
      <c r="B522" s="31" t="s">
        <v>520</v>
      </c>
      <c r="I522" s="165">
        <f t="shared" si="208"/>
        <v>-4388.3965499999995</v>
      </c>
      <c r="J522" s="4">
        <f t="shared" si="274"/>
        <v>9.8178117736362524E-4</v>
      </c>
      <c r="K522" s="4">
        <f t="shared" si="274"/>
        <v>7.4897230801541993E-5</v>
      </c>
      <c r="L522" s="4">
        <f t="shared" si="274"/>
        <v>5.9076357150369225E-4</v>
      </c>
      <c r="M522" s="4">
        <f t="shared" ref="M522:N522" si="276">M206/M$13</f>
        <v>5.9076478677719713E-4</v>
      </c>
      <c r="N522" s="4">
        <f t="shared" si="276"/>
        <v>5.9076478677719702E-4</v>
      </c>
    </row>
    <row r="523" spans="1:14" x14ac:dyDescent="0.2">
      <c r="A523" s="30">
        <v>616</v>
      </c>
      <c r="B523" s="31" t="s">
        <v>521</v>
      </c>
      <c r="I523" s="165">
        <f t="shared" ref="I523:I586" si="277">AVERAGE(H207:I207)</f>
        <v>-156.071955</v>
      </c>
      <c r="J523" s="4">
        <f t="shared" si="274"/>
        <v>5.6470211669790175E-5</v>
      </c>
      <c r="K523" s="4">
        <f t="shared" si="274"/>
        <v>4.3469624920300098E-5</v>
      </c>
      <c r="L523" s="4">
        <f t="shared" si="274"/>
        <v>1.361606467826609E-4</v>
      </c>
      <c r="M523" s="4">
        <f t="shared" ref="M523:N523" si="278">M207/M$13</f>
        <v>1.3616092688189925E-4</v>
      </c>
      <c r="N523" s="4">
        <f t="shared" si="278"/>
        <v>1.3616092688189922E-4</v>
      </c>
    </row>
    <row r="524" spans="1:14" x14ac:dyDescent="0.2">
      <c r="A524" s="30">
        <v>619</v>
      </c>
      <c r="B524" s="31" t="s">
        <v>522</v>
      </c>
      <c r="I524" s="165">
        <f t="shared" si="277"/>
        <v>-509.573735</v>
      </c>
      <c r="J524" s="4">
        <f t="shared" si="274"/>
        <v>8.6995687061404328E-4</v>
      </c>
      <c r="K524" s="4">
        <f t="shared" si="274"/>
        <v>1.7640760179309065E-4</v>
      </c>
      <c r="L524" s="4">
        <f t="shared" si="274"/>
        <v>2.9996380535341903E-4</v>
      </c>
      <c r="M524" s="4">
        <f t="shared" ref="M524:N524" si="279">M208/M$13</f>
        <v>2.9996442241595075E-4</v>
      </c>
      <c r="N524" s="4">
        <f t="shared" si="279"/>
        <v>2.9996442241595069E-4</v>
      </c>
    </row>
    <row r="525" spans="1:14" x14ac:dyDescent="0.2">
      <c r="A525" s="30">
        <v>620</v>
      </c>
      <c r="B525" s="31" t="s">
        <v>523</v>
      </c>
      <c r="I525" s="165">
        <f t="shared" si="277"/>
        <v>-970.92046499999992</v>
      </c>
      <c r="J525" s="4">
        <f t="shared" si="274"/>
        <v>1.4246188815143265E-3</v>
      </c>
      <c r="K525" s="4">
        <f t="shared" si="274"/>
        <v>-1.6239876210152724E-4</v>
      </c>
      <c r="L525" s="4">
        <f t="shared" si="274"/>
        <v>3.9953499906927821E-4</v>
      </c>
      <c r="M525" s="4">
        <f t="shared" ref="M525:N525" si="280">M209/M$13</f>
        <v>3.9953582096203199E-4</v>
      </c>
      <c r="N525" s="4">
        <f t="shared" si="280"/>
        <v>3.9953582096203193E-4</v>
      </c>
    </row>
    <row r="526" spans="1:14" x14ac:dyDescent="0.2">
      <c r="A526" s="30">
        <v>623</v>
      </c>
      <c r="B526" s="31" t="s">
        <v>524</v>
      </c>
      <c r="I526" s="165">
        <f t="shared" si="277"/>
        <v>-1266.9430550000002</v>
      </c>
      <c r="J526" s="4">
        <f t="shared" si="274"/>
        <v>9.1344983488365428E-4</v>
      </c>
      <c r="K526" s="4">
        <f t="shared" si="274"/>
        <v>3.8497805660194856E-4</v>
      </c>
      <c r="L526" s="4">
        <f t="shared" si="274"/>
        <v>2.8354555952873168E-4</v>
      </c>
      <c r="M526" s="4">
        <f t="shared" ref="M526:N526" si="281">M210/M$13</f>
        <v>2.8354614281690736E-4</v>
      </c>
      <c r="N526" s="4">
        <f t="shared" si="281"/>
        <v>2.8354614281690731E-4</v>
      </c>
    </row>
    <row r="527" spans="1:14" x14ac:dyDescent="0.2">
      <c r="A527" s="30">
        <v>624</v>
      </c>
      <c r="B527" s="31" t="s">
        <v>525</v>
      </c>
      <c r="I527" s="165">
        <f t="shared" si="277"/>
        <v>-1126.4520299999999</v>
      </c>
      <c r="J527" s="4">
        <f t="shared" si="274"/>
        <v>8.3658373167320478E-4</v>
      </c>
      <c r="K527" s="4">
        <f t="shared" si="274"/>
        <v>5.4953125900347331E-4</v>
      </c>
      <c r="L527" s="4">
        <f t="shared" si="274"/>
        <v>2.2410042094082525E-4</v>
      </c>
      <c r="M527" s="4">
        <f t="shared" ref="M527:N527" si="282">M211/M$13</f>
        <v>2.241008819430216E-4</v>
      </c>
      <c r="N527" s="4">
        <f t="shared" si="282"/>
        <v>2.2410088194302157E-4</v>
      </c>
    </row>
    <row r="528" spans="1:14" x14ac:dyDescent="0.2">
      <c r="A528" s="30">
        <v>625</v>
      </c>
      <c r="B528" s="31" t="s">
        <v>526</v>
      </c>
      <c r="I528" s="165">
        <f t="shared" si="277"/>
        <v>-1489.415395</v>
      </c>
      <c r="J528" s="4">
        <f t="shared" si="274"/>
        <v>1.688218655633403E-3</v>
      </c>
      <c r="K528" s="4">
        <f t="shared" si="274"/>
        <v>6.1504681878859363E-4</v>
      </c>
      <c r="L528" s="4">
        <f t="shared" si="274"/>
        <v>7.8465884404380569E-4</v>
      </c>
      <c r="M528" s="4">
        <f t="shared" ref="M528:N528" si="283">M212/M$13</f>
        <v>7.8466045818379241E-4</v>
      </c>
      <c r="N528" s="4">
        <f t="shared" si="283"/>
        <v>7.846604581837923E-4</v>
      </c>
    </row>
    <row r="529" spans="1:14" x14ac:dyDescent="0.2">
      <c r="A529" s="30">
        <v>626</v>
      </c>
      <c r="B529" s="31" t="s">
        <v>527</v>
      </c>
      <c r="I529" s="165">
        <f t="shared" si="277"/>
        <v>-1322.9178149999998</v>
      </c>
      <c r="J529" s="4">
        <f t="shared" si="274"/>
        <v>5.0621233398246714E-4</v>
      </c>
      <c r="K529" s="4">
        <f t="shared" si="274"/>
        <v>6.0736274472282395E-4</v>
      </c>
      <c r="L529" s="4">
        <f t="shared" si="274"/>
        <v>5.9023708090280504E-4</v>
      </c>
      <c r="M529" s="4">
        <f t="shared" ref="M529:N529" si="284">M213/M$13</f>
        <v>5.9023829509325374E-4</v>
      </c>
      <c r="N529" s="4">
        <f t="shared" si="284"/>
        <v>5.9023829509325353E-4</v>
      </c>
    </row>
    <row r="530" spans="1:14" x14ac:dyDescent="0.2">
      <c r="A530" s="30">
        <v>630</v>
      </c>
      <c r="B530" s="31" t="s">
        <v>528</v>
      </c>
      <c r="I530" s="165">
        <f t="shared" si="277"/>
        <v>-484.88387499999999</v>
      </c>
      <c r="J530" s="4">
        <f t="shared" si="274"/>
        <v>1.5075078082496143E-3</v>
      </c>
      <c r="K530" s="4">
        <f t="shared" si="274"/>
        <v>1.1371977743597594E-3</v>
      </c>
      <c r="L530" s="4">
        <f t="shared" si="274"/>
        <v>3.8400713181207385E-4</v>
      </c>
      <c r="M530" s="4">
        <f t="shared" ref="M530:N530" si="285">M214/M$13</f>
        <v>3.8400792176209017E-4</v>
      </c>
      <c r="N530" s="4">
        <f t="shared" si="285"/>
        <v>3.8400792176209006E-4</v>
      </c>
    </row>
    <row r="531" spans="1:14" x14ac:dyDescent="0.2">
      <c r="A531" s="30">
        <v>631</v>
      </c>
      <c r="B531" s="31" t="s">
        <v>529</v>
      </c>
      <c r="I531" s="165">
        <f t="shared" si="277"/>
        <v>-394.94814000000002</v>
      </c>
      <c r="J531" s="4">
        <f t="shared" si="274"/>
        <v>1.0451457331706733E-4</v>
      </c>
      <c r="K531" s="4">
        <f t="shared" si="274"/>
        <v>1.4613950875801718E-4</v>
      </c>
      <c r="L531" s="4">
        <f t="shared" si="274"/>
        <v>9.8958300918669509E-5</v>
      </c>
      <c r="M531" s="4">
        <f t="shared" ref="M531:N531" si="286">M215/M$13</f>
        <v>9.8958504488095569E-5</v>
      </c>
      <c r="N531" s="4">
        <f t="shared" si="286"/>
        <v>9.8958504488095555E-5</v>
      </c>
    </row>
    <row r="532" spans="1:14" x14ac:dyDescent="0.2">
      <c r="A532" s="30">
        <v>635</v>
      </c>
      <c r="B532" s="31" t="s">
        <v>530</v>
      </c>
      <c r="I532" s="165">
        <f t="shared" si="277"/>
        <v>-1235.59725</v>
      </c>
      <c r="J532" s="4">
        <f t="shared" si="274"/>
        <v>2.633635308073986E-4</v>
      </c>
      <c r="K532" s="4">
        <f t="shared" si="274"/>
        <v>7.307496555389437E-4</v>
      </c>
      <c r="L532" s="4">
        <f t="shared" si="274"/>
        <v>1.0911304099199071E-3</v>
      </c>
      <c r="M532" s="4">
        <f t="shared" ref="M532:N532" si="287">M216/M$13</f>
        <v>1.0911326545096915E-3</v>
      </c>
      <c r="N532" s="4">
        <f t="shared" si="287"/>
        <v>1.0911326545096911E-3</v>
      </c>
    </row>
    <row r="533" spans="1:14" x14ac:dyDescent="0.2">
      <c r="A533" s="30">
        <v>636</v>
      </c>
      <c r="B533" s="31" t="s">
        <v>531</v>
      </c>
      <c r="I533" s="165">
        <f t="shared" si="277"/>
        <v>-26.927535000000034</v>
      </c>
      <c r="J533" s="4">
        <f t="shared" si="274"/>
        <v>1.2846399868070841E-3</v>
      </c>
      <c r="K533" s="4">
        <f t="shared" si="274"/>
        <v>-3.8544602395657786E-5</v>
      </c>
      <c r="L533" s="4">
        <f t="shared" si="274"/>
        <v>8.2195201437616555E-4</v>
      </c>
      <c r="M533" s="4">
        <f t="shared" ref="M533:N533" si="288">M217/M$13</f>
        <v>8.2195370523280168E-4</v>
      </c>
      <c r="N533" s="4">
        <f t="shared" si="288"/>
        <v>8.2195370523280157E-4</v>
      </c>
    </row>
    <row r="534" spans="1:14" x14ac:dyDescent="0.2">
      <c r="A534" s="30">
        <v>638</v>
      </c>
      <c r="B534" s="31" t="s">
        <v>532</v>
      </c>
      <c r="I534" s="165">
        <f t="shared" si="277"/>
        <v>-19558.052255000002</v>
      </c>
      <c r="J534" s="4">
        <f t="shared" si="274"/>
        <v>8.85652513270168E-3</v>
      </c>
      <c r="K534" s="4">
        <f t="shared" si="274"/>
        <v>1.20028508823493E-2</v>
      </c>
      <c r="L534" s="4">
        <f t="shared" si="274"/>
        <v>9.3330948072428959E-3</v>
      </c>
      <c r="M534" s="4">
        <f t="shared" ref="M534:N534" si="289">M218/M$13</f>
        <v>9.3331140065696407E-3</v>
      </c>
      <c r="N534" s="4">
        <f t="shared" si="289"/>
        <v>9.3331140065696372E-3</v>
      </c>
    </row>
    <row r="535" spans="1:14" x14ac:dyDescent="0.2">
      <c r="A535" s="30">
        <v>678</v>
      </c>
      <c r="B535" s="31" t="s">
        <v>533</v>
      </c>
      <c r="I535" s="165">
        <f t="shared" si="277"/>
        <v>-4953.1695</v>
      </c>
      <c r="J535" s="4">
        <f t="shared" si="274"/>
        <v>3.075384341478327E-3</v>
      </c>
      <c r="K535" s="4">
        <f t="shared" si="274"/>
        <v>1.2474958031613687E-3</v>
      </c>
      <c r="L535" s="4">
        <f t="shared" si="274"/>
        <v>3.734763776630685E-3</v>
      </c>
      <c r="M535" s="4">
        <f t="shared" ref="M535:N535" si="290">M219/M$13</f>
        <v>3.7347714595002517E-3</v>
      </c>
      <c r="N535" s="4">
        <f t="shared" si="290"/>
        <v>3.7347714595002508E-3</v>
      </c>
    </row>
    <row r="536" spans="1:14" x14ac:dyDescent="0.2">
      <c r="A536" s="30">
        <v>680</v>
      </c>
      <c r="B536" s="31" t="s">
        <v>534</v>
      </c>
      <c r="I536" s="165">
        <f t="shared" si="277"/>
        <v>-4685.9784900000004</v>
      </c>
      <c r="J536" s="4">
        <f t="shared" si="274"/>
        <v>3.5973117464561631E-3</v>
      </c>
      <c r="K536" s="4">
        <f t="shared" si="274"/>
        <v>6.4600384589870866E-3</v>
      </c>
      <c r="L536" s="4">
        <f t="shared" si="274"/>
        <v>6.032773345402186E-3</v>
      </c>
      <c r="M536" s="4">
        <f t="shared" ref="M536:N536" si="291">M220/M$13</f>
        <v>6.032785755560769E-3</v>
      </c>
      <c r="N536" s="4">
        <f t="shared" si="291"/>
        <v>6.0327857555607673E-3</v>
      </c>
    </row>
    <row r="537" spans="1:14" x14ac:dyDescent="0.2">
      <c r="A537" s="30">
        <v>681</v>
      </c>
      <c r="B537" s="31" t="s">
        <v>535</v>
      </c>
      <c r="I537" s="165">
        <f t="shared" si="277"/>
        <v>-283.049375</v>
      </c>
      <c r="J537" s="4">
        <f t="shared" si="274"/>
        <v>4.7850839680401049E-4</v>
      </c>
      <c r="K537" s="4">
        <f t="shared" si="274"/>
        <v>6.0651803607493406E-4</v>
      </c>
      <c r="L537" s="4">
        <f t="shared" si="274"/>
        <v>4.6024029750837617E-4</v>
      </c>
      <c r="M537" s="4">
        <f t="shared" ref="M537:N537" si="292">M221/M$13</f>
        <v>4.602412442794135E-4</v>
      </c>
      <c r="N537" s="4">
        <f t="shared" si="292"/>
        <v>4.6024124427941344E-4</v>
      </c>
    </row>
    <row r="538" spans="1:14" x14ac:dyDescent="0.2">
      <c r="A538" s="30">
        <v>683</v>
      </c>
      <c r="B538" s="31" t="s">
        <v>536</v>
      </c>
      <c r="I538" s="165">
        <f t="shared" si="277"/>
        <v>-1246.9121600000001</v>
      </c>
      <c r="J538" s="4">
        <f t="shared" si="274"/>
        <v>8.3165237430472686E-4</v>
      </c>
      <c r="K538" s="4">
        <f t="shared" si="274"/>
        <v>2.211109643018112E-3</v>
      </c>
      <c r="L538" s="4">
        <f t="shared" si="274"/>
        <v>7.0121287113656522E-4</v>
      </c>
      <c r="M538" s="4">
        <f t="shared" ref="M538:N538" si="293">M222/M$13</f>
        <v>7.0121431361789719E-4</v>
      </c>
      <c r="N538" s="4">
        <f t="shared" si="293"/>
        <v>7.0121431361789698E-4</v>
      </c>
    </row>
    <row r="539" spans="1:14" x14ac:dyDescent="0.2">
      <c r="A539" s="30">
        <v>684</v>
      </c>
      <c r="B539" s="31" t="s">
        <v>537</v>
      </c>
      <c r="I539" s="165">
        <f t="shared" si="277"/>
        <v>-27425.625499999998</v>
      </c>
      <c r="J539" s="4">
        <f t="shared" si="274"/>
        <v>2.1562669782423941E-2</v>
      </c>
      <c r="K539" s="4">
        <f t="shared" si="274"/>
        <v>1.1293697486707497E-2</v>
      </c>
      <c r="L539" s="4">
        <f t="shared" si="274"/>
        <v>1.0204172937827835E-2</v>
      </c>
      <c r="M539" s="4">
        <f t="shared" ref="M539:N539" si="294">M223/M$13</f>
        <v>1.0204193929069693E-2</v>
      </c>
      <c r="N539" s="4">
        <f t="shared" si="294"/>
        <v>1.0204193929069691E-2</v>
      </c>
    </row>
    <row r="540" spans="1:14" x14ac:dyDescent="0.2">
      <c r="A540" s="30">
        <v>686</v>
      </c>
      <c r="B540" s="31" t="s">
        <v>538</v>
      </c>
      <c r="I540" s="165">
        <f t="shared" si="277"/>
        <v>-723.53007500000001</v>
      </c>
      <c r="J540" s="4">
        <f t="shared" si="274"/>
        <v>1.814341968815851E-4</v>
      </c>
      <c r="K540" s="4">
        <f t="shared" si="274"/>
        <v>1.717551024863702E-5</v>
      </c>
      <c r="L540" s="4">
        <f t="shared" si="274"/>
        <v>1.1732049203727358E-4</v>
      </c>
      <c r="M540" s="4">
        <f t="shared" ref="M540:N540" si="295">M224/M$13</f>
        <v>1.1732073337999072E-4</v>
      </c>
      <c r="N540" s="4">
        <f t="shared" si="295"/>
        <v>1.173207333799907E-4</v>
      </c>
    </row>
    <row r="541" spans="1:14" x14ac:dyDescent="0.2">
      <c r="A541" s="30">
        <v>687</v>
      </c>
      <c r="B541" s="31" t="s">
        <v>539</v>
      </c>
      <c r="I541" s="165">
        <f t="shared" si="277"/>
        <v>-547.57299999999998</v>
      </c>
      <c r="J541" s="4">
        <f t="shared" ref="J541:L560" si="296">J225/J$13</f>
        <v>1.7428973786981801E-4</v>
      </c>
      <c r="K541" s="4">
        <f t="shared" si="296"/>
        <v>1.096772344779692E-4</v>
      </c>
      <c r="L541" s="4">
        <f t="shared" si="296"/>
        <v>1.1591978380633531E-4</v>
      </c>
      <c r="M541" s="4">
        <f t="shared" ref="M541:N541" si="297">M225/M$13</f>
        <v>1.1592002226762294E-4</v>
      </c>
      <c r="N541" s="4">
        <f t="shared" si="297"/>
        <v>1.1592002226762291E-4</v>
      </c>
    </row>
    <row r="542" spans="1:14" x14ac:dyDescent="0.2">
      <c r="A542" s="30">
        <v>689</v>
      </c>
      <c r="B542" s="31" t="s">
        <v>540</v>
      </c>
      <c r="I542" s="165">
        <f t="shared" si="277"/>
        <v>-451.25148999999999</v>
      </c>
      <c r="J542" s="4">
        <f t="shared" si="296"/>
        <v>3.885021787980548E-4</v>
      </c>
      <c r="K542" s="4">
        <f t="shared" si="296"/>
        <v>4.9702221804580012E-4</v>
      </c>
      <c r="L542" s="4">
        <f t="shared" si="296"/>
        <v>2.8503305256473823E-4</v>
      </c>
      <c r="M542" s="4">
        <f t="shared" ref="M542:N542" si="298">M226/M$13</f>
        <v>2.8503363891287049E-4</v>
      </c>
      <c r="N542" s="4">
        <f t="shared" si="298"/>
        <v>2.8503363891287044E-4</v>
      </c>
    </row>
    <row r="543" spans="1:14" x14ac:dyDescent="0.2">
      <c r="A543" s="30">
        <v>691</v>
      </c>
      <c r="B543" s="31" t="s">
        <v>541</v>
      </c>
      <c r="I543" s="165">
        <f t="shared" si="277"/>
        <v>-1308.4518049999999</v>
      </c>
      <c r="J543" s="4">
        <f t="shared" si="296"/>
        <v>4.6261621285051722E-4</v>
      </c>
      <c r="K543" s="4">
        <f t="shared" si="296"/>
        <v>2.3792846431439099E-4</v>
      </c>
      <c r="L543" s="4">
        <f t="shared" si="296"/>
        <v>2.2455130652671815E-4</v>
      </c>
      <c r="M543" s="4">
        <f t="shared" ref="M543:N543" si="299">M227/M$13</f>
        <v>2.2455176845644176E-4</v>
      </c>
      <c r="N543" s="4">
        <f t="shared" si="299"/>
        <v>2.2455176845644171E-4</v>
      </c>
    </row>
    <row r="544" spans="1:14" x14ac:dyDescent="0.2">
      <c r="A544" s="30">
        <v>694</v>
      </c>
      <c r="B544" s="31" t="s">
        <v>542</v>
      </c>
      <c r="I544" s="165">
        <f t="shared" si="277"/>
        <v>-11029.794440000001</v>
      </c>
      <c r="J544" s="4">
        <f t="shared" si="296"/>
        <v>6.9571672753711506E-3</v>
      </c>
      <c r="K544" s="4">
        <f t="shared" si="296"/>
        <v>6.5209030485756441E-3</v>
      </c>
      <c r="L544" s="4">
        <f t="shared" si="296"/>
        <v>4.8050490103503625E-3</v>
      </c>
      <c r="M544" s="4">
        <f t="shared" ref="M544:N544" si="300">M228/M$13</f>
        <v>4.8050588949286157E-3</v>
      </c>
      <c r="N544" s="4">
        <f t="shared" si="300"/>
        <v>4.8050588949286157E-3</v>
      </c>
    </row>
    <row r="545" spans="1:14" x14ac:dyDescent="0.2">
      <c r="A545" s="32">
        <v>697</v>
      </c>
      <c r="B545" s="33" t="s">
        <v>543</v>
      </c>
      <c r="I545" s="165">
        <f t="shared" si="277"/>
        <v>298.62011999999999</v>
      </c>
      <c r="J545" s="4">
        <f t="shared" si="296"/>
        <v>1.7453331733466967E-5</v>
      </c>
      <c r="K545" s="4">
        <f t="shared" si="296"/>
        <v>2.6049023256193877E-5</v>
      </c>
      <c r="L545" s="4">
        <f t="shared" si="296"/>
        <v>1.8292115085808041E-5</v>
      </c>
      <c r="M545" s="4">
        <f t="shared" ref="M545:N545" si="301">M229/M$13</f>
        <v>1.8292152714944101E-5</v>
      </c>
      <c r="N545" s="4">
        <f t="shared" si="301"/>
        <v>1.8292152714944095E-5</v>
      </c>
    </row>
    <row r="546" spans="1:14" x14ac:dyDescent="0.2">
      <c r="A546" s="30">
        <v>698</v>
      </c>
      <c r="B546" s="31" t="s">
        <v>544</v>
      </c>
      <c r="I546" s="165">
        <f t="shared" si="277"/>
        <v>-10884.61915</v>
      </c>
      <c r="J546" s="4">
        <f t="shared" si="296"/>
        <v>6.7812042760393276E-3</v>
      </c>
      <c r="K546" s="4">
        <f t="shared" si="296"/>
        <v>7.0661275633954442E-3</v>
      </c>
      <c r="L546" s="4">
        <f t="shared" si="296"/>
        <v>8.2104301437328515E-3</v>
      </c>
      <c r="M546" s="4">
        <f t="shared" ref="M546:N546" si="302">M230/M$13</f>
        <v>8.210447033599964E-3</v>
      </c>
      <c r="N546" s="4">
        <f t="shared" si="302"/>
        <v>8.2104470335999605E-3</v>
      </c>
    </row>
    <row r="547" spans="1:14" x14ac:dyDescent="0.2">
      <c r="A547" s="30">
        <v>700</v>
      </c>
      <c r="B547" s="31" t="s">
        <v>545</v>
      </c>
      <c r="I547" s="165">
        <f t="shared" si="277"/>
        <v>-1217.9674049999999</v>
      </c>
      <c r="J547" s="4">
        <f t="shared" si="296"/>
        <v>1.3791110499678705E-3</v>
      </c>
      <c r="K547" s="4">
        <f t="shared" si="296"/>
        <v>3.9496664608067899E-4</v>
      </c>
      <c r="L547" s="4">
        <f t="shared" si="296"/>
        <v>7.5485697137380521E-4</v>
      </c>
      <c r="M547" s="4">
        <f t="shared" ref="M547:N547" si="303">M231/M$13</f>
        <v>7.5485852420766552E-4</v>
      </c>
      <c r="N547" s="4">
        <f t="shared" si="303"/>
        <v>7.5485852420766541E-4</v>
      </c>
    </row>
    <row r="548" spans="1:14" x14ac:dyDescent="0.2">
      <c r="A548" s="30">
        <v>702</v>
      </c>
      <c r="B548" s="31" t="s">
        <v>546</v>
      </c>
      <c r="I548" s="165">
        <f t="shared" si="277"/>
        <v>-2259.83547</v>
      </c>
      <c r="J548" s="4">
        <f t="shared" si="296"/>
        <v>3.7256992410464486E-4</v>
      </c>
      <c r="K548" s="4">
        <f t="shared" si="296"/>
        <v>2.7428834243758672E-4</v>
      </c>
      <c r="L548" s="4">
        <f t="shared" si="296"/>
        <v>3.7135432045058697E-4</v>
      </c>
      <c r="M548" s="4">
        <f t="shared" ref="M548:N548" si="304">M232/M$13</f>
        <v>3.7135508437221031E-4</v>
      </c>
      <c r="N548" s="4">
        <f t="shared" si="304"/>
        <v>3.713550843722102E-4</v>
      </c>
    </row>
    <row r="549" spans="1:14" x14ac:dyDescent="0.2">
      <c r="A549" s="30">
        <v>704</v>
      </c>
      <c r="B549" s="31" t="s">
        <v>547</v>
      </c>
      <c r="I549" s="165">
        <f t="shared" si="277"/>
        <v>-1215.313005</v>
      </c>
      <c r="J549" s="4">
        <f t="shared" si="296"/>
        <v>1.3713567552427735E-3</v>
      </c>
      <c r="K549" s="4">
        <f t="shared" si="296"/>
        <v>6.3815443598369927E-4</v>
      </c>
      <c r="L549" s="4">
        <f t="shared" si="296"/>
        <v>7.3919467290864827E-4</v>
      </c>
      <c r="M549" s="4">
        <f t="shared" ref="M549:N549" si="305">M233/M$13</f>
        <v>7.3919619352322957E-4</v>
      </c>
      <c r="N549" s="4">
        <f t="shared" si="305"/>
        <v>7.3919619352322947E-4</v>
      </c>
    </row>
    <row r="550" spans="1:14" x14ac:dyDescent="0.2">
      <c r="A550" s="30">
        <v>707</v>
      </c>
      <c r="B550" s="31" t="s">
        <v>548</v>
      </c>
      <c r="I550" s="165">
        <f t="shared" si="277"/>
        <v>-224.58150000000001</v>
      </c>
      <c r="J550" s="4">
        <f t="shared" si="296"/>
        <v>-4.1563657156718046E-4</v>
      </c>
      <c r="K550" s="4">
        <f t="shared" si="296"/>
        <v>1.180082549889896E-4</v>
      </c>
      <c r="L550" s="4">
        <f t="shared" si="296"/>
        <v>8.7366291967405212E-5</v>
      </c>
      <c r="M550" s="4">
        <f t="shared" ref="M550:N550" si="306">M234/M$13</f>
        <v>8.7366471690639622E-5</v>
      </c>
      <c r="N550" s="4">
        <f t="shared" si="306"/>
        <v>8.7366471690639608E-5</v>
      </c>
    </row>
    <row r="551" spans="1:14" x14ac:dyDescent="0.2">
      <c r="A551" s="30">
        <v>710</v>
      </c>
      <c r="B551" s="31" t="s">
        <v>549</v>
      </c>
      <c r="I551" s="165">
        <f t="shared" si="277"/>
        <v>-9080.0978849999992</v>
      </c>
      <c r="J551" s="4">
        <f t="shared" si="296"/>
        <v>5.3936246441554248E-3</v>
      </c>
      <c r="K551" s="4">
        <f t="shared" si="296"/>
        <v>3.4274742626403572E-3</v>
      </c>
      <c r="L551" s="4">
        <f t="shared" si="296"/>
        <v>4.234808854780032E-3</v>
      </c>
      <c r="M551" s="4">
        <f t="shared" ref="M551:N551" si="307">M235/M$13</f>
        <v>4.2348175663039778E-3</v>
      </c>
      <c r="N551" s="4">
        <f t="shared" si="307"/>
        <v>4.234817566303976E-3</v>
      </c>
    </row>
    <row r="552" spans="1:14" x14ac:dyDescent="0.2">
      <c r="A552" s="30">
        <v>729</v>
      </c>
      <c r="B552" s="31" t="s">
        <v>550</v>
      </c>
      <c r="I552" s="165">
        <f t="shared" si="277"/>
        <v>-716.13134000000002</v>
      </c>
      <c r="J552" s="4">
        <f t="shared" si="296"/>
        <v>9.0332720935001019E-4</v>
      </c>
      <c r="K552" s="4">
        <f t="shared" si="296"/>
        <v>-4.1239523490529377E-5</v>
      </c>
      <c r="L552" s="4">
        <f t="shared" si="296"/>
        <v>7.4760431536470583E-4</v>
      </c>
      <c r="M552" s="4">
        <f t="shared" ref="M552:N552" si="308">M236/M$13</f>
        <v>7.4760585327895849E-4</v>
      </c>
      <c r="N552" s="4">
        <f t="shared" si="308"/>
        <v>7.4760585327895827E-4</v>
      </c>
    </row>
    <row r="553" spans="1:14" x14ac:dyDescent="0.2">
      <c r="A553" s="30">
        <v>732</v>
      </c>
      <c r="B553" s="31" t="s">
        <v>551</v>
      </c>
      <c r="I553" s="165">
        <f t="shared" si="277"/>
        <v>-2000.5120449999999</v>
      </c>
      <c r="J553" s="4">
        <f t="shared" si="296"/>
        <v>1.1976831247780184E-3</v>
      </c>
      <c r="K553" s="4">
        <f t="shared" si="296"/>
        <v>6.7535749635581476E-4</v>
      </c>
      <c r="L553" s="4">
        <f t="shared" si="296"/>
        <v>5.1516922691564556E-4</v>
      </c>
      <c r="M553" s="4">
        <f t="shared" ref="M553:N553" si="309">M237/M$13</f>
        <v>5.1517028668226312E-4</v>
      </c>
      <c r="N553" s="4">
        <f t="shared" si="309"/>
        <v>5.1517028668226312E-4</v>
      </c>
    </row>
    <row r="554" spans="1:14" x14ac:dyDescent="0.2">
      <c r="A554" s="30">
        <v>734</v>
      </c>
      <c r="B554" s="31" t="s">
        <v>552</v>
      </c>
      <c r="I554" s="165">
        <f t="shared" si="277"/>
        <v>-15708.570865</v>
      </c>
      <c r="J554" s="4">
        <f t="shared" si="296"/>
        <v>6.2571089323114988E-3</v>
      </c>
      <c r="K554" s="4">
        <f t="shared" si="296"/>
        <v>2.8734636245430325E-3</v>
      </c>
      <c r="L554" s="4">
        <f t="shared" si="296"/>
        <v>4.6475491450355877E-3</v>
      </c>
      <c r="M554" s="4">
        <f t="shared" ref="M554:N554" si="310">M238/M$13</f>
        <v>4.6475587056171996E-3</v>
      </c>
      <c r="N554" s="4">
        <f t="shared" si="310"/>
        <v>4.6475587056171988E-3</v>
      </c>
    </row>
    <row r="555" spans="1:14" x14ac:dyDescent="0.2">
      <c r="A555" s="30">
        <v>738</v>
      </c>
      <c r="B555" s="31" t="s">
        <v>553</v>
      </c>
      <c r="I555" s="165">
        <f t="shared" si="277"/>
        <v>-2723.7339999999999</v>
      </c>
      <c r="J555" s="4">
        <f t="shared" si="296"/>
        <v>4.1429836612574502E-4</v>
      </c>
      <c r="K555" s="4">
        <f t="shared" si="296"/>
        <v>1.209062522154197E-4</v>
      </c>
      <c r="L555" s="4">
        <f t="shared" si="296"/>
        <v>3.6991094429918598E-4</v>
      </c>
      <c r="M555" s="4">
        <f t="shared" ref="M555:N555" si="311">M239/M$13</f>
        <v>3.6991170525160663E-4</v>
      </c>
      <c r="N555" s="4">
        <f t="shared" si="311"/>
        <v>3.6991170525160657E-4</v>
      </c>
    </row>
    <row r="556" spans="1:14" x14ac:dyDescent="0.2">
      <c r="A556" s="30">
        <v>739</v>
      </c>
      <c r="B556" s="31" t="s">
        <v>554</v>
      </c>
      <c r="I556" s="165">
        <f t="shared" si="277"/>
        <v>-893.73679500000003</v>
      </c>
      <c r="J556" s="4">
        <f t="shared" si="296"/>
        <v>4.9494809273295678E-4</v>
      </c>
      <c r="K556" s="4">
        <f t="shared" si="296"/>
        <v>3.7285539326916106E-4</v>
      </c>
      <c r="L556" s="4">
        <f t="shared" si="296"/>
        <v>3.5919408189875792E-4</v>
      </c>
      <c r="M556" s="4">
        <f t="shared" ref="M556:N556" si="312">M240/M$13</f>
        <v>3.5919482080527121E-4</v>
      </c>
      <c r="N556" s="4">
        <f t="shared" si="312"/>
        <v>3.5919482080527115E-4</v>
      </c>
    </row>
    <row r="557" spans="1:14" x14ac:dyDescent="0.2">
      <c r="A557" s="30">
        <v>740</v>
      </c>
      <c r="B557" s="31" t="s">
        <v>555</v>
      </c>
      <c r="I557" s="165">
        <f t="shared" si="277"/>
        <v>-14184.12024</v>
      </c>
      <c r="J557" s="4">
        <f t="shared" si="296"/>
        <v>1.1999777282061442E-2</v>
      </c>
      <c r="K557" s="4">
        <f t="shared" si="296"/>
        <v>5.6885090812133117E-3</v>
      </c>
      <c r="L557" s="4">
        <f t="shared" si="296"/>
        <v>5.6511971497934591E-3</v>
      </c>
      <c r="M557" s="4">
        <f t="shared" ref="M557:N557" si="313">M241/M$13</f>
        <v>5.6512087750027603E-3</v>
      </c>
      <c r="N557" s="4">
        <f t="shared" si="313"/>
        <v>5.6512087750027595E-3</v>
      </c>
    </row>
    <row r="558" spans="1:14" x14ac:dyDescent="0.2">
      <c r="A558" s="30">
        <v>742</v>
      </c>
      <c r="B558" s="31" t="s">
        <v>556</v>
      </c>
      <c r="I558" s="165">
        <f t="shared" si="277"/>
        <v>-156.060845</v>
      </c>
      <c r="J558" s="4">
        <f t="shared" si="296"/>
        <v>1.7655195817527119E-4</v>
      </c>
      <c r="K558" s="4">
        <f t="shared" si="296"/>
        <v>1.0052848435307807E-4</v>
      </c>
      <c r="L558" s="4">
        <f t="shared" si="296"/>
        <v>1.2409147939619562E-4</v>
      </c>
      <c r="M558" s="4">
        <f t="shared" ref="M558:N558" si="314">M242/M$13</f>
        <v>1.2409173466766861E-4</v>
      </c>
      <c r="N558" s="4">
        <f t="shared" si="314"/>
        <v>1.2409173466766858E-4</v>
      </c>
    </row>
    <row r="559" spans="1:14" x14ac:dyDescent="0.2">
      <c r="A559" s="30">
        <v>743</v>
      </c>
      <c r="B559" s="31" t="s">
        <v>557</v>
      </c>
      <c r="I559" s="165">
        <f t="shared" si="277"/>
        <v>-26476.119494999999</v>
      </c>
      <c r="J559" s="4">
        <f t="shared" si="296"/>
        <v>4.0368095829642972E-3</v>
      </c>
      <c r="K559" s="4">
        <f t="shared" si="296"/>
        <v>1.0502497831060865E-2</v>
      </c>
      <c r="L559" s="4">
        <f t="shared" si="296"/>
        <v>7.1812000751368919E-3</v>
      </c>
      <c r="M559" s="4">
        <f t="shared" ref="M559:N559" si="315">M243/M$13</f>
        <v>7.181214847750853E-3</v>
      </c>
      <c r="N559" s="4">
        <f t="shared" si="315"/>
        <v>7.1812148477508513E-3</v>
      </c>
    </row>
    <row r="560" spans="1:14" x14ac:dyDescent="0.2">
      <c r="A560" s="30">
        <v>746</v>
      </c>
      <c r="B560" s="31" t="s">
        <v>558</v>
      </c>
      <c r="I560" s="165">
        <f t="shared" si="277"/>
        <v>-238.91854000000001</v>
      </c>
      <c r="J560" s="4">
        <f t="shared" si="296"/>
        <v>1.2919662385714179E-3</v>
      </c>
      <c r="K560" s="4">
        <f t="shared" si="296"/>
        <v>2.4438853992207912E-5</v>
      </c>
      <c r="L560" s="4">
        <f t="shared" si="296"/>
        <v>2.4154807584095096E-4</v>
      </c>
      <c r="M560" s="4">
        <f t="shared" ref="M560:N560" si="316">M244/M$13</f>
        <v>2.4154857273512467E-4</v>
      </c>
      <c r="N560" s="4">
        <f t="shared" si="316"/>
        <v>2.4154857273512461E-4</v>
      </c>
    </row>
    <row r="561" spans="1:14" x14ac:dyDescent="0.2">
      <c r="A561" s="30">
        <v>747</v>
      </c>
      <c r="B561" s="31" t="s">
        <v>559</v>
      </c>
      <c r="I561" s="165">
        <f t="shared" si="277"/>
        <v>-266.84074499999997</v>
      </c>
      <c r="J561" s="4">
        <f t="shared" ref="J561:L580" si="317">J245/J$13</f>
        <v>3.7284018223371769E-4</v>
      </c>
      <c r="K561" s="4">
        <f t="shared" si="317"/>
        <v>2.5808098937025291E-5</v>
      </c>
      <c r="L561" s="4">
        <f t="shared" si="317"/>
        <v>1.0056152987041479E-4</v>
      </c>
      <c r="M561" s="4">
        <f t="shared" ref="M561:N561" si="318">M245/M$13</f>
        <v>1.0056173673788049E-4</v>
      </c>
      <c r="N561" s="4">
        <f t="shared" si="318"/>
        <v>1.0056173673788046E-4</v>
      </c>
    </row>
    <row r="562" spans="1:14" x14ac:dyDescent="0.2">
      <c r="A562" s="30">
        <v>748</v>
      </c>
      <c r="B562" s="31" t="s">
        <v>560</v>
      </c>
      <c r="I562" s="165">
        <f t="shared" si="277"/>
        <v>-393.04025000000001</v>
      </c>
      <c r="J562" s="4">
        <f t="shared" si="317"/>
        <v>1.694445611216453E-3</v>
      </c>
      <c r="K562" s="4">
        <f t="shared" si="317"/>
        <v>1.1087583723595436E-3</v>
      </c>
      <c r="L562" s="4">
        <f t="shared" si="317"/>
        <v>3.9903686529818181E-4</v>
      </c>
      <c r="M562" s="4">
        <f t="shared" ref="M562:N562" si="319">M246/M$13</f>
        <v>3.9903768616621308E-4</v>
      </c>
      <c r="N562" s="4">
        <f t="shared" si="319"/>
        <v>3.9903768616621297E-4</v>
      </c>
    </row>
    <row r="563" spans="1:14" x14ac:dyDescent="0.2">
      <c r="A563" s="30">
        <v>749</v>
      </c>
      <c r="B563" s="31" t="s">
        <v>561</v>
      </c>
      <c r="I563" s="165">
        <f t="shared" si="277"/>
        <v>-1415.6795</v>
      </c>
      <c r="J563" s="4">
        <f t="shared" si="317"/>
        <v>1.7925516279927579E-3</v>
      </c>
      <c r="K563" s="4">
        <f t="shared" si="317"/>
        <v>1.8971529432001886E-3</v>
      </c>
      <c r="L563" s="4">
        <f t="shared" si="317"/>
        <v>1.1872438536246008E-3</v>
      </c>
      <c r="M563" s="4">
        <f t="shared" ref="M563:N563" si="320">M247/M$13</f>
        <v>1.1872462959315888E-3</v>
      </c>
      <c r="N563" s="4">
        <f t="shared" si="320"/>
        <v>1.1872462959315886E-3</v>
      </c>
    </row>
    <row r="564" spans="1:14" x14ac:dyDescent="0.2">
      <c r="A564" s="30">
        <v>751</v>
      </c>
      <c r="B564" s="31" t="s">
        <v>562</v>
      </c>
      <c r="I564" s="165">
        <f t="shared" si="277"/>
        <v>-533.01006499999994</v>
      </c>
      <c r="J564" s="4">
        <f t="shared" si="317"/>
        <v>5.4641051198999336E-4</v>
      </c>
      <c r="K564" s="4">
        <f t="shared" si="317"/>
        <v>5.4741655387808988E-4</v>
      </c>
      <c r="L564" s="4">
        <f t="shared" si="317"/>
        <v>7.4704627876623288E-4</v>
      </c>
      <c r="M564" s="4">
        <f t="shared" ref="M564:N564" si="321">M248/M$13</f>
        <v>7.4704781553253552E-4</v>
      </c>
      <c r="N564" s="4">
        <f t="shared" si="321"/>
        <v>7.4704781553253531E-4</v>
      </c>
    </row>
    <row r="565" spans="1:14" x14ac:dyDescent="0.2">
      <c r="A565" s="30">
        <v>753</v>
      </c>
      <c r="B565" s="31" t="s">
        <v>563</v>
      </c>
      <c r="I565" s="165">
        <f t="shared" si="277"/>
        <v>-17442.591329999999</v>
      </c>
      <c r="J565" s="4">
        <f t="shared" si="317"/>
        <v>1.7148600061656725E-3</v>
      </c>
      <c r="K565" s="4">
        <f t="shared" si="317"/>
        <v>3.1464076432779586E-3</v>
      </c>
      <c r="L565" s="4">
        <f t="shared" si="317"/>
        <v>4.1894411497841923E-3</v>
      </c>
      <c r="M565" s="4">
        <f t="shared" ref="M565:N565" si="322">M249/M$13</f>
        <v>4.1894497679811748E-3</v>
      </c>
      <c r="N565" s="4">
        <f t="shared" si="322"/>
        <v>4.1894497679811739E-3</v>
      </c>
    </row>
    <row r="566" spans="1:14" x14ac:dyDescent="0.2">
      <c r="A566" s="30">
        <v>755</v>
      </c>
      <c r="B566" s="31" t="s">
        <v>564</v>
      </c>
      <c r="I566" s="165">
        <f t="shared" si="277"/>
        <v>-2014.6075599999999</v>
      </c>
      <c r="J566" s="4">
        <f t="shared" si="317"/>
        <v>3.132524578881571E-3</v>
      </c>
      <c r="K566" s="4">
        <f t="shared" si="317"/>
        <v>8.8438580849841374E-4</v>
      </c>
      <c r="L566" s="4">
        <f t="shared" si="317"/>
        <v>1.5664602261038485E-3</v>
      </c>
      <c r="M566" s="4">
        <f t="shared" ref="M566:N566" si="323">M250/M$13</f>
        <v>1.5664634485056707E-3</v>
      </c>
      <c r="N566" s="4">
        <f t="shared" si="323"/>
        <v>1.5664634485056705E-3</v>
      </c>
    </row>
    <row r="567" spans="1:14" x14ac:dyDescent="0.2">
      <c r="A567" s="30">
        <v>758</v>
      </c>
      <c r="B567" s="31" t="s">
        <v>565</v>
      </c>
      <c r="I567" s="165">
        <f t="shared" si="277"/>
        <v>-2495.0999899999997</v>
      </c>
      <c r="J567" s="4">
        <f t="shared" si="317"/>
        <v>1.9455066960489958E-3</v>
      </c>
      <c r="K567" s="4">
        <f t="shared" si="317"/>
        <v>1.3362149345152261E-3</v>
      </c>
      <c r="L567" s="4">
        <f t="shared" si="317"/>
        <v>1.2335304969336072E-3</v>
      </c>
      <c r="M567" s="4">
        <f t="shared" ref="M567:N567" si="324">M251/M$13</f>
        <v>1.2335330344579274E-3</v>
      </c>
      <c r="N567" s="4">
        <f t="shared" si="324"/>
        <v>1.2335330344579272E-3</v>
      </c>
    </row>
    <row r="568" spans="1:14" x14ac:dyDescent="0.2">
      <c r="A568" s="30">
        <v>759</v>
      </c>
      <c r="B568" s="31" t="s">
        <v>566</v>
      </c>
      <c r="I568" s="165">
        <f t="shared" si="277"/>
        <v>-638.82093499999996</v>
      </c>
      <c r="J568" s="4">
        <f t="shared" si="317"/>
        <v>1.9204324293474383E-4</v>
      </c>
      <c r="K568" s="4">
        <f t="shared" si="317"/>
        <v>1.4903656520213351E-4</v>
      </c>
      <c r="L568" s="4">
        <f t="shared" si="317"/>
        <v>1.4344475856220405E-4</v>
      </c>
      <c r="M568" s="4">
        <f t="shared" ref="M568:N568" si="325">M252/M$13</f>
        <v>1.4344505364575846E-4</v>
      </c>
      <c r="N568" s="4">
        <f t="shared" si="325"/>
        <v>1.434450536457584E-4</v>
      </c>
    </row>
    <row r="569" spans="1:14" x14ac:dyDescent="0.2">
      <c r="A569" s="30">
        <v>761</v>
      </c>
      <c r="B569" s="31" t="s">
        <v>567</v>
      </c>
      <c r="I569" s="165">
        <f t="shared" si="277"/>
        <v>-885.12520999999992</v>
      </c>
      <c r="J569" s="4">
        <f t="shared" si="317"/>
        <v>2.2149004392779916E-4</v>
      </c>
      <c r="K569" s="4">
        <f t="shared" si="317"/>
        <v>1.6810992374597052E-3</v>
      </c>
      <c r="L569" s="4">
        <f t="shared" si="317"/>
        <v>1.052675917288613E-3</v>
      </c>
      <c r="M569" s="4">
        <f t="shared" ref="M569:N569" si="326">M253/M$13</f>
        <v>1.0526780827727646E-3</v>
      </c>
      <c r="N569" s="4">
        <f t="shared" si="326"/>
        <v>1.0526780827727646E-3</v>
      </c>
    </row>
    <row r="570" spans="1:14" x14ac:dyDescent="0.2">
      <c r="A570" s="30">
        <v>762</v>
      </c>
      <c r="B570" s="31" t="s">
        <v>568</v>
      </c>
      <c r="I570" s="165">
        <f t="shared" si="277"/>
        <v>-1599.90741</v>
      </c>
      <c r="J570" s="4">
        <f t="shared" si="317"/>
        <v>1.4151196803594333E-3</v>
      </c>
      <c r="K570" s="4">
        <f t="shared" si="317"/>
        <v>6.4746718317308514E-5</v>
      </c>
      <c r="L570" s="4">
        <f t="shared" si="317"/>
        <v>3.3733378943990992E-4</v>
      </c>
      <c r="M570" s="4">
        <f t="shared" ref="M570:N570" si="327">M254/M$13</f>
        <v>3.3733448337710641E-4</v>
      </c>
      <c r="N570" s="4">
        <f t="shared" si="327"/>
        <v>3.3733448337710636E-4</v>
      </c>
    </row>
    <row r="571" spans="1:14" x14ac:dyDescent="0.2">
      <c r="A571" s="30">
        <v>765</v>
      </c>
      <c r="B571" s="31" t="s">
        <v>569</v>
      </c>
      <c r="I571" s="165">
        <f t="shared" si="277"/>
        <v>-7576.7415550000005</v>
      </c>
      <c r="J571" s="4">
        <f t="shared" si="317"/>
        <v>4.5672422266496773E-3</v>
      </c>
      <c r="K571" s="4">
        <f t="shared" si="317"/>
        <v>6.1822447155580693E-3</v>
      </c>
      <c r="L571" s="4">
        <f t="shared" si="317"/>
        <v>3.9534385730385768E-3</v>
      </c>
      <c r="M571" s="4">
        <f t="shared" ref="M571:N571" si="328">M255/M$13</f>
        <v>3.9534467057491616E-3</v>
      </c>
      <c r="N571" s="4">
        <f t="shared" si="328"/>
        <v>3.9534467057491607E-3</v>
      </c>
    </row>
    <row r="572" spans="1:14" x14ac:dyDescent="0.2">
      <c r="A572" s="30">
        <v>768</v>
      </c>
      <c r="B572" s="31" t="s">
        <v>570</v>
      </c>
      <c r="I572" s="165">
        <f t="shared" si="277"/>
        <v>-861.95770499999992</v>
      </c>
      <c r="J572" s="4">
        <f t="shared" si="317"/>
        <v>4.6024139458102634E-4</v>
      </c>
      <c r="K572" s="4">
        <f t="shared" si="317"/>
        <v>2.1413724812043109E-4</v>
      </c>
      <c r="L572" s="4">
        <f t="shared" si="317"/>
        <v>5.6476119575611346E-4</v>
      </c>
      <c r="M572" s="4">
        <f t="shared" ref="M572:N572" si="329">M256/M$13</f>
        <v>5.6476235753952545E-4</v>
      </c>
      <c r="N572" s="4">
        <f t="shared" si="329"/>
        <v>5.6476235753952534E-4</v>
      </c>
    </row>
    <row r="573" spans="1:14" x14ac:dyDescent="0.2">
      <c r="A573" s="30">
        <v>777</v>
      </c>
      <c r="B573" s="31" t="s">
        <v>571</v>
      </c>
      <c r="I573" s="165">
        <f t="shared" si="277"/>
        <v>-8176.1700199999996</v>
      </c>
      <c r="J573" s="4">
        <f t="shared" si="317"/>
        <v>4.4315455740114402E-3</v>
      </c>
      <c r="K573" s="4">
        <f t="shared" si="317"/>
        <v>2.4042544426820068E-4</v>
      </c>
      <c r="L573" s="4">
        <f t="shared" si="317"/>
        <v>1.4977093239345639E-3</v>
      </c>
      <c r="M573" s="4">
        <f t="shared" ref="M573:N573" si="330">M257/M$13</f>
        <v>1.4977124049073032E-3</v>
      </c>
      <c r="N573" s="4">
        <f t="shared" si="330"/>
        <v>1.4977124049073032E-3</v>
      </c>
    </row>
    <row r="574" spans="1:14" x14ac:dyDescent="0.2">
      <c r="A574" s="30">
        <v>778</v>
      </c>
      <c r="B574" s="31" t="s">
        <v>572</v>
      </c>
      <c r="I574" s="165">
        <f t="shared" si="277"/>
        <v>-1630.3590649999999</v>
      </c>
      <c r="J574" s="4">
        <f t="shared" si="317"/>
        <v>4.5437664358015948E-4</v>
      </c>
      <c r="K574" s="4">
        <f t="shared" si="317"/>
        <v>3.211292946692537E-4</v>
      </c>
      <c r="L574" s="4">
        <f t="shared" si="317"/>
        <v>6.0175443774429006E-4</v>
      </c>
      <c r="M574" s="4">
        <f t="shared" ref="M574:N574" si="331">M258/M$13</f>
        <v>6.0175567562736193E-4</v>
      </c>
      <c r="N574" s="4">
        <f t="shared" si="331"/>
        <v>6.0175567562736172E-4</v>
      </c>
    </row>
    <row r="575" spans="1:14" x14ac:dyDescent="0.2">
      <c r="A575" s="30">
        <v>781</v>
      </c>
      <c r="B575" s="31" t="s">
        <v>573</v>
      </c>
      <c r="I575" s="165">
        <f t="shared" si="277"/>
        <v>-2665.7375000000002</v>
      </c>
      <c r="J575" s="4">
        <f t="shared" si="317"/>
        <v>2.2702128381564776E-3</v>
      </c>
      <c r="K575" s="4">
        <f t="shared" si="317"/>
        <v>-2.0458007646787925E-4</v>
      </c>
      <c r="L575" s="4">
        <f t="shared" si="317"/>
        <v>7.5409381383773739E-4</v>
      </c>
      <c r="M575" s="4">
        <f t="shared" ref="M575:N575" si="332">M259/M$13</f>
        <v>7.5409536510168845E-4</v>
      </c>
      <c r="N575" s="4">
        <f t="shared" si="332"/>
        <v>7.5409536510168834E-4</v>
      </c>
    </row>
    <row r="576" spans="1:14" x14ac:dyDescent="0.2">
      <c r="A576" s="30">
        <v>783</v>
      </c>
      <c r="B576" s="31" t="s">
        <v>574</v>
      </c>
      <c r="I576" s="165">
        <f t="shared" si="277"/>
        <v>-2025.4458549999999</v>
      </c>
      <c r="J576" s="4">
        <f t="shared" si="317"/>
        <v>7.2880111309160157E-4</v>
      </c>
      <c r="K576" s="4">
        <f t="shared" si="317"/>
        <v>1.0071941598810501E-3</v>
      </c>
      <c r="L576" s="4">
        <f t="shared" si="317"/>
        <v>6.4908743988742381E-4</v>
      </c>
      <c r="M576" s="4">
        <f t="shared" ref="M576:N576" si="333">M260/M$13</f>
        <v>6.4908877514031687E-4</v>
      </c>
      <c r="N576" s="4">
        <f t="shared" si="333"/>
        <v>6.4908877514031676E-4</v>
      </c>
    </row>
    <row r="577" spans="1:14" x14ac:dyDescent="0.2">
      <c r="A577" s="30">
        <v>785</v>
      </c>
      <c r="B577" s="31" t="s">
        <v>575</v>
      </c>
      <c r="I577" s="165">
        <f t="shared" si="277"/>
        <v>-709.49210500000004</v>
      </c>
      <c r="J577" s="4">
        <f t="shared" si="317"/>
        <v>4.3648926091212098E-4</v>
      </c>
      <c r="K577" s="4">
        <f t="shared" si="317"/>
        <v>4.5199094599716286E-4</v>
      </c>
      <c r="L577" s="4">
        <f t="shared" si="317"/>
        <v>3.2631099992283411E-4</v>
      </c>
      <c r="M577" s="4">
        <f t="shared" ref="M577:N577" si="334">M261/M$13</f>
        <v>3.2631167118479348E-4</v>
      </c>
      <c r="N577" s="4">
        <f t="shared" si="334"/>
        <v>3.2631167118479343E-4</v>
      </c>
    </row>
    <row r="578" spans="1:14" x14ac:dyDescent="0.2">
      <c r="A578" s="30">
        <v>790</v>
      </c>
      <c r="B578" s="31" t="s">
        <v>576</v>
      </c>
      <c r="I578" s="165">
        <f t="shared" si="277"/>
        <v>-8744.4478650000001</v>
      </c>
      <c r="J578" s="4">
        <f t="shared" si="317"/>
        <v>5.3554363515534061E-3</v>
      </c>
      <c r="K578" s="4">
        <f t="shared" si="317"/>
        <v>3.5759518079425397E-3</v>
      </c>
      <c r="L578" s="4">
        <f t="shared" si="317"/>
        <v>4.2280210105544985E-3</v>
      </c>
      <c r="M578" s="4">
        <f t="shared" ref="M578:N578" si="335">M262/M$13</f>
        <v>4.2280297081150114E-3</v>
      </c>
      <c r="N578" s="4">
        <f t="shared" si="335"/>
        <v>4.2280297081150114E-3</v>
      </c>
    </row>
    <row r="579" spans="1:14" x14ac:dyDescent="0.2">
      <c r="A579" s="30">
        <v>791</v>
      </c>
      <c r="B579" s="31" t="s">
        <v>577</v>
      </c>
      <c r="I579" s="165">
        <f t="shared" si="277"/>
        <v>-1618.4851699999999</v>
      </c>
      <c r="J579" s="4">
        <f t="shared" si="317"/>
        <v>8.0403078904179822E-4</v>
      </c>
      <c r="K579" s="4">
        <f t="shared" si="317"/>
        <v>2.3772632625395802E-4</v>
      </c>
      <c r="L579" s="4">
        <f t="shared" si="317"/>
        <v>3.5746929947450343E-4</v>
      </c>
      <c r="M579" s="4">
        <f t="shared" ref="M579:N579" si="336">M263/M$13</f>
        <v>3.5747003483292667E-4</v>
      </c>
      <c r="N579" s="4">
        <f t="shared" si="336"/>
        <v>3.5747003483292661E-4</v>
      </c>
    </row>
    <row r="580" spans="1:14" x14ac:dyDescent="0.2">
      <c r="A580" s="30">
        <v>831</v>
      </c>
      <c r="B580" s="31" t="s">
        <v>578</v>
      </c>
      <c r="I580" s="165">
        <f t="shared" si="277"/>
        <v>-532.62194</v>
      </c>
      <c r="J580" s="4">
        <f t="shared" si="317"/>
        <v>1.860790175327389E-4</v>
      </c>
      <c r="K580" s="4">
        <f t="shared" si="317"/>
        <v>2.9310363625918289E-4</v>
      </c>
      <c r="L580" s="4">
        <f t="shared" si="317"/>
        <v>2.8369173663544977E-4</v>
      </c>
      <c r="M580" s="4">
        <f t="shared" ref="M580:N580" si="337">M264/M$13</f>
        <v>2.836923202243299E-4</v>
      </c>
      <c r="N580" s="4">
        <f t="shared" si="337"/>
        <v>2.8369232022432979E-4</v>
      </c>
    </row>
    <row r="581" spans="1:14" x14ac:dyDescent="0.2">
      <c r="A581" s="30">
        <v>832</v>
      </c>
      <c r="B581" s="31" t="s">
        <v>579</v>
      </c>
      <c r="I581" s="165">
        <f t="shared" si="277"/>
        <v>-3737.9628899999998</v>
      </c>
      <c r="J581" s="4">
        <f t="shared" ref="J581:L600" si="338">J265/J$13</f>
        <v>6.740821514664106E-4</v>
      </c>
      <c r="K581" s="4">
        <f t="shared" si="338"/>
        <v>1.0560140111087613E-3</v>
      </c>
      <c r="L581" s="4">
        <f t="shared" si="338"/>
        <v>8.1692828894379594E-4</v>
      </c>
      <c r="M581" s="4">
        <f t="shared" ref="M581:N581" si="339">M265/M$13</f>
        <v>8.1692996946600952E-4</v>
      </c>
      <c r="N581" s="4">
        <f t="shared" si="339"/>
        <v>8.169299694660093E-4</v>
      </c>
    </row>
    <row r="582" spans="1:14" x14ac:dyDescent="0.2">
      <c r="A582" s="30">
        <v>833</v>
      </c>
      <c r="B582" s="31" t="s">
        <v>580</v>
      </c>
      <c r="I582" s="165">
        <f t="shared" si="277"/>
        <v>-557.62083499999994</v>
      </c>
      <c r="J582" s="4">
        <f t="shared" si="338"/>
        <v>2.220256694171624E-4</v>
      </c>
      <c r="K582" s="4">
        <f t="shared" si="338"/>
        <v>1.286570540457637E-4</v>
      </c>
      <c r="L582" s="4">
        <f t="shared" si="338"/>
        <v>1.9062029797248931E-4</v>
      </c>
      <c r="M582" s="4">
        <f t="shared" ref="M582:N582" si="340">M266/M$13</f>
        <v>1.9062069010194476E-4</v>
      </c>
      <c r="N582" s="4">
        <f t="shared" si="340"/>
        <v>1.9062069010194476E-4</v>
      </c>
    </row>
    <row r="583" spans="1:14" x14ac:dyDescent="0.2">
      <c r="A583" s="30">
        <v>834</v>
      </c>
      <c r="B583" s="31" t="s">
        <v>581</v>
      </c>
      <c r="I583" s="165">
        <f t="shared" si="277"/>
        <v>-905.96711000000005</v>
      </c>
      <c r="J583" s="4">
        <f t="shared" si="338"/>
        <v>1.4630317083521741E-3</v>
      </c>
      <c r="K583" s="4">
        <f t="shared" si="338"/>
        <v>1.6159438400518546E-3</v>
      </c>
      <c r="L583" s="4">
        <f t="shared" si="338"/>
        <v>1.3045038706345222E-3</v>
      </c>
      <c r="M583" s="4">
        <f t="shared" ref="M583:N583" si="341">M267/M$13</f>
        <v>1.304506554159823E-3</v>
      </c>
      <c r="N583" s="4">
        <f t="shared" si="341"/>
        <v>1.3045065541598228E-3</v>
      </c>
    </row>
    <row r="584" spans="1:14" x14ac:dyDescent="0.2">
      <c r="A584" s="30">
        <v>837</v>
      </c>
      <c r="B584" s="31" t="s">
        <v>582</v>
      </c>
      <c r="I584" s="165">
        <f t="shared" si="277"/>
        <v>-151255.07045</v>
      </c>
      <c r="J584" s="4">
        <f t="shared" si="338"/>
        <v>0.10345412950847847</v>
      </c>
      <c r="K584" s="4">
        <f t="shared" si="338"/>
        <v>5.3040688554908663E-2</v>
      </c>
      <c r="L584" s="4">
        <f t="shared" si="338"/>
        <v>5.0561491414693238E-2</v>
      </c>
      <c r="M584" s="4">
        <f t="shared" ref="M584:N584" si="342">M268/M$13</f>
        <v>5.0561595425915061E-2</v>
      </c>
      <c r="N584" s="4">
        <f t="shared" si="342"/>
        <v>5.0561595425915054E-2</v>
      </c>
    </row>
    <row r="585" spans="1:14" x14ac:dyDescent="0.2">
      <c r="A585" s="30">
        <v>844</v>
      </c>
      <c r="B585" s="31" t="s">
        <v>583</v>
      </c>
      <c r="I585" s="165">
        <f t="shared" si="277"/>
        <v>-326.07589000000002</v>
      </c>
      <c r="J585" s="4">
        <f t="shared" si="338"/>
        <v>-3.6264762829622715E-5</v>
      </c>
      <c r="K585" s="4">
        <f t="shared" si="338"/>
        <v>5.6223162774545348E-5</v>
      </c>
      <c r="L585" s="4">
        <f t="shared" si="338"/>
        <v>4.6586069502978057E-5</v>
      </c>
      <c r="M585" s="4">
        <f t="shared" ref="M585:N585" si="343">M269/M$13</f>
        <v>4.6586165336266858E-5</v>
      </c>
      <c r="N585" s="4">
        <f t="shared" si="343"/>
        <v>4.6586165336266851E-5</v>
      </c>
    </row>
    <row r="586" spans="1:14" x14ac:dyDescent="0.2">
      <c r="A586" s="30">
        <v>845</v>
      </c>
      <c r="B586" s="31" t="s">
        <v>584</v>
      </c>
      <c r="I586" s="165">
        <f t="shared" si="277"/>
        <v>-882.38416499999994</v>
      </c>
      <c r="J586" s="4">
        <f t="shared" si="338"/>
        <v>8.2006541903351614E-4</v>
      </c>
      <c r="K586" s="4">
        <f t="shared" si="338"/>
        <v>3.9197236371565409E-4</v>
      </c>
      <c r="L586" s="4">
        <f t="shared" si="338"/>
        <v>5.7824267869557497E-4</v>
      </c>
      <c r="M586" s="4">
        <f t="shared" ref="M586:N586" si="344">M270/M$13</f>
        <v>5.7824386821205963E-4</v>
      </c>
      <c r="N586" s="4">
        <f t="shared" si="344"/>
        <v>5.7824386821205942E-4</v>
      </c>
    </row>
    <row r="587" spans="1:14" x14ac:dyDescent="0.2">
      <c r="A587" s="30">
        <v>846</v>
      </c>
      <c r="B587" s="31" t="s">
        <v>585</v>
      </c>
      <c r="I587" s="165">
        <f t="shared" ref="I587:I623" si="345">AVERAGE(H271:I271)</f>
        <v>-1249.684845</v>
      </c>
      <c r="J587" s="4">
        <f t="shared" si="338"/>
        <v>3.1281090537735009E-4</v>
      </c>
      <c r="K587" s="4">
        <f t="shared" si="338"/>
        <v>-1.9989707629363635E-4</v>
      </c>
      <c r="L587" s="4">
        <f t="shared" si="338"/>
        <v>4.6632747125238525E-4</v>
      </c>
      <c r="M587" s="4">
        <f t="shared" ref="M587:N587" si="346">M271/M$13</f>
        <v>4.6632843054548952E-4</v>
      </c>
      <c r="N587" s="4">
        <f t="shared" si="346"/>
        <v>4.6632843054548941E-4</v>
      </c>
    </row>
    <row r="588" spans="1:14" x14ac:dyDescent="0.2">
      <c r="A588" s="30">
        <v>848</v>
      </c>
      <c r="B588" s="31" t="s">
        <v>586</v>
      </c>
      <c r="I588" s="165">
        <f t="shared" si="345"/>
        <v>-1887.0383000000002</v>
      </c>
      <c r="J588" s="4">
        <f t="shared" si="338"/>
        <v>5.0013418243705912E-4</v>
      </c>
      <c r="K588" s="4">
        <f t="shared" si="338"/>
        <v>3.5987831794582917E-4</v>
      </c>
      <c r="L588" s="4">
        <f t="shared" si="338"/>
        <v>3.0660170958164283E-4</v>
      </c>
      <c r="M588" s="4">
        <f t="shared" ref="M588:N588" si="347">M272/M$13</f>
        <v>3.0660234029916195E-4</v>
      </c>
      <c r="N588" s="4">
        <f t="shared" si="347"/>
        <v>3.066023402991619E-4</v>
      </c>
    </row>
    <row r="589" spans="1:14" x14ac:dyDescent="0.2">
      <c r="A589" s="30">
        <v>849</v>
      </c>
      <c r="B589" s="31" t="s">
        <v>587</v>
      </c>
      <c r="I589" s="165">
        <f t="shared" si="345"/>
        <v>-2118.8818550000001</v>
      </c>
      <c r="J589" s="4">
        <f t="shared" si="338"/>
        <v>8.0514044694008106E-4</v>
      </c>
      <c r="K589" s="4">
        <f t="shared" si="338"/>
        <v>-3.700910196655497E-4</v>
      </c>
      <c r="L589" s="4">
        <f t="shared" si="338"/>
        <v>3.6247341249573639E-4</v>
      </c>
      <c r="M589" s="4">
        <f t="shared" ref="M589:N589" si="348">M273/M$13</f>
        <v>3.6247415814823707E-4</v>
      </c>
      <c r="N589" s="4">
        <f t="shared" si="348"/>
        <v>3.6247415814823702E-4</v>
      </c>
    </row>
    <row r="590" spans="1:14" x14ac:dyDescent="0.2">
      <c r="A590" s="30">
        <v>850</v>
      </c>
      <c r="B590" s="31" t="s">
        <v>588</v>
      </c>
      <c r="I590" s="165">
        <f t="shared" si="345"/>
        <v>-493.60700000000003</v>
      </c>
      <c r="J590" s="4">
        <f t="shared" si="338"/>
        <v>9.6570550327310543E-5</v>
      </c>
      <c r="K590" s="4">
        <f t="shared" si="338"/>
        <v>4.8180363261264991E-5</v>
      </c>
      <c r="L590" s="4">
        <f t="shared" si="338"/>
        <v>1.6820803316893435E-4</v>
      </c>
      <c r="M590" s="4">
        <f t="shared" ref="M590:N590" si="349">M274/M$13</f>
        <v>1.6820837919359781E-4</v>
      </c>
      <c r="N590" s="4">
        <f t="shared" si="349"/>
        <v>1.6820837919359779E-4</v>
      </c>
    </row>
    <row r="591" spans="1:14" x14ac:dyDescent="0.2">
      <c r="A591" s="30">
        <v>851</v>
      </c>
      <c r="B591" s="31" t="s">
        <v>589</v>
      </c>
      <c r="I591" s="165">
        <f t="shared" si="345"/>
        <v>-8117.8186150000001</v>
      </c>
      <c r="J591" s="4">
        <f t="shared" si="338"/>
        <v>3.2185453381759319E-3</v>
      </c>
      <c r="K591" s="4">
        <f t="shared" si="338"/>
        <v>2.098248771367162E-3</v>
      </c>
      <c r="L591" s="4">
        <f t="shared" si="338"/>
        <v>1.9573325705831207E-3</v>
      </c>
      <c r="M591" s="4">
        <f t="shared" ref="M591:N591" si="350">M275/M$13</f>
        <v>1.957336597057548E-3</v>
      </c>
      <c r="N591" s="4">
        <f t="shared" si="350"/>
        <v>1.9573365970575476E-3</v>
      </c>
    </row>
    <row r="592" spans="1:14" x14ac:dyDescent="0.2">
      <c r="A592" s="30">
        <v>853</v>
      </c>
      <c r="B592" s="31" t="s">
        <v>590</v>
      </c>
      <c r="I592" s="165">
        <f t="shared" si="345"/>
        <v>-78769.924289999995</v>
      </c>
      <c r="J592" s="4">
        <f t="shared" si="338"/>
        <v>3.5568182086885322E-2</v>
      </c>
      <c r="K592" s="4">
        <f t="shared" si="338"/>
        <v>4.0690251399430624E-2</v>
      </c>
      <c r="L592" s="4">
        <f t="shared" si="338"/>
        <v>5.1509914989301596E-2</v>
      </c>
      <c r="M592" s="4">
        <f t="shared" ref="M592:N592" si="351">M276/M$13</f>
        <v>5.151002095154765E-2</v>
      </c>
      <c r="N592" s="4">
        <f t="shared" si="351"/>
        <v>5.1510020951547636E-2</v>
      </c>
    </row>
    <row r="593" spans="1:14" x14ac:dyDescent="0.2">
      <c r="A593" s="30">
        <v>854</v>
      </c>
      <c r="B593" s="31" t="s">
        <v>591</v>
      </c>
      <c r="I593" s="165">
        <f t="shared" si="345"/>
        <v>-461.54606999999999</v>
      </c>
      <c r="J593" s="4">
        <f t="shared" si="338"/>
        <v>5.3243646357862228E-4</v>
      </c>
      <c r="K593" s="4">
        <f t="shared" si="338"/>
        <v>1.3590022112656996E-4</v>
      </c>
      <c r="L593" s="4">
        <f t="shared" si="338"/>
        <v>2.0654318689009989E-4</v>
      </c>
      <c r="M593" s="4">
        <f t="shared" ref="M593:N593" si="352">M277/M$13</f>
        <v>2.0654361177490109E-4</v>
      </c>
      <c r="N593" s="4">
        <f t="shared" si="352"/>
        <v>2.0654361177490103E-4</v>
      </c>
    </row>
    <row r="594" spans="1:14" x14ac:dyDescent="0.2">
      <c r="A594" s="30">
        <v>857</v>
      </c>
      <c r="B594" s="31" t="s">
        <v>592</v>
      </c>
      <c r="I594" s="165">
        <f t="shared" si="345"/>
        <v>-515.93462499999998</v>
      </c>
      <c r="J594" s="4">
        <f t="shared" si="338"/>
        <v>1.2524379472460761E-4</v>
      </c>
      <c r="K594" s="4">
        <f t="shared" si="338"/>
        <v>1.4023093763652282E-4</v>
      </c>
      <c r="L594" s="4">
        <f t="shared" si="338"/>
        <v>1.4677342284769005E-4</v>
      </c>
      <c r="M594" s="4">
        <f t="shared" ref="M594:N594" si="353">M278/M$13</f>
        <v>1.4677372477871729E-4</v>
      </c>
      <c r="N594" s="4">
        <f t="shared" si="353"/>
        <v>1.4677372477871727E-4</v>
      </c>
    </row>
    <row r="595" spans="1:14" x14ac:dyDescent="0.2">
      <c r="A595" s="30">
        <v>858</v>
      </c>
      <c r="B595" s="31" t="s">
        <v>593</v>
      </c>
      <c r="I595" s="165">
        <f t="shared" si="345"/>
        <v>-19916.229899999998</v>
      </c>
      <c r="J595" s="4">
        <f t="shared" si="338"/>
        <v>2.1474314803035854E-2</v>
      </c>
      <c r="K595" s="4">
        <f t="shared" si="338"/>
        <v>1.8921375949997869E-2</v>
      </c>
      <c r="L595" s="4">
        <f t="shared" si="338"/>
        <v>1.2136062377620284E-2</v>
      </c>
      <c r="M595" s="4">
        <f t="shared" ref="M595:N595" si="354">M279/M$13</f>
        <v>1.2136087342996911E-2</v>
      </c>
      <c r="N595" s="4">
        <f t="shared" si="354"/>
        <v>1.2136087342996909E-2</v>
      </c>
    </row>
    <row r="596" spans="1:14" x14ac:dyDescent="0.2">
      <c r="A596" s="30">
        <v>859</v>
      </c>
      <c r="B596" s="31" t="s">
        <v>594</v>
      </c>
      <c r="I596" s="165">
        <f t="shared" si="345"/>
        <v>-931.28619000000003</v>
      </c>
      <c r="J596" s="4">
        <f t="shared" si="338"/>
        <v>7.1232591593514011E-4</v>
      </c>
      <c r="K596" s="4">
        <f t="shared" si="338"/>
        <v>1.0969770069563618E-3</v>
      </c>
      <c r="L596" s="4">
        <f t="shared" si="338"/>
        <v>8.6227009456216761E-4</v>
      </c>
      <c r="M596" s="4">
        <f t="shared" ref="M596:N596" si="355">M280/M$13</f>
        <v>8.6227186835806586E-4</v>
      </c>
      <c r="N596" s="4">
        <f t="shared" si="355"/>
        <v>8.6227186835806575E-4</v>
      </c>
    </row>
    <row r="597" spans="1:14" x14ac:dyDescent="0.2">
      <c r="A597" s="30">
        <v>886</v>
      </c>
      <c r="B597" s="31" t="s">
        <v>595</v>
      </c>
      <c r="I597" s="165">
        <f t="shared" si="345"/>
        <v>-2338.9831299999996</v>
      </c>
      <c r="J597" s="4">
        <f t="shared" si="338"/>
        <v>9.6037068145443162E-4</v>
      </c>
      <c r="K597" s="4">
        <f t="shared" si="338"/>
        <v>1.2583239500303627E-3</v>
      </c>
      <c r="L597" s="4">
        <f t="shared" si="338"/>
        <v>1.3909867467525763E-3</v>
      </c>
      <c r="M597" s="4">
        <f t="shared" ref="M597:N597" si="356">M281/M$13</f>
        <v>1.3909896081838165E-3</v>
      </c>
      <c r="N597" s="4">
        <f t="shared" si="356"/>
        <v>1.3909896081838161E-3</v>
      </c>
    </row>
    <row r="598" spans="1:14" x14ac:dyDescent="0.2">
      <c r="A598" s="30">
        <v>887</v>
      </c>
      <c r="B598" s="31" t="s">
        <v>596</v>
      </c>
      <c r="I598" s="165">
        <f t="shared" si="345"/>
        <v>-1789.5302799999999</v>
      </c>
      <c r="J598" s="4">
        <f t="shared" si="338"/>
        <v>6.3376142613678443E-4</v>
      </c>
      <c r="K598" s="4">
        <f t="shared" si="338"/>
        <v>1.6897024856691307E-4</v>
      </c>
      <c r="L598" s="4">
        <f t="shared" si="338"/>
        <v>3.4069472953492612E-4</v>
      </c>
      <c r="M598" s="4">
        <f t="shared" ref="M598:N598" si="357">M282/M$13</f>
        <v>3.4069543038599075E-4</v>
      </c>
      <c r="N598" s="4">
        <f t="shared" si="357"/>
        <v>3.4069543038599064E-4</v>
      </c>
    </row>
    <row r="599" spans="1:14" x14ac:dyDescent="0.2">
      <c r="A599" s="30">
        <v>889</v>
      </c>
      <c r="B599" s="31" t="s">
        <v>597</v>
      </c>
      <c r="I599" s="165">
        <f t="shared" si="345"/>
        <v>-2501.7836550000002</v>
      </c>
      <c r="J599" s="4">
        <f t="shared" si="338"/>
        <v>7.0288012964714579E-4</v>
      </c>
      <c r="K599" s="4">
        <f t="shared" si="338"/>
        <v>2.6222163802974702E-4</v>
      </c>
      <c r="L599" s="4">
        <f t="shared" si="338"/>
        <v>5.3383062189636134E-4</v>
      </c>
      <c r="M599" s="4">
        <f t="shared" ref="M599:N599" si="358">M283/M$13</f>
        <v>5.3383172005176931E-4</v>
      </c>
      <c r="N599" s="4">
        <f t="shared" si="358"/>
        <v>5.3383172005176921E-4</v>
      </c>
    </row>
    <row r="600" spans="1:14" x14ac:dyDescent="0.2">
      <c r="A600" s="30">
        <v>890</v>
      </c>
      <c r="B600" s="31" t="s">
        <v>598</v>
      </c>
      <c r="I600" s="165">
        <f t="shared" si="345"/>
        <v>-4265.0567849999998</v>
      </c>
      <c r="J600" s="4">
        <f t="shared" si="338"/>
        <v>3.5195210673817477E-4</v>
      </c>
      <c r="K600" s="4">
        <f t="shared" si="338"/>
        <v>-6.1833958670997542E-5</v>
      </c>
      <c r="L600" s="4">
        <f t="shared" si="338"/>
        <v>4.2714550116080798E-4</v>
      </c>
      <c r="M600" s="4">
        <f t="shared" ref="M600:N600" si="359">M284/M$13</f>
        <v>4.2714637985176885E-4</v>
      </c>
      <c r="N600" s="4">
        <f t="shared" si="359"/>
        <v>4.2714637985176868E-4</v>
      </c>
    </row>
    <row r="601" spans="1:14" x14ac:dyDescent="0.2">
      <c r="A601" s="30">
        <v>892</v>
      </c>
      <c r="B601" s="31" t="s">
        <v>599</v>
      </c>
      <c r="I601" s="165">
        <f t="shared" si="345"/>
        <v>-896.01367000000005</v>
      </c>
      <c r="J601" s="4">
        <f t="shared" ref="J601:L620" si="360">J285/J$13</f>
        <v>3.9102259813112214E-4</v>
      </c>
      <c r="K601" s="4">
        <f t="shared" si="360"/>
        <v>3.3364641419915891E-4</v>
      </c>
      <c r="L601" s="4">
        <f t="shared" si="360"/>
        <v>2.3314986938959378E-4</v>
      </c>
      <c r="M601" s="4">
        <f t="shared" ref="M601:N601" si="361">M285/M$13</f>
        <v>2.3315034900762133E-4</v>
      </c>
      <c r="N601" s="4">
        <f t="shared" si="361"/>
        <v>2.3315034900762131E-4</v>
      </c>
    </row>
    <row r="602" spans="1:14" x14ac:dyDescent="0.2">
      <c r="A602" s="30">
        <v>893</v>
      </c>
      <c r="B602" s="31" t="s">
        <v>600</v>
      </c>
      <c r="I602" s="165">
        <f t="shared" si="345"/>
        <v>-1298.915375</v>
      </c>
      <c r="J602" s="4">
        <f t="shared" si="360"/>
        <v>1.6967184521619581E-3</v>
      </c>
      <c r="K602" s="4">
        <f t="shared" si="360"/>
        <v>8.3101695215206527E-4</v>
      </c>
      <c r="L602" s="4">
        <f t="shared" si="360"/>
        <v>1.0685094463109127E-3</v>
      </c>
      <c r="M602" s="4">
        <f t="shared" ref="M602:N602" si="362">M286/M$13</f>
        <v>1.068511644366586E-3</v>
      </c>
      <c r="N602" s="4">
        <f t="shared" si="362"/>
        <v>1.0685116443665856E-3</v>
      </c>
    </row>
    <row r="603" spans="1:14" x14ac:dyDescent="0.2">
      <c r="A603" s="30">
        <v>895</v>
      </c>
      <c r="B603" s="31" t="s">
        <v>601</v>
      </c>
      <c r="I603" s="165">
        <f t="shared" si="345"/>
        <v>-12405.327505000001</v>
      </c>
      <c r="J603" s="4">
        <f t="shared" si="360"/>
        <v>1.0679764081214805E-2</v>
      </c>
      <c r="K603" s="4">
        <f t="shared" si="360"/>
        <v>4.8670285357231878E-3</v>
      </c>
      <c r="L603" s="4">
        <f t="shared" si="360"/>
        <v>4.174988999826392E-3</v>
      </c>
      <c r="M603" s="4">
        <f t="shared" ref="M603:N603" si="363">M287/M$13</f>
        <v>4.1749975882935213E-3</v>
      </c>
      <c r="N603" s="4">
        <f t="shared" si="363"/>
        <v>4.1749975882935195E-3</v>
      </c>
    </row>
    <row r="604" spans="1:14" x14ac:dyDescent="0.2">
      <c r="A604" s="30">
        <v>905</v>
      </c>
      <c r="B604" s="31" t="s">
        <v>602</v>
      </c>
      <c r="I604" s="165">
        <f t="shared" si="345"/>
        <v>-58951.16072</v>
      </c>
      <c r="J604" s="4">
        <f t="shared" si="360"/>
        <v>2.087979043732803E-2</v>
      </c>
      <c r="K604" s="4">
        <f t="shared" si="360"/>
        <v>1.2726317776614612E-2</v>
      </c>
      <c r="L604" s="4">
        <f t="shared" si="360"/>
        <v>1.4227332220802309E-2</v>
      </c>
      <c r="M604" s="4">
        <f t="shared" ref="M604:N604" si="364">M288/M$13</f>
        <v>1.4227361488178849E-2</v>
      </c>
      <c r="N604" s="4">
        <f t="shared" si="364"/>
        <v>1.4227361488178844E-2</v>
      </c>
    </row>
    <row r="605" spans="1:14" x14ac:dyDescent="0.2">
      <c r="A605" s="30">
        <v>908</v>
      </c>
      <c r="B605" s="31" t="s">
        <v>603</v>
      </c>
      <c r="I605" s="165">
        <f t="shared" si="345"/>
        <v>-11698.454415</v>
      </c>
      <c r="J605" s="4">
        <f t="shared" si="360"/>
        <v>3.2954815136363685E-3</v>
      </c>
      <c r="K605" s="4">
        <f t="shared" si="360"/>
        <v>5.6115718358107749E-3</v>
      </c>
      <c r="L605" s="4">
        <f t="shared" si="360"/>
        <v>3.5761611734621075E-3</v>
      </c>
      <c r="M605" s="4">
        <f t="shared" ref="M605:N605" si="365">M289/M$13</f>
        <v>3.5761685300665642E-3</v>
      </c>
      <c r="N605" s="4">
        <f t="shared" si="365"/>
        <v>3.5761685300665634E-3</v>
      </c>
    </row>
    <row r="606" spans="1:14" x14ac:dyDescent="0.2">
      <c r="A606" s="30">
        <v>915</v>
      </c>
      <c r="B606" s="31" t="s">
        <v>604</v>
      </c>
      <c r="I606" s="165">
        <f t="shared" si="345"/>
        <v>-11822.231524999999</v>
      </c>
      <c r="J606" s="4">
        <f t="shared" si="360"/>
        <v>3.0536887952619294E-3</v>
      </c>
      <c r="K606" s="4">
        <f t="shared" si="360"/>
        <v>2.6176820833749494E-3</v>
      </c>
      <c r="L606" s="4">
        <f t="shared" si="360"/>
        <v>2.7268777839849945E-3</v>
      </c>
      <c r="M606" s="4">
        <f t="shared" ref="M606:N606" si="366">M290/M$13</f>
        <v>2.7268833935088065E-3</v>
      </c>
      <c r="N606" s="4">
        <f t="shared" si="366"/>
        <v>2.7268833935088061E-3</v>
      </c>
    </row>
    <row r="607" spans="1:14" x14ac:dyDescent="0.2">
      <c r="A607" s="30">
        <v>918</v>
      </c>
      <c r="B607" s="31" t="s">
        <v>605</v>
      </c>
      <c r="I607" s="165">
        <f t="shared" si="345"/>
        <v>-95.826840000000004</v>
      </c>
      <c r="J607" s="4">
        <f t="shared" si="360"/>
        <v>4.8330716159489906E-5</v>
      </c>
      <c r="K607" s="4">
        <f t="shared" si="360"/>
        <v>4.6358065208239848E-6</v>
      </c>
      <c r="L607" s="4">
        <f t="shared" si="360"/>
        <v>4.7761344268248233E-5</v>
      </c>
      <c r="M607" s="4">
        <f t="shared" ref="M607:N607" si="367">M291/M$13</f>
        <v>4.7761442519222138E-5</v>
      </c>
      <c r="N607" s="4">
        <f t="shared" si="367"/>
        <v>4.7761442519222125E-5</v>
      </c>
    </row>
    <row r="608" spans="1:14" x14ac:dyDescent="0.2">
      <c r="A608" s="30">
        <v>921</v>
      </c>
      <c r="B608" s="31" t="s">
        <v>606</v>
      </c>
      <c r="I608" s="165">
        <f t="shared" si="345"/>
        <v>-1342.9162799999999</v>
      </c>
      <c r="J608" s="4">
        <f t="shared" si="360"/>
        <v>5.8801372635590585E-5</v>
      </c>
      <c r="K608" s="4">
        <f t="shared" si="360"/>
        <v>7.5651364073237268E-5</v>
      </c>
      <c r="L608" s="4">
        <f t="shared" si="360"/>
        <v>1.6478827944423297E-4</v>
      </c>
      <c r="M608" s="4">
        <f t="shared" ref="M608:N608" si="368">M292/M$13</f>
        <v>1.6478861843404136E-4</v>
      </c>
      <c r="N608" s="4">
        <f t="shared" si="368"/>
        <v>1.647886184340413E-4</v>
      </c>
    </row>
    <row r="609" spans="1:14" x14ac:dyDescent="0.2">
      <c r="A609" s="30">
        <v>922</v>
      </c>
      <c r="B609" s="31" t="s">
        <v>607</v>
      </c>
      <c r="I609" s="165">
        <f t="shared" si="345"/>
        <v>-817.29728999999998</v>
      </c>
      <c r="J609" s="4">
        <f t="shared" si="360"/>
        <v>6.5039164148416413E-4</v>
      </c>
      <c r="K609" s="4">
        <f t="shared" si="360"/>
        <v>1.1806824002845041E-3</v>
      </c>
      <c r="L609" s="4">
        <f t="shared" si="360"/>
        <v>6.8851413187564678E-4</v>
      </c>
      <c r="M609" s="4">
        <f t="shared" ref="M609:N609" si="369">M293/M$13</f>
        <v>6.8851554823410644E-4</v>
      </c>
      <c r="N609" s="4">
        <f t="shared" si="369"/>
        <v>6.8851554823410644E-4</v>
      </c>
    </row>
    <row r="610" spans="1:14" x14ac:dyDescent="0.2">
      <c r="A610" s="30">
        <v>924</v>
      </c>
      <c r="B610" s="31" t="s">
        <v>608</v>
      </c>
      <c r="I610" s="165">
        <f t="shared" si="345"/>
        <v>-874.995</v>
      </c>
      <c r="J610" s="4">
        <f t="shared" si="360"/>
        <v>4.1998394237380526E-4</v>
      </c>
      <c r="K610" s="4">
        <f t="shared" si="360"/>
        <v>5.3515936680799327E-4</v>
      </c>
      <c r="L610" s="4">
        <f t="shared" si="360"/>
        <v>5.0339834436884297E-4</v>
      </c>
      <c r="M610" s="4">
        <f t="shared" ref="M610:N610" si="370">M294/M$13</f>
        <v>5.0339937992130391E-4</v>
      </c>
      <c r="N610" s="4">
        <f t="shared" si="370"/>
        <v>5.033993799213038E-4</v>
      </c>
    </row>
    <row r="611" spans="1:14" x14ac:dyDescent="0.2">
      <c r="A611" s="30">
        <v>925</v>
      </c>
      <c r="B611" s="31" t="s">
        <v>609</v>
      </c>
      <c r="I611" s="165">
        <f t="shared" si="345"/>
        <v>-1578.507955</v>
      </c>
      <c r="J611" s="4">
        <f t="shared" si="360"/>
        <v>7.35263549601784E-4</v>
      </c>
      <c r="K611" s="4">
        <f t="shared" si="360"/>
        <v>-9.543567452280363E-5</v>
      </c>
      <c r="L611" s="4">
        <f t="shared" si="360"/>
        <v>5.830078504485244E-4</v>
      </c>
      <c r="M611" s="4">
        <f t="shared" ref="M611:N611" si="371">M295/M$13</f>
        <v>5.8300904976755477E-4</v>
      </c>
      <c r="N611" s="4">
        <f t="shared" si="371"/>
        <v>5.8300904976755466E-4</v>
      </c>
    </row>
    <row r="612" spans="1:14" x14ac:dyDescent="0.2">
      <c r="A612" s="30">
        <v>927</v>
      </c>
      <c r="B612" s="31" t="s">
        <v>610</v>
      </c>
      <c r="I612" s="165">
        <f t="shared" si="345"/>
        <v>-10601.78717</v>
      </c>
      <c r="J612" s="4">
        <f t="shared" si="360"/>
        <v>9.9865971094721707E-3</v>
      </c>
      <c r="K612" s="4">
        <f t="shared" si="360"/>
        <v>8.756702357608588E-4</v>
      </c>
      <c r="L612" s="4">
        <f t="shared" si="360"/>
        <v>4.4700726166633214E-3</v>
      </c>
      <c r="M612" s="4">
        <f t="shared" ref="M612:N612" si="372">M296/M$13</f>
        <v>4.4700818121538328E-3</v>
      </c>
      <c r="N612" s="4">
        <f t="shared" si="372"/>
        <v>4.470081812153831E-3</v>
      </c>
    </row>
    <row r="613" spans="1:14" x14ac:dyDescent="0.2">
      <c r="A613" s="30">
        <v>931</v>
      </c>
      <c r="B613" s="31" t="s">
        <v>611</v>
      </c>
      <c r="I613" s="165">
        <f t="shared" si="345"/>
        <v>-3699.42893</v>
      </c>
      <c r="J613" s="4">
        <f t="shared" si="360"/>
        <v>1.2255769820159888E-3</v>
      </c>
      <c r="K613" s="4">
        <f t="shared" si="360"/>
        <v>6.3178534514162768E-4</v>
      </c>
      <c r="L613" s="4">
        <f t="shared" si="360"/>
        <v>7.0349793213244998E-4</v>
      </c>
      <c r="M613" s="4">
        <f t="shared" ref="M613:N613" si="373">M297/M$13</f>
        <v>7.0349937931443415E-4</v>
      </c>
      <c r="N613" s="4">
        <f t="shared" si="373"/>
        <v>7.0349937931443393E-4</v>
      </c>
    </row>
    <row r="614" spans="1:14" x14ac:dyDescent="0.2">
      <c r="A614" s="30">
        <v>934</v>
      </c>
      <c r="B614" s="31" t="s">
        <v>612</v>
      </c>
      <c r="I614" s="165">
        <f t="shared" si="345"/>
        <v>-1718.1599000000001</v>
      </c>
      <c r="J614" s="4">
        <f t="shared" si="360"/>
        <v>9.1058001806979395E-4</v>
      </c>
      <c r="K614" s="4">
        <f t="shared" si="360"/>
        <v>3.6883674265738024E-4</v>
      </c>
      <c r="L614" s="4">
        <f t="shared" si="360"/>
        <v>7.1893825317410637E-4</v>
      </c>
      <c r="M614" s="4">
        <f t="shared" ref="M614:N614" si="374">M298/M$13</f>
        <v>7.189397321187347E-4</v>
      </c>
      <c r="N614" s="4">
        <f t="shared" si="374"/>
        <v>7.1893973211873449E-4</v>
      </c>
    </row>
    <row r="615" spans="1:14" x14ac:dyDescent="0.2">
      <c r="A615" s="30">
        <v>935</v>
      </c>
      <c r="B615" s="31" t="s">
        <v>613</v>
      </c>
      <c r="I615" s="165">
        <f t="shared" si="345"/>
        <v>-1556.54628</v>
      </c>
      <c r="J615" s="4">
        <f t="shared" si="360"/>
        <v>1.4850899530225044E-3</v>
      </c>
      <c r="K615" s="4">
        <f t="shared" si="360"/>
        <v>6.9834493471050585E-5</v>
      </c>
      <c r="L615" s="4">
        <f t="shared" si="360"/>
        <v>3.3345660504483193E-4</v>
      </c>
      <c r="M615" s="4">
        <f t="shared" ref="M615:N615" si="375">M299/M$13</f>
        <v>3.334572910061821E-4</v>
      </c>
      <c r="N615" s="4">
        <f t="shared" si="375"/>
        <v>3.3345729100618204E-4</v>
      </c>
    </row>
    <row r="616" spans="1:14" x14ac:dyDescent="0.2">
      <c r="A616" s="30">
        <v>936</v>
      </c>
      <c r="B616" s="31" t="s">
        <v>614</v>
      </c>
      <c r="I616" s="165">
        <f t="shared" si="345"/>
        <v>-9911.3917949999995</v>
      </c>
      <c r="J616" s="4">
        <f t="shared" si="360"/>
        <v>1.4393017509632875E-3</v>
      </c>
      <c r="K616" s="4">
        <f t="shared" si="360"/>
        <v>7.8728163349698016E-4</v>
      </c>
      <c r="L616" s="4">
        <f t="shared" si="360"/>
        <v>1.7123497808243628E-3</v>
      </c>
      <c r="M616" s="4">
        <f t="shared" ref="M616:N616" si="376">M300/M$13</f>
        <v>1.7123533033389863E-3</v>
      </c>
      <c r="N616" s="4">
        <f t="shared" si="376"/>
        <v>1.7123533033389859E-3</v>
      </c>
    </row>
    <row r="617" spans="1:14" x14ac:dyDescent="0.2">
      <c r="A617" s="30">
        <v>946</v>
      </c>
      <c r="B617" s="31" t="s">
        <v>615</v>
      </c>
      <c r="I617" s="165">
        <f t="shared" si="345"/>
        <v>-5999.335</v>
      </c>
      <c r="J617" s="4">
        <f t="shared" si="360"/>
        <v>2.5438614591236533E-3</v>
      </c>
      <c r="K617" s="4">
        <f t="shared" si="360"/>
        <v>2.5367983076785847E-3</v>
      </c>
      <c r="L617" s="4">
        <f t="shared" si="360"/>
        <v>1.8352887291670228E-3</v>
      </c>
      <c r="M617" s="4">
        <f t="shared" ref="M617:N617" si="377">M301/M$13</f>
        <v>1.8352925045822209E-3</v>
      </c>
      <c r="N617" s="4">
        <f t="shared" si="377"/>
        <v>1.8352925045822203E-3</v>
      </c>
    </row>
    <row r="618" spans="1:14" x14ac:dyDescent="0.2">
      <c r="A618" s="30">
        <v>976</v>
      </c>
      <c r="B618" s="31" t="s">
        <v>616</v>
      </c>
      <c r="I618" s="165">
        <f t="shared" si="345"/>
        <v>-2688.9688700000002</v>
      </c>
      <c r="J618" s="4">
        <f t="shared" si="360"/>
        <v>7.1038964618955213E-4</v>
      </c>
      <c r="K618" s="4">
        <f t="shared" si="360"/>
        <v>5.5433316104847757E-4</v>
      </c>
      <c r="L618" s="4">
        <f t="shared" si="360"/>
        <v>4.3655898186345792E-4</v>
      </c>
      <c r="M618" s="4">
        <f t="shared" ref="M618:N618" si="378">M302/M$13</f>
        <v>4.3655987991910919E-4</v>
      </c>
      <c r="N618" s="4">
        <f t="shared" si="378"/>
        <v>4.3655987991910908E-4</v>
      </c>
    </row>
    <row r="619" spans="1:14" x14ac:dyDescent="0.2">
      <c r="A619" s="30">
        <v>977</v>
      </c>
      <c r="B619" s="31" t="s">
        <v>617</v>
      </c>
      <c r="I619" s="165">
        <f t="shared" si="345"/>
        <v>-17632.546000000002</v>
      </c>
      <c r="J619" s="4">
        <f t="shared" si="360"/>
        <v>1.9269372956742441E-3</v>
      </c>
      <c r="K619" s="4">
        <f t="shared" si="360"/>
        <v>5.1531285627818689E-4</v>
      </c>
      <c r="L619" s="4">
        <f t="shared" si="360"/>
        <v>2.2718405754721701E-3</v>
      </c>
      <c r="M619" s="4">
        <f t="shared" ref="M619:N619" si="379">M303/M$13</f>
        <v>2.2718452489283408E-3</v>
      </c>
      <c r="N619" s="4">
        <f t="shared" si="379"/>
        <v>2.2718452489283399E-3</v>
      </c>
    </row>
    <row r="620" spans="1:14" x14ac:dyDescent="0.2">
      <c r="A620" s="30">
        <v>980</v>
      </c>
      <c r="B620" s="31" t="s">
        <v>618</v>
      </c>
      <c r="I620" s="165">
        <f t="shared" si="345"/>
        <v>-10467.77117</v>
      </c>
      <c r="J620" s="4">
        <f t="shared" si="360"/>
        <v>1.0409940089384223E-2</v>
      </c>
      <c r="K620" s="4">
        <f t="shared" si="360"/>
        <v>5.0744508972106793E-3</v>
      </c>
      <c r="L620" s="4">
        <f t="shared" si="360"/>
        <v>4.9735263673499524E-3</v>
      </c>
      <c r="M620" s="4">
        <f t="shared" ref="M620:N620" si="380">M304/M$13</f>
        <v>4.9735365985069018E-3</v>
      </c>
      <c r="N620" s="4">
        <f t="shared" si="380"/>
        <v>4.9735365985069E-3</v>
      </c>
    </row>
    <row r="621" spans="1:14" x14ac:dyDescent="0.2">
      <c r="A621" s="30">
        <v>981</v>
      </c>
      <c r="B621" s="31" t="s">
        <v>619</v>
      </c>
      <c r="I621" s="165">
        <f t="shared" si="345"/>
        <v>-128.74819500000001</v>
      </c>
      <c r="J621" s="4">
        <f t="shared" ref="J621:L623" si="381">J305/J$13</f>
        <v>1.2070694019176216E-4</v>
      </c>
      <c r="K621" s="4">
        <f t="shared" si="381"/>
        <v>2.3078733551359137E-4</v>
      </c>
      <c r="L621" s="4">
        <f t="shared" si="381"/>
        <v>1.9691897479673481E-4</v>
      </c>
      <c r="M621" s="4">
        <f t="shared" ref="M621:N621" si="382">M305/M$13</f>
        <v>1.9691937988334509E-4</v>
      </c>
      <c r="N621" s="4">
        <f t="shared" si="382"/>
        <v>1.9691937988334507E-4</v>
      </c>
    </row>
    <row r="622" spans="1:14" x14ac:dyDescent="0.2">
      <c r="A622" s="30">
        <v>989</v>
      </c>
      <c r="B622" s="31" t="s">
        <v>620</v>
      </c>
      <c r="I622" s="165">
        <f t="shared" si="345"/>
        <v>-2212.2734499999997</v>
      </c>
      <c r="J622" s="4">
        <f t="shared" si="381"/>
        <v>2.7449356504613406E-3</v>
      </c>
      <c r="K622" s="4">
        <f t="shared" si="381"/>
        <v>4.6056431718347664E-3</v>
      </c>
      <c r="L622" s="4">
        <f t="shared" si="381"/>
        <v>1.5469586020954867E-3</v>
      </c>
      <c r="M622" s="4">
        <f t="shared" ref="M622:N622" si="383">M306/M$13</f>
        <v>1.5469617843800636E-3</v>
      </c>
      <c r="N622" s="4">
        <f t="shared" si="383"/>
        <v>1.5469617843800634E-3</v>
      </c>
    </row>
    <row r="623" spans="1:14" x14ac:dyDescent="0.2">
      <c r="A623" s="30">
        <v>992</v>
      </c>
      <c r="B623" s="31" t="s">
        <v>621</v>
      </c>
      <c r="I623" s="165">
        <f t="shared" si="345"/>
        <v>-8104.8205899999994</v>
      </c>
      <c r="J623" s="4">
        <f t="shared" si="381"/>
        <v>3.5780832622443908E-3</v>
      </c>
      <c r="K623" s="4">
        <f t="shared" si="381"/>
        <v>1.6367502277941273E-3</v>
      </c>
      <c r="L623" s="4">
        <f t="shared" si="381"/>
        <v>1.5516166015163623E-3</v>
      </c>
      <c r="M623" s="4">
        <f t="shared" ref="M623:N623" si="384">M307/M$13</f>
        <v>1.5516197933830183E-3</v>
      </c>
      <c r="N623" s="4">
        <f t="shared" si="384"/>
        <v>1.5516197933830181E-3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308"/>
  <sheetViews>
    <sheetView topLeftCell="D1" zoomScaleNormal="100" workbookViewId="0">
      <selection activeCell="K5" sqref="K5"/>
    </sheetView>
  </sheetViews>
  <sheetFormatPr defaultRowHeight="15" x14ac:dyDescent="0.25"/>
  <cols>
    <col min="1" max="1" width="4.42578125" style="4" customWidth="1"/>
    <col min="2" max="2" width="20.5703125" style="4" bestFit="1" customWidth="1"/>
    <col min="3" max="9" width="14.5703125" style="4" bestFit="1" customWidth="1"/>
    <col min="10" max="12" width="14.85546875" style="4" bestFit="1" customWidth="1"/>
    <col min="13" max="14" width="14.85546875" style="4" customWidth="1"/>
    <col min="15" max="15" width="2.7109375" style="7" bestFit="1" customWidth="1"/>
    <col min="16" max="16" width="8.28515625" style="4" customWidth="1"/>
    <col min="17" max="18" width="7.5703125" style="4" bestFit="1" customWidth="1"/>
    <col min="19" max="20" width="7.5703125" bestFit="1" customWidth="1"/>
    <col min="21" max="22" width="7.5703125" style="203" customWidth="1"/>
    <col min="23" max="23" width="2.7109375" style="4" bestFit="1" customWidth="1"/>
    <col min="24" max="24" width="14.42578125" style="4" bestFit="1" customWidth="1"/>
    <col min="25" max="25" width="16.85546875" style="4" bestFit="1" customWidth="1"/>
    <col min="26" max="26" width="14.5703125" style="4" customWidth="1"/>
  </cols>
  <sheetData>
    <row r="1" spans="1:26" x14ac:dyDescent="0.25">
      <c r="A1" s="1">
        <v>1</v>
      </c>
      <c r="B1" s="1">
        <v>2</v>
      </c>
      <c r="C1" s="1">
        <v>3</v>
      </c>
      <c r="D1" s="1">
        <v>4</v>
      </c>
      <c r="E1" s="1">
        <v>5</v>
      </c>
      <c r="F1" s="1">
        <v>6</v>
      </c>
      <c r="G1" s="1">
        <v>7</v>
      </c>
      <c r="H1" s="1">
        <v>8</v>
      </c>
      <c r="I1" s="1">
        <v>9</v>
      </c>
      <c r="J1" s="1"/>
      <c r="K1" s="1">
        <v>11</v>
      </c>
      <c r="L1" s="1">
        <v>12</v>
      </c>
      <c r="M1" s="1"/>
      <c r="N1" s="1"/>
      <c r="O1" s="1">
        <v>10</v>
      </c>
      <c r="P1" s="1">
        <v>11</v>
      </c>
      <c r="Q1" s="1">
        <v>12</v>
      </c>
      <c r="R1" s="1">
        <v>13</v>
      </c>
      <c r="W1" s="1">
        <v>14</v>
      </c>
      <c r="X1" s="1">
        <v>15</v>
      </c>
      <c r="Y1" s="1">
        <v>16</v>
      </c>
    </row>
    <row r="2" spans="1:26" x14ac:dyDescent="0.25">
      <c r="A2" s="1"/>
      <c r="B2" s="1"/>
      <c r="I2" s="279"/>
      <c r="J2" s="279"/>
      <c r="K2" s="279"/>
      <c r="L2" s="279"/>
      <c r="M2" s="279"/>
      <c r="N2" s="279"/>
      <c r="O2" s="4"/>
      <c r="P2" s="279"/>
    </row>
    <row r="3" spans="1:26" x14ac:dyDescent="0.25">
      <c r="A3" s="1"/>
      <c r="B3" s="1"/>
      <c r="K3" s="120"/>
      <c r="L3" s="120"/>
      <c r="M3" s="120"/>
      <c r="N3" s="120"/>
      <c r="O3" s="4"/>
    </row>
    <row r="4" spans="1:26" x14ac:dyDescent="0.25">
      <c r="A4" s="1"/>
      <c r="B4" s="1"/>
      <c r="K4" s="41"/>
      <c r="O4" s="4"/>
    </row>
    <row r="5" spans="1:26" x14ac:dyDescent="0.25">
      <c r="A5" s="1"/>
      <c r="B5" s="1"/>
      <c r="I5" s="41"/>
      <c r="J5" s="41"/>
      <c r="K5" s="165"/>
      <c r="L5" s="165"/>
      <c r="M5" s="165"/>
      <c r="N5" s="165"/>
      <c r="O5" s="4"/>
    </row>
    <row r="6" spans="1:26" x14ac:dyDescent="0.25">
      <c r="A6" s="1"/>
      <c r="B6" s="1"/>
      <c r="K6" s="393"/>
      <c r="L6" s="393"/>
      <c r="M6" s="393"/>
      <c r="N6" s="393"/>
      <c r="O6" s="4"/>
    </row>
    <row r="7" spans="1:26" x14ac:dyDescent="0.25">
      <c r="A7" s="1"/>
      <c r="B7" s="1"/>
      <c r="O7" s="4"/>
    </row>
    <row r="8" spans="1:26" x14ac:dyDescent="0.25">
      <c r="A8" s="1" t="s">
        <v>622</v>
      </c>
      <c r="B8" s="1"/>
      <c r="C8" s="4" t="s">
        <v>323</v>
      </c>
      <c r="D8" s="4" t="s">
        <v>323</v>
      </c>
      <c r="E8" s="4" t="s">
        <v>323</v>
      </c>
      <c r="F8" s="4" t="s">
        <v>323</v>
      </c>
      <c r="G8" s="4" t="s">
        <v>323</v>
      </c>
      <c r="H8" s="4" t="s">
        <v>323</v>
      </c>
      <c r="I8" s="4" t="s">
        <v>323</v>
      </c>
      <c r="J8" s="4" t="s">
        <v>323</v>
      </c>
      <c r="K8" s="27" t="s">
        <v>323</v>
      </c>
      <c r="L8" s="27" t="s">
        <v>757</v>
      </c>
      <c r="M8" s="27" t="s">
        <v>758</v>
      </c>
      <c r="N8" s="27" t="s">
        <v>758</v>
      </c>
      <c r="O8" s="4"/>
    </row>
    <row r="9" spans="1:26" x14ac:dyDescent="0.25">
      <c r="A9" s="110" t="s">
        <v>311</v>
      </c>
      <c r="B9" s="110"/>
      <c r="C9" s="367">
        <v>2015</v>
      </c>
      <c r="D9" s="367">
        <v>2016</v>
      </c>
      <c r="E9" s="367">
        <v>2017</v>
      </c>
      <c r="F9" s="367">
        <v>2018</v>
      </c>
      <c r="G9" s="367">
        <v>2019</v>
      </c>
      <c r="H9" s="367">
        <v>2020</v>
      </c>
      <c r="I9" s="367">
        <v>2021</v>
      </c>
      <c r="J9" s="367">
        <v>2022</v>
      </c>
      <c r="K9" s="367">
        <v>2023</v>
      </c>
      <c r="L9" s="367">
        <v>2024</v>
      </c>
      <c r="M9" s="367">
        <v>2025</v>
      </c>
      <c r="N9" s="367">
        <v>2026</v>
      </c>
      <c r="O9" s="367"/>
      <c r="P9" s="367">
        <v>2020</v>
      </c>
      <c r="Q9" s="367">
        <v>2021</v>
      </c>
      <c r="R9" s="367">
        <v>2022</v>
      </c>
      <c r="S9" s="367">
        <v>2023</v>
      </c>
      <c r="T9" s="367">
        <v>2024</v>
      </c>
      <c r="U9" s="367">
        <v>2025</v>
      </c>
      <c r="V9" s="367">
        <v>2026</v>
      </c>
      <c r="W9" s="367"/>
      <c r="X9" s="367" t="s">
        <v>802</v>
      </c>
      <c r="Y9" s="367" t="s">
        <v>803</v>
      </c>
      <c r="Z9" s="367"/>
    </row>
    <row r="10" spans="1:26" x14ac:dyDescent="0.25">
      <c r="A10" s="1" t="s">
        <v>623</v>
      </c>
      <c r="B10" s="1"/>
      <c r="D10" s="75">
        <f t="shared" ref="D10:N10" si="0">(D13/C13-1)*100</f>
        <v>-4.3687953776771149</v>
      </c>
      <c r="E10" s="75">
        <f t="shared" si="0"/>
        <v>-1.9456488217259538</v>
      </c>
      <c r="F10" s="75">
        <f t="shared" si="0"/>
        <v>17.069516638900815</v>
      </c>
      <c r="G10" s="75">
        <f t="shared" si="0"/>
        <v>-1.8359491310345977</v>
      </c>
      <c r="H10" s="75">
        <f t="shared" si="0"/>
        <v>21.501381054255365</v>
      </c>
      <c r="I10" s="75">
        <f t="shared" si="0"/>
        <v>-13.623861996047804</v>
      </c>
      <c r="J10" s="75">
        <f t="shared" si="0"/>
        <v>-27.289127784997046</v>
      </c>
      <c r="K10" s="75">
        <f>(K13/J13-1)*100</f>
        <v>76.854978659145942</v>
      </c>
      <c r="L10" s="75">
        <f>(L13/K13-1)*100</f>
        <v>14.830217819749469</v>
      </c>
      <c r="M10" s="75">
        <f t="shared" si="0"/>
        <v>9.4263863117012079</v>
      </c>
      <c r="N10" s="75">
        <f t="shared" si="0"/>
        <v>-2.336575499698923</v>
      </c>
      <c r="O10" s="75"/>
      <c r="P10" s="75"/>
      <c r="Q10" s="75"/>
      <c r="R10" s="75"/>
      <c r="W10" s="75"/>
      <c r="X10" s="75"/>
      <c r="Y10" s="75"/>
      <c r="Z10" s="75"/>
    </row>
    <row r="11" spans="1:26" x14ac:dyDescent="0.25">
      <c r="A11" s="43" t="s">
        <v>624</v>
      </c>
      <c r="B11" s="43"/>
      <c r="D11" s="41">
        <f t="shared" ref="D11:J11" si="1">D13-C13</f>
        <v>110802</v>
      </c>
      <c r="E11" s="41">
        <f t="shared" si="1"/>
        <v>47190</v>
      </c>
      <c r="F11" s="41">
        <f t="shared" si="1"/>
        <v>-405951</v>
      </c>
      <c r="G11" s="41">
        <f t="shared" si="1"/>
        <v>51116</v>
      </c>
      <c r="H11" s="41">
        <f t="shared" si="1"/>
        <v>-587645</v>
      </c>
      <c r="I11" s="41">
        <f t="shared" si="1"/>
        <v>452407.85777999926</v>
      </c>
      <c r="J11" s="41">
        <f t="shared" si="1"/>
        <v>782732.45372000081</v>
      </c>
      <c r="K11" s="41">
        <f>K13-J13</f>
        <v>-1602857.9906199987</v>
      </c>
      <c r="L11" s="41">
        <f>L13-K13</f>
        <v>-547000.67252000049</v>
      </c>
      <c r="M11" s="41">
        <f>M13-L13</f>
        <v>-399247.08427000046</v>
      </c>
      <c r="N11" s="41">
        <f>N13-M13</f>
        <v>108292.50379999727</v>
      </c>
      <c r="O11" s="41"/>
      <c r="P11" s="41"/>
      <c r="Q11" s="41"/>
      <c r="R11" s="41"/>
      <c r="W11" s="41"/>
      <c r="X11" s="41"/>
      <c r="Y11" s="41"/>
      <c r="Z11" s="41"/>
    </row>
    <row r="12" spans="1:26" x14ac:dyDescent="0.25">
      <c r="A12" s="155" t="s">
        <v>326</v>
      </c>
      <c r="B12" s="155" t="s">
        <v>327</v>
      </c>
      <c r="C12" s="368" t="s">
        <v>637</v>
      </c>
      <c r="D12" s="368" t="s">
        <v>637</v>
      </c>
      <c r="E12" s="368" t="s">
        <v>637</v>
      </c>
      <c r="F12" s="368" t="s">
        <v>637</v>
      </c>
      <c r="G12" s="368" t="s">
        <v>637</v>
      </c>
      <c r="H12" s="368" t="s">
        <v>637</v>
      </c>
      <c r="I12" s="368" t="s">
        <v>637</v>
      </c>
      <c r="J12" s="368" t="s">
        <v>637</v>
      </c>
      <c r="K12" s="368" t="s">
        <v>637</v>
      </c>
      <c r="L12" s="368" t="s">
        <v>637</v>
      </c>
      <c r="M12" s="368" t="s">
        <v>637</v>
      </c>
      <c r="N12" s="368" t="s">
        <v>637</v>
      </c>
      <c r="O12" s="368"/>
      <c r="P12" s="440" t="s">
        <v>801</v>
      </c>
      <c r="Q12" s="440"/>
      <c r="R12" s="440"/>
      <c r="S12" s="440"/>
      <c r="T12" s="440"/>
      <c r="U12" s="440"/>
      <c r="V12" s="427"/>
      <c r="W12" s="368"/>
      <c r="X12" s="368">
        <f>SUM(X15:X307)</f>
        <v>-3752434.3744057147</v>
      </c>
      <c r="Y12" s="369">
        <f>X12/$X$12</f>
        <v>1</v>
      </c>
      <c r="Z12" s="368"/>
    </row>
    <row r="13" spans="1:26" x14ac:dyDescent="0.25">
      <c r="A13" s="37">
        <v>1</v>
      </c>
      <c r="B13" s="38" t="s">
        <v>312</v>
      </c>
      <c r="C13" s="41">
        <f t="shared" ref="C13:H13" si="2">SUM(C15:C307)</f>
        <v>-2536214</v>
      </c>
      <c r="D13" s="41">
        <f t="shared" si="2"/>
        <v>-2425412</v>
      </c>
      <c r="E13" s="41">
        <f t="shared" si="2"/>
        <v>-2378222</v>
      </c>
      <c r="F13" s="41">
        <f t="shared" si="2"/>
        <v>-2784173</v>
      </c>
      <c r="G13" s="41">
        <f t="shared" si="2"/>
        <v>-2733057</v>
      </c>
      <c r="H13" s="41">
        <f t="shared" si="2"/>
        <v>-3320702</v>
      </c>
      <c r="I13" s="41">
        <f t="shared" ref="I13:N13" si="3">SUM(I15:I307)</f>
        <v>-2868294.1422200007</v>
      </c>
      <c r="J13" s="41">
        <f t="shared" si="3"/>
        <v>-2085561.6884999999</v>
      </c>
      <c r="K13" s="41">
        <f t="shared" si="3"/>
        <v>-3688419.6791199986</v>
      </c>
      <c r="L13" s="41">
        <f t="shared" si="3"/>
        <v>-4235420.3516399991</v>
      </c>
      <c r="M13" s="41">
        <f t="shared" si="3"/>
        <v>-4634667.4359099995</v>
      </c>
      <c r="N13" s="41">
        <f t="shared" si="3"/>
        <v>-4526374.9321100023</v>
      </c>
      <c r="O13" s="41"/>
      <c r="P13" s="41"/>
      <c r="Q13" s="41"/>
      <c r="R13" s="41"/>
      <c r="W13" s="41"/>
      <c r="X13" s="41"/>
      <c r="Y13" s="41"/>
      <c r="Z13" s="41"/>
    </row>
    <row r="14" spans="1:26" x14ac:dyDescent="0.25">
      <c r="A14" s="37"/>
      <c r="B14" s="38"/>
      <c r="C14" s="41"/>
      <c r="D14" s="41"/>
      <c r="E14" s="41"/>
      <c r="F14" s="41"/>
      <c r="G14" s="41"/>
      <c r="H14" s="41"/>
      <c r="I14" s="41"/>
      <c r="J14" s="41"/>
      <c r="K14" s="41"/>
      <c r="L14" s="41"/>
      <c r="M14" s="41"/>
      <c r="N14" s="41"/>
      <c r="O14" s="165"/>
      <c r="P14" s="41"/>
      <c r="Q14" s="41"/>
      <c r="R14" s="41"/>
      <c r="W14" s="41"/>
      <c r="X14" s="41"/>
      <c r="Y14" s="41"/>
      <c r="Z14" s="41"/>
    </row>
    <row r="15" spans="1:26" x14ac:dyDescent="0.25">
      <c r="A15" s="30">
        <v>5</v>
      </c>
      <c r="B15" s="31" t="s">
        <v>328</v>
      </c>
      <c r="C15" s="41">
        <f>'7. Nettoinvestoinnit '!C15</f>
        <v>-1776</v>
      </c>
      <c r="D15" s="41">
        <f>'7. Nettoinvestoinnit '!D15</f>
        <v>-3497</v>
      </c>
      <c r="E15" s="41">
        <f>'7. Nettoinvestoinnit '!E15</f>
        <v>-7439</v>
      </c>
      <c r="F15" s="41">
        <f>'7. Nettoinvestoinnit '!F15</f>
        <v>-7493</v>
      </c>
      <c r="G15" s="41">
        <f>'7. Nettoinvestoinnit '!G15</f>
        <v>-6887</v>
      </c>
      <c r="H15" s="41">
        <f>'7. Nettoinvestoinnit '!H15</f>
        <v>-5324</v>
      </c>
      <c r="I15" s="41">
        <f>'7. Nettoinvestoinnit '!I15</f>
        <v>-3992.7586299999998</v>
      </c>
      <c r="J15" s="73">
        <v>-3289.5912999999996</v>
      </c>
      <c r="K15" s="41">
        <v>-2661.5230899999997</v>
      </c>
      <c r="L15" s="41">
        <v>-4068.7020000000002</v>
      </c>
      <c r="M15" s="41">
        <v>-8126</v>
      </c>
      <c r="N15" s="41">
        <v>-8457</v>
      </c>
      <c r="O15" s="174"/>
      <c r="P15" s="174">
        <f t="shared" ref="P15:P78" si="4">IF(H15&lt;0,H15,G15)</f>
        <v>-5324</v>
      </c>
      <c r="Q15" s="174">
        <f t="shared" ref="Q15:Q78" si="5">IF(I15&lt;0,I15,H15)</f>
        <v>-3992.7586299999998</v>
      </c>
      <c r="R15" s="174">
        <f t="shared" ref="R15:R78" si="6">IF(J15&lt;0,J15,I15)</f>
        <v>-3289.5912999999996</v>
      </c>
      <c r="S15" s="174">
        <f t="shared" ref="S15:S78" si="7">IF(K15&lt;0,K15,J15)</f>
        <v>-2661.5230899999997</v>
      </c>
      <c r="T15" s="174">
        <f t="shared" ref="T15:T78" si="8">IF(L15&lt;0,L15,K15)</f>
        <v>-4068.7020000000002</v>
      </c>
      <c r="U15" s="174">
        <f>IF(M15&lt;0,M15,L15)</f>
        <v>-8126</v>
      </c>
      <c r="V15" s="174">
        <f t="shared" ref="V15:V78" si="9">IF(N15&lt;0,N15,M15)</f>
        <v>-8457</v>
      </c>
      <c r="W15" s="73"/>
      <c r="X15" s="73">
        <f>AVERAGE(P15:V15)</f>
        <v>-5131.3678600000003</v>
      </c>
      <c r="Y15" s="339">
        <f>X15/$X$12</f>
        <v>1.3674770423700406E-3</v>
      </c>
      <c r="Z15" s="73"/>
    </row>
    <row r="16" spans="1:26" x14ac:dyDescent="0.25">
      <c r="A16" s="30">
        <v>9</v>
      </c>
      <c r="B16" s="31" t="s">
        <v>329</v>
      </c>
      <c r="C16" s="41">
        <f>'7. Nettoinvestoinnit '!C16</f>
        <v>-575</v>
      </c>
      <c r="D16" s="41">
        <f>'7. Nettoinvestoinnit '!D16</f>
        <v>-305</v>
      </c>
      <c r="E16" s="41">
        <f>'7. Nettoinvestoinnit '!E16</f>
        <v>-670</v>
      </c>
      <c r="F16" s="41">
        <f>'7. Nettoinvestoinnit '!F16</f>
        <v>-475</v>
      </c>
      <c r="G16" s="41">
        <f>'7. Nettoinvestoinnit '!G16</f>
        <v>-1136</v>
      </c>
      <c r="H16" s="41">
        <f>'7. Nettoinvestoinnit '!H16</f>
        <v>-249</v>
      </c>
      <c r="I16" s="41">
        <f>'7. Nettoinvestoinnit '!I16</f>
        <v>-1095.3593000000001</v>
      </c>
      <c r="J16" s="73">
        <v>-926.01874999999995</v>
      </c>
      <c r="K16" s="41">
        <v>-926.38980000000004</v>
      </c>
      <c r="L16" s="41">
        <v>-1758</v>
      </c>
      <c r="M16" s="41">
        <v>-2349.1799999999998</v>
      </c>
      <c r="N16" s="41">
        <v>-1085.5</v>
      </c>
      <c r="O16" s="174"/>
      <c r="P16" s="174">
        <f t="shared" si="4"/>
        <v>-249</v>
      </c>
      <c r="Q16" s="174">
        <f t="shared" si="5"/>
        <v>-1095.3593000000001</v>
      </c>
      <c r="R16" s="174">
        <f t="shared" si="6"/>
        <v>-926.01874999999995</v>
      </c>
      <c r="S16" s="174">
        <f t="shared" si="7"/>
        <v>-926.38980000000004</v>
      </c>
      <c r="T16" s="174">
        <f t="shared" si="8"/>
        <v>-1758</v>
      </c>
      <c r="U16" s="174">
        <f t="shared" ref="U16:U78" si="10">IF(M16&lt;0,M16,L16)</f>
        <v>-2349.1799999999998</v>
      </c>
      <c r="V16" s="174">
        <f t="shared" si="9"/>
        <v>-1085.5</v>
      </c>
      <c r="W16" s="73"/>
      <c r="X16" s="73">
        <f t="shared" ref="X16:X79" si="11">AVERAGE(P16:V16)</f>
        <v>-1198.4925500000002</v>
      </c>
      <c r="Y16" s="339">
        <f t="shared" ref="Y16:Y78" si="12">X16/$X$12</f>
        <v>3.193906756037031E-4</v>
      </c>
      <c r="Z16" s="73"/>
    </row>
    <row r="17" spans="1:26" x14ac:dyDescent="0.25">
      <c r="A17" s="30">
        <v>10</v>
      </c>
      <c r="B17" s="31" t="s">
        <v>330</v>
      </c>
      <c r="C17" s="41">
        <f>'7. Nettoinvestoinnit '!C17</f>
        <v>-4697</v>
      </c>
      <c r="D17" s="41">
        <f>'7. Nettoinvestoinnit '!D17</f>
        <v>-3505</v>
      </c>
      <c r="E17" s="41">
        <f>'7. Nettoinvestoinnit '!E17</f>
        <v>-3441</v>
      </c>
      <c r="F17" s="41">
        <f>'7. Nettoinvestoinnit '!F17</f>
        <v>-5097</v>
      </c>
      <c r="G17" s="41">
        <f>'7. Nettoinvestoinnit '!G17</f>
        <v>1040</v>
      </c>
      <c r="H17" s="41">
        <f>'7. Nettoinvestoinnit '!H17</f>
        <v>-6428</v>
      </c>
      <c r="I17" s="41">
        <f>'7. Nettoinvestoinnit '!I17</f>
        <v>-4688.9586200000003</v>
      </c>
      <c r="J17" s="73">
        <v>-9217.4400100000003</v>
      </c>
      <c r="K17" s="41">
        <v>-10156.62948</v>
      </c>
      <c r="L17" s="41">
        <v>-3118</v>
      </c>
      <c r="M17" s="41">
        <v>-4000</v>
      </c>
      <c r="N17" s="41">
        <v>-3399</v>
      </c>
      <c r="O17" s="174"/>
      <c r="P17" s="174">
        <f t="shared" si="4"/>
        <v>-6428</v>
      </c>
      <c r="Q17" s="174">
        <f t="shared" si="5"/>
        <v>-4688.9586200000003</v>
      </c>
      <c r="R17" s="174">
        <f t="shared" si="6"/>
        <v>-9217.4400100000003</v>
      </c>
      <c r="S17" s="174">
        <f t="shared" si="7"/>
        <v>-10156.62948</v>
      </c>
      <c r="T17" s="174">
        <f t="shared" si="8"/>
        <v>-3118</v>
      </c>
      <c r="U17" s="174">
        <f t="shared" si="10"/>
        <v>-4000</v>
      </c>
      <c r="V17" s="174">
        <f t="shared" si="9"/>
        <v>-3399</v>
      </c>
      <c r="W17" s="73"/>
      <c r="X17" s="73">
        <f t="shared" si="11"/>
        <v>-5858.2897299999995</v>
      </c>
      <c r="Y17" s="339">
        <f t="shared" si="12"/>
        <v>1.5611971177851168E-3</v>
      </c>
      <c r="Z17" s="73"/>
    </row>
    <row r="18" spans="1:26" x14ac:dyDescent="0.25">
      <c r="A18" s="30">
        <v>16</v>
      </c>
      <c r="B18" s="31" t="s">
        <v>331</v>
      </c>
      <c r="C18" s="41">
        <f>'7. Nettoinvestoinnit '!C18</f>
        <v>-1895</v>
      </c>
      <c r="D18" s="41">
        <f>'7. Nettoinvestoinnit '!D18</f>
        <v>-2255</v>
      </c>
      <c r="E18" s="41">
        <f>'7. Nettoinvestoinnit '!E18</f>
        <v>-1687</v>
      </c>
      <c r="F18" s="41">
        <f>'7. Nettoinvestoinnit '!F18</f>
        <v>-919</v>
      </c>
      <c r="G18" s="41">
        <f>'7. Nettoinvestoinnit '!G18</f>
        <v>-1934</v>
      </c>
      <c r="H18" s="41">
        <f>'7. Nettoinvestoinnit '!H18</f>
        <v>-2031</v>
      </c>
      <c r="I18" s="41">
        <f>'7. Nettoinvestoinnit '!I18</f>
        <v>-3107.7228599999999</v>
      </c>
      <c r="J18" s="73">
        <v>-14903.815470000001</v>
      </c>
      <c r="K18" s="41">
        <v>-6115.0997400000006</v>
      </c>
      <c r="L18" s="41">
        <v>-14965</v>
      </c>
      <c r="M18" s="41">
        <v>-3580</v>
      </c>
      <c r="N18" s="41">
        <v>-1800</v>
      </c>
      <c r="O18" s="174"/>
      <c r="P18" s="174">
        <f t="shared" si="4"/>
        <v>-2031</v>
      </c>
      <c r="Q18" s="174">
        <f t="shared" si="5"/>
        <v>-3107.7228599999999</v>
      </c>
      <c r="R18" s="174">
        <f t="shared" si="6"/>
        <v>-14903.815470000001</v>
      </c>
      <c r="S18" s="174">
        <f t="shared" si="7"/>
        <v>-6115.0997400000006</v>
      </c>
      <c r="T18" s="174">
        <f t="shared" si="8"/>
        <v>-14965</v>
      </c>
      <c r="U18" s="174">
        <f t="shared" si="10"/>
        <v>-3580</v>
      </c>
      <c r="V18" s="174">
        <f t="shared" si="9"/>
        <v>-1800</v>
      </c>
      <c r="W18" s="73"/>
      <c r="X18" s="73">
        <f t="shared" si="11"/>
        <v>-6643.2340100000001</v>
      </c>
      <c r="Y18" s="339">
        <f t="shared" si="12"/>
        <v>1.7703797980616546E-3</v>
      </c>
      <c r="Z18" s="73"/>
    </row>
    <row r="19" spans="1:26" x14ac:dyDescent="0.25">
      <c r="A19" s="30">
        <v>18</v>
      </c>
      <c r="B19" s="31" t="s">
        <v>332</v>
      </c>
      <c r="C19" s="41">
        <f>'7. Nettoinvestoinnit '!C19</f>
        <v>-2484</v>
      </c>
      <c r="D19" s="41">
        <f>'7. Nettoinvestoinnit '!D19</f>
        <v>-1290</v>
      </c>
      <c r="E19" s="41">
        <f>'7. Nettoinvestoinnit '!E19</f>
        <v>-3033</v>
      </c>
      <c r="F19" s="41">
        <f>'7. Nettoinvestoinnit '!F19</f>
        <v>-1776</v>
      </c>
      <c r="G19" s="41">
        <f>'7. Nettoinvestoinnit '!G19</f>
        <v>-3592</v>
      </c>
      <c r="H19" s="41">
        <f>'7. Nettoinvestoinnit '!H19</f>
        <v>-3404</v>
      </c>
      <c r="I19" s="41">
        <f>'7. Nettoinvestoinnit '!I19</f>
        <v>-862.23201000000006</v>
      </c>
      <c r="J19" s="73">
        <v>-729.98186999999996</v>
      </c>
      <c r="K19" s="41">
        <v>-1100.1548700000001</v>
      </c>
      <c r="L19" s="41">
        <v>-5807.1</v>
      </c>
      <c r="M19" s="41">
        <v>-2100</v>
      </c>
      <c r="N19" s="41">
        <v>-1890</v>
      </c>
      <c r="O19" s="174"/>
      <c r="P19" s="174">
        <f t="shared" si="4"/>
        <v>-3404</v>
      </c>
      <c r="Q19" s="174">
        <f t="shared" si="5"/>
        <v>-862.23201000000006</v>
      </c>
      <c r="R19" s="174">
        <f t="shared" si="6"/>
        <v>-729.98186999999996</v>
      </c>
      <c r="S19" s="174">
        <f t="shared" si="7"/>
        <v>-1100.1548700000001</v>
      </c>
      <c r="T19" s="174">
        <f t="shared" si="8"/>
        <v>-5807.1</v>
      </c>
      <c r="U19" s="174">
        <f t="shared" si="10"/>
        <v>-2100</v>
      </c>
      <c r="V19" s="174">
        <f t="shared" si="9"/>
        <v>-1890</v>
      </c>
      <c r="W19" s="73"/>
      <c r="X19" s="73">
        <f t="shared" si="11"/>
        <v>-2270.4955357142858</v>
      </c>
      <c r="Y19" s="339">
        <f t="shared" si="12"/>
        <v>6.0507268326947671E-4</v>
      </c>
      <c r="Z19" s="73"/>
    </row>
    <row r="20" spans="1:26" x14ac:dyDescent="0.25">
      <c r="A20" s="30">
        <v>19</v>
      </c>
      <c r="B20" s="31" t="s">
        <v>333</v>
      </c>
      <c r="C20" s="41">
        <f>'7. Nettoinvestoinnit '!C20</f>
        <v>-1321</v>
      </c>
      <c r="D20" s="41">
        <f>'7. Nettoinvestoinnit '!D20</f>
        <v>-678</v>
      </c>
      <c r="E20" s="41">
        <f>'7. Nettoinvestoinnit '!E20</f>
        <v>-615</v>
      </c>
      <c r="F20" s="41">
        <f>'7. Nettoinvestoinnit '!F20</f>
        <v>-1620</v>
      </c>
      <c r="G20" s="41">
        <f>'7. Nettoinvestoinnit '!G20</f>
        <v>-1064</v>
      </c>
      <c r="H20" s="41">
        <f>'7. Nettoinvestoinnit '!H20</f>
        <v>-706</v>
      </c>
      <c r="I20" s="41">
        <f>'7. Nettoinvestoinnit '!I20</f>
        <v>-723.64837</v>
      </c>
      <c r="J20" s="73">
        <v>-1141.2738300000001</v>
      </c>
      <c r="K20" s="41">
        <v>-1154.3588999999999</v>
      </c>
      <c r="L20" s="41">
        <v>-848</v>
      </c>
      <c r="M20" s="41">
        <v>-953.5</v>
      </c>
      <c r="N20" s="41">
        <v>-1495</v>
      </c>
      <c r="O20" s="174"/>
      <c r="P20" s="174">
        <f t="shared" si="4"/>
        <v>-706</v>
      </c>
      <c r="Q20" s="174">
        <f t="shared" si="5"/>
        <v>-723.64837</v>
      </c>
      <c r="R20" s="174">
        <f t="shared" si="6"/>
        <v>-1141.2738300000001</v>
      </c>
      <c r="S20" s="174">
        <f t="shared" si="7"/>
        <v>-1154.3588999999999</v>
      </c>
      <c r="T20" s="174">
        <f t="shared" si="8"/>
        <v>-848</v>
      </c>
      <c r="U20" s="174">
        <f t="shared" si="10"/>
        <v>-953.5</v>
      </c>
      <c r="V20" s="174">
        <f t="shared" si="9"/>
        <v>-1495</v>
      </c>
      <c r="W20" s="73"/>
      <c r="X20" s="73">
        <f t="shared" si="11"/>
        <v>-1003.1115857142858</v>
      </c>
      <c r="Y20" s="339">
        <f t="shared" si="12"/>
        <v>2.673228857928133E-4</v>
      </c>
      <c r="Z20" s="73"/>
    </row>
    <row r="21" spans="1:26" x14ac:dyDescent="0.25">
      <c r="A21" s="30">
        <v>20</v>
      </c>
      <c r="B21" s="31" t="s">
        <v>334</v>
      </c>
      <c r="C21" s="41">
        <f>'7. Nettoinvestoinnit '!C21</f>
        <v>-7467</v>
      </c>
      <c r="D21" s="41">
        <f>'7. Nettoinvestoinnit '!D21</f>
        <v>-1927</v>
      </c>
      <c r="E21" s="41">
        <f>'7. Nettoinvestoinnit '!E21</f>
        <v>-984</v>
      </c>
      <c r="F21" s="41">
        <f>'7. Nettoinvestoinnit '!F21</f>
        <v>-3289</v>
      </c>
      <c r="G21" s="41">
        <f>'7. Nettoinvestoinnit '!G21</f>
        <v>-5130</v>
      </c>
      <c r="H21" s="41">
        <f>'7. Nettoinvestoinnit '!H21</f>
        <v>-9604</v>
      </c>
      <c r="I21" s="41">
        <f>'7. Nettoinvestoinnit '!I21</f>
        <v>-18681.755550000002</v>
      </c>
      <c r="J21" s="73">
        <v>-21960.526890000001</v>
      </c>
      <c r="K21" s="41">
        <v>-13564.740750000001</v>
      </c>
      <c r="L21" s="41">
        <v>-142.5</v>
      </c>
      <c r="M21" s="41">
        <v>-16330</v>
      </c>
      <c r="N21" s="41">
        <v>-28107.5</v>
      </c>
      <c r="O21" s="174"/>
      <c r="P21" s="174">
        <f t="shared" si="4"/>
        <v>-9604</v>
      </c>
      <c r="Q21" s="174">
        <f t="shared" si="5"/>
        <v>-18681.755550000002</v>
      </c>
      <c r="R21" s="174">
        <f t="shared" si="6"/>
        <v>-21960.526890000001</v>
      </c>
      <c r="S21" s="174">
        <f t="shared" si="7"/>
        <v>-13564.740750000001</v>
      </c>
      <c r="T21" s="174">
        <f t="shared" si="8"/>
        <v>-142.5</v>
      </c>
      <c r="U21" s="174">
        <f t="shared" si="10"/>
        <v>-16330</v>
      </c>
      <c r="V21" s="174">
        <f t="shared" si="9"/>
        <v>-28107.5</v>
      </c>
      <c r="W21" s="73"/>
      <c r="X21" s="73">
        <f t="shared" si="11"/>
        <v>-15484.431884285716</v>
      </c>
      <c r="Y21" s="339">
        <f t="shared" si="12"/>
        <v>4.1265030482346638E-3</v>
      </c>
      <c r="Z21" s="73"/>
    </row>
    <row r="22" spans="1:26" x14ac:dyDescent="0.25">
      <c r="A22" s="30">
        <v>46</v>
      </c>
      <c r="B22" s="31" t="s">
        <v>335</v>
      </c>
      <c r="C22" s="41">
        <f>'7. Nettoinvestoinnit '!C22</f>
        <v>-498</v>
      </c>
      <c r="D22" s="41">
        <f>'7. Nettoinvestoinnit '!D22</f>
        <v>-572</v>
      </c>
      <c r="E22" s="41">
        <f>'7. Nettoinvestoinnit '!E22</f>
        <v>-753</v>
      </c>
      <c r="F22" s="41">
        <f>'7. Nettoinvestoinnit '!F22</f>
        <v>-696</v>
      </c>
      <c r="G22" s="41">
        <f>'7. Nettoinvestoinnit '!G22</f>
        <v>-550</v>
      </c>
      <c r="H22" s="41">
        <f>'7. Nettoinvestoinnit '!H22</f>
        <v>-145</v>
      </c>
      <c r="I22" s="41">
        <f>'7. Nettoinvestoinnit '!I22</f>
        <v>-291.94833</v>
      </c>
      <c r="J22" s="73">
        <v>-1284.25046</v>
      </c>
      <c r="K22" s="41">
        <v>-601.43746999999996</v>
      </c>
      <c r="L22" s="41">
        <v>-766.5</v>
      </c>
      <c r="M22" s="41">
        <v>-327</v>
      </c>
      <c r="N22" s="41">
        <v>-233</v>
      </c>
      <c r="O22" s="174"/>
      <c r="P22" s="174">
        <f t="shared" si="4"/>
        <v>-145</v>
      </c>
      <c r="Q22" s="174">
        <f t="shared" si="5"/>
        <v>-291.94833</v>
      </c>
      <c r="R22" s="174">
        <f t="shared" si="6"/>
        <v>-1284.25046</v>
      </c>
      <c r="S22" s="174">
        <f t="shared" si="7"/>
        <v>-601.43746999999996</v>
      </c>
      <c r="T22" s="174">
        <f t="shared" si="8"/>
        <v>-766.5</v>
      </c>
      <c r="U22" s="174">
        <f t="shared" si="10"/>
        <v>-327</v>
      </c>
      <c r="V22" s="174">
        <f t="shared" si="9"/>
        <v>-233</v>
      </c>
      <c r="W22" s="73"/>
      <c r="X22" s="73">
        <f t="shared" si="11"/>
        <v>-521.30517999999995</v>
      </c>
      <c r="Y22" s="339">
        <f t="shared" si="12"/>
        <v>1.3892452951493942E-4</v>
      </c>
      <c r="Z22" s="73"/>
    </row>
    <row r="23" spans="1:26" x14ac:dyDescent="0.25">
      <c r="A23" s="30">
        <v>47</v>
      </c>
      <c r="B23" s="31" t="s">
        <v>336</v>
      </c>
      <c r="C23" s="41">
        <f>'7. Nettoinvestoinnit '!C23</f>
        <v>-833</v>
      </c>
      <c r="D23" s="41">
        <f>'7. Nettoinvestoinnit '!D23</f>
        <v>-261</v>
      </c>
      <c r="E23" s="41">
        <f>'7. Nettoinvestoinnit '!E23</f>
        <v>-372</v>
      </c>
      <c r="F23" s="41">
        <f>'7. Nettoinvestoinnit '!F23</f>
        <v>-316</v>
      </c>
      <c r="G23" s="41">
        <f>'7. Nettoinvestoinnit '!G23</f>
        <v>-938</v>
      </c>
      <c r="H23" s="41">
        <f>'7. Nettoinvestoinnit '!H23</f>
        <v>-1412</v>
      </c>
      <c r="I23" s="41">
        <f>'7. Nettoinvestoinnit '!I23</f>
        <v>7823.4095900000002</v>
      </c>
      <c r="J23" s="174">
        <v>-1465.9786299999998</v>
      </c>
      <c r="K23" s="41">
        <v>-762.67507999999998</v>
      </c>
      <c r="L23" s="41">
        <v>-6745</v>
      </c>
      <c r="M23" s="41">
        <v>-5460</v>
      </c>
      <c r="N23" s="41">
        <v>-2139</v>
      </c>
      <c r="O23" s="174"/>
      <c r="P23" s="174">
        <f t="shared" si="4"/>
        <v>-1412</v>
      </c>
      <c r="Q23" s="174">
        <f t="shared" si="5"/>
        <v>-1412</v>
      </c>
      <c r="R23" s="174">
        <f t="shared" si="6"/>
        <v>-1465.9786299999998</v>
      </c>
      <c r="S23" s="174">
        <f t="shared" si="7"/>
        <v>-762.67507999999998</v>
      </c>
      <c r="T23" s="174">
        <f t="shared" si="8"/>
        <v>-6745</v>
      </c>
      <c r="U23" s="174">
        <f t="shared" si="10"/>
        <v>-5460</v>
      </c>
      <c r="V23" s="174">
        <f t="shared" si="9"/>
        <v>-2139</v>
      </c>
      <c r="W23" s="73"/>
      <c r="X23" s="73">
        <f t="shared" si="11"/>
        <v>-2770.9505299999996</v>
      </c>
      <c r="Y23" s="339">
        <f t="shared" si="12"/>
        <v>7.3844077031696097E-4</v>
      </c>
      <c r="Z23" s="73"/>
    </row>
    <row r="24" spans="1:26" x14ac:dyDescent="0.25">
      <c r="A24" s="30">
        <v>49</v>
      </c>
      <c r="B24" s="31" t="s">
        <v>337</v>
      </c>
      <c r="C24" s="41">
        <f>'7. Nettoinvestoinnit '!C24</f>
        <v>-262144</v>
      </c>
      <c r="D24" s="41">
        <f>'7. Nettoinvestoinnit '!D24</f>
        <v>-207836</v>
      </c>
      <c r="E24" s="41">
        <f>'7. Nettoinvestoinnit '!E24</f>
        <v>-234103</v>
      </c>
      <c r="F24" s="41">
        <f>'7. Nettoinvestoinnit '!F24</f>
        <v>-205837</v>
      </c>
      <c r="G24" s="41">
        <f>'7. Nettoinvestoinnit '!G24</f>
        <v>-201693</v>
      </c>
      <c r="H24" s="41">
        <f>'7. Nettoinvestoinnit '!H24</f>
        <v>-271043</v>
      </c>
      <c r="I24" s="41">
        <f>'7. Nettoinvestoinnit '!I24</f>
        <v>-220631.78740999999</v>
      </c>
      <c r="J24" s="73">
        <v>-44999.140899999999</v>
      </c>
      <c r="K24" s="41">
        <v>-211654.09026</v>
      </c>
      <c r="L24" s="41">
        <v>-266179.48</v>
      </c>
      <c r="M24" s="41">
        <v>-254315.74600000001</v>
      </c>
      <c r="N24" s="41">
        <v>-206864.611</v>
      </c>
      <c r="O24" s="174"/>
      <c r="P24" s="174">
        <f t="shared" si="4"/>
        <v>-271043</v>
      </c>
      <c r="Q24" s="174">
        <f t="shared" si="5"/>
        <v>-220631.78740999999</v>
      </c>
      <c r="R24" s="174">
        <f t="shared" si="6"/>
        <v>-44999.140899999999</v>
      </c>
      <c r="S24" s="174">
        <f t="shared" si="7"/>
        <v>-211654.09026</v>
      </c>
      <c r="T24" s="174">
        <f t="shared" si="8"/>
        <v>-266179.48</v>
      </c>
      <c r="U24" s="174">
        <f t="shared" si="10"/>
        <v>-254315.74600000001</v>
      </c>
      <c r="V24" s="174">
        <f t="shared" si="9"/>
        <v>-206864.611</v>
      </c>
      <c r="W24" s="73"/>
      <c r="X24" s="73">
        <f t="shared" si="11"/>
        <v>-210812.55079571428</v>
      </c>
      <c r="Y24" s="339">
        <f t="shared" si="12"/>
        <v>5.6180209901499308E-2</v>
      </c>
      <c r="Z24" s="73"/>
    </row>
    <row r="25" spans="1:26" x14ac:dyDescent="0.25">
      <c r="A25" s="30">
        <v>50</v>
      </c>
      <c r="B25" s="31" t="s">
        <v>338</v>
      </c>
      <c r="C25" s="41">
        <f>'7. Nettoinvestoinnit '!C25</f>
        <v>-6376</v>
      </c>
      <c r="D25" s="41">
        <f>'7. Nettoinvestoinnit '!D25</f>
        <v>-4977</v>
      </c>
      <c r="E25" s="41">
        <f>'7. Nettoinvestoinnit '!E25</f>
        <v>-4581</v>
      </c>
      <c r="F25" s="41">
        <f>'7. Nettoinvestoinnit '!F25</f>
        <v>-3572</v>
      </c>
      <c r="G25" s="41">
        <f>'7. Nettoinvestoinnit '!G25</f>
        <v>-7662</v>
      </c>
      <c r="H25" s="41">
        <f>'7. Nettoinvestoinnit '!H25</f>
        <v>-5062</v>
      </c>
      <c r="I25" s="41">
        <f>'7. Nettoinvestoinnit '!I25</f>
        <v>-4261.5099400000008</v>
      </c>
      <c r="J25" s="73">
        <v>-2479.9483</v>
      </c>
      <c r="K25" s="41">
        <v>-5024.3446199999998</v>
      </c>
      <c r="L25" s="41">
        <v>-2962</v>
      </c>
      <c r="M25" s="41">
        <v>-2810.4</v>
      </c>
      <c r="N25" s="41">
        <v>-4996.3999999999996</v>
      </c>
      <c r="O25" s="174"/>
      <c r="P25" s="174">
        <f t="shared" si="4"/>
        <v>-5062</v>
      </c>
      <c r="Q25" s="174">
        <f t="shared" si="5"/>
        <v>-4261.5099400000008</v>
      </c>
      <c r="R25" s="174">
        <f t="shared" si="6"/>
        <v>-2479.9483</v>
      </c>
      <c r="S25" s="174">
        <f t="shared" si="7"/>
        <v>-5024.3446199999998</v>
      </c>
      <c r="T25" s="174">
        <f t="shared" si="8"/>
        <v>-2962</v>
      </c>
      <c r="U25" s="174">
        <f t="shared" si="10"/>
        <v>-2810.4</v>
      </c>
      <c r="V25" s="174">
        <f t="shared" si="9"/>
        <v>-4996.3999999999996</v>
      </c>
      <c r="W25" s="73"/>
      <c r="X25" s="73">
        <f t="shared" si="11"/>
        <v>-3942.3718371428572</v>
      </c>
      <c r="Y25" s="339">
        <f t="shared" si="12"/>
        <v>1.0506171311169762E-3</v>
      </c>
      <c r="Z25" s="73"/>
    </row>
    <row r="26" spans="1:26" x14ac:dyDescent="0.25">
      <c r="A26" s="30">
        <v>51</v>
      </c>
      <c r="B26" s="31" t="s">
        <v>339</v>
      </c>
      <c r="C26" s="41">
        <f>'7. Nettoinvestoinnit '!C26</f>
        <v>-7328</v>
      </c>
      <c r="D26" s="41">
        <f>'7. Nettoinvestoinnit '!D26</f>
        <v>-6580</v>
      </c>
      <c r="E26" s="41">
        <f>'7. Nettoinvestoinnit '!E26</f>
        <v>-6026</v>
      </c>
      <c r="F26" s="41">
        <f>'7. Nettoinvestoinnit '!F26</f>
        <v>-2568</v>
      </c>
      <c r="G26" s="41">
        <f>'7. Nettoinvestoinnit '!G26</f>
        <v>-4103</v>
      </c>
      <c r="H26" s="41">
        <f>'7. Nettoinvestoinnit '!H26</f>
        <v>-3591</v>
      </c>
      <c r="I26" s="41">
        <f>'7. Nettoinvestoinnit '!I26</f>
        <v>-3492.0861299999997</v>
      </c>
      <c r="J26" s="73">
        <v>-1738.0477599999999</v>
      </c>
      <c r="K26" s="41">
        <v>-10570.546970000001</v>
      </c>
      <c r="L26" s="41">
        <v>-8913</v>
      </c>
      <c r="M26" s="41">
        <v>-7805</v>
      </c>
      <c r="N26" s="41">
        <v>-10740</v>
      </c>
      <c r="O26" s="174"/>
      <c r="P26" s="174">
        <f t="shared" si="4"/>
        <v>-3591</v>
      </c>
      <c r="Q26" s="174">
        <f t="shared" si="5"/>
        <v>-3492.0861299999997</v>
      </c>
      <c r="R26" s="174">
        <f t="shared" si="6"/>
        <v>-1738.0477599999999</v>
      </c>
      <c r="S26" s="174">
        <f t="shared" si="7"/>
        <v>-10570.546970000001</v>
      </c>
      <c r="T26" s="174">
        <f t="shared" si="8"/>
        <v>-8913</v>
      </c>
      <c r="U26" s="174">
        <f t="shared" si="10"/>
        <v>-7805</v>
      </c>
      <c r="V26" s="174">
        <f t="shared" si="9"/>
        <v>-10740</v>
      </c>
      <c r="W26" s="73"/>
      <c r="X26" s="73">
        <f t="shared" si="11"/>
        <v>-6692.8115514285719</v>
      </c>
      <c r="Y26" s="339">
        <f t="shared" si="12"/>
        <v>1.7835918989225585E-3</v>
      </c>
      <c r="Z26" s="73"/>
    </row>
    <row r="27" spans="1:26" x14ac:dyDescent="0.25">
      <c r="A27" s="30">
        <v>52</v>
      </c>
      <c r="B27" s="31" t="s">
        <v>340</v>
      </c>
      <c r="C27" s="41">
        <f>'7. Nettoinvestoinnit '!C27</f>
        <v>-540</v>
      </c>
      <c r="D27" s="41">
        <f>'7. Nettoinvestoinnit '!D27</f>
        <v>-835</v>
      </c>
      <c r="E27" s="41">
        <f>'7. Nettoinvestoinnit '!E27</f>
        <v>-351</v>
      </c>
      <c r="F27" s="41">
        <f>'7. Nettoinvestoinnit '!F27</f>
        <v>-787</v>
      </c>
      <c r="G27" s="41">
        <f>'7. Nettoinvestoinnit '!G27</f>
        <v>-1217</v>
      </c>
      <c r="H27" s="41">
        <f>'7. Nettoinvestoinnit '!H27</f>
        <v>-1525</v>
      </c>
      <c r="I27" s="41">
        <f>'7. Nettoinvestoinnit '!I27</f>
        <v>-1952.4373700000001</v>
      </c>
      <c r="J27" s="73">
        <v>-1085.28667</v>
      </c>
      <c r="K27" s="41">
        <v>-1281.0614800000001</v>
      </c>
      <c r="L27" s="41">
        <v>-535</v>
      </c>
      <c r="M27" s="41">
        <v>-1377</v>
      </c>
      <c r="N27" s="41">
        <v>-7215</v>
      </c>
      <c r="O27" s="174"/>
      <c r="P27" s="174">
        <f t="shared" si="4"/>
        <v>-1525</v>
      </c>
      <c r="Q27" s="174">
        <f t="shared" si="5"/>
        <v>-1952.4373700000001</v>
      </c>
      <c r="R27" s="174">
        <f t="shared" si="6"/>
        <v>-1085.28667</v>
      </c>
      <c r="S27" s="174">
        <f t="shared" si="7"/>
        <v>-1281.0614800000001</v>
      </c>
      <c r="T27" s="174">
        <f t="shared" si="8"/>
        <v>-535</v>
      </c>
      <c r="U27" s="174">
        <f t="shared" si="10"/>
        <v>-1377</v>
      </c>
      <c r="V27" s="174">
        <f t="shared" si="9"/>
        <v>-7215</v>
      </c>
      <c r="W27" s="73"/>
      <c r="X27" s="73">
        <f t="shared" si="11"/>
        <v>-2138.6836457142858</v>
      </c>
      <c r="Y27" s="339">
        <f t="shared" si="12"/>
        <v>5.6994564923017372E-4</v>
      </c>
      <c r="Z27" s="73"/>
    </row>
    <row r="28" spans="1:26" x14ac:dyDescent="0.25">
      <c r="A28" s="30">
        <v>61</v>
      </c>
      <c r="B28" s="31" t="s">
        <v>341</v>
      </c>
      <c r="C28" s="41">
        <f>'7. Nettoinvestoinnit '!C28</f>
        <v>-7725</v>
      </c>
      <c r="D28" s="41">
        <f>'7. Nettoinvestoinnit '!D28</f>
        <v>-7607</v>
      </c>
      <c r="E28" s="41">
        <f>'7. Nettoinvestoinnit '!E28</f>
        <v>-4185</v>
      </c>
      <c r="F28" s="41">
        <f>'7. Nettoinvestoinnit '!F28</f>
        <v>-4866</v>
      </c>
      <c r="G28" s="41">
        <f>'7. Nettoinvestoinnit '!G28</f>
        <v>-5826</v>
      </c>
      <c r="H28" s="41">
        <f>'7. Nettoinvestoinnit '!H28</f>
        <v>-5558</v>
      </c>
      <c r="I28" s="41">
        <f>'7. Nettoinvestoinnit '!I28</f>
        <v>-17077.394640000002</v>
      </c>
      <c r="J28" s="73">
        <v>-13814.480160000001</v>
      </c>
      <c r="K28" s="41">
        <v>-8735.3620099999989</v>
      </c>
      <c r="L28" s="41">
        <v>-6030</v>
      </c>
      <c r="M28" s="41">
        <v>-14630</v>
      </c>
      <c r="N28" s="41">
        <v>-4780</v>
      </c>
      <c r="O28" s="174"/>
      <c r="P28" s="174">
        <f t="shared" si="4"/>
        <v>-5558</v>
      </c>
      <c r="Q28" s="174">
        <f t="shared" si="5"/>
        <v>-17077.394640000002</v>
      </c>
      <c r="R28" s="174">
        <f t="shared" si="6"/>
        <v>-13814.480160000001</v>
      </c>
      <c r="S28" s="174">
        <f t="shared" si="7"/>
        <v>-8735.3620099999989</v>
      </c>
      <c r="T28" s="174">
        <f t="shared" si="8"/>
        <v>-6030</v>
      </c>
      <c r="U28" s="174">
        <f t="shared" si="10"/>
        <v>-14630</v>
      </c>
      <c r="V28" s="174">
        <f t="shared" si="9"/>
        <v>-4780</v>
      </c>
      <c r="W28" s="73"/>
      <c r="X28" s="73">
        <f t="shared" si="11"/>
        <v>-10089.319544285714</v>
      </c>
      <c r="Y28" s="339">
        <f t="shared" si="12"/>
        <v>2.6887397720003012E-3</v>
      </c>
      <c r="Z28" s="73"/>
    </row>
    <row r="29" spans="1:26" x14ac:dyDescent="0.25">
      <c r="A29" s="30">
        <v>69</v>
      </c>
      <c r="B29" s="31" t="s">
        <v>342</v>
      </c>
      <c r="C29" s="41">
        <f>'7. Nettoinvestoinnit '!C29</f>
        <v>-1136</v>
      </c>
      <c r="D29" s="41">
        <f>'7. Nettoinvestoinnit '!D29</f>
        <v>-3643</v>
      </c>
      <c r="E29" s="41">
        <f>'7. Nettoinvestoinnit '!E29</f>
        <v>-4768</v>
      </c>
      <c r="F29" s="41">
        <f>'7. Nettoinvestoinnit '!F29</f>
        <v>-1299</v>
      </c>
      <c r="G29" s="41">
        <f>'7. Nettoinvestoinnit '!G29</f>
        <v>-3364</v>
      </c>
      <c r="H29" s="41">
        <f>'7. Nettoinvestoinnit '!H29</f>
        <v>-2425</v>
      </c>
      <c r="I29" s="41">
        <f>'7. Nettoinvestoinnit '!I29</f>
        <v>-2376.6957000000002</v>
      </c>
      <c r="J29" s="73">
        <v>-6252.1530999999995</v>
      </c>
      <c r="K29" s="41">
        <v>-10934.775539999999</v>
      </c>
      <c r="L29" s="41">
        <v>-3716.2</v>
      </c>
      <c r="M29" s="41">
        <v>-3078.4</v>
      </c>
      <c r="N29" s="41">
        <v>-1170</v>
      </c>
      <c r="O29" s="174"/>
      <c r="P29" s="174">
        <f t="shared" si="4"/>
        <v>-2425</v>
      </c>
      <c r="Q29" s="174">
        <f t="shared" si="5"/>
        <v>-2376.6957000000002</v>
      </c>
      <c r="R29" s="174">
        <f t="shared" si="6"/>
        <v>-6252.1530999999995</v>
      </c>
      <c r="S29" s="174">
        <f t="shared" si="7"/>
        <v>-10934.775539999999</v>
      </c>
      <c r="T29" s="174">
        <f t="shared" si="8"/>
        <v>-3716.2</v>
      </c>
      <c r="U29" s="174">
        <f t="shared" si="10"/>
        <v>-3078.4</v>
      </c>
      <c r="V29" s="174">
        <f t="shared" si="9"/>
        <v>-1170</v>
      </c>
      <c r="W29" s="73"/>
      <c r="X29" s="73">
        <f t="shared" si="11"/>
        <v>-4279.0320485714283</v>
      </c>
      <c r="Y29" s="339">
        <f t="shared" si="12"/>
        <v>1.1403349456975147E-3</v>
      </c>
      <c r="Z29" s="73"/>
    </row>
    <row r="30" spans="1:26" x14ac:dyDescent="0.25">
      <c r="A30" s="30">
        <v>71</v>
      </c>
      <c r="B30" s="31" t="s">
        <v>343</v>
      </c>
      <c r="C30" s="41">
        <f>'7. Nettoinvestoinnit '!C30</f>
        <v>-2869</v>
      </c>
      <c r="D30" s="41">
        <f>'7. Nettoinvestoinnit '!D30</f>
        <v>-1594</v>
      </c>
      <c r="E30" s="41">
        <f>'7. Nettoinvestoinnit '!E30</f>
        <v>-2954</v>
      </c>
      <c r="F30" s="41">
        <f>'7. Nettoinvestoinnit '!F30</f>
        <v>-276</v>
      </c>
      <c r="G30" s="41">
        <f>'7. Nettoinvestoinnit '!G30</f>
        <v>-708</v>
      </c>
      <c r="H30" s="41">
        <f>'7. Nettoinvestoinnit '!H30</f>
        <v>-6992</v>
      </c>
      <c r="I30" s="41">
        <f>'7. Nettoinvestoinnit '!I30</f>
        <v>-6577.7843800000001</v>
      </c>
      <c r="J30" s="73">
        <v>-3969.5169799999999</v>
      </c>
      <c r="K30" s="41">
        <v>-818.18439000000001</v>
      </c>
      <c r="L30" s="41">
        <v>-1238</v>
      </c>
      <c r="M30" s="41">
        <v>-750</v>
      </c>
      <c r="N30" s="41">
        <v>-650</v>
      </c>
      <c r="O30" s="174"/>
      <c r="P30" s="174">
        <f t="shared" si="4"/>
        <v>-6992</v>
      </c>
      <c r="Q30" s="174">
        <f t="shared" si="5"/>
        <v>-6577.7843800000001</v>
      </c>
      <c r="R30" s="174">
        <f t="shared" si="6"/>
        <v>-3969.5169799999999</v>
      </c>
      <c r="S30" s="174">
        <f t="shared" si="7"/>
        <v>-818.18439000000001</v>
      </c>
      <c r="T30" s="174">
        <f t="shared" si="8"/>
        <v>-1238</v>
      </c>
      <c r="U30" s="174">
        <f t="shared" si="10"/>
        <v>-750</v>
      </c>
      <c r="V30" s="174">
        <f t="shared" si="9"/>
        <v>-650</v>
      </c>
      <c r="W30" s="73"/>
      <c r="X30" s="73">
        <f t="shared" si="11"/>
        <v>-2999.3551071428569</v>
      </c>
      <c r="Y30" s="339">
        <f t="shared" si="12"/>
        <v>7.9930914384555352E-4</v>
      </c>
      <c r="Z30" s="73"/>
    </row>
    <row r="31" spans="1:26" x14ac:dyDescent="0.25">
      <c r="A31" s="30">
        <v>72</v>
      </c>
      <c r="B31" s="31" t="s">
        <v>344</v>
      </c>
      <c r="C31" s="41">
        <f>'7. Nettoinvestoinnit '!C31</f>
        <v>-550</v>
      </c>
      <c r="D31" s="41">
        <f>'7. Nettoinvestoinnit '!D31</f>
        <v>-929</v>
      </c>
      <c r="E31" s="41">
        <f>'7. Nettoinvestoinnit '!E31</f>
        <v>-76</v>
      </c>
      <c r="F31" s="41">
        <f>'7. Nettoinvestoinnit '!F31</f>
        <v>-805</v>
      </c>
      <c r="G31" s="41">
        <f>'7. Nettoinvestoinnit '!G31</f>
        <v>-1852</v>
      </c>
      <c r="H31" s="41">
        <f>'7. Nettoinvestoinnit '!H31</f>
        <v>-341</v>
      </c>
      <c r="I31" s="41">
        <f>'7. Nettoinvestoinnit '!I31</f>
        <v>-298.24266</v>
      </c>
      <c r="J31" s="73">
        <v>-42.940709999999996</v>
      </c>
      <c r="K31" s="41">
        <v>-147.90577999999999</v>
      </c>
      <c r="L31" s="41">
        <v>-253.56</v>
      </c>
      <c r="M31" s="41">
        <v>-135</v>
      </c>
      <c r="N31" s="41">
        <v>-375</v>
      </c>
      <c r="O31" s="174"/>
      <c r="P31" s="174">
        <f t="shared" si="4"/>
        <v>-341</v>
      </c>
      <c r="Q31" s="174">
        <f t="shared" si="5"/>
        <v>-298.24266</v>
      </c>
      <c r="R31" s="174">
        <f t="shared" si="6"/>
        <v>-42.940709999999996</v>
      </c>
      <c r="S31" s="174">
        <f t="shared" si="7"/>
        <v>-147.90577999999999</v>
      </c>
      <c r="T31" s="174">
        <f t="shared" si="8"/>
        <v>-253.56</v>
      </c>
      <c r="U31" s="174">
        <f t="shared" si="10"/>
        <v>-135</v>
      </c>
      <c r="V31" s="174">
        <f t="shared" si="9"/>
        <v>-375</v>
      </c>
      <c r="W31" s="73"/>
      <c r="X31" s="73">
        <f t="shared" si="11"/>
        <v>-227.66416428571429</v>
      </c>
      <c r="Y31" s="339">
        <f t="shared" si="12"/>
        <v>6.067105819053004E-5</v>
      </c>
      <c r="Z31" s="73"/>
    </row>
    <row r="32" spans="1:26" x14ac:dyDescent="0.25">
      <c r="A32" s="30">
        <v>74</v>
      </c>
      <c r="B32" s="31" t="s">
        <v>345</v>
      </c>
      <c r="C32" s="41">
        <f>'7. Nettoinvestoinnit '!C32</f>
        <v>-312</v>
      </c>
      <c r="D32" s="41">
        <f>'7. Nettoinvestoinnit '!D32</f>
        <v>-270</v>
      </c>
      <c r="E32" s="41">
        <f>'7. Nettoinvestoinnit '!E32</f>
        <v>-197</v>
      </c>
      <c r="F32" s="41">
        <f>'7. Nettoinvestoinnit '!F32</f>
        <v>-309</v>
      </c>
      <c r="G32" s="41">
        <f>'7. Nettoinvestoinnit '!G32</f>
        <v>-463</v>
      </c>
      <c r="H32" s="41">
        <f>'7. Nettoinvestoinnit '!H32</f>
        <v>-407</v>
      </c>
      <c r="I32" s="41">
        <f>'7. Nettoinvestoinnit '!I32</f>
        <v>-1321.42409</v>
      </c>
      <c r="J32" s="73">
        <v>-228.83600000000001</v>
      </c>
      <c r="K32" s="41">
        <v>-570.47685000000001</v>
      </c>
      <c r="L32" s="41">
        <v>-275</v>
      </c>
      <c r="M32" s="41">
        <v>-275</v>
      </c>
      <c r="N32" s="41">
        <v>-275</v>
      </c>
      <c r="O32" s="174"/>
      <c r="P32" s="174">
        <f t="shared" si="4"/>
        <v>-407</v>
      </c>
      <c r="Q32" s="174">
        <f t="shared" si="5"/>
        <v>-1321.42409</v>
      </c>
      <c r="R32" s="174">
        <f t="shared" si="6"/>
        <v>-228.83600000000001</v>
      </c>
      <c r="S32" s="174">
        <f t="shared" si="7"/>
        <v>-570.47685000000001</v>
      </c>
      <c r="T32" s="174">
        <f t="shared" si="8"/>
        <v>-275</v>
      </c>
      <c r="U32" s="174">
        <f t="shared" si="10"/>
        <v>-275</v>
      </c>
      <c r="V32" s="174">
        <f t="shared" si="9"/>
        <v>-275</v>
      </c>
      <c r="W32" s="73"/>
      <c r="X32" s="73">
        <f t="shared" si="11"/>
        <v>-478.96241999999995</v>
      </c>
      <c r="Y32" s="339">
        <f t="shared" si="12"/>
        <v>1.2764045209341063E-4</v>
      </c>
      <c r="Z32" s="73"/>
    </row>
    <row r="33" spans="1:26" x14ac:dyDescent="0.25">
      <c r="A33" s="30">
        <v>75</v>
      </c>
      <c r="B33" s="31" t="s">
        <v>346</v>
      </c>
      <c r="C33" s="41">
        <f>'7. Nettoinvestoinnit '!C33</f>
        <v>-10450</v>
      </c>
      <c r="D33" s="41">
        <f>'7. Nettoinvestoinnit '!D33</f>
        <v>-8959</v>
      </c>
      <c r="E33" s="41">
        <f>'7. Nettoinvestoinnit '!E33</f>
        <v>-10188</v>
      </c>
      <c r="F33" s="41">
        <f>'7. Nettoinvestoinnit '!F33</f>
        <v>-14330</v>
      </c>
      <c r="G33" s="41">
        <f>'7. Nettoinvestoinnit '!G33</f>
        <v>-11967</v>
      </c>
      <c r="H33" s="41">
        <f>'7. Nettoinvestoinnit '!H33</f>
        <v>-20714</v>
      </c>
      <c r="I33" s="41">
        <f>'7. Nettoinvestoinnit '!I33</f>
        <v>-13590.088609999999</v>
      </c>
      <c r="J33" s="73">
        <v>8062.8583699999999</v>
      </c>
      <c r="K33" s="41">
        <v>-21330.638999999999</v>
      </c>
      <c r="L33" s="41">
        <v>-10073</v>
      </c>
      <c r="M33" s="41">
        <v>-11405</v>
      </c>
      <c r="N33" s="41">
        <v>-10005</v>
      </c>
      <c r="O33" s="174"/>
      <c r="P33" s="174">
        <f t="shared" si="4"/>
        <v>-20714</v>
      </c>
      <c r="Q33" s="174">
        <f t="shared" si="5"/>
        <v>-13590.088609999999</v>
      </c>
      <c r="R33" s="174">
        <f t="shared" si="6"/>
        <v>-13590.088609999999</v>
      </c>
      <c r="S33" s="174">
        <f t="shared" si="7"/>
        <v>-21330.638999999999</v>
      </c>
      <c r="T33" s="174">
        <f t="shared" si="8"/>
        <v>-10073</v>
      </c>
      <c r="U33" s="174">
        <f t="shared" si="10"/>
        <v>-11405</v>
      </c>
      <c r="V33" s="174">
        <f t="shared" si="9"/>
        <v>-10005</v>
      </c>
      <c r="W33" s="73"/>
      <c r="X33" s="73">
        <f t="shared" si="11"/>
        <v>-14386.830888571427</v>
      </c>
      <c r="Y33" s="339">
        <f t="shared" si="12"/>
        <v>3.8339993329929763E-3</v>
      </c>
      <c r="Z33" s="73"/>
    </row>
    <row r="34" spans="1:26" x14ac:dyDescent="0.25">
      <c r="A34" s="30">
        <v>77</v>
      </c>
      <c r="B34" s="31" t="s">
        <v>347</v>
      </c>
      <c r="C34" s="41">
        <f>'7. Nettoinvestoinnit '!C34</f>
        <v>-5012</v>
      </c>
      <c r="D34" s="41">
        <f>'7. Nettoinvestoinnit '!D34</f>
        <v>-3046</v>
      </c>
      <c r="E34" s="41">
        <f>'7. Nettoinvestoinnit '!E34</f>
        <v>-1501</v>
      </c>
      <c r="F34" s="41">
        <f>'7. Nettoinvestoinnit '!F34</f>
        <v>-10</v>
      </c>
      <c r="G34" s="41">
        <f>'7. Nettoinvestoinnit '!G34</f>
        <v>-2148</v>
      </c>
      <c r="H34" s="41">
        <f>'7. Nettoinvestoinnit '!H34</f>
        <v>2237</v>
      </c>
      <c r="I34" s="41">
        <f>'7. Nettoinvestoinnit '!I34</f>
        <v>-881.91152</v>
      </c>
      <c r="J34" s="73">
        <v>-625.90847999999994</v>
      </c>
      <c r="K34" s="41">
        <v>-989.95054000000005</v>
      </c>
      <c r="L34" s="41">
        <v>-1350</v>
      </c>
      <c r="M34" s="41">
        <v>-1000</v>
      </c>
      <c r="N34" s="41">
        <v>-1000</v>
      </c>
      <c r="O34" s="174"/>
      <c r="P34" s="174">
        <f t="shared" si="4"/>
        <v>-2148</v>
      </c>
      <c r="Q34" s="174">
        <f t="shared" si="5"/>
        <v>-881.91152</v>
      </c>
      <c r="R34" s="174">
        <f t="shared" si="6"/>
        <v>-625.90847999999994</v>
      </c>
      <c r="S34" s="174">
        <f t="shared" si="7"/>
        <v>-989.95054000000005</v>
      </c>
      <c r="T34" s="174">
        <f t="shared" si="8"/>
        <v>-1350</v>
      </c>
      <c r="U34" s="174">
        <f t="shared" si="10"/>
        <v>-1000</v>
      </c>
      <c r="V34" s="174">
        <f t="shared" si="9"/>
        <v>-1000</v>
      </c>
      <c r="W34" s="73"/>
      <c r="X34" s="73">
        <f t="shared" si="11"/>
        <v>-1142.2529342857144</v>
      </c>
      <c r="Y34" s="339">
        <f t="shared" si="12"/>
        <v>3.0440317413055803E-4</v>
      </c>
      <c r="Z34" s="73"/>
    </row>
    <row r="35" spans="1:26" x14ac:dyDescent="0.25">
      <c r="A35" s="30">
        <v>78</v>
      </c>
      <c r="B35" s="31" t="s">
        <v>348</v>
      </c>
      <c r="C35" s="41">
        <f>'7. Nettoinvestoinnit '!C35</f>
        <v>-2585</v>
      </c>
      <c r="D35" s="41">
        <f>'7. Nettoinvestoinnit '!D35</f>
        <v>-2436</v>
      </c>
      <c r="E35" s="41">
        <f>'7. Nettoinvestoinnit '!E35</f>
        <v>-1529</v>
      </c>
      <c r="F35" s="41">
        <f>'7. Nettoinvestoinnit '!F35</f>
        <v>-2900</v>
      </c>
      <c r="G35" s="41">
        <f>'7. Nettoinvestoinnit '!G35</f>
        <v>-3892</v>
      </c>
      <c r="H35" s="41">
        <f>'7. Nettoinvestoinnit '!H35</f>
        <v>-2682</v>
      </c>
      <c r="I35" s="41">
        <f>'7. Nettoinvestoinnit '!I35</f>
        <v>-1347.9337600000001</v>
      </c>
      <c r="J35" s="73">
        <v>-2286.72964</v>
      </c>
      <c r="K35" s="41">
        <v>-4911.3667800000003</v>
      </c>
      <c r="L35" s="41">
        <v>-2940</v>
      </c>
      <c r="M35" s="41">
        <v>-2390.9</v>
      </c>
      <c r="N35" s="41">
        <v>-2776.8</v>
      </c>
      <c r="O35" s="174"/>
      <c r="P35" s="174">
        <f t="shared" si="4"/>
        <v>-2682</v>
      </c>
      <c r="Q35" s="174">
        <f t="shared" si="5"/>
        <v>-1347.9337600000001</v>
      </c>
      <c r="R35" s="174">
        <f t="shared" si="6"/>
        <v>-2286.72964</v>
      </c>
      <c r="S35" s="174">
        <f t="shared" si="7"/>
        <v>-4911.3667800000003</v>
      </c>
      <c r="T35" s="174">
        <f t="shared" si="8"/>
        <v>-2940</v>
      </c>
      <c r="U35" s="174">
        <f t="shared" si="10"/>
        <v>-2390.9</v>
      </c>
      <c r="V35" s="174">
        <f t="shared" si="9"/>
        <v>-2776.8</v>
      </c>
      <c r="W35" s="73"/>
      <c r="X35" s="73">
        <f t="shared" si="11"/>
        <v>-2762.2471685714286</v>
      </c>
      <c r="Y35" s="339">
        <f t="shared" si="12"/>
        <v>7.3612137960677717E-4</v>
      </c>
      <c r="Z35" s="73"/>
    </row>
    <row r="36" spans="1:26" x14ac:dyDescent="0.25">
      <c r="A36" s="30">
        <v>79</v>
      </c>
      <c r="B36" s="31" t="s">
        <v>349</v>
      </c>
      <c r="C36" s="41">
        <f>'7. Nettoinvestoinnit '!C36</f>
        <v>-1711</v>
      </c>
      <c r="D36" s="41">
        <f>'7. Nettoinvestoinnit '!D36</f>
        <v>-1935</v>
      </c>
      <c r="E36" s="41">
        <f>'7. Nettoinvestoinnit '!E36</f>
        <v>-2337</v>
      </c>
      <c r="F36" s="41">
        <f>'7. Nettoinvestoinnit '!F36</f>
        <v>-2083</v>
      </c>
      <c r="G36" s="41">
        <f>'7. Nettoinvestoinnit '!G36</f>
        <v>-3095</v>
      </c>
      <c r="H36" s="41">
        <f>'7. Nettoinvestoinnit '!H36</f>
        <v>-3176</v>
      </c>
      <c r="I36" s="41">
        <f>'7. Nettoinvestoinnit '!I36</f>
        <v>-4500.4624299999996</v>
      </c>
      <c r="J36" s="73">
        <v>-3880.6404199999997</v>
      </c>
      <c r="K36" s="41">
        <v>-4592.9216100000003</v>
      </c>
      <c r="L36" s="41">
        <v>-3322</v>
      </c>
      <c r="M36" s="41">
        <v>-6689.25</v>
      </c>
      <c r="N36" s="41">
        <v>-6753</v>
      </c>
      <c r="O36" s="174"/>
      <c r="P36" s="174">
        <f t="shared" si="4"/>
        <v>-3176</v>
      </c>
      <c r="Q36" s="174">
        <f t="shared" si="5"/>
        <v>-4500.4624299999996</v>
      </c>
      <c r="R36" s="174">
        <f t="shared" si="6"/>
        <v>-3880.6404199999997</v>
      </c>
      <c r="S36" s="174">
        <f t="shared" si="7"/>
        <v>-4592.9216100000003</v>
      </c>
      <c r="T36" s="174">
        <f t="shared" si="8"/>
        <v>-3322</v>
      </c>
      <c r="U36" s="174">
        <f t="shared" si="10"/>
        <v>-6689.25</v>
      </c>
      <c r="V36" s="174">
        <f t="shared" si="9"/>
        <v>-6753</v>
      </c>
      <c r="W36" s="73"/>
      <c r="X36" s="73">
        <f t="shared" si="11"/>
        <v>-4702.0392085714284</v>
      </c>
      <c r="Y36" s="339">
        <f t="shared" si="12"/>
        <v>1.2530636753150695E-3</v>
      </c>
      <c r="Z36" s="73"/>
    </row>
    <row r="37" spans="1:26" x14ac:dyDescent="0.25">
      <c r="A37" s="30">
        <v>81</v>
      </c>
      <c r="B37" s="31" t="s">
        <v>350</v>
      </c>
      <c r="C37" s="41">
        <f>'7. Nettoinvestoinnit '!C37</f>
        <v>-2729</v>
      </c>
      <c r="D37" s="41">
        <f>'7. Nettoinvestoinnit '!D37</f>
        <v>-2316</v>
      </c>
      <c r="E37" s="41">
        <f>'7. Nettoinvestoinnit '!E37</f>
        <v>-389</v>
      </c>
      <c r="F37" s="41">
        <f>'7. Nettoinvestoinnit '!F37</f>
        <v>-595</v>
      </c>
      <c r="G37" s="41">
        <f>'7. Nettoinvestoinnit '!G37</f>
        <v>3352</v>
      </c>
      <c r="H37" s="41">
        <f>'7. Nettoinvestoinnit '!H37</f>
        <v>-1641</v>
      </c>
      <c r="I37" s="41">
        <f>'7. Nettoinvestoinnit '!I37</f>
        <v>-3374.4154199999998</v>
      </c>
      <c r="J37" s="73">
        <v>-457.69790999999998</v>
      </c>
      <c r="K37" s="41">
        <v>-907.42882999999995</v>
      </c>
      <c r="L37" s="41">
        <v>-415</v>
      </c>
      <c r="M37" s="41">
        <v>-450</v>
      </c>
      <c r="N37" s="41">
        <v>-1300</v>
      </c>
      <c r="O37" s="174"/>
      <c r="P37" s="174">
        <f t="shared" si="4"/>
        <v>-1641</v>
      </c>
      <c r="Q37" s="174">
        <f t="shared" si="5"/>
        <v>-3374.4154199999998</v>
      </c>
      <c r="R37" s="174">
        <f t="shared" si="6"/>
        <v>-457.69790999999998</v>
      </c>
      <c r="S37" s="174">
        <f t="shared" si="7"/>
        <v>-907.42882999999995</v>
      </c>
      <c r="T37" s="174">
        <f t="shared" si="8"/>
        <v>-415</v>
      </c>
      <c r="U37" s="174">
        <f t="shared" si="10"/>
        <v>-450</v>
      </c>
      <c r="V37" s="174">
        <f t="shared" si="9"/>
        <v>-1300</v>
      </c>
      <c r="W37" s="73"/>
      <c r="X37" s="73">
        <f t="shared" si="11"/>
        <v>-1220.7917371428571</v>
      </c>
      <c r="Y37" s="339">
        <f t="shared" si="12"/>
        <v>3.2533326777665444E-4</v>
      </c>
      <c r="Z37" s="73"/>
    </row>
    <row r="38" spans="1:26" x14ac:dyDescent="0.25">
      <c r="A38" s="30">
        <v>82</v>
      </c>
      <c r="B38" s="31" t="s">
        <v>351</v>
      </c>
      <c r="C38" s="41">
        <f>'7. Nettoinvestoinnit '!C38</f>
        <v>-7768</v>
      </c>
      <c r="D38" s="41">
        <f>'7. Nettoinvestoinnit '!D38</f>
        <v>-9844</v>
      </c>
      <c r="E38" s="41">
        <f>'7. Nettoinvestoinnit '!E38</f>
        <v>-647</v>
      </c>
      <c r="F38" s="41">
        <f>'7. Nettoinvestoinnit '!F38</f>
        <v>467</v>
      </c>
      <c r="G38" s="41">
        <f>'7. Nettoinvestoinnit '!G38</f>
        <v>-1389</v>
      </c>
      <c r="H38" s="41">
        <f>'7. Nettoinvestoinnit '!H38</f>
        <v>-2441</v>
      </c>
      <c r="I38" s="41">
        <f>'7. Nettoinvestoinnit '!I38</f>
        <v>-1894.14795</v>
      </c>
      <c r="J38" s="73">
        <v>-3148.2075499999996</v>
      </c>
      <c r="K38" s="41">
        <v>-393.96014000000002</v>
      </c>
      <c r="L38" s="41">
        <v>-4882</v>
      </c>
      <c r="M38" s="41">
        <v>-7340</v>
      </c>
      <c r="N38" s="41">
        <v>-1485</v>
      </c>
      <c r="O38" s="174"/>
      <c r="P38" s="174">
        <f t="shared" si="4"/>
        <v>-2441</v>
      </c>
      <c r="Q38" s="174">
        <f t="shared" si="5"/>
        <v>-1894.14795</v>
      </c>
      <c r="R38" s="174">
        <f t="shared" si="6"/>
        <v>-3148.2075499999996</v>
      </c>
      <c r="S38" s="174">
        <f t="shared" si="7"/>
        <v>-393.96014000000002</v>
      </c>
      <c r="T38" s="174">
        <f t="shared" si="8"/>
        <v>-4882</v>
      </c>
      <c r="U38" s="174">
        <f t="shared" si="10"/>
        <v>-7340</v>
      </c>
      <c r="V38" s="174">
        <f t="shared" si="9"/>
        <v>-1485</v>
      </c>
      <c r="W38" s="73"/>
      <c r="X38" s="73">
        <f t="shared" si="11"/>
        <v>-3083.4736628571432</v>
      </c>
      <c r="Y38" s="339">
        <f t="shared" si="12"/>
        <v>8.2172620629654132E-4</v>
      </c>
      <c r="Z38" s="73"/>
    </row>
    <row r="39" spans="1:26" x14ac:dyDescent="0.25">
      <c r="A39" s="30">
        <v>86</v>
      </c>
      <c r="B39" s="31" t="s">
        <v>352</v>
      </c>
      <c r="C39" s="41">
        <f>'7. Nettoinvestoinnit '!C39</f>
        <v>-121</v>
      </c>
      <c r="D39" s="41">
        <f>'7. Nettoinvestoinnit '!D39</f>
        <v>-1266</v>
      </c>
      <c r="E39" s="41">
        <f>'7. Nettoinvestoinnit '!E39</f>
        <v>-3366</v>
      </c>
      <c r="F39" s="41">
        <f>'7. Nettoinvestoinnit '!F39</f>
        <v>-1194</v>
      </c>
      <c r="G39" s="41">
        <f>'7. Nettoinvestoinnit '!G39</f>
        <v>-1763</v>
      </c>
      <c r="H39" s="41">
        <f>'7. Nettoinvestoinnit '!H39</f>
        <v>-6387</v>
      </c>
      <c r="I39" s="41">
        <f>'7. Nettoinvestoinnit '!I39</f>
        <v>-2783.5703100000001</v>
      </c>
      <c r="J39" s="73">
        <v>-2417.9826600000001</v>
      </c>
      <c r="K39" s="41">
        <v>-4690.6844000000001</v>
      </c>
      <c r="L39" s="41">
        <v>-5165</v>
      </c>
      <c r="M39" s="41">
        <v>-5685</v>
      </c>
      <c r="N39" s="41">
        <v>-2870</v>
      </c>
      <c r="O39" s="174"/>
      <c r="P39" s="174">
        <f t="shared" si="4"/>
        <v>-6387</v>
      </c>
      <c r="Q39" s="174">
        <f t="shared" si="5"/>
        <v>-2783.5703100000001</v>
      </c>
      <c r="R39" s="174">
        <f t="shared" si="6"/>
        <v>-2417.9826600000001</v>
      </c>
      <c r="S39" s="174">
        <f t="shared" si="7"/>
        <v>-4690.6844000000001</v>
      </c>
      <c r="T39" s="174">
        <f t="shared" si="8"/>
        <v>-5165</v>
      </c>
      <c r="U39" s="174">
        <f t="shared" si="10"/>
        <v>-5685</v>
      </c>
      <c r="V39" s="174">
        <f t="shared" si="9"/>
        <v>-2870</v>
      </c>
      <c r="W39" s="73"/>
      <c r="X39" s="73">
        <f t="shared" si="11"/>
        <v>-4285.6053385714285</v>
      </c>
      <c r="Y39" s="339">
        <f t="shared" si="12"/>
        <v>1.1420866858598037E-3</v>
      </c>
      <c r="Z39" s="73"/>
    </row>
    <row r="40" spans="1:26" x14ac:dyDescent="0.25">
      <c r="A40" s="30">
        <v>90</v>
      </c>
      <c r="B40" s="31" t="s">
        <v>353</v>
      </c>
      <c r="C40" s="41">
        <f>'7. Nettoinvestoinnit '!C40</f>
        <v>-1157</v>
      </c>
      <c r="D40" s="41">
        <f>'7. Nettoinvestoinnit '!D40</f>
        <v>-1152</v>
      </c>
      <c r="E40" s="41">
        <f>'7. Nettoinvestoinnit '!E40</f>
        <v>-602</v>
      </c>
      <c r="F40" s="41">
        <f>'7. Nettoinvestoinnit '!F40</f>
        <v>-694</v>
      </c>
      <c r="G40" s="41">
        <f>'7. Nettoinvestoinnit '!G40</f>
        <v>-554</v>
      </c>
      <c r="H40" s="41">
        <f>'7. Nettoinvestoinnit '!H40</f>
        <v>-1079</v>
      </c>
      <c r="I40" s="41">
        <f>'7. Nettoinvestoinnit '!I40</f>
        <v>-503.90363000000002</v>
      </c>
      <c r="J40" s="73">
        <v>-480.23464000000001</v>
      </c>
      <c r="K40" s="41">
        <v>-735.99619999999993</v>
      </c>
      <c r="L40" s="41">
        <v>-858.44500000000005</v>
      </c>
      <c r="M40" s="41">
        <v>-490</v>
      </c>
      <c r="N40" s="41">
        <v>-440</v>
      </c>
      <c r="O40" s="174"/>
      <c r="P40" s="174">
        <f t="shared" si="4"/>
        <v>-1079</v>
      </c>
      <c r="Q40" s="174">
        <f t="shared" si="5"/>
        <v>-503.90363000000002</v>
      </c>
      <c r="R40" s="174">
        <f t="shared" si="6"/>
        <v>-480.23464000000001</v>
      </c>
      <c r="S40" s="174">
        <f t="shared" si="7"/>
        <v>-735.99619999999993</v>
      </c>
      <c r="T40" s="174">
        <f t="shared" si="8"/>
        <v>-858.44500000000005</v>
      </c>
      <c r="U40" s="174">
        <f t="shared" si="10"/>
        <v>-490</v>
      </c>
      <c r="V40" s="174">
        <f t="shared" si="9"/>
        <v>-440</v>
      </c>
      <c r="W40" s="73"/>
      <c r="X40" s="73">
        <f t="shared" si="11"/>
        <v>-655.36849571428581</v>
      </c>
      <c r="Y40" s="339">
        <f t="shared" si="12"/>
        <v>1.7465155425085314E-4</v>
      </c>
      <c r="Z40" s="73"/>
    </row>
    <row r="41" spans="1:26" x14ac:dyDescent="0.25">
      <c r="A41" s="30">
        <v>91</v>
      </c>
      <c r="B41" s="31" t="s">
        <v>354</v>
      </c>
      <c r="C41" s="41">
        <f>'7. Nettoinvestoinnit '!C41</f>
        <v>-403282</v>
      </c>
      <c r="D41" s="41">
        <f>'7. Nettoinvestoinnit '!D41</f>
        <v>-397105</v>
      </c>
      <c r="E41" s="41">
        <f>'7. Nettoinvestoinnit '!E41</f>
        <v>-419145</v>
      </c>
      <c r="F41" s="41">
        <f>'7. Nettoinvestoinnit '!F41</f>
        <v>-475687</v>
      </c>
      <c r="G41" s="41">
        <f>'7. Nettoinvestoinnit '!G41</f>
        <v>-584156</v>
      </c>
      <c r="H41" s="41">
        <f>'7. Nettoinvestoinnit '!H41</f>
        <v>-737869</v>
      </c>
      <c r="I41" s="41">
        <f>'7. Nettoinvestoinnit '!I41</f>
        <v>-733210.31700000004</v>
      </c>
      <c r="J41" s="73">
        <v>-168417.60269</v>
      </c>
      <c r="K41" s="41">
        <v>-760168.40176000004</v>
      </c>
      <c r="L41" s="41">
        <v>-929881</v>
      </c>
      <c r="M41" s="41">
        <v>-892635</v>
      </c>
      <c r="N41" s="41">
        <v>-990077</v>
      </c>
      <c r="O41" s="174"/>
      <c r="P41" s="174">
        <f t="shared" si="4"/>
        <v>-737869</v>
      </c>
      <c r="Q41" s="174">
        <f t="shared" si="5"/>
        <v>-733210.31700000004</v>
      </c>
      <c r="R41" s="174">
        <f t="shared" si="6"/>
        <v>-168417.60269</v>
      </c>
      <c r="S41" s="174">
        <f t="shared" si="7"/>
        <v>-760168.40176000004</v>
      </c>
      <c r="T41" s="174">
        <f t="shared" si="8"/>
        <v>-929881</v>
      </c>
      <c r="U41" s="174">
        <f t="shared" si="10"/>
        <v>-892635</v>
      </c>
      <c r="V41" s="174">
        <f t="shared" si="9"/>
        <v>-990077</v>
      </c>
      <c r="W41" s="73"/>
      <c r="X41" s="73">
        <f t="shared" si="11"/>
        <v>-744608.33163571439</v>
      </c>
      <c r="Y41" s="339">
        <f t="shared" si="12"/>
        <v>0.19843340544860041</v>
      </c>
      <c r="Z41" s="73"/>
    </row>
    <row r="42" spans="1:26" x14ac:dyDescent="0.25">
      <c r="A42" s="30">
        <v>92</v>
      </c>
      <c r="B42" s="31" t="s">
        <v>355</v>
      </c>
      <c r="C42" s="41">
        <f>'7. Nettoinvestoinnit '!C42</f>
        <v>-102853</v>
      </c>
      <c r="D42" s="41">
        <f>'7. Nettoinvestoinnit '!D42</f>
        <v>-76588</v>
      </c>
      <c r="E42" s="41">
        <f>'7. Nettoinvestoinnit '!E42</f>
        <v>-60062</v>
      </c>
      <c r="F42" s="41">
        <f>'7. Nettoinvestoinnit '!F42</f>
        <v>-64172</v>
      </c>
      <c r="G42" s="41">
        <f>'7. Nettoinvestoinnit '!G42</f>
        <v>-129775</v>
      </c>
      <c r="H42" s="41">
        <f>'7. Nettoinvestoinnit '!H42</f>
        <v>-102806</v>
      </c>
      <c r="I42" s="41">
        <f>'7. Nettoinvestoinnit '!I42</f>
        <v>-40643.551240000001</v>
      </c>
      <c r="J42" s="73">
        <v>-69123.525120000006</v>
      </c>
      <c r="K42" s="41">
        <v>-149387.81466</v>
      </c>
      <c r="L42" s="41">
        <v>-161657</v>
      </c>
      <c r="M42" s="41">
        <v>-205715.505</v>
      </c>
      <c r="N42" s="41">
        <v>-282198.97457000002</v>
      </c>
      <c r="O42" s="174"/>
      <c r="P42" s="174">
        <f t="shared" si="4"/>
        <v>-102806</v>
      </c>
      <c r="Q42" s="174">
        <f t="shared" si="5"/>
        <v>-40643.551240000001</v>
      </c>
      <c r="R42" s="174">
        <f t="shared" si="6"/>
        <v>-69123.525120000006</v>
      </c>
      <c r="S42" s="174">
        <f t="shared" si="7"/>
        <v>-149387.81466</v>
      </c>
      <c r="T42" s="174">
        <f t="shared" si="8"/>
        <v>-161657</v>
      </c>
      <c r="U42" s="174">
        <f t="shared" si="10"/>
        <v>-205715.505</v>
      </c>
      <c r="V42" s="174">
        <f t="shared" si="9"/>
        <v>-282198.97457000002</v>
      </c>
      <c r="W42" s="73"/>
      <c r="X42" s="73">
        <f t="shared" si="11"/>
        <v>-144504.62437000001</v>
      </c>
      <c r="Y42" s="339">
        <f t="shared" si="12"/>
        <v>3.8509567377280431E-2</v>
      </c>
      <c r="Z42" s="73"/>
    </row>
    <row r="43" spans="1:26" x14ac:dyDescent="0.25">
      <c r="A43" s="30">
        <v>97</v>
      </c>
      <c r="B43" s="31" t="s">
        <v>356</v>
      </c>
      <c r="C43" s="41">
        <f>'7. Nettoinvestoinnit '!C43</f>
        <v>-710</v>
      </c>
      <c r="D43" s="41">
        <f>'7. Nettoinvestoinnit '!D43</f>
        <v>-683</v>
      </c>
      <c r="E43" s="41">
        <f>'7. Nettoinvestoinnit '!E43</f>
        <v>-78</v>
      </c>
      <c r="F43" s="41">
        <f>'7. Nettoinvestoinnit '!F43</f>
        <v>-230</v>
      </c>
      <c r="G43" s="41">
        <f>'7. Nettoinvestoinnit '!G43</f>
        <v>902</v>
      </c>
      <c r="H43" s="41">
        <f>'7. Nettoinvestoinnit '!H43</f>
        <v>-1178</v>
      </c>
      <c r="I43" s="41">
        <f>'7. Nettoinvestoinnit '!I43</f>
        <v>-587.88212999999996</v>
      </c>
      <c r="J43" s="73">
        <v>-338.59060999999997</v>
      </c>
      <c r="K43" s="41">
        <v>-274.4545</v>
      </c>
      <c r="L43" s="41">
        <v>-444</v>
      </c>
      <c r="M43" s="41">
        <v>-585</v>
      </c>
      <c r="N43" s="41">
        <v>-635</v>
      </c>
      <c r="O43" s="174"/>
      <c r="P43" s="174">
        <f t="shared" si="4"/>
        <v>-1178</v>
      </c>
      <c r="Q43" s="174">
        <f t="shared" si="5"/>
        <v>-587.88212999999996</v>
      </c>
      <c r="R43" s="174">
        <f t="shared" si="6"/>
        <v>-338.59060999999997</v>
      </c>
      <c r="S43" s="174">
        <f t="shared" si="7"/>
        <v>-274.4545</v>
      </c>
      <c r="T43" s="174">
        <f t="shared" si="8"/>
        <v>-444</v>
      </c>
      <c r="U43" s="174">
        <f t="shared" si="10"/>
        <v>-585</v>
      </c>
      <c r="V43" s="174">
        <f t="shared" si="9"/>
        <v>-635</v>
      </c>
      <c r="W43" s="73"/>
      <c r="X43" s="73">
        <f t="shared" si="11"/>
        <v>-577.5610342857143</v>
      </c>
      <c r="Y43" s="339">
        <f t="shared" si="12"/>
        <v>1.5391635846454598E-4</v>
      </c>
      <c r="Z43" s="73"/>
    </row>
    <row r="44" spans="1:26" x14ac:dyDescent="0.25">
      <c r="A44" s="30">
        <v>98</v>
      </c>
      <c r="B44" s="31" t="s">
        <v>357</v>
      </c>
      <c r="C44" s="41">
        <f>'7. Nettoinvestoinnit '!C44</f>
        <v>-14358</v>
      </c>
      <c r="D44" s="41">
        <f>'7. Nettoinvestoinnit '!D44</f>
        <v>-9420</v>
      </c>
      <c r="E44" s="41">
        <f>'7. Nettoinvestoinnit '!E44</f>
        <v>-8963</v>
      </c>
      <c r="F44" s="41">
        <f>'7. Nettoinvestoinnit '!F44</f>
        <v>-3868</v>
      </c>
      <c r="G44" s="41">
        <f>'7. Nettoinvestoinnit '!G44</f>
        <v>-5807</v>
      </c>
      <c r="H44" s="41">
        <f>'7. Nettoinvestoinnit '!H44</f>
        <v>-18481</v>
      </c>
      <c r="I44" s="41">
        <f>'7. Nettoinvestoinnit '!I44</f>
        <v>-11298.956279999999</v>
      </c>
      <c r="J44" s="73">
        <v>-13473.23969</v>
      </c>
      <c r="K44" s="41">
        <v>-1998.9239299999999</v>
      </c>
      <c r="L44" s="41">
        <v>-18405</v>
      </c>
      <c r="M44" s="41">
        <v>-18484</v>
      </c>
      <c r="N44" s="41">
        <v>-18320</v>
      </c>
      <c r="O44" s="174"/>
      <c r="P44" s="174">
        <f t="shared" si="4"/>
        <v>-18481</v>
      </c>
      <c r="Q44" s="174">
        <f t="shared" si="5"/>
        <v>-11298.956279999999</v>
      </c>
      <c r="R44" s="174">
        <f t="shared" si="6"/>
        <v>-13473.23969</v>
      </c>
      <c r="S44" s="174">
        <f t="shared" si="7"/>
        <v>-1998.9239299999999</v>
      </c>
      <c r="T44" s="174">
        <f t="shared" si="8"/>
        <v>-18405</v>
      </c>
      <c r="U44" s="174">
        <f t="shared" si="10"/>
        <v>-18484</v>
      </c>
      <c r="V44" s="174">
        <f t="shared" si="9"/>
        <v>-18320</v>
      </c>
      <c r="W44" s="73"/>
      <c r="X44" s="73">
        <f t="shared" si="11"/>
        <v>-14351.588557142855</v>
      </c>
      <c r="Y44" s="339">
        <f t="shared" si="12"/>
        <v>3.8246074748251296E-3</v>
      </c>
      <c r="Z44" s="73"/>
    </row>
    <row r="45" spans="1:26" x14ac:dyDescent="0.25">
      <c r="A45" s="30">
        <v>102</v>
      </c>
      <c r="B45" s="31" t="s">
        <v>359</v>
      </c>
      <c r="C45" s="41">
        <f>'7. Nettoinvestoinnit '!C45</f>
        <v>-7466</v>
      </c>
      <c r="D45" s="41">
        <f>'7. Nettoinvestoinnit '!D45</f>
        <v>-2404</v>
      </c>
      <c r="E45" s="41">
        <f>'7. Nettoinvestoinnit '!E45</f>
        <v>-4658</v>
      </c>
      <c r="F45" s="41">
        <f>'7. Nettoinvestoinnit '!F45</f>
        <v>-4602</v>
      </c>
      <c r="G45" s="41">
        <f>'7. Nettoinvestoinnit '!G45</f>
        <v>-2883</v>
      </c>
      <c r="H45" s="41">
        <f>'7. Nettoinvestoinnit '!H45</f>
        <v>-4724</v>
      </c>
      <c r="I45" s="41">
        <f>'7. Nettoinvestoinnit '!I45</f>
        <v>-3690.1011000000003</v>
      </c>
      <c r="J45" s="73">
        <v>-1014.99721</v>
      </c>
      <c r="K45" s="41">
        <v>-14178.22486</v>
      </c>
      <c r="L45" s="41">
        <v>-8040</v>
      </c>
      <c r="M45" s="41">
        <v>-5130</v>
      </c>
      <c r="N45" s="41">
        <v>-5620</v>
      </c>
      <c r="O45" s="174"/>
      <c r="P45" s="174">
        <f t="shared" si="4"/>
        <v>-4724</v>
      </c>
      <c r="Q45" s="174">
        <f t="shared" si="5"/>
        <v>-3690.1011000000003</v>
      </c>
      <c r="R45" s="174">
        <f t="shared" si="6"/>
        <v>-1014.99721</v>
      </c>
      <c r="S45" s="174">
        <f t="shared" si="7"/>
        <v>-14178.22486</v>
      </c>
      <c r="T45" s="174">
        <f t="shared" si="8"/>
        <v>-8040</v>
      </c>
      <c r="U45" s="174">
        <f t="shared" si="10"/>
        <v>-5130</v>
      </c>
      <c r="V45" s="174">
        <f t="shared" si="9"/>
        <v>-5620</v>
      </c>
      <c r="W45" s="73"/>
      <c r="X45" s="73">
        <f t="shared" si="11"/>
        <v>-6056.7604528571437</v>
      </c>
      <c r="Y45" s="339">
        <f t="shared" si="12"/>
        <v>1.614088308690641E-3</v>
      </c>
      <c r="Z45" s="73"/>
    </row>
    <row r="46" spans="1:26" x14ac:dyDescent="0.25">
      <c r="A46" s="30">
        <v>103</v>
      </c>
      <c r="B46" s="31" t="s">
        <v>360</v>
      </c>
      <c r="C46" s="41">
        <f>'7. Nettoinvestoinnit '!C46</f>
        <v>-338</v>
      </c>
      <c r="D46" s="41">
        <f>'7. Nettoinvestoinnit '!D46</f>
        <v>-475</v>
      </c>
      <c r="E46" s="41">
        <f>'7. Nettoinvestoinnit '!E46</f>
        <v>-577</v>
      </c>
      <c r="F46" s="41">
        <f>'7. Nettoinvestoinnit '!F46</f>
        <v>-2217</v>
      </c>
      <c r="G46" s="41">
        <f>'7. Nettoinvestoinnit '!G46</f>
        <v>663</v>
      </c>
      <c r="H46" s="41">
        <f>'7. Nettoinvestoinnit '!H46</f>
        <v>-188</v>
      </c>
      <c r="I46" s="41">
        <f>'7. Nettoinvestoinnit '!I46</f>
        <v>-63.172620000000002</v>
      </c>
      <c r="J46" s="73">
        <v>-254.14961</v>
      </c>
      <c r="K46" s="41">
        <v>-374.02143999999998</v>
      </c>
      <c r="L46" s="41">
        <v>-1241</v>
      </c>
      <c r="M46" s="41">
        <v>-756</v>
      </c>
      <c r="N46" s="41">
        <v>-305</v>
      </c>
      <c r="O46" s="174"/>
      <c r="P46" s="174">
        <f t="shared" si="4"/>
        <v>-188</v>
      </c>
      <c r="Q46" s="174">
        <f t="shared" si="5"/>
        <v>-63.172620000000002</v>
      </c>
      <c r="R46" s="174">
        <f t="shared" si="6"/>
        <v>-254.14961</v>
      </c>
      <c r="S46" s="174">
        <f t="shared" si="7"/>
        <v>-374.02143999999998</v>
      </c>
      <c r="T46" s="174">
        <f t="shared" si="8"/>
        <v>-1241</v>
      </c>
      <c r="U46" s="174">
        <f t="shared" si="10"/>
        <v>-756</v>
      </c>
      <c r="V46" s="174">
        <f t="shared" si="9"/>
        <v>-305</v>
      </c>
      <c r="W46" s="73"/>
      <c r="X46" s="73">
        <f t="shared" si="11"/>
        <v>-454.47766714285717</v>
      </c>
      <c r="Y46" s="339">
        <f t="shared" si="12"/>
        <v>1.2111542049681663E-4</v>
      </c>
      <c r="Z46" s="73"/>
    </row>
    <row r="47" spans="1:26" x14ac:dyDescent="0.25">
      <c r="A47" s="30">
        <v>105</v>
      </c>
      <c r="B47" s="31" t="s">
        <v>361</v>
      </c>
      <c r="C47" s="41">
        <f>'7. Nettoinvestoinnit '!C47</f>
        <v>-166</v>
      </c>
      <c r="D47" s="41">
        <f>'7. Nettoinvestoinnit '!D47</f>
        <v>-150</v>
      </c>
      <c r="E47" s="41">
        <f>'7. Nettoinvestoinnit '!E47</f>
        <v>-259</v>
      </c>
      <c r="F47" s="41">
        <f>'7. Nettoinvestoinnit '!F47</f>
        <v>-710</v>
      </c>
      <c r="G47" s="41">
        <f>'7. Nettoinvestoinnit '!G47</f>
        <v>-293</v>
      </c>
      <c r="H47" s="41">
        <f>'7. Nettoinvestoinnit '!H47</f>
        <v>-240</v>
      </c>
      <c r="I47" s="41">
        <f>'7. Nettoinvestoinnit '!I47</f>
        <v>-702.85281999999995</v>
      </c>
      <c r="J47" s="73">
        <v>-1266.1580200000001</v>
      </c>
      <c r="K47" s="41">
        <v>-790.68901000000005</v>
      </c>
      <c r="L47" s="41">
        <v>-615</v>
      </c>
      <c r="M47" s="41">
        <v>-570</v>
      </c>
      <c r="N47" s="41">
        <v>-570</v>
      </c>
      <c r="O47" s="174"/>
      <c r="P47" s="174">
        <f t="shared" si="4"/>
        <v>-240</v>
      </c>
      <c r="Q47" s="174">
        <f t="shared" si="5"/>
        <v>-702.85281999999995</v>
      </c>
      <c r="R47" s="174">
        <f t="shared" si="6"/>
        <v>-1266.1580200000001</v>
      </c>
      <c r="S47" s="174">
        <f t="shared" si="7"/>
        <v>-790.68901000000005</v>
      </c>
      <c r="T47" s="174">
        <f t="shared" si="8"/>
        <v>-615</v>
      </c>
      <c r="U47" s="174">
        <f t="shared" si="10"/>
        <v>-570</v>
      </c>
      <c r="V47" s="174">
        <f t="shared" si="9"/>
        <v>-570</v>
      </c>
      <c r="W47" s="73"/>
      <c r="X47" s="73">
        <f t="shared" si="11"/>
        <v>-679.24283571428566</v>
      </c>
      <c r="Y47" s="339">
        <f t="shared" si="12"/>
        <v>1.8101391468621208E-4</v>
      </c>
      <c r="Z47" s="73"/>
    </row>
    <row r="48" spans="1:26" x14ac:dyDescent="0.25">
      <c r="A48" s="30">
        <v>106</v>
      </c>
      <c r="B48" s="31" t="s">
        <v>362</v>
      </c>
      <c r="C48" s="41">
        <f>'7. Nettoinvestoinnit '!C48</f>
        <v>-12002</v>
      </c>
      <c r="D48" s="41">
        <f>'7. Nettoinvestoinnit '!D48</f>
        <v>-13863</v>
      </c>
      <c r="E48" s="41">
        <f>'7. Nettoinvestoinnit '!E48</f>
        <v>-10992</v>
      </c>
      <c r="F48" s="41">
        <f>'7. Nettoinvestoinnit '!F48</f>
        <v>-8858</v>
      </c>
      <c r="G48" s="41">
        <f>'7. Nettoinvestoinnit '!G48</f>
        <v>-33919</v>
      </c>
      <c r="H48" s="41">
        <f>'7. Nettoinvestoinnit '!H48</f>
        <v>-33767</v>
      </c>
      <c r="I48" s="41">
        <f>'7. Nettoinvestoinnit '!I48</f>
        <v>-15327.281570000001</v>
      </c>
      <c r="J48" s="73">
        <v>-11129.112499999999</v>
      </c>
      <c r="K48" s="41">
        <v>-18984.607039999999</v>
      </c>
      <c r="L48" s="41">
        <v>-52770</v>
      </c>
      <c r="M48" s="41">
        <v>-44940</v>
      </c>
      <c r="N48" s="41">
        <v>-41740</v>
      </c>
      <c r="O48" s="174"/>
      <c r="P48" s="174">
        <f t="shared" si="4"/>
        <v>-33767</v>
      </c>
      <c r="Q48" s="174">
        <f t="shared" si="5"/>
        <v>-15327.281570000001</v>
      </c>
      <c r="R48" s="174">
        <f t="shared" si="6"/>
        <v>-11129.112499999999</v>
      </c>
      <c r="S48" s="174">
        <f t="shared" si="7"/>
        <v>-18984.607039999999</v>
      </c>
      <c r="T48" s="174">
        <f t="shared" si="8"/>
        <v>-52770</v>
      </c>
      <c r="U48" s="174">
        <f t="shared" si="10"/>
        <v>-44940</v>
      </c>
      <c r="V48" s="174">
        <f t="shared" si="9"/>
        <v>-41740</v>
      </c>
      <c r="W48" s="73"/>
      <c r="X48" s="73">
        <f t="shared" si="11"/>
        <v>-31236.857301428572</v>
      </c>
      <c r="Y48" s="339">
        <f t="shared" si="12"/>
        <v>8.3244246760146613E-3</v>
      </c>
      <c r="Z48" s="73"/>
    </row>
    <row r="49" spans="1:26" x14ac:dyDescent="0.25">
      <c r="A49" s="30">
        <v>108</v>
      </c>
      <c r="B49" s="31" t="s">
        <v>363</v>
      </c>
      <c r="C49" s="41">
        <f>'7. Nettoinvestoinnit '!C49</f>
        <v>-21977</v>
      </c>
      <c r="D49" s="41">
        <f>'7. Nettoinvestoinnit '!D49</f>
        <v>-8969</v>
      </c>
      <c r="E49" s="41">
        <f>'7. Nettoinvestoinnit '!E49</f>
        <v>-6944</v>
      </c>
      <c r="F49" s="41">
        <f>'7. Nettoinvestoinnit '!F49</f>
        <v>-9305</v>
      </c>
      <c r="G49" s="41">
        <f>'7. Nettoinvestoinnit '!G49</f>
        <v>-3413</v>
      </c>
      <c r="H49" s="41">
        <f>'7. Nettoinvestoinnit '!H49</f>
        <v>-2227</v>
      </c>
      <c r="I49" s="41">
        <f>'7. Nettoinvestoinnit '!I49</f>
        <v>-3726.8052400000001</v>
      </c>
      <c r="J49" s="73">
        <v>-2435.5432599999999</v>
      </c>
      <c r="K49" s="41">
        <v>-4315.9859400000005</v>
      </c>
      <c r="L49" s="41">
        <v>-4381.5</v>
      </c>
      <c r="M49" s="41">
        <v>-4395</v>
      </c>
      <c r="N49" s="41">
        <v>-4900</v>
      </c>
      <c r="O49" s="174"/>
      <c r="P49" s="174">
        <f t="shared" si="4"/>
        <v>-2227</v>
      </c>
      <c r="Q49" s="174">
        <f t="shared" si="5"/>
        <v>-3726.8052400000001</v>
      </c>
      <c r="R49" s="174">
        <f t="shared" si="6"/>
        <v>-2435.5432599999999</v>
      </c>
      <c r="S49" s="174">
        <f t="shared" si="7"/>
        <v>-4315.9859400000005</v>
      </c>
      <c r="T49" s="174">
        <f t="shared" si="8"/>
        <v>-4381.5</v>
      </c>
      <c r="U49" s="174">
        <f t="shared" si="10"/>
        <v>-4395</v>
      </c>
      <c r="V49" s="174">
        <f t="shared" si="9"/>
        <v>-4900</v>
      </c>
      <c r="W49" s="73"/>
      <c r="X49" s="73">
        <f t="shared" si="11"/>
        <v>-3768.8334914285711</v>
      </c>
      <c r="Y49" s="339">
        <f t="shared" si="12"/>
        <v>1.0043702608457886E-3</v>
      </c>
      <c r="Z49" s="73"/>
    </row>
    <row r="50" spans="1:26" x14ac:dyDescent="0.25">
      <c r="A50" s="30">
        <v>109</v>
      </c>
      <c r="B50" s="31" t="s">
        <v>364</v>
      </c>
      <c r="C50" s="41">
        <f>'7. Nettoinvestoinnit '!C50</f>
        <v>-11703</v>
      </c>
      <c r="D50" s="41">
        <f>'7. Nettoinvestoinnit '!D50</f>
        <v>-26087</v>
      </c>
      <c r="E50" s="41">
        <f>'7. Nettoinvestoinnit '!E50</f>
        <v>-13614</v>
      </c>
      <c r="F50" s="41">
        <f>'7. Nettoinvestoinnit '!F50</f>
        <v>-20636</v>
      </c>
      <c r="G50" s="41">
        <f>'7. Nettoinvestoinnit '!G50</f>
        <v>-29310</v>
      </c>
      <c r="H50" s="41">
        <f>'7. Nettoinvestoinnit '!H50</f>
        <v>-28072</v>
      </c>
      <c r="I50" s="41">
        <f>'7. Nettoinvestoinnit '!I50</f>
        <v>-23193.403300000002</v>
      </c>
      <c r="J50" s="73">
        <v>-13642.17892</v>
      </c>
      <c r="K50" s="41">
        <v>-31592.35929</v>
      </c>
      <c r="L50" s="41">
        <v>-41136</v>
      </c>
      <c r="M50" s="41">
        <v>-31706</v>
      </c>
      <c r="N50" s="41">
        <v>-25607</v>
      </c>
      <c r="O50" s="174"/>
      <c r="P50" s="174">
        <f t="shared" si="4"/>
        <v>-28072</v>
      </c>
      <c r="Q50" s="174">
        <f t="shared" si="5"/>
        <v>-23193.403300000002</v>
      </c>
      <c r="R50" s="174">
        <f t="shared" si="6"/>
        <v>-13642.17892</v>
      </c>
      <c r="S50" s="174">
        <f t="shared" si="7"/>
        <v>-31592.35929</v>
      </c>
      <c r="T50" s="174">
        <f t="shared" si="8"/>
        <v>-41136</v>
      </c>
      <c r="U50" s="174">
        <f t="shared" si="10"/>
        <v>-31706</v>
      </c>
      <c r="V50" s="174">
        <f t="shared" si="9"/>
        <v>-25607</v>
      </c>
      <c r="W50" s="73"/>
      <c r="X50" s="73">
        <f t="shared" si="11"/>
        <v>-27849.848787142859</v>
      </c>
      <c r="Y50" s="339">
        <f t="shared" si="12"/>
        <v>7.4218083538245836E-3</v>
      </c>
      <c r="Z50" s="73"/>
    </row>
    <row r="51" spans="1:26" x14ac:dyDescent="0.25">
      <c r="A51" s="30">
        <v>111</v>
      </c>
      <c r="B51" s="31" t="s">
        <v>365</v>
      </c>
      <c r="C51" s="41">
        <f>'7. Nettoinvestoinnit '!C51</f>
        <v>-7190</v>
      </c>
      <c r="D51" s="41">
        <f>'7. Nettoinvestoinnit '!D51</f>
        <v>-9358</v>
      </c>
      <c r="E51" s="41">
        <f>'7. Nettoinvestoinnit '!E51</f>
        <v>-12323</v>
      </c>
      <c r="F51" s="41">
        <f>'7. Nettoinvestoinnit '!F51</f>
        <v>-10845</v>
      </c>
      <c r="G51" s="41">
        <f>'7. Nettoinvestoinnit '!G51</f>
        <v>-19973</v>
      </c>
      <c r="H51" s="41">
        <f>'7. Nettoinvestoinnit '!H51</f>
        <v>-29896</v>
      </c>
      <c r="I51" s="41">
        <f>'7. Nettoinvestoinnit '!I51</f>
        <v>-19841.184100000002</v>
      </c>
      <c r="J51" s="73">
        <v>-14819.40056</v>
      </c>
      <c r="K51" s="41">
        <v>-6803.4372199999998</v>
      </c>
      <c r="L51" s="41">
        <v>-10135</v>
      </c>
      <c r="M51" s="41">
        <v>-9300</v>
      </c>
      <c r="N51" s="41">
        <v>-7980</v>
      </c>
      <c r="O51" s="174"/>
      <c r="P51" s="174">
        <f t="shared" si="4"/>
        <v>-29896</v>
      </c>
      <c r="Q51" s="174">
        <f t="shared" si="5"/>
        <v>-19841.184100000002</v>
      </c>
      <c r="R51" s="174">
        <f t="shared" si="6"/>
        <v>-14819.40056</v>
      </c>
      <c r="S51" s="174">
        <f t="shared" si="7"/>
        <v>-6803.4372199999998</v>
      </c>
      <c r="T51" s="174">
        <f t="shared" si="8"/>
        <v>-10135</v>
      </c>
      <c r="U51" s="174">
        <f t="shared" si="10"/>
        <v>-9300</v>
      </c>
      <c r="V51" s="174">
        <f t="shared" si="9"/>
        <v>-7980</v>
      </c>
      <c r="W51" s="73"/>
      <c r="X51" s="73">
        <f t="shared" si="11"/>
        <v>-14110.717411428572</v>
      </c>
      <c r="Y51" s="339">
        <f t="shared" si="12"/>
        <v>3.7604168397117757E-3</v>
      </c>
      <c r="Z51" s="73"/>
    </row>
    <row r="52" spans="1:26" x14ac:dyDescent="0.25">
      <c r="A52" s="30">
        <v>139</v>
      </c>
      <c r="B52" s="31" t="s">
        <v>366</v>
      </c>
      <c r="C52" s="41">
        <f>'7. Nettoinvestoinnit '!C52</f>
        <v>-6183</v>
      </c>
      <c r="D52" s="41">
        <f>'7. Nettoinvestoinnit '!D52</f>
        <v>-7225</v>
      </c>
      <c r="E52" s="41">
        <f>'7. Nettoinvestoinnit '!E52</f>
        <v>-6875</v>
      </c>
      <c r="F52" s="41">
        <f>'7. Nettoinvestoinnit '!F52</f>
        <v>-5763</v>
      </c>
      <c r="G52" s="41">
        <f>'7. Nettoinvestoinnit '!G52</f>
        <v>-7252</v>
      </c>
      <c r="H52" s="41">
        <f>'7. Nettoinvestoinnit '!H52</f>
        <v>-4698</v>
      </c>
      <c r="I52" s="41">
        <f>'7. Nettoinvestoinnit '!I52</f>
        <v>-1635.43553</v>
      </c>
      <c r="J52" s="73">
        <v>-4839.3351199999997</v>
      </c>
      <c r="K52" s="41">
        <v>-2046.0815400000001</v>
      </c>
      <c r="L52" s="41">
        <v>-5427</v>
      </c>
      <c r="M52" s="41">
        <v>-9480</v>
      </c>
      <c r="N52" s="41">
        <v>-8725</v>
      </c>
      <c r="O52" s="174"/>
      <c r="P52" s="174">
        <f t="shared" si="4"/>
        <v>-4698</v>
      </c>
      <c r="Q52" s="174">
        <f t="shared" si="5"/>
        <v>-1635.43553</v>
      </c>
      <c r="R52" s="174">
        <f t="shared" si="6"/>
        <v>-4839.3351199999997</v>
      </c>
      <c r="S52" s="174">
        <f t="shared" si="7"/>
        <v>-2046.0815400000001</v>
      </c>
      <c r="T52" s="174">
        <f t="shared" si="8"/>
        <v>-5427</v>
      </c>
      <c r="U52" s="174">
        <f t="shared" si="10"/>
        <v>-9480</v>
      </c>
      <c r="V52" s="174">
        <f t="shared" si="9"/>
        <v>-8725</v>
      </c>
      <c r="W52" s="73"/>
      <c r="X52" s="73">
        <f t="shared" si="11"/>
        <v>-5264.4074557142858</v>
      </c>
      <c r="Y52" s="339">
        <f t="shared" si="12"/>
        <v>1.4029312522082487E-3</v>
      </c>
      <c r="Z52" s="73"/>
    </row>
    <row r="53" spans="1:26" x14ac:dyDescent="0.25">
      <c r="A53" s="30">
        <v>140</v>
      </c>
      <c r="B53" s="31" t="s">
        <v>367</v>
      </c>
      <c r="C53" s="41">
        <f>'7. Nettoinvestoinnit '!C53</f>
        <v>-7915</v>
      </c>
      <c r="D53" s="41">
        <f>'7. Nettoinvestoinnit '!D53</f>
        <v>-18800</v>
      </c>
      <c r="E53" s="41">
        <f>'7. Nettoinvestoinnit '!E53</f>
        <v>-15867</v>
      </c>
      <c r="F53" s="41">
        <f>'7. Nettoinvestoinnit '!F53</f>
        <v>-12790</v>
      </c>
      <c r="G53" s="41">
        <f>'7. Nettoinvestoinnit '!G53</f>
        <v>-10680</v>
      </c>
      <c r="H53" s="41">
        <f>'7. Nettoinvestoinnit '!H53</f>
        <v>-11075</v>
      </c>
      <c r="I53" s="41">
        <f>'7. Nettoinvestoinnit '!I53</f>
        <v>-18530.521699999998</v>
      </c>
      <c r="J53" s="73">
        <v>-17048.837440000003</v>
      </c>
      <c r="K53" s="41">
        <v>-46468.845820000002</v>
      </c>
      <c r="L53" s="41">
        <v>-12628</v>
      </c>
      <c r="M53" s="41">
        <v>-13692</v>
      </c>
      <c r="N53" s="41">
        <v>-17510.900000000001</v>
      </c>
      <c r="O53" s="174"/>
      <c r="P53" s="174">
        <f t="shared" si="4"/>
        <v>-11075</v>
      </c>
      <c r="Q53" s="174">
        <f t="shared" si="5"/>
        <v>-18530.521699999998</v>
      </c>
      <c r="R53" s="174">
        <f t="shared" si="6"/>
        <v>-17048.837440000003</v>
      </c>
      <c r="S53" s="174">
        <f t="shared" si="7"/>
        <v>-46468.845820000002</v>
      </c>
      <c r="T53" s="174">
        <f t="shared" si="8"/>
        <v>-12628</v>
      </c>
      <c r="U53" s="174">
        <f t="shared" si="10"/>
        <v>-13692</v>
      </c>
      <c r="V53" s="174">
        <f t="shared" si="9"/>
        <v>-17510.900000000001</v>
      </c>
      <c r="W53" s="73"/>
      <c r="X53" s="73">
        <f t="shared" si="11"/>
        <v>-19564.872137142858</v>
      </c>
      <c r="Y53" s="339">
        <f t="shared" si="12"/>
        <v>5.2139145378768716E-3</v>
      </c>
      <c r="Z53" s="73"/>
    </row>
    <row r="54" spans="1:26" x14ac:dyDescent="0.25">
      <c r="A54" s="30">
        <v>142</v>
      </c>
      <c r="B54" s="31" t="s">
        <v>368</v>
      </c>
      <c r="C54" s="41">
        <f>'7. Nettoinvestoinnit '!C54</f>
        <v>-1103</v>
      </c>
      <c r="D54" s="41">
        <f>'7. Nettoinvestoinnit '!D54</f>
        <v>-909</v>
      </c>
      <c r="E54" s="41">
        <f>'7. Nettoinvestoinnit '!E54</f>
        <v>-1030</v>
      </c>
      <c r="F54" s="41">
        <f>'7. Nettoinvestoinnit '!F54</f>
        <v>-845</v>
      </c>
      <c r="G54" s="41">
        <f>'7. Nettoinvestoinnit '!G54</f>
        <v>-973</v>
      </c>
      <c r="H54" s="41">
        <f>'7. Nettoinvestoinnit '!H54</f>
        <v>-1077</v>
      </c>
      <c r="I54" s="41">
        <f>'7. Nettoinvestoinnit '!I54</f>
        <v>-612.58855000000005</v>
      </c>
      <c r="J54" s="73">
        <v>-1155.0376200000001</v>
      </c>
      <c r="K54" s="41">
        <v>-1557.1432299999999</v>
      </c>
      <c r="L54" s="41">
        <v>-5434</v>
      </c>
      <c r="M54" s="41">
        <v>-4977</v>
      </c>
      <c r="N54" s="41">
        <v>-7040</v>
      </c>
      <c r="O54" s="174"/>
      <c r="P54" s="174">
        <f t="shared" si="4"/>
        <v>-1077</v>
      </c>
      <c r="Q54" s="174">
        <f t="shared" si="5"/>
        <v>-612.58855000000005</v>
      </c>
      <c r="R54" s="174">
        <f t="shared" si="6"/>
        <v>-1155.0376200000001</v>
      </c>
      <c r="S54" s="174">
        <f t="shared" si="7"/>
        <v>-1557.1432299999999</v>
      </c>
      <c r="T54" s="174">
        <f t="shared" si="8"/>
        <v>-5434</v>
      </c>
      <c r="U54" s="174">
        <f t="shared" si="10"/>
        <v>-4977</v>
      </c>
      <c r="V54" s="174">
        <f t="shared" si="9"/>
        <v>-7040</v>
      </c>
      <c r="W54" s="73"/>
      <c r="X54" s="73">
        <f t="shared" si="11"/>
        <v>-3121.8242</v>
      </c>
      <c r="Y54" s="339">
        <f t="shared" si="12"/>
        <v>8.3194638160578448E-4</v>
      </c>
      <c r="Z54" s="73"/>
    </row>
    <row r="55" spans="1:26" x14ac:dyDescent="0.25">
      <c r="A55" s="30">
        <v>143</v>
      </c>
      <c r="B55" s="31" t="s">
        <v>369</v>
      </c>
      <c r="C55" s="41">
        <f>'7. Nettoinvestoinnit '!C55</f>
        <v>-683</v>
      </c>
      <c r="D55" s="41">
        <f>'7. Nettoinvestoinnit '!D55</f>
        <v>-5945</v>
      </c>
      <c r="E55" s="41">
        <f>'7. Nettoinvestoinnit '!E55</f>
        <v>-3066</v>
      </c>
      <c r="F55" s="41">
        <f>'7. Nettoinvestoinnit '!F55</f>
        <v>-3499</v>
      </c>
      <c r="G55" s="41">
        <f>'7. Nettoinvestoinnit '!G55</f>
        <v>-1314</v>
      </c>
      <c r="H55" s="41">
        <f>'7. Nettoinvestoinnit '!H55</f>
        <v>-1037</v>
      </c>
      <c r="I55" s="41">
        <f>'7. Nettoinvestoinnit '!I55</f>
        <v>-3987.4560999999999</v>
      </c>
      <c r="J55" s="73">
        <v>-3669.5390000000002</v>
      </c>
      <c r="K55" s="41">
        <v>-2127.7772</v>
      </c>
      <c r="L55" s="41">
        <v>-2005</v>
      </c>
      <c r="M55" s="41">
        <v>-2115</v>
      </c>
      <c r="N55" s="41">
        <v>-1985</v>
      </c>
      <c r="O55" s="174"/>
      <c r="P55" s="174">
        <f t="shared" si="4"/>
        <v>-1037</v>
      </c>
      <c r="Q55" s="174">
        <f t="shared" si="5"/>
        <v>-3987.4560999999999</v>
      </c>
      <c r="R55" s="174">
        <f t="shared" si="6"/>
        <v>-3669.5390000000002</v>
      </c>
      <c r="S55" s="174">
        <f t="shared" si="7"/>
        <v>-2127.7772</v>
      </c>
      <c r="T55" s="174">
        <f t="shared" si="8"/>
        <v>-2005</v>
      </c>
      <c r="U55" s="174">
        <f t="shared" si="10"/>
        <v>-2115</v>
      </c>
      <c r="V55" s="174">
        <f t="shared" si="9"/>
        <v>-1985</v>
      </c>
      <c r="W55" s="73"/>
      <c r="X55" s="73">
        <f t="shared" si="11"/>
        <v>-2418.1103285714285</v>
      </c>
      <c r="Y55" s="339">
        <f t="shared" si="12"/>
        <v>6.4441109085469151E-4</v>
      </c>
      <c r="Z55" s="73"/>
    </row>
    <row r="56" spans="1:26" x14ac:dyDescent="0.25">
      <c r="A56" s="30">
        <v>145</v>
      </c>
      <c r="B56" s="31" t="s">
        <v>370</v>
      </c>
      <c r="C56" s="41">
        <f>'7. Nettoinvestoinnit '!C56</f>
        <v>-3246</v>
      </c>
      <c r="D56" s="41">
        <f>'7. Nettoinvestoinnit '!D56</f>
        <v>-3726</v>
      </c>
      <c r="E56" s="41">
        <f>'7. Nettoinvestoinnit '!E56</f>
        <v>-2913</v>
      </c>
      <c r="F56" s="41">
        <f>'7. Nettoinvestoinnit '!F56</f>
        <v>-2727</v>
      </c>
      <c r="G56" s="41">
        <f>'7. Nettoinvestoinnit '!G56</f>
        <v>-3864</v>
      </c>
      <c r="H56" s="41">
        <f>'7. Nettoinvestoinnit '!H56</f>
        <v>-10044</v>
      </c>
      <c r="I56" s="41">
        <f>'7. Nettoinvestoinnit '!I56</f>
        <v>-8431.3022100000017</v>
      </c>
      <c r="J56" s="73">
        <v>-7803.8919599999999</v>
      </c>
      <c r="K56" s="41">
        <v>-5047.79612</v>
      </c>
      <c r="L56" s="41">
        <v>-8817.9</v>
      </c>
      <c r="M56" s="41">
        <v>-11876.5</v>
      </c>
      <c r="N56" s="41">
        <v>-11423.5</v>
      </c>
      <c r="O56" s="174"/>
      <c r="P56" s="174">
        <f t="shared" si="4"/>
        <v>-10044</v>
      </c>
      <c r="Q56" s="174">
        <f t="shared" si="5"/>
        <v>-8431.3022100000017</v>
      </c>
      <c r="R56" s="174">
        <f t="shared" si="6"/>
        <v>-7803.8919599999999</v>
      </c>
      <c r="S56" s="174">
        <f t="shared" si="7"/>
        <v>-5047.79612</v>
      </c>
      <c r="T56" s="174">
        <f t="shared" si="8"/>
        <v>-8817.9</v>
      </c>
      <c r="U56" s="174">
        <f t="shared" si="10"/>
        <v>-11876.5</v>
      </c>
      <c r="V56" s="174">
        <f t="shared" si="9"/>
        <v>-11423.5</v>
      </c>
      <c r="W56" s="73"/>
      <c r="X56" s="73">
        <f t="shared" si="11"/>
        <v>-9063.5557557142856</v>
      </c>
      <c r="Y56" s="339">
        <f t="shared" si="12"/>
        <v>2.4153802175820092E-3</v>
      </c>
      <c r="Z56" s="73"/>
    </row>
    <row r="57" spans="1:26" x14ac:dyDescent="0.25">
      <c r="A57" s="30">
        <v>146</v>
      </c>
      <c r="B57" s="31" t="s">
        <v>371</v>
      </c>
      <c r="C57" s="41">
        <f>'7. Nettoinvestoinnit '!C57</f>
        <v>-3951</v>
      </c>
      <c r="D57" s="41">
        <f>'7. Nettoinvestoinnit '!D57</f>
        <v>-2516</v>
      </c>
      <c r="E57" s="41">
        <f>'7. Nettoinvestoinnit '!E57</f>
        <v>-2258</v>
      </c>
      <c r="F57" s="41">
        <f>'7. Nettoinvestoinnit '!F57</f>
        <v>-983</v>
      </c>
      <c r="G57" s="41">
        <f>'7. Nettoinvestoinnit '!G57</f>
        <v>301</v>
      </c>
      <c r="H57" s="41">
        <f>'7. Nettoinvestoinnit '!H57</f>
        <v>-421</v>
      </c>
      <c r="I57" s="41">
        <f>'7. Nettoinvestoinnit '!I57</f>
        <v>-507.53724</v>
      </c>
      <c r="J57" s="73">
        <v>-683.84093000000007</v>
      </c>
      <c r="K57" s="41">
        <v>-276.92134999999996</v>
      </c>
      <c r="L57" s="41">
        <v>-1450</v>
      </c>
      <c r="M57" s="41">
        <v>-1415</v>
      </c>
      <c r="N57" s="41">
        <v>-490</v>
      </c>
      <c r="O57" s="174"/>
      <c r="P57" s="174">
        <f t="shared" si="4"/>
        <v>-421</v>
      </c>
      <c r="Q57" s="174">
        <f t="shared" si="5"/>
        <v>-507.53724</v>
      </c>
      <c r="R57" s="174">
        <f t="shared" si="6"/>
        <v>-683.84093000000007</v>
      </c>
      <c r="S57" s="174">
        <f t="shared" si="7"/>
        <v>-276.92134999999996</v>
      </c>
      <c r="T57" s="174">
        <f t="shared" si="8"/>
        <v>-1450</v>
      </c>
      <c r="U57" s="174">
        <f t="shared" si="10"/>
        <v>-1415</v>
      </c>
      <c r="V57" s="174">
        <f t="shared" si="9"/>
        <v>-490</v>
      </c>
      <c r="W57" s="73"/>
      <c r="X57" s="73">
        <f t="shared" si="11"/>
        <v>-749.18564571428578</v>
      </c>
      <c r="Y57" s="339">
        <f t="shared" si="12"/>
        <v>1.9965323066654209E-4</v>
      </c>
      <c r="Z57" s="73"/>
    </row>
    <row r="58" spans="1:26" x14ac:dyDescent="0.25">
      <c r="A58" s="30">
        <v>148</v>
      </c>
      <c r="B58" s="31" t="s">
        <v>372</v>
      </c>
      <c r="C58" s="41">
        <f>'7. Nettoinvestoinnit '!C58</f>
        <v>-3682</v>
      </c>
      <c r="D58" s="41">
        <f>'7. Nettoinvestoinnit '!D58</f>
        <v>-1824</v>
      </c>
      <c r="E58" s="41">
        <f>'7. Nettoinvestoinnit '!E58</f>
        <v>-2429</v>
      </c>
      <c r="F58" s="41">
        <f>'7. Nettoinvestoinnit '!F58</f>
        <v>-1906</v>
      </c>
      <c r="G58" s="41">
        <f>'7. Nettoinvestoinnit '!G58</f>
        <v>-3810</v>
      </c>
      <c r="H58" s="41">
        <f>'7. Nettoinvestoinnit '!H58</f>
        <v>-2323</v>
      </c>
      <c r="I58" s="41">
        <f>'7. Nettoinvestoinnit '!I58</f>
        <v>-837.13771999999994</v>
      </c>
      <c r="J58" s="73">
        <v>-2400.1688100000001</v>
      </c>
      <c r="K58" s="41">
        <v>-1881.6713400000001</v>
      </c>
      <c r="L58" s="41">
        <v>-6292.15</v>
      </c>
      <c r="M58" s="41">
        <v>-3797.75</v>
      </c>
      <c r="N58" s="41">
        <v>-3800</v>
      </c>
      <c r="O58" s="174"/>
      <c r="P58" s="174">
        <f t="shared" si="4"/>
        <v>-2323</v>
      </c>
      <c r="Q58" s="174">
        <f t="shared" si="5"/>
        <v>-837.13771999999994</v>
      </c>
      <c r="R58" s="174">
        <f t="shared" si="6"/>
        <v>-2400.1688100000001</v>
      </c>
      <c r="S58" s="174">
        <f t="shared" si="7"/>
        <v>-1881.6713400000001</v>
      </c>
      <c r="T58" s="174">
        <f t="shared" si="8"/>
        <v>-6292.15</v>
      </c>
      <c r="U58" s="174">
        <f t="shared" si="10"/>
        <v>-3797.75</v>
      </c>
      <c r="V58" s="174">
        <f t="shared" si="9"/>
        <v>-3800</v>
      </c>
      <c r="W58" s="73"/>
      <c r="X58" s="73">
        <f t="shared" si="11"/>
        <v>-3047.4111242857143</v>
      </c>
      <c r="Y58" s="339">
        <f t="shared" si="12"/>
        <v>8.1211576811875434E-4</v>
      </c>
      <c r="Z58" s="73"/>
    </row>
    <row r="59" spans="1:26" x14ac:dyDescent="0.25">
      <c r="A59" s="30">
        <v>149</v>
      </c>
      <c r="B59" s="31" t="s">
        <v>373</v>
      </c>
      <c r="C59" s="41">
        <f>'7. Nettoinvestoinnit '!C59</f>
        <v>-1176</v>
      </c>
      <c r="D59" s="41">
        <f>'7. Nettoinvestoinnit '!D59</f>
        <v>-470</v>
      </c>
      <c r="E59" s="41">
        <f>'7. Nettoinvestoinnit '!E59</f>
        <v>-945</v>
      </c>
      <c r="F59" s="41">
        <f>'7. Nettoinvestoinnit '!F59</f>
        <v>-1962</v>
      </c>
      <c r="G59" s="41">
        <f>'7. Nettoinvestoinnit '!G59</f>
        <v>-1808</v>
      </c>
      <c r="H59" s="41">
        <f>'7. Nettoinvestoinnit '!H59</f>
        <v>-2241</v>
      </c>
      <c r="I59" s="41">
        <f>'7. Nettoinvestoinnit '!I59</f>
        <v>-4825.1185400000004</v>
      </c>
      <c r="J59" s="73">
        <v>-10670.925880000001</v>
      </c>
      <c r="K59" s="41">
        <v>-11508.896070000001</v>
      </c>
      <c r="L59" s="41">
        <v>-4045</v>
      </c>
      <c r="M59" s="41">
        <v>-6320</v>
      </c>
      <c r="N59" s="41">
        <v>-5200</v>
      </c>
      <c r="O59" s="174"/>
      <c r="P59" s="174">
        <f t="shared" si="4"/>
        <v>-2241</v>
      </c>
      <c r="Q59" s="174">
        <f t="shared" si="5"/>
        <v>-4825.1185400000004</v>
      </c>
      <c r="R59" s="174">
        <f t="shared" si="6"/>
        <v>-10670.925880000001</v>
      </c>
      <c r="S59" s="174">
        <f t="shared" si="7"/>
        <v>-11508.896070000001</v>
      </c>
      <c r="T59" s="174">
        <f t="shared" si="8"/>
        <v>-4045</v>
      </c>
      <c r="U59" s="174">
        <f t="shared" si="10"/>
        <v>-6320</v>
      </c>
      <c r="V59" s="174">
        <f t="shared" si="9"/>
        <v>-5200</v>
      </c>
      <c r="W59" s="73"/>
      <c r="X59" s="73">
        <f t="shared" si="11"/>
        <v>-6401.562927142857</v>
      </c>
      <c r="Y59" s="339">
        <f t="shared" si="12"/>
        <v>1.7059759847650082E-3</v>
      </c>
      <c r="Z59" s="73"/>
    </row>
    <row r="60" spans="1:26" x14ac:dyDescent="0.25">
      <c r="A60" s="30">
        <v>151</v>
      </c>
      <c r="B60" s="31" t="s">
        <v>374</v>
      </c>
      <c r="C60" s="41">
        <f>'7. Nettoinvestoinnit '!C60</f>
        <v>-91</v>
      </c>
      <c r="D60" s="41">
        <f>'7. Nettoinvestoinnit '!D60</f>
        <v>-347</v>
      </c>
      <c r="E60" s="41">
        <f>'7. Nettoinvestoinnit '!E60</f>
        <v>-226</v>
      </c>
      <c r="F60" s="41">
        <f>'7. Nettoinvestoinnit '!F60</f>
        <v>-96</v>
      </c>
      <c r="G60" s="41">
        <f>'7. Nettoinvestoinnit '!G60</f>
        <v>-283</v>
      </c>
      <c r="H60" s="41">
        <f>'7. Nettoinvestoinnit '!H60</f>
        <v>-407</v>
      </c>
      <c r="I60" s="41">
        <f>'7. Nettoinvestoinnit '!I60</f>
        <v>-553.40531999999996</v>
      </c>
      <c r="J60" s="73">
        <v>-389.40232000000003</v>
      </c>
      <c r="K60" s="41">
        <v>-229.18812</v>
      </c>
      <c r="L60" s="41">
        <v>-653.5</v>
      </c>
      <c r="M60" s="41">
        <v>-676</v>
      </c>
      <c r="N60" s="41">
        <v>-373</v>
      </c>
      <c r="O60" s="174"/>
      <c r="P60" s="174">
        <f t="shared" si="4"/>
        <v>-407</v>
      </c>
      <c r="Q60" s="174">
        <f t="shared" si="5"/>
        <v>-553.40531999999996</v>
      </c>
      <c r="R60" s="174">
        <f t="shared" si="6"/>
        <v>-389.40232000000003</v>
      </c>
      <c r="S60" s="174">
        <f t="shared" si="7"/>
        <v>-229.18812</v>
      </c>
      <c r="T60" s="174">
        <f t="shared" si="8"/>
        <v>-653.5</v>
      </c>
      <c r="U60" s="174">
        <f t="shared" si="10"/>
        <v>-676</v>
      </c>
      <c r="V60" s="174">
        <f t="shared" si="9"/>
        <v>-373</v>
      </c>
      <c r="W60" s="73"/>
      <c r="X60" s="73">
        <f t="shared" si="11"/>
        <v>-468.78510857142857</v>
      </c>
      <c r="Y60" s="339">
        <f t="shared" si="12"/>
        <v>1.2492826304142136E-4</v>
      </c>
      <c r="Z60" s="73"/>
    </row>
    <row r="61" spans="1:26" x14ac:dyDescent="0.25">
      <c r="A61" s="30">
        <v>152</v>
      </c>
      <c r="B61" s="31" t="s">
        <v>375</v>
      </c>
      <c r="C61" s="41">
        <f>'7. Nettoinvestoinnit '!C61</f>
        <v>-656</v>
      </c>
      <c r="D61" s="41">
        <f>'7. Nettoinvestoinnit '!D61</f>
        <v>-1057</v>
      </c>
      <c r="E61" s="41">
        <f>'7. Nettoinvestoinnit '!E61</f>
        <v>-2068</v>
      </c>
      <c r="F61" s="41">
        <f>'7. Nettoinvestoinnit '!F61</f>
        <v>-1712</v>
      </c>
      <c r="G61" s="41">
        <f>'7. Nettoinvestoinnit '!G61</f>
        <v>-4897</v>
      </c>
      <c r="H61" s="41">
        <f>'7. Nettoinvestoinnit '!H61</f>
        <v>-1808</v>
      </c>
      <c r="I61" s="41">
        <f>'7. Nettoinvestoinnit '!I61</f>
        <v>-1686.84529</v>
      </c>
      <c r="J61" s="73">
        <v>-2848.60257</v>
      </c>
      <c r="K61" s="41">
        <v>-2600.79133</v>
      </c>
      <c r="L61" s="41">
        <v>-2248</v>
      </c>
      <c r="M61" s="41">
        <v>-3476</v>
      </c>
      <c r="N61" s="41">
        <v>-3033</v>
      </c>
      <c r="O61" s="174"/>
      <c r="P61" s="174">
        <f t="shared" si="4"/>
        <v>-1808</v>
      </c>
      <c r="Q61" s="174">
        <f t="shared" si="5"/>
        <v>-1686.84529</v>
      </c>
      <c r="R61" s="174">
        <f t="shared" si="6"/>
        <v>-2848.60257</v>
      </c>
      <c r="S61" s="174">
        <f t="shared" si="7"/>
        <v>-2600.79133</v>
      </c>
      <c r="T61" s="174">
        <f t="shared" si="8"/>
        <v>-2248</v>
      </c>
      <c r="U61" s="174">
        <f t="shared" si="10"/>
        <v>-3476</v>
      </c>
      <c r="V61" s="174">
        <f t="shared" si="9"/>
        <v>-3033</v>
      </c>
      <c r="W61" s="73"/>
      <c r="X61" s="73">
        <f t="shared" si="11"/>
        <v>-2528.7484557142857</v>
      </c>
      <c r="Y61" s="339">
        <f t="shared" si="12"/>
        <v>6.7389545116688996E-4</v>
      </c>
      <c r="Z61" s="73"/>
    </row>
    <row r="62" spans="1:26" x14ac:dyDescent="0.25">
      <c r="A62" s="30">
        <v>153</v>
      </c>
      <c r="B62" s="31" t="s">
        <v>376</v>
      </c>
      <c r="C62" s="41">
        <f>'7. Nettoinvestoinnit '!C62</f>
        <v>-20013</v>
      </c>
      <c r="D62" s="41">
        <f>'7. Nettoinvestoinnit '!D62</f>
        <v>-8159</v>
      </c>
      <c r="E62" s="41">
        <f>'7. Nettoinvestoinnit '!E62</f>
        <v>-2738</v>
      </c>
      <c r="F62" s="41">
        <f>'7. Nettoinvestoinnit '!F62</f>
        <v>-19414</v>
      </c>
      <c r="G62" s="41">
        <f>'7. Nettoinvestoinnit '!G62</f>
        <v>-29304</v>
      </c>
      <c r="H62" s="41">
        <f>'7. Nettoinvestoinnit '!H62</f>
        <v>-28909</v>
      </c>
      <c r="I62" s="41">
        <f>'7. Nettoinvestoinnit '!I62</f>
        <v>-20952.310329999997</v>
      </c>
      <c r="J62" s="73">
        <v>-18345.540780000003</v>
      </c>
      <c r="K62" s="41">
        <v>-17543.200519999999</v>
      </c>
      <c r="L62" s="41">
        <v>-9355.0529999999999</v>
      </c>
      <c r="M62" s="41">
        <v>-21466</v>
      </c>
      <c r="N62" s="41">
        <v>-18628</v>
      </c>
      <c r="O62" s="174"/>
      <c r="P62" s="174">
        <f t="shared" si="4"/>
        <v>-28909</v>
      </c>
      <c r="Q62" s="174">
        <f t="shared" si="5"/>
        <v>-20952.310329999997</v>
      </c>
      <c r="R62" s="174">
        <f t="shared" si="6"/>
        <v>-18345.540780000003</v>
      </c>
      <c r="S62" s="174">
        <f t="shared" si="7"/>
        <v>-17543.200519999999</v>
      </c>
      <c r="T62" s="174">
        <f t="shared" si="8"/>
        <v>-9355.0529999999999</v>
      </c>
      <c r="U62" s="174">
        <f t="shared" si="10"/>
        <v>-21466</v>
      </c>
      <c r="V62" s="174">
        <f t="shared" si="9"/>
        <v>-18628</v>
      </c>
      <c r="W62" s="73"/>
      <c r="X62" s="73">
        <f t="shared" si="11"/>
        <v>-19314.157804285711</v>
      </c>
      <c r="Y62" s="339">
        <f t="shared" si="12"/>
        <v>5.1471007557179621E-3</v>
      </c>
      <c r="Z62" s="73"/>
    </row>
    <row r="63" spans="1:26" x14ac:dyDescent="0.25">
      <c r="A63" s="30">
        <v>165</v>
      </c>
      <c r="B63" s="31" t="s">
        <v>377</v>
      </c>
      <c r="C63" s="41">
        <f>'7. Nettoinvestoinnit '!C63</f>
        <v>-6492</v>
      </c>
      <c r="D63" s="41">
        <f>'7. Nettoinvestoinnit '!D63</f>
        <v>-6326</v>
      </c>
      <c r="E63" s="41">
        <f>'7. Nettoinvestoinnit '!E63</f>
        <v>-4206</v>
      </c>
      <c r="F63" s="41">
        <f>'7. Nettoinvestoinnit '!F63</f>
        <v>-6065</v>
      </c>
      <c r="G63" s="41">
        <f>'7. Nettoinvestoinnit '!G63</f>
        <v>-6937</v>
      </c>
      <c r="H63" s="41">
        <f>'7. Nettoinvestoinnit '!H63</f>
        <v>-10838</v>
      </c>
      <c r="I63" s="41">
        <f>'7. Nettoinvestoinnit '!I63</f>
        <v>-5306.6217800000004</v>
      </c>
      <c r="J63" s="73">
        <v>-4460.0067300000001</v>
      </c>
      <c r="K63" s="41">
        <v>-9747.4328399999995</v>
      </c>
      <c r="L63" s="41">
        <v>-16534</v>
      </c>
      <c r="M63" s="41">
        <v>-11065</v>
      </c>
      <c r="N63" s="41">
        <v>-8101</v>
      </c>
      <c r="O63" s="174"/>
      <c r="P63" s="174">
        <f t="shared" si="4"/>
        <v>-10838</v>
      </c>
      <c r="Q63" s="174">
        <f t="shared" si="5"/>
        <v>-5306.6217800000004</v>
      </c>
      <c r="R63" s="174">
        <f t="shared" si="6"/>
        <v>-4460.0067300000001</v>
      </c>
      <c r="S63" s="174">
        <f t="shared" si="7"/>
        <v>-9747.4328399999995</v>
      </c>
      <c r="T63" s="174">
        <f t="shared" si="8"/>
        <v>-16534</v>
      </c>
      <c r="U63" s="174">
        <f t="shared" si="10"/>
        <v>-11065</v>
      </c>
      <c r="V63" s="174">
        <f t="shared" si="9"/>
        <v>-8101</v>
      </c>
      <c r="W63" s="73"/>
      <c r="X63" s="73">
        <f t="shared" si="11"/>
        <v>-9436.0087642857143</v>
      </c>
      <c r="Y63" s="339">
        <f t="shared" si="12"/>
        <v>2.5146365859576494E-3</v>
      </c>
      <c r="Z63" s="73"/>
    </row>
    <row r="64" spans="1:26" x14ac:dyDescent="0.25">
      <c r="A64" s="30">
        <v>167</v>
      </c>
      <c r="B64" s="31" t="s">
        <v>378</v>
      </c>
      <c r="C64" s="41">
        <f>'7. Nettoinvestoinnit '!C64</f>
        <v>-46269</v>
      </c>
      <c r="D64" s="41">
        <f>'7. Nettoinvestoinnit '!D64</f>
        <v>-47096</v>
      </c>
      <c r="E64" s="41">
        <f>'7. Nettoinvestoinnit '!E64</f>
        <v>-36936</v>
      </c>
      <c r="F64" s="41">
        <f>'7. Nettoinvestoinnit '!F64</f>
        <v>-33355</v>
      </c>
      <c r="G64" s="41">
        <f>'7. Nettoinvestoinnit '!G64</f>
        <v>-44742</v>
      </c>
      <c r="H64" s="41">
        <f>'7. Nettoinvestoinnit '!H64</f>
        <v>-40065</v>
      </c>
      <c r="I64" s="41">
        <f>'7. Nettoinvestoinnit '!I64</f>
        <v>-31276.649960000002</v>
      </c>
      <c r="J64" s="73">
        <v>-36978.24912</v>
      </c>
      <c r="K64" s="41">
        <v>-47367.525390000003</v>
      </c>
      <c r="L64" s="41">
        <v>-51837</v>
      </c>
      <c r="M64" s="41">
        <v>-30052</v>
      </c>
      <c r="N64" s="41">
        <v>-35983</v>
      </c>
      <c r="O64" s="174"/>
      <c r="P64" s="174">
        <f t="shared" si="4"/>
        <v>-40065</v>
      </c>
      <c r="Q64" s="174">
        <f t="shared" si="5"/>
        <v>-31276.649960000002</v>
      </c>
      <c r="R64" s="174">
        <f t="shared" si="6"/>
        <v>-36978.24912</v>
      </c>
      <c r="S64" s="174">
        <f t="shared" si="7"/>
        <v>-47367.525390000003</v>
      </c>
      <c r="T64" s="174">
        <f t="shared" si="8"/>
        <v>-51837</v>
      </c>
      <c r="U64" s="174">
        <f t="shared" si="10"/>
        <v>-30052</v>
      </c>
      <c r="V64" s="174">
        <f t="shared" si="9"/>
        <v>-35983</v>
      </c>
      <c r="W64" s="73"/>
      <c r="X64" s="73">
        <f t="shared" si="11"/>
        <v>-39079.917781428565</v>
      </c>
      <c r="Y64" s="339">
        <f t="shared" si="12"/>
        <v>1.0414550630913507E-2</v>
      </c>
      <c r="Z64" s="73"/>
    </row>
    <row r="65" spans="1:26" x14ac:dyDescent="0.25">
      <c r="A65" s="30">
        <v>169</v>
      </c>
      <c r="B65" s="31" t="s">
        <v>379</v>
      </c>
      <c r="C65" s="41">
        <f>'7. Nettoinvestoinnit '!C65</f>
        <v>-3383</v>
      </c>
      <c r="D65" s="41">
        <f>'7. Nettoinvestoinnit '!D65</f>
        <v>-1168</v>
      </c>
      <c r="E65" s="41">
        <f>'7. Nettoinvestoinnit '!E65</f>
        <v>-676</v>
      </c>
      <c r="F65" s="41">
        <f>'7. Nettoinvestoinnit '!F65</f>
        <v>-532</v>
      </c>
      <c r="G65" s="41">
        <f>'7. Nettoinvestoinnit '!G65</f>
        <v>-922</v>
      </c>
      <c r="H65" s="41">
        <f>'7. Nettoinvestoinnit '!H65</f>
        <v>-797</v>
      </c>
      <c r="I65" s="41">
        <f>'7. Nettoinvestoinnit '!I65</f>
        <v>-1030.3579</v>
      </c>
      <c r="J65" s="73">
        <v>-1945.02773</v>
      </c>
      <c r="K65" s="41">
        <v>-1045.21577</v>
      </c>
      <c r="L65" s="41">
        <v>-1592.4</v>
      </c>
      <c r="M65" s="41">
        <v>-967</v>
      </c>
      <c r="N65" s="41">
        <v>-2041</v>
      </c>
      <c r="O65" s="174"/>
      <c r="P65" s="174">
        <f t="shared" si="4"/>
        <v>-797</v>
      </c>
      <c r="Q65" s="174">
        <f t="shared" si="5"/>
        <v>-1030.3579</v>
      </c>
      <c r="R65" s="174">
        <f t="shared" si="6"/>
        <v>-1945.02773</v>
      </c>
      <c r="S65" s="174">
        <f t="shared" si="7"/>
        <v>-1045.21577</v>
      </c>
      <c r="T65" s="174">
        <f t="shared" si="8"/>
        <v>-1592.4</v>
      </c>
      <c r="U65" s="174">
        <f t="shared" si="10"/>
        <v>-967</v>
      </c>
      <c r="V65" s="174">
        <f t="shared" si="9"/>
        <v>-2041</v>
      </c>
      <c r="W65" s="73"/>
      <c r="X65" s="73">
        <f t="shared" si="11"/>
        <v>-1345.4287714285713</v>
      </c>
      <c r="Y65" s="339">
        <f t="shared" si="12"/>
        <v>3.5854824819998382E-4</v>
      </c>
      <c r="Z65" s="73"/>
    </row>
    <row r="66" spans="1:26" x14ac:dyDescent="0.25">
      <c r="A66" s="30">
        <v>171</v>
      </c>
      <c r="B66" s="31" t="s">
        <v>380</v>
      </c>
      <c r="C66" s="41">
        <f>'7. Nettoinvestoinnit '!C66</f>
        <v>-1220</v>
      </c>
      <c r="D66" s="41">
        <f>'7. Nettoinvestoinnit '!D66</f>
        <v>-1165</v>
      </c>
      <c r="E66" s="41">
        <f>'7. Nettoinvestoinnit '!E66</f>
        <v>-1452</v>
      </c>
      <c r="F66" s="41">
        <f>'7. Nettoinvestoinnit '!F66</f>
        <v>-5674</v>
      </c>
      <c r="G66" s="41">
        <f>'7. Nettoinvestoinnit '!G66</f>
        <v>-5221</v>
      </c>
      <c r="H66" s="41">
        <f>'7. Nettoinvestoinnit '!H66</f>
        <v>-768</v>
      </c>
      <c r="I66" s="41">
        <f>'7. Nettoinvestoinnit '!I66</f>
        <v>-915.45465999999999</v>
      </c>
      <c r="J66" s="73">
        <v>-1579.4310399999999</v>
      </c>
      <c r="K66" s="41">
        <v>-844.47004000000004</v>
      </c>
      <c r="L66" s="41">
        <v>-2328.5</v>
      </c>
      <c r="M66" s="41">
        <v>-640</v>
      </c>
      <c r="N66" s="41">
        <v>-320</v>
      </c>
      <c r="O66" s="174"/>
      <c r="P66" s="174">
        <f t="shared" si="4"/>
        <v>-768</v>
      </c>
      <c r="Q66" s="174">
        <f t="shared" si="5"/>
        <v>-915.45465999999999</v>
      </c>
      <c r="R66" s="174">
        <f t="shared" si="6"/>
        <v>-1579.4310399999999</v>
      </c>
      <c r="S66" s="174">
        <f t="shared" si="7"/>
        <v>-844.47004000000004</v>
      </c>
      <c r="T66" s="174">
        <f t="shared" si="8"/>
        <v>-2328.5</v>
      </c>
      <c r="U66" s="174">
        <f t="shared" si="10"/>
        <v>-640</v>
      </c>
      <c r="V66" s="174">
        <f t="shared" si="9"/>
        <v>-320</v>
      </c>
      <c r="W66" s="73"/>
      <c r="X66" s="73">
        <f t="shared" si="11"/>
        <v>-1056.5508199999999</v>
      </c>
      <c r="Y66" s="339">
        <f t="shared" si="12"/>
        <v>2.8156410334753137E-4</v>
      </c>
      <c r="Z66" s="73"/>
    </row>
    <row r="67" spans="1:26" x14ac:dyDescent="0.25">
      <c r="A67" s="30">
        <v>172</v>
      </c>
      <c r="B67" s="31" t="s">
        <v>381</v>
      </c>
      <c r="C67" s="41">
        <f>'7. Nettoinvestoinnit '!C67</f>
        <v>-387</v>
      </c>
      <c r="D67" s="41">
        <f>'7. Nettoinvestoinnit '!D67</f>
        <v>-892</v>
      </c>
      <c r="E67" s="41">
        <f>'7. Nettoinvestoinnit '!E67</f>
        <v>-2076</v>
      </c>
      <c r="F67" s="41">
        <f>'7. Nettoinvestoinnit '!F67</f>
        <v>-642</v>
      </c>
      <c r="G67" s="41">
        <f>'7. Nettoinvestoinnit '!G67</f>
        <v>-1896</v>
      </c>
      <c r="H67" s="41">
        <f>'7. Nettoinvestoinnit '!H67</f>
        <v>-4181</v>
      </c>
      <c r="I67" s="41">
        <f>'7. Nettoinvestoinnit '!I67</f>
        <v>-2296.41941</v>
      </c>
      <c r="J67" s="73">
        <v>-2858.85718</v>
      </c>
      <c r="K67" s="41">
        <v>-786.14743999999996</v>
      </c>
      <c r="L67" s="41">
        <v>-3190</v>
      </c>
      <c r="M67" s="41">
        <v>-2020</v>
      </c>
      <c r="N67" s="41">
        <v>-1370</v>
      </c>
      <c r="O67" s="174"/>
      <c r="P67" s="174">
        <f t="shared" si="4"/>
        <v>-4181</v>
      </c>
      <c r="Q67" s="174">
        <f t="shared" si="5"/>
        <v>-2296.41941</v>
      </c>
      <c r="R67" s="174">
        <f t="shared" si="6"/>
        <v>-2858.85718</v>
      </c>
      <c r="S67" s="174">
        <f t="shared" si="7"/>
        <v>-786.14743999999996</v>
      </c>
      <c r="T67" s="174">
        <f t="shared" si="8"/>
        <v>-3190</v>
      </c>
      <c r="U67" s="174">
        <f t="shared" si="10"/>
        <v>-2020</v>
      </c>
      <c r="V67" s="174">
        <f t="shared" si="9"/>
        <v>-1370</v>
      </c>
      <c r="W67" s="73"/>
      <c r="X67" s="73">
        <f t="shared" si="11"/>
        <v>-2386.0605757142862</v>
      </c>
      <c r="Y67" s="339">
        <f t="shared" si="12"/>
        <v>6.3587003466041275E-4</v>
      </c>
      <c r="Z67" s="73"/>
    </row>
    <row r="68" spans="1:26" x14ac:dyDescent="0.25">
      <c r="A68" s="30">
        <v>176</v>
      </c>
      <c r="B68" s="31" t="s">
        <v>382</v>
      </c>
      <c r="C68" s="41">
        <f>'7. Nettoinvestoinnit '!C68</f>
        <v>-4089</v>
      </c>
      <c r="D68" s="41">
        <f>'7. Nettoinvestoinnit '!D68</f>
        <v>-1279</v>
      </c>
      <c r="E68" s="41">
        <f>'7. Nettoinvestoinnit '!E68</f>
        <v>-404</v>
      </c>
      <c r="F68" s="41">
        <f>'7. Nettoinvestoinnit '!F68</f>
        <v>-1150</v>
      </c>
      <c r="G68" s="41">
        <f>'7. Nettoinvestoinnit '!G68</f>
        <v>-1686</v>
      </c>
      <c r="H68" s="41">
        <f>'7. Nettoinvestoinnit '!H68</f>
        <v>-5257</v>
      </c>
      <c r="I68" s="41">
        <f>'7. Nettoinvestoinnit '!I68</f>
        <v>-7201.4327199999998</v>
      </c>
      <c r="J68" s="73">
        <v>-1212.45596</v>
      </c>
      <c r="K68" s="41">
        <v>-540.25466000000006</v>
      </c>
      <c r="L68" s="41">
        <v>-879</v>
      </c>
      <c r="M68" s="41">
        <v>-560</v>
      </c>
      <c r="N68" s="41">
        <v>-720</v>
      </c>
      <c r="O68" s="174"/>
      <c r="P68" s="174">
        <f t="shared" si="4"/>
        <v>-5257</v>
      </c>
      <c r="Q68" s="174">
        <f t="shared" si="5"/>
        <v>-7201.4327199999998</v>
      </c>
      <c r="R68" s="174">
        <f t="shared" si="6"/>
        <v>-1212.45596</v>
      </c>
      <c r="S68" s="174">
        <f t="shared" si="7"/>
        <v>-540.25466000000006</v>
      </c>
      <c r="T68" s="174">
        <f t="shared" si="8"/>
        <v>-879</v>
      </c>
      <c r="U68" s="174">
        <f t="shared" si="10"/>
        <v>-560</v>
      </c>
      <c r="V68" s="174">
        <f t="shared" si="9"/>
        <v>-720</v>
      </c>
      <c r="W68" s="73"/>
      <c r="X68" s="73">
        <f t="shared" si="11"/>
        <v>-2338.591905714286</v>
      </c>
      <c r="Y68" s="339">
        <f t="shared" si="12"/>
        <v>6.232199346816442E-4</v>
      </c>
      <c r="Z68" s="73"/>
    </row>
    <row r="69" spans="1:26" x14ac:dyDescent="0.25">
      <c r="A69" s="30">
        <v>177</v>
      </c>
      <c r="B69" s="31" t="s">
        <v>383</v>
      </c>
      <c r="C69" s="41">
        <f>'7. Nettoinvestoinnit '!C69</f>
        <v>-371</v>
      </c>
      <c r="D69" s="41">
        <f>'7. Nettoinvestoinnit '!D69</f>
        <v>-474</v>
      </c>
      <c r="E69" s="41">
        <f>'7. Nettoinvestoinnit '!E69</f>
        <v>-750</v>
      </c>
      <c r="F69" s="41">
        <f>'7. Nettoinvestoinnit '!F69</f>
        <v>-339</v>
      </c>
      <c r="G69" s="41">
        <f>'7. Nettoinvestoinnit '!G69</f>
        <v>-711</v>
      </c>
      <c r="H69" s="41">
        <f>'7. Nettoinvestoinnit '!H69</f>
        <v>-193</v>
      </c>
      <c r="I69" s="41">
        <f>'7. Nettoinvestoinnit '!I69</f>
        <v>-374.39107999999999</v>
      </c>
      <c r="J69" s="73">
        <v>-198.56062</v>
      </c>
      <c r="K69" s="41">
        <v>-236.00807999999998</v>
      </c>
      <c r="L69" s="41">
        <v>-293</v>
      </c>
      <c r="M69" s="41">
        <v>-340</v>
      </c>
      <c r="N69" s="41">
        <v>-340</v>
      </c>
      <c r="O69" s="174"/>
      <c r="P69" s="174">
        <f t="shared" si="4"/>
        <v>-193</v>
      </c>
      <c r="Q69" s="174">
        <f t="shared" si="5"/>
        <v>-374.39107999999999</v>
      </c>
      <c r="R69" s="174">
        <f t="shared" si="6"/>
        <v>-198.56062</v>
      </c>
      <c r="S69" s="174">
        <f t="shared" si="7"/>
        <v>-236.00807999999998</v>
      </c>
      <c r="T69" s="174">
        <f t="shared" si="8"/>
        <v>-293</v>
      </c>
      <c r="U69" s="174">
        <f t="shared" si="10"/>
        <v>-340</v>
      </c>
      <c r="V69" s="174">
        <f t="shared" si="9"/>
        <v>-340</v>
      </c>
      <c r="W69" s="73"/>
      <c r="X69" s="73">
        <f t="shared" si="11"/>
        <v>-282.13711142857142</v>
      </c>
      <c r="Y69" s="339">
        <f t="shared" si="12"/>
        <v>7.5187753676106439E-5</v>
      </c>
      <c r="Z69" s="73"/>
    </row>
    <row r="70" spans="1:26" x14ac:dyDescent="0.25">
      <c r="A70" s="30">
        <v>178</v>
      </c>
      <c r="B70" s="31" t="s">
        <v>384</v>
      </c>
      <c r="C70" s="41">
        <f>'7. Nettoinvestoinnit '!C70</f>
        <v>-3305</v>
      </c>
      <c r="D70" s="41">
        <f>'7. Nettoinvestoinnit '!D70</f>
        <v>-2703</v>
      </c>
      <c r="E70" s="41">
        <f>'7. Nettoinvestoinnit '!E70</f>
        <v>-3155</v>
      </c>
      <c r="F70" s="41">
        <f>'7. Nettoinvestoinnit '!F70</f>
        <v>-3838</v>
      </c>
      <c r="G70" s="41">
        <f>'7. Nettoinvestoinnit '!G70</f>
        <v>-2848</v>
      </c>
      <c r="H70" s="41">
        <f>'7. Nettoinvestoinnit '!H70</f>
        <v>-3711</v>
      </c>
      <c r="I70" s="41">
        <f>'7. Nettoinvestoinnit '!I70</f>
        <v>-2217.8260599999999</v>
      </c>
      <c r="J70" s="73">
        <v>-1404.95778</v>
      </c>
      <c r="K70" s="41">
        <v>-1480.9571000000001</v>
      </c>
      <c r="L70" s="41">
        <v>-4654.7650000000003</v>
      </c>
      <c r="M70" s="41">
        <v>-4367</v>
      </c>
      <c r="N70" s="41">
        <v>-990</v>
      </c>
      <c r="O70" s="174"/>
      <c r="P70" s="174">
        <f t="shared" si="4"/>
        <v>-3711</v>
      </c>
      <c r="Q70" s="174">
        <f t="shared" si="5"/>
        <v>-2217.8260599999999</v>
      </c>
      <c r="R70" s="174">
        <f t="shared" si="6"/>
        <v>-1404.95778</v>
      </c>
      <c r="S70" s="174">
        <f t="shared" si="7"/>
        <v>-1480.9571000000001</v>
      </c>
      <c r="T70" s="174">
        <f t="shared" si="8"/>
        <v>-4654.7650000000003</v>
      </c>
      <c r="U70" s="174">
        <f t="shared" si="10"/>
        <v>-4367</v>
      </c>
      <c r="V70" s="174">
        <f t="shared" si="9"/>
        <v>-990</v>
      </c>
      <c r="W70" s="73"/>
      <c r="X70" s="73">
        <f t="shared" si="11"/>
        <v>-2689.5008485714284</v>
      </c>
      <c r="Y70" s="339">
        <f t="shared" si="12"/>
        <v>7.1673494596354492E-4</v>
      </c>
      <c r="Z70" s="73"/>
    </row>
    <row r="71" spans="1:26" x14ac:dyDescent="0.25">
      <c r="A71" s="30">
        <v>179</v>
      </c>
      <c r="B71" s="31" t="s">
        <v>385</v>
      </c>
      <c r="C71" s="41">
        <f>'7. Nettoinvestoinnit '!C71</f>
        <v>-90074</v>
      </c>
      <c r="D71" s="41">
        <f>'7. Nettoinvestoinnit '!D71</f>
        <v>-24892</v>
      </c>
      <c r="E71" s="41">
        <f>'7. Nettoinvestoinnit '!E71</f>
        <v>-27922</v>
      </c>
      <c r="F71" s="41">
        <f>'7. Nettoinvestoinnit '!F71</f>
        <v>-47409</v>
      </c>
      <c r="G71" s="41">
        <f>'7. Nettoinvestoinnit '!G71</f>
        <v>-55153</v>
      </c>
      <c r="H71" s="41">
        <f>'7. Nettoinvestoinnit '!H71</f>
        <v>-54099</v>
      </c>
      <c r="I71" s="41">
        <f>'7. Nettoinvestoinnit '!I71</f>
        <v>37845.69371</v>
      </c>
      <c r="J71" s="73">
        <v>16903.147550000002</v>
      </c>
      <c r="K71" s="41">
        <v>-64801.004689999994</v>
      </c>
      <c r="L71" s="41">
        <v>-85500.7</v>
      </c>
      <c r="M71" s="41">
        <v>-85539.6</v>
      </c>
      <c r="N71" s="41">
        <v>-67248.2</v>
      </c>
      <c r="O71" s="174"/>
      <c r="P71" s="174">
        <f t="shared" si="4"/>
        <v>-54099</v>
      </c>
      <c r="Q71" s="174">
        <f t="shared" si="5"/>
        <v>-54099</v>
      </c>
      <c r="R71" s="174">
        <f t="shared" si="6"/>
        <v>37845.69371</v>
      </c>
      <c r="S71" s="174">
        <f t="shared" si="7"/>
        <v>-64801.004689999994</v>
      </c>
      <c r="T71" s="174">
        <f t="shared" si="8"/>
        <v>-85500.7</v>
      </c>
      <c r="U71" s="174">
        <f t="shared" si="10"/>
        <v>-85539.6</v>
      </c>
      <c r="V71" s="174">
        <f t="shared" si="9"/>
        <v>-67248.2</v>
      </c>
      <c r="W71" s="73"/>
      <c r="X71" s="73">
        <f t="shared" si="11"/>
        <v>-53348.830139999998</v>
      </c>
      <c r="Y71" s="339">
        <f t="shared" si="12"/>
        <v>1.4217125422333075E-2</v>
      </c>
      <c r="Z71" s="73"/>
    </row>
    <row r="72" spans="1:26" x14ac:dyDescent="0.25">
      <c r="A72" s="30">
        <v>181</v>
      </c>
      <c r="B72" s="31" t="s">
        <v>386</v>
      </c>
      <c r="C72" s="41">
        <f>'7. Nettoinvestoinnit '!C72</f>
        <v>-359</v>
      </c>
      <c r="D72" s="41">
        <f>'7. Nettoinvestoinnit '!D72</f>
        <v>-318</v>
      </c>
      <c r="E72" s="41">
        <f>'7. Nettoinvestoinnit '!E72</f>
        <v>-142</v>
      </c>
      <c r="F72" s="41">
        <f>'7. Nettoinvestoinnit '!F72</f>
        <v>268</v>
      </c>
      <c r="G72" s="41">
        <f>'7. Nettoinvestoinnit '!G72</f>
        <v>386</v>
      </c>
      <c r="H72" s="41">
        <f>'7. Nettoinvestoinnit '!H72</f>
        <v>-230</v>
      </c>
      <c r="I72" s="41">
        <f>'7. Nettoinvestoinnit '!I72</f>
        <v>-5156.1599800000004</v>
      </c>
      <c r="J72" s="73">
        <v>-4907.3681699999997</v>
      </c>
      <c r="K72" s="41">
        <v>20.329459999999997</v>
      </c>
      <c r="L72" s="41">
        <v>-465</v>
      </c>
      <c r="M72" s="41">
        <v>-168</v>
      </c>
      <c r="N72" s="41">
        <v>-148</v>
      </c>
      <c r="O72" s="174"/>
      <c r="P72" s="174">
        <f t="shared" si="4"/>
        <v>-230</v>
      </c>
      <c r="Q72" s="174">
        <f t="shared" si="5"/>
        <v>-5156.1599800000004</v>
      </c>
      <c r="R72" s="174">
        <f t="shared" si="6"/>
        <v>-4907.3681699999997</v>
      </c>
      <c r="S72" s="174">
        <f t="shared" si="7"/>
        <v>-4907.3681699999997</v>
      </c>
      <c r="T72" s="174">
        <f t="shared" si="8"/>
        <v>-465</v>
      </c>
      <c r="U72" s="174">
        <f t="shared" si="10"/>
        <v>-168</v>
      </c>
      <c r="V72" s="174">
        <f t="shared" si="9"/>
        <v>-148</v>
      </c>
      <c r="W72" s="73"/>
      <c r="X72" s="73">
        <f t="shared" si="11"/>
        <v>-2283.1280457142857</v>
      </c>
      <c r="Y72" s="339">
        <f t="shared" si="12"/>
        <v>6.0843916719419567E-4</v>
      </c>
      <c r="Z72" s="73"/>
    </row>
    <row r="73" spans="1:26" x14ac:dyDescent="0.25">
      <c r="A73" s="30">
        <v>182</v>
      </c>
      <c r="B73" s="31" t="s">
        <v>387</v>
      </c>
      <c r="C73" s="41">
        <f>'7. Nettoinvestoinnit '!C73</f>
        <v>-7127</v>
      </c>
      <c r="D73" s="41">
        <f>'7. Nettoinvestoinnit '!D73</f>
        <v>-8741</v>
      </c>
      <c r="E73" s="41">
        <f>'7. Nettoinvestoinnit '!E73</f>
        <v>-7039</v>
      </c>
      <c r="F73" s="41">
        <f>'7. Nettoinvestoinnit '!F73</f>
        <v>-1531</v>
      </c>
      <c r="G73" s="41">
        <f>'7. Nettoinvestoinnit '!G73</f>
        <v>-7093</v>
      </c>
      <c r="H73" s="41">
        <f>'7. Nettoinvestoinnit '!H73</f>
        <v>-7620</v>
      </c>
      <c r="I73" s="41">
        <f>'7. Nettoinvestoinnit '!I73</f>
        <v>-6148.7092199999997</v>
      </c>
      <c r="J73" s="73">
        <v>-4017.4436600000004</v>
      </c>
      <c r="K73" s="41">
        <v>-1875.7083400000001</v>
      </c>
      <c r="L73" s="41">
        <v>-5787</v>
      </c>
      <c r="M73" s="41">
        <v>-8350</v>
      </c>
      <c r="N73" s="41">
        <v>-5068</v>
      </c>
      <c r="O73" s="174"/>
      <c r="P73" s="174">
        <f t="shared" si="4"/>
        <v>-7620</v>
      </c>
      <c r="Q73" s="174">
        <f t="shared" si="5"/>
        <v>-6148.7092199999997</v>
      </c>
      <c r="R73" s="174">
        <f t="shared" si="6"/>
        <v>-4017.4436600000004</v>
      </c>
      <c r="S73" s="174">
        <f t="shared" si="7"/>
        <v>-1875.7083400000001</v>
      </c>
      <c r="T73" s="174">
        <f t="shared" si="8"/>
        <v>-5787</v>
      </c>
      <c r="U73" s="174">
        <f t="shared" si="10"/>
        <v>-8350</v>
      </c>
      <c r="V73" s="174">
        <f t="shared" si="9"/>
        <v>-5068</v>
      </c>
      <c r="W73" s="73"/>
      <c r="X73" s="73">
        <f t="shared" si="11"/>
        <v>-5552.4087457142869</v>
      </c>
      <c r="Y73" s="339">
        <f t="shared" si="12"/>
        <v>1.4796817723410926E-3</v>
      </c>
      <c r="Z73" s="73"/>
    </row>
    <row r="74" spans="1:26" x14ac:dyDescent="0.25">
      <c r="A74" s="30">
        <v>186</v>
      </c>
      <c r="B74" s="31" t="s">
        <v>388</v>
      </c>
      <c r="C74" s="41">
        <f>'7. Nettoinvestoinnit '!C74</f>
        <v>-12719</v>
      </c>
      <c r="D74" s="41">
        <f>'7. Nettoinvestoinnit '!D74</f>
        <v>-11253</v>
      </c>
      <c r="E74" s="41">
        <f>'7. Nettoinvestoinnit '!E74</f>
        <v>-14971</v>
      </c>
      <c r="F74" s="41">
        <f>'7. Nettoinvestoinnit '!F74</f>
        <v>-55982</v>
      </c>
      <c r="G74" s="41">
        <f>'7. Nettoinvestoinnit '!G74</f>
        <v>-42695</v>
      </c>
      <c r="H74" s="41">
        <f>'7. Nettoinvestoinnit '!H74</f>
        <v>-26321</v>
      </c>
      <c r="I74" s="41">
        <f>'7. Nettoinvestoinnit '!I74</f>
        <v>-21190.692070000001</v>
      </c>
      <c r="J74" s="73">
        <v>-41194.878159999993</v>
      </c>
      <c r="K74" s="41">
        <v>-25155.88521</v>
      </c>
      <c r="L74" s="41">
        <v>-45169</v>
      </c>
      <c r="M74" s="41">
        <v>-33881</v>
      </c>
      <c r="N74" s="41">
        <v>-47024</v>
      </c>
      <c r="O74" s="174"/>
      <c r="P74" s="174">
        <f t="shared" si="4"/>
        <v>-26321</v>
      </c>
      <c r="Q74" s="174">
        <f t="shared" si="5"/>
        <v>-21190.692070000001</v>
      </c>
      <c r="R74" s="174">
        <f t="shared" si="6"/>
        <v>-41194.878159999993</v>
      </c>
      <c r="S74" s="174">
        <f t="shared" si="7"/>
        <v>-25155.88521</v>
      </c>
      <c r="T74" s="174">
        <f t="shared" si="8"/>
        <v>-45169</v>
      </c>
      <c r="U74" s="174">
        <f t="shared" si="10"/>
        <v>-33881</v>
      </c>
      <c r="V74" s="174">
        <f t="shared" si="9"/>
        <v>-47024</v>
      </c>
      <c r="W74" s="73"/>
      <c r="X74" s="73">
        <f t="shared" si="11"/>
        <v>-34276.636491428573</v>
      </c>
      <c r="Y74" s="339">
        <f t="shared" si="12"/>
        <v>9.1345065819724239E-3</v>
      </c>
      <c r="Z74" s="73"/>
    </row>
    <row r="75" spans="1:26" x14ac:dyDescent="0.25">
      <c r="A75" s="30">
        <v>202</v>
      </c>
      <c r="B75" s="31" t="s">
        <v>389</v>
      </c>
      <c r="C75" s="41">
        <f>'7. Nettoinvestoinnit '!C75</f>
        <v>-11202</v>
      </c>
      <c r="D75" s="41">
        <f>'7. Nettoinvestoinnit '!D75</f>
        <v>-9731</v>
      </c>
      <c r="E75" s="41">
        <f>'7. Nettoinvestoinnit '!E75</f>
        <v>-17863</v>
      </c>
      <c r="F75" s="41">
        <f>'7. Nettoinvestoinnit '!F75</f>
        <v>-12156</v>
      </c>
      <c r="G75" s="41">
        <f>'7. Nettoinvestoinnit '!G75</f>
        <v>-10215</v>
      </c>
      <c r="H75" s="41">
        <f>'7. Nettoinvestoinnit '!H75</f>
        <v>-15704</v>
      </c>
      <c r="I75" s="41">
        <f>'7. Nettoinvestoinnit '!I75</f>
        <v>-23694.614000000001</v>
      </c>
      <c r="J75" s="73">
        <v>-16845.08712</v>
      </c>
      <c r="K75" s="41">
        <v>-36763.13553</v>
      </c>
      <c r="L75" s="41">
        <v>-28120</v>
      </c>
      <c r="M75" s="41">
        <v>-11695</v>
      </c>
      <c r="N75" s="41">
        <v>-13350</v>
      </c>
      <c r="O75" s="174"/>
      <c r="P75" s="174">
        <f t="shared" si="4"/>
        <v>-15704</v>
      </c>
      <c r="Q75" s="174">
        <f t="shared" si="5"/>
        <v>-23694.614000000001</v>
      </c>
      <c r="R75" s="174">
        <f t="shared" si="6"/>
        <v>-16845.08712</v>
      </c>
      <c r="S75" s="174">
        <f t="shared" si="7"/>
        <v>-36763.13553</v>
      </c>
      <c r="T75" s="174">
        <f t="shared" si="8"/>
        <v>-28120</v>
      </c>
      <c r="U75" s="174">
        <f t="shared" si="10"/>
        <v>-11695</v>
      </c>
      <c r="V75" s="174">
        <f t="shared" si="9"/>
        <v>-13350</v>
      </c>
      <c r="W75" s="73"/>
      <c r="X75" s="73">
        <f t="shared" si="11"/>
        <v>-20881.69095</v>
      </c>
      <c r="Y75" s="339">
        <f t="shared" si="12"/>
        <v>5.5648384132786074E-3</v>
      </c>
      <c r="Z75" s="73"/>
    </row>
    <row r="76" spans="1:26" x14ac:dyDescent="0.25">
      <c r="A76" s="30">
        <v>204</v>
      </c>
      <c r="B76" s="31" t="s">
        <v>390</v>
      </c>
      <c r="C76" s="41">
        <f>'7. Nettoinvestoinnit '!C76</f>
        <v>-3284</v>
      </c>
      <c r="D76" s="41">
        <f>'7. Nettoinvestoinnit '!D76</f>
        <v>-3597</v>
      </c>
      <c r="E76" s="41">
        <f>'7. Nettoinvestoinnit '!E76</f>
        <v>-514</v>
      </c>
      <c r="F76" s="41">
        <f>'7. Nettoinvestoinnit '!F76</f>
        <v>478</v>
      </c>
      <c r="G76" s="41">
        <f>'7. Nettoinvestoinnit '!G76</f>
        <v>19</v>
      </c>
      <c r="H76" s="41">
        <f>'7. Nettoinvestoinnit '!H76</f>
        <v>-668</v>
      </c>
      <c r="I76" s="41">
        <f>'7. Nettoinvestoinnit '!I76</f>
        <v>-789.83937000000003</v>
      </c>
      <c r="J76" s="73">
        <v>-3595.2018399999997</v>
      </c>
      <c r="K76" s="41">
        <v>-917.63301000000001</v>
      </c>
      <c r="L76" s="41">
        <v>-530</v>
      </c>
      <c r="M76" s="41">
        <v>-1150</v>
      </c>
      <c r="N76" s="41">
        <v>-920</v>
      </c>
      <c r="O76" s="174"/>
      <c r="P76" s="174">
        <f t="shared" si="4"/>
        <v>-668</v>
      </c>
      <c r="Q76" s="174">
        <f t="shared" si="5"/>
        <v>-789.83937000000003</v>
      </c>
      <c r="R76" s="174">
        <f t="shared" si="6"/>
        <v>-3595.2018399999997</v>
      </c>
      <c r="S76" s="174">
        <f t="shared" si="7"/>
        <v>-917.63301000000001</v>
      </c>
      <c r="T76" s="174">
        <f t="shared" si="8"/>
        <v>-530</v>
      </c>
      <c r="U76" s="174">
        <f t="shared" si="10"/>
        <v>-1150</v>
      </c>
      <c r="V76" s="174">
        <f t="shared" si="9"/>
        <v>-920</v>
      </c>
      <c r="W76" s="174"/>
      <c r="X76" s="73">
        <f t="shared" si="11"/>
        <v>-1224.3820314285713</v>
      </c>
      <c r="Y76" s="339">
        <f t="shared" si="12"/>
        <v>3.262900584697049E-4</v>
      </c>
      <c r="Z76" s="174"/>
    </row>
    <row r="77" spans="1:26" x14ac:dyDescent="0.25">
      <c r="A77" s="30">
        <v>205</v>
      </c>
      <c r="B77" s="31" t="s">
        <v>391</v>
      </c>
      <c r="C77" s="41">
        <f>'7. Nettoinvestoinnit '!C77</f>
        <v>-23714</v>
      </c>
      <c r="D77" s="41">
        <f>'7. Nettoinvestoinnit '!D77</f>
        <v>-32690</v>
      </c>
      <c r="E77" s="41">
        <f>'7. Nettoinvestoinnit '!E77</f>
        <v>-21505</v>
      </c>
      <c r="F77" s="41">
        <f>'7. Nettoinvestoinnit '!F77</f>
        <v>-18819</v>
      </c>
      <c r="G77" s="41">
        <f>'7. Nettoinvestoinnit '!G77</f>
        <v>96434</v>
      </c>
      <c r="H77" s="41">
        <f>'7. Nettoinvestoinnit '!H77</f>
        <v>-50401</v>
      </c>
      <c r="I77" s="41">
        <f>'7. Nettoinvestoinnit '!I77</f>
        <v>-16357.836359999999</v>
      </c>
      <c r="J77" s="73">
        <v>-14752.176609999999</v>
      </c>
      <c r="K77" s="41">
        <v>-18005.830979999999</v>
      </c>
      <c r="L77" s="41">
        <v>-20213</v>
      </c>
      <c r="M77" s="41">
        <v>-20249</v>
      </c>
      <c r="N77" s="41">
        <v>-18778</v>
      </c>
      <c r="O77" s="174"/>
      <c r="P77" s="174">
        <f t="shared" si="4"/>
        <v>-50401</v>
      </c>
      <c r="Q77" s="174">
        <f t="shared" si="5"/>
        <v>-16357.836359999999</v>
      </c>
      <c r="R77" s="174">
        <f t="shared" si="6"/>
        <v>-14752.176609999999</v>
      </c>
      <c r="S77" s="174">
        <f t="shared" si="7"/>
        <v>-18005.830979999999</v>
      </c>
      <c r="T77" s="174">
        <f t="shared" si="8"/>
        <v>-20213</v>
      </c>
      <c r="U77" s="174">
        <f t="shared" si="10"/>
        <v>-20249</v>
      </c>
      <c r="V77" s="174">
        <f t="shared" si="9"/>
        <v>-18778</v>
      </c>
      <c r="W77" s="73"/>
      <c r="X77" s="73">
        <f t="shared" si="11"/>
        <v>-22679.549135714286</v>
      </c>
      <c r="Y77" s="339">
        <f t="shared" si="12"/>
        <v>6.0439562355587154E-3</v>
      </c>
      <c r="Z77" s="73"/>
    </row>
    <row r="78" spans="1:26" x14ac:dyDescent="0.25">
      <c r="A78" s="30">
        <v>208</v>
      </c>
      <c r="B78" s="31" t="s">
        <v>392</v>
      </c>
      <c r="C78" s="41">
        <f>'7. Nettoinvestoinnit '!C78</f>
        <v>-7109</v>
      </c>
      <c r="D78" s="41">
        <f>'7. Nettoinvestoinnit '!D78</f>
        <v>-5515</v>
      </c>
      <c r="E78" s="41">
        <f>'7. Nettoinvestoinnit '!E78</f>
        <v>-6962</v>
      </c>
      <c r="F78" s="41">
        <f>'7. Nettoinvestoinnit '!F78</f>
        <v>-12881</v>
      </c>
      <c r="G78" s="41">
        <f>'7. Nettoinvestoinnit '!G78</f>
        <v>-7574</v>
      </c>
      <c r="H78" s="41">
        <f>'7. Nettoinvestoinnit '!H78</f>
        <v>-3701</v>
      </c>
      <c r="I78" s="41">
        <f>'7. Nettoinvestoinnit '!I78</f>
        <v>-8261.7599599999994</v>
      </c>
      <c r="J78" s="73">
        <v>-5613.4066600000006</v>
      </c>
      <c r="K78" s="41">
        <v>-5306.1617200000001</v>
      </c>
      <c r="L78" s="41">
        <v>-18616</v>
      </c>
      <c r="M78" s="41">
        <v>-15440</v>
      </c>
      <c r="N78" s="41">
        <v>-9050</v>
      </c>
      <c r="O78" s="174"/>
      <c r="P78" s="174">
        <f t="shared" si="4"/>
        <v>-3701</v>
      </c>
      <c r="Q78" s="174">
        <f t="shared" si="5"/>
        <v>-8261.7599599999994</v>
      </c>
      <c r="R78" s="174">
        <f t="shared" si="6"/>
        <v>-5613.4066600000006</v>
      </c>
      <c r="S78" s="174">
        <f t="shared" si="7"/>
        <v>-5306.1617200000001</v>
      </c>
      <c r="T78" s="174">
        <f t="shared" si="8"/>
        <v>-18616</v>
      </c>
      <c r="U78" s="174">
        <f t="shared" si="10"/>
        <v>-15440</v>
      </c>
      <c r="V78" s="174">
        <f t="shared" si="9"/>
        <v>-9050</v>
      </c>
      <c r="W78" s="73"/>
      <c r="X78" s="73">
        <f t="shared" si="11"/>
        <v>-9426.9040485714304</v>
      </c>
      <c r="Y78" s="339">
        <f t="shared" si="12"/>
        <v>2.5122102368717375E-3</v>
      </c>
      <c r="Z78" s="73"/>
    </row>
    <row r="79" spans="1:26" x14ac:dyDescent="0.25">
      <c r="A79" s="30">
        <v>211</v>
      </c>
      <c r="B79" s="31" t="s">
        <v>393</v>
      </c>
      <c r="C79" s="41">
        <f>'7. Nettoinvestoinnit '!C79</f>
        <v>-16580</v>
      </c>
      <c r="D79" s="41">
        <f>'7. Nettoinvestoinnit '!D79</f>
        <v>-17143</v>
      </c>
      <c r="E79" s="41">
        <f>'7. Nettoinvestoinnit '!E79</f>
        <v>-11743</v>
      </c>
      <c r="F79" s="41">
        <f>'7. Nettoinvestoinnit '!F79</f>
        <v>-19115</v>
      </c>
      <c r="G79" s="41">
        <f>'7. Nettoinvestoinnit '!G79</f>
        <v>-21185</v>
      </c>
      <c r="H79" s="41">
        <f>'7. Nettoinvestoinnit '!H79</f>
        <v>-24377</v>
      </c>
      <c r="I79" s="41">
        <f>'7. Nettoinvestoinnit '!I79</f>
        <v>-18866.67223</v>
      </c>
      <c r="J79" s="73">
        <v>-40011.114609999997</v>
      </c>
      <c r="K79" s="41">
        <v>-42900.307249999998</v>
      </c>
      <c r="L79" s="41">
        <v>-44215.3</v>
      </c>
      <c r="M79" s="41">
        <v>-34983.300000000003</v>
      </c>
      <c r="N79" s="41">
        <v>-36418.300000000003</v>
      </c>
      <c r="O79" s="174"/>
      <c r="P79" s="174">
        <f t="shared" ref="P79:P142" si="13">IF(H79&lt;0,H79,G79)</f>
        <v>-24377</v>
      </c>
      <c r="Q79" s="174">
        <f t="shared" ref="Q79:Q142" si="14">IF(I79&lt;0,I79,H79)</f>
        <v>-18866.67223</v>
      </c>
      <c r="R79" s="174">
        <f t="shared" ref="R79:R142" si="15">IF(J79&lt;0,J79,I79)</f>
        <v>-40011.114609999997</v>
      </c>
      <c r="S79" s="174">
        <f t="shared" ref="S79:S142" si="16">IF(K79&lt;0,K79,J79)</f>
        <v>-42900.307249999998</v>
      </c>
      <c r="T79" s="174">
        <f t="shared" ref="T79:T142" si="17">IF(L79&lt;0,L79,K79)</f>
        <v>-44215.3</v>
      </c>
      <c r="U79" s="174">
        <f t="shared" ref="U79:U142" si="18">IF(M79&lt;0,M79,L79)</f>
        <v>-34983.300000000003</v>
      </c>
      <c r="V79" s="174">
        <f t="shared" ref="V79:V142" si="19">IF(N79&lt;0,N79,M79)</f>
        <v>-36418.300000000003</v>
      </c>
      <c r="W79" s="73"/>
      <c r="X79" s="73">
        <f t="shared" si="11"/>
        <v>-34538.856298571431</v>
      </c>
      <c r="Y79" s="339">
        <f t="shared" ref="Y79:Y142" si="20">X79/$X$12</f>
        <v>9.2043865001746935E-3</v>
      </c>
      <c r="Z79" s="73"/>
    </row>
    <row r="80" spans="1:26" x14ac:dyDescent="0.25">
      <c r="A80" s="30">
        <v>213</v>
      </c>
      <c r="B80" s="31" t="s">
        <v>394</v>
      </c>
      <c r="C80" s="41">
        <f>'7. Nettoinvestoinnit '!C80</f>
        <v>-6479</v>
      </c>
      <c r="D80" s="41">
        <f>'7. Nettoinvestoinnit '!D80</f>
        <v>-3674</v>
      </c>
      <c r="E80" s="41">
        <f>'7. Nettoinvestoinnit '!E80</f>
        <v>-1952</v>
      </c>
      <c r="F80" s="41">
        <f>'7. Nettoinvestoinnit '!F80</f>
        <v>-1647</v>
      </c>
      <c r="G80" s="41">
        <f>'7. Nettoinvestoinnit '!G80</f>
        <v>-1144</v>
      </c>
      <c r="H80" s="41">
        <f>'7. Nettoinvestoinnit '!H80</f>
        <v>1107</v>
      </c>
      <c r="I80" s="41">
        <f>'7. Nettoinvestoinnit '!I80</f>
        <v>-670.42025999999998</v>
      </c>
      <c r="J80" s="73">
        <v>-358.94896999999997</v>
      </c>
      <c r="K80" s="41">
        <v>-689.46268000000009</v>
      </c>
      <c r="L80" s="41">
        <v>-933.5</v>
      </c>
      <c r="M80" s="41">
        <v>-1917</v>
      </c>
      <c r="N80" s="41">
        <v>-2427</v>
      </c>
      <c r="O80" s="174"/>
      <c r="P80" s="174">
        <f t="shared" si="13"/>
        <v>-1144</v>
      </c>
      <c r="Q80" s="174">
        <f t="shared" si="14"/>
        <v>-670.42025999999998</v>
      </c>
      <c r="R80" s="174">
        <f t="shared" si="15"/>
        <v>-358.94896999999997</v>
      </c>
      <c r="S80" s="174">
        <f t="shared" si="16"/>
        <v>-689.46268000000009</v>
      </c>
      <c r="T80" s="174">
        <f t="shared" si="17"/>
        <v>-933.5</v>
      </c>
      <c r="U80" s="174">
        <f t="shared" si="18"/>
        <v>-1917</v>
      </c>
      <c r="V80" s="174">
        <f t="shared" si="19"/>
        <v>-2427</v>
      </c>
      <c r="W80" s="73"/>
      <c r="X80" s="73">
        <f t="shared" ref="X80:X143" si="21">AVERAGE(P80:V80)</f>
        <v>-1162.9045585714287</v>
      </c>
      <c r="Y80" s="339">
        <f t="shared" si="20"/>
        <v>3.0990670123460899E-4</v>
      </c>
      <c r="Z80" s="73"/>
    </row>
    <row r="81" spans="1:26" x14ac:dyDescent="0.25">
      <c r="A81" s="30">
        <v>214</v>
      </c>
      <c r="B81" s="31" t="s">
        <v>395</v>
      </c>
      <c r="C81" s="41">
        <f>'7. Nettoinvestoinnit '!C81</f>
        <v>-7799</v>
      </c>
      <c r="D81" s="41">
        <f>'7. Nettoinvestoinnit '!D81</f>
        <v>-8221</v>
      </c>
      <c r="E81" s="41">
        <f>'7. Nettoinvestoinnit '!E81</f>
        <v>-7876</v>
      </c>
      <c r="F81" s="41">
        <f>'7. Nettoinvestoinnit '!F81</f>
        <v>-6505</v>
      </c>
      <c r="G81" s="41">
        <f>'7. Nettoinvestoinnit '!G81</f>
        <v>-7027</v>
      </c>
      <c r="H81" s="41">
        <f>'7. Nettoinvestoinnit '!H81</f>
        <v>-7916</v>
      </c>
      <c r="I81" s="41">
        <f>'7. Nettoinvestoinnit '!I81</f>
        <v>-7466.1030899999996</v>
      </c>
      <c r="J81" s="73">
        <v>-9936.5109600000014</v>
      </c>
      <c r="K81" s="41">
        <v>-1686.5354299999999</v>
      </c>
      <c r="L81" s="41">
        <v>-5435</v>
      </c>
      <c r="M81" s="41">
        <v>-3147</v>
      </c>
      <c r="N81" s="41">
        <v>-3540</v>
      </c>
      <c r="O81" s="174"/>
      <c r="P81" s="174">
        <f t="shared" si="13"/>
        <v>-7916</v>
      </c>
      <c r="Q81" s="174">
        <f t="shared" si="14"/>
        <v>-7466.1030899999996</v>
      </c>
      <c r="R81" s="174">
        <f t="shared" si="15"/>
        <v>-9936.5109600000014</v>
      </c>
      <c r="S81" s="174">
        <f t="shared" si="16"/>
        <v>-1686.5354299999999</v>
      </c>
      <c r="T81" s="174">
        <f t="shared" si="17"/>
        <v>-5435</v>
      </c>
      <c r="U81" s="174">
        <f t="shared" si="18"/>
        <v>-3147</v>
      </c>
      <c r="V81" s="174">
        <f t="shared" si="19"/>
        <v>-3540</v>
      </c>
      <c r="W81" s="73"/>
      <c r="X81" s="73">
        <f t="shared" si="21"/>
        <v>-5589.5927828571439</v>
      </c>
      <c r="Y81" s="339">
        <f t="shared" si="20"/>
        <v>1.4895910827867273E-3</v>
      </c>
      <c r="Z81" s="73"/>
    </row>
    <row r="82" spans="1:26" x14ac:dyDescent="0.25">
      <c r="A82" s="30">
        <v>216</v>
      </c>
      <c r="B82" s="31" t="s">
        <v>396</v>
      </c>
      <c r="C82" s="41">
        <f>'7. Nettoinvestoinnit '!C82</f>
        <v>-568</v>
      </c>
      <c r="D82" s="41">
        <f>'7. Nettoinvestoinnit '!D82</f>
        <v>-1278</v>
      </c>
      <c r="E82" s="41">
        <f>'7. Nettoinvestoinnit '!E82</f>
        <v>-1956</v>
      </c>
      <c r="F82" s="41">
        <f>'7. Nettoinvestoinnit '!F82</f>
        <v>-1029</v>
      </c>
      <c r="G82" s="41">
        <f>'7. Nettoinvestoinnit '!G82</f>
        <v>-492</v>
      </c>
      <c r="H82" s="41">
        <f>'7. Nettoinvestoinnit '!H82</f>
        <v>-425</v>
      </c>
      <c r="I82" s="41">
        <f>'7. Nettoinvestoinnit '!I82</f>
        <v>-347.21787</v>
      </c>
      <c r="J82" s="73">
        <v>-240.61985000000001</v>
      </c>
      <c r="K82" s="41">
        <v>-364.51785999999998</v>
      </c>
      <c r="L82" s="41">
        <v>-490</v>
      </c>
      <c r="M82" s="41">
        <v>-590</v>
      </c>
      <c r="N82" s="41">
        <v>-3100</v>
      </c>
      <c r="O82" s="174"/>
      <c r="P82" s="174">
        <f t="shared" si="13"/>
        <v>-425</v>
      </c>
      <c r="Q82" s="174">
        <f t="shared" si="14"/>
        <v>-347.21787</v>
      </c>
      <c r="R82" s="174">
        <f t="shared" si="15"/>
        <v>-240.61985000000001</v>
      </c>
      <c r="S82" s="174">
        <f t="shared" si="16"/>
        <v>-364.51785999999998</v>
      </c>
      <c r="T82" s="174">
        <f t="shared" si="17"/>
        <v>-490</v>
      </c>
      <c r="U82" s="174">
        <f t="shared" si="18"/>
        <v>-590</v>
      </c>
      <c r="V82" s="174">
        <f t="shared" si="19"/>
        <v>-3100</v>
      </c>
      <c r="W82" s="73"/>
      <c r="X82" s="73">
        <f t="shared" si="21"/>
        <v>-793.90793999999994</v>
      </c>
      <c r="Y82" s="339">
        <f t="shared" si="20"/>
        <v>2.1157143890777137E-4</v>
      </c>
      <c r="Z82" s="73"/>
    </row>
    <row r="83" spans="1:26" x14ac:dyDescent="0.25">
      <c r="A83" s="30">
        <v>217</v>
      </c>
      <c r="B83" s="31" t="s">
        <v>397</v>
      </c>
      <c r="C83" s="41">
        <f>'7. Nettoinvestoinnit '!C83</f>
        <v>-859</v>
      </c>
      <c r="D83" s="41">
        <f>'7. Nettoinvestoinnit '!D83</f>
        <v>-935</v>
      </c>
      <c r="E83" s="41">
        <f>'7. Nettoinvestoinnit '!E83</f>
        <v>-1122</v>
      </c>
      <c r="F83" s="41">
        <f>'7. Nettoinvestoinnit '!F83</f>
        <v>-1474</v>
      </c>
      <c r="G83" s="41">
        <f>'7. Nettoinvestoinnit '!G83</f>
        <v>-1257</v>
      </c>
      <c r="H83" s="41">
        <f>'7. Nettoinvestoinnit '!H83</f>
        <v>-798</v>
      </c>
      <c r="I83" s="41">
        <f>'7. Nettoinvestoinnit '!I83</f>
        <v>-1575.01702</v>
      </c>
      <c r="J83" s="73">
        <v>-3268.3338599999997</v>
      </c>
      <c r="K83" s="41">
        <v>-7682.0672999999997</v>
      </c>
      <c r="L83" s="41">
        <v>-9134</v>
      </c>
      <c r="M83" s="41">
        <v>-10367</v>
      </c>
      <c r="N83" s="41">
        <v>-1455</v>
      </c>
      <c r="O83" s="174"/>
      <c r="P83" s="174">
        <f t="shared" si="13"/>
        <v>-798</v>
      </c>
      <c r="Q83" s="174">
        <f t="shared" si="14"/>
        <v>-1575.01702</v>
      </c>
      <c r="R83" s="174">
        <f t="shared" si="15"/>
        <v>-3268.3338599999997</v>
      </c>
      <c r="S83" s="174">
        <f t="shared" si="16"/>
        <v>-7682.0672999999997</v>
      </c>
      <c r="T83" s="174">
        <f t="shared" si="17"/>
        <v>-9134</v>
      </c>
      <c r="U83" s="174">
        <f t="shared" si="18"/>
        <v>-10367</v>
      </c>
      <c r="V83" s="174">
        <f t="shared" si="19"/>
        <v>-1455</v>
      </c>
      <c r="W83" s="73"/>
      <c r="X83" s="73">
        <f t="shared" si="21"/>
        <v>-4897.0597399999997</v>
      </c>
      <c r="Y83" s="339">
        <f t="shared" si="20"/>
        <v>1.3050354120518264E-3</v>
      </c>
      <c r="Z83" s="73"/>
    </row>
    <row r="84" spans="1:26" x14ac:dyDescent="0.25">
      <c r="A84" s="30">
        <v>218</v>
      </c>
      <c r="B84" s="31" t="s">
        <v>398</v>
      </c>
      <c r="C84" s="41">
        <f>'7. Nettoinvestoinnit '!C84</f>
        <v>-211</v>
      </c>
      <c r="D84" s="41">
        <f>'7. Nettoinvestoinnit '!D84</f>
        <v>-215</v>
      </c>
      <c r="E84" s="41">
        <f>'7. Nettoinvestoinnit '!E84</f>
        <v>-262</v>
      </c>
      <c r="F84" s="41">
        <f>'7. Nettoinvestoinnit '!F84</f>
        <v>-994</v>
      </c>
      <c r="G84" s="41">
        <f>'7. Nettoinvestoinnit '!G84</f>
        <v>-432</v>
      </c>
      <c r="H84" s="41">
        <f>'7. Nettoinvestoinnit '!H84</f>
        <v>-133</v>
      </c>
      <c r="I84" s="41">
        <f>'7. Nettoinvestoinnit '!I84</f>
        <v>-184.78448</v>
      </c>
      <c r="J84" s="73">
        <v>-169.47685999999999</v>
      </c>
      <c r="K84" s="41">
        <v>-155.99265</v>
      </c>
      <c r="L84" s="41">
        <v>-554</v>
      </c>
      <c r="M84" s="41">
        <v>-320</v>
      </c>
      <c r="N84" s="41">
        <v>-110</v>
      </c>
      <c r="O84" s="174"/>
      <c r="P84" s="174">
        <f t="shared" si="13"/>
        <v>-133</v>
      </c>
      <c r="Q84" s="174">
        <f t="shared" si="14"/>
        <v>-184.78448</v>
      </c>
      <c r="R84" s="174">
        <f t="shared" si="15"/>
        <v>-169.47685999999999</v>
      </c>
      <c r="S84" s="174">
        <f t="shared" si="16"/>
        <v>-155.99265</v>
      </c>
      <c r="T84" s="174">
        <f t="shared" si="17"/>
        <v>-554</v>
      </c>
      <c r="U84" s="174">
        <f t="shared" si="18"/>
        <v>-320</v>
      </c>
      <c r="V84" s="174">
        <f t="shared" si="19"/>
        <v>-110</v>
      </c>
      <c r="W84" s="73"/>
      <c r="X84" s="73">
        <f t="shared" si="21"/>
        <v>-232.46485571428573</v>
      </c>
      <c r="Y84" s="339">
        <f t="shared" si="20"/>
        <v>6.1950412057799667E-5</v>
      </c>
      <c r="Z84" s="73"/>
    </row>
    <row r="85" spans="1:26" x14ac:dyDescent="0.25">
      <c r="A85" s="30">
        <v>224</v>
      </c>
      <c r="B85" s="31" t="s">
        <v>399</v>
      </c>
      <c r="C85" s="41">
        <f>'7. Nettoinvestoinnit '!C85</f>
        <v>-8234</v>
      </c>
      <c r="D85" s="41">
        <f>'7. Nettoinvestoinnit '!D85</f>
        <v>-10139</v>
      </c>
      <c r="E85" s="41">
        <f>'7. Nettoinvestoinnit '!E85</f>
        <v>-6096</v>
      </c>
      <c r="F85" s="41">
        <f>'7. Nettoinvestoinnit '!F85</f>
        <v>-808</v>
      </c>
      <c r="G85" s="41">
        <f>'7. Nettoinvestoinnit '!G85</f>
        <v>-2322</v>
      </c>
      <c r="H85" s="41">
        <f>'7. Nettoinvestoinnit '!H85</f>
        <v>-1094</v>
      </c>
      <c r="I85" s="41">
        <f>'7. Nettoinvestoinnit '!I85</f>
        <v>-1492.7382600000001</v>
      </c>
      <c r="J85" s="73">
        <v>-1080.07089</v>
      </c>
      <c r="K85" s="41">
        <v>158.82816</v>
      </c>
      <c r="L85" s="41">
        <v>-3113</v>
      </c>
      <c r="M85" s="41">
        <v>-3574</v>
      </c>
      <c r="N85" s="41">
        <v>-2957</v>
      </c>
      <c r="O85" s="174"/>
      <c r="P85" s="174">
        <f t="shared" si="13"/>
        <v>-1094</v>
      </c>
      <c r="Q85" s="174">
        <f t="shared" si="14"/>
        <v>-1492.7382600000001</v>
      </c>
      <c r="R85" s="174">
        <f t="shared" si="15"/>
        <v>-1080.07089</v>
      </c>
      <c r="S85" s="174">
        <f t="shared" si="16"/>
        <v>-1080.07089</v>
      </c>
      <c r="T85" s="174">
        <f t="shared" si="17"/>
        <v>-3113</v>
      </c>
      <c r="U85" s="174">
        <f t="shared" si="18"/>
        <v>-3574</v>
      </c>
      <c r="V85" s="174">
        <f t="shared" si="19"/>
        <v>-2957</v>
      </c>
      <c r="W85" s="73"/>
      <c r="X85" s="73">
        <f t="shared" si="21"/>
        <v>-2055.8400057142858</v>
      </c>
      <c r="Y85" s="339">
        <f t="shared" si="20"/>
        <v>5.4786834374415301E-4</v>
      </c>
      <c r="Z85" s="73"/>
    </row>
    <row r="86" spans="1:26" x14ac:dyDescent="0.25">
      <c r="A86" s="30">
        <v>226</v>
      </c>
      <c r="B86" s="31" t="s">
        <v>400</v>
      </c>
      <c r="C86" s="41">
        <f>'7. Nettoinvestoinnit '!C86</f>
        <v>-1132</v>
      </c>
      <c r="D86" s="41">
        <f>'7. Nettoinvestoinnit '!D86</f>
        <v>-598</v>
      </c>
      <c r="E86" s="41">
        <f>'7. Nettoinvestoinnit '!E86</f>
        <v>-658</v>
      </c>
      <c r="F86" s="41">
        <f>'7. Nettoinvestoinnit '!F86</f>
        <v>-851</v>
      </c>
      <c r="G86" s="41">
        <f>'7. Nettoinvestoinnit '!G86</f>
        <v>-757</v>
      </c>
      <c r="H86" s="41">
        <f>'7. Nettoinvestoinnit '!H86</f>
        <v>-322</v>
      </c>
      <c r="I86" s="41">
        <f>'7. Nettoinvestoinnit '!I86</f>
        <v>-4063.63285</v>
      </c>
      <c r="J86" s="73">
        <v>-5346.0450799999999</v>
      </c>
      <c r="K86" s="41">
        <v>-1975.566</v>
      </c>
      <c r="L86" s="41">
        <v>-2070</v>
      </c>
      <c r="M86" s="41">
        <v>-1305</v>
      </c>
      <c r="N86" s="41">
        <v>-320</v>
      </c>
      <c r="O86" s="174"/>
      <c r="P86" s="174">
        <f t="shared" si="13"/>
        <v>-322</v>
      </c>
      <c r="Q86" s="174">
        <f t="shared" si="14"/>
        <v>-4063.63285</v>
      </c>
      <c r="R86" s="174">
        <f t="shared" si="15"/>
        <v>-5346.0450799999999</v>
      </c>
      <c r="S86" s="174">
        <f t="shared" si="16"/>
        <v>-1975.566</v>
      </c>
      <c r="T86" s="174">
        <f t="shared" si="17"/>
        <v>-2070</v>
      </c>
      <c r="U86" s="174">
        <f t="shared" si="18"/>
        <v>-1305</v>
      </c>
      <c r="V86" s="174">
        <f t="shared" si="19"/>
        <v>-320</v>
      </c>
      <c r="W86" s="73"/>
      <c r="X86" s="73">
        <f t="shared" si="21"/>
        <v>-2200.3205614285716</v>
      </c>
      <c r="Y86" s="339">
        <f t="shared" si="20"/>
        <v>5.8637149697709069E-4</v>
      </c>
      <c r="Z86" s="73"/>
    </row>
    <row r="87" spans="1:26" x14ac:dyDescent="0.25">
      <c r="A87" s="30">
        <v>230</v>
      </c>
      <c r="B87" s="31" t="s">
        <v>401</v>
      </c>
      <c r="C87" s="41">
        <f>'7. Nettoinvestoinnit '!C87</f>
        <v>-580</v>
      </c>
      <c r="D87" s="41">
        <f>'7. Nettoinvestoinnit '!D87</f>
        <v>-1392</v>
      </c>
      <c r="E87" s="41">
        <f>'7. Nettoinvestoinnit '!E87</f>
        <v>-3104</v>
      </c>
      <c r="F87" s="41">
        <f>'7. Nettoinvestoinnit '!F87</f>
        <v>-62</v>
      </c>
      <c r="G87" s="41">
        <f>'7. Nettoinvestoinnit '!G87</f>
        <v>-338</v>
      </c>
      <c r="H87" s="41">
        <f>'7. Nettoinvestoinnit '!H87</f>
        <v>-276</v>
      </c>
      <c r="I87" s="41">
        <f>'7. Nettoinvestoinnit '!I87</f>
        <v>-812.62522999999999</v>
      </c>
      <c r="J87" s="73">
        <v>-93.227240000000009</v>
      </c>
      <c r="K87" s="41">
        <v>-171.43598</v>
      </c>
      <c r="L87" s="41">
        <v>-800</v>
      </c>
      <c r="M87" s="41">
        <v>-560</v>
      </c>
      <c r="N87" s="41">
        <v>-400</v>
      </c>
      <c r="O87" s="174"/>
      <c r="P87" s="174">
        <f t="shared" si="13"/>
        <v>-276</v>
      </c>
      <c r="Q87" s="174">
        <f t="shared" si="14"/>
        <v>-812.62522999999999</v>
      </c>
      <c r="R87" s="174">
        <f t="shared" si="15"/>
        <v>-93.227240000000009</v>
      </c>
      <c r="S87" s="174">
        <f t="shared" si="16"/>
        <v>-171.43598</v>
      </c>
      <c r="T87" s="174">
        <f t="shared" si="17"/>
        <v>-800</v>
      </c>
      <c r="U87" s="174">
        <f t="shared" si="18"/>
        <v>-560</v>
      </c>
      <c r="V87" s="174">
        <f t="shared" si="19"/>
        <v>-400</v>
      </c>
      <c r="W87" s="73"/>
      <c r="X87" s="73">
        <f t="shared" si="21"/>
        <v>-444.75549285714288</v>
      </c>
      <c r="Y87" s="339">
        <f t="shared" si="20"/>
        <v>1.1852452261142616E-4</v>
      </c>
      <c r="Z87" s="73"/>
    </row>
    <row r="88" spans="1:26" x14ac:dyDescent="0.25">
      <c r="A88" s="30">
        <v>231</v>
      </c>
      <c r="B88" s="31" t="s">
        <v>402</v>
      </c>
      <c r="C88" s="41">
        <f>'7. Nettoinvestoinnit '!C88</f>
        <v>-319</v>
      </c>
      <c r="D88" s="41">
        <f>'7. Nettoinvestoinnit '!D88</f>
        <v>-606</v>
      </c>
      <c r="E88" s="41">
        <f>'7. Nettoinvestoinnit '!E88</f>
        <v>-1477</v>
      </c>
      <c r="F88" s="41">
        <f>'7. Nettoinvestoinnit '!F88</f>
        <v>434</v>
      </c>
      <c r="G88" s="41">
        <f>'7. Nettoinvestoinnit '!G88</f>
        <v>-499</v>
      </c>
      <c r="H88" s="41">
        <f>'7. Nettoinvestoinnit '!H88</f>
        <v>-599</v>
      </c>
      <c r="I88" s="41">
        <f>'7. Nettoinvestoinnit '!I88</f>
        <v>-502.67601999999999</v>
      </c>
      <c r="J88" s="73">
        <v>1080.4443200000001</v>
      </c>
      <c r="K88" s="41">
        <v>-317.08348000000001</v>
      </c>
      <c r="L88" s="41">
        <v>-777</v>
      </c>
      <c r="M88" s="41">
        <v>-865</v>
      </c>
      <c r="N88" s="41">
        <v>-820</v>
      </c>
      <c r="O88" s="174"/>
      <c r="P88" s="174">
        <f t="shared" si="13"/>
        <v>-599</v>
      </c>
      <c r="Q88" s="174">
        <f t="shared" si="14"/>
        <v>-502.67601999999999</v>
      </c>
      <c r="R88" s="174">
        <f t="shared" si="15"/>
        <v>-502.67601999999999</v>
      </c>
      <c r="S88" s="174">
        <f t="shared" si="16"/>
        <v>-317.08348000000001</v>
      </c>
      <c r="T88" s="174">
        <f t="shared" si="17"/>
        <v>-777</v>
      </c>
      <c r="U88" s="174">
        <f t="shared" si="18"/>
        <v>-865</v>
      </c>
      <c r="V88" s="174">
        <f t="shared" si="19"/>
        <v>-820</v>
      </c>
      <c r="W88" s="73"/>
      <c r="X88" s="73">
        <f t="shared" si="21"/>
        <v>-626.20507428571432</v>
      </c>
      <c r="Y88" s="339">
        <f t="shared" si="20"/>
        <v>1.6687968710575745E-4</v>
      </c>
      <c r="Z88" s="73"/>
    </row>
    <row r="89" spans="1:26" x14ac:dyDescent="0.25">
      <c r="A89" s="30">
        <v>232</v>
      </c>
      <c r="B89" s="31" t="s">
        <v>403</v>
      </c>
      <c r="C89" s="41">
        <f>'7. Nettoinvestoinnit '!C89</f>
        <v>-3452</v>
      </c>
      <c r="D89" s="41">
        <f>'7. Nettoinvestoinnit '!D89</f>
        <v>-7354</v>
      </c>
      <c r="E89" s="41">
        <f>'7. Nettoinvestoinnit '!E89</f>
        <v>-3129</v>
      </c>
      <c r="F89" s="41">
        <f>'7. Nettoinvestoinnit '!F89</f>
        <v>-2800</v>
      </c>
      <c r="G89" s="41">
        <f>'7. Nettoinvestoinnit '!G89</f>
        <v>-5424</v>
      </c>
      <c r="H89" s="41">
        <f>'7. Nettoinvestoinnit '!H89</f>
        <v>-5449</v>
      </c>
      <c r="I89" s="41">
        <f>'7. Nettoinvestoinnit '!I89</f>
        <v>-4889.5129800000004</v>
      </c>
      <c r="J89" s="73">
        <v>-8171.25911</v>
      </c>
      <c r="K89" s="41">
        <v>-5603.9840199999999</v>
      </c>
      <c r="L89" s="41">
        <v>-4116.07</v>
      </c>
      <c r="M89" s="41">
        <v>-7613.07</v>
      </c>
      <c r="N89" s="41">
        <v>-6667.07</v>
      </c>
      <c r="O89" s="174"/>
      <c r="P89" s="174">
        <f t="shared" si="13"/>
        <v>-5449</v>
      </c>
      <c r="Q89" s="174">
        <f t="shared" si="14"/>
        <v>-4889.5129800000004</v>
      </c>
      <c r="R89" s="174">
        <f t="shared" si="15"/>
        <v>-8171.25911</v>
      </c>
      <c r="S89" s="174">
        <f t="shared" si="16"/>
        <v>-5603.9840199999999</v>
      </c>
      <c r="T89" s="174">
        <f t="shared" si="17"/>
        <v>-4116.07</v>
      </c>
      <c r="U89" s="174">
        <f t="shared" si="18"/>
        <v>-7613.07</v>
      </c>
      <c r="V89" s="174">
        <f t="shared" si="19"/>
        <v>-6667.07</v>
      </c>
      <c r="W89" s="73"/>
      <c r="X89" s="73">
        <f t="shared" si="21"/>
        <v>-6072.852301428572</v>
      </c>
      <c r="Y89" s="339">
        <f t="shared" si="20"/>
        <v>1.6183766844397778E-3</v>
      </c>
      <c r="Z89" s="73"/>
    </row>
    <row r="90" spans="1:26" x14ac:dyDescent="0.25">
      <c r="A90" s="30">
        <v>233</v>
      </c>
      <c r="B90" s="31" t="s">
        <v>404</v>
      </c>
      <c r="C90" s="41">
        <f>'7. Nettoinvestoinnit '!C90</f>
        <v>-8997</v>
      </c>
      <c r="D90" s="41">
        <f>'7. Nettoinvestoinnit '!D90</f>
        <v>-9754</v>
      </c>
      <c r="E90" s="41">
        <f>'7. Nettoinvestoinnit '!E90</f>
        <v>-4694</v>
      </c>
      <c r="F90" s="41">
        <f>'7. Nettoinvestoinnit '!F90</f>
        <v>-11347</v>
      </c>
      <c r="G90" s="41">
        <f>'7. Nettoinvestoinnit '!G90</f>
        <v>-8824</v>
      </c>
      <c r="H90" s="41">
        <f>'7. Nettoinvestoinnit '!H90</f>
        <v>-12092</v>
      </c>
      <c r="I90" s="41">
        <f>'7. Nettoinvestoinnit '!I90</f>
        <v>-11207.114519999999</v>
      </c>
      <c r="J90" s="73">
        <v>-12427.34382</v>
      </c>
      <c r="K90" s="41">
        <v>-11074.244279999999</v>
      </c>
      <c r="L90" s="41">
        <v>-15124.6</v>
      </c>
      <c r="M90" s="41">
        <v>-7710</v>
      </c>
      <c r="N90" s="41">
        <v>-4560</v>
      </c>
      <c r="O90" s="174"/>
      <c r="P90" s="174">
        <f t="shared" si="13"/>
        <v>-12092</v>
      </c>
      <c r="Q90" s="174">
        <f t="shared" si="14"/>
        <v>-11207.114519999999</v>
      </c>
      <c r="R90" s="174">
        <f t="shared" si="15"/>
        <v>-12427.34382</v>
      </c>
      <c r="S90" s="174">
        <f t="shared" si="16"/>
        <v>-11074.244279999999</v>
      </c>
      <c r="T90" s="174">
        <f t="shared" si="17"/>
        <v>-15124.6</v>
      </c>
      <c r="U90" s="174">
        <f t="shared" si="18"/>
        <v>-7710</v>
      </c>
      <c r="V90" s="174">
        <f t="shared" si="19"/>
        <v>-4560</v>
      </c>
      <c r="W90" s="73"/>
      <c r="X90" s="73">
        <f t="shared" si="21"/>
        <v>-10599.328945714286</v>
      </c>
      <c r="Y90" s="339">
        <f t="shared" si="20"/>
        <v>2.8246540480519225E-3</v>
      </c>
      <c r="Z90" s="73"/>
    </row>
    <row r="91" spans="1:26" x14ac:dyDescent="0.25">
      <c r="A91" s="30">
        <v>235</v>
      </c>
      <c r="B91" s="31" t="s">
        <v>405</v>
      </c>
      <c r="C91" s="41">
        <f>'7. Nettoinvestoinnit '!C91</f>
        <v>1794</v>
      </c>
      <c r="D91" s="41">
        <f>'7. Nettoinvestoinnit '!D91</f>
        <v>-301</v>
      </c>
      <c r="E91" s="41">
        <f>'7. Nettoinvestoinnit '!E91</f>
        <v>-14620</v>
      </c>
      <c r="F91" s="41">
        <f>'7. Nettoinvestoinnit '!F91</f>
        <v>-8724</v>
      </c>
      <c r="G91" s="41">
        <f>'7. Nettoinvestoinnit '!G91</f>
        <v>-8752</v>
      </c>
      <c r="H91" s="41">
        <f>'7. Nettoinvestoinnit '!H91</f>
        <v>-4285</v>
      </c>
      <c r="I91" s="41">
        <f>'7. Nettoinvestoinnit '!I91</f>
        <v>-5512.8731200000002</v>
      </c>
      <c r="J91" s="73">
        <v>-11473.23588</v>
      </c>
      <c r="K91" s="41">
        <v>-8502.2673200000008</v>
      </c>
      <c r="L91" s="41">
        <v>-16081.5</v>
      </c>
      <c r="M91" s="41">
        <v>-15860</v>
      </c>
      <c r="N91" s="41">
        <v>-20725</v>
      </c>
      <c r="O91" s="174"/>
      <c r="P91" s="174">
        <f t="shared" si="13"/>
        <v>-4285</v>
      </c>
      <c r="Q91" s="174">
        <f t="shared" si="14"/>
        <v>-5512.8731200000002</v>
      </c>
      <c r="R91" s="174">
        <f t="shared" si="15"/>
        <v>-11473.23588</v>
      </c>
      <c r="S91" s="174">
        <f t="shared" si="16"/>
        <v>-8502.2673200000008</v>
      </c>
      <c r="T91" s="174">
        <f t="shared" si="17"/>
        <v>-16081.5</v>
      </c>
      <c r="U91" s="174">
        <f t="shared" si="18"/>
        <v>-15860</v>
      </c>
      <c r="V91" s="174">
        <f t="shared" si="19"/>
        <v>-20725</v>
      </c>
      <c r="W91" s="73"/>
      <c r="X91" s="73">
        <f t="shared" si="21"/>
        <v>-11777.12518857143</v>
      </c>
      <c r="Y91" s="339">
        <f t="shared" si="20"/>
        <v>3.1385292888530827E-3</v>
      </c>
      <c r="Z91" s="73"/>
    </row>
    <row r="92" spans="1:26" x14ac:dyDescent="0.25">
      <c r="A92" s="30">
        <v>236</v>
      </c>
      <c r="B92" s="31" t="s">
        <v>406</v>
      </c>
      <c r="C92" s="41">
        <f>'7. Nettoinvestoinnit '!C92</f>
        <v>-6540</v>
      </c>
      <c r="D92" s="41">
        <f>'7. Nettoinvestoinnit '!D92</f>
        <v>-2230</v>
      </c>
      <c r="E92" s="41">
        <f>'7. Nettoinvestoinnit '!E92</f>
        <v>-2555</v>
      </c>
      <c r="F92" s="41">
        <f>'7. Nettoinvestoinnit '!F92</f>
        <v>-945</v>
      </c>
      <c r="G92" s="41">
        <f>'7. Nettoinvestoinnit '!G92</f>
        <v>-1036</v>
      </c>
      <c r="H92" s="41">
        <f>'7. Nettoinvestoinnit '!H92</f>
        <v>-1848</v>
      </c>
      <c r="I92" s="41">
        <f>'7. Nettoinvestoinnit '!I92</f>
        <v>-6045.1279100000002</v>
      </c>
      <c r="J92" s="73">
        <v>-2031.0938200000001</v>
      </c>
      <c r="K92" s="41">
        <v>-1182.1110000000001</v>
      </c>
      <c r="L92" s="41">
        <v>-989.65</v>
      </c>
      <c r="M92" s="41">
        <v>-1850</v>
      </c>
      <c r="N92" s="41">
        <v>-850</v>
      </c>
      <c r="O92" s="174"/>
      <c r="P92" s="174">
        <f t="shared" si="13"/>
        <v>-1848</v>
      </c>
      <c r="Q92" s="174">
        <f t="shared" si="14"/>
        <v>-6045.1279100000002</v>
      </c>
      <c r="R92" s="174">
        <f t="shared" si="15"/>
        <v>-2031.0938200000001</v>
      </c>
      <c r="S92" s="174">
        <f t="shared" si="16"/>
        <v>-1182.1110000000001</v>
      </c>
      <c r="T92" s="174">
        <f t="shared" si="17"/>
        <v>-989.65</v>
      </c>
      <c r="U92" s="174">
        <f t="shared" si="18"/>
        <v>-1850</v>
      </c>
      <c r="V92" s="174">
        <f t="shared" si="19"/>
        <v>-850</v>
      </c>
      <c r="W92" s="73"/>
      <c r="X92" s="73">
        <f t="shared" si="21"/>
        <v>-2113.7118185714289</v>
      </c>
      <c r="Y92" s="339">
        <f t="shared" si="20"/>
        <v>5.632908154206386E-4</v>
      </c>
      <c r="Z92" s="73"/>
    </row>
    <row r="93" spans="1:26" x14ac:dyDescent="0.25">
      <c r="A93" s="30">
        <v>239</v>
      </c>
      <c r="B93" s="31" t="s">
        <v>407</v>
      </c>
      <c r="C93" s="41">
        <f>'7. Nettoinvestoinnit '!C93</f>
        <v>-700</v>
      </c>
      <c r="D93" s="41">
        <f>'7. Nettoinvestoinnit '!D93</f>
        <v>-413</v>
      </c>
      <c r="E93" s="41">
        <f>'7. Nettoinvestoinnit '!E93</f>
        <v>-568</v>
      </c>
      <c r="F93" s="41">
        <f>'7. Nettoinvestoinnit '!F93</f>
        <v>-854</v>
      </c>
      <c r="G93" s="41">
        <f>'7. Nettoinvestoinnit '!G93</f>
        <v>-721</v>
      </c>
      <c r="H93" s="41">
        <f>'7. Nettoinvestoinnit '!H93</f>
        <v>-483</v>
      </c>
      <c r="I93" s="41">
        <f>'7. Nettoinvestoinnit '!I93</f>
        <v>-580.15854999999999</v>
      </c>
      <c r="J93" s="73">
        <v>-857.55113000000006</v>
      </c>
      <c r="K93" s="41">
        <v>-1227.8155099999999</v>
      </c>
      <c r="L93" s="41">
        <v>-1508</v>
      </c>
      <c r="M93" s="41">
        <v>-2230</v>
      </c>
      <c r="N93" s="41">
        <v>-955</v>
      </c>
      <c r="O93" s="174"/>
      <c r="P93" s="174">
        <f t="shared" si="13"/>
        <v>-483</v>
      </c>
      <c r="Q93" s="174">
        <f t="shared" si="14"/>
        <v>-580.15854999999999</v>
      </c>
      <c r="R93" s="174">
        <f t="shared" si="15"/>
        <v>-857.55113000000006</v>
      </c>
      <c r="S93" s="174">
        <f t="shared" si="16"/>
        <v>-1227.8155099999999</v>
      </c>
      <c r="T93" s="174">
        <f t="shared" si="17"/>
        <v>-1508</v>
      </c>
      <c r="U93" s="174">
        <f t="shared" si="18"/>
        <v>-2230</v>
      </c>
      <c r="V93" s="174">
        <f t="shared" si="19"/>
        <v>-955</v>
      </c>
      <c r="W93" s="73"/>
      <c r="X93" s="73">
        <f t="shared" si="21"/>
        <v>-1120.2178842857143</v>
      </c>
      <c r="Y93" s="339">
        <f t="shared" si="20"/>
        <v>2.98530972833636E-4</v>
      </c>
      <c r="Z93" s="73"/>
    </row>
    <row r="94" spans="1:26" x14ac:dyDescent="0.25">
      <c r="A94" s="30">
        <v>240</v>
      </c>
      <c r="B94" s="31" t="s">
        <v>408</v>
      </c>
      <c r="C94" s="41">
        <f>'7. Nettoinvestoinnit '!C94</f>
        <v>-3994</v>
      </c>
      <c r="D94" s="41">
        <f>'7. Nettoinvestoinnit '!D94</f>
        <v>263</v>
      </c>
      <c r="E94" s="41">
        <f>'7. Nettoinvestoinnit '!E94</f>
        <v>-1732</v>
      </c>
      <c r="F94" s="41">
        <f>'7. Nettoinvestoinnit '!F94</f>
        <v>-8481</v>
      </c>
      <c r="G94" s="41">
        <f>'7. Nettoinvestoinnit '!G94</f>
        <v>-4092</v>
      </c>
      <c r="H94" s="41">
        <f>'7. Nettoinvestoinnit '!H94</f>
        <v>-5989</v>
      </c>
      <c r="I94" s="41">
        <f>'7. Nettoinvestoinnit '!I94</f>
        <v>-15199.78645</v>
      </c>
      <c r="J94" s="73">
        <v>4868.8986199999999</v>
      </c>
      <c r="K94" s="41">
        <v>-2162.3743199999999</v>
      </c>
      <c r="L94" s="41">
        <v>-7509</v>
      </c>
      <c r="M94" s="41">
        <v>-7705</v>
      </c>
      <c r="N94" s="41">
        <v>-6350</v>
      </c>
      <c r="O94" s="174"/>
      <c r="P94" s="174">
        <f t="shared" si="13"/>
        <v>-5989</v>
      </c>
      <c r="Q94" s="174">
        <f t="shared" si="14"/>
        <v>-15199.78645</v>
      </c>
      <c r="R94" s="174">
        <f t="shared" si="15"/>
        <v>-15199.78645</v>
      </c>
      <c r="S94" s="174">
        <f t="shared" si="16"/>
        <v>-2162.3743199999999</v>
      </c>
      <c r="T94" s="174">
        <f t="shared" si="17"/>
        <v>-7509</v>
      </c>
      <c r="U94" s="174">
        <f t="shared" si="18"/>
        <v>-7705</v>
      </c>
      <c r="V94" s="174">
        <f t="shared" si="19"/>
        <v>-6350</v>
      </c>
      <c r="W94" s="73"/>
      <c r="X94" s="73">
        <f t="shared" si="21"/>
        <v>-8587.8496028571426</v>
      </c>
      <c r="Y94" s="339">
        <f t="shared" si="20"/>
        <v>2.2886075400631698E-3</v>
      </c>
      <c r="Z94" s="73"/>
    </row>
    <row r="95" spans="1:26" x14ac:dyDescent="0.25">
      <c r="A95" s="30">
        <v>241</v>
      </c>
      <c r="B95" s="31" t="s">
        <v>409</v>
      </c>
      <c r="C95" s="41">
        <f>'7. Nettoinvestoinnit '!C95</f>
        <v>-72</v>
      </c>
      <c r="D95" s="41">
        <f>'7. Nettoinvestoinnit '!D95</f>
        <v>-1819</v>
      </c>
      <c r="E95" s="41">
        <f>'7. Nettoinvestoinnit '!E95</f>
        <v>-1695</v>
      </c>
      <c r="F95" s="41">
        <f>'7. Nettoinvestoinnit '!F95</f>
        <v>5437</v>
      </c>
      <c r="G95" s="41">
        <f>'7. Nettoinvestoinnit '!G95</f>
        <v>-1282</v>
      </c>
      <c r="H95" s="41">
        <f>'7. Nettoinvestoinnit '!H95</f>
        <v>-3629</v>
      </c>
      <c r="I95" s="41">
        <f>'7. Nettoinvestoinnit '!I95</f>
        <v>-4225.95327</v>
      </c>
      <c r="J95" s="73">
        <v>-1696.00946</v>
      </c>
      <c r="K95" s="41">
        <v>-3297.7966299999998</v>
      </c>
      <c r="L95" s="41">
        <v>-2822</v>
      </c>
      <c r="M95" s="41">
        <v>-5237</v>
      </c>
      <c r="N95" s="41">
        <v>-9095</v>
      </c>
      <c r="O95" s="174"/>
      <c r="P95" s="174">
        <f t="shared" si="13"/>
        <v>-3629</v>
      </c>
      <c r="Q95" s="174">
        <f t="shared" si="14"/>
        <v>-4225.95327</v>
      </c>
      <c r="R95" s="174">
        <f t="shared" si="15"/>
        <v>-1696.00946</v>
      </c>
      <c r="S95" s="174">
        <f t="shared" si="16"/>
        <v>-3297.7966299999998</v>
      </c>
      <c r="T95" s="174">
        <f t="shared" si="17"/>
        <v>-2822</v>
      </c>
      <c r="U95" s="174">
        <f t="shared" si="18"/>
        <v>-5237</v>
      </c>
      <c r="V95" s="174">
        <f t="shared" si="19"/>
        <v>-9095</v>
      </c>
      <c r="W95" s="73"/>
      <c r="X95" s="73">
        <f t="shared" si="21"/>
        <v>-4286.1084799999999</v>
      </c>
      <c r="Y95" s="339">
        <f t="shared" si="20"/>
        <v>1.1422207698645775E-3</v>
      </c>
      <c r="Z95" s="73"/>
    </row>
    <row r="96" spans="1:26" x14ac:dyDescent="0.25">
      <c r="A96" s="30">
        <v>244</v>
      </c>
      <c r="B96" s="31" t="s">
        <v>410</v>
      </c>
      <c r="C96" s="41">
        <f>'7. Nettoinvestoinnit '!C96</f>
        <v>-4878</v>
      </c>
      <c r="D96" s="41">
        <f>'7. Nettoinvestoinnit '!D96</f>
        <v>-5203</v>
      </c>
      <c r="E96" s="41">
        <f>'7. Nettoinvestoinnit '!E96</f>
        <v>-15218</v>
      </c>
      <c r="F96" s="41">
        <f>'7. Nettoinvestoinnit '!F96</f>
        <v>-13844</v>
      </c>
      <c r="G96" s="41">
        <f>'7. Nettoinvestoinnit '!G96</f>
        <v>-11802</v>
      </c>
      <c r="H96" s="41">
        <f>'7. Nettoinvestoinnit '!H96</f>
        <v>-4526</v>
      </c>
      <c r="I96" s="41">
        <f>'7. Nettoinvestoinnit '!I96</f>
        <v>-4379.7944200000002</v>
      </c>
      <c r="J96" s="73">
        <v>-7718.8611000000001</v>
      </c>
      <c r="K96" s="41">
        <v>-16304.88852</v>
      </c>
      <c r="L96" s="41">
        <v>-19862</v>
      </c>
      <c r="M96" s="41">
        <v>-19680</v>
      </c>
      <c r="N96" s="41">
        <v>-5011</v>
      </c>
      <c r="O96" s="174"/>
      <c r="P96" s="174">
        <f t="shared" si="13"/>
        <v>-4526</v>
      </c>
      <c r="Q96" s="174">
        <f t="shared" si="14"/>
        <v>-4379.7944200000002</v>
      </c>
      <c r="R96" s="174">
        <f t="shared" si="15"/>
        <v>-7718.8611000000001</v>
      </c>
      <c r="S96" s="174">
        <f t="shared" si="16"/>
        <v>-16304.88852</v>
      </c>
      <c r="T96" s="174">
        <f t="shared" si="17"/>
        <v>-19862</v>
      </c>
      <c r="U96" s="174">
        <f t="shared" si="18"/>
        <v>-19680</v>
      </c>
      <c r="V96" s="174">
        <f t="shared" si="19"/>
        <v>-5011</v>
      </c>
      <c r="W96" s="73"/>
      <c r="X96" s="73">
        <f t="shared" si="21"/>
        <v>-11068.934862857144</v>
      </c>
      <c r="Y96" s="339">
        <f t="shared" si="20"/>
        <v>2.9498010513801906E-3</v>
      </c>
      <c r="Z96" s="73"/>
    </row>
    <row r="97" spans="1:26" x14ac:dyDescent="0.25">
      <c r="A97" s="30">
        <v>245</v>
      </c>
      <c r="B97" s="31" t="s">
        <v>411</v>
      </c>
      <c r="C97" s="41">
        <f>'7. Nettoinvestoinnit '!C97</f>
        <v>-20246</v>
      </c>
      <c r="D97" s="41">
        <f>'7. Nettoinvestoinnit '!D97</f>
        <v>-13501</v>
      </c>
      <c r="E97" s="41">
        <f>'7. Nettoinvestoinnit '!E97</f>
        <v>-22506</v>
      </c>
      <c r="F97" s="41">
        <f>'7. Nettoinvestoinnit '!F97</f>
        <v>-21209</v>
      </c>
      <c r="G97" s="41">
        <f>'7. Nettoinvestoinnit '!G97</f>
        <v>-32396</v>
      </c>
      <c r="H97" s="41">
        <f>'7. Nettoinvestoinnit '!H97</f>
        <v>-31113</v>
      </c>
      <c r="I97" s="41">
        <f>'7. Nettoinvestoinnit '!I97</f>
        <v>-22478.045329999997</v>
      </c>
      <c r="J97" s="73">
        <v>-15272.487590000001</v>
      </c>
      <c r="K97" s="41">
        <v>-15533.51024</v>
      </c>
      <c r="L97" s="41">
        <v>-20415</v>
      </c>
      <c r="M97" s="41">
        <v>-23000</v>
      </c>
      <c r="N97" s="41">
        <v>-18280</v>
      </c>
      <c r="O97" s="174"/>
      <c r="P97" s="174">
        <f t="shared" si="13"/>
        <v>-31113</v>
      </c>
      <c r="Q97" s="174">
        <f t="shared" si="14"/>
        <v>-22478.045329999997</v>
      </c>
      <c r="R97" s="174">
        <f t="shared" si="15"/>
        <v>-15272.487590000001</v>
      </c>
      <c r="S97" s="174">
        <f t="shared" si="16"/>
        <v>-15533.51024</v>
      </c>
      <c r="T97" s="174">
        <f t="shared" si="17"/>
        <v>-20415</v>
      </c>
      <c r="U97" s="174">
        <f t="shared" si="18"/>
        <v>-23000</v>
      </c>
      <c r="V97" s="174">
        <f t="shared" si="19"/>
        <v>-18280</v>
      </c>
      <c r="W97" s="73"/>
      <c r="X97" s="73">
        <f t="shared" si="21"/>
        <v>-20870.291880000001</v>
      </c>
      <c r="Y97" s="339">
        <f t="shared" si="20"/>
        <v>5.5618006333036261E-3</v>
      </c>
      <c r="Z97" s="73"/>
    </row>
    <row r="98" spans="1:26" x14ac:dyDescent="0.25">
      <c r="A98" s="30">
        <v>249</v>
      </c>
      <c r="B98" s="31" t="s">
        <v>412</v>
      </c>
      <c r="C98" s="41">
        <f>'7. Nettoinvestoinnit '!C98</f>
        <v>-14999</v>
      </c>
      <c r="D98" s="41">
        <f>'7. Nettoinvestoinnit '!D98</f>
        <v>-12039</v>
      </c>
      <c r="E98" s="41">
        <f>'7. Nettoinvestoinnit '!E98</f>
        <v>-5170</v>
      </c>
      <c r="F98" s="41">
        <f>'7. Nettoinvestoinnit '!F98</f>
        <v>-3792</v>
      </c>
      <c r="G98" s="41">
        <f>'7. Nettoinvestoinnit '!G98</f>
        <v>-6303</v>
      </c>
      <c r="H98" s="41">
        <f>'7. Nettoinvestoinnit '!H98</f>
        <v>-5778</v>
      </c>
      <c r="I98" s="41">
        <f>'7. Nettoinvestoinnit '!I98</f>
        <v>-2838.9360000000001</v>
      </c>
      <c r="J98" s="73">
        <v>-2816.9059999999999</v>
      </c>
      <c r="K98" s="41">
        <v>-1675.825</v>
      </c>
      <c r="L98" s="41">
        <v>-1920</v>
      </c>
      <c r="M98" s="41">
        <v>-1350</v>
      </c>
      <c r="N98" s="41">
        <v>-1400</v>
      </c>
      <c r="O98" s="174"/>
      <c r="P98" s="174">
        <f t="shared" si="13"/>
        <v>-5778</v>
      </c>
      <c r="Q98" s="174">
        <f t="shared" si="14"/>
        <v>-2838.9360000000001</v>
      </c>
      <c r="R98" s="174">
        <f t="shared" si="15"/>
        <v>-2816.9059999999999</v>
      </c>
      <c r="S98" s="174">
        <f t="shared" si="16"/>
        <v>-1675.825</v>
      </c>
      <c r="T98" s="174">
        <f t="shared" si="17"/>
        <v>-1920</v>
      </c>
      <c r="U98" s="174">
        <f t="shared" si="18"/>
        <v>-1350</v>
      </c>
      <c r="V98" s="174">
        <f t="shared" si="19"/>
        <v>-1400</v>
      </c>
      <c r="W98" s="73"/>
      <c r="X98" s="73">
        <f t="shared" si="21"/>
        <v>-2539.9524285714288</v>
      </c>
      <c r="Y98" s="339">
        <f t="shared" si="20"/>
        <v>6.7688123898867363E-4</v>
      </c>
      <c r="Z98" s="73"/>
    </row>
    <row r="99" spans="1:26" x14ac:dyDescent="0.25">
      <c r="A99" s="30">
        <v>250</v>
      </c>
      <c r="B99" s="31" t="s">
        <v>413</v>
      </c>
      <c r="C99" s="41">
        <f>'7. Nettoinvestoinnit '!C99</f>
        <v>-659</v>
      </c>
      <c r="D99" s="41">
        <f>'7. Nettoinvestoinnit '!D99</f>
        <v>-67</v>
      </c>
      <c r="E99" s="41">
        <f>'7. Nettoinvestoinnit '!E99</f>
        <v>-1017</v>
      </c>
      <c r="F99" s="41">
        <f>'7. Nettoinvestoinnit '!F99</f>
        <v>-132</v>
      </c>
      <c r="G99" s="41">
        <f>'7. Nettoinvestoinnit '!G99</f>
        <v>-794</v>
      </c>
      <c r="H99" s="41">
        <f>'7. Nettoinvestoinnit '!H99</f>
        <v>2715</v>
      </c>
      <c r="I99" s="41">
        <f>'7. Nettoinvestoinnit '!I99</f>
        <v>-396.01021999999995</v>
      </c>
      <c r="J99" s="73">
        <v>-385.50258000000002</v>
      </c>
      <c r="K99" s="41">
        <v>-117.51155</v>
      </c>
      <c r="L99" s="41">
        <v>-269</v>
      </c>
      <c r="M99" s="41">
        <v>-315</v>
      </c>
      <c r="N99" s="41">
        <v>-170</v>
      </c>
      <c r="O99" s="174"/>
      <c r="P99" s="174">
        <f t="shared" si="13"/>
        <v>-794</v>
      </c>
      <c r="Q99" s="174">
        <f t="shared" si="14"/>
        <v>-396.01021999999995</v>
      </c>
      <c r="R99" s="174">
        <f t="shared" si="15"/>
        <v>-385.50258000000002</v>
      </c>
      <c r="S99" s="174">
        <f t="shared" si="16"/>
        <v>-117.51155</v>
      </c>
      <c r="T99" s="174">
        <f t="shared" si="17"/>
        <v>-269</v>
      </c>
      <c r="U99" s="174">
        <f t="shared" si="18"/>
        <v>-315</v>
      </c>
      <c r="V99" s="174">
        <f t="shared" si="19"/>
        <v>-170</v>
      </c>
      <c r="W99" s="73"/>
      <c r="X99" s="73">
        <f t="shared" si="21"/>
        <v>-349.57490714285711</v>
      </c>
      <c r="Y99" s="339">
        <f t="shared" si="20"/>
        <v>9.3159499211287455E-5</v>
      </c>
      <c r="Z99" s="73"/>
    </row>
    <row r="100" spans="1:26" x14ac:dyDescent="0.25">
      <c r="A100" s="30">
        <v>256</v>
      </c>
      <c r="B100" s="31" t="s">
        <v>414</v>
      </c>
      <c r="C100" s="41">
        <f>'7. Nettoinvestoinnit '!C100</f>
        <v>-543</v>
      </c>
      <c r="D100" s="41">
        <f>'7. Nettoinvestoinnit '!D100</f>
        <v>-1148</v>
      </c>
      <c r="E100" s="41">
        <f>'7. Nettoinvestoinnit '!E100</f>
        <v>-96</v>
      </c>
      <c r="F100" s="41">
        <f>'7. Nettoinvestoinnit '!F100</f>
        <v>-1134</v>
      </c>
      <c r="G100" s="41">
        <f>'7. Nettoinvestoinnit '!G100</f>
        <v>-594</v>
      </c>
      <c r="H100" s="41">
        <f>'7. Nettoinvestoinnit '!H100</f>
        <v>-1341</v>
      </c>
      <c r="I100" s="41">
        <f>'7. Nettoinvestoinnit '!I100</f>
        <v>-1284.28926</v>
      </c>
      <c r="J100" s="73">
        <v>-419.56953999999996</v>
      </c>
      <c r="K100" s="41">
        <v>-825.49506999999994</v>
      </c>
      <c r="L100" s="41">
        <v>-630</v>
      </c>
      <c r="M100" s="41">
        <v>-300</v>
      </c>
      <c r="N100" s="41">
        <v>-185</v>
      </c>
      <c r="O100" s="174"/>
      <c r="P100" s="174">
        <f t="shared" si="13"/>
        <v>-1341</v>
      </c>
      <c r="Q100" s="174">
        <f t="shared" si="14"/>
        <v>-1284.28926</v>
      </c>
      <c r="R100" s="174">
        <f t="shared" si="15"/>
        <v>-419.56953999999996</v>
      </c>
      <c r="S100" s="174">
        <f t="shared" si="16"/>
        <v>-825.49506999999994</v>
      </c>
      <c r="T100" s="174">
        <f t="shared" si="17"/>
        <v>-630</v>
      </c>
      <c r="U100" s="174">
        <f t="shared" si="18"/>
        <v>-300</v>
      </c>
      <c r="V100" s="174">
        <f t="shared" si="19"/>
        <v>-185</v>
      </c>
      <c r="W100" s="73"/>
      <c r="X100" s="73">
        <f t="shared" si="21"/>
        <v>-712.19340999999997</v>
      </c>
      <c r="Y100" s="339">
        <f t="shared" si="20"/>
        <v>1.8979503408711641E-4</v>
      </c>
      <c r="Z100" s="73"/>
    </row>
    <row r="101" spans="1:26" x14ac:dyDescent="0.25">
      <c r="A101" s="30">
        <v>257</v>
      </c>
      <c r="B101" s="31" t="s">
        <v>415</v>
      </c>
      <c r="C101" s="41">
        <f>'7. Nettoinvestoinnit '!C101</f>
        <v>-16354</v>
      </c>
      <c r="D101" s="41">
        <f>'7. Nettoinvestoinnit '!D101</f>
        <v>-22455</v>
      </c>
      <c r="E101" s="41">
        <f>'7. Nettoinvestoinnit '!E101</f>
        <v>-22057</v>
      </c>
      <c r="F101" s="41">
        <f>'7. Nettoinvestoinnit '!F101</f>
        <v>-26383</v>
      </c>
      <c r="G101" s="41">
        <f>'7. Nettoinvestoinnit '!G101</f>
        <v>-42965</v>
      </c>
      <c r="H101" s="41">
        <f>'7. Nettoinvestoinnit '!H101</f>
        <v>-52710</v>
      </c>
      <c r="I101" s="41">
        <f>'7. Nettoinvestoinnit '!I101</f>
        <v>-33513.823530000001</v>
      </c>
      <c r="J101" s="73">
        <v>40162.743600000002</v>
      </c>
      <c r="K101" s="41">
        <v>-22986.752769999999</v>
      </c>
      <c r="L101" s="41">
        <v>-52837</v>
      </c>
      <c r="M101" s="41">
        <v>-80458</v>
      </c>
      <c r="N101" s="41">
        <v>-85897</v>
      </c>
      <c r="O101" s="174"/>
      <c r="P101" s="174">
        <f t="shared" si="13"/>
        <v>-52710</v>
      </c>
      <c r="Q101" s="174">
        <f t="shared" si="14"/>
        <v>-33513.823530000001</v>
      </c>
      <c r="R101" s="174">
        <f t="shared" si="15"/>
        <v>-33513.823530000001</v>
      </c>
      <c r="S101" s="174">
        <f t="shared" si="16"/>
        <v>-22986.752769999999</v>
      </c>
      <c r="T101" s="174">
        <f t="shared" si="17"/>
        <v>-52837</v>
      </c>
      <c r="U101" s="174">
        <f t="shared" si="18"/>
        <v>-80458</v>
      </c>
      <c r="V101" s="174">
        <f t="shared" si="19"/>
        <v>-85897</v>
      </c>
      <c r="W101" s="73"/>
      <c r="X101" s="73">
        <f t="shared" si="21"/>
        <v>-51702.342832857146</v>
      </c>
      <c r="Y101" s="339">
        <f t="shared" si="20"/>
        <v>1.3778346980697142E-2</v>
      </c>
      <c r="Z101" s="73"/>
    </row>
    <row r="102" spans="1:26" x14ac:dyDescent="0.25">
      <c r="A102" s="30">
        <v>260</v>
      </c>
      <c r="B102" s="31" t="s">
        <v>416</v>
      </c>
      <c r="C102" s="41">
        <f>'7. Nettoinvestoinnit '!C102</f>
        <v>-5539</v>
      </c>
      <c r="D102" s="41">
        <f>'7. Nettoinvestoinnit '!D102</f>
        <v>-3094</v>
      </c>
      <c r="E102" s="41">
        <f>'7. Nettoinvestoinnit '!E102</f>
        <v>-830</v>
      </c>
      <c r="F102" s="41">
        <f>'7. Nettoinvestoinnit '!F102</f>
        <v>-2765</v>
      </c>
      <c r="G102" s="41">
        <f>'7. Nettoinvestoinnit '!G102</f>
        <v>-1766</v>
      </c>
      <c r="H102" s="41">
        <f>'7. Nettoinvestoinnit '!H102</f>
        <v>-3155</v>
      </c>
      <c r="I102" s="41">
        <f>'7. Nettoinvestoinnit '!I102</f>
        <v>-2064.2414699999999</v>
      </c>
      <c r="J102" s="73">
        <v>-2479.59121</v>
      </c>
      <c r="K102" s="41">
        <v>-4996.74449</v>
      </c>
      <c r="L102" s="41">
        <v>-8567.0110000000004</v>
      </c>
      <c r="M102" s="41">
        <v>-6554.4449999999997</v>
      </c>
      <c r="N102" s="41">
        <v>-2591.3000000000002</v>
      </c>
      <c r="O102" s="174"/>
      <c r="P102" s="174">
        <f t="shared" si="13"/>
        <v>-3155</v>
      </c>
      <c r="Q102" s="174">
        <f t="shared" si="14"/>
        <v>-2064.2414699999999</v>
      </c>
      <c r="R102" s="174">
        <f t="shared" si="15"/>
        <v>-2479.59121</v>
      </c>
      <c r="S102" s="174">
        <f t="shared" si="16"/>
        <v>-4996.74449</v>
      </c>
      <c r="T102" s="174">
        <f t="shared" si="17"/>
        <v>-8567.0110000000004</v>
      </c>
      <c r="U102" s="174">
        <f t="shared" si="18"/>
        <v>-6554.4449999999997</v>
      </c>
      <c r="V102" s="174">
        <f t="shared" si="19"/>
        <v>-2591.3000000000002</v>
      </c>
      <c r="W102" s="73"/>
      <c r="X102" s="73">
        <f t="shared" si="21"/>
        <v>-4344.0475957142862</v>
      </c>
      <c r="Y102" s="339">
        <f t="shared" si="20"/>
        <v>1.1576611773263237E-3</v>
      </c>
      <c r="Z102" s="73"/>
    </row>
    <row r="103" spans="1:26" x14ac:dyDescent="0.25">
      <c r="A103" s="30">
        <v>261</v>
      </c>
      <c r="B103" s="31" t="s">
        <v>417</v>
      </c>
      <c r="C103" s="41">
        <f>'7. Nettoinvestoinnit '!C103</f>
        <v>-3903</v>
      </c>
      <c r="D103" s="41">
        <f>'7. Nettoinvestoinnit '!D103</f>
        <v>-3326</v>
      </c>
      <c r="E103" s="41">
        <f>'7. Nettoinvestoinnit '!E103</f>
        <v>-1348</v>
      </c>
      <c r="F103" s="41">
        <f>'7. Nettoinvestoinnit '!F103</f>
        <v>-109</v>
      </c>
      <c r="G103" s="41">
        <f>'7. Nettoinvestoinnit '!G103</f>
        <v>-4139</v>
      </c>
      <c r="H103" s="41">
        <f>'7. Nettoinvestoinnit '!H103</f>
        <v>-3426</v>
      </c>
      <c r="I103" s="41">
        <f>'7. Nettoinvestoinnit '!I103</f>
        <v>2768.6219999999998</v>
      </c>
      <c r="J103" s="73">
        <v>-4228.0383000000002</v>
      </c>
      <c r="K103" s="41">
        <v>-14876.965920000001</v>
      </c>
      <c r="L103" s="41">
        <v>-23505</v>
      </c>
      <c r="M103" s="41">
        <v>-12240</v>
      </c>
      <c r="N103" s="41">
        <v>-5130</v>
      </c>
      <c r="O103" s="174"/>
      <c r="P103" s="174">
        <f t="shared" si="13"/>
        <v>-3426</v>
      </c>
      <c r="Q103" s="174">
        <f t="shared" si="14"/>
        <v>-3426</v>
      </c>
      <c r="R103" s="174">
        <f t="shared" si="15"/>
        <v>-4228.0383000000002</v>
      </c>
      <c r="S103" s="174">
        <f t="shared" si="16"/>
        <v>-14876.965920000001</v>
      </c>
      <c r="T103" s="174">
        <f t="shared" si="17"/>
        <v>-23505</v>
      </c>
      <c r="U103" s="174">
        <f t="shared" si="18"/>
        <v>-12240</v>
      </c>
      <c r="V103" s="174">
        <f t="shared" si="19"/>
        <v>-5130</v>
      </c>
      <c r="W103" s="73"/>
      <c r="X103" s="73">
        <f t="shared" si="21"/>
        <v>-9547.4291742857149</v>
      </c>
      <c r="Y103" s="339">
        <f t="shared" si="20"/>
        <v>2.5443294196977853E-3</v>
      </c>
      <c r="Z103" s="73"/>
    </row>
    <row r="104" spans="1:26" x14ac:dyDescent="0.25">
      <c r="A104" s="30">
        <v>263</v>
      </c>
      <c r="B104" s="31" t="s">
        <v>418</v>
      </c>
      <c r="C104" s="41">
        <f>'7. Nettoinvestoinnit '!C104</f>
        <v>-3242</v>
      </c>
      <c r="D104" s="41">
        <f>'7. Nettoinvestoinnit '!D104</f>
        <v>-3103</v>
      </c>
      <c r="E104" s="41">
        <f>'7. Nettoinvestoinnit '!E104</f>
        <v>-3915</v>
      </c>
      <c r="F104" s="41">
        <f>'7. Nettoinvestoinnit '!F104</f>
        <v>-3523</v>
      </c>
      <c r="G104" s="41">
        <f>'7. Nettoinvestoinnit '!G104</f>
        <v>-2919</v>
      </c>
      <c r="H104" s="41">
        <f>'7. Nettoinvestoinnit '!H104</f>
        <v>-2836</v>
      </c>
      <c r="I104" s="41">
        <f>'7. Nettoinvestoinnit '!I104</f>
        <v>-3890.5453199999997</v>
      </c>
      <c r="J104" s="73">
        <v>-2370.1173699999999</v>
      </c>
      <c r="K104" s="41">
        <v>-190.76161999999999</v>
      </c>
      <c r="L104" s="41">
        <v>-2240</v>
      </c>
      <c r="M104" s="41">
        <v>-1162</v>
      </c>
      <c r="N104" s="41">
        <v>-1036</v>
      </c>
      <c r="O104" s="174"/>
      <c r="P104" s="174">
        <f t="shared" si="13"/>
        <v>-2836</v>
      </c>
      <c r="Q104" s="174">
        <f t="shared" si="14"/>
        <v>-3890.5453199999997</v>
      </c>
      <c r="R104" s="174">
        <f t="shared" si="15"/>
        <v>-2370.1173699999999</v>
      </c>
      <c r="S104" s="174">
        <f t="shared" si="16"/>
        <v>-190.76161999999999</v>
      </c>
      <c r="T104" s="174">
        <f t="shared" si="17"/>
        <v>-2240</v>
      </c>
      <c r="U104" s="174">
        <f t="shared" si="18"/>
        <v>-1162</v>
      </c>
      <c r="V104" s="174">
        <f t="shared" si="19"/>
        <v>-1036</v>
      </c>
      <c r="W104" s="73"/>
      <c r="X104" s="73">
        <f t="shared" si="21"/>
        <v>-1960.7749014285712</v>
      </c>
      <c r="Y104" s="339">
        <f t="shared" si="20"/>
        <v>5.2253409541348891E-4</v>
      </c>
      <c r="Z104" s="73"/>
    </row>
    <row r="105" spans="1:26" x14ac:dyDescent="0.25">
      <c r="A105" s="30">
        <v>265</v>
      </c>
      <c r="B105" s="31" t="s">
        <v>419</v>
      </c>
      <c r="C105" s="41">
        <f>'7. Nettoinvestoinnit '!C105</f>
        <v>-3294</v>
      </c>
      <c r="D105" s="41">
        <f>'7. Nettoinvestoinnit '!D105</f>
        <v>-185</v>
      </c>
      <c r="E105" s="41">
        <f>'7. Nettoinvestoinnit '!E105</f>
        <v>-231</v>
      </c>
      <c r="F105" s="41">
        <f>'7. Nettoinvestoinnit '!F105</f>
        <v>-352</v>
      </c>
      <c r="G105" s="41">
        <f>'7. Nettoinvestoinnit '!G105</f>
        <v>-146</v>
      </c>
      <c r="H105" s="41">
        <f>'7. Nettoinvestoinnit '!H105</f>
        <v>-202</v>
      </c>
      <c r="I105" s="41">
        <f>'7. Nettoinvestoinnit '!I105</f>
        <v>-965.86552000000006</v>
      </c>
      <c r="J105" s="73">
        <v>-117.81756</v>
      </c>
      <c r="K105" s="41">
        <v>-39.312669999999997</v>
      </c>
      <c r="L105" s="41">
        <v>-360</v>
      </c>
      <c r="M105" s="41">
        <v>-225</v>
      </c>
      <c r="N105" s="41">
        <v>-40</v>
      </c>
      <c r="O105" s="174"/>
      <c r="P105" s="174">
        <f t="shared" si="13"/>
        <v>-202</v>
      </c>
      <c r="Q105" s="174">
        <f t="shared" si="14"/>
        <v>-965.86552000000006</v>
      </c>
      <c r="R105" s="174">
        <f t="shared" si="15"/>
        <v>-117.81756</v>
      </c>
      <c r="S105" s="174">
        <f t="shared" si="16"/>
        <v>-39.312669999999997</v>
      </c>
      <c r="T105" s="174">
        <f t="shared" si="17"/>
        <v>-360</v>
      </c>
      <c r="U105" s="174">
        <f t="shared" si="18"/>
        <v>-225</v>
      </c>
      <c r="V105" s="174">
        <f t="shared" si="19"/>
        <v>-40</v>
      </c>
      <c r="W105" s="73"/>
      <c r="X105" s="73">
        <f t="shared" si="21"/>
        <v>-278.57082142857143</v>
      </c>
      <c r="Y105" s="339">
        <f t="shared" si="20"/>
        <v>7.4237359973201286E-5</v>
      </c>
      <c r="Z105" s="73"/>
    </row>
    <row r="106" spans="1:26" x14ac:dyDescent="0.25">
      <c r="A106" s="30">
        <v>271</v>
      </c>
      <c r="B106" s="31" t="s">
        <v>420</v>
      </c>
      <c r="C106" s="41">
        <f>'7. Nettoinvestoinnit '!C106</f>
        <v>-2439</v>
      </c>
      <c r="D106" s="41">
        <f>'7. Nettoinvestoinnit '!D106</f>
        <v>-3626</v>
      </c>
      <c r="E106" s="41">
        <f>'7. Nettoinvestoinnit '!E106</f>
        <v>-1713</v>
      </c>
      <c r="F106" s="41">
        <f>'7. Nettoinvestoinnit '!F106</f>
        <v>-1408</v>
      </c>
      <c r="G106" s="41">
        <f>'7. Nettoinvestoinnit '!G106</f>
        <v>-2116</v>
      </c>
      <c r="H106" s="41">
        <f>'7. Nettoinvestoinnit '!H106</f>
        <v>-4715</v>
      </c>
      <c r="I106" s="41">
        <f>'7. Nettoinvestoinnit '!I106</f>
        <v>-3929.2456099999999</v>
      </c>
      <c r="J106" s="73">
        <v>-1000.82975</v>
      </c>
      <c r="K106" s="41">
        <v>-1841.7565400000001</v>
      </c>
      <c r="L106" s="41">
        <v>-5023.5</v>
      </c>
      <c r="M106" s="41">
        <v>-4597.5</v>
      </c>
      <c r="N106" s="41">
        <v>-2845</v>
      </c>
      <c r="O106" s="174"/>
      <c r="P106" s="174">
        <f t="shared" si="13"/>
        <v>-4715</v>
      </c>
      <c r="Q106" s="174">
        <f t="shared" si="14"/>
        <v>-3929.2456099999999</v>
      </c>
      <c r="R106" s="174">
        <f t="shared" si="15"/>
        <v>-1000.82975</v>
      </c>
      <c r="S106" s="174">
        <f t="shared" si="16"/>
        <v>-1841.7565400000001</v>
      </c>
      <c r="T106" s="174">
        <f t="shared" si="17"/>
        <v>-5023.5</v>
      </c>
      <c r="U106" s="174">
        <f t="shared" si="18"/>
        <v>-4597.5</v>
      </c>
      <c r="V106" s="174">
        <f t="shared" si="19"/>
        <v>-2845</v>
      </c>
      <c r="W106" s="73"/>
      <c r="X106" s="73">
        <f t="shared" si="21"/>
        <v>-3421.8331285714289</v>
      </c>
      <c r="Y106" s="339">
        <f t="shared" si="20"/>
        <v>9.1189686138437955E-4</v>
      </c>
      <c r="Z106" s="73"/>
    </row>
    <row r="107" spans="1:26" x14ac:dyDescent="0.25">
      <c r="A107" s="30">
        <v>272</v>
      </c>
      <c r="B107" s="31" t="s">
        <v>421</v>
      </c>
      <c r="C107" s="41">
        <f>'7. Nettoinvestoinnit '!C107</f>
        <v>-54543</v>
      </c>
      <c r="D107" s="41">
        <f>'7. Nettoinvestoinnit '!D107</f>
        <v>-15224</v>
      </c>
      <c r="E107" s="41">
        <f>'7. Nettoinvestoinnit '!E107</f>
        <v>-13051</v>
      </c>
      <c r="F107" s="41">
        <f>'7. Nettoinvestoinnit '!F107</f>
        <v>-13244</v>
      </c>
      <c r="G107" s="41">
        <f>'7. Nettoinvestoinnit '!G107</f>
        <v>-17531</v>
      </c>
      <c r="H107" s="41">
        <f>'7. Nettoinvestoinnit '!H107</f>
        <v>-15637</v>
      </c>
      <c r="I107" s="41">
        <f>'7. Nettoinvestoinnit '!I107</f>
        <v>-28811.6433</v>
      </c>
      <c r="J107" s="73">
        <v>-10082.270410000001</v>
      </c>
      <c r="K107" s="41">
        <v>-22792.769239999998</v>
      </c>
      <c r="L107" s="41">
        <v>-42615</v>
      </c>
      <c r="M107" s="41">
        <v>-52960</v>
      </c>
      <c r="N107" s="41">
        <v>-57070</v>
      </c>
      <c r="O107" s="174"/>
      <c r="P107" s="174">
        <f t="shared" si="13"/>
        <v>-15637</v>
      </c>
      <c r="Q107" s="174">
        <f t="shared" si="14"/>
        <v>-28811.6433</v>
      </c>
      <c r="R107" s="174">
        <f t="shared" si="15"/>
        <v>-10082.270410000001</v>
      </c>
      <c r="S107" s="174">
        <f t="shared" si="16"/>
        <v>-22792.769239999998</v>
      </c>
      <c r="T107" s="174">
        <f t="shared" si="17"/>
        <v>-42615</v>
      </c>
      <c r="U107" s="174">
        <f t="shared" si="18"/>
        <v>-52960</v>
      </c>
      <c r="V107" s="174">
        <f t="shared" si="19"/>
        <v>-57070</v>
      </c>
      <c r="W107" s="73"/>
      <c r="X107" s="73">
        <f t="shared" si="21"/>
        <v>-32852.668992857143</v>
      </c>
      <c r="Y107" s="339">
        <f t="shared" si="20"/>
        <v>8.7550282603037211E-3</v>
      </c>
      <c r="Z107" s="73"/>
    </row>
    <row r="108" spans="1:26" x14ac:dyDescent="0.25">
      <c r="A108" s="30">
        <v>273</v>
      </c>
      <c r="B108" s="31" t="s">
        <v>422</v>
      </c>
      <c r="C108" s="41">
        <f>'7. Nettoinvestoinnit '!C108</f>
        <v>-1684</v>
      </c>
      <c r="D108" s="41">
        <f>'7. Nettoinvestoinnit '!D108</f>
        <v>-2222</v>
      </c>
      <c r="E108" s="41">
        <f>'7. Nettoinvestoinnit '!E108</f>
        <v>-2078</v>
      </c>
      <c r="F108" s="41">
        <f>'7. Nettoinvestoinnit '!F108</f>
        <v>-1630</v>
      </c>
      <c r="G108" s="41">
        <f>'7. Nettoinvestoinnit '!G108</f>
        <v>-648</v>
      </c>
      <c r="H108" s="41">
        <f>'7. Nettoinvestoinnit '!H108</f>
        <v>-955</v>
      </c>
      <c r="I108" s="41">
        <f>'7. Nettoinvestoinnit '!I108</f>
        <v>-190.547</v>
      </c>
      <c r="J108" s="73">
        <v>-768.82286999999997</v>
      </c>
      <c r="K108" s="41">
        <v>-1231.4355600000001</v>
      </c>
      <c r="L108" s="41">
        <v>-1738.5</v>
      </c>
      <c r="M108" s="41">
        <v>-2855</v>
      </c>
      <c r="N108" s="41">
        <v>-1540</v>
      </c>
      <c r="O108" s="174"/>
      <c r="P108" s="174">
        <f t="shared" si="13"/>
        <v>-955</v>
      </c>
      <c r="Q108" s="174">
        <f t="shared" si="14"/>
        <v>-190.547</v>
      </c>
      <c r="R108" s="174">
        <f t="shared" si="15"/>
        <v>-768.82286999999997</v>
      </c>
      <c r="S108" s="174">
        <f t="shared" si="16"/>
        <v>-1231.4355600000001</v>
      </c>
      <c r="T108" s="174">
        <f t="shared" si="17"/>
        <v>-1738.5</v>
      </c>
      <c r="U108" s="174">
        <f t="shared" si="18"/>
        <v>-2855</v>
      </c>
      <c r="V108" s="174">
        <f t="shared" si="19"/>
        <v>-1540</v>
      </c>
      <c r="W108" s="73"/>
      <c r="X108" s="73">
        <f t="shared" si="21"/>
        <v>-1325.6150614285714</v>
      </c>
      <c r="Y108" s="339">
        <f t="shared" si="20"/>
        <v>3.5326801994732109E-4</v>
      </c>
      <c r="Z108" s="73"/>
    </row>
    <row r="109" spans="1:26" x14ac:dyDescent="0.25">
      <c r="A109" s="30">
        <v>275</v>
      </c>
      <c r="B109" s="31" t="s">
        <v>423</v>
      </c>
      <c r="C109" s="41">
        <f>'7. Nettoinvestoinnit '!C109</f>
        <v>-5034</v>
      </c>
      <c r="D109" s="41">
        <f>'7. Nettoinvestoinnit '!D109</f>
        <v>-5726</v>
      </c>
      <c r="E109" s="41">
        <f>'7. Nettoinvestoinnit '!E109</f>
        <v>-3009</v>
      </c>
      <c r="F109" s="41">
        <f>'7. Nettoinvestoinnit '!F109</f>
        <v>-922</v>
      </c>
      <c r="G109" s="41">
        <f>'7. Nettoinvestoinnit '!G109</f>
        <v>-115</v>
      </c>
      <c r="H109" s="41">
        <f>'7. Nettoinvestoinnit '!H109</f>
        <v>-153</v>
      </c>
      <c r="I109" s="41">
        <f>'7. Nettoinvestoinnit '!I109</f>
        <v>-1356.48966</v>
      </c>
      <c r="J109" s="73">
        <v>-1237.7463</v>
      </c>
      <c r="K109" s="41">
        <v>-266.62461999999999</v>
      </c>
      <c r="L109" s="41">
        <v>-520</v>
      </c>
      <c r="M109" s="41">
        <v>-1315</v>
      </c>
      <c r="N109" s="41">
        <v>-855</v>
      </c>
      <c r="O109" s="174"/>
      <c r="P109" s="174">
        <f t="shared" si="13"/>
        <v>-153</v>
      </c>
      <c r="Q109" s="174">
        <f t="shared" si="14"/>
        <v>-1356.48966</v>
      </c>
      <c r="R109" s="174">
        <f t="shared" si="15"/>
        <v>-1237.7463</v>
      </c>
      <c r="S109" s="174">
        <f t="shared" si="16"/>
        <v>-266.62461999999999</v>
      </c>
      <c r="T109" s="174">
        <f t="shared" si="17"/>
        <v>-520</v>
      </c>
      <c r="U109" s="174">
        <f t="shared" si="18"/>
        <v>-1315</v>
      </c>
      <c r="V109" s="174">
        <f t="shared" si="19"/>
        <v>-855</v>
      </c>
      <c r="W109" s="73"/>
      <c r="X109" s="73">
        <f t="shared" si="21"/>
        <v>-814.83722571428575</v>
      </c>
      <c r="Y109" s="339">
        <f t="shared" si="20"/>
        <v>2.1714896102435747E-4</v>
      </c>
      <c r="Z109" s="73"/>
    </row>
    <row r="110" spans="1:26" x14ac:dyDescent="0.25">
      <c r="A110" s="30">
        <v>276</v>
      </c>
      <c r="B110" s="31" t="s">
        <v>424</v>
      </c>
      <c r="C110" s="41">
        <f>'7. Nettoinvestoinnit '!C110</f>
        <v>-3483</v>
      </c>
      <c r="D110" s="41">
        <f>'7. Nettoinvestoinnit '!D110</f>
        <v>4646</v>
      </c>
      <c r="E110" s="41">
        <f>'7. Nettoinvestoinnit '!E110</f>
        <v>-5084</v>
      </c>
      <c r="F110" s="41">
        <f>'7. Nettoinvestoinnit '!F110</f>
        <v>-6779</v>
      </c>
      <c r="G110" s="41">
        <f>'7. Nettoinvestoinnit '!G110</f>
        <v>-4813</v>
      </c>
      <c r="H110" s="41">
        <f>'7. Nettoinvestoinnit '!H110</f>
        <v>-8261</v>
      </c>
      <c r="I110" s="41">
        <f>'7. Nettoinvestoinnit '!I110</f>
        <v>-18103.798220000001</v>
      </c>
      <c r="J110" s="73">
        <v>-14915.068539999998</v>
      </c>
      <c r="K110" s="41">
        <v>-11003.181619999999</v>
      </c>
      <c r="L110" s="41">
        <v>-3490.3</v>
      </c>
      <c r="M110" s="41">
        <v>-5505</v>
      </c>
      <c r="N110" s="41">
        <v>-2100</v>
      </c>
      <c r="O110" s="174"/>
      <c r="P110" s="174">
        <f t="shared" si="13"/>
        <v>-8261</v>
      </c>
      <c r="Q110" s="174">
        <f t="shared" si="14"/>
        <v>-18103.798220000001</v>
      </c>
      <c r="R110" s="174">
        <f t="shared" si="15"/>
        <v>-14915.068539999998</v>
      </c>
      <c r="S110" s="174">
        <f t="shared" si="16"/>
        <v>-11003.181619999999</v>
      </c>
      <c r="T110" s="174">
        <f t="shared" si="17"/>
        <v>-3490.3</v>
      </c>
      <c r="U110" s="174">
        <f t="shared" si="18"/>
        <v>-5505</v>
      </c>
      <c r="V110" s="174">
        <f t="shared" si="19"/>
        <v>-2100</v>
      </c>
      <c r="W110" s="73"/>
      <c r="X110" s="73">
        <f t="shared" si="21"/>
        <v>-9054.0497685714272</v>
      </c>
      <c r="Y110" s="339">
        <f t="shared" si="20"/>
        <v>2.4128469322012716E-3</v>
      </c>
      <c r="Z110" s="73"/>
    </row>
    <row r="111" spans="1:26" x14ac:dyDescent="0.25">
      <c r="A111" s="30">
        <v>280</v>
      </c>
      <c r="B111" s="31" t="s">
        <v>425</v>
      </c>
      <c r="C111" s="41">
        <f>'7. Nettoinvestoinnit '!C111</f>
        <v>-1169</v>
      </c>
      <c r="D111" s="41">
        <f>'7. Nettoinvestoinnit '!D111</f>
        <v>-1375</v>
      </c>
      <c r="E111" s="41">
        <f>'7. Nettoinvestoinnit '!E111</f>
        <v>-1306</v>
      </c>
      <c r="F111" s="41">
        <f>'7. Nettoinvestoinnit '!F111</f>
        <v>-667</v>
      </c>
      <c r="G111" s="41">
        <f>'7. Nettoinvestoinnit '!G111</f>
        <v>-647</v>
      </c>
      <c r="H111" s="41">
        <f>'7. Nettoinvestoinnit '!H111</f>
        <v>-1668</v>
      </c>
      <c r="I111" s="41">
        <f>'7. Nettoinvestoinnit '!I111</f>
        <v>-3008.0845099999997</v>
      </c>
      <c r="J111" s="73">
        <v>-1923.4434699999999</v>
      </c>
      <c r="K111" s="41">
        <v>-564.10292000000004</v>
      </c>
      <c r="L111" s="41">
        <v>-914.3</v>
      </c>
      <c r="M111" s="41">
        <v>-1695</v>
      </c>
      <c r="N111" s="41">
        <v>-1804</v>
      </c>
      <c r="O111" s="174"/>
      <c r="P111" s="174">
        <f t="shared" si="13"/>
        <v>-1668</v>
      </c>
      <c r="Q111" s="174">
        <f t="shared" si="14"/>
        <v>-3008.0845099999997</v>
      </c>
      <c r="R111" s="174">
        <f t="shared" si="15"/>
        <v>-1923.4434699999999</v>
      </c>
      <c r="S111" s="174">
        <f t="shared" si="16"/>
        <v>-564.10292000000004</v>
      </c>
      <c r="T111" s="174">
        <f t="shared" si="17"/>
        <v>-914.3</v>
      </c>
      <c r="U111" s="174">
        <f t="shared" si="18"/>
        <v>-1695</v>
      </c>
      <c r="V111" s="174">
        <f t="shared" si="19"/>
        <v>-1804</v>
      </c>
      <c r="W111" s="73"/>
      <c r="X111" s="73">
        <f t="shared" si="21"/>
        <v>-1653.8472714285713</v>
      </c>
      <c r="Y111" s="339">
        <f t="shared" si="20"/>
        <v>4.4073982551406953E-4</v>
      </c>
      <c r="Z111" s="73"/>
    </row>
    <row r="112" spans="1:26" x14ac:dyDescent="0.25">
      <c r="A112" s="30">
        <v>284</v>
      </c>
      <c r="B112" s="31" t="s">
        <v>426</v>
      </c>
      <c r="C112" s="41">
        <f>'7. Nettoinvestoinnit '!C112</f>
        <v>-807</v>
      </c>
      <c r="D112" s="41">
        <f>'7. Nettoinvestoinnit '!D112</f>
        <v>-1371</v>
      </c>
      <c r="E112" s="41">
        <f>'7. Nettoinvestoinnit '!E112</f>
        <v>-1644</v>
      </c>
      <c r="F112" s="41">
        <f>'7. Nettoinvestoinnit '!F112</f>
        <v>-1008</v>
      </c>
      <c r="G112" s="41">
        <f>'7. Nettoinvestoinnit '!G112</f>
        <v>-903</v>
      </c>
      <c r="H112" s="41">
        <f>'7. Nettoinvestoinnit '!H112</f>
        <v>-1432</v>
      </c>
      <c r="I112" s="41">
        <f>'7. Nettoinvestoinnit '!I112</f>
        <v>-406.67599999999999</v>
      </c>
      <c r="J112" s="73">
        <v>-440.90794</v>
      </c>
      <c r="K112" s="41">
        <v>-502.09591999999998</v>
      </c>
      <c r="L112" s="41">
        <v>-3176</v>
      </c>
      <c r="M112" s="41">
        <v>-1118</v>
      </c>
      <c r="N112" s="41">
        <v>-415.2</v>
      </c>
      <c r="O112" s="174"/>
      <c r="P112" s="174">
        <f t="shared" si="13"/>
        <v>-1432</v>
      </c>
      <c r="Q112" s="174">
        <f t="shared" si="14"/>
        <v>-406.67599999999999</v>
      </c>
      <c r="R112" s="174">
        <f t="shared" si="15"/>
        <v>-440.90794</v>
      </c>
      <c r="S112" s="174">
        <f t="shared" si="16"/>
        <v>-502.09591999999998</v>
      </c>
      <c r="T112" s="174">
        <f t="shared" si="17"/>
        <v>-3176</v>
      </c>
      <c r="U112" s="174">
        <f t="shared" si="18"/>
        <v>-1118</v>
      </c>
      <c r="V112" s="174">
        <f t="shared" si="19"/>
        <v>-415.2</v>
      </c>
      <c r="W112" s="73"/>
      <c r="X112" s="73">
        <f t="shared" si="21"/>
        <v>-1070.1256942857142</v>
      </c>
      <c r="Y112" s="339">
        <f t="shared" si="20"/>
        <v>2.8518172138725106E-4</v>
      </c>
      <c r="Z112" s="73"/>
    </row>
    <row r="113" spans="1:26" x14ac:dyDescent="0.25">
      <c r="A113" s="30">
        <v>285</v>
      </c>
      <c r="B113" s="31" t="s">
        <v>427</v>
      </c>
      <c r="C113" s="41">
        <f>'7. Nettoinvestoinnit '!C113</f>
        <v>-21858</v>
      </c>
      <c r="D113" s="41">
        <f>'7. Nettoinvestoinnit '!D113</f>
        <v>-18844</v>
      </c>
      <c r="E113" s="41">
        <f>'7. Nettoinvestoinnit '!E113</f>
        <v>19210</v>
      </c>
      <c r="F113" s="41">
        <f>'7. Nettoinvestoinnit '!F113</f>
        <v>-13650</v>
      </c>
      <c r="G113" s="41">
        <f>'7. Nettoinvestoinnit '!G113</f>
        <v>-34412</v>
      </c>
      <c r="H113" s="41">
        <f>'7. Nettoinvestoinnit '!H113</f>
        <v>-16188</v>
      </c>
      <c r="I113" s="41">
        <f>'7. Nettoinvestoinnit '!I113</f>
        <v>-17347.09347</v>
      </c>
      <c r="J113" s="73">
        <v>-22573.888879999999</v>
      </c>
      <c r="K113" s="41">
        <v>-27133.824789999999</v>
      </c>
      <c r="L113" s="41">
        <v>-25795</v>
      </c>
      <c r="M113" s="41">
        <v>-18441</v>
      </c>
      <c r="N113" s="41">
        <v>-15410</v>
      </c>
      <c r="O113" s="174"/>
      <c r="P113" s="174">
        <f t="shared" si="13"/>
        <v>-16188</v>
      </c>
      <c r="Q113" s="174">
        <f t="shared" si="14"/>
        <v>-17347.09347</v>
      </c>
      <c r="R113" s="174">
        <f t="shared" si="15"/>
        <v>-22573.888879999999</v>
      </c>
      <c r="S113" s="174">
        <f t="shared" si="16"/>
        <v>-27133.824789999999</v>
      </c>
      <c r="T113" s="174">
        <f t="shared" si="17"/>
        <v>-25795</v>
      </c>
      <c r="U113" s="174">
        <f t="shared" si="18"/>
        <v>-18441</v>
      </c>
      <c r="V113" s="174">
        <f t="shared" si="19"/>
        <v>-15410</v>
      </c>
      <c r="W113" s="73"/>
      <c r="X113" s="73">
        <f t="shared" si="21"/>
        <v>-20412.686734285711</v>
      </c>
      <c r="Y113" s="339">
        <f t="shared" si="20"/>
        <v>5.4398517595710214E-3</v>
      </c>
      <c r="Z113" s="73"/>
    </row>
    <row r="114" spans="1:26" x14ac:dyDescent="0.25">
      <c r="A114" s="30">
        <v>286</v>
      </c>
      <c r="B114" s="31" t="s">
        <v>428</v>
      </c>
      <c r="C114" s="41">
        <f>'7. Nettoinvestoinnit '!C114</f>
        <v>-28284</v>
      </c>
      <c r="D114" s="41">
        <f>'7. Nettoinvestoinnit '!D114</f>
        <v>-18700</v>
      </c>
      <c r="E114" s="41">
        <f>'7. Nettoinvestoinnit '!E114</f>
        <v>-29611</v>
      </c>
      <c r="F114" s="41">
        <f>'7. Nettoinvestoinnit '!F114</f>
        <v>-29940</v>
      </c>
      <c r="G114" s="41">
        <f>'7. Nettoinvestoinnit '!G114</f>
        <v>-41163</v>
      </c>
      <c r="H114" s="41">
        <f>'7. Nettoinvestoinnit '!H114</f>
        <v>-26756</v>
      </c>
      <c r="I114" s="41">
        <f>'7. Nettoinvestoinnit '!I114</f>
        <v>-35039.609799999998</v>
      </c>
      <c r="J114" s="73">
        <v>-26598.474340000001</v>
      </c>
      <c r="K114" s="41">
        <v>-27451.95563</v>
      </c>
      <c r="L114" s="41">
        <v>-32833.5</v>
      </c>
      <c r="M114" s="41">
        <v>-50100</v>
      </c>
      <c r="N114" s="41">
        <v>-55630</v>
      </c>
      <c r="O114" s="174"/>
      <c r="P114" s="174">
        <f t="shared" si="13"/>
        <v>-26756</v>
      </c>
      <c r="Q114" s="174">
        <f t="shared" si="14"/>
        <v>-35039.609799999998</v>
      </c>
      <c r="R114" s="174">
        <f t="shared" si="15"/>
        <v>-26598.474340000001</v>
      </c>
      <c r="S114" s="174">
        <f t="shared" si="16"/>
        <v>-27451.95563</v>
      </c>
      <c r="T114" s="174">
        <f t="shared" si="17"/>
        <v>-32833.5</v>
      </c>
      <c r="U114" s="174">
        <f t="shared" si="18"/>
        <v>-50100</v>
      </c>
      <c r="V114" s="174">
        <f t="shared" si="19"/>
        <v>-55630</v>
      </c>
      <c r="W114" s="73"/>
      <c r="X114" s="73">
        <f t="shared" si="21"/>
        <v>-36344.219967142853</v>
      </c>
      <c r="Y114" s="339">
        <f t="shared" si="20"/>
        <v>9.6855044861107811E-3</v>
      </c>
      <c r="Z114" s="73"/>
    </row>
    <row r="115" spans="1:26" x14ac:dyDescent="0.25">
      <c r="A115" s="30">
        <v>287</v>
      </c>
      <c r="B115" s="31" t="s">
        <v>429</v>
      </c>
      <c r="C115" s="41">
        <f>'7. Nettoinvestoinnit '!C115</f>
        <v>-2515</v>
      </c>
      <c r="D115" s="41">
        <f>'7. Nettoinvestoinnit '!D115</f>
        <v>-824</v>
      </c>
      <c r="E115" s="41">
        <f>'7. Nettoinvestoinnit '!E115</f>
        <v>-6925</v>
      </c>
      <c r="F115" s="41">
        <f>'7. Nettoinvestoinnit '!F115</f>
        <v>-5389</v>
      </c>
      <c r="G115" s="41">
        <f>'7. Nettoinvestoinnit '!G115</f>
        <v>-5677</v>
      </c>
      <c r="H115" s="41">
        <f>'7. Nettoinvestoinnit '!H115</f>
        <v>-3253</v>
      </c>
      <c r="I115" s="41">
        <f>'7. Nettoinvestoinnit '!I115</f>
        <v>-1745.0472199999999</v>
      </c>
      <c r="J115" s="73">
        <v>-4035.9462899999999</v>
      </c>
      <c r="K115" s="41">
        <v>-3824.7602599999996</v>
      </c>
      <c r="L115" s="41">
        <v>-3759.9999900000003</v>
      </c>
      <c r="M115" s="41">
        <v>-4589.9999900000003</v>
      </c>
      <c r="N115" s="41">
        <v>-2814.9999900000003</v>
      </c>
      <c r="O115" s="174"/>
      <c r="P115" s="174">
        <f t="shared" si="13"/>
        <v>-3253</v>
      </c>
      <c r="Q115" s="174">
        <f t="shared" si="14"/>
        <v>-1745.0472199999999</v>
      </c>
      <c r="R115" s="174">
        <f t="shared" si="15"/>
        <v>-4035.9462899999999</v>
      </c>
      <c r="S115" s="174">
        <f t="shared" si="16"/>
        <v>-3824.7602599999996</v>
      </c>
      <c r="T115" s="174">
        <f t="shared" si="17"/>
        <v>-3759.9999900000003</v>
      </c>
      <c r="U115" s="174">
        <f t="shared" si="18"/>
        <v>-4589.9999900000003</v>
      </c>
      <c r="V115" s="174">
        <f t="shared" si="19"/>
        <v>-2814.9999900000003</v>
      </c>
      <c r="W115" s="73"/>
      <c r="X115" s="73">
        <f t="shared" si="21"/>
        <v>-3431.9648200000001</v>
      </c>
      <c r="Y115" s="339">
        <f t="shared" si="20"/>
        <v>9.14596892995239E-4</v>
      </c>
      <c r="Z115" s="73"/>
    </row>
    <row r="116" spans="1:26" x14ac:dyDescent="0.25">
      <c r="A116" s="30">
        <v>288</v>
      </c>
      <c r="B116" s="31" t="s">
        <v>430</v>
      </c>
      <c r="C116" s="41">
        <f>'7. Nettoinvestoinnit '!C116</f>
        <v>-2737</v>
      </c>
      <c r="D116" s="41">
        <f>'7. Nettoinvestoinnit '!D116</f>
        <v>-2043</v>
      </c>
      <c r="E116" s="41">
        <f>'7. Nettoinvestoinnit '!E116</f>
        <v>-2534</v>
      </c>
      <c r="F116" s="41">
        <f>'7. Nettoinvestoinnit '!F116</f>
        <v>-674</v>
      </c>
      <c r="G116" s="41">
        <f>'7. Nettoinvestoinnit '!G116</f>
        <v>-3649</v>
      </c>
      <c r="H116" s="41">
        <f>'7. Nettoinvestoinnit '!H116</f>
        <v>-4231</v>
      </c>
      <c r="I116" s="41">
        <f>'7. Nettoinvestoinnit '!I116</f>
        <v>-3201.4737799999998</v>
      </c>
      <c r="J116" s="73">
        <v>-807.53244999999993</v>
      </c>
      <c r="K116" s="41">
        <v>-1951.0260000000001</v>
      </c>
      <c r="L116" s="41">
        <v>-1600</v>
      </c>
      <c r="M116" s="41">
        <v>-3790</v>
      </c>
      <c r="N116" s="41">
        <v>-4475</v>
      </c>
      <c r="O116" s="174"/>
      <c r="P116" s="174">
        <f t="shared" si="13"/>
        <v>-4231</v>
      </c>
      <c r="Q116" s="174">
        <f t="shared" si="14"/>
        <v>-3201.4737799999998</v>
      </c>
      <c r="R116" s="174">
        <f t="shared" si="15"/>
        <v>-807.53244999999993</v>
      </c>
      <c r="S116" s="174">
        <f t="shared" si="16"/>
        <v>-1951.0260000000001</v>
      </c>
      <c r="T116" s="174">
        <f t="shared" si="17"/>
        <v>-1600</v>
      </c>
      <c r="U116" s="174">
        <f t="shared" si="18"/>
        <v>-3790</v>
      </c>
      <c r="V116" s="174">
        <f t="shared" si="19"/>
        <v>-4475</v>
      </c>
      <c r="W116" s="73"/>
      <c r="X116" s="73">
        <f t="shared" si="21"/>
        <v>-2865.1474614285717</v>
      </c>
      <c r="Y116" s="339">
        <f t="shared" si="20"/>
        <v>7.635436560785515E-4</v>
      </c>
      <c r="Z116" s="73"/>
    </row>
    <row r="117" spans="1:26" x14ac:dyDescent="0.25">
      <c r="A117" s="30">
        <v>290</v>
      </c>
      <c r="B117" s="31" t="s">
        <v>431</v>
      </c>
      <c r="C117" s="41">
        <f>'7. Nettoinvestoinnit '!C117</f>
        <v>-8048</v>
      </c>
      <c r="D117" s="41">
        <f>'7. Nettoinvestoinnit '!D117</f>
        <v>-6029</v>
      </c>
      <c r="E117" s="41">
        <f>'7. Nettoinvestoinnit '!E117</f>
        <v>-13029</v>
      </c>
      <c r="F117" s="41">
        <f>'7. Nettoinvestoinnit '!F117</f>
        <v>-3370</v>
      </c>
      <c r="G117" s="41">
        <f>'7. Nettoinvestoinnit '!G117</f>
        <v>-1837</v>
      </c>
      <c r="H117" s="41">
        <f>'7. Nettoinvestoinnit '!H117</f>
        <v>-1171</v>
      </c>
      <c r="I117" s="41">
        <f>'7. Nettoinvestoinnit '!I117</f>
        <v>-3009.4932200000003</v>
      </c>
      <c r="J117" s="73">
        <v>-2246.18912</v>
      </c>
      <c r="K117" s="41">
        <v>-1329.44363</v>
      </c>
      <c r="L117" s="41">
        <v>-4148.55</v>
      </c>
      <c r="M117" s="41">
        <v>-2705.3</v>
      </c>
      <c r="N117" s="41">
        <v>-1187.3900000000001</v>
      </c>
      <c r="O117" s="174"/>
      <c r="P117" s="174">
        <f t="shared" si="13"/>
        <v>-1171</v>
      </c>
      <c r="Q117" s="174">
        <f t="shared" si="14"/>
        <v>-3009.4932200000003</v>
      </c>
      <c r="R117" s="174">
        <f t="shared" si="15"/>
        <v>-2246.18912</v>
      </c>
      <c r="S117" s="174">
        <f t="shared" si="16"/>
        <v>-1329.44363</v>
      </c>
      <c r="T117" s="174">
        <f t="shared" si="17"/>
        <v>-4148.55</v>
      </c>
      <c r="U117" s="174">
        <f t="shared" si="18"/>
        <v>-2705.3</v>
      </c>
      <c r="V117" s="174">
        <f t="shared" si="19"/>
        <v>-1187.3900000000001</v>
      </c>
      <c r="W117" s="73"/>
      <c r="X117" s="73">
        <f t="shared" si="21"/>
        <v>-2256.7665671428572</v>
      </c>
      <c r="Y117" s="339">
        <f t="shared" si="20"/>
        <v>6.0141400007835408E-4</v>
      </c>
      <c r="Z117" s="73"/>
    </row>
    <row r="118" spans="1:26" x14ac:dyDescent="0.25">
      <c r="A118" s="30">
        <v>291</v>
      </c>
      <c r="B118" s="31" t="s">
        <v>432</v>
      </c>
      <c r="C118" s="41">
        <f>'7. Nettoinvestoinnit '!C118</f>
        <v>-1465</v>
      </c>
      <c r="D118" s="41">
        <f>'7. Nettoinvestoinnit '!D118</f>
        <v>-897</v>
      </c>
      <c r="E118" s="41">
        <f>'7. Nettoinvestoinnit '!E118</f>
        <v>-970</v>
      </c>
      <c r="F118" s="41">
        <f>'7. Nettoinvestoinnit '!F118</f>
        <v>-2567</v>
      </c>
      <c r="G118" s="41">
        <f>'7. Nettoinvestoinnit '!G118</f>
        <v>-1493</v>
      </c>
      <c r="H118" s="41">
        <f>'7. Nettoinvestoinnit '!H118</f>
        <v>-1317</v>
      </c>
      <c r="I118" s="41">
        <f>'7. Nettoinvestoinnit '!I118</f>
        <v>-5241.5655900000002</v>
      </c>
      <c r="J118" s="73">
        <v>-925.90029000000004</v>
      </c>
      <c r="K118" s="41">
        <v>-867.30918000000008</v>
      </c>
      <c r="L118" s="41">
        <v>-1415.83</v>
      </c>
      <c r="M118" s="41">
        <v>-1208.83</v>
      </c>
      <c r="N118" s="41">
        <v>-736.83</v>
      </c>
      <c r="O118" s="174"/>
      <c r="P118" s="174">
        <f t="shared" si="13"/>
        <v>-1317</v>
      </c>
      <c r="Q118" s="174">
        <f t="shared" si="14"/>
        <v>-5241.5655900000002</v>
      </c>
      <c r="R118" s="174">
        <f t="shared" si="15"/>
        <v>-925.90029000000004</v>
      </c>
      <c r="S118" s="174">
        <f t="shared" si="16"/>
        <v>-867.30918000000008</v>
      </c>
      <c r="T118" s="174">
        <f t="shared" si="17"/>
        <v>-1415.83</v>
      </c>
      <c r="U118" s="174">
        <f t="shared" si="18"/>
        <v>-1208.83</v>
      </c>
      <c r="V118" s="174">
        <f t="shared" si="19"/>
        <v>-736.83</v>
      </c>
      <c r="W118" s="73"/>
      <c r="X118" s="73">
        <f t="shared" si="21"/>
        <v>-1673.32358</v>
      </c>
      <c r="Y118" s="339">
        <f t="shared" si="20"/>
        <v>4.459301384224767E-4</v>
      </c>
      <c r="Z118" s="73"/>
    </row>
    <row r="119" spans="1:26" x14ac:dyDescent="0.25">
      <c r="A119" s="30">
        <v>297</v>
      </c>
      <c r="B119" s="31" t="s">
        <v>433</v>
      </c>
      <c r="C119" s="41">
        <f>'7. Nettoinvestoinnit '!C119</f>
        <v>-31934</v>
      </c>
      <c r="D119" s="41">
        <f>'7. Nettoinvestoinnit '!D119</f>
        <v>-40721</v>
      </c>
      <c r="E119" s="41">
        <f>'7. Nettoinvestoinnit '!E119</f>
        <v>-49120</v>
      </c>
      <c r="F119" s="41">
        <f>'7. Nettoinvestoinnit '!F119</f>
        <v>-66311</v>
      </c>
      <c r="G119" s="41">
        <f>'7. Nettoinvestoinnit '!G119</f>
        <v>63144</v>
      </c>
      <c r="H119" s="41">
        <f>'7. Nettoinvestoinnit '!H119</f>
        <v>-60433</v>
      </c>
      <c r="I119" s="41">
        <f>'7. Nettoinvestoinnit '!I119</f>
        <v>-64348.209000000003</v>
      </c>
      <c r="J119" s="73">
        <v>-91403.672640000004</v>
      </c>
      <c r="K119" s="41">
        <v>-81085.166209999996</v>
      </c>
      <c r="L119" s="41">
        <v>-79958</v>
      </c>
      <c r="M119" s="41">
        <v>-75560</v>
      </c>
      <c r="N119" s="41">
        <v>-78205</v>
      </c>
      <c r="O119" s="174"/>
      <c r="P119" s="174">
        <f t="shared" si="13"/>
        <v>-60433</v>
      </c>
      <c r="Q119" s="174">
        <f t="shared" si="14"/>
        <v>-64348.209000000003</v>
      </c>
      <c r="R119" s="174">
        <f t="shared" si="15"/>
        <v>-91403.672640000004</v>
      </c>
      <c r="S119" s="174">
        <f t="shared" si="16"/>
        <v>-81085.166209999996</v>
      </c>
      <c r="T119" s="174">
        <f t="shared" si="17"/>
        <v>-79958</v>
      </c>
      <c r="U119" s="174">
        <f t="shared" si="18"/>
        <v>-75560</v>
      </c>
      <c r="V119" s="174">
        <f t="shared" si="19"/>
        <v>-78205</v>
      </c>
      <c r="W119" s="73"/>
      <c r="X119" s="73">
        <f t="shared" si="21"/>
        <v>-75856.149692857143</v>
      </c>
      <c r="Y119" s="339">
        <f t="shared" si="20"/>
        <v>2.0215183564634819E-2</v>
      </c>
      <c r="Z119" s="73"/>
    </row>
    <row r="120" spans="1:26" x14ac:dyDescent="0.25">
      <c r="A120" s="30">
        <v>300</v>
      </c>
      <c r="B120" s="31" t="s">
        <v>434</v>
      </c>
      <c r="C120" s="41">
        <f>'7. Nettoinvestoinnit '!C120</f>
        <v>-1284</v>
      </c>
      <c r="D120" s="41">
        <f>'7. Nettoinvestoinnit '!D120</f>
        <v>-1624</v>
      </c>
      <c r="E120" s="41">
        <f>'7. Nettoinvestoinnit '!E120</f>
        <v>-748</v>
      </c>
      <c r="F120" s="41">
        <f>'7. Nettoinvestoinnit '!F120</f>
        <v>-1749</v>
      </c>
      <c r="G120" s="41">
        <f>'7. Nettoinvestoinnit '!G120</f>
        <v>-2696</v>
      </c>
      <c r="H120" s="41">
        <f>'7. Nettoinvestoinnit '!H120</f>
        <v>-3336</v>
      </c>
      <c r="I120" s="41">
        <f>'7. Nettoinvestoinnit '!I120</f>
        <v>-669.79818999999998</v>
      </c>
      <c r="J120" s="73">
        <v>-1443.15182</v>
      </c>
      <c r="K120" s="41">
        <v>-1373.6467700000001</v>
      </c>
      <c r="L120" s="41">
        <v>-2358</v>
      </c>
      <c r="M120" s="41">
        <v>-2138</v>
      </c>
      <c r="N120" s="41">
        <v>-1146</v>
      </c>
      <c r="O120" s="174"/>
      <c r="P120" s="174">
        <f t="shared" si="13"/>
        <v>-3336</v>
      </c>
      <c r="Q120" s="174">
        <f t="shared" si="14"/>
        <v>-669.79818999999998</v>
      </c>
      <c r="R120" s="174">
        <f t="shared" si="15"/>
        <v>-1443.15182</v>
      </c>
      <c r="S120" s="174">
        <f t="shared" si="16"/>
        <v>-1373.6467700000001</v>
      </c>
      <c r="T120" s="174">
        <f t="shared" si="17"/>
        <v>-2358</v>
      </c>
      <c r="U120" s="174">
        <f t="shared" si="18"/>
        <v>-2138</v>
      </c>
      <c r="V120" s="174">
        <f t="shared" si="19"/>
        <v>-1146</v>
      </c>
      <c r="W120" s="73"/>
      <c r="X120" s="73">
        <f t="shared" si="21"/>
        <v>-1780.6566828571429</v>
      </c>
      <c r="Y120" s="339">
        <f t="shared" si="20"/>
        <v>4.7453373069026726E-4</v>
      </c>
      <c r="Z120" s="73"/>
    </row>
    <row r="121" spans="1:26" x14ac:dyDescent="0.25">
      <c r="A121" s="30">
        <v>301</v>
      </c>
      <c r="B121" s="31" t="s">
        <v>435</v>
      </c>
      <c r="C121" s="41">
        <f>'7. Nettoinvestoinnit '!C121</f>
        <v>-4895</v>
      </c>
      <c r="D121" s="41">
        <f>'7. Nettoinvestoinnit '!D121</f>
        <v>-2988</v>
      </c>
      <c r="E121" s="41">
        <f>'7. Nettoinvestoinnit '!E121</f>
        <v>-5473</v>
      </c>
      <c r="F121" s="41">
        <f>'7. Nettoinvestoinnit '!F121</f>
        <v>-11067</v>
      </c>
      <c r="G121" s="41">
        <f>'7. Nettoinvestoinnit '!G121</f>
        <v>-3224</v>
      </c>
      <c r="H121" s="41">
        <f>'7. Nettoinvestoinnit '!H121</f>
        <v>-4082</v>
      </c>
      <c r="I121" s="41">
        <f>'7. Nettoinvestoinnit '!I121</f>
        <v>-13930.517619999999</v>
      </c>
      <c r="J121" s="73">
        <v>-30264.51714</v>
      </c>
      <c r="K121" s="41">
        <v>-22906.615559999998</v>
      </c>
      <c r="L121" s="41">
        <v>-17540</v>
      </c>
      <c r="M121" s="41">
        <v>-16020</v>
      </c>
      <c r="N121" s="41">
        <v>-7240</v>
      </c>
      <c r="O121" s="174"/>
      <c r="P121" s="174">
        <f t="shared" si="13"/>
        <v>-4082</v>
      </c>
      <c r="Q121" s="174">
        <f t="shared" si="14"/>
        <v>-13930.517619999999</v>
      </c>
      <c r="R121" s="174">
        <f t="shared" si="15"/>
        <v>-30264.51714</v>
      </c>
      <c r="S121" s="174">
        <f t="shared" si="16"/>
        <v>-22906.615559999998</v>
      </c>
      <c r="T121" s="174">
        <f t="shared" si="17"/>
        <v>-17540</v>
      </c>
      <c r="U121" s="174">
        <f t="shared" si="18"/>
        <v>-16020</v>
      </c>
      <c r="V121" s="174">
        <f t="shared" si="19"/>
        <v>-7240</v>
      </c>
      <c r="W121" s="73"/>
      <c r="X121" s="73">
        <f t="shared" si="21"/>
        <v>-15997.66433142857</v>
      </c>
      <c r="Y121" s="339">
        <f t="shared" si="20"/>
        <v>4.2632762455605032E-3</v>
      </c>
      <c r="Z121" s="73"/>
    </row>
    <row r="122" spans="1:26" x14ac:dyDescent="0.25">
      <c r="A122" s="30">
        <v>304</v>
      </c>
      <c r="B122" s="31" t="s">
        <v>436</v>
      </c>
      <c r="C122" s="41">
        <f>'7. Nettoinvestoinnit '!C122</f>
        <v>-495</v>
      </c>
      <c r="D122" s="41">
        <f>'7. Nettoinvestoinnit '!D122</f>
        <v>-880</v>
      </c>
      <c r="E122" s="41">
        <f>'7. Nettoinvestoinnit '!E122</f>
        <v>-1000</v>
      </c>
      <c r="F122" s="41">
        <f>'7. Nettoinvestoinnit '!F122</f>
        <v>-207</v>
      </c>
      <c r="G122" s="41">
        <f>'7. Nettoinvestoinnit '!G122</f>
        <v>-947</v>
      </c>
      <c r="H122" s="41">
        <f>'7. Nettoinvestoinnit '!H122</f>
        <v>-817</v>
      </c>
      <c r="I122" s="41">
        <f>'7. Nettoinvestoinnit '!I122</f>
        <v>-826.46422999999993</v>
      </c>
      <c r="J122" s="73">
        <v>-445.74463000000003</v>
      </c>
      <c r="K122" s="41">
        <v>-942.75831999999991</v>
      </c>
      <c r="L122" s="41">
        <v>-2095.1080000000002</v>
      </c>
      <c r="M122" s="41">
        <v>-405</v>
      </c>
      <c r="N122" s="41">
        <v>-285</v>
      </c>
      <c r="O122" s="174"/>
      <c r="P122" s="174">
        <f t="shared" si="13"/>
        <v>-817</v>
      </c>
      <c r="Q122" s="174">
        <f t="shared" si="14"/>
        <v>-826.46422999999993</v>
      </c>
      <c r="R122" s="174">
        <f t="shared" si="15"/>
        <v>-445.74463000000003</v>
      </c>
      <c r="S122" s="174">
        <f t="shared" si="16"/>
        <v>-942.75831999999991</v>
      </c>
      <c r="T122" s="174">
        <f t="shared" si="17"/>
        <v>-2095.1080000000002</v>
      </c>
      <c r="U122" s="174">
        <f t="shared" si="18"/>
        <v>-405</v>
      </c>
      <c r="V122" s="174">
        <f t="shared" si="19"/>
        <v>-285</v>
      </c>
      <c r="W122" s="73"/>
      <c r="X122" s="73">
        <f t="shared" si="21"/>
        <v>-831.01073999999994</v>
      </c>
      <c r="Y122" s="339">
        <f t="shared" si="20"/>
        <v>2.214591001692361E-4</v>
      </c>
      <c r="Z122" s="73"/>
    </row>
    <row r="123" spans="1:26" x14ac:dyDescent="0.25">
      <c r="A123" s="30">
        <v>305</v>
      </c>
      <c r="B123" s="31" t="s">
        <v>437</v>
      </c>
      <c r="C123" s="41">
        <f>'7. Nettoinvestoinnit '!C123</f>
        <v>-4293</v>
      </c>
      <c r="D123" s="41">
        <f>'7. Nettoinvestoinnit '!D123</f>
        <v>-5899</v>
      </c>
      <c r="E123" s="41">
        <f>'7. Nettoinvestoinnit '!E123</f>
        <v>-7552</v>
      </c>
      <c r="F123" s="41">
        <f>'7. Nettoinvestoinnit '!F123</f>
        <v>-8676</v>
      </c>
      <c r="G123" s="41">
        <f>'7. Nettoinvestoinnit '!G123</f>
        <v>-6157</v>
      </c>
      <c r="H123" s="41">
        <f>'7. Nettoinvestoinnit '!H123</f>
        <v>-10731</v>
      </c>
      <c r="I123" s="41">
        <f>'7. Nettoinvestoinnit '!I123</f>
        <v>-16710.310369999999</v>
      </c>
      <c r="J123" s="73">
        <v>-16990.875840000001</v>
      </c>
      <c r="K123" s="41">
        <v>-20898.083579999999</v>
      </c>
      <c r="L123" s="41">
        <v>-22528.2</v>
      </c>
      <c r="M123" s="41">
        <v>-14979.9</v>
      </c>
      <c r="N123" s="41">
        <v>-15679.9</v>
      </c>
      <c r="O123" s="174"/>
      <c r="P123" s="174">
        <f t="shared" si="13"/>
        <v>-10731</v>
      </c>
      <c r="Q123" s="174">
        <f t="shared" si="14"/>
        <v>-16710.310369999999</v>
      </c>
      <c r="R123" s="174">
        <f t="shared" si="15"/>
        <v>-16990.875840000001</v>
      </c>
      <c r="S123" s="174">
        <f t="shared" si="16"/>
        <v>-20898.083579999999</v>
      </c>
      <c r="T123" s="174">
        <f t="shared" si="17"/>
        <v>-22528.2</v>
      </c>
      <c r="U123" s="174">
        <f t="shared" si="18"/>
        <v>-14979.9</v>
      </c>
      <c r="V123" s="174">
        <f t="shared" si="19"/>
        <v>-15679.9</v>
      </c>
      <c r="W123" s="73"/>
      <c r="X123" s="73">
        <f t="shared" si="21"/>
        <v>-16931.181398571429</v>
      </c>
      <c r="Y123" s="339">
        <f t="shared" si="20"/>
        <v>4.5120526328332857E-3</v>
      </c>
      <c r="Z123" s="73"/>
    </row>
    <row r="124" spans="1:26" x14ac:dyDescent="0.25">
      <c r="A124" s="30">
        <v>309</v>
      </c>
      <c r="B124" s="31" t="s">
        <v>438</v>
      </c>
      <c r="C124" s="41">
        <f>'7. Nettoinvestoinnit '!C124</f>
        <v>-2130</v>
      </c>
      <c r="D124" s="41">
        <f>'7. Nettoinvestoinnit '!D124</f>
        <v>-4316</v>
      </c>
      <c r="E124" s="41">
        <f>'7. Nettoinvestoinnit '!E124</f>
        <v>-1565</v>
      </c>
      <c r="F124" s="41">
        <f>'7. Nettoinvestoinnit '!F124</f>
        <v>-1356</v>
      </c>
      <c r="G124" s="41">
        <f>'7. Nettoinvestoinnit '!G124</f>
        <v>-2897</v>
      </c>
      <c r="H124" s="41">
        <f>'7. Nettoinvestoinnit '!H124</f>
        <v>31453</v>
      </c>
      <c r="I124" s="41">
        <f>'7. Nettoinvestoinnit '!I124</f>
        <v>-1107.1532999999999</v>
      </c>
      <c r="J124" s="73">
        <v>-2296.6375699999999</v>
      </c>
      <c r="K124" s="41">
        <v>-5809.2064700000001</v>
      </c>
      <c r="L124" s="41">
        <v>-11130.447</v>
      </c>
      <c r="M124" s="41">
        <v>-1707.5</v>
      </c>
      <c r="N124" s="41">
        <v>-551.98800000000006</v>
      </c>
      <c r="O124" s="174"/>
      <c r="P124" s="174">
        <f t="shared" si="13"/>
        <v>-2897</v>
      </c>
      <c r="Q124" s="174">
        <f t="shared" si="14"/>
        <v>-1107.1532999999999</v>
      </c>
      <c r="R124" s="174">
        <f t="shared" si="15"/>
        <v>-2296.6375699999999</v>
      </c>
      <c r="S124" s="174">
        <f t="shared" si="16"/>
        <v>-5809.2064700000001</v>
      </c>
      <c r="T124" s="174">
        <f t="shared" si="17"/>
        <v>-11130.447</v>
      </c>
      <c r="U124" s="174">
        <f t="shared" si="18"/>
        <v>-1707.5</v>
      </c>
      <c r="V124" s="174">
        <f t="shared" si="19"/>
        <v>-551.98800000000006</v>
      </c>
      <c r="W124" s="73"/>
      <c r="X124" s="73">
        <f t="shared" si="21"/>
        <v>-3642.8474771428578</v>
      </c>
      <c r="Y124" s="339">
        <f t="shared" si="20"/>
        <v>9.7079578579433183E-4</v>
      </c>
      <c r="Z124" s="73"/>
    </row>
    <row r="125" spans="1:26" x14ac:dyDescent="0.25">
      <c r="A125" s="30">
        <v>312</v>
      </c>
      <c r="B125" s="31" t="s">
        <v>439</v>
      </c>
      <c r="C125" s="41">
        <f>'7. Nettoinvestoinnit '!C125</f>
        <v>-1092</v>
      </c>
      <c r="D125" s="41">
        <f>'7. Nettoinvestoinnit '!D125</f>
        <v>-466</v>
      </c>
      <c r="E125" s="41">
        <f>'7. Nettoinvestoinnit '!E125</f>
        <v>-536</v>
      </c>
      <c r="F125" s="41">
        <f>'7. Nettoinvestoinnit '!F125</f>
        <v>-736</v>
      </c>
      <c r="G125" s="41">
        <f>'7. Nettoinvestoinnit '!G125</f>
        <v>513</v>
      </c>
      <c r="H125" s="41">
        <f>'7. Nettoinvestoinnit '!H125</f>
        <v>-94</v>
      </c>
      <c r="I125" s="41">
        <f>'7. Nettoinvestoinnit '!I125</f>
        <v>-438.82244000000003</v>
      </c>
      <c r="J125" s="73">
        <v>-283.15325999999999</v>
      </c>
      <c r="K125" s="41">
        <v>-5</v>
      </c>
      <c r="L125" s="41">
        <v>-264</v>
      </c>
      <c r="M125" s="41">
        <v>-300</v>
      </c>
      <c r="N125" s="41">
        <v>-300</v>
      </c>
      <c r="O125" s="174"/>
      <c r="P125" s="174">
        <f t="shared" si="13"/>
        <v>-94</v>
      </c>
      <c r="Q125" s="174">
        <f t="shared" si="14"/>
        <v>-438.82244000000003</v>
      </c>
      <c r="R125" s="174">
        <f t="shared" si="15"/>
        <v>-283.15325999999999</v>
      </c>
      <c r="S125" s="174">
        <f t="shared" si="16"/>
        <v>-5</v>
      </c>
      <c r="T125" s="174">
        <f t="shared" si="17"/>
        <v>-264</v>
      </c>
      <c r="U125" s="174">
        <f t="shared" si="18"/>
        <v>-300</v>
      </c>
      <c r="V125" s="174">
        <f t="shared" si="19"/>
        <v>-300</v>
      </c>
      <c r="W125" s="73"/>
      <c r="X125" s="73">
        <f t="shared" si="21"/>
        <v>-240.71081428571429</v>
      </c>
      <c r="Y125" s="339">
        <f t="shared" si="20"/>
        <v>6.4147907802874357E-5</v>
      </c>
      <c r="Z125" s="73"/>
    </row>
    <row r="126" spans="1:26" x14ac:dyDescent="0.25">
      <c r="A126" s="30">
        <v>316</v>
      </c>
      <c r="B126" s="31" t="s">
        <v>440</v>
      </c>
      <c r="C126" s="41">
        <f>'7. Nettoinvestoinnit '!C126</f>
        <v>-1571</v>
      </c>
      <c r="D126" s="41">
        <f>'7. Nettoinvestoinnit '!D126</f>
        <v>-628</v>
      </c>
      <c r="E126" s="41">
        <f>'7. Nettoinvestoinnit '!E126</f>
        <v>-199</v>
      </c>
      <c r="F126" s="41">
        <f>'7. Nettoinvestoinnit '!F126</f>
        <v>-577</v>
      </c>
      <c r="G126" s="41">
        <f>'7. Nettoinvestoinnit '!G126</f>
        <v>-5305</v>
      </c>
      <c r="H126" s="41">
        <f>'7. Nettoinvestoinnit '!H126</f>
        <v>-3066</v>
      </c>
      <c r="I126" s="41">
        <f>'7. Nettoinvestoinnit '!I126</f>
        <v>-9752.3393699999997</v>
      </c>
      <c r="J126" s="73">
        <v>-4140.43786</v>
      </c>
      <c r="K126" s="41">
        <v>-2489.0215200000002</v>
      </c>
      <c r="L126" s="41">
        <v>-4282</v>
      </c>
      <c r="M126" s="41">
        <v>-854.5</v>
      </c>
      <c r="N126" s="41">
        <v>-853.99</v>
      </c>
      <c r="O126" s="174"/>
      <c r="P126" s="174">
        <f t="shared" si="13"/>
        <v>-3066</v>
      </c>
      <c r="Q126" s="174">
        <f t="shared" si="14"/>
        <v>-9752.3393699999997</v>
      </c>
      <c r="R126" s="174">
        <f t="shared" si="15"/>
        <v>-4140.43786</v>
      </c>
      <c r="S126" s="174">
        <f t="shared" si="16"/>
        <v>-2489.0215200000002</v>
      </c>
      <c r="T126" s="174">
        <f t="shared" si="17"/>
        <v>-4282</v>
      </c>
      <c r="U126" s="174">
        <f t="shared" si="18"/>
        <v>-854.5</v>
      </c>
      <c r="V126" s="174">
        <f t="shared" si="19"/>
        <v>-853.99</v>
      </c>
      <c r="W126" s="73"/>
      <c r="X126" s="73">
        <f t="shared" si="21"/>
        <v>-3634.0412500000007</v>
      </c>
      <c r="Y126" s="339">
        <f t="shared" si="20"/>
        <v>9.6844898202264648E-4</v>
      </c>
      <c r="Z126" s="73"/>
    </row>
    <row r="127" spans="1:26" x14ac:dyDescent="0.25">
      <c r="A127" s="30">
        <v>317</v>
      </c>
      <c r="B127" s="31" t="s">
        <v>441</v>
      </c>
      <c r="C127" s="41">
        <f>'7. Nettoinvestoinnit '!C127</f>
        <v>-815</v>
      </c>
      <c r="D127" s="41">
        <f>'7. Nettoinvestoinnit '!D127</f>
        <v>-86</v>
      </c>
      <c r="E127" s="41">
        <f>'7. Nettoinvestoinnit '!E127</f>
        <v>-663</v>
      </c>
      <c r="F127" s="41">
        <f>'7. Nettoinvestoinnit '!F127</f>
        <v>-621</v>
      </c>
      <c r="G127" s="41">
        <f>'7. Nettoinvestoinnit '!G127</f>
        <v>-690</v>
      </c>
      <c r="H127" s="41">
        <f>'7. Nettoinvestoinnit '!H127</f>
        <v>-759</v>
      </c>
      <c r="I127" s="41">
        <f>'7. Nettoinvestoinnit '!I127</f>
        <v>-945.74473999999998</v>
      </c>
      <c r="J127" s="73">
        <v>-1099.27791</v>
      </c>
      <c r="K127" s="41">
        <v>-608.12397999999996</v>
      </c>
      <c r="L127" s="41">
        <v>-616.70000000000005</v>
      </c>
      <c r="M127" s="41">
        <v>-399.4</v>
      </c>
      <c r="N127" s="41">
        <v>-194</v>
      </c>
      <c r="O127" s="174"/>
      <c r="P127" s="174">
        <f t="shared" si="13"/>
        <v>-759</v>
      </c>
      <c r="Q127" s="174">
        <f t="shared" si="14"/>
        <v>-945.74473999999998</v>
      </c>
      <c r="R127" s="174">
        <f t="shared" si="15"/>
        <v>-1099.27791</v>
      </c>
      <c r="S127" s="174">
        <f t="shared" si="16"/>
        <v>-608.12397999999996</v>
      </c>
      <c r="T127" s="174">
        <f t="shared" si="17"/>
        <v>-616.70000000000005</v>
      </c>
      <c r="U127" s="174">
        <f t="shared" si="18"/>
        <v>-399.4</v>
      </c>
      <c r="V127" s="174">
        <f t="shared" si="19"/>
        <v>-194</v>
      </c>
      <c r="W127" s="73"/>
      <c r="X127" s="73">
        <f t="shared" si="21"/>
        <v>-660.32094714285711</v>
      </c>
      <c r="Y127" s="339">
        <f t="shared" si="20"/>
        <v>1.7597135119716366E-4</v>
      </c>
      <c r="Z127" s="73"/>
    </row>
    <row r="128" spans="1:26" x14ac:dyDescent="0.25">
      <c r="A128" s="30">
        <v>320</v>
      </c>
      <c r="B128" s="31" t="s">
        <v>442</v>
      </c>
      <c r="C128" s="41">
        <f>'7. Nettoinvestoinnit '!C128</f>
        <v>-3147</v>
      </c>
      <c r="D128" s="41">
        <f>'7. Nettoinvestoinnit '!D128</f>
        <v>8235</v>
      </c>
      <c r="E128" s="41">
        <f>'7. Nettoinvestoinnit '!E128</f>
        <v>-1756</v>
      </c>
      <c r="F128" s="41">
        <f>'7. Nettoinvestoinnit '!F128</f>
        <v>826</v>
      </c>
      <c r="G128" s="41">
        <f>'7. Nettoinvestoinnit '!G128</f>
        <v>-2582</v>
      </c>
      <c r="H128" s="41">
        <f>'7. Nettoinvestoinnit '!H128</f>
        <v>-6666</v>
      </c>
      <c r="I128" s="41">
        <f>'7. Nettoinvestoinnit '!I128</f>
        <v>-2539.7399700000001</v>
      </c>
      <c r="J128" s="73">
        <v>-1464.6601599999999</v>
      </c>
      <c r="K128" s="41">
        <v>-5448.39437</v>
      </c>
      <c r="L128" s="41">
        <v>-4508.5200000000004</v>
      </c>
      <c r="M128" s="41">
        <v>-3922.87</v>
      </c>
      <c r="N128" s="41">
        <v>-1599.87</v>
      </c>
      <c r="O128" s="174"/>
      <c r="P128" s="174">
        <f t="shared" si="13"/>
        <v>-6666</v>
      </c>
      <c r="Q128" s="174">
        <f t="shared" si="14"/>
        <v>-2539.7399700000001</v>
      </c>
      <c r="R128" s="174">
        <f t="shared" si="15"/>
        <v>-1464.6601599999999</v>
      </c>
      <c r="S128" s="174">
        <f t="shared" si="16"/>
        <v>-5448.39437</v>
      </c>
      <c r="T128" s="174">
        <f t="shared" si="17"/>
        <v>-4508.5200000000004</v>
      </c>
      <c r="U128" s="174">
        <f t="shared" si="18"/>
        <v>-3922.87</v>
      </c>
      <c r="V128" s="174">
        <f t="shared" si="19"/>
        <v>-1599.87</v>
      </c>
      <c r="W128" s="174"/>
      <c r="X128" s="73">
        <f t="shared" si="21"/>
        <v>-3735.7220714285713</v>
      </c>
      <c r="Y128" s="339">
        <f t="shared" si="20"/>
        <v>9.9554627708051797E-4</v>
      </c>
      <c r="Z128" s="174"/>
    </row>
    <row r="129" spans="1:26" x14ac:dyDescent="0.25">
      <c r="A129" s="30">
        <v>322</v>
      </c>
      <c r="B129" s="31" t="s">
        <v>443</v>
      </c>
      <c r="C129" s="41">
        <f>'7. Nettoinvestoinnit '!C129</f>
        <v>-9482</v>
      </c>
      <c r="D129" s="41">
        <f>'7. Nettoinvestoinnit '!D129</f>
        <v>-3852</v>
      </c>
      <c r="E129" s="41">
        <f>'7. Nettoinvestoinnit '!E129</f>
        <v>-4942</v>
      </c>
      <c r="F129" s="41">
        <f>'7. Nettoinvestoinnit '!F129</f>
        <v>-913</v>
      </c>
      <c r="G129" s="41">
        <f>'7. Nettoinvestoinnit '!G129</f>
        <v>-1186</v>
      </c>
      <c r="H129" s="41">
        <f>'7. Nettoinvestoinnit '!H129</f>
        <v>-1014</v>
      </c>
      <c r="I129" s="41">
        <f>'7. Nettoinvestoinnit '!I129</f>
        <v>-1714.7841799999999</v>
      </c>
      <c r="J129" s="73">
        <v>-1828.80269</v>
      </c>
      <c r="K129" s="41">
        <v>-3105.6177200000002</v>
      </c>
      <c r="L129" s="41">
        <v>-3678</v>
      </c>
      <c r="M129" s="41">
        <v>-11443</v>
      </c>
      <c r="N129" s="41">
        <v>-9600</v>
      </c>
      <c r="O129" s="174"/>
      <c r="P129" s="174">
        <f t="shared" si="13"/>
        <v>-1014</v>
      </c>
      <c r="Q129" s="174">
        <f t="shared" si="14"/>
        <v>-1714.7841799999999</v>
      </c>
      <c r="R129" s="174">
        <f t="shared" si="15"/>
        <v>-1828.80269</v>
      </c>
      <c r="S129" s="174">
        <f t="shared" si="16"/>
        <v>-3105.6177200000002</v>
      </c>
      <c r="T129" s="174">
        <f t="shared" si="17"/>
        <v>-3678</v>
      </c>
      <c r="U129" s="174">
        <f t="shared" si="18"/>
        <v>-11443</v>
      </c>
      <c r="V129" s="174">
        <f t="shared" si="19"/>
        <v>-9600</v>
      </c>
      <c r="W129" s="174"/>
      <c r="X129" s="73">
        <f t="shared" si="21"/>
        <v>-4626.3149414285717</v>
      </c>
      <c r="Y129" s="339">
        <f t="shared" si="20"/>
        <v>1.2328836376149168E-3</v>
      </c>
      <c r="Z129" s="174"/>
    </row>
    <row r="130" spans="1:26" x14ac:dyDescent="0.25">
      <c r="A130" s="30">
        <v>398</v>
      </c>
      <c r="B130" s="31" t="s">
        <v>444</v>
      </c>
      <c r="C130" s="41">
        <f>'7. Nettoinvestoinnit '!C130</f>
        <v>-83654</v>
      </c>
      <c r="D130" s="41">
        <f>'7. Nettoinvestoinnit '!D130</f>
        <v>-39603</v>
      </c>
      <c r="E130" s="41">
        <f>'7. Nettoinvestoinnit '!E130</f>
        <v>-37572</v>
      </c>
      <c r="F130" s="41">
        <f>'7. Nettoinvestoinnit '!F130</f>
        <v>-101452</v>
      </c>
      <c r="G130" s="41">
        <f>'7. Nettoinvestoinnit '!G130</f>
        <v>-92142</v>
      </c>
      <c r="H130" s="41">
        <f>'7. Nettoinvestoinnit '!H130</f>
        <v>-83943</v>
      </c>
      <c r="I130" s="41">
        <f>'7. Nettoinvestoinnit '!I130</f>
        <v>-8972.6980600000006</v>
      </c>
      <c r="J130" s="73">
        <v>16378.099050000001</v>
      </c>
      <c r="K130" s="41">
        <v>-42793.85297</v>
      </c>
      <c r="L130" s="41">
        <v>-64816</v>
      </c>
      <c r="M130" s="41">
        <v>-92046</v>
      </c>
      <c r="N130" s="41">
        <v>-88433</v>
      </c>
      <c r="O130" s="174"/>
      <c r="P130" s="174">
        <f t="shared" si="13"/>
        <v>-83943</v>
      </c>
      <c r="Q130" s="174">
        <f t="shared" si="14"/>
        <v>-8972.6980600000006</v>
      </c>
      <c r="R130" s="174">
        <f t="shared" si="15"/>
        <v>-8972.6980600000006</v>
      </c>
      <c r="S130" s="174">
        <f t="shared" si="16"/>
        <v>-42793.85297</v>
      </c>
      <c r="T130" s="174">
        <f t="shared" si="17"/>
        <v>-64816</v>
      </c>
      <c r="U130" s="174">
        <f t="shared" si="18"/>
        <v>-92046</v>
      </c>
      <c r="V130" s="174">
        <f t="shared" si="19"/>
        <v>-88433</v>
      </c>
      <c r="W130" s="174"/>
      <c r="X130" s="73">
        <f t="shared" si="21"/>
        <v>-55711.035584285717</v>
      </c>
      <c r="Y130" s="339">
        <f t="shared" si="20"/>
        <v>1.4846638215520786E-2</v>
      </c>
      <c r="Z130" s="174"/>
    </row>
    <row r="131" spans="1:26" x14ac:dyDescent="0.25">
      <c r="A131" s="30">
        <v>399</v>
      </c>
      <c r="B131" s="31" t="s">
        <v>445</v>
      </c>
      <c r="C131" s="41">
        <f>'7. Nettoinvestoinnit '!C131</f>
        <v>-2706</v>
      </c>
      <c r="D131" s="41">
        <f>'7. Nettoinvestoinnit '!D131</f>
        <v>-4072</v>
      </c>
      <c r="E131" s="41">
        <f>'7. Nettoinvestoinnit '!E131</f>
        <v>-7163</v>
      </c>
      <c r="F131" s="41">
        <f>'7. Nettoinvestoinnit '!F131</f>
        <v>-2202</v>
      </c>
      <c r="G131" s="41">
        <f>'7. Nettoinvestoinnit '!G131</f>
        <v>-1598</v>
      </c>
      <c r="H131" s="41">
        <f>'7. Nettoinvestoinnit '!H131</f>
        <v>-1517</v>
      </c>
      <c r="I131" s="41">
        <f>'7. Nettoinvestoinnit '!I131</f>
        <v>-1318.5440000000001</v>
      </c>
      <c r="J131" s="73">
        <v>-2303.5430899999997</v>
      </c>
      <c r="K131" s="41">
        <v>-1737.1281200000001</v>
      </c>
      <c r="L131" s="41">
        <v>-2267</v>
      </c>
      <c r="M131" s="41">
        <v>-3572</v>
      </c>
      <c r="N131" s="41">
        <v>-1758</v>
      </c>
      <c r="O131" s="174"/>
      <c r="P131" s="174">
        <f t="shared" si="13"/>
        <v>-1517</v>
      </c>
      <c r="Q131" s="174">
        <f t="shared" si="14"/>
        <v>-1318.5440000000001</v>
      </c>
      <c r="R131" s="174">
        <f t="shared" si="15"/>
        <v>-2303.5430899999997</v>
      </c>
      <c r="S131" s="174">
        <f t="shared" si="16"/>
        <v>-1737.1281200000001</v>
      </c>
      <c r="T131" s="174">
        <f t="shared" si="17"/>
        <v>-2267</v>
      </c>
      <c r="U131" s="174">
        <f t="shared" si="18"/>
        <v>-3572</v>
      </c>
      <c r="V131" s="174">
        <f t="shared" si="19"/>
        <v>-1758</v>
      </c>
      <c r="W131" s="174"/>
      <c r="X131" s="73">
        <f t="shared" si="21"/>
        <v>-2067.6021728571427</v>
      </c>
      <c r="Y131" s="339">
        <f t="shared" si="20"/>
        <v>5.5100288680853891E-4</v>
      </c>
      <c r="Z131" s="174"/>
    </row>
    <row r="132" spans="1:26" x14ac:dyDescent="0.25">
      <c r="A132" s="30">
        <v>400</v>
      </c>
      <c r="B132" s="31" t="s">
        <v>446</v>
      </c>
      <c r="C132" s="41">
        <f>'7. Nettoinvestoinnit '!C132</f>
        <v>-3648</v>
      </c>
      <c r="D132" s="41">
        <f>'7. Nettoinvestoinnit '!D132</f>
        <v>-4175</v>
      </c>
      <c r="E132" s="41">
        <f>'7. Nettoinvestoinnit '!E132</f>
        <v>-3637</v>
      </c>
      <c r="F132" s="41">
        <f>'7. Nettoinvestoinnit '!F132</f>
        <v>-9093</v>
      </c>
      <c r="G132" s="41">
        <f>'7. Nettoinvestoinnit '!G132</f>
        <v>-6049</v>
      </c>
      <c r="H132" s="41">
        <f>'7. Nettoinvestoinnit '!H132</f>
        <v>-6517</v>
      </c>
      <c r="I132" s="41">
        <f>'7. Nettoinvestoinnit '!I132</f>
        <v>-4232.7190300000002</v>
      </c>
      <c r="J132" s="73">
        <v>-3941.8402599999999</v>
      </c>
      <c r="K132" s="41">
        <v>-6007.9912000000004</v>
      </c>
      <c r="L132" s="41">
        <v>-4945.5</v>
      </c>
      <c r="M132" s="41">
        <v>-5286</v>
      </c>
      <c r="N132" s="41">
        <v>-3830</v>
      </c>
      <c r="O132" s="174"/>
      <c r="P132" s="174">
        <f t="shared" si="13"/>
        <v>-6517</v>
      </c>
      <c r="Q132" s="174">
        <f t="shared" si="14"/>
        <v>-4232.7190300000002</v>
      </c>
      <c r="R132" s="174">
        <f t="shared" si="15"/>
        <v>-3941.8402599999999</v>
      </c>
      <c r="S132" s="174">
        <f t="shared" si="16"/>
        <v>-6007.9912000000004</v>
      </c>
      <c r="T132" s="174">
        <f t="shared" si="17"/>
        <v>-4945.5</v>
      </c>
      <c r="U132" s="174">
        <f t="shared" si="18"/>
        <v>-5286</v>
      </c>
      <c r="V132" s="174">
        <f t="shared" si="19"/>
        <v>-3830</v>
      </c>
      <c r="W132" s="174"/>
      <c r="X132" s="73">
        <f t="shared" si="21"/>
        <v>-4965.8643557142859</v>
      </c>
      <c r="Y132" s="339">
        <f t="shared" si="20"/>
        <v>1.3233714064621706E-3</v>
      </c>
      <c r="Z132" s="174"/>
    </row>
    <row r="133" spans="1:26" x14ac:dyDescent="0.25">
      <c r="A133" s="30">
        <v>402</v>
      </c>
      <c r="B133" s="31" t="s">
        <v>447</v>
      </c>
      <c r="C133" s="41">
        <f>'7. Nettoinvestoinnit '!C133</f>
        <v>-3283</v>
      </c>
      <c r="D133" s="41">
        <f>'7. Nettoinvestoinnit '!D133</f>
        <v>-4868</v>
      </c>
      <c r="E133" s="41">
        <f>'7. Nettoinvestoinnit '!E133</f>
        <v>-926</v>
      </c>
      <c r="F133" s="41">
        <f>'7. Nettoinvestoinnit '!F133</f>
        <v>-4580</v>
      </c>
      <c r="G133" s="41">
        <f>'7. Nettoinvestoinnit '!G133</f>
        <v>-4581</v>
      </c>
      <c r="H133" s="41">
        <f>'7. Nettoinvestoinnit '!H133</f>
        <v>-7224</v>
      </c>
      <c r="I133" s="41">
        <f>'7. Nettoinvestoinnit '!I133</f>
        <v>-5039.5691100000004</v>
      </c>
      <c r="J133" s="73">
        <v>-4086.4200699999997</v>
      </c>
      <c r="K133" s="41">
        <v>-2312.0561600000001</v>
      </c>
      <c r="L133" s="41">
        <v>-2032.5</v>
      </c>
      <c r="M133" s="41">
        <v>-3131</v>
      </c>
      <c r="N133" s="41">
        <v>-1359</v>
      </c>
      <c r="O133" s="174"/>
      <c r="P133" s="174">
        <f t="shared" si="13"/>
        <v>-7224</v>
      </c>
      <c r="Q133" s="174">
        <f t="shared" si="14"/>
        <v>-5039.5691100000004</v>
      </c>
      <c r="R133" s="174">
        <f t="shared" si="15"/>
        <v>-4086.4200699999997</v>
      </c>
      <c r="S133" s="174">
        <f t="shared" si="16"/>
        <v>-2312.0561600000001</v>
      </c>
      <c r="T133" s="174">
        <f t="shared" si="17"/>
        <v>-2032.5</v>
      </c>
      <c r="U133" s="174">
        <f t="shared" si="18"/>
        <v>-3131</v>
      </c>
      <c r="V133" s="174">
        <f t="shared" si="19"/>
        <v>-1359</v>
      </c>
      <c r="W133" s="174"/>
      <c r="X133" s="73">
        <f t="shared" si="21"/>
        <v>-3597.7921914285716</v>
      </c>
      <c r="Y133" s="339">
        <f t="shared" si="20"/>
        <v>9.587888374459222E-4</v>
      </c>
      <c r="Z133" s="174"/>
    </row>
    <row r="134" spans="1:26" x14ac:dyDescent="0.25">
      <c r="A134" s="30">
        <v>403</v>
      </c>
      <c r="B134" s="31" t="s">
        <v>448</v>
      </c>
      <c r="C134" s="41">
        <f>'7. Nettoinvestoinnit '!C134</f>
        <v>-2784</v>
      </c>
      <c r="D134" s="41">
        <f>'7. Nettoinvestoinnit '!D134</f>
        <v>-1111</v>
      </c>
      <c r="E134" s="41">
        <f>'7. Nettoinvestoinnit '!E134</f>
        <v>-1507</v>
      </c>
      <c r="F134" s="41">
        <f>'7. Nettoinvestoinnit '!F134</f>
        <v>5395</v>
      </c>
      <c r="G134" s="41">
        <f>'7. Nettoinvestoinnit '!G134</f>
        <v>-2398</v>
      </c>
      <c r="H134" s="41">
        <f>'7. Nettoinvestoinnit '!H134</f>
        <v>-5629</v>
      </c>
      <c r="I134" s="41">
        <f>'7. Nettoinvestoinnit '!I134</f>
        <v>-1678.3443500000001</v>
      </c>
      <c r="J134" s="73">
        <v>-1581.6576499999999</v>
      </c>
      <c r="K134" s="41">
        <v>-588.56835999999998</v>
      </c>
      <c r="L134" s="41">
        <v>-2203.5</v>
      </c>
      <c r="M134" s="41">
        <v>-1085</v>
      </c>
      <c r="N134" s="41">
        <v>-185</v>
      </c>
      <c r="O134" s="174"/>
      <c r="P134" s="174">
        <f t="shared" si="13"/>
        <v>-5629</v>
      </c>
      <c r="Q134" s="174">
        <f t="shared" si="14"/>
        <v>-1678.3443500000001</v>
      </c>
      <c r="R134" s="174">
        <f t="shared" si="15"/>
        <v>-1581.6576499999999</v>
      </c>
      <c r="S134" s="174">
        <f t="shared" si="16"/>
        <v>-588.56835999999998</v>
      </c>
      <c r="T134" s="174">
        <f t="shared" si="17"/>
        <v>-2203.5</v>
      </c>
      <c r="U134" s="174">
        <f t="shared" si="18"/>
        <v>-1085</v>
      </c>
      <c r="V134" s="174">
        <f t="shared" si="19"/>
        <v>-185</v>
      </c>
      <c r="W134" s="174"/>
      <c r="X134" s="73">
        <f t="shared" si="21"/>
        <v>-1850.1529085714285</v>
      </c>
      <c r="Y134" s="339">
        <f t="shared" si="20"/>
        <v>4.930540347862695E-4</v>
      </c>
      <c r="Z134" s="174"/>
    </row>
    <row r="135" spans="1:26" x14ac:dyDescent="0.25">
      <c r="A135" s="30">
        <v>405</v>
      </c>
      <c r="B135" s="31" t="s">
        <v>449</v>
      </c>
      <c r="C135" s="41">
        <f>'7. Nettoinvestoinnit '!C135</f>
        <v>-24237</v>
      </c>
      <c r="D135" s="41">
        <f>'7. Nettoinvestoinnit '!D135</f>
        <v>-16801</v>
      </c>
      <c r="E135" s="41">
        <f>'7. Nettoinvestoinnit '!E135</f>
        <v>-6437</v>
      </c>
      <c r="F135" s="41">
        <f>'7. Nettoinvestoinnit '!F135</f>
        <v>-18756</v>
      </c>
      <c r="G135" s="41">
        <f>'7. Nettoinvestoinnit '!G135</f>
        <v>-34837</v>
      </c>
      <c r="H135" s="41">
        <f>'7. Nettoinvestoinnit '!H135</f>
        <v>-40643</v>
      </c>
      <c r="I135" s="41">
        <f>'7. Nettoinvestoinnit '!I135</f>
        <v>-33687.957049999997</v>
      </c>
      <c r="J135" s="73">
        <v>-18557.605170000003</v>
      </c>
      <c r="K135" s="41">
        <v>-20361.993260000003</v>
      </c>
      <c r="L135" s="41">
        <v>-65055</v>
      </c>
      <c r="M135" s="41">
        <v>-78054</v>
      </c>
      <c r="N135" s="41">
        <v>-53714</v>
      </c>
      <c r="O135" s="174"/>
      <c r="P135" s="174">
        <f t="shared" si="13"/>
        <v>-40643</v>
      </c>
      <c r="Q135" s="174">
        <f t="shared" si="14"/>
        <v>-33687.957049999997</v>
      </c>
      <c r="R135" s="174">
        <f t="shared" si="15"/>
        <v>-18557.605170000003</v>
      </c>
      <c r="S135" s="174">
        <f t="shared" si="16"/>
        <v>-20361.993260000003</v>
      </c>
      <c r="T135" s="174">
        <f t="shared" si="17"/>
        <v>-65055</v>
      </c>
      <c r="U135" s="174">
        <f t="shared" si="18"/>
        <v>-78054</v>
      </c>
      <c r="V135" s="174">
        <f t="shared" si="19"/>
        <v>-53714</v>
      </c>
      <c r="W135" s="174"/>
      <c r="X135" s="73">
        <f t="shared" si="21"/>
        <v>-44296.222211428569</v>
      </c>
      <c r="Y135" s="339">
        <f t="shared" si="20"/>
        <v>1.1804662731361933E-2</v>
      </c>
      <c r="Z135" s="174"/>
    </row>
    <row r="136" spans="1:26" x14ac:dyDescent="0.25">
      <c r="A136" s="30">
        <v>407</v>
      </c>
      <c r="B136" s="31" t="s">
        <v>450</v>
      </c>
      <c r="C136" s="41">
        <f>'7. Nettoinvestoinnit '!C136</f>
        <v>-121</v>
      </c>
      <c r="D136" s="41">
        <f>'7. Nettoinvestoinnit '!D136</f>
        <v>-556</v>
      </c>
      <c r="E136" s="41">
        <f>'7. Nettoinvestoinnit '!E136</f>
        <v>-1141</v>
      </c>
      <c r="F136" s="41">
        <f>'7. Nettoinvestoinnit '!F136</f>
        <v>-859</v>
      </c>
      <c r="G136" s="41">
        <f>'7. Nettoinvestoinnit '!G136</f>
        <v>-511</v>
      </c>
      <c r="H136" s="41">
        <f>'7. Nettoinvestoinnit '!H136</f>
        <v>-347</v>
      </c>
      <c r="I136" s="41">
        <f>'7. Nettoinvestoinnit '!I136</f>
        <v>2947.68235</v>
      </c>
      <c r="J136" s="73">
        <v>-454.76979</v>
      </c>
      <c r="K136" s="41">
        <v>-602.20560999999998</v>
      </c>
      <c r="L136" s="41">
        <v>-4077</v>
      </c>
      <c r="M136" s="41">
        <v>-1890</v>
      </c>
      <c r="N136" s="41">
        <v>-845</v>
      </c>
      <c r="O136" s="174"/>
      <c r="P136" s="174">
        <f t="shared" si="13"/>
        <v>-347</v>
      </c>
      <c r="Q136" s="174">
        <f t="shared" si="14"/>
        <v>-347</v>
      </c>
      <c r="R136" s="174">
        <f t="shared" si="15"/>
        <v>-454.76979</v>
      </c>
      <c r="S136" s="174">
        <f t="shared" si="16"/>
        <v>-602.20560999999998</v>
      </c>
      <c r="T136" s="174">
        <f t="shared" si="17"/>
        <v>-4077</v>
      </c>
      <c r="U136" s="174">
        <f t="shared" si="18"/>
        <v>-1890</v>
      </c>
      <c r="V136" s="174">
        <f t="shared" si="19"/>
        <v>-845</v>
      </c>
      <c r="W136" s="174"/>
      <c r="X136" s="73">
        <f t="shared" si="21"/>
        <v>-1223.2821999999999</v>
      </c>
      <c r="Y136" s="339">
        <f t="shared" si="20"/>
        <v>3.2599696035823011E-4</v>
      </c>
      <c r="Z136" s="174"/>
    </row>
    <row r="137" spans="1:26" x14ac:dyDescent="0.25">
      <c r="A137" s="30">
        <v>408</v>
      </c>
      <c r="B137" s="31" t="s">
        <v>451</v>
      </c>
      <c r="C137" s="41">
        <f>'7. Nettoinvestoinnit '!C137</f>
        <v>-6601</v>
      </c>
      <c r="D137" s="41">
        <f>'7. Nettoinvestoinnit '!D137</f>
        <v>-5689</v>
      </c>
      <c r="E137" s="41">
        <f>'7. Nettoinvestoinnit '!E137</f>
        <v>-8880</v>
      </c>
      <c r="F137" s="41">
        <f>'7. Nettoinvestoinnit '!F137</f>
        <v>-12757</v>
      </c>
      <c r="G137" s="41">
        <f>'7. Nettoinvestoinnit '!G137</f>
        <v>-17059</v>
      </c>
      <c r="H137" s="41">
        <f>'7. Nettoinvestoinnit '!H137</f>
        <v>-13253</v>
      </c>
      <c r="I137" s="41">
        <f>'7. Nettoinvestoinnit '!I137</f>
        <v>-6236.0023200000005</v>
      </c>
      <c r="J137" s="73">
        <v>-7934.4033200000003</v>
      </c>
      <c r="K137" s="41">
        <v>-6645.98614</v>
      </c>
      <c r="L137" s="41">
        <v>-6635.8</v>
      </c>
      <c r="M137" s="41">
        <v>-9584</v>
      </c>
      <c r="N137" s="41">
        <v>-9067</v>
      </c>
      <c r="O137" s="174"/>
      <c r="P137" s="174">
        <f t="shared" si="13"/>
        <v>-13253</v>
      </c>
      <c r="Q137" s="174">
        <f t="shared" si="14"/>
        <v>-6236.0023200000005</v>
      </c>
      <c r="R137" s="174">
        <f t="shared" si="15"/>
        <v>-7934.4033200000003</v>
      </c>
      <c r="S137" s="174">
        <f t="shared" si="16"/>
        <v>-6645.98614</v>
      </c>
      <c r="T137" s="174">
        <f t="shared" si="17"/>
        <v>-6635.8</v>
      </c>
      <c r="U137" s="174">
        <f t="shared" si="18"/>
        <v>-9584</v>
      </c>
      <c r="V137" s="174">
        <f t="shared" si="19"/>
        <v>-9067</v>
      </c>
      <c r="W137" s="174"/>
      <c r="X137" s="73">
        <f t="shared" si="21"/>
        <v>-8479.4559685714285</v>
      </c>
      <c r="Y137" s="339">
        <f t="shared" si="20"/>
        <v>2.259721322885053E-3</v>
      </c>
      <c r="Z137" s="174"/>
    </row>
    <row r="138" spans="1:26" x14ac:dyDescent="0.25">
      <c r="A138" s="30">
        <v>410</v>
      </c>
      <c r="B138" s="31" t="s">
        <v>452</v>
      </c>
      <c r="C138" s="41">
        <f>'7. Nettoinvestoinnit '!C138</f>
        <v>-16820</v>
      </c>
      <c r="D138" s="41">
        <f>'7. Nettoinvestoinnit '!D138</f>
        <v>-12094</v>
      </c>
      <c r="E138" s="41">
        <f>'7. Nettoinvestoinnit '!E138</f>
        <v>-13326</v>
      </c>
      <c r="F138" s="41">
        <f>'7. Nettoinvestoinnit '!F138</f>
        <v>-6304</v>
      </c>
      <c r="G138" s="41">
        <f>'7. Nettoinvestoinnit '!G138</f>
        <v>-5035</v>
      </c>
      <c r="H138" s="41">
        <f>'7. Nettoinvestoinnit '!H138</f>
        <v>-14273</v>
      </c>
      <c r="I138" s="41">
        <f>'7. Nettoinvestoinnit '!I138</f>
        <v>-15747.305279999999</v>
      </c>
      <c r="J138" s="73">
        <v>-8678.9785700000011</v>
      </c>
      <c r="K138" s="41">
        <v>-4392.0677400000004</v>
      </c>
      <c r="L138" s="41">
        <v>-5235</v>
      </c>
      <c r="M138" s="41">
        <v>-5021</v>
      </c>
      <c r="N138" s="41">
        <v>-4081</v>
      </c>
      <c r="O138" s="174"/>
      <c r="P138" s="174">
        <f t="shared" si="13"/>
        <v>-14273</v>
      </c>
      <c r="Q138" s="174">
        <f t="shared" si="14"/>
        <v>-15747.305279999999</v>
      </c>
      <c r="R138" s="174">
        <f t="shared" si="15"/>
        <v>-8678.9785700000011</v>
      </c>
      <c r="S138" s="174">
        <f t="shared" si="16"/>
        <v>-4392.0677400000004</v>
      </c>
      <c r="T138" s="174">
        <f t="shared" si="17"/>
        <v>-5235</v>
      </c>
      <c r="U138" s="174">
        <f t="shared" si="18"/>
        <v>-5021</v>
      </c>
      <c r="V138" s="174">
        <f t="shared" si="19"/>
        <v>-4081</v>
      </c>
      <c r="W138" s="174"/>
      <c r="X138" s="73">
        <f t="shared" si="21"/>
        <v>-8204.0502271428577</v>
      </c>
      <c r="Y138" s="339">
        <f t="shared" si="20"/>
        <v>2.1863274366902578E-3</v>
      </c>
      <c r="Z138" s="174"/>
    </row>
    <row r="139" spans="1:26" x14ac:dyDescent="0.25">
      <c r="A139" s="30">
        <v>416</v>
      </c>
      <c r="B139" s="31" t="s">
        <v>453</v>
      </c>
      <c r="C139" s="41">
        <f>'7. Nettoinvestoinnit '!C139</f>
        <v>-648</v>
      </c>
      <c r="D139" s="41">
        <f>'7. Nettoinvestoinnit '!D139</f>
        <v>-1031</v>
      </c>
      <c r="E139" s="41">
        <f>'7. Nettoinvestoinnit '!E139</f>
        <v>-1086</v>
      </c>
      <c r="F139" s="41">
        <f>'7. Nettoinvestoinnit '!F139</f>
        <v>-1216</v>
      </c>
      <c r="G139" s="41">
        <f>'7. Nettoinvestoinnit '!G139</f>
        <v>-207</v>
      </c>
      <c r="H139" s="41">
        <f>'7. Nettoinvestoinnit '!H139</f>
        <v>-83</v>
      </c>
      <c r="I139" s="41">
        <f>'7. Nettoinvestoinnit '!I139</f>
        <v>-438.42723000000001</v>
      </c>
      <c r="J139" s="73">
        <v>-939.78078000000005</v>
      </c>
      <c r="K139" s="41">
        <v>-153.47092000000001</v>
      </c>
      <c r="L139" s="41">
        <v>-289.5</v>
      </c>
      <c r="M139" s="41">
        <v>-292.5</v>
      </c>
      <c r="N139" s="41">
        <v>-141.5</v>
      </c>
      <c r="O139" s="174"/>
      <c r="P139" s="174">
        <f t="shared" si="13"/>
        <v>-83</v>
      </c>
      <c r="Q139" s="174">
        <f t="shared" si="14"/>
        <v>-438.42723000000001</v>
      </c>
      <c r="R139" s="174">
        <f t="shared" si="15"/>
        <v>-939.78078000000005</v>
      </c>
      <c r="S139" s="174">
        <f t="shared" si="16"/>
        <v>-153.47092000000001</v>
      </c>
      <c r="T139" s="174">
        <f t="shared" si="17"/>
        <v>-289.5</v>
      </c>
      <c r="U139" s="174">
        <f t="shared" si="18"/>
        <v>-292.5</v>
      </c>
      <c r="V139" s="174">
        <f t="shared" si="19"/>
        <v>-141.5</v>
      </c>
      <c r="W139" s="174"/>
      <c r="X139" s="73">
        <f t="shared" si="21"/>
        <v>-334.02556142857145</v>
      </c>
      <c r="Y139" s="339">
        <f t="shared" si="20"/>
        <v>8.9015697038398491E-5</v>
      </c>
      <c r="Z139" s="174"/>
    </row>
    <row r="140" spans="1:26" x14ac:dyDescent="0.25">
      <c r="A140" s="30">
        <v>418</v>
      </c>
      <c r="B140" s="31" t="s">
        <v>454</v>
      </c>
      <c r="C140" s="41">
        <f>'7. Nettoinvestoinnit '!C140</f>
        <v>-16666</v>
      </c>
      <c r="D140" s="41">
        <f>'7. Nettoinvestoinnit '!D140</f>
        <v>-5923</v>
      </c>
      <c r="E140" s="41">
        <f>'7. Nettoinvestoinnit '!E140</f>
        <v>-6531</v>
      </c>
      <c r="F140" s="41">
        <f>'7. Nettoinvestoinnit '!F140</f>
        <v>-14413</v>
      </c>
      <c r="G140" s="41">
        <f>'7. Nettoinvestoinnit '!G140</f>
        <v>21253</v>
      </c>
      <c r="H140" s="41">
        <f>'7. Nettoinvestoinnit '!H140</f>
        <v>-11645</v>
      </c>
      <c r="I140" s="41">
        <f>'7. Nettoinvestoinnit '!I140</f>
        <v>-5065.8273899999995</v>
      </c>
      <c r="J140" s="73">
        <v>-9104.5832300000002</v>
      </c>
      <c r="K140" s="41">
        <v>-16115.27103</v>
      </c>
      <c r="L140" s="41">
        <v>-25415</v>
      </c>
      <c r="M140" s="41">
        <v>-19285</v>
      </c>
      <c r="N140" s="41">
        <v>-14050</v>
      </c>
      <c r="O140" s="174"/>
      <c r="P140" s="174">
        <f t="shared" si="13"/>
        <v>-11645</v>
      </c>
      <c r="Q140" s="174">
        <f t="shared" si="14"/>
        <v>-5065.8273899999995</v>
      </c>
      <c r="R140" s="174">
        <f t="shared" si="15"/>
        <v>-9104.5832300000002</v>
      </c>
      <c r="S140" s="174">
        <f t="shared" si="16"/>
        <v>-16115.27103</v>
      </c>
      <c r="T140" s="174">
        <f t="shared" si="17"/>
        <v>-25415</v>
      </c>
      <c r="U140" s="174">
        <f t="shared" si="18"/>
        <v>-19285</v>
      </c>
      <c r="V140" s="174">
        <f t="shared" si="19"/>
        <v>-14050</v>
      </c>
      <c r="W140" s="174"/>
      <c r="X140" s="73">
        <f t="shared" si="21"/>
        <v>-14382.954521428572</v>
      </c>
      <c r="Y140" s="339">
        <f t="shared" si="20"/>
        <v>3.8329663056949391E-3</v>
      </c>
      <c r="Z140" s="174"/>
    </row>
    <row r="141" spans="1:26" x14ac:dyDescent="0.25">
      <c r="A141" s="30">
        <v>420</v>
      </c>
      <c r="B141" s="31" t="s">
        <v>455</v>
      </c>
      <c r="C141" s="41">
        <f>'7. Nettoinvestoinnit '!C141</f>
        <v>-2634</v>
      </c>
      <c r="D141" s="41">
        <f>'7. Nettoinvestoinnit '!D141</f>
        <v>-2806</v>
      </c>
      <c r="E141" s="41">
        <f>'7. Nettoinvestoinnit '!E141</f>
        <v>-8506</v>
      </c>
      <c r="F141" s="41">
        <f>'7. Nettoinvestoinnit '!F141</f>
        <v>-6055</v>
      </c>
      <c r="G141" s="41">
        <f>'7. Nettoinvestoinnit '!G141</f>
        <v>-3227</v>
      </c>
      <c r="H141" s="41">
        <f>'7. Nettoinvestoinnit '!H141</f>
        <v>-2281</v>
      </c>
      <c r="I141" s="41">
        <f>'7. Nettoinvestoinnit '!I141</f>
        <v>-1709.5101299999999</v>
      </c>
      <c r="J141" s="73">
        <v>-975.20729000000006</v>
      </c>
      <c r="K141" s="41">
        <v>-1868.9251999999999</v>
      </c>
      <c r="L141" s="41">
        <v>-6525</v>
      </c>
      <c r="M141" s="41">
        <v>-9205</v>
      </c>
      <c r="N141" s="41">
        <v>-7580</v>
      </c>
      <c r="O141" s="174"/>
      <c r="P141" s="174">
        <f t="shared" si="13"/>
        <v>-2281</v>
      </c>
      <c r="Q141" s="174">
        <f t="shared" si="14"/>
        <v>-1709.5101299999999</v>
      </c>
      <c r="R141" s="174">
        <f t="shared" si="15"/>
        <v>-975.20729000000006</v>
      </c>
      <c r="S141" s="174">
        <f t="shared" si="16"/>
        <v>-1868.9251999999999</v>
      </c>
      <c r="T141" s="174">
        <f t="shared" si="17"/>
        <v>-6525</v>
      </c>
      <c r="U141" s="174">
        <f t="shared" si="18"/>
        <v>-9205</v>
      </c>
      <c r="V141" s="174">
        <f t="shared" si="19"/>
        <v>-7580</v>
      </c>
      <c r="W141" s="174"/>
      <c r="X141" s="73">
        <f t="shared" si="21"/>
        <v>-4306.377517142857</v>
      </c>
      <c r="Y141" s="339">
        <f t="shared" si="20"/>
        <v>1.147622339917636E-3</v>
      </c>
      <c r="Z141" s="174"/>
    </row>
    <row r="142" spans="1:26" x14ac:dyDescent="0.25">
      <c r="A142" s="30">
        <v>421</v>
      </c>
      <c r="B142" s="31" t="s">
        <v>456</v>
      </c>
      <c r="C142" s="41">
        <f>'7. Nettoinvestoinnit '!C142</f>
        <v>-43</v>
      </c>
      <c r="D142" s="41">
        <f>'7. Nettoinvestoinnit '!D142</f>
        <v>-666</v>
      </c>
      <c r="E142" s="41">
        <f>'7. Nettoinvestoinnit '!E142</f>
        <v>-235</v>
      </c>
      <c r="F142" s="41">
        <f>'7. Nettoinvestoinnit '!F142</f>
        <v>-300</v>
      </c>
      <c r="G142" s="41">
        <f>'7. Nettoinvestoinnit '!G142</f>
        <v>-418</v>
      </c>
      <c r="H142" s="41">
        <f>'7. Nettoinvestoinnit '!H142</f>
        <v>-4131</v>
      </c>
      <c r="I142" s="41">
        <f>'7. Nettoinvestoinnit '!I142</f>
        <v>-1895.3101899999999</v>
      </c>
      <c r="J142" s="73">
        <v>-782.53129000000001</v>
      </c>
      <c r="K142" s="41">
        <v>0</v>
      </c>
      <c r="L142" s="41">
        <v>-185.7</v>
      </c>
      <c r="M142" s="41">
        <v>-67.7</v>
      </c>
      <c r="N142" s="41">
        <v>-83.7</v>
      </c>
      <c r="O142" s="174"/>
      <c r="P142" s="174">
        <f t="shared" si="13"/>
        <v>-4131</v>
      </c>
      <c r="Q142" s="174">
        <f t="shared" si="14"/>
        <v>-1895.3101899999999</v>
      </c>
      <c r="R142" s="174">
        <f t="shared" si="15"/>
        <v>-782.53129000000001</v>
      </c>
      <c r="S142" s="174">
        <f t="shared" si="16"/>
        <v>-782.53129000000001</v>
      </c>
      <c r="T142" s="174">
        <f t="shared" si="17"/>
        <v>-185.7</v>
      </c>
      <c r="U142" s="174">
        <f t="shared" si="18"/>
        <v>-67.7</v>
      </c>
      <c r="V142" s="174">
        <f t="shared" si="19"/>
        <v>-83.7</v>
      </c>
      <c r="W142" s="174"/>
      <c r="X142" s="73">
        <f t="shared" si="21"/>
        <v>-1132.6389671428572</v>
      </c>
      <c r="Y142" s="339">
        <f t="shared" si="20"/>
        <v>3.0184111276356082E-4</v>
      </c>
      <c r="Z142" s="174"/>
    </row>
    <row r="143" spans="1:26" x14ac:dyDescent="0.25">
      <c r="A143" s="30">
        <v>422</v>
      </c>
      <c r="B143" s="31" t="s">
        <v>457</v>
      </c>
      <c r="C143" s="41">
        <f>'7. Nettoinvestoinnit '!C143</f>
        <v>-2868</v>
      </c>
      <c r="D143" s="41">
        <f>'7. Nettoinvestoinnit '!D143</f>
        <v>-1874</v>
      </c>
      <c r="E143" s="41">
        <f>'7. Nettoinvestoinnit '!E143</f>
        <v>-2241</v>
      </c>
      <c r="F143" s="41">
        <f>'7. Nettoinvestoinnit '!F143</f>
        <v>-2173</v>
      </c>
      <c r="G143" s="41">
        <f>'7. Nettoinvestoinnit '!G143</f>
        <v>-4263</v>
      </c>
      <c r="H143" s="41">
        <f>'7. Nettoinvestoinnit '!H143</f>
        <v>-9705</v>
      </c>
      <c r="I143" s="41">
        <f>'7. Nettoinvestoinnit '!I143</f>
        <v>-2515.7077599999998</v>
      </c>
      <c r="J143" s="73">
        <v>-3573.7719999999999</v>
      </c>
      <c r="K143" s="41">
        <v>-3980.7509500000001</v>
      </c>
      <c r="L143" s="41">
        <v>-7852</v>
      </c>
      <c r="M143" s="41">
        <v>-7572</v>
      </c>
      <c r="N143" s="41">
        <v>-4050</v>
      </c>
      <c r="O143" s="174"/>
      <c r="P143" s="174">
        <f t="shared" ref="P143:P206" si="22">IF(H143&lt;0,H143,G143)</f>
        <v>-9705</v>
      </c>
      <c r="Q143" s="174">
        <f t="shared" ref="Q143:Q206" si="23">IF(I143&lt;0,I143,H143)</f>
        <v>-2515.7077599999998</v>
      </c>
      <c r="R143" s="174">
        <f t="shared" ref="R143:R206" si="24">IF(J143&lt;0,J143,I143)</f>
        <v>-3573.7719999999999</v>
      </c>
      <c r="S143" s="174">
        <f t="shared" ref="S143:S206" si="25">IF(K143&lt;0,K143,J143)</f>
        <v>-3980.7509500000001</v>
      </c>
      <c r="T143" s="174">
        <f t="shared" ref="T143:T206" si="26">IF(L143&lt;0,L143,K143)</f>
        <v>-7852</v>
      </c>
      <c r="U143" s="174">
        <f t="shared" ref="U143:U206" si="27">IF(M143&lt;0,M143,L143)</f>
        <v>-7572</v>
      </c>
      <c r="V143" s="174">
        <f t="shared" ref="V143:V206" si="28">IF(N143&lt;0,N143,M143)</f>
        <v>-4050</v>
      </c>
      <c r="W143" s="174"/>
      <c r="X143" s="73">
        <f t="shared" si="21"/>
        <v>-5607.0329585714289</v>
      </c>
      <c r="Y143" s="339">
        <f t="shared" ref="Y143:Y206" si="29">X143/$X$12</f>
        <v>1.4942387791816968E-3</v>
      </c>
      <c r="Z143" s="174"/>
    </row>
    <row r="144" spans="1:26" x14ac:dyDescent="0.25">
      <c r="A144" s="30">
        <v>423</v>
      </c>
      <c r="B144" s="31" t="s">
        <v>458</v>
      </c>
      <c r="C144" s="41">
        <f>'7. Nettoinvestoinnit '!C144</f>
        <v>-4444</v>
      </c>
      <c r="D144" s="41">
        <f>'7. Nettoinvestoinnit '!D144</f>
        <v>-8681</v>
      </c>
      <c r="E144" s="41">
        <f>'7. Nettoinvestoinnit '!E144</f>
        <v>-15477</v>
      </c>
      <c r="F144" s="41">
        <f>'7. Nettoinvestoinnit '!F144</f>
        <v>-7023</v>
      </c>
      <c r="G144" s="41">
        <f>'7. Nettoinvestoinnit '!G144</f>
        <v>-7305</v>
      </c>
      <c r="H144" s="41">
        <f>'7. Nettoinvestoinnit '!H144</f>
        <v>-9237</v>
      </c>
      <c r="I144" s="41">
        <f>'7. Nettoinvestoinnit '!I144</f>
        <v>-6923.9925000000003</v>
      </c>
      <c r="J144" s="73">
        <v>-9647.3881799999999</v>
      </c>
      <c r="K144" s="41">
        <v>-9317.4975999999988</v>
      </c>
      <c r="L144" s="41">
        <v>-17715</v>
      </c>
      <c r="M144" s="41">
        <v>-19530</v>
      </c>
      <c r="N144" s="41">
        <v>-14190</v>
      </c>
      <c r="O144" s="174"/>
      <c r="P144" s="174">
        <f t="shared" si="22"/>
        <v>-9237</v>
      </c>
      <c r="Q144" s="174">
        <f t="shared" si="23"/>
        <v>-6923.9925000000003</v>
      </c>
      <c r="R144" s="174">
        <f t="shared" si="24"/>
        <v>-9647.3881799999999</v>
      </c>
      <c r="S144" s="174">
        <f t="shared" si="25"/>
        <v>-9317.4975999999988</v>
      </c>
      <c r="T144" s="174">
        <f t="shared" si="26"/>
        <v>-17715</v>
      </c>
      <c r="U144" s="174">
        <f t="shared" si="27"/>
        <v>-19530</v>
      </c>
      <c r="V144" s="174">
        <f t="shared" si="28"/>
        <v>-14190</v>
      </c>
      <c r="W144" s="174"/>
      <c r="X144" s="73">
        <f t="shared" ref="X144:X207" si="30">AVERAGE(P144:V144)</f>
        <v>-12365.839754285715</v>
      </c>
      <c r="Y144" s="339">
        <f t="shared" si="29"/>
        <v>3.2954179928180978E-3</v>
      </c>
      <c r="Z144" s="174"/>
    </row>
    <row r="145" spans="1:26" x14ac:dyDescent="0.25">
      <c r="A145" s="30">
        <v>425</v>
      </c>
      <c r="B145" s="31" t="s">
        <v>459</v>
      </c>
      <c r="C145" s="41">
        <f>'7. Nettoinvestoinnit '!C145</f>
        <v>-1696</v>
      </c>
      <c r="D145" s="41">
        <f>'7. Nettoinvestoinnit '!D145</f>
        <v>-2006</v>
      </c>
      <c r="E145" s="41">
        <f>'7. Nettoinvestoinnit '!E145</f>
        <v>-6736</v>
      </c>
      <c r="F145" s="41">
        <f>'7. Nettoinvestoinnit '!F145</f>
        <v>-16633</v>
      </c>
      <c r="G145" s="41">
        <f>'7. Nettoinvestoinnit '!G145</f>
        <v>-7202</v>
      </c>
      <c r="H145" s="41">
        <f>'7. Nettoinvestoinnit '!H145</f>
        <v>-6356</v>
      </c>
      <c r="I145" s="41">
        <f>'7. Nettoinvestoinnit '!I145</f>
        <v>-2152.6546600000001</v>
      </c>
      <c r="J145" s="73">
        <v>-4179.0032499999998</v>
      </c>
      <c r="K145" s="41">
        <v>-4294.0285599999997</v>
      </c>
      <c r="L145" s="41">
        <v>-3126</v>
      </c>
      <c r="M145" s="41">
        <v>-4885</v>
      </c>
      <c r="N145" s="41">
        <v>-3885</v>
      </c>
      <c r="O145" s="174"/>
      <c r="P145" s="174">
        <f t="shared" si="22"/>
        <v>-6356</v>
      </c>
      <c r="Q145" s="174">
        <f t="shared" si="23"/>
        <v>-2152.6546600000001</v>
      </c>
      <c r="R145" s="174">
        <f t="shared" si="24"/>
        <v>-4179.0032499999998</v>
      </c>
      <c r="S145" s="174">
        <f t="shared" si="25"/>
        <v>-4294.0285599999997</v>
      </c>
      <c r="T145" s="174">
        <f t="shared" si="26"/>
        <v>-3126</v>
      </c>
      <c r="U145" s="174">
        <f t="shared" si="27"/>
        <v>-4885</v>
      </c>
      <c r="V145" s="174">
        <f t="shared" si="28"/>
        <v>-3885</v>
      </c>
      <c r="W145" s="174"/>
      <c r="X145" s="73">
        <f t="shared" si="30"/>
        <v>-4125.3837814285716</v>
      </c>
      <c r="Y145" s="339">
        <f t="shared" si="29"/>
        <v>1.0993886554197026E-3</v>
      </c>
      <c r="Z145" s="174"/>
    </row>
    <row r="146" spans="1:26" x14ac:dyDescent="0.25">
      <c r="A146" s="30">
        <v>426</v>
      </c>
      <c r="B146" s="31" t="s">
        <v>460</v>
      </c>
      <c r="C146" s="41">
        <f>'7. Nettoinvestoinnit '!C146</f>
        <v>-6728</v>
      </c>
      <c r="D146" s="41">
        <f>'7. Nettoinvestoinnit '!D146</f>
        <v>-2567</v>
      </c>
      <c r="E146" s="41">
        <f>'7. Nettoinvestoinnit '!E146</f>
        <v>-2893</v>
      </c>
      <c r="F146" s="41">
        <f>'7. Nettoinvestoinnit '!F146</f>
        <v>-3594</v>
      </c>
      <c r="G146" s="41">
        <f>'7. Nettoinvestoinnit '!G146</f>
        <v>-2763</v>
      </c>
      <c r="H146" s="41">
        <f>'7. Nettoinvestoinnit '!H146</f>
        <v>-8623</v>
      </c>
      <c r="I146" s="41">
        <f>'7. Nettoinvestoinnit '!I146</f>
        <v>-14428.83635</v>
      </c>
      <c r="J146" s="73">
        <v>-5660.4199000000008</v>
      </c>
      <c r="K146" s="41">
        <v>-2660.7090699999999</v>
      </c>
      <c r="L146" s="41">
        <v>-4335</v>
      </c>
      <c r="M146" s="41">
        <v>-5925</v>
      </c>
      <c r="N146" s="41">
        <v>-5510</v>
      </c>
      <c r="O146" s="174"/>
      <c r="P146" s="174">
        <f t="shared" si="22"/>
        <v>-8623</v>
      </c>
      <c r="Q146" s="174">
        <f t="shared" si="23"/>
        <v>-14428.83635</v>
      </c>
      <c r="R146" s="174">
        <f t="shared" si="24"/>
        <v>-5660.4199000000008</v>
      </c>
      <c r="S146" s="174">
        <f t="shared" si="25"/>
        <v>-2660.7090699999999</v>
      </c>
      <c r="T146" s="174">
        <f t="shared" si="26"/>
        <v>-4335</v>
      </c>
      <c r="U146" s="174">
        <f t="shared" si="27"/>
        <v>-5925</v>
      </c>
      <c r="V146" s="174">
        <f t="shared" si="28"/>
        <v>-5510</v>
      </c>
      <c r="W146" s="174"/>
      <c r="X146" s="73">
        <f t="shared" si="30"/>
        <v>-6734.7093314285721</v>
      </c>
      <c r="Y146" s="339">
        <f t="shared" si="29"/>
        <v>1.7947573919917441E-3</v>
      </c>
      <c r="Z146" s="174"/>
    </row>
    <row r="147" spans="1:26" x14ac:dyDescent="0.25">
      <c r="A147" s="30">
        <v>430</v>
      </c>
      <c r="B147" s="31" t="s">
        <v>461</v>
      </c>
      <c r="C147" s="41">
        <f>'7. Nettoinvestoinnit '!C147</f>
        <v>-2590</v>
      </c>
      <c r="D147" s="41">
        <f>'7. Nettoinvestoinnit '!D147</f>
        <v>-2247</v>
      </c>
      <c r="E147" s="41">
        <f>'7. Nettoinvestoinnit '!E147</f>
        <v>-4849</v>
      </c>
      <c r="F147" s="41">
        <f>'7. Nettoinvestoinnit '!F147</f>
        <v>-2311</v>
      </c>
      <c r="G147" s="41">
        <f>'7. Nettoinvestoinnit '!G147</f>
        <v>-3555</v>
      </c>
      <c r="H147" s="41">
        <f>'7. Nettoinvestoinnit '!H147</f>
        <v>-3310</v>
      </c>
      <c r="I147" s="41">
        <f>'7. Nettoinvestoinnit '!I147</f>
        <v>-3931.3877200000002</v>
      </c>
      <c r="J147" s="73">
        <v>-3129.6211800000001</v>
      </c>
      <c r="K147" s="41">
        <v>-5115.1482999999998</v>
      </c>
      <c r="L147" s="41">
        <v>-6019</v>
      </c>
      <c r="M147" s="41">
        <v>-6420</v>
      </c>
      <c r="N147" s="41">
        <v>-5170</v>
      </c>
      <c r="O147" s="174"/>
      <c r="P147" s="174">
        <f t="shared" si="22"/>
        <v>-3310</v>
      </c>
      <c r="Q147" s="174">
        <f t="shared" si="23"/>
        <v>-3931.3877200000002</v>
      </c>
      <c r="R147" s="174">
        <f t="shared" si="24"/>
        <v>-3129.6211800000001</v>
      </c>
      <c r="S147" s="174">
        <f t="shared" si="25"/>
        <v>-5115.1482999999998</v>
      </c>
      <c r="T147" s="174">
        <f t="shared" si="26"/>
        <v>-6019</v>
      </c>
      <c r="U147" s="174">
        <f t="shared" si="27"/>
        <v>-6420</v>
      </c>
      <c r="V147" s="174">
        <f t="shared" si="28"/>
        <v>-5170</v>
      </c>
      <c r="W147" s="174"/>
      <c r="X147" s="73">
        <f t="shared" si="30"/>
        <v>-4727.8796000000002</v>
      </c>
      <c r="Y147" s="339">
        <f t="shared" si="29"/>
        <v>1.2599499760069142E-3</v>
      </c>
      <c r="Z147" s="174"/>
    </row>
    <row r="148" spans="1:26" x14ac:dyDescent="0.25">
      <c r="A148" s="30">
        <v>433</v>
      </c>
      <c r="B148" s="31" t="s">
        <v>462</v>
      </c>
      <c r="C148" s="41">
        <f>'7. Nettoinvestoinnit '!C148</f>
        <v>-4264</v>
      </c>
      <c r="D148" s="41">
        <f>'7. Nettoinvestoinnit '!D148</f>
        <v>-7943</v>
      </c>
      <c r="E148" s="41">
        <f>'7. Nettoinvestoinnit '!E148</f>
        <v>-2310</v>
      </c>
      <c r="F148" s="41">
        <f>'7. Nettoinvestoinnit '!F148</f>
        <v>-1648</v>
      </c>
      <c r="G148" s="41">
        <f>'7. Nettoinvestoinnit '!G148</f>
        <v>-1632</v>
      </c>
      <c r="H148" s="41">
        <f>'7. Nettoinvestoinnit '!H148</f>
        <v>-1167</v>
      </c>
      <c r="I148" s="41">
        <f>'7. Nettoinvestoinnit '!I148</f>
        <v>-721.70382999999993</v>
      </c>
      <c r="J148" s="73">
        <v>-6006.0612499999997</v>
      </c>
      <c r="K148" s="41">
        <v>-3761.14338</v>
      </c>
      <c r="L148" s="41">
        <v>-1654</v>
      </c>
      <c r="M148" s="41">
        <v>-1763</v>
      </c>
      <c r="N148" s="41">
        <v>-1825</v>
      </c>
      <c r="O148" s="174"/>
      <c r="P148" s="174">
        <f t="shared" si="22"/>
        <v>-1167</v>
      </c>
      <c r="Q148" s="174">
        <f t="shared" si="23"/>
        <v>-721.70382999999993</v>
      </c>
      <c r="R148" s="174">
        <f t="shared" si="24"/>
        <v>-6006.0612499999997</v>
      </c>
      <c r="S148" s="174">
        <f t="shared" si="25"/>
        <v>-3761.14338</v>
      </c>
      <c r="T148" s="174">
        <f t="shared" si="26"/>
        <v>-1654</v>
      </c>
      <c r="U148" s="174">
        <f t="shared" si="27"/>
        <v>-1763</v>
      </c>
      <c r="V148" s="174">
        <f t="shared" si="28"/>
        <v>-1825</v>
      </c>
      <c r="W148" s="174"/>
      <c r="X148" s="73">
        <f t="shared" si="30"/>
        <v>-2413.9869228571429</v>
      </c>
      <c r="Y148" s="339">
        <f t="shared" si="29"/>
        <v>6.4331222934164013E-4</v>
      </c>
      <c r="Z148" s="174"/>
    </row>
    <row r="149" spans="1:26" x14ac:dyDescent="0.25">
      <c r="A149" s="30">
        <v>434</v>
      </c>
      <c r="B149" s="31" t="s">
        <v>463</v>
      </c>
      <c r="C149" s="41">
        <f>'7. Nettoinvestoinnit '!C149</f>
        <v>-1394</v>
      </c>
      <c r="D149" s="41">
        <f>'7. Nettoinvestoinnit '!D149</f>
        <v>-10197</v>
      </c>
      <c r="E149" s="41">
        <f>'7. Nettoinvestoinnit '!E149</f>
        <v>-7713</v>
      </c>
      <c r="F149" s="41">
        <f>'7. Nettoinvestoinnit '!F149</f>
        <v>-12010</v>
      </c>
      <c r="G149" s="41">
        <f>'7. Nettoinvestoinnit '!G149</f>
        <v>-11173</v>
      </c>
      <c r="H149" s="41">
        <f>'7. Nettoinvestoinnit '!H149</f>
        <v>-13229</v>
      </c>
      <c r="I149" s="41">
        <f>'7. Nettoinvestoinnit '!I149</f>
        <v>-9144.8119999999999</v>
      </c>
      <c r="J149" s="73">
        <v>-7921.9141500000005</v>
      </c>
      <c r="K149" s="41">
        <v>-3841.60484</v>
      </c>
      <c r="L149" s="41">
        <v>-12904</v>
      </c>
      <c r="M149" s="41">
        <v>-12165</v>
      </c>
      <c r="N149" s="41">
        <v>-6455</v>
      </c>
      <c r="O149" s="174"/>
      <c r="P149" s="174">
        <f t="shared" si="22"/>
        <v>-13229</v>
      </c>
      <c r="Q149" s="174">
        <f t="shared" si="23"/>
        <v>-9144.8119999999999</v>
      </c>
      <c r="R149" s="174">
        <f t="shared" si="24"/>
        <v>-7921.9141500000005</v>
      </c>
      <c r="S149" s="174">
        <f t="shared" si="25"/>
        <v>-3841.60484</v>
      </c>
      <c r="T149" s="174">
        <f t="shared" si="26"/>
        <v>-12904</v>
      </c>
      <c r="U149" s="174">
        <f t="shared" si="27"/>
        <v>-12165</v>
      </c>
      <c r="V149" s="174">
        <f t="shared" si="28"/>
        <v>-6455</v>
      </c>
      <c r="W149" s="174"/>
      <c r="X149" s="73">
        <f t="shared" si="30"/>
        <v>-9380.1901414285712</v>
      </c>
      <c r="Y149" s="339">
        <f t="shared" si="29"/>
        <v>2.4997612764151651E-3</v>
      </c>
      <c r="Z149" s="174"/>
    </row>
    <row r="150" spans="1:26" x14ac:dyDescent="0.25">
      <c r="A150" s="30">
        <v>435</v>
      </c>
      <c r="B150" s="31" t="s">
        <v>464</v>
      </c>
      <c r="C150" s="41">
        <f>'7. Nettoinvestoinnit '!C150</f>
        <v>-30</v>
      </c>
      <c r="D150" s="41">
        <f>'7. Nettoinvestoinnit '!D150</f>
        <v>-544</v>
      </c>
      <c r="E150" s="41">
        <f>'7. Nettoinvestoinnit '!E150</f>
        <v>-1751</v>
      </c>
      <c r="F150" s="41">
        <f>'7. Nettoinvestoinnit '!F150</f>
        <v>-348</v>
      </c>
      <c r="G150" s="41">
        <f>'7. Nettoinvestoinnit '!G150</f>
        <v>-26</v>
      </c>
      <c r="H150" s="41">
        <f>'7. Nettoinvestoinnit '!H150</f>
        <v>-40</v>
      </c>
      <c r="I150" s="41">
        <f>'7. Nettoinvestoinnit '!I150</f>
        <v>-47.367550000000001</v>
      </c>
      <c r="J150" s="73">
        <v>14.210930000000001</v>
      </c>
      <c r="K150" s="41">
        <v>-30.151540000000001</v>
      </c>
      <c r="L150" s="41">
        <v>-272.39999999999998</v>
      </c>
      <c r="M150" s="41">
        <v>-960</v>
      </c>
      <c r="N150" s="41">
        <v>-300</v>
      </c>
      <c r="O150" s="174"/>
      <c r="P150" s="174">
        <f t="shared" si="22"/>
        <v>-40</v>
      </c>
      <c r="Q150" s="174">
        <f t="shared" si="23"/>
        <v>-47.367550000000001</v>
      </c>
      <c r="R150" s="174">
        <f t="shared" si="24"/>
        <v>-47.367550000000001</v>
      </c>
      <c r="S150" s="174">
        <f t="shared" si="25"/>
        <v>-30.151540000000001</v>
      </c>
      <c r="T150" s="174">
        <f t="shared" si="26"/>
        <v>-272.39999999999998</v>
      </c>
      <c r="U150" s="174">
        <f t="shared" si="27"/>
        <v>-960</v>
      </c>
      <c r="V150" s="174">
        <f t="shared" si="28"/>
        <v>-300</v>
      </c>
      <c r="W150" s="174"/>
      <c r="X150" s="73">
        <f t="shared" si="30"/>
        <v>-242.46952000000002</v>
      </c>
      <c r="Y150" s="339">
        <f t="shared" si="29"/>
        <v>6.4616591739436008E-5</v>
      </c>
      <c r="Z150" s="174"/>
    </row>
    <row r="151" spans="1:26" x14ac:dyDescent="0.25">
      <c r="A151" s="30">
        <v>436</v>
      </c>
      <c r="B151" s="31" t="s">
        <v>465</v>
      </c>
      <c r="C151" s="41">
        <f>'7. Nettoinvestoinnit '!C151</f>
        <v>-145</v>
      </c>
      <c r="D151" s="41">
        <f>'7. Nettoinvestoinnit '!D151</f>
        <v>-179</v>
      </c>
      <c r="E151" s="41">
        <f>'7. Nettoinvestoinnit '!E151</f>
        <v>-594</v>
      </c>
      <c r="F151" s="41">
        <f>'7. Nettoinvestoinnit '!F151</f>
        <v>-1848</v>
      </c>
      <c r="G151" s="41">
        <f>'7. Nettoinvestoinnit '!G151</f>
        <v>-461</v>
      </c>
      <c r="H151" s="41">
        <f>'7. Nettoinvestoinnit '!H151</f>
        <v>-459</v>
      </c>
      <c r="I151" s="41">
        <f>'7. Nettoinvestoinnit '!I151</f>
        <v>-492.01333</v>
      </c>
      <c r="J151" s="73">
        <v>-2557.9771600000004</v>
      </c>
      <c r="K151" s="41">
        <v>-1754.78322</v>
      </c>
      <c r="L151" s="41">
        <v>-748</v>
      </c>
      <c r="M151" s="41">
        <v>-1040</v>
      </c>
      <c r="N151" s="41">
        <v>-400</v>
      </c>
      <c r="O151" s="174"/>
      <c r="P151" s="174">
        <f t="shared" si="22"/>
        <v>-459</v>
      </c>
      <c r="Q151" s="174">
        <f t="shared" si="23"/>
        <v>-492.01333</v>
      </c>
      <c r="R151" s="174">
        <f t="shared" si="24"/>
        <v>-2557.9771600000004</v>
      </c>
      <c r="S151" s="174">
        <f t="shared" si="25"/>
        <v>-1754.78322</v>
      </c>
      <c r="T151" s="174">
        <f t="shared" si="26"/>
        <v>-748</v>
      </c>
      <c r="U151" s="174">
        <f t="shared" si="27"/>
        <v>-1040</v>
      </c>
      <c r="V151" s="174">
        <f t="shared" si="28"/>
        <v>-400</v>
      </c>
      <c r="W151" s="174"/>
      <c r="X151" s="73">
        <f t="shared" si="30"/>
        <v>-1064.5391014285715</v>
      </c>
      <c r="Y151" s="339">
        <f t="shared" si="29"/>
        <v>2.836929297656714E-4</v>
      </c>
      <c r="Z151" s="174"/>
    </row>
    <row r="152" spans="1:26" x14ac:dyDescent="0.25">
      <c r="A152" s="30">
        <v>440</v>
      </c>
      <c r="B152" s="31" t="s">
        <v>466</v>
      </c>
      <c r="C152" s="41">
        <f>'7. Nettoinvestoinnit '!C152</f>
        <v>-783</v>
      </c>
      <c r="D152" s="41">
        <f>'7. Nettoinvestoinnit '!D152</f>
        <v>-3416</v>
      </c>
      <c r="E152" s="41">
        <f>'7. Nettoinvestoinnit '!E152</f>
        <v>-10294</v>
      </c>
      <c r="F152" s="41">
        <f>'7. Nettoinvestoinnit '!F152</f>
        <v>-3338</v>
      </c>
      <c r="G152" s="41">
        <f>'7. Nettoinvestoinnit '!G152</f>
        <v>-990</v>
      </c>
      <c r="H152" s="41">
        <f>'7. Nettoinvestoinnit '!H152</f>
        <v>-4497</v>
      </c>
      <c r="I152" s="41">
        <f>'7. Nettoinvestoinnit '!I152</f>
        <v>-1542.07754</v>
      </c>
      <c r="J152" s="73">
        <v>-3481.1063100000001</v>
      </c>
      <c r="K152" s="41">
        <v>-7659.9839900000006</v>
      </c>
      <c r="L152" s="41">
        <v>-5286.1</v>
      </c>
      <c r="M152" s="41">
        <v>-3615</v>
      </c>
      <c r="N152" s="41">
        <v>-1578.5</v>
      </c>
      <c r="O152" s="174"/>
      <c r="P152" s="174">
        <f t="shared" si="22"/>
        <v>-4497</v>
      </c>
      <c r="Q152" s="174">
        <f t="shared" si="23"/>
        <v>-1542.07754</v>
      </c>
      <c r="R152" s="174">
        <f t="shared" si="24"/>
        <v>-3481.1063100000001</v>
      </c>
      <c r="S152" s="174">
        <f t="shared" si="25"/>
        <v>-7659.9839900000006</v>
      </c>
      <c r="T152" s="174">
        <f t="shared" si="26"/>
        <v>-5286.1</v>
      </c>
      <c r="U152" s="174">
        <f t="shared" si="27"/>
        <v>-3615</v>
      </c>
      <c r="V152" s="174">
        <f t="shared" si="28"/>
        <v>-1578.5</v>
      </c>
      <c r="W152" s="174"/>
      <c r="X152" s="73">
        <f t="shared" si="30"/>
        <v>-3951.395405714286</v>
      </c>
      <c r="Y152" s="339">
        <f t="shared" si="29"/>
        <v>1.0530218550031489E-3</v>
      </c>
      <c r="Z152" s="174"/>
    </row>
    <row r="153" spans="1:26" x14ac:dyDescent="0.25">
      <c r="A153" s="30">
        <v>441</v>
      </c>
      <c r="B153" s="31" t="s">
        <v>467</v>
      </c>
      <c r="C153" s="41">
        <f>'7. Nettoinvestoinnit '!C153</f>
        <v>-2907</v>
      </c>
      <c r="D153" s="41">
        <f>'7. Nettoinvestoinnit '!D153</f>
        <v>-2442</v>
      </c>
      <c r="E153" s="41">
        <f>'7. Nettoinvestoinnit '!E153</f>
        <v>-3098</v>
      </c>
      <c r="F153" s="41">
        <f>'7. Nettoinvestoinnit '!F153</f>
        <v>-3043</v>
      </c>
      <c r="G153" s="41">
        <f>'7. Nettoinvestoinnit '!G153</f>
        <v>-3347</v>
      </c>
      <c r="H153" s="41">
        <f>'7. Nettoinvestoinnit '!H153</f>
        <v>-456</v>
      </c>
      <c r="I153" s="41">
        <f>'7. Nettoinvestoinnit '!I153</f>
        <v>-507.53667999999999</v>
      </c>
      <c r="J153" s="73">
        <v>-750.69156999999996</v>
      </c>
      <c r="K153" s="41">
        <v>-1565.67598</v>
      </c>
      <c r="L153" s="41">
        <v>-3158</v>
      </c>
      <c r="M153" s="41">
        <v>-2176</v>
      </c>
      <c r="N153" s="41">
        <v>-4546</v>
      </c>
      <c r="O153" s="174"/>
      <c r="P153" s="174">
        <f t="shared" si="22"/>
        <v>-456</v>
      </c>
      <c r="Q153" s="174">
        <f t="shared" si="23"/>
        <v>-507.53667999999999</v>
      </c>
      <c r="R153" s="174">
        <f t="shared" si="24"/>
        <v>-750.69156999999996</v>
      </c>
      <c r="S153" s="174">
        <f t="shared" si="25"/>
        <v>-1565.67598</v>
      </c>
      <c r="T153" s="174">
        <f t="shared" si="26"/>
        <v>-3158</v>
      </c>
      <c r="U153" s="174">
        <f t="shared" si="27"/>
        <v>-2176</v>
      </c>
      <c r="V153" s="174">
        <f t="shared" si="28"/>
        <v>-4546</v>
      </c>
      <c r="W153" s="174"/>
      <c r="X153" s="73">
        <f t="shared" si="30"/>
        <v>-1879.9863185714287</v>
      </c>
      <c r="Y153" s="339">
        <f t="shared" si="29"/>
        <v>5.0100444964321816E-4</v>
      </c>
      <c r="Z153" s="174"/>
    </row>
    <row r="154" spans="1:26" x14ac:dyDescent="0.25">
      <c r="A154" s="30">
        <v>444</v>
      </c>
      <c r="B154" s="31" t="s">
        <v>468</v>
      </c>
      <c r="C154" s="41">
        <f>'7. Nettoinvestoinnit '!C154</f>
        <v>-21738</v>
      </c>
      <c r="D154" s="41">
        <f>'7. Nettoinvestoinnit '!D154</f>
        <v>-23416</v>
      </c>
      <c r="E154" s="41">
        <f>'7. Nettoinvestoinnit '!E154</f>
        <v>-38749</v>
      </c>
      <c r="F154" s="41">
        <f>'7. Nettoinvestoinnit '!F154</f>
        <v>-26912</v>
      </c>
      <c r="G154" s="41">
        <f>'7. Nettoinvestoinnit '!G154</f>
        <v>-22238</v>
      </c>
      <c r="H154" s="41">
        <f>'7. Nettoinvestoinnit '!H154</f>
        <v>-32049</v>
      </c>
      <c r="I154" s="41">
        <f>'7. Nettoinvestoinnit '!I154</f>
        <v>-29072.857459999999</v>
      </c>
      <c r="J154" s="73">
        <v>-25873.33411</v>
      </c>
      <c r="K154" s="41">
        <v>-35579.331899999997</v>
      </c>
      <c r="L154" s="41">
        <v>-19830</v>
      </c>
      <c r="M154" s="41">
        <v>-41307.800000000003</v>
      </c>
      <c r="N154" s="41">
        <v>-29935.4</v>
      </c>
      <c r="O154" s="174"/>
      <c r="P154" s="174">
        <f t="shared" si="22"/>
        <v>-32049</v>
      </c>
      <c r="Q154" s="174">
        <f t="shared" si="23"/>
        <v>-29072.857459999999</v>
      </c>
      <c r="R154" s="174">
        <f t="shared" si="24"/>
        <v>-25873.33411</v>
      </c>
      <c r="S154" s="174">
        <f t="shared" si="25"/>
        <v>-35579.331899999997</v>
      </c>
      <c r="T154" s="174">
        <f t="shared" si="26"/>
        <v>-19830</v>
      </c>
      <c r="U154" s="174">
        <f t="shared" si="27"/>
        <v>-41307.800000000003</v>
      </c>
      <c r="V154" s="174">
        <f t="shared" si="28"/>
        <v>-29935.4</v>
      </c>
      <c r="W154" s="174"/>
      <c r="X154" s="73">
        <f t="shared" si="30"/>
        <v>-30521.103352857142</v>
      </c>
      <c r="Y154" s="339">
        <f t="shared" si="29"/>
        <v>8.1336807809439353E-3</v>
      </c>
      <c r="Z154" s="174"/>
    </row>
    <row r="155" spans="1:26" x14ac:dyDescent="0.25">
      <c r="A155" s="30">
        <v>445</v>
      </c>
      <c r="B155" s="31" t="s">
        <v>469</v>
      </c>
      <c r="C155" s="41">
        <f>'7. Nettoinvestoinnit '!C155</f>
        <v>-5504</v>
      </c>
      <c r="D155" s="41">
        <f>'7. Nettoinvestoinnit '!D155</f>
        <v>-5282</v>
      </c>
      <c r="E155" s="41">
        <f>'7. Nettoinvestoinnit '!E155</f>
        <v>-4327</v>
      </c>
      <c r="F155" s="41">
        <f>'7. Nettoinvestoinnit '!F155</f>
        <v>-4352</v>
      </c>
      <c r="G155" s="41">
        <f>'7. Nettoinvestoinnit '!G155</f>
        <v>-2879</v>
      </c>
      <c r="H155" s="41">
        <f>'7. Nettoinvestoinnit '!H155</f>
        <v>-4371</v>
      </c>
      <c r="I155" s="41">
        <f>'7. Nettoinvestoinnit '!I155</f>
        <v>-5140.4719000000005</v>
      </c>
      <c r="J155" s="73">
        <v>-10830.076869999999</v>
      </c>
      <c r="K155" s="41">
        <v>-11475.197970000001</v>
      </c>
      <c r="L155" s="41">
        <v>-5978.8</v>
      </c>
      <c r="M155" s="41">
        <v>-9833.75</v>
      </c>
      <c r="N155" s="41">
        <v>-12085</v>
      </c>
      <c r="O155" s="174"/>
      <c r="P155" s="174">
        <f t="shared" si="22"/>
        <v>-4371</v>
      </c>
      <c r="Q155" s="174">
        <f t="shared" si="23"/>
        <v>-5140.4719000000005</v>
      </c>
      <c r="R155" s="174">
        <f t="shared" si="24"/>
        <v>-10830.076869999999</v>
      </c>
      <c r="S155" s="174">
        <f t="shared" si="25"/>
        <v>-11475.197970000001</v>
      </c>
      <c r="T155" s="174">
        <f t="shared" si="26"/>
        <v>-5978.8</v>
      </c>
      <c r="U155" s="174">
        <f t="shared" si="27"/>
        <v>-9833.75</v>
      </c>
      <c r="V155" s="174">
        <f t="shared" si="28"/>
        <v>-12085</v>
      </c>
      <c r="W155" s="174"/>
      <c r="X155" s="73">
        <f t="shared" si="30"/>
        <v>-8530.6138200000005</v>
      </c>
      <c r="Y155" s="339">
        <f t="shared" si="29"/>
        <v>2.2733545663542807E-3</v>
      </c>
      <c r="Z155" s="174"/>
    </row>
    <row r="156" spans="1:26" x14ac:dyDescent="0.25">
      <c r="A156" s="30">
        <v>475</v>
      </c>
      <c r="B156" s="31" t="s">
        <v>470</v>
      </c>
      <c r="C156" s="41">
        <f>'7. Nettoinvestoinnit '!C156</f>
        <v>-5862</v>
      </c>
      <c r="D156" s="41">
        <f>'7. Nettoinvestoinnit '!D156</f>
        <v>-5412</v>
      </c>
      <c r="E156" s="41">
        <f>'7. Nettoinvestoinnit '!E156</f>
        <v>-5112</v>
      </c>
      <c r="F156" s="41">
        <f>'7. Nettoinvestoinnit '!F156</f>
        <v>-4798</v>
      </c>
      <c r="G156" s="41">
        <f>'7. Nettoinvestoinnit '!G156</f>
        <v>-5710</v>
      </c>
      <c r="H156" s="41">
        <f>'7. Nettoinvestoinnit '!H156</f>
        <v>-1778</v>
      </c>
      <c r="I156" s="41">
        <f>'7. Nettoinvestoinnit '!I156</f>
        <v>-3671.5786600000001</v>
      </c>
      <c r="J156" s="73">
        <v>-3413.8014800000001</v>
      </c>
      <c r="K156" s="41">
        <v>-1989.8253400000001</v>
      </c>
      <c r="L156" s="41">
        <v>-3663.6</v>
      </c>
      <c r="M156" s="41">
        <v>-3942.6</v>
      </c>
      <c r="N156" s="41">
        <v>-2195.1999999999998</v>
      </c>
      <c r="O156" s="174"/>
      <c r="P156" s="174">
        <f t="shared" si="22"/>
        <v>-1778</v>
      </c>
      <c r="Q156" s="174">
        <f t="shared" si="23"/>
        <v>-3671.5786600000001</v>
      </c>
      <c r="R156" s="174">
        <f t="shared" si="24"/>
        <v>-3413.8014800000001</v>
      </c>
      <c r="S156" s="174">
        <f t="shared" si="25"/>
        <v>-1989.8253400000001</v>
      </c>
      <c r="T156" s="174">
        <f t="shared" si="26"/>
        <v>-3663.6</v>
      </c>
      <c r="U156" s="174">
        <f t="shared" si="27"/>
        <v>-3942.6</v>
      </c>
      <c r="V156" s="174">
        <f t="shared" si="28"/>
        <v>-2195.1999999999998</v>
      </c>
      <c r="W156" s="174"/>
      <c r="X156" s="73">
        <f t="shared" si="30"/>
        <v>-2950.6579257142862</v>
      </c>
      <c r="Y156" s="339">
        <f t="shared" si="29"/>
        <v>7.8633165335012458E-4</v>
      </c>
      <c r="Z156" s="174"/>
    </row>
    <row r="157" spans="1:26" x14ac:dyDescent="0.25">
      <c r="A157" s="30">
        <v>480</v>
      </c>
      <c r="B157" s="31" t="s">
        <v>471</v>
      </c>
      <c r="C157" s="41">
        <f>'7. Nettoinvestoinnit '!C157</f>
        <v>-287</v>
      </c>
      <c r="D157" s="41">
        <f>'7. Nettoinvestoinnit '!D157</f>
        <v>-665</v>
      </c>
      <c r="E157" s="41">
        <f>'7. Nettoinvestoinnit '!E157</f>
        <v>-1275</v>
      </c>
      <c r="F157" s="41">
        <f>'7. Nettoinvestoinnit '!F157</f>
        <v>-70</v>
      </c>
      <c r="G157" s="41">
        <f>'7. Nettoinvestoinnit '!G157</f>
        <v>-464</v>
      </c>
      <c r="H157" s="41">
        <f>'7. Nettoinvestoinnit '!H157</f>
        <v>-690</v>
      </c>
      <c r="I157" s="41">
        <f>'7. Nettoinvestoinnit '!I157</f>
        <v>-646.49648999999999</v>
      </c>
      <c r="J157" s="73">
        <v>-186.82585</v>
      </c>
      <c r="K157" s="41">
        <v>-547.05775000000006</v>
      </c>
      <c r="L157" s="41">
        <v>-720</v>
      </c>
      <c r="M157" s="41">
        <v>-962</v>
      </c>
      <c r="N157" s="41">
        <v>-730</v>
      </c>
      <c r="O157" s="174"/>
      <c r="P157" s="174">
        <f t="shared" si="22"/>
        <v>-690</v>
      </c>
      <c r="Q157" s="174">
        <f t="shared" si="23"/>
        <v>-646.49648999999999</v>
      </c>
      <c r="R157" s="174">
        <f t="shared" si="24"/>
        <v>-186.82585</v>
      </c>
      <c r="S157" s="174">
        <f t="shared" si="25"/>
        <v>-547.05775000000006</v>
      </c>
      <c r="T157" s="174">
        <f t="shared" si="26"/>
        <v>-720</v>
      </c>
      <c r="U157" s="174">
        <f t="shared" si="27"/>
        <v>-962</v>
      </c>
      <c r="V157" s="174">
        <f t="shared" si="28"/>
        <v>-730</v>
      </c>
      <c r="W157" s="174"/>
      <c r="X157" s="73">
        <f t="shared" si="30"/>
        <v>-640.34001285714294</v>
      </c>
      <c r="Y157" s="339">
        <f t="shared" si="29"/>
        <v>1.7064655873123849E-4</v>
      </c>
      <c r="Z157" s="174"/>
    </row>
    <row r="158" spans="1:26" x14ac:dyDescent="0.25">
      <c r="A158" s="30">
        <v>481</v>
      </c>
      <c r="B158" s="31" t="s">
        <v>472</v>
      </c>
      <c r="C158" s="41">
        <f>'7. Nettoinvestoinnit '!C158</f>
        <v>-442</v>
      </c>
      <c r="D158" s="41">
        <f>'7. Nettoinvestoinnit '!D158</f>
        <v>-2245</v>
      </c>
      <c r="E158" s="41">
        <f>'7. Nettoinvestoinnit '!E158</f>
        <v>-5858</v>
      </c>
      <c r="F158" s="41">
        <f>'7. Nettoinvestoinnit '!F158</f>
        <v>-10134</v>
      </c>
      <c r="G158" s="41">
        <f>'7. Nettoinvestoinnit '!G158</f>
        <v>-9024</v>
      </c>
      <c r="H158" s="41">
        <f>'7. Nettoinvestoinnit '!H158</f>
        <v>-1069</v>
      </c>
      <c r="I158" s="41">
        <f>'7. Nettoinvestoinnit '!I158</f>
        <v>-438.06148999999999</v>
      </c>
      <c r="J158" s="73">
        <v>-1374.8150600000001</v>
      </c>
      <c r="K158" s="41">
        <v>-1398.78009</v>
      </c>
      <c r="L158" s="41">
        <v>-2752</v>
      </c>
      <c r="M158" s="41">
        <v>-4162.5</v>
      </c>
      <c r="N158" s="41">
        <v>-2089.875</v>
      </c>
      <c r="O158" s="174"/>
      <c r="P158" s="174">
        <f t="shared" si="22"/>
        <v>-1069</v>
      </c>
      <c r="Q158" s="174">
        <f t="shared" si="23"/>
        <v>-438.06148999999999</v>
      </c>
      <c r="R158" s="174">
        <f t="shared" si="24"/>
        <v>-1374.8150600000001</v>
      </c>
      <c r="S158" s="174">
        <f t="shared" si="25"/>
        <v>-1398.78009</v>
      </c>
      <c r="T158" s="174">
        <f t="shared" si="26"/>
        <v>-2752</v>
      </c>
      <c r="U158" s="174">
        <f t="shared" si="27"/>
        <v>-4162.5</v>
      </c>
      <c r="V158" s="174">
        <f t="shared" si="28"/>
        <v>-2089.875</v>
      </c>
      <c r="W158" s="174"/>
      <c r="X158" s="73">
        <f t="shared" si="30"/>
        <v>-1897.8616628571431</v>
      </c>
      <c r="Y158" s="339">
        <f t="shared" si="29"/>
        <v>5.0576811570694389E-4</v>
      </c>
      <c r="Z158" s="174"/>
    </row>
    <row r="159" spans="1:26" x14ac:dyDescent="0.25">
      <c r="A159" s="30">
        <v>483</v>
      </c>
      <c r="B159" s="31" t="s">
        <v>473</v>
      </c>
      <c r="C159" s="41">
        <f>'7. Nettoinvestoinnit '!C159</f>
        <v>-105</v>
      </c>
      <c r="D159" s="41">
        <f>'7. Nettoinvestoinnit '!D159</f>
        <v>-80</v>
      </c>
      <c r="E159" s="41">
        <f>'7. Nettoinvestoinnit '!E159</f>
        <v>-312</v>
      </c>
      <c r="F159" s="41">
        <f>'7. Nettoinvestoinnit '!F159</f>
        <v>-1189</v>
      </c>
      <c r="G159" s="41">
        <f>'7. Nettoinvestoinnit '!G159</f>
        <v>-71</v>
      </c>
      <c r="H159" s="41">
        <f>'7. Nettoinvestoinnit '!H159</f>
        <v>104</v>
      </c>
      <c r="I159" s="41">
        <f>'7. Nettoinvestoinnit '!I159</f>
        <v>-103.10921</v>
      </c>
      <c r="J159" s="73">
        <v>-79.600189999999998</v>
      </c>
      <c r="K159" s="41">
        <v>183.18880999999999</v>
      </c>
      <c r="L159" s="41">
        <v>-1175.68</v>
      </c>
      <c r="M159" s="41">
        <v>-3035</v>
      </c>
      <c r="N159" s="41">
        <v>-3035</v>
      </c>
      <c r="O159" s="174"/>
      <c r="P159" s="174">
        <f t="shared" si="22"/>
        <v>-71</v>
      </c>
      <c r="Q159" s="174">
        <f t="shared" si="23"/>
        <v>-103.10921</v>
      </c>
      <c r="R159" s="174">
        <f t="shared" si="24"/>
        <v>-79.600189999999998</v>
      </c>
      <c r="S159" s="174">
        <f t="shared" si="25"/>
        <v>-79.600189999999998</v>
      </c>
      <c r="T159" s="174">
        <f t="shared" si="26"/>
        <v>-1175.68</v>
      </c>
      <c r="U159" s="174">
        <f t="shared" si="27"/>
        <v>-3035</v>
      </c>
      <c r="V159" s="174">
        <f t="shared" si="28"/>
        <v>-3035</v>
      </c>
      <c r="W159" s="174"/>
      <c r="X159" s="73">
        <f t="shared" si="30"/>
        <v>-1082.7127985714285</v>
      </c>
      <c r="Y159" s="339">
        <f t="shared" si="29"/>
        <v>2.8853610497662634E-4</v>
      </c>
      <c r="Z159" s="174"/>
    </row>
    <row r="160" spans="1:26" x14ac:dyDescent="0.25">
      <c r="A160" s="30">
        <v>484</v>
      </c>
      <c r="B160" s="31" t="s">
        <v>474</v>
      </c>
      <c r="C160" s="41">
        <f>'7. Nettoinvestoinnit '!C160</f>
        <v>-1239</v>
      </c>
      <c r="D160" s="41">
        <f>'7. Nettoinvestoinnit '!D160</f>
        <v>-1130</v>
      </c>
      <c r="E160" s="41">
        <f>'7. Nettoinvestoinnit '!E160</f>
        <v>-1387</v>
      </c>
      <c r="F160" s="41">
        <f>'7. Nettoinvestoinnit '!F160</f>
        <v>-1201</v>
      </c>
      <c r="G160" s="41">
        <f>'7. Nettoinvestoinnit '!G160</f>
        <v>-2606</v>
      </c>
      <c r="H160" s="41">
        <f>'7. Nettoinvestoinnit '!H160</f>
        <v>1358</v>
      </c>
      <c r="I160" s="41">
        <f>'7. Nettoinvestoinnit '!I160</f>
        <v>-985.38936999999999</v>
      </c>
      <c r="J160" s="73">
        <v>-1258.3020900000001</v>
      </c>
      <c r="K160" s="41">
        <v>-2548.1304500000001</v>
      </c>
      <c r="L160" s="41">
        <v>-1851.4</v>
      </c>
      <c r="M160" s="41">
        <v>-1528</v>
      </c>
      <c r="N160" s="41">
        <v>-1568</v>
      </c>
      <c r="O160" s="174"/>
      <c r="P160" s="174">
        <f t="shared" si="22"/>
        <v>-2606</v>
      </c>
      <c r="Q160" s="174">
        <f t="shared" si="23"/>
        <v>-985.38936999999999</v>
      </c>
      <c r="R160" s="174">
        <f t="shared" si="24"/>
        <v>-1258.3020900000001</v>
      </c>
      <c r="S160" s="174">
        <f t="shared" si="25"/>
        <v>-2548.1304500000001</v>
      </c>
      <c r="T160" s="174">
        <f t="shared" si="26"/>
        <v>-1851.4</v>
      </c>
      <c r="U160" s="174">
        <f t="shared" si="27"/>
        <v>-1528</v>
      </c>
      <c r="V160" s="174">
        <f t="shared" si="28"/>
        <v>-1568</v>
      </c>
      <c r="W160" s="174"/>
      <c r="X160" s="73">
        <f t="shared" si="30"/>
        <v>-1763.60313</v>
      </c>
      <c r="Y160" s="339">
        <f t="shared" si="29"/>
        <v>4.6998906683859263E-4</v>
      </c>
      <c r="Z160" s="174"/>
    </row>
    <row r="161" spans="1:26" x14ac:dyDescent="0.25">
      <c r="A161" s="30">
        <v>489</v>
      </c>
      <c r="B161" s="31" t="s">
        <v>475</v>
      </c>
      <c r="C161" s="41">
        <f>'7. Nettoinvestoinnit '!C161</f>
        <v>-2915</v>
      </c>
      <c r="D161" s="41">
        <f>'7. Nettoinvestoinnit '!D161</f>
        <v>-1283</v>
      </c>
      <c r="E161" s="41">
        <f>'7. Nettoinvestoinnit '!E161</f>
        <v>-1684</v>
      </c>
      <c r="F161" s="41">
        <f>'7. Nettoinvestoinnit '!F161</f>
        <v>-667</v>
      </c>
      <c r="G161" s="41">
        <f>'7. Nettoinvestoinnit '!G161</f>
        <v>-569</v>
      </c>
      <c r="H161" s="41">
        <f>'7. Nettoinvestoinnit '!H161</f>
        <v>-391</v>
      </c>
      <c r="I161" s="41">
        <f>'7. Nettoinvestoinnit '!I161</f>
        <v>-336.22919999999999</v>
      </c>
      <c r="J161" s="73">
        <v>-399.90021000000002</v>
      </c>
      <c r="K161" s="41">
        <v>-2416.0501899999999</v>
      </c>
      <c r="L161" s="41">
        <v>-463</v>
      </c>
      <c r="M161" s="41">
        <v>-610</v>
      </c>
      <c r="N161" s="41">
        <v>-370</v>
      </c>
      <c r="O161" s="174"/>
      <c r="P161" s="174">
        <f t="shared" si="22"/>
        <v>-391</v>
      </c>
      <c r="Q161" s="174">
        <f t="shared" si="23"/>
        <v>-336.22919999999999</v>
      </c>
      <c r="R161" s="174">
        <f t="shared" si="24"/>
        <v>-399.90021000000002</v>
      </c>
      <c r="S161" s="174">
        <f t="shared" si="25"/>
        <v>-2416.0501899999999</v>
      </c>
      <c r="T161" s="174">
        <f t="shared" si="26"/>
        <v>-463</v>
      </c>
      <c r="U161" s="174">
        <f t="shared" si="27"/>
        <v>-610</v>
      </c>
      <c r="V161" s="174">
        <f t="shared" si="28"/>
        <v>-370</v>
      </c>
      <c r="W161" s="174"/>
      <c r="X161" s="73">
        <f t="shared" si="30"/>
        <v>-712.31137142857131</v>
      </c>
      <c r="Y161" s="339">
        <f t="shared" si="29"/>
        <v>1.8982647006088744E-4</v>
      </c>
      <c r="Z161" s="174"/>
    </row>
    <row r="162" spans="1:26" x14ac:dyDescent="0.25">
      <c r="A162" s="30">
        <v>491</v>
      </c>
      <c r="B162" s="31" t="s">
        <v>476</v>
      </c>
      <c r="C162" s="41">
        <f>'7. Nettoinvestoinnit '!C162</f>
        <v>-26097</v>
      </c>
      <c r="D162" s="41">
        <f>'7. Nettoinvestoinnit '!D162</f>
        <v>-23822</v>
      </c>
      <c r="E162" s="41">
        <f>'7. Nettoinvestoinnit '!E162</f>
        <v>-27898</v>
      </c>
      <c r="F162" s="41">
        <f>'7. Nettoinvestoinnit '!F162</f>
        <v>-32065</v>
      </c>
      <c r="G162" s="41">
        <f>'7. Nettoinvestoinnit '!G162</f>
        <v>-33803</v>
      </c>
      <c r="H162" s="41">
        <f>'7. Nettoinvestoinnit '!H162</f>
        <v>-46761</v>
      </c>
      <c r="I162" s="41">
        <f>'7. Nettoinvestoinnit '!I162</f>
        <v>-22064.057659999999</v>
      </c>
      <c r="J162" s="73">
        <v>-26495.020129999997</v>
      </c>
      <c r="K162" s="41">
        <v>-23061.333210000001</v>
      </c>
      <c r="L162" s="41">
        <v>-21688</v>
      </c>
      <c r="M162" s="41">
        <v>-21040</v>
      </c>
      <c r="N162" s="41">
        <v>-32400</v>
      </c>
      <c r="O162" s="174"/>
      <c r="P162" s="174">
        <f t="shared" si="22"/>
        <v>-46761</v>
      </c>
      <c r="Q162" s="174">
        <f t="shared" si="23"/>
        <v>-22064.057659999999</v>
      </c>
      <c r="R162" s="174">
        <f t="shared" si="24"/>
        <v>-26495.020129999997</v>
      </c>
      <c r="S162" s="174">
        <f t="shared" si="25"/>
        <v>-23061.333210000001</v>
      </c>
      <c r="T162" s="174">
        <f t="shared" si="26"/>
        <v>-21688</v>
      </c>
      <c r="U162" s="174">
        <f t="shared" si="27"/>
        <v>-21040</v>
      </c>
      <c r="V162" s="174">
        <f t="shared" si="28"/>
        <v>-32400</v>
      </c>
      <c r="W162" s="174"/>
      <c r="X162" s="73">
        <f t="shared" si="30"/>
        <v>-27644.201571428566</v>
      </c>
      <c r="Y162" s="339">
        <f t="shared" si="29"/>
        <v>7.3670046730148799E-3</v>
      </c>
      <c r="Z162" s="174"/>
    </row>
    <row r="163" spans="1:26" x14ac:dyDescent="0.25">
      <c r="A163" s="30">
        <v>494</v>
      </c>
      <c r="B163" s="31" t="s">
        <v>477</v>
      </c>
      <c r="C163" s="41">
        <f>'7. Nettoinvestoinnit '!C163</f>
        <v>-13925</v>
      </c>
      <c r="D163" s="41">
        <f>'7. Nettoinvestoinnit '!D163</f>
        <v>-4913</v>
      </c>
      <c r="E163" s="41">
        <f>'7. Nettoinvestoinnit '!E163</f>
        <v>-5753</v>
      </c>
      <c r="F163" s="41">
        <f>'7. Nettoinvestoinnit '!F163</f>
        <v>-2643</v>
      </c>
      <c r="G163" s="41">
        <f>'7. Nettoinvestoinnit '!G163</f>
        <v>-9238</v>
      </c>
      <c r="H163" s="41">
        <f>'7. Nettoinvestoinnit '!H163</f>
        <v>-5742</v>
      </c>
      <c r="I163" s="41">
        <f>'7. Nettoinvestoinnit '!I163</f>
        <v>-6257.15391</v>
      </c>
      <c r="J163" s="73">
        <v>-4984.5539500000004</v>
      </c>
      <c r="K163" s="41">
        <v>-5276.9153200000001</v>
      </c>
      <c r="L163" s="41">
        <v>-4865</v>
      </c>
      <c r="M163" s="41">
        <v>-6075</v>
      </c>
      <c r="N163" s="41">
        <v>-2580</v>
      </c>
      <c r="O163" s="174"/>
      <c r="P163" s="174">
        <f t="shared" si="22"/>
        <v>-5742</v>
      </c>
      <c r="Q163" s="174">
        <f t="shared" si="23"/>
        <v>-6257.15391</v>
      </c>
      <c r="R163" s="174">
        <f t="shared" si="24"/>
        <v>-4984.5539500000004</v>
      </c>
      <c r="S163" s="174">
        <f t="shared" si="25"/>
        <v>-5276.9153200000001</v>
      </c>
      <c r="T163" s="174">
        <f t="shared" si="26"/>
        <v>-4865</v>
      </c>
      <c r="U163" s="174">
        <f t="shared" si="27"/>
        <v>-6075</v>
      </c>
      <c r="V163" s="174">
        <f t="shared" si="28"/>
        <v>-2580</v>
      </c>
      <c r="W163" s="174"/>
      <c r="X163" s="73">
        <f t="shared" si="30"/>
        <v>-5111.5175971428571</v>
      </c>
      <c r="Y163" s="339">
        <f t="shared" si="29"/>
        <v>1.3621870730124053E-3</v>
      </c>
      <c r="Z163" s="174"/>
    </row>
    <row r="164" spans="1:26" x14ac:dyDescent="0.25">
      <c r="A164" s="30">
        <v>495</v>
      </c>
      <c r="B164" s="31" t="s">
        <v>478</v>
      </c>
      <c r="C164" s="41">
        <f>'7. Nettoinvestoinnit '!C164</f>
        <v>-197</v>
      </c>
      <c r="D164" s="41">
        <f>'7. Nettoinvestoinnit '!D164</f>
        <v>-309</v>
      </c>
      <c r="E164" s="41">
        <f>'7. Nettoinvestoinnit '!E164</f>
        <v>-326</v>
      </c>
      <c r="F164" s="41">
        <f>'7. Nettoinvestoinnit '!F164</f>
        <v>-228</v>
      </c>
      <c r="G164" s="41">
        <f>'7. Nettoinvestoinnit '!G164</f>
        <v>230</v>
      </c>
      <c r="H164" s="41">
        <f>'7. Nettoinvestoinnit '!H164</f>
        <v>-198</v>
      </c>
      <c r="I164" s="41">
        <f>'7. Nettoinvestoinnit '!I164</f>
        <v>-308.21938</v>
      </c>
      <c r="J164" s="73">
        <v>-224.88923</v>
      </c>
      <c r="K164" s="41">
        <v>-198.68048000000002</v>
      </c>
      <c r="L164" s="41">
        <v>-162</v>
      </c>
      <c r="M164" s="41">
        <v>-274</v>
      </c>
      <c r="N164" s="41">
        <v>-70</v>
      </c>
      <c r="O164" s="174"/>
      <c r="P164" s="174">
        <f t="shared" si="22"/>
        <v>-198</v>
      </c>
      <c r="Q164" s="174">
        <f t="shared" si="23"/>
        <v>-308.21938</v>
      </c>
      <c r="R164" s="174">
        <f t="shared" si="24"/>
        <v>-224.88923</v>
      </c>
      <c r="S164" s="174">
        <f t="shared" si="25"/>
        <v>-198.68048000000002</v>
      </c>
      <c r="T164" s="174">
        <f t="shared" si="26"/>
        <v>-162</v>
      </c>
      <c r="U164" s="174">
        <f t="shared" si="27"/>
        <v>-274</v>
      </c>
      <c r="V164" s="174">
        <f t="shared" si="28"/>
        <v>-70</v>
      </c>
      <c r="W164" s="174"/>
      <c r="X164" s="73">
        <f t="shared" si="30"/>
        <v>-205.11272714285715</v>
      </c>
      <c r="Y164" s="339">
        <f t="shared" si="29"/>
        <v>5.4661242989850162E-5</v>
      </c>
      <c r="Z164" s="174"/>
    </row>
    <row r="165" spans="1:26" x14ac:dyDescent="0.25">
      <c r="A165" s="30">
        <v>498</v>
      </c>
      <c r="B165" s="31" t="s">
        <v>479</v>
      </c>
      <c r="C165" s="41">
        <f>'7. Nettoinvestoinnit '!C165</f>
        <v>-650</v>
      </c>
      <c r="D165" s="41">
        <f>'7. Nettoinvestoinnit '!D165</f>
        <v>-1512</v>
      </c>
      <c r="E165" s="41">
        <f>'7. Nettoinvestoinnit '!E165</f>
        <v>-605</v>
      </c>
      <c r="F165" s="41">
        <f>'7. Nettoinvestoinnit '!F165</f>
        <v>-734</v>
      </c>
      <c r="G165" s="41">
        <f>'7. Nettoinvestoinnit '!G165</f>
        <v>-554</v>
      </c>
      <c r="H165" s="41">
        <f>'7. Nettoinvestoinnit '!H165</f>
        <v>-906</v>
      </c>
      <c r="I165" s="41">
        <f>'7. Nettoinvestoinnit '!I165</f>
        <v>-2343.7217999999998</v>
      </c>
      <c r="J165" s="73">
        <v>-875.31479000000002</v>
      </c>
      <c r="K165" s="41">
        <v>-579.57781</v>
      </c>
      <c r="L165" s="41">
        <v>-2269</v>
      </c>
      <c r="M165" s="41">
        <v>-2040</v>
      </c>
      <c r="N165" s="41">
        <v>-830</v>
      </c>
      <c r="O165" s="174"/>
      <c r="P165" s="174">
        <f t="shared" si="22"/>
        <v>-906</v>
      </c>
      <c r="Q165" s="174">
        <f t="shared" si="23"/>
        <v>-2343.7217999999998</v>
      </c>
      <c r="R165" s="174">
        <f t="shared" si="24"/>
        <v>-875.31479000000002</v>
      </c>
      <c r="S165" s="174">
        <f t="shared" si="25"/>
        <v>-579.57781</v>
      </c>
      <c r="T165" s="174">
        <f t="shared" si="26"/>
        <v>-2269</v>
      </c>
      <c r="U165" s="174">
        <f t="shared" si="27"/>
        <v>-2040</v>
      </c>
      <c r="V165" s="174">
        <f t="shared" si="28"/>
        <v>-830</v>
      </c>
      <c r="W165" s="174"/>
      <c r="X165" s="73">
        <f t="shared" si="30"/>
        <v>-1406.2306285714283</v>
      </c>
      <c r="Y165" s="339">
        <f t="shared" si="29"/>
        <v>3.7475155812528703E-4</v>
      </c>
      <c r="Z165" s="174"/>
    </row>
    <row r="166" spans="1:26" x14ac:dyDescent="0.25">
      <c r="A166" s="30">
        <v>499</v>
      </c>
      <c r="B166" s="31" t="s">
        <v>480</v>
      </c>
      <c r="C166" s="41">
        <f>'7. Nettoinvestoinnit '!C166</f>
        <v>-8345</v>
      </c>
      <c r="D166" s="41">
        <f>'7. Nettoinvestoinnit '!D166</f>
        <v>-9365</v>
      </c>
      <c r="E166" s="41">
        <f>'7. Nettoinvestoinnit '!E166</f>
        <v>-12446</v>
      </c>
      <c r="F166" s="41">
        <f>'7. Nettoinvestoinnit '!F166</f>
        <v>-21138</v>
      </c>
      <c r="G166" s="41">
        <f>'7. Nettoinvestoinnit '!G166</f>
        <v>-20651</v>
      </c>
      <c r="H166" s="41">
        <f>'7. Nettoinvestoinnit '!H166</f>
        <v>-9296</v>
      </c>
      <c r="I166" s="41">
        <f>'7. Nettoinvestoinnit '!I166</f>
        <v>-9921.24215</v>
      </c>
      <c r="J166" s="73">
        <v>-13191.98134</v>
      </c>
      <c r="K166" s="41">
        <v>-18605.567179999998</v>
      </c>
      <c r="L166" s="41">
        <v>-18426</v>
      </c>
      <c r="M166" s="41">
        <v>-17306</v>
      </c>
      <c r="N166" s="41">
        <v>-13091</v>
      </c>
      <c r="O166" s="174"/>
      <c r="P166" s="174">
        <f t="shared" si="22"/>
        <v>-9296</v>
      </c>
      <c r="Q166" s="174">
        <f t="shared" si="23"/>
        <v>-9921.24215</v>
      </c>
      <c r="R166" s="174">
        <f t="shared" si="24"/>
        <v>-13191.98134</v>
      </c>
      <c r="S166" s="174">
        <f t="shared" si="25"/>
        <v>-18605.567179999998</v>
      </c>
      <c r="T166" s="174">
        <f t="shared" si="26"/>
        <v>-18426</v>
      </c>
      <c r="U166" s="174">
        <f t="shared" si="27"/>
        <v>-17306</v>
      </c>
      <c r="V166" s="174">
        <f t="shared" si="28"/>
        <v>-13091</v>
      </c>
      <c r="W166" s="174"/>
      <c r="X166" s="73">
        <f t="shared" si="30"/>
        <v>-14262.541524285713</v>
      </c>
      <c r="Y166" s="339">
        <f t="shared" si="29"/>
        <v>3.8008770044231669E-3</v>
      </c>
      <c r="Z166" s="174"/>
    </row>
    <row r="167" spans="1:26" x14ac:dyDescent="0.25">
      <c r="A167" s="30">
        <v>500</v>
      </c>
      <c r="B167" s="31" t="s">
        <v>481</v>
      </c>
      <c r="C167" s="41">
        <f>'7. Nettoinvestoinnit '!C167</f>
        <v>-7389</v>
      </c>
      <c r="D167" s="41">
        <f>'7. Nettoinvestoinnit '!D167</f>
        <v>-2908</v>
      </c>
      <c r="E167" s="41">
        <f>'7. Nettoinvestoinnit '!E167</f>
        <v>-3409</v>
      </c>
      <c r="F167" s="41">
        <f>'7. Nettoinvestoinnit '!F167</f>
        <v>-1202</v>
      </c>
      <c r="G167" s="41">
        <f>'7. Nettoinvestoinnit '!G167</f>
        <v>-3425</v>
      </c>
      <c r="H167" s="41">
        <f>'7. Nettoinvestoinnit '!H167</f>
        <v>-3783</v>
      </c>
      <c r="I167" s="41">
        <f>'7. Nettoinvestoinnit '!I167</f>
        <v>-3823.4029</v>
      </c>
      <c r="J167" s="73">
        <v>-6369.85052</v>
      </c>
      <c r="K167" s="41">
        <v>-15782.98704</v>
      </c>
      <c r="L167" s="41">
        <v>-8740.9599999999991</v>
      </c>
      <c r="M167" s="41">
        <v>-4293</v>
      </c>
      <c r="N167" s="41">
        <v>-7425</v>
      </c>
      <c r="O167" s="174"/>
      <c r="P167" s="174">
        <f t="shared" si="22"/>
        <v>-3783</v>
      </c>
      <c r="Q167" s="174">
        <f t="shared" si="23"/>
        <v>-3823.4029</v>
      </c>
      <c r="R167" s="174">
        <f t="shared" si="24"/>
        <v>-6369.85052</v>
      </c>
      <c r="S167" s="174">
        <f t="shared" si="25"/>
        <v>-15782.98704</v>
      </c>
      <c r="T167" s="174">
        <f t="shared" si="26"/>
        <v>-8740.9599999999991</v>
      </c>
      <c r="U167" s="174">
        <f t="shared" si="27"/>
        <v>-4293</v>
      </c>
      <c r="V167" s="174">
        <f t="shared" si="28"/>
        <v>-7425</v>
      </c>
      <c r="W167" s="174"/>
      <c r="X167" s="73">
        <f t="shared" si="30"/>
        <v>-7174.0286371428574</v>
      </c>
      <c r="Y167" s="339">
        <f t="shared" si="29"/>
        <v>1.9118332051520639E-3</v>
      </c>
      <c r="Z167" s="174"/>
    </row>
    <row r="168" spans="1:26" x14ac:dyDescent="0.25">
      <c r="A168" s="30">
        <v>503</v>
      </c>
      <c r="B168" s="31" t="s">
        <v>482</v>
      </c>
      <c r="C168" s="41">
        <f>'7. Nettoinvestoinnit '!C168</f>
        <v>-2113</v>
      </c>
      <c r="D168" s="41">
        <f>'7. Nettoinvestoinnit '!D168</f>
        <v>-1294</v>
      </c>
      <c r="E168" s="41">
        <f>'7. Nettoinvestoinnit '!E168</f>
        <v>4699</v>
      </c>
      <c r="F168" s="41">
        <f>'7. Nettoinvestoinnit '!F168</f>
        <v>-2264</v>
      </c>
      <c r="G168" s="41">
        <f>'7. Nettoinvestoinnit '!G168</f>
        <v>-7332</v>
      </c>
      <c r="H168" s="41">
        <f>'7. Nettoinvestoinnit '!H168</f>
        <v>-7101</v>
      </c>
      <c r="I168" s="41">
        <f>'7. Nettoinvestoinnit '!I168</f>
        <v>-5048.2426399999995</v>
      </c>
      <c r="J168" s="73">
        <v>-5139.4044899999999</v>
      </c>
      <c r="K168" s="41">
        <v>-3040.79441</v>
      </c>
      <c r="L168" s="41">
        <v>-3819.2829999999999</v>
      </c>
      <c r="M168" s="41">
        <v>-2662.7150000000001</v>
      </c>
      <c r="N168" s="41">
        <v>-2760</v>
      </c>
      <c r="O168" s="174"/>
      <c r="P168" s="174">
        <f t="shared" si="22"/>
        <v>-7101</v>
      </c>
      <c r="Q168" s="174">
        <f t="shared" si="23"/>
        <v>-5048.2426399999995</v>
      </c>
      <c r="R168" s="174">
        <f t="shared" si="24"/>
        <v>-5139.4044899999999</v>
      </c>
      <c r="S168" s="174">
        <f t="shared" si="25"/>
        <v>-3040.79441</v>
      </c>
      <c r="T168" s="174">
        <f t="shared" si="26"/>
        <v>-3819.2829999999999</v>
      </c>
      <c r="U168" s="174">
        <f t="shared" si="27"/>
        <v>-2662.7150000000001</v>
      </c>
      <c r="V168" s="174">
        <f t="shared" si="28"/>
        <v>-2760</v>
      </c>
      <c r="W168" s="174"/>
      <c r="X168" s="73">
        <f t="shared" si="30"/>
        <v>-4224.491362857143</v>
      </c>
      <c r="Y168" s="339">
        <f t="shared" si="29"/>
        <v>1.12580019831158E-3</v>
      </c>
      <c r="Z168" s="174"/>
    </row>
    <row r="169" spans="1:26" x14ac:dyDescent="0.25">
      <c r="A169" s="30">
        <v>504</v>
      </c>
      <c r="B169" s="31" t="s">
        <v>483</v>
      </c>
      <c r="C169" s="41">
        <f>'7. Nettoinvestoinnit '!C169</f>
        <v>-386</v>
      </c>
      <c r="D169" s="41">
        <f>'7. Nettoinvestoinnit '!D169</f>
        <v>-16</v>
      </c>
      <c r="E169" s="41">
        <f>'7. Nettoinvestoinnit '!E169</f>
        <v>-31</v>
      </c>
      <c r="F169" s="41">
        <f>'7. Nettoinvestoinnit '!F169</f>
        <v>68</v>
      </c>
      <c r="G169" s="41">
        <f>'7. Nettoinvestoinnit '!G169</f>
        <v>-543</v>
      </c>
      <c r="H169" s="41">
        <f>'7. Nettoinvestoinnit '!H169</f>
        <v>-5975</v>
      </c>
      <c r="I169" s="41">
        <f>'7. Nettoinvestoinnit '!I169</f>
        <v>-2825.0068099999999</v>
      </c>
      <c r="J169" s="73">
        <v>-1942.3305600000001</v>
      </c>
      <c r="K169" s="41">
        <v>-3350.27916</v>
      </c>
      <c r="L169" s="41">
        <v>-749</v>
      </c>
      <c r="M169" s="41">
        <v>-375</v>
      </c>
      <c r="N169" s="41">
        <v>-375</v>
      </c>
      <c r="O169" s="174"/>
      <c r="P169" s="174">
        <f t="shared" si="22"/>
        <v>-5975</v>
      </c>
      <c r="Q169" s="174">
        <f t="shared" si="23"/>
        <v>-2825.0068099999999</v>
      </c>
      <c r="R169" s="174">
        <f t="shared" si="24"/>
        <v>-1942.3305600000001</v>
      </c>
      <c r="S169" s="174">
        <f t="shared" si="25"/>
        <v>-3350.27916</v>
      </c>
      <c r="T169" s="174">
        <f t="shared" si="26"/>
        <v>-749</v>
      </c>
      <c r="U169" s="174">
        <f t="shared" si="27"/>
        <v>-375</v>
      </c>
      <c r="V169" s="174">
        <f t="shared" si="28"/>
        <v>-375</v>
      </c>
      <c r="W169" s="174"/>
      <c r="X169" s="73">
        <f t="shared" si="30"/>
        <v>-2227.3737900000001</v>
      </c>
      <c r="Y169" s="339">
        <f t="shared" si="29"/>
        <v>5.9358101108770403E-4</v>
      </c>
      <c r="Z169" s="174"/>
    </row>
    <row r="170" spans="1:26" x14ac:dyDescent="0.25">
      <c r="A170" s="30">
        <v>505</v>
      </c>
      <c r="B170" s="31" t="s">
        <v>484</v>
      </c>
      <c r="C170" s="41">
        <f>'7. Nettoinvestoinnit '!C170</f>
        <v>-15663</v>
      </c>
      <c r="D170" s="41">
        <f>'7. Nettoinvestoinnit '!D170</f>
        <v>-13126</v>
      </c>
      <c r="E170" s="41">
        <f>'7. Nettoinvestoinnit '!E170</f>
        <v>-16900</v>
      </c>
      <c r="F170" s="41">
        <f>'7. Nettoinvestoinnit '!F170</f>
        <v>-17232</v>
      </c>
      <c r="G170" s="41">
        <f>'7. Nettoinvestoinnit '!G170</f>
        <v>-7402</v>
      </c>
      <c r="H170" s="41">
        <f>'7. Nettoinvestoinnit '!H170</f>
        <v>-1836</v>
      </c>
      <c r="I170" s="41">
        <f>'7. Nettoinvestoinnit '!I170</f>
        <v>-4575.2759599999999</v>
      </c>
      <c r="J170" s="73">
        <v>-10265.766039999999</v>
      </c>
      <c r="K170" s="41">
        <v>-8704.1147600000004</v>
      </c>
      <c r="L170" s="41">
        <v>-8520</v>
      </c>
      <c r="M170" s="41">
        <v>-11590</v>
      </c>
      <c r="N170" s="41">
        <v>-10415</v>
      </c>
      <c r="O170" s="174"/>
      <c r="P170" s="174">
        <f t="shared" si="22"/>
        <v>-1836</v>
      </c>
      <c r="Q170" s="174">
        <f t="shared" si="23"/>
        <v>-4575.2759599999999</v>
      </c>
      <c r="R170" s="174">
        <f t="shared" si="24"/>
        <v>-10265.766039999999</v>
      </c>
      <c r="S170" s="174">
        <f t="shared" si="25"/>
        <v>-8704.1147600000004</v>
      </c>
      <c r="T170" s="174">
        <f t="shared" si="26"/>
        <v>-8520</v>
      </c>
      <c r="U170" s="174">
        <f t="shared" si="27"/>
        <v>-11590</v>
      </c>
      <c r="V170" s="174">
        <f t="shared" si="28"/>
        <v>-10415</v>
      </c>
      <c r="W170" s="174"/>
      <c r="X170" s="73">
        <f t="shared" si="30"/>
        <v>-7986.5938228571422</v>
      </c>
      <c r="Y170" s="339">
        <f t="shared" si="29"/>
        <v>2.1283766819031992E-3</v>
      </c>
      <c r="Z170" s="174"/>
    </row>
    <row r="171" spans="1:26" x14ac:dyDescent="0.25">
      <c r="A171" s="30">
        <v>507</v>
      </c>
      <c r="B171" s="31" t="s">
        <v>485</v>
      </c>
      <c r="C171" s="41">
        <f>'7. Nettoinvestoinnit '!C171</f>
        <v>-3371</v>
      </c>
      <c r="D171" s="41">
        <f>'7. Nettoinvestoinnit '!D171</f>
        <v>-4044</v>
      </c>
      <c r="E171" s="41">
        <f>'7. Nettoinvestoinnit '!E171</f>
        <v>-670</v>
      </c>
      <c r="F171" s="41">
        <f>'7. Nettoinvestoinnit '!F171</f>
        <v>-1573</v>
      </c>
      <c r="G171" s="41">
        <f>'7. Nettoinvestoinnit '!G171</f>
        <v>-3915</v>
      </c>
      <c r="H171" s="41">
        <f>'7. Nettoinvestoinnit '!H171</f>
        <v>-5763</v>
      </c>
      <c r="I171" s="41">
        <f>'7. Nettoinvestoinnit '!I171</f>
        <v>-2208.5873700000002</v>
      </c>
      <c r="J171" s="73">
        <v>-752.52242000000001</v>
      </c>
      <c r="K171" s="41">
        <v>-1004.40826</v>
      </c>
      <c r="L171" s="41">
        <v>-1260</v>
      </c>
      <c r="M171" s="41">
        <v>-3040</v>
      </c>
      <c r="N171" s="41">
        <v>-3100</v>
      </c>
      <c r="O171" s="174"/>
      <c r="P171" s="174">
        <f t="shared" si="22"/>
        <v>-5763</v>
      </c>
      <c r="Q171" s="174">
        <f t="shared" si="23"/>
        <v>-2208.5873700000002</v>
      </c>
      <c r="R171" s="174">
        <f t="shared" si="24"/>
        <v>-752.52242000000001</v>
      </c>
      <c r="S171" s="174">
        <f t="shared" si="25"/>
        <v>-1004.40826</v>
      </c>
      <c r="T171" s="174">
        <f t="shared" si="26"/>
        <v>-1260</v>
      </c>
      <c r="U171" s="174">
        <f t="shared" si="27"/>
        <v>-3040</v>
      </c>
      <c r="V171" s="174">
        <f t="shared" si="28"/>
        <v>-3100</v>
      </c>
      <c r="W171" s="174"/>
      <c r="X171" s="73">
        <f t="shared" si="30"/>
        <v>-2446.9311499999999</v>
      </c>
      <c r="Y171" s="339">
        <f t="shared" si="29"/>
        <v>6.5209165726916362E-4</v>
      </c>
      <c r="Z171" s="174"/>
    </row>
    <row r="172" spans="1:26" x14ac:dyDescent="0.25">
      <c r="A172" s="30">
        <v>508</v>
      </c>
      <c r="B172" s="31" t="s">
        <v>486</v>
      </c>
      <c r="C172" s="41">
        <f>'7. Nettoinvestoinnit '!C172</f>
        <v>-7216</v>
      </c>
      <c r="D172" s="41">
        <f>'7. Nettoinvestoinnit '!D172</f>
        <v>-6116</v>
      </c>
      <c r="E172" s="41">
        <f>'7. Nettoinvestoinnit '!E172</f>
        <v>-4646</v>
      </c>
      <c r="F172" s="41">
        <f>'7. Nettoinvestoinnit '!F172</f>
        <v>1170</v>
      </c>
      <c r="G172" s="41">
        <f>'7. Nettoinvestoinnit '!G172</f>
        <v>2</v>
      </c>
      <c r="H172" s="41">
        <f>'7. Nettoinvestoinnit '!H172</f>
        <v>-1238</v>
      </c>
      <c r="I172" s="41">
        <f>'7. Nettoinvestoinnit '!I172</f>
        <v>-1125.46747</v>
      </c>
      <c r="J172" s="73">
        <v>-895.09486000000004</v>
      </c>
      <c r="K172" s="41">
        <v>-1898.82917</v>
      </c>
      <c r="L172" s="41">
        <v>-1867.5</v>
      </c>
      <c r="M172" s="41">
        <v>-1355</v>
      </c>
      <c r="N172" s="41">
        <v>0</v>
      </c>
      <c r="O172" s="174"/>
      <c r="P172" s="174">
        <f t="shared" si="22"/>
        <v>-1238</v>
      </c>
      <c r="Q172" s="174">
        <f t="shared" si="23"/>
        <v>-1125.46747</v>
      </c>
      <c r="R172" s="174">
        <f t="shared" si="24"/>
        <v>-895.09486000000004</v>
      </c>
      <c r="S172" s="174">
        <f t="shared" si="25"/>
        <v>-1898.82917</v>
      </c>
      <c r="T172" s="174">
        <f t="shared" si="26"/>
        <v>-1867.5</v>
      </c>
      <c r="U172" s="174">
        <f t="shared" si="27"/>
        <v>-1355</v>
      </c>
      <c r="V172" s="174">
        <f t="shared" si="28"/>
        <v>-1355</v>
      </c>
      <c r="W172" s="174"/>
      <c r="X172" s="73">
        <f t="shared" si="30"/>
        <v>-1390.6987857142856</v>
      </c>
      <c r="Y172" s="339">
        <f t="shared" si="29"/>
        <v>3.7061242035299686E-4</v>
      </c>
      <c r="Z172" s="174"/>
    </row>
    <row r="173" spans="1:26" x14ac:dyDescent="0.25">
      <c r="A173" s="30">
        <v>529</v>
      </c>
      <c r="B173" s="31" t="s">
        <v>487</v>
      </c>
      <c r="C173" s="41">
        <f>'7. Nettoinvestoinnit '!C173</f>
        <v>-5764</v>
      </c>
      <c r="D173" s="41">
        <f>'7. Nettoinvestoinnit '!D173</f>
        <v>-7150</v>
      </c>
      <c r="E173" s="41">
        <f>'7. Nettoinvestoinnit '!E173</f>
        <v>-7631</v>
      </c>
      <c r="F173" s="41">
        <f>'7. Nettoinvestoinnit '!F173</f>
        <v>-8672</v>
      </c>
      <c r="G173" s="41">
        <f>'7. Nettoinvestoinnit '!G173</f>
        <v>-6605</v>
      </c>
      <c r="H173" s="41">
        <f>'7. Nettoinvestoinnit '!H173</f>
        <v>-12706</v>
      </c>
      <c r="I173" s="41">
        <f>'7. Nettoinvestoinnit '!I173</f>
        <v>-12397.044669999999</v>
      </c>
      <c r="J173" s="73">
        <v>-21456.45522</v>
      </c>
      <c r="K173" s="41">
        <v>-13496.455109999999</v>
      </c>
      <c r="L173" s="41">
        <v>-15474.532999999999</v>
      </c>
      <c r="M173" s="41">
        <v>-19975.697</v>
      </c>
      <c r="N173" s="41">
        <v>-16860.918000000001</v>
      </c>
      <c r="O173" s="174"/>
      <c r="P173" s="174">
        <f t="shared" si="22"/>
        <v>-12706</v>
      </c>
      <c r="Q173" s="174">
        <f t="shared" si="23"/>
        <v>-12397.044669999999</v>
      </c>
      <c r="R173" s="174">
        <f t="shared" si="24"/>
        <v>-21456.45522</v>
      </c>
      <c r="S173" s="174">
        <f t="shared" si="25"/>
        <v>-13496.455109999999</v>
      </c>
      <c r="T173" s="174">
        <f t="shared" si="26"/>
        <v>-15474.532999999999</v>
      </c>
      <c r="U173" s="174">
        <f t="shared" si="27"/>
        <v>-19975.697</v>
      </c>
      <c r="V173" s="174">
        <f t="shared" si="28"/>
        <v>-16860.918000000001</v>
      </c>
      <c r="W173" s="174"/>
      <c r="X173" s="73">
        <f t="shared" si="30"/>
        <v>-16052.443285714286</v>
      </c>
      <c r="Y173" s="339">
        <f t="shared" si="29"/>
        <v>4.2778744900119842E-3</v>
      </c>
      <c r="Z173" s="174"/>
    </row>
    <row r="174" spans="1:26" x14ac:dyDescent="0.25">
      <c r="A174" s="30">
        <v>531</v>
      </c>
      <c r="B174" s="31" t="s">
        <v>488</v>
      </c>
      <c r="C174" s="41">
        <f>'7. Nettoinvestoinnit '!C174</f>
        <v>-783</v>
      </c>
      <c r="D174" s="41">
        <f>'7. Nettoinvestoinnit '!D174</f>
        <v>-639</v>
      </c>
      <c r="E174" s="41">
        <f>'7. Nettoinvestoinnit '!E174</f>
        <v>-2696</v>
      </c>
      <c r="F174" s="41">
        <f>'7. Nettoinvestoinnit '!F174</f>
        <v>-5163</v>
      </c>
      <c r="G174" s="41">
        <f>'7. Nettoinvestoinnit '!G174</f>
        <v>-1137</v>
      </c>
      <c r="H174" s="41">
        <f>'7. Nettoinvestoinnit '!H174</f>
        <v>-1033</v>
      </c>
      <c r="I174" s="41">
        <f>'7. Nettoinvestoinnit '!I174</f>
        <v>-1026.75234</v>
      </c>
      <c r="J174" s="73">
        <v>413.81887</v>
      </c>
      <c r="K174" s="41">
        <v>-132.27482000000001</v>
      </c>
      <c r="L174" s="41">
        <v>-2131</v>
      </c>
      <c r="M174" s="41">
        <v>-4942</v>
      </c>
      <c r="N174" s="41">
        <v>-5798</v>
      </c>
      <c r="O174" s="174"/>
      <c r="P174" s="174">
        <f t="shared" si="22"/>
        <v>-1033</v>
      </c>
      <c r="Q174" s="174">
        <f t="shared" si="23"/>
        <v>-1026.75234</v>
      </c>
      <c r="R174" s="174">
        <f t="shared" si="24"/>
        <v>-1026.75234</v>
      </c>
      <c r="S174" s="174">
        <f t="shared" si="25"/>
        <v>-132.27482000000001</v>
      </c>
      <c r="T174" s="174">
        <f t="shared" si="26"/>
        <v>-2131</v>
      </c>
      <c r="U174" s="174">
        <f t="shared" si="27"/>
        <v>-4942</v>
      </c>
      <c r="V174" s="174">
        <f t="shared" si="28"/>
        <v>-5798</v>
      </c>
      <c r="W174" s="174"/>
      <c r="X174" s="73">
        <f t="shared" si="30"/>
        <v>-2298.5399285714288</v>
      </c>
      <c r="Y174" s="339">
        <f t="shared" si="29"/>
        <v>6.125463363860843E-4</v>
      </c>
      <c r="Z174" s="174"/>
    </row>
    <row r="175" spans="1:26" x14ac:dyDescent="0.25">
      <c r="A175" s="30">
        <v>535</v>
      </c>
      <c r="B175" s="31" t="s">
        <v>489</v>
      </c>
      <c r="C175" s="41">
        <f>'7. Nettoinvestoinnit '!C175</f>
        <v>-2982</v>
      </c>
      <c r="D175" s="41">
        <f>'7. Nettoinvestoinnit '!D175</f>
        <v>-2805</v>
      </c>
      <c r="E175" s="41">
        <f>'7. Nettoinvestoinnit '!E175</f>
        <v>-4017</v>
      </c>
      <c r="F175" s="41">
        <f>'7. Nettoinvestoinnit '!F175</f>
        <v>-6022</v>
      </c>
      <c r="G175" s="41">
        <f>'7. Nettoinvestoinnit '!G175</f>
        <v>-3433</v>
      </c>
      <c r="H175" s="41">
        <f>'7. Nettoinvestoinnit '!H175</f>
        <v>-6237</v>
      </c>
      <c r="I175" s="41">
        <f>'7. Nettoinvestoinnit '!I175</f>
        <v>-4471.9830700000002</v>
      </c>
      <c r="J175" s="73">
        <v>-9019.5654400000003</v>
      </c>
      <c r="K175" s="41">
        <v>-6876.8909299999996</v>
      </c>
      <c r="L175" s="41">
        <v>-10016.49</v>
      </c>
      <c r="M175" s="41">
        <v>-3319</v>
      </c>
      <c r="N175" s="41">
        <v>-1911</v>
      </c>
      <c r="O175" s="174"/>
      <c r="P175" s="174">
        <f t="shared" si="22"/>
        <v>-6237</v>
      </c>
      <c r="Q175" s="174">
        <f t="shared" si="23"/>
        <v>-4471.9830700000002</v>
      </c>
      <c r="R175" s="174">
        <f t="shared" si="24"/>
        <v>-9019.5654400000003</v>
      </c>
      <c r="S175" s="174">
        <f t="shared" si="25"/>
        <v>-6876.8909299999996</v>
      </c>
      <c r="T175" s="174">
        <f t="shared" si="26"/>
        <v>-10016.49</v>
      </c>
      <c r="U175" s="174">
        <f t="shared" si="27"/>
        <v>-3319</v>
      </c>
      <c r="V175" s="174">
        <f t="shared" si="28"/>
        <v>-1911</v>
      </c>
      <c r="W175" s="174"/>
      <c r="X175" s="73">
        <f t="shared" si="30"/>
        <v>-5978.8470628571431</v>
      </c>
      <c r="Y175" s="339">
        <f t="shared" si="29"/>
        <v>1.5933248836107979E-3</v>
      </c>
      <c r="Z175" s="174"/>
    </row>
    <row r="176" spans="1:26" x14ac:dyDescent="0.25">
      <c r="A176" s="30">
        <v>536</v>
      </c>
      <c r="B176" s="31" t="s">
        <v>490</v>
      </c>
      <c r="C176" s="41">
        <f>'7. Nettoinvestoinnit '!C176</f>
        <v>-11716</v>
      </c>
      <c r="D176" s="41">
        <f>'7. Nettoinvestoinnit '!D176</f>
        <v>-9363</v>
      </c>
      <c r="E176" s="41">
        <f>'7. Nettoinvestoinnit '!E176</f>
        <v>-11302</v>
      </c>
      <c r="F176" s="41">
        <f>'7. Nettoinvestoinnit '!F176</f>
        <v>-6838</v>
      </c>
      <c r="G176" s="41">
        <f>'7. Nettoinvestoinnit '!G176</f>
        <v>-15765</v>
      </c>
      <c r="H176" s="41">
        <f>'7. Nettoinvestoinnit '!H176</f>
        <v>-25834</v>
      </c>
      <c r="I176" s="41">
        <f>'7. Nettoinvestoinnit '!I176</f>
        <v>-26652.473699999999</v>
      </c>
      <c r="J176" s="73">
        <v>-10539.366550000001</v>
      </c>
      <c r="K176" s="41">
        <v>-23945.739000000001</v>
      </c>
      <c r="L176" s="41">
        <v>-29909.55</v>
      </c>
      <c r="M176" s="41">
        <v>-24886.924999999999</v>
      </c>
      <c r="N176" s="41">
        <v>-40718.538999999997</v>
      </c>
      <c r="O176" s="174"/>
      <c r="P176" s="174">
        <f t="shared" si="22"/>
        <v>-25834</v>
      </c>
      <c r="Q176" s="174">
        <f t="shared" si="23"/>
        <v>-26652.473699999999</v>
      </c>
      <c r="R176" s="174">
        <f t="shared" si="24"/>
        <v>-10539.366550000001</v>
      </c>
      <c r="S176" s="174">
        <f t="shared" si="25"/>
        <v>-23945.739000000001</v>
      </c>
      <c r="T176" s="174">
        <f t="shared" si="26"/>
        <v>-29909.55</v>
      </c>
      <c r="U176" s="174">
        <f t="shared" si="27"/>
        <v>-24886.924999999999</v>
      </c>
      <c r="V176" s="174">
        <f t="shared" si="28"/>
        <v>-40718.538999999997</v>
      </c>
      <c r="W176" s="174"/>
      <c r="X176" s="73">
        <f t="shared" si="30"/>
        <v>-26069.513321428571</v>
      </c>
      <c r="Y176" s="339">
        <f t="shared" si="29"/>
        <v>6.9473602254689088E-3</v>
      </c>
      <c r="Z176" s="174"/>
    </row>
    <row r="177" spans="1:26" x14ac:dyDescent="0.25">
      <c r="A177" s="30">
        <v>538</v>
      </c>
      <c r="B177" s="31" t="s">
        <v>491</v>
      </c>
      <c r="C177" s="41">
        <f>'7. Nettoinvestoinnit '!C177</f>
        <v>-1619</v>
      </c>
      <c r="D177" s="41">
        <f>'7. Nettoinvestoinnit '!D177</f>
        <v>2178</v>
      </c>
      <c r="E177" s="41">
        <f>'7. Nettoinvestoinnit '!E177</f>
        <v>-472</v>
      </c>
      <c r="F177" s="41">
        <f>'7. Nettoinvestoinnit '!F177</f>
        <v>-1139</v>
      </c>
      <c r="G177" s="41">
        <f>'7. Nettoinvestoinnit '!G177</f>
        <v>-2822</v>
      </c>
      <c r="H177" s="41">
        <f>'7. Nettoinvestoinnit '!H177</f>
        <v>-8154</v>
      </c>
      <c r="I177" s="41">
        <f>'7. Nettoinvestoinnit '!I177</f>
        <v>-3593.7927799999998</v>
      </c>
      <c r="J177" s="73">
        <v>-1217.76846</v>
      </c>
      <c r="K177" s="41">
        <v>-2483.21155</v>
      </c>
      <c r="L177" s="41">
        <v>-7020.5</v>
      </c>
      <c r="M177" s="41">
        <v>-8202.9</v>
      </c>
      <c r="N177" s="41">
        <v>-1460.4</v>
      </c>
      <c r="O177" s="174"/>
      <c r="P177" s="174">
        <f t="shared" si="22"/>
        <v>-8154</v>
      </c>
      <c r="Q177" s="174">
        <f t="shared" si="23"/>
        <v>-3593.7927799999998</v>
      </c>
      <c r="R177" s="174">
        <f t="shared" si="24"/>
        <v>-1217.76846</v>
      </c>
      <c r="S177" s="174">
        <f t="shared" si="25"/>
        <v>-2483.21155</v>
      </c>
      <c r="T177" s="174">
        <f t="shared" si="26"/>
        <v>-7020.5</v>
      </c>
      <c r="U177" s="174">
        <f t="shared" si="27"/>
        <v>-8202.9</v>
      </c>
      <c r="V177" s="174">
        <f t="shared" si="28"/>
        <v>-1460.4</v>
      </c>
      <c r="W177" s="174"/>
      <c r="X177" s="73">
        <f t="shared" si="30"/>
        <v>-4590.3675414285708</v>
      </c>
      <c r="Y177" s="339">
        <f t="shared" si="29"/>
        <v>1.2233038831373467E-3</v>
      </c>
      <c r="Z177" s="174"/>
    </row>
    <row r="178" spans="1:26" x14ac:dyDescent="0.25">
      <c r="A178" s="30">
        <v>541</v>
      </c>
      <c r="B178" s="31" t="s">
        <v>492</v>
      </c>
      <c r="C178" s="41">
        <f>'7. Nettoinvestoinnit '!C178</f>
        <v>-2664</v>
      </c>
      <c r="D178" s="41">
        <f>'7. Nettoinvestoinnit '!D178</f>
        <v>-1987</v>
      </c>
      <c r="E178" s="41">
        <f>'7. Nettoinvestoinnit '!E178</f>
        <v>-4770</v>
      </c>
      <c r="F178" s="41">
        <f>'7. Nettoinvestoinnit '!F178</f>
        <v>-7003</v>
      </c>
      <c r="G178" s="41">
        <f>'7. Nettoinvestoinnit '!G178</f>
        <v>-7265</v>
      </c>
      <c r="H178" s="41">
        <f>'7. Nettoinvestoinnit '!H178</f>
        <v>-3137</v>
      </c>
      <c r="I178" s="41">
        <f>'7. Nettoinvestoinnit '!I178</f>
        <v>-583.91705000000002</v>
      </c>
      <c r="J178" s="73">
        <v>-3859.3205800000001</v>
      </c>
      <c r="K178" s="41">
        <v>-3015.8244</v>
      </c>
      <c r="L178" s="41">
        <v>-3487</v>
      </c>
      <c r="M178" s="41">
        <v>-2320</v>
      </c>
      <c r="N178" s="41">
        <v>-2490</v>
      </c>
      <c r="O178" s="174"/>
      <c r="P178" s="174">
        <f t="shared" si="22"/>
        <v>-3137</v>
      </c>
      <c r="Q178" s="174">
        <f t="shared" si="23"/>
        <v>-583.91705000000002</v>
      </c>
      <c r="R178" s="174">
        <f t="shared" si="24"/>
        <v>-3859.3205800000001</v>
      </c>
      <c r="S178" s="174">
        <f t="shared" si="25"/>
        <v>-3015.8244</v>
      </c>
      <c r="T178" s="174">
        <f t="shared" si="26"/>
        <v>-3487</v>
      </c>
      <c r="U178" s="174">
        <f t="shared" si="27"/>
        <v>-2320</v>
      </c>
      <c r="V178" s="174">
        <f t="shared" si="28"/>
        <v>-2490</v>
      </c>
      <c r="W178" s="174"/>
      <c r="X178" s="73">
        <f t="shared" si="30"/>
        <v>-2699.0088614285714</v>
      </c>
      <c r="Y178" s="339">
        <f t="shared" si="29"/>
        <v>7.1926877118431217E-4</v>
      </c>
      <c r="Z178" s="174"/>
    </row>
    <row r="179" spans="1:26" x14ac:dyDescent="0.25">
      <c r="A179" s="30">
        <v>543</v>
      </c>
      <c r="B179" s="31" t="s">
        <v>493</v>
      </c>
      <c r="C179" s="41">
        <f>'7. Nettoinvestoinnit '!C179</f>
        <v>-16754</v>
      </c>
      <c r="D179" s="41">
        <f>'7. Nettoinvestoinnit '!D179</f>
        <v>-30160</v>
      </c>
      <c r="E179" s="41">
        <f>'7. Nettoinvestoinnit '!E179</f>
        <v>-32109</v>
      </c>
      <c r="F179" s="41">
        <f>'7. Nettoinvestoinnit '!F179</f>
        <v>-26417</v>
      </c>
      <c r="G179" s="41">
        <f>'7. Nettoinvestoinnit '!G179</f>
        <v>-30808</v>
      </c>
      <c r="H179" s="41">
        <f>'7. Nettoinvestoinnit '!H179</f>
        <v>-33033</v>
      </c>
      <c r="I179" s="41">
        <f>'7. Nettoinvestoinnit '!I179</f>
        <v>-17882.871999999999</v>
      </c>
      <c r="J179" s="73">
        <v>-30722.513469999998</v>
      </c>
      <c r="K179" s="41">
        <v>-11438.702140000001</v>
      </c>
      <c r="L179" s="41">
        <v>-37775</v>
      </c>
      <c r="M179" s="41">
        <v>-53220</v>
      </c>
      <c r="N179" s="41">
        <v>-62025</v>
      </c>
      <c r="O179" s="174"/>
      <c r="P179" s="174">
        <f t="shared" si="22"/>
        <v>-33033</v>
      </c>
      <c r="Q179" s="174">
        <f t="shared" si="23"/>
        <v>-17882.871999999999</v>
      </c>
      <c r="R179" s="174">
        <f t="shared" si="24"/>
        <v>-30722.513469999998</v>
      </c>
      <c r="S179" s="174">
        <f t="shared" si="25"/>
        <v>-11438.702140000001</v>
      </c>
      <c r="T179" s="174">
        <f t="shared" si="26"/>
        <v>-37775</v>
      </c>
      <c r="U179" s="174">
        <f t="shared" si="27"/>
        <v>-53220</v>
      </c>
      <c r="V179" s="174">
        <f t="shared" si="28"/>
        <v>-62025</v>
      </c>
      <c r="W179" s="174"/>
      <c r="X179" s="73">
        <f t="shared" si="30"/>
        <v>-35156.726801428573</v>
      </c>
      <c r="Y179" s="339">
        <f t="shared" si="29"/>
        <v>9.3690450767700516E-3</v>
      </c>
      <c r="Z179" s="174"/>
    </row>
    <row r="180" spans="1:26" x14ac:dyDescent="0.25">
      <c r="A180" s="30">
        <v>545</v>
      </c>
      <c r="B180" s="31" t="s">
        <v>494</v>
      </c>
      <c r="C180" s="41">
        <f>'7. Nettoinvestoinnit '!C180</f>
        <v>-3390</v>
      </c>
      <c r="D180" s="41">
        <f>'7. Nettoinvestoinnit '!D180</f>
        <v>-5046</v>
      </c>
      <c r="E180" s="41">
        <f>'7. Nettoinvestoinnit '!E180</f>
        <v>-6619</v>
      </c>
      <c r="F180" s="41">
        <f>'7. Nettoinvestoinnit '!F180</f>
        <v>-10609</v>
      </c>
      <c r="G180" s="41">
        <f>'7. Nettoinvestoinnit '!G180</f>
        <v>-12630</v>
      </c>
      <c r="H180" s="41">
        <f>'7. Nettoinvestoinnit '!H180</f>
        <v>-10594</v>
      </c>
      <c r="I180" s="41">
        <f>'7. Nettoinvestoinnit '!I180</f>
        <v>-17135.761999999999</v>
      </c>
      <c r="J180" s="73">
        <v>-10795.84274</v>
      </c>
      <c r="K180" s="41">
        <v>-10231.569820000001</v>
      </c>
      <c r="L180" s="41">
        <v>-9203</v>
      </c>
      <c r="M180" s="41">
        <v>-9090</v>
      </c>
      <c r="N180" s="41">
        <v>-8520</v>
      </c>
      <c r="O180" s="174"/>
      <c r="P180" s="174">
        <f t="shared" si="22"/>
        <v>-10594</v>
      </c>
      <c r="Q180" s="174">
        <f t="shared" si="23"/>
        <v>-17135.761999999999</v>
      </c>
      <c r="R180" s="174">
        <f t="shared" si="24"/>
        <v>-10795.84274</v>
      </c>
      <c r="S180" s="174">
        <f t="shared" si="25"/>
        <v>-10231.569820000001</v>
      </c>
      <c r="T180" s="174">
        <f t="shared" si="26"/>
        <v>-9203</v>
      </c>
      <c r="U180" s="174">
        <f t="shared" si="27"/>
        <v>-9090</v>
      </c>
      <c r="V180" s="174">
        <f t="shared" si="28"/>
        <v>-8520</v>
      </c>
      <c r="W180" s="174"/>
      <c r="X180" s="73">
        <f t="shared" si="30"/>
        <v>-10795.739222857143</v>
      </c>
      <c r="Y180" s="339">
        <f t="shared" si="29"/>
        <v>2.8769961432215316E-3</v>
      </c>
      <c r="Z180" s="174"/>
    </row>
    <row r="181" spans="1:26" x14ac:dyDescent="0.25">
      <c r="A181" s="30">
        <v>560</v>
      </c>
      <c r="B181" s="31" t="s">
        <v>495</v>
      </c>
      <c r="C181" s="41">
        <f>'7. Nettoinvestoinnit '!C181</f>
        <v>-6261</v>
      </c>
      <c r="D181" s="41">
        <f>'7. Nettoinvestoinnit '!D181</f>
        <v>-3875</v>
      </c>
      <c r="E181" s="41">
        <f>'7. Nettoinvestoinnit '!E181</f>
        <v>-9925</v>
      </c>
      <c r="F181" s="41">
        <f>'7. Nettoinvestoinnit '!F181</f>
        <v>-11621</v>
      </c>
      <c r="G181" s="41">
        <f>'7. Nettoinvestoinnit '!G181</f>
        <v>-6106</v>
      </c>
      <c r="H181" s="41">
        <f>'7. Nettoinvestoinnit '!H181</f>
        <v>-13972</v>
      </c>
      <c r="I181" s="41">
        <f>'7. Nettoinvestoinnit '!I181</f>
        <v>-18601.159949999997</v>
      </c>
      <c r="J181" s="73">
        <v>-11764.591349999999</v>
      </c>
      <c r="K181" s="41">
        <v>-4595.2493899999999</v>
      </c>
      <c r="L181" s="41">
        <v>-8973</v>
      </c>
      <c r="M181" s="41">
        <v>-6193.8</v>
      </c>
      <c r="N181" s="41">
        <v>-5991.51</v>
      </c>
      <c r="O181" s="174"/>
      <c r="P181" s="174">
        <f t="shared" si="22"/>
        <v>-13972</v>
      </c>
      <c r="Q181" s="174">
        <f t="shared" si="23"/>
        <v>-18601.159949999997</v>
      </c>
      <c r="R181" s="174">
        <f t="shared" si="24"/>
        <v>-11764.591349999999</v>
      </c>
      <c r="S181" s="174">
        <f t="shared" si="25"/>
        <v>-4595.2493899999999</v>
      </c>
      <c r="T181" s="174">
        <f t="shared" si="26"/>
        <v>-8973</v>
      </c>
      <c r="U181" s="174">
        <f t="shared" si="27"/>
        <v>-6193.8</v>
      </c>
      <c r="V181" s="174">
        <f t="shared" si="28"/>
        <v>-5991.51</v>
      </c>
      <c r="W181" s="174"/>
      <c r="X181" s="73">
        <f t="shared" si="30"/>
        <v>-10013.044384285715</v>
      </c>
      <c r="Y181" s="339">
        <f t="shared" si="29"/>
        <v>2.668412924842027E-3</v>
      </c>
      <c r="Z181" s="174"/>
    </row>
    <row r="182" spans="1:26" x14ac:dyDescent="0.25">
      <c r="A182" s="30">
        <v>561</v>
      </c>
      <c r="B182" s="31" t="s">
        <v>496</v>
      </c>
      <c r="C182" s="41">
        <f>'7. Nettoinvestoinnit '!C182</f>
        <v>-662</v>
      </c>
      <c r="D182" s="41">
        <f>'7. Nettoinvestoinnit '!D182</f>
        <v>-307</v>
      </c>
      <c r="E182" s="41">
        <f>'7. Nettoinvestoinnit '!E182</f>
        <v>-918</v>
      </c>
      <c r="F182" s="41">
        <f>'7. Nettoinvestoinnit '!F182</f>
        <v>-68</v>
      </c>
      <c r="G182" s="41">
        <f>'7. Nettoinvestoinnit '!G182</f>
        <v>-165</v>
      </c>
      <c r="H182" s="41">
        <f>'7. Nettoinvestoinnit '!H182</f>
        <v>-431</v>
      </c>
      <c r="I182" s="41">
        <f>'7. Nettoinvestoinnit '!I182</f>
        <v>-309.56011000000001</v>
      </c>
      <c r="J182" s="73">
        <v>-378.97494</v>
      </c>
      <c r="K182" s="41">
        <v>-505.17986999999999</v>
      </c>
      <c r="L182" s="41">
        <v>-767.1</v>
      </c>
      <c r="M182" s="41">
        <v>-777</v>
      </c>
      <c r="N182" s="41">
        <v>-690</v>
      </c>
      <c r="O182" s="174"/>
      <c r="P182" s="174">
        <f t="shared" si="22"/>
        <v>-431</v>
      </c>
      <c r="Q182" s="174">
        <f t="shared" si="23"/>
        <v>-309.56011000000001</v>
      </c>
      <c r="R182" s="174">
        <f t="shared" si="24"/>
        <v>-378.97494</v>
      </c>
      <c r="S182" s="174">
        <f t="shared" si="25"/>
        <v>-505.17986999999999</v>
      </c>
      <c r="T182" s="174">
        <f t="shared" si="26"/>
        <v>-767.1</v>
      </c>
      <c r="U182" s="174">
        <f t="shared" si="27"/>
        <v>-777</v>
      </c>
      <c r="V182" s="174">
        <f t="shared" si="28"/>
        <v>-690</v>
      </c>
      <c r="W182" s="174"/>
      <c r="X182" s="73">
        <f t="shared" si="30"/>
        <v>-551.25927428571424</v>
      </c>
      <c r="Y182" s="339">
        <f t="shared" si="29"/>
        <v>1.4690710596984631E-4</v>
      </c>
      <c r="Z182" s="174"/>
    </row>
    <row r="183" spans="1:26" x14ac:dyDescent="0.25">
      <c r="A183" s="30">
        <v>562</v>
      </c>
      <c r="B183" s="31" t="s">
        <v>497</v>
      </c>
      <c r="C183" s="41">
        <f>'7. Nettoinvestoinnit '!C183</f>
        <v>-2030</v>
      </c>
      <c r="D183" s="41">
        <f>'7. Nettoinvestoinnit '!D183</f>
        <v>-2825</v>
      </c>
      <c r="E183" s="41">
        <f>'7. Nettoinvestoinnit '!E183</f>
        <v>-1964</v>
      </c>
      <c r="F183" s="41">
        <f>'7. Nettoinvestoinnit '!F183</f>
        <v>-2885</v>
      </c>
      <c r="G183" s="41">
        <f>'7. Nettoinvestoinnit '!G183</f>
        <v>-2781</v>
      </c>
      <c r="H183" s="41">
        <f>'7. Nettoinvestoinnit '!H183</f>
        <v>-1894</v>
      </c>
      <c r="I183" s="41">
        <f>'7. Nettoinvestoinnit '!I183</f>
        <v>-920.65566000000001</v>
      </c>
      <c r="J183" s="73">
        <v>-4265.7414200000003</v>
      </c>
      <c r="K183" s="41">
        <v>-5424.2025199999998</v>
      </c>
      <c r="L183" s="41">
        <v>-3880</v>
      </c>
      <c r="M183" s="41">
        <v>-5169</v>
      </c>
      <c r="N183" s="41">
        <v>-2830</v>
      </c>
      <c r="O183" s="174"/>
      <c r="P183" s="174">
        <f t="shared" si="22"/>
        <v>-1894</v>
      </c>
      <c r="Q183" s="174">
        <f t="shared" si="23"/>
        <v>-920.65566000000001</v>
      </c>
      <c r="R183" s="174">
        <f t="shared" si="24"/>
        <v>-4265.7414200000003</v>
      </c>
      <c r="S183" s="174">
        <f t="shared" si="25"/>
        <v>-5424.2025199999998</v>
      </c>
      <c r="T183" s="174">
        <f t="shared" si="26"/>
        <v>-3880</v>
      </c>
      <c r="U183" s="174">
        <f t="shared" si="27"/>
        <v>-5169</v>
      </c>
      <c r="V183" s="174">
        <f t="shared" si="28"/>
        <v>-2830</v>
      </c>
      <c r="W183" s="174"/>
      <c r="X183" s="73">
        <f t="shared" si="30"/>
        <v>-3483.3713714285718</v>
      </c>
      <c r="Y183" s="339">
        <f t="shared" si="29"/>
        <v>9.2829641343967399E-4</v>
      </c>
      <c r="Z183" s="174"/>
    </row>
    <row r="184" spans="1:26" x14ac:dyDescent="0.25">
      <c r="A184" s="30">
        <v>563</v>
      </c>
      <c r="B184" s="31" t="s">
        <v>498</v>
      </c>
      <c r="C184" s="41">
        <f>'7. Nettoinvestoinnit '!C184</f>
        <v>-5758</v>
      </c>
      <c r="D184" s="41">
        <f>'7. Nettoinvestoinnit '!D184</f>
        <v>-5303</v>
      </c>
      <c r="E184" s="41">
        <f>'7. Nettoinvestoinnit '!E184</f>
        <v>-3063</v>
      </c>
      <c r="F184" s="41">
        <f>'7. Nettoinvestoinnit '!F184</f>
        <v>-1107</v>
      </c>
      <c r="G184" s="41">
        <f>'7. Nettoinvestoinnit '!G184</f>
        <v>-2350</v>
      </c>
      <c r="H184" s="41">
        <f>'7. Nettoinvestoinnit '!H184</f>
        <v>-2441</v>
      </c>
      <c r="I184" s="41">
        <f>'7. Nettoinvestoinnit '!I184</f>
        <v>-3029.72955</v>
      </c>
      <c r="J184" s="73">
        <v>-3365.9644700000003</v>
      </c>
      <c r="K184" s="41">
        <v>-3286.8603199999998</v>
      </c>
      <c r="L184" s="41">
        <v>-1652.5</v>
      </c>
      <c r="M184" s="41">
        <v>-970</v>
      </c>
      <c r="N184" s="41">
        <v>-6240</v>
      </c>
      <c r="O184" s="174"/>
      <c r="P184" s="174">
        <f t="shared" si="22"/>
        <v>-2441</v>
      </c>
      <c r="Q184" s="174">
        <f t="shared" si="23"/>
        <v>-3029.72955</v>
      </c>
      <c r="R184" s="174">
        <f t="shared" si="24"/>
        <v>-3365.9644700000003</v>
      </c>
      <c r="S184" s="174">
        <f t="shared" si="25"/>
        <v>-3286.8603199999998</v>
      </c>
      <c r="T184" s="174">
        <f t="shared" si="26"/>
        <v>-1652.5</v>
      </c>
      <c r="U184" s="174">
        <f t="shared" si="27"/>
        <v>-970</v>
      </c>
      <c r="V184" s="174">
        <f t="shared" si="28"/>
        <v>-6240</v>
      </c>
      <c r="W184" s="174"/>
      <c r="X184" s="73">
        <f t="shared" si="30"/>
        <v>-2998.007762857143</v>
      </c>
      <c r="Y184" s="339">
        <f t="shared" si="29"/>
        <v>7.9895008512492565E-4</v>
      </c>
      <c r="Z184" s="174"/>
    </row>
    <row r="185" spans="1:26" x14ac:dyDescent="0.25">
      <c r="A185" s="30">
        <v>564</v>
      </c>
      <c r="B185" s="31" t="s">
        <v>499</v>
      </c>
      <c r="C185" s="41">
        <f>'7. Nettoinvestoinnit '!C185</f>
        <v>-101850</v>
      </c>
      <c r="D185" s="41">
        <f>'7. Nettoinvestoinnit '!D185</f>
        <v>-94754</v>
      </c>
      <c r="E185" s="41">
        <f>'7. Nettoinvestoinnit '!E185</f>
        <v>-75742</v>
      </c>
      <c r="F185" s="41">
        <f>'7. Nettoinvestoinnit '!F185</f>
        <v>-85881</v>
      </c>
      <c r="G185" s="41">
        <f>'7. Nettoinvestoinnit '!G185</f>
        <v>-103267</v>
      </c>
      <c r="H185" s="41">
        <f>'7. Nettoinvestoinnit '!H185</f>
        <v>-104018</v>
      </c>
      <c r="I185" s="41">
        <f>'7. Nettoinvestoinnit '!I185</f>
        <v>-64787.081279999999</v>
      </c>
      <c r="J185" s="73">
        <v>83227.330489999993</v>
      </c>
      <c r="K185" s="41">
        <v>-162046.50147999998</v>
      </c>
      <c r="L185" s="41">
        <v>-234216.53497000001</v>
      </c>
      <c r="M185" s="41">
        <v>-223758.59997000001</v>
      </c>
      <c r="N185" s="41">
        <v>-175256.5</v>
      </c>
      <c r="O185" s="174"/>
      <c r="P185" s="174">
        <f t="shared" si="22"/>
        <v>-104018</v>
      </c>
      <c r="Q185" s="174">
        <f t="shared" si="23"/>
        <v>-64787.081279999999</v>
      </c>
      <c r="R185" s="174">
        <f t="shared" si="24"/>
        <v>-64787.081279999999</v>
      </c>
      <c r="S185" s="174">
        <f t="shared" si="25"/>
        <v>-162046.50147999998</v>
      </c>
      <c r="T185" s="174">
        <f t="shared" si="26"/>
        <v>-234216.53497000001</v>
      </c>
      <c r="U185" s="174">
        <f t="shared" si="27"/>
        <v>-223758.59997000001</v>
      </c>
      <c r="V185" s="174">
        <f t="shared" si="28"/>
        <v>-175256.5</v>
      </c>
      <c r="W185" s="174"/>
      <c r="X185" s="73">
        <f t="shared" si="30"/>
        <v>-146981.47128285715</v>
      </c>
      <c r="Y185" s="339">
        <f t="shared" si="29"/>
        <v>3.9169631395921507E-2</v>
      </c>
      <c r="Z185" s="174"/>
    </row>
    <row r="186" spans="1:26" x14ac:dyDescent="0.25">
      <c r="A186" s="30">
        <v>576</v>
      </c>
      <c r="B186" s="31" t="s">
        <v>500</v>
      </c>
      <c r="C186" s="41">
        <f>'7. Nettoinvestoinnit '!C186</f>
        <v>-21297</v>
      </c>
      <c r="D186" s="41">
        <f>'7. Nettoinvestoinnit '!D186</f>
        <v>-1608</v>
      </c>
      <c r="E186" s="41">
        <f>'7. Nettoinvestoinnit '!E186</f>
        <v>-1475</v>
      </c>
      <c r="F186" s="41">
        <f>'7. Nettoinvestoinnit '!F186</f>
        <v>-1232</v>
      </c>
      <c r="G186" s="41">
        <f>'7. Nettoinvestoinnit '!G186</f>
        <v>-1491</v>
      </c>
      <c r="H186" s="41">
        <f>'7. Nettoinvestoinnit '!H186</f>
        <v>-965</v>
      </c>
      <c r="I186" s="41">
        <f>'7. Nettoinvestoinnit '!I186</f>
        <v>-666.10741000000007</v>
      </c>
      <c r="J186" s="73">
        <v>-622.75279</v>
      </c>
      <c r="K186" s="41">
        <v>-1708.3008500000001</v>
      </c>
      <c r="L186" s="41">
        <v>-2330</v>
      </c>
      <c r="M186" s="41">
        <v>-1090</v>
      </c>
      <c r="N186" s="41">
        <v>-990</v>
      </c>
      <c r="O186" s="174"/>
      <c r="P186" s="174">
        <f t="shared" si="22"/>
        <v>-965</v>
      </c>
      <c r="Q186" s="174">
        <f t="shared" si="23"/>
        <v>-666.10741000000007</v>
      </c>
      <c r="R186" s="174">
        <f t="shared" si="24"/>
        <v>-622.75279</v>
      </c>
      <c r="S186" s="174">
        <f t="shared" si="25"/>
        <v>-1708.3008500000001</v>
      </c>
      <c r="T186" s="174">
        <f t="shared" si="26"/>
        <v>-2330</v>
      </c>
      <c r="U186" s="174">
        <f t="shared" si="27"/>
        <v>-1090</v>
      </c>
      <c r="V186" s="174">
        <f t="shared" si="28"/>
        <v>-990</v>
      </c>
      <c r="W186" s="174"/>
      <c r="X186" s="73">
        <f t="shared" si="30"/>
        <v>-1196.0230071428573</v>
      </c>
      <c r="Y186" s="339">
        <f t="shared" si="29"/>
        <v>3.1873255806965988E-4</v>
      </c>
      <c r="Z186" s="174"/>
    </row>
    <row r="187" spans="1:26" x14ac:dyDescent="0.25">
      <c r="A187" s="30">
        <v>577</v>
      </c>
      <c r="B187" s="31" t="s">
        <v>501</v>
      </c>
      <c r="C187" s="41">
        <f>'7. Nettoinvestoinnit '!C187</f>
        <v>-5495</v>
      </c>
      <c r="D187" s="41">
        <f>'7. Nettoinvestoinnit '!D187</f>
        <v>-3210</v>
      </c>
      <c r="E187" s="41">
        <f>'7. Nettoinvestoinnit '!E187</f>
        <v>-672</v>
      </c>
      <c r="F187" s="41">
        <f>'7. Nettoinvestoinnit '!F187</f>
        <v>-4494</v>
      </c>
      <c r="G187" s="41">
        <f>'7. Nettoinvestoinnit '!G187</f>
        <v>-6372</v>
      </c>
      <c r="H187" s="41">
        <f>'7. Nettoinvestoinnit '!H187</f>
        <v>-1596</v>
      </c>
      <c r="I187" s="41">
        <f>'7. Nettoinvestoinnit '!I187</f>
        <v>-2248.2148999999999</v>
      </c>
      <c r="J187" s="73">
        <v>-2871.0188399999997</v>
      </c>
      <c r="K187" s="41">
        <v>-4741.8475799999997</v>
      </c>
      <c r="L187" s="41">
        <v>-11300</v>
      </c>
      <c r="M187" s="41">
        <v>-9170</v>
      </c>
      <c r="N187" s="41">
        <v>-5310</v>
      </c>
      <c r="O187" s="174"/>
      <c r="P187" s="174">
        <f t="shared" si="22"/>
        <v>-1596</v>
      </c>
      <c r="Q187" s="174">
        <f t="shared" si="23"/>
        <v>-2248.2148999999999</v>
      </c>
      <c r="R187" s="174">
        <f t="shared" si="24"/>
        <v>-2871.0188399999997</v>
      </c>
      <c r="S187" s="174">
        <f t="shared" si="25"/>
        <v>-4741.8475799999997</v>
      </c>
      <c r="T187" s="174">
        <f t="shared" si="26"/>
        <v>-11300</v>
      </c>
      <c r="U187" s="174">
        <f t="shared" si="27"/>
        <v>-9170</v>
      </c>
      <c r="V187" s="174">
        <f t="shared" si="28"/>
        <v>-5310</v>
      </c>
      <c r="W187" s="174"/>
      <c r="X187" s="73">
        <f t="shared" si="30"/>
        <v>-5319.5830457142856</v>
      </c>
      <c r="Y187" s="339">
        <f t="shared" si="29"/>
        <v>1.4176351975660507E-3</v>
      </c>
      <c r="Z187" s="174"/>
    </row>
    <row r="188" spans="1:26" x14ac:dyDescent="0.25">
      <c r="A188" s="30">
        <v>578</v>
      </c>
      <c r="B188" s="31" t="s">
        <v>502</v>
      </c>
      <c r="C188" s="41">
        <f>'7. Nettoinvestoinnit '!C188</f>
        <v>-1834</v>
      </c>
      <c r="D188" s="41">
        <f>'7. Nettoinvestoinnit '!D188</f>
        <v>-1895</v>
      </c>
      <c r="E188" s="41">
        <f>'7. Nettoinvestoinnit '!E188</f>
        <v>-1903</v>
      </c>
      <c r="F188" s="41">
        <f>'7. Nettoinvestoinnit '!F188</f>
        <v>-1921</v>
      </c>
      <c r="G188" s="41">
        <f>'7. Nettoinvestoinnit '!G188</f>
        <v>-1578</v>
      </c>
      <c r="H188" s="41">
        <f>'7. Nettoinvestoinnit '!H188</f>
        <v>-1170</v>
      </c>
      <c r="I188" s="41">
        <f>'7. Nettoinvestoinnit '!I188</f>
        <v>-2124.2190499999997</v>
      </c>
      <c r="J188" s="73">
        <v>-2231.9258399999999</v>
      </c>
      <c r="K188" s="41">
        <v>-568.86438999999996</v>
      </c>
      <c r="L188" s="41">
        <v>-534</v>
      </c>
      <c r="M188" s="41">
        <v>-343</v>
      </c>
      <c r="N188" s="41">
        <v>-917</v>
      </c>
      <c r="O188" s="174"/>
      <c r="P188" s="174">
        <f t="shared" si="22"/>
        <v>-1170</v>
      </c>
      <c r="Q188" s="174">
        <f t="shared" si="23"/>
        <v>-2124.2190499999997</v>
      </c>
      <c r="R188" s="174">
        <f t="shared" si="24"/>
        <v>-2231.9258399999999</v>
      </c>
      <c r="S188" s="174">
        <f t="shared" si="25"/>
        <v>-568.86438999999996</v>
      </c>
      <c r="T188" s="174">
        <f t="shared" si="26"/>
        <v>-534</v>
      </c>
      <c r="U188" s="174">
        <f t="shared" si="27"/>
        <v>-343</v>
      </c>
      <c r="V188" s="174">
        <f t="shared" si="28"/>
        <v>-917</v>
      </c>
      <c r="W188" s="174"/>
      <c r="X188" s="73">
        <f t="shared" si="30"/>
        <v>-1127.0013257142857</v>
      </c>
      <c r="Y188" s="339">
        <f t="shared" si="29"/>
        <v>3.0033871702093995E-4</v>
      </c>
      <c r="Z188" s="174"/>
    </row>
    <row r="189" spans="1:26" x14ac:dyDescent="0.25">
      <c r="A189" s="30">
        <v>580</v>
      </c>
      <c r="B189" s="31" t="s">
        <v>503</v>
      </c>
      <c r="C189" s="41">
        <f>'7. Nettoinvestoinnit '!C189</f>
        <v>-2124</v>
      </c>
      <c r="D189" s="41">
        <f>'7. Nettoinvestoinnit '!D189</f>
        <v>-2843</v>
      </c>
      <c r="E189" s="41">
        <f>'7. Nettoinvestoinnit '!E189</f>
        <v>-2512</v>
      </c>
      <c r="F189" s="41">
        <f>'7. Nettoinvestoinnit '!F189</f>
        <v>1052</v>
      </c>
      <c r="G189" s="41">
        <f>'7. Nettoinvestoinnit '!G189</f>
        <v>-2171</v>
      </c>
      <c r="H189" s="41">
        <f>'7. Nettoinvestoinnit '!H189</f>
        <v>-1177</v>
      </c>
      <c r="I189" s="41">
        <f>'7. Nettoinvestoinnit '!I189</f>
        <v>-5787.8574400000007</v>
      </c>
      <c r="J189" s="73">
        <v>-6166.6155599999993</v>
      </c>
      <c r="K189" s="41">
        <v>-7259.2087599999995</v>
      </c>
      <c r="L189" s="41">
        <v>-1862</v>
      </c>
      <c r="M189" s="41">
        <v>-1632</v>
      </c>
      <c r="N189" s="41">
        <v>-722</v>
      </c>
      <c r="O189" s="174"/>
      <c r="P189" s="174">
        <f t="shared" si="22"/>
        <v>-1177</v>
      </c>
      <c r="Q189" s="174">
        <f t="shared" si="23"/>
        <v>-5787.8574400000007</v>
      </c>
      <c r="R189" s="174">
        <f t="shared" si="24"/>
        <v>-6166.6155599999993</v>
      </c>
      <c r="S189" s="174">
        <f t="shared" si="25"/>
        <v>-7259.2087599999995</v>
      </c>
      <c r="T189" s="174">
        <f t="shared" si="26"/>
        <v>-1862</v>
      </c>
      <c r="U189" s="174">
        <f t="shared" si="27"/>
        <v>-1632</v>
      </c>
      <c r="V189" s="174">
        <f t="shared" si="28"/>
        <v>-722</v>
      </c>
      <c r="W189" s="174"/>
      <c r="X189" s="73">
        <f t="shared" si="30"/>
        <v>-3515.2402514285714</v>
      </c>
      <c r="Y189" s="339">
        <f t="shared" si="29"/>
        <v>9.3678926816282869E-4</v>
      </c>
      <c r="Z189" s="174"/>
    </row>
    <row r="190" spans="1:26" x14ac:dyDescent="0.25">
      <c r="A190" s="30">
        <v>581</v>
      </c>
      <c r="B190" s="31" t="s">
        <v>504</v>
      </c>
      <c r="C190" s="41">
        <f>'7. Nettoinvestoinnit '!C190</f>
        <v>-1880</v>
      </c>
      <c r="D190" s="41">
        <f>'7. Nettoinvestoinnit '!D190</f>
        <v>-3819</v>
      </c>
      <c r="E190" s="41">
        <f>'7. Nettoinvestoinnit '!E190</f>
        <v>-1066</v>
      </c>
      <c r="F190" s="41">
        <f>'7. Nettoinvestoinnit '!F190</f>
        <v>-395</v>
      </c>
      <c r="G190" s="41">
        <f>'7. Nettoinvestoinnit '!G190</f>
        <v>-3045</v>
      </c>
      <c r="H190" s="41">
        <f>'7. Nettoinvestoinnit '!H190</f>
        <v>-3599</v>
      </c>
      <c r="I190" s="41">
        <f>'7. Nettoinvestoinnit '!I190</f>
        <v>-1453.81549</v>
      </c>
      <c r="J190" s="73">
        <v>-1150.3809199999998</v>
      </c>
      <c r="K190" s="41">
        <v>-1504.7400400000001</v>
      </c>
      <c r="L190" s="41">
        <v>-1500</v>
      </c>
      <c r="M190" s="41">
        <v>-1500</v>
      </c>
      <c r="N190" s="41">
        <v>-1500</v>
      </c>
      <c r="O190" s="174"/>
      <c r="P190" s="174">
        <f t="shared" si="22"/>
        <v>-3599</v>
      </c>
      <c r="Q190" s="174">
        <f t="shared" si="23"/>
        <v>-1453.81549</v>
      </c>
      <c r="R190" s="174">
        <f t="shared" si="24"/>
        <v>-1150.3809199999998</v>
      </c>
      <c r="S190" s="174">
        <f t="shared" si="25"/>
        <v>-1504.7400400000001</v>
      </c>
      <c r="T190" s="174">
        <f t="shared" si="26"/>
        <v>-1500</v>
      </c>
      <c r="U190" s="174">
        <f t="shared" si="27"/>
        <v>-1500</v>
      </c>
      <c r="V190" s="174">
        <f t="shared" si="28"/>
        <v>-1500</v>
      </c>
      <c r="W190" s="174"/>
      <c r="X190" s="73">
        <f t="shared" si="30"/>
        <v>-1743.9909214285713</v>
      </c>
      <c r="Y190" s="339">
        <f t="shared" si="29"/>
        <v>4.6476253744071749E-4</v>
      </c>
      <c r="Z190" s="174"/>
    </row>
    <row r="191" spans="1:26" x14ac:dyDescent="0.25">
      <c r="A191" s="30">
        <v>583</v>
      </c>
      <c r="B191" s="31" t="s">
        <v>505</v>
      </c>
      <c r="C191" s="41">
        <f>'7. Nettoinvestoinnit '!C191</f>
        <v>-211</v>
      </c>
      <c r="D191" s="41">
        <f>'7. Nettoinvestoinnit '!D191</f>
        <v>-399</v>
      </c>
      <c r="E191" s="41">
        <f>'7. Nettoinvestoinnit '!E191</f>
        <v>-26</v>
      </c>
      <c r="F191" s="41">
        <f>'7. Nettoinvestoinnit '!F191</f>
        <v>-217</v>
      </c>
      <c r="G191" s="41">
        <f>'7. Nettoinvestoinnit '!G191</f>
        <v>-692</v>
      </c>
      <c r="H191" s="41">
        <f>'7. Nettoinvestoinnit '!H191</f>
        <v>-1386</v>
      </c>
      <c r="I191" s="41">
        <f>'7. Nettoinvestoinnit '!I191</f>
        <v>-3388.86366</v>
      </c>
      <c r="J191" s="73">
        <v>-3283.2325000000001</v>
      </c>
      <c r="K191" s="41">
        <v>-442.61099999999999</v>
      </c>
      <c r="L191" s="41">
        <v>-529.42446999999993</v>
      </c>
      <c r="M191" s="41">
        <v>-529.42446999999993</v>
      </c>
      <c r="N191" s="41">
        <v>-529.42446999999993</v>
      </c>
      <c r="O191" s="174"/>
      <c r="P191" s="174">
        <f t="shared" si="22"/>
        <v>-1386</v>
      </c>
      <c r="Q191" s="174">
        <f t="shared" si="23"/>
        <v>-3388.86366</v>
      </c>
      <c r="R191" s="174">
        <f t="shared" si="24"/>
        <v>-3283.2325000000001</v>
      </c>
      <c r="S191" s="174">
        <f t="shared" si="25"/>
        <v>-442.61099999999999</v>
      </c>
      <c r="T191" s="174">
        <f t="shared" si="26"/>
        <v>-529.42446999999993</v>
      </c>
      <c r="U191" s="174">
        <f t="shared" si="27"/>
        <v>-529.42446999999993</v>
      </c>
      <c r="V191" s="174">
        <f t="shared" si="28"/>
        <v>-529.42446999999993</v>
      </c>
      <c r="W191" s="174"/>
      <c r="X191" s="73">
        <f t="shared" si="30"/>
        <v>-1441.2829385714285</v>
      </c>
      <c r="Y191" s="339">
        <f t="shared" si="29"/>
        <v>3.8409277678565375E-4</v>
      </c>
      <c r="Z191" s="174"/>
    </row>
    <row r="192" spans="1:26" x14ac:dyDescent="0.25">
      <c r="A192" s="30">
        <v>584</v>
      </c>
      <c r="B192" s="31" t="s">
        <v>506</v>
      </c>
      <c r="C192" s="41">
        <f>'7. Nettoinvestoinnit '!C192</f>
        <v>-2096</v>
      </c>
      <c r="D192" s="41">
        <f>'7. Nettoinvestoinnit '!D192</f>
        <v>-3634</v>
      </c>
      <c r="E192" s="41">
        <f>'7. Nettoinvestoinnit '!E192</f>
        <v>-4373</v>
      </c>
      <c r="F192" s="41">
        <f>'7. Nettoinvestoinnit '!F192</f>
        <v>-3852</v>
      </c>
      <c r="G192" s="41">
        <f>'7. Nettoinvestoinnit '!G192</f>
        <v>-1250</v>
      </c>
      <c r="H192" s="41">
        <f>'7. Nettoinvestoinnit '!H192</f>
        <v>-2185</v>
      </c>
      <c r="I192" s="41">
        <f>'7. Nettoinvestoinnit '!I192</f>
        <v>-1501.31185</v>
      </c>
      <c r="J192" s="73">
        <v>-1119.70354</v>
      </c>
      <c r="K192" s="41">
        <v>-2055.2711399999998</v>
      </c>
      <c r="L192" s="41">
        <v>-3018</v>
      </c>
      <c r="M192" s="41">
        <v>-503</v>
      </c>
      <c r="N192" s="41">
        <v>-173</v>
      </c>
      <c r="O192" s="174"/>
      <c r="P192" s="174">
        <f t="shared" si="22"/>
        <v>-2185</v>
      </c>
      <c r="Q192" s="174">
        <f t="shared" si="23"/>
        <v>-1501.31185</v>
      </c>
      <c r="R192" s="174">
        <f t="shared" si="24"/>
        <v>-1119.70354</v>
      </c>
      <c r="S192" s="174">
        <f t="shared" si="25"/>
        <v>-2055.2711399999998</v>
      </c>
      <c r="T192" s="174">
        <f t="shared" si="26"/>
        <v>-3018</v>
      </c>
      <c r="U192" s="174">
        <f t="shared" si="27"/>
        <v>-503</v>
      </c>
      <c r="V192" s="174">
        <f t="shared" si="28"/>
        <v>-173</v>
      </c>
      <c r="W192" s="174"/>
      <c r="X192" s="73">
        <f t="shared" si="30"/>
        <v>-1507.8980757142858</v>
      </c>
      <c r="Y192" s="339">
        <f t="shared" si="29"/>
        <v>4.0184528902070316E-4</v>
      </c>
      <c r="Z192" s="174"/>
    </row>
    <row r="193" spans="1:26" x14ac:dyDescent="0.25">
      <c r="A193" s="30">
        <v>588</v>
      </c>
      <c r="B193" s="31" t="s">
        <v>507</v>
      </c>
      <c r="C193" s="41">
        <f>'7. Nettoinvestoinnit '!C193</f>
        <v>-177</v>
      </c>
      <c r="D193" s="41">
        <f>'7. Nettoinvestoinnit '!D193</f>
        <v>-1331</v>
      </c>
      <c r="E193" s="41">
        <f>'7. Nettoinvestoinnit '!E193</f>
        <v>-1249</v>
      </c>
      <c r="F193" s="41">
        <f>'7. Nettoinvestoinnit '!F193</f>
        <v>-274</v>
      </c>
      <c r="G193" s="41">
        <f>'7. Nettoinvestoinnit '!G193</f>
        <v>-75</v>
      </c>
      <c r="H193" s="41">
        <f>'7. Nettoinvestoinnit '!H193</f>
        <v>-212</v>
      </c>
      <c r="I193" s="41">
        <f>'7. Nettoinvestoinnit '!I193</f>
        <v>-441.98955000000001</v>
      </c>
      <c r="J193" s="73">
        <v>47.235320000000002</v>
      </c>
      <c r="K193" s="41">
        <v>994.70934999999997</v>
      </c>
      <c r="L193" s="41">
        <v>0</v>
      </c>
      <c r="M193" s="41">
        <v>0</v>
      </c>
      <c r="N193" s="41">
        <v>0</v>
      </c>
      <c r="O193" s="174"/>
      <c r="P193" s="174">
        <f t="shared" si="22"/>
        <v>-212</v>
      </c>
      <c r="Q193" s="174">
        <f t="shared" si="23"/>
        <v>-441.98955000000001</v>
      </c>
      <c r="R193" s="174">
        <f t="shared" si="24"/>
        <v>-441.98955000000001</v>
      </c>
      <c r="S193" s="174">
        <f t="shared" si="25"/>
        <v>47.235320000000002</v>
      </c>
      <c r="T193" s="174">
        <f t="shared" si="26"/>
        <v>994.70934999999997</v>
      </c>
      <c r="U193" s="174">
        <f t="shared" si="27"/>
        <v>0</v>
      </c>
      <c r="V193" s="174">
        <f t="shared" si="28"/>
        <v>0</v>
      </c>
      <c r="W193" s="174"/>
      <c r="X193" s="73">
        <f t="shared" si="30"/>
        <v>-7.7192042857142917</v>
      </c>
      <c r="Y193" s="339">
        <f t="shared" si="29"/>
        <v>2.057119063391164E-6</v>
      </c>
      <c r="Z193" s="174"/>
    </row>
    <row r="194" spans="1:26" x14ac:dyDescent="0.25">
      <c r="A194" s="30">
        <v>592</v>
      </c>
      <c r="B194" s="31" t="s">
        <v>508</v>
      </c>
      <c r="C194" s="41">
        <f>'7. Nettoinvestoinnit '!C194</f>
        <v>-636</v>
      </c>
      <c r="D194" s="41">
        <f>'7. Nettoinvestoinnit '!D194</f>
        <v>-2299</v>
      </c>
      <c r="E194" s="41">
        <f>'7. Nettoinvestoinnit '!E194</f>
        <v>-1092</v>
      </c>
      <c r="F194" s="41">
        <f>'7. Nettoinvestoinnit '!F194</f>
        <v>-1520</v>
      </c>
      <c r="G194" s="41">
        <f>'7. Nettoinvestoinnit '!G194</f>
        <v>-860</v>
      </c>
      <c r="H194" s="41">
        <f>'7. Nettoinvestoinnit '!H194</f>
        <v>-737</v>
      </c>
      <c r="I194" s="41">
        <f>'7. Nettoinvestoinnit '!I194</f>
        <v>-1593.6773000000001</v>
      </c>
      <c r="J194" s="73">
        <v>-1000.4848000000001</v>
      </c>
      <c r="K194" s="41">
        <v>-1004.27959</v>
      </c>
      <c r="L194" s="41">
        <v>-630</v>
      </c>
      <c r="M194" s="41">
        <v>-1060</v>
      </c>
      <c r="N194" s="41">
        <v>-1655</v>
      </c>
      <c r="O194" s="174"/>
      <c r="P194" s="174">
        <f t="shared" si="22"/>
        <v>-737</v>
      </c>
      <c r="Q194" s="174">
        <f t="shared" si="23"/>
        <v>-1593.6773000000001</v>
      </c>
      <c r="R194" s="174">
        <f t="shared" si="24"/>
        <v>-1000.4848000000001</v>
      </c>
      <c r="S194" s="174">
        <f t="shared" si="25"/>
        <v>-1004.27959</v>
      </c>
      <c r="T194" s="174">
        <f t="shared" si="26"/>
        <v>-630</v>
      </c>
      <c r="U194" s="174">
        <f t="shared" si="27"/>
        <v>-1060</v>
      </c>
      <c r="V194" s="174">
        <f t="shared" si="28"/>
        <v>-1655</v>
      </c>
      <c r="W194" s="174"/>
      <c r="X194" s="73">
        <f t="shared" si="30"/>
        <v>-1097.2059557142859</v>
      </c>
      <c r="Y194" s="339">
        <f t="shared" si="29"/>
        <v>2.9239843958311836E-4</v>
      </c>
      <c r="Z194" s="174"/>
    </row>
    <row r="195" spans="1:26" x14ac:dyDescent="0.25">
      <c r="A195" s="30">
        <v>593</v>
      </c>
      <c r="B195" s="31" t="s">
        <v>509</v>
      </c>
      <c r="C195" s="41">
        <f>'7. Nettoinvestoinnit '!C195</f>
        <v>-6670</v>
      </c>
      <c r="D195" s="41">
        <f>'7. Nettoinvestoinnit '!D195</f>
        <v>-4127</v>
      </c>
      <c r="E195" s="41">
        <f>'7. Nettoinvestoinnit '!E195</f>
        <v>-4737</v>
      </c>
      <c r="F195" s="41">
        <f>'7. Nettoinvestoinnit '!F195</f>
        <v>-14467</v>
      </c>
      <c r="G195" s="41">
        <f>'7. Nettoinvestoinnit '!G195</f>
        <v>-13399</v>
      </c>
      <c r="H195" s="41">
        <f>'7. Nettoinvestoinnit '!H195</f>
        <v>-13806</v>
      </c>
      <c r="I195" s="41">
        <f>'7. Nettoinvestoinnit '!I195</f>
        <v>-4801.6525999999994</v>
      </c>
      <c r="J195" s="73">
        <v>-6814.5452500000001</v>
      </c>
      <c r="K195" s="41">
        <v>-6273.1002900000003</v>
      </c>
      <c r="L195" s="41">
        <v>-7166.5</v>
      </c>
      <c r="M195" s="41">
        <v>-11013</v>
      </c>
      <c r="N195" s="41">
        <v>-7871</v>
      </c>
      <c r="O195" s="174"/>
      <c r="P195" s="174">
        <f t="shared" si="22"/>
        <v>-13806</v>
      </c>
      <c r="Q195" s="174">
        <f t="shared" si="23"/>
        <v>-4801.6525999999994</v>
      </c>
      <c r="R195" s="174">
        <f t="shared" si="24"/>
        <v>-6814.5452500000001</v>
      </c>
      <c r="S195" s="174">
        <f t="shared" si="25"/>
        <v>-6273.1002900000003</v>
      </c>
      <c r="T195" s="174">
        <f t="shared" si="26"/>
        <v>-7166.5</v>
      </c>
      <c r="U195" s="174">
        <f t="shared" si="27"/>
        <v>-11013</v>
      </c>
      <c r="V195" s="174">
        <f t="shared" si="28"/>
        <v>-7871</v>
      </c>
      <c r="W195" s="174"/>
      <c r="X195" s="73">
        <f t="shared" si="30"/>
        <v>-8249.3997342857147</v>
      </c>
      <c r="Y195" s="339">
        <f t="shared" si="29"/>
        <v>2.1984127931863428E-3</v>
      </c>
      <c r="Z195" s="174"/>
    </row>
    <row r="196" spans="1:26" x14ac:dyDescent="0.25">
      <c r="A196" s="30">
        <v>595</v>
      </c>
      <c r="B196" s="31" t="s">
        <v>510</v>
      </c>
      <c r="C196" s="41">
        <f>'7. Nettoinvestoinnit '!C196</f>
        <v>-3047</v>
      </c>
      <c r="D196" s="41">
        <f>'7. Nettoinvestoinnit '!D196</f>
        <v>-8460</v>
      </c>
      <c r="E196" s="41">
        <f>'7. Nettoinvestoinnit '!E196</f>
        <v>-926</v>
      </c>
      <c r="F196" s="41">
        <f>'7. Nettoinvestoinnit '!F196</f>
        <v>-877</v>
      </c>
      <c r="G196" s="41">
        <f>'7. Nettoinvestoinnit '!G196</f>
        <v>-809</v>
      </c>
      <c r="H196" s="41">
        <f>'7. Nettoinvestoinnit '!H196</f>
        <v>-456</v>
      </c>
      <c r="I196" s="41">
        <f>'7. Nettoinvestoinnit '!I196</f>
        <v>-740.37301000000002</v>
      </c>
      <c r="J196" s="73">
        <v>-2016.63193</v>
      </c>
      <c r="K196" s="41">
        <v>-764.89658999999995</v>
      </c>
      <c r="L196" s="41">
        <v>-6091.92</v>
      </c>
      <c r="M196" s="41">
        <v>-7421.9380000000001</v>
      </c>
      <c r="N196" s="41">
        <v>-1176.3019999999999</v>
      </c>
      <c r="O196" s="174"/>
      <c r="P196" s="174">
        <f t="shared" si="22"/>
        <v>-456</v>
      </c>
      <c r="Q196" s="174">
        <f t="shared" si="23"/>
        <v>-740.37301000000002</v>
      </c>
      <c r="R196" s="174">
        <f t="shared" si="24"/>
        <v>-2016.63193</v>
      </c>
      <c r="S196" s="174">
        <f t="shared" si="25"/>
        <v>-764.89658999999995</v>
      </c>
      <c r="T196" s="174">
        <f t="shared" si="26"/>
        <v>-6091.92</v>
      </c>
      <c r="U196" s="174">
        <f t="shared" si="27"/>
        <v>-7421.9380000000001</v>
      </c>
      <c r="V196" s="174">
        <f t="shared" si="28"/>
        <v>-1176.3019999999999</v>
      </c>
      <c r="W196" s="174"/>
      <c r="X196" s="73">
        <f t="shared" si="30"/>
        <v>-2666.8659328571425</v>
      </c>
      <c r="Y196" s="339">
        <f t="shared" si="29"/>
        <v>7.1070288425217367E-4</v>
      </c>
      <c r="Z196" s="174"/>
    </row>
    <row r="197" spans="1:26" x14ac:dyDescent="0.25">
      <c r="A197" s="30">
        <v>598</v>
      </c>
      <c r="B197" s="31" t="s">
        <v>511</v>
      </c>
      <c r="C197" s="41">
        <f>'7. Nettoinvestoinnit '!C197</f>
        <v>-12527</v>
      </c>
      <c r="D197" s="41">
        <f>'7. Nettoinvestoinnit '!D197</f>
        <v>-7075</v>
      </c>
      <c r="E197" s="41">
        <f>'7. Nettoinvestoinnit '!E197</f>
        <v>-9702</v>
      </c>
      <c r="F197" s="41">
        <f>'7. Nettoinvestoinnit '!F197</f>
        <v>-7255</v>
      </c>
      <c r="G197" s="41">
        <f>'7. Nettoinvestoinnit '!G197</f>
        <v>-8814</v>
      </c>
      <c r="H197" s="41">
        <f>'7. Nettoinvestoinnit '!H197</f>
        <v>-7382</v>
      </c>
      <c r="I197" s="41">
        <f>'7. Nettoinvestoinnit '!I197</f>
        <v>-5402.8860000000004</v>
      </c>
      <c r="J197" s="73">
        <v>-7231.8869999999997</v>
      </c>
      <c r="K197" s="41">
        <v>-7780.5730000000003</v>
      </c>
      <c r="L197" s="41">
        <v>-7800</v>
      </c>
      <c r="M197" s="41">
        <v>-10550</v>
      </c>
      <c r="N197" s="41">
        <v>-10555</v>
      </c>
      <c r="O197" s="174"/>
      <c r="P197" s="174">
        <f t="shared" si="22"/>
        <v>-7382</v>
      </c>
      <c r="Q197" s="174">
        <f t="shared" si="23"/>
        <v>-5402.8860000000004</v>
      </c>
      <c r="R197" s="174">
        <f t="shared" si="24"/>
        <v>-7231.8869999999997</v>
      </c>
      <c r="S197" s="174">
        <f t="shared" si="25"/>
        <v>-7780.5730000000003</v>
      </c>
      <c r="T197" s="174">
        <f t="shared" si="26"/>
        <v>-7800</v>
      </c>
      <c r="U197" s="174">
        <f t="shared" si="27"/>
        <v>-10550</v>
      </c>
      <c r="V197" s="174">
        <f t="shared" si="28"/>
        <v>-10555</v>
      </c>
      <c r="W197" s="174"/>
      <c r="X197" s="73">
        <f t="shared" si="30"/>
        <v>-8100.3351428571432</v>
      </c>
      <c r="Y197" s="339">
        <f t="shared" si="29"/>
        <v>2.1586880234621079E-3</v>
      </c>
      <c r="Z197" s="174"/>
    </row>
    <row r="198" spans="1:26" x14ac:dyDescent="0.25">
      <c r="A198" s="30">
        <v>599</v>
      </c>
      <c r="B198" s="31" t="s">
        <v>512</v>
      </c>
      <c r="C198" s="41">
        <f>'7. Nettoinvestoinnit '!C198</f>
        <v>-4589</v>
      </c>
      <c r="D198" s="41">
        <f>'7. Nettoinvestoinnit '!D198</f>
        <v>2</v>
      </c>
      <c r="E198" s="41">
        <f>'7. Nettoinvestoinnit '!E198</f>
        <v>-5783</v>
      </c>
      <c r="F198" s="41">
        <f>'7. Nettoinvestoinnit '!F198</f>
        <v>-4678</v>
      </c>
      <c r="G198" s="41">
        <f>'7. Nettoinvestoinnit '!G198</f>
        <v>-5296</v>
      </c>
      <c r="H198" s="41">
        <f>'7. Nettoinvestoinnit '!H198</f>
        <v>-1718</v>
      </c>
      <c r="I198" s="41">
        <f>'7. Nettoinvestoinnit '!I198</f>
        <v>-4331.7771199999997</v>
      </c>
      <c r="J198" s="73">
        <v>-7960.6649800000005</v>
      </c>
      <c r="K198" s="41">
        <v>-15598.026529999999</v>
      </c>
      <c r="L198" s="41">
        <v>-12049</v>
      </c>
      <c r="M198" s="41">
        <v>-2308</v>
      </c>
      <c r="N198" s="41">
        <v>-7595</v>
      </c>
      <c r="O198" s="174"/>
      <c r="P198" s="174">
        <f t="shared" si="22"/>
        <v>-1718</v>
      </c>
      <c r="Q198" s="174">
        <f t="shared" si="23"/>
        <v>-4331.7771199999997</v>
      </c>
      <c r="R198" s="174">
        <f t="shared" si="24"/>
        <v>-7960.6649800000005</v>
      </c>
      <c r="S198" s="174">
        <f t="shared" si="25"/>
        <v>-15598.026529999999</v>
      </c>
      <c r="T198" s="174">
        <f t="shared" si="26"/>
        <v>-12049</v>
      </c>
      <c r="U198" s="174">
        <f t="shared" si="27"/>
        <v>-2308</v>
      </c>
      <c r="V198" s="174">
        <f t="shared" si="28"/>
        <v>-7595</v>
      </c>
      <c r="W198" s="174"/>
      <c r="X198" s="73">
        <f t="shared" si="30"/>
        <v>-7365.7812328571436</v>
      </c>
      <c r="Y198" s="339">
        <f t="shared" si="29"/>
        <v>1.9629340577138506E-3</v>
      </c>
      <c r="Z198" s="174"/>
    </row>
    <row r="199" spans="1:26" x14ac:dyDescent="0.25">
      <c r="A199" s="30">
        <v>601</v>
      </c>
      <c r="B199" s="31" t="s">
        <v>513</v>
      </c>
      <c r="C199" s="41">
        <f>'7. Nettoinvestoinnit '!C199</f>
        <v>-1010</v>
      </c>
      <c r="D199" s="41">
        <f>'7. Nettoinvestoinnit '!D199</f>
        <v>-1481</v>
      </c>
      <c r="E199" s="41">
        <f>'7. Nettoinvestoinnit '!E199</f>
        <v>-1104</v>
      </c>
      <c r="F199" s="41">
        <f>'7. Nettoinvestoinnit '!F199</f>
        <v>-1878</v>
      </c>
      <c r="G199" s="41">
        <f>'7. Nettoinvestoinnit '!G199</f>
        <v>-1657</v>
      </c>
      <c r="H199" s="41">
        <f>'7. Nettoinvestoinnit '!H199</f>
        <v>-1053</v>
      </c>
      <c r="I199" s="41">
        <f>'7. Nettoinvestoinnit '!I199</f>
        <v>-1238.4093500000001</v>
      </c>
      <c r="J199" s="73">
        <v>-1361.3163100000002</v>
      </c>
      <c r="K199" s="41">
        <v>-1673.8319299999998</v>
      </c>
      <c r="L199" s="41">
        <v>-843</v>
      </c>
      <c r="M199" s="41">
        <v>-2088</v>
      </c>
      <c r="N199" s="41">
        <v>-755</v>
      </c>
      <c r="O199" s="174"/>
      <c r="P199" s="174">
        <f t="shared" si="22"/>
        <v>-1053</v>
      </c>
      <c r="Q199" s="174">
        <f t="shared" si="23"/>
        <v>-1238.4093500000001</v>
      </c>
      <c r="R199" s="174">
        <f t="shared" si="24"/>
        <v>-1361.3163100000002</v>
      </c>
      <c r="S199" s="174">
        <f t="shared" si="25"/>
        <v>-1673.8319299999998</v>
      </c>
      <c r="T199" s="174">
        <f t="shared" si="26"/>
        <v>-843</v>
      </c>
      <c r="U199" s="174">
        <f t="shared" si="27"/>
        <v>-2088</v>
      </c>
      <c r="V199" s="174">
        <f t="shared" si="28"/>
        <v>-755</v>
      </c>
      <c r="W199" s="174"/>
      <c r="X199" s="73">
        <f t="shared" si="30"/>
        <v>-1287.5082271428571</v>
      </c>
      <c r="Y199" s="339">
        <f t="shared" si="29"/>
        <v>3.4311278990635616E-4</v>
      </c>
      <c r="Z199" s="174"/>
    </row>
    <row r="200" spans="1:26" x14ac:dyDescent="0.25">
      <c r="A200" s="30">
        <v>604</v>
      </c>
      <c r="B200" s="31" t="s">
        <v>514</v>
      </c>
      <c r="C200" s="41">
        <f>'7. Nettoinvestoinnit '!C200</f>
        <v>-5083</v>
      </c>
      <c r="D200" s="41">
        <f>'7. Nettoinvestoinnit '!D200</f>
        <v>-1062</v>
      </c>
      <c r="E200" s="41">
        <f>'7. Nettoinvestoinnit '!E200</f>
        <v>-7534</v>
      </c>
      <c r="F200" s="41">
        <f>'7. Nettoinvestoinnit '!F200</f>
        <v>-8668</v>
      </c>
      <c r="G200" s="41">
        <f>'7. Nettoinvestoinnit '!G200</f>
        <v>-8973</v>
      </c>
      <c r="H200" s="41">
        <f>'7. Nettoinvestoinnit '!H200</f>
        <v>-12143</v>
      </c>
      <c r="I200" s="41">
        <f>'7. Nettoinvestoinnit '!I200</f>
        <v>-12192.821460000001</v>
      </c>
      <c r="J200" s="73">
        <v>-16031.92172</v>
      </c>
      <c r="K200" s="41">
        <v>-17405.90238</v>
      </c>
      <c r="L200" s="41">
        <v>-22532</v>
      </c>
      <c r="M200" s="41">
        <v>-9584</v>
      </c>
      <c r="N200" s="41">
        <v>-2545</v>
      </c>
      <c r="O200" s="174"/>
      <c r="P200" s="174">
        <f t="shared" si="22"/>
        <v>-12143</v>
      </c>
      <c r="Q200" s="174">
        <f t="shared" si="23"/>
        <v>-12192.821460000001</v>
      </c>
      <c r="R200" s="174">
        <f t="shared" si="24"/>
        <v>-16031.92172</v>
      </c>
      <c r="S200" s="174">
        <f t="shared" si="25"/>
        <v>-17405.90238</v>
      </c>
      <c r="T200" s="174">
        <f t="shared" si="26"/>
        <v>-22532</v>
      </c>
      <c r="U200" s="174">
        <f t="shared" si="27"/>
        <v>-9584</v>
      </c>
      <c r="V200" s="174">
        <f t="shared" si="28"/>
        <v>-2545</v>
      </c>
      <c r="W200" s="174"/>
      <c r="X200" s="73">
        <f t="shared" si="30"/>
        <v>-13204.949365714287</v>
      </c>
      <c r="Y200" s="339">
        <f t="shared" si="29"/>
        <v>3.5190353909402075E-3</v>
      </c>
      <c r="Z200" s="174"/>
    </row>
    <row r="201" spans="1:26" x14ac:dyDescent="0.25">
      <c r="A201" s="30">
        <v>607</v>
      </c>
      <c r="B201" s="31" t="s">
        <v>515</v>
      </c>
      <c r="C201" s="41">
        <f>'7. Nettoinvestoinnit '!C201</f>
        <v>-1132</v>
      </c>
      <c r="D201" s="41">
        <f>'7. Nettoinvestoinnit '!D201</f>
        <v>-1714</v>
      </c>
      <c r="E201" s="41">
        <f>'7. Nettoinvestoinnit '!E201</f>
        <v>-1304</v>
      </c>
      <c r="F201" s="41">
        <f>'7. Nettoinvestoinnit '!F201</f>
        <v>-4778</v>
      </c>
      <c r="G201" s="41">
        <f>'7. Nettoinvestoinnit '!G201</f>
        <v>-2658</v>
      </c>
      <c r="H201" s="41">
        <f>'7. Nettoinvestoinnit '!H201</f>
        <v>-2209</v>
      </c>
      <c r="I201" s="41">
        <f>'7. Nettoinvestoinnit '!I201</f>
        <v>-1800.0313100000001</v>
      </c>
      <c r="J201" s="73">
        <v>-2496.3035599999998</v>
      </c>
      <c r="K201" s="41">
        <v>-6284.4709999999995</v>
      </c>
      <c r="L201" s="41">
        <v>-3399</v>
      </c>
      <c r="M201" s="41">
        <v>-1851</v>
      </c>
      <c r="N201" s="41">
        <v>-421</v>
      </c>
      <c r="O201" s="174"/>
      <c r="P201" s="174">
        <f t="shared" si="22"/>
        <v>-2209</v>
      </c>
      <c r="Q201" s="174">
        <f t="shared" si="23"/>
        <v>-1800.0313100000001</v>
      </c>
      <c r="R201" s="174">
        <f t="shared" si="24"/>
        <v>-2496.3035599999998</v>
      </c>
      <c r="S201" s="174">
        <f t="shared" si="25"/>
        <v>-6284.4709999999995</v>
      </c>
      <c r="T201" s="174">
        <f t="shared" si="26"/>
        <v>-3399</v>
      </c>
      <c r="U201" s="174">
        <f t="shared" si="27"/>
        <v>-1851</v>
      </c>
      <c r="V201" s="174">
        <f t="shared" si="28"/>
        <v>-421</v>
      </c>
      <c r="W201" s="174"/>
      <c r="X201" s="73">
        <f t="shared" si="30"/>
        <v>-2637.2579814285714</v>
      </c>
      <c r="Y201" s="339">
        <f t="shared" si="29"/>
        <v>7.028125526768853E-4</v>
      </c>
      <c r="Z201" s="174"/>
    </row>
    <row r="202" spans="1:26" x14ac:dyDescent="0.25">
      <c r="A202" s="30">
        <v>608</v>
      </c>
      <c r="B202" s="31" t="s">
        <v>516</v>
      </c>
      <c r="C202" s="41">
        <f>'7. Nettoinvestoinnit '!C202</f>
        <v>-2119</v>
      </c>
      <c r="D202" s="41">
        <f>'7. Nettoinvestoinnit '!D202</f>
        <v>-163</v>
      </c>
      <c r="E202" s="41">
        <f>'7. Nettoinvestoinnit '!E202</f>
        <v>-231</v>
      </c>
      <c r="F202" s="41">
        <f>'7. Nettoinvestoinnit '!F202</f>
        <v>-151</v>
      </c>
      <c r="G202" s="41">
        <f>'7. Nettoinvestoinnit '!G202</f>
        <v>-729</v>
      </c>
      <c r="H202" s="41">
        <f>'7. Nettoinvestoinnit '!H202</f>
        <v>-210</v>
      </c>
      <c r="I202" s="41">
        <f>'7. Nettoinvestoinnit '!I202</f>
        <v>-529.99525000000006</v>
      </c>
      <c r="J202" s="73">
        <v>-1947.1541299999999</v>
      </c>
      <c r="K202" s="41">
        <v>-1713.3588999999999</v>
      </c>
      <c r="L202" s="41">
        <v>-115</v>
      </c>
      <c r="M202" s="41">
        <v>-177</v>
      </c>
      <c r="N202" s="41">
        <v>-304</v>
      </c>
      <c r="O202" s="174"/>
      <c r="P202" s="174">
        <f t="shared" si="22"/>
        <v>-210</v>
      </c>
      <c r="Q202" s="174">
        <f t="shared" si="23"/>
        <v>-529.99525000000006</v>
      </c>
      <c r="R202" s="174">
        <f t="shared" si="24"/>
        <v>-1947.1541299999999</v>
      </c>
      <c r="S202" s="174">
        <f t="shared" si="25"/>
        <v>-1713.3588999999999</v>
      </c>
      <c r="T202" s="174">
        <f t="shared" si="26"/>
        <v>-115</v>
      </c>
      <c r="U202" s="174">
        <f t="shared" si="27"/>
        <v>-177</v>
      </c>
      <c r="V202" s="174">
        <f t="shared" si="28"/>
        <v>-304</v>
      </c>
      <c r="W202" s="174"/>
      <c r="X202" s="73">
        <f t="shared" si="30"/>
        <v>-713.78689714285713</v>
      </c>
      <c r="Y202" s="339">
        <f t="shared" si="29"/>
        <v>1.902196883205724E-4</v>
      </c>
      <c r="Z202" s="174"/>
    </row>
    <row r="203" spans="1:26" x14ac:dyDescent="0.25">
      <c r="A203" s="30">
        <v>609</v>
      </c>
      <c r="B203" s="31" t="s">
        <v>517</v>
      </c>
      <c r="C203" s="41">
        <f>'7. Nettoinvestoinnit '!C203</f>
        <v>-28624</v>
      </c>
      <c r="D203" s="41">
        <f>'7. Nettoinvestoinnit '!D203</f>
        <v>-15800</v>
      </c>
      <c r="E203" s="41">
        <f>'7. Nettoinvestoinnit '!E203</f>
        <v>-21206</v>
      </c>
      <c r="F203" s="41">
        <f>'7. Nettoinvestoinnit '!F203</f>
        <v>-26431</v>
      </c>
      <c r="G203" s="41">
        <f>'7. Nettoinvestoinnit '!G203</f>
        <v>-25046</v>
      </c>
      <c r="H203" s="41">
        <f>'7. Nettoinvestoinnit '!H203</f>
        <v>-25550</v>
      </c>
      <c r="I203" s="41">
        <f>'7. Nettoinvestoinnit '!I203</f>
        <v>-33701.247869999999</v>
      </c>
      <c r="J203" s="73">
        <v>-40338.711940000001</v>
      </c>
      <c r="K203" s="41">
        <v>-55837.601640000001</v>
      </c>
      <c r="L203" s="41">
        <v>-41720</v>
      </c>
      <c r="M203" s="41">
        <v>-42926</v>
      </c>
      <c r="N203" s="41">
        <v>-49638</v>
      </c>
      <c r="O203" s="174"/>
      <c r="P203" s="174">
        <f t="shared" si="22"/>
        <v>-25550</v>
      </c>
      <c r="Q203" s="174">
        <f t="shared" si="23"/>
        <v>-33701.247869999999</v>
      </c>
      <c r="R203" s="174">
        <f t="shared" si="24"/>
        <v>-40338.711940000001</v>
      </c>
      <c r="S203" s="174">
        <f t="shared" si="25"/>
        <v>-55837.601640000001</v>
      </c>
      <c r="T203" s="174">
        <f t="shared" si="26"/>
        <v>-41720</v>
      </c>
      <c r="U203" s="174">
        <f t="shared" si="27"/>
        <v>-42926</v>
      </c>
      <c r="V203" s="174">
        <f t="shared" si="28"/>
        <v>-49638</v>
      </c>
      <c r="W203" s="174"/>
      <c r="X203" s="73">
        <f t="shared" si="30"/>
        <v>-41387.36592142858</v>
      </c>
      <c r="Y203" s="339">
        <f t="shared" si="29"/>
        <v>1.1029470949237648E-2</v>
      </c>
      <c r="Z203" s="174"/>
    </row>
    <row r="204" spans="1:26" x14ac:dyDescent="0.25">
      <c r="A204" s="30">
        <v>611</v>
      </c>
      <c r="B204" s="31" t="s">
        <v>518</v>
      </c>
      <c r="C204" s="41">
        <f>'7. Nettoinvestoinnit '!C204</f>
        <v>-134</v>
      </c>
      <c r="D204" s="41">
        <f>'7. Nettoinvestoinnit '!D204</f>
        <v>-1539</v>
      </c>
      <c r="E204" s="41">
        <f>'7. Nettoinvestoinnit '!E204</f>
        <v>-956</v>
      </c>
      <c r="F204" s="41">
        <f>'7. Nettoinvestoinnit '!F204</f>
        <v>-307</v>
      </c>
      <c r="G204" s="41">
        <f>'7. Nettoinvestoinnit '!G204</f>
        <v>-1565</v>
      </c>
      <c r="H204" s="41">
        <f>'7. Nettoinvestoinnit '!H204</f>
        <v>-901</v>
      </c>
      <c r="I204" s="41">
        <f>'7. Nettoinvestoinnit '!I204</f>
        <v>-1744.5886</v>
      </c>
      <c r="J204" s="73">
        <v>-1803.8647100000001</v>
      </c>
      <c r="K204" s="41">
        <v>-1786.9463899999998</v>
      </c>
      <c r="L204" s="41">
        <v>-2659</v>
      </c>
      <c r="M204" s="41">
        <v>-3610</v>
      </c>
      <c r="N204" s="41">
        <v>-940</v>
      </c>
      <c r="O204" s="174"/>
      <c r="P204" s="174">
        <f t="shared" si="22"/>
        <v>-901</v>
      </c>
      <c r="Q204" s="174">
        <f t="shared" si="23"/>
        <v>-1744.5886</v>
      </c>
      <c r="R204" s="174">
        <f t="shared" si="24"/>
        <v>-1803.8647100000001</v>
      </c>
      <c r="S204" s="174">
        <f t="shared" si="25"/>
        <v>-1786.9463899999998</v>
      </c>
      <c r="T204" s="174">
        <f t="shared" si="26"/>
        <v>-2659</v>
      </c>
      <c r="U204" s="174">
        <f t="shared" si="27"/>
        <v>-3610</v>
      </c>
      <c r="V204" s="174">
        <f t="shared" si="28"/>
        <v>-940</v>
      </c>
      <c r="W204" s="174"/>
      <c r="X204" s="73">
        <f t="shared" si="30"/>
        <v>-1920.7713857142858</v>
      </c>
      <c r="Y204" s="339">
        <f t="shared" si="29"/>
        <v>5.1187341178178091E-4</v>
      </c>
      <c r="Z204" s="174"/>
    </row>
    <row r="205" spans="1:26" x14ac:dyDescent="0.25">
      <c r="A205" s="30">
        <v>614</v>
      </c>
      <c r="B205" s="31" t="s">
        <v>519</v>
      </c>
      <c r="C205" s="41">
        <f>'7. Nettoinvestoinnit '!C205</f>
        <v>-307</v>
      </c>
      <c r="D205" s="41">
        <f>'7. Nettoinvestoinnit '!D205</f>
        <v>-408</v>
      </c>
      <c r="E205" s="41">
        <f>'7. Nettoinvestoinnit '!E205</f>
        <v>-660</v>
      </c>
      <c r="F205" s="41">
        <f>'7. Nettoinvestoinnit '!F205</f>
        <v>-730</v>
      </c>
      <c r="G205" s="41">
        <f>'7. Nettoinvestoinnit '!G205</f>
        <v>-983</v>
      </c>
      <c r="H205" s="41">
        <f>'7. Nettoinvestoinnit '!H205</f>
        <v>-1015</v>
      </c>
      <c r="I205" s="41">
        <f>'7. Nettoinvestoinnit '!I205</f>
        <v>-1293.07069</v>
      </c>
      <c r="J205" s="73">
        <v>-1005.5590999999999</v>
      </c>
      <c r="K205" s="41">
        <v>-914.92671999999993</v>
      </c>
      <c r="L205" s="41">
        <v>-1089.4939099999999</v>
      </c>
      <c r="M205" s="41">
        <v>-1089.4939099999999</v>
      </c>
      <c r="N205" s="41">
        <v>-1089.4939099999999</v>
      </c>
      <c r="O205" s="174"/>
      <c r="P205" s="174">
        <f t="shared" si="22"/>
        <v>-1015</v>
      </c>
      <c r="Q205" s="174">
        <f t="shared" si="23"/>
        <v>-1293.07069</v>
      </c>
      <c r="R205" s="174">
        <f t="shared" si="24"/>
        <v>-1005.5590999999999</v>
      </c>
      <c r="S205" s="174">
        <f t="shared" si="25"/>
        <v>-914.92671999999993</v>
      </c>
      <c r="T205" s="174">
        <f t="shared" si="26"/>
        <v>-1089.4939099999999</v>
      </c>
      <c r="U205" s="174">
        <f t="shared" si="27"/>
        <v>-1089.4939099999999</v>
      </c>
      <c r="V205" s="174">
        <f t="shared" si="28"/>
        <v>-1089.4939099999999</v>
      </c>
      <c r="W205" s="174"/>
      <c r="X205" s="73">
        <f t="shared" si="30"/>
        <v>-1071.0054628571429</v>
      </c>
      <c r="Y205" s="339">
        <f t="shared" si="29"/>
        <v>2.854161741407567E-4</v>
      </c>
      <c r="Z205" s="174"/>
    </row>
    <row r="206" spans="1:26" x14ac:dyDescent="0.25">
      <c r="A206" s="30">
        <v>615</v>
      </c>
      <c r="B206" s="31" t="s">
        <v>520</v>
      </c>
      <c r="C206" s="41">
        <f>'7. Nettoinvestoinnit '!C206</f>
        <v>-3142</v>
      </c>
      <c r="D206" s="41">
        <f>'7. Nettoinvestoinnit '!D206</f>
        <v>-5661</v>
      </c>
      <c r="E206" s="41">
        <f>'7. Nettoinvestoinnit '!E206</f>
        <v>-2982</v>
      </c>
      <c r="F206" s="41">
        <f>'7. Nettoinvestoinnit '!F206</f>
        <v>-4335</v>
      </c>
      <c r="G206" s="41">
        <f>'7. Nettoinvestoinnit '!G206</f>
        <v>-9721</v>
      </c>
      <c r="H206" s="41">
        <f>'7. Nettoinvestoinnit '!H206</f>
        <v>-6533</v>
      </c>
      <c r="I206" s="41">
        <f>'7. Nettoinvestoinnit '!I206</f>
        <v>-2243.7930999999999</v>
      </c>
      <c r="J206" s="73">
        <v>-2047.56521</v>
      </c>
      <c r="K206" s="41">
        <v>-276.25241999999997</v>
      </c>
      <c r="L206" s="41">
        <v>-1797</v>
      </c>
      <c r="M206" s="41">
        <v>-1210</v>
      </c>
      <c r="N206" s="41">
        <v>-1410</v>
      </c>
      <c r="O206" s="174"/>
      <c r="P206" s="174">
        <f t="shared" si="22"/>
        <v>-6533</v>
      </c>
      <c r="Q206" s="174">
        <f t="shared" si="23"/>
        <v>-2243.7930999999999</v>
      </c>
      <c r="R206" s="174">
        <f t="shared" si="24"/>
        <v>-2047.56521</v>
      </c>
      <c r="S206" s="174">
        <f t="shared" si="25"/>
        <v>-276.25241999999997</v>
      </c>
      <c r="T206" s="174">
        <f t="shared" si="26"/>
        <v>-1797</v>
      </c>
      <c r="U206" s="174">
        <f t="shared" si="27"/>
        <v>-1210</v>
      </c>
      <c r="V206" s="174">
        <f t="shared" si="28"/>
        <v>-1410</v>
      </c>
      <c r="W206" s="174"/>
      <c r="X206" s="73">
        <f t="shared" si="30"/>
        <v>-2216.8015328571428</v>
      </c>
      <c r="Y206" s="339">
        <f t="shared" si="29"/>
        <v>5.9076357150369214E-4</v>
      </c>
      <c r="Z206" s="174"/>
    </row>
    <row r="207" spans="1:26" x14ac:dyDescent="0.25">
      <c r="A207" s="30">
        <v>616</v>
      </c>
      <c r="B207" s="31" t="s">
        <v>521</v>
      </c>
      <c r="C207" s="41">
        <f>'7. Nettoinvestoinnit '!C207</f>
        <v>323</v>
      </c>
      <c r="D207" s="41">
        <f>'7. Nettoinvestoinnit '!D207</f>
        <v>4322</v>
      </c>
      <c r="E207" s="41">
        <f>'7. Nettoinvestoinnit '!E207</f>
        <v>321</v>
      </c>
      <c r="F207" s="41">
        <f>'7. Nettoinvestoinnit '!F207</f>
        <v>38</v>
      </c>
      <c r="G207" s="41">
        <f>'7. Nettoinvestoinnit '!G207</f>
        <v>5</v>
      </c>
      <c r="H207" s="41">
        <f>'7. Nettoinvestoinnit '!H207</f>
        <v>-112</v>
      </c>
      <c r="I207" s="41">
        <f>'7. Nettoinvestoinnit '!I207</f>
        <v>-200.14391000000001</v>
      </c>
      <c r="J207" s="73">
        <v>-117.77211</v>
      </c>
      <c r="K207" s="41">
        <v>-160.33421999999999</v>
      </c>
      <c r="L207" s="41">
        <v>-1678.287</v>
      </c>
      <c r="M207" s="41">
        <v>-500</v>
      </c>
      <c r="N207" s="41">
        <v>-808</v>
      </c>
      <c r="O207" s="174"/>
      <c r="P207" s="174">
        <f t="shared" ref="P207:P270" si="31">IF(H207&lt;0,H207,G207)</f>
        <v>-112</v>
      </c>
      <c r="Q207" s="174">
        <f t="shared" ref="Q207:Q270" si="32">IF(I207&lt;0,I207,H207)</f>
        <v>-200.14391000000001</v>
      </c>
      <c r="R207" s="174">
        <f t="shared" ref="R207:R270" si="33">IF(J207&lt;0,J207,I207)</f>
        <v>-117.77211</v>
      </c>
      <c r="S207" s="174">
        <f t="shared" ref="S207:S270" si="34">IF(K207&lt;0,K207,J207)</f>
        <v>-160.33421999999999</v>
      </c>
      <c r="T207" s="174">
        <f t="shared" ref="T207:T270" si="35">IF(L207&lt;0,L207,K207)</f>
        <v>-1678.287</v>
      </c>
      <c r="U207" s="174">
        <f t="shared" ref="U207:U270" si="36">IF(M207&lt;0,M207,L207)</f>
        <v>-500</v>
      </c>
      <c r="V207" s="174">
        <f t="shared" ref="V207:V270" si="37">IF(N207&lt;0,N207,M207)</f>
        <v>-808</v>
      </c>
      <c r="W207" s="174"/>
      <c r="X207" s="73">
        <f t="shared" si="30"/>
        <v>-510.93389142857143</v>
      </c>
      <c r="Y207" s="339">
        <f t="shared" ref="Y207:Y270" si="38">X207/$X$12</f>
        <v>1.3616064678266085E-4</v>
      </c>
      <c r="Z207" s="174"/>
    </row>
    <row r="208" spans="1:26" x14ac:dyDescent="0.25">
      <c r="A208" s="30">
        <v>619</v>
      </c>
      <c r="B208" s="31" t="s">
        <v>522</v>
      </c>
      <c r="C208" s="41">
        <f>'7. Nettoinvestoinnit '!C208</f>
        <v>-947</v>
      </c>
      <c r="D208" s="41">
        <f>'7. Nettoinvestoinnit '!D208</f>
        <v>-813</v>
      </c>
      <c r="E208" s="41">
        <f>'7. Nettoinvestoinnit '!E208</f>
        <v>-366</v>
      </c>
      <c r="F208" s="41">
        <f>'7. Nettoinvestoinnit '!F208</f>
        <v>-2110</v>
      </c>
      <c r="G208" s="41">
        <f>'7. Nettoinvestoinnit '!G208</f>
        <v>-6213</v>
      </c>
      <c r="H208" s="41">
        <f>'7. Nettoinvestoinnit '!H208</f>
        <v>-908</v>
      </c>
      <c r="I208" s="41">
        <f>'7. Nettoinvestoinnit '!I208</f>
        <v>-111.14747</v>
      </c>
      <c r="J208" s="73">
        <v>-1814.34872</v>
      </c>
      <c r="K208" s="41">
        <v>-650.66526999999996</v>
      </c>
      <c r="L208" s="41">
        <v>-1310</v>
      </c>
      <c r="M208" s="41">
        <v>-1590</v>
      </c>
      <c r="N208" s="41">
        <v>-1495</v>
      </c>
      <c r="O208" s="174"/>
      <c r="P208" s="174">
        <f t="shared" si="31"/>
        <v>-908</v>
      </c>
      <c r="Q208" s="174">
        <f t="shared" si="32"/>
        <v>-111.14747</v>
      </c>
      <c r="R208" s="174">
        <f t="shared" si="33"/>
        <v>-1814.34872</v>
      </c>
      <c r="S208" s="174">
        <f t="shared" si="34"/>
        <v>-650.66526999999996</v>
      </c>
      <c r="T208" s="174">
        <f t="shared" si="35"/>
        <v>-1310</v>
      </c>
      <c r="U208" s="174">
        <f t="shared" si="36"/>
        <v>-1590</v>
      </c>
      <c r="V208" s="174">
        <f t="shared" si="37"/>
        <v>-1495</v>
      </c>
      <c r="W208" s="174"/>
      <c r="X208" s="73">
        <f t="shared" ref="X208:X271" si="39">AVERAGE(P208:V208)</f>
        <v>-1125.5944942857143</v>
      </c>
      <c r="Y208" s="339">
        <f t="shared" si="38"/>
        <v>2.9996380535341898E-4</v>
      </c>
      <c r="Z208" s="174"/>
    </row>
    <row r="209" spans="1:26" x14ac:dyDescent="0.25">
      <c r="A209" s="30">
        <v>620</v>
      </c>
      <c r="B209" s="31" t="s">
        <v>523</v>
      </c>
      <c r="C209" s="41">
        <f>'7. Nettoinvestoinnit '!C209</f>
        <v>-770</v>
      </c>
      <c r="D209" s="41">
        <f>'7. Nettoinvestoinnit '!D209</f>
        <v>-372</v>
      </c>
      <c r="E209" s="41">
        <f>'7. Nettoinvestoinnit '!E209</f>
        <v>-533</v>
      </c>
      <c r="F209" s="41">
        <f>'7. Nettoinvestoinnit '!F209</f>
        <v>-588</v>
      </c>
      <c r="G209" s="41">
        <f>'7. Nettoinvestoinnit '!G209</f>
        <v>184</v>
      </c>
      <c r="H209" s="41">
        <f>'7. Nettoinvestoinnit '!H209</f>
        <v>-499</v>
      </c>
      <c r="I209" s="41">
        <f>'7. Nettoinvestoinnit '!I209</f>
        <v>-1442.8409299999998</v>
      </c>
      <c r="J209" s="73">
        <v>-2971.1305600000001</v>
      </c>
      <c r="K209" s="41">
        <v>598.99479000000008</v>
      </c>
      <c r="L209" s="41">
        <v>-1570.5</v>
      </c>
      <c r="M209" s="41">
        <v>-595</v>
      </c>
      <c r="N209" s="41">
        <v>-445</v>
      </c>
      <c r="O209" s="174"/>
      <c r="P209" s="174">
        <f t="shared" si="31"/>
        <v>-499</v>
      </c>
      <c r="Q209" s="174">
        <f t="shared" si="32"/>
        <v>-1442.8409299999998</v>
      </c>
      <c r="R209" s="174">
        <f t="shared" si="33"/>
        <v>-2971.1305600000001</v>
      </c>
      <c r="S209" s="174">
        <f t="shared" si="34"/>
        <v>-2971.1305600000001</v>
      </c>
      <c r="T209" s="174">
        <f t="shared" si="35"/>
        <v>-1570.5</v>
      </c>
      <c r="U209" s="174">
        <f t="shared" si="36"/>
        <v>-595</v>
      </c>
      <c r="V209" s="174">
        <f t="shared" si="37"/>
        <v>-445</v>
      </c>
      <c r="W209" s="174"/>
      <c r="X209" s="73">
        <f t="shared" si="39"/>
        <v>-1499.2288642857143</v>
      </c>
      <c r="Y209" s="339">
        <f t="shared" si="38"/>
        <v>3.995349990692781E-4</v>
      </c>
      <c r="Z209" s="174"/>
    </row>
    <row r="210" spans="1:26" x14ac:dyDescent="0.25">
      <c r="A210" s="30">
        <v>623</v>
      </c>
      <c r="B210" s="31" t="s">
        <v>524</v>
      </c>
      <c r="C210" s="41">
        <f>'7. Nettoinvestoinnit '!C210</f>
        <v>-1152</v>
      </c>
      <c r="D210" s="41">
        <f>'7. Nettoinvestoinnit '!D210</f>
        <v>-629</v>
      </c>
      <c r="E210" s="41">
        <f>'7. Nettoinvestoinnit '!E210</f>
        <v>-844</v>
      </c>
      <c r="F210" s="41">
        <f>'7. Nettoinvestoinnit '!F210</f>
        <v>-613</v>
      </c>
      <c r="G210" s="41">
        <f>'7. Nettoinvestoinnit '!G210</f>
        <v>-468</v>
      </c>
      <c r="H210" s="41">
        <f>'7. Nettoinvestoinnit '!H210</f>
        <v>-1083</v>
      </c>
      <c r="I210" s="41">
        <f>'7. Nettoinvestoinnit '!I210</f>
        <v>-1450.8861100000001</v>
      </c>
      <c r="J210" s="73">
        <v>-1905.0559800000001</v>
      </c>
      <c r="K210" s="41">
        <v>-1419.9606399999998</v>
      </c>
      <c r="L210" s="41">
        <v>-1139</v>
      </c>
      <c r="M210" s="41">
        <v>-310</v>
      </c>
      <c r="N210" s="41">
        <v>-140</v>
      </c>
      <c r="O210" s="174"/>
      <c r="P210" s="174">
        <f t="shared" si="31"/>
        <v>-1083</v>
      </c>
      <c r="Q210" s="174">
        <f t="shared" si="32"/>
        <v>-1450.8861100000001</v>
      </c>
      <c r="R210" s="174">
        <f t="shared" si="33"/>
        <v>-1905.0559800000001</v>
      </c>
      <c r="S210" s="174">
        <f t="shared" si="34"/>
        <v>-1419.9606399999998</v>
      </c>
      <c r="T210" s="174">
        <f t="shared" si="35"/>
        <v>-1139</v>
      </c>
      <c r="U210" s="174">
        <f t="shared" si="36"/>
        <v>-310</v>
      </c>
      <c r="V210" s="174">
        <f t="shared" si="37"/>
        <v>-140</v>
      </c>
      <c r="W210" s="174"/>
      <c r="X210" s="73">
        <f t="shared" si="39"/>
        <v>-1063.9861042857142</v>
      </c>
      <c r="Y210" s="339">
        <f t="shared" si="38"/>
        <v>2.8354555952873157E-4</v>
      </c>
      <c r="Z210" s="174"/>
    </row>
    <row r="211" spans="1:26" x14ac:dyDescent="0.25">
      <c r="A211" s="30">
        <v>624</v>
      </c>
      <c r="B211" s="31" t="s">
        <v>525</v>
      </c>
      <c r="C211" s="41">
        <f>'7. Nettoinvestoinnit '!C211</f>
        <v>-1288</v>
      </c>
      <c r="D211" s="41">
        <f>'7. Nettoinvestoinnit '!D211</f>
        <v>-630</v>
      </c>
      <c r="E211" s="41">
        <f>'7. Nettoinvestoinnit '!E211</f>
        <v>-1201</v>
      </c>
      <c r="F211" s="41">
        <f>'7. Nettoinvestoinnit '!F211</f>
        <v>-1619</v>
      </c>
      <c r="G211" s="41">
        <f>'7. Nettoinvestoinnit '!G211</f>
        <v>-1408</v>
      </c>
      <c r="H211" s="41">
        <f>'7. Nettoinvestoinnit '!H211</f>
        <v>-1135</v>
      </c>
      <c r="I211" s="41">
        <f>'7. Nettoinvestoinnit '!I211</f>
        <v>-1117.9040600000001</v>
      </c>
      <c r="J211" s="73">
        <v>-1744.7469799999999</v>
      </c>
      <c r="K211" s="41">
        <v>-2026.9019099999998</v>
      </c>
      <c r="L211" s="41">
        <v>2165</v>
      </c>
      <c r="M211" s="41">
        <v>0</v>
      </c>
      <c r="N211" s="41">
        <v>0</v>
      </c>
      <c r="O211" s="174"/>
      <c r="P211" s="174">
        <f t="shared" si="31"/>
        <v>-1135</v>
      </c>
      <c r="Q211" s="174">
        <f t="shared" si="32"/>
        <v>-1117.9040600000001</v>
      </c>
      <c r="R211" s="174">
        <f t="shared" si="33"/>
        <v>-1744.7469799999999</v>
      </c>
      <c r="S211" s="174">
        <f t="shared" si="34"/>
        <v>-2026.9019099999998</v>
      </c>
      <c r="T211" s="174">
        <f t="shared" si="35"/>
        <v>-2026.9019099999998</v>
      </c>
      <c r="U211" s="174">
        <f t="shared" si="36"/>
        <v>2165</v>
      </c>
      <c r="V211" s="174">
        <f t="shared" si="37"/>
        <v>0</v>
      </c>
      <c r="W211" s="174"/>
      <c r="X211" s="73">
        <f t="shared" si="39"/>
        <v>-840.92212285714265</v>
      </c>
      <c r="Y211" s="339">
        <f t="shared" si="38"/>
        <v>2.2410042094082519E-4</v>
      </c>
      <c r="Z211" s="174"/>
    </row>
    <row r="212" spans="1:26" x14ac:dyDescent="0.25">
      <c r="A212" s="30">
        <v>625</v>
      </c>
      <c r="B212" s="31" t="s">
        <v>526</v>
      </c>
      <c r="C212" s="41">
        <f>'7. Nettoinvestoinnit '!C212</f>
        <v>-123</v>
      </c>
      <c r="D212" s="41">
        <f>'7. Nettoinvestoinnit '!D212</f>
        <v>-1716</v>
      </c>
      <c r="E212" s="41">
        <f>'7. Nettoinvestoinnit '!E212</f>
        <v>-3237</v>
      </c>
      <c r="F212" s="41">
        <f>'7. Nettoinvestoinnit '!F212</f>
        <v>-2321</v>
      </c>
      <c r="G212" s="41">
        <f>'7. Nettoinvestoinnit '!G212</f>
        <v>-1872</v>
      </c>
      <c r="H212" s="41">
        <f>'7. Nettoinvestoinnit '!H212</f>
        <v>-1069</v>
      </c>
      <c r="I212" s="41">
        <f>'7. Nettoinvestoinnit '!I212</f>
        <v>-1909.83079</v>
      </c>
      <c r="J212" s="73">
        <v>-3520.8841499999999</v>
      </c>
      <c r="K212" s="41">
        <v>-2268.5507900000002</v>
      </c>
      <c r="L212" s="41">
        <v>-4136.3</v>
      </c>
      <c r="M212" s="41">
        <v>-5006.5</v>
      </c>
      <c r="N212" s="41">
        <v>-2699.6</v>
      </c>
      <c r="O212" s="174"/>
      <c r="P212" s="174">
        <f t="shared" si="31"/>
        <v>-1069</v>
      </c>
      <c r="Q212" s="174">
        <f t="shared" si="32"/>
        <v>-1909.83079</v>
      </c>
      <c r="R212" s="174">
        <f t="shared" si="33"/>
        <v>-3520.8841499999999</v>
      </c>
      <c r="S212" s="174">
        <f t="shared" si="34"/>
        <v>-2268.5507900000002</v>
      </c>
      <c r="T212" s="174">
        <f t="shared" si="35"/>
        <v>-4136.3</v>
      </c>
      <c r="U212" s="174">
        <f t="shared" si="36"/>
        <v>-5006.5</v>
      </c>
      <c r="V212" s="174">
        <f t="shared" si="37"/>
        <v>-2699.6</v>
      </c>
      <c r="W212" s="174"/>
      <c r="X212" s="73">
        <f t="shared" si="39"/>
        <v>-2944.3808185714283</v>
      </c>
      <c r="Y212" s="339">
        <f t="shared" si="38"/>
        <v>7.8465884404380548E-4</v>
      </c>
      <c r="Z212" s="174"/>
    </row>
    <row r="213" spans="1:26" x14ac:dyDescent="0.25">
      <c r="A213" s="30">
        <v>626</v>
      </c>
      <c r="B213" s="31" t="s">
        <v>527</v>
      </c>
      <c r="C213" s="41">
        <f>'7. Nettoinvestoinnit '!C213</f>
        <v>-6784</v>
      </c>
      <c r="D213" s="41">
        <f>'7. Nettoinvestoinnit '!D213</f>
        <v>-5347</v>
      </c>
      <c r="E213" s="41">
        <f>'7. Nettoinvestoinnit '!E213</f>
        <v>-3432</v>
      </c>
      <c r="F213" s="41">
        <f>'7. Nettoinvestoinnit '!F213</f>
        <v>558</v>
      </c>
      <c r="G213" s="41">
        <f>'7. Nettoinvestoinnit '!G213</f>
        <v>-2615</v>
      </c>
      <c r="H213" s="41">
        <f>'7. Nettoinvestoinnit '!H213</f>
        <v>-1504</v>
      </c>
      <c r="I213" s="41">
        <f>'7. Nettoinvestoinnit '!I213</f>
        <v>-1141.8356299999998</v>
      </c>
      <c r="J213" s="73">
        <v>-1055.73705</v>
      </c>
      <c r="K213" s="41">
        <v>-2240.2087000000001</v>
      </c>
      <c r="L213" s="41">
        <v>-2332</v>
      </c>
      <c r="M213" s="41">
        <v>-1190</v>
      </c>
      <c r="N213" s="41">
        <v>-6040</v>
      </c>
      <c r="O213" s="174"/>
      <c r="P213" s="174">
        <f t="shared" si="31"/>
        <v>-1504</v>
      </c>
      <c r="Q213" s="174">
        <f t="shared" si="32"/>
        <v>-1141.8356299999998</v>
      </c>
      <c r="R213" s="174">
        <f t="shared" si="33"/>
        <v>-1055.73705</v>
      </c>
      <c r="S213" s="174">
        <f t="shared" si="34"/>
        <v>-2240.2087000000001</v>
      </c>
      <c r="T213" s="174">
        <f t="shared" si="35"/>
        <v>-2332</v>
      </c>
      <c r="U213" s="174">
        <f t="shared" si="36"/>
        <v>-1190</v>
      </c>
      <c r="V213" s="174">
        <f t="shared" si="37"/>
        <v>-6040</v>
      </c>
      <c r="W213" s="174"/>
      <c r="X213" s="73">
        <f t="shared" si="39"/>
        <v>-2214.8259114285715</v>
      </c>
      <c r="Y213" s="339">
        <f t="shared" si="38"/>
        <v>5.9023708090280482E-4</v>
      </c>
      <c r="Z213" s="174"/>
    </row>
    <row r="214" spans="1:26" x14ac:dyDescent="0.25">
      <c r="A214" s="30">
        <v>630</v>
      </c>
      <c r="B214" s="31" t="s">
        <v>528</v>
      </c>
      <c r="C214" s="41">
        <f>'7. Nettoinvestoinnit '!C214</f>
        <v>-378</v>
      </c>
      <c r="D214" s="41">
        <f>'7. Nettoinvestoinnit '!D214</f>
        <v>-590</v>
      </c>
      <c r="E214" s="41">
        <f>'7. Nettoinvestoinnit '!E214</f>
        <v>-908</v>
      </c>
      <c r="F214" s="41">
        <f>'7. Nettoinvestoinnit '!F214</f>
        <v>-1405</v>
      </c>
      <c r="G214" s="41">
        <f>'7. Nettoinvestoinnit '!G214</f>
        <v>-1236</v>
      </c>
      <c r="H214" s="41">
        <f>'7. Nettoinvestoinnit '!H214</f>
        <v>-364</v>
      </c>
      <c r="I214" s="41">
        <f>'7. Nettoinvestoinnit '!I214</f>
        <v>-605.76774999999998</v>
      </c>
      <c r="J214" s="73">
        <v>-3144.0005299999998</v>
      </c>
      <c r="K214" s="41">
        <v>-4194.4626500000004</v>
      </c>
      <c r="L214" s="41">
        <v>-1171</v>
      </c>
      <c r="M214" s="41">
        <v>-355</v>
      </c>
      <c r="N214" s="41">
        <v>-252.5</v>
      </c>
      <c r="O214" s="174"/>
      <c r="P214" s="174">
        <f t="shared" si="31"/>
        <v>-364</v>
      </c>
      <c r="Q214" s="174">
        <f t="shared" si="32"/>
        <v>-605.76774999999998</v>
      </c>
      <c r="R214" s="174">
        <f t="shared" si="33"/>
        <v>-3144.0005299999998</v>
      </c>
      <c r="S214" s="174">
        <f t="shared" si="34"/>
        <v>-4194.4626500000004</v>
      </c>
      <c r="T214" s="174">
        <f t="shared" si="35"/>
        <v>-1171</v>
      </c>
      <c r="U214" s="174">
        <f t="shared" si="36"/>
        <v>-355</v>
      </c>
      <c r="V214" s="174">
        <f t="shared" si="37"/>
        <v>-252.5</v>
      </c>
      <c r="W214" s="174"/>
      <c r="X214" s="73">
        <f t="shared" si="39"/>
        <v>-1440.9615614285717</v>
      </c>
      <c r="Y214" s="339">
        <f t="shared" si="38"/>
        <v>3.8400713181207375E-4</v>
      </c>
      <c r="Z214" s="174"/>
    </row>
    <row r="215" spans="1:26" x14ac:dyDescent="0.25">
      <c r="A215" s="30">
        <v>631</v>
      </c>
      <c r="B215" s="31" t="s">
        <v>529</v>
      </c>
      <c r="C215" s="41">
        <f>'7. Nettoinvestoinnit '!C215</f>
        <v>-1731</v>
      </c>
      <c r="D215" s="41">
        <f>'7. Nettoinvestoinnit '!D215</f>
        <v>-389</v>
      </c>
      <c r="E215" s="41">
        <f>'7. Nettoinvestoinnit '!E215</f>
        <v>-212</v>
      </c>
      <c r="F215" s="41">
        <f>'7. Nettoinvestoinnit '!F215</f>
        <v>-498</v>
      </c>
      <c r="G215" s="41">
        <f>'7. Nettoinvestoinnit '!G215</f>
        <v>-1153</v>
      </c>
      <c r="H215" s="41">
        <f>'7. Nettoinvestoinnit '!H215</f>
        <v>-259</v>
      </c>
      <c r="I215" s="41">
        <f>'7. Nettoinvestoinnit '!I215</f>
        <v>-530.89628000000005</v>
      </c>
      <c r="J215" s="73">
        <v>-217.97158999999999</v>
      </c>
      <c r="K215" s="41">
        <v>-539.02383999999995</v>
      </c>
      <c r="L215" s="41">
        <v>-385.5</v>
      </c>
      <c r="M215" s="41">
        <v>-382</v>
      </c>
      <c r="N215" s="41">
        <v>-284.95</v>
      </c>
      <c r="O215" s="174"/>
      <c r="P215" s="174">
        <f t="shared" si="31"/>
        <v>-259</v>
      </c>
      <c r="Q215" s="174">
        <f t="shared" si="32"/>
        <v>-530.89628000000005</v>
      </c>
      <c r="R215" s="174">
        <f t="shared" si="33"/>
        <v>-217.97158999999999</v>
      </c>
      <c r="S215" s="174">
        <f t="shared" si="34"/>
        <v>-539.02383999999995</v>
      </c>
      <c r="T215" s="174">
        <f t="shared" si="35"/>
        <v>-385.5</v>
      </c>
      <c r="U215" s="174">
        <f t="shared" si="36"/>
        <v>-382</v>
      </c>
      <c r="V215" s="174">
        <f t="shared" si="37"/>
        <v>-284.95</v>
      </c>
      <c r="W215" s="174"/>
      <c r="X215" s="73">
        <f t="shared" si="39"/>
        <v>-371.33452999999997</v>
      </c>
      <c r="Y215" s="339">
        <f t="shared" si="38"/>
        <v>9.8958300918669482E-5</v>
      </c>
      <c r="Z215" s="174"/>
    </row>
    <row r="216" spans="1:26" x14ac:dyDescent="0.25">
      <c r="A216" s="30">
        <v>635</v>
      </c>
      <c r="B216" s="31" t="s">
        <v>530</v>
      </c>
      <c r="C216" s="41">
        <f>'7. Nettoinvestoinnit '!C216</f>
        <v>-3128</v>
      </c>
      <c r="D216" s="41">
        <f>'7. Nettoinvestoinnit '!D216</f>
        <v>-2481</v>
      </c>
      <c r="E216" s="41">
        <f>'7. Nettoinvestoinnit '!E216</f>
        <v>-3912</v>
      </c>
      <c r="F216" s="41">
        <f>'7. Nettoinvestoinnit '!F216</f>
        <v>-4352</v>
      </c>
      <c r="G216" s="41">
        <f>'7. Nettoinvestoinnit '!G216</f>
        <v>-2469</v>
      </c>
      <c r="H216" s="41">
        <f>'7. Nettoinvestoinnit '!H216</f>
        <v>-1427</v>
      </c>
      <c r="I216" s="41">
        <f>'7. Nettoinvestoinnit '!I216</f>
        <v>-1044.1945000000001</v>
      </c>
      <c r="J216" s="73">
        <v>-549.26089000000002</v>
      </c>
      <c r="K216" s="41">
        <v>-2695.3114100000003</v>
      </c>
      <c r="L216" s="41">
        <v>-2738</v>
      </c>
      <c r="M216" s="41">
        <v>-5191</v>
      </c>
      <c r="N216" s="41">
        <v>-15016</v>
      </c>
      <c r="O216" s="174"/>
      <c r="P216" s="174">
        <f t="shared" si="31"/>
        <v>-1427</v>
      </c>
      <c r="Q216" s="174">
        <f t="shared" si="32"/>
        <v>-1044.1945000000001</v>
      </c>
      <c r="R216" s="174">
        <f t="shared" si="33"/>
        <v>-549.26089000000002</v>
      </c>
      <c r="S216" s="174">
        <f t="shared" si="34"/>
        <v>-2695.3114100000003</v>
      </c>
      <c r="T216" s="174">
        <f t="shared" si="35"/>
        <v>-2738</v>
      </c>
      <c r="U216" s="174">
        <f t="shared" si="36"/>
        <v>-5191</v>
      </c>
      <c r="V216" s="174">
        <f t="shared" si="37"/>
        <v>-15016</v>
      </c>
      <c r="W216" s="174"/>
      <c r="X216" s="73">
        <f t="shared" si="39"/>
        <v>-4094.3952571428572</v>
      </c>
      <c r="Y216" s="339">
        <f t="shared" si="38"/>
        <v>1.0911304099199069E-3</v>
      </c>
      <c r="Z216" s="174"/>
    </row>
    <row r="217" spans="1:26" x14ac:dyDescent="0.25">
      <c r="A217" s="30">
        <v>636</v>
      </c>
      <c r="B217" s="31" t="s">
        <v>531</v>
      </c>
      <c r="C217" s="41">
        <f>'7. Nettoinvestoinnit '!C217</f>
        <v>-1038</v>
      </c>
      <c r="D217" s="41">
        <f>'7. Nettoinvestoinnit '!D217</f>
        <v>-888</v>
      </c>
      <c r="E217" s="41">
        <f>'7. Nettoinvestoinnit '!E217</f>
        <v>-2100</v>
      </c>
      <c r="F217" s="41">
        <f>'7. Nettoinvestoinnit '!F217</f>
        <v>-7312</v>
      </c>
      <c r="G217" s="41">
        <f>'7. Nettoinvestoinnit '!G217</f>
        <v>-8989</v>
      </c>
      <c r="H217" s="41">
        <f>'7. Nettoinvestoinnit '!H217</f>
        <v>1529</v>
      </c>
      <c r="I217" s="41">
        <f>'7. Nettoinvestoinnit '!I217</f>
        <v>-1582.8550700000001</v>
      </c>
      <c r="J217" s="73">
        <v>-2679.1959400000001</v>
      </c>
      <c r="K217" s="41">
        <v>142.16867000000002</v>
      </c>
      <c r="L217" s="41">
        <v>-2360</v>
      </c>
      <c r="M217" s="41">
        <v>-1880</v>
      </c>
      <c r="N217" s="41">
        <v>-1420</v>
      </c>
      <c r="O217" s="174"/>
      <c r="P217" s="174">
        <f t="shared" si="31"/>
        <v>-8989</v>
      </c>
      <c r="Q217" s="174">
        <f t="shared" si="32"/>
        <v>-1582.8550700000001</v>
      </c>
      <c r="R217" s="174">
        <f t="shared" si="33"/>
        <v>-2679.1959400000001</v>
      </c>
      <c r="S217" s="174">
        <f t="shared" si="34"/>
        <v>-2679.1959400000001</v>
      </c>
      <c r="T217" s="174">
        <f t="shared" si="35"/>
        <v>-2360</v>
      </c>
      <c r="U217" s="174">
        <f t="shared" si="36"/>
        <v>-1880</v>
      </c>
      <c r="V217" s="174">
        <f t="shared" si="37"/>
        <v>-1420</v>
      </c>
      <c r="W217" s="174"/>
      <c r="X217" s="73">
        <f t="shared" si="39"/>
        <v>-3084.3209928571428</v>
      </c>
      <c r="Y217" s="339">
        <f t="shared" si="38"/>
        <v>8.2195201437616533E-4</v>
      </c>
      <c r="Z217" s="174"/>
    </row>
    <row r="218" spans="1:26" x14ac:dyDescent="0.25">
      <c r="A218" s="30">
        <v>638</v>
      </c>
      <c r="B218" s="31" t="s">
        <v>532</v>
      </c>
      <c r="C218" s="41">
        <f>'7. Nettoinvestoinnit '!C218</f>
        <v>-11821</v>
      </c>
      <c r="D218" s="41">
        <f>'7. Nettoinvestoinnit '!D218</f>
        <v>-34025</v>
      </c>
      <c r="E218" s="41">
        <f>'7. Nettoinvestoinnit '!E218</f>
        <v>-43003</v>
      </c>
      <c r="F218" s="41">
        <f>'7. Nettoinvestoinnit '!F218</f>
        <v>-44842</v>
      </c>
      <c r="G218" s="41">
        <f>'7. Nettoinvestoinnit '!G218</f>
        <v>-36785</v>
      </c>
      <c r="H218" s="41">
        <f>'7. Nettoinvestoinnit '!H218</f>
        <v>-15932</v>
      </c>
      <c r="I218" s="41">
        <f>'7. Nettoinvestoinnit '!I218</f>
        <v>-23184.104510000001</v>
      </c>
      <c r="J218" s="73">
        <v>-18470.829510000003</v>
      </c>
      <c r="K218" s="41">
        <v>-44271.551399999997</v>
      </c>
      <c r="L218" s="41">
        <v>-39062.32</v>
      </c>
      <c r="M218" s="41">
        <v>-46232.5</v>
      </c>
      <c r="N218" s="41">
        <v>-57999.474999999999</v>
      </c>
      <c r="O218" s="174"/>
      <c r="P218" s="174">
        <f t="shared" si="31"/>
        <v>-15932</v>
      </c>
      <c r="Q218" s="174">
        <f t="shared" si="32"/>
        <v>-23184.104510000001</v>
      </c>
      <c r="R218" s="174">
        <f t="shared" si="33"/>
        <v>-18470.829510000003</v>
      </c>
      <c r="S218" s="174">
        <f t="shared" si="34"/>
        <v>-44271.551399999997</v>
      </c>
      <c r="T218" s="174">
        <f t="shared" si="35"/>
        <v>-39062.32</v>
      </c>
      <c r="U218" s="174">
        <f t="shared" si="36"/>
        <v>-46232.5</v>
      </c>
      <c r="V218" s="174">
        <f t="shared" si="37"/>
        <v>-57999.474999999999</v>
      </c>
      <c r="W218" s="174"/>
      <c r="X218" s="73">
        <f t="shared" si="39"/>
        <v>-35021.825774285717</v>
      </c>
      <c r="Y218" s="339">
        <f t="shared" si="38"/>
        <v>9.3330948072428942E-3</v>
      </c>
      <c r="Z218" s="174"/>
    </row>
    <row r="219" spans="1:26" x14ac:dyDescent="0.25">
      <c r="A219" s="30">
        <v>678</v>
      </c>
      <c r="B219" s="31" t="s">
        <v>533</v>
      </c>
      <c r="C219" s="41">
        <f>'7. Nettoinvestoinnit '!C219</f>
        <v>-5323</v>
      </c>
      <c r="D219" s="41">
        <f>'7. Nettoinvestoinnit '!D219</f>
        <v>-10888</v>
      </c>
      <c r="E219" s="41">
        <f>'7. Nettoinvestoinnit '!E219</f>
        <v>-12776</v>
      </c>
      <c r="F219" s="41">
        <f>'7. Nettoinvestoinnit '!F219</f>
        <v>-16376</v>
      </c>
      <c r="G219" s="41">
        <f>'7. Nettoinvestoinnit '!G219</f>
        <v>-10368</v>
      </c>
      <c r="H219" s="41">
        <f>'7. Nettoinvestoinnit '!H219</f>
        <v>-30687</v>
      </c>
      <c r="I219" s="41">
        <f>'7. Nettoinvestoinnit '!I219</f>
        <v>20780.661</v>
      </c>
      <c r="J219" s="73">
        <v>-6413.9037600000001</v>
      </c>
      <c r="K219" s="41">
        <v>-4601.2880700000005</v>
      </c>
      <c r="L219" s="41">
        <v>-9552</v>
      </c>
      <c r="M219" s="41">
        <v>-10345</v>
      </c>
      <c r="N219" s="41">
        <v>-5815</v>
      </c>
      <c r="O219" s="174"/>
      <c r="P219" s="174">
        <f t="shared" si="31"/>
        <v>-30687</v>
      </c>
      <c r="Q219" s="174">
        <f t="shared" si="32"/>
        <v>-30687</v>
      </c>
      <c r="R219" s="174">
        <f t="shared" si="33"/>
        <v>-6413.9037600000001</v>
      </c>
      <c r="S219" s="174">
        <f t="shared" si="34"/>
        <v>-4601.2880700000005</v>
      </c>
      <c r="T219" s="174">
        <f t="shared" si="35"/>
        <v>-9552</v>
      </c>
      <c r="U219" s="174">
        <f t="shared" si="36"/>
        <v>-10345</v>
      </c>
      <c r="V219" s="174">
        <f t="shared" si="37"/>
        <v>-5815</v>
      </c>
      <c r="W219" s="174"/>
      <c r="X219" s="73">
        <f t="shared" si="39"/>
        <v>-14014.455975714285</v>
      </c>
      <c r="Y219" s="339">
        <f t="shared" si="38"/>
        <v>3.7347637766306841E-3</v>
      </c>
      <c r="Z219" s="174"/>
    </row>
    <row r="220" spans="1:26" x14ac:dyDescent="0.25">
      <c r="A220" s="30">
        <v>680</v>
      </c>
      <c r="B220" s="31" t="s">
        <v>534</v>
      </c>
      <c r="C220" s="41">
        <f>'7. Nettoinvestoinnit '!C220</f>
        <v>-10960</v>
      </c>
      <c r="D220" s="41">
        <f>'7. Nettoinvestoinnit '!D220</f>
        <v>34306</v>
      </c>
      <c r="E220" s="41">
        <f>'7. Nettoinvestoinnit '!E220</f>
        <v>-12589</v>
      </c>
      <c r="F220" s="41">
        <f>'7. Nettoinvestoinnit '!F220</f>
        <v>-6454</v>
      </c>
      <c r="G220" s="41">
        <f>'7. Nettoinvestoinnit '!G220</f>
        <v>-7980</v>
      </c>
      <c r="H220" s="41">
        <f>'7. Nettoinvestoinnit '!H220</f>
        <v>-4654</v>
      </c>
      <c r="I220" s="41">
        <f>'7. Nettoinvestoinnit '!I220</f>
        <v>-4717.9569800000008</v>
      </c>
      <c r="J220" s="73">
        <v>-7502.4155599999995</v>
      </c>
      <c r="K220" s="41">
        <v>-23827.332979999999</v>
      </c>
      <c r="L220" s="41">
        <v>-30726.397000000001</v>
      </c>
      <c r="M220" s="41">
        <v>-46630</v>
      </c>
      <c r="N220" s="41">
        <v>-40405</v>
      </c>
      <c r="O220" s="174"/>
      <c r="P220" s="174">
        <f t="shared" si="31"/>
        <v>-4654</v>
      </c>
      <c r="Q220" s="174">
        <f t="shared" si="32"/>
        <v>-4717.9569800000008</v>
      </c>
      <c r="R220" s="174">
        <f t="shared" si="33"/>
        <v>-7502.4155599999995</v>
      </c>
      <c r="S220" s="174">
        <f t="shared" si="34"/>
        <v>-23827.332979999999</v>
      </c>
      <c r="T220" s="174">
        <f t="shared" si="35"/>
        <v>-30726.397000000001</v>
      </c>
      <c r="U220" s="174">
        <f t="shared" si="36"/>
        <v>-46630</v>
      </c>
      <c r="V220" s="174">
        <f t="shared" si="37"/>
        <v>-40405</v>
      </c>
      <c r="W220" s="174"/>
      <c r="X220" s="73">
        <f t="shared" si="39"/>
        <v>-22637.586074285715</v>
      </c>
      <c r="Y220" s="339">
        <f t="shared" si="38"/>
        <v>6.0327733454021842E-3</v>
      </c>
      <c r="Z220" s="174"/>
    </row>
    <row r="221" spans="1:26" x14ac:dyDescent="0.25">
      <c r="A221" s="30">
        <v>681</v>
      </c>
      <c r="B221" s="31" t="s">
        <v>535</v>
      </c>
      <c r="C221" s="41">
        <f>'7. Nettoinvestoinnit '!C221</f>
        <v>-3374</v>
      </c>
      <c r="D221" s="41">
        <f>'7. Nettoinvestoinnit '!D221</f>
        <v>-900</v>
      </c>
      <c r="E221" s="41">
        <f>'7. Nettoinvestoinnit '!E221</f>
        <v>-1624</v>
      </c>
      <c r="F221" s="41">
        <f>'7. Nettoinvestoinnit '!F221</f>
        <v>-1406</v>
      </c>
      <c r="G221" s="41">
        <f>'7. Nettoinvestoinnit '!G221</f>
        <v>285</v>
      </c>
      <c r="H221" s="41">
        <f>'7. Nettoinvestoinnit '!H221</f>
        <v>323</v>
      </c>
      <c r="I221" s="41">
        <f>'7. Nettoinvestoinnit '!I221</f>
        <v>-889.09875</v>
      </c>
      <c r="J221" s="73">
        <v>-997.95878000000005</v>
      </c>
      <c r="K221" s="41">
        <v>-2237.0930600000002</v>
      </c>
      <c r="L221" s="41">
        <v>-2750</v>
      </c>
      <c r="M221" s="41">
        <v>-2750</v>
      </c>
      <c r="N221" s="41">
        <v>-2750</v>
      </c>
      <c r="O221" s="174"/>
      <c r="P221" s="174">
        <f t="shared" si="31"/>
        <v>285</v>
      </c>
      <c r="Q221" s="174">
        <f t="shared" si="32"/>
        <v>-889.09875</v>
      </c>
      <c r="R221" s="174">
        <f t="shared" si="33"/>
        <v>-997.95878000000005</v>
      </c>
      <c r="S221" s="174">
        <f t="shared" si="34"/>
        <v>-2237.0930600000002</v>
      </c>
      <c r="T221" s="174">
        <f t="shared" si="35"/>
        <v>-2750</v>
      </c>
      <c r="U221" s="174">
        <f t="shared" si="36"/>
        <v>-2750</v>
      </c>
      <c r="V221" s="174">
        <f t="shared" si="37"/>
        <v>-2750</v>
      </c>
      <c r="W221" s="174"/>
      <c r="X221" s="73">
        <f t="shared" si="39"/>
        <v>-1727.0215128571431</v>
      </c>
      <c r="Y221" s="339">
        <f t="shared" si="38"/>
        <v>4.6024029750837606E-4</v>
      </c>
      <c r="Z221" s="174"/>
    </row>
    <row r="222" spans="1:26" x14ac:dyDescent="0.25">
      <c r="A222" s="30">
        <v>683</v>
      </c>
      <c r="B222" s="31" t="s">
        <v>536</v>
      </c>
      <c r="C222" s="41">
        <f>'7. Nettoinvestoinnit '!C222</f>
        <v>-3642</v>
      </c>
      <c r="D222" s="41">
        <f>'7. Nettoinvestoinnit '!D222</f>
        <v>-2185</v>
      </c>
      <c r="E222" s="41">
        <f>'7. Nettoinvestoinnit '!E222</f>
        <v>-1821</v>
      </c>
      <c r="F222" s="41">
        <f>'7. Nettoinvestoinnit '!F222</f>
        <v>-882</v>
      </c>
      <c r="G222" s="41">
        <f>'7. Nettoinvestoinnit '!G222</f>
        <v>-1053</v>
      </c>
      <c r="H222" s="41">
        <f>'7. Nettoinvestoinnit '!H222</f>
        <v>-1142</v>
      </c>
      <c r="I222" s="41">
        <f>'7. Nettoinvestoinnit '!I222</f>
        <v>-1351.8243200000002</v>
      </c>
      <c r="J222" s="73">
        <v>-1734.4623300000001</v>
      </c>
      <c r="K222" s="41">
        <v>-8155.5003200000001</v>
      </c>
      <c r="L222" s="41">
        <v>-5145</v>
      </c>
      <c r="M222" s="41">
        <v>-755</v>
      </c>
      <c r="N222" s="41">
        <v>-135</v>
      </c>
      <c r="O222" s="174"/>
      <c r="P222" s="174">
        <f t="shared" si="31"/>
        <v>-1142</v>
      </c>
      <c r="Q222" s="174">
        <f t="shared" si="32"/>
        <v>-1351.8243200000002</v>
      </c>
      <c r="R222" s="174">
        <f t="shared" si="33"/>
        <v>-1734.4623300000001</v>
      </c>
      <c r="S222" s="174">
        <f t="shared" si="34"/>
        <v>-8155.5003200000001</v>
      </c>
      <c r="T222" s="174">
        <f t="shared" si="35"/>
        <v>-5145</v>
      </c>
      <c r="U222" s="174">
        <f t="shared" si="36"/>
        <v>-755</v>
      </c>
      <c r="V222" s="174">
        <f t="shared" si="37"/>
        <v>-135</v>
      </c>
      <c r="W222" s="174"/>
      <c r="X222" s="73">
        <f t="shared" si="39"/>
        <v>-2631.2552814285714</v>
      </c>
      <c r="Y222" s="339">
        <f t="shared" si="38"/>
        <v>7.01212871136565E-4</v>
      </c>
      <c r="Z222" s="174"/>
    </row>
    <row r="223" spans="1:26" x14ac:dyDescent="0.25">
      <c r="A223" s="30">
        <v>684</v>
      </c>
      <c r="B223" s="31" t="s">
        <v>537</v>
      </c>
      <c r="C223" s="41">
        <f>'7. Nettoinvestoinnit '!C223</f>
        <v>-27013</v>
      </c>
      <c r="D223" s="41">
        <f>'7. Nettoinvestoinnit '!D223</f>
        <v>-26014</v>
      </c>
      <c r="E223" s="41">
        <f>'7. Nettoinvestoinnit '!E223</f>
        <v>-17796</v>
      </c>
      <c r="F223" s="41">
        <f>'7. Nettoinvestoinnit '!F223</f>
        <v>-26191</v>
      </c>
      <c r="G223" s="41">
        <f>'7. Nettoinvestoinnit '!G223</f>
        <v>-26073</v>
      </c>
      <c r="H223" s="41">
        <f>'7. Nettoinvestoinnit '!H223</f>
        <v>-15120</v>
      </c>
      <c r="I223" s="41">
        <f>'7. Nettoinvestoinnit '!I223</f>
        <v>-39731.250999999997</v>
      </c>
      <c r="J223" s="73">
        <v>-44970.277999999998</v>
      </c>
      <c r="K223" s="41">
        <v>-41655.896059999999</v>
      </c>
      <c r="L223" s="41">
        <v>-45506</v>
      </c>
      <c r="M223" s="41">
        <v>-56631</v>
      </c>
      <c r="N223" s="41">
        <v>-24419</v>
      </c>
      <c r="O223" s="174"/>
      <c r="P223" s="174">
        <f t="shared" si="31"/>
        <v>-15120</v>
      </c>
      <c r="Q223" s="174">
        <f t="shared" si="32"/>
        <v>-39731.250999999997</v>
      </c>
      <c r="R223" s="174">
        <f t="shared" si="33"/>
        <v>-44970.277999999998</v>
      </c>
      <c r="S223" s="174">
        <f t="shared" si="34"/>
        <v>-41655.896059999999</v>
      </c>
      <c r="T223" s="174">
        <f t="shared" si="35"/>
        <v>-45506</v>
      </c>
      <c r="U223" s="174">
        <f t="shared" si="36"/>
        <v>-56631</v>
      </c>
      <c r="V223" s="174">
        <f t="shared" si="37"/>
        <v>-24419</v>
      </c>
      <c r="W223" s="174"/>
      <c r="X223" s="73">
        <f t="shared" si="39"/>
        <v>-38290.489294285711</v>
      </c>
      <c r="Y223" s="339">
        <f t="shared" si="38"/>
        <v>1.0204172937827834E-2</v>
      </c>
      <c r="Z223" s="174"/>
    </row>
    <row r="224" spans="1:26" x14ac:dyDescent="0.25">
      <c r="A224" s="30">
        <v>686</v>
      </c>
      <c r="B224" s="31" t="s">
        <v>538</v>
      </c>
      <c r="C224" s="41">
        <f>'7. Nettoinvestoinnit '!C224</f>
        <v>-1899</v>
      </c>
      <c r="D224" s="41">
        <f>'7. Nettoinvestoinnit '!D224</f>
        <v>-1040</v>
      </c>
      <c r="E224" s="41">
        <f>'7. Nettoinvestoinnit '!E224</f>
        <v>-2283</v>
      </c>
      <c r="F224" s="41">
        <f>'7. Nettoinvestoinnit '!F224</f>
        <v>-2360</v>
      </c>
      <c r="G224" s="41">
        <f>'7. Nettoinvestoinnit '!G224</f>
        <v>-2186</v>
      </c>
      <c r="H224" s="41">
        <f>'7. Nettoinvestoinnit '!H224</f>
        <v>-802</v>
      </c>
      <c r="I224" s="41">
        <f>'7. Nettoinvestoinnit '!I224</f>
        <v>-645.06015000000002</v>
      </c>
      <c r="J224" s="73">
        <v>-378.39221000000003</v>
      </c>
      <c r="K224" s="41">
        <v>-63.350490000000001</v>
      </c>
      <c r="L224" s="41">
        <v>-397.61975999999999</v>
      </c>
      <c r="M224" s="41">
        <v>-397.61975999999999</v>
      </c>
      <c r="N224" s="41">
        <v>-397.61975999999999</v>
      </c>
      <c r="O224" s="174"/>
      <c r="P224" s="174">
        <f t="shared" si="31"/>
        <v>-802</v>
      </c>
      <c r="Q224" s="174">
        <f t="shared" si="32"/>
        <v>-645.06015000000002</v>
      </c>
      <c r="R224" s="174">
        <f t="shared" si="33"/>
        <v>-378.39221000000003</v>
      </c>
      <c r="S224" s="174">
        <f t="shared" si="34"/>
        <v>-63.350490000000001</v>
      </c>
      <c r="T224" s="174">
        <f t="shared" si="35"/>
        <v>-397.61975999999999</v>
      </c>
      <c r="U224" s="174">
        <f t="shared" si="36"/>
        <v>-397.61975999999999</v>
      </c>
      <c r="V224" s="174">
        <f t="shared" si="37"/>
        <v>-397.61975999999999</v>
      </c>
      <c r="W224" s="174"/>
      <c r="X224" s="73">
        <f t="shared" si="39"/>
        <v>-440.23744714285715</v>
      </c>
      <c r="Y224" s="339">
        <f t="shared" si="38"/>
        <v>1.1732049203727354E-4</v>
      </c>
      <c r="Z224" s="174"/>
    </row>
    <row r="225" spans="1:26" x14ac:dyDescent="0.25">
      <c r="A225" s="30">
        <v>687</v>
      </c>
      <c r="B225" s="31" t="s">
        <v>539</v>
      </c>
      <c r="C225" s="41">
        <f>'7. Nettoinvestoinnit '!C225</f>
        <v>-3127</v>
      </c>
      <c r="D225" s="41">
        <f>'7. Nettoinvestoinnit '!D225</f>
        <v>-1822</v>
      </c>
      <c r="E225" s="41">
        <f>'7. Nettoinvestoinnit '!E225</f>
        <v>-1096</v>
      </c>
      <c r="F225" s="41">
        <f>'7. Nettoinvestoinnit '!F225</f>
        <v>-798</v>
      </c>
      <c r="G225" s="41">
        <f>'7. Nettoinvestoinnit '!G225</f>
        <v>-499</v>
      </c>
      <c r="H225" s="41">
        <f>'7. Nettoinvestoinnit '!H225</f>
        <v>-799</v>
      </c>
      <c r="I225" s="41">
        <f>'7. Nettoinvestoinnit '!I225</f>
        <v>-296.14600000000002</v>
      </c>
      <c r="J225" s="73">
        <v>-363.49200000000002</v>
      </c>
      <c r="K225" s="41">
        <v>-404.53566999999998</v>
      </c>
      <c r="L225" s="41">
        <v>-651.69600000000003</v>
      </c>
      <c r="M225" s="41">
        <v>-465</v>
      </c>
      <c r="N225" s="41">
        <v>-65</v>
      </c>
      <c r="O225" s="174"/>
      <c r="P225" s="174">
        <f t="shared" si="31"/>
        <v>-799</v>
      </c>
      <c r="Q225" s="174">
        <f t="shared" si="32"/>
        <v>-296.14600000000002</v>
      </c>
      <c r="R225" s="174">
        <f t="shared" si="33"/>
        <v>-363.49200000000002</v>
      </c>
      <c r="S225" s="174">
        <f t="shared" si="34"/>
        <v>-404.53566999999998</v>
      </c>
      <c r="T225" s="174">
        <f t="shared" si="35"/>
        <v>-651.69600000000003</v>
      </c>
      <c r="U225" s="174">
        <f t="shared" si="36"/>
        <v>-465</v>
      </c>
      <c r="V225" s="174">
        <f t="shared" si="37"/>
        <v>-65</v>
      </c>
      <c r="W225" s="174"/>
      <c r="X225" s="73">
        <f t="shared" si="39"/>
        <v>-434.98138142857141</v>
      </c>
      <c r="Y225" s="339">
        <f t="shared" si="38"/>
        <v>1.1591978380633528E-4</v>
      </c>
      <c r="Z225" s="174"/>
    </row>
    <row r="226" spans="1:26" x14ac:dyDescent="0.25">
      <c r="A226" s="30">
        <v>689</v>
      </c>
      <c r="B226" s="31" t="s">
        <v>540</v>
      </c>
      <c r="C226" s="41">
        <f>'7. Nettoinvestoinnit '!C226</f>
        <v>-6313</v>
      </c>
      <c r="D226" s="41">
        <f>'7. Nettoinvestoinnit '!D226</f>
        <v>-3566</v>
      </c>
      <c r="E226" s="41">
        <f>'7. Nettoinvestoinnit '!E226</f>
        <v>-888</v>
      </c>
      <c r="F226" s="41">
        <f>'7. Nettoinvestoinnit '!F226</f>
        <v>-805</v>
      </c>
      <c r="G226" s="41">
        <f>'7. Nettoinvestoinnit '!G226</f>
        <v>-591</v>
      </c>
      <c r="H226" s="41">
        <f>'7. Nettoinvestoinnit '!H226</f>
        <v>-482</v>
      </c>
      <c r="I226" s="41">
        <f>'7. Nettoinvestoinnit '!I226</f>
        <v>-420.50297999999998</v>
      </c>
      <c r="J226" s="73">
        <v>-810.24526000000003</v>
      </c>
      <c r="K226" s="41">
        <v>-1833.2265300000001</v>
      </c>
      <c r="L226" s="41">
        <v>-1832</v>
      </c>
      <c r="M226" s="41">
        <v>-1175</v>
      </c>
      <c r="N226" s="41">
        <v>-934</v>
      </c>
      <c r="O226" s="174"/>
      <c r="P226" s="174">
        <f t="shared" si="31"/>
        <v>-482</v>
      </c>
      <c r="Q226" s="174">
        <f t="shared" si="32"/>
        <v>-420.50297999999998</v>
      </c>
      <c r="R226" s="174">
        <f t="shared" si="33"/>
        <v>-810.24526000000003</v>
      </c>
      <c r="S226" s="174">
        <f t="shared" si="34"/>
        <v>-1833.2265300000001</v>
      </c>
      <c r="T226" s="174">
        <f t="shared" si="35"/>
        <v>-1832</v>
      </c>
      <c r="U226" s="174">
        <f t="shared" si="36"/>
        <v>-1175</v>
      </c>
      <c r="V226" s="174">
        <f t="shared" si="37"/>
        <v>-934</v>
      </c>
      <c r="W226" s="174"/>
      <c r="X226" s="73">
        <f t="shared" si="39"/>
        <v>-1069.5678242857143</v>
      </c>
      <c r="Y226" s="339">
        <f t="shared" si="38"/>
        <v>2.8503305256473812E-4</v>
      </c>
      <c r="Z226" s="174"/>
    </row>
    <row r="227" spans="1:26" x14ac:dyDescent="0.25">
      <c r="A227" s="30">
        <v>691</v>
      </c>
      <c r="B227" s="31" t="s">
        <v>541</v>
      </c>
      <c r="C227" s="41">
        <f>'7. Nettoinvestoinnit '!C227</f>
        <v>-1439</v>
      </c>
      <c r="D227" s="41">
        <f>'7. Nettoinvestoinnit '!D227</f>
        <v>-4863</v>
      </c>
      <c r="E227" s="41">
        <f>'7. Nettoinvestoinnit '!E227</f>
        <v>-6139</v>
      </c>
      <c r="F227" s="41">
        <f>'7. Nettoinvestoinnit '!F227</f>
        <v>-650</v>
      </c>
      <c r="G227" s="41">
        <f>'7. Nettoinvestoinnit '!G227</f>
        <v>-4029</v>
      </c>
      <c r="H227" s="41">
        <f>'7. Nettoinvestoinnit '!H227</f>
        <v>-2235</v>
      </c>
      <c r="I227" s="41">
        <f>'7. Nettoinvestoinnit '!I227</f>
        <v>-381.90360999999996</v>
      </c>
      <c r="J227" s="73">
        <v>-964.81465000000003</v>
      </c>
      <c r="K227" s="41">
        <v>-877.58003000000008</v>
      </c>
      <c r="L227" s="41">
        <v>-537</v>
      </c>
      <c r="M227" s="41">
        <v>-491</v>
      </c>
      <c r="N227" s="41">
        <v>-411</v>
      </c>
      <c r="O227" s="174"/>
      <c r="P227" s="174">
        <f t="shared" si="31"/>
        <v>-2235</v>
      </c>
      <c r="Q227" s="174">
        <f t="shared" si="32"/>
        <v>-381.90360999999996</v>
      </c>
      <c r="R227" s="174">
        <f t="shared" si="33"/>
        <v>-964.81465000000003</v>
      </c>
      <c r="S227" s="174">
        <f t="shared" si="34"/>
        <v>-877.58003000000008</v>
      </c>
      <c r="T227" s="174">
        <f t="shared" si="35"/>
        <v>-537</v>
      </c>
      <c r="U227" s="174">
        <f t="shared" si="36"/>
        <v>-491</v>
      </c>
      <c r="V227" s="174">
        <f t="shared" si="37"/>
        <v>-411</v>
      </c>
      <c r="W227" s="174"/>
      <c r="X227" s="73">
        <f t="shared" si="39"/>
        <v>-842.61404142857134</v>
      </c>
      <c r="Y227" s="339">
        <f t="shared" si="38"/>
        <v>2.245513065267181E-4</v>
      </c>
      <c r="Z227" s="174"/>
    </row>
    <row r="228" spans="1:26" x14ac:dyDescent="0.25">
      <c r="A228" s="30">
        <v>694</v>
      </c>
      <c r="B228" s="31" t="s">
        <v>542</v>
      </c>
      <c r="C228" s="41">
        <f>'7. Nettoinvestoinnit '!C228</f>
        <v>-9249</v>
      </c>
      <c r="D228" s="41">
        <f>'7. Nettoinvestoinnit '!D228</f>
        <v>-7928</v>
      </c>
      <c r="E228" s="41">
        <f>'7. Nettoinvestoinnit '!E228</f>
        <v>-8672</v>
      </c>
      <c r="F228" s="41">
        <f>'7. Nettoinvestoinnit '!F228</f>
        <v>-15605</v>
      </c>
      <c r="G228" s="41">
        <f>'7. Nettoinvestoinnit '!G228</f>
        <v>35240</v>
      </c>
      <c r="H228" s="41">
        <f>'7. Nettoinvestoinnit '!H228</f>
        <v>-10368</v>
      </c>
      <c r="I228" s="41">
        <f>'7. Nettoinvestoinnit '!I228</f>
        <v>-11691.588880000001</v>
      </c>
      <c r="J228" s="73">
        <v>-14509.60153</v>
      </c>
      <c r="K228" s="41">
        <v>-24051.827129999998</v>
      </c>
      <c r="L228" s="41">
        <v>-27566.400000000001</v>
      </c>
      <c r="M228" s="41">
        <v>-18442</v>
      </c>
      <c r="N228" s="41">
        <v>-19585</v>
      </c>
      <c r="O228" s="174"/>
      <c r="P228" s="174">
        <f t="shared" si="31"/>
        <v>-10368</v>
      </c>
      <c r="Q228" s="174">
        <f t="shared" si="32"/>
        <v>-11691.588880000001</v>
      </c>
      <c r="R228" s="174">
        <f t="shared" si="33"/>
        <v>-14509.60153</v>
      </c>
      <c r="S228" s="174">
        <f t="shared" si="34"/>
        <v>-24051.827129999998</v>
      </c>
      <c r="T228" s="174">
        <f t="shared" si="35"/>
        <v>-27566.400000000001</v>
      </c>
      <c r="U228" s="174">
        <f t="shared" si="36"/>
        <v>-18442</v>
      </c>
      <c r="V228" s="174">
        <f t="shared" si="37"/>
        <v>-19585</v>
      </c>
      <c r="W228" s="174"/>
      <c r="X228" s="73">
        <f t="shared" si="39"/>
        <v>-18030.631077142858</v>
      </c>
      <c r="Y228" s="339">
        <f t="shared" si="38"/>
        <v>4.8050490103503617E-3</v>
      </c>
      <c r="Z228" s="174"/>
    </row>
    <row r="229" spans="1:26" x14ac:dyDescent="0.25">
      <c r="A229" s="32">
        <v>697</v>
      </c>
      <c r="B229" s="33" t="s">
        <v>543</v>
      </c>
      <c r="C229" s="41">
        <f>'7. Nettoinvestoinnit '!C229</f>
        <v>4</v>
      </c>
      <c r="D229" s="41">
        <f>'7. Nettoinvestoinnit '!D229</f>
        <v>-166</v>
      </c>
      <c r="E229" s="41">
        <f>'7. Nettoinvestoinnit '!E229</f>
        <v>-301</v>
      </c>
      <c r="F229" s="41">
        <f>'7. Nettoinvestoinnit '!F229</f>
        <v>-111</v>
      </c>
      <c r="G229" s="41">
        <f>'7. Nettoinvestoinnit '!G229</f>
        <v>-348</v>
      </c>
      <c r="H229" s="41">
        <f>'7. Nettoinvestoinnit '!H229</f>
        <v>350</v>
      </c>
      <c r="I229" s="41">
        <f>'7. Nettoinvestoinnit '!I229</f>
        <v>247.24024</v>
      </c>
      <c r="J229" s="73">
        <v>-36.4</v>
      </c>
      <c r="K229" s="41">
        <v>-96.079729999999998</v>
      </c>
      <c r="L229" s="41">
        <v>-150</v>
      </c>
      <c r="M229" s="41">
        <v>-100</v>
      </c>
      <c r="N229" s="41">
        <v>-100</v>
      </c>
      <c r="O229" s="174"/>
      <c r="P229" s="174">
        <f t="shared" si="31"/>
        <v>-348</v>
      </c>
      <c r="Q229" s="174">
        <f t="shared" si="32"/>
        <v>350</v>
      </c>
      <c r="R229" s="174">
        <f t="shared" si="33"/>
        <v>-36.4</v>
      </c>
      <c r="S229" s="174">
        <f t="shared" si="34"/>
        <v>-96.079729999999998</v>
      </c>
      <c r="T229" s="174">
        <f t="shared" si="35"/>
        <v>-150</v>
      </c>
      <c r="U229" s="174">
        <f t="shared" si="36"/>
        <v>-100</v>
      </c>
      <c r="V229" s="174">
        <f t="shared" si="37"/>
        <v>-100</v>
      </c>
      <c r="W229" s="174"/>
      <c r="X229" s="73">
        <f t="shared" si="39"/>
        <v>-68.639961428571425</v>
      </c>
      <c r="Y229" s="339">
        <f t="shared" si="38"/>
        <v>1.8292115085808037E-5</v>
      </c>
      <c r="Z229" s="174"/>
    </row>
    <row r="230" spans="1:26" x14ac:dyDescent="0.25">
      <c r="A230" s="30">
        <v>698</v>
      </c>
      <c r="B230" s="31" t="s">
        <v>544</v>
      </c>
      <c r="C230" s="41">
        <f>'7. Nettoinvestoinnit '!C230</f>
        <v>55198</v>
      </c>
      <c r="D230" s="41">
        <f>'7. Nettoinvestoinnit '!D230</f>
        <v>-12801</v>
      </c>
      <c r="E230" s="41">
        <f>'7. Nettoinvestoinnit '!E230</f>
        <v>-13637</v>
      </c>
      <c r="F230" s="41">
        <f>'7. Nettoinvestoinnit '!F230</f>
        <v>-18778</v>
      </c>
      <c r="G230" s="41">
        <f>'7. Nettoinvestoinnit '!G230</f>
        <v>-18090</v>
      </c>
      <c r="H230" s="41">
        <f>'7. Nettoinvestoinnit '!H230</f>
        <v>-12183</v>
      </c>
      <c r="I230" s="41">
        <f>'7. Nettoinvestoinnit '!I230</f>
        <v>-9586.2383000000009</v>
      </c>
      <c r="J230" s="73">
        <v>-14142.619839999999</v>
      </c>
      <c r="K230" s="41">
        <v>-26062.843960000002</v>
      </c>
      <c r="L230" s="41">
        <v>-68535</v>
      </c>
      <c r="M230" s="41">
        <v>-60253</v>
      </c>
      <c r="N230" s="41">
        <v>-24901</v>
      </c>
      <c r="O230" s="174"/>
      <c r="P230" s="174">
        <f t="shared" si="31"/>
        <v>-12183</v>
      </c>
      <c r="Q230" s="174">
        <f t="shared" si="32"/>
        <v>-9586.2383000000009</v>
      </c>
      <c r="R230" s="174">
        <f t="shared" si="33"/>
        <v>-14142.619839999999</v>
      </c>
      <c r="S230" s="174">
        <f t="shared" si="34"/>
        <v>-26062.843960000002</v>
      </c>
      <c r="T230" s="174">
        <f t="shared" si="35"/>
        <v>-68535</v>
      </c>
      <c r="U230" s="174">
        <f t="shared" si="36"/>
        <v>-60253</v>
      </c>
      <c r="V230" s="174">
        <f t="shared" si="37"/>
        <v>-24901</v>
      </c>
      <c r="W230" s="174"/>
      <c r="X230" s="73">
        <f t="shared" si="39"/>
        <v>-30809.100299999998</v>
      </c>
      <c r="Y230" s="339">
        <f t="shared" si="38"/>
        <v>8.2104301437328497E-3</v>
      </c>
      <c r="Z230" s="174"/>
    </row>
    <row r="231" spans="1:26" x14ac:dyDescent="0.25">
      <c r="A231" s="30">
        <v>700</v>
      </c>
      <c r="B231" s="31" t="s">
        <v>545</v>
      </c>
      <c r="C231" s="41">
        <f>'7. Nettoinvestoinnit '!C231</f>
        <v>-2040</v>
      </c>
      <c r="D231" s="41">
        <f>'7. Nettoinvestoinnit '!D231</f>
        <v>-788</v>
      </c>
      <c r="E231" s="41">
        <f>'7. Nettoinvestoinnit '!E231</f>
        <v>-7045</v>
      </c>
      <c r="F231" s="41">
        <f>'7. Nettoinvestoinnit '!F231</f>
        <v>-8477</v>
      </c>
      <c r="G231" s="41">
        <f>'7. Nettoinvestoinnit '!G231</f>
        <v>-1282</v>
      </c>
      <c r="H231" s="41">
        <f>'7. Nettoinvestoinnit '!H231</f>
        <v>-944</v>
      </c>
      <c r="I231" s="41">
        <f>'7. Nettoinvestoinnit '!I231</f>
        <v>-1491.93481</v>
      </c>
      <c r="J231" s="73">
        <v>-2876.2211699999998</v>
      </c>
      <c r="K231" s="41">
        <v>-1456.8027500000001</v>
      </c>
      <c r="L231" s="41">
        <v>-3479.9</v>
      </c>
      <c r="M231" s="41">
        <v>-8654</v>
      </c>
      <c r="N231" s="41">
        <v>-925</v>
      </c>
      <c r="O231" s="174"/>
      <c r="P231" s="174">
        <f t="shared" si="31"/>
        <v>-944</v>
      </c>
      <c r="Q231" s="174">
        <f t="shared" si="32"/>
        <v>-1491.93481</v>
      </c>
      <c r="R231" s="174">
        <f t="shared" si="33"/>
        <v>-2876.2211699999998</v>
      </c>
      <c r="S231" s="174">
        <f t="shared" si="34"/>
        <v>-1456.8027500000001</v>
      </c>
      <c r="T231" s="174">
        <f t="shared" si="35"/>
        <v>-3479.9</v>
      </c>
      <c r="U231" s="174">
        <f t="shared" si="36"/>
        <v>-8654</v>
      </c>
      <c r="V231" s="174">
        <f t="shared" si="37"/>
        <v>-925</v>
      </c>
      <c r="W231" s="174"/>
      <c r="X231" s="73">
        <f t="shared" si="39"/>
        <v>-2832.5512471428569</v>
      </c>
      <c r="Y231" s="339">
        <f t="shared" si="38"/>
        <v>7.5485697137380511E-4</v>
      </c>
      <c r="Z231" s="174"/>
    </row>
    <row r="232" spans="1:26" x14ac:dyDescent="0.25">
      <c r="A232" s="30">
        <v>702</v>
      </c>
      <c r="B232" s="31" t="s">
        <v>546</v>
      </c>
      <c r="C232" s="41">
        <f>'7. Nettoinvestoinnit '!C232</f>
        <v>-1209</v>
      </c>
      <c r="D232" s="41">
        <f>'7. Nettoinvestoinnit '!D232</f>
        <v>-478</v>
      </c>
      <c r="E232" s="41">
        <f>'7. Nettoinvestoinnit '!E232</f>
        <v>-751</v>
      </c>
      <c r="F232" s="41">
        <f>'7. Nettoinvestoinnit '!F232</f>
        <v>-1097</v>
      </c>
      <c r="G232" s="41">
        <f>'7. Nettoinvestoinnit '!G232</f>
        <v>-1763</v>
      </c>
      <c r="H232" s="41">
        <f>'7. Nettoinvestoinnit '!H232</f>
        <v>-3708</v>
      </c>
      <c r="I232" s="41">
        <f>'7. Nettoinvestoinnit '!I232</f>
        <v>-811.67093999999997</v>
      </c>
      <c r="J232" s="73">
        <v>-777.01756</v>
      </c>
      <c r="K232" s="41">
        <v>-1011.69052</v>
      </c>
      <c r="L232" s="41">
        <v>-1283</v>
      </c>
      <c r="M232" s="41">
        <v>-1098</v>
      </c>
      <c r="N232" s="41">
        <v>-1065</v>
      </c>
      <c r="O232" s="174"/>
      <c r="P232" s="174">
        <f t="shared" si="31"/>
        <v>-3708</v>
      </c>
      <c r="Q232" s="174">
        <f t="shared" si="32"/>
        <v>-811.67093999999997</v>
      </c>
      <c r="R232" s="174">
        <f t="shared" si="33"/>
        <v>-777.01756</v>
      </c>
      <c r="S232" s="174">
        <f t="shared" si="34"/>
        <v>-1011.69052</v>
      </c>
      <c r="T232" s="174">
        <f t="shared" si="35"/>
        <v>-1283</v>
      </c>
      <c r="U232" s="174">
        <f t="shared" si="36"/>
        <v>-1098</v>
      </c>
      <c r="V232" s="174">
        <f t="shared" si="37"/>
        <v>-1065</v>
      </c>
      <c r="W232" s="174"/>
      <c r="X232" s="73">
        <f t="shared" si="39"/>
        <v>-1393.4827171428572</v>
      </c>
      <c r="Y232" s="339">
        <f t="shared" si="38"/>
        <v>3.7135432045058687E-4</v>
      </c>
      <c r="Z232" s="174"/>
    </row>
    <row r="233" spans="1:26" x14ac:dyDescent="0.25">
      <c r="A233" s="30">
        <v>704</v>
      </c>
      <c r="B233" s="31" t="s">
        <v>547</v>
      </c>
      <c r="C233" s="41">
        <f>'7. Nettoinvestoinnit '!C233</f>
        <v>-575</v>
      </c>
      <c r="D233" s="41">
        <f>'7. Nettoinvestoinnit '!D233</f>
        <v>454</v>
      </c>
      <c r="E233" s="41">
        <f>'7. Nettoinvestoinnit '!E233</f>
        <v>189</v>
      </c>
      <c r="F233" s="41">
        <f>'7. Nettoinvestoinnit '!F233</f>
        <v>-772</v>
      </c>
      <c r="G233" s="41">
        <f>'7. Nettoinvestoinnit '!G233</f>
        <v>-3929</v>
      </c>
      <c r="H233" s="41">
        <f>'7. Nettoinvestoinnit '!H233</f>
        <v>-515</v>
      </c>
      <c r="I233" s="41">
        <f>'7. Nettoinvestoinnit '!I233</f>
        <v>-1915.62601</v>
      </c>
      <c r="J233" s="73">
        <v>-2860.0491099999999</v>
      </c>
      <c r="K233" s="41">
        <v>-2353.7813799999999</v>
      </c>
      <c r="L233" s="41">
        <v>-4952</v>
      </c>
      <c r="M233" s="41">
        <v>-5600</v>
      </c>
      <c r="N233" s="41">
        <v>-1220</v>
      </c>
      <c r="O233" s="174"/>
      <c r="P233" s="174">
        <f t="shared" si="31"/>
        <v>-515</v>
      </c>
      <c r="Q233" s="174">
        <f t="shared" si="32"/>
        <v>-1915.62601</v>
      </c>
      <c r="R233" s="174">
        <f t="shared" si="33"/>
        <v>-2860.0491099999999</v>
      </c>
      <c r="S233" s="174">
        <f t="shared" si="34"/>
        <v>-2353.7813799999999</v>
      </c>
      <c r="T233" s="174">
        <f t="shared" si="35"/>
        <v>-4952</v>
      </c>
      <c r="U233" s="174">
        <f t="shared" si="36"/>
        <v>-5600</v>
      </c>
      <c r="V233" s="174">
        <f t="shared" si="37"/>
        <v>-1220</v>
      </c>
      <c r="W233" s="174"/>
      <c r="X233" s="73">
        <f t="shared" si="39"/>
        <v>-2773.7795000000001</v>
      </c>
      <c r="Y233" s="339">
        <f t="shared" si="38"/>
        <v>7.3919467290864817E-4</v>
      </c>
      <c r="Z233" s="174"/>
    </row>
    <row r="234" spans="1:26" x14ac:dyDescent="0.25">
      <c r="A234" s="30">
        <v>707</v>
      </c>
      <c r="B234" s="31" t="s">
        <v>548</v>
      </c>
      <c r="C234" s="41">
        <f>'7. Nettoinvestoinnit '!C234</f>
        <v>6681</v>
      </c>
      <c r="D234" s="41">
        <f>'7. Nettoinvestoinnit '!D234</f>
        <v>-125</v>
      </c>
      <c r="E234" s="41">
        <f>'7. Nettoinvestoinnit '!E234</f>
        <v>-56</v>
      </c>
      <c r="F234" s="41">
        <f>'7. Nettoinvestoinnit '!F234</f>
        <v>-110</v>
      </c>
      <c r="G234" s="41">
        <f>'7. Nettoinvestoinnit '!G234</f>
        <v>-181</v>
      </c>
      <c r="H234" s="41">
        <f>'7. Nettoinvestoinnit '!H234</f>
        <v>-44</v>
      </c>
      <c r="I234" s="41">
        <f>'7. Nettoinvestoinnit '!I234</f>
        <v>-405.16300000000001</v>
      </c>
      <c r="J234" s="73">
        <v>866.83570999999995</v>
      </c>
      <c r="K234" s="41">
        <v>-435.26396999999997</v>
      </c>
      <c r="L234" s="41">
        <v>452</v>
      </c>
      <c r="M234" s="41">
        <v>-270</v>
      </c>
      <c r="N234" s="41">
        <v>-300</v>
      </c>
      <c r="O234" s="174"/>
      <c r="P234" s="174">
        <f t="shared" si="31"/>
        <v>-44</v>
      </c>
      <c r="Q234" s="174">
        <f t="shared" si="32"/>
        <v>-405.16300000000001</v>
      </c>
      <c r="R234" s="174">
        <f t="shared" si="33"/>
        <v>-405.16300000000001</v>
      </c>
      <c r="S234" s="174">
        <f t="shared" si="34"/>
        <v>-435.26396999999997</v>
      </c>
      <c r="T234" s="174">
        <f t="shared" si="35"/>
        <v>-435.26396999999997</v>
      </c>
      <c r="U234" s="174">
        <f t="shared" si="36"/>
        <v>-270</v>
      </c>
      <c r="V234" s="174">
        <f t="shared" si="37"/>
        <v>-300</v>
      </c>
      <c r="W234" s="174"/>
      <c r="X234" s="73">
        <f t="shared" si="39"/>
        <v>-327.83627714285711</v>
      </c>
      <c r="Y234" s="339">
        <f t="shared" si="38"/>
        <v>8.7366291967405185E-5</v>
      </c>
      <c r="Z234" s="174"/>
    </row>
    <row r="235" spans="1:26" x14ac:dyDescent="0.25">
      <c r="A235" s="30">
        <v>710</v>
      </c>
      <c r="B235" s="31" t="s">
        <v>549</v>
      </c>
      <c r="C235" s="41">
        <f>'7. Nettoinvestoinnit '!C235</f>
        <v>-7544</v>
      </c>
      <c r="D235" s="41">
        <f>'7. Nettoinvestoinnit '!D235</f>
        <v>-6623</v>
      </c>
      <c r="E235" s="41">
        <f>'7. Nettoinvestoinnit '!E235</f>
        <v>-1514</v>
      </c>
      <c r="F235" s="41">
        <f>'7. Nettoinvestoinnit '!F235</f>
        <v>-8445</v>
      </c>
      <c r="G235" s="41">
        <f>'7. Nettoinvestoinnit '!G235</f>
        <v>-10986</v>
      </c>
      <c r="H235" s="41">
        <f>'7. Nettoinvestoinnit '!H235</f>
        <v>-10062</v>
      </c>
      <c r="I235" s="41">
        <f>'7. Nettoinvestoinnit '!I235</f>
        <v>-8098.1957699999994</v>
      </c>
      <c r="J235" s="73">
        <v>-11248.736919999999</v>
      </c>
      <c r="K235" s="41">
        <v>-12641.963519999999</v>
      </c>
      <c r="L235" s="41">
        <v>-17918</v>
      </c>
      <c r="M235" s="41">
        <v>-24763</v>
      </c>
      <c r="N235" s="41">
        <v>-26504</v>
      </c>
      <c r="O235" s="174"/>
      <c r="P235" s="174">
        <f t="shared" si="31"/>
        <v>-10062</v>
      </c>
      <c r="Q235" s="174">
        <f t="shared" si="32"/>
        <v>-8098.1957699999994</v>
      </c>
      <c r="R235" s="174">
        <f t="shared" si="33"/>
        <v>-11248.736919999999</v>
      </c>
      <c r="S235" s="174">
        <f t="shared" si="34"/>
        <v>-12641.963519999999</v>
      </c>
      <c r="T235" s="174">
        <f t="shared" si="35"/>
        <v>-17918</v>
      </c>
      <c r="U235" s="174">
        <f t="shared" si="36"/>
        <v>-24763</v>
      </c>
      <c r="V235" s="174">
        <f t="shared" si="37"/>
        <v>-26504</v>
      </c>
      <c r="W235" s="174"/>
      <c r="X235" s="73">
        <f t="shared" si="39"/>
        <v>-15890.842315714286</v>
      </c>
      <c r="Y235" s="339">
        <f t="shared" si="38"/>
        <v>4.2348088547800311E-3</v>
      </c>
      <c r="Z235" s="174"/>
    </row>
    <row r="236" spans="1:26" x14ac:dyDescent="0.25">
      <c r="A236" s="30">
        <v>729</v>
      </c>
      <c r="B236" s="31" t="s">
        <v>550</v>
      </c>
      <c r="C236" s="41">
        <f>'7. Nettoinvestoinnit '!C236</f>
        <v>-2688</v>
      </c>
      <c r="D236" s="41">
        <f>'7. Nettoinvestoinnit '!D236</f>
        <v>-2046</v>
      </c>
      <c r="E236" s="41">
        <f>'7. Nettoinvestoinnit '!E236</f>
        <v>5546</v>
      </c>
      <c r="F236" s="41">
        <f>'7. Nettoinvestoinnit '!F236</f>
        <v>-1561</v>
      </c>
      <c r="G236" s="41">
        <f>'7. Nettoinvestoinnit '!G236</f>
        <v>-1175</v>
      </c>
      <c r="H236" s="41">
        <f>'7. Nettoinvestoinnit '!H236</f>
        <v>-1065</v>
      </c>
      <c r="I236" s="41">
        <f>'7. Nettoinvestoinnit '!I236</f>
        <v>-367.26267999999999</v>
      </c>
      <c r="J236" s="73">
        <v>-1883.9446200000002</v>
      </c>
      <c r="K236" s="41">
        <v>152.10867000000002</v>
      </c>
      <c r="L236" s="41">
        <v>-1952.201</v>
      </c>
      <c r="M236" s="41">
        <v>-5776</v>
      </c>
      <c r="N236" s="41">
        <v>-6709</v>
      </c>
      <c r="O236" s="174"/>
      <c r="P236" s="174">
        <f t="shared" si="31"/>
        <v>-1065</v>
      </c>
      <c r="Q236" s="174">
        <f t="shared" si="32"/>
        <v>-367.26267999999999</v>
      </c>
      <c r="R236" s="174">
        <f t="shared" si="33"/>
        <v>-1883.9446200000002</v>
      </c>
      <c r="S236" s="174">
        <f t="shared" si="34"/>
        <v>-1883.9446200000002</v>
      </c>
      <c r="T236" s="174">
        <f t="shared" si="35"/>
        <v>-1952.201</v>
      </c>
      <c r="U236" s="174">
        <f t="shared" si="36"/>
        <v>-5776</v>
      </c>
      <c r="V236" s="174">
        <f t="shared" si="37"/>
        <v>-6709</v>
      </c>
      <c r="W236" s="174"/>
      <c r="X236" s="73">
        <f t="shared" si="39"/>
        <v>-2805.3361314285717</v>
      </c>
      <c r="Y236" s="339">
        <f t="shared" si="38"/>
        <v>7.4760431536470562E-4</v>
      </c>
      <c r="Z236" s="174"/>
    </row>
    <row r="237" spans="1:26" x14ac:dyDescent="0.25">
      <c r="A237" s="30">
        <v>732</v>
      </c>
      <c r="B237" s="31" t="s">
        <v>551</v>
      </c>
      <c r="C237" s="41">
        <f>'7. Nettoinvestoinnit '!C237</f>
        <v>-3314</v>
      </c>
      <c r="D237" s="41">
        <f>'7. Nettoinvestoinnit '!D237</f>
        <v>-726</v>
      </c>
      <c r="E237" s="41">
        <f>'7. Nettoinvestoinnit '!E237</f>
        <v>-1406</v>
      </c>
      <c r="F237" s="41">
        <f>'7. Nettoinvestoinnit '!F237</f>
        <v>-671</v>
      </c>
      <c r="G237" s="41">
        <f>'7. Nettoinvestoinnit '!G237</f>
        <v>1712</v>
      </c>
      <c r="H237" s="41">
        <f>'7. Nettoinvestoinnit '!H237</f>
        <v>-1768</v>
      </c>
      <c r="I237" s="41">
        <f>'7. Nettoinvestoinnit '!I237</f>
        <v>-2233.0240899999999</v>
      </c>
      <c r="J237" s="73">
        <v>-2497.84204</v>
      </c>
      <c r="K237" s="41">
        <v>-2491.0018799999998</v>
      </c>
      <c r="L237" s="41">
        <v>-2725.6559999999999</v>
      </c>
      <c r="M237" s="41">
        <v>-1184.4469999999999</v>
      </c>
      <c r="N237" s="41">
        <v>-632</v>
      </c>
      <c r="O237" s="174"/>
      <c r="P237" s="174">
        <f t="shared" si="31"/>
        <v>-1768</v>
      </c>
      <c r="Q237" s="174">
        <f t="shared" si="32"/>
        <v>-2233.0240899999999</v>
      </c>
      <c r="R237" s="174">
        <f t="shared" si="33"/>
        <v>-2497.84204</v>
      </c>
      <c r="S237" s="174">
        <f t="shared" si="34"/>
        <v>-2491.0018799999998</v>
      </c>
      <c r="T237" s="174">
        <f t="shared" si="35"/>
        <v>-2725.6559999999999</v>
      </c>
      <c r="U237" s="174">
        <f t="shared" si="36"/>
        <v>-1184.4469999999999</v>
      </c>
      <c r="V237" s="174">
        <f t="shared" si="37"/>
        <v>-632</v>
      </c>
      <c r="W237" s="174"/>
      <c r="X237" s="73">
        <f t="shared" si="39"/>
        <v>-1933.1387157142858</v>
      </c>
      <c r="Y237" s="339">
        <f t="shared" si="38"/>
        <v>5.1516922691564545E-4</v>
      </c>
      <c r="Z237" s="174"/>
    </row>
    <row r="238" spans="1:26" x14ac:dyDescent="0.25">
      <c r="A238" s="30">
        <v>734</v>
      </c>
      <c r="B238" s="31" t="s">
        <v>552</v>
      </c>
      <c r="C238" s="41">
        <f>'7. Nettoinvestoinnit '!C238</f>
        <v>-3396</v>
      </c>
      <c r="D238" s="41">
        <f>'7. Nettoinvestoinnit '!D238</f>
        <v>-14400</v>
      </c>
      <c r="E238" s="41">
        <f>'7. Nettoinvestoinnit '!E238</f>
        <v>-15064</v>
      </c>
      <c r="F238" s="41">
        <f>'7. Nettoinvestoinnit '!F238</f>
        <v>-12400</v>
      </c>
      <c r="G238" s="41">
        <f>'7. Nettoinvestoinnit '!G238</f>
        <v>-11714</v>
      </c>
      <c r="H238" s="41">
        <f>'7. Nettoinvestoinnit '!H238</f>
        <v>-13474</v>
      </c>
      <c r="I238" s="41">
        <f>'7. Nettoinvestoinnit '!I238</f>
        <v>-17943.141729999999</v>
      </c>
      <c r="J238" s="73">
        <v>-13049.586670000001</v>
      </c>
      <c r="K238" s="41">
        <v>-10598.539779999999</v>
      </c>
      <c r="L238" s="41">
        <v>-21702.094000000001</v>
      </c>
      <c r="M238" s="41">
        <v>-23915</v>
      </c>
      <c r="N238" s="41">
        <v>-21395</v>
      </c>
      <c r="O238" s="174"/>
      <c r="P238" s="174">
        <f t="shared" si="31"/>
        <v>-13474</v>
      </c>
      <c r="Q238" s="174">
        <f t="shared" si="32"/>
        <v>-17943.141729999999</v>
      </c>
      <c r="R238" s="174">
        <f t="shared" si="33"/>
        <v>-13049.586670000001</v>
      </c>
      <c r="S238" s="174">
        <f t="shared" si="34"/>
        <v>-10598.539779999999</v>
      </c>
      <c r="T238" s="174">
        <f t="shared" si="35"/>
        <v>-21702.094000000001</v>
      </c>
      <c r="U238" s="174">
        <f t="shared" si="36"/>
        <v>-23915</v>
      </c>
      <c r="V238" s="174">
        <f t="shared" si="37"/>
        <v>-21395</v>
      </c>
      <c r="W238" s="174"/>
      <c r="X238" s="73">
        <f t="shared" si="39"/>
        <v>-17439.623168571427</v>
      </c>
      <c r="Y238" s="339">
        <f t="shared" si="38"/>
        <v>4.6475491450355868E-3</v>
      </c>
      <c r="Z238" s="174"/>
    </row>
    <row r="239" spans="1:26" x14ac:dyDescent="0.25">
      <c r="A239" s="30">
        <v>738</v>
      </c>
      <c r="B239" s="31" t="s">
        <v>553</v>
      </c>
      <c r="C239" s="41">
        <f>'7. Nettoinvestoinnit '!C239</f>
        <v>-478</v>
      </c>
      <c r="D239" s="41">
        <f>'7. Nettoinvestoinnit '!D239</f>
        <v>-149</v>
      </c>
      <c r="E239" s="41">
        <f>'7. Nettoinvestoinnit '!E239</f>
        <v>-492</v>
      </c>
      <c r="F239" s="41">
        <f>'7. Nettoinvestoinnit '!F239</f>
        <v>-191</v>
      </c>
      <c r="G239" s="41">
        <f>'7. Nettoinvestoinnit '!G239</f>
        <v>-1451</v>
      </c>
      <c r="H239" s="41">
        <f>'7. Nettoinvestoinnit '!H239</f>
        <v>-3227</v>
      </c>
      <c r="I239" s="41">
        <f>'7. Nettoinvestoinnit '!I239</f>
        <v>-2220.4679999999998</v>
      </c>
      <c r="J239" s="73">
        <v>-864.04480000000001</v>
      </c>
      <c r="K239" s="41">
        <v>-445.95299999999997</v>
      </c>
      <c r="L239" s="41">
        <v>-608</v>
      </c>
      <c r="M239" s="41">
        <v>-1831</v>
      </c>
      <c r="N239" s="41">
        <v>-520</v>
      </c>
      <c r="O239" s="174"/>
      <c r="P239" s="174">
        <f t="shared" si="31"/>
        <v>-3227</v>
      </c>
      <c r="Q239" s="174">
        <f t="shared" si="32"/>
        <v>-2220.4679999999998</v>
      </c>
      <c r="R239" s="174">
        <f t="shared" si="33"/>
        <v>-864.04480000000001</v>
      </c>
      <c r="S239" s="174">
        <f t="shared" si="34"/>
        <v>-445.95299999999997</v>
      </c>
      <c r="T239" s="174">
        <f t="shared" si="35"/>
        <v>-608</v>
      </c>
      <c r="U239" s="174">
        <f t="shared" si="36"/>
        <v>-1831</v>
      </c>
      <c r="V239" s="174">
        <f t="shared" si="37"/>
        <v>-520</v>
      </c>
      <c r="W239" s="174"/>
      <c r="X239" s="73">
        <f t="shared" si="39"/>
        <v>-1388.0665428571428</v>
      </c>
      <c r="Y239" s="339">
        <f t="shared" si="38"/>
        <v>3.6991094429918592E-4</v>
      </c>
      <c r="Z239" s="174"/>
    </row>
    <row r="240" spans="1:26" x14ac:dyDescent="0.25">
      <c r="A240" s="30">
        <v>739</v>
      </c>
      <c r="B240" s="31" t="s">
        <v>554</v>
      </c>
      <c r="C240" s="41">
        <f>'7. Nettoinvestoinnit '!C240</f>
        <v>-1180</v>
      </c>
      <c r="D240" s="41">
        <f>'7. Nettoinvestoinnit '!D240</f>
        <v>-1970</v>
      </c>
      <c r="E240" s="41">
        <f>'7. Nettoinvestoinnit '!E240</f>
        <v>-2787</v>
      </c>
      <c r="F240" s="41">
        <f>'7. Nettoinvestoinnit '!F240</f>
        <v>-1330</v>
      </c>
      <c r="G240" s="41">
        <f>'7. Nettoinvestoinnit '!G240</f>
        <v>-741</v>
      </c>
      <c r="H240" s="41">
        <f>'7. Nettoinvestoinnit '!H240</f>
        <v>-825</v>
      </c>
      <c r="I240" s="41">
        <f>'7. Nettoinvestoinnit '!I240</f>
        <v>-962.47358999999994</v>
      </c>
      <c r="J240" s="73">
        <v>-1032.24478</v>
      </c>
      <c r="K240" s="41">
        <v>-1375.2471699999999</v>
      </c>
      <c r="L240" s="41">
        <v>-1635</v>
      </c>
      <c r="M240" s="41">
        <v>-1820</v>
      </c>
      <c r="N240" s="41">
        <v>-1785</v>
      </c>
      <c r="O240" s="174"/>
      <c r="P240" s="174">
        <f t="shared" si="31"/>
        <v>-825</v>
      </c>
      <c r="Q240" s="174">
        <f t="shared" si="32"/>
        <v>-962.47358999999994</v>
      </c>
      <c r="R240" s="174">
        <f t="shared" si="33"/>
        <v>-1032.24478</v>
      </c>
      <c r="S240" s="174">
        <f t="shared" si="34"/>
        <v>-1375.2471699999999</v>
      </c>
      <c r="T240" s="174">
        <f t="shared" si="35"/>
        <v>-1635</v>
      </c>
      <c r="U240" s="174">
        <f t="shared" si="36"/>
        <v>-1820</v>
      </c>
      <c r="V240" s="174">
        <f t="shared" si="37"/>
        <v>-1785</v>
      </c>
      <c r="W240" s="174"/>
      <c r="X240" s="73">
        <f t="shared" si="39"/>
        <v>-1347.8522200000002</v>
      </c>
      <c r="Y240" s="339">
        <f t="shared" si="38"/>
        <v>3.5919408189875781E-4</v>
      </c>
      <c r="Z240" s="174"/>
    </row>
    <row r="241" spans="1:26" x14ac:dyDescent="0.25">
      <c r="A241" s="30">
        <v>740</v>
      </c>
      <c r="B241" s="31" t="s">
        <v>555</v>
      </c>
      <c r="C241" s="41">
        <f>'7. Nettoinvestoinnit '!C241</f>
        <v>-7407</v>
      </c>
      <c r="D241" s="41">
        <f>'7. Nettoinvestoinnit '!D241</f>
        <v>-14280</v>
      </c>
      <c r="E241" s="41">
        <f>'7. Nettoinvestoinnit '!E241</f>
        <v>-6885</v>
      </c>
      <c r="F241" s="41">
        <f>'7. Nettoinvestoinnit '!F241</f>
        <v>-13849</v>
      </c>
      <c r="G241" s="41">
        <f>'7. Nettoinvestoinnit '!G241</f>
        <v>-9855</v>
      </c>
      <c r="H241" s="41">
        <f>'7. Nettoinvestoinnit '!H241</f>
        <v>-12975</v>
      </c>
      <c r="I241" s="41">
        <f>'7. Nettoinvestoinnit '!I241</f>
        <v>-15393.24048</v>
      </c>
      <c r="J241" s="73">
        <v>-25026.27577</v>
      </c>
      <c r="K241" s="41">
        <v>-20981.608840000001</v>
      </c>
      <c r="L241" s="41">
        <v>-27364.6</v>
      </c>
      <c r="M241" s="41">
        <v>-26826</v>
      </c>
      <c r="N241" s="41">
        <v>-19873.5</v>
      </c>
      <c r="O241" s="174"/>
      <c r="P241" s="174">
        <f t="shared" si="31"/>
        <v>-12975</v>
      </c>
      <c r="Q241" s="174">
        <f t="shared" si="32"/>
        <v>-15393.24048</v>
      </c>
      <c r="R241" s="174">
        <f t="shared" si="33"/>
        <v>-25026.27577</v>
      </c>
      <c r="S241" s="174">
        <f t="shared" si="34"/>
        <v>-20981.608840000001</v>
      </c>
      <c r="T241" s="174">
        <f t="shared" si="35"/>
        <v>-27364.6</v>
      </c>
      <c r="U241" s="174">
        <f t="shared" si="36"/>
        <v>-26826</v>
      </c>
      <c r="V241" s="174">
        <f t="shared" si="37"/>
        <v>-19873.5</v>
      </c>
      <c r="W241" s="174"/>
      <c r="X241" s="73">
        <f t="shared" si="39"/>
        <v>-21205.746441428571</v>
      </c>
      <c r="Y241" s="339">
        <f t="shared" si="38"/>
        <v>5.6511971497934573E-3</v>
      </c>
      <c r="Z241" s="174"/>
    </row>
    <row r="242" spans="1:26" x14ac:dyDescent="0.25">
      <c r="A242" s="30">
        <v>742</v>
      </c>
      <c r="B242" s="31" t="s">
        <v>556</v>
      </c>
      <c r="C242" s="41">
        <f>'7. Nettoinvestoinnit '!C242</f>
        <v>116</v>
      </c>
      <c r="D242" s="41">
        <f>'7. Nettoinvestoinnit '!D242</f>
        <v>-50</v>
      </c>
      <c r="E242" s="41">
        <f>'7. Nettoinvestoinnit '!E242</f>
        <v>-872</v>
      </c>
      <c r="F242" s="41">
        <f>'7. Nettoinvestoinnit '!F242</f>
        <v>-211</v>
      </c>
      <c r="G242" s="41">
        <f>'7. Nettoinvestoinnit '!G242</f>
        <v>-44</v>
      </c>
      <c r="H242" s="41">
        <f>'7. Nettoinvestoinnit '!H242</f>
        <v>-300</v>
      </c>
      <c r="I242" s="41">
        <f>'7. Nettoinvestoinnit '!I242</f>
        <v>-12.121690000000001</v>
      </c>
      <c r="J242" s="73">
        <v>-368.21</v>
      </c>
      <c r="K242" s="41">
        <v>-370.79124000000002</v>
      </c>
      <c r="L242" s="41">
        <v>-736.13099999999997</v>
      </c>
      <c r="M242" s="41">
        <v>-736.13099999999997</v>
      </c>
      <c r="N242" s="41">
        <v>-736.13099999999997</v>
      </c>
      <c r="O242" s="174"/>
      <c r="P242" s="174">
        <f t="shared" si="31"/>
        <v>-300</v>
      </c>
      <c r="Q242" s="174">
        <f t="shared" si="32"/>
        <v>-12.121690000000001</v>
      </c>
      <c r="R242" s="174">
        <f t="shared" si="33"/>
        <v>-368.21</v>
      </c>
      <c r="S242" s="174">
        <f t="shared" si="34"/>
        <v>-370.79124000000002</v>
      </c>
      <c r="T242" s="174">
        <f t="shared" si="35"/>
        <v>-736.13099999999997</v>
      </c>
      <c r="U242" s="174">
        <f t="shared" si="36"/>
        <v>-736.13099999999997</v>
      </c>
      <c r="V242" s="174">
        <f t="shared" si="37"/>
        <v>-736.13099999999997</v>
      </c>
      <c r="W242" s="174"/>
      <c r="X242" s="73">
        <f t="shared" si="39"/>
        <v>-465.64513285714281</v>
      </c>
      <c r="Y242" s="339">
        <f t="shared" si="38"/>
        <v>1.2409147939619559E-4</v>
      </c>
      <c r="Z242" s="174"/>
    </row>
    <row r="243" spans="1:26" x14ac:dyDescent="0.25">
      <c r="A243" s="30">
        <v>743</v>
      </c>
      <c r="B243" s="31" t="s">
        <v>557</v>
      </c>
      <c r="C243" s="41">
        <f>'7. Nettoinvestoinnit '!C243</f>
        <v>-35745</v>
      </c>
      <c r="D243" s="41">
        <f>'7. Nettoinvestoinnit '!D243</f>
        <v>-24936</v>
      </c>
      <c r="E243" s="41">
        <f>'7. Nettoinvestoinnit '!E243</f>
        <v>-38700</v>
      </c>
      <c r="F243" s="41">
        <f>'7. Nettoinvestoinnit '!F243</f>
        <v>-31083</v>
      </c>
      <c r="G243" s="41">
        <f>'7. Nettoinvestoinnit '!G243</f>
        <v>-37761</v>
      </c>
      <c r="H243" s="41">
        <f>'7. Nettoinvestoinnit '!H243</f>
        <v>-26595</v>
      </c>
      <c r="I243" s="41">
        <f>'7. Nettoinvestoinnit '!I243</f>
        <v>-26357.238989999998</v>
      </c>
      <c r="J243" s="73">
        <v>-8419.01541</v>
      </c>
      <c r="K243" s="41">
        <v>-38737.619679999996</v>
      </c>
      <c r="L243" s="41">
        <v>-29273</v>
      </c>
      <c r="M243" s="41">
        <v>-25895</v>
      </c>
      <c r="N243" s="41">
        <v>-33352</v>
      </c>
      <c r="O243" s="174"/>
      <c r="P243" s="174">
        <f t="shared" si="31"/>
        <v>-26595</v>
      </c>
      <c r="Q243" s="174">
        <f t="shared" si="32"/>
        <v>-26357.238989999998</v>
      </c>
      <c r="R243" s="174">
        <f t="shared" si="33"/>
        <v>-8419.01541</v>
      </c>
      <c r="S243" s="174">
        <f t="shared" si="34"/>
        <v>-38737.619679999996</v>
      </c>
      <c r="T243" s="174">
        <f t="shared" si="35"/>
        <v>-29273</v>
      </c>
      <c r="U243" s="174">
        <f t="shared" si="36"/>
        <v>-25895</v>
      </c>
      <c r="V243" s="174">
        <f t="shared" si="37"/>
        <v>-33352</v>
      </c>
      <c r="W243" s="174"/>
      <c r="X243" s="73">
        <f t="shared" si="39"/>
        <v>-26946.982011428569</v>
      </c>
      <c r="Y243" s="339">
        <f t="shared" si="38"/>
        <v>7.1812000751368902E-3</v>
      </c>
      <c r="Z243" s="174"/>
    </row>
    <row r="244" spans="1:26" x14ac:dyDescent="0.25">
      <c r="A244" s="30">
        <v>746</v>
      </c>
      <c r="B244" s="31" t="s">
        <v>558</v>
      </c>
      <c r="C244" s="41">
        <f>'7. Nettoinvestoinnit '!C244</f>
        <v>147</v>
      </c>
      <c r="D244" s="41">
        <f>'7. Nettoinvestoinnit '!D244</f>
        <v>-102</v>
      </c>
      <c r="E244" s="41">
        <f>'7. Nettoinvestoinnit '!E244</f>
        <v>-1978</v>
      </c>
      <c r="F244" s="41">
        <f>'7. Nettoinvestoinnit '!F244</f>
        <v>-4423</v>
      </c>
      <c r="G244" s="41">
        <f>'7. Nettoinvestoinnit '!G244</f>
        <v>-3232</v>
      </c>
      <c r="H244" s="41">
        <f>'7. Nettoinvestoinnit '!H244</f>
        <v>-210</v>
      </c>
      <c r="I244" s="41">
        <f>'7. Nettoinvestoinnit '!I244</f>
        <v>-267.83708000000001</v>
      </c>
      <c r="J244" s="73">
        <v>-2694.4752899999999</v>
      </c>
      <c r="K244" s="41">
        <v>-90.140749999999997</v>
      </c>
      <c r="L244" s="41">
        <v>-1791.05</v>
      </c>
      <c r="M244" s="41">
        <v>-826.25</v>
      </c>
      <c r="N244" s="41">
        <v>-465</v>
      </c>
      <c r="O244" s="174"/>
      <c r="P244" s="174">
        <f t="shared" si="31"/>
        <v>-210</v>
      </c>
      <c r="Q244" s="174">
        <f t="shared" si="32"/>
        <v>-267.83708000000001</v>
      </c>
      <c r="R244" s="174">
        <f t="shared" si="33"/>
        <v>-2694.4752899999999</v>
      </c>
      <c r="S244" s="174">
        <f t="shared" si="34"/>
        <v>-90.140749999999997</v>
      </c>
      <c r="T244" s="174">
        <f t="shared" si="35"/>
        <v>-1791.05</v>
      </c>
      <c r="U244" s="174">
        <f t="shared" si="36"/>
        <v>-826.25</v>
      </c>
      <c r="V244" s="174">
        <f t="shared" si="37"/>
        <v>-465</v>
      </c>
      <c r="W244" s="174"/>
      <c r="X244" s="73">
        <f t="shared" si="39"/>
        <v>-906.39330285714277</v>
      </c>
      <c r="Y244" s="339">
        <f t="shared" si="38"/>
        <v>2.4154807584095091E-4</v>
      </c>
      <c r="Z244" s="174"/>
    </row>
    <row r="245" spans="1:26" x14ac:dyDescent="0.25">
      <c r="A245" s="30">
        <v>747</v>
      </c>
      <c r="B245" s="31" t="s">
        <v>559</v>
      </c>
      <c r="C245" s="41">
        <f>'7. Nettoinvestoinnit '!C245</f>
        <v>-467</v>
      </c>
      <c r="D245" s="41">
        <f>'7. Nettoinvestoinnit '!D245</f>
        <v>-276</v>
      </c>
      <c r="E245" s="41">
        <f>'7. Nettoinvestoinnit '!E245</f>
        <v>-308</v>
      </c>
      <c r="F245" s="41">
        <f>'7. Nettoinvestoinnit '!F245</f>
        <v>-321</v>
      </c>
      <c r="G245" s="41">
        <f>'7. Nettoinvestoinnit '!G245</f>
        <v>-177</v>
      </c>
      <c r="H245" s="41">
        <f>'7. Nettoinvestoinnit '!H245</f>
        <v>-314</v>
      </c>
      <c r="I245" s="41">
        <f>'7. Nettoinvestoinnit '!I245</f>
        <v>-219.68149</v>
      </c>
      <c r="J245" s="73">
        <v>-777.58119999999997</v>
      </c>
      <c r="K245" s="41">
        <v>-95.191100000000006</v>
      </c>
      <c r="L245" s="41">
        <v>-390.99999999999994</v>
      </c>
      <c r="M245" s="41">
        <v>-414</v>
      </c>
      <c r="N245" s="41">
        <v>-430</v>
      </c>
      <c r="O245" s="174"/>
      <c r="P245" s="174">
        <f t="shared" si="31"/>
        <v>-314</v>
      </c>
      <c r="Q245" s="174">
        <f t="shared" si="32"/>
        <v>-219.68149</v>
      </c>
      <c r="R245" s="174">
        <f t="shared" si="33"/>
        <v>-777.58119999999997</v>
      </c>
      <c r="S245" s="174">
        <f t="shared" si="34"/>
        <v>-95.191100000000006</v>
      </c>
      <c r="T245" s="174">
        <f t="shared" si="35"/>
        <v>-390.99999999999994</v>
      </c>
      <c r="U245" s="174">
        <f t="shared" si="36"/>
        <v>-414</v>
      </c>
      <c r="V245" s="174">
        <f t="shared" si="37"/>
        <v>-430</v>
      </c>
      <c r="W245" s="174"/>
      <c r="X245" s="73">
        <f t="shared" si="39"/>
        <v>-377.35054142857143</v>
      </c>
      <c r="Y245" s="339">
        <f t="shared" si="38"/>
        <v>1.0056152987041477E-4</v>
      </c>
      <c r="Z245" s="174"/>
    </row>
    <row r="246" spans="1:26" x14ac:dyDescent="0.25">
      <c r="A246" s="30">
        <v>748</v>
      </c>
      <c r="B246" s="31" t="s">
        <v>560</v>
      </c>
      <c r="C246" s="41">
        <f>'7. Nettoinvestoinnit '!C246</f>
        <v>-5957</v>
      </c>
      <c r="D246" s="41">
        <f>'7. Nettoinvestoinnit '!D246</f>
        <v>-3993</v>
      </c>
      <c r="E246" s="41">
        <f>'7. Nettoinvestoinnit '!E246</f>
        <v>-670</v>
      </c>
      <c r="F246" s="41">
        <f>'7. Nettoinvestoinnit '!F246</f>
        <v>-59</v>
      </c>
      <c r="G246" s="41">
        <f>'7. Nettoinvestoinnit '!G246</f>
        <v>-1132</v>
      </c>
      <c r="H246" s="41">
        <f>'7. Nettoinvestoinnit '!H246</f>
        <v>-282</v>
      </c>
      <c r="I246" s="41">
        <f>'7. Nettoinvestoinnit '!I246</f>
        <v>-504.08049999999997</v>
      </c>
      <c r="J246" s="73">
        <v>-3533.8708500000002</v>
      </c>
      <c r="K246" s="41">
        <v>-4089.5662000000002</v>
      </c>
      <c r="L246" s="41">
        <v>-755</v>
      </c>
      <c r="M246" s="41">
        <v>-950</v>
      </c>
      <c r="N246" s="41">
        <v>-367</v>
      </c>
      <c r="O246" s="174"/>
      <c r="P246" s="174">
        <f t="shared" si="31"/>
        <v>-282</v>
      </c>
      <c r="Q246" s="174">
        <f t="shared" si="32"/>
        <v>-504.08049999999997</v>
      </c>
      <c r="R246" s="174">
        <f t="shared" si="33"/>
        <v>-3533.8708500000002</v>
      </c>
      <c r="S246" s="174">
        <f t="shared" si="34"/>
        <v>-4089.5662000000002</v>
      </c>
      <c r="T246" s="174">
        <f t="shared" si="35"/>
        <v>-755</v>
      </c>
      <c r="U246" s="174">
        <f t="shared" si="36"/>
        <v>-950</v>
      </c>
      <c r="V246" s="174">
        <f t="shared" si="37"/>
        <v>-367</v>
      </c>
      <c r="W246" s="174"/>
      <c r="X246" s="73">
        <f t="shared" si="39"/>
        <v>-1497.3596500000001</v>
      </c>
      <c r="Y246" s="339">
        <f t="shared" si="38"/>
        <v>3.9903686529818176E-4</v>
      </c>
      <c r="Z246" s="174"/>
    </row>
    <row r="247" spans="1:26" x14ac:dyDescent="0.25">
      <c r="A247" s="30">
        <v>749</v>
      </c>
      <c r="B247" s="31" t="s">
        <v>561</v>
      </c>
      <c r="C247" s="41">
        <f>'7. Nettoinvestoinnit '!C247</f>
        <v>-6939</v>
      </c>
      <c r="D247" s="41">
        <f>'7. Nettoinvestoinnit '!D247</f>
        <v>-7524</v>
      </c>
      <c r="E247" s="41">
        <f>'7. Nettoinvestoinnit '!E247</f>
        <v>-10840</v>
      </c>
      <c r="F247" s="41">
        <f>'7. Nettoinvestoinnit '!F247</f>
        <v>-11959</v>
      </c>
      <c r="G247" s="41">
        <f>'7. Nettoinvestoinnit '!G247</f>
        <v>9434</v>
      </c>
      <c r="H247" s="41">
        <f>'7. Nettoinvestoinnit '!H247</f>
        <v>-609</v>
      </c>
      <c r="I247" s="41">
        <f>'7. Nettoinvestoinnit '!I247</f>
        <v>-2222.3589999999999</v>
      </c>
      <c r="J247" s="73">
        <v>-3738.4769999999999</v>
      </c>
      <c r="K247" s="41">
        <v>-6997.4962500000001</v>
      </c>
      <c r="L247" s="41">
        <v>-8709.5502799999995</v>
      </c>
      <c r="M247" s="41">
        <v>-3085</v>
      </c>
      <c r="N247" s="41">
        <v>-5823.5</v>
      </c>
      <c r="O247" s="174"/>
      <c r="P247" s="174">
        <f t="shared" si="31"/>
        <v>-609</v>
      </c>
      <c r="Q247" s="174">
        <f t="shared" si="32"/>
        <v>-2222.3589999999999</v>
      </c>
      <c r="R247" s="174">
        <f t="shared" si="33"/>
        <v>-3738.4769999999999</v>
      </c>
      <c r="S247" s="174">
        <f t="shared" si="34"/>
        <v>-6997.4962500000001</v>
      </c>
      <c r="T247" s="174">
        <f t="shared" si="35"/>
        <v>-8709.5502799999995</v>
      </c>
      <c r="U247" s="174">
        <f t="shared" si="36"/>
        <v>-3085</v>
      </c>
      <c r="V247" s="174">
        <f t="shared" si="37"/>
        <v>-5823.5</v>
      </c>
      <c r="W247" s="174"/>
      <c r="X247" s="73">
        <f t="shared" si="39"/>
        <v>-4455.054647142857</v>
      </c>
      <c r="Y247" s="339">
        <f t="shared" si="38"/>
        <v>1.1872438536246004E-3</v>
      </c>
      <c r="Z247" s="174"/>
    </row>
    <row r="248" spans="1:26" x14ac:dyDescent="0.25">
      <c r="A248" s="30">
        <v>751</v>
      </c>
      <c r="B248" s="31" t="s">
        <v>562</v>
      </c>
      <c r="C248" s="41">
        <f>'7. Nettoinvestoinnit '!C248</f>
        <v>-553</v>
      </c>
      <c r="D248" s="41">
        <f>'7. Nettoinvestoinnit '!D248</f>
        <v>-780</v>
      </c>
      <c r="E248" s="41">
        <f>'7. Nettoinvestoinnit '!E248</f>
        <v>-715</v>
      </c>
      <c r="F248" s="41">
        <f>'7. Nettoinvestoinnit '!F248</f>
        <v>-722</v>
      </c>
      <c r="G248" s="41">
        <f>'7. Nettoinvestoinnit '!G248</f>
        <v>-1173</v>
      </c>
      <c r="H248" s="41">
        <f>'7. Nettoinvestoinnit '!H248</f>
        <v>-632</v>
      </c>
      <c r="I248" s="41">
        <f>'7. Nettoinvestoinnit '!I248</f>
        <v>-434.02012999999999</v>
      </c>
      <c r="J248" s="73">
        <v>-1139.5728300000001</v>
      </c>
      <c r="K248" s="41">
        <v>-2019.1019899999999</v>
      </c>
      <c r="L248" s="41">
        <v>-7223</v>
      </c>
      <c r="M248" s="41">
        <v>-7675</v>
      </c>
      <c r="N248" s="41">
        <v>-500</v>
      </c>
      <c r="O248" s="174"/>
      <c r="P248" s="174">
        <f t="shared" si="31"/>
        <v>-632</v>
      </c>
      <c r="Q248" s="174">
        <f t="shared" si="32"/>
        <v>-434.02012999999999</v>
      </c>
      <c r="R248" s="174">
        <f t="shared" si="33"/>
        <v>-1139.5728300000001</v>
      </c>
      <c r="S248" s="174">
        <f t="shared" si="34"/>
        <v>-2019.1019899999999</v>
      </c>
      <c r="T248" s="174">
        <f t="shared" si="35"/>
        <v>-7223</v>
      </c>
      <c r="U248" s="174">
        <f t="shared" si="36"/>
        <v>-7675</v>
      </c>
      <c r="V248" s="174">
        <f t="shared" si="37"/>
        <v>-500</v>
      </c>
      <c r="W248" s="174"/>
      <c r="X248" s="73">
        <f t="shared" si="39"/>
        <v>-2803.2421357142857</v>
      </c>
      <c r="Y248" s="339">
        <f t="shared" si="38"/>
        <v>7.4704627876623277E-4</v>
      </c>
      <c r="Z248" s="174"/>
    </row>
    <row r="249" spans="1:26" x14ac:dyDescent="0.25">
      <c r="A249" s="30">
        <v>753</v>
      </c>
      <c r="B249" s="31" t="s">
        <v>563</v>
      </c>
      <c r="C249" s="41">
        <f>'7. Nettoinvestoinnit '!C249</f>
        <v>-4090</v>
      </c>
      <c r="D249" s="41">
        <f>'7. Nettoinvestoinnit '!D249</f>
        <v>-14152</v>
      </c>
      <c r="E249" s="41">
        <f>'7. Nettoinvestoinnit '!E249</f>
        <v>-10729</v>
      </c>
      <c r="F249" s="41">
        <f>'7. Nettoinvestoinnit '!F249</f>
        <v>-28957</v>
      </c>
      <c r="G249" s="41">
        <f>'7. Nettoinvestoinnit '!G249</f>
        <v>-31377</v>
      </c>
      <c r="H249" s="41">
        <f>'7. Nettoinvestoinnit '!H249</f>
        <v>-19832</v>
      </c>
      <c r="I249" s="41">
        <f>'7. Nettoinvestoinnit '!I249</f>
        <v>-15053.18266</v>
      </c>
      <c r="J249" s="73">
        <v>-3576.4463300000002</v>
      </c>
      <c r="K249" s="41">
        <v>-11605.271869999999</v>
      </c>
      <c r="L249" s="41">
        <v>-18675</v>
      </c>
      <c r="M249" s="41">
        <v>-21559</v>
      </c>
      <c r="N249" s="41">
        <v>-19743.32</v>
      </c>
      <c r="O249" s="174"/>
      <c r="P249" s="174">
        <f t="shared" si="31"/>
        <v>-19832</v>
      </c>
      <c r="Q249" s="174">
        <f t="shared" si="32"/>
        <v>-15053.18266</v>
      </c>
      <c r="R249" s="174">
        <f t="shared" si="33"/>
        <v>-3576.4463300000002</v>
      </c>
      <c r="S249" s="174">
        <f t="shared" si="34"/>
        <v>-11605.271869999999</v>
      </c>
      <c r="T249" s="174">
        <f t="shared" si="35"/>
        <v>-18675</v>
      </c>
      <c r="U249" s="174">
        <f t="shared" si="36"/>
        <v>-21559</v>
      </c>
      <c r="V249" s="174">
        <f t="shared" si="37"/>
        <v>-19743.32</v>
      </c>
      <c r="W249" s="174"/>
      <c r="X249" s="73">
        <f t="shared" si="39"/>
        <v>-15720.60298</v>
      </c>
      <c r="Y249" s="339">
        <f t="shared" si="38"/>
        <v>4.1894411497841915E-3</v>
      </c>
      <c r="Z249" s="174"/>
    </row>
    <row r="250" spans="1:26" x14ac:dyDescent="0.25">
      <c r="A250" s="30">
        <v>755</v>
      </c>
      <c r="B250" s="31" t="s">
        <v>564</v>
      </c>
      <c r="C250" s="41">
        <f>'7. Nettoinvestoinnit '!C250</f>
        <v>-787</v>
      </c>
      <c r="D250" s="41">
        <f>'7. Nettoinvestoinnit '!D250</f>
        <v>-903</v>
      </c>
      <c r="E250" s="41">
        <f>'7. Nettoinvestoinnit '!E250</f>
        <v>-3932</v>
      </c>
      <c r="F250" s="41">
        <f>'7. Nettoinvestoinnit '!F250</f>
        <v>-3533</v>
      </c>
      <c r="G250" s="41">
        <f>'7. Nettoinvestoinnit '!G250</f>
        <v>-2331</v>
      </c>
      <c r="H250" s="41">
        <f>'7. Nettoinvestoinnit '!H250</f>
        <v>-2945</v>
      </c>
      <c r="I250" s="41">
        <f>'7. Nettoinvestoinnit '!I250</f>
        <v>-1084.2151200000001</v>
      </c>
      <c r="J250" s="73">
        <v>-6533.0732500000004</v>
      </c>
      <c r="K250" s="41">
        <v>-3261.9860199999998</v>
      </c>
      <c r="L250" s="41">
        <v>-14852</v>
      </c>
      <c r="M250" s="41">
        <v>-10825</v>
      </c>
      <c r="N250" s="41">
        <v>-1645</v>
      </c>
      <c r="O250" s="174"/>
      <c r="P250" s="174">
        <f t="shared" si="31"/>
        <v>-2945</v>
      </c>
      <c r="Q250" s="174">
        <f t="shared" si="32"/>
        <v>-1084.2151200000001</v>
      </c>
      <c r="R250" s="174">
        <f t="shared" si="33"/>
        <v>-6533.0732500000004</v>
      </c>
      <c r="S250" s="174">
        <f t="shared" si="34"/>
        <v>-3261.9860199999998</v>
      </c>
      <c r="T250" s="174">
        <f t="shared" si="35"/>
        <v>-14852</v>
      </c>
      <c r="U250" s="174">
        <f t="shared" si="36"/>
        <v>-10825</v>
      </c>
      <c r="V250" s="174">
        <f t="shared" si="37"/>
        <v>-1645</v>
      </c>
      <c r="W250" s="174"/>
      <c r="X250" s="73">
        <f t="shared" si="39"/>
        <v>-5878.0391985714286</v>
      </c>
      <c r="Y250" s="339">
        <f t="shared" si="38"/>
        <v>1.5664602261038483E-3</v>
      </c>
      <c r="Z250" s="174"/>
    </row>
    <row r="251" spans="1:26" x14ac:dyDescent="0.25">
      <c r="A251" s="30">
        <v>758</v>
      </c>
      <c r="B251" s="31" t="s">
        <v>565</v>
      </c>
      <c r="C251" s="41">
        <f>'7. Nettoinvestoinnit '!C251</f>
        <v>-2836</v>
      </c>
      <c r="D251" s="41">
        <f>'7. Nettoinvestoinnit '!D251</f>
        <v>-4241</v>
      </c>
      <c r="E251" s="41">
        <f>'7. Nettoinvestoinnit '!E251</f>
        <v>-4504</v>
      </c>
      <c r="F251" s="41">
        <f>'7. Nettoinvestoinnit '!F251</f>
        <v>-5025</v>
      </c>
      <c r="G251" s="41">
        <f>'7. Nettoinvestoinnit '!G251</f>
        <v>-2457</v>
      </c>
      <c r="H251" s="41">
        <f>'7. Nettoinvestoinnit '!H251</f>
        <v>-3169</v>
      </c>
      <c r="I251" s="41">
        <f>'7. Nettoinvestoinnit '!I251</f>
        <v>-1821.1999799999999</v>
      </c>
      <c r="J251" s="73">
        <v>-4057.4742299999998</v>
      </c>
      <c r="K251" s="41">
        <v>-4928.5214599999999</v>
      </c>
      <c r="L251" s="41">
        <v>-7575</v>
      </c>
      <c r="M251" s="41">
        <v>-3510</v>
      </c>
      <c r="N251" s="41">
        <v>-7340</v>
      </c>
      <c r="O251" s="174"/>
      <c r="P251" s="174">
        <f t="shared" si="31"/>
        <v>-3169</v>
      </c>
      <c r="Q251" s="174">
        <f t="shared" si="32"/>
        <v>-1821.1999799999999</v>
      </c>
      <c r="R251" s="174">
        <f t="shared" si="33"/>
        <v>-4057.4742299999998</v>
      </c>
      <c r="S251" s="174">
        <f t="shared" si="34"/>
        <v>-4928.5214599999999</v>
      </c>
      <c r="T251" s="174">
        <f t="shared" si="35"/>
        <v>-7575</v>
      </c>
      <c r="U251" s="174">
        <f t="shared" si="36"/>
        <v>-3510</v>
      </c>
      <c r="V251" s="174">
        <f t="shared" si="37"/>
        <v>-7340</v>
      </c>
      <c r="W251" s="174"/>
      <c r="X251" s="73">
        <f t="shared" si="39"/>
        <v>-4628.742238571429</v>
      </c>
      <c r="Y251" s="339">
        <f t="shared" si="38"/>
        <v>1.2335304969336067E-3</v>
      </c>
      <c r="Z251" s="174"/>
    </row>
    <row r="252" spans="1:26" x14ac:dyDescent="0.25">
      <c r="A252" s="30">
        <v>759</v>
      </c>
      <c r="B252" s="31" t="s">
        <v>566</v>
      </c>
      <c r="C252" s="41">
        <f>'7. Nettoinvestoinnit '!C252</f>
        <v>-714</v>
      </c>
      <c r="D252" s="41">
        <f>'7. Nettoinvestoinnit '!D252</f>
        <v>-487</v>
      </c>
      <c r="E252" s="41">
        <f>'7. Nettoinvestoinnit '!E252</f>
        <v>-974</v>
      </c>
      <c r="F252" s="41">
        <f>'7. Nettoinvestoinnit '!F252</f>
        <v>-351</v>
      </c>
      <c r="G252" s="41">
        <f>'7. Nettoinvestoinnit '!G252</f>
        <v>-184</v>
      </c>
      <c r="H252" s="41">
        <f>'7. Nettoinvestoinnit '!H252</f>
        <v>-974</v>
      </c>
      <c r="I252" s="41">
        <f>'7. Nettoinvestoinnit '!I252</f>
        <v>-303.64186999999998</v>
      </c>
      <c r="J252" s="73">
        <v>-400.51803000000001</v>
      </c>
      <c r="K252" s="41">
        <v>-549.70940000000007</v>
      </c>
      <c r="L252" s="41">
        <v>-575</v>
      </c>
      <c r="M252" s="41">
        <v>-560</v>
      </c>
      <c r="N252" s="41">
        <v>-405</v>
      </c>
      <c r="O252" s="174"/>
      <c r="P252" s="174">
        <f t="shared" si="31"/>
        <v>-974</v>
      </c>
      <c r="Q252" s="174">
        <f t="shared" si="32"/>
        <v>-303.64186999999998</v>
      </c>
      <c r="R252" s="174">
        <f t="shared" si="33"/>
        <v>-400.51803000000001</v>
      </c>
      <c r="S252" s="174">
        <f t="shared" si="34"/>
        <v>-549.70940000000007</v>
      </c>
      <c r="T252" s="174">
        <f t="shared" si="35"/>
        <v>-575</v>
      </c>
      <c r="U252" s="174">
        <f t="shared" si="36"/>
        <v>-560</v>
      </c>
      <c r="V252" s="174">
        <f t="shared" si="37"/>
        <v>-405</v>
      </c>
      <c r="W252" s="174"/>
      <c r="X252" s="73">
        <f t="shared" si="39"/>
        <v>-538.26704285714288</v>
      </c>
      <c r="Y252" s="339">
        <f t="shared" si="38"/>
        <v>1.4344475856220402E-4</v>
      </c>
      <c r="Z252" s="174"/>
    </row>
    <row r="253" spans="1:26" x14ac:dyDescent="0.25">
      <c r="A253" s="30">
        <v>761</v>
      </c>
      <c r="B253" s="31" t="s">
        <v>567</v>
      </c>
      <c r="C253" s="41">
        <f>'7. Nettoinvestoinnit '!C253</f>
        <v>-6737</v>
      </c>
      <c r="D253" s="41">
        <f>'7. Nettoinvestoinnit '!D253</f>
        <v>-10656</v>
      </c>
      <c r="E253" s="41">
        <f>'7. Nettoinvestoinnit '!E253</f>
        <v>-7840</v>
      </c>
      <c r="F253" s="41">
        <f>'7. Nettoinvestoinnit '!F253</f>
        <v>-4699</v>
      </c>
      <c r="G253" s="41">
        <f>'7. Nettoinvestoinnit '!G253</f>
        <v>-2322</v>
      </c>
      <c r="H253" s="41">
        <f>'7. Nettoinvestoinnit '!H253</f>
        <v>-440</v>
      </c>
      <c r="I253" s="41">
        <f>'7. Nettoinvestoinnit '!I253</f>
        <v>-1330.2504199999998</v>
      </c>
      <c r="J253" s="73">
        <v>-461.93115</v>
      </c>
      <c r="K253" s="41">
        <v>-6200.59951</v>
      </c>
      <c r="L253" s="41">
        <v>-8783.5</v>
      </c>
      <c r="M253" s="41">
        <v>-4983.8</v>
      </c>
      <c r="N253" s="41">
        <v>-5450.6</v>
      </c>
      <c r="O253" s="174"/>
      <c r="P253" s="174">
        <f t="shared" si="31"/>
        <v>-440</v>
      </c>
      <c r="Q253" s="174">
        <f t="shared" si="32"/>
        <v>-1330.2504199999998</v>
      </c>
      <c r="R253" s="174">
        <f t="shared" si="33"/>
        <v>-461.93115</v>
      </c>
      <c r="S253" s="174">
        <f t="shared" si="34"/>
        <v>-6200.59951</v>
      </c>
      <c r="T253" s="174">
        <f t="shared" si="35"/>
        <v>-8783.5</v>
      </c>
      <c r="U253" s="174">
        <f t="shared" si="36"/>
        <v>-4983.8</v>
      </c>
      <c r="V253" s="174">
        <f t="shared" si="37"/>
        <v>-5450.6</v>
      </c>
      <c r="W253" s="174"/>
      <c r="X253" s="73">
        <f t="shared" si="39"/>
        <v>-3950.0972971428573</v>
      </c>
      <c r="Y253" s="339">
        <f t="shared" si="38"/>
        <v>1.0526759172886128E-3</v>
      </c>
      <c r="Z253" s="174"/>
    </row>
    <row r="254" spans="1:26" x14ac:dyDescent="0.25">
      <c r="A254" s="30">
        <v>762</v>
      </c>
      <c r="B254" s="31" t="s">
        <v>568</v>
      </c>
      <c r="C254" s="41">
        <f>'7. Nettoinvestoinnit '!C254</f>
        <v>-1565</v>
      </c>
      <c r="D254" s="41">
        <f>'7. Nettoinvestoinnit '!D254</f>
        <v>-2820</v>
      </c>
      <c r="E254" s="41">
        <f>'7. Nettoinvestoinnit '!E254</f>
        <v>-2220</v>
      </c>
      <c r="F254" s="41">
        <f>'7. Nettoinvestoinnit '!F254</f>
        <v>-1562</v>
      </c>
      <c r="G254" s="41">
        <f>'7. Nettoinvestoinnit '!G254</f>
        <v>-2577</v>
      </c>
      <c r="H254" s="41">
        <f>'7. Nettoinvestoinnit '!H254</f>
        <v>-1206</v>
      </c>
      <c r="I254" s="41">
        <f>'7. Nettoinvestoinnit '!I254</f>
        <v>-1993.8148200000001</v>
      </c>
      <c r="J254" s="73">
        <v>-2951.3193900000001</v>
      </c>
      <c r="K254" s="41">
        <v>-238.81307000000001</v>
      </c>
      <c r="L254" s="41">
        <v>2346.12</v>
      </c>
      <c r="M254" s="41">
        <v>-1642</v>
      </c>
      <c r="N254" s="41">
        <v>-590</v>
      </c>
      <c r="O254" s="174"/>
      <c r="P254" s="174">
        <f t="shared" si="31"/>
        <v>-1206</v>
      </c>
      <c r="Q254" s="174">
        <f t="shared" si="32"/>
        <v>-1993.8148200000001</v>
      </c>
      <c r="R254" s="174">
        <f t="shared" si="33"/>
        <v>-2951.3193900000001</v>
      </c>
      <c r="S254" s="174">
        <f t="shared" si="34"/>
        <v>-238.81307000000001</v>
      </c>
      <c r="T254" s="174">
        <f t="shared" si="35"/>
        <v>-238.81307000000001</v>
      </c>
      <c r="U254" s="174">
        <f t="shared" si="36"/>
        <v>-1642</v>
      </c>
      <c r="V254" s="174">
        <f t="shared" si="37"/>
        <v>-590</v>
      </c>
      <c r="W254" s="174"/>
      <c r="X254" s="73">
        <f t="shared" si="39"/>
        <v>-1265.8229071428573</v>
      </c>
      <c r="Y254" s="339">
        <f t="shared" si="38"/>
        <v>3.3733378943990986E-4</v>
      </c>
      <c r="Z254" s="174"/>
    </row>
    <row r="255" spans="1:26" x14ac:dyDescent="0.25">
      <c r="A255" s="30">
        <v>765</v>
      </c>
      <c r="B255" s="31" t="s">
        <v>569</v>
      </c>
      <c r="C255" s="41">
        <f>'7. Nettoinvestoinnit '!C255</f>
        <v>-5939</v>
      </c>
      <c r="D255" s="41">
        <f>'7. Nettoinvestoinnit '!D255</f>
        <v>-3282</v>
      </c>
      <c r="E255" s="41">
        <f>'7. Nettoinvestoinnit '!E255</f>
        <v>-3030</v>
      </c>
      <c r="F255" s="41">
        <f>'7. Nettoinvestoinnit '!F255</f>
        <v>-2789</v>
      </c>
      <c r="G255" s="41">
        <f>'7. Nettoinvestoinnit '!G255</f>
        <v>36571</v>
      </c>
      <c r="H255" s="41">
        <f>'7. Nettoinvestoinnit '!H255</f>
        <v>-7111</v>
      </c>
      <c r="I255" s="41">
        <f>'7. Nettoinvestoinnit '!I255</f>
        <v>-8042.4831100000001</v>
      </c>
      <c r="J255" s="73">
        <v>-9525.26541</v>
      </c>
      <c r="K255" s="41">
        <v>-22802.713070000002</v>
      </c>
      <c r="L255" s="41">
        <v>-35959.67</v>
      </c>
      <c r="M255" s="41">
        <v>-11849</v>
      </c>
      <c r="N255" s="41">
        <v>-8555</v>
      </c>
      <c r="O255" s="174"/>
      <c r="P255" s="174">
        <f t="shared" si="31"/>
        <v>-7111</v>
      </c>
      <c r="Q255" s="174">
        <f t="shared" si="32"/>
        <v>-8042.4831100000001</v>
      </c>
      <c r="R255" s="174">
        <f t="shared" si="33"/>
        <v>-9525.26541</v>
      </c>
      <c r="S255" s="174">
        <f t="shared" si="34"/>
        <v>-22802.713070000002</v>
      </c>
      <c r="T255" s="174">
        <f t="shared" si="35"/>
        <v>-35959.67</v>
      </c>
      <c r="U255" s="174">
        <f t="shared" si="36"/>
        <v>-11849</v>
      </c>
      <c r="V255" s="174">
        <f t="shared" si="37"/>
        <v>-8555</v>
      </c>
      <c r="W255" s="174"/>
      <c r="X255" s="73">
        <f t="shared" si="39"/>
        <v>-14835.018798571429</v>
      </c>
      <c r="Y255" s="339">
        <f t="shared" si="38"/>
        <v>3.9534385730385759E-3</v>
      </c>
      <c r="Z255" s="174"/>
    </row>
    <row r="256" spans="1:26" x14ac:dyDescent="0.25">
      <c r="A256" s="30">
        <v>768</v>
      </c>
      <c r="B256" s="31" t="s">
        <v>570</v>
      </c>
      <c r="C256" s="41">
        <f>'7. Nettoinvestoinnit '!C256</f>
        <v>-337</v>
      </c>
      <c r="D256" s="41">
        <f>'7. Nettoinvestoinnit '!D256</f>
        <v>-200</v>
      </c>
      <c r="E256" s="41">
        <f>'7. Nettoinvestoinnit '!E256</f>
        <v>-866</v>
      </c>
      <c r="F256" s="41">
        <f>'7. Nettoinvestoinnit '!F256</f>
        <v>-1727</v>
      </c>
      <c r="G256" s="41">
        <f>'7. Nettoinvestoinnit '!G256</f>
        <v>-1310</v>
      </c>
      <c r="H256" s="41">
        <f>'7. Nettoinvestoinnit '!H256</f>
        <v>-654</v>
      </c>
      <c r="I256" s="41">
        <f>'7. Nettoinvestoinnit '!I256</f>
        <v>-1069.9154099999998</v>
      </c>
      <c r="J256" s="73">
        <v>-959.86181999999997</v>
      </c>
      <c r="K256" s="41">
        <v>-789.82803999999999</v>
      </c>
      <c r="L256" s="41">
        <v>-1016</v>
      </c>
      <c r="M256" s="41">
        <v>-5155</v>
      </c>
      <c r="N256" s="41">
        <v>-5190</v>
      </c>
      <c r="O256" s="174"/>
      <c r="P256" s="174">
        <f t="shared" si="31"/>
        <v>-654</v>
      </c>
      <c r="Q256" s="174">
        <f t="shared" si="32"/>
        <v>-1069.9154099999998</v>
      </c>
      <c r="R256" s="174">
        <f t="shared" si="33"/>
        <v>-959.86181999999997</v>
      </c>
      <c r="S256" s="174">
        <f t="shared" si="34"/>
        <v>-789.82803999999999</v>
      </c>
      <c r="T256" s="174">
        <f t="shared" si="35"/>
        <v>-1016</v>
      </c>
      <c r="U256" s="174">
        <f t="shared" si="36"/>
        <v>-5155</v>
      </c>
      <c r="V256" s="174">
        <f t="shared" si="37"/>
        <v>-5190</v>
      </c>
      <c r="W256" s="174"/>
      <c r="X256" s="73">
        <f t="shared" si="39"/>
        <v>-2119.2293242857145</v>
      </c>
      <c r="Y256" s="339">
        <f t="shared" si="38"/>
        <v>5.6476119575611335E-4</v>
      </c>
      <c r="Z256" s="174"/>
    </row>
    <row r="257" spans="1:26" x14ac:dyDescent="0.25">
      <c r="A257" s="30">
        <v>777</v>
      </c>
      <c r="B257" s="31" t="s">
        <v>571</v>
      </c>
      <c r="C257" s="41">
        <f>'7. Nettoinvestoinnit '!C257</f>
        <v>-7328</v>
      </c>
      <c r="D257" s="41">
        <f>'7. Nettoinvestoinnit '!D257</f>
        <v>-5401</v>
      </c>
      <c r="E257" s="41">
        <f>'7. Nettoinvestoinnit '!E257</f>
        <v>-3870</v>
      </c>
      <c r="F257" s="41">
        <f>'7. Nettoinvestoinnit '!F257</f>
        <v>-1526</v>
      </c>
      <c r="G257" s="41">
        <f>'7. Nettoinvestoinnit '!G257</f>
        <v>-2505</v>
      </c>
      <c r="H257" s="41">
        <f>'7. Nettoinvestoinnit '!H257</f>
        <v>-8581</v>
      </c>
      <c r="I257" s="41">
        <f>'7. Nettoinvestoinnit '!I257</f>
        <v>-7771.34004</v>
      </c>
      <c r="J257" s="73">
        <v>-9242.2616699999999</v>
      </c>
      <c r="K257" s="41">
        <v>-886.78993999999989</v>
      </c>
      <c r="L257" s="41">
        <v>-6007</v>
      </c>
      <c r="M257" s="41">
        <v>-3696</v>
      </c>
      <c r="N257" s="41">
        <v>-3156</v>
      </c>
      <c r="O257" s="174"/>
      <c r="P257" s="174">
        <f t="shared" si="31"/>
        <v>-8581</v>
      </c>
      <c r="Q257" s="174">
        <f t="shared" si="32"/>
        <v>-7771.34004</v>
      </c>
      <c r="R257" s="174">
        <f t="shared" si="33"/>
        <v>-9242.2616699999999</v>
      </c>
      <c r="S257" s="174">
        <f t="shared" si="34"/>
        <v>-886.78993999999989</v>
      </c>
      <c r="T257" s="174">
        <f t="shared" si="35"/>
        <v>-6007</v>
      </c>
      <c r="U257" s="174">
        <f t="shared" si="36"/>
        <v>-3696</v>
      </c>
      <c r="V257" s="174">
        <f t="shared" si="37"/>
        <v>-3156</v>
      </c>
      <c r="W257" s="174"/>
      <c r="X257" s="73">
        <f t="shared" si="39"/>
        <v>-5620.0559499999999</v>
      </c>
      <c r="Y257" s="339">
        <f t="shared" si="38"/>
        <v>1.4977093239345635E-3</v>
      </c>
      <c r="Z257" s="174"/>
    </row>
    <row r="258" spans="1:26" x14ac:dyDescent="0.25">
      <c r="A258" s="30">
        <v>778</v>
      </c>
      <c r="B258" s="31" t="s">
        <v>572</v>
      </c>
      <c r="C258" s="41">
        <f>'7. Nettoinvestoinnit '!C258</f>
        <v>228</v>
      </c>
      <c r="D258" s="41">
        <f>'7. Nettoinvestoinnit '!D258</f>
        <v>-2508</v>
      </c>
      <c r="E258" s="41">
        <f>'7. Nettoinvestoinnit '!E258</f>
        <v>-2984</v>
      </c>
      <c r="F258" s="41">
        <f>'7. Nettoinvestoinnit '!F258</f>
        <v>-1522</v>
      </c>
      <c r="G258" s="41">
        <f>'7. Nettoinvestoinnit '!G258</f>
        <v>-1140</v>
      </c>
      <c r="H258" s="41">
        <f>'7. Nettoinvestoinnit '!H258</f>
        <v>-957</v>
      </c>
      <c r="I258" s="41">
        <f>'7. Nettoinvestoinnit '!I258</f>
        <v>-2303.7181299999997</v>
      </c>
      <c r="J258" s="73">
        <v>-947.63052000000005</v>
      </c>
      <c r="K258" s="41">
        <v>-1184.4596100000001</v>
      </c>
      <c r="L258" s="41">
        <v>-3685</v>
      </c>
      <c r="M258" s="41">
        <v>-3617</v>
      </c>
      <c r="N258" s="41">
        <v>-3111.5</v>
      </c>
      <c r="O258" s="174"/>
      <c r="P258" s="174">
        <f t="shared" si="31"/>
        <v>-957</v>
      </c>
      <c r="Q258" s="174">
        <f t="shared" si="32"/>
        <v>-2303.7181299999997</v>
      </c>
      <c r="R258" s="174">
        <f t="shared" si="33"/>
        <v>-947.63052000000005</v>
      </c>
      <c r="S258" s="174">
        <f t="shared" si="34"/>
        <v>-1184.4596100000001</v>
      </c>
      <c r="T258" s="174">
        <f t="shared" si="35"/>
        <v>-3685</v>
      </c>
      <c r="U258" s="174">
        <f t="shared" si="36"/>
        <v>-3617</v>
      </c>
      <c r="V258" s="174">
        <f t="shared" si="37"/>
        <v>-3111.5</v>
      </c>
      <c r="W258" s="174"/>
      <c r="X258" s="73">
        <f t="shared" si="39"/>
        <v>-2258.0440371428572</v>
      </c>
      <c r="Y258" s="339">
        <f t="shared" si="38"/>
        <v>6.0175443774428995E-4</v>
      </c>
      <c r="Z258" s="174"/>
    </row>
    <row r="259" spans="1:26" x14ac:dyDescent="0.25">
      <c r="A259" s="30">
        <v>781</v>
      </c>
      <c r="B259" s="31" t="s">
        <v>573</v>
      </c>
      <c r="C259" s="41">
        <f>'7. Nettoinvestoinnit '!C259</f>
        <v>-2237</v>
      </c>
      <c r="D259" s="41">
        <f>'7. Nettoinvestoinnit '!D259</f>
        <v>-2021</v>
      </c>
      <c r="E259" s="41">
        <f>'7. Nettoinvestoinnit '!E259</f>
        <v>-2641</v>
      </c>
      <c r="F259" s="41">
        <f>'7. Nettoinvestoinnit '!F259</f>
        <v>-4281</v>
      </c>
      <c r="G259" s="41">
        <f>'7. Nettoinvestoinnit '!G259</f>
        <v>-2370</v>
      </c>
      <c r="H259" s="41">
        <f>'7. Nettoinvestoinnit '!H259</f>
        <v>-786</v>
      </c>
      <c r="I259" s="41">
        <f>'7. Nettoinvestoinnit '!I259</f>
        <v>-4545.4750000000004</v>
      </c>
      <c r="J259" s="73">
        <v>-4734.6689200000001</v>
      </c>
      <c r="K259" s="41">
        <v>754.57718</v>
      </c>
      <c r="L259" s="41">
        <v>-2577</v>
      </c>
      <c r="M259" s="41">
        <v>-1210</v>
      </c>
      <c r="N259" s="41">
        <v>-1220</v>
      </c>
      <c r="O259" s="174"/>
      <c r="P259" s="174">
        <f t="shared" si="31"/>
        <v>-786</v>
      </c>
      <c r="Q259" s="174">
        <f t="shared" si="32"/>
        <v>-4545.4750000000004</v>
      </c>
      <c r="R259" s="174">
        <f t="shared" si="33"/>
        <v>-4734.6689200000001</v>
      </c>
      <c r="S259" s="174">
        <f t="shared" si="34"/>
        <v>-4734.6689200000001</v>
      </c>
      <c r="T259" s="174">
        <f t="shared" si="35"/>
        <v>-2577</v>
      </c>
      <c r="U259" s="174">
        <f t="shared" si="36"/>
        <v>-1210</v>
      </c>
      <c r="V259" s="174">
        <f t="shared" si="37"/>
        <v>-1220</v>
      </c>
      <c r="W259" s="174"/>
      <c r="X259" s="73">
        <f t="shared" si="39"/>
        <v>-2829.6875485714286</v>
      </c>
      <c r="Y259" s="339">
        <f t="shared" si="38"/>
        <v>7.5409381383773717E-4</v>
      </c>
      <c r="Z259" s="174"/>
    </row>
    <row r="260" spans="1:26" x14ac:dyDescent="0.25">
      <c r="A260" s="30">
        <v>783</v>
      </c>
      <c r="B260" s="31" t="s">
        <v>574</v>
      </c>
      <c r="C260" s="41">
        <f>'7. Nettoinvestoinnit '!C260</f>
        <v>-2698</v>
      </c>
      <c r="D260" s="41">
        <f>'7. Nettoinvestoinnit '!D260</f>
        <v>-1079</v>
      </c>
      <c r="E260" s="41">
        <f>'7. Nettoinvestoinnit '!E260</f>
        <v>-1436</v>
      </c>
      <c r="F260" s="41">
        <f>'7. Nettoinvestoinnit '!F260</f>
        <v>-2107</v>
      </c>
      <c r="G260" s="41">
        <f>'7. Nettoinvestoinnit '!G260</f>
        <v>-2671</v>
      </c>
      <c r="H260" s="41">
        <f>'7. Nettoinvestoinnit '!H260</f>
        <v>-2236</v>
      </c>
      <c r="I260" s="41">
        <f>'7. Nettoinvestoinnit '!I260</f>
        <v>-1814.8917099999999</v>
      </c>
      <c r="J260" s="73">
        <v>-1519.9596799999999</v>
      </c>
      <c r="K260" s="41">
        <v>-3714.9547599999996</v>
      </c>
      <c r="L260" s="41">
        <v>-2778.8</v>
      </c>
      <c r="M260" s="41">
        <v>-2480</v>
      </c>
      <c r="N260" s="41">
        <v>-2505</v>
      </c>
      <c r="O260" s="174"/>
      <c r="P260" s="174">
        <f t="shared" si="31"/>
        <v>-2236</v>
      </c>
      <c r="Q260" s="174">
        <f t="shared" si="32"/>
        <v>-1814.8917099999999</v>
      </c>
      <c r="R260" s="174">
        <f t="shared" si="33"/>
        <v>-1519.9596799999999</v>
      </c>
      <c r="S260" s="174">
        <f t="shared" si="34"/>
        <v>-3714.9547599999996</v>
      </c>
      <c r="T260" s="174">
        <f t="shared" si="35"/>
        <v>-2778.8</v>
      </c>
      <c r="U260" s="174">
        <f t="shared" si="36"/>
        <v>-2480</v>
      </c>
      <c r="V260" s="174">
        <f t="shared" si="37"/>
        <v>-2505</v>
      </c>
      <c r="W260" s="174"/>
      <c r="X260" s="73">
        <f t="shared" si="39"/>
        <v>-2435.6580214285714</v>
      </c>
      <c r="Y260" s="339">
        <f t="shared" si="38"/>
        <v>6.4908743988742359E-4</v>
      </c>
      <c r="Z260" s="174"/>
    </row>
    <row r="261" spans="1:26" x14ac:dyDescent="0.25">
      <c r="A261" s="30">
        <v>785</v>
      </c>
      <c r="B261" s="31" t="s">
        <v>575</v>
      </c>
      <c r="C261" s="41">
        <f>'7. Nettoinvestoinnit '!C261</f>
        <v>-807</v>
      </c>
      <c r="D261" s="41">
        <f>'7. Nettoinvestoinnit '!D261</f>
        <v>-1679</v>
      </c>
      <c r="E261" s="41">
        <f>'7. Nettoinvestoinnit '!E261</f>
        <v>-2139</v>
      </c>
      <c r="F261" s="41">
        <f>'7. Nettoinvestoinnit '!F261</f>
        <v>-550</v>
      </c>
      <c r="G261" s="41">
        <f>'7. Nettoinvestoinnit '!G261</f>
        <v>-335</v>
      </c>
      <c r="H261" s="41">
        <f>'7. Nettoinvestoinnit '!H261</f>
        <v>-404</v>
      </c>
      <c r="I261" s="41">
        <f>'7. Nettoinvestoinnit '!I261</f>
        <v>-1014.98421</v>
      </c>
      <c r="J261" s="73">
        <v>-910.32528000000002</v>
      </c>
      <c r="K261" s="41">
        <v>-1667.1323</v>
      </c>
      <c r="L261" s="41">
        <v>-1524.9275</v>
      </c>
      <c r="M261" s="41">
        <v>-1524.9275</v>
      </c>
      <c r="N261" s="41">
        <v>-1524.9275</v>
      </c>
      <c r="O261" s="174"/>
      <c r="P261" s="174">
        <f t="shared" si="31"/>
        <v>-404</v>
      </c>
      <c r="Q261" s="174">
        <f t="shared" si="32"/>
        <v>-1014.98421</v>
      </c>
      <c r="R261" s="174">
        <f t="shared" si="33"/>
        <v>-910.32528000000002</v>
      </c>
      <c r="S261" s="174">
        <f t="shared" si="34"/>
        <v>-1667.1323</v>
      </c>
      <c r="T261" s="174">
        <f t="shared" si="35"/>
        <v>-1524.9275</v>
      </c>
      <c r="U261" s="174">
        <f t="shared" si="36"/>
        <v>-1524.9275</v>
      </c>
      <c r="V261" s="174">
        <f t="shared" si="37"/>
        <v>-1524.9275</v>
      </c>
      <c r="W261" s="174"/>
      <c r="X261" s="73">
        <f t="shared" si="39"/>
        <v>-1224.4606128571429</v>
      </c>
      <c r="Y261" s="339">
        <f t="shared" si="38"/>
        <v>3.26310999922834E-4</v>
      </c>
      <c r="Z261" s="174"/>
    </row>
    <row r="262" spans="1:26" x14ac:dyDescent="0.25">
      <c r="A262" s="30">
        <v>790</v>
      </c>
      <c r="B262" s="31" t="s">
        <v>576</v>
      </c>
      <c r="C262" s="41">
        <f>'7. Nettoinvestoinnit '!C262</f>
        <v>-6454</v>
      </c>
      <c r="D262" s="41">
        <f>'7. Nettoinvestoinnit '!D262</f>
        <v>-7778</v>
      </c>
      <c r="E262" s="41">
        <f>'7. Nettoinvestoinnit '!E262</f>
        <v>-6711</v>
      </c>
      <c r="F262" s="41">
        <f>'7. Nettoinvestoinnit '!F262</f>
        <v>-9733</v>
      </c>
      <c r="G262" s="41">
        <f>'7. Nettoinvestoinnit '!G262</f>
        <v>-13118</v>
      </c>
      <c r="H262" s="41">
        <f>'7. Nettoinvestoinnit '!H262</f>
        <v>-10342</v>
      </c>
      <c r="I262" s="41">
        <f>'7. Nettoinvestoinnit '!I262</f>
        <v>-7146.8957300000002</v>
      </c>
      <c r="J262" s="73">
        <v>-11169.09288</v>
      </c>
      <c r="K262" s="41">
        <v>-13189.61102</v>
      </c>
      <c r="L262" s="41">
        <v>-19110</v>
      </c>
      <c r="M262" s="41">
        <v>-26130</v>
      </c>
      <c r="N262" s="41">
        <v>-23970</v>
      </c>
      <c r="O262" s="174"/>
      <c r="P262" s="174">
        <f t="shared" si="31"/>
        <v>-10342</v>
      </c>
      <c r="Q262" s="174">
        <f t="shared" si="32"/>
        <v>-7146.8957300000002</v>
      </c>
      <c r="R262" s="174">
        <f t="shared" si="33"/>
        <v>-11169.09288</v>
      </c>
      <c r="S262" s="174">
        <f t="shared" si="34"/>
        <v>-13189.61102</v>
      </c>
      <c r="T262" s="174">
        <f t="shared" si="35"/>
        <v>-19110</v>
      </c>
      <c r="U262" s="174">
        <f t="shared" si="36"/>
        <v>-26130</v>
      </c>
      <c r="V262" s="174">
        <f t="shared" si="37"/>
        <v>-23970</v>
      </c>
      <c r="W262" s="174"/>
      <c r="X262" s="73">
        <f t="shared" si="39"/>
        <v>-15865.371375714285</v>
      </c>
      <c r="Y262" s="339">
        <f t="shared" si="38"/>
        <v>4.2280210105544976E-3</v>
      </c>
      <c r="Z262" s="174"/>
    </row>
    <row r="263" spans="1:26" x14ac:dyDescent="0.25">
      <c r="A263" s="30">
        <v>791</v>
      </c>
      <c r="B263" s="31" t="s">
        <v>577</v>
      </c>
      <c r="C263" s="41">
        <f>'7. Nettoinvestoinnit '!C263</f>
        <v>362</v>
      </c>
      <c r="D263" s="41">
        <f>'7. Nettoinvestoinnit '!D263</f>
        <v>-1509</v>
      </c>
      <c r="E263" s="41">
        <f>'7. Nettoinvestoinnit '!E263</f>
        <v>-1509</v>
      </c>
      <c r="F263" s="41">
        <f>'7. Nettoinvestoinnit '!F263</f>
        <v>-576</v>
      </c>
      <c r="G263" s="41">
        <f>'7. Nettoinvestoinnit '!G263</f>
        <v>-634</v>
      </c>
      <c r="H263" s="41">
        <f>'7. Nettoinvestoinnit '!H263</f>
        <v>-1798</v>
      </c>
      <c r="I263" s="41">
        <f>'7. Nettoinvestoinnit '!I263</f>
        <v>-1438.9703400000001</v>
      </c>
      <c r="J263" s="73">
        <v>-1676.85581</v>
      </c>
      <c r="K263" s="41">
        <v>-876.83445999999992</v>
      </c>
      <c r="L263" s="41">
        <v>-2149</v>
      </c>
      <c r="M263" s="41">
        <v>-840</v>
      </c>
      <c r="N263" s="41">
        <v>-610</v>
      </c>
      <c r="O263" s="174"/>
      <c r="P263" s="174">
        <f t="shared" si="31"/>
        <v>-1798</v>
      </c>
      <c r="Q263" s="174">
        <f t="shared" si="32"/>
        <v>-1438.9703400000001</v>
      </c>
      <c r="R263" s="174">
        <f t="shared" si="33"/>
        <v>-1676.85581</v>
      </c>
      <c r="S263" s="174">
        <f t="shared" si="34"/>
        <v>-876.83445999999992</v>
      </c>
      <c r="T263" s="174">
        <f t="shared" si="35"/>
        <v>-2149</v>
      </c>
      <c r="U263" s="174">
        <f t="shared" si="36"/>
        <v>-840</v>
      </c>
      <c r="V263" s="174">
        <f t="shared" si="37"/>
        <v>-610</v>
      </c>
      <c r="W263" s="174"/>
      <c r="X263" s="73">
        <f t="shared" si="39"/>
        <v>-1341.3800871428571</v>
      </c>
      <c r="Y263" s="339">
        <f t="shared" si="38"/>
        <v>3.5746929947450337E-4</v>
      </c>
      <c r="Z263" s="174"/>
    </row>
    <row r="264" spans="1:26" x14ac:dyDescent="0.25">
      <c r="A264" s="30">
        <v>831</v>
      </c>
      <c r="B264" s="31" t="s">
        <v>578</v>
      </c>
      <c r="C264" s="41">
        <f>'7. Nettoinvestoinnit '!C264</f>
        <v>-8784</v>
      </c>
      <c r="D264" s="41">
        <f>'7. Nettoinvestoinnit '!D264</f>
        <v>-1999</v>
      </c>
      <c r="E264" s="41">
        <f>'7. Nettoinvestoinnit '!E264</f>
        <v>-1649</v>
      </c>
      <c r="F264" s="41">
        <f>'7. Nettoinvestoinnit '!F264</f>
        <v>-815</v>
      </c>
      <c r="G264" s="41">
        <f>'7. Nettoinvestoinnit '!G264</f>
        <v>-814</v>
      </c>
      <c r="H264" s="41">
        <f>'7. Nettoinvestoinnit '!H264</f>
        <v>-353</v>
      </c>
      <c r="I264" s="41">
        <f>'7. Nettoinvestoinnit '!I264</f>
        <v>-712.24387999999999</v>
      </c>
      <c r="J264" s="73">
        <v>-388.07927000000001</v>
      </c>
      <c r="K264" s="41">
        <v>-1081.0892200000001</v>
      </c>
      <c r="L264" s="41">
        <v>-1046.0640000000001</v>
      </c>
      <c r="M264" s="41">
        <v>-1625.0640000000001</v>
      </c>
      <c r="N264" s="41">
        <v>-2246.2020000000002</v>
      </c>
      <c r="O264" s="174"/>
      <c r="P264" s="174">
        <f t="shared" si="31"/>
        <v>-353</v>
      </c>
      <c r="Q264" s="174">
        <f t="shared" si="32"/>
        <v>-712.24387999999999</v>
      </c>
      <c r="R264" s="174">
        <f t="shared" si="33"/>
        <v>-388.07927000000001</v>
      </c>
      <c r="S264" s="174">
        <f t="shared" si="34"/>
        <v>-1081.0892200000001</v>
      </c>
      <c r="T264" s="174">
        <f t="shared" si="35"/>
        <v>-1046.0640000000001</v>
      </c>
      <c r="U264" s="174">
        <f t="shared" si="36"/>
        <v>-1625.0640000000001</v>
      </c>
      <c r="V264" s="174">
        <f t="shared" si="37"/>
        <v>-2246.2020000000002</v>
      </c>
      <c r="W264" s="174"/>
      <c r="X264" s="73">
        <f t="shared" si="39"/>
        <v>-1064.5346242857145</v>
      </c>
      <c r="Y264" s="339">
        <f t="shared" si="38"/>
        <v>2.8369173663544972E-4</v>
      </c>
      <c r="Z264" s="174"/>
    </row>
    <row r="265" spans="1:26" x14ac:dyDescent="0.25">
      <c r="A265" s="30">
        <v>832</v>
      </c>
      <c r="B265" s="31" t="s">
        <v>579</v>
      </c>
      <c r="C265" s="41">
        <f>'7. Nettoinvestoinnit '!C265</f>
        <v>-3168</v>
      </c>
      <c r="D265" s="41">
        <f>'7. Nettoinvestoinnit '!D265</f>
        <v>-3330</v>
      </c>
      <c r="E265" s="41">
        <f>'7. Nettoinvestoinnit '!E265</f>
        <v>-3709</v>
      </c>
      <c r="F265" s="41">
        <f>'7. Nettoinvestoinnit '!F265</f>
        <v>-3017</v>
      </c>
      <c r="G265" s="41">
        <f>'7. Nettoinvestoinnit '!G265</f>
        <v>-3252</v>
      </c>
      <c r="H265" s="41">
        <f>'7. Nettoinvestoinnit '!H265</f>
        <v>-4222</v>
      </c>
      <c r="I265" s="41">
        <f>'7. Nettoinvestoinnit '!I265</f>
        <v>-3253.9257799999996</v>
      </c>
      <c r="J265" s="73">
        <v>-1405.8399099999999</v>
      </c>
      <c r="K265" s="41">
        <v>-3895.02286</v>
      </c>
      <c r="L265" s="41">
        <v>-3061.5</v>
      </c>
      <c r="M265" s="41">
        <v>-3170</v>
      </c>
      <c r="N265" s="41">
        <v>-2450</v>
      </c>
      <c r="O265" s="174"/>
      <c r="P265" s="174">
        <f t="shared" si="31"/>
        <v>-4222</v>
      </c>
      <c r="Q265" s="174">
        <f t="shared" si="32"/>
        <v>-3253.9257799999996</v>
      </c>
      <c r="R265" s="174">
        <f t="shared" si="33"/>
        <v>-1405.8399099999999</v>
      </c>
      <c r="S265" s="174">
        <f t="shared" si="34"/>
        <v>-3895.02286</v>
      </c>
      <c r="T265" s="174">
        <f t="shared" si="35"/>
        <v>-3061.5</v>
      </c>
      <c r="U265" s="174">
        <f t="shared" si="36"/>
        <v>-3170</v>
      </c>
      <c r="V265" s="174">
        <f t="shared" si="37"/>
        <v>-2450</v>
      </c>
      <c r="W265" s="174"/>
      <c r="X265" s="73">
        <f t="shared" si="39"/>
        <v>-3065.4697928571431</v>
      </c>
      <c r="Y265" s="339">
        <f t="shared" si="38"/>
        <v>8.1692828894379572E-4</v>
      </c>
      <c r="Z265" s="174"/>
    </row>
    <row r="266" spans="1:26" x14ac:dyDescent="0.25">
      <c r="A266" s="30">
        <v>833</v>
      </c>
      <c r="B266" s="31" t="s">
        <v>580</v>
      </c>
      <c r="C266" s="41">
        <f>'7. Nettoinvestoinnit '!C266</f>
        <v>-2671</v>
      </c>
      <c r="D266" s="41">
        <f>'7. Nettoinvestoinnit '!D266</f>
        <v>873</v>
      </c>
      <c r="E266" s="41">
        <f>'7. Nettoinvestoinnit '!E266</f>
        <v>-4</v>
      </c>
      <c r="F266" s="41">
        <f>'7. Nettoinvestoinnit '!F266</f>
        <v>-553</v>
      </c>
      <c r="G266" s="41">
        <f>'7. Nettoinvestoinnit '!G266</f>
        <v>-456</v>
      </c>
      <c r="H266" s="41">
        <f>'7. Nettoinvestoinnit '!H266</f>
        <v>-376</v>
      </c>
      <c r="I266" s="41">
        <f>'7. Nettoinvestoinnit '!I266</f>
        <v>-739.24167</v>
      </c>
      <c r="J266" s="73">
        <v>-463.04822999999999</v>
      </c>
      <c r="K266" s="41">
        <v>-474.54121000000004</v>
      </c>
      <c r="L266" s="41">
        <v>-1224.2</v>
      </c>
      <c r="M266" s="41">
        <v>-1020</v>
      </c>
      <c r="N266" s="41">
        <v>-710</v>
      </c>
      <c r="O266" s="174"/>
      <c r="P266" s="174">
        <f t="shared" si="31"/>
        <v>-376</v>
      </c>
      <c r="Q266" s="174">
        <f t="shared" si="32"/>
        <v>-739.24167</v>
      </c>
      <c r="R266" s="174">
        <f t="shared" si="33"/>
        <v>-463.04822999999999</v>
      </c>
      <c r="S266" s="174">
        <f t="shared" si="34"/>
        <v>-474.54121000000004</v>
      </c>
      <c r="T266" s="174">
        <f t="shared" si="35"/>
        <v>-1224.2</v>
      </c>
      <c r="U266" s="174">
        <f t="shared" si="36"/>
        <v>-1020</v>
      </c>
      <c r="V266" s="174">
        <f t="shared" si="37"/>
        <v>-710</v>
      </c>
      <c r="W266" s="174"/>
      <c r="X266" s="73">
        <f t="shared" si="39"/>
        <v>-715.29015857142861</v>
      </c>
      <c r="Y266" s="339">
        <f t="shared" si="38"/>
        <v>1.9062029797248925E-4</v>
      </c>
      <c r="Z266" s="174"/>
    </row>
    <row r="267" spans="1:26" x14ac:dyDescent="0.25">
      <c r="A267" s="30">
        <v>834</v>
      </c>
      <c r="B267" s="31" t="s">
        <v>581</v>
      </c>
      <c r="C267" s="41">
        <f>'7. Nettoinvestoinnit '!C267</f>
        <v>-2056</v>
      </c>
      <c r="D267" s="41">
        <f>'7. Nettoinvestoinnit '!D267</f>
        <v>-1404</v>
      </c>
      <c r="E267" s="41">
        <f>'7. Nettoinvestoinnit '!E267</f>
        <v>-1914</v>
      </c>
      <c r="F267" s="41">
        <f>'7. Nettoinvestoinnit '!F267</f>
        <v>-1756</v>
      </c>
      <c r="G267" s="41">
        <f>'7. Nettoinvestoinnit '!G267</f>
        <v>-1494</v>
      </c>
      <c r="H267" s="41">
        <f>'7. Nettoinvestoinnit '!H267</f>
        <v>-920</v>
      </c>
      <c r="I267" s="41">
        <f>'7. Nettoinvestoinnit '!I267</f>
        <v>-891.93421999999998</v>
      </c>
      <c r="J267" s="73">
        <v>-3051.2428799999998</v>
      </c>
      <c r="K267" s="41">
        <v>-5960.2790599999998</v>
      </c>
      <c r="L267" s="41">
        <v>-11777</v>
      </c>
      <c r="M267" s="41">
        <v>-8505</v>
      </c>
      <c r="N267" s="41">
        <v>-3160</v>
      </c>
      <c r="O267" s="174"/>
      <c r="P267" s="174">
        <f t="shared" si="31"/>
        <v>-920</v>
      </c>
      <c r="Q267" s="174">
        <f t="shared" si="32"/>
        <v>-891.93421999999998</v>
      </c>
      <c r="R267" s="174">
        <f t="shared" si="33"/>
        <v>-3051.2428799999998</v>
      </c>
      <c r="S267" s="174">
        <f t="shared" si="34"/>
        <v>-5960.2790599999998</v>
      </c>
      <c r="T267" s="174">
        <f t="shared" si="35"/>
        <v>-11777</v>
      </c>
      <c r="U267" s="174">
        <f t="shared" si="36"/>
        <v>-8505</v>
      </c>
      <c r="V267" s="174">
        <f t="shared" si="37"/>
        <v>-3160</v>
      </c>
      <c r="W267" s="174"/>
      <c r="X267" s="73">
        <f t="shared" si="39"/>
        <v>-4895.0651657142862</v>
      </c>
      <c r="Y267" s="339">
        <f t="shared" si="38"/>
        <v>1.304503870634522E-3</v>
      </c>
      <c r="Z267" s="174"/>
    </row>
    <row r="268" spans="1:26" x14ac:dyDescent="0.25">
      <c r="A268" s="30">
        <v>837</v>
      </c>
      <c r="B268" s="31" t="s">
        <v>582</v>
      </c>
      <c r="C268" s="41">
        <f>'7. Nettoinvestoinnit '!C268</f>
        <v>-178794</v>
      </c>
      <c r="D268" s="41">
        <f>'7. Nettoinvestoinnit '!D268</f>
        <v>-199647</v>
      </c>
      <c r="E268" s="41">
        <f>'7. Nettoinvestoinnit '!E268</f>
        <v>-118486</v>
      </c>
      <c r="F268" s="41">
        <f>'7. Nettoinvestoinnit '!F268</f>
        <v>-167502</v>
      </c>
      <c r="G268" s="41">
        <f>'7. Nettoinvestoinnit '!G268</f>
        <v>-120358</v>
      </c>
      <c r="H268" s="41">
        <f>'7. Nettoinvestoinnit '!H268</f>
        <v>-177227</v>
      </c>
      <c r="I268" s="41">
        <f>'7. Nettoinvestoinnit '!I268</f>
        <v>-125283.14090000001</v>
      </c>
      <c r="J268" s="73">
        <v>-215759.96902000002</v>
      </c>
      <c r="K268" s="41">
        <v>-195636.31946</v>
      </c>
      <c r="L268" s="41">
        <v>167773.83300000001</v>
      </c>
      <c r="M268" s="41">
        <v>-203246</v>
      </c>
      <c r="N268" s="41">
        <v>-215312</v>
      </c>
      <c r="O268" s="174"/>
      <c r="P268" s="174">
        <f t="shared" si="31"/>
        <v>-177227</v>
      </c>
      <c r="Q268" s="174">
        <f t="shared" si="32"/>
        <v>-125283.14090000001</v>
      </c>
      <c r="R268" s="174">
        <f t="shared" si="33"/>
        <v>-215759.96902000002</v>
      </c>
      <c r="S268" s="174">
        <f t="shared" si="34"/>
        <v>-195636.31946</v>
      </c>
      <c r="T268" s="174">
        <f t="shared" si="35"/>
        <v>-195636.31946</v>
      </c>
      <c r="U268" s="174">
        <f t="shared" si="36"/>
        <v>-203246</v>
      </c>
      <c r="V268" s="174">
        <f t="shared" si="37"/>
        <v>-215312</v>
      </c>
      <c r="W268" s="174"/>
      <c r="X268" s="73">
        <f t="shared" si="39"/>
        <v>-189728.67840571428</v>
      </c>
      <c r="Y268" s="339">
        <f t="shared" si="38"/>
        <v>5.0561491414693224E-2</v>
      </c>
      <c r="Z268" s="174"/>
    </row>
    <row r="269" spans="1:26" x14ac:dyDescent="0.25">
      <c r="A269" s="30">
        <v>844</v>
      </c>
      <c r="B269" s="31" t="s">
        <v>583</v>
      </c>
      <c r="C269" s="41">
        <f>'7. Nettoinvestoinnit '!C269</f>
        <v>-227</v>
      </c>
      <c r="D269" s="41">
        <f>'7. Nettoinvestoinnit '!D269</f>
        <v>-708</v>
      </c>
      <c r="E269" s="41">
        <f>'7. Nettoinvestoinnit '!E269</f>
        <v>-92</v>
      </c>
      <c r="F269" s="41">
        <f>'7. Nettoinvestoinnit '!F269</f>
        <v>56</v>
      </c>
      <c r="G269" s="41">
        <f>'7. Nettoinvestoinnit '!G269</f>
        <v>237</v>
      </c>
      <c r="H269" s="41">
        <f>'7. Nettoinvestoinnit '!H269</f>
        <v>-637</v>
      </c>
      <c r="I269" s="41">
        <f>'7. Nettoinvestoinnit '!I269</f>
        <v>-15.15178</v>
      </c>
      <c r="J269" s="73">
        <v>75.63239999999999</v>
      </c>
      <c r="K269" s="41">
        <v>-207.37461999999999</v>
      </c>
      <c r="L269" s="41">
        <v>-143</v>
      </c>
      <c r="M269" s="41">
        <v>-103</v>
      </c>
      <c r="N269" s="41">
        <v>-103</v>
      </c>
      <c r="O269" s="174"/>
      <c r="P269" s="174">
        <f t="shared" si="31"/>
        <v>-637</v>
      </c>
      <c r="Q269" s="174">
        <f t="shared" si="32"/>
        <v>-15.15178</v>
      </c>
      <c r="R269" s="174">
        <f t="shared" si="33"/>
        <v>-15.15178</v>
      </c>
      <c r="S269" s="174">
        <f t="shared" si="34"/>
        <v>-207.37461999999999</v>
      </c>
      <c r="T269" s="174">
        <f t="shared" si="35"/>
        <v>-143</v>
      </c>
      <c r="U269" s="174">
        <f t="shared" si="36"/>
        <v>-103</v>
      </c>
      <c r="V269" s="174">
        <f t="shared" si="37"/>
        <v>-103</v>
      </c>
      <c r="W269" s="174"/>
      <c r="X269" s="73">
        <f t="shared" si="39"/>
        <v>-174.8111685714286</v>
      </c>
      <c r="Y269" s="339">
        <f t="shared" si="38"/>
        <v>4.658606950297805E-5</v>
      </c>
      <c r="Z269" s="174"/>
    </row>
    <row r="270" spans="1:26" x14ac:dyDescent="0.25">
      <c r="A270" s="30">
        <v>845</v>
      </c>
      <c r="B270" s="31" t="s">
        <v>584</v>
      </c>
      <c r="C270" s="41">
        <f>'7. Nettoinvestoinnit '!C270</f>
        <v>-1141</v>
      </c>
      <c r="D270" s="41">
        <f>'7. Nettoinvestoinnit '!D270</f>
        <v>-461</v>
      </c>
      <c r="E270" s="41">
        <f>'7. Nettoinvestoinnit '!E270</f>
        <v>-528</v>
      </c>
      <c r="F270" s="41">
        <f>'7. Nettoinvestoinnit '!F270</f>
        <v>-1086</v>
      </c>
      <c r="G270" s="41">
        <f>'7. Nettoinvestoinnit '!G270</f>
        <v>-1077</v>
      </c>
      <c r="H270" s="41">
        <f>'7. Nettoinvestoinnit '!H270</f>
        <v>-972</v>
      </c>
      <c r="I270" s="41">
        <f>'7. Nettoinvestoinnit '!I270</f>
        <v>-792.76832999999999</v>
      </c>
      <c r="J270" s="73">
        <v>-1710.29702</v>
      </c>
      <c r="K270" s="41">
        <v>-1445.7585800000002</v>
      </c>
      <c r="L270" s="41">
        <v>-4267.2</v>
      </c>
      <c r="M270" s="41">
        <v>-4225.2</v>
      </c>
      <c r="N270" s="41">
        <v>-1775.5</v>
      </c>
      <c r="O270" s="174"/>
      <c r="P270" s="174">
        <f t="shared" si="31"/>
        <v>-972</v>
      </c>
      <c r="Q270" s="174">
        <f t="shared" si="32"/>
        <v>-792.76832999999999</v>
      </c>
      <c r="R270" s="174">
        <f t="shared" si="33"/>
        <v>-1710.29702</v>
      </c>
      <c r="S270" s="174">
        <f t="shared" si="34"/>
        <v>-1445.7585800000002</v>
      </c>
      <c r="T270" s="174">
        <f t="shared" si="35"/>
        <v>-4267.2</v>
      </c>
      <c r="U270" s="174">
        <f t="shared" si="36"/>
        <v>-4225.2</v>
      </c>
      <c r="V270" s="174">
        <f t="shared" si="37"/>
        <v>-1775.5</v>
      </c>
      <c r="W270" s="174"/>
      <c r="X270" s="73">
        <f t="shared" si="39"/>
        <v>-2169.8177042857142</v>
      </c>
      <c r="Y270" s="339">
        <f t="shared" si="38"/>
        <v>5.7824267869557486E-4</v>
      </c>
      <c r="Z270" s="174"/>
    </row>
    <row r="271" spans="1:26" x14ac:dyDescent="0.25">
      <c r="A271" s="30">
        <v>846</v>
      </c>
      <c r="B271" s="31" t="s">
        <v>585</v>
      </c>
      <c r="C271" s="41">
        <f>'7. Nettoinvestoinnit '!C271</f>
        <v>-3850</v>
      </c>
      <c r="D271" s="41">
        <f>'7. Nettoinvestoinnit '!D271</f>
        <v>831</v>
      </c>
      <c r="E271" s="41">
        <f>'7. Nettoinvestoinnit '!E271</f>
        <v>-1011</v>
      </c>
      <c r="F271" s="41">
        <f>'7. Nettoinvestoinnit '!F271</f>
        <v>-709</v>
      </c>
      <c r="G271" s="41">
        <f>'7. Nettoinvestoinnit '!G271</f>
        <v>-29</v>
      </c>
      <c r="H271" s="41">
        <f>'7. Nettoinvestoinnit '!H271</f>
        <v>-844</v>
      </c>
      <c r="I271" s="41">
        <f>'7. Nettoinvestoinnit '!I271</f>
        <v>-1655.36969</v>
      </c>
      <c r="J271" s="73">
        <v>-652.38643999999999</v>
      </c>
      <c r="K271" s="41">
        <v>737.3043100000001</v>
      </c>
      <c r="L271" s="41">
        <v>-2456.3000000000002</v>
      </c>
      <c r="M271" s="41">
        <v>-3098.3000299999999</v>
      </c>
      <c r="N271" s="41">
        <v>-2890.3000299999999</v>
      </c>
      <c r="O271" s="174"/>
      <c r="P271" s="174">
        <f t="shared" ref="P271:P307" si="40">IF(H271&lt;0,H271,G271)</f>
        <v>-844</v>
      </c>
      <c r="Q271" s="174">
        <f t="shared" ref="Q271:Q307" si="41">IF(I271&lt;0,I271,H271)</f>
        <v>-1655.36969</v>
      </c>
      <c r="R271" s="174">
        <f t="shared" ref="R271:R307" si="42">IF(J271&lt;0,J271,I271)</f>
        <v>-652.38643999999999</v>
      </c>
      <c r="S271" s="174">
        <f t="shared" ref="S271:S307" si="43">IF(K271&lt;0,K271,J271)</f>
        <v>-652.38643999999999</v>
      </c>
      <c r="T271" s="174">
        <f t="shared" ref="T271:T307" si="44">IF(L271&lt;0,L271,K271)</f>
        <v>-2456.3000000000002</v>
      </c>
      <c r="U271" s="174">
        <f t="shared" ref="U271:U307" si="45">IF(M271&lt;0,M271,L271)</f>
        <v>-3098.3000299999999</v>
      </c>
      <c r="V271" s="174">
        <f t="shared" ref="V271:V307" si="46">IF(N271&lt;0,N271,M271)</f>
        <v>-2890.3000299999999</v>
      </c>
      <c r="W271" s="174"/>
      <c r="X271" s="73">
        <f t="shared" si="39"/>
        <v>-1749.8632328571427</v>
      </c>
      <c r="Y271" s="339">
        <f t="shared" ref="Y271:Y307" si="47">X271/$X$12</f>
        <v>4.6632747125238515E-4</v>
      </c>
      <c r="Z271" s="174"/>
    </row>
    <row r="272" spans="1:26" x14ac:dyDescent="0.25">
      <c r="A272" s="30">
        <v>848</v>
      </c>
      <c r="B272" s="31" t="s">
        <v>586</v>
      </c>
      <c r="C272" s="41">
        <f>'7. Nettoinvestoinnit '!C272</f>
        <v>-1600</v>
      </c>
      <c r="D272" s="41">
        <f>'7. Nettoinvestoinnit '!D272</f>
        <v>-1450</v>
      </c>
      <c r="E272" s="41">
        <f>'7. Nettoinvestoinnit '!E272</f>
        <v>-1096</v>
      </c>
      <c r="F272" s="41">
        <f>'7. Nettoinvestoinnit '!F272</f>
        <v>-2021</v>
      </c>
      <c r="G272" s="41">
        <f>'7. Nettoinvestoinnit '!G272</f>
        <v>-2718</v>
      </c>
      <c r="H272" s="41">
        <f>'7. Nettoinvestoinnit '!H272</f>
        <v>-2170</v>
      </c>
      <c r="I272" s="41">
        <f>'7. Nettoinvestoinnit '!I272</f>
        <v>-1604.0766000000001</v>
      </c>
      <c r="J272" s="73">
        <v>-1043.06069</v>
      </c>
      <c r="K272" s="41">
        <v>-1327.3822700000001</v>
      </c>
      <c r="L272" s="41">
        <v>-1059</v>
      </c>
      <c r="M272" s="41">
        <v>-320</v>
      </c>
      <c r="N272" s="41">
        <v>-530</v>
      </c>
      <c r="O272" s="174"/>
      <c r="P272" s="174">
        <f t="shared" si="40"/>
        <v>-2170</v>
      </c>
      <c r="Q272" s="174">
        <f t="shared" si="41"/>
        <v>-1604.0766000000001</v>
      </c>
      <c r="R272" s="174">
        <f t="shared" si="42"/>
        <v>-1043.06069</v>
      </c>
      <c r="S272" s="174">
        <f t="shared" si="43"/>
        <v>-1327.3822700000001</v>
      </c>
      <c r="T272" s="174">
        <f t="shared" si="44"/>
        <v>-1059</v>
      </c>
      <c r="U272" s="174">
        <f t="shared" si="45"/>
        <v>-320</v>
      </c>
      <c r="V272" s="174">
        <f t="shared" si="46"/>
        <v>-530</v>
      </c>
      <c r="W272" s="174"/>
      <c r="X272" s="73">
        <f t="shared" ref="X272:X307" si="48">AVERAGE(P272:V272)</f>
        <v>-1150.5027942857143</v>
      </c>
      <c r="Y272" s="339">
        <f t="shared" si="47"/>
        <v>3.0660170958164278E-4</v>
      </c>
      <c r="Z272" s="174"/>
    </row>
    <row r="273" spans="1:26" x14ac:dyDescent="0.25">
      <c r="A273" s="30">
        <v>849</v>
      </c>
      <c r="B273" s="31" t="s">
        <v>587</v>
      </c>
      <c r="C273" s="41">
        <f>'7. Nettoinvestoinnit '!C273</f>
        <v>-2114</v>
      </c>
      <c r="D273" s="41">
        <f>'7. Nettoinvestoinnit '!D273</f>
        <v>-369</v>
      </c>
      <c r="E273" s="41">
        <f>'7. Nettoinvestoinnit '!E273</f>
        <v>-632</v>
      </c>
      <c r="F273" s="41">
        <f>'7. Nettoinvestoinnit '!F273</f>
        <v>123</v>
      </c>
      <c r="G273" s="41">
        <f>'7. Nettoinvestoinnit '!G273</f>
        <v>-596</v>
      </c>
      <c r="H273" s="41">
        <f>'7. Nettoinvestoinnit '!H273</f>
        <v>-1945</v>
      </c>
      <c r="I273" s="41">
        <f>'7. Nettoinvestoinnit '!I273</f>
        <v>-2292.7637100000002</v>
      </c>
      <c r="J273" s="73">
        <v>-1679.1700700000001</v>
      </c>
      <c r="K273" s="41">
        <v>1365.0509999999999</v>
      </c>
      <c r="L273" s="41">
        <v>-510</v>
      </c>
      <c r="M273" s="41">
        <v>-827.5</v>
      </c>
      <c r="N273" s="41">
        <v>-587.5</v>
      </c>
      <c r="O273" s="174"/>
      <c r="P273" s="174">
        <f t="shared" si="40"/>
        <v>-1945</v>
      </c>
      <c r="Q273" s="174">
        <f t="shared" si="41"/>
        <v>-2292.7637100000002</v>
      </c>
      <c r="R273" s="174">
        <f t="shared" si="42"/>
        <v>-1679.1700700000001</v>
      </c>
      <c r="S273" s="174">
        <f t="shared" si="43"/>
        <v>-1679.1700700000001</v>
      </c>
      <c r="T273" s="174">
        <f t="shared" si="44"/>
        <v>-510</v>
      </c>
      <c r="U273" s="174">
        <f t="shared" si="45"/>
        <v>-827.5</v>
      </c>
      <c r="V273" s="174">
        <f t="shared" si="46"/>
        <v>-587.5</v>
      </c>
      <c r="W273" s="174"/>
      <c r="X273" s="73">
        <f t="shared" si="48"/>
        <v>-1360.1576928571428</v>
      </c>
      <c r="Y273" s="339">
        <f t="shared" si="47"/>
        <v>3.6247341249573628E-4</v>
      </c>
      <c r="Z273" s="174"/>
    </row>
    <row r="274" spans="1:26" x14ac:dyDescent="0.25">
      <c r="A274" s="30">
        <v>850</v>
      </c>
      <c r="B274" s="31" t="s">
        <v>588</v>
      </c>
      <c r="C274" s="41">
        <f>'7. Nettoinvestoinnit '!C274</f>
        <v>-2508</v>
      </c>
      <c r="D274" s="41">
        <f>'7. Nettoinvestoinnit '!D274</f>
        <v>-2991</v>
      </c>
      <c r="E274" s="41">
        <f>'7. Nettoinvestoinnit '!E274</f>
        <v>-1254</v>
      </c>
      <c r="F274" s="41">
        <f>'7. Nettoinvestoinnit '!F274</f>
        <v>-1762</v>
      </c>
      <c r="G274" s="41">
        <f>'7. Nettoinvestoinnit '!G274</f>
        <v>-464</v>
      </c>
      <c r="H274" s="41">
        <f>'7. Nettoinvestoinnit '!H274</f>
        <v>-468</v>
      </c>
      <c r="I274" s="41">
        <f>'7. Nettoinvestoinnit '!I274</f>
        <v>-519.21400000000006</v>
      </c>
      <c r="J274" s="73">
        <v>-201.40384</v>
      </c>
      <c r="K274" s="41">
        <v>-177.70939999999999</v>
      </c>
      <c r="L274" s="41">
        <v>-1390</v>
      </c>
      <c r="M274" s="41">
        <v>-1207</v>
      </c>
      <c r="N274" s="41">
        <v>-455</v>
      </c>
      <c r="O274" s="174"/>
      <c r="P274" s="174">
        <f t="shared" si="40"/>
        <v>-468</v>
      </c>
      <c r="Q274" s="174">
        <f t="shared" si="41"/>
        <v>-519.21400000000006</v>
      </c>
      <c r="R274" s="174">
        <f t="shared" si="42"/>
        <v>-201.40384</v>
      </c>
      <c r="S274" s="174">
        <f t="shared" si="43"/>
        <v>-177.70939999999999</v>
      </c>
      <c r="T274" s="174">
        <f t="shared" si="44"/>
        <v>-1390</v>
      </c>
      <c r="U274" s="174">
        <f t="shared" si="45"/>
        <v>-1207</v>
      </c>
      <c r="V274" s="174">
        <f t="shared" si="46"/>
        <v>-455</v>
      </c>
      <c r="W274" s="73"/>
      <c r="X274" s="73">
        <f t="shared" si="48"/>
        <v>-631.18960571428579</v>
      </c>
      <c r="Y274" s="339">
        <f t="shared" si="47"/>
        <v>1.6820803316893433E-4</v>
      </c>
      <c r="Z274" s="73"/>
    </row>
    <row r="275" spans="1:26" x14ac:dyDescent="0.25">
      <c r="A275" s="30">
        <v>851</v>
      </c>
      <c r="B275" s="31" t="s">
        <v>589</v>
      </c>
      <c r="C275" s="41">
        <f>'7. Nettoinvestoinnit '!C275</f>
        <v>-6334</v>
      </c>
      <c r="D275" s="41">
        <f>'7. Nettoinvestoinnit '!D275</f>
        <v>-2164</v>
      </c>
      <c r="E275" s="41">
        <f>'7. Nettoinvestoinnit '!E275</f>
        <v>-6259</v>
      </c>
      <c r="F275" s="41">
        <f>'7. Nettoinvestoinnit '!F275</f>
        <v>-7954</v>
      </c>
      <c r="G275" s="41">
        <f>'7. Nettoinvestoinnit '!G275</f>
        <v>-4796</v>
      </c>
      <c r="H275" s="41">
        <f>'7. Nettoinvestoinnit '!H275</f>
        <v>-7073</v>
      </c>
      <c r="I275" s="41">
        <f>'7. Nettoinvestoinnit '!I275</f>
        <v>-9162.6372300000003</v>
      </c>
      <c r="J275" s="73">
        <v>-6712.4748499999996</v>
      </c>
      <c r="K275" s="41">
        <v>-7739.2220599999991</v>
      </c>
      <c r="L275" s="41">
        <v>-7450</v>
      </c>
      <c r="M275" s="41">
        <v>-6767</v>
      </c>
      <c r="N275" s="41">
        <v>-6509</v>
      </c>
      <c r="O275" s="174"/>
      <c r="P275" s="174">
        <f t="shared" si="40"/>
        <v>-7073</v>
      </c>
      <c r="Q275" s="174">
        <f t="shared" si="41"/>
        <v>-9162.6372300000003</v>
      </c>
      <c r="R275" s="174">
        <f t="shared" si="42"/>
        <v>-6712.4748499999996</v>
      </c>
      <c r="S275" s="174">
        <f t="shared" si="43"/>
        <v>-7739.2220599999991</v>
      </c>
      <c r="T275" s="174">
        <f t="shared" si="44"/>
        <v>-7450</v>
      </c>
      <c r="U275" s="174">
        <f t="shared" si="45"/>
        <v>-6767</v>
      </c>
      <c r="V275" s="174">
        <f t="shared" si="46"/>
        <v>-6509</v>
      </c>
      <c r="W275" s="73"/>
      <c r="X275" s="73">
        <f t="shared" si="48"/>
        <v>-7344.7620200000001</v>
      </c>
      <c r="Y275" s="339">
        <f t="shared" si="47"/>
        <v>1.9573325705831202E-3</v>
      </c>
      <c r="Z275" s="73"/>
    </row>
    <row r="276" spans="1:26" x14ac:dyDescent="0.25">
      <c r="A276" s="30">
        <v>853</v>
      </c>
      <c r="B276" s="31" t="s">
        <v>590</v>
      </c>
      <c r="C276" s="41">
        <f>'7. Nettoinvestoinnit '!C276</f>
        <v>96292</v>
      </c>
      <c r="D276" s="41">
        <f>'7. Nettoinvestoinnit '!D276</f>
        <v>-51422</v>
      </c>
      <c r="E276" s="41">
        <f>'7. Nettoinvestoinnit '!E276</f>
        <v>15756</v>
      </c>
      <c r="F276" s="41">
        <f>'7. Nettoinvestoinnit '!F276</f>
        <v>-60118</v>
      </c>
      <c r="G276" s="41">
        <f>'7. Nettoinvestoinnit '!G276</f>
        <v>-83424</v>
      </c>
      <c r="H276" s="41">
        <f>'7. Nettoinvestoinnit '!H276</f>
        <v>-52621</v>
      </c>
      <c r="I276" s="41">
        <f>'7. Nettoinvestoinnit '!I276</f>
        <v>-104918.84858000001</v>
      </c>
      <c r="J276" s="73">
        <v>-74179.637889999998</v>
      </c>
      <c r="K276" s="41">
        <v>-150082.72400999998</v>
      </c>
      <c r="L276" s="41">
        <v>-240427.28376000002</v>
      </c>
      <c r="M276" s="41">
        <v>-327753.41027999995</v>
      </c>
      <c r="N276" s="41">
        <v>-403030.12488000002</v>
      </c>
      <c r="O276" s="174"/>
      <c r="P276" s="174">
        <f t="shared" si="40"/>
        <v>-52621</v>
      </c>
      <c r="Q276" s="174">
        <f t="shared" si="41"/>
        <v>-104918.84858000001</v>
      </c>
      <c r="R276" s="174">
        <f t="shared" si="42"/>
        <v>-74179.637889999998</v>
      </c>
      <c r="S276" s="174">
        <f t="shared" si="43"/>
        <v>-150082.72400999998</v>
      </c>
      <c r="T276" s="174">
        <f t="shared" si="44"/>
        <v>-240427.28376000002</v>
      </c>
      <c r="U276" s="174">
        <f t="shared" si="45"/>
        <v>-327753.41027999995</v>
      </c>
      <c r="V276" s="174">
        <f t="shared" si="46"/>
        <v>-403030.12488000002</v>
      </c>
      <c r="W276" s="73"/>
      <c r="X276" s="73">
        <f t="shared" si="48"/>
        <v>-193287.57562857142</v>
      </c>
      <c r="Y276" s="339">
        <f t="shared" si="47"/>
        <v>5.1509914989301582E-2</v>
      </c>
      <c r="Z276" s="73"/>
    </row>
    <row r="277" spans="1:26" x14ac:dyDescent="0.25">
      <c r="A277" s="30">
        <v>854</v>
      </c>
      <c r="B277" s="31" t="s">
        <v>591</v>
      </c>
      <c r="C277" s="41">
        <f>'7. Nettoinvestoinnit '!C277</f>
        <v>275</v>
      </c>
      <c r="D277" s="41">
        <f>'7. Nettoinvestoinnit '!D277</f>
        <v>-1436</v>
      </c>
      <c r="E277" s="41">
        <f>'7. Nettoinvestoinnit '!E277</f>
        <v>-944</v>
      </c>
      <c r="F277" s="41">
        <f>'7. Nettoinvestoinnit '!F277</f>
        <v>-607</v>
      </c>
      <c r="G277" s="41">
        <f>'7. Nettoinvestoinnit '!G277</f>
        <v>-200</v>
      </c>
      <c r="H277" s="41">
        <f>'7. Nettoinvestoinnit '!H277</f>
        <v>-405</v>
      </c>
      <c r="I277" s="41">
        <f>'7. Nettoinvestoinnit '!I277</f>
        <v>-518.09213999999997</v>
      </c>
      <c r="J277" s="73">
        <v>-1110.4290900000001</v>
      </c>
      <c r="K277" s="41">
        <v>-501.25704999999999</v>
      </c>
      <c r="L277" s="41">
        <v>-860.5</v>
      </c>
      <c r="M277" s="41">
        <v>-430</v>
      </c>
      <c r="N277" s="41">
        <v>-1600</v>
      </c>
      <c r="O277" s="174"/>
      <c r="P277" s="174">
        <f t="shared" si="40"/>
        <v>-405</v>
      </c>
      <c r="Q277" s="174">
        <f t="shared" si="41"/>
        <v>-518.09213999999997</v>
      </c>
      <c r="R277" s="174">
        <f t="shared" si="42"/>
        <v>-1110.4290900000001</v>
      </c>
      <c r="S277" s="174">
        <f t="shared" si="43"/>
        <v>-501.25704999999999</v>
      </c>
      <c r="T277" s="174">
        <f t="shared" si="44"/>
        <v>-860.5</v>
      </c>
      <c r="U277" s="174">
        <f t="shared" si="45"/>
        <v>-430</v>
      </c>
      <c r="V277" s="174">
        <f t="shared" si="46"/>
        <v>-1600</v>
      </c>
      <c r="W277" s="73"/>
      <c r="X277" s="73">
        <f t="shared" si="48"/>
        <v>-775.03975428571437</v>
      </c>
      <c r="Y277" s="339">
        <f t="shared" si="47"/>
        <v>2.0654318689009984E-4</v>
      </c>
      <c r="Z277" s="73"/>
    </row>
    <row r="278" spans="1:26" x14ac:dyDescent="0.25">
      <c r="A278" s="30">
        <v>857</v>
      </c>
      <c r="B278" s="31" t="s">
        <v>592</v>
      </c>
      <c r="C278" s="41">
        <f>'7. Nettoinvestoinnit '!C278</f>
        <v>-1307</v>
      </c>
      <c r="D278" s="41">
        <f>'7. Nettoinvestoinnit '!D278</f>
        <v>-273</v>
      </c>
      <c r="E278" s="41">
        <f>'7. Nettoinvestoinnit '!E278</f>
        <v>-585</v>
      </c>
      <c r="F278" s="41">
        <f>'7. Nettoinvestoinnit '!F278</f>
        <v>-670</v>
      </c>
      <c r="G278" s="41">
        <f>'7. Nettoinvestoinnit '!G278</f>
        <v>-1032</v>
      </c>
      <c r="H278" s="41">
        <f>'7. Nettoinvestoinnit '!H278</f>
        <v>-759</v>
      </c>
      <c r="I278" s="41">
        <f>'7. Nettoinvestoinnit '!I278</f>
        <v>-272.86925000000002</v>
      </c>
      <c r="J278" s="73">
        <v>-261.20366000000001</v>
      </c>
      <c r="K278" s="41">
        <v>-517.23054999999999</v>
      </c>
      <c r="L278" s="41">
        <v>-860</v>
      </c>
      <c r="M278" s="41">
        <v>-540</v>
      </c>
      <c r="N278" s="41">
        <v>-645</v>
      </c>
      <c r="O278" s="174"/>
      <c r="P278" s="174">
        <f t="shared" si="40"/>
        <v>-759</v>
      </c>
      <c r="Q278" s="174">
        <f t="shared" si="41"/>
        <v>-272.86925000000002</v>
      </c>
      <c r="R278" s="174">
        <f t="shared" si="42"/>
        <v>-261.20366000000001</v>
      </c>
      <c r="S278" s="174">
        <f t="shared" si="43"/>
        <v>-517.23054999999999</v>
      </c>
      <c r="T278" s="174">
        <f t="shared" si="44"/>
        <v>-860</v>
      </c>
      <c r="U278" s="174">
        <f t="shared" si="45"/>
        <v>-540</v>
      </c>
      <c r="V278" s="174">
        <f t="shared" si="46"/>
        <v>-645</v>
      </c>
      <c r="W278" s="73"/>
      <c r="X278" s="73">
        <f t="shared" si="48"/>
        <v>-550.75763714285711</v>
      </c>
      <c r="Y278" s="339">
        <f t="shared" si="47"/>
        <v>1.4677342284769002E-4</v>
      </c>
      <c r="Z278" s="73"/>
    </row>
    <row r="279" spans="1:26" x14ac:dyDescent="0.25">
      <c r="A279" s="30">
        <v>858</v>
      </c>
      <c r="B279" s="31" t="s">
        <v>593</v>
      </c>
      <c r="C279" s="41">
        <f>'7. Nettoinvestoinnit '!C279</f>
        <v>-16174</v>
      </c>
      <c r="D279" s="41">
        <f>'7. Nettoinvestoinnit '!D279</f>
        <v>-18831</v>
      </c>
      <c r="E279" s="41">
        <f>'7. Nettoinvestoinnit '!E279</f>
        <v>-27262</v>
      </c>
      <c r="F279" s="41">
        <f>'7. Nettoinvestoinnit '!F279</f>
        <v>-28013</v>
      </c>
      <c r="G279" s="41">
        <f>'7. Nettoinvestoinnit '!G279</f>
        <v>-27685</v>
      </c>
      <c r="H279" s="41">
        <f>'7. Nettoinvestoinnit '!H279</f>
        <v>-18402</v>
      </c>
      <c r="I279" s="41">
        <f>'7. Nettoinvestoinnit '!I279</f>
        <v>-21430.459800000001</v>
      </c>
      <c r="J279" s="73">
        <v>-44786.008240000003</v>
      </c>
      <c r="K279" s="41">
        <v>-69789.975409999999</v>
      </c>
      <c r="L279" s="41">
        <v>-75892</v>
      </c>
      <c r="M279" s="41">
        <v>-52827</v>
      </c>
      <c r="N279" s="41">
        <v>-35651</v>
      </c>
      <c r="O279" s="174"/>
      <c r="P279" s="174">
        <f t="shared" si="40"/>
        <v>-18402</v>
      </c>
      <c r="Q279" s="174">
        <f t="shared" si="41"/>
        <v>-21430.459800000001</v>
      </c>
      <c r="R279" s="174">
        <f t="shared" si="42"/>
        <v>-44786.008240000003</v>
      </c>
      <c r="S279" s="174">
        <f t="shared" si="43"/>
        <v>-69789.975409999999</v>
      </c>
      <c r="T279" s="174">
        <f t="shared" si="44"/>
        <v>-75892</v>
      </c>
      <c r="U279" s="174">
        <f t="shared" si="45"/>
        <v>-52827</v>
      </c>
      <c r="V279" s="174">
        <f t="shared" si="46"/>
        <v>-35651</v>
      </c>
      <c r="W279" s="73"/>
      <c r="X279" s="73">
        <f t="shared" si="48"/>
        <v>-45539.777635714287</v>
      </c>
      <c r="Y279" s="339">
        <f t="shared" si="47"/>
        <v>1.213606237762028E-2</v>
      </c>
      <c r="Z279" s="73"/>
    </row>
    <row r="280" spans="1:26" x14ac:dyDescent="0.25">
      <c r="A280" s="30">
        <v>859</v>
      </c>
      <c r="B280" s="31" t="s">
        <v>594</v>
      </c>
      <c r="C280" s="41">
        <f>'7. Nettoinvestoinnit '!C280</f>
        <v>-1887</v>
      </c>
      <c r="D280" s="41">
        <f>'7. Nettoinvestoinnit '!D280</f>
        <v>-8496</v>
      </c>
      <c r="E280" s="41">
        <f>'7. Nettoinvestoinnit '!E280</f>
        <v>-7725</v>
      </c>
      <c r="F280" s="41">
        <f>'7. Nettoinvestoinnit '!F280</f>
        <v>-2518</v>
      </c>
      <c r="G280" s="41">
        <f>'7. Nettoinvestoinnit '!G280</f>
        <v>-505</v>
      </c>
      <c r="H280" s="41">
        <f>'7. Nettoinvestoinnit '!H280</f>
        <v>-942</v>
      </c>
      <c r="I280" s="41">
        <f>'7. Nettoinvestoinnit '!I280</f>
        <v>-920.57237999999995</v>
      </c>
      <c r="J280" s="73">
        <v>-1485.5996399999999</v>
      </c>
      <c r="K280" s="41">
        <v>-4046.1115800000002</v>
      </c>
      <c r="L280" s="41">
        <v>-9435</v>
      </c>
      <c r="M280" s="41">
        <v>-2935</v>
      </c>
      <c r="N280" s="41">
        <v>-2885</v>
      </c>
      <c r="O280" s="174"/>
      <c r="P280" s="174">
        <f t="shared" si="40"/>
        <v>-942</v>
      </c>
      <c r="Q280" s="174">
        <f t="shared" si="41"/>
        <v>-920.57237999999995</v>
      </c>
      <c r="R280" s="174">
        <f t="shared" si="42"/>
        <v>-1485.5996399999999</v>
      </c>
      <c r="S280" s="174">
        <f t="shared" si="43"/>
        <v>-4046.1115800000002</v>
      </c>
      <c r="T280" s="174">
        <f t="shared" si="44"/>
        <v>-9435</v>
      </c>
      <c r="U280" s="174">
        <f t="shared" si="45"/>
        <v>-2935</v>
      </c>
      <c r="V280" s="174">
        <f t="shared" si="46"/>
        <v>-2885</v>
      </c>
      <c r="W280" s="73"/>
      <c r="X280" s="73">
        <f t="shared" si="48"/>
        <v>-3235.6119428571433</v>
      </c>
      <c r="Y280" s="339">
        <f t="shared" si="47"/>
        <v>8.622700945621675E-4</v>
      </c>
      <c r="Z280" s="73"/>
    </row>
    <row r="281" spans="1:26" x14ac:dyDescent="0.25">
      <c r="A281" s="30">
        <v>886</v>
      </c>
      <c r="B281" s="31" t="s">
        <v>595</v>
      </c>
      <c r="C281" s="41">
        <f>'7. Nettoinvestoinnit '!C281</f>
        <v>-2907</v>
      </c>
      <c r="D281" s="41">
        <f>'7. Nettoinvestoinnit '!D281</f>
        <v>-2365</v>
      </c>
      <c r="E281" s="41">
        <f>'7. Nettoinvestoinnit '!E281</f>
        <v>-4577</v>
      </c>
      <c r="F281" s="41">
        <f>'7. Nettoinvestoinnit '!F281</f>
        <v>-4736</v>
      </c>
      <c r="G281" s="41">
        <f>'7. Nettoinvestoinnit '!G281</f>
        <v>-833</v>
      </c>
      <c r="H281" s="41">
        <f>'7. Nettoinvestoinnit '!H281</f>
        <v>-2355</v>
      </c>
      <c r="I281" s="41">
        <f>'7. Nettoinvestoinnit '!I281</f>
        <v>-2322.9662599999997</v>
      </c>
      <c r="J281" s="73">
        <v>-2002.9123</v>
      </c>
      <c r="K281" s="41">
        <v>-4641.2268199999999</v>
      </c>
      <c r="L281" s="41">
        <v>-5260</v>
      </c>
      <c r="M281" s="41">
        <v>-9925</v>
      </c>
      <c r="N281" s="41">
        <v>-10030</v>
      </c>
      <c r="O281" s="174"/>
      <c r="P281" s="174">
        <f t="shared" si="40"/>
        <v>-2355</v>
      </c>
      <c r="Q281" s="174">
        <f t="shared" si="41"/>
        <v>-2322.9662599999997</v>
      </c>
      <c r="R281" s="174">
        <f t="shared" si="42"/>
        <v>-2002.9123</v>
      </c>
      <c r="S281" s="174">
        <f t="shared" si="43"/>
        <v>-4641.2268199999999</v>
      </c>
      <c r="T281" s="174">
        <f t="shared" si="44"/>
        <v>-5260</v>
      </c>
      <c r="U281" s="174">
        <f t="shared" si="45"/>
        <v>-9925</v>
      </c>
      <c r="V281" s="174">
        <f t="shared" si="46"/>
        <v>-10030</v>
      </c>
      <c r="W281" s="73"/>
      <c r="X281" s="73">
        <f t="shared" si="48"/>
        <v>-5219.586482857143</v>
      </c>
      <c r="Y281" s="339">
        <f t="shared" si="47"/>
        <v>1.3909867467525761E-3</v>
      </c>
      <c r="Z281" s="73"/>
    </row>
    <row r="282" spans="1:26" x14ac:dyDescent="0.25">
      <c r="A282" s="30">
        <v>887</v>
      </c>
      <c r="B282" s="31" t="s">
        <v>596</v>
      </c>
      <c r="C282" s="41">
        <f>'7. Nettoinvestoinnit '!C282</f>
        <v>-4994</v>
      </c>
      <c r="D282" s="41">
        <f>'7. Nettoinvestoinnit '!D282</f>
        <v>-6181</v>
      </c>
      <c r="E282" s="41">
        <f>'7. Nettoinvestoinnit '!E282</f>
        <v>-2490</v>
      </c>
      <c r="F282" s="41">
        <f>'7. Nettoinvestoinnit '!F282</f>
        <v>-581</v>
      </c>
      <c r="G282" s="41">
        <f>'7. Nettoinvestoinnit '!G282</f>
        <v>-466</v>
      </c>
      <c r="H282" s="41">
        <f>'7. Nettoinvestoinnit '!H282</f>
        <v>-1461</v>
      </c>
      <c r="I282" s="41">
        <f>'7. Nettoinvestoinnit '!I282</f>
        <v>-2118.0605599999999</v>
      </c>
      <c r="J282" s="73">
        <v>-1321.74855</v>
      </c>
      <c r="K282" s="41">
        <v>-623.23318999999992</v>
      </c>
      <c r="L282" s="41">
        <v>-1125</v>
      </c>
      <c r="M282" s="41">
        <v>-1000</v>
      </c>
      <c r="N282" s="41">
        <v>-1300</v>
      </c>
      <c r="O282" s="174"/>
      <c r="P282" s="174">
        <f t="shared" si="40"/>
        <v>-1461</v>
      </c>
      <c r="Q282" s="174">
        <f t="shared" si="41"/>
        <v>-2118.0605599999999</v>
      </c>
      <c r="R282" s="174">
        <f t="shared" si="42"/>
        <v>-1321.74855</v>
      </c>
      <c r="S282" s="174">
        <f t="shared" si="43"/>
        <v>-623.23318999999992</v>
      </c>
      <c r="T282" s="174">
        <f t="shared" si="44"/>
        <v>-1125</v>
      </c>
      <c r="U282" s="174">
        <f t="shared" si="45"/>
        <v>-1000</v>
      </c>
      <c r="V282" s="174">
        <f t="shared" si="46"/>
        <v>-1300</v>
      </c>
      <c r="W282" s="73"/>
      <c r="X282" s="73">
        <f t="shared" si="48"/>
        <v>-1278.4346142857144</v>
      </c>
      <c r="Y282" s="339">
        <f t="shared" si="47"/>
        <v>3.4069472953492601E-4</v>
      </c>
      <c r="Z282" s="73"/>
    </row>
    <row r="283" spans="1:26" x14ac:dyDescent="0.25">
      <c r="A283" s="30">
        <v>889</v>
      </c>
      <c r="B283" s="31" t="s">
        <v>597</v>
      </c>
      <c r="C283" s="41">
        <f>'7. Nettoinvestoinnit '!C283</f>
        <v>-2789</v>
      </c>
      <c r="D283" s="41">
        <f>'7. Nettoinvestoinnit '!D283</f>
        <v>-1511</v>
      </c>
      <c r="E283" s="41">
        <f>'7. Nettoinvestoinnit '!E283</f>
        <v>-3839</v>
      </c>
      <c r="F283" s="41">
        <f>'7. Nettoinvestoinnit '!F283</f>
        <v>-385</v>
      </c>
      <c r="G283" s="41">
        <f>'7. Nettoinvestoinnit '!G283</f>
        <v>-3488</v>
      </c>
      <c r="H283" s="41">
        <f>'7. Nettoinvestoinnit '!H283</f>
        <v>-2008</v>
      </c>
      <c r="I283" s="41">
        <f>'7. Nettoinvestoinnit '!I283</f>
        <v>-2995.5673099999999</v>
      </c>
      <c r="J283" s="73">
        <v>-1465.8998700000002</v>
      </c>
      <c r="K283" s="41">
        <v>-967.18344999999999</v>
      </c>
      <c r="L283" s="41">
        <v>-2485.5</v>
      </c>
      <c r="M283" s="41">
        <v>-3430</v>
      </c>
      <c r="N283" s="41">
        <v>-670</v>
      </c>
      <c r="O283" s="174"/>
      <c r="P283" s="174">
        <f t="shared" si="40"/>
        <v>-2008</v>
      </c>
      <c r="Q283" s="174">
        <f t="shared" si="41"/>
        <v>-2995.5673099999999</v>
      </c>
      <c r="R283" s="174">
        <f t="shared" si="42"/>
        <v>-1465.8998700000002</v>
      </c>
      <c r="S283" s="174">
        <f t="shared" si="43"/>
        <v>-967.18344999999999</v>
      </c>
      <c r="T283" s="174">
        <f t="shared" si="44"/>
        <v>-2485.5</v>
      </c>
      <c r="U283" s="174">
        <f t="shared" si="45"/>
        <v>-3430</v>
      </c>
      <c r="V283" s="174">
        <f t="shared" si="46"/>
        <v>-670</v>
      </c>
      <c r="W283" s="73"/>
      <c r="X283" s="73">
        <f t="shared" si="48"/>
        <v>-2003.1643757142858</v>
      </c>
      <c r="Y283" s="339">
        <f t="shared" si="47"/>
        <v>5.3383062189636123E-4</v>
      </c>
      <c r="Z283" s="73"/>
    </row>
    <row r="284" spans="1:26" x14ac:dyDescent="0.25">
      <c r="A284" s="30">
        <v>890</v>
      </c>
      <c r="B284" s="31" t="s">
        <v>598</v>
      </c>
      <c r="C284" s="41">
        <f>'7. Nettoinvestoinnit '!C284</f>
        <v>-1730</v>
      </c>
      <c r="D284" s="41">
        <f>'7. Nettoinvestoinnit '!D284</f>
        <v>-1004</v>
      </c>
      <c r="E284" s="41">
        <f>'7. Nettoinvestoinnit '!E284</f>
        <v>-483</v>
      </c>
      <c r="F284" s="41">
        <f>'7. Nettoinvestoinnit '!F284</f>
        <v>-595</v>
      </c>
      <c r="G284" s="41">
        <f>'7. Nettoinvestoinnit '!G284</f>
        <v>-2633</v>
      </c>
      <c r="H284" s="41">
        <f>'7. Nettoinvestoinnit '!H284</f>
        <v>-6414</v>
      </c>
      <c r="I284" s="41">
        <f>'7. Nettoinvestoinnit '!I284</f>
        <v>-2116.11357</v>
      </c>
      <c r="J284" s="73">
        <v>-734.01783</v>
      </c>
      <c r="K284" s="41">
        <v>228.06959000000001</v>
      </c>
      <c r="L284" s="41">
        <v>-385.37700000000001</v>
      </c>
      <c r="M284" s="41">
        <v>-591.822</v>
      </c>
      <c r="N284" s="41">
        <v>-244.5</v>
      </c>
      <c r="O284" s="174"/>
      <c r="P284" s="174">
        <f t="shared" si="40"/>
        <v>-6414</v>
      </c>
      <c r="Q284" s="174">
        <f t="shared" si="41"/>
        <v>-2116.11357</v>
      </c>
      <c r="R284" s="174">
        <f t="shared" si="42"/>
        <v>-734.01783</v>
      </c>
      <c r="S284" s="174">
        <f t="shared" si="43"/>
        <v>-734.01783</v>
      </c>
      <c r="T284" s="174">
        <f t="shared" si="44"/>
        <v>-385.37700000000001</v>
      </c>
      <c r="U284" s="174">
        <f t="shared" si="45"/>
        <v>-591.822</v>
      </c>
      <c r="V284" s="174">
        <f t="shared" si="46"/>
        <v>-244.5</v>
      </c>
      <c r="W284" s="73"/>
      <c r="X284" s="73">
        <f t="shared" si="48"/>
        <v>-1602.8354614285715</v>
      </c>
      <c r="Y284" s="339">
        <f t="shared" si="47"/>
        <v>4.2714550116080787E-4</v>
      </c>
      <c r="Z284" s="73"/>
    </row>
    <row r="285" spans="1:26" x14ac:dyDescent="0.25">
      <c r="A285" s="30">
        <v>892</v>
      </c>
      <c r="B285" s="31" t="s">
        <v>599</v>
      </c>
      <c r="C285" s="41">
        <f>'7. Nettoinvestoinnit '!C285</f>
        <v>-740</v>
      </c>
      <c r="D285" s="41">
        <f>'7. Nettoinvestoinnit '!D285</f>
        <v>-1968</v>
      </c>
      <c r="E285" s="41">
        <f>'7. Nettoinvestoinnit '!E285</f>
        <v>-3523</v>
      </c>
      <c r="F285" s="41">
        <f>'7. Nettoinvestoinnit '!F285</f>
        <v>-936</v>
      </c>
      <c r="G285" s="41">
        <f>'7. Nettoinvestoinnit '!G285</f>
        <v>-766</v>
      </c>
      <c r="H285" s="41">
        <f>'7. Nettoinvestoinnit '!H285</f>
        <v>-301</v>
      </c>
      <c r="I285" s="41">
        <f>'7. Nettoinvestoinnit '!I285</f>
        <v>-1491.0273400000001</v>
      </c>
      <c r="J285" s="73">
        <v>-815.50175000000002</v>
      </c>
      <c r="K285" s="41">
        <v>-1230.6279999999999</v>
      </c>
      <c r="L285" s="41">
        <v>-1166</v>
      </c>
      <c r="M285" s="41">
        <v>-560</v>
      </c>
      <c r="N285" s="41">
        <v>-560</v>
      </c>
      <c r="O285" s="174"/>
      <c r="P285" s="174">
        <f t="shared" si="40"/>
        <v>-301</v>
      </c>
      <c r="Q285" s="174">
        <f t="shared" si="41"/>
        <v>-1491.0273400000001</v>
      </c>
      <c r="R285" s="174">
        <f t="shared" si="42"/>
        <v>-815.50175000000002</v>
      </c>
      <c r="S285" s="174">
        <f t="shared" si="43"/>
        <v>-1230.6279999999999</v>
      </c>
      <c r="T285" s="174">
        <f t="shared" si="44"/>
        <v>-1166</v>
      </c>
      <c r="U285" s="174">
        <f t="shared" si="45"/>
        <v>-560</v>
      </c>
      <c r="V285" s="174">
        <f t="shared" si="46"/>
        <v>-560</v>
      </c>
      <c r="W285" s="73"/>
      <c r="X285" s="73">
        <f t="shared" si="48"/>
        <v>-874.87958428571426</v>
      </c>
      <c r="Y285" s="339">
        <f t="shared" si="47"/>
        <v>2.3314986938959372E-4</v>
      </c>
      <c r="Z285" s="73"/>
    </row>
    <row r="286" spans="1:26" x14ac:dyDescent="0.25">
      <c r="A286" s="30">
        <v>893</v>
      </c>
      <c r="B286" s="31" t="s">
        <v>600</v>
      </c>
      <c r="C286" s="41">
        <f>'7. Nettoinvestoinnit '!C286</f>
        <v>-1250</v>
      </c>
      <c r="D286" s="41">
        <f>'7. Nettoinvestoinnit '!D286</f>
        <v>-6895</v>
      </c>
      <c r="E286" s="41">
        <f>'7. Nettoinvestoinnit '!E286</f>
        <v>-3977</v>
      </c>
      <c r="F286" s="41">
        <f>'7. Nettoinvestoinnit '!F286</f>
        <v>-5660</v>
      </c>
      <c r="G286" s="41">
        <f>'7. Nettoinvestoinnit '!G286</f>
        <v>-6174</v>
      </c>
      <c r="H286" s="41">
        <f>'7. Nettoinvestoinnit '!H286</f>
        <v>-2059</v>
      </c>
      <c r="I286" s="41">
        <f>'7. Nettoinvestoinnit '!I286</f>
        <v>-538.83074999999997</v>
      </c>
      <c r="J286" s="73">
        <v>-3538.6109999999999</v>
      </c>
      <c r="K286" s="41">
        <v>-3065.1392799999999</v>
      </c>
      <c r="L286" s="41">
        <v>-4210</v>
      </c>
      <c r="M286" s="41">
        <v>-7605</v>
      </c>
      <c r="N286" s="41">
        <v>-7050</v>
      </c>
      <c r="O286" s="174"/>
      <c r="P286" s="174">
        <f t="shared" si="40"/>
        <v>-2059</v>
      </c>
      <c r="Q286" s="174">
        <f t="shared" si="41"/>
        <v>-538.83074999999997</v>
      </c>
      <c r="R286" s="174">
        <f t="shared" si="42"/>
        <v>-3538.6109999999999</v>
      </c>
      <c r="S286" s="174">
        <f t="shared" si="43"/>
        <v>-3065.1392799999999</v>
      </c>
      <c r="T286" s="174">
        <f t="shared" si="44"/>
        <v>-4210</v>
      </c>
      <c r="U286" s="174">
        <f t="shared" si="45"/>
        <v>-7605</v>
      </c>
      <c r="V286" s="174">
        <f t="shared" si="46"/>
        <v>-7050</v>
      </c>
      <c r="W286" s="73"/>
      <c r="X286" s="73">
        <f t="shared" si="48"/>
        <v>-4009.5115757142858</v>
      </c>
      <c r="Y286" s="339">
        <f t="shared" si="47"/>
        <v>1.0685094463109125E-3</v>
      </c>
      <c r="Z286" s="73"/>
    </row>
    <row r="287" spans="1:26" x14ac:dyDescent="0.25">
      <c r="A287" s="30">
        <v>895</v>
      </c>
      <c r="B287" s="31" t="s">
        <v>601</v>
      </c>
      <c r="C287" s="41">
        <f>'7. Nettoinvestoinnit '!C287</f>
        <v>-6681</v>
      </c>
      <c r="D287" s="41">
        <f>'7. Nettoinvestoinnit '!D287</f>
        <v>-8461</v>
      </c>
      <c r="E287" s="41">
        <f>'7. Nettoinvestoinnit '!E287</f>
        <v>-8905</v>
      </c>
      <c r="F287" s="41">
        <f>'7. Nettoinvestoinnit '!F287</f>
        <v>-11526</v>
      </c>
      <c r="G287" s="41">
        <f>'7. Nettoinvestoinnit '!G287</f>
        <v>-12378</v>
      </c>
      <c r="H287" s="41">
        <f>'7. Nettoinvestoinnit '!H287</f>
        <v>-12016</v>
      </c>
      <c r="I287" s="41">
        <f>'7. Nettoinvestoinnit '!I287</f>
        <v>-12794.65501</v>
      </c>
      <c r="J287" s="73">
        <v>-22273.306809999998</v>
      </c>
      <c r="K287" s="41">
        <v>-17951.643829999997</v>
      </c>
      <c r="L287" s="41">
        <v>-25450</v>
      </c>
      <c r="M287" s="41">
        <v>-11944</v>
      </c>
      <c r="N287" s="41">
        <v>-7235</v>
      </c>
      <c r="O287" s="174"/>
      <c r="P287" s="174">
        <f t="shared" si="40"/>
        <v>-12016</v>
      </c>
      <c r="Q287" s="174">
        <f t="shared" si="41"/>
        <v>-12794.65501</v>
      </c>
      <c r="R287" s="174">
        <f t="shared" si="42"/>
        <v>-22273.306809999998</v>
      </c>
      <c r="S287" s="174">
        <f t="shared" si="43"/>
        <v>-17951.643829999997</v>
      </c>
      <c r="T287" s="174">
        <f t="shared" si="44"/>
        <v>-25450</v>
      </c>
      <c r="U287" s="174">
        <f t="shared" si="45"/>
        <v>-11944</v>
      </c>
      <c r="V287" s="174">
        <f t="shared" si="46"/>
        <v>-7235</v>
      </c>
      <c r="W287" s="73"/>
      <c r="X287" s="73">
        <f t="shared" si="48"/>
        <v>-15666.372235714285</v>
      </c>
      <c r="Y287" s="339">
        <f t="shared" si="47"/>
        <v>4.1749889998263911E-3</v>
      </c>
      <c r="Z287" s="73"/>
    </row>
    <row r="288" spans="1:26" x14ac:dyDescent="0.25">
      <c r="A288" s="30">
        <v>905</v>
      </c>
      <c r="B288" s="31" t="s">
        <v>602</v>
      </c>
      <c r="C288" s="41">
        <f>'7. Nettoinvestoinnit '!C288</f>
        <v>-38025</v>
      </c>
      <c r="D288" s="41">
        <f>'7. Nettoinvestoinnit '!D288</f>
        <v>-35622</v>
      </c>
      <c r="E288" s="41">
        <f>'7. Nettoinvestoinnit '!E288</f>
        <v>-30110</v>
      </c>
      <c r="F288" s="41">
        <f>'7. Nettoinvestoinnit '!F288</f>
        <v>-26462</v>
      </c>
      <c r="G288" s="41">
        <f>'7. Nettoinvestoinnit '!G288</f>
        <v>-47479</v>
      </c>
      <c r="H288" s="41">
        <f>'7. Nettoinvestoinnit '!H288</f>
        <v>-64754</v>
      </c>
      <c r="I288" s="41">
        <f>'7. Nettoinvestoinnit '!I288</f>
        <v>-53148.32144</v>
      </c>
      <c r="J288" s="73">
        <v>-43546.091</v>
      </c>
      <c r="K288" s="41">
        <v>-46940.000930000002</v>
      </c>
      <c r="L288" s="41">
        <v>-61264.5</v>
      </c>
      <c r="M288" s="41">
        <v>-52776</v>
      </c>
      <c r="N288" s="41">
        <v>-51281</v>
      </c>
      <c r="O288" s="174"/>
      <c r="P288" s="174">
        <f t="shared" si="40"/>
        <v>-64754</v>
      </c>
      <c r="Q288" s="174">
        <f t="shared" si="41"/>
        <v>-53148.32144</v>
      </c>
      <c r="R288" s="174">
        <f t="shared" si="42"/>
        <v>-43546.091</v>
      </c>
      <c r="S288" s="174">
        <f t="shared" si="43"/>
        <v>-46940.000930000002</v>
      </c>
      <c r="T288" s="174">
        <f t="shared" si="44"/>
        <v>-61264.5</v>
      </c>
      <c r="U288" s="174">
        <f t="shared" si="45"/>
        <v>-52776</v>
      </c>
      <c r="V288" s="174">
        <f t="shared" si="46"/>
        <v>-51281</v>
      </c>
      <c r="W288" s="73"/>
      <c r="X288" s="73">
        <f t="shared" si="48"/>
        <v>-53387.130481428569</v>
      </c>
      <c r="Y288" s="339">
        <f t="shared" si="47"/>
        <v>1.4227332220802306E-2</v>
      </c>
      <c r="Z288" s="73"/>
    </row>
    <row r="289" spans="1:26" x14ac:dyDescent="0.25">
      <c r="A289" s="30">
        <v>908</v>
      </c>
      <c r="B289" s="31" t="s">
        <v>603</v>
      </c>
      <c r="C289" s="41">
        <f>'7. Nettoinvestoinnit '!C289</f>
        <v>-7283</v>
      </c>
      <c r="D289" s="41">
        <f>'7. Nettoinvestoinnit '!D289</f>
        <v>-9668</v>
      </c>
      <c r="E289" s="41">
        <f>'7. Nettoinvestoinnit '!E289</f>
        <v>-8772</v>
      </c>
      <c r="F289" s="41">
        <f>'7. Nettoinvestoinnit '!F289</f>
        <v>-8546</v>
      </c>
      <c r="G289" s="41">
        <f>'7. Nettoinvestoinnit '!G289</f>
        <v>-19313</v>
      </c>
      <c r="H289" s="41">
        <f>'7. Nettoinvestoinnit '!H289</f>
        <v>-14835</v>
      </c>
      <c r="I289" s="41">
        <f>'7. Nettoinvestoinnit '!I289</f>
        <v>-8561.9088300000003</v>
      </c>
      <c r="J289" s="73">
        <v>-6872.9299900000005</v>
      </c>
      <c r="K289" s="41">
        <v>-20697.831989999999</v>
      </c>
      <c r="L289" s="41">
        <v>-23020</v>
      </c>
      <c r="M289" s="41">
        <v>-13652.5</v>
      </c>
      <c r="N289" s="41">
        <v>-6295</v>
      </c>
      <c r="O289" s="174"/>
      <c r="P289" s="174">
        <f t="shared" si="40"/>
        <v>-14835</v>
      </c>
      <c r="Q289" s="174">
        <f t="shared" si="41"/>
        <v>-8561.9088300000003</v>
      </c>
      <c r="R289" s="174">
        <f t="shared" si="42"/>
        <v>-6872.9299900000005</v>
      </c>
      <c r="S289" s="174">
        <f t="shared" si="43"/>
        <v>-20697.831989999999</v>
      </c>
      <c r="T289" s="174">
        <f t="shared" si="44"/>
        <v>-23020</v>
      </c>
      <c r="U289" s="174">
        <f t="shared" si="45"/>
        <v>-13652.5</v>
      </c>
      <c r="V289" s="174">
        <f t="shared" si="46"/>
        <v>-6295</v>
      </c>
      <c r="W289" s="73"/>
      <c r="X289" s="73">
        <f t="shared" si="48"/>
        <v>-13419.310115714285</v>
      </c>
      <c r="Y289" s="339">
        <f t="shared" si="47"/>
        <v>3.5761611734621062E-3</v>
      </c>
      <c r="Z289" s="73"/>
    </row>
    <row r="290" spans="1:26" x14ac:dyDescent="0.25">
      <c r="A290" s="30">
        <v>915</v>
      </c>
      <c r="B290" s="31" t="s">
        <v>604</v>
      </c>
      <c r="C290" s="41">
        <f>'7. Nettoinvestoinnit '!C290</f>
        <v>-6644</v>
      </c>
      <c r="D290" s="41">
        <f>'7. Nettoinvestoinnit '!D290</f>
        <v>-10111</v>
      </c>
      <c r="E290" s="41">
        <f>'7. Nettoinvestoinnit '!E290</f>
        <v>-10815</v>
      </c>
      <c r="F290" s="41">
        <f>'7. Nettoinvestoinnit '!F290</f>
        <v>-10814</v>
      </c>
      <c r="G290" s="41">
        <f>'7. Nettoinvestoinnit '!G290</f>
        <v>-10524</v>
      </c>
      <c r="H290" s="41">
        <f>'7. Nettoinvestoinnit '!H290</f>
        <v>-10345</v>
      </c>
      <c r="I290" s="41">
        <f>'7. Nettoinvestoinnit '!I290</f>
        <v>-13299.46305</v>
      </c>
      <c r="J290" s="73">
        <v>-6368.6563599999999</v>
      </c>
      <c r="K290" s="41">
        <v>-9655.1101099999996</v>
      </c>
      <c r="L290" s="41">
        <v>-8280.44</v>
      </c>
      <c r="M290" s="41">
        <v>-11683.3</v>
      </c>
      <c r="N290" s="41">
        <v>-11995.04</v>
      </c>
      <c r="O290" s="174"/>
      <c r="P290" s="174">
        <f t="shared" si="40"/>
        <v>-10345</v>
      </c>
      <c r="Q290" s="174">
        <f t="shared" si="41"/>
        <v>-13299.46305</v>
      </c>
      <c r="R290" s="174">
        <f t="shared" si="42"/>
        <v>-6368.6563599999999</v>
      </c>
      <c r="S290" s="174">
        <f t="shared" si="43"/>
        <v>-9655.1101099999996</v>
      </c>
      <c r="T290" s="174">
        <f t="shared" si="44"/>
        <v>-8280.44</v>
      </c>
      <c r="U290" s="174">
        <f t="shared" si="45"/>
        <v>-11683.3</v>
      </c>
      <c r="V290" s="174">
        <f t="shared" si="46"/>
        <v>-11995.04</v>
      </c>
      <c r="W290" s="73"/>
      <c r="X290" s="73">
        <f t="shared" si="48"/>
        <v>-10232.429931428571</v>
      </c>
      <c r="Y290" s="339">
        <f t="shared" si="47"/>
        <v>2.7268777839849936E-3</v>
      </c>
      <c r="Z290" s="73"/>
    </row>
    <row r="291" spans="1:26" x14ac:dyDescent="0.25">
      <c r="A291" s="30">
        <v>918</v>
      </c>
      <c r="B291" s="31" t="s">
        <v>605</v>
      </c>
      <c r="C291" s="41">
        <f>'7. Nettoinvestoinnit '!C291</f>
        <v>-879</v>
      </c>
      <c r="D291" s="41">
        <f>'7. Nettoinvestoinnit '!D291</f>
        <v>-710</v>
      </c>
      <c r="E291" s="41">
        <f>'7. Nettoinvestoinnit '!E291</f>
        <v>-402</v>
      </c>
      <c r="F291" s="41">
        <f>'7. Nettoinvestoinnit '!F291</f>
        <v>-5486</v>
      </c>
      <c r="G291" s="41">
        <f>'7. Nettoinvestoinnit '!G291</f>
        <v>-3332</v>
      </c>
      <c r="H291" s="41">
        <f>'7. Nettoinvestoinnit '!H291</f>
        <v>-111</v>
      </c>
      <c r="I291" s="41">
        <f>'7. Nettoinvestoinnit '!I291</f>
        <v>-80.653679999999994</v>
      </c>
      <c r="J291" s="73">
        <v>-100.79669</v>
      </c>
      <c r="K291" s="41">
        <v>-17.098800000000001</v>
      </c>
      <c r="L291" s="41">
        <v>-605</v>
      </c>
      <c r="M291" s="41">
        <v>-270</v>
      </c>
      <c r="N291" s="41">
        <v>-70</v>
      </c>
      <c r="O291" s="174"/>
      <c r="P291" s="174">
        <f t="shared" si="40"/>
        <v>-111</v>
      </c>
      <c r="Q291" s="174">
        <f t="shared" si="41"/>
        <v>-80.653679999999994</v>
      </c>
      <c r="R291" s="174">
        <f t="shared" si="42"/>
        <v>-100.79669</v>
      </c>
      <c r="S291" s="174">
        <f t="shared" si="43"/>
        <v>-17.098800000000001</v>
      </c>
      <c r="T291" s="174">
        <f t="shared" si="44"/>
        <v>-605</v>
      </c>
      <c r="U291" s="174">
        <f t="shared" si="45"/>
        <v>-270</v>
      </c>
      <c r="V291" s="174">
        <f t="shared" si="46"/>
        <v>-70</v>
      </c>
      <c r="W291" s="73"/>
      <c r="X291" s="73">
        <f t="shared" si="48"/>
        <v>-179.22130999999999</v>
      </c>
      <c r="Y291" s="339">
        <f t="shared" si="47"/>
        <v>4.7761344268248226E-5</v>
      </c>
      <c r="Z291" s="73"/>
    </row>
    <row r="292" spans="1:26" x14ac:dyDescent="0.25">
      <c r="A292" s="30">
        <v>921</v>
      </c>
      <c r="B292" s="31" t="s">
        <v>606</v>
      </c>
      <c r="C292" s="41">
        <f>'7. Nettoinvestoinnit '!C292</f>
        <v>-1664</v>
      </c>
      <c r="D292" s="41">
        <f>'7. Nettoinvestoinnit '!D292</f>
        <v>-993</v>
      </c>
      <c r="E292" s="41">
        <f>'7. Nettoinvestoinnit '!E292</f>
        <v>-359</v>
      </c>
      <c r="F292" s="41">
        <f>'7. Nettoinvestoinnit '!F292</f>
        <v>-421</v>
      </c>
      <c r="G292" s="41">
        <f>'7. Nettoinvestoinnit '!G292</f>
        <v>-837</v>
      </c>
      <c r="H292" s="41">
        <f>'7. Nettoinvestoinnit '!H292</f>
        <v>-657</v>
      </c>
      <c r="I292" s="41">
        <f>'7. Nettoinvestoinnit '!I292</f>
        <v>-2028.8325600000001</v>
      </c>
      <c r="J292" s="73">
        <v>-122.63388999999999</v>
      </c>
      <c r="K292" s="41">
        <v>-279.03397999999999</v>
      </c>
      <c r="L292" s="41">
        <v>-64</v>
      </c>
      <c r="M292" s="41">
        <v>-597</v>
      </c>
      <c r="N292" s="41">
        <v>-580</v>
      </c>
      <c r="O292" s="174"/>
      <c r="P292" s="174">
        <f t="shared" si="40"/>
        <v>-657</v>
      </c>
      <c r="Q292" s="174">
        <f t="shared" si="41"/>
        <v>-2028.8325600000001</v>
      </c>
      <c r="R292" s="174">
        <f t="shared" si="42"/>
        <v>-122.63388999999999</v>
      </c>
      <c r="S292" s="174">
        <f t="shared" si="43"/>
        <v>-279.03397999999999</v>
      </c>
      <c r="T292" s="174">
        <f t="shared" si="44"/>
        <v>-64</v>
      </c>
      <c r="U292" s="174">
        <f t="shared" si="45"/>
        <v>-597</v>
      </c>
      <c r="V292" s="174">
        <f t="shared" si="46"/>
        <v>-580</v>
      </c>
      <c r="W292" s="73"/>
      <c r="X292" s="73">
        <f t="shared" si="48"/>
        <v>-618.35720428571426</v>
      </c>
      <c r="Y292" s="339">
        <f t="shared" si="47"/>
        <v>1.6478827944423291E-4</v>
      </c>
      <c r="Z292" s="73"/>
    </row>
    <row r="293" spans="1:26" x14ac:dyDescent="0.25">
      <c r="A293" s="30">
        <v>922</v>
      </c>
      <c r="B293" s="31" t="s">
        <v>607</v>
      </c>
      <c r="C293" s="41">
        <f>'7. Nettoinvestoinnit '!C293</f>
        <v>-912</v>
      </c>
      <c r="D293" s="41">
        <f>'7. Nettoinvestoinnit '!D293</f>
        <v>-975</v>
      </c>
      <c r="E293" s="41">
        <f>'7. Nettoinvestoinnit '!E293</f>
        <v>-1244</v>
      </c>
      <c r="F293" s="41">
        <f>'7. Nettoinvestoinnit '!F293</f>
        <v>-1222</v>
      </c>
      <c r="G293" s="41">
        <f>'7. Nettoinvestoinnit '!G293</f>
        <v>-614</v>
      </c>
      <c r="H293" s="41">
        <f>'7. Nettoinvestoinnit '!H293</f>
        <v>-1231</v>
      </c>
      <c r="I293" s="41">
        <f>'7. Nettoinvestoinnit '!I293</f>
        <v>-403.59458000000001</v>
      </c>
      <c r="J293" s="73">
        <v>-1356.4318899999998</v>
      </c>
      <c r="K293" s="41">
        <v>-4354.8522000000003</v>
      </c>
      <c r="L293" s="41">
        <v>-4473.75</v>
      </c>
      <c r="M293" s="41">
        <v>-3590.85</v>
      </c>
      <c r="N293" s="41">
        <v>-2674.75</v>
      </c>
      <c r="O293" s="174"/>
      <c r="P293" s="174">
        <f t="shared" si="40"/>
        <v>-1231</v>
      </c>
      <c r="Q293" s="174">
        <f t="shared" si="41"/>
        <v>-403.59458000000001</v>
      </c>
      <c r="R293" s="174">
        <f t="shared" si="42"/>
        <v>-1356.4318899999998</v>
      </c>
      <c r="S293" s="174">
        <f t="shared" si="43"/>
        <v>-4354.8522000000003</v>
      </c>
      <c r="T293" s="174">
        <f t="shared" si="44"/>
        <v>-4473.75</v>
      </c>
      <c r="U293" s="174">
        <f t="shared" si="45"/>
        <v>-3590.85</v>
      </c>
      <c r="V293" s="174">
        <f t="shared" si="46"/>
        <v>-2674.75</v>
      </c>
      <c r="W293" s="73"/>
      <c r="X293" s="73">
        <f t="shared" si="48"/>
        <v>-2583.6040957142859</v>
      </c>
      <c r="Y293" s="339">
        <f t="shared" si="47"/>
        <v>6.8851413187564668E-4</v>
      </c>
      <c r="Z293" s="73"/>
    </row>
    <row r="294" spans="1:26" x14ac:dyDescent="0.25">
      <c r="A294" s="30">
        <v>924</v>
      </c>
      <c r="B294" s="31" t="s">
        <v>608</v>
      </c>
      <c r="C294" s="41">
        <f>'7. Nettoinvestoinnit '!C294</f>
        <v>-2214</v>
      </c>
      <c r="D294" s="41">
        <f>'7. Nettoinvestoinnit '!D294</f>
        <v>-1557</v>
      </c>
      <c r="E294" s="41">
        <f>'7. Nettoinvestoinnit '!E294</f>
        <v>-856</v>
      </c>
      <c r="F294" s="41">
        <f>'7. Nettoinvestoinnit '!F294</f>
        <v>1356</v>
      </c>
      <c r="G294" s="41">
        <f>'7. Nettoinvestoinnit '!G294</f>
        <v>-699</v>
      </c>
      <c r="H294" s="41">
        <f>'7. Nettoinvestoinnit '!H294</f>
        <v>-1138</v>
      </c>
      <c r="I294" s="41">
        <f>'7. Nettoinvestoinnit '!I294</f>
        <v>-611.99</v>
      </c>
      <c r="J294" s="73">
        <v>-875.90242000000001</v>
      </c>
      <c r="K294" s="41">
        <v>-1973.8923400000001</v>
      </c>
      <c r="L294" s="41">
        <v>-2903</v>
      </c>
      <c r="M294" s="41">
        <v>-3060</v>
      </c>
      <c r="N294" s="41">
        <v>-2660</v>
      </c>
      <c r="O294" s="174"/>
      <c r="P294" s="174">
        <f t="shared" si="40"/>
        <v>-1138</v>
      </c>
      <c r="Q294" s="174">
        <f t="shared" si="41"/>
        <v>-611.99</v>
      </c>
      <c r="R294" s="174">
        <f t="shared" si="42"/>
        <v>-875.90242000000001</v>
      </c>
      <c r="S294" s="174">
        <f t="shared" si="43"/>
        <v>-1973.8923400000001</v>
      </c>
      <c r="T294" s="174">
        <f t="shared" si="44"/>
        <v>-2903</v>
      </c>
      <c r="U294" s="174">
        <f t="shared" si="45"/>
        <v>-3060</v>
      </c>
      <c r="V294" s="174">
        <f t="shared" si="46"/>
        <v>-2660</v>
      </c>
      <c r="W294" s="73"/>
      <c r="X294" s="73">
        <f t="shared" si="48"/>
        <v>-1888.9692514285714</v>
      </c>
      <c r="Y294" s="339">
        <f t="shared" si="47"/>
        <v>5.0339834436884286E-4</v>
      </c>
      <c r="Z294" s="73"/>
    </row>
    <row r="295" spans="1:26" x14ac:dyDescent="0.25">
      <c r="A295" s="30">
        <v>925</v>
      </c>
      <c r="B295" s="31" t="s">
        <v>609</v>
      </c>
      <c r="C295" s="41">
        <f>'7. Nettoinvestoinnit '!C295</f>
        <v>-4261</v>
      </c>
      <c r="D295" s="41">
        <f>'7. Nettoinvestoinnit '!D295</f>
        <v>-2555</v>
      </c>
      <c r="E295" s="41">
        <f>'7. Nettoinvestoinnit '!E295</f>
        <v>-1530</v>
      </c>
      <c r="F295" s="41">
        <f>'7. Nettoinvestoinnit '!F295</f>
        <v>-1796</v>
      </c>
      <c r="G295" s="41">
        <f>'7. Nettoinvestoinnit '!G295</f>
        <v>630</v>
      </c>
      <c r="H295" s="41">
        <f>'7. Nettoinvestoinnit '!H295</f>
        <v>-963</v>
      </c>
      <c r="I295" s="41">
        <f>'7. Nettoinvestoinnit '!I295</f>
        <v>-2194.0159100000001</v>
      </c>
      <c r="J295" s="73">
        <v>-1533.43749</v>
      </c>
      <c r="K295" s="41">
        <v>352.00682</v>
      </c>
      <c r="L295" s="41">
        <v>-4730</v>
      </c>
      <c r="M295" s="41">
        <v>-3715</v>
      </c>
      <c r="N295" s="41">
        <v>-645</v>
      </c>
      <c r="O295" s="174"/>
      <c r="P295" s="174">
        <f t="shared" si="40"/>
        <v>-963</v>
      </c>
      <c r="Q295" s="174">
        <f t="shared" si="41"/>
        <v>-2194.0159100000001</v>
      </c>
      <c r="R295" s="174">
        <f t="shared" si="42"/>
        <v>-1533.43749</v>
      </c>
      <c r="S295" s="174">
        <f t="shared" si="43"/>
        <v>-1533.43749</v>
      </c>
      <c r="T295" s="174">
        <f t="shared" si="44"/>
        <v>-4730</v>
      </c>
      <c r="U295" s="174">
        <f t="shared" si="45"/>
        <v>-3715</v>
      </c>
      <c r="V295" s="174">
        <f t="shared" si="46"/>
        <v>-645</v>
      </c>
      <c r="W295" s="73"/>
      <c r="X295" s="73">
        <f t="shared" si="48"/>
        <v>-2187.6986985714288</v>
      </c>
      <c r="Y295" s="339">
        <f t="shared" si="47"/>
        <v>5.8300785044852429E-4</v>
      </c>
      <c r="Z295" s="73"/>
    </row>
    <row r="296" spans="1:26" x14ac:dyDescent="0.25">
      <c r="A296" s="30">
        <v>927</v>
      </c>
      <c r="B296" s="31" t="s">
        <v>610</v>
      </c>
      <c r="C296" s="41">
        <f>'7. Nettoinvestoinnit '!C296</f>
        <v>-9357</v>
      </c>
      <c r="D296" s="41">
        <f>'7. Nettoinvestoinnit '!D296</f>
        <v>-13754</v>
      </c>
      <c r="E296" s="41">
        <f>'7. Nettoinvestoinnit '!E296</f>
        <v>-8664</v>
      </c>
      <c r="F296" s="41">
        <f>'7. Nettoinvestoinnit '!F296</f>
        <v>-19633</v>
      </c>
      <c r="G296" s="41">
        <f>'7. Nettoinvestoinnit '!G296</f>
        <v>-16115</v>
      </c>
      <c r="H296" s="41">
        <f>'7. Nettoinvestoinnit '!H296</f>
        <v>-7967</v>
      </c>
      <c r="I296" s="41">
        <f>'7. Nettoinvestoinnit '!I296</f>
        <v>-13236.574339999999</v>
      </c>
      <c r="J296" s="73">
        <v>-20827.66433</v>
      </c>
      <c r="K296" s="41">
        <v>-3229.8393300000002</v>
      </c>
      <c r="L296" s="41">
        <v>-28961.095000000001</v>
      </c>
      <c r="M296" s="41">
        <v>-21962.5</v>
      </c>
      <c r="N296" s="41">
        <v>-21230.905999999999</v>
      </c>
      <c r="O296" s="174"/>
      <c r="P296" s="174">
        <f t="shared" si="40"/>
        <v>-7967</v>
      </c>
      <c r="Q296" s="174">
        <f t="shared" si="41"/>
        <v>-13236.574339999999</v>
      </c>
      <c r="R296" s="174">
        <f t="shared" si="42"/>
        <v>-20827.66433</v>
      </c>
      <c r="S296" s="174">
        <f t="shared" si="43"/>
        <v>-3229.8393300000002</v>
      </c>
      <c r="T296" s="174">
        <f t="shared" si="44"/>
        <v>-28961.095000000001</v>
      </c>
      <c r="U296" s="174">
        <f t="shared" si="45"/>
        <v>-21962.5</v>
      </c>
      <c r="V296" s="174">
        <f t="shared" si="46"/>
        <v>-21230.905999999999</v>
      </c>
      <c r="W296" s="73"/>
      <c r="X296" s="73">
        <f t="shared" si="48"/>
        <v>-16773.654142857144</v>
      </c>
      <c r="Y296" s="339">
        <f t="shared" si="47"/>
        <v>4.4700726166633205E-3</v>
      </c>
      <c r="Z296" s="73"/>
    </row>
    <row r="297" spans="1:26" x14ac:dyDescent="0.25">
      <c r="A297" s="30">
        <v>931</v>
      </c>
      <c r="B297" s="31" t="s">
        <v>611</v>
      </c>
      <c r="C297" s="41">
        <f>'7. Nettoinvestoinnit '!C297</f>
        <v>-1297</v>
      </c>
      <c r="D297" s="41">
        <f>'7. Nettoinvestoinnit '!D297</f>
        <v>-1553</v>
      </c>
      <c r="E297" s="41">
        <f>'7. Nettoinvestoinnit '!E297</f>
        <v>-3041</v>
      </c>
      <c r="F297" s="41">
        <f>'7. Nettoinvestoinnit '!F297</f>
        <v>3062</v>
      </c>
      <c r="G297" s="41">
        <f>'7. Nettoinvestoinnit '!G297</f>
        <v>-2112</v>
      </c>
      <c r="H297" s="41">
        <f>'7. Nettoinvestoinnit '!H297</f>
        <v>-3920</v>
      </c>
      <c r="I297" s="41">
        <f>'7. Nettoinvestoinnit '!I297</f>
        <v>-3478.8578600000001</v>
      </c>
      <c r="J297" s="73">
        <v>-2556.0164</v>
      </c>
      <c r="K297" s="41">
        <v>-2330.2894999999999</v>
      </c>
      <c r="L297" s="41">
        <v>-506.52</v>
      </c>
      <c r="M297" s="41">
        <v>-1852.125</v>
      </c>
      <c r="N297" s="41">
        <v>-3835</v>
      </c>
      <c r="O297" s="174"/>
      <c r="P297" s="174">
        <f t="shared" si="40"/>
        <v>-3920</v>
      </c>
      <c r="Q297" s="174">
        <f t="shared" si="41"/>
        <v>-3478.8578600000001</v>
      </c>
      <c r="R297" s="174">
        <f t="shared" si="42"/>
        <v>-2556.0164</v>
      </c>
      <c r="S297" s="174">
        <f t="shared" si="43"/>
        <v>-2330.2894999999999</v>
      </c>
      <c r="T297" s="174">
        <f t="shared" si="44"/>
        <v>-506.52</v>
      </c>
      <c r="U297" s="174">
        <f t="shared" si="45"/>
        <v>-1852.125</v>
      </c>
      <c r="V297" s="174">
        <f t="shared" si="46"/>
        <v>-3835</v>
      </c>
      <c r="W297" s="73"/>
      <c r="X297" s="73">
        <f t="shared" si="48"/>
        <v>-2639.829822857143</v>
      </c>
      <c r="Y297" s="339">
        <f t="shared" si="47"/>
        <v>7.0349793213244976E-4</v>
      </c>
      <c r="Z297" s="73"/>
    </row>
    <row r="298" spans="1:26" x14ac:dyDescent="0.25">
      <c r="A298" s="30">
        <v>934</v>
      </c>
      <c r="B298" s="31" t="s">
        <v>612</v>
      </c>
      <c r="C298" s="41">
        <f>'7. Nettoinvestoinnit '!C298</f>
        <v>-1407</v>
      </c>
      <c r="D298" s="41">
        <f>'7. Nettoinvestoinnit '!D298</f>
        <v>-454</v>
      </c>
      <c r="E298" s="41">
        <f>'7. Nettoinvestoinnit '!E298</f>
        <v>-641</v>
      </c>
      <c r="F298" s="41">
        <f>'7. Nettoinvestoinnit '!F298</f>
        <v>-1259</v>
      </c>
      <c r="G298" s="41">
        <f>'7. Nettoinvestoinnit '!G298</f>
        <v>-1412</v>
      </c>
      <c r="H298" s="41">
        <f>'7. Nettoinvestoinnit '!H298</f>
        <v>-2134</v>
      </c>
      <c r="I298" s="41">
        <f>'7. Nettoinvestoinnit '!I298</f>
        <v>-1302.3198</v>
      </c>
      <c r="J298" s="73">
        <v>-1899.0708</v>
      </c>
      <c r="K298" s="41">
        <v>-1360.4247</v>
      </c>
      <c r="L298" s="41">
        <v>-3958.5650000000001</v>
      </c>
      <c r="M298" s="41">
        <v>-4245</v>
      </c>
      <c r="N298" s="41">
        <v>-3985</v>
      </c>
      <c r="O298" s="174"/>
      <c r="P298" s="174">
        <f t="shared" si="40"/>
        <v>-2134</v>
      </c>
      <c r="Q298" s="174">
        <f t="shared" si="41"/>
        <v>-1302.3198</v>
      </c>
      <c r="R298" s="174">
        <f t="shared" si="42"/>
        <v>-1899.0708</v>
      </c>
      <c r="S298" s="174">
        <f t="shared" si="43"/>
        <v>-1360.4247</v>
      </c>
      <c r="T298" s="174">
        <f t="shared" si="44"/>
        <v>-3958.5650000000001</v>
      </c>
      <c r="U298" s="174">
        <f t="shared" si="45"/>
        <v>-4245</v>
      </c>
      <c r="V298" s="174">
        <f t="shared" si="46"/>
        <v>-3985</v>
      </c>
      <c r="W298" s="73"/>
      <c r="X298" s="73">
        <f t="shared" si="48"/>
        <v>-2697.7686142857142</v>
      </c>
      <c r="Y298" s="339">
        <f t="shared" si="47"/>
        <v>7.1893825317410616E-4</v>
      </c>
      <c r="Z298" s="73"/>
    </row>
    <row r="299" spans="1:26" x14ac:dyDescent="0.25">
      <c r="A299" s="30">
        <v>935</v>
      </c>
      <c r="B299" s="31" t="s">
        <v>613</v>
      </c>
      <c r="C299" s="41">
        <f>'7. Nettoinvestoinnit '!C299</f>
        <v>-1493</v>
      </c>
      <c r="D299" s="41">
        <f>'7. Nettoinvestoinnit '!D299</f>
        <v>-2532</v>
      </c>
      <c r="E299" s="41">
        <f>'7. Nettoinvestoinnit '!E299</f>
        <v>-489</v>
      </c>
      <c r="F299" s="41">
        <f>'7. Nettoinvestoinnit '!F299</f>
        <v>-4475</v>
      </c>
      <c r="G299" s="41">
        <f>'7. Nettoinvestoinnit '!G299</f>
        <v>-447</v>
      </c>
      <c r="H299" s="41">
        <f>'7. Nettoinvestoinnit '!H299</f>
        <v>-1270</v>
      </c>
      <c r="I299" s="41">
        <f>'7. Nettoinvestoinnit '!I299</f>
        <v>-1843.09256</v>
      </c>
      <c r="J299" s="73">
        <v>-3097.2467099999999</v>
      </c>
      <c r="K299" s="41">
        <v>-257.57892000000004</v>
      </c>
      <c r="L299" s="41">
        <v>-801</v>
      </c>
      <c r="M299" s="41">
        <v>-725</v>
      </c>
      <c r="N299" s="41">
        <v>-765</v>
      </c>
      <c r="O299" s="174"/>
      <c r="P299" s="174">
        <f t="shared" si="40"/>
        <v>-1270</v>
      </c>
      <c r="Q299" s="174">
        <f t="shared" si="41"/>
        <v>-1843.09256</v>
      </c>
      <c r="R299" s="174">
        <f t="shared" si="42"/>
        <v>-3097.2467099999999</v>
      </c>
      <c r="S299" s="174">
        <f t="shared" si="43"/>
        <v>-257.57892000000004</v>
      </c>
      <c r="T299" s="174">
        <f t="shared" si="44"/>
        <v>-801</v>
      </c>
      <c r="U299" s="174">
        <f t="shared" si="45"/>
        <v>-725</v>
      </c>
      <c r="V299" s="174">
        <f t="shared" si="46"/>
        <v>-765</v>
      </c>
      <c r="W299" s="73"/>
      <c r="X299" s="73">
        <f t="shared" si="48"/>
        <v>-1251.2740271428572</v>
      </c>
      <c r="Y299" s="339">
        <f t="shared" si="47"/>
        <v>3.3345660504483188E-4</v>
      </c>
      <c r="Z299" s="73"/>
    </row>
    <row r="300" spans="1:26" x14ac:dyDescent="0.25">
      <c r="A300" s="30">
        <v>936</v>
      </c>
      <c r="B300" s="31" t="s">
        <v>614</v>
      </c>
      <c r="C300" s="41">
        <f>'7. Nettoinvestoinnit '!C300</f>
        <v>-3463</v>
      </c>
      <c r="D300" s="41">
        <f>'7. Nettoinvestoinnit '!D300</f>
        <v>-4494</v>
      </c>
      <c r="E300" s="41">
        <f>'7. Nettoinvestoinnit '!E300</f>
        <v>-6933</v>
      </c>
      <c r="F300" s="41">
        <f>'7. Nettoinvestoinnit '!F300</f>
        <v>-6101</v>
      </c>
      <c r="G300" s="41">
        <f>'7. Nettoinvestoinnit '!G300</f>
        <v>-6201</v>
      </c>
      <c r="H300" s="41">
        <f>'7. Nettoinvestoinnit '!H300</f>
        <v>-11264</v>
      </c>
      <c r="I300" s="41">
        <f>'7. Nettoinvestoinnit '!I300</f>
        <v>-8558.7835899999991</v>
      </c>
      <c r="J300" s="73">
        <v>-3001.7525900000001</v>
      </c>
      <c r="K300" s="41">
        <v>-2903.8250699999999</v>
      </c>
      <c r="L300" s="41">
        <v>-5100</v>
      </c>
      <c r="M300" s="41">
        <v>-7300</v>
      </c>
      <c r="N300" s="41">
        <v>-6850</v>
      </c>
      <c r="O300" s="174"/>
      <c r="P300" s="174">
        <f t="shared" si="40"/>
        <v>-11264</v>
      </c>
      <c r="Q300" s="174">
        <f t="shared" si="41"/>
        <v>-8558.7835899999991</v>
      </c>
      <c r="R300" s="174">
        <f t="shared" si="42"/>
        <v>-3001.7525900000001</v>
      </c>
      <c r="S300" s="174">
        <f t="shared" si="43"/>
        <v>-2903.8250699999999</v>
      </c>
      <c r="T300" s="174">
        <f t="shared" si="44"/>
        <v>-5100</v>
      </c>
      <c r="U300" s="174">
        <f t="shared" si="45"/>
        <v>-7300</v>
      </c>
      <c r="V300" s="174">
        <f t="shared" si="46"/>
        <v>-6850</v>
      </c>
      <c r="W300" s="73"/>
      <c r="X300" s="73">
        <f t="shared" si="48"/>
        <v>-6425.480178571429</v>
      </c>
      <c r="Y300" s="339">
        <f t="shared" si="47"/>
        <v>1.7123497808243624E-3</v>
      </c>
      <c r="Z300" s="73"/>
    </row>
    <row r="301" spans="1:26" x14ac:dyDescent="0.25">
      <c r="A301" s="30">
        <v>946</v>
      </c>
      <c r="B301" s="31" t="s">
        <v>615</v>
      </c>
      <c r="C301" s="41">
        <f>'7. Nettoinvestoinnit '!C301</f>
        <v>-3103</v>
      </c>
      <c r="D301" s="41">
        <f>'7. Nettoinvestoinnit '!D301</f>
        <v>-2228</v>
      </c>
      <c r="E301" s="41">
        <f>'7. Nettoinvestoinnit '!E301</f>
        <v>-2400</v>
      </c>
      <c r="F301" s="41">
        <f>'7. Nettoinvestoinnit '!F301</f>
        <v>-3339</v>
      </c>
      <c r="G301" s="41">
        <f>'7. Nettoinvestoinnit '!G301</f>
        <v>-6171</v>
      </c>
      <c r="H301" s="41">
        <f>'7. Nettoinvestoinnit '!H301</f>
        <v>-8415</v>
      </c>
      <c r="I301" s="41">
        <f>'7. Nettoinvestoinnit '!I301</f>
        <v>-3583.67</v>
      </c>
      <c r="J301" s="73">
        <v>-5305.38</v>
      </c>
      <c r="K301" s="41">
        <v>-9356.7768000000015</v>
      </c>
      <c r="L301" s="41">
        <v>3985</v>
      </c>
      <c r="M301" s="41">
        <v>-6405</v>
      </c>
      <c r="N301" s="41">
        <v>-5785</v>
      </c>
      <c r="O301" s="174"/>
      <c r="P301" s="174">
        <f t="shared" si="40"/>
        <v>-8415</v>
      </c>
      <c r="Q301" s="174">
        <f t="shared" si="41"/>
        <v>-3583.67</v>
      </c>
      <c r="R301" s="174">
        <f t="shared" si="42"/>
        <v>-5305.38</v>
      </c>
      <c r="S301" s="174">
        <f t="shared" si="43"/>
        <v>-9356.7768000000015</v>
      </c>
      <c r="T301" s="174">
        <f t="shared" si="44"/>
        <v>-9356.7768000000015</v>
      </c>
      <c r="U301" s="174">
        <f t="shared" si="45"/>
        <v>-6405</v>
      </c>
      <c r="V301" s="174">
        <f t="shared" si="46"/>
        <v>-5785</v>
      </c>
      <c r="W301" s="73"/>
      <c r="X301" s="73">
        <f t="shared" si="48"/>
        <v>-6886.8005142857146</v>
      </c>
      <c r="Y301" s="339">
        <f t="shared" si="47"/>
        <v>1.8352887291670224E-3</v>
      </c>
      <c r="Z301" s="73"/>
    </row>
    <row r="302" spans="1:26" x14ac:dyDescent="0.25">
      <c r="A302" s="30">
        <v>976</v>
      </c>
      <c r="B302" s="31" t="s">
        <v>616</v>
      </c>
      <c r="C302" s="41">
        <f>'7. Nettoinvestoinnit '!C302</f>
        <v>-5350</v>
      </c>
      <c r="D302" s="41">
        <f>'7. Nettoinvestoinnit '!D302</f>
        <v>-2923</v>
      </c>
      <c r="E302" s="41">
        <f>'7. Nettoinvestoinnit '!E302</f>
        <v>-1404</v>
      </c>
      <c r="F302" s="41">
        <f>'7. Nettoinvestoinnit '!F302</f>
        <v>-2192</v>
      </c>
      <c r="G302" s="41">
        <f>'7. Nettoinvestoinnit '!G302</f>
        <v>-1360</v>
      </c>
      <c r="H302" s="41">
        <f>'7. Nettoinvestoinnit '!H302</f>
        <v>-2481</v>
      </c>
      <c r="I302" s="41">
        <f>'7. Nettoinvestoinnit '!I302</f>
        <v>-2896.9377400000003</v>
      </c>
      <c r="J302" s="73">
        <v>-1481.56143</v>
      </c>
      <c r="K302" s="41">
        <v>-2044.6133400000001</v>
      </c>
      <c r="L302" s="41">
        <v>-738</v>
      </c>
      <c r="M302" s="41">
        <v>-1055</v>
      </c>
      <c r="N302" s="41">
        <v>-770</v>
      </c>
      <c r="O302" s="174"/>
      <c r="P302" s="174">
        <f t="shared" si="40"/>
        <v>-2481</v>
      </c>
      <c r="Q302" s="174">
        <f t="shared" si="41"/>
        <v>-2896.9377400000003</v>
      </c>
      <c r="R302" s="174">
        <f t="shared" si="42"/>
        <v>-1481.56143</v>
      </c>
      <c r="S302" s="174">
        <f t="shared" si="43"/>
        <v>-2044.6133400000001</v>
      </c>
      <c r="T302" s="174">
        <f t="shared" si="44"/>
        <v>-738</v>
      </c>
      <c r="U302" s="174">
        <f t="shared" si="45"/>
        <v>-1055</v>
      </c>
      <c r="V302" s="174">
        <f t="shared" si="46"/>
        <v>-770</v>
      </c>
      <c r="W302" s="73"/>
      <c r="X302" s="73">
        <f t="shared" si="48"/>
        <v>-1638.1589300000001</v>
      </c>
      <c r="Y302" s="339">
        <f t="shared" si="47"/>
        <v>4.3655898186345781E-4</v>
      </c>
      <c r="Z302" s="73"/>
    </row>
    <row r="303" spans="1:26" x14ac:dyDescent="0.25">
      <c r="A303" s="30">
        <v>977</v>
      </c>
      <c r="B303" s="31" t="s">
        <v>617</v>
      </c>
      <c r="C303" s="41">
        <f>'7. Nettoinvestoinnit '!C303</f>
        <v>-5360</v>
      </c>
      <c r="D303" s="41">
        <f>'7. Nettoinvestoinnit '!D303</f>
        <v>-19613</v>
      </c>
      <c r="E303" s="41">
        <f>'7. Nettoinvestoinnit '!E303</f>
        <v>-12637</v>
      </c>
      <c r="F303" s="41">
        <f>'7. Nettoinvestoinnit '!F303</f>
        <v>-12492</v>
      </c>
      <c r="G303" s="41">
        <f>'7. Nettoinvestoinnit '!G303</f>
        <v>-18800</v>
      </c>
      <c r="H303" s="41">
        <f>'7. Nettoinvestoinnit '!H303</f>
        <v>-21795</v>
      </c>
      <c r="I303" s="41">
        <f>'7. Nettoinvestoinnit '!I303</f>
        <v>-13470.092000000001</v>
      </c>
      <c r="J303" s="73">
        <v>-4018.7465999999999</v>
      </c>
      <c r="K303" s="41">
        <v>-1900.6900800000001</v>
      </c>
      <c r="L303" s="41">
        <v>-7330</v>
      </c>
      <c r="M303" s="41">
        <v>-2930</v>
      </c>
      <c r="N303" s="41">
        <v>-8230</v>
      </c>
      <c r="O303" s="174"/>
      <c r="P303" s="174">
        <f t="shared" si="40"/>
        <v>-21795</v>
      </c>
      <c r="Q303" s="174">
        <f t="shared" si="41"/>
        <v>-13470.092000000001</v>
      </c>
      <c r="R303" s="174">
        <f t="shared" si="42"/>
        <v>-4018.7465999999999</v>
      </c>
      <c r="S303" s="174">
        <f t="shared" si="43"/>
        <v>-1900.6900800000001</v>
      </c>
      <c r="T303" s="174">
        <f t="shared" si="44"/>
        <v>-7330</v>
      </c>
      <c r="U303" s="174">
        <f t="shared" si="45"/>
        <v>-2930</v>
      </c>
      <c r="V303" s="174">
        <f t="shared" si="46"/>
        <v>-8230</v>
      </c>
      <c r="W303" s="73"/>
      <c r="X303" s="73">
        <f t="shared" si="48"/>
        <v>-8524.9326685714295</v>
      </c>
      <c r="Y303" s="339">
        <f t="shared" si="47"/>
        <v>2.2718405754721697E-3</v>
      </c>
      <c r="Z303" s="73"/>
    </row>
    <row r="304" spans="1:26" x14ac:dyDescent="0.25">
      <c r="A304" s="30">
        <v>980</v>
      </c>
      <c r="B304" s="31" t="s">
        <v>618</v>
      </c>
      <c r="C304" s="41">
        <f>'7. Nettoinvestoinnit '!C304</f>
        <v>-8644</v>
      </c>
      <c r="D304" s="41">
        <f>'7. Nettoinvestoinnit '!D304</f>
        <v>686</v>
      </c>
      <c r="E304" s="41">
        <f>'7. Nettoinvestoinnit '!E304</f>
        <v>-6604</v>
      </c>
      <c r="F304" s="41">
        <f>'7. Nettoinvestoinnit '!F304</f>
        <v>-5834</v>
      </c>
      <c r="G304" s="41">
        <f>'7. Nettoinvestoinnit '!G304</f>
        <v>-11222</v>
      </c>
      <c r="H304" s="41">
        <f>'7. Nettoinvestoinnit '!H304</f>
        <v>-8956</v>
      </c>
      <c r="I304" s="41">
        <f>'7. Nettoinvestoinnit '!I304</f>
        <v>-11979.54234</v>
      </c>
      <c r="J304" s="73">
        <v>-21710.572230000002</v>
      </c>
      <c r="K304" s="41">
        <v>-18716.704550000002</v>
      </c>
      <c r="L304" s="41">
        <v>-25484</v>
      </c>
      <c r="M304" s="41">
        <v>-19273</v>
      </c>
      <c r="N304" s="41">
        <v>-24520</v>
      </c>
      <c r="O304" s="174"/>
      <c r="P304" s="174">
        <f t="shared" si="40"/>
        <v>-8956</v>
      </c>
      <c r="Q304" s="174">
        <f t="shared" si="41"/>
        <v>-11979.54234</v>
      </c>
      <c r="R304" s="174">
        <f t="shared" si="42"/>
        <v>-21710.572230000002</v>
      </c>
      <c r="S304" s="174">
        <f t="shared" si="43"/>
        <v>-18716.704550000002</v>
      </c>
      <c r="T304" s="174">
        <f t="shared" si="44"/>
        <v>-25484</v>
      </c>
      <c r="U304" s="174">
        <f t="shared" si="45"/>
        <v>-19273</v>
      </c>
      <c r="V304" s="174">
        <f t="shared" si="46"/>
        <v>-24520</v>
      </c>
      <c r="W304" s="73"/>
      <c r="X304" s="73">
        <f t="shared" si="48"/>
        <v>-18662.831302857143</v>
      </c>
      <c r="Y304" s="339">
        <f t="shared" si="47"/>
        <v>4.9735263673499515E-3</v>
      </c>
      <c r="Z304" s="73"/>
    </row>
    <row r="305" spans="1:26" x14ac:dyDescent="0.25">
      <c r="A305" s="30">
        <v>981</v>
      </c>
      <c r="B305" s="31" t="s">
        <v>619</v>
      </c>
      <c r="C305" s="41">
        <f>'7. Nettoinvestoinnit '!C305</f>
        <v>-1214</v>
      </c>
      <c r="D305" s="41">
        <f>'7. Nettoinvestoinnit '!D305</f>
        <v>-193</v>
      </c>
      <c r="E305" s="41">
        <f>'7. Nettoinvestoinnit '!E305</f>
        <v>-458</v>
      </c>
      <c r="F305" s="41">
        <f>'7. Nettoinvestoinnit '!F305</f>
        <v>-1188</v>
      </c>
      <c r="G305" s="41">
        <f>'7. Nettoinvestoinnit '!G305</f>
        <v>-841</v>
      </c>
      <c r="H305" s="41">
        <f>'7. Nettoinvestoinnit '!H305</f>
        <v>110</v>
      </c>
      <c r="I305" s="41">
        <f>'7. Nettoinvestoinnit '!I305</f>
        <v>-367.49639000000002</v>
      </c>
      <c r="J305" s="73">
        <v>-251.74177</v>
      </c>
      <c r="K305" s="41">
        <v>-851.2405500000001</v>
      </c>
      <c r="L305" s="41">
        <v>-1576</v>
      </c>
      <c r="M305" s="41">
        <v>-875</v>
      </c>
      <c r="N305" s="41">
        <v>-410</v>
      </c>
      <c r="O305" s="174"/>
      <c r="P305" s="174">
        <f t="shared" si="40"/>
        <v>-841</v>
      </c>
      <c r="Q305" s="174">
        <f t="shared" si="41"/>
        <v>-367.49639000000002</v>
      </c>
      <c r="R305" s="174">
        <f t="shared" si="42"/>
        <v>-251.74177</v>
      </c>
      <c r="S305" s="174">
        <f t="shared" si="43"/>
        <v>-851.2405500000001</v>
      </c>
      <c r="T305" s="174">
        <f t="shared" si="44"/>
        <v>-1576</v>
      </c>
      <c r="U305" s="174">
        <f t="shared" si="45"/>
        <v>-875</v>
      </c>
      <c r="V305" s="174">
        <f t="shared" si="46"/>
        <v>-410</v>
      </c>
      <c r="W305" s="73"/>
      <c r="X305" s="73">
        <f t="shared" si="48"/>
        <v>-738.92553000000009</v>
      </c>
      <c r="Y305" s="339">
        <f t="shared" si="47"/>
        <v>1.9691897479673476E-4</v>
      </c>
      <c r="Z305" s="73"/>
    </row>
    <row r="306" spans="1:26" x14ac:dyDescent="0.25">
      <c r="A306" s="30">
        <v>989</v>
      </c>
      <c r="B306" s="31" t="s">
        <v>620</v>
      </c>
      <c r="C306" s="41">
        <f>'7. Nettoinvestoinnit '!C306</f>
        <v>-2461</v>
      </c>
      <c r="D306" s="41">
        <f>'7. Nettoinvestoinnit '!D306</f>
        <v>-1488</v>
      </c>
      <c r="E306" s="41">
        <f>'7. Nettoinvestoinnit '!E306</f>
        <v>-3443</v>
      </c>
      <c r="F306" s="41">
        <f>'7. Nettoinvestoinnit '!F306</f>
        <v>-5143</v>
      </c>
      <c r="G306" s="41">
        <f>'7. Nettoinvestoinnit '!G306</f>
        <v>-3458</v>
      </c>
      <c r="H306" s="41">
        <f>'7. Nettoinvestoinnit '!H306</f>
        <v>-1717</v>
      </c>
      <c r="I306" s="41">
        <f>'7. Nettoinvestoinnit '!I306</f>
        <v>-2707.5468999999998</v>
      </c>
      <c r="J306" s="73">
        <v>-5724.7326299999995</v>
      </c>
      <c r="K306" s="41">
        <v>-16987.544910000001</v>
      </c>
      <c r="L306" s="41">
        <v>-10705.2</v>
      </c>
      <c r="M306" s="41">
        <v>-1772</v>
      </c>
      <c r="N306" s="41">
        <v>-1020</v>
      </c>
      <c r="O306" s="174"/>
      <c r="P306" s="174">
        <f t="shared" si="40"/>
        <v>-1717</v>
      </c>
      <c r="Q306" s="174">
        <f t="shared" si="41"/>
        <v>-2707.5468999999998</v>
      </c>
      <c r="R306" s="174">
        <f t="shared" si="42"/>
        <v>-5724.7326299999995</v>
      </c>
      <c r="S306" s="174">
        <f t="shared" si="43"/>
        <v>-16987.544910000001</v>
      </c>
      <c r="T306" s="174">
        <f t="shared" si="44"/>
        <v>-10705.2</v>
      </c>
      <c r="U306" s="174">
        <f t="shared" si="45"/>
        <v>-1772</v>
      </c>
      <c r="V306" s="174">
        <f t="shared" si="46"/>
        <v>-1020</v>
      </c>
      <c r="W306" s="73"/>
      <c r="X306" s="73">
        <f t="shared" si="48"/>
        <v>-5804.8606342857147</v>
      </c>
      <c r="Y306" s="339">
        <f t="shared" si="47"/>
        <v>1.5469586020954863E-3</v>
      </c>
      <c r="Z306" s="73"/>
    </row>
    <row r="307" spans="1:26" x14ac:dyDescent="0.25">
      <c r="A307" s="30">
        <v>992</v>
      </c>
      <c r="B307" s="31" t="s">
        <v>621</v>
      </c>
      <c r="C307" s="41">
        <f>'7. Nettoinvestoinnit '!C307</f>
        <v>-4588</v>
      </c>
      <c r="D307" s="41">
        <f>'7. Nettoinvestoinnit '!D307</f>
        <v>-6264</v>
      </c>
      <c r="E307" s="41">
        <f>'7. Nettoinvestoinnit '!E307</f>
        <v>-4815</v>
      </c>
      <c r="F307" s="41">
        <f>'7. Nettoinvestoinnit '!F307</f>
        <v>-10754</v>
      </c>
      <c r="G307" s="41">
        <f>'7. Nettoinvestoinnit '!G307</f>
        <v>-14716</v>
      </c>
      <c r="H307" s="41">
        <f>'7. Nettoinvestoinnit '!H307</f>
        <v>-8392</v>
      </c>
      <c r="I307" s="41">
        <f>'7. Nettoinvestoinnit '!I307</f>
        <v>-7817.6411799999996</v>
      </c>
      <c r="J307" s="73">
        <v>-7462.3133699999998</v>
      </c>
      <c r="K307" s="41">
        <v>-6037.0217499999999</v>
      </c>
      <c r="L307" s="41">
        <v>-3312.4</v>
      </c>
      <c r="M307" s="41">
        <v>-4650</v>
      </c>
      <c r="N307" s="41">
        <v>-3085</v>
      </c>
      <c r="O307" s="174"/>
      <c r="P307" s="174">
        <f t="shared" si="40"/>
        <v>-8392</v>
      </c>
      <c r="Q307" s="174">
        <f t="shared" si="41"/>
        <v>-7817.6411799999996</v>
      </c>
      <c r="R307" s="174">
        <f t="shared" si="42"/>
        <v>-7462.3133699999998</v>
      </c>
      <c r="S307" s="174">
        <f t="shared" si="43"/>
        <v>-6037.0217499999999</v>
      </c>
      <c r="T307" s="174">
        <f t="shared" si="44"/>
        <v>-3312.4</v>
      </c>
      <c r="U307" s="174">
        <f t="shared" si="45"/>
        <v>-4650</v>
      </c>
      <c r="V307" s="174">
        <f t="shared" si="46"/>
        <v>-3085</v>
      </c>
      <c r="W307" s="73"/>
      <c r="X307" s="73">
        <f t="shared" si="48"/>
        <v>-5822.3394714285705</v>
      </c>
      <c r="Y307" s="339">
        <f t="shared" si="47"/>
        <v>1.5516166015163619E-3</v>
      </c>
      <c r="Z307" s="73"/>
    </row>
    <row r="308" spans="1:26" x14ac:dyDescent="0.25">
      <c r="K308" s="41"/>
      <c r="L308" s="41"/>
      <c r="M308" s="41"/>
      <c r="N308" s="41"/>
    </row>
  </sheetData>
  <mergeCells count="1">
    <mergeCell ref="P12:U12"/>
  </mergeCells>
  <pageMargins left="0.7" right="0.7" top="0.75" bottom="0.75" header="0.3" footer="0.3"/>
  <ignoredErrors>
    <ignoredError sqref="Y12:Y14 W16:W307 P15:T307 W15 Y16:Y307"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311"/>
  <sheetViews>
    <sheetView workbookViewId="0"/>
  </sheetViews>
  <sheetFormatPr defaultColWidth="9.140625" defaultRowHeight="11.25" x14ac:dyDescent="0.2"/>
  <cols>
    <col min="1" max="1" width="9.140625" style="4"/>
    <col min="2" max="2" width="20.5703125" style="4" bestFit="1" customWidth="1"/>
    <col min="3" max="8" width="14" style="4" bestFit="1" customWidth="1"/>
    <col min="9" max="9" width="14" style="7" bestFit="1" customWidth="1"/>
    <col min="10" max="14" width="14" style="4" bestFit="1" customWidth="1"/>
    <col min="15" max="16" width="14" style="4" customWidth="1"/>
    <col min="17" max="17" width="9.140625" style="7"/>
    <col min="18" max="18" width="9.140625" style="117"/>
    <col min="19" max="19" width="9.140625" style="7"/>
    <col min="20" max="20" width="9.140625" style="4"/>
    <col min="21" max="21" width="18.85546875" style="4" bestFit="1" customWidth="1"/>
    <col min="22" max="28" width="12.140625" style="4" bestFit="1" customWidth="1"/>
    <col min="29" max="16384" width="9.140625" style="4"/>
  </cols>
  <sheetData>
    <row r="1" spans="1:35" x14ac:dyDescent="0.2">
      <c r="A1" s="1">
        <v>1</v>
      </c>
      <c r="B1" s="1">
        <v>2</v>
      </c>
      <c r="C1" s="1">
        <v>3</v>
      </c>
      <c r="D1" s="1">
        <v>4</v>
      </c>
      <c r="E1" s="1">
        <v>5</v>
      </c>
      <c r="F1" s="1">
        <v>6</v>
      </c>
      <c r="G1" s="1">
        <v>7</v>
      </c>
      <c r="H1" s="1">
        <v>8</v>
      </c>
      <c r="I1" s="98">
        <v>9</v>
      </c>
      <c r="J1" s="1">
        <v>10</v>
      </c>
      <c r="K1" s="1">
        <v>11</v>
      </c>
      <c r="L1" s="1">
        <v>12</v>
      </c>
      <c r="M1" s="1">
        <v>13</v>
      </c>
      <c r="N1" s="1">
        <v>14</v>
      </c>
      <c r="O1" s="1"/>
      <c r="P1" s="1"/>
    </row>
    <row r="2" spans="1:35" x14ac:dyDescent="0.2">
      <c r="A2" s="1" t="s">
        <v>804</v>
      </c>
      <c r="B2" s="1"/>
    </row>
    <row r="3" spans="1:35" x14ac:dyDescent="0.2">
      <c r="A3" s="1"/>
      <c r="B3" s="1"/>
    </row>
    <row r="4" spans="1:35" x14ac:dyDescent="0.2">
      <c r="A4" s="1"/>
      <c r="B4" s="1"/>
      <c r="I4" s="364"/>
      <c r="J4" s="279"/>
      <c r="K4" s="279"/>
      <c r="L4" s="279"/>
    </row>
    <row r="5" spans="1:35" x14ac:dyDescent="0.2">
      <c r="A5" s="1"/>
      <c r="B5" s="1"/>
    </row>
    <row r="6" spans="1:35" x14ac:dyDescent="0.2">
      <c r="A6" s="1"/>
      <c r="B6" s="1"/>
    </row>
    <row r="7" spans="1:35" x14ac:dyDescent="0.2">
      <c r="A7" s="1"/>
      <c r="B7" s="1"/>
      <c r="R7" s="123" t="s">
        <v>319</v>
      </c>
      <c r="S7" s="310"/>
    </row>
    <row r="8" spans="1:35" x14ac:dyDescent="0.2">
      <c r="A8" s="1" t="s">
        <v>622</v>
      </c>
      <c r="B8" s="1"/>
      <c r="C8" s="268" t="s">
        <v>323</v>
      </c>
      <c r="D8" s="268" t="s">
        <v>323</v>
      </c>
      <c r="E8" s="268" t="s">
        <v>323</v>
      </c>
      <c r="F8" s="268" t="s">
        <v>323</v>
      </c>
      <c r="G8" s="268" t="s">
        <v>323</v>
      </c>
      <c r="H8" s="19" t="s">
        <v>323</v>
      </c>
      <c r="I8" s="269" t="s">
        <v>323</v>
      </c>
      <c r="J8" s="268" t="s">
        <v>323</v>
      </c>
      <c r="K8" s="268" t="s">
        <v>323</v>
      </c>
      <c r="L8" s="268" t="s">
        <v>757</v>
      </c>
      <c r="M8" s="4" t="s">
        <v>758</v>
      </c>
      <c r="N8" s="4" t="s">
        <v>758</v>
      </c>
      <c r="V8" s="4" t="s">
        <v>323</v>
      </c>
      <c r="W8" s="4" t="s">
        <v>323</v>
      </c>
      <c r="X8" s="4" t="s">
        <v>323</v>
      </c>
      <c r="Y8" s="4" t="s">
        <v>323</v>
      </c>
      <c r="Z8" s="4" t="s">
        <v>323</v>
      </c>
    </row>
    <row r="9" spans="1:35" s="108" customFormat="1" x14ac:dyDescent="0.2">
      <c r="A9" s="109" t="s">
        <v>311</v>
      </c>
      <c r="B9" s="109"/>
      <c r="C9" s="108">
        <v>2015</v>
      </c>
      <c r="D9" s="108">
        <v>2016</v>
      </c>
      <c r="E9" s="108">
        <v>2017</v>
      </c>
      <c r="F9" s="108">
        <v>2018</v>
      </c>
      <c r="G9" s="108">
        <v>2019</v>
      </c>
      <c r="H9" s="108">
        <v>2020</v>
      </c>
      <c r="I9" s="108">
        <v>2021</v>
      </c>
      <c r="J9" s="108">
        <v>2022</v>
      </c>
      <c r="K9" s="108">
        <v>2023</v>
      </c>
      <c r="L9" s="108">
        <v>2024</v>
      </c>
      <c r="M9" s="108">
        <v>2025</v>
      </c>
      <c r="N9" s="108">
        <v>2026</v>
      </c>
      <c r="O9" s="108">
        <v>2027</v>
      </c>
      <c r="P9" s="108">
        <v>2028</v>
      </c>
      <c r="Q9" s="120"/>
      <c r="R9" s="107"/>
      <c r="S9" s="120"/>
      <c r="V9" s="108">
        <v>2015</v>
      </c>
      <c r="W9" s="108">
        <v>2016</v>
      </c>
      <c r="X9" s="108">
        <v>2017</v>
      </c>
      <c r="Y9" s="108">
        <v>2018</v>
      </c>
      <c r="Z9" s="108">
        <v>2019</v>
      </c>
      <c r="AA9" s="108">
        <v>2020</v>
      </c>
      <c r="AB9" s="108">
        <v>2021</v>
      </c>
      <c r="AC9" s="108">
        <v>2022</v>
      </c>
      <c r="AD9" s="108">
        <v>2023</v>
      </c>
      <c r="AE9" s="108">
        <v>2024</v>
      </c>
      <c r="AF9" s="108">
        <v>2025</v>
      </c>
      <c r="AG9" s="108">
        <v>2026</v>
      </c>
      <c r="AH9" s="108">
        <v>2027</v>
      </c>
      <c r="AI9" s="108">
        <v>2028</v>
      </c>
    </row>
    <row r="10" spans="1:35" x14ac:dyDescent="0.2">
      <c r="A10" s="1" t="s">
        <v>623</v>
      </c>
      <c r="B10" s="1"/>
    </row>
    <row r="11" spans="1:35" ht="12" thickBot="1" x14ac:dyDescent="0.25">
      <c r="A11" s="43" t="s">
        <v>624</v>
      </c>
      <c r="B11" s="43"/>
    </row>
    <row r="12" spans="1:35" ht="12" thickBot="1" x14ac:dyDescent="0.25">
      <c r="A12" s="49" t="s">
        <v>326</v>
      </c>
      <c r="B12" s="50" t="s">
        <v>327</v>
      </c>
      <c r="C12" s="77" t="s">
        <v>638</v>
      </c>
      <c r="D12" s="77" t="s">
        <v>638</v>
      </c>
      <c r="E12" s="77" t="s">
        <v>638</v>
      </c>
      <c r="F12" s="77" t="s">
        <v>638</v>
      </c>
      <c r="G12" s="77" t="s">
        <v>638</v>
      </c>
      <c r="H12" s="77" t="s">
        <v>638</v>
      </c>
      <c r="I12" s="370" t="s">
        <v>638</v>
      </c>
      <c r="J12" s="77" t="s">
        <v>638</v>
      </c>
      <c r="K12" s="77" t="s">
        <v>638</v>
      </c>
      <c r="L12" s="77" t="s">
        <v>638</v>
      </c>
      <c r="M12" s="77" t="s">
        <v>638</v>
      </c>
      <c r="N12" s="77" t="s">
        <v>638</v>
      </c>
      <c r="O12" s="77" t="s">
        <v>638</v>
      </c>
      <c r="P12" s="77" t="s">
        <v>638</v>
      </c>
      <c r="T12" s="49" t="s">
        <v>326</v>
      </c>
      <c r="U12" s="50" t="s">
        <v>327</v>
      </c>
      <c r="V12" s="77" t="s">
        <v>638</v>
      </c>
      <c r="W12" s="77" t="s">
        <v>638</v>
      </c>
      <c r="X12" s="77" t="s">
        <v>638</v>
      </c>
      <c r="Y12" s="77" t="s">
        <v>638</v>
      </c>
      <c r="Z12" s="77" t="s">
        <v>638</v>
      </c>
      <c r="AA12" s="77" t="s">
        <v>638</v>
      </c>
      <c r="AB12" s="77" t="s">
        <v>638</v>
      </c>
      <c r="AC12" s="77" t="s">
        <v>638</v>
      </c>
      <c r="AD12" s="77" t="s">
        <v>638</v>
      </c>
      <c r="AE12" s="77" t="s">
        <v>638</v>
      </c>
      <c r="AF12" s="77" t="s">
        <v>638</v>
      </c>
      <c r="AG12" s="77" t="s">
        <v>638</v>
      </c>
      <c r="AH12" s="77"/>
      <c r="AI12" s="77"/>
    </row>
    <row r="13" spans="1:35" x14ac:dyDescent="0.2">
      <c r="A13" s="37">
        <v>1</v>
      </c>
      <c r="B13" s="38" t="s">
        <v>312</v>
      </c>
      <c r="C13" s="5">
        <f>SUM(C15:C307)</f>
        <v>334195</v>
      </c>
      <c r="D13" s="5">
        <f t="shared" ref="D13:N13" si="0">SUM(D15:D307)</f>
        <v>312323</v>
      </c>
      <c r="E13" s="5">
        <f t="shared" si="0"/>
        <v>122633</v>
      </c>
      <c r="F13" s="5">
        <f t="shared" si="0"/>
        <v>19829</v>
      </c>
      <c r="G13" s="5">
        <f t="shared" si="0"/>
        <v>394017</v>
      </c>
      <c r="H13" s="5">
        <f t="shared" si="0"/>
        <v>79448</v>
      </c>
      <c r="I13" s="284">
        <f t="shared" si="0"/>
        <v>108940.08348</v>
      </c>
      <c r="J13" s="5">
        <f t="shared" si="0"/>
        <v>169441.11448000005</v>
      </c>
      <c r="K13" s="5">
        <f t="shared" si="0"/>
        <v>-18161.394459999992</v>
      </c>
      <c r="L13" s="5">
        <f t="shared" si="0"/>
        <v>173560.91</v>
      </c>
      <c r="M13" s="5">
        <f t="shared" si="0"/>
        <v>888</v>
      </c>
      <c r="N13" s="5">
        <f t="shared" si="0"/>
        <v>4113</v>
      </c>
      <c r="O13" s="5">
        <f t="shared" ref="O13:P13" si="1">SUM(O15:O307)</f>
        <v>0</v>
      </c>
      <c r="P13" s="5">
        <f t="shared" si="1"/>
        <v>0</v>
      </c>
      <c r="T13" s="37">
        <v>1</v>
      </c>
      <c r="U13" s="38" t="s">
        <v>312</v>
      </c>
    </row>
    <row r="14" spans="1:35" x14ac:dyDescent="0.2">
      <c r="A14" s="37"/>
      <c r="B14" s="38"/>
      <c r="T14" s="37"/>
      <c r="U14" s="38"/>
    </row>
    <row r="15" spans="1:35" x14ac:dyDescent="0.2">
      <c r="A15" s="30">
        <v>5</v>
      </c>
      <c r="B15" s="31" t="s">
        <v>328</v>
      </c>
      <c r="C15" s="64">
        <v>0</v>
      </c>
      <c r="D15" s="64"/>
      <c r="E15" s="64">
        <v>0</v>
      </c>
      <c r="F15" s="65">
        <v>0</v>
      </c>
      <c r="G15" s="65">
        <v>0</v>
      </c>
      <c r="H15" s="41">
        <v>0</v>
      </c>
      <c r="I15" s="165">
        <v>0</v>
      </c>
      <c r="J15" s="41">
        <v>0</v>
      </c>
      <c r="K15" s="41">
        <v>0</v>
      </c>
      <c r="L15" s="41">
        <v>0</v>
      </c>
      <c r="M15" s="41">
        <v>0</v>
      </c>
      <c r="N15" s="41">
        <v>0</v>
      </c>
      <c r="O15" s="41">
        <v>0</v>
      </c>
      <c r="P15" s="41">
        <v>0</v>
      </c>
      <c r="T15" s="30">
        <v>5</v>
      </c>
      <c r="U15" s="31" t="s">
        <v>328</v>
      </c>
      <c r="V15" s="41">
        <f>C15/'1. Väestöennuste'!E15*1000</f>
        <v>0</v>
      </c>
      <c r="W15" s="41">
        <f>D15/'1. Väestöennuste'!F15*1000</f>
        <v>0</v>
      </c>
      <c r="X15" s="41">
        <f>E15/'1. Väestöennuste'!G15*1000</f>
        <v>0</v>
      </c>
      <c r="Y15" s="41">
        <f>F15/'1. Väestöennuste'!H15*1000</f>
        <v>0</v>
      </c>
      <c r="Z15" s="41">
        <f>G15/'1. Väestöennuste'!I15*1000</f>
        <v>0</v>
      </c>
      <c r="AA15" s="41">
        <f>H15/'1. Väestöennuste'!J15*1000</f>
        <v>0</v>
      </c>
      <c r="AB15" s="41">
        <f>I15/'1. Väestöennuste'!K15*1000</f>
        <v>0</v>
      </c>
      <c r="AC15" s="41">
        <f>J15/'1. Väestöennuste'!L15*1000</f>
        <v>0</v>
      </c>
      <c r="AD15" s="41">
        <f>K15/'1. Väestöennuste'!M15*1000</f>
        <v>0</v>
      </c>
      <c r="AE15" s="41">
        <f>L15/'1. Väestöennuste'!N15*1000</f>
        <v>0</v>
      </c>
      <c r="AF15" s="41">
        <f>M15/'1. Väestöennuste'!O15*1000</f>
        <v>0</v>
      </c>
      <c r="AG15" s="41">
        <f>N15/'1. Väestöennuste'!P15*1000</f>
        <v>0</v>
      </c>
      <c r="AH15" s="41">
        <f>O15/'1. Väestöennuste'!Q15*1000</f>
        <v>0</v>
      </c>
      <c r="AI15" s="41">
        <f>P15/'1. Väestöennuste'!R15*1000</f>
        <v>0</v>
      </c>
    </row>
    <row r="16" spans="1:35" x14ac:dyDescent="0.2">
      <c r="A16" s="30">
        <v>9</v>
      </c>
      <c r="B16" s="31" t="s">
        <v>329</v>
      </c>
      <c r="C16" s="64">
        <v>0</v>
      </c>
      <c r="D16" s="64">
        <v>681</v>
      </c>
      <c r="E16" s="64">
        <v>0</v>
      </c>
      <c r="F16" s="65">
        <v>0</v>
      </c>
      <c r="G16" s="65">
        <v>0</v>
      </c>
      <c r="H16" s="41">
        <v>0</v>
      </c>
      <c r="I16" s="165">
        <v>0</v>
      </c>
      <c r="J16" s="41">
        <v>0</v>
      </c>
      <c r="K16" s="41">
        <v>0</v>
      </c>
      <c r="L16" s="41">
        <v>0</v>
      </c>
      <c r="M16" s="41">
        <v>0</v>
      </c>
      <c r="N16" s="41">
        <v>0</v>
      </c>
      <c r="O16" s="41">
        <v>0</v>
      </c>
      <c r="P16" s="41">
        <v>0</v>
      </c>
      <c r="T16" s="30">
        <v>9</v>
      </c>
      <c r="U16" s="31" t="s">
        <v>329</v>
      </c>
      <c r="V16" s="41">
        <f>C16/'1. Väestöennuste'!E16*1000</f>
        <v>0</v>
      </c>
      <c r="W16" s="41">
        <f>D16/'1. Väestöennuste'!F16*1000</f>
        <v>258.05229253505115</v>
      </c>
      <c r="X16" s="41">
        <f>E16/'1. Väestöennuste'!G16*1000</f>
        <v>0</v>
      </c>
      <c r="Y16" s="41">
        <f>F16/'1. Väestöennuste'!H16*1000</f>
        <v>0</v>
      </c>
      <c r="Z16" s="41">
        <f>G16/'1. Väestöennuste'!I16*1000</f>
        <v>0</v>
      </c>
      <c r="AA16" s="41">
        <f>H16/'1. Väestöennuste'!J16*1000</f>
        <v>0</v>
      </c>
      <c r="AB16" s="41">
        <f>I16/'1. Väestöennuste'!K16*1000</f>
        <v>0</v>
      </c>
      <c r="AC16" s="41">
        <f>J16/'1. Väestöennuste'!L16*1000</f>
        <v>0</v>
      </c>
      <c r="AD16" s="41">
        <f>K16/'1. Väestöennuste'!M16*1000</f>
        <v>0</v>
      </c>
      <c r="AE16" s="41">
        <f>L16/'1. Väestöennuste'!N16*1000</f>
        <v>0</v>
      </c>
      <c r="AF16" s="41">
        <f>M16/'1. Väestöennuste'!O16*1000</f>
        <v>0</v>
      </c>
      <c r="AG16" s="41">
        <f>N16/'1. Väestöennuste'!P16*1000</f>
        <v>0</v>
      </c>
      <c r="AH16" s="41">
        <f>O16/'1. Väestöennuste'!Q16*1000</f>
        <v>0</v>
      </c>
      <c r="AI16" s="41">
        <f>P16/'1. Väestöennuste'!R16*1000</f>
        <v>0</v>
      </c>
    </row>
    <row r="17" spans="1:35" x14ac:dyDescent="0.2">
      <c r="A17" s="30">
        <v>10</v>
      </c>
      <c r="B17" s="31" t="s">
        <v>330</v>
      </c>
      <c r="C17" s="64">
        <v>0</v>
      </c>
      <c r="D17" s="64"/>
      <c r="E17" s="64">
        <v>0</v>
      </c>
      <c r="F17" s="65">
        <v>0</v>
      </c>
      <c r="G17" s="65">
        <v>9142</v>
      </c>
      <c r="H17" s="41">
        <v>0</v>
      </c>
      <c r="I17" s="165">
        <v>0</v>
      </c>
      <c r="J17" s="41">
        <v>0</v>
      </c>
      <c r="K17" s="41">
        <v>-1081.8143799999998</v>
      </c>
      <c r="L17" s="41">
        <v>0</v>
      </c>
      <c r="M17" s="41">
        <v>0</v>
      </c>
      <c r="N17" s="41">
        <v>0</v>
      </c>
      <c r="O17" s="41">
        <v>0</v>
      </c>
      <c r="P17" s="41">
        <v>0</v>
      </c>
      <c r="T17" s="30">
        <v>10</v>
      </c>
      <c r="U17" s="31" t="s">
        <v>330</v>
      </c>
      <c r="V17" s="41">
        <f>C17/'1. Väestöennuste'!E17*1000</f>
        <v>0</v>
      </c>
      <c r="W17" s="41">
        <f>D17/'1. Väestöennuste'!F17*1000</f>
        <v>0</v>
      </c>
      <c r="X17" s="41">
        <f>E17/'1. Väestöennuste'!G17*1000</f>
        <v>0</v>
      </c>
      <c r="Y17" s="41">
        <f>F17/'1. Väestöennuste'!H17*1000</f>
        <v>0</v>
      </c>
      <c r="Z17" s="41">
        <f>G17/'1. Väestöennuste'!I17*1000</f>
        <v>797.17474712242768</v>
      </c>
      <c r="AA17" s="41">
        <f>H17/'1. Väestöennuste'!J17*1000</f>
        <v>0</v>
      </c>
      <c r="AB17" s="41">
        <f>I17/'1. Väestöennuste'!K17*1000</f>
        <v>0</v>
      </c>
      <c r="AC17" s="41">
        <f>J17/'1. Väestöennuste'!L17*1000</f>
        <v>0</v>
      </c>
      <c r="AD17" s="41">
        <f>K17/'1. Väestöennuste'!M17*1000</f>
        <v>-98.949453946766653</v>
      </c>
      <c r="AE17" s="41">
        <f>L17/'1. Väestöennuste'!N17*1000</f>
        <v>0</v>
      </c>
      <c r="AF17" s="41">
        <f>M17/'1. Väestöennuste'!O17*1000</f>
        <v>0</v>
      </c>
      <c r="AG17" s="41">
        <f>N17/'1. Väestöennuste'!P17*1000</f>
        <v>0</v>
      </c>
      <c r="AH17" s="41">
        <f>O17/'1. Väestöennuste'!Q17*1000</f>
        <v>0</v>
      </c>
      <c r="AI17" s="41">
        <f>P17/'1. Väestöennuste'!R17*1000</f>
        <v>0</v>
      </c>
    </row>
    <row r="18" spans="1:35" x14ac:dyDescent="0.2">
      <c r="A18" s="30">
        <v>16</v>
      </c>
      <c r="B18" s="31" t="s">
        <v>331</v>
      </c>
      <c r="C18" s="64">
        <v>0</v>
      </c>
      <c r="D18" s="64"/>
      <c r="E18" s="64">
        <v>0</v>
      </c>
      <c r="F18" s="65">
        <v>0</v>
      </c>
      <c r="G18" s="65">
        <v>-182</v>
      </c>
      <c r="H18" s="41">
        <v>0</v>
      </c>
      <c r="I18" s="165">
        <v>0</v>
      </c>
      <c r="J18" s="41">
        <v>0</v>
      </c>
      <c r="K18" s="41">
        <v>0</v>
      </c>
      <c r="L18" s="41">
        <v>0</v>
      </c>
      <c r="M18" s="41">
        <v>0</v>
      </c>
      <c r="N18" s="41">
        <v>0</v>
      </c>
      <c r="O18" s="41">
        <v>0</v>
      </c>
      <c r="P18" s="41">
        <v>0</v>
      </c>
      <c r="T18" s="30">
        <v>16</v>
      </c>
      <c r="U18" s="31" t="s">
        <v>331</v>
      </c>
      <c r="V18" s="41">
        <f>C18/'1. Väestöennuste'!E18*1000</f>
        <v>0</v>
      </c>
      <c r="W18" s="41">
        <f>D18/'1. Väestöennuste'!F18*1000</f>
        <v>0</v>
      </c>
      <c r="X18" s="41">
        <f>E18/'1. Väestöennuste'!G18*1000</f>
        <v>0</v>
      </c>
      <c r="Y18" s="41">
        <f>F18/'1. Väestöennuste'!H18*1000</f>
        <v>0</v>
      </c>
      <c r="Z18" s="41">
        <f>G18/'1. Väestöennuste'!I18*1000</f>
        <v>-22.516392428553754</v>
      </c>
      <c r="AA18" s="41">
        <f>H18/'1. Väestöennuste'!J18*1000</f>
        <v>0</v>
      </c>
      <c r="AB18" s="41">
        <f>I18/'1. Väestöennuste'!K18*1000</f>
        <v>0</v>
      </c>
      <c r="AC18" s="41">
        <f>J18/'1. Väestöennuste'!L18*1000</f>
        <v>0</v>
      </c>
      <c r="AD18" s="41">
        <f>K18/'1. Väestöennuste'!M18*1000</f>
        <v>0</v>
      </c>
      <c r="AE18" s="41">
        <f>L18/'1. Väestöennuste'!N18*1000</f>
        <v>0</v>
      </c>
      <c r="AF18" s="41">
        <f>M18/'1. Väestöennuste'!O18*1000</f>
        <v>0</v>
      </c>
      <c r="AG18" s="41">
        <f>N18/'1. Väestöennuste'!P18*1000</f>
        <v>0</v>
      </c>
      <c r="AH18" s="41">
        <f>O18/'1. Väestöennuste'!Q18*1000</f>
        <v>0</v>
      </c>
      <c r="AI18" s="41">
        <f>P18/'1. Väestöennuste'!R18*1000</f>
        <v>0</v>
      </c>
    </row>
    <row r="19" spans="1:35" x14ac:dyDescent="0.2">
      <c r="A19" s="30">
        <v>18</v>
      </c>
      <c r="B19" s="31" t="s">
        <v>332</v>
      </c>
      <c r="C19" s="64">
        <v>0</v>
      </c>
      <c r="D19" s="64"/>
      <c r="E19" s="64">
        <v>0</v>
      </c>
      <c r="F19" s="65">
        <v>2228</v>
      </c>
      <c r="G19" s="65">
        <v>2496</v>
      </c>
      <c r="H19" s="41">
        <v>0</v>
      </c>
      <c r="I19" s="165">
        <v>0</v>
      </c>
      <c r="J19" s="41">
        <v>0</v>
      </c>
      <c r="K19" s="41">
        <v>0</v>
      </c>
      <c r="L19" s="41">
        <v>0</v>
      </c>
      <c r="M19" s="41">
        <v>0</v>
      </c>
      <c r="N19" s="41">
        <v>0</v>
      </c>
      <c r="O19" s="41">
        <v>0</v>
      </c>
      <c r="P19" s="41">
        <v>0</v>
      </c>
      <c r="T19" s="30">
        <v>18</v>
      </c>
      <c r="U19" s="31" t="s">
        <v>332</v>
      </c>
      <c r="V19" s="41">
        <f>C19/'1. Väestöennuste'!E19*1000</f>
        <v>0</v>
      </c>
      <c r="W19" s="41">
        <f>D19/'1. Väestöennuste'!F19*1000</f>
        <v>0</v>
      </c>
      <c r="X19" s="41">
        <f>E19/'1. Väestöennuste'!G19*1000</f>
        <v>0</v>
      </c>
      <c r="Y19" s="41">
        <f>F19/'1. Väestöennuste'!H19*1000</f>
        <v>449.37474788221056</v>
      </c>
      <c r="Z19" s="41">
        <f>G19/'1. Väestöennuste'!I19*1000</f>
        <v>504.95650414727902</v>
      </c>
      <c r="AA19" s="41">
        <f>H19/'1. Väestöennuste'!J19*1000</f>
        <v>0</v>
      </c>
      <c r="AB19" s="41">
        <f>I19/'1. Väestöennuste'!K19*1000</f>
        <v>0</v>
      </c>
      <c r="AC19" s="41">
        <f>J19/'1. Väestöennuste'!L19*1000</f>
        <v>0</v>
      </c>
      <c r="AD19" s="41">
        <f>K19/'1. Väestöennuste'!M19*1000</f>
        <v>0</v>
      </c>
      <c r="AE19" s="41">
        <f>L19/'1. Väestöennuste'!N19*1000</f>
        <v>0</v>
      </c>
      <c r="AF19" s="41">
        <f>M19/'1. Väestöennuste'!O19*1000</f>
        <v>0</v>
      </c>
      <c r="AG19" s="41">
        <f>N19/'1. Väestöennuste'!P19*1000</f>
        <v>0</v>
      </c>
      <c r="AH19" s="41">
        <f>O19/'1. Väestöennuste'!Q19*1000</f>
        <v>0</v>
      </c>
      <c r="AI19" s="41">
        <f>P19/'1. Väestöennuste'!R19*1000</f>
        <v>0</v>
      </c>
    </row>
    <row r="20" spans="1:35" x14ac:dyDescent="0.2">
      <c r="A20" s="30">
        <v>19</v>
      </c>
      <c r="B20" s="31" t="s">
        <v>333</v>
      </c>
      <c r="C20" s="64">
        <v>0</v>
      </c>
      <c r="D20" s="64"/>
      <c r="E20" s="64">
        <v>0</v>
      </c>
      <c r="F20" s="65">
        <v>0</v>
      </c>
      <c r="G20" s="65">
        <v>0</v>
      </c>
      <c r="H20" s="41">
        <v>0</v>
      </c>
      <c r="I20" s="165">
        <v>0</v>
      </c>
      <c r="J20" s="41">
        <v>0</v>
      </c>
      <c r="K20" s="41">
        <v>81.779679999999999</v>
      </c>
      <c r="L20" s="41">
        <v>0</v>
      </c>
      <c r="M20" s="41">
        <v>0</v>
      </c>
      <c r="N20" s="41">
        <v>0</v>
      </c>
      <c r="O20" s="41">
        <v>0</v>
      </c>
      <c r="P20" s="41">
        <v>0</v>
      </c>
      <c r="T20" s="30">
        <v>19</v>
      </c>
      <c r="U20" s="31" t="s">
        <v>333</v>
      </c>
      <c r="V20" s="41">
        <f>C20/'1. Väestöennuste'!E20*1000</f>
        <v>0</v>
      </c>
      <c r="W20" s="41">
        <f>D20/'1. Väestöennuste'!F20*1000</f>
        <v>0</v>
      </c>
      <c r="X20" s="41">
        <f>E20/'1. Väestöennuste'!G20*1000</f>
        <v>0</v>
      </c>
      <c r="Y20" s="41">
        <f>F20/'1. Väestöennuste'!H20*1000</f>
        <v>0</v>
      </c>
      <c r="Z20" s="41">
        <f>G20/'1. Väestöennuste'!I20*1000</f>
        <v>0</v>
      </c>
      <c r="AA20" s="41">
        <f>H20/'1. Väestöennuste'!J20*1000</f>
        <v>0</v>
      </c>
      <c r="AB20" s="41">
        <f>I20/'1. Väestöennuste'!K20*1000</f>
        <v>0</v>
      </c>
      <c r="AC20" s="41">
        <f>J20/'1. Väestöennuste'!L20*1000</f>
        <v>0</v>
      </c>
      <c r="AD20" s="41">
        <f>K20/'1. Väestöennuste'!M20*1000</f>
        <v>20.646220651350667</v>
      </c>
      <c r="AE20" s="41">
        <f>L20/'1. Väestöennuste'!N20*1000</f>
        <v>0</v>
      </c>
      <c r="AF20" s="41">
        <f>M20/'1. Väestöennuste'!O20*1000</f>
        <v>0</v>
      </c>
      <c r="AG20" s="41">
        <f>N20/'1. Väestöennuste'!P20*1000</f>
        <v>0</v>
      </c>
      <c r="AH20" s="41">
        <f>O20/'1. Väestöennuste'!Q20*1000</f>
        <v>0</v>
      </c>
      <c r="AI20" s="41">
        <f>P20/'1. Väestöennuste'!R20*1000</f>
        <v>0</v>
      </c>
    </row>
    <row r="21" spans="1:35" x14ac:dyDescent="0.2">
      <c r="A21" s="30">
        <v>20</v>
      </c>
      <c r="B21" s="31" t="s">
        <v>334</v>
      </c>
      <c r="C21" s="64">
        <v>0</v>
      </c>
      <c r="D21" s="64"/>
      <c r="E21" s="64">
        <v>0</v>
      </c>
      <c r="F21" s="65">
        <v>0</v>
      </c>
      <c r="G21" s="65">
        <v>0</v>
      </c>
      <c r="H21" s="41">
        <v>0</v>
      </c>
      <c r="I21" s="165">
        <v>0</v>
      </c>
      <c r="J21" s="41">
        <v>57.668300000000002</v>
      </c>
      <c r="K21" s="41">
        <v>0</v>
      </c>
      <c r="L21" s="41">
        <v>0</v>
      </c>
      <c r="M21" s="41">
        <v>0</v>
      </c>
      <c r="N21" s="41">
        <v>0</v>
      </c>
      <c r="O21" s="41">
        <v>0</v>
      </c>
      <c r="P21" s="41">
        <v>0</v>
      </c>
      <c r="T21" s="30">
        <v>20</v>
      </c>
      <c r="U21" s="31" t="s">
        <v>334</v>
      </c>
      <c r="V21" s="41">
        <f>C21/'1. Väestöennuste'!E21*1000</f>
        <v>0</v>
      </c>
      <c r="W21" s="41">
        <f>D21/'1. Väestöennuste'!F21*1000</f>
        <v>0</v>
      </c>
      <c r="X21" s="41">
        <f>E21/'1. Väestöennuste'!G21*1000</f>
        <v>0</v>
      </c>
      <c r="Y21" s="41">
        <f>F21/'1. Väestöennuste'!H21*1000</f>
        <v>0</v>
      </c>
      <c r="Z21" s="41">
        <f>G21/'1. Väestöennuste'!I21*1000</f>
        <v>0</v>
      </c>
      <c r="AA21" s="41">
        <f>H21/'1. Väestöennuste'!J21*1000</f>
        <v>0</v>
      </c>
      <c r="AB21" s="41">
        <f>I21/'1. Väestöennuste'!K21*1000</f>
        <v>0</v>
      </c>
      <c r="AC21" s="41">
        <f>J21/'1. Väestöennuste'!L21*1000</f>
        <v>3.5007770290778852</v>
      </c>
      <c r="AD21" s="41">
        <f>K21/'1. Väestöennuste'!M21*1000</f>
        <v>0</v>
      </c>
      <c r="AE21" s="41">
        <f>L21/'1. Väestöennuste'!N21*1000</f>
        <v>0</v>
      </c>
      <c r="AF21" s="41">
        <f>M21/'1. Väestöennuste'!O21*1000</f>
        <v>0</v>
      </c>
      <c r="AG21" s="41">
        <f>N21/'1. Väestöennuste'!P21*1000</f>
        <v>0</v>
      </c>
      <c r="AH21" s="41">
        <f>O21/'1. Väestöennuste'!Q21*1000</f>
        <v>0</v>
      </c>
      <c r="AI21" s="41">
        <f>P21/'1. Väestöennuste'!R21*1000</f>
        <v>0</v>
      </c>
    </row>
    <row r="22" spans="1:35" x14ac:dyDescent="0.2">
      <c r="A22" s="30">
        <v>46</v>
      </c>
      <c r="B22" s="31" t="s">
        <v>335</v>
      </c>
      <c r="C22" s="64">
        <v>43</v>
      </c>
      <c r="D22" s="64">
        <v>-65</v>
      </c>
      <c r="E22" s="64">
        <v>244</v>
      </c>
      <c r="F22" s="65">
        <v>0</v>
      </c>
      <c r="G22" s="65">
        <v>0</v>
      </c>
      <c r="H22" s="41">
        <v>0</v>
      </c>
      <c r="I22" s="165">
        <v>0</v>
      </c>
      <c r="J22" s="41">
        <v>0</v>
      </c>
      <c r="K22" s="41">
        <v>0</v>
      </c>
      <c r="L22" s="41">
        <v>0</v>
      </c>
      <c r="M22" s="41">
        <v>0</v>
      </c>
      <c r="N22" s="41">
        <v>0</v>
      </c>
      <c r="O22" s="41">
        <v>0</v>
      </c>
      <c r="P22" s="41">
        <v>0</v>
      </c>
      <c r="T22" s="30">
        <v>46</v>
      </c>
      <c r="U22" s="31" t="s">
        <v>335</v>
      </c>
      <c r="V22" s="41">
        <f>C22/'1. Väestöennuste'!E22*1000</f>
        <v>29.192124915139171</v>
      </c>
      <c r="W22" s="41">
        <f>D22/'1. Väestöennuste'!F22*1000</f>
        <v>-44.735030970406058</v>
      </c>
      <c r="X22" s="41">
        <f>E22/'1. Väestöennuste'!G22*1000</f>
        <v>172.31638418079095</v>
      </c>
      <c r="Y22" s="41">
        <f>F22/'1. Väestöennuste'!H22*1000</f>
        <v>0</v>
      </c>
      <c r="Z22" s="41">
        <f>G22/'1. Väestöennuste'!I22*1000</f>
        <v>0</v>
      </c>
      <c r="AA22" s="41">
        <f>H22/'1. Väestöennuste'!J22*1000</f>
        <v>0</v>
      </c>
      <c r="AB22" s="41">
        <f>I22/'1. Väestöennuste'!K22*1000</f>
        <v>0</v>
      </c>
      <c r="AC22" s="41">
        <f>J22/'1. Väestöennuste'!L22*1000</f>
        <v>0</v>
      </c>
      <c r="AD22" s="41">
        <f>K22/'1. Väestöennuste'!M22*1000</f>
        <v>0</v>
      </c>
      <c r="AE22" s="41">
        <f>L22/'1. Väestöennuste'!N22*1000</f>
        <v>0</v>
      </c>
      <c r="AF22" s="41">
        <f>M22/'1. Väestöennuste'!O22*1000</f>
        <v>0</v>
      </c>
      <c r="AG22" s="41">
        <f>N22/'1. Väestöennuste'!P22*1000</f>
        <v>0</v>
      </c>
      <c r="AH22" s="41">
        <f>O22/'1. Väestöennuste'!Q22*1000</f>
        <v>0</v>
      </c>
      <c r="AI22" s="41">
        <f>P22/'1. Väestöennuste'!R22*1000</f>
        <v>0</v>
      </c>
    </row>
    <row r="23" spans="1:35" x14ac:dyDescent="0.2">
      <c r="A23" s="30">
        <v>47</v>
      </c>
      <c r="B23" s="31" t="s">
        <v>336</v>
      </c>
      <c r="C23" s="64">
        <v>0</v>
      </c>
      <c r="D23" s="64"/>
      <c r="E23" s="64">
        <v>0</v>
      </c>
      <c r="F23" s="65">
        <v>0</v>
      </c>
      <c r="G23" s="65">
        <v>0</v>
      </c>
      <c r="H23" s="41">
        <v>0</v>
      </c>
      <c r="I23" s="165">
        <v>7944.3414499999999</v>
      </c>
      <c r="J23" s="41">
        <v>0</v>
      </c>
      <c r="K23" s="41">
        <v>0</v>
      </c>
      <c r="L23" s="41">
        <v>0</v>
      </c>
      <c r="M23" s="41">
        <v>0</v>
      </c>
      <c r="N23" s="41">
        <v>0</v>
      </c>
      <c r="O23" s="41">
        <v>0</v>
      </c>
      <c r="P23" s="41">
        <v>0</v>
      </c>
      <c r="T23" s="30">
        <v>47</v>
      </c>
      <c r="U23" s="31" t="s">
        <v>336</v>
      </c>
      <c r="V23" s="41">
        <f>C23/'1. Väestöennuste'!E23*1000</f>
        <v>0</v>
      </c>
      <c r="W23" s="41">
        <f>D23/'1. Väestöennuste'!F23*1000</f>
        <v>0</v>
      </c>
      <c r="X23" s="41">
        <f>E23/'1. Väestöennuste'!G23*1000</f>
        <v>0</v>
      </c>
      <c r="Y23" s="41">
        <f>F23/'1. Väestöennuste'!H23*1000</f>
        <v>0</v>
      </c>
      <c r="Z23" s="41">
        <f>G23/'1. Väestöennuste'!I23*1000</f>
        <v>0</v>
      </c>
      <c r="AA23" s="41">
        <f>H23/'1. Väestöennuste'!J23*1000</f>
        <v>0</v>
      </c>
      <c r="AB23" s="41">
        <f>I23/'1. Väestöennuste'!K23*1000</f>
        <v>4440.66039686976</v>
      </c>
      <c r="AC23" s="41">
        <f>J23/'1. Väestöennuste'!L23*1000</f>
        <v>0</v>
      </c>
      <c r="AD23" s="41">
        <f>K23/'1. Väestöennuste'!M23*1000</f>
        <v>0</v>
      </c>
      <c r="AE23" s="41">
        <f>L23/'1. Väestöennuste'!N23*1000</f>
        <v>0</v>
      </c>
      <c r="AF23" s="41">
        <f>M23/'1. Väestöennuste'!O23*1000</f>
        <v>0</v>
      </c>
      <c r="AG23" s="41">
        <f>N23/'1. Väestöennuste'!P23*1000</f>
        <v>0</v>
      </c>
      <c r="AH23" s="41">
        <f>O23/'1. Väestöennuste'!Q23*1000</f>
        <v>0</v>
      </c>
      <c r="AI23" s="41">
        <f>P23/'1. Väestöennuste'!R23*1000</f>
        <v>0</v>
      </c>
    </row>
    <row r="24" spans="1:35" x14ac:dyDescent="0.2">
      <c r="A24" s="30">
        <v>49</v>
      </c>
      <c r="B24" s="31" t="s">
        <v>337</v>
      </c>
      <c r="C24" s="64">
        <v>0</v>
      </c>
      <c r="D24" s="64"/>
      <c r="E24" s="64">
        <v>0</v>
      </c>
      <c r="F24" s="65">
        <v>0</v>
      </c>
      <c r="G24" s="65">
        <v>0</v>
      </c>
      <c r="H24" s="41">
        <v>0</v>
      </c>
      <c r="I24" s="165">
        <v>0</v>
      </c>
      <c r="J24" s="41">
        <v>97104.933950000006</v>
      </c>
      <c r="K24" s="41">
        <v>0</v>
      </c>
      <c r="L24" s="41">
        <v>0</v>
      </c>
      <c r="M24" s="41">
        <v>0</v>
      </c>
      <c r="N24" s="41">
        <v>0</v>
      </c>
      <c r="O24" s="41">
        <v>0</v>
      </c>
      <c r="P24" s="41">
        <v>0</v>
      </c>
      <c r="T24" s="30">
        <v>49</v>
      </c>
      <c r="U24" s="31" t="s">
        <v>337</v>
      </c>
      <c r="V24" s="41">
        <f>C24/'1. Väestöennuste'!E24*1000</f>
        <v>0</v>
      </c>
      <c r="W24" s="41">
        <f>D24/'1. Väestöennuste'!F24*1000</f>
        <v>0</v>
      </c>
      <c r="X24" s="41">
        <f>E24/'1. Väestöennuste'!G24*1000</f>
        <v>0</v>
      </c>
      <c r="Y24" s="41">
        <f>F24/'1. Väestöennuste'!H24*1000</f>
        <v>0</v>
      </c>
      <c r="Z24" s="41">
        <f>G24/'1. Väestöennuste'!I24*1000</f>
        <v>0</v>
      </c>
      <c r="AA24" s="41">
        <f>H24/'1. Väestöennuste'!J24*1000</f>
        <v>0</v>
      </c>
      <c r="AB24" s="41">
        <f>I24/'1. Väestöennuste'!K24*1000</f>
        <v>0</v>
      </c>
      <c r="AC24" s="41">
        <f>J24/'1. Väestöennuste'!L24*1000</f>
        <v>318.09107211881786</v>
      </c>
      <c r="AD24" s="41">
        <f>K24/'1. Väestöennuste'!M24*1000</f>
        <v>0</v>
      </c>
      <c r="AE24" s="41">
        <f>L24/'1. Väestöennuste'!N24*1000</f>
        <v>0</v>
      </c>
      <c r="AF24" s="41">
        <f>M24/'1. Väestöennuste'!O24*1000</f>
        <v>0</v>
      </c>
      <c r="AG24" s="41">
        <f>N24/'1. Väestöennuste'!P24*1000</f>
        <v>0</v>
      </c>
      <c r="AH24" s="41">
        <f>O24/'1. Väestöennuste'!Q24*1000</f>
        <v>0</v>
      </c>
      <c r="AI24" s="41">
        <f>P24/'1. Väestöennuste'!R24*1000</f>
        <v>0</v>
      </c>
    </row>
    <row r="25" spans="1:35" x14ac:dyDescent="0.2">
      <c r="A25" s="30">
        <v>50</v>
      </c>
      <c r="B25" s="31" t="s">
        <v>338</v>
      </c>
      <c r="C25" s="64">
        <v>0</v>
      </c>
      <c r="D25" s="64"/>
      <c r="E25" s="64">
        <v>0</v>
      </c>
      <c r="F25" s="65">
        <v>0</v>
      </c>
      <c r="G25" s="65">
        <v>0</v>
      </c>
      <c r="H25" s="41">
        <v>67</v>
      </c>
      <c r="I25" s="165">
        <v>0</v>
      </c>
      <c r="J25" s="41">
        <v>0</v>
      </c>
      <c r="K25" s="41">
        <v>0</v>
      </c>
      <c r="L25" s="41">
        <v>0</v>
      </c>
      <c r="M25" s="41">
        <v>0</v>
      </c>
      <c r="N25" s="41">
        <v>0</v>
      </c>
      <c r="O25" s="41">
        <v>0</v>
      </c>
      <c r="P25" s="41">
        <v>0</v>
      </c>
      <c r="T25" s="30">
        <v>50</v>
      </c>
      <c r="U25" s="31" t="s">
        <v>338</v>
      </c>
      <c r="V25" s="41">
        <f>C25/'1. Väestöennuste'!E25*1000</f>
        <v>0</v>
      </c>
      <c r="W25" s="41">
        <f>D25/'1. Väestöennuste'!F25*1000</f>
        <v>0</v>
      </c>
      <c r="X25" s="41">
        <f>E25/'1. Väestöennuste'!G25*1000</f>
        <v>0</v>
      </c>
      <c r="Y25" s="41">
        <f>F25/'1. Väestöennuste'!H25*1000</f>
        <v>0</v>
      </c>
      <c r="Z25" s="41">
        <f>G25/'1. Väestöennuste'!I25*1000</f>
        <v>0</v>
      </c>
      <c r="AA25" s="41">
        <f>H25/'1. Väestöennuste'!J25*1000</f>
        <v>5.8347121832273796</v>
      </c>
      <c r="AB25" s="41">
        <f>I25/'1. Väestöennuste'!K25*1000</f>
        <v>0</v>
      </c>
      <c r="AC25" s="41">
        <f>J25/'1. Väestöennuste'!L25*1000</f>
        <v>0</v>
      </c>
      <c r="AD25" s="41">
        <f>K25/'1. Väestöennuste'!M25*1000</f>
        <v>0</v>
      </c>
      <c r="AE25" s="41">
        <f>L25/'1. Väestöennuste'!N25*1000</f>
        <v>0</v>
      </c>
      <c r="AF25" s="41">
        <f>M25/'1. Väestöennuste'!O25*1000</f>
        <v>0</v>
      </c>
      <c r="AG25" s="41">
        <f>N25/'1. Väestöennuste'!P25*1000</f>
        <v>0</v>
      </c>
      <c r="AH25" s="41">
        <f>O25/'1. Väestöennuste'!Q25*1000</f>
        <v>0</v>
      </c>
      <c r="AI25" s="41">
        <f>P25/'1. Väestöennuste'!R25*1000</f>
        <v>0</v>
      </c>
    </row>
    <row r="26" spans="1:35" x14ac:dyDescent="0.2">
      <c r="A26" s="30">
        <v>51</v>
      </c>
      <c r="B26" s="31" t="s">
        <v>339</v>
      </c>
      <c r="C26" s="64">
        <v>0</v>
      </c>
      <c r="D26" s="64"/>
      <c r="E26" s="64">
        <v>0</v>
      </c>
      <c r="F26" s="65">
        <v>0</v>
      </c>
      <c r="G26" s="65">
        <v>0</v>
      </c>
      <c r="H26" s="41">
        <v>0</v>
      </c>
      <c r="I26" s="165">
        <v>0</v>
      </c>
      <c r="J26" s="41">
        <v>0</v>
      </c>
      <c r="K26" s="41">
        <v>0</v>
      </c>
      <c r="L26" s="41">
        <v>0</v>
      </c>
      <c r="M26" s="41">
        <v>0</v>
      </c>
      <c r="N26" s="41">
        <v>0</v>
      </c>
      <c r="O26" s="41">
        <v>0</v>
      </c>
      <c r="P26" s="41">
        <v>0</v>
      </c>
      <c r="T26" s="30">
        <v>51</v>
      </c>
      <c r="U26" s="31" t="s">
        <v>339</v>
      </c>
      <c r="V26" s="41">
        <f>C26/'1. Väestöennuste'!E26*1000</f>
        <v>0</v>
      </c>
      <c r="W26" s="41">
        <f>D26/'1. Väestöennuste'!F26*1000</f>
        <v>0</v>
      </c>
      <c r="X26" s="41">
        <f>E26/'1. Väestöennuste'!G26*1000</f>
        <v>0</v>
      </c>
      <c r="Y26" s="41">
        <f>F26/'1. Väestöennuste'!H26*1000</f>
        <v>0</v>
      </c>
      <c r="Z26" s="41">
        <f>G26/'1. Väestöennuste'!I26*1000</f>
        <v>0</v>
      </c>
      <c r="AA26" s="41">
        <f>H26/'1. Väestöennuste'!J26*1000</f>
        <v>0</v>
      </c>
      <c r="AB26" s="41">
        <f>I26/'1. Väestöennuste'!K26*1000</f>
        <v>0</v>
      </c>
      <c r="AC26" s="41">
        <f>J26/'1. Väestöennuste'!L26*1000</f>
        <v>0</v>
      </c>
      <c r="AD26" s="41">
        <f>K26/'1. Väestöennuste'!M26*1000</f>
        <v>0</v>
      </c>
      <c r="AE26" s="41">
        <f>L26/'1. Väestöennuste'!N26*1000</f>
        <v>0</v>
      </c>
      <c r="AF26" s="41">
        <f>M26/'1. Väestöennuste'!O26*1000</f>
        <v>0</v>
      </c>
      <c r="AG26" s="41">
        <f>N26/'1. Väestöennuste'!P26*1000</f>
        <v>0</v>
      </c>
      <c r="AH26" s="41">
        <f>O26/'1. Väestöennuste'!Q26*1000</f>
        <v>0</v>
      </c>
      <c r="AI26" s="41">
        <f>P26/'1. Väestöennuste'!R26*1000</f>
        <v>0</v>
      </c>
    </row>
    <row r="27" spans="1:35" x14ac:dyDescent="0.2">
      <c r="A27" s="30">
        <v>52</v>
      </c>
      <c r="B27" s="31" t="s">
        <v>340</v>
      </c>
      <c r="C27" s="64">
        <v>0</v>
      </c>
      <c r="D27" s="64"/>
      <c r="E27" s="64">
        <v>0</v>
      </c>
      <c r="F27" s="65">
        <v>0</v>
      </c>
      <c r="G27" s="65">
        <v>0</v>
      </c>
      <c r="H27" s="41">
        <v>0</v>
      </c>
      <c r="I27" s="165">
        <v>0</v>
      </c>
      <c r="J27" s="41">
        <v>0</v>
      </c>
      <c r="K27" s="41">
        <v>0</v>
      </c>
      <c r="L27" s="41">
        <v>0</v>
      </c>
      <c r="M27" s="41">
        <v>0</v>
      </c>
      <c r="N27" s="41">
        <v>0</v>
      </c>
      <c r="O27" s="41">
        <v>0</v>
      </c>
      <c r="P27" s="41">
        <v>0</v>
      </c>
      <c r="T27" s="30">
        <v>52</v>
      </c>
      <c r="U27" s="31" t="s">
        <v>340</v>
      </c>
      <c r="V27" s="41">
        <f>C27/'1. Väestöennuste'!E27*1000</f>
        <v>0</v>
      </c>
      <c r="W27" s="41">
        <f>D27/'1. Väestöennuste'!F27*1000</f>
        <v>0</v>
      </c>
      <c r="X27" s="41">
        <f>E27/'1. Väestöennuste'!G27*1000</f>
        <v>0</v>
      </c>
      <c r="Y27" s="41">
        <f>F27/'1. Väestöennuste'!H27*1000</f>
        <v>0</v>
      </c>
      <c r="Z27" s="41">
        <f>G27/'1. Väestöennuste'!I27*1000</f>
        <v>0</v>
      </c>
      <c r="AA27" s="41">
        <f>H27/'1. Väestöennuste'!J27*1000</f>
        <v>0</v>
      </c>
      <c r="AB27" s="41">
        <f>I27/'1. Väestöennuste'!K27*1000</f>
        <v>0</v>
      </c>
      <c r="AC27" s="41">
        <f>J27/'1. Väestöennuste'!L27*1000</f>
        <v>0</v>
      </c>
      <c r="AD27" s="41">
        <f>K27/'1. Väestöennuste'!M27*1000</f>
        <v>0</v>
      </c>
      <c r="AE27" s="41">
        <f>L27/'1. Väestöennuste'!N27*1000</f>
        <v>0</v>
      </c>
      <c r="AF27" s="41">
        <f>M27/'1. Väestöennuste'!O27*1000</f>
        <v>0</v>
      </c>
      <c r="AG27" s="41">
        <f>N27/'1. Väestöennuste'!P27*1000</f>
        <v>0</v>
      </c>
      <c r="AH27" s="41">
        <f>O27/'1. Väestöennuste'!Q27*1000</f>
        <v>0</v>
      </c>
      <c r="AI27" s="41">
        <f>P27/'1. Väestöennuste'!R27*1000</f>
        <v>0</v>
      </c>
    </row>
    <row r="28" spans="1:35" x14ac:dyDescent="0.2">
      <c r="A28" s="30">
        <v>61</v>
      </c>
      <c r="B28" s="31" t="s">
        <v>341</v>
      </c>
      <c r="C28" s="64">
        <v>0</v>
      </c>
      <c r="D28" s="64"/>
      <c r="E28" s="64">
        <v>0</v>
      </c>
      <c r="F28" s="65">
        <v>2000</v>
      </c>
      <c r="G28" s="65">
        <v>-25</v>
      </c>
      <c r="H28" s="41">
        <v>664</v>
      </c>
      <c r="I28" s="165">
        <v>0</v>
      </c>
      <c r="J28" s="41">
        <v>0</v>
      </c>
      <c r="K28" s="41">
        <v>0</v>
      </c>
      <c r="L28" s="41">
        <v>0</v>
      </c>
      <c r="M28" s="41">
        <v>0</v>
      </c>
      <c r="N28" s="41">
        <v>0</v>
      </c>
      <c r="O28" s="41">
        <v>0</v>
      </c>
      <c r="P28" s="41">
        <v>0</v>
      </c>
      <c r="T28" s="30">
        <v>61</v>
      </c>
      <c r="U28" s="31" t="s">
        <v>341</v>
      </c>
      <c r="V28" s="41">
        <f>C28/'1. Väestöennuste'!E28*1000</f>
        <v>0</v>
      </c>
      <c r="W28" s="41">
        <f>D28/'1. Väestöennuste'!F28*1000</f>
        <v>0</v>
      </c>
      <c r="X28" s="41">
        <f>E28/'1. Väestöennuste'!G28*1000</f>
        <v>0</v>
      </c>
      <c r="Y28" s="41">
        <f>F28/'1. Väestöennuste'!H28*1000</f>
        <v>117.45360582569884</v>
      </c>
      <c r="Z28" s="41">
        <f>G28/'1. Väestöennuste'!I28*1000</f>
        <v>-1.4792024140583397</v>
      </c>
      <c r="AA28" s="41">
        <f>H28/'1. Väestöennuste'!J28*1000</f>
        <v>39.523809523809526</v>
      </c>
      <c r="AB28" s="41">
        <f>I28/'1. Väestöennuste'!K28*1000</f>
        <v>0</v>
      </c>
      <c r="AC28" s="41">
        <f>J28/'1. Väestöennuste'!L28*1000</f>
        <v>0</v>
      </c>
      <c r="AD28" s="41">
        <f>K28/'1. Väestöennuste'!M28*1000</f>
        <v>0</v>
      </c>
      <c r="AE28" s="41">
        <f>L28/'1. Väestöennuste'!N28*1000</f>
        <v>0</v>
      </c>
      <c r="AF28" s="41">
        <f>M28/'1. Väestöennuste'!O28*1000</f>
        <v>0</v>
      </c>
      <c r="AG28" s="41">
        <f>N28/'1. Väestöennuste'!P28*1000</f>
        <v>0</v>
      </c>
      <c r="AH28" s="41">
        <f>O28/'1. Väestöennuste'!Q28*1000</f>
        <v>0</v>
      </c>
      <c r="AI28" s="41">
        <f>P28/'1. Väestöennuste'!R28*1000</f>
        <v>0</v>
      </c>
    </row>
    <row r="29" spans="1:35" x14ac:dyDescent="0.2">
      <c r="A29" s="30">
        <v>69</v>
      </c>
      <c r="B29" s="31" t="s">
        <v>342</v>
      </c>
      <c r="C29" s="64">
        <v>0</v>
      </c>
      <c r="D29" s="64">
        <v>-259</v>
      </c>
      <c r="E29" s="64">
        <v>-25</v>
      </c>
      <c r="F29" s="65">
        <v>0</v>
      </c>
      <c r="G29" s="65">
        <v>0</v>
      </c>
      <c r="H29" s="41">
        <v>0</v>
      </c>
      <c r="I29" s="165">
        <v>0</v>
      </c>
      <c r="J29" s="41">
        <v>0</v>
      </c>
      <c r="K29" s="41">
        <v>0</v>
      </c>
      <c r="L29" s="41">
        <v>0</v>
      </c>
      <c r="M29" s="41">
        <v>0</v>
      </c>
      <c r="N29" s="41">
        <v>0</v>
      </c>
      <c r="O29" s="41">
        <v>0</v>
      </c>
      <c r="P29" s="41">
        <v>0</v>
      </c>
      <c r="T29" s="30">
        <v>69</v>
      </c>
      <c r="U29" s="31" t="s">
        <v>342</v>
      </c>
      <c r="V29" s="41">
        <f>C29/'1. Väestöennuste'!E29*1000</f>
        <v>0</v>
      </c>
      <c r="W29" s="41">
        <f>D29/'1. Väestöennuste'!F29*1000</f>
        <v>-35.324604473540646</v>
      </c>
      <c r="X29" s="41">
        <f>E29/'1. Väestöennuste'!G29*1000</f>
        <v>-3.4478003034064266</v>
      </c>
      <c r="Y29" s="41">
        <f>F29/'1. Väestöennuste'!H29*1000</f>
        <v>0</v>
      </c>
      <c r="Z29" s="41">
        <f>G29/'1. Väestöennuste'!I29*1000</f>
        <v>0</v>
      </c>
      <c r="AA29" s="41">
        <f>H29/'1. Väestöennuste'!J29*1000</f>
        <v>0</v>
      </c>
      <c r="AB29" s="41">
        <f>I29/'1. Väestöennuste'!K29*1000</f>
        <v>0</v>
      </c>
      <c r="AC29" s="41">
        <f>J29/'1. Väestöennuste'!L29*1000</f>
        <v>0</v>
      </c>
      <c r="AD29" s="41">
        <f>K29/'1. Väestöennuste'!M29*1000</f>
        <v>0</v>
      </c>
      <c r="AE29" s="41">
        <f>L29/'1. Väestöennuste'!N29*1000</f>
        <v>0</v>
      </c>
      <c r="AF29" s="41">
        <f>M29/'1. Väestöennuste'!O29*1000</f>
        <v>0</v>
      </c>
      <c r="AG29" s="41">
        <f>N29/'1. Väestöennuste'!P29*1000</f>
        <v>0</v>
      </c>
      <c r="AH29" s="41">
        <f>O29/'1. Väestöennuste'!Q29*1000</f>
        <v>0</v>
      </c>
      <c r="AI29" s="41">
        <f>P29/'1. Väestöennuste'!R29*1000</f>
        <v>0</v>
      </c>
    </row>
    <row r="30" spans="1:35" x14ac:dyDescent="0.2">
      <c r="A30" s="30">
        <v>71</v>
      </c>
      <c r="B30" s="31" t="s">
        <v>343</v>
      </c>
      <c r="C30" s="64">
        <v>-19</v>
      </c>
      <c r="D30" s="64"/>
      <c r="E30" s="64">
        <v>7563</v>
      </c>
      <c r="F30" s="65">
        <v>0</v>
      </c>
      <c r="G30" s="65">
        <v>0</v>
      </c>
      <c r="H30" s="41">
        <v>0</v>
      </c>
      <c r="I30" s="165">
        <v>0</v>
      </c>
      <c r="J30" s="41">
        <v>0</v>
      </c>
      <c r="K30" s="41">
        <v>0</v>
      </c>
      <c r="L30" s="41">
        <v>0</v>
      </c>
      <c r="M30" s="41">
        <v>0</v>
      </c>
      <c r="N30" s="41">
        <v>0</v>
      </c>
      <c r="O30" s="41">
        <v>0</v>
      </c>
      <c r="P30" s="41">
        <v>0</v>
      </c>
      <c r="T30" s="30">
        <v>71</v>
      </c>
      <c r="U30" s="31" t="s">
        <v>343</v>
      </c>
      <c r="V30" s="41">
        <f>C30/'1. Väestöennuste'!E30*1000</f>
        <v>-2.6510394865355096</v>
      </c>
      <c r="W30" s="41">
        <f>D30/'1. Väestöennuste'!F30*1000</f>
        <v>0</v>
      </c>
      <c r="X30" s="41">
        <f>E30/'1. Väestöennuste'!G30*1000</f>
        <v>1085.0789096126255</v>
      </c>
      <c r="Y30" s="41">
        <f>F30/'1. Väestöennuste'!H30*1000</f>
        <v>0</v>
      </c>
      <c r="Z30" s="41">
        <f>G30/'1. Väestöennuste'!I30*1000</f>
        <v>0</v>
      </c>
      <c r="AA30" s="41">
        <f>H30/'1. Väestöennuste'!J30*1000</f>
        <v>0</v>
      </c>
      <c r="AB30" s="41">
        <f>I30/'1. Väestöennuste'!K30*1000</f>
        <v>0</v>
      </c>
      <c r="AC30" s="41">
        <f>J30/'1. Väestöennuste'!L30*1000</f>
        <v>0</v>
      </c>
      <c r="AD30" s="41">
        <f>K30/'1. Väestöennuste'!M30*1000</f>
        <v>0</v>
      </c>
      <c r="AE30" s="41">
        <f>L30/'1. Väestöennuste'!N30*1000</f>
        <v>0</v>
      </c>
      <c r="AF30" s="41">
        <f>M30/'1. Väestöennuste'!O30*1000</f>
        <v>0</v>
      </c>
      <c r="AG30" s="41">
        <f>N30/'1. Väestöennuste'!P30*1000</f>
        <v>0</v>
      </c>
      <c r="AH30" s="41">
        <f>O30/'1. Väestöennuste'!Q30*1000</f>
        <v>0</v>
      </c>
      <c r="AI30" s="41">
        <f>P30/'1. Väestöennuste'!R30*1000</f>
        <v>0</v>
      </c>
    </row>
    <row r="31" spans="1:35" x14ac:dyDescent="0.2">
      <c r="A31" s="30">
        <v>72</v>
      </c>
      <c r="B31" s="31" t="s">
        <v>344</v>
      </c>
      <c r="C31" s="64">
        <v>0</v>
      </c>
      <c r="D31" s="64"/>
      <c r="E31" s="64">
        <v>0</v>
      </c>
      <c r="F31" s="65">
        <v>0</v>
      </c>
      <c r="G31" s="65">
        <v>0</v>
      </c>
      <c r="H31" s="41">
        <v>0</v>
      </c>
      <c r="I31" s="165">
        <v>0</v>
      </c>
      <c r="J31" s="41">
        <v>0</v>
      </c>
      <c r="K31" s="41">
        <v>0</v>
      </c>
      <c r="L31" s="41">
        <v>0</v>
      </c>
      <c r="M31" s="41">
        <v>0</v>
      </c>
      <c r="N31" s="41">
        <v>0</v>
      </c>
      <c r="O31" s="41">
        <v>0</v>
      </c>
      <c r="P31" s="41">
        <v>0</v>
      </c>
      <c r="T31" s="30">
        <v>72</v>
      </c>
      <c r="U31" s="31" t="s">
        <v>344</v>
      </c>
      <c r="V31" s="41">
        <f>C31/'1. Väestöennuste'!E31*1000</f>
        <v>0</v>
      </c>
      <c r="W31" s="41">
        <f>D31/'1. Väestöennuste'!F31*1000</f>
        <v>0</v>
      </c>
      <c r="X31" s="41">
        <f>E31/'1. Väestöennuste'!G31*1000</f>
        <v>0</v>
      </c>
      <c r="Y31" s="41">
        <f>F31/'1. Väestöennuste'!H31*1000</f>
        <v>0</v>
      </c>
      <c r="Z31" s="41">
        <f>G31/'1. Väestöennuste'!I31*1000</f>
        <v>0</v>
      </c>
      <c r="AA31" s="41">
        <f>H31/'1. Väestöennuste'!J31*1000</f>
        <v>0</v>
      </c>
      <c r="AB31" s="41">
        <f>I31/'1. Väestöennuste'!K31*1000</f>
        <v>0</v>
      </c>
      <c r="AC31" s="41">
        <f>J31/'1. Väestöennuste'!L31*1000</f>
        <v>0</v>
      </c>
      <c r="AD31" s="41">
        <f>K31/'1. Väestöennuste'!M31*1000</f>
        <v>0</v>
      </c>
      <c r="AE31" s="41">
        <f>L31/'1. Väestöennuste'!N31*1000</f>
        <v>0</v>
      </c>
      <c r="AF31" s="41">
        <f>M31/'1. Väestöennuste'!O31*1000</f>
        <v>0</v>
      </c>
      <c r="AG31" s="41">
        <f>N31/'1. Väestöennuste'!P31*1000</f>
        <v>0</v>
      </c>
      <c r="AH31" s="41">
        <f>O31/'1. Väestöennuste'!Q31*1000</f>
        <v>0</v>
      </c>
      <c r="AI31" s="41">
        <f>P31/'1. Väestöennuste'!R31*1000</f>
        <v>0</v>
      </c>
    </row>
    <row r="32" spans="1:35" x14ac:dyDescent="0.2">
      <c r="A32" s="30">
        <v>74</v>
      </c>
      <c r="B32" s="31" t="s">
        <v>345</v>
      </c>
      <c r="C32" s="64">
        <v>0</v>
      </c>
      <c r="D32" s="64"/>
      <c r="E32" s="64">
        <v>0</v>
      </c>
      <c r="F32" s="65">
        <v>-53</v>
      </c>
      <c r="G32" s="65">
        <v>0</v>
      </c>
      <c r="H32" s="41">
        <v>0</v>
      </c>
      <c r="I32" s="165">
        <v>0</v>
      </c>
      <c r="J32" s="41">
        <v>0</v>
      </c>
      <c r="K32" s="41">
        <v>0</v>
      </c>
      <c r="L32" s="41">
        <v>0</v>
      </c>
      <c r="M32" s="41">
        <v>0</v>
      </c>
      <c r="N32" s="41">
        <v>0</v>
      </c>
      <c r="O32" s="41">
        <v>0</v>
      </c>
      <c r="P32" s="41">
        <v>0</v>
      </c>
      <c r="T32" s="30">
        <v>74</v>
      </c>
      <c r="U32" s="31" t="s">
        <v>345</v>
      </c>
      <c r="V32" s="41">
        <f>C32/'1. Väestöennuste'!E32*1000</f>
        <v>0</v>
      </c>
      <c r="W32" s="41">
        <f>D32/'1. Väestöennuste'!F32*1000</f>
        <v>0</v>
      </c>
      <c r="X32" s="41">
        <f>E32/'1. Väestöennuste'!G32*1000</f>
        <v>0</v>
      </c>
      <c r="Y32" s="41">
        <f>F32/'1. Väestöennuste'!H32*1000</f>
        <v>-45.493562231759654</v>
      </c>
      <c r="Z32" s="41">
        <f>G32/'1. Väestöennuste'!I32*1000</f>
        <v>0</v>
      </c>
      <c r="AA32" s="41">
        <f>H32/'1. Väestöennuste'!J32*1000</f>
        <v>0</v>
      </c>
      <c r="AB32" s="41">
        <f>I32/'1. Väestöennuste'!K32*1000</f>
        <v>0</v>
      </c>
      <c r="AC32" s="41">
        <f>J32/'1. Väestöennuste'!L32*1000</f>
        <v>0</v>
      </c>
      <c r="AD32" s="41">
        <f>K32/'1. Väestöennuste'!M32*1000</f>
        <v>0</v>
      </c>
      <c r="AE32" s="41">
        <f>L32/'1. Väestöennuste'!N32*1000</f>
        <v>0</v>
      </c>
      <c r="AF32" s="41">
        <f>M32/'1. Väestöennuste'!O32*1000</f>
        <v>0</v>
      </c>
      <c r="AG32" s="41">
        <f>N32/'1. Väestöennuste'!P32*1000</f>
        <v>0</v>
      </c>
      <c r="AH32" s="41">
        <f>O32/'1. Väestöennuste'!Q32*1000</f>
        <v>0</v>
      </c>
      <c r="AI32" s="41">
        <f>P32/'1. Väestöennuste'!R32*1000</f>
        <v>0</v>
      </c>
    </row>
    <row r="33" spans="1:35" x14ac:dyDescent="0.2">
      <c r="A33" s="30">
        <v>75</v>
      </c>
      <c r="B33" s="31" t="s">
        <v>346</v>
      </c>
      <c r="C33" s="64">
        <v>0</v>
      </c>
      <c r="D33" s="64"/>
      <c r="E33" s="64">
        <v>0</v>
      </c>
      <c r="F33" s="65">
        <v>0</v>
      </c>
      <c r="G33" s="65">
        <v>0</v>
      </c>
      <c r="H33" s="41">
        <v>0</v>
      </c>
      <c r="I33" s="165">
        <v>0</v>
      </c>
      <c r="J33" s="41">
        <v>0</v>
      </c>
      <c r="K33" s="41">
        <v>0</v>
      </c>
      <c r="L33" s="41">
        <v>0</v>
      </c>
      <c r="M33" s="41">
        <v>0</v>
      </c>
      <c r="N33" s="41">
        <v>0</v>
      </c>
      <c r="O33" s="41">
        <v>0</v>
      </c>
      <c r="P33" s="41">
        <v>0</v>
      </c>
      <c r="T33" s="30">
        <v>75</v>
      </c>
      <c r="U33" s="31" t="s">
        <v>346</v>
      </c>
      <c r="V33" s="41">
        <f>C33/'1. Väestöennuste'!E33*1000</f>
        <v>0</v>
      </c>
      <c r="W33" s="41">
        <f>D33/'1. Väestöennuste'!F33*1000</f>
        <v>0</v>
      </c>
      <c r="X33" s="41">
        <f>E33/'1. Väestöennuste'!G33*1000</f>
        <v>0</v>
      </c>
      <c r="Y33" s="41">
        <f>F33/'1. Väestöennuste'!H33*1000</f>
        <v>0</v>
      </c>
      <c r="Z33" s="41">
        <f>G33/'1. Väestöennuste'!I33*1000</f>
        <v>0</v>
      </c>
      <c r="AA33" s="41">
        <f>H33/'1. Väestöennuste'!J33*1000</f>
        <v>0</v>
      </c>
      <c r="AB33" s="41">
        <f>I33/'1. Väestöennuste'!K33*1000</f>
        <v>0</v>
      </c>
      <c r="AC33" s="41">
        <f>J33/'1. Väestöennuste'!L33*1000</f>
        <v>0</v>
      </c>
      <c r="AD33" s="41">
        <f>K33/'1. Väestöennuste'!M33*1000</f>
        <v>0</v>
      </c>
      <c r="AE33" s="41">
        <f>L33/'1. Väestöennuste'!N33*1000</f>
        <v>0</v>
      </c>
      <c r="AF33" s="41">
        <f>M33/'1. Väestöennuste'!O33*1000</f>
        <v>0</v>
      </c>
      <c r="AG33" s="41">
        <f>N33/'1. Väestöennuste'!P33*1000</f>
        <v>0</v>
      </c>
      <c r="AH33" s="41">
        <f>O33/'1. Väestöennuste'!Q33*1000</f>
        <v>0</v>
      </c>
      <c r="AI33" s="41">
        <f>P33/'1. Väestöennuste'!R33*1000</f>
        <v>0</v>
      </c>
    </row>
    <row r="34" spans="1:35" x14ac:dyDescent="0.2">
      <c r="A34" s="30">
        <v>77</v>
      </c>
      <c r="B34" s="31" t="s">
        <v>347</v>
      </c>
      <c r="C34" s="64">
        <v>0</v>
      </c>
      <c r="D34" s="64"/>
      <c r="E34" s="64">
        <v>0</v>
      </c>
      <c r="F34" s="65">
        <v>0</v>
      </c>
      <c r="G34" s="65">
        <v>0</v>
      </c>
      <c r="H34" s="41">
        <v>645</v>
      </c>
      <c r="I34" s="165">
        <v>-118.7</v>
      </c>
      <c r="J34" s="41">
        <v>0</v>
      </c>
      <c r="K34" s="41">
        <v>0</v>
      </c>
      <c r="L34" s="41">
        <v>0</v>
      </c>
      <c r="M34" s="41">
        <v>0</v>
      </c>
      <c r="N34" s="41">
        <v>0</v>
      </c>
      <c r="O34" s="41">
        <v>0</v>
      </c>
      <c r="P34" s="41">
        <v>0</v>
      </c>
      <c r="T34" s="30">
        <v>77</v>
      </c>
      <c r="U34" s="31" t="s">
        <v>347</v>
      </c>
      <c r="V34" s="41">
        <f>C34/'1. Väestöennuste'!E34*1000</f>
        <v>0</v>
      </c>
      <c r="W34" s="41">
        <f>D34/'1. Väestöennuste'!F34*1000</f>
        <v>0</v>
      </c>
      <c r="X34" s="41">
        <f>E34/'1. Väestöennuste'!G34*1000</f>
        <v>0</v>
      </c>
      <c r="Y34" s="41">
        <f>F34/'1. Väestöennuste'!H34*1000</f>
        <v>0</v>
      </c>
      <c r="Z34" s="41">
        <f>G34/'1. Väestöennuste'!I34*1000</f>
        <v>0</v>
      </c>
      <c r="AA34" s="41">
        <f>H34/'1. Väestöennuste'!J34*1000</f>
        <v>134.88080301129236</v>
      </c>
      <c r="AB34" s="41">
        <f>I34/'1. Väestöennuste'!K34*1000</f>
        <v>-25.346999786461673</v>
      </c>
      <c r="AC34" s="41">
        <f>J34/'1. Väestöennuste'!L34*1000</f>
        <v>0</v>
      </c>
      <c r="AD34" s="41">
        <f>K34/'1. Väestöennuste'!M34*1000</f>
        <v>0</v>
      </c>
      <c r="AE34" s="41">
        <f>L34/'1. Väestöennuste'!N34*1000</f>
        <v>0</v>
      </c>
      <c r="AF34" s="41">
        <f>M34/'1. Väestöennuste'!O34*1000</f>
        <v>0</v>
      </c>
      <c r="AG34" s="41">
        <f>N34/'1. Väestöennuste'!P34*1000</f>
        <v>0</v>
      </c>
      <c r="AH34" s="41">
        <f>O34/'1. Väestöennuste'!Q34*1000</f>
        <v>0</v>
      </c>
      <c r="AI34" s="41">
        <f>P34/'1. Väestöennuste'!R34*1000</f>
        <v>0</v>
      </c>
    </row>
    <row r="35" spans="1:35" x14ac:dyDescent="0.2">
      <c r="A35" s="30">
        <v>78</v>
      </c>
      <c r="B35" s="31" t="s">
        <v>348</v>
      </c>
      <c r="C35" s="64">
        <v>62</v>
      </c>
      <c r="D35" s="64"/>
      <c r="E35" s="64">
        <v>0</v>
      </c>
      <c r="F35" s="65">
        <v>0</v>
      </c>
      <c r="G35" s="65">
        <v>0</v>
      </c>
      <c r="H35" s="41">
        <v>0</v>
      </c>
      <c r="I35" s="165">
        <v>0</v>
      </c>
      <c r="J35" s="41">
        <v>0</v>
      </c>
      <c r="K35" s="41">
        <v>0</v>
      </c>
      <c r="L35" s="41">
        <v>0</v>
      </c>
      <c r="M35" s="41">
        <v>0</v>
      </c>
      <c r="N35" s="41">
        <v>0</v>
      </c>
      <c r="O35" s="41">
        <v>0</v>
      </c>
      <c r="P35" s="41">
        <v>0</v>
      </c>
      <c r="T35" s="30">
        <v>78</v>
      </c>
      <c r="U35" s="31" t="s">
        <v>348</v>
      </c>
      <c r="V35" s="41">
        <f>C35/'1. Väestöennuste'!E35*1000</f>
        <v>6.9945848375451263</v>
      </c>
      <c r="W35" s="41">
        <f>D35/'1. Väestöennuste'!F35*1000</f>
        <v>0</v>
      </c>
      <c r="X35" s="41">
        <f>E35/'1. Väestöennuste'!G35*1000</f>
        <v>0</v>
      </c>
      <c r="Y35" s="41">
        <f>F35/'1. Väestöennuste'!H35*1000</f>
        <v>0</v>
      </c>
      <c r="Z35" s="41">
        <f>G35/'1. Väestöennuste'!I35*1000</f>
        <v>0</v>
      </c>
      <c r="AA35" s="41">
        <f>H35/'1. Väestöennuste'!J35*1000</f>
        <v>0</v>
      </c>
      <c r="AB35" s="41">
        <f>I35/'1. Väestöennuste'!K35*1000</f>
        <v>0</v>
      </c>
      <c r="AC35" s="41">
        <f>J35/'1. Väestöennuste'!L35*1000</f>
        <v>0</v>
      </c>
      <c r="AD35" s="41">
        <f>K35/'1. Väestöennuste'!M35*1000</f>
        <v>0</v>
      </c>
      <c r="AE35" s="41">
        <f>L35/'1. Väestöennuste'!N35*1000</f>
        <v>0</v>
      </c>
      <c r="AF35" s="41">
        <f>M35/'1. Väestöennuste'!O35*1000</f>
        <v>0</v>
      </c>
      <c r="AG35" s="41">
        <f>N35/'1. Väestöennuste'!P35*1000</f>
        <v>0</v>
      </c>
      <c r="AH35" s="41">
        <f>O35/'1. Väestöennuste'!Q35*1000</f>
        <v>0</v>
      </c>
      <c r="AI35" s="41">
        <f>P35/'1. Väestöennuste'!R35*1000</f>
        <v>0</v>
      </c>
    </row>
    <row r="36" spans="1:35" x14ac:dyDescent="0.2">
      <c r="A36" s="30">
        <v>79</v>
      </c>
      <c r="B36" s="31" t="s">
        <v>349</v>
      </c>
      <c r="C36" s="64">
        <v>0</v>
      </c>
      <c r="D36" s="64"/>
      <c r="E36" s="64">
        <v>0</v>
      </c>
      <c r="F36" s="65">
        <v>0</v>
      </c>
      <c r="G36" s="65">
        <v>0</v>
      </c>
      <c r="H36" s="41">
        <v>0</v>
      </c>
      <c r="I36" s="165">
        <v>0</v>
      </c>
      <c r="J36" s="41">
        <v>0</v>
      </c>
      <c r="K36" s="41">
        <v>-1.5888699999999998</v>
      </c>
      <c r="L36" s="41">
        <v>0</v>
      </c>
      <c r="M36" s="41">
        <v>0</v>
      </c>
      <c r="N36" s="41">
        <v>0</v>
      </c>
      <c r="O36" s="41">
        <v>0</v>
      </c>
      <c r="P36" s="41">
        <v>0</v>
      </c>
      <c r="T36" s="30">
        <v>79</v>
      </c>
      <c r="U36" s="31" t="s">
        <v>349</v>
      </c>
      <c r="V36" s="41">
        <f>C36/'1. Väestöennuste'!E36*1000</f>
        <v>0</v>
      </c>
      <c r="W36" s="41">
        <f>D36/'1. Väestöennuste'!F36*1000</f>
        <v>0</v>
      </c>
      <c r="X36" s="41">
        <f>E36/'1. Väestöennuste'!G36*1000</f>
        <v>0</v>
      </c>
      <c r="Y36" s="41">
        <f>F36/'1. Väestöennuste'!H36*1000</f>
        <v>0</v>
      </c>
      <c r="Z36" s="41">
        <f>G36/'1. Väestöennuste'!I36*1000</f>
        <v>0</v>
      </c>
      <c r="AA36" s="41">
        <f>H36/'1. Väestöennuste'!J36*1000</f>
        <v>0</v>
      </c>
      <c r="AB36" s="41">
        <f>I36/'1. Väestöennuste'!K36*1000</f>
        <v>0</v>
      </c>
      <c r="AC36" s="41">
        <f>J36/'1. Väestöennuste'!L36*1000</f>
        <v>0</v>
      </c>
      <c r="AD36" s="41">
        <f>K36/'1. Väestöennuste'!M36*1000</f>
        <v>-0.23703863941518721</v>
      </c>
      <c r="AE36" s="41">
        <f>L36/'1. Väestöennuste'!N36*1000</f>
        <v>0</v>
      </c>
      <c r="AF36" s="41">
        <f>M36/'1. Väestöennuste'!O36*1000</f>
        <v>0</v>
      </c>
      <c r="AG36" s="41">
        <f>N36/'1. Väestöennuste'!P36*1000</f>
        <v>0</v>
      </c>
      <c r="AH36" s="41">
        <f>O36/'1. Väestöennuste'!Q36*1000</f>
        <v>0</v>
      </c>
      <c r="AI36" s="41">
        <f>P36/'1. Väestöennuste'!R36*1000</f>
        <v>0</v>
      </c>
    </row>
    <row r="37" spans="1:35" x14ac:dyDescent="0.2">
      <c r="A37" s="30">
        <v>81</v>
      </c>
      <c r="B37" s="31" t="s">
        <v>350</v>
      </c>
      <c r="C37" s="64">
        <v>0</v>
      </c>
      <c r="D37" s="64">
        <v>-566</v>
      </c>
      <c r="E37" s="64">
        <v>-250</v>
      </c>
      <c r="F37" s="65">
        <v>0</v>
      </c>
      <c r="G37" s="65">
        <v>0</v>
      </c>
      <c r="H37" s="41">
        <v>0</v>
      </c>
      <c r="I37" s="165">
        <v>-102.80421000000001</v>
      </c>
      <c r="J37" s="41">
        <v>-96.751469999999998</v>
      </c>
      <c r="K37" s="41">
        <v>-745.64331000000004</v>
      </c>
      <c r="L37" s="41">
        <v>0</v>
      </c>
      <c r="M37" s="41">
        <v>0</v>
      </c>
      <c r="N37" s="41">
        <v>0</v>
      </c>
      <c r="O37" s="41">
        <v>0</v>
      </c>
      <c r="P37" s="41">
        <v>0</v>
      </c>
      <c r="T37" s="30">
        <v>81</v>
      </c>
      <c r="U37" s="31" t="s">
        <v>350</v>
      </c>
      <c r="V37" s="41">
        <f>C37/'1. Väestöennuste'!E37*1000</f>
        <v>0</v>
      </c>
      <c r="W37" s="41">
        <f>D37/'1. Väestöennuste'!F37*1000</f>
        <v>-193.57045143638851</v>
      </c>
      <c r="X37" s="41">
        <f>E37/'1. Väestöennuste'!G37*1000</f>
        <v>-86.745315752949338</v>
      </c>
      <c r="Y37" s="41">
        <f>F37/'1. Väestöennuste'!H37*1000</f>
        <v>0</v>
      </c>
      <c r="Z37" s="41">
        <f>G37/'1. Väestöennuste'!I37*1000</f>
        <v>0</v>
      </c>
      <c r="AA37" s="41">
        <f>H37/'1. Väestöennuste'!J37*1000</f>
        <v>0</v>
      </c>
      <c r="AB37" s="41">
        <f>I37/'1. Väestöennuste'!K37*1000</f>
        <v>-39.223277375047694</v>
      </c>
      <c r="AC37" s="41">
        <f>J37/'1. Väestöennuste'!L37*1000</f>
        <v>-37.587983682983683</v>
      </c>
      <c r="AD37" s="41">
        <f>K37/'1. Väestöennuste'!M37*1000</f>
        <v>-294.60423152903991</v>
      </c>
      <c r="AE37" s="41">
        <f>L37/'1. Väestöennuste'!N37*1000</f>
        <v>0</v>
      </c>
      <c r="AF37" s="41">
        <f>M37/'1. Väestöennuste'!O37*1000</f>
        <v>0</v>
      </c>
      <c r="AG37" s="41">
        <f>N37/'1. Väestöennuste'!P37*1000</f>
        <v>0</v>
      </c>
      <c r="AH37" s="41">
        <f>O37/'1. Väestöennuste'!Q37*1000</f>
        <v>0</v>
      </c>
      <c r="AI37" s="41">
        <f>P37/'1. Väestöennuste'!R37*1000</f>
        <v>0</v>
      </c>
    </row>
    <row r="38" spans="1:35" x14ac:dyDescent="0.2">
      <c r="A38" s="30">
        <v>82</v>
      </c>
      <c r="B38" s="31" t="s">
        <v>351</v>
      </c>
      <c r="C38" s="64">
        <v>0</v>
      </c>
      <c r="D38" s="64">
        <v>-272</v>
      </c>
      <c r="E38" s="64">
        <v>0</v>
      </c>
      <c r="F38" s="65">
        <v>0</v>
      </c>
      <c r="G38" s="65">
        <v>0</v>
      </c>
      <c r="H38" s="41">
        <v>0</v>
      </c>
      <c r="I38" s="165">
        <v>134.14348000000001</v>
      </c>
      <c r="J38" s="41">
        <v>1087.7130099999999</v>
      </c>
      <c r="K38" s="41">
        <v>0</v>
      </c>
      <c r="L38" s="41">
        <v>0</v>
      </c>
      <c r="M38" s="41">
        <v>0</v>
      </c>
      <c r="N38" s="41">
        <v>0</v>
      </c>
      <c r="O38" s="41">
        <v>0</v>
      </c>
      <c r="P38" s="41">
        <v>0</v>
      </c>
      <c r="T38" s="30">
        <v>82</v>
      </c>
      <c r="U38" s="31" t="s">
        <v>351</v>
      </c>
      <c r="V38" s="41">
        <f>C38/'1. Väestöennuste'!E38*1000</f>
        <v>0</v>
      </c>
      <c r="W38" s="41">
        <f>D38/'1. Väestöennuste'!F38*1000</f>
        <v>-28.093369138607727</v>
      </c>
      <c r="X38" s="41">
        <f>E38/'1. Väestöennuste'!G38*1000</f>
        <v>0</v>
      </c>
      <c r="Y38" s="41">
        <f>F38/'1. Väestöennuste'!H38*1000</f>
        <v>0</v>
      </c>
      <c r="Z38" s="41">
        <f>G38/'1. Väestöennuste'!I38*1000</f>
        <v>0</v>
      </c>
      <c r="AA38" s="41">
        <f>H38/'1. Väestöennuste'!J38*1000</f>
        <v>0</v>
      </c>
      <c r="AB38" s="41">
        <f>I38/'1. Väestöennuste'!K38*1000</f>
        <v>14.262996278575228</v>
      </c>
      <c r="AC38" s="41">
        <f>J38/'1. Väestöennuste'!L38*1000</f>
        <v>116.22107169569398</v>
      </c>
      <c r="AD38" s="41">
        <f>K38/'1. Väestöennuste'!M38*1000</f>
        <v>0</v>
      </c>
      <c r="AE38" s="41">
        <f>L38/'1. Väestöennuste'!N38*1000</f>
        <v>0</v>
      </c>
      <c r="AF38" s="41">
        <f>M38/'1. Väestöennuste'!O38*1000</f>
        <v>0</v>
      </c>
      <c r="AG38" s="41">
        <f>N38/'1. Väestöennuste'!P38*1000</f>
        <v>0</v>
      </c>
      <c r="AH38" s="41">
        <f>O38/'1. Väestöennuste'!Q38*1000</f>
        <v>0</v>
      </c>
      <c r="AI38" s="41">
        <f>P38/'1. Väestöennuste'!R38*1000</f>
        <v>0</v>
      </c>
    </row>
    <row r="39" spans="1:35" x14ac:dyDescent="0.2">
      <c r="A39" s="30">
        <v>86</v>
      </c>
      <c r="B39" s="31" t="s">
        <v>352</v>
      </c>
      <c r="C39" s="64">
        <v>0</v>
      </c>
      <c r="D39" s="64"/>
      <c r="E39" s="64">
        <v>0</v>
      </c>
      <c r="F39" s="65">
        <v>0</v>
      </c>
      <c r="G39" s="65">
        <v>0</v>
      </c>
      <c r="H39" s="41">
        <v>0</v>
      </c>
      <c r="I39" s="165">
        <v>0</v>
      </c>
      <c r="J39" s="41">
        <v>0</v>
      </c>
      <c r="K39" s="41">
        <v>-556.81009999999992</v>
      </c>
      <c r="L39" s="41">
        <v>0</v>
      </c>
      <c r="M39" s="41">
        <v>0</v>
      </c>
      <c r="N39" s="41">
        <v>0</v>
      </c>
      <c r="O39" s="41">
        <v>0</v>
      </c>
      <c r="P39" s="41">
        <v>0</v>
      </c>
      <c r="T39" s="30">
        <v>86</v>
      </c>
      <c r="U39" s="31" t="s">
        <v>352</v>
      </c>
      <c r="V39" s="41">
        <f>C39/'1. Väestöennuste'!E39*1000</f>
        <v>0</v>
      </c>
      <c r="W39" s="41">
        <f>D39/'1. Väestöennuste'!F39*1000</f>
        <v>0</v>
      </c>
      <c r="X39" s="41">
        <f>E39/'1. Väestöennuste'!G39*1000</f>
        <v>0</v>
      </c>
      <c r="Y39" s="41">
        <f>F39/'1. Väestöennuste'!H39*1000</f>
        <v>0</v>
      </c>
      <c r="Z39" s="41">
        <f>G39/'1. Väestöennuste'!I39*1000</f>
        <v>0</v>
      </c>
      <c r="AA39" s="41">
        <f>H39/'1. Väestöennuste'!J39*1000</f>
        <v>0</v>
      </c>
      <c r="AB39" s="41">
        <f>I39/'1. Väestöennuste'!K39*1000</f>
        <v>0</v>
      </c>
      <c r="AC39" s="41">
        <f>J39/'1. Väestöennuste'!L39*1000</f>
        <v>0</v>
      </c>
      <c r="AD39" s="41">
        <f>K39/'1. Väestöennuste'!M39*1000</f>
        <v>-69.618667166791681</v>
      </c>
      <c r="AE39" s="41">
        <f>L39/'1. Väestöennuste'!N39*1000</f>
        <v>0</v>
      </c>
      <c r="AF39" s="41">
        <f>M39/'1. Väestöennuste'!O39*1000</f>
        <v>0</v>
      </c>
      <c r="AG39" s="41">
        <f>N39/'1. Väestöennuste'!P39*1000</f>
        <v>0</v>
      </c>
      <c r="AH39" s="41">
        <f>O39/'1. Väestöennuste'!Q39*1000</f>
        <v>0</v>
      </c>
      <c r="AI39" s="41">
        <f>P39/'1. Väestöennuste'!R39*1000</f>
        <v>0</v>
      </c>
    </row>
    <row r="40" spans="1:35" x14ac:dyDescent="0.2">
      <c r="A40" s="30">
        <v>90</v>
      </c>
      <c r="B40" s="31" t="s">
        <v>353</v>
      </c>
      <c r="C40" s="64">
        <v>0</v>
      </c>
      <c r="D40" s="64"/>
      <c r="E40" s="64">
        <v>-200</v>
      </c>
      <c r="F40" s="65">
        <v>-1807</v>
      </c>
      <c r="G40" s="65">
        <v>0</v>
      </c>
      <c r="H40" s="41">
        <v>233</v>
      </c>
      <c r="I40" s="165">
        <v>70.789559999999994</v>
      </c>
      <c r="J40" s="41">
        <v>0</v>
      </c>
      <c r="K40" s="41">
        <v>0</v>
      </c>
      <c r="L40" s="41">
        <v>0</v>
      </c>
      <c r="M40" s="41">
        <v>0</v>
      </c>
      <c r="N40" s="41">
        <v>0</v>
      </c>
      <c r="O40" s="41">
        <v>0</v>
      </c>
      <c r="P40" s="41">
        <v>0</v>
      </c>
      <c r="T40" s="30">
        <v>90</v>
      </c>
      <c r="U40" s="31" t="s">
        <v>353</v>
      </c>
      <c r="V40" s="41">
        <f>C40/'1. Väestöennuste'!E40*1000</f>
        <v>0</v>
      </c>
      <c r="W40" s="41">
        <f>D40/'1. Väestöennuste'!F40*1000</f>
        <v>0</v>
      </c>
      <c r="X40" s="41">
        <f>E40/'1. Väestöennuste'!G40*1000</f>
        <v>-57.887120115774238</v>
      </c>
      <c r="Y40" s="41">
        <f>F40/'1. Väestöennuste'!H40*1000</f>
        <v>-542.80564734154405</v>
      </c>
      <c r="Z40" s="41">
        <f>G40/'1. Väestöennuste'!I40*1000</f>
        <v>0</v>
      </c>
      <c r="AA40" s="41">
        <f>H40/'1. Väestöennuste'!J40*1000</f>
        <v>72.903629536921159</v>
      </c>
      <c r="AB40" s="41">
        <f>I40/'1. Väestöennuste'!K40*1000</f>
        <v>22.573201530612241</v>
      </c>
      <c r="AC40" s="41">
        <f>J40/'1. Väestöennuste'!L40*1000</f>
        <v>0</v>
      </c>
      <c r="AD40" s="41">
        <f>K40/'1. Väestöennuste'!M40*1000</f>
        <v>0</v>
      </c>
      <c r="AE40" s="41">
        <f>L40/'1. Väestöennuste'!N40*1000</f>
        <v>0</v>
      </c>
      <c r="AF40" s="41">
        <f>M40/'1. Väestöennuste'!O40*1000</f>
        <v>0</v>
      </c>
      <c r="AG40" s="41">
        <f>N40/'1. Väestöennuste'!P40*1000</f>
        <v>0</v>
      </c>
      <c r="AH40" s="41">
        <f>O40/'1. Väestöennuste'!Q40*1000</f>
        <v>0</v>
      </c>
      <c r="AI40" s="41">
        <f>P40/'1. Väestöennuste'!R40*1000</f>
        <v>0</v>
      </c>
    </row>
    <row r="41" spans="1:35" x14ac:dyDescent="0.2">
      <c r="A41" s="30">
        <v>91</v>
      </c>
      <c r="B41" s="31" t="s">
        <v>354</v>
      </c>
      <c r="C41" s="64">
        <v>146170</v>
      </c>
      <c r="D41" s="64">
        <v>238011</v>
      </c>
      <c r="E41" s="64">
        <v>0</v>
      </c>
      <c r="F41" s="65">
        <v>-18412</v>
      </c>
      <c r="G41" s="65">
        <v>0</v>
      </c>
      <c r="H41" s="41">
        <v>9280</v>
      </c>
      <c r="I41" s="165">
        <v>1000</v>
      </c>
      <c r="J41" s="41">
        <v>1098.21549</v>
      </c>
      <c r="K41" s="41">
        <v>-12983.223189999999</v>
      </c>
      <c r="L41" s="41">
        <v>0</v>
      </c>
      <c r="M41" s="41">
        <v>0</v>
      </c>
      <c r="N41" s="41">
        <v>0</v>
      </c>
      <c r="O41" s="41">
        <v>0</v>
      </c>
      <c r="P41" s="41">
        <v>0</v>
      </c>
      <c r="T41" s="30">
        <v>91</v>
      </c>
      <c r="U41" s="31" t="s">
        <v>354</v>
      </c>
      <c r="V41" s="41">
        <f>C41/'1. Väestöennuste'!E41*1000</f>
        <v>232.67771184066424</v>
      </c>
      <c r="W41" s="41">
        <f>D41/'1. Väestöennuste'!F41*1000</f>
        <v>374.71366429411455</v>
      </c>
      <c r="X41" s="41">
        <f>E41/'1. Väestöennuste'!G41*1000</f>
        <v>0</v>
      </c>
      <c r="Y41" s="41">
        <f>F41/'1. Väestöennuste'!H41*1000</f>
        <v>-28.411738745328236</v>
      </c>
      <c r="Z41" s="41">
        <f>G41/'1. Väestöennuste'!I41*1000</f>
        <v>0</v>
      </c>
      <c r="AA41" s="41">
        <f>H41/'1. Väestöennuste'!J41*1000</f>
        <v>14.126529866650429</v>
      </c>
      <c r="AB41" s="41">
        <f>I41/'1. Väestöennuste'!K41*1000</f>
        <v>1.5187020564744547</v>
      </c>
      <c r="AC41" s="41">
        <f>J41/'1. Väestöennuste'!L41*1000</f>
        <v>1.6538692494894796</v>
      </c>
      <c r="AD41" s="41">
        <f>K41/'1. Väestöennuste'!M41*1000</f>
        <v>-19.248662994810971</v>
      </c>
      <c r="AE41" s="41">
        <f>L41/'1. Väestöennuste'!N41*1000</f>
        <v>0</v>
      </c>
      <c r="AF41" s="41">
        <f>M41/'1. Väestöennuste'!O41*1000</f>
        <v>0</v>
      </c>
      <c r="AG41" s="41">
        <f>N41/'1. Väestöennuste'!P41*1000</f>
        <v>0</v>
      </c>
      <c r="AH41" s="41">
        <f>O41/'1. Väestöennuste'!Q41*1000</f>
        <v>0</v>
      </c>
      <c r="AI41" s="41">
        <f>P41/'1. Väestöennuste'!R41*1000</f>
        <v>0</v>
      </c>
    </row>
    <row r="42" spans="1:35" x14ac:dyDescent="0.2">
      <c r="A42" s="30">
        <v>92</v>
      </c>
      <c r="B42" s="31" t="s">
        <v>355</v>
      </c>
      <c r="C42" s="64">
        <v>1000</v>
      </c>
      <c r="D42" s="64">
        <v>1800</v>
      </c>
      <c r="E42" s="64">
        <v>0</v>
      </c>
      <c r="F42" s="65">
        <v>0</v>
      </c>
      <c r="G42" s="65">
        <v>3265</v>
      </c>
      <c r="H42" s="41">
        <v>125</v>
      </c>
      <c r="I42" s="165">
        <v>0</v>
      </c>
      <c r="J42" s="41">
        <v>49.932259999999999</v>
      </c>
      <c r="K42" s="41">
        <v>0</v>
      </c>
      <c r="L42" s="41">
        <v>0</v>
      </c>
      <c r="M42" s="41">
        <v>0</v>
      </c>
      <c r="N42" s="41">
        <v>0</v>
      </c>
      <c r="O42" s="41">
        <v>0</v>
      </c>
      <c r="P42" s="41">
        <v>0</v>
      </c>
      <c r="T42" s="30">
        <v>92</v>
      </c>
      <c r="U42" s="31" t="s">
        <v>355</v>
      </c>
      <c r="V42" s="41">
        <f>C42/'1. Väestöennuste'!E42*1000</f>
        <v>4.6597236783858715</v>
      </c>
      <c r="W42" s="41">
        <f>D42/'1. Väestöennuste'!F42*1000</f>
        <v>8.2064000802403569</v>
      </c>
      <c r="X42" s="41">
        <f>E42/'1. Väestöennuste'!G42*1000</f>
        <v>0</v>
      </c>
      <c r="Y42" s="41">
        <f>F42/'1. Väestöennuste'!H42*1000</f>
        <v>0</v>
      </c>
      <c r="Z42" s="41">
        <f>G42/'1. Väestöennuste'!I42*1000</f>
        <v>13.966420703668057</v>
      </c>
      <c r="AA42" s="41">
        <f>H42/'1. Väestöennuste'!J42*1000</f>
        <v>0.52691258730941581</v>
      </c>
      <c r="AB42" s="41">
        <f>I42/'1. Väestöennuste'!K42*1000</f>
        <v>0</v>
      </c>
      <c r="AC42" s="41">
        <f>J42/'1. Väestöennuste'!L42*1000</f>
        <v>0.20563572043373871</v>
      </c>
      <c r="AD42" s="41">
        <f>K42/'1. Väestöennuste'!M42*1000</f>
        <v>0</v>
      </c>
      <c r="AE42" s="41">
        <f>L42/'1. Väestöennuste'!N42*1000</f>
        <v>0</v>
      </c>
      <c r="AF42" s="41">
        <f>M42/'1. Väestöennuste'!O42*1000</f>
        <v>0</v>
      </c>
      <c r="AG42" s="41">
        <f>N42/'1. Väestöennuste'!P42*1000</f>
        <v>0</v>
      </c>
      <c r="AH42" s="41">
        <f>O42/'1. Väestöennuste'!Q42*1000</f>
        <v>0</v>
      </c>
      <c r="AI42" s="41">
        <f>P42/'1. Väestöennuste'!R42*1000</f>
        <v>0</v>
      </c>
    </row>
    <row r="43" spans="1:35" x14ac:dyDescent="0.2">
      <c r="A43" s="30">
        <v>97</v>
      </c>
      <c r="B43" s="31" t="s">
        <v>356</v>
      </c>
      <c r="C43" s="64">
        <v>0</v>
      </c>
      <c r="D43" s="64"/>
      <c r="E43" s="64">
        <v>0</v>
      </c>
      <c r="F43" s="65">
        <v>0</v>
      </c>
      <c r="G43" s="65">
        <v>952</v>
      </c>
      <c r="H43" s="41">
        <v>0</v>
      </c>
      <c r="I43" s="165">
        <v>0</v>
      </c>
      <c r="J43" s="41">
        <v>0</v>
      </c>
      <c r="K43" s="41">
        <v>0</v>
      </c>
      <c r="L43" s="41">
        <v>0</v>
      </c>
      <c r="M43" s="41">
        <v>0</v>
      </c>
      <c r="N43" s="41">
        <v>0</v>
      </c>
      <c r="O43" s="41">
        <v>0</v>
      </c>
      <c r="P43" s="41">
        <v>0</v>
      </c>
      <c r="T43" s="30">
        <v>97</v>
      </c>
      <c r="U43" s="31" t="s">
        <v>356</v>
      </c>
      <c r="V43" s="41">
        <f>C43/'1. Väestöennuste'!E43*1000</f>
        <v>0</v>
      </c>
      <c r="W43" s="41">
        <f>D43/'1. Väestöennuste'!F43*1000</f>
        <v>0</v>
      </c>
      <c r="X43" s="41">
        <f>E43/'1. Väestöennuste'!G43*1000</f>
        <v>0</v>
      </c>
      <c r="Y43" s="41">
        <f>F43/'1. Väestöennuste'!H43*1000</f>
        <v>0</v>
      </c>
      <c r="Z43" s="41">
        <f>G43/'1. Väestöennuste'!I43*1000</f>
        <v>445.69288389513105</v>
      </c>
      <c r="AA43" s="41">
        <f>H43/'1. Väestöennuste'!J43*1000</f>
        <v>0</v>
      </c>
      <c r="AB43" s="41">
        <f>I43/'1. Väestöennuste'!K43*1000</f>
        <v>0</v>
      </c>
      <c r="AC43" s="41">
        <f>J43/'1. Väestöennuste'!L43*1000</f>
        <v>0</v>
      </c>
      <c r="AD43" s="41">
        <f>K43/'1. Väestöennuste'!M43*1000</f>
        <v>0</v>
      </c>
      <c r="AE43" s="41">
        <f>L43/'1. Väestöennuste'!N43*1000</f>
        <v>0</v>
      </c>
      <c r="AF43" s="41">
        <f>M43/'1. Väestöennuste'!O43*1000</f>
        <v>0</v>
      </c>
      <c r="AG43" s="41">
        <f>N43/'1. Väestöennuste'!P43*1000</f>
        <v>0</v>
      </c>
      <c r="AH43" s="41">
        <f>O43/'1. Väestöennuste'!Q43*1000</f>
        <v>0</v>
      </c>
      <c r="AI43" s="41">
        <f>P43/'1. Väestöennuste'!R43*1000</f>
        <v>0</v>
      </c>
    </row>
    <row r="44" spans="1:35" x14ac:dyDescent="0.2">
      <c r="A44" s="30">
        <v>98</v>
      </c>
      <c r="B44" s="31" t="s">
        <v>357</v>
      </c>
      <c r="C44" s="64">
        <v>0</v>
      </c>
      <c r="D44" s="64"/>
      <c r="E44" s="64">
        <v>0</v>
      </c>
      <c r="F44" s="65">
        <v>-583</v>
      </c>
      <c r="G44" s="65">
        <v>787</v>
      </c>
      <c r="H44" s="41">
        <v>0</v>
      </c>
      <c r="I44" s="165">
        <v>1426.7447199999999</v>
      </c>
      <c r="J44" s="41">
        <v>0</v>
      </c>
      <c r="K44" s="41">
        <v>0</v>
      </c>
      <c r="L44" s="41">
        <v>0</v>
      </c>
      <c r="M44" s="41">
        <v>0</v>
      </c>
      <c r="N44" s="41">
        <v>0</v>
      </c>
      <c r="O44" s="41">
        <v>0</v>
      </c>
      <c r="P44" s="41">
        <v>0</v>
      </c>
      <c r="T44" s="30">
        <v>98</v>
      </c>
      <c r="U44" s="31" t="s">
        <v>357</v>
      </c>
      <c r="V44" s="41">
        <f>C44/'1. Väestöennuste'!E44*1000</f>
        <v>0</v>
      </c>
      <c r="W44" s="41">
        <f>D44/'1. Väestöennuste'!F44*1000</f>
        <v>0</v>
      </c>
      <c r="X44" s="41">
        <f>E44/'1. Väestöennuste'!G44*1000</f>
        <v>0</v>
      </c>
      <c r="Y44" s="41">
        <f>F44/'1. Väestöennuste'!H44*1000</f>
        <v>-24.701296500296586</v>
      </c>
      <c r="Z44" s="41">
        <f>G44/'1. Väestöennuste'!I44*1000</f>
        <v>33.618111917983768</v>
      </c>
      <c r="AA44" s="41">
        <f>H44/'1. Väestöennuste'!J44*1000</f>
        <v>0</v>
      </c>
      <c r="AB44" s="41">
        <f>I44/'1. Väestöennuste'!K44*1000</f>
        <v>61.790589865742739</v>
      </c>
      <c r="AC44" s="41">
        <f>J44/'1. Väestöennuste'!L44*1000</f>
        <v>0</v>
      </c>
      <c r="AD44" s="41">
        <f>K44/'1. Väestöennuste'!M44*1000</f>
        <v>0</v>
      </c>
      <c r="AE44" s="41">
        <f>L44/'1. Väestöennuste'!N44*1000</f>
        <v>0</v>
      </c>
      <c r="AF44" s="41">
        <f>M44/'1. Väestöennuste'!O44*1000</f>
        <v>0</v>
      </c>
      <c r="AG44" s="41">
        <f>N44/'1. Väestöennuste'!P44*1000</f>
        <v>0</v>
      </c>
      <c r="AH44" s="41">
        <f>O44/'1. Väestöennuste'!Q44*1000</f>
        <v>0</v>
      </c>
      <c r="AI44" s="41">
        <f>P44/'1. Väestöennuste'!R44*1000</f>
        <v>0</v>
      </c>
    </row>
    <row r="45" spans="1:35" x14ac:dyDescent="0.2">
      <c r="A45" s="30">
        <v>102</v>
      </c>
      <c r="B45" s="31" t="s">
        <v>359</v>
      </c>
      <c r="C45" s="64">
        <v>0</v>
      </c>
      <c r="D45" s="64"/>
      <c r="E45" s="64">
        <v>0</v>
      </c>
      <c r="F45" s="65">
        <v>0</v>
      </c>
      <c r="G45" s="65">
        <v>0</v>
      </c>
      <c r="H45" s="41">
        <v>0</v>
      </c>
      <c r="I45" s="165">
        <v>0</v>
      </c>
      <c r="J45" s="41">
        <v>4115.9060399999998</v>
      </c>
      <c r="K45" s="41">
        <v>0</v>
      </c>
      <c r="L45" s="41">
        <v>0</v>
      </c>
      <c r="M45" s="41">
        <v>0</v>
      </c>
      <c r="N45" s="41">
        <v>0</v>
      </c>
      <c r="O45" s="41">
        <v>0</v>
      </c>
      <c r="P45" s="41">
        <v>0</v>
      </c>
      <c r="T45" s="30">
        <v>102</v>
      </c>
      <c r="U45" s="31" t="s">
        <v>359</v>
      </c>
      <c r="V45" s="41">
        <f>C45/'1. Väestöennuste'!E45*1000</f>
        <v>0</v>
      </c>
      <c r="W45" s="41">
        <f>D45/'1. Väestöennuste'!F45*1000</f>
        <v>0</v>
      </c>
      <c r="X45" s="41">
        <f>E45/'1. Väestöennuste'!G45*1000</f>
        <v>0</v>
      </c>
      <c r="Y45" s="41">
        <f>F45/'1. Väestöennuste'!H45*1000</f>
        <v>0</v>
      </c>
      <c r="Z45" s="41">
        <f>G45/'1. Väestöennuste'!I45*1000</f>
        <v>0</v>
      </c>
      <c r="AA45" s="41">
        <f>H45/'1. Väestöennuste'!J45*1000</f>
        <v>0</v>
      </c>
      <c r="AB45" s="41">
        <f>I45/'1. Väestöennuste'!K45*1000</f>
        <v>0</v>
      </c>
      <c r="AC45" s="41">
        <f>J45/'1. Väestöennuste'!L45*1000</f>
        <v>422.36080451513595</v>
      </c>
      <c r="AD45" s="41">
        <f>K45/'1. Väestöennuste'!M45*1000</f>
        <v>0</v>
      </c>
      <c r="AE45" s="41">
        <f>L45/'1. Väestöennuste'!N45*1000</f>
        <v>0</v>
      </c>
      <c r="AF45" s="41">
        <f>M45/'1. Väestöennuste'!O45*1000</f>
        <v>0</v>
      </c>
      <c r="AG45" s="41">
        <f>N45/'1. Väestöennuste'!P45*1000</f>
        <v>0</v>
      </c>
      <c r="AH45" s="41">
        <f>O45/'1. Väestöennuste'!Q45*1000</f>
        <v>0</v>
      </c>
      <c r="AI45" s="41">
        <f>P45/'1. Väestöennuste'!R45*1000</f>
        <v>0</v>
      </c>
    </row>
    <row r="46" spans="1:35" x14ac:dyDescent="0.2">
      <c r="A46" s="30">
        <v>103</v>
      </c>
      <c r="B46" s="31" t="s">
        <v>360</v>
      </c>
      <c r="C46" s="64">
        <v>0</v>
      </c>
      <c r="D46" s="64"/>
      <c r="E46" s="64">
        <v>0</v>
      </c>
      <c r="F46" s="65">
        <v>662</v>
      </c>
      <c r="G46" s="65">
        <v>0</v>
      </c>
      <c r="H46" s="41">
        <v>0</v>
      </c>
      <c r="I46" s="165">
        <v>0</v>
      </c>
      <c r="J46" s="41">
        <v>0</v>
      </c>
      <c r="K46" s="41">
        <v>0</v>
      </c>
      <c r="L46" s="41">
        <v>0</v>
      </c>
      <c r="M46" s="41">
        <v>0</v>
      </c>
      <c r="N46" s="41">
        <v>0</v>
      </c>
      <c r="O46" s="41">
        <v>0</v>
      </c>
      <c r="P46" s="41">
        <v>0</v>
      </c>
      <c r="T46" s="30">
        <v>103</v>
      </c>
      <c r="U46" s="31" t="s">
        <v>360</v>
      </c>
      <c r="V46" s="41">
        <f>C46/'1. Väestöennuste'!E46*1000</f>
        <v>0</v>
      </c>
      <c r="W46" s="41">
        <f>D46/'1. Väestöennuste'!F46*1000</f>
        <v>0</v>
      </c>
      <c r="X46" s="41">
        <f>E46/'1. Väestöennuste'!G46*1000</f>
        <v>0</v>
      </c>
      <c r="Y46" s="41">
        <f>F46/'1. Väestöennuste'!H46*1000</f>
        <v>296.19686800894857</v>
      </c>
      <c r="Z46" s="41">
        <f>G46/'1. Väestöennuste'!I46*1000</f>
        <v>0</v>
      </c>
      <c r="AA46" s="41">
        <f>H46/'1. Väestöennuste'!J46*1000</f>
        <v>0</v>
      </c>
      <c r="AB46" s="41">
        <f>I46/'1. Väestöennuste'!K46*1000</f>
        <v>0</v>
      </c>
      <c r="AC46" s="41">
        <f>J46/'1. Väestöennuste'!L46*1000</f>
        <v>0</v>
      </c>
      <c r="AD46" s="41">
        <f>K46/'1. Väestöennuste'!M46*1000</f>
        <v>0</v>
      </c>
      <c r="AE46" s="41">
        <f>L46/'1. Väestöennuste'!N46*1000</f>
        <v>0</v>
      </c>
      <c r="AF46" s="41">
        <f>M46/'1. Väestöennuste'!O46*1000</f>
        <v>0</v>
      </c>
      <c r="AG46" s="41">
        <f>N46/'1. Väestöennuste'!P46*1000</f>
        <v>0</v>
      </c>
      <c r="AH46" s="41">
        <f>O46/'1. Väestöennuste'!Q46*1000</f>
        <v>0</v>
      </c>
      <c r="AI46" s="41">
        <f>P46/'1. Väestöennuste'!R46*1000</f>
        <v>0</v>
      </c>
    </row>
    <row r="47" spans="1:35" x14ac:dyDescent="0.2">
      <c r="A47" s="30">
        <v>105</v>
      </c>
      <c r="B47" s="31" t="s">
        <v>361</v>
      </c>
      <c r="C47" s="64">
        <v>0</v>
      </c>
      <c r="D47" s="64"/>
      <c r="E47" s="64">
        <v>0</v>
      </c>
      <c r="F47" s="65">
        <v>0</v>
      </c>
      <c r="G47" s="65">
        <v>0</v>
      </c>
      <c r="H47" s="41">
        <v>0</v>
      </c>
      <c r="I47" s="165">
        <v>0</v>
      </c>
      <c r="J47" s="41">
        <v>153.39400000000001</v>
      </c>
      <c r="K47" s="41">
        <v>0</v>
      </c>
      <c r="L47" s="41">
        <v>0</v>
      </c>
      <c r="M47" s="41">
        <v>0</v>
      </c>
      <c r="N47" s="41">
        <v>0</v>
      </c>
      <c r="O47" s="41">
        <v>0</v>
      </c>
      <c r="P47" s="41">
        <v>0</v>
      </c>
      <c r="T47" s="30">
        <v>105</v>
      </c>
      <c r="U47" s="31" t="s">
        <v>361</v>
      </c>
      <c r="V47" s="41">
        <f>C47/'1. Väestöennuste'!E47*1000</f>
        <v>0</v>
      </c>
      <c r="W47" s="41">
        <f>D47/'1. Väestöennuste'!F47*1000</f>
        <v>0</v>
      </c>
      <c r="X47" s="41">
        <f>E47/'1. Väestöennuste'!G47*1000</f>
        <v>0</v>
      </c>
      <c r="Y47" s="41">
        <f>F47/'1. Väestöennuste'!H47*1000</f>
        <v>0</v>
      </c>
      <c r="Z47" s="41">
        <f>G47/'1. Väestöennuste'!I47*1000</f>
        <v>0</v>
      </c>
      <c r="AA47" s="41">
        <f>H47/'1. Väestöennuste'!J47*1000</f>
        <v>0</v>
      </c>
      <c r="AB47" s="41">
        <f>I47/'1. Väestöennuste'!K47*1000</f>
        <v>0</v>
      </c>
      <c r="AC47" s="41">
        <f>J47/'1. Väestöennuste'!L47*1000</f>
        <v>73.254059216809935</v>
      </c>
      <c r="AD47" s="41">
        <f>K47/'1. Väestöennuste'!M47*1000</f>
        <v>0</v>
      </c>
      <c r="AE47" s="41">
        <f>L47/'1. Väestöennuste'!N47*1000</f>
        <v>0</v>
      </c>
      <c r="AF47" s="41">
        <f>M47/'1. Väestöennuste'!O47*1000</f>
        <v>0</v>
      </c>
      <c r="AG47" s="41">
        <f>N47/'1. Väestöennuste'!P47*1000</f>
        <v>0</v>
      </c>
      <c r="AH47" s="41">
        <f>O47/'1. Väestöennuste'!Q47*1000</f>
        <v>0</v>
      </c>
      <c r="AI47" s="41">
        <f>P47/'1. Väestöennuste'!R47*1000</f>
        <v>0</v>
      </c>
    </row>
    <row r="48" spans="1:35" x14ac:dyDescent="0.2">
      <c r="A48" s="30">
        <v>106</v>
      </c>
      <c r="B48" s="31" t="s">
        <v>362</v>
      </c>
      <c r="C48" s="64">
        <v>0</v>
      </c>
      <c r="D48" s="64"/>
      <c r="E48" s="64">
        <v>0</v>
      </c>
      <c r="F48" s="65">
        <v>0</v>
      </c>
      <c r="G48" s="65">
        <v>0</v>
      </c>
      <c r="H48" s="41">
        <v>0</v>
      </c>
      <c r="I48" s="165">
        <v>0</v>
      </c>
      <c r="J48" s="41">
        <v>0</v>
      </c>
      <c r="K48" s="41">
        <v>0</v>
      </c>
      <c r="L48" s="41">
        <v>0</v>
      </c>
      <c r="M48" s="41">
        <v>0</v>
      </c>
      <c r="N48" s="41">
        <v>0</v>
      </c>
      <c r="O48" s="41">
        <v>0</v>
      </c>
      <c r="P48" s="41">
        <v>0</v>
      </c>
      <c r="T48" s="30">
        <v>106</v>
      </c>
      <c r="U48" s="31" t="s">
        <v>362</v>
      </c>
      <c r="V48" s="41">
        <f>C48/'1. Väestöennuste'!E48*1000</f>
        <v>0</v>
      </c>
      <c r="W48" s="41">
        <f>D48/'1. Väestöennuste'!F48*1000</f>
        <v>0</v>
      </c>
      <c r="X48" s="41">
        <f>E48/'1. Väestöennuste'!G48*1000</f>
        <v>0</v>
      </c>
      <c r="Y48" s="41">
        <f>F48/'1. Väestöennuste'!H48*1000</f>
        <v>0</v>
      </c>
      <c r="Z48" s="41">
        <f>G48/'1. Väestöennuste'!I48*1000</f>
        <v>0</v>
      </c>
      <c r="AA48" s="41">
        <f>H48/'1. Väestöennuste'!J48*1000</f>
        <v>0</v>
      </c>
      <c r="AB48" s="41">
        <f>I48/'1. Väestöennuste'!K48*1000</f>
        <v>0</v>
      </c>
      <c r="AC48" s="41">
        <f>J48/'1. Väestöennuste'!L48*1000</f>
        <v>0</v>
      </c>
      <c r="AD48" s="41">
        <f>K48/'1. Väestöennuste'!M48*1000</f>
        <v>0</v>
      </c>
      <c r="AE48" s="41">
        <f>L48/'1. Väestöennuste'!N48*1000</f>
        <v>0</v>
      </c>
      <c r="AF48" s="41">
        <f>M48/'1. Väestöennuste'!O48*1000</f>
        <v>0</v>
      </c>
      <c r="AG48" s="41">
        <f>N48/'1. Väestöennuste'!P48*1000</f>
        <v>0</v>
      </c>
      <c r="AH48" s="41">
        <f>O48/'1. Väestöennuste'!Q48*1000</f>
        <v>0</v>
      </c>
      <c r="AI48" s="41">
        <f>P48/'1. Väestöennuste'!R48*1000</f>
        <v>0</v>
      </c>
    </row>
    <row r="49" spans="1:35" x14ac:dyDescent="0.2">
      <c r="A49" s="30">
        <v>108</v>
      </c>
      <c r="B49" s="31" t="s">
        <v>363</v>
      </c>
      <c r="C49" s="64">
        <v>0</v>
      </c>
      <c r="D49" s="64"/>
      <c r="E49" s="64">
        <v>0</v>
      </c>
      <c r="F49" s="65">
        <v>0</v>
      </c>
      <c r="G49" s="65">
        <v>0</v>
      </c>
      <c r="H49" s="41">
        <v>0</v>
      </c>
      <c r="I49" s="165">
        <v>0</v>
      </c>
      <c r="J49" s="41">
        <v>0</v>
      </c>
      <c r="K49" s="41">
        <v>0</v>
      </c>
      <c r="L49" s="41">
        <v>0</v>
      </c>
      <c r="M49" s="41">
        <v>0</v>
      </c>
      <c r="N49" s="41">
        <v>0</v>
      </c>
      <c r="O49" s="41">
        <v>0</v>
      </c>
      <c r="P49" s="41">
        <v>0</v>
      </c>
      <c r="T49" s="30">
        <v>108</v>
      </c>
      <c r="U49" s="31" t="s">
        <v>363</v>
      </c>
      <c r="V49" s="41">
        <f>C49/'1. Väestöennuste'!E49*1000</f>
        <v>0</v>
      </c>
      <c r="W49" s="41">
        <f>D49/'1. Väestöennuste'!F49*1000</f>
        <v>0</v>
      </c>
      <c r="X49" s="41">
        <f>E49/'1. Väestöennuste'!G49*1000</f>
        <v>0</v>
      </c>
      <c r="Y49" s="41">
        <f>F49/'1. Väestöennuste'!H49*1000</f>
        <v>0</v>
      </c>
      <c r="Z49" s="41">
        <f>G49/'1. Väestöennuste'!I49*1000</f>
        <v>0</v>
      </c>
      <c r="AA49" s="41">
        <f>H49/'1. Väestöennuste'!J49*1000</f>
        <v>0</v>
      </c>
      <c r="AB49" s="41">
        <f>I49/'1. Väestöennuste'!K49*1000</f>
        <v>0</v>
      </c>
      <c r="AC49" s="41">
        <f>J49/'1. Väestöennuste'!L49*1000</f>
        <v>0</v>
      </c>
      <c r="AD49" s="41">
        <f>K49/'1. Väestöennuste'!M49*1000</f>
        <v>0</v>
      </c>
      <c r="AE49" s="41">
        <f>L49/'1. Väestöennuste'!N49*1000</f>
        <v>0</v>
      </c>
      <c r="AF49" s="41">
        <f>M49/'1. Väestöennuste'!O49*1000</f>
        <v>0</v>
      </c>
      <c r="AG49" s="41">
        <f>N49/'1. Väestöennuste'!P49*1000</f>
        <v>0</v>
      </c>
      <c r="AH49" s="41">
        <f>O49/'1. Väestöennuste'!Q49*1000</f>
        <v>0</v>
      </c>
      <c r="AI49" s="41">
        <f>P49/'1. Väestöennuste'!R49*1000</f>
        <v>0</v>
      </c>
    </row>
    <row r="50" spans="1:35" x14ac:dyDescent="0.2">
      <c r="A50" s="30">
        <v>109</v>
      </c>
      <c r="B50" s="31" t="s">
        <v>364</v>
      </c>
      <c r="C50" s="64">
        <v>2000</v>
      </c>
      <c r="D50" s="64"/>
      <c r="E50" s="64">
        <v>0</v>
      </c>
      <c r="F50" s="65">
        <v>0</v>
      </c>
      <c r="G50" s="65">
        <v>0</v>
      </c>
      <c r="H50" s="41">
        <v>0</v>
      </c>
      <c r="I50" s="165">
        <v>0</v>
      </c>
      <c r="J50" s="41">
        <v>9702.5133399999995</v>
      </c>
      <c r="K50" s="41">
        <v>-2061.8490400000001</v>
      </c>
      <c r="L50" s="41">
        <v>0</v>
      </c>
      <c r="M50" s="41">
        <v>0</v>
      </c>
      <c r="N50" s="41">
        <v>0</v>
      </c>
      <c r="O50" s="41">
        <v>0</v>
      </c>
      <c r="P50" s="41">
        <v>0</v>
      </c>
      <c r="T50" s="30">
        <v>109</v>
      </c>
      <c r="U50" s="31" t="s">
        <v>364</v>
      </c>
      <c r="V50" s="41">
        <f>C50/'1. Väestöennuste'!E50*1000</f>
        <v>29.407007689932509</v>
      </c>
      <c r="W50" s="41">
        <f>D50/'1. Väestöennuste'!F50*1000</f>
        <v>0</v>
      </c>
      <c r="X50" s="41">
        <f>E50/'1. Väestöennuste'!G50*1000</f>
        <v>0</v>
      </c>
      <c r="Y50" s="41">
        <f>F50/'1. Väestöennuste'!H50*1000</f>
        <v>0</v>
      </c>
      <c r="Z50" s="41">
        <f>G50/'1. Väestöennuste'!I50*1000</f>
        <v>0</v>
      </c>
      <c r="AA50" s="41">
        <f>H50/'1. Väestöennuste'!J50*1000</f>
        <v>0</v>
      </c>
      <c r="AB50" s="41">
        <f>I50/'1. Väestöennuste'!K50*1000</f>
        <v>0</v>
      </c>
      <c r="AC50" s="41">
        <f>J50/'1. Väestöennuste'!L50*1000</f>
        <v>142.59385006539981</v>
      </c>
      <c r="AD50" s="41">
        <f>K50/'1. Väestöennuste'!M50*1000</f>
        <v>-30.179730967959134</v>
      </c>
      <c r="AE50" s="41">
        <f>L50/'1. Väestöennuste'!N50*1000</f>
        <v>0</v>
      </c>
      <c r="AF50" s="41">
        <f>M50/'1. Väestöennuste'!O50*1000</f>
        <v>0</v>
      </c>
      <c r="AG50" s="41">
        <f>N50/'1. Väestöennuste'!P50*1000</f>
        <v>0</v>
      </c>
      <c r="AH50" s="41">
        <f>O50/'1. Väestöennuste'!Q50*1000</f>
        <v>0</v>
      </c>
      <c r="AI50" s="41">
        <f>P50/'1. Väestöennuste'!R50*1000</f>
        <v>0</v>
      </c>
    </row>
    <row r="51" spans="1:35" x14ac:dyDescent="0.2">
      <c r="A51" s="30">
        <v>111</v>
      </c>
      <c r="B51" s="31" t="s">
        <v>365</v>
      </c>
      <c r="C51" s="64">
        <v>1196</v>
      </c>
      <c r="D51" s="64"/>
      <c r="E51" s="64">
        <v>0</v>
      </c>
      <c r="F51" s="65">
        <v>0</v>
      </c>
      <c r="G51" s="65">
        <v>0</v>
      </c>
      <c r="H51" s="41">
        <v>9105</v>
      </c>
      <c r="I51" s="165">
        <v>0</v>
      </c>
      <c r="J51" s="41">
        <v>0</v>
      </c>
      <c r="K51" s="41">
        <v>0</v>
      </c>
      <c r="L51" s="41">
        <v>0</v>
      </c>
      <c r="M51" s="41">
        <v>0</v>
      </c>
      <c r="N51" s="41">
        <v>0</v>
      </c>
      <c r="O51" s="41">
        <v>0</v>
      </c>
      <c r="P51" s="41">
        <v>0</v>
      </c>
      <c r="T51" s="30">
        <v>111</v>
      </c>
      <c r="U51" s="31" t="s">
        <v>365</v>
      </c>
      <c r="V51" s="41">
        <f>C51/'1. Väestöennuste'!E51*1000</f>
        <v>61.098339719029376</v>
      </c>
      <c r="W51" s="41">
        <f>D51/'1. Väestöennuste'!F51*1000</f>
        <v>0</v>
      </c>
      <c r="X51" s="41">
        <f>E51/'1. Väestöennuste'!G51*1000</f>
        <v>0</v>
      </c>
      <c r="Y51" s="41">
        <f>F51/'1. Väestöennuste'!H51*1000</f>
        <v>0</v>
      </c>
      <c r="Z51" s="41">
        <f>G51/'1. Väestöennuste'!I51*1000</f>
        <v>0</v>
      </c>
      <c r="AA51" s="41">
        <f>H51/'1. Väestöennuste'!J51*1000</f>
        <v>492.24198518678702</v>
      </c>
      <c r="AB51" s="41">
        <f>I51/'1. Väestöennuste'!K51*1000</f>
        <v>0</v>
      </c>
      <c r="AC51" s="41">
        <f>J51/'1. Väestöennuste'!L51*1000</f>
        <v>0</v>
      </c>
      <c r="AD51" s="41">
        <f>K51/'1. Väestöennuste'!M51*1000</f>
        <v>0</v>
      </c>
      <c r="AE51" s="41">
        <f>L51/'1. Väestöennuste'!N51*1000</f>
        <v>0</v>
      </c>
      <c r="AF51" s="41">
        <f>M51/'1. Väestöennuste'!O51*1000</f>
        <v>0</v>
      </c>
      <c r="AG51" s="41">
        <f>N51/'1. Väestöennuste'!P51*1000</f>
        <v>0</v>
      </c>
      <c r="AH51" s="41">
        <f>O51/'1. Väestöennuste'!Q51*1000</f>
        <v>0</v>
      </c>
      <c r="AI51" s="41">
        <f>P51/'1. Väestöennuste'!R51*1000</f>
        <v>0</v>
      </c>
    </row>
    <row r="52" spans="1:35" x14ac:dyDescent="0.2">
      <c r="A52" s="30">
        <v>139</v>
      </c>
      <c r="B52" s="31" t="s">
        <v>366</v>
      </c>
      <c r="C52" s="64">
        <v>0</v>
      </c>
      <c r="D52" s="64"/>
      <c r="E52" s="64">
        <v>0</v>
      </c>
      <c r="F52" s="65">
        <v>0</v>
      </c>
      <c r="G52" s="65">
        <v>0</v>
      </c>
      <c r="H52" s="41">
        <v>0</v>
      </c>
      <c r="I52" s="165">
        <v>0</v>
      </c>
      <c r="J52" s="41">
        <v>0</v>
      </c>
      <c r="K52" s="41">
        <v>0</v>
      </c>
      <c r="L52" s="41">
        <v>0</v>
      </c>
      <c r="M52" s="41">
        <v>0</v>
      </c>
      <c r="N52" s="41">
        <v>0</v>
      </c>
      <c r="O52" s="41">
        <v>0</v>
      </c>
      <c r="P52" s="41">
        <v>0</v>
      </c>
      <c r="T52" s="30">
        <v>139</v>
      </c>
      <c r="U52" s="31" t="s">
        <v>366</v>
      </c>
      <c r="V52" s="41">
        <f>C52/'1. Väestöennuste'!E52*1000</f>
        <v>0</v>
      </c>
      <c r="W52" s="41">
        <f>D52/'1. Väestöennuste'!F52*1000</f>
        <v>0</v>
      </c>
      <c r="X52" s="41">
        <f>E52/'1. Väestöennuste'!G52*1000</f>
        <v>0</v>
      </c>
      <c r="Y52" s="41">
        <f>F52/'1. Väestöennuste'!H52*1000</f>
        <v>0</v>
      </c>
      <c r="Z52" s="41">
        <f>G52/'1. Väestöennuste'!I52*1000</f>
        <v>0</v>
      </c>
      <c r="AA52" s="41">
        <f>H52/'1. Väestöennuste'!J52*1000</f>
        <v>0</v>
      </c>
      <c r="AB52" s="41">
        <f>I52/'1. Väestöennuste'!K52*1000</f>
        <v>0</v>
      </c>
      <c r="AC52" s="41">
        <f>J52/'1. Väestöennuste'!L52*1000</f>
        <v>0</v>
      </c>
      <c r="AD52" s="41">
        <f>K52/'1. Väestöennuste'!M52*1000</f>
        <v>0</v>
      </c>
      <c r="AE52" s="41">
        <f>L52/'1. Väestöennuste'!N52*1000</f>
        <v>0</v>
      </c>
      <c r="AF52" s="41">
        <f>M52/'1. Väestöennuste'!O52*1000</f>
        <v>0</v>
      </c>
      <c r="AG52" s="41">
        <f>N52/'1. Väestöennuste'!P52*1000</f>
        <v>0</v>
      </c>
      <c r="AH52" s="41">
        <f>O52/'1. Väestöennuste'!Q52*1000</f>
        <v>0</v>
      </c>
      <c r="AI52" s="41">
        <f>P52/'1. Väestöennuste'!R52*1000</f>
        <v>0</v>
      </c>
    </row>
    <row r="53" spans="1:35" x14ac:dyDescent="0.2">
      <c r="A53" s="30">
        <v>140</v>
      </c>
      <c r="B53" s="31" t="s">
        <v>367</v>
      </c>
      <c r="C53" s="64">
        <v>0</v>
      </c>
      <c r="D53" s="64">
        <v>321</v>
      </c>
      <c r="E53" s="64">
        <v>0</v>
      </c>
      <c r="F53" s="65">
        <v>0</v>
      </c>
      <c r="G53" s="65">
        <v>0</v>
      </c>
      <c r="H53" s="41">
        <v>0</v>
      </c>
      <c r="I53" s="165">
        <v>0</v>
      </c>
      <c r="J53" s="41">
        <v>0</v>
      </c>
      <c r="K53" s="41">
        <v>0</v>
      </c>
      <c r="L53" s="41">
        <v>0</v>
      </c>
      <c r="M53" s="41">
        <v>0</v>
      </c>
      <c r="N53" s="41">
        <v>0</v>
      </c>
      <c r="O53" s="41">
        <v>0</v>
      </c>
      <c r="P53" s="41">
        <v>0</v>
      </c>
      <c r="T53" s="30">
        <v>140</v>
      </c>
      <c r="U53" s="31" t="s">
        <v>367</v>
      </c>
      <c r="V53" s="41">
        <f>C53/'1. Väestöennuste'!E53*1000</f>
        <v>0</v>
      </c>
      <c r="W53" s="41">
        <f>D53/'1. Väestöennuste'!F53*1000</f>
        <v>14.747094225203289</v>
      </c>
      <c r="X53" s="41">
        <f>E53/'1. Väestöennuste'!G53*1000</f>
        <v>0</v>
      </c>
      <c r="Y53" s="41">
        <f>F53/'1. Väestöennuste'!H53*1000</f>
        <v>0</v>
      </c>
      <c r="Z53" s="41">
        <f>G53/'1. Väestöennuste'!I53*1000</f>
        <v>0</v>
      </c>
      <c r="AA53" s="41">
        <f>H53/'1. Väestöennuste'!J53*1000</f>
        <v>0</v>
      </c>
      <c r="AB53" s="41">
        <f>I53/'1. Väestöennuste'!K53*1000</f>
        <v>0</v>
      </c>
      <c r="AC53" s="41">
        <f>J53/'1. Väestöennuste'!L53*1000</f>
        <v>0</v>
      </c>
      <c r="AD53" s="41">
        <f>K53/'1. Väestöennuste'!M53*1000</f>
        <v>0</v>
      </c>
      <c r="AE53" s="41">
        <f>L53/'1. Väestöennuste'!N53*1000</f>
        <v>0</v>
      </c>
      <c r="AF53" s="41">
        <f>M53/'1. Väestöennuste'!O53*1000</f>
        <v>0</v>
      </c>
      <c r="AG53" s="41">
        <f>N53/'1. Väestöennuste'!P53*1000</f>
        <v>0</v>
      </c>
      <c r="AH53" s="41">
        <f>O53/'1. Väestöennuste'!Q53*1000</f>
        <v>0</v>
      </c>
      <c r="AI53" s="41">
        <f>P53/'1. Väestöennuste'!R53*1000</f>
        <v>0</v>
      </c>
    </row>
    <row r="54" spans="1:35" x14ac:dyDescent="0.2">
      <c r="A54" s="30">
        <v>142</v>
      </c>
      <c r="B54" s="31" t="s">
        <v>368</v>
      </c>
      <c r="C54" s="64">
        <v>110</v>
      </c>
      <c r="D54" s="64">
        <v>115</v>
      </c>
      <c r="E54" s="64">
        <v>0</v>
      </c>
      <c r="F54" s="65">
        <v>62</v>
      </c>
      <c r="G54" s="65">
        <v>0</v>
      </c>
      <c r="H54" s="41">
        <v>0</v>
      </c>
      <c r="I54" s="165">
        <v>0</v>
      </c>
      <c r="J54" s="41">
        <v>0</v>
      </c>
      <c r="K54" s="41">
        <v>0</v>
      </c>
      <c r="L54" s="41">
        <v>5375</v>
      </c>
      <c r="M54" s="41">
        <v>0</v>
      </c>
      <c r="N54" s="41">
        <v>0</v>
      </c>
      <c r="O54" s="41">
        <v>0</v>
      </c>
      <c r="P54" s="41">
        <v>0</v>
      </c>
      <c r="T54" s="30">
        <v>142</v>
      </c>
      <c r="U54" s="31" t="s">
        <v>368</v>
      </c>
      <c r="V54" s="41">
        <f>C54/'1. Väestöennuste'!E54*1000</f>
        <v>15.918958031837915</v>
      </c>
      <c r="W54" s="41">
        <f>D54/'1. Väestöennuste'!F54*1000</f>
        <v>16.693279140659023</v>
      </c>
      <c r="X54" s="41">
        <f>E54/'1. Väestöennuste'!G54*1000</f>
        <v>0</v>
      </c>
      <c r="Y54" s="41">
        <f>F54/'1. Väestöennuste'!H54*1000</f>
        <v>9.1648189209164812</v>
      </c>
      <c r="Z54" s="41">
        <f>G54/'1. Väestöennuste'!I54*1000</f>
        <v>0</v>
      </c>
      <c r="AA54" s="41">
        <f>H54/'1. Väestöennuste'!J54*1000</f>
        <v>0</v>
      </c>
      <c r="AB54" s="41">
        <f>I54/'1. Väestöennuste'!K54*1000</f>
        <v>0</v>
      </c>
      <c r="AC54" s="41">
        <f>J54/'1. Väestöennuste'!L54*1000</f>
        <v>0</v>
      </c>
      <c r="AD54" s="41">
        <f>K54/'1. Väestöennuste'!M54*1000</f>
        <v>0</v>
      </c>
      <c r="AE54" s="41">
        <f>L54/'1. Väestöennuste'!N54*1000</f>
        <v>838.66437821813076</v>
      </c>
      <c r="AF54" s="41">
        <f>M54/'1. Väestöennuste'!O54*1000</f>
        <v>0</v>
      </c>
      <c r="AG54" s="41">
        <f>N54/'1. Väestöennuste'!P54*1000</f>
        <v>0</v>
      </c>
      <c r="AH54" s="41">
        <f>O54/'1. Väestöennuste'!Q54*1000</f>
        <v>0</v>
      </c>
      <c r="AI54" s="41">
        <f>P54/'1. Väestöennuste'!R54*1000</f>
        <v>0</v>
      </c>
    </row>
    <row r="55" spans="1:35" x14ac:dyDescent="0.2">
      <c r="A55" s="30">
        <v>143</v>
      </c>
      <c r="B55" s="31" t="s">
        <v>369</v>
      </c>
      <c r="C55" s="64">
        <v>0</v>
      </c>
      <c r="D55" s="64"/>
      <c r="E55" s="64">
        <v>0</v>
      </c>
      <c r="F55" s="65">
        <v>0</v>
      </c>
      <c r="G55" s="65">
        <v>0</v>
      </c>
      <c r="H55" s="41">
        <v>0</v>
      </c>
      <c r="I55" s="165">
        <v>0</v>
      </c>
      <c r="J55" s="41">
        <v>0</v>
      </c>
      <c r="K55" s="41">
        <v>0</v>
      </c>
      <c r="L55" s="41">
        <v>0</v>
      </c>
      <c r="M55" s="41">
        <v>0</v>
      </c>
      <c r="N55" s="41">
        <v>0</v>
      </c>
      <c r="O55" s="41">
        <v>0</v>
      </c>
      <c r="P55" s="41">
        <v>0</v>
      </c>
      <c r="T55" s="30">
        <v>143</v>
      </c>
      <c r="U55" s="31" t="s">
        <v>369</v>
      </c>
      <c r="V55" s="41">
        <f>C55/'1. Väestöennuste'!E55*1000</f>
        <v>0</v>
      </c>
      <c r="W55" s="41">
        <f>D55/'1. Väestöennuste'!F55*1000</f>
        <v>0</v>
      </c>
      <c r="X55" s="41">
        <f>E55/'1. Väestöennuste'!G55*1000</f>
        <v>0</v>
      </c>
      <c r="Y55" s="41">
        <f>F55/'1. Väestöennuste'!H55*1000</f>
        <v>0</v>
      </c>
      <c r="Z55" s="41">
        <f>G55/'1. Väestöennuste'!I55*1000</f>
        <v>0</v>
      </c>
      <c r="AA55" s="41">
        <f>H55/'1. Väestöennuste'!J55*1000</f>
        <v>0</v>
      </c>
      <c r="AB55" s="41">
        <f>I55/'1. Väestöennuste'!K55*1000</f>
        <v>0</v>
      </c>
      <c r="AC55" s="41">
        <f>J55/'1. Väestöennuste'!L55*1000</f>
        <v>0</v>
      </c>
      <c r="AD55" s="41">
        <f>K55/'1. Väestöennuste'!M55*1000</f>
        <v>0</v>
      </c>
      <c r="AE55" s="41">
        <f>L55/'1. Väestöennuste'!N55*1000</f>
        <v>0</v>
      </c>
      <c r="AF55" s="41">
        <f>M55/'1. Väestöennuste'!O55*1000</f>
        <v>0</v>
      </c>
      <c r="AG55" s="41">
        <f>N55/'1. Väestöennuste'!P55*1000</f>
        <v>0</v>
      </c>
      <c r="AH55" s="41">
        <f>O55/'1. Väestöennuste'!Q55*1000</f>
        <v>0</v>
      </c>
      <c r="AI55" s="41">
        <f>P55/'1. Väestöennuste'!R55*1000</f>
        <v>0</v>
      </c>
    </row>
    <row r="56" spans="1:35" x14ac:dyDescent="0.2">
      <c r="A56" s="30">
        <v>145</v>
      </c>
      <c r="B56" s="31" t="s">
        <v>370</v>
      </c>
      <c r="C56" s="64">
        <v>0</v>
      </c>
      <c r="D56" s="64"/>
      <c r="E56" s="64">
        <v>0</v>
      </c>
      <c r="F56" s="65">
        <v>0</v>
      </c>
      <c r="G56" s="65">
        <v>0</v>
      </c>
      <c r="H56" s="41">
        <v>0</v>
      </c>
      <c r="I56" s="165">
        <v>0</v>
      </c>
      <c r="J56" s="41">
        <v>0</v>
      </c>
      <c r="K56" s="41">
        <v>0</v>
      </c>
      <c r="L56" s="41">
        <v>0</v>
      </c>
      <c r="M56" s="41">
        <v>0</v>
      </c>
      <c r="N56" s="41">
        <v>0</v>
      </c>
      <c r="O56" s="41">
        <v>0</v>
      </c>
      <c r="P56" s="41">
        <v>0</v>
      </c>
      <c r="T56" s="30">
        <v>145</v>
      </c>
      <c r="U56" s="31" t="s">
        <v>370</v>
      </c>
      <c r="V56" s="41">
        <f>C56/'1. Väestöennuste'!E56*1000</f>
        <v>0</v>
      </c>
      <c r="W56" s="41">
        <f>D56/'1. Väestöennuste'!F56*1000</f>
        <v>0</v>
      </c>
      <c r="X56" s="41">
        <f>E56/'1. Väestöennuste'!G56*1000</f>
        <v>0</v>
      </c>
      <c r="Y56" s="41">
        <f>F56/'1. Väestöennuste'!H56*1000</f>
        <v>0</v>
      </c>
      <c r="Z56" s="41">
        <f>G56/'1. Väestöennuste'!I56*1000</f>
        <v>0</v>
      </c>
      <c r="AA56" s="41">
        <f>H56/'1. Väestöennuste'!J56*1000</f>
        <v>0</v>
      </c>
      <c r="AB56" s="41">
        <f>I56/'1. Väestöennuste'!K56*1000</f>
        <v>0</v>
      </c>
      <c r="AC56" s="41">
        <f>J56/'1. Väestöennuste'!L56*1000</f>
        <v>0</v>
      </c>
      <c r="AD56" s="41">
        <f>K56/'1. Väestöennuste'!M56*1000</f>
        <v>0</v>
      </c>
      <c r="AE56" s="41">
        <f>L56/'1. Väestöennuste'!N56*1000</f>
        <v>0</v>
      </c>
      <c r="AF56" s="41">
        <f>M56/'1. Väestöennuste'!O56*1000</f>
        <v>0</v>
      </c>
      <c r="AG56" s="41">
        <f>N56/'1. Väestöennuste'!P56*1000</f>
        <v>0</v>
      </c>
      <c r="AH56" s="41">
        <f>O56/'1. Väestöennuste'!Q56*1000</f>
        <v>0</v>
      </c>
      <c r="AI56" s="41">
        <f>P56/'1. Väestöennuste'!R56*1000</f>
        <v>0</v>
      </c>
    </row>
    <row r="57" spans="1:35" x14ac:dyDescent="0.2">
      <c r="A57" s="30">
        <v>146</v>
      </c>
      <c r="B57" s="31" t="s">
        <v>371</v>
      </c>
      <c r="C57" s="64">
        <v>0</v>
      </c>
      <c r="D57" s="64"/>
      <c r="E57" s="64">
        <v>256</v>
      </c>
      <c r="F57" s="65">
        <v>0</v>
      </c>
      <c r="G57" s="65">
        <v>0</v>
      </c>
      <c r="H57" s="41">
        <v>0</v>
      </c>
      <c r="I57" s="165">
        <v>0</v>
      </c>
      <c r="J57" s="41">
        <v>0</v>
      </c>
      <c r="K57" s="41">
        <v>0</v>
      </c>
      <c r="L57" s="41">
        <v>0</v>
      </c>
      <c r="M57" s="41">
        <v>0</v>
      </c>
      <c r="N57" s="41">
        <v>0</v>
      </c>
      <c r="O57" s="41">
        <v>0</v>
      </c>
      <c r="P57" s="41">
        <v>0</v>
      </c>
      <c r="T57" s="30">
        <v>146</v>
      </c>
      <c r="U57" s="31" t="s">
        <v>371</v>
      </c>
      <c r="V57" s="41">
        <f>C57/'1. Väestöennuste'!E57*1000</f>
        <v>0</v>
      </c>
      <c r="W57" s="41">
        <f>D57/'1. Väestöennuste'!F57*1000</f>
        <v>0</v>
      </c>
      <c r="X57" s="41">
        <f>E57/'1. Väestöennuste'!G57*1000</f>
        <v>49.921996879875195</v>
      </c>
      <c r="Y57" s="41">
        <f>F57/'1. Väestöennuste'!H57*1000</f>
        <v>0</v>
      </c>
      <c r="Z57" s="41">
        <f>G57/'1. Väestöennuste'!I57*1000</f>
        <v>0</v>
      </c>
      <c r="AA57" s="41">
        <f>H57/'1. Väestöennuste'!J57*1000</f>
        <v>0</v>
      </c>
      <c r="AB57" s="41">
        <f>I57/'1. Väestöennuste'!K57*1000</f>
        <v>0</v>
      </c>
      <c r="AC57" s="41">
        <f>J57/'1. Väestöennuste'!L57*1000</f>
        <v>0</v>
      </c>
      <c r="AD57" s="41">
        <f>K57/'1. Väestöennuste'!M57*1000</f>
        <v>0</v>
      </c>
      <c r="AE57" s="41">
        <f>L57/'1. Väestöennuste'!N57*1000</f>
        <v>0</v>
      </c>
      <c r="AF57" s="41">
        <f>M57/'1. Väestöennuste'!O57*1000</f>
        <v>0</v>
      </c>
      <c r="AG57" s="41">
        <f>N57/'1. Väestöennuste'!P57*1000</f>
        <v>0</v>
      </c>
      <c r="AH57" s="41">
        <f>O57/'1. Väestöennuste'!Q57*1000</f>
        <v>0</v>
      </c>
      <c r="AI57" s="41">
        <f>P57/'1. Väestöennuste'!R57*1000</f>
        <v>0</v>
      </c>
    </row>
    <row r="58" spans="1:35" x14ac:dyDescent="0.2">
      <c r="A58" s="30">
        <v>148</v>
      </c>
      <c r="B58" s="31" t="s">
        <v>372</v>
      </c>
      <c r="C58" s="64">
        <v>0</v>
      </c>
      <c r="D58" s="64">
        <v>18</v>
      </c>
      <c r="E58" s="64">
        <v>0</v>
      </c>
      <c r="F58" s="65">
        <v>0</v>
      </c>
      <c r="G58" s="65">
        <v>0</v>
      </c>
      <c r="H58" s="41">
        <v>0</v>
      </c>
      <c r="I58" s="165">
        <v>0</v>
      </c>
      <c r="J58" s="41">
        <v>0</v>
      </c>
      <c r="K58" s="41">
        <v>0</v>
      </c>
      <c r="L58" s="41">
        <v>0</v>
      </c>
      <c r="M58" s="41">
        <v>0</v>
      </c>
      <c r="N58" s="41">
        <v>0</v>
      </c>
      <c r="O58" s="41">
        <v>0</v>
      </c>
      <c r="P58" s="41">
        <v>0</v>
      </c>
      <c r="T58" s="30">
        <v>148</v>
      </c>
      <c r="U58" s="31" t="s">
        <v>372</v>
      </c>
      <c r="V58" s="41">
        <f>C58/'1. Väestöennuste'!E58*1000</f>
        <v>0</v>
      </c>
      <c r="W58" s="41">
        <f>D58/'1. Väestöennuste'!F58*1000</f>
        <v>2.6373626373626373</v>
      </c>
      <c r="X58" s="41">
        <f>E58/'1. Väestöennuste'!G58*1000</f>
        <v>0</v>
      </c>
      <c r="Y58" s="41">
        <f>F58/'1. Väestöennuste'!H58*1000</f>
        <v>0</v>
      </c>
      <c r="Z58" s="41">
        <f>G58/'1. Väestöennuste'!I58*1000</f>
        <v>0</v>
      </c>
      <c r="AA58" s="41">
        <f>H58/'1. Väestöennuste'!J58*1000</f>
        <v>0</v>
      </c>
      <c r="AB58" s="41">
        <f>I58/'1. Väestöennuste'!K58*1000</f>
        <v>0</v>
      </c>
      <c r="AC58" s="41">
        <f>J58/'1. Väestöennuste'!L58*1000</f>
        <v>0</v>
      </c>
      <c r="AD58" s="41">
        <f>K58/'1. Väestöennuste'!M58*1000</f>
        <v>0</v>
      </c>
      <c r="AE58" s="41">
        <f>L58/'1. Väestöennuste'!N58*1000</f>
        <v>0</v>
      </c>
      <c r="AF58" s="41">
        <f>M58/'1. Väestöennuste'!O58*1000</f>
        <v>0</v>
      </c>
      <c r="AG58" s="41">
        <f>N58/'1. Väestöennuste'!P58*1000</f>
        <v>0</v>
      </c>
      <c r="AH58" s="41">
        <f>O58/'1. Väestöennuste'!Q58*1000</f>
        <v>0</v>
      </c>
      <c r="AI58" s="41">
        <f>P58/'1. Väestöennuste'!R58*1000</f>
        <v>0</v>
      </c>
    </row>
    <row r="59" spans="1:35" x14ac:dyDescent="0.2">
      <c r="A59" s="30">
        <v>149</v>
      </c>
      <c r="B59" s="31" t="s">
        <v>373</v>
      </c>
      <c r="C59" s="64">
        <v>0</v>
      </c>
      <c r="D59" s="64"/>
      <c r="E59" s="64">
        <v>0</v>
      </c>
      <c r="F59" s="65">
        <v>0</v>
      </c>
      <c r="G59" s="65">
        <v>0</v>
      </c>
      <c r="H59" s="41">
        <v>0</v>
      </c>
      <c r="I59" s="165">
        <v>0</v>
      </c>
      <c r="J59" s="41">
        <v>0</v>
      </c>
      <c r="K59" s="41">
        <v>0</v>
      </c>
      <c r="L59" s="41">
        <v>0</v>
      </c>
      <c r="M59" s="41">
        <v>0</v>
      </c>
      <c r="N59" s="41">
        <v>0</v>
      </c>
      <c r="O59" s="41">
        <v>0</v>
      </c>
      <c r="P59" s="41">
        <v>0</v>
      </c>
      <c r="T59" s="30">
        <v>149</v>
      </c>
      <c r="U59" s="31" t="s">
        <v>373</v>
      </c>
      <c r="V59" s="41">
        <f>C59/'1. Väestöennuste'!E59*1000</f>
        <v>0</v>
      </c>
      <c r="W59" s="41">
        <f>D59/'1. Väestöennuste'!F59*1000</f>
        <v>0</v>
      </c>
      <c r="X59" s="41">
        <f>E59/'1. Väestöennuste'!G59*1000</f>
        <v>0</v>
      </c>
      <c r="Y59" s="41">
        <f>F59/'1. Väestöennuste'!H59*1000</f>
        <v>0</v>
      </c>
      <c r="Z59" s="41">
        <f>G59/'1. Väestöennuste'!I59*1000</f>
        <v>0</v>
      </c>
      <c r="AA59" s="41">
        <f>H59/'1. Väestöennuste'!J59*1000</f>
        <v>0</v>
      </c>
      <c r="AB59" s="41">
        <f>I59/'1. Väestöennuste'!K59*1000</f>
        <v>0</v>
      </c>
      <c r="AC59" s="41">
        <f>J59/'1. Väestöennuste'!L59*1000</f>
        <v>0</v>
      </c>
      <c r="AD59" s="41">
        <f>K59/'1. Väestöennuste'!M59*1000</f>
        <v>0</v>
      </c>
      <c r="AE59" s="41">
        <f>L59/'1. Väestöennuste'!N59*1000</f>
        <v>0</v>
      </c>
      <c r="AF59" s="41">
        <f>M59/'1. Väestöennuste'!O59*1000</f>
        <v>0</v>
      </c>
      <c r="AG59" s="41">
        <f>N59/'1. Väestöennuste'!P59*1000</f>
        <v>0</v>
      </c>
      <c r="AH59" s="41">
        <f>O59/'1. Väestöennuste'!Q59*1000</f>
        <v>0</v>
      </c>
      <c r="AI59" s="41">
        <f>P59/'1. Väestöennuste'!R59*1000</f>
        <v>0</v>
      </c>
    </row>
    <row r="60" spans="1:35" x14ac:dyDescent="0.2">
      <c r="A60" s="30">
        <v>151</v>
      </c>
      <c r="B60" s="31" t="s">
        <v>374</v>
      </c>
      <c r="C60" s="64">
        <v>0</v>
      </c>
      <c r="D60" s="64"/>
      <c r="E60" s="64">
        <v>0</v>
      </c>
      <c r="F60" s="65">
        <v>0</v>
      </c>
      <c r="G60" s="65">
        <v>0</v>
      </c>
      <c r="H60" s="41">
        <v>0</v>
      </c>
      <c r="I60" s="165">
        <v>0</v>
      </c>
      <c r="J60" s="41">
        <v>0</v>
      </c>
      <c r="K60" s="41">
        <v>-51.890209999999996</v>
      </c>
      <c r="L60" s="41">
        <v>0</v>
      </c>
      <c r="M60" s="41">
        <v>0</v>
      </c>
      <c r="N60" s="41">
        <v>0</v>
      </c>
      <c r="O60" s="41">
        <v>0</v>
      </c>
      <c r="P60" s="41">
        <v>0</v>
      </c>
      <c r="T60" s="30">
        <v>151</v>
      </c>
      <c r="U60" s="31" t="s">
        <v>374</v>
      </c>
      <c r="V60" s="41">
        <f>C60/'1. Väestöennuste'!E60*1000</f>
        <v>0</v>
      </c>
      <c r="W60" s="41">
        <f>D60/'1. Väestöennuste'!F60*1000</f>
        <v>0</v>
      </c>
      <c r="X60" s="41">
        <f>E60/'1. Väestöennuste'!G60*1000</f>
        <v>0</v>
      </c>
      <c r="Y60" s="41">
        <f>F60/'1. Väestöennuste'!H60*1000</f>
        <v>0</v>
      </c>
      <c r="Z60" s="41">
        <f>G60/'1. Väestöennuste'!I60*1000</f>
        <v>0</v>
      </c>
      <c r="AA60" s="41">
        <f>H60/'1. Väestöennuste'!J60*1000</f>
        <v>0</v>
      </c>
      <c r="AB60" s="41">
        <f>I60/'1. Väestöennuste'!K60*1000</f>
        <v>0</v>
      </c>
      <c r="AC60" s="41">
        <f>J60/'1. Väestöennuste'!L60*1000</f>
        <v>0</v>
      </c>
      <c r="AD60" s="41">
        <f>K60/'1. Väestöennuste'!M60*1000</f>
        <v>-28.60540793825799</v>
      </c>
      <c r="AE60" s="41">
        <f>L60/'1. Väestöennuste'!N60*1000</f>
        <v>0</v>
      </c>
      <c r="AF60" s="41">
        <f>M60/'1. Väestöennuste'!O60*1000</f>
        <v>0</v>
      </c>
      <c r="AG60" s="41">
        <f>N60/'1. Väestöennuste'!P60*1000</f>
        <v>0</v>
      </c>
      <c r="AH60" s="41">
        <f>O60/'1. Väestöennuste'!Q60*1000</f>
        <v>0</v>
      </c>
      <c r="AI60" s="41">
        <f>P60/'1. Väestöennuste'!R60*1000</f>
        <v>0</v>
      </c>
    </row>
    <row r="61" spans="1:35" x14ac:dyDescent="0.2">
      <c r="A61" s="30">
        <v>152</v>
      </c>
      <c r="B61" s="31" t="s">
        <v>375</v>
      </c>
      <c r="C61" s="64">
        <v>0</v>
      </c>
      <c r="D61" s="64"/>
      <c r="E61" s="64">
        <v>142</v>
      </c>
      <c r="F61" s="65">
        <v>0</v>
      </c>
      <c r="G61" s="65">
        <v>0</v>
      </c>
      <c r="H61" s="41">
        <v>0</v>
      </c>
      <c r="I61" s="165">
        <v>0</v>
      </c>
      <c r="J61" s="41">
        <v>0</v>
      </c>
      <c r="K61" s="41">
        <v>0</v>
      </c>
      <c r="L61" s="41">
        <v>0</v>
      </c>
      <c r="M61" s="41">
        <v>0</v>
      </c>
      <c r="N61" s="41">
        <v>0</v>
      </c>
      <c r="O61" s="41">
        <v>0</v>
      </c>
      <c r="P61" s="41">
        <v>0</v>
      </c>
      <c r="T61" s="30">
        <v>152</v>
      </c>
      <c r="U61" s="31" t="s">
        <v>375</v>
      </c>
      <c r="V61" s="41">
        <f>C61/'1. Väestöennuste'!E61*1000</f>
        <v>0</v>
      </c>
      <c r="W61" s="41">
        <f>D61/'1. Väestöennuste'!F61*1000</f>
        <v>0</v>
      </c>
      <c r="X61" s="41">
        <f>E61/'1. Väestöennuste'!G61*1000</f>
        <v>30.38733147870747</v>
      </c>
      <c r="Y61" s="41">
        <f>F61/'1. Väestöennuste'!H61*1000</f>
        <v>0</v>
      </c>
      <c r="Z61" s="41">
        <f>G61/'1. Väestöennuste'!I61*1000</f>
        <v>0</v>
      </c>
      <c r="AA61" s="41">
        <f>H61/'1. Väestöennuste'!J61*1000</f>
        <v>0</v>
      </c>
      <c r="AB61" s="41">
        <f>I61/'1. Väestöennuste'!K61*1000</f>
        <v>0</v>
      </c>
      <c r="AC61" s="41">
        <f>J61/'1. Väestöennuste'!L61*1000</f>
        <v>0</v>
      </c>
      <c r="AD61" s="41">
        <f>K61/'1. Väestöennuste'!M61*1000</f>
        <v>0</v>
      </c>
      <c r="AE61" s="41">
        <f>L61/'1. Väestöennuste'!N61*1000</f>
        <v>0</v>
      </c>
      <c r="AF61" s="41">
        <f>M61/'1. Väestöennuste'!O61*1000</f>
        <v>0</v>
      </c>
      <c r="AG61" s="41">
        <f>N61/'1. Väestöennuste'!P61*1000</f>
        <v>0</v>
      </c>
      <c r="AH61" s="41">
        <f>O61/'1. Väestöennuste'!Q61*1000</f>
        <v>0</v>
      </c>
      <c r="AI61" s="41">
        <f>P61/'1. Väestöennuste'!R61*1000</f>
        <v>0</v>
      </c>
    </row>
    <row r="62" spans="1:35" x14ac:dyDescent="0.2">
      <c r="A62" s="30">
        <v>153</v>
      </c>
      <c r="B62" s="31" t="s">
        <v>376</v>
      </c>
      <c r="C62" s="64">
        <v>0</v>
      </c>
      <c r="D62" s="64"/>
      <c r="E62" s="64">
        <v>854</v>
      </c>
      <c r="F62" s="65">
        <v>0</v>
      </c>
      <c r="G62" s="65">
        <v>7</v>
      </c>
      <c r="H62" s="41">
        <v>0</v>
      </c>
      <c r="I62" s="165">
        <v>0</v>
      </c>
      <c r="J62" s="41">
        <v>0</v>
      </c>
      <c r="K62" s="41">
        <v>-348.23493000000002</v>
      </c>
      <c r="L62" s="41">
        <v>0</v>
      </c>
      <c r="M62" s="41">
        <v>0</v>
      </c>
      <c r="N62" s="41">
        <v>0</v>
      </c>
      <c r="O62" s="41">
        <v>0</v>
      </c>
      <c r="P62" s="41">
        <v>0</v>
      </c>
      <c r="T62" s="30">
        <v>153</v>
      </c>
      <c r="U62" s="31" t="s">
        <v>376</v>
      </c>
      <c r="V62" s="41">
        <f>C62/'1. Väestöennuste'!E62*1000</f>
        <v>0</v>
      </c>
      <c r="W62" s="41">
        <f>D62/'1. Väestöennuste'!F62*1000</f>
        <v>0</v>
      </c>
      <c r="X62" s="41">
        <f>E62/'1. Väestöennuste'!G62*1000</f>
        <v>31.317613407165641</v>
      </c>
      <c r="Y62" s="41">
        <f>F62/'1. Väestöennuste'!H62*1000</f>
        <v>0</v>
      </c>
      <c r="Z62" s="41">
        <f>G62/'1. Väestöennuste'!I62*1000</f>
        <v>0.26407122378149994</v>
      </c>
      <c r="AA62" s="41">
        <f>H62/'1. Väestöennuste'!J62*1000</f>
        <v>0</v>
      </c>
      <c r="AB62" s="41">
        <f>I62/'1. Väestöennuste'!K62*1000</f>
        <v>0</v>
      </c>
      <c r="AC62" s="41">
        <f>J62/'1. Väestöennuste'!L62*1000</f>
        <v>0</v>
      </c>
      <c r="AD62" s="41">
        <f>K62/'1. Väestöennuste'!M62*1000</f>
        <v>-13.974675147477829</v>
      </c>
      <c r="AE62" s="41">
        <f>L62/'1. Väestöennuste'!N62*1000</f>
        <v>0</v>
      </c>
      <c r="AF62" s="41">
        <f>M62/'1. Väestöennuste'!O62*1000</f>
        <v>0</v>
      </c>
      <c r="AG62" s="41">
        <f>N62/'1. Väestöennuste'!P62*1000</f>
        <v>0</v>
      </c>
      <c r="AH62" s="41">
        <f>O62/'1. Väestöennuste'!Q62*1000</f>
        <v>0</v>
      </c>
      <c r="AI62" s="41">
        <f>P62/'1. Väestöennuste'!R62*1000</f>
        <v>0</v>
      </c>
    </row>
    <row r="63" spans="1:35" x14ac:dyDescent="0.2">
      <c r="A63" s="30">
        <v>165</v>
      </c>
      <c r="B63" s="31" t="s">
        <v>377</v>
      </c>
      <c r="C63" s="64">
        <v>0</v>
      </c>
      <c r="D63" s="64"/>
      <c r="E63" s="64">
        <v>0</v>
      </c>
      <c r="F63" s="65">
        <v>0</v>
      </c>
      <c r="G63" s="65">
        <v>333</v>
      </c>
      <c r="H63" s="41">
        <v>0</v>
      </c>
      <c r="I63" s="165">
        <v>0</v>
      </c>
      <c r="J63" s="41">
        <v>1560.8915500000001</v>
      </c>
      <c r="K63" s="41">
        <v>0</v>
      </c>
      <c r="L63" s="41">
        <v>0</v>
      </c>
      <c r="M63" s="41">
        <v>0</v>
      </c>
      <c r="N63" s="41">
        <v>0</v>
      </c>
      <c r="O63" s="41">
        <v>0</v>
      </c>
      <c r="P63" s="41">
        <v>0</v>
      </c>
      <c r="T63" s="30">
        <v>165</v>
      </c>
      <c r="U63" s="31" t="s">
        <v>377</v>
      </c>
      <c r="V63" s="41">
        <f>C63/'1. Väestöennuste'!E63*1000</f>
        <v>0</v>
      </c>
      <c r="W63" s="41">
        <f>D63/'1. Väestöennuste'!F63*1000</f>
        <v>0</v>
      </c>
      <c r="X63" s="41">
        <f>E63/'1. Väestöennuste'!G63*1000</f>
        <v>0</v>
      </c>
      <c r="Y63" s="41">
        <f>F63/'1. Väestöennuste'!H63*1000</f>
        <v>0</v>
      </c>
      <c r="Z63" s="41">
        <f>G63/'1. Väestöennuste'!I63*1000</f>
        <v>20.288795467007862</v>
      </c>
      <c r="AA63" s="41">
        <f>H63/'1. Väestöennuste'!J63*1000</f>
        <v>0</v>
      </c>
      <c r="AB63" s="41">
        <f>I63/'1. Väestöennuste'!K63*1000</f>
        <v>0</v>
      </c>
      <c r="AC63" s="41">
        <f>J63/'1. Väestöennuste'!L63*1000</f>
        <v>95.877859336609333</v>
      </c>
      <c r="AD63" s="41">
        <f>K63/'1. Väestöennuste'!M63*1000</f>
        <v>0</v>
      </c>
      <c r="AE63" s="41">
        <f>L63/'1. Väestöennuste'!N63*1000</f>
        <v>0</v>
      </c>
      <c r="AF63" s="41">
        <f>M63/'1. Väestöennuste'!O63*1000</f>
        <v>0</v>
      </c>
      <c r="AG63" s="41">
        <f>N63/'1. Väestöennuste'!P63*1000</f>
        <v>0</v>
      </c>
      <c r="AH63" s="41">
        <f>O63/'1. Väestöennuste'!Q63*1000</f>
        <v>0</v>
      </c>
      <c r="AI63" s="41">
        <f>P63/'1. Väestöennuste'!R63*1000</f>
        <v>0</v>
      </c>
    </row>
    <row r="64" spans="1:35" x14ac:dyDescent="0.2">
      <c r="A64" s="30">
        <v>167</v>
      </c>
      <c r="B64" s="31" t="s">
        <v>378</v>
      </c>
      <c r="C64" s="64">
        <v>0</v>
      </c>
      <c r="D64" s="64"/>
      <c r="E64" s="64">
        <v>2450</v>
      </c>
      <c r="F64" s="65">
        <v>0</v>
      </c>
      <c r="G64" s="65">
        <v>0</v>
      </c>
      <c r="H64" s="41">
        <v>0</v>
      </c>
      <c r="I64" s="165">
        <v>0</v>
      </c>
      <c r="J64" s="41">
        <v>0</v>
      </c>
      <c r="K64" s="41">
        <v>0</v>
      </c>
      <c r="L64" s="41">
        <v>0</v>
      </c>
      <c r="M64" s="41">
        <v>0</v>
      </c>
      <c r="N64" s="41">
        <v>0</v>
      </c>
      <c r="O64" s="41">
        <v>0</v>
      </c>
      <c r="P64" s="41">
        <v>0</v>
      </c>
      <c r="T64" s="30">
        <v>167</v>
      </c>
      <c r="U64" s="31" t="s">
        <v>378</v>
      </c>
      <c r="V64" s="41">
        <f>C64/'1. Väestöennuste'!E64*1000</f>
        <v>0</v>
      </c>
      <c r="W64" s="41">
        <f>D64/'1. Väestöennuste'!F64*1000</f>
        <v>0</v>
      </c>
      <c r="X64" s="41">
        <f>E64/'1. Väestöennuste'!G64*1000</f>
        <v>32.208447815741387</v>
      </c>
      <c r="Y64" s="41">
        <f>F64/'1. Väestöennuste'!H64*1000</f>
        <v>0</v>
      </c>
      <c r="Z64" s="41">
        <f>G64/'1. Väestöennuste'!I64*1000</f>
        <v>0</v>
      </c>
      <c r="AA64" s="41">
        <f>H64/'1. Väestöennuste'!J64*1000</f>
        <v>0</v>
      </c>
      <c r="AB64" s="41">
        <f>I64/'1. Väestöennuste'!K64*1000</f>
        <v>0</v>
      </c>
      <c r="AC64" s="41">
        <f>J64/'1. Väestöennuste'!L64*1000</f>
        <v>0</v>
      </c>
      <c r="AD64" s="41">
        <f>K64/'1. Väestöennuste'!M64*1000</f>
        <v>0</v>
      </c>
      <c r="AE64" s="41">
        <f>L64/'1. Väestöennuste'!N64*1000</f>
        <v>0</v>
      </c>
      <c r="AF64" s="41">
        <f>M64/'1. Väestöennuste'!O64*1000</f>
        <v>0</v>
      </c>
      <c r="AG64" s="41">
        <f>N64/'1. Väestöennuste'!P64*1000</f>
        <v>0</v>
      </c>
      <c r="AH64" s="41">
        <f>O64/'1. Väestöennuste'!Q64*1000</f>
        <v>0</v>
      </c>
      <c r="AI64" s="41">
        <f>P64/'1. Väestöennuste'!R64*1000</f>
        <v>0</v>
      </c>
    </row>
    <row r="65" spans="1:35" x14ac:dyDescent="0.2">
      <c r="A65" s="30">
        <v>169</v>
      </c>
      <c r="B65" s="31" t="s">
        <v>379</v>
      </c>
      <c r="C65" s="64">
        <v>0</v>
      </c>
      <c r="D65" s="64"/>
      <c r="E65" s="64">
        <v>0</v>
      </c>
      <c r="F65" s="65">
        <v>0</v>
      </c>
      <c r="G65" s="65">
        <v>0</v>
      </c>
      <c r="H65" s="41">
        <v>0</v>
      </c>
      <c r="I65" s="165">
        <v>0</v>
      </c>
      <c r="J65" s="41">
        <v>0</v>
      </c>
      <c r="K65" s="41">
        <v>0</v>
      </c>
      <c r="L65" s="41">
        <v>0</v>
      </c>
      <c r="M65" s="41">
        <v>0</v>
      </c>
      <c r="N65" s="41">
        <v>0</v>
      </c>
      <c r="O65" s="41">
        <v>0</v>
      </c>
      <c r="P65" s="41">
        <v>0</v>
      </c>
      <c r="T65" s="30">
        <v>169</v>
      </c>
      <c r="U65" s="31" t="s">
        <v>379</v>
      </c>
      <c r="V65" s="41">
        <f>C65/'1. Väestöennuste'!E65*1000</f>
        <v>0</v>
      </c>
      <c r="W65" s="41">
        <f>D65/'1. Väestöennuste'!F65*1000</f>
        <v>0</v>
      </c>
      <c r="X65" s="41">
        <f>E65/'1. Väestöennuste'!G65*1000</f>
        <v>0</v>
      </c>
      <c r="Y65" s="41">
        <f>F65/'1. Väestöennuste'!H65*1000</f>
        <v>0</v>
      </c>
      <c r="Z65" s="41">
        <f>G65/'1. Väestöennuste'!I65*1000</f>
        <v>0</v>
      </c>
      <c r="AA65" s="41">
        <f>H65/'1. Väestöennuste'!J65*1000</f>
        <v>0</v>
      </c>
      <c r="AB65" s="41">
        <f>I65/'1. Väestöennuste'!K65*1000</f>
        <v>0</v>
      </c>
      <c r="AC65" s="41">
        <f>J65/'1. Väestöennuste'!L65*1000</f>
        <v>0</v>
      </c>
      <c r="AD65" s="41">
        <f>K65/'1. Väestöennuste'!M65*1000</f>
        <v>0</v>
      </c>
      <c r="AE65" s="41">
        <f>L65/'1. Väestöennuste'!N65*1000</f>
        <v>0</v>
      </c>
      <c r="AF65" s="41">
        <f>M65/'1. Väestöennuste'!O65*1000</f>
        <v>0</v>
      </c>
      <c r="AG65" s="41">
        <f>N65/'1. Väestöennuste'!P65*1000</f>
        <v>0</v>
      </c>
      <c r="AH65" s="41">
        <f>O65/'1. Väestöennuste'!Q65*1000</f>
        <v>0</v>
      </c>
      <c r="AI65" s="41">
        <f>P65/'1. Väestöennuste'!R65*1000</f>
        <v>0</v>
      </c>
    </row>
    <row r="66" spans="1:35" x14ac:dyDescent="0.2">
      <c r="A66" s="30">
        <v>171</v>
      </c>
      <c r="B66" s="31" t="s">
        <v>380</v>
      </c>
      <c r="C66" s="64">
        <v>186</v>
      </c>
      <c r="D66" s="64">
        <v>215</v>
      </c>
      <c r="E66" s="64">
        <v>0</v>
      </c>
      <c r="F66" s="65">
        <v>0</v>
      </c>
      <c r="G66" s="65">
        <v>0</v>
      </c>
      <c r="H66" s="41">
        <v>0</v>
      </c>
      <c r="I66" s="165">
        <v>0</v>
      </c>
      <c r="J66" s="41">
        <v>0</v>
      </c>
      <c r="K66" s="41">
        <v>0</v>
      </c>
      <c r="L66" s="41">
        <v>0</v>
      </c>
      <c r="M66" s="41">
        <v>0</v>
      </c>
      <c r="N66" s="41">
        <v>0</v>
      </c>
      <c r="O66" s="41">
        <v>0</v>
      </c>
      <c r="P66" s="41">
        <v>0</v>
      </c>
      <c r="T66" s="30">
        <v>171</v>
      </c>
      <c r="U66" s="31" t="s">
        <v>380</v>
      </c>
      <c r="V66" s="41">
        <f>C66/'1. Väestöennuste'!E66*1000</f>
        <v>36.399217221135032</v>
      </c>
      <c r="W66" s="41">
        <f>D66/'1. Väestöennuste'!F66*1000</f>
        <v>42.667195872196864</v>
      </c>
      <c r="X66" s="41">
        <f>E66/'1. Väestöennuste'!G66*1000</f>
        <v>0</v>
      </c>
      <c r="Y66" s="41">
        <f>F66/'1. Väestöennuste'!H66*1000</f>
        <v>0</v>
      </c>
      <c r="Z66" s="41">
        <f>G66/'1. Väestöennuste'!I66*1000</f>
        <v>0</v>
      </c>
      <c r="AA66" s="41">
        <f>H66/'1. Väestöennuste'!J66*1000</f>
        <v>0</v>
      </c>
      <c r="AB66" s="41">
        <f>I66/'1. Väestöennuste'!K66*1000</f>
        <v>0</v>
      </c>
      <c r="AC66" s="41">
        <f>J66/'1. Väestöennuste'!L66*1000</f>
        <v>0</v>
      </c>
      <c r="AD66" s="41">
        <f>K66/'1. Väestöennuste'!M66*1000</f>
        <v>0</v>
      </c>
      <c r="AE66" s="41">
        <f>L66/'1. Väestöennuste'!N66*1000</f>
        <v>0</v>
      </c>
      <c r="AF66" s="41">
        <f>M66/'1. Väestöennuste'!O66*1000</f>
        <v>0</v>
      </c>
      <c r="AG66" s="41">
        <f>N66/'1. Väestöennuste'!P66*1000</f>
        <v>0</v>
      </c>
      <c r="AH66" s="41">
        <f>O66/'1. Väestöennuste'!Q66*1000</f>
        <v>0</v>
      </c>
      <c r="AI66" s="41">
        <f>P66/'1. Väestöennuste'!R66*1000</f>
        <v>0</v>
      </c>
    </row>
    <row r="67" spans="1:35" x14ac:dyDescent="0.2">
      <c r="A67" s="30">
        <v>172</v>
      </c>
      <c r="B67" s="31" t="s">
        <v>381</v>
      </c>
      <c r="C67" s="64">
        <v>-90</v>
      </c>
      <c r="D67" s="64">
        <v>-145</v>
      </c>
      <c r="E67" s="64">
        <v>-1039</v>
      </c>
      <c r="F67" s="65">
        <v>87</v>
      </c>
      <c r="G67" s="65">
        <v>0</v>
      </c>
      <c r="H67" s="41">
        <v>-70</v>
      </c>
      <c r="I67" s="165">
        <v>0</v>
      </c>
      <c r="J67" s="41">
        <v>27.45176</v>
      </c>
      <c r="K67" s="41">
        <v>18.872700000000002</v>
      </c>
      <c r="L67" s="41">
        <v>0</v>
      </c>
      <c r="M67" s="41">
        <v>0</v>
      </c>
      <c r="N67" s="41">
        <v>0</v>
      </c>
      <c r="O67" s="41">
        <v>0</v>
      </c>
      <c r="P67" s="41">
        <v>0</v>
      </c>
      <c r="T67" s="30">
        <v>172</v>
      </c>
      <c r="U67" s="31" t="s">
        <v>381</v>
      </c>
      <c r="V67" s="41">
        <f>C67/'1. Väestöennuste'!E67*1000</f>
        <v>-19.197952218430036</v>
      </c>
      <c r="W67" s="41">
        <f>D67/'1. Väestöennuste'!F67*1000</f>
        <v>-31.02931735501819</v>
      </c>
      <c r="X67" s="41">
        <f>E67/'1. Väestöennuste'!G67*1000</f>
        <v>-227.50164221589665</v>
      </c>
      <c r="Y67" s="41">
        <f>F67/'1. Väestöennuste'!H67*1000</f>
        <v>19.476158495634657</v>
      </c>
      <c r="Z67" s="41">
        <f>G67/'1. Väestöennuste'!I67*1000</f>
        <v>0</v>
      </c>
      <c r="AA67" s="41">
        <f>H67/'1. Väestöennuste'!J67*1000</f>
        <v>-16.290435187340005</v>
      </c>
      <c r="AB67" s="41">
        <f>I67/'1. Väestöennuste'!K67*1000</f>
        <v>0</v>
      </c>
      <c r="AC67" s="41">
        <f>J67/'1. Väestöennuste'!L67*1000</f>
        <v>6.5815775593382879</v>
      </c>
      <c r="AD67" s="41">
        <f>K67/'1. Väestöennuste'!M67*1000</f>
        <v>4.6267957832802162</v>
      </c>
      <c r="AE67" s="41">
        <f>L67/'1. Väestöennuste'!N67*1000</f>
        <v>0</v>
      </c>
      <c r="AF67" s="41">
        <f>M67/'1. Väestöennuste'!O67*1000</f>
        <v>0</v>
      </c>
      <c r="AG67" s="41">
        <f>N67/'1. Väestöennuste'!P67*1000</f>
        <v>0</v>
      </c>
      <c r="AH67" s="41">
        <f>O67/'1. Väestöennuste'!Q67*1000</f>
        <v>0</v>
      </c>
      <c r="AI67" s="41">
        <f>P67/'1. Väestöennuste'!R67*1000</f>
        <v>0</v>
      </c>
    </row>
    <row r="68" spans="1:35" x14ac:dyDescent="0.2">
      <c r="A68" s="30">
        <v>176</v>
      </c>
      <c r="B68" s="31" t="s">
        <v>382</v>
      </c>
      <c r="C68" s="64">
        <v>2044</v>
      </c>
      <c r="D68" s="64"/>
      <c r="E68" s="64">
        <v>-543</v>
      </c>
      <c r="F68" s="65">
        <v>0</v>
      </c>
      <c r="G68" s="65">
        <v>-165</v>
      </c>
      <c r="H68" s="41">
        <v>0</v>
      </c>
      <c r="I68" s="165">
        <v>0</v>
      </c>
      <c r="J68" s="41">
        <v>0</v>
      </c>
      <c r="K68" s="41">
        <v>0</v>
      </c>
      <c r="L68" s="41">
        <v>0</v>
      </c>
      <c r="M68" s="41">
        <v>0</v>
      </c>
      <c r="N68" s="41">
        <v>0</v>
      </c>
      <c r="O68" s="41">
        <v>0</v>
      </c>
      <c r="P68" s="41">
        <v>0</v>
      </c>
      <c r="T68" s="30">
        <v>176</v>
      </c>
      <c r="U68" s="31" t="s">
        <v>382</v>
      </c>
      <c r="V68" s="41">
        <f>C68/'1. Väestöennuste'!E68*1000</f>
        <v>406.0389352403655</v>
      </c>
      <c r="W68" s="41">
        <f>D68/'1. Väestöennuste'!F68*1000</f>
        <v>0</v>
      </c>
      <c r="X68" s="41">
        <f>E68/'1. Väestöennuste'!G68*1000</f>
        <v>-112.72576292298112</v>
      </c>
      <c r="Y68" s="41">
        <f>F68/'1. Väestöennuste'!H68*1000</f>
        <v>0</v>
      </c>
      <c r="Z68" s="41">
        <f>G68/'1. Väestöennuste'!I68*1000</f>
        <v>-35.822839774207551</v>
      </c>
      <c r="AA68" s="41">
        <f>H68/'1. Väestöennuste'!J68*1000</f>
        <v>0</v>
      </c>
      <c r="AB68" s="41">
        <f>I68/'1. Väestöennuste'!K68*1000</f>
        <v>0</v>
      </c>
      <c r="AC68" s="41">
        <f>J68/'1. Väestöennuste'!L68*1000</f>
        <v>0</v>
      </c>
      <c r="AD68" s="41">
        <f>K68/'1. Väestöennuste'!M68*1000</f>
        <v>0</v>
      </c>
      <c r="AE68" s="41">
        <f>L68/'1. Väestöennuste'!N68*1000</f>
        <v>0</v>
      </c>
      <c r="AF68" s="41">
        <f>M68/'1. Väestöennuste'!O68*1000</f>
        <v>0</v>
      </c>
      <c r="AG68" s="41">
        <f>N68/'1. Väestöennuste'!P68*1000</f>
        <v>0</v>
      </c>
      <c r="AH68" s="41">
        <f>O68/'1. Väestöennuste'!Q68*1000</f>
        <v>0</v>
      </c>
      <c r="AI68" s="41">
        <f>P68/'1. Väestöennuste'!R68*1000</f>
        <v>0</v>
      </c>
    </row>
    <row r="69" spans="1:35" x14ac:dyDescent="0.2">
      <c r="A69" s="30">
        <v>177</v>
      </c>
      <c r="B69" s="31" t="s">
        <v>383</v>
      </c>
      <c r="C69" s="64">
        <v>0</v>
      </c>
      <c r="D69" s="64"/>
      <c r="E69" s="64">
        <v>0</v>
      </c>
      <c r="F69" s="65">
        <v>0</v>
      </c>
      <c r="G69" s="65">
        <v>0</v>
      </c>
      <c r="H69" s="41">
        <v>0</v>
      </c>
      <c r="I69" s="165">
        <v>0</v>
      </c>
      <c r="J69" s="41">
        <v>0</v>
      </c>
      <c r="K69" s="41">
        <v>0</v>
      </c>
      <c r="L69" s="41">
        <v>0</v>
      </c>
      <c r="M69" s="41">
        <v>0</v>
      </c>
      <c r="N69" s="41">
        <v>0</v>
      </c>
      <c r="O69" s="41">
        <v>0</v>
      </c>
      <c r="P69" s="41">
        <v>0</v>
      </c>
      <c r="T69" s="30">
        <v>177</v>
      </c>
      <c r="U69" s="31" t="s">
        <v>383</v>
      </c>
      <c r="V69" s="41">
        <f>C69/'1. Väestöennuste'!E69*1000</f>
        <v>0</v>
      </c>
      <c r="W69" s="41">
        <f>D69/'1. Väestöennuste'!F69*1000</f>
        <v>0</v>
      </c>
      <c r="X69" s="41">
        <f>E69/'1. Väestöennuste'!G69*1000</f>
        <v>0</v>
      </c>
      <c r="Y69" s="41">
        <f>F69/'1. Väestöennuste'!H69*1000</f>
        <v>0</v>
      </c>
      <c r="Z69" s="41">
        <f>G69/'1. Väestöennuste'!I69*1000</f>
        <v>0</v>
      </c>
      <c r="AA69" s="41">
        <f>H69/'1. Väestöennuste'!J69*1000</f>
        <v>0</v>
      </c>
      <c r="AB69" s="41">
        <f>I69/'1. Väestöennuste'!K69*1000</f>
        <v>0</v>
      </c>
      <c r="AC69" s="41">
        <f>J69/'1. Väestöennuste'!L69*1000</f>
        <v>0</v>
      </c>
      <c r="AD69" s="41">
        <f>K69/'1. Väestöennuste'!M69*1000</f>
        <v>0</v>
      </c>
      <c r="AE69" s="41">
        <f>L69/'1. Väestöennuste'!N69*1000</f>
        <v>0</v>
      </c>
      <c r="AF69" s="41">
        <f>M69/'1. Väestöennuste'!O69*1000</f>
        <v>0</v>
      </c>
      <c r="AG69" s="41">
        <f>N69/'1. Väestöennuste'!P69*1000</f>
        <v>0</v>
      </c>
      <c r="AH69" s="41">
        <f>O69/'1. Väestöennuste'!Q69*1000</f>
        <v>0</v>
      </c>
      <c r="AI69" s="41">
        <f>P69/'1. Väestöennuste'!R69*1000</f>
        <v>0</v>
      </c>
    </row>
    <row r="70" spans="1:35" x14ac:dyDescent="0.2">
      <c r="A70" s="30">
        <v>178</v>
      </c>
      <c r="B70" s="31" t="s">
        <v>384</v>
      </c>
      <c r="C70" s="64">
        <v>0</v>
      </c>
      <c r="D70" s="64">
        <v>-200</v>
      </c>
      <c r="E70" s="64">
        <v>0</v>
      </c>
      <c r="F70" s="65">
        <v>-131</v>
      </c>
      <c r="G70" s="65">
        <v>12</v>
      </c>
      <c r="H70" s="41">
        <v>0</v>
      </c>
      <c r="I70" s="165">
        <v>0</v>
      </c>
      <c r="J70" s="41">
        <v>0</v>
      </c>
      <c r="K70" s="41">
        <v>0</v>
      </c>
      <c r="L70" s="41">
        <v>0</v>
      </c>
      <c r="M70" s="41">
        <v>0</v>
      </c>
      <c r="N70" s="41">
        <v>0</v>
      </c>
      <c r="O70" s="41">
        <v>0</v>
      </c>
      <c r="P70" s="41">
        <v>0</v>
      </c>
      <c r="T70" s="30">
        <v>178</v>
      </c>
      <c r="U70" s="31" t="s">
        <v>384</v>
      </c>
      <c r="V70" s="41">
        <f>C70/'1. Väestöennuste'!E70*1000</f>
        <v>0</v>
      </c>
      <c r="W70" s="41">
        <f>D70/'1. Väestöennuste'!F70*1000</f>
        <v>-31.147796293412242</v>
      </c>
      <c r="X70" s="41">
        <f>E70/'1. Väestöennuste'!G70*1000</f>
        <v>0</v>
      </c>
      <c r="Y70" s="41">
        <f>F70/'1. Väestöennuste'!H70*1000</f>
        <v>-21.044176706827308</v>
      </c>
      <c r="Z70" s="41">
        <f>G70/'1. Väestöennuste'!I70*1000</f>
        <v>1.9620667102681491</v>
      </c>
      <c r="AA70" s="41">
        <f>H70/'1. Väestöennuste'!J70*1000</f>
        <v>0</v>
      </c>
      <c r="AB70" s="41">
        <f>I70/'1. Väestöennuste'!K70*1000</f>
        <v>0</v>
      </c>
      <c r="AC70" s="41">
        <f>J70/'1. Väestöennuste'!L70*1000</f>
        <v>0</v>
      </c>
      <c r="AD70" s="41">
        <f>K70/'1. Väestöennuste'!M70*1000</f>
        <v>0</v>
      </c>
      <c r="AE70" s="41">
        <f>L70/'1. Väestöennuste'!N70*1000</f>
        <v>0</v>
      </c>
      <c r="AF70" s="41">
        <f>M70/'1. Väestöennuste'!O70*1000</f>
        <v>0</v>
      </c>
      <c r="AG70" s="41">
        <f>N70/'1. Väestöennuste'!P70*1000</f>
        <v>0</v>
      </c>
      <c r="AH70" s="41">
        <f>O70/'1. Väestöennuste'!Q70*1000</f>
        <v>0</v>
      </c>
      <c r="AI70" s="41">
        <f>P70/'1. Väestöennuste'!R70*1000</f>
        <v>0</v>
      </c>
    </row>
    <row r="71" spans="1:35" x14ac:dyDescent="0.2">
      <c r="A71" s="30">
        <v>179</v>
      </c>
      <c r="B71" s="31" t="s">
        <v>385</v>
      </c>
      <c r="C71" s="64">
        <v>0</v>
      </c>
      <c r="D71" s="64"/>
      <c r="E71" s="64">
        <v>0</v>
      </c>
      <c r="F71" s="65">
        <v>0</v>
      </c>
      <c r="G71" s="65">
        <v>0</v>
      </c>
      <c r="H71" s="41">
        <v>0</v>
      </c>
      <c r="I71" s="165">
        <v>87268.242270000002</v>
      </c>
      <c r="J71" s="41">
        <v>52012.004000000001</v>
      </c>
      <c r="K71" s="41">
        <v>0</v>
      </c>
      <c r="L71" s="41">
        <v>0</v>
      </c>
      <c r="M71" s="41">
        <v>0</v>
      </c>
      <c r="N71" s="41">
        <v>0</v>
      </c>
      <c r="O71" s="41">
        <v>0</v>
      </c>
      <c r="P71" s="41">
        <v>0</v>
      </c>
      <c r="T71" s="30">
        <v>179</v>
      </c>
      <c r="U71" s="31" t="s">
        <v>385</v>
      </c>
      <c r="V71" s="41">
        <f>C71/'1. Väestöennuste'!E71*1000</f>
        <v>0</v>
      </c>
      <c r="W71" s="41">
        <f>D71/'1. Väestöennuste'!F71*1000</f>
        <v>0</v>
      </c>
      <c r="X71" s="41">
        <f>E71/'1. Väestöennuste'!G71*1000</f>
        <v>0</v>
      </c>
      <c r="Y71" s="41">
        <f>F71/'1. Väestöennuste'!H71*1000</f>
        <v>0</v>
      </c>
      <c r="Z71" s="41">
        <f>G71/'1. Väestöennuste'!I71*1000</f>
        <v>0</v>
      </c>
      <c r="AA71" s="41">
        <f>H71/'1. Väestöennuste'!J71*1000</f>
        <v>0</v>
      </c>
      <c r="AB71" s="41">
        <f>I71/'1. Väestöennuste'!K71*1000</f>
        <v>604.04533905989354</v>
      </c>
      <c r="AC71" s="41">
        <f>J71/'1. Väestöennuste'!L71*1000</f>
        <v>356.52254141904348</v>
      </c>
      <c r="AD71" s="41">
        <f>K71/'1. Väestöennuste'!M71*1000</f>
        <v>0</v>
      </c>
      <c r="AE71" s="41">
        <f>L71/'1. Väestöennuste'!N71*1000</f>
        <v>0</v>
      </c>
      <c r="AF71" s="41">
        <f>M71/'1. Väestöennuste'!O71*1000</f>
        <v>0</v>
      </c>
      <c r="AG71" s="41">
        <f>N71/'1. Väestöennuste'!P71*1000</f>
        <v>0</v>
      </c>
      <c r="AH71" s="41">
        <f>O71/'1. Väestöennuste'!Q71*1000</f>
        <v>0</v>
      </c>
      <c r="AI71" s="41">
        <f>P71/'1. Väestöennuste'!R71*1000</f>
        <v>0</v>
      </c>
    </row>
    <row r="72" spans="1:35" x14ac:dyDescent="0.2">
      <c r="A72" s="30">
        <v>181</v>
      </c>
      <c r="B72" s="31" t="s">
        <v>386</v>
      </c>
      <c r="C72" s="64">
        <v>0</v>
      </c>
      <c r="D72" s="64"/>
      <c r="E72" s="64">
        <v>0</v>
      </c>
      <c r="F72" s="65">
        <v>408</v>
      </c>
      <c r="G72" s="65">
        <v>0</v>
      </c>
      <c r="H72" s="41">
        <v>0</v>
      </c>
      <c r="I72" s="165">
        <v>0</v>
      </c>
      <c r="J72" s="41">
        <v>0</v>
      </c>
      <c r="K72" s="41">
        <v>0</v>
      </c>
      <c r="L72" s="41">
        <v>0</v>
      </c>
      <c r="M72" s="41">
        <v>0</v>
      </c>
      <c r="N72" s="41">
        <v>0</v>
      </c>
      <c r="O72" s="41">
        <v>0</v>
      </c>
      <c r="P72" s="41">
        <v>0</v>
      </c>
      <c r="T72" s="30">
        <v>181</v>
      </c>
      <c r="U72" s="31" t="s">
        <v>386</v>
      </c>
      <c r="V72" s="41">
        <f>C72/'1. Väestöennuste'!E72*1000</f>
        <v>0</v>
      </c>
      <c r="W72" s="41">
        <f>D72/'1. Väestöennuste'!F72*1000</f>
        <v>0</v>
      </c>
      <c r="X72" s="41">
        <f>E72/'1. Väestöennuste'!G72*1000</f>
        <v>0</v>
      </c>
      <c r="Y72" s="41">
        <f>F72/'1. Väestöennuste'!H72*1000</f>
        <v>225.53897180762851</v>
      </c>
      <c r="Z72" s="41">
        <f>G72/'1. Väestöennuste'!I72*1000</f>
        <v>0</v>
      </c>
      <c r="AA72" s="41">
        <f>H72/'1. Väestöennuste'!J72*1000</f>
        <v>0</v>
      </c>
      <c r="AB72" s="41">
        <f>I72/'1. Väestöennuste'!K72*1000</f>
        <v>0</v>
      </c>
      <c r="AC72" s="41">
        <f>J72/'1. Väestöennuste'!L72*1000</f>
        <v>0</v>
      </c>
      <c r="AD72" s="41">
        <f>K72/'1. Väestöennuste'!M72*1000</f>
        <v>0</v>
      </c>
      <c r="AE72" s="41">
        <f>L72/'1. Väestöennuste'!N72*1000</f>
        <v>0</v>
      </c>
      <c r="AF72" s="41">
        <f>M72/'1. Väestöennuste'!O72*1000</f>
        <v>0</v>
      </c>
      <c r="AG72" s="41">
        <f>N72/'1. Väestöennuste'!P72*1000</f>
        <v>0</v>
      </c>
      <c r="AH72" s="41">
        <f>O72/'1. Väestöennuste'!Q72*1000</f>
        <v>0</v>
      </c>
      <c r="AI72" s="41">
        <f>P72/'1. Väestöennuste'!R72*1000</f>
        <v>0</v>
      </c>
    </row>
    <row r="73" spans="1:35" x14ac:dyDescent="0.2">
      <c r="A73" s="30">
        <v>182</v>
      </c>
      <c r="B73" s="31" t="s">
        <v>387</v>
      </c>
      <c r="C73" s="64">
        <v>0</v>
      </c>
      <c r="D73" s="64"/>
      <c r="E73" s="64">
        <v>0</v>
      </c>
      <c r="F73" s="65">
        <v>4252</v>
      </c>
      <c r="G73" s="65">
        <v>0</v>
      </c>
      <c r="H73" s="41">
        <v>0</v>
      </c>
      <c r="I73" s="165">
        <v>0</v>
      </c>
      <c r="J73" s="41">
        <v>0</v>
      </c>
      <c r="K73" s="41">
        <v>0</v>
      </c>
      <c r="L73" s="41">
        <v>0</v>
      </c>
      <c r="M73" s="41">
        <v>0</v>
      </c>
      <c r="N73" s="41">
        <v>0</v>
      </c>
      <c r="O73" s="41">
        <v>0</v>
      </c>
      <c r="P73" s="41">
        <v>0</v>
      </c>
      <c r="T73" s="30">
        <v>182</v>
      </c>
      <c r="U73" s="31" t="s">
        <v>387</v>
      </c>
      <c r="V73" s="41">
        <f>C73/'1. Väestöennuste'!E73*1000</f>
        <v>0</v>
      </c>
      <c r="W73" s="41">
        <f>D73/'1. Väestöennuste'!F73*1000</f>
        <v>0</v>
      </c>
      <c r="X73" s="41">
        <f>E73/'1. Väestöennuste'!G73*1000</f>
        <v>0</v>
      </c>
      <c r="Y73" s="41">
        <f>F73/'1. Väestöennuste'!H73*1000</f>
        <v>206.33765225408843</v>
      </c>
      <c r="Z73" s="41">
        <f>G73/'1. Väestöennuste'!I73*1000</f>
        <v>0</v>
      </c>
      <c r="AA73" s="41">
        <f>H73/'1. Väestöennuste'!J73*1000</f>
        <v>0</v>
      </c>
      <c r="AB73" s="41">
        <f>I73/'1. Väestöennuste'!K73*1000</f>
        <v>0</v>
      </c>
      <c r="AC73" s="41">
        <f>J73/'1. Väestöennuste'!L73*1000</f>
        <v>0</v>
      </c>
      <c r="AD73" s="41">
        <f>K73/'1. Väestöennuste'!M73*1000</f>
        <v>0</v>
      </c>
      <c r="AE73" s="41">
        <f>L73/'1. Väestöennuste'!N73*1000</f>
        <v>0</v>
      </c>
      <c r="AF73" s="41">
        <f>M73/'1. Väestöennuste'!O73*1000</f>
        <v>0</v>
      </c>
      <c r="AG73" s="41">
        <f>N73/'1. Väestöennuste'!P73*1000</f>
        <v>0</v>
      </c>
      <c r="AH73" s="41">
        <f>O73/'1. Väestöennuste'!Q73*1000</f>
        <v>0</v>
      </c>
      <c r="AI73" s="41">
        <f>P73/'1. Väestöennuste'!R73*1000</f>
        <v>0</v>
      </c>
    </row>
    <row r="74" spans="1:35" x14ac:dyDescent="0.2">
      <c r="A74" s="30">
        <v>186</v>
      </c>
      <c r="B74" s="31" t="s">
        <v>388</v>
      </c>
      <c r="C74" s="64">
        <v>940</v>
      </c>
      <c r="D74" s="64"/>
      <c r="E74" s="64">
        <v>-128</v>
      </c>
      <c r="F74" s="65">
        <v>0</v>
      </c>
      <c r="G74" s="65">
        <v>137</v>
      </c>
      <c r="H74" s="41">
        <v>0</v>
      </c>
      <c r="I74" s="165">
        <v>0</v>
      </c>
      <c r="J74" s="41">
        <v>0</v>
      </c>
      <c r="K74" s="41">
        <v>0</v>
      </c>
      <c r="L74" s="41">
        <v>0</v>
      </c>
      <c r="M74" s="41">
        <v>0</v>
      </c>
      <c r="N74" s="41">
        <v>0</v>
      </c>
      <c r="O74" s="41">
        <v>0</v>
      </c>
      <c r="P74" s="41">
        <v>0</v>
      </c>
      <c r="T74" s="30">
        <v>186</v>
      </c>
      <c r="U74" s="31" t="s">
        <v>388</v>
      </c>
      <c r="V74" s="41">
        <f>C74/'1. Väestöennuste'!E74*1000</f>
        <v>22.982885085574573</v>
      </c>
      <c r="W74" s="41">
        <f>D74/'1. Väestöennuste'!F74*1000</f>
        <v>0</v>
      </c>
      <c r="X74" s="41">
        <f>E74/'1. Väestöennuste'!G74*1000</f>
        <v>-3.0066710513952835</v>
      </c>
      <c r="Y74" s="41">
        <f>F74/'1. Väestöennuste'!H74*1000</f>
        <v>0</v>
      </c>
      <c r="Z74" s="41">
        <f>G74/'1. Väestöennuste'!I74*1000</f>
        <v>3.1342225069204548</v>
      </c>
      <c r="AA74" s="41">
        <f>H74/'1. Väestöennuste'!J74*1000</f>
        <v>0</v>
      </c>
      <c r="AB74" s="41">
        <f>I74/'1. Väestöennuste'!K74*1000</f>
        <v>0</v>
      </c>
      <c r="AC74" s="41">
        <f>J74/'1. Väestöennuste'!L74*1000</f>
        <v>0</v>
      </c>
      <c r="AD74" s="41">
        <f>K74/'1. Väestöennuste'!M74*1000</f>
        <v>0</v>
      </c>
      <c r="AE74" s="41">
        <f>L74/'1. Väestöennuste'!N74*1000</f>
        <v>0</v>
      </c>
      <c r="AF74" s="41">
        <f>M74/'1. Väestöennuste'!O74*1000</f>
        <v>0</v>
      </c>
      <c r="AG74" s="41">
        <f>N74/'1. Väestöennuste'!P74*1000</f>
        <v>0</v>
      </c>
      <c r="AH74" s="41">
        <f>O74/'1. Väestöennuste'!Q74*1000</f>
        <v>0</v>
      </c>
      <c r="AI74" s="41">
        <f>P74/'1. Väestöennuste'!R74*1000</f>
        <v>0</v>
      </c>
    </row>
    <row r="75" spans="1:35" x14ac:dyDescent="0.2">
      <c r="A75" s="30">
        <v>202</v>
      </c>
      <c r="B75" s="31" t="s">
        <v>389</v>
      </c>
      <c r="C75" s="64">
        <v>0</v>
      </c>
      <c r="D75" s="64">
        <v>-500</v>
      </c>
      <c r="E75" s="64">
        <v>0</v>
      </c>
      <c r="F75" s="65">
        <v>0</v>
      </c>
      <c r="G75" s="65">
        <v>0</v>
      </c>
      <c r="H75" s="41">
        <v>0</v>
      </c>
      <c r="I75" s="165">
        <v>245</v>
      </c>
      <c r="J75" s="41">
        <v>0</v>
      </c>
      <c r="K75" s="41">
        <v>0</v>
      </c>
      <c r="L75" s="41">
        <v>0</v>
      </c>
      <c r="M75" s="41">
        <v>0</v>
      </c>
      <c r="N75" s="41">
        <v>0</v>
      </c>
      <c r="O75" s="41">
        <v>0</v>
      </c>
      <c r="P75" s="41">
        <v>0</v>
      </c>
      <c r="T75" s="30">
        <v>202</v>
      </c>
      <c r="U75" s="31" t="s">
        <v>389</v>
      </c>
      <c r="V75" s="41">
        <f>C75/'1. Väestöennuste'!E75*1000</f>
        <v>0</v>
      </c>
      <c r="W75" s="41">
        <f>D75/'1. Väestöennuste'!F75*1000</f>
        <v>-15.272771702608589</v>
      </c>
      <c r="X75" s="41">
        <f>E75/'1. Väestöennuste'!G75*1000</f>
        <v>0</v>
      </c>
      <c r="Y75" s="41">
        <f>F75/'1. Väestöennuste'!H75*1000</f>
        <v>0</v>
      </c>
      <c r="Z75" s="41">
        <f>G75/'1. Väestöennuste'!I75*1000</f>
        <v>0</v>
      </c>
      <c r="AA75" s="41">
        <f>H75/'1. Väestöennuste'!J75*1000</f>
        <v>0</v>
      </c>
      <c r="AB75" s="41">
        <f>I75/'1. Väestöennuste'!K75*1000</f>
        <v>6.9019917176099392</v>
      </c>
      <c r="AC75" s="41">
        <f>J75/'1. Väestöennuste'!L75*1000</f>
        <v>0</v>
      </c>
      <c r="AD75" s="41">
        <f>K75/'1. Väestöennuste'!M75*1000</f>
        <v>0</v>
      </c>
      <c r="AE75" s="41">
        <f>L75/'1. Väestöennuste'!N75*1000</f>
        <v>0</v>
      </c>
      <c r="AF75" s="41">
        <f>M75/'1. Väestöennuste'!O75*1000</f>
        <v>0</v>
      </c>
      <c r="AG75" s="41">
        <f>N75/'1. Väestöennuste'!P75*1000</f>
        <v>0</v>
      </c>
      <c r="AH75" s="41">
        <f>O75/'1. Väestöennuste'!Q75*1000</f>
        <v>0</v>
      </c>
      <c r="AI75" s="41">
        <f>P75/'1. Väestöennuste'!R75*1000</f>
        <v>0</v>
      </c>
    </row>
    <row r="76" spans="1:35" x14ac:dyDescent="0.2">
      <c r="A76" s="30">
        <v>204</v>
      </c>
      <c r="B76" s="31" t="s">
        <v>390</v>
      </c>
      <c r="C76" s="64">
        <v>0</v>
      </c>
      <c r="D76" s="64"/>
      <c r="E76" s="64">
        <v>0</v>
      </c>
      <c r="F76" s="65">
        <v>0</v>
      </c>
      <c r="G76" s="65">
        <v>0</v>
      </c>
      <c r="H76" s="41">
        <v>0</v>
      </c>
      <c r="I76" s="165">
        <v>0</v>
      </c>
      <c r="J76" s="41">
        <v>0</v>
      </c>
      <c r="K76" s="41">
        <v>0</v>
      </c>
      <c r="L76" s="41">
        <v>0</v>
      </c>
      <c r="M76" s="41">
        <v>0</v>
      </c>
      <c r="N76" s="41">
        <v>0</v>
      </c>
      <c r="O76" s="41">
        <v>0</v>
      </c>
      <c r="P76" s="41">
        <v>0</v>
      </c>
      <c r="T76" s="30">
        <v>204</v>
      </c>
      <c r="U76" s="31" t="s">
        <v>390</v>
      </c>
      <c r="V76" s="41">
        <f>C76/'1. Väestöennuste'!E76*1000</f>
        <v>0</v>
      </c>
      <c r="W76" s="41">
        <f>D76/'1. Väestöennuste'!F76*1000</f>
        <v>0</v>
      </c>
      <c r="X76" s="41">
        <f>E76/'1. Väestöennuste'!G76*1000</f>
        <v>0</v>
      </c>
      <c r="Y76" s="41">
        <f>F76/'1. Väestöennuste'!H76*1000</f>
        <v>0</v>
      </c>
      <c r="Z76" s="41">
        <f>G76/'1. Väestöennuste'!I76*1000</f>
        <v>0</v>
      </c>
      <c r="AA76" s="41">
        <f>H76/'1. Väestöennuste'!J76*1000</f>
        <v>0</v>
      </c>
      <c r="AB76" s="41">
        <f>I76/'1. Väestöennuste'!K76*1000</f>
        <v>0</v>
      </c>
      <c r="AC76" s="41">
        <f>J76/'1. Väestöennuste'!L76*1000</f>
        <v>0</v>
      </c>
      <c r="AD76" s="41">
        <f>K76/'1. Väestöennuste'!M76*1000</f>
        <v>0</v>
      </c>
      <c r="AE76" s="41">
        <f>L76/'1. Väestöennuste'!N76*1000</f>
        <v>0</v>
      </c>
      <c r="AF76" s="41">
        <f>M76/'1. Väestöennuste'!O76*1000</f>
        <v>0</v>
      </c>
      <c r="AG76" s="41">
        <f>N76/'1. Väestöennuste'!P76*1000</f>
        <v>0</v>
      </c>
      <c r="AH76" s="41">
        <f>O76/'1. Väestöennuste'!Q76*1000</f>
        <v>0</v>
      </c>
      <c r="AI76" s="41">
        <f>P76/'1. Väestöennuste'!R76*1000</f>
        <v>0</v>
      </c>
    </row>
    <row r="77" spans="1:35" x14ac:dyDescent="0.2">
      <c r="A77" s="30">
        <v>205</v>
      </c>
      <c r="B77" s="31" t="s">
        <v>391</v>
      </c>
      <c r="C77" s="64">
        <v>0</v>
      </c>
      <c r="D77" s="64"/>
      <c r="E77" s="78">
        <v>0</v>
      </c>
      <c r="F77" s="65">
        <v>0</v>
      </c>
      <c r="G77" s="65">
        <v>119904</v>
      </c>
      <c r="H77" s="41">
        <v>0</v>
      </c>
      <c r="I77" s="165">
        <v>0</v>
      </c>
      <c r="J77" s="41">
        <v>1852.299</v>
      </c>
      <c r="K77" s="41">
        <v>0</v>
      </c>
      <c r="L77" s="41">
        <v>0</v>
      </c>
      <c r="M77" s="41">
        <v>0</v>
      </c>
      <c r="N77" s="41">
        <v>0</v>
      </c>
      <c r="O77" s="41">
        <v>0</v>
      </c>
      <c r="P77" s="41">
        <v>0</v>
      </c>
      <c r="T77" s="30">
        <v>205</v>
      </c>
      <c r="U77" s="31" t="s">
        <v>391</v>
      </c>
      <c r="V77" s="41">
        <f>C77/'1. Väestöennuste'!E77*1000</f>
        <v>0</v>
      </c>
      <c r="W77" s="41">
        <f>D77/'1. Väestöennuste'!F77*1000</f>
        <v>0</v>
      </c>
      <c r="X77" s="41">
        <f>E77/'1. Väestöennuste'!G77*1000</f>
        <v>0</v>
      </c>
      <c r="Y77" s="41">
        <f>F77/'1. Väestöennuste'!H77*1000</f>
        <v>0</v>
      </c>
      <c r="Z77" s="41">
        <f>G77/'1. Väestöennuste'!I77*1000</f>
        <v>3266.3379552698248</v>
      </c>
      <c r="AA77" s="41">
        <f>H77/'1. Väestöennuste'!J77*1000</f>
        <v>0</v>
      </c>
      <c r="AB77" s="41">
        <f>I77/'1. Väestöennuste'!K77*1000</f>
        <v>0</v>
      </c>
      <c r="AC77" s="41">
        <f>J77/'1. Väestöennuste'!L77*1000</f>
        <v>51.03173816017852</v>
      </c>
      <c r="AD77" s="41">
        <f>K77/'1. Väestöennuste'!M77*1000</f>
        <v>0</v>
      </c>
      <c r="AE77" s="41">
        <f>L77/'1. Väestöennuste'!N77*1000</f>
        <v>0</v>
      </c>
      <c r="AF77" s="41">
        <f>M77/'1. Väestöennuste'!O77*1000</f>
        <v>0</v>
      </c>
      <c r="AG77" s="41">
        <f>N77/'1. Väestöennuste'!P77*1000</f>
        <v>0</v>
      </c>
      <c r="AH77" s="41">
        <f>O77/'1. Väestöennuste'!Q77*1000</f>
        <v>0</v>
      </c>
      <c r="AI77" s="41">
        <f>P77/'1. Väestöennuste'!R77*1000</f>
        <v>0</v>
      </c>
    </row>
    <row r="78" spans="1:35" x14ac:dyDescent="0.2">
      <c r="A78" s="30">
        <v>208</v>
      </c>
      <c r="B78" s="31" t="s">
        <v>392</v>
      </c>
      <c r="C78" s="64">
        <v>0</v>
      </c>
      <c r="D78" s="64"/>
      <c r="E78" s="64">
        <v>906</v>
      </c>
      <c r="F78" s="65">
        <v>0</v>
      </c>
      <c r="G78" s="65">
        <v>0</v>
      </c>
      <c r="H78" s="41">
        <v>0</v>
      </c>
      <c r="I78" s="165">
        <v>0</v>
      </c>
      <c r="J78" s="41">
        <v>0</v>
      </c>
      <c r="K78" s="41">
        <v>0</v>
      </c>
      <c r="L78" s="41">
        <v>0</v>
      </c>
      <c r="M78" s="41">
        <v>0</v>
      </c>
      <c r="N78" s="41">
        <v>0</v>
      </c>
      <c r="O78" s="41">
        <v>0</v>
      </c>
      <c r="P78" s="41">
        <v>0</v>
      </c>
      <c r="T78" s="30">
        <v>208</v>
      </c>
      <c r="U78" s="31" t="s">
        <v>392</v>
      </c>
      <c r="V78" s="41">
        <f>C78/'1. Väestöennuste'!E78*1000</f>
        <v>0</v>
      </c>
      <c r="W78" s="41">
        <f>D78/'1. Väestöennuste'!F78*1000</f>
        <v>0</v>
      </c>
      <c r="X78" s="41">
        <f>E78/'1. Väestöennuste'!G78*1000</f>
        <v>72.387344199424732</v>
      </c>
      <c r="Y78" s="41">
        <f>F78/'1. Väestöennuste'!H78*1000</f>
        <v>0</v>
      </c>
      <c r="Z78" s="41">
        <f>G78/'1. Väestöennuste'!I78*1000</f>
        <v>0</v>
      </c>
      <c r="AA78" s="41">
        <f>H78/'1. Väestöennuste'!J78*1000</f>
        <v>0</v>
      </c>
      <c r="AB78" s="41">
        <f>I78/'1. Väestöennuste'!K78*1000</f>
        <v>0</v>
      </c>
      <c r="AC78" s="41">
        <f>J78/'1. Väestöennuste'!L78*1000</f>
        <v>0</v>
      </c>
      <c r="AD78" s="41">
        <f>K78/'1. Väestöennuste'!M78*1000</f>
        <v>0</v>
      </c>
      <c r="AE78" s="41">
        <f>L78/'1. Väestöennuste'!N78*1000</f>
        <v>0</v>
      </c>
      <c r="AF78" s="41">
        <f>M78/'1. Väestöennuste'!O78*1000</f>
        <v>0</v>
      </c>
      <c r="AG78" s="41">
        <f>N78/'1. Väestöennuste'!P78*1000</f>
        <v>0</v>
      </c>
      <c r="AH78" s="41">
        <f>O78/'1. Väestöennuste'!Q78*1000</f>
        <v>0</v>
      </c>
      <c r="AI78" s="41">
        <f>P78/'1. Väestöennuste'!R78*1000</f>
        <v>0</v>
      </c>
    </row>
    <row r="79" spans="1:35" x14ac:dyDescent="0.2">
      <c r="A79" s="30">
        <v>211</v>
      </c>
      <c r="B79" s="31" t="s">
        <v>393</v>
      </c>
      <c r="C79" s="64">
        <v>0</v>
      </c>
      <c r="D79" s="64"/>
      <c r="E79" s="64">
        <v>0</v>
      </c>
      <c r="F79" s="65">
        <v>0</v>
      </c>
      <c r="G79" s="65">
        <v>0</v>
      </c>
      <c r="H79" s="41">
        <v>0</v>
      </c>
      <c r="I79" s="165">
        <v>0</v>
      </c>
      <c r="J79" s="41">
        <v>0</v>
      </c>
      <c r="K79" s="41">
        <v>0</v>
      </c>
      <c r="L79" s="41">
        <v>0</v>
      </c>
      <c r="M79" s="41">
        <v>0</v>
      </c>
      <c r="N79" s="41">
        <v>0</v>
      </c>
      <c r="O79" s="41">
        <v>0</v>
      </c>
      <c r="P79" s="41">
        <v>0</v>
      </c>
      <c r="T79" s="30">
        <v>211</v>
      </c>
      <c r="U79" s="31" t="s">
        <v>393</v>
      </c>
      <c r="V79" s="41">
        <f>C79/'1. Väestöennuste'!E79*1000</f>
        <v>0</v>
      </c>
      <c r="W79" s="41">
        <f>D79/'1. Väestöennuste'!F79*1000</f>
        <v>0</v>
      </c>
      <c r="X79" s="41">
        <f>E79/'1. Väestöennuste'!G79*1000</f>
        <v>0</v>
      </c>
      <c r="Y79" s="41">
        <f>F79/'1. Väestöennuste'!H79*1000</f>
        <v>0</v>
      </c>
      <c r="Z79" s="41">
        <f>G79/'1. Väestöennuste'!I79*1000</f>
        <v>0</v>
      </c>
      <c r="AA79" s="41">
        <f>H79/'1. Väestöennuste'!J79*1000</f>
        <v>0</v>
      </c>
      <c r="AB79" s="41">
        <f>I79/'1. Väestöennuste'!K79*1000</f>
        <v>0</v>
      </c>
      <c r="AC79" s="41">
        <f>J79/'1. Väestöennuste'!L79*1000</f>
        <v>0</v>
      </c>
      <c r="AD79" s="41">
        <f>K79/'1. Väestöennuste'!M79*1000</f>
        <v>0</v>
      </c>
      <c r="AE79" s="41">
        <f>L79/'1. Väestöennuste'!N79*1000</f>
        <v>0</v>
      </c>
      <c r="AF79" s="41">
        <f>M79/'1. Väestöennuste'!O79*1000</f>
        <v>0</v>
      </c>
      <c r="AG79" s="41">
        <f>N79/'1. Väestöennuste'!P79*1000</f>
        <v>0</v>
      </c>
      <c r="AH79" s="41">
        <f>O79/'1. Väestöennuste'!Q79*1000</f>
        <v>0</v>
      </c>
      <c r="AI79" s="41">
        <f>P79/'1. Väestöennuste'!R79*1000</f>
        <v>0</v>
      </c>
    </row>
    <row r="80" spans="1:35" x14ac:dyDescent="0.2">
      <c r="A80" s="30">
        <v>213</v>
      </c>
      <c r="B80" s="31" t="s">
        <v>394</v>
      </c>
      <c r="C80" s="64">
        <v>0</v>
      </c>
      <c r="D80" s="64"/>
      <c r="E80" s="64">
        <v>0</v>
      </c>
      <c r="F80" s="65">
        <v>0</v>
      </c>
      <c r="G80" s="65">
        <v>0</v>
      </c>
      <c r="H80" s="41">
        <v>0</v>
      </c>
      <c r="I80" s="165">
        <v>0</v>
      </c>
      <c r="J80" s="41">
        <v>0</v>
      </c>
      <c r="K80" s="41">
        <v>0</v>
      </c>
      <c r="L80" s="41">
        <v>0</v>
      </c>
      <c r="M80" s="41">
        <v>0</v>
      </c>
      <c r="N80" s="41">
        <v>0</v>
      </c>
      <c r="O80" s="41">
        <v>0</v>
      </c>
      <c r="P80" s="41">
        <v>0</v>
      </c>
      <c r="T80" s="30">
        <v>213</v>
      </c>
      <c r="U80" s="31" t="s">
        <v>394</v>
      </c>
      <c r="V80" s="41">
        <f>C80/'1. Väestöennuste'!E80*1000</f>
        <v>0</v>
      </c>
      <c r="W80" s="41">
        <f>D80/'1. Väestöennuste'!F80*1000</f>
        <v>0</v>
      </c>
      <c r="X80" s="41">
        <f>E80/'1. Väestöennuste'!G80*1000</f>
        <v>0</v>
      </c>
      <c r="Y80" s="41">
        <f>F80/'1. Väestöennuste'!H80*1000</f>
        <v>0</v>
      </c>
      <c r="Z80" s="41">
        <f>G80/'1. Väestöennuste'!I80*1000</f>
        <v>0</v>
      </c>
      <c r="AA80" s="41">
        <f>H80/'1. Väestöennuste'!J80*1000</f>
        <v>0</v>
      </c>
      <c r="AB80" s="41">
        <f>I80/'1. Väestöennuste'!K80*1000</f>
        <v>0</v>
      </c>
      <c r="AC80" s="41">
        <f>J80/'1. Väestöennuste'!L80*1000</f>
        <v>0</v>
      </c>
      <c r="AD80" s="41">
        <f>K80/'1. Väestöennuste'!M80*1000</f>
        <v>0</v>
      </c>
      <c r="AE80" s="41">
        <f>L80/'1. Väestöennuste'!N80*1000</f>
        <v>0</v>
      </c>
      <c r="AF80" s="41">
        <f>M80/'1. Väestöennuste'!O80*1000</f>
        <v>0</v>
      </c>
      <c r="AG80" s="41">
        <f>N80/'1. Väestöennuste'!P80*1000</f>
        <v>0</v>
      </c>
      <c r="AH80" s="41">
        <f>O80/'1. Väestöennuste'!Q80*1000</f>
        <v>0</v>
      </c>
      <c r="AI80" s="41">
        <f>P80/'1. Väestöennuste'!R80*1000</f>
        <v>0</v>
      </c>
    </row>
    <row r="81" spans="1:35" x14ac:dyDescent="0.2">
      <c r="A81" s="30">
        <v>214</v>
      </c>
      <c r="B81" s="31" t="s">
        <v>395</v>
      </c>
      <c r="C81" s="64">
        <v>0</v>
      </c>
      <c r="D81" s="64"/>
      <c r="E81" s="64">
        <v>0</v>
      </c>
      <c r="F81" s="65">
        <v>0</v>
      </c>
      <c r="G81" s="65">
        <v>0</v>
      </c>
      <c r="H81" s="41">
        <v>0</v>
      </c>
      <c r="I81" s="165">
        <v>0</v>
      </c>
      <c r="J81" s="41">
        <v>1706.6552799999999</v>
      </c>
      <c r="K81" s="41">
        <v>0</v>
      </c>
      <c r="L81" s="41">
        <v>0</v>
      </c>
      <c r="M81" s="41">
        <v>0</v>
      </c>
      <c r="N81" s="41">
        <v>0</v>
      </c>
      <c r="O81" s="41">
        <v>0</v>
      </c>
      <c r="P81" s="41">
        <v>0</v>
      </c>
      <c r="T81" s="30">
        <v>214</v>
      </c>
      <c r="U81" s="31" t="s">
        <v>395</v>
      </c>
      <c r="V81" s="41">
        <f>C81/'1. Väestöennuste'!E81*1000</f>
        <v>0</v>
      </c>
      <c r="W81" s="41">
        <f>D81/'1. Väestöennuste'!F81*1000</f>
        <v>0</v>
      </c>
      <c r="X81" s="41">
        <f>E81/'1. Väestöennuste'!G81*1000</f>
        <v>0</v>
      </c>
      <c r="Y81" s="41">
        <f>F81/'1. Väestöennuste'!H81*1000</f>
        <v>0</v>
      </c>
      <c r="Z81" s="41">
        <f>G81/'1. Väestöennuste'!I81*1000</f>
        <v>0</v>
      </c>
      <c r="AA81" s="41">
        <f>H81/'1. Väestöennuste'!J81*1000</f>
        <v>0</v>
      </c>
      <c r="AB81" s="41">
        <f>I81/'1. Väestöennuste'!K81*1000</f>
        <v>0</v>
      </c>
      <c r="AC81" s="41">
        <f>J81/'1. Väestöennuste'!L81*1000</f>
        <v>136.22727330779054</v>
      </c>
      <c r="AD81" s="41">
        <f>K81/'1. Väestöennuste'!M81*1000</f>
        <v>0</v>
      </c>
      <c r="AE81" s="41">
        <f>L81/'1. Väestöennuste'!N81*1000</f>
        <v>0</v>
      </c>
      <c r="AF81" s="41">
        <f>M81/'1. Väestöennuste'!O81*1000</f>
        <v>0</v>
      </c>
      <c r="AG81" s="41">
        <f>N81/'1. Väestöennuste'!P81*1000</f>
        <v>0</v>
      </c>
      <c r="AH81" s="41">
        <f>O81/'1. Väestöennuste'!Q81*1000</f>
        <v>0</v>
      </c>
      <c r="AI81" s="41">
        <f>P81/'1. Väestöennuste'!R81*1000</f>
        <v>0</v>
      </c>
    </row>
    <row r="82" spans="1:35" x14ac:dyDescent="0.2">
      <c r="A82" s="30">
        <v>216</v>
      </c>
      <c r="B82" s="31" t="s">
        <v>396</v>
      </c>
      <c r="C82" s="64">
        <v>-37</v>
      </c>
      <c r="D82" s="64"/>
      <c r="E82" s="64">
        <v>320</v>
      </c>
      <c r="F82" s="65">
        <v>18</v>
      </c>
      <c r="G82" s="65">
        <v>-134</v>
      </c>
      <c r="H82" s="41">
        <v>0</v>
      </c>
      <c r="I82" s="165">
        <v>0</v>
      </c>
      <c r="J82" s="41">
        <v>0</v>
      </c>
      <c r="K82" s="41">
        <v>0</v>
      </c>
      <c r="L82" s="41">
        <v>0</v>
      </c>
      <c r="M82" s="41">
        <v>0</v>
      </c>
      <c r="N82" s="41">
        <v>0</v>
      </c>
      <c r="O82" s="41">
        <v>0</v>
      </c>
      <c r="P82" s="41">
        <v>0</v>
      </c>
      <c r="T82" s="30">
        <v>216</v>
      </c>
      <c r="U82" s="31" t="s">
        <v>396</v>
      </c>
      <c r="V82" s="41">
        <f>C82/'1. Väestöennuste'!E82*1000</f>
        <v>-25.307797537619699</v>
      </c>
      <c r="W82" s="41">
        <f>D82/'1. Väestöennuste'!F82*1000</f>
        <v>0</v>
      </c>
      <c r="X82" s="41">
        <f>E82/'1. Väestöennuste'!G82*1000</f>
        <v>227.27272727272725</v>
      </c>
      <c r="Y82" s="41">
        <f>F82/'1. Väestöennuste'!H82*1000</f>
        <v>13.303769401330378</v>
      </c>
      <c r="Z82" s="41">
        <f>G82/'1. Väestöennuste'!I82*1000</f>
        <v>-100.07468259895444</v>
      </c>
      <c r="AA82" s="41">
        <f>H82/'1. Väestöennuste'!J82*1000</f>
        <v>0</v>
      </c>
      <c r="AB82" s="41">
        <f>I82/'1. Väestöennuste'!K82*1000</f>
        <v>0</v>
      </c>
      <c r="AC82" s="41">
        <f>J82/'1. Väestöennuste'!L82*1000</f>
        <v>0</v>
      </c>
      <c r="AD82" s="41">
        <f>K82/'1. Väestöennuste'!M82*1000</f>
        <v>0</v>
      </c>
      <c r="AE82" s="41">
        <f>L82/'1. Väestöennuste'!N82*1000</f>
        <v>0</v>
      </c>
      <c r="AF82" s="41">
        <f>M82/'1. Väestöennuste'!O82*1000</f>
        <v>0</v>
      </c>
      <c r="AG82" s="41">
        <f>N82/'1. Väestöennuste'!P82*1000</f>
        <v>0</v>
      </c>
      <c r="AH82" s="41">
        <f>O82/'1. Väestöennuste'!Q82*1000</f>
        <v>0</v>
      </c>
      <c r="AI82" s="41">
        <f>P82/'1. Väestöennuste'!R82*1000</f>
        <v>0</v>
      </c>
    </row>
    <row r="83" spans="1:35" x14ac:dyDescent="0.2">
      <c r="A83" s="30">
        <v>217</v>
      </c>
      <c r="B83" s="31" t="s">
        <v>397</v>
      </c>
      <c r="C83" s="64">
        <v>0</v>
      </c>
      <c r="D83" s="64"/>
      <c r="E83" s="64">
        <v>0</v>
      </c>
      <c r="F83" s="65">
        <v>0</v>
      </c>
      <c r="G83" s="65">
        <v>0</v>
      </c>
      <c r="H83" s="41">
        <v>0</v>
      </c>
      <c r="I83" s="165">
        <v>0</v>
      </c>
      <c r="J83" s="41">
        <v>0</v>
      </c>
      <c r="K83" s="41">
        <v>0</v>
      </c>
      <c r="L83" s="41">
        <v>0</v>
      </c>
      <c r="M83" s="41">
        <v>0</v>
      </c>
      <c r="N83" s="41">
        <v>0</v>
      </c>
      <c r="O83" s="41">
        <v>0</v>
      </c>
      <c r="P83" s="41">
        <v>0</v>
      </c>
      <c r="T83" s="30">
        <v>217</v>
      </c>
      <c r="U83" s="31" t="s">
        <v>397</v>
      </c>
      <c r="V83" s="41">
        <f>C83/'1. Väestöennuste'!E83*1000</f>
        <v>0</v>
      </c>
      <c r="W83" s="41">
        <f>D83/'1. Väestöennuste'!F83*1000</f>
        <v>0</v>
      </c>
      <c r="X83" s="41">
        <f>E83/'1. Väestöennuste'!G83*1000</f>
        <v>0</v>
      </c>
      <c r="Y83" s="41">
        <f>F83/'1. Väestöennuste'!H83*1000</f>
        <v>0</v>
      </c>
      <c r="Z83" s="41">
        <f>G83/'1. Väestöennuste'!I83*1000</f>
        <v>0</v>
      </c>
      <c r="AA83" s="41">
        <f>H83/'1. Väestöennuste'!J83*1000</f>
        <v>0</v>
      </c>
      <c r="AB83" s="41">
        <f>I83/'1. Väestöennuste'!K83*1000</f>
        <v>0</v>
      </c>
      <c r="AC83" s="41">
        <f>J83/'1. Väestöennuste'!L83*1000</f>
        <v>0</v>
      </c>
      <c r="AD83" s="41">
        <f>K83/'1. Väestöennuste'!M83*1000</f>
        <v>0</v>
      </c>
      <c r="AE83" s="41">
        <f>L83/'1. Väestöennuste'!N83*1000</f>
        <v>0</v>
      </c>
      <c r="AF83" s="41">
        <f>M83/'1. Väestöennuste'!O83*1000</f>
        <v>0</v>
      </c>
      <c r="AG83" s="41">
        <f>N83/'1. Väestöennuste'!P83*1000</f>
        <v>0</v>
      </c>
      <c r="AH83" s="41">
        <f>O83/'1. Väestöennuste'!Q83*1000</f>
        <v>0</v>
      </c>
      <c r="AI83" s="41">
        <f>P83/'1. Väestöennuste'!R83*1000</f>
        <v>0</v>
      </c>
    </row>
    <row r="84" spans="1:35" x14ac:dyDescent="0.2">
      <c r="A84" s="30">
        <v>218</v>
      </c>
      <c r="B84" s="31" t="s">
        <v>398</v>
      </c>
      <c r="C84" s="64">
        <v>0</v>
      </c>
      <c r="D84" s="64"/>
      <c r="E84" s="64">
        <v>0</v>
      </c>
      <c r="F84" s="65">
        <v>0</v>
      </c>
      <c r="G84" s="65">
        <v>0</v>
      </c>
      <c r="H84" s="41">
        <v>0</v>
      </c>
      <c r="I84" s="165">
        <v>0</v>
      </c>
      <c r="J84" s="41">
        <v>0</v>
      </c>
      <c r="K84" s="41">
        <v>-31.13373</v>
      </c>
      <c r="L84" s="41">
        <v>0</v>
      </c>
      <c r="M84" s="41">
        <v>0</v>
      </c>
      <c r="N84" s="41">
        <v>0</v>
      </c>
      <c r="O84" s="41">
        <v>0</v>
      </c>
      <c r="P84" s="41">
        <v>0</v>
      </c>
      <c r="T84" s="30">
        <v>218</v>
      </c>
      <c r="U84" s="31" t="s">
        <v>398</v>
      </c>
      <c r="V84" s="41">
        <f>C84/'1. Väestöennuste'!E84*1000</f>
        <v>0</v>
      </c>
      <c r="W84" s="41">
        <f>D84/'1. Väestöennuste'!F84*1000</f>
        <v>0</v>
      </c>
      <c r="X84" s="41">
        <f>E84/'1. Väestöennuste'!G84*1000</f>
        <v>0</v>
      </c>
      <c r="Y84" s="41">
        <f>F84/'1. Väestöennuste'!H84*1000</f>
        <v>0</v>
      </c>
      <c r="Z84" s="41">
        <f>G84/'1. Väestöennuste'!I84*1000</f>
        <v>0</v>
      </c>
      <c r="AA84" s="41">
        <f>H84/'1. Väestöennuste'!J84*1000</f>
        <v>0</v>
      </c>
      <c r="AB84" s="41">
        <f>I84/'1. Väestöennuste'!K84*1000</f>
        <v>0</v>
      </c>
      <c r="AC84" s="41">
        <f>J84/'1. Väestöennuste'!L84*1000</f>
        <v>0</v>
      </c>
      <c r="AD84" s="41">
        <f>K84/'1. Väestöennuste'!M84*1000</f>
        <v>-26.206843434343433</v>
      </c>
      <c r="AE84" s="41">
        <f>L84/'1. Väestöennuste'!N84*1000</f>
        <v>0</v>
      </c>
      <c r="AF84" s="41">
        <f>M84/'1. Väestöennuste'!O84*1000</f>
        <v>0</v>
      </c>
      <c r="AG84" s="41">
        <f>N84/'1. Väestöennuste'!P84*1000</f>
        <v>0</v>
      </c>
      <c r="AH84" s="41">
        <f>O84/'1. Väestöennuste'!Q84*1000</f>
        <v>0</v>
      </c>
      <c r="AI84" s="41">
        <f>P84/'1. Väestöennuste'!R84*1000</f>
        <v>0</v>
      </c>
    </row>
    <row r="85" spans="1:35" x14ac:dyDescent="0.2">
      <c r="A85" s="30">
        <v>224</v>
      </c>
      <c r="B85" s="31" t="s">
        <v>399</v>
      </c>
      <c r="C85" s="64">
        <v>-32</v>
      </c>
      <c r="D85" s="64">
        <v>-21</v>
      </c>
      <c r="E85" s="64">
        <v>-38</v>
      </c>
      <c r="F85" s="65">
        <v>0</v>
      </c>
      <c r="G85" s="65">
        <v>0</v>
      </c>
      <c r="H85" s="41">
        <v>0</v>
      </c>
      <c r="I85" s="165">
        <v>0</v>
      </c>
      <c r="J85" s="41">
        <v>0</v>
      </c>
      <c r="K85" s="41">
        <v>0</v>
      </c>
      <c r="L85" s="41">
        <v>0</v>
      </c>
      <c r="M85" s="41">
        <v>0</v>
      </c>
      <c r="N85" s="41">
        <v>0</v>
      </c>
      <c r="O85" s="41">
        <v>0</v>
      </c>
      <c r="P85" s="41">
        <v>0</v>
      </c>
      <c r="T85" s="30">
        <v>224</v>
      </c>
      <c r="U85" s="31" t="s">
        <v>399</v>
      </c>
      <c r="V85" s="41">
        <f>C85/'1. Väestöennuste'!E85*1000</f>
        <v>-3.5678447987512545</v>
      </c>
      <c r="W85" s="41">
        <f>D85/'1. Väestöennuste'!F85*1000</f>
        <v>-2.356637863315004</v>
      </c>
      <c r="X85" s="41">
        <f>E85/'1. Väestöennuste'!G85*1000</f>
        <v>-4.2696629213483153</v>
      </c>
      <c r="Y85" s="41">
        <f>F85/'1. Väestöennuste'!H85*1000</f>
        <v>0</v>
      </c>
      <c r="Z85" s="41">
        <f>G85/'1. Väestöennuste'!I85*1000</f>
        <v>0</v>
      </c>
      <c r="AA85" s="41">
        <f>H85/'1. Väestöennuste'!J85*1000</f>
        <v>0</v>
      </c>
      <c r="AB85" s="41">
        <f>I85/'1. Väestöennuste'!K85*1000</f>
        <v>0</v>
      </c>
      <c r="AC85" s="41">
        <f>J85/'1. Väestöennuste'!L85*1000</f>
        <v>0</v>
      </c>
      <c r="AD85" s="41">
        <f>K85/'1. Väestöennuste'!M85*1000</f>
        <v>0</v>
      </c>
      <c r="AE85" s="41">
        <f>L85/'1. Väestöennuste'!N85*1000</f>
        <v>0</v>
      </c>
      <c r="AF85" s="41">
        <f>M85/'1. Väestöennuste'!O85*1000</f>
        <v>0</v>
      </c>
      <c r="AG85" s="41">
        <f>N85/'1. Väestöennuste'!P85*1000</f>
        <v>0</v>
      </c>
      <c r="AH85" s="41">
        <f>O85/'1. Väestöennuste'!Q85*1000</f>
        <v>0</v>
      </c>
      <c r="AI85" s="41">
        <f>P85/'1. Väestöennuste'!R85*1000</f>
        <v>0</v>
      </c>
    </row>
    <row r="86" spans="1:35" x14ac:dyDescent="0.2">
      <c r="A86" s="30">
        <v>226</v>
      </c>
      <c r="B86" s="31" t="s">
        <v>400</v>
      </c>
      <c r="C86" s="64">
        <v>0</v>
      </c>
      <c r="D86" s="64"/>
      <c r="E86" s="64">
        <v>0</v>
      </c>
      <c r="F86" s="65">
        <v>0</v>
      </c>
      <c r="G86" s="79">
        <v>0</v>
      </c>
      <c r="H86" s="41">
        <v>0</v>
      </c>
      <c r="I86" s="165">
        <v>0</v>
      </c>
      <c r="J86" s="41">
        <v>0</v>
      </c>
      <c r="K86" s="41">
        <v>-97.019940000000005</v>
      </c>
      <c r="L86" s="41">
        <v>0</v>
      </c>
      <c r="M86" s="41">
        <v>0</v>
      </c>
      <c r="N86" s="41">
        <v>0</v>
      </c>
      <c r="O86" s="41">
        <v>0</v>
      </c>
      <c r="P86" s="41">
        <v>0</v>
      </c>
      <c r="T86" s="30">
        <v>226</v>
      </c>
      <c r="U86" s="31" t="s">
        <v>400</v>
      </c>
      <c r="V86" s="41">
        <f>C86/'1. Väestöennuste'!E86*1000</f>
        <v>0</v>
      </c>
      <c r="W86" s="41">
        <f>D86/'1. Väestöennuste'!F86*1000</f>
        <v>0</v>
      </c>
      <c r="X86" s="41">
        <f>E86/'1. Väestöennuste'!G86*1000</f>
        <v>0</v>
      </c>
      <c r="Y86" s="41">
        <f>F86/'1. Väestöennuste'!H86*1000</f>
        <v>0</v>
      </c>
      <c r="Z86" s="41">
        <f>G86/'1. Väestöennuste'!I86*1000</f>
        <v>0</v>
      </c>
      <c r="AA86" s="41">
        <f>H86/'1. Väestöennuste'!J86*1000</f>
        <v>0</v>
      </c>
      <c r="AB86" s="41">
        <f>I86/'1. Väestöennuste'!K86*1000</f>
        <v>0</v>
      </c>
      <c r="AC86" s="41">
        <f>J86/'1. Väestöennuste'!L86*1000</f>
        <v>0</v>
      </c>
      <c r="AD86" s="41">
        <f>K86/'1. Väestöennuste'!M86*1000</f>
        <v>-26.764121379310346</v>
      </c>
      <c r="AE86" s="41">
        <f>L86/'1. Väestöennuste'!N86*1000</f>
        <v>0</v>
      </c>
      <c r="AF86" s="41">
        <f>M86/'1. Väestöennuste'!O86*1000</f>
        <v>0</v>
      </c>
      <c r="AG86" s="41">
        <f>N86/'1. Väestöennuste'!P86*1000</f>
        <v>0</v>
      </c>
      <c r="AH86" s="41">
        <f>O86/'1. Väestöennuste'!Q86*1000</f>
        <v>0</v>
      </c>
      <c r="AI86" s="41">
        <f>P86/'1. Väestöennuste'!R86*1000</f>
        <v>0</v>
      </c>
    </row>
    <row r="87" spans="1:35" x14ac:dyDescent="0.2">
      <c r="A87" s="30">
        <v>230</v>
      </c>
      <c r="B87" s="31" t="s">
        <v>401</v>
      </c>
      <c r="C87" s="64">
        <v>0</v>
      </c>
      <c r="D87" s="64"/>
      <c r="E87" s="64">
        <v>0</v>
      </c>
      <c r="F87" s="65">
        <v>0</v>
      </c>
      <c r="G87" s="65">
        <v>0</v>
      </c>
      <c r="H87" s="41">
        <v>0</v>
      </c>
      <c r="I87" s="165">
        <v>0</v>
      </c>
      <c r="J87" s="41">
        <v>0</v>
      </c>
      <c r="K87" s="41">
        <v>-25.68591</v>
      </c>
      <c r="L87" s="41">
        <v>0</v>
      </c>
      <c r="M87" s="41">
        <v>0</v>
      </c>
      <c r="N87" s="41">
        <v>0</v>
      </c>
      <c r="O87" s="41">
        <v>0</v>
      </c>
      <c r="P87" s="41">
        <v>0</v>
      </c>
      <c r="T87" s="30">
        <v>230</v>
      </c>
      <c r="U87" s="31" t="s">
        <v>401</v>
      </c>
      <c r="V87" s="41">
        <f>C87/'1. Väestöennuste'!E87*1000</f>
        <v>0</v>
      </c>
      <c r="W87" s="41">
        <f>D87/'1. Väestöennuste'!F87*1000</f>
        <v>0</v>
      </c>
      <c r="X87" s="41">
        <f>E87/'1. Väestöennuste'!G87*1000</f>
        <v>0</v>
      </c>
      <c r="Y87" s="41">
        <f>F87/'1. Väestöennuste'!H87*1000</f>
        <v>0</v>
      </c>
      <c r="Z87" s="41">
        <f>G87/'1. Väestöennuste'!I87*1000</f>
        <v>0</v>
      </c>
      <c r="AA87" s="41">
        <f>H87/'1. Väestöennuste'!J87*1000</f>
        <v>0</v>
      </c>
      <c r="AB87" s="41">
        <f>I87/'1. Väestöennuste'!K87*1000</f>
        <v>0</v>
      </c>
      <c r="AC87" s="41">
        <f>J87/'1. Väestöennuste'!L87*1000</f>
        <v>0</v>
      </c>
      <c r="AD87" s="41">
        <f>K87/'1. Väestöennuste'!M87*1000</f>
        <v>-11.591114620938628</v>
      </c>
      <c r="AE87" s="41">
        <f>L87/'1. Väestöennuste'!N87*1000</f>
        <v>0</v>
      </c>
      <c r="AF87" s="41">
        <f>M87/'1. Väestöennuste'!O87*1000</f>
        <v>0</v>
      </c>
      <c r="AG87" s="41">
        <f>N87/'1. Väestöennuste'!P87*1000</f>
        <v>0</v>
      </c>
      <c r="AH87" s="41">
        <f>O87/'1. Väestöennuste'!Q87*1000</f>
        <v>0</v>
      </c>
      <c r="AI87" s="41">
        <f>P87/'1. Väestöennuste'!R87*1000</f>
        <v>0</v>
      </c>
    </row>
    <row r="88" spans="1:35" x14ac:dyDescent="0.2">
      <c r="A88" s="30">
        <v>231</v>
      </c>
      <c r="B88" s="31" t="s">
        <v>402</v>
      </c>
      <c r="C88" s="64">
        <v>0</v>
      </c>
      <c r="D88" s="64">
        <v>6</v>
      </c>
      <c r="E88" s="64">
        <v>0</v>
      </c>
      <c r="F88" s="65">
        <v>0</v>
      </c>
      <c r="G88" s="65">
        <v>0</v>
      </c>
      <c r="H88" s="41">
        <v>0</v>
      </c>
      <c r="I88" s="165">
        <v>0</v>
      </c>
      <c r="J88" s="41">
        <v>0</v>
      </c>
      <c r="K88" s="41">
        <v>0</v>
      </c>
      <c r="L88" s="41">
        <v>0</v>
      </c>
      <c r="M88" s="41">
        <v>0</v>
      </c>
      <c r="N88" s="41">
        <v>0</v>
      </c>
      <c r="O88" s="41">
        <v>0</v>
      </c>
      <c r="P88" s="41">
        <v>0</v>
      </c>
      <c r="T88" s="30">
        <v>231</v>
      </c>
      <c r="U88" s="31" t="s">
        <v>402</v>
      </c>
      <c r="V88" s="41">
        <f>C88/'1. Väestöennuste'!E88*1000</f>
        <v>0</v>
      </c>
      <c r="W88" s="41">
        <f>D88/'1. Väestöennuste'!F88*1000</f>
        <v>4.6296296296296298</v>
      </c>
      <c r="X88" s="41">
        <f>E88/'1. Väestöennuste'!G88*1000</f>
        <v>0</v>
      </c>
      <c r="Y88" s="41">
        <f>F88/'1. Väestöennuste'!H88*1000</f>
        <v>0</v>
      </c>
      <c r="Z88" s="41">
        <f>G88/'1. Väestöennuste'!I88*1000</f>
        <v>0</v>
      </c>
      <c r="AA88" s="41">
        <f>H88/'1. Väestöennuste'!J88*1000</f>
        <v>0</v>
      </c>
      <c r="AB88" s="41">
        <f>I88/'1. Väestöennuste'!K88*1000</f>
        <v>0</v>
      </c>
      <c r="AC88" s="41">
        <f>J88/'1. Väestöennuste'!L88*1000</f>
        <v>0</v>
      </c>
      <c r="AD88" s="41">
        <f>K88/'1. Väestöennuste'!M88*1000</f>
        <v>0</v>
      </c>
      <c r="AE88" s="41">
        <f>L88/'1. Väestöennuste'!N88*1000</f>
        <v>0</v>
      </c>
      <c r="AF88" s="41">
        <f>M88/'1. Väestöennuste'!O88*1000</f>
        <v>0</v>
      </c>
      <c r="AG88" s="41">
        <f>N88/'1. Väestöennuste'!P88*1000</f>
        <v>0</v>
      </c>
      <c r="AH88" s="41">
        <f>O88/'1. Väestöennuste'!Q88*1000</f>
        <v>0</v>
      </c>
      <c r="AI88" s="41">
        <f>P88/'1. Väestöennuste'!R88*1000</f>
        <v>0</v>
      </c>
    </row>
    <row r="89" spans="1:35" x14ac:dyDescent="0.2">
      <c r="A89" s="30">
        <v>232</v>
      </c>
      <c r="B89" s="31" t="s">
        <v>403</v>
      </c>
      <c r="C89" s="64">
        <v>0</v>
      </c>
      <c r="D89" s="64"/>
      <c r="E89" s="64">
        <v>0</v>
      </c>
      <c r="F89" s="65">
        <v>0</v>
      </c>
      <c r="G89" s="65">
        <v>0</v>
      </c>
      <c r="H89" s="41">
        <v>0</v>
      </c>
      <c r="I89" s="165">
        <v>0</v>
      </c>
      <c r="J89" s="41">
        <v>0</v>
      </c>
      <c r="K89" s="41">
        <v>336.51478000000003</v>
      </c>
      <c r="L89" s="41">
        <v>0</v>
      </c>
      <c r="M89" s="41">
        <v>0</v>
      </c>
      <c r="N89" s="41">
        <v>0</v>
      </c>
      <c r="O89" s="41">
        <v>0</v>
      </c>
      <c r="P89" s="41">
        <v>0</v>
      </c>
      <c r="T89" s="30">
        <v>232</v>
      </c>
      <c r="U89" s="31" t="s">
        <v>403</v>
      </c>
      <c r="V89" s="41">
        <f>C89/'1. Väestöennuste'!E89*1000</f>
        <v>0</v>
      </c>
      <c r="W89" s="41">
        <f>D89/'1. Väestöennuste'!F89*1000</f>
        <v>0</v>
      </c>
      <c r="X89" s="41">
        <f>E89/'1. Väestöennuste'!G89*1000</f>
        <v>0</v>
      </c>
      <c r="Y89" s="41">
        <f>F89/'1. Väestöennuste'!H89*1000</f>
        <v>0</v>
      </c>
      <c r="Z89" s="41">
        <f>G89/'1. Väestöennuste'!I89*1000</f>
        <v>0</v>
      </c>
      <c r="AA89" s="41">
        <f>H89/'1. Väestöennuste'!J89*1000</f>
        <v>0</v>
      </c>
      <c r="AB89" s="41">
        <f>I89/'1. Väestöennuste'!K89*1000</f>
        <v>0</v>
      </c>
      <c r="AC89" s="41">
        <f>J89/'1. Väestöennuste'!L89*1000</f>
        <v>0</v>
      </c>
      <c r="AD89" s="41">
        <f>K89/'1. Väestöennuste'!M89*1000</f>
        <v>26.669423046441594</v>
      </c>
      <c r="AE89" s="41">
        <f>L89/'1. Väestöennuste'!N89*1000</f>
        <v>0</v>
      </c>
      <c r="AF89" s="41">
        <f>M89/'1. Väestöennuste'!O89*1000</f>
        <v>0</v>
      </c>
      <c r="AG89" s="41">
        <f>N89/'1. Väestöennuste'!P89*1000</f>
        <v>0</v>
      </c>
      <c r="AH89" s="41">
        <f>O89/'1. Väestöennuste'!Q89*1000</f>
        <v>0</v>
      </c>
      <c r="AI89" s="41">
        <f>P89/'1. Väestöennuste'!R89*1000</f>
        <v>0</v>
      </c>
    </row>
    <row r="90" spans="1:35" x14ac:dyDescent="0.2">
      <c r="A90" s="30">
        <v>233</v>
      </c>
      <c r="B90" s="31" t="s">
        <v>404</v>
      </c>
      <c r="C90" s="64">
        <v>0</v>
      </c>
      <c r="D90" s="64"/>
      <c r="E90" s="64">
        <v>0</v>
      </c>
      <c r="F90" s="65">
        <v>0</v>
      </c>
      <c r="G90" s="65">
        <v>0</v>
      </c>
      <c r="H90" s="41">
        <v>0</v>
      </c>
      <c r="I90" s="165">
        <v>0</v>
      </c>
      <c r="J90" s="41">
        <v>0</v>
      </c>
      <c r="K90" s="41">
        <v>536.16492000000005</v>
      </c>
      <c r="L90" s="41">
        <v>0</v>
      </c>
      <c r="M90" s="41">
        <v>0</v>
      </c>
      <c r="N90" s="41">
        <v>0</v>
      </c>
      <c r="O90" s="41">
        <v>0</v>
      </c>
      <c r="P90" s="41">
        <v>0</v>
      </c>
      <c r="T90" s="30">
        <v>233</v>
      </c>
      <c r="U90" s="31" t="s">
        <v>404</v>
      </c>
      <c r="V90" s="41">
        <f>C90/'1. Väestöennuste'!E90*1000</f>
        <v>0</v>
      </c>
      <c r="W90" s="41">
        <f>D90/'1. Väestöennuste'!F90*1000</f>
        <v>0</v>
      </c>
      <c r="X90" s="41">
        <f>E90/'1. Väestöennuste'!G90*1000</f>
        <v>0</v>
      </c>
      <c r="Y90" s="41">
        <f>F90/'1. Väestöennuste'!H90*1000</f>
        <v>0</v>
      </c>
      <c r="Z90" s="41">
        <f>G90/'1. Väestöennuste'!I90*1000</f>
        <v>0</v>
      </c>
      <c r="AA90" s="41">
        <f>H90/'1. Väestöennuste'!J90*1000</f>
        <v>0</v>
      </c>
      <c r="AB90" s="41">
        <f>I90/'1. Väestöennuste'!K90*1000</f>
        <v>0</v>
      </c>
      <c r="AC90" s="41">
        <f>J90/'1. Väestöennuste'!L90*1000</f>
        <v>0</v>
      </c>
      <c r="AD90" s="41">
        <f>K90/'1. Väestöennuste'!M90*1000</f>
        <v>35.355418397626117</v>
      </c>
      <c r="AE90" s="41">
        <f>L90/'1. Väestöennuste'!N90*1000</f>
        <v>0</v>
      </c>
      <c r="AF90" s="41">
        <f>M90/'1. Väestöennuste'!O90*1000</f>
        <v>0</v>
      </c>
      <c r="AG90" s="41">
        <f>N90/'1. Väestöennuste'!P90*1000</f>
        <v>0</v>
      </c>
      <c r="AH90" s="41">
        <f>O90/'1. Väestöennuste'!Q90*1000</f>
        <v>0</v>
      </c>
      <c r="AI90" s="41">
        <f>P90/'1. Väestöennuste'!R90*1000</f>
        <v>0</v>
      </c>
    </row>
    <row r="91" spans="1:35" x14ac:dyDescent="0.2">
      <c r="A91" s="30">
        <v>235</v>
      </c>
      <c r="B91" s="31" t="s">
        <v>405</v>
      </c>
      <c r="C91" s="64">
        <v>0</v>
      </c>
      <c r="D91" s="64"/>
      <c r="E91" s="64">
        <v>0</v>
      </c>
      <c r="F91" s="65">
        <v>0</v>
      </c>
      <c r="G91" s="65">
        <v>0</v>
      </c>
      <c r="H91" s="41">
        <v>0</v>
      </c>
      <c r="I91" s="165">
        <v>0</v>
      </c>
      <c r="J91" s="41">
        <v>0</v>
      </c>
      <c r="K91" s="41">
        <v>0</v>
      </c>
      <c r="L91" s="41">
        <v>0</v>
      </c>
      <c r="M91" s="41">
        <v>0</v>
      </c>
      <c r="N91" s="41">
        <v>0</v>
      </c>
      <c r="O91" s="41">
        <v>0</v>
      </c>
      <c r="P91" s="41">
        <v>0</v>
      </c>
      <c r="T91" s="30">
        <v>235</v>
      </c>
      <c r="U91" s="31" t="s">
        <v>405</v>
      </c>
      <c r="V91" s="41">
        <f>C91/'1. Väestöennuste'!E91*1000</f>
        <v>0</v>
      </c>
      <c r="W91" s="41">
        <f>D91/'1. Väestöennuste'!F91*1000</f>
        <v>0</v>
      </c>
      <c r="X91" s="41">
        <f>E91/'1. Väestöennuste'!G91*1000</f>
        <v>0</v>
      </c>
      <c r="Y91" s="41">
        <f>F91/'1. Väestöennuste'!H91*1000</f>
        <v>0</v>
      </c>
      <c r="Z91" s="41">
        <f>G91/'1. Väestöennuste'!I91*1000</f>
        <v>0</v>
      </c>
      <c r="AA91" s="41">
        <f>H91/'1. Väestöennuste'!J91*1000</f>
        <v>0</v>
      </c>
      <c r="AB91" s="41">
        <f>I91/'1. Väestöennuste'!K91*1000</f>
        <v>0</v>
      </c>
      <c r="AC91" s="41">
        <f>J91/'1. Väestöennuste'!L91*1000</f>
        <v>0</v>
      </c>
      <c r="AD91" s="41">
        <f>K91/'1. Väestöennuste'!M91*1000</f>
        <v>0</v>
      </c>
      <c r="AE91" s="41">
        <f>L91/'1. Väestöennuste'!N91*1000</f>
        <v>0</v>
      </c>
      <c r="AF91" s="41">
        <f>M91/'1. Väestöennuste'!O91*1000</f>
        <v>0</v>
      </c>
      <c r="AG91" s="41">
        <f>N91/'1. Väestöennuste'!P91*1000</f>
        <v>0</v>
      </c>
      <c r="AH91" s="41">
        <f>O91/'1. Väestöennuste'!Q91*1000</f>
        <v>0</v>
      </c>
      <c r="AI91" s="41">
        <f>P91/'1. Väestöennuste'!R91*1000</f>
        <v>0</v>
      </c>
    </row>
    <row r="92" spans="1:35" x14ac:dyDescent="0.2">
      <c r="A92" s="30">
        <v>236</v>
      </c>
      <c r="B92" s="31" t="s">
        <v>406</v>
      </c>
      <c r="C92" s="64">
        <v>0</v>
      </c>
      <c r="D92" s="64"/>
      <c r="E92" s="64">
        <v>0</v>
      </c>
      <c r="F92" s="65">
        <v>0</v>
      </c>
      <c r="G92" s="65">
        <v>0</v>
      </c>
      <c r="H92" s="41">
        <v>0</v>
      </c>
      <c r="I92" s="165">
        <v>0</v>
      </c>
      <c r="J92" s="41">
        <v>0</v>
      </c>
      <c r="K92" s="41">
        <v>0</v>
      </c>
      <c r="L92" s="41">
        <v>0</v>
      </c>
      <c r="M92" s="41">
        <v>0</v>
      </c>
      <c r="N92" s="41">
        <v>0</v>
      </c>
      <c r="O92" s="41">
        <v>0</v>
      </c>
      <c r="P92" s="41">
        <v>0</v>
      </c>
      <c r="T92" s="30">
        <v>236</v>
      </c>
      <c r="U92" s="31" t="s">
        <v>406</v>
      </c>
      <c r="V92" s="41">
        <f>C92/'1. Väestöennuste'!E92*1000</f>
        <v>0</v>
      </c>
      <c r="W92" s="41">
        <f>D92/'1. Väestöennuste'!F92*1000</f>
        <v>0</v>
      </c>
      <c r="X92" s="41">
        <f>E92/'1. Väestöennuste'!G92*1000</f>
        <v>0</v>
      </c>
      <c r="Y92" s="41">
        <f>F92/'1. Väestöennuste'!H92*1000</f>
        <v>0</v>
      </c>
      <c r="Z92" s="41">
        <f>G92/'1. Väestöennuste'!I92*1000</f>
        <v>0</v>
      </c>
      <c r="AA92" s="41">
        <f>H92/'1. Väestöennuste'!J92*1000</f>
        <v>0</v>
      </c>
      <c r="AB92" s="41">
        <f>I92/'1. Väestöennuste'!K92*1000</f>
        <v>0</v>
      </c>
      <c r="AC92" s="41">
        <f>J92/'1. Väestöennuste'!L92*1000</f>
        <v>0</v>
      </c>
      <c r="AD92" s="41">
        <f>K92/'1. Väestöennuste'!M92*1000</f>
        <v>0</v>
      </c>
      <c r="AE92" s="41">
        <f>L92/'1. Väestöennuste'!N92*1000</f>
        <v>0</v>
      </c>
      <c r="AF92" s="41">
        <f>M92/'1. Väestöennuste'!O92*1000</f>
        <v>0</v>
      </c>
      <c r="AG92" s="41">
        <f>N92/'1. Väestöennuste'!P92*1000</f>
        <v>0</v>
      </c>
      <c r="AH92" s="41">
        <f>O92/'1. Väestöennuste'!Q92*1000</f>
        <v>0</v>
      </c>
      <c r="AI92" s="41">
        <f>P92/'1. Väestöennuste'!R92*1000</f>
        <v>0</v>
      </c>
    </row>
    <row r="93" spans="1:35" x14ac:dyDescent="0.2">
      <c r="A93" s="30">
        <v>239</v>
      </c>
      <c r="B93" s="31" t="s">
        <v>407</v>
      </c>
      <c r="C93" s="64">
        <v>0</v>
      </c>
      <c r="D93" s="64"/>
      <c r="E93" s="64">
        <v>0</v>
      </c>
      <c r="F93" s="65">
        <v>0</v>
      </c>
      <c r="G93" s="65">
        <v>-181</v>
      </c>
      <c r="H93" s="41">
        <v>0</v>
      </c>
      <c r="I93" s="165">
        <v>0</v>
      </c>
      <c r="J93" s="41">
        <v>-4.5</v>
      </c>
      <c r="K93" s="41">
        <v>0</v>
      </c>
      <c r="L93" s="41">
        <v>0</v>
      </c>
      <c r="M93" s="41">
        <v>0</v>
      </c>
      <c r="N93" s="41">
        <v>0</v>
      </c>
      <c r="O93" s="41">
        <v>0</v>
      </c>
      <c r="P93" s="41">
        <v>0</v>
      </c>
      <c r="T93" s="30">
        <v>239</v>
      </c>
      <c r="U93" s="31" t="s">
        <v>407</v>
      </c>
      <c r="V93" s="41">
        <f>C93/'1. Väestöennuste'!E93*1000</f>
        <v>0</v>
      </c>
      <c r="W93" s="41">
        <f>D93/'1. Väestöennuste'!F93*1000</f>
        <v>0</v>
      </c>
      <c r="X93" s="41">
        <f>E93/'1. Väestöennuste'!G93*1000</f>
        <v>0</v>
      </c>
      <c r="Y93" s="41">
        <f>F93/'1. Väestöennuste'!H93*1000</f>
        <v>0</v>
      </c>
      <c r="Z93" s="41">
        <f>G93/'1. Väestöennuste'!I93*1000</f>
        <v>-82.198001816530436</v>
      </c>
      <c r="AA93" s="41">
        <f>H93/'1. Väestöennuste'!J93*1000</f>
        <v>0</v>
      </c>
      <c r="AB93" s="41">
        <f>I93/'1. Väestöennuste'!K93*1000</f>
        <v>0</v>
      </c>
      <c r="AC93" s="41">
        <f>J93/'1. Väestöennuste'!L93*1000</f>
        <v>-2.2178413011335634</v>
      </c>
      <c r="AD93" s="41">
        <f>K93/'1. Väestöennuste'!M93*1000</f>
        <v>0</v>
      </c>
      <c r="AE93" s="41">
        <f>L93/'1. Väestöennuste'!N93*1000</f>
        <v>0</v>
      </c>
      <c r="AF93" s="41">
        <f>M93/'1. Väestöennuste'!O93*1000</f>
        <v>0</v>
      </c>
      <c r="AG93" s="41">
        <f>N93/'1. Väestöennuste'!P93*1000</f>
        <v>0</v>
      </c>
      <c r="AH93" s="41">
        <f>O93/'1. Väestöennuste'!Q93*1000</f>
        <v>0</v>
      </c>
      <c r="AI93" s="41">
        <f>P93/'1. Väestöennuste'!R93*1000</f>
        <v>0</v>
      </c>
    </row>
    <row r="94" spans="1:35" x14ac:dyDescent="0.2">
      <c r="A94" s="30">
        <v>240</v>
      </c>
      <c r="B94" s="31" t="s">
        <v>408</v>
      </c>
      <c r="C94" s="64">
        <v>0</v>
      </c>
      <c r="D94" s="64"/>
      <c r="E94" s="64">
        <v>0</v>
      </c>
      <c r="F94" s="65">
        <v>0</v>
      </c>
      <c r="G94" s="65">
        <v>0</v>
      </c>
      <c r="H94" s="41">
        <v>0</v>
      </c>
      <c r="I94" s="165">
        <v>0</v>
      </c>
      <c r="J94" s="41">
        <v>707.56547</v>
      </c>
      <c r="K94" s="41">
        <v>0</v>
      </c>
      <c r="L94" s="41">
        <v>0</v>
      </c>
      <c r="M94" s="41">
        <v>0</v>
      </c>
      <c r="N94" s="41">
        <v>0</v>
      </c>
      <c r="O94" s="41">
        <v>0</v>
      </c>
      <c r="P94" s="41">
        <v>0</v>
      </c>
      <c r="T94" s="30">
        <v>240</v>
      </c>
      <c r="U94" s="31" t="s">
        <v>408</v>
      </c>
      <c r="V94" s="41">
        <f>C94/'1. Väestöennuste'!E94*1000</f>
        <v>0</v>
      </c>
      <c r="W94" s="41">
        <f>D94/'1. Väestöennuste'!F94*1000</f>
        <v>0</v>
      </c>
      <c r="X94" s="41">
        <f>E94/'1. Väestöennuste'!G94*1000</f>
        <v>0</v>
      </c>
      <c r="Y94" s="41">
        <f>F94/'1. Väestöennuste'!H94*1000</f>
        <v>0</v>
      </c>
      <c r="Z94" s="41">
        <f>G94/'1. Väestöennuste'!I94*1000</f>
        <v>0</v>
      </c>
      <c r="AA94" s="41">
        <f>H94/'1. Väestöennuste'!J94*1000</f>
        <v>0</v>
      </c>
      <c r="AB94" s="41">
        <f>I94/'1. Väestöennuste'!K94*1000</f>
        <v>0</v>
      </c>
      <c r="AC94" s="41">
        <f>J94/'1. Väestöennuste'!L94*1000</f>
        <v>36.287269603569413</v>
      </c>
      <c r="AD94" s="41">
        <f>K94/'1. Väestöennuste'!M94*1000</f>
        <v>0</v>
      </c>
      <c r="AE94" s="41">
        <f>L94/'1. Väestöennuste'!N94*1000</f>
        <v>0</v>
      </c>
      <c r="AF94" s="41">
        <f>M94/'1. Väestöennuste'!O94*1000</f>
        <v>0</v>
      </c>
      <c r="AG94" s="41">
        <f>N94/'1. Väestöennuste'!P94*1000</f>
        <v>0</v>
      </c>
      <c r="AH94" s="41">
        <f>O94/'1. Väestöennuste'!Q94*1000</f>
        <v>0</v>
      </c>
      <c r="AI94" s="41">
        <f>P94/'1. Väestöennuste'!R94*1000</f>
        <v>0</v>
      </c>
    </row>
    <row r="95" spans="1:35" x14ac:dyDescent="0.2">
      <c r="A95" s="30">
        <v>241</v>
      </c>
      <c r="B95" s="31" t="s">
        <v>409</v>
      </c>
      <c r="C95" s="64">
        <v>0</v>
      </c>
      <c r="D95" s="64">
        <v>-69</v>
      </c>
      <c r="E95" s="64">
        <v>-359</v>
      </c>
      <c r="F95" s="65">
        <v>702</v>
      </c>
      <c r="G95" s="65">
        <v>3</v>
      </c>
      <c r="H95" s="41">
        <v>41</v>
      </c>
      <c r="I95" s="165">
        <v>42.610610000000001</v>
      </c>
      <c r="J95" s="41">
        <v>52.263359999999999</v>
      </c>
      <c r="K95" s="41">
        <v>234.90943999999999</v>
      </c>
      <c r="L95" s="41">
        <v>0</v>
      </c>
      <c r="M95" s="41">
        <v>0</v>
      </c>
      <c r="N95" s="41">
        <v>0</v>
      </c>
      <c r="O95" s="41">
        <v>0</v>
      </c>
      <c r="P95" s="41">
        <v>0</v>
      </c>
      <c r="T95" s="30">
        <v>241</v>
      </c>
      <c r="U95" s="31" t="s">
        <v>409</v>
      </c>
      <c r="V95" s="41">
        <f>C95/'1. Väestöennuste'!E95*1000</f>
        <v>0</v>
      </c>
      <c r="W95" s="41">
        <f>D95/'1. Väestöennuste'!F95*1000</f>
        <v>-8.2972582972582973</v>
      </c>
      <c r="X95" s="41">
        <f>E95/'1. Väestöennuste'!G95*1000</f>
        <v>-43.273866923818709</v>
      </c>
      <c r="Y95" s="41">
        <f>F95/'1. Väestöennuste'!H95*1000</f>
        <v>86.16668712409475</v>
      </c>
      <c r="Z95" s="41">
        <f>G95/'1. Väestöennuste'!I95*1000</f>
        <v>0.37133308577794283</v>
      </c>
      <c r="AA95" s="41">
        <f>H95/'1. Väestöennuste'!J95*1000</f>
        <v>5.1352705410821642</v>
      </c>
      <c r="AB95" s="41">
        <f>I95/'1. Väestöennuste'!K95*1000</f>
        <v>5.3910184716599199</v>
      </c>
      <c r="AC95" s="41">
        <f>J95/'1. Väestöennuste'!L95*1000</f>
        <v>6.7254355938746624</v>
      </c>
      <c r="AD95" s="41">
        <f>K95/'1. Väestöennuste'!M95*1000</f>
        <v>30.543419581328823</v>
      </c>
      <c r="AE95" s="41">
        <f>L95/'1. Väestöennuste'!N95*1000</f>
        <v>0</v>
      </c>
      <c r="AF95" s="41">
        <f>M95/'1. Väestöennuste'!O95*1000</f>
        <v>0</v>
      </c>
      <c r="AG95" s="41">
        <f>N95/'1. Väestöennuste'!P95*1000</f>
        <v>0</v>
      </c>
      <c r="AH95" s="41">
        <f>O95/'1. Väestöennuste'!Q95*1000</f>
        <v>0</v>
      </c>
      <c r="AI95" s="41">
        <f>P95/'1. Väestöennuste'!R95*1000</f>
        <v>0</v>
      </c>
    </row>
    <row r="96" spans="1:35" x14ac:dyDescent="0.2">
      <c r="A96" s="30">
        <v>244</v>
      </c>
      <c r="B96" s="31" t="s">
        <v>410</v>
      </c>
      <c r="C96" s="64">
        <v>0</v>
      </c>
      <c r="D96" s="64"/>
      <c r="E96" s="64">
        <v>0</v>
      </c>
      <c r="F96" s="65">
        <v>0</v>
      </c>
      <c r="G96" s="65">
        <v>0</v>
      </c>
      <c r="H96" s="41">
        <v>0</v>
      </c>
      <c r="I96" s="165">
        <v>0</v>
      </c>
      <c r="J96" s="41">
        <v>0</v>
      </c>
      <c r="K96" s="41">
        <v>0</v>
      </c>
      <c r="L96" s="41">
        <v>0</v>
      </c>
      <c r="M96" s="41">
        <v>0</v>
      </c>
      <c r="N96" s="41">
        <v>0</v>
      </c>
      <c r="O96" s="41">
        <v>0</v>
      </c>
      <c r="P96" s="41">
        <v>0</v>
      </c>
      <c r="T96" s="30">
        <v>244</v>
      </c>
      <c r="U96" s="31" t="s">
        <v>410</v>
      </c>
      <c r="V96" s="41">
        <f>C96/'1. Väestöennuste'!E96*1000</f>
        <v>0</v>
      </c>
      <c r="W96" s="41">
        <f>D96/'1. Väestöennuste'!F96*1000</f>
        <v>0</v>
      </c>
      <c r="X96" s="41">
        <f>E96/'1. Väestöennuste'!G96*1000</f>
        <v>0</v>
      </c>
      <c r="Y96" s="41">
        <f>F96/'1. Väestöennuste'!H96*1000</f>
        <v>0</v>
      </c>
      <c r="Z96" s="41">
        <f>G96/'1. Väestöennuste'!I96*1000</f>
        <v>0</v>
      </c>
      <c r="AA96" s="41">
        <f>H96/'1. Väestöennuste'!J96*1000</f>
        <v>0</v>
      </c>
      <c r="AB96" s="41">
        <f>I96/'1. Väestöennuste'!K96*1000</f>
        <v>0</v>
      </c>
      <c r="AC96" s="41">
        <f>J96/'1. Väestöennuste'!L96*1000</f>
        <v>0</v>
      </c>
      <c r="AD96" s="41">
        <f>K96/'1. Väestöennuste'!M96*1000</f>
        <v>0</v>
      </c>
      <c r="AE96" s="41">
        <f>L96/'1. Väestöennuste'!N96*1000</f>
        <v>0</v>
      </c>
      <c r="AF96" s="41">
        <f>M96/'1. Väestöennuste'!O96*1000</f>
        <v>0</v>
      </c>
      <c r="AG96" s="41">
        <f>N96/'1. Väestöennuste'!P96*1000</f>
        <v>0</v>
      </c>
      <c r="AH96" s="41">
        <f>O96/'1. Väestöennuste'!Q96*1000</f>
        <v>0</v>
      </c>
      <c r="AI96" s="41">
        <f>P96/'1. Väestöennuste'!R96*1000</f>
        <v>0</v>
      </c>
    </row>
    <row r="97" spans="1:35" x14ac:dyDescent="0.2">
      <c r="A97" s="30">
        <v>245</v>
      </c>
      <c r="B97" s="31" t="s">
        <v>411</v>
      </c>
      <c r="C97" s="64">
        <v>7000</v>
      </c>
      <c r="D97" s="64"/>
      <c r="E97" s="64">
        <v>0</v>
      </c>
      <c r="F97" s="65">
        <v>0</v>
      </c>
      <c r="G97" s="65">
        <v>14166</v>
      </c>
      <c r="H97" s="41">
        <v>2733</v>
      </c>
      <c r="I97" s="165">
        <v>0</v>
      </c>
      <c r="J97" s="41">
        <v>0</v>
      </c>
      <c r="K97" s="41">
        <v>0</v>
      </c>
      <c r="L97" s="41">
        <v>0</v>
      </c>
      <c r="M97" s="41">
        <v>0</v>
      </c>
      <c r="N97" s="41">
        <v>0</v>
      </c>
      <c r="O97" s="41">
        <v>0</v>
      </c>
      <c r="P97" s="41">
        <v>0</v>
      </c>
      <c r="T97" s="30">
        <v>245</v>
      </c>
      <c r="U97" s="31" t="s">
        <v>411</v>
      </c>
      <c r="V97" s="41">
        <f>C97/'1. Väestöennuste'!E97*1000</f>
        <v>198.33961408777944</v>
      </c>
      <c r="W97" s="41">
        <f>D97/'1. Väestöennuste'!F97*1000</f>
        <v>0</v>
      </c>
      <c r="X97" s="41">
        <f>E97/'1. Väestöennuste'!G97*1000</f>
        <v>0</v>
      </c>
      <c r="Y97" s="41">
        <f>F97/'1. Väestöennuste'!H97*1000</f>
        <v>0</v>
      </c>
      <c r="Z97" s="41">
        <f>G97/'1. Väestöennuste'!I97*1000</f>
        <v>385.40646425073453</v>
      </c>
      <c r="AA97" s="41">
        <f>H97/'1. Väestöennuste'!J97*1000</f>
        <v>73.655841530790994</v>
      </c>
      <c r="AB97" s="41">
        <f>I97/'1. Väestöennuste'!K97*1000</f>
        <v>0</v>
      </c>
      <c r="AC97" s="41">
        <f>J97/'1. Väestöennuste'!L97*1000</f>
        <v>0</v>
      </c>
      <c r="AD97" s="41">
        <f>K97/'1. Väestöennuste'!M97*1000</f>
        <v>0</v>
      </c>
      <c r="AE97" s="41">
        <f>L97/'1. Väestöennuste'!N97*1000</f>
        <v>0</v>
      </c>
      <c r="AF97" s="41">
        <f>M97/'1. Väestöennuste'!O97*1000</f>
        <v>0</v>
      </c>
      <c r="AG97" s="41">
        <f>N97/'1. Väestöennuste'!P97*1000</f>
        <v>0</v>
      </c>
      <c r="AH97" s="41">
        <f>O97/'1. Väestöennuste'!Q97*1000</f>
        <v>0</v>
      </c>
      <c r="AI97" s="41">
        <f>P97/'1. Väestöennuste'!R97*1000</f>
        <v>0</v>
      </c>
    </row>
    <row r="98" spans="1:35" x14ac:dyDescent="0.2">
      <c r="A98" s="30">
        <v>249</v>
      </c>
      <c r="B98" s="31" t="s">
        <v>412</v>
      </c>
      <c r="C98" s="64">
        <v>0</v>
      </c>
      <c r="D98" s="64"/>
      <c r="E98" s="64">
        <v>0</v>
      </c>
      <c r="F98" s="65">
        <v>0</v>
      </c>
      <c r="G98" s="65">
        <v>0</v>
      </c>
      <c r="H98" s="41">
        <v>0</v>
      </c>
      <c r="I98" s="165">
        <v>0</v>
      </c>
      <c r="J98" s="41">
        <v>0</v>
      </c>
      <c r="K98" s="41">
        <v>0</v>
      </c>
      <c r="L98" s="41">
        <v>0</v>
      </c>
      <c r="M98" s="41">
        <v>0</v>
      </c>
      <c r="N98" s="41">
        <v>0</v>
      </c>
      <c r="O98" s="41">
        <v>0</v>
      </c>
      <c r="P98" s="41">
        <v>0</v>
      </c>
      <c r="T98" s="30">
        <v>249</v>
      </c>
      <c r="U98" s="31" t="s">
        <v>412</v>
      </c>
      <c r="V98" s="41">
        <f>C98/'1. Väestöennuste'!E98*1000</f>
        <v>0</v>
      </c>
      <c r="W98" s="41">
        <f>D98/'1. Väestöennuste'!F98*1000</f>
        <v>0</v>
      </c>
      <c r="X98" s="41">
        <f>E98/'1. Väestöennuste'!G98*1000</f>
        <v>0</v>
      </c>
      <c r="Y98" s="41">
        <f>F98/'1. Väestöennuste'!H98*1000</f>
        <v>0</v>
      </c>
      <c r="Z98" s="41">
        <f>G98/'1. Väestöennuste'!I98*1000</f>
        <v>0</v>
      </c>
      <c r="AA98" s="41">
        <f>H98/'1. Väestöennuste'!J98*1000</f>
        <v>0</v>
      </c>
      <c r="AB98" s="41">
        <f>I98/'1. Väestöennuste'!K98*1000</f>
        <v>0</v>
      </c>
      <c r="AC98" s="41">
        <f>J98/'1. Väestöennuste'!L98*1000</f>
        <v>0</v>
      </c>
      <c r="AD98" s="41">
        <f>K98/'1. Väestöennuste'!M98*1000</f>
        <v>0</v>
      </c>
      <c r="AE98" s="41">
        <f>L98/'1. Väestöennuste'!N98*1000</f>
        <v>0</v>
      </c>
      <c r="AF98" s="41">
        <f>M98/'1. Väestöennuste'!O98*1000</f>
        <v>0</v>
      </c>
      <c r="AG98" s="41">
        <f>N98/'1. Väestöennuste'!P98*1000</f>
        <v>0</v>
      </c>
      <c r="AH98" s="41">
        <f>O98/'1. Väestöennuste'!Q98*1000</f>
        <v>0</v>
      </c>
      <c r="AI98" s="41">
        <f>P98/'1. Väestöennuste'!R98*1000</f>
        <v>0</v>
      </c>
    </row>
    <row r="99" spans="1:35" x14ac:dyDescent="0.2">
      <c r="A99" s="30">
        <v>250</v>
      </c>
      <c r="B99" s="31" t="s">
        <v>413</v>
      </c>
      <c r="C99" s="64">
        <v>0</v>
      </c>
      <c r="D99" s="64">
        <v>-22</v>
      </c>
      <c r="E99" s="64">
        <v>0</v>
      </c>
      <c r="F99" s="65">
        <v>0</v>
      </c>
      <c r="G99" s="65">
        <v>0</v>
      </c>
      <c r="H99" s="41">
        <v>2115</v>
      </c>
      <c r="I99" s="165">
        <v>0</v>
      </c>
      <c r="J99" s="41">
        <v>0</v>
      </c>
      <c r="K99" s="41">
        <v>0</v>
      </c>
      <c r="L99" s="41">
        <v>0</v>
      </c>
      <c r="M99" s="41">
        <v>0</v>
      </c>
      <c r="N99" s="41">
        <v>0</v>
      </c>
      <c r="O99" s="41">
        <v>0</v>
      </c>
      <c r="P99" s="41">
        <v>0</v>
      </c>
      <c r="T99" s="30">
        <v>250</v>
      </c>
      <c r="U99" s="31" t="s">
        <v>413</v>
      </c>
      <c r="V99" s="41">
        <f>C99/'1. Väestöennuste'!E99*1000</f>
        <v>0</v>
      </c>
      <c r="W99" s="41">
        <f>D99/'1. Väestöennuste'!F99*1000</f>
        <v>-11.033099297893681</v>
      </c>
      <c r="X99" s="41">
        <f>E99/'1. Väestöennuste'!G99*1000</f>
        <v>0</v>
      </c>
      <c r="Y99" s="41">
        <f>F99/'1. Väestöennuste'!H99*1000</f>
        <v>0</v>
      </c>
      <c r="Z99" s="41">
        <f>G99/'1. Väestöennuste'!I99*1000</f>
        <v>0</v>
      </c>
      <c r="AA99" s="41">
        <f>H99/'1. Väestöennuste'!J99*1000</f>
        <v>1160.8122941822173</v>
      </c>
      <c r="AB99" s="41">
        <f>I99/'1. Väestöennuste'!K99*1000</f>
        <v>0</v>
      </c>
      <c r="AC99" s="41">
        <f>J99/'1. Väestöennuste'!L99*1000</f>
        <v>0</v>
      </c>
      <c r="AD99" s="41">
        <f>K99/'1. Väestöennuste'!M99*1000</f>
        <v>0</v>
      </c>
      <c r="AE99" s="41">
        <f>L99/'1. Väestöennuste'!N99*1000</f>
        <v>0</v>
      </c>
      <c r="AF99" s="41">
        <f>M99/'1. Väestöennuste'!O99*1000</f>
        <v>0</v>
      </c>
      <c r="AG99" s="41">
        <f>N99/'1. Väestöennuste'!P99*1000</f>
        <v>0</v>
      </c>
      <c r="AH99" s="41">
        <f>O99/'1. Väestöennuste'!Q99*1000</f>
        <v>0</v>
      </c>
      <c r="AI99" s="41">
        <f>P99/'1. Väestöennuste'!R99*1000</f>
        <v>0</v>
      </c>
    </row>
    <row r="100" spans="1:35" x14ac:dyDescent="0.2">
      <c r="A100" s="30">
        <v>256</v>
      </c>
      <c r="B100" s="31" t="s">
        <v>414</v>
      </c>
      <c r="C100" s="64">
        <v>0</v>
      </c>
      <c r="D100" s="64"/>
      <c r="E100" s="64">
        <v>0</v>
      </c>
      <c r="F100" s="65">
        <v>0</v>
      </c>
      <c r="G100" s="65">
        <v>0</v>
      </c>
      <c r="H100" s="41">
        <v>0</v>
      </c>
      <c r="I100" s="165">
        <v>0</v>
      </c>
      <c r="J100" s="41">
        <v>0</v>
      </c>
      <c r="K100" s="41">
        <v>0</v>
      </c>
      <c r="L100" s="41">
        <v>0</v>
      </c>
      <c r="M100" s="41">
        <v>0</v>
      </c>
      <c r="N100" s="41">
        <v>0</v>
      </c>
      <c r="O100" s="41">
        <v>0</v>
      </c>
      <c r="P100" s="41">
        <v>0</v>
      </c>
      <c r="T100" s="30">
        <v>256</v>
      </c>
      <c r="U100" s="31" t="s">
        <v>414</v>
      </c>
      <c r="V100" s="41">
        <f>C100/'1. Väestöennuste'!E100*1000</f>
        <v>0</v>
      </c>
      <c r="W100" s="41">
        <f>D100/'1. Väestöennuste'!F100*1000</f>
        <v>0</v>
      </c>
      <c r="X100" s="41">
        <f>E100/'1. Väestöennuste'!G100*1000</f>
        <v>0</v>
      </c>
      <c r="Y100" s="41">
        <f>F100/'1. Väestöennuste'!H100*1000</f>
        <v>0</v>
      </c>
      <c r="Z100" s="41">
        <f>G100/'1. Väestöennuste'!I100*1000</f>
        <v>0</v>
      </c>
      <c r="AA100" s="41">
        <f>H100/'1. Väestöennuste'!J100*1000</f>
        <v>0</v>
      </c>
      <c r="AB100" s="41">
        <f>I100/'1. Väestöennuste'!K100*1000</f>
        <v>0</v>
      </c>
      <c r="AC100" s="41">
        <f>J100/'1. Väestöennuste'!L100*1000</f>
        <v>0</v>
      </c>
      <c r="AD100" s="41">
        <f>K100/'1. Väestöennuste'!M100*1000</f>
        <v>0</v>
      </c>
      <c r="AE100" s="41">
        <f>L100/'1. Väestöennuste'!N100*1000</f>
        <v>0</v>
      </c>
      <c r="AF100" s="41">
        <f>M100/'1. Väestöennuste'!O100*1000</f>
        <v>0</v>
      </c>
      <c r="AG100" s="41">
        <f>N100/'1. Väestöennuste'!P100*1000</f>
        <v>0</v>
      </c>
      <c r="AH100" s="41">
        <f>O100/'1. Väestöennuste'!Q100*1000</f>
        <v>0</v>
      </c>
      <c r="AI100" s="41">
        <f>P100/'1. Väestöennuste'!R100*1000</f>
        <v>0</v>
      </c>
    </row>
    <row r="101" spans="1:35" x14ac:dyDescent="0.2">
      <c r="A101" s="30">
        <v>257</v>
      </c>
      <c r="B101" s="31" t="s">
        <v>415</v>
      </c>
      <c r="C101" s="64">
        <v>1114</v>
      </c>
      <c r="D101" s="64"/>
      <c r="E101" s="64">
        <v>0</v>
      </c>
      <c r="F101" s="65">
        <v>-189</v>
      </c>
      <c r="G101" s="65">
        <v>0</v>
      </c>
      <c r="H101" s="41">
        <v>54</v>
      </c>
      <c r="I101" s="165">
        <v>-558.23364000000004</v>
      </c>
      <c r="J101" s="41">
        <v>0</v>
      </c>
      <c r="K101" s="41">
        <v>0</v>
      </c>
      <c r="L101" s="41">
        <v>0</v>
      </c>
      <c r="M101" s="41">
        <v>-400</v>
      </c>
      <c r="N101" s="41">
        <v>0</v>
      </c>
      <c r="O101" s="41">
        <v>0</v>
      </c>
      <c r="P101" s="41">
        <v>0</v>
      </c>
      <c r="T101" s="30">
        <v>257</v>
      </c>
      <c r="U101" s="31" t="s">
        <v>415</v>
      </c>
      <c r="V101" s="41">
        <f>C101/'1. Väestöennuste'!E101*1000</f>
        <v>28.823514191829027</v>
      </c>
      <c r="W101" s="41">
        <f>D101/'1. Väestöennuste'!F101*1000</f>
        <v>0</v>
      </c>
      <c r="X101" s="41">
        <f>E101/'1. Väestöennuste'!G101*1000</f>
        <v>0</v>
      </c>
      <c r="Y101" s="41">
        <f>F101/'1. Väestöennuste'!H101*1000</f>
        <v>-4.8138148846212623</v>
      </c>
      <c r="Z101" s="41">
        <f>G101/'1. Väestöennuste'!I101*1000</f>
        <v>0</v>
      </c>
      <c r="AA101" s="41">
        <f>H101/'1. Väestöennuste'!J101*1000</f>
        <v>1.3472381617683749</v>
      </c>
      <c r="AB101" s="41">
        <f>I101/'1. Väestöennuste'!K101*1000</f>
        <v>-13.806386862216506</v>
      </c>
      <c r="AC101" s="41">
        <f>J101/'1. Väestöennuste'!L101*1000</f>
        <v>0</v>
      </c>
      <c r="AD101" s="41">
        <f>K101/'1. Väestöennuste'!M101*1000</f>
        <v>0</v>
      </c>
      <c r="AE101" s="41">
        <f>L101/'1. Väestöennuste'!N101*1000</f>
        <v>0</v>
      </c>
      <c r="AF101" s="41">
        <f>M101/'1. Väestöennuste'!O101*1000</f>
        <v>-9.5783146955293201</v>
      </c>
      <c r="AG101" s="41">
        <f>N101/'1. Väestöennuste'!P101*1000</f>
        <v>0</v>
      </c>
      <c r="AH101" s="41">
        <f>O101/'1. Väestöennuste'!Q101*1000</f>
        <v>0</v>
      </c>
      <c r="AI101" s="41">
        <f>P101/'1. Väestöennuste'!R101*1000</f>
        <v>0</v>
      </c>
    </row>
    <row r="102" spans="1:35" x14ac:dyDescent="0.2">
      <c r="A102" s="30">
        <v>260</v>
      </c>
      <c r="B102" s="31" t="s">
        <v>416</v>
      </c>
      <c r="C102" s="64">
        <v>0</v>
      </c>
      <c r="D102" s="64"/>
      <c r="E102" s="64">
        <v>529</v>
      </c>
      <c r="F102" s="65">
        <v>0</v>
      </c>
      <c r="G102" s="65">
        <v>0</v>
      </c>
      <c r="H102" s="41">
        <v>0</v>
      </c>
      <c r="I102" s="165">
        <v>0</v>
      </c>
      <c r="J102" s="41">
        <v>0</v>
      </c>
      <c r="K102" s="41">
        <v>0</v>
      </c>
      <c r="L102" s="41">
        <v>0</v>
      </c>
      <c r="M102" s="41">
        <v>0</v>
      </c>
      <c r="N102" s="41">
        <v>0</v>
      </c>
      <c r="O102" s="41">
        <v>0</v>
      </c>
      <c r="P102" s="41">
        <v>0</v>
      </c>
      <c r="T102" s="30">
        <v>260</v>
      </c>
      <c r="U102" s="31" t="s">
        <v>416</v>
      </c>
      <c r="V102" s="41">
        <f>C102/'1. Väestöennuste'!E102*1000</f>
        <v>0</v>
      </c>
      <c r="W102" s="41">
        <f>D102/'1. Väestöennuste'!F102*1000</f>
        <v>0</v>
      </c>
      <c r="X102" s="41">
        <f>E102/'1. Väestöennuste'!G102*1000</f>
        <v>50.448216669845507</v>
      </c>
      <c r="Y102" s="41">
        <f>F102/'1. Väestöennuste'!H102*1000</f>
        <v>0</v>
      </c>
      <c r="Z102" s="41">
        <f>G102/'1. Väestöennuste'!I102*1000</f>
        <v>0</v>
      </c>
      <c r="AA102" s="41">
        <f>H102/'1. Väestöennuste'!J102*1000</f>
        <v>0</v>
      </c>
      <c r="AB102" s="41">
        <f>I102/'1. Väestöennuste'!K102*1000</f>
        <v>0</v>
      </c>
      <c r="AC102" s="41">
        <f>J102/'1. Väestöennuste'!L102*1000</f>
        <v>0</v>
      </c>
      <c r="AD102" s="41">
        <f>K102/'1. Väestöennuste'!M102*1000</f>
        <v>0</v>
      </c>
      <c r="AE102" s="41">
        <f>L102/'1. Väestöennuste'!N102*1000</f>
        <v>0</v>
      </c>
      <c r="AF102" s="41">
        <f>M102/'1. Väestöennuste'!O102*1000</f>
        <v>0</v>
      </c>
      <c r="AG102" s="41">
        <f>N102/'1. Väestöennuste'!P102*1000</f>
        <v>0</v>
      </c>
      <c r="AH102" s="41">
        <f>O102/'1. Väestöennuste'!Q102*1000</f>
        <v>0</v>
      </c>
      <c r="AI102" s="41">
        <f>P102/'1. Väestöennuste'!R102*1000</f>
        <v>0</v>
      </c>
    </row>
    <row r="103" spans="1:35" x14ac:dyDescent="0.2">
      <c r="A103" s="30">
        <v>261</v>
      </c>
      <c r="B103" s="31" t="s">
        <v>417</v>
      </c>
      <c r="C103" s="64">
        <v>0</v>
      </c>
      <c r="D103" s="64"/>
      <c r="E103" s="64">
        <v>1</v>
      </c>
      <c r="F103" s="65">
        <v>0</v>
      </c>
      <c r="G103" s="65">
        <v>0</v>
      </c>
      <c r="H103" s="41">
        <v>0</v>
      </c>
      <c r="I103" s="165">
        <v>0</v>
      </c>
      <c r="J103" s="41">
        <v>0</v>
      </c>
      <c r="K103" s="41">
        <v>0</v>
      </c>
      <c r="L103" s="41">
        <v>0</v>
      </c>
      <c r="M103" s="41">
        <v>0</v>
      </c>
      <c r="N103" s="41">
        <v>0</v>
      </c>
      <c r="O103" s="41">
        <v>0</v>
      </c>
      <c r="P103" s="41">
        <v>0</v>
      </c>
      <c r="T103" s="30">
        <v>261</v>
      </c>
      <c r="U103" s="31" t="s">
        <v>417</v>
      </c>
      <c r="V103" s="41">
        <f>C103/'1. Väestöennuste'!E103*1000</f>
        <v>0</v>
      </c>
      <c r="W103" s="41">
        <f>D103/'1. Väestöennuste'!F103*1000</f>
        <v>0</v>
      </c>
      <c r="X103" s="41">
        <f>E103/'1. Väestöennuste'!G103*1000</f>
        <v>0.15573898146706119</v>
      </c>
      <c r="Y103" s="41">
        <f>F103/'1. Väestöennuste'!H103*1000</f>
        <v>0</v>
      </c>
      <c r="Z103" s="41">
        <f>G103/'1. Väestöennuste'!I103*1000</f>
        <v>0</v>
      </c>
      <c r="AA103" s="41">
        <f>H103/'1. Väestöennuste'!J103*1000</f>
        <v>0</v>
      </c>
      <c r="AB103" s="41">
        <f>I103/'1. Väestöennuste'!K103*1000</f>
        <v>0</v>
      </c>
      <c r="AC103" s="41">
        <f>J103/'1. Väestöennuste'!L103*1000</f>
        <v>0</v>
      </c>
      <c r="AD103" s="41">
        <f>K103/'1. Väestöennuste'!M103*1000</f>
        <v>0</v>
      </c>
      <c r="AE103" s="41">
        <f>L103/'1. Väestöennuste'!N103*1000</f>
        <v>0</v>
      </c>
      <c r="AF103" s="41">
        <f>M103/'1. Väestöennuste'!O103*1000</f>
        <v>0</v>
      </c>
      <c r="AG103" s="41">
        <f>N103/'1. Väestöennuste'!P103*1000</f>
        <v>0</v>
      </c>
      <c r="AH103" s="41">
        <f>O103/'1. Väestöennuste'!Q103*1000</f>
        <v>0</v>
      </c>
      <c r="AI103" s="41">
        <f>P103/'1. Väestöennuste'!R103*1000</f>
        <v>0</v>
      </c>
    </row>
    <row r="104" spans="1:35" x14ac:dyDescent="0.2">
      <c r="A104" s="30">
        <v>263</v>
      </c>
      <c r="B104" s="31" t="s">
        <v>418</v>
      </c>
      <c r="C104" s="64">
        <v>0</v>
      </c>
      <c r="D104" s="64">
        <v>56</v>
      </c>
      <c r="E104" s="64">
        <v>0</v>
      </c>
      <c r="F104" s="65">
        <v>-459</v>
      </c>
      <c r="G104" s="65">
        <v>0</v>
      </c>
      <c r="H104" s="41">
        <v>0</v>
      </c>
      <c r="I104" s="165">
        <v>-2744.1780299999996</v>
      </c>
      <c r="J104" s="41">
        <v>0</v>
      </c>
      <c r="K104" s="41">
        <v>0</v>
      </c>
      <c r="L104" s="41">
        <v>0</v>
      </c>
      <c r="M104" s="41">
        <v>0</v>
      </c>
      <c r="N104" s="41">
        <v>0</v>
      </c>
      <c r="O104" s="41">
        <v>0</v>
      </c>
      <c r="P104" s="41">
        <v>0</v>
      </c>
      <c r="T104" s="30">
        <v>263</v>
      </c>
      <c r="U104" s="31" t="s">
        <v>418</v>
      </c>
      <c r="V104" s="41">
        <f>C104/'1. Väestöennuste'!E104*1000</f>
        <v>0</v>
      </c>
      <c r="W104" s="41">
        <f>D104/'1. Väestöennuste'!F104*1000</f>
        <v>6.6319279962103268</v>
      </c>
      <c r="X104" s="41">
        <f>E104/'1. Väestöennuste'!G104*1000</f>
        <v>0</v>
      </c>
      <c r="Y104" s="41">
        <f>F104/'1. Väestöennuste'!H104*1000</f>
        <v>-56.298295106095914</v>
      </c>
      <c r="Z104" s="41">
        <f>G104/'1. Väestöennuste'!I104*1000</f>
        <v>0</v>
      </c>
      <c r="AA104" s="41">
        <f>H104/'1. Väestöennuste'!J104*1000</f>
        <v>0</v>
      </c>
      <c r="AB104" s="41">
        <f>I104/'1. Väestöennuste'!K104*1000</f>
        <v>-353.67676633586797</v>
      </c>
      <c r="AC104" s="41">
        <f>J104/'1. Väestöennuste'!L104*1000</f>
        <v>0</v>
      </c>
      <c r="AD104" s="41">
        <f>K104/'1. Väestöennuste'!M104*1000</f>
        <v>0</v>
      </c>
      <c r="AE104" s="41">
        <f>L104/'1. Väestöennuste'!N104*1000</f>
        <v>0</v>
      </c>
      <c r="AF104" s="41">
        <f>M104/'1. Väestöennuste'!O104*1000</f>
        <v>0</v>
      </c>
      <c r="AG104" s="41">
        <f>N104/'1. Väestöennuste'!P104*1000</f>
        <v>0</v>
      </c>
      <c r="AH104" s="41">
        <f>O104/'1. Väestöennuste'!Q104*1000</f>
        <v>0</v>
      </c>
      <c r="AI104" s="41">
        <f>P104/'1. Väestöennuste'!R104*1000</f>
        <v>0</v>
      </c>
    </row>
    <row r="105" spans="1:35" x14ac:dyDescent="0.2">
      <c r="A105" s="30">
        <v>265</v>
      </c>
      <c r="B105" s="31" t="s">
        <v>419</v>
      </c>
      <c r="C105" s="64">
        <v>0</v>
      </c>
      <c r="D105" s="64"/>
      <c r="E105" s="64">
        <v>0</v>
      </c>
      <c r="F105" s="65">
        <v>0</v>
      </c>
      <c r="G105" s="65">
        <v>0</v>
      </c>
      <c r="H105" s="41">
        <v>0</v>
      </c>
      <c r="I105" s="165">
        <v>0</v>
      </c>
      <c r="J105" s="41">
        <v>0</v>
      </c>
      <c r="K105" s="41">
        <v>0</v>
      </c>
      <c r="L105" s="41">
        <v>0</v>
      </c>
      <c r="M105" s="41">
        <v>0</v>
      </c>
      <c r="N105" s="41">
        <v>0</v>
      </c>
      <c r="O105" s="41">
        <v>0</v>
      </c>
      <c r="P105" s="41">
        <v>0</v>
      </c>
      <c r="T105" s="30">
        <v>265</v>
      </c>
      <c r="U105" s="31" t="s">
        <v>419</v>
      </c>
      <c r="V105" s="41">
        <f>C105/'1. Väestöennuste'!E105*1000</f>
        <v>0</v>
      </c>
      <c r="W105" s="41">
        <f>D105/'1. Väestöennuste'!F105*1000</f>
        <v>0</v>
      </c>
      <c r="X105" s="41">
        <f>E105/'1. Väestöennuste'!G105*1000</f>
        <v>0</v>
      </c>
      <c r="Y105" s="41">
        <f>F105/'1. Väestöennuste'!H105*1000</f>
        <v>0</v>
      </c>
      <c r="Z105" s="41">
        <f>G105/'1. Väestöennuste'!I105*1000</f>
        <v>0</v>
      </c>
      <c r="AA105" s="41">
        <f>H105/'1. Väestöennuste'!J105*1000</f>
        <v>0</v>
      </c>
      <c r="AB105" s="41">
        <f>I105/'1. Väestöennuste'!K105*1000</f>
        <v>0</v>
      </c>
      <c r="AC105" s="41">
        <f>J105/'1. Väestöennuste'!L105*1000</f>
        <v>0</v>
      </c>
      <c r="AD105" s="41">
        <f>K105/'1. Väestöennuste'!M105*1000</f>
        <v>0</v>
      </c>
      <c r="AE105" s="41">
        <f>L105/'1. Väestöennuste'!N105*1000</f>
        <v>0</v>
      </c>
      <c r="AF105" s="41">
        <f>M105/'1. Väestöennuste'!O105*1000</f>
        <v>0</v>
      </c>
      <c r="AG105" s="41">
        <f>N105/'1. Väestöennuste'!P105*1000</f>
        <v>0</v>
      </c>
      <c r="AH105" s="41">
        <f>O105/'1. Väestöennuste'!Q105*1000</f>
        <v>0</v>
      </c>
      <c r="AI105" s="41">
        <f>P105/'1. Väestöennuste'!R105*1000</f>
        <v>0</v>
      </c>
    </row>
    <row r="106" spans="1:35" x14ac:dyDescent="0.2">
      <c r="A106" s="30">
        <v>271</v>
      </c>
      <c r="B106" s="31" t="s">
        <v>420</v>
      </c>
      <c r="C106" s="64">
        <v>0</v>
      </c>
      <c r="D106" s="64"/>
      <c r="E106" s="64">
        <v>0</v>
      </c>
      <c r="F106" s="65">
        <v>-455</v>
      </c>
      <c r="G106" s="65">
        <v>93</v>
      </c>
      <c r="H106" s="41">
        <v>0</v>
      </c>
      <c r="I106" s="165">
        <v>172.53639999999999</v>
      </c>
      <c r="J106" s="41">
        <v>0</v>
      </c>
      <c r="K106" s="41">
        <v>15.733930000000001</v>
      </c>
      <c r="L106" s="41">
        <v>0</v>
      </c>
      <c r="M106" s="41">
        <v>0</v>
      </c>
      <c r="N106" s="41">
        <v>0</v>
      </c>
      <c r="O106" s="41">
        <v>0</v>
      </c>
      <c r="P106" s="41">
        <v>0</v>
      </c>
      <c r="T106" s="30">
        <v>271</v>
      </c>
      <c r="U106" s="31" t="s">
        <v>420</v>
      </c>
      <c r="V106" s="41">
        <f>C106/'1. Väestöennuste'!E106*1000</f>
        <v>0</v>
      </c>
      <c r="W106" s="41">
        <f>D106/'1. Väestöennuste'!F106*1000</f>
        <v>0</v>
      </c>
      <c r="X106" s="41">
        <f>E106/'1. Väestöennuste'!G106*1000</f>
        <v>0</v>
      </c>
      <c r="Y106" s="41">
        <f>F106/'1. Väestöennuste'!H106*1000</f>
        <v>-62.967063382230833</v>
      </c>
      <c r="Z106" s="41">
        <f>G106/'1. Väestöennuste'!I106*1000</f>
        <v>13.093059270730677</v>
      </c>
      <c r="AA106" s="41">
        <f>H106/'1. Väestöennuste'!J106*1000</f>
        <v>0</v>
      </c>
      <c r="AB106" s="41">
        <f>I106/'1. Väestöennuste'!K106*1000</f>
        <v>24.821809811537907</v>
      </c>
      <c r="AC106" s="41">
        <f>J106/'1. Väestöennuste'!L106*1000</f>
        <v>0</v>
      </c>
      <c r="AD106" s="41">
        <f>K106/'1. Väestöennuste'!M106*1000</f>
        <v>2.3254404374815252</v>
      </c>
      <c r="AE106" s="41">
        <f>L106/'1. Väestöennuste'!N106*1000</f>
        <v>0</v>
      </c>
      <c r="AF106" s="41">
        <f>M106/'1. Väestöennuste'!O106*1000</f>
        <v>0</v>
      </c>
      <c r="AG106" s="41">
        <f>N106/'1. Väestöennuste'!P106*1000</f>
        <v>0</v>
      </c>
      <c r="AH106" s="41">
        <f>O106/'1. Väestöennuste'!Q106*1000</f>
        <v>0</v>
      </c>
      <c r="AI106" s="41">
        <f>P106/'1. Väestöennuste'!R106*1000</f>
        <v>0</v>
      </c>
    </row>
    <row r="107" spans="1:35" x14ac:dyDescent="0.2">
      <c r="A107" s="30">
        <v>272</v>
      </c>
      <c r="B107" s="31" t="s">
        <v>421</v>
      </c>
      <c r="C107" s="64">
        <v>0</v>
      </c>
      <c r="D107" s="64"/>
      <c r="E107" s="64">
        <v>24471</v>
      </c>
      <c r="F107" s="65">
        <v>0</v>
      </c>
      <c r="G107" s="65">
        <v>0</v>
      </c>
      <c r="H107" s="41">
        <v>0</v>
      </c>
      <c r="I107" s="165">
        <v>211.98989</v>
      </c>
      <c r="J107" s="41">
        <v>0</v>
      </c>
      <c r="K107" s="41">
        <v>0</v>
      </c>
      <c r="L107" s="41">
        <v>0</v>
      </c>
      <c r="M107" s="41">
        <v>0</v>
      </c>
      <c r="N107" s="41">
        <v>0</v>
      </c>
      <c r="O107" s="41">
        <v>0</v>
      </c>
      <c r="P107" s="41">
        <v>0</v>
      </c>
      <c r="T107" s="30">
        <v>272</v>
      </c>
      <c r="U107" s="31" t="s">
        <v>421</v>
      </c>
      <c r="V107" s="41">
        <f>C107/'1. Väestöennuste'!E107*1000</f>
        <v>0</v>
      </c>
      <c r="W107" s="41">
        <f>D107/'1. Väestöennuste'!F107*1000</f>
        <v>0</v>
      </c>
      <c r="X107" s="41">
        <f>E107/'1. Väestöennuste'!G107*1000</f>
        <v>512.77161955451243</v>
      </c>
      <c r="Y107" s="41">
        <f>F107/'1. Väestöennuste'!H107*1000</f>
        <v>0</v>
      </c>
      <c r="Z107" s="41">
        <f>G107/'1. Väestöennuste'!I107*1000</f>
        <v>0</v>
      </c>
      <c r="AA107" s="41">
        <f>H107/'1. Väestöennuste'!J107*1000</f>
        <v>0</v>
      </c>
      <c r="AB107" s="41">
        <f>I107/'1. Väestöennuste'!K107*1000</f>
        <v>4.4248448099522015</v>
      </c>
      <c r="AC107" s="41">
        <f>J107/'1. Väestöennuste'!L107*1000</f>
        <v>0</v>
      </c>
      <c r="AD107" s="41">
        <f>K107/'1. Väestöennuste'!M107*1000</f>
        <v>0</v>
      </c>
      <c r="AE107" s="41">
        <f>L107/'1. Väestöennuste'!N107*1000</f>
        <v>0</v>
      </c>
      <c r="AF107" s="41">
        <f>M107/'1. Väestöennuste'!O107*1000</f>
        <v>0</v>
      </c>
      <c r="AG107" s="41">
        <f>N107/'1. Väestöennuste'!P107*1000</f>
        <v>0</v>
      </c>
      <c r="AH107" s="41">
        <f>O107/'1. Väestöennuste'!Q107*1000</f>
        <v>0</v>
      </c>
      <c r="AI107" s="41">
        <f>P107/'1. Väestöennuste'!R107*1000</f>
        <v>0</v>
      </c>
    </row>
    <row r="108" spans="1:35" x14ac:dyDescent="0.2">
      <c r="A108" s="30">
        <v>273</v>
      </c>
      <c r="B108" s="31" t="s">
        <v>422</v>
      </c>
      <c r="C108" s="64">
        <v>0</v>
      </c>
      <c r="D108" s="64"/>
      <c r="E108" s="64">
        <v>0</v>
      </c>
      <c r="F108" s="65">
        <v>0</v>
      </c>
      <c r="G108" s="65">
        <v>0</v>
      </c>
      <c r="H108" s="41">
        <v>0</v>
      </c>
      <c r="I108" s="165">
        <v>0</v>
      </c>
      <c r="J108" s="41">
        <v>0</v>
      </c>
      <c r="K108" s="41">
        <v>-24.45355</v>
      </c>
      <c r="L108" s="41">
        <v>0</v>
      </c>
      <c r="M108" s="41">
        <v>0</v>
      </c>
      <c r="N108" s="41">
        <v>0</v>
      </c>
      <c r="O108" s="41">
        <v>0</v>
      </c>
      <c r="P108" s="41">
        <v>0</v>
      </c>
      <c r="T108" s="30">
        <v>273</v>
      </c>
      <c r="U108" s="31" t="s">
        <v>422</v>
      </c>
      <c r="V108" s="41">
        <f>C108/'1. Väestöennuste'!E108*1000</f>
        <v>0</v>
      </c>
      <c r="W108" s="41">
        <f>D108/'1. Väestöennuste'!F108*1000</f>
        <v>0</v>
      </c>
      <c r="X108" s="41">
        <f>E108/'1. Väestöennuste'!G108*1000</f>
        <v>0</v>
      </c>
      <c r="Y108" s="41">
        <f>F108/'1. Väestöennuste'!H108*1000</f>
        <v>0</v>
      </c>
      <c r="Z108" s="41">
        <f>G108/'1. Väestöennuste'!I108*1000</f>
        <v>0</v>
      </c>
      <c r="AA108" s="41">
        <f>H108/'1. Väestöennuste'!J108*1000</f>
        <v>0</v>
      </c>
      <c r="AB108" s="41">
        <f>I108/'1. Väestöennuste'!K108*1000</f>
        <v>0</v>
      </c>
      <c r="AC108" s="41">
        <f>J108/'1. Väestöennuste'!L108*1000</f>
        <v>0</v>
      </c>
      <c r="AD108" s="41">
        <f>K108/'1. Väestöennuste'!M108*1000</f>
        <v>-6.096621790077287</v>
      </c>
      <c r="AE108" s="41">
        <f>L108/'1. Väestöennuste'!N108*1000</f>
        <v>0</v>
      </c>
      <c r="AF108" s="41">
        <f>M108/'1. Väestöennuste'!O108*1000</f>
        <v>0</v>
      </c>
      <c r="AG108" s="41">
        <f>N108/'1. Väestöennuste'!P108*1000</f>
        <v>0</v>
      </c>
      <c r="AH108" s="41">
        <f>O108/'1. Väestöennuste'!Q108*1000</f>
        <v>0</v>
      </c>
      <c r="AI108" s="41">
        <f>P108/'1. Väestöennuste'!R108*1000</f>
        <v>0</v>
      </c>
    </row>
    <row r="109" spans="1:35" x14ac:dyDescent="0.2">
      <c r="A109" s="30">
        <v>275</v>
      </c>
      <c r="B109" s="31" t="s">
        <v>423</v>
      </c>
      <c r="C109" s="64">
        <v>0</v>
      </c>
      <c r="D109" s="64"/>
      <c r="E109" s="64">
        <v>0</v>
      </c>
      <c r="F109" s="65">
        <v>0</v>
      </c>
      <c r="G109" s="65">
        <v>0</v>
      </c>
      <c r="H109" s="41">
        <v>0</v>
      </c>
      <c r="I109" s="165">
        <v>0</v>
      </c>
      <c r="J109" s="41">
        <v>0</v>
      </c>
      <c r="K109" s="41">
        <v>0</v>
      </c>
      <c r="L109" s="41">
        <v>0</v>
      </c>
      <c r="M109" s="41">
        <v>0</v>
      </c>
      <c r="N109" s="41">
        <v>0</v>
      </c>
      <c r="O109" s="41">
        <v>0</v>
      </c>
      <c r="P109" s="41">
        <v>0</v>
      </c>
      <c r="T109" s="30">
        <v>275</v>
      </c>
      <c r="U109" s="31" t="s">
        <v>423</v>
      </c>
      <c r="V109" s="41">
        <f>C109/'1. Väestöennuste'!E109*1000</f>
        <v>0</v>
      </c>
      <c r="W109" s="41">
        <f>D109/'1. Väestöennuste'!F109*1000</f>
        <v>0</v>
      </c>
      <c r="X109" s="41">
        <f>E109/'1. Väestöennuste'!G109*1000</f>
        <v>0</v>
      </c>
      <c r="Y109" s="41">
        <f>F109/'1. Väestöennuste'!H109*1000</f>
        <v>0</v>
      </c>
      <c r="Z109" s="41">
        <f>G109/'1. Väestöennuste'!I109*1000</f>
        <v>0</v>
      </c>
      <c r="AA109" s="41">
        <f>H109/'1. Väestöennuste'!J109*1000</f>
        <v>0</v>
      </c>
      <c r="AB109" s="41">
        <f>I109/'1. Väestöennuste'!K109*1000</f>
        <v>0</v>
      </c>
      <c r="AC109" s="41">
        <f>J109/'1. Väestöennuste'!L109*1000</f>
        <v>0</v>
      </c>
      <c r="AD109" s="41">
        <f>K109/'1. Väestöennuste'!M109*1000</f>
        <v>0</v>
      </c>
      <c r="AE109" s="41">
        <f>L109/'1. Väestöennuste'!N109*1000</f>
        <v>0</v>
      </c>
      <c r="AF109" s="41">
        <f>M109/'1. Väestöennuste'!O109*1000</f>
        <v>0</v>
      </c>
      <c r="AG109" s="41">
        <f>N109/'1. Väestöennuste'!P109*1000</f>
        <v>0</v>
      </c>
      <c r="AH109" s="41">
        <f>O109/'1. Väestöennuste'!Q109*1000</f>
        <v>0</v>
      </c>
      <c r="AI109" s="41">
        <f>P109/'1. Väestöennuste'!R109*1000</f>
        <v>0</v>
      </c>
    </row>
    <row r="110" spans="1:35" x14ac:dyDescent="0.2">
      <c r="A110" s="30">
        <v>276</v>
      </c>
      <c r="B110" s="31" t="s">
        <v>424</v>
      </c>
      <c r="C110" s="64">
        <v>0</v>
      </c>
      <c r="D110" s="64"/>
      <c r="E110" s="64">
        <v>395</v>
      </c>
      <c r="F110" s="65">
        <v>36</v>
      </c>
      <c r="G110" s="65">
        <v>0</v>
      </c>
      <c r="H110" s="41">
        <v>0</v>
      </c>
      <c r="I110" s="165">
        <v>0</v>
      </c>
      <c r="J110" s="41">
        <v>0</v>
      </c>
      <c r="K110" s="41">
        <v>0</v>
      </c>
      <c r="L110" s="41">
        <v>0</v>
      </c>
      <c r="M110" s="41">
        <v>0</v>
      </c>
      <c r="N110" s="41">
        <v>0</v>
      </c>
      <c r="O110" s="41">
        <v>0</v>
      </c>
      <c r="P110" s="41">
        <v>0</v>
      </c>
      <c r="T110" s="30">
        <v>276</v>
      </c>
      <c r="U110" s="31" t="s">
        <v>424</v>
      </c>
      <c r="V110" s="41">
        <f>C110/'1. Väestöennuste'!E110*1000</f>
        <v>0</v>
      </c>
      <c r="W110" s="41">
        <f>D110/'1. Väestöennuste'!F110*1000</f>
        <v>0</v>
      </c>
      <c r="X110" s="41">
        <f>E110/'1. Väestöennuste'!G110*1000</f>
        <v>26.635198921105868</v>
      </c>
      <c r="Y110" s="41">
        <f>F110/'1. Väestöennuste'!H110*1000</f>
        <v>2.4244056838844368</v>
      </c>
      <c r="Z110" s="41">
        <f>G110/'1. Väestöennuste'!I110*1000</f>
        <v>0</v>
      </c>
      <c r="AA110" s="41">
        <f>H110/'1. Väestöennuste'!J110*1000</f>
        <v>0</v>
      </c>
      <c r="AB110" s="41">
        <f>I110/'1. Väestöennuste'!K110*1000</f>
        <v>0</v>
      </c>
      <c r="AC110" s="41">
        <f>J110/'1. Väestöennuste'!L110*1000</f>
        <v>0</v>
      </c>
      <c r="AD110" s="41">
        <f>K110/'1. Väestöennuste'!M110*1000</f>
        <v>0</v>
      </c>
      <c r="AE110" s="41">
        <f>L110/'1. Väestöennuste'!N110*1000</f>
        <v>0</v>
      </c>
      <c r="AF110" s="41">
        <f>M110/'1. Väestöennuste'!O110*1000</f>
        <v>0</v>
      </c>
      <c r="AG110" s="41">
        <f>N110/'1. Väestöennuste'!P110*1000</f>
        <v>0</v>
      </c>
      <c r="AH110" s="41">
        <f>O110/'1. Väestöennuste'!Q110*1000</f>
        <v>0</v>
      </c>
      <c r="AI110" s="41">
        <f>P110/'1. Väestöennuste'!R110*1000</f>
        <v>0</v>
      </c>
    </row>
    <row r="111" spans="1:35" x14ac:dyDescent="0.2">
      <c r="A111" s="30">
        <v>280</v>
      </c>
      <c r="B111" s="31" t="s">
        <v>425</v>
      </c>
      <c r="C111" s="64">
        <v>0</v>
      </c>
      <c r="D111" s="64"/>
      <c r="E111" s="64">
        <v>0</v>
      </c>
      <c r="F111" s="65">
        <v>0</v>
      </c>
      <c r="G111" s="65">
        <v>0</v>
      </c>
      <c r="H111" s="41">
        <v>0</v>
      </c>
      <c r="I111" s="165">
        <v>0</v>
      </c>
      <c r="J111" s="41">
        <v>0</v>
      </c>
      <c r="K111" s="41">
        <v>0</v>
      </c>
      <c r="L111" s="41">
        <v>0</v>
      </c>
      <c r="M111" s="41">
        <v>0</v>
      </c>
      <c r="N111" s="41">
        <v>0</v>
      </c>
      <c r="O111" s="41">
        <v>0</v>
      </c>
      <c r="P111" s="41">
        <v>0</v>
      </c>
      <c r="T111" s="30">
        <v>280</v>
      </c>
      <c r="U111" s="31" t="s">
        <v>425</v>
      </c>
      <c r="V111" s="41">
        <f>C111/'1. Väestöennuste'!E111*1000</f>
        <v>0</v>
      </c>
      <c r="W111" s="41">
        <f>D111/'1. Väestöennuste'!F111*1000</f>
        <v>0</v>
      </c>
      <c r="X111" s="41">
        <f>E111/'1. Väestöennuste'!G111*1000</f>
        <v>0</v>
      </c>
      <c r="Y111" s="41">
        <f>F111/'1. Väestöennuste'!H111*1000</f>
        <v>0</v>
      </c>
      <c r="Z111" s="41">
        <f>G111/'1. Väestöennuste'!I111*1000</f>
        <v>0</v>
      </c>
      <c r="AA111" s="41">
        <f>H111/'1. Väestöennuste'!J111*1000</f>
        <v>0</v>
      </c>
      <c r="AB111" s="41">
        <f>I111/'1. Väestöennuste'!K111*1000</f>
        <v>0</v>
      </c>
      <c r="AC111" s="41">
        <f>J111/'1. Väestöennuste'!L111*1000</f>
        <v>0</v>
      </c>
      <c r="AD111" s="41">
        <f>K111/'1. Väestöennuste'!M111*1000</f>
        <v>0</v>
      </c>
      <c r="AE111" s="41">
        <f>L111/'1. Väestöennuste'!N111*1000</f>
        <v>0</v>
      </c>
      <c r="AF111" s="41">
        <f>M111/'1. Väestöennuste'!O111*1000</f>
        <v>0</v>
      </c>
      <c r="AG111" s="41">
        <f>N111/'1. Väestöennuste'!P111*1000</f>
        <v>0</v>
      </c>
      <c r="AH111" s="41">
        <f>O111/'1. Väestöennuste'!Q111*1000</f>
        <v>0</v>
      </c>
      <c r="AI111" s="41">
        <f>P111/'1. Väestöennuste'!R111*1000</f>
        <v>0</v>
      </c>
    </row>
    <row r="112" spans="1:35" x14ac:dyDescent="0.2">
      <c r="A112" s="30">
        <v>284</v>
      </c>
      <c r="B112" s="31" t="s">
        <v>426</v>
      </c>
      <c r="C112" s="64">
        <v>0</v>
      </c>
      <c r="D112" s="64"/>
      <c r="E112" s="64">
        <v>0</v>
      </c>
      <c r="F112" s="65">
        <v>0</v>
      </c>
      <c r="G112" s="65">
        <v>0</v>
      </c>
      <c r="H112" s="41">
        <v>0</v>
      </c>
      <c r="I112" s="165">
        <v>0</v>
      </c>
      <c r="J112" s="41">
        <v>0</v>
      </c>
      <c r="K112" s="41">
        <v>0</v>
      </c>
      <c r="L112" s="41">
        <v>0</v>
      </c>
      <c r="M112" s="41">
        <v>0</v>
      </c>
      <c r="N112" s="41">
        <v>0</v>
      </c>
      <c r="O112" s="41">
        <v>0</v>
      </c>
      <c r="P112" s="41">
        <v>0</v>
      </c>
      <c r="T112" s="30">
        <v>284</v>
      </c>
      <c r="U112" s="31" t="s">
        <v>426</v>
      </c>
      <c r="V112" s="41">
        <f>C112/'1. Väestöennuste'!E112*1000</f>
        <v>0</v>
      </c>
      <c r="W112" s="41">
        <f>D112/'1. Väestöennuste'!F112*1000</f>
        <v>0</v>
      </c>
      <c r="X112" s="41">
        <f>E112/'1. Väestöennuste'!G112*1000</f>
        <v>0</v>
      </c>
      <c r="Y112" s="41">
        <f>F112/'1. Väestöennuste'!H112*1000</f>
        <v>0</v>
      </c>
      <c r="Z112" s="41">
        <f>G112/'1. Väestöennuste'!I112*1000</f>
        <v>0</v>
      </c>
      <c r="AA112" s="41">
        <f>H112/'1. Väestöennuste'!J112*1000</f>
        <v>0</v>
      </c>
      <c r="AB112" s="41">
        <f>I112/'1. Väestöennuste'!K112*1000</f>
        <v>0</v>
      </c>
      <c r="AC112" s="41">
        <f>J112/'1. Väestöennuste'!L112*1000</f>
        <v>0</v>
      </c>
      <c r="AD112" s="41">
        <f>K112/'1. Väestöennuste'!M112*1000</f>
        <v>0</v>
      </c>
      <c r="AE112" s="41">
        <f>L112/'1. Väestöennuste'!N112*1000</f>
        <v>0</v>
      </c>
      <c r="AF112" s="41">
        <f>M112/'1. Väestöennuste'!O112*1000</f>
        <v>0</v>
      </c>
      <c r="AG112" s="41">
        <f>N112/'1. Väestöennuste'!P112*1000</f>
        <v>0</v>
      </c>
      <c r="AH112" s="41">
        <f>O112/'1. Väestöennuste'!Q112*1000</f>
        <v>0</v>
      </c>
      <c r="AI112" s="41">
        <f>P112/'1. Väestöennuste'!R112*1000</f>
        <v>0</v>
      </c>
    </row>
    <row r="113" spans="1:35" x14ac:dyDescent="0.2">
      <c r="A113" s="30">
        <v>285</v>
      </c>
      <c r="B113" s="31" t="s">
        <v>427</v>
      </c>
      <c r="C113" s="64">
        <v>0</v>
      </c>
      <c r="D113" s="64">
        <v>158</v>
      </c>
      <c r="E113" s="64">
        <v>39197</v>
      </c>
      <c r="F113" s="65">
        <v>7872</v>
      </c>
      <c r="G113" s="65">
        <v>586</v>
      </c>
      <c r="H113" s="41">
        <v>0</v>
      </c>
      <c r="I113" s="165">
        <v>-120.77047</v>
      </c>
      <c r="J113" s="41">
        <v>3.1325799999999999</v>
      </c>
      <c r="K113" s="41">
        <v>0</v>
      </c>
      <c r="L113" s="41">
        <v>0</v>
      </c>
      <c r="M113" s="41">
        <v>0</v>
      </c>
      <c r="N113" s="41">
        <v>0</v>
      </c>
      <c r="O113" s="41">
        <v>0</v>
      </c>
      <c r="P113" s="41">
        <v>0</v>
      </c>
      <c r="T113" s="30">
        <v>285</v>
      </c>
      <c r="U113" s="31" t="s">
        <v>427</v>
      </c>
      <c r="V113" s="41">
        <f>C113/'1. Väestöennuste'!E113*1000</f>
        <v>0</v>
      </c>
      <c r="W113" s="41">
        <f>D113/'1. Väestöennuste'!F113*1000</f>
        <v>2.915828519755661</v>
      </c>
      <c r="X113" s="41">
        <f>E113/'1. Väestöennuste'!G113*1000</f>
        <v>732.12051028222413</v>
      </c>
      <c r="Y113" s="41">
        <f>F113/'1. Väestöennuste'!H113*1000</f>
        <v>148.85691053835825</v>
      </c>
      <c r="Z113" s="41">
        <f>G113/'1. Väestöennuste'!I113*1000</f>
        <v>11.241990561332157</v>
      </c>
      <c r="AA113" s="41">
        <f>H113/'1. Väestöennuste'!J113*1000</f>
        <v>0</v>
      </c>
      <c r="AB113" s="41">
        <f>I113/'1. Väestöennuste'!K113*1000</f>
        <v>-2.3569108721531586</v>
      </c>
      <c r="AC113" s="41">
        <f>J113/'1. Väestöennuste'!L113*1000</f>
        <v>6.1887903273603724E-2</v>
      </c>
      <c r="AD113" s="41">
        <f>K113/'1. Väestöennuste'!M113*1000</f>
        <v>0</v>
      </c>
      <c r="AE113" s="41">
        <f>L113/'1. Väestöennuste'!N113*1000</f>
        <v>0</v>
      </c>
      <c r="AF113" s="41">
        <f>M113/'1. Väestöennuste'!O113*1000</f>
        <v>0</v>
      </c>
      <c r="AG113" s="41">
        <f>N113/'1. Väestöennuste'!P113*1000</f>
        <v>0</v>
      </c>
      <c r="AH113" s="41">
        <f>O113/'1. Väestöennuste'!Q113*1000</f>
        <v>0</v>
      </c>
      <c r="AI113" s="41">
        <f>P113/'1. Väestöennuste'!R113*1000</f>
        <v>0</v>
      </c>
    </row>
    <row r="114" spans="1:35" x14ac:dyDescent="0.2">
      <c r="A114" s="30">
        <v>286</v>
      </c>
      <c r="B114" s="31" t="s">
        <v>428</v>
      </c>
      <c r="C114" s="64">
        <v>700</v>
      </c>
      <c r="D114" s="64">
        <v>1492</v>
      </c>
      <c r="E114" s="64">
        <v>0</v>
      </c>
      <c r="F114" s="65">
        <v>0</v>
      </c>
      <c r="G114" s="65">
        <v>0</v>
      </c>
      <c r="H114" s="41">
        <v>0</v>
      </c>
      <c r="I114" s="165">
        <v>0</v>
      </c>
      <c r="J114" s="41">
        <v>0</v>
      </c>
      <c r="K114" s="41">
        <v>0</v>
      </c>
      <c r="L114" s="41">
        <v>0</v>
      </c>
      <c r="M114" s="41">
        <v>0</v>
      </c>
      <c r="N114" s="41">
        <v>0</v>
      </c>
      <c r="O114" s="41">
        <v>0</v>
      </c>
      <c r="P114" s="41">
        <v>0</v>
      </c>
      <c r="T114" s="30">
        <v>286</v>
      </c>
      <c r="U114" s="31" t="s">
        <v>428</v>
      </c>
      <c r="V114" s="41">
        <f>C114/'1. Väestöennuste'!E114*1000</f>
        <v>8.1532816958825922</v>
      </c>
      <c r="W114" s="41">
        <f>D114/'1. Väestöennuste'!F114*1000</f>
        <v>17.489977258340559</v>
      </c>
      <c r="X114" s="41">
        <f>E114/'1. Väestöennuste'!G114*1000</f>
        <v>0</v>
      </c>
      <c r="Y114" s="41">
        <f>F114/'1. Väestöennuste'!H114*1000</f>
        <v>0</v>
      </c>
      <c r="Z114" s="41">
        <f>G114/'1. Väestöennuste'!I114*1000</f>
        <v>0</v>
      </c>
      <c r="AA114" s="41">
        <f>H114/'1. Väestöennuste'!J114*1000</f>
        <v>0</v>
      </c>
      <c r="AB114" s="41">
        <f>I114/'1. Väestöennuste'!K114*1000</f>
        <v>0</v>
      </c>
      <c r="AC114" s="41">
        <f>J114/'1. Väestöennuste'!L114*1000</f>
        <v>0</v>
      </c>
      <c r="AD114" s="41">
        <f>K114/'1. Väestöennuste'!M114*1000</f>
        <v>0</v>
      </c>
      <c r="AE114" s="41">
        <f>L114/'1. Väestöennuste'!N114*1000</f>
        <v>0</v>
      </c>
      <c r="AF114" s="41">
        <f>M114/'1. Väestöennuste'!O114*1000</f>
        <v>0</v>
      </c>
      <c r="AG114" s="41">
        <f>N114/'1. Väestöennuste'!P114*1000</f>
        <v>0</v>
      </c>
      <c r="AH114" s="41">
        <f>O114/'1. Väestöennuste'!Q114*1000</f>
        <v>0</v>
      </c>
      <c r="AI114" s="41">
        <f>P114/'1. Väestöennuste'!R114*1000</f>
        <v>0</v>
      </c>
    </row>
    <row r="115" spans="1:35" x14ac:dyDescent="0.2">
      <c r="A115" s="30">
        <v>287</v>
      </c>
      <c r="B115" s="31" t="s">
        <v>429</v>
      </c>
      <c r="C115" s="64">
        <v>0</v>
      </c>
      <c r="D115" s="64"/>
      <c r="E115" s="64">
        <v>-3</v>
      </c>
      <c r="F115" s="65">
        <v>0</v>
      </c>
      <c r="G115" s="65">
        <v>0</v>
      </c>
      <c r="H115" s="41">
        <v>0</v>
      </c>
      <c r="I115" s="165">
        <v>0</v>
      </c>
      <c r="J115" s="41">
        <v>0</v>
      </c>
      <c r="K115" s="41">
        <v>0</v>
      </c>
      <c r="L115" s="41">
        <v>0</v>
      </c>
      <c r="M115" s="41">
        <v>0</v>
      </c>
      <c r="N115" s="41">
        <v>0</v>
      </c>
      <c r="O115" s="41">
        <v>0</v>
      </c>
      <c r="P115" s="41">
        <v>0</v>
      </c>
      <c r="T115" s="30">
        <v>287</v>
      </c>
      <c r="U115" s="31" t="s">
        <v>429</v>
      </c>
      <c r="V115" s="41">
        <f>C115/'1. Väestöennuste'!E115*1000</f>
        <v>0</v>
      </c>
      <c r="W115" s="41">
        <f>D115/'1. Väestöennuste'!F115*1000</f>
        <v>0</v>
      </c>
      <c r="X115" s="41">
        <f>E115/'1. Väestöennuste'!G115*1000</f>
        <v>-0.45194335643266048</v>
      </c>
      <c r="Y115" s="41">
        <f>F115/'1. Väestöennuste'!H115*1000</f>
        <v>0</v>
      </c>
      <c r="Z115" s="41">
        <f>G115/'1. Väestöennuste'!I115*1000</f>
        <v>0</v>
      </c>
      <c r="AA115" s="41">
        <f>H115/'1. Väestöennuste'!J115*1000</f>
        <v>0</v>
      </c>
      <c r="AB115" s="41">
        <f>I115/'1. Väestöennuste'!K115*1000</f>
        <v>0</v>
      </c>
      <c r="AC115" s="41">
        <f>J115/'1. Väestöennuste'!L115*1000</f>
        <v>0</v>
      </c>
      <c r="AD115" s="41">
        <f>K115/'1. Väestöennuste'!M115*1000</f>
        <v>0</v>
      </c>
      <c r="AE115" s="41">
        <f>L115/'1. Väestöennuste'!N115*1000</f>
        <v>0</v>
      </c>
      <c r="AF115" s="41">
        <f>M115/'1. Väestöennuste'!O115*1000</f>
        <v>0</v>
      </c>
      <c r="AG115" s="41">
        <f>N115/'1. Väestöennuste'!P115*1000</f>
        <v>0</v>
      </c>
      <c r="AH115" s="41">
        <f>O115/'1. Väestöennuste'!Q115*1000</f>
        <v>0</v>
      </c>
      <c r="AI115" s="41">
        <f>P115/'1. Väestöennuste'!R115*1000</f>
        <v>0</v>
      </c>
    </row>
    <row r="116" spans="1:35" x14ac:dyDescent="0.2">
      <c r="A116" s="30">
        <v>288</v>
      </c>
      <c r="B116" s="31" t="s">
        <v>430</v>
      </c>
      <c r="C116" s="64">
        <v>0</v>
      </c>
      <c r="D116" s="64"/>
      <c r="E116" s="64">
        <v>0</v>
      </c>
      <c r="F116" s="65">
        <v>0</v>
      </c>
      <c r="G116" s="65">
        <v>0</v>
      </c>
      <c r="H116" s="41">
        <v>0</v>
      </c>
      <c r="I116" s="165">
        <v>0</v>
      </c>
      <c r="J116" s="41">
        <v>0</v>
      </c>
      <c r="K116" s="41">
        <v>0</v>
      </c>
      <c r="L116" s="41">
        <v>0</v>
      </c>
      <c r="M116" s="41">
        <v>0</v>
      </c>
      <c r="N116" s="41">
        <v>0</v>
      </c>
      <c r="O116" s="41">
        <v>0</v>
      </c>
      <c r="P116" s="41">
        <v>0</v>
      </c>
      <c r="T116" s="30">
        <v>288</v>
      </c>
      <c r="U116" s="31" t="s">
        <v>430</v>
      </c>
      <c r="V116" s="41">
        <f>C116/'1. Väestöennuste'!E116*1000</f>
        <v>0</v>
      </c>
      <c r="W116" s="41">
        <f>D116/'1. Väestöennuste'!F116*1000</f>
        <v>0</v>
      </c>
      <c r="X116" s="41">
        <f>E116/'1. Väestöennuste'!G116*1000</f>
        <v>0</v>
      </c>
      <c r="Y116" s="41">
        <f>F116/'1. Väestöennuste'!H116*1000</f>
        <v>0</v>
      </c>
      <c r="Z116" s="41">
        <f>G116/'1. Väestöennuste'!I116*1000</f>
        <v>0</v>
      </c>
      <c r="AA116" s="41">
        <f>H116/'1. Väestöennuste'!J116*1000</f>
        <v>0</v>
      </c>
      <c r="AB116" s="41">
        <f>I116/'1. Väestöennuste'!K116*1000</f>
        <v>0</v>
      </c>
      <c r="AC116" s="41">
        <f>J116/'1. Väestöennuste'!L116*1000</f>
        <v>0</v>
      </c>
      <c r="AD116" s="41">
        <f>K116/'1. Väestöennuste'!M116*1000</f>
        <v>0</v>
      </c>
      <c r="AE116" s="41">
        <f>L116/'1. Väestöennuste'!N116*1000</f>
        <v>0</v>
      </c>
      <c r="AF116" s="41">
        <f>M116/'1. Väestöennuste'!O116*1000</f>
        <v>0</v>
      </c>
      <c r="AG116" s="41">
        <f>N116/'1. Väestöennuste'!P116*1000</f>
        <v>0</v>
      </c>
      <c r="AH116" s="41">
        <f>O116/'1. Väestöennuste'!Q116*1000</f>
        <v>0</v>
      </c>
      <c r="AI116" s="41">
        <f>P116/'1. Väestöennuste'!R116*1000</f>
        <v>0</v>
      </c>
    </row>
    <row r="117" spans="1:35" x14ac:dyDescent="0.2">
      <c r="A117" s="30">
        <v>290</v>
      </c>
      <c r="B117" s="31" t="s">
        <v>431</v>
      </c>
      <c r="C117" s="64">
        <v>0</v>
      </c>
      <c r="D117" s="64">
        <v>267</v>
      </c>
      <c r="E117" s="64">
        <v>0</v>
      </c>
      <c r="F117" s="65">
        <v>0</v>
      </c>
      <c r="G117" s="65">
        <v>0</v>
      </c>
      <c r="H117" s="41">
        <v>0</v>
      </c>
      <c r="I117" s="165">
        <v>0</v>
      </c>
      <c r="J117" s="41">
        <v>456.17500000000001</v>
      </c>
      <c r="K117" s="41">
        <v>0</v>
      </c>
      <c r="L117" s="41">
        <v>0</v>
      </c>
      <c r="M117" s="41">
        <v>0</v>
      </c>
      <c r="N117" s="41">
        <v>0</v>
      </c>
      <c r="O117" s="41">
        <v>0</v>
      </c>
      <c r="P117" s="41">
        <v>0</v>
      </c>
      <c r="T117" s="30">
        <v>290</v>
      </c>
      <c r="U117" s="31" t="s">
        <v>431</v>
      </c>
      <c r="V117" s="41">
        <f>C117/'1. Väestöennuste'!E117*1000</f>
        <v>0</v>
      </c>
      <c r="W117" s="41">
        <f>D117/'1. Väestöennuste'!F117*1000</f>
        <v>30.877761073204578</v>
      </c>
      <c r="X117" s="41">
        <f>E117/'1. Väestöennuste'!G117*1000</f>
        <v>0</v>
      </c>
      <c r="Y117" s="41">
        <f>F117/'1. Väestöennuste'!H117*1000</f>
        <v>0</v>
      </c>
      <c r="Z117" s="41">
        <f>G117/'1. Väestöennuste'!I117*1000</f>
        <v>0</v>
      </c>
      <c r="AA117" s="41">
        <f>H117/'1. Väestöennuste'!J117*1000</f>
        <v>0</v>
      </c>
      <c r="AB117" s="41">
        <f>I117/'1. Väestöennuste'!K117*1000</f>
        <v>0</v>
      </c>
      <c r="AC117" s="41">
        <f>J117/'1. Väestöennuste'!L117*1000</f>
        <v>58.82333978078659</v>
      </c>
      <c r="AD117" s="41">
        <f>K117/'1. Väestöennuste'!M117*1000</f>
        <v>0</v>
      </c>
      <c r="AE117" s="41">
        <f>L117/'1. Väestöennuste'!N117*1000</f>
        <v>0</v>
      </c>
      <c r="AF117" s="41">
        <f>M117/'1. Väestöennuste'!O117*1000</f>
        <v>0</v>
      </c>
      <c r="AG117" s="41">
        <f>N117/'1. Väestöennuste'!P117*1000</f>
        <v>0</v>
      </c>
      <c r="AH117" s="41">
        <f>O117/'1. Väestöennuste'!Q117*1000</f>
        <v>0</v>
      </c>
      <c r="AI117" s="41">
        <f>P117/'1. Väestöennuste'!R117*1000</f>
        <v>0</v>
      </c>
    </row>
    <row r="118" spans="1:35" x14ac:dyDescent="0.2">
      <c r="A118" s="30">
        <v>291</v>
      </c>
      <c r="B118" s="31" t="s">
        <v>432</v>
      </c>
      <c r="C118" s="64">
        <v>0</v>
      </c>
      <c r="D118" s="64"/>
      <c r="E118" s="64">
        <v>0</v>
      </c>
      <c r="F118" s="65">
        <v>0</v>
      </c>
      <c r="G118" s="65">
        <v>0</v>
      </c>
      <c r="H118" s="41">
        <v>0</v>
      </c>
      <c r="I118" s="165">
        <v>0</v>
      </c>
      <c r="J118" s="41">
        <v>0</v>
      </c>
      <c r="K118" s="41">
        <v>0</v>
      </c>
      <c r="L118" s="41">
        <v>0</v>
      </c>
      <c r="M118" s="41">
        <v>0</v>
      </c>
      <c r="N118" s="41">
        <v>0</v>
      </c>
      <c r="O118" s="41">
        <v>0</v>
      </c>
      <c r="P118" s="41">
        <v>0</v>
      </c>
      <c r="T118" s="30">
        <v>291</v>
      </c>
      <c r="U118" s="31" t="s">
        <v>432</v>
      </c>
      <c r="V118" s="41">
        <f>C118/'1. Väestöennuste'!E118*1000</f>
        <v>0</v>
      </c>
      <c r="W118" s="41">
        <f>D118/'1. Väestöennuste'!F118*1000</f>
        <v>0</v>
      </c>
      <c r="X118" s="41">
        <f>E118/'1. Väestöennuste'!G118*1000</f>
        <v>0</v>
      </c>
      <c r="Y118" s="41">
        <f>F118/'1. Väestöennuste'!H118*1000</f>
        <v>0</v>
      </c>
      <c r="Z118" s="41">
        <f>G118/'1. Väestöennuste'!I118*1000</f>
        <v>0</v>
      </c>
      <c r="AA118" s="41">
        <f>H118/'1. Väestöennuste'!J118*1000</f>
        <v>0</v>
      </c>
      <c r="AB118" s="41">
        <f>I118/'1. Väestöennuste'!K118*1000</f>
        <v>0</v>
      </c>
      <c r="AC118" s="41">
        <f>J118/'1. Väestöennuste'!L118*1000</f>
        <v>0</v>
      </c>
      <c r="AD118" s="41">
        <f>K118/'1. Väestöennuste'!M118*1000</f>
        <v>0</v>
      </c>
      <c r="AE118" s="41">
        <f>L118/'1. Väestöennuste'!N118*1000</f>
        <v>0</v>
      </c>
      <c r="AF118" s="41">
        <f>M118/'1. Väestöennuste'!O118*1000</f>
        <v>0</v>
      </c>
      <c r="AG118" s="41">
        <f>N118/'1. Väestöennuste'!P118*1000</f>
        <v>0</v>
      </c>
      <c r="AH118" s="41">
        <f>O118/'1. Väestöennuste'!Q118*1000</f>
        <v>0</v>
      </c>
      <c r="AI118" s="41">
        <f>P118/'1. Väestöennuste'!R118*1000</f>
        <v>0</v>
      </c>
    </row>
    <row r="119" spans="1:35" x14ac:dyDescent="0.2">
      <c r="A119" s="30">
        <v>297</v>
      </c>
      <c r="B119" s="31" t="s">
        <v>433</v>
      </c>
      <c r="C119" s="64">
        <v>270</v>
      </c>
      <c r="D119" s="64">
        <v>780</v>
      </c>
      <c r="E119" s="64">
        <v>0</v>
      </c>
      <c r="F119" s="65">
        <v>12386</v>
      </c>
      <c r="G119" s="65">
        <v>92867</v>
      </c>
      <c r="H119" s="41">
        <v>9213</v>
      </c>
      <c r="I119" s="165">
        <v>0</v>
      </c>
      <c r="J119" s="41">
        <v>0</v>
      </c>
      <c r="K119" s="41">
        <v>0</v>
      </c>
      <c r="L119" s="41">
        <v>0</v>
      </c>
      <c r="M119" s="41">
        <v>0</v>
      </c>
      <c r="N119" s="41">
        <v>0</v>
      </c>
      <c r="O119" s="41">
        <v>0</v>
      </c>
      <c r="P119" s="41">
        <v>0</v>
      </c>
      <c r="T119" s="30">
        <v>297</v>
      </c>
      <c r="U119" s="31" t="s">
        <v>433</v>
      </c>
      <c r="V119" s="41">
        <f>C119/'1. Väestöennuste'!E119*1000</f>
        <v>2.3092515459156182</v>
      </c>
      <c r="W119" s="41">
        <f>D119/'1. Väestöennuste'!F119*1000</f>
        <v>6.6247664345167312</v>
      </c>
      <c r="X119" s="41">
        <f>E119/'1. Väestöennuste'!G119*1000</f>
        <v>0</v>
      </c>
      <c r="Y119" s="41">
        <f>F119/'1. Väestöennuste'!H119*1000</f>
        <v>104.37875008427156</v>
      </c>
      <c r="Z119" s="41">
        <f>G119/'1. Väestöennuste'!I119*1000</f>
        <v>778.54999077815603</v>
      </c>
      <c r="AA119" s="41">
        <f>H119/'1. Väestöennuste'!J119*1000</f>
        <v>76.640878462690296</v>
      </c>
      <c r="AB119" s="41">
        <f>I119/'1. Väestöennuste'!K119*1000</f>
        <v>0</v>
      </c>
      <c r="AC119" s="41">
        <f>J119/'1. Väestöennuste'!L119*1000</f>
        <v>0</v>
      </c>
      <c r="AD119" s="41">
        <f>K119/'1. Väestöennuste'!M119*1000</f>
        <v>0</v>
      </c>
      <c r="AE119" s="41">
        <f>L119/'1. Väestöennuste'!N119*1000</f>
        <v>0</v>
      </c>
      <c r="AF119" s="41">
        <f>M119/'1. Väestöennuste'!O119*1000</f>
        <v>0</v>
      </c>
      <c r="AG119" s="41">
        <f>N119/'1. Väestöennuste'!P119*1000</f>
        <v>0</v>
      </c>
      <c r="AH119" s="41">
        <f>O119/'1. Väestöennuste'!Q119*1000</f>
        <v>0</v>
      </c>
      <c r="AI119" s="41">
        <f>P119/'1. Väestöennuste'!R119*1000</f>
        <v>0</v>
      </c>
    </row>
    <row r="120" spans="1:35" x14ac:dyDescent="0.2">
      <c r="A120" s="30">
        <v>300</v>
      </c>
      <c r="B120" s="31" t="s">
        <v>434</v>
      </c>
      <c r="C120" s="64">
        <v>0</v>
      </c>
      <c r="D120" s="64"/>
      <c r="E120" s="64">
        <v>0</v>
      </c>
      <c r="F120" s="65">
        <v>0</v>
      </c>
      <c r="G120" s="65">
        <v>0</v>
      </c>
      <c r="H120" s="41">
        <v>0</v>
      </c>
      <c r="I120" s="165">
        <v>3019.4295699999998</v>
      </c>
      <c r="J120" s="41">
        <v>0</v>
      </c>
      <c r="K120" s="41">
        <v>-257.73750000000001</v>
      </c>
      <c r="L120" s="41">
        <v>0</v>
      </c>
      <c r="M120" s="41">
        <v>0</v>
      </c>
      <c r="N120" s="41">
        <v>0</v>
      </c>
      <c r="O120" s="41">
        <v>0</v>
      </c>
      <c r="P120" s="41">
        <v>0</v>
      </c>
      <c r="T120" s="30">
        <v>300</v>
      </c>
      <c r="U120" s="31" t="s">
        <v>434</v>
      </c>
      <c r="V120" s="41">
        <f>C120/'1. Väestöennuste'!E120*1000</f>
        <v>0</v>
      </c>
      <c r="W120" s="41">
        <f>D120/'1. Väestöennuste'!F120*1000</f>
        <v>0</v>
      </c>
      <c r="X120" s="41">
        <f>E120/'1. Väestöennuste'!G120*1000</f>
        <v>0</v>
      </c>
      <c r="Y120" s="41">
        <f>F120/'1. Väestöennuste'!H120*1000</f>
        <v>0</v>
      </c>
      <c r="Z120" s="41">
        <f>G120/'1. Väestöennuste'!I120*1000</f>
        <v>0</v>
      </c>
      <c r="AA120" s="41">
        <f>H120/'1. Väestöennuste'!J120*1000</f>
        <v>0</v>
      </c>
      <c r="AB120" s="41">
        <f>I120/'1. Väestöennuste'!K120*1000</f>
        <v>855.84738378684801</v>
      </c>
      <c r="AC120" s="41">
        <f>J120/'1. Väestöennuste'!L120*1000</f>
        <v>0</v>
      </c>
      <c r="AD120" s="41">
        <f>K120/'1. Väestöennuste'!M120*1000</f>
        <v>-76.231144631765758</v>
      </c>
      <c r="AE120" s="41">
        <f>L120/'1. Väestöennuste'!N120*1000</f>
        <v>0</v>
      </c>
      <c r="AF120" s="41">
        <f>M120/'1. Väestöennuste'!O120*1000</f>
        <v>0</v>
      </c>
      <c r="AG120" s="41">
        <f>N120/'1. Väestöennuste'!P120*1000</f>
        <v>0</v>
      </c>
      <c r="AH120" s="41">
        <f>O120/'1. Väestöennuste'!Q120*1000</f>
        <v>0</v>
      </c>
      <c r="AI120" s="41">
        <f>P120/'1. Väestöennuste'!R120*1000</f>
        <v>0</v>
      </c>
    </row>
    <row r="121" spans="1:35" x14ac:dyDescent="0.2">
      <c r="A121" s="30">
        <v>301</v>
      </c>
      <c r="B121" s="31" t="s">
        <v>435</v>
      </c>
      <c r="C121" s="64">
        <v>0</v>
      </c>
      <c r="D121" s="64"/>
      <c r="E121" s="64">
        <v>0</v>
      </c>
      <c r="F121" s="65">
        <v>0</v>
      </c>
      <c r="G121" s="65">
        <v>0</v>
      </c>
      <c r="H121" s="41">
        <v>0</v>
      </c>
      <c r="I121" s="165">
        <v>0</v>
      </c>
      <c r="J121" s="41">
        <v>0</v>
      </c>
      <c r="K121" s="41">
        <v>0</v>
      </c>
      <c r="L121" s="41">
        <v>0</v>
      </c>
      <c r="M121" s="41">
        <v>0</v>
      </c>
      <c r="N121" s="41">
        <v>0</v>
      </c>
      <c r="O121" s="41">
        <v>0</v>
      </c>
      <c r="P121" s="41">
        <v>0</v>
      </c>
      <c r="T121" s="30">
        <v>301</v>
      </c>
      <c r="U121" s="31" t="s">
        <v>435</v>
      </c>
      <c r="V121" s="41">
        <f>C121/'1. Väestöennuste'!E121*1000</f>
        <v>0</v>
      </c>
      <c r="W121" s="41">
        <f>D121/'1. Väestöennuste'!F121*1000</f>
        <v>0</v>
      </c>
      <c r="X121" s="41">
        <f>E121/'1. Väestöennuste'!G121*1000</f>
        <v>0</v>
      </c>
      <c r="Y121" s="41">
        <f>F121/'1. Väestöennuste'!H121*1000</f>
        <v>0</v>
      </c>
      <c r="Z121" s="41">
        <f>G121/'1. Väestöennuste'!I121*1000</f>
        <v>0</v>
      </c>
      <c r="AA121" s="41">
        <f>H121/'1. Väestöennuste'!J121*1000</f>
        <v>0</v>
      </c>
      <c r="AB121" s="41">
        <f>I121/'1. Väestöennuste'!K121*1000</f>
        <v>0</v>
      </c>
      <c r="AC121" s="41">
        <f>J121/'1. Väestöennuste'!L121*1000</f>
        <v>0</v>
      </c>
      <c r="AD121" s="41">
        <f>K121/'1. Väestöennuste'!M121*1000</f>
        <v>0</v>
      </c>
      <c r="AE121" s="41">
        <f>L121/'1. Väestöennuste'!N121*1000</f>
        <v>0</v>
      </c>
      <c r="AF121" s="41">
        <f>M121/'1. Väestöennuste'!O121*1000</f>
        <v>0</v>
      </c>
      <c r="AG121" s="41">
        <f>N121/'1. Väestöennuste'!P121*1000</f>
        <v>0</v>
      </c>
      <c r="AH121" s="41">
        <f>O121/'1. Väestöennuste'!Q121*1000</f>
        <v>0</v>
      </c>
      <c r="AI121" s="41">
        <f>P121/'1. Väestöennuste'!R121*1000</f>
        <v>0</v>
      </c>
    </row>
    <row r="122" spans="1:35" x14ac:dyDescent="0.2">
      <c r="A122" s="30">
        <v>304</v>
      </c>
      <c r="B122" s="31" t="s">
        <v>436</v>
      </c>
      <c r="C122" s="64">
        <v>0</v>
      </c>
      <c r="D122" s="64">
        <v>-400</v>
      </c>
      <c r="E122" s="64">
        <v>0</v>
      </c>
      <c r="F122" s="65">
        <v>0</v>
      </c>
      <c r="G122" s="65">
        <v>0</v>
      </c>
      <c r="H122" s="41">
        <v>0</v>
      </c>
      <c r="I122" s="165">
        <v>0</v>
      </c>
      <c r="J122" s="41">
        <v>223.96227999999999</v>
      </c>
      <c r="K122" s="41">
        <v>0</v>
      </c>
      <c r="L122" s="41">
        <v>150</v>
      </c>
      <c r="M122" s="41">
        <v>150</v>
      </c>
      <c r="N122" s="41">
        <v>150</v>
      </c>
      <c r="O122" s="41">
        <v>0</v>
      </c>
      <c r="P122" s="41">
        <v>0</v>
      </c>
      <c r="T122" s="30">
        <v>304</v>
      </c>
      <c r="U122" s="31" t="s">
        <v>436</v>
      </c>
      <c r="V122" s="41">
        <f>C122/'1. Väestöennuste'!E122*1000</f>
        <v>0</v>
      </c>
      <c r="W122" s="41">
        <f>D122/'1. Väestöennuste'!F122*1000</f>
        <v>-440.52863436123346</v>
      </c>
      <c r="X122" s="41">
        <f>E122/'1. Väestöennuste'!G122*1000</f>
        <v>0</v>
      </c>
      <c r="Y122" s="41">
        <f>F122/'1. Väestöennuste'!H122*1000</f>
        <v>0</v>
      </c>
      <c r="Z122" s="41">
        <f>G122/'1. Väestöennuste'!I122*1000</f>
        <v>0</v>
      </c>
      <c r="AA122" s="41">
        <f>H122/'1. Väestöennuste'!J122*1000</f>
        <v>0</v>
      </c>
      <c r="AB122" s="41">
        <f>I122/'1. Väestöennuste'!K122*1000</f>
        <v>0</v>
      </c>
      <c r="AC122" s="41">
        <f>J122/'1. Väestöennuste'!L122*1000</f>
        <v>235.74976842105264</v>
      </c>
      <c r="AD122" s="41">
        <f>K122/'1. Väestöennuste'!M122*1000</f>
        <v>0</v>
      </c>
      <c r="AE122" s="41">
        <f>L122/'1. Väestöennuste'!N122*1000</f>
        <v>146.34146341463415</v>
      </c>
      <c r="AF122" s="41">
        <f>M122/'1. Väestöennuste'!O122*1000</f>
        <v>144.6480231436837</v>
      </c>
      <c r="AG122" s="41">
        <f>N122/'1. Väestöennuste'!P122*1000</f>
        <v>142.85714285714286</v>
      </c>
      <c r="AH122" s="41">
        <f>O122/'1. Väestöennuste'!Q122*1000</f>
        <v>0</v>
      </c>
      <c r="AI122" s="41">
        <f>P122/'1. Väestöennuste'!R122*1000</f>
        <v>0</v>
      </c>
    </row>
    <row r="123" spans="1:35" x14ac:dyDescent="0.2">
      <c r="A123" s="30">
        <v>305</v>
      </c>
      <c r="B123" s="31" t="s">
        <v>437</v>
      </c>
      <c r="C123" s="64">
        <v>0</v>
      </c>
      <c r="D123" s="64"/>
      <c r="E123" s="64">
        <v>0</v>
      </c>
      <c r="F123" s="65">
        <v>0</v>
      </c>
      <c r="G123" s="65">
        <v>0</v>
      </c>
      <c r="H123" s="41">
        <v>0</v>
      </c>
      <c r="I123" s="165">
        <v>0</v>
      </c>
      <c r="J123" s="41">
        <v>0</v>
      </c>
      <c r="K123" s="41">
        <v>0</v>
      </c>
      <c r="L123" s="41">
        <v>0</v>
      </c>
      <c r="M123" s="41">
        <v>0</v>
      </c>
      <c r="N123" s="41">
        <v>0</v>
      </c>
      <c r="O123" s="41">
        <v>0</v>
      </c>
      <c r="P123" s="41">
        <v>0</v>
      </c>
      <c r="T123" s="30">
        <v>305</v>
      </c>
      <c r="U123" s="31" t="s">
        <v>437</v>
      </c>
      <c r="V123" s="41">
        <f>C123/'1. Väestöennuste'!E123*1000</f>
        <v>0</v>
      </c>
      <c r="W123" s="41">
        <f>D123/'1. Väestöennuste'!F123*1000</f>
        <v>0</v>
      </c>
      <c r="X123" s="41">
        <f>E123/'1. Väestöennuste'!G123*1000</f>
        <v>0</v>
      </c>
      <c r="Y123" s="41">
        <f>F123/'1. Väestöennuste'!H123*1000</f>
        <v>0</v>
      </c>
      <c r="Z123" s="41">
        <f>G123/'1. Väestöennuste'!I123*1000</f>
        <v>0</v>
      </c>
      <c r="AA123" s="41">
        <f>H123/'1. Väestöennuste'!J123*1000</f>
        <v>0</v>
      </c>
      <c r="AB123" s="41">
        <f>I123/'1. Väestöennuste'!K123*1000</f>
        <v>0</v>
      </c>
      <c r="AC123" s="41">
        <f>J123/'1. Väestöennuste'!L123*1000</f>
        <v>0</v>
      </c>
      <c r="AD123" s="41">
        <f>K123/'1. Väestöennuste'!M123*1000</f>
        <v>0</v>
      </c>
      <c r="AE123" s="41">
        <f>L123/'1. Väestöennuste'!N123*1000</f>
        <v>0</v>
      </c>
      <c r="AF123" s="41">
        <f>M123/'1. Väestöennuste'!O123*1000</f>
        <v>0</v>
      </c>
      <c r="AG123" s="41">
        <f>N123/'1. Väestöennuste'!P123*1000</f>
        <v>0</v>
      </c>
      <c r="AH123" s="41">
        <f>O123/'1. Väestöennuste'!Q123*1000</f>
        <v>0</v>
      </c>
      <c r="AI123" s="41">
        <f>P123/'1. Väestöennuste'!R123*1000</f>
        <v>0</v>
      </c>
    </row>
    <row r="124" spans="1:35" x14ac:dyDescent="0.2">
      <c r="A124" s="30">
        <v>309</v>
      </c>
      <c r="B124" s="31" t="s">
        <v>438</v>
      </c>
      <c r="C124" s="64">
        <v>0</v>
      </c>
      <c r="D124" s="64"/>
      <c r="E124" s="64">
        <v>370</v>
      </c>
      <c r="F124" s="65">
        <v>0</v>
      </c>
      <c r="G124" s="65">
        <v>-431</v>
      </c>
      <c r="H124" s="41">
        <v>49791</v>
      </c>
      <c r="I124" s="165">
        <v>0</v>
      </c>
      <c r="J124" s="41">
        <v>0</v>
      </c>
      <c r="K124" s="41">
        <v>0</v>
      </c>
      <c r="L124" s="41">
        <v>0</v>
      </c>
      <c r="M124" s="41">
        <v>0</v>
      </c>
      <c r="N124" s="41">
        <v>0</v>
      </c>
      <c r="O124" s="41">
        <v>0</v>
      </c>
      <c r="P124" s="41">
        <v>0</v>
      </c>
      <c r="T124" s="30">
        <v>309</v>
      </c>
      <c r="U124" s="31" t="s">
        <v>438</v>
      </c>
      <c r="V124" s="41">
        <f>C124/'1. Väestöennuste'!E124*1000</f>
        <v>0</v>
      </c>
      <c r="W124" s="41">
        <f>D124/'1. Väestöennuste'!F124*1000</f>
        <v>0</v>
      </c>
      <c r="X124" s="41">
        <f>E124/'1. Väestöennuste'!G124*1000</f>
        <v>52.8344995002142</v>
      </c>
      <c r="Y124" s="41">
        <f>F124/'1. Väestöennuste'!H124*1000</f>
        <v>0</v>
      </c>
      <c r="Z124" s="41">
        <f>G124/'1. Väestöennuste'!I124*1000</f>
        <v>-64.443779904306226</v>
      </c>
      <c r="AA124" s="41">
        <f>H124/'1. Väestöennuste'!J124*1000</f>
        <v>7599.3589743589746</v>
      </c>
      <c r="AB124" s="41">
        <f>I124/'1. Väestöennuste'!K124*1000</f>
        <v>0</v>
      </c>
      <c r="AC124" s="41">
        <f>J124/'1. Väestöennuste'!L124*1000</f>
        <v>0</v>
      </c>
      <c r="AD124" s="41">
        <f>K124/'1. Väestöennuste'!M124*1000</f>
        <v>0</v>
      </c>
      <c r="AE124" s="41">
        <f>L124/'1. Väestöennuste'!N124*1000</f>
        <v>0</v>
      </c>
      <c r="AF124" s="41">
        <f>M124/'1. Väestöennuste'!O124*1000</f>
        <v>0</v>
      </c>
      <c r="AG124" s="41">
        <f>N124/'1. Väestöennuste'!P124*1000</f>
        <v>0</v>
      </c>
      <c r="AH124" s="41">
        <f>O124/'1. Väestöennuste'!Q124*1000</f>
        <v>0</v>
      </c>
      <c r="AI124" s="41">
        <f>P124/'1. Väestöennuste'!R124*1000</f>
        <v>0</v>
      </c>
    </row>
    <row r="125" spans="1:35" x14ac:dyDescent="0.2">
      <c r="A125" s="30">
        <v>312</v>
      </c>
      <c r="B125" s="31" t="s">
        <v>439</v>
      </c>
      <c r="C125" s="64">
        <v>0</v>
      </c>
      <c r="D125" s="64"/>
      <c r="E125" s="64">
        <v>0</v>
      </c>
      <c r="F125" s="65">
        <v>0</v>
      </c>
      <c r="G125" s="65">
        <v>196</v>
      </c>
      <c r="H125" s="41">
        <v>-1862</v>
      </c>
      <c r="I125" s="165">
        <v>0</v>
      </c>
      <c r="J125" s="41">
        <v>0</v>
      </c>
      <c r="K125" s="41">
        <v>-17</v>
      </c>
      <c r="L125" s="41">
        <v>0</v>
      </c>
      <c r="M125" s="41">
        <v>0</v>
      </c>
      <c r="N125" s="41">
        <v>0</v>
      </c>
      <c r="O125" s="41">
        <v>0</v>
      </c>
      <c r="P125" s="41">
        <v>0</v>
      </c>
      <c r="T125" s="30">
        <v>312</v>
      </c>
      <c r="U125" s="31" t="s">
        <v>439</v>
      </c>
      <c r="V125" s="41">
        <f>C125/'1. Väestöennuste'!E125*1000</f>
        <v>0</v>
      </c>
      <c r="W125" s="41">
        <f>D125/'1. Väestöennuste'!F125*1000</f>
        <v>0</v>
      </c>
      <c r="X125" s="41">
        <f>E125/'1. Väestöennuste'!G125*1000</f>
        <v>0</v>
      </c>
      <c r="Y125" s="41">
        <f>F125/'1. Väestöennuste'!H125*1000</f>
        <v>0</v>
      </c>
      <c r="Z125" s="41">
        <f>G125/'1. Väestöennuste'!I125*1000</f>
        <v>149.27646610814926</v>
      </c>
      <c r="AA125" s="41">
        <f>H125/'1. Väestöennuste'!J125*1000</f>
        <v>-1445.6521739130435</v>
      </c>
      <c r="AB125" s="41">
        <f>I125/'1. Väestöennuste'!K125*1000</f>
        <v>0</v>
      </c>
      <c r="AC125" s="41">
        <f>J125/'1. Väestöennuste'!L125*1000</f>
        <v>0</v>
      </c>
      <c r="AD125" s="41">
        <f>K125/'1. Väestöennuste'!M125*1000</f>
        <v>-14.480408858603067</v>
      </c>
      <c r="AE125" s="41">
        <f>L125/'1. Väestöennuste'!N125*1000</f>
        <v>0</v>
      </c>
      <c r="AF125" s="41">
        <f>M125/'1. Väestöennuste'!O125*1000</f>
        <v>0</v>
      </c>
      <c r="AG125" s="41">
        <f>N125/'1. Väestöennuste'!P125*1000</f>
        <v>0</v>
      </c>
      <c r="AH125" s="41">
        <f>O125/'1. Väestöennuste'!Q125*1000</f>
        <v>0</v>
      </c>
      <c r="AI125" s="41">
        <f>P125/'1. Väestöennuste'!R125*1000</f>
        <v>0</v>
      </c>
    </row>
    <row r="126" spans="1:35" x14ac:dyDescent="0.2">
      <c r="A126" s="30">
        <v>316</v>
      </c>
      <c r="B126" s="31" t="s">
        <v>440</v>
      </c>
      <c r="C126" s="64">
        <v>0</v>
      </c>
      <c r="D126" s="64">
        <v>4844</v>
      </c>
      <c r="E126" s="64">
        <v>0</v>
      </c>
      <c r="F126" s="65">
        <v>0</v>
      </c>
      <c r="G126" s="65">
        <v>0</v>
      </c>
      <c r="H126" s="41">
        <v>0</v>
      </c>
      <c r="I126" s="165">
        <v>0</v>
      </c>
      <c r="J126" s="41">
        <v>0</v>
      </c>
      <c r="K126" s="41">
        <v>0</v>
      </c>
      <c r="L126" s="41">
        <v>0</v>
      </c>
      <c r="M126" s="41">
        <v>0</v>
      </c>
      <c r="N126" s="41">
        <v>0</v>
      </c>
      <c r="O126" s="41">
        <v>0</v>
      </c>
      <c r="P126" s="41">
        <v>0</v>
      </c>
      <c r="T126" s="30">
        <v>316</v>
      </c>
      <c r="U126" s="31" t="s">
        <v>440</v>
      </c>
      <c r="V126" s="41">
        <f>C126/'1. Väestöennuste'!E126*1000</f>
        <v>0</v>
      </c>
      <c r="W126" s="41">
        <f>D126/'1. Väestöennuste'!F126*1000</f>
        <v>1066.9603524229074</v>
      </c>
      <c r="X126" s="41">
        <f>E126/'1. Väestöennuste'!G126*1000</f>
        <v>0</v>
      </c>
      <c r="Y126" s="41">
        <f>F126/'1. Väestöennuste'!H126*1000</f>
        <v>0</v>
      </c>
      <c r="Z126" s="41">
        <f>G126/'1. Väestöennuste'!I126*1000</f>
        <v>0</v>
      </c>
      <c r="AA126" s="41">
        <f>H126/'1. Väestöennuste'!J126*1000</f>
        <v>0</v>
      </c>
      <c r="AB126" s="41">
        <f>I126/'1. Väestöennuste'!K126*1000</f>
        <v>0</v>
      </c>
      <c r="AC126" s="41">
        <f>J126/'1. Väestöennuste'!L126*1000</f>
        <v>0</v>
      </c>
      <c r="AD126" s="41">
        <f>K126/'1. Väestöennuste'!M126*1000</f>
        <v>0</v>
      </c>
      <c r="AE126" s="41">
        <f>L126/'1. Väestöennuste'!N126*1000</f>
        <v>0</v>
      </c>
      <c r="AF126" s="41">
        <f>M126/'1. Väestöennuste'!O126*1000</f>
        <v>0</v>
      </c>
      <c r="AG126" s="41">
        <f>N126/'1. Väestöennuste'!P126*1000</f>
        <v>0</v>
      </c>
      <c r="AH126" s="41">
        <f>O126/'1. Väestöennuste'!Q126*1000</f>
        <v>0</v>
      </c>
      <c r="AI126" s="41">
        <f>P126/'1. Väestöennuste'!R126*1000</f>
        <v>0</v>
      </c>
    </row>
    <row r="127" spans="1:35" x14ac:dyDescent="0.2">
      <c r="A127" s="30">
        <v>317</v>
      </c>
      <c r="B127" s="31" t="s">
        <v>441</v>
      </c>
      <c r="C127" s="64">
        <v>0</v>
      </c>
      <c r="D127" s="64"/>
      <c r="E127" s="64">
        <v>0</v>
      </c>
      <c r="F127" s="65">
        <v>0</v>
      </c>
      <c r="G127" s="65">
        <v>0</v>
      </c>
      <c r="H127" s="41">
        <v>0</v>
      </c>
      <c r="I127" s="165">
        <v>0</v>
      </c>
      <c r="J127" s="41">
        <v>0</v>
      </c>
      <c r="K127" s="41">
        <v>0</v>
      </c>
      <c r="L127" s="41">
        <v>0</v>
      </c>
      <c r="M127" s="41">
        <v>0</v>
      </c>
      <c r="N127" s="41">
        <v>0</v>
      </c>
      <c r="O127" s="41">
        <v>0</v>
      </c>
      <c r="P127" s="41">
        <v>0</v>
      </c>
      <c r="T127" s="30">
        <v>317</v>
      </c>
      <c r="U127" s="31" t="s">
        <v>441</v>
      </c>
      <c r="V127" s="41">
        <f>C127/'1. Väestöennuste'!E127*1000</f>
        <v>0</v>
      </c>
      <c r="W127" s="41">
        <f>D127/'1. Väestöennuste'!F127*1000</f>
        <v>0</v>
      </c>
      <c r="X127" s="41">
        <f>E127/'1. Väestöennuste'!G127*1000</f>
        <v>0</v>
      </c>
      <c r="Y127" s="41">
        <f>F127/'1. Väestöennuste'!H127*1000</f>
        <v>0</v>
      </c>
      <c r="Z127" s="41">
        <f>G127/'1. Väestöennuste'!I127*1000</f>
        <v>0</v>
      </c>
      <c r="AA127" s="41">
        <f>H127/'1. Väestöennuste'!J127*1000</f>
        <v>0</v>
      </c>
      <c r="AB127" s="41">
        <f>I127/'1. Väestöennuste'!K127*1000</f>
        <v>0</v>
      </c>
      <c r="AC127" s="41">
        <f>J127/'1. Väestöennuste'!L127*1000</f>
        <v>0</v>
      </c>
      <c r="AD127" s="41">
        <f>K127/'1. Väestöennuste'!M127*1000</f>
        <v>0</v>
      </c>
      <c r="AE127" s="41">
        <f>L127/'1. Väestöennuste'!N127*1000</f>
        <v>0</v>
      </c>
      <c r="AF127" s="41">
        <f>M127/'1. Väestöennuste'!O127*1000</f>
        <v>0</v>
      </c>
      <c r="AG127" s="41">
        <f>N127/'1. Väestöennuste'!P127*1000</f>
        <v>0</v>
      </c>
      <c r="AH127" s="41">
        <f>O127/'1. Väestöennuste'!Q127*1000</f>
        <v>0</v>
      </c>
      <c r="AI127" s="41">
        <f>P127/'1. Väestöennuste'!R127*1000</f>
        <v>0</v>
      </c>
    </row>
    <row r="128" spans="1:35" x14ac:dyDescent="0.2">
      <c r="A128" s="30">
        <v>320</v>
      </c>
      <c r="B128" s="31" t="s">
        <v>442</v>
      </c>
      <c r="C128" s="64">
        <v>0</v>
      </c>
      <c r="D128" s="64">
        <v>4123</v>
      </c>
      <c r="E128" s="64">
        <v>0</v>
      </c>
      <c r="F128" s="65">
        <v>0</v>
      </c>
      <c r="G128" s="65">
        <v>0</v>
      </c>
      <c r="H128" s="41">
        <v>0</v>
      </c>
      <c r="I128" s="165">
        <v>0</v>
      </c>
      <c r="J128" s="41">
        <v>0</v>
      </c>
      <c r="K128" s="41">
        <v>0</v>
      </c>
      <c r="L128" s="41">
        <v>0</v>
      </c>
      <c r="M128" s="41">
        <v>0</v>
      </c>
      <c r="N128" s="41">
        <v>0</v>
      </c>
      <c r="O128" s="41">
        <v>0</v>
      </c>
      <c r="P128" s="41">
        <v>0</v>
      </c>
      <c r="T128" s="30">
        <v>320</v>
      </c>
      <c r="U128" s="31" t="s">
        <v>442</v>
      </c>
      <c r="V128" s="41">
        <f>C128/'1. Väestöennuste'!E128*1000</f>
        <v>0</v>
      </c>
      <c r="W128" s="41">
        <f>D128/'1. Väestöennuste'!F128*1000</f>
        <v>538.18039420441198</v>
      </c>
      <c r="X128" s="41">
        <f>E128/'1. Väestöennuste'!G128*1000</f>
        <v>0</v>
      </c>
      <c r="Y128" s="41">
        <f>F128/'1. Väestöennuste'!H128*1000</f>
        <v>0</v>
      </c>
      <c r="Z128" s="41">
        <f>G128/'1. Väestöennuste'!I128*1000</f>
        <v>0</v>
      </c>
      <c r="AA128" s="41">
        <f>H128/'1. Väestöennuste'!J128*1000</f>
        <v>0</v>
      </c>
      <c r="AB128" s="41">
        <f>I128/'1. Väestöennuste'!K128*1000</f>
        <v>0</v>
      </c>
      <c r="AC128" s="41">
        <f>J128/'1. Väestöennuste'!L128*1000</f>
        <v>0</v>
      </c>
      <c r="AD128" s="41">
        <f>K128/'1. Väestöennuste'!M128*1000</f>
        <v>0</v>
      </c>
      <c r="AE128" s="41">
        <f>L128/'1. Väestöennuste'!N128*1000</f>
        <v>0</v>
      </c>
      <c r="AF128" s="41">
        <f>M128/'1. Väestöennuste'!O128*1000</f>
        <v>0</v>
      </c>
      <c r="AG128" s="41">
        <f>N128/'1. Väestöennuste'!P128*1000</f>
        <v>0</v>
      </c>
      <c r="AH128" s="41">
        <f>O128/'1. Väestöennuste'!Q128*1000</f>
        <v>0</v>
      </c>
      <c r="AI128" s="41">
        <f>P128/'1. Väestöennuste'!R128*1000</f>
        <v>0</v>
      </c>
    </row>
    <row r="129" spans="1:35" x14ac:dyDescent="0.2">
      <c r="A129" s="30">
        <v>322</v>
      </c>
      <c r="B129" s="31" t="s">
        <v>443</v>
      </c>
      <c r="C129" s="64">
        <v>0</v>
      </c>
      <c r="D129" s="64"/>
      <c r="E129" s="64">
        <v>0</v>
      </c>
      <c r="F129" s="65">
        <v>0</v>
      </c>
      <c r="G129" s="65">
        <v>0</v>
      </c>
      <c r="H129" s="41">
        <v>0</v>
      </c>
      <c r="I129" s="165">
        <v>0</v>
      </c>
      <c r="J129" s="41">
        <v>0</v>
      </c>
      <c r="K129" s="41">
        <v>0</v>
      </c>
      <c r="L129" s="41">
        <v>0</v>
      </c>
      <c r="M129" s="41">
        <v>0</v>
      </c>
      <c r="N129" s="41">
        <v>0</v>
      </c>
      <c r="O129" s="41">
        <v>0</v>
      </c>
      <c r="P129" s="41">
        <v>0</v>
      </c>
      <c r="T129" s="30">
        <v>322</v>
      </c>
      <c r="U129" s="31" t="s">
        <v>443</v>
      </c>
      <c r="V129" s="41">
        <f>C129/'1. Väestöennuste'!E129*1000</f>
        <v>0</v>
      </c>
      <c r="W129" s="41">
        <f>D129/'1. Väestöennuste'!F129*1000</f>
        <v>0</v>
      </c>
      <c r="X129" s="41">
        <f>E129/'1. Väestöennuste'!G129*1000</f>
        <v>0</v>
      </c>
      <c r="Y129" s="41">
        <f>F129/'1. Väestöennuste'!H129*1000</f>
        <v>0</v>
      </c>
      <c r="Z129" s="41">
        <f>G129/'1. Väestöennuste'!I129*1000</f>
        <v>0</v>
      </c>
      <c r="AA129" s="41">
        <f>H129/'1. Väestöennuste'!J129*1000</f>
        <v>0</v>
      </c>
      <c r="AB129" s="41">
        <f>I129/'1. Väestöennuste'!K129*1000</f>
        <v>0</v>
      </c>
      <c r="AC129" s="41">
        <f>J129/'1. Väestöennuste'!L129*1000</f>
        <v>0</v>
      </c>
      <c r="AD129" s="41">
        <f>K129/'1. Väestöennuste'!M129*1000</f>
        <v>0</v>
      </c>
      <c r="AE129" s="41">
        <f>L129/'1. Väestöennuste'!N129*1000</f>
        <v>0</v>
      </c>
      <c r="AF129" s="41">
        <f>M129/'1. Väestöennuste'!O129*1000</f>
        <v>0</v>
      </c>
      <c r="AG129" s="41">
        <f>N129/'1. Väestöennuste'!P129*1000</f>
        <v>0</v>
      </c>
      <c r="AH129" s="41">
        <f>O129/'1. Väestöennuste'!Q129*1000</f>
        <v>0</v>
      </c>
      <c r="AI129" s="41">
        <f>P129/'1. Väestöennuste'!R129*1000</f>
        <v>0</v>
      </c>
    </row>
    <row r="130" spans="1:35" x14ac:dyDescent="0.2">
      <c r="A130" s="30">
        <v>398</v>
      </c>
      <c r="B130" s="31" t="s">
        <v>444</v>
      </c>
      <c r="C130" s="64">
        <v>8185</v>
      </c>
      <c r="D130" s="64">
        <v>911</v>
      </c>
      <c r="E130" s="64">
        <v>2116</v>
      </c>
      <c r="F130" s="65">
        <v>0</v>
      </c>
      <c r="G130" s="65">
        <v>941</v>
      </c>
      <c r="H130" s="41">
        <v>0</v>
      </c>
      <c r="I130" s="165">
        <v>0</v>
      </c>
      <c r="J130" s="41">
        <v>0</v>
      </c>
      <c r="K130" s="41">
        <v>0</v>
      </c>
      <c r="L130" s="41">
        <v>0</v>
      </c>
      <c r="M130" s="41">
        <v>0</v>
      </c>
      <c r="N130" s="41">
        <v>0</v>
      </c>
      <c r="O130" s="41">
        <v>0</v>
      </c>
      <c r="P130" s="41">
        <v>0</v>
      </c>
      <c r="T130" s="30">
        <v>398</v>
      </c>
      <c r="U130" s="31" t="s">
        <v>444</v>
      </c>
      <c r="V130" s="41">
        <f>C130/'1. Väestöennuste'!E130*1000</f>
        <v>68.93037905392319</v>
      </c>
      <c r="W130" s="41">
        <f>D130/'1. Väestöennuste'!F130*1000</f>
        <v>7.6264943240799656</v>
      </c>
      <c r="X130" s="41">
        <f>E130/'1. Väestöennuste'!G130*1000</f>
        <v>17.696302677025749</v>
      </c>
      <c r="Y130" s="41">
        <f>F130/'1. Väestöennuste'!H130*1000</f>
        <v>0</v>
      </c>
      <c r="Z130" s="41">
        <f>G130/'1. Väestöennuste'!I130*1000</f>
        <v>7.8532502107274897</v>
      </c>
      <c r="AA130" s="41">
        <f>H130/'1. Väestöennuste'!J130*1000</f>
        <v>0</v>
      </c>
      <c r="AB130" s="41">
        <f>I130/'1. Väestöennuste'!K130*1000</f>
        <v>0</v>
      </c>
      <c r="AC130" s="41">
        <f>J130/'1. Väestöennuste'!L130*1000</f>
        <v>0</v>
      </c>
      <c r="AD130" s="41">
        <f>K130/'1. Väestöennuste'!M130*1000</f>
        <v>0</v>
      </c>
      <c r="AE130" s="41">
        <f>L130/'1. Väestöennuste'!N130*1000</f>
        <v>0</v>
      </c>
      <c r="AF130" s="41">
        <f>M130/'1. Väestöennuste'!O130*1000</f>
        <v>0</v>
      </c>
      <c r="AG130" s="41">
        <f>N130/'1. Väestöennuste'!P130*1000</f>
        <v>0</v>
      </c>
      <c r="AH130" s="41">
        <f>O130/'1. Väestöennuste'!Q130*1000</f>
        <v>0</v>
      </c>
      <c r="AI130" s="41">
        <f>P130/'1. Väestöennuste'!R130*1000</f>
        <v>0</v>
      </c>
    </row>
    <row r="131" spans="1:35" x14ac:dyDescent="0.2">
      <c r="A131" s="30">
        <v>399</v>
      </c>
      <c r="B131" s="31" t="s">
        <v>445</v>
      </c>
      <c r="C131" s="64">
        <v>0</v>
      </c>
      <c r="D131" s="64"/>
      <c r="E131" s="64">
        <v>0</v>
      </c>
      <c r="F131" s="65">
        <v>0</v>
      </c>
      <c r="G131" s="65">
        <v>945</v>
      </c>
      <c r="H131" s="41">
        <v>0</v>
      </c>
      <c r="I131" s="165">
        <v>659.02425000000005</v>
      </c>
      <c r="J131" s="41">
        <v>0</v>
      </c>
      <c r="K131" s="41">
        <v>0</v>
      </c>
      <c r="L131" s="41">
        <v>-1000</v>
      </c>
      <c r="M131" s="41">
        <v>0</v>
      </c>
      <c r="N131" s="41">
        <v>0</v>
      </c>
      <c r="O131" s="41">
        <v>0</v>
      </c>
      <c r="P131" s="41">
        <v>0</v>
      </c>
      <c r="T131" s="30">
        <v>399</v>
      </c>
      <c r="U131" s="31" t="s">
        <v>445</v>
      </c>
      <c r="V131" s="41">
        <f>C131/'1. Väestöennuste'!E131*1000</f>
        <v>0</v>
      </c>
      <c r="W131" s="41">
        <f>D131/'1. Väestöennuste'!F131*1000</f>
        <v>0</v>
      </c>
      <c r="X131" s="41">
        <f>E131/'1. Väestöennuste'!G131*1000</f>
        <v>0</v>
      </c>
      <c r="Y131" s="41">
        <f>F131/'1. Väestöennuste'!H131*1000</f>
        <v>0</v>
      </c>
      <c r="Z131" s="41">
        <f>G131/'1. Väestöennuste'!I131*1000</f>
        <v>117.87451665211427</v>
      </c>
      <c r="AA131" s="41">
        <f>H131/'1. Väestöennuste'!J131*1000</f>
        <v>0</v>
      </c>
      <c r="AB131" s="41">
        <f>I131/'1. Väestöennuste'!K131*1000</f>
        <v>83.252179130874183</v>
      </c>
      <c r="AC131" s="41">
        <f>J131/'1. Väestöennuste'!L131*1000</f>
        <v>0</v>
      </c>
      <c r="AD131" s="41">
        <f>K131/'1. Väestöennuste'!M131*1000</f>
        <v>0</v>
      </c>
      <c r="AE131" s="41">
        <f>L131/'1. Väestöennuste'!N131*1000</f>
        <v>-126.79092177000126</v>
      </c>
      <c r="AF131" s="41">
        <f>M131/'1. Väestöennuste'!O131*1000</f>
        <v>0</v>
      </c>
      <c r="AG131" s="41">
        <f>N131/'1. Väestöennuste'!P131*1000</f>
        <v>0</v>
      </c>
      <c r="AH131" s="41">
        <f>O131/'1. Väestöennuste'!Q131*1000</f>
        <v>0</v>
      </c>
      <c r="AI131" s="41">
        <f>P131/'1. Väestöennuste'!R131*1000</f>
        <v>0</v>
      </c>
    </row>
    <row r="132" spans="1:35" x14ac:dyDescent="0.2">
      <c r="A132" s="30">
        <v>400</v>
      </c>
      <c r="B132" s="31" t="s">
        <v>446</v>
      </c>
      <c r="C132" s="64">
        <v>0</v>
      </c>
      <c r="D132" s="64"/>
      <c r="E132" s="64">
        <v>0</v>
      </c>
      <c r="F132" s="65">
        <v>0</v>
      </c>
      <c r="G132" s="65">
        <v>0</v>
      </c>
      <c r="H132" s="41">
        <v>0</v>
      </c>
      <c r="I132" s="165">
        <v>0</v>
      </c>
      <c r="J132" s="41">
        <v>0</v>
      </c>
      <c r="K132" s="41">
        <v>0</v>
      </c>
      <c r="L132" s="41">
        <v>0</v>
      </c>
      <c r="M132" s="41">
        <v>0</v>
      </c>
      <c r="N132" s="41">
        <v>0</v>
      </c>
      <c r="O132" s="41">
        <v>0</v>
      </c>
      <c r="P132" s="41">
        <v>0</v>
      </c>
      <c r="T132" s="30">
        <v>400</v>
      </c>
      <c r="U132" s="31" t="s">
        <v>446</v>
      </c>
      <c r="V132" s="41">
        <f>C132/'1. Väestöennuste'!E132*1000</f>
        <v>0</v>
      </c>
      <c r="W132" s="41">
        <f>D132/'1. Väestöennuste'!F132*1000</f>
        <v>0</v>
      </c>
      <c r="X132" s="41">
        <f>E132/'1. Väestöennuste'!G132*1000</f>
        <v>0</v>
      </c>
      <c r="Y132" s="41">
        <f>F132/'1. Väestöennuste'!H132*1000</f>
        <v>0</v>
      </c>
      <c r="Z132" s="41">
        <f>G132/'1. Väestöennuste'!I132*1000</f>
        <v>0</v>
      </c>
      <c r="AA132" s="41">
        <f>H132/'1. Väestöennuste'!J132*1000</f>
        <v>0</v>
      </c>
      <c r="AB132" s="41">
        <f>I132/'1. Väestöennuste'!K132*1000</f>
        <v>0</v>
      </c>
      <c r="AC132" s="41">
        <f>J132/'1. Väestöennuste'!L132*1000</f>
        <v>0</v>
      </c>
      <c r="AD132" s="41">
        <f>K132/'1. Väestöennuste'!M132*1000</f>
        <v>0</v>
      </c>
      <c r="AE132" s="41">
        <f>L132/'1. Väestöennuste'!N132*1000</f>
        <v>0</v>
      </c>
      <c r="AF132" s="41">
        <f>M132/'1. Väestöennuste'!O132*1000</f>
        <v>0</v>
      </c>
      <c r="AG132" s="41">
        <f>N132/'1. Väestöennuste'!P132*1000</f>
        <v>0</v>
      </c>
      <c r="AH132" s="41">
        <f>O132/'1. Väestöennuste'!Q132*1000</f>
        <v>0</v>
      </c>
      <c r="AI132" s="41">
        <f>P132/'1. Väestöennuste'!R132*1000</f>
        <v>0</v>
      </c>
    </row>
    <row r="133" spans="1:35" x14ac:dyDescent="0.2">
      <c r="A133" s="30">
        <v>402</v>
      </c>
      <c r="B133" s="31" t="s">
        <v>447</v>
      </c>
      <c r="C133" s="64">
        <v>0</v>
      </c>
      <c r="D133" s="64"/>
      <c r="E133" s="64">
        <v>0</v>
      </c>
      <c r="F133" s="65">
        <v>0</v>
      </c>
      <c r="G133" s="65">
        <v>0</v>
      </c>
      <c r="H133" s="41">
        <v>0</v>
      </c>
      <c r="I133" s="165">
        <v>0</v>
      </c>
      <c r="J133" s="41">
        <v>0</v>
      </c>
      <c r="K133" s="41">
        <v>0</v>
      </c>
      <c r="L133" s="41">
        <v>0</v>
      </c>
      <c r="M133" s="41">
        <v>0</v>
      </c>
      <c r="N133" s="41">
        <v>0</v>
      </c>
      <c r="O133" s="41">
        <v>0</v>
      </c>
      <c r="P133" s="41">
        <v>0</v>
      </c>
      <c r="T133" s="30">
        <v>402</v>
      </c>
      <c r="U133" s="31" t="s">
        <v>447</v>
      </c>
      <c r="V133" s="41">
        <f>C133/'1. Väestöennuste'!E133*1000</f>
        <v>0</v>
      </c>
      <c r="W133" s="41">
        <f>D133/'1. Väestöennuste'!F133*1000</f>
        <v>0</v>
      </c>
      <c r="X133" s="41">
        <f>E133/'1. Väestöennuste'!G133*1000</f>
        <v>0</v>
      </c>
      <c r="Y133" s="41">
        <f>F133/'1. Väestöennuste'!H133*1000</f>
        <v>0</v>
      </c>
      <c r="Z133" s="41">
        <f>G133/'1. Väestöennuste'!I133*1000</f>
        <v>0</v>
      </c>
      <c r="AA133" s="41">
        <f>H133/'1. Väestöennuste'!J133*1000</f>
        <v>0</v>
      </c>
      <c r="AB133" s="41">
        <f>I133/'1. Väestöennuste'!K133*1000</f>
        <v>0</v>
      </c>
      <c r="AC133" s="41">
        <f>J133/'1. Väestöennuste'!L133*1000</f>
        <v>0</v>
      </c>
      <c r="AD133" s="41">
        <f>K133/'1. Väestöennuste'!M133*1000</f>
        <v>0</v>
      </c>
      <c r="AE133" s="41">
        <f>L133/'1. Väestöennuste'!N133*1000</f>
        <v>0</v>
      </c>
      <c r="AF133" s="41">
        <f>M133/'1. Väestöennuste'!O133*1000</f>
        <v>0</v>
      </c>
      <c r="AG133" s="41">
        <f>N133/'1. Väestöennuste'!P133*1000</f>
        <v>0</v>
      </c>
      <c r="AH133" s="41">
        <f>O133/'1. Väestöennuste'!Q133*1000</f>
        <v>0</v>
      </c>
      <c r="AI133" s="41">
        <f>P133/'1. Väestöennuste'!R133*1000</f>
        <v>0</v>
      </c>
    </row>
    <row r="134" spans="1:35" x14ac:dyDescent="0.2">
      <c r="A134" s="30">
        <v>403</v>
      </c>
      <c r="B134" s="31" t="s">
        <v>448</v>
      </c>
      <c r="C134" s="64">
        <v>0</v>
      </c>
      <c r="D134" s="64"/>
      <c r="E134" s="64">
        <v>0</v>
      </c>
      <c r="F134" s="65">
        <v>0</v>
      </c>
      <c r="G134" s="65">
        <v>0</v>
      </c>
      <c r="H134" s="41">
        <v>0</v>
      </c>
      <c r="I134" s="165">
        <v>0</v>
      </c>
      <c r="J134" s="41">
        <v>0</v>
      </c>
      <c r="K134" s="41">
        <v>0</v>
      </c>
      <c r="L134" s="41">
        <v>0</v>
      </c>
      <c r="M134" s="41">
        <v>0</v>
      </c>
      <c r="N134" s="41">
        <v>0</v>
      </c>
      <c r="O134" s="41">
        <v>0</v>
      </c>
      <c r="P134" s="41">
        <v>0</v>
      </c>
      <c r="T134" s="30">
        <v>403</v>
      </c>
      <c r="U134" s="31" t="s">
        <v>448</v>
      </c>
      <c r="V134" s="41">
        <f>C134/'1. Väestöennuste'!E134*1000</f>
        <v>0</v>
      </c>
      <c r="W134" s="41">
        <f>D134/'1. Väestöennuste'!F134*1000</f>
        <v>0</v>
      </c>
      <c r="X134" s="41">
        <f>E134/'1. Väestöennuste'!G134*1000</f>
        <v>0</v>
      </c>
      <c r="Y134" s="41">
        <f>F134/'1. Väestöennuste'!H134*1000</f>
        <v>0</v>
      </c>
      <c r="Z134" s="41">
        <f>G134/'1. Väestöennuste'!I134*1000</f>
        <v>0</v>
      </c>
      <c r="AA134" s="41">
        <f>H134/'1. Väestöennuste'!J134*1000</f>
        <v>0</v>
      </c>
      <c r="AB134" s="41">
        <f>I134/'1. Väestöennuste'!K134*1000</f>
        <v>0</v>
      </c>
      <c r="AC134" s="41">
        <f>J134/'1. Väestöennuste'!L134*1000</f>
        <v>0</v>
      </c>
      <c r="AD134" s="41">
        <f>K134/'1. Väestöennuste'!M134*1000</f>
        <v>0</v>
      </c>
      <c r="AE134" s="41">
        <f>L134/'1. Väestöennuste'!N134*1000</f>
        <v>0</v>
      </c>
      <c r="AF134" s="41">
        <f>M134/'1. Väestöennuste'!O134*1000</f>
        <v>0</v>
      </c>
      <c r="AG134" s="41">
        <f>N134/'1. Väestöennuste'!P134*1000</f>
        <v>0</v>
      </c>
      <c r="AH134" s="41">
        <f>O134/'1. Väestöennuste'!Q134*1000</f>
        <v>0</v>
      </c>
      <c r="AI134" s="41">
        <f>P134/'1. Väestöennuste'!R134*1000</f>
        <v>0</v>
      </c>
    </row>
    <row r="135" spans="1:35" x14ac:dyDescent="0.2">
      <c r="A135" s="30">
        <v>405</v>
      </c>
      <c r="B135" s="31" t="s">
        <v>449</v>
      </c>
      <c r="C135" s="64">
        <v>0</v>
      </c>
      <c r="D135" s="64"/>
      <c r="E135" s="64">
        <v>0</v>
      </c>
      <c r="F135" s="65">
        <v>0</v>
      </c>
      <c r="G135" s="65">
        <v>0</v>
      </c>
      <c r="H135" s="41">
        <v>0</v>
      </c>
      <c r="I135" s="165">
        <v>0</v>
      </c>
      <c r="J135" s="41">
        <v>0</v>
      </c>
      <c r="K135" s="41">
        <v>0</v>
      </c>
      <c r="L135" s="41">
        <v>0</v>
      </c>
      <c r="M135" s="41">
        <v>0</v>
      </c>
      <c r="N135" s="41">
        <v>0</v>
      </c>
      <c r="O135" s="41">
        <v>0</v>
      </c>
      <c r="P135" s="41">
        <v>0</v>
      </c>
      <c r="T135" s="30">
        <v>405</v>
      </c>
      <c r="U135" s="31" t="s">
        <v>449</v>
      </c>
      <c r="V135" s="41">
        <f>C135/'1. Väestöennuste'!E135*1000</f>
        <v>0</v>
      </c>
      <c r="W135" s="41">
        <f>D135/'1. Väestöennuste'!F135*1000</f>
        <v>0</v>
      </c>
      <c r="X135" s="41">
        <f>E135/'1. Väestöennuste'!G135*1000</f>
        <v>0</v>
      </c>
      <c r="Y135" s="41">
        <f>F135/'1. Väestöennuste'!H135*1000</f>
        <v>0</v>
      </c>
      <c r="Z135" s="41">
        <f>G135/'1. Väestöennuste'!I135*1000</f>
        <v>0</v>
      </c>
      <c r="AA135" s="41">
        <f>H135/'1. Väestöennuste'!J135*1000</f>
        <v>0</v>
      </c>
      <c r="AB135" s="41">
        <f>I135/'1. Väestöennuste'!K135*1000</f>
        <v>0</v>
      </c>
      <c r="AC135" s="41">
        <f>J135/'1. Väestöennuste'!L135*1000</f>
        <v>0</v>
      </c>
      <c r="AD135" s="41">
        <f>K135/'1. Väestöennuste'!M135*1000</f>
        <v>0</v>
      </c>
      <c r="AE135" s="41">
        <f>L135/'1. Väestöennuste'!N135*1000</f>
        <v>0</v>
      </c>
      <c r="AF135" s="41">
        <f>M135/'1. Väestöennuste'!O135*1000</f>
        <v>0</v>
      </c>
      <c r="AG135" s="41">
        <f>N135/'1. Väestöennuste'!P135*1000</f>
        <v>0</v>
      </c>
      <c r="AH135" s="41">
        <f>O135/'1. Väestöennuste'!Q135*1000</f>
        <v>0</v>
      </c>
      <c r="AI135" s="41">
        <f>P135/'1. Väestöennuste'!R135*1000</f>
        <v>0</v>
      </c>
    </row>
    <row r="136" spans="1:35" x14ac:dyDescent="0.2">
      <c r="A136" s="30">
        <v>407</v>
      </c>
      <c r="B136" s="31" t="s">
        <v>450</v>
      </c>
      <c r="C136" s="64">
        <v>18</v>
      </c>
      <c r="D136" s="64"/>
      <c r="E136" s="64">
        <v>728</v>
      </c>
      <c r="F136" s="65">
        <v>0</v>
      </c>
      <c r="G136" s="65">
        <v>0</v>
      </c>
      <c r="H136" s="41">
        <v>0</v>
      </c>
      <c r="I136" s="165">
        <v>2998.9497999999999</v>
      </c>
      <c r="J136" s="41">
        <v>0</v>
      </c>
      <c r="K136" s="41">
        <v>0</v>
      </c>
      <c r="L136" s="41">
        <v>0</v>
      </c>
      <c r="M136" s="41">
        <v>0</v>
      </c>
      <c r="N136" s="41">
        <v>0</v>
      </c>
      <c r="O136" s="41">
        <v>0</v>
      </c>
      <c r="P136" s="41">
        <v>0</v>
      </c>
      <c r="T136" s="30">
        <v>407</v>
      </c>
      <c r="U136" s="31" t="s">
        <v>450</v>
      </c>
      <c r="V136" s="41">
        <f>C136/'1. Väestöennuste'!E136*1000</f>
        <v>6.4888248017303525</v>
      </c>
      <c r="W136" s="41">
        <f>D136/'1. Väestöennuste'!F136*1000</f>
        <v>0</v>
      </c>
      <c r="X136" s="41">
        <f>E136/'1. Väestöennuste'!G136*1000</f>
        <v>269.03178122690321</v>
      </c>
      <c r="Y136" s="41">
        <f>F136/'1. Väestöennuste'!H136*1000</f>
        <v>0</v>
      </c>
      <c r="Z136" s="41">
        <f>G136/'1. Väestöennuste'!I136*1000</f>
        <v>0</v>
      </c>
      <c r="AA136" s="41">
        <f>H136/'1. Väestöennuste'!J136*1000</f>
        <v>0</v>
      </c>
      <c r="AB136" s="41">
        <f>I136/'1. Väestöennuste'!K136*1000</f>
        <v>1162.3836434108528</v>
      </c>
      <c r="AC136" s="41">
        <f>J136/'1. Väestöennuste'!L136*1000</f>
        <v>0</v>
      </c>
      <c r="AD136" s="41">
        <f>K136/'1. Väestöennuste'!M136*1000</f>
        <v>0</v>
      </c>
      <c r="AE136" s="41">
        <f>L136/'1. Väestöennuste'!N136*1000</f>
        <v>0</v>
      </c>
      <c r="AF136" s="41">
        <f>M136/'1. Väestöennuste'!O136*1000</f>
        <v>0</v>
      </c>
      <c r="AG136" s="41">
        <f>N136/'1. Väestöennuste'!P136*1000</f>
        <v>0</v>
      </c>
      <c r="AH136" s="41">
        <f>O136/'1. Väestöennuste'!Q136*1000</f>
        <v>0</v>
      </c>
      <c r="AI136" s="41">
        <f>P136/'1. Väestöennuste'!R136*1000</f>
        <v>0</v>
      </c>
    </row>
    <row r="137" spans="1:35" x14ac:dyDescent="0.2">
      <c r="A137" s="30">
        <v>408</v>
      </c>
      <c r="B137" s="31" t="s">
        <v>451</v>
      </c>
      <c r="C137" s="64">
        <v>0</v>
      </c>
      <c r="D137" s="64"/>
      <c r="E137" s="64">
        <v>0</v>
      </c>
      <c r="F137" s="65">
        <v>0</v>
      </c>
      <c r="G137" s="65">
        <v>0</v>
      </c>
      <c r="H137" s="41">
        <v>0</v>
      </c>
      <c r="I137" s="165">
        <v>0</v>
      </c>
      <c r="J137" s="41">
        <v>0</v>
      </c>
      <c r="K137" s="41">
        <v>-92.010139999999993</v>
      </c>
      <c r="L137" s="41">
        <v>0</v>
      </c>
      <c r="M137" s="41">
        <v>0</v>
      </c>
      <c r="N137" s="41">
        <v>0</v>
      </c>
      <c r="O137" s="41">
        <v>0</v>
      </c>
      <c r="P137" s="41">
        <v>0</v>
      </c>
      <c r="T137" s="30">
        <v>408</v>
      </c>
      <c r="U137" s="31" t="s">
        <v>451</v>
      </c>
      <c r="V137" s="41">
        <f>C137/'1. Väestöennuste'!E137*1000</f>
        <v>0</v>
      </c>
      <c r="W137" s="41">
        <f>D137/'1. Väestöennuste'!F137*1000</f>
        <v>0</v>
      </c>
      <c r="X137" s="41">
        <f>E137/'1. Väestöennuste'!G137*1000</f>
        <v>0</v>
      </c>
      <c r="Y137" s="41">
        <f>F137/'1. Väestöennuste'!H137*1000</f>
        <v>0</v>
      </c>
      <c r="Z137" s="41">
        <f>G137/'1. Väestöennuste'!I137*1000</f>
        <v>0</v>
      </c>
      <c r="AA137" s="41">
        <f>H137/'1. Väestöennuste'!J137*1000</f>
        <v>0</v>
      </c>
      <c r="AB137" s="41">
        <f>I137/'1. Väestöennuste'!K137*1000</f>
        <v>0</v>
      </c>
      <c r="AC137" s="41">
        <f>J137/'1. Väestöennuste'!L137*1000</f>
        <v>0</v>
      </c>
      <c r="AD137" s="41">
        <f>K137/'1. Väestöennuste'!M137*1000</f>
        <v>-6.5609055904164277</v>
      </c>
      <c r="AE137" s="41">
        <f>L137/'1. Väestöennuste'!N137*1000</f>
        <v>0</v>
      </c>
      <c r="AF137" s="41">
        <f>M137/'1. Väestöennuste'!O137*1000</f>
        <v>0</v>
      </c>
      <c r="AG137" s="41">
        <f>N137/'1. Väestöennuste'!P137*1000</f>
        <v>0</v>
      </c>
      <c r="AH137" s="41">
        <f>O137/'1. Väestöennuste'!Q137*1000</f>
        <v>0</v>
      </c>
      <c r="AI137" s="41">
        <f>P137/'1. Väestöennuste'!R137*1000</f>
        <v>0</v>
      </c>
    </row>
    <row r="138" spans="1:35" x14ac:dyDescent="0.2">
      <c r="A138" s="30">
        <v>410</v>
      </c>
      <c r="B138" s="31" t="s">
        <v>452</v>
      </c>
      <c r="C138" s="64">
        <v>0</v>
      </c>
      <c r="D138" s="64"/>
      <c r="E138" s="64">
        <v>0</v>
      </c>
      <c r="F138" s="65">
        <v>0</v>
      </c>
      <c r="G138" s="65">
        <v>0</v>
      </c>
      <c r="H138" s="41">
        <v>0</v>
      </c>
      <c r="I138" s="165">
        <v>0</v>
      </c>
      <c r="J138" s="41">
        <v>112.15427000000001</v>
      </c>
      <c r="K138" s="41">
        <v>0</v>
      </c>
      <c r="L138" s="41">
        <v>2000</v>
      </c>
      <c r="M138" s="41">
        <v>0</v>
      </c>
      <c r="N138" s="41">
        <v>3000</v>
      </c>
      <c r="O138" s="41">
        <v>0</v>
      </c>
      <c r="P138" s="41">
        <v>0</v>
      </c>
      <c r="T138" s="30">
        <v>410</v>
      </c>
      <c r="U138" s="31" t="s">
        <v>452</v>
      </c>
      <c r="V138" s="41">
        <f>C138/'1. Väestöennuste'!E138*1000</f>
        <v>0</v>
      </c>
      <c r="W138" s="41">
        <f>D138/'1. Väestöennuste'!F138*1000</f>
        <v>0</v>
      </c>
      <c r="X138" s="41">
        <f>E138/'1. Väestöennuste'!G138*1000</f>
        <v>0</v>
      </c>
      <c r="Y138" s="41">
        <f>F138/'1. Väestöennuste'!H138*1000</f>
        <v>0</v>
      </c>
      <c r="Z138" s="41">
        <f>G138/'1. Väestöennuste'!I138*1000</f>
        <v>0</v>
      </c>
      <c r="AA138" s="41">
        <f>H138/'1. Väestöennuste'!J138*1000</f>
        <v>0</v>
      </c>
      <c r="AB138" s="41">
        <f>I138/'1. Väestöennuste'!K138*1000</f>
        <v>0</v>
      </c>
      <c r="AC138" s="41">
        <f>J138/'1. Väestöennuste'!L138*1000</f>
        <v>5.9735962716378168</v>
      </c>
      <c r="AD138" s="41">
        <f>K138/'1. Väestöennuste'!M138*1000</f>
        <v>0</v>
      </c>
      <c r="AE138" s="41">
        <f>L138/'1. Väestöennuste'!N138*1000</f>
        <v>106.68373606443697</v>
      </c>
      <c r="AF138" s="41">
        <f>M138/'1. Väestöennuste'!O138*1000</f>
        <v>0</v>
      </c>
      <c r="AG138" s="41">
        <f>N138/'1. Väestöennuste'!P138*1000</f>
        <v>160.6511727535611</v>
      </c>
      <c r="AH138" s="41">
        <f>O138/'1. Väestöennuste'!Q138*1000</f>
        <v>0</v>
      </c>
      <c r="AI138" s="41">
        <f>P138/'1. Väestöennuste'!R138*1000</f>
        <v>0</v>
      </c>
    </row>
    <row r="139" spans="1:35" x14ac:dyDescent="0.2">
      <c r="A139" s="30">
        <v>416</v>
      </c>
      <c r="B139" s="31" t="s">
        <v>453</v>
      </c>
      <c r="C139" s="64">
        <v>0</v>
      </c>
      <c r="D139" s="64"/>
      <c r="E139" s="64">
        <v>0</v>
      </c>
      <c r="F139" s="65">
        <v>0</v>
      </c>
      <c r="G139" s="65">
        <v>0</v>
      </c>
      <c r="H139" s="41">
        <v>0</v>
      </c>
      <c r="I139" s="165">
        <v>0</v>
      </c>
      <c r="J139" s="41">
        <v>0</v>
      </c>
      <c r="K139" s="41">
        <v>0</v>
      </c>
      <c r="L139" s="41">
        <v>0</v>
      </c>
      <c r="M139" s="41">
        <v>0</v>
      </c>
      <c r="N139" s="41">
        <v>0</v>
      </c>
      <c r="O139" s="41">
        <v>0</v>
      </c>
      <c r="P139" s="41">
        <v>0</v>
      </c>
      <c r="T139" s="30">
        <v>416</v>
      </c>
      <c r="U139" s="31" t="s">
        <v>453</v>
      </c>
      <c r="V139" s="41">
        <f>C139/'1. Väestöennuste'!E139*1000</f>
        <v>0</v>
      </c>
      <c r="W139" s="41">
        <f>D139/'1. Väestöennuste'!F139*1000</f>
        <v>0</v>
      </c>
      <c r="X139" s="41">
        <f>E139/'1. Väestöennuste'!G139*1000</f>
        <v>0</v>
      </c>
      <c r="Y139" s="41">
        <f>F139/'1. Väestöennuste'!H139*1000</f>
        <v>0</v>
      </c>
      <c r="Z139" s="41">
        <f>G139/'1. Väestöennuste'!I139*1000</f>
        <v>0</v>
      </c>
      <c r="AA139" s="41">
        <f>H139/'1. Väestöennuste'!J139*1000</f>
        <v>0</v>
      </c>
      <c r="AB139" s="41">
        <f>I139/'1. Väestöennuste'!K139*1000</f>
        <v>0</v>
      </c>
      <c r="AC139" s="41">
        <f>J139/'1. Väestöennuste'!L139*1000</f>
        <v>0</v>
      </c>
      <c r="AD139" s="41">
        <f>K139/'1. Väestöennuste'!M139*1000</f>
        <v>0</v>
      </c>
      <c r="AE139" s="41">
        <f>L139/'1. Väestöennuste'!N139*1000</f>
        <v>0</v>
      </c>
      <c r="AF139" s="41">
        <f>M139/'1. Väestöennuste'!O139*1000</f>
        <v>0</v>
      </c>
      <c r="AG139" s="41">
        <f>N139/'1. Väestöennuste'!P139*1000</f>
        <v>0</v>
      </c>
      <c r="AH139" s="41">
        <f>O139/'1. Väestöennuste'!Q139*1000</f>
        <v>0</v>
      </c>
      <c r="AI139" s="41">
        <f>P139/'1. Väestöennuste'!R139*1000</f>
        <v>0</v>
      </c>
    </row>
    <row r="140" spans="1:35" x14ac:dyDescent="0.2">
      <c r="A140" s="30">
        <v>418</v>
      </c>
      <c r="B140" s="31" t="s">
        <v>454</v>
      </c>
      <c r="C140" s="64">
        <v>0</v>
      </c>
      <c r="D140" s="64"/>
      <c r="E140" s="64">
        <v>0</v>
      </c>
      <c r="F140" s="65">
        <v>0</v>
      </c>
      <c r="G140" s="65">
        <v>25640</v>
      </c>
      <c r="H140" s="41">
        <v>0</v>
      </c>
      <c r="I140" s="165">
        <v>0</v>
      </c>
      <c r="J140" s="41">
        <v>0</v>
      </c>
      <c r="K140" s="41">
        <v>0</v>
      </c>
      <c r="L140" s="41">
        <v>0</v>
      </c>
      <c r="M140" s="41">
        <v>0</v>
      </c>
      <c r="N140" s="41">
        <v>0</v>
      </c>
      <c r="O140" s="41">
        <v>0</v>
      </c>
      <c r="P140" s="41">
        <v>0</v>
      </c>
      <c r="T140" s="30">
        <v>418</v>
      </c>
      <c r="U140" s="31" t="s">
        <v>454</v>
      </c>
      <c r="V140" s="41">
        <f>C140/'1. Väestöennuste'!E140*1000</f>
        <v>0</v>
      </c>
      <c r="W140" s="41">
        <f>D140/'1. Väestöennuste'!F140*1000</f>
        <v>0</v>
      </c>
      <c r="X140" s="41">
        <f>E140/'1. Väestöennuste'!G140*1000</f>
        <v>0</v>
      </c>
      <c r="Y140" s="41">
        <f>F140/'1. Väestöennuste'!H140*1000</f>
        <v>0</v>
      </c>
      <c r="Z140" s="41">
        <f>G140/'1. Väestöennuste'!I140*1000</f>
        <v>1089.9970241890915</v>
      </c>
      <c r="AA140" s="41">
        <f>H140/'1. Väestöennuste'!J140*1000</f>
        <v>0</v>
      </c>
      <c r="AB140" s="41">
        <f>I140/'1. Väestöennuste'!K140*1000</f>
        <v>0</v>
      </c>
      <c r="AC140" s="41">
        <f>J140/'1. Väestöennuste'!L140*1000</f>
        <v>0</v>
      </c>
      <c r="AD140" s="41">
        <f>K140/'1. Väestöennuste'!M140*1000</f>
        <v>0</v>
      </c>
      <c r="AE140" s="41">
        <f>L140/'1. Väestöennuste'!N140*1000</f>
        <v>0</v>
      </c>
      <c r="AF140" s="41">
        <f>M140/'1. Väestöennuste'!O140*1000</f>
        <v>0</v>
      </c>
      <c r="AG140" s="41">
        <f>N140/'1. Väestöennuste'!P140*1000</f>
        <v>0</v>
      </c>
      <c r="AH140" s="41">
        <f>O140/'1. Väestöennuste'!Q140*1000</f>
        <v>0</v>
      </c>
      <c r="AI140" s="41">
        <f>P140/'1. Väestöennuste'!R140*1000</f>
        <v>0</v>
      </c>
    </row>
    <row r="141" spans="1:35" x14ac:dyDescent="0.2">
      <c r="A141" s="30">
        <v>420</v>
      </c>
      <c r="B141" s="31" t="s">
        <v>455</v>
      </c>
      <c r="C141" s="64">
        <v>0</v>
      </c>
      <c r="D141" s="64"/>
      <c r="E141" s="64">
        <v>0</v>
      </c>
      <c r="F141" s="65">
        <v>0</v>
      </c>
      <c r="G141" s="65">
        <v>-426</v>
      </c>
      <c r="H141" s="41">
        <v>0</v>
      </c>
      <c r="I141" s="165">
        <v>0</v>
      </c>
      <c r="J141" s="41">
        <v>0</v>
      </c>
      <c r="K141" s="41">
        <v>0</v>
      </c>
      <c r="L141" s="41">
        <v>0</v>
      </c>
      <c r="M141" s="41">
        <v>0</v>
      </c>
      <c r="N141" s="41">
        <v>0</v>
      </c>
      <c r="O141" s="41">
        <v>0</v>
      </c>
      <c r="P141" s="41">
        <v>0</v>
      </c>
      <c r="T141" s="30">
        <v>420</v>
      </c>
      <c r="U141" s="31" t="s">
        <v>455</v>
      </c>
      <c r="V141" s="41">
        <f>C141/'1. Väestöennuste'!E141*1000</f>
        <v>0</v>
      </c>
      <c r="W141" s="41">
        <f>D141/'1. Väestöennuste'!F141*1000</f>
        <v>0</v>
      </c>
      <c r="X141" s="41">
        <f>E141/'1. Väestöennuste'!G141*1000</f>
        <v>0</v>
      </c>
      <c r="Y141" s="41">
        <f>F141/'1. Väestöennuste'!H141*1000</f>
        <v>0</v>
      </c>
      <c r="Z141" s="41">
        <f>G141/'1. Väestöennuste'!I141*1000</f>
        <v>-45.060291939919608</v>
      </c>
      <c r="AA141" s="41">
        <f>H141/'1. Väestöennuste'!J141*1000</f>
        <v>0</v>
      </c>
      <c r="AB141" s="41">
        <f>I141/'1. Väestöennuste'!K141*1000</f>
        <v>0</v>
      </c>
      <c r="AC141" s="41">
        <f>J141/'1. Väestöennuste'!L141*1000</f>
        <v>0</v>
      </c>
      <c r="AD141" s="41">
        <f>K141/'1. Väestöennuste'!M141*1000</f>
        <v>0</v>
      </c>
      <c r="AE141" s="41">
        <f>L141/'1. Väestöennuste'!N141*1000</f>
        <v>0</v>
      </c>
      <c r="AF141" s="41">
        <f>M141/'1. Väestöennuste'!O141*1000</f>
        <v>0</v>
      </c>
      <c r="AG141" s="41">
        <f>N141/'1. Väestöennuste'!P141*1000</f>
        <v>0</v>
      </c>
      <c r="AH141" s="41">
        <f>O141/'1. Väestöennuste'!Q141*1000</f>
        <v>0</v>
      </c>
      <c r="AI141" s="41">
        <f>P141/'1. Väestöennuste'!R141*1000</f>
        <v>0</v>
      </c>
    </row>
    <row r="142" spans="1:35" x14ac:dyDescent="0.2">
      <c r="A142" s="30">
        <v>421</v>
      </c>
      <c r="B142" s="31" t="s">
        <v>456</v>
      </c>
      <c r="C142" s="64">
        <v>0</v>
      </c>
      <c r="D142" s="64"/>
      <c r="E142" s="64">
        <v>0</v>
      </c>
      <c r="F142" s="65">
        <v>0</v>
      </c>
      <c r="G142" s="65">
        <v>0</v>
      </c>
      <c r="H142" s="41">
        <v>0</v>
      </c>
      <c r="I142" s="165">
        <v>0</v>
      </c>
      <c r="J142" s="41">
        <v>0</v>
      </c>
      <c r="K142" s="41">
        <v>0</v>
      </c>
      <c r="L142" s="41">
        <v>0</v>
      </c>
      <c r="M142" s="41">
        <v>0</v>
      </c>
      <c r="N142" s="41">
        <v>0</v>
      </c>
      <c r="O142" s="41">
        <v>0</v>
      </c>
      <c r="P142" s="41">
        <v>0</v>
      </c>
      <c r="T142" s="30">
        <v>421</v>
      </c>
      <c r="U142" s="31" t="s">
        <v>456</v>
      </c>
      <c r="V142" s="41">
        <f>C142/'1. Väestöennuste'!E142*1000</f>
        <v>0</v>
      </c>
      <c r="W142" s="41">
        <f>D142/'1. Väestöennuste'!F142*1000</f>
        <v>0</v>
      </c>
      <c r="X142" s="41">
        <f>E142/'1. Väestöennuste'!G142*1000</f>
        <v>0</v>
      </c>
      <c r="Y142" s="41">
        <f>F142/'1. Väestöennuste'!H142*1000</f>
        <v>0</v>
      </c>
      <c r="Z142" s="41">
        <f>G142/'1. Väestöennuste'!I142*1000</f>
        <v>0</v>
      </c>
      <c r="AA142" s="41">
        <f>H142/'1. Väestöennuste'!J142*1000</f>
        <v>0</v>
      </c>
      <c r="AB142" s="41">
        <f>I142/'1. Väestöennuste'!K142*1000</f>
        <v>0</v>
      </c>
      <c r="AC142" s="41">
        <f>J142/'1. Väestöennuste'!L142*1000</f>
        <v>0</v>
      </c>
      <c r="AD142" s="41">
        <f>K142/'1. Väestöennuste'!M142*1000</f>
        <v>0</v>
      </c>
      <c r="AE142" s="41">
        <f>L142/'1. Väestöennuste'!N142*1000</f>
        <v>0</v>
      </c>
      <c r="AF142" s="41">
        <f>M142/'1. Väestöennuste'!O142*1000</f>
        <v>0</v>
      </c>
      <c r="AG142" s="41">
        <f>N142/'1. Väestöennuste'!P142*1000</f>
        <v>0</v>
      </c>
      <c r="AH142" s="41">
        <f>O142/'1. Väestöennuste'!Q142*1000</f>
        <v>0</v>
      </c>
      <c r="AI142" s="41">
        <f>P142/'1. Väestöennuste'!R142*1000</f>
        <v>0</v>
      </c>
    </row>
    <row r="143" spans="1:35" x14ac:dyDescent="0.2">
      <c r="A143" s="30">
        <v>422</v>
      </c>
      <c r="B143" s="31" t="s">
        <v>457</v>
      </c>
      <c r="C143" s="64">
        <v>0</v>
      </c>
      <c r="D143" s="64"/>
      <c r="E143" s="64">
        <v>574</v>
      </c>
      <c r="F143" s="65">
        <v>0</v>
      </c>
      <c r="G143" s="65">
        <v>0</v>
      </c>
      <c r="H143" s="41">
        <v>0</v>
      </c>
      <c r="I143" s="165">
        <v>0</v>
      </c>
      <c r="J143" s="41">
        <v>0</v>
      </c>
      <c r="K143" s="41">
        <v>0</v>
      </c>
      <c r="L143" s="41">
        <v>0</v>
      </c>
      <c r="M143" s="41">
        <v>0</v>
      </c>
      <c r="N143" s="41">
        <v>0</v>
      </c>
      <c r="O143" s="41">
        <v>0</v>
      </c>
      <c r="P143" s="41">
        <v>0</v>
      </c>
      <c r="T143" s="30">
        <v>422</v>
      </c>
      <c r="U143" s="31" t="s">
        <v>457</v>
      </c>
      <c r="V143" s="41">
        <f>C143/'1. Väestöennuste'!E143*1000</f>
        <v>0</v>
      </c>
      <c r="W143" s="41">
        <f>D143/'1. Väestöennuste'!F143*1000</f>
        <v>0</v>
      </c>
      <c r="X143" s="41">
        <f>E143/'1. Väestöennuste'!G143*1000</f>
        <v>50.809949544126759</v>
      </c>
      <c r="Y143" s="41">
        <f>F143/'1. Väestöennuste'!H143*1000</f>
        <v>0</v>
      </c>
      <c r="Z143" s="41">
        <f>G143/'1. Väestöennuste'!I143*1000</f>
        <v>0</v>
      </c>
      <c r="AA143" s="41">
        <f>H143/'1. Väestöennuste'!J143*1000</f>
        <v>0</v>
      </c>
      <c r="AB143" s="41">
        <f>I143/'1. Väestöennuste'!K143*1000</f>
        <v>0</v>
      </c>
      <c r="AC143" s="41">
        <f>J143/'1. Väestöennuste'!L143*1000</f>
        <v>0</v>
      </c>
      <c r="AD143" s="41">
        <f>K143/'1. Väestöennuste'!M143*1000</f>
        <v>0</v>
      </c>
      <c r="AE143" s="41">
        <f>L143/'1. Väestöennuste'!N143*1000</f>
        <v>0</v>
      </c>
      <c r="AF143" s="41">
        <f>M143/'1. Väestöennuste'!O143*1000</f>
        <v>0</v>
      </c>
      <c r="AG143" s="41">
        <f>N143/'1. Väestöennuste'!P143*1000</f>
        <v>0</v>
      </c>
      <c r="AH143" s="41">
        <f>O143/'1. Väestöennuste'!Q143*1000</f>
        <v>0</v>
      </c>
      <c r="AI143" s="41">
        <f>P143/'1. Väestöennuste'!R143*1000</f>
        <v>0</v>
      </c>
    </row>
    <row r="144" spans="1:35" x14ac:dyDescent="0.2">
      <c r="A144" s="30">
        <v>423</v>
      </c>
      <c r="B144" s="31" t="s">
        <v>458</v>
      </c>
      <c r="C144" s="64">
        <v>0</v>
      </c>
      <c r="D144" s="64"/>
      <c r="E144" s="64">
        <v>0</v>
      </c>
      <c r="F144" s="65">
        <v>0</v>
      </c>
      <c r="G144" s="65">
        <v>0</v>
      </c>
      <c r="H144" s="41">
        <v>0</v>
      </c>
      <c r="I144" s="165">
        <v>0</v>
      </c>
      <c r="J144" s="41">
        <v>0</v>
      </c>
      <c r="K144" s="41">
        <v>0</v>
      </c>
      <c r="L144" s="41">
        <v>0</v>
      </c>
      <c r="M144" s="41">
        <v>0</v>
      </c>
      <c r="N144" s="41">
        <v>0</v>
      </c>
      <c r="O144" s="41">
        <v>0</v>
      </c>
      <c r="P144" s="41">
        <v>0</v>
      </c>
      <c r="T144" s="30">
        <v>423</v>
      </c>
      <c r="U144" s="31" t="s">
        <v>458</v>
      </c>
      <c r="V144" s="41">
        <f>C144/'1. Väestöennuste'!E144*1000</f>
        <v>0</v>
      </c>
      <c r="W144" s="41">
        <f>D144/'1. Väestöennuste'!F144*1000</f>
        <v>0</v>
      </c>
      <c r="X144" s="41">
        <f>E144/'1. Väestöennuste'!G144*1000</f>
        <v>0</v>
      </c>
      <c r="Y144" s="41">
        <f>F144/'1. Väestöennuste'!H144*1000</f>
        <v>0</v>
      </c>
      <c r="Z144" s="41">
        <f>G144/'1. Väestöennuste'!I144*1000</f>
        <v>0</v>
      </c>
      <c r="AA144" s="41">
        <f>H144/'1. Väestöennuste'!J144*1000</f>
        <v>0</v>
      </c>
      <c r="AB144" s="41">
        <f>I144/'1. Väestöennuste'!K144*1000</f>
        <v>0</v>
      </c>
      <c r="AC144" s="41">
        <f>J144/'1. Väestöennuste'!L144*1000</f>
        <v>0</v>
      </c>
      <c r="AD144" s="41">
        <f>K144/'1. Väestöennuste'!M144*1000</f>
        <v>0</v>
      </c>
      <c r="AE144" s="41">
        <f>L144/'1. Väestöennuste'!N144*1000</f>
        <v>0</v>
      </c>
      <c r="AF144" s="41">
        <f>M144/'1. Väestöennuste'!O144*1000</f>
        <v>0</v>
      </c>
      <c r="AG144" s="41">
        <f>N144/'1. Väestöennuste'!P144*1000</f>
        <v>0</v>
      </c>
      <c r="AH144" s="41">
        <f>O144/'1. Väestöennuste'!Q144*1000</f>
        <v>0</v>
      </c>
      <c r="AI144" s="41">
        <f>P144/'1. Väestöennuste'!R144*1000</f>
        <v>0</v>
      </c>
    </row>
    <row r="145" spans="1:35" x14ac:dyDescent="0.2">
      <c r="A145" s="30">
        <v>425</v>
      </c>
      <c r="B145" s="31" t="s">
        <v>459</v>
      </c>
      <c r="C145" s="64">
        <v>-200</v>
      </c>
      <c r="D145" s="64"/>
      <c r="E145" s="64">
        <v>0</v>
      </c>
      <c r="F145" s="65">
        <v>0</v>
      </c>
      <c r="G145" s="65">
        <v>0</v>
      </c>
      <c r="H145" s="41">
        <v>0</v>
      </c>
      <c r="I145" s="165">
        <v>0</v>
      </c>
      <c r="J145" s="41">
        <v>0</v>
      </c>
      <c r="K145" s="41">
        <v>0</v>
      </c>
      <c r="L145" s="41">
        <v>0</v>
      </c>
      <c r="M145" s="41">
        <v>0</v>
      </c>
      <c r="N145" s="41">
        <v>0</v>
      </c>
      <c r="O145" s="41">
        <v>0</v>
      </c>
      <c r="P145" s="41">
        <v>0</v>
      </c>
      <c r="T145" s="30">
        <v>425</v>
      </c>
      <c r="U145" s="31" t="s">
        <v>459</v>
      </c>
      <c r="V145" s="41">
        <f>C145/'1. Väestöennuste'!E145*1000</f>
        <v>-20.126798832645669</v>
      </c>
      <c r="W145" s="41">
        <f>D145/'1. Väestöennuste'!F145*1000</f>
        <v>0</v>
      </c>
      <c r="X145" s="41">
        <f>E145/'1. Väestöennuste'!G145*1000</f>
        <v>0</v>
      </c>
      <c r="Y145" s="41">
        <f>F145/'1. Väestöennuste'!H145*1000</f>
        <v>0</v>
      </c>
      <c r="Z145" s="41">
        <f>G145/'1. Väestöennuste'!I145*1000</f>
        <v>0</v>
      </c>
      <c r="AA145" s="41">
        <f>H145/'1. Väestöennuste'!J145*1000</f>
        <v>0</v>
      </c>
      <c r="AB145" s="41">
        <f>I145/'1. Väestöennuste'!K145*1000</f>
        <v>0</v>
      </c>
      <c r="AC145" s="41">
        <f>J145/'1. Väestöennuste'!L145*1000</f>
        <v>0</v>
      </c>
      <c r="AD145" s="41">
        <f>K145/'1. Väestöennuste'!M145*1000</f>
        <v>0</v>
      </c>
      <c r="AE145" s="41">
        <f>L145/'1. Väestöennuste'!N145*1000</f>
        <v>0</v>
      </c>
      <c r="AF145" s="41">
        <f>M145/'1. Väestöennuste'!O145*1000</f>
        <v>0</v>
      </c>
      <c r="AG145" s="41">
        <f>N145/'1. Väestöennuste'!P145*1000</f>
        <v>0</v>
      </c>
      <c r="AH145" s="41">
        <f>O145/'1. Väestöennuste'!Q145*1000</f>
        <v>0</v>
      </c>
      <c r="AI145" s="41">
        <f>P145/'1. Väestöennuste'!R145*1000</f>
        <v>0</v>
      </c>
    </row>
    <row r="146" spans="1:35" x14ac:dyDescent="0.2">
      <c r="A146" s="30">
        <v>426</v>
      </c>
      <c r="B146" s="31" t="s">
        <v>460</v>
      </c>
      <c r="C146" s="64">
        <v>0</v>
      </c>
      <c r="D146" s="64"/>
      <c r="E146" s="64">
        <v>468</v>
      </c>
      <c r="F146" s="65">
        <v>0</v>
      </c>
      <c r="G146" s="65">
        <v>0</v>
      </c>
      <c r="H146" s="41">
        <v>0</v>
      </c>
      <c r="I146" s="165">
        <v>0</v>
      </c>
      <c r="J146" s="41">
        <v>0</v>
      </c>
      <c r="K146" s="41">
        <v>0</v>
      </c>
      <c r="L146" s="41">
        <v>0</v>
      </c>
      <c r="M146" s="41">
        <v>0</v>
      </c>
      <c r="N146" s="41">
        <v>0</v>
      </c>
      <c r="O146" s="41">
        <v>0</v>
      </c>
      <c r="P146" s="41">
        <v>0</v>
      </c>
      <c r="T146" s="30">
        <v>426</v>
      </c>
      <c r="U146" s="31" t="s">
        <v>460</v>
      </c>
      <c r="V146" s="41">
        <f>C146/'1. Väestöennuste'!E146*1000</f>
        <v>0</v>
      </c>
      <c r="W146" s="41">
        <f>D146/'1. Väestöennuste'!F146*1000</f>
        <v>0</v>
      </c>
      <c r="X146" s="41">
        <f>E146/'1. Väestöennuste'!G146*1000</f>
        <v>38.518518518518519</v>
      </c>
      <c r="Y146" s="41">
        <f>F146/'1. Väestöennuste'!H146*1000</f>
        <v>0</v>
      </c>
      <c r="Z146" s="41">
        <f>G146/'1. Väestöennuste'!I146*1000</f>
        <v>0</v>
      </c>
      <c r="AA146" s="41">
        <f>H146/'1. Väestöennuste'!J146*1000</f>
        <v>0</v>
      </c>
      <c r="AB146" s="41">
        <f>I146/'1. Väestöennuste'!K146*1000</f>
        <v>0</v>
      </c>
      <c r="AC146" s="41">
        <f>J146/'1. Väestöennuste'!L146*1000</f>
        <v>0</v>
      </c>
      <c r="AD146" s="41">
        <f>K146/'1. Väestöennuste'!M146*1000</f>
        <v>0</v>
      </c>
      <c r="AE146" s="41">
        <f>L146/'1. Väestöennuste'!N146*1000</f>
        <v>0</v>
      </c>
      <c r="AF146" s="41">
        <f>M146/'1. Väestöennuste'!O146*1000</f>
        <v>0</v>
      </c>
      <c r="AG146" s="41">
        <f>N146/'1. Väestöennuste'!P146*1000</f>
        <v>0</v>
      </c>
      <c r="AH146" s="41">
        <f>O146/'1. Väestöennuste'!Q146*1000</f>
        <v>0</v>
      </c>
      <c r="AI146" s="41">
        <f>P146/'1. Väestöennuste'!R146*1000</f>
        <v>0</v>
      </c>
    </row>
    <row r="147" spans="1:35" x14ac:dyDescent="0.2">
      <c r="A147" s="30">
        <v>430</v>
      </c>
      <c r="B147" s="31" t="s">
        <v>461</v>
      </c>
      <c r="C147" s="64">
        <v>0</v>
      </c>
      <c r="D147" s="64"/>
      <c r="E147" s="64">
        <v>0</v>
      </c>
      <c r="F147" s="65">
        <v>0</v>
      </c>
      <c r="G147" s="65">
        <v>-808</v>
      </c>
      <c r="H147" s="41">
        <v>0</v>
      </c>
      <c r="I147" s="165">
        <v>-321.85865999999999</v>
      </c>
      <c r="J147" s="41">
        <v>0</v>
      </c>
      <c r="K147" s="41">
        <v>0</v>
      </c>
      <c r="L147" s="41">
        <v>0</v>
      </c>
      <c r="M147" s="41">
        <v>0</v>
      </c>
      <c r="N147" s="41">
        <v>0</v>
      </c>
      <c r="O147" s="41">
        <v>0</v>
      </c>
      <c r="P147" s="41">
        <v>0</v>
      </c>
      <c r="T147" s="30">
        <v>430</v>
      </c>
      <c r="U147" s="31" t="s">
        <v>461</v>
      </c>
      <c r="V147" s="41">
        <f>C147/'1. Väestöennuste'!E147*1000</f>
        <v>0</v>
      </c>
      <c r="W147" s="41">
        <f>D147/'1. Väestöennuste'!F147*1000</f>
        <v>0</v>
      </c>
      <c r="X147" s="41">
        <f>E147/'1. Väestöennuste'!G147*1000</f>
        <v>0</v>
      </c>
      <c r="Y147" s="41">
        <f>F147/'1. Väestöennuste'!H147*1000</f>
        <v>0</v>
      </c>
      <c r="Z147" s="41">
        <f>G147/'1. Väestöennuste'!I147*1000</f>
        <v>-50.897637795275593</v>
      </c>
      <c r="AA147" s="41">
        <f>H147/'1. Väestöennuste'!J147*1000</f>
        <v>0</v>
      </c>
      <c r="AB147" s="41">
        <f>I147/'1. Väestöennuste'!K147*1000</f>
        <v>-20.594999999999999</v>
      </c>
      <c r="AC147" s="41">
        <f>J147/'1. Väestöennuste'!L147*1000</f>
        <v>0</v>
      </c>
      <c r="AD147" s="41">
        <f>K147/'1. Väestöennuste'!M147*1000</f>
        <v>0</v>
      </c>
      <c r="AE147" s="41">
        <f>L147/'1. Väestöennuste'!N147*1000</f>
        <v>0</v>
      </c>
      <c r="AF147" s="41">
        <f>M147/'1. Väestöennuste'!O147*1000</f>
        <v>0</v>
      </c>
      <c r="AG147" s="41">
        <f>N147/'1. Väestöennuste'!P147*1000</f>
        <v>0</v>
      </c>
      <c r="AH147" s="41">
        <f>O147/'1. Väestöennuste'!Q147*1000</f>
        <v>0</v>
      </c>
      <c r="AI147" s="41">
        <f>P147/'1. Väestöennuste'!R147*1000</f>
        <v>0</v>
      </c>
    </row>
    <row r="148" spans="1:35" x14ac:dyDescent="0.2">
      <c r="A148" s="30">
        <v>433</v>
      </c>
      <c r="B148" s="31" t="s">
        <v>462</v>
      </c>
      <c r="C148" s="64">
        <v>0</v>
      </c>
      <c r="D148" s="64"/>
      <c r="E148" s="64">
        <v>0</v>
      </c>
      <c r="F148" s="65">
        <v>0</v>
      </c>
      <c r="G148" s="65">
        <v>0</v>
      </c>
      <c r="H148" s="41">
        <v>0</v>
      </c>
      <c r="I148" s="165">
        <v>0</v>
      </c>
      <c r="J148" s="41">
        <v>0</v>
      </c>
      <c r="K148" s="41">
        <v>-536.92856000000006</v>
      </c>
      <c r="L148" s="41">
        <v>0</v>
      </c>
      <c r="M148" s="41">
        <v>0</v>
      </c>
      <c r="N148" s="41">
        <v>0</v>
      </c>
      <c r="O148" s="41">
        <v>0</v>
      </c>
      <c r="P148" s="41">
        <v>0</v>
      </c>
      <c r="T148" s="30">
        <v>433</v>
      </c>
      <c r="U148" s="31" t="s">
        <v>462</v>
      </c>
      <c r="V148" s="41">
        <f>C148/'1. Väestöennuste'!E148*1000</f>
        <v>0</v>
      </c>
      <c r="W148" s="41">
        <f>D148/'1. Väestöennuste'!F148*1000</f>
        <v>0</v>
      </c>
      <c r="X148" s="41">
        <f>E148/'1. Väestöennuste'!G148*1000</f>
        <v>0</v>
      </c>
      <c r="Y148" s="41">
        <f>F148/'1. Väestöennuste'!H148*1000</f>
        <v>0</v>
      </c>
      <c r="Z148" s="41">
        <f>G148/'1. Väestöennuste'!I148*1000</f>
        <v>0</v>
      </c>
      <c r="AA148" s="41">
        <f>H148/'1. Väestöennuste'!J148*1000</f>
        <v>0</v>
      </c>
      <c r="AB148" s="41">
        <f>I148/'1. Väestöennuste'!K148*1000</f>
        <v>0</v>
      </c>
      <c r="AC148" s="41">
        <f>J148/'1. Väestöennuste'!L148*1000</f>
        <v>0</v>
      </c>
      <c r="AD148" s="41">
        <f>K148/'1. Väestöennuste'!M148*1000</f>
        <v>-69.803504940197612</v>
      </c>
      <c r="AE148" s="41">
        <f>L148/'1. Väestöennuste'!N148*1000</f>
        <v>0</v>
      </c>
      <c r="AF148" s="41">
        <f>M148/'1. Väestöennuste'!O148*1000</f>
        <v>0</v>
      </c>
      <c r="AG148" s="41">
        <f>N148/'1. Väestöennuste'!P148*1000</f>
        <v>0</v>
      </c>
      <c r="AH148" s="41">
        <f>O148/'1. Väestöennuste'!Q148*1000</f>
        <v>0</v>
      </c>
      <c r="AI148" s="41">
        <f>P148/'1. Väestöennuste'!R148*1000</f>
        <v>0</v>
      </c>
    </row>
    <row r="149" spans="1:35" x14ac:dyDescent="0.2">
      <c r="A149" s="30">
        <v>434</v>
      </c>
      <c r="B149" s="31" t="s">
        <v>463</v>
      </c>
      <c r="C149" s="64">
        <v>-155</v>
      </c>
      <c r="D149" s="64">
        <v>-130</v>
      </c>
      <c r="E149" s="64">
        <v>-339</v>
      </c>
      <c r="F149" s="65">
        <v>-5</v>
      </c>
      <c r="G149" s="65">
        <v>-259</v>
      </c>
      <c r="H149" s="41">
        <v>-191</v>
      </c>
      <c r="I149" s="165">
        <v>-362.77724999999998</v>
      </c>
      <c r="J149" s="41">
        <v>0</v>
      </c>
      <c r="K149" s="41">
        <v>-111.40949999999999</v>
      </c>
      <c r="L149" s="41">
        <v>350</v>
      </c>
      <c r="M149" s="41">
        <v>50</v>
      </c>
      <c r="N149" s="41">
        <v>50</v>
      </c>
      <c r="O149" s="41">
        <v>0</v>
      </c>
      <c r="P149" s="41">
        <v>0</v>
      </c>
      <c r="T149" s="30">
        <v>434</v>
      </c>
      <c r="U149" s="31" t="s">
        <v>463</v>
      </c>
      <c r="V149" s="41">
        <f>C149/'1. Väestöennuste'!E149*1000</f>
        <v>-10.123440663575208</v>
      </c>
      <c r="W149" s="41">
        <f>D149/'1. Väestöennuste'!F149*1000</f>
        <v>-8.5481325618095738</v>
      </c>
      <c r="X149" s="41">
        <f>E149/'1. Väestöennuste'!G149*1000</f>
        <v>-22.47265495525356</v>
      </c>
      <c r="Y149" s="41">
        <f>F149/'1. Väestöennuste'!H149*1000</f>
        <v>-0.33577328587737559</v>
      </c>
      <c r="Z149" s="41">
        <f>G149/'1. Väestöennuste'!I149*1000</f>
        <v>-17.533170863796371</v>
      </c>
      <c r="AA149" s="41">
        <f>H149/'1. Väestöennuste'!J149*1000</f>
        <v>-12.953543574092913</v>
      </c>
      <c r="AB149" s="41">
        <f>I149/'1. Väestöennuste'!K149*1000</f>
        <v>-24.774790002048757</v>
      </c>
      <c r="AC149" s="41">
        <f>J149/'1. Väestöennuste'!L149*1000</f>
        <v>0</v>
      </c>
      <c r="AD149" s="41">
        <f>K149/'1. Väestöennuste'!M149*1000</f>
        <v>-7.705733849771752</v>
      </c>
      <c r="AE149" s="41">
        <f>L149/'1. Väestöennuste'!N149*1000</f>
        <v>24.432809773123907</v>
      </c>
      <c r="AF149" s="41">
        <f>M149/'1. Väestöennuste'!O149*1000</f>
        <v>3.5117291754459896</v>
      </c>
      <c r="AG149" s="41">
        <f>N149/'1. Väestöennuste'!P149*1000</f>
        <v>3.5328198968416591</v>
      </c>
      <c r="AH149" s="41">
        <f>O149/'1. Väestöennuste'!Q149*1000</f>
        <v>0</v>
      </c>
      <c r="AI149" s="41">
        <f>P149/'1. Väestöennuste'!R149*1000</f>
        <v>0</v>
      </c>
    </row>
    <row r="150" spans="1:35" x14ac:dyDescent="0.2">
      <c r="A150" s="30">
        <v>435</v>
      </c>
      <c r="B150" s="31" t="s">
        <v>464</v>
      </c>
      <c r="C150" s="64">
        <v>1</v>
      </c>
      <c r="D150" s="64">
        <v>68</v>
      </c>
      <c r="E150" s="64">
        <v>0</v>
      </c>
      <c r="F150" s="65">
        <v>70</v>
      </c>
      <c r="G150" s="65">
        <v>-1111</v>
      </c>
      <c r="H150" s="41">
        <v>0</v>
      </c>
      <c r="I150" s="165">
        <v>5.84382</v>
      </c>
      <c r="J150" s="41">
        <v>32.717150000000004</v>
      </c>
      <c r="K150" s="41">
        <v>23.720130000000001</v>
      </c>
      <c r="L150" s="41">
        <v>0</v>
      </c>
      <c r="M150" s="41">
        <v>0</v>
      </c>
      <c r="N150" s="41">
        <v>0</v>
      </c>
      <c r="O150" s="41">
        <v>0</v>
      </c>
      <c r="P150" s="41">
        <v>0</v>
      </c>
      <c r="T150" s="30">
        <v>435</v>
      </c>
      <c r="U150" s="31" t="s">
        <v>464</v>
      </c>
      <c r="V150" s="41">
        <f>C150/'1. Väestöennuste'!E150*1000</f>
        <v>1.3140604467805519</v>
      </c>
      <c r="W150" s="41">
        <f>D150/'1. Väestöennuste'!F150*1000</f>
        <v>89.947089947089935</v>
      </c>
      <c r="X150" s="41">
        <f>E150/'1. Väestöennuste'!G150*1000</f>
        <v>0</v>
      </c>
      <c r="Y150" s="41">
        <f>F150/'1. Väestöennuste'!H150*1000</f>
        <v>99.009900990099013</v>
      </c>
      <c r="Z150" s="41">
        <f>G150/'1. Väestöennuste'!I150*1000</f>
        <v>-1610.1449275362318</v>
      </c>
      <c r="AA150" s="41">
        <f>H150/'1. Väestöennuste'!J150*1000</f>
        <v>0</v>
      </c>
      <c r="AB150" s="41">
        <f>I150/'1. Väestöennuste'!K150*1000</f>
        <v>8.3126884779516352</v>
      </c>
      <c r="AC150" s="41">
        <f>J150/'1. Väestöennuste'!L150*1000</f>
        <v>47.279118497109835</v>
      </c>
      <c r="AD150" s="41">
        <f>K150/'1. Väestöennuste'!M150*1000</f>
        <v>33.789358974358976</v>
      </c>
      <c r="AE150" s="41">
        <f>L150/'1. Väestöennuste'!N150*1000</f>
        <v>0</v>
      </c>
      <c r="AF150" s="41">
        <f>M150/'1. Väestöennuste'!O150*1000</f>
        <v>0</v>
      </c>
      <c r="AG150" s="41">
        <f>N150/'1. Väestöennuste'!P150*1000</f>
        <v>0</v>
      </c>
      <c r="AH150" s="41">
        <f>O150/'1. Väestöennuste'!Q150*1000</f>
        <v>0</v>
      </c>
      <c r="AI150" s="41">
        <f>P150/'1. Väestöennuste'!R150*1000</f>
        <v>0</v>
      </c>
    </row>
    <row r="151" spans="1:35" x14ac:dyDescent="0.2">
      <c r="A151" s="30">
        <v>436</v>
      </c>
      <c r="B151" s="31" t="s">
        <v>465</v>
      </c>
      <c r="C151" s="64">
        <v>0</v>
      </c>
      <c r="D151" s="64"/>
      <c r="E151" s="64">
        <v>0</v>
      </c>
      <c r="F151" s="65">
        <v>0</v>
      </c>
      <c r="G151" s="65">
        <v>0</v>
      </c>
      <c r="H151" s="41">
        <v>0</v>
      </c>
      <c r="I151" s="165">
        <v>0</v>
      </c>
      <c r="J151" s="41">
        <v>0</v>
      </c>
      <c r="K151" s="41">
        <v>0</v>
      </c>
      <c r="L151" s="41">
        <v>0</v>
      </c>
      <c r="M151" s="41">
        <v>0</v>
      </c>
      <c r="N151" s="41">
        <v>0</v>
      </c>
      <c r="O151" s="41">
        <v>0</v>
      </c>
      <c r="P151" s="41">
        <v>0</v>
      </c>
      <c r="T151" s="30">
        <v>436</v>
      </c>
      <c r="U151" s="31" t="s">
        <v>465</v>
      </c>
      <c r="V151" s="41">
        <f>C151/'1. Väestöennuste'!E151*1000</f>
        <v>0</v>
      </c>
      <c r="W151" s="41">
        <f>D151/'1. Väestöennuste'!F151*1000</f>
        <v>0</v>
      </c>
      <c r="X151" s="41">
        <f>E151/'1. Väestöennuste'!G151*1000</f>
        <v>0</v>
      </c>
      <c r="Y151" s="41">
        <f>F151/'1. Väestöennuste'!H151*1000</f>
        <v>0</v>
      </c>
      <c r="Z151" s="41">
        <f>G151/'1. Väestöennuste'!I151*1000</f>
        <v>0</v>
      </c>
      <c r="AA151" s="41">
        <f>H151/'1. Väestöennuste'!J151*1000</f>
        <v>0</v>
      </c>
      <c r="AB151" s="41">
        <f>I151/'1. Väestöennuste'!K151*1000</f>
        <v>0</v>
      </c>
      <c r="AC151" s="41">
        <f>J151/'1. Väestöennuste'!L151*1000</f>
        <v>0</v>
      </c>
      <c r="AD151" s="41">
        <f>K151/'1. Väestöennuste'!M151*1000</f>
        <v>0</v>
      </c>
      <c r="AE151" s="41">
        <f>L151/'1. Väestöennuste'!N151*1000</f>
        <v>0</v>
      </c>
      <c r="AF151" s="41">
        <f>M151/'1. Väestöennuste'!O151*1000</f>
        <v>0</v>
      </c>
      <c r="AG151" s="41">
        <f>N151/'1. Väestöennuste'!P151*1000</f>
        <v>0</v>
      </c>
      <c r="AH151" s="41">
        <f>O151/'1. Väestöennuste'!Q151*1000</f>
        <v>0</v>
      </c>
      <c r="AI151" s="41">
        <f>P151/'1. Väestöennuste'!R151*1000</f>
        <v>0</v>
      </c>
    </row>
    <row r="152" spans="1:35" x14ac:dyDescent="0.2">
      <c r="A152" s="30">
        <v>440</v>
      </c>
      <c r="B152" s="31" t="s">
        <v>466</v>
      </c>
      <c r="C152" s="64">
        <v>0</v>
      </c>
      <c r="D152" s="64"/>
      <c r="E152" s="64">
        <v>0</v>
      </c>
      <c r="F152" s="65">
        <v>0</v>
      </c>
      <c r="G152" s="65">
        <v>0</v>
      </c>
      <c r="H152" s="41">
        <v>0</v>
      </c>
      <c r="I152" s="165">
        <v>0</v>
      </c>
      <c r="J152" s="41">
        <v>0</v>
      </c>
      <c r="K152" s="41">
        <v>0</v>
      </c>
      <c r="L152" s="41">
        <v>0</v>
      </c>
      <c r="M152" s="41">
        <v>0</v>
      </c>
      <c r="N152" s="41">
        <v>0</v>
      </c>
      <c r="O152" s="41">
        <v>0</v>
      </c>
      <c r="P152" s="41">
        <v>0</v>
      </c>
      <c r="T152" s="30">
        <v>440</v>
      </c>
      <c r="U152" s="31" t="s">
        <v>466</v>
      </c>
      <c r="V152" s="41">
        <f>C152/'1. Väestöennuste'!E152*1000</f>
        <v>0</v>
      </c>
      <c r="W152" s="41">
        <f>D152/'1. Väestöennuste'!F152*1000</f>
        <v>0</v>
      </c>
      <c r="X152" s="41">
        <f>E152/'1. Väestöennuste'!G152*1000</f>
        <v>0</v>
      </c>
      <c r="Y152" s="41">
        <f>F152/'1. Väestöennuste'!H152*1000</f>
        <v>0</v>
      </c>
      <c r="Z152" s="41">
        <f>G152/'1. Väestöennuste'!I152*1000</f>
        <v>0</v>
      </c>
      <c r="AA152" s="41">
        <f>H152/'1. Väestöennuste'!J152*1000</f>
        <v>0</v>
      </c>
      <c r="AB152" s="41">
        <f>I152/'1. Väestöennuste'!K152*1000</f>
        <v>0</v>
      </c>
      <c r="AC152" s="41">
        <f>J152/'1. Väestöennuste'!L152*1000</f>
        <v>0</v>
      </c>
      <c r="AD152" s="41">
        <f>K152/'1. Väestöennuste'!M152*1000</f>
        <v>0</v>
      </c>
      <c r="AE152" s="41">
        <f>L152/'1. Väestöennuste'!N152*1000</f>
        <v>0</v>
      </c>
      <c r="AF152" s="41">
        <f>M152/'1. Väestöennuste'!O152*1000</f>
        <v>0</v>
      </c>
      <c r="AG152" s="41">
        <f>N152/'1. Väestöennuste'!P152*1000</f>
        <v>0</v>
      </c>
      <c r="AH152" s="41">
        <f>O152/'1. Väestöennuste'!Q152*1000</f>
        <v>0</v>
      </c>
      <c r="AI152" s="41">
        <f>P152/'1. Väestöennuste'!R152*1000</f>
        <v>0</v>
      </c>
    </row>
    <row r="153" spans="1:35" x14ac:dyDescent="0.2">
      <c r="A153" s="30">
        <v>441</v>
      </c>
      <c r="B153" s="31" t="s">
        <v>467</v>
      </c>
      <c r="C153" s="64">
        <v>0</v>
      </c>
      <c r="D153" s="64"/>
      <c r="E153" s="64">
        <v>0</v>
      </c>
      <c r="F153" s="65">
        <v>212</v>
      </c>
      <c r="G153" s="65">
        <v>0</v>
      </c>
      <c r="H153" s="41">
        <v>0</v>
      </c>
      <c r="I153" s="165">
        <v>0</v>
      </c>
      <c r="J153" s="41">
        <v>0</v>
      </c>
      <c r="K153" s="41">
        <v>0</v>
      </c>
      <c r="L153" s="41">
        <v>0</v>
      </c>
      <c r="M153" s="41">
        <v>0</v>
      </c>
      <c r="N153" s="41">
        <v>0</v>
      </c>
      <c r="O153" s="41">
        <v>0</v>
      </c>
      <c r="P153" s="41">
        <v>0</v>
      </c>
      <c r="T153" s="30">
        <v>441</v>
      </c>
      <c r="U153" s="31" t="s">
        <v>467</v>
      </c>
      <c r="V153" s="41">
        <f>C153/'1. Väestöennuste'!E153*1000</f>
        <v>0</v>
      </c>
      <c r="W153" s="41">
        <f>D153/'1. Väestöennuste'!F153*1000</f>
        <v>0</v>
      </c>
      <c r="X153" s="41">
        <f>E153/'1. Väestöennuste'!G153*1000</f>
        <v>0</v>
      </c>
      <c r="Y153" s="41">
        <f>F153/'1. Väestöennuste'!H153*1000</f>
        <v>45.474045474045475</v>
      </c>
      <c r="Z153" s="41">
        <f>G153/'1. Väestöennuste'!I153*1000</f>
        <v>0</v>
      </c>
      <c r="AA153" s="41">
        <f>H153/'1. Väestöennuste'!J153*1000</f>
        <v>0</v>
      </c>
      <c r="AB153" s="41">
        <f>I153/'1. Väestöennuste'!K153*1000</f>
        <v>0</v>
      </c>
      <c r="AC153" s="41">
        <f>J153/'1. Väestöennuste'!L153*1000</f>
        <v>0</v>
      </c>
      <c r="AD153" s="41">
        <f>K153/'1. Väestöennuste'!M153*1000</f>
        <v>0</v>
      </c>
      <c r="AE153" s="41">
        <f>L153/'1. Väestöennuste'!N153*1000</f>
        <v>0</v>
      </c>
      <c r="AF153" s="41">
        <f>M153/'1. Väestöennuste'!O153*1000</f>
        <v>0</v>
      </c>
      <c r="AG153" s="41">
        <f>N153/'1. Väestöennuste'!P153*1000</f>
        <v>0</v>
      </c>
      <c r="AH153" s="41">
        <f>O153/'1. Väestöennuste'!Q153*1000</f>
        <v>0</v>
      </c>
      <c r="AI153" s="41">
        <f>P153/'1. Väestöennuste'!R153*1000</f>
        <v>0</v>
      </c>
    </row>
    <row r="154" spans="1:35" x14ac:dyDescent="0.2">
      <c r="A154" s="30">
        <v>444</v>
      </c>
      <c r="B154" s="31" t="s">
        <v>468</v>
      </c>
      <c r="C154" s="64">
        <v>0</v>
      </c>
      <c r="D154" s="64"/>
      <c r="E154" s="64">
        <v>0</v>
      </c>
      <c r="F154" s="65">
        <v>0</v>
      </c>
      <c r="G154" s="65">
        <v>0</v>
      </c>
      <c r="H154" s="41">
        <v>0</v>
      </c>
      <c r="I154" s="165">
        <v>0</v>
      </c>
      <c r="J154" s="41">
        <v>0</v>
      </c>
      <c r="K154" s="41">
        <v>0</v>
      </c>
      <c r="L154" s="41">
        <v>0</v>
      </c>
      <c r="M154" s="41">
        <v>0</v>
      </c>
      <c r="N154" s="41">
        <v>0</v>
      </c>
      <c r="O154" s="41">
        <v>0</v>
      </c>
      <c r="P154" s="41">
        <v>0</v>
      </c>
      <c r="T154" s="30">
        <v>444</v>
      </c>
      <c r="U154" s="31" t="s">
        <v>468</v>
      </c>
      <c r="V154" s="41">
        <f>C154/'1. Väestöennuste'!E154*1000</f>
        <v>0</v>
      </c>
      <c r="W154" s="41">
        <f>D154/'1. Väestöennuste'!F154*1000</f>
        <v>0</v>
      </c>
      <c r="X154" s="41">
        <f>E154/'1. Väestöennuste'!G154*1000</f>
        <v>0</v>
      </c>
      <c r="Y154" s="41">
        <f>F154/'1. Väestöennuste'!H154*1000</f>
        <v>0</v>
      </c>
      <c r="Z154" s="41">
        <f>G154/'1. Väestöennuste'!I154*1000</f>
        <v>0</v>
      </c>
      <c r="AA154" s="41">
        <f>H154/'1. Väestöennuste'!J154*1000</f>
        <v>0</v>
      </c>
      <c r="AB154" s="41">
        <f>I154/'1. Väestöennuste'!K154*1000</f>
        <v>0</v>
      </c>
      <c r="AC154" s="41">
        <f>J154/'1. Väestöennuste'!L154*1000</f>
        <v>0</v>
      </c>
      <c r="AD154" s="41">
        <f>K154/'1. Väestöennuste'!M154*1000</f>
        <v>0</v>
      </c>
      <c r="AE154" s="41">
        <f>L154/'1. Väestöennuste'!N154*1000</f>
        <v>0</v>
      </c>
      <c r="AF154" s="41">
        <f>M154/'1. Väestöennuste'!O154*1000</f>
        <v>0</v>
      </c>
      <c r="AG154" s="41">
        <f>N154/'1. Väestöennuste'!P154*1000</f>
        <v>0</v>
      </c>
      <c r="AH154" s="41">
        <f>O154/'1. Väestöennuste'!Q154*1000</f>
        <v>0</v>
      </c>
      <c r="AI154" s="41">
        <f>P154/'1. Väestöennuste'!R154*1000</f>
        <v>0</v>
      </c>
    </row>
    <row r="155" spans="1:35" x14ac:dyDescent="0.2">
      <c r="A155" s="30">
        <v>445</v>
      </c>
      <c r="B155" s="31" t="s">
        <v>469</v>
      </c>
      <c r="C155" s="64">
        <v>0</v>
      </c>
      <c r="D155" s="64"/>
      <c r="E155" s="64">
        <v>0</v>
      </c>
      <c r="F155" s="65">
        <v>0</v>
      </c>
      <c r="G155" s="65">
        <v>0</v>
      </c>
      <c r="H155" s="41">
        <v>-200</v>
      </c>
      <c r="I155" s="165">
        <v>0</v>
      </c>
      <c r="J155" s="41">
        <v>0</v>
      </c>
      <c r="K155" s="41">
        <v>0</v>
      </c>
      <c r="L155" s="41">
        <v>0</v>
      </c>
      <c r="M155" s="41">
        <v>0</v>
      </c>
      <c r="N155" s="41">
        <v>0</v>
      </c>
      <c r="O155" s="41">
        <v>0</v>
      </c>
      <c r="P155" s="41">
        <v>0</v>
      </c>
      <c r="T155" s="30">
        <v>445</v>
      </c>
      <c r="U155" s="31" t="s">
        <v>469</v>
      </c>
      <c r="V155" s="41">
        <f>C155/'1. Väestöennuste'!E155*1000</f>
        <v>0</v>
      </c>
      <c r="W155" s="41">
        <f>D155/'1. Väestöennuste'!F155*1000</f>
        <v>0</v>
      </c>
      <c r="X155" s="41">
        <f>E155/'1. Väestöennuste'!G155*1000</f>
        <v>0</v>
      </c>
      <c r="Y155" s="41">
        <f>F155/'1. Väestöennuste'!H155*1000</f>
        <v>0</v>
      </c>
      <c r="Z155" s="41">
        <f>G155/'1. Väestöennuste'!I155*1000</f>
        <v>0</v>
      </c>
      <c r="AA155" s="41">
        <f>H155/'1. Väestöennuste'!J155*1000</f>
        <v>-13.240648791790798</v>
      </c>
      <c r="AB155" s="41">
        <f>I155/'1. Väestöennuste'!K155*1000</f>
        <v>0</v>
      </c>
      <c r="AC155" s="41">
        <f>J155/'1. Väestöennuste'!L155*1000</f>
        <v>0</v>
      </c>
      <c r="AD155" s="41">
        <f>K155/'1. Väestöennuste'!M155*1000</f>
        <v>0</v>
      </c>
      <c r="AE155" s="41">
        <f>L155/'1. Väestöennuste'!N155*1000</f>
        <v>0</v>
      </c>
      <c r="AF155" s="41">
        <f>M155/'1. Väestöennuste'!O155*1000</f>
        <v>0</v>
      </c>
      <c r="AG155" s="41">
        <f>N155/'1. Väestöennuste'!P155*1000</f>
        <v>0</v>
      </c>
      <c r="AH155" s="41">
        <f>O155/'1. Väestöennuste'!Q155*1000</f>
        <v>0</v>
      </c>
      <c r="AI155" s="41">
        <f>P155/'1. Väestöennuste'!R155*1000</f>
        <v>0</v>
      </c>
    </row>
    <row r="156" spans="1:35" x14ac:dyDescent="0.2">
      <c r="A156" s="30">
        <v>475</v>
      </c>
      <c r="B156" s="31" t="s">
        <v>470</v>
      </c>
      <c r="C156" s="64">
        <v>0</v>
      </c>
      <c r="D156" s="64"/>
      <c r="E156" s="64">
        <v>0</v>
      </c>
      <c r="F156" s="65">
        <v>0</v>
      </c>
      <c r="G156" s="65">
        <v>0</v>
      </c>
      <c r="H156" s="41">
        <v>1686</v>
      </c>
      <c r="I156" s="165">
        <v>0</v>
      </c>
      <c r="J156" s="41">
        <v>0</v>
      </c>
      <c r="K156" s="41">
        <v>0</v>
      </c>
      <c r="L156" s="41">
        <v>0</v>
      </c>
      <c r="M156" s="41">
        <v>0</v>
      </c>
      <c r="N156" s="41">
        <v>0</v>
      </c>
      <c r="O156" s="41">
        <v>0</v>
      </c>
      <c r="P156" s="41">
        <v>0</v>
      </c>
      <c r="T156" s="30">
        <v>475</v>
      </c>
      <c r="U156" s="31" t="s">
        <v>470</v>
      </c>
      <c r="V156" s="41">
        <f>C156/'1. Väestöennuste'!E156*1000</f>
        <v>0</v>
      </c>
      <c r="W156" s="41">
        <f>D156/'1. Väestöennuste'!F156*1000</f>
        <v>0</v>
      </c>
      <c r="X156" s="41">
        <f>E156/'1. Väestöennuste'!G156*1000</f>
        <v>0</v>
      </c>
      <c r="Y156" s="41">
        <f>F156/'1. Väestöennuste'!H156*1000</f>
        <v>0</v>
      </c>
      <c r="Z156" s="41">
        <f>G156/'1. Väestöennuste'!I156*1000</f>
        <v>0</v>
      </c>
      <c r="AA156" s="41">
        <f>H156/'1. Väestöennuste'!J156*1000</f>
        <v>309.30104567969181</v>
      </c>
      <c r="AB156" s="41">
        <f>I156/'1. Väestöennuste'!K156*1000</f>
        <v>0</v>
      </c>
      <c r="AC156" s="41">
        <f>J156/'1. Väestöennuste'!L156*1000</f>
        <v>0</v>
      </c>
      <c r="AD156" s="41">
        <f>K156/'1. Väestöennuste'!M156*1000</f>
        <v>0</v>
      </c>
      <c r="AE156" s="41">
        <f>L156/'1. Väestöennuste'!N156*1000</f>
        <v>0</v>
      </c>
      <c r="AF156" s="41">
        <f>M156/'1. Väestöennuste'!O156*1000</f>
        <v>0</v>
      </c>
      <c r="AG156" s="41">
        <f>N156/'1. Väestöennuste'!P156*1000</f>
        <v>0</v>
      </c>
      <c r="AH156" s="41">
        <f>O156/'1. Väestöennuste'!Q156*1000</f>
        <v>0</v>
      </c>
      <c r="AI156" s="41">
        <f>P156/'1. Väestöennuste'!R156*1000</f>
        <v>0</v>
      </c>
    </row>
    <row r="157" spans="1:35" x14ac:dyDescent="0.2">
      <c r="A157" s="30">
        <v>480</v>
      </c>
      <c r="B157" s="31" t="s">
        <v>471</v>
      </c>
      <c r="C157" s="64">
        <v>0</v>
      </c>
      <c r="D157" s="64"/>
      <c r="E157" s="64">
        <v>0</v>
      </c>
      <c r="F157" s="65">
        <v>0</v>
      </c>
      <c r="G157" s="65">
        <v>0</v>
      </c>
      <c r="H157" s="41">
        <v>-56</v>
      </c>
      <c r="I157" s="165">
        <v>0</v>
      </c>
      <c r="J157" s="41">
        <v>0</v>
      </c>
      <c r="K157" s="41">
        <v>0</v>
      </c>
      <c r="L157" s="41">
        <v>0</v>
      </c>
      <c r="M157" s="41">
        <v>0</v>
      </c>
      <c r="N157" s="41">
        <v>0</v>
      </c>
      <c r="O157" s="41">
        <v>0</v>
      </c>
      <c r="P157" s="41">
        <v>0</v>
      </c>
      <c r="T157" s="30">
        <v>480</v>
      </c>
      <c r="U157" s="31" t="s">
        <v>471</v>
      </c>
      <c r="V157" s="41">
        <f>C157/'1. Väestöennuste'!E157*1000</f>
        <v>0</v>
      </c>
      <c r="W157" s="41">
        <f>D157/'1. Väestöennuste'!F157*1000</f>
        <v>0</v>
      </c>
      <c r="X157" s="41">
        <f>E157/'1. Väestöennuste'!G157*1000</f>
        <v>0</v>
      </c>
      <c r="Y157" s="41">
        <f>F157/'1. Väestöennuste'!H157*1000</f>
        <v>0</v>
      </c>
      <c r="Z157" s="41">
        <f>G157/'1. Väestöennuste'!I157*1000</f>
        <v>0</v>
      </c>
      <c r="AA157" s="41">
        <f>H157/'1. Väestöennuste'!J157*1000</f>
        <v>-28.014007003501753</v>
      </c>
      <c r="AB157" s="41">
        <f>I157/'1. Väestöennuste'!K157*1000</f>
        <v>0</v>
      </c>
      <c r="AC157" s="41">
        <f>J157/'1. Väestöennuste'!L157*1000</f>
        <v>0</v>
      </c>
      <c r="AD157" s="41">
        <f>K157/'1. Väestöennuste'!M157*1000</f>
        <v>0</v>
      </c>
      <c r="AE157" s="41">
        <f>L157/'1. Väestöennuste'!N157*1000</f>
        <v>0</v>
      </c>
      <c r="AF157" s="41">
        <f>M157/'1. Väestöennuste'!O157*1000</f>
        <v>0</v>
      </c>
      <c r="AG157" s="41">
        <f>N157/'1. Väestöennuste'!P157*1000</f>
        <v>0</v>
      </c>
      <c r="AH157" s="41">
        <f>O157/'1. Väestöennuste'!Q157*1000</f>
        <v>0</v>
      </c>
      <c r="AI157" s="41">
        <f>P157/'1. Väestöennuste'!R157*1000</f>
        <v>0</v>
      </c>
    </row>
    <row r="158" spans="1:35" x14ac:dyDescent="0.2">
      <c r="A158" s="30">
        <v>481</v>
      </c>
      <c r="B158" s="31" t="s">
        <v>472</v>
      </c>
      <c r="C158" s="64">
        <v>0</v>
      </c>
      <c r="D158" s="64"/>
      <c r="E158" s="64">
        <v>0</v>
      </c>
      <c r="F158" s="65">
        <v>0</v>
      </c>
      <c r="G158" s="65">
        <v>0</v>
      </c>
      <c r="H158" s="41">
        <v>100</v>
      </c>
      <c r="I158" s="165">
        <v>0</v>
      </c>
      <c r="J158" s="41">
        <v>0</v>
      </c>
      <c r="K158" s="41">
        <v>50</v>
      </c>
      <c r="L158" s="41">
        <v>0</v>
      </c>
      <c r="M158" s="41">
        <v>0</v>
      </c>
      <c r="N158" s="41">
        <v>0</v>
      </c>
      <c r="O158" s="41">
        <v>0</v>
      </c>
      <c r="P158" s="41">
        <v>0</v>
      </c>
      <c r="T158" s="30">
        <v>481</v>
      </c>
      <c r="U158" s="31" t="s">
        <v>472</v>
      </c>
      <c r="V158" s="41">
        <f>C158/'1. Väestöennuste'!E158*1000</f>
        <v>0</v>
      </c>
      <c r="W158" s="41">
        <f>D158/'1. Väestöennuste'!F158*1000</f>
        <v>0</v>
      </c>
      <c r="X158" s="41">
        <f>E158/'1. Väestöennuste'!G158*1000</f>
        <v>0</v>
      </c>
      <c r="Y158" s="41">
        <f>F158/'1. Väestöennuste'!H158*1000</f>
        <v>0</v>
      </c>
      <c r="Z158" s="41">
        <f>G158/'1. Väestöennuste'!I158*1000</f>
        <v>0</v>
      </c>
      <c r="AA158" s="41">
        <f>H158/'1. Väestöennuste'!J158*1000</f>
        <v>10.478885046631039</v>
      </c>
      <c r="AB158" s="41">
        <f>I158/'1. Väestöennuste'!K158*1000</f>
        <v>0</v>
      </c>
      <c r="AC158" s="41">
        <f>J158/'1. Väestöennuste'!L158*1000</f>
        <v>0</v>
      </c>
      <c r="AD158" s="41">
        <f>K158/'1. Väestöennuste'!M158*1000</f>
        <v>5.1980455348788848</v>
      </c>
      <c r="AE158" s="41">
        <f>L158/'1. Väestöennuste'!N158*1000</f>
        <v>0</v>
      </c>
      <c r="AF158" s="41">
        <f>M158/'1. Väestöennuste'!O158*1000</f>
        <v>0</v>
      </c>
      <c r="AG158" s="41">
        <f>N158/'1. Väestöennuste'!P158*1000</f>
        <v>0</v>
      </c>
      <c r="AH158" s="41">
        <f>O158/'1. Väestöennuste'!Q158*1000</f>
        <v>0</v>
      </c>
      <c r="AI158" s="41">
        <f>P158/'1. Väestöennuste'!R158*1000</f>
        <v>0</v>
      </c>
    </row>
    <row r="159" spans="1:35" x14ac:dyDescent="0.2">
      <c r="A159" s="30">
        <v>483</v>
      </c>
      <c r="B159" s="31" t="s">
        <v>473</v>
      </c>
      <c r="C159" s="64">
        <v>0</v>
      </c>
      <c r="D159" s="64"/>
      <c r="E159" s="64">
        <v>0</v>
      </c>
      <c r="F159" s="65">
        <v>0</v>
      </c>
      <c r="G159" s="65">
        <v>0</v>
      </c>
      <c r="H159" s="41">
        <v>0</v>
      </c>
      <c r="I159" s="165">
        <v>0</v>
      </c>
      <c r="J159" s="41">
        <v>0</v>
      </c>
      <c r="K159" s="41">
        <v>0</v>
      </c>
      <c r="L159" s="41">
        <v>0</v>
      </c>
      <c r="M159" s="41">
        <v>0</v>
      </c>
      <c r="N159" s="41">
        <v>0</v>
      </c>
      <c r="O159" s="41">
        <v>0</v>
      </c>
      <c r="P159" s="41">
        <v>0</v>
      </c>
      <c r="T159" s="30">
        <v>483</v>
      </c>
      <c r="U159" s="31" t="s">
        <v>473</v>
      </c>
      <c r="V159" s="41">
        <f>C159/'1. Väestöennuste'!E159*1000</f>
        <v>0</v>
      </c>
      <c r="W159" s="41">
        <f>D159/'1. Väestöennuste'!F159*1000</f>
        <v>0</v>
      </c>
      <c r="X159" s="41">
        <f>E159/'1. Väestöennuste'!G159*1000</f>
        <v>0</v>
      </c>
      <c r="Y159" s="41">
        <f>F159/'1. Väestöennuste'!H159*1000</f>
        <v>0</v>
      </c>
      <c r="Z159" s="41">
        <f>G159/'1. Väestöennuste'!I159*1000</f>
        <v>0</v>
      </c>
      <c r="AA159" s="41">
        <f>H159/'1. Väestöennuste'!J159*1000</f>
        <v>0</v>
      </c>
      <c r="AB159" s="41">
        <f>I159/'1. Väestöennuste'!K159*1000</f>
        <v>0</v>
      </c>
      <c r="AC159" s="41">
        <f>J159/'1. Väestöennuste'!L159*1000</f>
        <v>0</v>
      </c>
      <c r="AD159" s="41">
        <f>K159/'1. Väestöennuste'!M159*1000</f>
        <v>0</v>
      </c>
      <c r="AE159" s="41">
        <f>L159/'1. Väestöennuste'!N159*1000</f>
        <v>0</v>
      </c>
      <c r="AF159" s="41">
        <f>M159/'1. Väestöennuste'!O159*1000</f>
        <v>0</v>
      </c>
      <c r="AG159" s="41">
        <f>N159/'1. Väestöennuste'!P159*1000</f>
        <v>0</v>
      </c>
      <c r="AH159" s="41">
        <f>O159/'1. Väestöennuste'!Q159*1000</f>
        <v>0</v>
      </c>
      <c r="AI159" s="41">
        <f>P159/'1. Väestöennuste'!R159*1000</f>
        <v>0</v>
      </c>
    </row>
    <row r="160" spans="1:35" x14ac:dyDescent="0.2">
      <c r="A160" s="30">
        <v>484</v>
      </c>
      <c r="B160" s="31" t="s">
        <v>474</v>
      </c>
      <c r="C160" s="64">
        <v>0</v>
      </c>
      <c r="D160" s="64"/>
      <c r="E160" s="64">
        <v>0</v>
      </c>
      <c r="F160" s="65">
        <v>0</v>
      </c>
      <c r="G160" s="65">
        <v>0</v>
      </c>
      <c r="H160" s="41">
        <v>0</v>
      </c>
      <c r="I160" s="165">
        <v>0</v>
      </c>
      <c r="J160" s="41">
        <v>0</v>
      </c>
      <c r="K160" s="41">
        <v>0</v>
      </c>
      <c r="L160" s="41">
        <v>0</v>
      </c>
      <c r="M160" s="41">
        <v>0</v>
      </c>
      <c r="N160" s="41">
        <v>0</v>
      </c>
      <c r="O160" s="41">
        <v>0</v>
      </c>
      <c r="P160" s="41">
        <v>0</v>
      </c>
      <c r="T160" s="30">
        <v>484</v>
      </c>
      <c r="U160" s="31" t="s">
        <v>474</v>
      </c>
      <c r="V160" s="41">
        <f>C160/'1. Väestöennuste'!E160*1000</f>
        <v>0</v>
      </c>
      <c r="W160" s="41">
        <f>D160/'1. Väestöennuste'!F160*1000</f>
        <v>0</v>
      </c>
      <c r="X160" s="41">
        <f>E160/'1. Väestöennuste'!G160*1000</f>
        <v>0</v>
      </c>
      <c r="Y160" s="41">
        <f>F160/'1. Väestöennuste'!H160*1000</f>
        <v>0</v>
      </c>
      <c r="Z160" s="41">
        <f>G160/'1. Väestöennuste'!I160*1000</f>
        <v>0</v>
      </c>
      <c r="AA160" s="41">
        <f>H160/'1. Väestöennuste'!J160*1000</f>
        <v>0</v>
      </c>
      <c r="AB160" s="41">
        <f>I160/'1. Väestöennuste'!K160*1000</f>
        <v>0</v>
      </c>
      <c r="AC160" s="41">
        <f>J160/'1. Väestöennuste'!L160*1000</f>
        <v>0</v>
      </c>
      <c r="AD160" s="41">
        <f>K160/'1. Väestöennuste'!M160*1000</f>
        <v>0</v>
      </c>
      <c r="AE160" s="41">
        <f>L160/'1. Väestöennuste'!N160*1000</f>
        <v>0</v>
      </c>
      <c r="AF160" s="41">
        <f>M160/'1. Väestöennuste'!O160*1000</f>
        <v>0</v>
      </c>
      <c r="AG160" s="41">
        <f>N160/'1. Väestöennuste'!P160*1000</f>
        <v>0</v>
      </c>
      <c r="AH160" s="41">
        <f>O160/'1. Väestöennuste'!Q160*1000</f>
        <v>0</v>
      </c>
      <c r="AI160" s="41">
        <f>P160/'1. Väestöennuste'!R160*1000</f>
        <v>0</v>
      </c>
    </row>
    <row r="161" spans="1:35" x14ac:dyDescent="0.2">
      <c r="A161" s="30">
        <v>489</v>
      </c>
      <c r="B161" s="31" t="s">
        <v>475</v>
      </c>
      <c r="C161" s="64">
        <v>0</v>
      </c>
      <c r="D161" s="64"/>
      <c r="E161" s="64">
        <v>0</v>
      </c>
      <c r="F161" s="65">
        <v>0</v>
      </c>
      <c r="G161" s="65">
        <v>0</v>
      </c>
      <c r="H161" s="41">
        <v>0</v>
      </c>
      <c r="I161" s="165">
        <v>0</v>
      </c>
      <c r="J161" s="41">
        <v>0</v>
      </c>
      <c r="K161" s="41">
        <v>0</v>
      </c>
      <c r="L161" s="41">
        <v>0</v>
      </c>
      <c r="M161" s="41">
        <v>0</v>
      </c>
      <c r="N161" s="41">
        <v>0</v>
      </c>
      <c r="O161" s="41">
        <v>0</v>
      </c>
      <c r="P161" s="41">
        <v>0</v>
      </c>
      <c r="T161" s="30">
        <v>489</v>
      </c>
      <c r="U161" s="31" t="s">
        <v>475</v>
      </c>
      <c r="V161" s="41">
        <f>C161/'1. Väestöennuste'!E161*1000</f>
        <v>0</v>
      </c>
      <c r="W161" s="41">
        <f>D161/'1. Väestöennuste'!F161*1000</f>
        <v>0</v>
      </c>
      <c r="X161" s="41">
        <f>E161/'1. Väestöennuste'!G161*1000</f>
        <v>0</v>
      </c>
      <c r="Y161" s="41">
        <f>F161/'1. Väestöennuste'!H161*1000</f>
        <v>0</v>
      </c>
      <c r="Z161" s="41">
        <f>G161/'1. Väestöennuste'!I161*1000</f>
        <v>0</v>
      </c>
      <c r="AA161" s="41">
        <f>H161/'1. Väestöennuste'!J161*1000</f>
        <v>0</v>
      </c>
      <c r="AB161" s="41">
        <f>I161/'1. Väestöennuste'!K161*1000</f>
        <v>0</v>
      </c>
      <c r="AC161" s="41">
        <f>J161/'1. Väestöennuste'!L161*1000</f>
        <v>0</v>
      </c>
      <c r="AD161" s="41">
        <f>K161/'1. Väestöennuste'!M161*1000</f>
        <v>0</v>
      </c>
      <c r="AE161" s="41">
        <f>L161/'1. Väestöennuste'!N161*1000</f>
        <v>0</v>
      </c>
      <c r="AF161" s="41">
        <f>M161/'1. Väestöennuste'!O161*1000</f>
        <v>0</v>
      </c>
      <c r="AG161" s="41">
        <f>N161/'1. Väestöennuste'!P161*1000</f>
        <v>0</v>
      </c>
      <c r="AH161" s="41">
        <f>O161/'1. Väestöennuste'!Q161*1000</f>
        <v>0</v>
      </c>
      <c r="AI161" s="41">
        <f>P161/'1. Väestöennuste'!R161*1000</f>
        <v>0</v>
      </c>
    </row>
    <row r="162" spans="1:35" x14ac:dyDescent="0.2">
      <c r="A162" s="30">
        <v>491</v>
      </c>
      <c r="B162" s="31" t="s">
        <v>476</v>
      </c>
      <c r="C162" s="64">
        <v>0</v>
      </c>
      <c r="D162" s="64"/>
      <c r="E162" s="64">
        <v>0</v>
      </c>
      <c r="F162" s="65">
        <v>0</v>
      </c>
      <c r="G162" s="65">
        <v>0</v>
      </c>
      <c r="H162" s="41">
        <v>0</v>
      </c>
      <c r="I162" s="165">
        <v>0</v>
      </c>
      <c r="J162" s="41">
        <v>-8330.6596200000004</v>
      </c>
      <c r="K162" s="41">
        <v>4302.9268400000001</v>
      </c>
      <c r="L162" s="41">
        <v>0</v>
      </c>
      <c r="M162" s="41">
        <v>0</v>
      </c>
      <c r="N162" s="41">
        <v>0</v>
      </c>
      <c r="O162" s="41">
        <v>0</v>
      </c>
      <c r="P162" s="41">
        <v>0</v>
      </c>
      <c r="T162" s="30">
        <v>491</v>
      </c>
      <c r="U162" s="31" t="s">
        <v>476</v>
      </c>
      <c r="V162" s="41">
        <f>C162/'1. Väestöennuste'!E162*1000</f>
        <v>0</v>
      </c>
      <c r="W162" s="41">
        <f>D162/'1. Väestöennuste'!F162*1000</f>
        <v>0</v>
      </c>
      <c r="X162" s="41">
        <f>E162/'1. Väestöennuste'!G162*1000</f>
        <v>0</v>
      </c>
      <c r="Y162" s="41">
        <f>F162/'1. Väestöennuste'!H162*1000</f>
        <v>0</v>
      </c>
      <c r="Z162" s="41">
        <f>G162/'1. Väestöennuste'!I162*1000</f>
        <v>0</v>
      </c>
      <c r="AA162" s="41">
        <f>H162/'1. Väestöennuste'!J162*1000</f>
        <v>0</v>
      </c>
      <c r="AB162" s="41">
        <f>I162/'1. Väestöennuste'!K162*1000</f>
        <v>0</v>
      </c>
      <c r="AC162" s="41">
        <f>J162/'1. Väestöennuste'!L162*1000</f>
        <v>-160.26663370527129</v>
      </c>
      <c r="AD162" s="41">
        <f>K162/'1. Väestöennuste'!M162*1000</f>
        <v>82.877691018702208</v>
      </c>
      <c r="AE162" s="41">
        <f>L162/'1. Väestöennuste'!N162*1000</f>
        <v>0</v>
      </c>
      <c r="AF162" s="41">
        <f>M162/'1. Väestöennuste'!O162*1000</f>
        <v>0</v>
      </c>
      <c r="AG162" s="41">
        <f>N162/'1. Väestöennuste'!P162*1000</f>
        <v>0</v>
      </c>
      <c r="AH162" s="41">
        <f>O162/'1. Väestöennuste'!Q162*1000</f>
        <v>0</v>
      </c>
      <c r="AI162" s="41">
        <f>P162/'1. Väestöennuste'!R162*1000</f>
        <v>0</v>
      </c>
    </row>
    <row r="163" spans="1:35" x14ac:dyDescent="0.2">
      <c r="A163" s="30">
        <v>494</v>
      </c>
      <c r="B163" s="31" t="s">
        <v>477</v>
      </c>
      <c r="C163" s="64">
        <v>0</v>
      </c>
      <c r="D163" s="64"/>
      <c r="E163" s="64">
        <v>0</v>
      </c>
      <c r="F163" s="65">
        <v>0</v>
      </c>
      <c r="G163" s="65">
        <v>0</v>
      </c>
      <c r="H163" s="41">
        <v>0</v>
      </c>
      <c r="I163" s="165">
        <v>144.73335</v>
      </c>
      <c r="J163" s="41">
        <v>0</v>
      </c>
      <c r="K163" s="41">
        <v>0</v>
      </c>
      <c r="L163" s="41">
        <v>0</v>
      </c>
      <c r="M163" s="41">
        <v>0</v>
      </c>
      <c r="N163" s="41">
        <v>0</v>
      </c>
      <c r="O163" s="41">
        <v>0</v>
      </c>
      <c r="P163" s="41">
        <v>0</v>
      </c>
      <c r="T163" s="30">
        <v>494</v>
      </c>
      <c r="U163" s="31" t="s">
        <v>477</v>
      </c>
      <c r="V163" s="41">
        <f>C163/'1. Väestöennuste'!E163*1000</f>
        <v>0</v>
      </c>
      <c r="W163" s="41">
        <f>D163/'1. Väestöennuste'!F163*1000</f>
        <v>0</v>
      </c>
      <c r="X163" s="41">
        <f>E163/'1. Väestöennuste'!G163*1000</f>
        <v>0</v>
      </c>
      <c r="Y163" s="41">
        <f>F163/'1. Väestöennuste'!H163*1000</f>
        <v>0</v>
      </c>
      <c r="Z163" s="41">
        <f>G163/'1. Väestöennuste'!I163*1000</f>
        <v>0</v>
      </c>
      <c r="AA163" s="41">
        <f>H163/'1. Väestöennuste'!J163*1000</f>
        <v>0</v>
      </c>
      <c r="AB163" s="41">
        <f>I163/'1. Väestöennuste'!K163*1000</f>
        <v>16.245745874957908</v>
      </c>
      <c r="AC163" s="41">
        <f>J163/'1. Väestöennuste'!L163*1000</f>
        <v>0</v>
      </c>
      <c r="AD163" s="41">
        <f>K163/'1. Väestöennuste'!M163*1000</f>
        <v>0</v>
      </c>
      <c r="AE163" s="41">
        <f>L163/'1. Väestöennuste'!N163*1000</f>
        <v>0</v>
      </c>
      <c r="AF163" s="41">
        <f>M163/'1. Väestöennuste'!O163*1000</f>
        <v>0</v>
      </c>
      <c r="AG163" s="41">
        <f>N163/'1. Väestöennuste'!P163*1000</f>
        <v>0</v>
      </c>
      <c r="AH163" s="41">
        <f>O163/'1. Väestöennuste'!Q163*1000</f>
        <v>0</v>
      </c>
      <c r="AI163" s="41">
        <f>P163/'1. Väestöennuste'!R163*1000</f>
        <v>0</v>
      </c>
    </row>
    <row r="164" spans="1:35" x14ac:dyDescent="0.2">
      <c r="A164" s="30">
        <v>495</v>
      </c>
      <c r="B164" s="31" t="s">
        <v>478</v>
      </c>
      <c r="C164" s="64">
        <v>0</v>
      </c>
      <c r="D164" s="64"/>
      <c r="E164" s="78">
        <v>0</v>
      </c>
      <c r="F164" s="65">
        <v>0</v>
      </c>
      <c r="G164" s="65">
        <v>0</v>
      </c>
      <c r="H164" s="41">
        <v>0</v>
      </c>
      <c r="I164" s="165">
        <v>0</v>
      </c>
      <c r="J164" s="41">
        <v>0</v>
      </c>
      <c r="K164" s="41">
        <v>0</v>
      </c>
      <c r="L164" s="41">
        <v>0</v>
      </c>
      <c r="M164" s="41">
        <v>0</v>
      </c>
      <c r="N164" s="41">
        <v>0</v>
      </c>
      <c r="O164" s="41">
        <v>0</v>
      </c>
      <c r="P164" s="41">
        <v>0</v>
      </c>
      <c r="T164" s="30">
        <v>495</v>
      </c>
      <c r="U164" s="31" t="s">
        <v>478</v>
      </c>
      <c r="V164" s="41">
        <f>C164/'1. Väestöennuste'!E164*1000</f>
        <v>0</v>
      </c>
      <c r="W164" s="41">
        <f>D164/'1. Väestöennuste'!F164*1000</f>
        <v>0</v>
      </c>
      <c r="X164" s="41">
        <f>E164/'1. Väestöennuste'!G164*1000</f>
        <v>0</v>
      </c>
      <c r="Y164" s="41">
        <f>F164/'1. Väestöennuste'!H164*1000</f>
        <v>0</v>
      </c>
      <c r="Z164" s="41">
        <f>G164/'1. Väestöennuste'!I164*1000</f>
        <v>0</v>
      </c>
      <c r="AA164" s="41">
        <f>H164/'1. Väestöennuste'!J164*1000</f>
        <v>0</v>
      </c>
      <c r="AB164" s="41">
        <f>I164/'1. Väestöennuste'!K164*1000</f>
        <v>0</v>
      </c>
      <c r="AC164" s="41">
        <f>J164/'1. Väestöennuste'!L164*1000</f>
        <v>0</v>
      </c>
      <c r="AD164" s="41">
        <f>K164/'1. Väestöennuste'!M164*1000</f>
        <v>0</v>
      </c>
      <c r="AE164" s="41">
        <f>L164/'1. Väestöennuste'!N164*1000</f>
        <v>0</v>
      </c>
      <c r="AF164" s="41">
        <f>M164/'1. Väestöennuste'!O164*1000</f>
        <v>0</v>
      </c>
      <c r="AG164" s="41">
        <f>N164/'1. Väestöennuste'!P164*1000</f>
        <v>0</v>
      </c>
      <c r="AH164" s="41">
        <f>O164/'1. Väestöennuste'!Q164*1000</f>
        <v>0</v>
      </c>
      <c r="AI164" s="41">
        <f>P164/'1. Väestöennuste'!R164*1000</f>
        <v>0</v>
      </c>
    </row>
    <row r="165" spans="1:35" x14ac:dyDescent="0.2">
      <c r="A165" s="30">
        <v>498</v>
      </c>
      <c r="B165" s="31" t="s">
        <v>479</v>
      </c>
      <c r="C165" s="64">
        <v>0</v>
      </c>
      <c r="D165" s="64"/>
      <c r="E165" s="64">
        <v>0</v>
      </c>
      <c r="F165" s="65">
        <v>0</v>
      </c>
      <c r="G165" s="65">
        <v>0</v>
      </c>
      <c r="H165" s="41">
        <v>0</v>
      </c>
      <c r="I165" s="165">
        <v>0</v>
      </c>
      <c r="J165" s="41">
        <v>0</v>
      </c>
      <c r="K165" s="41">
        <v>0</v>
      </c>
      <c r="L165" s="41">
        <v>0</v>
      </c>
      <c r="M165" s="41">
        <v>0</v>
      </c>
      <c r="N165" s="41">
        <v>0</v>
      </c>
      <c r="O165" s="41">
        <v>0</v>
      </c>
      <c r="P165" s="41">
        <v>0</v>
      </c>
      <c r="T165" s="30">
        <v>498</v>
      </c>
      <c r="U165" s="31" t="s">
        <v>479</v>
      </c>
      <c r="V165" s="41">
        <f>C165/'1. Väestöennuste'!E165*1000</f>
        <v>0</v>
      </c>
      <c r="W165" s="41">
        <f>D165/'1. Väestöennuste'!F165*1000</f>
        <v>0</v>
      </c>
      <c r="X165" s="41">
        <f>E165/'1. Väestöennuste'!G165*1000</f>
        <v>0</v>
      </c>
      <c r="Y165" s="41">
        <f>F165/'1. Väestöennuste'!H165*1000</f>
        <v>0</v>
      </c>
      <c r="Z165" s="41">
        <f>G165/'1. Väestöennuste'!I165*1000</f>
        <v>0</v>
      </c>
      <c r="AA165" s="41">
        <f>H165/'1. Väestöennuste'!J165*1000</f>
        <v>0</v>
      </c>
      <c r="AB165" s="41">
        <f>I165/'1. Väestöennuste'!K165*1000</f>
        <v>0</v>
      </c>
      <c r="AC165" s="41">
        <f>J165/'1. Väestöennuste'!L165*1000</f>
        <v>0</v>
      </c>
      <c r="AD165" s="41">
        <f>K165/'1. Väestöennuste'!M165*1000</f>
        <v>0</v>
      </c>
      <c r="AE165" s="41">
        <f>L165/'1. Väestöennuste'!N165*1000</f>
        <v>0</v>
      </c>
      <c r="AF165" s="41">
        <f>M165/'1. Väestöennuste'!O165*1000</f>
        <v>0</v>
      </c>
      <c r="AG165" s="41">
        <f>N165/'1. Väestöennuste'!P165*1000</f>
        <v>0</v>
      </c>
      <c r="AH165" s="41">
        <f>O165/'1. Väestöennuste'!Q165*1000</f>
        <v>0</v>
      </c>
      <c r="AI165" s="41">
        <f>P165/'1. Väestöennuste'!R165*1000</f>
        <v>0</v>
      </c>
    </row>
    <row r="166" spans="1:35" x14ac:dyDescent="0.2">
      <c r="A166" s="30">
        <v>499</v>
      </c>
      <c r="B166" s="31" t="s">
        <v>480</v>
      </c>
      <c r="C166" s="64">
        <v>0</v>
      </c>
      <c r="D166" s="64"/>
      <c r="E166" s="64">
        <v>0</v>
      </c>
      <c r="F166" s="65">
        <v>0</v>
      </c>
      <c r="G166" s="65">
        <v>0</v>
      </c>
      <c r="H166" s="41">
        <v>1339</v>
      </c>
      <c r="I166" s="165">
        <v>0</v>
      </c>
      <c r="J166" s="41">
        <v>0</v>
      </c>
      <c r="K166" s="41">
        <v>0</v>
      </c>
      <c r="L166" s="41">
        <v>0</v>
      </c>
      <c r="M166" s="41">
        <v>0</v>
      </c>
      <c r="N166" s="41">
        <v>0</v>
      </c>
      <c r="O166" s="41">
        <v>0</v>
      </c>
      <c r="P166" s="41">
        <v>0</v>
      </c>
      <c r="T166" s="30">
        <v>499</v>
      </c>
      <c r="U166" s="31" t="s">
        <v>480</v>
      </c>
      <c r="V166" s="41">
        <f>C166/'1. Väestöennuste'!E166*1000</f>
        <v>0</v>
      </c>
      <c r="W166" s="41">
        <f>D166/'1. Väestöennuste'!F166*1000</f>
        <v>0</v>
      </c>
      <c r="X166" s="41">
        <f>E166/'1. Väestöennuste'!G166*1000</f>
        <v>0</v>
      </c>
      <c r="Y166" s="41">
        <f>F166/'1. Väestöennuste'!H166*1000</f>
        <v>0</v>
      </c>
      <c r="Z166" s="41">
        <f>G166/'1. Väestöennuste'!I166*1000</f>
        <v>0</v>
      </c>
      <c r="AA166" s="41">
        <f>H166/'1. Väestöennuste'!J166*1000</f>
        <v>68.832570811699995</v>
      </c>
      <c r="AB166" s="41">
        <f>I166/'1. Väestöennuste'!K166*1000</f>
        <v>0</v>
      </c>
      <c r="AC166" s="41">
        <f>J166/'1. Väestöennuste'!L166*1000</f>
        <v>0</v>
      </c>
      <c r="AD166" s="41">
        <f>K166/'1. Väestöennuste'!M166*1000</f>
        <v>0</v>
      </c>
      <c r="AE166" s="41">
        <f>L166/'1. Väestöennuste'!N166*1000</f>
        <v>0</v>
      </c>
      <c r="AF166" s="41">
        <f>M166/'1. Väestöennuste'!O166*1000</f>
        <v>0</v>
      </c>
      <c r="AG166" s="41">
        <f>N166/'1. Väestöennuste'!P166*1000</f>
        <v>0</v>
      </c>
      <c r="AH166" s="41">
        <f>O166/'1. Väestöennuste'!Q166*1000</f>
        <v>0</v>
      </c>
      <c r="AI166" s="41">
        <f>P166/'1. Väestöennuste'!R166*1000</f>
        <v>0</v>
      </c>
    </row>
    <row r="167" spans="1:35" x14ac:dyDescent="0.2">
      <c r="A167" s="30">
        <v>500</v>
      </c>
      <c r="B167" s="31" t="s">
        <v>481</v>
      </c>
      <c r="C167" s="64">
        <v>0</v>
      </c>
      <c r="D167" s="64"/>
      <c r="E167" s="64">
        <v>0</v>
      </c>
      <c r="F167" s="65">
        <v>0</v>
      </c>
      <c r="G167" s="65">
        <v>0</v>
      </c>
      <c r="H167" s="41">
        <v>0</v>
      </c>
      <c r="I167" s="165">
        <v>0</v>
      </c>
      <c r="J167" s="41">
        <v>0</v>
      </c>
      <c r="K167" s="41">
        <v>-12.6</v>
      </c>
      <c r="L167" s="41">
        <v>0</v>
      </c>
      <c r="M167" s="41">
        <v>0</v>
      </c>
      <c r="N167" s="41">
        <v>0</v>
      </c>
      <c r="O167" s="41">
        <v>0</v>
      </c>
      <c r="P167" s="41">
        <v>0</v>
      </c>
      <c r="T167" s="30">
        <v>500</v>
      </c>
      <c r="U167" s="31" t="s">
        <v>481</v>
      </c>
      <c r="V167" s="41">
        <f>C167/'1. Väestöennuste'!E167*1000</f>
        <v>0</v>
      </c>
      <c r="W167" s="41">
        <f>D167/'1. Väestöennuste'!F167*1000</f>
        <v>0</v>
      </c>
      <c r="X167" s="41">
        <f>E167/'1. Väestöennuste'!G167*1000</f>
        <v>0</v>
      </c>
      <c r="Y167" s="41">
        <f>F167/'1. Väestöennuste'!H167*1000</f>
        <v>0</v>
      </c>
      <c r="Z167" s="41">
        <f>G167/'1. Väestöennuste'!I167*1000</f>
        <v>0</v>
      </c>
      <c r="AA167" s="41">
        <f>H167/'1. Väestöennuste'!J167*1000</f>
        <v>0</v>
      </c>
      <c r="AB167" s="41">
        <f>I167/'1. Väestöennuste'!K167*1000</f>
        <v>0</v>
      </c>
      <c r="AC167" s="41">
        <f>J167/'1. Väestöennuste'!L167*1000</f>
        <v>0</v>
      </c>
      <c r="AD167" s="41">
        <f>K167/'1. Väestöennuste'!M167*1000</f>
        <v>-1.194199601933466</v>
      </c>
      <c r="AE167" s="41">
        <f>L167/'1. Väestöennuste'!N167*1000</f>
        <v>0</v>
      </c>
      <c r="AF167" s="41">
        <f>M167/'1. Väestöennuste'!O167*1000</f>
        <v>0</v>
      </c>
      <c r="AG167" s="41">
        <f>N167/'1. Väestöennuste'!P167*1000</f>
        <v>0</v>
      </c>
      <c r="AH167" s="41">
        <f>O167/'1. Väestöennuste'!Q167*1000</f>
        <v>0</v>
      </c>
      <c r="AI167" s="41">
        <f>P167/'1. Väestöennuste'!R167*1000</f>
        <v>0</v>
      </c>
    </row>
    <row r="168" spans="1:35" x14ac:dyDescent="0.2">
      <c r="A168" s="30">
        <v>503</v>
      </c>
      <c r="B168" s="31" t="s">
        <v>482</v>
      </c>
      <c r="C168" s="64">
        <v>0</v>
      </c>
      <c r="D168" s="64"/>
      <c r="E168" s="64">
        <v>10086</v>
      </c>
      <c r="F168" s="65">
        <v>0</v>
      </c>
      <c r="G168" s="65">
        <v>0</v>
      </c>
      <c r="H168" s="41">
        <v>0</v>
      </c>
      <c r="I168" s="165">
        <v>5</v>
      </c>
      <c r="J168" s="41">
        <v>0</v>
      </c>
      <c r="K168" s="41">
        <v>0</v>
      </c>
      <c r="L168" s="41">
        <v>0</v>
      </c>
      <c r="M168" s="41">
        <v>0</v>
      </c>
      <c r="N168" s="41">
        <v>0</v>
      </c>
      <c r="O168" s="41">
        <v>0</v>
      </c>
      <c r="P168" s="41">
        <v>0</v>
      </c>
      <c r="T168" s="30">
        <v>503</v>
      </c>
      <c r="U168" s="31" t="s">
        <v>482</v>
      </c>
      <c r="V168" s="41">
        <f>C168/'1. Väestöennuste'!E168*1000</f>
        <v>0</v>
      </c>
      <c r="W168" s="41">
        <f>D168/'1. Väestöennuste'!F168*1000</f>
        <v>0</v>
      </c>
      <c r="X168" s="41">
        <f>E168/'1. Väestöennuste'!G168*1000</f>
        <v>1286.807859147742</v>
      </c>
      <c r="Y168" s="41">
        <f>F168/'1. Väestöennuste'!H168*1000</f>
        <v>0</v>
      </c>
      <c r="Z168" s="41">
        <f>G168/'1. Väestöennuste'!I168*1000</f>
        <v>0</v>
      </c>
      <c r="AA168" s="41">
        <f>H168/'1. Väestöennuste'!J168*1000</f>
        <v>0</v>
      </c>
      <c r="AB168" s="41">
        <f>I168/'1. Väestöennuste'!K168*1000</f>
        <v>0.65841453779299441</v>
      </c>
      <c r="AC168" s="41">
        <f>J168/'1. Väestöennuste'!L168*1000</f>
        <v>0</v>
      </c>
      <c r="AD168" s="41">
        <f>K168/'1. Väestöennuste'!M168*1000</f>
        <v>0</v>
      </c>
      <c r="AE168" s="41">
        <f>L168/'1. Väestöennuste'!N168*1000</f>
        <v>0</v>
      </c>
      <c r="AF168" s="41">
        <f>M168/'1. Väestöennuste'!O168*1000</f>
        <v>0</v>
      </c>
      <c r="AG168" s="41">
        <f>N168/'1. Väestöennuste'!P168*1000</f>
        <v>0</v>
      </c>
      <c r="AH168" s="41">
        <f>O168/'1. Väestöennuste'!Q168*1000</f>
        <v>0</v>
      </c>
      <c r="AI168" s="41">
        <f>P168/'1. Väestöennuste'!R168*1000</f>
        <v>0</v>
      </c>
    </row>
    <row r="169" spans="1:35" x14ac:dyDescent="0.2">
      <c r="A169" s="30">
        <v>504</v>
      </c>
      <c r="B169" s="31" t="s">
        <v>483</v>
      </c>
      <c r="C169" s="64">
        <v>0</v>
      </c>
      <c r="D169" s="64"/>
      <c r="E169" s="64">
        <v>0</v>
      </c>
      <c r="F169" s="65">
        <v>-38</v>
      </c>
      <c r="G169" s="65">
        <v>0</v>
      </c>
      <c r="H169" s="41">
        <v>0</v>
      </c>
      <c r="I169" s="165">
        <v>0</v>
      </c>
      <c r="J169" s="41">
        <v>0</v>
      </c>
      <c r="K169" s="41">
        <v>0</v>
      </c>
      <c r="L169" s="41">
        <v>0</v>
      </c>
      <c r="M169" s="41">
        <v>0</v>
      </c>
      <c r="N169" s="41">
        <v>0</v>
      </c>
      <c r="O169" s="41">
        <v>0</v>
      </c>
      <c r="P169" s="41">
        <v>0</v>
      </c>
      <c r="T169" s="30">
        <v>504</v>
      </c>
      <c r="U169" s="31" t="s">
        <v>483</v>
      </c>
      <c r="V169" s="41">
        <f>C169/'1. Väestöennuste'!E169*1000</f>
        <v>0</v>
      </c>
      <c r="W169" s="41">
        <f>D169/'1. Väestöennuste'!F169*1000</f>
        <v>0</v>
      </c>
      <c r="X169" s="41">
        <f>E169/'1. Väestöennuste'!G169*1000</f>
        <v>0</v>
      </c>
      <c r="Y169" s="41">
        <f>F169/'1. Väestöennuste'!H169*1000</f>
        <v>-19.771071800208116</v>
      </c>
      <c r="Z169" s="41">
        <f>G169/'1. Väestöennuste'!I169*1000</f>
        <v>0</v>
      </c>
      <c r="AA169" s="41">
        <f>H169/'1. Väestöennuste'!J169*1000</f>
        <v>0</v>
      </c>
      <c r="AB169" s="41">
        <f>I169/'1. Väestöennuste'!K169*1000</f>
        <v>0</v>
      </c>
      <c r="AC169" s="41">
        <f>J169/'1. Väestöennuste'!L169*1000</f>
        <v>0</v>
      </c>
      <c r="AD169" s="41">
        <f>K169/'1. Väestöennuste'!M169*1000</f>
        <v>0</v>
      </c>
      <c r="AE169" s="41">
        <f>L169/'1. Väestöennuste'!N169*1000</f>
        <v>0</v>
      </c>
      <c r="AF169" s="41">
        <f>M169/'1. Väestöennuste'!O169*1000</f>
        <v>0</v>
      </c>
      <c r="AG169" s="41">
        <f>N169/'1. Väestöennuste'!P169*1000</f>
        <v>0</v>
      </c>
      <c r="AH169" s="41">
        <f>O169/'1. Väestöennuste'!Q169*1000</f>
        <v>0</v>
      </c>
      <c r="AI169" s="41">
        <f>P169/'1. Väestöennuste'!R169*1000</f>
        <v>0</v>
      </c>
    </row>
    <row r="170" spans="1:35" x14ac:dyDescent="0.2">
      <c r="A170" s="30">
        <v>505</v>
      </c>
      <c r="B170" s="31" t="s">
        <v>484</v>
      </c>
      <c r="C170" s="64">
        <v>0</v>
      </c>
      <c r="D170" s="64"/>
      <c r="E170" s="64">
        <v>0</v>
      </c>
      <c r="F170" s="65">
        <v>0</v>
      </c>
      <c r="G170" s="79">
        <v>0</v>
      </c>
      <c r="H170" s="41">
        <v>0</v>
      </c>
      <c r="I170" s="165">
        <v>0</v>
      </c>
      <c r="J170" s="41">
        <v>0</v>
      </c>
      <c r="K170" s="41">
        <v>0</v>
      </c>
      <c r="L170" s="41">
        <v>0</v>
      </c>
      <c r="M170" s="41">
        <v>0</v>
      </c>
      <c r="N170" s="41">
        <v>0</v>
      </c>
      <c r="O170" s="41">
        <v>0</v>
      </c>
      <c r="P170" s="41">
        <v>0</v>
      </c>
      <c r="T170" s="30">
        <v>505</v>
      </c>
      <c r="U170" s="31" t="s">
        <v>484</v>
      </c>
      <c r="V170" s="41">
        <f>C170/'1. Väestöennuste'!E170*1000</f>
        <v>0</v>
      </c>
      <c r="W170" s="41">
        <f>D170/'1. Väestöennuste'!F170*1000</f>
        <v>0</v>
      </c>
      <c r="X170" s="41">
        <f>E170/'1. Väestöennuste'!G170*1000</f>
        <v>0</v>
      </c>
      <c r="Y170" s="41">
        <f>F170/'1. Väestöennuste'!H170*1000</f>
        <v>0</v>
      </c>
      <c r="Z170" s="41">
        <f>G170/'1. Väestöennuste'!I170*1000</f>
        <v>0</v>
      </c>
      <c r="AA170" s="41">
        <f>H170/'1. Väestöennuste'!J170*1000</f>
        <v>0</v>
      </c>
      <c r="AB170" s="41">
        <f>I170/'1. Väestöennuste'!K170*1000</f>
        <v>0</v>
      </c>
      <c r="AC170" s="41">
        <f>J170/'1. Väestöennuste'!L170*1000</f>
        <v>0</v>
      </c>
      <c r="AD170" s="41">
        <f>K170/'1. Väestöennuste'!M170*1000</f>
        <v>0</v>
      </c>
      <c r="AE170" s="41">
        <f>L170/'1. Väestöennuste'!N170*1000</f>
        <v>0</v>
      </c>
      <c r="AF170" s="41">
        <f>M170/'1. Väestöennuste'!O170*1000</f>
        <v>0</v>
      </c>
      <c r="AG170" s="41">
        <f>N170/'1. Väestöennuste'!P170*1000</f>
        <v>0</v>
      </c>
      <c r="AH170" s="41">
        <f>O170/'1. Väestöennuste'!Q170*1000</f>
        <v>0</v>
      </c>
      <c r="AI170" s="41">
        <f>P170/'1. Väestöennuste'!R170*1000</f>
        <v>0</v>
      </c>
    </row>
    <row r="171" spans="1:35" x14ac:dyDescent="0.2">
      <c r="A171" s="30">
        <v>507</v>
      </c>
      <c r="B171" s="31" t="s">
        <v>485</v>
      </c>
      <c r="C171" s="64">
        <v>20</v>
      </c>
      <c r="D171" s="64">
        <v>66</v>
      </c>
      <c r="E171" s="64">
        <v>0</v>
      </c>
      <c r="F171" s="65">
        <v>0</v>
      </c>
      <c r="G171" s="65">
        <v>0</v>
      </c>
      <c r="H171" s="41">
        <v>-271</v>
      </c>
      <c r="I171" s="165">
        <v>179.83869000000001</v>
      </c>
      <c r="J171" s="41">
        <v>0</v>
      </c>
      <c r="K171" s="41">
        <v>34.554580000000001</v>
      </c>
      <c r="L171" s="41">
        <v>0</v>
      </c>
      <c r="M171" s="41">
        <v>1088</v>
      </c>
      <c r="N171" s="41">
        <v>913</v>
      </c>
      <c r="O171" s="41">
        <v>0</v>
      </c>
      <c r="P171" s="41">
        <v>0</v>
      </c>
      <c r="T171" s="30">
        <v>507</v>
      </c>
      <c r="U171" s="31" t="s">
        <v>485</v>
      </c>
      <c r="V171" s="41">
        <f>C171/'1. Väestöennuste'!E171*1000</f>
        <v>3.2472804026627697</v>
      </c>
      <c r="W171" s="41">
        <f>D171/'1. Väestöennuste'!F171*1000</f>
        <v>10.824995899622765</v>
      </c>
      <c r="X171" s="41">
        <f>E171/'1. Väestöennuste'!G171*1000</f>
        <v>0</v>
      </c>
      <c r="Y171" s="41">
        <f>F171/'1. Väestöennuste'!H171*1000</f>
        <v>0</v>
      </c>
      <c r="Z171" s="41">
        <f>G171/'1. Väestöennuste'!I171*1000</f>
        <v>0</v>
      </c>
      <c r="AA171" s="41">
        <f>H171/'1. Väestöennuste'!J171*1000</f>
        <v>-47.744890768146583</v>
      </c>
      <c r="AB171" s="41">
        <f>I171/'1. Väestöennuste'!K171*1000</f>
        <v>31.914585625554569</v>
      </c>
      <c r="AC171" s="41">
        <f>J171/'1. Väestöennuste'!L171*1000</f>
        <v>0</v>
      </c>
      <c r="AD171" s="41">
        <f>K171/'1. Väestöennuste'!M171*1000</f>
        <v>6.2576204273813838</v>
      </c>
      <c r="AE171" s="41">
        <f>L171/'1. Väestöennuste'!N171*1000</f>
        <v>0</v>
      </c>
      <c r="AF171" s="41">
        <f>M171/'1. Väestöennuste'!O171*1000</f>
        <v>159.08758590437199</v>
      </c>
      <c r="AG171" s="41">
        <f>N171/'1. Väestöennuste'!P171*1000</f>
        <v>135.07915372096463</v>
      </c>
      <c r="AH171" s="41">
        <f>O171/'1. Väestöennuste'!Q171*1000</f>
        <v>0</v>
      </c>
      <c r="AI171" s="41">
        <f>P171/'1. Väestöennuste'!R171*1000</f>
        <v>0</v>
      </c>
    </row>
    <row r="172" spans="1:35" x14ac:dyDescent="0.2">
      <c r="A172" s="30">
        <v>508</v>
      </c>
      <c r="B172" s="31" t="s">
        <v>486</v>
      </c>
      <c r="C172" s="64">
        <v>0</v>
      </c>
      <c r="D172" s="64"/>
      <c r="E172" s="64">
        <v>0</v>
      </c>
      <c r="F172" s="65">
        <v>0</v>
      </c>
      <c r="G172" s="65">
        <v>0</v>
      </c>
      <c r="H172" s="41">
        <v>0</v>
      </c>
      <c r="I172" s="165">
        <v>0</v>
      </c>
      <c r="J172" s="41">
        <v>0</v>
      </c>
      <c r="K172" s="41">
        <v>0</v>
      </c>
      <c r="L172" s="41">
        <v>0</v>
      </c>
      <c r="M172" s="41">
        <v>0</v>
      </c>
      <c r="N172" s="41">
        <v>0</v>
      </c>
      <c r="O172" s="41">
        <v>0</v>
      </c>
      <c r="P172" s="41">
        <v>0</v>
      </c>
      <c r="T172" s="30">
        <v>508</v>
      </c>
      <c r="U172" s="31" t="s">
        <v>486</v>
      </c>
      <c r="V172" s="41">
        <f>C172/'1. Väestöennuste'!E172*1000</f>
        <v>0</v>
      </c>
      <c r="W172" s="41">
        <f>D172/'1. Väestöennuste'!F172*1000</f>
        <v>0</v>
      </c>
      <c r="X172" s="41">
        <f>E172/'1. Väestöennuste'!G172*1000</f>
        <v>0</v>
      </c>
      <c r="Y172" s="41">
        <f>F172/'1. Väestöennuste'!H172*1000</f>
        <v>0</v>
      </c>
      <c r="Z172" s="41">
        <f>G172/'1. Väestöennuste'!I172*1000</f>
        <v>0</v>
      </c>
      <c r="AA172" s="41">
        <f>H172/'1. Väestöennuste'!J172*1000</f>
        <v>0</v>
      </c>
      <c r="AB172" s="41">
        <f>I172/'1. Väestöennuste'!K172*1000</f>
        <v>0</v>
      </c>
      <c r="AC172" s="41">
        <f>J172/'1. Väestöennuste'!L172*1000</f>
        <v>0</v>
      </c>
      <c r="AD172" s="41">
        <f>K172/'1. Väestöennuste'!M172*1000</f>
        <v>0</v>
      </c>
      <c r="AE172" s="41">
        <f>L172/'1. Väestöennuste'!N172*1000</f>
        <v>0</v>
      </c>
      <c r="AF172" s="41">
        <f>M172/'1. Väestöennuste'!O172*1000</f>
        <v>0</v>
      </c>
      <c r="AG172" s="41">
        <f>N172/'1. Väestöennuste'!P172*1000</f>
        <v>0</v>
      </c>
      <c r="AH172" s="41">
        <f>O172/'1. Väestöennuste'!Q172*1000</f>
        <v>0</v>
      </c>
      <c r="AI172" s="41">
        <f>P172/'1. Väestöennuste'!R172*1000</f>
        <v>0</v>
      </c>
    </row>
    <row r="173" spans="1:35" x14ac:dyDescent="0.2">
      <c r="A173" s="30">
        <v>529</v>
      </c>
      <c r="B173" s="31" t="s">
        <v>487</v>
      </c>
      <c r="C173" s="64">
        <v>0</v>
      </c>
      <c r="D173" s="64">
        <v>336</v>
      </c>
      <c r="E173" s="64">
        <v>0</v>
      </c>
      <c r="F173" s="65">
        <v>0</v>
      </c>
      <c r="G173" s="65">
        <v>413</v>
      </c>
      <c r="H173" s="41">
        <v>0</v>
      </c>
      <c r="I173" s="165">
        <v>0</v>
      </c>
      <c r="J173" s="41">
        <v>0</v>
      </c>
      <c r="K173" s="41">
        <v>0</v>
      </c>
      <c r="L173" s="41">
        <v>0</v>
      </c>
      <c r="M173" s="41">
        <v>0</v>
      </c>
      <c r="N173" s="41">
        <v>0</v>
      </c>
      <c r="O173" s="41">
        <v>0</v>
      </c>
      <c r="P173" s="41">
        <v>0</v>
      </c>
      <c r="T173" s="30">
        <v>529</v>
      </c>
      <c r="U173" s="31" t="s">
        <v>487</v>
      </c>
      <c r="V173" s="41">
        <f>C173/'1. Väestöennuste'!E173*1000</f>
        <v>0</v>
      </c>
      <c r="W173" s="41">
        <f>D173/'1. Väestöennuste'!F173*1000</f>
        <v>17.621145374449341</v>
      </c>
      <c r="X173" s="41">
        <f>E173/'1. Väestöennuste'!G173*1000</f>
        <v>0</v>
      </c>
      <c r="Y173" s="41">
        <f>F173/'1. Väestöennuste'!H173*1000</f>
        <v>0</v>
      </c>
      <c r="Z173" s="41">
        <f>G173/'1. Väestöennuste'!I173*1000</f>
        <v>21.383452417935178</v>
      </c>
      <c r="AA173" s="41">
        <f>H173/'1. Väestöennuste'!J173*1000</f>
        <v>0</v>
      </c>
      <c r="AB173" s="41">
        <f>I173/'1. Väestöennuste'!K173*1000</f>
        <v>0</v>
      </c>
      <c r="AC173" s="41">
        <f>J173/'1. Väestöennuste'!L173*1000</f>
        <v>0</v>
      </c>
      <c r="AD173" s="41">
        <f>K173/'1. Väestöennuste'!M173*1000</f>
        <v>0</v>
      </c>
      <c r="AE173" s="41">
        <f>L173/'1. Väestöennuste'!N173*1000</f>
        <v>0</v>
      </c>
      <c r="AF173" s="41">
        <f>M173/'1. Väestöennuste'!O173*1000</f>
        <v>0</v>
      </c>
      <c r="AG173" s="41">
        <f>N173/'1. Väestöennuste'!P173*1000</f>
        <v>0</v>
      </c>
      <c r="AH173" s="41">
        <f>O173/'1. Väestöennuste'!Q173*1000</f>
        <v>0</v>
      </c>
      <c r="AI173" s="41">
        <f>P173/'1. Väestöennuste'!R173*1000</f>
        <v>0</v>
      </c>
    </row>
    <row r="174" spans="1:35" x14ac:dyDescent="0.2">
      <c r="A174" s="30">
        <v>531</v>
      </c>
      <c r="B174" s="31" t="s">
        <v>488</v>
      </c>
      <c r="C174" s="64">
        <v>0</v>
      </c>
      <c r="D174" s="64"/>
      <c r="E174" s="64">
        <v>0</v>
      </c>
      <c r="F174" s="65">
        <v>0</v>
      </c>
      <c r="G174" s="65">
        <v>0</v>
      </c>
      <c r="H174" s="41">
        <v>0</v>
      </c>
      <c r="I174" s="165">
        <v>0</v>
      </c>
      <c r="J174" s="41">
        <v>0</v>
      </c>
      <c r="K174" s="41">
        <v>0</v>
      </c>
      <c r="L174" s="41">
        <v>0</v>
      </c>
      <c r="M174" s="41">
        <v>0</v>
      </c>
      <c r="N174" s="41">
        <v>0</v>
      </c>
      <c r="O174" s="41">
        <v>0</v>
      </c>
      <c r="P174" s="41">
        <v>0</v>
      </c>
      <c r="T174" s="30">
        <v>531</v>
      </c>
      <c r="U174" s="31" t="s">
        <v>488</v>
      </c>
      <c r="V174" s="41">
        <f>C174/'1. Väestöennuste'!E174*1000</f>
        <v>0</v>
      </c>
      <c r="W174" s="41">
        <f>D174/'1. Väestöennuste'!F174*1000</f>
        <v>0</v>
      </c>
      <c r="X174" s="41">
        <f>E174/'1. Väestöennuste'!G174*1000</f>
        <v>0</v>
      </c>
      <c r="Y174" s="41">
        <f>F174/'1. Väestöennuste'!H174*1000</f>
        <v>0</v>
      </c>
      <c r="Z174" s="41">
        <f>G174/'1. Väestöennuste'!I174*1000</f>
        <v>0</v>
      </c>
      <c r="AA174" s="41">
        <f>H174/'1. Väestöennuste'!J174*1000</f>
        <v>0</v>
      </c>
      <c r="AB174" s="41">
        <f>I174/'1. Väestöennuste'!K174*1000</f>
        <v>0</v>
      </c>
      <c r="AC174" s="41">
        <f>J174/'1. Väestöennuste'!L174*1000</f>
        <v>0</v>
      </c>
      <c r="AD174" s="41">
        <f>K174/'1. Väestöennuste'!M174*1000</f>
        <v>0</v>
      </c>
      <c r="AE174" s="41">
        <f>L174/'1. Väestöennuste'!N174*1000</f>
        <v>0</v>
      </c>
      <c r="AF174" s="41">
        <f>M174/'1. Väestöennuste'!O174*1000</f>
        <v>0</v>
      </c>
      <c r="AG174" s="41">
        <f>N174/'1. Väestöennuste'!P174*1000</f>
        <v>0</v>
      </c>
      <c r="AH174" s="41">
        <f>O174/'1. Väestöennuste'!Q174*1000</f>
        <v>0</v>
      </c>
      <c r="AI174" s="41">
        <f>P174/'1. Väestöennuste'!R174*1000</f>
        <v>0</v>
      </c>
    </row>
    <row r="175" spans="1:35" x14ac:dyDescent="0.2">
      <c r="A175" s="30">
        <v>535</v>
      </c>
      <c r="B175" s="31" t="s">
        <v>489</v>
      </c>
      <c r="C175" s="64">
        <v>0</v>
      </c>
      <c r="D175" s="64">
        <v>-317</v>
      </c>
      <c r="E175" s="64">
        <v>0</v>
      </c>
      <c r="F175" s="65">
        <v>0</v>
      </c>
      <c r="G175" s="65">
        <v>0</v>
      </c>
      <c r="H175" s="41">
        <v>0</v>
      </c>
      <c r="I175" s="165">
        <v>0</v>
      </c>
      <c r="J175" s="41">
        <v>0</v>
      </c>
      <c r="K175" s="41">
        <v>0</v>
      </c>
      <c r="L175" s="41">
        <v>0</v>
      </c>
      <c r="M175" s="41">
        <v>0</v>
      </c>
      <c r="N175" s="41">
        <v>0</v>
      </c>
      <c r="O175" s="41">
        <v>0</v>
      </c>
      <c r="P175" s="41">
        <v>0</v>
      </c>
      <c r="T175" s="30">
        <v>535</v>
      </c>
      <c r="U175" s="31" t="s">
        <v>489</v>
      </c>
      <c r="V175" s="41">
        <f>C175/'1. Väestöennuste'!E175*1000</f>
        <v>0</v>
      </c>
      <c r="W175" s="41">
        <f>D175/'1. Väestöennuste'!F175*1000</f>
        <v>-29.111947837266968</v>
      </c>
      <c r="X175" s="41">
        <f>E175/'1. Väestöennuste'!G175*1000</f>
        <v>0</v>
      </c>
      <c r="Y175" s="41">
        <f>F175/'1. Väestöennuste'!H175*1000</f>
        <v>0</v>
      </c>
      <c r="Z175" s="41">
        <f>G175/'1. Väestöennuste'!I175*1000</f>
        <v>0</v>
      </c>
      <c r="AA175" s="41">
        <f>H175/'1. Väestöennuste'!J175*1000</f>
        <v>0</v>
      </c>
      <c r="AB175" s="41">
        <f>I175/'1. Väestöennuste'!K175*1000</f>
        <v>0</v>
      </c>
      <c r="AC175" s="41">
        <f>J175/'1. Väestöennuste'!L175*1000</f>
        <v>0</v>
      </c>
      <c r="AD175" s="41">
        <f>K175/'1. Väestöennuste'!M175*1000</f>
        <v>0</v>
      </c>
      <c r="AE175" s="41">
        <f>L175/'1. Väestöennuste'!N175*1000</f>
        <v>0</v>
      </c>
      <c r="AF175" s="41">
        <f>M175/'1. Väestöennuste'!O175*1000</f>
        <v>0</v>
      </c>
      <c r="AG175" s="41">
        <f>N175/'1. Väestöennuste'!P175*1000</f>
        <v>0</v>
      </c>
      <c r="AH175" s="41">
        <f>O175/'1. Väestöennuste'!Q175*1000</f>
        <v>0</v>
      </c>
      <c r="AI175" s="41">
        <f>P175/'1. Väestöennuste'!R175*1000</f>
        <v>0</v>
      </c>
    </row>
    <row r="176" spans="1:35" x14ac:dyDescent="0.2">
      <c r="A176" s="30">
        <v>536</v>
      </c>
      <c r="B176" s="31" t="s">
        <v>490</v>
      </c>
      <c r="C176" s="64">
        <v>0</v>
      </c>
      <c r="D176" s="64">
        <v>-867</v>
      </c>
      <c r="E176" s="64">
        <v>0</v>
      </c>
      <c r="F176" s="65">
        <v>0</v>
      </c>
      <c r="G176" s="65">
        <v>0</v>
      </c>
      <c r="H176" s="41">
        <v>0</v>
      </c>
      <c r="I176" s="165">
        <v>0</v>
      </c>
      <c r="J176" s="41">
        <v>0</v>
      </c>
      <c r="K176" s="41">
        <v>0</v>
      </c>
      <c r="L176" s="41">
        <v>0</v>
      </c>
      <c r="M176" s="41">
        <v>0</v>
      </c>
      <c r="N176" s="41">
        <v>0</v>
      </c>
      <c r="O176" s="41">
        <v>0</v>
      </c>
      <c r="P176" s="41">
        <v>0</v>
      </c>
      <c r="T176" s="30">
        <v>536</v>
      </c>
      <c r="U176" s="31" t="s">
        <v>490</v>
      </c>
      <c r="V176" s="41">
        <f>C176/'1. Väestöennuste'!E176*1000</f>
        <v>0</v>
      </c>
      <c r="W176" s="41">
        <f>D176/'1. Väestöennuste'!F176*1000</f>
        <v>-26.106594399277327</v>
      </c>
      <c r="X176" s="41">
        <f>E176/'1. Väestöennuste'!G176*1000</f>
        <v>0</v>
      </c>
      <c r="Y176" s="41">
        <f>F176/'1. Väestöennuste'!H176*1000</f>
        <v>0</v>
      </c>
      <c r="Z176" s="41">
        <f>G176/'1. Väestöennuste'!I176*1000</f>
        <v>0</v>
      </c>
      <c r="AA176" s="41">
        <f>H176/'1. Väestöennuste'!J176*1000</f>
        <v>0</v>
      </c>
      <c r="AB176" s="41">
        <f>I176/'1. Väestöennuste'!K176*1000</f>
        <v>0</v>
      </c>
      <c r="AC176" s="41">
        <f>J176/'1. Väestöennuste'!L176*1000</f>
        <v>0</v>
      </c>
      <c r="AD176" s="41">
        <f>K176/'1. Väestöennuste'!M176*1000</f>
        <v>0</v>
      </c>
      <c r="AE176" s="41">
        <f>L176/'1. Väestöennuste'!N176*1000</f>
        <v>0</v>
      </c>
      <c r="AF176" s="41">
        <f>M176/'1. Väestöennuste'!O176*1000</f>
        <v>0</v>
      </c>
      <c r="AG176" s="41">
        <f>N176/'1. Väestöennuste'!P176*1000</f>
        <v>0</v>
      </c>
      <c r="AH176" s="41">
        <f>O176/'1. Väestöennuste'!Q176*1000</f>
        <v>0</v>
      </c>
      <c r="AI176" s="41">
        <f>P176/'1. Väestöennuste'!R176*1000</f>
        <v>0</v>
      </c>
    </row>
    <row r="177" spans="1:35" x14ac:dyDescent="0.2">
      <c r="A177" s="30">
        <v>538</v>
      </c>
      <c r="B177" s="31" t="s">
        <v>491</v>
      </c>
      <c r="C177" s="64">
        <v>0</v>
      </c>
      <c r="D177" s="64">
        <v>2276</v>
      </c>
      <c r="E177" s="64">
        <v>1081</v>
      </c>
      <c r="F177" s="65">
        <v>0</v>
      </c>
      <c r="G177" s="65">
        <v>0</v>
      </c>
      <c r="H177" s="41">
        <v>0</v>
      </c>
      <c r="I177" s="165">
        <v>0</v>
      </c>
      <c r="J177" s="41">
        <v>0</v>
      </c>
      <c r="K177" s="41">
        <v>-85.215570000000014</v>
      </c>
      <c r="L177" s="41">
        <v>0</v>
      </c>
      <c r="M177" s="41">
        <v>0</v>
      </c>
      <c r="N177" s="41">
        <v>0</v>
      </c>
      <c r="O177" s="41">
        <v>0</v>
      </c>
      <c r="P177" s="41">
        <v>0</v>
      </c>
      <c r="T177" s="30">
        <v>538</v>
      </c>
      <c r="U177" s="31" t="s">
        <v>491</v>
      </c>
      <c r="V177" s="41">
        <f>C177/'1. Väestöennuste'!E177*1000</f>
        <v>0</v>
      </c>
      <c r="W177" s="41">
        <f>D177/'1. Väestöennuste'!F177*1000</f>
        <v>472.68951194184837</v>
      </c>
      <c r="X177" s="41">
        <f>E177/'1. Väestöennuste'!G177*1000</f>
        <v>224.60004155412426</v>
      </c>
      <c r="Y177" s="41">
        <f>F177/'1. Väestöennuste'!H177*1000</f>
        <v>0</v>
      </c>
      <c r="Z177" s="41">
        <f>G177/'1. Väestöennuste'!I177*1000</f>
        <v>0</v>
      </c>
      <c r="AA177" s="41">
        <f>H177/'1. Väestöennuste'!J177*1000</f>
        <v>0</v>
      </c>
      <c r="AB177" s="41">
        <f>I177/'1. Väestöennuste'!K177*1000</f>
        <v>0</v>
      </c>
      <c r="AC177" s="41">
        <f>J177/'1. Väestöennuste'!L177*1000</f>
        <v>0</v>
      </c>
      <c r="AD177" s="41">
        <f>K177/'1. Väestöennuste'!M177*1000</f>
        <v>-18.150281150159746</v>
      </c>
      <c r="AE177" s="41">
        <f>L177/'1. Väestöennuste'!N177*1000</f>
        <v>0</v>
      </c>
      <c r="AF177" s="41">
        <f>M177/'1. Väestöennuste'!O177*1000</f>
        <v>0</v>
      </c>
      <c r="AG177" s="41">
        <f>N177/'1. Väestöennuste'!P177*1000</f>
        <v>0</v>
      </c>
      <c r="AH177" s="41">
        <f>O177/'1. Väestöennuste'!Q177*1000</f>
        <v>0</v>
      </c>
      <c r="AI177" s="41">
        <f>P177/'1. Väestöennuste'!R177*1000</f>
        <v>0</v>
      </c>
    </row>
    <row r="178" spans="1:35" x14ac:dyDescent="0.2">
      <c r="A178" s="30">
        <v>541</v>
      </c>
      <c r="B178" s="31" t="s">
        <v>492</v>
      </c>
      <c r="C178" s="64">
        <v>0</v>
      </c>
      <c r="D178" s="64"/>
      <c r="E178" s="64">
        <v>370</v>
      </c>
      <c r="F178" s="65">
        <v>-8</v>
      </c>
      <c r="G178" s="65">
        <v>0</v>
      </c>
      <c r="H178" s="41">
        <v>0</v>
      </c>
      <c r="I178" s="165">
        <v>0</v>
      </c>
      <c r="J178" s="41">
        <v>0</v>
      </c>
      <c r="K178" s="41">
        <v>0</v>
      </c>
      <c r="L178" s="41">
        <v>0</v>
      </c>
      <c r="M178" s="41">
        <v>0</v>
      </c>
      <c r="N178" s="41">
        <v>0</v>
      </c>
      <c r="O178" s="41">
        <v>0</v>
      </c>
      <c r="P178" s="41">
        <v>0</v>
      </c>
      <c r="T178" s="30">
        <v>541</v>
      </c>
      <c r="U178" s="31" t="s">
        <v>492</v>
      </c>
      <c r="V178" s="41">
        <f>C178/'1. Väestöennuste'!E178*1000</f>
        <v>0</v>
      </c>
      <c r="W178" s="41">
        <f>D178/'1. Väestöennuste'!F178*1000</f>
        <v>0</v>
      </c>
      <c r="X178" s="41">
        <f>E178/'1. Väestöennuste'!G178*1000</f>
        <v>37.063007112090553</v>
      </c>
      <c r="Y178" s="41">
        <f>F178/'1. Väestöennuste'!H178*1000</f>
        <v>-0.81766148814390849</v>
      </c>
      <c r="Z178" s="41">
        <f>G178/'1. Väestöennuste'!I178*1000</f>
        <v>0</v>
      </c>
      <c r="AA178" s="41">
        <f>H178/'1. Väestöennuste'!J178*1000</f>
        <v>0</v>
      </c>
      <c r="AB178" s="41">
        <f>I178/'1. Väestöennuste'!K178*1000</f>
        <v>0</v>
      </c>
      <c r="AC178" s="41">
        <f>J178/'1. Väestöennuste'!L178*1000</f>
        <v>0</v>
      </c>
      <c r="AD178" s="41">
        <f>K178/'1. Väestöennuste'!M178*1000</f>
        <v>0</v>
      </c>
      <c r="AE178" s="41">
        <f>L178/'1. Väestöennuste'!N178*1000</f>
        <v>0</v>
      </c>
      <c r="AF178" s="41">
        <f>M178/'1. Väestöennuste'!O178*1000</f>
        <v>0</v>
      </c>
      <c r="AG178" s="41">
        <f>N178/'1. Väestöennuste'!P178*1000</f>
        <v>0</v>
      </c>
      <c r="AH178" s="41">
        <f>O178/'1. Väestöennuste'!Q178*1000</f>
        <v>0</v>
      </c>
      <c r="AI178" s="41">
        <f>P178/'1. Väestöennuste'!R178*1000</f>
        <v>0</v>
      </c>
    </row>
    <row r="179" spans="1:35" x14ac:dyDescent="0.2">
      <c r="A179" s="30">
        <v>543</v>
      </c>
      <c r="B179" s="31" t="s">
        <v>493</v>
      </c>
      <c r="C179" s="64">
        <v>0</v>
      </c>
      <c r="D179" s="64"/>
      <c r="E179" s="64">
        <v>0</v>
      </c>
      <c r="F179" s="65">
        <v>0</v>
      </c>
      <c r="G179" s="65">
        <v>0</v>
      </c>
      <c r="H179" s="41">
        <v>0</v>
      </c>
      <c r="I179" s="165">
        <v>0</v>
      </c>
      <c r="J179" s="41">
        <v>0</v>
      </c>
      <c r="K179" s="41">
        <v>-225.44319000000002</v>
      </c>
      <c r="L179" s="41">
        <v>0</v>
      </c>
      <c r="M179" s="41">
        <v>0</v>
      </c>
      <c r="N179" s="41">
        <v>0</v>
      </c>
      <c r="O179" s="41">
        <v>0</v>
      </c>
      <c r="P179" s="41">
        <v>0</v>
      </c>
      <c r="T179" s="30">
        <v>543</v>
      </c>
      <c r="U179" s="31" t="s">
        <v>493</v>
      </c>
      <c r="V179" s="41">
        <f>C179/'1. Väestöennuste'!E179*1000</f>
        <v>0</v>
      </c>
      <c r="W179" s="41">
        <f>D179/'1. Väestöennuste'!F179*1000</f>
        <v>0</v>
      </c>
      <c r="X179" s="41">
        <f>E179/'1. Väestöennuste'!G179*1000</f>
        <v>0</v>
      </c>
      <c r="Y179" s="41">
        <f>F179/'1. Väestöennuste'!H179*1000</f>
        <v>0</v>
      </c>
      <c r="Z179" s="41">
        <f>G179/'1. Väestöennuste'!I179*1000</f>
        <v>0</v>
      </c>
      <c r="AA179" s="41">
        <f>H179/'1. Väestöennuste'!J179*1000</f>
        <v>0</v>
      </c>
      <c r="AB179" s="41">
        <f>I179/'1. Väestöennuste'!K179*1000</f>
        <v>0</v>
      </c>
      <c r="AC179" s="41">
        <f>J179/'1. Väestöennuste'!L179*1000</f>
        <v>0</v>
      </c>
      <c r="AD179" s="41">
        <f>K179/'1. Väestöennuste'!M179*1000</f>
        <v>-5.0338995199285481</v>
      </c>
      <c r="AE179" s="41">
        <f>L179/'1. Väestöennuste'!N179*1000</f>
        <v>0</v>
      </c>
      <c r="AF179" s="41">
        <f>M179/'1. Väestöennuste'!O179*1000</f>
        <v>0</v>
      </c>
      <c r="AG179" s="41">
        <f>N179/'1. Väestöennuste'!P179*1000</f>
        <v>0</v>
      </c>
      <c r="AH179" s="41">
        <f>O179/'1. Väestöennuste'!Q179*1000</f>
        <v>0</v>
      </c>
      <c r="AI179" s="41">
        <f>P179/'1. Väestöennuste'!R179*1000</f>
        <v>0</v>
      </c>
    </row>
    <row r="180" spans="1:35" x14ac:dyDescent="0.2">
      <c r="A180" s="30">
        <v>545</v>
      </c>
      <c r="B180" s="31" t="s">
        <v>494</v>
      </c>
      <c r="C180" s="64">
        <v>0</v>
      </c>
      <c r="D180" s="64"/>
      <c r="E180" s="64">
        <v>0</v>
      </c>
      <c r="F180" s="65">
        <v>0</v>
      </c>
      <c r="G180" s="65">
        <v>0</v>
      </c>
      <c r="H180" s="41">
        <v>0</v>
      </c>
      <c r="I180" s="165">
        <v>0</v>
      </c>
      <c r="J180" s="41">
        <v>0</v>
      </c>
      <c r="K180" s="41">
        <v>0</v>
      </c>
      <c r="L180" s="41">
        <v>0</v>
      </c>
      <c r="M180" s="41">
        <v>0</v>
      </c>
      <c r="N180" s="41">
        <v>0</v>
      </c>
      <c r="O180" s="41">
        <v>0</v>
      </c>
      <c r="P180" s="41">
        <v>0</v>
      </c>
      <c r="T180" s="30">
        <v>545</v>
      </c>
      <c r="U180" s="31" t="s">
        <v>494</v>
      </c>
      <c r="V180" s="41">
        <f>C180/'1. Väestöennuste'!E180*1000</f>
        <v>0</v>
      </c>
      <c r="W180" s="41">
        <f>D180/'1. Väestöennuste'!F180*1000</f>
        <v>0</v>
      </c>
      <c r="X180" s="41">
        <f>E180/'1. Väestöennuste'!G180*1000</f>
        <v>0</v>
      </c>
      <c r="Y180" s="41">
        <f>F180/'1. Väestöennuste'!H180*1000</f>
        <v>0</v>
      </c>
      <c r="Z180" s="41">
        <f>G180/'1. Väestöennuste'!I180*1000</f>
        <v>0</v>
      </c>
      <c r="AA180" s="41">
        <f>H180/'1. Väestöennuste'!J180*1000</f>
        <v>0</v>
      </c>
      <c r="AB180" s="41">
        <f>I180/'1. Väestöennuste'!K180*1000</f>
        <v>0</v>
      </c>
      <c r="AC180" s="41">
        <f>J180/'1. Väestöennuste'!L180*1000</f>
        <v>0</v>
      </c>
      <c r="AD180" s="41">
        <f>K180/'1. Väestöennuste'!M180*1000</f>
        <v>0</v>
      </c>
      <c r="AE180" s="41">
        <f>L180/'1. Väestöennuste'!N180*1000</f>
        <v>0</v>
      </c>
      <c r="AF180" s="41">
        <f>M180/'1. Väestöennuste'!O180*1000</f>
        <v>0</v>
      </c>
      <c r="AG180" s="41">
        <f>N180/'1. Väestöennuste'!P180*1000</f>
        <v>0</v>
      </c>
      <c r="AH180" s="41">
        <f>O180/'1. Väestöennuste'!Q180*1000</f>
        <v>0</v>
      </c>
      <c r="AI180" s="41">
        <f>P180/'1. Väestöennuste'!R180*1000</f>
        <v>0</v>
      </c>
    </row>
    <row r="181" spans="1:35" x14ac:dyDescent="0.2">
      <c r="A181" s="30">
        <v>560</v>
      </c>
      <c r="B181" s="31" t="s">
        <v>495</v>
      </c>
      <c r="C181" s="64">
        <v>921</v>
      </c>
      <c r="D181" s="64"/>
      <c r="E181" s="64">
        <v>0</v>
      </c>
      <c r="F181" s="65">
        <v>0</v>
      </c>
      <c r="G181" s="65">
        <v>0</v>
      </c>
      <c r="H181" s="41">
        <v>0</v>
      </c>
      <c r="I181" s="165">
        <v>0</v>
      </c>
      <c r="J181" s="41">
        <v>0</v>
      </c>
      <c r="K181" s="41">
        <v>0</v>
      </c>
      <c r="L181" s="41">
        <v>0</v>
      </c>
      <c r="M181" s="41">
        <v>0</v>
      </c>
      <c r="N181" s="41">
        <v>0</v>
      </c>
      <c r="O181" s="41">
        <v>0</v>
      </c>
      <c r="P181" s="41">
        <v>0</v>
      </c>
      <c r="T181" s="30">
        <v>560</v>
      </c>
      <c r="U181" s="31" t="s">
        <v>495</v>
      </c>
      <c r="V181" s="41">
        <f>C181/'1. Väestöennuste'!E181*1000</f>
        <v>56.413083425211319</v>
      </c>
      <c r="W181" s="41">
        <f>D181/'1. Väestöennuste'!F181*1000</f>
        <v>0</v>
      </c>
      <c r="X181" s="41">
        <f>E181/'1. Väestöennuste'!G181*1000</f>
        <v>0</v>
      </c>
      <c r="Y181" s="41">
        <f>F181/'1. Väestöennuste'!H181*1000</f>
        <v>0</v>
      </c>
      <c r="Z181" s="41">
        <f>G181/'1. Väestöennuste'!I181*1000</f>
        <v>0</v>
      </c>
      <c r="AA181" s="41">
        <f>H181/'1. Väestöennuste'!J181*1000</f>
        <v>0</v>
      </c>
      <c r="AB181" s="41">
        <f>I181/'1. Väestöennuste'!K181*1000</f>
        <v>0</v>
      </c>
      <c r="AC181" s="41">
        <f>J181/'1. Väestöennuste'!L181*1000</f>
        <v>0</v>
      </c>
      <c r="AD181" s="41">
        <f>K181/'1. Väestöennuste'!M181*1000</f>
        <v>0</v>
      </c>
      <c r="AE181" s="41">
        <f>L181/'1. Väestöennuste'!N181*1000</f>
        <v>0</v>
      </c>
      <c r="AF181" s="41">
        <f>M181/'1. Väestöennuste'!O181*1000</f>
        <v>0</v>
      </c>
      <c r="AG181" s="41">
        <f>N181/'1. Väestöennuste'!P181*1000</f>
        <v>0</v>
      </c>
      <c r="AH181" s="41">
        <f>O181/'1. Väestöennuste'!Q181*1000</f>
        <v>0</v>
      </c>
      <c r="AI181" s="41">
        <f>P181/'1. Väestöennuste'!R181*1000</f>
        <v>0</v>
      </c>
    </row>
    <row r="182" spans="1:35" x14ac:dyDescent="0.2">
      <c r="A182" s="30">
        <v>561</v>
      </c>
      <c r="B182" s="31" t="s">
        <v>496</v>
      </c>
      <c r="C182" s="64">
        <v>122</v>
      </c>
      <c r="D182" s="64"/>
      <c r="E182" s="64">
        <v>0</v>
      </c>
      <c r="F182" s="65">
        <v>0</v>
      </c>
      <c r="G182" s="65">
        <v>0</v>
      </c>
      <c r="H182" s="41">
        <v>0</v>
      </c>
      <c r="I182" s="165">
        <v>0</v>
      </c>
      <c r="J182" s="41">
        <v>0</v>
      </c>
      <c r="K182" s="41">
        <v>350</v>
      </c>
      <c r="L182" s="41">
        <v>0</v>
      </c>
      <c r="M182" s="41">
        <v>0</v>
      </c>
      <c r="N182" s="41">
        <v>0</v>
      </c>
      <c r="O182" s="41">
        <v>0</v>
      </c>
      <c r="P182" s="41">
        <v>0</v>
      </c>
      <c r="T182" s="30">
        <v>561</v>
      </c>
      <c r="U182" s="31" t="s">
        <v>496</v>
      </c>
      <c r="V182" s="41">
        <f>C182/'1. Väestöennuste'!E182*1000</f>
        <v>88.598402323892515</v>
      </c>
      <c r="W182" s="41">
        <f>D182/'1. Väestöennuste'!F182*1000</f>
        <v>0</v>
      </c>
      <c r="X182" s="41">
        <f>E182/'1. Väestöennuste'!G182*1000</f>
        <v>0</v>
      </c>
      <c r="Y182" s="41">
        <f>F182/'1. Väestöennuste'!H182*1000</f>
        <v>0</v>
      </c>
      <c r="Z182" s="41">
        <f>G182/'1. Väestöennuste'!I182*1000</f>
        <v>0</v>
      </c>
      <c r="AA182" s="41">
        <f>H182/'1. Väestöennuste'!J182*1000</f>
        <v>0</v>
      </c>
      <c r="AB182" s="41">
        <f>I182/'1. Väestöennuste'!K182*1000</f>
        <v>0</v>
      </c>
      <c r="AC182" s="41">
        <f>J182/'1. Väestöennuste'!L182*1000</f>
        <v>0</v>
      </c>
      <c r="AD182" s="41">
        <f>K182/'1. Väestöennuste'!M182*1000</f>
        <v>266.1596958174905</v>
      </c>
      <c r="AE182" s="41">
        <f>L182/'1. Väestöennuste'!N182*1000</f>
        <v>0</v>
      </c>
      <c r="AF182" s="41">
        <f>M182/'1. Väestöennuste'!O182*1000</f>
        <v>0</v>
      </c>
      <c r="AG182" s="41">
        <f>N182/'1. Väestöennuste'!P182*1000</f>
        <v>0</v>
      </c>
      <c r="AH182" s="41">
        <f>O182/'1. Väestöennuste'!Q182*1000</f>
        <v>0</v>
      </c>
      <c r="AI182" s="41">
        <f>P182/'1. Väestöennuste'!R182*1000</f>
        <v>0</v>
      </c>
    </row>
    <row r="183" spans="1:35" x14ac:dyDescent="0.2">
      <c r="A183" s="30">
        <v>562</v>
      </c>
      <c r="B183" s="31" t="s">
        <v>497</v>
      </c>
      <c r="C183" s="64">
        <v>-351</v>
      </c>
      <c r="D183" s="64"/>
      <c r="E183" s="64">
        <v>0</v>
      </c>
      <c r="F183" s="65">
        <v>0</v>
      </c>
      <c r="G183" s="65">
        <v>0</v>
      </c>
      <c r="H183" s="41">
        <v>0</v>
      </c>
      <c r="I183" s="165">
        <v>0</v>
      </c>
      <c r="J183" s="41">
        <v>0</v>
      </c>
      <c r="K183" s="41">
        <v>0</v>
      </c>
      <c r="L183" s="41">
        <v>0</v>
      </c>
      <c r="M183" s="41">
        <v>0</v>
      </c>
      <c r="N183" s="41">
        <v>0</v>
      </c>
      <c r="O183" s="41">
        <v>0</v>
      </c>
      <c r="P183" s="41">
        <v>0</v>
      </c>
      <c r="T183" s="30">
        <v>562</v>
      </c>
      <c r="U183" s="31" t="s">
        <v>497</v>
      </c>
      <c r="V183" s="41">
        <f>C183/'1. Väestöennuste'!E183*1000</f>
        <v>-37.308673469387756</v>
      </c>
      <c r="W183" s="41">
        <f>D183/'1. Väestöennuste'!F183*1000</f>
        <v>0</v>
      </c>
      <c r="X183" s="41">
        <f>E183/'1. Väestöennuste'!G183*1000</f>
        <v>0</v>
      </c>
      <c r="Y183" s="41">
        <f>F183/'1. Väestöennuste'!H183*1000</f>
        <v>0</v>
      </c>
      <c r="Z183" s="41">
        <f>G183/'1. Väestöennuste'!I183*1000</f>
        <v>0</v>
      </c>
      <c r="AA183" s="41">
        <f>H183/'1. Väestöennuste'!J183*1000</f>
        <v>0</v>
      </c>
      <c r="AB183" s="41">
        <f>I183/'1. Väestöennuste'!K183*1000</f>
        <v>0</v>
      </c>
      <c r="AC183" s="41">
        <f>J183/'1. Väestöennuste'!L183*1000</f>
        <v>0</v>
      </c>
      <c r="AD183" s="41">
        <f>K183/'1. Väestöennuste'!M183*1000</f>
        <v>0</v>
      </c>
      <c r="AE183" s="41">
        <f>L183/'1. Väestöennuste'!N183*1000</f>
        <v>0</v>
      </c>
      <c r="AF183" s="41">
        <f>M183/'1. Väestöennuste'!O183*1000</f>
        <v>0</v>
      </c>
      <c r="AG183" s="41">
        <f>N183/'1. Väestöennuste'!P183*1000</f>
        <v>0</v>
      </c>
      <c r="AH183" s="41">
        <f>O183/'1. Väestöennuste'!Q183*1000</f>
        <v>0</v>
      </c>
      <c r="AI183" s="41">
        <f>P183/'1. Väestöennuste'!R183*1000</f>
        <v>0</v>
      </c>
    </row>
    <row r="184" spans="1:35" x14ac:dyDescent="0.2">
      <c r="A184" s="30">
        <v>563</v>
      </c>
      <c r="B184" s="31" t="s">
        <v>498</v>
      </c>
      <c r="C184" s="64">
        <v>0</v>
      </c>
      <c r="D184" s="64"/>
      <c r="E184" s="64">
        <v>835</v>
      </c>
      <c r="F184" s="65">
        <v>0</v>
      </c>
      <c r="G184" s="65">
        <v>51</v>
      </c>
      <c r="H184" s="41">
        <v>0</v>
      </c>
      <c r="I184" s="165">
        <v>0</v>
      </c>
      <c r="J184" s="41">
        <v>0</v>
      </c>
      <c r="K184" s="41">
        <v>0</v>
      </c>
      <c r="L184" s="41">
        <v>0</v>
      </c>
      <c r="M184" s="41">
        <v>0</v>
      </c>
      <c r="N184" s="41">
        <v>0</v>
      </c>
      <c r="O184" s="41">
        <v>0</v>
      </c>
      <c r="P184" s="41">
        <v>0</v>
      </c>
      <c r="T184" s="30">
        <v>563</v>
      </c>
      <c r="U184" s="31" t="s">
        <v>498</v>
      </c>
      <c r="V184" s="41">
        <f>C184/'1. Väestöennuste'!E184*1000</f>
        <v>0</v>
      </c>
      <c r="W184" s="41">
        <f>D184/'1. Väestöennuste'!F184*1000</f>
        <v>0</v>
      </c>
      <c r="X184" s="41">
        <f>E184/'1. Väestöennuste'!G184*1000</f>
        <v>111.75053533190578</v>
      </c>
      <c r="Y184" s="41">
        <f>F184/'1. Väestöennuste'!H184*1000</f>
        <v>0</v>
      </c>
      <c r="Z184" s="41">
        <f>G184/'1. Väestöennuste'!I184*1000</f>
        <v>6.9978046103183313</v>
      </c>
      <c r="AA184" s="41">
        <f>H184/'1. Väestöennuste'!J184*1000</f>
        <v>0</v>
      </c>
      <c r="AB184" s="41">
        <f>I184/'1. Väestöennuste'!K184*1000</f>
        <v>0</v>
      </c>
      <c r="AC184" s="41">
        <f>J184/'1. Väestöennuste'!L184*1000</f>
        <v>0</v>
      </c>
      <c r="AD184" s="41">
        <f>K184/'1. Väestöennuste'!M184*1000</f>
        <v>0</v>
      </c>
      <c r="AE184" s="41">
        <f>L184/'1. Väestöennuste'!N184*1000</f>
        <v>0</v>
      </c>
      <c r="AF184" s="41">
        <f>M184/'1. Väestöennuste'!O184*1000</f>
        <v>0</v>
      </c>
      <c r="AG184" s="41">
        <f>N184/'1. Väestöennuste'!P184*1000</f>
        <v>0</v>
      </c>
      <c r="AH184" s="41">
        <f>O184/'1. Väestöennuste'!Q184*1000</f>
        <v>0</v>
      </c>
      <c r="AI184" s="41">
        <f>P184/'1. Väestöennuste'!R184*1000</f>
        <v>0</v>
      </c>
    </row>
    <row r="185" spans="1:35" x14ac:dyDescent="0.2">
      <c r="A185" s="30">
        <v>564</v>
      </c>
      <c r="B185" s="31" t="s">
        <v>499</v>
      </c>
      <c r="C185" s="64">
        <v>0</v>
      </c>
      <c r="D185" s="64"/>
      <c r="E185" s="64">
        <v>0</v>
      </c>
      <c r="F185" s="65">
        <v>0</v>
      </c>
      <c r="G185" s="65">
        <v>0</v>
      </c>
      <c r="H185" s="41">
        <v>0</v>
      </c>
      <c r="I185" s="165">
        <v>0</v>
      </c>
      <c r="J185" s="41">
        <v>0</v>
      </c>
      <c r="K185" s="41">
        <v>0</v>
      </c>
      <c r="L185" s="41">
        <v>0</v>
      </c>
      <c r="M185" s="41">
        <v>0</v>
      </c>
      <c r="N185" s="41">
        <v>0</v>
      </c>
      <c r="O185" s="41">
        <v>0</v>
      </c>
      <c r="P185" s="41">
        <v>0</v>
      </c>
      <c r="T185" s="30">
        <v>564</v>
      </c>
      <c r="U185" s="31" t="s">
        <v>499</v>
      </c>
      <c r="V185" s="41">
        <f>C185/'1. Väestöennuste'!E185*1000</f>
        <v>0</v>
      </c>
      <c r="W185" s="41">
        <f>D185/'1. Väestöennuste'!F185*1000</f>
        <v>0</v>
      </c>
      <c r="X185" s="41">
        <f>E185/'1. Väestöennuste'!G185*1000</f>
        <v>0</v>
      </c>
      <c r="Y185" s="41">
        <f>F185/'1. Väestöennuste'!H185*1000</f>
        <v>0</v>
      </c>
      <c r="Z185" s="41">
        <f>G185/'1. Väestöennuste'!I185*1000</f>
        <v>0</v>
      </c>
      <c r="AA185" s="41">
        <f>H185/'1. Väestöennuste'!J185*1000</f>
        <v>0</v>
      </c>
      <c r="AB185" s="41">
        <f>I185/'1. Väestöennuste'!K185*1000</f>
        <v>0</v>
      </c>
      <c r="AC185" s="41">
        <f>J185/'1. Väestöennuste'!L185*1000</f>
        <v>0</v>
      </c>
      <c r="AD185" s="41">
        <f>K185/'1. Väestöennuste'!M185*1000</f>
        <v>0</v>
      </c>
      <c r="AE185" s="41">
        <f>L185/'1. Väestöennuste'!N185*1000</f>
        <v>0</v>
      </c>
      <c r="AF185" s="41">
        <f>M185/'1. Väestöennuste'!O185*1000</f>
        <v>0</v>
      </c>
      <c r="AG185" s="41">
        <f>N185/'1. Väestöennuste'!P185*1000</f>
        <v>0</v>
      </c>
      <c r="AH185" s="41">
        <f>O185/'1. Väestöennuste'!Q185*1000</f>
        <v>0</v>
      </c>
      <c r="AI185" s="41">
        <f>P185/'1. Väestöennuste'!R185*1000</f>
        <v>0</v>
      </c>
    </row>
    <row r="186" spans="1:35" x14ac:dyDescent="0.2">
      <c r="A186" s="30">
        <v>576</v>
      </c>
      <c r="B186" s="31" t="s">
        <v>500</v>
      </c>
      <c r="C186" s="64">
        <v>0</v>
      </c>
      <c r="D186" s="64"/>
      <c r="E186" s="64">
        <v>0</v>
      </c>
      <c r="F186" s="65">
        <v>0</v>
      </c>
      <c r="G186" s="65">
        <v>0</v>
      </c>
      <c r="H186" s="41">
        <v>0</v>
      </c>
      <c r="I186" s="165">
        <v>0</v>
      </c>
      <c r="J186" s="41">
        <v>0</v>
      </c>
      <c r="K186" s="41">
        <v>0</v>
      </c>
      <c r="L186" s="41">
        <v>0</v>
      </c>
      <c r="M186" s="41">
        <v>0</v>
      </c>
      <c r="N186" s="41">
        <v>0</v>
      </c>
      <c r="O186" s="41">
        <v>0</v>
      </c>
      <c r="P186" s="41">
        <v>0</v>
      </c>
      <c r="T186" s="30">
        <v>576</v>
      </c>
      <c r="U186" s="31" t="s">
        <v>500</v>
      </c>
      <c r="V186" s="41">
        <f>C186/'1. Väestöennuste'!E186*1000</f>
        <v>0</v>
      </c>
      <c r="W186" s="41">
        <f>D186/'1. Väestöennuste'!F186*1000</f>
        <v>0</v>
      </c>
      <c r="X186" s="41">
        <f>E186/'1. Väestöennuste'!G186*1000</f>
        <v>0</v>
      </c>
      <c r="Y186" s="41">
        <f>F186/'1. Väestöennuste'!H186*1000</f>
        <v>0</v>
      </c>
      <c r="Z186" s="41">
        <f>G186/'1. Väestöennuste'!I186*1000</f>
        <v>0</v>
      </c>
      <c r="AA186" s="41">
        <f>H186/'1. Väestöennuste'!J186*1000</f>
        <v>0</v>
      </c>
      <c r="AB186" s="41">
        <f>I186/'1. Väestöennuste'!K186*1000</f>
        <v>0</v>
      </c>
      <c r="AC186" s="41">
        <f>J186/'1. Väestöennuste'!L186*1000</f>
        <v>0</v>
      </c>
      <c r="AD186" s="41">
        <f>K186/'1. Väestöennuste'!M186*1000</f>
        <v>0</v>
      </c>
      <c r="AE186" s="41">
        <f>L186/'1. Väestöennuste'!N186*1000</f>
        <v>0</v>
      </c>
      <c r="AF186" s="41">
        <f>M186/'1. Väestöennuste'!O186*1000</f>
        <v>0</v>
      </c>
      <c r="AG186" s="41">
        <f>N186/'1. Väestöennuste'!P186*1000</f>
        <v>0</v>
      </c>
      <c r="AH186" s="41">
        <f>O186/'1. Väestöennuste'!Q186*1000</f>
        <v>0</v>
      </c>
      <c r="AI186" s="41">
        <f>P186/'1. Väestöennuste'!R186*1000</f>
        <v>0</v>
      </c>
    </row>
    <row r="187" spans="1:35" x14ac:dyDescent="0.2">
      <c r="A187" s="30">
        <v>577</v>
      </c>
      <c r="B187" s="31" t="s">
        <v>501</v>
      </c>
      <c r="C187" s="64">
        <v>0</v>
      </c>
      <c r="D187" s="64">
        <v>-193</v>
      </c>
      <c r="E187" s="64">
        <v>0</v>
      </c>
      <c r="F187" s="65">
        <v>0</v>
      </c>
      <c r="G187" s="65">
        <v>360</v>
      </c>
      <c r="H187" s="41">
        <v>0</v>
      </c>
      <c r="I187" s="165">
        <v>0</v>
      </c>
      <c r="J187" s="41">
        <v>0</v>
      </c>
      <c r="K187" s="41">
        <v>-156.93822</v>
      </c>
      <c r="L187" s="41">
        <v>0</v>
      </c>
      <c r="M187" s="41">
        <v>0</v>
      </c>
      <c r="N187" s="41">
        <v>0</v>
      </c>
      <c r="O187" s="41">
        <v>0</v>
      </c>
      <c r="P187" s="41">
        <v>0</v>
      </c>
      <c r="T187" s="30">
        <v>577</v>
      </c>
      <c r="U187" s="31" t="s">
        <v>501</v>
      </c>
      <c r="V187" s="41">
        <f>C187/'1. Väestöennuste'!E187*1000</f>
        <v>0</v>
      </c>
      <c r="W187" s="41">
        <f>D187/'1. Väestöennuste'!F187*1000</f>
        <v>-18.015495192756465</v>
      </c>
      <c r="X187" s="41">
        <f>E187/'1. Väestöennuste'!G187*1000</f>
        <v>0</v>
      </c>
      <c r="Y187" s="41">
        <f>F187/'1. Väestöennuste'!H187*1000</f>
        <v>0</v>
      </c>
      <c r="Z187" s="41">
        <f>G187/'1. Väestöennuste'!I187*1000</f>
        <v>33.179723502304149</v>
      </c>
      <c r="AA187" s="41">
        <f>H187/'1. Väestöennuste'!J187*1000</f>
        <v>0</v>
      </c>
      <c r="AB187" s="41">
        <f>I187/'1. Väestöennuste'!K187*1000</f>
        <v>0</v>
      </c>
      <c r="AC187" s="41">
        <f>J187/'1. Väestöennuste'!L187*1000</f>
        <v>0</v>
      </c>
      <c r="AD187" s="41">
        <f>K187/'1. Väestöennuste'!M187*1000</f>
        <v>-13.967445710217159</v>
      </c>
      <c r="AE187" s="41">
        <f>L187/'1. Väestöennuste'!N187*1000</f>
        <v>0</v>
      </c>
      <c r="AF187" s="41">
        <f>M187/'1. Väestöennuste'!O187*1000</f>
        <v>0</v>
      </c>
      <c r="AG187" s="41">
        <f>N187/'1. Väestöennuste'!P187*1000</f>
        <v>0</v>
      </c>
      <c r="AH187" s="41">
        <f>O187/'1. Väestöennuste'!Q187*1000</f>
        <v>0</v>
      </c>
      <c r="AI187" s="41">
        <f>P187/'1. Väestöennuste'!R187*1000</f>
        <v>0</v>
      </c>
    </row>
    <row r="188" spans="1:35" x14ac:dyDescent="0.2">
      <c r="A188" s="30">
        <v>578</v>
      </c>
      <c r="B188" s="31" t="s">
        <v>502</v>
      </c>
      <c r="C188" s="64">
        <v>0</v>
      </c>
      <c r="D188" s="64"/>
      <c r="E188" s="64">
        <v>0</v>
      </c>
      <c r="F188" s="65">
        <v>0</v>
      </c>
      <c r="G188" s="65">
        <v>0</v>
      </c>
      <c r="H188" s="41">
        <v>0</v>
      </c>
      <c r="I188" s="165">
        <v>0</v>
      </c>
      <c r="J188" s="41">
        <v>220.78200000000001</v>
      </c>
      <c r="K188" s="41">
        <v>0</v>
      </c>
      <c r="L188" s="41">
        <v>0</v>
      </c>
      <c r="M188" s="41">
        <v>0</v>
      </c>
      <c r="N188" s="41">
        <v>0</v>
      </c>
      <c r="O188" s="41">
        <v>0</v>
      </c>
      <c r="P188" s="41">
        <v>0</v>
      </c>
      <c r="T188" s="30">
        <v>578</v>
      </c>
      <c r="U188" s="31" t="s">
        <v>502</v>
      </c>
      <c r="V188" s="41">
        <f>C188/'1. Väestöennuste'!E188*1000</f>
        <v>0</v>
      </c>
      <c r="W188" s="41">
        <f>D188/'1. Väestöennuste'!F188*1000</f>
        <v>0</v>
      </c>
      <c r="X188" s="41">
        <f>E188/'1. Väestöennuste'!G188*1000</f>
        <v>0</v>
      </c>
      <c r="Y188" s="41">
        <f>F188/'1. Väestöennuste'!H188*1000</f>
        <v>0</v>
      </c>
      <c r="Z188" s="41">
        <f>G188/'1. Väestöennuste'!I188*1000</f>
        <v>0</v>
      </c>
      <c r="AA188" s="41">
        <f>H188/'1. Väestöennuste'!J188*1000</f>
        <v>0</v>
      </c>
      <c r="AB188" s="41">
        <f>I188/'1. Väestöennuste'!K188*1000</f>
        <v>0</v>
      </c>
      <c r="AC188" s="41">
        <f>J188/'1. Väestöennuste'!L188*1000</f>
        <v>71.22</v>
      </c>
      <c r="AD188" s="41">
        <f>K188/'1. Väestöennuste'!M188*1000</f>
        <v>0</v>
      </c>
      <c r="AE188" s="41">
        <f>L188/'1. Väestöennuste'!N188*1000</f>
        <v>0</v>
      </c>
      <c r="AF188" s="41">
        <f>M188/'1. Väestöennuste'!O188*1000</f>
        <v>0</v>
      </c>
      <c r="AG188" s="41">
        <f>N188/'1. Väestöennuste'!P188*1000</f>
        <v>0</v>
      </c>
      <c r="AH188" s="41">
        <f>O188/'1. Väestöennuste'!Q188*1000</f>
        <v>0</v>
      </c>
      <c r="AI188" s="41">
        <f>P188/'1. Väestöennuste'!R188*1000</f>
        <v>0</v>
      </c>
    </row>
    <row r="189" spans="1:35" x14ac:dyDescent="0.2">
      <c r="A189" s="30">
        <v>580</v>
      </c>
      <c r="B189" s="31" t="s">
        <v>503</v>
      </c>
      <c r="C189" s="64">
        <v>0</v>
      </c>
      <c r="D189" s="64"/>
      <c r="E189" s="64">
        <v>0</v>
      </c>
      <c r="F189" s="65">
        <v>0</v>
      </c>
      <c r="G189" s="65">
        <v>0</v>
      </c>
      <c r="H189" s="41">
        <v>0</v>
      </c>
      <c r="I189" s="165">
        <v>0</v>
      </c>
      <c r="J189" s="41">
        <v>0</v>
      </c>
      <c r="K189" s="41">
        <v>0</v>
      </c>
      <c r="L189" s="41">
        <v>0</v>
      </c>
      <c r="M189" s="41">
        <v>0</v>
      </c>
      <c r="N189" s="41">
        <v>0</v>
      </c>
      <c r="O189" s="41">
        <v>0</v>
      </c>
      <c r="P189" s="41">
        <v>0</v>
      </c>
      <c r="T189" s="30">
        <v>580</v>
      </c>
      <c r="U189" s="31" t="s">
        <v>503</v>
      </c>
      <c r="V189" s="41">
        <f>C189/'1. Väestöennuste'!E189*1000</f>
        <v>0</v>
      </c>
      <c r="W189" s="41">
        <f>D189/'1. Väestöennuste'!F189*1000</f>
        <v>0</v>
      </c>
      <c r="X189" s="41">
        <f>E189/'1. Väestöennuste'!G189*1000</f>
        <v>0</v>
      </c>
      <c r="Y189" s="41">
        <f>F189/'1. Väestöennuste'!H189*1000</f>
        <v>0</v>
      </c>
      <c r="Z189" s="41">
        <f>G189/'1. Väestöennuste'!I189*1000</f>
        <v>0</v>
      </c>
      <c r="AA189" s="41">
        <f>H189/'1. Väestöennuste'!J189*1000</f>
        <v>0</v>
      </c>
      <c r="AB189" s="41">
        <f>I189/'1. Väestöennuste'!K189*1000</f>
        <v>0</v>
      </c>
      <c r="AC189" s="41">
        <f>J189/'1. Väestöennuste'!L189*1000</f>
        <v>0</v>
      </c>
      <c r="AD189" s="41">
        <f>K189/'1. Väestöennuste'!M189*1000</f>
        <v>0</v>
      </c>
      <c r="AE189" s="41">
        <f>L189/'1. Väestöennuste'!N189*1000</f>
        <v>0</v>
      </c>
      <c r="AF189" s="41">
        <f>M189/'1. Väestöennuste'!O189*1000</f>
        <v>0</v>
      </c>
      <c r="AG189" s="41">
        <f>N189/'1. Väestöennuste'!P189*1000</f>
        <v>0</v>
      </c>
      <c r="AH189" s="41">
        <f>O189/'1. Väestöennuste'!Q189*1000</f>
        <v>0</v>
      </c>
      <c r="AI189" s="41">
        <f>P189/'1. Väestöennuste'!R189*1000</f>
        <v>0</v>
      </c>
    </row>
    <row r="190" spans="1:35" x14ac:dyDescent="0.2">
      <c r="A190" s="30">
        <v>581</v>
      </c>
      <c r="B190" s="31" t="s">
        <v>504</v>
      </c>
      <c r="C190" s="64">
        <v>0</v>
      </c>
      <c r="D190" s="64"/>
      <c r="E190" s="64">
        <v>0</v>
      </c>
      <c r="F190" s="65">
        <v>0</v>
      </c>
      <c r="G190" s="65">
        <v>0</v>
      </c>
      <c r="H190" s="41">
        <v>0</v>
      </c>
      <c r="I190" s="165">
        <v>0</v>
      </c>
      <c r="J190" s="41">
        <v>0</v>
      </c>
      <c r="K190" s="41">
        <v>0</v>
      </c>
      <c r="L190" s="41">
        <v>0</v>
      </c>
      <c r="M190" s="41">
        <v>0</v>
      </c>
      <c r="N190" s="41">
        <v>0</v>
      </c>
      <c r="O190" s="41">
        <v>0</v>
      </c>
      <c r="P190" s="41">
        <v>0</v>
      </c>
      <c r="T190" s="30">
        <v>581</v>
      </c>
      <c r="U190" s="31" t="s">
        <v>504</v>
      </c>
      <c r="V190" s="41">
        <f>C190/'1. Väestöennuste'!E190*1000</f>
        <v>0</v>
      </c>
      <c r="W190" s="41">
        <f>D190/'1. Väestöennuste'!F190*1000</f>
        <v>0</v>
      </c>
      <c r="X190" s="41">
        <f>E190/'1. Väestöennuste'!G190*1000</f>
        <v>0</v>
      </c>
      <c r="Y190" s="41">
        <f>F190/'1. Väestöennuste'!H190*1000</f>
        <v>0</v>
      </c>
      <c r="Z190" s="41">
        <f>G190/'1. Väestöennuste'!I190*1000</f>
        <v>0</v>
      </c>
      <c r="AA190" s="41">
        <f>H190/'1. Väestöennuste'!J190*1000</f>
        <v>0</v>
      </c>
      <c r="AB190" s="41">
        <f>I190/'1. Väestöennuste'!K190*1000</f>
        <v>0</v>
      </c>
      <c r="AC190" s="41">
        <f>J190/'1. Väestöennuste'!L190*1000</f>
        <v>0</v>
      </c>
      <c r="AD190" s="41">
        <f>K190/'1. Väestöennuste'!M190*1000</f>
        <v>0</v>
      </c>
      <c r="AE190" s="41">
        <f>L190/'1. Väestöennuste'!N190*1000</f>
        <v>0</v>
      </c>
      <c r="AF190" s="41">
        <f>M190/'1. Väestöennuste'!O190*1000</f>
        <v>0</v>
      </c>
      <c r="AG190" s="41">
        <f>N190/'1. Väestöennuste'!P190*1000</f>
        <v>0</v>
      </c>
      <c r="AH190" s="41">
        <f>O190/'1. Väestöennuste'!Q190*1000</f>
        <v>0</v>
      </c>
      <c r="AI190" s="41">
        <f>P190/'1. Väestöennuste'!R190*1000</f>
        <v>0</v>
      </c>
    </row>
    <row r="191" spans="1:35" x14ac:dyDescent="0.2">
      <c r="A191" s="30">
        <v>583</v>
      </c>
      <c r="B191" s="31" t="s">
        <v>505</v>
      </c>
      <c r="C191" s="64">
        <v>-277</v>
      </c>
      <c r="D191" s="64"/>
      <c r="E191" s="64">
        <v>0</v>
      </c>
      <c r="F191" s="65">
        <v>0</v>
      </c>
      <c r="G191" s="65">
        <v>0</v>
      </c>
      <c r="H191" s="41">
        <v>0</v>
      </c>
      <c r="I191" s="165">
        <v>0</v>
      </c>
      <c r="J191" s="41">
        <v>0</v>
      </c>
      <c r="K191" s="41">
        <v>0</v>
      </c>
      <c r="L191" s="41"/>
      <c r="M191" s="41"/>
      <c r="N191" s="41"/>
      <c r="O191" s="41">
        <v>0</v>
      </c>
      <c r="P191" s="41">
        <v>0</v>
      </c>
      <c r="T191" s="30">
        <v>583</v>
      </c>
      <c r="U191" s="31" t="s">
        <v>505</v>
      </c>
      <c r="V191" s="41">
        <f>C191/'1. Väestöennuste'!E191*1000</f>
        <v>-289.14405010438418</v>
      </c>
      <c r="W191" s="41">
        <f>D191/'1. Väestöennuste'!F191*1000</f>
        <v>0</v>
      </c>
      <c r="X191" s="41">
        <f>E191/'1. Väestöennuste'!G191*1000</f>
        <v>0</v>
      </c>
      <c r="Y191" s="41">
        <f>F191/'1. Väestöennuste'!H191*1000</f>
        <v>0</v>
      </c>
      <c r="Z191" s="41">
        <f>G191/'1. Väestöennuste'!I191*1000</f>
        <v>0</v>
      </c>
      <c r="AA191" s="41">
        <f>H191/'1. Väestöennuste'!J191*1000</f>
        <v>0</v>
      </c>
      <c r="AB191" s="41">
        <f>I191/'1. Väestöennuste'!K191*1000</f>
        <v>0</v>
      </c>
      <c r="AC191" s="41">
        <f>J191/'1. Väestöennuste'!L191*1000</f>
        <v>0</v>
      </c>
      <c r="AD191" s="41">
        <f>K191/'1. Väestöennuste'!M191*1000</f>
        <v>0</v>
      </c>
      <c r="AE191" s="41">
        <f>L191/'1. Väestöennuste'!N191*1000</f>
        <v>0</v>
      </c>
      <c r="AF191" s="41">
        <f>M191/'1. Väestöennuste'!O191*1000</f>
        <v>0</v>
      </c>
      <c r="AG191" s="41">
        <f>N191/'1. Väestöennuste'!P191*1000</f>
        <v>0</v>
      </c>
      <c r="AH191" s="41">
        <f>O191/'1. Väestöennuste'!Q191*1000</f>
        <v>0</v>
      </c>
      <c r="AI191" s="41">
        <f>P191/'1. Väestöennuste'!R191*1000</f>
        <v>0</v>
      </c>
    </row>
    <row r="192" spans="1:35" x14ac:dyDescent="0.2">
      <c r="A192" s="30">
        <v>584</v>
      </c>
      <c r="B192" s="31" t="s">
        <v>506</v>
      </c>
      <c r="C192" s="64">
        <v>0</v>
      </c>
      <c r="D192" s="64"/>
      <c r="E192" s="64">
        <v>0</v>
      </c>
      <c r="F192" s="65">
        <v>0</v>
      </c>
      <c r="G192" s="65">
        <v>0</v>
      </c>
      <c r="H192" s="41">
        <v>0</v>
      </c>
      <c r="I192" s="165">
        <v>0</v>
      </c>
      <c r="J192" s="41">
        <v>0</v>
      </c>
      <c r="K192" s="41">
        <v>0</v>
      </c>
      <c r="L192" s="41">
        <v>0</v>
      </c>
      <c r="M192" s="41">
        <v>0</v>
      </c>
      <c r="N192" s="41">
        <v>0</v>
      </c>
      <c r="O192" s="41">
        <v>0</v>
      </c>
      <c r="P192" s="41">
        <v>0</v>
      </c>
      <c r="T192" s="30">
        <v>584</v>
      </c>
      <c r="U192" s="31" t="s">
        <v>506</v>
      </c>
      <c r="V192" s="41">
        <f>C192/'1. Väestöennuste'!E192*1000</f>
        <v>0</v>
      </c>
      <c r="W192" s="41">
        <f>D192/'1. Väestöennuste'!F192*1000</f>
        <v>0</v>
      </c>
      <c r="X192" s="41">
        <f>E192/'1. Väestöennuste'!G192*1000</f>
        <v>0</v>
      </c>
      <c r="Y192" s="41">
        <f>F192/'1. Väestöennuste'!H192*1000</f>
        <v>0</v>
      </c>
      <c r="Z192" s="41">
        <f>G192/'1. Väestöennuste'!I192*1000</f>
        <v>0</v>
      </c>
      <c r="AA192" s="41">
        <f>H192/'1. Väestöennuste'!J192*1000</f>
        <v>0</v>
      </c>
      <c r="AB192" s="41">
        <f>I192/'1. Väestöennuste'!K192*1000</f>
        <v>0</v>
      </c>
      <c r="AC192" s="41">
        <f>J192/'1. Väestöennuste'!L192*1000</f>
        <v>0</v>
      </c>
      <c r="AD192" s="41">
        <f>K192/'1. Väestöennuste'!M192*1000</f>
        <v>0</v>
      </c>
      <c r="AE192" s="41">
        <f>L192/'1. Väestöennuste'!N192*1000</f>
        <v>0</v>
      </c>
      <c r="AF192" s="41">
        <f>M192/'1. Väestöennuste'!O192*1000</f>
        <v>0</v>
      </c>
      <c r="AG192" s="41">
        <f>N192/'1. Väestöennuste'!P192*1000</f>
        <v>0</v>
      </c>
      <c r="AH192" s="41">
        <f>O192/'1. Väestöennuste'!Q192*1000</f>
        <v>0</v>
      </c>
      <c r="AI192" s="41">
        <f>P192/'1. Väestöennuste'!R192*1000</f>
        <v>0</v>
      </c>
    </row>
    <row r="193" spans="1:35" x14ac:dyDescent="0.2">
      <c r="A193" s="30">
        <v>588</v>
      </c>
      <c r="B193" s="31" t="s">
        <v>507</v>
      </c>
      <c r="C193" s="64">
        <v>0</v>
      </c>
      <c r="D193" s="64"/>
      <c r="E193" s="64">
        <v>0</v>
      </c>
      <c r="F193" s="65">
        <v>0</v>
      </c>
      <c r="G193" s="65">
        <v>0</v>
      </c>
      <c r="H193" s="41">
        <v>0</v>
      </c>
      <c r="I193" s="165">
        <v>0</v>
      </c>
      <c r="J193" s="41">
        <v>726.10102000000006</v>
      </c>
      <c r="K193" s="41">
        <v>973.20245999999997</v>
      </c>
      <c r="L193" s="41">
        <v>1185.9100000000001</v>
      </c>
      <c r="M193" s="41">
        <v>0</v>
      </c>
      <c r="N193" s="41">
        <v>0</v>
      </c>
      <c r="O193" s="41">
        <v>0</v>
      </c>
      <c r="P193" s="41">
        <v>0</v>
      </c>
      <c r="T193" s="30">
        <v>588</v>
      </c>
      <c r="U193" s="31" t="s">
        <v>507</v>
      </c>
      <c r="V193" s="41">
        <f>C193/'1. Väestöennuste'!E193*1000</f>
        <v>0</v>
      </c>
      <c r="W193" s="41">
        <f>D193/'1. Väestöennuste'!F193*1000</f>
        <v>0</v>
      </c>
      <c r="X193" s="41">
        <f>E193/'1. Väestöennuste'!G193*1000</f>
        <v>0</v>
      </c>
      <c r="Y193" s="41">
        <f>F193/'1. Väestöennuste'!H193*1000</f>
        <v>0</v>
      </c>
      <c r="Z193" s="41">
        <f>G193/'1. Väestöennuste'!I193*1000</f>
        <v>0</v>
      </c>
      <c r="AA193" s="41">
        <f>H193/'1. Väestöennuste'!J193*1000</f>
        <v>0</v>
      </c>
      <c r="AB193" s="41">
        <f>I193/'1. Väestöennuste'!K193*1000</f>
        <v>0</v>
      </c>
      <c r="AC193" s="41">
        <f>J193/'1. Väestöennuste'!L193*1000</f>
        <v>453.81313750000004</v>
      </c>
      <c r="AD193" s="41">
        <f>K193/'1. Väestöennuste'!M193*1000</f>
        <v>617.122675967026</v>
      </c>
      <c r="AE193" s="41">
        <f>L193/'1. Väestöennuste'!N193*1000</f>
        <v>768.07642487046633</v>
      </c>
      <c r="AF193" s="41" t="e">
        <f>M193/'1. Väestöennuste'!O193*1000</f>
        <v>#DIV/0!</v>
      </c>
      <c r="AG193" s="41" t="e">
        <f>N193/'1. Väestöennuste'!P193*1000</f>
        <v>#DIV/0!</v>
      </c>
      <c r="AH193" s="41" t="e">
        <f>O193/'1. Väestöennuste'!Q193*1000</f>
        <v>#DIV/0!</v>
      </c>
      <c r="AI193" s="41" t="e">
        <f>P193/'1. Väestöennuste'!R193*1000</f>
        <v>#DIV/0!</v>
      </c>
    </row>
    <row r="194" spans="1:35" x14ac:dyDescent="0.2">
      <c r="A194" s="30">
        <v>592</v>
      </c>
      <c r="B194" s="31" t="s">
        <v>508</v>
      </c>
      <c r="C194" s="64">
        <v>0</v>
      </c>
      <c r="D194" s="64"/>
      <c r="E194" s="64">
        <v>0</v>
      </c>
      <c r="F194" s="65">
        <v>0</v>
      </c>
      <c r="G194" s="65">
        <v>0</v>
      </c>
      <c r="H194" s="41">
        <v>0</v>
      </c>
      <c r="I194" s="165">
        <v>0</v>
      </c>
      <c r="J194" s="41">
        <v>0</v>
      </c>
      <c r="K194" s="41">
        <v>0</v>
      </c>
      <c r="L194" s="41">
        <v>0</v>
      </c>
      <c r="M194" s="41">
        <v>0</v>
      </c>
      <c r="N194" s="41">
        <v>0</v>
      </c>
      <c r="O194" s="41">
        <v>0</v>
      </c>
      <c r="P194" s="41">
        <v>0</v>
      </c>
      <c r="T194" s="30">
        <v>592</v>
      </c>
      <c r="U194" s="31" t="s">
        <v>508</v>
      </c>
      <c r="V194" s="41">
        <f>C194/'1. Väestöennuste'!E194*1000</f>
        <v>0</v>
      </c>
      <c r="W194" s="41">
        <f>D194/'1. Väestöennuste'!F194*1000</f>
        <v>0</v>
      </c>
      <c r="X194" s="41">
        <f>E194/'1. Väestöennuste'!G194*1000</f>
        <v>0</v>
      </c>
      <c r="Y194" s="41">
        <f>F194/'1. Väestöennuste'!H194*1000</f>
        <v>0</v>
      </c>
      <c r="Z194" s="41">
        <f>G194/'1. Väestöennuste'!I194*1000</f>
        <v>0</v>
      </c>
      <c r="AA194" s="41">
        <f>H194/'1. Väestöennuste'!J194*1000</f>
        <v>0</v>
      </c>
      <c r="AB194" s="41">
        <f>I194/'1. Väestöennuste'!K194*1000</f>
        <v>0</v>
      </c>
      <c r="AC194" s="41">
        <f>J194/'1. Väestöennuste'!L194*1000</f>
        <v>0</v>
      </c>
      <c r="AD194" s="41">
        <f>K194/'1. Väestöennuste'!M194*1000</f>
        <v>0</v>
      </c>
      <c r="AE194" s="41">
        <f>L194/'1. Väestöennuste'!N194*1000</f>
        <v>0</v>
      </c>
      <c r="AF194" s="41">
        <f>M194/'1. Väestöennuste'!O194*1000</f>
        <v>0</v>
      </c>
      <c r="AG194" s="41">
        <f>N194/'1. Väestöennuste'!P194*1000</f>
        <v>0</v>
      </c>
      <c r="AH194" s="41">
        <f>O194/'1. Väestöennuste'!Q194*1000</f>
        <v>0</v>
      </c>
      <c r="AI194" s="41">
        <f>P194/'1. Väestöennuste'!R194*1000</f>
        <v>0</v>
      </c>
    </row>
    <row r="195" spans="1:35" x14ac:dyDescent="0.2">
      <c r="A195" s="30">
        <v>593</v>
      </c>
      <c r="B195" s="31" t="s">
        <v>509</v>
      </c>
      <c r="C195" s="64">
        <v>7100</v>
      </c>
      <c r="D195" s="64"/>
      <c r="E195" s="64">
        <v>0</v>
      </c>
      <c r="F195" s="65">
        <v>0</v>
      </c>
      <c r="G195" s="65">
        <v>0</v>
      </c>
      <c r="H195" s="41">
        <v>0</v>
      </c>
      <c r="I195" s="165">
        <v>0</v>
      </c>
      <c r="J195" s="41">
        <v>0</v>
      </c>
      <c r="K195" s="41">
        <v>0</v>
      </c>
      <c r="L195" s="41">
        <v>0</v>
      </c>
      <c r="M195" s="41">
        <v>0</v>
      </c>
      <c r="N195" s="41">
        <v>0</v>
      </c>
      <c r="O195" s="41">
        <v>0</v>
      </c>
      <c r="P195" s="41">
        <v>0</v>
      </c>
      <c r="T195" s="30">
        <v>593</v>
      </c>
      <c r="U195" s="31" t="s">
        <v>509</v>
      </c>
      <c r="V195" s="41">
        <f>C195/'1. Väestöennuste'!E195*1000</f>
        <v>377.63948726131594</v>
      </c>
      <c r="W195" s="41">
        <f>D195/'1. Väestöennuste'!F195*1000</f>
        <v>0</v>
      </c>
      <c r="X195" s="41">
        <f>E195/'1. Väestöennuste'!G195*1000</f>
        <v>0</v>
      </c>
      <c r="Y195" s="41">
        <f>F195/'1. Väestöennuste'!H195*1000</f>
        <v>0</v>
      </c>
      <c r="Z195" s="41">
        <f>G195/'1. Väestöennuste'!I195*1000</f>
        <v>0</v>
      </c>
      <c r="AA195" s="41">
        <f>H195/'1. Väestöennuste'!J195*1000</f>
        <v>0</v>
      </c>
      <c r="AB195" s="41">
        <f>I195/'1. Väestöennuste'!K195*1000</f>
        <v>0</v>
      </c>
      <c r="AC195" s="41">
        <f>J195/'1. Väestöennuste'!L195*1000</f>
        <v>0</v>
      </c>
      <c r="AD195" s="41">
        <f>K195/'1. Väestöennuste'!M195*1000</f>
        <v>0</v>
      </c>
      <c r="AE195" s="41">
        <f>L195/'1. Väestöennuste'!N195*1000</f>
        <v>0</v>
      </c>
      <c r="AF195" s="41">
        <f>M195/'1. Väestöennuste'!O195*1000</f>
        <v>0</v>
      </c>
      <c r="AG195" s="41">
        <f>N195/'1. Väestöennuste'!P195*1000</f>
        <v>0</v>
      </c>
      <c r="AH195" s="41">
        <f>O195/'1. Väestöennuste'!Q195*1000</f>
        <v>0</v>
      </c>
      <c r="AI195" s="41">
        <f>P195/'1. Väestöennuste'!R195*1000</f>
        <v>0</v>
      </c>
    </row>
    <row r="196" spans="1:35" x14ac:dyDescent="0.2">
      <c r="A196" s="30">
        <v>595</v>
      </c>
      <c r="B196" s="31" t="s">
        <v>510</v>
      </c>
      <c r="C196" s="64">
        <v>345</v>
      </c>
      <c r="D196" s="64">
        <v>11</v>
      </c>
      <c r="E196" s="64">
        <v>0</v>
      </c>
      <c r="F196" s="65">
        <v>0</v>
      </c>
      <c r="G196" s="65">
        <v>0</v>
      </c>
      <c r="H196" s="41">
        <v>0</v>
      </c>
      <c r="I196" s="165">
        <v>0</v>
      </c>
      <c r="J196" s="41">
        <v>0</v>
      </c>
      <c r="K196" s="41">
        <v>0</v>
      </c>
      <c r="L196" s="41">
        <v>0</v>
      </c>
      <c r="M196" s="41">
        <v>0</v>
      </c>
      <c r="N196" s="41">
        <v>0</v>
      </c>
      <c r="O196" s="41">
        <v>0</v>
      </c>
      <c r="P196" s="41">
        <v>0</v>
      </c>
      <c r="T196" s="30">
        <v>595</v>
      </c>
      <c r="U196" s="31" t="s">
        <v>510</v>
      </c>
      <c r="V196" s="41">
        <f>C196/'1. Väestöennuste'!E196*1000</f>
        <v>72.784810126582272</v>
      </c>
      <c r="W196" s="41">
        <f>D196/'1. Väestöennuste'!F196*1000</f>
        <v>2.3419203747072599</v>
      </c>
      <c r="X196" s="41">
        <f>E196/'1. Väestöennuste'!G196*1000</f>
        <v>0</v>
      </c>
      <c r="Y196" s="41">
        <f>F196/'1. Väestöennuste'!H196*1000</f>
        <v>0</v>
      </c>
      <c r="Z196" s="41">
        <f>G196/'1. Väestöennuste'!I196*1000</f>
        <v>0</v>
      </c>
      <c r="AA196" s="41">
        <f>H196/'1. Väestöennuste'!J196*1000</f>
        <v>0</v>
      </c>
      <c r="AB196" s="41">
        <f>I196/'1. Väestöennuste'!K196*1000</f>
        <v>0</v>
      </c>
      <c r="AC196" s="41">
        <f>J196/'1. Väestöennuste'!L196*1000</f>
        <v>0</v>
      </c>
      <c r="AD196" s="41">
        <f>K196/'1. Väestöennuste'!M196*1000</f>
        <v>0</v>
      </c>
      <c r="AE196" s="41">
        <f>L196/'1. Väestöennuste'!N196*1000</f>
        <v>0</v>
      </c>
      <c r="AF196" s="41">
        <f>M196/'1. Väestöennuste'!O196*1000</f>
        <v>0</v>
      </c>
      <c r="AG196" s="41">
        <f>N196/'1. Väestöennuste'!P196*1000</f>
        <v>0</v>
      </c>
      <c r="AH196" s="41">
        <f>O196/'1. Väestöennuste'!Q196*1000</f>
        <v>0</v>
      </c>
      <c r="AI196" s="41">
        <f>P196/'1. Väestöennuste'!R196*1000</f>
        <v>0</v>
      </c>
    </row>
    <row r="197" spans="1:35" x14ac:dyDescent="0.2">
      <c r="A197" s="30">
        <v>598</v>
      </c>
      <c r="B197" s="31" t="s">
        <v>511</v>
      </c>
      <c r="C197" s="64">
        <v>0</v>
      </c>
      <c r="D197" s="64"/>
      <c r="E197" s="64">
        <v>0</v>
      </c>
      <c r="F197" s="65">
        <v>0</v>
      </c>
      <c r="G197" s="65">
        <v>0</v>
      </c>
      <c r="H197" s="41">
        <v>0</v>
      </c>
      <c r="I197" s="165">
        <v>0</v>
      </c>
      <c r="J197" s="41">
        <v>0</v>
      </c>
      <c r="K197" s="41">
        <v>0</v>
      </c>
      <c r="L197" s="41">
        <v>0</v>
      </c>
      <c r="M197" s="41">
        <v>0</v>
      </c>
      <c r="N197" s="41">
        <v>0</v>
      </c>
      <c r="O197" s="41">
        <v>0</v>
      </c>
      <c r="P197" s="41">
        <v>0</v>
      </c>
      <c r="T197" s="30">
        <v>598</v>
      </c>
      <c r="U197" s="31" t="s">
        <v>511</v>
      </c>
      <c r="V197" s="41">
        <f>C197/'1. Väestöennuste'!E197*1000</f>
        <v>0</v>
      </c>
      <c r="W197" s="41">
        <f>D197/'1. Väestöennuste'!F197*1000</f>
        <v>0</v>
      </c>
      <c r="X197" s="41">
        <f>E197/'1. Väestöennuste'!G197*1000</f>
        <v>0</v>
      </c>
      <c r="Y197" s="41">
        <f>F197/'1. Väestöennuste'!H197*1000</f>
        <v>0</v>
      </c>
      <c r="Z197" s="41">
        <f>G197/'1. Väestöennuste'!I197*1000</f>
        <v>0</v>
      </c>
      <c r="AA197" s="41">
        <f>H197/'1. Väestöennuste'!J197*1000</f>
        <v>0</v>
      </c>
      <c r="AB197" s="41">
        <f>I197/'1. Väestöennuste'!K197*1000</f>
        <v>0</v>
      </c>
      <c r="AC197" s="41">
        <f>J197/'1. Väestöennuste'!L197*1000</f>
        <v>0</v>
      </c>
      <c r="AD197" s="41">
        <f>K197/'1. Väestöennuste'!M197*1000</f>
        <v>0</v>
      </c>
      <c r="AE197" s="41">
        <f>L197/'1. Väestöennuste'!N197*1000</f>
        <v>0</v>
      </c>
      <c r="AF197" s="41">
        <f>M197/'1. Väestöennuste'!O197*1000</f>
        <v>0</v>
      </c>
      <c r="AG197" s="41">
        <f>N197/'1. Väestöennuste'!P197*1000</f>
        <v>0</v>
      </c>
      <c r="AH197" s="41">
        <f>O197/'1. Väestöennuste'!Q197*1000</f>
        <v>0</v>
      </c>
      <c r="AI197" s="41">
        <f>P197/'1. Väestöennuste'!R197*1000</f>
        <v>0</v>
      </c>
    </row>
    <row r="198" spans="1:35" x14ac:dyDescent="0.2">
      <c r="A198" s="30">
        <v>599</v>
      </c>
      <c r="B198" s="31" t="s">
        <v>512</v>
      </c>
      <c r="C198" s="64">
        <v>0</v>
      </c>
      <c r="D198" s="64"/>
      <c r="E198" s="64">
        <v>0</v>
      </c>
      <c r="F198" s="65">
        <v>0</v>
      </c>
      <c r="G198" s="65">
        <v>0</v>
      </c>
      <c r="H198" s="41">
        <v>0</v>
      </c>
      <c r="I198" s="165">
        <v>0</v>
      </c>
      <c r="J198" s="41">
        <v>0</v>
      </c>
      <c r="K198" s="41">
        <v>0</v>
      </c>
      <c r="L198" s="41">
        <v>0</v>
      </c>
      <c r="M198" s="41">
        <v>0</v>
      </c>
      <c r="N198" s="41">
        <v>0</v>
      </c>
      <c r="O198" s="41">
        <v>0</v>
      </c>
      <c r="P198" s="41">
        <v>0</v>
      </c>
      <c r="T198" s="30">
        <v>599</v>
      </c>
      <c r="U198" s="31" t="s">
        <v>512</v>
      </c>
      <c r="V198" s="41">
        <f>C198/'1. Väestöennuste'!E198*1000</f>
        <v>0</v>
      </c>
      <c r="W198" s="41">
        <f>D198/'1. Väestöennuste'!F198*1000</f>
        <v>0</v>
      </c>
      <c r="X198" s="41">
        <f>E198/'1. Väestöennuste'!G198*1000</f>
        <v>0</v>
      </c>
      <c r="Y198" s="41">
        <f>F198/'1. Väestöennuste'!H198*1000</f>
        <v>0</v>
      </c>
      <c r="Z198" s="41">
        <f>G198/'1. Väestöennuste'!I198*1000</f>
        <v>0</v>
      </c>
      <c r="AA198" s="41">
        <f>H198/'1. Väestöennuste'!J198*1000</f>
        <v>0</v>
      </c>
      <c r="AB198" s="41">
        <f>I198/'1. Väestöennuste'!K198*1000</f>
        <v>0</v>
      </c>
      <c r="AC198" s="41">
        <f>J198/'1. Väestöennuste'!L198*1000</f>
        <v>0</v>
      </c>
      <c r="AD198" s="41">
        <f>K198/'1. Väestöennuste'!M198*1000</f>
        <v>0</v>
      </c>
      <c r="AE198" s="41">
        <f>L198/'1. Väestöennuste'!N198*1000</f>
        <v>0</v>
      </c>
      <c r="AF198" s="41">
        <f>M198/'1. Väestöennuste'!O198*1000</f>
        <v>0</v>
      </c>
      <c r="AG198" s="41">
        <f>N198/'1. Väestöennuste'!P198*1000</f>
        <v>0</v>
      </c>
      <c r="AH198" s="41">
        <f>O198/'1. Väestöennuste'!Q198*1000</f>
        <v>0</v>
      </c>
      <c r="AI198" s="41">
        <f>P198/'1. Väestöennuste'!R198*1000</f>
        <v>0</v>
      </c>
    </row>
    <row r="199" spans="1:35" x14ac:dyDescent="0.2">
      <c r="A199" s="30">
        <v>601</v>
      </c>
      <c r="B199" s="31" t="s">
        <v>513</v>
      </c>
      <c r="C199" s="64">
        <v>0</v>
      </c>
      <c r="D199" s="64"/>
      <c r="E199" s="64">
        <v>0</v>
      </c>
      <c r="F199" s="65">
        <v>0</v>
      </c>
      <c r="G199" s="65">
        <v>224</v>
      </c>
      <c r="H199" s="41">
        <v>-4443</v>
      </c>
      <c r="I199" s="165">
        <v>-2058.9524099999999</v>
      </c>
      <c r="J199" s="41">
        <v>0</v>
      </c>
      <c r="K199" s="41">
        <v>0</v>
      </c>
      <c r="L199" s="41">
        <v>0</v>
      </c>
      <c r="M199" s="41">
        <v>0</v>
      </c>
      <c r="N199" s="41">
        <v>0</v>
      </c>
      <c r="O199" s="41">
        <v>0</v>
      </c>
      <c r="P199" s="41">
        <v>0</v>
      </c>
      <c r="T199" s="30">
        <v>601</v>
      </c>
      <c r="U199" s="31" t="s">
        <v>513</v>
      </c>
      <c r="V199" s="41">
        <f>C199/'1. Väestöennuste'!E199*1000</f>
        <v>0</v>
      </c>
      <c r="W199" s="41">
        <f>D199/'1. Väestöennuste'!F199*1000</f>
        <v>0</v>
      </c>
      <c r="X199" s="41">
        <f>E199/'1. Väestöennuste'!G199*1000</f>
        <v>0</v>
      </c>
      <c r="Y199" s="41">
        <f>F199/'1. Väestöennuste'!H199*1000</f>
        <v>0</v>
      </c>
      <c r="Z199" s="41">
        <f>G199/'1. Väestöennuste'!I199*1000</f>
        <v>55.55555555555555</v>
      </c>
      <c r="AA199" s="41">
        <f>H199/'1. Väestöennuste'!J199*1000</f>
        <v>-1130.246756550496</v>
      </c>
      <c r="AB199" s="41">
        <f>I199/'1. Väestöennuste'!K199*1000</f>
        <v>-531.61694035631285</v>
      </c>
      <c r="AC199" s="41">
        <f>J199/'1. Väestöennuste'!L199*1000</f>
        <v>0</v>
      </c>
      <c r="AD199" s="41">
        <f>K199/'1. Väestöennuste'!M199*1000</f>
        <v>0</v>
      </c>
      <c r="AE199" s="41">
        <f>L199/'1. Väestöennuste'!N199*1000</f>
        <v>0</v>
      </c>
      <c r="AF199" s="41">
        <f>M199/'1. Väestöennuste'!O199*1000</f>
        <v>0</v>
      </c>
      <c r="AG199" s="41">
        <f>N199/'1. Väestöennuste'!P199*1000</f>
        <v>0</v>
      </c>
      <c r="AH199" s="41">
        <f>O199/'1. Väestöennuste'!Q199*1000</f>
        <v>0</v>
      </c>
      <c r="AI199" s="41">
        <f>P199/'1. Väestöennuste'!R199*1000</f>
        <v>0</v>
      </c>
    </row>
    <row r="200" spans="1:35" x14ac:dyDescent="0.2">
      <c r="A200" s="30">
        <v>604</v>
      </c>
      <c r="B200" s="31" t="s">
        <v>514</v>
      </c>
      <c r="C200" s="64">
        <v>0</v>
      </c>
      <c r="D200" s="64"/>
      <c r="E200" s="64">
        <v>0</v>
      </c>
      <c r="F200" s="65">
        <v>0</v>
      </c>
      <c r="G200" s="65">
        <v>0</v>
      </c>
      <c r="H200" s="41">
        <v>0</v>
      </c>
      <c r="I200" s="165">
        <v>0</v>
      </c>
      <c r="J200" s="41">
        <v>0</v>
      </c>
      <c r="K200" s="41">
        <v>0</v>
      </c>
      <c r="L200" s="41">
        <v>0</v>
      </c>
      <c r="M200" s="41">
        <v>0</v>
      </c>
      <c r="N200" s="41">
        <v>0</v>
      </c>
      <c r="O200" s="41">
        <v>0</v>
      </c>
      <c r="P200" s="41">
        <v>0</v>
      </c>
      <c r="T200" s="30">
        <v>604</v>
      </c>
      <c r="U200" s="31" t="s">
        <v>514</v>
      </c>
      <c r="V200" s="41">
        <f>C200/'1. Väestöennuste'!E200*1000</f>
        <v>0</v>
      </c>
      <c r="W200" s="41">
        <f>D200/'1. Väestöennuste'!F200*1000</f>
        <v>0</v>
      </c>
      <c r="X200" s="41">
        <f>E200/'1. Väestöennuste'!G200*1000</f>
        <v>0</v>
      </c>
      <c r="Y200" s="41">
        <f>F200/'1. Väestöennuste'!H200*1000</f>
        <v>0</v>
      </c>
      <c r="Z200" s="41">
        <f>G200/'1. Väestöennuste'!I200*1000</f>
        <v>0</v>
      </c>
      <c r="AA200" s="41">
        <f>H200/'1. Väestöennuste'!J200*1000</f>
        <v>0</v>
      </c>
      <c r="AB200" s="41">
        <f>I200/'1. Väestöennuste'!K200*1000</f>
        <v>0</v>
      </c>
      <c r="AC200" s="41">
        <f>J200/'1. Väestöennuste'!L200*1000</f>
        <v>0</v>
      </c>
      <c r="AD200" s="41">
        <f>K200/'1. Väestöennuste'!M200*1000</f>
        <v>0</v>
      </c>
      <c r="AE200" s="41">
        <f>L200/'1. Väestöennuste'!N200*1000</f>
        <v>0</v>
      </c>
      <c r="AF200" s="41">
        <f>M200/'1. Väestöennuste'!O200*1000</f>
        <v>0</v>
      </c>
      <c r="AG200" s="41">
        <f>N200/'1. Väestöennuste'!P200*1000</f>
        <v>0</v>
      </c>
      <c r="AH200" s="41">
        <f>O200/'1. Väestöennuste'!Q200*1000</f>
        <v>0</v>
      </c>
      <c r="AI200" s="41">
        <f>P200/'1. Väestöennuste'!R200*1000</f>
        <v>0</v>
      </c>
    </row>
    <row r="201" spans="1:35" x14ac:dyDescent="0.2">
      <c r="A201" s="30">
        <v>607</v>
      </c>
      <c r="B201" s="31" t="s">
        <v>515</v>
      </c>
      <c r="C201" s="64">
        <v>0</v>
      </c>
      <c r="D201" s="64"/>
      <c r="E201" s="64">
        <v>0</v>
      </c>
      <c r="F201" s="65">
        <v>0</v>
      </c>
      <c r="G201" s="65">
        <v>0</v>
      </c>
      <c r="H201" s="41">
        <v>0</v>
      </c>
      <c r="I201" s="165">
        <v>0</v>
      </c>
      <c r="J201" s="41">
        <v>0</v>
      </c>
      <c r="K201" s="41">
        <v>-1173.114</v>
      </c>
      <c r="L201" s="41">
        <v>0</v>
      </c>
      <c r="M201" s="41">
        <v>0</v>
      </c>
      <c r="N201" s="41">
        <v>0</v>
      </c>
      <c r="O201" s="41">
        <v>0</v>
      </c>
      <c r="P201" s="41">
        <v>0</v>
      </c>
      <c r="T201" s="30">
        <v>607</v>
      </c>
      <c r="U201" s="31" t="s">
        <v>515</v>
      </c>
      <c r="V201" s="41">
        <f>C201/'1. Väestöennuste'!E201*1000</f>
        <v>0</v>
      </c>
      <c r="W201" s="41">
        <f>D201/'1. Väestöennuste'!F201*1000</f>
        <v>0</v>
      </c>
      <c r="X201" s="41">
        <f>E201/'1. Väestöennuste'!G201*1000</f>
        <v>0</v>
      </c>
      <c r="Y201" s="41">
        <f>F201/'1. Väestöennuste'!H201*1000</f>
        <v>0</v>
      </c>
      <c r="Z201" s="41">
        <f>G201/'1. Väestöennuste'!I201*1000</f>
        <v>0</v>
      </c>
      <c r="AA201" s="41">
        <f>H201/'1. Väestöennuste'!J201*1000</f>
        <v>0</v>
      </c>
      <c r="AB201" s="41">
        <f>I201/'1. Väestöennuste'!K201*1000</f>
        <v>0</v>
      </c>
      <c r="AC201" s="41">
        <f>J201/'1. Väestöennuste'!L201*1000</f>
        <v>0</v>
      </c>
      <c r="AD201" s="41">
        <f>K201/'1. Väestöennuste'!M201*1000</f>
        <v>-288.6599409448819</v>
      </c>
      <c r="AE201" s="41">
        <f>L201/'1. Väestöennuste'!N201*1000</f>
        <v>0</v>
      </c>
      <c r="AF201" s="41">
        <f>M201/'1. Väestöennuste'!O201*1000</f>
        <v>0</v>
      </c>
      <c r="AG201" s="41">
        <f>N201/'1. Väestöennuste'!P201*1000</f>
        <v>0</v>
      </c>
      <c r="AH201" s="41">
        <f>O201/'1. Väestöennuste'!Q201*1000</f>
        <v>0</v>
      </c>
      <c r="AI201" s="41">
        <f>P201/'1. Väestöennuste'!R201*1000</f>
        <v>0</v>
      </c>
    </row>
    <row r="202" spans="1:35" x14ac:dyDescent="0.2">
      <c r="A202" s="30">
        <v>608</v>
      </c>
      <c r="B202" s="31" t="s">
        <v>516</v>
      </c>
      <c r="C202" s="64">
        <v>0</v>
      </c>
      <c r="D202" s="64"/>
      <c r="E202" s="64">
        <v>0</v>
      </c>
      <c r="F202" s="65">
        <v>0</v>
      </c>
      <c r="G202" s="65">
        <v>0</v>
      </c>
      <c r="H202" s="41">
        <v>0</v>
      </c>
      <c r="I202" s="165">
        <v>0</v>
      </c>
      <c r="J202" s="41">
        <v>0</v>
      </c>
      <c r="K202" s="41">
        <v>0</v>
      </c>
      <c r="L202" s="41">
        <v>0</v>
      </c>
      <c r="M202" s="41">
        <v>0</v>
      </c>
      <c r="N202" s="41">
        <v>0</v>
      </c>
      <c r="O202" s="41">
        <v>0</v>
      </c>
      <c r="P202" s="41">
        <v>0</v>
      </c>
      <c r="T202" s="30">
        <v>608</v>
      </c>
      <c r="U202" s="31" t="s">
        <v>516</v>
      </c>
      <c r="V202" s="41">
        <f>C202/'1. Väestöennuste'!E202*1000</f>
        <v>0</v>
      </c>
      <c r="W202" s="41">
        <f>D202/'1. Väestöennuste'!F202*1000</f>
        <v>0</v>
      </c>
      <c r="X202" s="41">
        <f>E202/'1. Väestöennuste'!G202*1000</f>
        <v>0</v>
      </c>
      <c r="Y202" s="41">
        <f>F202/'1. Väestöennuste'!H202*1000</f>
        <v>0</v>
      </c>
      <c r="Z202" s="41">
        <f>G202/'1. Väestöennuste'!I202*1000</f>
        <v>0</v>
      </c>
      <c r="AA202" s="41">
        <f>H202/'1. Väestöennuste'!J202*1000</f>
        <v>0</v>
      </c>
      <c r="AB202" s="41">
        <f>I202/'1. Väestöennuste'!K202*1000</f>
        <v>0</v>
      </c>
      <c r="AC202" s="41">
        <f>J202/'1. Väestöennuste'!L202*1000</f>
        <v>0</v>
      </c>
      <c r="AD202" s="41">
        <f>K202/'1. Väestöennuste'!M202*1000</f>
        <v>0</v>
      </c>
      <c r="AE202" s="41">
        <f>L202/'1. Väestöennuste'!N202*1000</f>
        <v>0</v>
      </c>
      <c r="AF202" s="41">
        <f>M202/'1. Väestöennuste'!O202*1000</f>
        <v>0</v>
      </c>
      <c r="AG202" s="41">
        <f>N202/'1. Väestöennuste'!P202*1000</f>
        <v>0</v>
      </c>
      <c r="AH202" s="41">
        <f>O202/'1. Väestöennuste'!Q202*1000</f>
        <v>0</v>
      </c>
      <c r="AI202" s="41">
        <f>P202/'1. Väestöennuste'!R202*1000</f>
        <v>0</v>
      </c>
    </row>
    <row r="203" spans="1:35" x14ac:dyDescent="0.2">
      <c r="A203" s="30">
        <v>609</v>
      </c>
      <c r="B203" s="31" t="s">
        <v>517</v>
      </c>
      <c r="C203" s="64">
        <v>-1393</v>
      </c>
      <c r="D203" s="64"/>
      <c r="E203" s="64">
        <v>0</v>
      </c>
      <c r="F203" s="65">
        <v>0</v>
      </c>
      <c r="G203" s="65">
        <v>0</v>
      </c>
      <c r="H203" s="41">
        <v>0</v>
      </c>
      <c r="I203" s="165">
        <v>0</v>
      </c>
      <c r="J203" s="41">
        <v>0</v>
      </c>
      <c r="K203" s="41">
        <v>0</v>
      </c>
      <c r="L203" s="41">
        <v>0</v>
      </c>
      <c r="M203" s="41">
        <v>0</v>
      </c>
      <c r="N203" s="41">
        <v>0</v>
      </c>
      <c r="O203" s="41">
        <v>0</v>
      </c>
      <c r="P203" s="41">
        <v>0</v>
      </c>
      <c r="T203" s="30">
        <v>609</v>
      </c>
      <c r="U203" s="31" t="s">
        <v>517</v>
      </c>
      <c r="V203" s="41">
        <f>C203/'1. Väestöennuste'!E203*1000</f>
        <v>-16.318545505664044</v>
      </c>
      <c r="W203" s="41">
        <f>D203/'1. Väestöennuste'!F203*1000</f>
        <v>0</v>
      </c>
      <c r="X203" s="41">
        <f>E203/'1. Väestöennuste'!G203*1000</f>
        <v>0</v>
      </c>
      <c r="Y203" s="41">
        <f>F203/'1. Väestöennuste'!H203*1000</f>
        <v>0</v>
      </c>
      <c r="Z203" s="41">
        <f>G203/'1. Väestöennuste'!I203*1000</f>
        <v>0</v>
      </c>
      <c r="AA203" s="41">
        <f>H203/'1. Väestöennuste'!J203*1000</f>
        <v>0</v>
      </c>
      <c r="AB203" s="41">
        <f>I203/'1. Väestöennuste'!K203*1000</f>
        <v>0</v>
      </c>
      <c r="AC203" s="41">
        <f>J203/'1. Väestöennuste'!L203*1000</f>
        <v>0</v>
      </c>
      <c r="AD203" s="41">
        <f>K203/'1. Väestöennuste'!M203*1000</f>
        <v>0</v>
      </c>
      <c r="AE203" s="41">
        <f>L203/'1. Väestöennuste'!N203*1000</f>
        <v>0</v>
      </c>
      <c r="AF203" s="41">
        <f>M203/'1. Väestöennuste'!O203*1000</f>
        <v>0</v>
      </c>
      <c r="AG203" s="41">
        <f>N203/'1. Väestöennuste'!P203*1000</f>
        <v>0</v>
      </c>
      <c r="AH203" s="41">
        <f>O203/'1. Väestöennuste'!Q203*1000</f>
        <v>0</v>
      </c>
      <c r="AI203" s="41">
        <f>P203/'1. Väestöennuste'!R203*1000</f>
        <v>0</v>
      </c>
    </row>
    <row r="204" spans="1:35" x14ac:dyDescent="0.2">
      <c r="A204" s="30">
        <v>611</v>
      </c>
      <c r="B204" s="31" t="s">
        <v>518</v>
      </c>
      <c r="C204" s="64">
        <v>481</v>
      </c>
      <c r="D204" s="64"/>
      <c r="E204" s="64">
        <v>0</v>
      </c>
      <c r="F204" s="65">
        <v>-109</v>
      </c>
      <c r="G204" s="65">
        <v>0</v>
      </c>
      <c r="H204" s="41">
        <v>0</v>
      </c>
      <c r="I204" s="165">
        <v>0</v>
      </c>
      <c r="J204" s="41">
        <v>-277.20609999999999</v>
      </c>
      <c r="K204" s="41">
        <v>-48.304730000000006</v>
      </c>
      <c r="L204" s="41">
        <v>0</v>
      </c>
      <c r="M204" s="41">
        <v>0</v>
      </c>
      <c r="N204" s="41">
        <v>0</v>
      </c>
      <c r="O204" s="41">
        <v>0</v>
      </c>
      <c r="P204" s="41">
        <v>0</v>
      </c>
      <c r="T204" s="30">
        <v>611</v>
      </c>
      <c r="U204" s="31" t="s">
        <v>518</v>
      </c>
      <c r="V204" s="41">
        <f>C204/'1. Väestöennuste'!E204*1000</f>
        <v>93.853658536585371</v>
      </c>
      <c r="W204" s="41">
        <f>D204/'1. Väestöennuste'!F204*1000</f>
        <v>0</v>
      </c>
      <c r="X204" s="41">
        <f>E204/'1. Väestöennuste'!G204*1000</f>
        <v>0</v>
      </c>
      <c r="Y204" s="41">
        <f>F204/'1. Väestöennuste'!H204*1000</f>
        <v>-21.507498026835044</v>
      </c>
      <c r="Z204" s="41">
        <f>G204/'1. Väestöennuste'!I204*1000</f>
        <v>0</v>
      </c>
      <c r="AA204" s="41">
        <f>H204/'1. Väestöennuste'!J204*1000</f>
        <v>0</v>
      </c>
      <c r="AB204" s="41">
        <f>I204/'1. Väestöennuste'!K204*1000</f>
        <v>0</v>
      </c>
      <c r="AC204" s="41">
        <f>J204/'1. Väestöennuste'!L204*1000</f>
        <v>-55.31951706246258</v>
      </c>
      <c r="AD204" s="41">
        <f>K204/'1. Väestöennuste'!M204*1000</f>
        <v>-9.7133983510959201</v>
      </c>
      <c r="AE204" s="41">
        <f>L204/'1. Väestöennuste'!N204*1000</f>
        <v>0</v>
      </c>
      <c r="AF204" s="41">
        <f>M204/'1. Väestöennuste'!O204*1000</f>
        <v>0</v>
      </c>
      <c r="AG204" s="41">
        <f>N204/'1. Väestöennuste'!P204*1000</f>
        <v>0</v>
      </c>
      <c r="AH204" s="41">
        <f>O204/'1. Väestöennuste'!Q204*1000</f>
        <v>0</v>
      </c>
      <c r="AI204" s="41">
        <f>P204/'1. Väestöennuste'!R204*1000</f>
        <v>0</v>
      </c>
    </row>
    <row r="205" spans="1:35" x14ac:dyDescent="0.2">
      <c r="A205" s="30">
        <v>614</v>
      </c>
      <c r="B205" s="31" t="s">
        <v>519</v>
      </c>
      <c r="C205" s="64">
        <v>0</v>
      </c>
      <c r="D205" s="64"/>
      <c r="E205" s="64">
        <v>0</v>
      </c>
      <c r="F205" s="65">
        <v>0</v>
      </c>
      <c r="G205" s="65">
        <v>0</v>
      </c>
      <c r="H205" s="41">
        <v>92</v>
      </c>
      <c r="I205" s="165">
        <v>0</v>
      </c>
      <c r="J205" s="41">
        <v>-16</v>
      </c>
      <c r="K205" s="41">
        <v>205.41601</v>
      </c>
      <c r="L205" s="41"/>
      <c r="M205" s="41"/>
      <c r="N205" s="41"/>
      <c r="O205" s="41">
        <v>0</v>
      </c>
      <c r="P205" s="41">
        <v>0</v>
      </c>
      <c r="T205" s="30">
        <v>614</v>
      </c>
      <c r="U205" s="31" t="s">
        <v>519</v>
      </c>
      <c r="V205" s="41">
        <f>C205/'1. Väestöennuste'!E205*1000</f>
        <v>0</v>
      </c>
      <c r="W205" s="41">
        <f>D205/'1. Väestöennuste'!F205*1000</f>
        <v>0</v>
      </c>
      <c r="X205" s="41">
        <f>E205/'1. Väestöennuste'!G205*1000</f>
        <v>0</v>
      </c>
      <c r="Y205" s="41">
        <f>F205/'1. Väestöennuste'!H205*1000</f>
        <v>0</v>
      </c>
      <c r="Z205" s="41">
        <f>G205/'1. Väestöennuste'!I205*1000</f>
        <v>0</v>
      </c>
      <c r="AA205" s="41">
        <f>H205/'1. Väestöennuste'!J205*1000</f>
        <v>29.515559833172922</v>
      </c>
      <c r="AB205" s="41">
        <f>I205/'1. Väestöennuste'!K205*1000</f>
        <v>0</v>
      </c>
      <c r="AC205" s="41">
        <f>J205/'1. Väestöennuste'!L205*1000</f>
        <v>-5.3351117039013003</v>
      </c>
      <c r="AD205" s="41">
        <f>K205/'1. Väestöennuste'!M205*1000</f>
        <v>70.275747519671569</v>
      </c>
      <c r="AE205" s="41">
        <f>L205/'1. Väestöennuste'!N205*1000</f>
        <v>0</v>
      </c>
      <c r="AF205" s="41">
        <f>M205/'1. Väestöennuste'!O205*1000</f>
        <v>0</v>
      </c>
      <c r="AG205" s="41">
        <f>N205/'1. Väestöennuste'!P205*1000</f>
        <v>0</v>
      </c>
      <c r="AH205" s="41">
        <f>O205/'1. Väestöennuste'!Q205*1000</f>
        <v>0</v>
      </c>
      <c r="AI205" s="41">
        <f>P205/'1. Väestöennuste'!R205*1000</f>
        <v>0</v>
      </c>
    </row>
    <row r="206" spans="1:35" x14ac:dyDescent="0.2">
      <c r="A206" s="30">
        <v>615</v>
      </c>
      <c r="B206" s="31" t="s">
        <v>520</v>
      </c>
      <c r="C206" s="64">
        <v>0</v>
      </c>
      <c r="D206" s="64"/>
      <c r="E206" s="64">
        <v>0</v>
      </c>
      <c r="F206" s="65">
        <v>0</v>
      </c>
      <c r="G206" s="65">
        <v>0</v>
      </c>
      <c r="H206" s="41">
        <v>0</v>
      </c>
      <c r="I206" s="165">
        <v>0</v>
      </c>
      <c r="J206" s="41">
        <v>0</v>
      </c>
      <c r="K206" s="41">
        <v>0</v>
      </c>
      <c r="L206" s="41">
        <v>0</v>
      </c>
      <c r="M206" s="41">
        <v>0</v>
      </c>
      <c r="N206" s="41">
        <v>0</v>
      </c>
      <c r="O206" s="41">
        <v>0</v>
      </c>
      <c r="P206" s="41">
        <v>0</v>
      </c>
      <c r="T206" s="30">
        <v>615</v>
      </c>
      <c r="U206" s="31" t="s">
        <v>520</v>
      </c>
      <c r="V206" s="41">
        <f>C206/'1. Väestöennuste'!E206*1000</f>
        <v>0</v>
      </c>
      <c r="W206" s="41">
        <f>D206/'1. Väestöennuste'!F206*1000</f>
        <v>0</v>
      </c>
      <c r="X206" s="41">
        <f>E206/'1. Väestöennuste'!G206*1000</f>
        <v>0</v>
      </c>
      <c r="Y206" s="41">
        <f>F206/'1. Väestöennuste'!H206*1000</f>
        <v>0</v>
      </c>
      <c r="Z206" s="41">
        <f>G206/'1. Väestöennuste'!I206*1000</f>
        <v>0</v>
      </c>
      <c r="AA206" s="41">
        <f>H206/'1. Väestöennuste'!J206*1000</f>
        <v>0</v>
      </c>
      <c r="AB206" s="41">
        <f>I206/'1. Väestöennuste'!K206*1000</f>
        <v>0</v>
      </c>
      <c r="AC206" s="41">
        <f>J206/'1. Väestöennuste'!L206*1000</f>
        <v>0</v>
      </c>
      <c r="AD206" s="41">
        <f>K206/'1. Väestöennuste'!M206*1000</f>
        <v>0</v>
      </c>
      <c r="AE206" s="41">
        <f>L206/'1. Väestöennuste'!N206*1000</f>
        <v>0</v>
      </c>
      <c r="AF206" s="41">
        <f>M206/'1. Väestöennuste'!O206*1000</f>
        <v>0</v>
      </c>
      <c r="AG206" s="41">
        <f>N206/'1. Väestöennuste'!P206*1000</f>
        <v>0</v>
      </c>
      <c r="AH206" s="41">
        <f>O206/'1. Väestöennuste'!Q206*1000</f>
        <v>0</v>
      </c>
      <c r="AI206" s="41">
        <f>P206/'1. Väestöennuste'!R206*1000</f>
        <v>0</v>
      </c>
    </row>
    <row r="207" spans="1:35" x14ac:dyDescent="0.2">
      <c r="A207" s="30">
        <v>616</v>
      </c>
      <c r="B207" s="31" t="s">
        <v>521</v>
      </c>
      <c r="C207" s="64">
        <v>0</v>
      </c>
      <c r="D207" s="64">
        <v>4409</v>
      </c>
      <c r="E207" s="64">
        <v>491</v>
      </c>
      <c r="F207" s="65">
        <v>-73</v>
      </c>
      <c r="G207" s="65">
        <v>0</v>
      </c>
      <c r="H207" s="41">
        <v>0</v>
      </c>
      <c r="I207" s="165">
        <v>0</v>
      </c>
      <c r="J207" s="41">
        <v>0</v>
      </c>
      <c r="K207" s="41">
        <v>0</v>
      </c>
      <c r="L207" s="41">
        <v>0</v>
      </c>
      <c r="M207" s="41">
        <v>0</v>
      </c>
      <c r="N207" s="41">
        <v>0</v>
      </c>
      <c r="O207" s="41">
        <v>0</v>
      </c>
      <c r="P207" s="41">
        <v>0</v>
      </c>
      <c r="T207" s="30">
        <v>616</v>
      </c>
      <c r="U207" s="31" t="s">
        <v>521</v>
      </c>
      <c r="V207" s="41">
        <f>C207/'1. Väestöennuste'!E207*1000</f>
        <v>0</v>
      </c>
      <c r="W207" s="41">
        <f>D207/'1. Väestöennuste'!F207*1000</f>
        <v>2217.8068410462774</v>
      </c>
      <c r="X207" s="41">
        <f>E207/'1. Väestöennuste'!G207*1000</f>
        <v>253.09278350515461</v>
      </c>
      <c r="Y207" s="41">
        <f>F207/'1. Väestöennuste'!H207*1000</f>
        <v>-38.441284886782512</v>
      </c>
      <c r="Z207" s="41">
        <f>G207/'1. Väestöennuste'!I207*1000</f>
        <v>0</v>
      </c>
      <c r="AA207" s="41">
        <f>H207/'1. Väestöennuste'!J207*1000</f>
        <v>0</v>
      </c>
      <c r="AB207" s="41">
        <f>I207/'1. Väestöennuste'!K207*1000</f>
        <v>0</v>
      </c>
      <c r="AC207" s="41">
        <f>J207/'1. Väestöennuste'!L207*1000</f>
        <v>0</v>
      </c>
      <c r="AD207" s="41">
        <f>K207/'1. Väestöennuste'!M207*1000</f>
        <v>0</v>
      </c>
      <c r="AE207" s="41">
        <f>L207/'1. Väestöennuste'!N207*1000</f>
        <v>0</v>
      </c>
      <c r="AF207" s="41">
        <f>M207/'1. Väestöennuste'!O207*1000</f>
        <v>0</v>
      </c>
      <c r="AG207" s="41">
        <f>N207/'1. Väestöennuste'!P207*1000</f>
        <v>0</v>
      </c>
      <c r="AH207" s="41">
        <f>O207/'1. Väestöennuste'!Q207*1000</f>
        <v>0</v>
      </c>
      <c r="AI207" s="41">
        <f>P207/'1. Väestöennuste'!R207*1000</f>
        <v>0</v>
      </c>
    </row>
    <row r="208" spans="1:35" x14ac:dyDescent="0.2">
      <c r="A208" s="30">
        <v>619</v>
      </c>
      <c r="B208" s="31" t="s">
        <v>522</v>
      </c>
      <c r="C208" s="64">
        <v>0</v>
      </c>
      <c r="D208" s="64"/>
      <c r="E208" s="64">
        <v>0</v>
      </c>
      <c r="F208" s="65">
        <v>0</v>
      </c>
      <c r="G208" s="65">
        <v>0</v>
      </c>
      <c r="H208" s="41">
        <v>0</v>
      </c>
      <c r="I208" s="165">
        <v>0</v>
      </c>
      <c r="J208" s="41">
        <v>0</v>
      </c>
      <c r="K208" s="41">
        <v>0</v>
      </c>
      <c r="L208" s="41">
        <v>0</v>
      </c>
      <c r="M208" s="41">
        <v>0</v>
      </c>
      <c r="N208" s="41">
        <v>0</v>
      </c>
      <c r="O208" s="41">
        <v>0</v>
      </c>
      <c r="P208" s="41">
        <v>0</v>
      </c>
      <c r="T208" s="30">
        <v>619</v>
      </c>
      <c r="U208" s="31" t="s">
        <v>522</v>
      </c>
      <c r="V208" s="41">
        <f>C208/'1. Väestöennuste'!E208*1000</f>
        <v>0</v>
      </c>
      <c r="W208" s="41">
        <f>D208/'1. Väestöennuste'!F208*1000</f>
        <v>0</v>
      </c>
      <c r="X208" s="41">
        <f>E208/'1. Väestöennuste'!G208*1000</f>
        <v>0</v>
      </c>
      <c r="Y208" s="41">
        <f>F208/'1. Väestöennuste'!H208*1000</f>
        <v>0</v>
      </c>
      <c r="Z208" s="41">
        <f>G208/'1. Väestöennuste'!I208*1000</f>
        <v>0</v>
      </c>
      <c r="AA208" s="41">
        <f>H208/'1. Väestöennuste'!J208*1000</f>
        <v>0</v>
      </c>
      <c r="AB208" s="41">
        <f>I208/'1. Väestöennuste'!K208*1000</f>
        <v>0</v>
      </c>
      <c r="AC208" s="41">
        <f>J208/'1. Väestöennuste'!L208*1000</f>
        <v>0</v>
      </c>
      <c r="AD208" s="41">
        <f>K208/'1. Väestöennuste'!M208*1000</f>
        <v>0</v>
      </c>
      <c r="AE208" s="41">
        <f>L208/'1. Väestöennuste'!N208*1000</f>
        <v>0</v>
      </c>
      <c r="AF208" s="41">
        <f>M208/'1. Väestöennuste'!O208*1000</f>
        <v>0</v>
      </c>
      <c r="AG208" s="41">
        <f>N208/'1. Väestöennuste'!P208*1000</f>
        <v>0</v>
      </c>
      <c r="AH208" s="41">
        <f>O208/'1. Väestöennuste'!Q208*1000</f>
        <v>0</v>
      </c>
      <c r="AI208" s="41">
        <f>P208/'1. Väestöennuste'!R208*1000</f>
        <v>0</v>
      </c>
    </row>
    <row r="209" spans="1:35" x14ac:dyDescent="0.2">
      <c r="A209" s="30">
        <v>620</v>
      </c>
      <c r="B209" s="31" t="s">
        <v>523</v>
      </c>
      <c r="C209" s="64">
        <v>0</v>
      </c>
      <c r="D209" s="64"/>
      <c r="E209" s="64">
        <v>0</v>
      </c>
      <c r="F209" s="65">
        <v>0</v>
      </c>
      <c r="G209" s="65">
        <v>0</v>
      </c>
      <c r="H209" s="41">
        <v>0</v>
      </c>
      <c r="I209" s="165">
        <v>0</v>
      </c>
      <c r="J209" s="41">
        <v>0</v>
      </c>
      <c r="K209" s="41">
        <v>0</v>
      </c>
      <c r="L209" s="41">
        <v>0</v>
      </c>
      <c r="M209" s="41">
        <v>0</v>
      </c>
      <c r="N209" s="41">
        <v>0</v>
      </c>
      <c r="O209" s="41">
        <v>0</v>
      </c>
      <c r="P209" s="41">
        <v>0</v>
      </c>
      <c r="T209" s="30">
        <v>620</v>
      </c>
      <c r="U209" s="31" t="s">
        <v>523</v>
      </c>
      <c r="V209" s="41">
        <f>C209/'1. Väestöennuste'!E209*1000</f>
        <v>0</v>
      </c>
      <c r="W209" s="41">
        <f>D209/'1. Väestöennuste'!F209*1000</f>
        <v>0</v>
      </c>
      <c r="X209" s="41">
        <f>E209/'1. Väestöennuste'!G209*1000</f>
        <v>0</v>
      </c>
      <c r="Y209" s="41">
        <f>F209/'1. Väestöennuste'!H209*1000</f>
        <v>0</v>
      </c>
      <c r="Z209" s="41">
        <f>G209/'1. Väestöennuste'!I209*1000</f>
        <v>0</v>
      </c>
      <c r="AA209" s="41">
        <f>H209/'1. Väestöennuste'!J209*1000</f>
        <v>0</v>
      </c>
      <c r="AB209" s="41">
        <f>I209/'1. Väestöennuste'!K209*1000</f>
        <v>0</v>
      </c>
      <c r="AC209" s="41">
        <f>J209/'1. Väestöennuste'!L209*1000</f>
        <v>0</v>
      </c>
      <c r="AD209" s="41">
        <f>K209/'1. Väestöennuste'!M209*1000</f>
        <v>0</v>
      </c>
      <c r="AE209" s="41">
        <f>L209/'1. Väestöennuste'!N209*1000</f>
        <v>0</v>
      </c>
      <c r="AF209" s="41">
        <f>M209/'1. Väestöennuste'!O209*1000</f>
        <v>0</v>
      </c>
      <c r="AG209" s="41">
        <f>N209/'1. Väestöennuste'!P209*1000</f>
        <v>0</v>
      </c>
      <c r="AH209" s="41">
        <f>O209/'1. Väestöennuste'!Q209*1000</f>
        <v>0</v>
      </c>
      <c r="AI209" s="41">
        <f>P209/'1. Väestöennuste'!R209*1000</f>
        <v>0</v>
      </c>
    </row>
    <row r="210" spans="1:35" x14ac:dyDescent="0.2">
      <c r="A210" s="30">
        <v>623</v>
      </c>
      <c r="B210" s="31" t="s">
        <v>524</v>
      </c>
      <c r="C210" s="64">
        <v>-57</v>
      </c>
      <c r="D210" s="64"/>
      <c r="E210" s="64">
        <v>0</v>
      </c>
      <c r="F210" s="65">
        <v>0</v>
      </c>
      <c r="G210" s="65">
        <v>0</v>
      </c>
      <c r="H210" s="41">
        <v>0</v>
      </c>
      <c r="I210" s="165">
        <v>0.74068000000000001</v>
      </c>
      <c r="J210" s="41">
        <v>9.5920000000000005E-2</v>
      </c>
      <c r="K210" s="41">
        <v>0</v>
      </c>
      <c r="L210" s="41">
        <v>0</v>
      </c>
      <c r="M210" s="41">
        <v>0</v>
      </c>
      <c r="N210" s="41">
        <v>0</v>
      </c>
      <c r="O210" s="41">
        <v>0</v>
      </c>
      <c r="P210" s="41">
        <v>0</v>
      </c>
      <c r="T210" s="30">
        <v>623</v>
      </c>
      <c r="U210" s="31" t="s">
        <v>524</v>
      </c>
      <c r="V210" s="41">
        <f>C210/'1. Väestöennuste'!E210*1000</f>
        <v>-25.221238938053098</v>
      </c>
      <c r="W210" s="41">
        <f>D210/'1. Väestöennuste'!F210*1000</f>
        <v>0</v>
      </c>
      <c r="X210" s="41">
        <f>E210/'1. Väestöennuste'!G210*1000</f>
        <v>0</v>
      </c>
      <c r="Y210" s="41">
        <f>F210/'1. Väestöennuste'!H210*1000</f>
        <v>0</v>
      </c>
      <c r="Z210" s="41">
        <f>G210/'1. Väestöennuste'!I210*1000</f>
        <v>0</v>
      </c>
      <c r="AA210" s="41">
        <f>H210/'1. Väestöennuste'!J210*1000</f>
        <v>0</v>
      </c>
      <c r="AB210" s="41">
        <f>I210/'1. Väestöennuste'!K210*1000</f>
        <v>0.34987246102975911</v>
      </c>
      <c r="AC210" s="41">
        <f>J210/'1. Väestöennuste'!L210*1000</f>
        <v>4.5524442335073564E-2</v>
      </c>
      <c r="AD210" s="41">
        <f>K210/'1. Väestöennuste'!M210*1000</f>
        <v>0</v>
      </c>
      <c r="AE210" s="41">
        <f>L210/'1. Väestöennuste'!N210*1000</f>
        <v>0</v>
      </c>
      <c r="AF210" s="41">
        <f>M210/'1. Väestöennuste'!O210*1000</f>
        <v>0</v>
      </c>
      <c r="AG210" s="41">
        <f>N210/'1. Väestöennuste'!P210*1000</f>
        <v>0</v>
      </c>
      <c r="AH210" s="41">
        <f>O210/'1. Väestöennuste'!Q210*1000</f>
        <v>0</v>
      </c>
      <c r="AI210" s="41">
        <f>P210/'1. Väestöennuste'!R210*1000</f>
        <v>0</v>
      </c>
    </row>
    <row r="211" spans="1:35" x14ac:dyDescent="0.2">
      <c r="A211" s="30">
        <v>624</v>
      </c>
      <c r="B211" s="31" t="s">
        <v>525</v>
      </c>
      <c r="C211" s="64">
        <v>0</v>
      </c>
      <c r="D211" s="64"/>
      <c r="E211" s="64">
        <v>0</v>
      </c>
      <c r="F211" s="65">
        <v>0</v>
      </c>
      <c r="G211" s="65">
        <v>0</v>
      </c>
      <c r="H211" s="41">
        <v>0</v>
      </c>
      <c r="I211" s="165">
        <v>0</v>
      </c>
      <c r="J211" s="41">
        <v>-44.642580000000002</v>
      </c>
      <c r="K211" s="41">
        <v>0</v>
      </c>
      <c r="L211" s="41">
        <v>0</v>
      </c>
      <c r="M211" s="41">
        <v>0</v>
      </c>
      <c r="N211" s="41">
        <v>0</v>
      </c>
      <c r="O211" s="41">
        <v>0</v>
      </c>
      <c r="P211" s="41">
        <v>0</v>
      </c>
      <c r="T211" s="30">
        <v>624</v>
      </c>
      <c r="U211" s="31" t="s">
        <v>525</v>
      </c>
      <c r="V211" s="41">
        <f>C211/'1. Väestöennuste'!E211*1000</f>
        <v>0</v>
      </c>
      <c r="W211" s="41">
        <f>D211/'1. Väestöennuste'!F211*1000</f>
        <v>0</v>
      </c>
      <c r="X211" s="41">
        <f>E211/'1. Väestöennuste'!G211*1000</f>
        <v>0</v>
      </c>
      <c r="Y211" s="41">
        <f>F211/'1. Väestöennuste'!H211*1000</f>
        <v>0</v>
      </c>
      <c r="Z211" s="41">
        <f>G211/'1. Väestöennuste'!I211*1000</f>
        <v>0</v>
      </c>
      <c r="AA211" s="41">
        <f>H211/'1. Väestöennuste'!J211*1000</f>
        <v>0</v>
      </c>
      <c r="AB211" s="41">
        <f>I211/'1. Väestöennuste'!K211*1000</f>
        <v>0</v>
      </c>
      <c r="AC211" s="41">
        <f>J211/'1. Väestöennuste'!L211*1000</f>
        <v>-8.7243658393590007</v>
      </c>
      <c r="AD211" s="41">
        <f>K211/'1. Väestöennuste'!M211*1000</f>
        <v>0</v>
      </c>
      <c r="AE211" s="41">
        <f>L211/'1. Väestöennuste'!N211*1000</f>
        <v>0</v>
      </c>
      <c r="AF211" s="41">
        <f>M211/'1. Väestöennuste'!O211*1000</f>
        <v>0</v>
      </c>
      <c r="AG211" s="41">
        <f>N211/'1. Väestöennuste'!P211*1000</f>
        <v>0</v>
      </c>
      <c r="AH211" s="41">
        <f>O211/'1. Väestöennuste'!Q211*1000</f>
        <v>0</v>
      </c>
      <c r="AI211" s="41">
        <f>P211/'1. Väestöennuste'!R211*1000</f>
        <v>0</v>
      </c>
    </row>
    <row r="212" spans="1:35" x14ac:dyDescent="0.2">
      <c r="A212" s="30">
        <v>625</v>
      </c>
      <c r="B212" s="31" t="s">
        <v>526</v>
      </c>
      <c r="C212" s="64">
        <v>0</v>
      </c>
      <c r="D212" s="64"/>
      <c r="E212" s="64">
        <v>0</v>
      </c>
      <c r="F212" s="65">
        <v>0</v>
      </c>
      <c r="G212" s="65">
        <v>70</v>
      </c>
      <c r="H212" s="41">
        <v>0</v>
      </c>
      <c r="I212" s="165">
        <v>0</v>
      </c>
      <c r="J212" s="41">
        <v>0</v>
      </c>
      <c r="K212" s="41">
        <v>0</v>
      </c>
      <c r="L212" s="41">
        <v>0</v>
      </c>
      <c r="M212" s="41">
        <v>0</v>
      </c>
      <c r="N212" s="41">
        <v>0</v>
      </c>
      <c r="O212" s="41">
        <v>0</v>
      </c>
      <c r="P212" s="41">
        <v>0</v>
      </c>
      <c r="T212" s="30">
        <v>625</v>
      </c>
      <c r="U212" s="31" t="s">
        <v>526</v>
      </c>
      <c r="V212" s="41">
        <f>C212/'1. Väestöennuste'!E212*1000</f>
        <v>0</v>
      </c>
      <c r="W212" s="41">
        <f>D212/'1. Väestöennuste'!F212*1000</f>
        <v>0</v>
      </c>
      <c r="X212" s="41">
        <f>E212/'1. Väestöennuste'!G212*1000</f>
        <v>0</v>
      </c>
      <c r="Y212" s="41">
        <f>F212/'1. Väestöennuste'!H212*1000</f>
        <v>0</v>
      </c>
      <c r="Z212" s="41">
        <f>G212/'1. Väestöennuste'!I212*1000</f>
        <v>22.749431264218394</v>
      </c>
      <c r="AA212" s="41">
        <f>H212/'1. Väestöennuste'!J212*1000</f>
        <v>0</v>
      </c>
      <c r="AB212" s="41">
        <f>I212/'1. Väestöennuste'!K212*1000</f>
        <v>0</v>
      </c>
      <c r="AC212" s="41">
        <f>J212/'1. Väestöennuste'!L212*1000</f>
        <v>0</v>
      </c>
      <c r="AD212" s="41">
        <f>K212/'1. Väestöennuste'!M212*1000</f>
        <v>0</v>
      </c>
      <c r="AE212" s="41">
        <f>L212/'1. Väestöennuste'!N212*1000</f>
        <v>0</v>
      </c>
      <c r="AF212" s="41">
        <f>M212/'1. Väestöennuste'!O212*1000</f>
        <v>0</v>
      </c>
      <c r="AG212" s="41">
        <f>N212/'1. Väestöennuste'!P212*1000</f>
        <v>0</v>
      </c>
      <c r="AH212" s="41">
        <f>O212/'1. Väestöennuste'!Q212*1000</f>
        <v>0</v>
      </c>
      <c r="AI212" s="41">
        <f>P212/'1. Väestöennuste'!R212*1000</f>
        <v>0</v>
      </c>
    </row>
    <row r="213" spans="1:35" x14ac:dyDescent="0.2">
      <c r="A213" s="30">
        <v>626</v>
      </c>
      <c r="B213" s="31" t="s">
        <v>527</v>
      </c>
      <c r="C213" s="64">
        <v>-105</v>
      </c>
      <c r="D213" s="64"/>
      <c r="E213" s="64">
        <v>-21</v>
      </c>
      <c r="F213" s="65">
        <v>0</v>
      </c>
      <c r="G213" s="65">
        <v>0</v>
      </c>
      <c r="H213" s="41">
        <v>-198</v>
      </c>
      <c r="I213" s="165">
        <v>0</v>
      </c>
      <c r="J213" s="41">
        <v>0</v>
      </c>
      <c r="K213" s="41">
        <v>-65</v>
      </c>
      <c r="L213" s="41">
        <v>0</v>
      </c>
      <c r="M213" s="41">
        <v>0</v>
      </c>
      <c r="N213" s="41">
        <v>0</v>
      </c>
      <c r="O213" s="41">
        <v>0</v>
      </c>
      <c r="P213" s="41">
        <v>0</v>
      </c>
      <c r="T213" s="30">
        <v>626</v>
      </c>
      <c r="U213" s="31" t="s">
        <v>527</v>
      </c>
      <c r="V213" s="41">
        <f>C213/'1. Väestöennuste'!E213*1000</f>
        <v>-19.073569482288828</v>
      </c>
      <c r="W213" s="41">
        <f>D213/'1. Väestöennuste'!F213*1000</f>
        <v>0</v>
      </c>
      <c r="X213" s="41">
        <f>E213/'1. Väestöennuste'!G213*1000</f>
        <v>-3.9347948285553684</v>
      </c>
      <c r="Y213" s="41">
        <f>F213/'1. Väestöennuste'!H213*1000</f>
        <v>0</v>
      </c>
      <c r="Z213" s="41">
        <f>G213/'1. Väestöennuste'!I213*1000</f>
        <v>0</v>
      </c>
      <c r="AA213" s="41">
        <f>H213/'1. Väestöennuste'!J213*1000</f>
        <v>-39.340353665805679</v>
      </c>
      <c r="AB213" s="41">
        <f>I213/'1. Väestöennuste'!K213*1000</f>
        <v>0</v>
      </c>
      <c r="AC213" s="41">
        <f>J213/'1. Väestöennuste'!L213*1000</f>
        <v>0</v>
      </c>
      <c r="AD213" s="41">
        <f>K213/'1. Väestöennuste'!M213*1000</f>
        <v>-13.666947014297728</v>
      </c>
      <c r="AE213" s="41">
        <f>L213/'1. Väestöennuste'!N213*1000</f>
        <v>0</v>
      </c>
      <c r="AF213" s="41">
        <f>M213/'1. Väestöennuste'!O213*1000</f>
        <v>0</v>
      </c>
      <c r="AG213" s="41">
        <f>N213/'1. Väestöennuste'!P213*1000</f>
        <v>0</v>
      </c>
      <c r="AH213" s="41">
        <f>O213/'1. Väestöennuste'!Q213*1000</f>
        <v>0</v>
      </c>
      <c r="AI213" s="41">
        <f>P213/'1. Väestöennuste'!R213*1000</f>
        <v>0</v>
      </c>
    </row>
    <row r="214" spans="1:35" x14ac:dyDescent="0.2">
      <c r="A214" s="30">
        <v>630</v>
      </c>
      <c r="B214" s="31" t="s">
        <v>528</v>
      </c>
      <c r="C214" s="64">
        <v>0</v>
      </c>
      <c r="D214" s="64"/>
      <c r="E214" s="64">
        <v>0</v>
      </c>
      <c r="F214" s="65">
        <v>0</v>
      </c>
      <c r="G214" s="65">
        <v>0</v>
      </c>
      <c r="H214" s="41">
        <v>0</v>
      </c>
      <c r="I214" s="165">
        <v>0</v>
      </c>
      <c r="J214" s="41">
        <v>0</v>
      </c>
      <c r="K214" s="41">
        <v>0</v>
      </c>
      <c r="L214" s="41">
        <v>0</v>
      </c>
      <c r="M214" s="41">
        <v>0</v>
      </c>
      <c r="N214" s="41">
        <v>0</v>
      </c>
      <c r="O214" s="41">
        <v>0</v>
      </c>
      <c r="P214" s="41">
        <v>0</v>
      </c>
      <c r="T214" s="30">
        <v>630</v>
      </c>
      <c r="U214" s="31" t="s">
        <v>528</v>
      </c>
      <c r="V214" s="41">
        <f>C214/'1. Väestöennuste'!E214*1000</f>
        <v>0</v>
      </c>
      <c r="W214" s="41">
        <f>D214/'1. Väestöennuste'!F214*1000</f>
        <v>0</v>
      </c>
      <c r="X214" s="41">
        <f>E214/'1. Väestöennuste'!G214*1000</f>
        <v>0</v>
      </c>
      <c r="Y214" s="41">
        <f>F214/'1. Väestöennuste'!H214*1000</f>
        <v>0</v>
      </c>
      <c r="Z214" s="41">
        <f>G214/'1. Väestöennuste'!I214*1000</f>
        <v>0</v>
      </c>
      <c r="AA214" s="41">
        <f>H214/'1. Väestöennuste'!J214*1000</f>
        <v>0</v>
      </c>
      <c r="AB214" s="41">
        <f>I214/'1. Väestöennuste'!K214*1000</f>
        <v>0</v>
      </c>
      <c r="AC214" s="41">
        <f>J214/'1. Väestöennuste'!L214*1000</f>
        <v>0</v>
      </c>
      <c r="AD214" s="41">
        <f>K214/'1. Väestöennuste'!M214*1000</f>
        <v>0</v>
      </c>
      <c r="AE214" s="41">
        <f>L214/'1. Väestöennuste'!N214*1000</f>
        <v>0</v>
      </c>
      <c r="AF214" s="41">
        <f>M214/'1. Väestöennuste'!O214*1000</f>
        <v>0</v>
      </c>
      <c r="AG214" s="41">
        <f>N214/'1. Väestöennuste'!P214*1000</f>
        <v>0</v>
      </c>
      <c r="AH214" s="41">
        <f>O214/'1. Väestöennuste'!Q214*1000</f>
        <v>0</v>
      </c>
      <c r="AI214" s="41">
        <f>P214/'1. Väestöennuste'!R214*1000</f>
        <v>0</v>
      </c>
    </row>
    <row r="215" spans="1:35" x14ac:dyDescent="0.2">
      <c r="A215" s="30">
        <v>631</v>
      </c>
      <c r="B215" s="31" t="s">
        <v>529</v>
      </c>
      <c r="C215" s="64">
        <v>0</v>
      </c>
      <c r="D215" s="64">
        <v>-65</v>
      </c>
      <c r="E215" s="64">
        <v>-6</v>
      </c>
      <c r="F215" s="65">
        <v>0</v>
      </c>
      <c r="G215" s="65">
        <v>0</v>
      </c>
      <c r="H215" s="41">
        <v>1</v>
      </c>
      <c r="I215" s="165">
        <v>0</v>
      </c>
      <c r="J215" s="41">
        <v>-0.85209999999999997</v>
      </c>
      <c r="K215" s="41">
        <v>0</v>
      </c>
      <c r="L215" s="41">
        <v>0</v>
      </c>
      <c r="M215" s="41">
        <v>0</v>
      </c>
      <c r="N215" s="41">
        <v>0</v>
      </c>
      <c r="O215" s="41">
        <v>0</v>
      </c>
      <c r="P215" s="41">
        <v>0</v>
      </c>
      <c r="T215" s="30">
        <v>631</v>
      </c>
      <c r="U215" s="31" t="s">
        <v>529</v>
      </c>
      <c r="V215" s="41">
        <f>C215/'1. Väestöennuste'!E215*1000</f>
        <v>0</v>
      </c>
      <c r="W215" s="41">
        <f>D215/'1. Väestöennuste'!F215*1000</f>
        <v>-31.325301204819279</v>
      </c>
      <c r="X215" s="41">
        <f>E215/'1. Väestöennuste'!G215*1000</f>
        <v>-2.8887818969667789</v>
      </c>
      <c r="Y215" s="41">
        <f>F215/'1. Väestöennuste'!H215*1000</f>
        <v>0</v>
      </c>
      <c r="Z215" s="41">
        <f>G215/'1. Väestöennuste'!I215*1000</f>
        <v>0</v>
      </c>
      <c r="AA215" s="41">
        <f>H215/'1. Väestöennuste'!J215*1000</f>
        <v>0.50150451354062187</v>
      </c>
      <c r="AB215" s="41">
        <f>I215/'1. Väestöennuste'!K215*1000</f>
        <v>0</v>
      </c>
      <c r="AC215" s="41">
        <f>J215/'1. Väestöennuste'!L215*1000</f>
        <v>-0.43408048904737645</v>
      </c>
      <c r="AD215" s="41">
        <f>K215/'1. Väestöennuste'!M215*1000</f>
        <v>0</v>
      </c>
      <c r="AE215" s="41">
        <f>L215/'1. Väestöennuste'!N215*1000</f>
        <v>0</v>
      </c>
      <c r="AF215" s="41">
        <f>M215/'1. Väestöennuste'!O215*1000</f>
        <v>0</v>
      </c>
      <c r="AG215" s="41">
        <f>N215/'1. Väestöennuste'!P215*1000</f>
        <v>0</v>
      </c>
      <c r="AH215" s="41">
        <f>O215/'1. Väestöennuste'!Q215*1000</f>
        <v>0</v>
      </c>
      <c r="AI215" s="41">
        <f>P215/'1. Väestöennuste'!R215*1000</f>
        <v>0</v>
      </c>
    </row>
    <row r="216" spans="1:35" x14ac:dyDescent="0.2">
      <c r="A216" s="30">
        <v>635</v>
      </c>
      <c r="B216" s="31" t="s">
        <v>530</v>
      </c>
      <c r="C216" s="64">
        <v>0</v>
      </c>
      <c r="D216" s="64"/>
      <c r="E216" s="64">
        <v>0</v>
      </c>
      <c r="F216" s="65">
        <v>0</v>
      </c>
      <c r="G216" s="65">
        <v>0</v>
      </c>
      <c r="H216" s="41">
        <v>0</v>
      </c>
      <c r="I216" s="165">
        <v>0</v>
      </c>
      <c r="J216" s="41">
        <v>5.9677899999999999</v>
      </c>
      <c r="K216" s="41">
        <v>0</v>
      </c>
      <c r="L216" s="41">
        <v>0</v>
      </c>
      <c r="M216" s="41">
        <v>0</v>
      </c>
      <c r="N216" s="41">
        <v>0</v>
      </c>
      <c r="O216" s="41">
        <v>0</v>
      </c>
      <c r="P216" s="41">
        <v>0</v>
      </c>
      <c r="T216" s="30">
        <v>635</v>
      </c>
      <c r="U216" s="31" t="s">
        <v>530</v>
      </c>
      <c r="V216" s="41">
        <f>C216/'1. Väestöennuste'!E216*1000</f>
        <v>0</v>
      </c>
      <c r="W216" s="41">
        <f>D216/'1. Väestöennuste'!F216*1000</f>
        <v>0</v>
      </c>
      <c r="X216" s="41">
        <f>E216/'1. Väestöennuste'!G216*1000</f>
        <v>0</v>
      </c>
      <c r="Y216" s="41">
        <f>F216/'1. Väestöennuste'!H216*1000</f>
        <v>0</v>
      </c>
      <c r="Z216" s="41">
        <f>G216/'1. Väestöennuste'!I216*1000</f>
        <v>0</v>
      </c>
      <c r="AA216" s="41">
        <f>H216/'1. Väestöennuste'!J216*1000</f>
        <v>0</v>
      </c>
      <c r="AB216" s="41">
        <f>I216/'1. Väestöennuste'!K216*1000</f>
        <v>0</v>
      </c>
      <c r="AC216" s="41">
        <f>J216/'1. Väestöennuste'!L216*1000</f>
        <v>0.9402536631479439</v>
      </c>
      <c r="AD216" s="41">
        <f>K216/'1. Väestöennuste'!M216*1000</f>
        <v>0</v>
      </c>
      <c r="AE216" s="41">
        <f>L216/'1. Väestöennuste'!N216*1000</f>
        <v>0</v>
      </c>
      <c r="AF216" s="41">
        <f>M216/'1. Väestöennuste'!O216*1000</f>
        <v>0</v>
      </c>
      <c r="AG216" s="41">
        <f>N216/'1. Väestöennuste'!P216*1000</f>
        <v>0</v>
      </c>
      <c r="AH216" s="41">
        <f>O216/'1. Väestöennuste'!Q216*1000</f>
        <v>0</v>
      </c>
      <c r="AI216" s="41">
        <f>P216/'1. Väestöennuste'!R216*1000</f>
        <v>0</v>
      </c>
    </row>
    <row r="217" spans="1:35" x14ac:dyDescent="0.2">
      <c r="A217" s="30">
        <v>636</v>
      </c>
      <c r="B217" s="31" t="s">
        <v>531</v>
      </c>
      <c r="C217" s="64">
        <v>0</v>
      </c>
      <c r="D217" s="64"/>
      <c r="E217" s="64">
        <v>0</v>
      </c>
      <c r="F217" s="65">
        <v>0</v>
      </c>
      <c r="G217" s="65">
        <v>0</v>
      </c>
      <c r="H217" s="41">
        <v>0</v>
      </c>
      <c r="I217" s="165">
        <v>0</v>
      </c>
      <c r="J217" s="41">
        <v>0</v>
      </c>
      <c r="K217" s="41">
        <v>672.00977</v>
      </c>
      <c r="L217" s="41">
        <v>0</v>
      </c>
      <c r="M217" s="41">
        <v>0</v>
      </c>
      <c r="N217" s="41">
        <v>0</v>
      </c>
      <c r="O217" s="41">
        <v>0</v>
      </c>
      <c r="P217" s="41">
        <v>0</v>
      </c>
      <c r="T217" s="30">
        <v>636</v>
      </c>
      <c r="U217" s="31" t="s">
        <v>531</v>
      </c>
      <c r="V217" s="41">
        <f>C217/'1. Väestöennuste'!E217*1000</f>
        <v>0</v>
      </c>
      <c r="W217" s="41">
        <f>D217/'1. Väestöennuste'!F217*1000</f>
        <v>0</v>
      </c>
      <c r="X217" s="41">
        <f>E217/'1. Väestöennuste'!G217*1000</f>
        <v>0</v>
      </c>
      <c r="Y217" s="41">
        <f>F217/'1. Väestöennuste'!H217*1000</f>
        <v>0</v>
      </c>
      <c r="Z217" s="41">
        <f>G217/'1. Väestöennuste'!I217*1000</f>
        <v>0</v>
      </c>
      <c r="AA217" s="41">
        <f>H217/'1. Väestöennuste'!J217*1000</f>
        <v>0</v>
      </c>
      <c r="AB217" s="41">
        <f>I217/'1. Väestöennuste'!K217*1000</f>
        <v>0</v>
      </c>
      <c r="AC217" s="41">
        <f>J217/'1. Väestöennuste'!L217*1000</f>
        <v>0</v>
      </c>
      <c r="AD217" s="41">
        <f>K217/'1. Väestöennuste'!M217*1000</f>
        <v>82.6580282902829</v>
      </c>
      <c r="AE217" s="41">
        <f>L217/'1. Väestöennuste'!N217*1000</f>
        <v>0</v>
      </c>
      <c r="AF217" s="41">
        <f>M217/'1. Väestöennuste'!O217*1000</f>
        <v>0</v>
      </c>
      <c r="AG217" s="41">
        <f>N217/'1. Väestöennuste'!P217*1000</f>
        <v>0</v>
      </c>
      <c r="AH217" s="41">
        <f>O217/'1. Väestöennuste'!Q217*1000</f>
        <v>0</v>
      </c>
      <c r="AI217" s="41">
        <f>P217/'1. Väestöennuste'!R217*1000</f>
        <v>0</v>
      </c>
    </row>
    <row r="218" spans="1:35" x14ac:dyDescent="0.2">
      <c r="A218" s="30">
        <v>638</v>
      </c>
      <c r="B218" s="31" t="s">
        <v>532</v>
      </c>
      <c r="C218" s="64">
        <v>0</v>
      </c>
      <c r="D218" s="64">
        <v>2030</v>
      </c>
      <c r="E218" s="64">
        <v>0</v>
      </c>
      <c r="F218" s="65">
        <v>0</v>
      </c>
      <c r="G218" s="65">
        <v>0</v>
      </c>
      <c r="H218" s="41">
        <v>-759</v>
      </c>
      <c r="I218" s="165">
        <v>0</v>
      </c>
      <c r="J218" s="41">
        <v>0</v>
      </c>
      <c r="K218" s="41">
        <v>0</v>
      </c>
      <c r="L218" s="41">
        <v>0</v>
      </c>
      <c r="M218" s="41">
        <v>0</v>
      </c>
      <c r="N218" s="41">
        <v>0</v>
      </c>
      <c r="O218" s="41">
        <v>0</v>
      </c>
      <c r="P218" s="41">
        <v>0</v>
      </c>
      <c r="T218" s="30">
        <v>638</v>
      </c>
      <c r="U218" s="31" t="s">
        <v>532</v>
      </c>
      <c r="V218" s="41">
        <f>C218/'1. Väestöennuste'!E218*1000</f>
        <v>0</v>
      </c>
      <c r="W218" s="41">
        <f>D218/'1. Väestöennuste'!F218*1000</f>
        <v>40.48340778557754</v>
      </c>
      <c r="X218" s="41">
        <f>E218/'1. Väestöennuste'!G218*1000</f>
        <v>0</v>
      </c>
      <c r="Y218" s="41">
        <f>F218/'1. Väestöennuste'!H218*1000</f>
        <v>0</v>
      </c>
      <c r="Z218" s="41">
        <f>G218/'1. Väestöennuste'!I218*1000</f>
        <v>0</v>
      </c>
      <c r="AA218" s="41">
        <f>H218/'1. Väestöennuste'!J218*1000</f>
        <v>-14.99436970307592</v>
      </c>
      <c r="AB218" s="41">
        <f>I218/'1. Väestöennuste'!K218*1000</f>
        <v>0</v>
      </c>
      <c r="AC218" s="41">
        <f>J218/'1. Väestöennuste'!L218*1000</f>
        <v>0</v>
      </c>
      <c r="AD218" s="41">
        <f>K218/'1. Väestöennuste'!M218*1000</f>
        <v>0</v>
      </c>
      <c r="AE218" s="41">
        <f>L218/'1. Väestöennuste'!N218*1000</f>
        <v>0</v>
      </c>
      <c r="AF218" s="41">
        <f>M218/'1. Väestöennuste'!O218*1000</f>
        <v>0</v>
      </c>
      <c r="AG218" s="41">
        <f>N218/'1. Väestöennuste'!P218*1000</f>
        <v>0</v>
      </c>
      <c r="AH218" s="41">
        <f>O218/'1. Väestöennuste'!Q218*1000</f>
        <v>0</v>
      </c>
      <c r="AI218" s="41">
        <f>P218/'1. Väestöennuste'!R218*1000</f>
        <v>0</v>
      </c>
    </row>
    <row r="219" spans="1:35" x14ac:dyDescent="0.2">
      <c r="A219" s="30">
        <v>678</v>
      </c>
      <c r="B219" s="31" t="s">
        <v>533</v>
      </c>
      <c r="C219" s="64">
        <v>0</v>
      </c>
      <c r="D219" s="64"/>
      <c r="E219" s="64">
        <v>0</v>
      </c>
      <c r="F219" s="65">
        <v>0</v>
      </c>
      <c r="G219" s="65">
        <v>357</v>
      </c>
      <c r="H219" s="41">
        <v>-1024</v>
      </c>
      <c r="I219" s="165">
        <v>9315.1180000000004</v>
      </c>
      <c r="J219" s="41">
        <v>0</v>
      </c>
      <c r="K219" s="41">
        <v>-4889.2393000000002</v>
      </c>
      <c r="L219" s="41">
        <v>0</v>
      </c>
      <c r="M219" s="41">
        <v>0</v>
      </c>
      <c r="N219" s="41">
        <v>0</v>
      </c>
      <c r="O219" s="41">
        <v>0</v>
      </c>
      <c r="P219" s="41">
        <v>0</v>
      </c>
      <c r="T219" s="30">
        <v>678</v>
      </c>
      <c r="U219" s="31" t="s">
        <v>533</v>
      </c>
      <c r="V219" s="41">
        <f>C219/'1. Väestöennuste'!E219*1000</f>
        <v>0</v>
      </c>
      <c r="W219" s="41">
        <f>D219/'1. Väestöennuste'!F219*1000</f>
        <v>0</v>
      </c>
      <c r="X219" s="41">
        <f>E219/'1. Väestöennuste'!G219*1000</f>
        <v>0</v>
      </c>
      <c r="Y219" s="41">
        <f>F219/'1. Väestöennuste'!H219*1000</f>
        <v>0</v>
      </c>
      <c r="Z219" s="41">
        <f>G219/'1. Väestöennuste'!I219*1000</f>
        <v>14.465740102921513</v>
      </c>
      <c r="AA219" s="41">
        <f>H219/'1. Väestöennuste'!J219*1000</f>
        <v>-42.048207613025085</v>
      </c>
      <c r="AB219" s="41">
        <f>I219/'1. Väestöennuste'!K219*1000</f>
        <v>383.97023907666943</v>
      </c>
      <c r="AC219" s="41">
        <f>J219/'1. Väestöennuste'!L219*1000</f>
        <v>0</v>
      </c>
      <c r="AD219" s="41">
        <f>K219/'1. Väestöennuste'!M219*1000</f>
        <v>-205.45612051939321</v>
      </c>
      <c r="AE219" s="41">
        <f>L219/'1. Väestöennuste'!N219*1000</f>
        <v>0</v>
      </c>
      <c r="AF219" s="41">
        <f>M219/'1. Väestöennuste'!O219*1000</f>
        <v>0</v>
      </c>
      <c r="AG219" s="41">
        <f>N219/'1. Väestöennuste'!P219*1000</f>
        <v>0</v>
      </c>
      <c r="AH219" s="41">
        <f>O219/'1. Väestöennuste'!Q219*1000</f>
        <v>0</v>
      </c>
      <c r="AI219" s="41">
        <f>P219/'1. Väestöennuste'!R219*1000</f>
        <v>0</v>
      </c>
    </row>
    <row r="220" spans="1:35" x14ac:dyDescent="0.2">
      <c r="A220" s="30">
        <v>680</v>
      </c>
      <c r="B220" s="31" t="s">
        <v>534</v>
      </c>
      <c r="C220" s="64">
        <v>0</v>
      </c>
      <c r="D220" s="64">
        <v>16585</v>
      </c>
      <c r="E220" s="64">
        <v>0</v>
      </c>
      <c r="F220" s="65">
        <v>0</v>
      </c>
      <c r="G220" s="65">
        <v>1633</v>
      </c>
      <c r="H220" s="41">
        <v>1636</v>
      </c>
      <c r="I220" s="165">
        <v>0</v>
      </c>
      <c r="J220" s="41">
        <v>0</v>
      </c>
      <c r="K220" s="41">
        <v>0</v>
      </c>
      <c r="L220" s="41">
        <v>0</v>
      </c>
      <c r="M220" s="41">
        <v>0</v>
      </c>
      <c r="N220" s="41">
        <v>0</v>
      </c>
      <c r="O220" s="41">
        <v>0</v>
      </c>
      <c r="P220" s="41">
        <v>0</v>
      </c>
      <c r="T220" s="30">
        <v>680</v>
      </c>
      <c r="U220" s="31" t="s">
        <v>534</v>
      </c>
      <c r="V220" s="41">
        <f>C220/'1. Väestöennuste'!E220*1000</f>
        <v>0</v>
      </c>
      <c r="W220" s="41">
        <f>D220/'1. Väestöennuste'!F220*1000</f>
        <v>682.9880986698513</v>
      </c>
      <c r="X220" s="41">
        <f>E220/'1. Väestöennuste'!G220*1000</f>
        <v>0</v>
      </c>
      <c r="Y220" s="41">
        <f>F220/'1. Väestöennuste'!H220*1000</f>
        <v>0</v>
      </c>
      <c r="Z220" s="41">
        <f>G220/'1. Väestöennuste'!I220*1000</f>
        <v>67.883272364482863</v>
      </c>
      <c r="AA220" s="41">
        <f>H220/'1. Väestöennuste'!J220*1000</f>
        <v>67.029950424058669</v>
      </c>
      <c r="AB220" s="41">
        <f>I220/'1. Väestöennuste'!K220*1000</f>
        <v>0</v>
      </c>
      <c r="AC220" s="41">
        <f>J220/'1. Väestöennuste'!L220*1000</f>
        <v>0</v>
      </c>
      <c r="AD220" s="41">
        <f>K220/'1. Väestöennuste'!M220*1000</f>
        <v>0</v>
      </c>
      <c r="AE220" s="41">
        <f>L220/'1. Väestöennuste'!N220*1000</f>
        <v>0</v>
      </c>
      <c r="AF220" s="41">
        <f>M220/'1. Väestöennuste'!O220*1000</f>
        <v>0</v>
      </c>
      <c r="AG220" s="41">
        <f>N220/'1. Väestöennuste'!P220*1000</f>
        <v>0</v>
      </c>
      <c r="AH220" s="41">
        <f>O220/'1. Väestöennuste'!Q220*1000</f>
        <v>0</v>
      </c>
      <c r="AI220" s="41">
        <f>P220/'1. Väestöennuste'!R220*1000</f>
        <v>0</v>
      </c>
    </row>
    <row r="221" spans="1:35" x14ac:dyDescent="0.2">
      <c r="A221" s="30">
        <v>681</v>
      </c>
      <c r="B221" s="31" t="s">
        <v>535</v>
      </c>
      <c r="C221" s="64">
        <v>0</v>
      </c>
      <c r="D221" s="64"/>
      <c r="E221" s="64">
        <v>0</v>
      </c>
      <c r="F221" s="65">
        <v>0</v>
      </c>
      <c r="G221" s="65">
        <v>0</v>
      </c>
      <c r="H221" s="41">
        <v>0</v>
      </c>
      <c r="I221" s="165">
        <v>0</v>
      </c>
      <c r="J221" s="41">
        <v>0</v>
      </c>
      <c r="K221" s="41">
        <v>0</v>
      </c>
      <c r="L221" s="41">
        <v>0</v>
      </c>
      <c r="M221" s="41">
        <v>0</v>
      </c>
      <c r="N221" s="41">
        <v>0</v>
      </c>
      <c r="O221" s="41">
        <v>0</v>
      </c>
      <c r="P221" s="41">
        <v>0</v>
      </c>
      <c r="T221" s="30">
        <v>681</v>
      </c>
      <c r="U221" s="31" t="s">
        <v>535</v>
      </c>
      <c r="V221" s="41">
        <f>C221/'1. Väestöennuste'!E221*1000</f>
        <v>0</v>
      </c>
      <c r="W221" s="41">
        <f>D221/'1. Väestöennuste'!F221*1000</f>
        <v>0</v>
      </c>
      <c r="X221" s="41">
        <f>E221/'1. Väestöennuste'!G221*1000</f>
        <v>0</v>
      </c>
      <c r="Y221" s="41">
        <f>F221/'1. Väestöennuste'!H221*1000</f>
        <v>0</v>
      </c>
      <c r="Z221" s="41">
        <f>G221/'1. Väestöennuste'!I221*1000</f>
        <v>0</v>
      </c>
      <c r="AA221" s="41">
        <f>H221/'1. Väestöennuste'!J221*1000</f>
        <v>0</v>
      </c>
      <c r="AB221" s="41">
        <f>I221/'1. Väestöennuste'!K221*1000</f>
        <v>0</v>
      </c>
      <c r="AC221" s="41">
        <f>J221/'1. Väestöennuste'!L221*1000</f>
        <v>0</v>
      </c>
      <c r="AD221" s="41">
        <f>K221/'1. Väestöennuste'!M221*1000</f>
        <v>0</v>
      </c>
      <c r="AE221" s="41">
        <f>L221/'1. Väestöennuste'!N221*1000</f>
        <v>0</v>
      </c>
      <c r="AF221" s="41">
        <f>M221/'1. Väestöennuste'!O221*1000</f>
        <v>0</v>
      </c>
      <c r="AG221" s="41">
        <f>N221/'1. Väestöennuste'!P221*1000</f>
        <v>0</v>
      </c>
      <c r="AH221" s="41">
        <f>O221/'1. Väestöennuste'!Q221*1000</f>
        <v>0</v>
      </c>
      <c r="AI221" s="41">
        <f>P221/'1. Väestöennuste'!R221*1000</f>
        <v>0</v>
      </c>
    </row>
    <row r="222" spans="1:35" x14ac:dyDescent="0.2">
      <c r="A222" s="30">
        <v>683</v>
      </c>
      <c r="B222" s="31" t="s">
        <v>536</v>
      </c>
      <c r="C222" s="64">
        <v>0</v>
      </c>
      <c r="D222" s="64"/>
      <c r="E222" s="64">
        <v>0</v>
      </c>
      <c r="F222" s="65">
        <v>0</v>
      </c>
      <c r="G222" s="65">
        <v>0</v>
      </c>
      <c r="H222" s="41">
        <v>0</v>
      </c>
      <c r="I222" s="165">
        <v>0</v>
      </c>
      <c r="J222" s="41">
        <v>0</v>
      </c>
      <c r="K222" s="41">
        <v>0</v>
      </c>
      <c r="L222" s="41">
        <v>0</v>
      </c>
      <c r="M222" s="41">
        <v>0</v>
      </c>
      <c r="N222" s="41">
        <v>0</v>
      </c>
      <c r="O222" s="41">
        <v>0</v>
      </c>
      <c r="P222" s="41">
        <v>0</v>
      </c>
      <c r="T222" s="30">
        <v>683</v>
      </c>
      <c r="U222" s="31" t="s">
        <v>536</v>
      </c>
      <c r="V222" s="41">
        <f>C222/'1. Väestöennuste'!E222*1000</f>
        <v>0</v>
      </c>
      <c r="W222" s="41">
        <f>D222/'1. Väestöennuste'!F222*1000</f>
        <v>0</v>
      </c>
      <c r="X222" s="41">
        <f>E222/'1. Väestöennuste'!G222*1000</f>
        <v>0</v>
      </c>
      <c r="Y222" s="41">
        <f>F222/'1. Väestöennuste'!H222*1000</f>
        <v>0</v>
      </c>
      <c r="Z222" s="41">
        <f>G222/'1. Väestöennuste'!I222*1000</f>
        <v>0</v>
      </c>
      <c r="AA222" s="41">
        <f>H222/'1. Väestöennuste'!J222*1000</f>
        <v>0</v>
      </c>
      <c r="AB222" s="41">
        <f>I222/'1. Väestöennuste'!K222*1000</f>
        <v>0</v>
      </c>
      <c r="AC222" s="41">
        <f>J222/'1. Väestöennuste'!L222*1000</f>
        <v>0</v>
      </c>
      <c r="AD222" s="41">
        <f>K222/'1. Väestöennuste'!M222*1000</f>
        <v>0</v>
      </c>
      <c r="AE222" s="41">
        <f>L222/'1. Väestöennuste'!N222*1000</f>
        <v>0</v>
      </c>
      <c r="AF222" s="41">
        <f>M222/'1. Väestöennuste'!O222*1000</f>
        <v>0</v>
      </c>
      <c r="AG222" s="41">
        <f>N222/'1. Väestöennuste'!P222*1000</f>
        <v>0</v>
      </c>
      <c r="AH222" s="41">
        <f>O222/'1. Väestöennuste'!Q222*1000</f>
        <v>0</v>
      </c>
      <c r="AI222" s="41">
        <f>P222/'1. Väestöennuste'!R222*1000</f>
        <v>0</v>
      </c>
    </row>
    <row r="223" spans="1:35" x14ac:dyDescent="0.2">
      <c r="A223" s="30">
        <v>684</v>
      </c>
      <c r="B223" s="31" t="s">
        <v>537</v>
      </c>
      <c r="C223" s="64">
        <v>0</v>
      </c>
      <c r="D223" s="64"/>
      <c r="E223" s="64">
        <v>0</v>
      </c>
      <c r="F223" s="65">
        <v>0</v>
      </c>
      <c r="G223" s="65">
        <v>1590</v>
      </c>
      <c r="H223" s="41">
        <v>550</v>
      </c>
      <c r="I223" s="165">
        <v>0</v>
      </c>
      <c r="J223" s="41">
        <v>0</v>
      </c>
      <c r="K223" s="41">
        <v>0</v>
      </c>
      <c r="L223" s="41">
        <v>0</v>
      </c>
      <c r="M223" s="41">
        <v>0</v>
      </c>
      <c r="N223" s="41">
        <v>0</v>
      </c>
      <c r="O223" s="41">
        <v>0</v>
      </c>
      <c r="P223" s="41">
        <v>0</v>
      </c>
      <c r="T223" s="30">
        <v>684</v>
      </c>
      <c r="U223" s="31" t="s">
        <v>537</v>
      </c>
      <c r="V223" s="41">
        <f>C223/'1. Väestöennuste'!E223*1000</f>
        <v>0</v>
      </c>
      <c r="W223" s="41">
        <f>D223/'1. Väestöennuste'!F223*1000</f>
        <v>0</v>
      </c>
      <c r="X223" s="41">
        <f>E223/'1. Väestöennuste'!G223*1000</f>
        <v>0</v>
      </c>
      <c r="Y223" s="41">
        <f>F223/'1. Väestöennuste'!H223*1000</f>
        <v>0</v>
      </c>
      <c r="Z223" s="41">
        <f>G223/'1. Väestöennuste'!I223*1000</f>
        <v>40.556051524040299</v>
      </c>
      <c r="AA223" s="41">
        <f>H223/'1. Väestöennuste'!J223*1000</f>
        <v>14.088114754098362</v>
      </c>
      <c r="AB223" s="41">
        <f>I223/'1. Väestöennuste'!K223*1000</f>
        <v>0</v>
      </c>
      <c r="AC223" s="41">
        <f>J223/'1. Väestöennuste'!L223*1000</f>
        <v>0</v>
      </c>
      <c r="AD223" s="41">
        <f>K223/'1. Väestöennuste'!M223*1000</f>
        <v>0</v>
      </c>
      <c r="AE223" s="41">
        <f>L223/'1. Väestöennuste'!N223*1000</f>
        <v>0</v>
      </c>
      <c r="AF223" s="41">
        <f>M223/'1. Väestöennuste'!O223*1000</f>
        <v>0</v>
      </c>
      <c r="AG223" s="41">
        <f>N223/'1. Väestöennuste'!P223*1000</f>
        <v>0</v>
      </c>
      <c r="AH223" s="41">
        <f>O223/'1. Väestöennuste'!Q223*1000</f>
        <v>0</v>
      </c>
      <c r="AI223" s="41">
        <f>P223/'1. Väestöennuste'!R223*1000</f>
        <v>0</v>
      </c>
    </row>
    <row r="224" spans="1:35" x14ac:dyDescent="0.2">
      <c r="A224" s="30">
        <v>686</v>
      </c>
      <c r="B224" s="31" t="s">
        <v>538</v>
      </c>
      <c r="C224" s="64">
        <v>126</v>
      </c>
      <c r="D224" s="64"/>
      <c r="E224" s="64">
        <v>0</v>
      </c>
      <c r="F224" s="65">
        <v>95</v>
      </c>
      <c r="G224" s="65">
        <v>-13</v>
      </c>
      <c r="H224" s="41">
        <v>-129</v>
      </c>
      <c r="I224" s="165">
        <v>-0.42945</v>
      </c>
      <c r="J224" s="41">
        <v>0</v>
      </c>
      <c r="K224" s="41">
        <v>0</v>
      </c>
      <c r="L224" s="41"/>
      <c r="M224" s="41"/>
      <c r="N224" s="41"/>
      <c r="O224" s="41">
        <v>0</v>
      </c>
      <c r="P224" s="41">
        <v>0</v>
      </c>
      <c r="T224" s="30">
        <v>686</v>
      </c>
      <c r="U224" s="31" t="s">
        <v>538</v>
      </c>
      <c r="V224" s="41">
        <f>C224/'1. Väestöennuste'!E224*1000</f>
        <v>38.147138964577657</v>
      </c>
      <c r="W224" s="41">
        <f>D224/'1. Väestöennuste'!F224*1000</f>
        <v>0</v>
      </c>
      <c r="X224" s="41">
        <f>E224/'1. Väestöennuste'!G224*1000</f>
        <v>0</v>
      </c>
      <c r="Y224" s="41">
        <f>F224/'1. Väestöennuste'!H224*1000</f>
        <v>29.724655819774718</v>
      </c>
      <c r="Z224" s="41">
        <f>G224/'1. Väestöennuste'!I224*1000</f>
        <v>-4.1653316244793333</v>
      </c>
      <c r="AA224" s="41">
        <f>H224/'1. Väestöennuste'!J224*1000</f>
        <v>-42.25352112676056</v>
      </c>
      <c r="AB224" s="41">
        <f>I224/'1. Väestöennuste'!K224*1000</f>
        <v>-0.14159248269040553</v>
      </c>
      <c r="AC224" s="41">
        <f>J224/'1. Väestöennuste'!L224*1000</f>
        <v>0</v>
      </c>
      <c r="AD224" s="41">
        <f>K224/'1. Väestöennuste'!M224*1000</f>
        <v>0</v>
      </c>
      <c r="AE224" s="41">
        <f>L224/'1. Väestöennuste'!N224*1000</f>
        <v>0</v>
      </c>
      <c r="AF224" s="41">
        <f>M224/'1. Väestöennuste'!O224*1000</f>
        <v>0</v>
      </c>
      <c r="AG224" s="41">
        <f>N224/'1. Väestöennuste'!P224*1000</f>
        <v>0</v>
      </c>
      <c r="AH224" s="41">
        <f>O224/'1. Väestöennuste'!Q224*1000</f>
        <v>0</v>
      </c>
      <c r="AI224" s="41">
        <f>P224/'1. Väestöennuste'!R224*1000</f>
        <v>0</v>
      </c>
    </row>
    <row r="225" spans="1:35" x14ac:dyDescent="0.2">
      <c r="A225" s="30">
        <v>687</v>
      </c>
      <c r="B225" s="31" t="s">
        <v>539</v>
      </c>
      <c r="C225" s="64">
        <v>0</v>
      </c>
      <c r="D225" s="64">
        <v>-199</v>
      </c>
      <c r="E225" s="64">
        <v>0</v>
      </c>
      <c r="F225" s="65">
        <v>0</v>
      </c>
      <c r="G225" s="65">
        <v>0</v>
      </c>
      <c r="H225" s="41">
        <v>0</v>
      </c>
      <c r="I225" s="165">
        <v>0</v>
      </c>
      <c r="J225" s="41">
        <v>0</v>
      </c>
      <c r="K225" s="41">
        <v>0</v>
      </c>
      <c r="L225" s="41">
        <v>0</v>
      </c>
      <c r="M225" s="41">
        <v>0</v>
      </c>
      <c r="N225" s="41">
        <v>0</v>
      </c>
      <c r="O225" s="41">
        <v>0</v>
      </c>
      <c r="P225" s="41">
        <v>0</v>
      </c>
      <c r="T225" s="30">
        <v>687</v>
      </c>
      <c r="U225" s="31" t="s">
        <v>539</v>
      </c>
      <c r="V225" s="41">
        <f>C225/'1. Väestöennuste'!E225*1000</f>
        <v>0</v>
      </c>
      <c r="W225" s="41">
        <f>D225/'1. Väestöennuste'!F225*1000</f>
        <v>-115.4962275101567</v>
      </c>
      <c r="X225" s="41">
        <f>E225/'1. Väestöennuste'!G225*1000</f>
        <v>0</v>
      </c>
      <c r="Y225" s="41">
        <f>F225/'1. Väestöennuste'!H225*1000</f>
        <v>0</v>
      </c>
      <c r="Z225" s="41">
        <f>G225/'1. Väestöennuste'!I225*1000</f>
        <v>0</v>
      </c>
      <c r="AA225" s="41">
        <f>H225/'1. Väestöennuste'!J225*1000</f>
        <v>0</v>
      </c>
      <c r="AB225" s="41">
        <f>I225/'1. Väestöennuste'!K225*1000</f>
        <v>0</v>
      </c>
      <c r="AC225" s="41">
        <f>J225/'1. Väestöennuste'!L225*1000</f>
        <v>0</v>
      </c>
      <c r="AD225" s="41">
        <f>K225/'1. Väestöennuste'!M225*1000</f>
        <v>0</v>
      </c>
      <c r="AE225" s="41">
        <f>L225/'1. Väestöennuste'!N225*1000</f>
        <v>0</v>
      </c>
      <c r="AF225" s="41">
        <f>M225/'1. Väestöennuste'!O225*1000</f>
        <v>0</v>
      </c>
      <c r="AG225" s="41">
        <f>N225/'1. Väestöennuste'!P225*1000</f>
        <v>0</v>
      </c>
      <c r="AH225" s="41">
        <f>O225/'1. Väestöennuste'!Q225*1000</f>
        <v>0</v>
      </c>
      <c r="AI225" s="41">
        <f>P225/'1. Väestöennuste'!R225*1000</f>
        <v>0</v>
      </c>
    </row>
    <row r="226" spans="1:35" x14ac:dyDescent="0.2">
      <c r="A226" s="30">
        <v>689</v>
      </c>
      <c r="B226" s="31" t="s">
        <v>540</v>
      </c>
      <c r="C226" s="64">
        <v>0</v>
      </c>
      <c r="D226" s="64"/>
      <c r="E226" s="64">
        <v>0</v>
      </c>
      <c r="F226" s="65">
        <v>0</v>
      </c>
      <c r="G226" s="65">
        <v>60</v>
      </c>
      <c r="H226" s="41">
        <v>0</v>
      </c>
      <c r="I226" s="165">
        <v>0</v>
      </c>
      <c r="J226" s="41">
        <v>0</v>
      </c>
      <c r="K226" s="41">
        <v>0</v>
      </c>
      <c r="L226" s="41">
        <v>0</v>
      </c>
      <c r="M226" s="41">
        <v>0</v>
      </c>
      <c r="N226" s="41">
        <v>0</v>
      </c>
      <c r="O226" s="41">
        <v>0</v>
      </c>
      <c r="P226" s="41">
        <v>0</v>
      </c>
      <c r="T226" s="30">
        <v>689</v>
      </c>
      <c r="U226" s="31" t="s">
        <v>540</v>
      </c>
      <c r="V226" s="41">
        <f>C226/'1. Väestöennuste'!E226*1000</f>
        <v>0</v>
      </c>
      <c r="W226" s="41">
        <f>D226/'1. Väestöennuste'!F226*1000</f>
        <v>0</v>
      </c>
      <c r="X226" s="41">
        <f>E226/'1. Väestöennuste'!G226*1000</f>
        <v>0</v>
      </c>
      <c r="Y226" s="41">
        <f>F226/'1. Väestöennuste'!H226*1000</f>
        <v>0</v>
      </c>
      <c r="Z226" s="41">
        <f>G226/'1. Väestöennuste'!I226*1000</f>
        <v>18.598884066955982</v>
      </c>
      <c r="AA226" s="41">
        <f>H226/'1. Väestöennuste'!J226*1000</f>
        <v>0</v>
      </c>
      <c r="AB226" s="41">
        <f>I226/'1. Väestöennuste'!K226*1000</f>
        <v>0</v>
      </c>
      <c r="AC226" s="41">
        <f>J226/'1. Väestöennuste'!L226*1000</f>
        <v>0</v>
      </c>
      <c r="AD226" s="41">
        <f>K226/'1. Väestöennuste'!M226*1000</f>
        <v>0</v>
      </c>
      <c r="AE226" s="41">
        <f>L226/'1. Väestöennuste'!N226*1000</f>
        <v>0</v>
      </c>
      <c r="AF226" s="41">
        <f>M226/'1. Väestöennuste'!O226*1000</f>
        <v>0</v>
      </c>
      <c r="AG226" s="41">
        <f>N226/'1. Väestöennuste'!P226*1000</f>
        <v>0</v>
      </c>
      <c r="AH226" s="41">
        <f>O226/'1. Väestöennuste'!Q226*1000</f>
        <v>0</v>
      </c>
      <c r="AI226" s="41">
        <f>P226/'1. Väestöennuste'!R226*1000</f>
        <v>0</v>
      </c>
    </row>
    <row r="227" spans="1:35" x14ac:dyDescent="0.2">
      <c r="A227" s="30">
        <v>691</v>
      </c>
      <c r="B227" s="31" t="s">
        <v>541</v>
      </c>
      <c r="C227" s="64">
        <v>0</v>
      </c>
      <c r="D227" s="64">
        <v>17</v>
      </c>
      <c r="E227" s="64">
        <v>-417</v>
      </c>
      <c r="F227" s="65">
        <v>0</v>
      </c>
      <c r="G227" s="65">
        <v>0</v>
      </c>
      <c r="H227" s="41">
        <v>0</v>
      </c>
      <c r="I227" s="165">
        <v>-33.570349999999998</v>
      </c>
      <c r="J227" s="41">
        <v>0</v>
      </c>
      <c r="K227" s="41">
        <v>0</v>
      </c>
      <c r="L227" s="41">
        <v>0</v>
      </c>
      <c r="M227" s="41">
        <v>0</v>
      </c>
      <c r="N227" s="41">
        <v>0</v>
      </c>
      <c r="O227" s="41">
        <v>0</v>
      </c>
      <c r="P227" s="41">
        <v>0</v>
      </c>
      <c r="T227" s="30">
        <v>691</v>
      </c>
      <c r="U227" s="31" t="s">
        <v>541</v>
      </c>
      <c r="V227" s="41">
        <f>C227/'1. Väestöennuste'!E227*1000</f>
        <v>0</v>
      </c>
      <c r="W227" s="41">
        <f>D227/'1. Väestöennuste'!F227*1000</f>
        <v>5.9565522074281709</v>
      </c>
      <c r="X227" s="41">
        <f>E227/'1. Väestöennuste'!G227*1000</f>
        <v>-148.24031283327406</v>
      </c>
      <c r="Y227" s="41">
        <f>F227/'1. Väestöennuste'!H227*1000</f>
        <v>0</v>
      </c>
      <c r="Z227" s="41">
        <f>G227/'1. Väestöennuste'!I227*1000</f>
        <v>0</v>
      </c>
      <c r="AA227" s="41">
        <f>H227/'1. Väestöennuste'!J227*1000</f>
        <v>0</v>
      </c>
      <c r="AB227" s="41">
        <f>I227/'1. Väestöennuste'!K227*1000</f>
        <v>-12.479684014869887</v>
      </c>
      <c r="AC227" s="41">
        <f>J227/'1. Väestöennuste'!L227*1000</f>
        <v>0</v>
      </c>
      <c r="AD227" s="41">
        <f>K227/'1. Väestöennuste'!M227*1000</f>
        <v>0</v>
      </c>
      <c r="AE227" s="41">
        <f>L227/'1. Väestöennuste'!N227*1000</f>
        <v>0</v>
      </c>
      <c r="AF227" s="41">
        <f>M227/'1. Väestöennuste'!O227*1000</f>
        <v>0</v>
      </c>
      <c r="AG227" s="41">
        <f>N227/'1. Väestöennuste'!P227*1000</f>
        <v>0</v>
      </c>
      <c r="AH227" s="41">
        <f>O227/'1. Väestöennuste'!Q227*1000</f>
        <v>0</v>
      </c>
      <c r="AI227" s="41">
        <f>P227/'1. Väestöennuste'!R227*1000</f>
        <v>0</v>
      </c>
    </row>
    <row r="228" spans="1:35" x14ac:dyDescent="0.2">
      <c r="A228" s="30">
        <v>694</v>
      </c>
      <c r="B228" s="31" t="s">
        <v>542</v>
      </c>
      <c r="C228" s="64">
        <v>0</v>
      </c>
      <c r="D228" s="64"/>
      <c r="E228" s="64">
        <v>0</v>
      </c>
      <c r="F228" s="65">
        <v>0</v>
      </c>
      <c r="G228" s="65">
        <v>46586</v>
      </c>
      <c r="H228" s="41">
        <v>0</v>
      </c>
      <c r="I228" s="165">
        <v>0</v>
      </c>
      <c r="J228" s="41">
        <v>0</v>
      </c>
      <c r="K228" s="41">
        <v>0</v>
      </c>
      <c r="L228" s="41">
        <v>0</v>
      </c>
      <c r="M228" s="41">
        <v>0</v>
      </c>
      <c r="N228" s="41">
        <v>0</v>
      </c>
      <c r="O228" s="41">
        <v>0</v>
      </c>
      <c r="P228" s="41">
        <v>0</v>
      </c>
      <c r="T228" s="30">
        <v>694</v>
      </c>
      <c r="U228" s="31" t="s">
        <v>542</v>
      </c>
      <c r="V228" s="41">
        <f>C228/'1. Väestöennuste'!E228*1000</f>
        <v>0</v>
      </c>
      <c r="W228" s="41">
        <f>D228/'1. Väestöennuste'!F228*1000</f>
        <v>0</v>
      </c>
      <c r="X228" s="41">
        <f>E228/'1. Väestöennuste'!G228*1000</f>
        <v>0</v>
      </c>
      <c r="Y228" s="41">
        <f>F228/'1. Väestöennuste'!H228*1000</f>
        <v>0</v>
      </c>
      <c r="Z228" s="41">
        <f>G228/'1. Väestöennuste'!I228*1000</f>
        <v>1617.9626992671829</v>
      </c>
      <c r="AA228" s="41">
        <f>H228/'1. Väestöennuste'!J228*1000</f>
        <v>0</v>
      </c>
      <c r="AB228" s="41">
        <f>I228/'1. Väestöennuste'!K228*1000</f>
        <v>0</v>
      </c>
      <c r="AC228" s="41">
        <f>J228/'1. Väestöennuste'!L228*1000</f>
        <v>0</v>
      </c>
      <c r="AD228" s="41">
        <f>K228/'1. Väestöennuste'!M228*1000</f>
        <v>0</v>
      </c>
      <c r="AE228" s="41">
        <f>L228/'1. Väestöennuste'!N228*1000</f>
        <v>0</v>
      </c>
      <c r="AF228" s="41">
        <f>M228/'1. Väestöennuste'!O228*1000</f>
        <v>0</v>
      </c>
      <c r="AG228" s="41">
        <f>N228/'1. Väestöennuste'!P228*1000</f>
        <v>0</v>
      </c>
      <c r="AH228" s="41">
        <f>O228/'1. Väestöennuste'!Q228*1000</f>
        <v>0</v>
      </c>
      <c r="AI228" s="41">
        <f>P228/'1. Väestöennuste'!R228*1000</f>
        <v>0</v>
      </c>
    </row>
    <row r="229" spans="1:35" x14ac:dyDescent="0.2">
      <c r="A229" s="32">
        <v>697</v>
      </c>
      <c r="B229" s="33" t="s">
        <v>543</v>
      </c>
      <c r="C229" s="64">
        <v>0</v>
      </c>
      <c r="D229" s="64"/>
      <c r="E229" s="64">
        <v>0</v>
      </c>
      <c r="F229" s="65">
        <v>0</v>
      </c>
      <c r="G229" s="65">
        <v>0</v>
      </c>
      <c r="H229" s="41">
        <v>0</v>
      </c>
      <c r="I229" s="165">
        <v>0</v>
      </c>
      <c r="J229" s="41">
        <v>93.346000000000004</v>
      </c>
      <c r="K229" s="41">
        <v>0</v>
      </c>
      <c r="L229" s="41">
        <v>0</v>
      </c>
      <c r="M229" s="41">
        <v>0</v>
      </c>
      <c r="N229" s="41">
        <v>0</v>
      </c>
      <c r="O229" s="41">
        <v>0</v>
      </c>
      <c r="P229" s="41">
        <v>0</v>
      </c>
      <c r="T229" s="32">
        <v>697</v>
      </c>
      <c r="U229" s="33" t="s">
        <v>543</v>
      </c>
      <c r="V229" s="41">
        <f>C229/'1. Väestöennuste'!E229*1000</f>
        <v>0</v>
      </c>
      <c r="W229" s="41">
        <f>D229/'1. Väestöennuste'!F229*1000</f>
        <v>0</v>
      </c>
      <c r="X229" s="41">
        <f>E229/'1. Väestöennuste'!G229*1000</f>
        <v>0</v>
      </c>
      <c r="Y229" s="41">
        <f>F229/'1. Väestöennuste'!H229*1000</f>
        <v>0</v>
      </c>
      <c r="Z229" s="41">
        <f>G229/'1. Väestöennuste'!I229*1000</f>
        <v>0</v>
      </c>
      <c r="AA229" s="41">
        <f>H229/'1. Väestöennuste'!J229*1000</f>
        <v>0</v>
      </c>
      <c r="AB229" s="41">
        <f>I229/'1. Väestöennuste'!K229*1000</f>
        <v>0</v>
      </c>
      <c r="AC229" s="41">
        <f>J229/'1. Väestöennuste'!L229*1000</f>
        <v>79.511073253833047</v>
      </c>
      <c r="AD229" s="41">
        <f>K229/'1. Väestöennuste'!M229*1000</f>
        <v>0</v>
      </c>
      <c r="AE229" s="41">
        <f>L229/'1. Väestöennuste'!N229*1000</f>
        <v>0</v>
      </c>
      <c r="AF229" s="41">
        <f>M229/'1. Väestöennuste'!O229*1000</f>
        <v>0</v>
      </c>
      <c r="AG229" s="41">
        <f>N229/'1. Väestöennuste'!P229*1000</f>
        <v>0</v>
      </c>
      <c r="AH229" s="41">
        <f>O229/'1. Väestöennuste'!Q229*1000</f>
        <v>0</v>
      </c>
      <c r="AI229" s="41">
        <f>P229/'1. Väestöennuste'!R229*1000</f>
        <v>0</v>
      </c>
    </row>
    <row r="230" spans="1:35" x14ac:dyDescent="0.2">
      <c r="A230" s="30">
        <v>698</v>
      </c>
      <c r="B230" s="31" t="s">
        <v>544</v>
      </c>
      <c r="C230" s="64">
        <v>50456</v>
      </c>
      <c r="D230" s="64">
        <v>290</v>
      </c>
      <c r="E230" s="64">
        <v>684</v>
      </c>
      <c r="F230" s="65">
        <v>-1935</v>
      </c>
      <c r="G230" s="65">
        <v>0</v>
      </c>
      <c r="H230" s="41">
        <v>0</v>
      </c>
      <c r="I230" s="165">
        <v>0</v>
      </c>
      <c r="J230" s="41">
        <v>-105.22635000000001</v>
      </c>
      <c r="K230" s="41">
        <v>0</v>
      </c>
      <c r="L230" s="41">
        <v>0</v>
      </c>
      <c r="M230" s="41">
        <v>0</v>
      </c>
      <c r="N230" s="41">
        <v>0</v>
      </c>
      <c r="O230" s="41">
        <v>0</v>
      </c>
      <c r="P230" s="41">
        <v>0</v>
      </c>
      <c r="T230" s="30">
        <v>698</v>
      </c>
      <c r="U230" s="31" t="s">
        <v>544</v>
      </c>
      <c r="V230" s="41">
        <f>C230/'1. Väestöennuste'!E230*1000</f>
        <v>815.93841974190627</v>
      </c>
      <c r="W230" s="41">
        <f>D230/'1. Väestöennuste'!F230*1000</f>
        <v>4.6600568848323185</v>
      </c>
      <c r="X230" s="41">
        <f>E230/'1. Väestöennuste'!G230*1000</f>
        <v>10.958026273630246</v>
      </c>
      <c r="Y230" s="41">
        <f>F230/'1. Väestöennuste'!H230*1000</f>
        <v>-30.752360064842186</v>
      </c>
      <c r="Z230" s="41">
        <f>G230/'1. Väestöennuste'!I230*1000</f>
        <v>0</v>
      </c>
      <c r="AA230" s="41">
        <f>H230/'1. Väestöennuste'!J230*1000</f>
        <v>0</v>
      </c>
      <c r="AB230" s="41">
        <f>I230/'1. Väestöennuste'!K230*1000</f>
        <v>0</v>
      </c>
      <c r="AC230" s="41">
        <f>J230/'1. Väestöennuste'!L230*1000</f>
        <v>-1.630531494537848</v>
      </c>
      <c r="AD230" s="41">
        <f>K230/'1. Väestöennuste'!M230*1000</f>
        <v>0</v>
      </c>
      <c r="AE230" s="41">
        <f>L230/'1. Väestöennuste'!N230*1000</f>
        <v>0</v>
      </c>
      <c r="AF230" s="41">
        <f>M230/'1. Väestöennuste'!O230*1000</f>
        <v>0</v>
      </c>
      <c r="AG230" s="41">
        <f>N230/'1. Väestöennuste'!P230*1000</f>
        <v>0</v>
      </c>
      <c r="AH230" s="41">
        <f>O230/'1. Väestöennuste'!Q230*1000</f>
        <v>0</v>
      </c>
      <c r="AI230" s="41">
        <f>P230/'1. Väestöennuste'!R230*1000</f>
        <v>0</v>
      </c>
    </row>
    <row r="231" spans="1:35" x14ac:dyDescent="0.2">
      <c r="A231" s="30">
        <v>700</v>
      </c>
      <c r="B231" s="31" t="s">
        <v>545</v>
      </c>
      <c r="C231" s="64">
        <v>0</v>
      </c>
      <c r="D231" s="64"/>
      <c r="E231" s="64">
        <v>0</v>
      </c>
      <c r="F231" s="65">
        <v>0</v>
      </c>
      <c r="G231" s="65">
        <v>0</v>
      </c>
      <c r="H231" s="41">
        <v>0</v>
      </c>
      <c r="I231" s="165">
        <v>0</v>
      </c>
      <c r="J231" s="41">
        <v>0</v>
      </c>
      <c r="K231" s="41">
        <v>0</v>
      </c>
      <c r="L231" s="41">
        <v>0</v>
      </c>
      <c r="M231" s="41">
        <v>0</v>
      </c>
      <c r="N231" s="41">
        <v>0</v>
      </c>
      <c r="O231" s="41">
        <v>0</v>
      </c>
      <c r="P231" s="41">
        <v>0</v>
      </c>
      <c r="T231" s="30">
        <v>700</v>
      </c>
      <c r="U231" s="31" t="s">
        <v>545</v>
      </c>
      <c r="V231" s="41">
        <f>C231/'1. Väestöennuste'!E231*1000</f>
        <v>0</v>
      </c>
      <c r="W231" s="41">
        <f>D231/'1. Väestöennuste'!F231*1000</f>
        <v>0</v>
      </c>
      <c r="X231" s="41">
        <f>E231/'1. Väestöennuste'!G231*1000</f>
        <v>0</v>
      </c>
      <c r="Y231" s="41">
        <f>F231/'1. Väestöennuste'!H231*1000</f>
        <v>0</v>
      </c>
      <c r="Z231" s="41">
        <f>G231/'1. Väestöennuste'!I231*1000</f>
        <v>0</v>
      </c>
      <c r="AA231" s="41">
        <f>H231/'1. Väestöennuste'!J231*1000</f>
        <v>0</v>
      </c>
      <c r="AB231" s="41">
        <f>I231/'1. Väestöennuste'!K231*1000</f>
        <v>0</v>
      </c>
      <c r="AC231" s="41">
        <f>J231/'1. Väestöennuste'!L231*1000</f>
        <v>0</v>
      </c>
      <c r="AD231" s="41">
        <f>K231/'1. Väestöennuste'!M231*1000</f>
        <v>0</v>
      </c>
      <c r="AE231" s="41">
        <f>L231/'1. Väestöennuste'!N231*1000</f>
        <v>0</v>
      </c>
      <c r="AF231" s="41">
        <f>M231/'1. Väestöennuste'!O231*1000</f>
        <v>0</v>
      </c>
      <c r="AG231" s="41">
        <f>N231/'1. Väestöennuste'!P231*1000</f>
        <v>0</v>
      </c>
      <c r="AH231" s="41">
        <f>O231/'1. Väestöennuste'!Q231*1000</f>
        <v>0</v>
      </c>
      <c r="AI231" s="41">
        <f>P231/'1. Väestöennuste'!R231*1000</f>
        <v>0</v>
      </c>
    </row>
    <row r="232" spans="1:35" x14ac:dyDescent="0.2">
      <c r="A232" s="30">
        <v>702</v>
      </c>
      <c r="B232" s="31" t="s">
        <v>546</v>
      </c>
      <c r="C232" s="64">
        <v>0</v>
      </c>
      <c r="D232" s="64"/>
      <c r="E232" s="64">
        <v>0</v>
      </c>
      <c r="F232" s="65">
        <v>0</v>
      </c>
      <c r="G232" s="65">
        <v>0</v>
      </c>
      <c r="H232" s="41">
        <v>0</v>
      </c>
      <c r="I232" s="165">
        <v>0</v>
      </c>
      <c r="J232" s="41">
        <v>3.5028600000000001</v>
      </c>
      <c r="K232" s="41">
        <v>0</v>
      </c>
      <c r="L232" s="41">
        <v>0</v>
      </c>
      <c r="M232" s="41">
        <v>0</v>
      </c>
      <c r="N232" s="41">
        <v>0</v>
      </c>
      <c r="O232" s="41">
        <v>0</v>
      </c>
      <c r="P232" s="41">
        <v>0</v>
      </c>
      <c r="T232" s="30">
        <v>702</v>
      </c>
      <c r="U232" s="31" t="s">
        <v>546</v>
      </c>
      <c r="V232" s="41">
        <f>C232/'1. Väestöennuste'!E232*1000</f>
        <v>0</v>
      </c>
      <c r="W232" s="41">
        <f>D232/'1. Väestöennuste'!F232*1000</f>
        <v>0</v>
      </c>
      <c r="X232" s="41">
        <f>E232/'1. Väestöennuste'!G232*1000</f>
        <v>0</v>
      </c>
      <c r="Y232" s="41">
        <f>F232/'1. Väestöennuste'!H232*1000</f>
        <v>0</v>
      </c>
      <c r="Z232" s="41">
        <f>G232/'1. Väestöennuste'!I232*1000</f>
        <v>0</v>
      </c>
      <c r="AA232" s="41">
        <f>H232/'1. Väestöennuste'!J232*1000</f>
        <v>0</v>
      </c>
      <c r="AB232" s="41">
        <f>I232/'1. Väestöennuste'!K232*1000</f>
        <v>0</v>
      </c>
      <c r="AC232" s="41">
        <f>J232/'1. Väestöennuste'!L232*1000</f>
        <v>0.85144871171609138</v>
      </c>
      <c r="AD232" s="41">
        <f>K232/'1. Väestöennuste'!M232*1000</f>
        <v>0</v>
      </c>
      <c r="AE232" s="41">
        <f>L232/'1. Väestöennuste'!N232*1000</f>
        <v>0</v>
      </c>
      <c r="AF232" s="41">
        <f>M232/'1. Väestöennuste'!O232*1000</f>
        <v>0</v>
      </c>
      <c r="AG232" s="41">
        <f>N232/'1. Väestöennuste'!P232*1000</f>
        <v>0</v>
      </c>
      <c r="AH232" s="41">
        <f>O232/'1. Väestöennuste'!Q232*1000</f>
        <v>0</v>
      </c>
      <c r="AI232" s="41">
        <f>P232/'1. Väestöennuste'!R232*1000</f>
        <v>0</v>
      </c>
    </row>
    <row r="233" spans="1:35" x14ac:dyDescent="0.2">
      <c r="A233" s="30">
        <v>704</v>
      </c>
      <c r="B233" s="31" t="s">
        <v>547</v>
      </c>
      <c r="C233" s="64">
        <v>0</v>
      </c>
      <c r="D233" s="64"/>
      <c r="E233" s="64">
        <v>0</v>
      </c>
      <c r="F233" s="65">
        <v>0</v>
      </c>
      <c r="G233" s="65">
        <v>0</v>
      </c>
      <c r="H233" s="41">
        <v>0</v>
      </c>
      <c r="I233" s="165">
        <v>0</v>
      </c>
      <c r="J233" s="41">
        <v>0</v>
      </c>
      <c r="K233" s="41">
        <v>0</v>
      </c>
      <c r="L233" s="41">
        <v>0</v>
      </c>
      <c r="M233" s="41">
        <v>0</v>
      </c>
      <c r="N233" s="41">
        <v>0</v>
      </c>
      <c r="O233" s="41">
        <v>0</v>
      </c>
      <c r="P233" s="41">
        <v>0</v>
      </c>
      <c r="T233" s="30">
        <v>704</v>
      </c>
      <c r="U233" s="31" t="s">
        <v>547</v>
      </c>
      <c r="V233" s="41">
        <f>C233/'1. Väestöennuste'!E233*1000</f>
        <v>0</v>
      </c>
      <c r="W233" s="41">
        <f>D233/'1. Väestöennuste'!F233*1000</f>
        <v>0</v>
      </c>
      <c r="X233" s="41">
        <f>E233/'1. Väestöennuste'!G233*1000</f>
        <v>0</v>
      </c>
      <c r="Y233" s="41">
        <f>F233/'1. Väestöennuste'!H233*1000</f>
        <v>0</v>
      </c>
      <c r="Z233" s="41">
        <f>G233/'1. Väestöennuste'!I233*1000</f>
        <v>0</v>
      </c>
      <c r="AA233" s="41">
        <f>H233/'1. Väestöennuste'!J233*1000</f>
        <v>0</v>
      </c>
      <c r="AB233" s="41">
        <f>I233/'1. Väestöennuste'!K233*1000</f>
        <v>0</v>
      </c>
      <c r="AC233" s="41">
        <f>J233/'1. Väestöennuste'!L233*1000</f>
        <v>0</v>
      </c>
      <c r="AD233" s="41">
        <f>K233/'1. Väestöennuste'!M233*1000</f>
        <v>0</v>
      </c>
      <c r="AE233" s="41">
        <f>L233/'1. Väestöennuste'!N233*1000</f>
        <v>0</v>
      </c>
      <c r="AF233" s="41">
        <f>M233/'1. Väestöennuste'!O233*1000</f>
        <v>0</v>
      </c>
      <c r="AG233" s="41">
        <f>N233/'1. Väestöennuste'!P233*1000</f>
        <v>0</v>
      </c>
      <c r="AH233" s="41">
        <f>O233/'1. Väestöennuste'!Q233*1000</f>
        <v>0</v>
      </c>
      <c r="AI233" s="41">
        <f>P233/'1. Väestöennuste'!R233*1000</f>
        <v>0</v>
      </c>
    </row>
    <row r="234" spans="1:35" x14ac:dyDescent="0.2">
      <c r="A234" s="30">
        <v>707</v>
      </c>
      <c r="B234" s="31" t="s">
        <v>548</v>
      </c>
      <c r="C234" s="64">
        <v>3490</v>
      </c>
      <c r="D234" s="64"/>
      <c r="E234" s="64">
        <v>166</v>
      </c>
      <c r="F234" s="65">
        <v>0</v>
      </c>
      <c r="G234" s="65">
        <v>0</v>
      </c>
      <c r="H234" s="41">
        <v>0</v>
      </c>
      <c r="I234" s="165">
        <v>0</v>
      </c>
      <c r="J234" s="41">
        <v>0</v>
      </c>
      <c r="K234" s="41">
        <v>0</v>
      </c>
      <c r="L234" s="41">
        <v>0</v>
      </c>
      <c r="M234" s="41">
        <v>0</v>
      </c>
      <c r="N234" s="41">
        <v>0</v>
      </c>
      <c r="O234" s="41">
        <v>0</v>
      </c>
      <c r="P234" s="41">
        <v>0</v>
      </c>
      <c r="T234" s="30">
        <v>707</v>
      </c>
      <c r="U234" s="31" t="s">
        <v>548</v>
      </c>
      <c r="V234" s="41">
        <f>C234/'1. Väestöennuste'!E234*1000</f>
        <v>1485.7386121753937</v>
      </c>
      <c r="W234" s="41">
        <f>D234/'1. Väestöennuste'!F234*1000</f>
        <v>0</v>
      </c>
      <c r="X234" s="41">
        <f>E234/'1. Väestöennuste'!G234*1000</f>
        <v>74.107142857142861</v>
      </c>
      <c r="Y234" s="41">
        <f>F234/'1. Väestöennuste'!H234*1000</f>
        <v>0</v>
      </c>
      <c r="Z234" s="41">
        <f>G234/'1. Väestöennuste'!I234*1000</f>
        <v>0</v>
      </c>
      <c r="AA234" s="41">
        <f>H234/'1. Väestöennuste'!J234*1000</f>
        <v>0</v>
      </c>
      <c r="AB234" s="41">
        <f>I234/'1. Väestöennuste'!K234*1000</f>
        <v>0</v>
      </c>
      <c r="AC234" s="41">
        <f>J234/'1. Väestöennuste'!L234*1000</f>
        <v>0</v>
      </c>
      <c r="AD234" s="41">
        <f>K234/'1. Väestöennuste'!M234*1000</f>
        <v>0</v>
      </c>
      <c r="AE234" s="41">
        <f>L234/'1. Väestöennuste'!N234*1000</f>
        <v>0</v>
      </c>
      <c r="AF234" s="41">
        <f>M234/'1. Väestöennuste'!O234*1000</f>
        <v>0</v>
      </c>
      <c r="AG234" s="41">
        <f>N234/'1. Väestöennuste'!P234*1000</f>
        <v>0</v>
      </c>
      <c r="AH234" s="41">
        <f>O234/'1. Väestöennuste'!Q234*1000</f>
        <v>0</v>
      </c>
      <c r="AI234" s="41">
        <f>P234/'1. Väestöennuste'!R234*1000</f>
        <v>0</v>
      </c>
    </row>
    <row r="235" spans="1:35" x14ac:dyDescent="0.2">
      <c r="A235" s="30">
        <v>710</v>
      </c>
      <c r="B235" s="31" t="s">
        <v>549</v>
      </c>
      <c r="C235" s="64">
        <v>0</v>
      </c>
      <c r="D235" s="64"/>
      <c r="E235" s="64">
        <v>0</v>
      </c>
      <c r="F235" s="65">
        <v>0</v>
      </c>
      <c r="G235" s="65">
        <v>0</v>
      </c>
      <c r="H235" s="41">
        <v>0</v>
      </c>
      <c r="I235" s="165">
        <v>0</v>
      </c>
      <c r="J235" s="41">
        <v>0</v>
      </c>
      <c r="K235" s="41">
        <v>0</v>
      </c>
      <c r="L235" s="41">
        <v>0</v>
      </c>
      <c r="M235" s="41">
        <v>0</v>
      </c>
      <c r="N235" s="41">
        <v>0</v>
      </c>
      <c r="O235" s="41">
        <v>0</v>
      </c>
      <c r="P235" s="41">
        <v>0</v>
      </c>
      <c r="T235" s="30">
        <v>710</v>
      </c>
      <c r="U235" s="31" t="s">
        <v>549</v>
      </c>
      <c r="V235" s="41">
        <f>C235/'1. Väestöennuste'!E235*1000</f>
        <v>0</v>
      </c>
      <c r="W235" s="41">
        <f>D235/'1. Väestöennuste'!F235*1000</f>
        <v>0</v>
      </c>
      <c r="X235" s="41">
        <f>E235/'1. Väestöennuste'!G235*1000</f>
        <v>0</v>
      </c>
      <c r="Y235" s="41">
        <f>F235/'1. Väestöennuste'!H235*1000</f>
        <v>0</v>
      </c>
      <c r="Z235" s="41">
        <f>G235/'1. Väestöennuste'!I235*1000</f>
        <v>0</v>
      </c>
      <c r="AA235" s="41">
        <f>H235/'1. Väestöennuste'!J235*1000</f>
        <v>0</v>
      </c>
      <c r="AB235" s="41">
        <f>I235/'1. Väestöennuste'!K235*1000</f>
        <v>0</v>
      </c>
      <c r="AC235" s="41">
        <f>J235/'1. Väestöennuste'!L235*1000</f>
        <v>0</v>
      </c>
      <c r="AD235" s="41">
        <f>K235/'1. Väestöennuste'!M235*1000</f>
        <v>0</v>
      </c>
      <c r="AE235" s="41">
        <f>L235/'1. Väestöennuste'!N235*1000</f>
        <v>0</v>
      </c>
      <c r="AF235" s="41">
        <f>M235/'1. Väestöennuste'!O235*1000</f>
        <v>0</v>
      </c>
      <c r="AG235" s="41">
        <f>N235/'1. Väestöennuste'!P235*1000</f>
        <v>0</v>
      </c>
      <c r="AH235" s="41">
        <f>O235/'1. Väestöennuste'!Q235*1000</f>
        <v>0</v>
      </c>
      <c r="AI235" s="41">
        <f>P235/'1. Väestöennuste'!R235*1000</f>
        <v>0</v>
      </c>
    </row>
    <row r="236" spans="1:35" x14ac:dyDescent="0.2">
      <c r="A236" s="30">
        <v>729</v>
      </c>
      <c r="B236" s="31" t="s">
        <v>550</v>
      </c>
      <c r="C236" s="64">
        <v>0</v>
      </c>
      <c r="D236" s="64"/>
      <c r="E236" s="64">
        <v>0</v>
      </c>
      <c r="F236" s="65">
        <v>0</v>
      </c>
      <c r="G236" s="65">
        <v>0</v>
      </c>
      <c r="H236" s="41">
        <v>0</v>
      </c>
      <c r="I236" s="165">
        <v>0</v>
      </c>
      <c r="J236" s="41">
        <v>0</v>
      </c>
      <c r="K236" s="41">
        <v>0</v>
      </c>
      <c r="L236" s="41">
        <v>0</v>
      </c>
      <c r="M236" s="41">
        <v>0</v>
      </c>
      <c r="N236" s="41">
        <v>0</v>
      </c>
      <c r="O236" s="41">
        <v>0</v>
      </c>
      <c r="P236" s="41">
        <v>0</v>
      </c>
      <c r="T236" s="30">
        <v>729</v>
      </c>
      <c r="U236" s="31" t="s">
        <v>550</v>
      </c>
      <c r="V236" s="41">
        <f>C236/'1. Väestöennuste'!E236*1000</f>
        <v>0</v>
      </c>
      <c r="W236" s="41">
        <f>D236/'1. Väestöennuste'!F236*1000</f>
        <v>0</v>
      </c>
      <c r="X236" s="41">
        <f>E236/'1. Väestöennuste'!G236*1000</f>
        <v>0</v>
      </c>
      <c r="Y236" s="41">
        <f>F236/'1. Väestöennuste'!H236*1000</f>
        <v>0</v>
      </c>
      <c r="Z236" s="41">
        <f>G236/'1. Väestöennuste'!I236*1000</f>
        <v>0</v>
      </c>
      <c r="AA236" s="41">
        <f>H236/'1. Väestöennuste'!J236*1000</f>
        <v>0</v>
      </c>
      <c r="AB236" s="41">
        <f>I236/'1. Väestöennuste'!K236*1000</f>
        <v>0</v>
      </c>
      <c r="AC236" s="41">
        <f>J236/'1. Väestöennuste'!L236*1000</f>
        <v>0</v>
      </c>
      <c r="AD236" s="41">
        <f>K236/'1. Väestöennuste'!M236*1000</f>
        <v>0</v>
      </c>
      <c r="AE236" s="41">
        <f>L236/'1. Väestöennuste'!N236*1000</f>
        <v>0</v>
      </c>
      <c r="AF236" s="41">
        <f>M236/'1. Väestöennuste'!O236*1000</f>
        <v>0</v>
      </c>
      <c r="AG236" s="41">
        <f>N236/'1. Väestöennuste'!P236*1000</f>
        <v>0</v>
      </c>
      <c r="AH236" s="41">
        <f>O236/'1. Väestöennuste'!Q236*1000</f>
        <v>0</v>
      </c>
      <c r="AI236" s="41">
        <f>P236/'1. Väestöennuste'!R236*1000</f>
        <v>0</v>
      </c>
    </row>
    <row r="237" spans="1:35" x14ac:dyDescent="0.2">
      <c r="A237" s="30">
        <v>732</v>
      </c>
      <c r="B237" s="31" t="s">
        <v>551</v>
      </c>
      <c r="C237" s="64">
        <v>0</v>
      </c>
      <c r="D237" s="64"/>
      <c r="E237" s="64">
        <v>0</v>
      </c>
      <c r="F237" s="65">
        <v>0</v>
      </c>
      <c r="G237" s="65">
        <v>0</v>
      </c>
      <c r="H237" s="41">
        <v>0</v>
      </c>
      <c r="I237" s="165">
        <v>0</v>
      </c>
      <c r="J237" s="41">
        <v>0</v>
      </c>
      <c r="K237" s="41">
        <v>0</v>
      </c>
      <c r="L237" s="41">
        <v>0</v>
      </c>
      <c r="M237" s="41">
        <v>0</v>
      </c>
      <c r="N237" s="41">
        <v>0</v>
      </c>
      <c r="O237" s="41">
        <v>0</v>
      </c>
      <c r="P237" s="41">
        <v>0</v>
      </c>
      <c r="T237" s="30">
        <v>732</v>
      </c>
      <c r="U237" s="31" t="s">
        <v>551</v>
      </c>
      <c r="V237" s="41">
        <f>C237/'1. Väestöennuste'!E237*1000</f>
        <v>0</v>
      </c>
      <c r="W237" s="41">
        <f>D237/'1. Väestöennuste'!F237*1000</f>
        <v>0</v>
      </c>
      <c r="X237" s="41">
        <f>E237/'1. Väestöennuste'!G237*1000</f>
        <v>0</v>
      </c>
      <c r="Y237" s="41">
        <f>F237/'1. Väestöennuste'!H237*1000</f>
        <v>0</v>
      </c>
      <c r="Z237" s="41">
        <f>G237/'1. Väestöennuste'!I237*1000</f>
        <v>0</v>
      </c>
      <c r="AA237" s="41">
        <f>H237/'1. Väestöennuste'!J237*1000</f>
        <v>0</v>
      </c>
      <c r="AB237" s="41">
        <f>I237/'1. Väestöennuste'!K237*1000</f>
        <v>0</v>
      </c>
      <c r="AC237" s="41">
        <f>J237/'1. Väestöennuste'!L237*1000</f>
        <v>0</v>
      </c>
      <c r="AD237" s="41">
        <f>K237/'1. Väestöennuste'!M237*1000</f>
        <v>0</v>
      </c>
      <c r="AE237" s="41">
        <f>L237/'1. Väestöennuste'!N237*1000</f>
        <v>0</v>
      </c>
      <c r="AF237" s="41">
        <f>M237/'1. Väestöennuste'!O237*1000</f>
        <v>0</v>
      </c>
      <c r="AG237" s="41">
        <f>N237/'1. Väestöennuste'!P237*1000</f>
        <v>0</v>
      </c>
      <c r="AH237" s="41">
        <f>O237/'1. Väestöennuste'!Q237*1000</f>
        <v>0</v>
      </c>
      <c r="AI237" s="41">
        <f>P237/'1. Väestöennuste'!R237*1000</f>
        <v>0</v>
      </c>
    </row>
    <row r="238" spans="1:35" x14ac:dyDescent="0.2">
      <c r="A238" s="30">
        <v>734</v>
      </c>
      <c r="B238" s="31" t="s">
        <v>552</v>
      </c>
      <c r="C238" s="64">
        <v>6050</v>
      </c>
      <c r="D238" s="64"/>
      <c r="E238" s="64">
        <v>0</v>
      </c>
      <c r="F238" s="65">
        <v>0</v>
      </c>
      <c r="G238" s="65">
        <v>1006</v>
      </c>
      <c r="H238" s="41">
        <v>0</v>
      </c>
      <c r="I238" s="165">
        <v>0</v>
      </c>
      <c r="J238" s="41">
        <v>0</v>
      </c>
      <c r="K238" s="41">
        <v>566.06681999999989</v>
      </c>
      <c r="L238" s="41">
        <v>0</v>
      </c>
      <c r="M238" s="41">
        <v>0</v>
      </c>
      <c r="N238" s="41">
        <v>0</v>
      </c>
      <c r="O238" s="41">
        <v>0</v>
      </c>
      <c r="P238" s="41">
        <v>0</v>
      </c>
      <c r="T238" s="30">
        <v>734</v>
      </c>
      <c r="U238" s="31" t="s">
        <v>552</v>
      </c>
      <c r="V238" s="41">
        <f>C238/'1. Väestöennuste'!E238*1000</f>
        <v>112.26572647986639</v>
      </c>
      <c r="W238" s="41">
        <f>D238/'1. Väestöennuste'!F238*1000</f>
        <v>0</v>
      </c>
      <c r="X238" s="41">
        <f>E238/'1. Väestöennuste'!G238*1000</f>
        <v>0</v>
      </c>
      <c r="Y238" s="41">
        <f>F238/'1. Väestöennuste'!H238*1000</f>
        <v>0</v>
      </c>
      <c r="Z238" s="41">
        <f>G238/'1. Väestöennuste'!I238*1000</f>
        <v>19.40848494202535</v>
      </c>
      <c r="AA238" s="41">
        <f>H238/'1. Väestöennuste'!J238*1000</f>
        <v>0</v>
      </c>
      <c r="AB238" s="41">
        <f>I238/'1. Väestöennuste'!K238*1000</f>
        <v>0</v>
      </c>
      <c r="AC238" s="41">
        <f>J238/'1. Väestöennuste'!L238*1000</f>
        <v>0</v>
      </c>
      <c r="AD238" s="41">
        <f>K238/'1. Väestöennuste'!M238*1000</f>
        <v>11.077628571428569</v>
      </c>
      <c r="AE238" s="41">
        <f>L238/'1. Väestöennuste'!N238*1000</f>
        <v>0</v>
      </c>
      <c r="AF238" s="41">
        <f>M238/'1. Väestöennuste'!O238*1000</f>
        <v>0</v>
      </c>
      <c r="AG238" s="41">
        <f>N238/'1. Väestöennuste'!P238*1000</f>
        <v>0</v>
      </c>
      <c r="AH238" s="41">
        <f>O238/'1. Väestöennuste'!Q238*1000</f>
        <v>0</v>
      </c>
      <c r="AI238" s="41">
        <f>P238/'1. Väestöennuste'!R238*1000</f>
        <v>0</v>
      </c>
    </row>
    <row r="239" spans="1:35" x14ac:dyDescent="0.2">
      <c r="A239" s="30">
        <v>738</v>
      </c>
      <c r="B239" s="31" t="s">
        <v>553</v>
      </c>
      <c r="C239" s="64">
        <v>0</v>
      </c>
      <c r="D239" s="64"/>
      <c r="E239" s="64">
        <v>0</v>
      </c>
      <c r="F239" s="65">
        <v>0</v>
      </c>
      <c r="G239" s="65">
        <v>0</v>
      </c>
      <c r="H239" s="41">
        <v>0</v>
      </c>
      <c r="I239" s="165">
        <v>0</v>
      </c>
      <c r="J239" s="41">
        <v>0</v>
      </c>
      <c r="K239" s="41">
        <v>0</v>
      </c>
      <c r="L239" s="41">
        <v>0</v>
      </c>
      <c r="M239" s="41">
        <v>0</v>
      </c>
      <c r="N239" s="41">
        <v>0</v>
      </c>
      <c r="O239" s="41">
        <v>0</v>
      </c>
      <c r="P239" s="41">
        <v>0</v>
      </c>
      <c r="T239" s="30">
        <v>738</v>
      </c>
      <c r="U239" s="31" t="s">
        <v>553</v>
      </c>
      <c r="V239" s="41">
        <f>C239/'1. Väestöennuste'!E239*1000</f>
        <v>0</v>
      </c>
      <c r="W239" s="41">
        <f>D239/'1. Väestöennuste'!F239*1000</f>
        <v>0</v>
      </c>
      <c r="X239" s="41">
        <f>E239/'1. Väestöennuste'!G239*1000</f>
        <v>0</v>
      </c>
      <c r="Y239" s="41">
        <f>F239/'1. Väestöennuste'!H239*1000</f>
        <v>0</v>
      </c>
      <c r="Z239" s="41">
        <f>G239/'1. Väestöennuste'!I239*1000</f>
        <v>0</v>
      </c>
      <c r="AA239" s="41">
        <f>H239/'1. Väestöennuste'!J239*1000</f>
        <v>0</v>
      </c>
      <c r="AB239" s="41">
        <f>I239/'1. Väestöennuste'!K239*1000</f>
        <v>0</v>
      </c>
      <c r="AC239" s="41">
        <f>J239/'1. Väestöennuste'!L239*1000</f>
        <v>0</v>
      </c>
      <c r="AD239" s="41">
        <f>K239/'1. Väestöennuste'!M239*1000</f>
        <v>0</v>
      </c>
      <c r="AE239" s="41">
        <f>L239/'1. Väestöennuste'!N239*1000</f>
        <v>0</v>
      </c>
      <c r="AF239" s="41">
        <f>M239/'1. Väestöennuste'!O239*1000</f>
        <v>0</v>
      </c>
      <c r="AG239" s="41">
        <f>N239/'1. Väestöennuste'!P239*1000</f>
        <v>0</v>
      </c>
      <c r="AH239" s="41">
        <f>O239/'1. Väestöennuste'!Q239*1000</f>
        <v>0</v>
      </c>
      <c r="AI239" s="41">
        <f>P239/'1. Väestöennuste'!R239*1000</f>
        <v>0</v>
      </c>
    </row>
    <row r="240" spans="1:35" x14ac:dyDescent="0.2">
      <c r="A240" s="30">
        <v>739</v>
      </c>
      <c r="B240" s="31" t="s">
        <v>554</v>
      </c>
      <c r="C240" s="64">
        <v>0</v>
      </c>
      <c r="D240" s="64"/>
      <c r="E240" s="64">
        <v>0</v>
      </c>
      <c r="F240" s="65">
        <v>0</v>
      </c>
      <c r="G240" s="65">
        <v>0</v>
      </c>
      <c r="H240" s="41">
        <v>0</v>
      </c>
      <c r="I240" s="165">
        <v>0</v>
      </c>
      <c r="J240" s="41">
        <v>0</v>
      </c>
      <c r="K240" s="41">
        <v>-1333.1738799999998</v>
      </c>
      <c r="L240" s="41">
        <v>0</v>
      </c>
      <c r="M240" s="41">
        <v>0</v>
      </c>
      <c r="N240" s="41">
        <v>0</v>
      </c>
      <c r="O240" s="41">
        <v>0</v>
      </c>
      <c r="P240" s="41">
        <v>0</v>
      </c>
      <c r="T240" s="30">
        <v>739</v>
      </c>
      <c r="U240" s="31" t="s">
        <v>554</v>
      </c>
      <c r="V240" s="41">
        <f>C240/'1. Väestöennuste'!E240*1000</f>
        <v>0</v>
      </c>
      <c r="W240" s="41">
        <f>D240/'1. Väestöennuste'!F240*1000</f>
        <v>0</v>
      </c>
      <c r="X240" s="41">
        <f>E240/'1. Väestöennuste'!G240*1000</f>
        <v>0</v>
      </c>
      <c r="Y240" s="41">
        <f>F240/'1. Väestöennuste'!H240*1000</f>
        <v>0</v>
      </c>
      <c r="Z240" s="41">
        <f>G240/'1. Väestöennuste'!I240*1000</f>
        <v>0</v>
      </c>
      <c r="AA240" s="41">
        <f>H240/'1. Väestöennuste'!J240*1000</f>
        <v>0</v>
      </c>
      <c r="AB240" s="41">
        <f>I240/'1. Väestöennuste'!K240*1000</f>
        <v>0</v>
      </c>
      <c r="AC240" s="41">
        <f>J240/'1. Väestöennuste'!L240*1000</f>
        <v>0</v>
      </c>
      <c r="AD240" s="41">
        <f>K240/'1. Väestöennuste'!M240*1000</f>
        <v>-414.54411691542282</v>
      </c>
      <c r="AE240" s="41">
        <f>L240/'1. Väestöennuste'!N240*1000</f>
        <v>0</v>
      </c>
      <c r="AF240" s="41">
        <f>M240/'1. Väestöennuste'!O240*1000</f>
        <v>0</v>
      </c>
      <c r="AG240" s="41">
        <f>N240/'1. Väestöennuste'!P240*1000</f>
        <v>0</v>
      </c>
      <c r="AH240" s="41">
        <f>O240/'1. Väestöennuste'!Q240*1000</f>
        <v>0</v>
      </c>
      <c r="AI240" s="41">
        <f>P240/'1. Väestöennuste'!R240*1000</f>
        <v>0</v>
      </c>
    </row>
    <row r="241" spans="1:35" x14ac:dyDescent="0.2">
      <c r="A241" s="30">
        <v>740</v>
      </c>
      <c r="B241" s="31" t="s">
        <v>555</v>
      </c>
      <c r="C241" s="64">
        <v>798</v>
      </c>
      <c r="D241" s="64"/>
      <c r="E241" s="64">
        <v>0</v>
      </c>
      <c r="F241" s="65">
        <v>0</v>
      </c>
      <c r="G241" s="65">
        <v>-2402</v>
      </c>
      <c r="H241" s="41">
        <v>0</v>
      </c>
      <c r="I241" s="165">
        <v>-242.30053000000001</v>
      </c>
      <c r="J241" s="41">
        <v>854.07365000000004</v>
      </c>
      <c r="K241" s="41">
        <v>0</v>
      </c>
      <c r="L241" s="41">
        <v>0</v>
      </c>
      <c r="M241" s="41">
        <v>0</v>
      </c>
      <c r="N241" s="41">
        <v>0</v>
      </c>
      <c r="O241" s="41">
        <v>0</v>
      </c>
      <c r="P241" s="41">
        <v>0</v>
      </c>
      <c r="T241" s="30">
        <v>740</v>
      </c>
      <c r="U241" s="31" t="s">
        <v>555</v>
      </c>
      <c r="V241" s="41">
        <f>C241/'1. Väestöennuste'!E241*1000</f>
        <v>22.464318891985474</v>
      </c>
      <c r="W241" s="41">
        <f>D241/'1. Väestöennuste'!F241*1000</f>
        <v>0</v>
      </c>
      <c r="X241" s="41">
        <f>E241/'1. Väestöennuste'!G241*1000</f>
        <v>0</v>
      </c>
      <c r="Y241" s="41">
        <f>F241/'1. Väestöennuste'!H241*1000</f>
        <v>0</v>
      </c>
      <c r="Z241" s="41">
        <f>G241/'1. Väestöennuste'!I241*1000</f>
        <v>-72.845272032510465</v>
      </c>
      <c r="AA241" s="41">
        <f>H241/'1. Väestöennuste'!J241*1000</f>
        <v>0</v>
      </c>
      <c r="AB241" s="41">
        <f>I241/'1. Väestöennuste'!K241*1000</f>
        <v>-7.4446348357759549</v>
      </c>
      <c r="AC241" s="41">
        <f>J241/'1. Väestöennuste'!L241*1000</f>
        <v>26.619094592488704</v>
      </c>
      <c r="AD241" s="41">
        <f>K241/'1. Väestöennuste'!M241*1000</f>
        <v>0</v>
      </c>
      <c r="AE241" s="41">
        <f>L241/'1. Väestöennuste'!N241*1000</f>
        <v>0</v>
      </c>
      <c r="AF241" s="41">
        <f>M241/'1. Väestöennuste'!O241*1000</f>
        <v>0</v>
      </c>
      <c r="AG241" s="41">
        <f>N241/'1. Väestöennuste'!P241*1000</f>
        <v>0</v>
      </c>
      <c r="AH241" s="41">
        <f>O241/'1. Väestöennuste'!Q241*1000</f>
        <v>0</v>
      </c>
      <c r="AI241" s="41">
        <f>P241/'1. Väestöennuste'!R241*1000</f>
        <v>0</v>
      </c>
    </row>
    <row r="242" spans="1:35" x14ac:dyDescent="0.2">
      <c r="A242" s="30">
        <v>742</v>
      </c>
      <c r="B242" s="31" t="s">
        <v>556</v>
      </c>
      <c r="C242" s="64">
        <v>0</v>
      </c>
      <c r="D242" s="64">
        <v>460</v>
      </c>
      <c r="E242" s="64">
        <v>0</v>
      </c>
      <c r="F242" s="65">
        <v>0</v>
      </c>
      <c r="G242" s="65">
        <v>0</v>
      </c>
      <c r="H242" s="41">
        <v>0</v>
      </c>
      <c r="I242" s="165">
        <v>-1.50668</v>
      </c>
      <c r="J242" s="41">
        <v>0</v>
      </c>
      <c r="K242" s="41">
        <v>-3.4066000000000001</v>
      </c>
      <c r="L242" s="41">
        <v>0</v>
      </c>
      <c r="M242" s="41">
        <v>0</v>
      </c>
      <c r="N242" s="41">
        <v>0</v>
      </c>
      <c r="O242" s="41">
        <v>0</v>
      </c>
      <c r="P242" s="41">
        <v>0</v>
      </c>
      <c r="T242" s="30">
        <v>742</v>
      </c>
      <c r="U242" s="31" t="s">
        <v>556</v>
      </c>
      <c r="V242" s="41">
        <f>C242/'1. Väestöennuste'!E242*1000</f>
        <v>0</v>
      </c>
      <c r="W242" s="41">
        <f>D242/'1. Väestöennuste'!F242*1000</f>
        <v>440.61302681992339</v>
      </c>
      <c r="X242" s="41">
        <f>E242/'1. Väestöennuste'!G242*1000</f>
        <v>0</v>
      </c>
      <c r="Y242" s="41">
        <f>F242/'1. Väestöennuste'!H242*1000</f>
        <v>0</v>
      </c>
      <c r="Z242" s="41">
        <f>G242/'1. Väestöennuste'!I242*1000</f>
        <v>0</v>
      </c>
      <c r="AA242" s="41">
        <f>H242/'1. Väestöennuste'!J242*1000</f>
        <v>0</v>
      </c>
      <c r="AB242" s="41">
        <f>I242/'1. Väestöennuste'!K242*1000</f>
        <v>-1.4932408325074331</v>
      </c>
      <c r="AC242" s="41">
        <f>J242/'1. Väestöennuste'!L242*1000</f>
        <v>0</v>
      </c>
      <c r="AD242" s="41">
        <f>K242/'1. Väestöennuste'!M242*1000</f>
        <v>-3.483231083844581</v>
      </c>
      <c r="AE242" s="41">
        <f>L242/'1. Väestöennuste'!N242*1000</f>
        <v>0</v>
      </c>
      <c r="AF242" s="41">
        <f>M242/'1. Väestöennuste'!O242*1000</f>
        <v>0</v>
      </c>
      <c r="AG242" s="41">
        <f>N242/'1. Väestöennuste'!P242*1000</f>
        <v>0</v>
      </c>
      <c r="AH242" s="41">
        <f>O242/'1. Väestöennuste'!Q242*1000</f>
        <v>0</v>
      </c>
      <c r="AI242" s="41">
        <f>P242/'1. Väestöennuste'!R242*1000</f>
        <v>0</v>
      </c>
    </row>
    <row r="243" spans="1:35" x14ac:dyDescent="0.2">
      <c r="A243" s="30">
        <v>743</v>
      </c>
      <c r="B243" s="31" t="s">
        <v>557</v>
      </c>
      <c r="C243" s="64">
        <v>-450</v>
      </c>
      <c r="D243" s="64"/>
      <c r="E243" s="64">
        <v>0</v>
      </c>
      <c r="F243" s="65">
        <v>0</v>
      </c>
      <c r="G243" s="65">
        <v>0</v>
      </c>
      <c r="H243" s="41">
        <v>0</v>
      </c>
      <c r="I243" s="165">
        <v>0</v>
      </c>
      <c r="J243" s="41">
        <v>0</v>
      </c>
      <c r="K243" s="41">
        <v>0</v>
      </c>
      <c r="L243" s="41">
        <v>0</v>
      </c>
      <c r="M243" s="41">
        <v>0</v>
      </c>
      <c r="N243" s="41">
        <v>0</v>
      </c>
      <c r="O243" s="41">
        <v>0</v>
      </c>
      <c r="P243" s="41">
        <v>0</v>
      </c>
      <c r="T243" s="30">
        <v>743</v>
      </c>
      <c r="U243" s="31" t="s">
        <v>557</v>
      </c>
      <c r="V243" s="41">
        <f>C243/'1. Väestöennuste'!E243*1000</f>
        <v>-7.3135056070209652</v>
      </c>
      <c r="W243" s="41">
        <f>D243/'1. Väestöennuste'!F243*1000</f>
        <v>0</v>
      </c>
      <c r="X243" s="41">
        <f>E243/'1. Väestöennuste'!G243*1000</f>
        <v>0</v>
      </c>
      <c r="Y243" s="41">
        <f>F243/'1. Väestöennuste'!H243*1000</f>
        <v>0</v>
      </c>
      <c r="Z243" s="41">
        <f>G243/'1. Väestöennuste'!I243*1000</f>
        <v>0</v>
      </c>
      <c r="AA243" s="41">
        <f>H243/'1. Väestöennuste'!J243*1000</f>
        <v>0</v>
      </c>
      <c r="AB243" s="41">
        <f>I243/'1. Väestöennuste'!K243*1000</f>
        <v>0</v>
      </c>
      <c r="AC243" s="41">
        <f>J243/'1. Väestöennuste'!L243*1000</f>
        <v>0</v>
      </c>
      <c r="AD243" s="41">
        <f>K243/'1. Väestöennuste'!M243*1000</f>
        <v>0</v>
      </c>
      <c r="AE243" s="41">
        <f>L243/'1. Väestöennuste'!N243*1000</f>
        <v>0</v>
      </c>
      <c r="AF243" s="41">
        <f>M243/'1. Väestöennuste'!O243*1000</f>
        <v>0</v>
      </c>
      <c r="AG243" s="41">
        <f>N243/'1. Väestöennuste'!P243*1000</f>
        <v>0</v>
      </c>
      <c r="AH243" s="41">
        <f>O243/'1. Väestöennuste'!Q243*1000</f>
        <v>0</v>
      </c>
      <c r="AI243" s="41">
        <f>P243/'1. Väestöennuste'!R243*1000</f>
        <v>0</v>
      </c>
    </row>
    <row r="244" spans="1:35" x14ac:dyDescent="0.2">
      <c r="A244" s="30">
        <v>746</v>
      </c>
      <c r="B244" s="31" t="s">
        <v>558</v>
      </c>
      <c r="C244" s="64">
        <v>0</v>
      </c>
      <c r="D244" s="64">
        <v>1229</v>
      </c>
      <c r="E244" s="64">
        <v>0</v>
      </c>
      <c r="F244" s="65">
        <v>0</v>
      </c>
      <c r="G244" s="65">
        <v>0</v>
      </c>
      <c r="H244" s="41">
        <v>0</v>
      </c>
      <c r="I244" s="165">
        <v>0</v>
      </c>
      <c r="J244" s="41">
        <v>0</v>
      </c>
      <c r="K244" s="41">
        <v>0</v>
      </c>
      <c r="L244" s="41">
        <v>0</v>
      </c>
      <c r="M244" s="41">
        <v>0</v>
      </c>
      <c r="N244" s="41">
        <v>0</v>
      </c>
      <c r="O244" s="41">
        <v>0</v>
      </c>
      <c r="P244" s="41">
        <v>0</v>
      </c>
      <c r="T244" s="30">
        <v>746</v>
      </c>
      <c r="U244" s="31" t="s">
        <v>558</v>
      </c>
      <c r="V244" s="41">
        <f>C244/'1. Väestöennuste'!E244*1000</f>
        <v>0</v>
      </c>
      <c r="W244" s="41">
        <f>D244/'1. Väestöennuste'!F244*1000</f>
        <v>242.45413296508187</v>
      </c>
      <c r="X244" s="41">
        <f>E244/'1. Väestöennuste'!G244*1000</f>
        <v>0</v>
      </c>
      <c r="Y244" s="41">
        <f>F244/'1. Väestöennuste'!H244*1000</f>
        <v>0</v>
      </c>
      <c r="Z244" s="41">
        <f>G244/'1. Väestöennuste'!I244*1000</f>
        <v>0</v>
      </c>
      <c r="AA244" s="41">
        <f>H244/'1. Väestöennuste'!J244*1000</f>
        <v>0</v>
      </c>
      <c r="AB244" s="41">
        <f>I244/'1. Väestöennuste'!K244*1000</f>
        <v>0</v>
      </c>
      <c r="AC244" s="41">
        <f>J244/'1. Väestöennuste'!L244*1000</f>
        <v>0</v>
      </c>
      <c r="AD244" s="41">
        <f>K244/'1. Väestöennuste'!M244*1000</f>
        <v>0</v>
      </c>
      <c r="AE244" s="41">
        <f>L244/'1. Väestöennuste'!N244*1000</f>
        <v>0</v>
      </c>
      <c r="AF244" s="41">
        <f>M244/'1. Väestöennuste'!O244*1000</f>
        <v>0</v>
      </c>
      <c r="AG244" s="41">
        <f>N244/'1. Väestöennuste'!P244*1000</f>
        <v>0</v>
      </c>
      <c r="AH244" s="41">
        <f>O244/'1. Väestöennuste'!Q244*1000</f>
        <v>0</v>
      </c>
      <c r="AI244" s="41">
        <f>P244/'1. Väestöennuste'!R244*1000</f>
        <v>0</v>
      </c>
    </row>
    <row r="245" spans="1:35" x14ac:dyDescent="0.2">
      <c r="A245" s="30">
        <v>747</v>
      </c>
      <c r="B245" s="31" t="s">
        <v>559</v>
      </c>
      <c r="C245" s="64">
        <v>0</v>
      </c>
      <c r="D245" s="64">
        <v>70</v>
      </c>
      <c r="E245" s="64">
        <v>0</v>
      </c>
      <c r="F245" s="65">
        <v>0</v>
      </c>
      <c r="G245" s="65">
        <v>0</v>
      </c>
      <c r="H245" s="41">
        <v>0</v>
      </c>
      <c r="I245" s="165">
        <v>0</v>
      </c>
      <c r="J245" s="41">
        <v>0</v>
      </c>
      <c r="K245" s="41">
        <v>0</v>
      </c>
      <c r="L245" s="41">
        <v>0</v>
      </c>
      <c r="M245" s="41">
        <v>0</v>
      </c>
      <c r="N245" s="41">
        <v>0</v>
      </c>
      <c r="O245" s="41">
        <v>0</v>
      </c>
      <c r="P245" s="41">
        <v>0</v>
      </c>
      <c r="T245" s="30">
        <v>747</v>
      </c>
      <c r="U245" s="31" t="s">
        <v>559</v>
      </c>
      <c r="V245" s="41">
        <f>C245/'1. Väestöennuste'!E245*1000</f>
        <v>0</v>
      </c>
      <c r="W245" s="41">
        <f>D245/'1. Väestöennuste'!F245*1000</f>
        <v>46.854082998661312</v>
      </c>
      <c r="X245" s="41">
        <f>E245/'1. Väestöennuste'!G245*1000</f>
        <v>0</v>
      </c>
      <c r="Y245" s="41">
        <f>F245/'1. Väestöennuste'!H245*1000</f>
        <v>0</v>
      </c>
      <c r="Z245" s="41">
        <f>G245/'1. Väestöennuste'!I245*1000</f>
        <v>0</v>
      </c>
      <c r="AA245" s="41">
        <f>H245/'1. Väestöennuste'!J245*1000</f>
        <v>0</v>
      </c>
      <c r="AB245" s="41">
        <f>I245/'1. Väestöennuste'!K245*1000</f>
        <v>0</v>
      </c>
      <c r="AC245" s="41">
        <f>J245/'1. Väestöennuste'!L245*1000</f>
        <v>0</v>
      </c>
      <c r="AD245" s="41">
        <f>K245/'1. Väestöennuste'!M245*1000</f>
        <v>0</v>
      </c>
      <c r="AE245" s="41">
        <f>L245/'1. Väestöennuste'!N245*1000</f>
        <v>0</v>
      </c>
      <c r="AF245" s="41">
        <f>M245/'1. Väestöennuste'!O245*1000</f>
        <v>0</v>
      </c>
      <c r="AG245" s="41">
        <f>N245/'1. Väestöennuste'!P245*1000</f>
        <v>0</v>
      </c>
      <c r="AH245" s="41">
        <f>O245/'1. Väestöennuste'!Q245*1000</f>
        <v>0</v>
      </c>
      <c r="AI245" s="41">
        <f>P245/'1. Väestöennuste'!R245*1000</f>
        <v>0</v>
      </c>
    </row>
    <row r="246" spans="1:35" x14ac:dyDescent="0.2">
      <c r="A246" s="30">
        <v>748</v>
      </c>
      <c r="B246" s="31" t="s">
        <v>560</v>
      </c>
      <c r="C246" s="64">
        <v>-333</v>
      </c>
      <c r="D246" s="64">
        <v>-26</v>
      </c>
      <c r="E246" s="64">
        <v>0</v>
      </c>
      <c r="F246" s="65">
        <v>0</v>
      </c>
      <c r="G246" s="65">
        <v>0</v>
      </c>
      <c r="H246" s="41">
        <v>0</v>
      </c>
      <c r="I246" s="165">
        <v>0</v>
      </c>
      <c r="J246" s="41">
        <v>0</v>
      </c>
      <c r="K246" s="41">
        <v>0</v>
      </c>
      <c r="L246" s="41">
        <v>0</v>
      </c>
      <c r="M246" s="41">
        <v>0</v>
      </c>
      <c r="N246" s="41">
        <v>0</v>
      </c>
      <c r="O246" s="41">
        <v>0</v>
      </c>
      <c r="P246" s="41">
        <v>0</v>
      </c>
      <c r="T246" s="30">
        <v>748</v>
      </c>
      <c r="U246" s="31" t="s">
        <v>560</v>
      </c>
      <c r="V246" s="41">
        <f>C246/'1. Väestöennuste'!E246*1000</f>
        <v>-60.922063666300772</v>
      </c>
      <c r="W246" s="41">
        <f>D246/'1. Väestöennuste'!F246*1000</f>
        <v>-4.8453224002981736</v>
      </c>
      <c r="X246" s="41">
        <f>E246/'1. Väestöennuste'!G246*1000</f>
        <v>0</v>
      </c>
      <c r="Y246" s="41">
        <f>F246/'1. Väestöennuste'!H246*1000</f>
        <v>0</v>
      </c>
      <c r="Z246" s="41">
        <f>G246/'1. Väestöennuste'!I246*1000</f>
        <v>0</v>
      </c>
      <c r="AA246" s="41">
        <f>H246/'1. Väestöennuste'!J246*1000</f>
        <v>0</v>
      </c>
      <c r="AB246" s="41">
        <f>I246/'1. Väestöennuste'!K246*1000</f>
        <v>0</v>
      </c>
      <c r="AC246" s="41">
        <f>J246/'1. Väestöennuste'!L246*1000</f>
        <v>0</v>
      </c>
      <c r="AD246" s="41">
        <f>K246/'1. Väestöennuste'!M246*1000</f>
        <v>0</v>
      </c>
      <c r="AE246" s="41">
        <f>L246/'1. Väestöennuste'!N246*1000</f>
        <v>0</v>
      </c>
      <c r="AF246" s="41">
        <f>M246/'1. Väestöennuste'!O246*1000</f>
        <v>0</v>
      </c>
      <c r="AG246" s="41">
        <f>N246/'1. Väestöennuste'!P246*1000</f>
        <v>0</v>
      </c>
      <c r="AH246" s="41">
        <f>O246/'1. Väestöennuste'!Q246*1000</f>
        <v>0</v>
      </c>
      <c r="AI246" s="41">
        <f>P246/'1. Väestöennuste'!R246*1000</f>
        <v>0</v>
      </c>
    </row>
    <row r="247" spans="1:35" x14ac:dyDescent="0.2">
      <c r="A247" s="30">
        <v>749</v>
      </c>
      <c r="B247" s="31" t="s">
        <v>561</v>
      </c>
      <c r="C247" s="64">
        <v>0</v>
      </c>
      <c r="D247" s="64"/>
      <c r="E247" s="64">
        <v>0</v>
      </c>
      <c r="F247" s="65">
        <v>0</v>
      </c>
      <c r="G247" s="65">
        <v>12996</v>
      </c>
      <c r="H247" s="41">
        <v>0</v>
      </c>
      <c r="I247" s="165">
        <v>0</v>
      </c>
      <c r="J247" s="41">
        <v>0</v>
      </c>
      <c r="K247" s="41">
        <v>0</v>
      </c>
      <c r="L247" s="41">
        <v>0</v>
      </c>
      <c r="M247" s="41">
        <v>0</v>
      </c>
      <c r="N247" s="41">
        <v>0</v>
      </c>
      <c r="O247" s="41">
        <v>0</v>
      </c>
      <c r="P247" s="41">
        <v>0</v>
      </c>
      <c r="T247" s="30">
        <v>749</v>
      </c>
      <c r="U247" s="31" t="s">
        <v>561</v>
      </c>
      <c r="V247" s="41">
        <f>C247/'1. Väestöennuste'!E247*1000</f>
        <v>0</v>
      </c>
      <c r="W247" s="41">
        <f>D247/'1. Väestöennuste'!F247*1000</f>
        <v>0</v>
      </c>
      <c r="X247" s="41">
        <f>E247/'1. Väestöennuste'!G247*1000</f>
        <v>0</v>
      </c>
      <c r="Y247" s="41">
        <f>F247/'1. Väestöennuste'!H247*1000</f>
        <v>0</v>
      </c>
      <c r="Z247" s="41">
        <f>G247/'1. Väestöennuste'!I247*1000</f>
        <v>606.63772580871023</v>
      </c>
      <c r="AA247" s="41">
        <f>H247/'1. Väestöennuste'!J247*1000</f>
        <v>0</v>
      </c>
      <c r="AB247" s="41">
        <f>I247/'1. Väestöennuste'!K247*1000</f>
        <v>0</v>
      </c>
      <c r="AC247" s="41">
        <f>J247/'1. Väestöennuste'!L247*1000</f>
        <v>0</v>
      </c>
      <c r="AD247" s="41">
        <f>K247/'1. Väestöennuste'!M247*1000</f>
        <v>0</v>
      </c>
      <c r="AE247" s="41">
        <f>L247/'1. Väestöennuste'!N247*1000</f>
        <v>0</v>
      </c>
      <c r="AF247" s="41">
        <f>M247/'1. Väestöennuste'!O247*1000</f>
        <v>0</v>
      </c>
      <c r="AG247" s="41">
        <f>N247/'1. Väestöennuste'!P247*1000</f>
        <v>0</v>
      </c>
      <c r="AH247" s="41">
        <f>O247/'1. Väestöennuste'!Q247*1000</f>
        <v>0</v>
      </c>
      <c r="AI247" s="41">
        <f>P247/'1. Väestöennuste'!R247*1000</f>
        <v>0</v>
      </c>
    </row>
    <row r="248" spans="1:35" x14ac:dyDescent="0.2">
      <c r="A248" s="30">
        <v>751</v>
      </c>
      <c r="B248" s="31" t="s">
        <v>562</v>
      </c>
      <c r="C248" s="64">
        <v>3</v>
      </c>
      <c r="D248" s="64"/>
      <c r="E248" s="64">
        <v>0</v>
      </c>
      <c r="F248" s="65">
        <v>0</v>
      </c>
      <c r="G248" s="65">
        <v>0</v>
      </c>
      <c r="H248" s="41">
        <v>0</v>
      </c>
      <c r="I248" s="165">
        <v>0</v>
      </c>
      <c r="J248" s="41">
        <v>0</v>
      </c>
      <c r="K248" s="41">
        <v>118.7303</v>
      </c>
      <c r="L248" s="41">
        <v>0</v>
      </c>
      <c r="M248" s="41">
        <v>0</v>
      </c>
      <c r="N248" s="41">
        <v>0</v>
      </c>
      <c r="O248" s="41">
        <v>0</v>
      </c>
      <c r="P248" s="41">
        <v>0</v>
      </c>
      <c r="T248" s="30">
        <v>751</v>
      </c>
      <c r="U248" s="31" t="s">
        <v>562</v>
      </c>
      <c r="V248" s="41">
        <f>C248/'1. Väestöennuste'!E248*1000</f>
        <v>0.92649783817171094</v>
      </c>
      <c r="W248" s="41">
        <f>D248/'1. Väestöennuste'!F248*1000</f>
        <v>0</v>
      </c>
      <c r="X248" s="41">
        <f>E248/'1. Väestöennuste'!G248*1000</f>
        <v>0</v>
      </c>
      <c r="Y248" s="41">
        <f>F248/'1. Väestöennuste'!H248*1000</f>
        <v>0</v>
      </c>
      <c r="Z248" s="41">
        <f>G248/'1. Väestöennuste'!I248*1000</f>
        <v>0</v>
      </c>
      <c r="AA248" s="41">
        <f>H248/'1. Väestöennuste'!J248*1000</f>
        <v>0</v>
      </c>
      <c r="AB248" s="41">
        <f>I248/'1. Väestöennuste'!K248*1000</f>
        <v>0</v>
      </c>
      <c r="AC248" s="41">
        <f>J248/'1. Väestöennuste'!L248*1000</f>
        <v>0</v>
      </c>
      <c r="AD248" s="41">
        <f>K248/'1. Väestöennuste'!M248*1000</f>
        <v>41.983840169731259</v>
      </c>
      <c r="AE248" s="41">
        <f>L248/'1. Väestöennuste'!N248*1000</f>
        <v>0</v>
      </c>
      <c r="AF248" s="41">
        <f>M248/'1. Väestöennuste'!O248*1000</f>
        <v>0</v>
      </c>
      <c r="AG248" s="41">
        <f>N248/'1. Väestöennuste'!P248*1000</f>
        <v>0</v>
      </c>
      <c r="AH248" s="41">
        <f>O248/'1. Väestöennuste'!Q248*1000</f>
        <v>0</v>
      </c>
      <c r="AI248" s="41">
        <f>P248/'1. Väestöennuste'!R248*1000</f>
        <v>0</v>
      </c>
    </row>
    <row r="249" spans="1:35" x14ac:dyDescent="0.2">
      <c r="A249" s="30">
        <v>753</v>
      </c>
      <c r="B249" s="31" t="s">
        <v>563</v>
      </c>
      <c r="C249" s="64">
        <v>0</v>
      </c>
      <c r="D249" s="64">
        <v>6434</v>
      </c>
      <c r="E249" s="64">
        <v>0</v>
      </c>
      <c r="F249" s="65">
        <v>0</v>
      </c>
      <c r="G249" s="65">
        <v>8508</v>
      </c>
      <c r="H249" s="41">
        <v>0</v>
      </c>
      <c r="I249" s="165">
        <v>0</v>
      </c>
      <c r="J249" s="41">
        <v>185.17597000000001</v>
      </c>
      <c r="K249" s="41">
        <v>0</v>
      </c>
      <c r="L249" s="41">
        <v>0</v>
      </c>
      <c r="M249" s="41">
        <v>0</v>
      </c>
      <c r="N249" s="41">
        <v>0</v>
      </c>
      <c r="O249" s="41">
        <v>0</v>
      </c>
      <c r="P249" s="41">
        <v>0</v>
      </c>
      <c r="T249" s="30">
        <v>753</v>
      </c>
      <c r="U249" s="31" t="s">
        <v>563</v>
      </c>
      <c r="V249" s="41">
        <f>C249/'1. Väestöennuste'!E249*1000</f>
        <v>0</v>
      </c>
      <c r="W249" s="41">
        <f>D249/'1. Väestöennuste'!F249*1000</f>
        <v>322.95954221463705</v>
      </c>
      <c r="X249" s="41">
        <f>E249/'1. Väestöennuste'!G249*1000</f>
        <v>0</v>
      </c>
      <c r="Y249" s="41">
        <f>F249/'1. Väestöennuste'!H249*1000</f>
        <v>0</v>
      </c>
      <c r="Z249" s="41">
        <f>G249/'1. Väestöennuste'!I249*1000</f>
        <v>401.88946622579118</v>
      </c>
      <c r="AA249" s="41">
        <f>H249/'1. Väestöennuste'!J249*1000</f>
        <v>0</v>
      </c>
      <c r="AB249" s="41">
        <f>I249/'1. Väestöennuste'!K249*1000</f>
        <v>0</v>
      </c>
      <c r="AC249" s="41">
        <f>J249/'1. Väestöennuste'!L249*1000</f>
        <v>8.2964144265232971</v>
      </c>
      <c r="AD249" s="41">
        <f>K249/'1. Väestöennuste'!M249*1000</f>
        <v>0</v>
      </c>
      <c r="AE249" s="41">
        <f>L249/'1. Väestöennuste'!N249*1000</f>
        <v>0</v>
      </c>
      <c r="AF249" s="41">
        <f>M249/'1. Väestöennuste'!O249*1000</f>
        <v>0</v>
      </c>
      <c r="AG249" s="41">
        <f>N249/'1. Väestöennuste'!P249*1000</f>
        <v>0</v>
      </c>
      <c r="AH249" s="41">
        <f>O249/'1. Väestöennuste'!Q249*1000</f>
        <v>0</v>
      </c>
      <c r="AI249" s="41">
        <f>P249/'1. Väestöennuste'!R249*1000</f>
        <v>0</v>
      </c>
    </row>
    <row r="250" spans="1:35" x14ac:dyDescent="0.2">
      <c r="A250" s="30">
        <v>755</v>
      </c>
      <c r="B250" s="31" t="s">
        <v>564</v>
      </c>
      <c r="C250" s="64">
        <v>0</v>
      </c>
      <c r="D250" s="64"/>
      <c r="E250" s="64">
        <v>0</v>
      </c>
      <c r="F250" s="65">
        <v>0</v>
      </c>
      <c r="G250" s="65">
        <v>0</v>
      </c>
      <c r="H250" s="41">
        <v>0</v>
      </c>
      <c r="I250" s="165">
        <v>0</v>
      </c>
      <c r="J250" s="41">
        <v>0</v>
      </c>
      <c r="K250" s="41">
        <v>0</v>
      </c>
      <c r="L250" s="41">
        <v>0</v>
      </c>
      <c r="M250" s="41">
        <v>0</v>
      </c>
      <c r="N250" s="41">
        <v>0</v>
      </c>
      <c r="O250" s="41">
        <v>0</v>
      </c>
      <c r="P250" s="41">
        <v>0</v>
      </c>
      <c r="T250" s="30">
        <v>755</v>
      </c>
      <c r="U250" s="31" t="s">
        <v>564</v>
      </c>
      <c r="V250" s="41">
        <f>C250/'1. Väestöennuste'!E250*1000</f>
        <v>0</v>
      </c>
      <c r="W250" s="41">
        <f>D250/'1. Väestöennuste'!F250*1000</f>
        <v>0</v>
      </c>
      <c r="X250" s="41">
        <f>E250/'1. Väestöennuste'!G250*1000</f>
        <v>0</v>
      </c>
      <c r="Y250" s="41">
        <f>F250/'1. Väestöennuste'!H250*1000</f>
        <v>0</v>
      </c>
      <c r="Z250" s="41">
        <f>G250/'1. Väestöennuste'!I250*1000</f>
        <v>0</v>
      </c>
      <c r="AA250" s="41">
        <f>H250/'1. Väestöennuste'!J250*1000</f>
        <v>0</v>
      </c>
      <c r="AB250" s="41">
        <f>I250/'1. Väestöennuste'!K250*1000</f>
        <v>0</v>
      </c>
      <c r="AC250" s="41">
        <f>J250/'1. Väestöennuste'!L250*1000</f>
        <v>0</v>
      </c>
      <c r="AD250" s="41">
        <f>K250/'1. Väestöennuste'!M250*1000</f>
        <v>0</v>
      </c>
      <c r="AE250" s="41">
        <f>L250/'1. Väestöennuste'!N250*1000</f>
        <v>0</v>
      </c>
      <c r="AF250" s="41">
        <f>M250/'1. Väestöennuste'!O250*1000</f>
        <v>0</v>
      </c>
      <c r="AG250" s="41">
        <f>N250/'1. Väestöennuste'!P250*1000</f>
        <v>0</v>
      </c>
      <c r="AH250" s="41">
        <f>O250/'1. Väestöennuste'!Q250*1000</f>
        <v>0</v>
      </c>
      <c r="AI250" s="41">
        <f>P250/'1. Väestöennuste'!R250*1000</f>
        <v>0</v>
      </c>
    </row>
    <row r="251" spans="1:35" x14ac:dyDescent="0.2">
      <c r="A251" s="30">
        <v>758</v>
      </c>
      <c r="B251" s="31" t="s">
        <v>565</v>
      </c>
      <c r="C251" s="64">
        <v>-80</v>
      </c>
      <c r="D251" s="64">
        <v>-150</v>
      </c>
      <c r="E251" s="64">
        <v>0</v>
      </c>
      <c r="F251" s="65">
        <v>0</v>
      </c>
      <c r="G251" s="65">
        <v>0</v>
      </c>
      <c r="H251" s="41">
        <v>0</v>
      </c>
      <c r="I251" s="165">
        <v>0</v>
      </c>
      <c r="J251" s="41">
        <v>0</v>
      </c>
      <c r="K251" s="41">
        <v>0</v>
      </c>
      <c r="L251" s="41">
        <v>0</v>
      </c>
      <c r="M251" s="41">
        <v>0</v>
      </c>
      <c r="N251" s="41">
        <v>0</v>
      </c>
      <c r="O251" s="41">
        <v>0</v>
      </c>
      <c r="P251" s="41">
        <v>0</v>
      </c>
      <c r="T251" s="30">
        <v>758</v>
      </c>
      <c r="U251" s="31" t="s">
        <v>565</v>
      </c>
      <c r="V251" s="41">
        <f>C251/'1. Väestöennuste'!E251*1000</f>
        <v>-9.1095422455021637</v>
      </c>
      <c r="W251" s="41">
        <f>D251/'1. Väestöennuste'!F251*1000</f>
        <v>-17.33502831387958</v>
      </c>
      <c r="X251" s="41">
        <f>E251/'1. Väestöennuste'!G251*1000</f>
        <v>0</v>
      </c>
      <c r="Y251" s="41">
        <f>F251/'1. Väestöennuste'!H251*1000</f>
        <v>0</v>
      </c>
      <c r="Z251" s="41">
        <f>G251/'1. Väestöennuste'!I251*1000</f>
        <v>0</v>
      </c>
      <c r="AA251" s="41">
        <f>H251/'1. Väestöennuste'!J251*1000</f>
        <v>0</v>
      </c>
      <c r="AB251" s="41">
        <f>I251/'1. Väestöennuste'!K251*1000</f>
        <v>0</v>
      </c>
      <c r="AC251" s="41">
        <f>J251/'1. Väestöennuste'!L251*1000</f>
        <v>0</v>
      </c>
      <c r="AD251" s="41">
        <f>K251/'1. Väestöennuste'!M251*1000</f>
        <v>0</v>
      </c>
      <c r="AE251" s="41">
        <f>L251/'1. Väestöennuste'!N251*1000</f>
        <v>0</v>
      </c>
      <c r="AF251" s="41">
        <f>M251/'1. Väestöennuste'!O251*1000</f>
        <v>0</v>
      </c>
      <c r="AG251" s="41">
        <f>N251/'1. Väestöennuste'!P251*1000</f>
        <v>0</v>
      </c>
      <c r="AH251" s="41">
        <f>O251/'1. Väestöennuste'!Q251*1000</f>
        <v>0</v>
      </c>
      <c r="AI251" s="41">
        <f>P251/'1. Väestöennuste'!R251*1000</f>
        <v>0</v>
      </c>
    </row>
    <row r="252" spans="1:35" x14ac:dyDescent="0.2">
      <c r="A252" s="30">
        <v>759</v>
      </c>
      <c r="B252" s="31" t="s">
        <v>566</v>
      </c>
      <c r="C252" s="64">
        <v>3</v>
      </c>
      <c r="D252" s="64"/>
      <c r="E252" s="64">
        <v>0</v>
      </c>
      <c r="F252" s="65">
        <v>0</v>
      </c>
      <c r="G252" s="65">
        <v>1929</v>
      </c>
      <c r="H252" s="41">
        <v>0</v>
      </c>
      <c r="I252" s="165">
        <v>0</v>
      </c>
      <c r="J252" s="41">
        <v>0</v>
      </c>
      <c r="K252" s="41">
        <v>32.316939999999995</v>
      </c>
      <c r="L252" s="41">
        <v>0</v>
      </c>
      <c r="M252" s="41">
        <v>0</v>
      </c>
      <c r="N252" s="41">
        <v>0</v>
      </c>
      <c r="O252" s="41">
        <v>0</v>
      </c>
      <c r="P252" s="41">
        <v>0</v>
      </c>
      <c r="T252" s="30">
        <v>759</v>
      </c>
      <c r="U252" s="31" t="s">
        <v>566</v>
      </c>
      <c r="V252" s="41">
        <f>C252/'1. Väestöennuste'!E252*1000</f>
        <v>1.3489208633093526</v>
      </c>
      <c r="W252" s="41">
        <f>D252/'1. Väestöennuste'!F252*1000</f>
        <v>0</v>
      </c>
      <c r="X252" s="41">
        <f>E252/'1. Väestöennuste'!G252*1000</f>
        <v>0</v>
      </c>
      <c r="Y252" s="41">
        <f>F252/'1. Väestöennuste'!H252*1000</f>
        <v>0</v>
      </c>
      <c r="Z252" s="41">
        <f>G252/'1. Väestöennuste'!I252*1000</f>
        <v>940.05847953216369</v>
      </c>
      <c r="AA252" s="41">
        <f>H252/'1. Väestöennuste'!J252*1000</f>
        <v>0</v>
      </c>
      <c r="AB252" s="41">
        <f>I252/'1. Väestöennuste'!K252*1000</f>
        <v>0</v>
      </c>
      <c r="AC252" s="41">
        <f>J252/'1. Väestöennuste'!L252*1000</f>
        <v>0</v>
      </c>
      <c r="AD252" s="41">
        <f>K252/'1. Väestöennuste'!M252*1000</f>
        <v>17.254105712760278</v>
      </c>
      <c r="AE252" s="41">
        <f>L252/'1. Väestöennuste'!N252*1000</f>
        <v>0</v>
      </c>
      <c r="AF252" s="41">
        <f>M252/'1. Väestöennuste'!O252*1000</f>
        <v>0</v>
      </c>
      <c r="AG252" s="41">
        <f>N252/'1. Väestöennuste'!P252*1000</f>
        <v>0</v>
      </c>
      <c r="AH252" s="41">
        <f>O252/'1. Väestöennuste'!Q252*1000</f>
        <v>0</v>
      </c>
      <c r="AI252" s="41">
        <f>P252/'1. Väestöennuste'!R252*1000</f>
        <v>0</v>
      </c>
    </row>
    <row r="253" spans="1:35" x14ac:dyDescent="0.2">
      <c r="A253" s="30">
        <v>761</v>
      </c>
      <c r="B253" s="31" t="s">
        <v>567</v>
      </c>
      <c r="C253" s="64">
        <v>3060</v>
      </c>
      <c r="D253" s="64">
        <v>3384</v>
      </c>
      <c r="E253" s="64">
        <v>-202</v>
      </c>
      <c r="F253" s="65">
        <v>70</v>
      </c>
      <c r="G253" s="65">
        <v>0</v>
      </c>
      <c r="H253" s="41">
        <v>0</v>
      </c>
      <c r="I253" s="165">
        <v>0</v>
      </c>
      <c r="J253" s="41">
        <v>2721.94164</v>
      </c>
      <c r="K253" s="41">
        <v>0</v>
      </c>
      <c r="L253" s="41">
        <v>0</v>
      </c>
      <c r="M253" s="41">
        <v>0</v>
      </c>
      <c r="N253" s="41">
        <v>0</v>
      </c>
      <c r="O253" s="41">
        <v>0</v>
      </c>
      <c r="P253" s="41">
        <v>0</v>
      </c>
      <c r="T253" s="30">
        <v>761</v>
      </c>
      <c r="U253" s="31" t="s">
        <v>567</v>
      </c>
      <c r="V253" s="41">
        <f>C253/'1. Väestöennuste'!E253*1000</f>
        <v>336.52259980204553</v>
      </c>
      <c r="W253" s="41">
        <f>D253/'1. Väestöennuste'!F253*1000</f>
        <v>374.87537387836488</v>
      </c>
      <c r="X253" s="41">
        <f>E253/'1. Väestöennuste'!G253*1000</f>
        <v>-22.648278955039803</v>
      </c>
      <c r="Y253" s="41">
        <f>F253/'1. Väestöennuste'!H253*1000</f>
        <v>7.9293158133212502</v>
      </c>
      <c r="Z253" s="41">
        <f>G253/'1. Väestöennuste'!I253*1000</f>
        <v>0</v>
      </c>
      <c r="AA253" s="41">
        <f>H253/'1. Väestöennuste'!J253*1000</f>
        <v>0</v>
      </c>
      <c r="AB253" s="41">
        <f>I253/'1. Väestöennuste'!K253*1000</f>
        <v>0</v>
      </c>
      <c r="AC253" s="41">
        <f>J253/'1. Väestöennuste'!L253*1000</f>
        <v>323.04078328981723</v>
      </c>
      <c r="AD253" s="41">
        <f>K253/'1. Väestöennuste'!M253*1000</f>
        <v>0</v>
      </c>
      <c r="AE253" s="41">
        <f>L253/'1. Väestöennuste'!N253*1000</f>
        <v>0</v>
      </c>
      <c r="AF253" s="41">
        <f>M253/'1. Väestöennuste'!O253*1000</f>
        <v>0</v>
      </c>
      <c r="AG253" s="41">
        <f>N253/'1. Väestöennuste'!P253*1000</f>
        <v>0</v>
      </c>
      <c r="AH253" s="41">
        <f>O253/'1. Väestöennuste'!Q253*1000</f>
        <v>0</v>
      </c>
      <c r="AI253" s="41">
        <f>P253/'1. Väestöennuste'!R253*1000</f>
        <v>0</v>
      </c>
    </row>
    <row r="254" spans="1:35" x14ac:dyDescent="0.2">
      <c r="A254" s="30">
        <v>762</v>
      </c>
      <c r="B254" s="31" t="s">
        <v>568</v>
      </c>
      <c r="C254" s="64">
        <v>0</v>
      </c>
      <c r="D254" s="64"/>
      <c r="E254" s="64">
        <v>0</v>
      </c>
      <c r="F254" s="65">
        <v>0</v>
      </c>
      <c r="G254" s="65">
        <v>0</v>
      </c>
      <c r="H254" s="41">
        <v>0</v>
      </c>
      <c r="I254" s="165">
        <v>0</v>
      </c>
      <c r="J254" s="41">
        <v>0</v>
      </c>
      <c r="K254" s="41">
        <v>0</v>
      </c>
      <c r="L254" s="41">
        <v>0</v>
      </c>
      <c r="M254" s="41">
        <v>0</v>
      </c>
      <c r="N254" s="41">
        <v>0</v>
      </c>
      <c r="O254" s="41">
        <v>0</v>
      </c>
      <c r="P254" s="41">
        <v>0</v>
      </c>
      <c r="T254" s="30">
        <v>762</v>
      </c>
      <c r="U254" s="31" t="s">
        <v>568</v>
      </c>
      <c r="V254" s="41">
        <f>C254/'1. Väestöennuste'!E254*1000</f>
        <v>0</v>
      </c>
      <c r="W254" s="41">
        <f>D254/'1. Väestöennuste'!F254*1000</f>
        <v>0</v>
      </c>
      <c r="X254" s="41">
        <f>E254/'1. Väestöennuste'!G254*1000</f>
        <v>0</v>
      </c>
      <c r="Y254" s="41">
        <f>F254/'1. Väestöennuste'!H254*1000</f>
        <v>0</v>
      </c>
      <c r="Z254" s="41">
        <f>G254/'1. Väestöennuste'!I254*1000</f>
        <v>0</v>
      </c>
      <c r="AA254" s="41">
        <f>H254/'1. Väestöennuste'!J254*1000</f>
        <v>0</v>
      </c>
      <c r="AB254" s="41">
        <f>I254/'1. Väestöennuste'!K254*1000</f>
        <v>0</v>
      </c>
      <c r="AC254" s="41">
        <f>J254/'1. Väestöennuste'!L254*1000</f>
        <v>0</v>
      </c>
      <c r="AD254" s="41">
        <f>K254/'1. Väestöennuste'!M254*1000</f>
        <v>0</v>
      </c>
      <c r="AE254" s="41">
        <f>L254/'1. Väestöennuste'!N254*1000</f>
        <v>0</v>
      </c>
      <c r="AF254" s="41">
        <f>M254/'1. Väestöennuste'!O254*1000</f>
        <v>0</v>
      </c>
      <c r="AG254" s="41">
        <f>N254/'1. Väestöennuste'!P254*1000</f>
        <v>0</v>
      </c>
      <c r="AH254" s="41">
        <f>O254/'1. Väestöennuste'!Q254*1000</f>
        <v>0</v>
      </c>
      <c r="AI254" s="41">
        <f>P254/'1. Väestöennuste'!R254*1000</f>
        <v>0</v>
      </c>
    </row>
    <row r="255" spans="1:35" x14ac:dyDescent="0.2">
      <c r="A255" s="30">
        <v>765</v>
      </c>
      <c r="B255" s="31" t="s">
        <v>569</v>
      </c>
      <c r="C255" s="64">
        <v>0</v>
      </c>
      <c r="D255" s="64"/>
      <c r="E255" s="64">
        <v>194</v>
      </c>
      <c r="F255" s="65">
        <v>0</v>
      </c>
      <c r="G255" s="65">
        <v>38452</v>
      </c>
      <c r="H255" s="41">
        <v>0</v>
      </c>
      <c r="I255" s="165">
        <v>0</v>
      </c>
      <c r="J255" s="41">
        <v>471.59800000000001</v>
      </c>
      <c r="K255" s="41">
        <v>0</v>
      </c>
      <c r="L255" s="41">
        <v>0</v>
      </c>
      <c r="M255" s="41">
        <v>0</v>
      </c>
      <c r="N255" s="41">
        <v>0</v>
      </c>
      <c r="O255" s="41">
        <v>0</v>
      </c>
      <c r="P255" s="41">
        <v>0</v>
      </c>
      <c r="T255" s="30">
        <v>765</v>
      </c>
      <c r="U255" s="31" t="s">
        <v>569</v>
      </c>
      <c r="V255" s="41">
        <f>C255/'1. Väestöennuste'!E255*1000</f>
        <v>0</v>
      </c>
      <c r="W255" s="41">
        <f>D255/'1. Väestöennuste'!F255*1000</f>
        <v>0</v>
      </c>
      <c r="X255" s="41">
        <f>E255/'1. Väestöennuste'!G255*1000</f>
        <v>18.612683488439032</v>
      </c>
      <c r="Y255" s="41">
        <f>F255/'1. Väestöennuste'!H255*1000</f>
        <v>0</v>
      </c>
      <c r="Z255" s="41">
        <f>G255/'1. Väestöennuste'!I255*1000</f>
        <v>3720.2012383900928</v>
      </c>
      <c r="AA255" s="41">
        <f>H255/'1. Väestöennuste'!J255*1000</f>
        <v>0</v>
      </c>
      <c r="AB255" s="41">
        <f>I255/'1. Väestöennuste'!K255*1000</f>
        <v>0</v>
      </c>
      <c r="AC255" s="41">
        <f>J255/'1. Väestöennuste'!L255*1000</f>
        <v>45.54742128645934</v>
      </c>
      <c r="AD255" s="41">
        <f>K255/'1. Väestöennuste'!M255*1000</f>
        <v>0</v>
      </c>
      <c r="AE255" s="41">
        <f>L255/'1. Väestöennuste'!N255*1000</f>
        <v>0</v>
      </c>
      <c r="AF255" s="41">
        <f>M255/'1. Väestöennuste'!O255*1000</f>
        <v>0</v>
      </c>
      <c r="AG255" s="41">
        <f>N255/'1. Väestöennuste'!P255*1000</f>
        <v>0</v>
      </c>
      <c r="AH255" s="41">
        <f>O255/'1. Väestöennuste'!Q255*1000</f>
        <v>0</v>
      </c>
      <c r="AI255" s="41">
        <f>P255/'1. Väestöennuste'!R255*1000</f>
        <v>0</v>
      </c>
    </row>
    <row r="256" spans="1:35" x14ac:dyDescent="0.2">
      <c r="A256" s="30">
        <v>768</v>
      </c>
      <c r="B256" s="31" t="s">
        <v>570</v>
      </c>
      <c r="C256" s="64">
        <v>0</v>
      </c>
      <c r="D256" s="64"/>
      <c r="E256" s="64">
        <v>-200</v>
      </c>
      <c r="F256" s="65">
        <v>63</v>
      </c>
      <c r="G256" s="65">
        <v>0</v>
      </c>
      <c r="H256" s="41">
        <v>0</v>
      </c>
      <c r="I256" s="165">
        <v>0</v>
      </c>
      <c r="J256" s="41">
        <v>0</v>
      </c>
      <c r="K256" s="41">
        <v>0</v>
      </c>
      <c r="L256" s="41">
        <v>0</v>
      </c>
      <c r="M256" s="41">
        <v>0</v>
      </c>
      <c r="N256" s="41">
        <v>0</v>
      </c>
      <c r="O256" s="41">
        <v>0</v>
      </c>
      <c r="P256" s="41">
        <v>0</v>
      </c>
      <c r="T256" s="30">
        <v>768</v>
      </c>
      <c r="U256" s="31" t="s">
        <v>570</v>
      </c>
      <c r="V256" s="41">
        <f>C256/'1. Väestöennuste'!E256*1000</f>
        <v>0</v>
      </c>
      <c r="W256" s="41">
        <f>D256/'1. Väestöennuste'!F256*1000</f>
        <v>0</v>
      </c>
      <c r="X256" s="41">
        <f>E256/'1. Väestöennuste'!G256*1000</f>
        <v>-77.279752704791349</v>
      </c>
      <c r="Y256" s="41">
        <f>F256/'1. Väestöennuste'!H256*1000</f>
        <v>24.901185770750988</v>
      </c>
      <c r="Z256" s="41">
        <f>G256/'1. Väestöennuste'!I256*1000</f>
        <v>0</v>
      </c>
      <c r="AA256" s="41">
        <f>H256/'1. Väestöennuste'!J256*1000</f>
        <v>0</v>
      </c>
      <c r="AB256" s="41">
        <f>I256/'1. Väestöennuste'!K256*1000</f>
        <v>0</v>
      </c>
      <c r="AC256" s="41">
        <f>J256/'1. Väestöennuste'!L256*1000</f>
        <v>0</v>
      </c>
      <c r="AD256" s="41">
        <f>K256/'1. Väestöennuste'!M256*1000</f>
        <v>0</v>
      </c>
      <c r="AE256" s="41">
        <f>L256/'1. Väestöennuste'!N256*1000</f>
        <v>0</v>
      </c>
      <c r="AF256" s="41">
        <f>M256/'1. Väestöennuste'!O256*1000</f>
        <v>0</v>
      </c>
      <c r="AG256" s="41">
        <f>N256/'1. Väestöennuste'!P256*1000</f>
        <v>0</v>
      </c>
      <c r="AH256" s="41">
        <f>O256/'1. Väestöennuste'!Q256*1000</f>
        <v>0</v>
      </c>
      <c r="AI256" s="41">
        <f>P256/'1. Väestöennuste'!R256*1000</f>
        <v>0</v>
      </c>
    </row>
    <row r="257" spans="1:35" x14ac:dyDescent="0.2">
      <c r="A257" s="30">
        <v>777</v>
      </c>
      <c r="B257" s="31" t="s">
        <v>571</v>
      </c>
      <c r="C257" s="64">
        <v>0</v>
      </c>
      <c r="D257" s="64">
        <v>313</v>
      </c>
      <c r="E257" s="64">
        <v>0</v>
      </c>
      <c r="F257" s="65">
        <v>0</v>
      </c>
      <c r="G257" s="65">
        <v>0</v>
      </c>
      <c r="H257" s="41">
        <v>0</v>
      </c>
      <c r="I257" s="165">
        <v>0</v>
      </c>
      <c r="J257" s="41">
        <v>499.19600000000003</v>
      </c>
      <c r="K257" s="41">
        <v>0</v>
      </c>
      <c r="L257" s="41">
        <v>0</v>
      </c>
      <c r="M257" s="41">
        <v>0</v>
      </c>
      <c r="N257" s="41">
        <v>0</v>
      </c>
      <c r="O257" s="41">
        <v>0</v>
      </c>
      <c r="P257" s="41">
        <v>0</v>
      </c>
      <c r="T257" s="30">
        <v>777</v>
      </c>
      <c r="U257" s="31" t="s">
        <v>571</v>
      </c>
      <c r="V257" s="41">
        <f>C257/'1. Väestöennuste'!E257*1000</f>
        <v>0</v>
      </c>
      <c r="W257" s="41">
        <f>D257/'1. Väestöennuste'!F257*1000</f>
        <v>38.231342372053255</v>
      </c>
      <c r="X257" s="41">
        <f>E257/'1. Väestöennuste'!G257*1000</f>
        <v>0</v>
      </c>
      <c r="Y257" s="41">
        <f>F257/'1. Väestöennuste'!H257*1000</f>
        <v>0</v>
      </c>
      <c r="Z257" s="41">
        <f>G257/'1. Väestöennuste'!I257*1000</f>
        <v>0</v>
      </c>
      <c r="AA257" s="41">
        <f>H257/'1. Väestöennuste'!J257*1000</f>
        <v>0</v>
      </c>
      <c r="AB257" s="41">
        <f>I257/'1. Väestöennuste'!K257*1000</f>
        <v>0</v>
      </c>
      <c r="AC257" s="41">
        <f>J257/'1. Väestöennuste'!L257*1000</f>
        <v>67.761096782951</v>
      </c>
      <c r="AD257" s="41">
        <f>K257/'1. Väestöennuste'!M257*1000</f>
        <v>0</v>
      </c>
      <c r="AE257" s="41">
        <f>L257/'1. Väestöennuste'!N257*1000</f>
        <v>0</v>
      </c>
      <c r="AF257" s="41">
        <f>M257/'1. Väestöennuste'!O257*1000</f>
        <v>0</v>
      </c>
      <c r="AG257" s="41">
        <f>N257/'1. Väestöennuste'!P257*1000</f>
        <v>0</v>
      </c>
      <c r="AH257" s="41">
        <f>O257/'1. Väestöennuste'!Q257*1000</f>
        <v>0</v>
      </c>
      <c r="AI257" s="41">
        <f>P257/'1. Väestöennuste'!R257*1000</f>
        <v>0</v>
      </c>
    </row>
    <row r="258" spans="1:35" x14ac:dyDescent="0.2">
      <c r="A258" s="30">
        <v>778</v>
      </c>
      <c r="B258" s="31" t="s">
        <v>572</v>
      </c>
      <c r="C258" s="64">
        <v>297</v>
      </c>
      <c r="D258" s="64"/>
      <c r="E258" s="64">
        <v>0</v>
      </c>
      <c r="F258" s="65">
        <v>0</v>
      </c>
      <c r="G258" s="65">
        <v>0</v>
      </c>
      <c r="H258" s="41">
        <v>0</v>
      </c>
      <c r="I258" s="165">
        <v>0</v>
      </c>
      <c r="J258" s="41">
        <v>3.1211100000000003</v>
      </c>
      <c r="K258" s="41">
        <v>137.81604999999999</v>
      </c>
      <c r="L258" s="41">
        <v>0</v>
      </c>
      <c r="M258" s="41">
        <v>0</v>
      </c>
      <c r="N258" s="41">
        <v>0</v>
      </c>
      <c r="O258" s="41">
        <v>0</v>
      </c>
      <c r="P258" s="41">
        <v>0</v>
      </c>
      <c r="T258" s="30">
        <v>778</v>
      </c>
      <c r="U258" s="31" t="s">
        <v>572</v>
      </c>
      <c r="V258" s="41">
        <f>C258/'1. Väestöennuste'!E258*1000</f>
        <v>40.189445196211096</v>
      </c>
      <c r="W258" s="41">
        <f>D258/'1. Väestöennuste'!F258*1000</f>
        <v>0</v>
      </c>
      <c r="X258" s="41">
        <f>E258/'1. Väestöennuste'!G258*1000</f>
        <v>0</v>
      </c>
      <c r="Y258" s="41">
        <f>F258/'1. Väestöennuste'!H258*1000</f>
        <v>0</v>
      </c>
      <c r="Z258" s="41">
        <f>G258/'1. Väestöennuste'!I258*1000</f>
        <v>0</v>
      </c>
      <c r="AA258" s="41">
        <f>H258/'1. Väestöennuste'!J258*1000</f>
        <v>0</v>
      </c>
      <c r="AB258" s="41">
        <f>I258/'1. Väestöennuste'!K258*1000</f>
        <v>0</v>
      </c>
      <c r="AC258" s="41">
        <f>J258/'1. Väestöennuste'!L258*1000</f>
        <v>0.46149785598107351</v>
      </c>
      <c r="AD258" s="41">
        <f>K258/'1. Väestöennuste'!M258*1000</f>
        <v>20.545028324388788</v>
      </c>
      <c r="AE258" s="41">
        <f>L258/'1. Väestöennuste'!N258*1000</f>
        <v>0</v>
      </c>
      <c r="AF258" s="41">
        <f>M258/'1. Väestöennuste'!O258*1000</f>
        <v>0</v>
      </c>
      <c r="AG258" s="41">
        <f>N258/'1. Väestöennuste'!P258*1000</f>
        <v>0</v>
      </c>
      <c r="AH258" s="41">
        <f>O258/'1. Väestöennuste'!Q258*1000</f>
        <v>0</v>
      </c>
      <c r="AI258" s="41">
        <f>P258/'1. Väestöennuste'!R258*1000</f>
        <v>0</v>
      </c>
    </row>
    <row r="259" spans="1:35" x14ac:dyDescent="0.2">
      <c r="A259" s="30">
        <v>781</v>
      </c>
      <c r="B259" s="31" t="s">
        <v>573</v>
      </c>
      <c r="C259" s="64">
        <v>0</v>
      </c>
      <c r="D259" s="64"/>
      <c r="E259" s="64">
        <v>0</v>
      </c>
      <c r="F259" s="65">
        <v>0</v>
      </c>
      <c r="G259" s="65">
        <v>190</v>
      </c>
      <c r="H259" s="41">
        <v>0</v>
      </c>
      <c r="I259" s="165">
        <v>0</v>
      </c>
      <c r="J259" s="41">
        <v>-7.9434300000000002</v>
      </c>
      <c r="K259" s="41">
        <v>0</v>
      </c>
      <c r="L259" s="41">
        <v>0</v>
      </c>
      <c r="M259" s="41">
        <v>0</v>
      </c>
      <c r="N259" s="41">
        <v>0</v>
      </c>
      <c r="O259" s="41">
        <v>0</v>
      </c>
      <c r="P259" s="41">
        <v>0</v>
      </c>
      <c r="T259" s="30">
        <v>781</v>
      </c>
      <c r="U259" s="31" t="s">
        <v>573</v>
      </c>
      <c r="V259" s="41">
        <f>C259/'1. Väestöennuste'!E259*1000</f>
        <v>0</v>
      </c>
      <c r="W259" s="41">
        <f>D259/'1. Väestöennuste'!F259*1000</f>
        <v>0</v>
      </c>
      <c r="X259" s="41">
        <f>E259/'1. Väestöennuste'!G259*1000</f>
        <v>0</v>
      </c>
      <c r="Y259" s="41">
        <f>F259/'1. Väestöennuste'!H259*1000</f>
        <v>0</v>
      </c>
      <c r="Z259" s="41">
        <f>G259/'1. Väestöennuste'!I259*1000</f>
        <v>51.955154498222583</v>
      </c>
      <c r="AA259" s="41">
        <f>H259/'1. Väestöennuste'!J259*1000</f>
        <v>0</v>
      </c>
      <c r="AB259" s="41">
        <f>I259/'1. Väestöennuste'!K259*1000</f>
        <v>0</v>
      </c>
      <c r="AC259" s="41">
        <f>J259/'1. Väestöennuste'!L259*1000</f>
        <v>-2.2669606164383564</v>
      </c>
      <c r="AD259" s="41">
        <f>K259/'1. Väestöennuste'!M259*1000</f>
        <v>0</v>
      </c>
      <c r="AE259" s="41">
        <f>L259/'1. Väestöennuste'!N259*1000</f>
        <v>0</v>
      </c>
      <c r="AF259" s="41">
        <f>M259/'1. Väestöennuste'!O259*1000</f>
        <v>0</v>
      </c>
      <c r="AG259" s="41">
        <f>N259/'1. Väestöennuste'!P259*1000</f>
        <v>0</v>
      </c>
      <c r="AH259" s="41">
        <f>O259/'1. Väestöennuste'!Q259*1000</f>
        <v>0</v>
      </c>
      <c r="AI259" s="41">
        <f>P259/'1. Väestöennuste'!R259*1000</f>
        <v>0</v>
      </c>
    </row>
    <row r="260" spans="1:35" x14ac:dyDescent="0.2">
      <c r="A260" s="30">
        <v>783</v>
      </c>
      <c r="B260" s="31" t="s">
        <v>574</v>
      </c>
      <c r="C260" s="64">
        <v>0</v>
      </c>
      <c r="D260" s="64"/>
      <c r="E260" s="64">
        <v>0</v>
      </c>
      <c r="F260" s="65">
        <v>0</v>
      </c>
      <c r="G260" s="65">
        <v>0</v>
      </c>
      <c r="H260" s="41">
        <v>0</v>
      </c>
      <c r="I260" s="165">
        <v>0</v>
      </c>
      <c r="J260" s="41">
        <v>0</v>
      </c>
      <c r="K260" s="41">
        <v>0</v>
      </c>
      <c r="L260" s="41">
        <v>0</v>
      </c>
      <c r="M260" s="41">
        <v>0</v>
      </c>
      <c r="N260" s="41">
        <v>0</v>
      </c>
      <c r="O260" s="41">
        <v>0</v>
      </c>
      <c r="P260" s="41">
        <v>0</v>
      </c>
      <c r="T260" s="30">
        <v>783</v>
      </c>
      <c r="U260" s="31" t="s">
        <v>574</v>
      </c>
      <c r="V260" s="41">
        <f>C260/'1. Väestöennuste'!E260*1000</f>
        <v>0</v>
      </c>
      <c r="W260" s="41">
        <f>D260/'1. Väestöennuste'!F260*1000</f>
        <v>0</v>
      </c>
      <c r="X260" s="41">
        <f>E260/'1. Väestöennuste'!G260*1000</f>
        <v>0</v>
      </c>
      <c r="Y260" s="41">
        <f>F260/'1. Väestöennuste'!H260*1000</f>
        <v>0</v>
      </c>
      <c r="Z260" s="41">
        <f>G260/'1. Väestöennuste'!I260*1000</f>
        <v>0</v>
      </c>
      <c r="AA260" s="41">
        <f>H260/'1. Väestöennuste'!J260*1000</f>
        <v>0</v>
      </c>
      <c r="AB260" s="41">
        <f>I260/'1. Väestöennuste'!K260*1000</f>
        <v>0</v>
      </c>
      <c r="AC260" s="41">
        <f>J260/'1. Väestöennuste'!L260*1000</f>
        <v>0</v>
      </c>
      <c r="AD260" s="41">
        <f>K260/'1. Väestöennuste'!M260*1000</f>
        <v>0</v>
      </c>
      <c r="AE260" s="41">
        <f>L260/'1. Väestöennuste'!N260*1000</f>
        <v>0</v>
      </c>
      <c r="AF260" s="41">
        <f>M260/'1. Väestöennuste'!O260*1000</f>
        <v>0</v>
      </c>
      <c r="AG260" s="41">
        <f>N260/'1. Väestöennuste'!P260*1000</f>
        <v>0</v>
      </c>
      <c r="AH260" s="41">
        <f>O260/'1. Väestöennuste'!Q260*1000</f>
        <v>0</v>
      </c>
      <c r="AI260" s="41">
        <f>P260/'1. Väestöennuste'!R260*1000</f>
        <v>0</v>
      </c>
    </row>
    <row r="261" spans="1:35" x14ac:dyDescent="0.2">
      <c r="A261" s="30">
        <v>785</v>
      </c>
      <c r="B261" s="31" t="s">
        <v>575</v>
      </c>
      <c r="C261" s="64">
        <v>0</v>
      </c>
      <c r="D261" s="64">
        <v>611</v>
      </c>
      <c r="E261" s="64">
        <v>0</v>
      </c>
      <c r="F261" s="65">
        <v>0</v>
      </c>
      <c r="G261" s="65">
        <v>0</v>
      </c>
      <c r="H261" s="41">
        <v>0</v>
      </c>
      <c r="I261" s="165">
        <v>0</v>
      </c>
      <c r="J261" s="41">
        <v>0</v>
      </c>
      <c r="K261" s="41">
        <v>0</v>
      </c>
      <c r="L261" s="41">
        <v>0</v>
      </c>
      <c r="M261" s="41">
        <v>0</v>
      </c>
      <c r="N261" s="41">
        <v>0</v>
      </c>
      <c r="O261" s="41">
        <v>0</v>
      </c>
      <c r="P261" s="41">
        <v>0</v>
      </c>
      <c r="T261" s="30">
        <v>785</v>
      </c>
      <c r="U261" s="31" t="s">
        <v>575</v>
      </c>
      <c r="V261" s="41">
        <f>C261/'1. Väestöennuste'!E261*1000</f>
        <v>0</v>
      </c>
      <c r="W261" s="41">
        <f>D261/'1. Väestöennuste'!F261*1000</f>
        <v>200.98684210526315</v>
      </c>
      <c r="X261" s="41">
        <f>E261/'1. Väestöennuste'!G261*1000</f>
        <v>0</v>
      </c>
      <c r="Y261" s="41">
        <f>F261/'1. Väestöennuste'!H261*1000</f>
        <v>0</v>
      </c>
      <c r="Z261" s="41">
        <f>G261/'1. Väestöennuste'!I261*1000</f>
        <v>0</v>
      </c>
      <c r="AA261" s="41">
        <f>H261/'1. Väestöennuste'!J261*1000</f>
        <v>0</v>
      </c>
      <c r="AB261" s="41">
        <f>I261/'1. Väestöennuste'!K261*1000</f>
        <v>0</v>
      </c>
      <c r="AC261" s="41">
        <f>J261/'1. Väestöennuste'!L261*1000</f>
        <v>0</v>
      </c>
      <c r="AD261" s="41">
        <f>K261/'1. Väestöennuste'!M261*1000</f>
        <v>0</v>
      </c>
      <c r="AE261" s="41">
        <f>L261/'1. Väestöennuste'!N261*1000</f>
        <v>0</v>
      </c>
      <c r="AF261" s="41">
        <f>M261/'1. Väestöennuste'!O261*1000</f>
        <v>0</v>
      </c>
      <c r="AG261" s="41">
        <f>N261/'1. Väestöennuste'!P261*1000</f>
        <v>0</v>
      </c>
      <c r="AH261" s="41">
        <f>O261/'1. Väestöennuste'!Q261*1000</f>
        <v>0</v>
      </c>
      <c r="AI261" s="41">
        <f>P261/'1. Väestöennuste'!R261*1000</f>
        <v>0</v>
      </c>
    </row>
    <row r="262" spans="1:35" x14ac:dyDescent="0.2">
      <c r="A262" s="30">
        <v>790</v>
      </c>
      <c r="B262" s="31" t="s">
        <v>576</v>
      </c>
      <c r="C262" s="64">
        <v>0</v>
      </c>
      <c r="D262" s="64"/>
      <c r="E262" s="64">
        <v>0</v>
      </c>
      <c r="F262" s="65">
        <v>0</v>
      </c>
      <c r="G262" s="65">
        <v>0</v>
      </c>
      <c r="H262" s="41">
        <v>0</v>
      </c>
      <c r="I262" s="165">
        <v>0</v>
      </c>
      <c r="J262" s="41">
        <v>0</v>
      </c>
      <c r="K262" s="41">
        <v>0</v>
      </c>
      <c r="L262" s="41">
        <v>0</v>
      </c>
      <c r="M262" s="41">
        <v>0</v>
      </c>
      <c r="N262" s="41">
        <v>0</v>
      </c>
      <c r="O262" s="41">
        <v>0</v>
      </c>
      <c r="P262" s="41">
        <v>0</v>
      </c>
      <c r="T262" s="30">
        <v>790</v>
      </c>
      <c r="U262" s="31" t="s">
        <v>576</v>
      </c>
      <c r="V262" s="41">
        <f>C262/'1. Väestöennuste'!E262*1000</f>
        <v>0</v>
      </c>
      <c r="W262" s="41">
        <f>D262/'1. Väestöennuste'!F262*1000</f>
        <v>0</v>
      </c>
      <c r="X262" s="41">
        <f>E262/'1. Väestöennuste'!G262*1000</f>
        <v>0</v>
      </c>
      <c r="Y262" s="41">
        <f>F262/'1. Väestöennuste'!H262*1000</f>
        <v>0</v>
      </c>
      <c r="Z262" s="41">
        <f>G262/'1. Väestöennuste'!I262*1000</f>
        <v>0</v>
      </c>
      <c r="AA262" s="41">
        <f>H262/'1. Väestöennuste'!J262*1000</f>
        <v>0</v>
      </c>
      <c r="AB262" s="41">
        <f>I262/'1. Väestöennuste'!K262*1000</f>
        <v>0</v>
      </c>
      <c r="AC262" s="41">
        <f>J262/'1. Väestöennuste'!L262*1000</f>
        <v>0</v>
      </c>
      <c r="AD262" s="41">
        <f>K262/'1. Väestöennuste'!M262*1000</f>
        <v>0</v>
      </c>
      <c r="AE262" s="41">
        <f>L262/'1. Väestöennuste'!N262*1000</f>
        <v>0</v>
      </c>
      <c r="AF262" s="41">
        <f>M262/'1. Väestöennuste'!O262*1000</f>
        <v>0</v>
      </c>
      <c r="AG262" s="41">
        <f>N262/'1. Väestöennuste'!P262*1000</f>
        <v>0</v>
      </c>
      <c r="AH262" s="41">
        <f>O262/'1. Väestöennuste'!Q262*1000</f>
        <v>0</v>
      </c>
      <c r="AI262" s="41">
        <f>P262/'1. Väestöennuste'!R262*1000</f>
        <v>0</v>
      </c>
    </row>
    <row r="263" spans="1:35" x14ac:dyDescent="0.2">
      <c r="A263" s="30">
        <v>791</v>
      </c>
      <c r="B263" s="31" t="s">
        <v>577</v>
      </c>
      <c r="C263" s="64">
        <v>0</v>
      </c>
      <c r="D263" s="64"/>
      <c r="E263" s="64">
        <v>0</v>
      </c>
      <c r="F263" s="65">
        <v>0</v>
      </c>
      <c r="G263" s="65">
        <v>0</v>
      </c>
      <c r="H263" s="41">
        <v>0</v>
      </c>
      <c r="I263" s="165">
        <v>0</v>
      </c>
      <c r="J263" s="41">
        <v>0</v>
      </c>
      <c r="K263" s="41">
        <v>0</v>
      </c>
      <c r="L263" s="41">
        <v>0</v>
      </c>
      <c r="M263" s="41">
        <v>0</v>
      </c>
      <c r="N263" s="41">
        <v>0</v>
      </c>
      <c r="O263" s="41">
        <v>0</v>
      </c>
      <c r="P263" s="41">
        <v>0</v>
      </c>
      <c r="T263" s="30">
        <v>791</v>
      </c>
      <c r="U263" s="31" t="s">
        <v>577</v>
      </c>
      <c r="V263" s="41">
        <f>C263/'1. Väestöennuste'!E263*1000</f>
        <v>0</v>
      </c>
      <c r="W263" s="41">
        <f>D263/'1. Väestöennuste'!F263*1000</f>
        <v>0</v>
      </c>
      <c r="X263" s="41">
        <f>E263/'1. Väestöennuste'!G263*1000</f>
        <v>0</v>
      </c>
      <c r="Y263" s="41">
        <f>F263/'1. Väestöennuste'!H263*1000</f>
        <v>0</v>
      </c>
      <c r="Z263" s="41">
        <f>G263/'1. Väestöennuste'!I263*1000</f>
        <v>0</v>
      </c>
      <c r="AA263" s="41">
        <f>H263/'1. Väestöennuste'!J263*1000</f>
        <v>0</v>
      </c>
      <c r="AB263" s="41">
        <f>I263/'1. Väestöennuste'!K263*1000</f>
        <v>0</v>
      </c>
      <c r="AC263" s="41">
        <f>J263/'1. Väestöennuste'!L263*1000</f>
        <v>0</v>
      </c>
      <c r="AD263" s="41">
        <f>K263/'1. Väestöennuste'!M263*1000</f>
        <v>0</v>
      </c>
      <c r="AE263" s="41">
        <f>L263/'1. Väestöennuste'!N263*1000</f>
        <v>0</v>
      </c>
      <c r="AF263" s="41">
        <f>M263/'1. Väestöennuste'!O263*1000</f>
        <v>0</v>
      </c>
      <c r="AG263" s="41">
        <f>N263/'1. Väestöennuste'!P263*1000</f>
        <v>0</v>
      </c>
      <c r="AH263" s="41">
        <f>O263/'1. Väestöennuste'!Q263*1000</f>
        <v>0</v>
      </c>
      <c r="AI263" s="41">
        <f>P263/'1. Väestöennuste'!R263*1000</f>
        <v>0</v>
      </c>
    </row>
    <row r="264" spans="1:35" x14ac:dyDescent="0.2">
      <c r="A264" s="30">
        <v>831</v>
      </c>
      <c r="B264" s="31" t="s">
        <v>578</v>
      </c>
      <c r="C264" s="64">
        <v>0</v>
      </c>
      <c r="D264" s="64"/>
      <c r="E264" s="64">
        <v>0</v>
      </c>
      <c r="F264" s="65">
        <v>0</v>
      </c>
      <c r="G264" s="65">
        <v>0</v>
      </c>
      <c r="H264" s="41">
        <v>0</v>
      </c>
      <c r="I264" s="165">
        <v>0</v>
      </c>
      <c r="J264" s="41">
        <v>0</v>
      </c>
      <c r="K264" s="41">
        <v>0</v>
      </c>
      <c r="L264" s="41">
        <v>0</v>
      </c>
      <c r="M264" s="41">
        <v>0</v>
      </c>
      <c r="N264" s="41">
        <v>0</v>
      </c>
      <c r="O264" s="41">
        <v>0</v>
      </c>
      <c r="P264" s="41">
        <v>0</v>
      </c>
      <c r="T264" s="30">
        <v>831</v>
      </c>
      <c r="U264" s="31" t="s">
        <v>578</v>
      </c>
      <c r="V264" s="41">
        <f>C264/'1. Väestöennuste'!E264*1000</f>
        <v>0</v>
      </c>
      <c r="W264" s="41">
        <f>D264/'1. Väestöennuste'!F264*1000</f>
        <v>0</v>
      </c>
      <c r="X264" s="41">
        <f>E264/'1. Väestöennuste'!G264*1000</f>
        <v>0</v>
      </c>
      <c r="Y264" s="41">
        <f>F264/'1. Väestöennuste'!H264*1000</f>
        <v>0</v>
      </c>
      <c r="Z264" s="41">
        <f>G264/'1. Väestöennuste'!I264*1000</f>
        <v>0</v>
      </c>
      <c r="AA264" s="41">
        <f>H264/'1. Väestöennuste'!J264*1000</f>
        <v>0</v>
      </c>
      <c r="AB264" s="41">
        <f>I264/'1. Väestöennuste'!K264*1000</f>
        <v>0</v>
      </c>
      <c r="AC264" s="41">
        <f>J264/'1. Väestöennuste'!L264*1000</f>
        <v>0</v>
      </c>
      <c r="AD264" s="41">
        <f>K264/'1. Väestöennuste'!M264*1000</f>
        <v>0</v>
      </c>
      <c r="AE264" s="41">
        <f>L264/'1. Väestöennuste'!N264*1000</f>
        <v>0</v>
      </c>
      <c r="AF264" s="41">
        <f>M264/'1. Väestöennuste'!O264*1000</f>
        <v>0</v>
      </c>
      <c r="AG264" s="41">
        <f>N264/'1. Väestöennuste'!P264*1000</f>
        <v>0</v>
      </c>
      <c r="AH264" s="41">
        <f>O264/'1. Väestöennuste'!Q264*1000</f>
        <v>0</v>
      </c>
      <c r="AI264" s="41">
        <f>P264/'1. Väestöennuste'!R264*1000</f>
        <v>0</v>
      </c>
    </row>
    <row r="265" spans="1:35" x14ac:dyDescent="0.2">
      <c r="A265" s="30">
        <v>832</v>
      </c>
      <c r="B265" s="31" t="s">
        <v>579</v>
      </c>
      <c r="C265" s="64">
        <v>-450</v>
      </c>
      <c r="D265" s="64"/>
      <c r="E265" s="64">
        <v>-424</v>
      </c>
      <c r="F265" s="65">
        <v>0</v>
      </c>
      <c r="G265" s="65">
        <v>0</v>
      </c>
      <c r="H265" s="41">
        <v>0</v>
      </c>
      <c r="I265" s="165">
        <v>0</v>
      </c>
      <c r="J265" s="41">
        <v>0</v>
      </c>
      <c r="K265" s="41">
        <v>0</v>
      </c>
      <c r="L265" s="41">
        <v>0</v>
      </c>
      <c r="M265" s="41">
        <v>0</v>
      </c>
      <c r="N265" s="41">
        <v>0</v>
      </c>
      <c r="O265" s="41">
        <v>0</v>
      </c>
      <c r="P265" s="41">
        <v>0</v>
      </c>
      <c r="T265" s="30">
        <v>832</v>
      </c>
      <c r="U265" s="31" t="s">
        <v>579</v>
      </c>
      <c r="V265" s="41">
        <f>C265/'1. Väestöennuste'!E265*1000</f>
        <v>-107.16837342224339</v>
      </c>
      <c r="W265" s="41">
        <f>D265/'1. Väestöennuste'!F265*1000</f>
        <v>0</v>
      </c>
      <c r="X265" s="41">
        <f>E265/'1. Väestöennuste'!G265*1000</f>
        <v>-104.48496796451454</v>
      </c>
      <c r="Y265" s="41">
        <f>F265/'1. Väestöennuste'!H265*1000</f>
        <v>0</v>
      </c>
      <c r="Z265" s="41">
        <f>G265/'1. Väestöennuste'!I265*1000</f>
        <v>0</v>
      </c>
      <c r="AA265" s="41">
        <f>H265/'1. Väestöennuste'!J265*1000</f>
        <v>0</v>
      </c>
      <c r="AB265" s="41">
        <f>I265/'1. Väestöennuste'!K265*1000</f>
        <v>0</v>
      </c>
      <c r="AC265" s="41">
        <f>J265/'1. Väestöennuste'!L265*1000</f>
        <v>0</v>
      </c>
      <c r="AD265" s="41">
        <f>K265/'1. Väestöennuste'!M265*1000</f>
        <v>0</v>
      </c>
      <c r="AE265" s="41">
        <f>L265/'1. Väestöennuste'!N265*1000</f>
        <v>0</v>
      </c>
      <c r="AF265" s="41">
        <f>M265/'1. Väestöennuste'!O265*1000</f>
        <v>0</v>
      </c>
      <c r="AG265" s="41">
        <f>N265/'1. Väestöennuste'!P265*1000</f>
        <v>0</v>
      </c>
      <c r="AH265" s="41">
        <f>O265/'1. Väestöennuste'!Q265*1000</f>
        <v>0</v>
      </c>
      <c r="AI265" s="41">
        <f>P265/'1. Väestöennuste'!R265*1000</f>
        <v>0</v>
      </c>
    </row>
    <row r="266" spans="1:35" x14ac:dyDescent="0.2">
      <c r="A266" s="30">
        <v>833</v>
      </c>
      <c r="B266" s="31" t="s">
        <v>580</v>
      </c>
      <c r="C266" s="64">
        <v>0</v>
      </c>
      <c r="D266" s="64">
        <v>1070</v>
      </c>
      <c r="E266" s="64">
        <v>0</v>
      </c>
      <c r="F266" s="65">
        <v>0</v>
      </c>
      <c r="G266" s="65">
        <v>0</v>
      </c>
      <c r="H266" s="41">
        <v>0</v>
      </c>
      <c r="I266" s="165">
        <v>0</v>
      </c>
      <c r="J266" s="41">
        <v>0</v>
      </c>
      <c r="K266" s="41">
        <v>0</v>
      </c>
      <c r="L266" s="41">
        <v>0</v>
      </c>
      <c r="M266" s="41">
        <v>0</v>
      </c>
      <c r="N266" s="41">
        <v>0</v>
      </c>
      <c r="O266" s="41">
        <v>0</v>
      </c>
      <c r="P266" s="41">
        <v>0</v>
      </c>
      <c r="T266" s="30">
        <v>833</v>
      </c>
      <c r="U266" s="31" t="s">
        <v>580</v>
      </c>
      <c r="V266" s="41">
        <f>C266/'1. Väestöennuste'!E266*1000</f>
        <v>0</v>
      </c>
      <c r="W266" s="41">
        <f>D266/'1. Väestöennuste'!F266*1000</f>
        <v>659.67940813810105</v>
      </c>
      <c r="X266" s="41">
        <f>E266/'1. Väestöennuste'!G266*1000</f>
        <v>0</v>
      </c>
      <c r="Y266" s="41">
        <f>F266/'1. Väestöennuste'!H266*1000</f>
        <v>0</v>
      </c>
      <c r="Z266" s="41">
        <f>G266/'1. Väestöennuste'!I266*1000</f>
        <v>0</v>
      </c>
      <c r="AA266" s="41">
        <f>H266/'1. Väestöennuste'!J266*1000</f>
        <v>0</v>
      </c>
      <c r="AB266" s="41">
        <f>I266/'1. Väestöennuste'!K266*1000</f>
        <v>0</v>
      </c>
      <c r="AC266" s="41">
        <f>J266/'1. Väestöennuste'!L266*1000</f>
        <v>0</v>
      </c>
      <c r="AD266" s="41">
        <f>K266/'1. Väestöennuste'!M266*1000</f>
        <v>0</v>
      </c>
      <c r="AE266" s="41">
        <f>L266/'1. Väestöennuste'!N266*1000</f>
        <v>0</v>
      </c>
      <c r="AF266" s="41">
        <f>M266/'1. Väestöennuste'!O266*1000</f>
        <v>0</v>
      </c>
      <c r="AG266" s="41">
        <f>N266/'1. Väestöennuste'!P266*1000</f>
        <v>0</v>
      </c>
      <c r="AH266" s="41">
        <f>O266/'1. Väestöennuste'!Q266*1000</f>
        <v>0</v>
      </c>
      <c r="AI266" s="41">
        <f>P266/'1. Väestöennuste'!R266*1000</f>
        <v>0</v>
      </c>
    </row>
    <row r="267" spans="1:35" x14ac:dyDescent="0.2">
      <c r="A267" s="30">
        <v>834</v>
      </c>
      <c r="B267" s="31" t="s">
        <v>581</v>
      </c>
      <c r="C267" s="64">
        <v>0</v>
      </c>
      <c r="D267" s="64"/>
      <c r="E267" s="64">
        <v>0</v>
      </c>
      <c r="F267" s="65">
        <v>0</v>
      </c>
      <c r="G267" s="65">
        <v>0</v>
      </c>
      <c r="H267" s="41">
        <v>0</v>
      </c>
      <c r="I267" s="165">
        <v>0</v>
      </c>
      <c r="J267" s="41">
        <v>0</v>
      </c>
      <c r="K267" s="41">
        <v>0</v>
      </c>
      <c r="L267" s="41">
        <v>0</v>
      </c>
      <c r="M267" s="41">
        <v>0</v>
      </c>
      <c r="N267" s="41">
        <v>0</v>
      </c>
      <c r="O267" s="41">
        <v>0</v>
      </c>
      <c r="P267" s="41">
        <v>0</v>
      </c>
      <c r="T267" s="30">
        <v>834</v>
      </c>
      <c r="U267" s="31" t="s">
        <v>581</v>
      </c>
      <c r="V267" s="41">
        <f>C267/'1. Väestöennuste'!E267*1000</f>
        <v>0</v>
      </c>
      <c r="W267" s="41">
        <f>D267/'1. Väestöennuste'!F267*1000</f>
        <v>0</v>
      </c>
      <c r="X267" s="41">
        <f>E267/'1. Väestöennuste'!G267*1000</f>
        <v>0</v>
      </c>
      <c r="Y267" s="41">
        <f>F267/'1. Väestöennuste'!H267*1000</f>
        <v>0</v>
      </c>
      <c r="Z267" s="41">
        <f>G267/'1. Väestöennuste'!I267*1000</f>
        <v>0</v>
      </c>
      <c r="AA267" s="41">
        <f>H267/'1. Väestöennuste'!J267*1000</f>
        <v>0</v>
      </c>
      <c r="AB267" s="41">
        <f>I267/'1. Väestöennuste'!K267*1000</f>
        <v>0</v>
      </c>
      <c r="AC267" s="41">
        <f>J267/'1. Väestöennuste'!L267*1000</f>
        <v>0</v>
      </c>
      <c r="AD267" s="41">
        <f>K267/'1. Väestöennuste'!M267*1000</f>
        <v>0</v>
      </c>
      <c r="AE267" s="41">
        <f>L267/'1. Väestöennuste'!N267*1000</f>
        <v>0</v>
      </c>
      <c r="AF267" s="41">
        <f>M267/'1. Väestöennuste'!O267*1000</f>
        <v>0</v>
      </c>
      <c r="AG267" s="41">
        <f>N267/'1. Väestöennuste'!P267*1000</f>
        <v>0</v>
      </c>
      <c r="AH267" s="41">
        <f>O267/'1. Väestöennuste'!Q267*1000</f>
        <v>0</v>
      </c>
      <c r="AI267" s="41">
        <f>P267/'1. Väestöennuste'!R267*1000</f>
        <v>0</v>
      </c>
    </row>
    <row r="268" spans="1:35" x14ac:dyDescent="0.2">
      <c r="A268" s="30">
        <v>837</v>
      </c>
      <c r="B268" s="31" t="s">
        <v>582</v>
      </c>
      <c r="C268" s="64">
        <v>1404</v>
      </c>
      <c r="D268" s="64">
        <v>-2749</v>
      </c>
      <c r="E268" s="64">
        <v>8049</v>
      </c>
      <c r="F268" s="65">
        <v>1520</v>
      </c>
      <c r="G268" s="65">
        <v>1028</v>
      </c>
      <c r="H268" s="41">
        <v>264</v>
      </c>
      <c r="I268" s="165">
        <v>0</v>
      </c>
      <c r="J268" s="41">
        <v>0</v>
      </c>
      <c r="K268" s="41">
        <v>0</v>
      </c>
      <c r="L268" s="41">
        <v>165500</v>
      </c>
      <c r="M268" s="41">
        <v>0</v>
      </c>
      <c r="N268" s="41">
        <v>0</v>
      </c>
      <c r="O268" s="41">
        <v>0</v>
      </c>
      <c r="P268" s="41">
        <v>0</v>
      </c>
      <c r="T268" s="30">
        <v>837</v>
      </c>
      <c r="U268" s="31" t="s">
        <v>582</v>
      </c>
      <c r="V268" s="41">
        <f>C268/'1. Väestöennuste'!E268*1000</f>
        <v>6.2367291820289807</v>
      </c>
      <c r="W268" s="41">
        <f>D268/'1. Väestöennuste'!F268*1000</f>
        <v>-12.0425453621525</v>
      </c>
      <c r="X268" s="41">
        <f>E268/'1. Väestöennuste'!G268*1000</f>
        <v>34.715962269196432</v>
      </c>
      <c r="Y268" s="41">
        <f>F268/'1. Väestöennuste'!H268*1000</f>
        <v>6.4615136095630401</v>
      </c>
      <c r="Z268" s="41">
        <f>G268/'1. Väestöennuste'!I268*1000</f>
        <v>4.3167884437725714</v>
      </c>
      <c r="AA268" s="41">
        <f>H268/'1. Väestöennuste'!J268*1000</f>
        <v>1.0953947777883815</v>
      </c>
      <c r="AB268" s="41">
        <f>I268/'1. Väestöennuste'!K268*1000</f>
        <v>0</v>
      </c>
      <c r="AC268" s="41">
        <f>J268/'1. Väestöennuste'!L268*1000</f>
        <v>0</v>
      </c>
      <c r="AD268" s="41">
        <f>K268/'1. Väestöennuste'!M268*1000</f>
        <v>0</v>
      </c>
      <c r="AE268" s="41">
        <f>L268/'1. Väestöennuste'!N268*1000</f>
        <v>651.97779729990577</v>
      </c>
      <c r="AF268" s="41">
        <f>M268/'1. Väestöennuste'!O268*1000</f>
        <v>0</v>
      </c>
      <c r="AG268" s="41">
        <f>N268/'1. Väestöennuste'!P268*1000</f>
        <v>0</v>
      </c>
      <c r="AH268" s="41">
        <f>O268/'1. Väestöennuste'!Q268*1000</f>
        <v>0</v>
      </c>
      <c r="AI268" s="41">
        <f>P268/'1. Väestöennuste'!R268*1000</f>
        <v>0</v>
      </c>
    </row>
    <row r="269" spans="1:35" x14ac:dyDescent="0.2">
      <c r="A269" s="30">
        <v>844</v>
      </c>
      <c r="B269" s="31" t="s">
        <v>583</v>
      </c>
      <c r="C269" s="64">
        <v>57</v>
      </c>
      <c r="D269" s="64"/>
      <c r="E269" s="64">
        <v>-35</v>
      </c>
      <c r="F269" s="65">
        <v>0</v>
      </c>
      <c r="G269" s="65">
        <v>0</v>
      </c>
      <c r="H269" s="41">
        <v>0</v>
      </c>
      <c r="I269" s="165">
        <v>0</v>
      </c>
      <c r="J269" s="41">
        <v>0</v>
      </c>
      <c r="K269" s="41">
        <v>0</v>
      </c>
      <c r="L269" s="41">
        <v>0</v>
      </c>
      <c r="M269" s="41">
        <v>0</v>
      </c>
      <c r="N269" s="41">
        <v>0</v>
      </c>
      <c r="O269" s="41">
        <v>0</v>
      </c>
      <c r="P269" s="41">
        <v>0</v>
      </c>
      <c r="T269" s="30">
        <v>844</v>
      </c>
      <c r="U269" s="31" t="s">
        <v>583</v>
      </c>
      <c r="V269" s="41">
        <f>C269/'1. Väestöennuste'!E269*1000</f>
        <v>35.447761194029852</v>
      </c>
      <c r="W269" s="41">
        <f>D269/'1. Väestöennuste'!F269*1000</f>
        <v>0</v>
      </c>
      <c r="X269" s="41">
        <f>E269/'1. Väestöennuste'!G269*1000</f>
        <v>-22.082018927444796</v>
      </c>
      <c r="Y269" s="41">
        <f>F269/'1. Väestöennuste'!H269*1000</f>
        <v>0</v>
      </c>
      <c r="Z269" s="41">
        <f>G269/'1. Väestöennuste'!I269*1000</f>
        <v>0</v>
      </c>
      <c r="AA269" s="41">
        <f>H269/'1. Väestöennuste'!J269*1000</f>
        <v>0</v>
      </c>
      <c r="AB269" s="41">
        <f>I269/'1. Väestöennuste'!K269*1000</f>
        <v>0</v>
      </c>
      <c r="AC269" s="41">
        <f>J269/'1. Väestöennuste'!L269*1000</f>
        <v>0</v>
      </c>
      <c r="AD269" s="41">
        <f>K269/'1. Väestöennuste'!M269*1000</f>
        <v>0</v>
      </c>
      <c r="AE269" s="41">
        <f>L269/'1. Väestöennuste'!N269*1000</f>
        <v>0</v>
      </c>
      <c r="AF269" s="41">
        <f>M269/'1. Väestöennuste'!O269*1000</f>
        <v>0</v>
      </c>
      <c r="AG269" s="41">
        <f>N269/'1. Väestöennuste'!P269*1000</f>
        <v>0</v>
      </c>
      <c r="AH269" s="41">
        <f>O269/'1. Väestöennuste'!Q269*1000</f>
        <v>0</v>
      </c>
      <c r="AI269" s="41">
        <f>P269/'1. Väestöennuste'!R269*1000</f>
        <v>0</v>
      </c>
    </row>
    <row r="270" spans="1:35" x14ac:dyDescent="0.2">
      <c r="A270" s="30">
        <v>845</v>
      </c>
      <c r="B270" s="31" t="s">
        <v>584</v>
      </c>
      <c r="C270" s="64">
        <v>0</v>
      </c>
      <c r="D270" s="64"/>
      <c r="E270" s="64">
        <v>0</v>
      </c>
      <c r="F270" s="65">
        <v>0</v>
      </c>
      <c r="G270" s="65">
        <v>0</v>
      </c>
      <c r="H270" s="41">
        <v>0</v>
      </c>
      <c r="I270" s="165">
        <v>0</v>
      </c>
      <c r="J270" s="41">
        <v>0</v>
      </c>
      <c r="K270" s="41">
        <v>0</v>
      </c>
      <c r="L270" s="41">
        <v>0</v>
      </c>
      <c r="M270" s="41">
        <v>0</v>
      </c>
      <c r="N270" s="41">
        <v>0</v>
      </c>
      <c r="O270" s="41">
        <v>0</v>
      </c>
      <c r="P270" s="41">
        <v>0</v>
      </c>
      <c r="T270" s="30">
        <v>845</v>
      </c>
      <c r="U270" s="31" t="s">
        <v>584</v>
      </c>
      <c r="V270" s="41">
        <f>C270/'1. Väestöennuste'!E270*1000</f>
        <v>0</v>
      </c>
      <c r="W270" s="41">
        <f>D270/'1. Väestöennuste'!F270*1000</f>
        <v>0</v>
      </c>
      <c r="X270" s="41">
        <f>E270/'1. Väestöennuste'!G270*1000</f>
        <v>0</v>
      </c>
      <c r="Y270" s="41">
        <f>F270/'1. Väestöennuste'!H270*1000</f>
        <v>0</v>
      </c>
      <c r="Z270" s="41">
        <f>G270/'1. Väestöennuste'!I270*1000</f>
        <v>0</v>
      </c>
      <c r="AA270" s="41">
        <f>H270/'1. Väestöennuste'!J270*1000</f>
        <v>0</v>
      </c>
      <c r="AB270" s="41">
        <f>I270/'1. Väestöennuste'!K270*1000</f>
        <v>0</v>
      </c>
      <c r="AC270" s="41">
        <f>J270/'1. Väestöennuste'!L270*1000</f>
        <v>0</v>
      </c>
      <c r="AD270" s="41">
        <f>K270/'1. Väestöennuste'!M270*1000</f>
        <v>0</v>
      </c>
      <c r="AE270" s="41">
        <f>L270/'1. Väestöennuste'!N270*1000</f>
        <v>0</v>
      </c>
      <c r="AF270" s="41">
        <f>M270/'1. Väestöennuste'!O270*1000</f>
        <v>0</v>
      </c>
      <c r="AG270" s="41">
        <f>N270/'1. Väestöennuste'!P270*1000</f>
        <v>0</v>
      </c>
      <c r="AH270" s="41">
        <f>O270/'1. Väestöennuste'!Q270*1000</f>
        <v>0</v>
      </c>
      <c r="AI270" s="41">
        <f>P270/'1. Väestöennuste'!R270*1000</f>
        <v>0</v>
      </c>
    </row>
    <row r="271" spans="1:35" x14ac:dyDescent="0.2">
      <c r="A271" s="30">
        <v>846</v>
      </c>
      <c r="B271" s="31" t="s">
        <v>585</v>
      </c>
      <c r="C271" s="64">
        <v>539</v>
      </c>
      <c r="D271" s="64"/>
      <c r="E271" s="64">
        <v>0</v>
      </c>
      <c r="F271" s="65">
        <v>0</v>
      </c>
      <c r="G271" s="65">
        <v>0</v>
      </c>
      <c r="H271" s="41">
        <v>0</v>
      </c>
      <c r="I271" s="165">
        <v>0</v>
      </c>
      <c r="J271" s="41">
        <v>0</v>
      </c>
      <c r="K271" s="41">
        <v>-129.72552999999999</v>
      </c>
      <c r="L271" s="41">
        <v>0</v>
      </c>
      <c r="M271" s="41">
        <v>0</v>
      </c>
      <c r="N271" s="41">
        <v>0</v>
      </c>
      <c r="O271" s="41">
        <v>0</v>
      </c>
      <c r="P271" s="41">
        <v>0</v>
      </c>
      <c r="T271" s="30">
        <v>846</v>
      </c>
      <c r="U271" s="31" t="s">
        <v>585</v>
      </c>
      <c r="V271" s="41">
        <f>C271/'1. Väestöennuste'!E271*1000</f>
        <v>98.321780372126966</v>
      </c>
      <c r="W271" s="41">
        <f>D271/'1. Väestöennuste'!F271*1000</f>
        <v>0</v>
      </c>
      <c r="X271" s="41">
        <f>E271/'1. Väestöennuste'!G271*1000</f>
        <v>0</v>
      </c>
      <c r="Y271" s="41">
        <f>F271/'1. Väestöennuste'!H271*1000</f>
        <v>0</v>
      </c>
      <c r="Z271" s="41">
        <f>G271/'1. Väestöennuste'!I271*1000</f>
        <v>0</v>
      </c>
      <c r="AA271" s="41">
        <f>H271/'1. Väestöennuste'!J271*1000</f>
        <v>0</v>
      </c>
      <c r="AB271" s="41">
        <f>I271/'1. Väestöennuste'!K271*1000</f>
        <v>0</v>
      </c>
      <c r="AC271" s="41">
        <f>J271/'1. Väestöennuste'!L271*1000</f>
        <v>0</v>
      </c>
      <c r="AD271" s="41">
        <f>K271/'1. Väestöennuste'!M271*1000</f>
        <v>-27.264718369062628</v>
      </c>
      <c r="AE271" s="41">
        <f>L271/'1. Väestöennuste'!N271*1000</f>
        <v>0</v>
      </c>
      <c r="AF271" s="41">
        <f>M271/'1. Väestöennuste'!O271*1000</f>
        <v>0</v>
      </c>
      <c r="AG271" s="41">
        <f>N271/'1. Väestöennuste'!P271*1000</f>
        <v>0</v>
      </c>
      <c r="AH271" s="41">
        <f>O271/'1. Väestöennuste'!Q271*1000</f>
        <v>0</v>
      </c>
      <c r="AI271" s="41">
        <f>P271/'1. Väestöennuste'!R271*1000</f>
        <v>0</v>
      </c>
    </row>
    <row r="272" spans="1:35" x14ac:dyDescent="0.2">
      <c r="A272" s="30">
        <v>848</v>
      </c>
      <c r="B272" s="31" t="s">
        <v>586</v>
      </c>
      <c r="C272" s="64">
        <v>0</v>
      </c>
      <c r="D272" s="64"/>
      <c r="E272" s="64">
        <v>314</v>
      </c>
      <c r="F272" s="65">
        <v>0</v>
      </c>
      <c r="G272" s="65">
        <v>0</v>
      </c>
      <c r="H272" s="41">
        <v>0</v>
      </c>
      <c r="I272" s="165">
        <v>0</v>
      </c>
      <c r="J272" s="41">
        <v>0</v>
      </c>
      <c r="K272" s="41">
        <v>0</v>
      </c>
      <c r="L272" s="41">
        <v>0</v>
      </c>
      <c r="M272" s="41">
        <v>0</v>
      </c>
      <c r="N272" s="41">
        <v>0</v>
      </c>
      <c r="O272" s="41">
        <v>0</v>
      </c>
      <c r="P272" s="41">
        <v>0</v>
      </c>
      <c r="T272" s="30">
        <v>848</v>
      </c>
      <c r="U272" s="31" t="s">
        <v>586</v>
      </c>
      <c r="V272" s="41">
        <f>C272/'1. Väestöennuste'!E272*1000</f>
        <v>0</v>
      </c>
      <c r="W272" s="41">
        <f>D272/'1. Väestöennuste'!F272*1000</f>
        <v>0</v>
      </c>
      <c r="X272" s="41">
        <f>E272/'1. Väestöennuste'!G272*1000</f>
        <v>68.693940056880322</v>
      </c>
      <c r="Y272" s="41">
        <f>F272/'1. Väestöennuste'!H272*1000</f>
        <v>0</v>
      </c>
      <c r="Z272" s="41">
        <f>G272/'1. Väestöennuste'!I272*1000</f>
        <v>0</v>
      </c>
      <c r="AA272" s="41">
        <f>H272/'1. Väestöennuste'!J272*1000</f>
        <v>0</v>
      </c>
      <c r="AB272" s="41">
        <f>I272/'1. Väestöennuste'!K272*1000</f>
        <v>0</v>
      </c>
      <c r="AC272" s="41">
        <f>J272/'1. Väestöennuste'!L272*1000</f>
        <v>0</v>
      </c>
      <c r="AD272" s="41">
        <f>K272/'1. Väestöennuste'!M272*1000</f>
        <v>0</v>
      </c>
      <c r="AE272" s="41">
        <f>L272/'1. Väestöennuste'!N272*1000</f>
        <v>0</v>
      </c>
      <c r="AF272" s="41">
        <f>M272/'1. Väestöennuste'!O272*1000</f>
        <v>0</v>
      </c>
      <c r="AG272" s="41">
        <f>N272/'1. Väestöennuste'!P272*1000</f>
        <v>0</v>
      </c>
      <c r="AH272" s="41">
        <f>O272/'1. Väestöennuste'!Q272*1000</f>
        <v>0</v>
      </c>
      <c r="AI272" s="41">
        <f>P272/'1. Väestöennuste'!R272*1000</f>
        <v>0</v>
      </c>
    </row>
    <row r="273" spans="1:35" x14ac:dyDescent="0.2">
      <c r="A273" s="30">
        <v>849</v>
      </c>
      <c r="B273" s="31" t="s">
        <v>587</v>
      </c>
      <c r="C273" s="64">
        <v>0</v>
      </c>
      <c r="D273" s="64"/>
      <c r="E273" s="64">
        <v>0</v>
      </c>
      <c r="F273" s="65">
        <v>0</v>
      </c>
      <c r="G273" s="65">
        <v>0</v>
      </c>
      <c r="H273" s="41">
        <v>0</v>
      </c>
      <c r="I273" s="165">
        <v>0</v>
      </c>
      <c r="J273" s="41">
        <v>0</v>
      </c>
      <c r="K273" s="41">
        <v>1325.3340000000001</v>
      </c>
      <c r="L273" s="41">
        <v>0</v>
      </c>
      <c r="M273" s="41">
        <v>0</v>
      </c>
      <c r="N273" s="41">
        <v>0</v>
      </c>
      <c r="O273" s="41">
        <v>0</v>
      </c>
      <c r="P273" s="41">
        <v>0</v>
      </c>
      <c r="T273" s="30">
        <v>849</v>
      </c>
      <c r="U273" s="31" t="s">
        <v>587</v>
      </c>
      <c r="V273" s="41">
        <f>C273/'1. Väestöennuste'!E273*1000</f>
        <v>0</v>
      </c>
      <c r="W273" s="41">
        <f>D273/'1. Väestöennuste'!F273*1000</f>
        <v>0</v>
      </c>
      <c r="X273" s="41">
        <f>E273/'1. Väestöennuste'!G273*1000</f>
        <v>0</v>
      </c>
      <c r="Y273" s="41">
        <f>F273/'1. Väestöennuste'!H273*1000</f>
        <v>0</v>
      </c>
      <c r="Z273" s="41">
        <f>G273/'1. Väestöennuste'!I273*1000</f>
        <v>0</v>
      </c>
      <c r="AA273" s="41">
        <f>H273/'1. Väestöennuste'!J273*1000</f>
        <v>0</v>
      </c>
      <c r="AB273" s="41">
        <f>I273/'1. Väestöennuste'!K273*1000</f>
        <v>0</v>
      </c>
      <c r="AC273" s="41">
        <f>J273/'1. Väestöennuste'!L273*1000</f>
        <v>0</v>
      </c>
      <c r="AD273" s="41">
        <f>K273/'1. Väestöennuste'!M273*1000</f>
        <v>465.19269919269925</v>
      </c>
      <c r="AE273" s="41">
        <f>L273/'1. Väestöennuste'!N273*1000</f>
        <v>0</v>
      </c>
      <c r="AF273" s="41">
        <f>M273/'1. Väestöennuste'!O273*1000</f>
        <v>0</v>
      </c>
      <c r="AG273" s="41">
        <f>N273/'1. Väestöennuste'!P273*1000</f>
        <v>0</v>
      </c>
      <c r="AH273" s="41">
        <f>O273/'1. Väestöennuste'!Q273*1000</f>
        <v>0</v>
      </c>
      <c r="AI273" s="41">
        <f>P273/'1. Väestöennuste'!R273*1000</f>
        <v>0</v>
      </c>
    </row>
    <row r="274" spans="1:35" x14ac:dyDescent="0.2">
      <c r="A274" s="30">
        <v>850</v>
      </c>
      <c r="B274" s="31" t="s">
        <v>588</v>
      </c>
      <c r="C274" s="64">
        <v>0</v>
      </c>
      <c r="D274" s="64"/>
      <c r="E274" s="64">
        <v>0</v>
      </c>
      <c r="F274" s="65">
        <v>0</v>
      </c>
      <c r="G274" s="65">
        <v>0</v>
      </c>
      <c r="H274" s="41">
        <v>0</v>
      </c>
      <c r="I274" s="165">
        <v>0</v>
      </c>
      <c r="J274" s="41">
        <v>0</v>
      </c>
      <c r="K274" s="41">
        <v>0</v>
      </c>
      <c r="L274" s="41">
        <v>0</v>
      </c>
      <c r="M274" s="41">
        <v>0</v>
      </c>
      <c r="N274" s="41">
        <v>0</v>
      </c>
      <c r="O274" s="41">
        <v>0</v>
      </c>
      <c r="P274" s="41">
        <v>0</v>
      </c>
      <c r="T274" s="30">
        <v>850</v>
      </c>
      <c r="U274" s="31" t="s">
        <v>588</v>
      </c>
      <c r="V274" s="41">
        <f>C274/'1. Väestöennuste'!E274*1000</f>
        <v>0</v>
      </c>
      <c r="W274" s="41">
        <f>D274/'1. Väestöennuste'!F274*1000</f>
        <v>0</v>
      </c>
      <c r="X274" s="41">
        <f>E274/'1. Väestöennuste'!G274*1000</f>
        <v>0</v>
      </c>
      <c r="Y274" s="41">
        <f>F274/'1. Väestöennuste'!H274*1000</f>
        <v>0</v>
      </c>
      <c r="Z274" s="41">
        <f>G274/'1. Väestöennuste'!I274*1000</f>
        <v>0</v>
      </c>
      <c r="AA274" s="41">
        <f>H274/'1. Väestöennuste'!J274*1000</f>
        <v>0</v>
      </c>
      <c r="AB274" s="41">
        <f>I274/'1. Väestöennuste'!K274*1000</f>
        <v>0</v>
      </c>
      <c r="AC274" s="41">
        <f>J274/'1. Väestöennuste'!L274*1000</f>
        <v>0</v>
      </c>
      <c r="AD274" s="41">
        <f>K274/'1. Väestöennuste'!M274*1000</f>
        <v>0</v>
      </c>
      <c r="AE274" s="41">
        <f>L274/'1. Väestöennuste'!N274*1000</f>
        <v>0</v>
      </c>
      <c r="AF274" s="41">
        <f>M274/'1. Väestöennuste'!O274*1000</f>
        <v>0</v>
      </c>
      <c r="AG274" s="41">
        <f>N274/'1. Väestöennuste'!P274*1000</f>
        <v>0</v>
      </c>
      <c r="AH274" s="41">
        <f>O274/'1. Väestöennuste'!Q274*1000</f>
        <v>0</v>
      </c>
      <c r="AI274" s="41">
        <f>P274/'1. Väestöennuste'!R274*1000</f>
        <v>0</v>
      </c>
    </row>
    <row r="275" spans="1:35" x14ac:dyDescent="0.2">
      <c r="A275" s="30">
        <v>851</v>
      </c>
      <c r="B275" s="31" t="s">
        <v>589</v>
      </c>
      <c r="C275" s="64">
        <v>0</v>
      </c>
      <c r="D275" s="64"/>
      <c r="E275" s="64">
        <v>0</v>
      </c>
      <c r="F275" s="65">
        <v>0</v>
      </c>
      <c r="G275" s="65">
        <v>0</v>
      </c>
      <c r="H275" s="41">
        <v>0</v>
      </c>
      <c r="I275" s="165">
        <v>0</v>
      </c>
      <c r="J275" s="41">
        <v>0</v>
      </c>
      <c r="K275" s="41">
        <v>0</v>
      </c>
      <c r="L275" s="41">
        <v>0</v>
      </c>
      <c r="M275" s="41">
        <v>0</v>
      </c>
      <c r="N275" s="41">
        <v>0</v>
      </c>
      <c r="O275" s="41">
        <v>0</v>
      </c>
      <c r="P275" s="41">
        <v>0</v>
      </c>
      <c r="T275" s="30">
        <v>851</v>
      </c>
      <c r="U275" s="31" t="s">
        <v>589</v>
      </c>
      <c r="V275" s="41">
        <f>C275/'1. Väestöennuste'!E275*1000</f>
        <v>0</v>
      </c>
      <c r="W275" s="41">
        <f>D275/'1. Väestöennuste'!F275*1000</f>
        <v>0</v>
      </c>
      <c r="X275" s="41">
        <f>E275/'1. Väestöennuste'!G275*1000</f>
        <v>0</v>
      </c>
      <c r="Y275" s="41">
        <f>F275/'1. Väestöennuste'!H275*1000</f>
        <v>0</v>
      </c>
      <c r="Z275" s="41">
        <f>G275/'1. Väestöennuste'!I275*1000</f>
        <v>0</v>
      </c>
      <c r="AA275" s="41">
        <f>H275/'1. Väestöennuste'!J275*1000</f>
        <v>0</v>
      </c>
      <c r="AB275" s="41">
        <f>I275/'1. Väestöennuste'!K275*1000</f>
        <v>0</v>
      </c>
      <c r="AC275" s="41">
        <f>J275/'1. Väestöennuste'!L275*1000</f>
        <v>0</v>
      </c>
      <c r="AD275" s="41">
        <f>K275/'1. Väestöennuste'!M275*1000</f>
        <v>0</v>
      </c>
      <c r="AE275" s="41">
        <f>L275/'1. Väestöennuste'!N275*1000</f>
        <v>0</v>
      </c>
      <c r="AF275" s="41">
        <f>M275/'1. Väestöennuste'!O275*1000</f>
        <v>0</v>
      </c>
      <c r="AG275" s="41">
        <f>N275/'1. Väestöennuste'!P275*1000</f>
        <v>0</v>
      </c>
      <c r="AH275" s="41">
        <f>O275/'1. Väestöennuste'!Q275*1000</f>
        <v>0</v>
      </c>
      <c r="AI275" s="41">
        <f>P275/'1. Väestöennuste'!R275*1000</f>
        <v>0</v>
      </c>
    </row>
    <row r="276" spans="1:35" x14ac:dyDescent="0.2">
      <c r="A276" s="30">
        <v>853</v>
      </c>
      <c r="B276" s="31" t="s">
        <v>590</v>
      </c>
      <c r="C276" s="64">
        <v>88500</v>
      </c>
      <c r="D276" s="64">
        <v>-1500</v>
      </c>
      <c r="E276" s="64">
        <v>23660</v>
      </c>
      <c r="F276" s="65">
        <v>0</v>
      </c>
      <c r="G276" s="65">
        <v>7606</v>
      </c>
      <c r="H276" s="41">
        <v>0</v>
      </c>
      <c r="I276" s="165">
        <v>0</v>
      </c>
      <c r="J276" s="41">
        <v>0</v>
      </c>
      <c r="K276" s="41">
        <v>0</v>
      </c>
      <c r="L276" s="41">
        <v>0</v>
      </c>
      <c r="M276" s="41">
        <v>0</v>
      </c>
      <c r="N276" s="41">
        <v>0</v>
      </c>
      <c r="O276" s="41">
        <v>0</v>
      </c>
      <c r="P276" s="41">
        <v>0</v>
      </c>
      <c r="T276" s="30">
        <v>853</v>
      </c>
      <c r="U276" s="31" t="s">
        <v>590</v>
      </c>
      <c r="V276" s="41">
        <f>C276/'1. Väestöennuste'!E276*1000</f>
        <v>476.04191320438065</v>
      </c>
      <c r="W276" s="41">
        <f>D276/'1. Väestöennuste'!F276*1000</f>
        <v>-7.995565126543144</v>
      </c>
      <c r="X276" s="41">
        <f>E276/'1. Väestöennuste'!G276*1000</f>
        <v>124.74363232789754</v>
      </c>
      <c r="Y276" s="41">
        <f>F276/'1. Väestöennuste'!H276*1000</f>
        <v>0</v>
      </c>
      <c r="Z276" s="41">
        <f>G276/'1. Väestöennuste'!I276*1000</f>
        <v>39.417087302163118</v>
      </c>
      <c r="AA276" s="41">
        <f>H276/'1. Väestöennuste'!J276*1000</f>
        <v>0</v>
      </c>
      <c r="AB276" s="41">
        <f>I276/'1. Väestöennuste'!K276*1000</f>
        <v>0</v>
      </c>
      <c r="AC276" s="41">
        <f>J276/'1. Väestöennuste'!L276*1000</f>
        <v>0</v>
      </c>
      <c r="AD276" s="41">
        <f>K276/'1. Väestöennuste'!M276*1000</f>
        <v>0</v>
      </c>
      <c r="AE276" s="41">
        <f>L276/'1. Väestöennuste'!N276*1000</f>
        <v>0</v>
      </c>
      <c r="AF276" s="41">
        <f>M276/'1. Väestöennuste'!O276*1000</f>
        <v>0</v>
      </c>
      <c r="AG276" s="41">
        <f>N276/'1. Väestöennuste'!P276*1000</f>
        <v>0</v>
      </c>
      <c r="AH276" s="41">
        <f>O276/'1. Väestöennuste'!Q276*1000</f>
        <v>0</v>
      </c>
      <c r="AI276" s="41">
        <f>P276/'1. Väestöennuste'!R276*1000</f>
        <v>0</v>
      </c>
    </row>
    <row r="277" spans="1:35" x14ac:dyDescent="0.2">
      <c r="A277" s="30">
        <v>854</v>
      </c>
      <c r="B277" s="31" t="s">
        <v>591</v>
      </c>
      <c r="C277" s="64">
        <v>0</v>
      </c>
      <c r="D277" s="64"/>
      <c r="E277" s="64">
        <v>0</v>
      </c>
      <c r="F277" s="65">
        <v>0</v>
      </c>
      <c r="G277" s="65">
        <v>0</v>
      </c>
      <c r="H277" s="41">
        <v>0</v>
      </c>
      <c r="I277" s="165">
        <v>0</v>
      </c>
      <c r="J277" s="41">
        <v>0</v>
      </c>
      <c r="K277" s="41">
        <v>0</v>
      </c>
      <c r="L277" s="41">
        <v>0</v>
      </c>
      <c r="M277" s="41">
        <v>0</v>
      </c>
      <c r="N277" s="41">
        <v>0</v>
      </c>
      <c r="O277" s="41">
        <v>0</v>
      </c>
      <c r="P277" s="41">
        <v>0</v>
      </c>
      <c r="T277" s="30">
        <v>854</v>
      </c>
      <c r="U277" s="31" t="s">
        <v>591</v>
      </c>
      <c r="V277" s="41">
        <f>C277/'1. Väestöennuste'!E277*1000</f>
        <v>0</v>
      </c>
      <c r="W277" s="41">
        <f>D277/'1. Väestöennuste'!F277*1000</f>
        <v>0</v>
      </c>
      <c r="X277" s="41">
        <f>E277/'1. Väestöennuste'!G277*1000</f>
        <v>0</v>
      </c>
      <c r="Y277" s="41">
        <f>F277/'1. Väestöennuste'!H277*1000</f>
        <v>0</v>
      </c>
      <c r="Z277" s="41">
        <f>G277/'1. Väestöennuste'!I277*1000</f>
        <v>0</v>
      </c>
      <c r="AA277" s="41">
        <f>H277/'1. Väestöennuste'!J277*1000</f>
        <v>0</v>
      </c>
      <c r="AB277" s="41">
        <f>I277/'1. Väestöennuste'!K277*1000</f>
        <v>0</v>
      </c>
      <c r="AC277" s="41">
        <f>J277/'1. Väestöennuste'!L277*1000</f>
        <v>0</v>
      </c>
      <c r="AD277" s="41">
        <f>K277/'1. Väestöennuste'!M277*1000</f>
        <v>0</v>
      </c>
      <c r="AE277" s="41">
        <f>L277/'1. Väestöennuste'!N277*1000</f>
        <v>0</v>
      </c>
      <c r="AF277" s="41">
        <f>M277/'1. Väestöennuste'!O277*1000</f>
        <v>0</v>
      </c>
      <c r="AG277" s="41">
        <f>N277/'1. Väestöennuste'!P277*1000</f>
        <v>0</v>
      </c>
      <c r="AH277" s="41">
        <f>O277/'1. Väestöennuste'!Q277*1000</f>
        <v>0</v>
      </c>
      <c r="AI277" s="41">
        <f>P277/'1. Väestöennuste'!R277*1000</f>
        <v>0</v>
      </c>
    </row>
    <row r="278" spans="1:35" x14ac:dyDescent="0.2">
      <c r="A278" s="30">
        <v>857</v>
      </c>
      <c r="B278" s="31" t="s">
        <v>592</v>
      </c>
      <c r="C278" s="64">
        <v>0</v>
      </c>
      <c r="D278" s="64">
        <v>25</v>
      </c>
      <c r="E278" s="64">
        <v>-100</v>
      </c>
      <c r="F278" s="65">
        <v>56</v>
      </c>
      <c r="G278" s="65">
        <v>0</v>
      </c>
      <c r="H278" s="41">
        <v>0</v>
      </c>
      <c r="I278" s="165">
        <v>0</v>
      </c>
      <c r="J278" s="41">
        <v>0</v>
      </c>
      <c r="K278" s="41">
        <v>0</v>
      </c>
      <c r="L278" s="41">
        <v>0</v>
      </c>
      <c r="M278" s="41">
        <v>0</v>
      </c>
      <c r="N278" s="41">
        <v>0</v>
      </c>
      <c r="O278" s="41">
        <v>0</v>
      </c>
      <c r="P278" s="41">
        <v>0</v>
      </c>
      <c r="T278" s="30">
        <v>857</v>
      </c>
      <c r="U278" s="31" t="s">
        <v>592</v>
      </c>
      <c r="V278" s="41">
        <f>C278/'1. Väestöennuste'!E278*1000</f>
        <v>0</v>
      </c>
      <c r="W278" s="41">
        <f>D278/'1. Väestöennuste'!F278*1000</f>
        <v>9.4589481649640561</v>
      </c>
      <c r="X278" s="41">
        <f>E278/'1. Väestöennuste'!G278*1000</f>
        <v>-38.505968425105891</v>
      </c>
      <c r="Y278" s="41">
        <f>F278/'1. Väestöennuste'!H278*1000</f>
        <v>21.95217561740494</v>
      </c>
      <c r="Z278" s="41">
        <f>G278/'1. Väestöennuste'!I278*1000</f>
        <v>0</v>
      </c>
      <c r="AA278" s="41">
        <f>H278/'1. Väestöennuste'!J278*1000</f>
        <v>0</v>
      </c>
      <c r="AB278" s="41">
        <f>I278/'1. Väestöennuste'!K278*1000</f>
        <v>0</v>
      </c>
      <c r="AC278" s="41">
        <f>J278/'1. Väestöennuste'!L278*1000</f>
        <v>0</v>
      </c>
      <c r="AD278" s="41">
        <f>K278/'1. Väestöennuste'!M278*1000</f>
        <v>0</v>
      </c>
      <c r="AE278" s="41">
        <f>L278/'1. Väestöennuste'!N278*1000</f>
        <v>0</v>
      </c>
      <c r="AF278" s="41">
        <f>M278/'1. Väestöennuste'!O278*1000</f>
        <v>0</v>
      </c>
      <c r="AG278" s="41">
        <f>N278/'1. Väestöennuste'!P278*1000</f>
        <v>0</v>
      </c>
      <c r="AH278" s="41">
        <f>O278/'1. Väestöennuste'!Q278*1000</f>
        <v>0</v>
      </c>
      <c r="AI278" s="41">
        <f>P278/'1. Väestöennuste'!R278*1000</f>
        <v>0</v>
      </c>
    </row>
    <row r="279" spans="1:35" x14ac:dyDescent="0.2">
      <c r="A279" s="30">
        <v>858</v>
      </c>
      <c r="B279" s="31" t="s">
        <v>593</v>
      </c>
      <c r="C279" s="64">
        <v>94</v>
      </c>
      <c r="D279" s="64"/>
      <c r="E279" s="64">
        <v>0</v>
      </c>
      <c r="F279" s="65">
        <v>-576</v>
      </c>
      <c r="G279" s="65">
        <v>0</v>
      </c>
      <c r="H279" s="41">
        <v>0</v>
      </c>
      <c r="I279" s="165">
        <v>0</v>
      </c>
      <c r="J279" s="41">
        <v>0</v>
      </c>
      <c r="K279" s="41">
        <v>-221.98964999999998</v>
      </c>
      <c r="L279" s="41">
        <v>0</v>
      </c>
      <c r="M279" s="41">
        <v>0</v>
      </c>
      <c r="N279" s="41">
        <v>0</v>
      </c>
      <c r="O279" s="41">
        <v>0</v>
      </c>
      <c r="P279" s="41">
        <v>0</v>
      </c>
      <c r="T279" s="30">
        <v>858</v>
      </c>
      <c r="U279" s="31" t="s">
        <v>593</v>
      </c>
      <c r="V279" s="41">
        <f>C279/'1. Väestöennuste'!E279*1000</f>
        <v>2.4441613146467667</v>
      </c>
      <c r="W279" s="41">
        <f>D279/'1. Väestöennuste'!F279*1000</f>
        <v>0</v>
      </c>
      <c r="X279" s="41">
        <f>E279/'1. Väestöennuste'!G279*1000</f>
        <v>0</v>
      </c>
      <c r="Y279" s="41">
        <f>F279/'1. Väestöennuste'!H279*1000</f>
        <v>-14.8975791433892</v>
      </c>
      <c r="Z279" s="41">
        <f>G279/'1. Väestöennuste'!I279*1000</f>
        <v>0</v>
      </c>
      <c r="AA279" s="41">
        <f>H279/'1. Väestöennuste'!J279*1000</f>
        <v>0</v>
      </c>
      <c r="AB279" s="41">
        <f>I279/'1. Väestöennuste'!K279*1000</f>
        <v>0</v>
      </c>
      <c r="AC279" s="41">
        <f>J279/'1. Väestöennuste'!L279*1000</f>
        <v>0</v>
      </c>
      <c r="AD279" s="41">
        <f>K279/'1. Väestöennuste'!M279*1000</f>
        <v>-5.3701110358507904</v>
      </c>
      <c r="AE279" s="41">
        <f>L279/'1. Väestöennuste'!N279*1000</f>
        <v>0</v>
      </c>
      <c r="AF279" s="41">
        <f>M279/'1. Väestöennuste'!O279*1000</f>
        <v>0</v>
      </c>
      <c r="AG279" s="41">
        <f>N279/'1. Väestöennuste'!P279*1000</f>
        <v>0</v>
      </c>
      <c r="AH279" s="41">
        <f>O279/'1. Väestöennuste'!Q279*1000</f>
        <v>0</v>
      </c>
      <c r="AI279" s="41">
        <f>P279/'1. Väestöennuste'!R279*1000</f>
        <v>0</v>
      </c>
    </row>
    <row r="280" spans="1:35" x14ac:dyDescent="0.2">
      <c r="A280" s="30">
        <v>859</v>
      </c>
      <c r="B280" s="31" t="s">
        <v>594</v>
      </c>
      <c r="C280" s="64">
        <v>0</v>
      </c>
      <c r="D280" s="64"/>
      <c r="E280" s="64">
        <v>0</v>
      </c>
      <c r="F280" s="65">
        <v>0</v>
      </c>
      <c r="G280" s="65">
        <v>268</v>
      </c>
      <c r="H280" s="41">
        <v>-231</v>
      </c>
      <c r="I280" s="165">
        <v>0</v>
      </c>
      <c r="J280" s="41">
        <v>0</v>
      </c>
      <c r="K280" s="41">
        <v>0</v>
      </c>
      <c r="L280" s="41">
        <v>0</v>
      </c>
      <c r="M280" s="41">
        <v>0</v>
      </c>
      <c r="N280" s="41">
        <v>0</v>
      </c>
      <c r="O280" s="41">
        <v>0</v>
      </c>
      <c r="P280" s="41">
        <v>0</v>
      </c>
      <c r="T280" s="30">
        <v>859</v>
      </c>
      <c r="U280" s="31" t="s">
        <v>594</v>
      </c>
      <c r="V280" s="41">
        <f>C280/'1. Väestöennuste'!E280*1000</f>
        <v>0</v>
      </c>
      <c r="W280" s="41">
        <f>D280/'1. Väestöennuste'!F280*1000</f>
        <v>0</v>
      </c>
      <c r="X280" s="41">
        <f>E280/'1. Väestöennuste'!G280*1000</f>
        <v>0</v>
      </c>
      <c r="Y280" s="41">
        <f>F280/'1. Väestöennuste'!H280*1000</f>
        <v>0</v>
      </c>
      <c r="Z280" s="41">
        <f>G280/'1. Väestöennuste'!I280*1000</f>
        <v>40.379689618803681</v>
      </c>
      <c r="AA280" s="41">
        <f>H280/'1. Väestöennuste'!J280*1000</f>
        <v>-34.98409813721036</v>
      </c>
      <c r="AB280" s="41">
        <f>I280/'1. Väestöennuste'!K280*1000</f>
        <v>0</v>
      </c>
      <c r="AC280" s="41">
        <f>J280/'1. Väestöennuste'!L280*1000</f>
        <v>0</v>
      </c>
      <c r="AD280" s="41">
        <f>K280/'1. Väestöennuste'!M280*1000</f>
        <v>0</v>
      </c>
      <c r="AE280" s="41">
        <f>L280/'1. Väestöennuste'!N280*1000</f>
        <v>0</v>
      </c>
      <c r="AF280" s="41">
        <f>M280/'1. Väestöennuste'!O280*1000</f>
        <v>0</v>
      </c>
      <c r="AG280" s="41">
        <f>N280/'1. Väestöennuste'!P280*1000</f>
        <v>0</v>
      </c>
      <c r="AH280" s="41">
        <f>O280/'1. Väestöennuste'!Q280*1000</f>
        <v>0</v>
      </c>
      <c r="AI280" s="41">
        <f>P280/'1. Väestöennuste'!R280*1000</f>
        <v>0</v>
      </c>
    </row>
    <row r="281" spans="1:35" x14ac:dyDescent="0.2">
      <c r="A281" s="30">
        <v>886</v>
      </c>
      <c r="B281" s="31" t="s">
        <v>595</v>
      </c>
      <c r="C281" s="64">
        <v>0</v>
      </c>
      <c r="D281" s="64"/>
      <c r="E281" s="64">
        <v>0</v>
      </c>
      <c r="F281" s="65">
        <v>0</v>
      </c>
      <c r="G281" s="65">
        <v>0</v>
      </c>
      <c r="H281" s="41">
        <v>0</v>
      </c>
      <c r="I281" s="165">
        <v>0</v>
      </c>
      <c r="J281" s="41">
        <v>0</v>
      </c>
      <c r="K281" s="41">
        <v>0</v>
      </c>
      <c r="L281" s="41">
        <v>0</v>
      </c>
      <c r="M281" s="41">
        <v>0</v>
      </c>
      <c r="N281" s="41">
        <v>0</v>
      </c>
      <c r="O281" s="41">
        <v>0</v>
      </c>
      <c r="P281" s="41">
        <v>0</v>
      </c>
      <c r="T281" s="30">
        <v>886</v>
      </c>
      <c r="U281" s="31" t="s">
        <v>595</v>
      </c>
      <c r="V281" s="41">
        <f>C281/'1. Väestöennuste'!E281*1000</f>
        <v>0</v>
      </c>
      <c r="W281" s="41">
        <f>D281/'1. Väestöennuste'!F281*1000</f>
        <v>0</v>
      </c>
      <c r="X281" s="41">
        <f>E281/'1. Väestöennuste'!G281*1000</f>
        <v>0</v>
      </c>
      <c r="Y281" s="41">
        <f>F281/'1. Väestöennuste'!H281*1000</f>
        <v>0</v>
      </c>
      <c r="Z281" s="41">
        <f>G281/'1. Väestöennuste'!I281*1000</f>
        <v>0</v>
      </c>
      <c r="AA281" s="41">
        <f>H281/'1. Väestöennuste'!J281*1000</f>
        <v>0</v>
      </c>
      <c r="AB281" s="41">
        <f>I281/'1. Väestöennuste'!K281*1000</f>
        <v>0</v>
      </c>
      <c r="AC281" s="41">
        <f>J281/'1. Väestöennuste'!L281*1000</f>
        <v>0</v>
      </c>
      <c r="AD281" s="41">
        <f>K281/'1. Väestöennuste'!M281*1000</f>
        <v>0</v>
      </c>
      <c r="AE281" s="41">
        <f>L281/'1. Väestöennuste'!N281*1000</f>
        <v>0</v>
      </c>
      <c r="AF281" s="41">
        <f>M281/'1. Väestöennuste'!O281*1000</f>
        <v>0</v>
      </c>
      <c r="AG281" s="41">
        <f>N281/'1. Väestöennuste'!P281*1000</f>
        <v>0</v>
      </c>
      <c r="AH281" s="41">
        <f>O281/'1. Väestöennuste'!Q281*1000</f>
        <v>0</v>
      </c>
      <c r="AI281" s="41">
        <f>P281/'1. Väestöennuste'!R281*1000</f>
        <v>0</v>
      </c>
    </row>
    <row r="282" spans="1:35" x14ac:dyDescent="0.2">
      <c r="A282" s="30">
        <v>887</v>
      </c>
      <c r="B282" s="31" t="s">
        <v>596</v>
      </c>
      <c r="C282" s="64">
        <v>0</v>
      </c>
      <c r="D282" s="64"/>
      <c r="E282" s="64">
        <v>0</v>
      </c>
      <c r="F282" s="65">
        <v>0</v>
      </c>
      <c r="G282" s="65">
        <v>0</v>
      </c>
      <c r="H282" s="41">
        <v>0</v>
      </c>
      <c r="I282" s="165">
        <v>0</v>
      </c>
      <c r="J282" s="41">
        <v>115.5637</v>
      </c>
      <c r="K282" s="41">
        <v>0</v>
      </c>
      <c r="L282" s="41">
        <v>0</v>
      </c>
      <c r="M282" s="41">
        <v>0</v>
      </c>
      <c r="N282" s="41">
        <v>0</v>
      </c>
      <c r="O282" s="41">
        <v>0</v>
      </c>
      <c r="P282" s="41">
        <v>0</v>
      </c>
      <c r="T282" s="30">
        <v>887</v>
      </c>
      <c r="U282" s="31" t="s">
        <v>596</v>
      </c>
      <c r="V282" s="41">
        <f>C282/'1. Väestöennuste'!E282*1000</f>
        <v>0</v>
      </c>
      <c r="W282" s="41">
        <f>D282/'1. Väestöennuste'!F282*1000</f>
        <v>0</v>
      </c>
      <c r="X282" s="41">
        <f>E282/'1. Väestöennuste'!G282*1000</f>
        <v>0</v>
      </c>
      <c r="Y282" s="41">
        <f>F282/'1. Väestöennuste'!H282*1000</f>
        <v>0</v>
      </c>
      <c r="Z282" s="41">
        <f>G282/'1. Väestöennuste'!I282*1000</f>
        <v>0</v>
      </c>
      <c r="AA282" s="41">
        <f>H282/'1. Väestöennuste'!J282*1000</f>
        <v>0</v>
      </c>
      <c r="AB282" s="41">
        <f>I282/'1. Väestöennuste'!K282*1000</f>
        <v>0</v>
      </c>
      <c r="AC282" s="41">
        <f>J282/'1. Väestöennuste'!L282*1000</f>
        <v>25.292996279273364</v>
      </c>
      <c r="AD282" s="41">
        <f>K282/'1. Väestöennuste'!M282*1000</f>
        <v>0</v>
      </c>
      <c r="AE282" s="41">
        <f>L282/'1. Väestöennuste'!N282*1000</f>
        <v>0</v>
      </c>
      <c r="AF282" s="41">
        <f>M282/'1. Väestöennuste'!O282*1000</f>
        <v>0</v>
      </c>
      <c r="AG282" s="41">
        <f>N282/'1. Väestöennuste'!P282*1000</f>
        <v>0</v>
      </c>
      <c r="AH282" s="41">
        <f>O282/'1. Väestöennuste'!Q282*1000</f>
        <v>0</v>
      </c>
      <c r="AI282" s="41">
        <f>P282/'1. Väestöennuste'!R282*1000</f>
        <v>0</v>
      </c>
    </row>
    <row r="283" spans="1:35" x14ac:dyDescent="0.2">
      <c r="A283" s="30">
        <v>889</v>
      </c>
      <c r="B283" s="31" t="s">
        <v>597</v>
      </c>
      <c r="C283" s="64">
        <v>0</v>
      </c>
      <c r="D283" s="64"/>
      <c r="E283" s="64">
        <v>0</v>
      </c>
      <c r="F283" s="65">
        <v>0</v>
      </c>
      <c r="G283" s="65">
        <v>0</v>
      </c>
      <c r="H283" s="41">
        <v>0</v>
      </c>
      <c r="I283" s="165">
        <v>0</v>
      </c>
      <c r="J283" s="41">
        <v>0</v>
      </c>
      <c r="K283" s="41">
        <v>0</v>
      </c>
      <c r="L283" s="41">
        <v>0</v>
      </c>
      <c r="M283" s="41">
        <v>0</v>
      </c>
      <c r="N283" s="41">
        <v>0</v>
      </c>
      <c r="O283" s="41">
        <v>0</v>
      </c>
      <c r="P283" s="41">
        <v>0</v>
      </c>
      <c r="T283" s="30">
        <v>889</v>
      </c>
      <c r="U283" s="31" t="s">
        <v>597</v>
      </c>
      <c r="V283" s="41">
        <f>C283/'1. Väestöennuste'!E283*1000</f>
        <v>0</v>
      </c>
      <c r="W283" s="41">
        <f>D283/'1. Väestöennuste'!F283*1000</f>
        <v>0</v>
      </c>
      <c r="X283" s="41">
        <f>E283/'1. Väestöennuste'!G283*1000</f>
        <v>0</v>
      </c>
      <c r="Y283" s="41">
        <f>F283/'1. Väestöennuste'!H283*1000</f>
        <v>0</v>
      </c>
      <c r="Z283" s="41">
        <f>G283/'1. Väestöennuste'!I283*1000</f>
        <v>0</v>
      </c>
      <c r="AA283" s="41">
        <f>H283/'1. Väestöennuste'!J283*1000</f>
        <v>0</v>
      </c>
      <c r="AB283" s="41">
        <f>I283/'1. Väestöennuste'!K283*1000</f>
        <v>0</v>
      </c>
      <c r="AC283" s="41">
        <f>J283/'1. Väestöennuste'!L283*1000</f>
        <v>0</v>
      </c>
      <c r="AD283" s="41">
        <f>K283/'1. Väestöennuste'!M283*1000</f>
        <v>0</v>
      </c>
      <c r="AE283" s="41">
        <f>L283/'1. Väestöennuste'!N283*1000</f>
        <v>0</v>
      </c>
      <c r="AF283" s="41">
        <f>M283/'1. Väestöennuste'!O283*1000</f>
        <v>0</v>
      </c>
      <c r="AG283" s="41">
        <f>N283/'1. Väestöennuste'!P283*1000</f>
        <v>0</v>
      </c>
      <c r="AH283" s="41">
        <f>O283/'1. Väestöennuste'!Q283*1000</f>
        <v>0</v>
      </c>
      <c r="AI283" s="41">
        <f>P283/'1. Väestöennuste'!R283*1000</f>
        <v>0</v>
      </c>
    </row>
    <row r="284" spans="1:35" x14ac:dyDescent="0.2">
      <c r="A284" s="30">
        <v>890</v>
      </c>
      <c r="B284" s="31" t="s">
        <v>598</v>
      </c>
      <c r="C284" s="64">
        <v>64</v>
      </c>
      <c r="D284" s="64">
        <v>9</v>
      </c>
      <c r="E284" s="64">
        <v>0</v>
      </c>
      <c r="F284" s="65">
        <v>3</v>
      </c>
      <c r="G284" s="65">
        <v>271</v>
      </c>
      <c r="H284" s="41">
        <v>0</v>
      </c>
      <c r="I284" s="165">
        <v>0</v>
      </c>
      <c r="J284" s="41">
        <v>0</v>
      </c>
      <c r="K284" s="41">
        <v>0</v>
      </c>
      <c r="L284" s="41">
        <v>0</v>
      </c>
      <c r="M284" s="41">
        <v>0</v>
      </c>
      <c r="N284" s="41">
        <v>0</v>
      </c>
      <c r="O284" s="41">
        <v>0</v>
      </c>
      <c r="P284" s="41">
        <v>0</v>
      </c>
      <c r="T284" s="30">
        <v>890</v>
      </c>
      <c r="U284" s="31" t="s">
        <v>598</v>
      </c>
      <c r="V284" s="41">
        <f>C284/'1. Väestöennuste'!E284*1000</f>
        <v>51.2</v>
      </c>
      <c r="W284" s="41">
        <f>D284/'1. Väestöennuste'!F284*1000</f>
        <v>7.2522159548751013</v>
      </c>
      <c r="X284" s="41">
        <f>E284/'1. Väestöennuste'!G284*1000</f>
        <v>0</v>
      </c>
      <c r="Y284" s="41">
        <f>F284/'1. Väestöennuste'!H284*1000</f>
        <v>2.4350649350649349</v>
      </c>
      <c r="Z284" s="41">
        <f>G284/'1. Väestöennuste'!I284*1000</f>
        <v>223.59735973597361</v>
      </c>
      <c r="AA284" s="41">
        <f>H284/'1. Väestöennuste'!J284*1000</f>
        <v>0</v>
      </c>
      <c r="AB284" s="41">
        <f>I284/'1. Väestöennuste'!K284*1000</f>
        <v>0</v>
      </c>
      <c r="AC284" s="41">
        <f>J284/'1. Väestöennuste'!L284*1000</f>
        <v>0</v>
      </c>
      <c r="AD284" s="41">
        <f>K284/'1. Väestöennuste'!M284*1000</f>
        <v>0</v>
      </c>
      <c r="AE284" s="41">
        <f>L284/'1. Väestöennuste'!N284*1000</f>
        <v>0</v>
      </c>
      <c r="AF284" s="41">
        <f>M284/'1. Väestöennuste'!O284*1000</f>
        <v>0</v>
      </c>
      <c r="AG284" s="41">
        <f>N284/'1. Väestöennuste'!P284*1000</f>
        <v>0</v>
      </c>
      <c r="AH284" s="41">
        <f>O284/'1. Väestöennuste'!Q284*1000</f>
        <v>0</v>
      </c>
      <c r="AI284" s="41">
        <f>P284/'1. Väestöennuste'!R284*1000</f>
        <v>0</v>
      </c>
    </row>
    <row r="285" spans="1:35" x14ac:dyDescent="0.2">
      <c r="A285" s="30">
        <v>892</v>
      </c>
      <c r="B285" s="31" t="s">
        <v>599</v>
      </c>
      <c r="C285" s="64">
        <v>0</v>
      </c>
      <c r="D285" s="64"/>
      <c r="E285" s="64">
        <v>0</v>
      </c>
      <c r="F285" s="65">
        <v>0</v>
      </c>
      <c r="G285" s="65">
        <v>0</v>
      </c>
      <c r="H285" s="41">
        <v>0</v>
      </c>
      <c r="I285" s="165">
        <v>0</v>
      </c>
      <c r="J285" s="41">
        <v>0</v>
      </c>
      <c r="K285" s="41">
        <v>-525.10222999999996</v>
      </c>
      <c r="L285" s="41">
        <v>0</v>
      </c>
      <c r="M285" s="41">
        <v>0</v>
      </c>
      <c r="N285" s="41">
        <v>0</v>
      </c>
      <c r="O285" s="41">
        <v>0</v>
      </c>
      <c r="P285" s="41">
        <v>0</v>
      </c>
      <c r="T285" s="30">
        <v>892</v>
      </c>
      <c r="U285" s="31" t="s">
        <v>599</v>
      </c>
      <c r="V285" s="41">
        <f>C285/'1. Väestöennuste'!E285*1000</f>
        <v>0</v>
      </c>
      <c r="W285" s="41">
        <f>D285/'1. Väestöennuste'!F285*1000</f>
        <v>0</v>
      </c>
      <c r="X285" s="41">
        <f>E285/'1. Väestöennuste'!G285*1000</f>
        <v>0</v>
      </c>
      <c r="Y285" s="41">
        <f>F285/'1. Väestöennuste'!H285*1000</f>
        <v>0</v>
      </c>
      <c r="Z285" s="41">
        <f>G285/'1. Väestöennuste'!I285*1000</f>
        <v>0</v>
      </c>
      <c r="AA285" s="41">
        <f>H285/'1. Väestöennuste'!J285*1000</f>
        <v>0</v>
      </c>
      <c r="AB285" s="41">
        <f>I285/'1. Väestöennuste'!K285*1000</f>
        <v>0</v>
      </c>
      <c r="AC285" s="41">
        <f>J285/'1. Väestöennuste'!L285*1000</f>
        <v>0</v>
      </c>
      <c r="AD285" s="41">
        <f>K285/'1. Väestöennuste'!M285*1000</f>
        <v>-145.25649515905948</v>
      </c>
      <c r="AE285" s="41">
        <f>L285/'1. Väestöennuste'!N285*1000</f>
        <v>0</v>
      </c>
      <c r="AF285" s="41">
        <f>M285/'1. Väestöennuste'!O285*1000</f>
        <v>0</v>
      </c>
      <c r="AG285" s="41">
        <f>N285/'1. Väestöennuste'!P285*1000</f>
        <v>0</v>
      </c>
      <c r="AH285" s="41">
        <f>O285/'1. Väestöennuste'!Q285*1000</f>
        <v>0</v>
      </c>
      <c r="AI285" s="41">
        <f>P285/'1. Väestöennuste'!R285*1000</f>
        <v>0</v>
      </c>
    </row>
    <row r="286" spans="1:35" x14ac:dyDescent="0.2">
      <c r="A286" s="30">
        <v>893</v>
      </c>
      <c r="B286" s="31" t="s">
        <v>600</v>
      </c>
      <c r="C286" s="64">
        <v>0</v>
      </c>
      <c r="D286" s="64"/>
      <c r="E286" s="64">
        <v>0</v>
      </c>
      <c r="F286" s="65">
        <v>0</v>
      </c>
      <c r="G286" s="65">
        <v>0</v>
      </c>
      <c r="H286" s="41">
        <v>0</v>
      </c>
      <c r="I286" s="165">
        <v>0</v>
      </c>
      <c r="J286" s="41">
        <v>0</v>
      </c>
      <c r="K286" s="41">
        <v>0</v>
      </c>
      <c r="L286" s="41">
        <v>0</v>
      </c>
      <c r="M286" s="41">
        <v>0</v>
      </c>
      <c r="N286" s="41">
        <v>0</v>
      </c>
      <c r="O286" s="41">
        <v>0</v>
      </c>
      <c r="P286" s="41">
        <v>0</v>
      </c>
      <c r="T286" s="30">
        <v>893</v>
      </c>
      <c r="U286" s="31" t="s">
        <v>600</v>
      </c>
      <c r="V286" s="41">
        <f>C286/'1. Väestöennuste'!E286*1000</f>
        <v>0</v>
      </c>
      <c r="W286" s="41">
        <f>D286/'1. Väestöennuste'!F286*1000</f>
        <v>0</v>
      </c>
      <c r="X286" s="41">
        <f>E286/'1. Väestöennuste'!G286*1000</f>
        <v>0</v>
      </c>
      <c r="Y286" s="41">
        <f>F286/'1. Väestöennuste'!H286*1000</f>
        <v>0</v>
      </c>
      <c r="Z286" s="41">
        <f>G286/'1. Väestöennuste'!I286*1000</f>
        <v>0</v>
      </c>
      <c r="AA286" s="41">
        <f>H286/'1. Väestöennuste'!J286*1000</f>
        <v>0</v>
      </c>
      <c r="AB286" s="41">
        <f>I286/'1. Väestöennuste'!K286*1000</f>
        <v>0</v>
      </c>
      <c r="AC286" s="41">
        <f>J286/'1. Väestöennuste'!L286*1000</f>
        <v>0</v>
      </c>
      <c r="AD286" s="41">
        <f>K286/'1. Väestöennuste'!M286*1000</f>
        <v>0</v>
      </c>
      <c r="AE286" s="41">
        <f>L286/'1. Väestöennuste'!N286*1000</f>
        <v>0</v>
      </c>
      <c r="AF286" s="41">
        <f>M286/'1. Väestöennuste'!O286*1000</f>
        <v>0</v>
      </c>
      <c r="AG286" s="41">
        <f>N286/'1. Väestöennuste'!P286*1000</f>
        <v>0</v>
      </c>
      <c r="AH286" s="41">
        <f>O286/'1. Väestöennuste'!Q286*1000</f>
        <v>0</v>
      </c>
      <c r="AI286" s="41">
        <f>P286/'1. Väestöennuste'!R286*1000</f>
        <v>0</v>
      </c>
    </row>
    <row r="287" spans="1:35" x14ac:dyDescent="0.2">
      <c r="A287" s="30">
        <v>895</v>
      </c>
      <c r="B287" s="31" t="s">
        <v>601</v>
      </c>
      <c r="C287" s="64">
        <v>112</v>
      </c>
      <c r="D287" s="64"/>
      <c r="E287" s="64">
        <v>-59</v>
      </c>
      <c r="F287" s="65">
        <v>1001</v>
      </c>
      <c r="G287" s="65">
        <v>0</v>
      </c>
      <c r="H287" s="41">
        <v>-7</v>
      </c>
      <c r="I287" s="165">
        <v>604.70493999999997</v>
      </c>
      <c r="J287" s="41">
        <v>0</v>
      </c>
      <c r="K287" s="41">
        <v>0</v>
      </c>
      <c r="L287" s="41">
        <v>0</v>
      </c>
      <c r="M287" s="41">
        <v>0</v>
      </c>
      <c r="N287" s="41">
        <v>0</v>
      </c>
      <c r="O287" s="41">
        <v>0</v>
      </c>
      <c r="P287" s="41">
        <v>0</v>
      </c>
      <c r="T287" s="30">
        <v>895</v>
      </c>
      <c r="U287" s="31" t="s">
        <v>601</v>
      </c>
      <c r="V287" s="41">
        <f>C287/'1. Väestöennuste'!E287*1000</f>
        <v>7.2211476466795617</v>
      </c>
      <c r="W287" s="41">
        <f>D287/'1. Väestöennuste'!F287*1000</f>
        <v>0</v>
      </c>
      <c r="X287" s="41">
        <f>E287/'1. Väestöennuste'!G287*1000</f>
        <v>-3.7455561198577958</v>
      </c>
      <c r="Y287" s="41">
        <f>F287/'1. Väestöennuste'!H287*1000</f>
        <v>63.757961783439498</v>
      </c>
      <c r="Z287" s="41">
        <f>G287/'1. Väestöennuste'!I287*1000</f>
        <v>0</v>
      </c>
      <c r="AA287" s="41">
        <f>H287/'1. Väestöennuste'!J287*1000</f>
        <v>-0.4551957341656912</v>
      </c>
      <c r="AB287" s="41">
        <f>I287/'1. Väestöennuste'!K287*1000</f>
        <v>39.106573110004526</v>
      </c>
      <c r="AC287" s="41">
        <f>J287/'1. Väestöennuste'!L287*1000</f>
        <v>0</v>
      </c>
      <c r="AD287" s="41">
        <f>K287/'1. Väestöennuste'!M287*1000</f>
        <v>0</v>
      </c>
      <c r="AE287" s="41">
        <f>L287/'1. Väestöennuste'!N287*1000</f>
        <v>0</v>
      </c>
      <c r="AF287" s="41">
        <f>M287/'1. Väestöennuste'!O287*1000</f>
        <v>0</v>
      </c>
      <c r="AG287" s="41">
        <f>N287/'1. Väestöennuste'!P287*1000</f>
        <v>0</v>
      </c>
      <c r="AH287" s="41">
        <f>O287/'1. Väestöennuste'!Q287*1000</f>
        <v>0</v>
      </c>
      <c r="AI287" s="41">
        <f>P287/'1. Väestöennuste'!R287*1000</f>
        <v>0</v>
      </c>
    </row>
    <row r="288" spans="1:35" x14ac:dyDescent="0.2">
      <c r="A288" s="30">
        <v>905</v>
      </c>
      <c r="B288" s="31" t="s">
        <v>602</v>
      </c>
      <c r="C288" s="64">
        <v>0</v>
      </c>
      <c r="D288" s="64"/>
      <c r="E288" s="64">
        <v>0</v>
      </c>
      <c r="F288" s="65">
        <v>0</v>
      </c>
      <c r="G288" s="65">
        <v>0</v>
      </c>
      <c r="H288" s="41">
        <v>0</v>
      </c>
      <c r="I288" s="165">
        <v>0</v>
      </c>
      <c r="J288" s="41">
        <v>0</v>
      </c>
      <c r="K288" s="41">
        <v>0</v>
      </c>
      <c r="L288" s="41">
        <v>0</v>
      </c>
      <c r="M288" s="41">
        <v>0</v>
      </c>
      <c r="N288" s="41">
        <v>0</v>
      </c>
      <c r="O288" s="41">
        <v>0</v>
      </c>
      <c r="P288" s="41">
        <v>0</v>
      </c>
      <c r="T288" s="30">
        <v>905</v>
      </c>
      <c r="U288" s="31" t="s">
        <v>602</v>
      </c>
      <c r="V288" s="41">
        <f>C288/'1. Väestöennuste'!E288*1000</f>
        <v>0</v>
      </c>
      <c r="W288" s="41">
        <f>D288/'1. Väestöennuste'!F288*1000</f>
        <v>0</v>
      </c>
      <c r="X288" s="41">
        <f>E288/'1. Väestöennuste'!G288*1000</f>
        <v>0</v>
      </c>
      <c r="Y288" s="41">
        <f>F288/'1. Väestöennuste'!H288*1000</f>
        <v>0</v>
      </c>
      <c r="Z288" s="41">
        <f>G288/'1. Väestöennuste'!I288*1000</f>
        <v>0</v>
      </c>
      <c r="AA288" s="41">
        <f>H288/'1. Väestöennuste'!J288*1000</f>
        <v>0</v>
      </c>
      <c r="AB288" s="41">
        <f>I288/'1. Väestöennuste'!K288*1000</f>
        <v>0</v>
      </c>
      <c r="AC288" s="41">
        <f>J288/'1. Väestöennuste'!L288*1000</f>
        <v>0</v>
      </c>
      <c r="AD288" s="41">
        <f>K288/'1. Väestöennuste'!M288*1000</f>
        <v>0</v>
      </c>
      <c r="AE288" s="41">
        <f>L288/'1. Väestöennuste'!N288*1000</f>
        <v>0</v>
      </c>
      <c r="AF288" s="41">
        <f>M288/'1. Väestöennuste'!O288*1000</f>
        <v>0</v>
      </c>
      <c r="AG288" s="41">
        <f>N288/'1. Väestöennuste'!P288*1000</f>
        <v>0</v>
      </c>
      <c r="AH288" s="41">
        <f>O288/'1. Väestöennuste'!Q288*1000</f>
        <v>0</v>
      </c>
      <c r="AI288" s="41">
        <f>P288/'1. Väestöennuste'!R288*1000</f>
        <v>0</v>
      </c>
    </row>
    <row r="289" spans="1:35" x14ac:dyDescent="0.2">
      <c r="A289" s="30">
        <v>908</v>
      </c>
      <c r="B289" s="31" t="s">
        <v>603</v>
      </c>
      <c r="C289" s="64">
        <v>0</v>
      </c>
      <c r="D289" s="64"/>
      <c r="E289" s="64">
        <v>0</v>
      </c>
      <c r="F289" s="65">
        <v>0</v>
      </c>
      <c r="G289" s="65">
        <v>0</v>
      </c>
      <c r="H289" s="41">
        <v>0</v>
      </c>
      <c r="I289" s="165">
        <v>0</v>
      </c>
      <c r="J289" s="41">
        <v>0</v>
      </c>
      <c r="K289" s="41">
        <v>0</v>
      </c>
      <c r="L289" s="41">
        <v>0</v>
      </c>
      <c r="M289" s="41">
        <v>0</v>
      </c>
      <c r="N289" s="41">
        <v>0</v>
      </c>
      <c r="O289" s="41">
        <v>0</v>
      </c>
      <c r="P289" s="41">
        <v>0</v>
      </c>
      <c r="T289" s="30">
        <v>908</v>
      </c>
      <c r="U289" s="31" t="s">
        <v>603</v>
      </c>
      <c r="V289" s="41">
        <f>C289/'1. Väestöennuste'!E289*1000</f>
        <v>0</v>
      </c>
      <c r="W289" s="41">
        <f>D289/'1. Väestöennuste'!F289*1000</f>
        <v>0</v>
      </c>
      <c r="X289" s="41">
        <f>E289/'1. Väestöennuste'!G289*1000</f>
        <v>0</v>
      </c>
      <c r="Y289" s="41">
        <f>F289/'1. Väestöennuste'!H289*1000</f>
        <v>0</v>
      </c>
      <c r="Z289" s="41">
        <f>G289/'1. Väestöennuste'!I289*1000</f>
        <v>0</v>
      </c>
      <c r="AA289" s="41">
        <f>H289/'1. Väestöennuste'!J289*1000</f>
        <v>0</v>
      </c>
      <c r="AB289" s="41">
        <f>I289/'1. Väestöennuste'!K289*1000</f>
        <v>0</v>
      </c>
      <c r="AC289" s="41">
        <f>J289/'1. Väestöennuste'!L289*1000</f>
        <v>0</v>
      </c>
      <c r="AD289" s="41">
        <f>K289/'1. Väestöennuste'!M289*1000</f>
        <v>0</v>
      </c>
      <c r="AE289" s="41">
        <f>L289/'1. Väestöennuste'!N289*1000</f>
        <v>0</v>
      </c>
      <c r="AF289" s="41">
        <f>M289/'1. Väestöennuste'!O289*1000</f>
        <v>0</v>
      </c>
      <c r="AG289" s="41">
        <f>N289/'1. Väestöennuste'!P289*1000</f>
        <v>0</v>
      </c>
      <c r="AH289" s="41">
        <f>O289/'1. Väestöennuste'!Q289*1000</f>
        <v>0</v>
      </c>
      <c r="AI289" s="41">
        <f>P289/'1. Väestöennuste'!R289*1000</f>
        <v>0</v>
      </c>
    </row>
    <row r="290" spans="1:35" x14ac:dyDescent="0.2">
      <c r="A290" s="30">
        <v>915</v>
      </c>
      <c r="B290" s="31" t="s">
        <v>604</v>
      </c>
      <c r="C290" s="64">
        <v>0</v>
      </c>
      <c r="D290" s="64">
        <v>314</v>
      </c>
      <c r="E290" s="64">
        <v>0</v>
      </c>
      <c r="F290" s="65">
        <v>0</v>
      </c>
      <c r="G290" s="65">
        <v>196</v>
      </c>
      <c r="H290" s="41">
        <v>-1024</v>
      </c>
      <c r="I290" s="165">
        <v>0</v>
      </c>
      <c r="J290" s="41">
        <v>580</v>
      </c>
      <c r="K290" s="41">
        <v>0</v>
      </c>
      <c r="L290" s="41">
        <v>0</v>
      </c>
      <c r="M290" s="41">
        <v>0</v>
      </c>
      <c r="N290" s="41">
        <v>0</v>
      </c>
      <c r="O290" s="41">
        <v>0</v>
      </c>
      <c r="P290" s="41">
        <v>0</v>
      </c>
      <c r="T290" s="30">
        <v>915</v>
      </c>
      <c r="U290" s="31" t="s">
        <v>604</v>
      </c>
      <c r="V290" s="41">
        <f>C290/'1. Väestöennuste'!E290*1000</f>
        <v>0</v>
      </c>
      <c r="W290" s="41">
        <f>D290/'1. Väestöennuste'!F290*1000</f>
        <v>14.626420719209987</v>
      </c>
      <c r="X290" s="41">
        <f>E290/'1. Väestöennuste'!G290*1000</f>
        <v>0</v>
      </c>
      <c r="Y290" s="41">
        <f>F290/'1. Väestöennuste'!H290*1000</f>
        <v>0</v>
      </c>
      <c r="Z290" s="41">
        <f>G290/'1. Väestöennuste'!I290*1000</f>
        <v>9.5768591810808168</v>
      </c>
      <c r="AA290" s="41">
        <f>H290/'1. Väestöennuste'!J290*1000</f>
        <v>-50.498076733405661</v>
      </c>
      <c r="AB290" s="41">
        <f>I290/'1. Väestöennuste'!K290*1000</f>
        <v>0</v>
      </c>
      <c r="AC290" s="41">
        <f>J290/'1. Väestöennuste'!L290*1000</f>
        <v>29.353712232400426</v>
      </c>
      <c r="AD290" s="41">
        <f>K290/'1. Väestöennuste'!M290*1000</f>
        <v>0</v>
      </c>
      <c r="AE290" s="41">
        <f>L290/'1. Väestöennuste'!N290*1000</f>
        <v>0</v>
      </c>
      <c r="AF290" s="41">
        <f>M290/'1. Väestöennuste'!O290*1000</f>
        <v>0</v>
      </c>
      <c r="AG290" s="41">
        <f>N290/'1. Väestöennuste'!P290*1000</f>
        <v>0</v>
      </c>
      <c r="AH290" s="41">
        <f>O290/'1. Väestöennuste'!Q290*1000</f>
        <v>0</v>
      </c>
      <c r="AI290" s="41">
        <f>P290/'1. Väestöennuste'!R290*1000</f>
        <v>0</v>
      </c>
    </row>
    <row r="291" spans="1:35" x14ac:dyDescent="0.2">
      <c r="A291" s="30">
        <v>918</v>
      </c>
      <c r="B291" s="31" t="s">
        <v>605</v>
      </c>
      <c r="C291" s="64">
        <v>-38</v>
      </c>
      <c r="D291" s="64">
        <v>1458</v>
      </c>
      <c r="E291" s="64">
        <v>0</v>
      </c>
      <c r="F291" s="65">
        <v>-3</v>
      </c>
      <c r="G291" s="65">
        <v>-527</v>
      </c>
      <c r="H291" s="41">
        <v>0</v>
      </c>
      <c r="I291" s="165">
        <v>0</v>
      </c>
      <c r="J291" s="41">
        <v>0</v>
      </c>
      <c r="K291" s="41">
        <v>0</v>
      </c>
      <c r="L291" s="41">
        <v>0</v>
      </c>
      <c r="M291" s="41">
        <v>0</v>
      </c>
      <c r="N291" s="41">
        <v>0</v>
      </c>
      <c r="O291" s="41">
        <v>0</v>
      </c>
      <c r="P291" s="41">
        <v>0</v>
      </c>
      <c r="T291" s="30">
        <v>918</v>
      </c>
      <c r="U291" s="31" t="s">
        <v>605</v>
      </c>
      <c r="V291" s="41">
        <f>C291/'1. Väestöennuste'!E291*1000</f>
        <v>-16.695957820738137</v>
      </c>
      <c r="W291" s="41">
        <f>D291/'1. Väestöennuste'!F291*1000</f>
        <v>640.31620553359676</v>
      </c>
      <c r="X291" s="41">
        <f>E291/'1. Väestöennuste'!G291*1000</f>
        <v>0</v>
      </c>
      <c r="Y291" s="41">
        <f>F291/'1. Väestöennuste'!H291*1000</f>
        <v>-1.3129102844638949</v>
      </c>
      <c r="Z291" s="41">
        <f>G291/'1. Väestöennuste'!I291*1000</f>
        <v>-229.82991713911903</v>
      </c>
      <c r="AA291" s="41">
        <f>H291/'1. Väestöennuste'!J291*1000</f>
        <v>0</v>
      </c>
      <c r="AB291" s="41">
        <f>I291/'1. Väestöennuste'!K291*1000</f>
        <v>0</v>
      </c>
      <c r="AC291" s="41">
        <f>J291/'1. Väestöennuste'!L291*1000</f>
        <v>0</v>
      </c>
      <c r="AD291" s="41">
        <f>K291/'1. Väestöennuste'!M291*1000</f>
        <v>0</v>
      </c>
      <c r="AE291" s="41">
        <f>L291/'1. Väestöennuste'!N291*1000</f>
        <v>0</v>
      </c>
      <c r="AF291" s="41">
        <f>M291/'1. Väestöennuste'!O291*1000</f>
        <v>0</v>
      </c>
      <c r="AG291" s="41">
        <f>N291/'1. Väestöennuste'!P291*1000</f>
        <v>0</v>
      </c>
      <c r="AH291" s="41">
        <f>O291/'1. Väestöennuste'!Q291*1000</f>
        <v>0</v>
      </c>
      <c r="AI291" s="41">
        <f>P291/'1. Väestöennuste'!R291*1000</f>
        <v>0</v>
      </c>
    </row>
    <row r="292" spans="1:35" x14ac:dyDescent="0.2">
      <c r="A292" s="30">
        <v>921</v>
      </c>
      <c r="B292" s="31" t="s">
        <v>606</v>
      </c>
      <c r="C292" s="64">
        <v>81</v>
      </c>
      <c r="D292" s="64"/>
      <c r="E292" s="64">
        <v>0</v>
      </c>
      <c r="F292" s="65">
        <v>0</v>
      </c>
      <c r="G292" s="65">
        <v>-268</v>
      </c>
      <c r="H292" s="41">
        <v>0</v>
      </c>
      <c r="I292" s="165">
        <v>156.38368</v>
      </c>
      <c r="J292" s="41">
        <v>0</v>
      </c>
      <c r="K292" s="41">
        <v>-149.35296</v>
      </c>
      <c r="L292" s="41">
        <v>0</v>
      </c>
      <c r="M292" s="41">
        <v>0</v>
      </c>
      <c r="N292" s="41">
        <v>0</v>
      </c>
      <c r="O292" s="41">
        <v>0</v>
      </c>
      <c r="P292" s="41">
        <v>0</v>
      </c>
      <c r="T292" s="30">
        <v>921</v>
      </c>
      <c r="U292" s="31" t="s">
        <v>606</v>
      </c>
      <c r="V292" s="41">
        <f>C292/'1. Väestöennuste'!E292*1000</f>
        <v>36.969420356001827</v>
      </c>
      <c r="W292" s="41">
        <f>D292/'1. Väestöennuste'!F292*1000</f>
        <v>0</v>
      </c>
      <c r="X292" s="41">
        <f>E292/'1. Väestöennuste'!G292*1000</f>
        <v>0</v>
      </c>
      <c r="Y292" s="41">
        <f>F292/'1. Väestöennuste'!H292*1000</f>
        <v>0</v>
      </c>
      <c r="Z292" s="41">
        <f>G292/'1. Väestöennuste'!I292*1000</f>
        <v>-133.06852035749753</v>
      </c>
      <c r="AA292" s="41">
        <f>H292/'1. Väestöennuste'!J292*1000</f>
        <v>0</v>
      </c>
      <c r="AB292" s="41">
        <f>I292/'1. Väestöennuste'!K292*1000</f>
        <v>80.56861411643483</v>
      </c>
      <c r="AC292" s="41">
        <f>J292/'1. Väestöennuste'!L292*1000</f>
        <v>0</v>
      </c>
      <c r="AD292" s="41">
        <f>K292/'1. Väestöennuste'!M292*1000</f>
        <v>-78.81422691292876</v>
      </c>
      <c r="AE292" s="41">
        <f>L292/'1. Väestöennuste'!N292*1000</f>
        <v>0</v>
      </c>
      <c r="AF292" s="41">
        <f>M292/'1. Väestöennuste'!O292*1000</f>
        <v>0</v>
      </c>
      <c r="AG292" s="41">
        <f>N292/'1. Väestöennuste'!P292*1000</f>
        <v>0</v>
      </c>
      <c r="AH292" s="41">
        <f>O292/'1. Väestöennuste'!Q292*1000</f>
        <v>0</v>
      </c>
      <c r="AI292" s="41">
        <f>P292/'1. Väestöennuste'!R292*1000</f>
        <v>0</v>
      </c>
    </row>
    <row r="293" spans="1:35" x14ac:dyDescent="0.2">
      <c r="A293" s="30">
        <v>922</v>
      </c>
      <c r="B293" s="31" t="s">
        <v>607</v>
      </c>
      <c r="C293" s="64">
        <v>0</v>
      </c>
      <c r="D293" s="64"/>
      <c r="E293" s="64">
        <v>0</v>
      </c>
      <c r="F293" s="65">
        <v>0</v>
      </c>
      <c r="G293" s="65">
        <v>0</v>
      </c>
      <c r="H293" s="41">
        <v>0</v>
      </c>
      <c r="I293" s="165">
        <v>0</v>
      </c>
      <c r="J293" s="41">
        <v>0</v>
      </c>
      <c r="K293" s="41">
        <v>0</v>
      </c>
      <c r="L293" s="41">
        <v>0</v>
      </c>
      <c r="M293" s="41">
        <v>0</v>
      </c>
      <c r="N293" s="41">
        <v>0</v>
      </c>
      <c r="O293" s="41">
        <v>0</v>
      </c>
      <c r="P293" s="41">
        <v>0</v>
      </c>
      <c r="T293" s="30">
        <v>922</v>
      </c>
      <c r="U293" s="31" t="s">
        <v>607</v>
      </c>
      <c r="V293" s="41">
        <f>C293/'1. Väestöennuste'!E293*1000</f>
        <v>0</v>
      </c>
      <c r="W293" s="41">
        <f>D293/'1. Väestöennuste'!F293*1000</f>
        <v>0</v>
      </c>
      <c r="X293" s="41">
        <f>E293/'1. Väestöennuste'!G293*1000</f>
        <v>0</v>
      </c>
      <c r="Y293" s="41">
        <f>F293/'1. Väestöennuste'!H293*1000</f>
        <v>0</v>
      </c>
      <c r="Z293" s="41">
        <f>G293/'1. Väestöennuste'!I293*1000</f>
        <v>0</v>
      </c>
      <c r="AA293" s="41">
        <f>H293/'1. Väestöennuste'!J293*1000</f>
        <v>0</v>
      </c>
      <c r="AB293" s="41">
        <f>I293/'1. Väestöennuste'!K293*1000</f>
        <v>0</v>
      </c>
      <c r="AC293" s="41">
        <f>J293/'1. Väestöennuste'!L293*1000</f>
        <v>0</v>
      </c>
      <c r="AD293" s="41">
        <f>K293/'1. Väestöennuste'!M293*1000</f>
        <v>0</v>
      </c>
      <c r="AE293" s="41">
        <f>L293/'1. Väestöennuste'!N293*1000</f>
        <v>0</v>
      </c>
      <c r="AF293" s="41">
        <f>M293/'1. Väestöennuste'!O293*1000</f>
        <v>0</v>
      </c>
      <c r="AG293" s="41">
        <f>N293/'1. Väestöennuste'!P293*1000</f>
        <v>0</v>
      </c>
      <c r="AH293" s="41">
        <f>O293/'1. Väestöennuste'!Q293*1000</f>
        <v>0</v>
      </c>
      <c r="AI293" s="41">
        <f>P293/'1. Väestöennuste'!R293*1000</f>
        <v>0</v>
      </c>
    </row>
    <row r="294" spans="1:35" x14ac:dyDescent="0.2">
      <c r="A294" s="30">
        <v>924</v>
      </c>
      <c r="B294" s="31" t="s">
        <v>608</v>
      </c>
      <c r="C294" s="64">
        <v>3100</v>
      </c>
      <c r="D294" s="64"/>
      <c r="E294" s="64">
        <v>0</v>
      </c>
      <c r="F294" s="65">
        <v>0</v>
      </c>
      <c r="G294" s="65">
        <v>0</v>
      </c>
      <c r="H294" s="41">
        <v>0</v>
      </c>
      <c r="I294" s="165">
        <v>0</v>
      </c>
      <c r="J294" s="41">
        <v>0</v>
      </c>
      <c r="K294" s="41">
        <v>0</v>
      </c>
      <c r="L294" s="41">
        <v>0</v>
      </c>
      <c r="M294" s="41">
        <v>0</v>
      </c>
      <c r="N294" s="41">
        <v>0</v>
      </c>
      <c r="O294" s="41">
        <v>0</v>
      </c>
      <c r="P294" s="41">
        <v>0</v>
      </c>
      <c r="T294" s="30">
        <v>924</v>
      </c>
      <c r="U294" s="31" t="s">
        <v>608</v>
      </c>
      <c r="V294" s="41">
        <f>C294/'1. Väestöennuste'!E294*1000</f>
        <v>938.82495457298614</v>
      </c>
      <c r="W294" s="41">
        <f>D294/'1. Väestöennuste'!F294*1000</f>
        <v>0</v>
      </c>
      <c r="X294" s="41">
        <f>E294/'1. Väestöennuste'!G294*1000</f>
        <v>0</v>
      </c>
      <c r="Y294" s="41">
        <f>F294/'1. Väestöennuste'!H294*1000</f>
        <v>0</v>
      </c>
      <c r="Z294" s="41">
        <f>G294/'1. Väestöennuste'!I294*1000</f>
        <v>0</v>
      </c>
      <c r="AA294" s="41">
        <f>H294/'1. Väestöennuste'!J294*1000</f>
        <v>0</v>
      </c>
      <c r="AB294" s="41">
        <f>I294/'1. Väestöennuste'!K294*1000</f>
        <v>0</v>
      </c>
      <c r="AC294" s="41">
        <f>J294/'1. Väestöennuste'!L294*1000</f>
        <v>0</v>
      </c>
      <c r="AD294" s="41">
        <f>K294/'1. Väestöennuste'!M294*1000</f>
        <v>0</v>
      </c>
      <c r="AE294" s="41">
        <f>L294/'1. Väestöennuste'!N294*1000</f>
        <v>0</v>
      </c>
      <c r="AF294" s="41">
        <f>M294/'1. Väestöennuste'!O294*1000</f>
        <v>0</v>
      </c>
      <c r="AG294" s="41">
        <f>N294/'1. Väestöennuste'!P294*1000</f>
        <v>0</v>
      </c>
      <c r="AH294" s="41">
        <f>O294/'1. Väestöennuste'!Q294*1000</f>
        <v>0</v>
      </c>
      <c r="AI294" s="41">
        <f>P294/'1. Väestöennuste'!R294*1000</f>
        <v>0</v>
      </c>
    </row>
    <row r="295" spans="1:35" x14ac:dyDescent="0.2">
      <c r="A295" s="30">
        <v>925</v>
      </c>
      <c r="B295" s="31" t="s">
        <v>609</v>
      </c>
      <c r="C295" s="64">
        <v>0</v>
      </c>
      <c r="D295" s="64"/>
      <c r="E295" s="64">
        <v>0</v>
      </c>
      <c r="F295" s="65">
        <v>0</v>
      </c>
      <c r="G295" s="65">
        <v>0</v>
      </c>
      <c r="H295" s="41">
        <v>0</v>
      </c>
      <c r="I295" s="165">
        <v>0</v>
      </c>
      <c r="J295" s="41">
        <v>0</v>
      </c>
      <c r="K295" s="41">
        <v>0</v>
      </c>
      <c r="L295" s="41">
        <v>0</v>
      </c>
      <c r="M295" s="41">
        <v>0</v>
      </c>
      <c r="N295" s="41">
        <v>0</v>
      </c>
      <c r="O295" s="41">
        <v>0</v>
      </c>
      <c r="P295" s="41">
        <v>0</v>
      </c>
      <c r="T295" s="30">
        <v>925</v>
      </c>
      <c r="U295" s="31" t="s">
        <v>609</v>
      </c>
      <c r="V295" s="41">
        <f>C295/'1. Väestöennuste'!E295*1000</f>
        <v>0</v>
      </c>
      <c r="W295" s="41">
        <f>D295/'1. Väestöennuste'!F295*1000</f>
        <v>0</v>
      </c>
      <c r="X295" s="41">
        <f>E295/'1. Väestöennuste'!G295*1000</f>
        <v>0</v>
      </c>
      <c r="Y295" s="41">
        <f>F295/'1. Väestöennuste'!H295*1000</f>
        <v>0</v>
      </c>
      <c r="Z295" s="41">
        <f>G295/'1. Väestöennuste'!I295*1000</f>
        <v>0</v>
      </c>
      <c r="AA295" s="41">
        <f>H295/'1. Väestöennuste'!J295*1000</f>
        <v>0</v>
      </c>
      <c r="AB295" s="41">
        <f>I295/'1. Väestöennuste'!K295*1000</f>
        <v>0</v>
      </c>
      <c r="AC295" s="41">
        <f>J295/'1. Väestöennuste'!L295*1000</f>
        <v>0</v>
      </c>
      <c r="AD295" s="41">
        <f>K295/'1. Väestöennuste'!M295*1000</f>
        <v>0</v>
      </c>
      <c r="AE295" s="41">
        <f>L295/'1. Väestöennuste'!N295*1000</f>
        <v>0</v>
      </c>
      <c r="AF295" s="41">
        <f>M295/'1. Väestöennuste'!O295*1000</f>
        <v>0</v>
      </c>
      <c r="AG295" s="41">
        <f>N295/'1. Väestöennuste'!P295*1000</f>
        <v>0</v>
      </c>
      <c r="AH295" s="41">
        <f>O295/'1. Väestöennuste'!Q295*1000</f>
        <v>0</v>
      </c>
      <c r="AI295" s="41">
        <f>P295/'1. Väestöennuste'!R295*1000</f>
        <v>0</v>
      </c>
    </row>
    <row r="296" spans="1:35" x14ac:dyDescent="0.2">
      <c r="A296" s="30">
        <v>927</v>
      </c>
      <c r="B296" s="31" t="s">
        <v>610</v>
      </c>
      <c r="C296" s="64">
        <v>0</v>
      </c>
      <c r="D296" s="64">
        <v>385</v>
      </c>
      <c r="E296" s="64">
        <v>-493</v>
      </c>
      <c r="F296" s="65">
        <v>5</v>
      </c>
      <c r="G296" s="65">
        <v>221</v>
      </c>
      <c r="H296" s="41">
        <v>0</v>
      </c>
      <c r="I296" s="165">
        <v>0</v>
      </c>
      <c r="J296" s="41">
        <v>-264.30061999999998</v>
      </c>
      <c r="K296" s="41">
        <v>0</v>
      </c>
      <c r="L296" s="41">
        <v>0</v>
      </c>
      <c r="M296" s="41">
        <v>0</v>
      </c>
      <c r="N296" s="41">
        <v>0</v>
      </c>
      <c r="O296" s="41">
        <v>0</v>
      </c>
      <c r="P296" s="41">
        <v>0</v>
      </c>
      <c r="T296" s="30">
        <v>927</v>
      </c>
      <c r="U296" s="31" t="s">
        <v>610</v>
      </c>
      <c r="V296" s="41">
        <f>C296/'1. Väestöennuste'!E296*1000</f>
        <v>0</v>
      </c>
      <c r="W296" s="41">
        <f>D296/'1. Väestöennuste'!F296*1000</f>
        <v>13.290986294749196</v>
      </c>
      <c r="X296" s="41">
        <f>E296/'1. Väestöennuste'!G296*1000</f>
        <v>-16.968403662146347</v>
      </c>
      <c r="Y296" s="41">
        <f>F296/'1. Väestöennuste'!H296*1000</f>
        <v>0.17116839546746088</v>
      </c>
      <c r="Z296" s="41">
        <f>G296/'1. Väestöennuste'!I296*1000</f>
        <v>7.5793950202345837</v>
      </c>
      <c r="AA296" s="41">
        <f>H296/'1. Väestöennuste'!J296*1000</f>
        <v>0</v>
      </c>
      <c r="AB296" s="41">
        <f>I296/'1. Väestöennuste'!K296*1000</f>
        <v>0</v>
      </c>
      <c r="AC296" s="41">
        <f>J296/'1. Väestöennuste'!L296*1000</f>
        <v>-9.1412381973506722</v>
      </c>
      <c r="AD296" s="41">
        <f>K296/'1. Väestöennuste'!M296*1000</f>
        <v>0</v>
      </c>
      <c r="AE296" s="41">
        <f>L296/'1. Väestöennuste'!N296*1000</f>
        <v>0</v>
      </c>
      <c r="AF296" s="41">
        <f>M296/'1. Väestöennuste'!O296*1000</f>
        <v>0</v>
      </c>
      <c r="AG296" s="41">
        <f>N296/'1. Väestöennuste'!P296*1000</f>
        <v>0</v>
      </c>
      <c r="AH296" s="41">
        <f>O296/'1. Väestöennuste'!Q296*1000</f>
        <v>0</v>
      </c>
      <c r="AI296" s="41">
        <f>P296/'1. Väestöennuste'!R296*1000</f>
        <v>0</v>
      </c>
    </row>
    <row r="297" spans="1:35" x14ac:dyDescent="0.2">
      <c r="A297" s="30">
        <v>931</v>
      </c>
      <c r="B297" s="31" t="s">
        <v>611</v>
      </c>
      <c r="C297" s="64">
        <v>0</v>
      </c>
      <c r="D297" s="64"/>
      <c r="E297" s="64">
        <v>0</v>
      </c>
      <c r="F297" s="65">
        <v>10857</v>
      </c>
      <c r="G297" s="65">
        <v>-29</v>
      </c>
      <c r="H297" s="41">
        <v>179</v>
      </c>
      <c r="I297" s="165">
        <v>0</v>
      </c>
      <c r="J297" s="41">
        <v>0</v>
      </c>
      <c r="K297" s="41">
        <v>-774.60150999999996</v>
      </c>
      <c r="L297" s="41">
        <v>0</v>
      </c>
      <c r="M297" s="41">
        <v>0</v>
      </c>
      <c r="N297" s="41">
        <v>0</v>
      </c>
      <c r="O297" s="41">
        <v>0</v>
      </c>
      <c r="P297" s="41">
        <v>0</v>
      </c>
      <c r="T297" s="30">
        <v>931</v>
      </c>
      <c r="U297" s="31" t="s">
        <v>611</v>
      </c>
      <c r="V297" s="41">
        <f>C297/'1. Väestöennuste'!E297*1000</f>
        <v>0</v>
      </c>
      <c r="W297" s="41">
        <f>D297/'1. Väestöennuste'!F297*1000</f>
        <v>0</v>
      </c>
      <c r="X297" s="41">
        <f>E297/'1. Väestöennuste'!G297*1000</f>
        <v>0</v>
      </c>
      <c r="Y297" s="41">
        <f>F297/'1. Väestöennuste'!H297*1000</f>
        <v>1733.2375478927202</v>
      </c>
      <c r="Z297" s="41">
        <f>G297/'1. Väestöennuste'!I297*1000</f>
        <v>-4.6955958549222796</v>
      </c>
      <c r="AA297" s="41">
        <f>H297/'1. Väestöennuste'!J297*1000</f>
        <v>29.358701000492044</v>
      </c>
      <c r="AB297" s="41">
        <f>I297/'1. Väestöennuste'!K297*1000</f>
        <v>0</v>
      </c>
      <c r="AC297" s="41">
        <f>J297/'1. Väestöennuste'!L297*1000</f>
        <v>0</v>
      </c>
      <c r="AD297" s="41">
        <f>K297/'1. Väestöennuste'!M297*1000</f>
        <v>-131.80219669899608</v>
      </c>
      <c r="AE297" s="41">
        <f>L297/'1. Väestöennuste'!N297*1000</f>
        <v>0</v>
      </c>
      <c r="AF297" s="41">
        <f>M297/'1. Väestöennuste'!O297*1000</f>
        <v>0</v>
      </c>
      <c r="AG297" s="41">
        <f>N297/'1. Väestöennuste'!P297*1000</f>
        <v>0</v>
      </c>
      <c r="AH297" s="41">
        <f>O297/'1. Väestöennuste'!Q297*1000</f>
        <v>0</v>
      </c>
      <c r="AI297" s="41">
        <f>P297/'1. Väestöennuste'!R297*1000</f>
        <v>0</v>
      </c>
    </row>
    <row r="298" spans="1:35" x14ac:dyDescent="0.2">
      <c r="A298" s="30">
        <v>934</v>
      </c>
      <c r="B298" s="31" t="s">
        <v>612</v>
      </c>
      <c r="C298" s="64">
        <v>0</v>
      </c>
      <c r="D298" s="64"/>
      <c r="E298" s="64">
        <v>0</v>
      </c>
      <c r="F298" s="65">
        <v>0</v>
      </c>
      <c r="G298" s="65">
        <v>0</v>
      </c>
      <c r="H298" s="41">
        <v>0</v>
      </c>
      <c r="I298" s="165">
        <v>0</v>
      </c>
      <c r="J298" s="41">
        <v>0</v>
      </c>
      <c r="K298" s="41">
        <v>0</v>
      </c>
      <c r="L298" s="41">
        <v>0</v>
      </c>
      <c r="M298" s="41">
        <v>0</v>
      </c>
      <c r="N298" s="41">
        <v>0</v>
      </c>
      <c r="O298" s="41">
        <v>0</v>
      </c>
      <c r="P298" s="41">
        <v>0</v>
      </c>
      <c r="T298" s="30">
        <v>934</v>
      </c>
      <c r="U298" s="31" t="s">
        <v>612</v>
      </c>
      <c r="V298" s="41">
        <f>C298/'1. Väestöennuste'!E298*1000</f>
        <v>0</v>
      </c>
      <c r="W298" s="41">
        <f>D298/'1. Väestöennuste'!F298*1000</f>
        <v>0</v>
      </c>
      <c r="X298" s="41">
        <f>E298/'1. Väestöennuste'!G298*1000</f>
        <v>0</v>
      </c>
      <c r="Y298" s="41">
        <f>F298/'1. Väestöennuste'!H298*1000</f>
        <v>0</v>
      </c>
      <c r="Z298" s="41">
        <f>G298/'1. Väestöennuste'!I298*1000</f>
        <v>0</v>
      </c>
      <c r="AA298" s="41">
        <f>H298/'1. Väestöennuste'!J298*1000</f>
        <v>0</v>
      </c>
      <c r="AB298" s="41">
        <f>I298/'1. Väestöennuste'!K298*1000</f>
        <v>0</v>
      </c>
      <c r="AC298" s="41">
        <f>J298/'1. Väestöennuste'!L298*1000</f>
        <v>0</v>
      </c>
      <c r="AD298" s="41">
        <f>K298/'1. Väestöennuste'!M298*1000</f>
        <v>0</v>
      </c>
      <c r="AE298" s="41">
        <f>L298/'1. Väestöennuste'!N298*1000</f>
        <v>0</v>
      </c>
      <c r="AF298" s="41">
        <f>M298/'1. Väestöennuste'!O298*1000</f>
        <v>0</v>
      </c>
      <c r="AG298" s="41">
        <f>N298/'1. Väestöennuste'!P298*1000</f>
        <v>0</v>
      </c>
      <c r="AH298" s="41">
        <f>O298/'1. Väestöennuste'!Q298*1000</f>
        <v>0</v>
      </c>
      <c r="AI298" s="41">
        <f>P298/'1. Väestöennuste'!R298*1000</f>
        <v>0</v>
      </c>
    </row>
    <row r="299" spans="1:35" x14ac:dyDescent="0.2">
      <c r="A299" s="30">
        <v>935</v>
      </c>
      <c r="B299" s="31" t="s">
        <v>613</v>
      </c>
      <c r="C299" s="64">
        <v>0</v>
      </c>
      <c r="D299" s="64"/>
      <c r="E299" s="64">
        <v>0</v>
      </c>
      <c r="F299" s="65">
        <v>0</v>
      </c>
      <c r="G299" s="65">
        <v>0</v>
      </c>
      <c r="H299" s="41">
        <v>0</v>
      </c>
      <c r="I299" s="165">
        <v>0</v>
      </c>
      <c r="J299" s="41">
        <v>0</v>
      </c>
      <c r="K299" s="41">
        <v>0</v>
      </c>
      <c r="L299" s="41">
        <v>0</v>
      </c>
      <c r="M299" s="41">
        <v>0</v>
      </c>
      <c r="N299" s="41">
        <v>0</v>
      </c>
      <c r="O299" s="41">
        <v>0</v>
      </c>
      <c r="P299" s="41">
        <v>0</v>
      </c>
      <c r="T299" s="30">
        <v>935</v>
      </c>
      <c r="U299" s="31" t="s">
        <v>613</v>
      </c>
      <c r="V299" s="41">
        <f>C299/'1. Väestöennuste'!E299*1000</f>
        <v>0</v>
      </c>
      <c r="W299" s="41">
        <f>D299/'1. Väestöennuste'!F299*1000</f>
        <v>0</v>
      </c>
      <c r="X299" s="41">
        <f>E299/'1. Väestöennuste'!G299*1000</f>
        <v>0</v>
      </c>
      <c r="Y299" s="41">
        <f>F299/'1. Väestöennuste'!H299*1000</f>
        <v>0</v>
      </c>
      <c r="Z299" s="41">
        <f>G299/'1. Väestöennuste'!I299*1000</f>
        <v>0</v>
      </c>
      <c r="AA299" s="41">
        <f>H299/'1. Väestöennuste'!J299*1000</f>
        <v>0</v>
      </c>
      <c r="AB299" s="41">
        <f>I299/'1. Väestöennuste'!K299*1000</f>
        <v>0</v>
      </c>
      <c r="AC299" s="41">
        <f>J299/'1. Väestöennuste'!L299*1000</f>
        <v>0</v>
      </c>
      <c r="AD299" s="41">
        <f>K299/'1. Väestöennuste'!M299*1000</f>
        <v>0</v>
      </c>
      <c r="AE299" s="41">
        <f>L299/'1. Väestöennuste'!N299*1000</f>
        <v>0</v>
      </c>
      <c r="AF299" s="41">
        <f>M299/'1. Väestöennuste'!O299*1000</f>
        <v>0</v>
      </c>
      <c r="AG299" s="41">
        <f>N299/'1. Väestöennuste'!P299*1000</f>
        <v>0</v>
      </c>
      <c r="AH299" s="41">
        <f>O299/'1. Väestöennuste'!Q299*1000</f>
        <v>0</v>
      </c>
      <c r="AI299" s="41">
        <f>P299/'1. Väestöennuste'!R299*1000</f>
        <v>0</v>
      </c>
    </row>
    <row r="300" spans="1:35" x14ac:dyDescent="0.2">
      <c r="A300" s="30">
        <v>936</v>
      </c>
      <c r="B300" s="31" t="s">
        <v>614</v>
      </c>
      <c r="C300" s="64">
        <v>0</v>
      </c>
      <c r="D300" s="64">
        <v>310</v>
      </c>
      <c r="E300" s="64">
        <v>0</v>
      </c>
      <c r="F300" s="65">
        <v>0</v>
      </c>
      <c r="G300" s="65">
        <v>-358</v>
      </c>
      <c r="H300" s="41">
        <v>0</v>
      </c>
      <c r="I300" s="165">
        <v>0</v>
      </c>
      <c r="J300" s="41">
        <v>-8.8170000000000002</v>
      </c>
      <c r="K300" s="41">
        <v>0</v>
      </c>
      <c r="L300" s="41">
        <v>0</v>
      </c>
      <c r="M300" s="41">
        <v>0</v>
      </c>
      <c r="N300" s="41">
        <v>0</v>
      </c>
      <c r="O300" s="41">
        <v>0</v>
      </c>
      <c r="P300" s="41">
        <v>0</v>
      </c>
      <c r="T300" s="30">
        <v>936</v>
      </c>
      <c r="U300" s="31" t="s">
        <v>614</v>
      </c>
      <c r="V300" s="41">
        <f>C300/'1. Väestöennuste'!E300*1000</f>
        <v>0</v>
      </c>
      <c r="W300" s="41">
        <f>D300/'1. Väestöennuste'!F300*1000</f>
        <v>44.817117247361573</v>
      </c>
      <c r="X300" s="41">
        <f>E300/'1. Väestöennuste'!G300*1000</f>
        <v>0</v>
      </c>
      <c r="Y300" s="41">
        <f>F300/'1. Väestöennuste'!H300*1000</f>
        <v>0</v>
      </c>
      <c r="Z300" s="41">
        <f>G300/'1. Väestöennuste'!I300*1000</f>
        <v>-54.706601466992666</v>
      </c>
      <c r="AA300" s="41">
        <f>H300/'1. Väestöennuste'!J300*1000</f>
        <v>0</v>
      </c>
      <c r="AB300" s="41">
        <f>I300/'1. Väestöennuste'!K300*1000</f>
        <v>0</v>
      </c>
      <c r="AC300" s="41">
        <f>J300/'1. Väestöennuste'!L300*1000</f>
        <v>-1.3787333854573887</v>
      </c>
      <c r="AD300" s="41">
        <f>K300/'1. Väestöennuste'!M300*1000</f>
        <v>0</v>
      </c>
      <c r="AE300" s="41">
        <f>L300/'1. Väestöennuste'!N300*1000</f>
        <v>0</v>
      </c>
      <c r="AF300" s="41">
        <f>M300/'1. Väestöennuste'!O300*1000</f>
        <v>0</v>
      </c>
      <c r="AG300" s="41">
        <f>N300/'1. Väestöennuste'!P300*1000</f>
        <v>0</v>
      </c>
      <c r="AH300" s="41">
        <f>O300/'1. Väestöennuste'!Q300*1000</f>
        <v>0</v>
      </c>
      <c r="AI300" s="41">
        <f>P300/'1. Väestöennuste'!R300*1000</f>
        <v>0</v>
      </c>
    </row>
    <row r="301" spans="1:35" x14ac:dyDescent="0.2">
      <c r="A301" s="30">
        <v>946</v>
      </c>
      <c r="B301" s="31" t="s">
        <v>615</v>
      </c>
      <c r="C301" s="64">
        <v>0</v>
      </c>
      <c r="D301" s="64"/>
      <c r="E301" s="64">
        <v>0</v>
      </c>
      <c r="F301" s="65">
        <v>0</v>
      </c>
      <c r="G301" s="65">
        <v>0</v>
      </c>
      <c r="H301" s="41">
        <v>0</v>
      </c>
      <c r="I301" s="165">
        <v>0</v>
      </c>
      <c r="J301" s="41">
        <v>0</v>
      </c>
      <c r="K301" s="41">
        <v>0</v>
      </c>
      <c r="L301" s="41">
        <v>0</v>
      </c>
      <c r="M301" s="41">
        <v>0</v>
      </c>
      <c r="N301" s="41">
        <v>0</v>
      </c>
      <c r="O301" s="41">
        <v>0</v>
      </c>
      <c r="P301" s="41">
        <v>0</v>
      </c>
      <c r="T301" s="30">
        <v>946</v>
      </c>
      <c r="U301" s="31" t="s">
        <v>615</v>
      </c>
      <c r="V301" s="41">
        <f>C301/'1. Väestöennuste'!E301*1000</f>
        <v>0</v>
      </c>
      <c r="W301" s="41">
        <f>D301/'1. Väestöennuste'!F301*1000</f>
        <v>0</v>
      </c>
      <c r="X301" s="41">
        <f>E301/'1. Väestöennuste'!G301*1000</f>
        <v>0</v>
      </c>
      <c r="Y301" s="41">
        <f>F301/'1. Väestöennuste'!H301*1000</f>
        <v>0</v>
      </c>
      <c r="Z301" s="41">
        <f>G301/'1. Väestöennuste'!I301*1000</f>
        <v>0</v>
      </c>
      <c r="AA301" s="41">
        <f>H301/'1. Väestöennuste'!J301*1000</f>
        <v>0</v>
      </c>
      <c r="AB301" s="41">
        <f>I301/'1. Väestöennuste'!K301*1000</f>
        <v>0</v>
      </c>
      <c r="AC301" s="41">
        <f>J301/'1. Väestöennuste'!L301*1000</f>
        <v>0</v>
      </c>
      <c r="AD301" s="41">
        <f>K301/'1. Väestöennuste'!M301*1000</f>
        <v>0</v>
      </c>
      <c r="AE301" s="41">
        <f>L301/'1. Väestöennuste'!N301*1000</f>
        <v>0</v>
      </c>
      <c r="AF301" s="41">
        <f>M301/'1. Väestöennuste'!O301*1000</f>
        <v>0</v>
      </c>
      <c r="AG301" s="41">
        <f>N301/'1. Väestöennuste'!P301*1000</f>
        <v>0</v>
      </c>
      <c r="AH301" s="41">
        <f>O301/'1. Väestöennuste'!Q301*1000</f>
        <v>0</v>
      </c>
      <c r="AI301" s="41">
        <f>P301/'1. Väestöennuste'!R301*1000</f>
        <v>0</v>
      </c>
    </row>
    <row r="302" spans="1:35" x14ac:dyDescent="0.2">
      <c r="A302" s="30">
        <v>976</v>
      </c>
      <c r="B302" s="31" t="s">
        <v>616</v>
      </c>
      <c r="C302" s="64">
        <v>0</v>
      </c>
      <c r="D302" s="64"/>
      <c r="E302" s="64">
        <v>0</v>
      </c>
      <c r="F302" s="65">
        <v>0</v>
      </c>
      <c r="G302" s="65">
        <v>0</v>
      </c>
      <c r="H302" s="41">
        <v>0</v>
      </c>
      <c r="I302" s="165">
        <v>0</v>
      </c>
      <c r="J302" s="41">
        <v>0</v>
      </c>
      <c r="K302" s="41">
        <v>0</v>
      </c>
      <c r="L302" s="41">
        <v>0</v>
      </c>
      <c r="M302" s="41">
        <v>0</v>
      </c>
      <c r="N302" s="41">
        <v>0</v>
      </c>
      <c r="O302" s="41">
        <v>0</v>
      </c>
      <c r="P302" s="41">
        <v>0</v>
      </c>
      <c r="T302" s="30">
        <v>976</v>
      </c>
      <c r="U302" s="31" t="s">
        <v>616</v>
      </c>
      <c r="V302" s="41">
        <f>C302/'1. Väestöennuste'!E302*1000</f>
        <v>0</v>
      </c>
      <c r="W302" s="41">
        <f>D302/'1. Väestöennuste'!F302*1000</f>
        <v>0</v>
      </c>
      <c r="X302" s="41">
        <f>E302/'1. Väestöennuste'!G302*1000</f>
        <v>0</v>
      </c>
      <c r="Y302" s="41">
        <f>F302/'1. Väestöennuste'!H302*1000</f>
        <v>0</v>
      </c>
      <c r="Z302" s="41">
        <f>G302/'1. Väestöennuste'!I302*1000</f>
        <v>0</v>
      </c>
      <c r="AA302" s="41">
        <f>H302/'1. Väestöennuste'!J302*1000</f>
        <v>0</v>
      </c>
      <c r="AB302" s="41">
        <f>I302/'1. Väestöennuste'!K302*1000</f>
        <v>0</v>
      </c>
      <c r="AC302" s="41">
        <f>J302/'1. Väestöennuste'!L302*1000</f>
        <v>0</v>
      </c>
      <c r="AD302" s="41">
        <f>K302/'1. Väestöennuste'!M302*1000</f>
        <v>0</v>
      </c>
      <c r="AE302" s="41">
        <f>L302/'1. Väestöennuste'!N302*1000</f>
        <v>0</v>
      </c>
      <c r="AF302" s="41">
        <f>M302/'1. Väestöennuste'!O302*1000</f>
        <v>0</v>
      </c>
      <c r="AG302" s="41">
        <f>N302/'1. Väestöennuste'!P302*1000</f>
        <v>0</v>
      </c>
      <c r="AH302" s="41">
        <f>O302/'1. Väestöennuste'!Q302*1000</f>
        <v>0</v>
      </c>
      <c r="AI302" s="41">
        <f>P302/'1. Väestöennuste'!R302*1000</f>
        <v>0</v>
      </c>
    </row>
    <row r="303" spans="1:35" x14ac:dyDescent="0.2">
      <c r="A303" s="30">
        <v>977</v>
      </c>
      <c r="B303" s="31" t="s">
        <v>617</v>
      </c>
      <c r="C303" s="64">
        <v>0</v>
      </c>
      <c r="D303" s="64">
        <v>2618</v>
      </c>
      <c r="E303" s="64">
        <v>0</v>
      </c>
      <c r="F303" s="65">
        <v>0</v>
      </c>
      <c r="G303" s="65">
        <v>0</v>
      </c>
      <c r="H303" s="41">
        <v>0</v>
      </c>
      <c r="I303" s="165">
        <v>0</v>
      </c>
      <c r="J303" s="41">
        <v>0</v>
      </c>
      <c r="K303" s="41">
        <v>0</v>
      </c>
      <c r="L303" s="41">
        <v>0</v>
      </c>
      <c r="M303" s="41">
        <v>0</v>
      </c>
      <c r="N303" s="41">
        <v>0</v>
      </c>
      <c r="O303" s="41">
        <v>0</v>
      </c>
      <c r="P303" s="41">
        <v>0</v>
      </c>
      <c r="T303" s="30">
        <v>977</v>
      </c>
      <c r="U303" s="31" t="s">
        <v>617</v>
      </c>
      <c r="V303" s="41">
        <f>C303/'1. Väestöennuste'!E303*1000</f>
        <v>0</v>
      </c>
      <c r="W303" s="41">
        <f>D303/'1. Väestöennuste'!F303*1000</f>
        <v>172.24817422198828</v>
      </c>
      <c r="X303" s="41">
        <f>E303/'1. Väestöennuste'!G303*1000</f>
        <v>0</v>
      </c>
      <c r="Y303" s="41">
        <f>F303/'1. Väestöennuste'!H303*1000</f>
        <v>0</v>
      </c>
      <c r="Z303" s="41">
        <f>G303/'1. Väestöennuste'!I303*1000</f>
        <v>0</v>
      </c>
      <c r="AA303" s="41">
        <f>H303/'1. Väestöennuste'!J303*1000</f>
        <v>0</v>
      </c>
      <c r="AB303" s="41">
        <f>I303/'1. Väestöennuste'!K303*1000</f>
        <v>0</v>
      </c>
      <c r="AC303" s="41">
        <f>J303/'1. Väestöennuste'!L303*1000</f>
        <v>0</v>
      </c>
      <c r="AD303" s="41">
        <f>K303/'1. Väestöennuste'!M303*1000</f>
        <v>0</v>
      </c>
      <c r="AE303" s="41">
        <f>L303/'1. Väestöennuste'!N303*1000</f>
        <v>0</v>
      </c>
      <c r="AF303" s="41">
        <f>M303/'1. Väestöennuste'!O303*1000</f>
        <v>0</v>
      </c>
      <c r="AG303" s="41">
        <f>N303/'1. Väestöennuste'!P303*1000</f>
        <v>0</v>
      </c>
      <c r="AH303" s="41">
        <f>O303/'1. Väestöennuste'!Q303*1000</f>
        <v>0</v>
      </c>
      <c r="AI303" s="41">
        <f>P303/'1. Väestöennuste'!R303*1000</f>
        <v>0</v>
      </c>
    </row>
    <row r="304" spans="1:35" x14ac:dyDescent="0.2">
      <c r="A304" s="30">
        <v>980</v>
      </c>
      <c r="B304" s="31" t="s">
        <v>618</v>
      </c>
      <c r="C304" s="64">
        <v>0</v>
      </c>
      <c r="D304" s="64">
        <v>22462</v>
      </c>
      <c r="E304" s="64">
        <v>0</v>
      </c>
      <c r="F304" s="65">
        <v>0</v>
      </c>
      <c r="G304" s="65">
        <v>0</v>
      </c>
      <c r="H304" s="41">
        <v>0</v>
      </c>
      <c r="I304" s="165">
        <v>0</v>
      </c>
      <c r="J304" s="41">
        <v>0</v>
      </c>
      <c r="K304" s="41">
        <v>0</v>
      </c>
      <c r="L304" s="41">
        <v>0</v>
      </c>
      <c r="M304" s="41">
        <v>0</v>
      </c>
      <c r="N304" s="41">
        <v>0</v>
      </c>
      <c r="O304" s="41">
        <v>0</v>
      </c>
      <c r="P304" s="41">
        <v>0</v>
      </c>
      <c r="T304" s="30">
        <v>980</v>
      </c>
      <c r="U304" s="31" t="s">
        <v>618</v>
      </c>
      <c r="V304" s="41">
        <f>C304/'1. Väestöennuste'!E304*1000</f>
        <v>0</v>
      </c>
      <c r="W304" s="41">
        <f>D304/'1. Väestöennuste'!F304*1000</f>
        <v>684.83795237659683</v>
      </c>
      <c r="X304" s="41">
        <f>E304/'1. Väestöennuste'!G304*1000</f>
        <v>0</v>
      </c>
      <c r="Y304" s="41">
        <f>F304/'1. Väestöennuste'!H304*1000</f>
        <v>0</v>
      </c>
      <c r="Z304" s="41">
        <f>G304/'1. Väestöennuste'!I304*1000</f>
        <v>0</v>
      </c>
      <c r="AA304" s="41">
        <f>H304/'1. Väestöennuste'!J304*1000</f>
        <v>0</v>
      </c>
      <c r="AB304" s="41">
        <f>I304/'1. Väestöennuste'!K304*1000</f>
        <v>0</v>
      </c>
      <c r="AC304" s="41">
        <f>J304/'1. Väestöennuste'!L304*1000</f>
        <v>0</v>
      </c>
      <c r="AD304" s="41">
        <f>K304/'1. Väestöennuste'!M304*1000</f>
        <v>0</v>
      </c>
      <c r="AE304" s="41">
        <f>L304/'1. Väestöennuste'!N304*1000</f>
        <v>0</v>
      </c>
      <c r="AF304" s="41">
        <f>M304/'1. Väestöennuste'!O304*1000</f>
        <v>0</v>
      </c>
      <c r="AG304" s="41">
        <f>N304/'1. Väestöennuste'!P304*1000</f>
        <v>0</v>
      </c>
      <c r="AH304" s="41">
        <f>O304/'1. Väestöennuste'!Q304*1000</f>
        <v>0</v>
      </c>
      <c r="AI304" s="41">
        <f>P304/'1. Väestöennuste'!R304*1000</f>
        <v>0</v>
      </c>
    </row>
    <row r="305" spans="1:35" x14ac:dyDescent="0.2">
      <c r="A305" s="30">
        <v>981</v>
      </c>
      <c r="B305" s="31" t="s">
        <v>619</v>
      </c>
      <c r="C305" s="64">
        <v>0</v>
      </c>
      <c r="D305" s="64"/>
      <c r="E305" s="64">
        <v>0</v>
      </c>
      <c r="F305" s="65">
        <v>0</v>
      </c>
      <c r="G305" s="65">
        <v>0</v>
      </c>
      <c r="H305" s="41">
        <v>0</v>
      </c>
      <c r="I305" s="165">
        <v>0</v>
      </c>
      <c r="J305" s="41">
        <v>0</v>
      </c>
      <c r="K305" s="41">
        <v>0</v>
      </c>
      <c r="L305" s="41">
        <v>0</v>
      </c>
      <c r="M305" s="41">
        <v>0</v>
      </c>
      <c r="N305" s="41">
        <v>0</v>
      </c>
      <c r="O305" s="41">
        <v>0</v>
      </c>
      <c r="P305" s="41">
        <v>0</v>
      </c>
      <c r="T305" s="30">
        <v>981</v>
      </c>
      <c r="U305" s="31" t="s">
        <v>619</v>
      </c>
      <c r="V305" s="41">
        <f>C305/'1. Väestöennuste'!E305*1000</f>
        <v>0</v>
      </c>
      <c r="W305" s="41">
        <f>D305/'1. Väestöennuste'!F305*1000</f>
        <v>0</v>
      </c>
      <c r="X305" s="41">
        <f>E305/'1. Väestöennuste'!G305*1000</f>
        <v>0</v>
      </c>
      <c r="Y305" s="41">
        <f>F305/'1. Väestöennuste'!H305*1000</f>
        <v>0</v>
      </c>
      <c r="Z305" s="41">
        <f>G305/'1. Väestöennuste'!I305*1000</f>
        <v>0</v>
      </c>
      <c r="AA305" s="41">
        <f>H305/'1. Väestöennuste'!J305*1000</f>
        <v>0</v>
      </c>
      <c r="AB305" s="41">
        <f>I305/'1. Väestöennuste'!K305*1000</f>
        <v>0</v>
      </c>
      <c r="AC305" s="41">
        <f>J305/'1. Väestöennuste'!L305*1000</f>
        <v>0</v>
      </c>
      <c r="AD305" s="41">
        <f>K305/'1. Väestöennuste'!M305*1000</f>
        <v>0</v>
      </c>
      <c r="AE305" s="41">
        <f>L305/'1. Väestöennuste'!N305*1000</f>
        <v>0</v>
      </c>
      <c r="AF305" s="41">
        <f>M305/'1. Väestöennuste'!O305*1000</f>
        <v>0</v>
      </c>
      <c r="AG305" s="41">
        <f>N305/'1. Väestöennuste'!P305*1000</f>
        <v>0</v>
      </c>
      <c r="AH305" s="41">
        <f>O305/'1. Väestöennuste'!Q305*1000</f>
        <v>0</v>
      </c>
      <c r="AI305" s="41">
        <f>P305/'1. Väestöennuste'!R305*1000</f>
        <v>0</v>
      </c>
    </row>
    <row r="306" spans="1:35" x14ac:dyDescent="0.2">
      <c r="A306" s="30">
        <v>989</v>
      </c>
      <c r="B306" s="31" t="s">
        <v>620</v>
      </c>
      <c r="C306" s="64">
        <v>0</v>
      </c>
      <c r="D306" s="64"/>
      <c r="E306" s="64">
        <v>0</v>
      </c>
      <c r="F306" s="65">
        <v>0</v>
      </c>
      <c r="G306" s="65">
        <v>4849</v>
      </c>
      <c r="H306" s="41">
        <v>0</v>
      </c>
      <c r="I306" s="165">
        <v>0</v>
      </c>
      <c r="J306" s="41">
        <v>0</v>
      </c>
      <c r="K306" s="41">
        <v>640.17642000000001</v>
      </c>
      <c r="L306" s="41">
        <v>0</v>
      </c>
      <c r="M306" s="41">
        <v>0</v>
      </c>
      <c r="N306" s="41">
        <v>0</v>
      </c>
      <c r="O306" s="41">
        <v>0</v>
      </c>
      <c r="P306" s="41">
        <v>0</v>
      </c>
      <c r="T306" s="30">
        <v>989</v>
      </c>
      <c r="U306" s="31" t="s">
        <v>620</v>
      </c>
      <c r="V306" s="41">
        <f>C306/'1. Väestöennuste'!E306*1000</f>
        <v>0</v>
      </c>
      <c r="W306" s="41">
        <f>D306/'1. Väestöennuste'!F306*1000</f>
        <v>0</v>
      </c>
      <c r="X306" s="41">
        <f>E306/'1. Väestöennuste'!G306*1000</f>
        <v>0</v>
      </c>
      <c r="Y306" s="41">
        <f>F306/'1. Väestöennuste'!H306*1000</f>
        <v>0</v>
      </c>
      <c r="Z306" s="41">
        <f>G306/'1. Väestöennuste'!I306*1000</f>
        <v>863.42592592592598</v>
      </c>
      <c r="AA306" s="41">
        <f>H306/'1. Väestöennuste'!J306*1000</f>
        <v>0</v>
      </c>
      <c r="AB306" s="41">
        <f>I306/'1. Väestöennuste'!K306*1000</f>
        <v>0</v>
      </c>
      <c r="AC306" s="41">
        <f>J306/'1. Väestöennuste'!L306*1000</f>
        <v>0</v>
      </c>
      <c r="AD306" s="41">
        <f>K306/'1. Väestöennuste'!M306*1000</f>
        <v>120.42445823927766</v>
      </c>
      <c r="AE306" s="41">
        <f>L306/'1. Väestöennuste'!N306*1000</f>
        <v>0</v>
      </c>
      <c r="AF306" s="41">
        <f>M306/'1. Väestöennuste'!O306*1000</f>
        <v>0</v>
      </c>
      <c r="AG306" s="41">
        <f>N306/'1. Väestöennuste'!P306*1000</f>
        <v>0</v>
      </c>
      <c r="AH306" s="41">
        <f>O306/'1. Väestöennuste'!Q306*1000</f>
        <v>0</v>
      </c>
      <c r="AI306" s="41">
        <f>P306/'1. Väestöennuste'!R306*1000</f>
        <v>0</v>
      </c>
    </row>
    <row r="307" spans="1:35" x14ac:dyDescent="0.2">
      <c r="A307" s="30">
        <v>992</v>
      </c>
      <c r="B307" s="31" t="s">
        <v>621</v>
      </c>
      <c r="C307" s="64">
        <v>0</v>
      </c>
      <c r="D307" s="64"/>
      <c r="E307" s="64">
        <v>0</v>
      </c>
      <c r="F307" s="65">
        <v>0</v>
      </c>
      <c r="G307" s="65">
        <v>0</v>
      </c>
      <c r="H307" s="41">
        <v>0</v>
      </c>
      <c r="I307" s="165">
        <v>0</v>
      </c>
      <c r="J307" s="41">
        <v>0</v>
      </c>
      <c r="K307" s="41">
        <v>0</v>
      </c>
      <c r="L307" s="41">
        <v>0</v>
      </c>
      <c r="M307" s="41">
        <v>0</v>
      </c>
      <c r="N307" s="41">
        <v>0</v>
      </c>
      <c r="O307" s="41">
        <v>0</v>
      </c>
      <c r="P307" s="41">
        <v>0</v>
      </c>
      <c r="T307" s="30">
        <v>992</v>
      </c>
      <c r="U307" s="31" t="s">
        <v>621</v>
      </c>
      <c r="V307" s="41">
        <f>C307/'1. Väestöennuste'!E307*1000</f>
        <v>0</v>
      </c>
      <c r="W307" s="41">
        <f>D307/'1. Väestöennuste'!F307*1000</f>
        <v>0</v>
      </c>
      <c r="X307" s="41">
        <f>E307/'1. Väestöennuste'!G307*1000</f>
        <v>0</v>
      </c>
      <c r="Y307" s="41">
        <f>F307/'1. Väestöennuste'!H307*1000</f>
        <v>0</v>
      </c>
      <c r="Z307" s="41">
        <f>G307/'1. Väestöennuste'!I307*1000</f>
        <v>0</v>
      </c>
      <c r="AA307" s="41">
        <f>H307/'1. Väestöennuste'!J307*1000</f>
        <v>0</v>
      </c>
      <c r="AB307" s="41">
        <f>I307/'1. Väestöennuste'!K307*1000</f>
        <v>0</v>
      </c>
      <c r="AC307" s="41">
        <f>J307/'1. Väestöennuste'!L307*1000</f>
        <v>0</v>
      </c>
      <c r="AD307" s="41">
        <f>K307/'1. Väestöennuste'!M307*1000</f>
        <v>0</v>
      </c>
      <c r="AE307" s="41">
        <f>L307/'1. Väestöennuste'!N307*1000</f>
        <v>0</v>
      </c>
      <c r="AF307" s="41">
        <f>M307/'1. Väestöennuste'!O307*1000</f>
        <v>0</v>
      </c>
      <c r="AG307" s="41">
        <f>N307/'1. Väestöennuste'!P307*1000</f>
        <v>0</v>
      </c>
      <c r="AH307" s="41">
        <f>O307/'1. Väestöennuste'!Q307*1000</f>
        <v>0</v>
      </c>
      <c r="AI307" s="41">
        <f>P307/'1. Väestöennuste'!R307*1000</f>
        <v>0</v>
      </c>
    </row>
    <row r="308" spans="1:35" x14ac:dyDescent="0.2">
      <c r="A308" s="274"/>
      <c r="B308" s="274"/>
      <c r="C308" s="64"/>
      <c r="D308" s="64"/>
      <c r="E308" s="64"/>
      <c r="F308" s="65"/>
      <c r="G308" s="65"/>
      <c r="H308" s="41"/>
      <c r="I308" s="165"/>
      <c r="J308" s="41"/>
      <c r="K308" s="41"/>
      <c r="L308" s="41"/>
      <c r="M308" s="41"/>
      <c r="N308" s="41"/>
      <c r="O308" s="41"/>
      <c r="P308" s="41"/>
    </row>
    <row r="310" spans="1:35" x14ac:dyDescent="0.2">
      <c r="A310" s="30">
        <v>99</v>
      </c>
      <c r="B310" s="31" t="s">
        <v>358</v>
      </c>
      <c r="C310" s="64">
        <v>0</v>
      </c>
      <c r="D310" s="64"/>
      <c r="E310" s="64">
        <v>0</v>
      </c>
      <c r="F310" s="65">
        <v>0</v>
      </c>
      <c r="G310" s="65">
        <v>0</v>
      </c>
      <c r="H310" s="41">
        <v>0</v>
      </c>
      <c r="I310" s="165">
        <v>0</v>
      </c>
      <c r="J310" s="41">
        <v>0</v>
      </c>
      <c r="K310" s="41">
        <v>0</v>
      </c>
      <c r="L310" s="41">
        <v>0</v>
      </c>
      <c r="M310" s="41">
        <v>0</v>
      </c>
      <c r="N310" s="41">
        <v>0</v>
      </c>
      <c r="O310" s="41"/>
      <c r="P310" s="41"/>
    </row>
    <row r="311" spans="1:35" x14ac:dyDescent="0.2">
      <c r="A311" s="30">
        <v>214</v>
      </c>
      <c r="B311" s="31" t="s">
        <v>395</v>
      </c>
      <c r="C311" s="64">
        <v>0</v>
      </c>
      <c r="D311" s="64"/>
      <c r="E311" s="64">
        <v>0</v>
      </c>
      <c r="F311" s="65">
        <v>0</v>
      </c>
      <c r="G311" s="65">
        <v>0</v>
      </c>
      <c r="H311" s="41">
        <v>0</v>
      </c>
      <c r="I311" s="165">
        <v>0</v>
      </c>
      <c r="J311" s="41">
        <v>0</v>
      </c>
      <c r="K311" s="41">
        <v>0</v>
      </c>
      <c r="L311" s="41">
        <v>0</v>
      </c>
      <c r="M311" s="41">
        <v>0</v>
      </c>
      <c r="N311" s="41">
        <v>0</v>
      </c>
      <c r="O311" s="41"/>
      <c r="P311" s="41"/>
    </row>
  </sheetData>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314"/>
  <sheetViews>
    <sheetView zoomScaleNormal="100" workbookViewId="0"/>
  </sheetViews>
  <sheetFormatPr defaultRowHeight="15" x14ac:dyDescent="0.25"/>
  <cols>
    <col min="1" max="1" width="9.140625" style="29"/>
    <col min="2" max="2" width="20.5703125" style="29" bestFit="1" customWidth="1"/>
    <col min="3" max="8" width="16.28515625" bestFit="1" customWidth="1"/>
    <col min="9" max="9" width="16.28515625" style="16" bestFit="1" customWidth="1"/>
    <col min="10" max="14" width="16.28515625" bestFit="1" customWidth="1"/>
    <col min="15" max="16" width="16.28515625" style="203" customWidth="1"/>
  </cols>
  <sheetData>
    <row r="1" spans="1:16" s="4" customFormat="1" ht="11.25" x14ac:dyDescent="0.2">
      <c r="A1" s="1">
        <v>1</v>
      </c>
      <c r="B1" s="1">
        <v>2</v>
      </c>
      <c r="C1" s="1">
        <v>3</v>
      </c>
      <c r="D1" s="1">
        <v>4</v>
      </c>
      <c r="E1" s="1">
        <v>5</v>
      </c>
      <c r="F1" s="1">
        <v>6</v>
      </c>
      <c r="G1" s="1">
        <v>7</v>
      </c>
      <c r="H1" s="1">
        <v>8</v>
      </c>
      <c r="I1" s="98">
        <v>9</v>
      </c>
      <c r="J1" s="1">
        <v>10</v>
      </c>
      <c r="K1" s="1">
        <v>11</v>
      </c>
      <c r="L1" s="1">
        <v>12</v>
      </c>
      <c r="M1" s="1">
        <v>13</v>
      </c>
      <c r="N1" s="1">
        <v>14</v>
      </c>
      <c r="O1" s="1">
        <v>15</v>
      </c>
      <c r="P1" s="1">
        <v>15</v>
      </c>
    </row>
    <row r="2" spans="1:16" s="4" customFormat="1" ht="11.25" x14ac:dyDescent="0.2">
      <c r="A2" s="1" t="s">
        <v>805</v>
      </c>
      <c r="B2" s="1"/>
      <c r="I2" s="7"/>
    </row>
    <row r="3" spans="1:16" s="4" customFormat="1" ht="11.25" x14ac:dyDescent="0.2">
      <c r="A3" s="1"/>
      <c r="B3" s="1"/>
      <c r="I3" s="7"/>
    </row>
    <row r="4" spans="1:16" s="4" customFormat="1" ht="11.25" x14ac:dyDescent="0.2">
      <c r="A4" s="1"/>
      <c r="B4" s="1"/>
      <c r="I4" s="371"/>
    </row>
    <row r="5" spans="1:16" s="4" customFormat="1" ht="11.25" x14ac:dyDescent="0.2">
      <c r="A5" s="1"/>
      <c r="B5" s="1"/>
      <c r="I5" s="7"/>
    </row>
    <row r="6" spans="1:16" s="4" customFormat="1" ht="11.25" x14ac:dyDescent="0.2">
      <c r="A6" s="1"/>
      <c r="B6" s="1"/>
      <c r="I6" s="7"/>
    </row>
    <row r="7" spans="1:16" s="4" customFormat="1" ht="11.25" x14ac:dyDescent="0.2">
      <c r="A7" s="1"/>
      <c r="B7" s="1"/>
      <c r="I7" s="7"/>
    </row>
    <row r="8" spans="1:16" s="4" customFormat="1" ht="11.25" x14ac:dyDescent="0.2">
      <c r="A8" s="1" t="s">
        <v>622</v>
      </c>
      <c r="B8" s="1"/>
      <c r="C8" s="4" t="s">
        <v>323</v>
      </c>
      <c r="D8" s="4" t="s">
        <v>323</v>
      </c>
      <c r="E8" s="4" t="s">
        <v>323</v>
      </c>
      <c r="F8" s="4" t="s">
        <v>323</v>
      </c>
      <c r="G8" s="4" t="s">
        <v>323</v>
      </c>
      <c r="H8" s="4" t="s">
        <v>323</v>
      </c>
      <c r="I8" s="7" t="s">
        <v>323</v>
      </c>
      <c r="J8" s="4" t="s">
        <v>323</v>
      </c>
      <c r="K8" s="4" t="s">
        <v>323</v>
      </c>
      <c r="L8" s="4" t="s">
        <v>625</v>
      </c>
      <c r="M8" s="4" t="s">
        <v>625</v>
      </c>
      <c r="N8" s="4" t="s">
        <v>625</v>
      </c>
      <c r="O8" s="4" t="s">
        <v>625</v>
      </c>
      <c r="P8" s="4" t="s">
        <v>625</v>
      </c>
    </row>
    <row r="9" spans="1:16" s="4" customFormat="1" ht="11.25" x14ac:dyDescent="0.2">
      <c r="A9" s="106" t="s">
        <v>311</v>
      </c>
      <c r="B9" s="106"/>
      <c r="C9" s="107">
        <v>2015</v>
      </c>
      <c r="D9" s="107">
        <v>2016</v>
      </c>
      <c r="E9" s="107">
        <v>2017</v>
      </c>
      <c r="F9" s="107">
        <v>2018</v>
      </c>
      <c r="G9" s="107">
        <v>2019</v>
      </c>
      <c r="H9" s="107">
        <v>2020</v>
      </c>
      <c r="I9" s="107">
        <v>2021</v>
      </c>
      <c r="J9" s="107">
        <v>2022</v>
      </c>
      <c r="K9" s="107">
        <v>2023</v>
      </c>
      <c r="L9" s="107">
        <v>2024</v>
      </c>
      <c r="M9" s="107">
        <v>2025</v>
      </c>
      <c r="N9" s="107">
        <v>2026</v>
      </c>
      <c r="O9" s="107">
        <v>2027</v>
      </c>
      <c r="P9" s="107">
        <v>2028</v>
      </c>
    </row>
    <row r="10" spans="1:16" x14ac:dyDescent="0.25">
      <c r="A10" s="1" t="s">
        <v>623</v>
      </c>
      <c r="B10" s="1"/>
    </row>
    <row r="11" spans="1:16" ht="15.75" thickBot="1" x14ac:dyDescent="0.3">
      <c r="A11" s="43" t="s">
        <v>624</v>
      </c>
      <c r="B11" s="43"/>
      <c r="C11" s="28"/>
    </row>
    <row r="12" spans="1:16" ht="15.75" thickBot="1" x14ac:dyDescent="0.3">
      <c r="A12" s="49" t="s">
        <v>326</v>
      </c>
      <c r="B12" s="50" t="s">
        <v>327</v>
      </c>
      <c r="C12" s="77" t="s">
        <v>639</v>
      </c>
      <c r="D12" s="77" t="s">
        <v>639</v>
      </c>
      <c r="E12" s="77" t="s">
        <v>639</v>
      </c>
      <c r="F12" s="77" t="s">
        <v>639</v>
      </c>
      <c r="G12" s="77" t="s">
        <v>639</v>
      </c>
      <c r="H12" s="77" t="s">
        <v>639</v>
      </c>
      <c r="I12" s="368" t="s">
        <v>639</v>
      </c>
      <c r="J12" s="77" t="s">
        <v>639</v>
      </c>
      <c r="K12" s="77" t="s">
        <v>639</v>
      </c>
      <c r="L12" s="77" t="s">
        <v>639</v>
      </c>
      <c r="M12" s="77" t="s">
        <v>639</v>
      </c>
      <c r="N12" s="77" t="s">
        <v>639</v>
      </c>
      <c r="O12" s="77" t="s">
        <v>639</v>
      </c>
      <c r="P12" s="77" t="s">
        <v>639</v>
      </c>
    </row>
    <row r="13" spans="1:16" s="4" customFormat="1" ht="11.25" x14ac:dyDescent="0.2">
      <c r="A13" s="37">
        <v>1</v>
      </c>
      <c r="B13" s="86" t="s">
        <v>312</v>
      </c>
      <c r="C13" s="41">
        <f t="shared" ref="C13:O13" si="0">SUM(C15:C307)</f>
        <v>-593653.18920263881</v>
      </c>
      <c r="D13" s="41">
        <f t="shared" si="0"/>
        <v>-635618</v>
      </c>
      <c r="E13" s="41">
        <f t="shared" si="0"/>
        <v>-544125</v>
      </c>
      <c r="F13" s="41">
        <f t="shared" si="0"/>
        <v>-515741</v>
      </c>
      <c r="G13" s="41">
        <f t="shared" si="0"/>
        <v>-838736</v>
      </c>
      <c r="H13" s="41">
        <f t="shared" si="0"/>
        <v>-449939</v>
      </c>
      <c r="I13" s="165">
        <f t="shared" si="0"/>
        <v>-327949.61718000006</v>
      </c>
      <c r="J13" s="41">
        <f t="shared" si="0"/>
        <v>-907353.59901999938</v>
      </c>
      <c r="K13" s="41">
        <f t="shared" si="0"/>
        <v>-241779.46887999994</v>
      </c>
      <c r="L13" s="41">
        <f t="shared" si="0"/>
        <v>0</v>
      </c>
      <c r="M13" s="41">
        <f t="shared" si="0"/>
        <v>0</v>
      </c>
      <c r="N13" s="41">
        <f t="shared" si="0"/>
        <v>0</v>
      </c>
      <c r="O13" s="41">
        <f t="shared" si="0"/>
        <v>0</v>
      </c>
      <c r="P13" s="41">
        <f t="shared" ref="P13" si="1">SUM(P15:P307)</f>
        <v>0</v>
      </c>
    </row>
    <row r="14" spans="1:16" x14ac:dyDescent="0.25">
      <c r="A14" s="37"/>
      <c r="B14" s="38"/>
    </row>
    <row r="15" spans="1:16" x14ac:dyDescent="0.25">
      <c r="A15" s="30">
        <v>5</v>
      </c>
      <c r="B15" s="31" t="s">
        <v>328</v>
      </c>
      <c r="C15" s="65">
        <v>-137.96981785159016</v>
      </c>
      <c r="D15" s="65">
        <v>-145</v>
      </c>
      <c r="E15" s="65">
        <v>-103</v>
      </c>
      <c r="F15" s="65">
        <v>-58</v>
      </c>
      <c r="G15" s="41">
        <v>18</v>
      </c>
      <c r="H15" s="41">
        <v>-3</v>
      </c>
      <c r="I15" s="165">
        <v>33.53396</v>
      </c>
      <c r="J15" s="165">
        <v>-126.16727</v>
      </c>
      <c r="K15" s="41">
        <v>-50.358199999999997</v>
      </c>
      <c r="L15" s="41">
        <v>0</v>
      </c>
      <c r="M15" s="41">
        <v>0</v>
      </c>
      <c r="N15" s="41">
        <v>0</v>
      </c>
      <c r="O15" s="41">
        <v>0</v>
      </c>
      <c r="P15" s="41">
        <v>0</v>
      </c>
    </row>
    <row r="16" spans="1:16" x14ac:dyDescent="0.25">
      <c r="A16" s="30">
        <v>9</v>
      </c>
      <c r="B16" s="31" t="s">
        <v>329</v>
      </c>
      <c r="C16" s="65">
        <v>-0.99999841513608434</v>
      </c>
      <c r="D16" s="65">
        <v>3</v>
      </c>
      <c r="E16" s="65">
        <v>0</v>
      </c>
      <c r="F16" s="65">
        <v>-88</v>
      </c>
      <c r="G16" s="41">
        <v>0</v>
      </c>
      <c r="H16" s="41">
        <v>-128</v>
      </c>
      <c r="I16" s="165">
        <v>7.8595600000000001</v>
      </c>
      <c r="J16" s="165">
        <v>51.178559999999997</v>
      </c>
      <c r="K16" s="41">
        <v>0</v>
      </c>
      <c r="L16" s="41">
        <v>0</v>
      </c>
      <c r="M16" s="41">
        <v>0</v>
      </c>
      <c r="N16" s="41">
        <v>0</v>
      </c>
      <c r="O16" s="41">
        <v>0</v>
      </c>
      <c r="P16" s="41">
        <v>0</v>
      </c>
    </row>
    <row r="17" spans="1:16" x14ac:dyDescent="0.25">
      <c r="A17" s="30">
        <v>10</v>
      </c>
      <c r="B17" s="31" t="s">
        <v>330</v>
      </c>
      <c r="C17" s="65">
        <v>-107.98151414728774</v>
      </c>
      <c r="D17" s="65">
        <v>-262</v>
      </c>
      <c r="E17" s="65">
        <v>-35</v>
      </c>
      <c r="F17" s="65">
        <v>-214</v>
      </c>
      <c r="G17" s="41">
        <v>-9332</v>
      </c>
      <c r="H17" s="41">
        <v>-146</v>
      </c>
      <c r="I17" s="165">
        <v>-142.76494000000002</v>
      </c>
      <c r="J17" s="165">
        <v>-263.19997999999998</v>
      </c>
      <c r="K17" s="41">
        <v>168.77163000000002</v>
      </c>
      <c r="L17" s="41">
        <v>0</v>
      </c>
      <c r="M17" s="41">
        <v>0</v>
      </c>
      <c r="N17" s="41">
        <v>0</v>
      </c>
      <c r="O17" s="41">
        <v>0</v>
      </c>
      <c r="P17" s="41">
        <v>0</v>
      </c>
    </row>
    <row r="18" spans="1:16" x14ac:dyDescent="0.25">
      <c r="A18" s="30">
        <v>16</v>
      </c>
      <c r="B18" s="31" t="s">
        <v>331</v>
      </c>
      <c r="C18" s="65">
        <v>-41.997204300052779</v>
      </c>
      <c r="D18" s="65">
        <v>-97</v>
      </c>
      <c r="E18" s="65">
        <v>-453</v>
      </c>
      <c r="F18" s="65">
        <v>-108</v>
      </c>
      <c r="G18" s="41">
        <v>-103</v>
      </c>
      <c r="H18" s="41">
        <v>-52</v>
      </c>
      <c r="I18" s="165">
        <v>229.00408999999999</v>
      </c>
      <c r="J18" s="165">
        <v>-317.17334000000005</v>
      </c>
      <c r="K18" s="41">
        <v>692.54912999999999</v>
      </c>
      <c r="L18" s="41">
        <v>0</v>
      </c>
      <c r="M18" s="41">
        <v>0</v>
      </c>
      <c r="N18" s="41">
        <v>0</v>
      </c>
      <c r="O18" s="41">
        <v>0</v>
      </c>
      <c r="P18" s="41">
        <v>0</v>
      </c>
    </row>
    <row r="19" spans="1:16" x14ac:dyDescent="0.25">
      <c r="A19" s="30">
        <v>18</v>
      </c>
      <c r="B19" s="31" t="s">
        <v>332</v>
      </c>
      <c r="C19" s="65">
        <v>-177.94978517169622</v>
      </c>
      <c r="D19" s="65">
        <v>-153</v>
      </c>
      <c r="E19" s="65">
        <v>-185</v>
      </c>
      <c r="F19" s="65">
        <v>-65</v>
      </c>
      <c r="G19" s="41">
        <v>-88</v>
      </c>
      <c r="H19" s="41">
        <v>-27</v>
      </c>
      <c r="I19" s="165">
        <v>-197.08099999999999</v>
      </c>
      <c r="J19" s="165">
        <v>-96.792500000000004</v>
      </c>
      <c r="K19" s="41">
        <v>-83.680019999999999</v>
      </c>
      <c r="L19" s="41">
        <v>0</v>
      </c>
      <c r="M19" s="41">
        <v>0</v>
      </c>
      <c r="N19" s="41">
        <v>0</v>
      </c>
      <c r="O19" s="41">
        <v>0</v>
      </c>
      <c r="P19" s="41">
        <v>0</v>
      </c>
    </row>
    <row r="20" spans="1:16" x14ac:dyDescent="0.25">
      <c r="A20" s="30">
        <v>19</v>
      </c>
      <c r="B20" s="31" t="s">
        <v>333</v>
      </c>
      <c r="C20" s="65">
        <v>-97.984778966953996</v>
      </c>
      <c r="D20" s="65">
        <v>-7</v>
      </c>
      <c r="E20" s="65">
        <v>33</v>
      </c>
      <c r="F20" s="65">
        <v>-176</v>
      </c>
      <c r="G20" s="41">
        <v>137</v>
      </c>
      <c r="H20" s="41">
        <v>-248</v>
      </c>
      <c r="I20" s="165">
        <v>-77.900869999999998</v>
      </c>
      <c r="J20" s="165">
        <v>-22.209949999999999</v>
      </c>
      <c r="K20" s="41">
        <v>-94.302429999999987</v>
      </c>
      <c r="L20" s="41">
        <v>0</v>
      </c>
      <c r="M20" s="41">
        <v>0</v>
      </c>
      <c r="N20" s="41">
        <v>0</v>
      </c>
      <c r="O20" s="41">
        <v>0</v>
      </c>
      <c r="P20" s="41">
        <v>0</v>
      </c>
    </row>
    <row r="21" spans="1:16" x14ac:dyDescent="0.25">
      <c r="A21" s="30">
        <v>20</v>
      </c>
      <c r="B21" s="31" t="s">
        <v>334</v>
      </c>
      <c r="C21" s="65">
        <v>-1028.3186178718765</v>
      </c>
      <c r="D21" s="65">
        <v>-165</v>
      </c>
      <c r="E21" s="65">
        <v>-795</v>
      </c>
      <c r="F21" s="65">
        <v>-296</v>
      </c>
      <c r="G21" s="41">
        <v>-149</v>
      </c>
      <c r="H21" s="41">
        <v>-4649</v>
      </c>
      <c r="I21" s="165">
        <v>-246.08317000000002</v>
      </c>
      <c r="J21" s="165">
        <v>-440.29674</v>
      </c>
      <c r="K21" s="41">
        <v>-107.25566999999999</v>
      </c>
      <c r="L21" s="41">
        <v>0</v>
      </c>
      <c r="M21" s="41">
        <v>0</v>
      </c>
      <c r="N21" s="41">
        <v>0</v>
      </c>
      <c r="O21" s="41">
        <v>0</v>
      </c>
      <c r="P21" s="41">
        <v>0</v>
      </c>
    </row>
    <row r="22" spans="1:16" x14ac:dyDescent="0.25">
      <c r="A22" s="30">
        <v>46</v>
      </c>
      <c r="B22" s="31" t="s">
        <v>335</v>
      </c>
      <c r="C22" s="65">
        <v>-0.99999841513608434</v>
      </c>
      <c r="D22" s="65">
        <v>-1</v>
      </c>
      <c r="E22" s="65">
        <v>-293</v>
      </c>
      <c r="F22" s="65">
        <v>0</v>
      </c>
      <c r="G22" s="41">
        <v>0</v>
      </c>
      <c r="H22" s="41">
        <v>-69</v>
      </c>
      <c r="I22" s="165">
        <v>-17.811520000000002</v>
      </c>
      <c r="J22" s="165">
        <v>0</v>
      </c>
      <c r="K22" s="41">
        <v>-4.7580600000000004</v>
      </c>
      <c r="L22" s="41">
        <v>0</v>
      </c>
      <c r="M22" s="41">
        <v>0</v>
      </c>
      <c r="N22" s="41">
        <v>0</v>
      </c>
      <c r="O22" s="41">
        <v>0</v>
      </c>
      <c r="P22" s="41">
        <v>0</v>
      </c>
    </row>
    <row r="23" spans="1:16" x14ac:dyDescent="0.25">
      <c r="A23" s="30">
        <v>47</v>
      </c>
      <c r="B23" s="31" t="s">
        <v>336</v>
      </c>
      <c r="C23" s="65">
        <v>0</v>
      </c>
      <c r="D23" s="65">
        <v>0</v>
      </c>
      <c r="E23" s="65">
        <v>0</v>
      </c>
      <c r="F23" s="65">
        <v>-48</v>
      </c>
      <c r="G23" s="41">
        <v>-74</v>
      </c>
      <c r="H23" s="41">
        <v>-129</v>
      </c>
      <c r="I23" s="165">
        <v>-8276.8117300000013</v>
      </c>
      <c r="J23" s="165">
        <v>-429.40585999999996</v>
      </c>
      <c r="K23" s="41">
        <v>-207.76123999999999</v>
      </c>
      <c r="L23" s="41">
        <v>0</v>
      </c>
      <c r="M23" s="41">
        <v>0</v>
      </c>
      <c r="N23" s="41">
        <v>0</v>
      </c>
      <c r="O23" s="41">
        <v>0</v>
      </c>
      <c r="P23" s="41">
        <v>0</v>
      </c>
    </row>
    <row r="24" spans="1:16" x14ac:dyDescent="0.25">
      <c r="A24" s="30">
        <v>49</v>
      </c>
      <c r="B24" s="31" t="s">
        <v>337</v>
      </c>
      <c r="C24" s="65">
        <v>-32863.761655485454</v>
      </c>
      <c r="D24" s="65">
        <v>-37572</v>
      </c>
      <c r="E24" s="65">
        <v>-26787</v>
      </c>
      <c r="F24" s="65">
        <v>-62079</v>
      </c>
      <c r="G24" s="41">
        <v>-85589</v>
      </c>
      <c r="H24" s="41">
        <v>-68980</v>
      </c>
      <c r="I24" s="165">
        <v>-49441.897749999996</v>
      </c>
      <c r="J24" s="165">
        <v>-159850.39171</v>
      </c>
      <c r="K24" s="41">
        <v>-75285.86348</v>
      </c>
      <c r="L24" s="41">
        <v>0</v>
      </c>
      <c r="M24" s="41">
        <v>0</v>
      </c>
      <c r="N24" s="41">
        <v>0</v>
      </c>
      <c r="O24" s="41">
        <v>0</v>
      </c>
      <c r="P24" s="41">
        <v>0</v>
      </c>
    </row>
    <row r="25" spans="1:16" x14ac:dyDescent="0.25">
      <c r="A25" s="30">
        <v>50</v>
      </c>
      <c r="B25" s="31" t="s">
        <v>338</v>
      </c>
      <c r="C25" s="65">
        <v>-110.98047289169516</v>
      </c>
      <c r="D25" s="65">
        <v>-149</v>
      </c>
      <c r="E25" s="65">
        <v>-472</v>
      </c>
      <c r="F25" s="65">
        <v>-376</v>
      </c>
      <c r="G25" s="41">
        <v>-104</v>
      </c>
      <c r="H25" s="41">
        <v>0</v>
      </c>
      <c r="I25" s="165">
        <v>-571.90489000000002</v>
      </c>
      <c r="J25" s="165">
        <v>188.76820000000001</v>
      </c>
      <c r="K25" s="41">
        <v>-126.67223</v>
      </c>
      <c r="L25" s="41">
        <v>0</v>
      </c>
      <c r="M25" s="41">
        <v>0</v>
      </c>
      <c r="N25" s="41">
        <v>0</v>
      </c>
      <c r="O25" s="41">
        <v>0</v>
      </c>
      <c r="P25" s="41">
        <v>0</v>
      </c>
    </row>
    <row r="26" spans="1:16" x14ac:dyDescent="0.25">
      <c r="A26" s="30">
        <v>51</v>
      </c>
      <c r="B26" s="31" t="s">
        <v>339</v>
      </c>
      <c r="C26" s="65">
        <v>-0.99999841513608434</v>
      </c>
      <c r="D26" s="65">
        <v>-29</v>
      </c>
      <c r="E26" s="65">
        <v>0</v>
      </c>
      <c r="F26" s="65">
        <v>0</v>
      </c>
      <c r="G26" s="41">
        <v>0</v>
      </c>
      <c r="H26" s="41">
        <v>-87</v>
      </c>
      <c r="I26" s="165">
        <v>123.48305999999999</v>
      </c>
      <c r="J26" s="165">
        <v>0</v>
      </c>
      <c r="K26" s="41">
        <v>0</v>
      </c>
      <c r="L26" s="41">
        <v>0</v>
      </c>
      <c r="M26" s="41">
        <v>0</v>
      </c>
      <c r="N26" s="41">
        <v>0</v>
      </c>
      <c r="O26" s="41">
        <v>0</v>
      </c>
      <c r="P26" s="41">
        <v>0</v>
      </c>
    </row>
    <row r="27" spans="1:16" x14ac:dyDescent="0.25">
      <c r="A27" s="30">
        <v>52</v>
      </c>
      <c r="B27" s="31" t="s">
        <v>340</v>
      </c>
      <c r="C27" s="65">
        <v>-10.999808231466206</v>
      </c>
      <c r="D27" s="65">
        <v>0</v>
      </c>
      <c r="E27" s="65">
        <v>0</v>
      </c>
      <c r="F27" s="65">
        <v>-65</v>
      </c>
      <c r="G27" s="41">
        <v>-5</v>
      </c>
      <c r="H27" s="41">
        <v>0</v>
      </c>
      <c r="I27" s="165">
        <v>-34.517000000000003</v>
      </c>
      <c r="J27" s="165">
        <v>0</v>
      </c>
      <c r="K27" s="41">
        <v>6.15923</v>
      </c>
      <c r="L27" s="41">
        <v>0</v>
      </c>
      <c r="M27" s="41">
        <v>0</v>
      </c>
      <c r="N27" s="41">
        <v>0</v>
      </c>
      <c r="O27" s="41">
        <v>0</v>
      </c>
      <c r="P27" s="41">
        <v>0</v>
      </c>
    </row>
    <row r="28" spans="1:16" x14ac:dyDescent="0.25">
      <c r="A28" s="30">
        <v>61</v>
      </c>
      <c r="B28" s="31" t="s">
        <v>341</v>
      </c>
      <c r="C28" s="65">
        <v>634.63704556008304</v>
      </c>
      <c r="D28" s="65">
        <v>-1668</v>
      </c>
      <c r="E28" s="65">
        <v>-1999</v>
      </c>
      <c r="F28" s="65">
        <v>-3716</v>
      </c>
      <c r="G28" s="41">
        <v>-1523</v>
      </c>
      <c r="H28" s="41">
        <v>-1085</v>
      </c>
      <c r="I28" s="165">
        <v>-56.400320000000001</v>
      </c>
      <c r="J28" s="165">
        <v>-31.754429999999999</v>
      </c>
      <c r="K28" s="41">
        <v>-79.189990000000009</v>
      </c>
      <c r="L28" s="41">
        <v>0</v>
      </c>
      <c r="M28" s="41">
        <v>0</v>
      </c>
      <c r="N28" s="41">
        <v>0</v>
      </c>
      <c r="O28" s="41">
        <v>0</v>
      </c>
      <c r="P28" s="41">
        <v>0</v>
      </c>
    </row>
    <row r="29" spans="1:16" x14ac:dyDescent="0.25">
      <c r="A29" s="30">
        <v>69</v>
      </c>
      <c r="B29" s="31" t="s">
        <v>342</v>
      </c>
      <c r="C29" s="65">
        <v>-57.994668517787723</v>
      </c>
      <c r="D29" s="65">
        <v>119</v>
      </c>
      <c r="E29" s="65">
        <v>-41</v>
      </c>
      <c r="F29" s="65">
        <v>-6</v>
      </c>
      <c r="G29" s="41">
        <v>-189</v>
      </c>
      <c r="H29" s="41">
        <v>-533</v>
      </c>
      <c r="I29" s="165">
        <v>226.99814999999998</v>
      </c>
      <c r="J29" s="165">
        <v>-180.61082999999999</v>
      </c>
      <c r="K29" s="41">
        <v>-114.80219</v>
      </c>
      <c r="L29" s="41">
        <v>0</v>
      </c>
      <c r="M29" s="41">
        <v>0</v>
      </c>
      <c r="N29" s="41">
        <v>0</v>
      </c>
      <c r="O29" s="41">
        <v>0</v>
      </c>
      <c r="P29" s="41">
        <v>0</v>
      </c>
    </row>
    <row r="30" spans="1:16" x14ac:dyDescent="0.25">
      <c r="A30" s="30">
        <v>71</v>
      </c>
      <c r="B30" s="31" t="s">
        <v>343</v>
      </c>
      <c r="C30" s="65">
        <v>8.0001014312906022</v>
      </c>
      <c r="D30" s="65">
        <v>92</v>
      </c>
      <c r="E30" s="65">
        <v>-198</v>
      </c>
      <c r="F30" s="65">
        <v>0</v>
      </c>
      <c r="G30" s="41">
        <v>-28</v>
      </c>
      <c r="H30" s="41">
        <v>-525</v>
      </c>
      <c r="I30" s="165">
        <v>-9.5912900000000008</v>
      </c>
      <c r="J30" s="165">
        <v>99.70635</v>
      </c>
      <c r="K30" s="41">
        <v>-26.250049999999998</v>
      </c>
      <c r="L30" s="41">
        <v>0</v>
      </c>
      <c r="M30" s="41">
        <v>0</v>
      </c>
      <c r="N30" s="41">
        <v>0</v>
      </c>
      <c r="O30" s="41">
        <v>0</v>
      </c>
      <c r="P30" s="41">
        <v>0</v>
      </c>
    </row>
    <row r="31" spans="1:16" x14ac:dyDescent="0.25">
      <c r="A31" s="30">
        <v>72</v>
      </c>
      <c r="B31" s="31" t="s">
        <v>344</v>
      </c>
      <c r="C31" s="65">
        <v>19.000572135873554</v>
      </c>
      <c r="D31" s="65">
        <v>-30</v>
      </c>
      <c r="E31" s="65">
        <v>-85</v>
      </c>
      <c r="F31" s="65">
        <v>-115</v>
      </c>
      <c r="G31" s="41">
        <v>-4</v>
      </c>
      <c r="H31" s="41">
        <v>0</v>
      </c>
      <c r="I31" s="165">
        <v>-59.568460000000002</v>
      </c>
      <c r="J31" s="165">
        <v>-114.76613</v>
      </c>
      <c r="K31" s="41">
        <v>0</v>
      </c>
      <c r="L31" s="41">
        <v>0</v>
      </c>
      <c r="M31" s="41">
        <v>0</v>
      </c>
      <c r="N31" s="41">
        <v>0</v>
      </c>
      <c r="O31" s="41">
        <v>0</v>
      </c>
      <c r="P31" s="41">
        <v>0</v>
      </c>
    </row>
    <row r="32" spans="1:16" x14ac:dyDescent="0.25">
      <c r="A32" s="30">
        <v>74</v>
      </c>
      <c r="B32" s="31" t="s">
        <v>345</v>
      </c>
      <c r="C32" s="65">
        <v>0</v>
      </c>
      <c r="D32" s="65">
        <v>-28</v>
      </c>
      <c r="E32" s="65">
        <v>-26</v>
      </c>
      <c r="F32" s="65">
        <v>-181</v>
      </c>
      <c r="G32" s="41">
        <v>-70</v>
      </c>
      <c r="H32" s="41">
        <v>-6</v>
      </c>
      <c r="I32" s="165">
        <v>-0.89437999999999995</v>
      </c>
      <c r="J32" s="165">
        <v>-15.975</v>
      </c>
      <c r="K32" s="41">
        <v>-11.5</v>
      </c>
      <c r="L32" s="41">
        <v>0</v>
      </c>
      <c r="M32" s="41">
        <v>0</v>
      </c>
      <c r="N32" s="41">
        <v>0</v>
      </c>
      <c r="O32" s="41">
        <v>0</v>
      </c>
      <c r="P32" s="41">
        <v>0</v>
      </c>
    </row>
    <row r="33" spans="1:16" x14ac:dyDescent="0.25">
      <c r="A33" s="30">
        <v>75</v>
      </c>
      <c r="B33" s="31" t="s">
        <v>346</v>
      </c>
      <c r="C33" s="65">
        <v>1087.8691821626735</v>
      </c>
      <c r="D33" s="65">
        <v>-83</v>
      </c>
      <c r="E33" s="65">
        <v>-1658</v>
      </c>
      <c r="F33" s="65">
        <v>118</v>
      </c>
      <c r="G33" s="41">
        <v>-409</v>
      </c>
      <c r="H33" s="41">
        <v>3487</v>
      </c>
      <c r="I33" s="165">
        <v>2741.1573100000001</v>
      </c>
      <c r="J33" s="165">
        <v>-8920.9177</v>
      </c>
      <c r="K33" s="41">
        <v>-246.09800000000001</v>
      </c>
      <c r="L33" s="41">
        <v>0</v>
      </c>
      <c r="M33" s="41">
        <v>0</v>
      </c>
      <c r="N33" s="41">
        <v>0</v>
      </c>
      <c r="O33" s="41">
        <v>0</v>
      </c>
      <c r="P33" s="41">
        <v>0</v>
      </c>
    </row>
    <row r="34" spans="1:16" x14ac:dyDescent="0.25">
      <c r="A34" s="30">
        <v>77</v>
      </c>
      <c r="B34" s="31" t="s">
        <v>347</v>
      </c>
      <c r="C34" s="65">
        <v>-102.98318617871877</v>
      </c>
      <c r="D34" s="65">
        <v>-21</v>
      </c>
      <c r="E34" s="65">
        <v>-281</v>
      </c>
      <c r="F34" s="65">
        <v>-1307</v>
      </c>
      <c r="G34" s="41">
        <v>27</v>
      </c>
      <c r="H34" s="41">
        <v>-846</v>
      </c>
      <c r="I34" s="165">
        <v>848.12409000000002</v>
      </c>
      <c r="J34" s="165">
        <v>-356.49097999999998</v>
      </c>
      <c r="K34" s="41">
        <v>14.40882</v>
      </c>
      <c r="L34" s="41">
        <v>0</v>
      </c>
      <c r="M34" s="41">
        <v>0</v>
      </c>
      <c r="N34" s="41">
        <v>0</v>
      </c>
      <c r="O34" s="41">
        <v>0</v>
      </c>
      <c r="P34" s="41">
        <v>0</v>
      </c>
    </row>
    <row r="35" spans="1:16" x14ac:dyDescent="0.25">
      <c r="A35" s="30">
        <v>78</v>
      </c>
      <c r="B35" s="31" t="s">
        <v>348</v>
      </c>
      <c r="C35" s="65">
        <v>-19952.682990764999</v>
      </c>
      <c r="D35" s="65">
        <v>-453</v>
      </c>
      <c r="E35" s="65">
        <v>-1784</v>
      </c>
      <c r="F35" s="65">
        <v>-414</v>
      </c>
      <c r="G35" s="41">
        <v>-108</v>
      </c>
      <c r="H35" s="41">
        <v>-1915</v>
      </c>
      <c r="I35" s="165">
        <v>-1464.6689199999998</v>
      </c>
      <c r="J35" s="165">
        <v>-275.17775</v>
      </c>
      <c r="K35" s="41">
        <v>-736.57087000000001</v>
      </c>
      <c r="L35" s="41">
        <v>0</v>
      </c>
      <c r="M35" s="41">
        <v>0</v>
      </c>
      <c r="N35" s="41">
        <v>0</v>
      </c>
      <c r="O35" s="41">
        <v>0</v>
      </c>
      <c r="P35" s="41">
        <v>0</v>
      </c>
    </row>
    <row r="36" spans="1:16" x14ac:dyDescent="0.25">
      <c r="A36" s="30">
        <v>79</v>
      </c>
      <c r="B36" s="31" t="s">
        <v>349</v>
      </c>
      <c r="C36" s="65">
        <v>-1319.2301586924239</v>
      </c>
      <c r="D36" s="65">
        <v>-222</v>
      </c>
      <c r="E36" s="65">
        <v>-68</v>
      </c>
      <c r="F36" s="65">
        <v>-47</v>
      </c>
      <c r="G36" s="41">
        <v>-103</v>
      </c>
      <c r="H36" s="41">
        <v>-74</v>
      </c>
      <c r="I36" s="165">
        <v>-145.97501</v>
      </c>
      <c r="J36" s="165">
        <v>-162.52097000000001</v>
      </c>
      <c r="K36" s="41">
        <v>-45.13682</v>
      </c>
      <c r="L36" s="41">
        <v>0</v>
      </c>
      <c r="M36" s="41">
        <v>0</v>
      </c>
      <c r="N36" s="41">
        <v>0</v>
      </c>
      <c r="O36" s="41">
        <v>0</v>
      </c>
      <c r="P36" s="41">
        <v>0</v>
      </c>
    </row>
    <row r="37" spans="1:16" x14ac:dyDescent="0.25">
      <c r="A37" s="30">
        <v>81</v>
      </c>
      <c r="B37" s="31" t="s">
        <v>350</v>
      </c>
      <c r="C37" s="65">
        <v>-81.989343375031098</v>
      </c>
      <c r="D37" s="65">
        <v>-84</v>
      </c>
      <c r="E37" s="65">
        <v>-64</v>
      </c>
      <c r="F37" s="65">
        <v>86</v>
      </c>
      <c r="G37" s="41">
        <v>-1</v>
      </c>
      <c r="H37" s="41">
        <v>-19</v>
      </c>
      <c r="I37" s="165">
        <v>124.78036999999999</v>
      </c>
      <c r="J37" s="165">
        <v>-163.90225000000001</v>
      </c>
      <c r="K37" s="41">
        <v>-4.5242700000000005</v>
      </c>
      <c r="L37" s="41">
        <v>0</v>
      </c>
      <c r="M37" s="41">
        <v>0</v>
      </c>
      <c r="N37" s="41">
        <v>0</v>
      </c>
      <c r="O37" s="41">
        <v>0</v>
      </c>
      <c r="P37" s="41">
        <v>0</v>
      </c>
    </row>
    <row r="38" spans="1:16" x14ac:dyDescent="0.25">
      <c r="A38" s="30">
        <v>82</v>
      </c>
      <c r="B38" s="31" t="s">
        <v>351</v>
      </c>
      <c r="C38" s="65">
        <v>-328.82845274490506</v>
      </c>
      <c r="D38" s="65">
        <v>-49</v>
      </c>
      <c r="E38" s="65">
        <v>-947</v>
      </c>
      <c r="F38" s="65">
        <v>-597</v>
      </c>
      <c r="G38" s="41">
        <v>29</v>
      </c>
      <c r="H38" s="41">
        <v>-305</v>
      </c>
      <c r="I38" s="165">
        <v>-25.839929999999999</v>
      </c>
      <c r="J38" s="165">
        <v>-1428.4042899999999</v>
      </c>
      <c r="K38" s="41">
        <v>-54.786670000000001</v>
      </c>
      <c r="L38" s="41">
        <v>0</v>
      </c>
      <c r="M38" s="41">
        <v>0</v>
      </c>
      <c r="N38" s="41">
        <v>0</v>
      </c>
      <c r="O38" s="41">
        <v>0</v>
      </c>
      <c r="P38" s="41">
        <v>0</v>
      </c>
    </row>
    <row r="39" spans="1:16" x14ac:dyDescent="0.25">
      <c r="A39" s="30">
        <v>86</v>
      </c>
      <c r="B39" s="31" t="s">
        <v>352</v>
      </c>
      <c r="C39" s="65">
        <v>-24.999009460052712</v>
      </c>
      <c r="D39" s="65">
        <v>-717</v>
      </c>
      <c r="E39" s="65">
        <v>-799</v>
      </c>
      <c r="F39" s="65">
        <v>-356</v>
      </c>
      <c r="G39" s="41">
        <v>-267</v>
      </c>
      <c r="H39" s="41">
        <v>-152</v>
      </c>
      <c r="I39" s="165">
        <v>-24.350990000000007</v>
      </c>
      <c r="J39" s="165">
        <v>-240.67742999999999</v>
      </c>
      <c r="K39" s="41">
        <v>465.43180000000001</v>
      </c>
      <c r="L39" s="41">
        <v>0</v>
      </c>
      <c r="M39" s="41">
        <v>0</v>
      </c>
      <c r="N39" s="41">
        <v>0</v>
      </c>
      <c r="O39" s="41">
        <v>0</v>
      </c>
      <c r="P39" s="41">
        <v>0</v>
      </c>
    </row>
    <row r="40" spans="1:16" x14ac:dyDescent="0.25">
      <c r="A40" s="30">
        <v>90</v>
      </c>
      <c r="B40" s="31" t="s">
        <v>353</v>
      </c>
      <c r="C40" s="65">
        <v>-3.9999746421773494</v>
      </c>
      <c r="D40" s="65">
        <v>-29</v>
      </c>
      <c r="E40" s="65">
        <v>189</v>
      </c>
      <c r="F40" s="65">
        <v>-205</v>
      </c>
      <c r="G40" s="41">
        <v>0</v>
      </c>
      <c r="H40" s="41">
        <v>-303</v>
      </c>
      <c r="I40" s="165">
        <v>114.67571</v>
      </c>
      <c r="J40" s="165">
        <v>48.805169999999997</v>
      </c>
      <c r="K40" s="41">
        <v>-119.65283000000001</v>
      </c>
      <c r="L40" s="41">
        <v>0</v>
      </c>
      <c r="M40" s="41">
        <v>0</v>
      </c>
      <c r="N40" s="41">
        <v>0</v>
      </c>
      <c r="O40" s="41">
        <v>0</v>
      </c>
      <c r="P40" s="41">
        <v>0</v>
      </c>
    </row>
    <row r="41" spans="1:16" x14ac:dyDescent="0.25">
      <c r="A41" s="30">
        <v>91</v>
      </c>
      <c r="B41" s="31" t="s">
        <v>354</v>
      </c>
      <c r="C41" s="65">
        <v>-82899.557585237941</v>
      </c>
      <c r="D41" s="65">
        <v>-251476</v>
      </c>
      <c r="E41" s="65">
        <v>-173704</v>
      </c>
      <c r="F41" s="65">
        <v>-107180</v>
      </c>
      <c r="G41" s="41">
        <v>-190198</v>
      </c>
      <c r="H41" s="41">
        <v>-143568</v>
      </c>
      <c r="I41" s="165">
        <v>-55521.819590000006</v>
      </c>
      <c r="J41" s="165">
        <v>-80814.926330000002</v>
      </c>
      <c r="K41" s="41">
        <v>-18263.71718</v>
      </c>
      <c r="L41" s="41">
        <v>0</v>
      </c>
      <c r="M41" s="41">
        <v>0</v>
      </c>
      <c r="N41" s="41">
        <v>0</v>
      </c>
      <c r="O41" s="41">
        <v>0</v>
      </c>
      <c r="P41" s="41">
        <v>0</v>
      </c>
    </row>
    <row r="42" spans="1:16" x14ac:dyDescent="0.25">
      <c r="A42" s="30">
        <v>92</v>
      </c>
      <c r="B42" s="31" t="s">
        <v>355</v>
      </c>
      <c r="C42" s="65">
        <v>-35640.202529759779</v>
      </c>
      <c r="D42" s="65">
        <v>-48886</v>
      </c>
      <c r="E42" s="65">
        <v>-40528</v>
      </c>
      <c r="F42" s="65">
        <v>-40891</v>
      </c>
      <c r="G42" s="41">
        <v>-16813</v>
      </c>
      <c r="H42" s="41">
        <v>-31431</v>
      </c>
      <c r="I42" s="165">
        <v>-46284.951559999994</v>
      </c>
      <c r="J42" s="165">
        <v>-46352.786090000001</v>
      </c>
      <c r="K42" s="41">
        <v>-10571.095869999999</v>
      </c>
      <c r="L42" s="41">
        <v>0</v>
      </c>
      <c r="M42" s="41">
        <v>0</v>
      </c>
      <c r="N42" s="41">
        <v>0</v>
      </c>
      <c r="O42" s="41">
        <v>0</v>
      </c>
      <c r="P42" s="41">
        <v>0</v>
      </c>
    </row>
    <row r="43" spans="1:16" x14ac:dyDescent="0.25">
      <c r="A43" s="30">
        <v>97</v>
      </c>
      <c r="B43" s="31" t="s">
        <v>356</v>
      </c>
      <c r="C43" s="65">
        <v>-439.69317034592825</v>
      </c>
      <c r="D43" s="65">
        <v>-23</v>
      </c>
      <c r="E43" s="65">
        <v>-88</v>
      </c>
      <c r="F43" s="65">
        <v>-136</v>
      </c>
      <c r="G43" s="41">
        <v>-981</v>
      </c>
      <c r="H43" s="41">
        <v>0</v>
      </c>
      <c r="I43" s="165">
        <v>743.08778000000007</v>
      </c>
      <c r="J43" s="165">
        <v>1006.7425500000001</v>
      </c>
      <c r="K43" s="41">
        <v>-1031.0389499999999</v>
      </c>
      <c r="L43" s="41">
        <v>0</v>
      </c>
      <c r="M43" s="41">
        <v>0</v>
      </c>
      <c r="N43" s="41">
        <v>0</v>
      </c>
      <c r="O43" s="41">
        <v>0</v>
      </c>
      <c r="P43" s="41">
        <v>0</v>
      </c>
    </row>
    <row r="44" spans="1:16" x14ac:dyDescent="0.25">
      <c r="A44" s="30">
        <v>98</v>
      </c>
      <c r="B44" s="31" t="s">
        <v>357</v>
      </c>
      <c r="C44" s="65">
        <v>-2065.1958875951118</v>
      </c>
      <c r="D44" s="65">
        <v>-407</v>
      </c>
      <c r="E44" s="65">
        <v>-397</v>
      </c>
      <c r="F44" s="65">
        <v>-949</v>
      </c>
      <c r="G44" s="41">
        <v>-620</v>
      </c>
      <c r="H44" s="41">
        <v>-94</v>
      </c>
      <c r="I44" s="165">
        <v>-1580.6546199999998</v>
      </c>
      <c r="J44" s="165">
        <v>-384.66084000000001</v>
      </c>
      <c r="K44" s="41">
        <v>-629.68242000000009</v>
      </c>
      <c r="L44" s="41">
        <v>0</v>
      </c>
      <c r="M44" s="41">
        <v>0</v>
      </c>
      <c r="N44" s="41">
        <v>0</v>
      </c>
      <c r="O44" s="41">
        <v>0</v>
      </c>
      <c r="P44" s="41">
        <v>0</v>
      </c>
    </row>
    <row r="45" spans="1:16" x14ac:dyDescent="0.25">
      <c r="A45" s="30">
        <v>102</v>
      </c>
      <c r="B45" s="31" t="s">
        <v>359</v>
      </c>
      <c r="C45" s="65">
        <v>-136.97025368916698</v>
      </c>
      <c r="D45" s="65">
        <v>-321</v>
      </c>
      <c r="E45" s="65">
        <v>-135</v>
      </c>
      <c r="F45" s="65">
        <v>-440</v>
      </c>
      <c r="G45" s="41">
        <v>-14</v>
      </c>
      <c r="H45" s="41">
        <v>-226</v>
      </c>
      <c r="I45" s="165">
        <v>-87.881219999999999</v>
      </c>
      <c r="J45" s="165">
        <v>-4185.0903500000004</v>
      </c>
      <c r="K45" s="41">
        <v>-251.07867999999999</v>
      </c>
      <c r="L45" s="41">
        <v>0</v>
      </c>
      <c r="M45" s="41">
        <v>0</v>
      </c>
      <c r="N45" s="41">
        <v>0</v>
      </c>
      <c r="O45" s="41">
        <v>0</v>
      </c>
      <c r="P45" s="41">
        <v>0</v>
      </c>
    </row>
    <row r="46" spans="1:16" x14ac:dyDescent="0.25">
      <c r="A46" s="30">
        <v>103</v>
      </c>
      <c r="B46" s="31" t="s">
        <v>360</v>
      </c>
      <c r="C46" s="65">
        <v>-45.996646427954467</v>
      </c>
      <c r="D46" s="65">
        <v>11</v>
      </c>
      <c r="E46" s="65">
        <v>-23</v>
      </c>
      <c r="F46" s="65">
        <v>-21</v>
      </c>
      <c r="G46" s="41">
        <v>5</v>
      </c>
      <c r="H46" s="41">
        <v>-21</v>
      </c>
      <c r="I46" s="165">
        <v>245.25145999999998</v>
      </c>
      <c r="J46" s="165">
        <v>-42.512370000000004</v>
      </c>
      <c r="K46" s="41">
        <v>0</v>
      </c>
      <c r="L46" s="41">
        <v>0</v>
      </c>
      <c r="M46" s="41">
        <v>0</v>
      </c>
      <c r="N46" s="41">
        <v>0</v>
      </c>
      <c r="O46" s="41">
        <v>0</v>
      </c>
      <c r="P46" s="41">
        <v>0</v>
      </c>
    </row>
    <row r="47" spans="1:16" x14ac:dyDescent="0.25">
      <c r="A47" s="30">
        <v>105</v>
      </c>
      <c r="B47" s="31" t="s">
        <v>361</v>
      </c>
      <c r="C47" s="65">
        <v>-22.999161606988615</v>
      </c>
      <c r="D47" s="65">
        <v>-25</v>
      </c>
      <c r="E47" s="65">
        <v>0</v>
      </c>
      <c r="F47" s="65">
        <v>5</v>
      </c>
      <c r="G47" s="41">
        <v>-5</v>
      </c>
      <c r="H47" s="41">
        <v>-3</v>
      </c>
      <c r="I47" s="165">
        <v>-17.312819999999999</v>
      </c>
      <c r="J47" s="165">
        <v>-165.12064999999998</v>
      </c>
      <c r="K47" s="41">
        <v>2.8506300000000002</v>
      </c>
      <c r="L47" s="41">
        <v>0</v>
      </c>
      <c r="M47" s="41">
        <v>0</v>
      </c>
      <c r="N47" s="41">
        <v>0</v>
      </c>
      <c r="O47" s="41">
        <v>0</v>
      </c>
      <c r="P47" s="41">
        <v>0</v>
      </c>
    </row>
    <row r="48" spans="1:16" x14ac:dyDescent="0.25">
      <c r="A48" s="30">
        <v>106</v>
      </c>
      <c r="B48" s="31" t="s">
        <v>362</v>
      </c>
      <c r="C48" s="65">
        <v>-4081.2543690735997</v>
      </c>
      <c r="D48" s="65">
        <v>-3860</v>
      </c>
      <c r="E48" s="65">
        <v>-7463</v>
      </c>
      <c r="F48" s="65">
        <v>-6280</v>
      </c>
      <c r="G48" s="41">
        <v>-3113</v>
      </c>
      <c r="H48" s="41">
        <v>2120</v>
      </c>
      <c r="I48" s="165">
        <v>-494.39236000000034</v>
      </c>
      <c r="J48" s="165">
        <v>-11039.350640000001</v>
      </c>
      <c r="K48" s="41">
        <v>-3224.3550499999997</v>
      </c>
      <c r="L48" s="41">
        <v>0</v>
      </c>
      <c r="M48" s="41">
        <v>0</v>
      </c>
      <c r="N48" s="41">
        <v>0</v>
      </c>
      <c r="O48" s="41">
        <v>0</v>
      </c>
      <c r="P48" s="41">
        <v>0</v>
      </c>
    </row>
    <row r="49" spans="1:16" x14ac:dyDescent="0.25">
      <c r="A49" s="30">
        <v>108</v>
      </c>
      <c r="B49" s="31" t="s">
        <v>363</v>
      </c>
      <c r="C49" s="65">
        <v>-147.96528514079139</v>
      </c>
      <c r="D49" s="65">
        <v>-13</v>
      </c>
      <c r="E49" s="65">
        <v>-133</v>
      </c>
      <c r="F49" s="65">
        <v>-308</v>
      </c>
      <c r="G49" s="41">
        <v>-33</v>
      </c>
      <c r="H49" s="41">
        <v>-89</v>
      </c>
      <c r="I49" s="165">
        <v>360.04915</v>
      </c>
      <c r="J49" s="165">
        <v>-409.48973999999998</v>
      </c>
      <c r="K49" s="41">
        <v>-242.95373999999998</v>
      </c>
      <c r="L49" s="41">
        <v>0</v>
      </c>
      <c r="M49" s="41">
        <v>0</v>
      </c>
      <c r="N49" s="41">
        <v>0</v>
      </c>
      <c r="O49" s="41">
        <v>0</v>
      </c>
      <c r="P49" s="41">
        <v>0</v>
      </c>
    </row>
    <row r="50" spans="1:16" x14ac:dyDescent="0.25">
      <c r="A50" s="30">
        <v>109</v>
      </c>
      <c r="B50" s="31" t="s">
        <v>364</v>
      </c>
      <c r="C50" s="65">
        <v>-5951.7736053593762</v>
      </c>
      <c r="D50" s="65">
        <v>-7715</v>
      </c>
      <c r="E50" s="65">
        <v>-9504</v>
      </c>
      <c r="F50" s="65">
        <v>-14184</v>
      </c>
      <c r="G50" s="41">
        <v>-3805</v>
      </c>
      <c r="H50" s="41">
        <v>-1049</v>
      </c>
      <c r="I50" s="165">
        <v>121.65866999999993</v>
      </c>
      <c r="J50" s="165">
        <v>-14655.156300000001</v>
      </c>
      <c r="K50" s="41">
        <v>-1591.3611599999999</v>
      </c>
      <c r="L50" s="41">
        <v>0</v>
      </c>
      <c r="M50" s="41">
        <v>0</v>
      </c>
      <c r="N50" s="41">
        <v>0</v>
      </c>
      <c r="O50" s="41">
        <v>0</v>
      </c>
      <c r="P50" s="41">
        <v>0</v>
      </c>
    </row>
    <row r="51" spans="1:16" x14ac:dyDescent="0.25">
      <c r="A51" s="30">
        <v>111</v>
      </c>
      <c r="B51" s="31" t="s">
        <v>365</v>
      </c>
      <c r="C51" s="65">
        <v>-424.71373395523392</v>
      </c>
      <c r="D51" s="65">
        <v>34</v>
      </c>
      <c r="E51" s="65">
        <v>-53</v>
      </c>
      <c r="F51" s="65">
        <v>-3452</v>
      </c>
      <c r="G51" s="41">
        <v>-541</v>
      </c>
      <c r="H51" s="41">
        <v>-953</v>
      </c>
      <c r="I51" s="165">
        <v>-1546.66452</v>
      </c>
      <c r="J51" s="165">
        <v>-1117.1764499999999</v>
      </c>
      <c r="K51" s="41">
        <v>-956.69686000000002</v>
      </c>
      <c r="L51" s="41">
        <v>0</v>
      </c>
      <c r="M51" s="41">
        <v>0</v>
      </c>
      <c r="N51" s="41">
        <v>0</v>
      </c>
      <c r="O51" s="41">
        <v>0</v>
      </c>
      <c r="P51" s="41">
        <v>0</v>
      </c>
    </row>
    <row r="52" spans="1:16" x14ac:dyDescent="0.25">
      <c r="A52" s="30">
        <v>139</v>
      </c>
      <c r="B52" s="31" t="s">
        <v>366</v>
      </c>
      <c r="C52" s="65">
        <v>393.24478064690976</v>
      </c>
      <c r="D52" s="65">
        <v>-38</v>
      </c>
      <c r="E52" s="65">
        <v>-189</v>
      </c>
      <c r="F52" s="65">
        <v>-135</v>
      </c>
      <c r="G52" s="41">
        <v>-174</v>
      </c>
      <c r="H52" s="41">
        <v>-60</v>
      </c>
      <c r="I52" s="165">
        <v>579.96103000000005</v>
      </c>
      <c r="J52" s="165">
        <v>-334.59924999999998</v>
      </c>
      <c r="K52" s="41">
        <v>-164.13720999999998</v>
      </c>
      <c r="L52" s="41">
        <v>0</v>
      </c>
      <c r="M52" s="41">
        <v>0</v>
      </c>
      <c r="N52" s="41">
        <v>0</v>
      </c>
      <c r="O52" s="41">
        <v>0</v>
      </c>
      <c r="P52" s="41">
        <v>0</v>
      </c>
    </row>
    <row r="53" spans="1:16" x14ac:dyDescent="0.25">
      <c r="A53" s="30">
        <v>140</v>
      </c>
      <c r="B53" s="31" t="s">
        <v>367</v>
      </c>
      <c r="C53" s="65">
        <v>-819.93173674142474</v>
      </c>
      <c r="D53" s="65">
        <v>-132</v>
      </c>
      <c r="E53" s="65">
        <v>51</v>
      </c>
      <c r="F53" s="65">
        <v>-714</v>
      </c>
      <c r="G53" s="41">
        <v>-444</v>
      </c>
      <c r="H53" s="41">
        <v>-235</v>
      </c>
      <c r="I53" s="165">
        <v>-234.30743000000001</v>
      </c>
      <c r="J53" s="165">
        <v>-488.71984000000003</v>
      </c>
      <c r="K53" s="41">
        <v>2258.6937699999999</v>
      </c>
      <c r="L53" s="41">
        <v>0</v>
      </c>
      <c r="M53" s="41">
        <v>0</v>
      </c>
      <c r="N53" s="41">
        <v>0</v>
      </c>
      <c r="O53" s="41">
        <v>0</v>
      </c>
      <c r="P53" s="41">
        <v>0</v>
      </c>
    </row>
    <row r="54" spans="1:16" x14ac:dyDescent="0.25">
      <c r="A54" s="30">
        <v>142</v>
      </c>
      <c r="B54" s="31" t="s">
        <v>368</v>
      </c>
      <c r="C54" s="65">
        <v>-1206.6834345268944</v>
      </c>
      <c r="D54" s="65">
        <v>-56</v>
      </c>
      <c r="E54" s="65">
        <v>-29</v>
      </c>
      <c r="F54" s="65">
        <v>-84</v>
      </c>
      <c r="G54" s="41">
        <v>-12</v>
      </c>
      <c r="H54" s="41">
        <v>-22</v>
      </c>
      <c r="I54" s="165">
        <v>-89.25067</v>
      </c>
      <c r="J54" s="165">
        <v>-94.520350000000008</v>
      </c>
      <c r="K54" s="41">
        <v>-121.94095</v>
      </c>
      <c r="L54" s="41">
        <v>0</v>
      </c>
      <c r="M54" s="41">
        <v>0</v>
      </c>
      <c r="N54" s="41">
        <v>0</v>
      </c>
      <c r="O54" s="41">
        <v>0</v>
      </c>
      <c r="P54" s="41">
        <v>0</v>
      </c>
    </row>
    <row r="55" spans="1:16" x14ac:dyDescent="0.25">
      <c r="A55" s="30">
        <v>143</v>
      </c>
      <c r="B55" s="31" t="s">
        <v>369</v>
      </c>
      <c r="C55" s="65">
        <v>-181.94750296765767</v>
      </c>
      <c r="D55" s="65">
        <v>-681</v>
      </c>
      <c r="E55" s="65">
        <v>-94</v>
      </c>
      <c r="F55" s="65">
        <v>-69</v>
      </c>
      <c r="G55" s="41">
        <v>-55</v>
      </c>
      <c r="H55" s="41">
        <v>-148</v>
      </c>
      <c r="I55" s="165">
        <v>-59.190460000000002</v>
      </c>
      <c r="J55" s="165">
        <v>-98.45</v>
      </c>
      <c r="K55" s="41">
        <v>-476.99940000000004</v>
      </c>
      <c r="L55" s="41">
        <v>0</v>
      </c>
      <c r="M55" s="41">
        <v>0</v>
      </c>
      <c r="N55" s="41">
        <v>0</v>
      </c>
      <c r="O55" s="41">
        <v>0</v>
      </c>
      <c r="P55" s="41">
        <v>0</v>
      </c>
    </row>
    <row r="56" spans="1:16" x14ac:dyDescent="0.25">
      <c r="A56" s="30">
        <v>145</v>
      </c>
      <c r="B56" s="31" t="s">
        <v>370</v>
      </c>
      <c r="C56" s="65">
        <v>-791.00587192080752</v>
      </c>
      <c r="D56" s="65">
        <v>-343</v>
      </c>
      <c r="E56" s="65">
        <v>-561</v>
      </c>
      <c r="F56" s="65">
        <v>-647</v>
      </c>
      <c r="G56" s="41">
        <v>-528</v>
      </c>
      <c r="H56" s="41">
        <v>-1741</v>
      </c>
      <c r="I56" s="165">
        <v>-1156.4331500000001</v>
      </c>
      <c r="J56" s="165">
        <v>-962.64221999999995</v>
      </c>
      <c r="K56" s="41">
        <v>66.177120000000002</v>
      </c>
      <c r="L56" s="41">
        <v>0</v>
      </c>
      <c r="M56" s="41">
        <v>0</v>
      </c>
      <c r="N56" s="41">
        <v>0</v>
      </c>
      <c r="O56" s="41">
        <v>0</v>
      </c>
      <c r="P56" s="41">
        <v>0</v>
      </c>
    </row>
    <row r="57" spans="1:16" x14ac:dyDescent="0.25">
      <c r="A57" s="30">
        <v>146</v>
      </c>
      <c r="B57" s="31" t="s">
        <v>371</v>
      </c>
      <c r="C57" s="65">
        <v>-31.998377099350364</v>
      </c>
      <c r="D57" s="65">
        <v>-15</v>
      </c>
      <c r="E57" s="65">
        <v>-292</v>
      </c>
      <c r="F57" s="65">
        <v>-3</v>
      </c>
      <c r="G57" s="41">
        <v>-273</v>
      </c>
      <c r="H57" s="41">
        <v>326</v>
      </c>
      <c r="I57" s="165">
        <v>784.76468999999997</v>
      </c>
      <c r="J57" s="165">
        <v>-734.37013000000002</v>
      </c>
      <c r="K57" s="41">
        <v>-4.9989999999999997</v>
      </c>
      <c r="L57" s="41">
        <v>0</v>
      </c>
      <c r="M57" s="41">
        <v>0</v>
      </c>
      <c r="N57" s="41">
        <v>0</v>
      </c>
      <c r="O57" s="41">
        <v>0</v>
      </c>
      <c r="P57" s="41">
        <v>0</v>
      </c>
    </row>
    <row r="58" spans="1:16" x14ac:dyDescent="0.25">
      <c r="A58" s="30">
        <v>148</v>
      </c>
      <c r="B58" s="31" t="s">
        <v>372</v>
      </c>
      <c r="C58" s="65">
        <v>-192.9409654040056</v>
      </c>
      <c r="D58" s="65">
        <v>-164</v>
      </c>
      <c r="E58" s="65">
        <v>-437</v>
      </c>
      <c r="F58" s="65">
        <v>-39</v>
      </c>
      <c r="G58" s="41">
        <v>-449</v>
      </c>
      <c r="H58" s="41">
        <v>-827</v>
      </c>
      <c r="I58" s="165">
        <v>-904.64148999999998</v>
      </c>
      <c r="J58" s="165">
        <v>-186.93414999999999</v>
      </c>
      <c r="K58" s="41">
        <v>-989.87126000000001</v>
      </c>
      <c r="L58" s="41">
        <v>0</v>
      </c>
      <c r="M58" s="41">
        <v>0</v>
      </c>
      <c r="N58" s="41">
        <v>0</v>
      </c>
      <c r="O58" s="41">
        <v>0</v>
      </c>
      <c r="P58" s="41">
        <v>0</v>
      </c>
    </row>
    <row r="59" spans="1:16" x14ac:dyDescent="0.25">
      <c r="A59" s="30">
        <v>149</v>
      </c>
      <c r="B59" s="31" t="s">
        <v>373</v>
      </c>
      <c r="C59" s="65">
        <v>-51.995714527972055</v>
      </c>
      <c r="D59" s="65">
        <v>-42</v>
      </c>
      <c r="E59" s="65">
        <v>-261</v>
      </c>
      <c r="F59" s="65">
        <v>0</v>
      </c>
      <c r="G59" s="41">
        <v>-80</v>
      </c>
      <c r="H59" s="41">
        <v>-396</v>
      </c>
      <c r="I59" s="165">
        <v>-1919.56691</v>
      </c>
      <c r="J59" s="165">
        <v>-344.71420000000001</v>
      </c>
      <c r="K59" s="41">
        <v>-97.693039999999996</v>
      </c>
      <c r="L59" s="41">
        <v>0</v>
      </c>
      <c r="M59" s="41">
        <v>0</v>
      </c>
      <c r="N59" s="41">
        <v>0</v>
      </c>
      <c r="O59" s="41">
        <v>0</v>
      </c>
      <c r="P59" s="41">
        <v>0</v>
      </c>
    </row>
    <row r="60" spans="1:16" x14ac:dyDescent="0.25">
      <c r="A60" s="30">
        <v>151</v>
      </c>
      <c r="B60" s="31" t="s">
        <v>374</v>
      </c>
      <c r="C60" s="65">
        <v>-609.41027213698294</v>
      </c>
      <c r="D60" s="65">
        <v>0</v>
      </c>
      <c r="E60" s="65">
        <v>0</v>
      </c>
      <c r="F60" s="65">
        <v>40</v>
      </c>
      <c r="G60" s="41">
        <v>8</v>
      </c>
      <c r="H60" s="41">
        <v>-14</v>
      </c>
      <c r="I60" s="165">
        <v>-11.731009999999999</v>
      </c>
      <c r="J60" s="165">
        <v>-7.9889399999999995</v>
      </c>
      <c r="K60" s="41">
        <v>0</v>
      </c>
      <c r="L60" s="41">
        <v>0</v>
      </c>
      <c r="M60" s="41">
        <v>0</v>
      </c>
      <c r="N60" s="41">
        <v>0</v>
      </c>
      <c r="O60" s="41">
        <v>0</v>
      </c>
      <c r="P60" s="41">
        <v>0</v>
      </c>
    </row>
    <row r="61" spans="1:16" x14ac:dyDescent="0.25">
      <c r="A61" s="30">
        <v>152</v>
      </c>
      <c r="B61" s="31" t="s">
        <v>375</v>
      </c>
      <c r="C61" s="65">
        <v>-26.998844634205483</v>
      </c>
      <c r="D61" s="65">
        <v>16</v>
      </c>
      <c r="E61" s="65">
        <v>0</v>
      </c>
      <c r="F61" s="65">
        <v>-22</v>
      </c>
      <c r="G61" s="41">
        <v>0</v>
      </c>
      <c r="H61" s="41">
        <v>110</v>
      </c>
      <c r="I61" s="165">
        <v>-17.649699999999999</v>
      </c>
      <c r="J61" s="165">
        <v>-29.620570000000001</v>
      </c>
      <c r="K61" s="41">
        <v>2.81087</v>
      </c>
      <c r="L61" s="41">
        <v>0</v>
      </c>
      <c r="M61" s="41">
        <v>0</v>
      </c>
      <c r="N61" s="41">
        <v>0</v>
      </c>
      <c r="O61" s="41">
        <v>0</v>
      </c>
      <c r="P61" s="41">
        <v>0</v>
      </c>
    </row>
    <row r="62" spans="1:16" x14ac:dyDescent="0.25">
      <c r="A62" s="30">
        <v>153</v>
      </c>
      <c r="B62" s="31" t="s">
        <v>376</v>
      </c>
      <c r="C62" s="65">
        <v>-5409.804576770016</v>
      </c>
      <c r="D62" s="65">
        <v>-3563</v>
      </c>
      <c r="E62" s="65">
        <v>-3893</v>
      </c>
      <c r="F62" s="65">
        <v>1737</v>
      </c>
      <c r="G62" s="41">
        <v>-166</v>
      </c>
      <c r="H62" s="41">
        <v>6474</v>
      </c>
      <c r="I62" s="165">
        <v>2402.8135000000002</v>
      </c>
      <c r="J62" s="165">
        <v>-2777.6520599999999</v>
      </c>
      <c r="K62" s="41">
        <v>-100.70157</v>
      </c>
      <c r="L62" s="41">
        <v>0</v>
      </c>
      <c r="M62" s="41">
        <v>0</v>
      </c>
      <c r="N62" s="41">
        <v>0</v>
      </c>
      <c r="O62" s="41">
        <v>0</v>
      </c>
      <c r="P62" s="41">
        <v>0</v>
      </c>
    </row>
    <row r="63" spans="1:16" x14ac:dyDescent="0.25">
      <c r="A63" s="30">
        <v>165</v>
      </c>
      <c r="B63" s="31" t="s">
        <v>377</v>
      </c>
      <c r="C63" s="65">
        <v>-553.51357990646136</v>
      </c>
      <c r="D63" s="65">
        <v>-746</v>
      </c>
      <c r="E63" s="65">
        <v>-1189</v>
      </c>
      <c r="F63" s="65">
        <v>-1233</v>
      </c>
      <c r="G63" s="41">
        <v>-127</v>
      </c>
      <c r="H63" s="41">
        <v>-710</v>
      </c>
      <c r="I63" s="165">
        <v>-777.24795999999992</v>
      </c>
      <c r="J63" s="165">
        <v>-1944.38258</v>
      </c>
      <c r="K63" s="41">
        <v>-210.24799999999999</v>
      </c>
      <c r="L63" s="41">
        <v>0</v>
      </c>
      <c r="M63" s="41">
        <v>0</v>
      </c>
      <c r="N63" s="41">
        <v>0</v>
      </c>
      <c r="O63" s="41">
        <v>0</v>
      </c>
      <c r="P63" s="41">
        <v>0</v>
      </c>
    </row>
    <row r="64" spans="1:16" x14ac:dyDescent="0.25">
      <c r="A64" s="30">
        <v>167</v>
      </c>
      <c r="B64" s="31" t="s">
        <v>378</v>
      </c>
      <c r="C64" s="65">
        <v>-7015.2194957279989</v>
      </c>
      <c r="D64" s="65">
        <v>-5329</v>
      </c>
      <c r="E64" s="65">
        <v>-7228</v>
      </c>
      <c r="F64" s="65">
        <v>-4610</v>
      </c>
      <c r="G64" s="41">
        <v>-2587</v>
      </c>
      <c r="H64" s="41">
        <v>1998</v>
      </c>
      <c r="I64" s="165">
        <v>7104.5680500000008</v>
      </c>
      <c r="J64" s="165">
        <v>-145.01079999999999</v>
      </c>
      <c r="K64" s="41">
        <v>-544.30971</v>
      </c>
      <c r="L64" s="41">
        <v>0</v>
      </c>
      <c r="M64" s="41">
        <v>0</v>
      </c>
      <c r="N64" s="41">
        <v>0</v>
      </c>
      <c r="O64" s="41">
        <v>0</v>
      </c>
      <c r="P64" s="41">
        <v>0</v>
      </c>
    </row>
    <row r="65" spans="1:16" x14ac:dyDescent="0.25">
      <c r="A65" s="30">
        <v>169</v>
      </c>
      <c r="B65" s="31" t="s">
        <v>379</v>
      </c>
      <c r="C65" s="65">
        <v>-221.92189156678063</v>
      </c>
      <c r="D65" s="65">
        <v>-60</v>
      </c>
      <c r="E65" s="65">
        <v>-70</v>
      </c>
      <c r="F65" s="65">
        <v>-130</v>
      </c>
      <c r="G65" s="41">
        <v>-106</v>
      </c>
      <c r="H65" s="41">
        <v>-117</v>
      </c>
      <c r="I65" s="165">
        <v>-39.747289999999992</v>
      </c>
      <c r="J65" s="165">
        <v>-2.0820500000000002</v>
      </c>
      <c r="K65" s="41">
        <v>-20.827909999999999</v>
      </c>
      <c r="L65" s="41">
        <v>0</v>
      </c>
      <c r="M65" s="41">
        <v>0</v>
      </c>
      <c r="N65" s="41">
        <v>0</v>
      </c>
      <c r="O65" s="41">
        <v>0</v>
      </c>
      <c r="P65" s="41">
        <v>0</v>
      </c>
    </row>
    <row r="66" spans="1:16" x14ac:dyDescent="0.25">
      <c r="A66" s="30">
        <v>171</v>
      </c>
      <c r="B66" s="31" t="s">
        <v>380</v>
      </c>
      <c r="C66" s="65">
        <v>-1529.2754287453108</v>
      </c>
      <c r="D66" s="65">
        <v>-27</v>
      </c>
      <c r="E66" s="65">
        <v>-50</v>
      </c>
      <c r="F66" s="65">
        <v>-3</v>
      </c>
      <c r="G66" s="41">
        <v>-17</v>
      </c>
      <c r="H66" s="41">
        <v>-82</v>
      </c>
      <c r="I66" s="165">
        <v>-318.58924000000002</v>
      </c>
      <c r="J66" s="165">
        <v>-98.251820000000009</v>
      </c>
      <c r="K66" s="41">
        <v>121.71889999999999</v>
      </c>
      <c r="L66" s="41">
        <v>0</v>
      </c>
      <c r="M66" s="41">
        <v>0</v>
      </c>
      <c r="N66" s="41">
        <v>0</v>
      </c>
      <c r="O66" s="41">
        <v>0</v>
      </c>
      <c r="P66" s="41">
        <v>0</v>
      </c>
    </row>
    <row r="67" spans="1:16" x14ac:dyDescent="0.25">
      <c r="A67" s="30">
        <v>172</v>
      </c>
      <c r="B67" s="31" t="s">
        <v>381</v>
      </c>
      <c r="C67" s="65">
        <v>0</v>
      </c>
      <c r="D67" s="65">
        <v>-4</v>
      </c>
      <c r="E67" s="65">
        <v>51</v>
      </c>
      <c r="F67" s="65">
        <v>96</v>
      </c>
      <c r="G67" s="41">
        <v>7</v>
      </c>
      <c r="H67" s="41">
        <v>-4</v>
      </c>
      <c r="I67" s="165">
        <v>285.65178000000003</v>
      </c>
      <c r="J67" s="165">
        <v>68.911000000000001</v>
      </c>
      <c r="K67" s="41">
        <v>-42.371610000000004</v>
      </c>
      <c r="L67" s="41">
        <v>0</v>
      </c>
      <c r="M67" s="41">
        <v>0</v>
      </c>
      <c r="N67" s="41">
        <v>0</v>
      </c>
      <c r="O67" s="41">
        <v>0</v>
      </c>
      <c r="P67" s="41">
        <v>0</v>
      </c>
    </row>
    <row r="68" spans="1:16" x14ac:dyDescent="0.25">
      <c r="A68" s="30">
        <v>176</v>
      </c>
      <c r="B68" s="31" t="s">
        <v>382</v>
      </c>
      <c r="C68" s="65">
        <v>-59.994294489903623</v>
      </c>
      <c r="D68" s="65">
        <v>3</v>
      </c>
      <c r="E68" s="65">
        <v>-151</v>
      </c>
      <c r="F68" s="65">
        <v>264</v>
      </c>
      <c r="G68" s="41">
        <v>-319</v>
      </c>
      <c r="H68" s="41">
        <v>449</v>
      </c>
      <c r="I68" s="165">
        <v>780.59393999999998</v>
      </c>
      <c r="J68" s="165">
        <v>-729.86047999999994</v>
      </c>
      <c r="K68" s="41">
        <v>-211.80835999999999</v>
      </c>
      <c r="L68" s="41">
        <v>0</v>
      </c>
      <c r="M68" s="41">
        <v>0</v>
      </c>
      <c r="N68" s="41">
        <v>0</v>
      </c>
      <c r="O68" s="41">
        <v>0</v>
      </c>
      <c r="P68" s="41">
        <v>0</v>
      </c>
    </row>
    <row r="69" spans="1:16" x14ac:dyDescent="0.25">
      <c r="A69" s="30">
        <v>177</v>
      </c>
      <c r="B69" s="31" t="s">
        <v>383</v>
      </c>
      <c r="C69" s="65">
        <v>-168.95473470170484</v>
      </c>
      <c r="D69" s="65">
        <v>0</v>
      </c>
      <c r="E69" s="65">
        <v>0</v>
      </c>
      <c r="F69" s="65">
        <v>0</v>
      </c>
      <c r="G69" s="41">
        <v>0</v>
      </c>
      <c r="H69" s="41">
        <v>0</v>
      </c>
      <c r="I69" s="165">
        <v>-29.723929999999999</v>
      </c>
      <c r="J69" s="165">
        <v>-28.766290000000001</v>
      </c>
      <c r="K69" s="41">
        <v>0</v>
      </c>
      <c r="L69" s="41">
        <v>0</v>
      </c>
      <c r="M69" s="41">
        <v>0</v>
      </c>
      <c r="N69" s="41">
        <v>0</v>
      </c>
      <c r="O69" s="41">
        <v>0</v>
      </c>
      <c r="P69" s="41">
        <v>0</v>
      </c>
    </row>
    <row r="70" spans="1:16" x14ac:dyDescent="0.25">
      <c r="A70" s="30">
        <v>178</v>
      </c>
      <c r="B70" s="31" t="s">
        <v>384</v>
      </c>
      <c r="C70" s="65">
        <v>-822.9239154380009</v>
      </c>
      <c r="D70" s="65">
        <v>-49</v>
      </c>
      <c r="E70" s="65">
        <v>-27</v>
      </c>
      <c r="F70" s="65">
        <v>-10</v>
      </c>
      <c r="G70" s="41">
        <v>813</v>
      </c>
      <c r="H70" s="41">
        <v>232</v>
      </c>
      <c r="I70" s="165">
        <v>91.532860000000014</v>
      </c>
      <c r="J70" s="165">
        <v>36.799699999999994</v>
      </c>
      <c r="K70" s="41">
        <v>-367.34116</v>
      </c>
      <c r="L70" s="41">
        <v>0</v>
      </c>
      <c r="M70" s="41">
        <v>0</v>
      </c>
      <c r="N70" s="41">
        <v>0</v>
      </c>
      <c r="O70" s="41">
        <v>0</v>
      </c>
      <c r="P70" s="41">
        <v>0</v>
      </c>
    </row>
    <row r="71" spans="1:16" x14ac:dyDescent="0.25">
      <c r="A71" s="30">
        <v>179</v>
      </c>
      <c r="B71" s="31" t="s">
        <v>385</v>
      </c>
      <c r="C71" s="65">
        <v>-9524.7091505287899</v>
      </c>
      <c r="D71" s="65">
        <v>-16375</v>
      </c>
      <c r="E71" s="65">
        <v>-18782</v>
      </c>
      <c r="F71" s="65">
        <v>-16462</v>
      </c>
      <c r="G71" s="41">
        <v>-9603</v>
      </c>
      <c r="H71" s="41">
        <v>-7652</v>
      </c>
      <c r="I71" s="165">
        <v>11108.982180000001</v>
      </c>
      <c r="J71" s="165">
        <v>-83439.426149999999</v>
      </c>
      <c r="K71" s="41">
        <v>-712.68951000000004</v>
      </c>
      <c r="L71" s="41">
        <v>0</v>
      </c>
      <c r="M71" s="41">
        <v>0</v>
      </c>
      <c r="N71" s="41">
        <v>0</v>
      </c>
      <c r="O71" s="41">
        <v>0</v>
      </c>
      <c r="P71" s="41">
        <v>0</v>
      </c>
    </row>
    <row r="72" spans="1:16" x14ac:dyDescent="0.25">
      <c r="A72" s="30">
        <v>181</v>
      </c>
      <c r="B72" s="31" t="s">
        <v>386</v>
      </c>
      <c r="C72" s="65">
        <v>-24.999009460052712</v>
      </c>
      <c r="D72" s="65">
        <v>0</v>
      </c>
      <c r="E72" s="65">
        <v>-10</v>
      </c>
      <c r="F72" s="65">
        <v>-506</v>
      </c>
      <c r="G72" s="41">
        <v>-248</v>
      </c>
      <c r="H72" s="41">
        <v>-37</v>
      </c>
      <c r="I72" s="165">
        <v>0</v>
      </c>
      <c r="J72" s="165">
        <v>18.768999999999998</v>
      </c>
      <c r="K72" s="41">
        <v>13.44415</v>
      </c>
      <c r="L72" s="41">
        <v>0</v>
      </c>
      <c r="M72" s="41">
        <v>0</v>
      </c>
      <c r="N72" s="41">
        <v>0</v>
      </c>
      <c r="O72" s="41">
        <v>0</v>
      </c>
      <c r="P72" s="41">
        <v>0</v>
      </c>
    </row>
    <row r="73" spans="1:16" x14ac:dyDescent="0.25">
      <c r="A73" s="30">
        <v>182</v>
      </c>
      <c r="B73" s="31" t="s">
        <v>387</v>
      </c>
      <c r="C73" s="65">
        <v>-141.96804280400463</v>
      </c>
      <c r="D73" s="65">
        <v>-192</v>
      </c>
      <c r="E73" s="65">
        <v>-46</v>
      </c>
      <c r="F73" s="65">
        <v>-4397</v>
      </c>
      <c r="G73" s="41">
        <v>-126</v>
      </c>
      <c r="H73" s="41">
        <v>-25</v>
      </c>
      <c r="I73" s="165">
        <v>70.748480000000015</v>
      </c>
      <c r="J73" s="165">
        <v>-819.99032999999997</v>
      </c>
      <c r="K73" s="41">
        <v>-1563.45225</v>
      </c>
      <c r="L73" s="41">
        <v>0</v>
      </c>
      <c r="M73" s="41">
        <v>0</v>
      </c>
      <c r="N73" s="41">
        <v>0</v>
      </c>
      <c r="O73" s="41">
        <v>0</v>
      </c>
      <c r="P73" s="41">
        <v>0</v>
      </c>
    </row>
    <row r="74" spans="1:16" x14ac:dyDescent="0.25">
      <c r="A74" s="30">
        <v>186</v>
      </c>
      <c r="B74" s="31" t="s">
        <v>388</v>
      </c>
      <c r="C74" s="65">
        <v>-5735.8872147443062</v>
      </c>
      <c r="D74" s="65">
        <v>-9928</v>
      </c>
      <c r="E74" s="65">
        <v>-11164</v>
      </c>
      <c r="F74" s="65">
        <v>-10107</v>
      </c>
      <c r="G74" s="41">
        <v>-4456</v>
      </c>
      <c r="H74" s="41">
        <v>-9781</v>
      </c>
      <c r="I74" s="165">
        <v>-9403.9399000000012</v>
      </c>
      <c r="J74" s="165">
        <v>-9787.8363200000003</v>
      </c>
      <c r="K74" s="41">
        <v>-4455.0982400000003</v>
      </c>
      <c r="L74" s="41">
        <v>0</v>
      </c>
      <c r="M74" s="41">
        <v>0</v>
      </c>
      <c r="N74" s="41">
        <v>0</v>
      </c>
      <c r="O74" s="41">
        <v>0</v>
      </c>
      <c r="P74" s="41">
        <v>0</v>
      </c>
    </row>
    <row r="75" spans="1:16" x14ac:dyDescent="0.25">
      <c r="A75" s="30">
        <v>202</v>
      </c>
      <c r="B75" s="31" t="s">
        <v>389</v>
      </c>
      <c r="C75" s="65">
        <v>-1432.7318584589734</v>
      </c>
      <c r="D75" s="65">
        <v>-2133</v>
      </c>
      <c r="E75" s="65">
        <v>-3711</v>
      </c>
      <c r="F75" s="65">
        <v>-2519</v>
      </c>
      <c r="G75" s="41">
        <v>-3999</v>
      </c>
      <c r="H75" s="41">
        <v>-2588</v>
      </c>
      <c r="I75" s="165">
        <v>-1758.84602</v>
      </c>
      <c r="J75" s="165">
        <v>-1918.34483</v>
      </c>
      <c r="K75" s="41">
        <v>-405.94703999999996</v>
      </c>
      <c r="L75" s="41">
        <v>0</v>
      </c>
      <c r="M75" s="41">
        <v>0</v>
      </c>
      <c r="N75" s="41">
        <v>0</v>
      </c>
      <c r="O75" s="41">
        <v>0</v>
      </c>
      <c r="P75" s="41">
        <v>0</v>
      </c>
    </row>
    <row r="76" spans="1:16" x14ac:dyDescent="0.25">
      <c r="A76" s="30">
        <v>204</v>
      </c>
      <c r="B76" s="31" t="s">
        <v>390</v>
      </c>
      <c r="C76" s="65">
        <v>-59.994294489903623</v>
      </c>
      <c r="D76" s="65">
        <v>-22</v>
      </c>
      <c r="E76" s="65">
        <v>69</v>
      </c>
      <c r="F76" s="65">
        <v>218</v>
      </c>
      <c r="G76" s="41">
        <v>-101</v>
      </c>
      <c r="H76" s="41">
        <v>-42</v>
      </c>
      <c r="I76" s="165">
        <v>-22.206399999999999</v>
      </c>
      <c r="J76" s="165">
        <v>-27.046250000000001</v>
      </c>
      <c r="K76" s="41">
        <v>376.351</v>
      </c>
      <c r="L76" s="41">
        <v>0</v>
      </c>
      <c r="M76" s="41">
        <v>0</v>
      </c>
      <c r="N76" s="41">
        <v>0</v>
      </c>
      <c r="O76" s="41">
        <v>0</v>
      </c>
      <c r="P76" s="41">
        <v>0</v>
      </c>
    </row>
    <row r="77" spans="1:16" x14ac:dyDescent="0.25">
      <c r="A77" s="30">
        <v>205</v>
      </c>
      <c r="B77" s="31" t="s">
        <v>391</v>
      </c>
      <c r="C77" s="65">
        <v>-68052.559682012899</v>
      </c>
      <c r="D77" s="65">
        <v>115</v>
      </c>
      <c r="E77" s="79">
        <v>735</v>
      </c>
      <c r="F77" s="65">
        <v>-1770</v>
      </c>
      <c r="G77" s="41">
        <v>-113293</v>
      </c>
      <c r="H77" s="41">
        <v>-1064</v>
      </c>
      <c r="I77" s="165">
        <v>8303.1280399999996</v>
      </c>
      <c r="J77" s="165">
        <v>-3376.8268800000001</v>
      </c>
      <c r="K77" s="41">
        <v>-1542.5708200000001</v>
      </c>
      <c r="L77" s="41">
        <v>0</v>
      </c>
      <c r="M77" s="41">
        <v>0</v>
      </c>
      <c r="N77" s="41">
        <v>0</v>
      </c>
      <c r="O77" s="41">
        <v>0</v>
      </c>
      <c r="P77" s="41">
        <v>0</v>
      </c>
    </row>
    <row r="78" spans="1:16" x14ac:dyDescent="0.25">
      <c r="A78" s="30">
        <v>208</v>
      </c>
      <c r="B78" s="31" t="s">
        <v>392</v>
      </c>
      <c r="C78" s="65">
        <v>-913.67311230821167</v>
      </c>
      <c r="D78" s="65">
        <v>-422</v>
      </c>
      <c r="E78" s="65">
        <v>-1256</v>
      </c>
      <c r="F78" s="65">
        <v>-712</v>
      </c>
      <c r="G78" s="41">
        <v>-373</v>
      </c>
      <c r="H78" s="41">
        <v>-471</v>
      </c>
      <c r="I78" s="165">
        <v>-171.97519</v>
      </c>
      <c r="J78" s="165">
        <v>-398.10760999999997</v>
      </c>
      <c r="K78" s="41">
        <v>-273.93599</v>
      </c>
      <c r="L78" s="41">
        <v>0</v>
      </c>
      <c r="M78" s="41">
        <v>0</v>
      </c>
      <c r="N78" s="41">
        <v>0</v>
      </c>
      <c r="O78" s="41">
        <v>0</v>
      </c>
      <c r="P78" s="41">
        <v>0</v>
      </c>
    </row>
    <row r="79" spans="1:16" x14ac:dyDescent="0.25">
      <c r="A79" s="30">
        <v>211</v>
      </c>
      <c r="B79" s="31" t="s">
        <v>393</v>
      </c>
      <c r="C79" s="65">
        <v>-5477.6035241034033</v>
      </c>
      <c r="D79" s="65">
        <v>-1216</v>
      </c>
      <c r="E79" s="65">
        <v>-277</v>
      </c>
      <c r="F79" s="65">
        <v>-1631</v>
      </c>
      <c r="G79" s="41">
        <v>-1179</v>
      </c>
      <c r="H79" s="41">
        <v>-1320</v>
      </c>
      <c r="I79" s="165">
        <v>-3016.4980599999999</v>
      </c>
      <c r="J79" s="165">
        <v>-756.89178000000004</v>
      </c>
      <c r="K79" s="41">
        <v>-722.04219999999998</v>
      </c>
      <c r="L79" s="41">
        <v>0</v>
      </c>
      <c r="M79" s="41">
        <v>0</v>
      </c>
      <c r="N79" s="41">
        <v>0</v>
      </c>
      <c r="O79" s="41">
        <v>0</v>
      </c>
      <c r="P79" s="41">
        <v>0</v>
      </c>
    </row>
    <row r="80" spans="1:16" x14ac:dyDescent="0.25">
      <c r="A80" s="30">
        <v>213</v>
      </c>
      <c r="B80" s="31" t="s">
        <v>394</v>
      </c>
      <c r="C80" s="65">
        <v>-537.54127064879572</v>
      </c>
      <c r="D80" s="65">
        <v>-4</v>
      </c>
      <c r="E80" s="65">
        <v>-57</v>
      </c>
      <c r="F80" s="65">
        <v>-4</v>
      </c>
      <c r="G80" s="41">
        <v>215</v>
      </c>
      <c r="H80" s="41">
        <v>-313</v>
      </c>
      <c r="I80" s="165">
        <v>212.40754000000001</v>
      </c>
      <c r="J80" s="165">
        <v>-688.92129</v>
      </c>
      <c r="K80" s="41">
        <v>-163.04739999999998</v>
      </c>
      <c r="L80" s="41">
        <v>0</v>
      </c>
      <c r="M80" s="41">
        <v>0</v>
      </c>
      <c r="N80" s="41">
        <v>0</v>
      </c>
      <c r="O80" s="41">
        <v>0</v>
      </c>
      <c r="P80" s="41">
        <v>0</v>
      </c>
    </row>
    <row r="81" spans="1:16" x14ac:dyDescent="0.25">
      <c r="A81" s="30">
        <v>214</v>
      </c>
      <c r="B81" s="31" t="s">
        <v>395</v>
      </c>
      <c r="C81" s="65">
        <v>-265.94126494328566</v>
      </c>
      <c r="D81" s="65">
        <v>-44</v>
      </c>
      <c r="E81" s="65">
        <v>268</v>
      </c>
      <c r="F81" s="65">
        <v>-126</v>
      </c>
      <c r="G81" s="41">
        <v>-401</v>
      </c>
      <c r="H81" s="41">
        <v>-14</v>
      </c>
      <c r="I81" s="165">
        <v>37.108259999999994</v>
      </c>
      <c r="J81" s="165">
        <v>16.972080000000002</v>
      </c>
      <c r="K81" s="41">
        <v>106.03667999999999</v>
      </c>
      <c r="L81" s="41">
        <v>0</v>
      </c>
      <c r="M81" s="41">
        <v>0</v>
      </c>
      <c r="N81" s="41">
        <v>0</v>
      </c>
      <c r="O81" s="41">
        <v>0</v>
      </c>
      <c r="P81" s="41">
        <v>0</v>
      </c>
    </row>
    <row r="82" spans="1:16" x14ac:dyDescent="0.25">
      <c r="A82" s="30">
        <v>216</v>
      </c>
      <c r="B82" s="31" t="s">
        <v>396</v>
      </c>
      <c r="C82" s="65">
        <v>-0.99999841513608434</v>
      </c>
      <c r="D82" s="65">
        <v>0</v>
      </c>
      <c r="E82" s="65">
        <v>0</v>
      </c>
      <c r="F82" s="65">
        <v>0</v>
      </c>
      <c r="G82" s="41">
        <v>2365</v>
      </c>
      <c r="H82" s="41">
        <v>-1729</v>
      </c>
      <c r="I82" s="165">
        <v>0</v>
      </c>
      <c r="J82" s="165">
        <v>153.74942000000001</v>
      </c>
      <c r="K82" s="41">
        <v>-27.327999999999999</v>
      </c>
      <c r="L82" s="41">
        <v>0</v>
      </c>
      <c r="M82" s="41">
        <v>0</v>
      </c>
      <c r="N82" s="41">
        <v>0</v>
      </c>
      <c r="O82" s="41">
        <v>0</v>
      </c>
      <c r="P82" s="41">
        <v>0</v>
      </c>
    </row>
    <row r="83" spans="1:16" x14ac:dyDescent="0.25">
      <c r="A83" s="30">
        <v>217</v>
      </c>
      <c r="B83" s="31" t="s">
        <v>397</v>
      </c>
      <c r="C83" s="65">
        <v>-112.97976287266094</v>
      </c>
      <c r="D83" s="65">
        <v>-19</v>
      </c>
      <c r="E83" s="65">
        <v>-22</v>
      </c>
      <c r="F83" s="65">
        <v>0</v>
      </c>
      <c r="G83" s="41">
        <v>-25</v>
      </c>
      <c r="H83" s="41">
        <v>-6</v>
      </c>
      <c r="I83" s="165">
        <v>-34.715000000000003</v>
      </c>
      <c r="J83" s="165">
        <v>-77.005870000000002</v>
      </c>
      <c r="K83" s="41">
        <v>-22.507450000000002</v>
      </c>
      <c r="L83" s="41">
        <v>0</v>
      </c>
      <c r="M83" s="41">
        <v>0</v>
      </c>
      <c r="N83" s="41">
        <v>0</v>
      </c>
      <c r="O83" s="41">
        <v>0</v>
      </c>
      <c r="P83" s="41">
        <v>0</v>
      </c>
    </row>
    <row r="84" spans="1:16" x14ac:dyDescent="0.25">
      <c r="A84" s="30">
        <v>218</v>
      </c>
      <c r="B84" s="31" t="s">
        <v>398</v>
      </c>
      <c r="C84" s="65">
        <v>-15.999594274837591</v>
      </c>
      <c r="D84" s="65">
        <v>0</v>
      </c>
      <c r="E84" s="65">
        <v>-43</v>
      </c>
      <c r="F84" s="65">
        <v>20</v>
      </c>
      <c r="G84" s="41">
        <v>0</v>
      </c>
      <c r="H84" s="41">
        <v>0</v>
      </c>
      <c r="I84" s="165">
        <v>131</v>
      </c>
      <c r="J84" s="165">
        <v>6.0858800000000004</v>
      </c>
      <c r="K84" s="41">
        <v>2.00752</v>
      </c>
      <c r="L84" s="41">
        <v>0</v>
      </c>
      <c r="M84" s="41">
        <v>0</v>
      </c>
      <c r="N84" s="41">
        <v>0</v>
      </c>
      <c r="O84" s="41">
        <v>0</v>
      </c>
      <c r="P84" s="41">
        <v>0</v>
      </c>
    </row>
    <row r="85" spans="1:16" x14ac:dyDescent="0.25">
      <c r="A85" s="30">
        <v>224</v>
      </c>
      <c r="B85" s="31" t="s">
        <v>399</v>
      </c>
      <c r="C85" s="65">
        <v>-373.77831557493317</v>
      </c>
      <c r="D85" s="65">
        <v>-195</v>
      </c>
      <c r="E85" s="65">
        <v>-597</v>
      </c>
      <c r="F85" s="65">
        <v>-492</v>
      </c>
      <c r="G85" s="41">
        <v>-269</v>
      </c>
      <c r="H85" s="41">
        <v>-271</v>
      </c>
      <c r="I85" s="165">
        <v>-149.52081000000001</v>
      </c>
      <c r="J85" s="165">
        <v>-214.44406000000001</v>
      </c>
      <c r="K85" s="41">
        <v>-1610.29357</v>
      </c>
      <c r="L85" s="41">
        <v>0</v>
      </c>
      <c r="M85" s="41">
        <v>0</v>
      </c>
      <c r="N85" s="41">
        <v>0</v>
      </c>
      <c r="O85" s="41">
        <v>0</v>
      </c>
      <c r="P85" s="41">
        <v>0</v>
      </c>
    </row>
    <row r="86" spans="1:16" x14ac:dyDescent="0.25">
      <c r="A86" s="30">
        <v>226</v>
      </c>
      <c r="B86" s="31" t="s">
        <v>400</v>
      </c>
      <c r="C86" s="65">
        <v>0</v>
      </c>
      <c r="D86" s="65">
        <v>0</v>
      </c>
      <c r="E86" s="65">
        <v>0</v>
      </c>
      <c r="F86" s="79">
        <v>-5</v>
      </c>
      <c r="G86" s="41">
        <v>4158</v>
      </c>
      <c r="H86" s="41">
        <v>-4202</v>
      </c>
      <c r="I86" s="165">
        <v>640.32434000000001</v>
      </c>
      <c r="J86" s="165">
        <v>-677.68448000000001</v>
      </c>
      <c r="K86" s="41">
        <v>-212.25586999999999</v>
      </c>
      <c r="L86" s="41">
        <v>0</v>
      </c>
      <c r="M86" s="41">
        <v>0</v>
      </c>
      <c r="N86" s="41">
        <v>0</v>
      </c>
      <c r="O86" s="41">
        <v>0</v>
      </c>
      <c r="P86" s="41">
        <v>0</v>
      </c>
    </row>
    <row r="87" spans="1:16" x14ac:dyDescent="0.25">
      <c r="A87" s="30">
        <v>230</v>
      </c>
      <c r="B87" s="31" t="s">
        <v>401</v>
      </c>
      <c r="C87" s="65">
        <v>11.000191768533794</v>
      </c>
      <c r="D87" s="65">
        <v>136</v>
      </c>
      <c r="E87" s="65">
        <v>4</v>
      </c>
      <c r="F87" s="65">
        <v>-163</v>
      </c>
      <c r="G87" s="41">
        <v>90</v>
      </c>
      <c r="H87" s="41">
        <v>0</v>
      </c>
      <c r="I87" s="165">
        <v>7.1192900000000003</v>
      </c>
      <c r="J87" s="165">
        <v>-9.1996599999999997</v>
      </c>
      <c r="K87" s="41">
        <v>0.53339000000000003</v>
      </c>
      <c r="L87" s="41">
        <v>0</v>
      </c>
      <c r="M87" s="41">
        <v>0</v>
      </c>
      <c r="N87" s="41">
        <v>0</v>
      </c>
      <c r="O87" s="41">
        <v>0</v>
      </c>
      <c r="P87" s="41">
        <v>0</v>
      </c>
    </row>
    <row r="88" spans="1:16" x14ac:dyDescent="0.25">
      <c r="A88" s="30">
        <v>231</v>
      </c>
      <c r="B88" s="31" t="s">
        <v>402</v>
      </c>
      <c r="C88" s="65">
        <v>-40.997335843757774</v>
      </c>
      <c r="D88" s="65">
        <v>0</v>
      </c>
      <c r="E88" s="65">
        <v>0</v>
      </c>
      <c r="F88" s="65">
        <v>-589</v>
      </c>
      <c r="G88" s="41">
        <v>-66</v>
      </c>
      <c r="H88" s="41">
        <v>-28</v>
      </c>
      <c r="I88" s="165">
        <v>0</v>
      </c>
      <c r="J88" s="165">
        <v>-538.93718000000001</v>
      </c>
      <c r="K88" s="41">
        <v>-64.534379999999999</v>
      </c>
      <c r="L88" s="41">
        <v>0</v>
      </c>
      <c r="M88" s="41">
        <v>0</v>
      </c>
      <c r="N88" s="41">
        <v>0</v>
      </c>
      <c r="O88" s="41">
        <v>0</v>
      </c>
      <c r="P88" s="41">
        <v>0</v>
      </c>
    </row>
    <row r="89" spans="1:16" x14ac:dyDescent="0.25">
      <c r="A89" s="30">
        <v>232</v>
      </c>
      <c r="B89" s="31" t="s">
        <v>403</v>
      </c>
      <c r="C89" s="65">
        <v>-612.40445727127644</v>
      </c>
      <c r="D89" s="65">
        <v>-76</v>
      </c>
      <c r="E89" s="65">
        <v>-199</v>
      </c>
      <c r="F89" s="65">
        <v>-130</v>
      </c>
      <c r="G89" s="41">
        <v>-638</v>
      </c>
      <c r="H89" s="41">
        <v>70</v>
      </c>
      <c r="I89" s="165">
        <v>-259.70514000000003</v>
      </c>
      <c r="J89" s="165">
        <v>-36.509410000000003</v>
      </c>
      <c r="K89" s="41">
        <v>-51.827220000000004</v>
      </c>
      <c r="L89" s="41">
        <v>0</v>
      </c>
      <c r="M89" s="41">
        <v>0</v>
      </c>
      <c r="N89" s="41">
        <v>0</v>
      </c>
      <c r="O89" s="41">
        <v>0</v>
      </c>
      <c r="P89" s="41">
        <v>0</v>
      </c>
    </row>
    <row r="90" spans="1:16" x14ac:dyDescent="0.25">
      <c r="A90" s="30">
        <v>233</v>
      </c>
      <c r="B90" s="31" t="s">
        <v>404</v>
      </c>
      <c r="C90" s="65">
        <v>-41.997204300052779</v>
      </c>
      <c r="D90" s="65">
        <v>-134</v>
      </c>
      <c r="E90" s="65">
        <v>-140</v>
      </c>
      <c r="F90" s="65">
        <v>-34</v>
      </c>
      <c r="G90" s="41">
        <v>134</v>
      </c>
      <c r="H90" s="41">
        <v>-4</v>
      </c>
      <c r="I90" s="165">
        <v>-34.866450000000015</v>
      </c>
      <c r="J90" s="165">
        <v>-89.076390000000004</v>
      </c>
      <c r="K90" s="41">
        <v>-180.96076000000002</v>
      </c>
      <c r="L90" s="41">
        <v>0</v>
      </c>
      <c r="M90" s="41">
        <v>0</v>
      </c>
      <c r="N90" s="41">
        <v>0</v>
      </c>
      <c r="O90" s="41">
        <v>0</v>
      </c>
      <c r="P90" s="41">
        <v>0</v>
      </c>
    </row>
    <row r="91" spans="1:16" x14ac:dyDescent="0.25">
      <c r="A91" s="30">
        <v>235</v>
      </c>
      <c r="B91" s="31" t="s">
        <v>405</v>
      </c>
      <c r="C91" s="65">
        <v>-689.24544628975434</v>
      </c>
      <c r="D91" s="65">
        <v>-9050</v>
      </c>
      <c r="E91" s="65">
        <v>-1116</v>
      </c>
      <c r="F91" s="65">
        <v>-1699</v>
      </c>
      <c r="G91" s="41">
        <v>-2626</v>
      </c>
      <c r="H91" s="41">
        <v>-1447</v>
      </c>
      <c r="I91" s="165">
        <v>-664.87264000000005</v>
      </c>
      <c r="J91" s="165">
        <v>-870.52632999999992</v>
      </c>
      <c r="K91" s="41">
        <v>-564.28467000000001</v>
      </c>
      <c r="L91" s="41">
        <v>0</v>
      </c>
      <c r="M91" s="41">
        <v>0</v>
      </c>
      <c r="N91" s="41">
        <v>0</v>
      </c>
      <c r="O91" s="41">
        <v>0</v>
      </c>
      <c r="P91" s="41">
        <v>0</v>
      </c>
    </row>
    <row r="92" spans="1:16" x14ac:dyDescent="0.25">
      <c r="A92" s="30">
        <v>236</v>
      </c>
      <c r="B92" s="31" t="s">
        <v>406</v>
      </c>
      <c r="C92" s="65">
        <v>-20.999301075013193</v>
      </c>
      <c r="D92" s="65">
        <v>-33</v>
      </c>
      <c r="E92" s="65">
        <v>-21</v>
      </c>
      <c r="F92" s="65">
        <v>-850</v>
      </c>
      <c r="G92" s="41">
        <v>-257</v>
      </c>
      <c r="H92" s="41">
        <v>67</v>
      </c>
      <c r="I92" s="165">
        <v>-42.004550000000002</v>
      </c>
      <c r="J92" s="165">
        <v>-57.95064</v>
      </c>
      <c r="K92" s="41">
        <v>-44.225000000000001</v>
      </c>
      <c r="L92" s="41">
        <v>0</v>
      </c>
      <c r="M92" s="41">
        <v>0</v>
      </c>
      <c r="N92" s="41">
        <v>0</v>
      </c>
      <c r="O92" s="41">
        <v>0</v>
      </c>
      <c r="P92" s="41">
        <v>0</v>
      </c>
    </row>
    <row r="93" spans="1:16" x14ac:dyDescent="0.25">
      <c r="A93" s="30">
        <v>239</v>
      </c>
      <c r="B93" s="31" t="s">
        <v>407</v>
      </c>
      <c r="C93" s="65">
        <v>18.000513495908674</v>
      </c>
      <c r="D93" s="65">
        <v>-26</v>
      </c>
      <c r="E93" s="65">
        <v>8</v>
      </c>
      <c r="F93" s="65">
        <v>-27</v>
      </c>
      <c r="G93" s="41">
        <v>96</v>
      </c>
      <c r="H93" s="41">
        <v>-151</v>
      </c>
      <c r="I93" s="165">
        <v>42.612160000000003</v>
      </c>
      <c r="J93" s="165">
        <v>-0.43</v>
      </c>
      <c r="K93" s="41">
        <v>300</v>
      </c>
      <c r="L93" s="41">
        <v>0</v>
      </c>
      <c r="M93" s="41">
        <v>0</v>
      </c>
      <c r="N93" s="41">
        <v>0</v>
      </c>
      <c r="O93" s="41">
        <v>0</v>
      </c>
      <c r="P93" s="41">
        <v>0</v>
      </c>
    </row>
    <row r="94" spans="1:16" x14ac:dyDescent="0.25">
      <c r="A94" s="30">
        <v>240</v>
      </c>
      <c r="B94" s="31" t="s">
        <v>408</v>
      </c>
      <c r="C94" s="65">
        <v>-2123.802877795898</v>
      </c>
      <c r="D94" s="65">
        <v>-1949</v>
      </c>
      <c r="E94" s="65">
        <v>-2690</v>
      </c>
      <c r="F94" s="65">
        <v>-628</v>
      </c>
      <c r="G94" s="41">
        <v>-312</v>
      </c>
      <c r="H94" s="41">
        <v>18</v>
      </c>
      <c r="I94" s="165">
        <v>427.61900000000003</v>
      </c>
      <c r="J94" s="165">
        <v>-3872.7491299999997</v>
      </c>
      <c r="K94" s="41">
        <v>-2007.89914</v>
      </c>
      <c r="L94" s="41">
        <v>0</v>
      </c>
      <c r="M94" s="41">
        <v>0</v>
      </c>
      <c r="N94" s="41">
        <v>0</v>
      </c>
      <c r="O94" s="41">
        <v>0</v>
      </c>
      <c r="P94" s="41">
        <v>0</v>
      </c>
    </row>
    <row r="95" spans="1:16" x14ac:dyDescent="0.25">
      <c r="A95" s="30">
        <v>241</v>
      </c>
      <c r="B95" s="31" t="s">
        <v>409</v>
      </c>
      <c r="C95" s="65">
        <v>-425.71238523604171</v>
      </c>
      <c r="D95" s="65">
        <v>-162</v>
      </c>
      <c r="E95" s="65">
        <v>-58</v>
      </c>
      <c r="F95" s="65">
        <v>-787</v>
      </c>
      <c r="G95" s="41">
        <v>-3</v>
      </c>
      <c r="H95" s="41">
        <v>-31</v>
      </c>
      <c r="I95" s="165">
        <v>-42.610610000000001</v>
      </c>
      <c r="J95" s="165">
        <v>-956.13843999999995</v>
      </c>
      <c r="K95" s="41">
        <v>-281.20615999999995</v>
      </c>
      <c r="L95" s="41">
        <v>0</v>
      </c>
      <c r="M95" s="41">
        <v>0</v>
      </c>
      <c r="N95" s="41">
        <v>0</v>
      </c>
      <c r="O95" s="41">
        <v>0</v>
      </c>
      <c r="P95" s="41">
        <v>0</v>
      </c>
    </row>
    <row r="96" spans="1:16" x14ac:dyDescent="0.25">
      <c r="A96" s="30">
        <v>244</v>
      </c>
      <c r="B96" s="31" t="s">
        <v>410</v>
      </c>
      <c r="C96" s="65">
        <v>-2612.0959318128148</v>
      </c>
      <c r="D96" s="65">
        <v>-3377</v>
      </c>
      <c r="E96" s="65">
        <v>-3366</v>
      </c>
      <c r="F96" s="65">
        <v>-4335</v>
      </c>
      <c r="G96" s="41">
        <v>-4107</v>
      </c>
      <c r="H96" s="41">
        <v>-2695</v>
      </c>
      <c r="I96" s="165">
        <v>-3869.0995200000002</v>
      </c>
      <c r="J96" s="165">
        <v>-2611.1031499999999</v>
      </c>
      <c r="K96" s="41">
        <v>-3171.0104100000003</v>
      </c>
      <c r="L96" s="41">
        <v>0</v>
      </c>
      <c r="M96" s="41">
        <v>0</v>
      </c>
      <c r="N96" s="41">
        <v>0</v>
      </c>
      <c r="O96" s="41">
        <v>0</v>
      </c>
      <c r="P96" s="41">
        <v>0</v>
      </c>
    </row>
    <row r="97" spans="1:16" x14ac:dyDescent="0.25">
      <c r="A97" s="30">
        <v>245</v>
      </c>
      <c r="B97" s="31" t="s">
        <v>411</v>
      </c>
      <c r="C97" s="65">
        <v>-4471.8494252491009</v>
      </c>
      <c r="D97" s="65">
        <v>-6279</v>
      </c>
      <c r="E97" s="65">
        <v>-2391</v>
      </c>
      <c r="F97" s="65">
        <v>-3629</v>
      </c>
      <c r="G97" s="41">
        <v>-4358</v>
      </c>
      <c r="H97" s="41">
        <v>-6926</v>
      </c>
      <c r="I97" s="165">
        <v>-5066.4414800000004</v>
      </c>
      <c r="J97" s="165">
        <v>-1243.9619399999999</v>
      </c>
      <c r="K97" s="41">
        <v>-1801.7706000000001</v>
      </c>
      <c r="L97" s="41">
        <v>0</v>
      </c>
      <c r="M97" s="41">
        <v>0</v>
      </c>
      <c r="N97" s="41">
        <v>0</v>
      </c>
      <c r="O97" s="41">
        <v>0</v>
      </c>
      <c r="P97" s="41">
        <v>0</v>
      </c>
    </row>
    <row r="98" spans="1:16" x14ac:dyDescent="0.25">
      <c r="A98" s="30">
        <v>249</v>
      </c>
      <c r="B98" s="31" t="s">
        <v>412</v>
      </c>
      <c r="C98" s="65">
        <v>-59.994294489903623</v>
      </c>
      <c r="D98" s="65">
        <v>-144</v>
      </c>
      <c r="E98" s="65">
        <v>-88</v>
      </c>
      <c r="F98" s="65">
        <v>-570</v>
      </c>
      <c r="G98" s="41">
        <v>186</v>
      </c>
      <c r="H98" s="41">
        <v>-107</v>
      </c>
      <c r="I98" s="165">
        <v>1608.0029399999999</v>
      </c>
      <c r="J98" s="165">
        <v>732.46299999999997</v>
      </c>
      <c r="K98" s="41">
        <v>-1925.903</v>
      </c>
      <c r="L98" s="41">
        <v>0</v>
      </c>
      <c r="M98" s="41">
        <v>0</v>
      </c>
      <c r="N98" s="41">
        <v>0</v>
      </c>
      <c r="O98" s="41">
        <v>0</v>
      </c>
      <c r="P98" s="41">
        <v>0</v>
      </c>
    </row>
    <row r="99" spans="1:16" x14ac:dyDescent="0.25">
      <c r="A99" s="30">
        <v>250</v>
      </c>
      <c r="B99" s="31" t="s">
        <v>413</v>
      </c>
      <c r="C99" s="65">
        <v>-37.99771145650579</v>
      </c>
      <c r="D99" s="65">
        <v>-5</v>
      </c>
      <c r="E99" s="65">
        <v>60</v>
      </c>
      <c r="F99" s="65">
        <v>-338</v>
      </c>
      <c r="G99" s="41">
        <v>2</v>
      </c>
      <c r="H99" s="41">
        <v>-2146</v>
      </c>
      <c r="I99" s="165">
        <v>-15.530670000000001</v>
      </c>
      <c r="J99" s="165">
        <v>196.12117000000001</v>
      </c>
      <c r="K99" s="41">
        <v>-197.465</v>
      </c>
      <c r="L99" s="41">
        <v>0</v>
      </c>
      <c r="M99" s="41">
        <v>0</v>
      </c>
      <c r="N99" s="41">
        <v>0</v>
      </c>
      <c r="O99" s="41">
        <v>0</v>
      </c>
      <c r="P99" s="41">
        <v>0</v>
      </c>
    </row>
    <row r="100" spans="1:16" x14ac:dyDescent="0.25">
      <c r="A100" s="30">
        <v>256</v>
      </c>
      <c r="B100" s="31" t="s">
        <v>414</v>
      </c>
      <c r="C100" s="65">
        <v>13.000267842001746</v>
      </c>
      <c r="D100" s="65">
        <v>20</v>
      </c>
      <c r="E100" s="65">
        <v>19</v>
      </c>
      <c r="F100" s="65">
        <v>-10</v>
      </c>
      <c r="G100" s="41">
        <v>69</v>
      </c>
      <c r="H100" s="41">
        <v>243</v>
      </c>
      <c r="I100" s="165">
        <v>0</v>
      </c>
      <c r="J100" s="165">
        <v>-251.96458999999999</v>
      </c>
      <c r="K100" s="41">
        <v>-178.01300000000001</v>
      </c>
      <c r="L100" s="41">
        <v>0</v>
      </c>
      <c r="M100" s="41">
        <v>0</v>
      </c>
      <c r="N100" s="41">
        <v>0</v>
      </c>
      <c r="O100" s="41">
        <v>0</v>
      </c>
      <c r="P100" s="41">
        <v>0</v>
      </c>
    </row>
    <row r="101" spans="1:16" x14ac:dyDescent="0.25">
      <c r="A101" s="30">
        <v>257</v>
      </c>
      <c r="B101" s="31" t="s">
        <v>415</v>
      </c>
      <c r="C101" s="65">
        <v>-2147.6398523540774</v>
      </c>
      <c r="D101" s="65">
        <v>-1078</v>
      </c>
      <c r="E101" s="65">
        <v>-1487</v>
      </c>
      <c r="F101" s="65">
        <v>-3563</v>
      </c>
      <c r="G101" s="41">
        <v>-3674</v>
      </c>
      <c r="H101" s="41">
        <v>-2380</v>
      </c>
      <c r="I101" s="165">
        <v>-2694.52952</v>
      </c>
      <c r="J101" s="165">
        <v>-17737.468710000001</v>
      </c>
      <c r="K101" s="41">
        <v>-3695.0032500000002</v>
      </c>
      <c r="L101" s="41">
        <v>0</v>
      </c>
      <c r="M101" s="41">
        <v>0</v>
      </c>
      <c r="N101" s="41">
        <v>0</v>
      </c>
      <c r="O101" s="41">
        <v>0</v>
      </c>
      <c r="P101" s="41">
        <v>0</v>
      </c>
    </row>
    <row r="102" spans="1:16" x14ac:dyDescent="0.25">
      <c r="A102" s="30">
        <v>260</v>
      </c>
      <c r="B102" s="31" t="s">
        <v>416</v>
      </c>
      <c r="C102" s="65">
        <v>-239.908711838458</v>
      </c>
      <c r="D102" s="65">
        <v>-119</v>
      </c>
      <c r="E102" s="65">
        <v>-58</v>
      </c>
      <c r="F102" s="65">
        <v>717</v>
      </c>
      <c r="G102" s="41">
        <v>259</v>
      </c>
      <c r="H102" s="41">
        <v>191</v>
      </c>
      <c r="I102" s="165">
        <v>1814.4843799999999</v>
      </c>
      <c r="J102" s="165">
        <v>75.57423</v>
      </c>
      <c r="K102" s="41">
        <v>352.57583</v>
      </c>
      <c r="L102" s="41">
        <v>0</v>
      </c>
      <c r="M102" s="41">
        <v>0</v>
      </c>
      <c r="N102" s="41">
        <v>0</v>
      </c>
      <c r="O102" s="41">
        <v>0</v>
      </c>
      <c r="P102" s="41">
        <v>0</v>
      </c>
    </row>
    <row r="103" spans="1:16" x14ac:dyDescent="0.25">
      <c r="A103" s="30">
        <v>261</v>
      </c>
      <c r="B103" s="31" t="s">
        <v>417</v>
      </c>
      <c r="C103" s="65">
        <v>-224.91976626426973</v>
      </c>
      <c r="D103" s="65">
        <v>0</v>
      </c>
      <c r="E103" s="65">
        <v>43</v>
      </c>
      <c r="F103" s="65">
        <v>-1602</v>
      </c>
      <c r="G103" s="41">
        <v>-276</v>
      </c>
      <c r="H103" s="41">
        <v>-621</v>
      </c>
      <c r="I103" s="165">
        <v>-6559.5567699999992</v>
      </c>
      <c r="J103" s="165">
        <v>-959.51983999999993</v>
      </c>
      <c r="K103" s="41">
        <v>-476.19200000000001</v>
      </c>
      <c r="L103" s="41">
        <v>0</v>
      </c>
      <c r="M103" s="41">
        <v>0</v>
      </c>
      <c r="N103" s="41">
        <v>0</v>
      </c>
      <c r="O103" s="41">
        <v>0</v>
      </c>
      <c r="P103" s="41">
        <v>0</v>
      </c>
    </row>
    <row r="104" spans="1:16" x14ac:dyDescent="0.25">
      <c r="A104" s="30">
        <v>263</v>
      </c>
      <c r="B104" s="31" t="s">
        <v>418</v>
      </c>
      <c r="C104" s="65">
        <v>-21.99923292586482</v>
      </c>
      <c r="D104" s="65">
        <v>-2</v>
      </c>
      <c r="E104" s="65">
        <v>42</v>
      </c>
      <c r="F104" s="65">
        <v>18</v>
      </c>
      <c r="G104" s="41">
        <v>123</v>
      </c>
      <c r="H104" s="41">
        <v>-745</v>
      </c>
      <c r="I104" s="165">
        <v>-28.62903</v>
      </c>
      <c r="J104" s="165">
        <v>-278.35852</v>
      </c>
      <c r="K104" s="41">
        <v>657.30654000000004</v>
      </c>
      <c r="L104" s="41">
        <v>0</v>
      </c>
      <c r="M104" s="41">
        <v>0</v>
      </c>
      <c r="N104" s="41">
        <v>0</v>
      </c>
      <c r="O104" s="41">
        <v>0</v>
      </c>
      <c r="P104" s="41">
        <v>0</v>
      </c>
    </row>
    <row r="105" spans="1:16" x14ac:dyDescent="0.25">
      <c r="A105" s="30">
        <v>265</v>
      </c>
      <c r="B105" s="31" t="s">
        <v>419</v>
      </c>
      <c r="C105" s="65">
        <v>0</v>
      </c>
      <c r="D105" s="65">
        <v>-113</v>
      </c>
      <c r="E105" s="65">
        <v>0</v>
      </c>
      <c r="F105" s="65">
        <v>0</v>
      </c>
      <c r="G105" s="41">
        <v>1830</v>
      </c>
      <c r="H105" s="41">
        <v>-1750</v>
      </c>
      <c r="I105" s="165">
        <v>81.84926999999999</v>
      </c>
      <c r="J105" s="165">
        <v>-140.36168000000001</v>
      </c>
      <c r="K105" s="41">
        <v>-25</v>
      </c>
      <c r="L105" s="41">
        <v>0</v>
      </c>
      <c r="M105" s="41">
        <v>0</v>
      </c>
      <c r="N105" s="41">
        <v>0</v>
      </c>
      <c r="O105" s="41">
        <v>0</v>
      </c>
      <c r="P105" s="41">
        <v>0</v>
      </c>
    </row>
    <row r="106" spans="1:16" x14ac:dyDescent="0.25">
      <c r="A106" s="30">
        <v>271</v>
      </c>
      <c r="B106" s="31" t="s">
        <v>420</v>
      </c>
      <c r="C106" s="65">
        <v>-98.984466748762614</v>
      </c>
      <c r="D106" s="65">
        <v>28</v>
      </c>
      <c r="E106" s="65">
        <v>-6</v>
      </c>
      <c r="F106" s="65">
        <v>-4</v>
      </c>
      <c r="G106" s="41">
        <v>-36</v>
      </c>
      <c r="H106" s="41">
        <v>-60</v>
      </c>
      <c r="I106" s="165">
        <v>-18.55922</v>
      </c>
      <c r="J106" s="165">
        <v>-91.612460000000013</v>
      </c>
      <c r="K106" s="41">
        <v>0</v>
      </c>
      <c r="L106" s="41">
        <v>0</v>
      </c>
      <c r="M106" s="41">
        <v>0</v>
      </c>
      <c r="N106" s="41">
        <v>0</v>
      </c>
      <c r="O106" s="41">
        <v>0</v>
      </c>
      <c r="P106" s="41">
        <v>0</v>
      </c>
    </row>
    <row r="107" spans="1:16" x14ac:dyDescent="0.25">
      <c r="A107" s="30">
        <v>272</v>
      </c>
      <c r="B107" s="31" t="s">
        <v>421</v>
      </c>
      <c r="C107" s="65">
        <v>-2190.3431991112084</v>
      </c>
      <c r="D107" s="65">
        <v>-4069</v>
      </c>
      <c r="E107" s="65">
        <v>-2656</v>
      </c>
      <c r="F107" s="65">
        <v>-2093</v>
      </c>
      <c r="G107" s="41">
        <v>-3998</v>
      </c>
      <c r="H107" s="41">
        <v>-1270</v>
      </c>
      <c r="I107" s="165">
        <v>-1968.08421</v>
      </c>
      <c r="J107" s="165">
        <v>-7014.44301</v>
      </c>
      <c r="K107" s="41">
        <v>-1051.8589999999999</v>
      </c>
      <c r="L107" s="41">
        <v>0</v>
      </c>
      <c r="M107" s="41">
        <v>0</v>
      </c>
      <c r="N107" s="41">
        <v>0</v>
      </c>
      <c r="O107" s="41">
        <v>0</v>
      </c>
      <c r="P107" s="41">
        <v>0</v>
      </c>
    </row>
    <row r="108" spans="1:16" x14ac:dyDescent="0.25">
      <c r="A108" s="30">
        <v>273</v>
      </c>
      <c r="B108" s="31" t="s">
        <v>422</v>
      </c>
      <c r="C108" s="65">
        <v>0</v>
      </c>
      <c r="D108" s="65">
        <v>-48</v>
      </c>
      <c r="E108" s="65">
        <v>-24</v>
      </c>
      <c r="F108" s="65">
        <v>-68</v>
      </c>
      <c r="G108" s="41">
        <v>-85</v>
      </c>
      <c r="H108" s="41">
        <v>-30</v>
      </c>
      <c r="I108" s="165">
        <v>-677.84431000000006</v>
      </c>
      <c r="J108" s="165">
        <v>-404.07403999999997</v>
      </c>
      <c r="K108" s="41">
        <v>-267.01466999999997</v>
      </c>
      <c r="L108" s="41">
        <v>0</v>
      </c>
      <c r="M108" s="41">
        <v>0</v>
      </c>
      <c r="N108" s="41">
        <v>0</v>
      </c>
      <c r="O108" s="41">
        <v>0</v>
      </c>
      <c r="P108" s="41">
        <v>0</v>
      </c>
    </row>
    <row r="109" spans="1:16" x14ac:dyDescent="0.25">
      <c r="A109" s="30">
        <v>275</v>
      </c>
      <c r="B109" s="31" t="s">
        <v>423</v>
      </c>
      <c r="C109" s="65">
        <v>0</v>
      </c>
      <c r="D109" s="65">
        <v>0</v>
      </c>
      <c r="E109" s="65">
        <v>0</v>
      </c>
      <c r="F109" s="65">
        <v>0</v>
      </c>
      <c r="G109" s="41">
        <v>3822</v>
      </c>
      <c r="H109" s="41">
        <v>-3624</v>
      </c>
      <c r="I109" s="165">
        <v>356.12518999999998</v>
      </c>
      <c r="J109" s="165">
        <v>-68.162689999999998</v>
      </c>
      <c r="K109" s="41">
        <v>-8.0098500000000001</v>
      </c>
      <c r="L109" s="41">
        <v>0</v>
      </c>
      <c r="M109" s="41">
        <v>0</v>
      </c>
      <c r="N109" s="41">
        <v>0</v>
      </c>
      <c r="O109" s="41">
        <v>0</v>
      </c>
      <c r="P109" s="41">
        <v>0</v>
      </c>
    </row>
    <row r="110" spans="1:16" x14ac:dyDescent="0.25">
      <c r="A110" s="30">
        <v>276</v>
      </c>
      <c r="B110" s="31" t="s">
        <v>424</v>
      </c>
      <c r="C110" s="65">
        <v>-741.12743098313865</v>
      </c>
      <c r="D110" s="65">
        <v>-384</v>
      </c>
      <c r="E110" s="65">
        <v>-870</v>
      </c>
      <c r="F110" s="65">
        <v>-191</v>
      </c>
      <c r="G110" s="41">
        <v>-479</v>
      </c>
      <c r="H110" s="41">
        <v>863</v>
      </c>
      <c r="I110" s="165">
        <v>376.65071000000006</v>
      </c>
      <c r="J110" s="165">
        <v>-468.43142999999998</v>
      </c>
      <c r="K110" s="41">
        <v>-427.51736999999997</v>
      </c>
      <c r="L110" s="41">
        <v>0</v>
      </c>
      <c r="M110" s="41">
        <v>0</v>
      </c>
      <c r="N110" s="41">
        <v>0</v>
      </c>
      <c r="O110" s="41">
        <v>0</v>
      </c>
      <c r="P110" s="41">
        <v>0</v>
      </c>
    </row>
    <row r="111" spans="1:16" x14ac:dyDescent="0.25">
      <c r="A111" s="30">
        <v>280</v>
      </c>
      <c r="B111" s="31" t="s">
        <v>425</v>
      </c>
      <c r="C111" s="65">
        <v>-42.997069586619943</v>
      </c>
      <c r="D111" s="65">
        <v>-23</v>
      </c>
      <c r="E111" s="65">
        <v>-18</v>
      </c>
      <c r="F111" s="65">
        <v>0</v>
      </c>
      <c r="G111" s="41">
        <v>0</v>
      </c>
      <c r="H111" s="41">
        <v>0</v>
      </c>
      <c r="I111" s="165">
        <v>-2.7921300000000002</v>
      </c>
      <c r="J111" s="165">
        <v>0</v>
      </c>
      <c r="K111" s="41">
        <v>1.7448900000000001</v>
      </c>
      <c r="L111" s="41">
        <v>0</v>
      </c>
      <c r="M111" s="41">
        <v>0</v>
      </c>
      <c r="N111" s="41">
        <v>0</v>
      </c>
      <c r="O111" s="41">
        <v>0</v>
      </c>
      <c r="P111" s="41">
        <v>0</v>
      </c>
    </row>
    <row r="112" spans="1:16" x14ac:dyDescent="0.25">
      <c r="A112" s="30">
        <v>284</v>
      </c>
      <c r="B112" s="31" t="s">
        <v>426</v>
      </c>
      <c r="C112" s="65">
        <v>0</v>
      </c>
      <c r="D112" s="65">
        <v>13</v>
      </c>
      <c r="E112" s="65">
        <v>26</v>
      </c>
      <c r="F112" s="65">
        <v>5</v>
      </c>
      <c r="G112" s="41">
        <v>-22</v>
      </c>
      <c r="H112" s="41">
        <v>5</v>
      </c>
      <c r="I112" s="165">
        <v>0</v>
      </c>
      <c r="J112" s="165">
        <v>-17.5</v>
      </c>
      <c r="K112" s="41">
        <v>-36.531870000000005</v>
      </c>
      <c r="L112" s="41">
        <v>0</v>
      </c>
      <c r="M112" s="41">
        <v>0</v>
      </c>
      <c r="N112" s="41">
        <v>0</v>
      </c>
      <c r="O112" s="41">
        <v>0</v>
      </c>
      <c r="P112" s="41">
        <v>0</v>
      </c>
    </row>
    <row r="113" spans="1:16" x14ac:dyDescent="0.25">
      <c r="A113" s="30">
        <v>285</v>
      </c>
      <c r="B113" s="31" t="s">
        <v>427</v>
      </c>
      <c r="C113" s="65">
        <v>-2161.5439110320794</v>
      </c>
      <c r="D113" s="65">
        <v>1201</v>
      </c>
      <c r="E113" s="65">
        <v>-5071</v>
      </c>
      <c r="F113" s="65">
        <v>-9162</v>
      </c>
      <c r="G113" s="41">
        <v>-4195</v>
      </c>
      <c r="H113" s="41">
        <v>8996</v>
      </c>
      <c r="I113" s="165">
        <v>4221.2245299999995</v>
      </c>
      <c r="J113" s="165">
        <v>-10099.072330000001</v>
      </c>
      <c r="K113" s="41">
        <v>-5.7877000000000001</v>
      </c>
      <c r="L113" s="41">
        <v>0</v>
      </c>
      <c r="M113" s="41">
        <v>0</v>
      </c>
      <c r="N113" s="41">
        <v>0</v>
      </c>
      <c r="O113" s="41">
        <v>0</v>
      </c>
      <c r="P113" s="41">
        <v>0</v>
      </c>
    </row>
    <row r="114" spans="1:16" x14ac:dyDescent="0.25">
      <c r="A114" s="30">
        <v>286</v>
      </c>
      <c r="B114" s="31" t="s">
        <v>428</v>
      </c>
      <c r="C114" s="65">
        <v>-1347.1115855137098</v>
      </c>
      <c r="D114" s="65">
        <v>-6252</v>
      </c>
      <c r="E114" s="65">
        <v>-4223</v>
      </c>
      <c r="F114" s="65">
        <v>-1668</v>
      </c>
      <c r="G114" s="41">
        <v>568</v>
      </c>
      <c r="H114" s="41">
        <v>13720</v>
      </c>
      <c r="I114" s="165">
        <v>8316.2468099999987</v>
      </c>
      <c r="J114" s="165">
        <v>-13064.857830000001</v>
      </c>
      <c r="K114" s="41">
        <v>-2013.4776299999999</v>
      </c>
      <c r="L114" s="41">
        <v>0</v>
      </c>
      <c r="M114" s="41">
        <v>0</v>
      </c>
      <c r="N114" s="41">
        <v>0</v>
      </c>
      <c r="O114" s="41">
        <v>0</v>
      </c>
      <c r="P114" s="41">
        <v>0</v>
      </c>
    </row>
    <row r="115" spans="1:16" x14ac:dyDescent="0.25">
      <c r="A115" s="30">
        <v>287</v>
      </c>
      <c r="B115" s="31" t="s">
        <v>429</v>
      </c>
      <c r="C115" s="65">
        <v>-240.90794951891456</v>
      </c>
      <c r="D115" s="65">
        <v>-2755</v>
      </c>
      <c r="E115" s="65">
        <v>-1591</v>
      </c>
      <c r="F115" s="65">
        <v>-488</v>
      </c>
      <c r="G115" s="41">
        <v>1207</v>
      </c>
      <c r="H115" s="41">
        <v>-905</v>
      </c>
      <c r="I115" s="165">
        <v>695.54935999999987</v>
      </c>
      <c r="J115" s="165">
        <v>-318.91462000000001</v>
      </c>
      <c r="K115" s="41">
        <v>-1162.41407</v>
      </c>
      <c r="L115" s="41">
        <v>0</v>
      </c>
      <c r="M115" s="41">
        <v>0</v>
      </c>
      <c r="N115" s="41">
        <v>0</v>
      </c>
      <c r="O115" s="41">
        <v>0</v>
      </c>
      <c r="P115" s="41">
        <v>0</v>
      </c>
    </row>
    <row r="116" spans="1:16" x14ac:dyDescent="0.25">
      <c r="A116" s="30">
        <v>288</v>
      </c>
      <c r="B116" s="31" t="s">
        <v>430</v>
      </c>
      <c r="C116" s="65">
        <v>-59.994294489903623</v>
      </c>
      <c r="D116" s="65">
        <v>-170</v>
      </c>
      <c r="E116" s="65">
        <v>-8</v>
      </c>
      <c r="F116" s="65">
        <v>-21</v>
      </c>
      <c r="G116" s="41">
        <v>-617</v>
      </c>
      <c r="H116" s="41">
        <v>-113</v>
      </c>
      <c r="I116" s="165">
        <v>-210.70839000000001</v>
      </c>
      <c r="J116" s="165">
        <v>-41.698320000000002</v>
      </c>
      <c r="K116" s="41">
        <v>-17.166</v>
      </c>
      <c r="L116" s="41">
        <v>0</v>
      </c>
      <c r="M116" s="41">
        <v>0</v>
      </c>
      <c r="N116" s="41">
        <v>0</v>
      </c>
      <c r="O116" s="41">
        <v>0</v>
      </c>
      <c r="P116" s="41">
        <v>0</v>
      </c>
    </row>
    <row r="117" spans="1:16" x14ac:dyDescent="0.25">
      <c r="A117" s="30">
        <v>290</v>
      </c>
      <c r="B117" s="31" t="s">
        <v>431</v>
      </c>
      <c r="C117" s="65">
        <v>-67.992671589253987</v>
      </c>
      <c r="D117" s="65">
        <v>20</v>
      </c>
      <c r="E117" s="65">
        <v>637</v>
      </c>
      <c r="F117" s="65">
        <v>-54</v>
      </c>
      <c r="G117" s="41">
        <v>-197</v>
      </c>
      <c r="H117" s="41">
        <v>403</v>
      </c>
      <c r="I117" s="165">
        <v>680.97771999999998</v>
      </c>
      <c r="J117" s="165">
        <v>0</v>
      </c>
      <c r="K117" s="41">
        <v>31.109330000000003</v>
      </c>
      <c r="L117" s="41">
        <v>0</v>
      </c>
      <c r="M117" s="41">
        <v>0</v>
      </c>
      <c r="N117" s="41">
        <v>0</v>
      </c>
      <c r="O117" s="41">
        <v>0</v>
      </c>
      <c r="P117" s="41">
        <v>0</v>
      </c>
    </row>
    <row r="118" spans="1:16" x14ac:dyDescent="0.25">
      <c r="A118" s="30">
        <v>291</v>
      </c>
      <c r="B118" s="31" t="s">
        <v>432</v>
      </c>
      <c r="C118" s="65">
        <v>-37.99771145650579</v>
      </c>
      <c r="D118" s="65">
        <v>15</v>
      </c>
      <c r="E118" s="65">
        <v>0</v>
      </c>
      <c r="F118" s="65">
        <v>-15</v>
      </c>
      <c r="G118" s="41">
        <v>0</v>
      </c>
      <c r="H118" s="41">
        <v>-121</v>
      </c>
      <c r="I118" s="165">
        <v>-68.010869999999997</v>
      </c>
      <c r="J118" s="165">
        <v>6.8327</v>
      </c>
      <c r="K118" s="41">
        <v>-62.96658</v>
      </c>
      <c r="L118" s="41">
        <v>0</v>
      </c>
      <c r="M118" s="41">
        <v>0</v>
      </c>
      <c r="N118" s="41">
        <v>0</v>
      </c>
      <c r="O118" s="41">
        <v>0</v>
      </c>
      <c r="P118" s="41">
        <v>0</v>
      </c>
    </row>
    <row r="119" spans="1:16" x14ac:dyDescent="0.25">
      <c r="A119" s="30">
        <v>297</v>
      </c>
      <c r="B119" s="31" t="s">
        <v>433</v>
      </c>
      <c r="C119" s="65">
        <v>-8146.9994088457597</v>
      </c>
      <c r="D119" s="65">
        <v>-4294</v>
      </c>
      <c r="E119" s="65">
        <v>-1263</v>
      </c>
      <c r="F119" s="65">
        <v>-12636</v>
      </c>
      <c r="G119" s="41">
        <v>-97684</v>
      </c>
      <c r="H119" s="41">
        <v>-12767</v>
      </c>
      <c r="I119" s="165">
        <v>-10718.795370000002</v>
      </c>
      <c r="J119" s="165">
        <v>-4065.4603500000003</v>
      </c>
      <c r="K119" s="41">
        <v>3157.0392900000002</v>
      </c>
      <c r="L119" s="41">
        <v>0</v>
      </c>
      <c r="M119" s="41">
        <v>0</v>
      </c>
      <c r="N119" s="41">
        <v>0</v>
      </c>
      <c r="O119" s="41">
        <v>0</v>
      </c>
      <c r="P119" s="41">
        <v>0</v>
      </c>
    </row>
    <row r="120" spans="1:16" x14ac:dyDescent="0.25">
      <c r="A120" s="30">
        <v>300</v>
      </c>
      <c r="B120" s="31" t="s">
        <v>434</v>
      </c>
      <c r="C120" s="65">
        <v>-26.998844634205483</v>
      </c>
      <c r="D120" s="65">
        <v>-33</v>
      </c>
      <c r="E120" s="65">
        <v>-123</v>
      </c>
      <c r="F120" s="65">
        <v>-45</v>
      </c>
      <c r="G120" s="41">
        <v>6</v>
      </c>
      <c r="H120" s="41">
        <v>-31</v>
      </c>
      <c r="I120" s="165">
        <v>-2931.8540200000002</v>
      </c>
      <c r="J120" s="165">
        <v>-107.00297</v>
      </c>
      <c r="K120" s="41">
        <v>-57.095610000000001</v>
      </c>
      <c r="L120" s="41">
        <v>0</v>
      </c>
      <c r="M120" s="41">
        <v>0</v>
      </c>
      <c r="N120" s="41">
        <v>0</v>
      </c>
      <c r="O120" s="41">
        <v>0</v>
      </c>
      <c r="P120" s="41">
        <v>0</v>
      </c>
    </row>
    <row r="121" spans="1:16" x14ac:dyDescent="0.25">
      <c r="A121" s="30">
        <v>301</v>
      </c>
      <c r="B121" s="31" t="s">
        <v>435</v>
      </c>
      <c r="C121" s="65">
        <v>-199.93660544337359</v>
      </c>
      <c r="D121" s="65">
        <v>-54</v>
      </c>
      <c r="E121" s="65">
        <v>23</v>
      </c>
      <c r="F121" s="65">
        <v>179</v>
      </c>
      <c r="G121" s="41">
        <v>-255</v>
      </c>
      <c r="H121" s="41">
        <v>146</v>
      </c>
      <c r="I121" s="165">
        <v>1037.70102</v>
      </c>
      <c r="J121" s="165">
        <v>-3223.3506899999998</v>
      </c>
      <c r="K121" s="41">
        <v>-470.37876</v>
      </c>
      <c r="L121" s="41">
        <v>0</v>
      </c>
      <c r="M121" s="41">
        <v>0</v>
      </c>
      <c r="N121" s="41">
        <v>0</v>
      </c>
      <c r="O121" s="41">
        <v>0</v>
      </c>
      <c r="P121" s="41">
        <v>0</v>
      </c>
    </row>
    <row r="122" spans="1:16" x14ac:dyDescent="0.25">
      <c r="A122" s="30">
        <v>304</v>
      </c>
      <c r="B122" s="31" t="s">
        <v>436</v>
      </c>
      <c r="C122" s="65">
        <v>0</v>
      </c>
      <c r="D122" s="65">
        <v>0</v>
      </c>
      <c r="E122" s="65">
        <v>-1</v>
      </c>
      <c r="F122" s="65">
        <v>-4</v>
      </c>
      <c r="G122" s="41">
        <v>0</v>
      </c>
      <c r="H122" s="41">
        <v>-5</v>
      </c>
      <c r="I122" s="165">
        <v>0</v>
      </c>
      <c r="J122" s="165">
        <v>-237.48517999999999</v>
      </c>
      <c r="K122" s="41">
        <v>-5.10886</v>
      </c>
      <c r="L122" s="41">
        <v>0</v>
      </c>
      <c r="M122" s="41">
        <v>0</v>
      </c>
      <c r="N122" s="41">
        <v>0</v>
      </c>
      <c r="O122" s="41">
        <v>0</v>
      </c>
      <c r="P122" s="41">
        <v>0</v>
      </c>
    </row>
    <row r="123" spans="1:16" x14ac:dyDescent="0.25">
      <c r="A123" s="30">
        <v>305</v>
      </c>
      <c r="B123" s="31" t="s">
        <v>437</v>
      </c>
      <c r="C123" s="65">
        <v>-772.0529978493397</v>
      </c>
      <c r="D123" s="65">
        <v>-1396</v>
      </c>
      <c r="E123" s="65">
        <v>-30</v>
      </c>
      <c r="F123" s="65">
        <v>-302</v>
      </c>
      <c r="G123" s="41">
        <v>6</v>
      </c>
      <c r="H123" s="41">
        <v>-460</v>
      </c>
      <c r="I123" s="165">
        <v>469.17239000000001</v>
      </c>
      <c r="J123" s="165">
        <v>-3952.14356</v>
      </c>
      <c r="K123" s="41">
        <v>-236.76526000000001</v>
      </c>
      <c r="L123" s="41">
        <v>0</v>
      </c>
      <c r="M123" s="41">
        <v>0</v>
      </c>
      <c r="N123" s="41">
        <v>0</v>
      </c>
      <c r="O123" s="41">
        <v>0</v>
      </c>
      <c r="P123" s="41">
        <v>0</v>
      </c>
    </row>
    <row r="124" spans="1:16" x14ac:dyDescent="0.25">
      <c r="A124" s="30">
        <v>309</v>
      </c>
      <c r="B124" s="31" t="s">
        <v>438</v>
      </c>
      <c r="C124" s="65">
        <v>-7.9998985687093978</v>
      </c>
      <c r="D124" s="65">
        <v>45</v>
      </c>
      <c r="E124" s="65">
        <v>-304</v>
      </c>
      <c r="F124" s="65">
        <v>0</v>
      </c>
      <c r="G124" s="41">
        <v>-101</v>
      </c>
      <c r="H124" s="41">
        <v>-49186</v>
      </c>
      <c r="I124" s="165">
        <v>1474.0529899999999</v>
      </c>
      <c r="J124" s="165">
        <v>7.0378299999999996</v>
      </c>
      <c r="K124" s="41">
        <v>-1361.90768</v>
      </c>
      <c r="L124" s="41">
        <v>0</v>
      </c>
      <c r="M124" s="41">
        <v>0</v>
      </c>
      <c r="N124" s="41">
        <v>0</v>
      </c>
      <c r="O124" s="41">
        <v>0</v>
      </c>
      <c r="P124" s="41">
        <v>0</v>
      </c>
    </row>
    <row r="125" spans="1:16" x14ac:dyDescent="0.25">
      <c r="A125" s="30">
        <v>312</v>
      </c>
      <c r="B125" s="31" t="s">
        <v>439</v>
      </c>
      <c r="C125" s="65">
        <v>-6.9999223416681327</v>
      </c>
      <c r="D125" s="65">
        <v>-3</v>
      </c>
      <c r="E125" s="65">
        <v>0</v>
      </c>
      <c r="F125" s="65">
        <v>-2</v>
      </c>
      <c r="G125" s="41">
        <v>3258</v>
      </c>
      <c r="H125" s="41">
        <v>-385</v>
      </c>
      <c r="I125" s="165">
        <v>139.50811999999999</v>
      </c>
      <c r="J125" s="165">
        <v>-359.97573</v>
      </c>
      <c r="K125" s="41">
        <v>-1</v>
      </c>
      <c r="L125" s="41">
        <v>0</v>
      </c>
      <c r="M125" s="41">
        <v>0</v>
      </c>
      <c r="N125" s="41">
        <v>0</v>
      </c>
      <c r="O125" s="41">
        <v>0</v>
      </c>
      <c r="P125" s="41">
        <v>0</v>
      </c>
    </row>
    <row r="126" spans="1:16" x14ac:dyDescent="0.25">
      <c r="A126" s="30">
        <v>316</v>
      </c>
      <c r="B126" s="31" t="s">
        <v>440</v>
      </c>
      <c r="C126" s="65">
        <v>-92.986292511993454</v>
      </c>
      <c r="D126" s="65">
        <v>-4</v>
      </c>
      <c r="E126" s="65">
        <v>-76</v>
      </c>
      <c r="F126" s="65">
        <v>-20</v>
      </c>
      <c r="G126" s="41">
        <v>-120</v>
      </c>
      <c r="H126" s="41">
        <v>-13</v>
      </c>
      <c r="I126" s="165">
        <v>0.66025999999999996</v>
      </c>
      <c r="J126" s="165">
        <v>-14.682450000000001</v>
      </c>
      <c r="K126" s="41">
        <v>-29.28248</v>
      </c>
      <c r="L126" s="41">
        <v>0</v>
      </c>
      <c r="M126" s="41">
        <v>0</v>
      </c>
      <c r="N126" s="41">
        <v>0</v>
      </c>
      <c r="O126" s="41">
        <v>0</v>
      </c>
      <c r="P126" s="41">
        <v>0</v>
      </c>
    </row>
    <row r="127" spans="1:16" x14ac:dyDescent="0.25">
      <c r="A127" s="30">
        <v>317</v>
      </c>
      <c r="B127" s="31" t="s">
        <v>441</v>
      </c>
      <c r="C127" s="65">
        <v>-99.984151360843398</v>
      </c>
      <c r="D127" s="65">
        <v>-149</v>
      </c>
      <c r="E127" s="65">
        <v>11</v>
      </c>
      <c r="F127" s="65">
        <v>84</v>
      </c>
      <c r="G127" s="41">
        <v>15</v>
      </c>
      <c r="H127" s="41">
        <v>-28</v>
      </c>
      <c r="I127" s="165">
        <v>-1.9726900000000001</v>
      </c>
      <c r="J127" s="165">
        <v>-92.576119999999989</v>
      </c>
      <c r="K127" s="41">
        <v>0</v>
      </c>
      <c r="L127" s="41">
        <v>0</v>
      </c>
      <c r="M127" s="41">
        <v>0</v>
      </c>
      <c r="N127" s="41">
        <v>0</v>
      </c>
      <c r="O127" s="41">
        <v>0</v>
      </c>
      <c r="P127" s="41">
        <v>0</v>
      </c>
    </row>
    <row r="128" spans="1:16" x14ac:dyDescent="0.25">
      <c r="A128" s="30">
        <v>320</v>
      </c>
      <c r="B128" s="31" t="s">
        <v>442</v>
      </c>
      <c r="C128" s="65">
        <v>-24.999009460052712</v>
      </c>
      <c r="D128" s="65">
        <v>-3594</v>
      </c>
      <c r="E128" s="65">
        <v>-8</v>
      </c>
      <c r="F128" s="65">
        <v>-535</v>
      </c>
      <c r="G128" s="41">
        <v>-210</v>
      </c>
      <c r="H128" s="41">
        <v>-102</v>
      </c>
      <c r="I128" s="165">
        <v>-223.83471</v>
      </c>
      <c r="J128" s="165">
        <v>-126.90353</v>
      </c>
      <c r="K128" s="41">
        <v>-128.9196</v>
      </c>
      <c r="L128" s="41">
        <v>0</v>
      </c>
      <c r="M128" s="41">
        <v>0</v>
      </c>
      <c r="N128" s="41">
        <v>0</v>
      </c>
      <c r="O128" s="41">
        <v>0</v>
      </c>
      <c r="P128" s="41">
        <v>0</v>
      </c>
    </row>
    <row r="129" spans="1:16" x14ac:dyDescent="0.25">
      <c r="A129" s="30">
        <v>322</v>
      </c>
      <c r="B129" s="31" t="s">
        <v>443</v>
      </c>
      <c r="C129" s="65">
        <v>-71.991784065461218</v>
      </c>
      <c r="D129" s="65">
        <v>-246</v>
      </c>
      <c r="E129" s="65">
        <v>-1194</v>
      </c>
      <c r="F129" s="65">
        <v>-381</v>
      </c>
      <c r="G129" s="41">
        <v>-37</v>
      </c>
      <c r="H129" s="41">
        <v>-87</v>
      </c>
      <c r="I129" s="165">
        <v>-14.857099999999999</v>
      </c>
      <c r="J129" s="165">
        <v>7.7139600000000002</v>
      </c>
      <c r="K129" s="41">
        <v>-13.1213</v>
      </c>
      <c r="L129" s="41">
        <v>0</v>
      </c>
      <c r="M129" s="41">
        <v>0</v>
      </c>
      <c r="N129" s="41">
        <v>0</v>
      </c>
      <c r="O129" s="41">
        <v>0</v>
      </c>
      <c r="P129" s="41">
        <v>0</v>
      </c>
    </row>
    <row r="130" spans="1:16" x14ac:dyDescent="0.25">
      <c r="A130" s="30">
        <v>398</v>
      </c>
      <c r="B130" s="31" t="s">
        <v>444</v>
      </c>
      <c r="C130" s="65">
        <v>-1885.3327152364063</v>
      </c>
      <c r="D130" s="65">
        <v>-5551</v>
      </c>
      <c r="E130" s="65">
        <v>-8919</v>
      </c>
      <c r="F130" s="65">
        <v>-5038</v>
      </c>
      <c r="G130" s="41">
        <v>-1428</v>
      </c>
      <c r="H130" s="41">
        <v>394</v>
      </c>
      <c r="I130" s="165">
        <v>-9416.8444600000003</v>
      </c>
      <c r="J130" s="165">
        <v>-57619.282140000003</v>
      </c>
      <c r="K130" s="41">
        <v>-20902.126539999997</v>
      </c>
      <c r="L130" s="41">
        <v>0</v>
      </c>
      <c r="M130" s="41">
        <v>0</v>
      </c>
      <c r="N130" s="41">
        <v>0</v>
      </c>
      <c r="O130" s="41">
        <v>0</v>
      </c>
      <c r="P130" s="41">
        <v>0</v>
      </c>
    </row>
    <row r="131" spans="1:16" x14ac:dyDescent="0.25">
      <c r="A131" s="30">
        <v>399</v>
      </c>
      <c r="B131" s="31" t="s">
        <v>445</v>
      </c>
      <c r="C131" s="65">
        <v>-140.96849132049277</v>
      </c>
      <c r="D131" s="65">
        <v>-77</v>
      </c>
      <c r="E131" s="65">
        <v>-49</v>
      </c>
      <c r="F131" s="65">
        <v>-150</v>
      </c>
      <c r="G131" s="41">
        <v>-1067</v>
      </c>
      <c r="H131" s="41">
        <v>-59</v>
      </c>
      <c r="I131" s="165">
        <v>-678.15503999999999</v>
      </c>
      <c r="J131" s="165">
        <v>-7.56752</v>
      </c>
      <c r="K131" s="41">
        <v>0</v>
      </c>
      <c r="L131" s="41">
        <v>0</v>
      </c>
      <c r="M131" s="41">
        <v>0</v>
      </c>
      <c r="N131" s="41">
        <v>0</v>
      </c>
      <c r="O131" s="41">
        <v>0</v>
      </c>
      <c r="P131" s="41">
        <v>0</v>
      </c>
    </row>
    <row r="132" spans="1:16" x14ac:dyDescent="0.25">
      <c r="A132" s="30">
        <v>400</v>
      </c>
      <c r="B132" s="31" t="s">
        <v>446</v>
      </c>
      <c r="C132" s="65">
        <v>-49.996037840210853</v>
      </c>
      <c r="D132" s="65">
        <v>-219</v>
      </c>
      <c r="E132" s="65">
        <v>-235</v>
      </c>
      <c r="F132" s="65">
        <v>0</v>
      </c>
      <c r="G132" s="41">
        <v>0</v>
      </c>
      <c r="H132" s="41">
        <v>-70</v>
      </c>
      <c r="I132" s="165">
        <v>-172.18377000000001</v>
      </c>
      <c r="J132" s="165">
        <v>-43.67942</v>
      </c>
      <c r="K132" s="41">
        <v>34.33464</v>
      </c>
      <c r="L132" s="41">
        <v>0</v>
      </c>
      <c r="M132" s="41">
        <v>0</v>
      </c>
      <c r="N132" s="41">
        <v>0</v>
      </c>
      <c r="O132" s="41">
        <v>0</v>
      </c>
      <c r="P132" s="41">
        <v>0</v>
      </c>
    </row>
    <row r="133" spans="1:16" x14ac:dyDescent="0.25">
      <c r="A133" s="30">
        <v>402</v>
      </c>
      <c r="B133" s="31" t="s">
        <v>447</v>
      </c>
      <c r="C133" s="65">
        <v>-23.99908711838458</v>
      </c>
      <c r="D133" s="65">
        <v>56</v>
      </c>
      <c r="E133" s="65">
        <v>-493</v>
      </c>
      <c r="F133" s="65">
        <v>14</v>
      </c>
      <c r="G133" s="41">
        <v>238</v>
      </c>
      <c r="H133" s="41">
        <v>71</v>
      </c>
      <c r="I133" s="165">
        <v>-53.990859999999998</v>
      </c>
      <c r="J133" s="165">
        <v>-31.977790000000002</v>
      </c>
      <c r="K133" s="41">
        <v>0</v>
      </c>
      <c r="L133" s="41">
        <v>0</v>
      </c>
      <c r="M133" s="41">
        <v>0</v>
      </c>
      <c r="N133" s="41">
        <v>0</v>
      </c>
      <c r="O133" s="41">
        <v>0</v>
      </c>
      <c r="P133" s="41">
        <v>0</v>
      </c>
    </row>
    <row r="134" spans="1:16" x14ac:dyDescent="0.25">
      <c r="A134" s="30">
        <v>403</v>
      </c>
      <c r="B134" s="31" t="s">
        <v>448</v>
      </c>
      <c r="C134" s="65">
        <v>-82.989081872485016</v>
      </c>
      <c r="D134" s="65">
        <v>1</v>
      </c>
      <c r="E134" s="65">
        <v>-48</v>
      </c>
      <c r="F134" s="65">
        <v>-1894</v>
      </c>
      <c r="G134" s="41">
        <v>0</v>
      </c>
      <c r="H134" s="41">
        <v>-9</v>
      </c>
      <c r="I134" s="165">
        <v>-10.58766</v>
      </c>
      <c r="J134" s="165">
        <v>-42.854839999999996</v>
      </c>
      <c r="K134" s="41">
        <v>289.63825000000003</v>
      </c>
      <c r="L134" s="41">
        <v>0</v>
      </c>
      <c r="M134" s="41">
        <v>0</v>
      </c>
      <c r="N134" s="41">
        <v>0</v>
      </c>
      <c r="O134" s="41">
        <v>0</v>
      </c>
      <c r="P134" s="41">
        <v>0</v>
      </c>
    </row>
    <row r="135" spans="1:16" x14ac:dyDescent="0.25">
      <c r="A135" s="30">
        <v>405</v>
      </c>
      <c r="B135" s="31" t="s">
        <v>449</v>
      </c>
      <c r="C135" s="65">
        <v>-5483.4983715523267</v>
      </c>
      <c r="D135" s="65">
        <v>-576</v>
      </c>
      <c r="E135" s="65">
        <v>-2228</v>
      </c>
      <c r="F135" s="65">
        <v>5993</v>
      </c>
      <c r="G135" s="41">
        <v>-14085</v>
      </c>
      <c r="H135" s="41">
        <v>14863</v>
      </c>
      <c r="I135" s="165">
        <v>6847.6043599999994</v>
      </c>
      <c r="J135" s="165">
        <v>-8133.3283300000003</v>
      </c>
      <c r="K135" s="41">
        <v>-2063.4458999999997</v>
      </c>
      <c r="L135" s="41">
        <v>0</v>
      </c>
      <c r="M135" s="41">
        <v>0</v>
      </c>
      <c r="N135" s="41">
        <v>0</v>
      </c>
      <c r="O135" s="41">
        <v>0</v>
      </c>
      <c r="P135" s="41">
        <v>0</v>
      </c>
    </row>
    <row r="136" spans="1:16" x14ac:dyDescent="0.25">
      <c r="A136" s="30">
        <v>407</v>
      </c>
      <c r="B136" s="31" t="s">
        <v>450</v>
      </c>
      <c r="C136" s="65">
        <v>-175.95090725534851</v>
      </c>
      <c r="D136" s="65">
        <v>-38</v>
      </c>
      <c r="E136" s="65">
        <v>-12</v>
      </c>
      <c r="F136" s="65">
        <v>-41</v>
      </c>
      <c r="G136" s="41">
        <v>64</v>
      </c>
      <c r="H136" s="41">
        <v>-27</v>
      </c>
      <c r="I136" s="165">
        <v>-3427.1406799999995</v>
      </c>
      <c r="J136" s="165">
        <v>1.4727300000000001</v>
      </c>
      <c r="K136" s="41">
        <v>-8.272120000000001</v>
      </c>
      <c r="L136" s="41">
        <v>0</v>
      </c>
      <c r="M136" s="41">
        <v>0</v>
      </c>
      <c r="N136" s="41">
        <v>0</v>
      </c>
      <c r="O136" s="41">
        <v>0</v>
      </c>
      <c r="P136" s="41">
        <v>0</v>
      </c>
    </row>
    <row r="137" spans="1:16" x14ac:dyDescent="0.25">
      <c r="A137" s="30">
        <v>408</v>
      </c>
      <c r="B137" s="31" t="s">
        <v>451</v>
      </c>
      <c r="C137" s="65">
        <v>-507.59100367846912</v>
      </c>
      <c r="D137" s="65">
        <v>-594</v>
      </c>
      <c r="E137" s="65">
        <v>-738</v>
      </c>
      <c r="F137" s="65">
        <v>-485</v>
      </c>
      <c r="G137" s="41">
        <v>-708</v>
      </c>
      <c r="H137" s="41">
        <v>-70</v>
      </c>
      <c r="I137" s="165">
        <v>-129.54331999999999</v>
      </c>
      <c r="J137" s="165">
        <v>-96.068570000000008</v>
      </c>
      <c r="K137" s="41">
        <v>-105.73074000000001</v>
      </c>
      <c r="L137" s="41">
        <v>0</v>
      </c>
      <c r="M137" s="41">
        <v>0</v>
      </c>
      <c r="N137" s="41">
        <v>0</v>
      </c>
      <c r="O137" s="41">
        <v>0</v>
      </c>
      <c r="P137" s="41">
        <v>0</v>
      </c>
    </row>
    <row r="138" spans="1:16" x14ac:dyDescent="0.25">
      <c r="A138" s="30">
        <v>410</v>
      </c>
      <c r="B138" s="31" t="s">
        <v>452</v>
      </c>
      <c r="C138" s="65">
        <v>-551.51708562544275</v>
      </c>
      <c r="D138" s="65">
        <v>-511</v>
      </c>
      <c r="E138" s="65">
        <v>-435</v>
      </c>
      <c r="F138" s="65">
        <v>-479</v>
      </c>
      <c r="G138" s="41">
        <v>-1224</v>
      </c>
      <c r="H138" s="41">
        <v>305</v>
      </c>
      <c r="I138" s="165">
        <v>1879.91048</v>
      </c>
      <c r="J138" s="165">
        <v>-1749.08959</v>
      </c>
      <c r="K138" s="41">
        <v>-491.13839000000002</v>
      </c>
      <c r="L138" s="41">
        <v>0</v>
      </c>
      <c r="M138" s="41">
        <v>0</v>
      </c>
      <c r="N138" s="41">
        <v>0</v>
      </c>
      <c r="O138" s="41">
        <v>0</v>
      </c>
      <c r="P138" s="41">
        <v>0</v>
      </c>
    </row>
    <row r="139" spans="1:16" x14ac:dyDescent="0.25">
      <c r="A139" s="30">
        <v>416</v>
      </c>
      <c r="B139" s="31" t="s">
        <v>453</v>
      </c>
      <c r="C139" s="65">
        <v>-213.92741957211845</v>
      </c>
      <c r="D139" s="65">
        <v>-26</v>
      </c>
      <c r="E139" s="65">
        <v>737</v>
      </c>
      <c r="F139" s="65">
        <v>-537</v>
      </c>
      <c r="G139" s="41">
        <v>-191</v>
      </c>
      <c r="H139" s="41">
        <v>400</v>
      </c>
      <c r="I139" s="165">
        <v>194.16281000000001</v>
      </c>
      <c r="J139" s="165">
        <v>-305.85046999999997</v>
      </c>
      <c r="K139" s="41">
        <v>-10.359360000000001</v>
      </c>
      <c r="L139" s="41">
        <v>0</v>
      </c>
      <c r="M139" s="41">
        <v>0</v>
      </c>
      <c r="N139" s="41">
        <v>0</v>
      </c>
      <c r="O139" s="41">
        <v>0</v>
      </c>
      <c r="P139" s="41">
        <v>0</v>
      </c>
    </row>
    <row r="140" spans="1:16" x14ac:dyDescent="0.25">
      <c r="A140" s="30">
        <v>418</v>
      </c>
      <c r="B140" s="31" t="s">
        <v>454</v>
      </c>
      <c r="C140" s="65">
        <v>-5820.2974314110515</v>
      </c>
      <c r="D140" s="65">
        <v>-2248</v>
      </c>
      <c r="E140" s="65">
        <v>-2003</v>
      </c>
      <c r="F140" s="65">
        <v>-1326</v>
      </c>
      <c r="G140" s="41">
        <v>-27718</v>
      </c>
      <c r="H140" s="41">
        <v>-2281</v>
      </c>
      <c r="I140" s="165">
        <v>-5524.3811900000001</v>
      </c>
      <c r="J140" s="165">
        <v>-2242.39311</v>
      </c>
      <c r="K140" s="41">
        <v>-502.18047999999999</v>
      </c>
      <c r="L140" s="41">
        <v>0</v>
      </c>
      <c r="M140" s="41">
        <v>0</v>
      </c>
      <c r="N140" s="41">
        <v>0</v>
      </c>
      <c r="O140" s="41">
        <v>0</v>
      </c>
      <c r="P140" s="41">
        <v>0</v>
      </c>
    </row>
    <row r="141" spans="1:16" x14ac:dyDescent="0.25">
      <c r="A141" s="30">
        <v>420</v>
      </c>
      <c r="B141" s="31" t="s">
        <v>455</v>
      </c>
      <c r="C141" s="65">
        <v>-191.9415755766131</v>
      </c>
      <c r="D141" s="65">
        <v>-70</v>
      </c>
      <c r="E141" s="65">
        <v>-136</v>
      </c>
      <c r="F141" s="65">
        <v>-83</v>
      </c>
      <c r="G141" s="41">
        <v>574</v>
      </c>
      <c r="H141" s="41">
        <v>-427</v>
      </c>
      <c r="I141" s="165">
        <v>2442.90789</v>
      </c>
      <c r="J141" s="165">
        <v>848.31243000000006</v>
      </c>
      <c r="K141" s="41">
        <v>-975.86176999999998</v>
      </c>
      <c r="L141" s="41">
        <v>0</v>
      </c>
      <c r="M141" s="41">
        <v>0</v>
      </c>
      <c r="N141" s="41">
        <v>0</v>
      </c>
      <c r="O141" s="41">
        <v>0</v>
      </c>
      <c r="P141" s="41">
        <v>0</v>
      </c>
    </row>
    <row r="142" spans="1:16" x14ac:dyDescent="0.25">
      <c r="A142" s="30">
        <v>421</v>
      </c>
      <c r="B142" s="31" t="s">
        <v>456</v>
      </c>
      <c r="C142" s="65">
        <v>-20.999301075013193</v>
      </c>
      <c r="D142" s="65">
        <v>0</v>
      </c>
      <c r="E142" s="65">
        <v>0</v>
      </c>
      <c r="F142" s="65">
        <v>-140</v>
      </c>
      <c r="G142" s="41">
        <v>0</v>
      </c>
      <c r="H142" s="41">
        <v>0</v>
      </c>
      <c r="I142" s="165">
        <v>0</v>
      </c>
      <c r="J142" s="165">
        <v>0</v>
      </c>
      <c r="K142" s="41">
        <v>0</v>
      </c>
      <c r="L142" s="41">
        <v>0</v>
      </c>
      <c r="M142" s="41">
        <v>0</v>
      </c>
      <c r="N142" s="41">
        <v>0</v>
      </c>
      <c r="O142" s="41">
        <v>0</v>
      </c>
      <c r="P142" s="41">
        <v>0</v>
      </c>
    </row>
    <row r="143" spans="1:16" x14ac:dyDescent="0.25">
      <c r="A143" s="30">
        <v>422</v>
      </c>
      <c r="B143" s="31" t="s">
        <v>457</v>
      </c>
      <c r="C143" s="65">
        <v>739.86552746648408</v>
      </c>
      <c r="D143" s="65">
        <v>-53</v>
      </c>
      <c r="E143" s="65">
        <v>-930</v>
      </c>
      <c r="F143" s="65">
        <v>-5</v>
      </c>
      <c r="G143" s="41">
        <v>-34</v>
      </c>
      <c r="H143" s="41">
        <v>1195</v>
      </c>
      <c r="I143" s="165">
        <v>1489.1971599999999</v>
      </c>
      <c r="J143" s="165">
        <v>-1900.5538000000001</v>
      </c>
      <c r="K143" s="41">
        <v>32.014600000000002</v>
      </c>
      <c r="L143" s="41">
        <v>0</v>
      </c>
      <c r="M143" s="41">
        <v>0</v>
      </c>
      <c r="N143" s="41">
        <v>0</v>
      </c>
      <c r="O143" s="41">
        <v>0</v>
      </c>
      <c r="P143" s="41">
        <v>0</v>
      </c>
    </row>
    <row r="144" spans="1:16" x14ac:dyDescent="0.25">
      <c r="A144" s="30">
        <v>423</v>
      </c>
      <c r="B144" s="31" t="s">
        <v>458</v>
      </c>
      <c r="C144" s="65">
        <v>-1774.9785171696233</v>
      </c>
      <c r="D144" s="65">
        <v>-1626</v>
      </c>
      <c r="E144" s="65">
        <v>-2253</v>
      </c>
      <c r="F144" s="65">
        <v>-3514</v>
      </c>
      <c r="G144" s="41">
        <v>-2188</v>
      </c>
      <c r="H144" s="41">
        <v>-1855</v>
      </c>
      <c r="I144" s="165">
        <v>-2337.5194500000002</v>
      </c>
      <c r="J144" s="165">
        <v>-1641.36654</v>
      </c>
      <c r="K144" s="41">
        <v>-2101.07186</v>
      </c>
      <c r="L144" s="41">
        <v>0</v>
      </c>
      <c r="M144" s="41">
        <v>0</v>
      </c>
      <c r="N144" s="41">
        <v>0</v>
      </c>
      <c r="O144" s="41">
        <v>0</v>
      </c>
      <c r="P144" s="41">
        <v>0</v>
      </c>
    </row>
    <row r="145" spans="1:16" x14ac:dyDescent="0.25">
      <c r="A145" s="30">
        <v>425</v>
      </c>
      <c r="B145" s="31" t="s">
        <v>459</v>
      </c>
      <c r="C145" s="65">
        <v>-546.52579445265928</v>
      </c>
      <c r="D145" s="65">
        <v>-634</v>
      </c>
      <c r="E145" s="65">
        <v>-734</v>
      </c>
      <c r="F145" s="65">
        <v>-640</v>
      </c>
      <c r="G145" s="41">
        <v>-815</v>
      </c>
      <c r="H145" s="41">
        <v>-276</v>
      </c>
      <c r="I145" s="165">
        <v>-267.44553999999999</v>
      </c>
      <c r="J145" s="165">
        <v>-356.21224999999998</v>
      </c>
      <c r="K145" s="41">
        <v>-150.38639999999998</v>
      </c>
      <c r="L145" s="41">
        <v>0</v>
      </c>
      <c r="M145" s="41">
        <v>0</v>
      </c>
      <c r="N145" s="41">
        <v>0</v>
      </c>
      <c r="O145" s="41">
        <v>0</v>
      </c>
      <c r="P145" s="41">
        <v>0</v>
      </c>
    </row>
    <row r="146" spans="1:16" x14ac:dyDescent="0.25">
      <c r="A146" s="30">
        <v>426</v>
      </c>
      <c r="B146" s="31" t="s">
        <v>460</v>
      </c>
      <c r="C146" s="65">
        <v>-479.63484735383196</v>
      </c>
      <c r="D146" s="65">
        <v>-73</v>
      </c>
      <c r="E146" s="65">
        <v>-1349</v>
      </c>
      <c r="F146" s="65">
        <v>-372</v>
      </c>
      <c r="G146" s="41">
        <v>-188</v>
      </c>
      <c r="H146" s="41">
        <v>1108</v>
      </c>
      <c r="I146" s="165">
        <v>1043.30871</v>
      </c>
      <c r="J146" s="165">
        <v>-36.306470000000004</v>
      </c>
      <c r="K146" s="41">
        <v>-1681.28485</v>
      </c>
      <c r="L146" s="41">
        <v>0</v>
      </c>
      <c r="M146" s="41">
        <v>0</v>
      </c>
      <c r="N146" s="41">
        <v>0</v>
      </c>
      <c r="O146" s="41">
        <v>0</v>
      </c>
      <c r="P146" s="41">
        <v>0</v>
      </c>
    </row>
    <row r="147" spans="1:16" x14ac:dyDescent="0.25">
      <c r="A147" s="30">
        <v>430</v>
      </c>
      <c r="B147" s="31" t="s">
        <v>461</v>
      </c>
      <c r="C147" s="65">
        <v>-596.43514023668354</v>
      </c>
      <c r="D147" s="65">
        <v>-693</v>
      </c>
      <c r="E147" s="65">
        <v>-246</v>
      </c>
      <c r="F147" s="65">
        <v>-955</v>
      </c>
      <c r="G147" s="41">
        <v>-186</v>
      </c>
      <c r="H147" s="41">
        <v>-192</v>
      </c>
      <c r="I147" s="165">
        <v>-140.76656</v>
      </c>
      <c r="J147" s="165">
        <v>-121.44573</v>
      </c>
      <c r="K147" s="41">
        <v>-60.725059999999999</v>
      </c>
      <c r="L147" s="41">
        <v>0</v>
      </c>
      <c r="M147" s="41">
        <v>0</v>
      </c>
      <c r="N147" s="41">
        <v>0</v>
      </c>
      <c r="O147" s="41">
        <v>0</v>
      </c>
      <c r="P147" s="41">
        <v>0</v>
      </c>
    </row>
    <row r="148" spans="1:16" x14ac:dyDescent="0.25">
      <c r="A148" s="30">
        <v>433</v>
      </c>
      <c r="B148" s="31" t="s">
        <v>462</v>
      </c>
      <c r="C148" s="65">
        <v>-113.97940310855208</v>
      </c>
      <c r="D148" s="65">
        <v>-760</v>
      </c>
      <c r="E148" s="65">
        <v>-983</v>
      </c>
      <c r="F148" s="65">
        <v>-504</v>
      </c>
      <c r="G148" s="41">
        <v>55</v>
      </c>
      <c r="H148" s="41">
        <v>-191</v>
      </c>
      <c r="I148" s="165">
        <v>-295.05212</v>
      </c>
      <c r="J148" s="165">
        <v>-160.02510000000001</v>
      </c>
      <c r="K148" s="41">
        <v>-274.86053999999996</v>
      </c>
      <c r="L148" s="41">
        <v>0</v>
      </c>
      <c r="M148" s="41">
        <v>0</v>
      </c>
      <c r="N148" s="41">
        <v>0</v>
      </c>
      <c r="O148" s="41">
        <v>0</v>
      </c>
      <c r="P148" s="41">
        <v>0</v>
      </c>
    </row>
    <row r="149" spans="1:16" x14ac:dyDescent="0.25">
      <c r="A149" s="30">
        <v>434</v>
      </c>
      <c r="B149" s="31" t="s">
        <v>463</v>
      </c>
      <c r="C149" s="65">
        <v>-306.85062816081296</v>
      </c>
      <c r="D149" s="65">
        <v>-543</v>
      </c>
      <c r="E149" s="65">
        <v>-837</v>
      </c>
      <c r="F149" s="65">
        <v>-331</v>
      </c>
      <c r="G149" s="41">
        <v>-1328</v>
      </c>
      <c r="H149" s="41">
        <v>-2739</v>
      </c>
      <c r="I149" s="165">
        <v>0</v>
      </c>
      <c r="J149" s="165">
        <v>-1356.34358</v>
      </c>
      <c r="K149" s="41">
        <v>622.27245999999991</v>
      </c>
      <c r="L149" s="41">
        <v>0</v>
      </c>
      <c r="M149" s="41">
        <v>0</v>
      </c>
      <c r="N149" s="41">
        <v>0</v>
      </c>
      <c r="O149" s="41">
        <v>0</v>
      </c>
      <c r="P149" s="41">
        <v>0</v>
      </c>
    </row>
    <row r="150" spans="1:16" x14ac:dyDescent="0.25">
      <c r="A150" s="30">
        <v>435</v>
      </c>
      <c r="B150" s="31" t="s">
        <v>464</v>
      </c>
      <c r="C150" s="65">
        <v>0</v>
      </c>
      <c r="D150" s="65">
        <v>0</v>
      </c>
      <c r="E150" s="65">
        <v>0</v>
      </c>
      <c r="F150" s="65">
        <v>0</v>
      </c>
      <c r="G150" s="41">
        <v>1124</v>
      </c>
      <c r="H150" s="41">
        <v>-1104</v>
      </c>
      <c r="I150" s="165">
        <v>102.375</v>
      </c>
      <c r="J150" s="165">
        <v>-65.587389999999999</v>
      </c>
      <c r="K150" s="41">
        <v>-16.415369999999999</v>
      </c>
      <c r="L150" s="41">
        <v>0</v>
      </c>
      <c r="M150" s="41">
        <v>0</v>
      </c>
      <c r="N150" s="41">
        <v>0</v>
      </c>
      <c r="O150" s="41">
        <v>0</v>
      </c>
      <c r="P150" s="41">
        <v>0</v>
      </c>
    </row>
    <row r="151" spans="1:16" x14ac:dyDescent="0.25">
      <c r="A151" s="30">
        <v>436</v>
      </c>
      <c r="B151" s="31" t="s">
        <v>465</v>
      </c>
      <c r="C151" s="65">
        <v>-56.994850777138019</v>
      </c>
      <c r="D151" s="65">
        <v>-44</v>
      </c>
      <c r="E151" s="65">
        <v>-12</v>
      </c>
      <c r="F151" s="65">
        <v>-12</v>
      </c>
      <c r="G151" s="41">
        <v>-17</v>
      </c>
      <c r="H151" s="41">
        <v>-66</v>
      </c>
      <c r="I151" s="165">
        <v>-16.500990000000002</v>
      </c>
      <c r="J151" s="165">
        <v>1.29</v>
      </c>
      <c r="K151" s="41">
        <v>-6.9687099999999997</v>
      </c>
      <c r="L151" s="41">
        <v>0</v>
      </c>
      <c r="M151" s="41">
        <v>0</v>
      </c>
      <c r="N151" s="41">
        <v>0</v>
      </c>
      <c r="O151" s="41">
        <v>0</v>
      </c>
      <c r="P151" s="41">
        <v>0</v>
      </c>
    </row>
    <row r="152" spans="1:16" x14ac:dyDescent="0.25">
      <c r="A152" s="30">
        <v>440</v>
      </c>
      <c r="B152" s="31" t="s">
        <v>466</v>
      </c>
      <c r="C152" s="65">
        <v>-56.994850777138019</v>
      </c>
      <c r="D152" s="65">
        <v>-201</v>
      </c>
      <c r="E152" s="65">
        <v>92</v>
      </c>
      <c r="F152" s="65">
        <v>-74</v>
      </c>
      <c r="G152" s="41">
        <v>126</v>
      </c>
      <c r="H152" s="41">
        <v>176</v>
      </c>
      <c r="I152" s="165">
        <v>717.91607999999997</v>
      </c>
      <c r="J152" s="165">
        <v>-802.64155000000005</v>
      </c>
      <c r="K152" s="41">
        <v>-58.071760000000005</v>
      </c>
      <c r="L152" s="41">
        <v>0</v>
      </c>
      <c r="M152" s="41">
        <v>0</v>
      </c>
      <c r="N152" s="41">
        <v>0</v>
      </c>
      <c r="O152" s="41">
        <v>0</v>
      </c>
      <c r="P152" s="41">
        <v>0</v>
      </c>
    </row>
    <row r="153" spans="1:16" x14ac:dyDescent="0.25">
      <c r="A153" s="30">
        <v>441</v>
      </c>
      <c r="B153" s="31" t="s">
        <v>467</v>
      </c>
      <c r="C153" s="65">
        <v>-77.99035768793712</v>
      </c>
      <c r="D153" s="65">
        <v>-2</v>
      </c>
      <c r="E153" s="65">
        <v>-124</v>
      </c>
      <c r="F153" s="65">
        <v>1336</v>
      </c>
      <c r="G153" s="41">
        <v>-939</v>
      </c>
      <c r="H153" s="41">
        <v>945</v>
      </c>
      <c r="I153" s="165">
        <v>315.12603000000001</v>
      </c>
      <c r="J153" s="165">
        <v>-4.5736400000000001</v>
      </c>
      <c r="K153" s="41">
        <v>-148.11001999999999</v>
      </c>
      <c r="L153" s="41">
        <v>0</v>
      </c>
      <c r="M153" s="41">
        <v>0</v>
      </c>
      <c r="N153" s="41">
        <v>0</v>
      </c>
      <c r="O153" s="41">
        <v>0</v>
      </c>
      <c r="P153" s="41">
        <v>0</v>
      </c>
    </row>
    <row r="154" spans="1:16" x14ac:dyDescent="0.25">
      <c r="A154" s="30">
        <v>444</v>
      </c>
      <c r="B154" s="31" t="s">
        <v>468</v>
      </c>
      <c r="C154" s="65">
        <v>-1006.3896768303989</v>
      </c>
      <c r="D154" s="65">
        <v>-2860</v>
      </c>
      <c r="E154" s="65">
        <v>-952</v>
      </c>
      <c r="F154" s="65">
        <v>-852</v>
      </c>
      <c r="G154" s="41">
        <v>-470</v>
      </c>
      <c r="H154" s="41">
        <v>-1995</v>
      </c>
      <c r="I154" s="165">
        <v>-2948.1596600000003</v>
      </c>
      <c r="J154" s="165">
        <v>-2617.8908700000002</v>
      </c>
      <c r="K154" s="41">
        <v>1235.7087799999999</v>
      </c>
      <c r="L154" s="41">
        <v>0</v>
      </c>
      <c r="M154" s="41">
        <v>0</v>
      </c>
      <c r="N154" s="41">
        <v>0</v>
      </c>
      <c r="O154" s="41">
        <v>0</v>
      </c>
      <c r="P154" s="41">
        <v>0</v>
      </c>
    </row>
    <row r="155" spans="1:16" x14ac:dyDescent="0.25">
      <c r="A155" s="30">
        <v>445</v>
      </c>
      <c r="B155" s="31" t="s">
        <v>469</v>
      </c>
      <c r="C155" s="65">
        <v>-448.68048984973905</v>
      </c>
      <c r="D155" s="65">
        <v>14</v>
      </c>
      <c r="E155" s="65">
        <v>-231</v>
      </c>
      <c r="F155" s="65">
        <v>-111</v>
      </c>
      <c r="G155" s="41">
        <v>-425</v>
      </c>
      <c r="H155" s="41">
        <v>339</v>
      </c>
      <c r="I155" s="165">
        <v>930.25171000000012</v>
      </c>
      <c r="J155" s="165">
        <v>-210.78729999999999</v>
      </c>
      <c r="K155" s="41">
        <v>43.732730000000004</v>
      </c>
      <c r="L155" s="41">
        <v>0</v>
      </c>
      <c r="M155" s="41">
        <v>0</v>
      </c>
      <c r="N155" s="41">
        <v>0</v>
      </c>
      <c r="O155" s="41">
        <v>0</v>
      </c>
      <c r="P155" s="41">
        <v>0</v>
      </c>
    </row>
    <row r="156" spans="1:16" x14ac:dyDescent="0.25">
      <c r="A156" s="30">
        <v>475</v>
      </c>
      <c r="B156" s="31" t="s">
        <v>470</v>
      </c>
      <c r="C156" s="65">
        <v>-106.98185489302961</v>
      </c>
      <c r="D156" s="65">
        <v>-117</v>
      </c>
      <c r="E156" s="65">
        <v>-60</v>
      </c>
      <c r="F156" s="65">
        <v>-193</v>
      </c>
      <c r="G156" s="41">
        <v>-61</v>
      </c>
      <c r="H156" s="41">
        <v>-1714</v>
      </c>
      <c r="I156" s="165">
        <v>-201.76535000000001</v>
      </c>
      <c r="J156" s="165">
        <v>-201.53109000000001</v>
      </c>
      <c r="K156" s="41">
        <v>-94.368289999999988</v>
      </c>
      <c r="L156" s="41">
        <v>0</v>
      </c>
      <c r="M156" s="41">
        <v>0</v>
      </c>
      <c r="N156" s="41">
        <v>0</v>
      </c>
      <c r="O156" s="41">
        <v>0</v>
      </c>
      <c r="P156" s="41">
        <v>0</v>
      </c>
    </row>
    <row r="157" spans="1:16" x14ac:dyDescent="0.25">
      <c r="A157" s="30">
        <v>480</v>
      </c>
      <c r="B157" s="31" t="s">
        <v>471</v>
      </c>
      <c r="C157" s="65">
        <v>0</v>
      </c>
      <c r="D157" s="65">
        <v>-17</v>
      </c>
      <c r="E157" s="65">
        <v>-50</v>
      </c>
      <c r="F157" s="65">
        <v>-31</v>
      </c>
      <c r="G157" s="41">
        <v>-5</v>
      </c>
      <c r="H157" s="41">
        <v>0</v>
      </c>
      <c r="I157" s="165">
        <v>-13.751580000000001</v>
      </c>
      <c r="J157" s="165">
        <v>-252.43154000000001</v>
      </c>
      <c r="K157" s="41">
        <v>-61.692160000000001</v>
      </c>
      <c r="L157" s="41">
        <v>0</v>
      </c>
      <c r="M157" s="41">
        <v>0</v>
      </c>
      <c r="N157" s="41">
        <v>0</v>
      </c>
      <c r="O157" s="41">
        <v>0</v>
      </c>
      <c r="P157" s="41">
        <v>0</v>
      </c>
    </row>
    <row r="158" spans="1:16" x14ac:dyDescent="0.25">
      <c r="A158" s="30">
        <v>481</v>
      </c>
      <c r="B158" s="31" t="s">
        <v>472</v>
      </c>
      <c r="C158" s="65">
        <v>-814.94470885257442</v>
      </c>
      <c r="D158" s="65">
        <v>-714</v>
      </c>
      <c r="E158" s="65">
        <v>-303</v>
      </c>
      <c r="F158" s="65">
        <v>-283</v>
      </c>
      <c r="G158" s="41">
        <v>-679</v>
      </c>
      <c r="H158" s="41">
        <v>-601</v>
      </c>
      <c r="I158" s="165">
        <v>-1031.7002600000001</v>
      </c>
      <c r="J158" s="165">
        <v>-293.04469</v>
      </c>
      <c r="K158" s="41">
        <v>-105.32858999999999</v>
      </c>
      <c r="L158" s="41">
        <v>0</v>
      </c>
      <c r="M158" s="41">
        <v>0</v>
      </c>
      <c r="N158" s="41">
        <v>0</v>
      </c>
      <c r="O158" s="41">
        <v>0</v>
      </c>
      <c r="P158" s="41">
        <v>0</v>
      </c>
    </row>
    <row r="159" spans="1:16" x14ac:dyDescent="0.25">
      <c r="A159" s="30">
        <v>483</v>
      </c>
      <c r="B159" s="31" t="s">
        <v>473</v>
      </c>
      <c r="C159" s="65">
        <v>0</v>
      </c>
      <c r="D159" s="65">
        <v>-1</v>
      </c>
      <c r="E159" s="65">
        <v>2</v>
      </c>
      <c r="F159" s="65">
        <v>0</v>
      </c>
      <c r="G159" s="41">
        <v>2</v>
      </c>
      <c r="H159" s="41">
        <v>0</v>
      </c>
      <c r="I159" s="165">
        <v>0</v>
      </c>
      <c r="J159" s="165">
        <v>17.786999999999999</v>
      </c>
      <c r="K159" s="41">
        <v>0.82098000000000004</v>
      </c>
      <c r="L159" s="41">
        <v>0</v>
      </c>
      <c r="M159" s="41">
        <v>0</v>
      </c>
      <c r="N159" s="41">
        <v>0</v>
      </c>
      <c r="O159" s="41">
        <v>0</v>
      </c>
      <c r="P159" s="41">
        <v>0</v>
      </c>
    </row>
    <row r="160" spans="1:16" x14ac:dyDescent="0.25">
      <c r="A160" s="30">
        <v>484</v>
      </c>
      <c r="B160" s="31" t="s">
        <v>474</v>
      </c>
      <c r="C160" s="65">
        <v>-71.991784065461218</v>
      </c>
      <c r="D160" s="65">
        <v>20</v>
      </c>
      <c r="E160" s="65">
        <v>-26</v>
      </c>
      <c r="F160" s="65">
        <v>-39</v>
      </c>
      <c r="G160" s="41">
        <v>-7</v>
      </c>
      <c r="H160" s="41">
        <v>-71</v>
      </c>
      <c r="I160" s="165">
        <v>6.3456299999999972</v>
      </c>
      <c r="J160" s="165">
        <v>-301.14535999999998</v>
      </c>
      <c r="K160" s="41">
        <v>1.8865099999999999</v>
      </c>
      <c r="L160" s="41">
        <v>0</v>
      </c>
      <c r="M160" s="41">
        <v>0</v>
      </c>
      <c r="N160" s="41">
        <v>0</v>
      </c>
      <c r="O160" s="41">
        <v>0</v>
      </c>
      <c r="P160" s="41">
        <v>0</v>
      </c>
    </row>
    <row r="161" spans="1:16" x14ac:dyDescent="0.25">
      <c r="A161" s="30">
        <v>489</v>
      </c>
      <c r="B161" s="31" t="s">
        <v>475</v>
      </c>
      <c r="C161" s="65">
        <v>-6.9999223416681327</v>
      </c>
      <c r="D161" s="65">
        <v>-196</v>
      </c>
      <c r="E161" s="65">
        <v>-122</v>
      </c>
      <c r="F161" s="65">
        <v>-3</v>
      </c>
      <c r="G161" s="41">
        <v>0</v>
      </c>
      <c r="H161" s="41">
        <v>320</v>
      </c>
      <c r="I161" s="165">
        <v>206.70479</v>
      </c>
      <c r="J161" s="165">
        <v>-206.70479</v>
      </c>
      <c r="K161" s="41">
        <v>-11.61111</v>
      </c>
      <c r="L161" s="41">
        <v>0</v>
      </c>
      <c r="M161" s="41">
        <v>0</v>
      </c>
      <c r="N161" s="41">
        <v>0</v>
      </c>
      <c r="O161" s="41">
        <v>0</v>
      </c>
      <c r="P161" s="41">
        <v>0</v>
      </c>
    </row>
    <row r="162" spans="1:16" x14ac:dyDescent="0.25">
      <c r="A162" s="30">
        <v>491</v>
      </c>
      <c r="B162" s="31" t="s">
        <v>476</v>
      </c>
      <c r="C162" s="65">
        <v>-3078.8283576530703</v>
      </c>
      <c r="D162" s="65">
        <v>-3605</v>
      </c>
      <c r="E162" s="65">
        <v>-1876</v>
      </c>
      <c r="F162" s="65">
        <v>-2187</v>
      </c>
      <c r="G162" s="41">
        <v>-2582</v>
      </c>
      <c r="H162" s="41">
        <v>-1054</v>
      </c>
      <c r="I162" s="165">
        <v>5088.5574000000006</v>
      </c>
      <c r="J162" s="165">
        <v>6465.1600399999998</v>
      </c>
      <c r="K162" s="41">
        <v>-12687.686970000001</v>
      </c>
      <c r="L162" s="41">
        <v>0</v>
      </c>
      <c r="M162" s="41">
        <v>0</v>
      </c>
      <c r="N162" s="41">
        <v>0</v>
      </c>
      <c r="O162" s="41">
        <v>0</v>
      </c>
      <c r="P162" s="41">
        <v>0</v>
      </c>
    </row>
    <row r="163" spans="1:16" x14ac:dyDescent="0.25">
      <c r="A163" s="30">
        <v>494</v>
      </c>
      <c r="B163" s="31" t="s">
        <v>477</v>
      </c>
      <c r="C163" s="65">
        <v>-492.61480041016279</v>
      </c>
      <c r="D163" s="65">
        <v>-212</v>
      </c>
      <c r="E163" s="65">
        <v>-125</v>
      </c>
      <c r="F163" s="65">
        <v>-123</v>
      </c>
      <c r="G163" s="41">
        <v>-86</v>
      </c>
      <c r="H163" s="41">
        <v>8</v>
      </c>
      <c r="I163" s="165">
        <v>-15.694809999999997</v>
      </c>
      <c r="J163" s="165">
        <v>7.8056599999999996</v>
      </c>
      <c r="K163" s="41">
        <v>-135.75970000000001</v>
      </c>
      <c r="L163" s="41">
        <v>0</v>
      </c>
      <c r="M163" s="41">
        <v>0</v>
      </c>
      <c r="N163" s="41">
        <v>0</v>
      </c>
      <c r="O163" s="41">
        <v>0</v>
      </c>
      <c r="P163" s="41">
        <v>0</v>
      </c>
    </row>
    <row r="164" spans="1:16" x14ac:dyDescent="0.25">
      <c r="A164" s="30">
        <v>495</v>
      </c>
      <c r="B164" s="31" t="s">
        <v>478</v>
      </c>
      <c r="C164" s="65">
        <v>-227.91761243420834</v>
      </c>
      <c r="D164" s="65">
        <v>-29</v>
      </c>
      <c r="E164" s="79">
        <v>-26</v>
      </c>
      <c r="F164" s="65">
        <v>-118</v>
      </c>
      <c r="G164" s="41">
        <v>1527</v>
      </c>
      <c r="H164" s="41">
        <v>-2026</v>
      </c>
      <c r="I164" s="165">
        <v>260.83991000000003</v>
      </c>
      <c r="J164" s="165">
        <v>215.59629000000001</v>
      </c>
      <c r="K164" s="41">
        <v>-448.90190999999999</v>
      </c>
      <c r="L164" s="41">
        <v>0</v>
      </c>
      <c r="M164" s="41">
        <v>0</v>
      </c>
      <c r="N164" s="41">
        <v>0</v>
      </c>
      <c r="O164" s="41">
        <v>0</v>
      </c>
      <c r="P164" s="41">
        <v>0</v>
      </c>
    </row>
    <row r="165" spans="1:16" x14ac:dyDescent="0.25">
      <c r="A165" s="30">
        <v>498</v>
      </c>
      <c r="B165" s="31" t="s">
        <v>479</v>
      </c>
      <c r="C165" s="65">
        <v>0</v>
      </c>
      <c r="D165" s="65">
        <v>-17</v>
      </c>
      <c r="E165" s="65">
        <v>0</v>
      </c>
      <c r="F165" s="65">
        <v>-49</v>
      </c>
      <c r="G165" s="41">
        <v>-8</v>
      </c>
      <c r="H165" s="41">
        <v>-18</v>
      </c>
      <c r="I165" s="165">
        <v>0.1</v>
      </c>
      <c r="J165" s="165">
        <v>-67.861999999999995</v>
      </c>
      <c r="K165" s="41">
        <v>-62.064</v>
      </c>
      <c r="L165" s="41">
        <v>0</v>
      </c>
      <c r="M165" s="41">
        <v>0</v>
      </c>
      <c r="N165" s="41">
        <v>0</v>
      </c>
      <c r="O165" s="41">
        <v>0</v>
      </c>
      <c r="P165" s="41">
        <v>0</v>
      </c>
    </row>
    <row r="166" spans="1:16" x14ac:dyDescent="0.25">
      <c r="A166" s="30">
        <v>499</v>
      </c>
      <c r="B166" s="31" t="s">
        <v>480</v>
      </c>
      <c r="C166" s="65">
        <v>-1483.4955980404743</v>
      </c>
      <c r="D166" s="65">
        <v>-467</v>
      </c>
      <c r="E166" s="65">
        <v>-335</v>
      </c>
      <c r="F166" s="65">
        <v>-846</v>
      </c>
      <c r="G166" s="41">
        <v>-1116</v>
      </c>
      <c r="H166" s="41">
        <v>-2249</v>
      </c>
      <c r="I166" s="165">
        <v>-536.05218000000002</v>
      </c>
      <c r="J166" s="165">
        <v>-889.33726000000001</v>
      </c>
      <c r="K166" s="41">
        <v>-140.70294000000001</v>
      </c>
      <c r="L166" s="41">
        <v>0</v>
      </c>
      <c r="M166" s="41">
        <v>0</v>
      </c>
      <c r="N166" s="41">
        <v>0</v>
      </c>
      <c r="O166" s="41">
        <v>0</v>
      </c>
      <c r="P166" s="41">
        <v>0</v>
      </c>
    </row>
    <row r="167" spans="1:16" x14ac:dyDescent="0.25">
      <c r="A167" s="30">
        <v>500</v>
      </c>
      <c r="B167" s="31" t="s">
        <v>481</v>
      </c>
      <c r="C167" s="65">
        <v>-667.29279568409856</v>
      </c>
      <c r="D167" s="65">
        <v>-885</v>
      </c>
      <c r="E167" s="65">
        <v>-705</v>
      </c>
      <c r="F167" s="65">
        <v>-829</v>
      </c>
      <c r="G167" s="41">
        <v>-1000</v>
      </c>
      <c r="H167" s="41">
        <v>-901</v>
      </c>
      <c r="I167" s="165">
        <v>194.21294999999995</v>
      </c>
      <c r="J167" s="165">
        <v>-1958.3668700000001</v>
      </c>
      <c r="K167" s="41">
        <v>-278.82321000000002</v>
      </c>
      <c r="L167" s="41">
        <v>0</v>
      </c>
      <c r="M167" s="41">
        <v>0</v>
      </c>
      <c r="N167" s="41">
        <v>0</v>
      </c>
      <c r="O167" s="41">
        <v>0</v>
      </c>
      <c r="P167" s="41">
        <v>0</v>
      </c>
    </row>
    <row r="168" spans="1:16" x14ac:dyDescent="0.25">
      <c r="A168" s="30">
        <v>503</v>
      </c>
      <c r="B168" s="31" t="s">
        <v>482</v>
      </c>
      <c r="C168" s="65">
        <v>-88.987446292924062</v>
      </c>
      <c r="D168" s="65">
        <v>-36</v>
      </c>
      <c r="E168" s="65">
        <v>-10193</v>
      </c>
      <c r="F168" s="65">
        <v>-143</v>
      </c>
      <c r="G168" s="41">
        <v>-123</v>
      </c>
      <c r="H168" s="41">
        <v>-150</v>
      </c>
      <c r="I168" s="165">
        <v>-402.63738000000001</v>
      </c>
      <c r="J168" s="165">
        <v>-489.61167</v>
      </c>
      <c r="K168" s="41">
        <v>53.950800000000001</v>
      </c>
      <c r="L168" s="41">
        <v>0</v>
      </c>
      <c r="M168" s="41">
        <v>0</v>
      </c>
      <c r="N168" s="41">
        <v>0</v>
      </c>
      <c r="O168" s="41">
        <v>0</v>
      </c>
      <c r="P168" s="41">
        <v>0</v>
      </c>
    </row>
    <row r="169" spans="1:16" x14ac:dyDescent="0.25">
      <c r="A169" s="30">
        <v>504</v>
      </c>
      <c r="B169" s="31" t="s">
        <v>483</v>
      </c>
      <c r="C169" s="65">
        <v>0</v>
      </c>
      <c r="D169" s="65">
        <v>-32</v>
      </c>
      <c r="E169" s="65">
        <v>-51</v>
      </c>
      <c r="F169" s="65">
        <v>71</v>
      </c>
      <c r="G169" s="41">
        <v>8</v>
      </c>
      <c r="H169" s="41">
        <v>-9</v>
      </c>
      <c r="I169" s="165">
        <v>-18.184330000000003</v>
      </c>
      <c r="J169" s="165">
        <v>-4.6749999999999998</v>
      </c>
      <c r="K169" s="41">
        <v>-6.2212899999999998</v>
      </c>
      <c r="L169" s="41">
        <v>0</v>
      </c>
      <c r="M169" s="41">
        <v>0</v>
      </c>
      <c r="N169" s="41">
        <v>0</v>
      </c>
      <c r="O169" s="41">
        <v>0</v>
      </c>
      <c r="P169" s="41">
        <v>0</v>
      </c>
    </row>
    <row r="170" spans="1:16" x14ac:dyDescent="0.25">
      <c r="A170" s="30">
        <v>505</v>
      </c>
      <c r="B170" s="31" t="s">
        <v>484</v>
      </c>
      <c r="C170" s="65">
        <v>-2371.0226968361362</v>
      </c>
      <c r="D170" s="65">
        <v>-1076</v>
      </c>
      <c r="E170" s="65">
        <v>-1016</v>
      </c>
      <c r="F170" s="79">
        <v>-809</v>
      </c>
      <c r="G170" s="41">
        <v>-1527</v>
      </c>
      <c r="H170" s="41">
        <v>-1483</v>
      </c>
      <c r="I170" s="165">
        <v>-1748.02045</v>
      </c>
      <c r="J170" s="165">
        <v>-1648.9340099999999</v>
      </c>
      <c r="K170" s="41">
        <v>-915.18534</v>
      </c>
      <c r="L170" s="41">
        <v>0</v>
      </c>
      <c r="M170" s="41">
        <v>0</v>
      </c>
      <c r="N170" s="41">
        <v>0</v>
      </c>
      <c r="O170" s="41">
        <v>0</v>
      </c>
      <c r="P170" s="41">
        <v>0</v>
      </c>
    </row>
    <row r="171" spans="1:16" x14ac:dyDescent="0.25">
      <c r="A171" s="30">
        <v>507</v>
      </c>
      <c r="B171" s="31" t="s">
        <v>485</v>
      </c>
      <c r="C171" s="65">
        <v>-180.94807827325906</v>
      </c>
      <c r="D171" s="65">
        <v>-166</v>
      </c>
      <c r="E171" s="65">
        <v>-58</v>
      </c>
      <c r="F171" s="65">
        <v>-11</v>
      </c>
      <c r="G171" s="41">
        <v>-28</v>
      </c>
      <c r="H171" s="41">
        <v>-40</v>
      </c>
      <c r="I171" s="165">
        <v>83.652899999999988</v>
      </c>
      <c r="J171" s="165">
        <v>-37.932310000000001</v>
      </c>
      <c r="K171" s="41">
        <v>513.62279999999998</v>
      </c>
      <c r="L171" s="41">
        <v>0</v>
      </c>
      <c r="M171" s="41">
        <v>0</v>
      </c>
      <c r="N171" s="41">
        <v>0</v>
      </c>
      <c r="O171" s="41">
        <v>0</v>
      </c>
      <c r="P171" s="41">
        <v>0</v>
      </c>
    </row>
    <row r="172" spans="1:16" x14ac:dyDescent="0.25">
      <c r="A172" s="30">
        <v>508</v>
      </c>
      <c r="B172" s="31" t="s">
        <v>486</v>
      </c>
      <c r="C172" s="65">
        <v>-3495.418649727641</v>
      </c>
      <c r="D172" s="65">
        <v>158</v>
      </c>
      <c r="E172" s="65">
        <v>-2877</v>
      </c>
      <c r="F172" s="65">
        <v>-2945</v>
      </c>
      <c r="G172" s="41">
        <v>-2060</v>
      </c>
      <c r="H172" s="41">
        <v>-21</v>
      </c>
      <c r="I172" s="165">
        <v>-3.1922399999999977</v>
      </c>
      <c r="J172" s="165">
        <v>-160.26083</v>
      </c>
      <c r="K172" s="41">
        <v>-169.79187999999999</v>
      </c>
      <c r="L172" s="41">
        <v>0</v>
      </c>
      <c r="M172" s="41">
        <v>0</v>
      </c>
      <c r="N172" s="41">
        <v>0</v>
      </c>
      <c r="O172" s="41">
        <v>0</v>
      </c>
      <c r="P172" s="41">
        <v>0</v>
      </c>
    </row>
    <row r="173" spans="1:16" x14ac:dyDescent="0.25">
      <c r="A173" s="30">
        <v>529</v>
      </c>
      <c r="B173" s="31" t="s">
        <v>487</v>
      </c>
      <c r="C173" s="65">
        <v>-2258.854926311752</v>
      </c>
      <c r="D173" s="65">
        <v>-1265</v>
      </c>
      <c r="E173" s="65">
        <v>-2431</v>
      </c>
      <c r="F173" s="65">
        <v>-1528</v>
      </c>
      <c r="G173" s="41">
        <v>-2444</v>
      </c>
      <c r="H173" s="41">
        <v>-1759</v>
      </c>
      <c r="I173" s="165">
        <v>-2326.8128299999998</v>
      </c>
      <c r="J173" s="165">
        <v>-2502.5191600000003</v>
      </c>
      <c r="K173" s="41">
        <v>-1329.6918799999999</v>
      </c>
      <c r="L173" s="41">
        <v>0</v>
      </c>
      <c r="M173" s="41">
        <v>0</v>
      </c>
      <c r="N173" s="41">
        <v>0</v>
      </c>
      <c r="O173" s="41">
        <v>0</v>
      </c>
      <c r="P173" s="41">
        <v>0</v>
      </c>
    </row>
    <row r="174" spans="1:16" x14ac:dyDescent="0.25">
      <c r="A174" s="30">
        <v>531</v>
      </c>
      <c r="B174" s="31" t="s">
        <v>488</v>
      </c>
      <c r="C174" s="65">
        <v>-132.97196534219589</v>
      </c>
      <c r="D174" s="65">
        <v>-66</v>
      </c>
      <c r="E174" s="65">
        <v>26</v>
      </c>
      <c r="F174" s="65">
        <v>-51</v>
      </c>
      <c r="G174" s="41">
        <v>-16</v>
      </c>
      <c r="H174" s="41">
        <v>-72</v>
      </c>
      <c r="I174" s="165">
        <v>-14.08084</v>
      </c>
      <c r="J174" s="165">
        <v>-315.92382000000003</v>
      </c>
      <c r="K174" s="41">
        <v>64.327849999999998</v>
      </c>
      <c r="L174" s="41">
        <v>0</v>
      </c>
      <c r="M174" s="41">
        <v>0</v>
      </c>
      <c r="N174" s="41">
        <v>0</v>
      </c>
      <c r="O174" s="41">
        <v>0</v>
      </c>
      <c r="P174" s="41">
        <v>0</v>
      </c>
    </row>
    <row r="175" spans="1:16" x14ac:dyDescent="0.25">
      <c r="A175" s="30">
        <v>535</v>
      </c>
      <c r="B175" s="31" t="s">
        <v>489</v>
      </c>
      <c r="C175" s="65">
        <v>-16.999541974328373</v>
      </c>
      <c r="D175" s="65">
        <v>-27</v>
      </c>
      <c r="E175" s="65">
        <v>2</v>
      </c>
      <c r="F175" s="65">
        <v>-12</v>
      </c>
      <c r="G175" s="41">
        <v>-31</v>
      </c>
      <c r="H175" s="41">
        <v>-10</v>
      </c>
      <c r="I175" s="165">
        <v>-63.883340000000004</v>
      </c>
      <c r="J175" s="165">
        <v>-244.32401000000002</v>
      </c>
      <c r="K175" s="41">
        <v>-35.022109999999998</v>
      </c>
      <c r="L175" s="41">
        <v>0</v>
      </c>
      <c r="M175" s="41">
        <v>0</v>
      </c>
      <c r="N175" s="41">
        <v>0</v>
      </c>
      <c r="O175" s="41">
        <v>0</v>
      </c>
      <c r="P175" s="41">
        <v>0</v>
      </c>
    </row>
    <row r="176" spans="1:16" x14ac:dyDescent="0.25">
      <c r="A176" s="30">
        <v>536</v>
      </c>
      <c r="B176" s="31" t="s">
        <v>490</v>
      </c>
      <c r="C176" s="65">
        <v>-7672.3664205373007</v>
      </c>
      <c r="D176" s="65">
        <v>-10197</v>
      </c>
      <c r="E176" s="65">
        <v>-2098</v>
      </c>
      <c r="F176" s="65">
        <v>-3108</v>
      </c>
      <c r="G176" s="41">
        <v>-1367</v>
      </c>
      <c r="H176" s="41">
        <v>-4035</v>
      </c>
      <c r="I176" s="165">
        <v>-7579.3713200000002</v>
      </c>
      <c r="J176" s="165">
        <v>-9945.781210000001</v>
      </c>
      <c r="K176" s="41">
        <v>-3662.9687100000001</v>
      </c>
      <c r="L176" s="41">
        <v>0</v>
      </c>
      <c r="M176" s="41">
        <v>0</v>
      </c>
      <c r="N176" s="41">
        <v>0</v>
      </c>
      <c r="O176" s="41">
        <v>0</v>
      </c>
      <c r="P176" s="41">
        <v>0</v>
      </c>
    </row>
    <row r="177" spans="1:16" x14ac:dyDescent="0.25">
      <c r="A177" s="30">
        <v>538</v>
      </c>
      <c r="B177" s="31" t="s">
        <v>491</v>
      </c>
      <c r="C177" s="65">
        <v>-471.64691767741363</v>
      </c>
      <c r="D177" s="65">
        <v>-2485</v>
      </c>
      <c r="E177" s="65">
        <v>-1082</v>
      </c>
      <c r="F177" s="65">
        <v>-10</v>
      </c>
      <c r="G177" s="41">
        <v>-89</v>
      </c>
      <c r="H177" s="41">
        <v>-107</v>
      </c>
      <c r="I177" s="165">
        <v>-197.50998000000001</v>
      </c>
      <c r="J177" s="165">
        <v>-130.50505999999999</v>
      </c>
      <c r="K177" s="41">
        <v>50.639739999999996</v>
      </c>
      <c r="L177" s="41">
        <v>0</v>
      </c>
      <c r="M177" s="41">
        <v>0</v>
      </c>
      <c r="N177" s="41">
        <v>0</v>
      </c>
      <c r="O177" s="41">
        <v>0</v>
      </c>
      <c r="P177" s="41">
        <v>0</v>
      </c>
    </row>
    <row r="178" spans="1:16" x14ac:dyDescent="0.25">
      <c r="A178" s="30">
        <v>541</v>
      </c>
      <c r="B178" s="31" t="s">
        <v>492</v>
      </c>
      <c r="C178" s="65">
        <v>-18.999427864126446</v>
      </c>
      <c r="D178" s="65">
        <v>-96</v>
      </c>
      <c r="E178" s="65">
        <v>-394</v>
      </c>
      <c r="F178" s="36">
        <v>-114</v>
      </c>
      <c r="G178" s="41">
        <v>-2</v>
      </c>
      <c r="H178" s="41">
        <v>1297</v>
      </c>
      <c r="I178" s="165">
        <v>1408.2901099999999</v>
      </c>
      <c r="J178" s="165">
        <v>226.71795</v>
      </c>
      <c r="K178" s="41">
        <v>-472.01576</v>
      </c>
      <c r="L178" s="41">
        <v>0</v>
      </c>
      <c r="M178" s="41">
        <v>0</v>
      </c>
      <c r="N178" s="41">
        <v>0</v>
      </c>
      <c r="O178" s="41">
        <v>0</v>
      </c>
      <c r="P178" s="41">
        <v>0</v>
      </c>
    </row>
    <row r="179" spans="1:16" x14ac:dyDescent="0.25">
      <c r="A179" s="30">
        <v>543</v>
      </c>
      <c r="B179" s="31" t="s">
        <v>493</v>
      </c>
      <c r="C179" s="65">
        <v>-3153.0839074502869</v>
      </c>
      <c r="D179" s="65">
        <v>-1811</v>
      </c>
      <c r="E179" s="65">
        <v>-2780</v>
      </c>
      <c r="F179" s="65">
        <v>-583</v>
      </c>
      <c r="G179" s="41">
        <v>-2393</v>
      </c>
      <c r="H179" s="41">
        <v>-1468</v>
      </c>
      <c r="I179" s="165">
        <v>-2264.8579199999995</v>
      </c>
      <c r="J179" s="165">
        <v>-4617.6729999999998</v>
      </c>
      <c r="K179" s="41">
        <v>-14330.946240000001</v>
      </c>
      <c r="L179" s="41">
        <v>0</v>
      </c>
      <c r="M179" s="41">
        <v>0</v>
      </c>
      <c r="N179" s="41">
        <v>0</v>
      </c>
      <c r="O179" s="41">
        <v>0</v>
      </c>
      <c r="P179" s="41">
        <v>0</v>
      </c>
    </row>
    <row r="180" spans="1:16" x14ac:dyDescent="0.25">
      <c r="A180" s="30">
        <v>545</v>
      </c>
      <c r="B180" s="31" t="s">
        <v>494</v>
      </c>
      <c r="C180" s="65">
        <v>-743.12272076758131</v>
      </c>
      <c r="D180" s="65">
        <v>-186</v>
      </c>
      <c r="E180" s="65">
        <v>-93</v>
      </c>
      <c r="F180" s="65">
        <v>-84</v>
      </c>
      <c r="G180" s="41">
        <v>-204</v>
      </c>
      <c r="H180" s="41">
        <v>-47</v>
      </c>
      <c r="I180" s="165">
        <v>-207.47054999999997</v>
      </c>
      <c r="J180" s="165">
        <v>-434.85888</v>
      </c>
      <c r="K180" s="41">
        <v>-86.143479999999997</v>
      </c>
      <c r="L180" s="41">
        <v>0</v>
      </c>
      <c r="M180" s="41">
        <v>0</v>
      </c>
      <c r="N180" s="41">
        <v>0</v>
      </c>
      <c r="O180" s="41">
        <v>0</v>
      </c>
      <c r="P180" s="41">
        <v>0</v>
      </c>
    </row>
    <row r="181" spans="1:16" x14ac:dyDescent="0.25">
      <c r="A181" s="30">
        <v>560</v>
      </c>
      <c r="B181" s="31" t="s">
        <v>495</v>
      </c>
      <c r="C181" s="65">
        <v>-122.97602259381998</v>
      </c>
      <c r="D181" s="65">
        <v>-352</v>
      </c>
      <c r="E181" s="65">
        <v>-56</v>
      </c>
      <c r="F181" s="65">
        <v>-281</v>
      </c>
      <c r="G181" s="41">
        <v>-210</v>
      </c>
      <c r="H181" s="41">
        <v>-236</v>
      </c>
      <c r="I181" s="165">
        <v>-980.94466</v>
      </c>
      <c r="J181" s="165">
        <v>-437.36952000000002</v>
      </c>
      <c r="K181" s="41">
        <v>-172.86139</v>
      </c>
      <c r="L181" s="41">
        <v>0</v>
      </c>
      <c r="M181" s="41">
        <v>0</v>
      </c>
      <c r="N181" s="41">
        <v>0</v>
      </c>
      <c r="O181" s="41">
        <v>0</v>
      </c>
      <c r="P181" s="41">
        <v>0</v>
      </c>
    </row>
    <row r="182" spans="1:16" x14ac:dyDescent="0.25">
      <c r="A182" s="30">
        <v>561</v>
      </c>
      <c r="B182" s="31" t="s">
        <v>496</v>
      </c>
      <c r="C182" s="65">
        <v>0</v>
      </c>
      <c r="D182" s="65">
        <v>0</v>
      </c>
      <c r="E182" s="65">
        <v>0</v>
      </c>
      <c r="F182" s="65">
        <v>0</v>
      </c>
      <c r="G182" s="41">
        <v>1</v>
      </c>
      <c r="H182" s="41">
        <v>0</v>
      </c>
      <c r="I182" s="165">
        <v>0</v>
      </c>
      <c r="J182" s="165">
        <v>0</v>
      </c>
      <c r="K182" s="41">
        <v>0.33673000000000003</v>
      </c>
      <c r="L182" s="41">
        <v>0</v>
      </c>
      <c r="M182" s="41">
        <v>0</v>
      </c>
      <c r="N182" s="41">
        <v>0</v>
      </c>
      <c r="O182" s="41">
        <v>0</v>
      </c>
      <c r="P182" s="41">
        <v>0</v>
      </c>
    </row>
    <row r="183" spans="1:16" x14ac:dyDescent="0.25">
      <c r="A183" s="30">
        <v>562</v>
      </c>
      <c r="B183" s="31" t="s">
        <v>497</v>
      </c>
      <c r="C183" s="65">
        <v>-92.986292511993454</v>
      </c>
      <c r="D183" s="65">
        <v>-42</v>
      </c>
      <c r="E183" s="65">
        <v>-112</v>
      </c>
      <c r="F183" s="65">
        <v>-29</v>
      </c>
      <c r="G183" s="41">
        <v>-77</v>
      </c>
      <c r="H183" s="41">
        <v>9</v>
      </c>
      <c r="I183" s="165">
        <v>-378.30367000000001</v>
      </c>
      <c r="J183" s="165">
        <v>-57.033799999999999</v>
      </c>
      <c r="K183" s="41">
        <v>-77.460850000000008</v>
      </c>
      <c r="L183" s="41">
        <v>0</v>
      </c>
      <c r="M183" s="41">
        <v>0</v>
      </c>
      <c r="N183" s="41">
        <v>0</v>
      </c>
      <c r="O183" s="41">
        <v>0</v>
      </c>
      <c r="P183" s="41">
        <v>0</v>
      </c>
    </row>
    <row r="184" spans="1:16" x14ac:dyDescent="0.25">
      <c r="A184" s="30">
        <v>563</v>
      </c>
      <c r="B184" s="31" t="s">
        <v>498</v>
      </c>
      <c r="C184" s="65">
        <v>-39.997464217734944</v>
      </c>
      <c r="D184" s="65">
        <v>3</v>
      </c>
      <c r="E184" s="65">
        <v>183</v>
      </c>
      <c r="F184" s="65">
        <v>-201</v>
      </c>
      <c r="G184" s="41">
        <v>-50</v>
      </c>
      <c r="H184" s="41">
        <v>-14</v>
      </c>
      <c r="I184" s="165">
        <v>-1.0403699999999989</v>
      </c>
      <c r="J184" s="165">
        <v>146.99779000000001</v>
      </c>
      <c r="K184" s="41">
        <v>9.3425700000000003</v>
      </c>
      <c r="L184" s="41">
        <v>0</v>
      </c>
      <c r="M184" s="41">
        <v>0</v>
      </c>
      <c r="N184" s="41">
        <v>0</v>
      </c>
      <c r="O184" s="41">
        <v>0</v>
      </c>
      <c r="P184" s="41">
        <v>0</v>
      </c>
    </row>
    <row r="185" spans="1:16" x14ac:dyDescent="0.25">
      <c r="A185" s="30">
        <v>564</v>
      </c>
      <c r="B185" s="31" t="s">
        <v>499</v>
      </c>
      <c r="C185" s="65">
        <v>-13168.080951679083</v>
      </c>
      <c r="D185" s="65">
        <v>-15867</v>
      </c>
      <c r="E185" s="65">
        <v>-18567</v>
      </c>
      <c r="F185" s="65">
        <v>-19629</v>
      </c>
      <c r="G185" s="41">
        <v>-5427</v>
      </c>
      <c r="H185" s="41">
        <v>-9363</v>
      </c>
      <c r="I185" s="165">
        <v>-16294.119329999998</v>
      </c>
      <c r="J185" s="165">
        <v>-151383.06827000002</v>
      </c>
      <c r="K185" s="41">
        <v>30654.134989999999</v>
      </c>
      <c r="L185" s="41">
        <v>0</v>
      </c>
      <c r="M185" s="41">
        <v>0</v>
      </c>
      <c r="N185" s="41">
        <v>0</v>
      </c>
      <c r="O185" s="41">
        <v>0</v>
      </c>
      <c r="P185" s="41">
        <v>0</v>
      </c>
    </row>
    <row r="186" spans="1:16" x14ac:dyDescent="0.25">
      <c r="A186" s="30">
        <v>576</v>
      </c>
      <c r="B186" s="31" t="s">
        <v>500</v>
      </c>
      <c r="C186" s="65">
        <v>-9.999841513608434</v>
      </c>
      <c r="D186" s="65">
        <v>-9</v>
      </c>
      <c r="E186" s="65">
        <v>-64</v>
      </c>
      <c r="F186" s="65">
        <v>-16</v>
      </c>
      <c r="G186" s="41">
        <v>-375</v>
      </c>
      <c r="H186" s="41">
        <v>-73</v>
      </c>
      <c r="I186" s="165">
        <v>-1.5834000000000001</v>
      </c>
      <c r="J186" s="165">
        <v>-0.87830999999999992</v>
      </c>
      <c r="K186" s="41">
        <v>-8.22682</v>
      </c>
      <c r="L186" s="41">
        <v>0</v>
      </c>
      <c r="M186" s="41">
        <v>0</v>
      </c>
      <c r="N186" s="41">
        <v>0</v>
      </c>
      <c r="O186" s="41">
        <v>0</v>
      </c>
      <c r="P186" s="41">
        <v>0</v>
      </c>
    </row>
    <row r="187" spans="1:16" x14ac:dyDescent="0.25">
      <c r="A187" s="30">
        <v>577</v>
      </c>
      <c r="B187" s="31" t="s">
        <v>501</v>
      </c>
      <c r="C187" s="65">
        <v>-21927.878085928151</v>
      </c>
      <c r="D187" s="65">
        <v>-271</v>
      </c>
      <c r="E187" s="65">
        <v>-1675</v>
      </c>
      <c r="F187" s="65">
        <v>-656</v>
      </c>
      <c r="G187" s="41">
        <v>-693</v>
      </c>
      <c r="H187" s="41">
        <v>-210</v>
      </c>
      <c r="I187" s="165">
        <v>-143.99001000000001</v>
      </c>
      <c r="J187" s="165">
        <v>-160.04816</v>
      </c>
      <c r="K187" s="41">
        <v>-18.664009999999998</v>
      </c>
      <c r="L187" s="41">
        <v>0</v>
      </c>
      <c r="M187" s="41">
        <v>0</v>
      </c>
      <c r="N187" s="41">
        <v>0</v>
      </c>
      <c r="O187" s="41">
        <v>0</v>
      </c>
      <c r="P187" s="41">
        <v>0</v>
      </c>
    </row>
    <row r="188" spans="1:16" x14ac:dyDescent="0.25">
      <c r="A188" s="30">
        <v>578</v>
      </c>
      <c r="B188" s="31" t="s">
        <v>502</v>
      </c>
      <c r="C188" s="65">
        <v>-50.995877768955367</v>
      </c>
      <c r="D188" s="65">
        <v>-430</v>
      </c>
      <c r="E188" s="65">
        <v>113</v>
      </c>
      <c r="F188" s="65">
        <v>2</v>
      </c>
      <c r="G188" s="41">
        <v>152</v>
      </c>
      <c r="H188" s="41">
        <v>1</v>
      </c>
      <c r="I188" s="165">
        <v>-87.938410000000005</v>
      </c>
      <c r="J188" s="165">
        <v>45.532789999999999</v>
      </c>
      <c r="K188" s="41">
        <v>2.4986700000000002</v>
      </c>
      <c r="L188" s="41">
        <v>0</v>
      </c>
      <c r="M188" s="41">
        <v>0</v>
      </c>
      <c r="N188" s="41">
        <v>0</v>
      </c>
      <c r="O188" s="41">
        <v>0</v>
      </c>
      <c r="P188" s="41">
        <v>0</v>
      </c>
    </row>
    <row r="189" spans="1:16" x14ac:dyDescent="0.25">
      <c r="A189" s="30">
        <v>580</v>
      </c>
      <c r="B189" s="31" t="s">
        <v>503</v>
      </c>
      <c r="C189" s="65">
        <v>-36.99783032129946</v>
      </c>
      <c r="D189" s="65">
        <v>-151</v>
      </c>
      <c r="E189" s="65">
        <v>-2</v>
      </c>
      <c r="F189" s="65">
        <v>-1898</v>
      </c>
      <c r="G189" s="41">
        <v>75</v>
      </c>
      <c r="H189" s="41">
        <v>1089</v>
      </c>
      <c r="I189" s="165">
        <v>529.64791000000002</v>
      </c>
      <c r="J189" s="165">
        <v>-595.40393000000006</v>
      </c>
      <c r="K189" s="41">
        <v>-136.54606000000001</v>
      </c>
      <c r="L189" s="41">
        <v>0</v>
      </c>
      <c r="M189" s="41">
        <v>0</v>
      </c>
      <c r="N189" s="41">
        <v>0</v>
      </c>
      <c r="O189" s="41">
        <v>0</v>
      </c>
      <c r="P189" s="41">
        <v>0</v>
      </c>
    </row>
    <row r="190" spans="1:16" x14ac:dyDescent="0.25">
      <c r="A190" s="30">
        <v>581</v>
      </c>
      <c r="B190" s="31" t="s">
        <v>504</v>
      </c>
      <c r="C190" s="65">
        <v>-223.92047786816784</v>
      </c>
      <c r="D190" s="65">
        <v>-1276</v>
      </c>
      <c r="E190" s="65">
        <v>-1114</v>
      </c>
      <c r="F190" s="65">
        <v>-1297</v>
      </c>
      <c r="G190" s="41">
        <v>-1281</v>
      </c>
      <c r="H190" s="41">
        <v>12</v>
      </c>
      <c r="I190" s="165">
        <v>-89.18741</v>
      </c>
      <c r="J190" s="165">
        <v>-80.040379999999999</v>
      </c>
      <c r="K190" s="41">
        <v>-56.038679999999999</v>
      </c>
      <c r="L190" s="41">
        <v>0</v>
      </c>
      <c r="M190" s="41">
        <v>0</v>
      </c>
      <c r="N190" s="41">
        <v>0</v>
      </c>
      <c r="O190" s="41">
        <v>0</v>
      </c>
      <c r="P190" s="41">
        <v>0</v>
      </c>
    </row>
    <row r="191" spans="1:16" x14ac:dyDescent="0.25">
      <c r="A191" s="30">
        <v>583</v>
      </c>
      <c r="B191" s="31" t="s">
        <v>505</v>
      </c>
      <c r="C191" s="65">
        <v>-45.996646427954467</v>
      </c>
      <c r="D191" s="65">
        <v>-6</v>
      </c>
      <c r="E191" s="65">
        <v>-114</v>
      </c>
      <c r="F191" s="65">
        <v>-7</v>
      </c>
      <c r="G191" s="41">
        <v>474</v>
      </c>
      <c r="H191" s="41">
        <v>-350</v>
      </c>
      <c r="I191" s="165">
        <v>129.78224</v>
      </c>
      <c r="J191" s="165">
        <v>-23.800259999999998</v>
      </c>
      <c r="K191" s="41">
        <v>-120.235</v>
      </c>
      <c r="L191" s="41">
        <v>0</v>
      </c>
      <c r="M191" s="41">
        <v>0</v>
      </c>
      <c r="N191" s="41">
        <v>0</v>
      </c>
      <c r="O191" s="41">
        <v>0</v>
      </c>
      <c r="P191" s="41">
        <v>0</v>
      </c>
    </row>
    <row r="192" spans="1:16" x14ac:dyDescent="0.25">
      <c r="A192" s="30">
        <v>584</v>
      </c>
      <c r="B192" s="31" t="s">
        <v>506</v>
      </c>
      <c r="C192" s="65">
        <v>-0.99999841513608434</v>
      </c>
      <c r="D192" s="65">
        <v>-43</v>
      </c>
      <c r="E192" s="65">
        <v>-14</v>
      </c>
      <c r="F192" s="65">
        <v>-225</v>
      </c>
      <c r="G192" s="41">
        <v>-10</v>
      </c>
      <c r="H192" s="41">
        <v>-15</v>
      </c>
      <c r="I192" s="165">
        <v>-232.37095000000002</v>
      </c>
      <c r="J192" s="165">
        <v>20.204639999999998</v>
      </c>
      <c r="K192" s="41">
        <v>-8.6936700000000009</v>
      </c>
      <c r="L192" s="41">
        <v>0</v>
      </c>
      <c r="M192" s="41">
        <v>0</v>
      </c>
      <c r="N192" s="41">
        <v>0</v>
      </c>
      <c r="O192" s="41">
        <v>0</v>
      </c>
      <c r="P192" s="41">
        <v>0</v>
      </c>
    </row>
    <row r="193" spans="1:16" x14ac:dyDescent="0.25">
      <c r="A193" s="30">
        <v>588</v>
      </c>
      <c r="B193" s="31" t="s">
        <v>507</v>
      </c>
      <c r="C193" s="65">
        <v>-100.98383280319635</v>
      </c>
      <c r="D193" s="65">
        <v>57</v>
      </c>
      <c r="E193" s="65">
        <v>0</v>
      </c>
      <c r="F193" s="65">
        <v>0</v>
      </c>
      <c r="G193" s="41">
        <v>12</v>
      </c>
      <c r="H193" s="41">
        <v>-17</v>
      </c>
      <c r="I193" s="165">
        <v>164.07704999999999</v>
      </c>
      <c r="J193" s="165">
        <v>51.47813</v>
      </c>
      <c r="K193" s="41">
        <v>-1020.5822800000001</v>
      </c>
      <c r="L193" s="41">
        <v>0</v>
      </c>
      <c r="M193" s="41">
        <v>0</v>
      </c>
      <c r="N193" s="41">
        <v>0</v>
      </c>
      <c r="O193" s="41">
        <v>0</v>
      </c>
      <c r="P193" s="41">
        <v>0</v>
      </c>
    </row>
    <row r="194" spans="1:16" x14ac:dyDescent="0.25">
      <c r="A194" s="30">
        <v>592</v>
      </c>
      <c r="B194" s="31" t="s">
        <v>508</v>
      </c>
      <c r="C194" s="65">
        <v>-25.998928631993014</v>
      </c>
      <c r="D194" s="65">
        <v>-88</v>
      </c>
      <c r="E194" s="65">
        <v>-39</v>
      </c>
      <c r="F194" s="65">
        <v>-1</v>
      </c>
      <c r="G194" s="41">
        <v>1942</v>
      </c>
      <c r="H194" s="41">
        <v>-1945</v>
      </c>
      <c r="I194" s="165">
        <v>0</v>
      </c>
      <c r="J194" s="165">
        <v>-288.83483000000001</v>
      </c>
      <c r="K194" s="41">
        <v>-93.846639999999994</v>
      </c>
      <c r="L194" s="41">
        <v>0</v>
      </c>
      <c r="M194" s="41">
        <v>0</v>
      </c>
      <c r="N194" s="41">
        <v>0</v>
      </c>
      <c r="O194" s="41">
        <v>0</v>
      </c>
      <c r="P194" s="41">
        <v>0</v>
      </c>
    </row>
    <row r="195" spans="1:16" x14ac:dyDescent="0.25">
      <c r="A195" s="30">
        <v>593</v>
      </c>
      <c r="B195" s="31" t="s">
        <v>509</v>
      </c>
      <c r="C195" s="65">
        <v>-3286.698966193268</v>
      </c>
      <c r="D195" s="65">
        <v>-647</v>
      </c>
      <c r="E195" s="65">
        <v>82</v>
      </c>
      <c r="F195" s="65">
        <v>-889</v>
      </c>
      <c r="G195" s="41">
        <v>-131</v>
      </c>
      <c r="H195" s="41">
        <v>317</v>
      </c>
      <c r="I195" s="165">
        <v>973.98685</v>
      </c>
      <c r="J195" s="165">
        <v>64.909739999999999</v>
      </c>
      <c r="K195" s="41">
        <v>2311.45793</v>
      </c>
      <c r="L195" s="41">
        <v>0</v>
      </c>
      <c r="M195" s="41">
        <v>0</v>
      </c>
      <c r="N195" s="41">
        <v>0</v>
      </c>
      <c r="O195" s="41">
        <v>0</v>
      </c>
      <c r="P195" s="41">
        <v>0</v>
      </c>
    </row>
    <row r="196" spans="1:16" x14ac:dyDescent="0.25">
      <c r="A196" s="30">
        <v>595</v>
      </c>
      <c r="B196" s="31" t="s">
        <v>510</v>
      </c>
      <c r="C196" s="65">
        <v>-64.993303949956342</v>
      </c>
      <c r="D196" s="65">
        <v>0</v>
      </c>
      <c r="E196" s="65">
        <v>0</v>
      </c>
      <c r="F196" s="65">
        <v>-26</v>
      </c>
      <c r="G196" s="41">
        <v>169</v>
      </c>
      <c r="H196" s="41">
        <v>73</v>
      </c>
      <c r="I196" s="165">
        <v>0</v>
      </c>
      <c r="J196" s="165">
        <v>-81.643169999999998</v>
      </c>
      <c r="K196" s="41">
        <v>581.13149999999996</v>
      </c>
      <c r="L196" s="41">
        <v>0</v>
      </c>
      <c r="M196" s="41">
        <v>0</v>
      </c>
      <c r="N196" s="41">
        <v>0</v>
      </c>
      <c r="O196" s="41">
        <v>0</v>
      </c>
      <c r="P196" s="41">
        <v>0</v>
      </c>
    </row>
    <row r="197" spans="1:16" x14ac:dyDescent="0.25">
      <c r="A197" s="30">
        <v>598</v>
      </c>
      <c r="B197" s="31" t="s">
        <v>511</v>
      </c>
      <c r="C197" s="65">
        <v>-1132.958338682249</v>
      </c>
      <c r="D197" s="65">
        <v>-205</v>
      </c>
      <c r="E197" s="65">
        <v>-477</v>
      </c>
      <c r="F197" s="65">
        <v>-1222</v>
      </c>
      <c r="G197" s="41">
        <v>-444</v>
      </c>
      <c r="H197" s="41">
        <v>-241</v>
      </c>
      <c r="I197" s="165">
        <v>-705.21600000000001</v>
      </c>
      <c r="J197" s="165">
        <v>-117.81399999999999</v>
      </c>
      <c r="K197" s="41">
        <v>-224.09200000000001</v>
      </c>
      <c r="L197" s="41">
        <v>0</v>
      </c>
      <c r="M197" s="41">
        <v>0</v>
      </c>
      <c r="N197" s="41">
        <v>0</v>
      </c>
      <c r="O197" s="41">
        <v>0</v>
      </c>
      <c r="P197" s="41">
        <v>0</v>
      </c>
    </row>
    <row r="198" spans="1:16" x14ac:dyDescent="0.25">
      <c r="A198" s="30">
        <v>599</v>
      </c>
      <c r="B198" s="31" t="s">
        <v>512</v>
      </c>
      <c r="C198" s="65">
        <v>-215.92605658915096</v>
      </c>
      <c r="D198" s="65">
        <v>-303</v>
      </c>
      <c r="E198" s="65">
        <v>-164</v>
      </c>
      <c r="F198" s="65">
        <v>-60</v>
      </c>
      <c r="G198" s="41">
        <v>-162</v>
      </c>
      <c r="H198" s="41">
        <v>-122</v>
      </c>
      <c r="I198" s="165">
        <v>-242.40134</v>
      </c>
      <c r="J198" s="165">
        <v>-724.6594399999999</v>
      </c>
      <c r="K198" s="41">
        <v>-125.9447</v>
      </c>
      <c r="L198" s="41">
        <v>0</v>
      </c>
      <c r="M198" s="41">
        <v>0</v>
      </c>
      <c r="N198" s="41">
        <v>0</v>
      </c>
      <c r="O198" s="41">
        <v>0</v>
      </c>
      <c r="P198" s="41">
        <v>0</v>
      </c>
    </row>
    <row r="199" spans="1:16" x14ac:dyDescent="0.25">
      <c r="A199" s="30">
        <v>601</v>
      </c>
      <c r="B199" s="31" t="s">
        <v>513</v>
      </c>
      <c r="C199" s="65">
        <v>-120.97679600741083</v>
      </c>
      <c r="D199" s="65">
        <v>0</v>
      </c>
      <c r="E199" s="65">
        <v>-12</v>
      </c>
      <c r="F199" s="65">
        <v>78</v>
      </c>
      <c r="G199" s="41">
        <v>-8</v>
      </c>
      <c r="H199" s="41">
        <v>-37</v>
      </c>
      <c r="I199" s="165">
        <v>-45.441870000000002</v>
      </c>
      <c r="J199" s="165">
        <v>-49.46114</v>
      </c>
      <c r="K199" s="41">
        <v>-4.8656600000000001</v>
      </c>
      <c r="L199" s="41">
        <v>0</v>
      </c>
      <c r="M199" s="41">
        <v>0</v>
      </c>
      <c r="N199" s="41">
        <v>0</v>
      </c>
      <c r="O199" s="41">
        <v>0</v>
      </c>
      <c r="P199" s="41">
        <v>0</v>
      </c>
    </row>
    <row r="200" spans="1:16" x14ac:dyDescent="0.25">
      <c r="A200" s="30">
        <v>604</v>
      </c>
      <c r="B200" s="31" t="s">
        <v>514</v>
      </c>
      <c r="C200" s="65">
        <v>-5379.3392670638332</v>
      </c>
      <c r="D200" s="65">
        <v>-8062</v>
      </c>
      <c r="E200" s="65">
        <v>-5277</v>
      </c>
      <c r="F200" s="65">
        <v>-6099</v>
      </c>
      <c r="G200" s="41">
        <v>-7536</v>
      </c>
      <c r="H200" s="41">
        <v>-4725</v>
      </c>
      <c r="I200" s="165">
        <v>-4604.9579999999996</v>
      </c>
      <c r="J200" s="165">
        <v>-3473.6668599999998</v>
      </c>
      <c r="K200" s="41">
        <v>-5</v>
      </c>
      <c r="L200" s="41">
        <v>0</v>
      </c>
      <c r="M200" s="41">
        <v>0</v>
      </c>
      <c r="N200" s="41">
        <v>0</v>
      </c>
      <c r="O200" s="41">
        <v>0</v>
      </c>
      <c r="P200" s="41">
        <v>0</v>
      </c>
    </row>
    <row r="201" spans="1:16" x14ac:dyDescent="0.25">
      <c r="A201" s="30">
        <v>607</v>
      </c>
      <c r="B201" s="31" t="s">
        <v>515</v>
      </c>
      <c r="C201" s="65">
        <v>0</v>
      </c>
      <c r="D201" s="65">
        <v>-1</v>
      </c>
      <c r="E201" s="65">
        <v>-10</v>
      </c>
      <c r="F201" s="65">
        <v>39</v>
      </c>
      <c r="G201" s="41">
        <v>-45</v>
      </c>
      <c r="H201" s="41">
        <v>448</v>
      </c>
      <c r="I201" s="165">
        <v>835.36750999999992</v>
      </c>
      <c r="J201" s="165">
        <v>538.11831000000006</v>
      </c>
      <c r="K201" s="41">
        <v>0</v>
      </c>
      <c r="L201" s="41">
        <v>0</v>
      </c>
      <c r="M201" s="41">
        <v>0</v>
      </c>
      <c r="N201" s="41">
        <v>0</v>
      </c>
      <c r="O201" s="41">
        <v>0</v>
      </c>
      <c r="P201" s="41">
        <v>0</v>
      </c>
    </row>
    <row r="202" spans="1:16" x14ac:dyDescent="0.25">
      <c r="A202" s="30">
        <v>608</v>
      </c>
      <c r="B202" s="31" t="s">
        <v>516</v>
      </c>
      <c r="C202" s="65">
        <v>38.00228854349421</v>
      </c>
      <c r="D202" s="65">
        <v>5</v>
      </c>
      <c r="E202" s="65">
        <v>-1</v>
      </c>
      <c r="F202" s="65">
        <v>31</v>
      </c>
      <c r="G202" s="41">
        <v>41</v>
      </c>
      <c r="H202" s="41">
        <v>-39</v>
      </c>
      <c r="I202" s="165">
        <v>0.1346</v>
      </c>
      <c r="J202" s="165">
        <v>-13.98517</v>
      </c>
      <c r="K202" s="41">
        <v>11.52251</v>
      </c>
      <c r="L202" s="41">
        <v>0</v>
      </c>
      <c r="M202" s="41">
        <v>0</v>
      </c>
      <c r="N202" s="41">
        <v>0</v>
      </c>
      <c r="O202" s="41">
        <v>0</v>
      </c>
      <c r="P202" s="41">
        <v>0</v>
      </c>
    </row>
    <row r="203" spans="1:16" x14ac:dyDescent="0.25">
      <c r="A203" s="30">
        <v>609</v>
      </c>
      <c r="B203" s="31" t="s">
        <v>517</v>
      </c>
      <c r="C203" s="65">
        <v>-8180.1079292326567</v>
      </c>
      <c r="D203" s="65">
        <v>-10968</v>
      </c>
      <c r="E203" s="65">
        <v>-19102</v>
      </c>
      <c r="F203" s="65">
        <v>-8559</v>
      </c>
      <c r="G203" s="41">
        <v>-7700</v>
      </c>
      <c r="H203" s="41">
        <v>-7113</v>
      </c>
      <c r="I203" s="165">
        <v>-5706.0618800000002</v>
      </c>
      <c r="J203" s="165">
        <v>-6024.9368400000003</v>
      </c>
      <c r="K203" s="41">
        <v>-9725.5062300000009</v>
      </c>
      <c r="L203" s="41">
        <v>0</v>
      </c>
      <c r="M203" s="41">
        <v>0</v>
      </c>
      <c r="N203" s="41">
        <v>0</v>
      </c>
      <c r="O203" s="41">
        <v>0</v>
      </c>
      <c r="P203" s="41">
        <v>0</v>
      </c>
    </row>
    <row r="204" spans="1:16" x14ac:dyDescent="0.25">
      <c r="A204" s="30">
        <v>611</v>
      </c>
      <c r="B204" s="31" t="s">
        <v>518</v>
      </c>
      <c r="C204" s="65">
        <v>-178.94921937527835</v>
      </c>
      <c r="D204" s="65">
        <v>-164</v>
      </c>
      <c r="E204" s="65">
        <v>-444</v>
      </c>
      <c r="F204" s="65">
        <v>-284</v>
      </c>
      <c r="G204" s="41">
        <v>-86</v>
      </c>
      <c r="H204" s="41">
        <v>-207</v>
      </c>
      <c r="I204" s="165">
        <v>-500.12933000000004</v>
      </c>
      <c r="J204" s="165">
        <v>90.680350000000004</v>
      </c>
      <c r="K204" s="41">
        <v>159.23553000000001</v>
      </c>
      <c r="L204" s="41">
        <v>0</v>
      </c>
      <c r="M204" s="41">
        <v>0</v>
      </c>
      <c r="N204" s="41">
        <v>0</v>
      </c>
      <c r="O204" s="41">
        <v>0</v>
      </c>
      <c r="P204" s="41">
        <v>0</v>
      </c>
    </row>
    <row r="205" spans="1:16" x14ac:dyDescent="0.25">
      <c r="A205" s="30">
        <v>614</v>
      </c>
      <c r="B205" s="31" t="s">
        <v>519</v>
      </c>
      <c r="C205" s="65">
        <v>-27.998757466690122</v>
      </c>
      <c r="D205" s="65">
        <v>2</v>
      </c>
      <c r="E205" s="65">
        <v>-44</v>
      </c>
      <c r="F205" s="65">
        <v>-1</v>
      </c>
      <c r="G205" s="41">
        <v>-5</v>
      </c>
      <c r="H205" s="41">
        <v>0</v>
      </c>
      <c r="I205" s="165">
        <v>-50.877900000000004</v>
      </c>
      <c r="J205" s="165">
        <v>-69.937550000000002</v>
      </c>
      <c r="K205" s="41">
        <v>-52.64479</v>
      </c>
      <c r="L205" s="41">
        <v>0</v>
      </c>
      <c r="M205" s="41">
        <v>0</v>
      </c>
      <c r="N205" s="41">
        <v>0</v>
      </c>
      <c r="O205" s="41">
        <v>0</v>
      </c>
      <c r="P205" s="41">
        <v>0</v>
      </c>
    </row>
    <row r="206" spans="1:16" x14ac:dyDescent="0.25">
      <c r="A206" s="30">
        <v>615</v>
      </c>
      <c r="B206" s="31" t="s">
        <v>520</v>
      </c>
      <c r="C206" s="65">
        <v>3048.5889195824202</v>
      </c>
      <c r="D206" s="65">
        <v>-2730</v>
      </c>
      <c r="E206" s="65">
        <v>155</v>
      </c>
      <c r="F206" s="65">
        <v>48</v>
      </c>
      <c r="G206" s="41">
        <v>572</v>
      </c>
      <c r="H206" s="41">
        <v>-947</v>
      </c>
      <c r="I206" s="165">
        <v>-85.295509999999993</v>
      </c>
      <c r="J206" s="165">
        <v>-143.51182999999997</v>
      </c>
      <c r="K206" s="41">
        <v>-45.172260000000001</v>
      </c>
      <c r="L206" s="41">
        <v>0</v>
      </c>
      <c r="M206" s="41">
        <v>0</v>
      </c>
      <c r="N206" s="41">
        <v>0</v>
      </c>
      <c r="O206" s="41">
        <v>0</v>
      </c>
      <c r="P206" s="41">
        <v>0</v>
      </c>
    </row>
    <row r="207" spans="1:16" x14ac:dyDescent="0.25">
      <c r="A207" s="30">
        <v>616</v>
      </c>
      <c r="B207" s="31" t="s">
        <v>521</v>
      </c>
      <c r="C207" s="65">
        <v>-207.93143244755288</v>
      </c>
      <c r="D207" s="65">
        <v>-4451</v>
      </c>
      <c r="E207" s="65">
        <v>-506</v>
      </c>
      <c r="F207" s="65">
        <v>157</v>
      </c>
      <c r="G207" s="41">
        <v>5</v>
      </c>
      <c r="H207" s="41">
        <v>-5</v>
      </c>
      <c r="I207" s="165">
        <v>1.8161000000000003</v>
      </c>
      <c r="J207" s="165">
        <v>-9.4613999999999994</v>
      </c>
      <c r="K207" s="41">
        <v>-24.466060000000002</v>
      </c>
      <c r="L207" s="41">
        <v>0</v>
      </c>
      <c r="M207" s="41">
        <v>0</v>
      </c>
      <c r="N207" s="41">
        <v>0</v>
      </c>
      <c r="O207" s="41">
        <v>0</v>
      </c>
      <c r="P207" s="41">
        <v>0</v>
      </c>
    </row>
    <row r="208" spans="1:16" x14ac:dyDescent="0.25">
      <c r="A208" s="30">
        <v>619</v>
      </c>
      <c r="B208" s="31" t="s">
        <v>522</v>
      </c>
      <c r="C208" s="65">
        <v>0</v>
      </c>
      <c r="D208" s="65">
        <v>0</v>
      </c>
      <c r="E208" s="65">
        <v>0</v>
      </c>
      <c r="F208" s="65">
        <v>-14</v>
      </c>
      <c r="G208" s="41">
        <v>-1</v>
      </c>
      <c r="H208" s="41">
        <v>0</v>
      </c>
      <c r="I208" s="165">
        <v>170.24449999999999</v>
      </c>
      <c r="J208" s="165">
        <v>0</v>
      </c>
      <c r="K208" s="41">
        <v>0</v>
      </c>
      <c r="L208" s="41">
        <v>0</v>
      </c>
      <c r="M208" s="41">
        <v>0</v>
      </c>
      <c r="N208" s="41">
        <v>0</v>
      </c>
      <c r="O208" s="41">
        <v>0</v>
      </c>
      <c r="P208" s="41">
        <v>0</v>
      </c>
    </row>
    <row r="209" spans="1:16" x14ac:dyDescent="0.25">
      <c r="A209" s="30">
        <v>620</v>
      </c>
      <c r="B209" s="31" t="s">
        <v>523</v>
      </c>
      <c r="C209" s="65">
        <v>-12.999732157998254</v>
      </c>
      <c r="D209" s="65">
        <v>-12</v>
      </c>
      <c r="E209" s="65">
        <v>67</v>
      </c>
      <c r="F209" s="65">
        <v>23</v>
      </c>
      <c r="G209" s="41">
        <v>-651</v>
      </c>
      <c r="H209" s="41">
        <v>-22</v>
      </c>
      <c r="I209" s="165">
        <v>6.9826699999999997</v>
      </c>
      <c r="J209" s="165">
        <v>-44.244199999999999</v>
      </c>
      <c r="K209" s="41">
        <v>-11.142899999999999</v>
      </c>
      <c r="L209" s="41">
        <v>0</v>
      </c>
      <c r="M209" s="41">
        <v>0</v>
      </c>
      <c r="N209" s="41">
        <v>0</v>
      </c>
      <c r="O209" s="41">
        <v>0</v>
      </c>
      <c r="P209" s="41">
        <v>0</v>
      </c>
    </row>
    <row r="210" spans="1:16" x14ac:dyDescent="0.25">
      <c r="A210" s="30">
        <v>623</v>
      </c>
      <c r="B210" s="31" t="s">
        <v>524</v>
      </c>
      <c r="C210" s="65">
        <v>-306.85062816081296</v>
      </c>
      <c r="D210" s="65">
        <v>-4</v>
      </c>
      <c r="E210" s="65">
        <v>-4</v>
      </c>
      <c r="F210" s="65">
        <v>0</v>
      </c>
      <c r="G210" s="41">
        <v>-2</v>
      </c>
      <c r="H210" s="41">
        <v>-11</v>
      </c>
      <c r="I210" s="165">
        <v>0</v>
      </c>
      <c r="J210" s="165">
        <v>385.50531000000001</v>
      </c>
      <c r="K210" s="41">
        <v>-367.97165999999999</v>
      </c>
      <c r="L210" s="41">
        <v>0</v>
      </c>
      <c r="M210" s="41">
        <v>0</v>
      </c>
      <c r="N210" s="41">
        <v>0</v>
      </c>
      <c r="O210" s="41">
        <v>0</v>
      </c>
      <c r="P210" s="41">
        <v>0</v>
      </c>
    </row>
    <row r="211" spans="1:16" x14ac:dyDescent="0.25">
      <c r="A211" s="30">
        <v>624</v>
      </c>
      <c r="B211" s="31" t="s">
        <v>525</v>
      </c>
      <c r="C211" s="65">
        <v>-434.70010412555928</v>
      </c>
      <c r="D211" s="65">
        <v>-299</v>
      </c>
      <c r="E211" s="65">
        <v>-1176</v>
      </c>
      <c r="F211" s="65">
        <v>-188</v>
      </c>
      <c r="G211" s="41">
        <v>-266</v>
      </c>
      <c r="H211" s="41">
        <v>836</v>
      </c>
      <c r="I211" s="165">
        <v>303.79525999999998</v>
      </c>
      <c r="J211" s="165">
        <v>-1402.4201599999999</v>
      </c>
      <c r="K211" s="41">
        <v>-63.630800000000001</v>
      </c>
      <c r="L211" s="41">
        <v>0</v>
      </c>
      <c r="M211" s="41">
        <v>0</v>
      </c>
      <c r="N211" s="41">
        <v>0</v>
      </c>
      <c r="O211" s="41">
        <v>0</v>
      </c>
      <c r="P211" s="41">
        <v>0</v>
      </c>
    </row>
    <row r="212" spans="1:16" x14ac:dyDescent="0.25">
      <c r="A212" s="30">
        <v>625</v>
      </c>
      <c r="B212" s="31" t="s">
        <v>526</v>
      </c>
      <c r="C212" s="65">
        <v>-149.96434056189764</v>
      </c>
      <c r="D212" s="65">
        <v>-35</v>
      </c>
      <c r="E212" s="65">
        <v>-82</v>
      </c>
      <c r="F212" s="65">
        <v>10</v>
      </c>
      <c r="G212" s="41">
        <v>32</v>
      </c>
      <c r="H212" s="41">
        <v>-2</v>
      </c>
      <c r="I212" s="165">
        <v>-33.588590000000003</v>
      </c>
      <c r="J212" s="165">
        <v>53.582769999999996</v>
      </c>
      <c r="K212" s="41">
        <v>-39.680010000000003</v>
      </c>
      <c r="L212" s="41">
        <v>0</v>
      </c>
      <c r="M212" s="41">
        <v>0</v>
      </c>
      <c r="N212" s="41">
        <v>0</v>
      </c>
      <c r="O212" s="41">
        <v>0</v>
      </c>
      <c r="P212" s="41">
        <v>0</v>
      </c>
    </row>
    <row r="213" spans="1:16" x14ac:dyDescent="0.25">
      <c r="A213" s="30">
        <v>626</v>
      </c>
      <c r="B213" s="31" t="s">
        <v>527</v>
      </c>
      <c r="C213" s="65">
        <v>-104.98252687532985</v>
      </c>
      <c r="D213" s="65">
        <v>-102</v>
      </c>
      <c r="E213" s="65">
        <v>-11</v>
      </c>
      <c r="F213" s="65">
        <v>-1019</v>
      </c>
      <c r="G213" s="41">
        <v>-2</v>
      </c>
      <c r="H213" s="41">
        <v>-33</v>
      </c>
      <c r="I213" s="165">
        <v>83.323669999999993</v>
      </c>
      <c r="J213" s="165">
        <v>16.019929999999999</v>
      </c>
      <c r="K213" s="41">
        <v>53.996290000000002</v>
      </c>
      <c r="L213" s="41">
        <v>0</v>
      </c>
      <c r="M213" s="41">
        <v>0</v>
      </c>
      <c r="N213" s="41">
        <v>0</v>
      </c>
      <c r="O213" s="41">
        <v>0</v>
      </c>
      <c r="P213" s="41">
        <v>0</v>
      </c>
    </row>
    <row r="214" spans="1:16" x14ac:dyDescent="0.25">
      <c r="A214" s="30">
        <v>630</v>
      </c>
      <c r="B214" s="31" t="s">
        <v>528</v>
      </c>
      <c r="C214" s="65">
        <v>-1.9999936605443374</v>
      </c>
      <c r="D214" s="65">
        <v>-146</v>
      </c>
      <c r="E214" s="65">
        <v>-11</v>
      </c>
      <c r="F214" s="65">
        <v>-68</v>
      </c>
      <c r="G214" s="41">
        <v>-17</v>
      </c>
      <c r="H214" s="41">
        <v>-19</v>
      </c>
      <c r="I214" s="165">
        <v>-3.5898000000000003</v>
      </c>
      <c r="J214" s="165">
        <v>6.6022100000000004</v>
      </c>
      <c r="K214" s="41">
        <v>-19.46979</v>
      </c>
      <c r="L214" s="41">
        <v>0</v>
      </c>
      <c r="M214" s="41">
        <v>0</v>
      </c>
      <c r="N214" s="41">
        <v>0</v>
      </c>
      <c r="O214" s="41">
        <v>0</v>
      </c>
      <c r="P214" s="41">
        <v>0</v>
      </c>
    </row>
    <row r="215" spans="1:16" x14ac:dyDescent="0.25">
      <c r="A215" s="30">
        <v>631</v>
      </c>
      <c r="B215" s="31" t="s">
        <v>529</v>
      </c>
      <c r="C215" s="65">
        <v>0</v>
      </c>
      <c r="D215" s="65">
        <v>-108</v>
      </c>
      <c r="E215" s="65">
        <v>-319</v>
      </c>
      <c r="F215" s="65">
        <v>-39</v>
      </c>
      <c r="G215" s="41">
        <v>-1</v>
      </c>
      <c r="H215" s="41">
        <v>0</v>
      </c>
      <c r="I215" s="165">
        <v>0</v>
      </c>
      <c r="J215" s="165">
        <v>0.18255000000000002</v>
      </c>
      <c r="K215" s="41">
        <v>-37.48451</v>
      </c>
      <c r="L215" s="41">
        <v>0</v>
      </c>
      <c r="M215" s="41">
        <v>0</v>
      </c>
      <c r="N215" s="41">
        <v>0</v>
      </c>
      <c r="O215" s="41">
        <v>0</v>
      </c>
      <c r="P215" s="41">
        <v>0</v>
      </c>
    </row>
    <row r="216" spans="1:16" x14ac:dyDescent="0.25">
      <c r="A216" s="30">
        <v>635</v>
      </c>
      <c r="B216" s="31" t="s">
        <v>530</v>
      </c>
      <c r="C216" s="65">
        <v>-5.9999429448990362</v>
      </c>
      <c r="D216" s="65">
        <v>-31</v>
      </c>
      <c r="E216" s="65">
        <v>70</v>
      </c>
      <c r="F216" s="65">
        <v>-398</v>
      </c>
      <c r="G216" s="41">
        <v>-271</v>
      </c>
      <c r="H216" s="41">
        <v>-148</v>
      </c>
      <c r="I216" s="165">
        <v>-308.87930999999998</v>
      </c>
      <c r="J216" s="165">
        <v>17.925840000000001</v>
      </c>
      <c r="K216" s="41">
        <v>-179.19601</v>
      </c>
      <c r="L216" s="41">
        <v>0</v>
      </c>
      <c r="M216" s="41">
        <v>0</v>
      </c>
      <c r="N216" s="41">
        <v>0</v>
      </c>
      <c r="O216" s="41">
        <v>0</v>
      </c>
      <c r="P216" s="41">
        <v>0</v>
      </c>
    </row>
    <row r="217" spans="1:16" x14ac:dyDescent="0.25">
      <c r="A217" s="30">
        <v>636</v>
      </c>
      <c r="B217" s="31" t="s">
        <v>531</v>
      </c>
      <c r="C217" s="65">
        <v>222.07810843321937</v>
      </c>
      <c r="D217" s="65">
        <v>-36</v>
      </c>
      <c r="E217" s="65">
        <v>300</v>
      </c>
      <c r="F217" s="65">
        <v>-349</v>
      </c>
      <c r="G217" s="41">
        <v>127</v>
      </c>
      <c r="H217" s="41">
        <v>-222</v>
      </c>
      <c r="I217" s="165">
        <v>-28.268900000000002</v>
      </c>
      <c r="J217" s="165">
        <v>25.861840000000001</v>
      </c>
      <c r="K217" s="41">
        <v>-206.38939000000002</v>
      </c>
      <c r="L217" s="41">
        <v>0</v>
      </c>
      <c r="M217" s="41">
        <v>0</v>
      </c>
      <c r="N217" s="41">
        <v>0</v>
      </c>
      <c r="O217" s="41">
        <v>0</v>
      </c>
      <c r="P217" s="41">
        <v>0</v>
      </c>
    </row>
    <row r="218" spans="1:16" x14ac:dyDescent="0.25">
      <c r="A218" s="30">
        <v>638</v>
      </c>
      <c r="B218" s="31" t="s">
        <v>532</v>
      </c>
      <c r="C218" s="65">
        <v>-5704.4727775849524</v>
      </c>
      <c r="D218" s="65">
        <v>-6936</v>
      </c>
      <c r="E218" s="65">
        <v>-8550</v>
      </c>
      <c r="F218" s="65">
        <v>-9513</v>
      </c>
      <c r="G218" s="41">
        <v>-5508</v>
      </c>
      <c r="H218" s="41">
        <v>-5064</v>
      </c>
      <c r="I218" s="165">
        <v>-3324.8703399999999</v>
      </c>
      <c r="J218" s="165">
        <v>-4295.5095599999995</v>
      </c>
      <c r="K218" s="41">
        <v>3624.5764399999998</v>
      </c>
      <c r="L218" s="41">
        <v>0</v>
      </c>
      <c r="M218" s="41">
        <v>0</v>
      </c>
      <c r="N218" s="41">
        <v>0</v>
      </c>
      <c r="O218" s="41">
        <v>0</v>
      </c>
      <c r="P218" s="41">
        <v>0</v>
      </c>
    </row>
    <row r="219" spans="1:16" x14ac:dyDescent="0.25">
      <c r="A219" s="30">
        <v>678</v>
      </c>
      <c r="B219" s="31" t="s">
        <v>533</v>
      </c>
      <c r="C219" s="65">
        <v>-1547.1874497796248</v>
      </c>
      <c r="D219" s="65">
        <v>-460</v>
      </c>
      <c r="E219" s="65">
        <v>-907</v>
      </c>
      <c r="F219" s="65">
        <v>-168</v>
      </c>
      <c r="G219" s="41">
        <v>-271</v>
      </c>
      <c r="H219" s="41">
        <v>-169</v>
      </c>
      <c r="I219" s="165">
        <v>-9677.04234</v>
      </c>
      <c r="J219" s="165">
        <v>-222.73796999999999</v>
      </c>
      <c r="K219" s="41">
        <v>4434.1673300000002</v>
      </c>
      <c r="L219" s="41">
        <v>0</v>
      </c>
      <c r="M219" s="41">
        <v>0</v>
      </c>
      <c r="N219" s="41">
        <v>0</v>
      </c>
      <c r="O219" s="41">
        <v>0</v>
      </c>
      <c r="P219" s="41">
        <v>0</v>
      </c>
    </row>
    <row r="220" spans="1:16" x14ac:dyDescent="0.25">
      <c r="A220" s="30">
        <v>680</v>
      </c>
      <c r="B220" s="31" t="s">
        <v>534</v>
      </c>
      <c r="C220" s="65">
        <v>-1704.3711180739465</v>
      </c>
      <c r="D220" s="65">
        <v>-15238</v>
      </c>
      <c r="E220" s="65">
        <v>-505</v>
      </c>
      <c r="F220" s="65">
        <v>-1314</v>
      </c>
      <c r="G220" s="41">
        <v>-1196</v>
      </c>
      <c r="H220" s="41">
        <v>-2508</v>
      </c>
      <c r="I220" s="165">
        <v>-512.1548600000001</v>
      </c>
      <c r="J220" s="165">
        <v>-2097.0111999999999</v>
      </c>
      <c r="K220" s="41">
        <v>-734.57524999999998</v>
      </c>
      <c r="L220" s="41">
        <v>0</v>
      </c>
      <c r="M220" s="41">
        <v>0</v>
      </c>
      <c r="N220" s="41">
        <v>0</v>
      </c>
      <c r="O220" s="41">
        <v>0</v>
      </c>
      <c r="P220" s="41">
        <v>0</v>
      </c>
    </row>
    <row r="221" spans="1:16" x14ac:dyDescent="0.25">
      <c r="A221" s="30">
        <v>681</v>
      </c>
      <c r="B221" s="31" t="s">
        <v>535</v>
      </c>
      <c r="C221" s="65">
        <v>66.006903667216619</v>
      </c>
      <c r="D221" s="65">
        <v>-72</v>
      </c>
      <c r="E221" s="65">
        <v>-52</v>
      </c>
      <c r="F221" s="65">
        <v>-8</v>
      </c>
      <c r="G221" s="41">
        <v>-1692</v>
      </c>
      <c r="H221" s="41">
        <v>-706</v>
      </c>
      <c r="I221" s="165">
        <v>-52.405000000000001</v>
      </c>
      <c r="J221" s="165">
        <v>-278.76146999999997</v>
      </c>
      <c r="K221" s="41">
        <v>0</v>
      </c>
      <c r="L221" s="41">
        <v>0</v>
      </c>
      <c r="M221" s="41">
        <v>0</v>
      </c>
      <c r="N221" s="41">
        <v>0</v>
      </c>
      <c r="O221" s="41">
        <v>0</v>
      </c>
      <c r="P221" s="41">
        <v>0</v>
      </c>
    </row>
    <row r="222" spans="1:16" x14ac:dyDescent="0.25">
      <c r="A222" s="30">
        <v>683</v>
      </c>
      <c r="B222" s="31" t="s">
        <v>536</v>
      </c>
      <c r="C222" s="65">
        <v>-18.999427864126446</v>
      </c>
      <c r="D222" s="65">
        <v>73</v>
      </c>
      <c r="E222" s="65">
        <v>-8</v>
      </c>
      <c r="F222" s="65">
        <v>-14</v>
      </c>
      <c r="G222" s="41">
        <v>115</v>
      </c>
      <c r="H222" s="41">
        <v>-4</v>
      </c>
      <c r="I222" s="165">
        <v>21.095140000000001</v>
      </c>
      <c r="J222" s="165">
        <v>0</v>
      </c>
      <c r="K222" s="41">
        <v>-0.23069999999999999</v>
      </c>
      <c r="L222" s="41">
        <v>0</v>
      </c>
      <c r="M222" s="41">
        <v>0</v>
      </c>
      <c r="N222" s="41">
        <v>0</v>
      </c>
      <c r="O222" s="41">
        <v>0</v>
      </c>
      <c r="P222" s="41">
        <v>0</v>
      </c>
    </row>
    <row r="223" spans="1:16" x14ac:dyDescent="0.25">
      <c r="A223" s="30">
        <v>684</v>
      </c>
      <c r="B223" s="31" t="s">
        <v>537</v>
      </c>
      <c r="C223" s="65">
        <v>-306.85062816081296</v>
      </c>
      <c r="D223" s="65">
        <v>-880</v>
      </c>
      <c r="E223" s="65">
        <v>-504</v>
      </c>
      <c r="F223" s="65">
        <v>-541</v>
      </c>
      <c r="G223" s="41">
        <v>-51</v>
      </c>
      <c r="H223" s="41">
        <v>-2735</v>
      </c>
      <c r="I223" s="165">
        <v>3709.5920000000001</v>
      </c>
      <c r="J223" s="165">
        <v>-839.03599999999994</v>
      </c>
      <c r="K223" s="41">
        <v>-1785.9311399999999</v>
      </c>
      <c r="L223" s="41">
        <v>0</v>
      </c>
      <c r="M223" s="41">
        <v>0</v>
      </c>
      <c r="N223" s="41">
        <v>0</v>
      </c>
      <c r="O223" s="41">
        <v>0</v>
      </c>
      <c r="P223" s="41">
        <v>0</v>
      </c>
    </row>
    <row r="224" spans="1:16" x14ac:dyDescent="0.25">
      <c r="A224" s="30">
        <v>686</v>
      </c>
      <c r="B224" s="31" t="s">
        <v>538</v>
      </c>
      <c r="C224" s="65">
        <v>14.000310633327469</v>
      </c>
      <c r="D224" s="65">
        <v>-3</v>
      </c>
      <c r="E224" s="65">
        <v>2</v>
      </c>
      <c r="F224" s="65">
        <v>0</v>
      </c>
      <c r="G224" s="41">
        <v>93</v>
      </c>
      <c r="H224" s="41">
        <v>-77</v>
      </c>
      <c r="I224" s="165">
        <v>-11.948</v>
      </c>
      <c r="J224" s="165">
        <v>116.15464999999999</v>
      </c>
      <c r="K224" s="41">
        <v>267.34649999999999</v>
      </c>
      <c r="L224" s="41">
        <v>0</v>
      </c>
      <c r="M224" s="41">
        <v>0</v>
      </c>
      <c r="N224" s="41">
        <v>0</v>
      </c>
      <c r="O224" s="41">
        <v>0</v>
      </c>
      <c r="P224" s="41">
        <v>0</v>
      </c>
    </row>
    <row r="225" spans="1:16" x14ac:dyDescent="0.25">
      <c r="A225" s="30">
        <v>687</v>
      </c>
      <c r="B225" s="31" t="s">
        <v>539</v>
      </c>
      <c r="C225" s="65">
        <v>-24.999009460052712</v>
      </c>
      <c r="D225" s="65">
        <v>-1</v>
      </c>
      <c r="E225" s="65">
        <v>-246</v>
      </c>
      <c r="F225" s="65">
        <v>-10</v>
      </c>
      <c r="G225" s="41">
        <v>81</v>
      </c>
      <c r="H225" s="41">
        <v>-65</v>
      </c>
      <c r="I225" s="165">
        <v>294.74984999999998</v>
      </c>
      <c r="J225" s="165">
        <v>-5.3760000000000003</v>
      </c>
      <c r="K225" s="41">
        <v>225.56379000000001</v>
      </c>
      <c r="L225" s="41">
        <v>0</v>
      </c>
      <c r="M225" s="41">
        <v>0</v>
      </c>
      <c r="N225" s="41">
        <v>0</v>
      </c>
      <c r="O225" s="41">
        <v>0</v>
      </c>
      <c r="P225" s="41">
        <v>0</v>
      </c>
    </row>
    <row r="226" spans="1:16" x14ac:dyDescent="0.25">
      <c r="A226" s="30">
        <v>689</v>
      </c>
      <c r="B226" s="31" t="s">
        <v>540</v>
      </c>
      <c r="C226" s="65">
        <v>351.1952568192732</v>
      </c>
      <c r="D226" s="65">
        <v>-1319</v>
      </c>
      <c r="E226" s="65">
        <v>51</v>
      </c>
      <c r="F226" s="65">
        <v>323</v>
      </c>
      <c r="G226" s="41">
        <v>46</v>
      </c>
      <c r="H226" s="41">
        <v>928</v>
      </c>
      <c r="I226" s="165">
        <v>466.98395999999997</v>
      </c>
      <c r="J226" s="165">
        <v>-482.96535</v>
      </c>
      <c r="K226" s="41">
        <v>-114.71173</v>
      </c>
      <c r="L226" s="41">
        <v>0</v>
      </c>
      <c r="M226" s="41">
        <v>0</v>
      </c>
      <c r="N226" s="41">
        <v>0</v>
      </c>
      <c r="O226" s="41">
        <v>0</v>
      </c>
      <c r="P226" s="41">
        <v>0</v>
      </c>
    </row>
    <row r="227" spans="1:16" x14ac:dyDescent="0.25">
      <c r="A227" s="30">
        <v>691</v>
      </c>
      <c r="B227" s="31" t="s">
        <v>541</v>
      </c>
      <c r="C227" s="65">
        <v>0</v>
      </c>
      <c r="D227" s="65">
        <v>0</v>
      </c>
      <c r="E227" s="65">
        <v>-67</v>
      </c>
      <c r="F227" s="65">
        <v>-15</v>
      </c>
      <c r="G227" s="41">
        <v>208</v>
      </c>
      <c r="H227" s="41">
        <v>-40</v>
      </c>
      <c r="I227" s="165">
        <v>-354.26232999999996</v>
      </c>
      <c r="J227" s="165">
        <v>-56.853670000000001</v>
      </c>
      <c r="K227" s="41">
        <v>-27.2</v>
      </c>
      <c r="L227" s="41">
        <v>0</v>
      </c>
      <c r="M227" s="41">
        <v>0</v>
      </c>
      <c r="N227" s="41">
        <v>0</v>
      </c>
      <c r="O227" s="41">
        <v>0</v>
      </c>
      <c r="P227" s="41">
        <v>0</v>
      </c>
    </row>
    <row r="228" spans="1:16" x14ac:dyDescent="0.25">
      <c r="A228" s="30">
        <v>694</v>
      </c>
      <c r="B228" s="31" t="s">
        <v>542</v>
      </c>
      <c r="C228" s="65">
        <v>-4360.4424274409675</v>
      </c>
      <c r="D228" s="65">
        <v>-4448</v>
      </c>
      <c r="E228" s="65">
        <v>-5374</v>
      </c>
      <c r="F228" s="65">
        <v>-2214</v>
      </c>
      <c r="G228" s="41">
        <v>-47718</v>
      </c>
      <c r="H228" s="41">
        <v>-415</v>
      </c>
      <c r="I228" s="165">
        <v>-638.23119999999994</v>
      </c>
      <c r="J228" s="165">
        <v>-3260.3117599999996</v>
      </c>
      <c r="K228" s="41">
        <v>1407.01161</v>
      </c>
      <c r="L228" s="41">
        <v>0</v>
      </c>
      <c r="M228" s="41">
        <v>0</v>
      </c>
      <c r="N228" s="41">
        <v>0</v>
      </c>
      <c r="O228" s="41">
        <v>0</v>
      </c>
      <c r="P228" s="41">
        <v>0</v>
      </c>
    </row>
    <row r="229" spans="1:16" x14ac:dyDescent="0.25">
      <c r="A229" s="32">
        <v>697</v>
      </c>
      <c r="B229" s="33" t="s">
        <v>543</v>
      </c>
      <c r="C229" s="65">
        <v>51.004122231044633</v>
      </c>
      <c r="D229" s="65">
        <v>-3</v>
      </c>
      <c r="E229" s="65">
        <v>0</v>
      </c>
      <c r="F229" s="65">
        <v>-13</v>
      </c>
      <c r="G229" s="41">
        <v>-22</v>
      </c>
      <c r="H229" s="41">
        <v>-303</v>
      </c>
      <c r="I229" s="165">
        <v>50.39161</v>
      </c>
      <c r="J229" s="165">
        <v>-32.396000000000001</v>
      </c>
      <c r="K229" s="41">
        <v>-31.8108</v>
      </c>
      <c r="L229" s="41">
        <v>0</v>
      </c>
      <c r="M229" s="41">
        <v>0</v>
      </c>
      <c r="N229" s="41">
        <v>0</v>
      </c>
      <c r="O229" s="41">
        <v>0</v>
      </c>
      <c r="P229" s="41">
        <v>0</v>
      </c>
    </row>
    <row r="230" spans="1:16" x14ac:dyDescent="0.25">
      <c r="A230" s="30">
        <v>698</v>
      </c>
      <c r="B230" s="31" t="s">
        <v>544</v>
      </c>
      <c r="C230" s="65">
        <v>-11156.43793593663</v>
      </c>
      <c r="D230" s="65">
        <v>-3045</v>
      </c>
      <c r="E230" s="65">
        <v>-3275</v>
      </c>
      <c r="F230" s="65">
        <v>-2657</v>
      </c>
      <c r="G230" s="41">
        <v>-1058</v>
      </c>
      <c r="H230" s="41">
        <v>-2029</v>
      </c>
      <c r="I230" s="165">
        <v>-3844.3099899999997</v>
      </c>
      <c r="J230" s="165">
        <v>-1681.05054</v>
      </c>
      <c r="K230" s="41">
        <v>-3765.4835099999996</v>
      </c>
      <c r="L230" s="41">
        <v>0</v>
      </c>
      <c r="M230" s="41">
        <v>0</v>
      </c>
      <c r="N230" s="41">
        <v>0</v>
      </c>
      <c r="O230" s="41">
        <v>0</v>
      </c>
      <c r="P230" s="41">
        <v>0</v>
      </c>
    </row>
    <row r="231" spans="1:16" x14ac:dyDescent="0.25">
      <c r="A231" s="30">
        <v>700</v>
      </c>
      <c r="B231" s="31" t="s">
        <v>545</v>
      </c>
      <c r="C231" s="65">
        <v>-153.9624133673762</v>
      </c>
      <c r="D231" s="65">
        <v>-94</v>
      </c>
      <c r="E231" s="65">
        <v>-56</v>
      </c>
      <c r="F231" s="65">
        <v>-13</v>
      </c>
      <c r="G231" s="41">
        <v>413</v>
      </c>
      <c r="H231" s="41">
        <v>1109</v>
      </c>
      <c r="I231" s="165">
        <v>320.79073</v>
      </c>
      <c r="J231" s="165">
        <v>-455</v>
      </c>
      <c r="K231" s="41">
        <v>0</v>
      </c>
      <c r="L231" s="41">
        <v>0</v>
      </c>
      <c r="M231" s="41">
        <v>0</v>
      </c>
      <c r="N231" s="41">
        <v>0</v>
      </c>
      <c r="O231" s="41">
        <v>0</v>
      </c>
      <c r="P231" s="41">
        <v>0</v>
      </c>
    </row>
    <row r="232" spans="1:16" x14ac:dyDescent="0.25">
      <c r="A232" s="30">
        <v>702</v>
      </c>
      <c r="B232" s="31" t="s">
        <v>546</v>
      </c>
      <c r="C232" s="65">
        <v>-3.9999746421773494</v>
      </c>
      <c r="D232" s="65">
        <v>-170</v>
      </c>
      <c r="E232" s="65">
        <v>-577</v>
      </c>
      <c r="F232" s="65">
        <v>-35</v>
      </c>
      <c r="G232" s="41">
        <v>37</v>
      </c>
      <c r="H232" s="41">
        <v>67</v>
      </c>
      <c r="I232" s="165">
        <v>-48.387169999999998</v>
      </c>
      <c r="J232" s="165">
        <v>-14.776299999999999</v>
      </c>
      <c r="K232" s="41">
        <v>0</v>
      </c>
      <c r="L232" s="41">
        <v>0</v>
      </c>
      <c r="M232" s="41">
        <v>0</v>
      </c>
      <c r="N232" s="41">
        <v>0</v>
      </c>
      <c r="O232" s="41">
        <v>0</v>
      </c>
      <c r="P232" s="41">
        <v>0</v>
      </c>
    </row>
    <row r="233" spans="1:16" x14ac:dyDescent="0.25">
      <c r="A233" s="30">
        <v>704</v>
      </c>
      <c r="B233" s="31" t="s">
        <v>547</v>
      </c>
      <c r="C233" s="65">
        <v>-698.22563390594462</v>
      </c>
      <c r="D233" s="65">
        <v>-1270</v>
      </c>
      <c r="E233" s="65">
        <v>-820</v>
      </c>
      <c r="F233" s="65">
        <v>-606</v>
      </c>
      <c r="G233" s="41">
        <v>-453</v>
      </c>
      <c r="H233" s="41">
        <v>-889</v>
      </c>
      <c r="I233" s="165">
        <v>-996.39069999999992</v>
      </c>
      <c r="J233" s="165">
        <v>-172.41485999999998</v>
      </c>
      <c r="K233" s="41">
        <v>-2.6771500000000001</v>
      </c>
      <c r="L233" s="41">
        <v>0</v>
      </c>
      <c r="M233" s="41">
        <v>0</v>
      </c>
      <c r="N233" s="41">
        <v>0</v>
      </c>
      <c r="O233" s="41">
        <v>0</v>
      </c>
      <c r="P233" s="41">
        <v>0</v>
      </c>
    </row>
    <row r="234" spans="1:16" x14ac:dyDescent="0.25">
      <c r="A234" s="30">
        <v>707</v>
      </c>
      <c r="B234" s="31" t="s">
        <v>548</v>
      </c>
      <c r="C234" s="65">
        <v>-13.999689366672531</v>
      </c>
      <c r="D234" s="65">
        <v>-10</v>
      </c>
      <c r="E234" s="65">
        <v>-166</v>
      </c>
      <c r="F234" s="65">
        <v>-3</v>
      </c>
      <c r="G234" s="41">
        <v>-19</v>
      </c>
      <c r="H234" s="41">
        <v>231</v>
      </c>
      <c r="I234" s="165">
        <v>434.06539000000004</v>
      </c>
      <c r="J234" s="165">
        <v>-1237.1361200000001</v>
      </c>
      <c r="K234" s="41">
        <v>0.82490999999999992</v>
      </c>
      <c r="L234" s="41">
        <v>0</v>
      </c>
      <c r="M234" s="41">
        <v>0</v>
      </c>
      <c r="N234" s="41">
        <v>0</v>
      </c>
      <c r="O234" s="41">
        <v>0</v>
      </c>
      <c r="P234" s="41">
        <v>0</v>
      </c>
    </row>
    <row r="235" spans="1:16" x14ac:dyDescent="0.25">
      <c r="A235" s="30">
        <v>710</v>
      </c>
      <c r="B235" s="31" t="s">
        <v>549</v>
      </c>
      <c r="C235" s="65">
        <v>-19205.848559913404</v>
      </c>
      <c r="D235" s="65">
        <v>-1299</v>
      </c>
      <c r="E235" s="65">
        <v>-2178</v>
      </c>
      <c r="F235" s="65">
        <v>-1266</v>
      </c>
      <c r="G235" s="41">
        <v>-1252</v>
      </c>
      <c r="H235" s="41">
        <v>-942</v>
      </c>
      <c r="I235" s="165">
        <v>-2174.3510000000001</v>
      </c>
      <c r="J235" s="165">
        <v>-1212.22516</v>
      </c>
      <c r="K235" s="41">
        <v>-511.56896999999998</v>
      </c>
      <c r="L235" s="41">
        <v>0</v>
      </c>
      <c r="M235" s="41">
        <v>0</v>
      </c>
      <c r="N235" s="41">
        <v>0</v>
      </c>
      <c r="O235" s="41">
        <v>0</v>
      </c>
      <c r="P235" s="41">
        <v>0</v>
      </c>
    </row>
    <row r="236" spans="1:16" x14ac:dyDescent="0.25">
      <c r="A236" s="30">
        <v>729</v>
      </c>
      <c r="B236" s="31" t="s">
        <v>550</v>
      </c>
      <c r="C236" s="65">
        <v>-156.96093468934291</v>
      </c>
      <c r="D236" s="65">
        <v>-93</v>
      </c>
      <c r="E236" s="65">
        <v>-279</v>
      </c>
      <c r="F236" s="65">
        <v>-445</v>
      </c>
      <c r="G236" s="41">
        <v>-478</v>
      </c>
      <c r="H236" s="41">
        <v>-24</v>
      </c>
      <c r="I236" s="165">
        <v>1061.9058</v>
      </c>
      <c r="J236" s="165">
        <v>-830.45537000000002</v>
      </c>
      <c r="K236" s="41">
        <v>-964.16882999999996</v>
      </c>
      <c r="L236" s="41">
        <v>0</v>
      </c>
      <c r="M236" s="41">
        <v>0</v>
      </c>
      <c r="N236" s="41">
        <v>0</v>
      </c>
      <c r="O236" s="41">
        <v>0</v>
      </c>
      <c r="P236" s="41">
        <v>0</v>
      </c>
    </row>
    <row r="237" spans="1:16" x14ac:dyDescent="0.25">
      <c r="A237" s="30">
        <v>732</v>
      </c>
      <c r="B237" s="31" t="s">
        <v>551</v>
      </c>
      <c r="C237" s="65">
        <v>-19.999366054433736</v>
      </c>
      <c r="D237" s="65">
        <v>-38</v>
      </c>
      <c r="E237" s="65">
        <v>-11</v>
      </c>
      <c r="F237" s="65">
        <v>-1278</v>
      </c>
      <c r="G237" s="41">
        <v>-487</v>
      </c>
      <c r="H237" s="41">
        <v>-11</v>
      </c>
      <c r="I237" s="165">
        <v>-19.18158</v>
      </c>
      <c r="J237" s="165">
        <v>-170.23551999999998</v>
      </c>
      <c r="K237" s="41">
        <v>-95</v>
      </c>
      <c r="L237" s="41">
        <v>0</v>
      </c>
      <c r="M237" s="41">
        <v>0</v>
      </c>
      <c r="N237" s="41">
        <v>0</v>
      </c>
      <c r="O237" s="41">
        <v>0</v>
      </c>
      <c r="P237" s="41">
        <v>0</v>
      </c>
    </row>
    <row r="238" spans="1:16" x14ac:dyDescent="0.25">
      <c r="A238" s="30">
        <v>734</v>
      </c>
      <c r="B238" s="31" t="s">
        <v>552</v>
      </c>
      <c r="C238" s="65">
        <v>-1177.7932354838351</v>
      </c>
      <c r="D238" s="65">
        <v>-534</v>
      </c>
      <c r="E238" s="65">
        <v>-493</v>
      </c>
      <c r="F238" s="65">
        <v>-2520</v>
      </c>
      <c r="G238" s="41">
        <v>-158</v>
      </c>
      <c r="H238" s="41">
        <v>-776</v>
      </c>
      <c r="I238" s="165">
        <v>-822.1411599999999</v>
      </c>
      <c r="J238" s="165">
        <v>-96.688330000000008</v>
      </c>
      <c r="K238" s="41">
        <v>70.250360000000001</v>
      </c>
      <c r="L238" s="41">
        <v>0</v>
      </c>
      <c r="M238" s="41">
        <v>0</v>
      </c>
      <c r="N238" s="41">
        <v>0</v>
      </c>
      <c r="O238" s="41">
        <v>0</v>
      </c>
      <c r="P238" s="41">
        <v>0</v>
      </c>
    </row>
    <row r="239" spans="1:16" x14ac:dyDescent="0.25">
      <c r="A239" s="30">
        <v>738</v>
      </c>
      <c r="B239" s="31" t="s">
        <v>553</v>
      </c>
      <c r="C239" s="65">
        <v>-73.991321285197841</v>
      </c>
      <c r="D239" s="65">
        <v>-38</v>
      </c>
      <c r="E239" s="65">
        <v>-141</v>
      </c>
      <c r="F239" s="65">
        <v>-12</v>
      </c>
      <c r="G239" s="41">
        <v>0</v>
      </c>
      <c r="H239" s="41">
        <v>-34</v>
      </c>
      <c r="I239" s="165">
        <v>-116.703</v>
      </c>
      <c r="J239" s="165">
        <v>0</v>
      </c>
      <c r="K239" s="41">
        <v>-28.96</v>
      </c>
      <c r="L239" s="41">
        <v>0</v>
      </c>
      <c r="M239" s="41">
        <v>0</v>
      </c>
      <c r="N239" s="41">
        <v>0</v>
      </c>
      <c r="O239" s="41">
        <v>0</v>
      </c>
      <c r="P239" s="41">
        <v>0</v>
      </c>
    </row>
    <row r="240" spans="1:16" x14ac:dyDescent="0.25">
      <c r="A240" s="30">
        <v>739</v>
      </c>
      <c r="B240" s="31" t="s">
        <v>554</v>
      </c>
      <c r="C240" s="65">
        <v>-110.98047289169516</v>
      </c>
      <c r="D240" s="65">
        <v>354</v>
      </c>
      <c r="E240" s="65">
        <v>-95</v>
      </c>
      <c r="F240" s="65">
        <v>-113</v>
      </c>
      <c r="G240" s="41">
        <v>241</v>
      </c>
      <c r="H240" s="41">
        <v>986</v>
      </c>
      <c r="I240" s="165">
        <v>669.14632999999992</v>
      </c>
      <c r="J240" s="165">
        <v>-677.40460999999993</v>
      </c>
      <c r="K240" s="41">
        <v>20.580770000000001</v>
      </c>
      <c r="L240" s="41">
        <v>0</v>
      </c>
      <c r="M240" s="41">
        <v>0</v>
      </c>
      <c r="N240" s="41">
        <v>0</v>
      </c>
      <c r="O240" s="41">
        <v>0</v>
      </c>
      <c r="P240" s="41">
        <v>0</v>
      </c>
    </row>
    <row r="241" spans="1:16" x14ac:dyDescent="0.25">
      <c r="A241" s="30">
        <v>740</v>
      </c>
      <c r="B241" s="31" t="s">
        <v>555</v>
      </c>
      <c r="C241" s="65">
        <v>-1234.5748903670387</v>
      </c>
      <c r="D241" s="65">
        <v>-1531</v>
      </c>
      <c r="E241" s="65">
        <v>-1240</v>
      </c>
      <c r="F241" s="65">
        <v>-443</v>
      </c>
      <c r="G241" s="41">
        <v>2246</v>
      </c>
      <c r="H241" s="41">
        <v>-1262</v>
      </c>
      <c r="I241" s="165">
        <v>1837.1183600000002</v>
      </c>
      <c r="J241" s="165">
        <v>417.32601</v>
      </c>
      <c r="K241" s="41">
        <v>-2288.9928799999998</v>
      </c>
      <c r="L241" s="41">
        <v>0</v>
      </c>
      <c r="M241" s="41">
        <v>0</v>
      </c>
      <c r="N241" s="41">
        <v>0</v>
      </c>
      <c r="O241" s="41">
        <v>0</v>
      </c>
      <c r="P241" s="41">
        <v>0</v>
      </c>
    </row>
    <row r="242" spans="1:16" x14ac:dyDescent="0.25">
      <c r="A242" s="30">
        <v>742</v>
      </c>
      <c r="B242" s="31" t="s">
        <v>556</v>
      </c>
      <c r="C242" s="65">
        <v>-7.9998985687093978</v>
      </c>
      <c r="D242" s="65">
        <v>30</v>
      </c>
      <c r="E242" s="65">
        <v>-3</v>
      </c>
      <c r="F242" s="65">
        <v>-80</v>
      </c>
      <c r="G242" s="41">
        <v>-3</v>
      </c>
      <c r="H242" s="41">
        <v>-5</v>
      </c>
      <c r="I242" s="165">
        <v>-64.824169999999995</v>
      </c>
      <c r="J242" s="165">
        <v>0</v>
      </c>
      <c r="K242" s="41">
        <v>-1.9341600000000001</v>
      </c>
      <c r="L242" s="41">
        <v>0</v>
      </c>
      <c r="M242" s="41">
        <v>0</v>
      </c>
      <c r="N242" s="41">
        <v>0</v>
      </c>
      <c r="O242" s="41">
        <v>0</v>
      </c>
      <c r="P242" s="41">
        <v>0</v>
      </c>
    </row>
    <row r="243" spans="1:16" x14ac:dyDescent="0.25">
      <c r="A243" s="30">
        <v>743</v>
      </c>
      <c r="B243" s="31" t="s">
        <v>557</v>
      </c>
      <c r="C243" s="65">
        <v>-4661.0499216284798</v>
      </c>
      <c r="D243" s="65">
        <v>-7405</v>
      </c>
      <c r="E243" s="65">
        <v>-7481</v>
      </c>
      <c r="F243" s="65">
        <v>-8807</v>
      </c>
      <c r="G243" s="41">
        <v>-4289</v>
      </c>
      <c r="H243" s="41">
        <v>-6144</v>
      </c>
      <c r="I243" s="165">
        <v>-6754.5178500000002</v>
      </c>
      <c r="J243" s="165">
        <v>-23410.201260000002</v>
      </c>
      <c r="K243" s="41">
        <v>7270.5441900000005</v>
      </c>
      <c r="L243" s="41">
        <v>0</v>
      </c>
      <c r="M243" s="41">
        <v>0</v>
      </c>
      <c r="N243" s="41">
        <v>0</v>
      </c>
      <c r="O243" s="41">
        <v>0</v>
      </c>
      <c r="P243" s="41">
        <v>0</v>
      </c>
    </row>
    <row r="244" spans="1:16" x14ac:dyDescent="0.25">
      <c r="A244" s="30">
        <v>746</v>
      </c>
      <c r="B244" s="31" t="s">
        <v>558</v>
      </c>
      <c r="C244" s="65">
        <v>-20.999301075013193</v>
      </c>
      <c r="D244" s="65">
        <v>-21</v>
      </c>
      <c r="E244" s="65">
        <v>-198</v>
      </c>
      <c r="F244" s="65">
        <v>-21</v>
      </c>
      <c r="G244" s="41">
        <v>-24</v>
      </c>
      <c r="H244" s="41">
        <v>9</v>
      </c>
      <c r="I244" s="165">
        <v>1.0195499999999993</v>
      </c>
      <c r="J244" s="165">
        <v>0</v>
      </c>
      <c r="K244" s="41">
        <v>-52.117839999999994</v>
      </c>
      <c r="L244" s="41">
        <v>0</v>
      </c>
      <c r="M244" s="41">
        <v>0</v>
      </c>
      <c r="N244" s="41">
        <v>0</v>
      </c>
      <c r="O244" s="41">
        <v>0</v>
      </c>
      <c r="P244" s="41">
        <v>0</v>
      </c>
    </row>
    <row r="245" spans="1:16" x14ac:dyDescent="0.25">
      <c r="A245" s="30">
        <v>747</v>
      </c>
      <c r="B245" s="31" t="s">
        <v>559</v>
      </c>
      <c r="C245" s="65">
        <v>-9.999841513608434</v>
      </c>
      <c r="D245" s="65">
        <v>-77</v>
      </c>
      <c r="E245" s="65">
        <v>0</v>
      </c>
      <c r="F245" s="65">
        <v>-10</v>
      </c>
      <c r="G245" s="41">
        <v>40</v>
      </c>
      <c r="H245" s="41">
        <v>-44</v>
      </c>
      <c r="I245" s="165">
        <v>-32.089300000000001</v>
      </c>
      <c r="J245" s="165">
        <v>-0.14953</v>
      </c>
      <c r="K245" s="41">
        <v>0</v>
      </c>
      <c r="L245" s="41">
        <v>0</v>
      </c>
      <c r="M245" s="41">
        <v>0</v>
      </c>
      <c r="N245" s="41">
        <v>0</v>
      </c>
      <c r="O245" s="41">
        <v>0</v>
      </c>
      <c r="P245" s="41">
        <v>0</v>
      </c>
    </row>
    <row r="246" spans="1:16" x14ac:dyDescent="0.25">
      <c r="A246" s="30">
        <v>748</v>
      </c>
      <c r="B246" s="31" t="s">
        <v>560</v>
      </c>
      <c r="C246" s="65">
        <v>-3.9999746421773494</v>
      </c>
      <c r="D246" s="65">
        <v>25</v>
      </c>
      <c r="E246" s="65">
        <v>4</v>
      </c>
      <c r="F246" s="65">
        <v>-138</v>
      </c>
      <c r="G246" s="41">
        <v>-2</v>
      </c>
      <c r="H246" s="41">
        <v>-48</v>
      </c>
      <c r="I246" s="165">
        <v>11.076419999999999</v>
      </c>
      <c r="J246" s="165">
        <v>-54.994999999999997</v>
      </c>
      <c r="K246" s="41">
        <v>0</v>
      </c>
      <c r="L246" s="41">
        <v>0</v>
      </c>
      <c r="M246" s="41">
        <v>0</v>
      </c>
      <c r="N246" s="41">
        <v>0</v>
      </c>
      <c r="O246" s="41">
        <v>0</v>
      </c>
      <c r="P246" s="41">
        <v>0</v>
      </c>
    </row>
    <row r="247" spans="1:16" x14ac:dyDescent="0.25">
      <c r="A247" s="30">
        <v>749</v>
      </c>
      <c r="B247" s="31" t="s">
        <v>561</v>
      </c>
      <c r="C247" s="65">
        <v>-1004.3960606622512</v>
      </c>
      <c r="D247" s="65">
        <v>-412</v>
      </c>
      <c r="E247" s="65">
        <v>-609</v>
      </c>
      <c r="F247" s="65">
        <v>-1483</v>
      </c>
      <c r="G247" s="41">
        <v>-769</v>
      </c>
      <c r="H247" s="41">
        <v>-869</v>
      </c>
      <c r="I247" s="165">
        <v>-1953.01918</v>
      </c>
      <c r="J247" s="165">
        <v>-794.68799999999999</v>
      </c>
      <c r="K247" s="41">
        <v>-218.25995999999998</v>
      </c>
      <c r="L247" s="41">
        <v>0</v>
      </c>
      <c r="M247" s="41">
        <v>0</v>
      </c>
      <c r="N247" s="41">
        <v>0</v>
      </c>
      <c r="O247" s="41">
        <v>0</v>
      </c>
      <c r="P247" s="41">
        <v>0</v>
      </c>
    </row>
    <row r="248" spans="1:16" x14ac:dyDescent="0.25">
      <c r="A248" s="30">
        <v>751</v>
      </c>
      <c r="B248" s="31" t="s">
        <v>562</v>
      </c>
      <c r="C248" s="65">
        <v>0</v>
      </c>
      <c r="D248" s="65">
        <v>-42</v>
      </c>
      <c r="E248" s="65">
        <v>0</v>
      </c>
      <c r="F248" s="65">
        <v>-35</v>
      </c>
      <c r="G248" s="41">
        <v>-3</v>
      </c>
      <c r="H248" s="41">
        <v>-53</v>
      </c>
      <c r="I248" s="165">
        <v>548.54128000000003</v>
      </c>
      <c r="J248" s="165">
        <v>-423.12811999999997</v>
      </c>
      <c r="K248" s="41">
        <v>808.59884999999997</v>
      </c>
      <c r="L248" s="41">
        <v>0</v>
      </c>
      <c r="M248" s="41">
        <v>0</v>
      </c>
      <c r="N248" s="41">
        <v>0</v>
      </c>
      <c r="O248" s="41">
        <v>0</v>
      </c>
      <c r="P248" s="41">
        <v>0</v>
      </c>
    </row>
    <row r="249" spans="1:16" x14ac:dyDescent="0.25">
      <c r="A249" s="30">
        <v>753</v>
      </c>
      <c r="B249" s="31" t="s">
        <v>563</v>
      </c>
      <c r="C249" s="65">
        <v>-4797.9502796492379</v>
      </c>
      <c r="D249" s="65">
        <v>-6142</v>
      </c>
      <c r="E249" s="65">
        <v>-1883</v>
      </c>
      <c r="F249" s="65">
        <v>-4237</v>
      </c>
      <c r="G249" s="41">
        <v>-3880</v>
      </c>
      <c r="H249" s="41">
        <v>-5274</v>
      </c>
      <c r="I249" s="165">
        <v>-5623.4180500000002</v>
      </c>
      <c r="J249" s="165">
        <v>-13973.273279999999</v>
      </c>
      <c r="K249" s="41">
        <v>-3976.9698399999997</v>
      </c>
      <c r="L249" s="41">
        <v>0</v>
      </c>
      <c r="M249" s="41">
        <v>0</v>
      </c>
      <c r="N249" s="41">
        <v>0</v>
      </c>
      <c r="O249" s="41">
        <v>0</v>
      </c>
      <c r="P249" s="41">
        <v>0</v>
      </c>
    </row>
    <row r="250" spans="1:16" x14ac:dyDescent="0.25">
      <c r="A250" s="30">
        <v>755</v>
      </c>
      <c r="B250" s="31" t="s">
        <v>564</v>
      </c>
      <c r="C250" s="65">
        <v>-547.52405902667169</v>
      </c>
      <c r="D250" s="65">
        <v>-325</v>
      </c>
      <c r="E250" s="65">
        <v>-273</v>
      </c>
      <c r="F250" s="65">
        <v>-389</v>
      </c>
      <c r="G250" s="41">
        <v>-89</v>
      </c>
      <c r="H250" s="41">
        <v>-481</v>
      </c>
      <c r="I250" s="165">
        <v>-637.70713000000001</v>
      </c>
      <c r="J250" s="165">
        <v>-171.21482999999998</v>
      </c>
      <c r="K250" s="41">
        <v>-303.27992</v>
      </c>
      <c r="L250" s="41">
        <v>0</v>
      </c>
      <c r="M250" s="41">
        <v>0</v>
      </c>
      <c r="N250" s="41">
        <v>0</v>
      </c>
      <c r="O250" s="41">
        <v>0</v>
      </c>
      <c r="P250" s="41">
        <v>0</v>
      </c>
    </row>
    <row r="251" spans="1:16" x14ac:dyDescent="0.25">
      <c r="A251" s="30">
        <v>758</v>
      </c>
      <c r="B251" s="31" t="s">
        <v>565</v>
      </c>
      <c r="C251" s="65">
        <v>23.000838393011385</v>
      </c>
      <c r="D251" s="65">
        <v>0</v>
      </c>
      <c r="E251" s="65">
        <v>-6</v>
      </c>
      <c r="F251" s="65">
        <v>-143</v>
      </c>
      <c r="G251" s="41">
        <v>-72</v>
      </c>
      <c r="H251" s="41">
        <v>-3</v>
      </c>
      <c r="I251" s="165">
        <v>-388.77620000000002</v>
      </c>
      <c r="J251" s="165">
        <v>-395.5804</v>
      </c>
      <c r="K251" s="41">
        <v>171.02117999999999</v>
      </c>
      <c r="L251" s="41">
        <v>0</v>
      </c>
      <c r="M251" s="41">
        <v>0</v>
      </c>
      <c r="N251" s="41">
        <v>0</v>
      </c>
      <c r="O251" s="41">
        <v>0</v>
      </c>
      <c r="P251" s="41">
        <v>0</v>
      </c>
    </row>
    <row r="252" spans="1:16" x14ac:dyDescent="0.25">
      <c r="A252" s="30">
        <v>759</v>
      </c>
      <c r="B252" s="31" t="s">
        <v>566</v>
      </c>
      <c r="C252" s="65">
        <v>0</v>
      </c>
      <c r="D252" s="65">
        <v>6</v>
      </c>
      <c r="E252" s="65">
        <v>43</v>
      </c>
      <c r="F252" s="65">
        <v>-48</v>
      </c>
      <c r="G252" s="41">
        <v>-11</v>
      </c>
      <c r="H252" s="41">
        <v>-7</v>
      </c>
      <c r="I252" s="165">
        <v>21.228809999999999</v>
      </c>
      <c r="J252" s="165">
        <v>2.7059999999999997E-2</v>
      </c>
      <c r="K252" s="41">
        <v>-12.237159999999999</v>
      </c>
      <c r="L252" s="41">
        <v>0</v>
      </c>
      <c r="M252" s="41">
        <v>0</v>
      </c>
      <c r="N252" s="41">
        <v>0</v>
      </c>
      <c r="O252" s="41">
        <v>0</v>
      </c>
      <c r="P252" s="41">
        <v>0</v>
      </c>
    </row>
    <row r="253" spans="1:16" x14ac:dyDescent="0.25">
      <c r="A253" s="30">
        <v>761</v>
      </c>
      <c r="B253" s="31" t="s">
        <v>567</v>
      </c>
      <c r="C253" s="65">
        <v>-76.99060334184405</v>
      </c>
      <c r="D253" s="65">
        <v>-129</v>
      </c>
      <c r="E253" s="65">
        <v>-53</v>
      </c>
      <c r="F253" s="65">
        <v>-65</v>
      </c>
      <c r="G253" s="41">
        <v>-72</v>
      </c>
      <c r="H253" s="41">
        <v>-7</v>
      </c>
      <c r="I253" s="165">
        <v>-27.914999999999999</v>
      </c>
      <c r="J253" s="165">
        <v>-2728.0277999999998</v>
      </c>
      <c r="K253" s="41">
        <v>367.56882000000002</v>
      </c>
      <c r="L253" s="41">
        <v>0</v>
      </c>
      <c r="M253" s="41">
        <v>0</v>
      </c>
      <c r="N253" s="41">
        <v>0</v>
      </c>
      <c r="O253" s="41">
        <v>0</v>
      </c>
      <c r="P253" s="41">
        <v>0</v>
      </c>
    </row>
    <row r="254" spans="1:16" x14ac:dyDescent="0.25">
      <c r="A254" s="30">
        <v>762</v>
      </c>
      <c r="B254" s="31" t="s">
        <v>568</v>
      </c>
      <c r="C254" s="65">
        <v>0</v>
      </c>
      <c r="D254" s="65">
        <v>-11</v>
      </c>
      <c r="E254" s="65">
        <v>0</v>
      </c>
      <c r="F254" s="65">
        <v>0</v>
      </c>
      <c r="G254" s="41">
        <v>78</v>
      </c>
      <c r="H254" s="41">
        <v>38</v>
      </c>
      <c r="I254" s="165">
        <v>52.205760000000005</v>
      </c>
      <c r="J254" s="165">
        <v>2.1102500000000002</v>
      </c>
      <c r="K254" s="41">
        <v>507</v>
      </c>
      <c r="L254" s="41">
        <v>0</v>
      </c>
      <c r="M254" s="41">
        <v>0</v>
      </c>
      <c r="N254" s="41">
        <v>0</v>
      </c>
      <c r="O254" s="41">
        <v>0</v>
      </c>
      <c r="P254" s="41">
        <v>0</v>
      </c>
    </row>
    <row r="255" spans="1:16" x14ac:dyDescent="0.25">
      <c r="A255" s="30">
        <v>765</v>
      </c>
      <c r="B255" s="31" t="s">
        <v>569</v>
      </c>
      <c r="C255" s="65">
        <v>-23639.059697069111</v>
      </c>
      <c r="D255" s="65">
        <v>-105</v>
      </c>
      <c r="E255" s="65">
        <v>-303</v>
      </c>
      <c r="F255" s="65">
        <v>-146</v>
      </c>
      <c r="G255" s="41">
        <v>-39158</v>
      </c>
      <c r="H255" s="41">
        <v>-131</v>
      </c>
      <c r="I255" s="165">
        <v>-735.33236999999997</v>
      </c>
      <c r="J255" s="165">
        <v>-510.01535999999999</v>
      </c>
      <c r="K255" s="41">
        <v>-119.21408</v>
      </c>
      <c r="L255" s="41">
        <v>0</v>
      </c>
      <c r="M255" s="41">
        <v>0</v>
      </c>
      <c r="N255" s="41">
        <v>0</v>
      </c>
      <c r="O255" s="41">
        <v>0</v>
      </c>
      <c r="P255" s="41">
        <v>0</v>
      </c>
    </row>
    <row r="256" spans="1:16" x14ac:dyDescent="0.25">
      <c r="A256" s="30">
        <v>768</v>
      </c>
      <c r="B256" s="31" t="s">
        <v>570</v>
      </c>
      <c r="C256" s="65">
        <v>-209.93010750131941</v>
      </c>
      <c r="D256" s="65">
        <v>-122</v>
      </c>
      <c r="E256" s="65">
        <v>199</v>
      </c>
      <c r="F256" s="65">
        <v>-227</v>
      </c>
      <c r="G256" s="41">
        <v>-1</v>
      </c>
      <c r="H256" s="41">
        <v>-63</v>
      </c>
      <c r="I256" s="165">
        <v>125.54457000000001</v>
      </c>
      <c r="J256" s="165">
        <v>-39.048650000000002</v>
      </c>
      <c r="K256" s="41">
        <v>-76.858910000000009</v>
      </c>
      <c r="L256" s="41">
        <v>0</v>
      </c>
      <c r="M256" s="41">
        <v>0</v>
      </c>
      <c r="N256" s="41">
        <v>0</v>
      </c>
      <c r="O256" s="41">
        <v>0</v>
      </c>
      <c r="P256" s="41">
        <v>0</v>
      </c>
    </row>
    <row r="257" spans="1:16" x14ac:dyDescent="0.25">
      <c r="A257" s="30">
        <v>777</v>
      </c>
      <c r="B257" s="31" t="s">
        <v>571</v>
      </c>
      <c r="C257" s="65">
        <v>-277.87751537714212</v>
      </c>
      <c r="D257" s="65">
        <v>-80</v>
      </c>
      <c r="E257" s="65">
        <v>-59</v>
      </c>
      <c r="F257" s="65">
        <v>-6</v>
      </c>
      <c r="G257" s="41">
        <v>-38</v>
      </c>
      <c r="H257" s="41">
        <v>138</v>
      </c>
      <c r="I257" s="165">
        <v>-172.89872</v>
      </c>
      <c r="J257" s="165">
        <v>-46.58643</v>
      </c>
      <c r="K257" s="41">
        <v>-115.67965</v>
      </c>
      <c r="L257" s="41">
        <v>0</v>
      </c>
      <c r="M257" s="41">
        <v>0</v>
      </c>
      <c r="N257" s="41">
        <v>0</v>
      </c>
      <c r="O257" s="41">
        <v>0</v>
      </c>
      <c r="P257" s="41">
        <v>0</v>
      </c>
    </row>
    <row r="258" spans="1:16" x14ac:dyDescent="0.25">
      <c r="A258" s="30">
        <v>778</v>
      </c>
      <c r="B258" s="31" t="s">
        <v>572</v>
      </c>
      <c r="C258" s="65">
        <v>-29.998573622475906</v>
      </c>
      <c r="D258" s="65">
        <v>-18</v>
      </c>
      <c r="E258" s="65">
        <v>-47</v>
      </c>
      <c r="F258" s="65">
        <v>-129</v>
      </c>
      <c r="G258" s="41">
        <v>230</v>
      </c>
      <c r="H258" s="41">
        <v>63</v>
      </c>
      <c r="I258" s="165">
        <v>-71.807719999999989</v>
      </c>
      <c r="J258" s="165">
        <v>-131.70296999999999</v>
      </c>
      <c r="K258" s="41">
        <v>768.32293000000004</v>
      </c>
      <c r="L258" s="41">
        <v>0</v>
      </c>
      <c r="M258" s="41">
        <v>0</v>
      </c>
      <c r="N258" s="41">
        <v>0</v>
      </c>
      <c r="O258" s="41">
        <v>0</v>
      </c>
      <c r="P258" s="41">
        <v>0</v>
      </c>
    </row>
    <row r="259" spans="1:16" x14ac:dyDescent="0.25">
      <c r="A259" s="30">
        <v>781</v>
      </c>
      <c r="B259" s="31" t="s">
        <v>573</v>
      </c>
      <c r="C259" s="65">
        <v>-46.996499035610306</v>
      </c>
      <c r="D259" s="65">
        <v>-363</v>
      </c>
      <c r="E259" s="65">
        <v>277</v>
      </c>
      <c r="F259" s="65">
        <v>-400</v>
      </c>
      <c r="G259" s="41">
        <v>-606</v>
      </c>
      <c r="H259" s="41">
        <v>96</v>
      </c>
      <c r="I259" s="165">
        <v>0</v>
      </c>
      <c r="J259" s="165">
        <v>0</v>
      </c>
      <c r="K259" s="41">
        <v>5.1020699999999994</v>
      </c>
      <c r="L259" s="41">
        <v>0</v>
      </c>
      <c r="M259" s="41">
        <v>0</v>
      </c>
      <c r="N259" s="41">
        <v>0</v>
      </c>
      <c r="O259" s="41">
        <v>0</v>
      </c>
      <c r="P259" s="41">
        <v>0</v>
      </c>
    </row>
    <row r="260" spans="1:16" x14ac:dyDescent="0.25">
      <c r="A260" s="30">
        <v>783</v>
      </c>
      <c r="B260" s="31" t="s">
        <v>574</v>
      </c>
      <c r="C260" s="65">
        <v>-49.996037840210853</v>
      </c>
      <c r="D260" s="65">
        <v>-525</v>
      </c>
      <c r="E260" s="65">
        <v>-150</v>
      </c>
      <c r="F260" s="65">
        <v>-37</v>
      </c>
      <c r="G260" s="41">
        <v>131</v>
      </c>
      <c r="H260" s="41">
        <v>46</v>
      </c>
      <c r="I260" s="165">
        <v>-53.778230000000001</v>
      </c>
      <c r="J260" s="165">
        <v>-82.290520000000001</v>
      </c>
      <c r="K260" s="41">
        <v>-36.870239999999995</v>
      </c>
      <c r="L260" s="41">
        <v>0</v>
      </c>
      <c r="M260" s="41">
        <v>0</v>
      </c>
      <c r="N260" s="41">
        <v>0</v>
      </c>
      <c r="O260" s="41">
        <v>0</v>
      </c>
      <c r="P260" s="41">
        <v>0</v>
      </c>
    </row>
    <row r="261" spans="1:16" x14ac:dyDescent="0.25">
      <c r="A261" s="30">
        <v>785</v>
      </c>
      <c r="B261" s="31" t="s">
        <v>575</v>
      </c>
      <c r="C261" s="65">
        <v>-19.999366054433736</v>
      </c>
      <c r="D261" s="65">
        <v>-604</v>
      </c>
      <c r="E261" s="65">
        <v>92</v>
      </c>
      <c r="F261" s="65">
        <v>-15</v>
      </c>
      <c r="G261" s="41">
        <v>-88</v>
      </c>
      <c r="H261" s="41">
        <v>754</v>
      </c>
      <c r="I261" s="165">
        <v>155.21202000000002</v>
      </c>
      <c r="J261" s="165">
        <v>-36.722370000000005</v>
      </c>
      <c r="K261" s="41">
        <v>-202.37609</v>
      </c>
      <c r="L261" s="41">
        <v>0</v>
      </c>
      <c r="M261" s="41">
        <v>0</v>
      </c>
      <c r="N261" s="41">
        <v>0</v>
      </c>
      <c r="O261" s="41">
        <v>0</v>
      </c>
      <c r="P261" s="41">
        <v>0</v>
      </c>
    </row>
    <row r="262" spans="1:16" x14ac:dyDescent="0.25">
      <c r="A262" s="30">
        <v>790</v>
      </c>
      <c r="B262" s="31" t="s">
        <v>576</v>
      </c>
      <c r="C262" s="65">
        <v>-331.82530995976032</v>
      </c>
      <c r="D262" s="65">
        <v>-323</v>
      </c>
      <c r="E262" s="65">
        <v>-675</v>
      </c>
      <c r="F262" s="65">
        <v>-224</v>
      </c>
      <c r="G262" s="41">
        <v>-277</v>
      </c>
      <c r="H262" s="41">
        <v>-616</v>
      </c>
      <c r="I262" s="165">
        <v>-616.07621999999992</v>
      </c>
      <c r="J262" s="165">
        <v>-619.09577000000002</v>
      </c>
      <c r="K262" s="41">
        <v>-162.33074999999999</v>
      </c>
      <c r="L262" s="41">
        <v>0</v>
      </c>
      <c r="M262" s="41">
        <v>0</v>
      </c>
      <c r="N262" s="41">
        <v>0</v>
      </c>
      <c r="O262" s="41">
        <v>0</v>
      </c>
      <c r="P262" s="41">
        <v>0</v>
      </c>
    </row>
    <row r="263" spans="1:16" x14ac:dyDescent="0.25">
      <c r="A263" s="30">
        <v>791</v>
      </c>
      <c r="B263" s="31" t="s">
        <v>577</v>
      </c>
      <c r="C263" s="65">
        <v>-0.99999841513608434</v>
      </c>
      <c r="D263" s="65">
        <v>0</v>
      </c>
      <c r="E263" s="65">
        <v>-104</v>
      </c>
      <c r="F263" s="65">
        <v>41</v>
      </c>
      <c r="G263" s="41">
        <v>-13</v>
      </c>
      <c r="H263" s="41">
        <v>-29</v>
      </c>
      <c r="I263" s="165">
        <v>-37.747380000000007</v>
      </c>
      <c r="J263" s="165">
        <v>145.73973000000001</v>
      </c>
      <c r="K263" s="41">
        <v>350.66245000000004</v>
      </c>
      <c r="L263" s="41">
        <v>0</v>
      </c>
      <c r="M263" s="41">
        <v>0</v>
      </c>
      <c r="N263" s="41">
        <v>0</v>
      </c>
      <c r="O263" s="41">
        <v>0</v>
      </c>
      <c r="P263" s="41">
        <v>0</v>
      </c>
    </row>
    <row r="264" spans="1:16" x14ac:dyDescent="0.25">
      <c r="A264" s="30">
        <v>831</v>
      </c>
      <c r="B264" s="31" t="s">
        <v>578</v>
      </c>
      <c r="C264" s="65">
        <v>-866.80592548920788</v>
      </c>
      <c r="D264" s="65">
        <v>6</v>
      </c>
      <c r="E264" s="65">
        <v>1609</v>
      </c>
      <c r="F264" s="65">
        <v>-1349</v>
      </c>
      <c r="G264" s="41">
        <v>11</v>
      </c>
      <c r="H264" s="41">
        <v>595</v>
      </c>
      <c r="I264" s="165">
        <v>219.7294</v>
      </c>
      <c r="J264" s="165">
        <v>-480.53537</v>
      </c>
      <c r="K264" s="41">
        <v>18.83278</v>
      </c>
      <c r="L264" s="41">
        <v>0</v>
      </c>
      <c r="M264" s="41">
        <v>0</v>
      </c>
      <c r="N264" s="41">
        <v>0</v>
      </c>
      <c r="O264" s="41">
        <v>0</v>
      </c>
      <c r="P264" s="41">
        <v>0</v>
      </c>
    </row>
    <row r="265" spans="1:16" x14ac:dyDescent="0.25">
      <c r="A265" s="30">
        <v>832</v>
      </c>
      <c r="B265" s="31" t="s">
        <v>579</v>
      </c>
      <c r="C265" s="65">
        <v>1667.3830505143676</v>
      </c>
      <c r="D265" s="65">
        <v>-711</v>
      </c>
      <c r="E265" s="65">
        <v>-11</v>
      </c>
      <c r="F265" s="65">
        <v>-19</v>
      </c>
      <c r="G265" s="41">
        <v>-19</v>
      </c>
      <c r="H265" s="41">
        <v>3</v>
      </c>
      <c r="I265" s="165">
        <v>-82.836210000000008</v>
      </c>
      <c r="J265" s="165">
        <v>-211.14543</v>
      </c>
      <c r="K265" s="41">
        <v>-33.86985</v>
      </c>
      <c r="L265" s="41">
        <v>0</v>
      </c>
      <c r="M265" s="41">
        <v>0</v>
      </c>
      <c r="N265" s="41">
        <v>0</v>
      </c>
      <c r="O265" s="41">
        <v>0</v>
      </c>
      <c r="P265" s="41">
        <v>0</v>
      </c>
    </row>
    <row r="266" spans="1:16" x14ac:dyDescent="0.25">
      <c r="A266" s="30">
        <v>833</v>
      </c>
      <c r="B266" s="31" t="s">
        <v>580</v>
      </c>
      <c r="C266" s="65">
        <v>0</v>
      </c>
      <c r="D266" s="65">
        <v>-1026</v>
      </c>
      <c r="E266" s="65">
        <v>-123</v>
      </c>
      <c r="F266" s="65">
        <v>179</v>
      </c>
      <c r="G266" s="41">
        <v>-21</v>
      </c>
      <c r="H266" s="41">
        <v>-1</v>
      </c>
      <c r="I266" s="165">
        <v>6.35588</v>
      </c>
      <c r="J266" s="165">
        <v>1.0569999999999999</v>
      </c>
      <c r="K266" s="41">
        <v>0</v>
      </c>
      <c r="L266" s="41">
        <v>0</v>
      </c>
      <c r="M266" s="41">
        <v>0</v>
      </c>
      <c r="N266" s="41">
        <v>0</v>
      </c>
      <c r="O266" s="41">
        <v>0</v>
      </c>
      <c r="P266" s="41">
        <v>0</v>
      </c>
    </row>
    <row r="267" spans="1:16" x14ac:dyDescent="0.25">
      <c r="A267" s="30">
        <v>834</v>
      </c>
      <c r="B267" s="31" t="s">
        <v>581</v>
      </c>
      <c r="C267" s="65">
        <v>-2.9999857362247591</v>
      </c>
      <c r="D267" s="65">
        <v>-108</v>
      </c>
      <c r="E267" s="65">
        <v>-54</v>
      </c>
      <c r="F267" s="65">
        <v>-92</v>
      </c>
      <c r="G267" s="41">
        <v>492</v>
      </c>
      <c r="H267" s="41">
        <v>4</v>
      </c>
      <c r="I267" s="165">
        <v>-15.16427</v>
      </c>
      <c r="J267" s="165">
        <v>-48.046459999999996</v>
      </c>
      <c r="K267" s="41">
        <v>-33.571150000000003</v>
      </c>
      <c r="L267" s="41">
        <v>0</v>
      </c>
      <c r="M267" s="41">
        <v>0</v>
      </c>
      <c r="N267" s="41">
        <v>0</v>
      </c>
      <c r="O267" s="41">
        <v>0</v>
      </c>
      <c r="P267" s="41">
        <v>0</v>
      </c>
    </row>
    <row r="268" spans="1:16" x14ac:dyDescent="0.25">
      <c r="A268" s="30">
        <v>837</v>
      </c>
      <c r="B268" s="31" t="s">
        <v>582</v>
      </c>
      <c r="C268" s="65">
        <v>-34332.84754718536</v>
      </c>
      <c r="D268" s="65">
        <v>-18025</v>
      </c>
      <c r="E268" s="65">
        <v>-29600</v>
      </c>
      <c r="F268" s="65">
        <v>-23593</v>
      </c>
      <c r="G268" s="41">
        <v>-28126</v>
      </c>
      <c r="H268" s="41">
        <v>-17371</v>
      </c>
      <c r="I268" s="165">
        <v>-62543.089670000001</v>
      </c>
      <c r="J268" s="165">
        <v>-14524.535119999999</v>
      </c>
      <c r="K268" s="41">
        <v>-20758.630639999999</v>
      </c>
      <c r="L268" s="41">
        <v>0</v>
      </c>
      <c r="M268" s="41">
        <v>0</v>
      </c>
      <c r="N268" s="41">
        <v>0</v>
      </c>
      <c r="O268" s="41">
        <v>0</v>
      </c>
      <c r="P268" s="41">
        <v>0</v>
      </c>
    </row>
    <row r="269" spans="1:16" x14ac:dyDescent="0.25">
      <c r="A269" s="30">
        <v>844</v>
      </c>
      <c r="B269" s="31" t="s">
        <v>583</v>
      </c>
      <c r="C269" s="65">
        <v>-119.97717795961449</v>
      </c>
      <c r="D269" s="65">
        <v>-423</v>
      </c>
      <c r="E269" s="65">
        <v>-417</v>
      </c>
      <c r="F269" s="65">
        <v>-175</v>
      </c>
      <c r="G269" s="41">
        <v>8</v>
      </c>
      <c r="H269" s="41">
        <v>31</v>
      </c>
      <c r="I269" s="165">
        <v>-0.11747</v>
      </c>
      <c r="J269" s="165">
        <v>-33.571489999999997</v>
      </c>
      <c r="K269" s="41">
        <v>199.2</v>
      </c>
      <c r="L269" s="41">
        <v>0</v>
      </c>
      <c r="M269" s="41">
        <v>0</v>
      </c>
      <c r="N269" s="41">
        <v>0</v>
      </c>
      <c r="O269" s="41">
        <v>0</v>
      </c>
      <c r="P269" s="41">
        <v>0</v>
      </c>
    </row>
    <row r="270" spans="1:16" x14ac:dyDescent="0.25">
      <c r="A270" s="30">
        <v>845</v>
      </c>
      <c r="B270" s="31" t="s">
        <v>584</v>
      </c>
      <c r="C270" s="65">
        <v>-51.995714527972055</v>
      </c>
      <c r="D270" s="65">
        <v>-32</v>
      </c>
      <c r="E270" s="65">
        <v>-26</v>
      </c>
      <c r="F270" s="65">
        <v>122</v>
      </c>
      <c r="G270" s="41">
        <v>-12</v>
      </c>
      <c r="H270" s="41">
        <v>0</v>
      </c>
      <c r="I270" s="165">
        <v>0</v>
      </c>
      <c r="J270" s="165">
        <v>-50</v>
      </c>
      <c r="K270" s="41">
        <v>0</v>
      </c>
      <c r="L270" s="41">
        <v>0</v>
      </c>
      <c r="M270" s="41">
        <v>0</v>
      </c>
      <c r="N270" s="41">
        <v>0</v>
      </c>
      <c r="O270" s="41">
        <v>0</v>
      </c>
      <c r="P270" s="41">
        <v>0</v>
      </c>
    </row>
    <row r="271" spans="1:16" x14ac:dyDescent="0.25">
      <c r="A271" s="30">
        <v>846</v>
      </c>
      <c r="B271" s="31" t="s">
        <v>585</v>
      </c>
      <c r="C271" s="65">
        <v>2.0000063394556626</v>
      </c>
      <c r="D271" s="65">
        <v>-582</v>
      </c>
      <c r="E271" s="65">
        <v>-218</v>
      </c>
      <c r="F271" s="65">
        <v>23</v>
      </c>
      <c r="G271" s="41">
        <v>27</v>
      </c>
      <c r="H271" s="41">
        <v>-52</v>
      </c>
      <c r="I271" s="165">
        <v>-17.473710000000001</v>
      </c>
      <c r="J271" s="165">
        <v>-11.633929999999999</v>
      </c>
      <c r="K271" s="41">
        <v>110.88760000000001</v>
      </c>
      <c r="L271" s="41">
        <v>0</v>
      </c>
      <c r="M271" s="41">
        <v>0</v>
      </c>
      <c r="N271" s="41">
        <v>0</v>
      </c>
      <c r="O271" s="41">
        <v>0</v>
      </c>
      <c r="P271" s="41">
        <v>0</v>
      </c>
    </row>
    <row r="272" spans="1:16" x14ac:dyDescent="0.25">
      <c r="A272" s="30">
        <v>848</v>
      </c>
      <c r="B272" s="31" t="s">
        <v>586</v>
      </c>
      <c r="C272" s="65">
        <v>-3356.9474094606867</v>
      </c>
      <c r="D272" s="65">
        <v>-8</v>
      </c>
      <c r="E272" s="65">
        <v>-287</v>
      </c>
      <c r="F272" s="65">
        <v>-46</v>
      </c>
      <c r="G272" s="41">
        <v>-20</v>
      </c>
      <c r="H272" s="41">
        <v>262</v>
      </c>
      <c r="I272" s="165">
        <v>819.19543999999996</v>
      </c>
      <c r="J272" s="165">
        <v>-517.97327000000007</v>
      </c>
      <c r="K272" s="41">
        <v>433.45828</v>
      </c>
      <c r="L272" s="41">
        <v>0</v>
      </c>
      <c r="M272" s="41">
        <v>0</v>
      </c>
      <c r="N272" s="41">
        <v>0</v>
      </c>
      <c r="O272" s="41">
        <v>0</v>
      </c>
      <c r="P272" s="41">
        <v>0</v>
      </c>
    </row>
    <row r="273" spans="1:16" x14ac:dyDescent="0.25">
      <c r="A273" s="30">
        <v>849</v>
      </c>
      <c r="B273" s="31" t="s">
        <v>587</v>
      </c>
      <c r="C273" s="65">
        <v>-5.9999429448990362</v>
      </c>
      <c r="D273" s="65">
        <v>-12</v>
      </c>
      <c r="E273" s="65">
        <v>-3</v>
      </c>
      <c r="F273" s="65">
        <v>-353</v>
      </c>
      <c r="G273" s="41">
        <v>-37</v>
      </c>
      <c r="H273" s="41">
        <v>40</v>
      </c>
      <c r="I273" s="165">
        <v>-47.098800000000004</v>
      </c>
      <c r="J273" s="165">
        <v>26.231490000000001</v>
      </c>
      <c r="K273" s="41">
        <v>0</v>
      </c>
      <c r="L273" s="41">
        <v>0</v>
      </c>
      <c r="M273" s="41">
        <v>0</v>
      </c>
      <c r="N273" s="41">
        <v>0</v>
      </c>
      <c r="O273" s="41">
        <v>0</v>
      </c>
      <c r="P273" s="41">
        <v>0</v>
      </c>
    </row>
    <row r="274" spans="1:16" x14ac:dyDescent="0.25">
      <c r="A274" s="30">
        <v>850</v>
      </c>
      <c r="B274" s="31" t="s">
        <v>588</v>
      </c>
      <c r="C274" s="65">
        <v>-323.8336273255897</v>
      </c>
      <c r="D274" s="65">
        <v>-85</v>
      </c>
      <c r="E274" s="65">
        <v>-477</v>
      </c>
      <c r="F274" s="65">
        <v>56</v>
      </c>
      <c r="G274" s="41">
        <v>3264</v>
      </c>
      <c r="H274" s="41">
        <v>-3379</v>
      </c>
      <c r="I274" s="165">
        <v>312.52499999999998</v>
      </c>
      <c r="J274" s="165">
        <v>-451.32990999999998</v>
      </c>
      <c r="K274" s="41">
        <v>511.65395000000001</v>
      </c>
      <c r="L274" s="41">
        <v>0</v>
      </c>
      <c r="M274" s="41">
        <v>0</v>
      </c>
      <c r="N274" s="41">
        <v>0</v>
      </c>
      <c r="O274" s="41">
        <v>0</v>
      </c>
      <c r="P274" s="41">
        <v>0</v>
      </c>
    </row>
    <row r="275" spans="1:16" x14ac:dyDescent="0.25">
      <c r="A275" s="30">
        <v>851</v>
      </c>
      <c r="B275" s="31" t="s">
        <v>589</v>
      </c>
      <c r="C275" s="65">
        <v>-6795.1993362589919</v>
      </c>
      <c r="D275" s="65">
        <v>-1758</v>
      </c>
      <c r="E275" s="65">
        <v>-643</v>
      </c>
      <c r="F275" s="65">
        <v>-226</v>
      </c>
      <c r="G275" s="41">
        <v>-293</v>
      </c>
      <c r="H275" s="41">
        <v>-272</v>
      </c>
      <c r="I275" s="165">
        <v>1082.0921600000001</v>
      </c>
      <c r="J275" s="165">
        <v>-2544.64986</v>
      </c>
      <c r="K275" s="41">
        <v>-362.07218</v>
      </c>
      <c r="L275" s="41">
        <v>0</v>
      </c>
      <c r="M275" s="41">
        <v>0</v>
      </c>
      <c r="N275" s="41">
        <v>0</v>
      </c>
      <c r="O275" s="41">
        <v>0</v>
      </c>
      <c r="P275" s="41">
        <v>0</v>
      </c>
    </row>
    <row r="276" spans="1:16" x14ac:dyDescent="0.25">
      <c r="A276" s="30">
        <v>853</v>
      </c>
      <c r="B276" s="31" t="s">
        <v>590</v>
      </c>
      <c r="C276" s="65">
        <v>-14703.403935851049</v>
      </c>
      <c r="D276" s="65">
        <v>-19428</v>
      </c>
      <c r="E276" s="65">
        <v>-13775</v>
      </c>
      <c r="F276" s="65">
        <v>-20786</v>
      </c>
      <c r="G276" s="41">
        <v>-25786</v>
      </c>
      <c r="H276" s="41">
        <v>-16822</v>
      </c>
      <c r="I276" s="165">
        <v>-15293.54077</v>
      </c>
      <c r="J276" s="165">
        <v>-28734.075499999999</v>
      </c>
      <c r="K276" s="41">
        <v>-17630.452730000001</v>
      </c>
      <c r="L276" s="41">
        <v>0</v>
      </c>
      <c r="M276" s="41">
        <v>0</v>
      </c>
      <c r="N276" s="41">
        <v>0</v>
      </c>
      <c r="O276" s="41">
        <v>0</v>
      </c>
      <c r="P276" s="41">
        <v>0</v>
      </c>
    </row>
    <row r="277" spans="1:16" x14ac:dyDescent="0.25">
      <c r="A277" s="30">
        <v>854</v>
      </c>
      <c r="B277" s="31" t="s">
        <v>591</v>
      </c>
      <c r="C277" s="65">
        <v>12.000228220403855</v>
      </c>
      <c r="D277" s="65">
        <v>-23</v>
      </c>
      <c r="E277" s="65">
        <v>-12</v>
      </c>
      <c r="F277" s="65">
        <v>30</v>
      </c>
      <c r="G277" s="41">
        <v>274</v>
      </c>
      <c r="H277" s="41">
        <v>-5</v>
      </c>
      <c r="I277" s="165">
        <v>-65.794389999999993</v>
      </c>
      <c r="J277" s="165">
        <v>-22.953330000000001</v>
      </c>
      <c r="K277" s="41">
        <v>-58.416879999999999</v>
      </c>
      <c r="L277" s="41">
        <v>0</v>
      </c>
      <c r="M277" s="41">
        <v>0</v>
      </c>
      <c r="N277" s="41">
        <v>0</v>
      </c>
      <c r="O277" s="41">
        <v>0</v>
      </c>
      <c r="P277" s="41">
        <v>0</v>
      </c>
    </row>
    <row r="278" spans="1:16" x14ac:dyDescent="0.25">
      <c r="A278" s="30">
        <v>857</v>
      </c>
      <c r="B278" s="31" t="s">
        <v>592</v>
      </c>
      <c r="C278" s="65">
        <v>-28.998667129446929</v>
      </c>
      <c r="D278" s="65">
        <v>-9</v>
      </c>
      <c r="E278" s="65">
        <v>-41</v>
      </c>
      <c r="F278" s="65">
        <v>-5</v>
      </c>
      <c r="G278" s="41">
        <v>85</v>
      </c>
      <c r="H278" s="41">
        <v>58</v>
      </c>
      <c r="I278" s="165">
        <v>-127.16741</v>
      </c>
      <c r="J278" s="165">
        <v>-25.780939999999998</v>
      </c>
      <c r="K278" s="41">
        <v>314.69029999999998</v>
      </c>
      <c r="L278" s="41">
        <v>0</v>
      </c>
      <c r="M278" s="41">
        <v>0</v>
      </c>
      <c r="N278" s="41">
        <v>0</v>
      </c>
      <c r="O278" s="41">
        <v>0</v>
      </c>
      <c r="P278" s="41">
        <v>0</v>
      </c>
    </row>
    <row r="279" spans="1:16" x14ac:dyDescent="0.25">
      <c r="A279" s="30">
        <v>858</v>
      </c>
      <c r="B279" s="31" t="s">
        <v>593</v>
      </c>
      <c r="C279" s="65">
        <v>-2730.0840992188205</v>
      </c>
      <c r="D279" s="65">
        <v>-6865</v>
      </c>
      <c r="E279" s="65">
        <v>-7920</v>
      </c>
      <c r="F279" s="65">
        <v>-6170</v>
      </c>
      <c r="G279" s="41">
        <v>-9807</v>
      </c>
      <c r="H279" s="41">
        <v>-4929</v>
      </c>
      <c r="I279" s="165">
        <v>-13658.118460000002</v>
      </c>
      <c r="J279" s="165">
        <v>-10392.38582</v>
      </c>
      <c r="K279" s="41">
        <v>-8202.6255799999999</v>
      </c>
      <c r="L279" s="41">
        <v>0</v>
      </c>
      <c r="M279" s="41">
        <v>0</v>
      </c>
      <c r="N279" s="41">
        <v>0</v>
      </c>
      <c r="O279" s="41">
        <v>0</v>
      </c>
      <c r="P279" s="41">
        <v>0</v>
      </c>
    </row>
    <row r="280" spans="1:16" x14ac:dyDescent="0.25">
      <c r="A280" s="30">
        <v>859</v>
      </c>
      <c r="B280" s="31" t="s">
        <v>594</v>
      </c>
      <c r="C280" s="65">
        <v>-41.997204300052779</v>
      </c>
      <c r="D280" s="65">
        <v>-313</v>
      </c>
      <c r="E280" s="65">
        <v>-199</v>
      </c>
      <c r="F280" s="65">
        <v>-234</v>
      </c>
      <c r="G280" s="41">
        <v>-160</v>
      </c>
      <c r="H280" s="41">
        <v>91</v>
      </c>
      <c r="I280" s="165">
        <v>-295.94225</v>
      </c>
      <c r="J280" s="165">
        <v>-136.82911999999999</v>
      </c>
      <c r="K280" s="41">
        <v>-90.780529999999999</v>
      </c>
      <c r="L280" s="41">
        <v>0</v>
      </c>
      <c r="M280" s="41">
        <v>0</v>
      </c>
      <c r="N280" s="41">
        <v>0</v>
      </c>
      <c r="O280" s="41">
        <v>0</v>
      </c>
      <c r="P280" s="41">
        <v>0</v>
      </c>
    </row>
    <row r="281" spans="1:16" x14ac:dyDescent="0.25">
      <c r="A281" s="30">
        <v>886</v>
      </c>
      <c r="B281" s="31" t="s">
        <v>595</v>
      </c>
      <c r="C281" s="65">
        <v>-881.76429903846304</v>
      </c>
      <c r="D281" s="65">
        <v>-532</v>
      </c>
      <c r="E281" s="65">
        <v>-374</v>
      </c>
      <c r="F281" s="65">
        <v>-343</v>
      </c>
      <c r="G281" s="41">
        <v>-2344</v>
      </c>
      <c r="H281" s="41">
        <v>-1042</v>
      </c>
      <c r="I281" s="165">
        <v>-181.42148999999998</v>
      </c>
      <c r="J281" s="165">
        <v>-126.09232</v>
      </c>
      <c r="K281" s="41">
        <v>-16.678819999999998</v>
      </c>
      <c r="L281" s="41">
        <v>0</v>
      </c>
      <c r="M281" s="41">
        <v>0</v>
      </c>
      <c r="N281" s="41">
        <v>0</v>
      </c>
      <c r="O281" s="41">
        <v>0</v>
      </c>
      <c r="P281" s="41">
        <v>0</v>
      </c>
    </row>
    <row r="282" spans="1:16" x14ac:dyDescent="0.25">
      <c r="A282" s="30">
        <v>887</v>
      </c>
      <c r="B282" s="31" t="s">
        <v>596</v>
      </c>
      <c r="C282" s="65">
        <v>-220.92259366149526</v>
      </c>
      <c r="D282" s="65">
        <v>-29</v>
      </c>
      <c r="E282" s="65">
        <v>817</v>
      </c>
      <c r="F282" s="65">
        <v>-12</v>
      </c>
      <c r="G282" s="41">
        <v>-17</v>
      </c>
      <c r="H282" s="41">
        <v>-20</v>
      </c>
      <c r="I282" s="165">
        <v>-53.125</v>
      </c>
      <c r="J282" s="165">
        <v>-1.4498499999999999</v>
      </c>
      <c r="K282" s="41">
        <v>55.4953</v>
      </c>
      <c r="L282" s="41">
        <v>0</v>
      </c>
      <c r="M282" s="41">
        <v>0</v>
      </c>
      <c r="N282" s="41">
        <v>0</v>
      </c>
      <c r="O282" s="41">
        <v>0</v>
      </c>
      <c r="P282" s="41">
        <v>0</v>
      </c>
    </row>
    <row r="283" spans="1:16" x14ac:dyDescent="0.25">
      <c r="A283" s="30">
        <v>889</v>
      </c>
      <c r="B283" s="31" t="s">
        <v>597</v>
      </c>
      <c r="C283" s="65">
        <v>-2.9999857362247591</v>
      </c>
      <c r="D283" s="65">
        <v>-45</v>
      </c>
      <c r="E283" s="65">
        <v>-130</v>
      </c>
      <c r="F283" s="65">
        <v>-528</v>
      </c>
      <c r="G283" s="41">
        <v>-75</v>
      </c>
      <c r="H283" s="41">
        <v>-121</v>
      </c>
      <c r="I283" s="165">
        <v>-58.95637</v>
      </c>
      <c r="J283" s="165">
        <v>-48.847110000000001</v>
      </c>
      <c r="K283" s="41">
        <v>-25.9</v>
      </c>
      <c r="L283" s="41">
        <v>0</v>
      </c>
      <c r="M283" s="41">
        <v>0</v>
      </c>
      <c r="N283" s="41">
        <v>0</v>
      </c>
      <c r="O283" s="41">
        <v>0</v>
      </c>
      <c r="P283" s="41">
        <v>0</v>
      </c>
    </row>
    <row r="284" spans="1:16" x14ac:dyDescent="0.25">
      <c r="A284" s="30">
        <v>890</v>
      </c>
      <c r="B284" s="31" t="s">
        <v>598</v>
      </c>
      <c r="C284" s="65">
        <v>-0.99999841513608434</v>
      </c>
      <c r="D284" s="65">
        <v>0</v>
      </c>
      <c r="E284" s="65">
        <v>0</v>
      </c>
      <c r="F284" s="65">
        <v>0</v>
      </c>
      <c r="G284" s="41">
        <v>0</v>
      </c>
      <c r="H284" s="41">
        <v>0</v>
      </c>
      <c r="I284" s="165">
        <v>-4.4625599999999999</v>
      </c>
      <c r="J284" s="165">
        <v>0</v>
      </c>
      <c r="K284" s="41">
        <v>-5.5419</v>
      </c>
      <c r="L284" s="41">
        <v>0</v>
      </c>
      <c r="M284" s="41">
        <v>0</v>
      </c>
      <c r="N284" s="41">
        <v>0</v>
      </c>
      <c r="O284" s="41">
        <v>0</v>
      </c>
      <c r="P284" s="41">
        <v>0</v>
      </c>
    </row>
    <row r="285" spans="1:16" x14ac:dyDescent="0.25">
      <c r="A285" s="30">
        <v>892</v>
      </c>
      <c r="B285" s="31" t="s">
        <v>599</v>
      </c>
      <c r="C285" s="65">
        <v>-86.988004165022375</v>
      </c>
      <c r="D285" s="65">
        <v>-108</v>
      </c>
      <c r="E285" s="65">
        <v>-116</v>
      </c>
      <c r="F285" s="65">
        <v>-63</v>
      </c>
      <c r="G285" s="41">
        <v>-16</v>
      </c>
      <c r="H285" s="41">
        <v>-41</v>
      </c>
      <c r="I285" s="165">
        <v>916.25555000000008</v>
      </c>
      <c r="J285" s="165">
        <v>-74.211780000000005</v>
      </c>
      <c r="K285" s="41">
        <v>-15</v>
      </c>
      <c r="L285" s="41">
        <v>0</v>
      </c>
      <c r="M285" s="41">
        <v>0</v>
      </c>
      <c r="N285" s="41">
        <v>0</v>
      </c>
      <c r="O285" s="41">
        <v>0</v>
      </c>
      <c r="P285" s="41">
        <v>0</v>
      </c>
    </row>
    <row r="286" spans="1:16" x14ac:dyDescent="0.25">
      <c r="A286" s="30">
        <v>893</v>
      </c>
      <c r="B286" s="31" t="s">
        <v>600</v>
      </c>
      <c r="C286" s="65">
        <v>-193.94035206167021</v>
      </c>
      <c r="D286" s="65">
        <v>-89</v>
      </c>
      <c r="E286" s="65">
        <v>-164</v>
      </c>
      <c r="F286" s="65">
        <v>-28</v>
      </c>
      <c r="G286" s="41">
        <v>42</v>
      </c>
      <c r="H286" s="41">
        <v>0</v>
      </c>
      <c r="I286" s="165">
        <v>-396.38913000000002</v>
      </c>
      <c r="J286" s="165">
        <v>0</v>
      </c>
      <c r="K286" s="41">
        <v>-432.48271999999997</v>
      </c>
      <c r="L286" s="41">
        <v>0</v>
      </c>
      <c r="M286" s="41">
        <v>0</v>
      </c>
      <c r="N286" s="41">
        <v>0</v>
      </c>
      <c r="O286" s="41">
        <v>0</v>
      </c>
      <c r="P286" s="41">
        <v>0</v>
      </c>
    </row>
    <row r="287" spans="1:16" x14ac:dyDescent="0.25">
      <c r="A287" s="30">
        <v>895</v>
      </c>
      <c r="B287" s="31" t="s">
        <v>601</v>
      </c>
      <c r="C287" s="65">
        <v>-252.89855444562252</v>
      </c>
      <c r="D287" s="65">
        <v>-679</v>
      </c>
      <c r="E287" s="65">
        <v>-342</v>
      </c>
      <c r="F287" s="65">
        <v>-772</v>
      </c>
      <c r="G287" s="41">
        <v>-1132</v>
      </c>
      <c r="H287" s="41">
        <v>-169</v>
      </c>
      <c r="I287" s="165">
        <v>-710.57869999999991</v>
      </c>
      <c r="J287" s="165">
        <v>-616.28893999999991</v>
      </c>
      <c r="K287" s="41">
        <v>-300.13765999999998</v>
      </c>
      <c r="L287" s="41">
        <v>0</v>
      </c>
      <c r="M287" s="41">
        <v>0</v>
      </c>
      <c r="N287" s="41">
        <v>0</v>
      </c>
      <c r="O287" s="41">
        <v>0</v>
      </c>
      <c r="P287" s="41">
        <v>0</v>
      </c>
    </row>
    <row r="288" spans="1:16" x14ac:dyDescent="0.25">
      <c r="A288" s="30">
        <v>905</v>
      </c>
      <c r="B288" s="31" t="s">
        <v>602</v>
      </c>
      <c r="C288" s="65">
        <v>-7272.1952076884918</v>
      </c>
      <c r="D288" s="65">
        <v>-1860</v>
      </c>
      <c r="E288" s="65">
        <v>-3233</v>
      </c>
      <c r="F288" s="65">
        <v>-11185</v>
      </c>
      <c r="G288" s="41">
        <v>-17578</v>
      </c>
      <c r="H288" s="41">
        <v>-1269</v>
      </c>
      <c r="I288" s="165">
        <v>-546.60198000000003</v>
      </c>
      <c r="J288" s="165">
        <v>-254.91758999999999</v>
      </c>
      <c r="K288" s="41">
        <v>-2102.2749700000004</v>
      </c>
      <c r="L288" s="41">
        <v>0</v>
      </c>
      <c r="M288" s="41">
        <v>0</v>
      </c>
      <c r="N288" s="41">
        <v>0</v>
      </c>
      <c r="O288" s="41">
        <v>0</v>
      </c>
      <c r="P288" s="41">
        <v>0</v>
      </c>
    </row>
    <row r="289" spans="1:16" x14ac:dyDescent="0.25">
      <c r="A289" s="30">
        <v>908</v>
      </c>
      <c r="B289" s="31" t="s">
        <v>603</v>
      </c>
      <c r="C289" s="65">
        <v>-776.04317169306262</v>
      </c>
      <c r="D289" s="65">
        <v>-1398</v>
      </c>
      <c r="E289" s="65">
        <v>-905</v>
      </c>
      <c r="F289" s="65">
        <v>-350</v>
      </c>
      <c r="G289" s="41">
        <v>-1212</v>
      </c>
      <c r="H289" s="41">
        <v>-970</v>
      </c>
      <c r="I289" s="165">
        <v>-1954.5936799999999</v>
      </c>
      <c r="J289" s="165">
        <v>-606.37447999999995</v>
      </c>
      <c r="K289" s="41">
        <v>-668.31488000000002</v>
      </c>
      <c r="L289" s="41">
        <v>0</v>
      </c>
      <c r="M289" s="41">
        <v>0</v>
      </c>
      <c r="N289" s="41">
        <v>0</v>
      </c>
      <c r="O289" s="41">
        <v>0</v>
      </c>
      <c r="P289" s="41">
        <v>0</v>
      </c>
    </row>
    <row r="290" spans="1:16" x14ac:dyDescent="0.25">
      <c r="A290" s="30">
        <v>915</v>
      </c>
      <c r="B290" s="31" t="s">
        <v>604</v>
      </c>
      <c r="C290" s="65">
        <v>-180.94807827325906</v>
      </c>
      <c r="D290" s="65">
        <v>-283</v>
      </c>
      <c r="E290" s="65">
        <v>-372</v>
      </c>
      <c r="F290" s="65">
        <v>-21</v>
      </c>
      <c r="G290" s="41">
        <v>-39</v>
      </c>
      <c r="H290" s="41">
        <v>-707</v>
      </c>
      <c r="I290" s="165">
        <v>823.98865000000001</v>
      </c>
      <c r="J290" s="165">
        <v>-1039.95346</v>
      </c>
      <c r="K290" s="41">
        <v>3106.5879199999999</v>
      </c>
      <c r="L290" s="41">
        <v>0</v>
      </c>
      <c r="M290" s="41">
        <v>0</v>
      </c>
      <c r="N290" s="41">
        <v>0</v>
      </c>
      <c r="O290" s="41">
        <v>0</v>
      </c>
      <c r="P290" s="41">
        <v>0</v>
      </c>
    </row>
    <row r="291" spans="1:16" x14ac:dyDescent="0.25">
      <c r="A291" s="30">
        <v>918</v>
      </c>
      <c r="B291" s="31" t="s">
        <v>605</v>
      </c>
      <c r="C291" s="65">
        <v>-14.999643405618977</v>
      </c>
      <c r="D291" s="65">
        <v>0</v>
      </c>
      <c r="E291" s="65">
        <v>0</v>
      </c>
      <c r="F291" s="65">
        <v>-1</v>
      </c>
      <c r="G291" s="41">
        <v>-40</v>
      </c>
      <c r="H291" s="41">
        <v>-393</v>
      </c>
      <c r="I291" s="165">
        <v>0</v>
      </c>
      <c r="J291" s="165">
        <v>0</v>
      </c>
      <c r="K291" s="41">
        <v>0</v>
      </c>
      <c r="L291" s="41">
        <v>0</v>
      </c>
      <c r="M291" s="41">
        <v>0</v>
      </c>
      <c r="N291" s="41">
        <v>0</v>
      </c>
      <c r="O291" s="41">
        <v>0</v>
      </c>
      <c r="P291" s="41">
        <v>0</v>
      </c>
    </row>
    <row r="292" spans="1:16" x14ac:dyDescent="0.25">
      <c r="A292" s="30">
        <v>921</v>
      </c>
      <c r="B292" s="31" t="s">
        <v>606</v>
      </c>
      <c r="C292" s="65">
        <v>207.0679098339221</v>
      </c>
      <c r="D292" s="65">
        <v>0</v>
      </c>
      <c r="E292" s="65">
        <v>0</v>
      </c>
      <c r="F292" s="65">
        <v>0</v>
      </c>
      <c r="G292" s="41">
        <v>-219</v>
      </c>
      <c r="H292" s="41">
        <v>11</v>
      </c>
      <c r="I292" s="165">
        <v>0</v>
      </c>
      <c r="J292" s="165">
        <v>258.83701000000002</v>
      </c>
      <c r="K292" s="41">
        <v>402.87774000000002</v>
      </c>
      <c r="L292" s="41">
        <v>0</v>
      </c>
      <c r="M292" s="41">
        <v>0</v>
      </c>
      <c r="N292" s="41">
        <v>0</v>
      </c>
      <c r="O292" s="41">
        <v>0</v>
      </c>
      <c r="P292" s="41">
        <v>0</v>
      </c>
    </row>
    <row r="293" spans="1:16" x14ac:dyDescent="0.25">
      <c r="A293" s="30">
        <v>922</v>
      </c>
      <c r="B293" s="31" t="s">
        <v>607</v>
      </c>
      <c r="C293" s="65">
        <v>-964.52107472791852</v>
      </c>
      <c r="D293" s="65">
        <v>-467</v>
      </c>
      <c r="E293" s="65">
        <v>-58</v>
      </c>
      <c r="F293" s="65">
        <v>-48</v>
      </c>
      <c r="G293" s="41">
        <v>-132</v>
      </c>
      <c r="H293" s="41">
        <v>-98</v>
      </c>
      <c r="I293" s="165">
        <v>522.17484000000002</v>
      </c>
      <c r="J293" s="165">
        <v>-1089.8963799999999</v>
      </c>
      <c r="K293" s="41">
        <v>-46.290999999999997</v>
      </c>
      <c r="L293" s="41">
        <v>0</v>
      </c>
      <c r="M293" s="41">
        <v>0</v>
      </c>
      <c r="N293" s="41">
        <v>0</v>
      </c>
      <c r="O293" s="41">
        <v>0</v>
      </c>
      <c r="P293" s="41">
        <v>0</v>
      </c>
    </row>
    <row r="294" spans="1:16" x14ac:dyDescent="0.25">
      <c r="A294" s="30">
        <v>924</v>
      </c>
      <c r="B294" s="31" t="s">
        <v>608</v>
      </c>
      <c r="C294" s="65">
        <v>-6.9999223416681327</v>
      </c>
      <c r="D294" s="65">
        <v>-17</v>
      </c>
      <c r="E294" s="65">
        <v>-6</v>
      </c>
      <c r="F294" s="65">
        <v>-2392</v>
      </c>
      <c r="G294" s="41">
        <v>-85</v>
      </c>
      <c r="H294" s="41">
        <v>0</v>
      </c>
      <c r="I294" s="165">
        <v>-11.443129999999998</v>
      </c>
      <c r="J294" s="165">
        <v>-66.708029999999994</v>
      </c>
      <c r="K294" s="41">
        <v>-40.165430000000001</v>
      </c>
      <c r="L294" s="41">
        <v>0</v>
      </c>
      <c r="M294" s="41">
        <v>0</v>
      </c>
      <c r="N294" s="41">
        <v>0</v>
      </c>
      <c r="O294" s="41">
        <v>0</v>
      </c>
      <c r="P294" s="41">
        <v>0</v>
      </c>
    </row>
    <row r="295" spans="1:16" x14ac:dyDescent="0.25">
      <c r="A295" s="30">
        <v>925</v>
      </c>
      <c r="B295" s="31" t="s">
        <v>609</v>
      </c>
      <c r="C295" s="65">
        <v>-0.99999841513608434</v>
      </c>
      <c r="D295" s="65">
        <v>-46</v>
      </c>
      <c r="E295" s="65">
        <v>-38</v>
      </c>
      <c r="F295" s="65">
        <v>-53</v>
      </c>
      <c r="G295" s="41">
        <v>-1428</v>
      </c>
      <c r="H295" s="41">
        <v>34</v>
      </c>
      <c r="I295" s="165">
        <v>-13.60713</v>
      </c>
      <c r="J295" s="165">
        <v>32.950069999999997</v>
      </c>
      <c r="K295" s="41">
        <v>379.42993999999999</v>
      </c>
      <c r="L295" s="41">
        <v>0</v>
      </c>
      <c r="M295" s="41">
        <v>0</v>
      </c>
      <c r="N295" s="41">
        <v>0</v>
      </c>
      <c r="O295" s="41">
        <v>0</v>
      </c>
      <c r="P295" s="41">
        <v>0</v>
      </c>
    </row>
    <row r="296" spans="1:16" x14ac:dyDescent="0.25">
      <c r="A296" s="30">
        <v>927</v>
      </c>
      <c r="B296" s="31" t="s">
        <v>610</v>
      </c>
      <c r="C296" s="65">
        <v>-2170.4819064011067</v>
      </c>
      <c r="D296" s="65">
        <v>-1029</v>
      </c>
      <c r="E296" s="65">
        <v>-102</v>
      </c>
      <c r="F296" s="65">
        <v>-610</v>
      </c>
      <c r="G296" s="41">
        <v>-1262</v>
      </c>
      <c r="H296" s="41">
        <v>-546</v>
      </c>
      <c r="I296" s="165">
        <v>-824.99279000000001</v>
      </c>
      <c r="J296" s="165">
        <v>-374.20896999999997</v>
      </c>
      <c r="K296" s="41">
        <v>-11858.418529999999</v>
      </c>
      <c r="L296" s="41">
        <v>0</v>
      </c>
      <c r="M296" s="41">
        <v>0</v>
      </c>
      <c r="N296" s="41">
        <v>0</v>
      </c>
      <c r="O296" s="41">
        <v>0</v>
      </c>
      <c r="P296" s="41">
        <v>0</v>
      </c>
    </row>
    <row r="297" spans="1:16" x14ac:dyDescent="0.25">
      <c r="A297" s="30">
        <v>931</v>
      </c>
      <c r="B297" s="31" t="s">
        <v>611</v>
      </c>
      <c r="C297" s="65">
        <v>-261.89120860137342</v>
      </c>
      <c r="D297" s="65">
        <v>-38</v>
      </c>
      <c r="E297" s="65">
        <v>-48</v>
      </c>
      <c r="F297" s="65">
        <v>-71</v>
      </c>
      <c r="G297" s="41">
        <v>-18</v>
      </c>
      <c r="H297" s="41">
        <v>10</v>
      </c>
      <c r="I297" s="165">
        <v>-4.0848800000000001</v>
      </c>
      <c r="J297" s="165">
        <v>-27.173459999999999</v>
      </c>
      <c r="K297" s="41">
        <v>-165.91167999999999</v>
      </c>
      <c r="L297" s="41">
        <v>0</v>
      </c>
      <c r="M297" s="41">
        <v>0</v>
      </c>
      <c r="N297" s="41">
        <v>0</v>
      </c>
      <c r="O297" s="41">
        <v>0</v>
      </c>
      <c r="P297" s="41">
        <v>0</v>
      </c>
    </row>
    <row r="298" spans="1:16" x14ac:dyDescent="0.25">
      <c r="A298" s="30">
        <v>934</v>
      </c>
      <c r="B298" s="31" t="s">
        <v>612</v>
      </c>
      <c r="C298" s="65">
        <v>-17.999486504091326</v>
      </c>
      <c r="D298" s="65">
        <v>-23</v>
      </c>
      <c r="E298" s="65">
        <v>1</v>
      </c>
      <c r="F298" s="65">
        <v>7</v>
      </c>
      <c r="G298" s="41">
        <v>-1</v>
      </c>
      <c r="H298" s="41">
        <v>-5</v>
      </c>
      <c r="I298" s="165">
        <v>-39.706129999999995</v>
      </c>
      <c r="J298" s="165">
        <v>-20</v>
      </c>
      <c r="K298" s="41">
        <v>-20.728000000000002</v>
      </c>
      <c r="L298" s="41">
        <v>0</v>
      </c>
      <c r="M298" s="41">
        <v>0</v>
      </c>
      <c r="N298" s="41">
        <v>0</v>
      </c>
      <c r="O298" s="41">
        <v>0</v>
      </c>
      <c r="P298" s="41">
        <v>0</v>
      </c>
    </row>
    <row r="299" spans="1:16" x14ac:dyDescent="0.25">
      <c r="A299" s="30">
        <v>935</v>
      </c>
      <c r="B299" s="31" t="s">
        <v>613</v>
      </c>
      <c r="C299" s="65">
        <v>-145.96621704077378</v>
      </c>
      <c r="D299" s="65">
        <v>-378</v>
      </c>
      <c r="E299" s="65">
        <v>-191</v>
      </c>
      <c r="F299" s="65">
        <v>-93</v>
      </c>
      <c r="G299" s="41">
        <v>-47</v>
      </c>
      <c r="H299" s="41">
        <v>497</v>
      </c>
      <c r="I299" s="165">
        <v>297.63558999999998</v>
      </c>
      <c r="J299" s="165">
        <v>-371.02221999999995</v>
      </c>
      <c r="K299" s="41">
        <v>-4.92</v>
      </c>
      <c r="L299" s="41">
        <v>0</v>
      </c>
      <c r="M299" s="41">
        <v>0</v>
      </c>
      <c r="N299" s="41">
        <v>0</v>
      </c>
      <c r="O299" s="41">
        <v>0</v>
      </c>
      <c r="P299" s="41">
        <v>0</v>
      </c>
    </row>
    <row r="300" spans="1:16" x14ac:dyDescent="0.25">
      <c r="A300" s="30">
        <v>936</v>
      </c>
      <c r="B300" s="31" t="s">
        <v>614</v>
      </c>
      <c r="C300" s="65">
        <v>-667.29279568409856</v>
      </c>
      <c r="D300" s="65">
        <v>-463</v>
      </c>
      <c r="E300" s="65">
        <v>-157</v>
      </c>
      <c r="F300" s="65">
        <v>-58</v>
      </c>
      <c r="G300" s="41">
        <v>34</v>
      </c>
      <c r="H300" s="41">
        <v>-55</v>
      </c>
      <c r="I300" s="165">
        <v>-183.15570000000002</v>
      </c>
      <c r="J300" s="165">
        <v>-2758.5685899999999</v>
      </c>
      <c r="K300" s="41">
        <v>-82.211979999999997</v>
      </c>
      <c r="L300" s="41">
        <v>0</v>
      </c>
      <c r="M300" s="41">
        <v>0</v>
      </c>
      <c r="N300" s="41">
        <v>0</v>
      </c>
      <c r="O300" s="41">
        <v>0</v>
      </c>
      <c r="P300" s="41">
        <v>0</v>
      </c>
    </row>
    <row r="301" spans="1:16" x14ac:dyDescent="0.25">
      <c r="A301" s="30">
        <v>946</v>
      </c>
      <c r="B301" s="31" t="s">
        <v>615</v>
      </c>
      <c r="C301" s="65">
        <v>-237.91022696836137</v>
      </c>
      <c r="D301" s="65">
        <v>-122</v>
      </c>
      <c r="E301" s="65">
        <v>-61</v>
      </c>
      <c r="F301" s="65">
        <v>46</v>
      </c>
      <c r="G301" s="41">
        <v>1617</v>
      </c>
      <c r="H301" s="41">
        <v>-1663</v>
      </c>
      <c r="I301" s="165">
        <v>0</v>
      </c>
      <c r="J301" s="165">
        <v>-295.47899999999998</v>
      </c>
      <c r="K301" s="41">
        <v>-28.026970000000002</v>
      </c>
      <c r="L301" s="41">
        <v>0</v>
      </c>
      <c r="M301" s="41">
        <v>0</v>
      </c>
      <c r="N301" s="41">
        <v>0</v>
      </c>
      <c r="O301" s="41">
        <v>0</v>
      </c>
      <c r="P301" s="41">
        <v>0</v>
      </c>
    </row>
    <row r="302" spans="1:16" x14ac:dyDescent="0.25">
      <c r="A302" s="30">
        <v>976</v>
      </c>
      <c r="B302" s="31" t="s">
        <v>616</v>
      </c>
      <c r="C302" s="65">
        <v>9.0001283739771676</v>
      </c>
      <c r="D302" s="65">
        <v>-39</v>
      </c>
      <c r="E302" s="65">
        <v>-38</v>
      </c>
      <c r="F302" s="65">
        <v>146</v>
      </c>
      <c r="G302" s="41">
        <v>0</v>
      </c>
      <c r="H302" s="41">
        <v>0</v>
      </c>
      <c r="I302" s="165">
        <v>503.25135</v>
      </c>
      <c r="J302" s="165">
        <v>-471.31923</v>
      </c>
      <c r="K302" s="41">
        <v>49.15643</v>
      </c>
      <c r="L302" s="41">
        <v>0</v>
      </c>
      <c r="M302" s="41">
        <v>0</v>
      </c>
      <c r="N302" s="41">
        <v>0</v>
      </c>
      <c r="O302" s="41">
        <v>0</v>
      </c>
      <c r="P302" s="41">
        <v>0</v>
      </c>
    </row>
    <row r="303" spans="1:16" x14ac:dyDescent="0.25">
      <c r="A303" s="30">
        <v>977</v>
      </c>
      <c r="B303" s="31" t="s">
        <v>617</v>
      </c>
      <c r="C303" s="65">
        <v>-589.44830887095884</v>
      </c>
      <c r="D303" s="65">
        <v>-852</v>
      </c>
      <c r="E303" s="65">
        <v>-793</v>
      </c>
      <c r="F303" s="65">
        <v>-384</v>
      </c>
      <c r="G303" s="41">
        <v>-759</v>
      </c>
      <c r="H303" s="41">
        <v>-503</v>
      </c>
      <c r="I303" s="165">
        <v>-1693.7326200000002</v>
      </c>
      <c r="J303" s="165">
        <v>-887.50824</v>
      </c>
      <c r="K303" s="41">
        <v>-200.57444000000001</v>
      </c>
      <c r="L303" s="41">
        <v>0</v>
      </c>
      <c r="M303" s="41">
        <v>0</v>
      </c>
      <c r="N303" s="41">
        <v>0</v>
      </c>
      <c r="O303" s="41">
        <v>0</v>
      </c>
      <c r="P303" s="41">
        <v>0</v>
      </c>
    </row>
    <row r="304" spans="1:16" x14ac:dyDescent="0.25">
      <c r="A304" s="30">
        <v>980</v>
      </c>
      <c r="B304" s="31" t="s">
        <v>618</v>
      </c>
      <c r="C304" s="65">
        <v>-5225.0004358375772</v>
      </c>
      <c r="D304" s="65">
        <v>5416</v>
      </c>
      <c r="E304" s="65">
        <v>-2231</v>
      </c>
      <c r="F304" s="65">
        <v>-5422</v>
      </c>
      <c r="G304" s="41">
        <v>-1713</v>
      </c>
      <c r="H304" s="41">
        <v>-1869</v>
      </c>
      <c r="I304" s="165">
        <v>1423.8293100000001</v>
      </c>
      <c r="J304" s="165">
        <v>-3214.7922100000001</v>
      </c>
      <c r="K304" s="41">
        <v>-5714.4435300000005</v>
      </c>
      <c r="L304" s="41">
        <v>0</v>
      </c>
      <c r="M304" s="41">
        <v>0</v>
      </c>
      <c r="N304" s="41">
        <v>0</v>
      </c>
      <c r="O304" s="41">
        <v>0</v>
      </c>
      <c r="P304" s="41">
        <v>0</v>
      </c>
    </row>
    <row r="305" spans="1:16" x14ac:dyDescent="0.25">
      <c r="A305" s="30">
        <v>981</v>
      </c>
      <c r="B305" s="31" t="s">
        <v>619</v>
      </c>
      <c r="C305" s="65">
        <v>2.0000063394556626</v>
      </c>
      <c r="D305" s="65">
        <v>-60</v>
      </c>
      <c r="E305" s="65">
        <v>-74</v>
      </c>
      <c r="F305" s="65">
        <v>-86</v>
      </c>
      <c r="G305" s="41">
        <v>-115</v>
      </c>
      <c r="H305" s="41">
        <v>-7</v>
      </c>
      <c r="I305" s="165">
        <v>-36.382849999999998</v>
      </c>
      <c r="J305" s="165">
        <v>0.76795000000000002</v>
      </c>
      <c r="K305" s="41">
        <v>0</v>
      </c>
      <c r="L305" s="41">
        <v>0</v>
      </c>
      <c r="M305" s="41">
        <v>0</v>
      </c>
      <c r="N305" s="41">
        <v>0</v>
      </c>
      <c r="O305" s="41">
        <v>0</v>
      </c>
      <c r="P305" s="41">
        <v>0</v>
      </c>
    </row>
    <row r="306" spans="1:16" x14ac:dyDescent="0.25">
      <c r="A306" s="30">
        <v>989</v>
      </c>
      <c r="B306" s="31" t="s">
        <v>620</v>
      </c>
      <c r="C306" s="65">
        <v>-173.95201666008947</v>
      </c>
      <c r="D306" s="65">
        <v>-117</v>
      </c>
      <c r="E306" s="65">
        <v>-298</v>
      </c>
      <c r="F306" s="65">
        <v>3</v>
      </c>
      <c r="G306" s="41">
        <v>353</v>
      </c>
      <c r="H306" s="41">
        <v>-41</v>
      </c>
      <c r="I306" s="165">
        <v>-192.59931</v>
      </c>
      <c r="J306" s="165">
        <v>49.626769999999993</v>
      </c>
      <c r="K306" s="41">
        <v>-5.7683200000000001</v>
      </c>
      <c r="L306" s="41">
        <v>0</v>
      </c>
      <c r="M306" s="41">
        <v>0</v>
      </c>
      <c r="N306" s="41">
        <v>0</v>
      </c>
      <c r="O306" s="41">
        <v>0</v>
      </c>
      <c r="P306" s="41">
        <v>0</v>
      </c>
    </row>
    <row r="307" spans="1:16" x14ac:dyDescent="0.25">
      <c r="A307" s="30">
        <v>992</v>
      </c>
      <c r="B307" s="31" t="s">
        <v>621</v>
      </c>
      <c r="C307" s="65">
        <v>-452.67477166073132</v>
      </c>
      <c r="D307" s="65">
        <v>-996</v>
      </c>
      <c r="E307" s="65">
        <v>-1731</v>
      </c>
      <c r="F307" s="65">
        <v>-169</v>
      </c>
      <c r="G307" s="41">
        <v>-1082</v>
      </c>
      <c r="H307" s="41">
        <v>-871</v>
      </c>
      <c r="I307" s="165">
        <v>2669.8408300000001</v>
      </c>
      <c r="J307" s="165">
        <v>-1660.8114699999999</v>
      </c>
      <c r="K307" s="41">
        <v>33.368169999999999</v>
      </c>
      <c r="L307" s="41">
        <v>0</v>
      </c>
      <c r="M307" s="41">
        <v>0</v>
      </c>
      <c r="N307" s="41">
        <v>0</v>
      </c>
      <c r="O307" s="41">
        <v>0</v>
      </c>
      <c r="P307" s="41">
        <v>0</v>
      </c>
    </row>
    <row r="311" spans="1:16" s="203" customFormat="1" x14ac:dyDescent="0.25">
      <c r="A311" s="30">
        <v>99</v>
      </c>
      <c r="B311" s="31" t="s">
        <v>358</v>
      </c>
      <c r="C311" s="65">
        <v>-103.98285811188822</v>
      </c>
      <c r="D311" s="65">
        <v>3</v>
      </c>
      <c r="E311" s="65">
        <v>0</v>
      </c>
      <c r="F311" s="65">
        <v>-1</v>
      </c>
      <c r="G311" s="41">
        <v>-1</v>
      </c>
      <c r="H311" s="41">
        <v>-1</v>
      </c>
      <c r="I311" s="165">
        <v>-1</v>
      </c>
      <c r="J311" s="41">
        <v>-1</v>
      </c>
      <c r="K311" s="41">
        <v>-1</v>
      </c>
      <c r="L311" s="41">
        <v>-1</v>
      </c>
      <c r="M311" s="41">
        <v>-1</v>
      </c>
      <c r="N311" s="41">
        <v>-1</v>
      </c>
      <c r="O311" s="41"/>
      <c r="P311" s="41"/>
    </row>
    <row r="312" spans="1:16" s="203" customFormat="1" x14ac:dyDescent="0.25">
      <c r="A312" s="30">
        <v>214</v>
      </c>
      <c r="B312" s="31" t="s">
        <v>395</v>
      </c>
      <c r="C312" s="65">
        <v>-161.95840683139741</v>
      </c>
      <c r="D312" s="65">
        <v>-47</v>
      </c>
      <c r="E312" s="65">
        <v>268</v>
      </c>
      <c r="F312" s="65">
        <v>-125</v>
      </c>
      <c r="G312" s="41">
        <v>-125</v>
      </c>
      <c r="H312" s="41">
        <v>-125</v>
      </c>
      <c r="I312" s="165">
        <v>-125</v>
      </c>
      <c r="J312" s="41">
        <v>-125</v>
      </c>
      <c r="K312" s="41">
        <v>-125</v>
      </c>
      <c r="L312" s="41">
        <v>-125</v>
      </c>
      <c r="M312" s="41">
        <v>-125</v>
      </c>
      <c r="N312" s="41">
        <v>-125</v>
      </c>
      <c r="O312" s="41"/>
      <c r="P312" s="41"/>
    </row>
    <row r="314" spans="1:16" x14ac:dyDescent="0.25">
      <c r="C314" s="273">
        <f>SUM(C311:C312)</f>
        <v>-265.94126494328566</v>
      </c>
      <c r="D314" s="273">
        <f t="shared" ref="D314:N314" si="2">SUM(D311:D312)</f>
        <v>-44</v>
      </c>
      <c r="E314" s="273">
        <f t="shared" si="2"/>
        <v>268</v>
      </c>
      <c r="F314" s="273">
        <f t="shared" si="2"/>
        <v>-126</v>
      </c>
      <c r="G314" s="273">
        <f t="shared" si="2"/>
        <v>-126</v>
      </c>
      <c r="H314" s="273">
        <f t="shared" si="2"/>
        <v>-126</v>
      </c>
      <c r="I314" s="309">
        <f t="shared" si="2"/>
        <v>-126</v>
      </c>
      <c r="J314" s="273">
        <f t="shared" si="2"/>
        <v>-126</v>
      </c>
      <c r="K314" s="273">
        <f t="shared" si="2"/>
        <v>-126</v>
      </c>
      <c r="L314" s="273">
        <f t="shared" si="2"/>
        <v>-126</v>
      </c>
      <c r="M314" s="273">
        <f t="shared" si="2"/>
        <v>-126</v>
      </c>
      <c r="N314" s="273">
        <f t="shared" si="2"/>
        <v>-126</v>
      </c>
      <c r="O314" s="273"/>
      <c r="P314" s="273"/>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I314"/>
  <sheetViews>
    <sheetView topLeftCell="E1" zoomScale="90" zoomScaleNormal="90" workbookViewId="0">
      <selection activeCell="M2" sqref="M2"/>
    </sheetView>
  </sheetViews>
  <sheetFormatPr defaultColWidth="9.140625" defaultRowHeight="11.25" x14ac:dyDescent="0.2"/>
  <cols>
    <col min="1" max="1" width="9.140625" style="41"/>
    <col min="2" max="2" width="20.5703125" style="41" bestFit="1" customWidth="1"/>
    <col min="3" max="8" width="23" style="41" bestFit="1" customWidth="1"/>
    <col min="9" max="9" width="23" style="165" bestFit="1" customWidth="1"/>
    <col min="10" max="14" width="23" style="41" bestFit="1" customWidth="1"/>
    <col min="15" max="16" width="23" style="41" customWidth="1"/>
    <col min="17" max="17" width="9.140625" style="41"/>
    <col min="18" max="18" width="9.140625" style="117"/>
    <col min="19" max="20" width="9.140625" style="4"/>
    <col min="21" max="21" width="20.5703125" style="4" bestFit="1" customWidth="1"/>
    <col min="22" max="35" width="9.140625" style="4"/>
    <col min="36" max="16384" width="9.140625" style="41"/>
  </cols>
  <sheetData>
    <row r="1" spans="1:35" x14ac:dyDescent="0.2">
      <c r="A1" s="43" t="s">
        <v>806</v>
      </c>
      <c r="B1" s="43"/>
    </row>
    <row r="2" spans="1:35" x14ac:dyDescent="0.2">
      <c r="A2" s="43"/>
      <c r="B2" s="43"/>
    </row>
    <row r="3" spans="1:35" x14ac:dyDescent="0.2">
      <c r="A3" s="43"/>
      <c r="B3" s="281"/>
      <c r="I3" s="371"/>
    </row>
    <row r="4" spans="1:35" x14ac:dyDescent="0.2">
      <c r="A4" s="43"/>
      <c r="B4" s="43"/>
      <c r="I4" s="371"/>
    </row>
    <row r="5" spans="1:35" x14ac:dyDescent="0.2">
      <c r="A5" s="43"/>
      <c r="B5" s="43"/>
    </row>
    <row r="6" spans="1:35" x14ac:dyDescent="0.2">
      <c r="A6" s="43"/>
      <c r="B6" s="43"/>
    </row>
    <row r="7" spans="1:35" x14ac:dyDescent="0.2">
      <c r="A7" s="43"/>
      <c r="B7" s="43"/>
      <c r="L7" s="41" t="s">
        <v>625</v>
      </c>
      <c r="M7" s="41" t="s">
        <v>625</v>
      </c>
      <c r="N7" s="41" t="s">
        <v>625</v>
      </c>
      <c r="R7" s="123" t="s">
        <v>319</v>
      </c>
    </row>
    <row r="8" spans="1:35" x14ac:dyDescent="0.2">
      <c r="A8" s="43" t="s">
        <v>622</v>
      </c>
      <c r="B8" s="43"/>
      <c r="C8" s="41" t="s">
        <v>323</v>
      </c>
      <c r="D8" s="41" t="s">
        <v>323</v>
      </c>
      <c r="E8" s="41" t="s">
        <v>323</v>
      </c>
      <c r="F8" s="41" t="s">
        <v>323</v>
      </c>
      <c r="G8" s="41" t="s">
        <v>323</v>
      </c>
      <c r="H8" s="327" t="s">
        <v>323</v>
      </c>
      <c r="I8" s="327" t="s">
        <v>323</v>
      </c>
      <c r="J8" s="41" t="s">
        <v>323</v>
      </c>
      <c r="K8" s="327" t="s">
        <v>323</v>
      </c>
      <c r="L8" s="188">
        <f>1+Makroennusteet!I25</f>
        <v>0.99713711433998442</v>
      </c>
      <c r="M8" s="188">
        <f>1+Makroennusteet!J25</f>
        <v>0.99715106263267439</v>
      </c>
      <c r="N8" s="188">
        <f>1+Makroennusteet!K25</f>
        <v>0.99716385125439444</v>
      </c>
      <c r="O8" s="188">
        <f>1+Makroennusteet!L25</f>
        <v>0.99717479026731726</v>
      </c>
      <c r="P8" s="188">
        <f>1+Makroennusteet!M25</f>
        <v>0.99715856619590237</v>
      </c>
    </row>
    <row r="9" spans="1:35" x14ac:dyDescent="0.2">
      <c r="A9" s="311" t="s">
        <v>311</v>
      </c>
      <c r="B9" s="311"/>
      <c r="C9" s="344">
        <v>2015</v>
      </c>
      <c r="D9" s="344">
        <v>2016</v>
      </c>
      <c r="E9" s="344">
        <v>2017</v>
      </c>
      <c r="F9" s="344">
        <v>2018</v>
      </c>
      <c r="G9" s="344">
        <v>2019</v>
      </c>
      <c r="H9" s="344">
        <v>2020</v>
      </c>
      <c r="I9" s="344">
        <v>2021</v>
      </c>
      <c r="J9" s="344">
        <v>2022</v>
      </c>
      <c r="K9" s="344">
        <v>2023</v>
      </c>
      <c r="L9" s="344">
        <v>2024</v>
      </c>
      <c r="M9" s="344">
        <v>2025</v>
      </c>
      <c r="N9" s="344">
        <v>2026</v>
      </c>
      <c r="O9" s="344">
        <v>2027</v>
      </c>
      <c r="P9" s="344">
        <v>2028</v>
      </c>
      <c r="R9" s="107"/>
      <c r="S9" s="120"/>
      <c r="T9" s="120"/>
      <c r="U9" s="120"/>
      <c r="V9" s="120"/>
      <c r="W9" s="120"/>
      <c r="X9" s="120"/>
      <c r="Y9" s="120"/>
      <c r="Z9" s="120"/>
      <c r="AA9" s="120"/>
      <c r="AB9" s="120"/>
      <c r="AC9" s="120"/>
      <c r="AD9" s="120"/>
      <c r="AE9" s="120"/>
      <c r="AF9" s="120"/>
      <c r="AG9" s="120"/>
      <c r="AH9" s="120"/>
      <c r="AI9" s="120"/>
    </row>
    <row r="10" spans="1:35" x14ac:dyDescent="0.2">
      <c r="A10" s="43" t="s">
        <v>623</v>
      </c>
      <c r="B10" s="43"/>
    </row>
    <row r="11" spans="1:35" ht="12" thickBot="1" x14ac:dyDescent="0.25">
      <c r="A11" s="43" t="s">
        <v>624</v>
      </c>
      <c r="B11" s="43"/>
    </row>
    <row r="12" spans="1:35" ht="12" thickBot="1" x14ac:dyDescent="0.25">
      <c r="A12" s="83" t="s">
        <v>326</v>
      </c>
      <c r="B12" s="84" t="s">
        <v>327</v>
      </c>
      <c r="C12" s="85" t="s">
        <v>642</v>
      </c>
      <c r="D12" s="85" t="s">
        <v>642</v>
      </c>
      <c r="E12" s="85" t="s">
        <v>642</v>
      </c>
      <c r="F12" s="85" t="s">
        <v>642</v>
      </c>
      <c r="G12" s="85" t="s">
        <v>642</v>
      </c>
      <c r="H12" s="85" t="s">
        <v>642</v>
      </c>
      <c r="I12" s="373" t="s">
        <v>642</v>
      </c>
      <c r="J12" s="85" t="s">
        <v>642</v>
      </c>
      <c r="K12" s="85" t="s">
        <v>642</v>
      </c>
      <c r="L12" s="85" t="s">
        <v>642</v>
      </c>
      <c r="M12" s="85" t="s">
        <v>642</v>
      </c>
      <c r="N12" s="85" t="s">
        <v>642</v>
      </c>
      <c r="O12" s="85" t="s">
        <v>642</v>
      </c>
      <c r="P12" s="85" t="s">
        <v>642</v>
      </c>
      <c r="T12" s="94" t="s">
        <v>326</v>
      </c>
      <c r="U12" s="94" t="s">
        <v>327</v>
      </c>
      <c r="V12" s="77">
        <v>2015</v>
      </c>
      <c r="W12" s="77">
        <v>2016</v>
      </c>
      <c r="X12" s="77">
        <v>2017</v>
      </c>
      <c r="Y12" s="77">
        <v>2018</v>
      </c>
      <c r="Z12" s="77">
        <v>2019</v>
      </c>
      <c r="AA12" s="77">
        <v>2020</v>
      </c>
      <c r="AB12" s="77">
        <v>2021</v>
      </c>
      <c r="AC12" s="77">
        <v>2022</v>
      </c>
      <c r="AD12" s="77">
        <v>2023</v>
      </c>
      <c r="AE12" s="77">
        <v>2024</v>
      </c>
      <c r="AF12" s="77">
        <v>2025</v>
      </c>
      <c r="AG12" s="77">
        <v>2026</v>
      </c>
      <c r="AH12" s="77">
        <v>2027</v>
      </c>
      <c r="AI12" s="77">
        <v>2028</v>
      </c>
    </row>
    <row r="13" spans="1:35" x14ac:dyDescent="0.2">
      <c r="A13" s="39">
        <v>1</v>
      </c>
      <c r="B13" s="86" t="s">
        <v>312</v>
      </c>
      <c r="C13" s="87">
        <f t="shared" ref="C13:L13" si="0">SUM(C15:C307)</f>
        <v>4027991</v>
      </c>
      <c r="D13" s="87">
        <f t="shared" si="0"/>
        <v>4589910</v>
      </c>
      <c r="E13" s="87">
        <f t="shared" si="0"/>
        <v>5180945</v>
      </c>
      <c r="F13" s="87">
        <f t="shared" si="0"/>
        <v>4876780</v>
      </c>
      <c r="G13" s="87">
        <f t="shared" si="0"/>
        <v>5058776</v>
      </c>
      <c r="H13" s="87">
        <f t="shared" si="0"/>
        <v>6454537</v>
      </c>
      <c r="I13" s="372">
        <f t="shared" si="0"/>
        <v>6504960.3707300015</v>
      </c>
      <c r="J13" s="87">
        <f t="shared" si="0"/>
        <v>7000530.9754299941</v>
      </c>
      <c r="K13" s="87">
        <f t="shared" si="0"/>
        <v>6073124.0360999992</v>
      </c>
      <c r="L13" s="87">
        <f t="shared" si="0"/>
        <v>6055737.3763855435</v>
      </c>
      <c r="M13" s="87">
        <f t="shared" ref="M13:N13" si="1">SUM(M15:M307)</f>
        <v>6038354.0388659695</v>
      </c>
      <c r="N13" s="87">
        <f t="shared" si="1"/>
        <v>6021228.3686331157</v>
      </c>
      <c r="O13" s="87">
        <f t="shared" ref="O13:P13" si="2">SUM(O15:O307)</f>
        <v>6004217.1356433453</v>
      </c>
      <c r="P13" s="87">
        <f t="shared" si="2"/>
        <v>5987156.5501069874</v>
      </c>
      <c r="S13" s="8"/>
      <c r="T13" s="39"/>
      <c r="U13" s="86" t="s">
        <v>312</v>
      </c>
      <c r="V13" s="41">
        <f>C13/'1. Väestöennuste'!E13*1000</f>
        <v>738.26800984823865</v>
      </c>
      <c r="W13" s="41">
        <f>D13/'1. Väestöennuste'!F13*1000</f>
        <v>838.48016188282122</v>
      </c>
      <c r="X13" s="41">
        <f>E13/'1. Väestöennuste'!G13*1000</f>
        <v>944.80017929693065</v>
      </c>
      <c r="Y13" s="41">
        <f>F13/'1. Väestöennuste'!H13*1000</f>
        <v>888.60504397672787</v>
      </c>
      <c r="Z13" s="41">
        <f>G13/'1. Väestöennuste'!I13*1000</f>
        <v>920.54602679182324</v>
      </c>
      <c r="AA13" s="41">
        <f>H13/'1. Väestöennuste'!J13*1000</f>
        <v>1172.7709031656002</v>
      </c>
      <c r="AB13" s="41">
        <f>I13/'1. Väestöennuste'!K13*1000</f>
        <v>1178.8839789379906</v>
      </c>
      <c r="AC13" s="41">
        <f>J13/'1. Väestöennuste'!L13*1000</f>
        <v>1265.0927171118451</v>
      </c>
      <c r="AD13" s="41">
        <f>K13/'1. Väestöennuste'!M13*1000</f>
        <v>1089.6799273860595</v>
      </c>
      <c r="AE13" s="41">
        <f>L13/'1. Väestöennuste'!N13*1000</f>
        <v>1093.3787729406527</v>
      </c>
      <c r="AF13" s="41">
        <f>M13/'1. Väestöennuste'!O13*1000</f>
        <v>1088.9937892157648</v>
      </c>
      <c r="AG13" s="41">
        <f>N13/'1. Väestöennuste'!P13*1000</f>
        <v>1084.7910831488691</v>
      </c>
      <c r="AH13" s="41">
        <f>O13/'1. Väestöennuste'!Q13*1000</f>
        <v>1080.7315689900556</v>
      </c>
      <c r="AI13" s="41">
        <f>P13/'1. Väestöennuste'!R13*1000</f>
        <v>1076.8205201169683</v>
      </c>
    </row>
    <row r="14" spans="1:35" x14ac:dyDescent="0.2">
      <c r="A14" s="39"/>
      <c r="B14" s="86"/>
      <c r="T14" s="39"/>
      <c r="U14" s="86"/>
      <c r="V14" s="41"/>
      <c r="W14" s="41"/>
      <c r="X14" s="41"/>
      <c r="Y14" s="41"/>
      <c r="Z14" s="41"/>
      <c r="AA14" s="41"/>
      <c r="AB14" s="41"/>
      <c r="AC14" s="41"/>
      <c r="AD14" s="41"/>
      <c r="AE14" s="41"/>
      <c r="AF14" s="41"/>
      <c r="AG14" s="41"/>
      <c r="AH14" s="41"/>
      <c r="AI14" s="41"/>
    </row>
    <row r="15" spans="1:35" x14ac:dyDescent="0.2">
      <c r="A15" s="34">
        <v>5</v>
      </c>
      <c r="B15" s="88" t="s">
        <v>328</v>
      </c>
      <c r="C15" s="46">
        <v>3969</v>
      </c>
      <c r="D15" s="46">
        <v>4284</v>
      </c>
      <c r="E15" s="46">
        <v>4331</v>
      </c>
      <c r="F15" s="46">
        <v>3934</v>
      </c>
      <c r="G15" s="70">
        <v>3371</v>
      </c>
      <c r="H15" s="41">
        <v>4508</v>
      </c>
      <c r="I15" s="165">
        <v>4790.9169800000009</v>
      </c>
      <c r="J15" s="41">
        <v>4497.5449400000007</v>
      </c>
      <c r="K15" s="41">
        <v>5262.7228299999997</v>
      </c>
      <c r="L15" s="41">
        <f t="shared" ref="L15:M34" si="3">K15*L$8</f>
        <v>5247.6562562773561</v>
      </c>
      <c r="M15" s="41">
        <f t="shared" si="3"/>
        <v>5232.7060122779676</v>
      </c>
      <c r="N15" s="41">
        <f t="shared" ref="N15:P78" si="4">M15*N$8</f>
        <v>5217.8652796851229</v>
      </c>
      <c r="O15" s="41">
        <f t="shared" si="4"/>
        <v>5203.1237159131288</v>
      </c>
      <c r="P15" s="41">
        <f t="shared" si="4"/>
        <v>5188.3393842998312</v>
      </c>
      <c r="T15" s="34">
        <v>5</v>
      </c>
      <c r="U15" s="88" t="s">
        <v>328</v>
      </c>
      <c r="V15" s="41">
        <f>C15/'1. Väestöennuste'!E15*1000</f>
        <v>396.66200279832105</v>
      </c>
      <c r="W15" s="41">
        <f>D15/'1. Väestöennuste'!F15*1000</f>
        <v>432.77098696838061</v>
      </c>
      <c r="X15" s="41">
        <f>E15/'1. Väestöennuste'!G15*1000</f>
        <v>440.54521411860441</v>
      </c>
      <c r="Y15" s="41">
        <f>F15/'1. Väestöennuste'!H15*1000</f>
        <v>405.56701030927832</v>
      </c>
      <c r="Z15" s="41">
        <f>G15/'1. Väestöennuste'!I15*1000</f>
        <v>352.54130934950842</v>
      </c>
      <c r="AA15" s="41">
        <f>H15/'1. Väestöennuste'!J15*1000</f>
        <v>478.6070708143115</v>
      </c>
      <c r="AB15" s="41">
        <f>I15/'1. Väestöennuste'!K15*1000</f>
        <v>514.54376329073148</v>
      </c>
      <c r="AC15" s="41">
        <f>J15/'1. Väestöennuste'!L15*1000</f>
        <v>489.76858760753572</v>
      </c>
      <c r="AD15" s="41">
        <f>K15/'1. Väestöennuste'!M15*1000</f>
        <v>577.49619554482604</v>
      </c>
      <c r="AE15" s="41">
        <f>L15/'1. Väestöennuste'!N15*1000</f>
        <v>586.26480351663008</v>
      </c>
      <c r="AF15" s="41">
        <f>M15/'1. Väestöennuste'!O15*1000</f>
        <v>591.86811585544251</v>
      </c>
      <c r="AG15" s="41">
        <f>N15/'1. Väestöennuste'!P15*1000</f>
        <v>597.69361737515726</v>
      </c>
      <c r="AH15" s="41">
        <f>O15/'1. Väestöennuste'!Q15*1000</f>
        <v>603.54062358347392</v>
      </c>
      <c r="AI15" s="41">
        <f>P15/'1. Väestöennuste'!R15*1000</f>
        <v>609.53235247883356</v>
      </c>
    </row>
    <row r="16" spans="1:35" x14ac:dyDescent="0.2">
      <c r="A16" s="34">
        <v>9</v>
      </c>
      <c r="B16" s="88" t="s">
        <v>329</v>
      </c>
      <c r="C16" s="46">
        <v>1238</v>
      </c>
      <c r="D16" s="46">
        <v>866</v>
      </c>
      <c r="E16" s="46">
        <v>901</v>
      </c>
      <c r="F16" s="46">
        <v>1731</v>
      </c>
      <c r="G16" s="70">
        <v>1814</v>
      </c>
      <c r="H16" s="41">
        <v>3751</v>
      </c>
      <c r="I16" s="165">
        <v>4883.3534</v>
      </c>
      <c r="J16" s="41">
        <v>5740.3420300000007</v>
      </c>
      <c r="K16" s="41">
        <v>4651.3579900000004</v>
      </c>
      <c r="L16" s="41">
        <f t="shared" si="3"/>
        <v>4638.0416839108302</v>
      </c>
      <c r="M16" s="41">
        <f t="shared" si="3"/>
        <v>4624.8281936463227</v>
      </c>
      <c r="N16" s="41">
        <f t="shared" si="4"/>
        <v>4611.7114929662712</v>
      </c>
      <c r="O16" s="41">
        <f t="shared" si="4"/>
        <v>4598.6824407720178</v>
      </c>
      <c r="P16" s="41">
        <f t="shared" si="4"/>
        <v>4585.6155890304981</v>
      </c>
      <c r="T16" s="34">
        <v>9</v>
      </c>
      <c r="U16" s="88" t="s">
        <v>329</v>
      </c>
      <c r="V16" s="41">
        <f>C16/'1. Väestöennuste'!E16*1000</f>
        <v>460.73688128023821</v>
      </c>
      <c r="W16" s="41">
        <f>D16/'1. Väestöennuste'!F16*1000</f>
        <v>328.15460401667298</v>
      </c>
      <c r="X16" s="41">
        <f>E16/'1. Väestöennuste'!G16*1000</f>
        <v>345.21072796934862</v>
      </c>
      <c r="Y16" s="41">
        <f>F16/'1. Väestöennuste'!H16*1000</f>
        <v>672.75553828216096</v>
      </c>
      <c r="Z16" s="41">
        <f>G16/'1. Väestöennuste'!I16*1000</f>
        <v>720.12703453751487</v>
      </c>
      <c r="AA16" s="41">
        <f>H16/'1. Väestöennuste'!J16*1000</f>
        <v>1490.2661899086213</v>
      </c>
      <c r="AB16" s="41">
        <f>I16/'1. Väestöennuste'!K16*1000</f>
        <v>1960.3987956643919</v>
      </c>
      <c r="AC16" s="41">
        <f>J16/'1. Väestöennuste'!L16*1000</f>
        <v>2345.8692398855746</v>
      </c>
      <c r="AD16" s="41">
        <f>K16/'1. Väestöennuste'!M16*1000</f>
        <v>1908.6409478867461</v>
      </c>
      <c r="AE16" s="41">
        <f>L16/'1. Väestöennuste'!N16*1000</f>
        <v>1915.7545162787403</v>
      </c>
      <c r="AF16" s="41">
        <f>M16/'1. Väestöennuste'!O16*1000</f>
        <v>1929.4235267610857</v>
      </c>
      <c r="AG16" s="41">
        <f>N16/'1. Väestöennuste'!P16*1000</f>
        <v>1941.7732601963246</v>
      </c>
      <c r="AH16" s="41">
        <f>O16/'1. Väestöennuste'!Q16*1000</f>
        <v>1955.2221261785789</v>
      </c>
      <c r="AI16" s="41">
        <f>P16/'1. Väestöennuste'!R16*1000</f>
        <v>1968.9203903093594</v>
      </c>
    </row>
    <row r="17" spans="1:35" x14ac:dyDescent="0.2">
      <c r="A17" s="34">
        <v>10</v>
      </c>
      <c r="B17" s="88" t="s">
        <v>330</v>
      </c>
      <c r="C17" s="46">
        <v>11169</v>
      </c>
      <c r="D17" s="46">
        <v>12694</v>
      </c>
      <c r="E17" s="46">
        <v>14581</v>
      </c>
      <c r="F17" s="46">
        <v>14151</v>
      </c>
      <c r="G17" s="70">
        <v>14486</v>
      </c>
      <c r="H17" s="41">
        <v>25904</v>
      </c>
      <c r="I17" s="165">
        <v>28238.704770000004</v>
      </c>
      <c r="J17" s="41">
        <v>27836.751949999998</v>
      </c>
      <c r="K17" s="41">
        <v>29123.293289999998</v>
      </c>
      <c r="L17" s="41">
        <f t="shared" si="3"/>
        <v>29039.916631267628</v>
      </c>
      <c r="M17" s="41">
        <f t="shared" si="3"/>
        <v>28957.18372763279</v>
      </c>
      <c r="N17" s="41">
        <f t="shared" si="4"/>
        <v>28875.056847327392</v>
      </c>
      <c r="O17" s="41">
        <f t="shared" si="4"/>
        <v>28793.478755690554</v>
      </c>
      <c r="P17" s="41">
        <f t="shared" si="4"/>
        <v>28711.663991816567</v>
      </c>
      <c r="T17" s="34">
        <v>10</v>
      </c>
      <c r="U17" s="88" t="s">
        <v>330</v>
      </c>
      <c r="V17" s="41">
        <f>C17/'1. Väestöennuste'!E17*1000</f>
        <v>927.34971770176026</v>
      </c>
      <c r="W17" s="41">
        <f>D17/'1. Väestöennuste'!F17*1000</f>
        <v>1066.0955740320819</v>
      </c>
      <c r="X17" s="41">
        <f>E17/'1. Väestöennuste'!G17*1000</f>
        <v>1244.8561427473749</v>
      </c>
      <c r="Y17" s="41">
        <f>F17/'1. Väestöennuste'!H17*1000</f>
        <v>1225.8316008316008</v>
      </c>
      <c r="Z17" s="41">
        <f>G17/'1. Väestöennuste'!I17*1000</f>
        <v>1263.1670735960934</v>
      </c>
      <c r="AA17" s="41">
        <f>H17/'1. Väestöennuste'!J17*1000</f>
        <v>2285.9159901164844</v>
      </c>
      <c r="AB17" s="41">
        <f>I17/'1. Väestöennuste'!K17*1000</f>
        <v>2521.9884585156742</v>
      </c>
      <c r="AC17" s="41">
        <f>J17/'1. Väestöennuste'!L17*1000</f>
        <v>2507.3637137452711</v>
      </c>
      <c r="AD17" s="41">
        <f>K17/'1. Väestöennuste'!M17*1000</f>
        <v>2663.7970630202135</v>
      </c>
      <c r="AE17" s="41">
        <f>L17/'1. Väestöennuste'!N17*1000</f>
        <v>2685.151792072827</v>
      </c>
      <c r="AF17" s="41">
        <f>M17/'1. Väestöennuste'!O17*1000</f>
        <v>2709.8244177084775</v>
      </c>
      <c r="AG17" s="41">
        <f>N17/'1. Väestöennuste'!P17*1000</f>
        <v>2733.8626062608778</v>
      </c>
      <c r="AH17" s="41">
        <f>O17/'1. Väestöennuste'!Q17*1000</f>
        <v>2757.2037494676392</v>
      </c>
      <c r="AI17" s="41">
        <f>P17/'1. Väestöennuste'!R17*1000</f>
        <v>2780.7907013865924</v>
      </c>
    </row>
    <row r="18" spans="1:35" x14ac:dyDescent="0.2">
      <c r="A18" s="34">
        <v>16</v>
      </c>
      <c r="B18" s="88" t="s">
        <v>331</v>
      </c>
      <c r="C18" s="46">
        <v>654</v>
      </c>
      <c r="D18" s="46">
        <v>322</v>
      </c>
      <c r="E18" s="46">
        <v>994</v>
      </c>
      <c r="F18" s="46">
        <v>2928</v>
      </c>
      <c r="G18" s="70">
        <v>996</v>
      </c>
      <c r="H18" s="41">
        <v>893</v>
      </c>
      <c r="I18" s="165">
        <v>3017.5553799999998</v>
      </c>
      <c r="J18" s="41">
        <v>1041.14932</v>
      </c>
      <c r="K18" s="41">
        <v>399.46767999999997</v>
      </c>
      <c r="L18" s="41">
        <f t="shared" si="3"/>
        <v>398.32404970728828</v>
      </c>
      <c r="M18" s="41">
        <f t="shared" si="3"/>
        <v>397.18924943777273</v>
      </c>
      <c r="N18" s="41">
        <f t="shared" si="4"/>
        <v>396.06276164621175</v>
      </c>
      <c r="O18" s="41">
        <f t="shared" si="4"/>
        <v>394.94380127725566</v>
      </c>
      <c r="P18" s="41">
        <f t="shared" si="4"/>
        <v>393.82159460958763</v>
      </c>
      <c r="T18" s="34">
        <v>16</v>
      </c>
      <c r="U18" s="88" t="s">
        <v>331</v>
      </c>
      <c r="V18" s="41">
        <f>C18/'1. Väestöennuste'!E18*1000</f>
        <v>78.918788463859059</v>
      </c>
      <c r="W18" s="41">
        <f>D18/'1. Väestöennuste'!F18*1000</f>
        <v>38.687973086627423</v>
      </c>
      <c r="X18" s="41">
        <f>E18/'1. Väestöennuste'!G18*1000</f>
        <v>120.51406401551891</v>
      </c>
      <c r="Y18" s="41">
        <f>F18/'1. Väestöennuste'!H18*1000</f>
        <v>359.30789053871644</v>
      </c>
      <c r="Z18" s="41">
        <f>G18/'1. Väestöennuste'!I18*1000</f>
        <v>123.22157614746999</v>
      </c>
      <c r="AA18" s="41">
        <f>H18/'1. Väestöennuste'!J18*1000</f>
        <v>110.80779253009058</v>
      </c>
      <c r="AB18" s="41">
        <f>I18/'1. Väestöennuste'!K18*1000</f>
        <v>375.6448873397236</v>
      </c>
      <c r="AC18" s="41">
        <f>J18/'1. Väestöennuste'!L18*1000</f>
        <v>129.91631145495384</v>
      </c>
      <c r="AD18" s="41">
        <f>K18/'1. Väestöennuste'!M18*1000</f>
        <v>50.133995983935741</v>
      </c>
      <c r="AE18" s="41">
        <f>L18/'1. Väestöennuste'!N18*1000</f>
        <v>50.510277670211551</v>
      </c>
      <c r="AF18" s="41">
        <f>M18/'1. Väestöennuste'!O18*1000</f>
        <v>50.681287410714909</v>
      </c>
      <c r="AG18" s="41">
        <f>N18/'1. Väestöennuste'!P18*1000</f>
        <v>50.835933981030905</v>
      </c>
      <c r="AH18" s="41">
        <f>O18/'1. Väestöennuste'!Q18*1000</f>
        <v>51.006560929517711</v>
      </c>
      <c r="AI18" s="41">
        <f>P18/'1. Väestöennuste'!R18*1000</f>
        <v>51.152304794075548</v>
      </c>
    </row>
    <row r="19" spans="1:35" x14ac:dyDescent="0.2">
      <c r="A19" s="34">
        <v>18</v>
      </c>
      <c r="B19" s="88" t="s">
        <v>332</v>
      </c>
      <c r="C19" s="46">
        <v>1116</v>
      </c>
      <c r="D19" s="46">
        <v>1190</v>
      </c>
      <c r="E19" s="46">
        <v>1724</v>
      </c>
      <c r="F19" s="46">
        <v>3935</v>
      </c>
      <c r="G19" s="70">
        <v>6061</v>
      </c>
      <c r="H19" s="41">
        <v>8575</v>
      </c>
      <c r="I19" s="165">
        <v>9124.3580000000002</v>
      </c>
      <c r="J19" s="41">
        <v>9169.2046499999997</v>
      </c>
      <c r="K19" s="41">
        <v>7466.7205199999999</v>
      </c>
      <c r="L19" s="41">
        <f t="shared" si="3"/>
        <v>7445.3441528959474</v>
      </c>
      <c r="M19" s="41">
        <f t="shared" si="3"/>
        <v>7424.132833726163</v>
      </c>
      <c r="N19" s="41">
        <f t="shared" si="4"/>
        <v>7403.0768887025815</v>
      </c>
      <c r="O19" s="41">
        <f t="shared" si="4"/>
        <v>7382.1616438248202</v>
      </c>
      <c r="P19" s="41">
        <f t="shared" si="4"/>
        <v>7361.1857201827434</v>
      </c>
      <c r="T19" s="34">
        <v>18</v>
      </c>
      <c r="U19" s="88" t="s">
        <v>332</v>
      </c>
      <c r="V19" s="41">
        <f>C19/'1. Väestöennuste'!E19*1000</f>
        <v>218.65203761755487</v>
      </c>
      <c r="W19" s="41">
        <f>D19/'1. Väestöennuste'!F19*1000</f>
        <v>235.83036068172811</v>
      </c>
      <c r="X19" s="41">
        <f>E19/'1. Väestöennuste'!G19*1000</f>
        <v>345.49098196392788</v>
      </c>
      <c r="Y19" s="41">
        <f>F19/'1. Väestöennuste'!H19*1000</f>
        <v>793.66680112948768</v>
      </c>
      <c r="Z19" s="41">
        <f>G19/'1. Väestöennuste'!I19*1000</f>
        <v>1226.1784341493021</v>
      </c>
      <c r="AA19" s="41">
        <f>H19/'1. Väestöennuste'!J19*1000</f>
        <v>1757.8925789257894</v>
      </c>
      <c r="AB19" s="41">
        <f>I19/'1. Väestöennuste'!K19*1000</f>
        <v>1882.4753455745822</v>
      </c>
      <c r="AC19" s="41">
        <f>J19/'1. Väestöennuste'!L19*1000</f>
        <v>1925.0902057526769</v>
      </c>
      <c r="AD19" s="41">
        <f>K19/'1. Väestöennuste'!M19*1000</f>
        <v>1588.6639404255318</v>
      </c>
      <c r="AE19" s="41">
        <f>L19/'1. Väestöennuste'!N19*1000</f>
        <v>1572.7385198343784</v>
      </c>
      <c r="AF19" s="41">
        <f>M19/'1. Väestöennuste'!O19*1000</f>
        <v>1576.5837404387689</v>
      </c>
      <c r="AG19" s="41">
        <f>N19/'1. Väestöennuste'!P19*1000</f>
        <v>1579.8286147466029</v>
      </c>
      <c r="AH19" s="41">
        <f>O19/'1. Väestöennuste'!Q19*1000</f>
        <v>1582.4569440138948</v>
      </c>
      <c r="AI19" s="41">
        <f>P19/'1. Väestöennuste'!R19*1000</f>
        <v>1585.7789143004618</v>
      </c>
    </row>
    <row r="20" spans="1:35" x14ac:dyDescent="0.2">
      <c r="A20" s="34">
        <v>19</v>
      </c>
      <c r="B20" s="88" t="s">
        <v>333</v>
      </c>
      <c r="C20" s="46">
        <v>494</v>
      </c>
      <c r="D20" s="46">
        <v>369</v>
      </c>
      <c r="E20" s="46">
        <v>1444</v>
      </c>
      <c r="F20" s="46">
        <v>107</v>
      </c>
      <c r="G20" s="70">
        <v>981</v>
      </c>
      <c r="H20" s="41">
        <v>3167</v>
      </c>
      <c r="I20" s="165">
        <v>1838.6316100000001</v>
      </c>
      <c r="J20" s="41">
        <v>2253.9276099999997</v>
      </c>
      <c r="K20" s="41">
        <v>0</v>
      </c>
      <c r="L20" s="41">
        <f t="shared" si="3"/>
        <v>0</v>
      </c>
      <c r="M20" s="41">
        <f t="shared" si="3"/>
        <v>0</v>
      </c>
      <c r="N20" s="41">
        <f t="shared" si="4"/>
        <v>0</v>
      </c>
      <c r="O20" s="41">
        <f t="shared" si="4"/>
        <v>0</v>
      </c>
      <c r="P20" s="41">
        <f t="shared" si="4"/>
        <v>0</v>
      </c>
      <c r="T20" s="34">
        <v>19</v>
      </c>
      <c r="U20" s="88" t="s">
        <v>333</v>
      </c>
      <c r="V20" s="41">
        <f>C20/'1. Väestöennuste'!E20*1000</f>
        <v>123.93376818866031</v>
      </c>
      <c r="W20" s="41">
        <f>D20/'1. Väestöennuste'!F20*1000</f>
        <v>92.620481927710841</v>
      </c>
      <c r="X20" s="41">
        <f>E20/'1. Väestöennuste'!G20*1000</f>
        <v>361.81408168378852</v>
      </c>
      <c r="Y20" s="41">
        <f>F20/'1. Väestöennuste'!H20*1000</f>
        <v>26.857429718875501</v>
      </c>
      <c r="Z20" s="41">
        <f>G20/'1. Väestöennuste'!I20*1000</f>
        <v>248.92159350418675</v>
      </c>
      <c r="AA20" s="41">
        <f>H20/'1. Väestöennuste'!J20*1000</f>
        <v>799.94948219247283</v>
      </c>
      <c r="AB20" s="41">
        <f>I20/'1. Väestöennuste'!K20*1000</f>
        <v>464.88789127686476</v>
      </c>
      <c r="AC20" s="41">
        <f>J20/'1. Väestöennuste'!L20*1000</f>
        <v>568.45589155107177</v>
      </c>
      <c r="AD20" s="41">
        <f>K20/'1. Väestöennuste'!M20*1000</f>
        <v>0</v>
      </c>
      <c r="AE20" s="41">
        <f>L20/'1. Väestöennuste'!N20*1000</f>
        <v>0</v>
      </c>
      <c r="AF20" s="41">
        <f>M20/'1. Väestöennuste'!O20*1000</f>
        <v>0</v>
      </c>
      <c r="AG20" s="41">
        <f>N20/'1. Väestöennuste'!P20*1000</f>
        <v>0</v>
      </c>
      <c r="AH20" s="41">
        <f>O20/'1. Väestöennuste'!Q20*1000</f>
        <v>0</v>
      </c>
      <c r="AI20" s="41">
        <f>P20/'1. Väestöennuste'!R20*1000</f>
        <v>0</v>
      </c>
    </row>
    <row r="21" spans="1:35" x14ac:dyDescent="0.2">
      <c r="A21" s="34">
        <v>20</v>
      </c>
      <c r="B21" s="88" t="s">
        <v>334</v>
      </c>
      <c r="C21" s="46">
        <v>1987</v>
      </c>
      <c r="D21" s="46">
        <v>4160</v>
      </c>
      <c r="E21" s="46">
        <v>3512</v>
      </c>
      <c r="F21" s="46">
        <v>4130</v>
      </c>
      <c r="G21" s="70">
        <v>2944</v>
      </c>
      <c r="H21" s="41">
        <v>8664</v>
      </c>
      <c r="I21" s="165">
        <v>8942.2521199999992</v>
      </c>
      <c r="J21" s="41">
        <v>4597.7645599999996</v>
      </c>
      <c r="K21" s="41">
        <v>-123.46744</v>
      </c>
      <c r="L21" s="41">
        <f t="shared" si="3"/>
        <v>-123.11396683654516</v>
      </c>
      <c r="M21" s="41">
        <f t="shared" si="3"/>
        <v>-122.76322285598484</v>
      </c>
      <c r="N21" s="41">
        <f t="shared" si="4"/>
        <v>-122.41504809547534</v>
      </c>
      <c r="O21" s="41">
        <f t="shared" si="4"/>
        <v>-122.06919991016917</v>
      </c>
      <c r="P21" s="41">
        <f t="shared" si="4"/>
        <v>-121.72234835910527</v>
      </c>
      <c r="T21" s="34">
        <v>20</v>
      </c>
      <c r="U21" s="88" t="s">
        <v>334</v>
      </c>
      <c r="V21" s="41">
        <f>C21/'1. Väestöennuste'!E21*1000</f>
        <v>116.58745526022415</v>
      </c>
      <c r="W21" s="41">
        <f>D21/'1. Väestöennuste'!F21*1000</f>
        <v>245.81929917863263</v>
      </c>
      <c r="X21" s="41">
        <f>E21/'1. Väestöennuste'!G21*1000</f>
        <v>209.43407478084561</v>
      </c>
      <c r="Y21" s="41">
        <f>F21/'1. Väestöennuste'!H21*1000</f>
        <v>248.63042562157605</v>
      </c>
      <c r="Z21" s="41">
        <f>G21/'1. Väestöennuste'!I21*1000</f>
        <v>178.69499241274659</v>
      </c>
      <c r="AA21" s="41">
        <f>H21/'1. Väestöennuste'!J21*1000</f>
        <v>528.58275883106592</v>
      </c>
      <c r="AB21" s="41">
        <f>I21/'1. Väestöennuste'!K21*1000</f>
        <v>543.04075545029445</v>
      </c>
      <c r="AC21" s="41">
        <f>J21/'1. Väestöennuste'!L21*1000</f>
        <v>279.10912159290956</v>
      </c>
      <c r="AD21" s="41">
        <f>K21/'1. Väestöennuste'!M21*1000</f>
        <v>-7.5262078634562632</v>
      </c>
      <c r="AE21" s="41">
        <f>L21/'1. Väestöennuste'!N21*1000</f>
        <v>-7.7400959912325638</v>
      </c>
      <c r="AF21" s="41">
        <f>M21/'1. Väestöennuste'!O21*1000</f>
        <v>-7.7722838148771665</v>
      </c>
      <c r="AG21" s="41">
        <f>N21/'1. Väestöennuste'!P21*1000</f>
        <v>-7.8011119102393156</v>
      </c>
      <c r="AH21" s="41">
        <f>O21/'1. Väestöennuste'!Q21*1000</f>
        <v>-7.8274575126751635</v>
      </c>
      <c r="AI21" s="41">
        <f>P21/'1. Väestöennuste'!R21*1000</f>
        <v>-7.852041566191799</v>
      </c>
    </row>
    <row r="22" spans="1:35" x14ac:dyDescent="0.2">
      <c r="A22" s="34">
        <v>46</v>
      </c>
      <c r="B22" s="88" t="s">
        <v>335</v>
      </c>
      <c r="C22" s="46">
        <v>2878</v>
      </c>
      <c r="D22" s="46">
        <v>2843</v>
      </c>
      <c r="E22" s="46">
        <v>2691</v>
      </c>
      <c r="F22" s="46">
        <v>2793</v>
      </c>
      <c r="G22" s="70">
        <v>2869</v>
      </c>
      <c r="H22" s="41">
        <v>4497</v>
      </c>
      <c r="I22" s="165">
        <v>5664.1782400000002</v>
      </c>
      <c r="J22" s="41">
        <v>6288.4344000000001</v>
      </c>
      <c r="K22" s="41">
        <v>6019.7584999999999</v>
      </c>
      <c r="L22" s="41">
        <f t="shared" si="3"/>
        <v>6002.524619713593</v>
      </c>
      <c r="M22" s="41">
        <f t="shared" si="3"/>
        <v>5985.4238030261986</v>
      </c>
      <c r="N22" s="41">
        <f t="shared" si="4"/>
        <v>5968.4482508153278</v>
      </c>
      <c r="O22" s="41">
        <f t="shared" si="4"/>
        <v>5951.5861327281109</v>
      </c>
      <c r="P22" s="41">
        <f t="shared" si="4"/>
        <v>5934.6750947025785</v>
      </c>
      <c r="T22" s="34">
        <v>46</v>
      </c>
      <c r="U22" s="88" t="s">
        <v>335</v>
      </c>
      <c r="V22" s="41">
        <f>C22/'1. Väestöennuste'!E22*1000</f>
        <v>1953.8357094365242</v>
      </c>
      <c r="W22" s="41">
        <f>D22/'1. Väestöennuste'!F22*1000</f>
        <v>1956.6414315209911</v>
      </c>
      <c r="X22" s="41">
        <f>E22/'1. Väestöennuste'!G22*1000</f>
        <v>1900.4237288135594</v>
      </c>
      <c r="Y22" s="41">
        <f>F22/'1. Väestöennuste'!H22*1000</f>
        <v>1987.9003558718862</v>
      </c>
      <c r="Z22" s="41">
        <f>G22/'1. Väestöennuste'!I22*1000</f>
        <v>2108.0088170462896</v>
      </c>
      <c r="AA22" s="41">
        <f>H22/'1. Väestöennuste'!J22*1000</f>
        <v>3284.8794740686631</v>
      </c>
      <c r="AB22" s="41">
        <f>I22/'1. Väestöennuste'!K22*1000</f>
        <v>4158.7211747430256</v>
      </c>
      <c r="AC22" s="41">
        <f>J22/'1. Väestöennuste'!L22*1000</f>
        <v>4689.3619686800894</v>
      </c>
      <c r="AD22" s="41">
        <f>K22/'1. Väestöennuste'!M22*1000</f>
        <v>4560.4231060606062</v>
      </c>
      <c r="AE22" s="41">
        <f>L22/'1. Väestöennuste'!N22*1000</f>
        <v>4568.1313696450479</v>
      </c>
      <c r="AF22" s="41">
        <f>M22/'1. Väestöennuste'!O22*1000</f>
        <v>4604.1721561739996</v>
      </c>
      <c r="AG22" s="41">
        <f>N22/'1. Väestöennuste'!P22*1000</f>
        <v>4637.4889283724378</v>
      </c>
      <c r="AH22" s="41">
        <f>O22/'1. Väestöennuste'!Q22*1000</f>
        <v>4671.5746724710443</v>
      </c>
      <c r="AI22" s="41">
        <f>P22/'1. Väestöennuste'!R22*1000</f>
        <v>4713.8007106454152</v>
      </c>
    </row>
    <row r="23" spans="1:35" x14ac:dyDescent="0.2">
      <c r="A23" s="34">
        <v>47</v>
      </c>
      <c r="B23" s="88" t="s">
        <v>336</v>
      </c>
      <c r="C23" s="46">
        <v>320</v>
      </c>
      <c r="D23" s="46">
        <v>213</v>
      </c>
      <c r="E23" s="46">
        <v>451</v>
      </c>
      <c r="F23" s="46">
        <v>339</v>
      </c>
      <c r="G23" s="70">
        <v>49</v>
      </c>
      <c r="H23" s="41">
        <v>214</v>
      </c>
      <c r="I23" s="165">
        <v>8672.9326400000009</v>
      </c>
      <c r="J23" s="41">
        <v>9584.9801299999999</v>
      </c>
      <c r="K23" s="41">
        <v>6205.8004299999993</v>
      </c>
      <c r="L23" s="41">
        <f t="shared" si="3"/>
        <v>6188.033932940034</v>
      </c>
      <c r="M23" s="41">
        <f t="shared" si="3"/>
        <v>6170.4046118382021</v>
      </c>
      <c r="N23" s="41">
        <f t="shared" si="4"/>
        <v>6152.9044265384582</v>
      </c>
      <c r="O23" s="41">
        <f t="shared" si="4"/>
        <v>6135.521181068335</v>
      </c>
      <c r="P23" s="41">
        <f t="shared" si="4"/>
        <v>6118.08750377869</v>
      </c>
      <c r="T23" s="34">
        <v>47</v>
      </c>
      <c r="U23" s="88" t="s">
        <v>336</v>
      </c>
      <c r="V23" s="41">
        <f>C23/'1. Väestöennuste'!E23*1000</f>
        <v>171.95056421278881</v>
      </c>
      <c r="W23" s="41">
        <f>D23/'1. Väestöennuste'!F23*1000</f>
        <v>113.78205128205128</v>
      </c>
      <c r="X23" s="41">
        <f>E23/'1. Väestöennuste'!G23*1000</f>
        <v>238.24617010036977</v>
      </c>
      <c r="Y23" s="41">
        <f>F23/'1. Väestöennuste'!H23*1000</f>
        <v>183.04535637149027</v>
      </c>
      <c r="Z23" s="41">
        <f>G23/'1. Väestöennuste'!I23*1000</f>
        <v>26.659412404787812</v>
      </c>
      <c r="AA23" s="41">
        <f>H23/'1. Väestöennuste'!J23*1000</f>
        <v>118.36283185840708</v>
      </c>
      <c r="AB23" s="41">
        <f>I23/'1. Väestöennuste'!K23*1000</f>
        <v>4847.9221017328118</v>
      </c>
      <c r="AC23" s="41">
        <f>J23/'1. Väestöennuste'!L23*1000</f>
        <v>5292.645019326339</v>
      </c>
      <c r="AD23" s="41">
        <f>K23/'1. Väestöennuste'!M23*1000</f>
        <v>3504.1222077922075</v>
      </c>
      <c r="AE23" s="41">
        <f>L23/'1. Väestöennuste'!N23*1000</f>
        <v>3488.1814729087</v>
      </c>
      <c r="AF23" s="41">
        <f>M23/'1. Väestöennuste'!O23*1000</f>
        <v>3490.0478573745486</v>
      </c>
      <c r="AG23" s="41">
        <f>N23/'1. Väestöennuste'!P23*1000</f>
        <v>3493.9832064386474</v>
      </c>
      <c r="AH23" s="41">
        <f>O23/'1. Väestöennuste'!Q23*1000</f>
        <v>3500.0120827543269</v>
      </c>
      <c r="AI23" s="41">
        <f>P23/'1. Väestöennuste'!R23*1000</f>
        <v>3506.0673374089911</v>
      </c>
    </row>
    <row r="24" spans="1:35" x14ac:dyDescent="0.2">
      <c r="A24" s="34">
        <v>49</v>
      </c>
      <c r="B24" s="88" t="s">
        <v>337</v>
      </c>
      <c r="C24" s="46">
        <v>660855</v>
      </c>
      <c r="D24" s="46">
        <v>899126</v>
      </c>
      <c r="E24" s="46">
        <v>952518</v>
      </c>
      <c r="F24" s="46">
        <v>849553</v>
      </c>
      <c r="G24" s="70">
        <v>893451</v>
      </c>
      <c r="H24" s="41">
        <v>1134796</v>
      </c>
      <c r="I24" s="165">
        <v>1343721.9772399999</v>
      </c>
      <c r="J24" s="41">
        <v>1550147.63099</v>
      </c>
      <c r="K24" s="41">
        <v>1312911.99441</v>
      </c>
      <c r="L24" s="41">
        <f t="shared" si="3"/>
        <v>1309153.2774883411</v>
      </c>
      <c r="M24" s="41">
        <f t="shared" si="3"/>
        <v>1305423.5817965479</v>
      </c>
      <c r="N24" s="41">
        <f t="shared" si="4"/>
        <v>1301721.2063425516</v>
      </c>
      <c r="O24" s="41">
        <f t="shared" si="4"/>
        <v>1298043.5709211531</v>
      </c>
      <c r="P24" s="41">
        <f t="shared" si="4"/>
        <v>1294355.2660395461</v>
      </c>
      <c r="T24" s="34">
        <v>49</v>
      </c>
      <c r="U24" s="88" t="s">
        <v>337</v>
      </c>
      <c r="V24" s="41">
        <f>C24/'1. Väestöennuste'!E24*1000</f>
        <v>2449.4073431627639</v>
      </c>
      <c r="W24" s="41">
        <f>D24/'1. Väestöennuste'!F24*1000</f>
        <v>3274.5144455410568</v>
      </c>
      <c r="X24" s="41">
        <f>E24/'1. Väestöennuste'!G24*1000</f>
        <v>3413.5046802654779</v>
      </c>
      <c r="Y24" s="41">
        <f>F24/'1. Väestöennuste'!H24*1000</f>
        <v>2995.2649912562761</v>
      </c>
      <c r="Z24" s="41">
        <f>G24/'1. Väestöennuste'!I24*1000</f>
        <v>3083.7259388881412</v>
      </c>
      <c r="AA24" s="41">
        <f>H24/'1. Väestöennuste'!J24*1000</f>
        <v>3875.7223459336874</v>
      </c>
      <c r="AB24" s="41">
        <f>I24/'1. Väestöennuste'!K24*1000</f>
        <v>4522.3065076800876</v>
      </c>
      <c r="AC24" s="41">
        <f>J24/'1. Väestöennuste'!L24*1000</f>
        <v>5077.8894730307848</v>
      </c>
      <c r="AD24" s="41">
        <f>K24/'1. Väestöennuste'!M24*1000</f>
        <v>4180.9288284016511</v>
      </c>
      <c r="AE24" s="41">
        <f>L24/'1. Väestöennuste'!N24*1000</f>
        <v>4211.7305885384249</v>
      </c>
      <c r="AF24" s="41">
        <f>M24/'1. Väestöennuste'!O24*1000</f>
        <v>4147.5330401768651</v>
      </c>
      <c r="AG24" s="41">
        <f>N24/'1. Väestöennuste'!P24*1000</f>
        <v>4087.4474243646191</v>
      </c>
      <c r="AH24" s="41">
        <f>O24/'1. Väestöennuste'!Q24*1000</f>
        <v>4031.0785441436519</v>
      </c>
      <c r="AI24" s="41">
        <f>P24/'1. Väestöennuste'!R24*1000</f>
        <v>3978.0293139000605</v>
      </c>
    </row>
    <row r="25" spans="1:35" x14ac:dyDescent="0.2">
      <c r="A25" s="34">
        <v>50</v>
      </c>
      <c r="B25" s="88" t="s">
        <v>338</v>
      </c>
      <c r="C25" s="46">
        <v>1439</v>
      </c>
      <c r="D25" s="46">
        <v>1593</v>
      </c>
      <c r="E25" s="46">
        <v>1934</v>
      </c>
      <c r="F25" s="46">
        <v>2171</v>
      </c>
      <c r="G25" s="70">
        <v>2040</v>
      </c>
      <c r="H25" s="41">
        <v>3398</v>
      </c>
      <c r="I25" s="165">
        <v>2831.4305399999998</v>
      </c>
      <c r="J25" s="41">
        <v>1156.3152600000001</v>
      </c>
      <c r="K25" s="41">
        <v>1022.45379</v>
      </c>
      <c r="L25" s="41">
        <f t="shared" si="3"/>
        <v>1019.5266217065805</v>
      </c>
      <c r="M25" s="41">
        <f t="shared" si="3"/>
        <v>1016.6220542170174</v>
      </c>
      <c r="N25" s="41">
        <f t="shared" si="4"/>
        <v>1013.7387628531949</v>
      </c>
      <c r="O25" s="41">
        <f t="shared" si="4"/>
        <v>1010.8747382339843</v>
      </c>
      <c r="P25" s="41">
        <f t="shared" si="4"/>
        <v>1008.0024045810579</v>
      </c>
      <c r="T25" s="34">
        <v>50</v>
      </c>
      <c r="U25" s="88" t="s">
        <v>338</v>
      </c>
      <c r="V25" s="41">
        <f>C25/'1. Väestöennuste'!E25*1000</f>
        <v>118.65105540897098</v>
      </c>
      <c r="W25" s="41">
        <f>D25/'1. Väestöennuste'!F25*1000</f>
        <v>132.70576474508496</v>
      </c>
      <c r="X25" s="41">
        <f>E25/'1. Väestöennuste'!G25*1000</f>
        <v>162.38455079764904</v>
      </c>
      <c r="Y25" s="41">
        <f>F25/'1. Väestöennuste'!H25*1000</f>
        <v>184.79741232550219</v>
      </c>
      <c r="Z25" s="41">
        <f>G25/'1. Väestöennuste'!I25*1000</f>
        <v>175.37826685006877</v>
      </c>
      <c r="AA25" s="41">
        <f>H25/'1. Väestöennuste'!J25*1000</f>
        <v>295.91570147174082</v>
      </c>
      <c r="AB25" s="41">
        <f>I25/'1. Väestöennuste'!K25*1000</f>
        <v>248.00127353945871</v>
      </c>
      <c r="AC25" s="41">
        <f>J25/'1. Väestöennuste'!L25*1000</f>
        <v>102.54658212131962</v>
      </c>
      <c r="AD25" s="41">
        <f>K25/'1. Väestöennuste'!M25*1000</f>
        <v>91.421118562231754</v>
      </c>
      <c r="AE25" s="41">
        <f>L25/'1. Väestöennuste'!N25*1000</f>
        <v>92.844606293286631</v>
      </c>
      <c r="AF25" s="41">
        <f>M25/'1. Väestöennuste'!O25*1000</f>
        <v>93.568527769628844</v>
      </c>
      <c r="AG25" s="41">
        <f>N25/'1. Väestöennuste'!P25*1000</f>
        <v>94.26620446840198</v>
      </c>
      <c r="AH25" s="41">
        <f>O25/'1. Väestöennuste'!Q25*1000</f>
        <v>94.917815796618243</v>
      </c>
      <c r="AI25" s="41">
        <f>P25/'1. Väestöennuste'!R25*1000</f>
        <v>95.554308899522027</v>
      </c>
    </row>
    <row r="26" spans="1:35" x14ac:dyDescent="0.2">
      <c r="A26" s="34">
        <v>51</v>
      </c>
      <c r="B26" s="88" t="s">
        <v>339</v>
      </c>
      <c r="C26" s="46">
        <v>24024</v>
      </c>
      <c r="D26" s="46">
        <v>23284</v>
      </c>
      <c r="E26" s="46">
        <v>22406</v>
      </c>
      <c r="F26" s="46">
        <v>24359</v>
      </c>
      <c r="G26" s="70">
        <v>22913</v>
      </c>
      <c r="H26" s="41">
        <v>23555</v>
      </c>
      <c r="I26" s="165">
        <v>25212.422630000001</v>
      </c>
      <c r="J26" s="41">
        <v>28921.3747</v>
      </c>
      <c r="K26" s="41">
        <v>23030.716230000002</v>
      </c>
      <c r="L26" s="41">
        <f t="shared" si="3"/>
        <v>22964.781922765247</v>
      </c>
      <c r="M26" s="41">
        <f t="shared" si="3"/>
        <v>22899.356697412997</v>
      </c>
      <c r="N26" s="41">
        <f t="shared" si="4"/>
        <v>22834.410715640453</v>
      </c>
      <c r="O26" s="41">
        <f t="shared" si="4"/>
        <v>22769.898716246549</v>
      </c>
      <c r="P26" s="41">
        <f t="shared" si="4"/>
        <v>22705.199556318326</v>
      </c>
      <c r="T26" s="34">
        <v>51</v>
      </c>
      <c r="U26" s="88" t="s">
        <v>339</v>
      </c>
      <c r="V26" s="41">
        <f>C26/'1. Väestöennuste'!E26*1000</f>
        <v>2586.841821901583</v>
      </c>
      <c r="W26" s="41">
        <f>D26/'1. Väestöennuste'!F26*1000</f>
        <v>2472.2871097897641</v>
      </c>
      <c r="X26" s="41">
        <f>E26/'1. Väestöennuste'!G26*1000</f>
        <v>2353.3242306480415</v>
      </c>
      <c r="Y26" s="41">
        <f>F26/'1. Väestöennuste'!H26*1000</f>
        <v>2576.581341231225</v>
      </c>
      <c r="Z26" s="41">
        <f>G26/'1. Väestöennuste'!I26*1000</f>
        <v>2437.0346734737291</v>
      </c>
      <c r="AA26" s="41">
        <f>H26/'1. Väestöennuste'!J26*1000</f>
        <v>2492.065171392298</v>
      </c>
      <c r="AB26" s="41">
        <f>I26/'1. Väestöennuste'!K26*1000</f>
        <v>2701.1380576387401</v>
      </c>
      <c r="AC26" s="41">
        <f>J26/'1. Väestöennuste'!L26*1000</f>
        <v>3139.8734882206059</v>
      </c>
      <c r="AD26" s="41">
        <f>K26/'1. Väestöennuste'!M26*1000</f>
        <v>2518.9452291370449</v>
      </c>
      <c r="AE26" s="41">
        <f>L26/'1. Väestöennuste'!N26*1000</f>
        <v>2401.9225941601558</v>
      </c>
      <c r="AF26" s="41">
        <f>M26/'1. Väestöennuste'!O26*1000</f>
        <v>2393.3274140272779</v>
      </c>
      <c r="AG26" s="41">
        <f>N26/'1. Väestöennuste'!P26*1000</f>
        <v>2387.2881040920497</v>
      </c>
      <c r="AH26" s="41">
        <f>O26/'1. Väestöennuste'!Q26*1000</f>
        <v>2382.0377357722095</v>
      </c>
      <c r="AI26" s="41">
        <f>P26/'1. Väestöennuste'!R26*1000</f>
        <v>2378.0058186340939</v>
      </c>
    </row>
    <row r="27" spans="1:35" x14ac:dyDescent="0.2">
      <c r="A27" s="34">
        <v>52</v>
      </c>
      <c r="B27" s="88" t="s">
        <v>340</v>
      </c>
      <c r="C27" s="46">
        <v>5959</v>
      </c>
      <c r="D27" s="46">
        <v>5725</v>
      </c>
      <c r="E27" s="46">
        <v>6431</v>
      </c>
      <c r="F27" s="46">
        <v>5987</v>
      </c>
      <c r="G27" s="70">
        <v>6675</v>
      </c>
      <c r="H27" s="41">
        <v>7299</v>
      </c>
      <c r="I27" s="165">
        <v>7331.0847700000004</v>
      </c>
      <c r="J27" s="41">
        <v>7893.4875499999998</v>
      </c>
      <c r="K27" s="41">
        <v>7445.1776</v>
      </c>
      <c r="L27" s="41">
        <f t="shared" si="3"/>
        <v>7423.8629078126905</v>
      </c>
      <c r="M27" s="41">
        <f t="shared" si="3"/>
        <v>7402.7127873647205</v>
      </c>
      <c r="N27" s="41">
        <f t="shared" si="4"/>
        <v>7381.7175927787575</v>
      </c>
      <c r="O27" s="41">
        <f t="shared" si="4"/>
        <v>7360.8626923917236</v>
      </c>
      <c r="P27" s="41">
        <f t="shared" si="4"/>
        <v>7339.9472883102408</v>
      </c>
      <c r="T27" s="34">
        <v>52</v>
      </c>
      <c r="U27" s="88" t="s">
        <v>340</v>
      </c>
      <c r="V27" s="41">
        <f>C27/'1. Väestöennuste'!E27*1000</f>
        <v>2313.2763975155281</v>
      </c>
      <c r="W27" s="41">
        <f>D27/'1. Väestöennuste'!F27*1000</f>
        <v>2258.3826429980277</v>
      </c>
      <c r="X27" s="41">
        <f>E27/'1. Väestöennuste'!G27*1000</f>
        <v>2573.4293717486994</v>
      </c>
      <c r="Y27" s="41">
        <f>F27/'1. Väestöennuste'!H27*1000</f>
        <v>2420.9462191670036</v>
      </c>
      <c r="Z27" s="41">
        <f>G27/'1. Väestöennuste'!I27*1000</f>
        <v>2752.5773195876291</v>
      </c>
      <c r="AA27" s="41">
        <f>H27/'1. Väestöennuste'!J27*1000</f>
        <v>3031.1461794019933</v>
      </c>
      <c r="AB27" s="41">
        <f>I27/'1. Väestöennuste'!K27*1000</f>
        <v>3049.5360940099836</v>
      </c>
      <c r="AC27" s="41">
        <f>J27/'1. Väestöennuste'!L27*1000</f>
        <v>3364.6579497016196</v>
      </c>
      <c r="AD27" s="41">
        <f>K27/'1. Väestöennuste'!M27*1000</f>
        <v>3248.3322862129148</v>
      </c>
      <c r="AE27" s="41">
        <f>L27/'1. Väestöennuste'!N27*1000</f>
        <v>3236.2087653935005</v>
      </c>
      <c r="AF27" s="41">
        <f>M27/'1. Väestöennuste'!O27*1000</f>
        <v>3262.5441989267169</v>
      </c>
      <c r="AG27" s="41">
        <f>N27/'1. Väestöennuste'!P27*1000</f>
        <v>3289.5354691527441</v>
      </c>
      <c r="AH27" s="41">
        <f>O27/'1. Väestöennuste'!Q27*1000</f>
        <v>3317.1981488921692</v>
      </c>
      <c r="AI27" s="41">
        <f>P27/'1. Väestöennuste'!R27*1000</f>
        <v>3343.9395390935038</v>
      </c>
    </row>
    <row r="28" spans="1:35" x14ac:dyDescent="0.2">
      <c r="A28" s="34">
        <v>61</v>
      </c>
      <c r="B28" s="88" t="s">
        <v>341</v>
      </c>
      <c r="C28" s="46">
        <v>16916</v>
      </c>
      <c r="D28" s="46">
        <v>17548</v>
      </c>
      <c r="E28" s="46">
        <v>16211</v>
      </c>
      <c r="F28" s="46">
        <v>17703</v>
      </c>
      <c r="G28" s="70">
        <v>22749</v>
      </c>
      <c r="H28" s="41">
        <v>28377</v>
      </c>
      <c r="I28" s="165">
        <v>28543.68406</v>
      </c>
      <c r="J28" s="41">
        <v>27356.865559999998</v>
      </c>
      <c r="K28" s="41">
        <v>17816.074120000001</v>
      </c>
      <c r="L28" s="41">
        <f t="shared" si="3"/>
        <v>17765.068736884077</v>
      </c>
      <c r="M28" s="41">
        <f t="shared" si="3"/>
        <v>17714.457168726462</v>
      </c>
      <c r="N28" s="41">
        <f t="shared" si="4"/>
        <v>17664.216333248296</v>
      </c>
      <c r="O28" s="41">
        <f t="shared" si="4"/>
        <v>17614.311217343391</v>
      </c>
      <c r="P28" s="41">
        <f t="shared" si="4"/>
        <v>17564.261318014534</v>
      </c>
      <c r="T28" s="34">
        <v>61</v>
      </c>
      <c r="U28" s="88" t="s">
        <v>341</v>
      </c>
      <c r="V28" s="41">
        <f>C28/'1. Väestöennuste'!E28*1000</f>
        <v>970.95626219722192</v>
      </c>
      <c r="W28" s="41">
        <f>D28/'1. Väestöennuste'!F28*1000</f>
        <v>1012.4624971151628</v>
      </c>
      <c r="X28" s="41">
        <f>E28/'1. Väestöennuste'!G28*1000</f>
        <v>943.32266511492583</v>
      </c>
      <c r="Y28" s="41">
        <f>F28/'1. Väestöennuste'!H28*1000</f>
        <v>1039.6405919661734</v>
      </c>
      <c r="Z28" s="41">
        <f>G28/'1. Väestöennuste'!I28*1000</f>
        <v>1346.015028696527</v>
      </c>
      <c r="AA28" s="41">
        <f>H28/'1. Väestöennuste'!J28*1000</f>
        <v>1689.1071428571429</v>
      </c>
      <c r="AB28" s="41">
        <f>I28/'1. Väestöennuste'!K28*1000</f>
        <v>1722.3003716888916</v>
      </c>
      <c r="AC28" s="41">
        <f>J28/'1. Väestöennuste'!L28*1000</f>
        <v>1662.1219733884195</v>
      </c>
      <c r="AD28" s="41">
        <f>K28/'1. Väestöennuste'!M28*1000</f>
        <v>1081.7945303297106</v>
      </c>
      <c r="AE28" s="41">
        <f>L28/'1. Väestöennuste'!N28*1000</f>
        <v>1090.8184168539899</v>
      </c>
      <c r="AF28" s="41">
        <f>M28/'1. Väestöennuste'!O28*1000</f>
        <v>1096.0560059848076</v>
      </c>
      <c r="AG28" s="41">
        <f>N28/'1. Väestöennuste'!P28*1000</f>
        <v>1100.9858098509285</v>
      </c>
      <c r="AH28" s="41">
        <f>O28/'1. Väestöennuste'!Q28*1000</f>
        <v>1106.218125814444</v>
      </c>
      <c r="AI28" s="41">
        <f>P28/'1. Väestöennuste'!R28*1000</f>
        <v>1111.4510737210994</v>
      </c>
    </row>
    <row r="29" spans="1:35" x14ac:dyDescent="0.2">
      <c r="A29" s="34">
        <v>69</v>
      </c>
      <c r="B29" s="88" t="s">
        <v>342</v>
      </c>
      <c r="C29" s="46">
        <v>14683</v>
      </c>
      <c r="D29" s="46">
        <v>13913</v>
      </c>
      <c r="E29" s="46">
        <v>13236</v>
      </c>
      <c r="F29" s="46">
        <v>13328</v>
      </c>
      <c r="G29" s="70">
        <v>15479</v>
      </c>
      <c r="H29" s="41">
        <v>15677</v>
      </c>
      <c r="I29" s="165">
        <v>18200.047269999999</v>
      </c>
      <c r="J29" s="41">
        <v>16180.70498</v>
      </c>
      <c r="K29" s="41">
        <v>20941.633010000001</v>
      </c>
      <c r="L29" s="41">
        <f t="shared" si="3"/>
        <v>20881.679509158363</v>
      </c>
      <c r="M29" s="41">
        <f t="shared" si="3"/>
        <v>20822.188912112204</v>
      </c>
      <c r="N29" s="41">
        <f t="shared" si="4"/>
        <v>20763.134087148355</v>
      </c>
      <c r="O29" s="41">
        <f t="shared" si="4"/>
        <v>20704.473878644349</v>
      </c>
      <c r="P29" s="41">
        <f t="shared" si="4"/>
        <v>20645.643486669513</v>
      </c>
      <c r="T29" s="34">
        <v>69</v>
      </c>
      <c r="U29" s="88" t="s">
        <v>342</v>
      </c>
      <c r="V29" s="41">
        <f>C29/'1. Väestöennuste'!E29*1000</f>
        <v>1974.0521645603658</v>
      </c>
      <c r="W29" s="41">
        <f>D29/'1. Väestöennuste'!F29*1000</f>
        <v>1897.5722858701583</v>
      </c>
      <c r="X29" s="41">
        <f>E29/'1. Väestöennuste'!G29*1000</f>
        <v>1825.4033926354984</v>
      </c>
      <c r="Y29" s="41">
        <f>F29/'1. Väestöennuste'!H29*1000</f>
        <v>1864.8383937316357</v>
      </c>
      <c r="Z29" s="41">
        <f>G29/'1. Väestöennuste'!I29*1000</f>
        <v>2208.1312410841651</v>
      </c>
      <c r="AA29" s="41">
        <f>H29/'1. Väestöennuste'!J29*1000</f>
        <v>2273.3468677494197</v>
      </c>
      <c r="AB29" s="41">
        <f>I29/'1. Väestöennuste'!K29*1000</f>
        <v>2675.69057189062</v>
      </c>
      <c r="AC29" s="41">
        <f>J29/'1. Väestöennuste'!L29*1000</f>
        <v>2419.7255839688951</v>
      </c>
      <c r="AD29" s="41">
        <f>K29/'1. Väestöennuste'!M29*1000</f>
        <v>3193.2956709362611</v>
      </c>
      <c r="AE29" s="41">
        <f>L29/'1. Väestöennuste'!N29*1000</f>
        <v>3229.4586311720327</v>
      </c>
      <c r="AF29" s="41">
        <f>M29/'1. Väestöennuste'!O29*1000</f>
        <v>3269.3027024826824</v>
      </c>
      <c r="AG29" s="41">
        <f>N29/'1. Väestöennuste'!P29*1000</f>
        <v>3309.3933833516662</v>
      </c>
      <c r="AH29" s="41">
        <f>O29/'1. Väestöennuste'!Q29*1000</f>
        <v>3348.0714551494743</v>
      </c>
      <c r="AI29" s="41">
        <f>P29/'1. Väestöennuste'!R29*1000</f>
        <v>3387.3082012583286</v>
      </c>
    </row>
    <row r="30" spans="1:35" x14ac:dyDescent="0.2">
      <c r="A30" s="34">
        <v>71</v>
      </c>
      <c r="B30" s="88" t="s">
        <v>343</v>
      </c>
      <c r="C30" s="46">
        <v>8203</v>
      </c>
      <c r="D30" s="46">
        <v>8049</v>
      </c>
      <c r="E30" s="46">
        <v>8927</v>
      </c>
      <c r="F30" s="46">
        <v>7721</v>
      </c>
      <c r="G30" s="70">
        <v>8045</v>
      </c>
      <c r="H30" s="41">
        <v>9032</v>
      </c>
      <c r="I30" s="165">
        <v>9261.7689500000015</v>
      </c>
      <c r="J30" s="41">
        <v>9474.1789600000011</v>
      </c>
      <c r="K30" s="41">
        <v>8631.4993800000011</v>
      </c>
      <c r="L30" s="41">
        <f t="shared" si="3"/>
        <v>8606.7883842005649</v>
      </c>
      <c r="M30" s="41">
        <f t="shared" si="3"/>
        <v>8582.2681831601512</v>
      </c>
      <c r="N30" s="41">
        <f t="shared" si="4"/>
        <v>8557.9275940180305</v>
      </c>
      <c r="O30" s="41">
        <f t="shared" si="4"/>
        <v>8533.749653687817</v>
      </c>
      <c r="P30" s="41">
        <f t="shared" si="4"/>
        <v>8509.5015689461216</v>
      </c>
      <c r="T30" s="34">
        <v>71</v>
      </c>
      <c r="U30" s="88" t="s">
        <v>343</v>
      </c>
      <c r="V30" s="41">
        <f>C30/'1. Väestöennuste'!E30*1000</f>
        <v>1144.5514162131994</v>
      </c>
      <c r="W30" s="41">
        <f>D30/'1. Väestöennuste'!F30*1000</f>
        <v>1133.9814032121724</v>
      </c>
      <c r="X30" s="41">
        <f>E30/'1. Väestöennuste'!G30*1000</f>
        <v>1280.7747489239598</v>
      </c>
      <c r="Y30" s="41">
        <f>F30/'1. Väestöennuste'!H30*1000</f>
        <v>1126.4954770936679</v>
      </c>
      <c r="Z30" s="41">
        <f>G30/'1. Väestöennuste'!I30*1000</f>
        <v>1190.4409588635692</v>
      </c>
      <c r="AA30" s="41">
        <f>H30/'1. Väestöennuste'!J30*1000</f>
        <v>1354.7322633868307</v>
      </c>
      <c r="AB30" s="41">
        <f>I30/'1. Väestöennuste'!K30*1000</f>
        <v>1400.5396869801907</v>
      </c>
      <c r="AC30" s="41">
        <f>J30/'1. Väestöennuste'!L30*1000</f>
        <v>1437.4418085267791</v>
      </c>
      <c r="AD30" s="41">
        <f>K30/'1. Väestöennuste'!M30*1000</f>
        <v>1333.4619774447706</v>
      </c>
      <c r="AE30" s="41">
        <f>L30/'1. Väestöennuste'!N30*1000</f>
        <v>1366.8077472130483</v>
      </c>
      <c r="AF30" s="41">
        <f>M30/'1. Väestöennuste'!O30*1000</f>
        <v>1381.1181498487531</v>
      </c>
      <c r="AG30" s="41">
        <f>N30/'1. Väestöennuste'!P30*1000</f>
        <v>1394.9352231488233</v>
      </c>
      <c r="AH30" s="41">
        <f>O30/'1. Väestöennuste'!Q30*1000</f>
        <v>1408.2095138098707</v>
      </c>
      <c r="AI30" s="41">
        <f>P30/'1. Väestöennuste'!R30*1000</f>
        <v>1420.6179580878334</v>
      </c>
    </row>
    <row r="31" spans="1:35" x14ac:dyDescent="0.2">
      <c r="A31" s="34">
        <v>72</v>
      </c>
      <c r="B31" s="88" t="s">
        <v>344</v>
      </c>
      <c r="C31" s="46">
        <v>3076</v>
      </c>
      <c r="D31" s="46">
        <v>2244</v>
      </c>
      <c r="E31" s="46">
        <v>3003</v>
      </c>
      <c r="F31" s="46">
        <v>2084</v>
      </c>
      <c r="G31" s="70">
        <v>709</v>
      </c>
      <c r="H31" s="41">
        <v>620</v>
      </c>
      <c r="I31" s="165">
        <v>467.65285999999998</v>
      </c>
      <c r="J31" s="41">
        <v>672.53982999999994</v>
      </c>
      <c r="K31" s="41">
        <v>854.9905500000001</v>
      </c>
      <c r="L31" s="41">
        <f t="shared" si="3"/>
        <v>852.54280981495629</v>
      </c>
      <c r="M31" s="41">
        <f t="shared" si="3"/>
        <v>850.11396874682964</v>
      </c>
      <c r="N31" s="41">
        <f t="shared" si="4"/>
        <v>847.7029190807466</v>
      </c>
      <c r="O31" s="41">
        <f t="shared" si="4"/>
        <v>845.30798054333604</v>
      </c>
      <c r="P31" s="41">
        <f t="shared" si="4"/>
        <v>842.90609387254676</v>
      </c>
      <c r="T31" s="34">
        <v>72</v>
      </c>
      <c r="U31" s="88" t="s">
        <v>344</v>
      </c>
      <c r="V31" s="41">
        <f>C31/'1. Väestöennuste'!E31*1000</f>
        <v>3097.683786505539</v>
      </c>
      <c r="W31" s="41">
        <f>D31/'1. Väestöennuste'!F31*1000</f>
        <v>2257.5452716297787</v>
      </c>
      <c r="X31" s="41">
        <f>E31/'1. Väestöennuste'!G31*1000</f>
        <v>3105.4808686659776</v>
      </c>
      <c r="Y31" s="41">
        <f>F31/'1. Väestöennuste'!H31*1000</f>
        <v>2139.6303901437373</v>
      </c>
      <c r="Z31" s="41">
        <f>G31/'1. Väestöennuste'!I31*1000</f>
        <v>739.31178310740358</v>
      </c>
      <c r="AA31" s="41">
        <f>H31/'1. Väestöennuste'!J31*1000</f>
        <v>653.31928345626977</v>
      </c>
      <c r="AB31" s="41">
        <f>I31/'1. Väestöennuste'!K31*1000</f>
        <v>492.26616842105261</v>
      </c>
      <c r="AC31" s="41">
        <f>J31/'1. Väestöennuste'!L31*1000</f>
        <v>700.56232291666663</v>
      </c>
      <c r="AD31" s="41">
        <f>K31/'1. Väestöennuste'!M31*1000</f>
        <v>901.88876582278488</v>
      </c>
      <c r="AE31" s="41">
        <f>L31/'1. Väestöennuste'!N31*1000</f>
        <v>920.67258079368935</v>
      </c>
      <c r="AF31" s="41">
        <f>M31/'1. Väestöennuste'!O31*1000</f>
        <v>924.03692255090175</v>
      </c>
      <c r="AG31" s="41">
        <f>N31/'1. Väestöennuste'!P31*1000</f>
        <v>927.46490052598097</v>
      </c>
      <c r="AH31" s="41">
        <f>O31/'1. Väestöennuste'!Q31*1000</f>
        <v>930.95592570851989</v>
      </c>
      <c r="AI31" s="41">
        <f>P31/'1. Väestöennuste'!R31*1000</f>
        <v>935.52285668429158</v>
      </c>
    </row>
    <row r="32" spans="1:35" x14ac:dyDescent="0.2">
      <c r="A32" s="34">
        <v>74</v>
      </c>
      <c r="B32" s="88" t="s">
        <v>345</v>
      </c>
      <c r="C32" s="46">
        <v>207</v>
      </c>
      <c r="D32" s="46">
        <v>11</v>
      </c>
      <c r="E32" s="46">
        <v>224</v>
      </c>
      <c r="F32" s="46">
        <v>184</v>
      </c>
      <c r="G32" s="70">
        <v>411</v>
      </c>
      <c r="H32" s="41">
        <v>349</v>
      </c>
      <c r="I32" s="165">
        <v>171.10754</v>
      </c>
      <c r="J32" s="41">
        <v>316.976</v>
      </c>
      <c r="K32" s="41">
        <v>126.72946</v>
      </c>
      <c r="L32" s="41">
        <f t="shared" si="3"/>
        <v>126.36664804626449</v>
      </c>
      <c r="M32" s="41">
        <f t="shared" si="3"/>
        <v>126.0066373806618</v>
      </c>
      <c r="N32" s="41">
        <f t="shared" si="4"/>
        <v>125.64926381411667</v>
      </c>
      <c r="O32" s="41">
        <f t="shared" si="4"/>
        <v>125.29427829108459</v>
      </c>
      <c r="P32" s="41">
        <f t="shared" si="4"/>
        <v>124.9382628932883</v>
      </c>
      <c r="T32" s="34">
        <v>74</v>
      </c>
      <c r="U32" s="88" t="s">
        <v>345</v>
      </c>
      <c r="V32" s="41">
        <f>C32/'1. Väestöennuste'!E32*1000</f>
        <v>168.9795918367347</v>
      </c>
      <c r="W32" s="41">
        <f>D32/'1. Väestöennuste'!F32*1000</f>
        <v>9.0237899917965549</v>
      </c>
      <c r="X32" s="41">
        <f>E32/'1. Väestöennuste'!G32*1000</f>
        <v>191.28949615713066</v>
      </c>
      <c r="Y32" s="41">
        <f>F32/'1. Väestöennuste'!H32*1000</f>
        <v>157.93991416309015</v>
      </c>
      <c r="Z32" s="41">
        <f>G32/'1. Väestöennuste'!I32*1000</f>
        <v>364.68500443655722</v>
      </c>
      <c r="AA32" s="41">
        <f>H32/'1. Väestöennuste'!J32*1000</f>
        <v>316.40979147778785</v>
      </c>
      <c r="AB32" s="41">
        <f>I32/'1. Väestöennuste'!K32*1000</f>
        <v>157.99403508771931</v>
      </c>
      <c r="AC32" s="41">
        <f>J32/'1. Väestöennuste'!L32*1000</f>
        <v>301.30798479087451</v>
      </c>
      <c r="AD32" s="41">
        <f>K32/'1. Väestöennuste'!M32*1000</f>
        <v>125.10311944718657</v>
      </c>
      <c r="AE32" s="41">
        <f>L32/'1. Väestöennuste'!N32*1000</f>
        <v>126.24040763862587</v>
      </c>
      <c r="AF32" s="41">
        <f>M32/'1. Väestöennuste'!O32*1000</f>
        <v>128.70953767176897</v>
      </c>
      <c r="AG32" s="41">
        <f>N32/'1. Väestöennuste'!P32*1000</f>
        <v>131.02113015027805</v>
      </c>
      <c r="AH32" s="41">
        <f>O32/'1. Väestöennuste'!Q32*1000</f>
        <v>133.29178541604745</v>
      </c>
      <c r="AI32" s="41">
        <f>P32/'1. Väestöennuste'!R32*1000</f>
        <v>135.5078773246077</v>
      </c>
    </row>
    <row r="33" spans="1:35" x14ac:dyDescent="0.2">
      <c r="A33" s="34">
        <v>75</v>
      </c>
      <c r="B33" s="88" t="s">
        <v>346</v>
      </c>
      <c r="C33" s="46">
        <v>7732</v>
      </c>
      <c r="D33" s="46">
        <v>9370</v>
      </c>
      <c r="E33" s="46">
        <v>16572</v>
      </c>
      <c r="F33" s="46">
        <v>12091</v>
      </c>
      <c r="G33" s="70">
        <v>3509</v>
      </c>
      <c r="H33" s="41">
        <v>10200</v>
      </c>
      <c r="I33" s="165">
        <v>3410.2948900000001</v>
      </c>
      <c r="J33" s="41">
        <v>426.51233000000002</v>
      </c>
      <c r="K33" s="41">
        <v>441.75</v>
      </c>
      <c r="L33" s="41">
        <f t="shared" si="3"/>
        <v>440.48532025968814</v>
      </c>
      <c r="M33" s="41">
        <f t="shared" si="3"/>
        <v>439.23040517104192</v>
      </c>
      <c r="N33" s="41">
        <f t="shared" si="4"/>
        <v>437.98468240838423</v>
      </c>
      <c r="O33" s="41">
        <f t="shared" si="4"/>
        <v>436.74728382087812</v>
      </c>
      <c r="P33" s="41">
        <f t="shared" si="4"/>
        <v>435.50629532478166</v>
      </c>
      <c r="T33" s="34">
        <v>75</v>
      </c>
      <c r="U33" s="88" t="s">
        <v>346</v>
      </c>
      <c r="V33" s="41">
        <f>C33/'1. Väestöennuste'!E33*1000</f>
        <v>370.8215433312551</v>
      </c>
      <c r="W33" s="41">
        <f>D33/'1. Väestöennuste'!F33*1000</f>
        <v>454.06086450862568</v>
      </c>
      <c r="X33" s="41">
        <f>E33/'1. Väestöennuste'!G33*1000</f>
        <v>808.66637388376512</v>
      </c>
      <c r="Y33" s="41">
        <f>F33/'1. Väestöennuste'!H33*1000</f>
        <v>596.02681652371098</v>
      </c>
      <c r="Z33" s="41">
        <f>G33/'1. Väestöennuste'!I33*1000</f>
        <v>174.48162697031475</v>
      </c>
      <c r="AA33" s="41">
        <f>H33/'1. Väestöennuste'!J33*1000</f>
        <v>513.15590883936216</v>
      </c>
      <c r="AB33" s="41">
        <f>I33/'1. Väestöennuste'!K33*1000</f>
        <v>173.09384275708049</v>
      </c>
      <c r="AC33" s="41">
        <f>J33/'1. Väestöennuste'!L33*1000</f>
        <v>21.817603457977391</v>
      </c>
      <c r="AD33" s="41">
        <f>K33/'1. Väestöennuste'!M33*1000</f>
        <v>22.614415890242654</v>
      </c>
      <c r="AE33" s="41">
        <f>L33/'1. Väestöennuste'!N33*1000</f>
        <v>23.064473780484246</v>
      </c>
      <c r="AF33" s="41">
        <f>M33/'1. Väestöennuste'!O33*1000</f>
        <v>23.222502123878709</v>
      </c>
      <c r="AG33" s="41">
        <f>N33/'1. Väestöennuste'!P33*1000</f>
        <v>23.379133255491848</v>
      </c>
      <c r="AH33" s="41">
        <f>O33/'1. Väestöennuste'!Q33*1000</f>
        <v>23.534178457855269</v>
      </c>
      <c r="AI33" s="41">
        <f>P33/'1. Väestöennuste'!R33*1000</f>
        <v>23.698443452401463</v>
      </c>
    </row>
    <row r="34" spans="1:35" x14ac:dyDescent="0.2">
      <c r="A34" s="34">
        <v>77</v>
      </c>
      <c r="B34" s="88" t="s">
        <v>347</v>
      </c>
      <c r="C34" s="46">
        <v>786</v>
      </c>
      <c r="D34" s="46">
        <v>2764</v>
      </c>
      <c r="E34" s="46">
        <v>3173</v>
      </c>
      <c r="F34" s="46">
        <v>4114</v>
      </c>
      <c r="G34" s="70">
        <v>1123</v>
      </c>
      <c r="H34" s="41">
        <v>963</v>
      </c>
      <c r="I34" s="165">
        <v>2095.2064099999998</v>
      </c>
      <c r="J34" s="41">
        <v>4054.7477799999997</v>
      </c>
      <c r="K34" s="41">
        <v>3578.4446400000002</v>
      </c>
      <c r="L34" s="41">
        <f t="shared" si="3"/>
        <v>3568.1999621549844</v>
      </c>
      <c r="M34" s="41">
        <f t="shared" si="3"/>
        <v>3558.0343839487114</v>
      </c>
      <c r="N34" s="41">
        <f t="shared" si="4"/>
        <v>3547.9432691938537</v>
      </c>
      <c r="O34" s="41">
        <f t="shared" si="4"/>
        <v>3537.9195853387209</v>
      </c>
      <c r="P34" s="41">
        <f t="shared" si="4"/>
        <v>3527.8668210327605</v>
      </c>
      <c r="T34" s="34">
        <v>77</v>
      </c>
      <c r="U34" s="88" t="s">
        <v>347</v>
      </c>
      <c r="V34" s="41">
        <f>C34/'1. Väestöennuste'!E34*1000</f>
        <v>150</v>
      </c>
      <c r="W34" s="41">
        <f>D34/'1. Väestöennuste'!F34*1000</f>
        <v>535.76274471796853</v>
      </c>
      <c r="X34" s="41">
        <f>E34/'1. Väestöennuste'!G34*1000</f>
        <v>632.19764893405056</v>
      </c>
      <c r="Y34" s="41">
        <f>F34/'1. Väestöennuste'!H34*1000</f>
        <v>832.96213808463244</v>
      </c>
      <c r="Z34" s="41">
        <f>G34/'1. Väestöennuste'!I34*1000</f>
        <v>230.35897435897436</v>
      </c>
      <c r="AA34" s="41">
        <f>H34/'1. Väestöennuste'!J34*1000</f>
        <v>201.38017565872022</v>
      </c>
      <c r="AB34" s="41">
        <f>I34/'1. Väestöennuste'!K34*1000</f>
        <v>447.40687806961341</v>
      </c>
      <c r="AC34" s="41">
        <f>J34/'1. Väestöennuste'!L34*1000</f>
        <v>881.27532710280366</v>
      </c>
      <c r="AD34" s="41">
        <f>K34/'1. Väestöennuste'!M34*1000</f>
        <v>786.64423829413067</v>
      </c>
      <c r="AE34" s="41">
        <f>L34/'1. Väestöennuste'!N34*1000</f>
        <v>798.07648449004353</v>
      </c>
      <c r="AF34" s="41">
        <f>M34/'1. Väestöennuste'!O34*1000</f>
        <v>807.909714793077</v>
      </c>
      <c r="AG34" s="41">
        <f>N34/'1. Väestöennuste'!P34*1000</f>
        <v>817.49844912300773</v>
      </c>
      <c r="AH34" s="41">
        <f>O34/'1. Väestöennuste'!Q34*1000</f>
        <v>826.8099054308766</v>
      </c>
      <c r="AI34" s="41">
        <f>P34/'1. Väestöennuste'!R34*1000</f>
        <v>836.58212497812679</v>
      </c>
    </row>
    <row r="35" spans="1:35" x14ac:dyDescent="0.2">
      <c r="A35" s="34">
        <v>78</v>
      </c>
      <c r="B35" s="88" t="s">
        <v>348</v>
      </c>
      <c r="C35" s="46">
        <v>877</v>
      </c>
      <c r="D35" s="46">
        <v>605</v>
      </c>
      <c r="E35" s="46">
        <v>1428</v>
      </c>
      <c r="F35" s="46">
        <v>2073</v>
      </c>
      <c r="G35" s="70">
        <v>2255</v>
      </c>
      <c r="H35" s="41">
        <v>2777</v>
      </c>
      <c r="I35" s="165">
        <v>1680.3771000000002</v>
      </c>
      <c r="J35" s="41">
        <v>590.37792000000002</v>
      </c>
      <c r="K35" s="41">
        <v>702.63175000000001</v>
      </c>
      <c r="L35" s="41">
        <f t="shared" ref="L35:M54" si="5">K35*L$8</f>
        <v>700.6201956386534</v>
      </c>
      <c r="M35" s="41">
        <f t="shared" si="5"/>
        <v>698.62417258299547</v>
      </c>
      <c r="N35" s="41">
        <f t="shared" si="4"/>
        <v>696.64277051227452</v>
      </c>
      <c r="O35" s="41">
        <f t="shared" si="4"/>
        <v>694.67460857682022</v>
      </c>
      <c r="P35" s="41">
        <f t="shared" si="4"/>
        <v>692.70073666116173</v>
      </c>
      <c r="T35" s="34">
        <v>78</v>
      </c>
      <c r="U35" s="88" t="s">
        <v>348</v>
      </c>
      <c r="V35" s="41">
        <f>C35/'1. Väestöennuste'!E35*1000</f>
        <v>98.939530685920587</v>
      </c>
      <c r="W35" s="41">
        <f>D35/'1. Väestöennuste'!F35*1000</f>
        <v>69.837238831813465</v>
      </c>
      <c r="X35" s="41">
        <f>E35/'1. Väestöennuste'!G35*1000</f>
        <v>167.66467065868261</v>
      </c>
      <c r="Y35" s="41">
        <f>F35/'1. Väestöennuste'!H35*1000</f>
        <v>247.40422484783386</v>
      </c>
      <c r="Z35" s="41">
        <f>G35/'1. Väestöennuste'!I35*1000</f>
        <v>275.03354067569211</v>
      </c>
      <c r="AA35" s="41">
        <f>H35/'1. Väestöennuste'!J35*1000</f>
        <v>345.31211141507089</v>
      </c>
      <c r="AB35" s="41">
        <f>I35/'1. Väestöennuste'!K35*1000</f>
        <v>210.59996240130343</v>
      </c>
      <c r="AC35" s="41">
        <f>J35/'1. Väestöennuste'!L35*1000</f>
        <v>75.380224719101122</v>
      </c>
      <c r="AD35" s="41">
        <f>K35/'1. Väestöennuste'!M35*1000</f>
        <v>91.002687475715575</v>
      </c>
      <c r="AE35" s="41">
        <f>L35/'1. Väestöennuste'!N35*1000</f>
        <v>93.8288731269122</v>
      </c>
      <c r="AF35" s="41">
        <f>M35/'1. Väestöennuste'!O35*1000</f>
        <v>95.076779066820279</v>
      </c>
      <c r="AG35" s="41">
        <f>N35/'1. Väestöennuste'!P35*1000</f>
        <v>96.274567511370165</v>
      </c>
      <c r="AH35" s="41">
        <f>O35/'1. Väestöennuste'!Q35*1000</f>
        <v>97.48450864114794</v>
      </c>
      <c r="AI35" s="41">
        <f>P35/'1. Väestöennuste'!R35*1000</f>
        <v>98.619125378866997</v>
      </c>
    </row>
    <row r="36" spans="1:35" x14ac:dyDescent="0.2">
      <c r="A36" s="34">
        <v>79</v>
      </c>
      <c r="B36" s="88" t="s">
        <v>349</v>
      </c>
      <c r="C36" s="46">
        <v>105</v>
      </c>
      <c r="D36" s="46">
        <v>1450</v>
      </c>
      <c r="E36" s="46">
        <v>1692</v>
      </c>
      <c r="F36" s="46">
        <v>889</v>
      </c>
      <c r="G36" s="70">
        <v>784</v>
      </c>
      <c r="H36" s="41">
        <v>816</v>
      </c>
      <c r="I36" s="165">
        <v>1244.4781200000002</v>
      </c>
      <c r="J36" s="41">
        <v>1220.25514</v>
      </c>
      <c r="K36" s="41">
        <v>739.29728</v>
      </c>
      <c r="L36" s="41">
        <f t="shared" si="5"/>
        <v>737.18075641859946</v>
      </c>
      <c r="M36" s="41">
        <f t="shared" si="5"/>
        <v>735.08057461516512</v>
      </c>
      <c r="N36" s="41">
        <f t="shared" si="4"/>
        <v>732.99577676555134</v>
      </c>
      <c r="O36" s="41">
        <f t="shared" si="4"/>
        <v>730.92490996301797</v>
      </c>
      <c r="P36" s="41">
        <f t="shared" si="4"/>
        <v>728.84803521559206</v>
      </c>
      <c r="T36" s="34">
        <v>79</v>
      </c>
      <c r="U36" s="88" t="s">
        <v>349</v>
      </c>
      <c r="V36" s="41">
        <f>C36/'1. Väestöennuste'!E36*1000</f>
        <v>14.391447368421053</v>
      </c>
      <c r="W36" s="41">
        <f>D36/'1. Väestöennuste'!F36*1000</f>
        <v>200.27624309392263</v>
      </c>
      <c r="X36" s="41">
        <f>E36/'1. Väestöennuste'!G36*1000</f>
        <v>236.61026429869949</v>
      </c>
      <c r="Y36" s="41">
        <f>F36/'1. Väestöennuste'!H36*1000</f>
        <v>126.67426617269878</v>
      </c>
      <c r="Z36" s="41">
        <f>G36/'1. Väestöennuste'!I36*1000</f>
        <v>113.1149906218439</v>
      </c>
      <c r="AA36" s="41">
        <f>H36/'1. Väestöennuste'!J36*1000</f>
        <v>118.79458436453632</v>
      </c>
      <c r="AB36" s="41">
        <f>I36/'1. Väestöennuste'!K36*1000</f>
        <v>183.41608253500371</v>
      </c>
      <c r="AC36" s="41">
        <f>J36/'1. Väestöennuste'!L36*1000</f>
        <v>180.69822893528803</v>
      </c>
      <c r="AD36" s="41">
        <f>K36/'1. Väestöennuste'!M36*1000</f>
        <v>110.29349246605997</v>
      </c>
      <c r="AE36" s="41">
        <f>L36/'1. Väestöennuste'!N36*1000</f>
        <v>112.44367852632695</v>
      </c>
      <c r="AF36" s="41">
        <f>M36/'1. Väestöennuste'!O36*1000</f>
        <v>113.31595107371129</v>
      </c>
      <c r="AG36" s="41">
        <f>N36/'1. Väestöennuste'!P36*1000</f>
        <v>114.13823991989277</v>
      </c>
      <c r="AH36" s="41">
        <f>O36/'1. Väestöennuste'!Q36*1000</f>
        <v>114.94337316606668</v>
      </c>
      <c r="AI36" s="41">
        <f>P36/'1. Väestöennuste'!R36*1000</f>
        <v>115.69016431993525</v>
      </c>
    </row>
    <row r="37" spans="1:35" x14ac:dyDescent="0.2">
      <c r="A37" s="34">
        <v>81</v>
      </c>
      <c r="B37" s="88" t="s">
        <v>350</v>
      </c>
      <c r="C37" s="46">
        <v>1262</v>
      </c>
      <c r="D37" s="46">
        <v>438</v>
      </c>
      <c r="E37" s="46">
        <v>1183</v>
      </c>
      <c r="F37" s="46">
        <v>355</v>
      </c>
      <c r="G37" s="70">
        <v>1267</v>
      </c>
      <c r="H37" s="41">
        <v>2356</v>
      </c>
      <c r="I37" s="165">
        <v>2774.5164799999998</v>
      </c>
      <c r="J37" s="41">
        <v>1586.28071</v>
      </c>
      <c r="K37" s="41">
        <v>165.45535999999998</v>
      </c>
      <c r="L37" s="41">
        <f t="shared" si="5"/>
        <v>164.98168022248328</v>
      </c>
      <c r="M37" s="41">
        <f t="shared" si="5"/>
        <v>164.51165774877327</v>
      </c>
      <c r="N37" s="41">
        <f t="shared" si="4"/>
        <v>164.04507821701159</v>
      </c>
      <c r="O37" s="41">
        <f t="shared" si="4"/>
        <v>163.58161646543419</v>
      </c>
      <c r="P37" s="41">
        <f t="shared" si="4"/>
        <v>163.11681013068036</v>
      </c>
      <c r="T37" s="34">
        <v>81</v>
      </c>
      <c r="U37" s="88" t="s">
        <v>350</v>
      </c>
      <c r="V37" s="41">
        <f>C37/'1. Väestöennuste'!E37*1000</f>
        <v>423.20590207914148</v>
      </c>
      <c r="W37" s="41">
        <f>D37/'1. Väestöennuste'!F37*1000</f>
        <v>149.79480164158687</v>
      </c>
      <c r="X37" s="41">
        <f>E37/'1. Väestöennuste'!G37*1000</f>
        <v>410.47883414295626</v>
      </c>
      <c r="Y37" s="41">
        <f>F37/'1. Väestöennuste'!H37*1000</f>
        <v>127.69784172661872</v>
      </c>
      <c r="Z37" s="41">
        <f>G37/'1. Väestöennuste'!I37*1000</f>
        <v>469.78123841305154</v>
      </c>
      <c r="AA37" s="41">
        <f>H37/'1. Väestöennuste'!J37*1000</f>
        <v>887.38229755178907</v>
      </c>
      <c r="AB37" s="41">
        <f>I37/'1. Väestöennuste'!K37*1000</f>
        <v>1058.5717207172834</v>
      </c>
      <c r="AC37" s="41">
        <f>J37/'1. Väestöennuste'!L37*1000</f>
        <v>616.27067210567213</v>
      </c>
      <c r="AD37" s="41">
        <f>K37/'1. Väestöennuste'!M37*1000</f>
        <v>65.371536941920183</v>
      </c>
      <c r="AE37" s="41">
        <f>L37/'1. Väestöennuste'!N37*1000</f>
        <v>68.061749266701028</v>
      </c>
      <c r="AF37" s="41">
        <f>M37/'1. Väestöennuste'!O37*1000</f>
        <v>69.180680298054369</v>
      </c>
      <c r="AG37" s="41">
        <f>N37/'1. Väestöennuste'!P37*1000</f>
        <v>70.194727521185968</v>
      </c>
      <c r="AH37" s="41">
        <f>O37/'1. Väestöennuste'!Q37*1000</f>
        <v>71.153378192881334</v>
      </c>
      <c r="AI37" s="41">
        <f>P37/'1. Väestöennuste'!R37*1000</f>
        <v>72.016251713324664</v>
      </c>
    </row>
    <row r="38" spans="1:35" x14ac:dyDescent="0.2">
      <c r="A38" s="34">
        <v>82</v>
      </c>
      <c r="B38" s="88" t="s">
        <v>351</v>
      </c>
      <c r="C38" s="46">
        <v>68</v>
      </c>
      <c r="D38" s="46">
        <v>91</v>
      </c>
      <c r="E38" s="46">
        <v>49</v>
      </c>
      <c r="F38" s="46">
        <v>400</v>
      </c>
      <c r="G38" s="70">
        <v>499</v>
      </c>
      <c r="H38" s="41">
        <v>509</v>
      </c>
      <c r="I38" s="165">
        <v>767.75731999999994</v>
      </c>
      <c r="J38" s="41">
        <v>958.20421999999996</v>
      </c>
      <c r="K38" s="41">
        <v>1833.5548700000002</v>
      </c>
      <c r="L38" s="41">
        <f t="shared" si="5"/>
        <v>1828.3056120558253</v>
      </c>
      <c r="M38" s="41">
        <f t="shared" si="5"/>
        <v>1823.0968838787485</v>
      </c>
      <c r="N38" s="41">
        <f t="shared" si="4"/>
        <v>1817.9263099384184</v>
      </c>
      <c r="O38" s="41">
        <f t="shared" si="4"/>
        <v>1812.7902868342803</v>
      </c>
      <c r="P38" s="41">
        <f t="shared" si="4"/>
        <v>1807.6393632335296</v>
      </c>
      <c r="T38" s="34">
        <v>82</v>
      </c>
      <c r="U38" s="88" t="s">
        <v>351</v>
      </c>
      <c r="V38" s="41">
        <f>C38/'1. Väestöennuste'!E38*1000</f>
        <v>6.9765055914640399</v>
      </c>
      <c r="W38" s="41">
        <f>D38/'1. Väestöennuste'!F38*1000</f>
        <v>9.3988845279900861</v>
      </c>
      <c r="X38" s="41">
        <f>E38/'1. Väestöennuste'!G38*1000</f>
        <v>5.0988553590010408</v>
      </c>
      <c r="Y38" s="41">
        <f>F38/'1. Väestöennuste'!H38*1000</f>
        <v>42.21635883905013</v>
      </c>
      <c r="Z38" s="41">
        <f>G38/'1. Väestöennuste'!I38*1000</f>
        <v>52.961154744215662</v>
      </c>
      <c r="AA38" s="41">
        <f>H38/'1. Väestöennuste'!J38*1000</f>
        <v>54.212376184897224</v>
      </c>
      <c r="AB38" s="41">
        <f>I38/'1. Väestöennuste'!K38*1000</f>
        <v>81.632888888888886</v>
      </c>
      <c r="AC38" s="41">
        <f>J38/'1. Väestöennuste'!L38*1000</f>
        <v>102.38318410086548</v>
      </c>
      <c r="AD38" s="41">
        <f>K38/'1. Väestöennuste'!M38*1000</f>
        <v>195.66266887205208</v>
      </c>
      <c r="AE38" s="41">
        <f>L38/'1. Väestöennuste'!N38*1000</f>
        <v>199.22693822118615</v>
      </c>
      <c r="AF38" s="41">
        <f>M38/'1. Väestöennuste'!O38*1000</f>
        <v>199.85714578806716</v>
      </c>
      <c r="AG38" s="41">
        <f>N38/'1. Väestöennuste'!P38*1000</f>
        <v>200.5213225169224</v>
      </c>
      <c r="AH38" s="41">
        <f>O38/'1. Väestöennuste'!Q38*1000</f>
        <v>201.21992305852817</v>
      </c>
      <c r="AI38" s="41">
        <f>P38/'1. Väestöennuste'!R38*1000</f>
        <v>201.92575549972406</v>
      </c>
    </row>
    <row r="39" spans="1:35" x14ac:dyDescent="0.2">
      <c r="A39" s="34">
        <v>86</v>
      </c>
      <c r="B39" s="88" t="s">
        <v>352</v>
      </c>
      <c r="C39" s="46">
        <v>6379</v>
      </c>
      <c r="D39" s="46">
        <v>3316</v>
      </c>
      <c r="E39" s="46">
        <v>2103</v>
      </c>
      <c r="F39" s="46">
        <v>487</v>
      </c>
      <c r="G39" s="70">
        <v>2665</v>
      </c>
      <c r="H39" s="41">
        <v>8200</v>
      </c>
      <c r="I39" s="165">
        <v>6952.6187300000001</v>
      </c>
      <c r="J39" s="41">
        <v>4074.7094099999999</v>
      </c>
      <c r="K39" s="41">
        <v>3841.0974999999999</v>
      </c>
      <c r="L39" s="41">
        <f t="shared" si="5"/>
        <v>3830.1008770485282</v>
      </c>
      <c r="M39" s="41">
        <f t="shared" si="5"/>
        <v>3819.1891595392781</v>
      </c>
      <c r="N39" s="41">
        <f t="shared" si="4"/>
        <v>3808.3573709952202</v>
      </c>
      <c r="O39" s="41">
        <f t="shared" si="4"/>
        <v>3797.5979626851504</v>
      </c>
      <c r="P39" s="41">
        <f t="shared" si="4"/>
        <v>3786.8073394596045</v>
      </c>
      <c r="T39" s="34">
        <v>86</v>
      </c>
      <c r="U39" s="88" t="s">
        <v>352</v>
      </c>
      <c r="V39" s="41">
        <f>C39/'1. Väestöennuste'!E39*1000</f>
        <v>730.78244930690801</v>
      </c>
      <c r="W39" s="41">
        <f>D39/'1. Väestöennuste'!F39*1000</f>
        <v>383.75188056937856</v>
      </c>
      <c r="X39" s="41">
        <f>E39/'1. Väestöennuste'!G39*1000</f>
        <v>247.2953904045155</v>
      </c>
      <c r="Y39" s="41">
        <f>F39/'1. Väestöennuste'!H39*1000</f>
        <v>57.859094689319235</v>
      </c>
      <c r="Z39" s="41">
        <f>G39/'1. Väestöennuste'!I39*1000</f>
        <v>322.63922518159802</v>
      </c>
      <c r="AA39" s="41">
        <f>H39/'1. Väestöennuste'!J39*1000</f>
        <v>1003.0581039755351</v>
      </c>
      <c r="AB39" s="41">
        <f>I39/'1. Väestöennuste'!K39*1000</f>
        <v>853.8153911334889</v>
      </c>
      <c r="AC39" s="41">
        <f>J39/'1. Väestöennuste'!L39*1000</f>
        <v>507.37260739633916</v>
      </c>
      <c r="AD39" s="41">
        <f>K39/'1. Väestöennuste'!M39*1000</f>
        <v>480.2572518129532</v>
      </c>
      <c r="AE39" s="41">
        <f>L39/'1. Väestöennuste'!N39*1000</f>
        <v>490.47264400672663</v>
      </c>
      <c r="AF39" s="41">
        <f>M39/'1. Väestöennuste'!O39*1000</f>
        <v>494.00972183925467</v>
      </c>
      <c r="AG39" s="41">
        <f>N39/'1. Väestöennuste'!P39*1000</f>
        <v>497.23950528727249</v>
      </c>
      <c r="AH39" s="41">
        <f>O39/'1. Väestöennuste'!Q39*1000</f>
        <v>500.21047980573627</v>
      </c>
      <c r="AI39" s="41">
        <f>P39/'1. Väestöennuste'!R39*1000</f>
        <v>503.23021122386768</v>
      </c>
    </row>
    <row r="40" spans="1:35" x14ac:dyDescent="0.2">
      <c r="A40" s="34">
        <v>90</v>
      </c>
      <c r="B40" s="88" t="s">
        <v>353</v>
      </c>
      <c r="C40" s="46">
        <v>3889</v>
      </c>
      <c r="D40" s="46">
        <v>4678</v>
      </c>
      <c r="E40" s="46">
        <v>6034</v>
      </c>
      <c r="F40" s="46">
        <v>6266</v>
      </c>
      <c r="G40" s="70">
        <v>5794</v>
      </c>
      <c r="H40" s="41">
        <v>4933</v>
      </c>
      <c r="I40" s="165">
        <v>4807.7637599999998</v>
      </c>
      <c r="J40" s="41">
        <v>3465.9079300000003</v>
      </c>
      <c r="K40" s="41">
        <v>3380.9147799999996</v>
      </c>
      <c r="L40" s="41">
        <f t="shared" si="5"/>
        <v>3371.2356075586031</v>
      </c>
      <c r="M40" s="41">
        <f t="shared" si="5"/>
        <v>3361.6311684621705</v>
      </c>
      <c r="N40" s="41">
        <f t="shared" si="4"/>
        <v>3352.0970824405481</v>
      </c>
      <c r="O40" s="41">
        <f t="shared" si="4"/>
        <v>3342.6267051383397</v>
      </c>
      <c r="P40" s="41">
        <f t="shared" si="4"/>
        <v>3333.12885262388</v>
      </c>
      <c r="T40" s="34">
        <v>90</v>
      </c>
      <c r="U40" s="88" t="s">
        <v>353</v>
      </c>
      <c r="V40" s="41">
        <f>C40/'1. Väestöennuste'!E40*1000</f>
        <v>1088.1365416899832</v>
      </c>
      <c r="W40" s="41">
        <f>D40/'1. Väestöennuste'!F40*1000</f>
        <v>1331.2464428002277</v>
      </c>
      <c r="X40" s="41">
        <f>E40/'1. Väestöennuste'!G40*1000</f>
        <v>1746.4544138929089</v>
      </c>
      <c r="Y40" s="41">
        <f>F40/'1. Väestöennuste'!H40*1000</f>
        <v>1882.2469209972965</v>
      </c>
      <c r="Z40" s="41">
        <f>G40/'1. Väestöennuste'!I40*1000</f>
        <v>1780.5777504609712</v>
      </c>
      <c r="AA40" s="41">
        <f>H40/'1. Väestöennuste'!J40*1000</f>
        <v>1543.4918648310388</v>
      </c>
      <c r="AB40" s="41">
        <f>I40/'1. Väestöennuste'!K40*1000</f>
        <v>1533.0879336734693</v>
      </c>
      <c r="AC40" s="41">
        <f>J40/'1. Väestöennuste'!L40*1000</f>
        <v>1132.2796243057824</v>
      </c>
      <c r="AD40" s="41">
        <f>K40/'1. Väestöennuste'!M40*1000</f>
        <v>1126.5960613128955</v>
      </c>
      <c r="AE40" s="41">
        <f>L40/'1. Väestöennuste'!N40*1000</f>
        <v>1141.2442815025738</v>
      </c>
      <c r="AF40" s="41">
        <f>M40/'1. Väestöennuste'!O40*1000</f>
        <v>1157.9852457671961</v>
      </c>
      <c r="AG40" s="41">
        <f>N40/'1. Väestöennuste'!P40*1000</f>
        <v>1174.1145647777751</v>
      </c>
      <c r="AH40" s="41">
        <f>O40/'1. Väestöennuste'!Q40*1000</f>
        <v>1191.2425891440982</v>
      </c>
      <c r="AI40" s="41">
        <f>P40/'1. Väestöennuste'!R40*1000</f>
        <v>1208.5311285800869</v>
      </c>
    </row>
    <row r="41" spans="1:35" x14ac:dyDescent="0.2">
      <c r="A41" s="34">
        <v>91</v>
      </c>
      <c r="B41" s="88" t="s">
        <v>354</v>
      </c>
      <c r="C41" s="46">
        <v>1186260</v>
      </c>
      <c r="D41" s="46">
        <v>1119863</v>
      </c>
      <c r="E41" s="46">
        <v>1316561</v>
      </c>
      <c r="F41" s="46">
        <v>1241418</v>
      </c>
      <c r="G41" s="70">
        <v>1112045</v>
      </c>
      <c r="H41" s="41">
        <v>1320170</v>
      </c>
      <c r="I41" s="165">
        <v>1147909.67181</v>
      </c>
      <c r="J41" s="41">
        <v>1405574.64729</v>
      </c>
      <c r="K41" s="41">
        <v>1138526.38491</v>
      </c>
      <c r="L41" s="41">
        <f t="shared" si="5"/>
        <v>1135266.9140490917</v>
      </c>
      <c r="M41" s="41">
        <f t="shared" si="5"/>
        <v>1132032.6097157688</v>
      </c>
      <c r="N41" s="41">
        <f t="shared" si="4"/>
        <v>1128821.9968497388</v>
      </c>
      <c r="O41" s="41">
        <f t="shared" si="4"/>
        <v>1125632.8379577724</v>
      </c>
      <c r="P41" s="41">
        <f t="shared" si="4"/>
        <v>1122434.4267609969</v>
      </c>
      <c r="T41" s="34">
        <v>91</v>
      </c>
      <c r="U41" s="88" t="s">
        <v>354</v>
      </c>
      <c r="V41" s="41">
        <f>C41/'1. Väestöennuste'!E41*1000</f>
        <v>1888.3236125614446</v>
      </c>
      <c r="W41" s="41">
        <f>D41/'1. Väestöennuste'!F41*1000</f>
        <v>1763.0612376629654</v>
      </c>
      <c r="X41" s="41">
        <f>E41/'1. Väestöennuste'!G41*1000</f>
        <v>2046.6629979231179</v>
      </c>
      <c r="Y41" s="41">
        <f>F41/'1. Väestöennuste'!H41*1000</f>
        <v>1915.6443563843084</v>
      </c>
      <c r="Z41" s="41">
        <f>G41/'1. Väestöennuste'!I41*1000</f>
        <v>1700.8037195928637</v>
      </c>
      <c r="AA41" s="41">
        <f>H41/'1. Väestöennuste'!J41*1000</f>
        <v>2009.6358765146442</v>
      </c>
      <c r="AB41" s="41">
        <f>I41/'1. Väestöennuste'!K41*1000</f>
        <v>1743.3327792247633</v>
      </c>
      <c r="AC41" s="41">
        <f>J41/'1. Väestöennuste'!L41*1000</f>
        <v>2116.7400279656881</v>
      </c>
      <c r="AD41" s="41">
        <f>K41/'1. Väestöennuste'!M41*1000</f>
        <v>1687.9560932690883</v>
      </c>
      <c r="AE41" s="41">
        <f>L41/'1. Väestöennuste'!N41*1000</f>
        <v>1674.6251625171174</v>
      </c>
      <c r="AF41" s="41">
        <f>M41/'1. Väestöennuste'!O41*1000</f>
        <v>1658.5124651726353</v>
      </c>
      <c r="AG41" s="41">
        <f>N41/'1. Väestöennuste'!P41*1000</f>
        <v>1642.9911474802364</v>
      </c>
      <c r="AH41" s="41">
        <f>O41/'1. Väestöennuste'!Q41*1000</f>
        <v>1628.0439425367188</v>
      </c>
      <c r="AI41" s="41">
        <f>P41/'1. Väestöennuste'!R41*1000</f>
        <v>1613.6228297639832</v>
      </c>
    </row>
    <row r="42" spans="1:35" x14ac:dyDescent="0.2">
      <c r="A42" s="34">
        <v>92</v>
      </c>
      <c r="B42" s="88" t="s">
        <v>355</v>
      </c>
      <c r="C42" s="46">
        <v>138139</v>
      </c>
      <c r="D42" s="46">
        <v>193409</v>
      </c>
      <c r="E42" s="46">
        <v>213493</v>
      </c>
      <c r="F42" s="46">
        <v>140018</v>
      </c>
      <c r="G42" s="70">
        <v>124665</v>
      </c>
      <c r="H42" s="41">
        <v>128195</v>
      </c>
      <c r="I42" s="165">
        <v>142789.64353</v>
      </c>
      <c r="J42" s="41">
        <v>133093.24009000001</v>
      </c>
      <c r="K42" s="41">
        <v>116043.93962</v>
      </c>
      <c r="L42" s="41">
        <f t="shared" si="5"/>
        <v>115711.71908933019</v>
      </c>
      <c r="M42" s="41">
        <f t="shared" si="5"/>
        <v>115382.06364897911</v>
      </c>
      <c r="N42" s="41">
        <f t="shared" si="4"/>
        <v>115054.82295389568</v>
      </c>
      <c r="O42" s="41">
        <f t="shared" si="4"/>
        <v>114729.76894829425</v>
      </c>
      <c r="P42" s="41">
        <f t="shared" si="4"/>
        <v>114403.77190446826</v>
      </c>
      <c r="T42" s="34">
        <v>92</v>
      </c>
      <c r="U42" s="88" t="s">
        <v>355</v>
      </c>
      <c r="V42" s="41">
        <f>C42/'1. Väestöennuste'!E42*1000</f>
        <v>643.68956920854589</v>
      </c>
      <c r="W42" s="41">
        <f>D42/'1. Väestöennuste'!F42*1000</f>
        <v>881.77312951067051</v>
      </c>
      <c r="X42" s="41">
        <f>E42/'1. Väestöennuste'!G42*1000</f>
        <v>957.251812560811</v>
      </c>
      <c r="Y42" s="41">
        <f>F42/'1. Väestöennuste'!H42*1000</f>
        <v>613.66724227097814</v>
      </c>
      <c r="Z42" s="41">
        <f>G42/'1. Väestöennuste'!I42*1000</f>
        <v>533.26916907282634</v>
      </c>
      <c r="AA42" s="41">
        <f>H42/'1. Väestöennuste'!J42*1000</f>
        <v>540.38047304104441</v>
      </c>
      <c r="AB42" s="41">
        <f>I42/'1. Väestöennuste'!K42*1000</f>
        <v>596.93169707281595</v>
      </c>
      <c r="AC42" s="41">
        <f>J42/'1. Väestöennuste'!L42*1000</f>
        <v>548.11707522887423</v>
      </c>
      <c r="AD42" s="41">
        <f>K42/'1. Väestöennuste'!M42*1000</f>
        <v>468.97240827180406</v>
      </c>
      <c r="AE42" s="41">
        <f>L42/'1. Väestöennuste'!N42*1000</f>
        <v>459.62581862042879</v>
      </c>
      <c r="AF42" s="41">
        <f>M42/'1. Väestöennuste'!O42*1000</f>
        <v>452.6047003243221</v>
      </c>
      <c r="AG42" s="41">
        <f>N42/'1. Väestöennuste'!P42*1000</f>
        <v>446.01116029328</v>
      </c>
      <c r="AH42" s="41">
        <f>O42/'1. Väestöennuste'!Q42*1000</f>
        <v>439.81526015316422</v>
      </c>
      <c r="AI42" s="41">
        <f>P42/'1. Väestöennuste'!R42*1000</f>
        <v>433.96569320118147</v>
      </c>
    </row>
    <row r="43" spans="1:35" x14ac:dyDescent="0.2">
      <c r="A43" s="34">
        <v>97</v>
      </c>
      <c r="B43" s="88" t="s">
        <v>356</v>
      </c>
      <c r="C43" s="46">
        <v>6255</v>
      </c>
      <c r="D43" s="46">
        <v>6411</v>
      </c>
      <c r="E43" s="46">
        <v>8304</v>
      </c>
      <c r="F43" s="46">
        <v>10624</v>
      </c>
      <c r="G43" s="70">
        <v>12112</v>
      </c>
      <c r="H43" s="41">
        <v>11619</v>
      </c>
      <c r="I43" s="165">
        <v>11530.32562</v>
      </c>
      <c r="J43" s="41">
        <v>11811.458929999999</v>
      </c>
      <c r="K43" s="41">
        <v>11617.184650000001</v>
      </c>
      <c r="L43" s="41">
        <f t="shared" si="5"/>
        <v>11583.925978655763</v>
      </c>
      <c r="M43" s="41">
        <f t="shared" si="5"/>
        <v>11550.924099074837</v>
      </c>
      <c r="N43" s="41">
        <f t="shared" si="4"/>
        <v>11518.16396018066</v>
      </c>
      <c r="O43" s="41">
        <f t="shared" si="4"/>
        <v>11485.622731257721</v>
      </c>
      <c r="P43" s="41">
        <f t="shared" si="4"/>
        <v>11452.987094568014</v>
      </c>
      <c r="T43" s="34">
        <v>97</v>
      </c>
      <c r="U43" s="88" t="s">
        <v>356</v>
      </c>
      <c r="V43" s="41">
        <f>C43/'1. Väestöennuste'!E43*1000</f>
        <v>2731.4410480349343</v>
      </c>
      <c r="W43" s="41">
        <f>D43/'1. Väestöennuste'!F43*1000</f>
        <v>2819.2612137203164</v>
      </c>
      <c r="X43" s="41">
        <f>E43/'1. Väestöennuste'!G43*1000</f>
        <v>3713.7745974955278</v>
      </c>
      <c r="Y43" s="41">
        <f>F43/'1. Väestöennuste'!H43*1000</f>
        <v>4936.8029739776948</v>
      </c>
      <c r="Z43" s="41">
        <f>G43/'1. Väestöennuste'!I43*1000</f>
        <v>5670.4119850187262</v>
      </c>
      <c r="AA43" s="41">
        <f>H43/'1. Väestöennuste'!J43*1000</f>
        <v>5389.1465677179967</v>
      </c>
      <c r="AB43" s="41">
        <f>I43/'1. Väestöennuste'!K43*1000</f>
        <v>5410.7581511027684</v>
      </c>
      <c r="AC43" s="41">
        <f>J43/'1. Väestöennuste'!L43*1000</f>
        <v>5648.7130224772827</v>
      </c>
      <c r="AD43" s="41">
        <f>K43/'1. Väestöennuste'!M43*1000</f>
        <v>5633.9401794374398</v>
      </c>
      <c r="AE43" s="41">
        <f>L43/'1. Väestöennuste'!N43*1000</f>
        <v>5518.7832199408113</v>
      </c>
      <c r="AF43" s="41">
        <f>M43/'1. Väestöennuste'!O43*1000</f>
        <v>5537.3557521931143</v>
      </c>
      <c r="AG43" s="41">
        <f>N43/'1. Väestöennuste'!P43*1000</f>
        <v>5553.5988236165194</v>
      </c>
      <c r="AH43" s="41">
        <f>O43/'1. Väestöennuste'!Q43*1000</f>
        <v>5564.739695376803</v>
      </c>
      <c r="AI43" s="41">
        <f>P43/'1. Väestöennuste'!R43*1000</f>
        <v>5581.3777263976681</v>
      </c>
    </row>
    <row r="44" spans="1:35" x14ac:dyDescent="0.2">
      <c r="A44" s="34">
        <v>98</v>
      </c>
      <c r="B44" s="88" t="s">
        <v>357</v>
      </c>
      <c r="C44" s="46">
        <v>23365</v>
      </c>
      <c r="D44" s="46">
        <v>25693</v>
      </c>
      <c r="E44" s="46">
        <v>14584</v>
      </c>
      <c r="F44" s="46">
        <v>9620</v>
      </c>
      <c r="G44" s="70">
        <v>9812</v>
      </c>
      <c r="H44" s="41">
        <v>18043</v>
      </c>
      <c r="I44" s="165">
        <v>15670.413339999999</v>
      </c>
      <c r="J44" s="41">
        <v>14779.61686</v>
      </c>
      <c r="K44" s="41">
        <v>28685.143379999998</v>
      </c>
      <c r="L44" s="41">
        <f t="shared" si="5"/>
        <v>28603.021094361906</v>
      </c>
      <c r="M44" s="41">
        <f t="shared" si="5"/>
        <v>28521.532878747774</v>
      </c>
      <c r="N44" s="41">
        <f t="shared" si="4"/>
        <v>28440.641569050964</v>
      </c>
      <c r="O44" s="41">
        <f t="shared" si="4"/>
        <v>28360.290791686341</v>
      </c>
      <c r="P44" s="41">
        <f t="shared" si="4"/>
        <v>28279.706902736805</v>
      </c>
      <c r="T44" s="34">
        <v>98</v>
      </c>
      <c r="U44" s="88" t="s">
        <v>357</v>
      </c>
      <c r="V44" s="41">
        <f>C44/'1. Väestöennuste'!E44*1000</f>
        <v>977.00188166422754</v>
      </c>
      <c r="W44" s="41">
        <f>D44/'1. Väestöennuste'!F44*1000</f>
        <v>1079.9461981421546</v>
      </c>
      <c r="X44" s="41">
        <f>E44/'1. Väestöennuste'!G44*1000</f>
        <v>613.23690185854855</v>
      </c>
      <c r="Y44" s="41">
        <f>F44/'1. Väestöennuste'!H44*1000</f>
        <v>407.59257690026266</v>
      </c>
      <c r="Z44" s="41">
        <f>G44/'1. Väestöennuste'!I44*1000</f>
        <v>419.13712088850917</v>
      </c>
      <c r="AA44" s="41">
        <f>H44/'1. Väestöennuste'!J44*1000</f>
        <v>776.00963399423688</v>
      </c>
      <c r="AB44" s="41">
        <f>I44/'1. Väestöennuste'!K44*1000</f>
        <v>678.66666695539186</v>
      </c>
      <c r="AC44" s="41">
        <f>J44/'1. Väestöennuste'!L44*1000</f>
        <v>644.18850455476615</v>
      </c>
      <c r="AD44" s="41">
        <f>K44/'1. Väestöennuste'!M44*1000</f>
        <v>1253.4473838759011</v>
      </c>
      <c r="AE44" s="41">
        <f>L44/'1. Väestöennuste'!N44*1000</f>
        <v>1258.1051723933101</v>
      </c>
      <c r="AF44" s="41">
        <f>M44/'1. Väestöennuste'!O44*1000</f>
        <v>1262.182275467884</v>
      </c>
      <c r="AG44" s="41">
        <f>N44/'1. Väestöennuste'!P44*1000</f>
        <v>1266.2233012355177</v>
      </c>
      <c r="AH44" s="41">
        <f>O44/'1. Väestöennuste'!Q44*1000</f>
        <v>1269.8827202653624</v>
      </c>
      <c r="AI44" s="41">
        <f>P44/'1. Väestöennuste'!R44*1000</f>
        <v>1273.8032927677493</v>
      </c>
    </row>
    <row r="45" spans="1:35" x14ac:dyDescent="0.2">
      <c r="A45" s="34">
        <v>102</v>
      </c>
      <c r="B45" s="88" t="s">
        <v>359</v>
      </c>
      <c r="C45" s="46">
        <v>3330</v>
      </c>
      <c r="D45" s="46">
        <v>4385</v>
      </c>
      <c r="E45" s="46">
        <v>6159</v>
      </c>
      <c r="F45" s="46">
        <v>5710</v>
      </c>
      <c r="G45" s="70">
        <v>3523</v>
      </c>
      <c r="H45" s="41">
        <v>8968</v>
      </c>
      <c r="I45" s="165">
        <v>6959.2386100000003</v>
      </c>
      <c r="J45" s="41">
        <v>6145.5784100000001</v>
      </c>
      <c r="K45" s="41">
        <v>4226.1045000000004</v>
      </c>
      <c r="L45" s="41">
        <f t="shared" si="5"/>
        <v>4214.0056460292235</v>
      </c>
      <c r="M45" s="41">
        <f t="shared" si="5"/>
        <v>4202.0002078781299</v>
      </c>
      <c r="N45" s="41">
        <f t="shared" si="4"/>
        <v>4190.0827102595222</v>
      </c>
      <c r="O45" s="41">
        <f t="shared" si="4"/>
        <v>4178.2448478057513</v>
      </c>
      <c r="P45" s="41">
        <f t="shared" si="4"/>
        <v>4166.3726416533991</v>
      </c>
      <c r="T45" s="34">
        <v>102</v>
      </c>
      <c r="U45" s="88" t="s">
        <v>359</v>
      </c>
      <c r="V45" s="41">
        <f>C45/'1. Väestöennuste'!E45*1000</f>
        <v>317.9604697794328</v>
      </c>
      <c r="W45" s="41">
        <f>D45/'1. Väestöennuste'!F45*1000</f>
        <v>421.51302508891666</v>
      </c>
      <c r="X45" s="41">
        <f>E45/'1. Väestöennuste'!G45*1000</f>
        <v>603.40942490447731</v>
      </c>
      <c r="Y45" s="41">
        <f>F45/'1. Väestöennuste'!H45*1000</f>
        <v>565.85075810127842</v>
      </c>
      <c r="Z45" s="41">
        <f>G45/'1. Väestöennuste'!I45*1000</f>
        <v>350.75667064914381</v>
      </c>
      <c r="AA45" s="41">
        <f>H45/'1. Väestöennuste'!J45*1000</f>
        <v>902.48565965583168</v>
      </c>
      <c r="AB45" s="41">
        <f>I45/'1. Väestöennuste'!K45*1000</f>
        <v>705.09003140830805</v>
      </c>
      <c r="AC45" s="41">
        <f>J45/'1. Väestöennuste'!L45*1000</f>
        <v>630.63913904566448</v>
      </c>
      <c r="AD45" s="41">
        <f>K45/'1. Väestöennuste'!M45*1000</f>
        <v>438.11989425668673</v>
      </c>
      <c r="AE45" s="41">
        <f>L45/'1. Väestöennuste'!N45*1000</f>
        <v>442.04402035342741</v>
      </c>
      <c r="AF45" s="41">
        <f>M45/'1. Väestöennuste'!O45*1000</f>
        <v>444.98572570985175</v>
      </c>
      <c r="AG45" s="41">
        <f>N45/'1. Väestöennuste'!P45*1000</f>
        <v>447.89767079203875</v>
      </c>
      <c r="AH45" s="41">
        <f>O45/'1. Väestöennuste'!Q45*1000</f>
        <v>450.58178020120255</v>
      </c>
      <c r="AI45" s="41">
        <f>P45/'1. Väestöennuste'!R45*1000</f>
        <v>453.21142626491883</v>
      </c>
    </row>
    <row r="46" spans="1:35" x14ac:dyDescent="0.2">
      <c r="A46" s="34">
        <v>103</v>
      </c>
      <c r="B46" s="88" t="s">
        <v>360</v>
      </c>
      <c r="C46" s="46">
        <v>222</v>
      </c>
      <c r="D46" s="46">
        <v>189</v>
      </c>
      <c r="E46" s="46">
        <v>102</v>
      </c>
      <c r="F46" s="46">
        <v>474</v>
      </c>
      <c r="G46" s="70">
        <v>766</v>
      </c>
      <c r="H46" s="41">
        <v>683</v>
      </c>
      <c r="I46" s="165">
        <v>1620.0979499999999</v>
      </c>
      <c r="J46" s="41">
        <v>648.18998999999997</v>
      </c>
      <c r="K46" s="41">
        <v>326.50056999999998</v>
      </c>
      <c r="L46" s="41">
        <f t="shared" si="5"/>
        <v>325.56583620016005</v>
      </c>
      <c r="M46" s="41">
        <f t="shared" si="5"/>
        <v>324.63831952388483</v>
      </c>
      <c r="N46" s="41">
        <f t="shared" si="4"/>
        <v>323.71759696119165</v>
      </c>
      <c r="O46" s="41">
        <f t="shared" si="4"/>
        <v>322.80302685561622</v>
      </c>
      <c r="P46" s="41">
        <f t="shared" si="4"/>
        <v>321.88580342304363</v>
      </c>
      <c r="T46" s="34">
        <v>103</v>
      </c>
      <c r="U46" s="88" t="s">
        <v>360</v>
      </c>
      <c r="V46" s="41">
        <f>C46/'1. Väestöennuste'!E46*1000</f>
        <v>92.964824120603012</v>
      </c>
      <c r="W46" s="41">
        <f>D46/'1. Väestöennuste'!F46*1000</f>
        <v>80.597014925373131</v>
      </c>
      <c r="X46" s="41">
        <f>E46/'1. Väestöennuste'!G46*1000</f>
        <v>44.5414847161572</v>
      </c>
      <c r="Y46" s="41">
        <f>F46/'1. Väestöennuste'!H46*1000</f>
        <v>212.08053691275165</v>
      </c>
      <c r="Z46" s="41">
        <f>G46/'1. Väestöennuste'!I46*1000</f>
        <v>350.7326007326007</v>
      </c>
      <c r="AA46" s="41">
        <f>H46/'1. Väestöennuste'!J46*1000</f>
        <v>314.16743330266786</v>
      </c>
      <c r="AB46" s="41">
        <f>I46/'1. Väestöennuste'!K46*1000</f>
        <v>747.96765927977833</v>
      </c>
      <c r="AC46" s="41">
        <f>J46/'1. Väestöennuste'!L46*1000</f>
        <v>299.94909301249419</v>
      </c>
      <c r="AD46" s="41">
        <f>K46/'1. Väestöennuste'!M46*1000</f>
        <v>153.64732705882352</v>
      </c>
      <c r="AE46" s="41">
        <f>L46/'1. Väestöennuste'!N46*1000</f>
        <v>156.22161046072938</v>
      </c>
      <c r="AF46" s="41">
        <f>M46/'1. Väestöennuste'!O46*1000</f>
        <v>157.28600752126204</v>
      </c>
      <c r="AG46" s="41">
        <f>N46/'1. Väestöennuste'!P46*1000</f>
        <v>158.5296752993103</v>
      </c>
      <c r="AH46" s="41">
        <f>O46/'1. Väestöennuste'!Q46*1000</f>
        <v>159.72440715270471</v>
      </c>
      <c r="AI46" s="41">
        <f>P46/'1. Väestöennuste'!R46*1000</f>
        <v>160.70184893811464</v>
      </c>
    </row>
    <row r="47" spans="1:35" x14ac:dyDescent="0.2">
      <c r="A47" s="34">
        <v>105</v>
      </c>
      <c r="B47" s="88" t="s">
        <v>361</v>
      </c>
      <c r="C47" s="46">
        <v>1150</v>
      </c>
      <c r="D47" s="46">
        <v>208</v>
      </c>
      <c r="E47" s="46">
        <v>984</v>
      </c>
      <c r="F47" s="46">
        <v>1635</v>
      </c>
      <c r="G47" s="70">
        <v>1331</v>
      </c>
      <c r="H47" s="41">
        <v>2115</v>
      </c>
      <c r="I47" s="165">
        <v>1396.3726100000001</v>
      </c>
      <c r="J47" s="41">
        <v>1444.3465800000001</v>
      </c>
      <c r="K47" s="41">
        <v>2244.6239</v>
      </c>
      <c r="L47" s="41">
        <f t="shared" si="5"/>
        <v>2238.1977984245618</v>
      </c>
      <c r="M47" s="41">
        <f t="shared" si="5"/>
        <v>2231.8213130811641</v>
      </c>
      <c r="N47" s="41">
        <f t="shared" si="4"/>
        <v>2225.4915358636531</v>
      </c>
      <c r="O47" s="41">
        <f t="shared" si="4"/>
        <v>2219.2040555165281</v>
      </c>
      <c r="P47" s="41">
        <f t="shared" si="4"/>
        <v>2212.8983340949931</v>
      </c>
      <c r="T47" s="34">
        <v>105</v>
      </c>
      <c r="U47" s="88" t="s">
        <v>361</v>
      </c>
      <c r="V47" s="41">
        <f>C47/'1. Väestöennuste'!E47*1000</f>
        <v>474.81420313790255</v>
      </c>
      <c r="W47" s="41">
        <f>D47/'1. Väestöennuste'!F47*1000</f>
        <v>86.450540315876964</v>
      </c>
      <c r="X47" s="41">
        <f>E47/'1. Väestöennuste'!G47*1000</f>
        <v>423.04385210662082</v>
      </c>
      <c r="Y47" s="41">
        <f>F47/'1. Väestöennuste'!H47*1000</f>
        <v>714.91036292085698</v>
      </c>
      <c r="Z47" s="41">
        <f>G47/'1. Väestöennuste'!I47*1000</f>
        <v>586.08542492294146</v>
      </c>
      <c r="AA47" s="41">
        <f>H47/'1. Väestöennuste'!J47*1000</f>
        <v>961.80081855388812</v>
      </c>
      <c r="AB47" s="41">
        <f>I47/'1. Väestöennuste'!K47*1000</f>
        <v>652.81561944834039</v>
      </c>
      <c r="AC47" s="41">
        <f>J47/'1. Väestöennuste'!L47*1000</f>
        <v>689.75481375358174</v>
      </c>
      <c r="AD47" s="41">
        <f>K47/'1. Väestöennuste'!M47*1000</f>
        <v>1088.0387300048474</v>
      </c>
      <c r="AE47" s="41">
        <f>L47/'1. Väestöennuste'!N47*1000</f>
        <v>1096.0811941354366</v>
      </c>
      <c r="AF47" s="41">
        <f>M47/'1. Väestöennuste'!O47*1000</f>
        <v>1110.9115545451289</v>
      </c>
      <c r="AG47" s="41">
        <f>N47/'1. Väestöennuste'!P47*1000</f>
        <v>1126.2608987164235</v>
      </c>
      <c r="AH47" s="41">
        <f>O47/'1. Väestöennuste'!Q47*1000</f>
        <v>1140.9789488516856</v>
      </c>
      <c r="AI47" s="41">
        <f>P47/'1. Väestöennuste'!R47*1000</f>
        <v>1154.9573768763014</v>
      </c>
    </row>
    <row r="48" spans="1:35" x14ac:dyDescent="0.2">
      <c r="A48" s="34">
        <v>106</v>
      </c>
      <c r="B48" s="88" t="s">
        <v>362</v>
      </c>
      <c r="C48" s="46">
        <v>30427</v>
      </c>
      <c r="D48" s="46">
        <v>44741</v>
      </c>
      <c r="E48" s="46">
        <v>46097</v>
      </c>
      <c r="F48" s="46">
        <v>45388</v>
      </c>
      <c r="G48" s="70">
        <v>51777</v>
      </c>
      <c r="H48" s="41">
        <v>46362</v>
      </c>
      <c r="I48" s="165">
        <v>36948.168450000005</v>
      </c>
      <c r="J48" s="41">
        <v>29825.61246</v>
      </c>
      <c r="K48" s="41">
        <v>39376.50864</v>
      </c>
      <c r="L48" s="41">
        <f t="shared" si="5"/>
        <v>39263.778198073065</v>
      </c>
      <c r="M48" s="41">
        <f t="shared" si="5"/>
        <v>39151.918153182189</v>
      </c>
      <c r="N48" s="41">
        <f t="shared" si="4"/>
        <v>39040.877489623992</v>
      </c>
      <c r="O48" s="41">
        <f t="shared" si="4"/>
        <v>38930.578822567833</v>
      </c>
      <c r="P48" s="41">
        <f t="shared" si="4"/>
        <v>38819.960159888302</v>
      </c>
      <c r="T48" s="34">
        <v>106</v>
      </c>
      <c r="U48" s="88" t="s">
        <v>362</v>
      </c>
      <c r="V48" s="41">
        <f>C48/'1. Väestöennuste'!E48*1000</f>
        <v>654.86516152637591</v>
      </c>
      <c r="W48" s="41">
        <f>D48/'1. Väestöennuste'!F48*1000</f>
        <v>960.18971585543818</v>
      </c>
      <c r="X48" s="41">
        <f>E48/'1. Väestöennuste'!G48*1000</f>
        <v>986.26414771390057</v>
      </c>
      <c r="Y48" s="41">
        <f>F48/'1. Väestöennuste'!H48*1000</f>
        <v>976.00206433855158</v>
      </c>
      <c r="Z48" s="41">
        <f>G48/'1. Väestöennuste'!I48*1000</f>
        <v>1114.2027114267271</v>
      </c>
      <c r="AA48" s="41">
        <f>H48/'1. Väestöennuste'!J48*1000</f>
        <v>995.40535898316728</v>
      </c>
      <c r="AB48" s="41">
        <f>I48/'1. Väestöennuste'!K48*1000</f>
        <v>788.14352495733795</v>
      </c>
      <c r="AC48" s="41">
        <f>J48/'1. Väestöennuste'!L48*1000</f>
        <v>637.3402666837618</v>
      </c>
      <c r="AD48" s="41">
        <f>K48/'1. Väestöennuste'!M48*1000</f>
        <v>839.56650476535674</v>
      </c>
      <c r="AE48" s="41">
        <f>L48/'1. Väestöennuste'!N48*1000</f>
        <v>837.18077181392459</v>
      </c>
      <c r="AF48" s="41">
        <f>M48/'1. Väestöennuste'!O48*1000</f>
        <v>833.32094913441438</v>
      </c>
      <c r="AG48" s="41">
        <f>N48/'1. Väestöennuste'!P48*1000</f>
        <v>829.45690255851093</v>
      </c>
      <c r="AH48" s="41">
        <f>O48/'1. Väestöennuste'!Q48*1000</f>
        <v>825.65754326669287</v>
      </c>
      <c r="AI48" s="41">
        <f>P48/'1. Väestöennuste'!R48*1000</f>
        <v>821.82996358472997</v>
      </c>
    </row>
    <row r="49" spans="1:35" x14ac:dyDescent="0.2">
      <c r="A49" s="34">
        <v>108</v>
      </c>
      <c r="B49" s="88" t="s">
        <v>363</v>
      </c>
      <c r="C49" s="46">
        <v>6936</v>
      </c>
      <c r="D49" s="46">
        <v>7157</v>
      </c>
      <c r="E49" s="46">
        <v>7582</v>
      </c>
      <c r="F49" s="46">
        <v>8569</v>
      </c>
      <c r="G49" s="70">
        <v>7855</v>
      </c>
      <c r="H49" s="41">
        <v>10861</v>
      </c>
      <c r="I49" s="165">
        <v>10007.132900000001</v>
      </c>
      <c r="J49" s="41">
        <v>10735.001699999999</v>
      </c>
      <c r="K49" s="41">
        <v>8465.6874499999994</v>
      </c>
      <c r="L49" s="41">
        <f t="shared" si="5"/>
        <v>8441.4511547972197</v>
      </c>
      <c r="M49" s="41">
        <f t="shared" si="5"/>
        <v>8417.4019891678636</v>
      </c>
      <c r="N49" s="41">
        <f t="shared" si="4"/>
        <v>8393.5289850750269</v>
      </c>
      <c r="O49" s="41">
        <f t="shared" si="4"/>
        <v>8369.8155052948387</v>
      </c>
      <c r="P49" s="41">
        <f t="shared" si="4"/>
        <v>8346.0332285840341</v>
      </c>
      <c r="T49" s="34">
        <v>108</v>
      </c>
      <c r="U49" s="88" t="s">
        <v>363</v>
      </c>
      <c r="V49" s="41">
        <f>C49/'1. Väestöennuste'!E49*1000</f>
        <v>650.22968032248991</v>
      </c>
      <c r="W49" s="41">
        <f>D49/'1. Väestöennuste'!F49*1000</f>
        <v>670.06834566051862</v>
      </c>
      <c r="X49" s="41">
        <f>E49/'1. Väestöennuste'!G49*1000</f>
        <v>715.35050476460037</v>
      </c>
      <c r="Y49" s="41">
        <f>F49/'1. Väestöennuste'!H49*1000</f>
        <v>815.31874405328267</v>
      </c>
      <c r="Z49" s="41">
        <f>G49/'1. Väestöennuste'!I49*1000</f>
        <v>754.99807766243759</v>
      </c>
      <c r="AA49" s="41">
        <f>H49/'1. Väestöennuste'!J49*1000</f>
        <v>1049.9806651198762</v>
      </c>
      <c r="AB49" s="41">
        <f>I49/'1. Väestöennuste'!K49*1000</f>
        <v>968.08870078359303</v>
      </c>
      <c r="AC49" s="41">
        <f>J49/'1. Väestöennuste'!L49*1000</f>
        <v>1046.6024861070487</v>
      </c>
      <c r="AD49" s="41">
        <f>K49/'1. Väestöennuste'!M49*1000</f>
        <v>820.39804729140417</v>
      </c>
      <c r="AE49" s="41">
        <f>L49/'1. Väestöennuste'!N49*1000</f>
        <v>839.5277130579035</v>
      </c>
      <c r="AF49" s="41">
        <f>M49/'1. Väestöennuste'!O49*1000</f>
        <v>842.16127955656464</v>
      </c>
      <c r="AG49" s="41">
        <f>N49/'1. Väestöennuste'!P49*1000</f>
        <v>844.24954587356933</v>
      </c>
      <c r="AH49" s="41">
        <f>O49/'1. Väestöennuste'!Q49*1000</f>
        <v>845.94860575043856</v>
      </c>
      <c r="AI49" s="41">
        <f>P49/'1. Väestöennuste'!R49*1000</f>
        <v>847.57116163136322</v>
      </c>
    </row>
    <row r="50" spans="1:35" x14ac:dyDescent="0.2">
      <c r="A50" s="34">
        <v>109</v>
      </c>
      <c r="B50" s="88" t="s">
        <v>364</v>
      </c>
      <c r="C50" s="46">
        <v>93815</v>
      </c>
      <c r="D50" s="46">
        <v>105124</v>
      </c>
      <c r="E50" s="46">
        <v>102426</v>
      </c>
      <c r="F50" s="46">
        <v>106340</v>
      </c>
      <c r="G50" s="70">
        <v>114362</v>
      </c>
      <c r="H50" s="41">
        <v>155239</v>
      </c>
      <c r="I50" s="165">
        <v>176978.13808999999</v>
      </c>
      <c r="J50" s="41">
        <v>121592.2837</v>
      </c>
      <c r="K50" s="41">
        <v>129030.03979000001</v>
      </c>
      <c r="L50" s="41">
        <f t="shared" si="5"/>
        <v>128660.64153937397</v>
      </c>
      <c r="M50" s="41">
        <f t="shared" si="5"/>
        <v>128294.09542998836</v>
      </c>
      <c r="N50" s="41">
        <f t="shared" si="4"/>
        <v>127930.234292166</v>
      </c>
      <c r="O50" s="41">
        <f t="shared" si="4"/>
        <v>127568.80454913939</v>
      </c>
      <c r="P50" s="41">
        <f t="shared" si="4"/>
        <v>127206.32623554514</v>
      </c>
      <c r="T50" s="34">
        <v>109</v>
      </c>
      <c r="U50" s="88" t="s">
        <v>364</v>
      </c>
      <c r="V50" s="41">
        <f>C50/'1. Väestöennuste'!E50*1000</f>
        <v>1379.4092132155095</v>
      </c>
      <c r="W50" s="41">
        <f>D50/'1. Väestöennuste'!F50*1000</f>
        <v>1549.3588798820927</v>
      </c>
      <c r="X50" s="41">
        <f>E50/'1. Väestöennuste'!G50*1000</f>
        <v>1513.7891283142678</v>
      </c>
      <c r="Y50" s="41">
        <f>F50/'1. Väestöennuste'!H50*1000</f>
        <v>1574.6609014985488</v>
      </c>
      <c r="Z50" s="41">
        <f>G50/'1. Väestöennuste'!I50*1000</f>
        <v>1690.9201129626069</v>
      </c>
      <c r="AA50" s="41">
        <f>H50/'1. Väestöennuste'!J50*1000</f>
        <v>2288.0409149864404</v>
      </c>
      <c r="AB50" s="41">
        <f>I50/'1. Väestöennuste'!K50*1000</f>
        <v>2603.7300920981002</v>
      </c>
      <c r="AC50" s="41">
        <f>J50/'1. Väestöennuste'!L50*1000</f>
        <v>1786.9918095909941</v>
      </c>
      <c r="AD50" s="41">
        <f>K50/'1. Väestöennuste'!M50*1000</f>
        <v>1888.6406386217598</v>
      </c>
      <c r="AE50" s="41">
        <f>L50/'1. Väestöennuste'!N50*1000</f>
        <v>1890.2613904264156</v>
      </c>
      <c r="AF50" s="41">
        <f>M50/'1. Väestöennuste'!O50*1000</f>
        <v>1884.1841008957022</v>
      </c>
      <c r="AG50" s="41">
        <f>N50/'1. Väestöennuste'!P50*1000</f>
        <v>1878.3161445941946</v>
      </c>
      <c r="AH50" s="41">
        <f>O50/'1. Väestöennuste'!Q50*1000</f>
        <v>1872.7070544500791</v>
      </c>
      <c r="AI50" s="41">
        <f>P50/'1. Väestöennuste'!R50*1000</f>
        <v>1867.4132949037</v>
      </c>
    </row>
    <row r="51" spans="1:35" x14ac:dyDescent="0.2">
      <c r="A51" s="34">
        <v>111</v>
      </c>
      <c r="B51" s="88" t="s">
        <v>365</v>
      </c>
      <c r="C51" s="46">
        <v>73197</v>
      </c>
      <c r="D51" s="46">
        <v>79670</v>
      </c>
      <c r="E51" s="46">
        <v>81591</v>
      </c>
      <c r="F51" s="46">
        <v>79125</v>
      </c>
      <c r="G51" s="70">
        <v>83833</v>
      </c>
      <c r="H51" s="41">
        <v>99936</v>
      </c>
      <c r="I51" s="165">
        <v>100036.78044000002</v>
      </c>
      <c r="J51" s="41">
        <v>106636.57803</v>
      </c>
      <c r="K51" s="41">
        <v>105913.58895</v>
      </c>
      <c r="L51" s="41">
        <f t="shared" si="5"/>
        <v>105610.37045499426</v>
      </c>
      <c r="M51" s="41">
        <f t="shared" si="5"/>
        <v>105309.49312422793</v>
      </c>
      <c r="N51" s="41">
        <f t="shared" si="4"/>
        <v>105010.81973740329</v>
      </c>
      <c r="O51" s="41">
        <f t="shared" si="4"/>
        <v>104714.14214744419</v>
      </c>
      <c r="P51" s="41">
        <f t="shared" si="4"/>
        <v>104416.60384417935</v>
      </c>
      <c r="T51" s="34">
        <v>111</v>
      </c>
      <c r="U51" s="88" t="s">
        <v>365</v>
      </c>
      <c r="V51" s="41">
        <f>C51/'1. Väestöennuste'!E51*1000</f>
        <v>3739.3103448275861</v>
      </c>
      <c r="W51" s="41">
        <f>D51/'1. Väestöennuste'!F51*1000</f>
        <v>4117.3126614987086</v>
      </c>
      <c r="X51" s="41">
        <f>E51/'1. Väestöennuste'!G51*1000</f>
        <v>4265.5269761606023</v>
      </c>
      <c r="Y51" s="41">
        <f>F51/'1. Väestöennuste'!H51*1000</f>
        <v>4188.9459473767802</v>
      </c>
      <c r="Z51" s="41">
        <f>G51/'1. Väestöennuste'!I51*1000</f>
        <v>4490.9733754754379</v>
      </c>
      <c r="AA51" s="41">
        <f>H51/'1. Väestöennuste'!J51*1000</f>
        <v>5402.8220792560951</v>
      </c>
      <c r="AB51" s="41">
        <f>I51/'1. Väestöennuste'!K51*1000</f>
        <v>5453.3787854339298</v>
      </c>
      <c r="AC51" s="41">
        <f>J51/'1. Väestöennuste'!L51*1000</f>
        <v>5881.4504456455797</v>
      </c>
      <c r="AD51" s="41">
        <f>K51/'1. Väestöennuste'!M51*1000</f>
        <v>5899.4925054308478</v>
      </c>
      <c r="AE51" s="41">
        <f>L51/'1. Väestöennuste'!N51*1000</f>
        <v>5985.2859424762974</v>
      </c>
      <c r="AF51" s="41">
        <f>M51/'1. Väestöennuste'!O51*1000</f>
        <v>6030.7807309717055</v>
      </c>
      <c r="AG51" s="41">
        <f>N51/'1. Väestöennuste'!P51*1000</f>
        <v>6073.5002739967194</v>
      </c>
      <c r="AH51" s="41">
        <f>O51/'1. Väestöennuste'!Q51*1000</f>
        <v>6113.9803904620885</v>
      </c>
      <c r="AI51" s="41">
        <f>P51/'1. Väestöennuste'!R51*1000</f>
        <v>6153.7366716277311</v>
      </c>
    </row>
    <row r="52" spans="1:35" x14ac:dyDescent="0.2">
      <c r="A52" s="34">
        <v>139</v>
      </c>
      <c r="B52" s="88" t="s">
        <v>366</v>
      </c>
      <c r="C52" s="46">
        <v>1822</v>
      </c>
      <c r="D52" s="46">
        <v>2167</v>
      </c>
      <c r="E52" s="46">
        <v>3986</v>
      </c>
      <c r="F52" s="46">
        <v>2594</v>
      </c>
      <c r="G52" s="70">
        <v>2601</v>
      </c>
      <c r="H52" s="41">
        <v>8225</v>
      </c>
      <c r="I52" s="165">
        <v>4936.5195300000005</v>
      </c>
      <c r="J52" s="41">
        <v>3220.93264</v>
      </c>
      <c r="K52" s="41">
        <v>4959.2257199999995</v>
      </c>
      <c r="L52" s="41">
        <f t="shared" si="5"/>
        <v>4945.0280238014311</v>
      </c>
      <c r="M52" s="41">
        <f t="shared" si="5"/>
        <v>4930.9399486819511</v>
      </c>
      <c r="N52" s="41">
        <f t="shared" si="4"/>
        <v>4916.9550695318403</v>
      </c>
      <c r="O52" s="41">
        <f t="shared" si="4"/>
        <v>4903.0636402142354</v>
      </c>
      <c r="P52" s="41">
        <f t="shared" si="4"/>
        <v>4889.1319094432884</v>
      </c>
      <c r="T52" s="34">
        <v>139</v>
      </c>
      <c r="U52" s="88" t="s">
        <v>366</v>
      </c>
      <c r="V52" s="41">
        <f>C52/'1. Väestöennuste'!E52*1000</f>
        <v>188.55427920935529</v>
      </c>
      <c r="W52" s="41">
        <f>D52/'1. Väestöennuste'!F52*1000</f>
        <v>225.07270461154965</v>
      </c>
      <c r="X52" s="41">
        <f>E52/'1. Väestöennuste'!G52*1000</f>
        <v>399.95986353602245</v>
      </c>
      <c r="Y52" s="41">
        <f>F52/'1. Väestöennuste'!H52*1000</f>
        <v>263.02981139728251</v>
      </c>
      <c r="Z52" s="41">
        <f>G52/'1. Väestöennuste'!I52*1000</f>
        <v>264.22186103210078</v>
      </c>
      <c r="AA52" s="41">
        <f>H52/'1. Väestöennuste'!J52*1000</f>
        <v>835.19496344435413</v>
      </c>
      <c r="AB52" s="41">
        <f>I52/'1. Väestöennuste'!K52*1000</f>
        <v>498.03465799031483</v>
      </c>
      <c r="AC52" s="41">
        <f>J52/'1. Väestöennuste'!L52*1000</f>
        <v>326.898674515376</v>
      </c>
      <c r="AD52" s="41">
        <f>K52/'1. Väestöennuste'!M52*1000</f>
        <v>507.80521400778201</v>
      </c>
      <c r="AE52" s="41">
        <f>L52/'1. Väestöennuste'!N52*1000</f>
        <v>510.63899460981321</v>
      </c>
      <c r="AF52" s="41">
        <f>M52/'1. Väestöennuste'!O52*1000</f>
        <v>511.45523790913296</v>
      </c>
      <c r="AG52" s="41">
        <f>N52/'1. Väestöennuste'!P52*1000</f>
        <v>512.34292690755865</v>
      </c>
      <c r="AH52" s="41">
        <f>O52/'1. Väestöennuste'!Q52*1000</f>
        <v>513.35605069775261</v>
      </c>
      <c r="AI52" s="41">
        <f>P52/'1. Väestöennuste'!R52*1000</f>
        <v>514.26653091861658</v>
      </c>
    </row>
    <row r="53" spans="1:35" x14ac:dyDescent="0.2">
      <c r="A53" s="34">
        <v>140</v>
      </c>
      <c r="B53" s="88" t="s">
        <v>367</v>
      </c>
      <c r="C53" s="46">
        <v>17623</v>
      </c>
      <c r="D53" s="46">
        <v>19026</v>
      </c>
      <c r="E53" s="46">
        <v>21049</v>
      </c>
      <c r="F53" s="46">
        <v>29240</v>
      </c>
      <c r="G53" s="70">
        <v>22104</v>
      </c>
      <c r="H53" s="41">
        <v>28779</v>
      </c>
      <c r="I53" s="165">
        <v>29661.871219999997</v>
      </c>
      <c r="J53" s="41">
        <v>24854.241300000002</v>
      </c>
      <c r="K53" s="41">
        <v>18876.49869</v>
      </c>
      <c r="L53" s="41">
        <f t="shared" si="5"/>
        <v>18822.457432589097</v>
      </c>
      <c r="M53" s="41">
        <f t="shared" si="5"/>
        <v>18768.833430264498</v>
      </c>
      <c r="N53" s="41">
        <f t="shared" si="4"/>
        <v>18715.602226874773</v>
      </c>
      <c r="O53" s="41">
        <f t="shared" si="4"/>
        <v>18662.726725310389</v>
      </c>
      <c r="P53" s="41">
        <f t="shared" si="4"/>
        <v>18609.697822716455</v>
      </c>
      <c r="T53" s="34">
        <v>140</v>
      </c>
      <c r="U53" s="88" t="s">
        <v>367</v>
      </c>
      <c r="V53" s="41">
        <f>C53/'1. Väestöennuste'!E53*1000</f>
        <v>803.05308726361352</v>
      </c>
      <c r="W53" s="41">
        <f>D53/'1. Väestöennuste'!F53*1000</f>
        <v>874.07543529195573</v>
      </c>
      <c r="X53" s="41">
        <f>E53/'1. Väestöennuste'!G53*1000</f>
        <v>972.73441471417345</v>
      </c>
      <c r="Y53" s="41">
        <f>F53/'1. Väestöennuste'!H53*1000</f>
        <v>1361.7734724292102</v>
      </c>
      <c r="Z53" s="41">
        <f>G53/'1. Väestöennuste'!I53*1000</f>
        <v>1034.4440284537627</v>
      </c>
      <c r="AA53" s="41">
        <f>H53/'1. Väestöennuste'!J53*1000</f>
        <v>1362.3840181783753</v>
      </c>
      <c r="AB53" s="41">
        <f>I53/'1. Väestöennuste'!K53*1000</f>
        <v>1415.3006594140661</v>
      </c>
      <c r="AC53" s="41">
        <f>J53/'1. Väestöennuste'!L53*1000</f>
        <v>1194.8580020191337</v>
      </c>
      <c r="AD53" s="41">
        <f>K53/'1. Väestöennuste'!M53*1000</f>
        <v>915.53490590745957</v>
      </c>
      <c r="AE53" s="41">
        <f>L53/'1. Väestöennuste'!N53*1000</f>
        <v>920.05364320017088</v>
      </c>
      <c r="AF53" s="41">
        <f>M53/'1. Väestöennuste'!O53*1000</f>
        <v>924.75529317424605</v>
      </c>
      <c r="AG53" s="41">
        <f>N53/'1. Väestöennuste'!P53*1000</f>
        <v>929.45978480705071</v>
      </c>
      <c r="AH53" s="41">
        <f>O53/'1. Väestöennuste'!Q53*1000</f>
        <v>934.21067854584714</v>
      </c>
      <c r="AI53" s="41">
        <f>P53/'1. Väestöennuste'!R53*1000</f>
        <v>938.88793818255658</v>
      </c>
    </row>
    <row r="54" spans="1:35" x14ac:dyDescent="0.2">
      <c r="A54" s="34">
        <v>142</v>
      </c>
      <c r="B54" s="88" t="s">
        <v>368</v>
      </c>
      <c r="C54" s="46">
        <v>2862</v>
      </c>
      <c r="D54" s="46">
        <v>3008</v>
      </c>
      <c r="E54" s="46">
        <v>3941</v>
      </c>
      <c r="F54" s="46">
        <v>4767</v>
      </c>
      <c r="G54" s="70">
        <v>4996</v>
      </c>
      <c r="H54" s="41">
        <v>2823</v>
      </c>
      <c r="I54" s="165">
        <v>3868.7957700000002</v>
      </c>
      <c r="J54" s="41">
        <v>6388.7778699999999</v>
      </c>
      <c r="K54" s="41">
        <v>9673.8963999999996</v>
      </c>
      <c r="L54" s="41">
        <f t="shared" si="5"/>
        <v>9646.2011407199625</v>
      </c>
      <c r="M54" s="41">
        <f t="shared" si="5"/>
        <v>9618.7197178374263</v>
      </c>
      <c r="N54" s="41">
        <f t="shared" si="4"/>
        <v>9591.4395979753499</v>
      </c>
      <c r="O54" s="41">
        <f t="shared" si="4"/>
        <v>9564.3417694727104</v>
      </c>
      <c r="P54" s="41">
        <f t="shared" si="4"/>
        <v>9537.1653254549874</v>
      </c>
      <c r="T54" s="34">
        <v>142</v>
      </c>
      <c r="U54" s="88" t="s">
        <v>368</v>
      </c>
      <c r="V54" s="41">
        <f>C54/'1. Väestöennuste'!E54*1000</f>
        <v>414.18234442836473</v>
      </c>
      <c r="W54" s="41">
        <f>D54/'1. Väestöennuste'!F54*1000</f>
        <v>436.63811874002033</v>
      </c>
      <c r="X54" s="41">
        <f>E54/'1. Väestöennuste'!G54*1000</f>
        <v>577.85923753665691</v>
      </c>
      <c r="Y54" s="41">
        <f>F54/'1. Väestöennuste'!H54*1000</f>
        <v>704.65631929046572</v>
      </c>
      <c r="Z54" s="41">
        <f>G54/'1. Väestöennuste'!I54*1000</f>
        <v>744.44941141409629</v>
      </c>
      <c r="AA54" s="41">
        <f>H54/'1. Väestöennuste'!J54*1000</f>
        <v>426.11320754716979</v>
      </c>
      <c r="AB54" s="41">
        <f>I54/'1. Väestöennuste'!K54*1000</f>
        <v>589.84536819637151</v>
      </c>
      <c r="AC54" s="41">
        <f>J54/'1. Väestöennuste'!L54*1000</f>
        <v>982.28442035670355</v>
      </c>
      <c r="AD54" s="41">
        <f>K54/'1. Väestöennuste'!M54*1000</f>
        <v>1501.2253879577902</v>
      </c>
      <c r="AE54" s="41">
        <f>L54/'1. Väestöennuste'!N54*1000</f>
        <v>1505.1023780184059</v>
      </c>
      <c r="AF54" s="41">
        <f>M54/'1. Väestöennuste'!O54*1000</f>
        <v>1513.5672254661567</v>
      </c>
      <c r="AG54" s="41">
        <f>N54/'1. Väestöennuste'!P54*1000</f>
        <v>1521.2433938105235</v>
      </c>
      <c r="AH54" s="41">
        <f>O54/'1. Väestöennuste'!Q54*1000</f>
        <v>1528.8270091868144</v>
      </c>
      <c r="AI54" s="41">
        <f>P54/'1. Väestöennuste'!R54*1000</f>
        <v>1536.2701877343729</v>
      </c>
    </row>
    <row r="55" spans="1:35" x14ac:dyDescent="0.2">
      <c r="A55" s="34">
        <v>143</v>
      </c>
      <c r="B55" s="88" t="s">
        <v>369</v>
      </c>
      <c r="C55" s="46">
        <v>635</v>
      </c>
      <c r="D55" s="46">
        <v>1203</v>
      </c>
      <c r="E55" s="46">
        <v>1765</v>
      </c>
      <c r="F55" s="46">
        <v>1834</v>
      </c>
      <c r="G55" s="70">
        <v>945</v>
      </c>
      <c r="H55" s="41">
        <v>1027</v>
      </c>
      <c r="I55" s="165">
        <v>2991.2210399999999</v>
      </c>
      <c r="J55" s="41">
        <v>1811.0640000000001</v>
      </c>
      <c r="K55" s="41">
        <v>441.3109</v>
      </c>
      <c r="L55" s="41">
        <f t="shared" ref="L55:M74" si="6">K55*L$8</f>
        <v>440.04747735278141</v>
      </c>
      <c r="M55" s="41">
        <f t="shared" si="6"/>
        <v>438.79380965115371</v>
      </c>
      <c r="N55" s="41">
        <f t="shared" si="4"/>
        <v>437.54932513833211</v>
      </c>
      <c r="O55" s="41">
        <f t="shared" si="4"/>
        <v>436.31315652642252</v>
      </c>
      <c r="P55" s="41">
        <f t="shared" si="4"/>
        <v>435.07340157429581</v>
      </c>
      <c r="T55" s="34">
        <v>143</v>
      </c>
      <c r="U55" s="88" t="s">
        <v>369</v>
      </c>
      <c r="V55" s="41">
        <f>C55/'1. Väestöennuste'!E55*1000</f>
        <v>88.108783127514911</v>
      </c>
      <c r="W55" s="41">
        <f>D55/'1. Väestöennuste'!F55*1000</f>
        <v>168.77104377104376</v>
      </c>
      <c r="X55" s="41">
        <f>E55/'1. Väestöennuste'!G55*1000</f>
        <v>247.92807978648688</v>
      </c>
      <c r="Y55" s="41">
        <f>F55/'1. Väestöennuste'!H55*1000</f>
        <v>261.88776238754821</v>
      </c>
      <c r="Z55" s="41">
        <f>G55/'1. Väestöennuste'!I55*1000</f>
        <v>136.12791702679345</v>
      </c>
      <c r="AA55" s="41">
        <f>H55/'1. Väestöennuste'!J55*1000</f>
        <v>149.57762889600932</v>
      </c>
      <c r="AB55" s="41">
        <f>I55/'1. Väestöennuste'!K55*1000</f>
        <v>434.96016286171294</v>
      </c>
      <c r="AC55" s="41">
        <f>J55/'1. Väestöennuste'!L55*1000</f>
        <v>266.17636684303352</v>
      </c>
      <c r="AD55" s="41">
        <f>K55/'1. Väestöennuste'!M55*1000</f>
        <v>64.424948905109488</v>
      </c>
      <c r="AE55" s="41">
        <f>L55/'1. Väestöennuste'!N55*1000</f>
        <v>66.272210444696</v>
      </c>
      <c r="AF55" s="41">
        <f>M55/'1. Väestöennuste'!O55*1000</f>
        <v>66.584796608672789</v>
      </c>
      <c r="AG55" s="41">
        <f>N55/'1. Väestöennuste'!P55*1000</f>
        <v>66.872890896887071</v>
      </c>
      <c r="AH55" s="41">
        <f>O55/'1. Väestöennuste'!Q55*1000</f>
        <v>67.156096125353628</v>
      </c>
      <c r="AI55" s="41">
        <f>P55/'1. Väestöennuste'!R55*1000</f>
        <v>67.421881539484858</v>
      </c>
    </row>
    <row r="56" spans="1:35" x14ac:dyDescent="0.2">
      <c r="A56" s="34">
        <v>145</v>
      </c>
      <c r="B56" s="88" t="s">
        <v>370</v>
      </c>
      <c r="C56" s="46">
        <v>386</v>
      </c>
      <c r="D56" s="46">
        <v>622</v>
      </c>
      <c r="E56" s="46">
        <v>502</v>
      </c>
      <c r="F56" s="46">
        <v>828</v>
      </c>
      <c r="G56" s="70">
        <v>1176</v>
      </c>
      <c r="H56" s="41">
        <v>3579</v>
      </c>
      <c r="I56" s="165">
        <v>1574.55979</v>
      </c>
      <c r="J56" s="41">
        <v>382.86651000000001</v>
      </c>
      <c r="K56" s="41">
        <v>2489.0713799999999</v>
      </c>
      <c r="L56" s="41">
        <f t="shared" si="6"/>
        <v>2481.9454532394425</v>
      </c>
      <c r="M56" s="41">
        <f t="shared" si="6"/>
        <v>2474.8745460940449</v>
      </c>
      <c r="N56" s="41">
        <f t="shared" si="4"/>
        <v>2467.8554337546093</v>
      </c>
      <c r="O56" s="41">
        <f t="shared" si="4"/>
        <v>2460.8832245643116</v>
      </c>
      <c r="P56" s="41">
        <f t="shared" si="4"/>
        <v>2453.890787782098</v>
      </c>
      <c r="T56" s="34">
        <v>145</v>
      </c>
      <c r="U56" s="88" t="s">
        <v>370</v>
      </c>
      <c r="V56" s="41">
        <f>C56/'1. Väestöennuste'!E56*1000</f>
        <v>31.746031746031743</v>
      </c>
      <c r="W56" s="41">
        <f>D56/'1. Väestöennuste'!F56*1000</f>
        <v>51.121887071587082</v>
      </c>
      <c r="X56" s="41">
        <f>E56/'1. Väestöennuste'!G56*1000</f>
        <v>41.130684145841869</v>
      </c>
      <c r="Y56" s="41">
        <f>F56/'1. Väestöennuste'!H56*1000</f>
        <v>67.941248871748584</v>
      </c>
      <c r="Z56" s="41">
        <f>G56/'1. Väestöennuste'!I56*1000</f>
        <v>95.851332626945961</v>
      </c>
      <c r="AA56" s="41">
        <f>H56/'1. Väestöennuste'!J56*1000</f>
        <v>291.11761835041483</v>
      </c>
      <c r="AB56" s="41">
        <f>I56/'1. Väestöennuste'!K56*1000</f>
        <v>127.32975820798964</v>
      </c>
      <c r="AC56" s="41">
        <f>J56/'1. Väestöennuste'!L56*1000</f>
        <v>30.953715740965318</v>
      </c>
      <c r="AD56" s="41">
        <f>K56/'1. Väestöennuste'!M56*1000</f>
        <v>201.65854168354534</v>
      </c>
      <c r="AE56" s="41">
        <f>L56/'1. Väestöennuste'!N56*1000</f>
        <v>199.5614258454163</v>
      </c>
      <c r="AF56" s="41">
        <f>M56/'1. Väestöennuste'!O56*1000</f>
        <v>198.6893502002284</v>
      </c>
      <c r="AG56" s="41">
        <f>N56/'1. Väestöennuste'!P56*1000</f>
        <v>197.91927450113155</v>
      </c>
      <c r="AH56" s="41">
        <f>O56/'1. Väestöennuste'!Q56*1000</f>
        <v>197.23356772976769</v>
      </c>
      <c r="AI56" s="41">
        <f>P56/'1. Väestöennuste'!R56*1000</f>
        <v>196.67314160311759</v>
      </c>
    </row>
    <row r="57" spans="1:35" x14ac:dyDescent="0.2">
      <c r="A57" s="34">
        <v>146</v>
      </c>
      <c r="B57" s="88" t="s">
        <v>371</v>
      </c>
      <c r="C57" s="46">
        <v>1854</v>
      </c>
      <c r="D57" s="46">
        <v>3506</v>
      </c>
      <c r="E57" s="46">
        <v>2657</v>
      </c>
      <c r="F57" s="46">
        <v>1837</v>
      </c>
      <c r="G57" s="70">
        <v>948</v>
      </c>
      <c r="H57" s="41">
        <v>5693</v>
      </c>
      <c r="I57" s="165">
        <v>8249.1061599999994</v>
      </c>
      <c r="J57" s="41">
        <v>9911.7124000000003</v>
      </c>
      <c r="K57" s="41">
        <v>10280.872619999998</v>
      </c>
      <c r="L57" s="41">
        <f t="shared" si="6"/>
        <v>10251.439657203753</v>
      </c>
      <c r="M57" s="41">
        <f t="shared" si="6"/>
        <v>10222.233947695462</v>
      </c>
      <c r="N57" s="41">
        <f t="shared" si="4"/>
        <v>10193.242171707419</v>
      </c>
      <c r="O57" s="41">
        <f t="shared" si="4"/>
        <v>10164.444124716319</v>
      </c>
      <c r="P57" s="41">
        <f t="shared" si="4"/>
        <v>10135.562529580489</v>
      </c>
      <c r="T57" s="34">
        <v>146</v>
      </c>
      <c r="U57" s="88" t="s">
        <v>371</v>
      </c>
      <c r="V57" s="41">
        <f>C57/'1. Väestöennuste'!E57*1000</f>
        <v>347.45127436281859</v>
      </c>
      <c r="W57" s="41">
        <f>D57/'1. Väestöennuste'!F57*1000</f>
        <v>669.46725224365093</v>
      </c>
      <c r="X57" s="41">
        <f>E57/'1. Väestöennuste'!G57*1000</f>
        <v>518.13572542901716</v>
      </c>
      <c r="Y57" s="41">
        <f>F57/'1. Väestöennuste'!H57*1000</f>
        <v>369.394731550372</v>
      </c>
      <c r="Z57" s="41">
        <f>G57/'1. Väestöennuste'!I57*1000</f>
        <v>195.1822112415071</v>
      </c>
      <c r="AA57" s="41">
        <f>H57/'1. Väestöennuste'!J57*1000</f>
        <v>1198.7786902505791</v>
      </c>
      <c r="AB57" s="41">
        <f>I57/'1. Väestöennuste'!K57*1000</f>
        <v>1776.6758905879817</v>
      </c>
      <c r="AC57" s="41">
        <f>J57/'1. Väestöennuste'!L57*1000</f>
        <v>2206.5254674977741</v>
      </c>
      <c r="AD57" s="41">
        <f>K57/'1. Väestöennuste'!M57*1000</f>
        <v>2333.3800771674987</v>
      </c>
      <c r="AE57" s="41">
        <f>L57/'1. Väestöennuste'!N57*1000</f>
        <v>2355.5697741736562</v>
      </c>
      <c r="AF57" s="41">
        <f>M57/'1. Väestöennuste'!O57*1000</f>
        <v>2393.9657957132231</v>
      </c>
      <c r="AG57" s="41">
        <f>N57/'1. Väestöennuste'!P57*1000</f>
        <v>2432.1742237431208</v>
      </c>
      <c r="AH57" s="41">
        <f>O57/'1. Väestöennuste'!Q57*1000</f>
        <v>2470.095777573832</v>
      </c>
      <c r="AI57" s="41">
        <f>P57/'1. Väestöennuste'!R57*1000</f>
        <v>2507.5612393816155</v>
      </c>
    </row>
    <row r="58" spans="1:35" x14ac:dyDescent="0.2">
      <c r="A58" s="34">
        <v>148</v>
      </c>
      <c r="B58" s="88" t="s">
        <v>372</v>
      </c>
      <c r="C58" s="46">
        <v>1847</v>
      </c>
      <c r="D58" s="46">
        <v>8565</v>
      </c>
      <c r="E58" s="46">
        <v>8672</v>
      </c>
      <c r="F58" s="46">
        <v>9616</v>
      </c>
      <c r="G58" s="70">
        <v>6391</v>
      </c>
      <c r="H58" s="41">
        <v>8048</v>
      </c>
      <c r="I58" s="165">
        <v>8768.186529999999</v>
      </c>
      <c r="J58" s="41">
        <v>12790.78066</v>
      </c>
      <c r="K58" s="41">
        <v>12443.90143</v>
      </c>
      <c r="L58" s="41">
        <f t="shared" si="6"/>
        <v>12408.275963041406</v>
      </c>
      <c r="M58" s="41">
        <f t="shared" si="6"/>
        <v>12372.925561986209</v>
      </c>
      <c r="N58" s="41">
        <f t="shared" si="4"/>
        <v>12337.83410467411</v>
      </c>
      <c r="O58" s="41">
        <f t="shared" si="4"/>
        <v>12302.97713568136</v>
      </c>
      <c r="P58" s="41">
        <f t="shared" si="4"/>
        <v>12268.019040556994</v>
      </c>
      <c r="T58" s="34">
        <v>148</v>
      </c>
      <c r="U58" s="88" t="s">
        <v>372</v>
      </c>
      <c r="V58" s="41">
        <f>C58/'1. Väestöennuste'!E58*1000</f>
        <v>271.45796590241036</v>
      </c>
      <c r="W58" s="41">
        <f>D58/'1. Väestöennuste'!F58*1000</f>
        <v>1254.9450549450548</v>
      </c>
      <c r="X58" s="41">
        <f>E58/'1. Väestöennuste'!G58*1000</f>
        <v>1262.4836220701702</v>
      </c>
      <c r="Y58" s="41">
        <f>F58/'1. Väestöennuste'!H58*1000</f>
        <v>1387.5901875901875</v>
      </c>
      <c r="Z58" s="41">
        <f>G58/'1. Väestöennuste'!I58*1000</f>
        <v>925.2931808310409</v>
      </c>
      <c r="AA58" s="41">
        <f>H58/'1. Väestöennuste'!J58*1000</f>
        <v>1172.835907898572</v>
      </c>
      <c r="AB58" s="41">
        <f>I58/'1. Väestöennuste'!K58*1000</f>
        <v>1251.1681692351597</v>
      </c>
      <c r="AC58" s="41">
        <f>J58/'1. Väestöennuste'!L58*1000</f>
        <v>1815.0674982261955</v>
      </c>
      <c r="AD58" s="41">
        <f>K58/'1. Väestöennuste'!M58*1000</f>
        <v>1746.0223698610916</v>
      </c>
      <c r="AE58" s="41">
        <f>L58/'1. Väestöennuste'!N58*1000</f>
        <v>1800.3882708997976</v>
      </c>
      <c r="AF58" s="41">
        <f>M58/'1. Väestöennuste'!O58*1000</f>
        <v>1793.1776176791607</v>
      </c>
      <c r="AG58" s="41">
        <f>N58/'1. Väestöennuste'!P58*1000</f>
        <v>1786.5383875867519</v>
      </c>
      <c r="AH58" s="41">
        <f>O58/'1. Väestöennuste'!Q58*1000</f>
        <v>1779.6871308666803</v>
      </c>
      <c r="AI58" s="41">
        <f>P58/'1. Väestöennuste'!R58*1000</f>
        <v>1772.8351214677739</v>
      </c>
    </row>
    <row r="59" spans="1:35" x14ac:dyDescent="0.2">
      <c r="A59" s="34">
        <v>149</v>
      </c>
      <c r="B59" s="88" t="s">
        <v>373</v>
      </c>
      <c r="C59" s="46">
        <v>1402</v>
      </c>
      <c r="D59" s="46">
        <v>1370</v>
      </c>
      <c r="E59" s="46">
        <v>2327</v>
      </c>
      <c r="F59" s="46">
        <v>4052</v>
      </c>
      <c r="G59" s="70">
        <v>1630</v>
      </c>
      <c r="H59" s="41">
        <v>818</v>
      </c>
      <c r="I59" s="165">
        <v>2286.0179199999998</v>
      </c>
      <c r="J59" s="41">
        <v>3786.6906099999997</v>
      </c>
      <c r="K59" s="41">
        <v>735.24012000000005</v>
      </c>
      <c r="L59" s="41">
        <f t="shared" si="6"/>
        <v>733.13521160378389</v>
      </c>
      <c r="M59" s="41">
        <f t="shared" si="6"/>
        <v>731.04655530414368</v>
      </c>
      <c r="N59" s="41">
        <f t="shared" si="4"/>
        <v>728.97319853333852</v>
      </c>
      <c r="O59" s="41">
        <f t="shared" si="4"/>
        <v>726.9136963579773</v>
      </c>
      <c r="P59" s="41">
        <f t="shared" si="4"/>
        <v>724.84821920848424</v>
      </c>
      <c r="T59" s="34">
        <v>149</v>
      </c>
      <c r="U59" s="88" t="s">
        <v>373</v>
      </c>
      <c r="V59" s="41">
        <f>C59/'1. Väestöennuste'!E59*1000</f>
        <v>253.02292005053241</v>
      </c>
      <c r="W59" s="41">
        <f>D59/'1. Väestöennuste'!F59*1000</f>
        <v>245.29991047448524</v>
      </c>
      <c r="X59" s="41">
        <f>E59/'1. Väestöennuste'!G59*1000</f>
        <v>424.557562488597</v>
      </c>
      <c r="Y59" s="41">
        <f>F59/'1. Väestöennuste'!H59*1000</f>
        <v>749.95372940958725</v>
      </c>
      <c r="Z59" s="41">
        <f>G59/'1. Väestöennuste'!I59*1000</f>
        <v>302.6364649090234</v>
      </c>
      <c r="AA59" s="41">
        <f>H59/'1. Väestöennuste'!J59*1000</f>
        <v>153.73050178537869</v>
      </c>
      <c r="AB59" s="41">
        <f>I59/'1. Väestöennuste'!K59*1000</f>
        <v>427.05359985055105</v>
      </c>
      <c r="AC59" s="41">
        <f>J59/'1. Väestöennuste'!L59*1000</f>
        <v>703.32292161961368</v>
      </c>
      <c r="AD59" s="41">
        <f>K59/'1. Väestöennuste'!M59*1000</f>
        <v>136.68713887339658</v>
      </c>
      <c r="AE59" s="41">
        <f>L59/'1. Väestöennuste'!N59*1000</f>
        <v>141.42268742356941</v>
      </c>
      <c r="AF59" s="41">
        <f>M59/'1. Väestöennuste'!O59*1000</f>
        <v>141.64823780355428</v>
      </c>
      <c r="AG59" s="41">
        <f>N59/'1. Väestöennuste'!P59*1000</f>
        <v>141.90640423074527</v>
      </c>
      <c r="AH59" s="41">
        <f>O59/'1. Väestöennuste'!Q59*1000</f>
        <v>142.08633627012847</v>
      </c>
      <c r="AI59" s="41">
        <f>P59/'1. Väestöennuste'!R59*1000</f>
        <v>142.23866154012643</v>
      </c>
    </row>
    <row r="60" spans="1:35" x14ac:dyDescent="0.2">
      <c r="A60" s="34">
        <v>151</v>
      </c>
      <c r="B60" s="88" t="s">
        <v>374</v>
      </c>
      <c r="C60" s="46">
        <v>1094</v>
      </c>
      <c r="D60" s="46">
        <v>978</v>
      </c>
      <c r="E60" s="46">
        <v>1561</v>
      </c>
      <c r="F60" s="46">
        <v>2324</v>
      </c>
      <c r="G60" s="70">
        <v>1543</v>
      </c>
      <c r="H60" s="41">
        <v>2170</v>
      </c>
      <c r="I60" s="165">
        <v>2573.5406899999998</v>
      </c>
      <c r="J60" s="41">
        <v>3566.5392599999996</v>
      </c>
      <c r="K60" s="41">
        <v>3362.9273800000001</v>
      </c>
      <c r="L60" s="41">
        <f t="shared" si="6"/>
        <v>3353.2997034281243</v>
      </c>
      <c r="M60" s="41">
        <f t="shared" si="6"/>
        <v>3343.7463625991859</v>
      </c>
      <c r="N60" s="41">
        <f t="shared" si="4"/>
        <v>3334.263000547277</v>
      </c>
      <c r="O60" s="41">
        <f t="shared" si="4"/>
        <v>3324.8430082668069</v>
      </c>
      <c r="P60" s="41">
        <f t="shared" si="4"/>
        <v>3315.3956869498002</v>
      </c>
      <c r="T60" s="34">
        <v>151</v>
      </c>
      <c r="U60" s="88" t="s">
        <v>374</v>
      </c>
      <c r="V60" s="41">
        <f>C60/'1. Väestöennuste'!E60*1000</f>
        <v>515.30852567121997</v>
      </c>
      <c r="W60" s="41">
        <f>D60/'1. Väestöennuste'!F60*1000</f>
        <v>470.41847041847041</v>
      </c>
      <c r="X60" s="41">
        <f>E60/'1. Väestöennuste'!G60*1000</f>
        <v>768.20866141732279</v>
      </c>
      <c r="Y60" s="41">
        <f>F60/'1. Väestöennuste'!H60*1000</f>
        <v>1176.1133603238866</v>
      </c>
      <c r="Z60" s="41">
        <f>G60/'1. Väestöennuste'!I60*1000</f>
        <v>790.87647360328037</v>
      </c>
      <c r="AA60" s="41">
        <f>H60/'1. Väestöennuste'!J60*1000</f>
        <v>1127.2727272727273</v>
      </c>
      <c r="AB60" s="41">
        <f>I60/'1. Väestöennuste'!K60*1000</f>
        <v>1360.9416657852987</v>
      </c>
      <c r="AC60" s="41">
        <f>J60/'1. Väestöennuste'!L60*1000</f>
        <v>1925.7771382289416</v>
      </c>
      <c r="AD60" s="41">
        <f>K60/'1. Väestöennuste'!M60*1000</f>
        <v>1853.8739691289968</v>
      </c>
      <c r="AE60" s="41">
        <f>L60/'1. Väestöennuste'!N60*1000</f>
        <v>1867.0933760735659</v>
      </c>
      <c r="AF60" s="41">
        <f>M60/'1. Väestöennuste'!O60*1000</f>
        <v>1889.1222387566022</v>
      </c>
      <c r="AG60" s="41">
        <f>N60/'1. Väestöennuste'!P60*1000</f>
        <v>1910.7524358437117</v>
      </c>
      <c r="AH60" s="41">
        <f>O60/'1. Väestöennuste'!Q60*1000</f>
        <v>1927.4452221836561</v>
      </c>
      <c r="AI60" s="41">
        <f>P60/'1. Väestöennuste'!R60*1000</f>
        <v>1945.6547458625589</v>
      </c>
    </row>
    <row r="61" spans="1:35" x14ac:dyDescent="0.2">
      <c r="A61" s="34">
        <v>152</v>
      </c>
      <c r="B61" s="88" t="s">
        <v>375</v>
      </c>
      <c r="C61" s="46">
        <v>2846</v>
      </c>
      <c r="D61" s="46">
        <v>2503</v>
      </c>
      <c r="E61" s="46">
        <v>2837</v>
      </c>
      <c r="F61" s="46">
        <v>3724</v>
      </c>
      <c r="G61" s="70">
        <v>3046</v>
      </c>
      <c r="H61" s="41">
        <v>4180</v>
      </c>
      <c r="I61" s="165">
        <v>2551.0812199999996</v>
      </c>
      <c r="J61" s="41">
        <v>2610.28793</v>
      </c>
      <c r="K61" s="41">
        <v>1944.0273300000001</v>
      </c>
      <c r="L61" s="41">
        <f t="shared" si="6"/>
        <v>1938.4618020342648</v>
      </c>
      <c r="M61" s="41">
        <f t="shared" si="6"/>
        <v>1932.9392457713161</v>
      </c>
      <c r="N61" s="41">
        <f t="shared" si="4"/>
        <v>1927.4571425540901</v>
      </c>
      <c r="O61" s="41">
        <f t="shared" si="4"/>
        <v>1922.0116718756174</v>
      </c>
      <c r="P61" s="41">
        <f t="shared" si="4"/>
        <v>1916.5504029392798</v>
      </c>
      <c r="T61" s="34">
        <v>152</v>
      </c>
      <c r="U61" s="88" t="s">
        <v>375</v>
      </c>
      <c r="V61" s="41">
        <f>C61/'1. Väestöennuste'!E61*1000</f>
        <v>594.77533960292578</v>
      </c>
      <c r="W61" s="41">
        <f>D61/'1. Väestöennuste'!F61*1000</f>
        <v>531.19694397283536</v>
      </c>
      <c r="X61" s="41">
        <f>E61/'1. Väestöennuste'!G61*1000</f>
        <v>607.1046436978387</v>
      </c>
      <c r="Y61" s="41">
        <f>F61/'1. Väestöennuste'!H61*1000</f>
        <v>809.38926320365135</v>
      </c>
      <c r="Z61" s="41">
        <f>G61/'1. Väestöennuste'!I61*1000</f>
        <v>673.59575409111017</v>
      </c>
      <c r="AA61" s="41">
        <f>H61/'1. Väestöennuste'!J61*1000</f>
        <v>934.91388951017677</v>
      </c>
      <c r="AB61" s="41">
        <f>I61/'1. Väestöennuste'!K61*1000</f>
        <v>569.4377723214285</v>
      </c>
      <c r="AC61" s="41">
        <f>J61/'1. Väestöennuste'!L61*1000</f>
        <v>592.43938492964139</v>
      </c>
      <c r="AD61" s="41">
        <f>K61/'1. Väestöennuste'!M61*1000</f>
        <v>446.1848358962589</v>
      </c>
      <c r="AE61" s="41">
        <f>L61/'1. Väestöennuste'!N61*1000</f>
        <v>454.29149332886448</v>
      </c>
      <c r="AF61" s="41">
        <f>M61/'1. Väestöennuste'!O61*1000</f>
        <v>458.04247530125974</v>
      </c>
      <c r="AG61" s="41">
        <f>N61/'1. Väestöennuste'!P61*1000</f>
        <v>461.7769867163608</v>
      </c>
      <c r="AH61" s="41">
        <f>O61/'1. Väestöennuste'!Q61*1000</f>
        <v>465.71642158362425</v>
      </c>
      <c r="AI61" s="41">
        <f>P61/'1. Väestöennuste'!R61*1000</f>
        <v>469.05296205072926</v>
      </c>
    </row>
    <row r="62" spans="1:35" x14ac:dyDescent="0.2">
      <c r="A62" s="34">
        <v>153</v>
      </c>
      <c r="B62" s="88" t="s">
        <v>376</v>
      </c>
      <c r="C62" s="46">
        <v>14247</v>
      </c>
      <c r="D62" s="46">
        <v>9889</v>
      </c>
      <c r="E62" s="46">
        <v>10240</v>
      </c>
      <c r="F62" s="46">
        <v>18026</v>
      </c>
      <c r="G62" s="70">
        <v>16259</v>
      </c>
      <c r="H62" s="41">
        <v>19144</v>
      </c>
      <c r="I62" s="165">
        <v>12239.00835</v>
      </c>
      <c r="J62" s="41">
        <v>7642.5487199999998</v>
      </c>
      <c r="K62" s="41">
        <v>6371.8825099999995</v>
      </c>
      <c r="L62" s="41">
        <f t="shared" si="6"/>
        <v>6353.6405389348165</v>
      </c>
      <c r="M62" s="41">
        <f t="shared" si="6"/>
        <v>6335.5394149848898</v>
      </c>
      <c r="N62" s="41">
        <f t="shared" si="4"/>
        <v>6317.570882820346</v>
      </c>
      <c r="O62" s="41">
        <f t="shared" si="4"/>
        <v>6299.7224200752889</v>
      </c>
      <c r="P62" s="41">
        <f t="shared" si="4"/>
        <v>6281.8221758344553</v>
      </c>
      <c r="T62" s="34">
        <v>153</v>
      </c>
      <c r="U62" s="88" t="s">
        <v>376</v>
      </c>
      <c r="V62" s="41">
        <f>C62/'1. Väestöennuste'!E62*1000</f>
        <v>511.83761451410095</v>
      </c>
      <c r="W62" s="41">
        <f>D62/'1. Väestöennuste'!F62*1000</f>
        <v>359.3778391539775</v>
      </c>
      <c r="X62" s="41">
        <f>E62/'1. Väestöennuste'!G62*1000</f>
        <v>375.51798745828597</v>
      </c>
      <c r="Y62" s="41">
        <f>F62/'1. Väestöennuste'!H62*1000</f>
        <v>669.31531263923955</v>
      </c>
      <c r="Z62" s="41">
        <f>G62/'1. Väestöennuste'!I62*1000</f>
        <v>613.36200392334399</v>
      </c>
      <c r="AA62" s="41">
        <f>H62/'1. Väestöennuste'!J62*1000</f>
        <v>734.18983700862896</v>
      </c>
      <c r="AB62" s="41">
        <f>I62/'1. Väestöennuste'!K62*1000</f>
        <v>477.06132722666143</v>
      </c>
      <c r="AC62" s="41">
        <f>J62/'1. Väestöennuste'!L62*1000</f>
        <v>303.17949539828624</v>
      </c>
      <c r="AD62" s="41">
        <f>K62/'1. Väestöennuste'!M62*1000</f>
        <v>255.70378064930372</v>
      </c>
      <c r="AE62" s="41">
        <f>L62/'1. Väestöennuste'!N62*1000</f>
        <v>257.04509017456172</v>
      </c>
      <c r="AF62" s="41">
        <f>M62/'1. Väestöennuste'!O62*1000</f>
        <v>259.72776677673471</v>
      </c>
      <c r="AG62" s="41">
        <f>N62/'1. Väestöennuste'!P62*1000</f>
        <v>262.39028462102198</v>
      </c>
      <c r="AH62" s="41">
        <f>O62/'1. Väestöennuste'!Q62*1000</f>
        <v>264.97255184333494</v>
      </c>
      <c r="AI62" s="41">
        <f>P62/'1. Väestöennuste'!R62*1000</f>
        <v>267.41399582114235</v>
      </c>
    </row>
    <row r="63" spans="1:35" x14ac:dyDescent="0.2">
      <c r="A63" s="34">
        <v>165</v>
      </c>
      <c r="B63" s="88" t="s">
        <v>377</v>
      </c>
      <c r="C63" s="46">
        <v>11864</v>
      </c>
      <c r="D63" s="46">
        <v>13584</v>
      </c>
      <c r="E63" s="46">
        <v>12522</v>
      </c>
      <c r="F63" s="46">
        <v>10230</v>
      </c>
      <c r="G63" s="70">
        <v>6130</v>
      </c>
      <c r="H63" s="41">
        <v>9780</v>
      </c>
      <c r="I63" s="165">
        <v>10068.415299999999</v>
      </c>
      <c r="J63" s="41">
        <v>12265.84267</v>
      </c>
      <c r="K63" s="41">
        <v>13268.875099999999</v>
      </c>
      <c r="L63" s="41">
        <f t="shared" si="6"/>
        <v>13230.887827751672</v>
      </c>
      <c r="M63" s="41">
        <f t="shared" si="6"/>
        <v>13193.193857016297</v>
      </c>
      <c r="N63" s="41">
        <f t="shared" si="4"/>
        <v>13155.775996808188</v>
      </c>
      <c r="O63" s="41">
        <f t="shared" si="4"/>
        <v>13118.608170421012</v>
      </c>
      <c r="P63" s="41">
        <f t="shared" si="4"/>
        <v>13081.332513702866</v>
      </c>
      <c r="T63" s="34">
        <v>165</v>
      </c>
      <c r="U63" s="88" t="s">
        <v>377</v>
      </c>
      <c r="V63" s="41">
        <f>C63/'1. Väestöennuste'!E63*1000</f>
        <v>703.96961965228741</v>
      </c>
      <c r="W63" s="41">
        <f>D63/'1. Väestöennuste'!F63*1000</f>
        <v>812.97504338979002</v>
      </c>
      <c r="X63" s="41">
        <f>E63/'1. Väestöennuste'!G63*1000</f>
        <v>754.01938941410253</v>
      </c>
      <c r="Y63" s="41">
        <f>F63/'1. Väestöennuste'!H63*1000</f>
        <v>621.99793275369359</v>
      </c>
      <c r="Z63" s="41">
        <f>G63/'1. Väestöennuste'!I63*1000</f>
        <v>373.4844330713459</v>
      </c>
      <c r="AA63" s="41">
        <f>H63/'1. Väestöennuste'!J63*1000</f>
        <v>602.32801625916125</v>
      </c>
      <c r="AB63" s="41">
        <f>I63/'1. Väestöennuste'!K63*1000</f>
        <v>616.18208690330471</v>
      </c>
      <c r="AC63" s="41">
        <f>J63/'1. Väestöennuste'!L63*1000</f>
        <v>753.4301394348895</v>
      </c>
      <c r="AD63" s="41">
        <f>K63/'1. Väestöennuste'!M63*1000</f>
        <v>822.97804999069649</v>
      </c>
      <c r="AE63" s="41">
        <f>L63/'1. Väestöennuste'!N63*1000</f>
        <v>838.61873789387539</v>
      </c>
      <c r="AF63" s="41">
        <f>M63/'1. Väestöennuste'!O63*1000</f>
        <v>841.83217566464373</v>
      </c>
      <c r="AG63" s="41">
        <f>N63/'1. Väestöennuste'!P63*1000</f>
        <v>845.05241500566478</v>
      </c>
      <c r="AH63" s="41">
        <f>O63/'1. Väestöennuste'!Q63*1000</f>
        <v>848.16759361356503</v>
      </c>
      <c r="AI63" s="41">
        <f>P63/'1. Väestöennuste'!R63*1000</f>
        <v>851.37211283455042</v>
      </c>
    </row>
    <row r="64" spans="1:35" x14ac:dyDescent="0.2">
      <c r="A64" s="34">
        <v>167</v>
      </c>
      <c r="B64" s="88" t="s">
        <v>378</v>
      </c>
      <c r="C64" s="46">
        <v>82226</v>
      </c>
      <c r="D64" s="46">
        <v>83619</v>
      </c>
      <c r="E64" s="46">
        <v>86099</v>
      </c>
      <c r="F64" s="46">
        <v>89090</v>
      </c>
      <c r="G64" s="70">
        <v>94105</v>
      </c>
      <c r="H64" s="41">
        <v>105718</v>
      </c>
      <c r="I64" s="165">
        <v>121350.606</v>
      </c>
      <c r="J64" s="41">
        <v>122096.49288999999</v>
      </c>
      <c r="K64" s="41">
        <v>110058.96565000001</v>
      </c>
      <c r="L64" s="41">
        <f t="shared" si="6"/>
        <v>109743.87941548448</v>
      </c>
      <c r="M64" s="41">
        <f t="shared" si="6"/>
        <v>109431.22597658243</v>
      </c>
      <c r="N64" s="41">
        <f t="shared" si="4"/>
        <v>109120.86274229886</v>
      </c>
      <c r="O64" s="41">
        <f t="shared" si="4"/>
        <v>108812.57341884059</v>
      </c>
      <c r="P64" s="41">
        <f t="shared" si="4"/>
        <v>108503.38969441745</v>
      </c>
      <c r="T64" s="34">
        <v>167</v>
      </c>
      <c r="U64" s="88" t="s">
        <v>378</v>
      </c>
      <c r="V64" s="41">
        <f>C64/'1. Väestöennuste'!E64*1000</f>
        <v>1088.8841804168762</v>
      </c>
      <c r="W64" s="41">
        <f>D64/'1. Väestöennuste'!F64*1000</f>
        <v>1102.4549098196392</v>
      </c>
      <c r="X64" s="41">
        <f>E64/'1. Väestöennuste'!G64*1000</f>
        <v>1131.8837340765378</v>
      </c>
      <c r="Y64" s="41">
        <f>F64/'1. Väestöennuste'!H64*1000</f>
        <v>1163.7992972005591</v>
      </c>
      <c r="Z64" s="41">
        <f>G64/'1. Väestöennuste'!I64*1000</f>
        <v>1224.5283018867924</v>
      </c>
      <c r="AA64" s="41">
        <f>H64/'1. Väestöennuste'!J64*1000</f>
        <v>1374.1210112432573</v>
      </c>
      <c r="AB64" s="41">
        <f>I64/'1. Väestöennuste'!K64*1000</f>
        <v>1570.6579775048212</v>
      </c>
      <c r="AC64" s="41">
        <f>J64/'1. Väestöennuste'!L64*1000</f>
        <v>1575.1743951337194</v>
      </c>
      <c r="AD64" s="41">
        <f>K64/'1. Väestöennuste'!M64*1000</f>
        <v>1409.8916969844483</v>
      </c>
      <c r="AE64" s="41">
        <f>L64/'1. Väestöennuste'!N64*1000</f>
        <v>1409.9372965656569</v>
      </c>
      <c r="AF64" s="41">
        <f>M64/'1. Väestöennuste'!O64*1000</f>
        <v>1403.0903539623098</v>
      </c>
      <c r="AG64" s="41">
        <f>N64/'1. Väestöennuste'!P64*1000</f>
        <v>1396.4431770660958</v>
      </c>
      <c r="AH64" s="41">
        <f>O64/'1. Väestöennuste'!Q64*1000</f>
        <v>1390.0075805273318</v>
      </c>
      <c r="AI64" s="41">
        <f>P64/'1. Väestöennuste'!R64*1000</f>
        <v>1383.7776548496697</v>
      </c>
    </row>
    <row r="65" spans="1:35" x14ac:dyDescent="0.2">
      <c r="A65" s="34">
        <v>169</v>
      </c>
      <c r="B65" s="88" t="s">
        <v>379</v>
      </c>
      <c r="C65" s="46">
        <v>1246</v>
      </c>
      <c r="D65" s="46">
        <v>1165</v>
      </c>
      <c r="E65" s="46">
        <v>611</v>
      </c>
      <c r="F65" s="46">
        <v>530</v>
      </c>
      <c r="G65" s="70">
        <v>871</v>
      </c>
      <c r="H65" s="41">
        <v>639</v>
      </c>
      <c r="I65" s="165">
        <v>370.18445999999994</v>
      </c>
      <c r="J65" s="41">
        <v>328.64843999999999</v>
      </c>
      <c r="K65" s="41">
        <v>934.51813000000004</v>
      </c>
      <c r="L65" s="41">
        <f t="shared" si="6"/>
        <v>931.84271144659851</v>
      </c>
      <c r="M65" s="41">
        <f t="shared" si="6"/>
        <v>929.18794992548828</v>
      </c>
      <c r="N65" s="41">
        <f t="shared" si="4"/>
        <v>926.55263468687531</v>
      </c>
      <c r="O65" s="41">
        <f t="shared" si="4"/>
        <v>923.93492916551509</v>
      </c>
      <c r="P65" s="41">
        <f t="shared" si="4"/>
        <v>921.30962922499759</v>
      </c>
      <c r="T65" s="34">
        <v>169</v>
      </c>
      <c r="U65" s="88" t="s">
        <v>379</v>
      </c>
      <c r="V65" s="41">
        <f>C65/'1. Väestöennuste'!E65*1000</f>
        <v>229.67741935483872</v>
      </c>
      <c r="W65" s="41">
        <f>D65/'1. Väestöennuste'!F65*1000</f>
        <v>218.12394682643699</v>
      </c>
      <c r="X65" s="41">
        <f>E65/'1. Väestöennuste'!G65*1000</f>
        <v>115.58834657586077</v>
      </c>
      <c r="Y65" s="41">
        <f>F65/'1. Väestöennuste'!H65*1000</f>
        <v>102.02117420596727</v>
      </c>
      <c r="Z65" s="41">
        <f>G65/'1. Väestöennuste'!I65*1000</f>
        <v>169.68634326904345</v>
      </c>
      <c r="AA65" s="41">
        <f>H65/'1. Väestöennuste'!J65*1000</f>
        <v>126.25963248369887</v>
      </c>
      <c r="AB65" s="41">
        <f>I65/'1. Väestöennuste'!K65*1000</f>
        <v>73.361961950059438</v>
      </c>
      <c r="AC65" s="41">
        <f>J65/'1. Väestöennuste'!L65*1000</f>
        <v>65.86141082164329</v>
      </c>
      <c r="AD65" s="41">
        <f>K65/'1. Väestöennuste'!M65*1000</f>
        <v>190.09725996745323</v>
      </c>
      <c r="AE65" s="41">
        <f>L65/'1. Väestöennuste'!N65*1000</f>
        <v>193.36848131284466</v>
      </c>
      <c r="AF65" s="41">
        <f>M65/'1. Väestöennuste'!O65*1000</f>
        <v>195.04365027823013</v>
      </c>
      <c r="AG65" s="41">
        <f>N65/'1. Väestöennuste'!P65*1000</f>
        <v>196.59508480519312</v>
      </c>
      <c r="AH65" s="41">
        <f>O65/'1. Väestöennuste'!Q65*1000</f>
        <v>198.14173904471693</v>
      </c>
      <c r="AI65" s="41">
        <f>P65/'1. Väestöennuste'!R65*1000</f>
        <v>199.50403404612337</v>
      </c>
    </row>
    <row r="66" spans="1:35" x14ac:dyDescent="0.2">
      <c r="A66" s="34">
        <v>171</v>
      </c>
      <c r="B66" s="88" t="s">
        <v>380</v>
      </c>
      <c r="C66" s="46">
        <v>16055</v>
      </c>
      <c r="D66" s="46">
        <v>14212</v>
      </c>
      <c r="E66" s="46">
        <v>16531</v>
      </c>
      <c r="F66" s="46">
        <v>13310</v>
      </c>
      <c r="G66" s="70">
        <v>11085</v>
      </c>
      <c r="H66" s="41">
        <v>14129</v>
      </c>
      <c r="I66" s="165">
        <v>15315.789620000001</v>
      </c>
      <c r="J66" s="41">
        <v>14133.267609999999</v>
      </c>
      <c r="K66" s="41">
        <v>9469.3612899999989</v>
      </c>
      <c r="L66" s="41">
        <f t="shared" si="6"/>
        <v>9442.2515913533516</v>
      </c>
      <c r="M66" s="41">
        <f t="shared" si="6"/>
        <v>9415.3512079630545</v>
      </c>
      <c r="N66" s="41">
        <f t="shared" si="4"/>
        <v>9388.647871445155</v>
      </c>
      <c r="O66" s="41">
        <f t="shared" si="4"/>
        <v>9362.1229721020172</v>
      </c>
      <c r="P66" s="41">
        <f t="shared" si="4"/>
        <v>9335.521119410967</v>
      </c>
      <c r="T66" s="34">
        <v>171</v>
      </c>
      <c r="U66" s="88" t="s">
        <v>380</v>
      </c>
      <c r="V66" s="41">
        <f>C66/'1. Väestöennuste'!E66*1000</f>
        <v>3141.8786692759295</v>
      </c>
      <c r="W66" s="41">
        <f>D66/'1. Väestöennuste'!F66*1000</f>
        <v>2820.4008731891249</v>
      </c>
      <c r="X66" s="41">
        <f>E66/'1. Väestöennuste'!G66*1000</f>
        <v>3362.0093552979456</v>
      </c>
      <c r="Y66" s="41">
        <f>F66/'1. Väestöennuste'!H66*1000</f>
        <v>2766.0016625103908</v>
      </c>
      <c r="Z66" s="41">
        <f>G66/'1. Väestöennuste'!I66*1000</f>
        <v>2325.3618628067966</v>
      </c>
      <c r="AA66" s="41">
        <f>H66/'1. Väestöennuste'!J66*1000</f>
        <v>3013.222435487311</v>
      </c>
      <c r="AB66" s="41">
        <f>I66/'1. Väestöennuste'!K66*1000</f>
        <v>3312.2382396193775</v>
      </c>
      <c r="AC66" s="41">
        <f>J66/'1. Väestöennuste'!L66*1000</f>
        <v>3113.0545396475768</v>
      </c>
      <c r="AD66" s="41">
        <f>K66/'1. Väestöennuste'!M66*1000</f>
        <v>2063.0416753812633</v>
      </c>
      <c r="AE66" s="41">
        <f>L66/'1. Väestöennuste'!N66*1000</f>
        <v>2145.4786619753131</v>
      </c>
      <c r="AF66" s="41">
        <f>M66/'1. Väestöennuste'!O66*1000</f>
        <v>2174.4460064579803</v>
      </c>
      <c r="AG66" s="41">
        <f>N66/'1. Väestöennuste'!P66*1000</f>
        <v>2203.3907231741741</v>
      </c>
      <c r="AH66" s="41">
        <f>O66/'1. Väestöennuste'!Q66*1000</f>
        <v>2231.7337239814105</v>
      </c>
      <c r="AI66" s="41">
        <f>P66/'1. Väestöennuste'!R66*1000</f>
        <v>2262.059878703893</v>
      </c>
    </row>
    <row r="67" spans="1:35" x14ac:dyDescent="0.2">
      <c r="A67" s="34">
        <v>172</v>
      </c>
      <c r="B67" s="88" t="s">
        <v>381</v>
      </c>
      <c r="C67" s="46">
        <v>2018</v>
      </c>
      <c r="D67" s="46">
        <v>2384</v>
      </c>
      <c r="E67" s="46">
        <v>1667</v>
      </c>
      <c r="F67" s="46">
        <v>1535</v>
      </c>
      <c r="G67" s="70">
        <v>110</v>
      </c>
      <c r="H67" s="41">
        <v>737</v>
      </c>
      <c r="I67" s="165">
        <v>948.62476000000004</v>
      </c>
      <c r="J67" s="41">
        <v>1653.7610500000001</v>
      </c>
      <c r="K67" s="41">
        <v>528.85286999999994</v>
      </c>
      <c r="L67" s="41">
        <f t="shared" si="6"/>
        <v>527.33882470221886</v>
      </c>
      <c r="M67" s="41">
        <f t="shared" si="6"/>
        <v>525.83646941928316</v>
      </c>
      <c r="N67" s="41">
        <f t="shared" si="4"/>
        <v>524.34511897614595</v>
      </c>
      <c r="O67" s="41">
        <f t="shared" si="4"/>
        <v>522.8637340427299</v>
      </c>
      <c r="P67" s="41">
        <f t="shared" si="4"/>
        <v>521.37805135388419</v>
      </c>
      <c r="T67" s="34">
        <v>172</v>
      </c>
      <c r="U67" s="88" t="s">
        <v>381</v>
      </c>
      <c r="V67" s="41">
        <f>C67/'1. Väestöennuste'!E67*1000</f>
        <v>430.4607508532423</v>
      </c>
      <c r="W67" s="41">
        <f>D67/'1. Väestöennuste'!F67*1000</f>
        <v>510.16477637491977</v>
      </c>
      <c r="X67" s="41">
        <f>E67/'1. Väestöennuste'!G67*1000</f>
        <v>365.00985329537986</v>
      </c>
      <c r="Y67" s="41">
        <f>F67/'1. Väestöennuste'!H67*1000</f>
        <v>343.63107230803666</v>
      </c>
      <c r="Z67" s="41">
        <f>G67/'1. Väestöennuste'!I67*1000</f>
        <v>25.131368517249257</v>
      </c>
      <c r="AA67" s="41">
        <f>H67/'1. Väestöennuste'!J67*1000</f>
        <v>171.51501047242263</v>
      </c>
      <c r="AB67" s="41">
        <f>I67/'1. Väestöennuste'!K67*1000</f>
        <v>222.52516068496365</v>
      </c>
      <c r="AC67" s="41">
        <f>J67/'1. Väestöennuste'!L67*1000</f>
        <v>396.49030208583076</v>
      </c>
      <c r="AD67" s="41">
        <f>K67/'1. Väestöennuste'!M67*1000</f>
        <v>129.65257906349595</v>
      </c>
      <c r="AE67" s="41">
        <f>L67/'1. Väestöennuste'!N67*1000</f>
        <v>131.04841568146591</v>
      </c>
      <c r="AF67" s="41">
        <f>M67/'1. Väestöennuste'!O67*1000</f>
        <v>132.51927152703706</v>
      </c>
      <c r="AG67" s="41">
        <f>N67/'1. Väestöennuste'!P67*1000</f>
        <v>134.1036109913417</v>
      </c>
      <c r="AH67" s="41">
        <f>O67/'1. Väestöennuste'!Q67*1000</f>
        <v>135.49202747932881</v>
      </c>
      <c r="AI67" s="41">
        <f>P67/'1. Väestöennuste'!R67*1000</f>
        <v>136.80872509941858</v>
      </c>
    </row>
    <row r="68" spans="1:35" x14ac:dyDescent="0.2">
      <c r="A68" s="34">
        <v>176</v>
      </c>
      <c r="B68" s="88" t="s">
        <v>382</v>
      </c>
      <c r="C68" s="46">
        <v>4001</v>
      </c>
      <c r="D68" s="46">
        <v>4052</v>
      </c>
      <c r="E68" s="46">
        <v>4163</v>
      </c>
      <c r="F68" s="46">
        <v>6413</v>
      </c>
      <c r="G68" s="70">
        <v>5373</v>
      </c>
      <c r="H68" s="41">
        <v>6203</v>
      </c>
      <c r="I68" s="165">
        <v>3525.6984000000002</v>
      </c>
      <c r="J68" s="41">
        <v>6629.6085899999998</v>
      </c>
      <c r="K68" s="41">
        <v>6565.3944499999998</v>
      </c>
      <c r="L68" s="41">
        <f t="shared" si="6"/>
        <v>6546.5984763767492</v>
      </c>
      <c r="M68" s="41">
        <f t="shared" si="6"/>
        <v>6527.9476273485225</v>
      </c>
      <c r="N68" s="41">
        <f t="shared" si="4"/>
        <v>6509.4333968738392</v>
      </c>
      <c r="O68" s="41">
        <f t="shared" si="4"/>
        <v>6491.0428822867416</v>
      </c>
      <c r="P68" s="41">
        <f t="shared" si="4"/>
        <v>6472.5990136171649</v>
      </c>
      <c r="T68" s="34">
        <v>176</v>
      </c>
      <c r="U68" s="88" t="s">
        <v>382</v>
      </c>
      <c r="V68" s="41">
        <f>C68/'1. Väestöennuste'!E68*1000</f>
        <v>794.79539133889557</v>
      </c>
      <c r="W68" s="41">
        <f>D68/'1. Väestöennuste'!F68*1000</f>
        <v>820.57513163223973</v>
      </c>
      <c r="X68" s="41">
        <f>E68/'1. Väestöennuste'!G68*1000</f>
        <v>864.23084907618852</v>
      </c>
      <c r="Y68" s="41">
        <f>F68/'1. Väestöennuste'!H68*1000</f>
        <v>1361.8602675727332</v>
      </c>
      <c r="Z68" s="41">
        <f>G68/'1. Väestöennuste'!I68*1000</f>
        <v>1166.5219279201042</v>
      </c>
      <c r="AA68" s="41">
        <f>H68/'1. Väestöennuste'!J68*1000</f>
        <v>1370.2231058095867</v>
      </c>
      <c r="AB68" s="41">
        <f>I68/'1. Väestöennuste'!K68*1000</f>
        <v>793.36147614761478</v>
      </c>
      <c r="AC68" s="41">
        <f>J68/'1. Väestöennuste'!L68*1000</f>
        <v>1523.3475620404411</v>
      </c>
      <c r="AD68" s="41">
        <f>K68/'1. Väestöennuste'!M68*1000</f>
        <v>1541.5342686076542</v>
      </c>
      <c r="AE68" s="41">
        <f>L68/'1. Väestöennuste'!N68*1000</f>
        <v>1570.3042639426119</v>
      </c>
      <c r="AF68" s="41">
        <f>M68/'1. Väestöennuste'!O68*1000</f>
        <v>1597.6376963652772</v>
      </c>
      <c r="AG68" s="41">
        <f>N68/'1. Väestöennuste'!P68*1000</f>
        <v>1625.326690854891</v>
      </c>
      <c r="AH68" s="41">
        <f>O68/'1. Väestöennuste'!Q68*1000</f>
        <v>1649.9854810083227</v>
      </c>
      <c r="AI68" s="41">
        <f>P68/'1. Väestöennuste'!R68*1000</f>
        <v>1674.6698612204825</v>
      </c>
    </row>
    <row r="69" spans="1:35" x14ac:dyDescent="0.2">
      <c r="A69" s="34">
        <v>177</v>
      </c>
      <c r="B69" s="88" t="s">
        <v>383</v>
      </c>
      <c r="C69" s="46">
        <v>1041</v>
      </c>
      <c r="D69" s="46">
        <v>587</v>
      </c>
      <c r="E69" s="46">
        <v>622</v>
      </c>
      <c r="F69" s="46">
        <v>677</v>
      </c>
      <c r="G69" s="70">
        <v>693</v>
      </c>
      <c r="H69" s="41">
        <v>1650</v>
      </c>
      <c r="I69" s="165">
        <v>2467.2578299999996</v>
      </c>
      <c r="J69" s="41">
        <v>2850.1639500000001</v>
      </c>
      <c r="K69" s="41">
        <v>2483.62111</v>
      </c>
      <c r="L69" s="41">
        <f t="shared" si="6"/>
        <v>2476.510786739269</v>
      </c>
      <c r="M69" s="41">
        <f t="shared" si="6"/>
        <v>2469.4553626183424</v>
      </c>
      <c r="N69" s="41">
        <f t="shared" si="4"/>
        <v>2462.4516198893234</v>
      </c>
      <c r="O69" s="41">
        <f t="shared" si="4"/>
        <v>2455.4946776065517</v>
      </c>
      <c r="P69" s="41">
        <f t="shared" si="4"/>
        <v>2448.5175520238186</v>
      </c>
      <c r="T69" s="34">
        <v>177</v>
      </c>
      <c r="U69" s="88" t="s">
        <v>383</v>
      </c>
      <c r="V69" s="41">
        <f>C69/'1. Väestöennuste'!E69*1000</f>
        <v>523.64185110663982</v>
      </c>
      <c r="W69" s="41">
        <f>D69/'1. Väestöennuste'!F69*1000</f>
        <v>299.94890137966274</v>
      </c>
      <c r="X69" s="41">
        <f>E69/'1. Väestöennuste'!G69*1000</f>
        <v>326.68067226890759</v>
      </c>
      <c r="Y69" s="41">
        <f>F69/'1. Väestöennuste'!H69*1000</f>
        <v>359.34182590233542</v>
      </c>
      <c r="Z69" s="41">
        <f>G69/'1. Väestöennuste'!I69*1000</f>
        <v>375.81344902386115</v>
      </c>
      <c r="AA69" s="41">
        <f>H69/'1. Väestöennuste'!J69*1000</f>
        <v>916.66666666666663</v>
      </c>
      <c r="AB69" s="41">
        <f>I69/'1. Väestöennuste'!K69*1000</f>
        <v>1381.4433538633816</v>
      </c>
      <c r="AC69" s="41">
        <f>J69/'1. Väestöennuste'!L69*1000</f>
        <v>1612.0836821266969</v>
      </c>
      <c r="AD69" s="41">
        <f>K69/'1. Väestöennuste'!M69*1000</f>
        <v>1454.1107201405152</v>
      </c>
      <c r="AE69" s="41">
        <f>L69/'1. Väestöennuste'!N69*1000</f>
        <v>1479.3971246949038</v>
      </c>
      <c r="AF69" s="41">
        <f>M69/'1. Väestöennuste'!O69*1000</f>
        <v>1499.3657332230373</v>
      </c>
      <c r="AG69" s="41">
        <f>N69/'1. Väestöennuste'!P69*1000</f>
        <v>1518.157595492801</v>
      </c>
      <c r="AH69" s="41">
        <f>O69/'1. Väestöennuste'!Q69*1000</f>
        <v>1534.6841735040948</v>
      </c>
      <c r="AI69" s="41">
        <f>P69/'1. Väestöennuste'!R69*1000</f>
        <v>1551.6587782153476</v>
      </c>
    </row>
    <row r="70" spans="1:35" x14ac:dyDescent="0.2">
      <c r="A70" s="34">
        <v>178</v>
      </c>
      <c r="B70" s="88" t="s">
        <v>384</v>
      </c>
      <c r="C70" s="46">
        <v>833</v>
      </c>
      <c r="D70" s="46">
        <v>1250</v>
      </c>
      <c r="E70" s="46">
        <v>3172</v>
      </c>
      <c r="F70" s="46">
        <v>570</v>
      </c>
      <c r="G70" s="70">
        <v>849</v>
      </c>
      <c r="H70" s="41">
        <v>3046</v>
      </c>
      <c r="I70" s="165">
        <v>1976.8584099999998</v>
      </c>
      <c r="J70" s="41">
        <v>1997.6316899999999</v>
      </c>
      <c r="K70" s="41">
        <v>763.79594999999995</v>
      </c>
      <c r="L70" s="41">
        <f t="shared" si="6"/>
        <v>761.60928952756694</v>
      </c>
      <c r="M70" s="41">
        <f t="shared" si="6"/>
        <v>759.43951236332953</v>
      </c>
      <c r="N70" s="41">
        <f t="shared" si="4"/>
        <v>757.28562894297693</v>
      </c>
      <c r="O70" s="41">
        <f t="shared" si="4"/>
        <v>755.1461382136664</v>
      </c>
      <c r="P70" s="41">
        <f t="shared" si="4"/>
        <v>753.00044044951233</v>
      </c>
      <c r="T70" s="34">
        <v>178</v>
      </c>
      <c r="U70" s="88" t="s">
        <v>384</v>
      </c>
      <c r="V70" s="41">
        <f>C70/'1. Väestöennuste'!E70*1000</f>
        <v>127.21441661576056</v>
      </c>
      <c r="W70" s="41">
        <f>D70/'1. Väestöennuste'!F70*1000</f>
        <v>194.67372683382649</v>
      </c>
      <c r="X70" s="41">
        <f>E70/'1. Väestöennuste'!G70*1000</f>
        <v>500.78939059046411</v>
      </c>
      <c r="Y70" s="41">
        <f>F70/'1. Väestöennuste'!H70*1000</f>
        <v>91.566265060240966</v>
      </c>
      <c r="Z70" s="41">
        <f>G70/'1. Väestöennuste'!I70*1000</f>
        <v>138.81621975147155</v>
      </c>
      <c r="AA70" s="41">
        <f>H70/'1. Väestöennuste'!J70*1000</f>
        <v>513.48617666891437</v>
      </c>
      <c r="AB70" s="41">
        <f>I70/'1. Väestöennuste'!K70*1000</f>
        <v>335.80064718872086</v>
      </c>
      <c r="AC70" s="41">
        <f>J70/'1. Väestöennuste'!L70*1000</f>
        <v>346.27001040041597</v>
      </c>
      <c r="AD70" s="41">
        <f>K70/'1. Väestöennuste'!M70*1000</f>
        <v>133.20473491454482</v>
      </c>
      <c r="AE70" s="41">
        <f>L70/'1. Väestöennuste'!N70*1000</f>
        <v>137.92272537623452</v>
      </c>
      <c r="AF70" s="41">
        <f>M70/'1. Väestöennuste'!O70*1000</f>
        <v>139.78271900668682</v>
      </c>
      <c r="AG70" s="41">
        <f>N70/'1. Väestöennuste'!P70*1000</f>
        <v>141.62813333513688</v>
      </c>
      <c r="AH70" s="41">
        <f>O70/'1. Väestöennuste'!Q70*1000</f>
        <v>143.31868252299608</v>
      </c>
      <c r="AI70" s="41">
        <f>P70/'1. Väestöennuste'!R70*1000</f>
        <v>145.00297331975972</v>
      </c>
    </row>
    <row r="71" spans="1:35" x14ac:dyDescent="0.2">
      <c r="A71" s="34">
        <v>179</v>
      </c>
      <c r="B71" s="88" t="s">
        <v>385</v>
      </c>
      <c r="C71" s="46">
        <v>11603</v>
      </c>
      <c r="D71" s="46">
        <v>24342</v>
      </c>
      <c r="E71" s="46">
        <v>30018</v>
      </c>
      <c r="F71" s="46">
        <v>6738</v>
      </c>
      <c r="G71" s="70">
        <v>2450</v>
      </c>
      <c r="H71" s="41">
        <v>517</v>
      </c>
      <c r="I71" s="165">
        <v>49712.817779999998</v>
      </c>
      <c r="J71" s="41">
        <v>36703.443359999997</v>
      </c>
      <c r="K71" s="41">
        <v>3756.0507900000002</v>
      </c>
      <c r="L71" s="41">
        <f t="shared" si="6"/>
        <v>3745.297646055019</v>
      </c>
      <c r="M71" s="41">
        <f t="shared" si="6"/>
        <v>3734.6275276394163</v>
      </c>
      <c r="N71" s="41">
        <f t="shared" si="4"/>
        <v>3724.0355684615979</v>
      </c>
      <c r="O71" s="41">
        <f t="shared" si="4"/>
        <v>3713.5143869287235</v>
      </c>
      <c r="P71" s="41">
        <f t="shared" si="4"/>
        <v>3702.9626816177015</v>
      </c>
      <c r="T71" s="34">
        <v>179</v>
      </c>
      <c r="U71" s="88" t="s">
        <v>385</v>
      </c>
      <c r="V71" s="41">
        <f>C71/'1. Väestöennuste'!E71*1000</f>
        <v>84.466542426183679</v>
      </c>
      <c r="W71" s="41">
        <f>D71/'1. Väestöennuste'!F71*1000</f>
        <v>175.3114872164206</v>
      </c>
      <c r="X71" s="41">
        <f>E71/'1. Väestöennuste'!G71*1000</f>
        <v>214.12674408651239</v>
      </c>
      <c r="Y71" s="41">
        <f>F71/'1. Väestöennuste'!H71*1000</f>
        <v>47.68408761190333</v>
      </c>
      <c r="Z71" s="41">
        <f>G71/'1. Väestöennuste'!I71*1000</f>
        <v>17.20505617977528</v>
      </c>
      <c r="AA71" s="41">
        <f>H71/'1. Väestöennuste'!J71*1000</f>
        <v>3.6047970994282528</v>
      </c>
      <c r="AB71" s="41">
        <f>I71/'1. Väestöennuste'!K71*1000</f>
        <v>344.09763609809448</v>
      </c>
      <c r="AC71" s="41">
        <f>J71/'1. Väestöennuste'!L71*1000</f>
        <v>251.58817002200328</v>
      </c>
      <c r="AD71" s="41">
        <f>K71/'1. Väestöennuste'!M71*1000</f>
        <v>25.422351806478687</v>
      </c>
      <c r="AE71" s="41">
        <f>L71/'1. Väestöennuste'!N71*1000</f>
        <v>25.380319760210742</v>
      </c>
      <c r="AF71" s="41">
        <f>M71/'1. Väestöennuste'!O71*1000</f>
        <v>25.165444954882421</v>
      </c>
      <c r="AG71" s="41">
        <f>N71/'1. Väestöennuste'!P71*1000</f>
        <v>24.964206927847144</v>
      </c>
      <c r="AH71" s="41">
        <f>O71/'1. Väestöennuste'!Q71*1000</f>
        <v>24.773939177354457</v>
      </c>
      <c r="AI71" s="41">
        <f>P71/'1. Väestöennuste'!R71*1000</f>
        <v>24.593454618991558</v>
      </c>
    </row>
    <row r="72" spans="1:35" x14ac:dyDescent="0.2">
      <c r="A72" s="34">
        <v>181</v>
      </c>
      <c r="B72" s="88" t="s">
        <v>386</v>
      </c>
      <c r="C72" s="46">
        <v>52</v>
      </c>
      <c r="D72" s="46">
        <v>165</v>
      </c>
      <c r="E72" s="46">
        <v>199</v>
      </c>
      <c r="F72" s="46">
        <v>129</v>
      </c>
      <c r="G72" s="70">
        <v>891</v>
      </c>
      <c r="H72" s="41">
        <v>840</v>
      </c>
      <c r="I72" s="165">
        <v>5883.90085</v>
      </c>
      <c r="J72" s="41">
        <v>261.29122000000001</v>
      </c>
      <c r="K72" s="41">
        <v>550.33657999999991</v>
      </c>
      <c r="L72" s="41">
        <f t="shared" si="6"/>
        <v>548.76102929693593</v>
      </c>
      <c r="M72" s="41">
        <f t="shared" si="6"/>
        <v>547.19764349483978</v>
      </c>
      <c r="N72" s="41">
        <f t="shared" si="4"/>
        <v>545.64570958464355</v>
      </c>
      <c r="O72" s="41">
        <f t="shared" si="4"/>
        <v>544.10414601532841</v>
      </c>
      <c r="P72" s="41">
        <f t="shared" si="4"/>
        <v>542.55811010189075</v>
      </c>
      <c r="T72" s="34">
        <v>181</v>
      </c>
      <c r="U72" s="88" t="s">
        <v>386</v>
      </c>
      <c r="V72" s="41">
        <f>C72/'1. Väestöennuste'!E72*1000</f>
        <v>26.694045174537987</v>
      </c>
      <c r="W72" s="41">
        <f>D72/'1. Väestöennuste'!F72*1000</f>
        <v>86.161879895561356</v>
      </c>
      <c r="X72" s="41">
        <f>E72/'1. Väestöennuste'!G72*1000</f>
        <v>106.58810926620247</v>
      </c>
      <c r="Y72" s="41">
        <f>F72/'1. Väestöennuste'!H72*1000</f>
        <v>71.310116086235482</v>
      </c>
      <c r="Z72" s="41">
        <f>G72/'1. Väestöennuste'!I72*1000</f>
        <v>512.36342725704435</v>
      </c>
      <c r="AA72" s="41">
        <f>H72/'1. Väestöennuste'!J72*1000</f>
        <v>492.09138840070301</v>
      </c>
      <c r="AB72" s="41">
        <f>I72/'1. Väestöennuste'!K72*1000</f>
        <v>3491.9292878338279</v>
      </c>
      <c r="AC72" s="41">
        <f>J72/'1. Väestöennuste'!L72*1000</f>
        <v>155.25325014854428</v>
      </c>
      <c r="AD72" s="41">
        <f>K72/'1. Väestöennuste'!M72*1000</f>
        <v>327.1917835909631</v>
      </c>
      <c r="AE72" s="41">
        <f>L72/'1. Väestöennuste'!N72*1000</f>
        <v>350.87022333563675</v>
      </c>
      <c r="AF72" s="41">
        <f>M72/'1. Väestöennuste'!O72*1000</f>
        <v>356.48054950803891</v>
      </c>
      <c r="AG72" s="41">
        <f>N72/'1. Väestöennuste'!P72*1000</f>
        <v>362.07412712982318</v>
      </c>
      <c r="AH72" s="41">
        <f>O72/'1. Väestöennuste'!Q72*1000</f>
        <v>368.13541678980272</v>
      </c>
      <c r="AI72" s="41">
        <f>P72/'1. Väestöennuste'!R72*1000</f>
        <v>373.40544397927789</v>
      </c>
    </row>
    <row r="73" spans="1:35" x14ac:dyDescent="0.2">
      <c r="A73" s="34">
        <v>182</v>
      </c>
      <c r="B73" s="88" t="s">
        <v>387</v>
      </c>
      <c r="C73" s="46">
        <v>6580</v>
      </c>
      <c r="D73" s="46">
        <v>6389</v>
      </c>
      <c r="E73" s="46">
        <v>10687</v>
      </c>
      <c r="F73" s="46">
        <v>11078</v>
      </c>
      <c r="G73" s="70">
        <v>6769</v>
      </c>
      <c r="H73" s="41">
        <v>16017</v>
      </c>
      <c r="I73" s="165">
        <v>12401.945760000001</v>
      </c>
      <c r="J73" s="41">
        <v>6583.3912399999999</v>
      </c>
      <c r="K73" s="41">
        <v>7268.7507100000003</v>
      </c>
      <c r="L73" s="41">
        <f t="shared" si="6"/>
        <v>7247.9411078261128</v>
      </c>
      <c r="M73" s="41">
        <f t="shared" si="6"/>
        <v>7227.2921775678515</v>
      </c>
      <c r="N73" s="41">
        <f t="shared" si="4"/>
        <v>7206.794501924318</v>
      </c>
      <c r="O73" s="41">
        <f t="shared" si="4"/>
        <v>7186.4337959560371</v>
      </c>
      <c r="P73" s="41">
        <f t="shared" si="4"/>
        <v>7166.014020037298</v>
      </c>
      <c r="T73" s="34">
        <v>182</v>
      </c>
      <c r="U73" s="88" t="s">
        <v>387</v>
      </c>
      <c r="V73" s="41">
        <f>C73/'1. Väestöennuste'!E73*1000</f>
        <v>305.44981895831398</v>
      </c>
      <c r="W73" s="41">
        <f>D73/'1. Väestöennuste'!F73*1000</f>
        <v>300.53153958323537</v>
      </c>
      <c r="X73" s="41">
        <f>E73/'1. Väestöennuste'!G73*1000</f>
        <v>511.90305120467508</v>
      </c>
      <c r="Y73" s="41">
        <f>F73/'1. Väestöennuste'!H73*1000</f>
        <v>537.5843160091232</v>
      </c>
      <c r="Z73" s="41">
        <f>G73/'1. Väestöennuste'!I73*1000</f>
        <v>335.39787929838474</v>
      </c>
      <c r="AA73" s="41">
        <f>H73/'1. Väestöennuste'!J73*1000</f>
        <v>805.400512897873</v>
      </c>
      <c r="AB73" s="41">
        <f>I73/'1. Väestöennuste'!K73*1000</f>
        <v>627.40657459402041</v>
      </c>
      <c r="AC73" s="41">
        <f>J73/'1. Väestöennuste'!L73*1000</f>
        <v>340.27969400940714</v>
      </c>
      <c r="AD73" s="41">
        <f>K73/'1. Väestöennuste'!M73*1000</f>
        <v>378.93601866333023</v>
      </c>
      <c r="AE73" s="41">
        <f>L73/'1. Väestöennuste'!N73*1000</f>
        <v>389.13030751777688</v>
      </c>
      <c r="AF73" s="41">
        <f>M73/'1. Väestöennuste'!O73*1000</f>
        <v>393.60048892102452</v>
      </c>
      <c r="AG73" s="41">
        <f>N73/'1. Väestöennuste'!P73*1000</f>
        <v>398.07746917390182</v>
      </c>
      <c r="AH73" s="41">
        <f>O73/'1. Väestöennuste'!Q73*1000</f>
        <v>402.398443135452</v>
      </c>
      <c r="AI73" s="41">
        <f>P73/'1. Väestöennuste'!R73*1000</f>
        <v>406.72081389620848</v>
      </c>
    </row>
    <row r="74" spans="1:35" x14ac:dyDescent="0.2">
      <c r="A74" s="34">
        <v>186</v>
      </c>
      <c r="B74" s="88" t="s">
        <v>388</v>
      </c>
      <c r="C74" s="46">
        <v>1689</v>
      </c>
      <c r="D74" s="46">
        <v>1590</v>
      </c>
      <c r="E74" s="46">
        <v>492</v>
      </c>
      <c r="F74" s="46">
        <v>643</v>
      </c>
      <c r="G74" s="70">
        <v>2464</v>
      </c>
      <c r="H74" s="41">
        <v>20589</v>
      </c>
      <c r="I74" s="165">
        <v>6312.6165799999999</v>
      </c>
      <c r="J74" s="41">
        <v>744.51373000000001</v>
      </c>
      <c r="K74" s="41">
        <v>5330.0716600000005</v>
      </c>
      <c r="L74" s="41">
        <f t="shared" si="6"/>
        <v>5314.8122742777314</v>
      </c>
      <c r="M74" s="41">
        <f t="shared" si="6"/>
        <v>5299.6707069892209</v>
      </c>
      <c r="N74" s="41">
        <f t="shared" si="4"/>
        <v>5284.6400525614708</v>
      </c>
      <c r="O74" s="41">
        <f t="shared" si="4"/>
        <v>5269.7098360512491</v>
      </c>
      <c r="P74" s="41">
        <f t="shared" si="4"/>
        <v>5254.7363043853074</v>
      </c>
      <c r="T74" s="34">
        <v>186</v>
      </c>
      <c r="U74" s="88" t="s">
        <v>388</v>
      </c>
      <c r="V74" s="41">
        <f>C74/'1. Väestöennuste'!E74*1000</f>
        <v>41.295843520782398</v>
      </c>
      <c r="W74" s="41">
        <f>D74/'1. Väestöennuste'!F74*1000</f>
        <v>38.286498591345804</v>
      </c>
      <c r="X74" s="41">
        <f>E74/'1. Väestöennuste'!G74*1000</f>
        <v>11.55689185380062</v>
      </c>
      <c r="Y74" s="41">
        <f>F74/'1. Väestöennuste'!H74*1000</f>
        <v>14.812255240727943</v>
      </c>
      <c r="Z74" s="41">
        <f>G74/'1. Väestöennuste'!I74*1000</f>
        <v>56.370250051474457</v>
      </c>
      <c r="AA74" s="41">
        <f>H74/'1. Väestöennuste'!J74*1000</f>
        <v>463.14250365538186</v>
      </c>
      <c r="AB74" s="41">
        <f>I74/'1. Väestöennuste'!K74*1000</f>
        <v>139.57936983151285</v>
      </c>
      <c r="AC74" s="41">
        <f>J74/'1. Väestöennuste'!L74*1000</f>
        <v>16.316321060705675</v>
      </c>
      <c r="AD74" s="41">
        <f>K74/'1. Väestöennuste'!M74*1000</f>
        <v>114.6498528715853</v>
      </c>
      <c r="AE74" s="41">
        <f>L74/'1. Väestöennuste'!N74*1000</f>
        <v>112.69746128663552</v>
      </c>
      <c r="AF74" s="41">
        <f>M74/'1. Väestöennuste'!O74*1000</f>
        <v>110.9530138592949</v>
      </c>
      <c r="AG74" s="41">
        <f>N74/'1. Väestöennuste'!P74*1000</f>
        <v>109.32230145969116</v>
      </c>
      <c r="AH74" s="41">
        <f>O74/'1. Väestöennuste'!Q74*1000</f>
        <v>107.78266047719973</v>
      </c>
      <c r="AI74" s="41">
        <f>P74/'1. Väestöennuste'!R74*1000</f>
        <v>106.34104311299039</v>
      </c>
    </row>
    <row r="75" spans="1:35" x14ac:dyDescent="0.2">
      <c r="A75" s="34">
        <v>202</v>
      </c>
      <c r="B75" s="88" t="s">
        <v>389</v>
      </c>
      <c r="C75" s="46">
        <v>11679</v>
      </c>
      <c r="D75" s="46">
        <v>14495</v>
      </c>
      <c r="E75" s="46">
        <v>14895</v>
      </c>
      <c r="F75" s="46">
        <v>8941</v>
      </c>
      <c r="G75" s="70">
        <v>16552</v>
      </c>
      <c r="H75" s="41">
        <v>22659</v>
      </c>
      <c r="I75" s="165">
        <v>25864.959070000001</v>
      </c>
      <c r="J75" s="41">
        <v>30824.658940000001</v>
      </c>
      <c r="K75" s="41">
        <v>28957.22465</v>
      </c>
      <c r="L75" s="41">
        <f t="shared" ref="L75:M94" si="7">K75*L$8</f>
        <v>28874.323426795665</v>
      </c>
      <c r="M75" s="41">
        <f t="shared" si="7"/>
        <v>28792.062287828823</v>
      </c>
      <c r="N75" s="41">
        <f t="shared" si="4"/>
        <v>28710.403716487799</v>
      </c>
      <c r="O75" s="41">
        <f t="shared" si="4"/>
        <v>28629.290804478725</v>
      </c>
      <c r="P75" s="41">
        <f t="shared" si="4"/>
        <v>28547.942569799539</v>
      </c>
      <c r="T75" s="34">
        <v>202</v>
      </c>
      <c r="U75" s="88" t="s">
        <v>389</v>
      </c>
      <c r="V75" s="41">
        <f>C75/'1. Väestöennuste'!E75*1000</f>
        <v>358.36146057072722</v>
      </c>
      <c r="W75" s="41">
        <f>D75/'1. Väestöennuste'!F75*1000</f>
        <v>442.75765165862305</v>
      </c>
      <c r="X75" s="41">
        <f>E75/'1. Väestöennuste'!G75*1000</f>
        <v>450.01359557690563</v>
      </c>
      <c r="Y75" s="41">
        <f>F75/'1. Väestöennuste'!H75*1000</f>
        <v>267.23055771414909</v>
      </c>
      <c r="Z75" s="41">
        <f>G75/'1. Väestöennuste'!I75*1000</f>
        <v>487.72725933347084</v>
      </c>
      <c r="AA75" s="41">
        <f>H75/'1. Väestöennuste'!J75*1000</f>
        <v>653.6187152046615</v>
      </c>
      <c r="AB75" s="41">
        <f>I75/'1. Väestöennuste'!K75*1000</f>
        <v>728.65197256106148</v>
      </c>
      <c r="AC75" s="41">
        <f>J75/'1. Väestöennuste'!L75*1000</f>
        <v>859.87109294800268</v>
      </c>
      <c r="AD75" s="41">
        <f>K75/'1. Väestöennuste'!M75*1000</f>
        <v>796.86355293211147</v>
      </c>
      <c r="AE75" s="41">
        <f>L75/'1. Väestöennuste'!N75*1000</f>
        <v>790.18974376168319</v>
      </c>
      <c r="AF75" s="41">
        <f>M75/'1. Väestöennuste'!O75*1000</f>
        <v>779.25902045655585</v>
      </c>
      <c r="AG75" s="41">
        <f>N75/'1. Väestöennuste'!P75*1000</f>
        <v>768.99434087284851</v>
      </c>
      <c r="AH75" s="41">
        <f>O75/'1. Väestöennuste'!Q75*1000</f>
        <v>759.3774914320237</v>
      </c>
      <c r="AI75" s="41">
        <f>P75/'1. Väestöennuste'!R75*1000</f>
        <v>750.35332412867422</v>
      </c>
    </row>
    <row r="76" spans="1:35" x14ac:dyDescent="0.2">
      <c r="A76" s="34">
        <v>204</v>
      </c>
      <c r="B76" s="88" t="s">
        <v>390</v>
      </c>
      <c r="C76" s="46">
        <v>1256</v>
      </c>
      <c r="D76" s="46">
        <v>175</v>
      </c>
      <c r="E76" s="46">
        <v>454</v>
      </c>
      <c r="F76" s="46">
        <v>1258</v>
      </c>
      <c r="G76" s="70">
        <v>1163</v>
      </c>
      <c r="H76" s="41">
        <v>2998</v>
      </c>
      <c r="I76" s="165">
        <v>1447.41778</v>
      </c>
      <c r="J76" s="41">
        <v>834.78512000000001</v>
      </c>
      <c r="K76" s="41">
        <v>596.80959999999993</v>
      </c>
      <c r="L76" s="41">
        <f t="shared" si="7"/>
        <v>595.10100235440029</v>
      </c>
      <c r="M76" s="41">
        <f t="shared" si="7"/>
        <v>593.40559687145992</v>
      </c>
      <c r="N76" s="41">
        <f t="shared" si="4"/>
        <v>591.72261033225766</v>
      </c>
      <c r="O76" s="41">
        <f t="shared" si="4"/>
        <v>590.0508698544985</v>
      </c>
      <c r="P76" s="41">
        <f t="shared" si="4"/>
        <v>588.3742793667567</v>
      </c>
      <c r="T76" s="34">
        <v>204</v>
      </c>
      <c r="U76" s="88" t="s">
        <v>390</v>
      </c>
      <c r="V76" s="41">
        <f>C76/'1. Väestöennuste'!E76*1000</f>
        <v>393.23731997495304</v>
      </c>
      <c r="W76" s="41">
        <f>D76/'1. Väestöennuste'!F76*1000</f>
        <v>55.485098287888398</v>
      </c>
      <c r="X76" s="41">
        <f>E76/'1. Väestöennuste'!G76*1000</f>
        <v>148.95013123359578</v>
      </c>
      <c r="Y76" s="41">
        <f>F76/'1. Väestöennuste'!H76*1000</f>
        <v>420.73578595317724</v>
      </c>
      <c r="Z76" s="41">
        <f>G76/'1. Väestöennuste'!I76*1000</f>
        <v>402.00483926719664</v>
      </c>
      <c r="AA76" s="41">
        <f>H76/'1. Väestöennuste'!J76*1000</f>
        <v>1068.0441752760953</v>
      </c>
      <c r="AB76" s="41">
        <f>I76/'1. Väestöennuste'!K76*1000</f>
        <v>521.02871850251972</v>
      </c>
      <c r="AC76" s="41">
        <f>J76/'1. Väestöennuste'!L76*1000</f>
        <v>310.44444775009299</v>
      </c>
      <c r="AD76" s="41">
        <f>K76/'1. Väestöennuste'!M76*1000</f>
        <v>227.09649923896495</v>
      </c>
      <c r="AE76" s="41">
        <f>L76/'1. Väestöennuste'!N76*1000</f>
        <v>231.28682563326865</v>
      </c>
      <c r="AF76" s="41">
        <f>M76/'1. Väestöennuste'!O76*1000</f>
        <v>234.64040999266899</v>
      </c>
      <c r="AG76" s="41">
        <f>N76/'1. Väestöennuste'!P76*1000</f>
        <v>237.73507847820719</v>
      </c>
      <c r="AH76" s="41">
        <f>O76/'1. Väestöennuste'!Q76*1000</f>
        <v>240.73882899000347</v>
      </c>
      <c r="AI76" s="41">
        <f>P76/'1. Väestöennuste'!R76*1000</f>
        <v>243.83517586686975</v>
      </c>
    </row>
    <row r="77" spans="1:35" x14ac:dyDescent="0.2">
      <c r="A77" s="34">
        <v>205</v>
      </c>
      <c r="B77" s="88" t="s">
        <v>391</v>
      </c>
      <c r="C77" s="46">
        <v>9002</v>
      </c>
      <c r="D77" s="46">
        <v>1828</v>
      </c>
      <c r="E77" s="46">
        <v>1386</v>
      </c>
      <c r="F77" s="46">
        <v>5036</v>
      </c>
      <c r="G77" s="70">
        <v>224505</v>
      </c>
      <c r="H77" s="41">
        <v>189512</v>
      </c>
      <c r="I77" s="165">
        <v>198167.39650999999</v>
      </c>
      <c r="J77" s="41">
        <v>198611.87904</v>
      </c>
      <c r="K77" s="41">
        <v>183762.60100999998</v>
      </c>
      <c r="L77" s="41">
        <f t="shared" si="7"/>
        <v>183236.50969472129</v>
      </c>
      <c r="M77" s="41">
        <f t="shared" si="7"/>
        <v>182714.48035519366</v>
      </c>
      <c r="N77" s="41">
        <f t="shared" si="4"/>
        <v>182196.27491093031</v>
      </c>
      <c r="O77" s="41">
        <f t="shared" si="4"/>
        <v>181681.5322217934</v>
      </c>
      <c r="P77" s="41">
        <f t="shared" si="4"/>
        <v>181165.29617455814</v>
      </c>
      <c r="T77" s="34">
        <v>205</v>
      </c>
      <c r="U77" s="88" t="s">
        <v>391</v>
      </c>
      <c r="V77" s="41">
        <f>C77/'1. Väestöennuste'!E77*1000</f>
        <v>239.27489235022063</v>
      </c>
      <c r="W77" s="41">
        <f>D77/'1. Väestöennuste'!F77*1000</f>
        <v>48.719383811732094</v>
      </c>
      <c r="X77" s="41">
        <f>E77/'1. Väestöennuste'!G77*1000</f>
        <v>37.219044550068475</v>
      </c>
      <c r="Y77" s="41">
        <f>F77/'1. Väestöennuste'!H77*1000</f>
        <v>136.20750277229328</v>
      </c>
      <c r="Z77" s="41">
        <f>G77/'1. Väestöennuste'!I77*1000</f>
        <v>6115.8026641967917</v>
      </c>
      <c r="AA77" s="41">
        <f>H77/'1. Väestöennuste'!J77*1000</f>
        <v>5182.5963300243384</v>
      </c>
      <c r="AB77" s="41">
        <f>I77/'1. Väestöennuste'!K77*1000</f>
        <v>5430.2851645521059</v>
      </c>
      <c r="AC77" s="41">
        <f>J77/'1. Väestöennuste'!L77*1000</f>
        <v>5471.853845772378</v>
      </c>
      <c r="AD77" s="41">
        <f>K77/'1. Väestöennuste'!M77*1000</f>
        <v>5032.7993046312267</v>
      </c>
      <c r="AE77" s="41">
        <f>L77/'1. Väestöennuste'!N77*1000</f>
        <v>5105.9299940012061</v>
      </c>
      <c r="AF77" s="41">
        <f>M77/'1. Väestöennuste'!O77*1000</f>
        <v>5117.7659614361564</v>
      </c>
      <c r="AG77" s="41">
        <f>N77/'1. Väestöennuste'!P77*1000</f>
        <v>5130.8441259062329</v>
      </c>
      <c r="AH77" s="41">
        <f>O77/'1. Väestöennuste'!Q77*1000</f>
        <v>5143.7256086122525</v>
      </c>
      <c r="AI77" s="41">
        <f>P77/'1. Väestöennuste'!R77*1000</f>
        <v>5157.7308519447151</v>
      </c>
    </row>
    <row r="78" spans="1:35" x14ac:dyDescent="0.2">
      <c r="A78" s="34">
        <v>208</v>
      </c>
      <c r="B78" s="88" t="s">
        <v>392</v>
      </c>
      <c r="C78" s="46">
        <v>15541</v>
      </c>
      <c r="D78" s="46">
        <v>16035</v>
      </c>
      <c r="E78" s="46">
        <v>19478</v>
      </c>
      <c r="F78" s="46">
        <v>17933</v>
      </c>
      <c r="G78" s="70">
        <v>17772</v>
      </c>
      <c r="H78" s="41">
        <v>19568</v>
      </c>
      <c r="I78" s="165">
        <v>20392.317589999999</v>
      </c>
      <c r="J78" s="41">
        <v>20710.635269999999</v>
      </c>
      <c r="K78" s="41">
        <v>18372.441129999999</v>
      </c>
      <c r="L78" s="41">
        <f t="shared" si="7"/>
        <v>18319.842931749441</v>
      </c>
      <c r="M78" s="41">
        <f t="shared" si="7"/>
        <v>18267.650846657645</v>
      </c>
      <c r="N78" s="41">
        <f t="shared" si="4"/>
        <v>18215.841071623738</v>
      </c>
      <c r="O78" s="41">
        <f t="shared" si="4"/>
        <v>18164.377500139184</v>
      </c>
      <c r="P78" s="41">
        <f t="shared" si="4"/>
        <v>18112.764623879899</v>
      </c>
      <c r="T78" s="34">
        <v>208</v>
      </c>
      <c r="U78" s="88" t="s">
        <v>392</v>
      </c>
      <c r="V78" s="41">
        <f>C78/'1. Väestöennuste'!E78*1000</f>
        <v>1231.3604310276523</v>
      </c>
      <c r="W78" s="41">
        <f>D78/'1. Väestöennuste'!F78*1000</f>
        <v>1274.0346416653426</v>
      </c>
      <c r="X78" s="41">
        <f>E78/'1. Väestöennuste'!G78*1000</f>
        <v>1556.2480025567274</v>
      </c>
      <c r="Y78" s="41">
        <f>F78/'1. Väestöennuste'!H78*1000</f>
        <v>1447.727456204085</v>
      </c>
      <c r="Z78" s="41">
        <f>G78/'1. Väestöennuste'!I78*1000</f>
        <v>1436.3533500363694</v>
      </c>
      <c r="AA78" s="41">
        <f>H78/'1. Väestöennuste'!J78*1000</f>
        <v>1578.0645161290322</v>
      </c>
      <c r="AB78" s="41">
        <f>I78/'1. Väestöennuste'!K78*1000</f>
        <v>1642.9517877860133</v>
      </c>
      <c r="AC78" s="41">
        <f>J78/'1. Väestöennuste'!L78*1000</f>
        <v>1679.0138038102957</v>
      </c>
      <c r="AD78" s="41">
        <f>K78/'1. Väestöennuste'!M78*1000</f>
        <v>1485.0017078887811</v>
      </c>
      <c r="AE78" s="41">
        <f>L78/'1. Väestöennuste'!N78*1000</f>
        <v>1499.6597029919321</v>
      </c>
      <c r="AF78" s="41">
        <f>M78/'1. Väestöennuste'!O78*1000</f>
        <v>1502.3974707342418</v>
      </c>
      <c r="AG78" s="41">
        <f>N78/'1. Väestöennuste'!P78*1000</f>
        <v>1505.4414108779947</v>
      </c>
      <c r="AH78" s="41">
        <f>O78/'1. Väestöennuste'!Q78*1000</f>
        <v>1508.919878728957</v>
      </c>
      <c r="AI78" s="41">
        <f>P78/'1. Väestöennuste'!R78*1000</f>
        <v>1512.6745134357691</v>
      </c>
    </row>
    <row r="79" spans="1:35" x14ac:dyDescent="0.2">
      <c r="A79" s="34">
        <v>211</v>
      </c>
      <c r="B79" s="88" t="s">
        <v>393</v>
      </c>
      <c r="C79" s="46">
        <v>36341</v>
      </c>
      <c r="D79" s="46">
        <v>39596</v>
      </c>
      <c r="E79" s="46">
        <v>43082</v>
      </c>
      <c r="F79" s="46">
        <v>32731</v>
      </c>
      <c r="G79" s="70">
        <v>45147</v>
      </c>
      <c r="H79" s="41">
        <v>60690</v>
      </c>
      <c r="I79" s="165">
        <v>45000.531019999995</v>
      </c>
      <c r="J79" s="41">
        <v>52992.448069999999</v>
      </c>
      <c r="K79" s="41">
        <v>48101.584869999999</v>
      </c>
      <c r="L79" s="41">
        <f t="shared" si="7"/>
        <v>47963.875532451653</v>
      </c>
      <c r="M79" s="41">
        <f t="shared" si="7"/>
        <v>47827.2294551655</v>
      </c>
      <c r="N79" s="41">
        <f t="shared" ref="N79:P142" si="8">M79*N$8</f>
        <v>47691.584318340443</v>
      </c>
      <c r="O79" s="41">
        <f t="shared" si="8"/>
        <v>47556.845590157209</v>
      </c>
      <c r="P79" s="41">
        <f t="shared" si="8"/>
        <v>47421.715961481088</v>
      </c>
      <c r="T79" s="34">
        <v>211</v>
      </c>
      <c r="U79" s="88" t="s">
        <v>393</v>
      </c>
      <c r="V79" s="41">
        <f>C79/'1. Väestöennuste'!E79*1000</f>
        <v>1187.3427647270232</v>
      </c>
      <c r="W79" s="41">
        <f>D79/'1. Väestöennuste'!F79*1000</f>
        <v>1269.5094581596666</v>
      </c>
      <c r="X79" s="41">
        <f>E79/'1. Väestöennuste'!G79*1000</f>
        <v>1370.4233864554506</v>
      </c>
      <c r="Y79" s="41">
        <f>F79/'1. Väestöennuste'!H79*1000</f>
        <v>1033.3059729763859</v>
      </c>
      <c r="Z79" s="41">
        <f>G79/'1. Väestöennuste'!I79*1000</f>
        <v>1416.6875862934605</v>
      </c>
      <c r="AA79" s="41">
        <f>H79/'1. Väestöennuste'!J79*1000</f>
        <v>1883.9634941329857</v>
      </c>
      <c r="AB79" s="41">
        <f>I79/'1. Väestöennuste'!K79*1000</f>
        <v>1379.4534675985531</v>
      </c>
      <c r="AC79" s="41">
        <f>J79/'1. Väestöennuste'!L79*1000</f>
        <v>1607.8293658788191</v>
      </c>
      <c r="AD79" s="41">
        <f>K79/'1. Väestöennuste'!M79*1000</f>
        <v>1437.026405461118</v>
      </c>
      <c r="AE79" s="41">
        <f>L79/'1. Väestöennuste'!N79*1000</f>
        <v>1443.5210982770534</v>
      </c>
      <c r="AF79" s="41">
        <f>M79/'1. Väestöennuste'!O79*1000</f>
        <v>1429.5561171438756</v>
      </c>
      <c r="AG79" s="41">
        <f>N79/'1. Väestöennuste'!P79*1000</f>
        <v>1416.3573389861144</v>
      </c>
      <c r="AH79" s="41">
        <f>O79/'1. Väestöennuste'!Q79*1000</f>
        <v>1403.7678018229296</v>
      </c>
      <c r="AI79" s="41">
        <f>P79/'1. Väestöennuste'!R79*1000</f>
        <v>1391.6864552158795</v>
      </c>
    </row>
    <row r="80" spans="1:35" x14ac:dyDescent="0.2">
      <c r="A80" s="34">
        <v>213</v>
      </c>
      <c r="B80" s="88" t="s">
        <v>394</v>
      </c>
      <c r="C80" s="46">
        <v>552</v>
      </c>
      <c r="D80" s="46">
        <v>732</v>
      </c>
      <c r="E80" s="46">
        <v>756</v>
      </c>
      <c r="F80" s="46">
        <v>823</v>
      </c>
      <c r="G80" s="70">
        <v>2551</v>
      </c>
      <c r="H80" s="41">
        <v>2207</v>
      </c>
      <c r="I80" s="165">
        <v>2309.9789999999998</v>
      </c>
      <c r="J80" s="41">
        <v>271.08908000000002</v>
      </c>
      <c r="K80" s="41">
        <v>376.93468999999999</v>
      </c>
      <c r="L80" s="41">
        <f t="shared" si="7"/>
        <v>375.85556908123658</v>
      </c>
      <c r="M80" s="41">
        <f t="shared" si="7"/>
        <v>374.78478010576362</v>
      </c>
      <c r="N80" s="41">
        <f t="shared" si="8"/>
        <v>373.72183472179461</v>
      </c>
      <c r="O80" s="41">
        <f t="shared" si="8"/>
        <v>372.66599215702252</v>
      </c>
      <c r="P80" s="41">
        <f t="shared" si="8"/>
        <v>371.60708640926998</v>
      </c>
      <c r="T80" s="34">
        <v>213</v>
      </c>
      <c r="U80" s="88" t="s">
        <v>394</v>
      </c>
      <c r="V80" s="41">
        <f>C80/'1. Väestöennuste'!E80*1000</f>
        <v>98.081023454157787</v>
      </c>
      <c r="W80" s="41">
        <f>D80/'1. Väestöennuste'!F80*1000</f>
        <v>130.64429769766198</v>
      </c>
      <c r="X80" s="41">
        <f>E80/'1. Väestöennuste'!G80*1000</f>
        <v>136.24076410163994</v>
      </c>
      <c r="Y80" s="41">
        <f>F80/'1. Väestöennuste'!H80*1000</f>
        <v>150.95377842993395</v>
      </c>
      <c r="Z80" s="41">
        <f>G80/'1. Väestöennuste'!I80*1000</f>
        <v>476.2882748319642</v>
      </c>
      <c r="AA80" s="41">
        <f>H80/'1. Väestöennuste'!J80*1000</f>
        <v>415.47439759036143</v>
      </c>
      <c r="AB80" s="41">
        <f>I80/'1. Väestöennuste'!K80*1000</f>
        <v>441.67858508604201</v>
      </c>
      <c r="AC80" s="41">
        <f>J80/'1. Väestöennuste'!L80*1000</f>
        <v>52.597803647652313</v>
      </c>
      <c r="AD80" s="41">
        <f>K80/'1. Väestöennuste'!M80*1000</f>
        <v>73.706431364880714</v>
      </c>
      <c r="AE80" s="41">
        <f>L80/'1. Väestöennuste'!N80*1000</f>
        <v>74.177140138392858</v>
      </c>
      <c r="AF80" s="41">
        <f>M80/'1. Väestöennuste'!O80*1000</f>
        <v>74.792412713183722</v>
      </c>
      <c r="AG80" s="41">
        <f>N80/'1. Väestöennuste'!P80*1000</f>
        <v>75.392744547467146</v>
      </c>
      <c r="AH80" s="41">
        <f>O80/'1. Väestöennuste'!Q80*1000</f>
        <v>75.992249624188929</v>
      </c>
      <c r="AI80" s="41">
        <f>P80/'1. Väestöennuste'!R80*1000</f>
        <v>76.572653288536983</v>
      </c>
    </row>
    <row r="81" spans="1:35" x14ac:dyDescent="0.2">
      <c r="A81" s="34">
        <v>214</v>
      </c>
      <c r="B81" s="88" t="s">
        <v>395</v>
      </c>
      <c r="C81" s="46">
        <v>1716</v>
      </c>
      <c r="D81" s="46">
        <v>2183</v>
      </c>
      <c r="E81" s="46">
        <v>1677</v>
      </c>
      <c r="F81" s="46">
        <v>1935</v>
      </c>
      <c r="G81" s="70">
        <v>2315</v>
      </c>
      <c r="H81" s="41">
        <v>5478</v>
      </c>
      <c r="I81" s="165">
        <v>4428.8212399999993</v>
      </c>
      <c r="J81" s="41">
        <v>4346.1763000000001</v>
      </c>
      <c r="K81" s="41">
        <v>4637.3195999999998</v>
      </c>
      <c r="L81" s="41">
        <f t="shared" si="7"/>
        <v>4624.0434842162504</v>
      </c>
      <c r="M81" s="41">
        <f t="shared" si="7"/>
        <v>4610.8698739459278</v>
      </c>
      <c r="N81" s="41">
        <f t="shared" si="8"/>
        <v>4597.7927611367859</v>
      </c>
      <c r="O81" s="41">
        <f t="shared" si="8"/>
        <v>4584.8030322791637</v>
      </c>
      <c r="P81" s="41">
        <f t="shared" si="8"/>
        <v>4571.7756179581165</v>
      </c>
      <c r="T81" s="34">
        <v>214</v>
      </c>
      <c r="U81" s="88" t="s">
        <v>395</v>
      </c>
      <c r="V81" s="41">
        <f>C81/'1. Väestöennuste'!E81*1000</f>
        <v>126.53001032296122</v>
      </c>
      <c r="W81" s="41">
        <f>D81/'1. Väestöennuste'!F81*1000</f>
        <v>162.95909226634816</v>
      </c>
      <c r="X81" s="41">
        <f>E81/'1. Väestöennuste'!G81*1000</f>
        <v>126.16611495636474</v>
      </c>
      <c r="Y81" s="41">
        <f>F81/'1. Väestöennuste'!H81*1000</f>
        <v>147.29390271751541</v>
      </c>
      <c r="Z81" s="41">
        <f>G81/'1. Väestöennuste'!I81*1000</f>
        <v>179.37393460406011</v>
      </c>
      <c r="AA81" s="41">
        <f>H81/'1. Väestöennuste'!J81*1000</f>
        <v>429.37764539896534</v>
      </c>
      <c r="AB81" s="41">
        <f>I81/'1. Väestöennuste'!K81*1000</f>
        <v>349.77264571157792</v>
      </c>
      <c r="AC81" s="41">
        <f>J81/'1. Väestöennuste'!L81*1000</f>
        <v>346.91700989782885</v>
      </c>
      <c r="AD81" s="41">
        <f>K81/'1. Väestöennuste'!M81*1000</f>
        <v>374.15843149911245</v>
      </c>
      <c r="AE81" s="41">
        <f>L81/'1. Väestöennuste'!N81*1000</f>
        <v>380.98735142261268</v>
      </c>
      <c r="AF81" s="41">
        <f>M81/'1. Väestöennuste'!O81*1000</f>
        <v>384.30320669661012</v>
      </c>
      <c r="AG81" s="41">
        <f>N81/'1. Väestöennuste'!P81*1000</f>
        <v>387.47621448986899</v>
      </c>
      <c r="AH81" s="41">
        <f>O81/'1. Väestöennuste'!Q81*1000</f>
        <v>390.49510538107177</v>
      </c>
      <c r="AI81" s="41">
        <f>P81/'1. Väestöennuste'!R81*1000</f>
        <v>393.47410430829814</v>
      </c>
    </row>
    <row r="82" spans="1:35" x14ac:dyDescent="0.2">
      <c r="A82" s="34">
        <v>216</v>
      </c>
      <c r="B82" s="88" t="s">
        <v>396</v>
      </c>
      <c r="C82" s="46">
        <v>2935</v>
      </c>
      <c r="D82" s="46">
        <v>3091</v>
      </c>
      <c r="E82" s="46">
        <v>2771</v>
      </c>
      <c r="F82" s="46">
        <v>3173</v>
      </c>
      <c r="G82" s="70">
        <v>3810</v>
      </c>
      <c r="H82" s="41">
        <v>3530</v>
      </c>
      <c r="I82" s="165">
        <v>3477.2507300000002</v>
      </c>
      <c r="J82" s="41">
        <v>4333.1660999999995</v>
      </c>
      <c r="K82" s="41">
        <v>3364.8565899999999</v>
      </c>
      <c r="L82" s="41">
        <f t="shared" si="7"/>
        <v>3355.2233903204801</v>
      </c>
      <c r="M82" s="41">
        <f t="shared" si="7"/>
        <v>3345.6645690280711</v>
      </c>
      <c r="N82" s="41">
        <f t="shared" si="8"/>
        <v>3336.1757666574053</v>
      </c>
      <c r="O82" s="41">
        <f t="shared" si="8"/>
        <v>3326.7503704115047</v>
      </c>
      <c r="P82" s="41">
        <f t="shared" si="8"/>
        <v>3317.2976294512232</v>
      </c>
      <c r="T82" s="34">
        <v>216</v>
      </c>
      <c r="U82" s="88" t="s">
        <v>396</v>
      </c>
      <c r="V82" s="41">
        <f>C82/'1. Väestöennuste'!E82*1000</f>
        <v>2007.5239398084816</v>
      </c>
      <c r="W82" s="41">
        <f>D82/'1. Väestöennuste'!F82*1000</f>
        <v>2170.6460674157306</v>
      </c>
      <c r="X82" s="41">
        <f>E82/'1. Väestöennuste'!G82*1000</f>
        <v>1968.0397727272727</v>
      </c>
      <c r="Y82" s="41">
        <f>F82/'1. Väestöennuste'!H82*1000</f>
        <v>2345.1589061345157</v>
      </c>
      <c r="Z82" s="41">
        <f>G82/'1. Väestöennuste'!I82*1000</f>
        <v>2845.4070201643017</v>
      </c>
      <c r="AA82" s="41">
        <f>H82/'1. Väestöennuste'!J82*1000</f>
        <v>2668.1783824640966</v>
      </c>
      <c r="AB82" s="41">
        <f>I82/'1. Väestöennuste'!K82*1000</f>
        <v>2652.3651639969489</v>
      </c>
      <c r="AC82" s="41">
        <f>J82/'1. Väestöennuste'!L82*1000</f>
        <v>3414.6304964539004</v>
      </c>
      <c r="AD82" s="41">
        <f>K82/'1. Väestöennuste'!M82*1000</f>
        <v>2764.8780525883317</v>
      </c>
      <c r="AE82" s="41">
        <f>L82/'1. Väestöennuste'!N82*1000</f>
        <v>2701.4681081485346</v>
      </c>
      <c r="AF82" s="41">
        <f>M82/'1. Väestöennuste'!O82*1000</f>
        <v>2733.386085807248</v>
      </c>
      <c r="AG82" s="41">
        <f>N82/'1. Väestöennuste'!P82*1000</f>
        <v>2757.1700550887645</v>
      </c>
      <c r="AH82" s="41">
        <f>O82/'1. Väestöennuste'!Q82*1000</f>
        <v>2786.2230907969051</v>
      </c>
      <c r="AI82" s="41">
        <f>P82/'1. Väestöennuste'!R82*1000</f>
        <v>2813.6536297296207</v>
      </c>
    </row>
    <row r="83" spans="1:35" x14ac:dyDescent="0.2">
      <c r="A83" s="34">
        <v>217</v>
      </c>
      <c r="B83" s="88" t="s">
        <v>397</v>
      </c>
      <c r="C83" s="46">
        <v>1426</v>
      </c>
      <c r="D83" s="46">
        <v>1167</v>
      </c>
      <c r="E83" s="46">
        <v>1473</v>
      </c>
      <c r="F83" s="46">
        <v>1633</v>
      </c>
      <c r="G83" s="70">
        <v>1342</v>
      </c>
      <c r="H83" s="41">
        <v>3041</v>
      </c>
      <c r="I83" s="165">
        <v>899.52879000000007</v>
      </c>
      <c r="J83" s="41">
        <v>862.97592000000009</v>
      </c>
      <c r="K83" s="41">
        <v>387.26296000000002</v>
      </c>
      <c r="L83" s="41">
        <f t="shared" si="7"/>
        <v>386.15427042516086</v>
      </c>
      <c r="M83" s="41">
        <f t="shared" si="7"/>
        <v>385.05414109459429</v>
      </c>
      <c r="N83" s="41">
        <f t="shared" si="8"/>
        <v>383.96207027533865</v>
      </c>
      <c r="O83" s="41">
        <f t="shared" si="8"/>
        <v>382.87729689741576</v>
      </c>
      <c r="P83" s="41">
        <f t="shared" si="8"/>
        <v>381.78937640318992</v>
      </c>
      <c r="T83" s="34">
        <v>217</v>
      </c>
      <c r="U83" s="88" t="s">
        <v>397</v>
      </c>
      <c r="V83" s="41">
        <f>C83/'1. Väestöennuste'!E83*1000</f>
        <v>255.09838998211092</v>
      </c>
      <c r="W83" s="41">
        <f>D83/'1. Väestöennuste'!F83*1000</f>
        <v>209.21477231982792</v>
      </c>
      <c r="X83" s="41">
        <f>E83/'1. Väestöennuste'!G83*1000</f>
        <v>266.8478260869565</v>
      </c>
      <c r="Y83" s="41">
        <f>F83/'1. Väestöennuste'!H83*1000</f>
        <v>296.80116321337698</v>
      </c>
      <c r="Z83" s="41">
        <f>G83/'1. Väestöennuste'!I83*1000</f>
        <v>245.60761346998535</v>
      </c>
      <c r="AA83" s="41">
        <f>H83/'1. Väestöennuste'!J83*1000</f>
        <v>560.449686693697</v>
      </c>
      <c r="AB83" s="41">
        <f>I83/'1. Väestöennuste'!K83*1000</f>
        <v>166.88845825602968</v>
      </c>
      <c r="AC83" s="41">
        <f>J83/'1. Väestöennuste'!L83*1000</f>
        <v>161.24363228699553</v>
      </c>
      <c r="AD83" s="41">
        <f>K83/'1. Väestöennuste'!M83*1000</f>
        <v>73.820617613419756</v>
      </c>
      <c r="AE83" s="41">
        <f>L83/'1. Väestöennuste'!N83*1000</f>
        <v>73.149132491979699</v>
      </c>
      <c r="AF83" s="41">
        <f>M83/'1. Väestöennuste'!O83*1000</f>
        <v>73.413563602401197</v>
      </c>
      <c r="AG83" s="41">
        <f>N83/'1. Väestöennuste'!P83*1000</f>
        <v>73.64059652384708</v>
      </c>
      <c r="AH83" s="41">
        <f>O83/'1. Väestöennuste'!Q83*1000</f>
        <v>73.843258803744604</v>
      </c>
      <c r="AI83" s="41">
        <f>P83/'1. Väestöennuste'!R83*1000</f>
        <v>74.061954685390873</v>
      </c>
    </row>
    <row r="84" spans="1:35" x14ac:dyDescent="0.2">
      <c r="A84" s="34">
        <v>218</v>
      </c>
      <c r="B84" s="88" t="s">
        <v>398</v>
      </c>
      <c r="C84" s="46">
        <v>1594</v>
      </c>
      <c r="D84" s="46">
        <v>1881</v>
      </c>
      <c r="E84" s="46">
        <v>2184</v>
      </c>
      <c r="F84" s="46">
        <v>1155</v>
      </c>
      <c r="G84" s="70">
        <v>533</v>
      </c>
      <c r="H84" s="41">
        <v>2274</v>
      </c>
      <c r="I84" s="165">
        <v>2261.2699400000001</v>
      </c>
      <c r="J84" s="41">
        <v>2967.5481400000003</v>
      </c>
      <c r="K84" s="41">
        <v>2414.9944300000002</v>
      </c>
      <c r="L84" s="41">
        <f t="shared" si="7"/>
        <v>2408.0805770773359</v>
      </c>
      <c r="M84" s="41">
        <f t="shared" si="7"/>
        <v>2401.2201063377693</v>
      </c>
      <c r="N84" s="41">
        <f t="shared" si="8"/>
        <v>2394.4098889452566</v>
      </c>
      <c r="O84" s="41">
        <f t="shared" si="8"/>
        <v>2387.6451788229765</v>
      </c>
      <c r="P84" s="41">
        <f t="shared" si="8"/>
        <v>2380.8608430996783</v>
      </c>
      <c r="T84" s="34">
        <v>218</v>
      </c>
      <c r="U84" s="88" t="s">
        <v>398</v>
      </c>
      <c r="V84" s="41">
        <f>C84/'1. Väestöennuste'!E84*1000</f>
        <v>1164.3535427319212</v>
      </c>
      <c r="W84" s="41">
        <f>D84/'1. Väestöennuste'!F84*1000</f>
        <v>1394.3661971830986</v>
      </c>
      <c r="X84" s="41">
        <f>E84/'1. Väestöennuste'!G84*1000</f>
        <v>1643.3408577878104</v>
      </c>
      <c r="Y84" s="41">
        <f>F84/'1. Väestöennuste'!H84*1000</f>
        <v>906.5934065934066</v>
      </c>
      <c r="Z84" s="41">
        <f>G84/'1. Väestöennuste'!I84*1000</f>
        <v>428.11244979919678</v>
      </c>
      <c r="AA84" s="41">
        <f>H84/'1. Väestöennuste'!J84*1000</f>
        <v>1884.009942004971</v>
      </c>
      <c r="AB84" s="41">
        <f>I84/'1. Väestöennuste'!K84*1000</f>
        <v>1897.0385402684565</v>
      </c>
      <c r="AC84" s="41">
        <f>J84/'1. Väestöennuste'!L84*1000</f>
        <v>2472.9567833333335</v>
      </c>
      <c r="AD84" s="41">
        <f>K84/'1. Väestöennuste'!M84*1000</f>
        <v>2032.8235942760946</v>
      </c>
      <c r="AE84" s="41">
        <f>L84/'1. Väestöennuste'!N84*1000</f>
        <v>2175.3212078386055</v>
      </c>
      <c r="AF84" s="41">
        <f>M84/'1. Väestöennuste'!O84*1000</f>
        <v>2207.0037742075087</v>
      </c>
      <c r="AG84" s="41">
        <f>N84/'1. Väestöennuste'!P84*1000</f>
        <v>2235.6768337490726</v>
      </c>
      <c r="AH84" s="41">
        <f>O84/'1. Väestöennuste'!Q84*1000</f>
        <v>2269.6246946986471</v>
      </c>
      <c r="AI84" s="41">
        <f>P84/'1. Väestöennuste'!R84*1000</f>
        <v>2291.4926305097961</v>
      </c>
    </row>
    <row r="85" spans="1:35" x14ac:dyDescent="0.2">
      <c r="A85" s="34">
        <v>224</v>
      </c>
      <c r="B85" s="88" t="s">
        <v>399</v>
      </c>
      <c r="C85" s="46">
        <v>2301</v>
      </c>
      <c r="D85" s="46">
        <v>2038</v>
      </c>
      <c r="E85" s="46">
        <v>610</v>
      </c>
      <c r="F85" s="46">
        <v>2754</v>
      </c>
      <c r="G85" s="70">
        <v>2283</v>
      </c>
      <c r="H85" s="41">
        <v>3307</v>
      </c>
      <c r="I85" s="165">
        <v>1647.24721</v>
      </c>
      <c r="J85" s="41">
        <v>2841.3442099999997</v>
      </c>
      <c r="K85" s="41">
        <v>1333.62968</v>
      </c>
      <c r="L85" s="41">
        <f t="shared" si="7"/>
        <v>1329.8116507133568</v>
      </c>
      <c r="M85" s="41">
        <f t="shared" si="7"/>
        <v>1326.0231006101346</v>
      </c>
      <c r="N85" s="41">
        <f t="shared" si="8"/>
        <v>1322.2623018566951</v>
      </c>
      <c r="O85" s="41">
        <f t="shared" si="8"/>
        <v>1318.5266335323302</v>
      </c>
      <c r="P85" s="41">
        <f t="shared" si="8"/>
        <v>1314.7801273842083</v>
      </c>
      <c r="T85" s="34">
        <v>224</v>
      </c>
      <c r="U85" s="88" t="s">
        <v>399</v>
      </c>
      <c r="V85" s="41">
        <f>C85/'1. Väestöennuste'!E85*1000</f>
        <v>256.55034006020736</v>
      </c>
      <c r="W85" s="41">
        <f>D85/'1. Väestöennuste'!F85*1000</f>
        <v>228.70609359218943</v>
      </c>
      <c r="X85" s="41">
        <f>E85/'1. Väestöennuste'!G85*1000</f>
        <v>68.539325842696627</v>
      </c>
      <c r="Y85" s="41">
        <f>F85/'1. Väestöennuste'!H85*1000</f>
        <v>313.73889268626107</v>
      </c>
      <c r="Z85" s="41">
        <f>G85/'1. Väestöennuste'!I85*1000</f>
        <v>261.99219646545788</v>
      </c>
      <c r="AA85" s="41">
        <f>H85/'1. Väestöennuste'!J85*1000</f>
        <v>380.28978840846366</v>
      </c>
      <c r="AB85" s="41">
        <f>I85/'1. Väestöennuste'!K85*1000</f>
        <v>188.96950900539176</v>
      </c>
      <c r="AC85" s="41">
        <f>J85/'1. Väestöennuste'!L85*1000</f>
        <v>330.27364988957333</v>
      </c>
      <c r="AD85" s="41">
        <f>K85/'1. Väestöennuste'!M85*1000</f>
        <v>155.41658081808646</v>
      </c>
      <c r="AE85" s="41">
        <f>L85/'1. Väestöennuste'!N85*1000</f>
        <v>157.02109466446532</v>
      </c>
      <c r="AF85" s="41">
        <f>M85/'1. Väestöennuste'!O85*1000</f>
        <v>157.41014964507772</v>
      </c>
      <c r="AG85" s="41">
        <f>N85/'1. Väestöennuste'!P85*1000</f>
        <v>157.6749704098134</v>
      </c>
      <c r="AH85" s="41">
        <f>O85/'1. Väestöennuste'!Q85*1000</f>
        <v>157.92629459005033</v>
      </c>
      <c r="AI85" s="41">
        <f>P85/'1. Väestöennuste'!R85*1000</f>
        <v>158.12148254770997</v>
      </c>
    </row>
    <row r="86" spans="1:35" x14ac:dyDescent="0.2">
      <c r="A86" s="34">
        <v>226</v>
      </c>
      <c r="B86" s="88" t="s">
        <v>400</v>
      </c>
      <c r="C86" s="46">
        <v>4867</v>
      </c>
      <c r="D86" s="46">
        <v>6300</v>
      </c>
      <c r="E86" s="46">
        <v>7531</v>
      </c>
      <c r="F86" s="46">
        <v>9362</v>
      </c>
      <c r="G86" s="70">
        <v>9679</v>
      </c>
      <c r="H86" s="41">
        <v>9403</v>
      </c>
      <c r="I86" s="165">
        <v>8928.1458199999997</v>
      </c>
      <c r="J86" s="41">
        <v>7677.6814000000004</v>
      </c>
      <c r="K86" s="41">
        <v>6815.0649000000003</v>
      </c>
      <c r="L86" s="41">
        <f t="shared" si="7"/>
        <v>6795.5541484257146</v>
      </c>
      <c r="M86" s="41">
        <f t="shared" si="7"/>
        <v>6776.1940402805803</v>
      </c>
      <c r="N86" s="41">
        <f t="shared" si="8"/>
        <v>6756.9757460532583</v>
      </c>
      <c r="O86" s="41">
        <f t="shared" si="8"/>
        <v>6737.8858724120073</v>
      </c>
      <c r="P86" s="41">
        <f t="shared" si="8"/>
        <v>6718.7406157259838</v>
      </c>
      <c r="T86" s="34">
        <v>226</v>
      </c>
      <c r="U86" s="88" t="s">
        <v>400</v>
      </c>
      <c r="V86" s="41">
        <f>C86/'1. Väestöennuste'!E86*1000</f>
        <v>1140.3467666354263</v>
      </c>
      <c r="W86" s="41">
        <f>D86/'1. Väestöennuste'!F86*1000</f>
        <v>1488.657844990548</v>
      </c>
      <c r="X86" s="41">
        <f>E86/'1. Väestöennuste'!G86*1000</f>
        <v>1816.4495899662325</v>
      </c>
      <c r="Y86" s="41">
        <f>F86/'1. Väestöennuste'!H86*1000</f>
        <v>2322.5006201935003</v>
      </c>
      <c r="Z86" s="41">
        <f>G86/'1. Väestöennuste'!I86*1000</f>
        <v>2451.0002532286658</v>
      </c>
      <c r="AA86" s="41">
        <f>H86/'1. Väestöennuste'!J86*1000</f>
        <v>2437.2731985484706</v>
      </c>
      <c r="AB86" s="41">
        <f>I86/'1. Väestöennuste'!K86*1000</f>
        <v>2365.6984154742977</v>
      </c>
      <c r="AC86" s="41">
        <f>J86/'1. Väestöennuste'!L86*1000</f>
        <v>2094.8653206002728</v>
      </c>
      <c r="AD86" s="41">
        <f>K86/'1. Väestöennuste'!M86*1000</f>
        <v>1880.017903448276</v>
      </c>
      <c r="AE86" s="41">
        <f>L86/'1. Väestöennuste'!N86*1000</f>
        <v>1906.7211415335901</v>
      </c>
      <c r="AF86" s="41">
        <f>M86/'1. Väestöennuste'!O86*1000</f>
        <v>1936.6087568678422</v>
      </c>
      <c r="AG86" s="41">
        <f>N86/'1. Väestöennuste'!P86*1000</f>
        <v>1966.5237910515884</v>
      </c>
      <c r="AH86" s="41">
        <f>O86/'1. Väestöennuste'!Q86*1000</f>
        <v>1996.410628862817</v>
      </c>
      <c r="AI86" s="41">
        <f>P86/'1. Väestöennuste'!R86*1000</f>
        <v>2025.5473668151897</v>
      </c>
    </row>
    <row r="87" spans="1:35" x14ac:dyDescent="0.2">
      <c r="A87" s="34">
        <v>230</v>
      </c>
      <c r="B87" s="88" t="s">
        <v>401</v>
      </c>
      <c r="C87" s="46">
        <v>2919</v>
      </c>
      <c r="D87" s="46">
        <v>1926</v>
      </c>
      <c r="E87" s="46">
        <v>2553</v>
      </c>
      <c r="F87" s="46">
        <v>2571</v>
      </c>
      <c r="G87" s="70">
        <v>1084</v>
      </c>
      <c r="H87" s="41">
        <v>1962</v>
      </c>
      <c r="I87" s="165">
        <v>1616.4194600000001</v>
      </c>
      <c r="J87" s="41">
        <v>2387.2608999999998</v>
      </c>
      <c r="K87" s="41">
        <v>1965.6679899999999</v>
      </c>
      <c r="L87" s="41">
        <f t="shared" si="7"/>
        <v>1960.0405072990773</v>
      </c>
      <c r="M87" s="41">
        <f t="shared" si="7"/>
        <v>1954.456474656361</v>
      </c>
      <c r="N87" s="41">
        <f t="shared" si="8"/>
        <v>1948.9133453774236</v>
      </c>
      <c r="O87" s="41">
        <f t="shared" si="8"/>
        <v>1943.4072564259081</v>
      </c>
      <c r="P87" s="41">
        <f t="shared" si="8"/>
        <v>1937.8851933523708</v>
      </c>
      <c r="T87" s="34">
        <v>230</v>
      </c>
      <c r="U87" s="88" t="s">
        <v>401</v>
      </c>
      <c r="V87" s="41">
        <f>C87/'1. Väestöennuste'!E87*1000</f>
        <v>1179.3939393939395</v>
      </c>
      <c r="W87" s="41">
        <f>D87/'1. Väestöennuste'!F87*1000</f>
        <v>786.44344630461421</v>
      </c>
      <c r="X87" s="41">
        <f>E87/'1. Väestöennuste'!G87*1000</f>
        <v>1062.4219725343321</v>
      </c>
      <c r="Y87" s="41">
        <f>F87/'1. Väestöennuste'!H87*1000</f>
        <v>1075.7322175732218</v>
      </c>
      <c r="Z87" s="41">
        <f>G87/'1. Väestöennuste'!I87*1000</f>
        <v>462.85226302305722</v>
      </c>
      <c r="AA87" s="41">
        <f>H87/'1. Väestöennuste'!J87*1000</f>
        <v>844.96124031007741</v>
      </c>
      <c r="AB87" s="41">
        <f>I87/'1. Väestöennuste'!K87*1000</f>
        <v>705.86002620087345</v>
      </c>
      <c r="AC87" s="41">
        <f>J87/'1. Väestöennuste'!L87*1000</f>
        <v>1065.7414732142856</v>
      </c>
      <c r="AD87" s="41">
        <f>K87/'1. Väestöennuste'!M87*1000</f>
        <v>887.0342915162455</v>
      </c>
      <c r="AE87" s="41">
        <f>L87/'1. Väestöennuste'!N87*1000</f>
        <v>887.29764929790736</v>
      </c>
      <c r="AF87" s="41">
        <f>M87/'1. Väestöennuste'!O87*1000</f>
        <v>895.30759260483785</v>
      </c>
      <c r="AG87" s="41">
        <f>N87/'1. Väestöennuste'!P87*1000</f>
        <v>901.85717046618402</v>
      </c>
      <c r="AH87" s="41">
        <f>O87/'1. Väestöennuste'!Q87*1000</f>
        <v>908.13423197472343</v>
      </c>
      <c r="AI87" s="41">
        <f>P87/'1. Väestöennuste'!R87*1000</f>
        <v>914.09678931715609</v>
      </c>
    </row>
    <row r="88" spans="1:35" x14ac:dyDescent="0.2">
      <c r="A88" s="34">
        <v>231</v>
      </c>
      <c r="B88" s="88" t="s">
        <v>402</v>
      </c>
      <c r="C88" s="46">
        <v>-175</v>
      </c>
      <c r="D88" s="46">
        <v>348</v>
      </c>
      <c r="E88" s="46">
        <v>18</v>
      </c>
      <c r="F88" s="46">
        <v>19</v>
      </c>
      <c r="G88" s="70">
        <v>26</v>
      </c>
      <c r="H88" s="41">
        <v>336</v>
      </c>
      <c r="I88" s="165">
        <v>3.35615</v>
      </c>
      <c r="J88" s="41">
        <v>502.7636</v>
      </c>
      <c r="K88" s="41">
        <v>185.90467999999998</v>
      </c>
      <c r="L88" s="41">
        <f t="shared" si="7"/>
        <v>185.37245615749819</v>
      </c>
      <c r="M88" s="41">
        <f t="shared" si="7"/>
        <v>184.84434164027817</v>
      </c>
      <c r="N88" s="41">
        <f t="shared" si="8"/>
        <v>184.32009559260283</v>
      </c>
      <c r="O88" s="41">
        <f t="shared" si="8"/>
        <v>183.79935266460558</v>
      </c>
      <c r="P88" s="41">
        <f t="shared" si="8"/>
        <v>183.2770989707731</v>
      </c>
      <c r="T88" s="34">
        <v>231</v>
      </c>
      <c r="U88" s="88" t="s">
        <v>402</v>
      </c>
      <c r="V88" s="41">
        <f>C88/'1. Väestöennuste'!E88*1000</f>
        <v>-136.18677042801556</v>
      </c>
      <c r="W88" s="41">
        <f>D88/'1. Väestöennuste'!F88*1000</f>
        <v>268.51851851851853</v>
      </c>
      <c r="X88" s="41">
        <f>E88/'1. Väestöennuste'!G88*1000</f>
        <v>14.128728414442701</v>
      </c>
      <c r="Y88" s="41">
        <f>F88/'1. Väestöennuste'!H88*1000</f>
        <v>15.055467511885896</v>
      </c>
      <c r="Z88" s="41">
        <f>G88/'1. Väestöennuste'!I88*1000</f>
        <v>20.866773675762442</v>
      </c>
      <c r="AA88" s="41">
        <f>H88/'1. Väestöennuste'!J88*1000</f>
        <v>262.91079812206573</v>
      </c>
      <c r="AB88" s="41">
        <f>I88/'1. Väestöennuste'!K88*1000</f>
        <v>2.6036850271528316</v>
      </c>
      <c r="AC88" s="41">
        <f>J88/'1. Väestöennuste'!L88*1000</f>
        <v>400.28949044585988</v>
      </c>
      <c r="AD88" s="41">
        <f>K88/'1. Väestöennuste'!M88*1000</f>
        <v>153.89460264900663</v>
      </c>
      <c r="AE88" s="41">
        <f>L88/'1. Väestöennuste'!N88*1000</f>
        <v>142.37515833909231</v>
      </c>
      <c r="AF88" s="41">
        <f>M88/'1. Väestöennuste'!O88*1000</f>
        <v>141.53471794814561</v>
      </c>
      <c r="AG88" s="41">
        <f>N88/'1. Väestöennuste'!P88*1000</f>
        <v>140.59503859084884</v>
      </c>
      <c r="AH88" s="41">
        <f>O88/'1. Väestöennuste'!Q88*1000</f>
        <v>139.87774175388554</v>
      </c>
      <c r="AI88" s="41">
        <f>P88/'1. Väestöennuste'!R88*1000</f>
        <v>139.16256565738274</v>
      </c>
    </row>
    <row r="89" spans="1:35" x14ac:dyDescent="0.2">
      <c r="A89" s="34">
        <v>232</v>
      </c>
      <c r="B89" s="88" t="s">
        <v>403</v>
      </c>
      <c r="C89" s="46">
        <v>11489</v>
      </c>
      <c r="D89" s="46">
        <v>10910</v>
      </c>
      <c r="E89" s="46">
        <v>15022</v>
      </c>
      <c r="F89" s="46">
        <v>12955</v>
      </c>
      <c r="G89" s="70">
        <v>21809</v>
      </c>
      <c r="H89" s="41">
        <v>24251</v>
      </c>
      <c r="I89" s="165">
        <v>25395.436530000003</v>
      </c>
      <c r="J89" s="41">
        <v>23223.841980000001</v>
      </c>
      <c r="K89" s="41">
        <v>29815.187249999999</v>
      </c>
      <c r="L89" s="41">
        <f t="shared" si="7"/>
        <v>29729.829777971296</v>
      </c>
      <c r="M89" s="41">
        <f t="shared" si="7"/>
        <v>29645.131354992605</v>
      </c>
      <c r="N89" s="41">
        <f t="shared" si="8"/>
        <v>29561.053352886833</v>
      </c>
      <c r="O89" s="41">
        <f t="shared" si="8"/>
        <v>29477.537177245904</v>
      </c>
      <c r="P89" s="41">
        <f t="shared" si="8"/>
        <v>29393.778706648933</v>
      </c>
      <c r="T89" s="34">
        <v>232</v>
      </c>
      <c r="U89" s="88" t="s">
        <v>403</v>
      </c>
      <c r="V89" s="41">
        <f>C89/'1. Väestöennuste'!E89*1000</f>
        <v>828.03603603603608</v>
      </c>
      <c r="W89" s="41">
        <f>D89/'1. Väestöennuste'!F89*1000</f>
        <v>792.18704618065635</v>
      </c>
      <c r="X89" s="41">
        <f>E89/'1. Väestöennuste'!G89*1000</f>
        <v>1103.7472446730346</v>
      </c>
      <c r="Y89" s="41">
        <f>F89/'1. Väestöennuste'!H89*1000</f>
        <v>968.59813084112147</v>
      </c>
      <c r="Z89" s="41">
        <f>G89/'1. Väestöennuste'!I89*1000</f>
        <v>1654.2020631067962</v>
      </c>
      <c r="AA89" s="41">
        <f>H89/'1. Väestöennuste'!J89*1000</f>
        <v>1864.4575997539787</v>
      </c>
      <c r="AB89" s="41">
        <f>I89/'1. Väestöennuste'!K89*1000</f>
        <v>1970.1657509697441</v>
      </c>
      <c r="AC89" s="41">
        <f>J89/'1. Väestöennuste'!L89*1000</f>
        <v>1821.4778023529411</v>
      </c>
      <c r="AD89" s="41">
        <f>K89/'1. Väestöennuste'!M89*1000</f>
        <v>2362.9091179267712</v>
      </c>
      <c r="AE89" s="41">
        <f>L89/'1. Väestöennuste'!N89*1000</f>
        <v>2400.2769076353379</v>
      </c>
      <c r="AF89" s="41">
        <f>M89/'1. Väestöennuste'!O89*1000</f>
        <v>2419.8131870861648</v>
      </c>
      <c r="AG89" s="41">
        <f>N89/'1. Väestöennuste'!P89*1000</f>
        <v>2439.0308046936329</v>
      </c>
      <c r="AH89" s="41">
        <f>O89/'1. Väestöennuste'!Q89*1000</f>
        <v>2458.7152537530992</v>
      </c>
      <c r="AI89" s="41">
        <f>P89/'1. Väestöennuste'!R89*1000</f>
        <v>2479.4414767312469</v>
      </c>
    </row>
    <row r="90" spans="1:35" x14ac:dyDescent="0.2">
      <c r="A90" s="34">
        <v>233</v>
      </c>
      <c r="B90" s="88" t="s">
        <v>404</v>
      </c>
      <c r="C90" s="46">
        <v>14753</v>
      </c>
      <c r="D90" s="46">
        <v>15180</v>
      </c>
      <c r="E90" s="46">
        <v>14147</v>
      </c>
      <c r="F90" s="46">
        <v>14894</v>
      </c>
      <c r="G90" s="70">
        <v>16329</v>
      </c>
      <c r="H90" s="41">
        <v>17899</v>
      </c>
      <c r="I90" s="165">
        <v>16876.78167</v>
      </c>
      <c r="J90" s="41">
        <v>16679.53773</v>
      </c>
      <c r="K90" s="41">
        <v>16940.497309999999</v>
      </c>
      <c r="L90" s="41">
        <f t="shared" si="7"/>
        <v>16891.998603177668</v>
      </c>
      <c r="M90" s="41">
        <f t="shared" si="7"/>
        <v>16843.874357148263</v>
      </c>
      <c r="N90" s="41">
        <f t="shared" si="8"/>
        <v>16796.102624019099</v>
      </c>
      <c r="O90" s="41">
        <f t="shared" si="8"/>
        <v>16748.650111414583</v>
      </c>
      <c r="P90" s="41">
        <f t="shared" si="8"/>
        <v>16701.059930815005</v>
      </c>
      <c r="T90" s="34">
        <v>233</v>
      </c>
      <c r="U90" s="88" t="s">
        <v>404</v>
      </c>
      <c r="V90" s="41">
        <f>C90/'1. Väestöennuste'!E90*1000</f>
        <v>878.99189704480466</v>
      </c>
      <c r="W90" s="41">
        <f>D90/'1. Väestöennuste'!F90*1000</f>
        <v>914.51292246520882</v>
      </c>
      <c r="X90" s="41">
        <f>E90/'1. Väestöennuste'!G90*1000</f>
        <v>869.08711143875178</v>
      </c>
      <c r="Y90" s="41">
        <f>F90/'1. Väestöennuste'!H90*1000</f>
        <v>929.59680439395834</v>
      </c>
      <c r="Z90" s="41">
        <f>G90/'1. Väestöennuste'!I90*1000</f>
        <v>1038.344143456696</v>
      </c>
      <c r="AA90" s="41">
        <f>H90/'1. Väestöennuste'!J90*1000</f>
        <v>1153.7321129302566</v>
      </c>
      <c r="AB90" s="41">
        <f>I90/'1. Väestöennuste'!K90*1000</f>
        <v>1102.1931602664577</v>
      </c>
      <c r="AC90" s="41">
        <f>J90/'1. Väestöennuste'!L90*1000</f>
        <v>1103.435944032813</v>
      </c>
      <c r="AD90" s="41">
        <f>K90/'1. Väestöennuste'!M90*1000</f>
        <v>1117.0786224859874</v>
      </c>
      <c r="AE90" s="41">
        <f>L90/'1. Väestöennuste'!N90*1000</f>
        <v>1155.7987412369257</v>
      </c>
      <c r="AF90" s="41">
        <f>M90/'1. Väestöennuste'!O90*1000</f>
        <v>1168.7395474013504</v>
      </c>
      <c r="AG90" s="41">
        <f>N90/'1. Väestöennuste'!P90*1000</f>
        <v>1181.5759848061271</v>
      </c>
      <c r="AH90" s="41">
        <f>O90/'1. Väestöennuste'!Q90*1000</f>
        <v>1194.1145095832442</v>
      </c>
      <c r="AI90" s="41">
        <f>P90/'1. Väestöennuste'!R90*1000</f>
        <v>1206.54962655794</v>
      </c>
    </row>
    <row r="91" spans="1:35" x14ac:dyDescent="0.2">
      <c r="A91" s="34">
        <v>235</v>
      </c>
      <c r="B91" s="88" t="s">
        <v>405</v>
      </c>
      <c r="C91" s="46">
        <v>4927</v>
      </c>
      <c r="D91" s="46">
        <v>8974</v>
      </c>
      <c r="E91" s="46">
        <v>9182</v>
      </c>
      <c r="F91" s="46">
        <v>8791</v>
      </c>
      <c r="G91" s="70">
        <v>6689</v>
      </c>
      <c r="H91" s="41">
        <v>13311</v>
      </c>
      <c r="I91" s="165">
        <v>10614.1726</v>
      </c>
      <c r="J91" s="41">
        <v>20418.877820000002</v>
      </c>
      <c r="K91" s="41">
        <v>20702.446960000001</v>
      </c>
      <c r="L91" s="41">
        <f t="shared" si="7"/>
        <v>20643.178221470986</v>
      </c>
      <c r="M91" s="41">
        <f t="shared" si="7"/>
        <v>20584.367099655476</v>
      </c>
      <c r="N91" s="41">
        <f t="shared" si="8"/>
        <v>20525.986772726705</v>
      </c>
      <c r="O91" s="41">
        <f t="shared" si="8"/>
        <v>20467.996555123478</v>
      </c>
      <c r="P91" s="41">
        <f t="shared" si="8"/>
        <v>20409.838097809596</v>
      </c>
      <c r="T91" s="34">
        <v>235</v>
      </c>
      <c r="U91" s="88" t="s">
        <v>405</v>
      </c>
      <c r="V91" s="41">
        <f>C91/'1. Väestöennuste'!E91*1000</f>
        <v>519.39700611427361</v>
      </c>
      <c r="W91" s="41">
        <f>D91/'1. Väestöennuste'!F91*1000</f>
        <v>954.98563371288719</v>
      </c>
      <c r="X91" s="41">
        <f>E91/'1. Väestöennuste'!G91*1000</f>
        <v>954.07315045719031</v>
      </c>
      <c r="Y91" s="41">
        <f>F91/'1. Väestöennuste'!H91*1000</f>
        <v>914.30057202288094</v>
      </c>
      <c r="Z91" s="41">
        <f>G91/'1. Väestöennuste'!I91*1000</f>
        <v>682.76002858017762</v>
      </c>
      <c r="AA91" s="41">
        <f>H91/'1. Väestöennuste'!J91*1000</f>
        <v>1307.8207899390843</v>
      </c>
      <c r="AB91" s="41">
        <f>I91/'1. Väestöennuste'!K91*1000</f>
        <v>1020.9862062331665</v>
      </c>
      <c r="AC91" s="41">
        <f>J91/'1. Väestöennuste'!L91*1000</f>
        <v>1985.4995935433685</v>
      </c>
      <c r="AD91" s="41">
        <f>K91/'1. Väestöennuste'!M91*1000</f>
        <v>2015.8176202531645</v>
      </c>
      <c r="AE91" s="41">
        <f>L91/'1. Väestöennuste'!N91*1000</f>
        <v>1933.0628543375772</v>
      </c>
      <c r="AF91" s="41">
        <f>M91/'1. Väestöennuste'!O91*1000</f>
        <v>1905.4306303485585</v>
      </c>
      <c r="AG91" s="41">
        <f>N91/'1. Väestöennuste'!P91*1000</f>
        <v>1878.9808470090356</v>
      </c>
      <c r="AH91" s="41">
        <f>O91/'1. Väestöennuste'!Q91*1000</f>
        <v>1854.3211229501248</v>
      </c>
      <c r="AI91" s="41">
        <f>P91/'1. Väestöennuste'!R91*1000</f>
        <v>1830.9713912092577</v>
      </c>
    </row>
    <row r="92" spans="1:35" x14ac:dyDescent="0.2">
      <c r="A92" s="34">
        <v>236</v>
      </c>
      <c r="B92" s="88" t="s">
        <v>406</v>
      </c>
      <c r="C92" s="46">
        <v>144</v>
      </c>
      <c r="D92" s="46">
        <v>537</v>
      </c>
      <c r="E92" s="46">
        <v>168</v>
      </c>
      <c r="F92" s="46">
        <v>937</v>
      </c>
      <c r="G92" s="70">
        <v>974</v>
      </c>
      <c r="H92" s="41">
        <v>2998</v>
      </c>
      <c r="I92" s="165">
        <v>350.40168</v>
      </c>
      <c r="J92" s="41">
        <v>1099.2468000000001</v>
      </c>
      <c r="K92" s="41">
        <v>2712.8154800000002</v>
      </c>
      <c r="L92" s="41">
        <f t="shared" si="7"/>
        <v>2705.0489994640398</v>
      </c>
      <c r="M92" s="41">
        <f t="shared" si="7"/>
        <v>2697.3424842890199</v>
      </c>
      <c r="N92" s="41">
        <f t="shared" si="8"/>
        <v>2689.6924197857352</v>
      </c>
      <c r="O92" s="41">
        <f t="shared" si="8"/>
        <v>2682.0934745834334</v>
      </c>
      <c r="P92" s="41">
        <f t="shared" si="8"/>
        <v>2674.4724835190023</v>
      </c>
      <c r="T92" s="34">
        <v>236</v>
      </c>
      <c r="U92" s="88" t="s">
        <v>406</v>
      </c>
      <c r="V92" s="41">
        <f>C92/'1. Väestöennuste'!E92*1000</f>
        <v>33.449477351916379</v>
      </c>
      <c r="W92" s="41">
        <f>D92/'1. Väestöennuste'!F92*1000</f>
        <v>124.94183341088879</v>
      </c>
      <c r="X92" s="41">
        <f>E92/'1. Väestöennuste'!G92*1000</f>
        <v>38.988164307263865</v>
      </c>
      <c r="Y92" s="41">
        <f>F92/'1. Väestöennuste'!H92*1000</f>
        <v>219.28387549730868</v>
      </c>
      <c r="Z92" s="41">
        <f>G92/'1. Väestöennuste'!I92*1000</f>
        <v>228.58483923961512</v>
      </c>
      <c r="AA92" s="41">
        <f>H92/'1. Väestöennuste'!J92*1000</f>
        <v>709.08230842005685</v>
      </c>
      <c r="AB92" s="41">
        <f>I92/'1. Väestöennuste'!K92*1000</f>
        <v>83.508503336510955</v>
      </c>
      <c r="AC92" s="41">
        <f>J92/'1. Väestöennuste'!L92*1000</f>
        <v>261.85011910433542</v>
      </c>
      <c r="AD92" s="41">
        <f>K92/'1. Väestöennuste'!M92*1000</f>
        <v>655.74461687212954</v>
      </c>
      <c r="AE92" s="41">
        <f>L92/'1. Väestöennuste'!N92*1000</f>
        <v>656.56529113204851</v>
      </c>
      <c r="AF92" s="41">
        <f>M92/'1. Väestöennuste'!O92*1000</f>
        <v>659.6582255536855</v>
      </c>
      <c r="AG92" s="41">
        <f>N92/'1. Väestöennuste'!P92*1000</f>
        <v>662.81232621629749</v>
      </c>
      <c r="AH92" s="41">
        <f>O92/'1. Väestöennuste'!Q92*1000</f>
        <v>666.0276817937505</v>
      </c>
      <c r="AI92" s="41">
        <f>P92/'1. Väestöennuste'!R92*1000</f>
        <v>669.28740828803859</v>
      </c>
    </row>
    <row r="93" spans="1:35" x14ac:dyDescent="0.2">
      <c r="A93" s="34">
        <v>239</v>
      </c>
      <c r="B93" s="88" t="s">
        <v>407</v>
      </c>
      <c r="C93" s="46">
        <v>42</v>
      </c>
      <c r="D93" s="46">
        <v>347</v>
      </c>
      <c r="E93" s="46">
        <v>135</v>
      </c>
      <c r="F93" s="46">
        <v>644</v>
      </c>
      <c r="G93" s="70">
        <v>1004</v>
      </c>
      <c r="H93" s="41">
        <v>1408</v>
      </c>
      <c r="I93" s="165">
        <v>1452.1726299999998</v>
      </c>
      <c r="J93" s="41">
        <v>1608.95425</v>
      </c>
      <c r="K93" s="41">
        <v>337.12707</v>
      </c>
      <c r="L93" s="41">
        <f t="shared" si="7"/>
        <v>336.16191374569394</v>
      </c>
      <c r="M93" s="41">
        <f t="shared" si="7"/>
        <v>335.20420950815213</v>
      </c>
      <c r="N93" s="41">
        <f t="shared" si="8"/>
        <v>334.25352050983389</v>
      </c>
      <c r="O93" s="41">
        <f t="shared" si="8"/>
        <v>333.30918421050603</v>
      </c>
      <c r="P93" s="41">
        <f t="shared" si="8"/>
        <v>332.36210822727412</v>
      </c>
      <c r="T93" s="34">
        <v>239</v>
      </c>
      <c r="U93" s="88" t="s">
        <v>407</v>
      </c>
      <c r="V93" s="41">
        <f>C93/'1. Väestöennuste'!E93*1000</f>
        <v>17.654476670870114</v>
      </c>
      <c r="W93" s="41">
        <f>D93/'1. Väestöennuste'!F93*1000</f>
        <v>147.91133844842287</v>
      </c>
      <c r="X93" s="41">
        <f>E93/'1. Väestöennuste'!G93*1000</f>
        <v>58.466868774361195</v>
      </c>
      <c r="Y93" s="41">
        <f>F93/'1. Väestöennuste'!H93*1000</f>
        <v>286.98752228163994</v>
      </c>
      <c r="Z93" s="41">
        <f>G93/'1. Väestöennuste'!I93*1000</f>
        <v>455.94913714804727</v>
      </c>
      <c r="AA93" s="41">
        <f>H93/'1. Väestöennuste'!J93*1000</f>
        <v>653.36426914153139</v>
      </c>
      <c r="AB93" s="41">
        <f>I93/'1. Väestöennuste'!K93*1000</f>
        <v>693.16115990453454</v>
      </c>
      <c r="AC93" s="41">
        <f>J93/'1. Väestöennuste'!L93*1000</f>
        <v>792.97893050763923</v>
      </c>
      <c r="AD93" s="41">
        <f>K93/'1. Väestöennuste'!M93*1000</f>
        <v>165.66440786240784</v>
      </c>
      <c r="AE93" s="41">
        <f>L93/'1. Väestöennuste'!N93*1000</f>
        <v>167.66180236692966</v>
      </c>
      <c r="AF93" s="41">
        <f>M93/'1. Väestöennuste'!O93*1000</f>
        <v>170.06809208937196</v>
      </c>
      <c r="AG93" s="41">
        <f>N93/'1. Väestöennuste'!P93*1000</f>
        <v>172.02960396800509</v>
      </c>
      <c r="AH93" s="41">
        <f>O93/'1. Väestöennuste'!Q93*1000</f>
        <v>174.14272947257368</v>
      </c>
      <c r="AI93" s="41">
        <f>P93/'1. Väestöennuste'!R93*1000</f>
        <v>175.94606046970574</v>
      </c>
    </row>
    <row r="94" spans="1:35" x14ac:dyDescent="0.2">
      <c r="A94" s="34">
        <v>240</v>
      </c>
      <c r="B94" s="88" t="s">
        <v>408</v>
      </c>
      <c r="C94" s="46">
        <v>698</v>
      </c>
      <c r="D94" s="46">
        <v>3893</v>
      </c>
      <c r="E94" s="46">
        <v>2044</v>
      </c>
      <c r="F94" s="46">
        <v>1437</v>
      </c>
      <c r="G94" s="70">
        <v>1357</v>
      </c>
      <c r="H94" s="41">
        <v>3371</v>
      </c>
      <c r="I94" s="165">
        <v>4205.1229999999996</v>
      </c>
      <c r="J94" s="41">
        <v>4411.8930099999998</v>
      </c>
      <c r="K94" s="41">
        <v>4863.5581099999999</v>
      </c>
      <c r="L94" s="41">
        <f t="shared" si="7"/>
        <v>4849.6342992302289</v>
      </c>
      <c r="M94" s="41">
        <f t="shared" si="7"/>
        <v>4835.8179948572879</v>
      </c>
      <c r="N94" s="41">
        <f t="shared" si="8"/>
        <v>4822.1028957171966</v>
      </c>
      <c r="O94" s="41">
        <f t="shared" si="8"/>
        <v>4808.4794436842185</v>
      </c>
      <c r="P94" s="41">
        <f t="shared" si="8"/>
        <v>4794.8164676466258</v>
      </c>
      <c r="T94" s="34">
        <v>240</v>
      </c>
      <c r="U94" s="88" t="s">
        <v>408</v>
      </c>
      <c r="V94" s="41">
        <f>C94/'1. Väestöennuste'!E94*1000</f>
        <v>32.08015442595827</v>
      </c>
      <c r="W94" s="41">
        <f>D94/'1. Väestöennuste'!F94*1000</f>
        <v>180.21479492639568</v>
      </c>
      <c r="X94" s="41">
        <f>E94/'1. Väestöennuste'!G94*1000</f>
        <v>96.161083929243503</v>
      </c>
      <c r="Y94" s="41">
        <f>F94/'1. Väestöennuste'!H94*1000</f>
        <v>68.360211217354063</v>
      </c>
      <c r="Z94" s="41">
        <f>G94/'1. Väestöennuste'!I94*1000</f>
        <v>65.533394504273929</v>
      </c>
      <c r="AA94" s="41">
        <f>H94/'1. Väestöennuste'!J94*1000</f>
        <v>164.94593139893331</v>
      </c>
      <c r="AB94" s="41">
        <f>I94/'1. Väestöennuste'!K94*1000</f>
        <v>210.4455509958963</v>
      </c>
      <c r="AC94" s="41">
        <f>J94/'1. Väestöennuste'!L94*1000</f>
        <v>226.26252679624594</v>
      </c>
      <c r="AD94" s="41">
        <f>K94/'1. Väestöennuste'!M94*1000</f>
        <v>251.074188735739</v>
      </c>
      <c r="AE94" s="41">
        <f>L94/'1. Väestöennuste'!N94*1000</f>
        <v>250.73075686228046</v>
      </c>
      <c r="AF94" s="41">
        <f>M94/'1. Väestöennuste'!O94*1000</f>
        <v>253.26374750483333</v>
      </c>
      <c r="AG94" s="41">
        <f>N94/'1. Väestöennuste'!P94*1000</f>
        <v>255.74663992135754</v>
      </c>
      <c r="AH94" s="41">
        <f>O94/'1. Väestöennuste'!Q94*1000</f>
        <v>258.18725535246017</v>
      </c>
      <c r="AI94" s="41">
        <f>P94/'1. Väestöennuste'!R94*1000</f>
        <v>260.54537127895594</v>
      </c>
    </row>
    <row r="95" spans="1:35" x14ac:dyDescent="0.2">
      <c r="A95" s="34">
        <v>241</v>
      </c>
      <c r="B95" s="88" t="s">
        <v>409</v>
      </c>
      <c r="C95" s="46">
        <v>4541</v>
      </c>
      <c r="D95" s="46">
        <v>5157</v>
      </c>
      <c r="E95" s="46">
        <v>5940</v>
      </c>
      <c r="F95" s="46">
        <v>6191</v>
      </c>
      <c r="G95" s="70">
        <v>8372</v>
      </c>
      <c r="H95" s="41">
        <v>5089</v>
      </c>
      <c r="I95" s="165">
        <v>6191.8145400000003</v>
      </c>
      <c r="J95" s="41">
        <v>3528.6237500000002</v>
      </c>
      <c r="K95" s="41">
        <v>4507.5902500000002</v>
      </c>
      <c r="L95" s="41">
        <f t="shared" ref="L95:M114" si="9">K95*L$8</f>
        <v>4494.6855345120493</v>
      </c>
      <c r="M95" s="41">
        <f t="shared" si="9"/>
        <v>4481.8804569384001</v>
      </c>
      <c r="N95" s="41">
        <f t="shared" si="8"/>
        <v>4469.1691773025004</v>
      </c>
      <c r="O95" s="41">
        <f t="shared" si="8"/>
        <v>4456.5428370457794</v>
      </c>
      <c r="P95" s="41">
        <f t="shared" si="8"/>
        <v>4443.8798655791879</v>
      </c>
      <c r="T95" s="34">
        <v>241</v>
      </c>
      <c r="U95" s="88" t="s">
        <v>409</v>
      </c>
      <c r="V95" s="41">
        <f>C95/'1. Väestöennuste'!E95*1000</f>
        <v>541.36862184072493</v>
      </c>
      <c r="W95" s="41">
        <f>D95/'1. Väestöennuste'!F95*1000</f>
        <v>620.12987012987014</v>
      </c>
      <c r="X95" s="41">
        <f>E95/'1. Väestöennuste'!G95*1000</f>
        <v>716.00771456123437</v>
      </c>
      <c r="Y95" s="41">
        <f>F95/'1. Väestöennuste'!H95*1000</f>
        <v>759.91162391064188</v>
      </c>
      <c r="Z95" s="41">
        <f>G95/'1. Väestöennuste'!I95*1000</f>
        <v>1036.2668647109792</v>
      </c>
      <c r="AA95" s="41">
        <f>H95/'1. Väestöennuste'!J95*1000</f>
        <v>637.39979959919833</v>
      </c>
      <c r="AB95" s="41">
        <f>I95/'1. Väestöennuste'!K95*1000</f>
        <v>783.37734564777327</v>
      </c>
      <c r="AC95" s="41">
        <f>J95/'1. Väestöennuste'!L95*1000</f>
        <v>454.07589113370221</v>
      </c>
      <c r="AD95" s="41">
        <f>K95/'1. Väestöennuste'!M95*1000</f>
        <v>586.08636718242099</v>
      </c>
      <c r="AE95" s="41">
        <f>L95/'1. Väestöennuste'!N95*1000</f>
        <v>582.81710769087783</v>
      </c>
      <c r="AF95" s="41">
        <f>M95/'1. Väestöennuste'!O95*1000</f>
        <v>586.24989626401566</v>
      </c>
      <c r="AG95" s="41">
        <f>N95/'1. Väestöennuste'!P95*1000</f>
        <v>589.75576369787552</v>
      </c>
      <c r="AH95" s="41">
        <f>O95/'1. Väestöennuste'!Q95*1000</f>
        <v>593.73072702448439</v>
      </c>
      <c r="AI95" s="41">
        <f>P95/'1. Väestöennuste'!R95*1000</f>
        <v>597.456287386285</v>
      </c>
    </row>
    <row r="96" spans="1:35" x14ac:dyDescent="0.2">
      <c r="A96" s="34">
        <v>244</v>
      </c>
      <c r="B96" s="88" t="s">
        <v>410</v>
      </c>
      <c r="C96" s="46">
        <v>7129</v>
      </c>
      <c r="D96" s="46">
        <v>11485</v>
      </c>
      <c r="E96" s="46">
        <v>8387</v>
      </c>
      <c r="F96" s="46">
        <v>9351</v>
      </c>
      <c r="G96" s="70">
        <v>4979</v>
      </c>
      <c r="H96" s="41">
        <v>5219</v>
      </c>
      <c r="I96" s="165">
        <v>9101.0860099999991</v>
      </c>
      <c r="J96" s="41">
        <v>8587.0638900000013</v>
      </c>
      <c r="K96" s="41">
        <v>4810.9142899999997</v>
      </c>
      <c r="L96" s="41">
        <f t="shared" si="9"/>
        <v>4797.1411924675949</v>
      </c>
      <c r="M96" s="41">
        <f t="shared" si="9"/>
        <v>4783.4744376680374</v>
      </c>
      <c r="N96" s="41">
        <f t="shared" si="8"/>
        <v>4769.9077926420086</v>
      </c>
      <c r="O96" s="41">
        <f t="shared" si="8"/>
        <v>4756.4318027222371</v>
      </c>
      <c r="P96" s="41">
        <f t="shared" si="8"/>
        <v>4742.9167166110974</v>
      </c>
      <c r="T96" s="34">
        <v>244</v>
      </c>
      <c r="U96" s="88" t="s">
        <v>410</v>
      </c>
      <c r="V96" s="41">
        <f>C96/'1. Väestöennuste'!E96*1000</f>
        <v>417.73116137349115</v>
      </c>
      <c r="W96" s="41">
        <f>D96/'1. Väestöennuste'!F96*1000</f>
        <v>663.98797479331677</v>
      </c>
      <c r="X96" s="41">
        <f>E96/'1. Väestöennuste'!G96*1000</f>
        <v>478.30054177359568</v>
      </c>
      <c r="Y96" s="41">
        <f>F96/'1. Väestöennuste'!H96*1000</f>
        <v>521.73185292640744</v>
      </c>
      <c r="Z96" s="41">
        <f>G96/'1. Väestöennuste'!I96*1000</f>
        <v>271.26123672023971</v>
      </c>
      <c r="AA96" s="41">
        <f>H96/'1. Väestöennuste'!J96*1000</f>
        <v>277.66546073632685</v>
      </c>
      <c r="AB96" s="41">
        <f>I96/'1. Väestöennuste'!K96*1000</f>
        <v>476.09782433563504</v>
      </c>
      <c r="AC96" s="41">
        <f>J96/'1. Väestöennuste'!L96*1000</f>
        <v>444.92559015544049</v>
      </c>
      <c r="AD96" s="41">
        <f>K96/'1. Väestöennuste'!M96*1000</f>
        <v>246.53655273137235</v>
      </c>
      <c r="AE96" s="41">
        <f>L96/'1. Väestöennuste'!N96*1000</f>
        <v>237.98884717307115</v>
      </c>
      <c r="AF96" s="41">
        <f>M96/'1. Väestöennuste'!O96*1000</f>
        <v>233.9908251072757</v>
      </c>
      <c r="AG96" s="41">
        <f>N96/'1. Väestöennuste'!P96*1000</f>
        <v>230.31906289917956</v>
      </c>
      <c r="AH96" s="41">
        <f>O96/'1. Väestöennuste'!Q96*1000</f>
        <v>226.86405622065425</v>
      </c>
      <c r="AI96" s="41">
        <f>P96/'1. Väestöennuste'!R96*1000</f>
        <v>223.69083226954191</v>
      </c>
    </row>
    <row r="97" spans="1:35" x14ac:dyDescent="0.2">
      <c r="A97" s="34">
        <v>245</v>
      </c>
      <c r="B97" s="88" t="s">
        <v>411</v>
      </c>
      <c r="C97" s="46">
        <v>4787</v>
      </c>
      <c r="D97" s="46">
        <v>4391</v>
      </c>
      <c r="E97" s="46">
        <v>5913</v>
      </c>
      <c r="F97" s="46">
        <v>5618</v>
      </c>
      <c r="G97" s="70">
        <v>4103</v>
      </c>
      <c r="H97" s="41">
        <v>4618</v>
      </c>
      <c r="I97" s="165">
        <v>6484.5337399999999</v>
      </c>
      <c r="J97" s="41">
        <v>2286.7251000000001</v>
      </c>
      <c r="K97" s="41">
        <v>3042.4465399999999</v>
      </c>
      <c r="L97" s="41">
        <f t="shared" si="9"/>
        <v>3033.7363634292701</v>
      </c>
      <c r="M97" s="41">
        <f t="shared" si="9"/>
        <v>3025.0934385408818</v>
      </c>
      <c r="N97" s="41">
        <f t="shared" si="8"/>
        <v>3016.5138235798245</v>
      </c>
      <c r="O97" s="41">
        <f t="shared" si="8"/>
        <v>3007.9915393666747</v>
      </c>
      <c r="P97" s="41">
        <f t="shared" si="8"/>
        <v>2999.4445305242784</v>
      </c>
      <c r="T97" s="34">
        <v>245</v>
      </c>
      <c r="U97" s="88" t="s">
        <v>411</v>
      </c>
      <c r="V97" s="41">
        <f>C97/'1. Väestöennuste'!E97*1000</f>
        <v>135.63596180545719</v>
      </c>
      <c r="W97" s="41">
        <f>D97/'1. Väestöennuste'!F97*1000</f>
        <v>123.65182619470023</v>
      </c>
      <c r="X97" s="41">
        <f>E97/'1. Väestöennuste'!G97*1000</f>
        <v>166.31040108004726</v>
      </c>
      <c r="Y97" s="41">
        <f>F97/'1. Väestöennuste'!H97*1000</f>
        <v>154.96221106636509</v>
      </c>
      <c r="Z97" s="41">
        <f>G97/'1. Väestöennuste'!I97*1000</f>
        <v>111.62803351833713</v>
      </c>
      <c r="AA97" s="41">
        <f>H97/'1. Väestöennuste'!J97*1000</f>
        <v>124.45762026681039</v>
      </c>
      <c r="AB97" s="41">
        <f>I97/'1. Väestöennuste'!K97*1000</f>
        <v>174.16560324452084</v>
      </c>
      <c r="AC97" s="41">
        <f>J97/'1. Väestöennuste'!L97*1000</f>
        <v>60.694476589871535</v>
      </c>
      <c r="AD97" s="41">
        <f>K97/'1. Väestöennuste'!M97*1000</f>
        <v>79.622269503546107</v>
      </c>
      <c r="AE97" s="41">
        <f>L97/'1. Väestöennuste'!N97*1000</f>
        <v>78.59624247854272</v>
      </c>
      <c r="AF97" s="41">
        <f>M97/'1. Väestöennuste'!O97*1000</f>
        <v>77.735922871409016</v>
      </c>
      <c r="AG97" s="41">
        <f>N97/'1. Väestöennuste'!P97*1000</f>
        <v>76.916564423984511</v>
      </c>
      <c r="AH97" s="41">
        <f>O97/'1. Väestöennuste'!Q97*1000</f>
        <v>76.153612480484938</v>
      </c>
      <c r="AI97" s="41">
        <f>P97/'1. Väestöennuste'!R97*1000</f>
        <v>75.425466606087426</v>
      </c>
    </row>
    <row r="98" spans="1:35" x14ac:dyDescent="0.2">
      <c r="A98" s="34">
        <v>249</v>
      </c>
      <c r="B98" s="88" t="s">
        <v>412</v>
      </c>
      <c r="C98" s="46">
        <v>1210</v>
      </c>
      <c r="D98" s="46">
        <v>1614</v>
      </c>
      <c r="E98" s="46">
        <v>2851</v>
      </c>
      <c r="F98" s="46">
        <v>3652</v>
      </c>
      <c r="G98" s="70">
        <v>986</v>
      </c>
      <c r="H98" s="41">
        <v>1889</v>
      </c>
      <c r="I98" s="165">
        <v>3136.39048</v>
      </c>
      <c r="J98" s="41">
        <v>2779.8850000000002</v>
      </c>
      <c r="K98" s="41">
        <v>3330.748</v>
      </c>
      <c r="L98" s="41">
        <f t="shared" si="9"/>
        <v>3321.2124493136744</v>
      </c>
      <c r="M98" s="41">
        <f t="shared" si="9"/>
        <v>3311.7505230619977</v>
      </c>
      <c r="N98" s="41">
        <f t="shared" si="8"/>
        <v>3302.357905970257</v>
      </c>
      <c r="O98" s="41">
        <f t="shared" si="8"/>
        <v>3293.0280522735079</v>
      </c>
      <c r="P98" s="41">
        <f t="shared" si="8"/>
        <v>3283.6711310479363</v>
      </c>
      <c r="T98" s="34">
        <v>249</v>
      </c>
      <c r="U98" s="88" t="s">
        <v>412</v>
      </c>
      <c r="V98" s="41">
        <f>C98/'1. Väestöennuste'!E98*1000</f>
        <v>119.6006721360087</v>
      </c>
      <c r="W98" s="41">
        <f>D98/'1. Väestöennuste'!F98*1000</f>
        <v>161.52922337870297</v>
      </c>
      <c r="X98" s="41">
        <f>E98/'1. Väestöennuste'!G98*1000</f>
        <v>287.42816816211314</v>
      </c>
      <c r="Y98" s="41">
        <f>F98/'1. Väestöennuste'!H98*1000</f>
        <v>374.1036672812948</v>
      </c>
      <c r="Z98" s="41">
        <f>G98/'1. Väestöennuste'!I98*1000</f>
        <v>102.65486725663716</v>
      </c>
      <c r="AA98" s="41">
        <f>H98/'1. Väestöennuste'!J98*1000</f>
        <v>199.13556820577693</v>
      </c>
      <c r="AB98" s="41">
        <f>I98/'1. Väestöennuste'!K98*1000</f>
        <v>332.1392015249391</v>
      </c>
      <c r="AC98" s="41">
        <f>J98/'1. Väestöennuste'!L98*1000</f>
        <v>300.52810810810814</v>
      </c>
      <c r="AD98" s="41">
        <f>K98/'1. Väestöennuste'!M98*1000</f>
        <v>362.66855400696863</v>
      </c>
      <c r="AE98" s="41">
        <f>L98/'1. Väestöennuste'!N98*1000</f>
        <v>369.63967159862818</v>
      </c>
      <c r="AF98" s="41">
        <f>M98/'1. Väestöennuste'!O98*1000</f>
        <v>372.94487872319792</v>
      </c>
      <c r="AG98" s="41">
        <f>N98/'1. Väestöennuste'!P98*1000</f>
        <v>376.2942007714513</v>
      </c>
      <c r="AH98" s="41">
        <f>O98/'1. Väestöennuste'!Q98*1000</f>
        <v>379.42482455046758</v>
      </c>
      <c r="AI98" s="41">
        <f>P98/'1. Väestöennuste'!R98*1000</f>
        <v>382.5784843350736</v>
      </c>
    </row>
    <row r="99" spans="1:35" x14ac:dyDescent="0.2">
      <c r="A99" s="34">
        <v>250</v>
      </c>
      <c r="B99" s="88" t="s">
        <v>413</v>
      </c>
      <c r="C99" s="46">
        <v>1433</v>
      </c>
      <c r="D99" s="46">
        <v>956</v>
      </c>
      <c r="E99" s="46">
        <v>1901</v>
      </c>
      <c r="F99" s="46">
        <v>2226</v>
      </c>
      <c r="G99" s="70">
        <v>1030</v>
      </c>
      <c r="H99" s="41">
        <v>1811</v>
      </c>
      <c r="I99" s="165">
        <v>2017.6359399999999</v>
      </c>
      <c r="J99" s="41">
        <v>1822.5392400000001</v>
      </c>
      <c r="K99" s="41">
        <v>1577.70057</v>
      </c>
      <c r="L99" s="41">
        <f t="shared" si="9"/>
        <v>1573.1837936623485</v>
      </c>
      <c r="M99" s="41">
        <f t="shared" si="9"/>
        <v>1568.7018915669128</v>
      </c>
      <c r="N99" s="41">
        <f t="shared" si="8"/>
        <v>1564.2528196649162</v>
      </c>
      <c r="O99" s="41">
        <f t="shared" si="8"/>
        <v>1559.8334773744225</v>
      </c>
      <c r="P99" s="41">
        <f t="shared" si="8"/>
        <v>1555.4013138030477</v>
      </c>
      <c r="T99" s="34">
        <v>250</v>
      </c>
      <c r="U99" s="88" t="s">
        <v>413</v>
      </c>
      <c r="V99" s="41">
        <f>C99/'1. Väestöennuste'!E99*1000</f>
        <v>703.14033366045146</v>
      </c>
      <c r="W99" s="41">
        <f>D99/'1. Väestöennuste'!F99*1000</f>
        <v>479.43831494483453</v>
      </c>
      <c r="X99" s="41">
        <f>E99/'1. Väestöennuste'!G99*1000</f>
        <v>966.44636502287756</v>
      </c>
      <c r="Y99" s="41">
        <f>F99/'1. Väestöennuste'!H99*1000</f>
        <v>1165.4450261780105</v>
      </c>
      <c r="Z99" s="41">
        <f>G99/'1. Väestöennuste'!I99*1000</f>
        <v>552.27882037533516</v>
      </c>
      <c r="AA99" s="41">
        <f>H99/'1. Väestöennuste'!J99*1000</f>
        <v>993.96267837541166</v>
      </c>
      <c r="AB99" s="41">
        <f>I99/'1. Väestöennuste'!K99*1000</f>
        <v>1115.949081858407</v>
      </c>
      <c r="AC99" s="41">
        <f>J99/'1. Väestöennuste'!L99*1000</f>
        <v>1029.1017730095991</v>
      </c>
      <c r="AD99" s="41">
        <f>K99/'1. Väestöennuste'!M99*1000</f>
        <v>902.05864493996569</v>
      </c>
      <c r="AE99" s="41">
        <f>L99/'1. Väestöennuste'!N99*1000</f>
        <v>942.02622374990926</v>
      </c>
      <c r="AF99" s="41">
        <f>M99/'1. Väestöennuste'!O99*1000</f>
        <v>957.6934624950627</v>
      </c>
      <c r="AG99" s="41">
        <f>N99/'1. Väestöennuste'!P99*1000</f>
        <v>973.39938995949979</v>
      </c>
      <c r="AH99" s="41">
        <f>O99/'1. Väestöennuste'!Q99*1000</f>
        <v>988.48762824741596</v>
      </c>
      <c r="AI99" s="41">
        <f>P99/'1. Väestöennuste'!R99*1000</f>
        <v>1005.4307135119896</v>
      </c>
    </row>
    <row r="100" spans="1:35" x14ac:dyDescent="0.2">
      <c r="A100" s="34">
        <v>256</v>
      </c>
      <c r="B100" s="88" t="s">
        <v>414</v>
      </c>
      <c r="C100" s="46">
        <v>2289</v>
      </c>
      <c r="D100" s="46">
        <v>2244</v>
      </c>
      <c r="E100" s="46">
        <v>3255</v>
      </c>
      <c r="F100" s="46">
        <v>1976</v>
      </c>
      <c r="G100" s="70">
        <v>1105</v>
      </c>
      <c r="H100" s="41">
        <v>1046</v>
      </c>
      <c r="I100" s="165">
        <v>1027.8779999999999</v>
      </c>
      <c r="J100" s="41">
        <v>235.08117000000001</v>
      </c>
      <c r="K100" s="41">
        <v>427.95871</v>
      </c>
      <c r="L100" s="41">
        <f t="shared" si="9"/>
        <v>426.73351314606225</v>
      </c>
      <c r="M100" s="41">
        <f t="shared" si="9"/>
        <v>425.51777609457031</v>
      </c>
      <c r="N100" s="41">
        <f t="shared" si="8"/>
        <v>424.31094438766684</v>
      </c>
      <c r="O100" s="41">
        <f t="shared" si="8"/>
        <v>423.11217697789897</v>
      </c>
      <c r="P100" s="41">
        <f t="shared" si="8"/>
        <v>421.90993173530865</v>
      </c>
      <c r="T100" s="34">
        <v>256</v>
      </c>
      <c r="U100" s="88" t="s">
        <v>414</v>
      </c>
      <c r="V100" s="41">
        <f>C100/'1. Väestöennuste'!E100*1000</f>
        <v>1311.7478510028652</v>
      </c>
      <c r="W100" s="41">
        <f>D100/'1. Väestöennuste'!F100*1000</f>
        <v>1320.7769276044733</v>
      </c>
      <c r="X100" s="41">
        <f>E100/'1. Väestöennuste'!G100*1000</f>
        <v>1965.5797101449275</v>
      </c>
      <c r="Y100" s="41">
        <f>F100/'1. Väestöennuste'!H100*1000</f>
        <v>1223.5294117647061</v>
      </c>
      <c r="Z100" s="41">
        <f>G100/'1. Väestöennuste'!I100*1000</f>
        <v>682.09876543209884</v>
      </c>
      <c r="AA100" s="41">
        <f>H100/'1. Väestöennuste'!J100*1000</f>
        <v>654.97808390732621</v>
      </c>
      <c r="AB100" s="41">
        <f>I100/'1. Väestöennuste'!K100*1000</f>
        <v>650.14421252371915</v>
      </c>
      <c r="AC100" s="41">
        <f>J100/'1. Väestöennuste'!L100*1000</f>
        <v>151.27488416988419</v>
      </c>
      <c r="AD100" s="41">
        <f>K100/'1. Väestöennuste'!M100*1000</f>
        <v>280.99718319107023</v>
      </c>
      <c r="AE100" s="41">
        <f>L100/'1. Väestöennuste'!N100*1000</f>
        <v>285.24967456287578</v>
      </c>
      <c r="AF100" s="41">
        <f>M100/'1. Väestöennuste'!O100*1000</f>
        <v>288.68234470459316</v>
      </c>
      <c r="AG100" s="41">
        <f>N100/'1. Väestöennuste'!P100*1000</f>
        <v>292.62823750873571</v>
      </c>
      <c r="AH100" s="41">
        <f>O100/'1. Väestöennuste'!Q100*1000</f>
        <v>296.29704270160994</v>
      </c>
      <c r="AI100" s="41">
        <f>P100/'1. Väestöennuste'!R100*1000</f>
        <v>299.43927021668463</v>
      </c>
    </row>
    <row r="101" spans="1:35" x14ac:dyDescent="0.2">
      <c r="A101" s="34">
        <v>257</v>
      </c>
      <c r="B101" s="88" t="s">
        <v>415</v>
      </c>
      <c r="C101" s="46">
        <v>10664</v>
      </c>
      <c r="D101" s="46">
        <v>22739</v>
      </c>
      <c r="E101" s="46">
        <v>16685</v>
      </c>
      <c r="F101" s="46">
        <v>20043</v>
      </c>
      <c r="G101" s="70">
        <v>15805</v>
      </c>
      <c r="H101" s="41">
        <v>29689</v>
      </c>
      <c r="I101" s="165">
        <v>42816.14329</v>
      </c>
      <c r="J101" s="41">
        <v>79006.334770000001</v>
      </c>
      <c r="K101" s="41">
        <v>40081.886409999999</v>
      </c>
      <c r="L101" s="41">
        <f t="shared" si="9"/>
        <v>39967.136552170436</v>
      </c>
      <c r="M101" s="41">
        <f t="shared" si="9"/>
        <v>39853.272683381954</v>
      </c>
      <c r="N101" s="41">
        <f t="shared" si="8"/>
        <v>39740.242874052703</v>
      </c>
      <c r="O101" s="41">
        <f t="shared" si="8"/>
        <v>39627.968353105753</v>
      </c>
      <c r="P101" s="41">
        <f t="shared" si="8"/>
        <v>39515.368104239526</v>
      </c>
      <c r="T101" s="34">
        <v>257</v>
      </c>
      <c r="U101" s="88" t="s">
        <v>415</v>
      </c>
      <c r="V101" s="41">
        <f>C101/'1. Väestöennuste'!E101*1000</f>
        <v>275.91916996558774</v>
      </c>
      <c r="W101" s="41">
        <f>D101/'1. Väestöennuste'!F101*1000</f>
        <v>582.5583480644583</v>
      </c>
      <c r="X101" s="41">
        <f>E101/'1. Väestöennuste'!G101*1000</f>
        <v>425.96374776614755</v>
      </c>
      <c r="Y101" s="41">
        <f>F101/'1. Väestöennuste'!H101*1000</f>
        <v>510.49360705007388</v>
      </c>
      <c r="Z101" s="41">
        <f>G101/'1. Väestöennuste'!I101*1000</f>
        <v>399.25731319153238</v>
      </c>
      <c r="AA101" s="41">
        <f>H101/'1. Väestöennuste'!J101*1000</f>
        <v>740.70655156928296</v>
      </c>
      <c r="AB101" s="41">
        <f>I101/'1. Väestöennuste'!K101*1000</f>
        <v>1058.9405507877229</v>
      </c>
      <c r="AC101" s="41">
        <f>J101/'1. Väestöennuste'!L101*1000</f>
        <v>1940.1388627768774</v>
      </c>
      <c r="AD101" s="41">
        <f>K101/'1. Väestöennuste'!M101*1000</f>
        <v>973.94873912620881</v>
      </c>
      <c r="AE101" s="41">
        <f>L101/'1. Väestöennuste'!N101*1000</f>
        <v>963.92293254637718</v>
      </c>
      <c r="AF101" s="41">
        <f>M101/'1. Väestöennuste'!O101*1000</f>
        <v>954.31796852043658</v>
      </c>
      <c r="AG101" s="41">
        <f>N101/'1. Väestöennuste'!P101*1000</f>
        <v>945.27349192580346</v>
      </c>
      <c r="AH101" s="41">
        <f>O101/'1. Väestöennuste'!Q101*1000</f>
        <v>936.72067966211443</v>
      </c>
      <c r="AI101" s="41">
        <f>P101/'1. Väestöennuste'!R101*1000</f>
        <v>928.44078156621151</v>
      </c>
    </row>
    <row r="102" spans="1:35" x14ac:dyDescent="0.2">
      <c r="A102" s="34">
        <v>260</v>
      </c>
      <c r="B102" s="88" t="s">
        <v>416</v>
      </c>
      <c r="C102" s="46">
        <v>3148</v>
      </c>
      <c r="D102" s="46">
        <v>2813</v>
      </c>
      <c r="E102" s="46">
        <v>2627</v>
      </c>
      <c r="F102" s="46">
        <v>4460</v>
      </c>
      <c r="G102" s="70">
        <v>4772</v>
      </c>
      <c r="H102" s="41">
        <v>9092</v>
      </c>
      <c r="I102" s="165">
        <v>12260.03924</v>
      </c>
      <c r="J102" s="41">
        <v>16350.4882</v>
      </c>
      <c r="K102" s="41">
        <v>17144.501820000001</v>
      </c>
      <c r="L102" s="41">
        <f t="shared" si="9"/>
        <v>17095.419071591412</v>
      </c>
      <c r="M102" s="41">
        <f t="shared" si="9"/>
        <v>17046.715293388264</v>
      </c>
      <c r="N102" s="41">
        <f t="shared" si="8"/>
        <v>16998.368273192227</v>
      </c>
      <c r="O102" s="41">
        <f t="shared" si="8"/>
        <v>16950.34431770708</v>
      </c>
      <c r="P102" s="41">
        <f t="shared" si="8"/>
        <v>16902.181036371654</v>
      </c>
      <c r="T102" s="34">
        <v>260</v>
      </c>
      <c r="U102" s="88" t="s">
        <v>416</v>
      </c>
      <c r="V102" s="41">
        <f>C102/'1. Väestöennuste'!E102*1000</f>
        <v>290.62038404726735</v>
      </c>
      <c r="W102" s="41">
        <f>D102/'1. Väestöennuste'!F102*1000</f>
        <v>262.43119694001302</v>
      </c>
      <c r="X102" s="41">
        <f>E102/'1. Väestöennuste'!G102*1000</f>
        <v>250.52450886896816</v>
      </c>
      <c r="Y102" s="41">
        <f>F102/'1. Väestöennuste'!H102*1000</f>
        <v>430.58505502992853</v>
      </c>
      <c r="Z102" s="41">
        <f>G102/'1. Väestöennuste'!I102*1000</f>
        <v>470.79715864246253</v>
      </c>
      <c r="AA102" s="41">
        <f>H102/'1. Väestöennuste'!J102*1000</f>
        <v>915.33272928621773</v>
      </c>
      <c r="AB102" s="41">
        <f>I102/'1. Väestöennuste'!K102*1000</f>
        <v>1241.271564240154</v>
      </c>
      <c r="AC102" s="41">
        <f>J102/'1. Väestöennuste'!L102*1000</f>
        <v>1680.9384393954972</v>
      </c>
      <c r="AD102" s="41">
        <f>K102/'1. Väestöennuste'!M102*1000</f>
        <v>1769.4810424192385</v>
      </c>
      <c r="AE102" s="41">
        <f>L102/'1. Väestöennuste'!N102*1000</f>
        <v>1849.7531996961061</v>
      </c>
      <c r="AF102" s="41">
        <f>M102/'1. Väestöennuste'!O102*1000</f>
        <v>1874.9136926295935</v>
      </c>
      <c r="AG102" s="41">
        <f>N102/'1. Väestöennuste'!P102*1000</f>
        <v>1899.6835352248802</v>
      </c>
      <c r="AH102" s="41">
        <f>O102/'1. Väestöennuste'!Q102*1000</f>
        <v>1923.3342014872439</v>
      </c>
      <c r="AI102" s="41">
        <f>P102/'1. Väestöennuste'!R102*1000</f>
        <v>1946.3589401625582</v>
      </c>
    </row>
    <row r="103" spans="1:35" x14ac:dyDescent="0.2">
      <c r="A103" s="34">
        <v>261</v>
      </c>
      <c r="B103" s="88" t="s">
        <v>417</v>
      </c>
      <c r="C103" s="46">
        <v>2861</v>
      </c>
      <c r="D103" s="46">
        <v>1305</v>
      </c>
      <c r="E103" s="46">
        <v>684</v>
      </c>
      <c r="F103" s="46">
        <v>811</v>
      </c>
      <c r="G103" s="70">
        <v>1622</v>
      </c>
      <c r="H103" s="41">
        <v>1934</v>
      </c>
      <c r="I103" s="165">
        <v>5000.5570299999999</v>
      </c>
      <c r="J103" s="41">
        <v>10727.421259999999</v>
      </c>
      <c r="K103" s="41">
        <v>7581.59076</v>
      </c>
      <c r="L103" s="41">
        <f t="shared" si="9"/>
        <v>7559.8855325330896</v>
      </c>
      <c r="M103" s="41">
        <f t="shared" si="9"/>
        <v>7538.3478921467522</v>
      </c>
      <c r="N103" s="41">
        <f t="shared" si="8"/>
        <v>7516.9680162285022</v>
      </c>
      <c r="O103" s="41">
        <f t="shared" si="8"/>
        <v>7495.7310050287888</v>
      </c>
      <c r="P103" s="41">
        <f t="shared" si="8"/>
        <v>7474.4323815646776</v>
      </c>
      <c r="T103" s="34">
        <v>261</v>
      </c>
      <c r="U103" s="88" t="s">
        <v>417</v>
      </c>
      <c r="V103" s="41">
        <f>C103/'1. Väestöennuste'!E103*1000</f>
        <v>445.91645885286783</v>
      </c>
      <c r="W103" s="41">
        <f>D103/'1. Väestöennuste'!F103*1000</f>
        <v>204.44931850227167</v>
      </c>
      <c r="X103" s="41">
        <f>E103/'1. Väestöennuste'!G103*1000</f>
        <v>106.52546332346986</v>
      </c>
      <c r="Y103" s="41">
        <f>F103/'1. Väestöennuste'!H103*1000</f>
        <v>126.00994406463641</v>
      </c>
      <c r="Z103" s="41">
        <f>G103/'1. Väestöennuste'!I103*1000</f>
        <v>251.35595846892917</v>
      </c>
      <c r="AA103" s="41">
        <f>H103/'1. Väestöennuste'!J103*1000</f>
        <v>300.497203231821</v>
      </c>
      <c r="AB103" s="41">
        <f>I103/'1. Väestöennuste'!K103*1000</f>
        <v>766.60386785221522</v>
      </c>
      <c r="AC103" s="41">
        <f>J103/'1. Väestöennuste'!L103*1000</f>
        <v>1616.305749585656</v>
      </c>
      <c r="AD103" s="41">
        <f>K103/'1. Väestöennuste'!M103*1000</f>
        <v>1111.3442919964821</v>
      </c>
      <c r="AE103" s="41">
        <f>L103/'1. Väestöennuste'!N103*1000</f>
        <v>1180.3099972729258</v>
      </c>
      <c r="AF103" s="41">
        <f>M103/'1. Väestöennuste'!O103*1000</f>
        <v>1179.1565606361257</v>
      </c>
      <c r="AG103" s="41">
        <f>N103/'1. Väestöennuste'!P103*1000</f>
        <v>1178.3928540881802</v>
      </c>
      <c r="AH103" s="41">
        <f>O103/'1. Väestöennuste'!Q103*1000</f>
        <v>1177.6482333116714</v>
      </c>
      <c r="AI103" s="41">
        <f>P103/'1. Väestöennuste'!R103*1000</f>
        <v>1176.5201293191685</v>
      </c>
    </row>
    <row r="104" spans="1:35" x14ac:dyDescent="0.2">
      <c r="A104" s="34">
        <v>263</v>
      </c>
      <c r="B104" s="88" t="s">
        <v>418</v>
      </c>
      <c r="C104" s="46">
        <v>7505</v>
      </c>
      <c r="D104" s="46">
        <v>6906</v>
      </c>
      <c r="E104" s="46">
        <v>6944</v>
      </c>
      <c r="F104" s="46">
        <v>6518</v>
      </c>
      <c r="G104" s="70">
        <v>6584</v>
      </c>
      <c r="H104" s="41">
        <v>7961</v>
      </c>
      <c r="I104" s="165">
        <v>8453.1874500000013</v>
      </c>
      <c r="J104" s="41">
        <v>9148.0012499999993</v>
      </c>
      <c r="K104" s="41">
        <v>8963.5908099999997</v>
      </c>
      <c r="L104" s="41">
        <f t="shared" si="9"/>
        <v>8937.9290744078025</v>
      </c>
      <c r="M104" s="41">
        <f t="shared" si="9"/>
        <v>8912.4654742812163</v>
      </c>
      <c r="N104" s="41">
        <f t="shared" si="8"/>
        <v>8887.1883965060806</v>
      </c>
      <c r="O104" s="41">
        <f t="shared" si="8"/>
        <v>8862.0802253520869</v>
      </c>
      <c r="P104" s="41">
        <f t="shared" si="8"/>
        <v>8836.8992110251456</v>
      </c>
      <c r="T104" s="34">
        <v>263</v>
      </c>
      <c r="U104" s="88" t="s">
        <v>418</v>
      </c>
      <c r="V104" s="41">
        <f>C104/'1. Väestöennuste'!E104*1000</f>
        <v>872.67441860465112</v>
      </c>
      <c r="W104" s="41">
        <f>D104/'1. Väestöennuste'!F104*1000</f>
        <v>817.85883467550923</v>
      </c>
      <c r="X104" s="41">
        <f>E104/'1. Väestöennuste'!G104*1000</f>
        <v>838.34359531570692</v>
      </c>
      <c r="Y104" s="41">
        <f>F104/'1. Väestöennuste'!H104*1000</f>
        <v>799.4603213541028</v>
      </c>
      <c r="Z104" s="41">
        <f>G104/'1. Väestöennuste'!I104*1000</f>
        <v>823.20580145036263</v>
      </c>
      <c r="AA104" s="41">
        <f>H104/'1. Väestöennuste'!J104*1000</f>
        <v>1013.6236312706901</v>
      </c>
      <c r="AB104" s="41">
        <f>I104/'1. Väestöennuste'!K104*1000</f>
        <v>1089.468675086996</v>
      </c>
      <c r="AC104" s="41">
        <f>J104/'1. Väestöennuste'!L104*1000</f>
        <v>1204.1597011978411</v>
      </c>
      <c r="AD104" s="41">
        <f>K104/'1. Väestöennuste'!M104*1000</f>
        <v>1199.1425832775919</v>
      </c>
      <c r="AE104" s="41">
        <f>L104/'1. Väestöennuste'!N104*1000</f>
        <v>1219.1964362853366</v>
      </c>
      <c r="AF104" s="41">
        <f>M104/'1. Väestöennuste'!O104*1000</f>
        <v>1235.2689500043266</v>
      </c>
      <c r="AG104" s="41">
        <f>N104/'1. Väestöennuste'!P104*1000</f>
        <v>1251.3641786125149</v>
      </c>
      <c r="AH104" s="41">
        <f>O104/'1. Väestöennuste'!Q104*1000</f>
        <v>1267.0975443740474</v>
      </c>
      <c r="AI104" s="41">
        <f>P104/'1. Väestöennuste'!R104*1000</f>
        <v>1282.3827036751045</v>
      </c>
    </row>
    <row r="105" spans="1:35" x14ac:dyDescent="0.2">
      <c r="A105" s="34">
        <v>265</v>
      </c>
      <c r="B105" s="88" t="s">
        <v>419</v>
      </c>
      <c r="C105" s="46">
        <v>1614</v>
      </c>
      <c r="D105" s="46">
        <v>1471</v>
      </c>
      <c r="E105" s="46">
        <v>1455</v>
      </c>
      <c r="F105" s="46">
        <v>1480</v>
      </c>
      <c r="G105" s="70">
        <v>925</v>
      </c>
      <c r="H105" s="41">
        <v>1705</v>
      </c>
      <c r="I105" s="165">
        <v>1766.4301699999999</v>
      </c>
      <c r="J105" s="41">
        <v>3389.4916000000003</v>
      </c>
      <c r="K105" s="41">
        <v>4286.6826500000006</v>
      </c>
      <c r="L105" s="41">
        <f t="shared" si="9"/>
        <v>4274.4103677122785</v>
      </c>
      <c r="M105" s="41">
        <f t="shared" si="9"/>
        <v>4262.2328402924186</v>
      </c>
      <c r="N105" s="41">
        <f t="shared" si="8"/>
        <v>4250.144513968944</v>
      </c>
      <c r="O105" s="41">
        <f t="shared" si="8"/>
        <v>4238.1369643227708</v>
      </c>
      <c r="P105" s="41">
        <f t="shared" si="8"/>
        <v>4226.0945786859484</v>
      </c>
      <c r="T105" s="34">
        <v>265</v>
      </c>
      <c r="U105" s="88" t="s">
        <v>419</v>
      </c>
      <c r="V105" s="41">
        <f>C105/'1. Väestöennuste'!E105*1000</f>
        <v>1345</v>
      </c>
      <c r="W105" s="41">
        <f>D105/'1. Väestöennuste'!F105*1000</f>
        <v>1267.0111972437555</v>
      </c>
      <c r="X105" s="41">
        <f>E105/'1. Väestöennuste'!G105*1000</f>
        <v>1285.3356890459365</v>
      </c>
      <c r="Y105" s="41">
        <f>F105/'1. Väestöennuste'!H105*1000</f>
        <v>1341.795104261106</v>
      </c>
      <c r="Z105" s="41">
        <f>G105/'1. Väestöennuste'!I105*1000</f>
        <v>843.978102189781</v>
      </c>
      <c r="AA105" s="41">
        <f>H105/'1. Väestöennuste'!J105*1000</f>
        <v>1540.1987353206864</v>
      </c>
      <c r="AB105" s="41">
        <f>I105/'1. Väestöennuste'!K105*1000</f>
        <v>1623.5571415441175</v>
      </c>
      <c r="AC105" s="41">
        <f>J105/'1. Väestöennuste'!L105*1000</f>
        <v>3185.6124060150378</v>
      </c>
      <c r="AD105" s="41">
        <f>K105/'1. Väestöennuste'!M105*1000</f>
        <v>4141.7223671497595</v>
      </c>
      <c r="AE105" s="41">
        <f>L105/'1. Väestöennuste'!N105*1000</f>
        <v>4082.531392275338</v>
      </c>
      <c r="AF105" s="41">
        <f>M105/'1. Väestöennuste'!O105*1000</f>
        <v>4130.0705816786995</v>
      </c>
      <c r="AG105" s="41">
        <f>N105/'1. Väestöennuste'!P105*1000</f>
        <v>4179.099817078607</v>
      </c>
      <c r="AH105" s="41">
        <f>O105/'1. Väestöennuste'!Q105*1000</f>
        <v>4225.4605825750459</v>
      </c>
      <c r="AI105" s="41">
        <f>P105/'1. Väestöennuste'!R105*1000</f>
        <v>4273.0986639898365</v>
      </c>
    </row>
    <row r="106" spans="1:35" x14ac:dyDescent="0.2">
      <c r="A106" s="34">
        <v>271</v>
      </c>
      <c r="B106" s="88" t="s">
        <v>420</v>
      </c>
      <c r="C106" s="46">
        <v>787</v>
      </c>
      <c r="D106" s="46">
        <v>1373</v>
      </c>
      <c r="E106" s="46">
        <v>985</v>
      </c>
      <c r="F106" s="46">
        <v>987</v>
      </c>
      <c r="G106" s="70">
        <v>26</v>
      </c>
      <c r="H106" s="41">
        <v>2410</v>
      </c>
      <c r="I106" s="165">
        <v>1860.57574</v>
      </c>
      <c r="J106" s="41">
        <v>1879.23389</v>
      </c>
      <c r="K106" s="41">
        <v>2107.8164200000001</v>
      </c>
      <c r="L106" s="41">
        <f t="shared" si="9"/>
        <v>2101.7819825972369</v>
      </c>
      <c r="M106" s="41">
        <f t="shared" si="9"/>
        <v>2095.7941373690442</v>
      </c>
      <c r="N106" s="41">
        <f t="shared" si="8"/>
        <v>2089.8501534552975</v>
      </c>
      <c r="O106" s="41">
        <f t="shared" si="8"/>
        <v>2083.9458884619071</v>
      </c>
      <c r="P106" s="41">
        <f t="shared" si="8"/>
        <v>2078.024494168521</v>
      </c>
      <c r="T106" s="34">
        <v>271</v>
      </c>
      <c r="U106" s="88" t="s">
        <v>420</v>
      </c>
      <c r="V106" s="41">
        <f>C106/'1. Väestöennuste'!E106*1000</f>
        <v>103.67540508496904</v>
      </c>
      <c r="W106" s="41">
        <f>D106/'1. Väestöennuste'!F106*1000</f>
        <v>183.11549746599093</v>
      </c>
      <c r="X106" s="41">
        <f>E106/'1. Väestöennuste'!G106*1000</f>
        <v>133.45075193063272</v>
      </c>
      <c r="Y106" s="41">
        <f>F106/'1. Väestöennuste'!H106*1000</f>
        <v>136.59009133683918</v>
      </c>
      <c r="Z106" s="41">
        <f>G106/'1. Väestöennuste'!I106*1000</f>
        <v>3.6604251724623396</v>
      </c>
      <c r="AA106" s="41">
        <f>H106/'1. Väestöennuste'!J106*1000</f>
        <v>343.6475117638671</v>
      </c>
      <c r="AB106" s="41">
        <f>I106/'1. Väestöennuste'!K106*1000</f>
        <v>267.67022586678172</v>
      </c>
      <c r="AC106" s="41">
        <f>J106/'1. Väestöennuste'!L106*1000</f>
        <v>272.23437490945969</v>
      </c>
      <c r="AD106" s="41">
        <f>K106/'1. Väestöennuste'!M106*1000</f>
        <v>311.53065622228792</v>
      </c>
      <c r="AE106" s="41">
        <f>L106/'1. Väestöennuste'!N106*1000</f>
        <v>316.81971398812738</v>
      </c>
      <c r="AF106" s="41">
        <f>M106/'1. Väestöennuste'!O106*1000</f>
        <v>319.96857059069379</v>
      </c>
      <c r="AG106" s="41">
        <f>N106/'1. Väestöennuste'!P106*1000</f>
        <v>322.8565044732423</v>
      </c>
      <c r="AH106" s="41">
        <f>O106/'1. Väestöennuste'!Q106*1000</f>
        <v>325.51482169039474</v>
      </c>
      <c r="AI106" s="41">
        <f>P106/'1. Väestöennuste'!R106*1000</f>
        <v>328.07459649013595</v>
      </c>
    </row>
    <row r="107" spans="1:35" x14ac:dyDescent="0.2">
      <c r="A107" s="34">
        <v>272</v>
      </c>
      <c r="B107" s="88" t="s">
        <v>421</v>
      </c>
      <c r="C107" s="46">
        <v>21377</v>
      </c>
      <c r="D107" s="46">
        <v>12210</v>
      </c>
      <c r="E107" s="46">
        <v>34542</v>
      </c>
      <c r="F107" s="46">
        <v>8412</v>
      </c>
      <c r="G107" s="70">
        <v>11239</v>
      </c>
      <c r="H107" s="41">
        <v>43587</v>
      </c>
      <c r="I107" s="165">
        <v>12486.37012</v>
      </c>
      <c r="J107" s="41">
        <v>31904.045989999999</v>
      </c>
      <c r="K107" s="41">
        <v>26479.790860000001</v>
      </c>
      <c r="L107" s="41">
        <f t="shared" si="9"/>
        <v>26403.982246466694</v>
      </c>
      <c r="M107" s="41">
        <f t="shared" si="9"/>
        <v>26328.758954798534</v>
      </c>
      <c r="N107" s="41">
        <f t="shared" si="8"/>
        <v>26254.086678115531</v>
      </c>
      <c r="O107" s="41">
        <f t="shared" si="8"/>
        <v>26179.913376909823</v>
      </c>
      <c r="P107" s="41">
        <f t="shared" si="8"/>
        <v>26105.524886052324</v>
      </c>
      <c r="T107" s="34">
        <v>272</v>
      </c>
      <c r="U107" s="88" t="s">
        <v>421</v>
      </c>
      <c r="V107" s="41">
        <f>C107/'1. Väestöennuste'!E107*1000</f>
        <v>449.37986125709477</v>
      </c>
      <c r="W107" s="41">
        <f>D107/'1. Väestöennuste'!F107*1000</f>
        <v>255.85147622739558</v>
      </c>
      <c r="X107" s="41">
        <f>E107/'1. Väestöennuste'!G107*1000</f>
        <v>723.80194036418504</v>
      </c>
      <c r="Y107" s="41">
        <f>F107/'1. Väestöennuste'!H107*1000</f>
        <v>176.51132047757937</v>
      </c>
      <c r="Z107" s="41">
        <f>G107/'1. Väestöennuste'!I107*1000</f>
        <v>235.71233824793944</v>
      </c>
      <c r="AA107" s="41">
        <f>H107/'1. Väestöennuste'!J107*1000</f>
        <v>912.39638281838734</v>
      </c>
      <c r="AB107" s="41">
        <f>I107/'1. Väestöennuste'!K107*1000</f>
        <v>260.62681583836024</v>
      </c>
      <c r="AC107" s="41">
        <f>J107/'1. Väestöennuste'!L107*1000</f>
        <v>664.58455172270124</v>
      </c>
      <c r="AD107" s="41">
        <f>K107/'1. Väestöennuste'!M107*1000</f>
        <v>548.29259467853819</v>
      </c>
      <c r="AE107" s="41">
        <f>L107/'1. Väestöennuste'!N107*1000</f>
        <v>551.39252070472992</v>
      </c>
      <c r="AF107" s="41">
        <f>M107/'1. Väestöennuste'!O107*1000</f>
        <v>549.98243137530358</v>
      </c>
      <c r="AG107" s="41">
        <f>N107/'1. Väestöennuste'!P107*1000</f>
        <v>548.75502535617602</v>
      </c>
      <c r="AH107" s="41">
        <f>O107/'1. Väestöennuste'!Q107*1000</f>
        <v>547.66256044411068</v>
      </c>
      <c r="AI107" s="41">
        <f>P107/'1. Väestöennuste'!R107*1000</f>
        <v>546.73546297336691</v>
      </c>
    </row>
    <row r="108" spans="1:35" x14ac:dyDescent="0.2">
      <c r="A108" s="34">
        <v>273</v>
      </c>
      <c r="B108" s="88" t="s">
        <v>422</v>
      </c>
      <c r="C108" s="46">
        <v>941</v>
      </c>
      <c r="D108" s="46">
        <v>566</v>
      </c>
      <c r="E108" s="46">
        <v>723</v>
      </c>
      <c r="F108" s="46">
        <v>2120</v>
      </c>
      <c r="G108" s="70">
        <v>4093</v>
      </c>
      <c r="H108" s="41">
        <v>5400</v>
      </c>
      <c r="I108" s="165">
        <v>6301.7520999999997</v>
      </c>
      <c r="J108" s="41">
        <v>8852.2138400000003</v>
      </c>
      <c r="K108" s="41">
        <v>9690.8819600000006</v>
      </c>
      <c r="L108" s="41">
        <f t="shared" si="9"/>
        <v>9663.1380730038127</v>
      </c>
      <c r="M108" s="41">
        <f t="shared" si="9"/>
        <v>9635.6083978620045</v>
      </c>
      <c r="N108" s="41">
        <f t="shared" si="8"/>
        <v>9608.2803791912611</v>
      </c>
      <c r="O108" s="41">
        <f t="shared" si="8"/>
        <v>9581.1349719496247</v>
      </c>
      <c r="P108" s="41">
        <f t="shared" si="8"/>
        <v>9553.9108111587047</v>
      </c>
      <c r="T108" s="34">
        <v>273</v>
      </c>
      <c r="U108" s="88" t="s">
        <v>422</v>
      </c>
      <c r="V108" s="41">
        <f>C108/'1. Väestöennuste'!E108*1000</f>
        <v>244.54261954261955</v>
      </c>
      <c r="W108" s="41">
        <f>D108/'1. Väestöennuste'!F108*1000</f>
        <v>147.89652469297098</v>
      </c>
      <c r="X108" s="41">
        <f>E108/'1. Väestöennuste'!G108*1000</f>
        <v>187.59730150492996</v>
      </c>
      <c r="Y108" s="41">
        <f>F108/'1. Väestöennuste'!H108*1000</f>
        <v>552.94731351069379</v>
      </c>
      <c r="Z108" s="41">
        <f>G108/'1. Väestöennuste'!I108*1000</f>
        <v>1064.2225689027559</v>
      </c>
      <c r="AA108" s="41">
        <f>H108/'1. Väestöennuste'!J108*1000</f>
        <v>1375.7961783439489</v>
      </c>
      <c r="AB108" s="41">
        <f>I108/'1. Väestöennuste'!K108*1000</f>
        <v>1579.7824266733517</v>
      </c>
      <c r="AC108" s="41">
        <f>J108/'1. Väestöennuste'!L108*1000</f>
        <v>2213.6068617154287</v>
      </c>
      <c r="AD108" s="41">
        <f>K108/'1. Väestöennuste'!M108*1000</f>
        <v>2416.0762802293693</v>
      </c>
      <c r="AE108" s="41">
        <f>L108/'1. Väestöennuste'!N108*1000</f>
        <v>2435.2666514626544</v>
      </c>
      <c r="AF108" s="41">
        <f>M108/'1. Väestöennuste'!O108*1000</f>
        <v>2424.6624050986425</v>
      </c>
      <c r="AG108" s="41">
        <f>N108/'1. Väestöennuste'!P108*1000</f>
        <v>2415.3545447941833</v>
      </c>
      <c r="AH108" s="41">
        <f>O108/'1. Väestöennuste'!Q108*1000</f>
        <v>2409.136276577728</v>
      </c>
      <c r="AI108" s="41">
        <f>P108/'1. Väestöennuste'!R108*1000</f>
        <v>2402.2908753227821</v>
      </c>
    </row>
    <row r="109" spans="1:35" x14ac:dyDescent="0.2">
      <c r="A109" s="34">
        <v>275</v>
      </c>
      <c r="B109" s="88" t="s">
        <v>423</v>
      </c>
      <c r="C109" s="46">
        <v>1627</v>
      </c>
      <c r="D109" s="46">
        <v>1910</v>
      </c>
      <c r="E109" s="46">
        <v>2149</v>
      </c>
      <c r="F109" s="46">
        <v>1476</v>
      </c>
      <c r="G109" s="70">
        <v>1340</v>
      </c>
      <c r="H109" s="41">
        <v>1645</v>
      </c>
      <c r="I109" s="165">
        <v>1498.0413999999998</v>
      </c>
      <c r="J109" s="41">
        <v>424.00128000000001</v>
      </c>
      <c r="K109" s="41">
        <v>283.74581000000001</v>
      </c>
      <c r="L109" s="41">
        <f t="shared" si="9"/>
        <v>282.93347818946148</v>
      </c>
      <c r="M109" s="41">
        <f t="shared" si="9"/>
        <v>282.12741843098013</v>
      </c>
      <c r="N109" s="41">
        <f t="shared" si="8"/>
        <v>281.32726310709614</v>
      </c>
      <c r="O109" s="41">
        <f t="shared" si="8"/>
        <v>280.53245458529699</v>
      </c>
      <c r="P109" s="41">
        <f t="shared" si="8"/>
        <v>279.73534018569183</v>
      </c>
      <c r="T109" s="34">
        <v>275</v>
      </c>
      <c r="U109" s="88" t="s">
        <v>423</v>
      </c>
      <c r="V109" s="41">
        <f>C109/'1. Väestöennuste'!E109*1000</f>
        <v>590.13420384475876</v>
      </c>
      <c r="W109" s="41">
        <f>D109/'1. Väestöennuste'!F109*1000</f>
        <v>693.78859426080646</v>
      </c>
      <c r="X109" s="41">
        <f>E109/'1. Väestöennuste'!G109*1000</f>
        <v>782.02328966521111</v>
      </c>
      <c r="Y109" s="41">
        <f>F109/'1. Väestöennuste'!H109*1000</f>
        <v>547.07190511489989</v>
      </c>
      <c r="Z109" s="41">
        <f>G109/'1. Väestöennuste'!I109*1000</f>
        <v>510.08755234107349</v>
      </c>
      <c r="AA109" s="41">
        <f>H109/'1. Väestöennuste'!J109*1000</f>
        <v>634.40030852294637</v>
      </c>
      <c r="AB109" s="41">
        <f>I109/'1. Väestöennuste'!K109*1000</f>
        <v>579.28901778808961</v>
      </c>
      <c r="AC109" s="41">
        <f>J109/'1. Väestöennuste'!L109*1000</f>
        <v>168.18773502578344</v>
      </c>
      <c r="AD109" s="41">
        <f>K109/'1. Väestöennuste'!M109*1000</f>
        <v>113.54374149659864</v>
      </c>
      <c r="AE109" s="41">
        <f>L109/'1. Väestöennuste'!N109*1000</f>
        <v>115.48305232222917</v>
      </c>
      <c r="AF109" s="41">
        <f>M109/'1. Väestöennuste'!O109*1000</f>
        <v>116.62977198469621</v>
      </c>
      <c r="AG109" s="41">
        <f>N109/'1. Väestöennuste'!P109*1000</f>
        <v>117.71015192765529</v>
      </c>
      <c r="AH109" s="41">
        <f>O109/'1. Väestöennuste'!Q109*1000</f>
        <v>118.86968414631228</v>
      </c>
      <c r="AI109" s="41">
        <f>P109/'1. Väestöennuste'!R109*1000</f>
        <v>120.00658094624274</v>
      </c>
    </row>
    <row r="110" spans="1:35" x14ac:dyDescent="0.2">
      <c r="A110" s="34">
        <v>276</v>
      </c>
      <c r="B110" s="88" t="s">
        <v>424</v>
      </c>
      <c r="C110" s="46">
        <v>4357</v>
      </c>
      <c r="D110" s="46">
        <v>11113</v>
      </c>
      <c r="E110" s="46">
        <v>2500</v>
      </c>
      <c r="F110" s="46">
        <v>2082</v>
      </c>
      <c r="G110" s="70">
        <v>4604</v>
      </c>
      <c r="H110" s="41">
        <v>12415</v>
      </c>
      <c r="I110" s="165">
        <v>9124.5663000000004</v>
      </c>
      <c r="J110" s="41">
        <v>13007.297839999999</v>
      </c>
      <c r="K110" s="41">
        <v>7517.3494600000004</v>
      </c>
      <c r="L110" s="41">
        <f t="shared" si="9"/>
        <v>7495.8281480296409</v>
      </c>
      <c r="M110" s="41">
        <f t="shared" si="9"/>
        <v>7474.4730031196677</v>
      </c>
      <c r="N110" s="41">
        <f t="shared" si="8"/>
        <v>7453.2742858878073</v>
      </c>
      <c r="O110" s="41">
        <f t="shared" si="8"/>
        <v>7432.2172228349627</v>
      </c>
      <c r="P110" s="41">
        <f t="shared" si="8"/>
        <v>7411.0990695786031</v>
      </c>
      <c r="T110" s="34">
        <v>276</v>
      </c>
      <c r="U110" s="88" t="s">
        <v>424</v>
      </c>
      <c r="V110" s="41">
        <f>C110/'1. Väestöennuste'!E110*1000</f>
        <v>293.85580360153773</v>
      </c>
      <c r="W110" s="41">
        <f>D110/'1. Väestöennuste'!F110*1000</f>
        <v>750.57409158449275</v>
      </c>
      <c r="X110" s="41">
        <f>E110/'1. Väestöennuste'!G110*1000</f>
        <v>168.57720836142954</v>
      </c>
      <c r="Y110" s="41">
        <f>F110/'1. Väestöennuste'!H110*1000</f>
        <v>140.2114620513166</v>
      </c>
      <c r="Z110" s="41">
        <f>G110/'1. Väestöennuste'!I110*1000</f>
        <v>310.64030767154713</v>
      </c>
      <c r="AA110" s="41">
        <f>H110/'1. Väestöennuste'!J110*1000</f>
        <v>835.63303493302817</v>
      </c>
      <c r="AB110" s="41">
        <f>I110/'1. Väestöennuste'!K110*1000</f>
        <v>606.88834718989028</v>
      </c>
      <c r="AC110" s="41">
        <f>J110/'1. Väestöennuste'!L110*1000</f>
        <v>858.17099953816717</v>
      </c>
      <c r="AD110" s="41">
        <f>K110/'1. Väestöennuste'!M110*1000</f>
        <v>496.65363768498946</v>
      </c>
      <c r="AE110" s="41">
        <f>L110/'1. Väestöennuste'!N110*1000</f>
        <v>501.42672740849827</v>
      </c>
      <c r="AF110" s="41">
        <f>M110/'1. Väestöennuste'!O110*1000</f>
        <v>500.0985550059994</v>
      </c>
      <c r="AG110" s="41">
        <f>N110/'1. Väestöennuste'!P110*1000</f>
        <v>499.14775555101841</v>
      </c>
      <c r="AH110" s="41">
        <f>O110/'1. Väestöennuste'!Q110*1000</f>
        <v>498.43855025383692</v>
      </c>
      <c r="AI110" s="41">
        <f>P110/'1. Väestöennuste'!R110*1000</f>
        <v>497.99079892343792</v>
      </c>
    </row>
    <row r="111" spans="1:35" x14ac:dyDescent="0.2">
      <c r="A111" s="34">
        <v>280</v>
      </c>
      <c r="B111" s="88" t="s">
        <v>425</v>
      </c>
      <c r="C111" s="46">
        <v>391</v>
      </c>
      <c r="D111" s="46">
        <v>837</v>
      </c>
      <c r="E111" s="46">
        <v>635</v>
      </c>
      <c r="F111" s="46">
        <v>448</v>
      </c>
      <c r="G111" s="70">
        <v>1223</v>
      </c>
      <c r="H111" s="41">
        <v>962</v>
      </c>
      <c r="I111" s="165">
        <v>1430.9382700000001</v>
      </c>
      <c r="J111" s="41">
        <v>513.49769000000003</v>
      </c>
      <c r="K111" s="41">
        <v>354.59044</v>
      </c>
      <c r="L111" s="41">
        <f t="shared" si="9"/>
        <v>353.57528811414539</v>
      </c>
      <c r="M111" s="41">
        <f t="shared" si="9"/>
        <v>352.5679742636741</v>
      </c>
      <c r="N111" s="41">
        <f t="shared" si="8"/>
        <v>351.56803904572547</v>
      </c>
      <c r="O111" s="41">
        <f t="shared" si="8"/>
        <v>350.57478560011327</v>
      </c>
      <c r="P111" s="41">
        <f t="shared" si="8"/>
        <v>349.57865055344485</v>
      </c>
      <c r="T111" s="34">
        <v>280</v>
      </c>
      <c r="U111" s="88" t="s">
        <v>425</v>
      </c>
      <c r="V111" s="41">
        <f>C111/'1. Väestöennuste'!E111*1000</f>
        <v>177.64652430713312</v>
      </c>
      <c r="W111" s="41">
        <f>D111/'1. Väestöennuste'!F111*1000</f>
        <v>385.53661906955324</v>
      </c>
      <c r="X111" s="41">
        <f>E111/'1. Väestöennuste'!G111*1000</f>
        <v>294.80037140204274</v>
      </c>
      <c r="Y111" s="41">
        <f>F111/'1. Väestöennuste'!H111*1000</f>
        <v>211.12158341187558</v>
      </c>
      <c r="Z111" s="41">
        <f>G111/'1. Väestöennuste'!I111*1000</f>
        <v>588.83004333172846</v>
      </c>
      <c r="AA111" s="41">
        <f>H111/'1. Väestöennuste'!J111*1000</f>
        <v>465.18375241779495</v>
      </c>
      <c r="AB111" s="41">
        <f>I111/'1. Väestöennuste'!K111*1000</f>
        <v>698.01866829268295</v>
      </c>
      <c r="AC111" s="41">
        <f>J111/'1. Väestöennuste'!L111*1000</f>
        <v>253.70439229249016</v>
      </c>
      <c r="AD111" s="41">
        <f>K111/'1. Väestöennuste'!M111*1000</f>
        <v>175.97540446650123</v>
      </c>
      <c r="AE111" s="41">
        <f>L111/'1. Väestöennuste'!N111*1000</f>
        <v>175.47160700453864</v>
      </c>
      <c r="AF111" s="41">
        <f>M111/'1. Väestöennuste'!O111*1000</f>
        <v>175.84437619135863</v>
      </c>
      <c r="AG111" s="41">
        <f>N111/'1. Väestöennuste'!P111*1000</f>
        <v>176.224580975301</v>
      </c>
      <c r="AH111" s="41">
        <f>O111/'1. Väestöennuste'!Q111*1000</f>
        <v>176.87930655908843</v>
      </c>
      <c r="AI111" s="41">
        <f>P111/'1. Väestöennuste'!R111*1000</f>
        <v>177.3610606562379</v>
      </c>
    </row>
    <row r="112" spans="1:35" x14ac:dyDescent="0.2">
      <c r="A112" s="34">
        <v>284</v>
      </c>
      <c r="B112" s="88" t="s">
        <v>426</v>
      </c>
      <c r="C112" s="46">
        <v>2939</v>
      </c>
      <c r="D112" s="46">
        <v>2641</v>
      </c>
      <c r="E112" s="46">
        <v>1790</v>
      </c>
      <c r="F112" s="46">
        <v>1780</v>
      </c>
      <c r="G112" s="70">
        <v>779</v>
      </c>
      <c r="H112" s="41">
        <v>2405</v>
      </c>
      <c r="I112" s="165">
        <v>3718.79016</v>
      </c>
      <c r="J112" s="41">
        <v>4550.9389099999999</v>
      </c>
      <c r="K112" s="41">
        <v>7625.1223899999995</v>
      </c>
      <c r="L112" s="41">
        <f t="shared" si="9"/>
        <v>7603.292536453805</v>
      </c>
      <c r="M112" s="41">
        <f t="shared" si="9"/>
        <v>7581.6312322319936</v>
      </c>
      <c r="N112" s="41">
        <f t="shared" si="8"/>
        <v>7560.1285983230546</v>
      </c>
      <c r="O112" s="41">
        <f t="shared" si="8"/>
        <v>7538.7696494267393</v>
      </c>
      <c r="P112" s="41">
        <f t="shared" si="8"/>
        <v>7517.3487345035528</v>
      </c>
      <c r="T112" s="34">
        <v>284</v>
      </c>
      <c r="U112" s="88" t="s">
        <v>426</v>
      </c>
      <c r="V112" s="41">
        <f>C112/'1. Väestöennuste'!E112*1000</f>
        <v>1225.0937890787827</v>
      </c>
      <c r="W112" s="41">
        <f>D112/'1. Väestöennuste'!F112*1000</f>
        <v>1093.1291390728477</v>
      </c>
      <c r="X112" s="41">
        <f>E112/'1. Väestöennuste'!G112*1000</f>
        <v>758.79610004239089</v>
      </c>
      <c r="Y112" s="41">
        <f>F112/'1. Väestöennuste'!H112*1000</f>
        <v>760.68376068376062</v>
      </c>
      <c r="Z112" s="41">
        <f>G112/'1. Väestöennuste'!I112*1000</f>
        <v>337.52166377816292</v>
      </c>
      <c r="AA112" s="41">
        <f>H112/'1. Väestöennuste'!J112*1000</f>
        <v>1049.3019197207677</v>
      </c>
      <c r="AB112" s="41">
        <f>I112/'1. Väestöennuste'!K112*1000</f>
        <v>1637.512179656539</v>
      </c>
      <c r="AC112" s="41">
        <f>J112/'1. Väestöennuste'!L112*1000</f>
        <v>2043.5289223170184</v>
      </c>
      <c r="AD112" s="41">
        <f>K112/'1. Väestöennuste'!M112*1000</f>
        <v>3454.9716311735383</v>
      </c>
      <c r="AE112" s="41">
        <f>L112/'1. Väestöennuste'!N112*1000</f>
        <v>3459.1867772765268</v>
      </c>
      <c r="AF112" s="41">
        <f>M112/'1. Väestöennuste'!O112*1000</f>
        <v>3482.6050676306813</v>
      </c>
      <c r="AG112" s="41">
        <f>N112/'1. Väestöennuste'!P112*1000</f>
        <v>3504.9274911094367</v>
      </c>
      <c r="AH112" s="41">
        <f>O112/'1. Väestöennuste'!Q112*1000</f>
        <v>3524.4364887455536</v>
      </c>
      <c r="AI112" s="41">
        <f>P112/'1. Väestöennuste'!R112*1000</f>
        <v>3549.2675800300062</v>
      </c>
    </row>
    <row r="113" spans="1:35" x14ac:dyDescent="0.2">
      <c r="A113" s="34">
        <v>285</v>
      </c>
      <c r="B113" s="88" t="s">
        <v>427</v>
      </c>
      <c r="C113" s="46">
        <v>5511</v>
      </c>
      <c r="D113" s="46">
        <v>26462</v>
      </c>
      <c r="E113" s="46">
        <v>101876</v>
      </c>
      <c r="F113" s="46">
        <v>93494</v>
      </c>
      <c r="G113" s="70">
        <v>43530</v>
      </c>
      <c r="H113" s="41">
        <v>68047</v>
      </c>
      <c r="I113" s="165">
        <v>38977.761149999998</v>
      </c>
      <c r="J113" s="41">
        <v>3730.2977999999998</v>
      </c>
      <c r="K113" s="41">
        <v>12466.745699999999</v>
      </c>
      <c r="L113" s="41">
        <f t="shared" si="9"/>
        <v>12431.054832508409</v>
      </c>
      <c r="M113" s="41">
        <f t="shared" si="9"/>
        <v>12395.639535880802</v>
      </c>
      <c r="N113" s="41">
        <f t="shared" si="8"/>
        <v>12360.483658360135</v>
      </c>
      <c r="O113" s="41">
        <f t="shared" si="8"/>
        <v>12325.56269962787</v>
      </c>
      <c r="P113" s="41">
        <f t="shared" si="8"/>
        <v>12290.540429118622</v>
      </c>
      <c r="T113" s="34">
        <v>285</v>
      </c>
      <c r="U113" s="88" t="s">
        <v>427</v>
      </c>
      <c r="V113" s="41">
        <f>C113/'1. Väestöennuste'!E113*1000</f>
        <v>101.45621237504372</v>
      </c>
      <c r="W113" s="41">
        <f>D113/'1. Väestöennuste'!F113*1000</f>
        <v>488.34591322641961</v>
      </c>
      <c r="X113" s="41">
        <f>E113/'1. Väestöennuste'!G113*1000</f>
        <v>1902.8371841087805</v>
      </c>
      <c r="Y113" s="41">
        <f>F113/'1. Väestöennuste'!H113*1000</f>
        <v>1767.9405480021935</v>
      </c>
      <c r="Z113" s="41">
        <f>G113/'1. Väestöennuste'!I113*1000</f>
        <v>835.09189272148251</v>
      </c>
      <c r="AA113" s="41">
        <f>H113/'1. Väestöennuste'!J113*1000</f>
        <v>1317.0047224587754</v>
      </c>
      <c r="AB113" s="41">
        <f>I113/'1. Väestöennuste'!K113*1000</f>
        <v>760.67526297300992</v>
      </c>
      <c r="AC113" s="41">
        <f>J113/'1. Väestöennuste'!L113*1000</f>
        <v>73.696540687911181</v>
      </c>
      <c r="AD113" s="41">
        <f>K113/'1. Väestöennuste'!M113*1000</f>
        <v>246.86625148514852</v>
      </c>
      <c r="AE113" s="41">
        <f>L113/'1. Väestöennuste'!N113*1000</f>
        <v>249.52437488726005</v>
      </c>
      <c r="AF113" s="41">
        <f>M113/'1. Väestöennuste'!O113*1000</f>
        <v>250.98484522314735</v>
      </c>
      <c r="AG113" s="41">
        <f>N113/'1. Väestöennuste'!P113*1000</f>
        <v>252.38868906685457</v>
      </c>
      <c r="AH113" s="41">
        <f>O113/'1. Väestöennuste'!Q113*1000</f>
        <v>253.76904878789108</v>
      </c>
      <c r="AI113" s="41">
        <f>P113/'1. Väestöennuste'!R113*1000</f>
        <v>255.12279043318364</v>
      </c>
    </row>
    <row r="114" spans="1:35" x14ac:dyDescent="0.2">
      <c r="A114" s="34">
        <v>286</v>
      </c>
      <c r="B114" s="88" t="s">
        <v>428</v>
      </c>
      <c r="C114" s="46">
        <v>44885</v>
      </c>
      <c r="D114" s="46">
        <v>25268</v>
      </c>
      <c r="E114" s="46">
        <v>26664</v>
      </c>
      <c r="F114" s="46">
        <v>26641</v>
      </c>
      <c r="G114" s="70">
        <v>27875</v>
      </c>
      <c r="H114" s="41">
        <v>28453</v>
      </c>
      <c r="I114" s="165">
        <v>30284.083480000001</v>
      </c>
      <c r="J114" s="41">
        <v>30505.611760000003</v>
      </c>
      <c r="K114" s="41">
        <v>31491.213929999998</v>
      </c>
      <c r="L114" s="41">
        <f t="shared" si="9"/>
        <v>31401.058185223319</v>
      </c>
      <c r="M114" s="41">
        <f t="shared" si="9"/>
        <v>31311.59853718587</v>
      </c>
      <c r="N114" s="41">
        <f t="shared" si="8"/>
        <v>31222.794186271723</v>
      </c>
      <c r="O114" s="41">
        <f t="shared" si="8"/>
        <v>31134.583244255118</v>
      </c>
      <c r="P114" s="41">
        <f t="shared" si="8"/>
        <v>31046.116386948401</v>
      </c>
      <c r="T114" s="34">
        <v>286</v>
      </c>
      <c r="U114" s="88" t="s">
        <v>428</v>
      </c>
      <c r="V114" s="41">
        <f>C114/'1. Väestöennuste'!E114*1000</f>
        <v>522.80006988527168</v>
      </c>
      <c r="W114" s="41">
        <f>D114/'1. Väestöennuste'!F114*1000</f>
        <v>296.204252924765</v>
      </c>
      <c r="X114" s="41">
        <f>E114/'1. Väestöennuste'!G114*1000</f>
        <v>316.68962896099578</v>
      </c>
      <c r="Y114" s="41">
        <f>F114/'1. Väestöennuste'!H114*1000</f>
        <v>320.29286942303764</v>
      </c>
      <c r="Z114" s="41">
        <f>G114/'1. Väestöennuste'!I114*1000</f>
        <v>339.47121649434314</v>
      </c>
      <c r="AA114" s="41">
        <f>H114/'1. Väestöennuste'!J114*1000</f>
        <v>350.46251247120847</v>
      </c>
      <c r="AB114" s="41">
        <f>I114/'1. Väestöennuste'!K114*1000</f>
        <v>376.41488900489725</v>
      </c>
      <c r="AC114" s="41">
        <f>J114/'1. Väestöennuste'!L114*1000</f>
        <v>384.06138513641122</v>
      </c>
      <c r="AD114" s="41">
        <f>K114/'1. Väestöennuste'!M114*1000</f>
        <v>399.22938552231233</v>
      </c>
      <c r="AE114" s="41">
        <f>L114/'1. Väestöennuste'!N114*1000</f>
        <v>403.01168162153238</v>
      </c>
      <c r="AF114" s="41">
        <f>M114/'1. Väestöennuste'!O114*1000</f>
        <v>405.87981770932493</v>
      </c>
      <c r="AG114" s="41">
        <f>N114/'1. Väestöennuste'!P114*1000</f>
        <v>408.72346462635289</v>
      </c>
      <c r="AH114" s="41">
        <f>O114/'1. Väestöennuste'!Q114*1000</f>
        <v>411.51195818415681</v>
      </c>
      <c r="AI114" s="41">
        <f>P114/'1. Väestöennuste'!R114*1000</f>
        <v>414.21331501425448</v>
      </c>
    </row>
    <row r="115" spans="1:35" x14ac:dyDescent="0.2">
      <c r="A115" s="34">
        <v>287</v>
      </c>
      <c r="B115" s="88" t="s">
        <v>429</v>
      </c>
      <c r="C115" s="46">
        <v>4450</v>
      </c>
      <c r="D115" s="46">
        <v>4737</v>
      </c>
      <c r="E115" s="46">
        <v>1602</v>
      </c>
      <c r="F115" s="46">
        <v>6034</v>
      </c>
      <c r="G115" s="70">
        <v>3666</v>
      </c>
      <c r="H115" s="41">
        <v>7091</v>
      </c>
      <c r="I115" s="165">
        <v>6235.2010799999998</v>
      </c>
      <c r="J115" s="41">
        <v>8513.2159200000006</v>
      </c>
      <c r="K115" s="41">
        <v>2186.9433300000001</v>
      </c>
      <c r="L115" s="41">
        <f t="shared" ref="L115:M134" si="10">K115*L$8</f>
        <v>2180.6823613012762</v>
      </c>
      <c r="M115" s="41">
        <f t="shared" si="10"/>
        <v>2174.4697338358969</v>
      </c>
      <c r="N115" s="41">
        <f t="shared" si="8"/>
        <v>2168.3026142279209</v>
      </c>
      <c r="O115" s="41">
        <f t="shared" si="8"/>
        <v>2162.1767045788029</v>
      </c>
      <c r="P115" s="41">
        <f t="shared" si="8"/>
        <v>2156.0330225999801</v>
      </c>
      <c r="T115" s="34">
        <v>287</v>
      </c>
      <c r="U115" s="88" t="s">
        <v>429</v>
      </c>
      <c r="V115" s="41">
        <f>C115/'1. Väestöennuste'!E115*1000</f>
        <v>655.08611806271165</v>
      </c>
      <c r="W115" s="41">
        <f>D115/'1. Väestöennuste'!F115*1000</f>
        <v>704.17719637282596</v>
      </c>
      <c r="X115" s="41">
        <f>E115/'1. Väestöennuste'!G115*1000</f>
        <v>241.33775233504068</v>
      </c>
      <c r="Y115" s="41">
        <f>F115/'1. Väestöennuste'!H115*1000</f>
        <v>914.79684657368102</v>
      </c>
      <c r="Z115" s="41">
        <f>G115/'1. Väestöennuste'!I115*1000</f>
        <v>565.21739130434776</v>
      </c>
      <c r="AA115" s="41">
        <f>H115/'1. Väestöennuste'!J115*1000</f>
        <v>1107.2767020612118</v>
      </c>
      <c r="AB115" s="41">
        <f>I115/'1. Väestöennuste'!K115*1000</f>
        <v>977.30424451410659</v>
      </c>
      <c r="AC115" s="41">
        <f>J115/'1. Väestöennuste'!L115*1000</f>
        <v>1363.8602883691126</v>
      </c>
      <c r="AD115" s="41">
        <f>K115/'1. Väestöennuste'!M115*1000</f>
        <v>352.78969672527825</v>
      </c>
      <c r="AE115" s="41">
        <f>L115/'1. Väestöennuste'!N115*1000</f>
        <v>356.9622460797637</v>
      </c>
      <c r="AF115" s="41">
        <f>M115/'1. Väestöennuste'!O115*1000</f>
        <v>359.59479640084288</v>
      </c>
      <c r="AG115" s="41">
        <f>N115/'1. Väestöennuste'!P115*1000</f>
        <v>362.10798500800286</v>
      </c>
      <c r="AH115" s="41">
        <f>O115/'1. Väestöennuste'!Q115*1000</f>
        <v>364.55516853461523</v>
      </c>
      <c r="AI115" s="41">
        <f>P115/'1. Väestöennuste'!R115*1000</f>
        <v>367.04682032686077</v>
      </c>
    </row>
    <row r="116" spans="1:35" x14ac:dyDescent="0.2">
      <c r="A116" s="34">
        <v>288</v>
      </c>
      <c r="B116" s="88" t="s">
        <v>430</v>
      </c>
      <c r="C116" s="46">
        <v>285</v>
      </c>
      <c r="D116" s="46">
        <v>1444</v>
      </c>
      <c r="E116" s="46">
        <v>515</v>
      </c>
      <c r="F116" s="46">
        <v>170</v>
      </c>
      <c r="G116" s="70">
        <v>671</v>
      </c>
      <c r="H116" s="41">
        <v>1609</v>
      </c>
      <c r="I116" s="165">
        <v>1382.51749</v>
      </c>
      <c r="J116" s="41">
        <v>2147.8569300000004</v>
      </c>
      <c r="K116" s="41">
        <v>2756.3919999999998</v>
      </c>
      <c r="L116" s="41">
        <f t="shared" si="10"/>
        <v>2748.5007648698183</v>
      </c>
      <c r="M116" s="41">
        <f t="shared" si="10"/>
        <v>2740.6704583366577</v>
      </c>
      <c r="N116" s="41">
        <f t="shared" si="8"/>
        <v>2732.8975092541282</v>
      </c>
      <c r="O116" s="41">
        <f t="shared" si="8"/>
        <v>2725.1765006125588</v>
      </c>
      <c r="P116" s="41">
        <f t="shared" si="8"/>
        <v>2717.4330919815857</v>
      </c>
      <c r="T116" s="34">
        <v>288</v>
      </c>
      <c r="U116" s="88" t="s">
        <v>430</v>
      </c>
      <c r="V116" s="41">
        <f>C116/'1. Väestöennuste'!E116*1000</f>
        <v>42.651900628554323</v>
      </c>
      <c r="W116" s="41">
        <f>D116/'1. Väestöennuste'!F116*1000</f>
        <v>218.12688821752266</v>
      </c>
      <c r="X116" s="41">
        <f>E116/'1. Väestöennuste'!G116*1000</f>
        <v>78.854693002602971</v>
      </c>
      <c r="Y116" s="41">
        <f>F116/'1. Väestöennuste'!H116*1000</f>
        <v>26.117683207866033</v>
      </c>
      <c r="Z116" s="41">
        <f>G116/'1. Väestöennuste'!I116*1000</f>
        <v>104.38705662725576</v>
      </c>
      <c r="AA116" s="41">
        <f>H116/'1. Väestöennuste'!J116*1000</f>
        <v>250.77930174563591</v>
      </c>
      <c r="AB116" s="41">
        <f>I116/'1. Väestöennuste'!K116*1000</f>
        <v>214.60997981993168</v>
      </c>
      <c r="AC116" s="41">
        <f>J116/'1. Väestöennuste'!L116*1000</f>
        <v>335.34066042154569</v>
      </c>
      <c r="AD116" s="41">
        <f>K116/'1. Väestöennuste'!M116*1000</f>
        <v>432.8505025125628</v>
      </c>
      <c r="AE116" s="41">
        <f>L116/'1. Väestöennuste'!N116*1000</f>
        <v>441.59716659219447</v>
      </c>
      <c r="AF116" s="41">
        <f>M116/'1. Väestöennuste'!O116*1000</f>
        <v>443.68956748205562</v>
      </c>
      <c r="AG116" s="41">
        <f>N116/'1. Väestöennuste'!P116*1000</f>
        <v>445.7506947078989</v>
      </c>
      <c r="AH116" s="41">
        <f>O116/'1. Väestöennuste'!Q116*1000</f>
        <v>447.92513159312273</v>
      </c>
      <c r="AI116" s="41">
        <f>P116/'1. Väestöennuste'!R116*1000</f>
        <v>450.20428959270805</v>
      </c>
    </row>
    <row r="117" spans="1:35" x14ac:dyDescent="0.2">
      <c r="A117" s="34">
        <v>290</v>
      </c>
      <c r="B117" s="88" t="s">
        <v>431</v>
      </c>
      <c r="C117" s="46">
        <v>18160</v>
      </c>
      <c r="D117" s="46">
        <v>19343</v>
      </c>
      <c r="E117" s="46">
        <v>22137</v>
      </c>
      <c r="F117" s="46">
        <v>21488</v>
      </c>
      <c r="G117" s="70">
        <v>22375</v>
      </c>
      <c r="H117" s="41">
        <v>24353</v>
      </c>
      <c r="I117" s="165">
        <v>26759.839530000001</v>
      </c>
      <c r="J117" s="41">
        <v>29540.06954</v>
      </c>
      <c r="K117" s="41">
        <v>26190.851200000001</v>
      </c>
      <c r="L117" s="41">
        <f t="shared" si="10"/>
        <v>26115.869787675918</v>
      </c>
      <c r="M117" s="41">
        <f t="shared" si="10"/>
        <v>26041.467310357599</v>
      </c>
      <c r="N117" s="41">
        <f t="shared" si="8"/>
        <v>25967.609835511601</v>
      </c>
      <c r="O117" s="41">
        <f t="shared" si="8"/>
        <v>25894.245891469807</v>
      </c>
      <c r="P117" s="41">
        <f t="shared" si="8"/>
        <v>25820.669105862169</v>
      </c>
      <c r="T117" s="34">
        <v>290</v>
      </c>
      <c r="U117" s="88" t="s">
        <v>431</v>
      </c>
      <c r="V117" s="41">
        <f>C117/'1. Väestöennuste'!E117*1000</f>
        <v>2062.2302975244152</v>
      </c>
      <c r="W117" s="41">
        <f>D117/'1. Väestöennuste'!F117*1000</f>
        <v>2236.9607956516711</v>
      </c>
      <c r="X117" s="41">
        <f>E117/'1. Väestöennuste'!G117*1000</f>
        <v>2604.6593716907873</v>
      </c>
      <c r="Y117" s="41">
        <f>F117/'1. Väestöennuste'!H117*1000</f>
        <v>2579.9015488053788</v>
      </c>
      <c r="Z117" s="41">
        <f>G117/'1. Väestöennuste'!I117*1000</f>
        <v>2731.9902319902321</v>
      </c>
      <c r="AA117" s="41">
        <f>H117/'1. Väestöennuste'!J117*1000</f>
        <v>3028.22680925143</v>
      </c>
      <c r="AB117" s="41">
        <f>I117/'1. Väestöennuste'!K117*1000</f>
        <v>3375.3581647325937</v>
      </c>
      <c r="AC117" s="41">
        <f>J117/'1. Väestöennuste'!L117*1000</f>
        <v>3809.1643507414574</v>
      </c>
      <c r="AD117" s="41">
        <f>K117/'1. Väestöennuste'!M117*1000</f>
        <v>3454.3459773146928</v>
      </c>
      <c r="AE117" s="41">
        <f>L117/'1. Väestöennuste'!N117*1000</f>
        <v>3492.8273087703515</v>
      </c>
      <c r="AF117" s="41">
        <f>M117/'1. Väestöennuste'!O117*1000</f>
        <v>3544.5035130471756</v>
      </c>
      <c r="AG117" s="41">
        <f>N117/'1. Väestöennuste'!P117*1000</f>
        <v>3598.1169233076903</v>
      </c>
      <c r="AH117" s="41">
        <f>O117/'1. Väestöennuste'!Q117*1000</f>
        <v>3652.2208591635836</v>
      </c>
      <c r="AI117" s="41">
        <f>P117/'1. Väestöennuste'!R117*1000</f>
        <v>3706.1388123815373</v>
      </c>
    </row>
    <row r="118" spans="1:35" x14ac:dyDescent="0.2">
      <c r="A118" s="34">
        <v>291</v>
      </c>
      <c r="B118" s="88" t="s">
        <v>432</v>
      </c>
      <c r="C118" s="46">
        <v>3373</v>
      </c>
      <c r="D118" s="46">
        <v>3393</v>
      </c>
      <c r="E118" s="46">
        <v>3451</v>
      </c>
      <c r="F118" s="46">
        <v>3483</v>
      </c>
      <c r="G118" s="70">
        <v>3568</v>
      </c>
      <c r="H118" s="41">
        <v>4795</v>
      </c>
      <c r="I118" s="165">
        <v>4218.2403199999999</v>
      </c>
      <c r="J118" s="41">
        <v>2686.4106900000002</v>
      </c>
      <c r="K118" s="41">
        <v>4054.42877</v>
      </c>
      <c r="L118" s="41">
        <f t="shared" si="10"/>
        <v>4042.8214040148123</v>
      </c>
      <c r="M118" s="41">
        <f t="shared" si="10"/>
        <v>4031.3036590474908</v>
      </c>
      <c r="N118" s="41">
        <f t="shared" si="8"/>
        <v>4019.8702822317282</v>
      </c>
      <c r="O118" s="41">
        <f t="shared" si="8"/>
        <v>4008.5133055862448</v>
      </c>
      <c r="P118" s="41">
        <f t="shared" si="8"/>
        <v>3997.1233803755767</v>
      </c>
      <c r="T118" s="34">
        <v>291</v>
      </c>
      <c r="U118" s="88" t="s">
        <v>432</v>
      </c>
      <c r="V118" s="41">
        <f>C118/'1. Väestöennuste'!E118*1000</f>
        <v>1445.1585261353898</v>
      </c>
      <c r="W118" s="41">
        <f>D118/'1. Väestöennuste'!F118*1000</f>
        <v>1484.251968503937</v>
      </c>
      <c r="X118" s="41">
        <f>E118/'1. Väestöennuste'!G118*1000</f>
        <v>1532.4156305506215</v>
      </c>
      <c r="Y118" s="41">
        <f>F118/'1. Väestöennuste'!H118*1000</f>
        <v>1556.3002680965149</v>
      </c>
      <c r="Z118" s="41">
        <f>G118/'1. Väestöennuste'!I118*1000</f>
        <v>1617.4070716228468</v>
      </c>
      <c r="AA118" s="41">
        <f>H118/'1. Väestöennuste'!J118*1000</f>
        <v>2218.8801480795928</v>
      </c>
      <c r="AB118" s="41">
        <f>I118/'1. Väestöennuste'!K118*1000</f>
        <v>1954.6989434661723</v>
      </c>
      <c r="AC118" s="41">
        <f>J118/'1. Väestöennuste'!L118*1000</f>
        <v>1267.772859839547</v>
      </c>
      <c r="AD118" s="41">
        <f>K118/'1. Väestöennuste'!M118*1000</f>
        <v>1938.0634655831739</v>
      </c>
      <c r="AE118" s="41">
        <f>L118/'1. Väestöennuste'!N118*1000</f>
        <v>1979.8341841404565</v>
      </c>
      <c r="AF118" s="41">
        <f>M118/'1. Väestöennuste'!O118*1000</f>
        <v>2000.6469771947843</v>
      </c>
      <c r="AG118" s="41">
        <f>N118/'1. Väestöennuste'!P118*1000</f>
        <v>2021.0509211823671</v>
      </c>
      <c r="AH118" s="41">
        <f>O118/'1. Väestöennuste'!Q118*1000</f>
        <v>2037.8817008572673</v>
      </c>
      <c r="AI118" s="41">
        <f>P118/'1. Väestöennuste'!R118*1000</f>
        <v>2054.0202365753221</v>
      </c>
    </row>
    <row r="119" spans="1:35" x14ac:dyDescent="0.2">
      <c r="A119" s="34">
        <v>297</v>
      </c>
      <c r="B119" s="88" t="s">
        <v>433</v>
      </c>
      <c r="C119" s="46">
        <v>52143</v>
      </c>
      <c r="D119" s="46">
        <v>50813</v>
      </c>
      <c r="E119" s="46">
        <v>50515</v>
      </c>
      <c r="F119" s="46">
        <v>40494</v>
      </c>
      <c r="G119" s="70">
        <v>35238</v>
      </c>
      <c r="H119" s="41">
        <v>99647</v>
      </c>
      <c r="I119" s="165">
        <v>44578.183140000001</v>
      </c>
      <c r="J119" s="41">
        <v>33619.690820000003</v>
      </c>
      <c r="K119" s="41">
        <v>94527.16584999999</v>
      </c>
      <c r="L119" s="41">
        <f t="shared" si="10"/>
        <v>94256.545382406111</v>
      </c>
      <c r="M119" s="41">
        <f t="shared" si="10"/>
        <v>93988.014388151147</v>
      </c>
      <c r="N119" s="41">
        <f t="shared" si="8"/>
        <v>93721.450399042238</v>
      </c>
      <c r="O119" s="41">
        <f t="shared" si="8"/>
        <v>93456.667645213718</v>
      </c>
      <c r="P119" s="41">
        <f t="shared" si="8"/>
        <v>93191.116710548289</v>
      </c>
      <c r="T119" s="34">
        <v>297</v>
      </c>
      <c r="U119" s="88" t="s">
        <v>433</v>
      </c>
      <c r="V119" s="41">
        <f>C119/'1. Väestöennuste'!E119*1000</f>
        <v>445.96779021732624</v>
      </c>
      <c r="W119" s="41">
        <f>D119/'1. Väestöennuste'!F119*1000</f>
        <v>431.56956004756239</v>
      </c>
      <c r="X119" s="41">
        <f>E119/'1. Väestöennuste'!G119*1000</f>
        <v>427.33632802916867</v>
      </c>
      <c r="Y119" s="41">
        <f>F119/'1. Väestöennuste'!H119*1000</f>
        <v>341.24924155599001</v>
      </c>
      <c r="Z119" s="41">
        <f>G119/'1. Väestöennuste'!I119*1000</f>
        <v>295.41758186482451</v>
      </c>
      <c r="AA119" s="41">
        <f>H119/'1. Väestöennuste'!J119*1000</f>
        <v>828.94101988187344</v>
      </c>
      <c r="AB119" s="41">
        <f>I119/'1. Väestöennuste'!K119*1000</f>
        <v>366.76882370848182</v>
      </c>
      <c r="AC119" s="41">
        <f>J119/'1. Väestöennuste'!L119*1000</f>
        <v>274.23602150186798</v>
      </c>
      <c r="AD119" s="41">
        <f>K119/'1. Väestöennuste'!M119*1000</f>
        <v>762.18677361092068</v>
      </c>
      <c r="AE119" s="41">
        <f>L119/'1. Väestöennuste'!N119*1000</f>
        <v>767.73024510605842</v>
      </c>
      <c r="AF119" s="41">
        <f>M119/'1. Väestöennuste'!O119*1000</f>
        <v>762.36374569616055</v>
      </c>
      <c r="AG119" s="41">
        <f>N119/'1. Väestöennuste'!P119*1000</f>
        <v>757.2287923392953</v>
      </c>
      <c r="AH119" s="41">
        <f>O119/'1. Väestöennuste'!Q119*1000</f>
        <v>752.31771096972204</v>
      </c>
      <c r="AI119" s="41">
        <f>P119/'1. Väestöennuste'!R119*1000</f>
        <v>747.61627833349337</v>
      </c>
    </row>
    <row r="120" spans="1:35" x14ac:dyDescent="0.2">
      <c r="A120" s="34">
        <v>300</v>
      </c>
      <c r="B120" s="88" t="s">
        <v>434</v>
      </c>
      <c r="C120" s="46">
        <v>1521</v>
      </c>
      <c r="D120" s="46">
        <v>1758</v>
      </c>
      <c r="E120" s="46">
        <v>1311</v>
      </c>
      <c r="F120" s="46">
        <v>1346</v>
      </c>
      <c r="G120" s="70">
        <v>1293</v>
      </c>
      <c r="H120" s="41">
        <v>1513</v>
      </c>
      <c r="I120" s="165">
        <v>1574.4183</v>
      </c>
      <c r="J120" s="41">
        <v>2012.4860000000001</v>
      </c>
      <c r="K120" s="41">
        <v>1808.72972</v>
      </c>
      <c r="L120" s="41">
        <f t="shared" si="10"/>
        <v>1803.5515336217682</v>
      </c>
      <c r="M120" s="41">
        <f t="shared" si="10"/>
        <v>1798.4133282637356</v>
      </c>
      <c r="N120" s="41">
        <f t="shared" si="8"/>
        <v>1793.3127605587001</v>
      </c>
      <c r="O120" s="41">
        <f t="shared" si="8"/>
        <v>1788.2462758938254</v>
      </c>
      <c r="P120" s="41">
        <f t="shared" si="8"/>
        <v>1783.165092475449</v>
      </c>
      <c r="T120" s="34">
        <v>300</v>
      </c>
      <c r="U120" s="88" t="s">
        <v>434</v>
      </c>
      <c r="V120" s="41">
        <f>C120/'1. Väestöennuste'!E120*1000</f>
        <v>409.421265141319</v>
      </c>
      <c r="W120" s="41">
        <f>D120/'1. Väestöennuste'!F120*1000</f>
        <v>476.42276422764229</v>
      </c>
      <c r="X120" s="41">
        <f>E120/'1. Väestöennuste'!G120*1000</f>
        <v>360.46191916414625</v>
      </c>
      <c r="Y120" s="41">
        <f>F120/'1. Väestöennuste'!H120*1000</f>
        <v>376.81970884658455</v>
      </c>
      <c r="Z120" s="41">
        <f>G120/'1. Väestöennuste'!I120*1000</f>
        <v>364.12278231484089</v>
      </c>
      <c r="AA120" s="41">
        <f>H120/'1. Väestöennuste'!J120*1000</f>
        <v>428.12676853423881</v>
      </c>
      <c r="AB120" s="41">
        <f>I120/'1. Väestöennuste'!K120*1000</f>
        <v>446.26369047619045</v>
      </c>
      <c r="AC120" s="41">
        <f>J120/'1. Väestöennuste'!L120*1000</f>
        <v>585.53564154786147</v>
      </c>
      <c r="AD120" s="41">
        <f>K120/'1. Väestöennuste'!M120*1000</f>
        <v>534.96886128364395</v>
      </c>
      <c r="AE120" s="41">
        <f>L120/'1. Väestöennuste'!N120*1000</f>
        <v>532.49233351690827</v>
      </c>
      <c r="AF120" s="41">
        <f>M120/'1. Väestöennuste'!O120*1000</f>
        <v>536.19956119968265</v>
      </c>
      <c r="AG120" s="41">
        <f>N120/'1. Väestöennuste'!P120*1000</f>
        <v>540.31719209361268</v>
      </c>
      <c r="AH120" s="41">
        <f>O120/'1. Väestöennuste'!Q120*1000</f>
        <v>544.03598293088692</v>
      </c>
      <c r="AI120" s="41">
        <f>P120/'1. Väestöennuste'!R120*1000</f>
        <v>547.48697957489992</v>
      </c>
    </row>
    <row r="121" spans="1:35" x14ac:dyDescent="0.2">
      <c r="A121" s="34">
        <v>301</v>
      </c>
      <c r="B121" s="88" t="s">
        <v>435</v>
      </c>
      <c r="C121" s="46">
        <v>31220</v>
      </c>
      <c r="D121" s="46">
        <v>29697</v>
      </c>
      <c r="E121" s="46">
        <v>35534</v>
      </c>
      <c r="F121" s="46">
        <v>37087</v>
      </c>
      <c r="G121" s="70">
        <v>36168</v>
      </c>
      <c r="H121" s="41">
        <v>40690</v>
      </c>
      <c r="I121" s="165">
        <v>34246.063950000003</v>
      </c>
      <c r="J121" s="41">
        <v>43603.850130000006</v>
      </c>
      <c r="K121" s="41">
        <v>43369.751130000004</v>
      </c>
      <c r="L121" s="41">
        <f t="shared" si="10"/>
        <v>43245.588491411479</v>
      </c>
      <c r="M121" s="41">
        <f t="shared" si="10"/>
        <v>43122.384518386309</v>
      </c>
      <c r="N121" s="41">
        <f t="shared" si="8"/>
        <v>43000.083021626968</v>
      </c>
      <c r="O121" s="41">
        <f t="shared" si="8"/>
        <v>42878.598768568103</v>
      </c>
      <c r="P121" s="41">
        <f t="shared" si="8"/>
        <v>42756.762068554752</v>
      </c>
      <c r="T121" s="34">
        <v>301</v>
      </c>
      <c r="U121" s="88" t="s">
        <v>435</v>
      </c>
      <c r="V121" s="41">
        <f>C121/'1. Väestöennuste'!E121*1000</f>
        <v>1436.4590043250207</v>
      </c>
      <c r="W121" s="41">
        <f>D121/'1. Väestöennuste'!F121*1000</f>
        <v>1381.1915724850007</v>
      </c>
      <c r="X121" s="41">
        <f>E121/'1. Väestöennuste'!G121*1000</f>
        <v>1675.8949205301137</v>
      </c>
      <c r="Y121" s="41">
        <f>F121/'1. Väestöennuste'!H121*1000</f>
        <v>1770.0935471554028</v>
      </c>
      <c r="Z121" s="41">
        <f>G121/'1. Väestöennuste'!I121*1000</f>
        <v>1749.1053293355255</v>
      </c>
      <c r="AA121" s="41">
        <f>H121/'1. Väestöennuste'!J121*1000</f>
        <v>1989.1474384043802</v>
      </c>
      <c r="AB121" s="41">
        <f>I121/'1. Väestöennuste'!K121*1000</f>
        <v>1695.6015225033423</v>
      </c>
      <c r="AC121" s="41">
        <f>J121/'1. Väestöennuste'!L121*1000</f>
        <v>2192.2498808446462</v>
      </c>
      <c r="AD121" s="41">
        <f>K121/'1. Väestöennuste'!M121*1000</f>
        <v>2194.9365418290399</v>
      </c>
      <c r="AE121" s="41">
        <f>L121/'1. Väestöennuste'!N121*1000</f>
        <v>2218.2912793747873</v>
      </c>
      <c r="AF121" s="41">
        <f>M121/'1. Väestöennuste'!O121*1000</f>
        <v>2237.915019896534</v>
      </c>
      <c r="AG121" s="41">
        <f>N121/'1. Väestöennuste'!P121*1000</f>
        <v>2257.3407014345617</v>
      </c>
      <c r="AH121" s="41">
        <f>O121/'1. Väestöennuste'!Q121*1000</f>
        <v>2276.659167918026</v>
      </c>
      <c r="AI121" s="41">
        <f>P121/'1. Väestöennuste'!R121*1000</f>
        <v>2296.0349086325182</v>
      </c>
    </row>
    <row r="122" spans="1:35" x14ac:dyDescent="0.2">
      <c r="A122" s="34">
        <v>304</v>
      </c>
      <c r="B122" s="88" t="s">
        <v>436</v>
      </c>
      <c r="C122" s="46">
        <v>680</v>
      </c>
      <c r="D122" s="46">
        <v>825</v>
      </c>
      <c r="E122" s="46">
        <v>822</v>
      </c>
      <c r="F122" s="46">
        <v>1172</v>
      </c>
      <c r="G122" s="70">
        <v>1340</v>
      </c>
      <c r="H122" s="41">
        <v>1169</v>
      </c>
      <c r="I122" s="165">
        <v>623.40842000000009</v>
      </c>
      <c r="J122" s="41">
        <v>1374.8958</v>
      </c>
      <c r="K122" s="41">
        <v>335.35285999999996</v>
      </c>
      <c r="L122" s="41">
        <f t="shared" si="10"/>
        <v>334.39278310606073</v>
      </c>
      <c r="M122" s="41">
        <f t="shared" si="10"/>
        <v>333.44011901090585</v>
      </c>
      <c r="N122" s="41">
        <f t="shared" si="8"/>
        <v>332.4944332356385</v>
      </c>
      <c r="O122" s="41">
        <f t="shared" si="8"/>
        <v>331.55506672679832</v>
      </c>
      <c r="P122" s="41">
        <f t="shared" si="8"/>
        <v>330.61297495228092</v>
      </c>
      <c r="T122" s="34">
        <v>304</v>
      </c>
      <c r="U122" s="88" t="s">
        <v>436</v>
      </c>
      <c r="V122" s="41">
        <f>C122/'1. Väestöennuste'!E122*1000</f>
        <v>759.77653631284909</v>
      </c>
      <c r="W122" s="41">
        <f>D122/'1. Väestöennuste'!F122*1000</f>
        <v>908.59030837004411</v>
      </c>
      <c r="X122" s="41">
        <f>E122/'1. Väestöennuste'!G122*1000</f>
        <v>890.57421451787638</v>
      </c>
      <c r="Y122" s="41">
        <f>F122/'1. Väestöennuste'!H122*1000</f>
        <v>1265.658747300216</v>
      </c>
      <c r="Z122" s="41">
        <f>G122/'1. Väestöennuste'!I122*1000</f>
        <v>1412.0126448893573</v>
      </c>
      <c r="AA122" s="41">
        <f>H122/'1. Väestöennuste'!J122*1000</f>
        <v>1215.1767151767151</v>
      </c>
      <c r="AB122" s="41">
        <f>I122/'1. Väestöennuste'!K122*1000</f>
        <v>642.02720906282195</v>
      </c>
      <c r="AC122" s="41">
        <f>J122/'1. Väestöennuste'!L122*1000</f>
        <v>1447.2587368421052</v>
      </c>
      <c r="AD122" s="41">
        <f>K122/'1. Väestöennuste'!M122*1000</f>
        <v>353.37498419388822</v>
      </c>
      <c r="AE122" s="41">
        <f>L122/'1. Väestöennuste'!N122*1000</f>
        <v>326.23686156688854</v>
      </c>
      <c r="AF122" s="41">
        <f>M122/'1. Väestöennuste'!O122*1000</f>
        <v>321.54302701148106</v>
      </c>
      <c r="AG122" s="41">
        <f>N122/'1. Väestöennuste'!P122*1000</f>
        <v>316.66136498632238</v>
      </c>
      <c r="AH122" s="41">
        <f>O122/'1. Väestöennuste'!Q122*1000</f>
        <v>311.61190481841948</v>
      </c>
      <c r="AI122" s="41">
        <f>P122/'1. Väestöennuste'!R122*1000</f>
        <v>307.54695344398226</v>
      </c>
    </row>
    <row r="123" spans="1:35" x14ac:dyDescent="0.2">
      <c r="A123" s="34">
        <v>305</v>
      </c>
      <c r="B123" s="88" t="s">
        <v>437</v>
      </c>
      <c r="C123" s="46">
        <v>27373</v>
      </c>
      <c r="D123" s="46">
        <v>29952</v>
      </c>
      <c r="E123" s="46">
        <v>27216</v>
      </c>
      <c r="F123" s="46">
        <v>32396</v>
      </c>
      <c r="G123" s="70">
        <v>25122</v>
      </c>
      <c r="H123" s="41">
        <v>23573</v>
      </c>
      <c r="I123" s="165">
        <v>23865.60266</v>
      </c>
      <c r="J123" s="41">
        <v>16535.257109999999</v>
      </c>
      <c r="K123" s="41">
        <v>19228.503690000001</v>
      </c>
      <c r="L123" s="41">
        <f t="shared" si="10"/>
        <v>19173.454682522344</v>
      </c>
      <c r="M123" s="41">
        <f t="shared" si="10"/>
        <v>19118.830711016581</v>
      </c>
      <c r="N123" s="41">
        <f t="shared" si="8"/>
        <v>19064.606863278084</v>
      </c>
      <c r="O123" s="41">
        <f t="shared" si="8"/>
        <v>19010.745350418179</v>
      </c>
      <c r="P123" s="41">
        <f t="shared" si="8"/>
        <v>18956.72757593841</v>
      </c>
      <c r="T123" s="34">
        <v>305</v>
      </c>
      <c r="U123" s="88" t="s">
        <v>437</v>
      </c>
      <c r="V123" s="41">
        <f>C123/'1. Väestöennuste'!E123*1000</f>
        <v>1744.8368179500255</v>
      </c>
      <c r="W123" s="41">
        <f>D123/'1. Väestöennuste'!F123*1000</f>
        <v>1928.2817227837509</v>
      </c>
      <c r="X123" s="41">
        <f>E123/'1. Väestöennuste'!G123*1000</f>
        <v>1768.8808007279345</v>
      </c>
      <c r="Y123" s="41">
        <f>F123/'1. Väestöennuste'!H123*1000</f>
        <v>2130.3347142763205</v>
      </c>
      <c r="Z123" s="41">
        <f>G123/'1. Väestöennuste'!I123*1000</f>
        <v>1659.9709263909078</v>
      </c>
      <c r="AA123" s="41">
        <f>H123/'1. Väestöennuste'!J123*1000</f>
        <v>1549.5300072306579</v>
      </c>
      <c r="AB123" s="41">
        <f>I123/'1. Väestöennuste'!K123*1000</f>
        <v>1573.7291566106167</v>
      </c>
      <c r="AC123" s="41">
        <f>J123/'1. Väestöennuste'!L123*1000</f>
        <v>1091.724356925921</v>
      </c>
      <c r="AD123" s="41">
        <f>K123/'1. Väestöennuste'!M123*1000</f>
        <v>1280.2785598242228</v>
      </c>
      <c r="AE123" s="41">
        <f>L123/'1. Väestöennuste'!N123*1000</f>
        <v>1297.6079238306945</v>
      </c>
      <c r="AF123" s="41">
        <f>M123/'1. Väestöennuste'!O123*1000</f>
        <v>1302.9939828948804</v>
      </c>
      <c r="AG123" s="41">
        <f>N123/'1. Väestöennuste'!P123*1000</f>
        <v>1308.1245274652179</v>
      </c>
      <c r="AH123" s="41">
        <f>O123/'1. Väestöennuste'!Q123*1000</f>
        <v>1313.4410218611426</v>
      </c>
      <c r="AI123" s="41">
        <f>P123/'1. Väestöennuste'!R123*1000</f>
        <v>1318.8206188909426</v>
      </c>
    </row>
    <row r="124" spans="1:35" x14ac:dyDescent="0.2">
      <c r="A124" s="34">
        <v>309</v>
      </c>
      <c r="B124" s="88" t="s">
        <v>438</v>
      </c>
      <c r="C124" s="46">
        <v>1124</v>
      </c>
      <c r="D124" s="46">
        <v>784</v>
      </c>
      <c r="E124" s="46">
        <v>1763</v>
      </c>
      <c r="F124" s="46">
        <v>2275</v>
      </c>
      <c r="G124" s="70">
        <v>2956</v>
      </c>
      <c r="H124" s="41">
        <v>64892</v>
      </c>
      <c r="I124" s="165">
        <v>63645.835140000003</v>
      </c>
      <c r="J124" s="41">
        <v>57337.072770000006</v>
      </c>
      <c r="K124" s="41">
        <v>60521.105990000004</v>
      </c>
      <c r="L124" s="41">
        <f t="shared" si="10"/>
        <v>60347.840983532951</v>
      </c>
      <c r="M124" s="41">
        <f t="shared" si="10"/>
        <v>60175.913764317542</v>
      </c>
      <c r="N124" s="41">
        <f t="shared" si="8"/>
        <v>60005.245921979207</v>
      </c>
      <c r="O124" s="41">
        <f t="shared" si="8"/>
        <v>59835.718517188412</v>
      </c>
      <c r="P124" s="41">
        <f t="shared" si="8"/>
        <v>59665.699283901202</v>
      </c>
      <c r="T124" s="34">
        <v>309</v>
      </c>
      <c r="U124" s="88" t="s">
        <v>438</v>
      </c>
      <c r="V124" s="41">
        <f>C124/'1. Väestöennuste'!E124*1000</f>
        <v>157.44502031096792</v>
      </c>
      <c r="W124" s="41">
        <f>D124/'1. Väestöennuste'!F124*1000</f>
        <v>110.56268509378086</v>
      </c>
      <c r="X124" s="41">
        <f>E124/'1. Väestöennuste'!G124*1000</f>
        <v>251.74925032129087</v>
      </c>
      <c r="Y124" s="41">
        <f>F124/'1. Väestöennuste'!H124*1000</f>
        <v>334.41128913714533</v>
      </c>
      <c r="Z124" s="41">
        <f>G124/'1. Väestöennuste'!I124*1000</f>
        <v>441.98564593301438</v>
      </c>
      <c r="AA124" s="41">
        <f>H124/'1. Väestöennuste'!J124*1000</f>
        <v>9904.1514041514038</v>
      </c>
      <c r="AB124" s="41">
        <f>I124/'1. Väestöennuste'!K124*1000</f>
        <v>9782.6368183215491</v>
      </c>
      <c r="AC124" s="41">
        <f>J124/'1. Väestöennuste'!L124*1000</f>
        <v>8879.8316199473447</v>
      </c>
      <c r="AD124" s="41">
        <f>K124/'1. Väestöennuste'!M124*1000</f>
        <v>9443.1433905445465</v>
      </c>
      <c r="AE124" s="41">
        <f>L124/'1. Väestöennuste'!N124*1000</f>
        <v>9822.2397434135673</v>
      </c>
      <c r="AF124" s="41">
        <f>M124/'1. Väestöennuste'!O124*1000</f>
        <v>9948.076337298322</v>
      </c>
      <c r="AG124" s="41">
        <f>N124/'1. Väestöennuste'!P124*1000</f>
        <v>10079.833012259232</v>
      </c>
      <c r="AH124" s="41">
        <f>O124/'1. Väestöennuste'!Q124*1000</f>
        <v>10205.648732251137</v>
      </c>
      <c r="AI124" s="41">
        <f>P124/'1. Väestöennuste'!R124*1000</f>
        <v>10337.092738028621</v>
      </c>
    </row>
    <row r="125" spans="1:35" x14ac:dyDescent="0.2">
      <c r="A125" s="34">
        <v>312</v>
      </c>
      <c r="B125" s="88" t="s">
        <v>439</v>
      </c>
      <c r="C125" s="46">
        <v>5305</v>
      </c>
      <c r="D125" s="46">
        <v>5502</v>
      </c>
      <c r="E125" s="46">
        <v>5256</v>
      </c>
      <c r="F125" s="46">
        <v>5652</v>
      </c>
      <c r="G125" s="70">
        <v>6016</v>
      </c>
      <c r="H125" s="41">
        <v>6772</v>
      </c>
      <c r="I125" s="165">
        <v>6523.3454599999995</v>
      </c>
      <c r="J125" s="41">
        <v>7034.9810199999993</v>
      </c>
      <c r="K125" s="41">
        <v>6614</v>
      </c>
      <c r="L125" s="41">
        <f t="shared" si="10"/>
        <v>6595.0648742446574</v>
      </c>
      <c r="M125" s="41">
        <f t="shared" si="10"/>
        <v>6576.2759474844852</v>
      </c>
      <c r="N125" s="41">
        <f t="shared" si="8"/>
        <v>6557.6246507052711</v>
      </c>
      <c r="O125" s="41">
        <f t="shared" si="8"/>
        <v>6539.0979857188186</v>
      </c>
      <c r="P125" s="41">
        <f t="shared" si="8"/>
        <v>6520.5175716538906</v>
      </c>
      <c r="T125" s="34">
        <v>312</v>
      </c>
      <c r="U125" s="88" t="s">
        <v>439</v>
      </c>
      <c r="V125" s="41">
        <f>C125/'1. Väestöennuste'!E125*1000</f>
        <v>3846.9905728788976</v>
      </c>
      <c r="W125" s="41">
        <f>D125/'1. Väestöennuste'!F125*1000</f>
        <v>4001.4545454545455</v>
      </c>
      <c r="X125" s="41">
        <f>E125/'1. Väestöennuste'!G125*1000</f>
        <v>3887.5739644970413</v>
      </c>
      <c r="Y125" s="41">
        <f>F125/'1. Väestöennuste'!H125*1000</f>
        <v>4208.4884586746093</v>
      </c>
      <c r="Z125" s="41">
        <f>G125/'1. Väestöennuste'!I125*1000</f>
        <v>4581.8735719725819</v>
      </c>
      <c r="AA125" s="41">
        <f>H125/'1. Väestöennuste'!J125*1000</f>
        <v>5257.7639751552797</v>
      </c>
      <c r="AB125" s="41">
        <f>I125/'1. Väestöennuste'!K125*1000</f>
        <v>5294.9232629870121</v>
      </c>
      <c r="AC125" s="41">
        <f>J125/'1. Väestöennuste'!L125*1000</f>
        <v>5882.0911538461532</v>
      </c>
      <c r="AD125" s="41">
        <f>K125/'1. Väestöennuste'!M125*1000</f>
        <v>5633.7308347529815</v>
      </c>
      <c r="AE125" s="41">
        <f>L125/'1. Väestöennuste'!N125*1000</f>
        <v>5500.4711211381627</v>
      </c>
      <c r="AF125" s="41">
        <f>M125/'1. Väestöennuste'!O125*1000</f>
        <v>5577.8421946433291</v>
      </c>
      <c r="AG125" s="41">
        <f>N125/'1. Väestöennuste'!P125*1000</f>
        <v>5648.2555130967021</v>
      </c>
      <c r="AH125" s="41">
        <f>O125/'1. Väestöennuste'!Q125*1000</f>
        <v>5720.9956130523342</v>
      </c>
      <c r="AI125" s="41">
        <f>P125/'1. Väestöennuste'!R125*1000</f>
        <v>5801.1722167739244</v>
      </c>
    </row>
    <row r="126" spans="1:35" x14ac:dyDescent="0.2">
      <c r="A126" s="34">
        <v>316</v>
      </c>
      <c r="B126" s="88" t="s">
        <v>440</v>
      </c>
      <c r="C126" s="46">
        <v>1110</v>
      </c>
      <c r="D126" s="46">
        <v>1601</v>
      </c>
      <c r="E126" s="46">
        <v>1665</v>
      </c>
      <c r="F126" s="46">
        <v>2093</v>
      </c>
      <c r="G126" s="70">
        <v>7631</v>
      </c>
      <c r="H126" s="41">
        <v>5398</v>
      </c>
      <c r="I126" s="165">
        <v>1553.5614499999999</v>
      </c>
      <c r="J126" s="41">
        <v>1266.74819</v>
      </c>
      <c r="K126" s="41">
        <v>1897.1977199999999</v>
      </c>
      <c r="L126" s="41">
        <f t="shared" si="10"/>
        <v>1891.7662598531977</v>
      </c>
      <c r="M126" s="41">
        <f t="shared" si="10"/>
        <v>1886.3767362652561</v>
      </c>
      <c r="N126" s="41">
        <f t="shared" si="8"/>
        <v>1881.0266912509578</v>
      </c>
      <c r="O126" s="41">
        <f t="shared" si="8"/>
        <v>1875.7123963353995</v>
      </c>
      <c r="P126" s="41">
        <f t="shared" si="8"/>
        <v>1870.3826837256872</v>
      </c>
      <c r="T126" s="34">
        <v>316</v>
      </c>
      <c r="U126" s="88" t="s">
        <v>440</v>
      </c>
      <c r="V126" s="41">
        <f>C126/'1. Väestöennuste'!E126*1000</f>
        <v>241.09470026064292</v>
      </c>
      <c r="W126" s="41">
        <f>D126/'1. Väestöennuste'!F126*1000</f>
        <v>352.6431718061674</v>
      </c>
      <c r="X126" s="41">
        <f>E126/'1. Väestöennuste'!G126*1000</f>
        <v>369.34338952972496</v>
      </c>
      <c r="Y126" s="41">
        <f>F126/'1. Väestöennuste'!H126*1000</f>
        <v>470.23140867220849</v>
      </c>
      <c r="Z126" s="41">
        <f>G126/'1. Väestöennuste'!I126*1000</f>
        <v>1747.0238095238096</v>
      </c>
      <c r="AA126" s="41">
        <f>H126/'1. Väestöennuste'!J126*1000</f>
        <v>1247.8039759593157</v>
      </c>
      <c r="AB126" s="41">
        <f>I126/'1. Väestöennuste'!K126*1000</f>
        <v>365.97442873969374</v>
      </c>
      <c r="AC126" s="41">
        <f>J126/'1. Väestöennuste'!L126*1000</f>
        <v>301.75040257265368</v>
      </c>
      <c r="AD126" s="41">
        <f>K126/'1. Väestöennuste'!M126*1000</f>
        <v>461.15647058823527</v>
      </c>
      <c r="AE126" s="41">
        <f>L126/'1. Väestöennuste'!N126*1000</f>
        <v>457.94390216731966</v>
      </c>
      <c r="AF126" s="41">
        <f>M126/'1. Väestöennuste'!O126*1000</f>
        <v>461.10406655225034</v>
      </c>
      <c r="AG126" s="41">
        <f>N126/'1. Väestöennuste'!P126*1000</f>
        <v>463.87834556127194</v>
      </c>
      <c r="AH126" s="41">
        <f>O126/'1. Väestöennuste'!Q126*1000</f>
        <v>466.13131121655056</v>
      </c>
      <c r="AI126" s="41">
        <f>P126/'1. Väestöennuste'!R126*1000</f>
        <v>468.41539787770779</v>
      </c>
    </row>
    <row r="127" spans="1:35" x14ac:dyDescent="0.2">
      <c r="A127" s="34">
        <v>317</v>
      </c>
      <c r="B127" s="88" t="s">
        <v>441</v>
      </c>
      <c r="C127" s="46">
        <v>8835</v>
      </c>
      <c r="D127" s="46">
        <v>8860</v>
      </c>
      <c r="E127" s="46">
        <v>9339</v>
      </c>
      <c r="F127" s="46">
        <v>9546</v>
      </c>
      <c r="G127" s="70">
        <v>9741</v>
      </c>
      <c r="H127" s="41">
        <v>10616</v>
      </c>
      <c r="I127" s="165">
        <v>10800.90418</v>
      </c>
      <c r="J127" s="41">
        <v>10109.39445</v>
      </c>
      <c r="K127" s="41">
        <v>10259.793539999999</v>
      </c>
      <c r="L127" s="41">
        <f t="shared" si="10"/>
        <v>10230.420924199612</v>
      </c>
      <c r="M127" s="41">
        <f t="shared" si="10"/>
        <v>10201.27509574519</v>
      </c>
      <c r="N127" s="41">
        <f t="shared" si="8"/>
        <v>10172.342762178814</v>
      </c>
      <c r="O127" s="41">
        <f t="shared" si="8"/>
        <v>10143.603760402922</v>
      </c>
      <c r="P127" s="41">
        <f t="shared" si="8"/>
        <v>10114.781381782741</v>
      </c>
      <c r="T127" s="34">
        <v>317</v>
      </c>
      <c r="U127" s="88" t="s">
        <v>441</v>
      </c>
      <c r="V127" s="41">
        <f>C127/'1. Väestöennuste'!E127*1000</f>
        <v>3323.9277652370201</v>
      </c>
      <c r="W127" s="41">
        <f>D127/'1. Väestöennuste'!F127*1000</f>
        <v>3337.0998116760829</v>
      </c>
      <c r="X127" s="41">
        <f>E127/'1. Väestöennuste'!G127*1000</f>
        <v>3576.790501723478</v>
      </c>
      <c r="Y127" s="41">
        <f>F127/'1. Väestöennuste'!H127*1000</f>
        <v>3653.2721010332948</v>
      </c>
      <c r="Z127" s="41">
        <f>G127/'1. Väestöennuste'!I127*1000</f>
        <v>3781.4440993788821</v>
      </c>
      <c r="AA127" s="41">
        <f>H127/'1. Väestöennuste'!J127*1000</f>
        <v>4182.8211189913318</v>
      </c>
      <c r="AB127" s="41">
        <f>I127/'1. Väestöennuste'!K127*1000</f>
        <v>4264.0758705092776</v>
      </c>
      <c r="AC127" s="41">
        <f>J127/'1. Väestöennuste'!L127*1000</f>
        <v>4086.254830234438</v>
      </c>
      <c r="AD127" s="41">
        <f>K127/'1. Väestöennuste'!M127*1000</f>
        <v>4204.8334180327856</v>
      </c>
      <c r="AE127" s="41">
        <f>L127/'1. Väestöennuste'!N127*1000</f>
        <v>4227.4466628924019</v>
      </c>
      <c r="AF127" s="41">
        <f>M127/'1. Väestöennuste'!O127*1000</f>
        <v>4261.1842505201294</v>
      </c>
      <c r="AG127" s="41">
        <f>N127/'1. Väestöennuste'!P127*1000</f>
        <v>4293.9395365887776</v>
      </c>
      <c r="AH127" s="41">
        <f>O127/'1. Väestöennuste'!Q127*1000</f>
        <v>4333.0216832135511</v>
      </c>
      <c r="AI127" s="41">
        <f>P127/'1. Väestöennuste'!R127*1000</f>
        <v>4367.3494739994567</v>
      </c>
    </row>
    <row r="128" spans="1:35" x14ac:dyDescent="0.2">
      <c r="A128" s="34">
        <v>320</v>
      </c>
      <c r="B128" s="88" t="s">
        <v>442</v>
      </c>
      <c r="C128" s="46">
        <v>1663</v>
      </c>
      <c r="D128" s="46">
        <v>1598</v>
      </c>
      <c r="E128" s="46">
        <v>1884</v>
      </c>
      <c r="F128" s="46">
        <v>2217</v>
      </c>
      <c r="G128" s="70">
        <v>986</v>
      </c>
      <c r="H128" s="41">
        <v>5000</v>
      </c>
      <c r="I128" s="165">
        <v>6625.7536600000003</v>
      </c>
      <c r="J128" s="41">
        <v>8098.8534099999997</v>
      </c>
      <c r="K128" s="41">
        <v>1711.46551</v>
      </c>
      <c r="L128" s="41">
        <f t="shared" si="10"/>
        <v>1706.5657799338098</v>
      </c>
      <c r="M128" s="41">
        <f t="shared" si="10"/>
        <v>1701.7038809135572</v>
      </c>
      <c r="N128" s="41">
        <f t="shared" si="8"/>
        <v>1696.8775955863121</v>
      </c>
      <c r="O128" s="41">
        <f t="shared" si="8"/>
        <v>1692.0835604880904</v>
      </c>
      <c r="P128" s="41">
        <f t="shared" si="8"/>
        <v>1687.2756170599616</v>
      </c>
      <c r="T128" s="34">
        <v>320</v>
      </c>
      <c r="U128" s="88" t="s">
        <v>442</v>
      </c>
      <c r="V128" s="41">
        <f>C128/'1. Väestöennuste'!E128*1000</f>
        <v>214.13855266546486</v>
      </c>
      <c r="W128" s="41">
        <f>D128/'1. Väestöennuste'!F128*1000</f>
        <v>208.58895705521471</v>
      </c>
      <c r="X128" s="41">
        <f>E128/'1. Väestöennuste'!G128*1000</f>
        <v>250.06636580833552</v>
      </c>
      <c r="Y128" s="41">
        <f>F128/'1. Väestöennuste'!H128*1000</f>
        <v>300.81411126187248</v>
      </c>
      <c r="Z128" s="41">
        <f>G128/'1. Väestöennuste'!I128*1000</f>
        <v>135.5512785262579</v>
      </c>
      <c r="AA128" s="41">
        <f>H128/'1. Väestöennuste'!J128*1000</f>
        <v>695.31358642747875</v>
      </c>
      <c r="AB128" s="41">
        <f>I128/'1. Väestöennuste'!K128*1000</f>
        <v>932.54801688951454</v>
      </c>
      <c r="AC128" s="41">
        <f>J128/'1. Väestöennuste'!L128*1000</f>
        <v>1157.6405674671239</v>
      </c>
      <c r="AD128" s="41">
        <f>K128/'1. Väestöennuste'!M128*1000</f>
        <v>243.45170839260314</v>
      </c>
      <c r="AE128" s="41">
        <f>L128/'1. Väestöennuste'!N128*1000</f>
        <v>253.08702060415388</v>
      </c>
      <c r="AF128" s="41">
        <f>M128/'1. Väestöennuste'!O128*1000</f>
        <v>255.85684572448613</v>
      </c>
      <c r="AG128" s="41">
        <f>N128/'1. Väestöennuste'!P128*1000</f>
        <v>258.67036518084024</v>
      </c>
      <c r="AH128" s="41">
        <f>O128/'1. Väestöennuste'!Q128*1000</f>
        <v>261.32564640742709</v>
      </c>
      <c r="AI128" s="41">
        <f>P128/'1. Väestöennuste'!R128*1000</f>
        <v>263.84294246441931</v>
      </c>
    </row>
    <row r="129" spans="1:35" x14ac:dyDescent="0.2">
      <c r="A129" s="34">
        <v>322</v>
      </c>
      <c r="B129" s="88" t="s">
        <v>443</v>
      </c>
      <c r="C129" s="46">
        <v>5998</v>
      </c>
      <c r="D129" s="46">
        <v>3302</v>
      </c>
      <c r="E129" s="46">
        <v>5768</v>
      </c>
      <c r="F129" s="46">
        <v>1974</v>
      </c>
      <c r="G129" s="70">
        <v>2713</v>
      </c>
      <c r="H129" s="41">
        <v>1960</v>
      </c>
      <c r="I129" s="165">
        <v>4576.0640000000003</v>
      </c>
      <c r="J129" s="41">
        <v>8324.6265700000004</v>
      </c>
      <c r="K129" s="41">
        <v>8217.0472699999991</v>
      </c>
      <c r="L129" s="41">
        <f t="shared" si="10"/>
        <v>8193.5228032030464</v>
      </c>
      <c r="M129" s="41">
        <f t="shared" si="10"/>
        <v>8170.1799699189669</v>
      </c>
      <c r="N129" s="41">
        <f t="shared" si="8"/>
        <v>8147.0081242459091</v>
      </c>
      <c r="O129" s="41">
        <f t="shared" si="8"/>
        <v>8123.9911176010446</v>
      </c>
      <c r="P129" s="41">
        <f t="shared" si="8"/>
        <v>8100.9073346153045</v>
      </c>
      <c r="T129" s="34">
        <v>322</v>
      </c>
      <c r="U129" s="88" t="s">
        <v>443</v>
      </c>
      <c r="V129" s="41">
        <f>C129/'1. Väestöennuste'!E129*1000</f>
        <v>868.14300188160371</v>
      </c>
      <c r="W129" s="41">
        <f>D129/'1. Väestöennuste'!F129*1000</f>
        <v>480.50058207217694</v>
      </c>
      <c r="X129" s="41">
        <f>E129/'1. Väestöennuste'!G129*1000</f>
        <v>849.1093773001619</v>
      </c>
      <c r="Y129" s="41">
        <f>F129/'1. Väestöennuste'!H129*1000</f>
        <v>293.57525282569895</v>
      </c>
      <c r="Z129" s="41">
        <f>G129/'1. Väestöennuste'!I129*1000</f>
        <v>408.58433734939757</v>
      </c>
      <c r="AA129" s="41">
        <f>H129/'1. Väestöennuste'!J129*1000</f>
        <v>296.56528975639281</v>
      </c>
      <c r="AB129" s="41">
        <f>I129/'1. Väestöennuste'!K129*1000</f>
        <v>691.87541578469916</v>
      </c>
      <c r="AC129" s="41">
        <f>J129/'1. Väestöennuste'!L129*1000</f>
        <v>1271.129419758742</v>
      </c>
      <c r="AD129" s="41">
        <f>K129/'1. Väestöennuste'!M129*1000</f>
        <v>1271.5950588053233</v>
      </c>
      <c r="AE129" s="41">
        <f>L129/'1. Väestöennuste'!N129*1000</f>
        <v>1287.2777381308792</v>
      </c>
      <c r="AF129" s="41">
        <f>M129/'1. Väestöennuste'!O129*1000</f>
        <v>1292.749995240343</v>
      </c>
      <c r="AG129" s="41">
        <f>N129/'1. Väestöennuste'!P129*1000</f>
        <v>1297.7075699658983</v>
      </c>
      <c r="AH129" s="41">
        <f>O129/'1. Väestöennuste'!Q129*1000</f>
        <v>1302.3390698302412</v>
      </c>
      <c r="AI129" s="41">
        <f>P129/'1. Väestöennuste'!R129*1000</f>
        <v>1306.597957196017</v>
      </c>
    </row>
    <row r="130" spans="1:35" x14ac:dyDescent="0.2">
      <c r="A130" s="34">
        <v>398</v>
      </c>
      <c r="B130" s="88" t="s">
        <v>444</v>
      </c>
      <c r="C130" s="46">
        <v>94320</v>
      </c>
      <c r="D130" s="46">
        <v>54499</v>
      </c>
      <c r="E130" s="46">
        <v>105642</v>
      </c>
      <c r="F130" s="46">
        <v>88036</v>
      </c>
      <c r="G130" s="70">
        <v>40301</v>
      </c>
      <c r="H130" s="41">
        <v>72805</v>
      </c>
      <c r="I130" s="165">
        <v>155268.02781999999</v>
      </c>
      <c r="J130" s="41">
        <v>274053.95647000003</v>
      </c>
      <c r="K130" s="41">
        <v>266352.32338999998</v>
      </c>
      <c r="L130" s="41">
        <f t="shared" si="10"/>
        <v>265589.78714285494</v>
      </c>
      <c r="M130" s="41">
        <f t="shared" si="10"/>
        <v>264833.13847388362</v>
      </c>
      <c r="N130" s="41">
        <f t="shared" si="8"/>
        <v>264082.03230040614</v>
      </c>
      <c r="O130" s="41">
        <f t="shared" si="8"/>
        <v>263335.94517252437</v>
      </c>
      <c r="P130" s="41">
        <f t="shared" si="8"/>
        <v>262587.69351607718</v>
      </c>
      <c r="T130" s="34">
        <v>398</v>
      </c>
      <c r="U130" s="88" t="s">
        <v>444</v>
      </c>
      <c r="V130" s="41">
        <f>C130/'1. Väestöennuste'!E130*1000</f>
        <v>794.32050731411539</v>
      </c>
      <c r="W130" s="41">
        <f>D130/'1. Väestöennuste'!F130*1000</f>
        <v>456.24183772561361</v>
      </c>
      <c r="X130" s="41">
        <f>E130/'1. Väestöennuste'!G130*1000</f>
        <v>883.49376531491214</v>
      </c>
      <c r="Y130" s="41">
        <f>F130/'1. Väestöennuste'!H130*1000</f>
        <v>733.93302265091575</v>
      </c>
      <c r="Z130" s="41">
        <f>G130/'1. Väestöennuste'!I130*1000</f>
        <v>336.33776486984965</v>
      </c>
      <c r="AA130" s="41">
        <f>H130/'1. Väestöennuste'!J130*1000</f>
        <v>606.789238565142</v>
      </c>
      <c r="AB130" s="41">
        <f>I130/'1. Väestöennuste'!K130*1000</f>
        <v>1293.6091697701349</v>
      </c>
      <c r="AC130" s="41">
        <f>J130/'1. Väestöennuste'!L130*1000</f>
        <v>2280.4573036821303</v>
      </c>
      <c r="AD130" s="41">
        <f>K130/'1. Väestöennuste'!M130*1000</f>
        <v>2206.8580894500924</v>
      </c>
      <c r="AE130" s="41">
        <f>L130/'1. Väestöennuste'!N130*1000</f>
        <v>2198.6637566049781</v>
      </c>
      <c r="AF130" s="41">
        <f>M130/'1. Väestöennuste'!O130*1000</f>
        <v>2190.4777296809284</v>
      </c>
      <c r="AG130" s="41">
        <f>N130/'1. Väestöennuste'!P130*1000</f>
        <v>2183.0915233113674</v>
      </c>
      <c r="AH130" s="41">
        <f>O130/'1. Väestöennuste'!Q130*1000</f>
        <v>2176.3840853287634</v>
      </c>
      <c r="AI130" s="41">
        <f>P130/'1. Väestöennuste'!R130*1000</f>
        <v>2170.2897176348615</v>
      </c>
    </row>
    <row r="131" spans="1:35" x14ac:dyDescent="0.2">
      <c r="A131" s="34">
        <v>399</v>
      </c>
      <c r="B131" s="88" t="s">
        <v>445</v>
      </c>
      <c r="C131" s="46">
        <v>1169</v>
      </c>
      <c r="D131" s="46">
        <v>954</v>
      </c>
      <c r="E131" s="46">
        <v>913</v>
      </c>
      <c r="F131" s="46">
        <v>450</v>
      </c>
      <c r="G131" s="70">
        <v>2088</v>
      </c>
      <c r="H131" s="41">
        <v>1291</v>
      </c>
      <c r="I131" s="165">
        <v>2096.8697900000002</v>
      </c>
      <c r="J131" s="41">
        <v>2302.7134799999999</v>
      </c>
      <c r="K131" s="41">
        <v>917.91757999999993</v>
      </c>
      <c r="L131" s="41">
        <f t="shared" si="10"/>
        <v>915.28968692314174</v>
      </c>
      <c r="M131" s="41">
        <f t="shared" si="10"/>
        <v>912.68208393213865</v>
      </c>
      <c r="N131" s="41">
        <f t="shared" si="8"/>
        <v>910.09358178465789</v>
      </c>
      <c r="O131" s="41">
        <f t="shared" si="8"/>
        <v>907.52237653974782</v>
      </c>
      <c r="P131" s="41">
        <f t="shared" si="8"/>
        <v>904.94371178107281</v>
      </c>
      <c r="T131" s="34">
        <v>399</v>
      </c>
      <c r="U131" s="88" t="s">
        <v>445</v>
      </c>
      <c r="V131" s="41">
        <f>C131/'1. Väestöennuste'!E131*1000</f>
        <v>144.49938195302843</v>
      </c>
      <c r="W131" s="41">
        <f>D131/'1. Väestöennuste'!F131*1000</f>
        <v>117.2134168816808</v>
      </c>
      <c r="X131" s="41">
        <f>E131/'1. Väestöennuste'!G131*1000</f>
        <v>113.4020618556701</v>
      </c>
      <c r="Y131" s="41">
        <f>F131/'1. Väestöennuste'!H131*1000</f>
        <v>55.84512285927029</v>
      </c>
      <c r="Z131" s="41">
        <f>G131/'1. Väestöennuste'!I131*1000</f>
        <v>260.44655107895721</v>
      </c>
      <c r="AA131" s="41">
        <f>H131/'1. Väestöennuste'!J131*1000</f>
        <v>161.45572786393197</v>
      </c>
      <c r="AB131" s="41">
        <f>I131/'1. Väestöennuste'!K131*1000</f>
        <v>264.89006947953516</v>
      </c>
      <c r="AC131" s="41">
        <f>J131/'1. Väestöennuste'!L131*1000</f>
        <v>294.57764871434051</v>
      </c>
      <c r="AD131" s="41">
        <f>K131/'1. Väestöennuste'!M131*1000</f>
        <v>119.48940119760478</v>
      </c>
      <c r="AE131" s="41">
        <f>L131/'1. Väestöennuste'!N131*1000</f>
        <v>116.05042309156103</v>
      </c>
      <c r="AF131" s="41">
        <f>M131/'1. Väestöennuste'!O131*1000</f>
        <v>116.23561945136764</v>
      </c>
      <c r="AG131" s="41">
        <f>N131/'1. Väestöennuste'!P131*1000</f>
        <v>116.43981343201867</v>
      </c>
      <c r="AH131" s="41">
        <f>O131/'1. Väestöennuste'!Q131*1000</f>
        <v>116.70812455500871</v>
      </c>
      <c r="AI131" s="41">
        <f>P131/'1. Väestöennuste'!R131*1000</f>
        <v>117.06904421488652</v>
      </c>
    </row>
    <row r="132" spans="1:35" x14ac:dyDescent="0.2">
      <c r="A132" s="34">
        <v>400</v>
      </c>
      <c r="B132" s="88" t="s">
        <v>446</v>
      </c>
      <c r="C132" s="46">
        <v>113</v>
      </c>
      <c r="D132" s="46">
        <v>352</v>
      </c>
      <c r="E132" s="46">
        <v>432</v>
      </c>
      <c r="F132" s="46">
        <v>2328</v>
      </c>
      <c r="G132" s="70">
        <v>1396</v>
      </c>
      <c r="H132" s="41">
        <v>1228</v>
      </c>
      <c r="I132" s="165">
        <v>2961.9675299999999</v>
      </c>
      <c r="J132" s="41">
        <v>1110.24396</v>
      </c>
      <c r="K132" s="41">
        <v>1120.4939999999999</v>
      </c>
      <c r="L132" s="41">
        <f t="shared" si="10"/>
        <v>1117.2861537952665</v>
      </c>
      <c r="M132" s="41">
        <f t="shared" si="10"/>
        <v>1114.1030755217237</v>
      </c>
      <c r="N132" s="41">
        <f t="shared" si="8"/>
        <v>1110.9433134816074</v>
      </c>
      <c r="O132" s="41">
        <f t="shared" si="8"/>
        <v>1107.8046656199003</v>
      </c>
      <c r="P132" s="41">
        <f t="shared" si="8"/>
        <v>1104.656911994671</v>
      </c>
      <c r="T132" s="34">
        <v>400</v>
      </c>
      <c r="U132" s="88" t="s">
        <v>446</v>
      </c>
      <c r="V132" s="41">
        <f>C132/'1. Väestöennuste'!E132*1000</f>
        <v>13.262910798122066</v>
      </c>
      <c r="W132" s="41">
        <f>D132/'1. Väestöennuste'!F132*1000</f>
        <v>41.314553990610328</v>
      </c>
      <c r="X132" s="41">
        <f>E132/'1. Väestöennuste'!G132*1000</f>
        <v>50.174216027874564</v>
      </c>
      <c r="Y132" s="41">
        <f>F132/'1. Väestöennuste'!H132*1000</f>
        <v>269.22632126749164</v>
      </c>
      <c r="Z132" s="41">
        <f>G132/'1. Väestöennuste'!I132*1000</f>
        <v>162.55239869585469</v>
      </c>
      <c r="AA132" s="41">
        <f>H132/'1. Väestöennuste'!J132*1000</f>
        <v>145.01653282947569</v>
      </c>
      <c r="AB132" s="41">
        <f>I132/'1. Väestöennuste'!K132*1000</f>
        <v>350.27998226111634</v>
      </c>
      <c r="AC132" s="41">
        <f>J132/'1. Väestöennuste'!L132*1000</f>
        <v>132.70905570164953</v>
      </c>
      <c r="AD132" s="41">
        <f>K132/'1. Väestöennuste'!M132*1000</f>
        <v>132.74422461793625</v>
      </c>
      <c r="AE132" s="41">
        <f>L132/'1. Väestöennuste'!N132*1000</f>
        <v>133.35953136730325</v>
      </c>
      <c r="AF132" s="41">
        <f>M132/'1. Väestöennuste'!O132*1000</f>
        <v>133.40954083603447</v>
      </c>
      <c r="AG132" s="41">
        <f>N132/'1. Väestöennuste'!P132*1000</f>
        <v>133.46267581470536</v>
      </c>
      <c r="AH132" s="41">
        <f>O132/'1. Väestöennuste'!Q132*1000</f>
        <v>133.56699609596097</v>
      </c>
      <c r="AI132" s="41">
        <f>P132/'1. Väestöennuste'!R132*1000</f>
        <v>133.65479878943387</v>
      </c>
    </row>
    <row r="133" spans="1:35" x14ac:dyDescent="0.2">
      <c r="A133" s="34">
        <v>402</v>
      </c>
      <c r="B133" s="88" t="s">
        <v>447</v>
      </c>
      <c r="C133" s="46">
        <v>1512</v>
      </c>
      <c r="D133" s="46">
        <v>196</v>
      </c>
      <c r="E133" s="46">
        <v>346</v>
      </c>
      <c r="F133" s="46">
        <v>169</v>
      </c>
      <c r="G133" s="70">
        <v>29</v>
      </c>
      <c r="H133" s="41">
        <v>2043</v>
      </c>
      <c r="I133" s="165">
        <v>2183.7359500000002</v>
      </c>
      <c r="J133" s="41">
        <v>241.88207</v>
      </c>
      <c r="K133" s="41">
        <v>950.7531899999999</v>
      </c>
      <c r="L133" s="41">
        <f t="shared" si="10"/>
        <v>948.0312923261348</v>
      </c>
      <c r="M133" s="41">
        <f t="shared" si="10"/>
        <v>945.33041055203284</v>
      </c>
      <c r="N133" s="41">
        <f t="shared" si="8"/>
        <v>942.64931289396293</v>
      </c>
      <c r="O133" s="41">
        <f t="shared" si="8"/>
        <v>939.98613088066816</v>
      </c>
      <c r="P133" s="41">
        <f t="shared" si="8"/>
        <v>937.31522251300089</v>
      </c>
      <c r="T133" s="34">
        <v>402</v>
      </c>
      <c r="U133" s="88" t="s">
        <v>447</v>
      </c>
      <c r="V133" s="41">
        <f>C133/'1. Väestöennuste'!E133*1000</f>
        <v>151.47265077138849</v>
      </c>
      <c r="W133" s="41">
        <f>D133/'1. Väestöennuste'!F133*1000</f>
        <v>19.83404169196519</v>
      </c>
      <c r="X133" s="41">
        <f>E133/'1. Väestöennuste'!G133*1000</f>
        <v>35.69954601733388</v>
      </c>
      <c r="Y133" s="41">
        <f>F133/'1. Väestöennuste'!H133*1000</f>
        <v>17.573047727981702</v>
      </c>
      <c r="Z133" s="41">
        <f>G133/'1. Väestöennuste'!I133*1000</f>
        <v>3.0574591460200318</v>
      </c>
      <c r="AA133" s="41">
        <f>H133/'1. Väestöennuste'!J133*1000</f>
        <v>218.31587946142338</v>
      </c>
      <c r="AB133" s="41">
        <f>I133/'1. Väestöennuste'!K133*1000</f>
        <v>236.15615334703151</v>
      </c>
      <c r="AC133" s="41">
        <f>J133/'1. Väestöennuste'!L133*1000</f>
        <v>26.583368502033188</v>
      </c>
      <c r="AD133" s="41">
        <f>K133/'1. Väestöennuste'!M133*1000</f>
        <v>105.93350306406684</v>
      </c>
      <c r="AE133" s="41">
        <f>L133/'1. Väestöennuste'!N133*1000</f>
        <v>106.06749746320595</v>
      </c>
      <c r="AF133" s="41">
        <f>M133/'1. Väestöennuste'!O133*1000</f>
        <v>106.93782924796751</v>
      </c>
      <c r="AG133" s="41">
        <f>N133/'1. Väestöennuste'!P133*1000</f>
        <v>107.80527366124919</v>
      </c>
      <c r="AH133" s="41">
        <f>O133/'1. Väestöennuste'!Q133*1000</f>
        <v>108.64379691177395</v>
      </c>
      <c r="AI133" s="41">
        <f>P133/'1. Väestöennuste'!R133*1000</f>
        <v>109.4994418823599</v>
      </c>
    </row>
    <row r="134" spans="1:35" x14ac:dyDescent="0.2">
      <c r="A134" s="34">
        <v>403</v>
      </c>
      <c r="B134" s="88" t="s">
        <v>448</v>
      </c>
      <c r="C134" s="46">
        <v>409</v>
      </c>
      <c r="D134" s="46">
        <v>863</v>
      </c>
      <c r="E134" s="46">
        <v>901</v>
      </c>
      <c r="F134" s="46">
        <v>3006</v>
      </c>
      <c r="G134" s="70">
        <v>231</v>
      </c>
      <c r="H134" s="41">
        <v>1246</v>
      </c>
      <c r="I134" s="165">
        <v>1809.9066799999998</v>
      </c>
      <c r="J134" s="41">
        <v>1082.4754499999999</v>
      </c>
      <c r="K134" s="41">
        <v>1796.1996899999999</v>
      </c>
      <c r="L134" s="41">
        <f t="shared" si="10"/>
        <v>1791.0573756649744</v>
      </c>
      <c r="M134" s="41">
        <f t="shared" si="10"/>
        <v>1785.9547653804184</v>
      </c>
      <c r="N134" s="41">
        <f t="shared" si="8"/>
        <v>1780.8895320128765</v>
      </c>
      <c r="O134" s="41">
        <f t="shared" si="8"/>
        <v>1775.858145574201</v>
      </c>
      <c r="P134" s="41">
        <f t="shared" si="8"/>
        <v>1770.8121622080844</v>
      </c>
      <c r="T134" s="34">
        <v>403</v>
      </c>
      <c r="U134" s="88" t="s">
        <v>448</v>
      </c>
      <c r="V134" s="41">
        <f>C134/'1. Väestöennuste'!E134*1000</f>
        <v>127.21617418351478</v>
      </c>
      <c r="W134" s="41">
        <f>D134/'1. Väestöennuste'!F134*1000</f>
        <v>271.7254408060453</v>
      </c>
      <c r="X134" s="41">
        <f>E134/'1. Väestöennuste'!G134*1000</f>
        <v>286.94267515923565</v>
      </c>
      <c r="Y134" s="41">
        <f>F134/'1. Väestöennuste'!H134*1000</f>
        <v>976.60818713450294</v>
      </c>
      <c r="Z134" s="41">
        <f>G134/'1. Väestöennuste'!I134*1000</f>
        <v>77.102803738317746</v>
      </c>
      <c r="AA134" s="41">
        <f>H134/'1. Väestöennuste'!J134*1000</f>
        <v>425.982905982906</v>
      </c>
      <c r="AB134" s="41">
        <f>I134/'1. Väestöennuste'!K134*1000</f>
        <v>631.50965806001386</v>
      </c>
      <c r="AC134" s="41">
        <f>J134/'1. Väestöennuste'!L134*1000</f>
        <v>383.85654255319145</v>
      </c>
      <c r="AD134" s="41">
        <f>K134/'1. Väestöennuste'!M134*1000</f>
        <v>644.03000717102896</v>
      </c>
      <c r="AE134" s="41">
        <f>L134/'1. Väestöennuste'!N134*1000</f>
        <v>660.6629936056712</v>
      </c>
      <c r="AF134" s="41">
        <f>M134/'1. Väestöennuste'!O134*1000</f>
        <v>670.40344045811503</v>
      </c>
      <c r="AG134" s="41">
        <f>N134/'1. Väestöennuste'!P134*1000</f>
        <v>680.24810237313852</v>
      </c>
      <c r="AH134" s="41">
        <f>O134/'1. Väestöennuste'!Q134*1000</f>
        <v>689.65364876668002</v>
      </c>
      <c r="AI134" s="41">
        <f>P134/'1. Väestöennuste'!R134*1000</f>
        <v>699.92575581347205</v>
      </c>
    </row>
    <row r="135" spans="1:35" x14ac:dyDescent="0.2">
      <c r="A135" s="34">
        <v>405</v>
      </c>
      <c r="B135" s="88" t="s">
        <v>449</v>
      </c>
      <c r="C135" s="46">
        <v>29522</v>
      </c>
      <c r="D135" s="46">
        <v>31648</v>
      </c>
      <c r="E135" s="46">
        <v>30947</v>
      </c>
      <c r="F135" s="46">
        <v>37996</v>
      </c>
      <c r="G135" s="70">
        <v>44105</v>
      </c>
      <c r="H135" s="41">
        <v>56865</v>
      </c>
      <c r="I135" s="165">
        <v>78510.863549999995</v>
      </c>
      <c r="J135" s="41">
        <v>37831.20003</v>
      </c>
      <c r="K135" s="41">
        <v>60807.089159999996</v>
      </c>
      <c r="L135" s="41">
        <f t="shared" ref="L135:M154" si="11">K135*L$8</f>
        <v>60633.005416416541</v>
      </c>
      <c r="M135" s="41">
        <f t="shared" si="11"/>
        <v>60460.265781592454</v>
      </c>
      <c r="N135" s="41">
        <f t="shared" si="8"/>
        <v>60288.791474637015</v>
      </c>
      <c r="O135" s="41">
        <f t="shared" si="8"/>
        <v>60118.462994191192</v>
      </c>
      <c r="P135" s="41">
        <f t="shared" si="8"/>
        <v>59947.640361189107</v>
      </c>
      <c r="T135" s="34">
        <v>405</v>
      </c>
      <c r="U135" s="88" t="s">
        <v>449</v>
      </c>
      <c r="V135" s="41">
        <f>C135/'1. Väestöennuste'!E135*1000</f>
        <v>405.10463121783874</v>
      </c>
      <c r="W135" s="41">
        <f>D135/'1. Väestöennuste'!F135*1000</f>
        <v>434.29575145460535</v>
      </c>
      <c r="X135" s="41">
        <f>E135/'1. Väestöennuste'!G135*1000</f>
        <v>424.46062900327809</v>
      </c>
      <c r="Y135" s="41">
        <f>F135/'1. Väestöennuste'!H135*1000</f>
        <v>522.64817947977269</v>
      </c>
      <c r="Z135" s="41">
        <f>G135/'1. Väestöennuste'!I135*1000</f>
        <v>607.22251287275935</v>
      </c>
      <c r="AA135" s="41">
        <f>H135/'1. Väestöennuste'!J135*1000</f>
        <v>782.59613002669892</v>
      </c>
      <c r="AB135" s="41">
        <f>I135/'1. Väestöennuste'!K135*1000</f>
        <v>1080.9106417104936</v>
      </c>
      <c r="AC135" s="41">
        <f>J135/'1. Väestöennuste'!L135*1000</f>
        <v>520.73227845836198</v>
      </c>
      <c r="AD135" s="41">
        <f>K135/'1. Väestöennuste'!M135*1000</f>
        <v>833.11077382583437</v>
      </c>
      <c r="AE135" s="41">
        <f>L135/'1. Väestöennuste'!N135*1000</f>
        <v>835.92529594971381</v>
      </c>
      <c r="AF135" s="41">
        <f>M135/'1. Väestöennuste'!O135*1000</f>
        <v>834.325970546083</v>
      </c>
      <c r="AG135" s="41">
        <f>N135/'1. Väestöennuste'!P135*1000</f>
        <v>832.86766235148605</v>
      </c>
      <c r="AH135" s="41">
        <f>O135/'1. Väestöennuste'!Q135*1000</f>
        <v>831.45651053441941</v>
      </c>
      <c r="AI135" s="41">
        <f>P135/'1. Väestöennuste'!R135*1000</f>
        <v>830.10427407935947</v>
      </c>
    </row>
    <row r="136" spans="1:35" x14ac:dyDescent="0.2">
      <c r="A136" s="34">
        <v>407</v>
      </c>
      <c r="B136" s="88" t="s">
        <v>450</v>
      </c>
      <c r="C136" s="46">
        <v>568</v>
      </c>
      <c r="D136" s="46">
        <v>187</v>
      </c>
      <c r="E136" s="46">
        <v>465</v>
      </c>
      <c r="F136" s="46">
        <v>60</v>
      </c>
      <c r="G136" s="70">
        <v>724</v>
      </c>
      <c r="H136" s="41">
        <v>2404</v>
      </c>
      <c r="I136" s="165">
        <v>6141.0372300000008</v>
      </c>
      <c r="J136" s="41">
        <v>2410.0317599999998</v>
      </c>
      <c r="K136" s="41">
        <v>1372.12069</v>
      </c>
      <c r="L136" s="41">
        <f t="shared" si="11"/>
        <v>1368.1924653527883</v>
      </c>
      <c r="M136" s="41">
        <f t="shared" si="11"/>
        <v>1364.2945707125514</v>
      </c>
      <c r="N136" s="41">
        <f t="shared" si="8"/>
        <v>1360.4252283771884</v>
      </c>
      <c r="O136" s="41">
        <f t="shared" si="8"/>
        <v>1356.5817417813901</v>
      </c>
      <c r="P136" s="41">
        <f t="shared" si="8"/>
        <v>1352.7271045622708</v>
      </c>
      <c r="T136" s="34">
        <v>407</v>
      </c>
      <c r="U136" s="88" t="s">
        <v>450</v>
      </c>
      <c r="V136" s="41">
        <f>C136/'1. Väestöennuste'!E136*1000</f>
        <v>204.75847152126892</v>
      </c>
      <c r="W136" s="41">
        <f>D136/'1. Väestöennuste'!F136*1000</f>
        <v>68.273092369477908</v>
      </c>
      <c r="X136" s="41">
        <f>E136/'1. Väestöennuste'!G136*1000</f>
        <v>171.84035476718404</v>
      </c>
      <c r="Y136" s="41">
        <f>F136/'1. Väestöennuste'!H136*1000</f>
        <v>22.514071294559098</v>
      </c>
      <c r="Z136" s="41">
        <f>G136/'1. Väestöennuste'!I136*1000</f>
        <v>277.82041442824249</v>
      </c>
      <c r="AA136" s="41">
        <f>H136/'1. Väestöennuste'!J136*1000</f>
        <v>917.20717283479587</v>
      </c>
      <c r="AB136" s="41">
        <f>I136/'1. Väestöennuste'!K136*1000</f>
        <v>2380.2469883720933</v>
      </c>
      <c r="AC136" s="41">
        <f>J136/'1. Väestöennuste'!L136*1000</f>
        <v>957.12142970611592</v>
      </c>
      <c r="AD136" s="41">
        <f>K136/'1. Väestöennuste'!M136*1000</f>
        <v>560.27794610044907</v>
      </c>
      <c r="AE136" s="41">
        <f>L136/'1. Väestöennuste'!N136*1000</f>
        <v>541.42954703315729</v>
      </c>
      <c r="AF136" s="41">
        <f>M136/'1. Väestöennuste'!O136*1000</f>
        <v>543.97710156002847</v>
      </c>
      <c r="AG136" s="41">
        <f>N136/'1. Väestöennuste'!P136*1000</f>
        <v>546.13618160465217</v>
      </c>
      <c r="AH136" s="41">
        <f>O136/'1. Väestöennuste'!Q136*1000</f>
        <v>548.33538471357724</v>
      </c>
      <c r="AI136" s="41">
        <f>P136/'1. Väestöennuste'!R136*1000</f>
        <v>550.33649493989867</v>
      </c>
    </row>
    <row r="137" spans="1:35" x14ac:dyDescent="0.2">
      <c r="A137" s="34">
        <v>408</v>
      </c>
      <c r="B137" s="88" t="s">
        <v>451</v>
      </c>
      <c r="C137" s="46">
        <v>4908</v>
      </c>
      <c r="D137" s="46">
        <v>6231</v>
      </c>
      <c r="E137" s="46">
        <v>7150</v>
      </c>
      <c r="F137" s="46">
        <v>8600</v>
      </c>
      <c r="G137" s="70">
        <v>8358</v>
      </c>
      <c r="H137" s="41">
        <v>6263</v>
      </c>
      <c r="I137" s="165">
        <v>4223.1746900000007</v>
      </c>
      <c r="J137" s="41">
        <v>5581.9954500000003</v>
      </c>
      <c r="K137" s="41">
        <v>3132.84933</v>
      </c>
      <c r="L137" s="41">
        <f t="shared" si="11"/>
        <v>3123.8803405781537</v>
      </c>
      <c r="M137" s="41">
        <f t="shared" si="11"/>
        <v>3114.9806011448268</v>
      </c>
      <c r="N137" s="41">
        <f t="shared" si="8"/>
        <v>3106.1460528203042</v>
      </c>
      <c r="O137" s="41">
        <f t="shared" si="8"/>
        <v>3097.3705387607424</v>
      </c>
      <c r="P137" s="41">
        <f t="shared" si="8"/>
        <v>3088.5695654080914</v>
      </c>
      <c r="T137" s="34">
        <v>408</v>
      </c>
      <c r="U137" s="88" t="s">
        <v>451</v>
      </c>
      <c r="V137" s="41">
        <f>C137/'1. Väestöennuste'!E137*1000</f>
        <v>335.95728660414812</v>
      </c>
      <c r="W137" s="41">
        <f>D137/'1. Väestöennuste'!F137*1000</f>
        <v>427.51286449399657</v>
      </c>
      <c r="X137" s="41">
        <f>E137/'1. Väestöennuste'!G137*1000</f>
        <v>493.30757554850283</v>
      </c>
      <c r="Y137" s="41">
        <f>F137/'1. Väestöennuste'!H137*1000</f>
        <v>596.10452623553056</v>
      </c>
      <c r="Z137" s="41">
        <f>G137/'1. Väestöennuste'!I137*1000</f>
        <v>585.37610309567162</v>
      </c>
      <c r="AA137" s="41">
        <f>H137/'1. Väestöennuste'!J137*1000</f>
        <v>440.40503480767876</v>
      </c>
      <c r="AB137" s="41">
        <f>I137/'1. Väestöennuste'!K137*1000</f>
        <v>297.3438491867916</v>
      </c>
      <c r="AC137" s="41">
        <f>J137/'1. Väestöennuste'!L137*1000</f>
        <v>395.91428115469182</v>
      </c>
      <c r="AD137" s="41">
        <f>K137/'1. Väestöennuste'!M137*1000</f>
        <v>223.39199443810611</v>
      </c>
      <c r="AE137" s="41">
        <f>L137/'1. Väestöennuste'!N137*1000</f>
        <v>225.09585967561273</v>
      </c>
      <c r="AF137" s="41">
        <f>M137/'1. Väestöennuste'!O137*1000</f>
        <v>225.93607029410509</v>
      </c>
      <c r="AG137" s="41">
        <f>N137/'1. Väestöennuste'!P137*1000</f>
        <v>226.72598925695652</v>
      </c>
      <c r="AH137" s="41">
        <f>O137/'1. Väestöennuste'!Q137*1000</f>
        <v>227.61394317759718</v>
      </c>
      <c r="AI137" s="41">
        <f>P137/'1. Väestöennuste'!R137*1000</f>
        <v>228.4782930469072</v>
      </c>
    </row>
    <row r="138" spans="1:35" x14ac:dyDescent="0.2">
      <c r="A138" s="34">
        <v>410</v>
      </c>
      <c r="B138" s="88" t="s">
        <v>452</v>
      </c>
      <c r="C138" s="46">
        <v>896</v>
      </c>
      <c r="D138" s="46">
        <v>1487</v>
      </c>
      <c r="E138" s="46">
        <v>1381</v>
      </c>
      <c r="F138" s="46">
        <v>1356</v>
      </c>
      <c r="G138" s="70">
        <v>5143</v>
      </c>
      <c r="H138" s="41">
        <v>1449</v>
      </c>
      <c r="I138" s="165">
        <v>1841.41947</v>
      </c>
      <c r="J138" s="41">
        <v>4224.2341799999995</v>
      </c>
      <c r="K138" s="41">
        <v>1104.8160800000001</v>
      </c>
      <c r="L138" s="41">
        <f t="shared" si="11"/>
        <v>1101.6531178876135</v>
      </c>
      <c r="M138" s="41">
        <f t="shared" si="11"/>
        <v>1098.5145771542327</v>
      </c>
      <c r="N138" s="41">
        <f t="shared" si="8"/>
        <v>1095.3990264142074</v>
      </c>
      <c r="O138" s="41">
        <f t="shared" si="8"/>
        <v>1092.3042944236108</v>
      </c>
      <c r="P138" s="41">
        <f t="shared" si="8"/>
        <v>1089.2005840770746</v>
      </c>
      <c r="T138" s="34">
        <v>410</v>
      </c>
      <c r="U138" s="88" t="s">
        <v>452</v>
      </c>
      <c r="V138" s="41">
        <f>C138/'1. Väestöennuste'!E138*1000</f>
        <v>47.495361781076063</v>
      </c>
      <c r="W138" s="41">
        <f>D138/'1. Väestöennuste'!F138*1000</f>
        <v>78.386926726410124</v>
      </c>
      <c r="X138" s="41">
        <f>E138/'1. Väestöennuste'!G138*1000</f>
        <v>72.768468753293291</v>
      </c>
      <c r="Y138" s="41">
        <f>F138/'1. Väestöennuste'!H138*1000</f>
        <v>71.643683626565235</v>
      </c>
      <c r="Z138" s="41">
        <f>G138/'1. Väestöennuste'!I138*1000</f>
        <v>272.07321589165741</v>
      </c>
      <c r="AA138" s="41">
        <f>H138/'1. Väestöennuste'!J138*1000</f>
        <v>76.980290070658242</v>
      </c>
      <c r="AB138" s="41">
        <f>I138/'1. Väestöennuste'!K138*1000</f>
        <v>98.010403981264631</v>
      </c>
      <c r="AC138" s="41">
        <f>J138/'1. Väestöennuste'!L138*1000</f>
        <v>224.9924996005326</v>
      </c>
      <c r="AD138" s="41">
        <f>K138/'1. Väestöennuste'!M138*1000</f>
        <v>58.885837330774976</v>
      </c>
      <c r="AE138" s="41">
        <f>L138/'1. Väestöennuste'!N138*1000</f>
        <v>58.764235231643113</v>
      </c>
      <c r="AF138" s="41">
        <f>M138/'1. Väestöennuste'!O138*1000</f>
        <v>58.703285264480989</v>
      </c>
      <c r="AG138" s="41">
        <f>N138/'1. Väestöennuste'!P138*1000</f>
        <v>58.659046075517153</v>
      </c>
      <c r="AH138" s="41">
        <f>O138/'1. Väestöennuste'!Q138*1000</f>
        <v>58.618884534915253</v>
      </c>
      <c r="AI138" s="41">
        <f>P138/'1. Väestöennuste'!R138*1000</f>
        <v>58.590671547986801</v>
      </c>
    </row>
    <row r="139" spans="1:35" x14ac:dyDescent="0.2">
      <c r="A139" s="34">
        <v>416</v>
      </c>
      <c r="B139" s="88" t="s">
        <v>453</v>
      </c>
      <c r="C139" s="46">
        <v>795</v>
      </c>
      <c r="D139" s="46">
        <v>1052</v>
      </c>
      <c r="E139" s="46">
        <v>372</v>
      </c>
      <c r="F139" s="46">
        <v>507</v>
      </c>
      <c r="G139" s="70">
        <v>58</v>
      </c>
      <c r="H139" s="41">
        <v>771</v>
      </c>
      <c r="I139" s="165">
        <v>639.77965000000006</v>
      </c>
      <c r="J139" s="41">
        <v>467.31410999999997</v>
      </c>
      <c r="K139" s="41">
        <v>723.34514000000001</v>
      </c>
      <c r="L139" s="41">
        <f t="shared" si="11"/>
        <v>721.27428557145208</v>
      </c>
      <c r="M139" s="41">
        <f t="shared" si="11"/>
        <v>719.21942030719651</v>
      </c>
      <c r="N139" s="41">
        <f t="shared" si="8"/>
        <v>717.1796070504771</v>
      </c>
      <c r="O139" s="41">
        <f t="shared" si="8"/>
        <v>715.1534242445565</v>
      </c>
      <c r="P139" s="41">
        <f t="shared" si="8"/>
        <v>713.1213631297918</v>
      </c>
      <c r="T139" s="34">
        <v>416</v>
      </c>
      <c r="U139" s="88" t="s">
        <v>453</v>
      </c>
      <c r="V139" s="41">
        <f>C139/'1. Väestöennuste'!E139*1000</f>
        <v>258.70484868206967</v>
      </c>
      <c r="W139" s="41">
        <f>D139/'1. Väestöennuste'!F139*1000</f>
        <v>342.0026007802341</v>
      </c>
      <c r="X139" s="41">
        <f>E139/'1. Väestöennuste'!G139*1000</f>
        <v>121.44955925563174</v>
      </c>
      <c r="Y139" s="41">
        <f>F139/'1. Väestöennuste'!H139*1000</f>
        <v>166.61189615511009</v>
      </c>
      <c r="Z139" s="41">
        <f>G139/'1. Väestöennuste'!I139*1000</f>
        <v>19.522046449007068</v>
      </c>
      <c r="AA139" s="41">
        <f>H139/'1. Väestöennuste'!J139*1000</f>
        <v>260.12145748987854</v>
      </c>
      <c r="AB139" s="41">
        <f>I139/'1. Väestöennuste'!K139*1000</f>
        <v>219.3279568049366</v>
      </c>
      <c r="AC139" s="41">
        <f>J139/'1. Väestöennuste'!L139*1000</f>
        <v>161.92450103950105</v>
      </c>
      <c r="AD139" s="41">
        <f>K139/'1. Väestöennuste'!M139*1000</f>
        <v>252.7411390635919</v>
      </c>
      <c r="AE139" s="41">
        <f>L139/'1. Väestöennuste'!N139*1000</f>
        <v>250.09510595404026</v>
      </c>
      <c r="AF139" s="41">
        <f>M139/'1. Väestöennuste'!O139*1000</f>
        <v>250.94885565498831</v>
      </c>
      <c r="AG139" s="41">
        <f>N139/'1. Väestöennuste'!P139*1000</f>
        <v>251.9956454850587</v>
      </c>
      <c r="AH139" s="41">
        <f>O139/'1. Väestöennuste'!Q139*1000</f>
        <v>253.24129753702422</v>
      </c>
      <c r="AI139" s="41">
        <f>P139/'1. Väestöennuste'!R139*1000</f>
        <v>254.50441225188857</v>
      </c>
    </row>
    <row r="140" spans="1:35" x14ac:dyDescent="0.2">
      <c r="A140" s="34">
        <v>418</v>
      </c>
      <c r="B140" s="88" t="s">
        <v>454</v>
      </c>
      <c r="C140" s="46">
        <v>3040</v>
      </c>
      <c r="D140" s="46">
        <v>3063</v>
      </c>
      <c r="E140" s="46">
        <v>6919</v>
      </c>
      <c r="F140" s="46">
        <v>4851</v>
      </c>
      <c r="G140" s="70">
        <v>2549</v>
      </c>
      <c r="H140" s="41">
        <v>13344</v>
      </c>
      <c r="I140" s="165">
        <v>11470.671410000001</v>
      </c>
      <c r="J140" s="41">
        <v>10267.746029999998</v>
      </c>
      <c r="K140" s="41">
        <v>3043.9986099999996</v>
      </c>
      <c r="L140" s="41">
        <f t="shared" si="11"/>
        <v>3035.2839900303234</v>
      </c>
      <c r="M140" s="41">
        <f t="shared" si="11"/>
        <v>3026.6366560506808</v>
      </c>
      <c r="N140" s="41">
        <f t="shared" si="8"/>
        <v>3018.0526642952191</v>
      </c>
      <c r="O140" s="41">
        <f t="shared" si="8"/>
        <v>3009.5260325343033</v>
      </c>
      <c r="P140" s="41">
        <f t="shared" si="8"/>
        <v>3000.9746635311485</v>
      </c>
      <c r="T140" s="34">
        <v>418</v>
      </c>
      <c r="U140" s="88" t="s">
        <v>454</v>
      </c>
      <c r="V140" s="41">
        <f>C140/'1. Väestöennuste'!E140*1000</f>
        <v>134.89527866524674</v>
      </c>
      <c r="W140" s="41">
        <f>D140/'1. Väestöennuste'!F140*1000</f>
        <v>134.66695977137832</v>
      </c>
      <c r="X140" s="41">
        <f>E140/'1. Väestöennuste'!G140*1000</f>
        <v>303.07941653160452</v>
      </c>
      <c r="Y140" s="41">
        <f>F140/'1. Väestöennuste'!H140*1000</f>
        <v>209.04076531931398</v>
      </c>
      <c r="Z140" s="41">
        <f>G140/'1. Väestöennuste'!I140*1000</f>
        <v>108.36202865280789</v>
      </c>
      <c r="AA140" s="41">
        <f>H140/'1. Väestöennuste'!J140*1000</f>
        <v>560.01342957864699</v>
      </c>
      <c r="AB140" s="41">
        <f>I140/'1. Väestöennuste'!K140*1000</f>
        <v>474.70085292170171</v>
      </c>
      <c r="AC140" s="41">
        <f>J140/'1. Väestöennuste'!L140*1000</f>
        <v>417.72766598860858</v>
      </c>
      <c r="AD140" s="41">
        <f>K140/'1. Väestöennuste'!M140*1000</f>
        <v>123.18395087208124</v>
      </c>
      <c r="AE140" s="41">
        <f>L140/'1. Väestöennuste'!N140*1000</f>
        <v>122.97062715351956</v>
      </c>
      <c r="AF140" s="41">
        <f>M140/'1. Väestöennuste'!O140*1000</f>
        <v>121.76684325920023</v>
      </c>
      <c r="AG140" s="41">
        <f>N140/'1. Väestöennuste'!P140*1000</f>
        <v>120.64971674176371</v>
      </c>
      <c r="AH140" s="41">
        <f>O140/'1. Väestöennuste'!Q140*1000</f>
        <v>119.62976636857748</v>
      </c>
      <c r="AI140" s="41">
        <f>P140/'1. Väestöennuste'!R140*1000</f>
        <v>118.66719378113601</v>
      </c>
    </row>
    <row r="141" spans="1:35" x14ac:dyDescent="0.2">
      <c r="A141" s="34">
        <v>420</v>
      </c>
      <c r="B141" s="88" t="s">
        <v>455</v>
      </c>
      <c r="C141" s="46">
        <v>7593</v>
      </c>
      <c r="D141" s="46">
        <v>7494</v>
      </c>
      <c r="E141" s="46">
        <v>5181</v>
      </c>
      <c r="F141" s="46">
        <v>3814</v>
      </c>
      <c r="G141" s="70">
        <v>3182</v>
      </c>
      <c r="H141" s="41">
        <v>6355</v>
      </c>
      <c r="I141" s="165">
        <v>5105.4904299999998</v>
      </c>
      <c r="J141" s="41">
        <v>9524.1310799999992</v>
      </c>
      <c r="K141" s="41">
        <v>9974.4666400000006</v>
      </c>
      <c r="L141" s="41">
        <f t="shared" si="11"/>
        <v>9945.9108824900413</v>
      </c>
      <c r="M141" s="41">
        <f t="shared" si="11"/>
        <v>9917.5756053248242</v>
      </c>
      <c r="N141" s="41">
        <f t="shared" si="8"/>
        <v>9889.447885712334</v>
      </c>
      <c r="O141" s="41">
        <f t="shared" si="8"/>
        <v>9861.5081212947607</v>
      </c>
      <c r="P141" s="41">
        <f t="shared" si="8"/>
        <v>9833.4872987595299</v>
      </c>
      <c r="T141" s="34">
        <v>420</v>
      </c>
      <c r="U141" s="88" t="s">
        <v>455</v>
      </c>
      <c r="V141" s="41">
        <f>C141/'1. Väestöennuste'!E141*1000</f>
        <v>762.88556214206767</v>
      </c>
      <c r="W141" s="41">
        <f>D141/'1. Väestöennuste'!F141*1000</f>
        <v>759.65534718702486</v>
      </c>
      <c r="X141" s="41">
        <f>E141/'1. Väestöennuste'!G141*1000</f>
        <v>529.646289102433</v>
      </c>
      <c r="Y141" s="41">
        <f>F141/'1. Väestöennuste'!H141*1000</f>
        <v>395.23316062176167</v>
      </c>
      <c r="Z141" s="41">
        <f>G141/'1. Väestöennuste'!I141*1000</f>
        <v>336.5771102178972</v>
      </c>
      <c r="AA141" s="41">
        <f>H141/'1. Väestöennuste'!J141*1000</f>
        <v>675.92001701765582</v>
      </c>
      <c r="AB141" s="41">
        <f>I141/'1. Väestöennuste'!K141*1000</f>
        <v>550.16060668103455</v>
      </c>
      <c r="AC141" s="41">
        <f>J141/'1. Väestöennuste'!L141*1000</f>
        <v>1037.8262046420398</v>
      </c>
      <c r="AD141" s="41">
        <f>K141/'1. Väestöennuste'!M141*1000</f>
        <v>1102.2728080450879</v>
      </c>
      <c r="AE141" s="41">
        <f>L141/'1. Väestöennuste'!N141*1000</f>
        <v>1106.576644691816</v>
      </c>
      <c r="AF141" s="41">
        <f>M141/'1. Väestöennuste'!O141*1000</f>
        <v>1115.4623332948852</v>
      </c>
      <c r="AG141" s="41">
        <f>N141/'1. Väestöennuste'!P141*1000</f>
        <v>1124.4397823436423</v>
      </c>
      <c r="AH141" s="41">
        <f>O141/'1. Väestöennuste'!Q141*1000</f>
        <v>1133.1159509703275</v>
      </c>
      <c r="AI141" s="41">
        <f>P141/'1. Väestöennuste'!R141*1000</f>
        <v>1141.9680987991555</v>
      </c>
    </row>
    <row r="142" spans="1:35" x14ac:dyDescent="0.2">
      <c r="A142" s="34">
        <v>421</v>
      </c>
      <c r="B142" s="88" t="s">
        <v>456</v>
      </c>
      <c r="C142" s="46">
        <v>727</v>
      </c>
      <c r="D142" s="46">
        <v>441</v>
      </c>
      <c r="E142" s="46">
        <v>675</v>
      </c>
      <c r="F142" s="46">
        <v>356</v>
      </c>
      <c r="G142" s="70">
        <v>831</v>
      </c>
      <c r="H142" s="41">
        <v>697</v>
      </c>
      <c r="I142" s="165">
        <v>3905.6672000000003</v>
      </c>
      <c r="J142" s="41">
        <v>899.64413000000002</v>
      </c>
      <c r="K142" s="41">
        <v>0</v>
      </c>
      <c r="L142" s="41">
        <f t="shared" si="11"/>
        <v>0</v>
      </c>
      <c r="M142" s="41">
        <f t="shared" si="11"/>
        <v>0</v>
      </c>
      <c r="N142" s="41">
        <f t="shared" si="8"/>
        <v>0</v>
      </c>
      <c r="O142" s="41">
        <f t="shared" si="8"/>
        <v>0</v>
      </c>
      <c r="P142" s="41">
        <f t="shared" si="8"/>
        <v>0</v>
      </c>
      <c r="T142" s="34">
        <v>421</v>
      </c>
      <c r="U142" s="88" t="s">
        <v>456</v>
      </c>
      <c r="V142" s="41">
        <f>C142/'1. Väestöennuste'!E142*1000</f>
        <v>911.0275689223057</v>
      </c>
      <c r="W142" s="41">
        <f>D142/'1. Väestöennuste'!F142*1000</f>
        <v>543.77311960542545</v>
      </c>
      <c r="X142" s="41">
        <f>E142/'1. Väestöennuste'!G142*1000</f>
        <v>855.51330798479091</v>
      </c>
      <c r="Y142" s="41">
        <f>F142/'1. Väestöennuste'!H142*1000</f>
        <v>483.03934871099051</v>
      </c>
      <c r="Z142" s="41">
        <f>G142/'1. Väestöennuste'!I142*1000</f>
        <v>1155.7719054242004</v>
      </c>
      <c r="AA142" s="41">
        <f>H142/'1. Väestöennuste'!J142*1000</f>
        <v>965.3739612188366</v>
      </c>
      <c r="AB142" s="41">
        <f>I142/'1. Väestöennuste'!K142*1000</f>
        <v>5432.0823365785818</v>
      </c>
      <c r="AC142" s="41">
        <f>J142/'1. Väestöennuste'!L142*1000</f>
        <v>1294.451985611511</v>
      </c>
      <c r="AD142" s="41">
        <f>K142/'1. Väestöennuste'!M142*1000</f>
        <v>0</v>
      </c>
      <c r="AE142" s="41">
        <f>L142/'1. Väestöennuste'!N142*1000</f>
        <v>0</v>
      </c>
      <c r="AF142" s="41">
        <f>M142/'1. Väestöennuste'!O142*1000</f>
        <v>0</v>
      </c>
      <c r="AG142" s="41">
        <f>N142/'1. Väestöennuste'!P142*1000</f>
        <v>0</v>
      </c>
      <c r="AH142" s="41">
        <f>O142/'1. Väestöennuste'!Q142*1000</f>
        <v>0</v>
      </c>
      <c r="AI142" s="41">
        <f>P142/'1. Väestöennuste'!R142*1000</f>
        <v>0</v>
      </c>
    </row>
    <row r="143" spans="1:35" x14ac:dyDescent="0.2">
      <c r="A143" s="34">
        <v>422</v>
      </c>
      <c r="B143" s="88" t="s">
        <v>457</v>
      </c>
      <c r="C143" s="46">
        <v>8735</v>
      </c>
      <c r="D143" s="46">
        <v>8795</v>
      </c>
      <c r="E143" s="46">
        <v>8787</v>
      </c>
      <c r="F143" s="46">
        <v>6908</v>
      </c>
      <c r="G143" s="70">
        <v>7168</v>
      </c>
      <c r="H143" s="41">
        <v>8615</v>
      </c>
      <c r="I143" s="165">
        <v>11920.791379999999</v>
      </c>
      <c r="J143" s="41">
        <v>10775.675740000001</v>
      </c>
      <c r="K143" s="41">
        <v>9408.94283</v>
      </c>
      <c r="L143" s="41">
        <f t="shared" si="11"/>
        <v>9382.0061024960869</v>
      </c>
      <c r="M143" s="41">
        <f t="shared" si="11"/>
        <v>9355.2773547302095</v>
      </c>
      <c r="N143" s="41">
        <f t="shared" ref="N143:P206" si="12">M143*N$8</f>
        <v>9328.7443965957991</v>
      </c>
      <c r="O143" s="41">
        <f t="shared" si="12"/>
        <v>9302.3887371328274</v>
      </c>
      <c r="P143" s="41">
        <f t="shared" si="12"/>
        <v>9275.9566153162814</v>
      </c>
      <c r="T143" s="34">
        <v>422</v>
      </c>
      <c r="U143" s="88" t="s">
        <v>457</v>
      </c>
      <c r="V143" s="41">
        <f>C143/'1. Väestöennuste'!E143*1000</f>
        <v>742.01495073054707</v>
      </c>
      <c r="W143" s="41">
        <f>D143/'1. Väestöennuste'!F143*1000</f>
        <v>759.49913644214166</v>
      </c>
      <c r="X143" s="41">
        <f>E143/'1. Väestöennuste'!G143*1000</f>
        <v>777.81711958927144</v>
      </c>
      <c r="Y143" s="41">
        <f>F143/'1. Väestöennuste'!H143*1000</f>
        <v>622.45449630564065</v>
      </c>
      <c r="Z143" s="41">
        <f>G143/'1. Väestöennuste'!I143*1000</f>
        <v>658.58140389562664</v>
      </c>
      <c r="AA143" s="41">
        <f>H143/'1. Väestöennuste'!J143*1000</f>
        <v>803.71303293217659</v>
      </c>
      <c r="AB143" s="41">
        <f>I143/'1. Väestöennuste'!K143*1000</f>
        <v>1130.6830484681777</v>
      </c>
      <c r="AC143" s="41">
        <f>J143/'1. Väestöennuste'!L143*1000</f>
        <v>1038.9197589664482</v>
      </c>
      <c r="AD143" s="41">
        <f>K143/'1. Väestöennuste'!M143*1000</f>
        <v>919.92010461478287</v>
      </c>
      <c r="AE143" s="41">
        <f>L143/'1. Väestöennuste'!N143*1000</f>
        <v>940.45770875061021</v>
      </c>
      <c r="AF143" s="41">
        <f>M143/'1. Väestöennuste'!O143*1000</f>
        <v>953.54982720723774</v>
      </c>
      <c r="AG143" s="41">
        <f>N143/'1. Väestöennuste'!P143*1000</f>
        <v>966.70926389593774</v>
      </c>
      <c r="AH143" s="41">
        <f>O143/'1. Väestöennuste'!Q143*1000</f>
        <v>979.71445362115082</v>
      </c>
      <c r="AI143" s="41">
        <f>P143/'1. Väestöennuste'!R143*1000</f>
        <v>992.3993383241982</v>
      </c>
    </row>
    <row r="144" spans="1:35" x14ac:dyDescent="0.2">
      <c r="A144" s="34">
        <v>423</v>
      </c>
      <c r="B144" s="88" t="s">
        <v>458</v>
      </c>
      <c r="C144" s="46">
        <v>2418</v>
      </c>
      <c r="D144" s="46">
        <v>5951</v>
      </c>
      <c r="E144" s="46">
        <v>3317</v>
      </c>
      <c r="F144" s="46">
        <v>6143</v>
      </c>
      <c r="G144" s="70">
        <v>7578</v>
      </c>
      <c r="H144" s="41">
        <v>7533</v>
      </c>
      <c r="I144" s="165">
        <v>9129.5095300000012</v>
      </c>
      <c r="J144" s="41">
        <v>8172.6548400000001</v>
      </c>
      <c r="K144" s="41">
        <v>3622.4276199999999</v>
      </c>
      <c r="L144" s="41">
        <f t="shared" si="11"/>
        <v>3612.0570239122576</v>
      </c>
      <c r="M144" s="41">
        <f t="shared" si="11"/>
        <v>3601.766499683923</v>
      </c>
      <c r="N144" s="41">
        <f t="shared" si="12"/>
        <v>3591.5513541438804</v>
      </c>
      <c r="O144" s="41">
        <f t="shared" si="12"/>
        <v>3581.4044683027232</v>
      </c>
      <c r="P144" s="41">
        <f t="shared" si="12"/>
        <v>3571.2281445803414</v>
      </c>
      <c r="T144" s="34">
        <v>423</v>
      </c>
      <c r="U144" s="88" t="s">
        <v>458</v>
      </c>
      <c r="V144" s="41">
        <f>C144/'1. Väestöennuste'!E144*1000</f>
        <v>125.52561906245133</v>
      </c>
      <c r="W144" s="41">
        <f>D144/'1. Väestöennuste'!F144*1000</f>
        <v>306.46822535791534</v>
      </c>
      <c r="X144" s="41">
        <f>E144/'1. Väestöennuste'!G144*1000</f>
        <v>169.26923862012654</v>
      </c>
      <c r="Y144" s="41">
        <f>F144/'1. Väestöennuste'!H144*1000</f>
        <v>309.76753567646614</v>
      </c>
      <c r="Z144" s="41">
        <f>G144/'1. Väestöennuste'!I144*1000</f>
        <v>379.01370411123338</v>
      </c>
      <c r="AA144" s="41">
        <f>H144/'1. Väestöennuste'!J144*1000</f>
        <v>373.92038121711505</v>
      </c>
      <c r="AB144" s="41">
        <f>I144/'1. Väestöennuste'!K144*1000</f>
        <v>449.92900941304032</v>
      </c>
      <c r="AC144" s="41">
        <f>J144/'1. Väestöennuste'!L144*1000</f>
        <v>398.72443967409868</v>
      </c>
      <c r="AD144" s="41">
        <f>K144/'1. Väestöennuste'!M144*1000</f>
        <v>175.53072733439936</v>
      </c>
      <c r="AE144" s="41">
        <f>L144/'1. Väestöennuste'!N144*1000</f>
        <v>174.06664854282963</v>
      </c>
      <c r="AF144" s="41">
        <f>M144/'1. Väestöennuste'!O144*1000</f>
        <v>172.39931551234554</v>
      </c>
      <c r="AG144" s="41">
        <f>N144/'1. Väestöennuste'!P144*1000</f>
        <v>170.79852359443981</v>
      </c>
      <c r="AH144" s="41">
        <f>O144/'1. Väestöennuste'!Q144*1000</f>
        <v>169.27751894421343</v>
      </c>
      <c r="AI144" s="41">
        <f>P144/'1. Väestöennuste'!R144*1000</f>
        <v>167.86031231869993</v>
      </c>
    </row>
    <row r="145" spans="1:35" x14ac:dyDescent="0.2">
      <c r="A145" s="34">
        <v>425</v>
      </c>
      <c r="B145" s="88" t="s">
        <v>459</v>
      </c>
      <c r="C145" s="46">
        <v>3507</v>
      </c>
      <c r="D145" s="46">
        <v>3557</v>
      </c>
      <c r="E145" s="46">
        <v>2645</v>
      </c>
      <c r="F145" s="46">
        <v>3841</v>
      </c>
      <c r="G145" s="70">
        <v>6738</v>
      </c>
      <c r="H145" s="41">
        <v>4272</v>
      </c>
      <c r="I145" s="165">
        <v>4218.60682</v>
      </c>
      <c r="J145" s="41">
        <v>3184.2197700000002</v>
      </c>
      <c r="K145" s="41">
        <v>2105.9927400000001</v>
      </c>
      <c r="L145" s="41">
        <f t="shared" si="11"/>
        <v>2099.9635235845572</v>
      </c>
      <c r="M145" s="41">
        <f t="shared" si="11"/>
        <v>2093.9808590321963</v>
      </c>
      <c r="N145" s="41">
        <f t="shared" si="12"/>
        <v>2088.0420178455302</v>
      </c>
      <c r="O145" s="41">
        <f t="shared" si="12"/>
        <v>2082.1428612144623</v>
      </c>
      <c r="P145" s="41">
        <f t="shared" si="12"/>
        <v>2076.2265901036471</v>
      </c>
      <c r="T145" s="34">
        <v>425</v>
      </c>
      <c r="U145" s="88" t="s">
        <v>459</v>
      </c>
      <c r="V145" s="41">
        <f>C145/'1. Väestöennuste'!E145*1000</f>
        <v>352.92341753044178</v>
      </c>
      <c r="W145" s="41">
        <f>D145/'1. Väestöennuste'!F145*1000</f>
        <v>355.7</v>
      </c>
      <c r="X145" s="41">
        <f>E145/'1. Väestöennuste'!G145*1000</f>
        <v>261.02832330010858</v>
      </c>
      <c r="Y145" s="41">
        <f>F145/'1. Väestöennuste'!H145*1000</f>
        <v>378.01397500246037</v>
      </c>
      <c r="Z145" s="41">
        <f>G145/'1. Väestöennuste'!I145*1000</f>
        <v>661.17162201942892</v>
      </c>
      <c r="AA145" s="41">
        <f>H145/'1. Väestöennuste'!J145*1000</f>
        <v>417.26899785114279</v>
      </c>
      <c r="AB145" s="41">
        <f>I145/'1. Väestöennuste'!K145*1000</f>
        <v>412.86032687414365</v>
      </c>
      <c r="AC145" s="41">
        <f>J145/'1. Väestöennuste'!L145*1000</f>
        <v>310.4133135114057</v>
      </c>
      <c r="AD145" s="41">
        <f>K145/'1. Väestöennuste'!M145*1000</f>
        <v>205.34250585023403</v>
      </c>
      <c r="AE145" s="41">
        <f>L145/'1. Väestöennuste'!N145*1000</f>
        <v>201.22302832354899</v>
      </c>
      <c r="AF145" s="41">
        <f>M145/'1. Väestöennuste'!O145*1000</f>
        <v>200.11284967815331</v>
      </c>
      <c r="AG145" s="41">
        <f>N145/'1. Väestöennuste'!P145*1000</f>
        <v>199.06969375970351</v>
      </c>
      <c r="AH145" s="41">
        <f>O145/'1. Väestöennuste'!Q145*1000</f>
        <v>198.07295102877305</v>
      </c>
      <c r="AI145" s="41">
        <f>P145/'1. Väestöennuste'!R145*1000</f>
        <v>197.1725156793587</v>
      </c>
    </row>
    <row r="146" spans="1:35" x14ac:dyDescent="0.2">
      <c r="A146" s="34">
        <v>426</v>
      </c>
      <c r="B146" s="88" t="s">
        <v>460</v>
      </c>
      <c r="C146" s="46">
        <v>3095</v>
      </c>
      <c r="D146" s="46">
        <v>3172</v>
      </c>
      <c r="E146" s="46">
        <v>1611</v>
      </c>
      <c r="F146" s="46">
        <v>2771</v>
      </c>
      <c r="G146" s="70">
        <v>3673</v>
      </c>
      <c r="H146" s="41">
        <v>7758</v>
      </c>
      <c r="I146" s="165">
        <v>2566.0344300000002</v>
      </c>
      <c r="J146" s="41">
        <v>2353.10754</v>
      </c>
      <c r="K146" s="41">
        <v>741.92399999999998</v>
      </c>
      <c r="L146" s="41">
        <f t="shared" si="11"/>
        <v>739.79995641957862</v>
      </c>
      <c r="M146" s="41">
        <f t="shared" si="11"/>
        <v>737.69231267938903</v>
      </c>
      <c r="N146" s="41">
        <f t="shared" si="12"/>
        <v>735.60010755214057</v>
      </c>
      <c r="O146" s="41">
        <f t="shared" si="12"/>
        <v>733.52188296892177</v>
      </c>
      <c r="P146" s="41">
        <f t="shared" si="12"/>
        <v>731.4376290946085</v>
      </c>
      <c r="T146" s="34">
        <v>426</v>
      </c>
      <c r="U146" s="88" t="s">
        <v>460</v>
      </c>
      <c r="V146" s="41">
        <f>C146/'1. Väestöennuste'!E146*1000</f>
        <v>250.8510293402496</v>
      </c>
      <c r="W146" s="41">
        <f>D146/'1. Väestöennuste'!F146*1000</f>
        <v>257.86521421022678</v>
      </c>
      <c r="X146" s="41">
        <f>E146/'1. Väestöennuste'!G146*1000</f>
        <v>132.59259259259261</v>
      </c>
      <c r="Y146" s="41">
        <f>F146/'1. Väestöennuste'!H146*1000</f>
        <v>228.15973651708521</v>
      </c>
      <c r="Z146" s="41">
        <f>G146/'1. Väestöennuste'!I146*1000</f>
        <v>303.95564382654749</v>
      </c>
      <c r="AA146" s="41">
        <f>H146/'1. Väestöennuste'!J146*1000</f>
        <v>646.82341170585289</v>
      </c>
      <c r="AB146" s="41">
        <f>I146/'1. Väestöennuste'!K146*1000</f>
        <v>214.21107187578264</v>
      </c>
      <c r="AC146" s="41">
        <f>J146/'1. Väestöennuste'!L146*1000</f>
        <v>196.71522655074403</v>
      </c>
      <c r="AD146" s="41">
        <f>K146/'1. Väestöennuste'!M146*1000</f>
        <v>61.987133428022389</v>
      </c>
      <c r="AE146" s="41">
        <f>L146/'1. Väestöennuste'!N146*1000</f>
        <v>62.983139487449229</v>
      </c>
      <c r="AF146" s="41">
        <f>M146/'1. Väestöennuste'!O146*1000</f>
        <v>63.158588414331248</v>
      </c>
      <c r="AG146" s="41">
        <f>N146/'1. Väestöennuste'!P146*1000</f>
        <v>63.342814737978173</v>
      </c>
      <c r="AH146" s="41">
        <f>O146/'1. Väestöennuste'!Q146*1000</f>
        <v>63.546901409418851</v>
      </c>
      <c r="AI146" s="41">
        <f>P146/'1. Väestöennuste'!R146*1000</f>
        <v>63.775187818869</v>
      </c>
    </row>
    <row r="147" spans="1:35" x14ac:dyDescent="0.2">
      <c r="A147" s="34">
        <v>430</v>
      </c>
      <c r="B147" s="88" t="s">
        <v>461</v>
      </c>
      <c r="C147" s="46">
        <v>5504</v>
      </c>
      <c r="D147" s="46">
        <v>3008</v>
      </c>
      <c r="E147" s="46">
        <v>4937</v>
      </c>
      <c r="F147" s="46">
        <v>3393</v>
      </c>
      <c r="G147" s="70">
        <v>5953</v>
      </c>
      <c r="H147" s="41">
        <v>10990</v>
      </c>
      <c r="I147" s="165">
        <v>6734.80411</v>
      </c>
      <c r="J147" s="41">
        <v>8535.0868800000007</v>
      </c>
      <c r="K147" s="41">
        <v>3095.6185299999997</v>
      </c>
      <c r="L147" s="41">
        <f t="shared" si="11"/>
        <v>3086.7561281015842</v>
      </c>
      <c r="M147" s="41">
        <f t="shared" si="11"/>
        <v>3077.9621532244141</v>
      </c>
      <c r="N147" s="41">
        <f t="shared" si="12"/>
        <v>3069.2325947245254</v>
      </c>
      <c r="O147" s="41">
        <f t="shared" si="12"/>
        <v>3060.5613689260426</v>
      </c>
      <c r="P147" s="41">
        <f t="shared" si="12"/>
        <v>3051.8649863928608</v>
      </c>
      <c r="T147" s="34">
        <v>430</v>
      </c>
      <c r="U147" s="88" t="s">
        <v>461</v>
      </c>
      <c r="V147" s="41">
        <f>C147/'1. Väestöennuste'!E147*1000</f>
        <v>334.24424606789336</v>
      </c>
      <c r="W147" s="41">
        <f>D147/'1. Väestöennuste'!F147*1000</f>
        <v>184.91424356058278</v>
      </c>
      <c r="X147" s="41">
        <f>E147/'1. Väestöennuste'!G147*1000</f>
        <v>305.69659442724458</v>
      </c>
      <c r="Y147" s="41">
        <f>F147/'1. Väestöennuste'!H147*1000</f>
        <v>211.63922155688621</v>
      </c>
      <c r="Z147" s="41">
        <f>G147/'1. Väestöennuste'!I147*1000</f>
        <v>374.99212598425197</v>
      </c>
      <c r="AA147" s="41">
        <f>H147/'1. Väestöennuste'!J147*1000</f>
        <v>696.89283449587822</v>
      </c>
      <c r="AB147" s="41">
        <f>I147/'1. Väestöennuste'!K147*1000</f>
        <v>430.94472165344257</v>
      </c>
      <c r="AC147" s="41">
        <f>J147/'1. Väestöennuste'!L147*1000</f>
        <v>554.51448024948024</v>
      </c>
      <c r="AD147" s="41">
        <f>K147/'1. Väestöennuste'!M147*1000</f>
        <v>200.75347146562902</v>
      </c>
      <c r="AE147" s="41">
        <f>L147/'1. Väestöennuste'!N147*1000</f>
        <v>202.72928727844371</v>
      </c>
      <c r="AF147" s="41">
        <f>M147/'1. Väestöennuste'!O147*1000</f>
        <v>203.78457052598083</v>
      </c>
      <c r="AG147" s="41">
        <f>N147/'1. Väestöennuste'!P147*1000</f>
        <v>204.79299357606763</v>
      </c>
      <c r="AH147" s="41">
        <f>O147/'1. Väestöennuste'!Q147*1000</f>
        <v>205.76585780059452</v>
      </c>
      <c r="AI147" s="41">
        <f>P147/'1. Väestöennuste'!R147*1000</f>
        <v>206.69590155048158</v>
      </c>
    </row>
    <row r="148" spans="1:35" x14ac:dyDescent="0.2">
      <c r="A148" s="34">
        <v>433</v>
      </c>
      <c r="B148" s="88" t="s">
        <v>462</v>
      </c>
      <c r="C148" s="46">
        <v>1203</v>
      </c>
      <c r="D148" s="46">
        <v>1852</v>
      </c>
      <c r="E148" s="46">
        <v>781</v>
      </c>
      <c r="F148" s="46">
        <v>855</v>
      </c>
      <c r="G148" s="70">
        <v>2781</v>
      </c>
      <c r="H148" s="41">
        <v>6281</v>
      </c>
      <c r="I148" s="165">
        <v>6369.9637999999995</v>
      </c>
      <c r="J148" s="41">
        <v>4581.2329300000001</v>
      </c>
      <c r="K148" s="41">
        <v>2355.6849900000002</v>
      </c>
      <c r="L148" s="41">
        <f t="shared" si="11"/>
        <v>2348.9409332226151</v>
      </c>
      <c r="M148" s="41">
        <f t="shared" si="11"/>
        <v>2342.2489476243163</v>
      </c>
      <c r="N148" s="41">
        <f t="shared" si="12"/>
        <v>2335.6059812096155</v>
      </c>
      <c r="O148" s="41">
        <f t="shared" si="12"/>
        <v>2329.00740445979</v>
      </c>
      <c r="P148" s="41">
        <f t="shared" si="12"/>
        <v>2322.3896840907641</v>
      </c>
      <c r="T148" s="34">
        <v>433</v>
      </c>
      <c r="U148" s="88" t="s">
        <v>462</v>
      </c>
      <c r="V148" s="41">
        <f>C148/'1. Väestöennuste'!E148*1000</f>
        <v>147.1559633027523</v>
      </c>
      <c r="W148" s="41">
        <f>D148/'1. Väestöennuste'!F148*1000</f>
        <v>228.69844406026181</v>
      </c>
      <c r="X148" s="41">
        <f>E148/'1. Väestöennuste'!G148*1000</f>
        <v>97.284504235176883</v>
      </c>
      <c r="Y148" s="41">
        <f>F148/'1. Väestöennuste'!H148*1000</f>
        <v>108.76478819488615</v>
      </c>
      <c r="Z148" s="41">
        <f>G148/'1. Väestöennuste'!I148*1000</f>
        <v>355.26315789473682</v>
      </c>
      <c r="AA148" s="41">
        <f>H148/'1. Väestöennuste'!J148*1000</f>
        <v>799.82172418184143</v>
      </c>
      <c r="AB148" s="41">
        <f>I148/'1. Väestöennuste'!K148*1000</f>
        <v>816.76673932555457</v>
      </c>
      <c r="AC148" s="41">
        <f>J148/'1. Väestöennuste'!L148*1000</f>
        <v>591.20311395018712</v>
      </c>
      <c r="AD148" s="41">
        <f>K148/'1. Väestöennuste'!M148*1000</f>
        <v>306.25129875195012</v>
      </c>
      <c r="AE148" s="41">
        <f>L148/'1. Väestöennuste'!N148*1000</f>
        <v>307.1715618180483</v>
      </c>
      <c r="AF148" s="41">
        <f>M148/'1. Väestöennuste'!O148*1000</f>
        <v>308.06904480130424</v>
      </c>
      <c r="AG148" s="41">
        <f>N148/'1. Väestöennuste'!P148*1000</f>
        <v>309.06523504163232</v>
      </c>
      <c r="AH148" s="41">
        <f>O148/'1. Väestöennuste'!Q148*1000</f>
        <v>309.91449161141583</v>
      </c>
      <c r="AI148" s="41">
        <f>P148/'1. Väestöennuste'!R148*1000</f>
        <v>310.85392639415932</v>
      </c>
    </row>
    <row r="149" spans="1:35" x14ac:dyDescent="0.2">
      <c r="A149" s="34">
        <v>434</v>
      </c>
      <c r="B149" s="88" t="s">
        <v>463</v>
      </c>
      <c r="C149" s="46">
        <v>12305</v>
      </c>
      <c r="D149" s="46">
        <v>7361</v>
      </c>
      <c r="E149" s="46">
        <v>7153</v>
      </c>
      <c r="F149" s="46">
        <v>5293</v>
      </c>
      <c r="G149" s="70">
        <v>6932</v>
      </c>
      <c r="H149" s="41">
        <v>22358</v>
      </c>
      <c r="I149" s="165">
        <v>15461.116569999998</v>
      </c>
      <c r="J149" s="41">
        <v>9776.9918699999998</v>
      </c>
      <c r="K149" s="41">
        <v>8770.009970000001</v>
      </c>
      <c r="L149" s="41">
        <f t="shared" si="11"/>
        <v>8744.9024342186949</v>
      </c>
      <c r="M149" s="41">
        <f t="shared" si="11"/>
        <v>8719.9887549002324</v>
      </c>
      <c r="N149" s="41">
        <f t="shared" si="12"/>
        <v>8695.2575697313277</v>
      </c>
      <c r="O149" s="41">
        <f t="shared" si="12"/>
        <v>8670.6916434171399</v>
      </c>
      <c r="P149" s="41">
        <f t="shared" si="12"/>
        <v>8646.0544470766272</v>
      </c>
      <c r="T149" s="34">
        <v>434</v>
      </c>
      <c r="U149" s="88" t="s">
        <v>463</v>
      </c>
      <c r="V149" s="41">
        <f>C149/'1. Väestöennuste'!E149*1000</f>
        <v>803.67056364705115</v>
      </c>
      <c r="W149" s="41">
        <f>D149/'1. Väestöennuste'!F149*1000</f>
        <v>484.02156759600211</v>
      </c>
      <c r="X149" s="41">
        <f>E149/'1. Väestöennuste'!G149*1000</f>
        <v>474.17964865760689</v>
      </c>
      <c r="Y149" s="41">
        <f>F149/'1. Väestöennuste'!H149*1000</f>
        <v>355.44960042978977</v>
      </c>
      <c r="Z149" s="41">
        <f>G149/'1. Väestöennuste'!I149*1000</f>
        <v>469.26617925805579</v>
      </c>
      <c r="AA149" s="41">
        <f>H149/'1. Väestöennuste'!J149*1000</f>
        <v>1516.3106137673788</v>
      </c>
      <c r="AB149" s="41">
        <f>I149/'1. Väestöennuste'!K149*1000</f>
        <v>1055.8708304309225</v>
      </c>
      <c r="AC149" s="41">
        <f>J149/'1. Väestöennuste'!L149*1000</f>
        <v>671.12794275123554</v>
      </c>
      <c r="AD149" s="41">
        <f>K149/'1. Väestöennuste'!M149*1000</f>
        <v>606.58527943007334</v>
      </c>
      <c r="AE149" s="41">
        <f>L149/'1. Väestöennuste'!N149*1000</f>
        <v>610.46439331369595</v>
      </c>
      <c r="AF149" s="41">
        <f>M149/'1. Väestöennuste'!O149*1000</f>
        <v>612.44477840288187</v>
      </c>
      <c r="AG149" s="41">
        <f>N149/'1. Väestöennuste'!P149*1000</f>
        <v>614.37557901019773</v>
      </c>
      <c r="AH149" s="41">
        <f>O149/'1. Väestöennuste'!Q149*1000</f>
        <v>615.90365417084377</v>
      </c>
      <c r="AI149" s="41">
        <f>P149/'1. Väestöennuste'!R149*1000</f>
        <v>617.2226190088968</v>
      </c>
    </row>
    <row r="150" spans="1:35" x14ac:dyDescent="0.2">
      <c r="A150" s="34">
        <v>435</v>
      </c>
      <c r="B150" s="88" t="s">
        <v>464</v>
      </c>
      <c r="C150" s="46">
        <v>1455</v>
      </c>
      <c r="D150" s="46">
        <v>1457</v>
      </c>
      <c r="E150" s="46">
        <v>1007</v>
      </c>
      <c r="F150" s="46">
        <v>1143</v>
      </c>
      <c r="G150" s="70">
        <v>810</v>
      </c>
      <c r="H150" s="41">
        <v>1218</v>
      </c>
      <c r="I150" s="165">
        <v>1822.6716699999999</v>
      </c>
      <c r="J150" s="41">
        <v>2236.7750699999997</v>
      </c>
      <c r="K150" s="41">
        <v>1446.98371</v>
      </c>
      <c r="L150" s="41">
        <f t="shared" si="11"/>
        <v>1442.8411610863648</v>
      </c>
      <c r="M150" s="41">
        <f t="shared" si="11"/>
        <v>1438.7305969874303</v>
      </c>
      <c r="N150" s="41">
        <f t="shared" si="12"/>
        <v>1434.65014300952</v>
      </c>
      <c r="O150" s="41">
        <f t="shared" si="12"/>
        <v>1430.5969554624949</v>
      </c>
      <c r="P150" s="41">
        <f t="shared" si="12"/>
        <v>1426.5320089132047</v>
      </c>
      <c r="T150" s="34">
        <v>435</v>
      </c>
      <c r="U150" s="88" t="s">
        <v>464</v>
      </c>
      <c r="V150" s="41">
        <f>C150/'1. Väestöennuste'!E150*1000</f>
        <v>1911.957950065703</v>
      </c>
      <c r="W150" s="41">
        <f>D150/'1. Väestöennuste'!F150*1000</f>
        <v>1927.2486772486773</v>
      </c>
      <c r="X150" s="41">
        <f>E150/'1. Väestöennuste'!G150*1000</f>
        <v>1371.9346049046321</v>
      </c>
      <c r="Y150" s="41">
        <f>F150/'1. Väestöennuste'!H150*1000</f>
        <v>1616.6902404526168</v>
      </c>
      <c r="Z150" s="41">
        <f>G150/'1. Väestöennuste'!I150*1000</f>
        <v>1173.913043478261</v>
      </c>
      <c r="AA150" s="41">
        <f>H150/'1. Väestöennuste'!J150*1000</f>
        <v>1742.4892703862661</v>
      </c>
      <c r="AB150" s="41">
        <f>I150/'1. Väestöennuste'!K150*1000</f>
        <v>2592.7050782361312</v>
      </c>
      <c r="AC150" s="41">
        <f>J150/'1. Väestöennuste'!L150*1000</f>
        <v>3232.3339161849708</v>
      </c>
      <c r="AD150" s="41">
        <f>K150/'1. Väestöennuste'!M150*1000</f>
        <v>2061.2303561253561</v>
      </c>
      <c r="AE150" s="41">
        <f>L150/'1. Väestöennuste'!N150*1000</f>
        <v>2100.2054746526414</v>
      </c>
      <c r="AF150" s="41">
        <f>M150/'1. Väestöennuste'!O150*1000</f>
        <v>2106.4869648425038</v>
      </c>
      <c r="AG150" s="41">
        <f>N150/'1. Väestöennuste'!P150*1000</f>
        <v>2100.5126544795316</v>
      </c>
      <c r="AH150" s="41">
        <f>O150/'1. Väestöennuste'!Q150*1000</f>
        <v>2103.8190521507277</v>
      </c>
      <c r="AI150" s="41">
        <f>P150/'1. Väestöennuste'!R150*1000</f>
        <v>2100.9307936866048</v>
      </c>
    </row>
    <row r="151" spans="1:35" x14ac:dyDescent="0.2">
      <c r="A151" s="34">
        <v>436</v>
      </c>
      <c r="B151" s="88" t="s">
        <v>465</v>
      </c>
      <c r="C151" s="46">
        <v>164</v>
      </c>
      <c r="D151" s="46">
        <v>81</v>
      </c>
      <c r="E151" s="46">
        <v>998</v>
      </c>
      <c r="F151" s="46">
        <v>315</v>
      </c>
      <c r="G151" s="70">
        <v>1048</v>
      </c>
      <c r="H151" s="41">
        <v>1056</v>
      </c>
      <c r="I151" s="165">
        <v>811.15045999999995</v>
      </c>
      <c r="J151" s="41">
        <v>251.75296</v>
      </c>
      <c r="K151" s="41">
        <v>901.19637</v>
      </c>
      <c r="L151" s="41">
        <f t="shared" si="11"/>
        <v>898.6163478354689</v>
      </c>
      <c r="M151" s="41">
        <f t="shared" si="11"/>
        <v>896.05624614323074</v>
      </c>
      <c r="N151" s="41">
        <f t="shared" si="12"/>
        <v>893.51489734473955</v>
      </c>
      <c r="O151" s="41">
        <f t="shared" si="12"/>
        <v>890.99053036046416</v>
      </c>
      <c r="P151" s="41">
        <f t="shared" si="12"/>
        <v>888.45883974836704</v>
      </c>
      <c r="T151" s="34">
        <v>436</v>
      </c>
      <c r="U151" s="88" t="s">
        <v>465</v>
      </c>
      <c r="V151" s="41">
        <f>C151/'1. Väestöennuste'!E151*1000</f>
        <v>78.9980732177264</v>
      </c>
      <c r="W151" s="41">
        <f>D151/'1. Väestöennuste'!F151*1000</f>
        <v>38.479809976247033</v>
      </c>
      <c r="X151" s="41">
        <f>E151/'1. Väestöennuste'!G151*1000</f>
        <v>479.57712638154732</v>
      </c>
      <c r="Y151" s="41">
        <f>F151/'1. Väestöennuste'!H151*1000</f>
        <v>153.50877192982458</v>
      </c>
      <c r="Z151" s="41">
        <f>G151/'1. Väestöennuste'!I151*1000</f>
        <v>518.81188118811883</v>
      </c>
      <c r="AA151" s="41">
        <f>H151/'1. Väestöennuste'!J151*1000</f>
        <v>518.66404715127703</v>
      </c>
      <c r="AB151" s="41">
        <f>I151/'1. Väestöennuste'!K151*1000</f>
        <v>401.95761149653117</v>
      </c>
      <c r="AC151" s="41">
        <f>J151/'1. Väestöennuste'!L151*1000</f>
        <v>126.63629778672033</v>
      </c>
      <c r="AD151" s="41">
        <f>K151/'1. Väestöennuste'!M151*1000</f>
        <v>443.28399901623214</v>
      </c>
      <c r="AE151" s="41">
        <f>L151/'1. Väestöennuste'!N151*1000</f>
        <v>445.30046969051978</v>
      </c>
      <c r="AF151" s="41">
        <f>M151/'1. Väestöennuste'!O151*1000</f>
        <v>446.02102844361906</v>
      </c>
      <c r="AG151" s="41">
        <f>N151/'1. Väestöennuste'!P151*1000</f>
        <v>445.86571723789399</v>
      </c>
      <c r="AH151" s="41">
        <f>O151/'1. Väestöennuste'!Q151*1000</f>
        <v>446.16451194815431</v>
      </c>
      <c r="AI151" s="41">
        <f>P151/'1. Väestöennuste'!R151*1000</f>
        <v>446.01347376926054</v>
      </c>
    </row>
    <row r="152" spans="1:35" x14ac:dyDescent="0.2">
      <c r="A152" s="34">
        <v>440</v>
      </c>
      <c r="B152" s="88" t="s">
        <v>466</v>
      </c>
      <c r="C152" s="46">
        <v>7925</v>
      </c>
      <c r="D152" s="46">
        <v>8620</v>
      </c>
      <c r="E152" s="46">
        <v>11133</v>
      </c>
      <c r="F152" s="46">
        <v>11731</v>
      </c>
      <c r="G152" s="70">
        <v>11699</v>
      </c>
      <c r="H152" s="41">
        <v>12979</v>
      </c>
      <c r="I152" s="165">
        <v>11492.915040000002</v>
      </c>
      <c r="J152" s="41">
        <v>10956.836210000001</v>
      </c>
      <c r="K152" s="41">
        <v>10550.16516</v>
      </c>
      <c r="L152" s="41">
        <f t="shared" si="11"/>
        <v>10519.961243452641</v>
      </c>
      <c r="M152" s="41">
        <f t="shared" si="11"/>
        <v>10489.990532763351</v>
      </c>
      <c r="N152" s="41">
        <f t="shared" si="12"/>
        <v>10460.23935927244</v>
      </c>
      <c r="O152" s="41">
        <f t="shared" si="12"/>
        <v>10430.686989228432</v>
      </c>
      <c r="P152" s="41">
        <f t="shared" si="12"/>
        <v>10401.048882617277</v>
      </c>
      <c r="T152" s="34">
        <v>440</v>
      </c>
      <c r="U152" s="88" t="s">
        <v>466</v>
      </c>
      <c r="V152" s="41">
        <f>C152/'1. Väestöennuste'!E152*1000</f>
        <v>1539.7318826500875</v>
      </c>
      <c r="W152" s="41">
        <f>D152/'1. Väestöennuste'!F152*1000</f>
        <v>1665.3786707882534</v>
      </c>
      <c r="X152" s="41">
        <f>E152/'1. Väestöennuste'!G152*1000</f>
        <v>2114.9316109422493</v>
      </c>
      <c r="Y152" s="41">
        <f>F152/'1. Väestöennuste'!H152*1000</f>
        <v>2196.8164794007489</v>
      </c>
      <c r="Z152" s="41">
        <f>G152/'1. Väestöennuste'!I152*1000</f>
        <v>2159.6824810780877</v>
      </c>
      <c r="AA152" s="41">
        <f>H152/'1. Väestöennuste'!J152*1000</f>
        <v>2345.3198409830143</v>
      </c>
      <c r="AB152" s="41">
        <f>I152/'1. Väestöennuste'!K152*1000</f>
        <v>2044.275176093917</v>
      </c>
      <c r="AC152" s="41">
        <f>J152/'1. Väestöennuste'!L152*1000</f>
        <v>1911.5206228192606</v>
      </c>
      <c r="AD152" s="41">
        <f>K152/'1. Väestöennuste'!M152*1000</f>
        <v>1805.607591990416</v>
      </c>
      <c r="AE152" s="41">
        <f>L152/'1. Väestöennuste'!N152*1000</f>
        <v>1793.6847814923512</v>
      </c>
      <c r="AF152" s="41">
        <f>M152/'1. Väestöennuste'!O152*1000</f>
        <v>1766.8840378580683</v>
      </c>
      <c r="AG152" s="41">
        <f>N152/'1. Väestöennuste'!P152*1000</f>
        <v>1741.3416612739206</v>
      </c>
      <c r="AH152" s="41">
        <f>O152/'1. Väestöennuste'!Q152*1000</f>
        <v>1716.9855126301945</v>
      </c>
      <c r="AI152" s="41">
        <f>P152/'1. Väestöennuste'!R152*1000</f>
        <v>1694.2578404654303</v>
      </c>
    </row>
    <row r="153" spans="1:35" x14ac:dyDescent="0.2">
      <c r="A153" s="34">
        <v>441</v>
      </c>
      <c r="B153" s="88" t="s">
        <v>467</v>
      </c>
      <c r="C153" s="46">
        <v>17107</v>
      </c>
      <c r="D153" s="46">
        <v>15214</v>
      </c>
      <c r="E153" s="46">
        <v>14797</v>
      </c>
      <c r="F153" s="46">
        <v>13122</v>
      </c>
      <c r="G153" s="70">
        <v>9791</v>
      </c>
      <c r="H153" s="41">
        <v>12610</v>
      </c>
      <c r="I153" s="165">
        <v>13391.95775</v>
      </c>
      <c r="J153" s="41">
        <v>12593.948619999999</v>
      </c>
      <c r="K153" s="41">
        <v>10597.62464</v>
      </c>
      <c r="L153" s="41">
        <f t="shared" si="11"/>
        <v>10567.284852387917</v>
      </c>
      <c r="M153" s="41">
        <f t="shared" si="11"/>
        <v>10537.179319700776</v>
      </c>
      <c r="N153" s="41">
        <f t="shared" si="12"/>
        <v>10507.294311790985</v>
      </c>
      <c r="O153" s="41">
        <f t="shared" si="12"/>
        <v>10477.609001637151</v>
      </c>
      <c r="P153" s="41">
        <f t="shared" si="12"/>
        <v>10447.837569233781</v>
      </c>
      <c r="T153" s="34">
        <v>441</v>
      </c>
      <c r="U153" s="88" t="s">
        <v>467</v>
      </c>
      <c r="V153" s="41">
        <f>C153/'1. Väestöennuste'!E153*1000</f>
        <v>3519.9588477366256</v>
      </c>
      <c r="W153" s="41">
        <f>D153/'1. Väestöennuste'!F153*1000</f>
        <v>3149.2444628441317</v>
      </c>
      <c r="X153" s="41">
        <f>E153/'1. Väestöennuste'!G153*1000</f>
        <v>3117.1266062776494</v>
      </c>
      <c r="Y153" s="41">
        <f>F153/'1. Väestöennuste'!H153*1000</f>
        <v>2814.6718146718144</v>
      </c>
      <c r="Z153" s="41">
        <f>G153/'1. Väestöennuste'!I153*1000</f>
        <v>2111.9499568593615</v>
      </c>
      <c r="AA153" s="41">
        <f>H153/'1. Väestöennuste'!J153*1000</f>
        <v>2775.6988773937924</v>
      </c>
      <c r="AB153" s="41">
        <f>I153/'1. Väestöennuste'!K153*1000</f>
        <v>2993.9543371339146</v>
      </c>
      <c r="AC153" s="41">
        <f>J153/'1. Väestöennuste'!L153*1000</f>
        <v>2848.6651481565254</v>
      </c>
      <c r="AD153" s="41">
        <f>K153/'1. Väestöennuste'!M153*1000</f>
        <v>2410.7426387625114</v>
      </c>
      <c r="AE153" s="41">
        <f>L153/'1. Väestöennuste'!N153*1000</f>
        <v>2459.7962877997948</v>
      </c>
      <c r="AF153" s="41">
        <f>M153/'1. Väestöennuste'!O153*1000</f>
        <v>2482.2566124147884</v>
      </c>
      <c r="AG153" s="41">
        <f>N153/'1. Väestöennuste'!P153*1000</f>
        <v>2502.9286116700773</v>
      </c>
      <c r="AH153" s="41">
        <f>O153/'1. Väestöennuste'!Q153*1000</f>
        <v>2524.7250606354582</v>
      </c>
      <c r="AI153" s="41">
        <f>P153/'1. Väestöennuste'!R153*1000</f>
        <v>2546.3898535787916</v>
      </c>
    </row>
    <row r="154" spans="1:35" x14ac:dyDescent="0.2">
      <c r="A154" s="34">
        <v>444</v>
      </c>
      <c r="B154" s="88" t="s">
        <v>468</v>
      </c>
      <c r="C154" s="46">
        <v>6881</v>
      </c>
      <c r="D154" s="46">
        <v>6599</v>
      </c>
      <c r="E154" s="46">
        <v>7946</v>
      </c>
      <c r="F154" s="46">
        <v>5439</v>
      </c>
      <c r="G154" s="70">
        <v>4550</v>
      </c>
      <c r="H154" s="41">
        <v>8666</v>
      </c>
      <c r="I154" s="165">
        <v>22931.92497</v>
      </c>
      <c r="J154" s="41">
        <v>17910.009989999999</v>
      </c>
      <c r="K154" s="41">
        <v>12835.099330000001</v>
      </c>
      <c r="L154" s="41">
        <f t="shared" si="11"/>
        <v>12798.353908183268</v>
      </c>
      <c r="M154" s="41">
        <f t="shared" si="11"/>
        <v>12761.892199493986</v>
      </c>
      <c r="N154" s="41">
        <f t="shared" si="12"/>
        <v>12725.697574940838</v>
      </c>
      <c r="O154" s="41">
        <f t="shared" si="12"/>
        <v>12689.744810296937</v>
      </c>
      <c r="P154" s="41">
        <f t="shared" si="12"/>
        <v>12653.687740427587</v>
      </c>
      <c r="T154" s="34">
        <v>444</v>
      </c>
      <c r="U154" s="88" t="s">
        <v>468</v>
      </c>
      <c r="V154" s="41">
        <f>C154/'1. Väestöennuste'!E154*1000</f>
        <v>145.31286296538761</v>
      </c>
      <c r="W154" s="41">
        <f>D154/'1. Väestöennuste'!F154*1000</f>
        <v>139.96055059492249</v>
      </c>
      <c r="X154" s="41">
        <f>E154/'1. Väestöennuste'!G154*1000</f>
        <v>169.84076092764775</v>
      </c>
      <c r="Y154" s="41">
        <f>F154/'1. Väestöennuste'!H154*1000</f>
        <v>117.4831518921721</v>
      </c>
      <c r="Z154" s="41">
        <f>G154/'1. Väestöennuste'!I154*1000</f>
        <v>98.988360709235295</v>
      </c>
      <c r="AA154" s="41">
        <f>H154/'1. Väestöennuste'!J154*1000</f>
        <v>188.85934707753998</v>
      </c>
      <c r="AB154" s="41">
        <f>I154/'1. Väestöennuste'!K154*1000</f>
        <v>498.65019070192221</v>
      </c>
      <c r="AC154" s="41">
        <f>J154/'1. Väestöennuste'!L154*1000</f>
        <v>390.95435572242468</v>
      </c>
      <c r="AD154" s="41">
        <f>K154/'1. Väestöennuste'!M154*1000</f>
        <v>281.19398247343628</v>
      </c>
      <c r="AE154" s="41">
        <f>L154/'1. Väestöennuste'!N154*1000</f>
        <v>285.06033606217045</v>
      </c>
      <c r="AF154" s="41">
        <f>M154/'1. Väestöennuste'!O154*1000</f>
        <v>285.69907988748315</v>
      </c>
      <c r="AG154" s="41">
        <f>N154/'1. Väestöennuste'!P154*1000</f>
        <v>286.28596825585112</v>
      </c>
      <c r="AH154" s="41">
        <f>O154/'1. Väestöennuste'!Q154*1000</f>
        <v>286.81926655735231</v>
      </c>
      <c r="AI154" s="41">
        <f>P154/'1. Väestöennuste'!R154*1000</f>
        <v>287.27694826952086</v>
      </c>
    </row>
    <row r="155" spans="1:35" x14ac:dyDescent="0.2">
      <c r="A155" s="34">
        <v>445</v>
      </c>
      <c r="B155" s="88" t="s">
        <v>469</v>
      </c>
      <c r="C155" s="46">
        <v>2703</v>
      </c>
      <c r="D155" s="46">
        <v>2820</v>
      </c>
      <c r="E155" s="46">
        <v>6271</v>
      </c>
      <c r="F155" s="46">
        <v>3820</v>
      </c>
      <c r="G155" s="70">
        <v>3000</v>
      </c>
      <c r="H155" s="41">
        <v>4673</v>
      </c>
      <c r="I155" s="165">
        <v>5697.5836400000007</v>
      </c>
      <c r="J155" s="41">
        <v>2354.3057999999996</v>
      </c>
      <c r="K155" s="41">
        <v>2565.7037999999998</v>
      </c>
      <c r="L155" s="41">
        <f t="shared" ref="L155:M174" si="13">K155*L$8</f>
        <v>2558.3584833831324</v>
      </c>
      <c r="M155" s="41">
        <f t="shared" si="13"/>
        <v>2551.0698803008077</v>
      </c>
      <c r="N155" s="41">
        <f t="shared" si="12"/>
        <v>2543.8346666598404</v>
      </c>
      <c r="O155" s="41">
        <f t="shared" si="12"/>
        <v>2536.6478002012573</v>
      </c>
      <c r="P155" s="41">
        <f t="shared" si="12"/>
        <v>2529.4400833926757</v>
      </c>
      <c r="T155" s="34">
        <v>445</v>
      </c>
      <c r="U155" s="88" t="s">
        <v>469</v>
      </c>
      <c r="V155" s="41">
        <f>C155/'1. Väestöennuste'!E155*1000</f>
        <v>174.87222617584266</v>
      </c>
      <c r="W155" s="41">
        <f>D155/'1. Väestöennuste'!F155*1000</f>
        <v>183.14066761917132</v>
      </c>
      <c r="X155" s="41">
        <f>E155/'1. Väestöennuste'!G155*1000</f>
        <v>410.27150801439319</v>
      </c>
      <c r="Y155" s="41">
        <f>F155/'1. Väestöennuste'!H155*1000</f>
        <v>251.03502661497012</v>
      </c>
      <c r="Z155" s="41">
        <f>G155/'1. Väestöennuste'!I155*1000</f>
        <v>198.25535289452813</v>
      </c>
      <c r="AA155" s="41">
        <f>H155/'1. Väestöennuste'!J155*1000</f>
        <v>309.36775902019195</v>
      </c>
      <c r="AB155" s="41">
        <f>I155/'1. Väestöennuste'!K155*1000</f>
        <v>377.67358080339392</v>
      </c>
      <c r="AC155" s="41">
        <f>J155/'1. Väestöennuste'!L155*1000</f>
        <v>157.04794876926152</v>
      </c>
      <c r="AD155" s="41">
        <f>K155/'1. Väestöennuste'!M155*1000</f>
        <v>171.0583238882592</v>
      </c>
      <c r="AE155" s="41">
        <f>L155/'1. Väestöennuste'!N155*1000</f>
        <v>172.79200887364124</v>
      </c>
      <c r="AF155" s="41">
        <f>M155/'1. Väestöennuste'!O155*1000</f>
        <v>173.05948580834459</v>
      </c>
      <c r="AG155" s="41">
        <f>N155/'1. Väestöennuste'!P155*1000</f>
        <v>173.29754524557805</v>
      </c>
      <c r="AH155" s="41">
        <f>O155/'1. Väestöennuste'!Q155*1000</f>
        <v>173.49345463383199</v>
      </c>
      <c r="AI155" s="41">
        <f>P155/'1. Väestöennuste'!R155*1000</f>
        <v>173.68949278257747</v>
      </c>
    </row>
    <row r="156" spans="1:35" x14ac:dyDescent="0.2">
      <c r="A156" s="34">
        <v>475</v>
      </c>
      <c r="B156" s="88" t="s">
        <v>470</v>
      </c>
      <c r="C156" s="46">
        <v>1146</v>
      </c>
      <c r="D156" s="46">
        <v>538</v>
      </c>
      <c r="E156" s="46">
        <v>470</v>
      </c>
      <c r="F156" s="46">
        <v>578</v>
      </c>
      <c r="G156" s="70">
        <v>684</v>
      </c>
      <c r="H156" s="41">
        <v>4024</v>
      </c>
      <c r="I156" s="165">
        <v>3643.9691699999998</v>
      </c>
      <c r="J156" s="41">
        <v>1527.3614399999999</v>
      </c>
      <c r="K156" s="41">
        <v>1990.06602</v>
      </c>
      <c r="L156" s="41">
        <f t="shared" si="13"/>
        <v>1984.3686885288578</v>
      </c>
      <c r="M156" s="41">
        <f t="shared" si="13"/>
        <v>1978.7153464215569</v>
      </c>
      <c r="N156" s="41">
        <f t="shared" si="12"/>
        <v>1973.1034153738929</v>
      </c>
      <c r="O156" s="41">
        <f t="shared" si="12"/>
        <v>1967.5289844011891</v>
      </c>
      <c r="P156" s="41">
        <f t="shared" si="12"/>
        <v>1961.9383810343697</v>
      </c>
      <c r="T156" s="34">
        <v>475</v>
      </c>
      <c r="U156" s="88" t="s">
        <v>470</v>
      </c>
      <c r="V156" s="41">
        <f>C156/'1. Väestöennuste'!E156*1000</f>
        <v>206.67267808836789</v>
      </c>
      <c r="W156" s="41">
        <f>D156/'1. Väestöennuste'!F156*1000</f>
        <v>97.516766358528187</v>
      </c>
      <c r="X156" s="41">
        <f>E156/'1. Väestöennuste'!G156*1000</f>
        <v>85.813401497169977</v>
      </c>
      <c r="Y156" s="41">
        <f>F156/'1. Väestöennuste'!H156*1000</f>
        <v>105.53222567098777</v>
      </c>
      <c r="Z156" s="41">
        <f>G156/'1. Väestöennuste'!I156*1000</f>
        <v>124.93150684931507</v>
      </c>
      <c r="AA156" s="41">
        <f>H156/'1. Väestöennuste'!J156*1000</f>
        <v>738.2131718950651</v>
      </c>
      <c r="AB156" s="41">
        <f>I156/'1. Väestöennuste'!K156*1000</f>
        <v>664.10956260251498</v>
      </c>
      <c r="AC156" s="41">
        <f>J156/'1. Väestöennuste'!L156*1000</f>
        <v>278.76646103303523</v>
      </c>
      <c r="AD156" s="41">
        <f>K156/'1. Väestöennuste'!M156*1000</f>
        <v>364.7481708211144</v>
      </c>
      <c r="AE156" s="41">
        <f>L156/'1. Väestöennuste'!N156*1000</f>
        <v>367.47568306089954</v>
      </c>
      <c r="AF156" s="41">
        <f>M156/'1. Väestöennuste'!O156*1000</f>
        <v>367.24486756153618</v>
      </c>
      <c r="AG156" s="41">
        <f>N156/'1. Väestöennuste'!P156*1000</f>
        <v>367.02072458591755</v>
      </c>
      <c r="AH156" s="41">
        <f>O156/'1. Väestöennuste'!Q156*1000</f>
        <v>366.93938537881183</v>
      </c>
      <c r="AI156" s="41">
        <f>P156/'1. Väestöennuste'!R156*1000</f>
        <v>367.33540180385125</v>
      </c>
    </row>
    <row r="157" spans="1:35" x14ac:dyDescent="0.2">
      <c r="A157" s="34">
        <v>480</v>
      </c>
      <c r="B157" s="88" t="s">
        <v>471</v>
      </c>
      <c r="C157" s="46">
        <v>624</v>
      </c>
      <c r="D157" s="46">
        <v>951</v>
      </c>
      <c r="E157" s="46">
        <v>776</v>
      </c>
      <c r="F157" s="46">
        <v>528</v>
      </c>
      <c r="G157" s="70">
        <v>1890</v>
      </c>
      <c r="H157" s="41">
        <v>2195</v>
      </c>
      <c r="I157" s="165">
        <v>1886.81212</v>
      </c>
      <c r="J157" s="41">
        <v>1889.66507</v>
      </c>
      <c r="K157" s="41">
        <v>1649.17976</v>
      </c>
      <c r="L157" s="41">
        <f t="shared" si="13"/>
        <v>1644.4583469143081</v>
      </c>
      <c r="M157" s="41">
        <f t="shared" si="13"/>
        <v>1639.7733880807734</v>
      </c>
      <c r="N157" s="41">
        <f t="shared" si="12"/>
        <v>1635.1227468430907</v>
      </c>
      <c r="O157" s="41">
        <f t="shared" si="12"/>
        <v>1630.5031821445787</v>
      </c>
      <c r="P157" s="41">
        <f t="shared" si="12"/>
        <v>1625.8702152851442</v>
      </c>
      <c r="T157" s="34">
        <v>480</v>
      </c>
      <c r="U157" s="88" t="s">
        <v>471</v>
      </c>
      <c r="V157" s="41">
        <f>C157/'1. Väestöennuste'!E157*1000</f>
        <v>307.69230769230774</v>
      </c>
      <c r="W157" s="41">
        <f>D157/'1. Väestöennuste'!F157*1000</f>
        <v>470.55912914398812</v>
      </c>
      <c r="X157" s="41">
        <f>E157/'1. Väestöennuste'!G157*1000</f>
        <v>390.3420523138833</v>
      </c>
      <c r="Y157" s="41">
        <f>F157/'1. Väestöennuste'!H157*1000</f>
        <v>261.64519326065408</v>
      </c>
      <c r="Z157" s="41">
        <f>G157/'1. Väestöennuste'!I157*1000</f>
        <v>938.89716840536505</v>
      </c>
      <c r="AA157" s="41">
        <f>H157/'1. Väestöennuste'!J157*1000</f>
        <v>1098.049024512256</v>
      </c>
      <c r="AB157" s="41">
        <f>I157/'1. Väestöennuste'!K157*1000</f>
        <v>948.14679396984923</v>
      </c>
      <c r="AC157" s="41">
        <f>J157/'1. Väestöennuste'!L157*1000</f>
        <v>955.34128918099088</v>
      </c>
      <c r="AD157" s="41">
        <f>K157/'1. Väestöennuste'!M157*1000</f>
        <v>854.4972849740933</v>
      </c>
      <c r="AE157" s="41">
        <f>L157/'1. Väestöennuste'!N157*1000</f>
        <v>830.11526850797986</v>
      </c>
      <c r="AF157" s="41">
        <f>M157/'1. Väestöennuste'!O157*1000</f>
        <v>829.42508248901038</v>
      </c>
      <c r="AG157" s="41">
        <f>N157/'1. Väestöennuste'!P157*1000</f>
        <v>828.3296589883945</v>
      </c>
      <c r="AH157" s="41">
        <f>O157/'1. Väestöennuste'!Q157*1000</f>
        <v>828.08693862091354</v>
      </c>
      <c r="AI157" s="41">
        <f>P157/'1. Väestöennuste'!R157*1000</f>
        <v>829.10260850848761</v>
      </c>
    </row>
    <row r="158" spans="1:35" x14ac:dyDescent="0.2">
      <c r="A158" s="34">
        <v>481</v>
      </c>
      <c r="B158" s="88" t="s">
        <v>472</v>
      </c>
      <c r="C158" s="46">
        <v>545</v>
      </c>
      <c r="D158" s="46">
        <v>577</v>
      </c>
      <c r="E158" s="46">
        <v>2350</v>
      </c>
      <c r="F158" s="46">
        <v>1001</v>
      </c>
      <c r="G158" s="70">
        <v>2211</v>
      </c>
      <c r="H158" s="41">
        <v>3810</v>
      </c>
      <c r="I158" s="165">
        <v>4496.9281200000005</v>
      </c>
      <c r="J158" s="41">
        <v>2608.5749900000001</v>
      </c>
      <c r="K158" s="41">
        <v>1860.5124900000001</v>
      </c>
      <c r="L158" s="41">
        <f t="shared" si="13"/>
        <v>1855.1860554720993</v>
      </c>
      <c r="M158" s="41">
        <f t="shared" si="13"/>
        <v>1849.9007465953234</v>
      </c>
      <c r="N158" s="41">
        <f t="shared" si="12"/>
        <v>1844.6541529133724</v>
      </c>
      <c r="O158" s="41">
        <f t="shared" si="12"/>
        <v>1839.442618047128</v>
      </c>
      <c r="P158" s="41">
        <f t="shared" si="12"/>
        <v>1834.2159636115111</v>
      </c>
      <c r="T158" s="34">
        <v>481</v>
      </c>
      <c r="U158" s="88" t="s">
        <v>472</v>
      </c>
      <c r="V158" s="41">
        <f>C158/'1. Väestöennuste'!E158*1000</f>
        <v>56.150834535338966</v>
      </c>
      <c r="W158" s="41">
        <f>D158/'1. Väestöennuste'!F158*1000</f>
        <v>59.638242894056852</v>
      </c>
      <c r="X158" s="41">
        <f>E158/'1. Väestöennuste'!G158*1000</f>
        <v>243.37199668599834</v>
      </c>
      <c r="Y158" s="41">
        <f>F158/'1. Väestöennuste'!H158*1000</f>
        <v>104.77287000209336</v>
      </c>
      <c r="Z158" s="41">
        <f>G158/'1. Väestöennuste'!I158*1000</f>
        <v>231.9068596601636</v>
      </c>
      <c r="AA158" s="41">
        <f>H158/'1. Väestöennuste'!J158*1000</f>
        <v>399.24552027664254</v>
      </c>
      <c r="AB158" s="41">
        <f>I158/'1. Väestöennuste'!K158*1000</f>
        <v>467.84520599250942</v>
      </c>
      <c r="AC158" s="41">
        <f>J158/'1. Väestöennuste'!L158*1000</f>
        <v>270.5429361128397</v>
      </c>
      <c r="AD158" s="41">
        <f>K158/'1. Väestöennuste'!M158*1000</f>
        <v>193.42057282461795</v>
      </c>
      <c r="AE158" s="41">
        <f>L158/'1. Väestöennuste'!N158*1000</f>
        <v>195.81866745536198</v>
      </c>
      <c r="AF158" s="41">
        <f>M158/'1. Väestöennuste'!O158*1000</f>
        <v>195.63248166194199</v>
      </c>
      <c r="AG158" s="41">
        <f>N158/'1. Väestöennuste'!P158*1000</f>
        <v>195.36688762056477</v>
      </c>
      <c r="AH158" s="41">
        <f>O158/'1. Väestöennuste'!Q158*1000</f>
        <v>195.04216075147156</v>
      </c>
      <c r="AI158" s="41">
        <f>P158/'1. Väestöennuste'!R158*1000</f>
        <v>194.67373844316612</v>
      </c>
    </row>
    <row r="159" spans="1:35" x14ac:dyDescent="0.2">
      <c r="A159" s="34">
        <v>483</v>
      </c>
      <c r="B159" s="88" t="s">
        <v>473</v>
      </c>
      <c r="C159" s="46">
        <v>2630</v>
      </c>
      <c r="D159" s="46">
        <v>3074</v>
      </c>
      <c r="E159" s="46">
        <v>3485</v>
      </c>
      <c r="F159" s="46">
        <v>2599</v>
      </c>
      <c r="G159" s="70">
        <v>2807</v>
      </c>
      <c r="H159" s="41">
        <v>3650</v>
      </c>
      <c r="I159" s="165">
        <v>3261.5462400000001</v>
      </c>
      <c r="J159" s="41">
        <v>2863.0630200000001</v>
      </c>
      <c r="K159" s="41">
        <v>2915.08221</v>
      </c>
      <c r="L159" s="41">
        <f t="shared" si="13"/>
        <v>2906.7366629432245</v>
      </c>
      <c r="M159" s="41">
        <f t="shared" si="13"/>
        <v>2898.4555522471901</v>
      </c>
      <c r="N159" s="41">
        <f t="shared" si="12"/>
        <v>2890.2351011684909</v>
      </c>
      <c r="O159" s="41">
        <f t="shared" si="12"/>
        <v>2882.0695808309283</v>
      </c>
      <c r="P159" s="41">
        <f t="shared" si="12"/>
        <v>2873.8803708981936</v>
      </c>
      <c r="T159" s="34">
        <v>483</v>
      </c>
      <c r="U159" s="88" t="s">
        <v>473</v>
      </c>
      <c r="V159" s="41">
        <f>C159/'1. Väestöennuste'!E159*1000</f>
        <v>2319.2239858906528</v>
      </c>
      <c r="W159" s="41">
        <f>D159/'1. Väestöennuste'!F159*1000</f>
        <v>2717.9487179487182</v>
      </c>
      <c r="X159" s="41">
        <f>E159/'1. Väestöennuste'!G159*1000</f>
        <v>3114.3878462913317</v>
      </c>
      <c r="Y159" s="41">
        <f>F159/'1. Väestöennuste'!H159*1000</f>
        <v>2354.1666666666665</v>
      </c>
      <c r="Z159" s="41">
        <f>G159/'1. Väestöennuste'!I159*1000</f>
        <v>2577.5941230486687</v>
      </c>
      <c r="AA159" s="41">
        <f>H159/'1. Väestöennuste'!J159*1000</f>
        <v>3385.8998144712432</v>
      </c>
      <c r="AB159" s="41">
        <f>I159/'1. Väestöennuste'!K159*1000</f>
        <v>3031.1768029739778</v>
      </c>
      <c r="AC159" s="41">
        <f>J159/'1. Väestöennuste'!L159*1000</f>
        <v>2683.28305529522</v>
      </c>
      <c r="AD159" s="41">
        <f>K159/'1. Väestöennuste'!M159*1000</f>
        <v>2763.1110995260665</v>
      </c>
      <c r="AE159" s="41">
        <f>L159/'1. Väestöennuste'!N159*1000</f>
        <v>2849.741826414926</v>
      </c>
      <c r="AF159" s="41">
        <f>M159/'1. Väestöennuste'!O159*1000</f>
        <v>2881.1685410011833</v>
      </c>
      <c r="AG159" s="41">
        <f>N159/'1. Väestöennuste'!P159*1000</f>
        <v>2910.6093667356404</v>
      </c>
      <c r="AH159" s="41">
        <f>O159/'1. Väestöennuste'!Q159*1000</f>
        <v>2943.8912980908358</v>
      </c>
      <c r="AI159" s="41">
        <f>P159/'1. Väestöennuste'!R159*1000</f>
        <v>2965.8208162004062</v>
      </c>
    </row>
    <row r="160" spans="1:35" x14ac:dyDescent="0.2">
      <c r="A160" s="34">
        <v>484</v>
      </c>
      <c r="B160" s="88" t="s">
        <v>474</v>
      </c>
      <c r="C160" s="46">
        <v>3543</v>
      </c>
      <c r="D160" s="46">
        <v>3379</v>
      </c>
      <c r="E160" s="46">
        <v>3055</v>
      </c>
      <c r="F160" s="46">
        <v>1689</v>
      </c>
      <c r="G160" s="70">
        <v>1354</v>
      </c>
      <c r="H160" s="41">
        <v>2451</v>
      </c>
      <c r="I160" s="165">
        <v>4221.0021500000003</v>
      </c>
      <c r="J160" s="41">
        <v>3030.0074599999998</v>
      </c>
      <c r="K160" s="41">
        <v>1101.2970299999999</v>
      </c>
      <c r="L160" s="41">
        <f t="shared" si="13"/>
        <v>1098.1441425253952</v>
      </c>
      <c r="M160" s="41">
        <f t="shared" si="13"/>
        <v>1095.0155986430448</v>
      </c>
      <c r="N160" s="41">
        <f t="shared" si="12"/>
        <v>1091.9099715265347</v>
      </c>
      <c r="O160" s="41">
        <f t="shared" si="12"/>
        <v>1088.8250968477646</v>
      </c>
      <c r="P160" s="41">
        <f t="shared" si="12"/>
        <v>1085.7312724108315</v>
      </c>
      <c r="T160" s="34">
        <v>484</v>
      </c>
      <c r="U160" s="88" t="s">
        <v>474</v>
      </c>
      <c r="V160" s="41">
        <f>C160/'1. Väestöennuste'!E160*1000</f>
        <v>1112.4018838304553</v>
      </c>
      <c r="W160" s="41">
        <f>D160/'1. Väestöennuste'!F160*1000</f>
        <v>1066.2669611864942</v>
      </c>
      <c r="X160" s="41">
        <f>E160/'1. Väestöennuste'!G160*1000</f>
        <v>967.99746514575418</v>
      </c>
      <c r="Y160" s="41">
        <f>F160/'1. Väestöennuste'!H160*1000</f>
        <v>542.21508828250398</v>
      </c>
      <c r="Z160" s="41">
        <f>G160/'1. Väestöennuste'!I160*1000</f>
        <v>441.47375285295078</v>
      </c>
      <c r="AA160" s="41">
        <f>H160/'1. Väestöennuste'!J160*1000</f>
        <v>799.41291585127203</v>
      </c>
      <c r="AB160" s="41">
        <f>I160/'1. Väestöennuste'!K160*1000</f>
        <v>1381.6700981996728</v>
      </c>
      <c r="AC160" s="41">
        <f>J160/'1. Väestöennuste'!L160*1000</f>
        <v>1021.2360835861139</v>
      </c>
      <c r="AD160" s="41">
        <f>K160/'1. Väestöennuste'!M160*1000</f>
        <v>371.30715778826703</v>
      </c>
      <c r="AE160" s="41">
        <f>L160/'1. Väestöennuste'!N160*1000</f>
        <v>368.38112798570791</v>
      </c>
      <c r="AF160" s="41">
        <f>M160/'1. Väestöennuste'!O160*1000</f>
        <v>369.31386126240972</v>
      </c>
      <c r="AG160" s="41">
        <f>N160/'1. Väestöennuste'!P160*1000</f>
        <v>370.13897339882533</v>
      </c>
      <c r="AH160" s="41">
        <f>O160/'1. Väestöennuste'!Q160*1000</f>
        <v>371.23255944349285</v>
      </c>
      <c r="AI160" s="41">
        <f>P160/'1. Väestöennuste'!R160*1000</f>
        <v>371.95315944187445</v>
      </c>
    </row>
    <row r="161" spans="1:35" x14ac:dyDescent="0.2">
      <c r="A161" s="34">
        <v>489</v>
      </c>
      <c r="B161" s="88" t="s">
        <v>475</v>
      </c>
      <c r="C161" s="46">
        <v>1653</v>
      </c>
      <c r="D161" s="46">
        <v>926</v>
      </c>
      <c r="E161" s="46">
        <v>1853</v>
      </c>
      <c r="F161" s="46">
        <v>1542</v>
      </c>
      <c r="G161" s="70">
        <v>1458</v>
      </c>
      <c r="H161" s="41">
        <v>3180</v>
      </c>
      <c r="I161" s="165">
        <v>3316.1146600000002</v>
      </c>
      <c r="J161" s="41">
        <v>2185.7326400000002</v>
      </c>
      <c r="K161" s="41">
        <v>706.33292000000006</v>
      </c>
      <c r="L161" s="41">
        <f t="shared" si="13"/>
        <v>704.31076961213512</v>
      </c>
      <c r="M161" s="41">
        <f t="shared" si="13"/>
        <v>702.3042323423773</v>
      </c>
      <c r="N161" s="41">
        <f t="shared" si="12"/>
        <v>700.31239307478597</v>
      </c>
      <c r="O161" s="41">
        <f t="shared" si="12"/>
        <v>698.33386368595279</v>
      </c>
      <c r="P161" s="41">
        <f t="shared" si="12"/>
        <v>696.34959423912937</v>
      </c>
      <c r="T161" s="34">
        <v>489</v>
      </c>
      <c r="U161" s="88" t="s">
        <v>475</v>
      </c>
      <c r="V161" s="41">
        <f>C161/'1. Väestöennuste'!E161*1000</f>
        <v>792.80575539568338</v>
      </c>
      <c r="W161" s="41">
        <f>D161/'1. Väestöennuste'!F161*1000</f>
        <v>455.26057030481809</v>
      </c>
      <c r="X161" s="41">
        <f>E161/'1. Väestöennuste'!G161*1000</f>
        <v>930.22088353413653</v>
      </c>
      <c r="Y161" s="41">
        <f>F161/'1. Väestöennuste'!H161*1000</f>
        <v>794.84536082474222</v>
      </c>
      <c r="Z161" s="41">
        <f>G161/'1. Väestöennuste'!I161*1000</f>
        <v>785.13731825525031</v>
      </c>
      <c r="AA161" s="41">
        <f>H161/'1. Väestöennuste'!J161*1000</f>
        <v>1702.3554603854388</v>
      </c>
      <c r="AB161" s="41">
        <f>I161/'1. Väestöennuste'!K161*1000</f>
        <v>1807.1469536784741</v>
      </c>
      <c r="AC161" s="41">
        <f>J161/'1. Väestöennuste'!L161*1000</f>
        <v>1220.3979006141822</v>
      </c>
      <c r="AD161" s="41">
        <f>K161/'1. Väestöennuste'!M161*1000</f>
        <v>403.15805936073065</v>
      </c>
      <c r="AE161" s="41">
        <f>L161/'1. Väestöennuste'!N161*1000</f>
        <v>407.35151510244941</v>
      </c>
      <c r="AF161" s="41">
        <f>M161/'1. Väestöennuste'!O161*1000</f>
        <v>412.63468410245434</v>
      </c>
      <c r="AG161" s="41">
        <f>N161/'1. Väestöennuste'!P161*1000</f>
        <v>418.09695108942446</v>
      </c>
      <c r="AH161" s="41">
        <f>O161/'1. Väestöennuste'!Q161*1000</f>
        <v>423.48930484290645</v>
      </c>
      <c r="AI161" s="41">
        <f>P161/'1. Väestöennuste'!R161*1000</f>
        <v>428.52282722407966</v>
      </c>
    </row>
    <row r="162" spans="1:35" x14ac:dyDescent="0.2">
      <c r="A162" s="34">
        <v>491</v>
      </c>
      <c r="B162" s="88" t="s">
        <v>476</v>
      </c>
      <c r="C162" s="46">
        <v>66</v>
      </c>
      <c r="D162" s="46">
        <v>15546</v>
      </c>
      <c r="E162" s="46">
        <v>699</v>
      </c>
      <c r="F162" s="46">
        <v>61</v>
      </c>
      <c r="G162" s="70">
        <v>48</v>
      </c>
      <c r="H162" s="41">
        <v>58</v>
      </c>
      <c r="I162" s="165">
        <v>11593.8308</v>
      </c>
      <c r="J162" s="41">
        <v>32333.261719999999</v>
      </c>
      <c r="K162" s="41">
        <v>9289.6721899999993</v>
      </c>
      <c r="L162" s="41">
        <f t="shared" si="13"/>
        <v>9263.0769207010035</v>
      </c>
      <c r="M162" s="41">
        <f t="shared" si="13"/>
        <v>9236.6869947252071</v>
      </c>
      <c r="N162" s="41">
        <f t="shared" si="12"/>
        <v>9210.4903764915653</v>
      </c>
      <c r="O162" s="41">
        <f t="shared" si="12"/>
        <v>9184.4688094371213</v>
      </c>
      <c r="P162" s="41">
        <f t="shared" si="12"/>
        <v>9158.3717492893065</v>
      </c>
      <c r="T162" s="34">
        <v>491</v>
      </c>
      <c r="U162" s="88" t="s">
        <v>476</v>
      </c>
      <c r="V162" s="41">
        <f>C162/'1. Väestöennuste'!E162*1000</f>
        <v>1.2073538827403274</v>
      </c>
      <c r="W162" s="41">
        <f>D162/'1. Väestöennuste'!F162*1000</f>
        <v>285.15875781866208</v>
      </c>
      <c r="X162" s="41">
        <f>E162/'1. Väestöennuste'!G162*1000</f>
        <v>12.882180571681319</v>
      </c>
      <c r="Y162" s="41">
        <f>F162/'1. Väestöennuste'!H162*1000</f>
        <v>1.1334497751681594</v>
      </c>
      <c r="Z162" s="41">
        <f>G162/'1. Väestöennuste'!I162*1000</f>
        <v>0.90337636917980957</v>
      </c>
      <c r="AA162" s="41">
        <f>H162/'1. Väestöennuste'!J162*1000</f>
        <v>1.1030180856930947</v>
      </c>
      <c r="AB162" s="41">
        <f>I162/'1. Väestöennuste'!K162*1000</f>
        <v>222.43641456582634</v>
      </c>
      <c r="AC162" s="41">
        <f>J162/'1. Väestöennuste'!L162*1000</f>
        <v>622.03273797614463</v>
      </c>
      <c r="AD162" s="41">
        <f>K162/'1. Väestöennuste'!M162*1000</f>
        <v>178.92625416514184</v>
      </c>
      <c r="AE162" s="41">
        <f>L162/'1. Väestöennuste'!N162*1000</f>
        <v>181.6930862010318</v>
      </c>
      <c r="AF162" s="41">
        <f>M162/'1. Väestöennuste'!O162*1000</f>
        <v>182.58652239118382</v>
      </c>
      <c r="AG162" s="41">
        <f>N162/'1. Väestöennuste'!P162*1000</f>
        <v>183.50149177159295</v>
      </c>
      <c r="AH162" s="41">
        <f>O162/'1. Väestöennuste'!Q162*1000</f>
        <v>184.38635661675377</v>
      </c>
      <c r="AI162" s="41">
        <f>P162/'1. Väestöennuste'!R162*1000</f>
        <v>185.27587443687779</v>
      </c>
    </row>
    <row r="163" spans="1:35" x14ac:dyDescent="0.2">
      <c r="A163" s="34">
        <v>494</v>
      </c>
      <c r="B163" s="88" t="s">
        <v>477</v>
      </c>
      <c r="C163" s="46">
        <v>399</v>
      </c>
      <c r="D163" s="46">
        <v>997</v>
      </c>
      <c r="E163" s="46">
        <v>1252</v>
      </c>
      <c r="F163" s="46">
        <v>2526</v>
      </c>
      <c r="G163" s="70">
        <v>1339</v>
      </c>
      <c r="H163" s="41">
        <v>1594</v>
      </c>
      <c r="I163" s="165">
        <v>2704.7128199999997</v>
      </c>
      <c r="J163" s="41">
        <v>3124.8402599999999</v>
      </c>
      <c r="K163" s="41">
        <v>3319.2391499999999</v>
      </c>
      <c r="L163" s="41">
        <f t="shared" si="13"/>
        <v>3309.7365478353026</v>
      </c>
      <c r="M163" s="41">
        <f t="shared" si="13"/>
        <v>3300.3073157081712</v>
      </c>
      <c r="N163" s="41">
        <f t="shared" si="12"/>
        <v>3290.9471532546127</v>
      </c>
      <c r="O163" s="41">
        <f t="shared" si="12"/>
        <v>3281.6495373274934</v>
      </c>
      <c r="P163" s="41">
        <f t="shared" si="12"/>
        <v>3272.3249473989299</v>
      </c>
      <c r="T163" s="34">
        <v>494</v>
      </c>
      <c r="U163" s="88" t="s">
        <v>477</v>
      </c>
      <c r="V163" s="41">
        <f>C163/'1. Väestöennuste'!E163*1000</f>
        <v>44.025157232704402</v>
      </c>
      <c r="W163" s="41">
        <f>D163/'1. Väestöennuste'!F163*1000</f>
        <v>110.83935519733184</v>
      </c>
      <c r="X163" s="41">
        <f>E163/'1. Väestöennuste'!G163*1000</f>
        <v>138.8180507816831</v>
      </c>
      <c r="Y163" s="41">
        <f>F163/'1. Väestöennuste'!H163*1000</f>
        <v>281.29175946547883</v>
      </c>
      <c r="Z163" s="41">
        <f>G163/'1. Väestöennuste'!I163*1000</f>
        <v>150.3143242029636</v>
      </c>
      <c r="AA163" s="41">
        <f>H163/'1. Väestöennuste'!J163*1000</f>
        <v>179.0407727732225</v>
      </c>
      <c r="AB163" s="41">
        <f>I163/'1. Väestöennuste'!K163*1000</f>
        <v>303.59331238073855</v>
      </c>
      <c r="AC163" s="41">
        <f>J163/'1. Väestöennuste'!L163*1000</f>
        <v>351.81718757036703</v>
      </c>
      <c r="AD163" s="41">
        <f>K163/'1. Väestöennuste'!M163*1000</f>
        <v>376.03253087119066</v>
      </c>
      <c r="AE163" s="41">
        <f>L163/'1. Väestöennuste'!N163*1000</f>
        <v>376.96316034570646</v>
      </c>
      <c r="AF163" s="41">
        <f>M163/'1. Väestöennuste'!O163*1000</f>
        <v>377.17797893807671</v>
      </c>
      <c r="AG163" s="41">
        <f>N163/'1. Väestöennuste'!P163*1000</f>
        <v>377.40219647415284</v>
      </c>
      <c r="AH163" s="41">
        <f>O163/'1. Väestöennuste'!Q163*1000</f>
        <v>377.59170835663252</v>
      </c>
      <c r="AI163" s="41">
        <f>P163/'1. Väestöennuste'!R163*1000</f>
        <v>377.77937513264027</v>
      </c>
    </row>
    <row r="164" spans="1:35" x14ac:dyDescent="0.2">
      <c r="A164" s="34">
        <v>495</v>
      </c>
      <c r="B164" s="88" t="s">
        <v>478</v>
      </c>
      <c r="C164" s="46">
        <v>326</v>
      </c>
      <c r="D164" s="46">
        <v>990</v>
      </c>
      <c r="E164" s="46">
        <v>669</v>
      </c>
      <c r="F164" s="46">
        <v>736</v>
      </c>
      <c r="G164" s="70">
        <v>533</v>
      </c>
      <c r="H164" s="41">
        <v>884</v>
      </c>
      <c r="I164" s="165">
        <v>690.74387999999999</v>
      </c>
      <c r="J164" s="41">
        <v>423.21277000000003</v>
      </c>
      <c r="K164" s="41">
        <v>194.02689000000001</v>
      </c>
      <c r="L164" s="41">
        <f t="shared" si="13"/>
        <v>193.47141319896159</v>
      </c>
      <c r="M164" s="41">
        <f t="shared" si="13"/>
        <v>192.92022526038977</v>
      </c>
      <c r="N164" s="41">
        <f t="shared" si="12"/>
        <v>192.37307480551559</v>
      </c>
      <c r="O164" s="41">
        <f t="shared" si="12"/>
        <v>191.82958052226894</v>
      </c>
      <c r="P164" s="41">
        <f t="shared" si="12"/>
        <v>191.28450946754711</v>
      </c>
      <c r="T164" s="34">
        <v>495</v>
      </c>
      <c r="U164" s="88" t="s">
        <v>478</v>
      </c>
      <c r="V164" s="41">
        <f>C164/'1. Väestöennuste'!E164*1000</f>
        <v>190.64327485380116</v>
      </c>
      <c r="W164" s="41">
        <f>D164/'1. Väestöennuste'!F164*1000</f>
        <v>595.30968129885753</v>
      </c>
      <c r="X164" s="41">
        <f>E164/'1. Väestöennuste'!G164*1000</f>
        <v>408.92420537897311</v>
      </c>
      <c r="Y164" s="41">
        <f>F164/'1. Väestöennuste'!H164*1000</f>
        <v>464.64646464646466</v>
      </c>
      <c r="Z164" s="41">
        <f>G164/'1. Väestöennuste'!I164*1000</f>
        <v>340.35759897828865</v>
      </c>
      <c r="AA164" s="41">
        <f>H164/'1. Väestöennuste'!J164*1000</f>
        <v>567.39409499358146</v>
      </c>
      <c r="AB164" s="41">
        <f>I164/'1. Väestöennuste'!K164*1000</f>
        <v>464.20959677419353</v>
      </c>
      <c r="AC164" s="41">
        <f>J164/'1. Väestöennuste'!L164*1000</f>
        <v>286.53538930264051</v>
      </c>
      <c r="AD164" s="41">
        <f>K164/'1. Väestöennuste'!M164*1000</f>
        <v>135.68313986013985</v>
      </c>
      <c r="AE164" s="41">
        <f>L164/'1. Väestöennuste'!N164*1000</f>
        <v>132.78751763827151</v>
      </c>
      <c r="AF164" s="41">
        <f>M164/'1. Väestöennuste'!O164*1000</f>
        <v>134.53293253862606</v>
      </c>
      <c r="AG164" s="41">
        <f>N164/'1. Väestöennuste'!P164*1000</f>
        <v>136.14513432803651</v>
      </c>
      <c r="AH164" s="41">
        <f>O164/'1. Väestöennuste'!Q164*1000</f>
        <v>138.10624947607556</v>
      </c>
      <c r="AI164" s="41">
        <f>P164/'1. Väestöennuste'!R164*1000</f>
        <v>139.9301459162744</v>
      </c>
    </row>
    <row r="165" spans="1:35" x14ac:dyDescent="0.2">
      <c r="A165" s="34">
        <v>498</v>
      </c>
      <c r="B165" s="88" t="s">
        <v>479</v>
      </c>
      <c r="C165" s="46">
        <v>367</v>
      </c>
      <c r="D165" s="46">
        <v>622</v>
      </c>
      <c r="E165" s="46">
        <v>724</v>
      </c>
      <c r="F165" s="46">
        <v>450</v>
      </c>
      <c r="G165" s="70">
        <v>825</v>
      </c>
      <c r="H165" s="41">
        <v>874</v>
      </c>
      <c r="I165" s="165">
        <v>262.77522999999997</v>
      </c>
      <c r="J165" s="41">
        <v>335.84459000000004</v>
      </c>
      <c r="K165" s="41">
        <v>328.70359000000002</v>
      </c>
      <c r="L165" s="41">
        <f t="shared" si="13"/>
        <v>327.76254920579339</v>
      </c>
      <c r="M165" s="41">
        <f t="shared" si="13"/>
        <v>326.82877423175108</v>
      </c>
      <c r="N165" s="41">
        <f t="shared" si="12"/>
        <v>325.90183921368589</v>
      </c>
      <c r="O165" s="41">
        <f t="shared" si="12"/>
        <v>324.98109816564016</v>
      </c>
      <c r="P165" s="41">
        <f t="shared" si="12"/>
        <v>324.05768588761953</v>
      </c>
      <c r="T165" s="34">
        <v>498</v>
      </c>
      <c r="U165" s="88" t="s">
        <v>479</v>
      </c>
      <c r="V165" s="41">
        <f>C165/'1. Väestöennuste'!E165*1000</f>
        <v>155.64037319762511</v>
      </c>
      <c r="W165" s="41">
        <f>D165/'1. Väestöennuste'!F165*1000</f>
        <v>264.68085106382978</v>
      </c>
      <c r="X165" s="41">
        <f>E165/'1. Väestöennuste'!G165*1000</f>
        <v>310.46312178387655</v>
      </c>
      <c r="Y165" s="41">
        <f>F165/'1. Väestöennuste'!H165*1000</f>
        <v>195.73727707698998</v>
      </c>
      <c r="Z165" s="41">
        <f>G165/'1. Väestöennuste'!I165*1000</f>
        <v>357.45233968804155</v>
      </c>
      <c r="AA165" s="41">
        <f>H165/'1. Väestöennuste'!J165*1000</f>
        <v>380.49629952111451</v>
      </c>
      <c r="AB165" s="41">
        <f>I165/'1. Väestöennuste'!K165*1000</f>
        <v>113.21638517880223</v>
      </c>
      <c r="AC165" s="41">
        <f>J165/'1. Väestöennuste'!L165*1000</f>
        <v>147.2356817185445</v>
      </c>
      <c r="AD165" s="41">
        <f>K165/'1. Väestöennuste'!M165*1000</f>
        <v>141.37788817204301</v>
      </c>
      <c r="AE165" s="41">
        <f>L165/'1. Väestöennuste'!N165*1000</f>
        <v>145.34924576753588</v>
      </c>
      <c r="AF165" s="41">
        <f>M165/'1. Väestöennuste'!O165*1000</f>
        <v>145.58074576024546</v>
      </c>
      <c r="AG165" s="41">
        <f>N165/'1. Väestöennuste'!P165*1000</f>
        <v>145.7521642279454</v>
      </c>
      <c r="AH165" s="41">
        <f>O165/'1. Väestöennuste'!Q165*1000</f>
        <v>145.92774951308493</v>
      </c>
      <c r="AI165" s="41">
        <f>P165/'1. Väestöennuste'!R165*1000</f>
        <v>146.16945687308052</v>
      </c>
    </row>
    <row r="166" spans="1:35" x14ac:dyDescent="0.2">
      <c r="A166" s="34">
        <v>499</v>
      </c>
      <c r="B166" s="88" t="s">
        <v>480</v>
      </c>
      <c r="C166" s="46">
        <v>1945</v>
      </c>
      <c r="D166" s="46">
        <v>1130</v>
      </c>
      <c r="E166" s="46">
        <v>2182</v>
      </c>
      <c r="F166" s="46">
        <v>4167</v>
      </c>
      <c r="G166" s="70">
        <v>2645</v>
      </c>
      <c r="H166" s="41">
        <v>4127</v>
      </c>
      <c r="I166" s="165">
        <v>6365.0068300000003</v>
      </c>
      <c r="J166" s="41">
        <v>4627.2495699999999</v>
      </c>
      <c r="K166" s="41">
        <v>550.76343999999995</v>
      </c>
      <c r="L166" s="41">
        <f t="shared" si="13"/>
        <v>549.18666724556306</v>
      </c>
      <c r="M166" s="41">
        <f t="shared" si="13"/>
        <v>547.62206882761018</v>
      </c>
      <c r="N166" s="41">
        <f t="shared" si="12"/>
        <v>546.06893118403877</v>
      </c>
      <c r="O166" s="41">
        <f t="shared" si="12"/>
        <v>544.52617192494199</v>
      </c>
      <c r="P166" s="41">
        <f t="shared" si="12"/>
        <v>542.97893685281861</v>
      </c>
      <c r="T166" s="34">
        <v>499</v>
      </c>
      <c r="U166" s="88" t="s">
        <v>480</v>
      </c>
      <c r="V166" s="41">
        <f>C166/'1. Väestöennuste'!E166*1000</f>
        <v>100.76675992125169</v>
      </c>
      <c r="W166" s="41">
        <f>D166/'1. Väestöennuste'!F166*1000</f>
        <v>58.307533539731686</v>
      </c>
      <c r="X166" s="41">
        <f>E166/'1. Väestöennuste'!G166*1000</f>
        <v>112.56706562113084</v>
      </c>
      <c r="Y166" s="41">
        <f>F166/'1. Väestöennuste'!H166*1000</f>
        <v>214.30775560584243</v>
      </c>
      <c r="Z166" s="41">
        <f>G166/'1. Väestöennuste'!I166*1000</f>
        <v>136.00370218017278</v>
      </c>
      <c r="AA166" s="41">
        <f>H166/'1. Väestöennuste'!J166*1000</f>
        <v>212.15236724412688</v>
      </c>
      <c r="AB166" s="41">
        <f>I166/'1. Väestöennuste'!K166*1000</f>
        <v>325.80911291973791</v>
      </c>
      <c r="AC166" s="41">
        <f>J166/'1. Väestöennuste'!L166*1000</f>
        <v>235.33971976401179</v>
      </c>
      <c r="AD166" s="41">
        <f>K166/'1. Väestöennuste'!M166*1000</f>
        <v>27.86841269038101</v>
      </c>
      <c r="AE166" s="41">
        <f>L166/'1. Väestöennuste'!N166*1000</f>
        <v>28.130239576169803</v>
      </c>
      <c r="AF166" s="41">
        <f>M166/'1. Väestöennuste'!O166*1000</f>
        <v>28.054409263709537</v>
      </c>
      <c r="AG166" s="41">
        <f>N166/'1. Väestöennuste'!P166*1000</f>
        <v>27.98631258630785</v>
      </c>
      <c r="AH166" s="41">
        <f>O166/'1. Väestöennuste'!Q166*1000</f>
        <v>27.925851168005643</v>
      </c>
      <c r="AI166" s="41">
        <f>P166/'1. Väestöennuste'!R166*1000</f>
        <v>27.870800577600793</v>
      </c>
    </row>
    <row r="167" spans="1:35" x14ac:dyDescent="0.2">
      <c r="A167" s="34">
        <v>500</v>
      </c>
      <c r="B167" s="88" t="s">
        <v>481</v>
      </c>
      <c r="C167" s="46">
        <v>220</v>
      </c>
      <c r="D167" s="46">
        <v>258</v>
      </c>
      <c r="E167" s="46">
        <v>1031</v>
      </c>
      <c r="F167" s="46">
        <v>654</v>
      </c>
      <c r="G167" s="70">
        <v>328</v>
      </c>
      <c r="H167" s="41">
        <v>1206</v>
      </c>
      <c r="I167" s="165">
        <v>2880.7991400000001</v>
      </c>
      <c r="J167" s="41">
        <v>1642.72676</v>
      </c>
      <c r="K167" s="41">
        <v>2173.4605299999998</v>
      </c>
      <c r="L167" s="41">
        <f t="shared" si="13"/>
        <v>2167.2381610160528</v>
      </c>
      <c r="M167" s="41">
        <f t="shared" si="13"/>
        <v>2161.0638352352403</v>
      </c>
      <c r="N167" s="41">
        <f t="shared" si="12"/>
        <v>2154.9347367497644</v>
      </c>
      <c r="O167" s="41">
        <f t="shared" si="12"/>
        <v>2148.8465941582031</v>
      </c>
      <c r="P167" s="41">
        <f t="shared" si="12"/>
        <v>2142.7407888057419</v>
      </c>
      <c r="T167" s="34">
        <v>500</v>
      </c>
      <c r="U167" s="88" t="s">
        <v>481</v>
      </c>
      <c r="V167" s="41">
        <f>C167/'1. Väestöennuste'!E167*1000</f>
        <v>22.469614952507406</v>
      </c>
      <c r="W167" s="41">
        <f>D167/'1. Väestöennuste'!F167*1000</f>
        <v>25.953123428226537</v>
      </c>
      <c r="X167" s="41">
        <f>E167/'1. Väestöennuste'!G167*1000</f>
        <v>102.10953748638208</v>
      </c>
      <c r="Y167" s="41">
        <f>F167/'1. Väestöennuste'!H167*1000</f>
        <v>64.306784660766965</v>
      </c>
      <c r="Z167" s="41">
        <f>G167/'1. Väestöennuste'!I167*1000</f>
        <v>32.270759543486811</v>
      </c>
      <c r="AA167" s="41">
        <f>H167/'1. Väestöennuste'!J167*1000</f>
        <v>117.46371871043149</v>
      </c>
      <c r="AB167" s="41">
        <f>I167/'1. Väestöennuste'!K167*1000</f>
        <v>276.30914444657589</v>
      </c>
      <c r="AC167" s="41">
        <f>J167/'1. Väestöennuste'!L167*1000</f>
        <v>156.65904634751095</v>
      </c>
      <c r="AD167" s="41">
        <f>K167/'1. Väestöennuste'!M167*1000</f>
        <v>205.99569045588095</v>
      </c>
      <c r="AE167" s="41">
        <f>L167/'1. Väestöennuste'!N167*1000</f>
        <v>203.89859450710819</v>
      </c>
      <c r="AF167" s="41">
        <f>M167/'1. Väestöennuste'!O167*1000</f>
        <v>201.96858273226545</v>
      </c>
      <c r="AG167" s="41">
        <f>N167/'1. Väestöennuste'!P167*1000</f>
        <v>200.21692248906109</v>
      </c>
      <c r="AH167" s="41">
        <f>O167/'1. Väestöennuste'!Q167*1000</f>
        <v>198.61785693300703</v>
      </c>
      <c r="AI167" s="41">
        <f>P167/'1. Väestöennuste'!R167*1000</f>
        <v>197.14240397513495</v>
      </c>
    </row>
    <row r="168" spans="1:35" x14ac:dyDescent="0.2">
      <c r="A168" s="34">
        <v>503</v>
      </c>
      <c r="B168" s="88" t="s">
        <v>482</v>
      </c>
      <c r="C168" s="46">
        <v>2178</v>
      </c>
      <c r="D168" s="46">
        <v>2325</v>
      </c>
      <c r="E168" s="46">
        <v>3528</v>
      </c>
      <c r="F168" s="46">
        <v>3805</v>
      </c>
      <c r="G168" s="70">
        <v>2289</v>
      </c>
      <c r="H168" s="41">
        <v>3521</v>
      </c>
      <c r="I168" s="165">
        <v>4048.3956000000003</v>
      </c>
      <c r="J168" s="41">
        <v>2193.1911399999999</v>
      </c>
      <c r="K168" s="41">
        <v>1458.1574900000001</v>
      </c>
      <c r="L168" s="41">
        <f t="shared" si="13"/>
        <v>1453.9829518318347</v>
      </c>
      <c r="M168" s="41">
        <f t="shared" si="13"/>
        <v>1449.8406454689066</v>
      </c>
      <c r="N168" s="41">
        <f t="shared" si="12"/>
        <v>1445.728681740932</v>
      </c>
      <c r="O168" s="41">
        <f t="shared" si="12"/>
        <v>1441.6441949984589</v>
      </c>
      <c r="P168" s="41">
        <f t="shared" si="12"/>
        <v>1437.5478584493092</v>
      </c>
      <c r="T168" s="34">
        <v>503</v>
      </c>
      <c r="U168" s="88" t="s">
        <v>482</v>
      </c>
      <c r="V168" s="41">
        <f>C168/'1. Väestöennuste'!E168*1000</f>
        <v>277.13449548288588</v>
      </c>
      <c r="W168" s="41">
        <f>D168/'1. Väestöennuste'!F168*1000</f>
        <v>296.48048967100232</v>
      </c>
      <c r="X168" s="41">
        <f>E168/'1. Väestöennuste'!G168*1000</f>
        <v>450.11482521051289</v>
      </c>
      <c r="Y168" s="41">
        <f>F168/'1. Väestöennuste'!H168*1000</f>
        <v>489.95621941797577</v>
      </c>
      <c r="Z168" s="41">
        <f>G168/'1. Väestöennuste'!I168*1000</f>
        <v>299.05931539064539</v>
      </c>
      <c r="AA168" s="41">
        <f>H168/'1. Väestöennuste'!J168*1000</f>
        <v>460.56245912361021</v>
      </c>
      <c r="AB168" s="41">
        <f>I168/'1. Väestöennuste'!K168*1000</f>
        <v>533.10450355543855</v>
      </c>
      <c r="AC168" s="41">
        <f>J168/'1. Väestöennuste'!L168*1000</f>
        <v>290.91273909006497</v>
      </c>
      <c r="AD168" s="41">
        <f>K168/'1. Väestöennuste'!M168*1000</f>
        <v>194.03293280106453</v>
      </c>
      <c r="AE168" s="41">
        <f>L168/'1. Väestöennuste'!N168*1000</f>
        <v>194.87775791875549</v>
      </c>
      <c r="AF168" s="41">
        <f>M168/'1. Väestöennuste'!O168*1000</f>
        <v>195.34366012785051</v>
      </c>
      <c r="AG168" s="41">
        <f>N168/'1. Väestöennuste'!P168*1000</f>
        <v>195.76556286268541</v>
      </c>
      <c r="AH168" s="41">
        <f>O168/'1. Väestöennuste'!Q168*1000</f>
        <v>196.11538498142551</v>
      </c>
      <c r="AI168" s="41">
        <f>P168/'1. Väestöennuste'!R168*1000</f>
        <v>196.49369306305485</v>
      </c>
    </row>
    <row r="169" spans="1:35" x14ac:dyDescent="0.2">
      <c r="A169" s="34">
        <v>504</v>
      </c>
      <c r="B169" s="88" t="s">
        <v>483</v>
      </c>
      <c r="C169" s="46">
        <v>605</v>
      </c>
      <c r="D169" s="46">
        <v>1811</v>
      </c>
      <c r="E169" s="46">
        <v>1372</v>
      </c>
      <c r="F169" s="46">
        <v>831</v>
      </c>
      <c r="G169" s="70">
        <v>1453</v>
      </c>
      <c r="H169" s="41">
        <v>1231</v>
      </c>
      <c r="I169" s="165">
        <v>1439.86142</v>
      </c>
      <c r="J169" s="41">
        <v>592.55488000000003</v>
      </c>
      <c r="K169" s="41">
        <v>532.78426000000002</v>
      </c>
      <c r="L169" s="41">
        <f t="shared" si="13"/>
        <v>531.25895958216404</v>
      </c>
      <c r="M169" s="41">
        <f t="shared" si="13"/>
        <v>529.74543608048384</v>
      </c>
      <c r="N169" s="41">
        <f t="shared" si="12"/>
        <v>528.24299922645389</v>
      </c>
      <c r="O169" s="41">
        <f t="shared" si="12"/>
        <v>526.75060196381776</v>
      </c>
      <c r="P169" s="41">
        <f t="shared" si="12"/>
        <v>525.25387499706903</v>
      </c>
      <c r="T169" s="34">
        <v>504</v>
      </c>
      <c r="U169" s="88" t="s">
        <v>483</v>
      </c>
      <c r="V169" s="41">
        <f>C169/'1. Väestöennuste'!E169*1000</f>
        <v>307.26256983240222</v>
      </c>
      <c r="W169" s="41">
        <f>D169/'1. Väestöennuste'!F169*1000</f>
        <v>911.88318227593152</v>
      </c>
      <c r="X169" s="41">
        <f>E169/'1. Väestöennuste'!G169*1000</f>
        <v>696.80040629761299</v>
      </c>
      <c r="Y169" s="41">
        <f>F169/'1. Väestöennuste'!H169*1000</f>
        <v>432.36212278876167</v>
      </c>
      <c r="Z169" s="41">
        <f>G169/'1. Väestöennuste'!I169*1000</f>
        <v>772.05100956429328</v>
      </c>
      <c r="AA169" s="41">
        <f>H169/'1. Väestöennuste'!J169*1000</f>
        <v>657.93693212185997</v>
      </c>
      <c r="AB169" s="41">
        <f>I169/'1. Väestöennuste'!K169*1000</f>
        <v>792.87523127753298</v>
      </c>
      <c r="AC169" s="41">
        <f>J169/'1. Väestöennuste'!L169*1000</f>
        <v>335.91546485260773</v>
      </c>
      <c r="AD169" s="41">
        <f>K169/'1. Väestöennuste'!M169*1000</f>
        <v>310.66137609329445</v>
      </c>
      <c r="AE169" s="41">
        <f>L169/'1. Väestöennuste'!N169*1000</f>
        <v>296.79271485037094</v>
      </c>
      <c r="AF169" s="41">
        <f>M169/'1. Väestöennuste'!O169*1000</f>
        <v>298.78479192356679</v>
      </c>
      <c r="AG169" s="41">
        <f>N169/'1. Väestöennuste'!P169*1000</f>
        <v>300.82175354581659</v>
      </c>
      <c r="AH169" s="41">
        <f>O169/'1. Väestöennuste'!Q169*1000</f>
        <v>301.86280914831963</v>
      </c>
      <c r="AI169" s="41">
        <f>P169/'1. Väestöennuste'!R169*1000</f>
        <v>302.91457612287718</v>
      </c>
    </row>
    <row r="170" spans="1:35" x14ac:dyDescent="0.2">
      <c r="A170" s="34">
        <v>505</v>
      </c>
      <c r="B170" s="88" t="s">
        <v>484</v>
      </c>
      <c r="C170" s="46">
        <v>67</v>
      </c>
      <c r="D170" s="46">
        <v>337</v>
      </c>
      <c r="E170" s="46">
        <v>52</v>
      </c>
      <c r="F170" s="46">
        <v>45</v>
      </c>
      <c r="G170" s="70">
        <v>165</v>
      </c>
      <c r="H170" s="41">
        <v>11814</v>
      </c>
      <c r="I170" s="165">
        <v>7571.9067100000002</v>
      </c>
      <c r="J170" s="41">
        <v>4683.2239900000004</v>
      </c>
      <c r="K170" s="41">
        <v>2984.6104700000001</v>
      </c>
      <c r="L170" s="41">
        <f t="shared" si="13"/>
        <v>2976.0658714847045</v>
      </c>
      <c r="M170" s="41">
        <f t="shared" si="13"/>
        <v>2967.5872462158095</v>
      </c>
      <c r="N170" s="41">
        <f t="shared" si="12"/>
        <v>2959.1707273699794</v>
      </c>
      <c r="O170" s="41">
        <f t="shared" si="12"/>
        <v>2950.8104494303439</v>
      </c>
      <c r="P170" s="41">
        <f t="shared" si="12"/>
        <v>2942.4259168698482</v>
      </c>
      <c r="T170" s="34">
        <v>505</v>
      </c>
      <c r="U170" s="88" t="s">
        <v>484</v>
      </c>
      <c r="V170" s="41">
        <f>C170/'1. Väestöennuste'!E170*1000</f>
        <v>3.2390621223108531</v>
      </c>
      <c r="W170" s="41">
        <f>D170/'1. Väestöennuste'!F170*1000</f>
        <v>16.160744257420994</v>
      </c>
      <c r="X170" s="41">
        <f>E170/'1. Väestöennuste'!G170*1000</f>
        <v>2.49963947507571</v>
      </c>
      <c r="Y170" s="41">
        <f>F170/'1. Väestöennuste'!H170*1000</f>
        <v>2.1753843178961616</v>
      </c>
      <c r="Z170" s="41">
        <f>G170/'1. Väestöennuste'!I170*1000</f>
        <v>7.9629361517301289</v>
      </c>
      <c r="AA170" s="41">
        <f>H170/'1. Väestöennuste'!J170*1000</f>
        <v>568.44536399942263</v>
      </c>
      <c r="AB170" s="41">
        <f>I170/'1. Väestöennuste'!K170*1000</f>
        <v>363.38756586840714</v>
      </c>
      <c r="AC170" s="41">
        <f>J170/'1. Väestöennuste'!L170*1000</f>
        <v>223.94911964422343</v>
      </c>
      <c r="AD170" s="41">
        <f>K170/'1. Väestöennuste'!M170*1000</f>
        <v>142.41592164909099</v>
      </c>
      <c r="AE170" s="41">
        <f>L170/'1. Väestöennuste'!N170*1000</f>
        <v>142.4636606742319</v>
      </c>
      <c r="AF170" s="41">
        <f>M170/'1. Väestöennuste'!O170*1000</f>
        <v>141.80662523131883</v>
      </c>
      <c r="AG170" s="41">
        <f>N170/'1. Väestöennuste'!P170*1000</f>
        <v>141.11448389937908</v>
      </c>
      <c r="AH170" s="41">
        <f>O170/'1. Väestöennuste'!Q170*1000</f>
        <v>140.4412188582335</v>
      </c>
      <c r="AI170" s="41">
        <f>P170/'1. Väestöennuste'!R170*1000</f>
        <v>139.79598616827479</v>
      </c>
    </row>
    <row r="171" spans="1:35" x14ac:dyDescent="0.2">
      <c r="A171" s="34">
        <v>507</v>
      </c>
      <c r="B171" s="88" t="s">
        <v>485</v>
      </c>
      <c r="C171" s="46">
        <v>1682</v>
      </c>
      <c r="D171" s="46">
        <v>1365</v>
      </c>
      <c r="E171" s="46">
        <v>2639</v>
      </c>
      <c r="F171" s="46">
        <v>763</v>
      </c>
      <c r="G171" s="70">
        <v>3773</v>
      </c>
      <c r="H171" s="41">
        <v>3352</v>
      </c>
      <c r="I171" s="165">
        <v>4214.9367599999996</v>
      </c>
      <c r="J171" s="41">
        <v>5397.5991900000008</v>
      </c>
      <c r="K171" s="41">
        <v>5927.5320499999998</v>
      </c>
      <c r="L171" s="41">
        <f t="shared" si="13"/>
        <v>5910.5622034947719</v>
      </c>
      <c r="M171" s="41">
        <v>7104.4299877144867</v>
      </c>
      <c r="N171" s="41">
        <f t="shared" si="12"/>
        <v>7084.2807675165877</v>
      </c>
      <c r="O171" s="41">
        <f t="shared" si="12"/>
        <v>7064.2661885431426</v>
      </c>
      <c r="P171" s="41">
        <f t="shared" si="12"/>
        <v>7044.1935437938719</v>
      </c>
      <c r="T171" s="34">
        <v>507</v>
      </c>
      <c r="U171" s="88" t="s">
        <v>485</v>
      </c>
      <c r="V171" s="41">
        <f>C171/'1. Väestöennuste'!E171*1000</f>
        <v>273.096281863939</v>
      </c>
      <c r="W171" s="41">
        <f>D171/'1. Väestöennuste'!F171*1000</f>
        <v>223.88059701492537</v>
      </c>
      <c r="X171" s="41">
        <f>E171/'1. Väestöennuste'!G171*1000</f>
        <v>435.91014205483981</v>
      </c>
      <c r="Y171" s="41">
        <f>F171/'1. Väestöennuste'!H171*1000</f>
        <v>128.7981093855503</v>
      </c>
      <c r="Z171" s="41">
        <f>G171/'1. Väestöennuste'!I171*1000</f>
        <v>651.52823346572268</v>
      </c>
      <c r="AA171" s="41">
        <f>H171/'1. Väestöennuste'!J171*1000</f>
        <v>590.55673009161376</v>
      </c>
      <c r="AB171" s="41">
        <f>I171/'1. Väestöennuste'!K171*1000</f>
        <v>747.99232653061222</v>
      </c>
      <c r="AC171" s="41">
        <f>J171/'1. Väestöennuste'!L171*1000</f>
        <v>970.09331236520507</v>
      </c>
      <c r="AD171" s="41">
        <f>K171/'1. Väestöennuste'!M171*1000</f>
        <v>1073.4393426294819</v>
      </c>
      <c r="AE171" s="41">
        <f>L171/'1. Väestöennuste'!N171*1000</f>
        <v>1098.6175099432662</v>
      </c>
      <c r="AF171" s="41">
        <f>M171/'1. Väestöennuste'!O171*1000</f>
        <v>1038.8112279155559</v>
      </c>
      <c r="AG171" s="41">
        <f>N171/'1. Väestöennuste'!P171*1000</f>
        <v>1048.1255759012558</v>
      </c>
      <c r="AH171" s="41">
        <f>O171/'1. Väestöennuste'!Q171*1000</f>
        <v>1056.8920090579209</v>
      </c>
      <c r="AI171" s="41">
        <f>P171/'1. Väestöennuste'!R171*1000</f>
        <v>1065.0428702440086</v>
      </c>
    </row>
    <row r="172" spans="1:35" x14ac:dyDescent="0.2">
      <c r="A172" s="34">
        <v>508</v>
      </c>
      <c r="B172" s="88" t="s">
        <v>486</v>
      </c>
      <c r="C172" s="46">
        <v>277</v>
      </c>
      <c r="D172" s="46">
        <v>2733</v>
      </c>
      <c r="E172" s="46">
        <v>1254</v>
      </c>
      <c r="F172" s="46">
        <v>2212</v>
      </c>
      <c r="G172" s="70">
        <v>12291</v>
      </c>
      <c r="H172" s="41">
        <v>5585</v>
      </c>
      <c r="I172" s="165">
        <v>4600.3344000000006</v>
      </c>
      <c r="J172" s="41">
        <v>3536.4909199999997</v>
      </c>
      <c r="K172" s="41">
        <v>2317.6357899999998</v>
      </c>
      <c r="L172" s="41">
        <f t="shared" si="13"/>
        <v>2311.0006637316701</v>
      </c>
      <c r="M172" s="41">
        <f t="shared" si="13"/>
        <v>2304.4167675848507</v>
      </c>
      <c r="N172" s="41">
        <f t="shared" si="12"/>
        <v>2297.8810988601126</v>
      </c>
      <c r="O172" s="41">
        <f t="shared" si="12"/>
        <v>2291.3891028150651</v>
      </c>
      <c r="P172" s="41">
        <f t="shared" si="12"/>
        <v>2284.8782723599857</v>
      </c>
      <c r="T172" s="34">
        <v>508</v>
      </c>
      <c r="U172" s="88" t="s">
        <v>486</v>
      </c>
      <c r="V172" s="41">
        <f>C172/'1. Väestöennuste'!E172*1000</f>
        <v>26.122218030931727</v>
      </c>
      <c r="W172" s="41">
        <f>D172/'1. Väestöennuste'!F172*1000</f>
        <v>261.58116385911177</v>
      </c>
      <c r="X172" s="41">
        <f>E172/'1. Väestöennuste'!G172*1000</f>
        <v>122.26989079563182</v>
      </c>
      <c r="Y172" s="41">
        <f>F172/'1. Väestöennuste'!H172*1000</f>
        <v>221.57668035660623</v>
      </c>
      <c r="Z172" s="41">
        <f>G172/'1. Väestöennuste'!I172*1000</f>
        <v>1247.1841704718415</v>
      </c>
      <c r="AA172" s="41">
        <f>H172/'1. Väestöennuste'!J172*1000</f>
        <v>577.38033702057271</v>
      </c>
      <c r="AB172" s="41">
        <f>I172/'1. Väestöennuste'!K172*1000</f>
        <v>481.05556833629618</v>
      </c>
      <c r="AC172" s="41">
        <f>J172/'1. Väestöennuste'!L172*1000</f>
        <v>377.83022649572644</v>
      </c>
      <c r="AD172" s="41">
        <f>K172/'1. Väestöennuste'!M172*1000</f>
        <v>249.98768094056734</v>
      </c>
      <c r="AE172" s="41">
        <f>L172/'1. Väestöennuste'!N172*1000</f>
        <v>257.95297061409423</v>
      </c>
      <c r="AF172" s="41">
        <f>M172/'1. Väestöennuste'!O172*1000</f>
        <v>261.4792655832124</v>
      </c>
      <c r="AG172" s="41">
        <f>N172/'1. Väestöennuste'!P172*1000</f>
        <v>264.85489843938598</v>
      </c>
      <c r="AH172" s="41">
        <f>O172/'1. Väestöennuste'!Q172*1000</f>
        <v>268.12416368067693</v>
      </c>
      <c r="AI172" s="41">
        <f>P172/'1. Väestöennuste'!R172*1000</f>
        <v>271.20216882611101</v>
      </c>
    </row>
    <row r="173" spans="1:35" x14ac:dyDescent="0.2">
      <c r="A173" s="34">
        <v>529</v>
      </c>
      <c r="B173" s="88" t="s">
        <v>487</v>
      </c>
      <c r="C173" s="46">
        <v>1554</v>
      </c>
      <c r="D173" s="46">
        <v>696</v>
      </c>
      <c r="E173" s="46">
        <v>1231</v>
      </c>
      <c r="F173" s="46">
        <v>2264</v>
      </c>
      <c r="G173" s="70">
        <v>1212</v>
      </c>
      <c r="H173" s="41">
        <v>8430</v>
      </c>
      <c r="I173" s="165">
        <v>9687.4079199999996</v>
      </c>
      <c r="J173" s="41">
        <v>7617.9479000000001</v>
      </c>
      <c r="K173" s="41">
        <v>7236.7458899999992</v>
      </c>
      <c r="L173" s="41">
        <f t="shared" si="13"/>
        <v>7216.0279139663417</v>
      </c>
      <c r="M173" s="41">
        <f t="shared" si="13"/>
        <v>7195.4699023985786</v>
      </c>
      <c r="N173" s="41">
        <f t="shared" si="12"/>
        <v>7175.0624794608484</v>
      </c>
      <c r="O173" s="41">
        <f t="shared" si="12"/>
        <v>7154.7914231112691</v>
      </c>
      <c r="P173" s="41">
        <f t="shared" si="12"/>
        <v>7134.4615569003727</v>
      </c>
      <c r="T173" s="34">
        <v>529</v>
      </c>
      <c r="U173" s="88" t="s">
        <v>487</v>
      </c>
      <c r="V173" s="41">
        <f>C173/'1. Väestöennuste'!E173*1000</f>
        <v>81.957702652813666</v>
      </c>
      <c r="W173" s="41">
        <f>D173/'1. Väestöennuste'!F173*1000</f>
        <v>36.500943989930775</v>
      </c>
      <c r="X173" s="41">
        <f>E173/'1. Väestöennuste'!G173*1000</f>
        <v>64.224970000521722</v>
      </c>
      <c r="Y173" s="41">
        <f>F173/'1. Väestöennuste'!H173*1000</f>
        <v>117.64094570018187</v>
      </c>
      <c r="Z173" s="41">
        <f>G173/'1. Väestöennuste'!I173*1000</f>
        <v>62.752407579993786</v>
      </c>
      <c r="AA173" s="41">
        <f>H173/'1. Väestöennuste'!J173*1000</f>
        <v>433.93215627734594</v>
      </c>
      <c r="AB173" s="41">
        <f>I173/'1. Väestöennuste'!K173*1000</f>
        <v>494.78563358700643</v>
      </c>
      <c r="AC173" s="41">
        <f>J173/'1. Väestöennuste'!L173*1000</f>
        <v>383.77571284634757</v>
      </c>
      <c r="AD173" s="41">
        <f>K173/'1. Väestöennuste'!M173*1000</f>
        <v>361.85538726936346</v>
      </c>
      <c r="AE173" s="41">
        <f>L173/'1. Väestöennuste'!N173*1000</f>
        <v>365.83157992224801</v>
      </c>
      <c r="AF173" s="41">
        <f>M173/'1. Väestöennuste'!O173*1000</f>
        <v>363.40757082821102</v>
      </c>
      <c r="AG173" s="41">
        <f>N173/'1. Väestöennuste'!P173*1000</f>
        <v>361.04576457811345</v>
      </c>
      <c r="AH173" s="41">
        <f>O173/'1. Väestöennuste'!Q173*1000</f>
        <v>358.78003325199427</v>
      </c>
      <c r="AI173" s="41">
        <f>P173/'1. Väestöennuste'!R173*1000</f>
        <v>356.58044566675193</v>
      </c>
    </row>
    <row r="174" spans="1:35" x14ac:dyDescent="0.2">
      <c r="A174" s="34">
        <v>531</v>
      </c>
      <c r="B174" s="88" t="s">
        <v>488</v>
      </c>
      <c r="C174" s="46">
        <v>3105</v>
      </c>
      <c r="D174" s="46">
        <v>3965</v>
      </c>
      <c r="E174" s="46">
        <v>2217</v>
      </c>
      <c r="F174" s="46">
        <v>4002</v>
      </c>
      <c r="G174" s="70">
        <v>3905</v>
      </c>
      <c r="H174" s="41">
        <v>4065</v>
      </c>
      <c r="I174" s="165">
        <v>4910.7854200000002</v>
      </c>
      <c r="J174" s="41">
        <v>6472.37003</v>
      </c>
      <c r="K174" s="41">
        <v>5378.1331500000006</v>
      </c>
      <c r="L174" s="41">
        <f t="shared" si="13"/>
        <v>5362.7361697272108</v>
      </c>
      <c r="M174" s="41">
        <f t="shared" si="13"/>
        <v>5347.4580702621661</v>
      </c>
      <c r="N174" s="41">
        <f t="shared" si="12"/>
        <v>5332.2918837640136</v>
      </c>
      <c r="O174" s="41">
        <f t="shared" si="12"/>
        <v>5317.2270408364984</v>
      </c>
      <c r="P174" s="41">
        <f t="shared" si="12"/>
        <v>5302.1184921786034</v>
      </c>
      <c r="T174" s="34">
        <v>531</v>
      </c>
      <c r="U174" s="88" t="s">
        <v>488</v>
      </c>
      <c r="V174" s="41">
        <f>C174/'1. Väestöennuste'!E174*1000</f>
        <v>549.46027251813837</v>
      </c>
      <c r="W174" s="41">
        <f>D174/'1. Väestöennuste'!F174*1000</f>
        <v>714.67195385724585</v>
      </c>
      <c r="X174" s="41">
        <f>E174/'1. Väestöennuste'!G174*1000</f>
        <v>401.55768882448831</v>
      </c>
      <c r="Y174" s="41">
        <f>F174/'1. Väestöennuste'!H174*1000</f>
        <v>736.06768438477104</v>
      </c>
      <c r="Z174" s="41">
        <f>G174/'1. Väestöennuste'!I174*1000</f>
        <v>732.78288609495212</v>
      </c>
      <c r="AA174" s="41">
        <f>H174/'1. Väestöennuste'!J174*1000</f>
        <v>773.40182648401822</v>
      </c>
      <c r="AB174" s="41">
        <f>I174/'1. Väestöennuste'!K174*1000</f>
        <v>950.0455445927646</v>
      </c>
      <c r="AC174" s="41">
        <f>J174/'1. Väestöennuste'!L174*1000</f>
        <v>1276.0981920347003</v>
      </c>
      <c r="AD174" s="41">
        <f>K174/'1. Väestöennuste'!M174*1000</f>
        <v>1082.9909685863877</v>
      </c>
      <c r="AE174" s="41">
        <f>L174/'1. Väestöennuste'!N174*1000</f>
        <v>1077.5037512009667</v>
      </c>
      <c r="AF174" s="41">
        <f>M174/'1. Väestöennuste'!O174*1000</f>
        <v>1089.7611718488213</v>
      </c>
      <c r="AG174" s="41">
        <f>N174/'1. Väestöennuste'!P174*1000</f>
        <v>1101.7131991247961</v>
      </c>
      <c r="AH174" s="41">
        <f>O174/'1. Väestöennuste'!Q174*1000</f>
        <v>1113.3222447312601</v>
      </c>
      <c r="AI174" s="41">
        <f>P174/'1. Väestöennuste'!R174*1000</f>
        <v>1124.998619176449</v>
      </c>
    </row>
    <row r="175" spans="1:35" x14ac:dyDescent="0.2">
      <c r="A175" s="34">
        <v>535</v>
      </c>
      <c r="B175" s="88" t="s">
        <v>489</v>
      </c>
      <c r="C175" s="46">
        <v>15606</v>
      </c>
      <c r="D175" s="46">
        <v>16859</v>
      </c>
      <c r="E175" s="46">
        <v>17945</v>
      </c>
      <c r="F175" s="46">
        <v>17633</v>
      </c>
      <c r="G175" s="70">
        <v>20353</v>
      </c>
      <c r="H175" s="41">
        <v>23527</v>
      </c>
      <c r="I175" s="165">
        <v>19545.469570000001</v>
      </c>
      <c r="J175" s="41">
        <v>19952.534339999998</v>
      </c>
      <c r="K175" s="41">
        <v>21331.771339999999</v>
      </c>
      <c r="L175" s="41">
        <f t="shared" ref="L175:M194" si="14">K175*L$8</f>
        <v>21270.700917727983</v>
      </c>
      <c r="M175" s="41">
        <f t="shared" si="14"/>
        <v>21210.10202305426</v>
      </c>
      <c r="N175" s="41">
        <f t="shared" si="12"/>
        <v>21149.947018807408</v>
      </c>
      <c r="O175" s="41">
        <f t="shared" si="12"/>
        <v>21090.193982644148</v>
      </c>
      <c r="P175" s="41">
        <f t="shared" si="12"/>
        <v>21030.267592526889</v>
      </c>
      <c r="T175" s="34">
        <v>535</v>
      </c>
      <c r="U175" s="88" t="s">
        <v>489</v>
      </c>
      <c r="V175" s="41">
        <f>C175/'1. Väestöennuste'!E175*1000</f>
        <v>1434.9025376976829</v>
      </c>
      <c r="W175" s="41">
        <f>D175/'1. Väestöennuste'!F175*1000</f>
        <v>1548.2597116355955</v>
      </c>
      <c r="X175" s="41">
        <f>E175/'1. Väestöennuste'!G175*1000</f>
        <v>1659.2695330559409</v>
      </c>
      <c r="Y175" s="41">
        <f>F175/'1. Väestöennuste'!H175*1000</f>
        <v>1642.2650647294404</v>
      </c>
      <c r="Z175" s="41">
        <f>G175/'1. Väestöennuste'!I175*1000</f>
        <v>1913.0557383212708</v>
      </c>
      <c r="AA175" s="41">
        <f>H175/'1. Väestöennuste'!J175*1000</f>
        <v>2240.666666666667</v>
      </c>
      <c r="AB175" s="41">
        <f>I175/'1. Väestöennuste'!K175*1000</f>
        <v>1880.0951875721432</v>
      </c>
      <c r="AC175" s="41">
        <f>J175/'1. Väestöennuste'!L175*1000</f>
        <v>1915.0143334293118</v>
      </c>
      <c r="AD175" s="41">
        <f>K175/'1. Väestöennuste'!M175*1000</f>
        <v>2040.5367648746892</v>
      </c>
      <c r="AE175" s="41">
        <f>L175/'1. Väestöennuste'!N175*1000</f>
        <v>2113.7534450688645</v>
      </c>
      <c r="AF175" s="41">
        <f>M175/'1. Väestöennuste'!O175*1000</f>
        <v>2130.1699330174006</v>
      </c>
      <c r="AG175" s="41">
        <f>N175/'1. Väestöennuste'!P175*1000</f>
        <v>2147.8569126441971</v>
      </c>
      <c r="AH175" s="41">
        <f>O175/'1. Väestöennuste'!Q175*1000</f>
        <v>2165.9847984640182</v>
      </c>
      <c r="AI175" s="41">
        <f>P175/'1. Väestöennuste'!R175*1000</f>
        <v>2184.0552074490483</v>
      </c>
    </row>
    <row r="176" spans="1:35" x14ac:dyDescent="0.2">
      <c r="A176" s="34">
        <v>536</v>
      </c>
      <c r="B176" s="88" t="s">
        <v>490</v>
      </c>
      <c r="C176" s="46">
        <v>16257</v>
      </c>
      <c r="D176" s="46">
        <v>23931</v>
      </c>
      <c r="E176" s="46">
        <v>24122</v>
      </c>
      <c r="F176" s="46">
        <v>34370</v>
      </c>
      <c r="G176" s="70">
        <v>26656</v>
      </c>
      <c r="H176" s="41">
        <v>42899</v>
      </c>
      <c r="I176" s="165">
        <v>39521.352079999997</v>
      </c>
      <c r="J176" s="41">
        <v>41525.489159999997</v>
      </c>
      <c r="K176" s="41">
        <v>19806.808829999998</v>
      </c>
      <c r="L176" s="41">
        <f t="shared" si="14"/>
        <v>19750.104201029921</v>
      </c>
      <c r="M176" s="41">
        <f t="shared" si="14"/>
        <v>19693.837391163033</v>
      </c>
      <c r="N176" s="41">
        <f t="shared" si="12"/>
        <v>19637.982738949926</v>
      </c>
      <c r="O176" s="41">
        <f t="shared" si="12"/>
        <v>19582.501318985589</v>
      </c>
      <c r="P176" s="41">
        <f t="shared" si="12"/>
        <v>19526.858937769037</v>
      </c>
      <c r="T176" s="34">
        <v>536</v>
      </c>
      <c r="U176" s="88" t="s">
        <v>490</v>
      </c>
      <c r="V176" s="41">
        <f>C176/'1. Väestöennuste'!E176*1000</f>
        <v>490.22978107472409</v>
      </c>
      <c r="W176" s="41">
        <f>D176/'1. Väestöennuste'!F176*1000</f>
        <v>720.59620596205968</v>
      </c>
      <c r="X176" s="41">
        <f>E176/'1. Väestöennuste'!G176*1000</f>
        <v>723.90612808354842</v>
      </c>
      <c r="Y176" s="41">
        <f>F176/'1. Väestöennuste'!H176*1000</f>
        <v>1025.1439138604708</v>
      </c>
      <c r="Z176" s="41">
        <f>G176/'1. Väestöennuste'!I176*1000</f>
        <v>785.64060243449546</v>
      </c>
      <c r="AA176" s="41">
        <f>H176/'1. Väestöennuste'!J176*1000</f>
        <v>1244.3148857176006</v>
      </c>
      <c r="AB176" s="41">
        <f>I176/'1. Väestöennuste'!K176*1000</f>
        <v>1132.9363628024309</v>
      </c>
      <c r="AC176" s="41">
        <f>J176/'1. Väestöennuste'!L176*1000</f>
        <v>1174.8285282634527</v>
      </c>
      <c r="AD176" s="41">
        <f>K176/'1. Väestöennuste'!M176*1000</f>
        <v>555.6374682301456</v>
      </c>
      <c r="AE176" s="41">
        <f>L176/'1. Väestöennuste'!N176*1000</f>
        <v>556.18429177780683</v>
      </c>
      <c r="AF176" s="41">
        <f>M176/'1. Väestöennuste'!O176*1000</f>
        <v>551.16949962673971</v>
      </c>
      <c r="AG176" s="41">
        <f>N176/'1. Väestöennuste'!P176*1000</f>
        <v>546.37979909158992</v>
      </c>
      <c r="AH176" s="41">
        <f>O176/'1. Väestöennuste'!Q176*1000</f>
        <v>541.86616450332292</v>
      </c>
      <c r="AI176" s="41">
        <f>P176/'1. Väestöennuste'!R176*1000</f>
        <v>537.60417757196842</v>
      </c>
    </row>
    <row r="177" spans="1:35" x14ac:dyDescent="0.2">
      <c r="A177" s="34">
        <v>538</v>
      </c>
      <c r="B177" s="88" t="s">
        <v>491</v>
      </c>
      <c r="C177" s="46">
        <v>22</v>
      </c>
      <c r="D177" s="46">
        <v>25</v>
      </c>
      <c r="E177" s="46">
        <v>5</v>
      </c>
      <c r="F177" s="46">
        <v>4</v>
      </c>
      <c r="G177" s="70">
        <v>546</v>
      </c>
      <c r="H177" s="41">
        <v>537</v>
      </c>
      <c r="I177" s="165">
        <v>946.54112999999995</v>
      </c>
      <c r="J177" s="41">
        <v>230.3528</v>
      </c>
      <c r="K177" s="41">
        <v>9800.6934000000001</v>
      </c>
      <c r="L177" s="41">
        <f t="shared" si="14"/>
        <v>9772.6351354069302</v>
      </c>
      <c r="M177" s="41">
        <f t="shared" si="14"/>
        <v>9744.7935099924307</v>
      </c>
      <c r="N177" s="41">
        <f t="shared" si="12"/>
        <v>9717.1558261028804</v>
      </c>
      <c r="O177" s="41">
        <f t="shared" si="12"/>
        <v>9689.7028228889794</v>
      </c>
      <c r="P177" s="41">
        <f t="shared" si="12"/>
        <v>9662.1701737363619</v>
      </c>
      <c r="T177" s="34">
        <v>538</v>
      </c>
      <c r="U177" s="88" t="s">
        <v>491</v>
      </c>
      <c r="V177" s="41">
        <f>C177/'1. Väestöennuste'!E177*1000</f>
        <v>4.5276805927145505</v>
      </c>
      <c r="W177" s="41">
        <f>D177/'1. Väestöennuste'!F177*1000</f>
        <v>5.1921079958463139</v>
      </c>
      <c r="X177" s="41">
        <f>E177/'1. Väestöennuste'!G177*1000</f>
        <v>1.0388531061707873</v>
      </c>
      <c r="Y177" s="41">
        <f>F177/'1. Väestöennuste'!H177*1000</f>
        <v>0.8451299387280794</v>
      </c>
      <c r="Z177" s="41">
        <f>G177/'1. Väestöennuste'!I177*1000</f>
        <v>115.80063626723224</v>
      </c>
      <c r="AA177" s="41">
        <f>H177/'1. Väestöennuste'!J177*1000</f>
        <v>114.42574046452162</v>
      </c>
      <c r="AB177" s="41">
        <f>I177/'1. Väestöennuste'!K177*1000</f>
        <v>201.8641778630838</v>
      </c>
      <c r="AC177" s="41">
        <f>J177/'1. Väestöennuste'!L177*1000</f>
        <v>49.602239448751078</v>
      </c>
      <c r="AD177" s="41">
        <f>K177/'1. Väestöennuste'!M177*1000</f>
        <v>2087.4746325878591</v>
      </c>
      <c r="AE177" s="41">
        <f>L177/'1. Väestöennuste'!N177*1000</f>
        <v>2118.4988370706546</v>
      </c>
      <c r="AF177" s="41">
        <f>M177/'1. Väestöennuste'!O177*1000</f>
        <v>2119.8158603420557</v>
      </c>
      <c r="AG177" s="41">
        <f>N177/'1. Väestöennuste'!P177*1000</f>
        <v>2121.186602510998</v>
      </c>
      <c r="AH177" s="41">
        <f>O177/'1. Väestöennuste'!Q177*1000</f>
        <v>2121.6778679415324</v>
      </c>
      <c r="AI177" s="41">
        <f>P177/'1. Väestöennuste'!R177*1000</f>
        <v>2121.6886635345545</v>
      </c>
    </row>
    <row r="178" spans="1:35" x14ac:dyDescent="0.2">
      <c r="A178" s="34">
        <v>541</v>
      </c>
      <c r="B178" s="88" t="s">
        <v>492</v>
      </c>
      <c r="C178" s="46">
        <v>3093</v>
      </c>
      <c r="D178" s="46">
        <v>2766</v>
      </c>
      <c r="E178" s="46">
        <v>2317</v>
      </c>
      <c r="F178" s="35">
        <v>3871</v>
      </c>
      <c r="G178" s="70">
        <v>1364</v>
      </c>
      <c r="H178" s="41">
        <v>3278</v>
      </c>
      <c r="I178" s="165">
        <v>1458.0245</v>
      </c>
      <c r="J178" s="41">
        <v>1514.1114399999999</v>
      </c>
      <c r="K178" s="41">
        <v>1822.7378000000001</v>
      </c>
      <c r="L178" s="41">
        <f t="shared" si="14"/>
        <v>1817.5195100904118</v>
      </c>
      <c r="M178" s="41">
        <f t="shared" si="14"/>
        <v>1812.3415108422719</v>
      </c>
      <c r="N178" s="41">
        <f t="shared" si="12"/>
        <v>1807.2014407396878</v>
      </c>
      <c r="O178" s="41">
        <f t="shared" si="12"/>
        <v>1802.0957176403917</v>
      </c>
      <c r="P178" s="41">
        <f t="shared" si="12"/>
        <v>1796.9751819500689</v>
      </c>
      <c r="T178" s="34">
        <v>541</v>
      </c>
      <c r="U178" s="88" t="s">
        <v>492</v>
      </c>
      <c r="V178" s="41">
        <f>C178/'1. Väestöennuste'!E178*1000</f>
        <v>386.81840920460229</v>
      </c>
      <c r="W178" s="41">
        <f>D178/'1. Väestöennuste'!F178*1000</f>
        <v>273.05034550839093</v>
      </c>
      <c r="X178" s="41">
        <f>E178/'1. Väestöennuste'!G178*1000</f>
        <v>232.09456075328058</v>
      </c>
      <c r="Y178" s="41">
        <f>F178/'1. Väestöennuste'!H178*1000</f>
        <v>395.64595257563366</v>
      </c>
      <c r="Z178" s="41">
        <f>G178/'1. Väestöennuste'!I178*1000</f>
        <v>142.79731993299833</v>
      </c>
      <c r="AA178" s="41">
        <f>H178/'1. Väestöennuste'!J178*1000</f>
        <v>345.01631407220287</v>
      </c>
      <c r="AB178" s="41">
        <f>I178/'1. Väestöennuste'!K178*1000</f>
        <v>154.73039371749971</v>
      </c>
      <c r="AC178" s="41">
        <f>J178/'1. Väestöennuste'!L178*1000</f>
        <v>163.81168884561291</v>
      </c>
      <c r="AD178" s="41">
        <f>K178/'1. Väestöennuste'!M178*1000</f>
        <v>199.64269441401973</v>
      </c>
      <c r="AE178" s="41">
        <f>L178/'1. Väestöennuste'!N178*1000</f>
        <v>204.53741954652395</v>
      </c>
      <c r="AF178" s="41">
        <f>M178/'1. Väestöennuste'!O178*1000</f>
        <v>207.21947299820167</v>
      </c>
      <c r="AG178" s="41">
        <f>N178/'1. Väestöennuste'!P178*1000</f>
        <v>209.79817050611652</v>
      </c>
      <c r="AH178" s="41">
        <f>O178/'1. Väestöennuste'!Q178*1000</f>
        <v>212.26097969851492</v>
      </c>
      <c r="AI178" s="41">
        <f>P178/'1. Väestöennuste'!R178*1000</f>
        <v>214.64108718944922</v>
      </c>
    </row>
    <row r="179" spans="1:35" x14ac:dyDescent="0.2">
      <c r="A179" s="34">
        <v>543</v>
      </c>
      <c r="B179" s="88" t="s">
        <v>493</v>
      </c>
      <c r="C179" s="46">
        <v>8478</v>
      </c>
      <c r="D179" s="46">
        <v>15093</v>
      </c>
      <c r="E179" s="46">
        <v>20895</v>
      </c>
      <c r="F179" s="46">
        <v>22487</v>
      </c>
      <c r="G179" s="70">
        <v>26053</v>
      </c>
      <c r="H179" s="41">
        <v>28053</v>
      </c>
      <c r="I179" s="165">
        <v>30875.825630000003</v>
      </c>
      <c r="J179" s="41">
        <v>44952.941469999998</v>
      </c>
      <c r="K179" s="41">
        <v>27748.909159999999</v>
      </c>
      <c r="L179" s="41">
        <f t="shared" si="14"/>
        <v>27669.467205884761</v>
      </c>
      <c r="M179" s="41">
        <f t="shared" si="14"/>
        <v>27590.638626827924</v>
      </c>
      <c r="N179" s="41">
        <f t="shared" si="12"/>
        <v>27512.387471695991</v>
      </c>
      <c r="O179" s="41">
        <f t="shared" si="12"/>
        <v>27434.659206841618</v>
      </c>
      <c r="P179" s="41">
        <f t="shared" si="12"/>
        <v>27356.7054387674</v>
      </c>
      <c r="T179" s="34">
        <v>543</v>
      </c>
      <c r="U179" s="88" t="s">
        <v>493</v>
      </c>
      <c r="V179" s="41">
        <f>C179/'1. Väestöennuste'!E179*1000</f>
        <v>202.35339045755066</v>
      </c>
      <c r="W179" s="41">
        <f>D179/'1. Väestöennuste'!F179*1000</f>
        <v>359.27160199952391</v>
      </c>
      <c r="X179" s="41">
        <f>E179/'1. Väestöennuste'!G179*1000</f>
        <v>495.62371023980643</v>
      </c>
      <c r="Y179" s="41">
        <f>F179/'1. Väestöennuste'!H179*1000</f>
        <v>527.0596507676081</v>
      </c>
      <c r="Z179" s="41">
        <f>G179/'1. Väestöennuste'!I179*1000</f>
        <v>605.98236922289675</v>
      </c>
      <c r="AA179" s="41">
        <f>H179/'1. Väestöennuste'!J179*1000</f>
        <v>642.48906396720338</v>
      </c>
      <c r="AB179" s="41">
        <f>I179/'1. Väestöennuste'!K179*1000</f>
        <v>699.70371042672298</v>
      </c>
      <c r="AC179" s="41">
        <f>J179/'1. Väestöennuste'!L179*1000</f>
        <v>1011.1327875747897</v>
      </c>
      <c r="AD179" s="41">
        <f>K179/'1. Väestöennuste'!M179*1000</f>
        <v>619.60275002791104</v>
      </c>
      <c r="AE179" s="41">
        <f>L179/'1. Väestöennuste'!N179*1000</f>
        <v>612.86141591841863</v>
      </c>
      <c r="AF179" s="41">
        <f>M179/'1. Väestöennuste'!O179*1000</f>
        <v>606.54763073399408</v>
      </c>
      <c r="AG179" s="41">
        <f>N179/'1. Väestöennuste'!P179*1000</f>
        <v>600.44494700340442</v>
      </c>
      <c r="AH179" s="41">
        <f>O179/'1. Väestöennuste'!Q179*1000</f>
        <v>594.57022250534476</v>
      </c>
      <c r="AI179" s="41">
        <f>P179/'1. Väestöennuste'!R179*1000</f>
        <v>588.96220454191484</v>
      </c>
    </row>
    <row r="180" spans="1:35" x14ac:dyDescent="0.2">
      <c r="A180" s="34">
        <v>545</v>
      </c>
      <c r="B180" s="88" t="s">
        <v>494</v>
      </c>
      <c r="C180" s="46">
        <v>14500</v>
      </c>
      <c r="D180" s="46">
        <v>16369</v>
      </c>
      <c r="E180" s="46">
        <v>18085</v>
      </c>
      <c r="F180" s="46">
        <v>19745</v>
      </c>
      <c r="G180" s="70">
        <v>17891</v>
      </c>
      <c r="H180" s="41">
        <v>18869</v>
      </c>
      <c r="I180" s="165">
        <v>25751.203229999999</v>
      </c>
      <c r="J180" s="41">
        <v>26559.395619999999</v>
      </c>
      <c r="K180" s="41">
        <v>24431.017090000001</v>
      </c>
      <c r="L180" s="41">
        <f t="shared" si="14"/>
        <v>24361.073881513446</v>
      </c>
      <c r="M180" s="41">
        <f t="shared" si="14"/>
        <v>24291.670707824222</v>
      </c>
      <c r="N180" s="41">
        <f t="shared" si="12"/>
        <v>24222.775916417562</v>
      </c>
      <c r="O180" s="41">
        <f t="shared" si="12"/>
        <v>24154.341494145905</v>
      </c>
      <c r="P180" s="41">
        <f t="shared" si="12"/>
        <v>24085.708531708722</v>
      </c>
      <c r="T180" s="34">
        <v>545</v>
      </c>
      <c r="U180" s="88" t="s">
        <v>494</v>
      </c>
      <c r="V180" s="41">
        <f>C180/'1. Väestöennuste'!E180*1000</f>
        <v>1544.6894641525514</v>
      </c>
      <c r="W180" s="41">
        <f>D180/'1. Väestöennuste'!F180*1000</f>
        <v>1734.1879436380973</v>
      </c>
      <c r="X180" s="41">
        <f>E180/'1. Väestöennuste'!G180*1000</f>
        <v>1902.2825286630905</v>
      </c>
      <c r="Y180" s="41">
        <f>F180/'1. Väestöennuste'!H180*1000</f>
        <v>2084.7851335656214</v>
      </c>
      <c r="Z180" s="41">
        <f>G180/'1. Väestöennuste'!I180*1000</f>
        <v>1887.4353834792698</v>
      </c>
      <c r="AA180" s="41">
        <f>H180/'1. Väestöennuste'!J180*1000</f>
        <v>1974.1577735928017</v>
      </c>
      <c r="AB180" s="41">
        <f>I180/'1. Väestöennuste'!K180*1000</f>
        <v>2693.0770999790839</v>
      </c>
      <c r="AC180" s="41">
        <f>J180/'1. Väestöennuste'!L180*1000</f>
        <v>2771.2224144407346</v>
      </c>
      <c r="AD180" s="41">
        <f>K180/'1. Väestöennuste'!M180*1000</f>
        <v>2539.3428011641204</v>
      </c>
      <c r="AE180" s="41">
        <f>L180/'1. Väestöennuste'!N180*1000</f>
        <v>2534.4438078977782</v>
      </c>
      <c r="AF180" s="41">
        <f>M180/'1. Väestöennuste'!O180*1000</f>
        <v>2524.5968309939954</v>
      </c>
      <c r="AG180" s="41">
        <f>N180/'1. Väestöennuste'!P180*1000</f>
        <v>2515.8678766532576</v>
      </c>
      <c r="AH180" s="41">
        <f>O180/'1. Väestöennuste'!Q180*1000</f>
        <v>2507.197580874601</v>
      </c>
      <c r="AI180" s="41">
        <f>P180/'1. Väestöennuste'!R180*1000</f>
        <v>2499.0359547321768</v>
      </c>
    </row>
    <row r="181" spans="1:35" x14ac:dyDescent="0.2">
      <c r="A181" s="34">
        <v>560</v>
      </c>
      <c r="B181" s="88" t="s">
        <v>495</v>
      </c>
      <c r="C181" s="46">
        <v>3783</v>
      </c>
      <c r="D181" s="46">
        <v>6644</v>
      </c>
      <c r="E181" s="46">
        <v>6068</v>
      </c>
      <c r="F181" s="46">
        <v>3499</v>
      </c>
      <c r="G181" s="70">
        <v>3407</v>
      </c>
      <c r="H181" s="41">
        <v>11043</v>
      </c>
      <c r="I181" s="165">
        <v>5363.2504600000002</v>
      </c>
      <c r="J181" s="41">
        <v>6828.8054499999998</v>
      </c>
      <c r="K181" s="41">
        <v>5108.6026400000001</v>
      </c>
      <c r="L181" s="41">
        <f t="shared" si="14"/>
        <v>5093.9772947592264</v>
      </c>
      <c r="M181" s="41">
        <f t="shared" si="14"/>
        <v>5079.4648724958788</v>
      </c>
      <c r="N181" s="41">
        <f t="shared" si="12"/>
        <v>5065.0587545694025</v>
      </c>
      <c r="O181" s="41">
        <f t="shared" si="12"/>
        <v>5050.7489012793831</v>
      </c>
      <c r="P181" s="41">
        <f t="shared" si="12"/>
        <v>5036.3975326152786</v>
      </c>
      <c r="T181" s="34">
        <v>560</v>
      </c>
      <c r="U181" s="88" t="s">
        <v>495</v>
      </c>
      <c r="V181" s="41">
        <f>C181/'1. Väestöennuste'!E181*1000</f>
        <v>231.71628077912533</v>
      </c>
      <c r="W181" s="41">
        <f>D181/'1. Väestöennuste'!F181*1000</f>
        <v>408.13317771361881</v>
      </c>
      <c r="X181" s="41">
        <f>E181/'1. Väestöennuste'!G181*1000</f>
        <v>374.08297885457125</v>
      </c>
      <c r="Y181" s="41">
        <f>F181/'1. Väestöennuste'!H181*1000</f>
        <v>217.4507488658256</v>
      </c>
      <c r="Z181" s="41">
        <f>G181/'1. Väestöennuste'!I181*1000</f>
        <v>212.8975817034306</v>
      </c>
      <c r="AA181" s="41">
        <f>H181/'1. Väestöennuste'!J181*1000</f>
        <v>695.31545145447683</v>
      </c>
      <c r="AB181" s="41">
        <f>I181/'1. Väestöennuste'!K181*1000</f>
        <v>339.27444711538465</v>
      </c>
      <c r="AC181" s="41">
        <f>J181/'1. Väestöennuste'!L181*1000</f>
        <v>433.98827136955833</v>
      </c>
      <c r="AD181" s="41">
        <f>K181/'1. Väestöennuste'!M181*1000</f>
        <v>326.03246154828003</v>
      </c>
      <c r="AE181" s="41">
        <f>L181/'1. Väestöennuste'!N181*1000</f>
        <v>328.15675415571906</v>
      </c>
      <c r="AF181" s="41">
        <f>M181/'1. Väestöennuste'!O181*1000</f>
        <v>329.1301025397446</v>
      </c>
      <c r="AG181" s="41">
        <f>N181/'1. Väestöennuste'!P181*1000</f>
        <v>330.01425296907757</v>
      </c>
      <c r="AH181" s="41">
        <f>O181/'1. Väestöennuste'!Q181*1000</f>
        <v>330.84952844749006</v>
      </c>
      <c r="AI181" s="41">
        <f>P181/'1. Väestöennuste'!R181*1000</f>
        <v>331.69109145253418</v>
      </c>
    </row>
    <row r="182" spans="1:35" x14ac:dyDescent="0.2">
      <c r="A182" s="34">
        <v>561</v>
      </c>
      <c r="B182" s="88" t="s">
        <v>496</v>
      </c>
      <c r="C182" s="46">
        <v>142</v>
      </c>
      <c r="D182" s="46">
        <v>48</v>
      </c>
      <c r="E182" s="46">
        <v>9</v>
      </c>
      <c r="F182" s="46">
        <v>14</v>
      </c>
      <c r="G182" s="70">
        <v>3</v>
      </c>
      <c r="H182" s="41">
        <v>101</v>
      </c>
      <c r="I182" s="165">
        <v>32.805239999999998</v>
      </c>
      <c r="J182" s="41">
        <v>22.911849999999998</v>
      </c>
      <c r="K182" s="41">
        <v>13.255459999999999</v>
      </c>
      <c r="L182" s="41">
        <f t="shared" si="14"/>
        <v>13.21751113364909</v>
      </c>
      <c r="M182" s="41">
        <f t="shared" si="14"/>
        <v>13.179855272277395</v>
      </c>
      <c r="N182" s="41">
        <f t="shared" si="12"/>
        <v>13.142475242279662</v>
      </c>
      <c r="O182" s="41">
        <f t="shared" si="12"/>
        <v>13.105344993313631</v>
      </c>
      <c r="P182" s="41">
        <f t="shared" si="12"/>
        <v>13.068107023035267</v>
      </c>
      <c r="T182" s="34">
        <v>561</v>
      </c>
      <c r="U182" s="88" t="s">
        <v>496</v>
      </c>
      <c r="V182" s="41">
        <f>C182/'1. Väestöennuste'!E182*1000</f>
        <v>103.12273057371097</v>
      </c>
      <c r="W182" s="41">
        <f>D182/'1. Väestöennuste'!F182*1000</f>
        <v>35.216434336023475</v>
      </c>
      <c r="X182" s="41">
        <f>E182/'1. Väestöennuste'!G182*1000</f>
        <v>6.5123010130246017</v>
      </c>
      <c r="Y182" s="41">
        <f>F182/'1. Väestöennuste'!H182*1000</f>
        <v>10.263929618768328</v>
      </c>
      <c r="Z182" s="41">
        <f>G182/'1. Väestöennuste'!I182*1000</f>
        <v>2.2573363431151239</v>
      </c>
      <c r="AA182" s="41">
        <f>H182/'1. Väestöennuste'!J182*1000</f>
        <v>75.712143928035971</v>
      </c>
      <c r="AB182" s="41">
        <f>I182/'1. Väestöennuste'!K182*1000</f>
        <v>24.536454749439041</v>
      </c>
      <c r="AC182" s="41">
        <f>J182/'1. Väestöennuste'!L182*1000</f>
        <v>17.397000759301442</v>
      </c>
      <c r="AD182" s="41">
        <f>K182/'1. Väestöennuste'!M182*1000</f>
        <v>10.080197718631178</v>
      </c>
      <c r="AE182" s="41">
        <f>L182/'1. Väestöennuste'!N182*1000</f>
        <v>10.08970315545732</v>
      </c>
      <c r="AF182" s="41">
        <f>M182/'1. Väestöennuste'!O182*1000</f>
        <v>10.099505955768119</v>
      </c>
      <c r="AG182" s="41">
        <f>N182/'1. Väestöennuste'!P182*1000</f>
        <v>10.101825705057388</v>
      </c>
      <c r="AH182" s="41">
        <f>O182/'1. Väestöennuste'!Q182*1000</f>
        <v>10.096567791458883</v>
      </c>
      <c r="AI182" s="41">
        <f>P182/'1. Väestöennuste'!R182*1000</f>
        <v>10.091202334390166</v>
      </c>
    </row>
    <row r="183" spans="1:35" x14ac:dyDescent="0.2">
      <c r="A183" s="34">
        <v>562</v>
      </c>
      <c r="B183" s="88" t="s">
        <v>497</v>
      </c>
      <c r="C183" s="46">
        <v>3062</v>
      </c>
      <c r="D183" s="46">
        <v>4429</v>
      </c>
      <c r="E183" s="46">
        <v>6679</v>
      </c>
      <c r="F183" s="46">
        <v>3146</v>
      </c>
      <c r="G183" s="70">
        <v>2638</v>
      </c>
      <c r="H183" s="41">
        <v>6174</v>
      </c>
      <c r="I183" s="165">
        <v>3799.8210899999999</v>
      </c>
      <c r="J183" s="41">
        <v>4980.1871300000003</v>
      </c>
      <c r="K183" s="41">
        <v>3885.6935400000002</v>
      </c>
      <c r="L183" s="41">
        <f t="shared" si="14"/>
        <v>3874.5692436851191</v>
      </c>
      <c r="M183" s="41">
        <f t="shared" si="14"/>
        <v>3863.5308385844942</v>
      </c>
      <c r="N183" s="41">
        <f t="shared" si="12"/>
        <v>3852.5732904430342</v>
      </c>
      <c r="O183" s="41">
        <f t="shared" si="12"/>
        <v>3841.6889628870008</v>
      </c>
      <c r="P183" s="41">
        <f t="shared" si="12"/>
        <v>3830.7730580030247</v>
      </c>
      <c r="T183" s="34">
        <v>562</v>
      </c>
      <c r="U183" s="88" t="s">
        <v>497</v>
      </c>
      <c r="V183" s="41">
        <f>C183/'1. Väestöennuste'!E183*1000</f>
        <v>325.46768707482994</v>
      </c>
      <c r="W183" s="41">
        <f>D183/'1. Väestöennuste'!F183*1000</f>
        <v>475.62285223367695</v>
      </c>
      <c r="X183" s="41">
        <f>E183/'1. Väestöennuste'!G183*1000</f>
        <v>719.33225632740982</v>
      </c>
      <c r="Y183" s="41">
        <f>F183/'1. Väestöennuste'!H183*1000</f>
        <v>341.17774644832451</v>
      </c>
      <c r="Z183" s="41">
        <f>G183/'1. Väestöennuste'!I183*1000</f>
        <v>288.05416029700808</v>
      </c>
      <c r="AA183" s="41">
        <f>H183/'1. Väestöennuste'!J183*1000</f>
        <v>685.39076376554181</v>
      </c>
      <c r="AB183" s="41">
        <f>I183/'1. Väestöennuste'!K183*1000</f>
        <v>423.23692247716639</v>
      </c>
      <c r="AC183" s="41">
        <f>J183/'1. Väestöennuste'!L183*1000</f>
        <v>557.37964521544495</v>
      </c>
      <c r="AD183" s="41">
        <f>K183/'1. Väestöennuste'!M183*1000</f>
        <v>439.60782215182712</v>
      </c>
      <c r="AE183" s="41">
        <f>L183/'1. Väestöennuste'!N183*1000</f>
        <v>446.22471999137616</v>
      </c>
      <c r="AF183" s="41">
        <f>M183/'1. Väestöennuste'!O183*1000</f>
        <v>448.56970144949429</v>
      </c>
      <c r="AG183" s="41">
        <f>N183/'1. Väestöennuste'!P183*1000</f>
        <v>450.85702638303502</v>
      </c>
      <c r="AH183" s="41">
        <f>O183/'1. Väestöennuste'!Q183*1000</f>
        <v>453.02935883101424</v>
      </c>
      <c r="AI183" s="41">
        <f>P183/'1. Väestöennuste'!R183*1000</f>
        <v>455.01521059544183</v>
      </c>
    </row>
    <row r="184" spans="1:35" x14ac:dyDescent="0.2">
      <c r="A184" s="34">
        <v>563</v>
      </c>
      <c r="B184" s="88" t="s">
        <v>498</v>
      </c>
      <c r="C184" s="46">
        <v>14761</v>
      </c>
      <c r="D184" s="46">
        <v>15779</v>
      </c>
      <c r="E184" s="46">
        <v>16489</v>
      </c>
      <c r="F184" s="46">
        <v>16904</v>
      </c>
      <c r="G184" s="70">
        <v>17278</v>
      </c>
      <c r="H184" s="41">
        <v>17889</v>
      </c>
      <c r="I184" s="165">
        <v>19765.630089999999</v>
      </c>
      <c r="J184" s="41">
        <v>17641.215390000001</v>
      </c>
      <c r="K184" s="41">
        <v>18508.80256</v>
      </c>
      <c r="L184" s="41">
        <f t="shared" si="14"/>
        <v>18455.813974566918</v>
      </c>
      <c r="M184" s="41">
        <f t="shared" si="14"/>
        <v>18403.234516490364</v>
      </c>
      <c r="N184" s="41">
        <f t="shared" si="12"/>
        <v>18351.040206001333</v>
      </c>
      <c r="O184" s="41">
        <f t="shared" si="12"/>
        <v>18299.194668606484</v>
      </c>
      <c r="P184" s="41">
        <f t="shared" si="12"/>
        <v>18247.198718287342</v>
      </c>
      <c r="T184" s="34">
        <v>563</v>
      </c>
      <c r="U184" s="88" t="s">
        <v>498</v>
      </c>
      <c r="V184" s="41">
        <f>C184/'1. Väestöennuste'!E184*1000</f>
        <v>1939.6846254927727</v>
      </c>
      <c r="W184" s="41">
        <f>D184/'1. Väestöennuste'!F184*1000</f>
        <v>2099.9467660367313</v>
      </c>
      <c r="X184" s="41">
        <f>E184/'1. Väestöennuste'!G184*1000</f>
        <v>2206.7719486081373</v>
      </c>
      <c r="Y184" s="41">
        <f>F184/'1. Väestöennuste'!H184*1000</f>
        <v>2275.1009421265144</v>
      </c>
      <c r="Z184" s="41">
        <f>G184/'1. Väestöennuste'!I184*1000</f>
        <v>2370.7464324917673</v>
      </c>
      <c r="AA184" s="41">
        <f>H184/'1. Väestöennuste'!J184*1000</f>
        <v>2500.20964360587</v>
      </c>
      <c r="AB184" s="41">
        <f>I184/'1. Väestöennuste'!K184*1000</f>
        <v>2783.1075880033791</v>
      </c>
      <c r="AC184" s="41">
        <f>J184/'1. Väestöennuste'!L184*1000</f>
        <v>2511.20503772242</v>
      </c>
      <c r="AD184" s="41">
        <f>K184/'1. Väestöennuste'!M184*1000</f>
        <v>2652.4509257666955</v>
      </c>
      <c r="AE184" s="41">
        <f>L184/'1. Väestöennuste'!N184*1000</f>
        <v>2705.3377271426148</v>
      </c>
      <c r="AF184" s="41">
        <f>M184/'1. Väestöennuste'!O184*1000</f>
        <v>2729.6402427306975</v>
      </c>
      <c r="AG184" s="41">
        <f>N184/'1. Väestöennuste'!P184*1000</f>
        <v>2754.1708248538694</v>
      </c>
      <c r="AH184" s="41">
        <f>O184/'1. Väestöennuste'!Q184*1000</f>
        <v>2778.4990386587433</v>
      </c>
      <c r="AI184" s="41">
        <f>P184/'1. Väestöennuste'!R184*1000</f>
        <v>2801.6580252245267</v>
      </c>
    </row>
    <row r="185" spans="1:35" x14ac:dyDescent="0.2">
      <c r="A185" s="34">
        <v>564</v>
      </c>
      <c r="B185" s="88" t="s">
        <v>499</v>
      </c>
      <c r="C185" s="46">
        <v>167923</v>
      </c>
      <c r="D185" s="46">
        <v>167881</v>
      </c>
      <c r="E185" s="46">
        <v>152718</v>
      </c>
      <c r="F185" s="46">
        <v>139871</v>
      </c>
      <c r="G185" s="70">
        <v>149819</v>
      </c>
      <c r="H185" s="41">
        <v>209352</v>
      </c>
      <c r="I185" s="165">
        <v>166080.91471000001</v>
      </c>
      <c r="J185" s="41">
        <v>314456.58676999999</v>
      </c>
      <c r="K185" s="41">
        <v>314218.40954000002</v>
      </c>
      <c r="L185" s="41">
        <f t="shared" si="14"/>
        <v>313318.83816121507</v>
      </c>
      <c r="M185" s="41">
        <f t="shared" si="14"/>
        <v>312426.21241529053</v>
      </c>
      <c r="N185" s="41">
        <f t="shared" si="12"/>
        <v>311540.12520485459</v>
      </c>
      <c r="O185" s="41">
        <f t="shared" si="12"/>
        <v>310659.95901100466</v>
      </c>
      <c r="P185" s="41">
        <f t="shared" si="12"/>
        <v>309777.23930189118</v>
      </c>
      <c r="T185" s="34">
        <v>564</v>
      </c>
      <c r="U185" s="88" t="s">
        <v>499</v>
      </c>
      <c r="V185" s="41">
        <f>C185/'1. Väestöennuste'!E185*1000</f>
        <v>845.85316710741722</v>
      </c>
      <c r="W185" s="41">
        <f>D185/'1. Väestöennuste'!F185*1000</f>
        <v>837.20315570050764</v>
      </c>
      <c r="X185" s="41">
        <f>E185/'1. Väestöennuste'!G185*1000</f>
        <v>756.74148951984546</v>
      </c>
      <c r="Y185" s="41">
        <f>F185/'1. Väestöennuste'!H185*1000</f>
        <v>687.10056148589899</v>
      </c>
      <c r="Z185" s="41">
        <f>G185/'1. Väestöennuste'!I185*1000</f>
        <v>729.08525517180965</v>
      </c>
      <c r="AA185" s="41">
        <f>H185/'1. Väestöennuste'!J185*1000</f>
        <v>1009.767179383293</v>
      </c>
      <c r="AB185" s="41">
        <f>I185/'1. Väestöennuste'!K185*1000</f>
        <v>792.55605895462213</v>
      </c>
      <c r="AC185" s="41">
        <f>J185/'1. Väestöennuste'!L185*1000</f>
        <v>1484.3500376213135</v>
      </c>
      <c r="AD185" s="41">
        <f>K185/'1. Väestöennuste'!M185*1000</f>
        <v>1463.9799543406652</v>
      </c>
      <c r="AE185" s="41">
        <f>L185/'1. Väestöennuste'!N185*1000</f>
        <v>1458.0089725736525</v>
      </c>
      <c r="AF185" s="41">
        <f>M185/'1. Väestöennuste'!O185*1000</f>
        <v>1443.0705281513274</v>
      </c>
      <c r="AG185" s="41">
        <f>N185/'1. Väestöennuste'!P185*1000</f>
        <v>1428.965155192941</v>
      </c>
      <c r="AH185" s="41">
        <f>O185/'1. Väestöennuste'!Q185*1000</f>
        <v>1415.5265918684656</v>
      </c>
      <c r="AI185" s="41">
        <f>P185/'1. Väestöennuste'!R185*1000</f>
        <v>1402.6780499707543</v>
      </c>
    </row>
    <row r="186" spans="1:35" x14ac:dyDescent="0.2">
      <c r="A186" s="34">
        <v>576</v>
      </c>
      <c r="B186" s="88" t="s">
        <v>500</v>
      </c>
      <c r="C186" s="46">
        <v>6052</v>
      </c>
      <c r="D186" s="46">
        <v>5875</v>
      </c>
      <c r="E186" s="46">
        <v>5956</v>
      </c>
      <c r="F186" s="46">
        <v>6300</v>
      </c>
      <c r="G186" s="70">
        <v>5852</v>
      </c>
      <c r="H186" s="41">
        <v>8182</v>
      </c>
      <c r="I186" s="165">
        <v>8336.9260099999992</v>
      </c>
      <c r="J186" s="41">
        <v>8758.1994300000006</v>
      </c>
      <c r="K186" s="41">
        <v>7298.5361700000003</v>
      </c>
      <c r="L186" s="41">
        <f t="shared" si="14"/>
        <v>7277.6412954598027</v>
      </c>
      <c r="M186" s="41">
        <f t="shared" si="14"/>
        <v>7256.9077512271751</v>
      </c>
      <c r="N186" s="41">
        <f t="shared" si="12"/>
        <v>7236.3260814115565</v>
      </c>
      <c r="O186" s="41">
        <f t="shared" si="12"/>
        <v>7215.8819425374868</v>
      </c>
      <c r="P186" s="41">
        <f t="shared" si="12"/>
        <v>7195.3784916595832</v>
      </c>
      <c r="T186" s="34">
        <v>576</v>
      </c>
      <c r="U186" s="88" t="s">
        <v>500</v>
      </c>
      <c r="V186" s="41">
        <f>C186/'1. Väestöennuste'!E186*1000</f>
        <v>1925.5488386891504</v>
      </c>
      <c r="W186" s="41">
        <f>D186/'1. Väestöennuste'!F186*1000</f>
        <v>1911.8125610152945</v>
      </c>
      <c r="X186" s="41">
        <f>E186/'1. Väestöennuste'!G186*1000</f>
        <v>1967.624710934919</v>
      </c>
      <c r="Y186" s="41">
        <f>F186/'1. Väestöennuste'!H186*1000</f>
        <v>2126.2234222072225</v>
      </c>
      <c r="Z186" s="41">
        <f>G186/'1. Väestöennuste'!I186*1000</f>
        <v>2020.7182320441989</v>
      </c>
      <c r="AA186" s="41">
        <f>H186/'1. Väestöennuste'!J186*1000</f>
        <v>2859.8392170569732</v>
      </c>
      <c r="AB186" s="41">
        <f>I186/'1. Väestöennuste'!K186*1000</f>
        <v>2963.7134767152502</v>
      </c>
      <c r="AC186" s="41">
        <f>J186/'1. Väestöennuste'!L186*1000</f>
        <v>3184.7997927272731</v>
      </c>
      <c r="AD186" s="41">
        <f>K186/'1. Väestöennuste'!M186*1000</f>
        <v>2677.3793727072634</v>
      </c>
      <c r="AE186" s="41">
        <f>L186/'1. Väestöennuste'!N186*1000</f>
        <v>2715.5377968133594</v>
      </c>
      <c r="AF186" s="41">
        <f>M186/'1. Väestöennuste'!O186*1000</f>
        <v>2746.7478240829578</v>
      </c>
      <c r="AG186" s="41">
        <f>N186/'1. Väestöennuste'!P186*1000</f>
        <v>2776.7943520382028</v>
      </c>
      <c r="AH186" s="41">
        <f>O186/'1. Väestöennuste'!Q186*1000</f>
        <v>2805.5528547968452</v>
      </c>
      <c r="AI186" s="41">
        <f>P186/'1. Väestöennuste'!R186*1000</f>
        <v>2833.9419029773862</v>
      </c>
    </row>
    <row r="187" spans="1:35" x14ac:dyDescent="0.2">
      <c r="A187" s="34">
        <v>577</v>
      </c>
      <c r="B187" s="88" t="s">
        <v>501</v>
      </c>
      <c r="C187" s="46">
        <v>1365</v>
      </c>
      <c r="D187" s="46">
        <v>1331</v>
      </c>
      <c r="E187" s="46">
        <v>1269</v>
      </c>
      <c r="F187" s="46">
        <v>2800</v>
      </c>
      <c r="G187" s="70">
        <v>5759</v>
      </c>
      <c r="H187" s="41">
        <v>2454</v>
      </c>
      <c r="I187" s="165">
        <v>2340.7207699999999</v>
      </c>
      <c r="J187" s="41">
        <v>2171.65067</v>
      </c>
      <c r="K187" s="41">
        <v>1203.08284</v>
      </c>
      <c r="L187" s="41">
        <f t="shared" si="14"/>
        <v>1199.6385513895532</v>
      </c>
      <c r="M187" s="41">
        <f t="shared" si="14"/>
        <v>1196.2208562932151</v>
      </c>
      <c r="N187" s="41">
        <f t="shared" si="12"/>
        <v>1192.8281960121719</v>
      </c>
      <c r="O187" s="41">
        <f t="shared" si="12"/>
        <v>1189.4582061833798</v>
      </c>
      <c r="P187" s="41">
        <f t="shared" si="12"/>
        <v>1186.0784394277691</v>
      </c>
      <c r="T187" s="34">
        <v>577</v>
      </c>
      <c r="U187" s="88" t="s">
        <v>501</v>
      </c>
      <c r="V187" s="41">
        <f>C187/'1. Väestöennuste'!E187*1000</f>
        <v>128.5310734463277</v>
      </c>
      <c r="W187" s="41">
        <f>D187/'1. Väestöennuste'!F187*1000</f>
        <v>124.24157565574535</v>
      </c>
      <c r="X187" s="41">
        <f>E187/'1. Väestöennuste'!G187*1000</f>
        <v>118.26654240447344</v>
      </c>
      <c r="Y187" s="41">
        <f>F187/'1. Väestöennuste'!H187*1000</f>
        <v>258.49335302806497</v>
      </c>
      <c r="Z187" s="41">
        <f>G187/'1. Väestöennuste'!I187*1000</f>
        <v>530.78341013824877</v>
      </c>
      <c r="AA187" s="41">
        <f>H187/'1. Väestöennuste'!J187*1000</f>
        <v>224.68412378685224</v>
      </c>
      <c r="AB187" s="41">
        <f>I187/'1. Väestöennuste'!K187*1000</f>
        <v>212.00260574223347</v>
      </c>
      <c r="AC187" s="41">
        <f>J187/'1. Väestöennuste'!L187*1000</f>
        <v>194.97671664571737</v>
      </c>
      <c r="AD187" s="41">
        <f>K187/'1. Väestöennuste'!M187*1000</f>
        <v>107.07394446422215</v>
      </c>
      <c r="AE187" s="41">
        <f>L187/'1. Väestöennuste'!N187*1000</f>
        <v>107.85206791239354</v>
      </c>
      <c r="AF187" s="41">
        <f>M187/'1. Väestöennuste'!O187*1000</f>
        <v>107.06353318654033</v>
      </c>
      <c r="AG187" s="41">
        <f>N187/'1. Väestöennuste'!P187*1000</f>
        <v>106.31267344137005</v>
      </c>
      <c r="AH187" s="41">
        <f>O187/'1. Väestöennuste'!Q187*1000</f>
        <v>105.60758289828463</v>
      </c>
      <c r="AI187" s="41">
        <f>P187/'1. Väestöennuste'!R187*1000</f>
        <v>104.96269375466984</v>
      </c>
    </row>
    <row r="188" spans="1:35" x14ac:dyDescent="0.2">
      <c r="A188" s="34">
        <v>578</v>
      </c>
      <c r="B188" s="88" t="s">
        <v>502</v>
      </c>
      <c r="C188" s="46">
        <v>3577</v>
      </c>
      <c r="D188" s="46">
        <v>3308</v>
      </c>
      <c r="E188" s="46">
        <v>4190</v>
      </c>
      <c r="F188" s="46">
        <v>5143</v>
      </c>
      <c r="G188" s="70">
        <v>6054</v>
      </c>
      <c r="H188" s="41">
        <v>6301</v>
      </c>
      <c r="I188" s="165">
        <v>5985.5467800000006</v>
      </c>
      <c r="J188" s="41">
        <v>5776.9590199999993</v>
      </c>
      <c r="K188" s="41">
        <v>5765.4452799999999</v>
      </c>
      <c r="L188" s="41">
        <f t="shared" si="14"/>
        <v>5748.9394693842833</v>
      </c>
      <c r="M188" s="41">
        <f t="shared" si="14"/>
        <v>5732.561100907461</v>
      </c>
      <c r="N188" s="41">
        <f t="shared" si="12"/>
        <v>5716.3027049320153</v>
      </c>
      <c r="O188" s="41">
        <f t="shared" si="12"/>
        <v>5700.1529508950807</v>
      </c>
      <c r="P188" s="41">
        <f t="shared" si="12"/>
        <v>5683.9563436118806</v>
      </c>
      <c r="T188" s="34">
        <v>578</v>
      </c>
      <c r="U188" s="88" t="s">
        <v>502</v>
      </c>
      <c r="V188" s="41">
        <f>C188/'1. Väestöennuste'!E188*1000</f>
        <v>1025.5160550458716</v>
      </c>
      <c r="W188" s="41">
        <f>D188/'1. Väestöennuste'!F188*1000</f>
        <v>947.57949011744495</v>
      </c>
      <c r="X188" s="41">
        <f>E188/'1. Väestöennuste'!G188*1000</f>
        <v>1219.7962154294032</v>
      </c>
      <c r="Y188" s="41">
        <f>F188/'1. Väestöennuste'!H188*1000</f>
        <v>1541.6666666666667</v>
      </c>
      <c r="Z188" s="41">
        <f>G188/'1. Väestöennuste'!I188*1000</f>
        <v>1849.6791934005498</v>
      </c>
      <c r="AA188" s="41">
        <f>H188/'1. Väestöennuste'!J188*1000</f>
        <v>1947.7588871715609</v>
      </c>
      <c r="AB188" s="41">
        <f>I188/'1. Väestöennuste'!K188*1000</f>
        <v>1880.473383600377</v>
      </c>
      <c r="AC188" s="41">
        <f>J188/'1. Väestöennuste'!L188*1000</f>
        <v>1863.5351677419351</v>
      </c>
      <c r="AD188" s="41">
        <f>K188/'1. Väestöennuste'!M188*1000</f>
        <v>1898.4014751399407</v>
      </c>
      <c r="AE188" s="41">
        <f>L188/'1. Väestöennuste'!N188*1000</f>
        <v>1883.662997832334</v>
      </c>
      <c r="AF188" s="41">
        <f>M188/'1. Väestöennuste'!O188*1000</f>
        <v>1903.2407373530746</v>
      </c>
      <c r="AG188" s="41">
        <f>N188/'1. Väestöennuste'!P188*1000</f>
        <v>1922.092368840624</v>
      </c>
      <c r="AH188" s="41">
        <f>O188/'1. Väestöennuste'!Q188*1000</f>
        <v>1940.1473624557798</v>
      </c>
      <c r="AI188" s="41">
        <f>P188/'1. Väestöennuste'!R188*1000</f>
        <v>1957.9594707584845</v>
      </c>
    </row>
    <row r="189" spans="1:35" x14ac:dyDescent="0.2">
      <c r="A189" s="34">
        <v>580</v>
      </c>
      <c r="B189" s="88" t="s">
        <v>503</v>
      </c>
      <c r="C189" s="46">
        <v>5870</v>
      </c>
      <c r="D189" s="46">
        <v>5373</v>
      </c>
      <c r="E189" s="46">
        <v>5131</v>
      </c>
      <c r="F189" s="46">
        <v>7063</v>
      </c>
      <c r="G189" s="70">
        <v>5151</v>
      </c>
      <c r="H189" s="41">
        <v>5859</v>
      </c>
      <c r="I189" s="165">
        <v>4956.2744899999998</v>
      </c>
      <c r="J189" s="41">
        <v>4345.4282199999998</v>
      </c>
      <c r="K189" s="41">
        <v>3901.9020599999999</v>
      </c>
      <c r="L189" s="41">
        <f t="shared" si="14"/>
        <v>3890.7313605456407</v>
      </c>
      <c r="M189" s="41">
        <f t="shared" si="14"/>
        <v>3879.6469105863566</v>
      </c>
      <c r="N189" s="41">
        <f t="shared" si="12"/>
        <v>3868.6436548675047</v>
      </c>
      <c r="O189" s="41">
        <f t="shared" si="12"/>
        <v>3857.7139251614917</v>
      </c>
      <c r="P189" s="41">
        <f t="shared" si="12"/>
        <v>3846.7524864079996</v>
      </c>
      <c r="T189" s="34">
        <v>580</v>
      </c>
      <c r="U189" s="88" t="s">
        <v>503</v>
      </c>
      <c r="V189" s="41">
        <f>C189/'1. Väestöennuste'!E189*1000</f>
        <v>1121.2989493791786</v>
      </c>
      <c r="W189" s="41">
        <f>D189/'1. Väestöennuste'!F189*1000</f>
        <v>1048.1857198595396</v>
      </c>
      <c r="X189" s="41">
        <f>E189/'1. Väestöennuste'!G189*1000</f>
        <v>1032.6021332260011</v>
      </c>
      <c r="Y189" s="41">
        <f>F189/'1. Väestöennuste'!H189*1000</f>
        <v>1458.6947542337875</v>
      </c>
      <c r="Z189" s="41">
        <f>G189/'1. Väestöennuste'!I189*1000</f>
        <v>1088.08618504436</v>
      </c>
      <c r="AA189" s="41">
        <f>H189/'1. Väestöennuste'!J189*1000</f>
        <v>1258.6466165413535</v>
      </c>
      <c r="AB189" s="41">
        <f>I189/'1. Väestöennuste'!K189*1000</f>
        <v>1085.2363674184367</v>
      </c>
      <c r="AC189" s="41">
        <f>J189/'1. Väestöennuste'!L189*1000</f>
        <v>979.14110410094634</v>
      </c>
      <c r="AD189" s="41">
        <f>K189/'1. Väestöennuste'!M189*1000</f>
        <v>893.70180027485117</v>
      </c>
      <c r="AE189" s="41">
        <f>L189/'1. Väestöennuste'!N189*1000</f>
        <v>905.8745891840839</v>
      </c>
      <c r="AF189" s="41">
        <f>M189/'1. Väestöennuste'!O189*1000</f>
        <v>919.56551566398593</v>
      </c>
      <c r="AG189" s="41">
        <f>N189/'1. Väestöennuste'!P189*1000</f>
        <v>933.55300551822029</v>
      </c>
      <c r="AH189" s="41">
        <f>O189/'1. Väestöennuste'!Q189*1000</f>
        <v>947.84125925343778</v>
      </c>
      <c r="AI189" s="41">
        <f>P189/'1. Väestöennuste'!R189*1000</f>
        <v>961.20751784307834</v>
      </c>
    </row>
    <row r="190" spans="1:35" x14ac:dyDescent="0.2">
      <c r="A190" s="34">
        <v>581</v>
      </c>
      <c r="B190" s="88" t="s">
        <v>504</v>
      </c>
      <c r="C190" s="46">
        <v>2757</v>
      </c>
      <c r="D190" s="46">
        <v>1603</v>
      </c>
      <c r="E190" s="46">
        <v>1861</v>
      </c>
      <c r="F190" s="46">
        <v>972</v>
      </c>
      <c r="G190" s="70">
        <v>1436</v>
      </c>
      <c r="H190" s="41">
        <v>3176</v>
      </c>
      <c r="I190" s="165">
        <v>1908.5308500000001</v>
      </c>
      <c r="J190" s="41">
        <v>3227.2414600000002</v>
      </c>
      <c r="K190" s="41">
        <v>1246.11454</v>
      </c>
      <c r="L190" s="41">
        <f t="shared" si="14"/>
        <v>1242.5470565526971</v>
      </c>
      <c r="M190" s="41">
        <f t="shared" si="14"/>
        <v>1239.0071178126236</v>
      </c>
      <c r="N190" s="41">
        <f t="shared" si="12"/>
        <v>1235.4931093296429</v>
      </c>
      <c r="O190" s="41">
        <f t="shared" si="12"/>
        <v>1232.0025821725023</v>
      </c>
      <c r="P190" s="41">
        <f t="shared" si="12"/>
        <v>1228.5019283887818</v>
      </c>
      <c r="T190" s="34">
        <v>581</v>
      </c>
      <c r="U190" s="88" t="s">
        <v>504</v>
      </c>
      <c r="V190" s="41">
        <f>C190/'1. Väestöennuste'!E190*1000</f>
        <v>407.47856931717411</v>
      </c>
      <c r="W190" s="41">
        <f>D190/'1. Väestöennuste'!F190*1000</f>
        <v>239.53974895397491</v>
      </c>
      <c r="X190" s="41">
        <f>E190/'1. Väestöennuste'!G190*1000</f>
        <v>283.60256019506249</v>
      </c>
      <c r="Y190" s="41">
        <f>F190/'1. Väestöennuste'!H190*1000</f>
        <v>150.25506260627608</v>
      </c>
      <c r="Z190" s="41">
        <f>G190/'1. Väestöennuste'!I190*1000</f>
        <v>224.23485321673954</v>
      </c>
      <c r="AA190" s="41">
        <f>H190/'1. Väestöennuste'!J190*1000</f>
        <v>500</v>
      </c>
      <c r="AB190" s="41">
        <f>I190/'1. Väestöennuste'!K190*1000</f>
        <v>303.61610722239902</v>
      </c>
      <c r="AC190" s="41">
        <f>J190/'1. Väestöennuste'!L190*1000</f>
        <v>517.18613141025651</v>
      </c>
      <c r="AD190" s="41">
        <f>K190/'1. Väestöennuste'!M190*1000</f>
        <v>203.5137252980565</v>
      </c>
      <c r="AE190" s="41">
        <f>L190/'1. Väestöennuste'!N190*1000</f>
        <v>205.51555682313881</v>
      </c>
      <c r="AF190" s="41">
        <f>M190/'1. Väestöennuste'!O190*1000</f>
        <v>207.15718405160067</v>
      </c>
      <c r="AG190" s="41">
        <f>N190/'1. Väestöennuste'!P190*1000</f>
        <v>208.76869032268382</v>
      </c>
      <c r="AH190" s="41">
        <f>O190/'1. Väestöennuste'!Q190*1000</f>
        <v>210.41888679291242</v>
      </c>
      <c r="AI190" s="41">
        <f>P190/'1. Väestöennuste'!R190*1000</f>
        <v>212.03001870707314</v>
      </c>
    </row>
    <row r="191" spans="1:35" x14ac:dyDescent="0.2">
      <c r="A191" s="34">
        <v>583</v>
      </c>
      <c r="B191" s="88" t="s">
        <v>505</v>
      </c>
      <c r="C191" s="46">
        <v>824</v>
      </c>
      <c r="D191" s="46">
        <v>885</v>
      </c>
      <c r="E191" s="46">
        <v>1014</v>
      </c>
      <c r="F191" s="46">
        <v>1089</v>
      </c>
      <c r="G191" s="70">
        <v>980</v>
      </c>
      <c r="H191" s="41">
        <v>2310</v>
      </c>
      <c r="I191" s="165">
        <v>1129.92434</v>
      </c>
      <c r="J191" s="41">
        <v>979.34694999999999</v>
      </c>
      <c r="K191" s="41">
        <v>1834.6610000000001</v>
      </c>
      <c r="L191" s="41">
        <f t="shared" si="14"/>
        <v>1829.4085753321101</v>
      </c>
      <c r="M191" s="41">
        <f t="shared" si="14"/>
        <v>1824.1967048817405</v>
      </c>
      <c r="N191" s="41">
        <f t="shared" si="12"/>
        <v>1819.0230116854523</v>
      </c>
      <c r="O191" s="41">
        <f t="shared" si="12"/>
        <v>1813.8838901688646</v>
      </c>
      <c r="P191" s="41">
        <f t="shared" si="12"/>
        <v>1808.7298591666306</v>
      </c>
      <c r="T191" s="34">
        <v>583</v>
      </c>
      <c r="U191" s="88" t="s">
        <v>505</v>
      </c>
      <c r="V191" s="41">
        <f>C191/'1. Väestöennuste'!E191*1000</f>
        <v>860.125260960334</v>
      </c>
      <c r="W191" s="41">
        <f>D191/'1. Väestöennuste'!F191*1000</f>
        <v>930.59936908517352</v>
      </c>
      <c r="X191" s="41">
        <f>E191/'1. Väestöennuste'!G191*1000</f>
        <v>1058.4551148225469</v>
      </c>
      <c r="Y191" s="41">
        <f>F191/'1. Väestöennuste'!H191*1000</f>
        <v>1141.5094339622642</v>
      </c>
      <c r="Z191" s="41">
        <f>G191/'1. Väestöennuste'!I191*1000</f>
        <v>1043.6634717784877</v>
      </c>
      <c r="AA191" s="41">
        <f>H191/'1. Väestöennuste'!J191*1000</f>
        <v>2481.2030075187968</v>
      </c>
      <c r="AB191" s="41">
        <f>I191/'1. Väestöennuste'!K191*1000</f>
        <v>1222.8618398268397</v>
      </c>
      <c r="AC191" s="41">
        <f>J191/'1. Väestöennuste'!L191*1000</f>
        <v>1034.1572861668426</v>
      </c>
      <c r="AD191" s="41">
        <f>K191/'1. Väestöennuste'!M191*1000</f>
        <v>2011.6896929824563</v>
      </c>
      <c r="AE191" s="41">
        <f>L191/'1. Väestöennuste'!N191*1000</f>
        <v>1997.1709337686791</v>
      </c>
      <c r="AF191" s="41">
        <f>M191/'1. Väestöennuste'!O191*1000</f>
        <v>2000.2156851773473</v>
      </c>
      <c r="AG191" s="41">
        <f>N191/'1. Väestöennuste'!P191*1000</f>
        <v>1998.9263864675299</v>
      </c>
      <c r="AH191" s="41">
        <f>O191/'1. Väestöennuste'!Q191*1000</f>
        <v>1999.8719847506777</v>
      </c>
      <c r="AI191" s="41">
        <f>P191/'1. Väestöennuste'!R191*1000</f>
        <v>2007.4693220495346</v>
      </c>
    </row>
    <row r="192" spans="1:35" x14ac:dyDescent="0.2">
      <c r="A192" s="34">
        <v>584</v>
      </c>
      <c r="B192" s="88" t="s">
        <v>506</v>
      </c>
      <c r="C192" s="46">
        <v>5051</v>
      </c>
      <c r="D192" s="46">
        <v>5492</v>
      </c>
      <c r="E192" s="46">
        <v>6248</v>
      </c>
      <c r="F192" s="46">
        <v>6203</v>
      </c>
      <c r="G192" s="70">
        <v>6470</v>
      </c>
      <c r="H192" s="41">
        <v>7270</v>
      </c>
      <c r="I192" s="165">
        <v>7561.3390899999995</v>
      </c>
      <c r="J192" s="41">
        <v>6999.2666500000005</v>
      </c>
      <c r="K192" s="41">
        <v>8500.6387300000006</v>
      </c>
      <c r="L192" s="41">
        <f t="shared" si="14"/>
        <v>8476.3023732789097</v>
      </c>
      <c r="M192" s="41">
        <f t="shared" si="14"/>
        <v>8452.1539187109247</v>
      </c>
      <c r="N192" s="41">
        <f t="shared" si="12"/>
        <v>8428.182352976708</v>
      </c>
      <c r="O192" s="41">
        <f t="shared" si="12"/>
        <v>8404.3709701642529</v>
      </c>
      <c r="P192" s="41">
        <f t="shared" si="12"/>
        <v>8380.4905063874521</v>
      </c>
      <c r="T192" s="34">
        <v>584</v>
      </c>
      <c r="U192" s="88" t="s">
        <v>506</v>
      </c>
      <c r="V192" s="41">
        <f>C192/'1. Väestöennuste'!E192*1000</f>
        <v>1723.3026270897305</v>
      </c>
      <c r="W192" s="41">
        <f>D192/'1. Väestöennuste'!F192*1000</f>
        <v>1889.232886136911</v>
      </c>
      <c r="X192" s="41">
        <f>E192/'1. Väestöennuste'!G192*1000</f>
        <v>2184.6153846153843</v>
      </c>
      <c r="Y192" s="41">
        <f>F192/'1. Väestöennuste'!H192*1000</f>
        <v>2195.7522123893805</v>
      </c>
      <c r="Z192" s="41">
        <f>G192/'1. Väestöennuste'!I192*1000</f>
        <v>2345.0525552736499</v>
      </c>
      <c r="AA192" s="41">
        <f>H192/'1. Väestöennuste'!J192*1000</f>
        <v>2686.6223207686621</v>
      </c>
      <c r="AB192" s="41">
        <f>I192/'1. Väestöennuste'!K192*1000</f>
        <v>2825.6125149476829</v>
      </c>
      <c r="AC192" s="41">
        <f>J192/'1. Väestöennuste'!L192*1000</f>
        <v>2638.2460045231815</v>
      </c>
      <c r="AD192" s="41">
        <f>K192/'1. Väestöennuste'!M192*1000</f>
        <v>3297.3773196276188</v>
      </c>
      <c r="AE192" s="41">
        <f>L192/'1. Väestöennuste'!N192*1000</f>
        <v>3387.810700750963</v>
      </c>
      <c r="AF192" s="41">
        <f>M192/'1. Väestöennuste'!O192*1000</f>
        <v>3451.2674229117702</v>
      </c>
      <c r="AG192" s="41">
        <f>N192/'1. Väestöennuste'!P192*1000</f>
        <v>3514.671540023648</v>
      </c>
      <c r="AH192" s="41">
        <f>O192/'1. Väestöennuste'!Q192*1000</f>
        <v>3577.850562011176</v>
      </c>
      <c r="AI192" s="41">
        <f>P192/'1. Väestöennuste'!R192*1000</f>
        <v>3640.5258498642279</v>
      </c>
    </row>
    <row r="193" spans="1:35" x14ac:dyDescent="0.2">
      <c r="A193" s="34">
        <v>588</v>
      </c>
      <c r="B193" s="88" t="s">
        <v>507</v>
      </c>
      <c r="C193" s="46">
        <v>1657</v>
      </c>
      <c r="D193" s="46">
        <v>1689</v>
      </c>
      <c r="E193" s="46">
        <v>1335</v>
      </c>
      <c r="F193" s="46">
        <v>1015</v>
      </c>
      <c r="G193" s="70">
        <v>1185</v>
      </c>
      <c r="H193" s="41">
        <v>1415</v>
      </c>
      <c r="I193" s="165">
        <v>587.30934000000002</v>
      </c>
      <c r="J193" s="41">
        <v>791.75691000000006</v>
      </c>
      <c r="K193" s="41">
        <v>1349.3237199999999</v>
      </c>
      <c r="L193" s="41">
        <f t="shared" si="14"/>
        <v>1345.460760471293</v>
      </c>
      <c r="M193" s="41">
        <v>0</v>
      </c>
      <c r="N193" s="41">
        <f t="shared" si="12"/>
        <v>0</v>
      </c>
      <c r="O193" s="41">
        <f t="shared" si="12"/>
        <v>0</v>
      </c>
      <c r="P193" s="41">
        <f t="shared" si="12"/>
        <v>0</v>
      </c>
      <c r="T193" s="34">
        <v>588</v>
      </c>
      <c r="U193" s="88" t="s">
        <v>507</v>
      </c>
      <c r="V193" s="41">
        <f>C193/'1. Väestöennuste'!E193*1000</f>
        <v>911.94276279581732</v>
      </c>
      <c r="W193" s="41">
        <f>D193/'1. Väestöennuste'!F193*1000</f>
        <v>940.42316258351889</v>
      </c>
      <c r="X193" s="41">
        <f>E193/'1. Väestöennuste'!G193*1000</f>
        <v>767.68257619321446</v>
      </c>
      <c r="Y193" s="41">
        <f>F193/'1. Väestöennuste'!H193*1000</f>
        <v>592.52772913018089</v>
      </c>
      <c r="Z193" s="41">
        <f>G193/'1. Väestöennuste'!I193*1000</f>
        <v>701.18343195266277</v>
      </c>
      <c r="AA193" s="41">
        <f>H193/'1. Väestöennuste'!J193*1000</f>
        <v>855.50181378476418</v>
      </c>
      <c r="AB193" s="41">
        <f>I193/'1. Väestöennuste'!K193*1000</f>
        <v>357.24412408759127</v>
      </c>
      <c r="AC193" s="41">
        <f>J193/'1. Väestöennuste'!L193*1000</f>
        <v>494.84806875000004</v>
      </c>
      <c r="AD193" s="41">
        <f>K193/'1. Väestöennuste'!M193*1000</f>
        <v>855.62696258719075</v>
      </c>
      <c r="AE193" s="41">
        <f>L193/'1. Väestöennuste'!N193*1000</f>
        <v>871.41240963166649</v>
      </c>
      <c r="AF193" s="41" t="e">
        <f>M193/'1. Väestöennuste'!O193*1000</f>
        <v>#DIV/0!</v>
      </c>
      <c r="AG193" s="41" t="e">
        <f>N193/'1. Väestöennuste'!P193*1000</f>
        <v>#DIV/0!</v>
      </c>
      <c r="AH193" s="41" t="e">
        <f>O193/'1. Väestöennuste'!Q193*1000</f>
        <v>#DIV/0!</v>
      </c>
      <c r="AI193" s="41" t="e">
        <f>P193/'1. Väestöennuste'!R193*1000</f>
        <v>#DIV/0!</v>
      </c>
    </row>
    <row r="194" spans="1:35" x14ac:dyDescent="0.2">
      <c r="A194" s="34">
        <v>592</v>
      </c>
      <c r="B194" s="88" t="s">
        <v>508</v>
      </c>
      <c r="C194" s="46">
        <v>4952</v>
      </c>
      <c r="D194" s="46">
        <v>4803</v>
      </c>
      <c r="E194" s="46">
        <v>5261</v>
      </c>
      <c r="F194" s="46">
        <v>5159</v>
      </c>
      <c r="G194" s="70">
        <v>5743</v>
      </c>
      <c r="H194" s="41">
        <v>6817</v>
      </c>
      <c r="I194" s="165">
        <v>5617.4695999999994</v>
      </c>
      <c r="J194" s="41">
        <v>5382.6981699999997</v>
      </c>
      <c r="K194" s="41">
        <v>5867.5238899999995</v>
      </c>
      <c r="L194" s="41">
        <f t="shared" si="14"/>
        <v>5850.7258399955199</v>
      </c>
      <c r="M194" s="41">
        <f t="shared" si="14"/>
        <v>5834.0574885239794</v>
      </c>
      <c r="N194" s="41">
        <f t="shared" si="12"/>
        <v>5817.511233696111</v>
      </c>
      <c r="O194" s="41">
        <f t="shared" si="12"/>
        <v>5801.0755443386815</v>
      </c>
      <c r="P194" s="41">
        <f t="shared" si="12"/>
        <v>5784.5921721868735</v>
      </c>
      <c r="T194" s="34">
        <v>592</v>
      </c>
      <c r="U194" s="88" t="s">
        <v>508</v>
      </c>
      <c r="V194" s="41">
        <f>C194/'1. Väestöennuste'!E194*1000</f>
        <v>1235.5289421157684</v>
      </c>
      <c r="W194" s="41">
        <f>D194/'1. Väestöennuste'!F194*1000</f>
        <v>1206.4807837226826</v>
      </c>
      <c r="X194" s="41">
        <f>E194/'1. Väestöennuste'!G194*1000</f>
        <v>1342.091836734694</v>
      </c>
      <c r="Y194" s="41">
        <f>F194/'1. Väestöennuste'!H194*1000</f>
        <v>1322.8205128205129</v>
      </c>
      <c r="Z194" s="41">
        <f>G194/'1. Väestöennuste'!I194*1000</f>
        <v>1495.1835459515753</v>
      </c>
      <c r="AA194" s="41">
        <f>H194/'1. Väestöennuste'!J194*1000</f>
        <v>1807.2640509013786</v>
      </c>
      <c r="AB194" s="41">
        <f>I194/'1. Väestöennuste'!K194*1000</f>
        <v>1527.3163675910819</v>
      </c>
      <c r="AC194" s="41">
        <f>J194/'1. Väestöennuste'!L194*1000</f>
        <v>1474.3079074226237</v>
      </c>
      <c r="AD194" s="41">
        <f>K194/'1. Väestöennuste'!M194*1000</f>
        <v>1631.6807258064514</v>
      </c>
      <c r="AE194" s="41">
        <f>L194/'1. Väestöennuste'!N194*1000</f>
        <v>1618.4580470250401</v>
      </c>
      <c r="AF194" s="41">
        <f>M194/'1. Väestöennuste'!O194*1000</f>
        <v>1630.0803264945457</v>
      </c>
      <c r="AG194" s="41">
        <f>N194/'1. Väestöennuste'!P194*1000</f>
        <v>1640.5841042572224</v>
      </c>
      <c r="AH194" s="41">
        <f>O194/'1. Väestöennuste'!Q194*1000</f>
        <v>1653.6703376107987</v>
      </c>
      <c r="AI194" s="41">
        <f>P194/'1. Väestöennuste'!R194*1000</f>
        <v>1665.1100092650759</v>
      </c>
    </row>
    <row r="195" spans="1:35" x14ac:dyDescent="0.2">
      <c r="A195" s="34">
        <v>593</v>
      </c>
      <c r="B195" s="88" t="s">
        <v>509</v>
      </c>
      <c r="C195" s="46">
        <v>413</v>
      </c>
      <c r="D195" s="46">
        <v>516</v>
      </c>
      <c r="E195" s="46">
        <v>40</v>
      </c>
      <c r="F195" s="46">
        <v>44</v>
      </c>
      <c r="G195" s="70">
        <v>96</v>
      </c>
      <c r="H195" s="41">
        <v>585</v>
      </c>
      <c r="I195" s="165">
        <v>2095.62012</v>
      </c>
      <c r="J195" s="41">
        <v>1258.13455</v>
      </c>
      <c r="K195" s="41">
        <v>1020.4509499999999</v>
      </c>
      <c r="L195" s="41">
        <f t="shared" ref="L195:M214" si="15">K195*L$8</f>
        <v>1017.5295156084957</v>
      </c>
      <c r="M195" s="41">
        <f t="shared" si="15"/>
        <v>1014.6306377491219</v>
      </c>
      <c r="N195" s="41">
        <f t="shared" si="12"/>
        <v>1011.7529943386168</v>
      </c>
      <c r="O195" s="41">
        <f t="shared" si="12"/>
        <v>1008.8945799319404</v>
      </c>
      <c r="P195" s="41">
        <f t="shared" si="12"/>
        <v>1006.0278727677509</v>
      </c>
      <c r="T195" s="34">
        <v>593</v>
      </c>
      <c r="U195" s="88" t="s">
        <v>509</v>
      </c>
      <c r="V195" s="41">
        <f>C195/'1. Väestöennuste'!E195*1000</f>
        <v>21.966916653369502</v>
      </c>
      <c r="W195" s="41">
        <f>D195/'1. Väestöennuste'!F195*1000</f>
        <v>27.929634641407308</v>
      </c>
      <c r="X195" s="41">
        <f>E195/'1. Väestöennuste'!G195*1000</f>
        <v>2.1953896816684964</v>
      </c>
      <c r="Y195" s="41">
        <f>F195/'1. Väestöennuste'!H195*1000</f>
        <v>2.4535772040372499</v>
      </c>
      <c r="Z195" s="41">
        <f>G195/'1. Väestöennuste'!I195*1000</f>
        <v>5.4292500848320326</v>
      </c>
      <c r="AA195" s="41">
        <f>H195/'1. Väestöennuste'!J195*1000</f>
        <v>33.669064748201436</v>
      </c>
      <c r="AB195" s="41">
        <f>I195/'1. Väestöennuste'!K195*1000</f>
        <v>121.46410015649452</v>
      </c>
      <c r="AC195" s="41">
        <f>J195/'1. Väestöennuste'!L195*1000</f>
        <v>73.674213854892542</v>
      </c>
      <c r="AD195" s="41">
        <f>K195/'1. Väestöennuste'!M195*1000</f>
        <v>59.850495601173016</v>
      </c>
      <c r="AE195" s="41">
        <f>L195/'1. Väestöennuste'!N195*1000</f>
        <v>62.570994687522791</v>
      </c>
      <c r="AF195" s="41">
        <f>M195/'1. Väestöennuste'!O195*1000</f>
        <v>63.370847401731432</v>
      </c>
      <c r="AG195" s="41">
        <f>N195/'1. Väestöennuste'!P195*1000</f>
        <v>64.148680848251118</v>
      </c>
      <c r="AH195" s="41">
        <f>O195/'1. Väestöennuste'!Q195*1000</f>
        <v>64.922431141051504</v>
      </c>
      <c r="AI195" s="41">
        <f>P195/'1. Väestöennuste'!R195*1000</f>
        <v>65.68047742820076</v>
      </c>
    </row>
    <row r="196" spans="1:35" x14ac:dyDescent="0.2">
      <c r="A196" s="34">
        <v>595</v>
      </c>
      <c r="B196" s="88" t="s">
        <v>510</v>
      </c>
      <c r="C196" s="46">
        <v>1700</v>
      </c>
      <c r="D196" s="46">
        <v>1935</v>
      </c>
      <c r="E196" s="46">
        <v>2639</v>
      </c>
      <c r="F196" s="46">
        <v>4352</v>
      </c>
      <c r="G196" s="70">
        <v>4214</v>
      </c>
      <c r="H196" s="41">
        <v>6663</v>
      </c>
      <c r="I196" s="165">
        <v>6660.8911899999994</v>
      </c>
      <c r="J196" s="41">
        <v>8587.8070500000013</v>
      </c>
      <c r="K196" s="41">
        <v>10235.527880000001</v>
      </c>
      <c r="L196" s="41">
        <f t="shared" si="15"/>
        <v>10206.22473400966</v>
      </c>
      <c r="M196" s="41">
        <f t="shared" si="15"/>
        <v>10177.147838985617</v>
      </c>
      <c r="N196" s="41">
        <f t="shared" si="12"/>
        <v>10148.283933908235</v>
      </c>
      <c r="O196" s="41">
        <f t="shared" si="12"/>
        <v>10119.61290336813</v>
      </c>
      <c r="P196" s="41">
        <f t="shared" si="12"/>
        <v>10090.858693180116</v>
      </c>
      <c r="T196" s="34">
        <v>595</v>
      </c>
      <c r="U196" s="88" t="s">
        <v>510</v>
      </c>
      <c r="V196" s="41">
        <f>C196/'1. Väestöennuste'!E196*1000</f>
        <v>358.6497890295359</v>
      </c>
      <c r="W196" s="41">
        <f>D196/'1. Väestöennuste'!F196*1000</f>
        <v>411.96508409623164</v>
      </c>
      <c r="X196" s="41">
        <f>E196/'1. Väestöennuste'!G196*1000</f>
        <v>570.71799307958486</v>
      </c>
      <c r="Y196" s="41">
        <f>F196/'1. Väestöennuste'!H196*1000</f>
        <v>967.54112939084041</v>
      </c>
      <c r="Z196" s="41">
        <f>G196/'1. Väestöennuste'!I196*1000</f>
        <v>959.6902755636529</v>
      </c>
      <c r="AA196" s="41">
        <f>H196/'1. Väestöennuste'!J196*1000</f>
        <v>1542.0041657023837</v>
      </c>
      <c r="AB196" s="41">
        <f>I196/'1. Väestöennuste'!K196*1000</f>
        <v>1560.293087374092</v>
      </c>
      <c r="AC196" s="41">
        <f>J196/'1. Väestöennuste'!L196*1000</f>
        <v>2074.3495289855077</v>
      </c>
      <c r="AD196" s="41">
        <f>K196/'1. Väestöennuste'!M196*1000</f>
        <v>2513.0193665602756</v>
      </c>
      <c r="AE196" s="41">
        <f>L196/'1. Väestöennuste'!N196*1000</f>
        <v>2543.2904894118265</v>
      </c>
      <c r="AF196" s="41">
        <f>M196/'1. Väestöennuste'!O196*1000</f>
        <v>2581.0671668743635</v>
      </c>
      <c r="AG196" s="41">
        <f>N196/'1. Väestöennuste'!P196*1000</f>
        <v>2620.2643774614598</v>
      </c>
      <c r="AH196" s="41">
        <f>O196/'1. Väestöennuste'!Q196*1000</f>
        <v>2656.7636921418039</v>
      </c>
      <c r="AI196" s="41">
        <f>P196/'1. Väestöennuste'!R196*1000</f>
        <v>2693.0500915879684</v>
      </c>
    </row>
    <row r="197" spans="1:35" x14ac:dyDescent="0.2">
      <c r="A197" s="34">
        <v>598</v>
      </c>
      <c r="B197" s="88" t="s">
        <v>511</v>
      </c>
      <c r="C197" s="46">
        <v>7500</v>
      </c>
      <c r="D197" s="46">
        <v>1299</v>
      </c>
      <c r="E197" s="46">
        <v>5018</v>
      </c>
      <c r="F197" s="46">
        <v>721</v>
      </c>
      <c r="G197" s="70">
        <v>1591</v>
      </c>
      <c r="H197" s="41">
        <v>2224</v>
      </c>
      <c r="I197" s="165">
        <v>8082.66</v>
      </c>
      <c r="J197" s="41">
        <v>2475.7060000000001</v>
      </c>
      <c r="K197" s="41">
        <v>2380.9299999999998</v>
      </c>
      <c r="L197" s="41">
        <f t="shared" si="15"/>
        <v>2374.1136696454992</v>
      </c>
      <c r="M197" s="41">
        <f t="shared" si="15"/>
        <v>2367.3499684977673</v>
      </c>
      <c r="N197" s="41">
        <f t="shared" si="12"/>
        <v>2360.635811854203</v>
      </c>
      <c r="O197" s="41">
        <f t="shared" si="12"/>
        <v>2353.966520583233</v>
      </c>
      <c r="P197" s="41">
        <f t="shared" si="12"/>
        <v>2347.2778805379339</v>
      </c>
      <c r="T197" s="34">
        <v>598</v>
      </c>
      <c r="U197" s="88" t="s">
        <v>511</v>
      </c>
      <c r="V197" s="41">
        <f>C197/'1. Väestöennuste'!E197*1000</f>
        <v>385.8818686972628</v>
      </c>
      <c r="W197" s="41">
        <f>D197/'1. Väestöennuste'!F197*1000</f>
        <v>67.038241213810196</v>
      </c>
      <c r="X197" s="41">
        <f>E197/'1. Väestöennuste'!G197*1000</f>
        <v>258.94008978791476</v>
      </c>
      <c r="Y197" s="41">
        <f>F197/'1. Väestöennuste'!H197*1000</f>
        <v>37.400145243282502</v>
      </c>
      <c r="Z197" s="41">
        <f>G197/'1. Väestöennuste'!I197*1000</f>
        <v>82.830070803831745</v>
      </c>
      <c r="AA197" s="41">
        <f>H197/'1. Väestöennuste'!J197*1000</f>
        <v>116.64743522500787</v>
      </c>
      <c r="AB197" s="41">
        <f>I197/'1. Väestöennuste'!K197*1000</f>
        <v>423.24239409331312</v>
      </c>
      <c r="AC197" s="41">
        <f>J197/'1. Väestöennuste'!L197*1000</f>
        <v>128.8960274899776</v>
      </c>
      <c r="AD197" s="41">
        <f>K197/'1. Väestöennuste'!M197*1000</f>
        <v>122.25571245186136</v>
      </c>
      <c r="AE197" s="41">
        <f>L197/'1. Väestöennuste'!N197*1000</f>
        <v>126.51818116949104</v>
      </c>
      <c r="AF197" s="41">
        <f>M197/'1. Väestöennuste'!O197*1000</f>
        <v>126.70466540878652</v>
      </c>
      <c r="AG197" s="41">
        <f>N197/'1. Väestöennuste'!P197*1000</f>
        <v>126.9159038631292</v>
      </c>
      <c r="AH197" s="41">
        <f>O197/'1. Väestöennuste'!Q197*1000</f>
        <v>127.10402378959141</v>
      </c>
      <c r="AI197" s="41">
        <f>P197/'1. Väestöennuste'!R197*1000</f>
        <v>127.28582400834738</v>
      </c>
    </row>
    <row r="198" spans="1:35" x14ac:dyDescent="0.2">
      <c r="A198" s="34">
        <v>599</v>
      </c>
      <c r="B198" s="88" t="s">
        <v>512</v>
      </c>
      <c r="C198" s="46">
        <v>3467</v>
      </c>
      <c r="D198" s="46">
        <v>496</v>
      </c>
      <c r="E198" s="46">
        <v>3993</v>
      </c>
      <c r="F198" s="46">
        <v>3226</v>
      </c>
      <c r="G198" s="70">
        <v>2859</v>
      </c>
      <c r="H198" s="41">
        <v>10145</v>
      </c>
      <c r="I198" s="165">
        <v>6584.3149999999996</v>
      </c>
      <c r="J198" s="41">
        <v>6727.4382300000007</v>
      </c>
      <c r="K198" s="41">
        <v>4961.9756900000002</v>
      </c>
      <c r="L198" s="41">
        <f t="shared" si="15"/>
        <v>4947.7701209517536</v>
      </c>
      <c r="M198" s="41">
        <f t="shared" si="15"/>
        <v>4933.6742337692367</v>
      </c>
      <c r="N198" s="41">
        <f t="shared" si="12"/>
        <v>4919.6815997799058</v>
      </c>
      <c r="O198" s="41">
        <f t="shared" si="12"/>
        <v>4905.7824674425074</v>
      </c>
      <c r="P198" s="41">
        <f t="shared" si="12"/>
        <v>4891.8430113039667</v>
      </c>
      <c r="T198" s="34">
        <v>599</v>
      </c>
      <c r="U198" s="88" t="s">
        <v>512</v>
      </c>
      <c r="V198" s="41">
        <f>C198/'1. Väestöennuste'!E198*1000</f>
        <v>311.52843921286728</v>
      </c>
      <c r="W198" s="41">
        <f>D198/'1. Väestöennuste'!F198*1000</f>
        <v>44.817927170868344</v>
      </c>
      <c r="X198" s="41">
        <f>E198/'1. Väestöennuste'!G198*1000</f>
        <v>360.24900757849156</v>
      </c>
      <c r="Y198" s="41">
        <f>F198/'1. Väestöennuste'!H198*1000</f>
        <v>292.84676833696443</v>
      </c>
      <c r="Z198" s="41">
        <f>G198/'1. Väestöennuste'!I198*1000</f>
        <v>258.00920494540202</v>
      </c>
      <c r="AA198" s="41">
        <f>H198/'1. Väestöennuste'!J198*1000</f>
        <v>907.91122248075897</v>
      </c>
      <c r="AB198" s="41">
        <f>I198/'1. Väestöennuste'!K198*1000</f>
        <v>589.3586645184389</v>
      </c>
      <c r="AC198" s="41">
        <f>J198/'1. Väestöennuste'!L198*1000</f>
        <v>600.34251561663393</v>
      </c>
      <c r="AD198" s="41">
        <f>K198/'1. Väestöennuste'!M198*1000</f>
        <v>442.04683207126948</v>
      </c>
      <c r="AE198" s="41">
        <f>L198/'1. Väestöennuste'!N198*1000</f>
        <v>439.02130620689917</v>
      </c>
      <c r="AF198" s="41">
        <f>M198/'1. Väestöennuste'!O198*1000</f>
        <v>436.95635760953292</v>
      </c>
      <c r="AG198" s="41">
        <f>N198/'1. Väestöennuste'!P198*1000</f>
        <v>435.02357412502482</v>
      </c>
      <c r="AH198" s="41">
        <f>O198/'1. Väestöennuste'!Q198*1000</f>
        <v>433.29645534733328</v>
      </c>
      <c r="AI198" s="41">
        <f>P198/'1. Väestöennuste'!R198*1000</f>
        <v>431.6839932319067</v>
      </c>
    </row>
    <row r="199" spans="1:35" x14ac:dyDescent="0.2">
      <c r="A199" s="34">
        <v>601</v>
      </c>
      <c r="B199" s="88" t="s">
        <v>513</v>
      </c>
      <c r="C199" s="46">
        <v>9536</v>
      </c>
      <c r="D199" s="46">
        <v>8193</v>
      </c>
      <c r="E199" s="46">
        <v>9125</v>
      </c>
      <c r="F199" s="46">
        <v>8854</v>
      </c>
      <c r="G199" s="70">
        <v>8996</v>
      </c>
      <c r="H199" s="41">
        <v>11029</v>
      </c>
      <c r="I199" s="165">
        <v>8575.819019999999</v>
      </c>
      <c r="J199" s="41">
        <v>10229.194029999999</v>
      </c>
      <c r="K199" s="41">
        <v>7357.9645199999995</v>
      </c>
      <c r="L199" s="41">
        <f t="shared" si="15"/>
        <v>7336.8995088887878</v>
      </c>
      <c r="M199" s="41">
        <f t="shared" si="15"/>
        <v>7315.9971417176012</v>
      </c>
      <c r="N199" s="41">
        <f t="shared" si="12"/>
        <v>7295.2478856012649</v>
      </c>
      <c r="O199" s="41">
        <f t="shared" si="12"/>
        <v>7274.6372802725309</v>
      </c>
      <c r="P199" s="41">
        <f t="shared" si="12"/>
        <v>7253.9668799918154</v>
      </c>
      <c r="T199" s="34">
        <v>601</v>
      </c>
      <c r="U199" s="88" t="s">
        <v>513</v>
      </c>
      <c r="V199" s="41">
        <f>C199/'1. Väestöennuste'!E199*1000</f>
        <v>2259.1802890310355</v>
      </c>
      <c r="W199" s="41">
        <f>D199/'1. Väestöennuste'!F199*1000</f>
        <v>1949.7858162779628</v>
      </c>
      <c r="X199" s="41">
        <f>E199/'1. Väestöennuste'!G199*1000</f>
        <v>2211.0491882723527</v>
      </c>
      <c r="Y199" s="41">
        <f>F199/'1. Väestöennuste'!H199*1000</f>
        <v>2184.5546508758944</v>
      </c>
      <c r="Z199" s="41">
        <f>G199/'1. Väestöennuste'!I199*1000</f>
        <v>2231.1507936507933</v>
      </c>
      <c r="AA199" s="41">
        <f>H199/'1. Väestöennuste'!J199*1000</f>
        <v>2805.6474179598067</v>
      </c>
      <c r="AB199" s="41">
        <f>I199/'1. Väestöennuste'!K199*1000</f>
        <v>2214.2574283501158</v>
      </c>
      <c r="AC199" s="41">
        <f>J199/'1. Väestöennuste'!L199*1000</f>
        <v>2701.8473402007389</v>
      </c>
      <c r="AD199" s="41">
        <f>K199/'1. Väestöennuste'!M199*1000</f>
        <v>1967.8963680128377</v>
      </c>
      <c r="AE199" s="41">
        <f>L199/'1. Väestöennuste'!N199*1000</f>
        <v>1992.0986991280986</v>
      </c>
      <c r="AF199" s="41">
        <f>M199/'1. Väestöennuste'!O199*1000</f>
        <v>2016.5372496465275</v>
      </c>
      <c r="AG199" s="41">
        <f>N199/'1. Väestöennuste'!P199*1000</f>
        <v>2041.7710287157195</v>
      </c>
      <c r="AH199" s="41">
        <f>O199/'1. Väestöennuste'!Q199*1000</f>
        <v>2064.8984616158191</v>
      </c>
      <c r="AI199" s="41">
        <f>P199/'1. Väestöennuste'!R199*1000</f>
        <v>2088.6745983276173</v>
      </c>
    </row>
    <row r="200" spans="1:35" x14ac:dyDescent="0.2">
      <c r="A200" s="34">
        <v>604</v>
      </c>
      <c r="B200" s="88" t="s">
        <v>514</v>
      </c>
      <c r="C200" s="46">
        <v>3986</v>
      </c>
      <c r="D200" s="46">
        <v>10048</v>
      </c>
      <c r="E200" s="46">
        <v>5682</v>
      </c>
      <c r="F200" s="46">
        <v>3837</v>
      </c>
      <c r="G200" s="70">
        <v>4097</v>
      </c>
      <c r="H200" s="41">
        <v>8345</v>
      </c>
      <c r="I200" s="165">
        <v>11476.593279999999</v>
      </c>
      <c r="J200" s="41">
        <v>7839.9794900000006</v>
      </c>
      <c r="K200" s="41">
        <v>3951.7690200000002</v>
      </c>
      <c r="L200" s="41">
        <f t="shared" si="15"/>
        <v>3940.4555571409483</v>
      </c>
      <c r="M200" s="41">
        <f t="shared" si="15"/>
        <v>3929.2294460599237</v>
      </c>
      <c r="N200" s="41">
        <f t="shared" si="12"/>
        <v>3918.0855668952845</v>
      </c>
      <c r="O200" s="41">
        <f t="shared" si="12"/>
        <v>3907.016153418208</v>
      </c>
      <c r="P200" s="41">
        <f t="shared" si="12"/>
        <v>3895.9146256467302</v>
      </c>
      <c r="T200" s="34">
        <v>604</v>
      </c>
      <c r="U200" s="88" t="s">
        <v>514</v>
      </c>
      <c r="V200" s="41">
        <f>C200/'1. Väestöennuste'!E200*1000</f>
        <v>210.75450748162638</v>
      </c>
      <c r="W200" s="41">
        <f>D200/'1. Väestöennuste'!F200*1000</f>
        <v>524.34378750717531</v>
      </c>
      <c r="X200" s="41">
        <f>E200/'1. Väestöennuste'!G200*1000</f>
        <v>295.36830067058276</v>
      </c>
      <c r="Y200" s="41">
        <f>F200/'1. Väestöennuste'!H200*1000</f>
        <v>198.1102850061958</v>
      </c>
      <c r="Z200" s="41">
        <f>G200/'1. Väestöennuste'!I200*1000</f>
        <v>208.78560872445601</v>
      </c>
      <c r="AA200" s="41">
        <f>H200/'1. Väestöennuste'!J200*1000</f>
        <v>421.40079785891027</v>
      </c>
      <c r="AB200" s="41">
        <f>I200/'1. Väestöennuste'!K200*1000</f>
        <v>567.97947540334553</v>
      </c>
      <c r="AC200" s="41">
        <f>J200/'1. Väestöennuste'!L200*1000</f>
        <v>384.21854888507721</v>
      </c>
      <c r="AD200" s="41">
        <f>K200/'1. Väestöennuste'!M200*1000</f>
        <v>190.32745845976015</v>
      </c>
      <c r="AE200" s="41">
        <f>L200/'1. Väestöennuste'!N200*1000</f>
        <v>192.43324496464072</v>
      </c>
      <c r="AF200" s="41">
        <f>M200/'1. Väestöennuste'!O200*1000</f>
        <v>190.45268993553023</v>
      </c>
      <c r="AG200" s="41">
        <f>N200/'1. Väestöennuste'!P200*1000</f>
        <v>188.5689463324326</v>
      </c>
      <c r="AH200" s="41">
        <f>O200/'1. Väestöennuste'!Q200*1000</f>
        <v>186.78664021696267</v>
      </c>
      <c r="AI200" s="41">
        <f>P200/'1. Väestöennuste'!R200*1000</f>
        <v>185.08787237620459</v>
      </c>
    </row>
    <row r="201" spans="1:35" x14ac:dyDescent="0.2">
      <c r="A201" s="34">
        <v>607</v>
      </c>
      <c r="B201" s="88" t="s">
        <v>515</v>
      </c>
      <c r="C201" s="46">
        <v>8115</v>
      </c>
      <c r="D201" s="46">
        <v>8161</v>
      </c>
      <c r="E201" s="46">
        <v>7396</v>
      </c>
      <c r="F201" s="46">
        <v>4773</v>
      </c>
      <c r="G201" s="70">
        <v>2801</v>
      </c>
      <c r="H201" s="41">
        <v>2045</v>
      </c>
      <c r="I201" s="165">
        <v>819.44713999999999</v>
      </c>
      <c r="J201" s="41">
        <v>3636.6504199999999</v>
      </c>
      <c r="K201" s="41">
        <v>736.87400000000002</v>
      </c>
      <c r="L201" s="41">
        <f t="shared" si="15"/>
        <v>734.76441399216174</v>
      </c>
      <c r="M201" s="41">
        <f t="shared" si="15"/>
        <v>732.67111619695834</v>
      </c>
      <c r="N201" s="41">
        <f t="shared" si="12"/>
        <v>730.59315192981489</v>
      </c>
      <c r="O201" s="41">
        <f t="shared" si="12"/>
        <v>728.52907304635141</v>
      </c>
      <c r="P201" s="41">
        <f t="shared" si="12"/>
        <v>726.45900591092959</v>
      </c>
      <c r="T201" s="34">
        <v>607</v>
      </c>
      <c r="U201" s="88" t="s">
        <v>515</v>
      </c>
      <c r="V201" s="41">
        <f>C201/'1. Väestöennuste'!E201*1000</f>
        <v>1781.1676909569799</v>
      </c>
      <c r="W201" s="41">
        <f>D201/'1. Väestöennuste'!F201*1000</f>
        <v>1807.9308817013734</v>
      </c>
      <c r="X201" s="41">
        <f>E201/'1. Väestöennuste'!G201*1000</f>
        <v>1675.5777072949704</v>
      </c>
      <c r="Y201" s="41">
        <f>F201/'1. Väestöennuste'!H201*1000</f>
        <v>1108.1959600650105</v>
      </c>
      <c r="Z201" s="41">
        <f>G201/'1. Väestöennuste'!I201*1000</f>
        <v>659.67969853980208</v>
      </c>
      <c r="AA201" s="41">
        <f>H201/'1. Väestöennuste'!J201*1000</f>
        <v>486.78885979528684</v>
      </c>
      <c r="AB201" s="41">
        <f>I201/'1. Väestöennuste'!K201*1000</f>
        <v>196.93514539774094</v>
      </c>
      <c r="AC201" s="41">
        <f>J201/'1. Väestöennuste'!L201*1000</f>
        <v>890.46288442703224</v>
      </c>
      <c r="AD201" s="41">
        <f>K201/'1. Väestöennuste'!M201*1000</f>
        <v>181.31742125984252</v>
      </c>
      <c r="AE201" s="41">
        <f>L201/'1. Väestöennuste'!N201*1000</f>
        <v>186.06341200105388</v>
      </c>
      <c r="AF201" s="41">
        <f>M201/'1. Väestöennuste'!O201*1000</f>
        <v>188.25054372994819</v>
      </c>
      <c r="AG201" s="41">
        <f>N201/'1. Väestöennuste'!P201*1000</f>
        <v>190.25863331505596</v>
      </c>
      <c r="AH201" s="41">
        <f>O201/'1. Väestöennuste'!Q201*1000</f>
        <v>192.4271191353279</v>
      </c>
      <c r="AI201" s="41">
        <f>P201/'1. Väestöennuste'!R201*1000</f>
        <v>194.70892680539524</v>
      </c>
    </row>
    <row r="202" spans="1:35" x14ac:dyDescent="0.2">
      <c r="A202" s="34">
        <v>608</v>
      </c>
      <c r="B202" s="88" t="s">
        <v>516</v>
      </c>
      <c r="C202" s="46">
        <v>0</v>
      </c>
      <c r="D202" s="46">
        <v>0</v>
      </c>
      <c r="E202" s="46">
        <v>0</v>
      </c>
      <c r="F202" s="46">
        <v>0</v>
      </c>
      <c r="G202" s="70">
        <v>0</v>
      </c>
      <c r="H202" s="41">
        <v>0</v>
      </c>
      <c r="I202" s="165">
        <v>3.245E-2</v>
      </c>
      <c r="J202" s="41">
        <v>39.923070000000003</v>
      </c>
      <c r="K202" s="41">
        <v>568.65145999999993</v>
      </c>
      <c r="L202" s="41">
        <f t="shared" si="15"/>
        <v>567.02347588961902</v>
      </c>
      <c r="M202" s="41">
        <f t="shared" si="15"/>
        <v>565.40806152100629</v>
      </c>
      <c r="N202" s="41">
        <f t="shared" si="12"/>
        <v>563.80448015656816</v>
      </c>
      <c r="O202" s="41">
        <f t="shared" si="12"/>
        <v>562.21161425189973</v>
      </c>
      <c r="P202" s="41">
        <f t="shared" si="12"/>
        <v>560.61412716610812</v>
      </c>
      <c r="T202" s="34">
        <v>608</v>
      </c>
      <c r="U202" s="88" t="s">
        <v>516</v>
      </c>
      <c r="V202" s="41">
        <f>C202/'1. Väestöennuste'!E202*1000</f>
        <v>0</v>
      </c>
      <c r="W202" s="41">
        <f>D202/'1. Väestöennuste'!F202*1000</f>
        <v>0</v>
      </c>
      <c r="X202" s="41">
        <f>E202/'1. Väestöennuste'!G202*1000</f>
        <v>0</v>
      </c>
      <c r="Y202" s="41">
        <f>F202/'1. Väestöennuste'!H202*1000</f>
        <v>0</v>
      </c>
      <c r="Z202" s="41">
        <f>G202/'1. Väestöennuste'!I202*1000</f>
        <v>0</v>
      </c>
      <c r="AA202" s="41">
        <f>H202/'1. Väestöennuste'!J202*1000</f>
        <v>0</v>
      </c>
      <c r="AB202" s="41">
        <f>I202/'1. Väestöennuste'!K202*1000</f>
        <v>1.6120218579234971E-2</v>
      </c>
      <c r="AC202" s="41">
        <f>J202/'1. Väestöennuste'!L202*1000</f>
        <v>20.163166666666669</v>
      </c>
      <c r="AD202" s="41">
        <f>K202/'1. Väestöennuste'!M202*1000</f>
        <v>292.66673185795162</v>
      </c>
      <c r="AE202" s="41">
        <f>L202/'1. Väestöennuste'!N202*1000</f>
        <v>291.07981308502002</v>
      </c>
      <c r="AF202" s="41">
        <f>M202/'1. Väestöennuste'!O202*1000</f>
        <v>294.02395294904119</v>
      </c>
      <c r="AG202" s="41">
        <f>N202/'1. Väestöennuste'!P202*1000</f>
        <v>297.20847662444288</v>
      </c>
      <c r="AH202" s="41">
        <f>O202/'1. Väestöennuste'!Q202*1000</f>
        <v>300.48723369957224</v>
      </c>
      <c r="AI202" s="41">
        <f>P202/'1. Väestöennuste'!R202*1000</f>
        <v>303.52686906665298</v>
      </c>
    </row>
    <row r="203" spans="1:35" x14ac:dyDescent="0.2">
      <c r="A203" s="34">
        <v>609</v>
      </c>
      <c r="B203" s="88" t="s">
        <v>517</v>
      </c>
      <c r="C203" s="46">
        <v>21418</v>
      </c>
      <c r="D203" s="46">
        <v>14883</v>
      </c>
      <c r="E203" s="46">
        <v>48303</v>
      </c>
      <c r="F203" s="46">
        <v>8031</v>
      </c>
      <c r="G203" s="70">
        <v>6161</v>
      </c>
      <c r="H203" s="41">
        <v>33486</v>
      </c>
      <c r="I203" s="165">
        <v>32687.189690000003</v>
      </c>
      <c r="J203" s="41">
        <v>42574.991179999997</v>
      </c>
      <c r="K203" s="41">
        <v>9138.0474600000016</v>
      </c>
      <c r="L203" s="41">
        <f t="shared" si="15"/>
        <v>9111.8862749662258</v>
      </c>
      <c r="M203" s="41">
        <f t="shared" si="15"/>
        <v>9085.9270816706539</v>
      </c>
      <c r="N203" s="41">
        <f t="shared" si="12"/>
        <v>9060.1580409753096</v>
      </c>
      <c r="O203" s="41">
        <f t="shared" si="12"/>
        <v>9034.5611942983032</v>
      </c>
      <c r="P203" s="41">
        <f t="shared" si="12"/>
        <v>9008.8900867156353</v>
      </c>
      <c r="T203" s="34">
        <v>609</v>
      </c>
      <c r="U203" s="88" t="s">
        <v>517</v>
      </c>
      <c r="V203" s="41">
        <f>C203/'1. Väestöennuste'!E203*1000</f>
        <v>250.90495882290921</v>
      </c>
      <c r="W203" s="41">
        <f>D203/'1. Väestöennuste'!F203*1000</f>
        <v>174.97266603181322</v>
      </c>
      <c r="X203" s="41">
        <f>E203/'1. Väestöennuste'!G203*1000</f>
        <v>571.04519607031807</v>
      </c>
      <c r="Y203" s="41">
        <f>F203/'1. Väestöennuste'!H203*1000</f>
        <v>95.150646304041331</v>
      </c>
      <c r="Z203" s="41">
        <f>G203/'1. Väestöennuste'!I203*1000</f>
        <v>73.402911811661539</v>
      </c>
      <c r="AA203" s="41">
        <f>H203/'1. Väestöennuste'!J203*1000</f>
        <v>400.14817647339993</v>
      </c>
      <c r="AB203" s="41">
        <f>I203/'1. Väestöennuste'!K203*1000</f>
        <v>391.5477550849285</v>
      </c>
      <c r="AC203" s="41">
        <f>J203/'1. Väestöennuste'!L203*1000</f>
        <v>511.68789351601464</v>
      </c>
      <c r="AD203" s="41">
        <f>K203/'1. Väestöennuste'!M203*1000</f>
        <v>109.9565309363945</v>
      </c>
      <c r="AE203" s="41">
        <f>L203/'1. Väestöennuste'!N203*1000</f>
        <v>110.78685271154237</v>
      </c>
      <c r="AF203" s="41">
        <f>M203/'1. Väestöennuste'!O203*1000</f>
        <v>110.97451060984748</v>
      </c>
      <c r="AG203" s="41">
        <f>N203/'1. Väestöennuste'!P203*1000</f>
        <v>111.17440384042345</v>
      </c>
      <c r="AH203" s="41">
        <f>O203/'1. Väestöennuste'!Q203*1000</f>
        <v>111.3782878137273</v>
      </c>
      <c r="AI203" s="41">
        <f>P203/'1. Väestöennuste'!R203*1000</f>
        <v>111.58316616564444</v>
      </c>
    </row>
    <row r="204" spans="1:35" x14ac:dyDescent="0.2">
      <c r="A204" s="34">
        <v>611</v>
      </c>
      <c r="B204" s="88" t="s">
        <v>518</v>
      </c>
      <c r="C204" s="46">
        <v>1284</v>
      </c>
      <c r="D204" s="46">
        <v>4012</v>
      </c>
      <c r="E204" s="46">
        <v>5044</v>
      </c>
      <c r="F204" s="46">
        <v>6894</v>
      </c>
      <c r="G204" s="70">
        <v>5401</v>
      </c>
      <c r="H204" s="41">
        <v>5998</v>
      </c>
      <c r="I204" s="165">
        <v>2569.41752</v>
      </c>
      <c r="J204" s="41">
        <v>1191.93542</v>
      </c>
      <c r="K204" s="41">
        <v>1058.4985300000001</v>
      </c>
      <c r="L204" s="41">
        <f t="shared" si="15"/>
        <v>1055.4681697373155</v>
      </c>
      <c r="M204" s="41">
        <f t="shared" si="15"/>
        <v>1052.4612070285282</v>
      </c>
      <c r="N204" s="41">
        <f t="shared" si="12"/>
        <v>1049.4762704964157</v>
      </c>
      <c r="O204" s="41">
        <f t="shared" si="12"/>
        <v>1046.5112799227898</v>
      </c>
      <c r="P204" s="41">
        <f t="shared" si="12"/>
        <v>1043.5376873956477</v>
      </c>
      <c r="T204" s="34">
        <v>611</v>
      </c>
      <c r="U204" s="88" t="s">
        <v>518</v>
      </c>
      <c r="V204" s="41">
        <f>C204/'1. Väestöennuste'!E204*1000</f>
        <v>250.53658536585365</v>
      </c>
      <c r="W204" s="41">
        <f>D204/'1. Väestöennuste'!F204*1000</f>
        <v>785.43461237274857</v>
      </c>
      <c r="X204" s="41">
        <f>E204/'1. Väestöennuste'!G204*1000</f>
        <v>984.96387424331192</v>
      </c>
      <c r="Y204" s="41">
        <f>F204/'1. Väestöennuste'!H204*1000</f>
        <v>1360.2999210734017</v>
      </c>
      <c r="Z204" s="41">
        <f>G204/'1. Väestöennuste'!I204*1000</f>
        <v>1072.6911618669315</v>
      </c>
      <c r="AA204" s="41">
        <f>H204/'1. Väestöennuste'!J204*1000</f>
        <v>1183.0374753451676</v>
      </c>
      <c r="AB204" s="41">
        <f>I204/'1. Väestöennuste'!K204*1000</f>
        <v>507.1886142913541</v>
      </c>
      <c r="AC204" s="41">
        <f>J204/'1. Väestöennuste'!L204*1000</f>
        <v>237.863783675913</v>
      </c>
      <c r="AD204" s="41">
        <f>K204/'1. Väestöennuste'!M204*1000</f>
        <v>212.84909109189627</v>
      </c>
      <c r="AE204" s="41">
        <f>L204/'1. Väestöennuste'!N204*1000</f>
        <v>208.50813309705956</v>
      </c>
      <c r="AF204" s="41">
        <f>M204/'1. Väestöennuste'!O204*1000</f>
        <v>207.7089415884208</v>
      </c>
      <c r="AG204" s="41">
        <f>N204/'1. Väestöennuste'!P204*1000</f>
        <v>206.7933537923972</v>
      </c>
      <c r="AH204" s="41">
        <f>O204/'1. Väestöennuste'!Q204*1000</f>
        <v>205.72268132942594</v>
      </c>
      <c r="AI204" s="41">
        <f>P204/'1. Väestöennuste'!R204*1000</f>
        <v>204.73566556712728</v>
      </c>
    </row>
    <row r="205" spans="1:35" x14ac:dyDescent="0.2">
      <c r="A205" s="34">
        <v>614</v>
      </c>
      <c r="B205" s="88" t="s">
        <v>519</v>
      </c>
      <c r="C205" s="46">
        <v>7903</v>
      </c>
      <c r="D205" s="46">
        <v>5245</v>
      </c>
      <c r="E205" s="46">
        <v>8975</v>
      </c>
      <c r="F205" s="46">
        <v>9356</v>
      </c>
      <c r="G205" s="70">
        <v>7022</v>
      </c>
      <c r="H205" s="41">
        <v>6508</v>
      </c>
      <c r="I205" s="165">
        <v>6739.4640899999995</v>
      </c>
      <c r="J205" s="41">
        <v>6983.7347399999999</v>
      </c>
      <c r="K205" s="41">
        <v>6107.9642300000005</v>
      </c>
      <c r="L205" s="41">
        <f t="shared" si="15"/>
        <v>6090.4778267940455</v>
      </c>
      <c r="M205" s="41">
        <f t="shared" si="15"/>
        <v>6073.1264369284236</v>
      </c>
      <c r="N205" s="41">
        <f t="shared" si="12"/>
        <v>6055.9021470024254</v>
      </c>
      <c r="O205" s="41">
        <f t="shared" si="12"/>
        <v>6038.7929533165398</v>
      </c>
      <c r="P205" s="41">
        <f t="shared" si="12"/>
        <v>6021.6341228830397</v>
      </c>
      <c r="T205" s="34">
        <v>614</v>
      </c>
      <c r="U205" s="88" t="s">
        <v>519</v>
      </c>
      <c r="V205" s="41">
        <f>C205/'1. Väestöennuste'!E205*1000</f>
        <v>2272.936439459304</v>
      </c>
      <c r="W205" s="41">
        <f>D205/'1. Väestöennuste'!F205*1000</f>
        <v>1531.8341121495328</v>
      </c>
      <c r="X205" s="41">
        <f>E205/'1. Väestöennuste'!G205*1000</f>
        <v>2711.480362537764</v>
      </c>
      <c r="Y205" s="41">
        <f>F205/'1. Väestöennuste'!H205*1000</f>
        <v>2890.3305529811555</v>
      </c>
      <c r="Z205" s="41">
        <f>G205/'1. Väestöennuste'!I205*1000</f>
        <v>2206.0948790449261</v>
      </c>
      <c r="AA205" s="41">
        <f>H205/'1. Väestöennuste'!J205*1000</f>
        <v>2087.9050368944499</v>
      </c>
      <c r="AB205" s="41">
        <f>I205/'1. Väestöennuste'!K205*1000</f>
        <v>2198.1291878669276</v>
      </c>
      <c r="AC205" s="41">
        <f>J205/'1. Väestöennuste'!L205*1000</f>
        <v>2328.6878092697566</v>
      </c>
      <c r="AD205" s="41">
        <f>K205/'1. Väestöennuste'!M205*1000</f>
        <v>2089.6217003079028</v>
      </c>
      <c r="AE205" s="41">
        <f>L205/'1. Väestöennuste'!N205*1000</f>
        <v>2132.5202474769067</v>
      </c>
      <c r="AF205" s="41">
        <f>M205/'1. Väestöennuste'!O205*1000</f>
        <v>2165.879613740522</v>
      </c>
      <c r="AG205" s="41">
        <f>N205/'1. Väestöennuste'!P205*1000</f>
        <v>2196.5550043534367</v>
      </c>
      <c r="AH205" s="41">
        <f>O205/'1. Väestöennuste'!Q205*1000</f>
        <v>2228.3368831426346</v>
      </c>
      <c r="AI205" s="41">
        <f>P205/'1. Väestöennuste'!R205*1000</f>
        <v>2257.8305672602323</v>
      </c>
    </row>
    <row r="206" spans="1:35" x14ac:dyDescent="0.2">
      <c r="A206" s="34">
        <v>615</v>
      </c>
      <c r="B206" s="88" t="s">
        <v>520</v>
      </c>
      <c r="C206" s="46">
        <v>13020</v>
      </c>
      <c r="D206" s="46">
        <v>13241</v>
      </c>
      <c r="E206" s="46">
        <v>13149</v>
      </c>
      <c r="F206" s="46">
        <v>13515</v>
      </c>
      <c r="G206" s="70">
        <v>12995</v>
      </c>
      <c r="H206" s="41">
        <v>12210</v>
      </c>
      <c r="I206" s="165">
        <v>13126.441939999999</v>
      </c>
      <c r="J206" s="41">
        <v>13445.55495</v>
      </c>
      <c r="K206" s="41">
        <v>13814.69866</v>
      </c>
      <c r="L206" s="41">
        <f t="shared" si="15"/>
        <v>13775.148757308849</v>
      </c>
      <c r="M206" s="41">
        <f t="shared" si="15"/>
        <v>13735.904221273682</v>
      </c>
      <c r="N206" s="41">
        <f t="shared" si="12"/>
        <v>13696.947153746758</v>
      </c>
      <c r="O206" s="41">
        <f t="shared" si="12"/>
        <v>13658.250405339952</v>
      </c>
      <c r="P206" s="41">
        <f t="shared" si="12"/>
        <v>13619.441390933389</v>
      </c>
      <c r="T206" s="34">
        <v>615</v>
      </c>
      <c r="U206" s="88" t="s">
        <v>520</v>
      </c>
      <c r="V206" s="41">
        <f>C206/'1. Väestöennuste'!E206*1000</f>
        <v>1576.8438900326996</v>
      </c>
      <c r="W206" s="41">
        <f>D206/'1. Väestöennuste'!F206*1000</f>
        <v>1617.320141688042</v>
      </c>
      <c r="X206" s="41">
        <f>E206/'1. Väestöennuste'!G206*1000</f>
        <v>1622.7323213624582</v>
      </c>
      <c r="Y206" s="41">
        <f>F206/'1. Väestöennuste'!H206*1000</f>
        <v>1691.4893617021276</v>
      </c>
      <c r="Z206" s="41">
        <f>G206/'1. Väestöennuste'!I206*1000</f>
        <v>1650.5779245522672</v>
      </c>
      <c r="AA206" s="41">
        <f>H206/'1. Väestöennuste'!J206*1000</f>
        <v>1569.6104897801774</v>
      </c>
      <c r="AB206" s="41">
        <f>I206/'1. Väestöennuste'!K206*1000</f>
        <v>1704.2900467411059</v>
      </c>
      <c r="AC206" s="41">
        <f>J206/'1. Väestöennuste'!L206*1000</f>
        <v>1768.4538932000526</v>
      </c>
      <c r="AD206" s="41">
        <f>K206/'1. Väestöennuste'!M206*1000</f>
        <v>1847.131790346303</v>
      </c>
      <c r="AE206" s="41">
        <f>L206/'1. Väestöennuste'!N206*1000</f>
        <v>1861.2550678704024</v>
      </c>
      <c r="AF206" s="41">
        <f>M206/'1. Väestöennuste'!O206*1000</f>
        <v>1878.0290157606894</v>
      </c>
      <c r="AG206" s="41">
        <f>N206/'1. Väestöennuste'!P206*1000</f>
        <v>1894.9843876240673</v>
      </c>
      <c r="AH206" s="41">
        <f>O206/'1. Väestöennuste'!Q206*1000</f>
        <v>1910.5120164134776</v>
      </c>
      <c r="AI206" s="41">
        <f>P206/'1. Väestöennuste'!R206*1000</f>
        <v>1926.0983440720393</v>
      </c>
    </row>
    <row r="207" spans="1:35" x14ac:dyDescent="0.2">
      <c r="A207" s="34">
        <v>616</v>
      </c>
      <c r="B207" s="88" t="s">
        <v>521</v>
      </c>
      <c r="C207" s="46">
        <v>721</v>
      </c>
      <c r="D207" s="46">
        <v>558</v>
      </c>
      <c r="E207" s="46">
        <v>841</v>
      </c>
      <c r="F207" s="46">
        <v>1880</v>
      </c>
      <c r="G207" s="70">
        <v>1072</v>
      </c>
      <c r="H207" s="41">
        <v>941</v>
      </c>
      <c r="I207" s="165">
        <v>1300.79297</v>
      </c>
      <c r="J207" s="41">
        <v>527.82895999999994</v>
      </c>
      <c r="K207" s="41">
        <v>602.47258999999997</v>
      </c>
      <c r="L207" s="41">
        <f t="shared" si="15"/>
        <v>600.74777986153651</v>
      </c>
      <c r="M207" s="41">
        <f t="shared" si="15"/>
        <v>599.03628706315112</v>
      </c>
      <c r="N207" s="41">
        <f t="shared" ref="N207:P270" si="16">M207*N$8</f>
        <v>597.33733104902478</v>
      </c>
      <c r="O207" s="41">
        <f t="shared" si="16"/>
        <v>595.64972780765038</v>
      </c>
      <c r="P207" s="41">
        <f t="shared" si="16"/>
        <v>593.95722853565621</v>
      </c>
      <c r="T207" s="34">
        <v>616</v>
      </c>
      <c r="U207" s="88" t="s">
        <v>521</v>
      </c>
      <c r="V207" s="41">
        <f>C207/'1. Väestöennuste'!E207*1000</f>
        <v>365.80416032470828</v>
      </c>
      <c r="W207" s="41">
        <f>D207/'1. Väestöennuste'!F207*1000</f>
        <v>280.6841046277666</v>
      </c>
      <c r="X207" s="41">
        <f>E207/'1. Väestöennuste'!G207*1000</f>
        <v>433.50515463917526</v>
      </c>
      <c r="Y207" s="41">
        <f>F207/'1. Väestöennuste'!H207*1000</f>
        <v>989.99473407056348</v>
      </c>
      <c r="Z207" s="41">
        <f>G207/'1. Väestöennuste'!I207*1000</f>
        <v>576.34408602150529</v>
      </c>
      <c r="AA207" s="41">
        <f>H207/'1. Väestöennuste'!J207*1000</f>
        <v>513.36606655755588</v>
      </c>
      <c r="AB207" s="41">
        <f>I207/'1. Väestöennuste'!K207*1000</f>
        <v>703.89229978354967</v>
      </c>
      <c r="AC207" s="41">
        <f>J207/'1. Väestöennuste'!L207*1000</f>
        <v>292.10235749861647</v>
      </c>
      <c r="AD207" s="41">
        <f>K207/'1. Väestöennuste'!M207*1000</f>
        <v>338.27770353733854</v>
      </c>
      <c r="AE207" s="41">
        <f>L207/'1. Väestöennuste'!N207*1000</f>
        <v>344.46547010409205</v>
      </c>
      <c r="AF207" s="41">
        <f>M207/'1. Väestöennuste'!O207*1000</f>
        <v>346.66451797636063</v>
      </c>
      <c r="AG207" s="41">
        <f>N207/'1. Väestöennuste'!P207*1000</f>
        <v>347.89594120502318</v>
      </c>
      <c r="AH207" s="41">
        <f>O207/'1. Väestöennuste'!Q207*1000</f>
        <v>349.14989906661805</v>
      </c>
      <c r="AI207" s="41">
        <f>P207/'1. Väestöennuste'!R207*1000</f>
        <v>350.00425959673322</v>
      </c>
    </row>
    <row r="208" spans="1:35" x14ac:dyDescent="0.2">
      <c r="A208" s="34">
        <v>619</v>
      </c>
      <c r="B208" s="88" t="s">
        <v>522</v>
      </c>
      <c r="C208" s="46">
        <v>252</v>
      </c>
      <c r="D208" s="46">
        <v>926</v>
      </c>
      <c r="E208" s="46">
        <v>1193</v>
      </c>
      <c r="F208" s="46">
        <v>2151</v>
      </c>
      <c r="G208" s="70">
        <v>1335</v>
      </c>
      <c r="H208" s="41">
        <v>2711</v>
      </c>
      <c r="I208" s="165">
        <v>2930.5878700000003</v>
      </c>
      <c r="J208" s="41">
        <v>2930.5878700000003</v>
      </c>
      <c r="K208" s="41">
        <v>3177.0327699999998</v>
      </c>
      <c r="L208" s="41">
        <f t="shared" si="15"/>
        <v>3167.9372884413674</v>
      </c>
      <c r="M208" s="41">
        <f t="shared" si="15"/>
        <v>3158.9120335229827</v>
      </c>
      <c r="N208" s="41">
        <f t="shared" si="16"/>
        <v>3149.9528891216282</v>
      </c>
      <c r="O208" s="41">
        <f t="shared" si="16"/>
        <v>3141.0536115617897</v>
      </c>
      <c r="P208" s="41">
        <f t="shared" si="16"/>
        <v>3132.128515649415</v>
      </c>
      <c r="T208" s="34">
        <v>619</v>
      </c>
      <c r="U208" s="88" t="s">
        <v>522</v>
      </c>
      <c r="V208" s="41">
        <f>C208/'1. Väestöennuste'!E208*1000</f>
        <v>82.650049196457857</v>
      </c>
      <c r="W208" s="41">
        <f>D208/'1. Väestöennuste'!F208*1000</f>
        <v>308.35830835830836</v>
      </c>
      <c r="X208" s="41">
        <f>E208/'1. Väestöennuste'!G208*1000</f>
        <v>404.54391319091218</v>
      </c>
      <c r="Y208" s="41">
        <f>F208/'1. Väestöennuste'!H208*1000</f>
        <v>742.74861878453032</v>
      </c>
      <c r="Z208" s="41">
        <f>G208/'1. Väestöennuste'!I208*1000</f>
        <v>472.06506364922205</v>
      </c>
      <c r="AA208" s="41">
        <f>H208/'1. Väestöennuste'!J208*1000</f>
        <v>973.42908438061033</v>
      </c>
      <c r="AB208" s="41">
        <f>I208/'1. Väestöennuste'!K208*1000</f>
        <v>1077.0260455714811</v>
      </c>
      <c r="AC208" s="41">
        <f>J208/'1. Väestöennuste'!L208*1000</f>
        <v>1095.5468672897198</v>
      </c>
      <c r="AD208" s="41">
        <f>K208/'1. Väestöennuste'!M208*1000</f>
        <v>1198.8802905660377</v>
      </c>
      <c r="AE208" s="41">
        <f>L208/'1. Väestöennuste'!N208*1000</f>
        <v>1236.0270341168036</v>
      </c>
      <c r="AF208" s="41">
        <f>M208/'1. Väestöennuste'!O208*1000</f>
        <v>1255.5294250886259</v>
      </c>
      <c r="AG208" s="41">
        <f>N208/'1. Väestöennuste'!P208*1000</f>
        <v>1273.2226714315393</v>
      </c>
      <c r="AH208" s="41">
        <f>O208/'1. Väestöennuste'!Q208*1000</f>
        <v>1289.4308750253651</v>
      </c>
      <c r="AI208" s="41">
        <f>P208/'1. Väestöennuste'!R208*1000</f>
        <v>1305.0535481872562</v>
      </c>
    </row>
    <row r="209" spans="1:35" x14ac:dyDescent="0.2">
      <c r="A209" s="34">
        <v>620</v>
      </c>
      <c r="B209" s="88" t="s">
        <v>523</v>
      </c>
      <c r="C209" s="46">
        <v>1431</v>
      </c>
      <c r="D209" s="46">
        <v>885</v>
      </c>
      <c r="E209" s="46">
        <v>2599</v>
      </c>
      <c r="F209" s="46">
        <v>2517</v>
      </c>
      <c r="G209" s="70">
        <v>2164</v>
      </c>
      <c r="H209" s="41">
        <v>2361</v>
      </c>
      <c r="I209" s="165">
        <v>3383.4624599999997</v>
      </c>
      <c r="J209" s="41">
        <v>3834.7906200000002</v>
      </c>
      <c r="K209" s="41">
        <v>3731.65951</v>
      </c>
      <c r="L209" s="41">
        <f t="shared" si="15"/>
        <v>3720.9761955007602</v>
      </c>
      <c r="M209" s="41">
        <f t="shared" si="15"/>
        <v>3710.3753673744691</v>
      </c>
      <c r="N209" s="41">
        <f t="shared" si="16"/>
        <v>3699.8521909305641</v>
      </c>
      <c r="O209" s="41">
        <f t="shared" si="16"/>
        <v>3689.3993325112597</v>
      </c>
      <c r="P209" s="41">
        <f t="shared" si="16"/>
        <v>3678.9161485310469</v>
      </c>
      <c r="T209" s="34">
        <v>620</v>
      </c>
      <c r="U209" s="88" t="s">
        <v>523</v>
      </c>
      <c r="V209" s="41">
        <f>C209/'1. Väestöennuste'!E209*1000</f>
        <v>515.48991354466852</v>
      </c>
      <c r="W209" s="41">
        <f>D209/'1. Väestöennuste'!F209*1000</f>
        <v>323.58318098720292</v>
      </c>
      <c r="X209" s="41">
        <f>E209/'1. Väestöennuste'!G209*1000</f>
        <v>973.77294866991383</v>
      </c>
      <c r="Y209" s="41">
        <f>F209/'1. Väestöennuste'!H209*1000</f>
        <v>969.19522525991533</v>
      </c>
      <c r="Z209" s="41">
        <f>G209/'1. Väestöennuste'!I209*1000</f>
        <v>856.01265822784808</v>
      </c>
      <c r="AA209" s="41">
        <f>H209/'1. Väestöennuste'!J209*1000</f>
        <v>947.81212364512248</v>
      </c>
      <c r="AB209" s="41">
        <f>I209/'1. Väestöennuste'!K209*1000</f>
        <v>1383.2634750613245</v>
      </c>
      <c r="AC209" s="41">
        <f>J209/'1. Väestöennuste'!L209*1000</f>
        <v>1611.2565630252102</v>
      </c>
      <c r="AD209" s="41">
        <f>K209/'1. Väestöennuste'!M209*1000</f>
        <v>1581.8819457397201</v>
      </c>
      <c r="AE209" s="41">
        <f>L209/'1. Väestöennuste'!N209*1000</f>
        <v>1629.8625473065092</v>
      </c>
      <c r="AF209" s="41">
        <f>M209/'1. Väestöennuste'!O209*1000</f>
        <v>1657.8978406498968</v>
      </c>
      <c r="AG209" s="41">
        <f>N209/'1. Väestöennuste'!P209*1000</f>
        <v>1684.8142945949744</v>
      </c>
      <c r="AH209" s="41">
        <f>O209/'1. Väestöennuste'!Q209*1000</f>
        <v>1710.4308449287248</v>
      </c>
      <c r="AI209" s="41">
        <f>P209/'1. Väestöennuste'!R209*1000</f>
        <v>1736.1567477730282</v>
      </c>
    </row>
    <row r="210" spans="1:35" x14ac:dyDescent="0.2">
      <c r="A210" s="34">
        <v>623</v>
      </c>
      <c r="B210" s="88" t="s">
        <v>524</v>
      </c>
      <c r="C210" s="46">
        <v>2330</v>
      </c>
      <c r="D210" s="46">
        <v>3386</v>
      </c>
      <c r="E210" s="46">
        <v>3297</v>
      </c>
      <c r="F210" s="46">
        <v>4984</v>
      </c>
      <c r="G210" s="70">
        <v>6019</v>
      </c>
      <c r="H210" s="41">
        <v>6906</v>
      </c>
      <c r="I210" s="165">
        <v>7706.2169800000001</v>
      </c>
      <c r="J210" s="41">
        <v>8182.6299300000001</v>
      </c>
      <c r="K210" s="41">
        <v>8305.1443199999994</v>
      </c>
      <c r="L210" s="41">
        <f t="shared" si="15"/>
        <v>8281.3676414219117</v>
      </c>
      <c r="M210" s="41">
        <f t="shared" si="15"/>
        <v>8257.774543695703</v>
      </c>
      <c r="N210" s="41">
        <f t="shared" si="16"/>
        <v>8234.3542667821075</v>
      </c>
      <c r="O210" s="41">
        <f t="shared" si="16"/>
        <v>8211.0904889652375</v>
      </c>
      <c r="P210" s="41">
        <f t="shared" si="16"/>
        <v>8187.7592188813869</v>
      </c>
      <c r="T210" s="34">
        <v>623</v>
      </c>
      <c r="U210" s="88" t="s">
        <v>524</v>
      </c>
      <c r="V210" s="41">
        <f>C210/'1. Väestöennuste'!E210*1000</f>
        <v>1030.9734513274336</v>
      </c>
      <c r="W210" s="41">
        <f>D210/'1. Väestöennuste'!F210*1000</f>
        <v>1515.6669650850492</v>
      </c>
      <c r="X210" s="41">
        <f>E210/'1. Väestöennuste'!G210*1000</f>
        <v>1493.2065217391303</v>
      </c>
      <c r="Y210" s="41">
        <f>F210/'1. Väestöennuste'!H210*1000</f>
        <v>2268.54802002731</v>
      </c>
      <c r="Z210" s="41">
        <f>G210/'1. Väestöennuste'!I210*1000</f>
        <v>2798.2333798233381</v>
      </c>
      <c r="AA210" s="41">
        <f>H210/'1. Väestöennuste'!J210*1000</f>
        <v>3231.6331305568556</v>
      </c>
      <c r="AB210" s="41">
        <f>I210/'1. Väestöennuste'!K210*1000</f>
        <v>3640.1591780821918</v>
      </c>
      <c r="AC210" s="41">
        <f>J210/'1. Väestöennuste'!L210*1000</f>
        <v>3883.5452918841956</v>
      </c>
      <c r="AD210" s="41">
        <f>K210/'1. Väestöennuste'!M210*1000</f>
        <v>3939.8217836812141</v>
      </c>
      <c r="AE210" s="41">
        <f>L210/'1. Väestöennuste'!N210*1000</f>
        <v>4039.6915324009324</v>
      </c>
      <c r="AF210" s="41">
        <f>M210/'1. Väestöennuste'!O210*1000</f>
        <v>4061.8664750101834</v>
      </c>
      <c r="AG210" s="41">
        <f>N210/'1. Väestöennuste'!P210*1000</f>
        <v>4084.501124395887</v>
      </c>
      <c r="AH210" s="41">
        <f>O210/'1. Väestöennuste'!Q210*1000</f>
        <v>4105.5452444826187</v>
      </c>
      <c r="AI210" s="41">
        <f>P210/'1. Väestöennuste'!R210*1000</f>
        <v>4128.9759046300487</v>
      </c>
    </row>
    <row r="211" spans="1:35" x14ac:dyDescent="0.2">
      <c r="A211" s="34">
        <v>624</v>
      </c>
      <c r="B211" s="88" t="s">
        <v>525</v>
      </c>
      <c r="C211" s="46">
        <v>147</v>
      </c>
      <c r="D211" s="46">
        <v>289</v>
      </c>
      <c r="E211" s="46">
        <v>718</v>
      </c>
      <c r="F211" s="46">
        <v>1199</v>
      </c>
      <c r="G211" s="70">
        <v>1369</v>
      </c>
      <c r="H211" s="41">
        <v>1543</v>
      </c>
      <c r="I211" s="165">
        <v>779.42619999999999</v>
      </c>
      <c r="J211" s="41">
        <v>2849.2616899999998</v>
      </c>
      <c r="K211" s="41">
        <v>910.96960999999999</v>
      </c>
      <c r="L211" s="41">
        <f t="shared" si="15"/>
        <v>908.36160816682104</v>
      </c>
      <c r="M211" s="41">
        <f t="shared" si="15"/>
        <v>905.77374283827055</v>
      </c>
      <c r="N211" s="41">
        <f t="shared" si="16"/>
        <v>903.20483377371738</v>
      </c>
      <c r="O211" s="41">
        <f t="shared" si="16"/>
        <v>900.65309068673378</v>
      </c>
      <c r="P211" s="41">
        <f t="shared" si="16"/>
        <v>898.09394454909147</v>
      </c>
      <c r="T211" s="34">
        <v>624</v>
      </c>
      <c r="U211" s="88" t="s">
        <v>525</v>
      </c>
      <c r="V211" s="41">
        <f>C211/'1. Väestöennuste'!E211*1000</f>
        <v>27.626386017665851</v>
      </c>
      <c r="W211" s="41">
        <f>D211/'1. Väestöennuste'!F211*1000</f>
        <v>54.119850187265918</v>
      </c>
      <c r="X211" s="41">
        <f>E211/'1. Väestöennuste'!G211*1000</f>
        <v>136.39817629179333</v>
      </c>
      <c r="Y211" s="41">
        <f>F211/'1. Väestöennuste'!H211*1000</f>
        <v>231.15481010217854</v>
      </c>
      <c r="Z211" s="41">
        <f>G211/'1. Väestöennuste'!I211*1000</f>
        <v>266.34241245136184</v>
      </c>
      <c r="AA211" s="41">
        <f>H211/'1. Väestöennuste'!J211*1000</f>
        <v>301.07317073170731</v>
      </c>
      <c r="AB211" s="41">
        <f>I211/'1. Väestöennuste'!K211*1000</f>
        <v>152.26141824575112</v>
      </c>
      <c r="AC211" s="41">
        <f>J211/'1. Väestöennuste'!L211*1000</f>
        <v>556.82268712136022</v>
      </c>
      <c r="AD211" s="41">
        <f>K211/'1. Väestöennuste'!M211*1000</f>
        <v>179.85579664363277</v>
      </c>
      <c r="AE211" s="41">
        <f>L211/'1. Väestöennuste'!N211*1000</f>
        <v>182.14590097590155</v>
      </c>
      <c r="AF211" s="41">
        <f>M211/'1. Väestöennuste'!O211*1000</f>
        <v>183.13258043636688</v>
      </c>
      <c r="AG211" s="41">
        <f>N211/'1. Väestöennuste'!P211*1000</f>
        <v>184.06456771422813</v>
      </c>
      <c r="AH211" s="41">
        <f>O211/'1. Väestöennuste'!Q211*1000</f>
        <v>185.01501452069306</v>
      </c>
      <c r="AI211" s="41">
        <f>P211/'1. Väestöennuste'!R211*1000</f>
        <v>186.13346001017439</v>
      </c>
    </row>
    <row r="212" spans="1:35" x14ac:dyDescent="0.2">
      <c r="A212" s="34">
        <v>625</v>
      </c>
      <c r="B212" s="88" t="s">
        <v>526</v>
      </c>
      <c r="C212" s="46">
        <v>8324</v>
      </c>
      <c r="D212" s="46">
        <v>7860</v>
      </c>
      <c r="E212" s="46">
        <v>7448</v>
      </c>
      <c r="F212" s="46">
        <v>7122</v>
      </c>
      <c r="G212" s="70">
        <v>7241</v>
      </c>
      <c r="H212" s="41">
        <v>7737</v>
      </c>
      <c r="I212" s="165">
        <v>9041.6129099999998</v>
      </c>
      <c r="J212" s="41">
        <v>8099.1910199999993</v>
      </c>
      <c r="K212" s="41">
        <v>8090.6813200000006</v>
      </c>
      <c r="L212" s="41">
        <f t="shared" si="15"/>
        <v>8067.5186244692168</v>
      </c>
      <c r="M212" s="41">
        <f t="shared" si="15"/>
        <v>8044.5347691983707</v>
      </c>
      <c r="N212" s="41">
        <f t="shared" si="16"/>
        <v>8021.7192720037283</v>
      </c>
      <c r="O212" s="41">
        <f t="shared" si="16"/>
        <v>7999.0562326436147</v>
      </c>
      <c r="P212" s="41">
        <f t="shared" si="16"/>
        <v>7976.3274438633034</v>
      </c>
      <c r="T212" s="34">
        <v>625</v>
      </c>
      <c r="U212" s="88" t="s">
        <v>526</v>
      </c>
      <c r="V212" s="41">
        <f>C212/'1. Väestöennuste'!E212*1000</f>
        <v>2592.338835253815</v>
      </c>
      <c r="W212" s="41">
        <f>D212/'1. Väestöennuste'!F212*1000</f>
        <v>2465.495608531995</v>
      </c>
      <c r="X212" s="41">
        <f>E212/'1. Väestöennuste'!G212*1000</f>
        <v>2335.5283788021325</v>
      </c>
      <c r="Y212" s="41">
        <f>F212/'1. Väestöennuste'!H212*1000</f>
        <v>2263.8270820089001</v>
      </c>
      <c r="Z212" s="41">
        <f>G212/'1. Väestöennuste'!I212*1000</f>
        <v>2353.2661683457914</v>
      </c>
      <c r="AA212" s="41">
        <f>H212/'1. Väestöennuste'!J212*1000</f>
        <v>2535.8898721730579</v>
      </c>
      <c r="AB212" s="41">
        <f>I212/'1. Väestöennuste'!K212*1000</f>
        <v>2966.40843503937</v>
      </c>
      <c r="AC212" s="41">
        <f>J212/'1. Väestöennuste'!L212*1000</f>
        <v>2707.8539017051153</v>
      </c>
      <c r="AD212" s="41">
        <f>K212/'1. Väestöennuste'!M212*1000</f>
        <v>2714.9937315436246</v>
      </c>
      <c r="AE212" s="41">
        <f>L212/'1. Väestöennuste'!N212*1000</f>
        <v>2770.4390880732199</v>
      </c>
      <c r="AF212" s="41">
        <f>M212/'1. Väestöennuste'!O212*1000</f>
        <v>2794.2114516145784</v>
      </c>
      <c r="AG212" s="41">
        <f>N212/'1. Väestöennuste'!P212*1000</f>
        <v>2817.6042402542075</v>
      </c>
      <c r="AH212" s="41">
        <f>O212/'1. Väestöennuste'!Q212*1000</f>
        <v>2842.592833206686</v>
      </c>
      <c r="AI212" s="41">
        <f>P212/'1. Väestöennuste'!R212*1000</f>
        <v>2868.1508248339819</v>
      </c>
    </row>
    <row r="213" spans="1:35" x14ac:dyDescent="0.2">
      <c r="A213" s="34">
        <v>626</v>
      </c>
      <c r="B213" s="88" t="s">
        <v>527</v>
      </c>
      <c r="C213" s="46">
        <v>8068</v>
      </c>
      <c r="D213" s="46">
        <v>8310</v>
      </c>
      <c r="E213" s="46">
        <v>9470</v>
      </c>
      <c r="F213" s="46">
        <v>9956</v>
      </c>
      <c r="G213" s="70">
        <v>9923</v>
      </c>
      <c r="H213" s="41">
        <v>10321</v>
      </c>
      <c r="I213" s="165">
        <v>11239.560730000001</v>
      </c>
      <c r="J213" s="41">
        <v>10800.78961</v>
      </c>
      <c r="K213" s="41">
        <v>10496.543180000001</v>
      </c>
      <c r="L213" s="41">
        <f t="shared" si="15"/>
        <v>10466.492777050244</v>
      </c>
      <c r="M213" s="41">
        <f t="shared" si="15"/>
        <v>10436.674394672862</v>
      </c>
      <c r="N213" s="41">
        <f t="shared" si="16"/>
        <v>10407.074433680116</v>
      </c>
      <c r="O213" s="41">
        <f t="shared" si="16"/>
        <v>10377.672265701329</v>
      </c>
      <c r="P213" s="41">
        <f t="shared" si="16"/>
        <v>10348.184796917718</v>
      </c>
      <c r="T213" s="34">
        <v>626</v>
      </c>
      <c r="U213" s="88" t="s">
        <v>527</v>
      </c>
      <c r="V213" s="41">
        <f>C213/'1. Väestöennuste'!E213*1000</f>
        <v>1465.5767484105361</v>
      </c>
      <c r="W213" s="41">
        <f>D213/'1. Väestöennuste'!F213*1000</f>
        <v>1525.8905618802792</v>
      </c>
      <c r="X213" s="41">
        <f>E213/'1. Väestöennuste'!G213*1000</f>
        <v>1774.4050964961589</v>
      </c>
      <c r="Y213" s="41">
        <f>F213/'1. Väestöennuste'!H213*1000</f>
        <v>1897.1036585365855</v>
      </c>
      <c r="Z213" s="41">
        <f>G213/'1. Väestöennuste'!I213*1000</f>
        <v>1933.9310076008576</v>
      </c>
      <c r="AA213" s="41">
        <f>H213/'1. Väestöennuste'!J213*1000</f>
        <v>2050.6656069938404</v>
      </c>
      <c r="AB213" s="41">
        <f>I213/'1. Väestöennuste'!K213*1000</f>
        <v>2264.2144903303788</v>
      </c>
      <c r="AC213" s="41">
        <f>J213/'1. Väestöennuste'!L213*1000</f>
        <v>2233.8758241985524</v>
      </c>
      <c r="AD213" s="41">
        <f>K213/'1. Väestöennuste'!M213*1000</f>
        <v>2207.0107611438184</v>
      </c>
      <c r="AE213" s="41">
        <f>L213/'1. Väestöennuste'!N213*1000</f>
        <v>2228.8102165779906</v>
      </c>
      <c r="AF213" s="41">
        <f>M213/'1. Väestöennuste'!O213*1000</f>
        <v>2259.5095030683833</v>
      </c>
      <c r="AG213" s="41">
        <f>N213/'1. Väestöennuste'!P213*1000</f>
        <v>2290.2892679753777</v>
      </c>
      <c r="AH213" s="41">
        <f>O213/'1. Väestöennuste'!Q213*1000</f>
        <v>2320.5886103983294</v>
      </c>
      <c r="AI213" s="41">
        <f>P213/'1. Väestöennuste'!R213*1000</f>
        <v>2352.3948163031869</v>
      </c>
    </row>
    <row r="214" spans="1:35" x14ac:dyDescent="0.2">
      <c r="A214" s="34">
        <v>630</v>
      </c>
      <c r="B214" s="88" t="s">
        <v>528</v>
      </c>
      <c r="C214" s="46">
        <v>528</v>
      </c>
      <c r="D214" s="46">
        <v>153</v>
      </c>
      <c r="E214" s="46">
        <v>583</v>
      </c>
      <c r="F214" s="46">
        <v>324</v>
      </c>
      <c r="G214" s="70">
        <v>446</v>
      </c>
      <c r="H214" s="41">
        <v>713</v>
      </c>
      <c r="I214" s="165">
        <v>997.19065000000001</v>
      </c>
      <c r="J214" s="41">
        <v>2449.3923</v>
      </c>
      <c r="K214" s="41">
        <v>683.00977</v>
      </c>
      <c r="L214" s="41">
        <f t="shared" si="15"/>
        <v>681.05439112381646</v>
      </c>
      <c r="M214" s="41">
        <f t="shared" si="15"/>
        <v>679.11410981976258</v>
      </c>
      <c r="N214" s="41">
        <f t="shared" si="16"/>
        <v>677.18804118907417</v>
      </c>
      <c r="O214" s="41">
        <f t="shared" si="16"/>
        <v>675.27484294425039</v>
      </c>
      <c r="P214" s="41">
        <f t="shared" si="16"/>
        <v>673.35609417845194</v>
      </c>
      <c r="T214" s="34">
        <v>630</v>
      </c>
      <c r="U214" s="88" t="s">
        <v>528</v>
      </c>
      <c r="V214" s="41">
        <f>C214/'1. Väestöennuste'!E214*1000</f>
        <v>332.70321361058603</v>
      </c>
      <c r="W214" s="41">
        <f>D214/'1. Väestöennuste'!F214*1000</f>
        <v>96.896770107663073</v>
      </c>
      <c r="X214" s="41">
        <f>E214/'1. Väestöennuste'!G214*1000</f>
        <v>369.22102596580112</v>
      </c>
      <c r="Y214" s="41">
        <f>F214/'1. Väestöennuste'!H214*1000</f>
        <v>208.09248554913296</v>
      </c>
      <c r="Z214" s="41">
        <f>G214/'1. Väestöennuste'!I214*1000</f>
        <v>282.63624841571612</v>
      </c>
      <c r="AA214" s="41">
        <f>H214/'1. Väestöennuste'!J214*1000</f>
        <v>447.58317639673572</v>
      </c>
      <c r="AB214" s="41">
        <f>I214/'1. Väestöennuste'!K214*1000</f>
        <v>611.39831391784185</v>
      </c>
      <c r="AC214" s="41">
        <f>J214/'1. Väestöennuste'!L214*1000</f>
        <v>1498.0992660550457</v>
      </c>
      <c r="AD214" s="41">
        <f>K214/'1. Väestöennuste'!M214*1000</f>
        <v>414.95125759416766</v>
      </c>
      <c r="AE214" s="41">
        <f>L214/'1. Väestöennuste'!N214*1000</f>
        <v>426.19173412003528</v>
      </c>
      <c r="AF214" s="41">
        <f>M214/'1. Väestöennuste'!O214*1000</f>
        <v>424.71176348953253</v>
      </c>
      <c r="AG214" s="41">
        <f>N214/'1. Väestöennuste'!P214*1000</f>
        <v>424.0375962361141</v>
      </c>
      <c r="AH214" s="41">
        <f>O214/'1. Väestöennuste'!Q214*1000</f>
        <v>423.36980748855825</v>
      </c>
      <c r="AI214" s="41">
        <f>P214/'1. Väestöennuste'!R214*1000</f>
        <v>421.6381303559499</v>
      </c>
    </row>
    <row r="215" spans="1:35" x14ac:dyDescent="0.2">
      <c r="A215" s="34">
        <v>631</v>
      </c>
      <c r="B215" s="88" t="s">
        <v>529</v>
      </c>
      <c r="C215" s="46">
        <v>1473</v>
      </c>
      <c r="D215" s="46">
        <v>1420</v>
      </c>
      <c r="E215" s="46">
        <v>1813</v>
      </c>
      <c r="F215" s="46">
        <v>2397</v>
      </c>
      <c r="G215" s="70">
        <v>1891</v>
      </c>
      <c r="H215" s="41">
        <v>3332</v>
      </c>
      <c r="I215" s="165">
        <v>2957.62842</v>
      </c>
      <c r="J215" s="41">
        <v>3303.0286099999998</v>
      </c>
      <c r="K215" s="41">
        <v>2830.31943</v>
      </c>
      <c r="L215" s="41">
        <f t="shared" ref="L215:M234" si="17">K215*L$8</f>
        <v>2822.2165490905895</v>
      </c>
      <c r="M215" s="41">
        <f t="shared" si="17"/>
        <v>2814.1762309052006</v>
      </c>
      <c r="N215" s="41">
        <f t="shared" si="16"/>
        <v>2806.1948085180056</v>
      </c>
      <c r="O215" s="41">
        <f t="shared" si="16"/>
        <v>2798.2667196331768</v>
      </c>
      <c r="P215" s="41">
        <f t="shared" si="16"/>
        <v>2790.3156299831298</v>
      </c>
      <c r="T215" s="34">
        <v>631</v>
      </c>
      <c r="U215" s="88" t="s">
        <v>529</v>
      </c>
      <c r="V215" s="41">
        <f>C215/'1. Väestöennuste'!E215*1000</f>
        <v>689.60674157303367</v>
      </c>
      <c r="W215" s="41">
        <f>D215/'1. Väestöennuste'!F215*1000</f>
        <v>684.3373493975904</v>
      </c>
      <c r="X215" s="41">
        <f>E215/'1. Väestöennuste'!G215*1000</f>
        <v>872.89359653346173</v>
      </c>
      <c r="Y215" s="41">
        <f>F215/'1. Väestöennuste'!H215*1000</f>
        <v>1181.9526627218934</v>
      </c>
      <c r="Z215" s="41">
        <f>G215/'1. Väestöennuste'!I215*1000</f>
        <v>943.61277445109783</v>
      </c>
      <c r="AA215" s="41">
        <f>H215/'1. Väestöennuste'!J215*1000</f>
        <v>1671.013039117352</v>
      </c>
      <c r="AB215" s="41">
        <f>I215/'1. Väestöennuste'!K215*1000</f>
        <v>1489.9891284634762</v>
      </c>
      <c r="AC215" s="41">
        <f>J215/'1. Väestöennuste'!L215*1000</f>
        <v>1682.6432042791644</v>
      </c>
      <c r="AD215" s="41">
        <f>K215/'1. Väestöennuste'!M215*1000</f>
        <v>1466.4867512953367</v>
      </c>
      <c r="AE215" s="41">
        <f>L215/'1. Väestöennuste'!N215*1000</f>
        <v>1483.0354961064579</v>
      </c>
      <c r="AF215" s="41">
        <f>M215/'1. Väestöennuste'!O215*1000</f>
        <v>1494.5173823182158</v>
      </c>
      <c r="AG215" s="41">
        <f>N215/'1. Väestöennuste'!P215*1000</f>
        <v>1506.2774066119193</v>
      </c>
      <c r="AH215" s="41">
        <f>O215/'1. Väestöennuste'!Q215*1000</f>
        <v>1519.1458847085651</v>
      </c>
      <c r="AI215" s="41">
        <f>P215/'1. Väestöennuste'!R215*1000</f>
        <v>1532.2985337633881</v>
      </c>
    </row>
    <row r="216" spans="1:35" x14ac:dyDescent="0.2">
      <c r="A216" s="34">
        <v>635</v>
      </c>
      <c r="B216" s="88" t="s">
        <v>530</v>
      </c>
      <c r="C216" s="46">
        <v>1601</v>
      </c>
      <c r="D216" s="46">
        <v>1888</v>
      </c>
      <c r="E216" s="46">
        <v>3947</v>
      </c>
      <c r="F216" s="46">
        <v>5248</v>
      </c>
      <c r="G216" s="70">
        <v>1147</v>
      </c>
      <c r="H216" s="41">
        <v>4928</v>
      </c>
      <c r="I216" s="165">
        <v>5913.7058099999995</v>
      </c>
      <c r="J216" s="41">
        <v>8681.3623599999992</v>
      </c>
      <c r="K216" s="41">
        <v>4339.2464</v>
      </c>
      <c r="L216" s="41">
        <f t="shared" si="17"/>
        <v>4326.8236337061662</v>
      </c>
      <c r="M216" s="41">
        <f t="shared" si="17"/>
        <v>4314.4967841742728</v>
      </c>
      <c r="N216" s="41">
        <f t="shared" si="16"/>
        <v>4302.2602295319175</v>
      </c>
      <c r="O216" s="41">
        <f t="shared" si="16"/>
        <v>4290.1054420589098</v>
      </c>
      <c r="P216" s="41">
        <f t="shared" si="16"/>
        <v>4277.9153914327007</v>
      </c>
      <c r="T216" s="34">
        <v>635</v>
      </c>
      <c r="U216" s="88" t="s">
        <v>530</v>
      </c>
      <c r="V216" s="41">
        <f>C216/'1. Väestöennuste'!E216*1000</f>
        <v>239.81426003594967</v>
      </c>
      <c r="W216" s="41">
        <f>D216/'1. Väestöennuste'!F216*1000</f>
        <v>284.89512599969817</v>
      </c>
      <c r="X216" s="41">
        <f>E216/'1. Väestöennuste'!G216*1000</f>
        <v>601.03548043246531</v>
      </c>
      <c r="Y216" s="41">
        <f>F216/'1. Väestöennuste'!H216*1000</f>
        <v>807.50884751500234</v>
      </c>
      <c r="Z216" s="41">
        <f>G216/'1. Väestöennuste'!I216*1000</f>
        <v>178.24397824397826</v>
      </c>
      <c r="AA216" s="41">
        <f>H216/'1. Väestöennuste'!J216*1000</f>
        <v>768.19953234606385</v>
      </c>
      <c r="AB216" s="41">
        <f>I216/'1. Väestöennuste'!K216*1000</f>
        <v>918.41991147693739</v>
      </c>
      <c r="AC216" s="41">
        <f>J216/'1. Väestöennuste'!L216*1000</f>
        <v>1367.7898786828423</v>
      </c>
      <c r="AD216" s="41">
        <f>K216/'1. Väestöennuste'!M216*1000</f>
        <v>684.74773552154011</v>
      </c>
      <c r="AE216" s="41">
        <f>L216/'1. Väestöennuste'!N216*1000</f>
        <v>698.32531208943942</v>
      </c>
      <c r="AF216" s="41">
        <f>M216/'1. Väestöennuste'!O216*1000</f>
        <v>701.88657624439122</v>
      </c>
      <c r="AG216" s="41">
        <f>N216/'1. Väestöennuste'!P216*1000</f>
        <v>704.82638098491429</v>
      </c>
      <c r="AH216" s="41">
        <f>O216/'1. Väestöennuste'!Q216*1000</f>
        <v>707.58790071893623</v>
      </c>
      <c r="AI216" s="41">
        <f>P216/'1. Väestöennuste'!R216*1000</f>
        <v>710.02745086019922</v>
      </c>
    </row>
    <row r="217" spans="1:35" x14ac:dyDescent="0.2">
      <c r="A217" s="34">
        <v>636</v>
      </c>
      <c r="B217" s="88" t="s">
        <v>531</v>
      </c>
      <c r="C217" s="46">
        <v>102</v>
      </c>
      <c r="D217" s="46">
        <v>172</v>
      </c>
      <c r="E217" s="46">
        <v>995</v>
      </c>
      <c r="F217" s="46">
        <v>1358</v>
      </c>
      <c r="G217" s="70">
        <v>1155</v>
      </c>
      <c r="H217" s="41">
        <v>2832</v>
      </c>
      <c r="I217" s="165">
        <v>4738.3148300000003</v>
      </c>
      <c r="J217" s="41">
        <v>5804.3674299999993</v>
      </c>
      <c r="K217" s="41">
        <v>7881.7234200000003</v>
      </c>
      <c r="L217" s="41">
        <f t="shared" si="17"/>
        <v>7859.1589470446734</v>
      </c>
      <c r="M217" s="41">
        <f t="shared" si="17"/>
        <v>7836.7686954446863</v>
      </c>
      <c r="N217" s="41">
        <f t="shared" si="16"/>
        <v>7814.5424537395002</v>
      </c>
      <c r="O217" s="41">
        <f t="shared" si="16"/>
        <v>7792.4647323427325</v>
      </c>
      <c r="P217" s="41">
        <f t="shared" si="16"/>
        <v>7770.3229596350156</v>
      </c>
      <c r="T217" s="34">
        <v>636</v>
      </c>
      <c r="U217" s="88" t="s">
        <v>531</v>
      </c>
      <c r="V217" s="41">
        <f>C217/'1. Väestöennuste'!E217*1000</f>
        <v>11.913104414856342</v>
      </c>
      <c r="W217" s="41">
        <f>D217/'1. Väestöennuste'!F217*1000</f>
        <v>20.228154768905092</v>
      </c>
      <c r="X217" s="41">
        <f>E217/'1. Väestöennuste'!G217*1000</f>
        <v>118.14295891712183</v>
      </c>
      <c r="Y217" s="41">
        <f>F217/'1. Väestöennuste'!H217*1000</f>
        <v>162.96651866074643</v>
      </c>
      <c r="Z217" s="41">
        <f>G217/'1. Väestöennuste'!I217*1000</f>
        <v>139.56017399710004</v>
      </c>
      <c r="AA217" s="41">
        <f>H217/'1. Väestöennuste'!J217*1000</f>
        <v>344.1487422530077</v>
      </c>
      <c r="AB217" s="41">
        <f>I217/'1. Väestöennuste'!K217*1000</f>
        <v>576.29710897591838</v>
      </c>
      <c r="AC217" s="41">
        <f>J217/'1. Väestöennuste'!L217*1000</f>
        <v>711.84295192543539</v>
      </c>
      <c r="AD217" s="41">
        <f>K217/'1. Väestöennuste'!M217*1000</f>
        <v>969.46167527675277</v>
      </c>
      <c r="AE217" s="41">
        <f>L217/'1. Väestöennuste'!N217*1000</f>
        <v>983.5013073513544</v>
      </c>
      <c r="AF217" s="41">
        <f>M217/'1. Väestöennuste'!O217*1000</f>
        <v>986.50159811740764</v>
      </c>
      <c r="AG217" s="41">
        <f>N217/'1. Väestöennuste'!P217*1000</f>
        <v>989.43307846790333</v>
      </c>
      <c r="AH217" s="41">
        <f>O217/'1. Väestöennuste'!Q217*1000</f>
        <v>992.16510470368382</v>
      </c>
      <c r="AI217" s="41">
        <f>P217/'1. Väestöennuste'!R217*1000</f>
        <v>995.55707362396095</v>
      </c>
    </row>
    <row r="218" spans="1:35" x14ac:dyDescent="0.2">
      <c r="A218" s="34">
        <v>638</v>
      </c>
      <c r="B218" s="88" t="s">
        <v>532</v>
      </c>
      <c r="C218" s="46">
        <v>25537</v>
      </c>
      <c r="D218" s="46">
        <v>23451</v>
      </c>
      <c r="E218" s="46">
        <v>28416</v>
      </c>
      <c r="F218" s="46">
        <v>30750</v>
      </c>
      <c r="G218" s="70">
        <v>27408</v>
      </c>
      <c r="H218" s="41">
        <v>48298</v>
      </c>
      <c r="I218" s="165">
        <v>80263.948850000001</v>
      </c>
      <c r="J218" s="41">
        <v>95658.592609999992</v>
      </c>
      <c r="K218" s="41">
        <v>80593.952550000002</v>
      </c>
      <c r="L218" s="41">
        <f t="shared" si="17"/>
        <v>80363.221278960627</v>
      </c>
      <c r="M218" s="41">
        <f t="shared" si="17"/>
        <v>80134.271494900342</v>
      </c>
      <c r="N218" s="41">
        <f t="shared" si="16"/>
        <v>79906.998781320071</v>
      </c>
      <c r="O218" s="41">
        <f t="shared" si="16"/>
        <v>79681.244750653612</v>
      </c>
      <c r="P218" s="41">
        <f t="shared" si="16"/>
        <v>79454.835768266523</v>
      </c>
      <c r="T218" s="34">
        <v>638</v>
      </c>
      <c r="U218" s="88" t="s">
        <v>532</v>
      </c>
      <c r="V218" s="41">
        <f>C218/'1. Väestöennuste'!E218*1000</f>
        <v>511.47652619772475</v>
      </c>
      <c r="W218" s="41">
        <f>D218/'1. Väestöennuste'!F218*1000</f>
        <v>467.67310146777282</v>
      </c>
      <c r="X218" s="41">
        <f>E218/'1. Väestöennuste'!G218*1000</f>
        <v>566.51847126138875</v>
      </c>
      <c r="Y218" s="41">
        <f>F218/'1. Väestöennuste'!H218*1000</f>
        <v>611.79419840038202</v>
      </c>
      <c r="Z218" s="41">
        <f>G218/'1. Väestöennuste'!I218*1000</f>
        <v>544.025406907503</v>
      </c>
      <c r="AA218" s="41">
        <f>H218/'1. Väestöennuste'!J218*1000</f>
        <v>954.14765206740549</v>
      </c>
      <c r="AB218" s="41">
        <f>I218/'1. Väestöennuste'!K218*1000</f>
        <v>1569.2183395569805</v>
      </c>
      <c r="AC218" s="41">
        <f>J218/'1. Väestöennuste'!L218*1000</f>
        <v>1867.1649088460335</v>
      </c>
      <c r="AD218" s="41">
        <f>K218/'1. Väestöennuste'!M218*1000</f>
        <v>1571.3691542046054</v>
      </c>
      <c r="AE218" s="41">
        <f>L218/'1. Väestöennuste'!N218*1000</f>
        <v>1565.1310964624436</v>
      </c>
      <c r="AF218" s="41">
        <f>M218/'1. Väestöennuste'!O218*1000</f>
        <v>1556.4283784893048</v>
      </c>
      <c r="AG218" s="41">
        <f>N218/'1. Väestöennuste'!P218*1000</f>
        <v>1547.9852534157317</v>
      </c>
      <c r="AH218" s="41">
        <f>O218/'1. Väestöennuste'!Q218*1000</f>
        <v>1540.0317887640822</v>
      </c>
      <c r="AI218" s="41">
        <f>P218/'1. Väestöennuste'!R218*1000</f>
        <v>1532.4275447601019</v>
      </c>
    </row>
    <row r="219" spans="1:35" x14ac:dyDescent="0.2">
      <c r="A219" s="34">
        <v>678</v>
      </c>
      <c r="B219" s="88" t="s">
        <v>533</v>
      </c>
      <c r="C219" s="46">
        <v>39924</v>
      </c>
      <c r="D219" s="46">
        <v>36097</v>
      </c>
      <c r="E219" s="46">
        <v>42551</v>
      </c>
      <c r="F219" s="46">
        <v>42946</v>
      </c>
      <c r="G219" s="70">
        <v>44889</v>
      </c>
      <c r="H219" s="41">
        <v>46287</v>
      </c>
      <c r="I219" s="165">
        <v>49930.904889999998</v>
      </c>
      <c r="J219" s="41">
        <v>50693.902249999999</v>
      </c>
      <c r="K219" s="41">
        <v>51704.668180000001</v>
      </c>
      <c r="L219" s="41">
        <f t="shared" si="17"/>
        <v>51556.643626911617</v>
      </c>
      <c r="M219" s="41">
        <f t="shared" si="17"/>
        <v>51409.761978349015</v>
      </c>
      <c r="N219" s="41">
        <f t="shared" si="16"/>
        <v>51263.956246402238</v>
      </c>
      <c r="O219" s="41">
        <f t="shared" si="16"/>
        <v>51119.124818279081</v>
      </c>
      <c r="P219" s="41">
        <f t="shared" si="16"/>
        <v>50973.873208984536</v>
      </c>
      <c r="T219" s="34">
        <v>678</v>
      </c>
      <c r="U219" s="88" t="s">
        <v>533</v>
      </c>
      <c r="V219" s="41">
        <f>C219/'1. Väestöennuste'!E219*1000</f>
        <v>1586.4891714683092</v>
      </c>
      <c r="W219" s="41">
        <f>D219/'1. Väestöennuste'!F219*1000</f>
        <v>1443.3026789284286</v>
      </c>
      <c r="X219" s="41">
        <f>E219/'1. Väestöennuste'!G219*1000</f>
        <v>1701.971921123155</v>
      </c>
      <c r="Y219" s="41">
        <f>F219/'1. Väestöennuste'!H219*1000</f>
        <v>1730.925799040748</v>
      </c>
      <c r="Z219" s="41">
        <f>G219/'1. Väestöennuste'!I219*1000</f>
        <v>1818.9148668908788</v>
      </c>
      <c r="AA219" s="41">
        <f>H219/'1. Väestöennuste'!J219*1000</f>
        <v>1900.6693220547777</v>
      </c>
      <c r="AB219" s="41">
        <f>I219/'1. Väestöennuste'!K219*1000</f>
        <v>2058.157662407255</v>
      </c>
      <c r="AC219" s="41">
        <f>J219/'1. Väestöennuste'!L219*1000</f>
        <v>2105.8406617372157</v>
      </c>
      <c r="AD219" s="41">
        <f>K219/'1. Väestöennuste'!M219*1000</f>
        <v>2172.7389242341474</v>
      </c>
      <c r="AE219" s="41">
        <f>L219/'1. Väestöennuste'!N219*1000</f>
        <v>2180.1693008673719</v>
      </c>
      <c r="AF219" s="41">
        <f>M219/'1. Väestöennuste'!O219*1000</f>
        <v>2191.1926510250196</v>
      </c>
      <c r="AG219" s="41">
        <f>N219/'1. Väestöennuste'!P219*1000</f>
        <v>2202.8169579925338</v>
      </c>
      <c r="AH219" s="41">
        <f>O219/'1. Väestöennuste'!Q219*1000</f>
        <v>2214.8667598907746</v>
      </c>
      <c r="AI219" s="41">
        <f>P219/'1. Väestöennuste'!R219*1000</f>
        <v>2227.4896525513259</v>
      </c>
    </row>
    <row r="220" spans="1:35" x14ac:dyDescent="0.2">
      <c r="A220" s="34">
        <v>680</v>
      </c>
      <c r="B220" s="88" t="s">
        <v>534</v>
      </c>
      <c r="C220" s="46">
        <v>3853</v>
      </c>
      <c r="D220" s="46">
        <v>4396</v>
      </c>
      <c r="E220" s="46">
        <v>4408</v>
      </c>
      <c r="F220" s="46">
        <v>5294</v>
      </c>
      <c r="G220" s="70">
        <v>5053</v>
      </c>
      <c r="H220" s="41">
        <v>9473</v>
      </c>
      <c r="I220" s="165">
        <v>11851.875239999999</v>
      </c>
      <c r="J220" s="41">
        <v>7768.2339199999997</v>
      </c>
      <c r="K220" s="41">
        <v>6940.7633499999993</v>
      </c>
      <c r="L220" s="41">
        <f t="shared" si="17"/>
        <v>6920.8927381357225</v>
      </c>
      <c r="M220" s="41">
        <f t="shared" si="17"/>
        <v>6901.1755481987948</v>
      </c>
      <c r="N220" s="41">
        <f t="shared" si="16"/>
        <v>6881.6027878245668</v>
      </c>
      <c r="O220" s="41">
        <f t="shared" si="16"/>
        <v>6862.1608166519482</v>
      </c>
      <c r="P220" s="41">
        <f t="shared" si="16"/>
        <v>6842.6624409383594</v>
      </c>
      <c r="T220" s="34">
        <v>680</v>
      </c>
      <c r="U220" s="88" t="s">
        <v>534</v>
      </c>
      <c r="V220" s="41">
        <f>C220/'1. Väestöennuste'!E220*1000</f>
        <v>158.62494853849321</v>
      </c>
      <c r="W220" s="41">
        <f>D220/'1. Väestöennuste'!F220*1000</f>
        <v>181.03199769385992</v>
      </c>
      <c r="X220" s="41">
        <f>E220/'1. Väestöennuste'!G220*1000</f>
        <v>181.89320788974169</v>
      </c>
      <c r="Y220" s="41">
        <f>F220/'1. Väestöennuste'!H220*1000</f>
        <v>218.9593845644801</v>
      </c>
      <c r="Z220" s="41">
        <f>G220/'1. Väestöennuste'!I220*1000</f>
        <v>210.05154639175257</v>
      </c>
      <c r="AA220" s="41">
        <f>H220/'1. Väestöennuste'!J220*1000</f>
        <v>388.12635719260868</v>
      </c>
      <c r="AB220" s="41">
        <f>I220/'1. Väestöennuste'!K220*1000</f>
        <v>477.70557194679566</v>
      </c>
      <c r="AC220" s="41">
        <f>J220/'1. Väestöennuste'!L220*1000</f>
        <v>311.4519252666185</v>
      </c>
      <c r="AD220" s="41">
        <f>K220/'1. Väestöennuste'!M220*1000</f>
        <v>274.00273775216135</v>
      </c>
      <c r="AE220" s="41">
        <f>L220/'1. Väestöennuste'!N220*1000</f>
        <v>281.94454467493881</v>
      </c>
      <c r="AF220" s="41">
        <f>M220/'1. Väestöennuste'!O220*1000</f>
        <v>280.60403139785296</v>
      </c>
      <c r="AG220" s="41">
        <f>N220/'1. Väestöennuste'!P220*1000</f>
        <v>279.31983552480284</v>
      </c>
      <c r="AH220" s="41">
        <f>O220/'1. Väestöennuste'!Q220*1000</f>
        <v>278.05668044296561</v>
      </c>
      <c r="AI220" s="41">
        <f>P220/'1. Väestöennuste'!R220*1000</f>
        <v>276.76194956068434</v>
      </c>
    </row>
    <row r="221" spans="1:35" x14ac:dyDescent="0.2">
      <c r="A221" s="34">
        <v>681</v>
      </c>
      <c r="B221" s="88" t="s">
        <v>535</v>
      </c>
      <c r="C221" s="46">
        <v>358</v>
      </c>
      <c r="D221" s="46">
        <v>1063</v>
      </c>
      <c r="E221" s="46">
        <v>1333</v>
      </c>
      <c r="F221" s="46">
        <v>1336</v>
      </c>
      <c r="G221" s="70">
        <v>2188</v>
      </c>
      <c r="H221" s="41">
        <v>2626</v>
      </c>
      <c r="I221" s="165">
        <v>519.97708</v>
      </c>
      <c r="J221" s="41">
        <v>1084.02431</v>
      </c>
      <c r="K221" s="41">
        <v>926.17207999999994</v>
      </c>
      <c r="L221" s="41">
        <f t="shared" si="17"/>
        <v>923.5205552334611</v>
      </c>
      <c r="M221" s="41">
        <f t="shared" si="17"/>
        <v>920.88950301416321</v>
      </c>
      <c r="N221" s="41">
        <f t="shared" si="16"/>
        <v>918.2777234053483</v>
      </c>
      <c r="O221" s="41">
        <f t="shared" si="16"/>
        <v>915.68339624387772</v>
      </c>
      <c r="P221" s="41">
        <f t="shared" si="16"/>
        <v>913.08154248793949</v>
      </c>
      <c r="T221" s="34">
        <v>681</v>
      </c>
      <c r="U221" s="88" t="s">
        <v>535</v>
      </c>
      <c r="V221" s="41">
        <f>C221/'1. Väestöennuste'!E221*1000</f>
        <v>95.901419769622279</v>
      </c>
      <c r="W221" s="41">
        <f>D221/'1. Väestöennuste'!F221*1000</f>
        <v>291.31268840778296</v>
      </c>
      <c r="X221" s="41">
        <f>E221/'1. Väestöennuste'!G221*1000</f>
        <v>375.17590768364761</v>
      </c>
      <c r="Y221" s="41">
        <f>F221/'1. Väestöennuste'!H221*1000</f>
        <v>380.19351166761527</v>
      </c>
      <c r="Z221" s="41">
        <f>G221/'1. Väestöennuste'!I221*1000</f>
        <v>637.71495190906444</v>
      </c>
      <c r="AA221" s="41">
        <f>H221/'1. Väestöennuste'!J221*1000</f>
        <v>780.61831153388823</v>
      </c>
      <c r="AB221" s="41">
        <f>I221/'1. Väestöennuste'!K221*1000</f>
        <v>156.14927327327328</v>
      </c>
      <c r="AC221" s="41">
        <f>J221/'1. Väestöennuste'!L221*1000</f>
        <v>327.69779625151148</v>
      </c>
      <c r="AD221" s="41">
        <f>K221/'1. Väestöennuste'!M221*1000</f>
        <v>280.91358204428269</v>
      </c>
      <c r="AE221" s="41">
        <f>L221/'1. Väestöennuste'!N221*1000</f>
        <v>297.33437064824892</v>
      </c>
      <c r="AF221" s="41">
        <f>M221/'1. Väestöennuste'!O221*1000</f>
        <v>301.73312680673763</v>
      </c>
      <c r="AG221" s="41">
        <f>N221/'1. Väestöennuste'!P221*1000</f>
        <v>305.58326902008264</v>
      </c>
      <c r="AH221" s="41">
        <f>O221/'1. Väestöennuste'!Q221*1000</f>
        <v>309.4570450300364</v>
      </c>
      <c r="AI221" s="41">
        <f>P221/'1. Väestöennuste'!R221*1000</f>
        <v>313.34301389428259</v>
      </c>
    </row>
    <row r="222" spans="1:35" x14ac:dyDescent="0.2">
      <c r="A222" s="34">
        <v>683</v>
      </c>
      <c r="B222" s="88" t="s">
        <v>536</v>
      </c>
      <c r="C222" s="46">
        <v>7964</v>
      </c>
      <c r="D222" s="46">
        <v>8224</v>
      </c>
      <c r="E222" s="46">
        <v>10248</v>
      </c>
      <c r="F222" s="46">
        <v>11993</v>
      </c>
      <c r="G222" s="70">
        <v>11361</v>
      </c>
      <c r="H222" s="41">
        <v>11801</v>
      </c>
      <c r="I222" s="165">
        <v>11838.026539999999</v>
      </c>
      <c r="J222" s="41">
        <v>11196.54754</v>
      </c>
      <c r="K222" s="41">
        <v>11330.730160000001</v>
      </c>
      <c r="L222" s="41">
        <f t="shared" si="17"/>
        <v>11298.291575107431</v>
      </c>
      <c r="M222" s="41">
        <f t="shared" si="17"/>
        <v>11266.103450052167</v>
      </c>
      <c r="N222" s="41">
        <f t="shared" si="16"/>
        <v>11234.151104884439</v>
      </c>
      <c r="O222" s="41">
        <f t="shared" si="16"/>
        <v>11202.412271844491</v>
      </c>
      <c r="P222" s="41">
        <f t="shared" si="16"/>
        <v>11170.581358927833</v>
      </c>
      <c r="T222" s="34">
        <v>683</v>
      </c>
      <c r="U222" s="88" t="s">
        <v>536</v>
      </c>
      <c r="V222" s="41">
        <f>C222/'1. Väestöennuste'!E222*1000</f>
        <v>1981.0945273631842</v>
      </c>
      <c r="W222" s="41">
        <f>D222/'1. Väestöennuste'!F222*1000</f>
        <v>2044.245587869749</v>
      </c>
      <c r="X222" s="41">
        <f>E222/'1. Väestöennuste'!G222*1000</f>
        <v>2580.0604229607252</v>
      </c>
      <c r="Y222" s="41">
        <f>F222/'1. Väestöennuste'!H222*1000</f>
        <v>3078.2854209445586</v>
      </c>
      <c r="Z222" s="41">
        <f>G222/'1. Väestöennuste'!I222*1000</f>
        <v>3003.1720856463126</v>
      </c>
      <c r="AA222" s="41">
        <f>H222/'1. Väestöennuste'!J222*1000</f>
        <v>3179.1487068965516</v>
      </c>
      <c r="AB222" s="41">
        <f>I222/'1. Väestöennuste'!K222*1000</f>
        <v>3225.6203106267026</v>
      </c>
      <c r="AC222" s="41">
        <f>J222/'1. Väestöennuste'!L222*1000</f>
        <v>3094.6787009397453</v>
      </c>
      <c r="AD222" s="41">
        <f>K222/'1. Väestöennuste'!M222*1000</f>
        <v>3148.2995721033622</v>
      </c>
      <c r="AE222" s="41">
        <f>L222/'1. Väestöennuste'!N222*1000</f>
        <v>3272.021886796244</v>
      </c>
      <c r="AF222" s="41">
        <f>M222/'1. Väestöennuste'!O222*1000</f>
        <v>3319.4176340754766</v>
      </c>
      <c r="AG222" s="41">
        <f>N222/'1. Väestöennuste'!P222*1000</f>
        <v>3366.5421351167029</v>
      </c>
      <c r="AH222" s="41">
        <f>O222/'1. Väestöennuste'!Q222*1000</f>
        <v>3411.2095833874819</v>
      </c>
      <c r="AI222" s="41">
        <f>P222/'1. Väestöennuste'!R222*1000</f>
        <v>3456.2442323415326</v>
      </c>
    </row>
    <row r="223" spans="1:35" x14ac:dyDescent="0.2">
      <c r="A223" s="34">
        <v>684</v>
      </c>
      <c r="B223" s="88" t="s">
        <v>537</v>
      </c>
      <c r="C223" s="46">
        <v>28230</v>
      </c>
      <c r="D223" s="46">
        <v>19997</v>
      </c>
      <c r="E223" s="46">
        <v>18013</v>
      </c>
      <c r="F223" s="46">
        <v>12125</v>
      </c>
      <c r="G223" s="70">
        <v>18364</v>
      </c>
      <c r="H223" s="41">
        <v>29718</v>
      </c>
      <c r="I223" s="165">
        <v>41686.720000000001</v>
      </c>
      <c r="J223" s="41">
        <v>15783.668</v>
      </c>
      <c r="K223" s="41">
        <v>17028.852199999998</v>
      </c>
      <c r="L223" s="41">
        <f t="shared" si="17"/>
        <v>16980.100543230092</v>
      </c>
      <c r="M223" s="41">
        <f t="shared" si="17"/>
        <v>16931.725300291539</v>
      </c>
      <c r="N223" s="41">
        <f t="shared" si="16"/>
        <v>16883.70440882018</v>
      </c>
      <c r="O223" s="41">
        <f t="shared" si="16"/>
        <v>16836.004402800641</v>
      </c>
      <c r="P223" s="41">
        <f t="shared" si="16"/>
        <v>16788.166010764588</v>
      </c>
      <c r="T223" s="34">
        <v>684</v>
      </c>
      <c r="U223" s="88" t="s">
        <v>537</v>
      </c>
      <c r="V223" s="41">
        <f>C223/'1. Väestöennuste'!E223*1000</f>
        <v>709.13612499685996</v>
      </c>
      <c r="W223" s="41">
        <f>D223/'1. Väestöennuste'!F223*1000</f>
        <v>504.79628414196998</v>
      </c>
      <c r="X223" s="41">
        <f>E223/'1. Väestöennuste'!G223*1000</f>
        <v>454.64411913175161</v>
      </c>
      <c r="Y223" s="41">
        <f>F223/'1. Väestöennuste'!H223*1000</f>
        <v>308.05386178861789</v>
      </c>
      <c r="Z223" s="41">
        <f>G223/'1. Väestöennuste'!I223*1000</f>
        <v>468.40964162734343</v>
      </c>
      <c r="AA223" s="41">
        <f>H223/'1. Väestöennuste'!J223*1000</f>
        <v>761.21926229508199</v>
      </c>
      <c r="AB223" s="41">
        <f>I223/'1. Väestöennuste'!K223*1000</f>
        <v>1070.0151441258761</v>
      </c>
      <c r="AC223" s="41">
        <f>J223/'1. Väestöennuste'!L223*1000</f>
        <v>408.19479142421181</v>
      </c>
      <c r="AD223" s="41">
        <f>K223/'1. Väestöennuste'!M223*1000</f>
        <v>438.52627214668308</v>
      </c>
      <c r="AE223" s="41">
        <f>L223/'1. Väestöennuste'!N223*1000</f>
        <v>441.33962008707419</v>
      </c>
      <c r="AF223" s="41">
        <f>M223/'1. Väestöennuste'!O223*1000</f>
        <v>441.95466837961783</v>
      </c>
      <c r="AG223" s="41">
        <f>N223/'1. Väestöennuste'!P223*1000</f>
        <v>442.59586360186069</v>
      </c>
      <c r="AH223" s="41">
        <f>O223/'1. Väestöennuste'!Q223*1000</f>
        <v>443.27438463443934</v>
      </c>
      <c r="AI223" s="41">
        <f>P223/'1. Väestöennuste'!R223*1000</f>
        <v>443.91998547687837</v>
      </c>
    </row>
    <row r="224" spans="1:35" x14ac:dyDescent="0.2">
      <c r="A224" s="34">
        <v>686</v>
      </c>
      <c r="B224" s="88" t="s">
        <v>538</v>
      </c>
      <c r="C224" s="46">
        <v>1290</v>
      </c>
      <c r="D224" s="46">
        <v>354</v>
      </c>
      <c r="E224" s="46">
        <v>783</v>
      </c>
      <c r="F224" s="46">
        <v>1373</v>
      </c>
      <c r="G224" s="70">
        <v>167</v>
      </c>
      <c r="H224" s="41">
        <v>782</v>
      </c>
      <c r="I224" s="165">
        <v>1073.0590099999999</v>
      </c>
      <c r="J224" s="41">
        <v>22.856909999999999</v>
      </c>
      <c r="K224" s="41">
        <v>157.59570000000002</v>
      </c>
      <c r="L224" s="41">
        <f t="shared" si="17"/>
        <v>157.14452153038991</v>
      </c>
      <c r="M224" s="41">
        <f t="shared" si="17"/>
        <v>156.69682663093147</v>
      </c>
      <c r="N224" s="41">
        <f t="shared" si="16"/>
        <v>156.25241112264177</v>
      </c>
      <c r="O224" s="41">
        <f t="shared" si="16"/>
        <v>155.81096528998293</v>
      </c>
      <c r="P224" s="41">
        <f t="shared" si="16"/>
        <v>155.36823874615888</v>
      </c>
      <c r="T224" s="34">
        <v>686</v>
      </c>
      <c r="U224" s="88" t="s">
        <v>538</v>
      </c>
      <c r="V224" s="41">
        <f>C224/'1. Väestöennuste'!E224*1000</f>
        <v>390.55404178019984</v>
      </c>
      <c r="W224" s="41">
        <f>D224/'1. Väestöennuste'!F224*1000</f>
        <v>107.66423357664233</v>
      </c>
      <c r="X224" s="41">
        <f>E224/'1. Väestöennuste'!G224*1000</f>
        <v>240.55299539170508</v>
      </c>
      <c r="Y224" s="41">
        <f>F224/'1. Väestöennuste'!H224*1000</f>
        <v>429.59949937421777</v>
      </c>
      <c r="Z224" s="41">
        <f>G224/'1. Väestöennuste'!I224*1000</f>
        <v>53.508490868311434</v>
      </c>
      <c r="AA224" s="41">
        <f>H224/'1. Väestöennuste'!J224*1000</f>
        <v>256.14150016377334</v>
      </c>
      <c r="AB224" s="41">
        <f>I224/'1. Väestöennuste'!K224*1000</f>
        <v>353.79459610946259</v>
      </c>
      <c r="AC224" s="41">
        <f>J224/'1. Väestöennuste'!L224*1000</f>
        <v>7.7115080971659919</v>
      </c>
      <c r="AD224" s="41">
        <f>K224/'1. Väestöennuste'!M224*1000</f>
        <v>53.731912717354255</v>
      </c>
      <c r="AE224" s="41">
        <f>L224/'1. Väestöennuste'!N224*1000</f>
        <v>54.811482919563979</v>
      </c>
      <c r="AF224" s="41">
        <f>M224/'1. Väestöennuste'!O224*1000</f>
        <v>55.566250578344494</v>
      </c>
      <c r="AG224" s="41">
        <f>N224/'1. Väestöennuste'!P224*1000</f>
        <v>56.205903281525821</v>
      </c>
      <c r="AH224" s="41">
        <f>O224/'1. Väestöennuste'!Q224*1000</f>
        <v>56.82383854485154</v>
      </c>
      <c r="AI224" s="41">
        <f>P224/'1. Väestöennuste'!R224*1000</f>
        <v>57.458668175354617</v>
      </c>
    </row>
    <row r="225" spans="1:35" x14ac:dyDescent="0.2">
      <c r="A225" s="34">
        <v>687</v>
      </c>
      <c r="B225" s="88" t="s">
        <v>539</v>
      </c>
      <c r="C225" s="46">
        <v>2373</v>
      </c>
      <c r="D225" s="46">
        <v>2140</v>
      </c>
      <c r="E225" s="46">
        <v>1606</v>
      </c>
      <c r="F225" s="46">
        <v>1345</v>
      </c>
      <c r="G225" s="70">
        <v>1104</v>
      </c>
      <c r="H225" s="41">
        <v>1199</v>
      </c>
      <c r="I225" s="165">
        <v>2469.2914000000001</v>
      </c>
      <c r="J225" s="41">
        <v>3054.2759999999998</v>
      </c>
      <c r="K225" s="41">
        <v>2767.8359399999999</v>
      </c>
      <c r="L225" s="41">
        <f t="shared" si="17"/>
        <v>2759.9119421780983</v>
      </c>
      <c r="M225" s="41">
        <f t="shared" si="17"/>
        <v>2752.0491259154987</v>
      </c>
      <c r="N225" s="41">
        <f t="shared" si="16"/>
        <v>2744.2439052391887</v>
      </c>
      <c r="O225" s="41">
        <f t="shared" si="16"/>
        <v>2736.4908406492518</v>
      </c>
      <c r="P225" s="41">
        <f t="shared" si="16"/>
        <v>2728.7152830700275</v>
      </c>
      <c r="T225" s="34">
        <v>687</v>
      </c>
      <c r="U225" s="88" t="s">
        <v>539</v>
      </c>
      <c r="V225" s="41">
        <f>C225/'1. Väestöennuste'!E225*1000</f>
        <v>1366.1485319516407</v>
      </c>
      <c r="W225" s="41">
        <f>D225/'1. Väestöennuste'!F225*1000</f>
        <v>1242.0197330237957</v>
      </c>
      <c r="X225" s="41">
        <f>E225/'1. Väestöennuste'!G225*1000</f>
        <v>945.81861012956415</v>
      </c>
      <c r="Y225" s="41">
        <f>F225/'1. Väestöennuste'!H225*1000</f>
        <v>814.6577831617202</v>
      </c>
      <c r="Z225" s="41">
        <f>G225/'1. Väestöennuste'!I225*1000</f>
        <v>689.13857677902627</v>
      </c>
      <c r="AA225" s="41">
        <f>H225/'1. Väestöennuste'!J225*1000</f>
        <v>768.09737347853934</v>
      </c>
      <c r="AB225" s="41">
        <f>I225/'1. Väestöennuste'!K225*1000</f>
        <v>1632.049834765367</v>
      </c>
      <c r="AC225" s="41">
        <f>J225/'1. Väestöennuste'!L225*1000</f>
        <v>2067.8916723087341</v>
      </c>
      <c r="AD225" s="41">
        <f>K225/'1. Väestöennuste'!M225*1000</f>
        <v>1943.7050140449437</v>
      </c>
      <c r="AE225" s="41">
        <f>L225/'1. Väestöennuste'!N225*1000</f>
        <v>1923.2835833993718</v>
      </c>
      <c r="AF225" s="41">
        <f>M225/'1. Väestöennuste'!O225*1000</f>
        <v>1954.5803451104396</v>
      </c>
      <c r="AG225" s="41">
        <f>N225/'1. Väestöennuste'!P225*1000</f>
        <v>1987.1425816359078</v>
      </c>
      <c r="AH225" s="41">
        <f>O225/'1. Väestöennuste'!Q225*1000</f>
        <v>2019.5504359035067</v>
      </c>
      <c r="AI225" s="41">
        <f>P225/'1. Väestöennuste'!R225*1000</f>
        <v>2050.1241796168501</v>
      </c>
    </row>
    <row r="226" spans="1:35" x14ac:dyDescent="0.2">
      <c r="A226" s="34">
        <v>689</v>
      </c>
      <c r="B226" s="88" t="s">
        <v>540</v>
      </c>
      <c r="C226" s="46">
        <v>852</v>
      </c>
      <c r="D226" s="46">
        <v>787</v>
      </c>
      <c r="E226" s="46">
        <v>709</v>
      </c>
      <c r="F226" s="46">
        <v>867</v>
      </c>
      <c r="G226" s="70">
        <v>2066</v>
      </c>
      <c r="H226" s="41">
        <v>1131</v>
      </c>
      <c r="I226" s="165">
        <v>2005.17371</v>
      </c>
      <c r="J226" s="41">
        <v>3182.0284900000001</v>
      </c>
      <c r="K226" s="41">
        <v>3961.4360299999998</v>
      </c>
      <c r="L226" s="41">
        <f t="shared" si="17"/>
        <v>3950.0948915966437</v>
      </c>
      <c r="M226" s="41">
        <f t="shared" si="17"/>
        <v>3938.8413186554922</v>
      </c>
      <c r="N226" s="41">
        <f t="shared" si="16"/>
        <v>3927.6701787904481</v>
      </c>
      <c r="O226" s="41">
        <f t="shared" si="16"/>
        <v>3916.5736867745613</v>
      </c>
      <c r="P226" s="41">
        <f t="shared" si="16"/>
        <v>3905.4450019047208</v>
      </c>
      <c r="T226" s="34">
        <v>689</v>
      </c>
      <c r="U226" s="88" t="s">
        <v>540</v>
      </c>
      <c r="V226" s="41">
        <f>C226/'1. Väestöennuste'!E226*1000</f>
        <v>240.88210347752332</v>
      </c>
      <c r="W226" s="41">
        <f>D226/'1. Väestöennuste'!F226*1000</f>
        <v>226.60524042614455</v>
      </c>
      <c r="X226" s="41">
        <f>E226/'1. Väestöennuste'!G226*1000</f>
        <v>206.34458672875436</v>
      </c>
      <c r="Y226" s="41">
        <f>F226/'1. Väestöennuste'!H226*1000</f>
        <v>259.97001499250376</v>
      </c>
      <c r="Z226" s="41">
        <f>G226/'1. Väestöennuste'!I226*1000</f>
        <v>640.42157470551763</v>
      </c>
      <c r="AA226" s="41">
        <f>H226/'1. Väestöennuste'!J226*1000</f>
        <v>359.50413223140498</v>
      </c>
      <c r="AB226" s="41">
        <f>I226/'1. Väestöennuste'!K226*1000</f>
        <v>648.50378719275545</v>
      </c>
      <c r="AC226" s="41">
        <f>J226/'1. Väestöennuste'!L226*1000</f>
        <v>1028.7838635628839</v>
      </c>
      <c r="AD226" s="41">
        <f>K226/'1. Väestöennuste'!M226*1000</f>
        <v>1306.5422262532982</v>
      </c>
      <c r="AE226" s="41">
        <f>L226/'1. Väestöennuste'!N226*1000</f>
        <v>1381.6351492118374</v>
      </c>
      <c r="AF226" s="41">
        <f>M226/'1. Väestöennuste'!O226*1000</f>
        <v>1407.2316251002114</v>
      </c>
      <c r="AG226" s="41">
        <f>N226/'1. Väestöennuste'!P226*1000</f>
        <v>1432.4107143655901</v>
      </c>
      <c r="AH226" s="41">
        <f>O226/'1. Väestöennuste'!Q226*1000</f>
        <v>1456.5168043044109</v>
      </c>
      <c r="AI226" s="41">
        <f>P226/'1. Väestöennuste'!R226*1000</f>
        <v>1479.8957945830698</v>
      </c>
    </row>
    <row r="227" spans="1:35" x14ac:dyDescent="0.2">
      <c r="A227" s="34">
        <v>691</v>
      </c>
      <c r="B227" s="88" t="s">
        <v>541</v>
      </c>
      <c r="C227" s="46">
        <v>13500</v>
      </c>
      <c r="D227" s="46">
        <v>15741</v>
      </c>
      <c r="E227" s="46">
        <v>14042</v>
      </c>
      <c r="F227" s="46">
        <v>13403</v>
      </c>
      <c r="G227" s="70">
        <v>10831</v>
      </c>
      <c r="H227" s="41">
        <v>10837</v>
      </c>
      <c r="I227" s="165">
        <v>13069.859759999999</v>
      </c>
      <c r="J227" s="41">
        <v>9494.81495</v>
      </c>
      <c r="K227" s="41">
        <v>9032.1613600000001</v>
      </c>
      <c r="L227" s="41">
        <f t="shared" si="17"/>
        <v>9006.3033147635088</v>
      </c>
      <c r="M227" s="41">
        <f t="shared" si="17"/>
        <v>8980.6449207086098</v>
      </c>
      <c r="N227" s="41">
        <f t="shared" si="16"/>
        <v>8955.1744758820132</v>
      </c>
      <c r="O227" s="41">
        <f t="shared" si="16"/>
        <v>8929.8742297948793</v>
      </c>
      <c r="P227" s="41">
        <f t="shared" si="16"/>
        <v>8904.5005832919996</v>
      </c>
      <c r="T227" s="34">
        <v>691</v>
      </c>
      <c r="U227" s="88" t="s">
        <v>541</v>
      </c>
      <c r="V227" s="41">
        <f>C227/'1. Väestöennuste'!E227*1000</f>
        <v>4664.8237733241185</v>
      </c>
      <c r="W227" s="41">
        <f>D227/'1. Väestöennuste'!F227*1000</f>
        <v>5515.4169586545204</v>
      </c>
      <c r="X227" s="41">
        <f>E227/'1. Väestöennuste'!G227*1000</f>
        <v>4991.8236757909708</v>
      </c>
      <c r="Y227" s="41">
        <f>F227/'1. Väestöennuste'!H227*1000</f>
        <v>4886.2559241706158</v>
      </c>
      <c r="Z227" s="41">
        <f>G227/'1. Väestöennuste'!I227*1000</f>
        <v>3984.9153789551137</v>
      </c>
      <c r="AA227" s="41">
        <f>H227/'1. Väestöennuste'!J227*1000</f>
        <v>3998.8929889298893</v>
      </c>
      <c r="AB227" s="41">
        <f>I227/'1. Väestöennuste'!K227*1000</f>
        <v>4858.6839256505573</v>
      </c>
      <c r="AC227" s="41">
        <f>J227/'1. Väestöennuste'!L227*1000</f>
        <v>3601.978357359636</v>
      </c>
      <c r="AD227" s="41">
        <f>K227/'1. Väestöennuste'!M227*1000</f>
        <v>3476.5825096227868</v>
      </c>
      <c r="AE227" s="41">
        <f>L227/'1. Väestöennuste'!N227*1000</f>
        <v>3493.5233959517104</v>
      </c>
      <c r="AF227" s="41">
        <f>M227/'1. Väestöennuste'!O227*1000</f>
        <v>3527.3546428549134</v>
      </c>
      <c r="AG227" s="41">
        <f>N227/'1. Väestöennuste'!P227*1000</f>
        <v>3560.7055570107404</v>
      </c>
      <c r="AH227" s="41">
        <f>O227/'1. Väestöennuste'!Q227*1000</f>
        <v>3592.0652573591633</v>
      </c>
      <c r="AI227" s="41">
        <f>P227/'1. Väestöennuste'!R227*1000</f>
        <v>3627.0878139682277</v>
      </c>
    </row>
    <row r="228" spans="1:35" x14ac:dyDescent="0.2">
      <c r="A228" s="34">
        <v>694</v>
      </c>
      <c r="B228" s="88" t="s">
        <v>542</v>
      </c>
      <c r="C228" s="46">
        <v>2659</v>
      </c>
      <c r="D228" s="46">
        <v>300</v>
      </c>
      <c r="E228" s="46">
        <v>3069</v>
      </c>
      <c r="F228" s="46">
        <v>1900</v>
      </c>
      <c r="G228" s="70">
        <v>10035</v>
      </c>
      <c r="H228" s="41">
        <v>18195</v>
      </c>
      <c r="I228" s="165">
        <v>18937.832920000001</v>
      </c>
      <c r="J228" s="41">
        <v>17656.048640000001</v>
      </c>
      <c r="K228" s="41">
        <v>23348.32864</v>
      </c>
      <c r="L228" s="41">
        <f t="shared" si="17"/>
        <v>23281.485044751214</v>
      </c>
      <c r="M228" s="41">
        <f t="shared" si="17"/>
        <v>23215.157552040389</v>
      </c>
      <c r="N228" s="41">
        <f t="shared" si="16"/>
        <v>23149.315912070135</v>
      </c>
      <c r="O228" s="41">
        <f t="shared" si="16"/>
        <v>23083.914239450405</v>
      </c>
      <c r="P228" s="41">
        <f t="shared" si="16"/>
        <v>23018.322825199539</v>
      </c>
      <c r="T228" s="34">
        <v>694</v>
      </c>
      <c r="U228" s="88" t="s">
        <v>542</v>
      </c>
      <c r="V228" s="41">
        <f>C228/'1. Väestöennuste'!E228*1000</f>
        <v>90.846971198196044</v>
      </c>
      <c r="W228" s="41">
        <f>D228/'1. Väestöennuste'!F228*1000</f>
        <v>10.2880658436214</v>
      </c>
      <c r="X228" s="41">
        <f>E228/'1. Väestöennuste'!G228*1000</f>
        <v>105.75100789083767</v>
      </c>
      <c r="Y228" s="41">
        <f>F228/'1. Väestöennuste'!H228*1000</f>
        <v>66.119153674832972</v>
      </c>
      <c r="Z228" s="41">
        <f>G228/'1. Väestöennuste'!I228*1000</f>
        <v>348.52221025943805</v>
      </c>
      <c r="AA228" s="41">
        <f>H228/'1. Väestöennuste'!J228*1000</f>
        <v>633.75130616509921</v>
      </c>
      <c r="AB228" s="41">
        <f>I228/'1. Väestöennuste'!K228*1000</f>
        <v>663.9961053259002</v>
      </c>
      <c r="AC228" s="41">
        <f>J228/'1. Väestöennuste'!L228*1000</f>
        <v>622.81028043317235</v>
      </c>
      <c r="AD228" s="41">
        <f>K228/'1. Väestöennuste'!M228*1000</f>
        <v>819.72856230031948</v>
      </c>
      <c r="AE228" s="41">
        <f>L228/'1. Väestöennuste'!N228*1000</f>
        <v>822.81268933561455</v>
      </c>
      <c r="AF228" s="41">
        <f>M228/'1. Väestöennuste'!O228*1000</f>
        <v>823.14496869270602</v>
      </c>
      <c r="AG228" s="41">
        <f>N228/'1. Väestöennuste'!P228*1000</f>
        <v>823.52600185237043</v>
      </c>
      <c r="AH228" s="41">
        <f>O228/'1. Väestöennuste'!Q228*1000</f>
        <v>823.92526821038666</v>
      </c>
      <c r="AI228" s="41">
        <f>P228/'1. Väestöennuste'!R228*1000</f>
        <v>824.26136307382149</v>
      </c>
    </row>
    <row r="229" spans="1:35" x14ac:dyDescent="0.2">
      <c r="A229" s="89">
        <v>697</v>
      </c>
      <c r="B229" s="90" t="s">
        <v>543</v>
      </c>
      <c r="C229" s="46">
        <v>897</v>
      </c>
      <c r="D229" s="46">
        <v>861</v>
      </c>
      <c r="E229" s="46">
        <v>1183</v>
      </c>
      <c r="F229" s="46">
        <v>1357</v>
      </c>
      <c r="G229" s="70">
        <v>2027</v>
      </c>
      <c r="H229" s="41">
        <v>1538</v>
      </c>
      <c r="I229" s="165">
        <v>1944.7121299999999</v>
      </c>
      <c r="J229" s="41">
        <v>1704.77847</v>
      </c>
      <c r="K229" s="41">
        <v>1373.9282800000001</v>
      </c>
      <c r="L229" s="41">
        <f t="shared" si="17"/>
        <v>1369.9948804292983</v>
      </c>
      <c r="M229" s="41">
        <f t="shared" si="17"/>
        <v>1366.0918508213986</v>
      </c>
      <c r="N229" s="41">
        <f t="shared" si="16"/>
        <v>1362.2174111323095</v>
      </c>
      <c r="O229" s="41">
        <f t="shared" si="16"/>
        <v>1358.3688612443486</v>
      </c>
      <c r="P229" s="41">
        <f t="shared" si="16"/>
        <v>1354.5091460435754</v>
      </c>
      <c r="T229" s="89">
        <v>697</v>
      </c>
      <c r="U229" s="90" t="s">
        <v>543</v>
      </c>
      <c r="V229" s="41">
        <f>C229/'1. Väestöennuste'!E229*1000</f>
        <v>663.95262768319765</v>
      </c>
      <c r="W229" s="41">
        <f>D229/'1. Väestöennuste'!F229*1000</f>
        <v>640.14869888475835</v>
      </c>
      <c r="X229" s="41">
        <f>E229/'1. Väestöennuste'!G229*1000</f>
        <v>898.25360668185272</v>
      </c>
      <c r="Y229" s="41">
        <f>F229/'1. Väestöennuste'!H229*1000</f>
        <v>1053.5714285714287</v>
      </c>
      <c r="Z229" s="41">
        <f>G229/'1. Väestöennuste'!I229*1000</f>
        <v>1593.5534591194969</v>
      </c>
      <c r="AA229" s="41">
        <f>H229/'1. Väestöennuste'!J229*1000</f>
        <v>1245.3441295546559</v>
      </c>
      <c r="AB229" s="41">
        <f>I229/'1. Väestöennuste'!K229*1000</f>
        <v>1607.2001074380164</v>
      </c>
      <c r="AC229" s="41">
        <f>J229/'1. Väestöennuste'!L229*1000</f>
        <v>1452.111132879046</v>
      </c>
      <c r="AD229" s="41">
        <f>K229/'1. Väestöennuste'!M229*1000</f>
        <v>1180.3507560137459</v>
      </c>
      <c r="AE229" s="41">
        <f>L229/'1. Väestöennuste'!N229*1000</f>
        <v>1166.9462354593682</v>
      </c>
      <c r="AF229" s="41">
        <f>M229/'1. Väestöennuste'!O229*1000</f>
        <v>1171.6053609102903</v>
      </c>
      <c r="AG229" s="41">
        <f>N229/'1. Väestöennuste'!P229*1000</f>
        <v>1178.388763955285</v>
      </c>
      <c r="AH229" s="41">
        <f>O229/'1. Väestöennuste'!Q229*1000</f>
        <v>1186.3483504317455</v>
      </c>
      <c r="AI229" s="41">
        <f>P229/'1. Väestöennuste'!R229*1000</f>
        <v>1191.3009200031445</v>
      </c>
    </row>
    <row r="230" spans="1:35" x14ac:dyDescent="0.2">
      <c r="A230" s="34">
        <v>698</v>
      </c>
      <c r="B230" s="88" t="s">
        <v>544</v>
      </c>
      <c r="C230" s="46">
        <v>10778</v>
      </c>
      <c r="D230" s="46">
        <v>40460</v>
      </c>
      <c r="E230" s="46">
        <v>34112</v>
      </c>
      <c r="F230" s="46">
        <v>40916</v>
      </c>
      <c r="G230" s="70">
        <v>58528</v>
      </c>
      <c r="H230" s="41">
        <v>78004</v>
      </c>
      <c r="I230" s="165">
        <v>78720.377649999995</v>
      </c>
      <c r="J230" s="41">
        <v>75144.353430000003</v>
      </c>
      <c r="K230" s="41">
        <v>65327.388639999997</v>
      </c>
      <c r="L230" s="41">
        <f t="shared" si="17"/>
        <v>65140.363795856276</v>
      </c>
      <c r="M230" s="41">
        <f t="shared" si="17"/>
        <v>64954.782979317075</v>
      </c>
      <c r="N230" s="41">
        <f t="shared" si="16"/>
        <v>64770.561553049207</v>
      </c>
      <c r="O230" s="41">
        <f t="shared" si="16"/>
        <v>64587.571132158206</v>
      </c>
      <c r="P230" s="41">
        <f t="shared" si="16"/>
        <v>64404.049824218731</v>
      </c>
      <c r="T230" s="34">
        <v>698</v>
      </c>
      <c r="U230" s="88" t="s">
        <v>544</v>
      </c>
      <c r="V230" s="41">
        <f>C230/'1. Väestöennuste'!E230*1000</f>
        <v>174.29412335457161</v>
      </c>
      <c r="W230" s="41">
        <f>D230/'1. Väestöennuste'!F230*1000</f>
        <v>650.15828124246752</v>
      </c>
      <c r="X230" s="41">
        <f>E230/'1. Väestöennuste'!G230*1000</f>
        <v>546.49150913168853</v>
      </c>
      <c r="Y230" s="41">
        <f>F230/'1. Väestöennuste'!H230*1000</f>
        <v>650.26540796541758</v>
      </c>
      <c r="Z230" s="41">
        <f>G230/'1. Väestöennuste'!I230*1000</f>
        <v>928.39694172139207</v>
      </c>
      <c r="AA230" s="41">
        <f>H230/'1. Väestöennuste'!J230*1000</f>
        <v>1227.8680266968895</v>
      </c>
      <c r="AB230" s="41">
        <f>I230/'1. Väestöennuste'!K230*1000</f>
        <v>1226.5562114365844</v>
      </c>
      <c r="AC230" s="41">
        <f>J230/'1. Väestöennuste'!L230*1000</f>
        <v>1164.3968920740683</v>
      </c>
      <c r="AD230" s="41">
        <f>K230/'1. Väestöennuste'!M230*1000</f>
        <v>1000.6339588885825</v>
      </c>
      <c r="AE230" s="41">
        <f>L230/'1. Väestöennuste'!N230*1000</f>
        <v>1002.8846057280845</v>
      </c>
      <c r="AF230" s="41">
        <f>M230/'1. Väestöennuste'!O230*1000</f>
        <v>995.42983432665278</v>
      </c>
      <c r="AG230" s="41">
        <f>N230/'1. Väestöennuste'!P230*1000</f>
        <v>988.29017597499478</v>
      </c>
      <c r="AH230" s="41">
        <f>O230/'1. Väestöennuste'!Q230*1000</f>
        <v>981.54419519403984</v>
      </c>
      <c r="AI230" s="41">
        <f>P230/'1. Väestöennuste'!R230*1000</f>
        <v>975.16882418113266</v>
      </c>
    </row>
    <row r="231" spans="1:35" x14ac:dyDescent="0.2">
      <c r="A231" s="34">
        <v>700</v>
      </c>
      <c r="B231" s="88" t="s">
        <v>545</v>
      </c>
      <c r="C231" s="46">
        <v>1293</v>
      </c>
      <c r="D231" s="46">
        <v>2217</v>
      </c>
      <c r="E231" s="46">
        <v>4838</v>
      </c>
      <c r="F231" s="46">
        <v>4143</v>
      </c>
      <c r="G231" s="70">
        <v>4154</v>
      </c>
      <c r="H231" s="41">
        <v>6780</v>
      </c>
      <c r="I231" s="165">
        <v>5219.4952300000004</v>
      </c>
      <c r="J231" s="41">
        <v>3715.44598</v>
      </c>
      <c r="K231" s="41">
        <v>2858.5938599999999</v>
      </c>
      <c r="L231" s="41">
        <f t="shared" si="17"/>
        <v>2850.4100326303974</v>
      </c>
      <c r="M231" s="41">
        <f t="shared" si="17"/>
        <v>2842.2893929762367</v>
      </c>
      <c r="N231" s="41">
        <f t="shared" si="16"/>
        <v>2834.2282374796991</v>
      </c>
      <c r="O231" s="41">
        <f t="shared" si="16"/>
        <v>2826.2209482785274</v>
      </c>
      <c r="P231" s="41">
        <f t="shared" si="16"/>
        <v>2818.1904285382398</v>
      </c>
      <c r="T231" s="34">
        <v>700</v>
      </c>
      <c r="U231" s="88" t="s">
        <v>545</v>
      </c>
      <c r="V231" s="41">
        <f>C231/'1. Väestöennuste'!E231*1000</f>
        <v>243.41114457831324</v>
      </c>
      <c r="W231" s="41">
        <f>D231/'1. Väestöennuste'!F231*1000</f>
        <v>422.6882745471878</v>
      </c>
      <c r="X231" s="41">
        <f>E231/'1. Väestöennuste'!G231*1000</f>
        <v>927.17516289766183</v>
      </c>
      <c r="Y231" s="41">
        <f>F231/'1. Väestöennuste'!H231*1000</f>
        <v>812.51225730535407</v>
      </c>
      <c r="Z231" s="41">
        <f>G231/'1. Väestöennuste'!I231*1000</f>
        <v>831.79815778934721</v>
      </c>
      <c r="AA231" s="41">
        <f>H231/'1. Väestöennuste'!J231*1000</f>
        <v>1377.4888256806178</v>
      </c>
      <c r="AB231" s="41">
        <f>I231/'1. Väestöennuste'!K231*1000</f>
        <v>1062.384536942805</v>
      </c>
      <c r="AC231" s="41">
        <f>J231/'1. Väestöennuste'!L231*1000</f>
        <v>767.33704667492771</v>
      </c>
      <c r="AD231" s="41">
        <f>K231/'1. Väestöennuste'!M231*1000</f>
        <v>600.79736443883985</v>
      </c>
      <c r="AE231" s="41">
        <f>L231/'1. Väestöennuste'!N231*1000</f>
        <v>614.57741108891707</v>
      </c>
      <c r="AF231" s="41">
        <f>M231/'1. Väestöennuste'!O231*1000</f>
        <v>621.40126650114496</v>
      </c>
      <c r="AG231" s="41">
        <f>N231/'1. Väestöennuste'!P231*1000</f>
        <v>628.1534214272383</v>
      </c>
      <c r="AH231" s="41">
        <f>O231/'1. Väestöennuste'!Q231*1000</f>
        <v>634.96314272714619</v>
      </c>
      <c r="AI231" s="41">
        <f>P231/'1. Väestöennuste'!R231*1000</f>
        <v>642.10308237371601</v>
      </c>
    </row>
    <row r="232" spans="1:35" x14ac:dyDescent="0.2">
      <c r="A232" s="34">
        <v>702</v>
      </c>
      <c r="B232" s="88" t="s">
        <v>546</v>
      </c>
      <c r="C232" s="46">
        <v>1050</v>
      </c>
      <c r="D232" s="46">
        <v>1523</v>
      </c>
      <c r="E232" s="46">
        <v>2494</v>
      </c>
      <c r="F232" s="46">
        <v>1164</v>
      </c>
      <c r="G232" s="70">
        <v>4509</v>
      </c>
      <c r="H232" s="41">
        <v>4050</v>
      </c>
      <c r="I232" s="165">
        <v>2852.93199</v>
      </c>
      <c r="J232" s="41">
        <v>2395.8355799999999</v>
      </c>
      <c r="K232" s="41">
        <v>3923.33898</v>
      </c>
      <c r="L232" s="41">
        <f t="shared" si="17"/>
        <v>3912.1069090947776</v>
      </c>
      <c r="M232" s="41">
        <f t="shared" si="17"/>
        <v>3900.9615615364846</v>
      </c>
      <c r="N232" s="41">
        <f t="shared" si="16"/>
        <v>3889.8978542970776</v>
      </c>
      <c r="O232" s="41">
        <f t="shared" si="16"/>
        <v>3878.9080770199757</v>
      </c>
      <c r="P232" s="41">
        <f t="shared" si="16"/>
        <v>3867.8864164869437</v>
      </c>
      <c r="T232" s="34">
        <v>702</v>
      </c>
      <c r="U232" s="88" t="s">
        <v>546</v>
      </c>
      <c r="V232" s="41">
        <f>C232/'1. Väestöennuste'!E232*1000</f>
        <v>227.12524334847501</v>
      </c>
      <c r="W232" s="41">
        <f>D232/'1. Väestöennuste'!F232*1000</f>
        <v>333.62541073384449</v>
      </c>
      <c r="X232" s="41">
        <f>E232/'1. Väestöennuste'!G232*1000</f>
        <v>559.31823278762045</v>
      </c>
      <c r="Y232" s="41">
        <f>F232/'1. Väestöennuste'!H232*1000</f>
        <v>264.66575716234655</v>
      </c>
      <c r="Z232" s="41">
        <f>G232/'1. Väestöennuste'!I232*1000</f>
        <v>1052.7667522764416</v>
      </c>
      <c r="AA232" s="41">
        <f>H232/'1. Väestöennuste'!J232*1000</f>
        <v>960.85409252669035</v>
      </c>
      <c r="AB232" s="41">
        <f>I232/'1. Väestöennuste'!K232*1000</f>
        <v>686.62623104693148</v>
      </c>
      <c r="AC232" s="41">
        <f>J232/'1. Väestöennuste'!L232*1000</f>
        <v>582.36158969372877</v>
      </c>
      <c r="AD232" s="41">
        <f>K232/'1. Väestöennuste'!M232*1000</f>
        <v>951.34310863239568</v>
      </c>
      <c r="AE232" s="41">
        <f>L232/'1. Väestöennuste'!N232*1000</f>
        <v>1002.3333100422183</v>
      </c>
      <c r="AF232" s="41">
        <f>M232/'1. Väestöennuste'!O232*1000</f>
        <v>1015.3465803062168</v>
      </c>
      <c r="AG232" s="41">
        <f>N232/'1. Väestöennuste'!P232*1000</f>
        <v>1026.900172728901</v>
      </c>
      <c r="AH232" s="41">
        <f>O232/'1. Väestöennuste'!Q232*1000</f>
        <v>1037.6961147725992</v>
      </c>
      <c r="AI232" s="41">
        <f>P232/'1. Väestöennuste'!R232*1000</f>
        <v>1047.6398744547519</v>
      </c>
    </row>
    <row r="233" spans="1:35" x14ac:dyDescent="0.2">
      <c r="A233" s="34">
        <v>704</v>
      </c>
      <c r="B233" s="88" t="s">
        <v>547</v>
      </c>
      <c r="C233" s="46">
        <v>1993</v>
      </c>
      <c r="D233" s="46">
        <v>3299</v>
      </c>
      <c r="E233" s="46">
        <v>5824</v>
      </c>
      <c r="F233" s="46">
        <v>7201</v>
      </c>
      <c r="G233" s="70">
        <v>5210</v>
      </c>
      <c r="H233" s="41">
        <v>7612</v>
      </c>
      <c r="I233" s="165">
        <v>7064.2586300000003</v>
      </c>
      <c r="J233" s="41">
        <v>5568.2909800000007</v>
      </c>
      <c r="K233" s="41">
        <v>6298.0732800000005</v>
      </c>
      <c r="L233" s="41">
        <f t="shared" si="17"/>
        <v>6280.0426163209613</v>
      </c>
      <c r="M233" s="41">
        <f t="shared" si="17"/>
        <v>6262.1511682429273</v>
      </c>
      <c r="N233" s="41">
        <f t="shared" si="16"/>
        <v>6244.3907760623224</v>
      </c>
      <c r="O233" s="41">
        <f t="shared" si="16"/>
        <v>6226.7490624671163</v>
      </c>
      <c r="P233" s="41">
        <f t="shared" si="16"/>
        <v>6209.0561671913892</v>
      </c>
      <c r="T233" s="34">
        <v>704</v>
      </c>
      <c r="U233" s="88" t="s">
        <v>547</v>
      </c>
      <c r="V233" s="41">
        <f>C233/'1. Väestöennuste'!E233*1000</f>
        <v>326.1865793780687</v>
      </c>
      <c r="W233" s="41">
        <f>D233/'1. Väestöennuste'!F233*1000</f>
        <v>537.5590679485091</v>
      </c>
      <c r="X233" s="41">
        <f>E233/'1. Väestöennuste'!G233*1000</f>
        <v>929.90579594443557</v>
      </c>
      <c r="Y233" s="41">
        <f>F233/'1. Väestöennuste'!H233*1000</f>
        <v>1151.9756838905776</v>
      </c>
      <c r="Z233" s="41">
        <f>G233/'1. Väestöennuste'!I233*1000</f>
        <v>823.45503398134974</v>
      </c>
      <c r="AA233" s="41">
        <f>H233/'1. Väestöennuste'!J233*1000</f>
        <v>1197.9855209316966</v>
      </c>
      <c r="AB233" s="41">
        <f>I233/'1. Väestöennuste'!K233*1000</f>
        <v>1107.424146417934</v>
      </c>
      <c r="AC233" s="41">
        <f>J233/'1. Väestöennuste'!L233*1000</f>
        <v>866.25559738643437</v>
      </c>
      <c r="AD233" s="41">
        <f>K233/'1. Väestöennuste'!M233*1000</f>
        <v>978.56949658172789</v>
      </c>
      <c r="AE233" s="41">
        <f>L233/'1. Väestöennuste'!N233*1000</f>
        <v>955.13956141763663</v>
      </c>
      <c r="AF233" s="41">
        <f>M233/'1. Väestöennuste'!O233*1000</f>
        <v>943.80575256110433</v>
      </c>
      <c r="AG233" s="41">
        <f>N233/'1. Väestöennuste'!P233*1000</f>
        <v>933.25224571249771</v>
      </c>
      <c r="AH233" s="41">
        <f>O233/'1. Väestöennuste'!Q233*1000</f>
        <v>922.8915165950965</v>
      </c>
      <c r="AI233" s="41">
        <f>P233/'1. Väestöennuste'!R233*1000</f>
        <v>913.49950966476229</v>
      </c>
    </row>
    <row r="234" spans="1:35" x14ac:dyDescent="0.2">
      <c r="A234" s="34">
        <v>707</v>
      </c>
      <c r="B234" s="88" t="s">
        <v>548</v>
      </c>
      <c r="C234" s="46">
        <v>1546</v>
      </c>
      <c r="D234" s="46">
        <v>1469</v>
      </c>
      <c r="E234" s="46">
        <v>1257</v>
      </c>
      <c r="F234" s="46">
        <v>1378</v>
      </c>
      <c r="G234" s="70">
        <v>667</v>
      </c>
      <c r="H234" s="41">
        <v>1192</v>
      </c>
      <c r="I234" s="165">
        <v>1104.8415</v>
      </c>
      <c r="J234" s="41">
        <v>2432.9461900000001</v>
      </c>
      <c r="K234" s="41">
        <v>1005.5261899999999</v>
      </c>
      <c r="L234" s="41">
        <f t="shared" si="17"/>
        <v>1002.6474834898788</v>
      </c>
      <c r="M234" s="41">
        <f t="shared" si="17"/>
        <v>999.79100360790949</v>
      </c>
      <c r="N234" s="41">
        <f t="shared" si="16"/>
        <v>996.95544760715916</v>
      </c>
      <c r="O234" s="41">
        <f t="shared" si="16"/>
        <v>994.1388393735283</v>
      </c>
      <c r="P234" s="41">
        <f t="shared" si="16"/>
        <v>991.31405966936597</v>
      </c>
      <c r="T234" s="34">
        <v>707</v>
      </c>
      <c r="U234" s="88" t="s">
        <v>548</v>
      </c>
      <c r="V234" s="41">
        <f>C234/'1. Väestöennuste'!E234*1000</f>
        <v>658.15240527884214</v>
      </c>
      <c r="W234" s="41">
        <f>D234/'1. Väestöennuste'!F234*1000</f>
        <v>647.70723104056435</v>
      </c>
      <c r="X234" s="41">
        <f>E234/'1. Väestöennuste'!G234*1000</f>
        <v>561.16071428571422</v>
      </c>
      <c r="Y234" s="41">
        <f>F234/'1. Väestöennuste'!H234*1000</f>
        <v>631.82026593305818</v>
      </c>
      <c r="Z234" s="41">
        <f>G234/'1. Väestöennuste'!I234*1000</f>
        <v>313.73471307619945</v>
      </c>
      <c r="AA234" s="41">
        <f>H234/'1. Väestöennuste'!J234*1000</f>
        <v>576.96030977734756</v>
      </c>
      <c r="AB234" s="41">
        <f>I234/'1. Väestöennuste'!K234*1000</f>
        <v>543.7212106299213</v>
      </c>
      <c r="AC234" s="41">
        <f>J234/'1. Väestöennuste'!L234*1000</f>
        <v>1241.2990765306122</v>
      </c>
      <c r="AD234" s="41">
        <f>K234/'1. Väestöennuste'!M234*1000</f>
        <v>528.667818086225</v>
      </c>
      <c r="AE234" s="41">
        <f>L234/'1. Väestöennuste'!N234*1000</f>
        <v>526.04799763372444</v>
      </c>
      <c r="AF234" s="41">
        <f>M234/'1. Väestöennuste'!O234*1000</f>
        <v>532.93763518545279</v>
      </c>
      <c r="AG234" s="41">
        <f>N234/'1. Väestöennuste'!P234*1000</f>
        <v>539.77013947328601</v>
      </c>
      <c r="AH234" s="41">
        <f>O234/'1. Väestöennuste'!Q234*1000</f>
        <v>546.53042296510625</v>
      </c>
      <c r="AI234" s="41">
        <f>P234/'1. Väestöennuste'!R234*1000</f>
        <v>552.8801225149839</v>
      </c>
    </row>
    <row r="235" spans="1:35" x14ac:dyDescent="0.2">
      <c r="A235" s="34">
        <v>710</v>
      </c>
      <c r="B235" s="88" t="s">
        <v>549</v>
      </c>
      <c r="C235" s="46">
        <v>5154</v>
      </c>
      <c r="D235" s="46">
        <v>3553</v>
      </c>
      <c r="E235" s="46">
        <v>6458</v>
      </c>
      <c r="F235" s="46">
        <v>6270</v>
      </c>
      <c r="G235" s="70">
        <v>3428</v>
      </c>
      <c r="H235" s="41">
        <v>5378</v>
      </c>
      <c r="I235" s="165">
        <v>9345.2785899999999</v>
      </c>
      <c r="J235" s="41">
        <v>14774.012550000001</v>
      </c>
      <c r="K235" s="41">
        <v>6441.2283399999997</v>
      </c>
      <c r="L235" s="41">
        <f t="shared" ref="L235:M254" si="18">K235*L$8</f>
        <v>6422.7878397525274</v>
      </c>
      <c r="M235" s="41">
        <f t="shared" si="18"/>
        <v>6404.4897194734522</v>
      </c>
      <c r="N235" s="41">
        <f t="shared" si="16"/>
        <v>6386.3256339893242</v>
      </c>
      <c r="O235" s="41">
        <f t="shared" si="16"/>
        <v>6368.282924652096</v>
      </c>
      <c r="P235" s="41">
        <f t="shared" si="16"/>
        <v>6350.1878702759323</v>
      </c>
      <c r="T235" s="34">
        <v>710</v>
      </c>
      <c r="U235" s="88" t="s">
        <v>549</v>
      </c>
      <c r="V235" s="41">
        <f>C235/'1. Väestöennuste'!E235*1000</f>
        <v>181.4469283576835</v>
      </c>
      <c r="W235" s="41">
        <f>D235/'1. Väestöennuste'!F235*1000</f>
        <v>126.54485878120883</v>
      </c>
      <c r="X235" s="41">
        <f>E235/'1. Väestöennuste'!G235*1000</f>
        <v>231.87677282682847</v>
      </c>
      <c r="Y235" s="41">
        <f>F235/'1. Väestöennuste'!H235*1000</f>
        <v>227.23977964627429</v>
      </c>
      <c r="Z235" s="41">
        <f>G235/'1. Väestöennuste'!I235*1000</f>
        <v>124.49157466589192</v>
      </c>
      <c r="AA235" s="41">
        <f>H235/'1. Väestöennuste'!J235*1000</f>
        <v>195.36471955826795</v>
      </c>
      <c r="AB235" s="41">
        <f>I235/'1. Väestöennuste'!K235*1000</f>
        <v>340.02614575753165</v>
      </c>
      <c r="AC235" s="41">
        <f>J235/'1. Väestöennuste'!L235*1000</f>
        <v>541.05370797626892</v>
      </c>
      <c r="AD235" s="41">
        <f>K235/'1. Väestöennuste'!M235*1000</f>
        <v>236.7315351538094</v>
      </c>
      <c r="AE235" s="41">
        <f>L235/'1. Väestöennuste'!N235*1000</f>
        <v>239.12091734000472</v>
      </c>
      <c r="AF235" s="41">
        <f>M235/'1. Väestöennuste'!O235*1000</f>
        <v>239.78770150411668</v>
      </c>
      <c r="AG235" s="41">
        <f>N235/'1. Väestöennuste'!P235*1000</f>
        <v>240.41280055674309</v>
      </c>
      <c r="AH235" s="41">
        <f>O235/'1. Väestöennuste'!Q235*1000</f>
        <v>240.97638493404835</v>
      </c>
      <c r="AI235" s="41">
        <f>P235/'1. Väestöennuste'!R235*1000</f>
        <v>241.47955547309323</v>
      </c>
    </row>
    <row r="236" spans="1:35" x14ac:dyDescent="0.2">
      <c r="A236" s="34">
        <v>729</v>
      </c>
      <c r="B236" s="88" t="s">
        <v>550</v>
      </c>
      <c r="C236" s="46">
        <v>471</v>
      </c>
      <c r="D236" s="46">
        <v>135</v>
      </c>
      <c r="E236" s="46">
        <v>414</v>
      </c>
      <c r="F236" s="46">
        <v>206</v>
      </c>
      <c r="G236" s="70">
        <v>51</v>
      </c>
      <c r="H236" s="41">
        <v>1638</v>
      </c>
      <c r="I236" s="165">
        <v>2462.20847</v>
      </c>
      <c r="J236" s="41">
        <v>1685.62393</v>
      </c>
      <c r="K236" s="41">
        <v>3830.69985</v>
      </c>
      <c r="L236" s="41">
        <f t="shared" si="18"/>
        <v>3819.7329943316113</v>
      </c>
      <c r="M236" s="41">
        <f t="shared" si="18"/>
        <v>3808.8508142708533</v>
      </c>
      <c r="N236" s="41">
        <f t="shared" si="16"/>
        <v>3798.0483468117604</v>
      </c>
      <c r="O236" s="41">
        <f t="shared" si="16"/>
        <v>3787.3180636571483</v>
      </c>
      <c r="P236" s="41">
        <f t="shared" si="16"/>
        <v>3776.5566500842033</v>
      </c>
      <c r="T236" s="34">
        <v>729</v>
      </c>
      <c r="U236" s="88" t="s">
        <v>550</v>
      </c>
      <c r="V236" s="41">
        <f>C236/'1. Väestöennuste'!E236*1000</f>
        <v>47.503782148260214</v>
      </c>
      <c r="W236" s="41">
        <f>D236/'1. Väestöennuste'!F236*1000</f>
        <v>13.93188854489164</v>
      </c>
      <c r="X236" s="41">
        <f>E236/'1. Väestöennuste'!G236*1000</f>
        <v>43.174470747731782</v>
      </c>
      <c r="Y236" s="41">
        <f>F236/'1. Väestöennuste'!H236*1000</f>
        <v>21.879978757302176</v>
      </c>
      <c r="Z236" s="41">
        <f>G236/'1. Väestöennuste'!I236*1000</f>
        <v>5.4785691266516272</v>
      </c>
      <c r="AA236" s="41">
        <f>H236/'1. Väestöennuste'!J236*1000</f>
        <v>177.88879235447436</v>
      </c>
      <c r="AB236" s="41">
        <f>I236/'1. Väestöennuste'!K236*1000</f>
        <v>270.06783700778766</v>
      </c>
      <c r="AC236" s="41">
        <f>J236/'1. Väestöennuste'!L236*1000</f>
        <v>187.81325125348189</v>
      </c>
      <c r="AD236" s="41">
        <f>K236/'1. Väestöennuste'!M236*1000</f>
        <v>432.99421837911154</v>
      </c>
      <c r="AE236" s="41">
        <f>L236/'1. Väestöennuste'!N236*1000</f>
        <v>438.24380384713299</v>
      </c>
      <c r="AF236" s="41">
        <f>M236/'1. Väestöennuste'!O236*1000</f>
        <v>442.78665592546542</v>
      </c>
      <c r="AG236" s="41">
        <f>N236/'1. Väestöennuste'!P236*1000</f>
        <v>447.40821613991761</v>
      </c>
      <c r="AH236" s="41">
        <f>O236/'1. Väestöennuste'!Q236*1000</f>
        <v>451.83942539455364</v>
      </c>
      <c r="AI236" s="41">
        <f>P236/'1. Väestöennuste'!R236*1000</f>
        <v>456.21607273305187</v>
      </c>
    </row>
    <row r="237" spans="1:35" x14ac:dyDescent="0.2">
      <c r="A237" s="34">
        <v>732</v>
      </c>
      <c r="B237" s="88" t="s">
        <v>551</v>
      </c>
      <c r="C237" s="46">
        <v>260</v>
      </c>
      <c r="D237" s="46">
        <v>81</v>
      </c>
      <c r="E237" s="46">
        <v>597</v>
      </c>
      <c r="F237" s="46">
        <v>2396</v>
      </c>
      <c r="G237" s="70">
        <v>1414</v>
      </c>
      <c r="H237" s="41">
        <v>2382</v>
      </c>
      <c r="I237" s="165">
        <v>2543.8312099999998</v>
      </c>
      <c r="J237" s="41">
        <v>3754.0725400000001</v>
      </c>
      <c r="K237" s="41">
        <v>1528.90453</v>
      </c>
      <c r="L237" s="41">
        <f t="shared" si="18"/>
        <v>1524.5274511455302</v>
      </c>
      <c r="M237" s="41">
        <f t="shared" si="18"/>
        <v>1520.1841679224481</v>
      </c>
      <c r="N237" s="41">
        <f t="shared" si="16"/>
        <v>1515.8726995015054</v>
      </c>
      <c r="O237" s="41">
        <f t="shared" si="16"/>
        <v>1511.5900411973657</v>
      </c>
      <c r="P237" s="41">
        <f t="shared" si="16"/>
        <v>1507.2949581563703</v>
      </c>
      <c r="T237" s="34">
        <v>732</v>
      </c>
      <c r="U237" s="88" t="s">
        <v>551</v>
      </c>
      <c r="V237" s="41">
        <f>C237/'1. Väestöennuste'!E237*1000</f>
        <v>69.761202039173597</v>
      </c>
      <c r="W237" s="41">
        <f>D237/'1. Väestöennuste'!F237*1000</f>
        <v>22.17355598138516</v>
      </c>
      <c r="X237" s="41">
        <f>E237/'1. Väestöennuste'!G237*1000</f>
        <v>166.99300699300699</v>
      </c>
      <c r="Y237" s="41">
        <f>F237/'1. Väestöennuste'!H237*1000</f>
        <v>686.33629332569467</v>
      </c>
      <c r="Z237" s="41">
        <f>G237/'1. Väestöennuste'!I237*1000</f>
        <v>415.88235294117646</v>
      </c>
      <c r="AA237" s="41">
        <f>H237/'1. Väestöennuste'!J237*1000</f>
        <v>699.1488112709128</v>
      </c>
      <c r="AB237" s="41">
        <f>I237/'1. Väestöennuste'!K237*1000</f>
        <v>744.68126756440279</v>
      </c>
      <c r="AC237" s="41">
        <f>J237/'1. Väestöennuste'!L237*1000</f>
        <v>1125.321504796163</v>
      </c>
      <c r="AD237" s="41">
        <f>K237/'1. Väestöennuste'!M237*1000</f>
        <v>457.20829246411483</v>
      </c>
      <c r="AE237" s="41">
        <f>L237/'1. Väestöennuste'!N237*1000</f>
        <v>480.31740741825149</v>
      </c>
      <c r="AF237" s="41">
        <f>M237/'1. Väestöennuste'!O237*1000</f>
        <v>486.14779914373139</v>
      </c>
      <c r="AG237" s="41">
        <f>N237/'1. Väestöennuste'!P237*1000</f>
        <v>492.00671843606148</v>
      </c>
      <c r="AH237" s="41">
        <f>O237/'1. Väestöennuste'!Q237*1000</f>
        <v>497.56090888655888</v>
      </c>
      <c r="AI237" s="41">
        <f>P237/'1. Väestöennuste'!R237*1000</f>
        <v>502.9345873060962</v>
      </c>
    </row>
    <row r="238" spans="1:35" x14ac:dyDescent="0.2">
      <c r="A238" s="34">
        <v>734</v>
      </c>
      <c r="B238" s="88" t="s">
        <v>552</v>
      </c>
      <c r="C238" s="46">
        <v>21611</v>
      </c>
      <c r="D238" s="46">
        <v>21924</v>
      </c>
      <c r="E238" s="46">
        <v>17020</v>
      </c>
      <c r="F238" s="46">
        <v>19166</v>
      </c>
      <c r="G238" s="70">
        <v>11578</v>
      </c>
      <c r="H238" s="41">
        <v>24040</v>
      </c>
      <c r="I238" s="165">
        <v>21510.408920000002</v>
      </c>
      <c r="J238" s="41">
        <v>20671.366819999999</v>
      </c>
      <c r="K238" s="41">
        <v>9173.5794000000005</v>
      </c>
      <c r="L238" s="41">
        <f t="shared" si="18"/>
        <v>9147.3164910847263</v>
      </c>
      <c r="M238" s="41">
        <f t="shared" si="18"/>
        <v>9121.2563593225204</v>
      </c>
      <c r="N238" s="41">
        <f t="shared" si="16"/>
        <v>9095.3871195406809</v>
      </c>
      <c r="O238" s="41">
        <f t="shared" si="16"/>
        <v>9069.6907433280376</v>
      </c>
      <c r="P238" s="41">
        <f t="shared" si="16"/>
        <v>9043.9198174572339</v>
      </c>
      <c r="T238" s="34">
        <v>734</v>
      </c>
      <c r="U238" s="88" t="s">
        <v>552</v>
      </c>
      <c r="V238" s="41">
        <f>C238/'1. Väestöennuste'!E238*1000</f>
        <v>401.02059751345331</v>
      </c>
      <c r="W238" s="41">
        <f>D238/'1. Väestöennuste'!F238*1000</f>
        <v>409.44234863481864</v>
      </c>
      <c r="X238" s="41">
        <f>E238/'1. Väestöennuste'!G238*1000</f>
        <v>321.22905027932961</v>
      </c>
      <c r="Y238" s="41">
        <f>F238/'1. Väestöennuste'!H238*1000</f>
        <v>366.31562852391966</v>
      </c>
      <c r="Z238" s="41">
        <f>G238/'1. Väestöennuste'!I238*1000</f>
        <v>223.37121139042696</v>
      </c>
      <c r="AA238" s="41">
        <f>H238/'1. Väestöennuste'!J238*1000</f>
        <v>466.23482409526395</v>
      </c>
      <c r="AB238" s="41">
        <f>I238/'1. Väestöennuste'!K238*1000</f>
        <v>418.49044591439696</v>
      </c>
      <c r="AC238" s="41">
        <f>J238/'1. Väestöennuste'!L238*1000</f>
        <v>405.85409891425991</v>
      </c>
      <c r="AD238" s="41">
        <f>K238/'1. Väestöennuste'!M238*1000</f>
        <v>179.52210176125246</v>
      </c>
      <c r="AE238" s="41">
        <f>L238/'1. Väestöennuste'!N238*1000</f>
        <v>183.52995507884526</v>
      </c>
      <c r="AF238" s="41">
        <f>M238/'1. Väestöennuste'!O238*1000</f>
        <v>184.47650593241892</v>
      </c>
      <c r="AG238" s="41">
        <f>N238/'1. Väestöennuste'!P238*1000</f>
        <v>185.41202975314812</v>
      </c>
      <c r="AH238" s="41">
        <f>O238/'1. Väestöennuste'!Q238*1000</f>
        <v>186.30863670278009</v>
      </c>
      <c r="AI238" s="41">
        <f>P238/'1. Väestöennuste'!R238*1000</f>
        <v>187.17108833910541</v>
      </c>
    </row>
    <row r="239" spans="1:35" x14ac:dyDescent="0.2">
      <c r="A239" s="34">
        <v>738</v>
      </c>
      <c r="B239" s="88" t="s">
        <v>553</v>
      </c>
      <c r="C239" s="46">
        <v>202</v>
      </c>
      <c r="D239" s="46">
        <v>168</v>
      </c>
      <c r="E239" s="46">
        <v>183</v>
      </c>
      <c r="F239" s="46">
        <v>281</v>
      </c>
      <c r="G239" s="70">
        <v>292</v>
      </c>
      <c r="H239" s="41">
        <v>287</v>
      </c>
      <c r="I239" s="165">
        <v>395.7149</v>
      </c>
      <c r="J239" s="41">
        <v>755.82580000000007</v>
      </c>
      <c r="K239" s="41">
        <v>633.36099999999999</v>
      </c>
      <c r="L239" s="41">
        <f t="shared" si="18"/>
        <v>631.54775987548692</v>
      </c>
      <c r="M239" s="41">
        <f t="shared" si="18"/>
        <v>629.74851986312683</v>
      </c>
      <c r="N239" s="41">
        <f t="shared" si="16"/>
        <v>627.96245938847005</v>
      </c>
      <c r="O239" s="41">
        <f t="shared" si="16"/>
        <v>626.18833373644634</v>
      </c>
      <c r="P239" s="41">
        <f t="shared" si="16"/>
        <v>624.40906103723603</v>
      </c>
      <c r="T239" s="34">
        <v>738</v>
      </c>
      <c r="U239" s="88" t="s">
        <v>553</v>
      </c>
      <c r="V239" s="41">
        <f>C239/'1. Väestöennuste'!E239*1000</f>
        <v>66.909572706194098</v>
      </c>
      <c r="W239" s="41">
        <f>D239/'1. Väestöennuste'!F239*1000</f>
        <v>55.13619954053167</v>
      </c>
      <c r="X239" s="41">
        <f>E239/'1. Väestöennuste'!G239*1000</f>
        <v>60.857998004655798</v>
      </c>
      <c r="Y239" s="41">
        <f>F239/'1. Väestöennuste'!H239*1000</f>
        <v>93.854375417501672</v>
      </c>
      <c r="Z239" s="41">
        <f>G239/'1. Väestöennuste'!I239*1000</f>
        <v>99.15110356536502</v>
      </c>
      <c r="AA239" s="41">
        <f>H239/'1. Väestöennuste'!J239*1000</f>
        <v>97.288135593220346</v>
      </c>
      <c r="AB239" s="41">
        <f>I239/'1. Väestöennuste'!K239*1000</f>
        <v>133.73264616424467</v>
      </c>
      <c r="AC239" s="41">
        <f>J239/'1. Väestöennuste'!L239*1000</f>
        <v>259.11066163866991</v>
      </c>
      <c r="AD239" s="41">
        <f>K239/'1. Väestöennuste'!M239*1000</f>
        <v>212.96603900470745</v>
      </c>
      <c r="AE239" s="41">
        <f>L239/'1. Väestöennuste'!N239*1000</f>
        <v>217.77508961223688</v>
      </c>
      <c r="AF239" s="41">
        <f>M239/'1. Väestöennuste'!O239*1000</f>
        <v>217.60487901282892</v>
      </c>
      <c r="AG239" s="41">
        <f>N239/'1. Väestöennuste'!P239*1000</f>
        <v>217.28804823130451</v>
      </c>
      <c r="AH239" s="41">
        <f>O239/'1. Väestöennuste'!Q239*1000</f>
        <v>217.35103565999526</v>
      </c>
      <c r="AI239" s="41">
        <f>P239/'1. Väestöennuste'!R239*1000</f>
        <v>217.11024375425453</v>
      </c>
    </row>
    <row r="240" spans="1:35" x14ac:dyDescent="0.2">
      <c r="A240" s="34">
        <v>739</v>
      </c>
      <c r="B240" s="88" t="s">
        <v>554</v>
      </c>
      <c r="C240" s="46">
        <v>4433</v>
      </c>
      <c r="D240" s="46">
        <v>1280</v>
      </c>
      <c r="E240" s="46">
        <v>818</v>
      </c>
      <c r="F240" s="46">
        <v>1466</v>
      </c>
      <c r="G240" s="70">
        <v>880</v>
      </c>
      <c r="H240" s="41">
        <v>5398</v>
      </c>
      <c r="I240" s="165">
        <v>5045.3811999999998</v>
      </c>
      <c r="J240" s="41">
        <v>5177.8673099999996</v>
      </c>
      <c r="K240" s="41">
        <v>2914.8816400000001</v>
      </c>
      <c r="L240" s="41">
        <f t="shared" si="18"/>
        <v>2906.5366671522015</v>
      </c>
      <c r="M240" s="41">
        <f t="shared" si="18"/>
        <v>2898.2561262316494</v>
      </c>
      <c r="N240" s="41">
        <f t="shared" si="16"/>
        <v>2890.0362407547941</v>
      </c>
      <c r="O240" s="41">
        <f t="shared" si="16"/>
        <v>2881.8712822396078</v>
      </c>
      <c r="P240" s="41">
        <f t="shared" si="16"/>
        <v>2873.682635759194</v>
      </c>
      <c r="T240" s="34">
        <v>739</v>
      </c>
      <c r="U240" s="88" t="s">
        <v>554</v>
      </c>
      <c r="V240" s="41">
        <f>C240/'1. Väestöennuste'!E240*1000</f>
        <v>1226.9582064766123</v>
      </c>
      <c r="W240" s="41">
        <f>D240/'1. Väestöennuste'!F240*1000</f>
        <v>362.19581211092242</v>
      </c>
      <c r="X240" s="41">
        <f>E240/'1. Väestöennuste'!G240*1000</f>
        <v>235.05747126436782</v>
      </c>
      <c r="Y240" s="41">
        <f>F240/'1. Väestöennuste'!H240*1000</f>
        <v>427.52989209682124</v>
      </c>
      <c r="Z240" s="41">
        <f>G240/'1. Väestöennuste'!I240*1000</f>
        <v>260.12415016257762</v>
      </c>
      <c r="AA240" s="41">
        <f>H240/'1. Väestöennuste'!J240*1000</f>
        <v>1622.9705351773903</v>
      </c>
      <c r="AB240" s="41">
        <f>I240/'1. Väestöennuste'!K240*1000</f>
        <v>1547.1883471327812</v>
      </c>
      <c r="AC240" s="41">
        <f>J240/'1. Väestöennuste'!L240*1000</f>
        <v>1590.2540878378377</v>
      </c>
      <c r="AD240" s="41">
        <f>K240/'1. Väestöennuste'!M240*1000</f>
        <v>906.36866915422888</v>
      </c>
      <c r="AE240" s="41">
        <f>L240/'1. Väestöennuste'!N240*1000</f>
        <v>934.57770647980749</v>
      </c>
      <c r="AF240" s="41">
        <f>M240/'1. Väestöennuste'!O240*1000</f>
        <v>946.21486328163553</v>
      </c>
      <c r="AG240" s="41">
        <f>N240/'1. Väestöennuste'!P240*1000</f>
        <v>957.59981469675085</v>
      </c>
      <c r="AH240" s="41">
        <f>O240/'1. Väestöennuste'!Q240*1000</f>
        <v>968.69622932423795</v>
      </c>
      <c r="AI240" s="41">
        <f>P240/'1. Väestöennuste'!R240*1000</f>
        <v>979.77587308530315</v>
      </c>
    </row>
    <row r="241" spans="1:35" x14ac:dyDescent="0.2">
      <c r="A241" s="34">
        <v>740</v>
      </c>
      <c r="B241" s="88" t="s">
        <v>555</v>
      </c>
      <c r="C241" s="46">
        <v>169</v>
      </c>
      <c r="D241" s="46">
        <v>385</v>
      </c>
      <c r="E241" s="46">
        <v>1327</v>
      </c>
      <c r="F241" s="46">
        <v>2245</v>
      </c>
      <c r="G241" s="70">
        <v>6902</v>
      </c>
      <c r="H241" s="41">
        <v>25915</v>
      </c>
      <c r="I241" s="165">
        <v>7530.0959599999996</v>
      </c>
      <c r="J241" s="41">
        <v>6922.4402</v>
      </c>
      <c r="K241" s="41">
        <v>1294.80207</v>
      </c>
      <c r="L241" s="41">
        <f t="shared" si="18"/>
        <v>1291.0951997212385</v>
      </c>
      <c r="M241" s="41">
        <f t="shared" si="18"/>
        <v>1287.416950361978</v>
      </c>
      <c r="N241" s="41">
        <f t="shared" si="16"/>
        <v>1283.7656443931376</v>
      </c>
      <c r="O241" s="41">
        <f t="shared" si="16"/>
        <v>1280.1387372001143</v>
      </c>
      <c r="P241" s="41">
        <f t="shared" si="16"/>
        <v>1276.5013077182991</v>
      </c>
      <c r="T241" s="34">
        <v>740</v>
      </c>
      <c r="U241" s="88" t="s">
        <v>555</v>
      </c>
      <c r="V241" s="41">
        <f>C241/'1. Väestöennuste'!E241*1000</f>
        <v>4.7574810686034397</v>
      </c>
      <c r="W241" s="41">
        <f>D241/'1. Väestöennuste'!F241*1000</f>
        <v>10.924465126837298</v>
      </c>
      <c r="X241" s="41">
        <f>E241/'1. Väestöennuste'!G241*1000</f>
        <v>38.281790906992846</v>
      </c>
      <c r="Y241" s="41">
        <f>F241/'1. Väestöennuste'!H241*1000</f>
        <v>66.793609235071855</v>
      </c>
      <c r="Z241" s="41">
        <f>G241/'1. Väestöennuste'!I241*1000</f>
        <v>209.31643112755503</v>
      </c>
      <c r="AA241" s="41">
        <f>H241/'1. Väestöennuste'!J241*1000</f>
        <v>793.42967362684465</v>
      </c>
      <c r="AB241" s="41">
        <f>I241/'1. Väestöennuste'!K241*1000</f>
        <v>231.36067717454756</v>
      </c>
      <c r="AC241" s="41">
        <f>J241/'1. Väestöennuste'!L241*1000</f>
        <v>215.75316191366684</v>
      </c>
      <c r="AD241" s="41">
        <f>K241/'1. Väestöennuste'!M241*1000</f>
        <v>40.662062933768802</v>
      </c>
      <c r="AE241" s="41">
        <f>L241/'1. Väestöennuste'!N241*1000</f>
        <v>42.118327126027218</v>
      </c>
      <c r="AF241" s="41">
        <f>M241/'1. Väestöennuste'!O241*1000</f>
        <v>42.619821576521268</v>
      </c>
      <c r="AG241" s="41">
        <f>N241/'1. Väestöennuste'!P241*1000</f>
        <v>43.115554807494128</v>
      </c>
      <c r="AH241" s="41">
        <f>O241/'1. Väestöennuste'!Q241*1000</f>
        <v>43.604425955450452</v>
      </c>
      <c r="AI241" s="41">
        <f>P241/'1. Väestöennuste'!R241*1000</f>
        <v>44.085695310595725</v>
      </c>
    </row>
    <row r="242" spans="1:35" x14ac:dyDescent="0.2">
      <c r="A242" s="34">
        <v>742</v>
      </c>
      <c r="B242" s="88" t="s">
        <v>556</v>
      </c>
      <c r="C242" s="46">
        <v>2014</v>
      </c>
      <c r="D242" s="46">
        <v>3059</v>
      </c>
      <c r="E242" s="46">
        <v>2235</v>
      </c>
      <c r="F242" s="46">
        <v>1550</v>
      </c>
      <c r="G242" s="70">
        <v>1677</v>
      </c>
      <c r="H242" s="41">
        <v>2030</v>
      </c>
      <c r="I242" s="165">
        <v>1932.2179900000001</v>
      </c>
      <c r="J242" s="41">
        <v>2422.31945</v>
      </c>
      <c r="K242" s="41">
        <v>2031.7541799999999</v>
      </c>
      <c r="L242" s="41">
        <f t="shared" si="18"/>
        <v>2025.9375000934012</v>
      </c>
      <c r="M242" s="41">
        <f t="shared" si="18"/>
        <v>2020.1657310455189</v>
      </c>
      <c r="N242" s="41">
        <f t="shared" si="16"/>
        <v>2014.4362405414988</v>
      </c>
      <c r="O242" s="41">
        <f t="shared" si="16"/>
        <v>2008.7450356688521</v>
      </c>
      <c r="P242" s="41">
        <f t="shared" si="16"/>
        <v>2003.0373196206892</v>
      </c>
      <c r="T242" s="34">
        <v>742</v>
      </c>
      <c r="U242" s="88" t="s">
        <v>556</v>
      </c>
      <c r="V242" s="41">
        <f>C242/'1. Väestöennuste'!E242*1000</f>
        <v>1898.2092365692743</v>
      </c>
      <c r="W242" s="41">
        <f>D242/'1. Väestöennuste'!F242*1000</f>
        <v>2930.0766283524904</v>
      </c>
      <c r="X242" s="41">
        <f>E242/'1. Väestöennuste'!G242*1000</f>
        <v>2208.498023715415</v>
      </c>
      <c r="Y242" s="41">
        <f>F242/'1. Väestöennuste'!H242*1000</f>
        <v>1527.0935960591132</v>
      </c>
      <c r="Z242" s="41">
        <f>G242/'1. Väestöennuste'!I242*1000</f>
        <v>1668.6567164179105</v>
      </c>
      <c r="AA242" s="41">
        <f>H242/'1. Väestöennuste'!J242*1000</f>
        <v>2011.8929633300295</v>
      </c>
      <c r="AB242" s="41">
        <f>I242/'1. Väestöennuste'!K242*1000</f>
        <v>1914.9831417244798</v>
      </c>
      <c r="AC242" s="41">
        <f>J242/'1. Väestöennuste'!L242*1000</f>
        <v>2451.7403340080973</v>
      </c>
      <c r="AD242" s="41">
        <f>K242/'1. Väestöennuste'!M242*1000</f>
        <v>2077.4582617586912</v>
      </c>
      <c r="AE242" s="41">
        <f>L242/'1. Väestöennuste'!N242*1000</f>
        <v>2073.6310134016389</v>
      </c>
      <c r="AF242" s="41">
        <f>M242/'1. Väestöennuste'!O242*1000</f>
        <v>2078.3598056023857</v>
      </c>
      <c r="AG242" s="41">
        <f>N242/'1. Väestöennuste'!P242*1000</f>
        <v>2083.1812208288511</v>
      </c>
      <c r="AH242" s="41">
        <f>O242/'1. Väestöennuste'!Q242*1000</f>
        <v>2083.7604104448674</v>
      </c>
      <c r="AI242" s="41">
        <f>P242/'1. Väestöennuste'!R242*1000</f>
        <v>2086.4972079382178</v>
      </c>
    </row>
    <row r="243" spans="1:35" x14ac:dyDescent="0.2">
      <c r="A243" s="34">
        <v>743</v>
      </c>
      <c r="B243" s="88" t="s">
        <v>557</v>
      </c>
      <c r="C243" s="46">
        <v>1822</v>
      </c>
      <c r="D243" s="46">
        <v>72</v>
      </c>
      <c r="E243" s="46">
        <v>2059</v>
      </c>
      <c r="F243" s="46">
        <v>2388</v>
      </c>
      <c r="G243" s="70">
        <v>6020</v>
      </c>
      <c r="H243" s="41">
        <v>12981</v>
      </c>
      <c r="I243" s="165">
        <v>18560.726609999998</v>
      </c>
      <c r="J243" s="41">
        <v>7549.8115699999998</v>
      </c>
      <c r="K243" s="41">
        <v>10393.059210000001</v>
      </c>
      <c r="L243" s="41">
        <f t="shared" si="18"/>
        <v>10363.305069823999</v>
      </c>
      <c r="M243" s="41">
        <f t="shared" si="18"/>
        <v>10333.780662761583</v>
      </c>
      <c r="N243" s="41">
        <f t="shared" si="16"/>
        <v>10304.472523697528</v>
      </c>
      <c r="O243" s="41">
        <f t="shared" si="16"/>
        <v>10275.360227633417</v>
      </c>
      <c r="P243" s="41">
        <f t="shared" si="16"/>
        <v>10246.163471733338</v>
      </c>
      <c r="T243" s="34">
        <v>743</v>
      </c>
      <c r="U243" s="88" t="s">
        <v>557</v>
      </c>
      <c r="V243" s="41">
        <f>C243/'1. Väestöennuste'!E243*1000</f>
        <v>29.611571591093774</v>
      </c>
      <c r="W243" s="41">
        <f>D243/'1. Väestöennuste'!F243*1000</f>
        <v>1.1603171533552505</v>
      </c>
      <c r="X243" s="41">
        <f>E243/'1. Väestöennuste'!G243*1000</f>
        <v>32.8514902035867</v>
      </c>
      <c r="Y243" s="41">
        <f>F243/'1. Väestöennuste'!H243*1000</f>
        <v>37.732271520667425</v>
      </c>
      <c r="Z243" s="41">
        <f>G243/'1. Väestöennuste'!I243*1000</f>
        <v>94.385475298286323</v>
      </c>
      <c r="AA243" s="41">
        <f>H243/'1. Väestöennuste'!J243*1000</f>
        <v>202.41696553874942</v>
      </c>
      <c r="AB243" s="41">
        <f>I243/'1. Väestöennuste'!K243*1000</f>
        <v>286.71414066361831</v>
      </c>
      <c r="AC243" s="41">
        <f>J243/'1. Väestöennuste'!L243*1000</f>
        <v>115.57662033280774</v>
      </c>
      <c r="AD243" s="41">
        <f>K243/'1. Väestöennuste'!M243*1000</f>
        <v>157.08977040507864</v>
      </c>
      <c r="AE243" s="41">
        <f>L243/'1. Väestöennuste'!N243*1000</f>
        <v>156.80594749317595</v>
      </c>
      <c r="AF243" s="41">
        <f>M243/'1. Väestöennuste'!O243*1000</f>
        <v>155.43025739281919</v>
      </c>
      <c r="AG243" s="41">
        <f>N243/'1. Väestöennuste'!P243*1000</f>
        <v>154.13166589929742</v>
      </c>
      <c r="AH243" s="41">
        <f>O243/'1. Väestöennuste'!Q243*1000</f>
        <v>152.90259557205763</v>
      </c>
      <c r="AI243" s="41">
        <f>P243/'1. Väestöennuste'!R243*1000</f>
        <v>151.75904188241807</v>
      </c>
    </row>
    <row r="244" spans="1:35" x14ac:dyDescent="0.2">
      <c r="A244" s="34">
        <v>746</v>
      </c>
      <c r="B244" s="88" t="s">
        <v>558</v>
      </c>
      <c r="C244" s="46">
        <v>4672</v>
      </c>
      <c r="D244" s="46">
        <v>3026</v>
      </c>
      <c r="E244" s="46">
        <v>5795</v>
      </c>
      <c r="F244" s="46">
        <v>5722</v>
      </c>
      <c r="G244" s="70">
        <v>5088</v>
      </c>
      <c r="H244" s="41">
        <v>7099</v>
      </c>
      <c r="I244" s="165">
        <v>10282.285970000001</v>
      </c>
      <c r="J244" s="41">
        <v>5699.8482100000001</v>
      </c>
      <c r="K244" s="41">
        <v>4245.37806</v>
      </c>
      <c r="L244" s="41">
        <f t="shared" si="18"/>
        <v>4233.2240280306814</v>
      </c>
      <c r="M244" s="41">
        <f t="shared" si="18"/>
        <v>4221.1638379129645</v>
      </c>
      <c r="N244" s="41">
        <f t="shared" si="16"/>
        <v>4209.1919893890718</v>
      </c>
      <c r="O244" s="41">
        <f t="shared" si="16"/>
        <v>4197.3001392139195</v>
      </c>
      <c r="P244" s="41">
        <f t="shared" si="16"/>
        <v>4185.3737887124134</v>
      </c>
      <c r="T244" s="34">
        <v>746</v>
      </c>
      <c r="U244" s="88" t="s">
        <v>558</v>
      </c>
      <c r="V244" s="41">
        <f>C244/'1. Väestöennuste'!E244*1000</f>
        <v>911.7876658860265</v>
      </c>
      <c r="W244" s="41">
        <f>D244/'1. Väestöennuste'!F244*1000</f>
        <v>596.96192542907863</v>
      </c>
      <c r="X244" s="41">
        <f>E244/'1. Väestöennuste'!G244*1000</f>
        <v>1150.943396226415</v>
      </c>
      <c r="Y244" s="41">
        <f>F244/'1. Väestöennuste'!H244*1000</f>
        <v>1148.995983935743</v>
      </c>
      <c r="Z244" s="41">
        <f>G244/'1. Väestöennuste'!I244*1000</f>
        <v>1036.2525458248472</v>
      </c>
      <c r="AA244" s="41">
        <f>H244/'1. Väestöennuste'!J244*1000</f>
        <v>1468.5560612329334</v>
      </c>
      <c r="AB244" s="41">
        <f>I244/'1. Väestöennuste'!K244*1000</f>
        <v>2150.6559234469778</v>
      </c>
      <c r="AC244" s="41">
        <f>J244/'1. Väestöennuste'!L244*1000</f>
        <v>1203.7694213305174</v>
      </c>
      <c r="AD244" s="41">
        <f>K244/'1. Väestöennuste'!M244*1000</f>
        <v>900.78040738383197</v>
      </c>
      <c r="AE244" s="41">
        <f>L244/'1. Väestöennuste'!N244*1000</f>
        <v>926.10457843593997</v>
      </c>
      <c r="AF244" s="41">
        <f>M244/'1. Väestöennuste'!O244*1000</f>
        <v>937.61968856351939</v>
      </c>
      <c r="AG244" s="41">
        <f>N244/'1. Väestöennuste'!P244*1000</f>
        <v>949.94177147124174</v>
      </c>
      <c r="AH244" s="41">
        <f>O244/'1. Väestöennuste'!Q244*1000</f>
        <v>961.80113180887247</v>
      </c>
      <c r="AI244" s="41">
        <f>P244/'1. Väestöennuste'!R244*1000</f>
        <v>973.56915299195475</v>
      </c>
    </row>
    <row r="245" spans="1:35" x14ac:dyDescent="0.2">
      <c r="A245" s="34">
        <v>747</v>
      </c>
      <c r="B245" s="88" t="s">
        <v>559</v>
      </c>
      <c r="C245" s="46">
        <v>1117</v>
      </c>
      <c r="D245" s="46">
        <v>818</v>
      </c>
      <c r="E245" s="46">
        <v>1576</v>
      </c>
      <c r="F245" s="46">
        <v>1978</v>
      </c>
      <c r="G245" s="70">
        <v>3320</v>
      </c>
      <c r="H245" s="41">
        <v>4335</v>
      </c>
      <c r="I245" s="165">
        <v>3425.8976200000002</v>
      </c>
      <c r="J245" s="41">
        <v>4064.15598</v>
      </c>
      <c r="K245" s="41">
        <v>5087.7361300000002</v>
      </c>
      <c r="L245" s="41">
        <f t="shared" si="18"/>
        <v>5073.1705231914802</v>
      </c>
      <c r="M245" s="41">
        <f t="shared" si="18"/>
        <v>5058.717378117145</v>
      </c>
      <c r="N245" s="41">
        <f t="shared" si="16"/>
        <v>5044.3701031708251</v>
      </c>
      <c r="O245" s="41">
        <f t="shared" si="16"/>
        <v>5030.1186996600927</v>
      </c>
      <c r="P245" s="41">
        <f t="shared" si="16"/>
        <v>5015.825950348255</v>
      </c>
      <c r="T245" s="34">
        <v>747</v>
      </c>
      <c r="U245" s="88" t="s">
        <v>559</v>
      </c>
      <c r="V245" s="41">
        <f>C245/'1. Väestöennuste'!E245*1000</f>
        <v>731.49967256057619</v>
      </c>
      <c r="W245" s="41">
        <f>D245/'1. Väestöennuste'!F245*1000</f>
        <v>547.52342704149942</v>
      </c>
      <c r="X245" s="41">
        <f>E245/'1. Väestöennuste'!G245*1000</f>
        <v>1067.750677506775</v>
      </c>
      <c r="Y245" s="41">
        <f>F245/'1. Väestöennuste'!H245*1000</f>
        <v>1356.652949245542</v>
      </c>
      <c r="Z245" s="41">
        <f>G245/'1. Väestöennuste'!I245*1000</f>
        <v>2310.3688239387611</v>
      </c>
      <c r="AA245" s="41">
        <f>H245/'1. Väestöennuste'!J245*1000</f>
        <v>3129.9638989169675</v>
      </c>
      <c r="AB245" s="41">
        <f>I245/'1. Väestöennuste'!K245*1000</f>
        <v>2533.9479437869823</v>
      </c>
      <c r="AC245" s="41">
        <f>J245/'1. Väestöennuste'!L245*1000</f>
        <v>3107.1528899082568</v>
      </c>
      <c r="AD245" s="41">
        <f>K245/'1. Väestöennuste'!M245*1000</f>
        <v>3965.4997116134064</v>
      </c>
      <c r="AE245" s="41">
        <f>L245/'1. Väestöennuste'!N245*1000</f>
        <v>3926.6025721296287</v>
      </c>
      <c r="AF245" s="41">
        <f>M245/'1. Väestöennuste'!O245*1000</f>
        <v>3967.6214730330548</v>
      </c>
      <c r="AG245" s="41">
        <f>N245/'1. Väestöennuste'!P245*1000</f>
        <v>4009.8331503742647</v>
      </c>
      <c r="AH245" s="41">
        <f>O245/'1. Väestöennuste'!Q245*1000</f>
        <v>4046.7567977957301</v>
      </c>
      <c r="AI245" s="41">
        <f>P245/'1. Väestöennuste'!R245*1000</f>
        <v>4094.5517962026565</v>
      </c>
    </row>
    <row r="246" spans="1:35" x14ac:dyDescent="0.2">
      <c r="A246" s="34">
        <v>748</v>
      </c>
      <c r="B246" s="88" t="s">
        <v>560</v>
      </c>
      <c r="C246" s="46">
        <v>3682</v>
      </c>
      <c r="D246" s="46">
        <v>3660</v>
      </c>
      <c r="E246" s="46">
        <v>3986</v>
      </c>
      <c r="F246" s="46">
        <v>4436</v>
      </c>
      <c r="G246" s="70">
        <v>3874</v>
      </c>
      <c r="H246" s="41">
        <v>7132</v>
      </c>
      <c r="I246" s="165">
        <v>7513.3335999999999</v>
      </c>
      <c r="J246" s="41">
        <v>4544.34</v>
      </c>
      <c r="K246" s="41">
        <v>3354.1190000000001</v>
      </c>
      <c r="L246" s="41">
        <f t="shared" si="18"/>
        <v>3344.5165408129142</v>
      </c>
      <c r="M246" s="41">
        <f t="shared" si="18"/>
        <v>3334.9882226641535</v>
      </c>
      <c r="N246" s="41">
        <f t="shared" si="16"/>
        <v>3325.529699999835</v>
      </c>
      <c r="O246" s="41">
        <f t="shared" si="16"/>
        <v>3316.1343811250699</v>
      </c>
      <c r="P246" s="41">
        <f t="shared" si="16"/>
        <v>3306.711804795611</v>
      </c>
      <c r="T246" s="34">
        <v>748</v>
      </c>
      <c r="U246" s="88" t="s">
        <v>560</v>
      </c>
      <c r="V246" s="41">
        <f>C246/'1. Väestöennuste'!E246*1000</f>
        <v>673.61873399195031</v>
      </c>
      <c r="W246" s="41">
        <f>D246/'1. Väestöennuste'!F246*1000</f>
        <v>682.07230711889679</v>
      </c>
      <c r="X246" s="41">
        <f>E246/'1. Väestöennuste'!G246*1000</f>
        <v>746.02283361407456</v>
      </c>
      <c r="Y246" s="41">
        <f>F246/'1. Väestöennuste'!H246*1000</f>
        <v>845.11335492474757</v>
      </c>
      <c r="Z246" s="41">
        <f>G246/'1. Väestöennuste'!I246*1000</f>
        <v>752.9640427599611</v>
      </c>
      <c r="AA246" s="41">
        <f>H246/'1. Väestöennuste'!J246*1000</f>
        <v>1416.7659912594359</v>
      </c>
      <c r="AB246" s="41">
        <f>I246/'1. Väestöennuste'!K246*1000</f>
        <v>1494.2986475735879</v>
      </c>
      <c r="AC246" s="41">
        <f>J246/'1. Väestöennuste'!L246*1000</f>
        <v>927.98448029405768</v>
      </c>
      <c r="AD246" s="41">
        <f>K246/'1. Väestöennuste'!M246*1000</f>
        <v>693.4296051271449</v>
      </c>
      <c r="AE246" s="41">
        <f>L246/'1. Väestöennuste'!N246*1000</f>
        <v>718.01557338190514</v>
      </c>
      <c r="AF246" s="41">
        <f>M246/'1. Väestöennuste'!O246*1000</f>
        <v>729.11854452648743</v>
      </c>
      <c r="AG246" s="41">
        <f>N246/'1. Väestöennuste'!P246*1000</f>
        <v>739.3351934192608</v>
      </c>
      <c r="AH246" s="41">
        <f>O246/'1. Väestöennuste'!Q246*1000</f>
        <v>749.40889968928138</v>
      </c>
      <c r="AI246" s="41">
        <f>P246/'1. Väestöennuste'!R246*1000</f>
        <v>759.46527441332353</v>
      </c>
    </row>
    <row r="247" spans="1:35" x14ac:dyDescent="0.2">
      <c r="A247" s="34">
        <v>749</v>
      </c>
      <c r="B247" s="88" t="s">
        <v>561</v>
      </c>
      <c r="C247" s="46">
        <v>5689</v>
      </c>
      <c r="D247" s="46">
        <v>5847</v>
      </c>
      <c r="E247" s="46">
        <v>5740</v>
      </c>
      <c r="F247" s="46">
        <v>4724</v>
      </c>
      <c r="G247" s="70">
        <v>6010</v>
      </c>
      <c r="H247" s="41">
        <v>16638</v>
      </c>
      <c r="I247" s="165">
        <v>11847.7729</v>
      </c>
      <c r="J247" s="41">
        <v>9742.3259999999991</v>
      </c>
      <c r="K247" s="41">
        <v>5671.0946699999995</v>
      </c>
      <c r="L247" s="41">
        <f t="shared" si="18"/>
        <v>5654.8589743926659</v>
      </c>
      <c r="M247" s="41">
        <f t="shared" si="18"/>
        <v>5638.7486353535623</v>
      </c>
      <c r="N247" s="41">
        <f t="shared" si="16"/>
        <v>5622.7563054846196</v>
      </c>
      <c r="O247" s="41">
        <f t="shared" si="16"/>
        <v>5606.8708396458615</v>
      </c>
      <c r="P247" s="41">
        <f t="shared" si="16"/>
        <v>5590.9392873068828</v>
      </c>
      <c r="T247" s="34">
        <v>749</v>
      </c>
      <c r="U247" s="88" t="s">
        <v>561</v>
      </c>
      <c r="V247" s="41">
        <f>C247/'1. Väestöennuste'!E247*1000</f>
        <v>261.03514728824445</v>
      </c>
      <c r="W247" s="41">
        <f>D247/'1. Väestöennuste'!F247*1000</f>
        <v>268.60529217199559</v>
      </c>
      <c r="X247" s="41">
        <f>E247/'1. Väestöennuste'!G247*1000</f>
        <v>265.04132613011961</v>
      </c>
      <c r="Y247" s="41">
        <f>F247/'1. Väestöennuste'!H247*1000</f>
        <v>217.95699916951187</v>
      </c>
      <c r="Z247" s="41">
        <f>G247/'1. Väestöennuste'!I247*1000</f>
        <v>280.53960696447746</v>
      </c>
      <c r="AA247" s="41">
        <f>H247/'1. Väestöennuste'!J247*1000</f>
        <v>782.92786221824849</v>
      </c>
      <c r="AB247" s="41">
        <f>I247/'1. Väestöennuste'!K247*1000</f>
        <v>556.4163293101019</v>
      </c>
      <c r="AC247" s="41">
        <f>J247/'1. Väestöennuste'!L247*1000</f>
        <v>458.85107385079124</v>
      </c>
      <c r="AD247" s="41">
        <f>K247/'1. Väestöennuste'!M247*1000</f>
        <v>266.37363410051665</v>
      </c>
      <c r="AE247" s="41">
        <f>L247/'1. Väestöennuste'!N247*1000</f>
        <v>271.29432807487365</v>
      </c>
      <c r="AF247" s="41">
        <f>M247/'1. Väestöennuste'!O247*1000</f>
        <v>271.86483946548202</v>
      </c>
      <c r="AG247" s="41">
        <f>N247/'1. Väestöennuste'!P247*1000</f>
        <v>272.59205436973963</v>
      </c>
      <c r="AH247" s="41">
        <f>O247/'1. Väestöennuste'!Q247*1000</f>
        <v>273.39920224526338</v>
      </c>
      <c r="AI247" s="41">
        <f>P247/'1. Väestöennuste'!R247*1000</f>
        <v>274.24041238568122</v>
      </c>
    </row>
    <row r="248" spans="1:35" x14ac:dyDescent="0.2">
      <c r="A248" s="34">
        <v>751</v>
      </c>
      <c r="B248" s="88" t="s">
        <v>562</v>
      </c>
      <c r="C248" s="46">
        <v>1450</v>
      </c>
      <c r="D248" s="46">
        <v>1852</v>
      </c>
      <c r="E248" s="46">
        <v>1831</v>
      </c>
      <c r="F248" s="46">
        <v>2044</v>
      </c>
      <c r="G248" s="70">
        <v>339</v>
      </c>
      <c r="H248" s="41">
        <v>1010</v>
      </c>
      <c r="I248" s="165">
        <v>2632.7677100000001</v>
      </c>
      <c r="J248" s="41">
        <v>2039.9803200000001</v>
      </c>
      <c r="K248" s="41">
        <v>3533.49836</v>
      </c>
      <c r="L248" s="41">
        <f t="shared" si="18"/>
        <v>3523.3823582154673</v>
      </c>
      <c r="M248" s="41">
        <f t="shared" si="18"/>
        <v>3513.3444625557713</v>
      </c>
      <c r="N248" s="41">
        <f t="shared" si="16"/>
        <v>3503.3800950654136</v>
      </c>
      <c r="O248" s="41">
        <f t="shared" si="16"/>
        <v>3493.4823115235477</v>
      </c>
      <c r="P248" s="41">
        <f t="shared" si="16"/>
        <v>3483.5558127895674</v>
      </c>
      <c r="T248" s="34">
        <v>751</v>
      </c>
      <c r="U248" s="88" t="s">
        <v>562</v>
      </c>
      <c r="V248" s="41">
        <f>C248/'1. Väestöennuste'!E248*1000</f>
        <v>447.80728844966029</v>
      </c>
      <c r="W248" s="41">
        <f>D248/'1. Väestöennuste'!F248*1000</f>
        <v>584.2271293375394</v>
      </c>
      <c r="X248" s="41">
        <f>E248/'1. Väestöennuste'!G248*1000</f>
        <v>588.74598070739546</v>
      </c>
      <c r="Y248" s="41">
        <f>F248/'1. Väestöennuste'!H248*1000</f>
        <v>671.26436781609198</v>
      </c>
      <c r="Z248" s="41">
        <f>G248/'1. Väestöennuste'!I248*1000</f>
        <v>113.45381526104417</v>
      </c>
      <c r="AA248" s="41">
        <f>H248/'1. Väestöennuste'!J248*1000</f>
        <v>342.37288135593218</v>
      </c>
      <c r="AB248" s="41">
        <f>I248/'1. Väestöennuste'!K248*1000</f>
        <v>906.60045110192846</v>
      </c>
      <c r="AC248" s="41">
        <f>J248/'1. Väestöennuste'!L248*1000</f>
        <v>709.06510948905111</v>
      </c>
      <c r="AD248" s="41">
        <f>K248/'1. Väestöennuste'!M248*1000</f>
        <v>1249.4690099009902</v>
      </c>
      <c r="AE248" s="41">
        <f>L248/'1. Väestöennuste'!N248*1000</f>
        <v>1274.2793338934782</v>
      </c>
      <c r="AF248" s="41">
        <f>M248/'1. Väestöennuste'!O248*1000</f>
        <v>1291.6707582925631</v>
      </c>
      <c r="AG248" s="41">
        <f>N248/'1. Väestöennuste'!P248*1000</f>
        <v>1308.2076531237542</v>
      </c>
      <c r="AH248" s="41">
        <f>O248/'1. Väestöennuste'!Q248*1000</f>
        <v>1322.7876984186096</v>
      </c>
      <c r="AI248" s="41">
        <f>P248/'1. Väestöennuste'!R248*1000</f>
        <v>1339.8291587652182</v>
      </c>
    </row>
    <row r="249" spans="1:35" x14ac:dyDescent="0.2">
      <c r="A249" s="34">
        <v>753</v>
      </c>
      <c r="B249" s="88" t="s">
        <v>563</v>
      </c>
      <c r="C249" s="46">
        <v>3005</v>
      </c>
      <c r="D249" s="46">
        <v>2756</v>
      </c>
      <c r="E249" s="46">
        <v>9171</v>
      </c>
      <c r="F249" s="46">
        <v>7135</v>
      </c>
      <c r="G249" s="70">
        <v>12803</v>
      </c>
      <c r="H249" s="41">
        <v>5916</v>
      </c>
      <c r="I249" s="165">
        <v>22620.34564</v>
      </c>
      <c r="J249" s="41">
        <v>11755.19038</v>
      </c>
      <c r="K249" s="41">
        <v>3633.6679700000004</v>
      </c>
      <c r="L249" s="41">
        <f t="shared" si="18"/>
        <v>3623.2651940754295</v>
      </c>
      <c r="M249" s="41">
        <f t="shared" si="18"/>
        <v>3612.9427384722976</v>
      </c>
      <c r="N249" s="41">
        <f t="shared" si="16"/>
        <v>3602.6958954566348</v>
      </c>
      <c r="O249" s="41">
        <f t="shared" si="16"/>
        <v>3592.5175239488944</v>
      </c>
      <c r="P249" s="41">
        <f t="shared" si="16"/>
        <v>3582.3096232145331</v>
      </c>
      <c r="T249" s="34">
        <v>753</v>
      </c>
      <c r="U249" s="88" t="s">
        <v>563</v>
      </c>
      <c r="V249" s="41">
        <f>C249/'1. Väestöennuste'!E249*1000</f>
        <v>154.90489200474249</v>
      </c>
      <c r="W249" s="41">
        <f>D249/'1. Väestöennuste'!F249*1000</f>
        <v>138.33952414416223</v>
      </c>
      <c r="X249" s="41">
        <f>E249/'1. Väestöennuste'!G249*1000</f>
        <v>451.55096011816835</v>
      </c>
      <c r="Y249" s="41">
        <f>F249/'1. Väestöennuste'!H249*1000</f>
        <v>345.25307267976387</v>
      </c>
      <c r="Z249" s="41">
        <f>G249/'1. Väestöennuste'!I249*1000</f>
        <v>604.77090222012282</v>
      </c>
      <c r="AA249" s="41">
        <f>H249/'1. Väestöennuste'!J249*1000</f>
        <v>272.7901507815742</v>
      </c>
      <c r="AB249" s="41">
        <f>I249/'1. Väestöennuste'!K249*1000</f>
        <v>1019.3936746282109</v>
      </c>
      <c r="AC249" s="41">
        <f>J249/'1. Väestöennuste'!L249*1000</f>
        <v>526.66623566308249</v>
      </c>
      <c r="AD249" s="41">
        <f>K249/'1. Väestöennuste'!M249*1000</f>
        <v>160.81734764328394</v>
      </c>
      <c r="AE249" s="41">
        <f>L249/'1. Väestöennuste'!N249*1000</f>
        <v>155.9064197106467</v>
      </c>
      <c r="AF249" s="41">
        <f>M249/'1. Väestöennuste'!O249*1000</f>
        <v>153.06485080801124</v>
      </c>
      <c r="AG249" s="41">
        <f>N249/'1. Väestöennuste'!P249*1000</f>
        <v>150.36293386713834</v>
      </c>
      <c r="AH249" s="41">
        <f>O249/'1. Väestöennuste'!Q249*1000</f>
        <v>147.82806040444797</v>
      </c>
      <c r="AI249" s="41">
        <f>P249/'1. Väestöennuste'!R249*1000</f>
        <v>145.43906553589107</v>
      </c>
    </row>
    <row r="250" spans="1:35" x14ac:dyDescent="0.2">
      <c r="A250" s="34">
        <v>755</v>
      </c>
      <c r="B250" s="88" t="s">
        <v>564</v>
      </c>
      <c r="C250" s="46">
        <v>55</v>
      </c>
      <c r="D250" s="46">
        <v>1124</v>
      </c>
      <c r="E250" s="46">
        <v>1265</v>
      </c>
      <c r="F250" s="46">
        <v>959</v>
      </c>
      <c r="G250" s="70">
        <v>402</v>
      </c>
      <c r="H250" s="41">
        <v>392</v>
      </c>
      <c r="I250" s="165">
        <v>964.61466000000007</v>
      </c>
      <c r="J250" s="41">
        <v>321.39509999999996</v>
      </c>
      <c r="K250" s="41">
        <v>262.49178000000001</v>
      </c>
      <c r="L250" s="41">
        <f t="shared" si="18"/>
        <v>261.74029604716605</v>
      </c>
      <c r="M250" s="41">
        <f t="shared" si="18"/>
        <v>260.9946143372224</v>
      </c>
      <c r="N250" s="41">
        <f t="shared" si="16"/>
        <v>260.25439478916007</v>
      </c>
      <c r="O250" s="41">
        <f t="shared" si="16"/>
        <v>259.51912154002827</v>
      </c>
      <c r="P250" s="41">
        <f t="shared" si="16"/>
        <v>258.78171513527474</v>
      </c>
      <c r="T250" s="34">
        <v>755</v>
      </c>
      <c r="U250" s="88" t="s">
        <v>564</v>
      </c>
      <c r="V250" s="41">
        <f>C250/'1. Väestöennuste'!E250*1000</f>
        <v>8.8967971530249113</v>
      </c>
      <c r="W250" s="41">
        <f>D250/'1. Väestöennuste'!F250*1000</f>
        <v>181.93590158627387</v>
      </c>
      <c r="X250" s="41">
        <f>E250/'1. Väestöennuste'!G250*1000</f>
        <v>205.82492678164661</v>
      </c>
      <c r="Y250" s="41">
        <f>F250/'1. Väestöennuste'!H250*1000</f>
        <v>156.34170198891425</v>
      </c>
      <c r="Z250" s="41">
        <f>G250/'1. Väestöennuste'!I250*1000</f>
        <v>65.419039869812863</v>
      </c>
      <c r="AA250" s="41">
        <f>H250/'1. Väestöennuste'!J250*1000</f>
        <v>63.750203285087004</v>
      </c>
      <c r="AB250" s="41">
        <f>I250/'1. Väestöennuste'!K250*1000</f>
        <v>155.63321393998064</v>
      </c>
      <c r="AC250" s="41">
        <f>J250/'1. Väestöennuste'!L250*1000</f>
        <v>51.696171787035539</v>
      </c>
      <c r="AD250" s="41">
        <f>K250/'1. Väestöennuste'!M250*1000</f>
        <v>42.626141604417022</v>
      </c>
      <c r="AE250" s="41">
        <f>L250/'1. Väestöennuste'!N250*1000</f>
        <v>42.277547415145541</v>
      </c>
      <c r="AF250" s="41">
        <f>M250/'1. Väestöennuste'!O250*1000</f>
        <v>42.095905538261675</v>
      </c>
      <c r="AG250" s="41">
        <f>N250/'1. Väestöennuste'!P250*1000</f>
        <v>41.929175896433073</v>
      </c>
      <c r="AH250" s="41">
        <f>O250/'1. Väestöennuste'!Q250*1000</f>
        <v>41.777063995497144</v>
      </c>
      <c r="AI250" s="41">
        <f>P250/'1. Väestöennuste'!R250*1000</f>
        <v>41.624853648910204</v>
      </c>
    </row>
    <row r="251" spans="1:35" x14ac:dyDescent="0.2">
      <c r="A251" s="34">
        <v>758</v>
      </c>
      <c r="B251" s="88" t="s">
        <v>565</v>
      </c>
      <c r="C251" s="46">
        <v>5029</v>
      </c>
      <c r="D251" s="46">
        <v>3616</v>
      </c>
      <c r="E251" s="46">
        <v>1881</v>
      </c>
      <c r="F251" s="46">
        <v>4753</v>
      </c>
      <c r="G251" s="70">
        <v>4716</v>
      </c>
      <c r="H251" s="41">
        <v>11778</v>
      </c>
      <c r="I251" s="165">
        <v>6865.1107300000003</v>
      </c>
      <c r="J251" s="41">
        <v>9853.4383699999998</v>
      </c>
      <c r="K251" s="41">
        <v>9953.0522799999999</v>
      </c>
      <c r="L251" s="41">
        <f t="shared" si="18"/>
        <v>9924.5578293542021</v>
      </c>
      <c r="M251" s="41">
        <f t="shared" si="18"/>
        <v>9896.2833856999714</v>
      </c>
      <c r="N251" s="41">
        <f t="shared" si="16"/>
        <v>9868.2160539894612</v>
      </c>
      <c r="O251" s="41">
        <f t="shared" si="16"/>
        <v>9840.3362739495133</v>
      </c>
      <c r="P251" s="41">
        <f t="shared" si="16"/>
        <v>9812.3756098170252</v>
      </c>
      <c r="T251" s="34">
        <v>758</v>
      </c>
      <c r="U251" s="88" t="s">
        <v>565</v>
      </c>
      <c r="V251" s="41">
        <f>C251/'1. Väestöennuste'!E251*1000</f>
        <v>572.64859940787971</v>
      </c>
      <c r="W251" s="41">
        <f>D251/'1. Väestöennuste'!F251*1000</f>
        <v>417.88974921992371</v>
      </c>
      <c r="X251" s="41">
        <f>E251/'1. Väestöennuste'!G251*1000</f>
        <v>220.12873025160911</v>
      </c>
      <c r="Y251" s="41">
        <f>F251/'1. Väestöennuste'!H251*1000</f>
        <v>562.88488867835156</v>
      </c>
      <c r="Z251" s="41">
        <f>G251/'1. Väestöennuste'!I251*1000</f>
        <v>567.98747440684099</v>
      </c>
      <c r="AA251" s="41">
        <f>H251/'1. Väestöennuste'!J251*1000</f>
        <v>1424.8729736269054</v>
      </c>
      <c r="AB251" s="41">
        <f>I251/'1. Väestöennuste'!K251*1000</f>
        <v>838.53801514596319</v>
      </c>
      <c r="AC251" s="41">
        <f>J251/'1. Väestöennuste'!L251*1000</f>
        <v>1211.3890299975412</v>
      </c>
      <c r="AD251" s="41">
        <f>K251/'1. Väestöennuste'!M251*1000</f>
        <v>1224.840300270736</v>
      </c>
      <c r="AE251" s="41">
        <f>L251/'1. Väestöennuste'!N251*1000</f>
        <v>1259.6215039160047</v>
      </c>
      <c r="AF251" s="41">
        <f>M251/'1. Väestöennuste'!O251*1000</f>
        <v>1269.0796852654491</v>
      </c>
      <c r="AG251" s="41">
        <f>N251/'1. Väestöennuste'!P251*1000</f>
        <v>1278.763256963776</v>
      </c>
      <c r="AH251" s="41">
        <f>O251/'1. Väestöennuste'!Q251*1000</f>
        <v>1288.8456154485282</v>
      </c>
      <c r="AI251" s="41">
        <f>P251/'1. Väestöennuste'!R251*1000</f>
        <v>1298.448539078606</v>
      </c>
    </row>
    <row r="252" spans="1:35" x14ac:dyDescent="0.2">
      <c r="A252" s="34">
        <v>759</v>
      </c>
      <c r="B252" s="88" t="s">
        <v>566</v>
      </c>
      <c r="C252" s="46">
        <v>1248</v>
      </c>
      <c r="D252" s="46">
        <v>597</v>
      </c>
      <c r="E252" s="46">
        <v>971</v>
      </c>
      <c r="F252" s="46">
        <v>474</v>
      </c>
      <c r="G252" s="70">
        <v>698</v>
      </c>
      <c r="H252" s="41">
        <v>725</v>
      </c>
      <c r="I252" s="165">
        <v>949.66496999999993</v>
      </c>
      <c r="J252" s="41">
        <v>1335.0164499999998</v>
      </c>
      <c r="K252" s="41">
        <v>2007.16842</v>
      </c>
      <c r="L252" s="41">
        <f t="shared" si="18"/>
        <v>2001.4221263131458</v>
      </c>
      <c r="M252" s="41">
        <f t="shared" si="18"/>
        <v>1995.7202000297</v>
      </c>
      <c r="N252" s="41">
        <f t="shared" si="16"/>
        <v>1990.0600406878061</v>
      </c>
      <c r="O252" s="41">
        <f t="shared" si="16"/>
        <v>1984.4377036922319</v>
      </c>
      <c r="P252" s="41">
        <f t="shared" si="16"/>
        <v>1978.7990553188349</v>
      </c>
      <c r="T252" s="34">
        <v>759</v>
      </c>
      <c r="U252" s="88" t="s">
        <v>566</v>
      </c>
      <c r="V252" s="41">
        <f>C252/'1. Väestöennuste'!E252*1000</f>
        <v>561.15107913669056</v>
      </c>
      <c r="W252" s="41">
        <f>D252/'1. Väestöennuste'!F252*1000</f>
        <v>273.10155535224152</v>
      </c>
      <c r="X252" s="41">
        <f>E252/'1. Väestöennuste'!G252*1000</f>
        <v>459.31882686849571</v>
      </c>
      <c r="Y252" s="41">
        <f>F252/'1. Väestöennuste'!H252*1000</f>
        <v>227.3381294964029</v>
      </c>
      <c r="Z252" s="41">
        <f>G252/'1. Väestöennuste'!I252*1000</f>
        <v>340.15594541910332</v>
      </c>
      <c r="AA252" s="41">
        <f>H252/'1. Väestöennuste'!J252*1000</f>
        <v>361.23567513702045</v>
      </c>
      <c r="AB252" s="41">
        <f>I252/'1. Väestöennuste'!K252*1000</f>
        <v>475.54580370555834</v>
      </c>
      <c r="AC252" s="41">
        <f>J252/'1. Väestöennuste'!L252*1000</f>
        <v>687.44410401647781</v>
      </c>
      <c r="AD252" s="41">
        <f>K252/'1. Väestöennuste'!M252*1000</f>
        <v>1071.6328990923651</v>
      </c>
      <c r="AE252" s="41">
        <f>L252/'1. Väestöennuste'!N252*1000</f>
        <v>1077.1916718585285</v>
      </c>
      <c r="AF252" s="41">
        <f>M252/'1. Väestöennuste'!O252*1000</f>
        <v>1091.7506564713894</v>
      </c>
      <c r="AG252" s="41">
        <f>N252/'1. Väestöennuste'!P252*1000</f>
        <v>1108.6685463441816</v>
      </c>
      <c r="AH252" s="41">
        <f>O252/'1. Väestöennuste'!Q252*1000</f>
        <v>1123.6906589423736</v>
      </c>
      <c r="AI252" s="41">
        <f>P252/'1. Väestöennuste'!R252*1000</f>
        <v>1139.2049829123978</v>
      </c>
    </row>
    <row r="253" spans="1:35" x14ac:dyDescent="0.2">
      <c r="A253" s="34">
        <v>761</v>
      </c>
      <c r="B253" s="88" t="s">
        <v>567</v>
      </c>
      <c r="C253" s="46">
        <v>2602</v>
      </c>
      <c r="D253" s="46">
        <v>2005</v>
      </c>
      <c r="E253" s="46">
        <v>3123</v>
      </c>
      <c r="F253" s="46">
        <v>4762</v>
      </c>
      <c r="G253" s="70">
        <v>2268</v>
      </c>
      <c r="H253" s="41">
        <v>4865</v>
      </c>
      <c r="I253" s="165">
        <v>5912.8596799999996</v>
      </c>
      <c r="J253" s="41">
        <v>6530.7265399999997</v>
      </c>
      <c r="K253" s="41">
        <v>4210.7282300000006</v>
      </c>
      <c r="L253" s="41">
        <f t="shared" si="18"/>
        <v>4198.6733965321109</v>
      </c>
      <c r="M253" s="41">
        <f t="shared" si="18"/>
        <v>4186.7116389995344</v>
      </c>
      <c r="N253" s="41">
        <f t="shared" si="16"/>
        <v>4174.8375020363737</v>
      </c>
      <c r="O253" s="41">
        <f t="shared" si="16"/>
        <v>4163.0427104932514</v>
      </c>
      <c r="P253" s="41">
        <f t="shared" si="16"/>
        <v>4151.2137002077534</v>
      </c>
      <c r="T253" s="34">
        <v>761</v>
      </c>
      <c r="U253" s="88" t="s">
        <v>567</v>
      </c>
      <c r="V253" s="41">
        <f>C253/'1. Väestöennuste'!E253*1000</f>
        <v>286.15418453755638</v>
      </c>
      <c r="W253" s="41">
        <f>D253/'1. Väestöennuste'!F253*1000</f>
        <v>222.11144344743548</v>
      </c>
      <c r="X253" s="41">
        <f>E253/'1. Väestöennuste'!G253*1000</f>
        <v>350.15136226034309</v>
      </c>
      <c r="Y253" s="41">
        <f>F253/'1. Väestöennuste'!H253*1000</f>
        <v>539.42002718622564</v>
      </c>
      <c r="Z253" s="41">
        <f>G253/'1. Väestöennuste'!I253*1000</f>
        <v>260.36046378142578</v>
      </c>
      <c r="AA253" s="41">
        <f>H253/'1. Väestöennuste'!J253*1000</f>
        <v>562.68794818413141</v>
      </c>
      <c r="AB253" s="41">
        <f>I253/'1. Väestöennuste'!K253*1000</f>
        <v>690.51263342286575</v>
      </c>
      <c r="AC253" s="41">
        <f>J253/'1. Väestöennuste'!L253*1000</f>
        <v>775.06842392594342</v>
      </c>
      <c r="AD253" s="41">
        <f>K253/'1. Väestöennuste'!M253*1000</f>
        <v>500.68112128418551</v>
      </c>
      <c r="AE253" s="41">
        <f>L253/'1. Väestöennuste'!N253*1000</f>
        <v>506.65782509136125</v>
      </c>
      <c r="AF253" s="41">
        <f>M253/'1. Väestöennuste'!O253*1000</f>
        <v>509.82849963462428</v>
      </c>
      <c r="AG253" s="41">
        <f>N253/'1. Väestöennuste'!P253*1000</f>
        <v>512.81630045895758</v>
      </c>
      <c r="AH253" s="41">
        <f>O253/'1. Väestöennuste'!Q253*1000</f>
        <v>515.61093763850033</v>
      </c>
      <c r="AI253" s="41">
        <f>P253/'1. Väestöennuste'!R253*1000</f>
        <v>517.99522088941274</v>
      </c>
    </row>
    <row r="254" spans="1:35" x14ac:dyDescent="0.2">
      <c r="A254" s="34">
        <v>762</v>
      </c>
      <c r="B254" s="88" t="s">
        <v>568</v>
      </c>
      <c r="C254" s="46">
        <v>863</v>
      </c>
      <c r="D254" s="46">
        <v>415</v>
      </c>
      <c r="E254" s="46">
        <v>885</v>
      </c>
      <c r="F254" s="46">
        <v>1101</v>
      </c>
      <c r="G254" s="70">
        <v>313</v>
      </c>
      <c r="H254" s="41">
        <v>1605</v>
      </c>
      <c r="I254" s="165">
        <v>4537.8447100000003</v>
      </c>
      <c r="J254" s="41">
        <v>5447.7397699999992</v>
      </c>
      <c r="K254" s="41">
        <v>5138.0597900000002</v>
      </c>
      <c r="L254" s="41">
        <f t="shared" si="18"/>
        <v>5123.3501123069063</v>
      </c>
      <c r="M254" s="41">
        <f t="shared" si="18"/>
        <v>5108.7540087260631</v>
      </c>
      <c r="N254" s="41">
        <f t="shared" si="16"/>
        <v>5094.2648224526074</v>
      </c>
      <c r="O254" s="41">
        <f t="shared" si="16"/>
        <v>5079.8724558953509</v>
      </c>
      <c r="P254" s="41">
        <f t="shared" si="16"/>
        <v>5065.4383345786655</v>
      </c>
      <c r="T254" s="34">
        <v>762</v>
      </c>
      <c r="U254" s="88" t="s">
        <v>568</v>
      </c>
      <c r="V254" s="41">
        <f>C254/'1. Väestöennuste'!E254*1000</f>
        <v>201.72978027115474</v>
      </c>
      <c r="W254" s="41">
        <f>D254/'1. Väestöennuste'!F254*1000</f>
        <v>98.833055489402241</v>
      </c>
      <c r="X254" s="41">
        <f>E254/'1. Väestöennuste'!G254*1000</f>
        <v>217.17791411042944</v>
      </c>
      <c r="Y254" s="41">
        <f>F254/'1. Väestöennuste'!H254*1000</f>
        <v>277.53970254600449</v>
      </c>
      <c r="Z254" s="41">
        <f>G254/'1. Väestöennuste'!I254*1000</f>
        <v>80.318193482165768</v>
      </c>
      <c r="AA254" s="41">
        <f>H254/'1. Väestöennuste'!J254*1000</f>
        <v>417.85993230929449</v>
      </c>
      <c r="AB254" s="41">
        <f>I254/'1. Väestöennuste'!K254*1000</f>
        <v>1201.4415435530846</v>
      </c>
      <c r="AC254" s="41">
        <f>J254/'1. Väestöennuste'!L254*1000</f>
        <v>1483.5892619825706</v>
      </c>
      <c r="AD254" s="41">
        <f>K254/'1. Väestöennuste'!M254*1000</f>
        <v>1412.7192163871323</v>
      </c>
      <c r="AE254" s="41">
        <f>L254/'1. Väestöennuste'!N254*1000</f>
        <v>1440.7621238208399</v>
      </c>
      <c r="AF254" s="41">
        <f>M254/'1. Väestöennuste'!O254*1000</f>
        <v>1460.8961992353627</v>
      </c>
      <c r="AG254" s="41">
        <f>N254/'1. Väestöennuste'!P254*1000</f>
        <v>1480.0304539374222</v>
      </c>
      <c r="AH254" s="41">
        <f>O254/'1. Väestöennuste'!Q254*1000</f>
        <v>1498.0455487748013</v>
      </c>
      <c r="AI254" s="41">
        <f>P254/'1. Väestöennuste'!R254*1000</f>
        <v>1516.1443683264488</v>
      </c>
    </row>
    <row r="255" spans="1:35" x14ac:dyDescent="0.2">
      <c r="A255" s="34">
        <v>765</v>
      </c>
      <c r="B255" s="88" t="s">
        <v>569</v>
      </c>
      <c r="C255" s="46">
        <v>1010</v>
      </c>
      <c r="D255" s="46">
        <v>1962</v>
      </c>
      <c r="E255" s="46">
        <v>2750</v>
      </c>
      <c r="F255" s="46">
        <v>4154</v>
      </c>
      <c r="G255" s="70">
        <v>75811</v>
      </c>
      <c r="H255" s="41">
        <v>61975</v>
      </c>
      <c r="I255" s="165">
        <v>50534.316450000006</v>
      </c>
      <c r="J255" s="41">
        <v>39253.84708</v>
      </c>
      <c r="K255" s="41">
        <v>37923.039389999998</v>
      </c>
      <c r="L255" s="41">
        <f t="shared" ref="L255:M274" si="19">K255*L$8</f>
        <v>37814.470064346162</v>
      </c>
      <c r="M255" s="41">
        <f t="shared" si="19"/>
        <v>37706.739007554228</v>
      </c>
      <c r="N255" s="41">
        <f t="shared" si="16"/>
        <v>37599.797087017076</v>
      </c>
      <c r="O255" s="41">
        <f t="shared" si="16"/>
        <v>37493.569774339936</v>
      </c>
      <c r="P255" s="41">
        <f t="shared" si="16"/>
        <v>37387.034277746832</v>
      </c>
      <c r="T255" s="34">
        <v>765</v>
      </c>
      <c r="U255" s="88" t="s">
        <v>569</v>
      </c>
      <c r="V255" s="41">
        <f>C255/'1. Väestöennuste'!E255*1000</f>
        <v>95.980233773638687</v>
      </c>
      <c r="W255" s="41">
        <f>D255/'1. Väestöennuste'!F255*1000</f>
        <v>187.37465380574923</v>
      </c>
      <c r="X255" s="41">
        <f>E255/'1. Väestöennuste'!G255*1000</f>
        <v>263.83958553199653</v>
      </c>
      <c r="Y255" s="41">
        <f>F255/'1. Väestöennuste'!H255*1000</f>
        <v>399.84599095196842</v>
      </c>
      <c r="Z255" s="41">
        <f>G255/'1. Väestöennuste'!I255*1000</f>
        <v>7334.6555727554178</v>
      </c>
      <c r="AA255" s="41">
        <f>H255/'1. Väestöennuste'!J255*1000</f>
        <v>6016.4061741578489</v>
      </c>
      <c r="AB255" s="41">
        <f>I255/'1. Väestöennuste'!K255*1000</f>
        <v>4883.4863210282183</v>
      </c>
      <c r="AC255" s="41">
        <f>J255/'1. Väestöennuste'!L255*1000</f>
        <v>3791.1770407571953</v>
      </c>
      <c r="AD255" s="41">
        <f>K255/'1. Väestöennuste'!M255*1000</f>
        <v>3691.1659908506913</v>
      </c>
      <c r="AE255" s="41">
        <f>L255/'1. Väestöennuste'!N255*1000</f>
        <v>3744.7484714147517</v>
      </c>
      <c r="AF255" s="41">
        <f>M255/'1. Väestöennuste'!O255*1000</f>
        <v>3753.0346379570251</v>
      </c>
      <c r="AG255" s="41">
        <f>N255/'1. Väestöennuste'!P255*1000</f>
        <v>3760.3557442761353</v>
      </c>
      <c r="AH255" s="41">
        <f>O255/'1. Väestöennuste'!Q255*1000</f>
        <v>3768.5767186993603</v>
      </c>
      <c r="AI255" s="41">
        <f>P255/'1. Väestöennuste'!R255*1000</f>
        <v>3776.4681088633165</v>
      </c>
    </row>
    <row r="256" spans="1:35" x14ac:dyDescent="0.2">
      <c r="A256" s="34">
        <v>768</v>
      </c>
      <c r="B256" s="88" t="s">
        <v>570</v>
      </c>
      <c r="C256" s="46">
        <v>99</v>
      </c>
      <c r="D256" s="46">
        <v>201</v>
      </c>
      <c r="E256" s="46">
        <v>1859</v>
      </c>
      <c r="F256" s="46">
        <v>861</v>
      </c>
      <c r="G256" s="70">
        <v>303</v>
      </c>
      <c r="H256" s="41">
        <v>886</v>
      </c>
      <c r="I256" s="165">
        <v>724.34377000000006</v>
      </c>
      <c r="J256" s="41">
        <v>1518.5484099999999</v>
      </c>
      <c r="K256" s="41">
        <v>618.75225999999998</v>
      </c>
      <c r="L256" s="41">
        <f t="shared" si="19"/>
        <v>616.98084302774373</v>
      </c>
      <c r="M256" s="41">
        <f t="shared" si="19"/>
        <v>615.22310324911791</v>
      </c>
      <c r="N256" s="41">
        <f t="shared" si="16"/>
        <v>613.47823901657034</v>
      </c>
      <c r="O256" s="41">
        <f t="shared" si="16"/>
        <v>611.74503432491167</v>
      </c>
      <c r="P256" s="41">
        <f t="shared" si="16"/>
        <v>610.00680130489195</v>
      </c>
      <c r="T256" s="34">
        <v>768</v>
      </c>
      <c r="U256" s="88" t="s">
        <v>570</v>
      </c>
      <c r="V256" s="41">
        <f>C256/'1. Väestöennuste'!E256*1000</f>
        <v>36.343612334801762</v>
      </c>
      <c r="W256" s="41">
        <f>D256/'1. Väestöennuste'!F256*1000</f>
        <v>75.535512965050728</v>
      </c>
      <c r="X256" s="41">
        <f>E256/'1. Väestöennuste'!G256*1000</f>
        <v>718.31530139103552</v>
      </c>
      <c r="Y256" s="41">
        <f>F256/'1. Väestöennuste'!H256*1000</f>
        <v>340.31620553359681</v>
      </c>
      <c r="Z256" s="41">
        <f>G256/'1. Väestöennuste'!I256*1000</f>
        <v>121.58908507223114</v>
      </c>
      <c r="AA256" s="41">
        <f>H256/'1. Väestöennuste'!J256*1000</f>
        <v>356.97018533440774</v>
      </c>
      <c r="AB256" s="41">
        <f>I256/'1. Väestöennuste'!K256*1000</f>
        <v>298.08385596707819</v>
      </c>
      <c r="AC256" s="41">
        <f>J256/'1. Väestöennuste'!L256*1000</f>
        <v>639.38880421052625</v>
      </c>
      <c r="AD256" s="41">
        <f>K256/'1. Väestöennuste'!M256*1000</f>
        <v>261.29740709459458</v>
      </c>
      <c r="AE256" s="41">
        <f>L256/'1. Väestöennuste'!N256*1000</f>
        <v>269.07145356639501</v>
      </c>
      <c r="AF256" s="41">
        <f>M256/'1. Väestöennuste'!O256*1000</f>
        <v>272.94725077600617</v>
      </c>
      <c r="AG256" s="41">
        <f>N256/'1. Väestöennuste'!P256*1000</f>
        <v>276.59072994435093</v>
      </c>
      <c r="AH256" s="41">
        <f>O256/'1. Väestöennuste'!Q256*1000</f>
        <v>279.97484408462776</v>
      </c>
      <c r="AI256" s="41">
        <f>P256/'1. Väestöennuste'!R256*1000</f>
        <v>282.8033385743588</v>
      </c>
    </row>
    <row r="257" spans="1:35" x14ac:dyDescent="0.2">
      <c r="A257" s="34">
        <v>777</v>
      </c>
      <c r="B257" s="88" t="s">
        <v>571</v>
      </c>
      <c r="C257" s="46">
        <v>11830</v>
      </c>
      <c r="D257" s="46">
        <v>10701</v>
      </c>
      <c r="E257" s="46">
        <v>13762</v>
      </c>
      <c r="F257" s="46">
        <v>11928</v>
      </c>
      <c r="G257" s="70">
        <v>11944</v>
      </c>
      <c r="H257" s="41">
        <v>17910</v>
      </c>
      <c r="I257" s="165">
        <v>16488.27002</v>
      </c>
      <c r="J257" s="41">
        <v>13546.10374</v>
      </c>
      <c r="K257" s="41">
        <v>21315.218370000002</v>
      </c>
      <c r="L257" s="41">
        <f t="shared" si="19"/>
        <v>21254.195336988429</v>
      </c>
      <c r="M257" s="41">
        <f t="shared" si="19"/>
        <v>21193.643465680445</v>
      </c>
      <c r="N257" s="41">
        <f t="shared" si="16"/>
        <v>21133.535140350443</v>
      </c>
      <c r="O257" s="41">
        <f t="shared" si="16"/>
        <v>21073.828471185931</v>
      </c>
      <c r="P257" s="41">
        <f t="shared" si="16"/>
        <v>21013.948582586148</v>
      </c>
      <c r="T257" s="34">
        <v>777</v>
      </c>
      <c r="U257" s="88" t="s">
        <v>571</v>
      </c>
      <c r="V257" s="41">
        <f>C257/'1. Väestöennuste'!E257*1000</f>
        <v>1419.1458733205372</v>
      </c>
      <c r="W257" s="41">
        <f>D257/'1. Väestöennuste'!F257*1000</f>
        <v>1307.0721876145108</v>
      </c>
      <c r="X257" s="41">
        <f>E257/'1. Väestöennuste'!G257*1000</f>
        <v>1709.3528754192027</v>
      </c>
      <c r="Y257" s="41">
        <f>F257/'1. Väestöennuste'!H257*1000</f>
        <v>1517.1712032561688</v>
      </c>
      <c r="Z257" s="41">
        <f>G257/'1. Väestöennuste'!I257*1000</f>
        <v>1545.7486734825936</v>
      </c>
      <c r="AA257" s="41">
        <f>H257/'1. Väestöennuste'!J257*1000</f>
        <v>2358.4408743745062</v>
      </c>
      <c r="AB257" s="41">
        <f>I257/'1. Väestöennuste'!K257*1000</f>
        <v>2196.0935029302077</v>
      </c>
      <c r="AC257" s="41">
        <f>J257/'1. Väestöennuste'!L257*1000</f>
        <v>1838.7544102076829</v>
      </c>
      <c r="AD257" s="41">
        <f>K257/'1. Väestöennuste'!M257*1000</f>
        <v>2972.0047922476297</v>
      </c>
      <c r="AE257" s="41">
        <f>L257/'1. Väestöennuste'!N257*1000</f>
        <v>3022.0667335402286</v>
      </c>
      <c r="AF257" s="41">
        <f>M257/'1. Väestöennuste'!O257*1000</f>
        <v>3067.5413903141475</v>
      </c>
      <c r="AG257" s="41">
        <f>N257/'1. Väestöennuste'!P257*1000</f>
        <v>3111.9916272051896</v>
      </c>
      <c r="AH257" s="41">
        <f>O257/'1. Väestöennuste'!Q257*1000</f>
        <v>3155.7095644183782</v>
      </c>
      <c r="AI257" s="41">
        <f>P257/'1. Väestöennuste'!R257*1000</f>
        <v>3197.9833484380074</v>
      </c>
    </row>
    <row r="258" spans="1:35" x14ac:dyDescent="0.2">
      <c r="A258" s="34">
        <v>778</v>
      </c>
      <c r="B258" s="88" t="s">
        <v>572</v>
      </c>
      <c r="C258" s="46">
        <v>1770</v>
      </c>
      <c r="D258" s="46">
        <v>1591</v>
      </c>
      <c r="E258" s="46">
        <v>1796</v>
      </c>
      <c r="F258" s="46">
        <v>1266</v>
      </c>
      <c r="G258" s="70">
        <v>3791</v>
      </c>
      <c r="H258" s="41">
        <v>2460</v>
      </c>
      <c r="I258" s="165">
        <v>3660.60329</v>
      </c>
      <c r="J258" s="41">
        <v>3968.8821699999999</v>
      </c>
      <c r="K258" s="41">
        <v>927.08219999999994</v>
      </c>
      <c r="L258" s="41">
        <f t="shared" si="19"/>
        <v>924.42806966396427</v>
      </c>
      <c r="M258" s="41">
        <f t="shared" si="19"/>
        <v>921.79443199289392</v>
      </c>
      <c r="N258" s="41">
        <f t="shared" si="16"/>
        <v>919.18008587089105</v>
      </c>
      <c r="O258" s="41">
        <f t="shared" si="16"/>
        <v>916.58320934620042</v>
      </c>
      <c r="P258" s="41">
        <f t="shared" si="16"/>
        <v>913.97879883089581</v>
      </c>
      <c r="T258" s="34">
        <v>778</v>
      </c>
      <c r="U258" s="88" t="s">
        <v>572</v>
      </c>
      <c r="V258" s="41">
        <f>C258/'1. Väestöennuste'!E258*1000</f>
        <v>239.5128552097429</v>
      </c>
      <c r="W258" s="41">
        <f>D258/'1. Väestöennuste'!F258*1000</f>
        <v>217.58752735229757</v>
      </c>
      <c r="X258" s="41">
        <f>E258/'1. Väestöennuste'!G258*1000</f>
        <v>247.17864024222405</v>
      </c>
      <c r="Y258" s="41">
        <f>F258/'1. Väestöennuste'!H258*1000</f>
        <v>177.18684394681594</v>
      </c>
      <c r="Z258" s="41">
        <f>G258/'1. Väestöennuste'!I258*1000</f>
        <v>536.66477916194788</v>
      </c>
      <c r="AA258" s="41">
        <f>H258/'1. Väestöennuste'!J258*1000</f>
        <v>354.92713894098978</v>
      </c>
      <c r="AB258" s="41">
        <f>I258/'1. Väestöennuste'!K258*1000</f>
        <v>531.21510520969389</v>
      </c>
      <c r="AC258" s="41">
        <f>J258/'1. Väestöennuste'!L258*1000</f>
        <v>586.8523096259056</v>
      </c>
      <c r="AD258" s="41">
        <f>K258/'1. Väestöennuste'!M258*1000</f>
        <v>138.20545617173525</v>
      </c>
      <c r="AE258" s="41">
        <f>L258/'1. Väestöennuste'!N258*1000</f>
        <v>140.83303925410789</v>
      </c>
      <c r="AF258" s="41">
        <f>M258/'1. Väestöennuste'!O258*1000</f>
        <v>142.07682367338072</v>
      </c>
      <c r="AG258" s="41">
        <f>N258/'1. Väestöennuste'!P258*1000</f>
        <v>143.26372909459025</v>
      </c>
      <c r="AH258" s="41">
        <f>O258/'1. Väestöennuste'!Q258*1000</f>
        <v>144.36654738481658</v>
      </c>
      <c r="AI258" s="41">
        <f>P258/'1. Väestöennuste'!R258*1000</f>
        <v>145.51485413642664</v>
      </c>
    </row>
    <row r="259" spans="1:35" x14ac:dyDescent="0.2">
      <c r="A259" s="34">
        <v>781</v>
      </c>
      <c r="B259" s="88" t="s">
        <v>573</v>
      </c>
      <c r="C259" s="46">
        <v>9102</v>
      </c>
      <c r="D259" s="46">
        <v>7981</v>
      </c>
      <c r="E259" s="46">
        <v>6486</v>
      </c>
      <c r="F259" s="46">
        <v>5542</v>
      </c>
      <c r="G259" s="70">
        <v>4166</v>
      </c>
      <c r="H259" s="41">
        <v>7178</v>
      </c>
      <c r="I259" s="165">
        <v>5722.0410000000002</v>
      </c>
      <c r="J259" s="41">
        <v>5545.4886500000002</v>
      </c>
      <c r="K259" s="41">
        <v>0</v>
      </c>
      <c r="L259" s="41">
        <f t="shared" si="19"/>
        <v>0</v>
      </c>
      <c r="M259" s="41">
        <f t="shared" si="19"/>
        <v>0</v>
      </c>
      <c r="N259" s="41">
        <f t="shared" si="16"/>
        <v>0</v>
      </c>
      <c r="O259" s="41">
        <f t="shared" si="16"/>
        <v>0</v>
      </c>
      <c r="P259" s="41">
        <f t="shared" si="16"/>
        <v>0</v>
      </c>
      <c r="T259" s="34">
        <v>781</v>
      </c>
      <c r="U259" s="88" t="s">
        <v>573</v>
      </c>
      <c r="V259" s="41">
        <f>C259/'1. Väestöennuste'!E259*1000</f>
        <v>2252.970297029703</v>
      </c>
      <c r="W259" s="41">
        <f>D259/'1. Väestöennuste'!F259*1000</f>
        <v>2018.9729319504174</v>
      </c>
      <c r="X259" s="41">
        <f>E259/'1. Väestöennuste'!G259*1000</f>
        <v>1680.7463073335061</v>
      </c>
      <c r="Y259" s="41">
        <f>F259/'1. Väestöennuste'!H259*1000</f>
        <v>1476.685318411937</v>
      </c>
      <c r="Z259" s="41">
        <f>G259/'1. Väestöennuste'!I259*1000</f>
        <v>1139.1851244189227</v>
      </c>
      <c r="AA259" s="41">
        <f>H259/'1. Väestöennuste'!J259*1000</f>
        <v>1976.8658771688242</v>
      </c>
      <c r="AB259" s="41">
        <f>I259/'1. Väestöennuste'!K259*1000</f>
        <v>1596.5516183035716</v>
      </c>
      <c r="AC259" s="41">
        <f>J259/'1. Väestöennuste'!L259*1000</f>
        <v>1582.6166238584476</v>
      </c>
      <c r="AD259" s="41">
        <f>K259/'1. Väestöennuste'!M259*1000</f>
        <v>0</v>
      </c>
      <c r="AE259" s="41">
        <f>L259/'1. Väestöennuste'!N259*1000</f>
        <v>0</v>
      </c>
      <c r="AF259" s="41">
        <f>M259/'1. Väestöennuste'!O259*1000</f>
        <v>0</v>
      </c>
      <c r="AG259" s="41">
        <f>N259/'1. Väestöennuste'!P259*1000</f>
        <v>0</v>
      </c>
      <c r="AH259" s="41">
        <f>O259/'1. Väestöennuste'!Q259*1000</f>
        <v>0</v>
      </c>
      <c r="AI259" s="41">
        <f>P259/'1. Väestöennuste'!R259*1000</f>
        <v>0</v>
      </c>
    </row>
    <row r="260" spans="1:35" x14ac:dyDescent="0.2">
      <c r="A260" s="34">
        <v>783</v>
      </c>
      <c r="B260" s="88" t="s">
        <v>574</v>
      </c>
      <c r="C260" s="46">
        <v>1373</v>
      </c>
      <c r="D260" s="46">
        <v>419</v>
      </c>
      <c r="E260" s="46">
        <v>1311</v>
      </c>
      <c r="F260" s="46">
        <v>413</v>
      </c>
      <c r="G260" s="70">
        <v>731</v>
      </c>
      <c r="H260" s="41">
        <v>1944</v>
      </c>
      <c r="I260" s="165">
        <v>4300.6977500000003</v>
      </c>
      <c r="J260" s="41">
        <v>4185.7263599999997</v>
      </c>
      <c r="K260" s="41">
        <v>2958.67418</v>
      </c>
      <c r="L260" s="41">
        <f t="shared" si="19"/>
        <v>2950.2038341174198</v>
      </c>
      <c r="M260" s="41">
        <f t="shared" si="19"/>
        <v>2941.7988881731753</v>
      </c>
      <c r="N260" s="41">
        <f t="shared" si="16"/>
        <v>2933.4555089466589</v>
      </c>
      <c r="O260" s="41">
        <f t="shared" si="16"/>
        <v>2925.1678818923911</v>
      </c>
      <c r="P260" s="41">
        <f t="shared" si="16"/>
        <v>2916.8562109901213</v>
      </c>
      <c r="T260" s="34">
        <v>783</v>
      </c>
      <c r="U260" s="88" t="s">
        <v>574</v>
      </c>
      <c r="V260" s="41">
        <f>C260/'1. Väestöennuste'!E260*1000</f>
        <v>194.2008486562942</v>
      </c>
      <c r="W260" s="41">
        <f>D260/'1. Väestöennuste'!F260*1000</f>
        <v>59.959931310818547</v>
      </c>
      <c r="X260" s="41">
        <f>E260/'1. Väestöennuste'!G260*1000</f>
        <v>189.9174272055628</v>
      </c>
      <c r="Y260" s="41">
        <f>F260/'1. Väestöennuste'!H260*1000</f>
        <v>60.63720452209661</v>
      </c>
      <c r="Z260" s="41">
        <f>G260/'1. Väestöennuste'!I260*1000</f>
        <v>108.76357684868323</v>
      </c>
      <c r="AA260" s="41">
        <f>H260/'1. Väestöennuste'!J260*1000</f>
        <v>292.50677099006924</v>
      </c>
      <c r="AB260" s="41">
        <f>I260/'1. Väestöennuste'!K260*1000</f>
        <v>652.80779447480279</v>
      </c>
      <c r="AC260" s="41">
        <f>J260/'1. Väestöennuste'!L260*1000</f>
        <v>652.08386976164502</v>
      </c>
      <c r="AD260" s="41">
        <f>K260/'1. Väestöennuste'!M260*1000</f>
        <v>463.96019758507134</v>
      </c>
      <c r="AE260" s="41">
        <f>L260/'1. Väestöennuste'!N260*1000</f>
        <v>466.36165572516916</v>
      </c>
      <c r="AF260" s="41">
        <f>M260/'1. Väestöennuste'!O260*1000</f>
        <v>470.23639516834641</v>
      </c>
      <c r="AG260" s="41">
        <f>N260/'1. Väestöennuste'!P260*1000</f>
        <v>474.28545011263685</v>
      </c>
      <c r="AH260" s="41">
        <f>O260/'1. Väestöennuste'!Q260*1000</f>
        <v>478.12485810598088</v>
      </c>
      <c r="AI260" s="41">
        <f>P260/'1. Väestöennuste'!R260*1000</f>
        <v>481.96566605917405</v>
      </c>
    </row>
    <row r="261" spans="1:35" x14ac:dyDescent="0.2">
      <c r="A261" s="34">
        <v>785</v>
      </c>
      <c r="B261" s="88" t="s">
        <v>575</v>
      </c>
      <c r="C261" s="46">
        <v>1442</v>
      </c>
      <c r="D261" s="46">
        <v>632</v>
      </c>
      <c r="E261" s="46">
        <v>1110</v>
      </c>
      <c r="F261" s="46">
        <v>1488</v>
      </c>
      <c r="G261" s="70">
        <v>1205</v>
      </c>
      <c r="H261" s="41">
        <v>977</v>
      </c>
      <c r="I261" s="165">
        <v>865.27771999999993</v>
      </c>
      <c r="J261" s="41">
        <v>765.96212000000003</v>
      </c>
      <c r="K261" s="41">
        <v>1978.09926</v>
      </c>
      <c r="L261" s="41">
        <f t="shared" si="19"/>
        <v>1972.4361879944586</v>
      </c>
      <c r="M261" s="41">
        <f t="shared" si="19"/>
        <v>1966.8168408338158</v>
      </c>
      <c r="N261" s="41">
        <f t="shared" si="16"/>
        <v>1961.238655717849</v>
      </c>
      <c r="O261" s="41">
        <f t="shared" si="16"/>
        <v>1955.6977451796013</v>
      </c>
      <c r="P261" s="41">
        <f t="shared" si="16"/>
        <v>1950.1407594958505</v>
      </c>
      <c r="T261" s="34">
        <v>785</v>
      </c>
      <c r="U261" s="88" t="s">
        <v>575</v>
      </c>
      <c r="V261" s="41">
        <f>C261/'1. Väestöennuste'!E261*1000</f>
        <v>469.0956408588159</v>
      </c>
      <c r="W261" s="41">
        <f>D261/'1. Väestöennuste'!F261*1000</f>
        <v>207.89473684210526</v>
      </c>
      <c r="X261" s="41">
        <f>E261/'1. Väestöennuste'!G261*1000</f>
        <v>377.42264535872152</v>
      </c>
      <c r="Y261" s="41">
        <f>F261/'1. Väestöennuste'!H261*1000</f>
        <v>518.64761240850464</v>
      </c>
      <c r="Z261" s="41">
        <f>G261/'1. Väestöennuste'!I261*1000</f>
        <v>431.59025787965618</v>
      </c>
      <c r="AA261" s="41">
        <f>H261/'1. Väestöennuste'!J261*1000</f>
        <v>356.96017537449762</v>
      </c>
      <c r="AB261" s="41">
        <f>I261/'1. Väestöennuste'!K261*1000</f>
        <v>323.71033295922183</v>
      </c>
      <c r="AC261" s="41">
        <f>J261/'1. Väestöennuste'!L261*1000</f>
        <v>291.68397562833212</v>
      </c>
      <c r="AD261" s="41">
        <f>K261/'1. Väestöennuste'!M261*1000</f>
        <v>764.03988412514479</v>
      </c>
      <c r="AE261" s="41">
        <f>L261/'1. Väestöennuste'!N261*1000</f>
        <v>790.87256936425763</v>
      </c>
      <c r="AF261" s="41">
        <f>M261/'1. Väestöennuste'!O261*1000</f>
        <v>803.7665879991074</v>
      </c>
      <c r="AG261" s="41">
        <f>N261/'1. Väestöennuste'!P261*1000</f>
        <v>816.1625700032663</v>
      </c>
      <c r="AH261" s="41">
        <f>O261/'1. Väestöennuste'!Q261*1000</f>
        <v>827.98380405571606</v>
      </c>
      <c r="AI261" s="41">
        <f>P261/'1. Väestöennuste'!R261*1000</f>
        <v>838.77021913800024</v>
      </c>
    </row>
    <row r="262" spans="1:35" x14ac:dyDescent="0.2">
      <c r="A262" s="34">
        <v>790</v>
      </c>
      <c r="B262" s="88" t="s">
        <v>576</v>
      </c>
      <c r="C262" s="46">
        <v>27479</v>
      </c>
      <c r="D262" s="46">
        <v>22566</v>
      </c>
      <c r="E262" s="46">
        <v>23885</v>
      </c>
      <c r="F262" s="46">
        <v>26221</v>
      </c>
      <c r="G262" s="70">
        <v>26478</v>
      </c>
      <c r="H262" s="41">
        <v>29023</v>
      </c>
      <c r="I262" s="165">
        <v>30203.381430000001</v>
      </c>
      <c r="J262" s="41">
        <v>36522.477100000004</v>
      </c>
      <c r="K262" s="41">
        <v>30556.412649999998</v>
      </c>
      <c r="L262" s="41">
        <f t="shared" si="19"/>
        <v>30468.933134402796</v>
      </c>
      <c r="M262" s="41">
        <f t="shared" si="19"/>
        <v>30382.129052253651</v>
      </c>
      <c r="N262" s="41">
        <f t="shared" si="16"/>
        <v>30295.960815053277</v>
      </c>
      <c r="O262" s="41">
        <f t="shared" si="16"/>
        <v>30210.368371697612</v>
      </c>
      <c r="P262" s="41">
        <f t="shared" si="16"/>
        <v>30124.527609772027</v>
      </c>
      <c r="T262" s="34">
        <v>790</v>
      </c>
      <c r="U262" s="88" t="s">
        <v>576</v>
      </c>
      <c r="V262" s="41">
        <f>C262/'1. Väestöennuste'!E262*1000</f>
        <v>1089.5717684377478</v>
      </c>
      <c r="W262" s="41">
        <f>D262/'1. Väestöennuste'!F262*1000</f>
        <v>900.40699066315528</v>
      </c>
      <c r="X262" s="41">
        <f>E262/'1. Väestöennuste'!G262*1000</f>
        <v>962.32876712328766</v>
      </c>
      <c r="Y262" s="41">
        <f>F262/'1. Väestöennuste'!H262*1000</f>
        <v>1063.689099833678</v>
      </c>
      <c r="Z262" s="41">
        <f>G262/'1. Väestöennuste'!I262*1000</f>
        <v>1090.6619434032211</v>
      </c>
      <c r="AA262" s="41">
        <f>H262/'1. Väestöennuste'!J262*1000</f>
        <v>1206.6771994012972</v>
      </c>
      <c r="AB262" s="41">
        <f>I262/'1. Väestöennuste'!K262*1000</f>
        <v>1258.5791078423204</v>
      </c>
      <c r="AC262" s="41">
        <f>J262/'1. Väestöennuste'!L262*1000</f>
        <v>1538.8251917080981</v>
      </c>
      <c r="AD262" s="41">
        <f>K262/'1. Väestöennuste'!M262*1000</f>
        <v>1299.4434467361257</v>
      </c>
      <c r="AE262" s="41">
        <f>L262/'1. Väestöennuste'!N262*1000</f>
        <v>1324.7362232349042</v>
      </c>
      <c r="AF262" s="41">
        <f>M262/'1. Väestöennuste'!O262*1000</f>
        <v>1334.2465878641101</v>
      </c>
      <c r="AG262" s="41">
        <f>N262/'1. Väestöennuste'!P262*1000</f>
        <v>1343.025127008302</v>
      </c>
      <c r="AH262" s="41">
        <f>O262/'1. Väestöennuste'!Q262*1000</f>
        <v>1351.6338585162905</v>
      </c>
      <c r="AI262" s="41">
        <f>P262/'1. Väestöennuste'!R262*1000</f>
        <v>1359.901029693573</v>
      </c>
    </row>
    <row r="263" spans="1:35" x14ac:dyDescent="0.2">
      <c r="A263" s="34">
        <v>791</v>
      </c>
      <c r="B263" s="88" t="s">
        <v>577</v>
      </c>
      <c r="C263" s="46">
        <v>88</v>
      </c>
      <c r="D263" s="46">
        <v>61</v>
      </c>
      <c r="E263" s="46">
        <v>444</v>
      </c>
      <c r="F263" s="46">
        <v>14</v>
      </c>
      <c r="G263" s="70">
        <v>969</v>
      </c>
      <c r="H263" s="41">
        <v>2410</v>
      </c>
      <c r="I263" s="165">
        <v>2012.8925099999999</v>
      </c>
      <c r="J263" s="41">
        <v>767.08493999999996</v>
      </c>
      <c r="K263" s="41">
        <v>666.43919999999991</v>
      </c>
      <c r="L263" s="41">
        <f t="shared" si="19"/>
        <v>664.53126077104764</v>
      </c>
      <c r="M263" s="41">
        <f t="shared" si="19"/>
        <v>662.638052830481</v>
      </c>
      <c r="N263" s="41">
        <f t="shared" si="16"/>
        <v>660.75871274815529</v>
      </c>
      <c r="O263" s="41">
        <f t="shared" si="16"/>
        <v>658.89193080194423</v>
      </c>
      <c r="P263" s="41">
        <f t="shared" si="16"/>
        <v>657.01973299651638</v>
      </c>
      <c r="T263" s="34">
        <v>791</v>
      </c>
      <c r="U263" s="88" t="s">
        <v>577</v>
      </c>
      <c r="V263" s="41">
        <f>C263/'1. Väestöennuste'!E263*1000</f>
        <v>15.501144970935353</v>
      </c>
      <c r="W263" s="41">
        <f>D263/'1. Väestöennuste'!F263*1000</f>
        <v>10.926025434354289</v>
      </c>
      <c r="X263" s="41">
        <f>E263/'1. Väestöennuste'!G263*1000</f>
        <v>81.512759317055256</v>
      </c>
      <c r="Y263" s="41">
        <f>F263/'1. Väestöennuste'!H263*1000</f>
        <v>2.6410111299754764</v>
      </c>
      <c r="Z263" s="41">
        <f>G263/'1. Väestöennuste'!I263*1000</f>
        <v>185.24182756643091</v>
      </c>
      <c r="AA263" s="41">
        <f>H263/'1. Väestöennuste'!J263*1000</f>
        <v>463.19431097443783</v>
      </c>
      <c r="AB263" s="41">
        <f>I263/'1. Väestöennuste'!K263*1000</f>
        <v>392.30023582147726</v>
      </c>
      <c r="AC263" s="41">
        <f>J263/'1. Väestöennuste'!L263*1000</f>
        <v>152.53230065619405</v>
      </c>
      <c r="AD263" s="41">
        <f>K263/'1. Väestöennuste'!M263*1000</f>
        <v>135.15295071993509</v>
      </c>
      <c r="AE263" s="41">
        <f>L263/'1. Väestöennuste'!N263*1000</f>
        <v>137.38500326050189</v>
      </c>
      <c r="AF263" s="41">
        <f>M263/'1. Väestöennuste'!O263*1000</f>
        <v>139.29746748591148</v>
      </c>
      <c r="AG263" s="41">
        <f>N263/'1. Väestöennuste'!P263*1000</f>
        <v>141.21793390642347</v>
      </c>
      <c r="AH263" s="41">
        <f>O263/'1. Väestöennuste'!Q263*1000</f>
        <v>143.05078827658363</v>
      </c>
      <c r="AI263" s="41">
        <f>P263/'1. Väestöennuste'!R263*1000</f>
        <v>144.81369473143408</v>
      </c>
    </row>
    <row r="264" spans="1:35" x14ac:dyDescent="0.2">
      <c r="A264" s="34">
        <v>831</v>
      </c>
      <c r="B264" s="88" t="s">
        <v>578</v>
      </c>
      <c r="C264" s="46">
        <v>274</v>
      </c>
      <c r="D264" s="46">
        <v>233</v>
      </c>
      <c r="E264" s="46">
        <v>1363</v>
      </c>
      <c r="F264" s="46">
        <v>1975</v>
      </c>
      <c r="G264" s="70">
        <v>942</v>
      </c>
      <c r="H264" s="41">
        <v>2499</v>
      </c>
      <c r="I264" s="165">
        <v>2451.0747099999999</v>
      </c>
      <c r="J264" s="41">
        <v>400.44923999999997</v>
      </c>
      <c r="K264" s="41">
        <v>367.82946999999996</v>
      </c>
      <c r="L264" s="41">
        <f t="shared" si="19"/>
        <v>366.77641628500584</v>
      </c>
      <c r="M264" s="41">
        <f t="shared" si="19"/>
        <v>365.7314932471977</v>
      </c>
      <c r="N264" s="41">
        <f t="shared" si="16"/>
        <v>364.69422433139624</v>
      </c>
      <c r="O264" s="41">
        <f t="shared" si="16"/>
        <v>363.66388665936199</v>
      </c>
      <c r="P264" s="41">
        <f t="shared" si="16"/>
        <v>362.63055979847854</v>
      </c>
      <c r="T264" s="34">
        <v>831</v>
      </c>
      <c r="U264" s="88" t="s">
        <v>578</v>
      </c>
      <c r="V264" s="41">
        <f>C264/'1. Väestöennuste'!E264*1000</f>
        <v>56.9055036344756</v>
      </c>
      <c r="W264" s="41">
        <f>D264/'1. Väestöennuste'!F264*1000</f>
        <v>48.22019867549669</v>
      </c>
      <c r="X264" s="41">
        <f>E264/'1. Väestöennuste'!G264*1000</f>
        <v>285.50481776288228</v>
      </c>
      <c r="Y264" s="41">
        <f>F264/'1. Väestöennuste'!H264*1000</f>
        <v>418.87592788971369</v>
      </c>
      <c r="Z264" s="41">
        <f>G264/'1. Väestöennuste'!I264*1000</f>
        <v>201.66987797045601</v>
      </c>
      <c r="AA264" s="41">
        <f>H264/'1. Väestöennuste'!J264*1000</f>
        <v>539.97407087294721</v>
      </c>
      <c r="AB264" s="41">
        <f>I264/'1. Väestöennuste'!K264*1000</f>
        <v>533.4221349292709</v>
      </c>
      <c r="AC264" s="41">
        <f>J264/'1. Väestöennuste'!L264*1000</f>
        <v>87.837078306646191</v>
      </c>
      <c r="AD264" s="41">
        <f>K264/'1. Väestöennuste'!M264*1000</f>
        <v>79.530696216216214</v>
      </c>
      <c r="AE264" s="41">
        <f>L264/'1. Väestöennuste'!N264*1000</f>
        <v>81.487761894024842</v>
      </c>
      <c r="AF264" s="41">
        <f>M264/'1. Väestöennuste'!O264*1000</f>
        <v>81.837434156902603</v>
      </c>
      <c r="AG264" s="41">
        <f>N264/'1. Väestöennuste'!P264*1000</f>
        <v>82.212404042244415</v>
      </c>
      <c r="AH264" s="41">
        <f>O264/'1. Väestöennuste'!Q264*1000</f>
        <v>82.538331062043127</v>
      </c>
      <c r="AI264" s="41">
        <f>P264/'1. Väestöennuste'!R264*1000</f>
        <v>82.886985096795101</v>
      </c>
    </row>
    <row r="265" spans="1:35" x14ac:dyDescent="0.2">
      <c r="A265" s="34">
        <v>832</v>
      </c>
      <c r="B265" s="88" t="s">
        <v>579</v>
      </c>
      <c r="C265" s="46">
        <v>2281</v>
      </c>
      <c r="D265" s="46">
        <v>2936</v>
      </c>
      <c r="E265" s="46">
        <v>900</v>
      </c>
      <c r="F265" s="46">
        <v>1847</v>
      </c>
      <c r="G265" s="70">
        <v>2324</v>
      </c>
      <c r="H265" s="41">
        <v>1430</v>
      </c>
      <c r="I265" s="165">
        <v>2764.5519300000001</v>
      </c>
      <c r="J265" s="41">
        <v>4560.0432699999992</v>
      </c>
      <c r="K265" s="41">
        <v>1144.4601399999999</v>
      </c>
      <c r="L265" s="41">
        <f t="shared" si="19"/>
        <v>1141.1836814767346</v>
      </c>
      <c r="M265" s="41">
        <f t="shared" si="19"/>
        <v>1137.9325206435933</v>
      </c>
      <c r="N265" s="41">
        <f t="shared" si="16"/>
        <v>1134.7051747525861</v>
      </c>
      <c r="O265" s="41">
        <f t="shared" si="16"/>
        <v>1131.4993946491497</v>
      </c>
      <c r="P265" s="41">
        <f t="shared" si="16"/>
        <v>1128.2843140198777</v>
      </c>
      <c r="T265" s="34">
        <v>832</v>
      </c>
      <c r="U265" s="88" t="s">
        <v>579</v>
      </c>
      <c r="V265" s="41">
        <f>C265/'1. Väestöennuste'!E265*1000</f>
        <v>543.22457728030486</v>
      </c>
      <c r="W265" s="41">
        <f>D265/'1. Väestöennuste'!F265*1000</f>
        <v>710.37986934430194</v>
      </c>
      <c r="X265" s="41">
        <f>E265/'1. Väestöennuste'!G265*1000</f>
        <v>221.78413011335633</v>
      </c>
      <c r="Y265" s="41">
        <f>F265/'1. Väestöennuste'!H265*1000</f>
        <v>458.99602385685881</v>
      </c>
      <c r="Z265" s="41">
        <f>G265/'1. Väestöennuste'!I265*1000</f>
        <v>584.50704225352115</v>
      </c>
      <c r="AA265" s="41">
        <f>H265/'1. Väestöennuste'!J265*1000</f>
        <v>365.16853932584269</v>
      </c>
      <c r="AB265" s="41">
        <f>I265/'1. Väestöennuste'!K265*1000</f>
        <v>706.50445438282645</v>
      </c>
      <c r="AC265" s="41">
        <f>J265/'1. Väestöennuste'!L265*1000</f>
        <v>1192.1681751633985</v>
      </c>
      <c r="AD265" s="41">
        <f>K265/'1. Väestöennuste'!M265*1000</f>
        <v>306.74353792548914</v>
      </c>
      <c r="AE265" s="41">
        <f>L265/'1. Väestöennuste'!N265*1000</f>
        <v>309.85166480497816</v>
      </c>
      <c r="AF265" s="41">
        <f>M265/'1. Väestöennuste'!O265*1000</f>
        <v>313.48003323514968</v>
      </c>
      <c r="AG265" s="41">
        <f>N265/'1. Väestöennuste'!P265*1000</f>
        <v>317.13392251329964</v>
      </c>
      <c r="AH265" s="41">
        <f>O265/'1. Väestöennuste'!Q265*1000</f>
        <v>320.81071580639349</v>
      </c>
      <c r="AI265" s="41">
        <f>P265/'1. Väestöennuste'!R265*1000</f>
        <v>324.59272555232383</v>
      </c>
    </row>
    <row r="266" spans="1:35" x14ac:dyDescent="0.2">
      <c r="A266" s="34">
        <v>833</v>
      </c>
      <c r="B266" s="88" t="s">
        <v>580</v>
      </c>
      <c r="C266" s="46">
        <v>1316</v>
      </c>
      <c r="D266" s="46">
        <v>1972</v>
      </c>
      <c r="E266" s="46">
        <v>3374</v>
      </c>
      <c r="F266" s="46">
        <v>4155</v>
      </c>
      <c r="G266" s="70">
        <v>3675</v>
      </c>
      <c r="H266" s="41">
        <v>5994</v>
      </c>
      <c r="I266" s="165">
        <v>6283.2987699999994</v>
      </c>
      <c r="J266" s="41">
        <v>6696.5658899999999</v>
      </c>
      <c r="K266" s="41">
        <v>6471.2552100000003</v>
      </c>
      <c r="L266" s="41">
        <f t="shared" si="19"/>
        <v>6452.7287462569902</v>
      </c>
      <c r="M266" s="41">
        <f t="shared" si="19"/>
        <v>6434.3453262105622</v>
      </c>
      <c r="N266" s="41">
        <f t="shared" si="16"/>
        <v>6416.0965657848374</v>
      </c>
      <c r="O266" s="41">
        <f t="shared" si="16"/>
        <v>6397.96974732135</v>
      </c>
      <c r="P266" s="41">
        <f t="shared" si="16"/>
        <v>6379.790339803717</v>
      </c>
      <c r="T266" s="34">
        <v>833</v>
      </c>
      <c r="U266" s="88" t="s">
        <v>580</v>
      </c>
      <c r="V266" s="41">
        <f>C266/'1. Väestöennuste'!E266*1000</f>
        <v>805.87875076546231</v>
      </c>
      <c r="W266" s="41">
        <f>D266/'1. Väestöennuste'!F266*1000</f>
        <v>1215.7829839704068</v>
      </c>
      <c r="X266" s="41">
        <f>E266/'1. Väestöennuste'!G266*1000</f>
        <v>2039.9032648125756</v>
      </c>
      <c r="Y266" s="41">
        <f>F266/'1. Väestöennuste'!H266*1000</f>
        <v>2500</v>
      </c>
      <c r="Z266" s="41">
        <f>G266/'1. Väestöennuste'!I266*1000</f>
        <v>2242.2208663819401</v>
      </c>
      <c r="AA266" s="41">
        <f>H266/'1. Väestöennuste'!J266*1000</f>
        <v>3613.0198915009041</v>
      </c>
      <c r="AB266" s="41">
        <f>I266/'1. Väestöennuste'!K266*1000</f>
        <v>3746.7494156231364</v>
      </c>
      <c r="AC266" s="41">
        <f>J266/'1. Väestöennuste'!L266*1000</f>
        <v>3960.1217563571849</v>
      </c>
      <c r="AD266" s="41">
        <f>K266/'1. Väestöennuste'!M266*1000</f>
        <v>3795.4576011730205</v>
      </c>
      <c r="AE266" s="41">
        <f>L266/'1. Väestöennuste'!N266*1000</f>
        <v>3836.342893137331</v>
      </c>
      <c r="AF266" s="41">
        <f>M266/'1. Väestöennuste'!O266*1000</f>
        <v>3818.6025674840134</v>
      </c>
      <c r="AG266" s="41">
        <f>N266/'1. Väestöennuste'!P266*1000</f>
        <v>3801.0050745170834</v>
      </c>
      <c r="AH266" s="41">
        <f>O266/'1. Väestöennuste'!Q266*1000</f>
        <v>3779.0725028478146</v>
      </c>
      <c r="AI266" s="41">
        <f>P266/'1. Väestöennuste'!R266*1000</f>
        <v>3763.888106078889</v>
      </c>
    </row>
    <row r="267" spans="1:35" x14ac:dyDescent="0.2">
      <c r="A267" s="34">
        <v>834</v>
      </c>
      <c r="B267" s="88" t="s">
        <v>581</v>
      </c>
      <c r="C267" s="46">
        <v>132</v>
      </c>
      <c r="D267" s="46">
        <v>440</v>
      </c>
      <c r="E267" s="46">
        <v>1007</v>
      </c>
      <c r="F267" s="46">
        <v>187</v>
      </c>
      <c r="G267" s="70">
        <v>687</v>
      </c>
      <c r="H267" s="41">
        <v>1700</v>
      </c>
      <c r="I267" s="165">
        <v>2474.86123</v>
      </c>
      <c r="J267" s="41">
        <v>1422.0922800000001</v>
      </c>
      <c r="K267" s="41">
        <v>1496.6934099999999</v>
      </c>
      <c r="L267" s="41">
        <f t="shared" si="19"/>
        <v>1492.408547899071</v>
      </c>
      <c r="M267" s="41">
        <f t="shared" si="19"/>
        <v>1488.1567694196451</v>
      </c>
      <c r="N267" s="41">
        <f t="shared" si="16"/>
        <v>1483.9361354647913</v>
      </c>
      <c r="O267" s="41">
        <f t="shared" si="16"/>
        <v>1479.7437046521966</v>
      </c>
      <c r="P267" s="41">
        <f t="shared" si="16"/>
        <v>1475.5391108683971</v>
      </c>
      <c r="T267" s="34">
        <v>834</v>
      </c>
      <c r="U267" s="88" t="s">
        <v>581</v>
      </c>
      <c r="V267" s="41">
        <f>C267/'1. Väestöennuste'!E267*1000</f>
        <v>21.019108280254777</v>
      </c>
      <c r="W267" s="41">
        <f>D267/'1. Väestöennuste'!F267*1000</f>
        <v>70.501522191956425</v>
      </c>
      <c r="X267" s="41">
        <f>E267/'1. Väestöennuste'!G267*1000</f>
        <v>163.6068237205524</v>
      </c>
      <c r="Y267" s="41">
        <f>F267/'1. Väestöennuste'!H267*1000</f>
        <v>30.751521131392863</v>
      </c>
      <c r="Z267" s="41">
        <f>G267/'1. Väestöennuste'!I267*1000</f>
        <v>114.21446384039901</v>
      </c>
      <c r="AA267" s="41">
        <f>H267/'1. Väestöennuste'!J267*1000</f>
        <v>282.57978723404256</v>
      </c>
      <c r="AB267" s="41">
        <f>I267/'1. Väestöennuste'!K267*1000</f>
        <v>414.75804089157032</v>
      </c>
      <c r="AC267" s="41">
        <f>J267/'1. Väestöennuste'!L267*1000</f>
        <v>241.89356693315193</v>
      </c>
      <c r="AD267" s="41">
        <f>K267/'1. Väestöennuste'!M267*1000</f>
        <v>256.1077019164955</v>
      </c>
      <c r="AE267" s="41">
        <f>L267/'1. Väestöennuste'!N267*1000</f>
        <v>257.5338305261555</v>
      </c>
      <c r="AF267" s="41">
        <f>M267/'1. Väestöennuste'!O267*1000</f>
        <v>259.08021751734765</v>
      </c>
      <c r="AG267" s="41">
        <f>N267/'1. Väestöennuste'!P267*1000</f>
        <v>260.56824152147345</v>
      </c>
      <c r="AH267" s="41">
        <f>O267/'1. Väestöennuste'!Q267*1000</f>
        <v>261.99428198516227</v>
      </c>
      <c r="AI267" s="41">
        <f>P267/'1. Väestöennuste'!R267*1000</f>
        <v>263.20711931294989</v>
      </c>
    </row>
    <row r="268" spans="1:35" x14ac:dyDescent="0.2">
      <c r="A268" s="34">
        <v>837</v>
      </c>
      <c r="B268" s="88" t="s">
        <v>582</v>
      </c>
      <c r="C268" s="46">
        <v>-117651</v>
      </c>
      <c r="D268" s="46">
        <v>108858</v>
      </c>
      <c r="E268" s="46">
        <v>138411</v>
      </c>
      <c r="F268" s="46">
        <v>170862</v>
      </c>
      <c r="G268" s="70">
        <v>190774</v>
      </c>
      <c r="H268" s="41">
        <v>312958</v>
      </c>
      <c r="I268" s="165">
        <v>280406.43848000001</v>
      </c>
      <c r="J268" s="41">
        <v>241432.31131999998</v>
      </c>
      <c r="K268" s="41">
        <v>91878.169120000006</v>
      </c>
      <c r="L268" s="41">
        <f t="shared" si="19"/>
        <v>91615.132427157878</v>
      </c>
      <c r="M268" s="41">
        <f t="shared" si="19"/>
        <v>91354.12665297366</v>
      </c>
      <c r="N268" s="41">
        <f t="shared" si="16"/>
        <v>91095.03276126094</v>
      </c>
      <c r="O268" s="41">
        <f t="shared" si="16"/>
        <v>90837.670188104777</v>
      </c>
      <c r="P268" s="41">
        <f t="shared" si="16"/>
        <v>90579.560961346826</v>
      </c>
      <c r="T268" s="34">
        <v>837</v>
      </c>
      <c r="U268" s="88" t="s">
        <v>582</v>
      </c>
      <c r="V268" s="41">
        <f>C268/'1. Väestöennuste'!E268*1000</f>
        <v>-522.61924857186</v>
      </c>
      <c r="W268" s="41">
        <f>D268/'1. Väestöennuste'!F268*1000</f>
        <v>476.87428266031174</v>
      </c>
      <c r="X268" s="41">
        <f>E268/'1. Väestöennuste'!G268*1000</f>
        <v>596.97739515986427</v>
      </c>
      <c r="Y268" s="41">
        <f>F268/'1. Väestöennuste'!H268*1000</f>
        <v>726.33364365602642</v>
      </c>
      <c r="Z268" s="41">
        <f>G268/'1. Väestöennuste'!I268*1000</f>
        <v>801.10019316368516</v>
      </c>
      <c r="AA268" s="41">
        <f>H268/'1. Väestöennuste'!J268*1000</f>
        <v>1298.5324199511222</v>
      </c>
      <c r="AB268" s="41">
        <f>I268/'1. Väestöennuste'!K268*1000</f>
        <v>1148.1573745306544</v>
      </c>
      <c r="AC268" s="41">
        <f>J268/'1. Väestöennuste'!L268*1000</f>
        <v>969.57263119003721</v>
      </c>
      <c r="AD268" s="41">
        <f>K268/'1. Väestöennuste'!M268*1000</f>
        <v>360.23591107625958</v>
      </c>
      <c r="AE268" s="41">
        <f>L268/'1. Väestöennuste'!N268*1000</f>
        <v>360.91258150572548</v>
      </c>
      <c r="AF268" s="41">
        <f>M268/'1. Väestöennuste'!O268*1000</f>
        <v>356.03706614146392</v>
      </c>
      <c r="AG268" s="41">
        <f>N268/'1. Väestöennuste'!P268*1000</f>
        <v>351.45908909360639</v>
      </c>
      <c r="AH268" s="41">
        <f>O268/'1. Väestöennuste'!Q268*1000</f>
        <v>347.1366233490325</v>
      </c>
      <c r="AI268" s="41">
        <f>P268/'1. Väestöennuste'!R268*1000</f>
        <v>343.02383895201439</v>
      </c>
    </row>
    <row r="269" spans="1:35" x14ac:dyDescent="0.2">
      <c r="A269" s="34">
        <v>844</v>
      </c>
      <c r="B269" s="88" t="s">
        <v>583</v>
      </c>
      <c r="C269" s="46">
        <v>3554</v>
      </c>
      <c r="D269" s="46">
        <v>3544</v>
      </c>
      <c r="E269" s="46">
        <v>3509</v>
      </c>
      <c r="F269" s="46">
        <v>3532</v>
      </c>
      <c r="G269" s="70">
        <v>3039</v>
      </c>
      <c r="H269" s="41">
        <v>3292</v>
      </c>
      <c r="I269" s="165">
        <v>3194.7097000000003</v>
      </c>
      <c r="J269" s="41">
        <v>3411.32998</v>
      </c>
      <c r="K269" s="41">
        <v>2515.7205199999999</v>
      </c>
      <c r="L269" s="41">
        <f t="shared" si="19"/>
        <v>2508.5182997986849</v>
      </c>
      <c r="M269" s="41">
        <f t="shared" si="19"/>
        <v>2501.3716882777685</v>
      </c>
      <c r="N269" s="41">
        <f t="shared" si="16"/>
        <v>2494.2774261017662</v>
      </c>
      <c r="O269" s="41">
        <f t="shared" si="16"/>
        <v>2487.2305692415325</v>
      </c>
      <c r="P269" s="41">
        <f t="shared" si="16"/>
        <v>2480.1632682235045</v>
      </c>
      <c r="T269" s="34">
        <v>844</v>
      </c>
      <c r="U269" s="88" t="s">
        <v>583</v>
      </c>
      <c r="V269" s="41">
        <f>C269/'1. Väestöennuste'!E269*1000</f>
        <v>2210.1990049751244</v>
      </c>
      <c r="W269" s="41">
        <f>D269/'1. Väestöennuste'!F269*1000</f>
        <v>2199.8758535071383</v>
      </c>
      <c r="X269" s="41">
        <f>E269/'1. Väestöennuste'!G269*1000</f>
        <v>2213.8801261829653</v>
      </c>
      <c r="Y269" s="41">
        <f>F269/'1. Väestöennuste'!H269*1000</f>
        <v>2253.9885130823232</v>
      </c>
      <c r="Z269" s="41">
        <f>G269/'1. Väestöennuste'!I269*1000</f>
        <v>1999.3421052631579</v>
      </c>
      <c r="AA269" s="41">
        <f>H269/'1. Väestöennuste'!J269*1000</f>
        <v>2190.2860944777112</v>
      </c>
      <c r="AB269" s="41">
        <f>I269/'1. Väestöennuste'!K269*1000</f>
        <v>2160.047126436782</v>
      </c>
      <c r="AC269" s="41">
        <f>J269/'1. Väestöennuste'!L269*1000</f>
        <v>2367.3351700208191</v>
      </c>
      <c r="AD269" s="41">
        <f>K269/'1. Väestöennuste'!M269*1000</f>
        <v>1781.6717563739376</v>
      </c>
      <c r="AE269" s="41">
        <f>L269/'1. Väestöennuste'!N269*1000</f>
        <v>1749.315411296154</v>
      </c>
      <c r="AF269" s="41">
        <f>M269/'1. Väestöennuste'!O269*1000</f>
        <v>1759.0518201672071</v>
      </c>
      <c r="AG269" s="41">
        <f>N269/'1. Väestöennuste'!P269*1000</f>
        <v>1766.4854292505424</v>
      </c>
      <c r="AH269" s="41">
        <f>O269/'1. Väestöennuste'!Q269*1000</f>
        <v>1774.0588938955295</v>
      </c>
      <c r="AI269" s="41">
        <f>P269/'1. Väestöennuste'!R269*1000</f>
        <v>1783.0073819004347</v>
      </c>
    </row>
    <row r="270" spans="1:35" x14ac:dyDescent="0.2">
      <c r="A270" s="34">
        <v>845</v>
      </c>
      <c r="B270" s="88" t="s">
        <v>584</v>
      </c>
      <c r="C270" s="46">
        <v>4718</v>
      </c>
      <c r="D270" s="46">
        <v>6916</v>
      </c>
      <c r="E270" s="46">
        <v>7860</v>
      </c>
      <c r="F270" s="46">
        <v>8392</v>
      </c>
      <c r="G270" s="70">
        <v>7374</v>
      </c>
      <c r="H270" s="41">
        <v>7831</v>
      </c>
      <c r="I270" s="165">
        <v>9976.0175899999995</v>
      </c>
      <c r="J270" s="41">
        <v>10882.938300000002</v>
      </c>
      <c r="K270" s="41">
        <v>10951.343640000001</v>
      </c>
      <c r="L270" s="41">
        <f t="shared" si="19"/>
        <v>10919.991195335142</v>
      </c>
      <c r="M270" s="41">
        <f t="shared" si="19"/>
        <v>10888.880824367885</v>
      </c>
      <c r="N270" s="41">
        <f t="shared" si="16"/>
        <v>10857.998338676805</v>
      </c>
      <c r="O270" s="41">
        <f t="shared" si="16"/>
        <v>10827.322216092922</v>
      </c>
      <c r="P270" s="41">
        <f t="shared" si="16"/>
        <v>10796.557096740258</v>
      </c>
      <c r="T270" s="34">
        <v>845</v>
      </c>
      <c r="U270" s="88" t="s">
        <v>584</v>
      </c>
      <c r="V270" s="41">
        <f>C270/'1. Väestöennuste'!E270*1000</f>
        <v>1476.6823161189357</v>
      </c>
      <c r="W270" s="41">
        <f>D270/'1. Väestöennuste'!F270*1000</f>
        <v>2231.6876411745725</v>
      </c>
      <c r="X270" s="41">
        <f>E270/'1. Väestöennuste'!G270*1000</f>
        <v>2561.9295958279008</v>
      </c>
      <c r="Y270" s="41">
        <f>F270/'1. Väestöennuste'!H270*1000</f>
        <v>2740.6923579359895</v>
      </c>
      <c r="Z270" s="41">
        <f>G270/'1. Väestöennuste'!I270*1000</f>
        <v>2457.1809396867711</v>
      </c>
      <c r="AA270" s="41">
        <f>H270/'1. Väestöennuste'!J270*1000</f>
        <v>2677.264957264957</v>
      </c>
      <c r="AB270" s="41">
        <f>I270/'1. Väestöennuste'!K270*1000</f>
        <v>3461.4911832061071</v>
      </c>
      <c r="AC270" s="41">
        <f>J270/'1. Väestöennuste'!L270*1000</f>
        <v>3801.2358714635002</v>
      </c>
      <c r="AD270" s="41">
        <f>K270/'1. Väestöennuste'!M270*1000</f>
        <v>3868.3658212645714</v>
      </c>
      <c r="AE270" s="41">
        <f>L270/'1. Väestöennuste'!N270*1000</f>
        <v>4017.6568047590663</v>
      </c>
      <c r="AF270" s="41">
        <f>M270/'1. Väestöennuste'!O270*1000</f>
        <v>4069.0884993900918</v>
      </c>
      <c r="AG270" s="41">
        <f>N270/'1. Väestöennuste'!P270*1000</f>
        <v>4117.5572008634072</v>
      </c>
      <c r="AH270" s="41">
        <f>O270/'1. Väestöennuste'!Q270*1000</f>
        <v>4167.5605142774912</v>
      </c>
      <c r="AI270" s="41">
        <f>P270/'1. Väestöennuste'!R270*1000</f>
        <v>4215.7583353144319</v>
      </c>
    </row>
    <row r="271" spans="1:35" x14ac:dyDescent="0.2">
      <c r="A271" s="34">
        <v>846</v>
      </c>
      <c r="B271" s="88" t="s">
        <v>585</v>
      </c>
      <c r="C271" s="46">
        <v>313</v>
      </c>
      <c r="D271" s="46">
        <v>845</v>
      </c>
      <c r="E271" s="46">
        <v>735</v>
      </c>
      <c r="F271" s="46">
        <v>565</v>
      </c>
      <c r="G271" s="70">
        <v>1141</v>
      </c>
      <c r="H271" s="41">
        <v>1015</v>
      </c>
      <c r="I271" s="165">
        <v>1689.02476</v>
      </c>
      <c r="J271" s="41">
        <v>4536.9602500000001</v>
      </c>
      <c r="K271" s="41">
        <v>5435.3857600000001</v>
      </c>
      <c r="L271" s="41">
        <f t="shared" si="19"/>
        <v>5419.8248720510428</v>
      </c>
      <c r="M271" s="41">
        <f t="shared" si="19"/>
        <v>5404.3841304486959</v>
      </c>
      <c r="N271" s="41">
        <f t="shared" ref="N271:P307" si="20">M271*N$8</f>
        <v>5389.0564931763529</v>
      </c>
      <c r="O271" s="41">
        <f t="shared" si="20"/>
        <v>5373.8312783218544</v>
      </c>
      <c r="P271" s="41">
        <f t="shared" si="20"/>
        <v>5358.5618924701139</v>
      </c>
      <c r="T271" s="34">
        <v>846</v>
      </c>
      <c r="U271" s="88" t="s">
        <v>585</v>
      </c>
      <c r="V271" s="41">
        <f>C271/'1. Väestöennuste'!E271*1000</f>
        <v>57.095950383071873</v>
      </c>
      <c r="W271" s="41">
        <f>D271/'1. Väestöennuste'!F271*1000</f>
        <v>157.56106656721983</v>
      </c>
      <c r="X271" s="41">
        <f>E271/'1. Väestöennuste'!G271*1000</f>
        <v>139.49516037198708</v>
      </c>
      <c r="Y271" s="41">
        <f>F271/'1. Väestöennuste'!H271*1000</f>
        <v>109.53858084528888</v>
      </c>
      <c r="Z271" s="41">
        <f>G271/'1. Väestöennuste'!I271*1000</f>
        <v>224.78329393223009</v>
      </c>
      <c r="AA271" s="41">
        <f>H271/'1. Väestöennuste'!J271*1000</f>
        <v>203.24389267120543</v>
      </c>
      <c r="AB271" s="41">
        <f>I271/'1. Väestöennuste'!K271*1000</f>
        <v>341.07931340872375</v>
      </c>
      <c r="AC271" s="41">
        <f>J271/'1. Väestöennuste'!L271*1000</f>
        <v>933.14690456602227</v>
      </c>
      <c r="AD271" s="41">
        <f>K271/'1. Väestöennuste'!M271*1000</f>
        <v>1142.3677511559479</v>
      </c>
      <c r="AE271" s="41">
        <f>L271/'1. Väestöennuste'!N271*1000</f>
        <v>1170.0830898210368</v>
      </c>
      <c r="AF271" s="41">
        <f>M271/'1. Väestöennuste'!O271*1000</f>
        <v>1186.7334498130647</v>
      </c>
      <c r="AG271" s="41">
        <f>N271/'1. Väestöennuste'!P271*1000</f>
        <v>1203.1829634240573</v>
      </c>
      <c r="AH271" s="41">
        <f>O271/'1. Väestöennuste'!Q271*1000</f>
        <v>1219.385359274303</v>
      </c>
      <c r="AI271" s="41">
        <f>P271/'1. Väestöennuste'!R271*1000</f>
        <v>1236.4009904176544</v>
      </c>
    </row>
    <row r="272" spans="1:35" x14ac:dyDescent="0.2">
      <c r="A272" s="34">
        <v>848</v>
      </c>
      <c r="B272" s="88" t="s">
        <v>586</v>
      </c>
      <c r="C272" s="46">
        <v>3408</v>
      </c>
      <c r="D272" s="46">
        <v>1949</v>
      </c>
      <c r="E272" s="46">
        <v>289</v>
      </c>
      <c r="F272" s="46">
        <v>492</v>
      </c>
      <c r="G272" s="70">
        <v>46</v>
      </c>
      <c r="H272" s="41">
        <v>3</v>
      </c>
      <c r="I272" s="165">
        <v>117.14146</v>
      </c>
      <c r="J272" s="41">
        <v>119.0633</v>
      </c>
      <c r="K272" s="41">
        <v>123.10339999999999</v>
      </c>
      <c r="L272" s="41">
        <f t="shared" si="19"/>
        <v>122.75096904144083</v>
      </c>
      <c r="M272" s="41">
        <f t="shared" si="19"/>
        <v>122.40125921886323</v>
      </c>
      <c r="N272" s="41">
        <f t="shared" si="20"/>
        <v>122.05411104106911</v>
      </c>
      <c r="O272" s="41">
        <f t="shared" si="20"/>
        <v>121.70928257864193</v>
      </c>
      <c r="P272" s="41">
        <f t="shared" si="20"/>
        <v>121.36345370885051</v>
      </c>
      <c r="T272" s="34">
        <v>848</v>
      </c>
      <c r="U272" s="88" t="s">
        <v>586</v>
      </c>
      <c r="V272" s="41">
        <f>C272/'1. Väestöennuste'!E272*1000</f>
        <v>719.29084001688477</v>
      </c>
      <c r="W272" s="41">
        <f>D272/'1. Väestöennuste'!F272*1000</f>
        <v>418.86954652912101</v>
      </c>
      <c r="X272" s="41">
        <f>E272/'1. Väestöennuste'!G272*1000</f>
        <v>63.224677313498134</v>
      </c>
      <c r="Y272" s="41">
        <f>F272/'1. Väestöennuste'!H272*1000</f>
        <v>109.77242302543507</v>
      </c>
      <c r="Z272" s="41">
        <f>G272/'1. Väestöennuste'!I272*1000</f>
        <v>10.548039440495298</v>
      </c>
      <c r="AA272" s="41">
        <f>H272/'1. Väestöennuste'!J272*1000</f>
        <v>0.69654051543998141</v>
      </c>
      <c r="AB272" s="41">
        <f>I272/'1. Väestöennuste'!K272*1000</f>
        <v>27.621188398962506</v>
      </c>
      <c r="AC272" s="41">
        <f>J272/'1. Väestöennuste'!L272*1000</f>
        <v>28.620985576923076</v>
      </c>
      <c r="AD272" s="41">
        <f>K272/'1. Väestöennuste'!M272*1000</f>
        <v>30.276291195277913</v>
      </c>
      <c r="AE272" s="41">
        <f>L272/'1. Väestöennuste'!N272*1000</f>
        <v>30.703093807263841</v>
      </c>
      <c r="AF272" s="41">
        <f>M272/'1. Väestöennuste'!O272*1000</f>
        <v>31.07419629826434</v>
      </c>
      <c r="AG272" s="41">
        <f>N272/'1. Väestöennuste'!P272*1000</f>
        <v>31.432941293090163</v>
      </c>
      <c r="AH272" s="41">
        <f>O272/'1. Väestöennuste'!Q272*1000</f>
        <v>31.786179832499851</v>
      </c>
      <c r="AI272" s="41">
        <f>P272/'1. Väestöennuste'!R272*1000</f>
        <v>32.132235559663897</v>
      </c>
    </row>
    <row r="273" spans="1:35" x14ac:dyDescent="0.2">
      <c r="A273" s="34">
        <v>849</v>
      </c>
      <c r="B273" s="88" t="s">
        <v>587</v>
      </c>
      <c r="C273" s="46">
        <v>500</v>
      </c>
      <c r="D273" s="46">
        <v>91</v>
      </c>
      <c r="E273" s="46">
        <v>131</v>
      </c>
      <c r="F273" s="46">
        <v>116</v>
      </c>
      <c r="G273" s="70">
        <v>167</v>
      </c>
      <c r="H273" s="41">
        <v>655</v>
      </c>
      <c r="I273" s="165">
        <v>211.99984000000001</v>
      </c>
      <c r="J273" s="41">
        <v>1407.0625500000001</v>
      </c>
      <c r="K273" s="41">
        <v>401.6</v>
      </c>
      <c r="L273" s="41">
        <f t="shared" si="19"/>
        <v>400.45026511893775</v>
      </c>
      <c r="M273" s="41">
        <f t="shared" si="19"/>
        <v>399.30940739488494</v>
      </c>
      <c r="N273" s="41">
        <f t="shared" si="20"/>
        <v>398.17690651999345</v>
      </c>
      <c r="O273" s="41">
        <f t="shared" si="20"/>
        <v>397.05197324836365</v>
      </c>
      <c r="P273" s="41">
        <f t="shared" si="20"/>
        <v>395.92377634959206</v>
      </c>
      <c r="T273" s="34">
        <v>849</v>
      </c>
      <c r="U273" s="88" t="s">
        <v>587</v>
      </c>
      <c r="V273" s="41">
        <f>C273/'1. Väestöennuste'!E273*1000</f>
        <v>151.01177891875568</v>
      </c>
      <c r="W273" s="41">
        <f>D273/'1. Väestöennuste'!F273*1000</f>
        <v>28.155940594059405</v>
      </c>
      <c r="X273" s="41">
        <f>E273/'1. Väestöennuste'!G273*1000</f>
        <v>41.040100250626566</v>
      </c>
      <c r="Y273" s="41">
        <f>F273/'1. Väestöennuste'!H273*1000</f>
        <v>37.275064267352185</v>
      </c>
      <c r="Z273" s="41">
        <f>G273/'1. Väestöennuste'!I273*1000</f>
        <v>55.060995713814705</v>
      </c>
      <c r="AA273" s="41">
        <f>H273/'1. Väestöennuste'!J273*1000</f>
        <v>220.83614295347272</v>
      </c>
      <c r="AB273" s="41">
        <f>I273/'1. Väestöennuste'!K273*1000</f>
        <v>72.157876106194692</v>
      </c>
      <c r="AC273" s="41">
        <f>J273/'1. Väestöennuste'!L273*1000</f>
        <v>484.69257664485019</v>
      </c>
      <c r="AD273" s="41">
        <f>K273/'1. Väestöennuste'!M273*1000</f>
        <v>140.96174096174096</v>
      </c>
      <c r="AE273" s="41">
        <f>L273/'1. Väestöennuste'!N273*1000</f>
        <v>148.36986480879503</v>
      </c>
      <c r="AF273" s="41">
        <f>M273/'1. Väestöennuste'!O273*1000</f>
        <v>151.42563799578497</v>
      </c>
      <c r="AG273" s="41">
        <f>N273/'1. Väestöennuste'!P273*1000</f>
        <v>154.39197616130031</v>
      </c>
      <c r="AH273" s="41">
        <f>O273/'1. Väestöennuste'!Q273*1000</f>
        <v>157.31060746765596</v>
      </c>
      <c r="AI273" s="41">
        <f>P273/'1. Väestöennuste'!R273*1000</f>
        <v>160.22815716292678</v>
      </c>
    </row>
    <row r="274" spans="1:35" x14ac:dyDescent="0.2">
      <c r="A274" s="34">
        <v>850</v>
      </c>
      <c r="B274" s="88" t="s">
        <v>588</v>
      </c>
      <c r="C274" s="46">
        <v>1149</v>
      </c>
      <c r="D274" s="46">
        <v>861</v>
      </c>
      <c r="E274" s="46">
        <v>1903</v>
      </c>
      <c r="F274" s="46">
        <v>525</v>
      </c>
      <c r="G274" s="70">
        <v>527</v>
      </c>
      <c r="H274" s="41">
        <v>1540</v>
      </c>
      <c r="I274" s="165">
        <v>1972.2047399999999</v>
      </c>
      <c r="J274" s="41">
        <v>1972.2047399999999</v>
      </c>
      <c r="K274" s="41">
        <v>4250.0347300000003</v>
      </c>
      <c r="L274" s="41">
        <f t="shared" si="19"/>
        <v>4237.8673665169154</v>
      </c>
      <c r="M274" s="41">
        <f t="shared" si="19"/>
        <v>4225.7939478186754</v>
      </c>
      <c r="N274" s="41">
        <f t="shared" si="20"/>
        <v>4213.8089676143818</v>
      </c>
      <c r="O274" s="41">
        <f t="shared" si="20"/>
        <v>4201.9040735074122</v>
      </c>
      <c r="P274" s="41">
        <f t="shared" si="20"/>
        <v>4189.9646412313732</v>
      </c>
      <c r="T274" s="34">
        <v>850</v>
      </c>
      <c r="U274" s="88" t="s">
        <v>588</v>
      </c>
      <c r="V274" s="41">
        <f>C274/'1. Väestöennuste'!E274*1000</f>
        <v>472.64500205676671</v>
      </c>
      <c r="W274" s="41">
        <f>D274/'1. Väestöennuste'!F274*1000</f>
        <v>354.02960526315792</v>
      </c>
      <c r="X274" s="41">
        <f>E274/'1. Väestöennuste'!G274*1000</f>
        <v>798.23825503355704</v>
      </c>
      <c r="Y274" s="41">
        <f>F274/'1. Väestöennuste'!H274*1000</f>
        <v>218.20448877805487</v>
      </c>
      <c r="Z274" s="41">
        <f>G274/'1. Väestöennuste'!I274*1000</f>
        <v>220.68676716917923</v>
      </c>
      <c r="AA274" s="41">
        <f>H274/'1. Väestöennuste'!J274*1000</f>
        <v>641.39941690962098</v>
      </c>
      <c r="AB274" s="41">
        <f>I274/'1. Väestöennuste'!K274*1000</f>
        <v>826.22737327188929</v>
      </c>
      <c r="AC274" s="41">
        <f>J274/'1. Väestöennuste'!L274*1000</f>
        <v>819.36216867469875</v>
      </c>
      <c r="AD274" s="41">
        <f>K274/'1. Väestöennuste'!M274*1000</f>
        <v>1794.7781798986489</v>
      </c>
      <c r="AE274" s="41">
        <f>L274/'1. Väestöennuste'!N274*1000</f>
        <v>1773.1662621409687</v>
      </c>
      <c r="AF274" s="41">
        <f>M274/'1. Väestöennuste'!O274*1000</f>
        <v>1773.3084128487938</v>
      </c>
      <c r="AG274" s="41">
        <f>N274/'1. Väestöennuste'!P274*1000</f>
        <v>1772.7425189795465</v>
      </c>
      <c r="AH274" s="41">
        <f>O274/'1. Väestöennuste'!Q274*1000</f>
        <v>1774.4527337446843</v>
      </c>
      <c r="AI274" s="41">
        <f>P274/'1. Väestöennuste'!R274*1000</f>
        <v>1779.1781916056786</v>
      </c>
    </row>
    <row r="275" spans="1:35" x14ac:dyDescent="0.2">
      <c r="A275" s="34">
        <v>851</v>
      </c>
      <c r="B275" s="88" t="s">
        <v>589</v>
      </c>
      <c r="C275" s="46">
        <v>2375</v>
      </c>
      <c r="D275" s="46">
        <v>3246</v>
      </c>
      <c r="E275" s="46">
        <v>1067</v>
      </c>
      <c r="F275" s="46">
        <v>2629</v>
      </c>
      <c r="G275" s="70">
        <v>2650</v>
      </c>
      <c r="H275" s="41">
        <v>5580</v>
      </c>
      <c r="I275" s="165">
        <v>3185.4203199999997</v>
      </c>
      <c r="J275" s="41">
        <v>4478.7552900000001</v>
      </c>
      <c r="K275" s="41">
        <v>3322.8747000000003</v>
      </c>
      <c r="L275" s="41">
        <f t="shared" ref="L275:M294" si="21">K275*L$8</f>
        <v>3313.3616896713415</v>
      </c>
      <c r="M275" s="41">
        <f t="shared" si="21"/>
        <v>3303.9221297421718</v>
      </c>
      <c r="N275" s="41">
        <f t="shared" si="20"/>
        <v>3294.5517151383251</v>
      </c>
      <c r="O275" s="41">
        <f t="shared" si="20"/>
        <v>3285.2439155678899</v>
      </c>
      <c r="P275" s="41">
        <f t="shared" si="20"/>
        <v>3275.9091124514894</v>
      </c>
      <c r="T275" s="34">
        <v>851</v>
      </c>
      <c r="U275" s="88" t="s">
        <v>589</v>
      </c>
      <c r="V275" s="41">
        <f>C275/'1. Väestöennuste'!E275*1000</f>
        <v>106.98680120726159</v>
      </c>
      <c r="W275" s="41">
        <f>D275/'1. Väestöennuste'!F275*1000</f>
        <v>146.7649319527965</v>
      </c>
      <c r="X275" s="41">
        <f>E275/'1. Väestöennuste'!G275*1000</f>
        <v>48.659248449471001</v>
      </c>
      <c r="Y275" s="41">
        <f>F275/'1. Väestöennuste'!H275*1000</f>
        <v>120.18285714285715</v>
      </c>
      <c r="Z275" s="41">
        <f>G275/'1. Väestöennuste'!I275*1000</f>
        <v>122.67382649754651</v>
      </c>
      <c r="AA275" s="41">
        <f>H275/'1. Väestöennuste'!J275*1000</f>
        <v>259.93385195882053</v>
      </c>
      <c r="AB275" s="41">
        <f>I275/'1. Väestöennuste'!K275*1000</f>
        <v>149.31891060797824</v>
      </c>
      <c r="AC275" s="41">
        <f>J275/'1. Väestöennuste'!L275*1000</f>
        <v>210.99332406840347</v>
      </c>
      <c r="AD275" s="41">
        <f>K275/'1. Väestöennuste'!M275*1000</f>
        <v>158.09661718526979</v>
      </c>
      <c r="AE275" s="41">
        <f>L275/'1. Väestöennuste'!N275*1000</f>
        <v>158.62512876634153</v>
      </c>
      <c r="AF275" s="41">
        <f>M275/'1. Väestöennuste'!O275*1000</f>
        <v>159.24051136216366</v>
      </c>
      <c r="AG275" s="41">
        <f>N275/'1. Väestöennuste'!P275*1000</f>
        <v>159.83658621862628</v>
      </c>
      <c r="AH275" s="41">
        <f>O275/'1. Väestöennuste'!Q275*1000</f>
        <v>160.44363721273146</v>
      </c>
      <c r="AI275" s="41">
        <f>P275/'1. Väestöennuste'!R275*1000</f>
        <v>161.0574784882738</v>
      </c>
    </row>
    <row r="276" spans="1:35" x14ac:dyDescent="0.2">
      <c r="A276" s="34">
        <v>853</v>
      </c>
      <c r="B276" s="88" t="s">
        <v>590</v>
      </c>
      <c r="C276" s="46">
        <v>173251</v>
      </c>
      <c r="D276" s="46">
        <v>186309</v>
      </c>
      <c r="E276" s="46">
        <v>216593</v>
      </c>
      <c r="F276" s="46">
        <v>207692</v>
      </c>
      <c r="G276" s="70">
        <v>238538</v>
      </c>
      <c r="H276" s="41">
        <v>176737</v>
      </c>
      <c r="I276" s="165">
        <v>123938.49769</v>
      </c>
      <c r="J276" s="41">
        <v>81514.597999999998</v>
      </c>
      <c r="K276" s="41">
        <v>85891.290389999995</v>
      </c>
      <c r="L276" s="41">
        <f t="shared" si="21"/>
        <v>85645.393446422226</v>
      </c>
      <c r="M276" s="41">
        <f t="shared" si="21"/>
        <v>85401.395084693417</v>
      </c>
      <c r="N276" s="41">
        <f t="shared" si="20"/>
        <v>85159.184025151</v>
      </c>
      <c r="O276" s="41">
        <f t="shared" si="20"/>
        <v>84918.591469615829</v>
      </c>
      <c r="P276" s="41">
        <f t="shared" si="20"/>
        <v>84677.30091321771</v>
      </c>
      <c r="T276" s="34">
        <v>853</v>
      </c>
      <c r="U276" s="88" t="s">
        <v>590</v>
      </c>
      <c r="V276" s="41">
        <f>C276/'1. Väestöennuste'!E276*1000</f>
        <v>931.91793790477004</v>
      </c>
      <c r="W276" s="41">
        <f>D276/'1. Väestöennuste'!F276*1000</f>
        <v>993.09716210741772</v>
      </c>
      <c r="X276" s="41">
        <f>E276/'1. Väestöennuste'!G276*1000</f>
        <v>1141.9525594588467</v>
      </c>
      <c r="Y276" s="41">
        <f>F276/'1. Väestöennuste'!H276*1000</f>
        <v>1085.5114957847918</v>
      </c>
      <c r="Z276" s="41">
        <f>G276/'1. Väestöennuste'!I276*1000</f>
        <v>1236.1915817622123</v>
      </c>
      <c r="AA276" s="41">
        <f>H276/'1. Väestöennuste'!J276*1000</f>
        <v>909.18303830938669</v>
      </c>
      <c r="AB276" s="41">
        <f>I276/'1. Väestöennuste'!K276*1000</f>
        <v>635.13581581145547</v>
      </c>
      <c r="AC276" s="41">
        <f>J276/'1. Väestöennuste'!L276*1000</f>
        <v>411.89791814047499</v>
      </c>
      <c r="AD276" s="41">
        <f>K276/'1. Väestöennuste'!M276*1000</f>
        <v>425.49298479661945</v>
      </c>
      <c r="AE276" s="41">
        <f>L276/'1. Väestöennuste'!N276*1000</f>
        <v>428.18628953460535</v>
      </c>
      <c r="AF276" s="41">
        <f>M276/'1. Väestöennuste'!O276*1000</f>
        <v>424.3674101324433</v>
      </c>
      <c r="AG276" s="41">
        <f>N276/'1. Väestöennuste'!P276*1000</f>
        <v>420.66382150341337</v>
      </c>
      <c r="AH276" s="41">
        <f>O276/'1. Väestöennuste'!Q276*1000</f>
        <v>417.07517727764952</v>
      </c>
      <c r="AI276" s="41">
        <f>P276/'1. Väestöennuste'!R276*1000</f>
        <v>413.57849066008464</v>
      </c>
    </row>
    <row r="277" spans="1:35" x14ac:dyDescent="0.2">
      <c r="A277" s="34">
        <v>854</v>
      </c>
      <c r="B277" s="88" t="s">
        <v>591</v>
      </c>
      <c r="C277" s="46">
        <v>1791</v>
      </c>
      <c r="D277" s="46">
        <v>558</v>
      </c>
      <c r="E277" s="46">
        <v>250</v>
      </c>
      <c r="F277" s="46">
        <v>178</v>
      </c>
      <c r="G277" s="70">
        <v>72</v>
      </c>
      <c r="H277" s="41">
        <v>790</v>
      </c>
      <c r="I277" s="165">
        <v>1392.4571899999999</v>
      </c>
      <c r="J277" s="41">
        <v>880.7396</v>
      </c>
      <c r="K277" s="41">
        <v>212.50089000000003</v>
      </c>
      <c r="L277" s="41">
        <f t="shared" si="21"/>
        <v>211.89252424927847</v>
      </c>
      <c r="M277" s="41">
        <f t="shared" si="21"/>
        <v>211.28885571908773</v>
      </c>
      <c r="N277" s="41">
        <f t="shared" si="20"/>
        <v>210.68960909597962</v>
      </c>
      <c r="O277" s="41">
        <f t="shared" si="20"/>
        <v>210.09436676178655</v>
      </c>
      <c r="P277" s="41">
        <f t="shared" si="20"/>
        <v>209.49739752601911</v>
      </c>
      <c r="T277" s="34">
        <v>854</v>
      </c>
      <c r="U277" s="88" t="s">
        <v>591</v>
      </c>
      <c r="V277" s="41">
        <f>C277/'1. Väestöennuste'!E277*1000</f>
        <v>494.34170576869997</v>
      </c>
      <c r="W277" s="41">
        <f>D277/'1. Väestöennuste'!F277*1000</f>
        <v>156.52173913043478</v>
      </c>
      <c r="X277" s="41">
        <f>E277/'1. Väestöennuste'!G277*1000</f>
        <v>71.225071225071233</v>
      </c>
      <c r="Y277" s="41">
        <f>F277/'1. Väestöennuste'!H277*1000</f>
        <v>51.774287376381615</v>
      </c>
      <c r="Z277" s="41">
        <f>G277/'1. Väestöennuste'!I277*1000</f>
        <v>21.345982804624963</v>
      </c>
      <c r="AA277" s="41">
        <f>H277/'1. Väestöennuste'!J277*1000</f>
        <v>239.1041162227603</v>
      </c>
      <c r="AB277" s="41">
        <f>I277/'1. Väestöennuste'!K277*1000</f>
        <v>422.46880764563105</v>
      </c>
      <c r="AC277" s="41">
        <f>J277/'1. Väestöennuste'!L277*1000</f>
        <v>269.99987737584303</v>
      </c>
      <c r="AD277" s="41">
        <f>K277/'1. Väestöennuste'!M277*1000</f>
        <v>65.324589609591158</v>
      </c>
      <c r="AE277" s="41">
        <f>L277/'1. Väestöennuste'!N277*1000</f>
        <v>69.155523580051721</v>
      </c>
      <c r="AF277" s="41">
        <f>M277/'1. Väestöennuste'!O277*1000</f>
        <v>70.102473695782265</v>
      </c>
      <c r="AG277" s="41">
        <f>N277/'1. Väestöennuste'!P277*1000</f>
        <v>70.98706505929232</v>
      </c>
      <c r="AH277" s="41">
        <f>O277/'1. Väestöennuste'!Q277*1000</f>
        <v>71.876280110087777</v>
      </c>
      <c r="AI277" s="41">
        <f>P277/'1. Väestöennuste'!R277*1000</f>
        <v>72.716902994105908</v>
      </c>
    </row>
    <row r="278" spans="1:35" x14ac:dyDescent="0.2">
      <c r="A278" s="34">
        <v>857</v>
      </c>
      <c r="B278" s="88" t="s">
        <v>592</v>
      </c>
      <c r="C278" s="46">
        <v>2258</v>
      </c>
      <c r="D278" s="46">
        <v>2069</v>
      </c>
      <c r="E278" s="46">
        <v>2087</v>
      </c>
      <c r="F278" s="46">
        <v>1117</v>
      </c>
      <c r="G278" s="70">
        <v>200</v>
      </c>
      <c r="H278" s="41">
        <v>1293</v>
      </c>
      <c r="I278" s="165">
        <v>1291.45517</v>
      </c>
      <c r="J278" s="41">
        <v>1598.4560200000001</v>
      </c>
      <c r="K278" s="41">
        <v>1216.7391200000002</v>
      </c>
      <c r="L278" s="41">
        <f t="shared" si="21"/>
        <v>1213.2557350213722</v>
      </c>
      <c r="M278" s="41">
        <f t="shared" si="21"/>
        <v>1209.7992454217476</v>
      </c>
      <c r="N278" s="41">
        <f t="shared" si="20"/>
        <v>1206.3680748094102</v>
      </c>
      <c r="O278" s="41">
        <f t="shared" si="20"/>
        <v>1202.959831983261</v>
      </c>
      <c r="P278" s="41">
        <f t="shared" si="20"/>
        <v>1199.5417012516921</v>
      </c>
      <c r="T278" s="34">
        <v>857</v>
      </c>
      <c r="U278" s="88" t="s">
        <v>592</v>
      </c>
      <c r="V278" s="41">
        <f>C278/'1. Väestöennuste'!E278*1000</f>
        <v>830.45237219566013</v>
      </c>
      <c r="W278" s="41">
        <f>D278/'1. Väestöennuste'!F278*1000</f>
        <v>782.82255013242525</v>
      </c>
      <c r="X278" s="41">
        <f>E278/'1. Väestöennuste'!G278*1000</f>
        <v>803.61956103195996</v>
      </c>
      <c r="Y278" s="41">
        <f>F278/'1. Väestöennuste'!H278*1000</f>
        <v>437.86750294002354</v>
      </c>
      <c r="Z278" s="41">
        <f>G278/'1. Väestöennuste'!I278*1000</f>
        <v>80.742834073475976</v>
      </c>
      <c r="AA278" s="41">
        <f>H278/'1. Väestöennuste'!J278*1000</f>
        <v>531.44266337854492</v>
      </c>
      <c r="AB278" s="41">
        <f>I278/'1. Väestöennuste'!K278*1000</f>
        <v>533.65916115702476</v>
      </c>
      <c r="AC278" s="41">
        <f>J278/'1. Väestöennuste'!L278*1000</f>
        <v>667.6925730994152</v>
      </c>
      <c r="AD278" s="41">
        <f>K278/'1. Väestöennuste'!M278*1000</f>
        <v>526.04371811500232</v>
      </c>
      <c r="AE278" s="41">
        <f>L278/'1. Väestöennuste'!N278*1000</f>
        <v>540.66654858349921</v>
      </c>
      <c r="AF278" s="41">
        <f>M278/'1. Väestöennuste'!O278*1000</f>
        <v>548.16458786667306</v>
      </c>
      <c r="AG278" s="41">
        <f>N278/'1. Väestöennuste'!P278*1000</f>
        <v>554.90711812760367</v>
      </c>
      <c r="AH278" s="41">
        <f>O278/'1. Väestöennuste'!Q278*1000</f>
        <v>561.60589728443551</v>
      </c>
      <c r="AI278" s="41">
        <f>P278/'1. Väestöennuste'!R278*1000</f>
        <v>567.69602520193666</v>
      </c>
    </row>
    <row r="279" spans="1:35" x14ac:dyDescent="0.2">
      <c r="A279" s="34">
        <v>858</v>
      </c>
      <c r="B279" s="88" t="s">
        <v>593</v>
      </c>
      <c r="C279" s="46">
        <v>5527</v>
      </c>
      <c r="D279" s="46">
        <v>14251</v>
      </c>
      <c r="E279" s="46">
        <v>13643</v>
      </c>
      <c r="F279" s="46">
        <v>9588</v>
      </c>
      <c r="G279" s="70">
        <v>16464</v>
      </c>
      <c r="H279" s="41">
        <v>8253</v>
      </c>
      <c r="I279" s="165">
        <v>13207.89984</v>
      </c>
      <c r="J279" s="41">
        <v>2981.1402499999999</v>
      </c>
      <c r="K279" s="41">
        <v>4193.9272799999999</v>
      </c>
      <c r="L279" s="41">
        <f t="shared" si="21"/>
        <v>4181.9205457309399</v>
      </c>
      <c r="M279" s="41">
        <f t="shared" si="21"/>
        <v>4170.0065160210206</v>
      </c>
      <c r="N279" s="41">
        <f t="shared" si="20"/>
        <v>4158.1797572714404</v>
      </c>
      <c r="O279" s="41">
        <f t="shared" si="20"/>
        <v>4146.4320273509529</v>
      </c>
      <c r="P279" s="41">
        <f t="shared" si="20"/>
        <v>4134.6502152220446</v>
      </c>
      <c r="T279" s="34">
        <v>858</v>
      </c>
      <c r="U279" s="88" t="s">
        <v>593</v>
      </c>
      <c r="V279" s="41">
        <f>C279/'1. Väestöennuste'!E279*1000</f>
        <v>143.71148495800722</v>
      </c>
      <c r="W279" s="41">
        <f>D279/'1. Väestöennuste'!F279*1000</f>
        <v>369.31170312014098</v>
      </c>
      <c r="X279" s="41">
        <f>E279/'1. Väestöennuste'!G279*1000</f>
        <v>353.02489261501836</v>
      </c>
      <c r="Y279" s="41">
        <f>F279/'1. Väestöennuste'!H279*1000</f>
        <v>247.98261949099935</v>
      </c>
      <c r="Z279" s="41">
        <f>G279/'1. Väestöennuste'!I279*1000</f>
        <v>426.53954765667504</v>
      </c>
      <c r="AA279" s="41">
        <f>H279/'1. Väestöennuste'!J279*1000</f>
        <v>212.7994224273522</v>
      </c>
      <c r="AB279" s="41">
        <f>I279/'1. Väestöennuste'!K279*1000</f>
        <v>332.54191651140542</v>
      </c>
      <c r="AC279" s="41">
        <f>J279/'1. Väestöennuste'!L279*1000</f>
        <v>73.81983582606972</v>
      </c>
      <c r="AD279" s="41">
        <f>K279/'1. Väestöennuste'!M279*1000</f>
        <v>101.4545280371571</v>
      </c>
      <c r="AE279" s="41">
        <f>L279/'1. Väestöennuste'!N279*1000</f>
        <v>106.53760338651671</v>
      </c>
      <c r="AF279" s="41">
        <f>M279/'1. Väestöennuste'!O279*1000</f>
        <v>105.94797926830002</v>
      </c>
      <c r="AG279" s="41">
        <f>N279/'1. Väestöennuste'!P279*1000</f>
        <v>105.36373387232841</v>
      </c>
      <c r="AH279" s="41">
        <f>O279/'1. Väestöennuste'!Q279*1000</f>
        <v>104.78726376929373</v>
      </c>
      <c r="AI279" s="41">
        <f>P279/'1. Väestöennuste'!R279*1000</f>
        <v>104.23663125150115</v>
      </c>
    </row>
    <row r="280" spans="1:35" x14ac:dyDescent="0.2">
      <c r="A280" s="34">
        <v>859</v>
      </c>
      <c r="B280" s="88" t="s">
        <v>594</v>
      </c>
      <c r="C280" s="46">
        <v>10</v>
      </c>
      <c r="D280" s="46">
        <v>379</v>
      </c>
      <c r="E280" s="46">
        <v>146</v>
      </c>
      <c r="F280" s="46">
        <v>562</v>
      </c>
      <c r="G280" s="70">
        <v>18</v>
      </c>
      <c r="H280" s="41">
        <v>1569</v>
      </c>
      <c r="I280" s="165">
        <v>2146.7345499999997</v>
      </c>
      <c r="J280" s="41">
        <v>2226.6140299999997</v>
      </c>
      <c r="K280" s="41">
        <v>710.16025999999999</v>
      </c>
      <c r="L280" s="41">
        <f t="shared" si="21"/>
        <v>708.12715237533303</v>
      </c>
      <c r="M280" s="41">
        <f t="shared" si="21"/>
        <v>706.10974247011302</v>
      </c>
      <c r="N280" s="41">
        <f t="shared" si="20"/>
        <v>704.10711020974657</v>
      </c>
      <c r="O280" s="41">
        <f t="shared" si="20"/>
        <v>702.11785994913089</v>
      </c>
      <c r="P280" s="41">
        <f t="shared" si="20"/>
        <v>700.12283852741075</v>
      </c>
      <c r="T280" s="34">
        <v>859</v>
      </c>
      <c r="U280" s="88" t="s">
        <v>594</v>
      </c>
      <c r="V280" s="41">
        <f>C280/'1. Väestöennuste'!E280*1000</f>
        <v>1.4721036360959812</v>
      </c>
      <c r="W280" s="41">
        <f>D280/'1. Väestöennuste'!F280*1000</f>
        <v>56.148148148148145</v>
      </c>
      <c r="X280" s="41">
        <f>E280/'1. Väestöennuste'!G280*1000</f>
        <v>21.693907875185733</v>
      </c>
      <c r="Y280" s="41">
        <f>F280/'1. Väestöennuste'!H280*1000</f>
        <v>83.160698431488598</v>
      </c>
      <c r="Z280" s="41">
        <f>G280/'1. Väestöennuste'!I280*1000</f>
        <v>2.7120687057405455</v>
      </c>
      <c r="AA280" s="41">
        <f>H280/'1. Väestöennuste'!J280*1000</f>
        <v>237.6192639709223</v>
      </c>
      <c r="AB280" s="41">
        <f>I280/'1. Väestöennuste'!K280*1000</f>
        <v>325.60815258607613</v>
      </c>
      <c r="AC280" s="41">
        <f>J280/'1. Väestöennuste'!L280*1000</f>
        <v>339.31941938433403</v>
      </c>
      <c r="AD280" s="41">
        <f>K280/'1. Väestöennuste'!M280*1000</f>
        <v>108.83682145593869</v>
      </c>
      <c r="AE280" s="41">
        <f>L280/'1. Väestöennuste'!N280*1000</f>
        <v>109.39705737298517</v>
      </c>
      <c r="AF280" s="41">
        <f>M280/'1. Väestöennuste'!O280*1000</f>
        <v>109.81488996424775</v>
      </c>
      <c r="AG280" s="41">
        <f>N280/'1. Väestöennuste'!P280*1000</f>
        <v>110.30974623370618</v>
      </c>
      <c r="AH280" s="41">
        <f>O280/'1. Väestöennuste'!Q280*1000</f>
        <v>110.79656934655686</v>
      </c>
      <c r="AI280" s="41">
        <f>P280/'1. Väestöennuste'!R280*1000</f>
        <v>111.34269060550425</v>
      </c>
    </row>
    <row r="281" spans="1:35" x14ac:dyDescent="0.2">
      <c r="A281" s="34">
        <v>886</v>
      </c>
      <c r="B281" s="88" t="s">
        <v>595</v>
      </c>
      <c r="C281" s="46">
        <v>1977</v>
      </c>
      <c r="D281" s="46">
        <v>2614</v>
      </c>
      <c r="E281" s="46">
        <v>3601</v>
      </c>
      <c r="F281" s="46">
        <v>4904</v>
      </c>
      <c r="G281" s="70">
        <v>4656</v>
      </c>
      <c r="H281" s="41">
        <v>7048</v>
      </c>
      <c r="I281" s="165">
        <v>5420.62482</v>
      </c>
      <c r="J281" s="41">
        <v>3832.4200499999997</v>
      </c>
      <c r="K281" s="41">
        <v>5025.6378800000002</v>
      </c>
      <c r="L281" s="41">
        <f t="shared" si="21"/>
        <v>5011.2500533809171</v>
      </c>
      <c r="M281" s="41">
        <f t="shared" si="21"/>
        <v>4996.973315846828</v>
      </c>
      <c r="N281" s="41">
        <f t="shared" si="20"/>
        <v>4982.8011562452648</v>
      </c>
      <c r="O281" s="41">
        <f t="shared" si="20"/>
        <v>4968.7236979226182</v>
      </c>
      <c r="P281" s="41">
        <f t="shared" si="20"/>
        <v>4954.6053984441196</v>
      </c>
      <c r="T281" s="34">
        <v>886</v>
      </c>
      <c r="U281" s="88" t="s">
        <v>595</v>
      </c>
      <c r="V281" s="41">
        <f>C281/'1. Väestöennuste'!E281*1000</f>
        <v>148.06770521270221</v>
      </c>
      <c r="W281" s="41">
        <f>D281/'1. Väestöennuste'!F281*1000</f>
        <v>196.36418269230768</v>
      </c>
      <c r="X281" s="41">
        <f>E281/'1. Väestöennuste'!G281*1000</f>
        <v>272.04049255873684</v>
      </c>
      <c r="Y281" s="41">
        <f>F281/'1. Väestöennuste'!H281*1000</f>
        <v>376.62237923354581</v>
      </c>
      <c r="Z281" s="41">
        <f>G281/'1. Väestöennuste'!I281*1000</f>
        <v>361.74345427705697</v>
      </c>
      <c r="AA281" s="41">
        <f>H281/'1. Väestöennuste'!J281*1000</f>
        <v>553.4354142127994</v>
      </c>
      <c r="AB281" s="41">
        <f>I281/'1. Väestöennuste'!K281*1000</f>
        <v>427.86524745441631</v>
      </c>
      <c r="AC281" s="41">
        <f>J281/'1. Väestöennuste'!L281*1000</f>
        <v>304.18446305262319</v>
      </c>
      <c r="AD281" s="41">
        <f>K281/'1. Väestöennuste'!M281*1000</f>
        <v>400.99241043644781</v>
      </c>
      <c r="AE281" s="41">
        <f>L281/'1. Väestöennuste'!N281*1000</f>
        <v>407.94936937324297</v>
      </c>
      <c r="AF281" s="41">
        <f>M281/'1. Väestöennuste'!O281*1000</f>
        <v>410.69888352484816</v>
      </c>
      <c r="AG281" s="41">
        <f>N281/'1. Väestöennuste'!P281*1000</f>
        <v>413.57911323416874</v>
      </c>
      <c r="AH281" s="41">
        <f>O281/'1. Väestöennuste'!Q281*1000</f>
        <v>416.59459192777882</v>
      </c>
      <c r="AI281" s="41">
        <f>P281/'1. Väestöennuste'!R281*1000</f>
        <v>419.84623323821029</v>
      </c>
    </row>
    <row r="282" spans="1:35" x14ac:dyDescent="0.2">
      <c r="A282" s="34">
        <v>887</v>
      </c>
      <c r="B282" s="88" t="s">
        <v>596</v>
      </c>
      <c r="C282" s="46">
        <v>3915</v>
      </c>
      <c r="D282" s="46">
        <v>2675</v>
      </c>
      <c r="E282" s="46">
        <v>3077</v>
      </c>
      <c r="F282" s="46">
        <v>3263</v>
      </c>
      <c r="G282" s="70">
        <v>2693</v>
      </c>
      <c r="H282" s="41">
        <v>3838</v>
      </c>
      <c r="I282" s="165">
        <v>2969.9724799999999</v>
      </c>
      <c r="J282" s="41">
        <v>1834.98081</v>
      </c>
      <c r="K282" s="41">
        <v>1525.59339</v>
      </c>
      <c r="L282" s="41">
        <f t="shared" si="21"/>
        <v>1521.2257905607544</v>
      </c>
      <c r="M282" s="41">
        <f t="shared" si="21"/>
        <v>1516.8919135618864</v>
      </c>
      <c r="N282" s="41">
        <f t="shared" si="20"/>
        <v>1512.5897824640188</v>
      </c>
      <c r="O282" s="41">
        <f t="shared" si="20"/>
        <v>1508.316399089045</v>
      </c>
      <c r="P282" s="41">
        <f t="shared" si="20"/>
        <v>1504.0306178853987</v>
      </c>
      <c r="T282" s="34">
        <v>887</v>
      </c>
      <c r="U282" s="88" t="s">
        <v>596</v>
      </c>
      <c r="V282" s="41">
        <f>C282/'1. Väestöennuste'!E282*1000</f>
        <v>794.43993506493507</v>
      </c>
      <c r="W282" s="41">
        <f>D282/'1. Väestöennuste'!F282*1000</f>
        <v>550.63812268423214</v>
      </c>
      <c r="X282" s="41">
        <f>E282/'1. Väestöennuste'!G282*1000</f>
        <v>637.19196521018841</v>
      </c>
      <c r="Y282" s="41">
        <f>F282/'1. Väestöennuste'!H282*1000</f>
        <v>680.92654424040063</v>
      </c>
      <c r="Z282" s="41">
        <f>G282/'1. Väestöennuste'!I282*1000</f>
        <v>574.44539249146749</v>
      </c>
      <c r="AA282" s="41">
        <f>H282/'1. Väestöennuste'!J282*1000</f>
        <v>826.44272179155894</v>
      </c>
      <c r="AB282" s="41">
        <f>I282/'1. Väestöennuste'!K282*1000</f>
        <v>636.10462197472691</v>
      </c>
      <c r="AC282" s="41">
        <f>J282/'1. Väestöennuste'!L282*1000</f>
        <v>401.61541037426133</v>
      </c>
      <c r="AD282" s="41">
        <f>K282/'1. Väestöennuste'!M282*1000</f>
        <v>333.97403458844133</v>
      </c>
      <c r="AE282" s="41">
        <f>L282/'1. Väestöennuste'!N282*1000</f>
        <v>342.77282347020156</v>
      </c>
      <c r="AF282" s="41">
        <f>M282/'1. Väestöennuste'!O282*1000</f>
        <v>345.53346550384657</v>
      </c>
      <c r="AG282" s="41">
        <f>N282/'1. Väestöennuste'!P282*1000</f>
        <v>348.0418275342887</v>
      </c>
      <c r="AH282" s="41">
        <f>O282/'1. Väestöennuste'!Q282*1000</f>
        <v>350.28248933791104</v>
      </c>
      <c r="AI282" s="41">
        <f>P282/'1. Väestöennuste'!R282*1000</f>
        <v>352.56226392062791</v>
      </c>
    </row>
    <row r="283" spans="1:35" x14ac:dyDescent="0.2">
      <c r="A283" s="34">
        <v>889</v>
      </c>
      <c r="B283" s="88" t="s">
        <v>597</v>
      </c>
      <c r="C283" s="46">
        <v>1095</v>
      </c>
      <c r="D283" s="46">
        <v>986</v>
      </c>
      <c r="E283" s="46">
        <v>1420</v>
      </c>
      <c r="F283" s="46">
        <v>2143</v>
      </c>
      <c r="G283" s="70">
        <v>1463</v>
      </c>
      <c r="H283" s="41">
        <v>2571</v>
      </c>
      <c r="I283" s="165">
        <v>2721.2828699999995</v>
      </c>
      <c r="J283" s="41">
        <v>4397.5228499999994</v>
      </c>
      <c r="K283" s="41">
        <v>5320.6252999999997</v>
      </c>
      <c r="L283" s="41">
        <f t="shared" si="21"/>
        <v>5305.3929581263137</v>
      </c>
      <c r="M283" s="41">
        <f t="shared" si="21"/>
        <v>5290.2782258795614</v>
      </c>
      <c r="N283" s="41">
        <f t="shared" si="20"/>
        <v>5275.2742099253292</v>
      </c>
      <c r="O283" s="41">
        <f t="shared" si="20"/>
        <v>5260.3704538848779</v>
      </c>
      <c r="P283" s="41">
        <f t="shared" si="20"/>
        <v>5245.4234594551326</v>
      </c>
      <c r="T283" s="34">
        <v>889</v>
      </c>
      <c r="U283" s="88" t="s">
        <v>597</v>
      </c>
      <c r="V283" s="41">
        <f>C283/'1. Väestöennuste'!E283*1000</f>
        <v>382.73331003145756</v>
      </c>
      <c r="W283" s="41">
        <f>D283/'1. Väestöennuste'!F283*1000</f>
        <v>349.15014164305944</v>
      </c>
      <c r="X283" s="41">
        <f>E283/'1. Väestöennuste'!G283*1000</f>
        <v>513.00578034682076</v>
      </c>
      <c r="Y283" s="41">
        <f>F283/'1. Väestöennuste'!H283*1000</f>
        <v>793.11621021465589</v>
      </c>
      <c r="Z283" s="41">
        <f>G283/'1. Väestöennuste'!I283*1000</f>
        <v>546.711509715994</v>
      </c>
      <c r="AA283" s="41">
        <f>H283/'1. Väestöennuste'!J283*1000</f>
        <v>981.67239404352802</v>
      </c>
      <c r="AB283" s="41">
        <f>I283/'1. Väestöennuste'!K283*1000</f>
        <v>1059.6895911214951</v>
      </c>
      <c r="AC283" s="41">
        <f>J283/'1. Väestöennuste'!L283*1000</f>
        <v>1742.9737812128417</v>
      </c>
      <c r="AD283" s="41">
        <f>K283/'1. Väestöennuste'!M283*1000</f>
        <v>2135.9395022079484</v>
      </c>
      <c r="AE283" s="41">
        <f>L283/'1. Väestöennuste'!N283*1000</f>
        <v>2180.5971878858663</v>
      </c>
      <c r="AF283" s="41">
        <f>M283/'1. Väestöennuste'!O283*1000</f>
        <v>2207.0413958613108</v>
      </c>
      <c r="AG283" s="41">
        <f>N283/'1. Väestöennuste'!P283*1000</f>
        <v>2232.4478247673842</v>
      </c>
      <c r="AH283" s="41">
        <f>O283/'1. Väestöennuste'!Q283*1000</f>
        <v>2255.7334707911141</v>
      </c>
      <c r="AI283" s="41">
        <f>P283/'1. Väestöennuste'!R283*1000</f>
        <v>2276.6594876107342</v>
      </c>
    </row>
    <row r="284" spans="1:35" x14ac:dyDescent="0.2">
      <c r="A284" s="34">
        <v>890</v>
      </c>
      <c r="B284" s="88" t="s">
        <v>598</v>
      </c>
      <c r="C284" s="46">
        <v>119</v>
      </c>
      <c r="D284" s="46">
        <v>835</v>
      </c>
      <c r="E284" s="46">
        <v>2335</v>
      </c>
      <c r="F284" s="46">
        <v>2639</v>
      </c>
      <c r="G284" s="70">
        <v>4830</v>
      </c>
      <c r="H284" s="41">
        <v>3698</v>
      </c>
      <c r="I284" s="165">
        <v>1177.1926599999999</v>
      </c>
      <c r="J284" s="41">
        <v>768.46129000000008</v>
      </c>
      <c r="K284" s="41">
        <v>2174.2600200000002</v>
      </c>
      <c r="L284" s="41">
        <f t="shared" si="21"/>
        <v>2168.0353621675968</v>
      </c>
      <c r="M284" s="41">
        <f t="shared" si="21"/>
        <v>2161.8587652106344</v>
      </c>
      <c r="N284" s="41">
        <f t="shared" si="20"/>
        <v>2155.7274121855057</v>
      </c>
      <c r="O284" s="41">
        <f t="shared" si="20"/>
        <v>2149.6370301195884</v>
      </c>
      <c r="P284" s="41">
        <f t="shared" si="20"/>
        <v>2143.5289787956667</v>
      </c>
      <c r="T284" s="34">
        <v>890</v>
      </c>
      <c r="U284" s="88" t="s">
        <v>598</v>
      </c>
      <c r="V284" s="41">
        <f>C284/'1. Väestöennuste'!E284*1000</f>
        <v>95.2</v>
      </c>
      <c r="W284" s="41">
        <f>D284/'1. Väestöennuste'!F284*1000</f>
        <v>672.84448025785662</v>
      </c>
      <c r="X284" s="41">
        <f>E284/'1. Väestöennuste'!G284*1000</f>
        <v>1880.0322061191625</v>
      </c>
      <c r="Y284" s="41">
        <f>F284/'1. Väestöennuste'!H284*1000</f>
        <v>2142.0454545454545</v>
      </c>
      <c r="Z284" s="41">
        <f>G284/'1. Väestöennuste'!I284*1000</f>
        <v>3985.1485148514853</v>
      </c>
      <c r="AA284" s="41">
        <f>H284/'1. Väestöennuste'!J284*1000</f>
        <v>3033.6341263330596</v>
      </c>
      <c r="AB284" s="41">
        <f>I284/'1. Väestöennuste'!K284*1000</f>
        <v>1001.0141666666665</v>
      </c>
      <c r="AC284" s="41">
        <f>J284/'1. Väestöennuste'!L284*1000</f>
        <v>651.23838135593223</v>
      </c>
      <c r="AD284" s="41">
        <f>K284/'1. Väestöennuste'!M284*1000</f>
        <v>1908.9201229148377</v>
      </c>
      <c r="AE284" s="41">
        <f>L284/'1. Väestöennuste'!N284*1000</f>
        <v>1809.7123223435699</v>
      </c>
      <c r="AF284" s="41">
        <f>M284/'1. Väestöennuste'!O284*1000</f>
        <v>1809.0868328122463</v>
      </c>
      <c r="AG284" s="41">
        <f>N284/'1. Väestöennuste'!P284*1000</f>
        <v>1806.9802281521422</v>
      </c>
      <c r="AH284" s="41">
        <f>O284/'1. Väestöennuste'!Q284*1000</f>
        <v>1803.386770234554</v>
      </c>
      <c r="AI284" s="41">
        <f>P284/'1. Väestöennuste'!R284*1000</f>
        <v>1798.2625661037473</v>
      </c>
    </row>
    <row r="285" spans="1:35" x14ac:dyDescent="0.2">
      <c r="A285" s="34">
        <v>892</v>
      </c>
      <c r="B285" s="88" t="s">
        <v>599</v>
      </c>
      <c r="C285" s="46">
        <v>3378</v>
      </c>
      <c r="D285" s="46">
        <v>4982</v>
      </c>
      <c r="E285" s="46">
        <v>3771</v>
      </c>
      <c r="F285" s="46">
        <v>3678</v>
      </c>
      <c r="G285" s="70">
        <v>3838</v>
      </c>
      <c r="H285" s="41">
        <v>5985</v>
      </c>
      <c r="I285" s="165">
        <v>5392.1948499999999</v>
      </c>
      <c r="J285" s="41">
        <v>5308.5199699999994</v>
      </c>
      <c r="K285" s="41">
        <v>5621.6216199999999</v>
      </c>
      <c r="L285" s="41">
        <f t="shared" si="21"/>
        <v>5605.5275600780687</v>
      </c>
      <c r="M285" s="41">
        <f t="shared" si="21"/>
        <v>5589.5577631485885</v>
      </c>
      <c r="N285" s="41">
        <f t="shared" si="20"/>
        <v>5573.7049459101445</v>
      </c>
      <c r="O285" s="41">
        <f t="shared" si="20"/>
        <v>5557.9580604498569</v>
      </c>
      <c r="P285" s="41">
        <f t="shared" si="20"/>
        <v>5542.1654905351379</v>
      </c>
      <c r="T285" s="34">
        <v>892</v>
      </c>
      <c r="U285" s="88" t="s">
        <v>599</v>
      </c>
      <c r="V285" s="41">
        <f>C285/'1. Väestöennuste'!E285*1000</f>
        <v>921.44026186579379</v>
      </c>
      <c r="W285" s="41">
        <f>D285/'1. Väestöennuste'!F285*1000</f>
        <v>1340.328221684154</v>
      </c>
      <c r="X285" s="41">
        <f>E285/'1. Väestöennuste'!G285*1000</f>
        <v>1006.4051240992795</v>
      </c>
      <c r="Y285" s="41">
        <f>F285/'1. Väestöennuste'!H285*1000</f>
        <v>972.24425059476607</v>
      </c>
      <c r="Z285" s="41">
        <f>G285/'1. Väestöennuste'!I285*1000</f>
        <v>1042.6514534093997</v>
      </c>
      <c r="AA285" s="41">
        <f>H285/'1. Väestöennuste'!J285*1000</f>
        <v>1641.5249588590234</v>
      </c>
      <c r="AB285" s="41">
        <f>I285/'1. Väestöennuste'!K285*1000</f>
        <v>1483.8180654925702</v>
      </c>
      <c r="AC285" s="41">
        <f>J285/'1. Väestöennuste'!L285*1000</f>
        <v>1477.8730428730512</v>
      </c>
      <c r="AD285" s="41">
        <f>K285/'1. Väestöennuste'!M285*1000</f>
        <v>1555.0820525587828</v>
      </c>
      <c r="AE285" s="41">
        <f>L285/'1. Väestöennuste'!N285*1000</f>
        <v>1530.7284434948303</v>
      </c>
      <c r="AF285" s="41">
        <f>M285/'1. Väestöennuste'!O285*1000</f>
        <v>1529.2907696712964</v>
      </c>
      <c r="AG285" s="41">
        <f>N285/'1. Väestöennuste'!P285*1000</f>
        <v>1530.8170683631267</v>
      </c>
      <c r="AH285" s="41">
        <f>O285/'1. Väestöennuste'!Q285*1000</f>
        <v>1533.2298097792709</v>
      </c>
      <c r="AI285" s="41">
        <f>P285/'1. Väestöennuste'!R285*1000</f>
        <v>1537.7817676290615</v>
      </c>
    </row>
    <row r="286" spans="1:35" x14ac:dyDescent="0.2">
      <c r="A286" s="34">
        <v>893</v>
      </c>
      <c r="B286" s="88" t="s">
        <v>600</v>
      </c>
      <c r="C286" s="46">
        <v>1566</v>
      </c>
      <c r="D286" s="46">
        <v>2440</v>
      </c>
      <c r="E286" s="46">
        <v>3367</v>
      </c>
      <c r="F286" s="46">
        <v>2658</v>
      </c>
      <c r="G286" s="70">
        <v>1706</v>
      </c>
      <c r="H286" s="41">
        <v>4063</v>
      </c>
      <c r="I286" s="165">
        <v>4285.61924</v>
      </c>
      <c r="J286" s="41">
        <v>5340.1009999999997</v>
      </c>
      <c r="K286" s="41">
        <v>2223.11042</v>
      </c>
      <c r="L286" s="41">
        <f t="shared" si="21"/>
        <v>2216.7459090579509</v>
      </c>
      <c r="M286" s="41">
        <f t="shared" si="21"/>
        <v>2210.4305388037697</v>
      </c>
      <c r="N286" s="41">
        <f t="shared" si="20"/>
        <v>2204.1614290038933</v>
      </c>
      <c r="O286" s="41">
        <f t="shared" si="20"/>
        <v>2197.9342106822678</v>
      </c>
      <c r="P286" s="41">
        <f t="shared" si="20"/>
        <v>2191.6889261168526</v>
      </c>
      <c r="T286" s="34">
        <v>893</v>
      </c>
      <c r="U286" s="88" t="s">
        <v>600</v>
      </c>
      <c r="V286" s="41">
        <f>C286/'1. Väestöennuste'!E286*1000</f>
        <v>207.03331570597567</v>
      </c>
      <c r="W286" s="41">
        <f>D286/'1. Väestöennuste'!F286*1000</f>
        <v>324.64076636508781</v>
      </c>
      <c r="X286" s="41">
        <f>E286/'1. Väestöennuste'!G286*1000</f>
        <v>447.67982980986568</v>
      </c>
      <c r="Y286" s="41">
        <f>F286/'1. Väestöennuste'!H286*1000</f>
        <v>356.53923541247485</v>
      </c>
      <c r="Z286" s="41">
        <f>G286/'1. Väestöennuste'!I286*1000</f>
        <v>228.56377277599142</v>
      </c>
      <c r="AA286" s="41">
        <f>H286/'1. Väestöennuste'!J286*1000</f>
        <v>543.25444578152155</v>
      </c>
      <c r="AB286" s="41">
        <f>I286/'1. Väestöennuste'!K286*1000</f>
        <v>571.64455648926241</v>
      </c>
      <c r="AC286" s="41">
        <f>J286/'1. Väestöennuste'!L286*1000</f>
        <v>718.33481302125369</v>
      </c>
      <c r="AD286" s="41">
        <f>K286/'1. Väestöennuste'!M286*1000</f>
        <v>296.41472266666671</v>
      </c>
      <c r="AE286" s="41">
        <f>L286/'1. Väestöennuste'!N286*1000</f>
        <v>298.19019492304966</v>
      </c>
      <c r="AF286" s="41">
        <f>M286/'1. Väestöennuste'!O286*1000</f>
        <v>297.98200846640196</v>
      </c>
      <c r="AG286" s="41">
        <f>N286/'1. Väestöennuste'!P286*1000</f>
        <v>298.06104516617893</v>
      </c>
      <c r="AH286" s="41">
        <f>O286/'1. Väestöennuste'!Q286*1000</f>
        <v>298.22716562853026</v>
      </c>
      <c r="AI286" s="41">
        <f>P286/'1. Väestöennuste'!R286*1000</f>
        <v>298.67660481287174</v>
      </c>
    </row>
    <row r="287" spans="1:35" x14ac:dyDescent="0.2">
      <c r="A287" s="34">
        <v>895</v>
      </c>
      <c r="B287" s="88" t="s">
        <v>601</v>
      </c>
      <c r="C287" s="46">
        <v>17567</v>
      </c>
      <c r="D287" s="46">
        <v>16551</v>
      </c>
      <c r="E287" s="46">
        <v>9781</v>
      </c>
      <c r="F287" s="46">
        <v>11611</v>
      </c>
      <c r="G287" s="70">
        <v>9229</v>
      </c>
      <c r="H287" s="41">
        <v>8832</v>
      </c>
      <c r="I287" s="165">
        <v>8794.696179999999</v>
      </c>
      <c r="J287" s="41">
        <v>8415.3391199999987</v>
      </c>
      <c r="K287" s="41">
        <v>8777.082699999999</v>
      </c>
      <c r="L287" s="41">
        <f t="shared" si="21"/>
        <v>8751.9549158013979</v>
      </c>
      <c r="M287" s="41">
        <f t="shared" si="21"/>
        <v>8727.0211444046217</v>
      </c>
      <c r="N287" s="41">
        <f t="shared" si="20"/>
        <v>8702.2700143330458</v>
      </c>
      <c r="O287" s="41">
        <f t="shared" si="20"/>
        <v>8677.6842763921195</v>
      </c>
      <c r="P287" s="41">
        <f t="shared" si="20"/>
        <v>8653.0272109478919</v>
      </c>
      <c r="T287" s="34">
        <v>895</v>
      </c>
      <c r="U287" s="88" t="s">
        <v>601</v>
      </c>
      <c r="V287" s="41">
        <f>C287/'1. Väestöennuste'!E287*1000</f>
        <v>1132.6241134751774</v>
      </c>
      <c r="W287" s="41">
        <f>D287/'1. Väestöennuste'!F287*1000</f>
        <v>1074.4611789145677</v>
      </c>
      <c r="X287" s="41">
        <f>E287/'1. Väestöennuste'!G287*1000</f>
        <v>620.93702386998473</v>
      </c>
      <c r="Y287" s="41">
        <f>F287/'1. Väestöennuste'!H287*1000</f>
        <v>739.55414012738856</v>
      </c>
      <c r="Z287" s="41">
        <f>G287/'1. Väestöennuste'!I287*1000</f>
        <v>594.57544130910969</v>
      </c>
      <c r="AA287" s="41">
        <f>H287/'1. Väestöennuste'!J287*1000</f>
        <v>574.32696059305499</v>
      </c>
      <c r="AB287" s="41">
        <f>I287/'1. Väestöennuste'!K287*1000</f>
        <v>568.75743258099976</v>
      </c>
      <c r="AC287" s="41">
        <f>J287/'1. Väestöennuste'!L287*1000</f>
        <v>557.60264510999195</v>
      </c>
      <c r="AD287" s="41">
        <f>K287/'1. Väestöennuste'!M287*1000</f>
        <v>587.56745882982989</v>
      </c>
      <c r="AE287" s="41">
        <f>L287/'1. Väestöennuste'!N287*1000</f>
        <v>581.56388569349451</v>
      </c>
      <c r="AF287" s="41">
        <f>M287/'1. Väestöennuste'!O287*1000</f>
        <v>583.31803652193184</v>
      </c>
      <c r="AG287" s="41">
        <f>N287/'1. Väestöennuste'!P287*1000</f>
        <v>584.98722871289635</v>
      </c>
      <c r="AH287" s="41">
        <f>O287/'1. Väestöennuste'!Q287*1000</f>
        <v>586.72645546937929</v>
      </c>
      <c r="AI287" s="41">
        <f>P287/'1. Väestöennuste'!R287*1000</f>
        <v>588.32113210143405</v>
      </c>
    </row>
    <row r="288" spans="1:35" x14ac:dyDescent="0.2">
      <c r="A288" s="34">
        <v>905</v>
      </c>
      <c r="B288" s="88" t="s">
        <v>602</v>
      </c>
      <c r="C288" s="46">
        <v>9285</v>
      </c>
      <c r="D288" s="46">
        <v>15172</v>
      </c>
      <c r="E288" s="46">
        <v>13057</v>
      </c>
      <c r="F288" s="46">
        <v>7507</v>
      </c>
      <c r="G288" s="70">
        <v>1687</v>
      </c>
      <c r="H288" s="41">
        <v>7324</v>
      </c>
      <c r="I288" s="165">
        <v>3731.5101099999997</v>
      </c>
      <c r="J288" s="41">
        <v>5920.7960899999998</v>
      </c>
      <c r="K288" s="41">
        <v>16121.5872</v>
      </c>
      <c r="L288" s="41">
        <f t="shared" si="21"/>
        <v>16075.432939188429</v>
      </c>
      <c r="M288" s="41">
        <f t="shared" si="21"/>
        <v>16029.635037592039</v>
      </c>
      <c r="N288" s="41">
        <f t="shared" si="20"/>
        <v>15984.172608287658</v>
      </c>
      <c r="O288" s="41">
        <f t="shared" si="20"/>
        <v>15939.013968265843</v>
      </c>
      <c r="P288" s="41">
        <f t="shared" si="20"/>
        <v>15893.724315172429</v>
      </c>
      <c r="T288" s="34">
        <v>905</v>
      </c>
      <c r="U288" s="88" t="s">
        <v>602</v>
      </c>
      <c r="V288" s="41">
        <f>C288/'1. Väestöennuste'!E288*1000</f>
        <v>137.31347698132183</v>
      </c>
      <c r="W288" s="41">
        <f>D288/'1. Väestöennuste'!F288*1000</f>
        <v>224.37148772552499</v>
      </c>
      <c r="X288" s="41">
        <f>E288/'1. Väestöennuste'!G288*1000</f>
        <v>193.74703228869896</v>
      </c>
      <c r="Y288" s="41">
        <f>F288/'1. Väestöennuste'!H288*1000</f>
        <v>111.12920416864046</v>
      </c>
      <c r="Z288" s="41">
        <f>G288/'1. Väestöennuste'!I288*1000</f>
        <v>24.942338399668817</v>
      </c>
      <c r="AA288" s="41">
        <f>H288/'1. Väestöennuste'!J288*1000</f>
        <v>108.42178502168731</v>
      </c>
      <c r="AB288" s="41">
        <f>I288/'1. Väestöennuste'!K288*1000</f>
        <v>55.187607927235078</v>
      </c>
      <c r="AC288" s="41">
        <f>J288/'1. Väestöennuste'!L288*1000</f>
        <v>87.085898835088543</v>
      </c>
      <c r="AD288" s="41">
        <f>K288/'1. Väestöennuste'!M288*1000</f>
        <v>233.79527814838445</v>
      </c>
      <c r="AE288" s="41">
        <f>L288/'1. Väestöennuste'!N288*1000</f>
        <v>237.53170115679521</v>
      </c>
      <c r="AF288" s="41">
        <f>M288/'1. Väestöennuste'!O288*1000</f>
        <v>236.86198799544943</v>
      </c>
      <c r="AG288" s="41">
        <f>N288/'1. Väestöennuste'!P288*1000</f>
        <v>236.17276312481764</v>
      </c>
      <c r="AH288" s="41">
        <f>O288/'1. Väestöennuste'!Q288*1000</f>
        <v>235.46029823269529</v>
      </c>
      <c r="AI288" s="41">
        <f>P288/'1. Väestöennuste'!R288*1000</f>
        <v>234.7357709488019</v>
      </c>
    </row>
    <row r="289" spans="1:35" x14ac:dyDescent="0.2">
      <c r="A289" s="34">
        <v>908</v>
      </c>
      <c r="B289" s="88" t="s">
        <v>603</v>
      </c>
      <c r="C289" s="46">
        <v>9581</v>
      </c>
      <c r="D289" s="46">
        <v>15787</v>
      </c>
      <c r="E289" s="46">
        <v>19860</v>
      </c>
      <c r="F289" s="46">
        <v>17837</v>
      </c>
      <c r="G289" s="70">
        <v>12732</v>
      </c>
      <c r="H289" s="41">
        <v>18551</v>
      </c>
      <c r="I289" s="165">
        <v>15737.774590000001</v>
      </c>
      <c r="J289" s="41">
        <v>14480.536410000001</v>
      </c>
      <c r="K289" s="41">
        <v>6390.2313899999999</v>
      </c>
      <c r="L289" s="41">
        <f t="shared" si="21"/>
        <v>6371.9368881893879</v>
      </c>
      <c r="M289" s="41">
        <f t="shared" si="21"/>
        <v>6353.7836390863849</v>
      </c>
      <c r="N289" s="41">
        <f t="shared" si="20"/>
        <v>6335.7633635885413</v>
      </c>
      <c r="O289" s="41">
        <f t="shared" si="20"/>
        <v>6317.8635032697566</v>
      </c>
      <c r="P289" s="41">
        <f t="shared" si="20"/>
        <v>6299.911712341891</v>
      </c>
      <c r="T289" s="34">
        <v>908</v>
      </c>
      <c r="U289" s="88" t="s">
        <v>603</v>
      </c>
      <c r="V289" s="41">
        <f>C289/'1. Väestöennuste'!E289*1000</f>
        <v>449.13744609038065</v>
      </c>
      <c r="W289" s="41">
        <f>D289/'1. Väestöennuste'!F289*1000</f>
        <v>739.57650145226273</v>
      </c>
      <c r="X289" s="41">
        <f>E289/'1. Väestöennuste'!G289*1000</f>
        <v>939.6290688872067</v>
      </c>
      <c r="Y289" s="41">
        <f>F289/'1. Väestöennuste'!H289*1000</f>
        <v>843.87566825945021</v>
      </c>
      <c r="Z289" s="41">
        <f>G289/'1. Väestöennuste'!I289*1000</f>
        <v>607.09517451840543</v>
      </c>
      <c r="AA289" s="41">
        <f>H289/'1. Väestöennuste'!J289*1000</f>
        <v>893.37828076089579</v>
      </c>
      <c r="AB289" s="41">
        <f>I289/'1. Väestöennuste'!K289*1000</f>
        <v>760.46265233148108</v>
      </c>
      <c r="AC289" s="41">
        <f>J289/'1. Väestöennuste'!L289*1000</f>
        <v>699.44145341254898</v>
      </c>
      <c r="AD289" s="41">
        <f>K289/'1. Väestöennuste'!M289*1000</f>
        <v>308.79633661930995</v>
      </c>
      <c r="AE289" s="41">
        <f>L289/'1. Väestöennuste'!N289*1000</f>
        <v>314.58587450947363</v>
      </c>
      <c r="AF289" s="41">
        <f>M289/'1. Väestöennuste'!O289*1000</f>
        <v>315.51214813220702</v>
      </c>
      <c r="AG289" s="41">
        <f>N289/'1. Väestöennuste'!P289*1000</f>
        <v>316.44008408693139</v>
      </c>
      <c r="AH289" s="41">
        <f>O289/'1. Väestöennuste'!Q289*1000</f>
        <v>317.41677568678438</v>
      </c>
      <c r="AI289" s="41">
        <f>P289/'1. Väestöennuste'!R289*1000</f>
        <v>318.45077654258159</v>
      </c>
    </row>
    <row r="290" spans="1:35" x14ac:dyDescent="0.2">
      <c r="A290" s="34">
        <v>915</v>
      </c>
      <c r="B290" s="88" t="s">
        <v>604</v>
      </c>
      <c r="C290" s="46">
        <v>6556</v>
      </c>
      <c r="D290" s="46">
        <v>4676</v>
      </c>
      <c r="E290" s="46">
        <v>8305</v>
      </c>
      <c r="F290" s="46">
        <v>17998</v>
      </c>
      <c r="G290" s="70">
        <v>10332</v>
      </c>
      <c r="H290" s="41">
        <v>20231</v>
      </c>
      <c r="I290" s="165">
        <v>22049.627960000002</v>
      </c>
      <c r="J290" s="41">
        <v>11316.11693</v>
      </c>
      <c r="K290" s="41">
        <v>4820.8117199999997</v>
      </c>
      <c r="L290" s="41">
        <f t="shared" si="21"/>
        <v>4807.010287257177</v>
      </c>
      <c r="M290" s="41">
        <f t="shared" si="21"/>
        <v>4793.3154160246913</v>
      </c>
      <c r="N290" s="41">
        <f t="shared" si="20"/>
        <v>4779.7208605202413</v>
      </c>
      <c r="O290" s="41">
        <f t="shared" si="20"/>
        <v>4766.2171466255932</v>
      </c>
      <c r="P290" s="41">
        <f t="shared" si="20"/>
        <v>4752.6742561075016</v>
      </c>
      <c r="T290" s="34">
        <v>915</v>
      </c>
      <c r="U290" s="88" t="s">
        <v>604</v>
      </c>
      <c r="V290" s="41">
        <f>C290/'1. Väestöennuste'!E290*1000</f>
        <v>302.98548849246697</v>
      </c>
      <c r="W290" s="41">
        <f>D290/'1. Väestöennuste'!F290*1000</f>
        <v>217.81255822619713</v>
      </c>
      <c r="X290" s="41">
        <f>E290/'1. Väestöennuste'!G290*1000</f>
        <v>392.57858662254785</v>
      </c>
      <c r="Y290" s="41">
        <f>F290/'1. Väestöennuste'!H290*1000</f>
        <v>864.08372941571838</v>
      </c>
      <c r="Z290" s="41">
        <f>G290/'1. Väestöennuste'!I290*1000</f>
        <v>504.83729111697448</v>
      </c>
      <c r="AA290" s="41">
        <f>H290/'1. Väestöennuste'!J290*1000</f>
        <v>997.6822171811815</v>
      </c>
      <c r="AB290" s="41">
        <f>I290/'1. Väestöennuste'!K290*1000</f>
        <v>1103.9717598758325</v>
      </c>
      <c r="AC290" s="41">
        <f>J290/'1. Väestöennuste'!L290*1000</f>
        <v>572.70696543347333</v>
      </c>
      <c r="AD290" s="41">
        <f>K290/'1. Väestöennuste'!M290*1000</f>
        <v>244.37632280630606</v>
      </c>
      <c r="AE290" s="41">
        <f>L290/'1. Väestöennuste'!N290*1000</f>
        <v>249.66294210331242</v>
      </c>
      <c r="AF290" s="41">
        <f>M290/'1. Väestöennuste'!O290*1000</f>
        <v>252.00123106170503</v>
      </c>
      <c r="AG290" s="41">
        <f>N290/'1. Väestöennuste'!P290*1000</f>
        <v>254.28104806725759</v>
      </c>
      <c r="AH290" s="41">
        <f>O290/'1. Väestöennuste'!Q290*1000</f>
        <v>256.49645606638643</v>
      </c>
      <c r="AI290" s="41">
        <f>P290/'1. Väestöennuste'!R290*1000</f>
        <v>258.71933892800769</v>
      </c>
    </row>
    <row r="291" spans="1:35" x14ac:dyDescent="0.2">
      <c r="A291" s="34">
        <v>918</v>
      </c>
      <c r="B291" s="88" t="s">
        <v>605</v>
      </c>
      <c r="C291" s="46">
        <v>342</v>
      </c>
      <c r="D291" s="46">
        <v>238</v>
      </c>
      <c r="E291" s="46">
        <v>281</v>
      </c>
      <c r="F291" s="46">
        <v>250</v>
      </c>
      <c r="G291" s="70">
        <v>2383</v>
      </c>
      <c r="H291" s="41">
        <v>1649</v>
      </c>
      <c r="I291" s="165">
        <v>1816.8573600000002</v>
      </c>
      <c r="J291" s="41">
        <v>3267.70766</v>
      </c>
      <c r="K291" s="41">
        <v>2170.6134700000002</v>
      </c>
      <c r="L291" s="41">
        <f t="shared" si="21"/>
        <v>2164.3992518233008</v>
      </c>
      <c r="M291" s="41">
        <f t="shared" si="21"/>
        <v>2158.2330139169699</v>
      </c>
      <c r="N291" s="41">
        <f t="shared" si="20"/>
        <v>2152.1119440618249</v>
      </c>
      <c r="O291" s="41">
        <f t="shared" si="20"/>
        <v>2146.0317764516385</v>
      </c>
      <c r="P291" s="41">
        <f t="shared" si="20"/>
        <v>2139.9339692173612</v>
      </c>
      <c r="T291" s="34">
        <v>918</v>
      </c>
      <c r="U291" s="88" t="s">
        <v>605</v>
      </c>
      <c r="V291" s="41">
        <f>C291/'1. Väestöennuste'!E291*1000</f>
        <v>150.26362038664323</v>
      </c>
      <c r="W291" s="41">
        <f>D291/'1. Väestöennuste'!F291*1000</f>
        <v>104.52349582784365</v>
      </c>
      <c r="X291" s="41">
        <f>E291/'1. Väestöennuste'!G291*1000</f>
        <v>121.32987910189982</v>
      </c>
      <c r="Y291" s="41">
        <f>F291/'1. Väestöennuste'!H291*1000</f>
        <v>109.40919037199124</v>
      </c>
      <c r="Z291" s="41">
        <f>G291/'1. Väestöennuste'!I291*1000</f>
        <v>1039.2498909725252</v>
      </c>
      <c r="AA291" s="41">
        <f>H291/'1. Väestöennuste'!J291*1000</f>
        <v>719.45898778359503</v>
      </c>
      <c r="AB291" s="41">
        <f>I291/'1. Väestöennuste'!K291*1000</f>
        <v>800.02525759577293</v>
      </c>
      <c r="AC291" s="41">
        <f>J291/'1. Väestöennuste'!L291*1000</f>
        <v>1466.6551436265709</v>
      </c>
      <c r="AD291" s="41">
        <f>K291/'1. Väestöennuste'!M291*1000</f>
        <v>966.8656881959912</v>
      </c>
      <c r="AE291" s="41">
        <f>L291/'1. Väestöennuste'!N291*1000</f>
        <v>932.12715410133535</v>
      </c>
      <c r="AF291" s="41">
        <f>M291/'1. Väestöennuste'!O291*1000</f>
        <v>927.87317881211084</v>
      </c>
      <c r="AG291" s="41">
        <f>N291/'1. Väestöennuste'!P291*1000</f>
        <v>923.25694725947017</v>
      </c>
      <c r="AH291" s="41">
        <f>O291/'1. Väestöennuste'!Q291*1000</f>
        <v>918.28488508842042</v>
      </c>
      <c r="AI291" s="41">
        <f>P291/'1. Väestöennuste'!R291*1000</f>
        <v>913.72073835070933</v>
      </c>
    </row>
    <row r="292" spans="1:35" x14ac:dyDescent="0.2">
      <c r="A292" s="34">
        <v>921</v>
      </c>
      <c r="B292" s="88" t="s">
        <v>606</v>
      </c>
      <c r="C292" s="46">
        <v>748</v>
      </c>
      <c r="D292" s="46">
        <v>282</v>
      </c>
      <c r="E292" s="46">
        <v>832</v>
      </c>
      <c r="F292" s="46">
        <v>719</v>
      </c>
      <c r="G292" s="70">
        <v>619</v>
      </c>
      <c r="H292" s="41">
        <v>1705</v>
      </c>
      <c r="I292" s="165">
        <v>2242.9310699999996</v>
      </c>
      <c r="J292" s="41">
        <v>2452.2734</v>
      </c>
      <c r="K292" s="41">
        <v>2476.7263599999997</v>
      </c>
      <c r="L292" s="41">
        <f t="shared" si="21"/>
        <v>2469.6357756201733</v>
      </c>
      <c r="M292" s="41">
        <f t="shared" si="21"/>
        <v>2462.5999379753248</v>
      </c>
      <c r="N292" s="41">
        <f t="shared" si="20"/>
        <v>2455.6156382503077</v>
      </c>
      <c r="O292" s="41">
        <f t="shared" si="20"/>
        <v>2448.6780090493949</v>
      </c>
      <c r="P292" s="41">
        <f t="shared" si="20"/>
        <v>2441.7202525791313</v>
      </c>
      <c r="T292" s="34">
        <v>921</v>
      </c>
      <c r="U292" s="88" t="s">
        <v>606</v>
      </c>
      <c r="V292" s="41">
        <f>C292/'1. Väestöennuste'!E292*1000</f>
        <v>341.39662254678228</v>
      </c>
      <c r="W292" s="41">
        <f>D292/'1. Väestöennuste'!F292*1000</f>
        <v>131.28491620111731</v>
      </c>
      <c r="X292" s="41">
        <f>E292/'1. Väestöennuste'!G292*1000</f>
        <v>397.3256924546323</v>
      </c>
      <c r="Y292" s="41">
        <f>F292/'1. Väestöennuste'!H292*1000</f>
        <v>349.3683187560739</v>
      </c>
      <c r="Z292" s="41">
        <f>G292/'1. Väestöennuste'!I292*1000</f>
        <v>307.34856007944387</v>
      </c>
      <c r="AA292" s="41">
        <f>H292/'1. Väestöennuste'!J292*1000</f>
        <v>864.60446247464506</v>
      </c>
      <c r="AB292" s="41">
        <f>I292/'1. Väestöennuste'!K292*1000</f>
        <v>1155.5543894899533</v>
      </c>
      <c r="AC292" s="41">
        <f>J292/'1. Väestöennuste'!L292*1000</f>
        <v>1294.7589229144667</v>
      </c>
      <c r="AD292" s="41">
        <f>K292/'1. Väestöennuste'!M292*1000</f>
        <v>1306.9796094986805</v>
      </c>
      <c r="AE292" s="41">
        <f>L292/'1. Väestöennuste'!N292*1000</f>
        <v>1362.181894991822</v>
      </c>
      <c r="AF292" s="41">
        <f>M292/'1. Väestöennuste'!O292*1000</f>
        <v>1383.4831112220927</v>
      </c>
      <c r="AG292" s="41">
        <f>N292/'1. Väestöennuste'!P292*1000</f>
        <v>1404.8144383582996</v>
      </c>
      <c r="AH292" s="41">
        <f>O292/'1. Väestöennuste'!Q292*1000</f>
        <v>1425.3073393768304</v>
      </c>
      <c r="AI292" s="41">
        <f>P292/'1. Väestöennuste'!R292*1000</f>
        <v>1445.6603034808354</v>
      </c>
    </row>
    <row r="293" spans="1:35" x14ac:dyDescent="0.2">
      <c r="A293" s="34">
        <v>922</v>
      </c>
      <c r="B293" s="88" t="s">
        <v>607</v>
      </c>
      <c r="C293" s="46">
        <v>1245</v>
      </c>
      <c r="D293" s="46">
        <v>1838</v>
      </c>
      <c r="E293" s="46">
        <v>1440</v>
      </c>
      <c r="F293" s="46">
        <v>858</v>
      </c>
      <c r="G293" s="70">
        <v>3575</v>
      </c>
      <c r="H293" s="41">
        <v>2498</v>
      </c>
      <c r="I293" s="165">
        <v>3105.54459</v>
      </c>
      <c r="J293" s="41">
        <v>3685.60554</v>
      </c>
      <c r="K293" s="41">
        <v>3115.38177</v>
      </c>
      <c r="L293" s="41">
        <f t="shared" si="21"/>
        <v>3106.4627882051932</v>
      </c>
      <c r="M293" s="41">
        <f t="shared" si="21"/>
        <v>3097.6126702876691</v>
      </c>
      <c r="N293" s="41">
        <f t="shared" si="20"/>
        <v>3088.8273799984609</v>
      </c>
      <c r="O293" s="41">
        <f t="shared" si="20"/>
        <v>3080.1007948219121</v>
      </c>
      <c r="P293" s="41">
        <f t="shared" si="20"/>
        <v>3071.348892303477</v>
      </c>
      <c r="T293" s="34">
        <v>922</v>
      </c>
      <c r="U293" s="88" t="s">
        <v>607</v>
      </c>
      <c r="V293" s="41">
        <f>C293/'1. Väestöennuste'!E293*1000</f>
        <v>277.34462018266873</v>
      </c>
      <c r="W293" s="41">
        <f>D293/'1. Väestöennuste'!F293*1000</f>
        <v>411.92290452711791</v>
      </c>
      <c r="X293" s="41">
        <f>E293/'1. Väestöennuste'!G293*1000</f>
        <v>322.86995515695065</v>
      </c>
      <c r="Y293" s="41">
        <f>F293/'1. Väestöennuste'!H293*1000</f>
        <v>195.31072160254951</v>
      </c>
      <c r="Z293" s="41">
        <f>G293/'1. Väestöennuste'!I293*1000</f>
        <v>820.8955223880597</v>
      </c>
      <c r="AA293" s="41">
        <f>H293/'1. Väestöennuste'!J293*1000</f>
        <v>572.0174032516602</v>
      </c>
      <c r="AB293" s="41">
        <f>I293/'1. Väestöennuste'!K293*1000</f>
        <v>698.8174144914492</v>
      </c>
      <c r="AC293" s="41">
        <f>J293/'1. Väestöennuste'!L293*1000</f>
        <v>818.84148855809826</v>
      </c>
      <c r="AD293" s="41">
        <f>K293/'1. Väestöennuste'!M293*1000</f>
        <v>697.10936898635043</v>
      </c>
      <c r="AE293" s="41">
        <f>L293/'1. Väestöennuste'!N293*1000</f>
        <v>722.26523789937073</v>
      </c>
      <c r="AF293" s="41">
        <f>M293/'1. Väestöennuste'!O293*1000</f>
        <v>722.05423549829118</v>
      </c>
      <c r="AG293" s="41">
        <f>N293/'1. Väestöennuste'!P293*1000</f>
        <v>721.01479458414121</v>
      </c>
      <c r="AH293" s="41">
        <f>O293/'1. Väestöennuste'!Q293*1000</f>
        <v>719.98616054743161</v>
      </c>
      <c r="AI293" s="41">
        <f>P293/'1. Väestöennuste'!R293*1000</f>
        <v>718.94871074519597</v>
      </c>
    </row>
    <row r="294" spans="1:35" x14ac:dyDescent="0.2">
      <c r="A294" s="34">
        <v>924</v>
      </c>
      <c r="B294" s="88" t="s">
        <v>608</v>
      </c>
      <c r="C294" s="46">
        <v>1101</v>
      </c>
      <c r="D294" s="46">
        <v>996</v>
      </c>
      <c r="E294" s="46">
        <v>2333</v>
      </c>
      <c r="F294" s="46">
        <v>3218</v>
      </c>
      <c r="G294" s="70">
        <v>1591</v>
      </c>
      <c r="H294" s="41">
        <v>2088</v>
      </c>
      <c r="I294" s="165">
        <v>2297.7882100000002</v>
      </c>
      <c r="J294" s="41">
        <v>952.79660000000001</v>
      </c>
      <c r="K294" s="41">
        <v>409.58583000000004</v>
      </c>
      <c r="L294" s="41">
        <f t="shared" si="21"/>
        <v>408.41323260074745</v>
      </c>
      <c r="M294" s="41">
        <f t="shared" si="21"/>
        <v>407.24968888108094</v>
      </c>
      <c r="N294" s="41">
        <f t="shared" si="20"/>
        <v>406.09466818681261</v>
      </c>
      <c r="O294" s="41">
        <f t="shared" si="20"/>
        <v>404.94736557786064</v>
      </c>
      <c r="P294" s="41">
        <f t="shared" si="20"/>
        <v>403.79673444442744</v>
      </c>
      <c r="T294" s="34">
        <v>924</v>
      </c>
      <c r="U294" s="88" t="s">
        <v>608</v>
      </c>
      <c r="V294" s="41">
        <f>C294/'1. Väestöennuste'!E294*1000</f>
        <v>333.4342822531799</v>
      </c>
      <c r="W294" s="41">
        <f>D294/'1. Väestöennuste'!F294*1000</f>
        <v>305.61521939245165</v>
      </c>
      <c r="X294" s="41">
        <f>E294/'1. Väestöennuste'!G294*1000</f>
        <v>725.43532338308455</v>
      </c>
      <c r="Y294" s="41">
        <f>F294/'1. Väestöennuste'!H294*1000</f>
        <v>1016.4245104232469</v>
      </c>
      <c r="Z294" s="41">
        <f>G294/'1. Väestöennuste'!I294*1000</f>
        <v>510.91843288375082</v>
      </c>
      <c r="AA294" s="41">
        <f>H294/'1. Väestöennuste'!J294*1000</f>
        <v>681.23980424143565</v>
      </c>
      <c r="AB294" s="41">
        <f>I294/'1. Väestöennuste'!K294*1000</f>
        <v>764.90952396804266</v>
      </c>
      <c r="AC294" s="41">
        <f>J294/'1. Väestöennuste'!L294*1000</f>
        <v>323.42043448744062</v>
      </c>
      <c r="AD294" s="41">
        <f>K294/'1. Väestöennuste'!M294*1000</f>
        <v>139.50471049046322</v>
      </c>
      <c r="AE294" s="41">
        <f>L294/'1. Väestöennuste'!N294*1000</f>
        <v>141.46630848657688</v>
      </c>
      <c r="AF294" s="41">
        <f>M294/'1. Väestöennuste'!O294*1000</f>
        <v>143.24646109077767</v>
      </c>
      <c r="AG294" s="41">
        <f>N294/'1. Väestöennuste'!P294*1000</f>
        <v>144.9820307700152</v>
      </c>
      <c r="AH294" s="41">
        <f>O294/'1. Väestöennuste'!Q294*1000</f>
        <v>146.82645597456874</v>
      </c>
      <c r="AI294" s="41">
        <f>P294/'1. Väestöennuste'!R294*1000</f>
        <v>148.67331901488492</v>
      </c>
    </row>
    <row r="295" spans="1:35" x14ac:dyDescent="0.2">
      <c r="A295" s="34">
        <v>925</v>
      </c>
      <c r="B295" s="88" t="s">
        <v>609</v>
      </c>
      <c r="C295" s="46">
        <v>1039</v>
      </c>
      <c r="D295" s="46">
        <v>1635</v>
      </c>
      <c r="E295" s="46">
        <v>2683</v>
      </c>
      <c r="F295" s="46">
        <v>3730</v>
      </c>
      <c r="G295" s="70">
        <v>6766</v>
      </c>
      <c r="H295" s="41">
        <v>9659</v>
      </c>
      <c r="I295" s="165">
        <v>11998.188470000001</v>
      </c>
      <c r="J295" s="41">
        <v>15045.83568</v>
      </c>
      <c r="K295" s="41">
        <v>18654.576519999999</v>
      </c>
      <c r="L295" s="41">
        <f t="shared" ref="L295:M307" si="22">K295*L$8</f>
        <v>18601.170600387228</v>
      </c>
      <c r="M295" s="41">
        <f t="shared" si="22"/>
        <v>18548.177030387786</v>
      </c>
      <c r="N295" s="41">
        <f t="shared" si="20"/>
        <v>18495.571641369781</v>
      </c>
      <c r="O295" s="41">
        <f t="shared" si="20"/>
        <v>18443.317772357052</v>
      </c>
      <c r="P295" s="41">
        <f t="shared" si="20"/>
        <v>18390.912305778962</v>
      </c>
      <c r="T295" s="34">
        <v>925</v>
      </c>
      <c r="U295" s="88" t="s">
        <v>609</v>
      </c>
      <c r="V295" s="41">
        <f>C295/'1. Väestöennuste'!E295*1000</f>
        <v>276.55043918019697</v>
      </c>
      <c r="W295" s="41">
        <f>D295/'1. Väestöennuste'!F295*1000</f>
        <v>439.39801128728834</v>
      </c>
      <c r="X295" s="41">
        <f>E295/'1. Väestöennuste'!G295*1000</f>
        <v>728.08683853459979</v>
      </c>
      <c r="Y295" s="41">
        <f>F295/'1. Väestöennuste'!H295*1000</f>
        <v>1014.6898803046791</v>
      </c>
      <c r="Z295" s="41">
        <f>G295/'1. Väestöennuste'!I295*1000</f>
        <v>1890.4721989382508</v>
      </c>
      <c r="AA295" s="41">
        <f>H295/'1. Väestöennuste'!J295*1000</f>
        <v>2742.4758659852359</v>
      </c>
      <c r="AB295" s="41">
        <f>I295/'1. Väestöennuste'!K295*1000</f>
        <v>3437.8763524355304</v>
      </c>
      <c r="AC295" s="41">
        <f>J295/'1. Väestöennuste'!L295*1000</f>
        <v>4390.3809979573971</v>
      </c>
      <c r="AD295" s="41">
        <f>K295/'1. Väestöennuste'!M295*1000</f>
        <v>5507.6990020667254</v>
      </c>
      <c r="AE295" s="41">
        <f>L295/'1. Väestöennuste'!N295*1000</f>
        <v>5559.2261208569116</v>
      </c>
      <c r="AF295" s="41">
        <f>M295/'1. Väestöennuste'!O295*1000</f>
        <v>5605.3723271041963</v>
      </c>
      <c r="AG295" s="41">
        <f>N295/'1. Väestöennuste'!P295*1000</f>
        <v>5654.4089395811006</v>
      </c>
      <c r="AH295" s="41">
        <f>O295/'1. Väestöennuste'!Q295*1000</f>
        <v>5699.4183474527354</v>
      </c>
      <c r="AI295" s="41">
        <f>P295/'1. Väestöennuste'!R295*1000</f>
        <v>5745.3646690968326</v>
      </c>
    </row>
    <row r="296" spans="1:35" x14ac:dyDescent="0.2">
      <c r="A296" s="34">
        <v>927</v>
      </c>
      <c r="B296" s="88" t="s">
        <v>610</v>
      </c>
      <c r="C296" s="46">
        <v>2731</v>
      </c>
      <c r="D296" s="46">
        <v>1866</v>
      </c>
      <c r="E296" s="46">
        <v>5334</v>
      </c>
      <c r="F296" s="46">
        <v>3557</v>
      </c>
      <c r="G296" s="70">
        <v>8026</v>
      </c>
      <c r="H296" s="41">
        <v>2875</v>
      </c>
      <c r="I296" s="165">
        <v>10451.89</v>
      </c>
      <c r="J296" s="41">
        <v>20097.87601</v>
      </c>
      <c r="K296" s="41">
        <v>32299.684819999999</v>
      </c>
      <c r="L296" s="41">
        <f t="shared" si="22"/>
        <v>32207.214515505799</v>
      </c>
      <c r="M296" s="41">
        <f t="shared" si="22"/>
        <v>32115.458178575103</v>
      </c>
      <c r="N296" s="41">
        <f t="shared" si="20"/>
        <v>32024.373962147391</v>
      </c>
      <c r="O296" s="41">
        <f t="shared" si="20"/>
        <v>31933.89838914646</v>
      </c>
      <c r="P296" s="41">
        <f t="shared" si="20"/>
        <v>31843.160330766921</v>
      </c>
      <c r="T296" s="34">
        <v>927</v>
      </c>
      <c r="U296" s="88" t="s">
        <v>610</v>
      </c>
      <c r="V296" s="41">
        <f>C296/'1. Väestöennuste'!E296*1000</f>
        <v>94.436183823783679</v>
      </c>
      <c r="W296" s="41">
        <f>D296/'1. Väestöennuste'!F296*1000</f>
        <v>64.418130976628575</v>
      </c>
      <c r="X296" s="41">
        <f>E296/'1. Väestöennuste'!G296*1000</f>
        <v>183.58917877056516</v>
      </c>
      <c r="Y296" s="41">
        <f>F296/'1. Väestöennuste'!H296*1000</f>
        <v>121.76919653555169</v>
      </c>
      <c r="Z296" s="41">
        <f>G296/'1. Väestöennuste'!I296*1000</f>
        <v>275.25893408327045</v>
      </c>
      <c r="AA296" s="41">
        <f>H296/'1. Väestöennuste'!J296*1000</f>
        <v>98.593964334705078</v>
      </c>
      <c r="AB296" s="41">
        <f>I296/'1. Väestöennuste'!K296*1000</f>
        <v>357.46400355689315</v>
      </c>
      <c r="AC296" s="41">
        <f>J296/'1. Väestöennuste'!L296*1000</f>
        <v>695.11555390308854</v>
      </c>
      <c r="AD296" s="41">
        <f>K296/'1. Väestöennuste'!M296*1000</f>
        <v>1121.0886404498281</v>
      </c>
      <c r="AE296" s="41">
        <f>L296/'1. Väestöennuste'!N296*1000</f>
        <v>1098.0980059838321</v>
      </c>
      <c r="AF296" s="41">
        <f>M296/'1. Väestöennuste'!O296*1000</f>
        <v>1093.1433397520373</v>
      </c>
      <c r="AG296" s="41">
        <f>N296/'1. Väestöennuste'!P296*1000</f>
        <v>1088.4499341359319</v>
      </c>
      <c r="AH296" s="41">
        <f>O296/'1. Väestöennuste'!Q296*1000</f>
        <v>1083.9012419097978</v>
      </c>
      <c r="AI296" s="41">
        <f>P296/'1. Väestöennuste'!R296*1000</f>
        <v>1079.612148864788</v>
      </c>
    </row>
    <row r="297" spans="1:35" x14ac:dyDescent="0.2">
      <c r="A297" s="34">
        <v>931</v>
      </c>
      <c r="B297" s="88" t="s">
        <v>611</v>
      </c>
      <c r="C297" s="46">
        <v>2287</v>
      </c>
      <c r="D297" s="46">
        <v>2527</v>
      </c>
      <c r="E297" s="46">
        <v>4583</v>
      </c>
      <c r="F297" s="46">
        <v>22617</v>
      </c>
      <c r="G297" s="70">
        <v>13795</v>
      </c>
      <c r="H297" s="41">
        <v>11561</v>
      </c>
      <c r="I297" s="165">
        <v>12970.661700000001</v>
      </c>
      <c r="J297" s="41">
        <v>12806.112640000001</v>
      </c>
      <c r="K297" s="41">
        <v>12299.59598</v>
      </c>
      <c r="L297" s="41">
        <f t="shared" si="22"/>
        <v>12264.383643044874</v>
      </c>
      <c r="M297" s="41">
        <f t="shared" si="22"/>
        <v>12229.443182196987</v>
      </c>
      <c r="N297" s="41">
        <f t="shared" si="20"/>
        <v>12194.758662256345</v>
      </c>
      <c r="O297" s="41">
        <f t="shared" si="20"/>
        <v>12160.305911396021</v>
      </c>
      <c r="P297" s="41">
        <f t="shared" si="20"/>
        <v>12125.753207111213</v>
      </c>
      <c r="T297" s="34">
        <v>931</v>
      </c>
      <c r="U297" s="88" t="s">
        <v>611</v>
      </c>
      <c r="V297" s="41">
        <f>C297/'1. Väestöennuste'!E297*1000</f>
        <v>343.08430843084307</v>
      </c>
      <c r="W297" s="41">
        <f>D297/'1. Väestöennuste'!F297*1000</f>
        <v>382.47313455426064</v>
      </c>
      <c r="X297" s="41">
        <f>E297/'1. Väestöennuste'!G297*1000</f>
        <v>714.86507565122452</v>
      </c>
      <c r="Y297" s="41">
        <f>F297/'1. Väestöennuste'!H297*1000</f>
        <v>3610.632183908046</v>
      </c>
      <c r="Z297" s="41">
        <f>G297/'1. Väestöennuste'!I297*1000</f>
        <v>2233.6463730569949</v>
      </c>
      <c r="AA297" s="41">
        <f>H297/'1. Väestöennuste'!J297*1000</f>
        <v>1896.1784484172545</v>
      </c>
      <c r="AB297" s="41">
        <f>I297/'1. Väestöennuste'!K297*1000</f>
        <v>2136.847067545305</v>
      </c>
      <c r="AC297" s="41">
        <f>J297/'1. Väestöennuste'!L297*1000</f>
        <v>2151.9261703915313</v>
      </c>
      <c r="AD297" s="41">
        <f>K297/'1. Väestöennuste'!M297*1000</f>
        <v>2092.8357971754299</v>
      </c>
      <c r="AE297" s="41">
        <f>L297/'1. Väestöennuste'!N297*1000</f>
        <v>2157.702963238014</v>
      </c>
      <c r="AF297" s="41">
        <f>M297/'1. Väestöennuste'!O297*1000</f>
        <v>2184.9996752183288</v>
      </c>
      <c r="AG297" s="41">
        <f>N297/'1. Väestöennuste'!P297*1000</f>
        <v>2211.5993221357171</v>
      </c>
      <c r="AH297" s="41">
        <f>O297/'1. Väestöennuste'!Q297*1000</f>
        <v>2237.8185335657013</v>
      </c>
      <c r="AI297" s="41">
        <f>P297/'1. Väestöennuste'!R297*1000</f>
        <v>2262.2673893864203</v>
      </c>
    </row>
    <row r="298" spans="1:35" x14ac:dyDescent="0.2">
      <c r="A298" s="34">
        <v>934</v>
      </c>
      <c r="B298" s="88" t="s">
        <v>612</v>
      </c>
      <c r="C298" s="46">
        <v>1456</v>
      </c>
      <c r="D298" s="46">
        <v>1225</v>
      </c>
      <c r="E298" s="46">
        <v>1464</v>
      </c>
      <c r="F298" s="46">
        <v>1049</v>
      </c>
      <c r="G298" s="70">
        <v>1407</v>
      </c>
      <c r="H298" s="41">
        <v>931</v>
      </c>
      <c r="I298" s="165">
        <v>413.72738999999996</v>
      </c>
      <c r="J298" s="41">
        <v>277.84390999999999</v>
      </c>
      <c r="K298" s="41">
        <v>128.13897</v>
      </c>
      <c r="L298" s="41">
        <f t="shared" si="22"/>
        <v>127.77212278029783</v>
      </c>
      <c r="M298" s="41">
        <f t="shared" si="22"/>
        <v>127.40810800520653</v>
      </c>
      <c r="N298" s="41">
        <f t="shared" si="20"/>
        <v>127.04675965950759</v>
      </c>
      <c r="O298" s="41">
        <f t="shared" si="20"/>
        <v>126.68782591761175</v>
      </c>
      <c r="P298" s="41">
        <f t="shared" si="20"/>
        <v>126.32785084648181</v>
      </c>
      <c r="T298" s="34">
        <v>934</v>
      </c>
      <c r="U298" s="88" t="s">
        <v>612</v>
      </c>
      <c r="V298" s="41">
        <f>C298/'1. Väestöennuste'!E298*1000</f>
        <v>473.80410022779046</v>
      </c>
      <c r="W298" s="41">
        <f>D298/'1. Väestöennuste'!F298*1000</f>
        <v>404.95867768595042</v>
      </c>
      <c r="X298" s="41">
        <f>E298/'1. Väestöennuste'!G298*1000</f>
        <v>492.26630800268998</v>
      </c>
      <c r="Y298" s="41">
        <f>F298/'1. Väestöennuste'!H298*1000</f>
        <v>361.59944846604617</v>
      </c>
      <c r="Z298" s="41">
        <f>G298/'1. Väestöennuste'!I298*1000</f>
        <v>497.70074283692963</v>
      </c>
      <c r="AA298" s="41">
        <f>H298/'1. Väestöennuste'!J298*1000</f>
        <v>334.41091954022988</v>
      </c>
      <c r="AB298" s="41">
        <f>I298/'1. Väestöennuste'!K298*1000</f>
        <v>150.11879172714077</v>
      </c>
      <c r="AC298" s="41">
        <f>J298/'1. Väestöennuste'!L298*1000</f>
        <v>104.02242980157244</v>
      </c>
      <c r="AD298" s="41">
        <f>K298/'1. Väestöennuste'!M298*1000</f>
        <v>48.245094126506025</v>
      </c>
      <c r="AE298" s="41">
        <f>L298/'1. Väestöennuste'!N298*1000</f>
        <v>50.00865862242577</v>
      </c>
      <c r="AF298" s="41">
        <f>M298/'1. Väestöennuste'!O298*1000</f>
        <v>50.922505197924274</v>
      </c>
      <c r="AG298" s="41">
        <f>N298/'1. Väestöennuste'!P298*1000</f>
        <v>51.771295704770822</v>
      </c>
      <c r="AH298" s="41">
        <f>O298/'1. Väestöennuste'!Q298*1000</f>
        <v>52.589383942553653</v>
      </c>
      <c r="AI298" s="41">
        <f>P298/'1. Väestöennuste'!R298*1000</f>
        <v>53.347909985845355</v>
      </c>
    </row>
    <row r="299" spans="1:35" x14ac:dyDescent="0.2">
      <c r="A299" s="34">
        <v>935</v>
      </c>
      <c r="B299" s="88" t="s">
        <v>613</v>
      </c>
      <c r="C299" s="46">
        <v>520</v>
      </c>
      <c r="D299" s="46">
        <v>1654</v>
      </c>
      <c r="E299" s="46">
        <v>2430</v>
      </c>
      <c r="F299" s="46">
        <v>2941</v>
      </c>
      <c r="G299" s="70">
        <v>2828</v>
      </c>
      <c r="H299" s="41">
        <v>3401</v>
      </c>
      <c r="I299" s="165">
        <v>1820.6592700000001</v>
      </c>
      <c r="J299" s="41">
        <v>1387.23478</v>
      </c>
      <c r="K299" s="41">
        <v>869.44280000000003</v>
      </c>
      <c r="L299" s="41">
        <f t="shared" si="22"/>
        <v>866.95368467567619</v>
      </c>
      <c r="M299" s="41">
        <f t="shared" si="22"/>
        <v>864.483787927663</v>
      </c>
      <c r="N299" s="41">
        <f t="shared" si="20"/>
        <v>862.03198331693557</v>
      </c>
      <c r="O299" s="41">
        <f t="shared" si="20"/>
        <v>859.59656216778478</v>
      </c>
      <c r="P299" s="41">
        <f t="shared" si="20"/>
        <v>857.15407543815513</v>
      </c>
      <c r="T299" s="34">
        <v>935</v>
      </c>
      <c r="U299" s="88" t="s">
        <v>613</v>
      </c>
      <c r="V299" s="41">
        <f>C299/'1. Väestöennuste'!E299*1000</f>
        <v>155.36301165222588</v>
      </c>
      <c r="W299" s="41">
        <f>D299/'1. Väestöennuste'!F299*1000</f>
        <v>506.27486991123351</v>
      </c>
      <c r="X299" s="41">
        <f>E299/'1. Väestöennuste'!G299*1000</f>
        <v>757.71749298409725</v>
      </c>
      <c r="Y299" s="41">
        <f>F299/'1. Väestöennuste'!H299*1000</f>
        <v>933.65079365079362</v>
      </c>
      <c r="Z299" s="41">
        <f>G299/'1. Väestöennuste'!I299*1000</f>
        <v>909.61724027018329</v>
      </c>
      <c r="AA299" s="41">
        <f>H299/'1. Väestöennuste'!J299*1000</f>
        <v>1101.7168772270813</v>
      </c>
      <c r="AB299" s="41">
        <f>I299/'1. Väestöennuste'!K299*1000</f>
        <v>598.90107565789469</v>
      </c>
      <c r="AC299" s="41">
        <f>J299/'1. Väestöennuste'!L299*1000</f>
        <v>464.73526968174207</v>
      </c>
      <c r="AD299" s="41">
        <f>K299/'1. Väestöennuste'!M299*1000</f>
        <v>297.04229586607448</v>
      </c>
      <c r="AE299" s="41">
        <f>L299/'1. Väestöennuste'!N299*1000</f>
        <v>297.71761149576793</v>
      </c>
      <c r="AF299" s="41">
        <f>M299/'1. Väestöennuste'!O299*1000</f>
        <v>300.585461727282</v>
      </c>
      <c r="AG299" s="41">
        <f>N299/'1. Väestöennuste'!P299*1000</f>
        <v>303.31878371461488</v>
      </c>
      <c r="AH299" s="41">
        <f>O299/'1. Väestöennuste'!Q299*1000</f>
        <v>306.01515207112311</v>
      </c>
      <c r="AI299" s="41">
        <f>P299/'1. Väestöennuste'!R299*1000</f>
        <v>308.77308193017114</v>
      </c>
    </row>
    <row r="300" spans="1:35" x14ac:dyDescent="0.2">
      <c r="A300" s="34">
        <v>936</v>
      </c>
      <c r="B300" s="88" t="s">
        <v>614</v>
      </c>
      <c r="C300" s="46">
        <v>7044</v>
      </c>
      <c r="D300" s="46">
        <v>7541</v>
      </c>
      <c r="E300" s="46">
        <v>5695</v>
      </c>
      <c r="F300" s="46">
        <v>7073</v>
      </c>
      <c r="G300" s="70">
        <v>7839</v>
      </c>
      <c r="H300" s="41">
        <v>9556</v>
      </c>
      <c r="I300" s="165">
        <v>10274.454539999999</v>
      </c>
      <c r="J300" s="41">
        <v>11556.6122</v>
      </c>
      <c r="K300" s="41">
        <v>10357.120080000001</v>
      </c>
      <c r="L300" s="41">
        <f t="shared" si="22"/>
        <v>10327.468829443909</v>
      </c>
      <c r="M300" s="41">
        <f t="shared" si="22"/>
        <v>10298.046517585815</v>
      </c>
      <c r="N300" s="41">
        <f t="shared" si="20"/>
        <v>10268.839725872776</v>
      </c>
      <c r="O300" s="41">
        <f t="shared" si="20"/>
        <v>10239.828099935881</v>
      </c>
      <c r="P300" s="41">
        <f t="shared" si="20"/>
        <v>10210.732306224574</v>
      </c>
      <c r="T300" s="34">
        <v>936</v>
      </c>
      <c r="U300" s="88" t="s">
        <v>614</v>
      </c>
      <c r="V300" s="41">
        <f>C300/'1. Väestöennuste'!E300*1000</f>
        <v>1005.9982862039418</v>
      </c>
      <c r="W300" s="41">
        <f>D300/'1. Väestöennuste'!F300*1000</f>
        <v>1090.2125198785602</v>
      </c>
      <c r="X300" s="41">
        <f>E300/'1. Väestöennuste'!G300*1000</f>
        <v>832.11572180011683</v>
      </c>
      <c r="Y300" s="41">
        <f>F300/'1. Väestöennuste'!H300*1000</f>
        <v>1049.5622495919276</v>
      </c>
      <c r="Z300" s="41">
        <f>G300/'1. Väestöennuste'!I300*1000</f>
        <v>1197.8911980440096</v>
      </c>
      <c r="AA300" s="41">
        <f>H300/'1. Väestöennuste'!J300*1000</f>
        <v>1467.8955453149001</v>
      </c>
      <c r="AB300" s="41">
        <f>I300/'1. Väestöennuste'!K300*1000</f>
        <v>1589.2427749419953</v>
      </c>
      <c r="AC300" s="41">
        <f>J300/'1. Väestöennuste'!L300*1000</f>
        <v>1807.1324784988271</v>
      </c>
      <c r="AD300" s="41">
        <f>K300/'1. Väestöennuste'!M300*1000</f>
        <v>1650.5370645418327</v>
      </c>
      <c r="AE300" s="41">
        <f>L300/'1. Väestöennuste'!N300*1000</f>
        <v>1684.4672695227384</v>
      </c>
      <c r="AF300" s="41">
        <f>M300/'1. Väestöennuste'!O300*1000</f>
        <v>1702.7193316114112</v>
      </c>
      <c r="AG300" s="41">
        <f>N300/'1. Väestöennuste'!P300*1000</f>
        <v>1720.6500881154116</v>
      </c>
      <c r="AH300" s="41">
        <f>O300/'1. Väestöennuste'!Q300*1000</f>
        <v>1737.3308618825722</v>
      </c>
      <c r="AI300" s="41">
        <f>P300/'1. Väestöennuste'!R300*1000</f>
        <v>1754.1199632751373</v>
      </c>
    </row>
    <row r="301" spans="1:35" x14ac:dyDescent="0.2">
      <c r="A301" s="34">
        <v>946</v>
      </c>
      <c r="B301" s="88" t="s">
        <v>615</v>
      </c>
      <c r="C301" s="46">
        <v>787</v>
      </c>
      <c r="D301" s="46">
        <v>1305</v>
      </c>
      <c r="E301" s="46">
        <v>1710</v>
      </c>
      <c r="F301" s="46">
        <v>696</v>
      </c>
      <c r="G301" s="70">
        <v>3394</v>
      </c>
      <c r="H301" s="41">
        <v>6473</v>
      </c>
      <c r="I301" s="165">
        <v>0</v>
      </c>
      <c r="J301" s="41">
        <v>2714.6680000000001</v>
      </c>
      <c r="K301" s="41">
        <v>3265.43273</v>
      </c>
      <c r="L301" s="41">
        <f t="shared" si="22"/>
        <v>3256.0841694635374</v>
      </c>
      <c r="M301" s="41">
        <f t="shared" si="22"/>
        <v>3246.8077896019954</v>
      </c>
      <c r="N301" s="41">
        <f t="shared" si="20"/>
        <v>3237.5993597622933</v>
      </c>
      <c r="O301" s="41">
        <f t="shared" si="20"/>
        <v>3228.4524625405652</v>
      </c>
      <c r="P301" s="41">
        <f t="shared" si="20"/>
        <v>3219.27902857858</v>
      </c>
      <c r="T301" s="34">
        <v>946</v>
      </c>
      <c r="U301" s="88" t="s">
        <v>615</v>
      </c>
      <c r="V301" s="41">
        <f>C301/'1. Väestöennuste'!E301*1000</f>
        <v>117.21775394697646</v>
      </c>
      <c r="W301" s="41">
        <f>D301/'1. Väestöennuste'!F301*1000</f>
        <v>195.2423698384201</v>
      </c>
      <c r="X301" s="41">
        <f>E301/'1. Väestöennuste'!G301*1000</f>
        <v>258.46432889963722</v>
      </c>
      <c r="Y301" s="41">
        <f>F301/'1. Väestöennuste'!H301*1000</f>
        <v>105.24724028428852</v>
      </c>
      <c r="Z301" s="41">
        <f>G301/'1. Väestöennuste'!I301*1000</f>
        <v>525.30568023525768</v>
      </c>
      <c r="AA301" s="41">
        <f>H301/'1. Väestöennuste'!J301*1000</f>
        <v>1013.3061991233562</v>
      </c>
      <c r="AB301" s="41">
        <f>I301/'1. Väestöennuste'!K301*1000</f>
        <v>0</v>
      </c>
      <c r="AC301" s="41">
        <f>J301/'1. Väestöennuste'!L301*1000</f>
        <v>431.7906791792588</v>
      </c>
      <c r="AD301" s="41">
        <f>K301/'1. Väestöennuste'!M301*1000</f>
        <v>519.06417580670791</v>
      </c>
      <c r="AE301" s="41">
        <f>L301/'1. Väestöennuste'!N301*1000</f>
        <v>528.32778995027377</v>
      </c>
      <c r="AF301" s="41">
        <f>M301/'1. Väestöennuste'!O301*1000</f>
        <v>531.56643575671183</v>
      </c>
      <c r="AG301" s="41">
        <f>N301/'1. Väestöennuste'!P301*1000</f>
        <v>534.69849046445802</v>
      </c>
      <c r="AH301" s="41">
        <f>O301/'1. Väestöennuste'!Q301*1000</f>
        <v>538.16510460752875</v>
      </c>
      <c r="AI301" s="41">
        <f>P301/'1. Väestöennuste'!R301*1000</f>
        <v>541.87494168971216</v>
      </c>
    </row>
    <row r="302" spans="1:35" x14ac:dyDescent="0.2">
      <c r="A302" s="34">
        <v>976</v>
      </c>
      <c r="B302" s="88" t="s">
        <v>616</v>
      </c>
      <c r="C302" s="46">
        <v>11797</v>
      </c>
      <c r="D302" s="46">
        <v>9246</v>
      </c>
      <c r="E302" s="46">
        <v>9444</v>
      </c>
      <c r="F302" s="46">
        <v>8903</v>
      </c>
      <c r="G302" s="70">
        <v>9236</v>
      </c>
      <c r="H302" s="41">
        <v>9799</v>
      </c>
      <c r="I302" s="165">
        <v>10929.476789999999</v>
      </c>
      <c r="J302" s="41">
        <v>9063.2817200000009</v>
      </c>
      <c r="K302" s="41">
        <v>9638.7742899999994</v>
      </c>
      <c r="L302" s="41">
        <f t="shared" si="22"/>
        <v>9611.1795813050321</v>
      </c>
      <c r="M302" s="41">
        <f t="shared" si="22"/>
        <v>9583.7979326517761</v>
      </c>
      <c r="N302" s="41">
        <f t="shared" si="20"/>
        <v>9556.6168561669492</v>
      </c>
      <c r="O302" s="41">
        <f t="shared" si="20"/>
        <v>9529.6174092133861</v>
      </c>
      <c r="P302" s="41">
        <f t="shared" si="20"/>
        <v>9502.5396321667304</v>
      </c>
      <c r="T302" s="34">
        <v>976</v>
      </c>
      <c r="U302" s="88" t="s">
        <v>616</v>
      </c>
      <c r="V302" s="41">
        <f>C302/'1. Väestöennuste'!E302*1000</f>
        <v>2749.2426007923559</v>
      </c>
      <c r="W302" s="41">
        <f>D302/'1. Väestöennuste'!F302*1000</f>
        <v>2201.4285714285716</v>
      </c>
      <c r="X302" s="41">
        <f>E302/'1. Väestöennuste'!G302*1000</f>
        <v>2293.3462846041766</v>
      </c>
      <c r="Y302" s="41">
        <f>F302/'1. Väestöennuste'!H302*1000</f>
        <v>2213.5753356539035</v>
      </c>
      <c r="Z302" s="41">
        <f>G302/'1. Väestöennuste'!I302*1000</f>
        <v>2357.3251659009698</v>
      </c>
      <c r="AA302" s="41">
        <f>H302/'1. Väestöennuste'!J302*1000</f>
        <v>2519.0231362467866</v>
      </c>
      <c r="AB302" s="41">
        <f>I302/'1. Väestöennuste'!K302*1000</f>
        <v>2853.6492924281979</v>
      </c>
      <c r="AC302" s="41">
        <f>J302/'1. Väestöennuste'!L302*1000</f>
        <v>2392.6298099260825</v>
      </c>
      <c r="AD302" s="41">
        <f>K302/'1. Väestöennuste'!M302*1000</f>
        <v>2560.0994130146078</v>
      </c>
      <c r="AE302" s="41">
        <f>L302/'1. Väestöennuste'!N302*1000</f>
        <v>2673.4852799179503</v>
      </c>
      <c r="AF302" s="41">
        <f>M302/'1. Väestöennuste'!O302*1000</f>
        <v>2708.8179572220961</v>
      </c>
      <c r="AG302" s="41">
        <f>N302/'1. Väestöennuste'!P302*1000</f>
        <v>2744.5769259525991</v>
      </c>
      <c r="AH302" s="41">
        <f>O302/'1. Väestöennuste'!Q302*1000</f>
        <v>2778.3141134732905</v>
      </c>
      <c r="AI302" s="41">
        <f>P302/'1. Väestöennuste'!R302*1000</f>
        <v>2813.0667946023477</v>
      </c>
    </row>
    <row r="303" spans="1:35" x14ac:dyDescent="0.2">
      <c r="A303" s="34">
        <v>977</v>
      </c>
      <c r="B303" s="88" t="s">
        <v>617</v>
      </c>
      <c r="C303" s="46">
        <v>1304</v>
      </c>
      <c r="D303" s="46">
        <v>2721</v>
      </c>
      <c r="E303" s="46">
        <v>1931</v>
      </c>
      <c r="F303" s="46">
        <v>1806</v>
      </c>
      <c r="G303" s="70">
        <v>6196</v>
      </c>
      <c r="H303" s="41">
        <v>6227</v>
      </c>
      <c r="I303" s="165">
        <v>3652.4600699999996</v>
      </c>
      <c r="J303" s="41">
        <v>2461.0443300000002</v>
      </c>
      <c r="K303" s="41">
        <v>1636.5817299999999</v>
      </c>
      <c r="L303" s="41">
        <f t="shared" si="22"/>
        <v>1631.8963836337393</v>
      </c>
      <c r="M303" s="41">
        <f t="shared" si="22"/>
        <v>1627.2472130468016</v>
      </c>
      <c r="N303" s="41">
        <f t="shared" si="20"/>
        <v>1622.6320979047287</v>
      </c>
      <c r="O303" s="41">
        <f t="shared" si="20"/>
        <v>1618.0478219091649</v>
      </c>
      <c r="P303" s="41">
        <f t="shared" si="20"/>
        <v>1613.4502461313457</v>
      </c>
      <c r="T303" s="34">
        <v>977</v>
      </c>
      <c r="U303" s="88" t="s">
        <v>617</v>
      </c>
      <c r="V303" s="41">
        <f>C303/'1. Väestöennuste'!E303*1000</f>
        <v>86.707892812022067</v>
      </c>
      <c r="W303" s="41">
        <f>D303/'1. Väestöennuste'!F303*1000</f>
        <v>179.02493585104284</v>
      </c>
      <c r="X303" s="41">
        <f>E303/'1. Väestöennuste'!G303*1000</f>
        <v>126.61464821978888</v>
      </c>
      <c r="Y303" s="41">
        <f>F303/'1. Väestöennuste'!H303*1000</f>
        <v>118.72206153037077</v>
      </c>
      <c r="Z303" s="41">
        <f>G303/'1. Väestöennuste'!I303*1000</f>
        <v>406.16191412651591</v>
      </c>
      <c r="AA303" s="41">
        <f>H303/'1. Väestöennuste'!J303*1000</f>
        <v>406.88708834291685</v>
      </c>
      <c r="AB303" s="41">
        <f>I303/'1. Väestöennuste'!K303*1000</f>
        <v>237.83682164485248</v>
      </c>
      <c r="AC303" s="41">
        <f>J303/'1. Väestöennuste'!L303*1000</f>
        <v>160.92619695285427</v>
      </c>
      <c r="AD303" s="41">
        <f>K303/'1. Väestöennuste'!M303*1000</f>
        <v>106.48589563406857</v>
      </c>
      <c r="AE303" s="41">
        <f>L303/'1. Väestöennuste'!N303*1000</f>
        <v>105.51509010951372</v>
      </c>
      <c r="AF303" s="41">
        <f>M303/'1. Väestöennuste'!O303*1000</f>
        <v>105.07860086831987</v>
      </c>
      <c r="AG303" s="41">
        <f>N303/'1. Väestöennuste'!P303*1000</f>
        <v>104.69945140693824</v>
      </c>
      <c r="AH303" s="41">
        <f>O303/'1. Väestöennuste'!Q303*1000</f>
        <v>104.39691734364571</v>
      </c>
      <c r="AI303" s="41">
        <f>P303/'1. Väestöennuste'!R303*1000</f>
        <v>104.16076475993194</v>
      </c>
    </row>
    <row r="304" spans="1:35" x14ac:dyDescent="0.2">
      <c r="A304" s="34">
        <v>980</v>
      </c>
      <c r="B304" s="88" t="s">
        <v>618</v>
      </c>
      <c r="C304" s="46">
        <v>15521</v>
      </c>
      <c r="D304" s="46">
        <v>20245</v>
      </c>
      <c r="E304" s="46">
        <v>23383</v>
      </c>
      <c r="F304" s="46">
        <v>24504</v>
      </c>
      <c r="G304" s="70">
        <v>21688</v>
      </c>
      <c r="H304" s="41">
        <v>24442</v>
      </c>
      <c r="I304" s="165">
        <v>20157.869180000002</v>
      </c>
      <c r="J304" s="41">
        <v>11217.830300000001</v>
      </c>
      <c r="K304" s="41">
        <v>11620.582380000002</v>
      </c>
      <c r="L304" s="41">
        <f t="shared" si="22"/>
        <v>11587.31398134327</v>
      </c>
      <c r="M304" s="41">
        <f t="shared" si="22"/>
        <v>11554.302449554887</v>
      </c>
      <c r="N304" s="41">
        <f t="shared" si="20"/>
        <v>11521.532729156235</v>
      </c>
      <c r="O304" s="41">
        <f t="shared" si="20"/>
        <v>11488.9819827544</v>
      </c>
      <c r="P304" s="41">
        <f t="shared" si="20"/>
        <v>11456.336800973933</v>
      </c>
      <c r="T304" s="34">
        <v>980</v>
      </c>
      <c r="U304" s="88" t="s">
        <v>618</v>
      </c>
      <c r="V304" s="41">
        <f>C304/'1. Väestöennuste'!E304*1000</f>
        <v>474.0973791923758</v>
      </c>
      <c r="W304" s="41">
        <f>D304/'1. Väestöennuste'!F304*1000</f>
        <v>617.24442818378611</v>
      </c>
      <c r="X304" s="41">
        <f>E304/'1. Väestöennuste'!G304*1000</f>
        <v>711.20506113510555</v>
      </c>
      <c r="Y304" s="41">
        <f>F304/'1. Väestöennuste'!H304*1000</f>
        <v>742.9281751205167</v>
      </c>
      <c r="Z304" s="41">
        <f>G304/'1. Väestöennuste'!I304*1000</f>
        <v>652.19221747759673</v>
      </c>
      <c r="AA304" s="41">
        <f>H304/'1. Väestöennuste'!J304*1000</f>
        <v>732.8496042216359</v>
      </c>
      <c r="AB304" s="41">
        <f>I304/'1. Väestöennuste'!K304*1000</f>
        <v>601.13527510213828</v>
      </c>
      <c r="AC304" s="41">
        <f>J304/'1. Väestöennuste'!L304*1000</f>
        <v>333.79445651203622</v>
      </c>
      <c r="AD304" s="41">
        <f>K304/'1. Väestöennuste'!M304*1000</f>
        <v>345.05990379190547</v>
      </c>
      <c r="AE304" s="41">
        <f>L304/'1. Väestöennuste'!N304*1000</f>
        <v>341.93979937271729</v>
      </c>
      <c r="AF304" s="41">
        <f>M304/'1. Väestöennuste'!O304*1000</f>
        <v>339.81243602008368</v>
      </c>
      <c r="AG304" s="41">
        <f>N304/'1. Väestöennuste'!P304*1000</f>
        <v>337.79561185517281</v>
      </c>
      <c r="AH304" s="41">
        <f>O304/'1. Väestöennuste'!Q304*1000</f>
        <v>335.8958596291194</v>
      </c>
      <c r="AI304" s="41">
        <f>P304/'1. Väestöennuste'!R304*1000</f>
        <v>334.14037219197144</v>
      </c>
    </row>
    <row r="305" spans="1:35" x14ac:dyDescent="0.2">
      <c r="A305" s="34">
        <v>981</v>
      </c>
      <c r="B305" s="88" t="s">
        <v>619</v>
      </c>
      <c r="C305" s="46">
        <v>565</v>
      </c>
      <c r="D305" s="46">
        <v>1254</v>
      </c>
      <c r="E305" s="46">
        <v>844</v>
      </c>
      <c r="F305" s="46">
        <v>652</v>
      </c>
      <c r="G305" s="70">
        <v>774</v>
      </c>
      <c r="H305" s="41">
        <v>1868</v>
      </c>
      <c r="I305" s="165">
        <v>2880.7107799999999</v>
      </c>
      <c r="J305" s="41">
        <v>2656.7022700000002</v>
      </c>
      <c r="K305" s="41">
        <v>3891.10302</v>
      </c>
      <c r="L305" s="41">
        <f t="shared" si="22"/>
        <v>3879.9632369623987</v>
      </c>
      <c r="M305" s="41">
        <f t="shared" si="22"/>
        <v>3868.9094647127667</v>
      </c>
      <c r="N305" s="41">
        <f t="shared" si="20"/>
        <v>3857.93666198756</v>
      </c>
      <c r="O305" s="41">
        <f t="shared" si="20"/>
        <v>3847.0371817820392</v>
      </c>
      <c r="P305" s="41">
        <f t="shared" si="20"/>
        <v>3836.1060802881034</v>
      </c>
      <c r="T305" s="34">
        <v>981</v>
      </c>
      <c r="U305" s="88" t="s">
        <v>619</v>
      </c>
      <c r="V305" s="41">
        <f>C305/'1. Väestöennuste'!E305*1000</f>
        <v>234.34259643301536</v>
      </c>
      <c r="W305" s="41">
        <f>D305/'1. Väestöennuste'!F305*1000</f>
        <v>526.44836272040311</v>
      </c>
      <c r="X305" s="41">
        <f>E305/'1. Väestöennuste'!G305*1000</f>
        <v>355.81787521079258</v>
      </c>
      <c r="Y305" s="41">
        <f>F305/'1. Väestöennuste'!H305*1000</f>
        <v>276.62282562579549</v>
      </c>
      <c r="Z305" s="41">
        <f>G305/'1. Väestöennuste'!I305*1000</f>
        <v>330.34571062740076</v>
      </c>
      <c r="AA305" s="41">
        <f>H305/'1. Väestöennuste'!J305*1000</f>
        <v>807.26015557476228</v>
      </c>
      <c r="AB305" s="41">
        <f>I305/'1. Väestöennuste'!K305*1000</f>
        <v>1262.3623049956179</v>
      </c>
      <c r="AC305" s="41">
        <f>J305/'1. Väestöennuste'!L305*1000</f>
        <v>1187.6183594099241</v>
      </c>
      <c r="AD305" s="41">
        <f>K305/'1. Väestöennuste'!M305*1000</f>
        <v>1763.0734118713185</v>
      </c>
      <c r="AE305" s="41">
        <f>L305/'1. Väestöennuste'!N305*1000</f>
        <v>1729.8097356051712</v>
      </c>
      <c r="AF305" s="41">
        <f>M305/'1. Väestöennuste'!O305*1000</f>
        <v>1738.0545663579364</v>
      </c>
      <c r="AG305" s="41">
        <f>N305/'1. Väestöennuste'!P305*1000</f>
        <v>1746.4629524615482</v>
      </c>
      <c r="AH305" s="41">
        <f>O305/'1. Väestöennuste'!Q305*1000</f>
        <v>1752.6365292856672</v>
      </c>
      <c r="AI305" s="41">
        <f>P305/'1. Väestöennuste'!R305*1000</f>
        <v>1759.6816882055518</v>
      </c>
    </row>
    <row r="306" spans="1:35" x14ac:dyDescent="0.2">
      <c r="A306" s="34">
        <v>989</v>
      </c>
      <c r="B306" s="88" t="s">
        <v>620</v>
      </c>
      <c r="C306" s="46">
        <v>315</v>
      </c>
      <c r="D306" s="46">
        <v>321</v>
      </c>
      <c r="E306" s="46">
        <v>192</v>
      </c>
      <c r="F306" s="46">
        <v>138</v>
      </c>
      <c r="G306" s="70">
        <v>639</v>
      </c>
      <c r="H306" s="41">
        <v>805</v>
      </c>
      <c r="I306" s="165">
        <v>663.59121000000005</v>
      </c>
      <c r="J306" s="41">
        <v>427.74520000000001</v>
      </c>
      <c r="K306" s="41">
        <v>3079.7714000000001</v>
      </c>
      <c r="L306" s="41">
        <f t="shared" si="22"/>
        <v>3070.9543666228142</v>
      </c>
      <c r="M306" s="41">
        <f t="shared" si="22"/>
        <v>3062.2054099743905</v>
      </c>
      <c r="N306" s="41">
        <f t="shared" si="20"/>
        <v>3053.5205399421052</v>
      </c>
      <c r="O306" s="41">
        <f t="shared" si="20"/>
        <v>3044.8937039937141</v>
      </c>
      <c r="P306" s="41">
        <f t="shared" si="20"/>
        <v>3036.2418400933025</v>
      </c>
      <c r="T306" s="34">
        <v>989</v>
      </c>
      <c r="U306" s="88" t="s">
        <v>620</v>
      </c>
      <c r="V306" s="41">
        <f>C306/'1. Väestöennuste'!E306*1000</f>
        <v>51.911667765326307</v>
      </c>
      <c r="W306" s="41">
        <f>D306/'1. Väestöennuste'!F306*1000</f>
        <v>53.634085213032584</v>
      </c>
      <c r="X306" s="41">
        <f>E306/'1. Väestöennuste'!G306*1000</f>
        <v>32.509312563494753</v>
      </c>
      <c r="Y306" s="41">
        <f>F306/'1. Väestöennuste'!H306*1000</f>
        <v>24.197790636507101</v>
      </c>
      <c r="Z306" s="41">
        <f>G306/'1. Väestöennuste'!I306*1000</f>
        <v>113.78205128205128</v>
      </c>
      <c r="AA306" s="41">
        <f>H306/'1. Väestöennuste'!J306*1000</f>
        <v>145.78051430641074</v>
      </c>
      <c r="AB306" s="41">
        <f>I306/'1. Väestöennuste'!K306*1000</f>
        <v>121.00496170678338</v>
      </c>
      <c r="AC306" s="41">
        <f>J306/'1. Väestöennuste'!L306*1000</f>
        <v>79.124158342582319</v>
      </c>
      <c r="AD306" s="41">
        <f>K306/'1. Väestöennuste'!M306*1000</f>
        <v>579.33999247554561</v>
      </c>
      <c r="AE306" s="41">
        <f>L306/'1. Väestöennuste'!N306*1000</f>
        <v>594.57006130160971</v>
      </c>
      <c r="AF306" s="41">
        <f>M306/'1. Väestöennuste'!O306*1000</f>
        <v>601.96685865429333</v>
      </c>
      <c r="AG306" s="41">
        <f>N306/'1. Väestöennuste'!P306*1000</f>
        <v>609.48513771299508</v>
      </c>
      <c r="AH306" s="41">
        <f>O306/'1. Väestöennuste'!Q306*1000</f>
        <v>617.12478800034739</v>
      </c>
      <c r="AI306" s="41">
        <f>P306/'1. Väestöennuste'!R306*1000</f>
        <v>624.35571459866389</v>
      </c>
    </row>
    <row r="307" spans="1:35" x14ac:dyDescent="0.2">
      <c r="A307" s="34">
        <v>992</v>
      </c>
      <c r="B307" s="88" t="s">
        <v>621</v>
      </c>
      <c r="C307" s="46">
        <v>4099</v>
      </c>
      <c r="D307" s="46">
        <v>1864</v>
      </c>
      <c r="E307" s="46">
        <v>6683</v>
      </c>
      <c r="F307" s="46">
        <v>4506</v>
      </c>
      <c r="G307" s="70">
        <v>2776</v>
      </c>
      <c r="H307" s="41">
        <v>1770</v>
      </c>
      <c r="I307" s="165">
        <v>2865.10169</v>
      </c>
      <c r="J307" s="41">
        <v>2279.7925599999999</v>
      </c>
      <c r="K307" s="41">
        <v>1952.4306299999998</v>
      </c>
      <c r="L307" s="41">
        <f t="shared" si="22"/>
        <v>1946.8410443471976</v>
      </c>
      <c r="M307" s="41">
        <f t="shared" si="22"/>
        <v>1941.2946161477137</v>
      </c>
      <c r="N307" s="41">
        <f t="shared" si="20"/>
        <v>1935.7888158572755</v>
      </c>
      <c r="O307" s="41">
        <f t="shared" si="20"/>
        <v>1930.3198064542971</v>
      </c>
      <c r="P307" s="41">
        <f t="shared" si="20"/>
        <v>1924.8349305035188</v>
      </c>
      <c r="T307" s="34">
        <v>992</v>
      </c>
      <c r="U307" s="88" t="s">
        <v>621</v>
      </c>
      <c r="V307" s="41">
        <f>C307/'1. Väestöennuste'!E307*1000</f>
        <v>208.64298075944214</v>
      </c>
      <c r="W307" s="41">
        <f>D307/'1. Väestöennuste'!F307*1000</f>
        <v>96.211417363476826</v>
      </c>
      <c r="X307" s="41">
        <f>E307/'1. Väestöennuste'!G307*1000</f>
        <v>349.09109903886338</v>
      </c>
      <c r="Y307" s="41">
        <f>F307/'1. Väestöennuste'!H307*1000</f>
        <v>239.03241207363004</v>
      </c>
      <c r="Z307" s="41">
        <f>G307/'1. Väestöennuste'!I307*1000</f>
        <v>147.93498534505727</v>
      </c>
      <c r="AA307" s="41">
        <f>H307/'1. Väestöennuste'!J307*1000</f>
        <v>95.279108575119778</v>
      </c>
      <c r="AB307" s="41">
        <f>I307/'1. Väestöennuste'!K307*1000</f>
        <v>156.40908887433125</v>
      </c>
      <c r="AC307" s="41">
        <f>J307/'1. Väestöennuste'!L307*1000</f>
        <v>125.81636644591609</v>
      </c>
      <c r="AD307" s="41">
        <f>K307/'1. Väestöennuste'!M307*1000</f>
        <v>108.64340493016526</v>
      </c>
      <c r="AE307" s="41">
        <f>L307/'1. Väestöennuste'!N307*1000</f>
        <v>109.54541100310587</v>
      </c>
      <c r="AF307" s="41">
        <f>M307/'1. Väestöennuste'!O307*1000</f>
        <v>110.43887906176549</v>
      </c>
      <c r="AG307" s="41">
        <f>N307/'1. Väestöennuste'!P307*1000</f>
        <v>111.31620562721538</v>
      </c>
      <c r="AH307" s="41">
        <f>O307/'1. Väestöennuste'!Q307*1000</f>
        <v>112.18224016123072</v>
      </c>
      <c r="AI307" s="41">
        <f>P307/'1. Väestöennuste'!R307*1000</f>
        <v>113.01948978354288</v>
      </c>
    </row>
    <row r="311" spans="1:35" x14ac:dyDescent="0.2">
      <c r="A311" s="41">
        <v>99</v>
      </c>
      <c r="B311" s="41" t="s">
        <v>358</v>
      </c>
      <c r="C311" s="41">
        <v>12</v>
      </c>
      <c r="D311" s="41">
        <v>31</v>
      </c>
      <c r="E311" s="41">
        <v>221</v>
      </c>
      <c r="F311" s="41">
        <v>686</v>
      </c>
      <c r="G311" s="41">
        <v>1219</v>
      </c>
      <c r="H311" s="41">
        <v>1315.2329464385796</v>
      </c>
      <c r="I311" s="165">
        <v>1411.4746321033001</v>
      </c>
      <c r="J311" s="41">
        <v>1507.8060308190563</v>
      </c>
      <c r="K311" s="41">
        <v>1604.1350433975447</v>
      </c>
      <c r="L311" s="41">
        <v>1700.5408511362771</v>
      </c>
      <c r="M311" s="41">
        <v>1700.5408511362771</v>
      </c>
      <c r="N311" s="41">
        <v>1700.5408511362771</v>
      </c>
      <c r="T311" s="4">
        <v>99</v>
      </c>
      <c r="U311" s="4" t="s">
        <v>358</v>
      </c>
      <c r="V311" s="4" t="e">
        <v>#REF!</v>
      </c>
      <c r="W311" s="4" t="e">
        <v>#REF!</v>
      </c>
      <c r="X311" s="4" t="e">
        <v>#REF!</v>
      </c>
      <c r="Y311" s="4" t="e">
        <v>#REF!</v>
      </c>
      <c r="Z311" s="4" t="e">
        <v>#REF!</v>
      </c>
      <c r="AA311" s="4" t="e">
        <v>#REF!</v>
      </c>
      <c r="AB311" s="4" t="e">
        <v>#REF!</v>
      </c>
      <c r="AC311" s="4" t="e">
        <v>#REF!</v>
      </c>
      <c r="AD311" s="4" t="e">
        <v>#REF!</v>
      </c>
      <c r="AE311" s="4" t="e">
        <v>#REF!</v>
      </c>
      <c r="AF311" s="4" t="e">
        <v>#REF!</v>
      </c>
      <c r="AG311" s="4" t="e">
        <v>#REF!</v>
      </c>
    </row>
    <row r="312" spans="1:35" x14ac:dyDescent="0.2">
      <c r="A312" s="41">
        <v>214</v>
      </c>
      <c r="B312" s="41" t="s">
        <v>395</v>
      </c>
      <c r="C312" s="41">
        <v>1704</v>
      </c>
      <c r="D312" s="41">
        <v>2152</v>
      </c>
      <c r="E312" s="41">
        <v>1456</v>
      </c>
      <c r="F312" s="41">
        <v>1249</v>
      </c>
      <c r="G312" s="41">
        <v>1242</v>
      </c>
      <c r="H312" s="41">
        <v>1340.0486624091188</v>
      </c>
      <c r="I312" s="165">
        <v>1438.1062289354377</v>
      </c>
      <c r="J312" s="41">
        <v>1536.2552012118686</v>
      </c>
      <c r="K312" s="41">
        <v>1634.4017423295736</v>
      </c>
      <c r="L312" s="41">
        <v>1732.6265275728103</v>
      </c>
      <c r="M312" s="41">
        <v>1732.6265275728103</v>
      </c>
      <c r="N312" s="41">
        <v>1732.6265275728103</v>
      </c>
      <c r="T312" s="4">
        <v>214</v>
      </c>
      <c r="U312" s="4" t="s">
        <v>395</v>
      </c>
      <c r="V312" s="4">
        <v>125.6451850759475</v>
      </c>
      <c r="W312" s="4">
        <v>160.64496864735742</v>
      </c>
      <c r="X312" s="4">
        <v>109.5395726752934</v>
      </c>
      <c r="Y312" s="4">
        <v>95.074979066758004</v>
      </c>
      <c r="Z312" s="4">
        <v>96.23430962343096</v>
      </c>
      <c r="AA312" s="4">
        <v>104.24338097309365</v>
      </c>
      <c r="AB312" s="4">
        <v>112.97872801755344</v>
      </c>
      <c r="AC312" s="4">
        <v>121.77038690645756</v>
      </c>
      <c r="AD312" s="4">
        <v>130.66851153898094</v>
      </c>
      <c r="AE312" s="4">
        <v>139.73921506353824</v>
      </c>
      <c r="AF312" s="4">
        <v>139.73921506353824</v>
      </c>
      <c r="AG312" s="4">
        <v>139.73921506353824</v>
      </c>
    </row>
    <row r="314" spans="1:35" x14ac:dyDescent="0.2">
      <c r="C314" s="41">
        <f>SUM(C311:C312)</f>
        <v>1716</v>
      </c>
      <c r="D314" s="41">
        <f t="shared" ref="D314:L314" si="23">SUM(D311:D312)</f>
        <v>2183</v>
      </c>
      <c r="E314" s="41">
        <f t="shared" si="23"/>
        <v>1677</v>
      </c>
      <c r="F314" s="41">
        <f t="shared" si="23"/>
        <v>1935</v>
      </c>
      <c r="G314" s="41">
        <f t="shared" si="23"/>
        <v>2461</v>
      </c>
      <c r="H314" s="41">
        <f t="shared" si="23"/>
        <v>2655.2816088476984</v>
      </c>
      <c r="I314" s="165">
        <f t="shared" si="23"/>
        <v>2849.5808610387376</v>
      </c>
      <c r="J314" s="41">
        <f t="shared" si="23"/>
        <v>3044.0612320309247</v>
      </c>
      <c r="K314" s="41">
        <f t="shared" si="23"/>
        <v>3238.5367857271185</v>
      </c>
      <c r="L314" s="41">
        <f t="shared" si="23"/>
        <v>3433.1673787090876</v>
      </c>
      <c r="M314" s="41">
        <f t="shared" ref="M314:N314" si="24">SUM(M311:M312)</f>
        <v>3433.1673787090876</v>
      </c>
      <c r="N314" s="41">
        <f t="shared" si="24"/>
        <v>3433.1673787090876</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I307"/>
  <sheetViews>
    <sheetView workbookViewId="0">
      <selection activeCell="M132" sqref="M132"/>
    </sheetView>
  </sheetViews>
  <sheetFormatPr defaultColWidth="9.140625" defaultRowHeight="11.25" x14ac:dyDescent="0.2"/>
  <cols>
    <col min="1" max="1" width="9.140625" style="41"/>
    <col min="2" max="2" width="20.5703125" style="41" bestFit="1" customWidth="1"/>
    <col min="3" max="3" width="9.28515625" style="41" hidden="1" customWidth="1"/>
    <col min="4" max="5" width="9.28515625" style="41" bestFit="1" customWidth="1"/>
    <col min="6" max="6" width="9.7109375" style="41" bestFit="1" customWidth="1"/>
    <col min="7" max="8" width="9.28515625" style="41" bestFit="1" customWidth="1"/>
    <col min="9" max="9" width="9.7109375" style="41" bestFit="1" customWidth="1"/>
    <col min="10" max="11" width="9.28515625" style="41" bestFit="1" customWidth="1"/>
    <col min="12" max="14" width="9.7109375" style="41" bestFit="1" customWidth="1"/>
    <col min="15" max="16" width="9.7109375" style="41" customWidth="1"/>
    <col min="17" max="17" width="9.140625" style="41"/>
    <col min="18" max="18" width="9.140625" style="117"/>
    <col min="19" max="20" width="9.140625" style="4"/>
    <col min="21" max="21" width="20.5703125" style="4" bestFit="1" customWidth="1"/>
    <col min="22" max="22" width="0" style="4" hidden="1" customWidth="1"/>
    <col min="23" max="35" width="9.140625" style="4"/>
    <col min="36" max="16384" width="9.140625" style="41"/>
  </cols>
  <sheetData>
    <row r="1" spans="1:35" x14ac:dyDescent="0.2">
      <c r="A1" s="43" t="s">
        <v>807</v>
      </c>
      <c r="B1" s="43"/>
    </row>
    <row r="2" spans="1:35" x14ac:dyDescent="0.2">
      <c r="A2" s="43"/>
      <c r="B2" s="43"/>
    </row>
    <row r="3" spans="1:35" x14ac:dyDescent="0.2">
      <c r="A3" s="43"/>
      <c r="B3" s="43"/>
    </row>
    <row r="4" spans="1:35" x14ac:dyDescent="0.2">
      <c r="A4" s="43"/>
      <c r="B4" s="43"/>
      <c r="H4" s="92"/>
    </row>
    <row r="5" spans="1:35" x14ac:dyDescent="0.2">
      <c r="A5" s="43"/>
      <c r="B5" s="43"/>
    </row>
    <row r="6" spans="1:35" x14ac:dyDescent="0.2">
      <c r="A6" s="43"/>
      <c r="B6" s="43"/>
    </row>
    <row r="7" spans="1:35" x14ac:dyDescent="0.2">
      <c r="A7" s="43"/>
      <c r="B7" s="43"/>
      <c r="R7" s="123" t="s">
        <v>319</v>
      </c>
    </row>
    <row r="8" spans="1:35" x14ac:dyDescent="0.2">
      <c r="A8" s="43" t="s">
        <v>622</v>
      </c>
      <c r="B8" s="43"/>
    </row>
    <row r="9" spans="1:35" x14ac:dyDescent="0.2">
      <c r="A9" s="312" t="s">
        <v>311</v>
      </c>
      <c r="B9" s="312"/>
      <c r="C9" s="146">
        <v>2015</v>
      </c>
      <c r="D9" s="146">
        <v>2016</v>
      </c>
      <c r="E9" s="146">
        <v>2017</v>
      </c>
      <c r="F9" s="146">
        <v>2018</v>
      </c>
      <c r="G9" s="146">
        <v>2019</v>
      </c>
      <c r="H9" s="146">
        <v>2020</v>
      </c>
      <c r="I9" s="146">
        <v>2021</v>
      </c>
      <c r="J9" s="146">
        <v>2022</v>
      </c>
      <c r="K9" s="146">
        <v>2023</v>
      </c>
      <c r="L9" s="146">
        <v>2024</v>
      </c>
      <c r="M9" s="146">
        <v>2025</v>
      </c>
      <c r="N9" s="146">
        <v>2026</v>
      </c>
      <c r="O9" s="146">
        <v>2027</v>
      </c>
      <c r="P9" s="146">
        <v>2028</v>
      </c>
      <c r="R9" s="107"/>
      <c r="S9" s="120"/>
      <c r="T9" s="120"/>
      <c r="U9" s="120"/>
      <c r="V9" s="120"/>
      <c r="W9" s="120"/>
      <c r="X9" s="120"/>
      <c r="Y9" s="120"/>
      <c r="Z9" s="120"/>
      <c r="AA9" s="120"/>
      <c r="AB9" s="120"/>
      <c r="AC9" s="120"/>
      <c r="AD9" s="120"/>
      <c r="AE9" s="120"/>
      <c r="AF9" s="120"/>
      <c r="AG9" s="120"/>
      <c r="AH9" s="120"/>
      <c r="AI9" s="120"/>
    </row>
    <row r="10" spans="1:35" x14ac:dyDescent="0.2">
      <c r="A10" s="43" t="s">
        <v>623</v>
      </c>
      <c r="B10" s="43"/>
    </row>
    <row r="11" spans="1:35" ht="12" thickBot="1" x14ac:dyDescent="0.25">
      <c r="A11" s="43" t="s">
        <v>624</v>
      </c>
      <c r="B11" s="43"/>
    </row>
    <row r="12" spans="1:35" ht="12" thickBot="1" x14ac:dyDescent="0.25">
      <c r="A12" s="83" t="s">
        <v>326</v>
      </c>
      <c r="B12" s="84" t="s">
        <v>327</v>
      </c>
      <c r="C12" s="91" t="s">
        <v>301</v>
      </c>
      <c r="D12" s="91" t="s">
        <v>301</v>
      </c>
      <c r="E12" s="91" t="s">
        <v>301</v>
      </c>
      <c r="F12" s="91" t="s">
        <v>301</v>
      </c>
      <c r="G12" s="91" t="s">
        <v>301</v>
      </c>
      <c r="H12" s="91" t="s">
        <v>301</v>
      </c>
      <c r="I12" s="91" t="s">
        <v>301</v>
      </c>
      <c r="J12" s="91" t="s">
        <v>301</v>
      </c>
      <c r="K12" s="91" t="s">
        <v>301</v>
      </c>
      <c r="L12" s="91" t="s">
        <v>301</v>
      </c>
      <c r="M12" s="91" t="s">
        <v>301</v>
      </c>
      <c r="N12" s="91" t="s">
        <v>301</v>
      </c>
      <c r="O12" s="91" t="s">
        <v>301</v>
      </c>
      <c r="P12" s="91" t="s">
        <v>301</v>
      </c>
      <c r="T12" s="94" t="s">
        <v>326</v>
      </c>
      <c r="U12" s="94" t="s">
        <v>327</v>
      </c>
      <c r="V12" s="77">
        <v>2015</v>
      </c>
      <c r="W12" s="77">
        <v>2016</v>
      </c>
      <c r="X12" s="77">
        <v>2017</v>
      </c>
      <c r="Y12" s="77">
        <v>2018</v>
      </c>
      <c r="Z12" s="77">
        <v>2019</v>
      </c>
      <c r="AA12" s="77">
        <v>2020</v>
      </c>
      <c r="AB12" s="77">
        <v>2021</v>
      </c>
      <c r="AC12" s="77">
        <v>2022</v>
      </c>
      <c r="AD12" s="77">
        <v>2023</v>
      </c>
      <c r="AE12" s="77">
        <v>2024</v>
      </c>
      <c r="AF12" s="77">
        <v>2025</v>
      </c>
      <c r="AG12" s="77">
        <v>2026</v>
      </c>
      <c r="AH12" s="77">
        <v>2027</v>
      </c>
      <c r="AI12" s="77">
        <v>2028</v>
      </c>
    </row>
    <row r="13" spans="1:35" x14ac:dyDescent="0.2">
      <c r="A13" s="39">
        <v>1</v>
      </c>
      <c r="B13" s="86" t="s">
        <v>312</v>
      </c>
      <c r="C13" s="41" t="e">
        <f>SUM(C15:C307)</f>
        <v>#REF!</v>
      </c>
      <c r="D13" s="41">
        <f t="shared" ref="D13:L13" si="0">SUM(D15:D307)</f>
        <v>2316586</v>
      </c>
      <c r="E13" s="41">
        <f t="shared" si="0"/>
        <v>2812105</v>
      </c>
      <c r="F13" s="41">
        <f t="shared" si="0"/>
        <v>1675248</v>
      </c>
      <c r="G13" s="41">
        <f t="shared" si="0"/>
        <v>1196175</v>
      </c>
      <c r="H13" s="41">
        <f t="shared" si="0"/>
        <v>3577644.4407711681</v>
      </c>
      <c r="I13" s="41">
        <f t="shared" si="0"/>
        <v>3125333.4302360979</v>
      </c>
      <c r="J13" s="41">
        <f t="shared" si="0"/>
        <v>3134364.5902610226</v>
      </c>
      <c r="K13" s="41">
        <f t="shared" si="0"/>
        <v>3803698.924556144</v>
      </c>
      <c r="L13" s="41">
        <f t="shared" si="0"/>
        <v>2478086.1183639895</v>
      </c>
      <c r="M13" s="41">
        <f t="shared" ref="M13:N13" si="1">SUM(M15:M307)</f>
        <v>1941312.642042882</v>
      </c>
      <c r="N13" s="41">
        <f t="shared" si="1"/>
        <v>2076624.0592662764</v>
      </c>
      <c r="O13" s="41">
        <f t="shared" ref="O13:P13" si="2">SUM(O15:O307)</f>
        <v>2143823.4877447253</v>
      </c>
      <c r="P13" s="41">
        <f t="shared" si="2"/>
        <v>2529931.4176589036</v>
      </c>
      <c r="S13" s="8"/>
      <c r="T13" s="39"/>
      <c r="U13" s="86" t="s">
        <v>312</v>
      </c>
      <c r="V13" s="41" t="e">
        <f>C13/'1. Väestöennuste'!E13*1000</f>
        <v>#REF!</v>
      </c>
      <c r="W13" s="41">
        <f>D13/'1. Väestöennuste'!F13*1000</f>
        <v>423.19161035738773</v>
      </c>
      <c r="X13" s="41">
        <f>E13/'1. Väestöennuste'!G13*1000</f>
        <v>512.81712278393127</v>
      </c>
      <c r="Y13" s="41">
        <f>F13/'1. Väestöennuste'!H13*1000</f>
        <v>305.24932900641932</v>
      </c>
      <c r="Z13" s="41">
        <f>G13/'1. Väestöennuste'!I13*1000</f>
        <v>217.66809670910695</v>
      </c>
      <c r="AA13" s="41">
        <f>H13/'1. Väestöennuste'!J13*1000</f>
        <v>650.04775741599929</v>
      </c>
      <c r="AB13" s="41">
        <f>I13/'1. Väestöennuste'!K13*1000</f>
        <v>566.39937828417192</v>
      </c>
      <c r="AC13" s="41">
        <f>J13/'1. Väestöennuste'!L13*1000</f>
        <v>566.42300845885677</v>
      </c>
      <c r="AD13" s="41">
        <f>K13/'1. Väestöennuste'!M13*1000</f>
        <v>682.48472174634901</v>
      </c>
      <c r="AE13" s="41">
        <f>L13/'1. Väestöennuste'!N13*1000</f>
        <v>447.42474630815002</v>
      </c>
      <c r="AF13" s="41">
        <f>M13/'1. Väestöennuste'!O13*1000</f>
        <v>350.10822427824706</v>
      </c>
      <c r="AG13" s="41">
        <f>N13/'1. Väestöennuste'!P13*1000</f>
        <v>374.12685994101463</v>
      </c>
      <c r="AH13" s="41">
        <f>O13/'1. Väestöennuste'!Q13*1000</f>
        <v>385.87840332990174</v>
      </c>
      <c r="AI13" s="41">
        <f>P13/'1. Väestöennuste'!R13*1000</f>
        <v>455.02101744358731</v>
      </c>
    </row>
    <row r="14" spans="1:35" x14ac:dyDescent="0.2">
      <c r="A14" s="39"/>
      <c r="B14" s="86"/>
      <c r="T14" s="39"/>
      <c r="U14" s="86"/>
      <c r="V14" s="41"/>
      <c r="W14" s="41"/>
      <c r="X14" s="41"/>
      <c r="Y14" s="41"/>
      <c r="Z14" s="41"/>
      <c r="AA14" s="41"/>
      <c r="AB14" s="41"/>
      <c r="AC14" s="41"/>
      <c r="AD14" s="41"/>
      <c r="AE14" s="41"/>
      <c r="AF14" s="41"/>
      <c r="AG14" s="41"/>
      <c r="AH14" s="41"/>
      <c r="AI14" s="41"/>
    </row>
    <row r="15" spans="1:35" x14ac:dyDescent="0.2">
      <c r="A15" s="34">
        <v>5</v>
      </c>
      <c r="B15" s="88" t="s">
        <v>328</v>
      </c>
      <c r="C15" s="41" t="e">
        <f>'2. Toimintakate'!D15+'3. Verotulot'!G15+'4. Valtionosuudet'!#REF!</f>
        <v>#REF!</v>
      </c>
      <c r="D15" s="41">
        <f>'2. Toimintakate'!E15+'3. Verotulot'!L15+'4. Valtionosuudet'!H15</f>
        <v>10224</v>
      </c>
      <c r="E15" s="41">
        <f>'2. Toimintakate'!F15+'3. Verotulot'!Q15+'4. Valtionosuudet'!N15</f>
        <v>6661</v>
      </c>
      <c r="F15" s="41">
        <f>'2. Toimintakate'!G15+'3. Verotulot'!V15+'4. Valtionosuudet'!T15</f>
        <v>2706</v>
      </c>
      <c r="G15" s="41">
        <f>'2. Toimintakate'!H15+'3. Verotulot'!AA15+'4. Valtionosuudet'!Z15</f>
        <v>1335</v>
      </c>
      <c r="H15" s="41">
        <f>'2. Toimintakate'!I15+'3. Verotulot'!AF15+'4. Valtionosuudet'!AG15</f>
        <v>5721.5106073551069</v>
      </c>
      <c r="I15" s="41">
        <f>'2. Toimintakate'!J15+'3. Verotulot'!AK15+'4. Valtionosuudet'!AN15</f>
        <v>4807.869783351045</v>
      </c>
      <c r="J15" s="41">
        <f>'2. Toimintakate'!K15+'3. Verotulot'!AP15+'4. Valtionosuudet'!AU15</f>
        <v>4566.39728130601</v>
      </c>
      <c r="K15" s="41">
        <f>'2. Toimintakate'!L15+'3. Verotulot'!AU15+'4. Valtionosuudet'!BC15</f>
        <v>7734.0715198974067</v>
      </c>
      <c r="L15" s="41">
        <f>'2. Toimintakate'!M15+'3. Verotulot'!AZ15+'4. Valtionosuudet'!BK15</f>
        <v>5829.6566623431991</v>
      </c>
      <c r="M15" s="41">
        <f>'2. Toimintakate'!N15+'3. Verotulot'!BE15+'4. Valtionosuudet'!BQ15</f>
        <v>5757.7267193792504</v>
      </c>
      <c r="N15" s="41">
        <f>'2. Toimintakate'!O15+'3. Verotulot'!BJ15+'4. Valtionosuudet'!BY15</f>
        <v>5678.1848079562169</v>
      </c>
      <c r="O15" s="41">
        <f>'2. Toimintakate'!P15+'3. Verotulot'!BO15+'4. Valtionosuudet'!CE15</f>
        <v>5911.9325482731529</v>
      </c>
      <c r="P15" s="41">
        <f>'2. Toimintakate'!Q15+'3. Verotulot'!BT15+'4. Valtionosuudet'!CK15</f>
        <v>7038.3540785482182</v>
      </c>
      <c r="T15" s="34">
        <v>5</v>
      </c>
      <c r="U15" s="88" t="s">
        <v>328</v>
      </c>
      <c r="V15" s="41"/>
      <c r="W15" s="41">
        <f>D15/'1. Väestöennuste'!F15*1000</f>
        <v>1032.8315991514294</v>
      </c>
      <c r="X15" s="41">
        <f>E15/'1. Väestöennuste'!G15*1000</f>
        <v>677.55060522835936</v>
      </c>
      <c r="Y15" s="41">
        <f>F15/'1. Väestöennuste'!H15*1000</f>
        <v>278.96907216494844</v>
      </c>
      <c r="Z15" s="41">
        <f>G15/'1. Väestöennuste'!I15*1000</f>
        <v>139.61514327546539</v>
      </c>
      <c r="AA15" s="41">
        <f>H15/'1. Väestöennuste'!J15*1000</f>
        <v>607.44352981793259</v>
      </c>
      <c r="AB15" s="41">
        <f>I15/'1. Väestöennuste'!K15*1000</f>
        <v>516.36449182161368</v>
      </c>
      <c r="AC15" s="41">
        <f>J15/'1. Väestöennuste'!L15*1000</f>
        <v>497.26639238876294</v>
      </c>
      <c r="AD15" s="41">
        <f>K15/'1. Väestöennuste'!M15*1000</f>
        <v>848.68556127481702</v>
      </c>
      <c r="AE15" s="41">
        <f>L15/'1. Väestöennuste'!N15*1000</f>
        <v>651.28551696382522</v>
      </c>
      <c r="AF15" s="41">
        <f>M15/'1. Väestöennuste'!O15*1000</f>
        <v>651.2528808256136</v>
      </c>
      <c r="AG15" s="41">
        <f>N15/'1. Väestöennuste'!P15*1000</f>
        <v>650.42208567654257</v>
      </c>
      <c r="AH15" s="41">
        <f>O15/'1. Väestöennuste'!Q15*1000</f>
        <v>685.75948825810838</v>
      </c>
      <c r="AI15" s="41">
        <f>P15/'1. Väestöennuste'!R15*1000</f>
        <v>826.87430434072121</v>
      </c>
    </row>
    <row r="16" spans="1:35" x14ac:dyDescent="0.2">
      <c r="A16" s="34">
        <v>9</v>
      </c>
      <c r="B16" s="88" t="s">
        <v>329</v>
      </c>
      <c r="C16" s="41" t="e">
        <f>'2. Toimintakate'!D16+'3. Verotulot'!G16+'4. Valtionosuudet'!#REF!</f>
        <v>#REF!</v>
      </c>
      <c r="D16" s="41">
        <f>'2. Toimintakate'!E16+'3. Verotulot'!L16+'4. Valtionosuudet'!H16</f>
        <v>1402</v>
      </c>
      <c r="E16" s="41">
        <f>'2. Toimintakate'!F16+'3. Verotulot'!Q16+'4. Valtionosuudet'!N16</f>
        <v>757</v>
      </c>
      <c r="F16" s="41">
        <f>'2. Toimintakate'!G16+'3. Verotulot'!V16+'4. Valtionosuudet'!T16</f>
        <v>1134</v>
      </c>
      <c r="G16" s="41">
        <f>'2. Toimintakate'!H16+'3. Verotulot'!AA16+'4. Valtionosuudet'!Z16</f>
        <v>1475</v>
      </c>
      <c r="H16" s="41">
        <f>'2. Toimintakate'!I16+'3. Verotulot'!AF16+'4. Valtionosuudet'!AG16</f>
        <v>1945.3207278548052</v>
      </c>
      <c r="I16" s="41">
        <f>'2. Toimintakate'!J16+'3. Verotulot'!AK16+'4. Valtionosuudet'!AN16</f>
        <v>1248.893501428016</v>
      </c>
      <c r="J16" s="41">
        <f>'2. Toimintakate'!K16+'3. Verotulot'!AP16+'4. Valtionosuudet'!AU16</f>
        <v>2662.8189425995024</v>
      </c>
      <c r="K16" s="41">
        <f>'2. Toimintakate'!L16+'3. Verotulot'!AU16+'4. Valtionosuudet'!BC16</f>
        <v>1546.0315333074036</v>
      </c>
      <c r="L16" s="41">
        <f>'2. Toimintakate'!M16+'3. Verotulot'!AZ16+'4. Valtionosuudet'!BK16</f>
        <v>1169.2580850455406</v>
      </c>
      <c r="M16" s="41">
        <f>'2. Toimintakate'!N16+'3. Verotulot'!BE16+'4. Valtionosuudet'!BQ16</f>
        <v>1039.5811959152879</v>
      </c>
      <c r="N16" s="41">
        <f>'2. Toimintakate'!O16+'3. Verotulot'!BJ16+'4. Valtionosuudet'!BY16</f>
        <v>705.39503411720671</v>
      </c>
      <c r="O16" s="41">
        <f>'2. Toimintakate'!P16+'3. Verotulot'!BO16+'4. Valtionosuudet'!CE16</f>
        <v>609.47150575424712</v>
      </c>
      <c r="P16" s="41">
        <f>'2. Toimintakate'!Q16+'3. Verotulot'!BT16+'4. Valtionosuudet'!CK16</f>
        <v>710.1546962102102</v>
      </c>
      <c r="T16" s="34">
        <v>9</v>
      </c>
      <c r="U16" s="88" t="s">
        <v>329</v>
      </c>
      <c r="V16" s="41" t="e">
        <f>C16/'1. Väestöennuste'!E16*1000</f>
        <v>#REF!</v>
      </c>
      <c r="W16" s="41">
        <f>D16/'1. Väestöennuste'!F16*1000</f>
        <v>531.26184160666924</v>
      </c>
      <c r="X16" s="41">
        <f>E16/'1. Väestöennuste'!G16*1000</f>
        <v>290.03831417624519</v>
      </c>
      <c r="Y16" s="41">
        <f>F16/'1. Väestöennuste'!H16*1000</f>
        <v>440.73066459385927</v>
      </c>
      <c r="Z16" s="41">
        <f>G16/'1. Väestöennuste'!I16*1000</f>
        <v>585.54982135768159</v>
      </c>
      <c r="AA16" s="41">
        <f>H16/'1. Väestöennuste'!J16*1000</f>
        <v>772.87275639841289</v>
      </c>
      <c r="AB16" s="41">
        <f>I16/'1. Väestöennuste'!K16*1000</f>
        <v>501.36230486873382</v>
      </c>
      <c r="AC16" s="41">
        <f>J16/'1. Väestöennuste'!L16*1000</f>
        <v>1088.1973610950154</v>
      </c>
      <c r="AD16" s="41">
        <f>K16/'1. Väestöennuste'!M16*1000</f>
        <v>634.39948022462193</v>
      </c>
      <c r="AE16" s="41">
        <f>L16/'1. Väestöennuste'!N16*1000</f>
        <v>482.96492566936826</v>
      </c>
      <c r="AF16" s="41">
        <f>M16/'1. Väestöennuste'!O16*1000</f>
        <v>433.70095782865582</v>
      </c>
      <c r="AG16" s="41">
        <f>N16/'1. Väestöennuste'!P16*1000</f>
        <v>297.00843541777124</v>
      </c>
      <c r="AH16" s="41">
        <f>O16/'1. Väestöennuste'!Q16*1000</f>
        <v>259.12904156217991</v>
      </c>
      <c r="AI16" s="41">
        <f>P16/'1. Väestöennuste'!R16*1000</f>
        <v>304.91828948484766</v>
      </c>
    </row>
    <row r="17" spans="1:35" x14ac:dyDescent="0.2">
      <c r="A17" s="34">
        <v>10</v>
      </c>
      <c r="B17" s="88" t="s">
        <v>330</v>
      </c>
      <c r="C17" s="41" t="e">
        <f>'2. Toimintakate'!D17+'3. Verotulot'!G17+'4. Valtionosuudet'!#REF!</f>
        <v>#REF!</v>
      </c>
      <c r="D17" s="41">
        <f>'2. Toimintakate'!E17+'3. Verotulot'!L17+'4. Valtionosuudet'!H17</f>
        <v>3724</v>
      </c>
      <c r="E17" s="41">
        <f>'2. Toimintakate'!F17+'3. Verotulot'!Q17+'4. Valtionosuudet'!N17</f>
        <v>4197</v>
      </c>
      <c r="F17" s="41">
        <f>'2. Toimintakate'!G17+'3. Verotulot'!V17+'4. Valtionosuudet'!T17</f>
        <v>1933</v>
      </c>
      <c r="G17" s="41">
        <f>'2. Toimintakate'!H17+'3. Verotulot'!AA17+'4. Valtionosuudet'!Z17</f>
        <v>527</v>
      </c>
      <c r="H17" s="41">
        <f>'2. Toimintakate'!I17+'3. Verotulot'!AF17+'4. Valtionosuudet'!AG17</f>
        <v>4434.7838108954456</v>
      </c>
      <c r="I17" s="41">
        <f>'2. Toimintakate'!J17+'3. Verotulot'!AK17+'4. Valtionosuudet'!AN17</f>
        <v>2217.5459206183441</v>
      </c>
      <c r="J17" s="41">
        <f>'2. Toimintakate'!K17+'3. Verotulot'!AP17+'4. Valtionosuudet'!AU17</f>
        <v>3179.0196796380769</v>
      </c>
      <c r="K17" s="41">
        <f>'2. Toimintakate'!L17+'3. Verotulot'!AU17+'4. Valtionosuudet'!BC17</f>
        <v>4363.1370055629377</v>
      </c>
      <c r="L17" s="41">
        <f>'2. Toimintakate'!M17+'3. Verotulot'!AZ17+'4. Valtionosuudet'!BK17</f>
        <v>4147.6972195712533</v>
      </c>
      <c r="M17" s="41">
        <f>'2. Toimintakate'!N17+'3. Verotulot'!BE17+'4. Valtionosuudet'!BQ17</f>
        <v>2788.1789591116394</v>
      </c>
      <c r="N17" s="41">
        <f>'2. Toimintakate'!O17+'3. Verotulot'!BJ17+'4. Valtionosuudet'!BY17</f>
        <v>2922.512281270614</v>
      </c>
      <c r="O17" s="41">
        <f>'2. Toimintakate'!P17+'3. Verotulot'!BO17+'4. Valtionosuudet'!CE17</f>
        <v>3422.506594222792</v>
      </c>
      <c r="P17" s="41">
        <f>'2. Toimintakate'!Q17+'3. Verotulot'!BT17+'4. Valtionosuudet'!CK17</f>
        <v>4748.1304243632949</v>
      </c>
      <c r="T17" s="34">
        <v>10</v>
      </c>
      <c r="U17" s="88" t="s">
        <v>330</v>
      </c>
      <c r="V17" s="41" t="e">
        <f>C17/'1. Väestöennuste'!E17*1000</f>
        <v>#REF!</v>
      </c>
      <c r="W17" s="41">
        <f>D17/'1. Väestöennuste'!F17*1000</f>
        <v>312.75720164609055</v>
      </c>
      <c r="X17" s="41">
        <f>E17/'1. Väestöennuste'!G17*1000</f>
        <v>358.31981558951594</v>
      </c>
      <c r="Y17" s="41">
        <f>F17/'1. Väestöennuste'!H17*1000</f>
        <v>167.44629244629243</v>
      </c>
      <c r="Z17" s="41">
        <f>G17/'1. Väestöennuste'!I17*1000</f>
        <v>45.953958841995117</v>
      </c>
      <c r="AA17" s="41">
        <f>H17/'1. Väestöennuste'!J17*1000</f>
        <v>391.35049513726136</v>
      </c>
      <c r="AB17" s="41">
        <f>I17/'1. Väestöennuste'!K17*1000</f>
        <v>198.04822011416846</v>
      </c>
      <c r="AC17" s="41">
        <f>J17/'1. Väestöennuste'!L17*1000</f>
        <v>286.3465753592215</v>
      </c>
      <c r="AD17" s="41">
        <f>K17/'1. Väestöennuste'!M17*1000</f>
        <v>399.07957610563778</v>
      </c>
      <c r="AE17" s="41">
        <f>L17/'1. Väestöennuste'!N17*1000</f>
        <v>383.51338137505809</v>
      </c>
      <c r="AF17" s="41">
        <f>M17/'1. Väestöennuste'!O17*1000</f>
        <v>260.91886197937856</v>
      </c>
      <c r="AG17" s="41">
        <f>N17/'1. Väestöennuste'!P17*1000</f>
        <v>276.7006515120824</v>
      </c>
      <c r="AH17" s="41">
        <f>O17/'1. Väestöennuste'!Q17*1000</f>
        <v>327.73212623027791</v>
      </c>
      <c r="AI17" s="41">
        <f>P17/'1. Väestöennuste'!R17*1000</f>
        <v>459.86735344922954</v>
      </c>
    </row>
    <row r="18" spans="1:35" x14ac:dyDescent="0.2">
      <c r="A18" s="34">
        <v>16</v>
      </c>
      <c r="B18" s="88" t="s">
        <v>331</v>
      </c>
      <c r="C18" s="41" t="e">
        <f>'2. Toimintakate'!D18+'3. Verotulot'!G18+'4. Valtionosuudet'!#REF!</f>
        <v>#REF!</v>
      </c>
      <c r="D18" s="41">
        <f>'2. Toimintakate'!E18+'3. Verotulot'!L18+'4. Valtionosuudet'!H18</f>
        <v>5593</v>
      </c>
      <c r="E18" s="41">
        <f>'2. Toimintakate'!F18+'3. Verotulot'!Q18+'4. Valtionosuudet'!N18</f>
        <v>4724</v>
      </c>
      <c r="F18" s="41">
        <f>'2. Toimintakate'!G18+'3. Verotulot'!V18+'4. Valtionosuudet'!T18</f>
        <v>3122</v>
      </c>
      <c r="G18" s="41">
        <f>'2. Toimintakate'!H18+'3. Verotulot'!AA18+'4. Valtionosuudet'!Z18</f>
        <v>2257</v>
      </c>
      <c r="H18" s="41">
        <f>'2. Toimintakate'!I18+'3. Verotulot'!AF18+'4. Valtionosuudet'!AG18</f>
        <v>8672.317470642196</v>
      </c>
      <c r="I18" s="41">
        <f>'2. Toimintakate'!J18+'3. Verotulot'!AK18+'4. Valtionosuudet'!AN18</f>
        <v>5444.151598476954</v>
      </c>
      <c r="J18" s="41">
        <f>'2. Toimintakate'!K18+'3. Verotulot'!AP18+'4. Valtionosuudet'!AU18</f>
        <v>4173.6006071633637</v>
      </c>
      <c r="K18" s="41">
        <f>'2. Toimintakate'!L18+'3. Verotulot'!AU18+'4. Valtionosuudet'!BC18</f>
        <v>6757.9323261206609</v>
      </c>
      <c r="L18" s="41">
        <f>'2. Toimintakate'!M18+'3. Verotulot'!AZ18+'4. Valtionosuudet'!BK18</f>
        <v>2688.8109119960827</v>
      </c>
      <c r="M18" s="41">
        <f>'2. Toimintakate'!N18+'3. Verotulot'!BE18+'4. Valtionosuudet'!BQ18</f>
        <v>3252.3199741900717</v>
      </c>
      <c r="N18" s="41">
        <f>'2. Toimintakate'!O18+'3. Verotulot'!BJ18+'4. Valtionosuudet'!BY18</f>
        <v>2269.3625774193388</v>
      </c>
      <c r="O18" s="41">
        <f>'2. Toimintakate'!P18+'3. Verotulot'!BO18+'4. Valtionosuudet'!CE18</f>
        <v>1833.8948134685179</v>
      </c>
      <c r="P18" s="41">
        <f>'2. Toimintakate'!Q18+'3. Verotulot'!BT18+'4. Valtionosuudet'!CK18</f>
        <v>2766.5760866551736</v>
      </c>
      <c r="T18" s="34">
        <v>16</v>
      </c>
      <c r="U18" s="88" t="s">
        <v>331</v>
      </c>
      <c r="V18" s="41" t="e">
        <f>C18/'1. Väestöennuste'!E18*1000</f>
        <v>#REF!</v>
      </c>
      <c r="W18" s="41">
        <f>D18/'1. Väestöennuste'!F18*1000</f>
        <v>671.99327165685452</v>
      </c>
      <c r="X18" s="41">
        <f>E18/'1. Väestöennuste'!G18*1000</f>
        <v>572.74490785645003</v>
      </c>
      <c r="Y18" s="41">
        <f>F18/'1. Väestöennuste'!H18*1000</f>
        <v>383.11449257577618</v>
      </c>
      <c r="Z18" s="41">
        <f>G18/'1. Väestöennuste'!I18*1000</f>
        <v>279.22800940244957</v>
      </c>
      <c r="AA18" s="41">
        <f>H18/'1. Väestöennuste'!J18*1000</f>
        <v>1076.1034210996645</v>
      </c>
      <c r="AB18" s="41">
        <f>I18/'1. Väestöennuste'!K18*1000</f>
        <v>677.7233410278792</v>
      </c>
      <c r="AC18" s="41">
        <f>J18/'1. Väestöennuste'!L18*1000</f>
        <v>520.78869567798404</v>
      </c>
      <c r="AD18" s="41">
        <f>K18/'1. Väestöennuste'!M18*1000</f>
        <v>848.13407707337603</v>
      </c>
      <c r="AE18" s="41">
        <f>L18/'1. Väestöennuste'!N18*1000</f>
        <v>340.96004463556716</v>
      </c>
      <c r="AF18" s="41">
        <f>M18/'1. Väestöennuste'!O18*1000</f>
        <v>414.99553071201626</v>
      </c>
      <c r="AG18" s="41">
        <f>N18/'1. Väestöennuste'!P18*1000</f>
        <v>291.28001250408659</v>
      </c>
      <c r="AH18" s="41">
        <f>O18/'1. Väestöennuste'!Q18*1000</f>
        <v>236.84551381486736</v>
      </c>
      <c r="AI18" s="41">
        <f>P18/'1. Väestöennuste'!R18*1000</f>
        <v>359.34226349593115</v>
      </c>
    </row>
    <row r="19" spans="1:35" x14ac:dyDescent="0.2">
      <c r="A19" s="34">
        <v>18</v>
      </c>
      <c r="B19" s="88" t="s">
        <v>332</v>
      </c>
      <c r="C19" s="41" t="e">
        <f>'2. Toimintakate'!D19+'3. Verotulot'!G19+'4. Valtionosuudet'!#REF!</f>
        <v>#REF!</v>
      </c>
      <c r="D19" s="41">
        <f>'2. Toimintakate'!E19+'3. Verotulot'!L19+'4. Valtionosuudet'!H19</f>
        <v>873</v>
      </c>
      <c r="E19" s="41">
        <f>'2. Toimintakate'!F19+'3. Verotulot'!Q19+'4. Valtionosuudet'!N19</f>
        <v>684</v>
      </c>
      <c r="F19" s="41">
        <f>'2. Toimintakate'!G19+'3. Verotulot'!V19+'4. Valtionosuudet'!T19</f>
        <v>-295</v>
      </c>
      <c r="G19" s="41">
        <f>'2. Toimintakate'!H19+'3. Verotulot'!AA19+'4. Valtionosuudet'!Z19</f>
        <v>2142</v>
      </c>
      <c r="H19" s="41">
        <f>'2. Toimintakate'!I19+'3. Verotulot'!AF19+'4. Valtionosuudet'!AG19</f>
        <v>3851.6578954179313</v>
      </c>
      <c r="I19" s="41">
        <f>'2. Toimintakate'!J19+'3. Verotulot'!AK19+'4. Valtionosuudet'!AN19</f>
        <v>2454.6105850998083</v>
      </c>
      <c r="J19" s="41">
        <f>'2. Toimintakate'!K19+'3. Verotulot'!AP19+'4. Valtionosuudet'!AU19</f>
        <v>2814.735906659429</v>
      </c>
      <c r="K19" s="41">
        <f>'2. Toimintakate'!L19+'3. Verotulot'!AU19+'4. Valtionosuudet'!BC19</f>
        <v>2258.2396211848959</v>
      </c>
      <c r="L19" s="41">
        <f>'2. Toimintakate'!M19+'3. Verotulot'!AZ19+'4. Valtionosuudet'!BK19</f>
        <v>965.57617672378956</v>
      </c>
      <c r="M19" s="41">
        <f>'2. Toimintakate'!N19+'3. Verotulot'!BE19+'4. Valtionosuudet'!BQ19</f>
        <v>496.38261588998648</v>
      </c>
      <c r="N19" s="41">
        <f>'2. Toimintakate'!O19+'3. Verotulot'!BJ19+'4. Valtionosuudet'!BY19</f>
        <v>815.50355239927421</v>
      </c>
      <c r="O19" s="41">
        <f>'2. Toimintakate'!P19+'3. Verotulot'!BO19+'4. Valtionosuudet'!CE19</f>
        <v>642.88325622181083</v>
      </c>
      <c r="P19" s="41">
        <f>'2. Toimintakate'!Q19+'3. Verotulot'!BT19+'4. Valtionosuudet'!CK19</f>
        <v>660.71899555755817</v>
      </c>
      <c r="T19" s="34">
        <v>18</v>
      </c>
      <c r="U19" s="88" t="s">
        <v>332</v>
      </c>
      <c r="V19" s="41" t="e">
        <f>C19/'1. Väestöennuste'!E19*1000</f>
        <v>#REF!</v>
      </c>
      <c r="W19" s="41">
        <f>D19/'1. Väestöennuste'!F19*1000</f>
        <v>173.00832342449465</v>
      </c>
      <c r="X19" s="41">
        <f>E19/'1. Väestöennuste'!G19*1000</f>
        <v>137.07414829659317</v>
      </c>
      <c r="Y19" s="41">
        <f>F19/'1. Väestöennuste'!H19*1000</f>
        <v>-59.499798305768451</v>
      </c>
      <c r="Z19" s="41">
        <f>G19/'1. Väestöennuste'!I19*1000</f>
        <v>433.34007687639087</v>
      </c>
      <c r="AA19" s="41">
        <f>H19/'1. Väestöennuste'!J19*1000</f>
        <v>789.59776453832126</v>
      </c>
      <c r="AB19" s="41">
        <f>I19/'1. Väestöennuste'!K19*1000</f>
        <v>506.41852384976448</v>
      </c>
      <c r="AC19" s="41">
        <f>J19/'1. Väestöennuste'!L19*1000</f>
        <v>590.95861991589948</v>
      </c>
      <c r="AD19" s="41">
        <f>K19/'1. Väestöennuste'!M19*1000</f>
        <v>480.47651514572254</v>
      </c>
      <c r="AE19" s="41">
        <f>L19/'1. Väestöennuste'!N19*1000</f>
        <v>203.96623927414228</v>
      </c>
      <c r="AF19" s="41">
        <f>M19/'1. Väestöennuste'!O19*1000</f>
        <v>105.41147077723221</v>
      </c>
      <c r="AG19" s="41">
        <f>N19/'1. Väestöennuste'!P19*1000</f>
        <v>174.02978070833851</v>
      </c>
      <c r="AH19" s="41">
        <f>O19/'1. Väestöennuste'!Q19*1000</f>
        <v>137.8099155888126</v>
      </c>
      <c r="AI19" s="41">
        <f>P19/'1. Väestöennuste'!R19*1000</f>
        <v>142.33498396328267</v>
      </c>
    </row>
    <row r="20" spans="1:35" x14ac:dyDescent="0.2">
      <c r="A20" s="34">
        <v>19</v>
      </c>
      <c r="B20" s="88" t="s">
        <v>333</v>
      </c>
      <c r="C20" s="41" t="e">
        <f>'2. Toimintakate'!D20+'3. Verotulot'!G20+'4. Valtionosuudet'!#REF!</f>
        <v>#REF!</v>
      </c>
      <c r="D20" s="41">
        <f>'2. Toimintakate'!E20+'3. Verotulot'!L20+'4. Valtionosuudet'!H20</f>
        <v>1742</v>
      </c>
      <c r="E20" s="41">
        <f>'2. Toimintakate'!F20+'3. Verotulot'!Q20+'4. Valtionosuudet'!N20</f>
        <v>2798</v>
      </c>
      <c r="F20" s="41">
        <f>'2. Toimintakate'!G20+'3. Verotulot'!V20+'4. Valtionosuudet'!T20</f>
        <v>806</v>
      </c>
      <c r="G20" s="41">
        <f>'2. Toimintakate'!H20+'3. Verotulot'!AA20+'4. Valtionosuudet'!Z20</f>
        <v>607</v>
      </c>
      <c r="H20" s="41">
        <f>'2. Toimintakate'!I20+'3. Verotulot'!AF20+'4. Valtionosuudet'!AG20</f>
        <v>3128.5150236475156</v>
      </c>
      <c r="I20" s="41">
        <f>'2. Toimintakate'!J20+'3. Verotulot'!AK20+'4. Valtionosuudet'!AN20</f>
        <v>2509.392551289282</v>
      </c>
      <c r="J20" s="41">
        <f>'2. Toimintakate'!K20+'3. Verotulot'!AP20+'4. Valtionosuudet'!AU20</f>
        <v>2116.8239280620755</v>
      </c>
      <c r="K20" s="41">
        <f>'2. Toimintakate'!L20+'3. Verotulot'!AU20+'4. Valtionosuudet'!BC20</f>
        <v>1499.4159893866763</v>
      </c>
      <c r="L20" s="41">
        <f>'2. Toimintakate'!M20+'3. Verotulot'!AZ20+'4. Valtionosuudet'!BK20</f>
        <v>324.63103564059656</v>
      </c>
      <c r="M20" s="41">
        <f>'2. Toimintakate'!N20+'3. Verotulot'!BE20+'4. Valtionosuudet'!BQ20</f>
        <v>-418.31105138960811</v>
      </c>
      <c r="N20" s="41">
        <f>'2. Toimintakate'!O20+'3. Verotulot'!BJ20+'4. Valtionosuudet'!BY20</f>
        <v>-295.76038038033857</v>
      </c>
      <c r="O20" s="41">
        <f>'2. Toimintakate'!P20+'3. Verotulot'!BO20+'4. Valtionosuudet'!CE20</f>
        <v>36.711161229778554</v>
      </c>
      <c r="P20" s="41">
        <f>'2. Toimintakate'!Q20+'3. Verotulot'!BT20+'4. Valtionosuudet'!CK20</f>
        <v>-8.2363157782192502</v>
      </c>
      <c r="T20" s="34">
        <v>19</v>
      </c>
      <c r="U20" s="88" t="s">
        <v>333</v>
      </c>
      <c r="V20" s="41" t="e">
        <f>C20/'1. Väestöennuste'!E20*1000</f>
        <v>#REF!</v>
      </c>
      <c r="W20" s="41">
        <f>D20/'1. Väestöennuste'!F20*1000</f>
        <v>437.24899598393574</v>
      </c>
      <c r="X20" s="41">
        <f>E20/'1. Väestöennuste'!G20*1000</f>
        <v>701.07742420446004</v>
      </c>
      <c r="Y20" s="41">
        <f>F20/'1. Väestöennuste'!H20*1000</f>
        <v>202.30923694779116</v>
      </c>
      <c r="Z20" s="41">
        <f>G20/'1. Väestöennuste'!I20*1000</f>
        <v>154.02182187262116</v>
      </c>
      <c r="AA20" s="41">
        <f>H20/'1. Väestöennuste'!J20*1000</f>
        <v>790.22859905216353</v>
      </c>
      <c r="AB20" s="41">
        <f>I20/'1. Väestöennuste'!K20*1000</f>
        <v>634.48610652067816</v>
      </c>
      <c r="AC20" s="41">
        <f>J20/'1. Väestöennuste'!L20*1000</f>
        <v>533.87740934730789</v>
      </c>
      <c r="AD20" s="41">
        <f>K20/'1. Väestöennuste'!M20*1000</f>
        <v>378.54480923672719</v>
      </c>
      <c r="AE20" s="41">
        <f>L20/'1. Väestöennuste'!N20*1000</f>
        <v>81.936152357545822</v>
      </c>
      <c r="AF20" s="41">
        <f>M20/'1. Väestöennuste'!O20*1000</f>
        <v>-105.44770642541168</v>
      </c>
      <c r="AG20" s="41">
        <f>N20/'1. Väestöennuste'!P20*1000</f>
        <v>-74.442582527142861</v>
      </c>
      <c r="AH20" s="41">
        <f>O20/'1. Väestöennuste'!Q20*1000</f>
        <v>9.2192770541884865</v>
      </c>
      <c r="AI20" s="41">
        <f>P20/'1. Väestöennuste'!R20*1000</f>
        <v>-2.0652747688613968</v>
      </c>
    </row>
    <row r="21" spans="1:35" x14ac:dyDescent="0.2">
      <c r="A21" s="34">
        <v>20</v>
      </c>
      <c r="B21" s="88" t="s">
        <v>334</v>
      </c>
      <c r="C21" s="41" t="e">
        <f>'2. Toimintakate'!D21+'3. Verotulot'!G21+'4. Valtionosuudet'!#REF!</f>
        <v>#REF!</v>
      </c>
      <c r="D21" s="41">
        <f>'2. Toimintakate'!E21+'3. Verotulot'!L21+'4. Valtionosuudet'!H21</f>
        <v>4726</v>
      </c>
      <c r="E21" s="41">
        <f>'2. Toimintakate'!F21+'3. Verotulot'!Q21+'4. Valtionosuudet'!N21</f>
        <v>5454</v>
      </c>
      <c r="F21" s="41">
        <f>'2. Toimintakate'!G21+'3. Verotulot'!V21+'4. Valtionosuudet'!T21</f>
        <v>1288</v>
      </c>
      <c r="G21" s="41">
        <f>'2. Toimintakate'!H21+'3. Verotulot'!AA21+'4. Valtionosuudet'!Z21</f>
        <v>5651</v>
      </c>
      <c r="H21" s="41">
        <f>'2. Toimintakate'!I21+'3. Verotulot'!AF21+'4. Valtionosuudet'!AG21</f>
        <v>17199.921762975522</v>
      </c>
      <c r="I21" s="41">
        <f>'2. Toimintakate'!J21+'3. Verotulot'!AK21+'4. Valtionosuudet'!AN21</f>
        <v>3521.4378508084774</v>
      </c>
      <c r="J21" s="41">
        <f>'2. Toimintakate'!K21+'3. Verotulot'!AP21+'4. Valtionosuudet'!AU21</f>
        <v>3145.6974630465484</v>
      </c>
      <c r="K21" s="41">
        <f>'2. Toimintakate'!L21+'3. Verotulot'!AU21+'4. Valtionosuudet'!BC21</f>
        <v>8039.1767102740796</v>
      </c>
      <c r="L21" s="41">
        <f>'2. Toimintakate'!M21+'3. Verotulot'!AZ21+'4. Valtionosuudet'!BK21</f>
        <v>9093.5495796789328</v>
      </c>
      <c r="M21" s="41">
        <f>'2. Toimintakate'!N21+'3. Verotulot'!BE21+'4. Valtionosuudet'!BQ21</f>
        <v>2116.4697997787453</v>
      </c>
      <c r="N21" s="41">
        <f>'2. Toimintakate'!O21+'3. Verotulot'!BJ21+'4. Valtionosuudet'!BY21</f>
        <v>3263.8020001938376</v>
      </c>
      <c r="O21" s="41">
        <f>'2. Toimintakate'!P21+'3. Verotulot'!BO21+'4. Valtionosuudet'!CE21</f>
        <v>4165.5349768035858</v>
      </c>
      <c r="P21" s="41">
        <f>'2. Toimintakate'!Q21+'3. Verotulot'!BT21+'4. Valtionosuudet'!CK21</f>
        <v>6047.1692235174769</v>
      </c>
      <c r="T21" s="34">
        <v>20</v>
      </c>
      <c r="U21" s="88" t="s">
        <v>334</v>
      </c>
      <c r="V21" s="41" t="e">
        <f>C21/'1. Väestöennuste'!E21*1000</f>
        <v>#REF!</v>
      </c>
      <c r="W21" s="41">
        <f>D21/'1. Väestöennuste'!F21*1000</f>
        <v>279.2649057495716</v>
      </c>
      <c r="X21" s="41">
        <f>E21/'1. Väestöennuste'!G21*1000</f>
        <v>325.2430079313018</v>
      </c>
      <c r="Y21" s="41">
        <f>F21/'1. Väestöennuste'!H21*1000</f>
        <v>77.538980193847451</v>
      </c>
      <c r="Z21" s="41">
        <f>G21/'1. Väestöennuste'!I21*1000</f>
        <v>343.00455235204856</v>
      </c>
      <c r="AA21" s="41">
        <f>H21/'1. Väestöennuste'!J21*1000</f>
        <v>1049.351580927065</v>
      </c>
      <c r="AB21" s="41">
        <f>I21/'1. Väestöennuste'!K21*1000</f>
        <v>213.84817215087614</v>
      </c>
      <c r="AC21" s="41">
        <f>J21/'1. Väestöennuste'!L21*1000</f>
        <v>190.96081242314992</v>
      </c>
      <c r="AD21" s="41">
        <f>K21/'1. Väestöennuste'!M21*1000</f>
        <v>490.04429809656079</v>
      </c>
      <c r="AE21" s="41">
        <f>L21/'1. Väestöennuste'!N21*1000</f>
        <v>571.70561924298579</v>
      </c>
      <c r="AF21" s="41">
        <f>M21/'1. Väestöennuste'!O21*1000</f>
        <v>133.99618865329188</v>
      </c>
      <c r="AG21" s="41">
        <f>N21/'1. Väestöennuste'!P21*1000</f>
        <v>207.99146062922748</v>
      </c>
      <c r="AH21" s="41">
        <f>O21/'1. Väestöennuste'!Q21*1000</f>
        <v>267.107084116934</v>
      </c>
      <c r="AI21" s="41">
        <f>P21/'1. Väestöennuste'!R21*1000</f>
        <v>390.08961576038428</v>
      </c>
    </row>
    <row r="22" spans="1:35" x14ac:dyDescent="0.2">
      <c r="A22" s="34">
        <v>46</v>
      </c>
      <c r="B22" s="88" t="s">
        <v>335</v>
      </c>
      <c r="C22" s="41" t="e">
        <f>'2. Toimintakate'!D22+'3. Verotulot'!G22+'4. Valtionosuudet'!#REF!</f>
        <v>#REF!</v>
      </c>
      <c r="D22" s="41">
        <f>'2. Toimintakate'!E22+'3. Verotulot'!L22+'4. Valtionosuudet'!H22</f>
        <v>1059</v>
      </c>
      <c r="E22" s="41">
        <f>'2. Toimintakate'!F22+'3. Verotulot'!Q22+'4. Valtionosuudet'!N22</f>
        <v>580</v>
      </c>
      <c r="F22" s="41">
        <f>'2. Toimintakate'!G22+'3. Verotulot'!V22+'4. Valtionosuudet'!T22</f>
        <v>270</v>
      </c>
      <c r="G22" s="41">
        <f>'2. Toimintakate'!H22+'3. Verotulot'!AA22+'4. Valtionosuudet'!Z22</f>
        <v>716</v>
      </c>
      <c r="H22" s="41">
        <f>'2. Toimintakate'!I22+'3. Verotulot'!AF22+'4. Valtionosuudet'!AG22</f>
        <v>1383.0428015374991</v>
      </c>
      <c r="I22" s="41">
        <f>'2. Toimintakate'!J22+'3. Verotulot'!AK22+'4. Valtionosuudet'!AN22</f>
        <v>1684.2499151985367</v>
      </c>
      <c r="J22" s="41">
        <f>'2. Toimintakate'!K22+'3. Verotulot'!AP22+'4. Valtionosuudet'!AU22</f>
        <v>1239.7578249782</v>
      </c>
      <c r="K22" s="41">
        <f>'2. Toimintakate'!L22+'3. Verotulot'!AU22+'4. Valtionosuudet'!BC22</f>
        <v>931.639962600844</v>
      </c>
      <c r="L22" s="41">
        <f>'2. Toimintakate'!M22+'3. Verotulot'!AZ22+'4. Valtionosuudet'!BK22</f>
        <v>249.68503525592973</v>
      </c>
      <c r="M22" s="41">
        <f>'2. Toimintakate'!N22+'3. Verotulot'!BE22+'4. Valtionosuudet'!BQ22</f>
        <v>526.32028832569154</v>
      </c>
      <c r="N22" s="41">
        <f>'2. Toimintakate'!O22+'3. Verotulot'!BJ22+'4. Valtionosuudet'!BY22</f>
        <v>403.69904954597428</v>
      </c>
      <c r="O22" s="41">
        <f>'2. Toimintakate'!P22+'3. Verotulot'!BO22+'4. Valtionosuudet'!CE22</f>
        <v>361.6566651510359</v>
      </c>
      <c r="P22" s="41">
        <f>'2. Toimintakate'!Q22+'3. Verotulot'!BT22+'4. Valtionosuudet'!CK22</f>
        <v>416.09123949455034</v>
      </c>
      <c r="T22" s="34">
        <v>46</v>
      </c>
      <c r="U22" s="88" t="s">
        <v>335</v>
      </c>
      <c r="V22" s="41" t="e">
        <f>C22/'1. Väestöennuste'!E22*1000</f>
        <v>#REF!</v>
      </c>
      <c r="W22" s="41">
        <f>D22/'1. Väestöennuste'!F22*1000</f>
        <v>728.83688919476936</v>
      </c>
      <c r="X22" s="41">
        <f>E22/'1. Väestöennuste'!G22*1000</f>
        <v>409.60451977401129</v>
      </c>
      <c r="Y22" s="41">
        <f>F22/'1. Väestöennuste'!H22*1000</f>
        <v>192.17081850533808</v>
      </c>
      <c r="Z22" s="41">
        <f>G22/'1. Väestöennuste'!I22*1000</f>
        <v>526.08376193975016</v>
      </c>
      <c r="AA22" s="41">
        <f>H22/'1. Väestöennuste'!J22*1000</f>
        <v>1010.2577074780856</v>
      </c>
      <c r="AB22" s="41">
        <f>I22/'1. Väestöennuste'!K22*1000</f>
        <v>1236.6005251090578</v>
      </c>
      <c r="AC22" s="41">
        <f>J22/'1. Väestöennuste'!L22*1000</f>
        <v>924.50247947665923</v>
      </c>
      <c r="AD22" s="41">
        <f>K22/'1. Väestöennuste'!M22*1000</f>
        <v>705.78785045518487</v>
      </c>
      <c r="AE22" s="41">
        <f>L22/'1. Väestöennuste'!N22*1000</f>
        <v>190.01905270618701</v>
      </c>
      <c r="AF22" s="41">
        <f>M22/'1. Väestöennuste'!O22*1000</f>
        <v>404.86176025053192</v>
      </c>
      <c r="AG22" s="41">
        <f>N22/'1. Väestöennuste'!P22*1000</f>
        <v>313.67447517169717</v>
      </c>
      <c r="AH22" s="41">
        <f>O22/'1. Väestöennuste'!Q22*1000</f>
        <v>283.87493339955722</v>
      </c>
      <c r="AI22" s="41">
        <f>P22/'1. Väestöennuste'!R22*1000</f>
        <v>330.49343883602091</v>
      </c>
    </row>
    <row r="23" spans="1:35" x14ac:dyDescent="0.2">
      <c r="A23" s="34">
        <v>47</v>
      </c>
      <c r="B23" s="88" t="s">
        <v>336</v>
      </c>
      <c r="C23" s="41" t="e">
        <f>'2. Toimintakate'!D23+'3. Verotulot'!G23+'4. Valtionosuudet'!#REF!</f>
        <v>#REF!</v>
      </c>
      <c r="D23" s="41">
        <f>'2. Toimintakate'!E23+'3. Verotulot'!L23+'4. Valtionosuudet'!H23</f>
        <v>301</v>
      </c>
      <c r="E23" s="41">
        <f>'2. Toimintakate'!F23+'3. Verotulot'!Q23+'4. Valtionosuudet'!N23</f>
        <v>860</v>
      </c>
      <c r="F23" s="41">
        <f>'2. Toimintakate'!G23+'3. Verotulot'!V23+'4. Valtionosuudet'!T23</f>
        <v>146</v>
      </c>
      <c r="G23" s="41">
        <f>'2. Toimintakate'!H23+'3. Verotulot'!AA23+'4. Valtionosuudet'!Z23</f>
        <v>53</v>
      </c>
      <c r="H23" s="41">
        <f>'2. Toimintakate'!I23+'3. Verotulot'!AF23+'4. Valtionosuudet'!AG23</f>
        <v>860.89426337304394</v>
      </c>
      <c r="I23" s="41">
        <f>'2. Toimintakate'!J23+'3. Verotulot'!AK23+'4. Valtionosuudet'!AN23</f>
        <v>911.90348795904902</v>
      </c>
      <c r="J23" s="41">
        <f>'2. Toimintakate'!K23+'3. Verotulot'!AP23+'4. Valtionosuudet'!AU23</f>
        <v>574.14216957502322</v>
      </c>
      <c r="K23" s="41">
        <f>'2. Toimintakate'!L23+'3. Verotulot'!AU23+'4. Valtionosuudet'!BC23</f>
        <v>996.33892652022996</v>
      </c>
      <c r="L23" s="41">
        <f>'2. Toimintakate'!M23+'3. Verotulot'!AZ23+'4. Valtionosuudet'!BK23</f>
        <v>38.265286435551843</v>
      </c>
      <c r="M23" s="41">
        <f>'2. Toimintakate'!N23+'3. Verotulot'!BE23+'4. Valtionosuudet'!BQ23</f>
        <v>-431.44162852604313</v>
      </c>
      <c r="N23" s="41">
        <f>'2. Toimintakate'!O23+'3. Verotulot'!BJ23+'4. Valtionosuudet'!BY23</f>
        <v>-362.03896642715199</v>
      </c>
      <c r="O23" s="41">
        <f>'2. Toimintakate'!P23+'3. Verotulot'!BO23+'4. Valtionosuudet'!CE23</f>
        <v>-439.16949400800695</v>
      </c>
      <c r="P23" s="41">
        <f>'2. Toimintakate'!Q23+'3. Verotulot'!BT23+'4. Valtionosuudet'!CK23</f>
        <v>-372.3742626257058</v>
      </c>
      <c r="T23" s="34">
        <v>47</v>
      </c>
      <c r="U23" s="88" t="s">
        <v>336</v>
      </c>
      <c r="V23" s="41" t="e">
        <f>C23/'1. Väestöennuste'!E23*1000</f>
        <v>#REF!</v>
      </c>
      <c r="W23" s="41">
        <f>D23/'1. Väestöennuste'!F23*1000</f>
        <v>160.7905982905983</v>
      </c>
      <c r="X23" s="41">
        <f>E23/'1. Väestöennuste'!G23*1000</f>
        <v>454.30533544638143</v>
      </c>
      <c r="Y23" s="41">
        <f>F23/'1. Väestöennuste'!H23*1000</f>
        <v>78.833693304535643</v>
      </c>
      <c r="Z23" s="41">
        <f>G23/'1. Väestöennuste'!I23*1000</f>
        <v>28.835690968443963</v>
      </c>
      <c r="AA23" s="41">
        <f>H23/'1. Väestöennuste'!J23*1000</f>
        <v>476.15833151163935</v>
      </c>
      <c r="AB23" s="41">
        <f>I23/'1. Väestöennuste'!K23*1000</f>
        <v>509.72805363837278</v>
      </c>
      <c r="AC23" s="41">
        <f>J23/'1. Väestöennuste'!L23*1000</f>
        <v>317.03046359747276</v>
      </c>
      <c r="AD23" s="41">
        <f>K23/'1. Väestöennuste'!M23*1000</f>
        <v>562.58550339933936</v>
      </c>
      <c r="AE23" s="41">
        <f>L23/'1. Väestöennuste'!N23*1000</f>
        <v>21.570059997492585</v>
      </c>
      <c r="AF23" s="41">
        <f>M23/'1. Väestöennuste'!O23*1000</f>
        <v>-244.02807043328232</v>
      </c>
      <c r="AG23" s="41">
        <f>N23/'1. Väestöennuste'!P23*1000</f>
        <v>-205.58714731808743</v>
      </c>
      <c r="AH23" s="41">
        <f>O23/'1. Väestöennuste'!Q23*1000</f>
        <v>-250.5245259600724</v>
      </c>
      <c r="AI23" s="41">
        <f>P23/'1. Väestöennuste'!R23*1000</f>
        <v>-213.3949929087139</v>
      </c>
    </row>
    <row r="24" spans="1:35" x14ac:dyDescent="0.2">
      <c r="A24" s="34">
        <v>49</v>
      </c>
      <c r="B24" s="88" t="s">
        <v>337</v>
      </c>
      <c r="C24" s="41" t="e">
        <f>'2. Toimintakate'!D24+'3. Verotulot'!G24+'4. Valtionosuudet'!#REF!</f>
        <v>#REF!</v>
      </c>
      <c r="D24" s="41">
        <f>'2. Toimintakate'!E24+'3. Verotulot'!L24+'4. Valtionosuudet'!H24</f>
        <v>171048</v>
      </c>
      <c r="E24" s="41">
        <f>'2. Toimintakate'!F24+'3. Verotulot'!Q24+'4. Valtionosuudet'!N24</f>
        <v>183703</v>
      </c>
      <c r="F24" s="41">
        <f>'2. Toimintakate'!G24+'3. Verotulot'!V24+'4. Valtionosuudet'!T24</f>
        <v>169155</v>
      </c>
      <c r="G24" s="41">
        <f>'2. Toimintakate'!H24+'3. Verotulot'!AA24+'4. Valtionosuudet'!Z24</f>
        <v>126340</v>
      </c>
      <c r="H24" s="41">
        <f>'2. Toimintakate'!I24+'3. Verotulot'!AF24+'4. Valtionosuudet'!AG24</f>
        <v>281709.73535618803</v>
      </c>
      <c r="I24" s="41">
        <f>'2. Toimintakate'!J24+'3. Verotulot'!AK24+'4. Valtionosuudet'!AN24</f>
        <v>298629.95276439062</v>
      </c>
      <c r="J24" s="41">
        <f>'2. Toimintakate'!K24+'3. Verotulot'!AP24+'4. Valtionosuudet'!AU24</f>
        <v>361696.50403648731</v>
      </c>
      <c r="K24" s="41">
        <f>'2. Toimintakate'!L24+'3. Verotulot'!AU24+'4. Valtionosuudet'!BC24</f>
        <v>399379.92350938683</v>
      </c>
      <c r="L24" s="41">
        <f>'2. Toimintakate'!M24+'3. Verotulot'!AZ24+'4. Valtionosuudet'!BK24</f>
        <v>265627.88796915096</v>
      </c>
      <c r="M24" s="41">
        <f>'2. Toimintakate'!N24+'3. Verotulot'!BE24+'4. Valtionosuudet'!BQ24</f>
        <v>304292.86286003381</v>
      </c>
      <c r="N24" s="41">
        <f>'2. Toimintakate'!O24+'3. Verotulot'!BJ24+'4. Valtionosuudet'!BY24</f>
        <v>300537.07393400528</v>
      </c>
      <c r="O24" s="41">
        <f>'2. Toimintakate'!P24+'3. Verotulot'!BO24+'4. Valtionosuudet'!CE24</f>
        <v>297802.87965988321</v>
      </c>
      <c r="P24" s="41">
        <f>'2. Toimintakate'!Q24+'3. Verotulot'!BT24+'4. Valtionosuudet'!CK24</f>
        <v>305262.23219163594</v>
      </c>
      <c r="T24" s="34">
        <v>49</v>
      </c>
      <c r="U24" s="88" t="s">
        <v>337</v>
      </c>
      <c r="V24" s="41" t="e">
        <f>C24/'1. Väestöennuste'!E24*1000</f>
        <v>#REF!</v>
      </c>
      <c r="W24" s="41">
        <f>D24/'1. Väestöennuste'!F24*1000</f>
        <v>622.93732678279423</v>
      </c>
      <c r="X24" s="41">
        <f>E24/'1. Väestöennuste'!G24*1000</f>
        <v>658.3298691245825</v>
      </c>
      <c r="Y24" s="41">
        <f>F24/'1. Väestöennuste'!H24*1000</f>
        <v>596.38898290742941</v>
      </c>
      <c r="Z24" s="41">
        <f>G24/'1. Väestöennuste'!I24*1000</f>
        <v>436.05965533546635</v>
      </c>
      <c r="AA24" s="41">
        <f>H24/'1. Väestöennuste'!J24*1000</f>
        <v>962.13655704377118</v>
      </c>
      <c r="AB24" s="41">
        <f>I24/'1. Väestöennuste'!K24*1000</f>
        <v>1005.0413713918078</v>
      </c>
      <c r="AC24" s="41">
        <f>J24/'1. Väestöennuste'!L24*1000</f>
        <v>1184.8257763074723</v>
      </c>
      <c r="AD24" s="41">
        <f>K24/'1. Väestöennuste'!M24*1000</f>
        <v>1271.8133757591356</v>
      </c>
      <c r="AE24" s="41">
        <f>L24/'1. Väestöennuste'!N24*1000</f>
        <v>854.56234970048729</v>
      </c>
      <c r="AF24" s="41">
        <f>M24/'1. Väestöennuste'!O24*1000</f>
        <v>966.78558607400169</v>
      </c>
      <c r="AG24" s="41">
        <f>N24/'1. Väestöennuste'!P24*1000</f>
        <v>943.69630209002253</v>
      </c>
      <c r="AH24" s="41">
        <f>O24/'1. Väestöennuste'!Q24*1000</f>
        <v>924.82781431538626</v>
      </c>
      <c r="AI24" s="41">
        <f>P24/'1. Väestöennuste'!R24*1000</f>
        <v>938.18300117905414</v>
      </c>
    </row>
    <row r="25" spans="1:35" x14ac:dyDescent="0.2">
      <c r="A25" s="34">
        <v>50</v>
      </c>
      <c r="B25" s="88" t="s">
        <v>338</v>
      </c>
      <c r="C25" s="41" t="e">
        <f>'2. Toimintakate'!D25+'3. Verotulot'!G25+'4. Valtionosuudet'!#REF!</f>
        <v>#REF!</v>
      </c>
      <c r="D25" s="41">
        <f>'2. Toimintakate'!E25+'3. Verotulot'!L25+'4. Valtionosuudet'!H25</f>
        <v>3860</v>
      </c>
      <c r="E25" s="41">
        <f>'2. Toimintakate'!F25+'3. Verotulot'!Q25+'4. Valtionosuudet'!N25</f>
        <v>5139</v>
      </c>
      <c r="F25" s="41">
        <f>'2. Toimintakate'!G25+'3. Verotulot'!V25+'4. Valtionosuudet'!T25</f>
        <v>-384</v>
      </c>
      <c r="G25" s="41">
        <f>'2. Toimintakate'!H25+'3. Verotulot'!AA25+'4. Valtionosuudet'!Z25</f>
        <v>-495</v>
      </c>
      <c r="H25" s="41">
        <f>'2. Toimintakate'!I25+'3. Verotulot'!AF25+'4. Valtionosuudet'!AG25</f>
        <v>7866.9432678130106</v>
      </c>
      <c r="I25" s="41">
        <f>'2. Toimintakate'!J25+'3. Verotulot'!AK25+'4. Valtionosuudet'!AN25</f>
        <v>6638.5237352772274</v>
      </c>
      <c r="J25" s="41">
        <f>'2. Toimintakate'!K25+'3. Verotulot'!AP25+'4. Valtionosuudet'!AU25</f>
        <v>1057.4247950675162</v>
      </c>
      <c r="K25" s="41">
        <f>'2. Toimintakate'!L25+'3. Verotulot'!AU25+'4. Valtionosuudet'!BC25</f>
        <v>5258.4598018967299</v>
      </c>
      <c r="L25" s="41">
        <f>'2. Toimintakate'!M25+'3. Verotulot'!AZ25+'4. Valtionosuudet'!BK25</f>
        <v>4031.5051499093233</v>
      </c>
      <c r="M25" s="41">
        <f>'2. Toimintakate'!N25+'3. Verotulot'!BE25+'4. Valtionosuudet'!BQ25</f>
        <v>2482.8183942970018</v>
      </c>
      <c r="N25" s="41">
        <f>'2. Toimintakate'!O25+'3. Verotulot'!BJ25+'4. Valtionosuudet'!BY25</f>
        <v>3598.8898878359632</v>
      </c>
      <c r="O25" s="41">
        <f>'2. Toimintakate'!P25+'3. Verotulot'!BO25+'4. Valtionosuudet'!CE25</f>
        <v>3621.6419029474209</v>
      </c>
      <c r="P25" s="41">
        <f>'2. Toimintakate'!Q25+'3. Verotulot'!BT25+'4. Valtionosuudet'!CK25</f>
        <v>5019.4593751697294</v>
      </c>
      <c r="T25" s="34">
        <v>50</v>
      </c>
      <c r="U25" s="88" t="s">
        <v>338</v>
      </c>
      <c r="V25" s="41" t="e">
        <f>C25/'1. Väestöennuste'!E25*1000</f>
        <v>#REF!</v>
      </c>
      <c r="W25" s="41">
        <f>D25/'1. Väestöennuste'!F25*1000</f>
        <v>321.55948017327557</v>
      </c>
      <c r="X25" s="41">
        <f>E25/'1. Väestöennuste'!G25*1000</f>
        <v>431.48614609571791</v>
      </c>
      <c r="Y25" s="41">
        <f>F25/'1. Väestöennuste'!H25*1000</f>
        <v>-32.686414708886623</v>
      </c>
      <c r="Z25" s="41">
        <f>G25/'1. Väestöennuste'!I25*1000</f>
        <v>-42.555020632737275</v>
      </c>
      <c r="AA25" s="41">
        <f>H25/'1. Väestöennuste'!J25*1000</f>
        <v>685.0947720815999</v>
      </c>
      <c r="AB25" s="41">
        <f>I25/'1. Väestöennuste'!K25*1000</f>
        <v>581.45955463582618</v>
      </c>
      <c r="AC25" s="41">
        <f>J25/'1. Väestöennuste'!L25*1000</f>
        <v>93.7765870049234</v>
      </c>
      <c r="AD25" s="41">
        <f>K25/'1. Väestöennuste'!M25*1000</f>
        <v>470.17702091351305</v>
      </c>
      <c r="AE25" s="41">
        <f>L25/'1. Väestöennuste'!N25*1000</f>
        <v>367.13460977227243</v>
      </c>
      <c r="AF25" s="41">
        <f>M25/'1. Väestöennuste'!O25*1000</f>
        <v>228.51526868817319</v>
      </c>
      <c r="AG25" s="41">
        <f>N25/'1. Väestöennuste'!P25*1000</f>
        <v>334.65593154509611</v>
      </c>
      <c r="AH25" s="41">
        <f>O25/'1. Väestöennuste'!Q25*1000</f>
        <v>340.06027257722258</v>
      </c>
      <c r="AI25" s="41">
        <f>P25/'1. Väestöennuste'!R25*1000</f>
        <v>475.82324155557205</v>
      </c>
    </row>
    <row r="26" spans="1:35" x14ac:dyDescent="0.2">
      <c r="A26" s="34">
        <v>51</v>
      </c>
      <c r="B26" s="88" t="s">
        <v>339</v>
      </c>
      <c r="C26" s="41" t="e">
        <f>'2. Toimintakate'!D26+'3. Verotulot'!G26+'4. Valtionosuudet'!#REF!</f>
        <v>#REF!</v>
      </c>
      <c r="D26" s="41">
        <f>'2. Toimintakate'!E26+'3. Verotulot'!L26+'4. Valtionosuudet'!H26</f>
        <v>7552</v>
      </c>
      <c r="E26" s="41">
        <f>'2. Toimintakate'!F26+'3. Verotulot'!Q26+'4. Valtionosuudet'!N26</f>
        <v>8779</v>
      </c>
      <c r="F26" s="41">
        <f>'2. Toimintakate'!G26+'3. Verotulot'!V26+'4. Valtionosuudet'!T26</f>
        <v>5827</v>
      </c>
      <c r="G26" s="41">
        <f>'2. Toimintakate'!H26+'3. Verotulot'!AA26+'4. Valtionosuudet'!Z26</f>
        <v>1532</v>
      </c>
      <c r="H26" s="41">
        <f>'2. Toimintakate'!I26+'3. Verotulot'!AF26+'4. Valtionosuudet'!AG26</f>
        <v>3346.3763069211636</v>
      </c>
      <c r="I26" s="41">
        <f>'2. Toimintakate'!J26+'3. Verotulot'!AK26+'4. Valtionosuudet'!AN26</f>
        <v>6612.439184968398</v>
      </c>
      <c r="J26" s="41">
        <f>'2. Toimintakate'!K26+'3. Verotulot'!AP26+'4. Valtionosuudet'!AU26</f>
        <v>5760.3123062867671</v>
      </c>
      <c r="K26" s="41">
        <f>'2. Toimintakate'!L26+'3. Verotulot'!AU26+'4. Valtionosuudet'!BC26</f>
        <v>7223.4269905225592</v>
      </c>
      <c r="L26" s="41">
        <f>'2. Toimintakate'!M26+'3. Verotulot'!AZ26+'4. Valtionosuudet'!BK26</f>
        <v>2777.5082354964206</v>
      </c>
      <c r="M26" s="41">
        <f>'2. Toimintakate'!N26+'3. Verotulot'!BE26+'4. Valtionosuudet'!BQ26</f>
        <v>5830.7419187362011</v>
      </c>
      <c r="N26" s="41">
        <f>'2. Toimintakate'!O26+'3. Verotulot'!BJ26+'4. Valtionosuudet'!BY26</f>
        <v>6897.2720398998808</v>
      </c>
      <c r="O26" s="41">
        <f>'2. Toimintakate'!P26+'3. Verotulot'!BO26+'4. Valtionosuudet'!CE26</f>
        <v>7318.7815401345651</v>
      </c>
      <c r="P26" s="41">
        <f>'2. Toimintakate'!Q26+'3. Verotulot'!BT26+'4. Valtionosuudet'!CK26</f>
        <v>8504.7769080977996</v>
      </c>
      <c r="T26" s="34">
        <v>51</v>
      </c>
      <c r="U26" s="88" t="s">
        <v>339</v>
      </c>
      <c r="V26" s="41" t="e">
        <f>C26/'1. Väestöennuste'!E26*1000</f>
        <v>#REF!</v>
      </c>
      <c r="W26" s="41">
        <f>D26/'1. Väestöennuste'!F26*1000</f>
        <v>801.8687619452113</v>
      </c>
      <c r="X26" s="41">
        <f>E26/'1. Väestöennuste'!G26*1000</f>
        <v>922.06700976788147</v>
      </c>
      <c r="Y26" s="41">
        <f>F26/'1. Väestöennuste'!H26*1000</f>
        <v>616.35286651152956</v>
      </c>
      <c r="Z26" s="41">
        <f>G26/'1. Väestöennuste'!I26*1000</f>
        <v>162.94405445649863</v>
      </c>
      <c r="AA26" s="41">
        <f>H26/'1. Väestöennuste'!J26*1000</f>
        <v>354.03896603059286</v>
      </c>
      <c r="AB26" s="41">
        <f>I26/'1. Väestöennuste'!K26*1000</f>
        <v>708.42502517338733</v>
      </c>
      <c r="AC26" s="41">
        <f>J26/'1. Väestöennuste'!L26*1000</f>
        <v>625.37317406218301</v>
      </c>
      <c r="AD26" s="41">
        <f>K26/'1. Väestöennuste'!M26*1000</f>
        <v>790.04998255742737</v>
      </c>
      <c r="AE26" s="41">
        <f>L26/'1. Väestöennuste'!N26*1000</f>
        <v>290.50394681481237</v>
      </c>
      <c r="AF26" s="41">
        <f>M26/'1. Väestöennuste'!O26*1000</f>
        <v>609.40028414885046</v>
      </c>
      <c r="AG26" s="41">
        <f>N26/'1. Väestöennuste'!P26*1000</f>
        <v>721.0948290538297</v>
      </c>
      <c r="AH26" s="41">
        <f>O26/'1. Väestöennuste'!Q26*1000</f>
        <v>765.64301078926303</v>
      </c>
      <c r="AI26" s="41">
        <f>P26/'1. Väestöennuste'!R26*1000</f>
        <v>890.73909804124423</v>
      </c>
    </row>
    <row r="27" spans="1:35" x14ac:dyDescent="0.2">
      <c r="A27" s="34">
        <v>52</v>
      </c>
      <c r="B27" s="88" t="s">
        <v>340</v>
      </c>
      <c r="C27" s="41" t="e">
        <f>'2. Toimintakate'!D27+'3. Verotulot'!G27+'4. Valtionosuudet'!#REF!</f>
        <v>#REF!</v>
      </c>
      <c r="D27" s="41">
        <f>'2. Toimintakate'!E27+'3. Verotulot'!L27+'4. Valtionosuudet'!H27</f>
        <v>304</v>
      </c>
      <c r="E27" s="41">
        <f>'2. Toimintakate'!F27+'3. Verotulot'!Q27+'4. Valtionosuudet'!N27</f>
        <v>215</v>
      </c>
      <c r="F27" s="41">
        <f>'2. Toimintakate'!G27+'3. Verotulot'!V27+'4. Valtionosuudet'!T27</f>
        <v>-214</v>
      </c>
      <c r="G27" s="41">
        <f>'2. Toimintakate'!H27+'3. Verotulot'!AA27+'4. Valtionosuudet'!Z27</f>
        <v>-907</v>
      </c>
      <c r="H27" s="41">
        <f>'2. Toimintakate'!I27+'3. Verotulot'!AF27+'4. Valtionosuudet'!AG27</f>
        <v>51.426311297729626</v>
      </c>
      <c r="I27" s="41">
        <f>'2. Toimintakate'!J27+'3. Verotulot'!AK27+'4. Valtionosuudet'!AN27</f>
        <v>1145.9197730857122</v>
      </c>
      <c r="J27" s="41">
        <f>'2. Toimintakate'!K27+'3. Verotulot'!AP27+'4. Valtionosuudet'!AU27</f>
        <v>1423.8059646866022</v>
      </c>
      <c r="K27" s="41">
        <f>'2. Toimintakate'!L27+'3. Verotulot'!AU27+'4. Valtionosuudet'!BC27</f>
        <v>2260.8315420157342</v>
      </c>
      <c r="L27" s="41">
        <f>'2. Toimintakate'!M27+'3. Verotulot'!AZ27+'4. Valtionosuudet'!BK27</f>
        <v>1410.3356525584873</v>
      </c>
      <c r="M27" s="41">
        <f>'2. Toimintakate'!N27+'3. Verotulot'!BE27+'4. Valtionosuudet'!BQ27</f>
        <v>389.0818527811025</v>
      </c>
      <c r="N27" s="41">
        <f>'2. Toimintakate'!O27+'3. Verotulot'!BJ27+'4. Valtionosuudet'!BY27</f>
        <v>339.62697308003908</v>
      </c>
      <c r="O27" s="41">
        <f>'2. Toimintakate'!P27+'3. Verotulot'!BO27+'4. Valtionosuudet'!CE27</f>
        <v>187.11134290540122</v>
      </c>
      <c r="P27" s="41">
        <f>'2. Toimintakate'!Q27+'3. Verotulot'!BT27+'4. Valtionosuudet'!CK27</f>
        <v>266.7664783442483</v>
      </c>
      <c r="T27" s="34">
        <v>52</v>
      </c>
      <c r="U27" s="88" t="s">
        <v>340</v>
      </c>
      <c r="V27" s="41" t="e">
        <f>C27/'1. Väestöennuste'!E27*1000</f>
        <v>#REF!</v>
      </c>
      <c r="W27" s="41">
        <f>D27/'1. Väestöennuste'!F27*1000</f>
        <v>119.92110453648914</v>
      </c>
      <c r="X27" s="41">
        <f>E27/'1. Väestöennuste'!G27*1000</f>
        <v>86.034413765506201</v>
      </c>
      <c r="Y27" s="41">
        <f>F27/'1. Väestöennuste'!H27*1000</f>
        <v>-86.534573392640525</v>
      </c>
      <c r="Z27" s="41">
        <f>G27/'1. Väestöennuste'!I27*1000</f>
        <v>-374.02061855670104</v>
      </c>
      <c r="AA27" s="41">
        <f>H27/'1. Väestöennuste'!J27*1000</f>
        <v>21.356441568824597</v>
      </c>
      <c r="AB27" s="41">
        <f>I27/'1. Väestöennuste'!K27*1000</f>
        <v>476.67211858806661</v>
      </c>
      <c r="AC27" s="41">
        <f>J27/'1. Väestöennuste'!L27*1000</f>
        <v>606.90791333614754</v>
      </c>
      <c r="AD27" s="41">
        <f>K27/'1. Väestöennuste'!M27*1000</f>
        <v>986.40119634194332</v>
      </c>
      <c r="AE27" s="41">
        <f>L27/'1. Väestöennuste'!N27*1000</f>
        <v>614.79322256254898</v>
      </c>
      <c r="AF27" s="41">
        <f>M27/'1. Väestöennuste'!O27*1000</f>
        <v>171.47723789383099</v>
      </c>
      <c r="AG27" s="41">
        <f>N27/'1. Väestöennuste'!P27*1000</f>
        <v>151.34891848486589</v>
      </c>
      <c r="AH27" s="41">
        <f>O27/'1. Väestöennuste'!Q27*1000</f>
        <v>84.322371746462906</v>
      </c>
      <c r="AI27" s="41">
        <f>P27/'1. Väestöennuste'!R27*1000</f>
        <v>121.53370311810856</v>
      </c>
    </row>
    <row r="28" spans="1:35" x14ac:dyDescent="0.2">
      <c r="A28" s="34">
        <v>61</v>
      </c>
      <c r="B28" s="88" t="s">
        <v>341</v>
      </c>
      <c r="C28" s="41" t="e">
        <f>'2. Toimintakate'!D28+'3. Verotulot'!G28+'4. Valtionosuudet'!#REF!</f>
        <v>#REF!</v>
      </c>
      <c r="D28" s="41">
        <f>'2. Toimintakate'!E28+'3. Verotulot'!L28+'4. Valtionosuudet'!H28</f>
        <v>9171</v>
      </c>
      <c r="E28" s="41">
        <f>'2. Toimintakate'!F28+'3. Verotulot'!Q28+'4. Valtionosuudet'!N28</f>
        <v>7574</v>
      </c>
      <c r="F28" s="41">
        <f>'2. Toimintakate'!G28+'3. Verotulot'!V28+'4. Valtionosuudet'!T28</f>
        <v>5870</v>
      </c>
      <c r="G28" s="41">
        <f>'2. Toimintakate'!H28+'3. Verotulot'!AA28+'4. Valtionosuudet'!Z28</f>
        <v>5704</v>
      </c>
      <c r="H28" s="41">
        <f>'2. Toimintakate'!I28+'3. Verotulot'!AF28+'4. Valtionosuudet'!AG28</f>
        <v>11342.846166671014</v>
      </c>
      <c r="I28" s="41">
        <f>'2. Toimintakate'!J28+'3. Verotulot'!AK28+'4. Valtionosuudet'!AN28</f>
        <v>8478.4016949519719</v>
      </c>
      <c r="J28" s="41">
        <f>'2. Toimintakate'!K28+'3. Verotulot'!AP28+'4. Valtionosuudet'!AU28</f>
        <v>8637.4124590744177</v>
      </c>
      <c r="K28" s="41">
        <f>'2. Toimintakate'!L28+'3. Verotulot'!AU28+'4. Valtionosuudet'!BC28</f>
        <v>12815.930212088837</v>
      </c>
      <c r="L28" s="41">
        <f>'2. Toimintakate'!M28+'3. Verotulot'!AZ28+'4. Valtionosuudet'!BK28</f>
        <v>6712.8988539666716</v>
      </c>
      <c r="M28" s="41">
        <f>'2. Toimintakate'!N28+'3. Verotulot'!BE28+'4. Valtionosuudet'!BQ28</f>
        <v>6202.8736183686797</v>
      </c>
      <c r="N28" s="41">
        <f>'2. Toimintakate'!O28+'3. Verotulot'!BJ28+'4. Valtionosuudet'!BY28</f>
        <v>6958.1353819387987</v>
      </c>
      <c r="O28" s="41">
        <f>'2. Toimintakate'!P28+'3. Verotulot'!BO28+'4. Valtionosuudet'!CE28</f>
        <v>6207.9114806591533</v>
      </c>
      <c r="P28" s="41">
        <f>'2. Toimintakate'!Q28+'3. Verotulot'!BT28+'4. Valtionosuudet'!CK28</f>
        <v>8474.8570733509678</v>
      </c>
      <c r="T28" s="34">
        <v>61</v>
      </c>
      <c r="U28" s="88" t="s">
        <v>341</v>
      </c>
      <c r="V28" s="41" t="e">
        <f>C28/'1. Väestöennuste'!E28*1000</f>
        <v>#REF!</v>
      </c>
      <c r="W28" s="41">
        <f>D28/'1. Väestöennuste'!F28*1000</f>
        <v>529.13685668128323</v>
      </c>
      <c r="X28" s="41">
        <f>E28/'1. Väestöennuste'!G28*1000</f>
        <v>440.73319755600812</v>
      </c>
      <c r="Y28" s="41">
        <f>F28/'1. Väestöennuste'!H28*1000</f>
        <v>344.7263330984261</v>
      </c>
      <c r="Z28" s="41">
        <f>G28/'1. Väestöennuste'!I28*1000</f>
        <v>337.4948227915508</v>
      </c>
      <c r="AA28" s="41">
        <f>H28/'1. Väestöennuste'!J28*1000</f>
        <v>675.16941468279845</v>
      </c>
      <c r="AB28" s="41">
        <f>I28/'1. Väestöennuste'!K28*1000</f>
        <v>511.57917667000373</v>
      </c>
      <c r="AC28" s="41">
        <f>J28/'1. Väestöennuste'!L28*1000</f>
        <v>524.78355058475097</v>
      </c>
      <c r="AD28" s="41">
        <f>K28/'1. Väestöennuste'!M28*1000</f>
        <v>778.18508786743803</v>
      </c>
      <c r="AE28" s="41">
        <f>L28/'1. Väestöennuste'!N28*1000</f>
        <v>412.18831229072032</v>
      </c>
      <c r="AF28" s="41">
        <f>M28/'1. Väestöennuste'!O28*1000</f>
        <v>383.79369003642364</v>
      </c>
      <c r="AG28" s="41">
        <f>N28/'1. Väestöennuste'!P28*1000</f>
        <v>433.69081163916724</v>
      </c>
      <c r="AH28" s="41">
        <f>O28/'1. Väestöennuste'!Q28*1000</f>
        <v>389.87072038304046</v>
      </c>
      <c r="AI28" s="41">
        <f>P28/'1. Väestöennuste'!R28*1000</f>
        <v>536.28153346522606</v>
      </c>
    </row>
    <row r="29" spans="1:35" x14ac:dyDescent="0.2">
      <c r="A29" s="34">
        <v>69</v>
      </c>
      <c r="B29" s="88" t="s">
        <v>342</v>
      </c>
      <c r="C29" s="41" t="e">
        <f>'2. Toimintakate'!D29+'3. Verotulot'!G29+'4. Valtionosuudet'!#REF!</f>
        <v>#REF!</v>
      </c>
      <c r="D29" s="41">
        <f>'2. Toimintakate'!E29+'3. Verotulot'!L29+'4. Valtionosuudet'!H29</f>
        <v>662</v>
      </c>
      <c r="E29" s="41">
        <f>'2. Toimintakate'!F29+'3. Verotulot'!Q29+'4. Valtionosuudet'!N29</f>
        <v>2199</v>
      </c>
      <c r="F29" s="41">
        <f>'2. Toimintakate'!G29+'3. Verotulot'!V29+'4. Valtionosuudet'!T29</f>
        <v>244</v>
      </c>
      <c r="G29" s="41">
        <f>'2. Toimintakate'!H29+'3. Verotulot'!AA29+'4. Valtionosuudet'!Z29</f>
        <v>-1291</v>
      </c>
      <c r="H29" s="41">
        <f>'2. Toimintakate'!I29+'3. Verotulot'!AF29+'4. Valtionosuudet'!AG29</f>
        <v>3665.1070312777738</v>
      </c>
      <c r="I29" s="41">
        <f>'2. Toimintakate'!J29+'3. Verotulot'!AK29+'4. Valtionosuudet'!AN29</f>
        <v>2420.314140332699</v>
      </c>
      <c r="J29" s="41">
        <f>'2. Toimintakate'!K29+'3. Verotulot'!AP29+'4. Valtionosuudet'!AU29</f>
        <v>3215.2943438401489</v>
      </c>
      <c r="K29" s="41">
        <f>'2. Toimintakate'!L29+'3. Verotulot'!AU29+'4. Valtionosuudet'!BC29</f>
        <v>2486.3947504295757</v>
      </c>
      <c r="L29" s="41">
        <f>'2. Toimintakate'!M29+'3. Verotulot'!AZ29+'4. Valtionosuudet'!BK29</f>
        <v>3209.4094472185379</v>
      </c>
      <c r="M29" s="41">
        <f>'2. Toimintakate'!N29+'3. Verotulot'!BE29+'4. Valtionosuudet'!BQ29</f>
        <v>-324.13603551669985</v>
      </c>
      <c r="N29" s="41">
        <f>'2. Toimintakate'!O29+'3. Verotulot'!BJ29+'4. Valtionosuudet'!BY29</f>
        <v>717.08324458792958</v>
      </c>
      <c r="O29" s="41">
        <f>'2. Toimintakate'!P29+'3. Verotulot'!BO29+'4. Valtionosuudet'!CE29</f>
        <v>607.3823454310641</v>
      </c>
      <c r="P29" s="41">
        <f>'2. Toimintakate'!Q29+'3. Verotulot'!BT29+'4. Valtionosuudet'!CK29</f>
        <v>1383.5288838741262</v>
      </c>
      <c r="T29" s="34">
        <v>69</v>
      </c>
      <c r="U29" s="88" t="s">
        <v>342</v>
      </c>
      <c r="V29" s="41" t="e">
        <f>C29/'1. Väestöennuste'!E29*1000</f>
        <v>#REF!</v>
      </c>
      <c r="W29" s="41">
        <f>D29/'1. Väestöennuste'!F29*1000</f>
        <v>90.289143480632845</v>
      </c>
      <c r="X29" s="41">
        <f>E29/'1. Väestöennuste'!G29*1000</f>
        <v>303.26851468762925</v>
      </c>
      <c r="Y29" s="41">
        <f>F29/'1. Väestöennuste'!H29*1000</f>
        <v>34.140198684762844</v>
      </c>
      <c r="Z29" s="41">
        <f>G29/'1. Väestöennuste'!I29*1000</f>
        <v>-184.16547788873038</v>
      </c>
      <c r="AA29" s="41">
        <f>H29/'1. Väestöennuste'!J29*1000</f>
        <v>531.48303817833141</v>
      </c>
      <c r="AB29" s="41">
        <f>I29/'1. Väestöennuste'!K29*1000</f>
        <v>355.82389596187869</v>
      </c>
      <c r="AC29" s="41">
        <f>J29/'1. Väestöennuste'!L29*1000</f>
        <v>480.82762731271856</v>
      </c>
      <c r="AD29" s="41">
        <f>K29/'1. Väestöennuste'!M29*1000</f>
        <v>379.13918121829454</v>
      </c>
      <c r="AE29" s="41">
        <f>L29/'1. Väestöennuste'!N29*1000</f>
        <v>496.35160025031519</v>
      </c>
      <c r="AF29" s="41">
        <f>M29/'1. Väestöennuste'!O29*1000</f>
        <v>-50.892767391537106</v>
      </c>
      <c r="AG29" s="41">
        <f>N29/'1. Väestöennuste'!P29*1000</f>
        <v>114.29442852851922</v>
      </c>
      <c r="AH29" s="41">
        <f>O29/'1. Väestöennuste'!Q29*1000</f>
        <v>98.218361162849945</v>
      </c>
      <c r="AI29" s="41">
        <f>P29/'1. Väestöennuste'!R29*1000</f>
        <v>226.9940744666327</v>
      </c>
    </row>
    <row r="30" spans="1:35" x14ac:dyDescent="0.2">
      <c r="A30" s="34">
        <v>71</v>
      </c>
      <c r="B30" s="88" t="s">
        <v>343</v>
      </c>
      <c r="C30" s="41" t="e">
        <f>'2. Toimintakate'!D30+'3. Verotulot'!G30+'4. Valtionosuudet'!#REF!</f>
        <v>#REF!</v>
      </c>
      <c r="D30" s="41">
        <f>'2. Toimintakate'!E30+'3. Verotulot'!L30+'4. Valtionosuudet'!H30</f>
        <v>419</v>
      </c>
      <c r="E30" s="41">
        <f>'2. Toimintakate'!F30+'3. Verotulot'!Q30+'4. Valtionosuudet'!N30</f>
        <v>2692</v>
      </c>
      <c r="F30" s="41">
        <f>'2. Toimintakate'!G30+'3. Verotulot'!V30+'4. Valtionosuudet'!T30</f>
        <v>322</v>
      </c>
      <c r="G30" s="41">
        <f>'2. Toimintakate'!H30+'3. Verotulot'!AA30+'4. Valtionosuudet'!Z30</f>
        <v>616</v>
      </c>
      <c r="H30" s="41">
        <f>'2. Toimintakate'!I30+'3. Verotulot'!AF30+'4. Valtionosuudet'!AG30</f>
        <v>3221.7356550714831</v>
      </c>
      <c r="I30" s="41">
        <f>'2. Toimintakate'!J30+'3. Verotulot'!AK30+'4. Valtionosuudet'!AN30</f>
        <v>-1046.2616754725204</v>
      </c>
      <c r="J30" s="41">
        <f>'2. Toimintakate'!K30+'3. Verotulot'!AP30+'4. Valtionosuudet'!AU30</f>
        <v>1361.8730862341035</v>
      </c>
      <c r="K30" s="41">
        <f>'2. Toimintakate'!L30+'3. Verotulot'!AU30+'4. Valtionosuudet'!BC30</f>
        <v>2848.2253044506178</v>
      </c>
      <c r="L30" s="41">
        <f>'2. Toimintakate'!M30+'3. Verotulot'!AZ30+'4. Valtionosuudet'!BK30</f>
        <v>2227.1970552885614</v>
      </c>
      <c r="M30" s="41">
        <f>'2. Toimintakate'!N30+'3. Verotulot'!BE30+'4. Valtionosuudet'!BQ30</f>
        <v>452.05466149432505</v>
      </c>
      <c r="N30" s="41">
        <f>'2. Toimintakate'!O30+'3. Verotulot'!BJ30+'4. Valtionosuudet'!BY30</f>
        <v>847.9184990388203</v>
      </c>
      <c r="O30" s="41">
        <f>'2. Toimintakate'!P30+'3. Verotulot'!BO30+'4. Valtionosuudet'!CE30</f>
        <v>1183.7912421700221</v>
      </c>
      <c r="P30" s="41">
        <f>'2. Toimintakate'!Q30+'3. Verotulot'!BT30+'4. Valtionosuudet'!CK30</f>
        <v>2116.5119467653731</v>
      </c>
      <c r="T30" s="34">
        <v>71</v>
      </c>
      <c r="U30" s="88" t="s">
        <v>343</v>
      </c>
      <c r="V30" s="41" t="e">
        <f>C30/'1. Väestöennuste'!E30*1000</f>
        <v>#REF!</v>
      </c>
      <c r="W30" s="41">
        <f>D30/'1. Väestöennuste'!F30*1000</f>
        <v>59.030712876866723</v>
      </c>
      <c r="X30" s="41">
        <f>E30/'1. Väestöennuste'!G30*1000</f>
        <v>386.22668579626975</v>
      </c>
      <c r="Y30" s="41">
        <f>F30/'1. Väestöennuste'!H30*1000</f>
        <v>46.979865771812079</v>
      </c>
      <c r="Z30" s="41">
        <f>G30/'1. Väestöennuste'!I30*1000</f>
        <v>91.151228174015984</v>
      </c>
      <c r="AA30" s="41">
        <f>H30/'1. Väestöennuste'!J30*1000</f>
        <v>483.23618645139987</v>
      </c>
      <c r="AB30" s="41">
        <f>I30/'1. Väestöennuste'!K30*1000</f>
        <v>-158.21286488318773</v>
      </c>
      <c r="AC30" s="41">
        <f>J30/'1. Väestöennuste'!L30*1000</f>
        <v>206.62616996420928</v>
      </c>
      <c r="AD30" s="41">
        <f>K30/'1. Väestöennuste'!M30*1000</f>
        <v>440.01626826056201</v>
      </c>
      <c r="AE30" s="41">
        <f>L30/'1. Väestöennuste'!N30*1000</f>
        <v>353.69176676013365</v>
      </c>
      <c r="AF30" s="41">
        <f>M30/'1. Väestöennuste'!O30*1000</f>
        <v>72.747773011639055</v>
      </c>
      <c r="AG30" s="41">
        <f>N30/'1. Väestöennuste'!P30*1000</f>
        <v>138.21002429320626</v>
      </c>
      <c r="AH30" s="41">
        <f>O30/'1. Väestöennuste'!Q30*1000</f>
        <v>195.34508946700035</v>
      </c>
      <c r="AI30" s="41">
        <f>P30/'1. Väestöennuste'!R30*1000</f>
        <v>353.34089261525423</v>
      </c>
    </row>
    <row r="31" spans="1:35" x14ac:dyDescent="0.2">
      <c r="A31" s="34">
        <v>72</v>
      </c>
      <c r="B31" s="88" t="s">
        <v>344</v>
      </c>
      <c r="C31" s="41" t="e">
        <f>'2. Toimintakate'!D31+'3. Verotulot'!G31+'4. Valtionosuudet'!#REF!</f>
        <v>#REF!</v>
      </c>
      <c r="D31" s="41">
        <f>'2. Toimintakate'!E31+'3. Verotulot'!L31+'4. Valtionosuudet'!H31</f>
        <v>334</v>
      </c>
      <c r="E31" s="41">
        <f>'2. Toimintakate'!F31+'3. Verotulot'!Q31+'4. Valtionosuudet'!N31</f>
        <v>794</v>
      </c>
      <c r="F31" s="41">
        <f>'2. Toimintakate'!G31+'3. Verotulot'!V31+'4. Valtionosuudet'!T31</f>
        <v>81</v>
      </c>
      <c r="G31" s="41">
        <f>'2. Toimintakate'!H31+'3. Verotulot'!AA31+'4. Valtionosuudet'!Z31</f>
        <v>-52</v>
      </c>
      <c r="H31" s="41">
        <f>'2. Toimintakate'!I31+'3. Verotulot'!AF31+'4. Valtionosuudet'!AG31</f>
        <v>519.13037070252358</v>
      </c>
      <c r="I31" s="41">
        <f>'2. Toimintakate'!J31+'3. Verotulot'!AK31+'4. Valtionosuudet'!AN31</f>
        <v>353.54347533558303</v>
      </c>
      <c r="J31" s="41">
        <f>'2. Toimintakate'!K31+'3. Verotulot'!AP31+'4. Valtionosuudet'!AU31</f>
        <v>909.50829849812226</v>
      </c>
      <c r="K31" s="41">
        <f>'2. Toimintakate'!L31+'3. Verotulot'!AU31+'4. Valtionosuudet'!BC31</f>
        <v>740.93289678401516</v>
      </c>
      <c r="L31" s="41">
        <f>'2. Toimintakate'!M31+'3. Verotulot'!AZ31+'4. Valtionosuudet'!BK31</f>
        <v>389.45634087861208</v>
      </c>
      <c r="M31" s="41">
        <f>'2. Toimintakate'!N31+'3. Verotulot'!BE31+'4. Valtionosuudet'!BQ31</f>
        <v>389.40096162042005</v>
      </c>
      <c r="N31" s="41">
        <f>'2. Toimintakate'!O31+'3. Verotulot'!BJ31+'4. Valtionosuudet'!BY31</f>
        <v>250.60941077555935</v>
      </c>
      <c r="O31" s="41">
        <f>'2. Toimintakate'!P31+'3. Verotulot'!BO31+'4. Valtionosuudet'!CE31</f>
        <v>189.14079666533871</v>
      </c>
      <c r="P31" s="41">
        <f>'2. Toimintakate'!Q31+'3. Verotulot'!BT31+'4. Valtionosuudet'!CK31</f>
        <v>234.07598219285319</v>
      </c>
      <c r="T31" s="34">
        <v>72</v>
      </c>
      <c r="U31" s="88" t="s">
        <v>344</v>
      </c>
      <c r="V31" s="41" t="e">
        <f>C31/'1. Väestöennuste'!E31*1000</f>
        <v>#REF!</v>
      </c>
      <c r="W31" s="41">
        <f>D31/'1. Väestöennuste'!F31*1000</f>
        <v>336.01609657947682</v>
      </c>
      <c r="X31" s="41">
        <f>E31/'1. Väestöennuste'!G31*1000</f>
        <v>821.09617373319543</v>
      </c>
      <c r="Y31" s="41">
        <f>F31/'1. Väestöennuste'!H31*1000</f>
        <v>83.162217659137568</v>
      </c>
      <c r="Z31" s="41">
        <f>G31/'1. Väestöennuste'!I31*1000</f>
        <v>-54.223149113660064</v>
      </c>
      <c r="AA31" s="41">
        <f>H31/'1. Väestöennuste'!J31*1000</f>
        <v>547.02884162542</v>
      </c>
      <c r="AB31" s="41">
        <f>I31/'1. Väestöennuste'!K31*1000</f>
        <v>372.15102666903476</v>
      </c>
      <c r="AC31" s="41">
        <f>J31/'1. Väestöennuste'!L31*1000</f>
        <v>947.4044776022107</v>
      </c>
      <c r="AD31" s="41">
        <f>K31/'1. Väestöennuste'!M31*1000</f>
        <v>781.57478563714676</v>
      </c>
      <c r="AE31" s="41">
        <f>L31/'1. Väestöennuste'!N31*1000</f>
        <v>420.57920181275603</v>
      </c>
      <c r="AF31" s="41">
        <f>M31/'1. Väestöennuste'!O31*1000</f>
        <v>423.26191480480441</v>
      </c>
      <c r="AG31" s="41">
        <f>N31/'1. Väestöennuste'!P31*1000</f>
        <v>274.18972732555727</v>
      </c>
      <c r="AH31" s="41">
        <f>O31/'1. Väestöennuste'!Q31*1000</f>
        <v>208.30484214244353</v>
      </c>
      <c r="AI31" s="41">
        <f>P31/'1. Väestöennuste'!R31*1000</f>
        <v>259.79576270017003</v>
      </c>
    </row>
    <row r="32" spans="1:35" x14ac:dyDescent="0.2">
      <c r="A32" s="34">
        <v>74</v>
      </c>
      <c r="B32" s="88" t="s">
        <v>345</v>
      </c>
      <c r="C32" s="41" t="e">
        <f>'2. Toimintakate'!D32+'3. Verotulot'!G32+'4. Valtionosuudet'!#REF!</f>
        <v>#REF!</v>
      </c>
      <c r="D32" s="41">
        <f>'2. Toimintakate'!E32+'3. Verotulot'!L32+'4. Valtionosuudet'!H32</f>
        <v>23</v>
      </c>
      <c r="E32" s="41">
        <f>'2. Toimintakate'!F32+'3. Verotulot'!Q32+'4. Valtionosuudet'!N32</f>
        <v>455</v>
      </c>
      <c r="F32" s="41">
        <f>'2. Toimintakate'!G32+'3. Verotulot'!V32+'4. Valtionosuudet'!T32</f>
        <v>59</v>
      </c>
      <c r="G32" s="41">
        <f>'2. Toimintakate'!H32+'3. Verotulot'!AA32+'4. Valtionosuudet'!Z32</f>
        <v>-176</v>
      </c>
      <c r="H32" s="41">
        <f>'2. Toimintakate'!I32+'3. Verotulot'!AF32+'4. Valtionosuudet'!AG32</f>
        <v>1006.2744732944211</v>
      </c>
      <c r="I32" s="41">
        <f>'2. Toimintakate'!J32+'3. Verotulot'!AK32+'4. Valtionosuudet'!AN32</f>
        <v>259.91778351312405</v>
      </c>
      <c r="J32" s="41">
        <f>'2. Toimintakate'!K32+'3. Verotulot'!AP32+'4. Valtionosuudet'!AU32</f>
        <v>714.45369336693238</v>
      </c>
      <c r="K32" s="41">
        <f>'2. Toimintakate'!L32+'3. Verotulot'!AU32+'4. Valtionosuudet'!BC32</f>
        <v>338.66151186622142</v>
      </c>
      <c r="L32" s="41">
        <f>'2. Toimintakate'!M32+'3. Verotulot'!AZ32+'4. Valtionosuudet'!BK32</f>
        <v>405.48390282723403</v>
      </c>
      <c r="M32" s="41">
        <f>'2. Toimintakate'!N32+'3. Verotulot'!BE32+'4. Valtionosuudet'!BQ32</f>
        <v>105.47523488940146</v>
      </c>
      <c r="N32" s="41">
        <f>'2. Toimintakate'!O32+'3. Verotulot'!BJ32+'4. Valtionosuudet'!BY32</f>
        <v>-14.410245710491836</v>
      </c>
      <c r="O32" s="41">
        <f>'2. Toimintakate'!P32+'3. Verotulot'!BO32+'4. Valtionosuudet'!CE32</f>
        <v>-155.54562362159186</v>
      </c>
      <c r="P32" s="41">
        <f>'2. Toimintakate'!Q32+'3. Verotulot'!BT32+'4. Valtionosuudet'!CK32</f>
        <v>-92.018860586287019</v>
      </c>
      <c r="T32" s="34">
        <v>74</v>
      </c>
      <c r="U32" s="88" t="s">
        <v>345</v>
      </c>
      <c r="V32" s="41" t="e">
        <f>C32/'1. Väestöennuste'!E32*1000</f>
        <v>#REF!</v>
      </c>
      <c r="W32" s="41">
        <f>D32/'1. Väestöennuste'!F32*1000</f>
        <v>18.867924528301884</v>
      </c>
      <c r="X32" s="41">
        <f>E32/'1. Väestöennuste'!G32*1000</f>
        <v>388.5567890691716</v>
      </c>
      <c r="Y32" s="41">
        <f>F32/'1. Väestöennuste'!H32*1000</f>
        <v>50.643776824034333</v>
      </c>
      <c r="Z32" s="41">
        <f>G32/'1. Väestöennuste'!I32*1000</f>
        <v>-156.16681455190772</v>
      </c>
      <c r="AA32" s="41">
        <f>H32/'1. Väestöennuste'!J32*1000</f>
        <v>912.30686608741723</v>
      </c>
      <c r="AB32" s="41">
        <f>I32/'1. Väestöennuste'!K32*1000</f>
        <v>239.99795338238599</v>
      </c>
      <c r="AC32" s="41">
        <f>J32/'1. Väestöennuste'!L32*1000</f>
        <v>679.13849179366196</v>
      </c>
      <c r="AD32" s="41">
        <f>K32/'1. Väestöennuste'!M32*1000</f>
        <v>334.31541151650686</v>
      </c>
      <c r="AE32" s="41">
        <f>L32/'1. Väestöennuste'!N32*1000</f>
        <v>405.07882400323081</v>
      </c>
      <c r="AF32" s="41">
        <f>M32/'1. Väestöennuste'!O32*1000</f>
        <v>107.73772715975635</v>
      </c>
      <c r="AG32" s="41">
        <f>N32/'1. Väestöennuste'!P32*1000</f>
        <v>-15.026325037009213</v>
      </c>
      <c r="AH32" s="41">
        <f>O32/'1. Väestöennuste'!Q32*1000</f>
        <v>-165.47406768254453</v>
      </c>
      <c r="AI32" s="41">
        <f>P32/'1. Väestöennuste'!R32*1000</f>
        <v>-99.803536427643181</v>
      </c>
    </row>
    <row r="33" spans="1:35" x14ac:dyDescent="0.2">
      <c r="A33" s="34">
        <v>75</v>
      </c>
      <c r="B33" s="88" t="s">
        <v>346</v>
      </c>
      <c r="C33" s="41" t="e">
        <f>'2. Toimintakate'!D33+'3. Verotulot'!G33+'4. Valtionosuudet'!#REF!</f>
        <v>#REF!</v>
      </c>
      <c r="D33" s="41">
        <f>'2. Toimintakate'!E33+'3. Verotulot'!L33+'4. Valtionosuudet'!H33</f>
        <v>9510</v>
      </c>
      <c r="E33" s="41">
        <f>'2. Toimintakate'!F33+'3. Verotulot'!Q33+'4. Valtionosuudet'!N33</f>
        <v>15007</v>
      </c>
      <c r="F33" s="41">
        <f>'2. Toimintakate'!G33+'3. Verotulot'!V33+'4. Valtionosuudet'!T33</f>
        <v>7369</v>
      </c>
      <c r="G33" s="41">
        <f>'2. Toimintakate'!H33+'3. Verotulot'!AA33+'4. Valtionosuudet'!Z33</f>
        <v>7826</v>
      </c>
      <c r="H33" s="41">
        <f>'2. Toimintakate'!I33+'3. Verotulot'!AF33+'4. Valtionosuudet'!AG33</f>
        <v>18177.062336427291</v>
      </c>
      <c r="I33" s="41">
        <f>'2. Toimintakate'!J33+'3. Verotulot'!AK33+'4. Valtionosuudet'!AN33</f>
        <v>12714.850153350533</v>
      </c>
      <c r="J33" s="41">
        <f>'2. Toimintakate'!K33+'3. Verotulot'!AP33+'4. Valtionosuudet'!AU33</f>
        <v>11326.46218661443</v>
      </c>
      <c r="K33" s="41">
        <f>'2. Toimintakate'!L33+'3. Verotulot'!AU33+'4. Valtionosuudet'!BC33</f>
        <v>13290.71786523176</v>
      </c>
      <c r="L33" s="41">
        <f>'2. Toimintakate'!M33+'3. Verotulot'!AZ33+'4. Valtionosuudet'!BK33</f>
        <v>6108.6272283139533</v>
      </c>
      <c r="M33" s="41">
        <f>'2. Toimintakate'!N33+'3. Verotulot'!BE33+'4. Valtionosuudet'!BQ33</f>
        <v>126.30588675867762</v>
      </c>
      <c r="N33" s="41">
        <f>'2. Toimintakate'!O33+'3. Verotulot'!BJ33+'4. Valtionosuudet'!BY33</f>
        <v>4170.5354741894498</v>
      </c>
      <c r="O33" s="41">
        <f>'2. Toimintakate'!P33+'3. Verotulot'!BO33+'4. Valtionosuudet'!CE33</f>
        <v>4445.9290145598552</v>
      </c>
      <c r="P33" s="41">
        <f>'2. Toimintakate'!Q33+'3. Verotulot'!BT33+'4. Valtionosuudet'!CK33</f>
        <v>6876.1902513670138</v>
      </c>
      <c r="T33" s="34">
        <v>75</v>
      </c>
      <c r="U33" s="88" t="s">
        <v>346</v>
      </c>
      <c r="V33" s="41" t="e">
        <f>C33/'1. Väestöennuste'!E33*1000</f>
        <v>#REF!</v>
      </c>
      <c r="W33" s="41">
        <f>D33/'1. Väestöennuste'!F33*1000</f>
        <v>460.8451250242295</v>
      </c>
      <c r="X33" s="41">
        <f>E33/'1. Väestöennuste'!G33*1000</f>
        <v>732.29883374810913</v>
      </c>
      <c r="Y33" s="41">
        <f>F33/'1. Väestöennuste'!H33*1000</f>
        <v>363.25544710637882</v>
      </c>
      <c r="Z33" s="41">
        <f>G33/'1. Väestöennuste'!I33*1000</f>
        <v>389.14027149321265</v>
      </c>
      <c r="AA33" s="41">
        <f>H33/'1. Väestöennuste'!J33*1000</f>
        <v>914.477151301871</v>
      </c>
      <c r="AB33" s="41">
        <f>I33/'1. Väestöennuste'!K33*1000</f>
        <v>645.35834703839873</v>
      </c>
      <c r="AC33" s="41">
        <f>J33/'1. Väestöennuste'!L33*1000</f>
        <v>579.38831585321134</v>
      </c>
      <c r="AD33" s="41">
        <f>K33/'1. Väestöennuste'!M33*1000</f>
        <v>680.38895593487052</v>
      </c>
      <c r="AE33" s="41">
        <f>L33/'1. Väestöennuste'!N33*1000</f>
        <v>319.85690796491537</v>
      </c>
      <c r="AF33" s="41">
        <f>M33/'1. Väestöennuste'!O33*1000</f>
        <v>6.6779045552859051</v>
      </c>
      <c r="AG33" s="41">
        <f>N33/'1. Väestöennuste'!P33*1000</f>
        <v>222.61852643265988</v>
      </c>
      <c r="AH33" s="41">
        <f>O33/'1. Väestöennuste'!Q33*1000</f>
        <v>239.56940481516625</v>
      </c>
      <c r="AI33" s="41">
        <f>P33/'1. Väestöennuste'!R33*1000</f>
        <v>374.17370905844336</v>
      </c>
    </row>
    <row r="34" spans="1:35" x14ac:dyDescent="0.2">
      <c r="A34" s="34">
        <v>77</v>
      </c>
      <c r="B34" s="88" t="s">
        <v>347</v>
      </c>
      <c r="C34" s="41" t="e">
        <f>'2. Toimintakate'!D34+'3. Verotulot'!G34+'4. Valtionosuudet'!#REF!</f>
        <v>#REF!</v>
      </c>
      <c r="D34" s="41">
        <f>'2. Toimintakate'!E34+'3. Verotulot'!L34+'4. Valtionosuudet'!H34</f>
        <v>3165</v>
      </c>
      <c r="E34" s="41">
        <f>'2. Toimintakate'!F34+'3. Verotulot'!Q34+'4. Valtionosuudet'!N34</f>
        <v>2211</v>
      </c>
      <c r="F34" s="41">
        <f>'2. Toimintakate'!G34+'3. Verotulot'!V34+'4. Valtionosuudet'!T34</f>
        <v>1041</v>
      </c>
      <c r="G34" s="41">
        <f>'2. Toimintakate'!H34+'3. Verotulot'!AA34+'4. Valtionosuudet'!Z34</f>
        <v>39</v>
      </c>
      <c r="H34" s="41">
        <f>'2. Toimintakate'!I34+'3. Verotulot'!AF34+'4. Valtionosuudet'!AG34</f>
        <v>4297.526464676328</v>
      </c>
      <c r="I34" s="41">
        <f>'2. Toimintakate'!J34+'3. Verotulot'!AK34+'4. Valtionosuudet'!AN34</f>
        <v>2742.0679881707001</v>
      </c>
      <c r="J34" s="41">
        <f>'2. Toimintakate'!K34+'3. Verotulot'!AP34+'4. Valtionosuudet'!AU34</f>
        <v>1586.50051692122</v>
      </c>
      <c r="K34" s="41">
        <f>'2. Toimintakate'!L34+'3. Verotulot'!AU34+'4. Valtionosuudet'!BC34</f>
        <v>2947.2646695315661</v>
      </c>
      <c r="L34" s="41">
        <f>'2. Toimintakate'!M34+'3. Verotulot'!AZ34+'4. Valtionosuudet'!BK34</f>
        <v>1315.2261192992842</v>
      </c>
      <c r="M34" s="41">
        <f>'2. Toimintakate'!N34+'3. Verotulot'!BE34+'4. Valtionosuudet'!BQ34</f>
        <v>502.38086774977091</v>
      </c>
      <c r="N34" s="41">
        <f>'2. Toimintakate'!O34+'3. Verotulot'!BJ34+'4. Valtionosuudet'!BY34</f>
        <v>271.38964207753179</v>
      </c>
      <c r="O34" s="41">
        <f>'2. Toimintakate'!P34+'3. Verotulot'!BO34+'4. Valtionosuudet'!CE34</f>
        <v>101.04266627848756</v>
      </c>
      <c r="P34" s="41">
        <f>'2. Toimintakate'!Q34+'3. Verotulot'!BT34+'4. Valtionosuudet'!CK34</f>
        <v>527.48547763992337</v>
      </c>
      <c r="T34" s="34">
        <v>77</v>
      </c>
      <c r="U34" s="88" t="s">
        <v>347</v>
      </c>
      <c r="V34" s="41" t="e">
        <f>C34/'1. Väestöennuste'!E34*1000</f>
        <v>#REF!</v>
      </c>
      <c r="W34" s="41">
        <f>D34/'1. Väestöennuste'!F34*1000</f>
        <v>613.49098662531503</v>
      </c>
      <c r="X34" s="41">
        <f>E34/'1. Väestöennuste'!G34*1000</f>
        <v>440.52600119545724</v>
      </c>
      <c r="Y34" s="41">
        <f>F34/'1. Väestöennuste'!H34*1000</f>
        <v>210.77141121684551</v>
      </c>
      <c r="Z34" s="41">
        <f>G34/'1. Väestöennuste'!I34*1000</f>
        <v>8</v>
      </c>
      <c r="AA34" s="41">
        <f>H34/'1. Väestöennuste'!J34*1000</f>
        <v>898.68809382608288</v>
      </c>
      <c r="AB34" s="41">
        <f>I34/'1. Väestöennuste'!K34*1000</f>
        <v>585.53661929760835</v>
      </c>
      <c r="AC34" s="41">
        <f>J34/'1. Väestöennuste'!L34*1000</f>
        <v>344.81645662273854</v>
      </c>
      <c r="AD34" s="41">
        <f>K34/'1. Väestöennuste'!M34*1000</f>
        <v>647.89287085767558</v>
      </c>
      <c r="AE34" s="41">
        <f>L34/'1. Väestöennuste'!N34*1000</f>
        <v>294.16822171757639</v>
      </c>
      <c r="AF34" s="41">
        <f>M34/'1. Väestöennuste'!O34*1000</f>
        <v>114.07376651902156</v>
      </c>
      <c r="AG34" s="41">
        <f>N34/'1. Väestöennuste'!P34*1000</f>
        <v>62.532175593901343</v>
      </c>
      <c r="AH34" s="41">
        <f>O34/'1. Väestöennuste'!Q34*1000</f>
        <v>23.613616797963907</v>
      </c>
      <c r="AI34" s="41">
        <f>P34/'1. Väestöennuste'!R34*1000</f>
        <v>125.08548201089006</v>
      </c>
    </row>
    <row r="35" spans="1:35" x14ac:dyDescent="0.2">
      <c r="A35" s="34">
        <v>78</v>
      </c>
      <c r="B35" s="88" t="s">
        <v>348</v>
      </c>
      <c r="C35" s="41" t="e">
        <f>'2. Toimintakate'!D35+'3. Verotulot'!G35+'4. Valtionosuudet'!#REF!</f>
        <v>#REF!</v>
      </c>
      <c r="D35" s="41">
        <f>'2. Toimintakate'!E35+'3. Verotulot'!L35+'4. Valtionosuudet'!H35</f>
        <v>2454</v>
      </c>
      <c r="E35" s="41">
        <f>'2. Toimintakate'!F35+'3. Verotulot'!Q35+'4. Valtionosuudet'!N35</f>
        <v>4990</v>
      </c>
      <c r="F35" s="41">
        <f>'2. Toimintakate'!G35+'3. Verotulot'!V35+'4. Valtionosuudet'!T35</f>
        <v>1668</v>
      </c>
      <c r="G35" s="41">
        <f>'2. Toimintakate'!H35+'3. Verotulot'!AA35+'4. Valtionosuudet'!Z35</f>
        <v>53</v>
      </c>
      <c r="H35" s="41">
        <f>'2. Toimintakate'!I35+'3. Verotulot'!AF35+'4. Valtionosuudet'!AG35</f>
        <v>6791.6448742478751</v>
      </c>
      <c r="I35" s="41">
        <f>'2. Toimintakate'!J35+'3. Verotulot'!AK35+'4. Valtionosuudet'!AN35</f>
        <v>5549.5612402765255</v>
      </c>
      <c r="J35" s="41">
        <f>'2. Toimintakate'!K35+'3. Verotulot'!AP35+'4. Valtionosuudet'!AU35</f>
        <v>3586.6381473556539</v>
      </c>
      <c r="K35" s="41">
        <f>'2. Toimintakate'!L35+'3. Verotulot'!AU35+'4. Valtionosuudet'!BC35</f>
        <v>6905.6814413667062</v>
      </c>
      <c r="L35" s="41">
        <f>'2. Toimintakate'!M35+'3. Verotulot'!AZ35+'4. Valtionosuudet'!BK35</f>
        <v>1892.7281618592931</v>
      </c>
      <c r="M35" s="41">
        <f>'2. Toimintakate'!N35+'3. Verotulot'!BE35+'4. Valtionosuudet'!BQ35</f>
        <v>1710.9988314144057</v>
      </c>
      <c r="N35" s="41">
        <f>'2. Toimintakate'!O35+'3. Verotulot'!BJ35+'4. Valtionosuudet'!BY35</f>
        <v>2720.8252023727873</v>
      </c>
      <c r="O35" s="41">
        <f>'2. Toimintakate'!P35+'3. Verotulot'!BO35+'4. Valtionosuudet'!CE35</f>
        <v>2939.4175079081538</v>
      </c>
      <c r="P35" s="41">
        <f>'2. Toimintakate'!Q35+'3. Verotulot'!BT35+'4. Valtionosuudet'!CK35</f>
        <v>3770.8832483636834</v>
      </c>
      <c r="T35" s="34">
        <v>78</v>
      </c>
      <c r="U35" s="88" t="s">
        <v>348</v>
      </c>
      <c r="V35" s="41" t="e">
        <f>C35/'1. Väestöennuste'!E35*1000</f>
        <v>#REF!</v>
      </c>
      <c r="W35" s="41">
        <f>D35/'1. Väestöennuste'!F35*1000</f>
        <v>283.27369271614918</v>
      </c>
      <c r="X35" s="41">
        <f>E35/'1. Väestöennuste'!G35*1000</f>
        <v>585.88704943055075</v>
      </c>
      <c r="Y35" s="41">
        <f>F35/'1. Väestöennuste'!H35*1000</f>
        <v>199.06910132474042</v>
      </c>
      <c r="Z35" s="41">
        <f>G35/'1. Väestöennuste'!I35*1000</f>
        <v>6.4642029515794608</v>
      </c>
      <c r="AA35" s="41">
        <f>H35/'1. Väestöennuste'!J35*1000</f>
        <v>844.52186946628638</v>
      </c>
      <c r="AB35" s="41">
        <f>I35/'1. Väestöennuste'!K35*1000</f>
        <v>695.52089739021505</v>
      </c>
      <c r="AC35" s="41">
        <f>J35/'1. Väestöennuste'!L35*1000</f>
        <v>457.94664802804567</v>
      </c>
      <c r="AD35" s="41">
        <f>K35/'1. Väestöennuste'!M35*1000</f>
        <v>894.40246617882485</v>
      </c>
      <c r="AE35" s="41">
        <f>L35/'1. Väestöennuste'!N35*1000</f>
        <v>253.47906279085214</v>
      </c>
      <c r="AF35" s="41">
        <f>M35/'1. Väestöennuste'!O35*1000</f>
        <v>232.85231782994089</v>
      </c>
      <c r="AG35" s="41">
        <f>N35/'1. Väestöennuste'!P35*1000</f>
        <v>376.01232758053999</v>
      </c>
      <c r="AH35" s="41">
        <f>O35/'1. Väestöennuste'!Q35*1000</f>
        <v>412.49193206681923</v>
      </c>
      <c r="AI35" s="41">
        <f>P35/'1. Väestöennuste'!R35*1000</f>
        <v>536.85695449369064</v>
      </c>
    </row>
    <row r="36" spans="1:35" x14ac:dyDescent="0.2">
      <c r="A36" s="34">
        <v>79</v>
      </c>
      <c r="B36" s="88" t="s">
        <v>349</v>
      </c>
      <c r="C36" s="41" t="e">
        <f>'2. Toimintakate'!D36+'3. Verotulot'!G36+'4. Valtionosuudet'!#REF!</f>
        <v>#REF!</v>
      </c>
      <c r="D36" s="41">
        <f>'2. Toimintakate'!E36+'3. Verotulot'!L36+'4. Valtionosuudet'!H36</f>
        <v>-679</v>
      </c>
      <c r="E36" s="41">
        <f>'2. Toimintakate'!F36+'3. Verotulot'!Q36+'4. Valtionosuudet'!N36</f>
        <v>2653</v>
      </c>
      <c r="F36" s="41">
        <f>'2. Toimintakate'!G36+'3. Verotulot'!V36+'4. Valtionosuudet'!T36</f>
        <v>-160</v>
      </c>
      <c r="G36" s="41">
        <f>'2. Toimintakate'!H36+'3. Verotulot'!AA36+'4. Valtionosuudet'!Z36</f>
        <v>-1267</v>
      </c>
      <c r="H36" s="41">
        <f>'2. Toimintakate'!I36+'3. Verotulot'!AF36+'4. Valtionosuudet'!AG36</f>
        <v>3738.2768598229995</v>
      </c>
      <c r="I36" s="41">
        <f>'2. Toimintakate'!J36+'3. Verotulot'!AK36+'4. Valtionosuudet'!AN36</f>
        <v>6843.7854410542168</v>
      </c>
      <c r="J36" s="41">
        <f>'2. Toimintakate'!K36+'3. Verotulot'!AP36+'4. Valtionosuudet'!AU36</f>
        <v>5748.9006866696727</v>
      </c>
      <c r="K36" s="41">
        <f>'2. Toimintakate'!L36+'3. Verotulot'!AU36+'4. Valtionosuudet'!BC36</f>
        <v>3773.3416449690403</v>
      </c>
      <c r="L36" s="41">
        <f>'2. Toimintakate'!M36+'3. Verotulot'!AZ36+'4. Valtionosuudet'!BK36</f>
        <v>2429.1136682773895</v>
      </c>
      <c r="M36" s="41">
        <f>'2. Toimintakate'!N36+'3. Verotulot'!BE36+'4. Valtionosuudet'!BQ36</f>
        <v>1092.4012601534205</v>
      </c>
      <c r="N36" s="41">
        <f>'2. Toimintakate'!O36+'3. Verotulot'!BJ36+'4. Valtionosuudet'!BY36</f>
        <v>1434.7102401256254</v>
      </c>
      <c r="O36" s="41">
        <f>'2. Toimintakate'!P36+'3. Verotulot'!BO36+'4. Valtionosuudet'!CE36</f>
        <v>1922.5648945719727</v>
      </c>
      <c r="P36" s="41">
        <f>'2. Toimintakate'!Q36+'3. Verotulot'!BT36+'4. Valtionosuudet'!CK36</f>
        <v>2835.8515359446965</v>
      </c>
      <c r="T36" s="34">
        <v>79</v>
      </c>
      <c r="U36" s="88" t="s">
        <v>349</v>
      </c>
      <c r="V36" s="41" t="e">
        <f>C36/'1. Väestöennuste'!E36*1000</f>
        <v>#REF!</v>
      </c>
      <c r="W36" s="41">
        <f>D36/'1. Väestöennuste'!F36*1000</f>
        <v>-93.784530386740329</v>
      </c>
      <c r="X36" s="41">
        <f>E36/'1. Väestöennuste'!G36*1000</f>
        <v>370.99706334778352</v>
      </c>
      <c r="Y36" s="41">
        <f>F36/'1. Väestöennuste'!H36*1000</f>
        <v>-22.798518096323736</v>
      </c>
      <c r="Z36" s="41">
        <f>G36/'1. Väestöennuste'!I36*1000</f>
        <v>-182.801904487087</v>
      </c>
      <c r="AA36" s="41">
        <f>H36/'1. Väestöennuste'!J36*1000</f>
        <v>544.22432083607509</v>
      </c>
      <c r="AB36" s="41">
        <f>I36/'1. Väestöennuste'!K36*1000</f>
        <v>1008.6640296321616</v>
      </c>
      <c r="AC36" s="41">
        <f>J36/'1. Väestöennuste'!L36*1000</f>
        <v>851.31063033757925</v>
      </c>
      <c r="AD36" s="41">
        <f>K36/'1. Väestöennuste'!M36*1000</f>
        <v>562.93326047576306</v>
      </c>
      <c r="AE36" s="41">
        <f>L36/'1. Väestöennuste'!N36*1000</f>
        <v>370.5176431173565</v>
      </c>
      <c r="AF36" s="41">
        <f>M36/'1. Väestöennuste'!O36*1000</f>
        <v>168.39852939007559</v>
      </c>
      <c r="AG36" s="41">
        <f>N36/'1. Väestöennuste'!P36*1000</f>
        <v>223.4055185496147</v>
      </c>
      <c r="AH36" s="41">
        <f>O36/'1. Väestöennuste'!Q36*1000</f>
        <v>302.3376151237573</v>
      </c>
      <c r="AI36" s="41">
        <f>P36/'1. Väestöennuste'!R36*1000</f>
        <v>450.13516443566607</v>
      </c>
    </row>
    <row r="37" spans="1:35" x14ac:dyDescent="0.2">
      <c r="A37" s="34">
        <v>81</v>
      </c>
      <c r="B37" s="88" t="s">
        <v>350</v>
      </c>
      <c r="C37" s="41" t="e">
        <f>'2. Toimintakate'!D37+'3. Verotulot'!G37+'4. Valtionosuudet'!#REF!</f>
        <v>#REF!</v>
      </c>
      <c r="D37" s="41">
        <f>'2. Toimintakate'!E37+'3. Verotulot'!L37+'4. Valtionosuudet'!H37</f>
        <v>1766</v>
      </c>
      <c r="E37" s="41">
        <f>'2. Toimintakate'!F37+'3. Verotulot'!Q37+'4. Valtionosuudet'!N37</f>
        <v>1466</v>
      </c>
      <c r="F37" s="41">
        <f>'2. Toimintakate'!G37+'3. Verotulot'!V37+'4. Valtionosuudet'!T37</f>
        <v>201</v>
      </c>
      <c r="G37" s="41">
        <f>'2. Toimintakate'!H37+'3. Verotulot'!AA37+'4. Valtionosuudet'!Z37</f>
        <v>-269</v>
      </c>
      <c r="H37" s="41">
        <f>'2. Toimintakate'!I37+'3. Verotulot'!AF37+'4. Valtionosuudet'!AG37</f>
        <v>3327.2048168497131</v>
      </c>
      <c r="I37" s="41">
        <f>'2. Toimintakate'!J37+'3. Verotulot'!AK37+'4. Valtionosuudet'!AN37</f>
        <v>1530.5631500359596</v>
      </c>
      <c r="J37" s="41">
        <f>'2. Toimintakate'!K37+'3. Verotulot'!AP37+'4. Valtionosuudet'!AU37</f>
        <v>943.07160764373657</v>
      </c>
      <c r="K37" s="41">
        <f>'2. Toimintakate'!L37+'3. Verotulot'!AU37+'4. Valtionosuudet'!BC37</f>
        <v>928.79073521348346</v>
      </c>
      <c r="L37" s="41">
        <f>'2. Toimintakate'!M37+'3. Verotulot'!AZ37+'4. Valtionosuudet'!BK37</f>
        <v>666.82570079948187</v>
      </c>
      <c r="M37" s="41">
        <f>'2. Toimintakate'!N37+'3. Verotulot'!BE37+'4. Valtionosuudet'!BQ37</f>
        <v>-273.29005758994344</v>
      </c>
      <c r="N37" s="41">
        <f>'2. Toimintakate'!O37+'3. Verotulot'!BJ37+'4. Valtionosuudet'!BY37</f>
        <v>-745.76510034209753</v>
      </c>
      <c r="O37" s="41">
        <f>'2. Toimintakate'!P37+'3. Verotulot'!BO37+'4. Valtionosuudet'!CE37</f>
        <v>-783.54848443793617</v>
      </c>
      <c r="P37" s="41">
        <f>'2. Toimintakate'!Q37+'3. Verotulot'!BT37+'4. Valtionosuudet'!CK37</f>
        <v>-478.5010027930075</v>
      </c>
      <c r="T37" s="34">
        <v>81</v>
      </c>
      <c r="U37" s="88" t="s">
        <v>350</v>
      </c>
      <c r="V37" s="41" t="e">
        <f>C37/'1. Väestöennuste'!E37*1000</f>
        <v>#REF!</v>
      </c>
      <c r="W37" s="41">
        <f>D37/'1. Väestöennuste'!F37*1000</f>
        <v>603.9671682626539</v>
      </c>
      <c r="X37" s="41">
        <f>E37/'1. Väestöennuste'!G37*1000</f>
        <v>508.67453157529496</v>
      </c>
      <c r="Y37" s="41">
        <f>F37/'1. Väestöennuste'!H37*1000</f>
        <v>72.302158273381295</v>
      </c>
      <c r="Z37" s="41">
        <f>G37/'1. Väestöennuste'!I37*1000</f>
        <v>-99.740452354467919</v>
      </c>
      <c r="AA37" s="41">
        <f>H37/'1. Väestöennuste'!J37*1000</f>
        <v>1253.1844884556358</v>
      </c>
      <c r="AB37" s="41">
        <f>I37/'1. Väestöennuste'!K37*1000</f>
        <v>583.96152233344515</v>
      </c>
      <c r="AC37" s="41">
        <f>J37/'1. Väestöennuste'!L37*1000</f>
        <v>366.38368595327762</v>
      </c>
      <c r="AD37" s="41">
        <f>K37/'1. Väestöennuste'!M37*1000</f>
        <v>366.96591671808909</v>
      </c>
      <c r="AE37" s="41">
        <f>L37/'1. Väestöennuste'!N37*1000</f>
        <v>275.09311089087532</v>
      </c>
      <c r="AF37" s="41">
        <f>M37/'1. Väestöennuste'!O37*1000</f>
        <v>-114.92433035741945</v>
      </c>
      <c r="AG37" s="41">
        <f>N37/'1. Väestöennuste'!P37*1000</f>
        <v>-319.11215247843285</v>
      </c>
      <c r="AH37" s="41">
        <f>O37/'1. Väestöennuste'!Q37*1000</f>
        <v>-340.82143733707534</v>
      </c>
      <c r="AI37" s="41">
        <f>P37/'1. Väestöennuste'!R37*1000</f>
        <v>-211.25872087991502</v>
      </c>
    </row>
    <row r="38" spans="1:35" x14ac:dyDescent="0.2">
      <c r="A38" s="34">
        <v>82</v>
      </c>
      <c r="B38" s="88" t="s">
        <v>351</v>
      </c>
      <c r="C38" s="41" t="e">
        <f>'2. Toimintakate'!D38+'3. Verotulot'!G38+'4. Valtionosuudet'!#REF!</f>
        <v>#REF!</v>
      </c>
      <c r="D38" s="41">
        <f>'2. Toimintakate'!E38+'3. Verotulot'!L38+'4. Valtionosuudet'!H38</f>
        <v>1690</v>
      </c>
      <c r="E38" s="41">
        <f>'2. Toimintakate'!F38+'3. Verotulot'!Q38+'4. Valtionosuudet'!N38</f>
        <v>2833</v>
      </c>
      <c r="F38" s="41">
        <f>'2. Toimintakate'!G38+'3. Verotulot'!V38+'4. Valtionosuudet'!T38</f>
        <v>1276</v>
      </c>
      <c r="G38" s="41">
        <f>'2. Toimintakate'!H38+'3. Verotulot'!AA38+'4. Valtionosuudet'!Z38</f>
        <v>333</v>
      </c>
      <c r="H38" s="41">
        <f>'2. Toimintakate'!I38+'3. Verotulot'!AF38+'4. Valtionosuudet'!AG38</f>
        <v>5169.4443970609937</v>
      </c>
      <c r="I38" s="41">
        <f>'2. Toimintakate'!J38+'3. Verotulot'!AK38+'4. Valtionosuudet'!AN38</f>
        <v>1826.1655135848268</v>
      </c>
      <c r="J38" s="41">
        <f>'2. Toimintakate'!K38+'3. Verotulot'!AP38+'4. Valtionosuudet'!AU38</f>
        <v>2829.9148069827243</v>
      </c>
      <c r="K38" s="41">
        <f>'2. Toimintakate'!L38+'3. Verotulot'!AU38+'4. Valtionosuudet'!BC38</f>
        <v>5910.2480870954096</v>
      </c>
      <c r="L38" s="41">
        <f>'2. Toimintakate'!M38+'3. Verotulot'!AZ38+'4. Valtionosuudet'!BK38</f>
        <v>3519.7508661501297</v>
      </c>
      <c r="M38" s="41">
        <f>'2. Toimintakate'!N38+'3. Verotulot'!BE38+'4. Valtionosuudet'!BQ38</f>
        <v>944.80316875408062</v>
      </c>
      <c r="N38" s="41">
        <f>'2. Toimintakate'!O38+'3. Verotulot'!BJ38+'4. Valtionosuudet'!BY38</f>
        <v>1668.5892296595421</v>
      </c>
      <c r="O38" s="41">
        <f>'2. Toimintakate'!P38+'3. Verotulot'!BO38+'4. Valtionosuudet'!CE38</f>
        <v>1856.4290946545407</v>
      </c>
      <c r="P38" s="41">
        <f>'2. Toimintakate'!Q38+'3. Verotulot'!BT38+'4. Valtionosuudet'!CK38</f>
        <v>2841.6221152422086</v>
      </c>
      <c r="T38" s="34">
        <v>82</v>
      </c>
      <c r="U38" s="88" t="s">
        <v>351</v>
      </c>
      <c r="V38" s="41" t="e">
        <f>C38/'1. Väestöennuste'!E38*1000</f>
        <v>#REF!</v>
      </c>
      <c r="W38" s="41">
        <f>D38/'1. Väestöennuste'!F38*1000</f>
        <v>174.55071266267299</v>
      </c>
      <c r="X38" s="41">
        <f>E38/'1. Väestöennuste'!G38*1000</f>
        <v>294.79708636836625</v>
      </c>
      <c r="Y38" s="41">
        <f>F38/'1. Väestöennuste'!H38*1000</f>
        <v>134.67018469656992</v>
      </c>
      <c r="Z38" s="41">
        <f>G38/'1. Väestöennuste'!I38*1000</f>
        <v>35.342814689025687</v>
      </c>
      <c r="AA38" s="41">
        <f>H38/'1. Väestöennuste'!J38*1000</f>
        <v>550.58519512844748</v>
      </c>
      <c r="AB38" s="41">
        <f>I38/'1. Väestöennuste'!K38*1000</f>
        <v>194.16964525091194</v>
      </c>
      <c r="AC38" s="41">
        <f>J38/'1. Väestöennuste'!L38*1000</f>
        <v>302.37363040738586</v>
      </c>
      <c r="AD38" s="41">
        <f>K38/'1. Väestöennuste'!M38*1000</f>
        <v>630.69555939551913</v>
      </c>
      <c r="AE38" s="41">
        <f>L38/'1. Väestöennuste'!N38*1000</f>
        <v>383.54046705351749</v>
      </c>
      <c r="AF38" s="41">
        <f>M38/'1. Väestöennuste'!O38*1000</f>
        <v>103.57412505525988</v>
      </c>
      <c r="AG38" s="41">
        <f>N38/'1. Väestöennuste'!P38*1000</f>
        <v>184.04910982346593</v>
      </c>
      <c r="AH38" s="41">
        <f>O38/'1. Väestöennuste'!Q38*1000</f>
        <v>206.06383557048957</v>
      </c>
      <c r="AI38" s="41">
        <f>P38/'1. Väestöennuste'!R38*1000</f>
        <v>317.4287438831779</v>
      </c>
    </row>
    <row r="39" spans="1:35" x14ac:dyDescent="0.2">
      <c r="A39" s="34">
        <v>86</v>
      </c>
      <c r="B39" s="88" t="s">
        <v>352</v>
      </c>
      <c r="C39" s="41" t="e">
        <f>'2. Toimintakate'!D39+'3. Verotulot'!G39+'4. Valtionosuudet'!#REF!</f>
        <v>#REF!</v>
      </c>
      <c r="D39" s="41">
        <f>'2. Toimintakate'!E39+'3. Verotulot'!L39+'4. Valtionosuudet'!H39</f>
        <v>4597</v>
      </c>
      <c r="E39" s="41">
        <f>'2. Toimintakate'!F39+'3. Verotulot'!Q39+'4. Valtionosuudet'!N39</f>
        <v>3404</v>
      </c>
      <c r="F39" s="41">
        <f>'2. Toimintakate'!G39+'3. Verotulot'!V39+'4. Valtionosuudet'!T39</f>
        <v>1742</v>
      </c>
      <c r="G39" s="41">
        <f>'2. Toimintakate'!H39+'3. Verotulot'!AA39+'4. Valtionosuudet'!Z39</f>
        <v>2414</v>
      </c>
      <c r="H39" s="41">
        <f>'2. Toimintakate'!I39+'3. Verotulot'!AF39+'4. Valtionosuudet'!AG39</f>
        <v>5293.1697212661093</v>
      </c>
      <c r="I39" s="41">
        <f>'2. Toimintakate'!J39+'3. Verotulot'!AK39+'4. Valtionosuudet'!AN39</f>
        <v>4234.6290129415975</v>
      </c>
      <c r="J39" s="41">
        <f>'2. Toimintakate'!K39+'3. Verotulot'!AP39+'4. Valtionosuudet'!AU39</f>
        <v>3248.7814448634344</v>
      </c>
      <c r="K39" s="41">
        <f>'2. Toimintakate'!L39+'3. Verotulot'!AU39+'4. Valtionosuudet'!BC39</f>
        <v>5246.6079298469049</v>
      </c>
      <c r="L39" s="41">
        <f>'2. Toimintakate'!M39+'3. Verotulot'!AZ39+'4. Valtionosuudet'!BK39</f>
        <v>3465.8821214795244</v>
      </c>
      <c r="M39" s="41">
        <f>'2. Toimintakate'!N39+'3. Verotulot'!BE39+'4. Valtionosuudet'!BQ39</f>
        <v>1758.1096949156163</v>
      </c>
      <c r="N39" s="41">
        <f>'2. Toimintakate'!O39+'3. Verotulot'!BJ39+'4. Valtionosuudet'!BY39</f>
        <v>2344.9095946122616</v>
      </c>
      <c r="O39" s="41">
        <f>'2. Toimintakate'!P39+'3. Verotulot'!BO39+'4. Valtionosuudet'!CE39</f>
        <v>2749.0039790778246</v>
      </c>
      <c r="P39" s="41">
        <f>'2. Toimintakate'!Q39+'3. Verotulot'!BT39+'4. Valtionosuudet'!CK39</f>
        <v>3773.6966270285156</v>
      </c>
      <c r="T39" s="34">
        <v>86</v>
      </c>
      <c r="U39" s="88" t="s">
        <v>352</v>
      </c>
      <c r="V39" s="41" t="e">
        <f>C39/'1. Väestöennuste'!E39*1000</f>
        <v>#REF!</v>
      </c>
      <c r="W39" s="41">
        <f>D39/'1. Väestöennuste'!F39*1000</f>
        <v>531.99861127184352</v>
      </c>
      <c r="X39" s="41">
        <f>E39/'1. Väestöennuste'!G39*1000</f>
        <v>400.28222013170273</v>
      </c>
      <c r="Y39" s="41">
        <f>F39/'1. Väestöennuste'!H39*1000</f>
        <v>206.96210051087087</v>
      </c>
      <c r="Z39" s="41">
        <f>G39/'1. Väestöennuste'!I39*1000</f>
        <v>292.25181598062954</v>
      </c>
      <c r="AA39" s="41">
        <f>H39/'1. Väestöennuste'!J39*1000</f>
        <v>647.48253471145063</v>
      </c>
      <c r="AB39" s="41">
        <f>I39/'1. Väestöennuste'!K39*1000</f>
        <v>520.03303609745763</v>
      </c>
      <c r="AC39" s="41">
        <f>J39/'1. Väestöennuste'!L39*1000</f>
        <v>404.5301263682523</v>
      </c>
      <c r="AD39" s="41">
        <f>K39/'1. Väestöennuste'!M39*1000</f>
        <v>655.98998872804509</v>
      </c>
      <c r="AE39" s="41">
        <f>L39/'1. Väestöennuste'!N39*1000</f>
        <v>443.83174817256042</v>
      </c>
      <c r="AF39" s="41">
        <f>M39/'1. Väestöennuste'!O39*1000</f>
        <v>227.41038609696241</v>
      </c>
      <c r="AG39" s="41">
        <f>N39/'1. Väestöennuste'!P39*1000</f>
        <v>306.16393714744243</v>
      </c>
      <c r="AH39" s="41">
        <f>O39/'1. Väestöennuste'!Q39*1000</f>
        <v>362.09219956241105</v>
      </c>
      <c r="AI39" s="41">
        <f>P39/'1. Väestöennuste'!R39*1000</f>
        <v>501.4879238576101</v>
      </c>
    </row>
    <row r="40" spans="1:35" x14ac:dyDescent="0.2">
      <c r="A40" s="34">
        <v>90</v>
      </c>
      <c r="B40" s="88" t="s">
        <v>353</v>
      </c>
      <c r="C40" s="41" t="e">
        <f>'2. Toimintakate'!D40+'3. Verotulot'!G40+'4. Valtionosuudet'!#REF!</f>
        <v>#REF!</v>
      </c>
      <c r="D40" s="41">
        <f>'2. Toimintakate'!E40+'3. Verotulot'!L40+'4. Valtionosuudet'!H40</f>
        <v>968</v>
      </c>
      <c r="E40" s="41">
        <f>'2. Toimintakate'!F40+'3. Verotulot'!Q40+'4. Valtionosuudet'!N40</f>
        <v>2361</v>
      </c>
      <c r="F40" s="41">
        <f>'2. Toimintakate'!G40+'3. Verotulot'!V40+'4. Valtionosuudet'!T40</f>
        <v>1351</v>
      </c>
      <c r="G40" s="41">
        <f>'2. Toimintakate'!H40+'3. Verotulot'!AA40+'4. Valtionosuudet'!Z40</f>
        <v>1234</v>
      </c>
      <c r="H40" s="41">
        <f>'2. Toimintakate'!I40+'3. Verotulot'!AF40+'4. Valtionosuudet'!AG40</f>
        <v>2134.8558283061466</v>
      </c>
      <c r="I40" s="41">
        <f>'2. Toimintakate'!J40+'3. Verotulot'!AK40+'4. Valtionosuudet'!AN40</f>
        <v>2842.8873465085089</v>
      </c>
      <c r="J40" s="41">
        <f>'2. Toimintakate'!K40+'3. Verotulot'!AP40+'4. Valtionosuudet'!AU40</f>
        <v>1285.2760596198732</v>
      </c>
      <c r="K40" s="41">
        <f>'2. Toimintakate'!L40+'3. Verotulot'!AU40+'4. Valtionosuudet'!BC40</f>
        <v>1667.069500063285</v>
      </c>
      <c r="L40" s="41">
        <f>'2. Toimintakate'!M40+'3. Verotulot'!AZ40+'4. Valtionosuudet'!BK40</f>
        <v>-91.624580656984449</v>
      </c>
      <c r="M40" s="41">
        <f>'2. Toimintakate'!N40+'3. Verotulot'!BE40+'4. Valtionosuudet'!BQ40</f>
        <v>-110.35396207784197</v>
      </c>
      <c r="N40" s="41">
        <f>'2. Toimintakate'!O40+'3. Verotulot'!BJ40+'4. Valtionosuudet'!BY40</f>
        <v>22.328953318461117</v>
      </c>
      <c r="O40" s="41">
        <f>'2. Toimintakate'!P40+'3. Verotulot'!BO40+'4. Valtionosuudet'!CE40</f>
        <v>-249.25801635711423</v>
      </c>
      <c r="P40" s="41">
        <f>'2. Toimintakate'!Q40+'3. Verotulot'!BT40+'4. Valtionosuudet'!CK40</f>
        <v>111.61704604758029</v>
      </c>
      <c r="T40" s="34">
        <v>90</v>
      </c>
      <c r="U40" s="88" t="s">
        <v>353</v>
      </c>
      <c r="V40" s="41" t="e">
        <f>C40/'1. Väestöennuste'!E40*1000</f>
        <v>#REF!</v>
      </c>
      <c r="W40" s="41">
        <f>D40/'1. Väestöennuste'!F40*1000</f>
        <v>275.46955036994882</v>
      </c>
      <c r="X40" s="41">
        <f>E40/'1. Väestöennuste'!G40*1000</f>
        <v>683.35745296671496</v>
      </c>
      <c r="Y40" s="41">
        <f>F40/'1. Väestöennuste'!H40*1000</f>
        <v>405.8275758486032</v>
      </c>
      <c r="Z40" s="41">
        <f>G40/'1. Väestöennuste'!I40*1000</f>
        <v>379.22556853103873</v>
      </c>
      <c r="AA40" s="41">
        <f>H40/'1. Väestöennuste'!J40*1000</f>
        <v>667.97741811831872</v>
      </c>
      <c r="AB40" s="41">
        <f>I40/'1. Väestöennuste'!K40*1000</f>
        <v>906.53295488153981</v>
      </c>
      <c r="AC40" s="41">
        <f>J40/'1. Väestöennuste'!L40*1000</f>
        <v>419.88763790260475</v>
      </c>
      <c r="AD40" s="41">
        <f>K40/'1. Väestöennuste'!M40*1000</f>
        <v>555.50466513271749</v>
      </c>
      <c r="AE40" s="41">
        <f>L40/'1. Väestöennuste'!N40*1000</f>
        <v>-31.017122768105772</v>
      </c>
      <c r="AF40" s="41">
        <f>M40/'1. Väestöennuste'!O40*1000</f>
        <v>-38.013765786373398</v>
      </c>
      <c r="AG40" s="41">
        <f>N40/'1. Väestöennuste'!P40*1000</f>
        <v>7.8209994110196561</v>
      </c>
      <c r="AH40" s="41">
        <f>O40/'1. Väestöennuste'!Q40*1000</f>
        <v>-88.830369336106287</v>
      </c>
      <c r="AI40" s="41">
        <f>P40/'1. Väestöennuste'!R40*1000</f>
        <v>40.47028500637429</v>
      </c>
    </row>
    <row r="41" spans="1:35" x14ac:dyDescent="0.2">
      <c r="A41" s="34">
        <v>91</v>
      </c>
      <c r="B41" s="88" t="s">
        <v>354</v>
      </c>
      <c r="C41" s="41" t="e">
        <f>'2. Toimintakate'!D41+'3. Verotulot'!G41+'4. Valtionosuudet'!#REF!</f>
        <v>#REF!</v>
      </c>
      <c r="D41" s="41">
        <f>'2. Toimintakate'!E41+'3. Verotulot'!L41+'4. Valtionosuudet'!H41</f>
        <v>454450</v>
      </c>
      <c r="E41" s="41">
        <f>'2. Toimintakate'!F41+'3. Verotulot'!Q41+'4. Valtionosuudet'!N41</f>
        <v>740876</v>
      </c>
      <c r="F41" s="41">
        <f>'2. Toimintakate'!G41+'3. Verotulot'!V41+'4. Valtionosuudet'!T41</f>
        <v>639321</v>
      </c>
      <c r="G41" s="41">
        <f>'2. Toimintakate'!H41+'3. Verotulot'!AA41+'4. Valtionosuudet'!Z41</f>
        <v>608024</v>
      </c>
      <c r="H41" s="41">
        <f>'2. Toimintakate'!I41+'3. Verotulot'!AF41+'4. Valtionosuudet'!AG41</f>
        <v>711883.75837718847</v>
      </c>
      <c r="I41" s="41">
        <f>'2. Toimintakate'!J41+'3. Verotulot'!AK41+'4. Valtionosuudet'!AN41</f>
        <v>594727.24269335577</v>
      </c>
      <c r="J41" s="41">
        <f>'2. Toimintakate'!K41+'3. Verotulot'!AP41+'4. Valtionosuudet'!AU41</f>
        <v>627257.30313386652</v>
      </c>
      <c r="K41" s="41">
        <f>'2. Toimintakate'!L41+'3. Verotulot'!AU41+'4. Valtionosuudet'!BC41</f>
        <v>649929.62342175492</v>
      </c>
      <c r="L41" s="41">
        <f>'2. Toimintakate'!M41+'3. Verotulot'!AZ41+'4. Valtionosuudet'!BK41</f>
        <v>534052.284323378</v>
      </c>
      <c r="M41" s="41">
        <f>'2. Toimintakate'!N41+'3. Verotulot'!BE41+'4. Valtionosuudet'!BQ41</f>
        <v>466715.32569922402</v>
      </c>
      <c r="N41" s="41">
        <f>'2. Toimintakate'!O41+'3. Verotulot'!BJ41+'4. Valtionosuudet'!BY41</f>
        <v>490009.57873280789</v>
      </c>
      <c r="O41" s="41">
        <f>'2. Toimintakate'!P41+'3. Verotulot'!BO41+'4. Valtionosuudet'!CE41</f>
        <v>516486.06777200761</v>
      </c>
      <c r="P41" s="41">
        <f>'2. Toimintakate'!Q41+'3. Verotulot'!BT41+'4. Valtionosuudet'!CK41</f>
        <v>545365.75687863817</v>
      </c>
      <c r="T41" s="34">
        <v>91</v>
      </c>
      <c r="U41" s="88" t="s">
        <v>354</v>
      </c>
      <c r="V41" s="41" t="e">
        <f>C41/'1. Väestöennuste'!E41*1000</f>
        <v>#REF!</v>
      </c>
      <c r="W41" s="41">
        <f>D41/'1. Väestöennuste'!F41*1000</f>
        <v>715.46535554432512</v>
      </c>
      <c r="X41" s="41">
        <f>E41/'1. Väestöennuste'!G41*1000</f>
        <v>1151.7305276772499</v>
      </c>
      <c r="Y41" s="41">
        <f>F41/'1. Väestöennuste'!H41*1000</f>
        <v>986.5425389095152</v>
      </c>
      <c r="Z41" s="41">
        <f>G41/'1. Väestöennuste'!I41*1000</f>
        <v>929.93492241926481</v>
      </c>
      <c r="AA41" s="41">
        <f>H41/'1. Väestöennuste'!J41*1000</f>
        <v>1083.6688765408094</v>
      </c>
      <c r="AB41" s="41">
        <f>I41/'1. Väestöennuste'!K41*1000</f>
        <v>903.21348651978155</v>
      </c>
      <c r="AC41" s="41">
        <f>J41/'1. Väestöennuste'!L41*1000</f>
        <v>944.62477957837098</v>
      </c>
      <c r="AD41" s="41">
        <f>K41/'1. Väestöennuste'!M41*1000</f>
        <v>963.57245874240903</v>
      </c>
      <c r="AE41" s="41">
        <f>L41/'1. Väestöennuste'!N41*1000</f>
        <v>787.77720231261958</v>
      </c>
      <c r="AF41" s="41">
        <f>M41/'1. Väestöennuste'!O41*1000</f>
        <v>683.77286901091929</v>
      </c>
      <c r="AG41" s="41">
        <f>N41/'1. Väestöennuste'!P41*1000</f>
        <v>713.20491830005528</v>
      </c>
      <c r="AH41" s="41">
        <f>O41/'1. Väestöennuste'!Q41*1000</f>
        <v>747.01268982734734</v>
      </c>
      <c r="AI41" s="41">
        <f>P41/'1. Väestöennuste'!R41*1000</f>
        <v>784.02320428671999</v>
      </c>
    </row>
    <row r="42" spans="1:35" x14ac:dyDescent="0.2">
      <c r="A42" s="34">
        <v>92</v>
      </c>
      <c r="B42" s="88" t="s">
        <v>355</v>
      </c>
      <c r="C42" s="41" t="e">
        <f>'2. Toimintakate'!D42+'3. Verotulot'!G42+'4. Valtionosuudet'!#REF!</f>
        <v>#REF!</v>
      </c>
      <c r="D42" s="41">
        <f>'2. Toimintakate'!E42+'3. Verotulot'!L42+'4. Valtionosuudet'!H42</f>
        <v>153128</v>
      </c>
      <c r="E42" s="41">
        <f>'2. Toimintakate'!F42+'3. Verotulot'!Q42+'4. Valtionosuudet'!N42</f>
        <v>137231</v>
      </c>
      <c r="F42" s="41">
        <f>'2. Toimintakate'!G42+'3. Verotulot'!V42+'4. Valtionosuudet'!T42</f>
        <v>83612</v>
      </c>
      <c r="G42" s="41">
        <f>'2. Toimintakate'!H42+'3. Verotulot'!AA42+'4. Valtionosuudet'!Z42</f>
        <v>22012</v>
      </c>
      <c r="H42" s="41">
        <f>'2. Toimintakate'!I42+'3. Verotulot'!AF42+'4. Valtionosuudet'!AG42</f>
        <v>136010.90156372456</v>
      </c>
      <c r="I42" s="41">
        <f>'2. Toimintakate'!J42+'3. Verotulot'!AK42+'4. Valtionosuudet'!AN42</f>
        <v>134162.86198997247</v>
      </c>
      <c r="J42" s="41">
        <f>'2. Toimintakate'!K42+'3. Verotulot'!AP42+'4. Valtionosuudet'!AU42</f>
        <v>94157.63655059773</v>
      </c>
      <c r="K42" s="41">
        <f>'2. Toimintakate'!L42+'3. Verotulot'!AU42+'4. Valtionosuudet'!BC42</f>
        <v>143188.16324532838</v>
      </c>
      <c r="L42" s="41">
        <f>'2. Toimintakate'!M42+'3. Verotulot'!AZ42+'4. Valtionosuudet'!BK42</f>
        <v>93400.109412529826</v>
      </c>
      <c r="M42" s="41">
        <f>'2. Toimintakate'!N42+'3. Verotulot'!BE42+'4. Valtionosuudet'!BQ42</f>
        <v>57946.37419060868</v>
      </c>
      <c r="N42" s="41">
        <f>'2. Toimintakate'!O42+'3. Verotulot'!BJ42+'4. Valtionosuudet'!BY42</f>
        <v>68860.922394738969</v>
      </c>
      <c r="O42" s="41">
        <f>'2. Toimintakate'!P42+'3. Verotulot'!BO42+'4. Valtionosuudet'!CE42</f>
        <v>67759.662279731478</v>
      </c>
      <c r="P42" s="41">
        <f>'2. Toimintakate'!Q42+'3. Verotulot'!BT42+'4. Valtionosuudet'!CK42</f>
        <v>78430.927231067588</v>
      </c>
      <c r="T42" s="34">
        <v>92</v>
      </c>
      <c r="U42" s="88" t="s">
        <v>355</v>
      </c>
      <c r="V42" s="41" t="e">
        <f>C42/'1. Väestöennuste'!E42*1000</f>
        <v>#REF!</v>
      </c>
      <c r="W42" s="41">
        <f>D42/'1. Väestöennuste'!F42*1000</f>
        <v>698.1275730483585</v>
      </c>
      <c r="X42" s="41">
        <f>E42/'1. Väestöennuste'!G42*1000</f>
        <v>615.3111506678564</v>
      </c>
      <c r="Y42" s="41">
        <f>F42/'1. Väestöennuste'!H42*1000</f>
        <v>366.45249511320702</v>
      </c>
      <c r="Z42" s="41">
        <f>G42/'1. Väestöennuste'!I42*1000</f>
        <v>94.158913485188748</v>
      </c>
      <c r="AA42" s="41">
        <f>H42/'1. Väestöennuste'!J42*1000</f>
        <v>573.32684836182693</v>
      </c>
      <c r="AB42" s="41">
        <f>I42/'1. Väestöennuste'!K42*1000</f>
        <v>560.86746147660369</v>
      </c>
      <c r="AC42" s="41">
        <f>J42/'1. Väestöennuste'!L42*1000</f>
        <v>387.76881772265654</v>
      </c>
      <c r="AD42" s="41">
        <f>K42/'1. Väestöennuste'!M42*1000</f>
        <v>578.67130306910428</v>
      </c>
      <c r="AE42" s="41">
        <f>L42/'1. Väestöennuste'!N42*1000</f>
        <v>371.00046638171625</v>
      </c>
      <c r="AF42" s="41">
        <f>M42/'1. Väestöennuste'!O42*1000</f>
        <v>227.30397165724057</v>
      </c>
      <c r="AG42" s="41">
        <f>N42/'1. Väestöennuste'!P42*1000</f>
        <v>266.94004742808676</v>
      </c>
      <c r="AH42" s="41">
        <f>O42/'1. Väestöennuste'!Q42*1000</f>
        <v>259.75589218593751</v>
      </c>
      <c r="AI42" s="41">
        <f>P42/'1. Väestöennuste'!R42*1000</f>
        <v>297.51057275159923</v>
      </c>
    </row>
    <row r="43" spans="1:35" x14ac:dyDescent="0.2">
      <c r="A43" s="34">
        <v>97</v>
      </c>
      <c r="B43" s="88" t="s">
        <v>356</v>
      </c>
      <c r="C43" s="41" t="e">
        <f>'2. Toimintakate'!D43+'3. Verotulot'!G43+'4. Valtionosuudet'!#REF!</f>
        <v>#REF!</v>
      </c>
      <c r="D43" s="41">
        <f>'2. Toimintakate'!E43+'3. Verotulot'!L43+'4. Valtionosuudet'!H43</f>
        <v>798</v>
      </c>
      <c r="E43" s="41">
        <f>'2. Toimintakate'!F43+'3. Verotulot'!Q43+'4. Valtionosuudet'!N43</f>
        <v>878</v>
      </c>
      <c r="F43" s="41">
        <f>'2. Toimintakate'!G43+'3. Verotulot'!V43+'4. Valtionosuudet'!T43</f>
        <v>1516</v>
      </c>
      <c r="G43" s="41">
        <f>'2. Toimintakate'!H43+'3. Verotulot'!AA43+'4. Valtionosuudet'!Z43</f>
        <v>361</v>
      </c>
      <c r="H43" s="41">
        <f>'2. Toimintakate'!I43+'3. Verotulot'!AF43+'4. Valtionosuudet'!AG43</f>
        <v>695.60937432210176</v>
      </c>
      <c r="I43" s="41">
        <f>'2. Toimintakate'!J43+'3. Verotulot'!AK43+'4. Valtionosuudet'!AN43</f>
        <v>253.94175929263838</v>
      </c>
      <c r="J43" s="41">
        <f>'2. Toimintakate'!K43+'3. Verotulot'!AP43+'4. Valtionosuudet'!AU43</f>
        <v>276.69011155527551</v>
      </c>
      <c r="K43" s="41">
        <f>'2. Toimintakate'!L43+'3. Verotulot'!AU43+'4. Valtionosuudet'!BC43</f>
        <v>1360.6402654542217</v>
      </c>
      <c r="L43" s="41">
        <f>'2. Toimintakate'!M43+'3. Verotulot'!AZ43+'4. Valtionosuudet'!BK43</f>
        <v>-11.509143454524406</v>
      </c>
      <c r="M43" s="41">
        <f>'2. Toimintakate'!N43+'3. Verotulot'!BE43+'4. Valtionosuudet'!BQ43</f>
        <v>97.794432841722028</v>
      </c>
      <c r="N43" s="41">
        <f>'2. Toimintakate'!O43+'3. Verotulot'!BJ43+'4. Valtionosuudet'!BY43</f>
        <v>276.98841547532413</v>
      </c>
      <c r="O43" s="41">
        <f>'2. Toimintakate'!P43+'3. Verotulot'!BO43+'4. Valtionosuudet'!CE43</f>
        <v>172.75244705903799</v>
      </c>
      <c r="P43" s="41">
        <f>'2. Toimintakate'!Q43+'3. Verotulot'!BT43+'4. Valtionosuudet'!CK43</f>
        <v>357.26449327145212</v>
      </c>
      <c r="T43" s="34">
        <v>97</v>
      </c>
      <c r="U43" s="88" t="s">
        <v>356</v>
      </c>
      <c r="V43" s="41" t="e">
        <f>C43/'1. Väestöennuste'!E43*1000</f>
        <v>#REF!</v>
      </c>
      <c r="W43" s="41">
        <f>D43/'1. Väestöennuste'!F43*1000</f>
        <v>350.92348284960423</v>
      </c>
      <c r="X43" s="41">
        <f>E43/'1. Väestöennuste'!G43*1000</f>
        <v>392.66547406082293</v>
      </c>
      <c r="Y43" s="41">
        <f>F43/'1. Väestöennuste'!H43*1000</f>
        <v>704.46096654275095</v>
      </c>
      <c r="Z43" s="41">
        <f>G43/'1. Väestöennuste'!I43*1000</f>
        <v>169.00749063670412</v>
      </c>
      <c r="AA43" s="41">
        <f>H43/'1. Väestöennuste'!J43*1000</f>
        <v>322.63885636461123</v>
      </c>
      <c r="AB43" s="41">
        <f>I43/'1. Väestöennuste'!K43*1000</f>
        <v>119.1655369744901</v>
      </c>
      <c r="AC43" s="41">
        <f>J43/'1. Väestöennuste'!L43*1000</f>
        <v>132.324300122083</v>
      </c>
      <c r="AD43" s="41">
        <f>K43/'1. Väestöennuste'!M43*1000</f>
        <v>659.86433824162066</v>
      </c>
      <c r="AE43" s="41">
        <f>L43/'1. Väestöennuste'!N43*1000</f>
        <v>-5.4831555285966678</v>
      </c>
      <c r="AF43" s="41">
        <f>M43/'1. Väestöennuste'!O43*1000</f>
        <v>46.881319674842779</v>
      </c>
      <c r="AG43" s="41">
        <f>N43/'1. Väestöennuste'!P43*1000</f>
        <v>133.55275577402321</v>
      </c>
      <c r="AH43" s="41">
        <f>O43/'1. Väestöennuste'!Q43*1000</f>
        <v>83.69789101697576</v>
      </c>
      <c r="AI43" s="41">
        <f>P43/'1. Väestöennuste'!R43*1000</f>
        <v>174.10550354359268</v>
      </c>
    </row>
    <row r="44" spans="1:35" x14ac:dyDescent="0.2">
      <c r="A44" s="34">
        <v>98</v>
      </c>
      <c r="B44" s="88" t="s">
        <v>357</v>
      </c>
      <c r="C44" s="41" t="e">
        <f>'2. Toimintakate'!D44+'3. Verotulot'!G44+'4. Valtionosuudet'!#REF!</f>
        <v>#REF!</v>
      </c>
      <c r="D44" s="41">
        <f>'2. Toimintakate'!E44+'3. Verotulot'!L44+'4. Valtionosuudet'!H44</f>
        <v>13236</v>
      </c>
      <c r="E44" s="41">
        <f>'2. Toimintakate'!F44+'3. Verotulot'!Q44+'4. Valtionosuudet'!N44</f>
        <v>16137</v>
      </c>
      <c r="F44" s="41">
        <f>'2. Toimintakate'!G44+'3. Verotulot'!V44+'4. Valtionosuudet'!T44</f>
        <v>8965</v>
      </c>
      <c r="G44" s="41">
        <f>'2. Toimintakate'!H44+'3. Verotulot'!AA44+'4. Valtionosuudet'!Z44</f>
        <v>7001</v>
      </c>
      <c r="H44" s="41">
        <f>'2. Toimintakate'!I44+'3. Verotulot'!AF44+'4. Valtionosuudet'!AG44</f>
        <v>22856.621834731457</v>
      </c>
      <c r="I44" s="41">
        <f>'2. Toimintakate'!J44+'3. Verotulot'!AK44+'4. Valtionosuudet'!AN44</f>
        <v>16526.836426701804</v>
      </c>
      <c r="J44" s="41">
        <f>'2. Toimintakate'!K44+'3. Verotulot'!AP44+'4. Valtionosuudet'!AU44</f>
        <v>17793.208800066466</v>
      </c>
      <c r="K44" s="41">
        <f>'2. Toimintakate'!L44+'3. Verotulot'!AU44+'4. Valtionosuudet'!BC44</f>
        <v>20561.580025981242</v>
      </c>
      <c r="L44" s="41">
        <f>'2. Toimintakate'!M44+'3. Verotulot'!AZ44+'4. Valtionosuudet'!BK44</f>
        <v>10372.90991021457</v>
      </c>
      <c r="M44" s="41">
        <f>'2. Toimintakate'!N44+'3. Verotulot'!BE44+'4. Valtionosuudet'!BQ44</f>
        <v>9990.7073361995208</v>
      </c>
      <c r="N44" s="41">
        <f>'2. Toimintakate'!O44+'3. Verotulot'!BJ44+'4. Valtionosuudet'!BY44</f>
        <v>10092.905925742714</v>
      </c>
      <c r="O44" s="41">
        <f>'2. Toimintakate'!P44+'3. Verotulot'!BO44+'4. Valtionosuudet'!CE44</f>
        <v>10050.158708531104</v>
      </c>
      <c r="P44" s="41">
        <f>'2. Toimintakate'!Q44+'3. Verotulot'!BT44+'4. Valtionosuudet'!CK44</f>
        <v>12471.636934956499</v>
      </c>
      <c r="T44" s="34">
        <v>98</v>
      </c>
      <c r="U44" s="88" t="s">
        <v>357</v>
      </c>
      <c r="V44" s="41" t="e">
        <f>C44/'1. Väestöennuste'!E44*1000</f>
        <v>#REF!</v>
      </c>
      <c r="W44" s="41">
        <f>D44/'1. Väestöennuste'!F44*1000</f>
        <v>556.34483628262785</v>
      </c>
      <c r="X44" s="41">
        <f>E44/'1. Väestöennuste'!G44*1000</f>
        <v>678.53839037927844</v>
      </c>
      <c r="Y44" s="41">
        <f>F44/'1. Väestöennuste'!H44*1000</f>
        <v>379.84069146682486</v>
      </c>
      <c r="Z44" s="41">
        <f>G44/'1. Väestöennuste'!I44*1000</f>
        <v>299.0602306706536</v>
      </c>
      <c r="AA44" s="41">
        <f>H44/'1. Väestöennuste'!J44*1000</f>
        <v>983.03822780660869</v>
      </c>
      <c r="AB44" s="41">
        <f>I44/'1. Väestöennuste'!K44*1000</f>
        <v>715.75731601133839</v>
      </c>
      <c r="AC44" s="41">
        <f>J44/'1. Väestöennuste'!L44*1000</f>
        <v>775.53976376526452</v>
      </c>
      <c r="AD44" s="41">
        <f>K44/'1. Väestöennuste'!M44*1000</f>
        <v>898.47411081412463</v>
      </c>
      <c r="AE44" s="41">
        <f>L44/'1. Väestöennuste'!N44*1000</f>
        <v>456.25291006002067</v>
      </c>
      <c r="AF44" s="41">
        <f>M44/'1. Väestöennuste'!O44*1000</f>
        <v>442.12538550247916</v>
      </c>
      <c r="AG44" s="41">
        <f>N44/'1. Väestöennuste'!P44*1000</f>
        <v>449.35247432183405</v>
      </c>
      <c r="AH44" s="41">
        <f>O44/'1. Väestöennuste'!Q44*1000</f>
        <v>450.01382297636252</v>
      </c>
      <c r="AI44" s="41">
        <f>P44/'1. Väestöennuste'!R44*1000</f>
        <v>561.76014300961663</v>
      </c>
    </row>
    <row r="45" spans="1:35" x14ac:dyDescent="0.2">
      <c r="A45" s="34">
        <v>102</v>
      </c>
      <c r="B45" s="88" t="s">
        <v>359</v>
      </c>
      <c r="C45" s="41" t="e">
        <f>'2. Toimintakate'!D45+'3. Verotulot'!G45+'4. Valtionosuudet'!#REF!</f>
        <v>#REF!</v>
      </c>
      <c r="D45" s="41">
        <f>'2. Toimintakate'!E45+'3. Verotulot'!L45+'4. Valtionosuudet'!H45</f>
        <v>1923</v>
      </c>
      <c r="E45" s="41">
        <f>'2. Toimintakate'!F45+'3. Verotulot'!Q45+'4. Valtionosuudet'!N45</f>
        <v>3600</v>
      </c>
      <c r="F45" s="41">
        <f>'2. Toimintakate'!G45+'3. Verotulot'!V45+'4. Valtionosuudet'!T45</f>
        <v>-33</v>
      </c>
      <c r="G45" s="41">
        <f>'2. Toimintakate'!H45+'3. Verotulot'!AA45+'4. Valtionosuudet'!Z45</f>
        <v>671</v>
      </c>
      <c r="H45" s="41">
        <f>'2. Toimintakate'!I45+'3. Verotulot'!AF45+'4. Valtionosuudet'!AG45</f>
        <v>8305.3943215564868</v>
      </c>
      <c r="I45" s="41">
        <f>'2. Toimintakate'!J45+'3. Verotulot'!AK45+'4. Valtionosuudet'!AN45</f>
        <v>4788.7404515710914</v>
      </c>
      <c r="J45" s="41">
        <f>'2. Toimintakate'!K45+'3. Verotulot'!AP45+'4. Valtionosuudet'!AU45</f>
        <v>2452.2543086875303</v>
      </c>
      <c r="K45" s="41">
        <f>'2. Toimintakate'!L45+'3. Verotulot'!AU45+'4. Valtionosuudet'!BC45</f>
        <v>7139.4845704260642</v>
      </c>
      <c r="L45" s="41">
        <f>'2. Toimintakate'!M45+'3. Verotulot'!AZ45+'4. Valtionosuudet'!BK45</f>
        <v>3568.2222956375181</v>
      </c>
      <c r="M45" s="41">
        <f>'2. Toimintakate'!N45+'3. Verotulot'!BE45+'4. Valtionosuudet'!BQ45</f>
        <v>3337.2337468093792</v>
      </c>
      <c r="N45" s="41">
        <f>'2. Toimintakate'!O45+'3. Verotulot'!BJ45+'4. Valtionosuudet'!BY45</f>
        <v>3942.6538198343223</v>
      </c>
      <c r="O45" s="41">
        <f>'2. Toimintakate'!P45+'3. Verotulot'!BO45+'4. Valtionosuudet'!CE45</f>
        <v>4099.1639927237757</v>
      </c>
      <c r="P45" s="41">
        <f>'2. Toimintakate'!Q45+'3. Verotulot'!BT45+'4. Valtionosuudet'!CK45</f>
        <v>5195.1946708064497</v>
      </c>
      <c r="T45" s="34">
        <v>102</v>
      </c>
      <c r="U45" s="88" t="s">
        <v>359</v>
      </c>
      <c r="V45" s="41" t="e">
        <f>C45/'1. Väestöennuste'!E45*1000</f>
        <v>#REF!</v>
      </c>
      <c r="W45" s="41">
        <f>D45/'1. Väestöennuste'!F45*1000</f>
        <v>184.85052388734019</v>
      </c>
      <c r="X45" s="41">
        <f>E45/'1. Väestöennuste'!G45*1000</f>
        <v>352.69912804937786</v>
      </c>
      <c r="Y45" s="41">
        <f>F45/'1. Väestöennuste'!H45*1000</f>
        <v>-3.2702408086413639</v>
      </c>
      <c r="Z45" s="41">
        <f>G45/'1. Väestöennuste'!I45*1000</f>
        <v>66.806053365193151</v>
      </c>
      <c r="AA45" s="41">
        <f>H45/'1. Väestöennuste'!J45*1000</f>
        <v>835.8050036788253</v>
      </c>
      <c r="AB45" s="41">
        <f>I45/'1. Väestöennuste'!K45*1000</f>
        <v>485.18140340132635</v>
      </c>
      <c r="AC45" s="41">
        <f>J45/'1. Väestöennuste'!L45*1000</f>
        <v>251.64230976783276</v>
      </c>
      <c r="AD45" s="41">
        <f>K45/'1. Väestöennuste'!M45*1000</f>
        <v>740.14975849326811</v>
      </c>
      <c r="AE45" s="41">
        <f>L45/'1. Väestöennuste'!N45*1000</f>
        <v>374.30213947734376</v>
      </c>
      <c r="AF45" s="41">
        <f>M45/'1. Väestöennuste'!O45*1000</f>
        <v>353.40821209460756</v>
      </c>
      <c r="AG45" s="41">
        <f>N45/'1. Väestöennuste'!P45*1000</f>
        <v>421.44883162312368</v>
      </c>
      <c r="AH45" s="41">
        <f>O45/'1. Väestöennuste'!Q45*1000</f>
        <v>442.05370351814685</v>
      </c>
      <c r="AI45" s="41">
        <f>P45/'1. Väestöennuste'!R45*1000</f>
        <v>565.12505937196238</v>
      </c>
    </row>
    <row r="46" spans="1:35" x14ac:dyDescent="0.2">
      <c r="A46" s="34">
        <v>103</v>
      </c>
      <c r="B46" s="88" t="s">
        <v>360</v>
      </c>
      <c r="C46" s="41" t="e">
        <f>'2. Toimintakate'!D46+'3. Verotulot'!G46+'4. Valtionosuudet'!#REF!</f>
        <v>#REF!</v>
      </c>
      <c r="D46" s="41">
        <f>'2. Toimintakate'!E46+'3. Verotulot'!L46+'4. Valtionosuudet'!H46</f>
        <v>45</v>
      </c>
      <c r="E46" s="41">
        <f>'2. Toimintakate'!F46+'3. Verotulot'!Q46+'4. Valtionosuudet'!N46</f>
        <v>426</v>
      </c>
      <c r="F46" s="41">
        <f>'2. Toimintakate'!G46+'3. Verotulot'!V46+'4. Valtionosuudet'!T46</f>
        <v>-202</v>
      </c>
      <c r="G46" s="41">
        <f>'2. Toimintakate'!H46+'3. Verotulot'!AA46+'4. Valtionosuudet'!Z46</f>
        <v>314</v>
      </c>
      <c r="H46" s="41">
        <f>'2. Toimintakate'!I46+'3. Verotulot'!AF46+'4. Valtionosuudet'!AG46</f>
        <v>925.00785388590975</v>
      </c>
      <c r="I46" s="41">
        <f>'2. Toimintakate'!J46+'3. Verotulot'!AK46+'4. Valtionosuudet'!AN46</f>
        <v>762.51469470988286</v>
      </c>
      <c r="J46" s="41">
        <f>'2. Toimintakate'!K46+'3. Verotulot'!AP46+'4. Valtionosuudet'!AU46</f>
        <v>188.4693539155096</v>
      </c>
      <c r="K46" s="41">
        <f>'2. Toimintakate'!L46+'3. Verotulot'!AU46+'4. Valtionosuudet'!BC46</f>
        <v>369.2153047416823</v>
      </c>
      <c r="L46" s="41">
        <f>'2. Toimintakate'!M46+'3. Verotulot'!AZ46+'4. Valtionosuudet'!BK46</f>
        <v>39.082875311054977</v>
      </c>
      <c r="M46" s="41">
        <f>'2. Toimintakate'!N46+'3. Verotulot'!BE46+'4. Valtionosuudet'!BQ46</f>
        <v>-909.81368727373115</v>
      </c>
      <c r="N46" s="41">
        <f>'2. Toimintakate'!O46+'3. Verotulot'!BJ46+'4. Valtionosuudet'!BY46</f>
        <v>-961.96403185596955</v>
      </c>
      <c r="O46" s="41">
        <f>'2. Toimintakate'!P46+'3. Verotulot'!BO46+'4. Valtionosuudet'!CE46</f>
        <v>-1058.4099733794401</v>
      </c>
      <c r="P46" s="41">
        <f>'2. Toimintakate'!Q46+'3. Verotulot'!BT46+'4. Valtionosuudet'!CK46</f>
        <v>-910.49634959221976</v>
      </c>
      <c r="T46" s="34">
        <v>103</v>
      </c>
      <c r="U46" s="88" t="s">
        <v>360</v>
      </c>
      <c r="V46" s="41" t="e">
        <f>C46/'1. Väestöennuste'!E46*1000</f>
        <v>#REF!</v>
      </c>
      <c r="W46" s="41">
        <f>D46/'1. Väestöennuste'!F46*1000</f>
        <v>19.189765458422176</v>
      </c>
      <c r="X46" s="41">
        <f>E46/'1. Väestöennuste'!G46*1000</f>
        <v>186.02620087336243</v>
      </c>
      <c r="Y46" s="41">
        <f>F46/'1. Väestöennuste'!H46*1000</f>
        <v>-90.380313199105146</v>
      </c>
      <c r="Z46" s="41">
        <f>G46/'1. Väestöennuste'!I46*1000</f>
        <v>143.77289377289375</v>
      </c>
      <c r="AA46" s="41">
        <f>H46/'1. Väestöennuste'!J46*1000</f>
        <v>425.48659332378554</v>
      </c>
      <c r="AB46" s="41">
        <f>I46/'1. Väestöennuste'!K46*1000</f>
        <v>352.03817853641868</v>
      </c>
      <c r="AC46" s="41">
        <f>J46/'1. Väestöennuste'!L46*1000</f>
        <v>87.213953686029427</v>
      </c>
      <c r="AD46" s="41">
        <f>K46/'1. Väestöennuste'!M46*1000</f>
        <v>173.74837870196814</v>
      </c>
      <c r="AE46" s="41">
        <f>L46/'1. Väestöennuste'!N46*1000</f>
        <v>18.753778940045574</v>
      </c>
      <c r="AF46" s="41">
        <f>M46/'1. Väestöennuste'!O46*1000</f>
        <v>-440.8012050744822</v>
      </c>
      <c r="AG46" s="41">
        <f>N46/'1. Väestöennuste'!P46*1000</f>
        <v>-471.08914390595965</v>
      </c>
      <c r="AH46" s="41">
        <f>O46/'1. Väestöennuste'!Q46*1000</f>
        <v>-523.7060729240178</v>
      </c>
      <c r="AI46" s="41">
        <f>P46/'1. Väestöennuste'!R46*1000</f>
        <v>-454.56632530814767</v>
      </c>
    </row>
    <row r="47" spans="1:35" x14ac:dyDescent="0.2">
      <c r="A47" s="34">
        <v>105</v>
      </c>
      <c r="B47" s="88" t="s">
        <v>361</v>
      </c>
      <c r="C47" s="41" t="e">
        <f>'2. Toimintakate'!D47+'3. Verotulot'!G47+'4. Valtionosuudet'!#REF!</f>
        <v>#REF!</v>
      </c>
      <c r="D47" s="41">
        <f>'2. Toimintakate'!E47+'3. Verotulot'!L47+'4. Valtionosuudet'!H47</f>
        <v>321</v>
      </c>
      <c r="E47" s="41">
        <f>'2. Toimintakate'!F47+'3. Verotulot'!Q47+'4. Valtionosuudet'!N47</f>
        <v>1903</v>
      </c>
      <c r="F47" s="41">
        <f>'2. Toimintakate'!G47+'3. Verotulot'!V47+'4. Valtionosuudet'!T47</f>
        <v>885</v>
      </c>
      <c r="G47" s="41">
        <f>'2. Toimintakate'!H47+'3. Verotulot'!AA47+'4. Valtionosuudet'!Z47</f>
        <v>982</v>
      </c>
      <c r="H47" s="41">
        <f>'2. Toimintakate'!I47+'3. Verotulot'!AF47+'4. Valtionosuudet'!AG47</f>
        <v>856.73910758949023</v>
      </c>
      <c r="I47" s="41">
        <f>'2. Toimintakate'!J47+'3. Verotulot'!AK47+'4. Valtionosuudet'!AN47</f>
        <v>51.103707835241948</v>
      </c>
      <c r="J47" s="41">
        <f>'2. Toimintakate'!K47+'3. Verotulot'!AP47+'4. Valtionosuudet'!AU47</f>
        <v>2320.0626992061025</v>
      </c>
      <c r="K47" s="41">
        <f>'2. Toimintakate'!L47+'3. Verotulot'!AU47+'4. Valtionosuudet'!BC47</f>
        <v>1454.9312828642032</v>
      </c>
      <c r="L47" s="41">
        <f>'2. Toimintakate'!M47+'3. Verotulot'!AZ47+'4. Valtionosuudet'!BK47</f>
        <v>1636.3666990180586</v>
      </c>
      <c r="M47" s="41">
        <f>'2. Toimintakate'!N47+'3. Verotulot'!BE47+'4. Valtionosuudet'!BQ47</f>
        <v>1415.5409887821693</v>
      </c>
      <c r="N47" s="41">
        <f>'2. Toimintakate'!O47+'3. Verotulot'!BJ47+'4. Valtionosuudet'!BY47</f>
        <v>1228.746923257348</v>
      </c>
      <c r="O47" s="41">
        <f>'2. Toimintakate'!P47+'3. Verotulot'!BO47+'4. Valtionosuudet'!CE47</f>
        <v>1164.5102721122562</v>
      </c>
      <c r="P47" s="41">
        <f>'2. Toimintakate'!Q47+'3. Verotulot'!BT47+'4. Valtionosuudet'!CK47</f>
        <v>1472.4869965991638</v>
      </c>
      <c r="T47" s="34">
        <v>105</v>
      </c>
      <c r="U47" s="88" t="s">
        <v>361</v>
      </c>
      <c r="V47" s="41" t="e">
        <f>C47/'1. Väestöennuste'!E47*1000</f>
        <v>#REF!</v>
      </c>
      <c r="W47" s="41">
        <f>D47/'1. Väestöennuste'!F47*1000</f>
        <v>133.41645885286783</v>
      </c>
      <c r="X47" s="41">
        <f>E47/'1. Väestöennuste'!G47*1000</f>
        <v>818.14273430782453</v>
      </c>
      <c r="Y47" s="41">
        <f>F47/'1. Väestöennuste'!H47*1000</f>
        <v>386.9698294709226</v>
      </c>
      <c r="Z47" s="41">
        <f>G47/'1. Väestöennuste'!I47*1000</f>
        <v>432.408630559225</v>
      </c>
      <c r="AA47" s="41">
        <f>H47/'1. Väestöennuste'!J47*1000</f>
        <v>389.6039597951297</v>
      </c>
      <c r="AB47" s="41">
        <f>I47/'1. Väestöennuste'!K47*1000</f>
        <v>23.891401512502078</v>
      </c>
      <c r="AC47" s="41">
        <f>J47/'1. Väestöennuste'!L47*1000</f>
        <v>1107.9573539666201</v>
      </c>
      <c r="AD47" s="41">
        <f>K47/'1. Väestöennuste'!M47*1000</f>
        <v>705.25025829578431</v>
      </c>
      <c r="AE47" s="41">
        <f>L47/'1. Väestöennuste'!N47*1000</f>
        <v>801.35489667877505</v>
      </c>
      <c r="AF47" s="41">
        <f>M47/'1. Väestöennuste'!O47*1000</f>
        <v>704.59979531217982</v>
      </c>
      <c r="AG47" s="41">
        <f>N47/'1. Väestöennuste'!P47*1000</f>
        <v>621.83548747841496</v>
      </c>
      <c r="AH47" s="41">
        <f>O47/'1. Väestöennuste'!Q47*1000</f>
        <v>598.71993424794664</v>
      </c>
      <c r="AI47" s="41">
        <f>P47/'1. Väestöennuste'!R47*1000</f>
        <v>768.52139697242376</v>
      </c>
    </row>
    <row r="48" spans="1:35" x14ac:dyDescent="0.2">
      <c r="A48" s="34">
        <v>106</v>
      </c>
      <c r="B48" s="88" t="s">
        <v>362</v>
      </c>
      <c r="C48" s="41" t="e">
        <f>'2. Toimintakate'!D48+'3. Verotulot'!G48+'4. Valtionosuudet'!#REF!</f>
        <v>#REF!</v>
      </c>
      <c r="D48" s="41">
        <f>'2. Toimintakate'!E48+'3. Verotulot'!L48+'4. Valtionosuudet'!H48</f>
        <v>29905</v>
      </c>
      <c r="E48" s="41">
        <f>'2. Toimintakate'!F48+'3. Verotulot'!Q48+'4. Valtionosuudet'!N48</f>
        <v>27829</v>
      </c>
      <c r="F48" s="41">
        <f>'2. Toimintakate'!G48+'3. Verotulot'!V48+'4. Valtionosuudet'!T48</f>
        <v>17684</v>
      </c>
      <c r="G48" s="41">
        <f>'2. Toimintakate'!H48+'3. Verotulot'!AA48+'4. Valtionosuudet'!Z48</f>
        <v>636</v>
      </c>
      <c r="H48" s="41">
        <f>'2. Toimintakate'!I48+'3. Verotulot'!AF48+'4. Valtionosuudet'!AG48</f>
        <v>21786.12307478828</v>
      </c>
      <c r="I48" s="41">
        <f>'2. Toimintakate'!J48+'3. Verotulot'!AK48+'4. Valtionosuudet'!AN48</f>
        <v>41844.334630353071</v>
      </c>
      <c r="J48" s="41">
        <f>'2. Toimintakate'!K48+'3. Verotulot'!AP48+'4. Valtionosuudet'!AU48</f>
        <v>35549.549191882688</v>
      </c>
      <c r="K48" s="41">
        <f>'2. Toimintakate'!L48+'3. Verotulot'!AU48+'4. Valtionosuudet'!BC48</f>
        <v>47625.868726013454</v>
      </c>
      <c r="L48" s="41">
        <f>'2. Toimintakate'!M48+'3. Verotulot'!AZ48+'4. Valtionosuudet'!BK48</f>
        <v>24196.198904004479</v>
      </c>
      <c r="M48" s="41">
        <f>'2. Toimintakate'!N48+'3. Verotulot'!BE48+'4. Valtionosuudet'!BQ48</f>
        <v>24656.822567462536</v>
      </c>
      <c r="N48" s="41">
        <f>'2. Toimintakate'!O48+'3. Verotulot'!BJ48+'4. Valtionosuudet'!BY48</f>
        <v>25430.212191997234</v>
      </c>
      <c r="O48" s="41">
        <f>'2. Toimintakate'!P48+'3. Verotulot'!BO48+'4. Valtionosuudet'!CE48</f>
        <v>26539.932029762611</v>
      </c>
      <c r="P48" s="41">
        <f>'2. Toimintakate'!Q48+'3. Verotulot'!BT48+'4. Valtionosuudet'!CK48</f>
        <v>30251.911462885902</v>
      </c>
      <c r="T48" s="34">
        <v>106</v>
      </c>
      <c r="U48" s="88" t="s">
        <v>362</v>
      </c>
      <c r="V48" s="41" t="e">
        <f>C48/'1. Väestöennuste'!E48*1000</f>
        <v>#REF!</v>
      </c>
      <c r="W48" s="41">
        <f>D48/'1. Väestöennuste'!F48*1000</f>
        <v>641.79328697742301</v>
      </c>
      <c r="X48" s="41">
        <f>E48/'1. Väestöennuste'!G48*1000</f>
        <v>595.412824407882</v>
      </c>
      <c r="Y48" s="41">
        <f>F48/'1. Väestöennuste'!H48*1000</f>
        <v>380.26836401169794</v>
      </c>
      <c r="Z48" s="41">
        <f>G48/'1. Väestöennuste'!I48*1000</f>
        <v>13.686249193027759</v>
      </c>
      <c r="AA48" s="41">
        <f>H48/'1. Väestöennuste'!J48*1000</f>
        <v>467.75427419246563</v>
      </c>
      <c r="AB48" s="41">
        <f>I48/'1. Väestöennuste'!K48*1000</f>
        <v>892.58392982835039</v>
      </c>
      <c r="AC48" s="41">
        <f>J48/'1. Väestöennuste'!L48*1000</f>
        <v>759.65444776123866</v>
      </c>
      <c r="AD48" s="41">
        <f>K48/'1. Väestöennuste'!M48*1000</f>
        <v>1015.4552936187597</v>
      </c>
      <c r="AE48" s="41">
        <f>L48/'1. Väestöennuste'!N48*1000</f>
        <v>515.9104243924196</v>
      </c>
      <c r="AF48" s="41">
        <f>M48/'1. Väestöennuste'!O48*1000</f>
        <v>524.80306850270381</v>
      </c>
      <c r="AG48" s="41">
        <f>N48/'1. Väestöennuste'!P48*1000</f>
        <v>540.2866531825706</v>
      </c>
      <c r="AH48" s="41">
        <f>O48/'1. Väestöennuste'!Q48*1000</f>
        <v>562.87103199852834</v>
      </c>
      <c r="AI48" s="41">
        <f>P48/'1. Väestöennuste'!R48*1000</f>
        <v>640.44185500224194</v>
      </c>
    </row>
    <row r="49" spans="1:35" x14ac:dyDescent="0.2">
      <c r="A49" s="34">
        <v>108</v>
      </c>
      <c r="B49" s="88" t="s">
        <v>363</v>
      </c>
      <c r="C49" s="41" t="e">
        <f>'2. Toimintakate'!D49+'3. Verotulot'!G49+'4. Valtionosuudet'!#REF!</f>
        <v>#REF!</v>
      </c>
      <c r="D49" s="41">
        <f>'2. Toimintakate'!E49+'3. Verotulot'!L49+'4. Valtionosuudet'!H49</f>
        <v>3358</v>
      </c>
      <c r="E49" s="41">
        <f>'2. Toimintakate'!F49+'3. Verotulot'!Q49+'4. Valtionosuudet'!N49</f>
        <v>5163</v>
      </c>
      <c r="F49" s="41">
        <f>'2. Toimintakate'!G49+'3. Verotulot'!V49+'4. Valtionosuudet'!T49</f>
        <v>5469</v>
      </c>
      <c r="G49" s="41">
        <f>'2. Toimintakate'!H49+'3. Verotulot'!AA49+'4. Valtionosuudet'!Z49</f>
        <v>3660</v>
      </c>
      <c r="H49" s="41">
        <f>'2. Toimintakate'!I49+'3. Verotulot'!AF49+'4. Valtionosuudet'!AG49</f>
        <v>7229.5645114138242</v>
      </c>
      <c r="I49" s="41">
        <f>'2. Toimintakate'!J49+'3. Verotulot'!AK49+'4. Valtionosuudet'!AN49</f>
        <v>5086.1544423641099</v>
      </c>
      <c r="J49" s="41">
        <f>'2. Toimintakate'!K49+'3. Verotulot'!AP49+'4. Valtionosuudet'!AU49</f>
        <v>7063.8124320507777</v>
      </c>
      <c r="K49" s="41">
        <f>'2. Toimintakate'!L49+'3. Verotulot'!AU49+'4. Valtionosuudet'!BC49</f>
        <v>7508.3922641386034</v>
      </c>
      <c r="L49" s="41">
        <f>'2. Toimintakate'!M49+'3. Verotulot'!AZ49+'4. Valtionosuudet'!BK49</f>
        <v>6121.4000594655281</v>
      </c>
      <c r="M49" s="41">
        <f>'2. Toimintakate'!N49+'3. Verotulot'!BE49+'4. Valtionosuudet'!BQ49</f>
        <v>4492.8813677733197</v>
      </c>
      <c r="N49" s="41">
        <f>'2. Toimintakate'!O49+'3. Verotulot'!BJ49+'4. Valtionosuudet'!BY49</f>
        <v>5373.3781695415382</v>
      </c>
      <c r="O49" s="41">
        <f>'2. Toimintakate'!P49+'3. Verotulot'!BO49+'4. Valtionosuudet'!CE49</f>
        <v>5587.2841491125728</v>
      </c>
      <c r="P49" s="41">
        <f>'2. Toimintakate'!Q49+'3. Verotulot'!BT49+'4. Valtionosuudet'!CK49</f>
        <v>7046.7162545945885</v>
      </c>
      <c r="T49" s="34">
        <v>108</v>
      </c>
      <c r="U49" s="88" t="s">
        <v>363</v>
      </c>
      <c r="V49" s="41" t="e">
        <f>C49/'1. Väestöennuste'!E49*1000</f>
        <v>#REF!</v>
      </c>
      <c r="W49" s="41">
        <f>D49/'1. Väestöennuste'!F49*1000</f>
        <v>314.39003838591896</v>
      </c>
      <c r="X49" s="41">
        <f>E49/'1. Väestöennuste'!G49*1000</f>
        <v>487.12142654967448</v>
      </c>
      <c r="Y49" s="41">
        <f>F49/'1. Väestöennuste'!H49*1000</f>
        <v>520.36156041864888</v>
      </c>
      <c r="Z49" s="41">
        <f>G49/'1. Väestöennuste'!I49*1000</f>
        <v>351.7877739331027</v>
      </c>
      <c r="AA49" s="41">
        <f>H49/'1. Väestöennuste'!J49*1000</f>
        <v>698.91381587527303</v>
      </c>
      <c r="AB49" s="41">
        <f>I49/'1. Väestöennuste'!K49*1000</f>
        <v>492.03390174751962</v>
      </c>
      <c r="AC49" s="41">
        <f>J49/'1. Väestöennuste'!L49*1000</f>
        <v>688.68211290345891</v>
      </c>
      <c r="AD49" s="41">
        <f>K49/'1. Väestöennuste'!M49*1000</f>
        <v>727.6278965150309</v>
      </c>
      <c r="AE49" s="41">
        <f>L49/'1. Väestöennuste'!N49*1000</f>
        <v>608.79165186131559</v>
      </c>
      <c r="AF49" s="41">
        <f>M49/'1. Väestöennuste'!O49*1000</f>
        <v>449.51289322394393</v>
      </c>
      <c r="AG49" s="41">
        <f>N49/'1. Väestöennuste'!P49*1000</f>
        <v>540.47255778933186</v>
      </c>
      <c r="AH49" s="41">
        <f>O49/'1. Väestöennuste'!Q49*1000</f>
        <v>564.71438741788688</v>
      </c>
      <c r="AI49" s="41">
        <f>P49/'1. Väestöennuste'!R49*1000</f>
        <v>715.62062096014915</v>
      </c>
    </row>
    <row r="50" spans="1:35" x14ac:dyDescent="0.2">
      <c r="A50" s="34">
        <v>109</v>
      </c>
      <c r="B50" s="88" t="s">
        <v>364</v>
      </c>
      <c r="C50" s="41" t="e">
        <f>'2. Toimintakate'!D50+'3. Verotulot'!G50+'4. Valtionosuudet'!#REF!</f>
        <v>#REF!</v>
      </c>
      <c r="D50" s="41">
        <f>'2. Toimintakate'!E50+'3. Verotulot'!L50+'4. Valtionosuudet'!H50</f>
        <v>11088</v>
      </c>
      <c r="E50" s="41">
        <f>'2. Toimintakate'!F50+'3. Verotulot'!Q50+'4. Valtionosuudet'!N50</f>
        <v>22285</v>
      </c>
      <c r="F50" s="41">
        <f>'2. Toimintakate'!G50+'3. Verotulot'!V50+'4. Valtionosuudet'!T50</f>
        <v>15998</v>
      </c>
      <c r="G50" s="41">
        <f>'2. Toimintakate'!H50+'3. Verotulot'!AA50+'4. Valtionosuudet'!Z50</f>
        <v>4287</v>
      </c>
      <c r="H50" s="41">
        <f>'2. Toimintakate'!I50+'3. Verotulot'!AF50+'4. Valtionosuudet'!AG50</f>
        <v>35132.895743801186</v>
      </c>
      <c r="I50" s="41">
        <f>'2. Toimintakate'!J50+'3. Verotulot'!AK50+'4. Valtionosuudet'!AN50</f>
        <v>29448.749766208814</v>
      </c>
      <c r="J50" s="41">
        <f>'2. Toimintakate'!K50+'3. Verotulot'!AP50+'4. Valtionosuudet'!AU50</f>
        <v>31458.095330828088</v>
      </c>
      <c r="K50" s="41">
        <f>'2. Toimintakate'!L50+'3. Verotulot'!AU50+'4. Valtionosuudet'!BC50</f>
        <v>49396.151003870909</v>
      </c>
      <c r="L50" s="41">
        <f>'2. Toimintakate'!M50+'3. Verotulot'!AZ50+'4. Valtionosuudet'!BK50</f>
        <v>36556.944973263555</v>
      </c>
      <c r="M50" s="41">
        <f>'2. Toimintakate'!N50+'3. Verotulot'!BE50+'4. Valtionosuudet'!BQ50</f>
        <v>30556.827029708027</v>
      </c>
      <c r="N50" s="41">
        <f>'2. Toimintakate'!O50+'3. Verotulot'!BJ50+'4. Valtionosuudet'!BY50</f>
        <v>29822.230908690035</v>
      </c>
      <c r="O50" s="41">
        <f>'2. Toimintakate'!P50+'3. Verotulot'!BO50+'4. Valtionosuudet'!CE50</f>
        <v>31034.430417675125</v>
      </c>
      <c r="P50" s="41">
        <f>'2. Toimintakate'!Q50+'3. Verotulot'!BT50+'4. Valtionosuudet'!CK50</f>
        <v>37144.178526652118</v>
      </c>
      <c r="T50" s="34">
        <v>109</v>
      </c>
      <c r="U50" s="88" t="s">
        <v>364</v>
      </c>
      <c r="V50" s="41" t="e">
        <f>C50/'1. Väestöennuste'!E50*1000</f>
        <v>#REF!</v>
      </c>
      <c r="W50" s="41">
        <f>D50/'1. Väestöennuste'!F50*1000</f>
        <v>163.41930729550481</v>
      </c>
      <c r="X50" s="41">
        <f>E50/'1. Väestöennuste'!G50*1000</f>
        <v>329.35768969288523</v>
      </c>
      <c r="Y50" s="41">
        <f>F50/'1. Väestöennuste'!H50*1000</f>
        <v>236.89510158147249</v>
      </c>
      <c r="Z50" s="41">
        <f>G50/'1. Väestöennuste'!I50*1000</f>
        <v>63.386216787662832</v>
      </c>
      <c r="AA50" s="41">
        <f>H50/'1. Väestöennuste'!J50*1000</f>
        <v>517.81770639961655</v>
      </c>
      <c r="AB50" s="41">
        <f>I50/'1. Väestöennuste'!K50*1000</f>
        <v>433.2546198556563</v>
      </c>
      <c r="AC50" s="41">
        <f>J50/'1. Väestöennuste'!L50*1000</f>
        <v>462.32669533718513</v>
      </c>
      <c r="AD50" s="41">
        <f>K50/'1. Väestöennuste'!M50*1000</f>
        <v>723.02216080257188</v>
      </c>
      <c r="AE50" s="41">
        <f>L50/'1. Väestöennuste'!N50*1000</f>
        <v>537.08873831284143</v>
      </c>
      <c r="AF50" s="41">
        <f>M50/'1. Väestöennuste'!O50*1000</f>
        <v>448.77114157303612</v>
      </c>
      <c r="AG50" s="41">
        <f>N50/'1. Väestöennuste'!P50*1000</f>
        <v>437.86035485310367</v>
      </c>
      <c r="AH50" s="41">
        <f>O50/'1. Väestöennuste'!Q50*1000</f>
        <v>455.58470959593552</v>
      </c>
      <c r="AI50" s="41">
        <f>P50/'1. Väestöennuste'!R50*1000</f>
        <v>545.28367308169697</v>
      </c>
    </row>
    <row r="51" spans="1:35" x14ac:dyDescent="0.2">
      <c r="A51" s="34">
        <v>111</v>
      </c>
      <c r="B51" s="88" t="s">
        <v>365</v>
      </c>
      <c r="C51" s="41" t="e">
        <f>'2. Toimintakate'!D51+'3. Verotulot'!G51+'4. Valtionosuudet'!#REF!</f>
        <v>#REF!</v>
      </c>
      <c r="D51" s="41">
        <f>'2. Toimintakate'!E51+'3. Verotulot'!L51+'4. Valtionosuudet'!H51</f>
        <v>3928</v>
      </c>
      <c r="E51" s="41">
        <f>'2. Toimintakate'!F51+'3. Verotulot'!Q51+'4. Valtionosuudet'!N51</f>
        <v>6492</v>
      </c>
      <c r="F51" s="41">
        <f>'2. Toimintakate'!G51+'3. Verotulot'!V51+'4. Valtionosuudet'!T51</f>
        <v>11306</v>
      </c>
      <c r="G51" s="41">
        <f>'2. Toimintakate'!H51+'3. Verotulot'!AA51+'4. Valtionosuudet'!Z51</f>
        <v>4665</v>
      </c>
      <c r="H51" s="41">
        <f>'2. Toimintakate'!I51+'3. Verotulot'!AF51+'4. Valtionosuudet'!AG51</f>
        <v>17972.202937110545</v>
      </c>
      <c r="I51" s="41">
        <f>'2. Toimintakate'!J51+'3. Verotulot'!AK51+'4. Valtionosuudet'!AN51</f>
        <v>10422.481098332806</v>
      </c>
      <c r="J51" s="41">
        <f>'2. Toimintakate'!K51+'3. Verotulot'!AP51+'4. Valtionosuudet'!AU51</f>
        <v>11753.045841130261</v>
      </c>
      <c r="K51" s="41">
        <f>'2. Toimintakate'!L51+'3. Verotulot'!AU51+'4. Valtionosuudet'!BC51</f>
        <v>11078.007068036331</v>
      </c>
      <c r="L51" s="41">
        <f>'2. Toimintakate'!M51+'3. Verotulot'!AZ51+'4. Valtionosuudet'!BK51</f>
        <v>10596.629156302421</v>
      </c>
      <c r="M51" s="41">
        <f>'2. Toimintakate'!N51+'3. Verotulot'!BE51+'4. Valtionosuudet'!BQ51</f>
        <v>7506.1622627701981</v>
      </c>
      <c r="N51" s="41">
        <f>'2. Toimintakate'!O51+'3. Verotulot'!BJ51+'4. Valtionosuudet'!BY51</f>
        <v>6205.8395039074458</v>
      </c>
      <c r="O51" s="41">
        <f>'2. Toimintakate'!P51+'3. Verotulot'!BO51+'4. Valtionosuudet'!CE51</f>
        <v>5683.5012389424619</v>
      </c>
      <c r="P51" s="41">
        <f>'2. Toimintakate'!Q51+'3. Verotulot'!BT51+'4. Valtionosuudet'!CK51</f>
        <v>7972.657200126283</v>
      </c>
      <c r="T51" s="34">
        <v>111</v>
      </c>
      <c r="U51" s="88" t="s">
        <v>365</v>
      </c>
      <c r="V51" s="41" t="e">
        <f>C51/'1. Väestöennuste'!E51*1000</f>
        <v>#REF!</v>
      </c>
      <c r="W51" s="41">
        <f>D51/'1. Väestöennuste'!F51*1000</f>
        <v>202.99741602067184</v>
      </c>
      <c r="X51" s="41">
        <f>E51/'1. Väestöennuste'!G51*1000</f>
        <v>339.39774153074023</v>
      </c>
      <c r="Y51" s="41">
        <f>F51/'1. Väestöennuste'!H51*1000</f>
        <v>598.54942029752772</v>
      </c>
      <c r="Z51" s="41">
        <f>G51/'1. Väestöennuste'!I51*1000</f>
        <v>249.90625167407725</v>
      </c>
      <c r="AA51" s="41">
        <f>H51/'1. Väestöennuste'!J51*1000</f>
        <v>971.62799032873147</v>
      </c>
      <c r="AB51" s="41">
        <f>I51/'1. Väestöennuste'!K51*1000</f>
        <v>568.16839829550838</v>
      </c>
      <c r="AC51" s="41">
        <f>J51/'1. Väestöennuste'!L51*1000</f>
        <v>648.22932221776296</v>
      </c>
      <c r="AD51" s="41">
        <f>K51/'1. Väestöennuste'!M51*1000</f>
        <v>617.05603899272171</v>
      </c>
      <c r="AE51" s="41">
        <f>L51/'1. Väestöennuste'!N51*1000</f>
        <v>600.54571585732049</v>
      </c>
      <c r="AF51" s="41">
        <f>M51/'1. Väestöennuste'!O51*1000</f>
        <v>429.85696156054274</v>
      </c>
      <c r="AG51" s="41">
        <f>N51/'1. Väestöennuste'!P51*1000</f>
        <v>358.92651844461801</v>
      </c>
      <c r="AH51" s="41">
        <f>O51/'1. Väestöennuste'!Q51*1000</f>
        <v>331.84452846046952</v>
      </c>
      <c r="AI51" s="41">
        <f>P51/'1. Väestöennuste'!R51*1000</f>
        <v>469.86428572172809</v>
      </c>
    </row>
    <row r="52" spans="1:35" x14ac:dyDescent="0.2">
      <c r="A52" s="34">
        <v>139</v>
      </c>
      <c r="B52" s="88" t="s">
        <v>366</v>
      </c>
      <c r="C52" s="41" t="e">
        <f>'2. Toimintakate'!D52+'3. Verotulot'!G52+'4. Valtionosuudet'!#REF!</f>
        <v>#REF!</v>
      </c>
      <c r="D52" s="41">
        <f>'2. Toimintakate'!E52+'3. Verotulot'!L52+'4. Valtionosuudet'!H52</f>
        <v>3495</v>
      </c>
      <c r="E52" s="41">
        <f>'2. Toimintakate'!F52+'3. Verotulot'!Q52+'4. Valtionosuudet'!N52</f>
        <v>3989</v>
      </c>
      <c r="F52" s="41">
        <f>'2. Toimintakate'!G52+'3. Verotulot'!V52+'4. Valtionosuudet'!T52</f>
        <v>1388</v>
      </c>
      <c r="G52" s="41">
        <f>'2. Toimintakate'!H52+'3. Verotulot'!AA52+'4. Valtionosuudet'!Z52</f>
        <v>483</v>
      </c>
      <c r="H52" s="41">
        <f>'2. Toimintakate'!I52+'3. Verotulot'!AF52+'4. Valtionosuudet'!AG52</f>
        <v>5256.1554161694658</v>
      </c>
      <c r="I52" s="41">
        <f>'2. Toimintakate'!J52+'3. Verotulot'!AK52+'4. Valtionosuudet'!AN52</f>
        <v>2902.8765570496398</v>
      </c>
      <c r="J52" s="41">
        <f>'2. Toimintakate'!K52+'3. Verotulot'!AP52+'4. Valtionosuudet'!AU52</f>
        <v>5239.7165065043664</v>
      </c>
      <c r="K52" s="41">
        <f>'2. Toimintakate'!L52+'3. Verotulot'!AU52+'4. Valtionosuudet'!BC52</f>
        <v>6317.5741785716036</v>
      </c>
      <c r="L52" s="41">
        <f>'2. Toimintakate'!M52+'3. Verotulot'!AZ52+'4. Valtionosuudet'!BK52</f>
        <v>3024.2593615414753</v>
      </c>
      <c r="M52" s="41">
        <f>'2. Toimintakate'!N52+'3. Verotulot'!BE52+'4. Valtionosuudet'!BQ52</f>
        <v>2584.5540823375359</v>
      </c>
      <c r="N52" s="41">
        <f>'2. Toimintakate'!O52+'3. Verotulot'!BJ52+'4. Valtionosuudet'!BY52</f>
        <v>2692.2929385923835</v>
      </c>
      <c r="O52" s="41">
        <f>'2. Toimintakate'!P52+'3. Verotulot'!BO52+'4. Valtionosuudet'!CE52</f>
        <v>2804.7435682429186</v>
      </c>
      <c r="P52" s="41">
        <f>'2. Toimintakate'!Q52+'3. Verotulot'!BT52+'4. Valtionosuudet'!CK52</f>
        <v>4044.0899908805623</v>
      </c>
      <c r="T52" s="34">
        <v>139</v>
      </c>
      <c r="U52" s="88" t="s">
        <v>366</v>
      </c>
      <c r="V52" s="41" t="e">
        <f>C52/'1. Väestöennuste'!E52*1000</f>
        <v>#REF!</v>
      </c>
      <c r="W52" s="41">
        <f>D52/'1. Väestöennuste'!F52*1000</f>
        <v>363.00373909430829</v>
      </c>
      <c r="X52" s="41">
        <f>E52/'1. Väestöennuste'!G52*1000</f>
        <v>400.26088701585388</v>
      </c>
      <c r="Y52" s="41">
        <f>F52/'1. Väestöennuste'!H52*1000</f>
        <v>140.74224295274792</v>
      </c>
      <c r="Z52" s="41">
        <f>G52/'1. Väestöennuste'!I52*1000</f>
        <v>49.065420560747661</v>
      </c>
      <c r="AA52" s="41">
        <f>H52/'1. Väestöennuste'!J52*1000</f>
        <v>533.72821041525856</v>
      </c>
      <c r="AB52" s="41">
        <f>I52/'1. Väestöennuste'!K52*1000</f>
        <v>292.86486653043175</v>
      </c>
      <c r="AC52" s="41">
        <f>J52/'1. Väestöennuste'!L52*1000</f>
        <v>531.78894818881213</v>
      </c>
      <c r="AD52" s="41">
        <f>K52/'1. Väestöennuste'!M52*1000</f>
        <v>646.89475512713534</v>
      </c>
      <c r="AE52" s="41">
        <f>L52/'1. Väestöennuste'!N52*1000</f>
        <v>312.29444047309738</v>
      </c>
      <c r="AF52" s="41">
        <f>M52/'1. Väestöennuste'!O52*1000</f>
        <v>268.07946087932123</v>
      </c>
      <c r="AG52" s="41">
        <f>N52/'1. Väestöennuste'!P52*1000</f>
        <v>280.5348482434494</v>
      </c>
      <c r="AH52" s="41">
        <f>O52/'1. Väestöennuste'!Q52*1000</f>
        <v>293.65967628969935</v>
      </c>
      <c r="AI52" s="41">
        <f>P52/'1. Väestöennuste'!R52*1000</f>
        <v>425.38024517519324</v>
      </c>
    </row>
    <row r="53" spans="1:35" x14ac:dyDescent="0.2">
      <c r="A53" s="34">
        <v>140</v>
      </c>
      <c r="B53" s="88" t="s">
        <v>367</v>
      </c>
      <c r="C53" s="41" t="e">
        <f>'2. Toimintakate'!D53+'3. Verotulot'!G53+'4. Valtionosuudet'!#REF!</f>
        <v>#REF!</v>
      </c>
      <c r="D53" s="41">
        <f>'2. Toimintakate'!E53+'3. Verotulot'!L53+'4. Valtionosuudet'!H53</f>
        <v>6897</v>
      </c>
      <c r="E53" s="41">
        <f>'2. Toimintakate'!F53+'3. Verotulot'!Q53+'4. Valtionosuudet'!N53</f>
        <v>10100</v>
      </c>
      <c r="F53" s="41">
        <f>'2. Toimintakate'!G53+'3. Verotulot'!V53+'4. Valtionosuudet'!T53</f>
        <v>10941</v>
      </c>
      <c r="G53" s="41">
        <f>'2. Toimintakate'!H53+'3. Verotulot'!AA53+'4. Valtionosuudet'!Z53</f>
        <v>6440</v>
      </c>
      <c r="H53" s="41">
        <f>'2. Toimintakate'!I53+'3. Verotulot'!AF53+'4. Valtionosuudet'!AG53</f>
        <v>12725.483968701439</v>
      </c>
      <c r="I53" s="41">
        <f>'2. Toimintakate'!J53+'3. Verotulot'!AK53+'4. Valtionosuudet'!AN53</f>
        <v>11721.808354944034</v>
      </c>
      <c r="J53" s="41">
        <f>'2. Toimintakate'!K53+'3. Verotulot'!AP53+'4. Valtionosuudet'!AU53</f>
        <v>13258.477022873092</v>
      </c>
      <c r="K53" s="41">
        <f>'2. Toimintakate'!L53+'3. Verotulot'!AU53+'4. Valtionosuudet'!BC53</f>
        <v>15031.295188049273</v>
      </c>
      <c r="L53" s="41">
        <f>'2. Toimintakate'!M53+'3. Verotulot'!AZ53+'4. Valtionosuudet'!BK53</f>
        <v>10692.384658874194</v>
      </c>
      <c r="M53" s="41">
        <f>'2. Toimintakate'!N53+'3. Verotulot'!BE53+'4. Valtionosuudet'!BQ53</f>
        <v>6951.445294658839</v>
      </c>
      <c r="N53" s="41">
        <f>'2. Toimintakate'!O53+'3. Verotulot'!BJ53+'4. Valtionosuudet'!BY53</f>
        <v>6889.676457987418</v>
      </c>
      <c r="O53" s="41">
        <f>'2. Toimintakate'!P53+'3. Verotulot'!BO53+'4. Valtionosuudet'!CE53</f>
        <v>6080.9922845484616</v>
      </c>
      <c r="P53" s="41">
        <f>'2. Toimintakate'!Q53+'3. Verotulot'!BT53+'4. Valtionosuudet'!CK53</f>
        <v>8461.8313726371962</v>
      </c>
      <c r="T53" s="34">
        <v>140</v>
      </c>
      <c r="U53" s="88" t="s">
        <v>367</v>
      </c>
      <c r="V53" s="41" t="e">
        <f>C53/'1. Väestöennuste'!E53*1000</f>
        <v>#REF!</v>
      </c>
      <c r="W53" s="41">
        <f>D53/'1. Väestöennuste'!F53*1000</f>
        <v>316.85579087609682</v>
      </c>
      <c r="X53" s="41">
        <f>E53/'1. Väestöennuste'!G53*1000</f>
        <v>466.74984980821665</v>
      </c>
      <c r="Y53" s="41">
        <f>F53/'1. Väestöennuste'!H53*1000</f>
        <v>509.54731743666173</v>
      </c>
      <c r="Z53" s="41">
        <f>G53/'1. Väestöennuste'!I53*1000</f>
        <v>301.38524897042305</v>
      </c>
      <c r="AA53" s="41">
        <f>H53/'1. Väestöennuste'!J53*1000</f>
        <v>602.41829050849458</v>
      </c>
      <c r="AB53" s="41">
        <f>I53/'1. Väestöennuste'!K53*1000</f>
        <v>559.29995013570169</v>
      </c>
      <c r="AC53" s="41">
        <f>J53/'1. Väestöennuste'!L53*1000</f>
        <v>637.39613590082661</v>
      </c>
      <c r="AD53" s="41">
        <f>K53/'1. Väestöennuste'!M53*1000</f>
        <v>729.03750063290681</v>
      </c>
      <c r="AE53" s="41">
        <f>L53/'1. Väestöennuste'!N53*1000</f>
        <v>522.65053567671305</v>
      </c>
      <c r="AF53" s="41">
        <f>M53/'1. Väestöennuste'!O53*1000</f>
        <v>342.50321711957224</v>
      </c>
      <c r="AG53" s="41">
        <f>N53/'1. Väestöennuste'!P53*1000</f>
        <v>342.15715425046773</v>
      </c>
      <c r="AH53" s="41">
        <f>O53/'1. Väestöennuste'!Q53*1000</f>
        <v>304.39967385235326</v>
      </c>
      <c r="AI53" s="41">
        <f>P53/'1. Väestöennuste'!R53*1000</f>
        <v>426.91243492443346</v>
      </c>
    </row>
    <row r="54" spans="1:35" x14ac:dyDescent="0.2">
      <c r="A54" s="34">
        <v>142</v>
      </c>
      <c r="B54" s="88" t="s">
        <v>368</v>
      </c>
      <c r="C54" s="41" t="e">
        <f>'2. Toimintakate'!D54+'3. Verotulot'!G54+'4. Valtionosuudet'!#REF!</f>
        <v>#REF!</v>
      </c>
      <c r="D54" s="41">
        <f>'2. Toimintakate'!E54+'3. Verotulot'!L54+'4. Valtionosuudet'!H54</f>
        <v>978</v>
      </c>
      <c r="E54" s="41">
        <f>'2. Toimintakate'!F54+'3. Verotulot'!Q54+'4. Valtionosuudet'!N54</f>
        <v>1266</v>
      </c>
      <c r="F54" s="41">
        <f>'2. Toimintakate'!G54+'3. Verotulot'!V54+'4. Valtionosuudet'!T54</f>
        <v>305</v>
      </c>
      <c r="G54" s="41">
        <f>'2. Toimintakate'!H54+'3. Verotulot'!AA54+'4. Valtionosuudet'!Z54</f>
        <v>-1459</v>
      </c>
      <c r="H54" s="41">
        <f>'2. Toimintakate'!I54+'3. Verotulot'!AF54+'4. Valtionosuudet'!AG54</f>
        <v>6396.8031979625193</v>
      </c>
      <c r="I54" s="41">
        <f>'2. Toimintakate'!J54+'3. Verotulot'!AK54+'4. Valtionosuudet'!AN54</f>
        <v>4297.8231562440269</v>
      </c>
      <c r="J54" s="41">
        <f>'2. Toimintakate'!K54+'3. Verotulot'!AP54+'4. Valtionosuudet'!AU54</f>
        <v>4485.6193935120355</v>
      </c>
      <c r="K54" s="41">
        <f>'2. Toimintakate'!L54+'3. Verotulot'!AU54+'4. Valtionosuudet'!BC54</f>
        <v>3031.9338111594448</v>
      </c>
      <c r="L54" s="41">
        <f>'2. Toimintakate'!M54+'3. Verotulot'!AZ54+'4. Valtionosuudet'!BK54</f>
        <v>1802.2012970240667</v>
      </c>
      <c r="M54" s="41">
        <f>'2. Toimintakate'!N54+'3. Verotulot'!BE54+'4. Valtionosuudet'!BQ54</f>
        <v>1161.7649427348097</v>
      </c>
      <c r="N54" s="41">
        <f>'2. Toimintakate'!O54+'3. Verotulot'!BJ54+'4. Valtionosuudet'!BY54</f>
        <v>1318.541149672863</v>
      </c>
      <c r="O54" s="41">
        <f>'2. Toimintakate'!P54+'3. Verotulot'!BO54+'4. Valtionosuudet'!CE54</f>
        <v>1017.8142664382376</v>
      </c>
      <c r="P54" s="41">
        <f>'2. Toimintakate'!Q54+'3. Verotulot'!BT54+'4. Valtionosuudet'!CK54</f>
        <v>1877.0246123061243</v>
      </c>
      <c r="T54" s="34">
        <v>142</v>
      </c>
      <c r="U54" s="88" t="s">
        <v>368</v>
      </c>
      <c r="V54" s="41" t="e">
        <f>C54/'1. Väestöennuste'!E54*1000</f>
        <v>#REF!</v>
      </c>
      <c r="W54" s="41">
        <f>D54/'1. Väestöennuste'!F54*1000</f>
        <v>141.9654521701263</v>
      </c>
      <c r="X54" s="41">
        <f>E54/'1. Väestöennuste'!G54*1000</f>
        <v>185.63049853372434</v>
      </c>
      <c r="Y54" s="41">
        <f>F54/'1. Väestöennuste'!H54*1000</f>
        <v>45.0849963045085</v>
      </c>
      <c r="Z54" s="41">
        <f>G54/'1. Väestöennuste'!I54*1000</f>
        <v>-217.40426165996126</v>
      </c>
      <c r="AA54" s="41">
        <f>H54/'1. Väestöennuste'!J54*1000</f>
        <v>965.55519969245574</v>
      </c>
      <c r="AB54" s="41">
        <f>I54/'1. Väestöennuste'!K54*1000</f>
        <v>655.25585550297717</v>
      </c>
      <c r="AC54" s="41">
        <f>J54/'1. Väestöennuste'!L54*1000</f>
        <v>689.67087846126003</v>
      </c>
      <c r="AD54" s="41">
        <f>K54/'1. Väestöennuste'!M54*1000</f>
        <v>470.50493655484865</v>
      </c>
      <c r="AE54" s="41">
        <f>L54/'1. Väestöennuste'!N54*1000</f>
        <v>281.19851724513444</v>
      </c>
      <c r="AF54" s="41">
        <f>M54/'1. Väestöennuste'!O54*1000</f>
        <v>182.81116329422653</v>
      </c>
      <c r="AG54" s="41">
        <f>N54/'1. Väestöennuste'!P54*1000</f>
        <v>209.12627274748024</v>
      </c>
      <c r="AH54" s="41">
        <f>O54/'1. Väestöennuste'!Q54*1000</f>
        <v>162.69409629767225</v>
      </c>
      <c r="AI54" s="41">
        <f>P54/'1. Väestöennuste'!R54*1000</f>
        <v>302.35576873487821</v>
      </c>
    </row>
    <row r="55" spans="1:35" x14ac:dyDescent="0.2">
      <c r="A55" s="34">
        <v>143</v>
      </c>
      <c r="B55" s="88" t="s">
        <v>369</v>
      </c>
      <c r="C55" s="41" t="e">
        <f>'2. Toimintakate'!D55+'3. Verotulot'!G55+'4. Valtionosuudet'!#REF!</f>
        <v>#REF!</v>
      </c>
      <c r="D55" s="41">
        <f>'2. Toimintakate'!E55+'3. Verotulot'!L55+'4. Valtionosuudet'!H55</f>
        <v>3006</v>
      </c>
      <c r="E55" s="41">
        <f>'2. Toimintakate'!F55+'3. Verotulot'!Q55+'4. Valtionosuudet'!N55</f>
        <v>1494</v>
      </c>
      <c r="F55" s="41">
        <f>'2. Toimintakate'!G55+'3. Verotulot'!V55+'4. Valtionosuudet'!T55</f>
        <v>339</v>
      </c>
      <c r="G55" s="41">
        <f>'2. Toimintakate'!H55+'3. Verotulot'!AA55+'4. Valtionosuudet'!Z55</f>
        <v>-167</v>
      </c>
      <c r="H55" s="41">
        <f>'2. Toimintakate'!I55+'3. Verotulot'!AF55+'4. Valtionosuudet'!AG55</f>
        <v>5756.58445588635</v>
      </c>
      <c r="I55" s="41">
        <f>'2. Toimintakate'!J55+'3. Verotulot'!AK55+'4. Valtionosuudet'!AN55</f>
        <v>3077.2607940975322</v>
      </c>
      <c r="J55" s="41">
        <f>'2. Toimintakate'!K55+'3. Verotulot'!AP55+'4. Valtionosuudet'!AU55</f>
        <v>2109.1145456865488</v>
      </c>
      <c r="K55" s="41">
        <f>'2. Toimintakate'!L55+'3. Verotulot'!AU55+'4. Valtionosuudet'!BC55</f>
        <v>2787.4838220592069</v>
      </c>
      <c r="L55" s="41">
        <f>'2. Toimintakate'!M55+'3. Verotulot'!AZ55+'4. Valtionosuudet'!BK55</f>
        <v>2723.8299643545174</v>
      </c>
      <c r="M55" s="41">
        <f>'2. Toimintakate'!N55+'3. Verotulot'!BE55+'4. Valtionosuudet'!BQ55</f>
        <v>1308.2487345376144</v>
      </c>
      <c r="N55" s="41">
        <f>'2. Toimintakate'!O55+'3. Verotulot'!BJ55+'4. Valtionosuudet'!BY55</f>
        <v>1212.5977249170569</v>
      </c>
      <c r="O55" s="41">
        <f>'2. Toimintakate'!P55+'3. Verotulot'!BO55+'4. Valtionosuudet'!CE55</f>
        <v>1670.2658856179855</v>
      </c>
      <c r="P55" s="41">
        <f>'2. Toimintakate'!Q55+'3. Verotulot'!BT55+'4. Valtionosuudet'!CK55</f>
        <v>2473.4440456897169</v>
      </c>
      <c r="T55" s="34">
        <v>143</v>
      </c>
      <c r="U55" s="88" t="s">
        <v>369</v>
      </c>
      <c r="V55" s="41" t="e">
        <f>C55/'1. Väestöennuste'!E55*1000</f>
        <v>#REF!</v>
      </c>
      <c r="W55" s="41">
        <f>D55/'1. Väestöennuste'!F55*1000</f>
        <v>421.71717171717171</v>
      </c>
      <c r="X55" s="41">
        <f>E55/'1. Väestöennuste'!G55*1000</f>
        <v>209.86093552465235</v>
      </c>
      <c r="Y55" s="41">
        <f>F55/'1. Väestöennuste'!H55*1000</f>
        <v>48.407825217763815</v>
      </c>
      <c r="Z55" s="41">
        <f>G55/'1. Väestöennuste'!I55*1000</f>
        <v>-24.056467876692594</v>
      </c>
      <c r="AA55" s="41">
        <f>H55/'1. Väestöennuste'!J55*1000</f>
        <v>838.41894201665457</v>
      </c>
      <c r="AB55" s="41">
        <f>I55/'1. Väestöennuste'!K55*1000</f>
        <v>447.47139655337099</v>
      </c>
      <c r="AC55" s="41">
        <f>J55/'1. Väestöennuste'!L55*1000</f>
        <v>309.9815616823264</v>
      </c>
      <c r="AD55" s="41">
        <f>K55/'1. Väestöennuste'!M55*1000</f>
        <v>406.93194482616155</v>
      </c>
      <c r="AE55" s="41">
        <f>L55/'1. Väestöennuste'!N55*1000</f>
        <v>410.21535607748757</v>
      </c>
      <c r="AF55" s="41">
        <f>M55/'1. Väestöennuste'!O55*1000</f>
        <v>198.52029355654238</v>
      </c>
      <c r="AG55" s="41">
        <f>N55/'1. Väestöennuste'!P55*1000</f>
        <v>185.32748355755109</v>
      </c>
      <c r="AH55" s="41">
        <f>O55/'1. Väestöennuste'!Q55*1000</f>
        <v>257.082635927041</v>
      </c>
      <c r="AI55" s="41">
        <f>P55/'1. Väestöennuste'!R55*1000</f>
        <v>383.30141727719155</v>
      </c>
    </row>
    <row r="56" spans="1:35" x14ac:dyDescent="0.2">
      <c r="A56" s="34">
        <v>145</v>
      </c>
      <c r="B56" s="88" t="s">
        <v>370</v>
      </c>
      <c r="C56" s="41" t="e">
        <f>'2. Toimintakate'!D56+'3. Verotulot'!G56+'4. Valtionosuudet'!#REF!</f>
        <v>#REF!</v>
      </c>
      <c r="D56" s="41">
        <f>'2. Toimintakate'!E56+'3. Verotulot'!L56+'4. Valtionosuudet'!H56</f>
        <v>4574</v>
      </c>
      <c r="E56" s="41">
        <f>'2. Toimintakate'!F56+'3. Verotulot'!Q56+'4. Valtionosuudet'!N56</f>
        <v>4673</v>
      </c>
      <c r="F56" s="41">
        <f>'2. Toimintakate'!G56+'3. Verotulot'!V56+'4. Valtionosuudet'!T56</f>
        <v>2471</v>
      </c>
      <c r="G56" s="41">
        <f>'2. Toimintakate'!H56+'3. Verotulot'!AA56+'4. Valtionosuudet'!Z56</f>
        <v>-557</v>
      </c>
      <c r="H56" s="41">
        <f>'2. Toimintakate'!I56+'3. Verotulot'!AF56+'4. Valtionosuudet'!AG56</f>
        <v>5742.7884225065573</v>
      </c>
      <c r="I56" s="41">
        <f>'2. Toimintakate'!J56+'3. Verotulot'!AK56+'4. Valtionosuudet'!AN56</f>
        <v>3821.2058650278123</v>
      </c>
      <c r="J56" s="41">
        <f>'2. Toimintakate'!K56+'3. Verotulot'!AP56+'4. Valtionosuudet'!AU56</f>
        <v>2001.2821518559067</v>
      </c>
      <c r="K56" s="41">
        <f>'2. Toimintakate'!L56+'3. Verotulot'!AU56+'4. Valtionosuudet'!BC56</f>
        <v>7292.0754981069404</v>
      </c>
      <c r="L56" s="41">
        <f>'2. Toimintakate'!M56+'3. Verotulot'!AZ56+'4. Valtionosuudet'!BK56</f>
        <v>5835.6362352486758</v>
      </c>
      <c r="M56" s="41">
        <f>'2. Toimintakate'!N56+'3. Verotulot'!BE56+'4. Valtionosuudet'!BQ56</f>
        <v>2177.9547079297336</v>
      </c>
      <c r="N56" s="41">
        <f>'2. Toimintakate'!O56+'3. Verotulot'!BJ56+'4. Valtionosuudet'!BY56</f>
        <v>2464.012865777242</v>
      </c>
      <c r="O56" s="41">
        <f>'2. Toimintakate'!P56+'3. Verotulot'!BO56+'4. Valtionosuudet'!CE56</f>
        <v>2415.0001223367144</v>
      </c>
      <c r="P56" s="41">
        <f>'2. Toimintakate'!Q56+'3. Verotulot'!BT56+'4. Valtionosuudet'!CK56</f>
        <v>2840.9927674711325</v>
      </c>
      <c r="T56" s="34">
        <v>145</v>
      </c>
      <c r="U56" s="88" t="s">
        <v>370</v>
      </c>
      <c r="V56" s="41" t="e">
        <f>C56/'1. Väestöennuste'!E56*1000</f>
        <v>#REF!</v>
      </c>
      <c r="W56" s="41">
        <f>D56/'1. Väestöennuste'!F56*1000</f>
        <v>375.93490589298921</v>
      </c>
      <c r="X56" s="41">
        <f>E56/'1. Väestöennuste'!G56*1000</f>
        <v>382.87587054485869</v>
      </c>
      <c r="Y56" s="41">
        <f>F56/'1. Väestöennuste'!H56*1000</f>
        <v>202.75703618609995</v>
      </c>
      <c r="Z56" s="41">
        <f>G56/'1. Väestöennuste'!I56*1000</f>
        <v>-45.398973021436142</v>
      </c>
      <c r="AA56" s="41">
        <f>H56/'1. Väestöennuste'!J56*1000</f>
        <v>467.12123169892283</v>
      </c>
      <c r="AB56" s="41">
        <f>I56/'1. Väestöennuste'!K56*1000</f>
        <v>309.00904617724507</v>
      </c>
      <c r="AC56" s="41">
        <f>J56/'1. Väestöennuste'!L56*1000</f>
        <v>161.79821746753228</v>
      </c>
      <c r="AD56" s="41">
        <f>K56/'1. Väestöennuste'!M56*1000</f>
        <v>590.78631597722915</v>
      </c>
      <c r="AE56" s="41">
        <f>L56/'1. Väestöennuste'!N56*1000</f>
        <v>469.21574618064449</v>
      </c>
      <c r="AF56" s="41">
        <f>M56/'1. Väestöennuste'!O56*1000</f>
        <v>174.85185516455792</v>
      </c>
      <c r="AG56" s="41">
        <f>N56/'1. Väestöennuste'!P56*1000</f>
        <v>197.61110480208853</v>
      </c>
      <c r="AH56" s="41">
        <f>O56/'1. Väestöennuste'!Q56*1000</f>
        <v>193.5561531086571</v>
      </c>
      <c r="AI56" s="41">
        <f>P56/'1. Väestöennuste'!R56*1000</f>
        <v>227.69838642871946</v>
      </c>
    </row>
    <row r="57" spans="1:35" x14ac:dyDescent="0.2">
      <c r="A57" s="34">
        <v>146</v>
      </c>
      <c r="B57" s="88" t="s">
        <v>371</v>
      </c>
      <c r="C57" s="41" t="e">
        <f>'2. Toimintakate'!D57+'3. Verotulot'!G57+'4. Valtionosuudet'!#REF!</f>
        <v>#REF!</v>
      </c>
      <c r="D57" s="41">
        <f>'2. Toimintakate'!E57+'3. Verotulot'!L57+'4. Valtionosuudet'!H57</f>
        <v>2366</v>
      </c>
      <c r="E57" s="41">
        <f>'2. Toimintakate'!F57+'3. Verotulot'!Q57+'4. Valtionosuudet'!N57</f>
        <v>2453</v>
      </c>
      <c r="F57" s="41">
        <f>'2. Toimintakate'!G57+'3. Verotulot'!V57+'4. Valtionosuudet'!T57</f>
        <v>782</v>
      </c>
      <c r="G57" s="41">
        <f>'2. Toimintakate'!H57+'3. Verotulot'!AA57+'4. Valtionosuudet'!Z57</f>
        <v>573</v>
      </c>
      <c r="H57" s="41">
        <f>'2. Toimintakate'!I57+'3. Verotulot'!AF57+'4. Valtionosuudet'!AG57</f>
        <v>4192.1651969566119</v>
      </c>
      <c r="I57" s="41">
        <f>'2. Toimintakate'!J57+'3. Verotulot'!AK57+'4. Valtionosuudet'!AN57</f>
        <v>3793.0362588258431</v>
      </c>
      <c r="J57" s="41">
        <f>'2. Toimintakate'!K57+'3. Verotulot'!AP57+'4. Valtionosuudet'!AU57</f>
        <v>2160.4532826844988</v>
      </c>
      <c r="K57" s="41">
        <f>'2. Toimintakate'!L57+'3. Verotulot'!AU57+'4. Valtionosuudet'!BC57</f>
        <v>3033.0904991271345</v>
      </c>
      <c r="L57" s="41">
        <f>'2. Toimintakate'!M57+'3. Verotulot'!AZ57+'4. Valtionosuudet'!BK57</f>
        <v>826.25906657758424</v>
      </c>
      <c r="M57" s="41">
        <f>'2. Toimintakate'!N57+'3. Verotulot'!BE57+'4. Valtionosuudet'!BQ57</f>
        <v>-5.8776401851373521</v>
      </c>
      <c r="N57" s="41">
        <f>'2. Toimintakate'!O57+'3. Verotulot'!BJ57+'4. Valtionosuudet'!BY57</f>
        <v>-110.10417414724634</v>
      </c>
      <c r="O57" s="41">
        <f>'2. Toimintakate'!P57+'3. Verotulot'!BO57+'4. Valtionosuudet'!CE57</f>
        <v>-279.63346058626848</v>
      </c>
      <c r="P57" s="41">
        <f>'2. Toimintakate'!Q57+'3. Verotulot'!BT57+'4. Valtionosuudet'!CK57</f>
        <v>326.95276823611039</v>
      </c>
      <c r="T57" s="34">
        <v>146</v>
      </c>
      <c r="U57" s="88" t="s">
        <v>371</v>
      </c>
      <c r="V57" s="41" t="e">
        <f>C57/'1. Väestöennuste'!E57*1000</f>
        <v>#REF!</v>
      </c>
      <c r="W57" s="41">
        <f>D57/'1. Väestöennuste'!F57*1000</f>
        <v>451.78537330532748</v>
      </c>
      <c r="X57" s="41">
        <f>E57/'1. Väestöennuste'!G57*1000</f>
        <v>478.35413416536659</v>
      </c>
      <c r="Y57" s="41">
        <f>F57/'1. Väestöennuste'!H57*1000</f>
        <v>157.24914538507943</v>
      </c>
      <c r="Z57" s="41">
        <f>G57/'1. Väestöennuste'!I57*1000</f>
        <v>117.97405806053119</v>
      </c>
      <c r="AA57" s="41">
        <f>H57/'1. Väestöennuste'!J57*1000</f>
        <v>882.74693555624594</v>
      </c>
      <c r="AB57" s="41">
        <f>I57/'1. Väestöennuste'!K57*1000</f>
        <v>816.93651923882032</v>
      </c>
      <c r="AC57" s="41">
        <f>J57/'1. Väestöennuste'!L57*1000</f>
        <v>480.95576195113512</v>
      </c>
      <c r="AD57" s="41">
        <f>K57/'1. Väestöennuste'!M57*1000</f>
        <v>688.40002249821487</v>
      </c>
      <c r="AE57" s="41">
        <f>L57/'1. Väestöennuste'!N57*1000</f>
        <v>189.85732228345225</v>
      </c>
      <c r="AF57" s="41">
        <f>M57/'1. Väestöennuste'!O57*1000</f>
        <v>-1.3764965304771317</v>
      </c>
      <c r="AG57" s="41">
        <f>N57/'1. Väestöennuste'!P57*1000</f>
        <v>-26.271575792709697</v>
      </c>
      <c r="AH57" s="41">
        <f>O57/'1. Väestöennuste'!Q57*1000</f>
        <v>-67.954668429226842</v>
      </c>
      <c r="AI57" s="41">
        <f>P57/'1. Väestöennuste'!R57*1000</f>
        <v>80.888859039116866</v>
      </c>
    </row>
    <row r="58" spans="1:35" x14ac:dyDescent="0.2">
      <c r="A58" s="34">
        <v>148</v>
      </c>
      <c r="B58" s="88" t="s">
        <v>372</v>
      </c>
      <c r="C58" s="41" t="e">
        <f>'2. Toimintakate'!D58+'3. Verotulot'!G58+'4. Valtionosuudet'!#REF!</f>
        <v>#REF!</v>
      </c>
      <c r="D58" s="41">
        <f>'2. Toimintakate'!E58+'3. Verotulot'!L58+'4. Valtionosuudet'!H58</f>
        <v>3055</v>
      </c>
      <c r="E58" s="41">
        <f>'2. Toimintakate'!F58+'3. Verotulot'!Q58+'4. Valtionosuudet'!N58</f>
        <v>4229</v>
      </c>
      <c r="F58" s="41">
        <f>'2. Toimintakate'!G58+'3. Verotulot'!V58+'4. Valtionosuudet'!T58</f>
        <v>2874</v>
      </c>
      <c r="G58" s="41">
        <f>'2. Toimintakate'!H58+'3. Verotulot'!AA58+'4. Valtionosuudet'!Z58</f>
        <v>1482</v>
      </c>
      <c r="H58" s="41">
        <f>'2. Toimintakate'!I58+'3. Verotulot'!AF58+'4. Valtionosuudet'!AG58</f>
        <v>5207.5056375093845</v>
      </c>
      <c r="I58" s="41">
        <f>'2. Toimintakate'!J58+'3. Verotulot'!AK58+'4. Valtionosuudet'!AN58</f>
        <v>5363.1763472873499</v>
      </c>
      <c r="J58" s="41">
        <f>'2. Toimintakate'!K58+'3. Verotulot'!AP58+'4. Valtionosuudet'!AU58</f>
        <v>4198.3704471501078</v>
      </c>
      <c r="K58" s="41">
        <f>'2. Toimintakate'!L58+'3. Verotulot'!AU58+'4. Valtionosuudet'!BC58</f>
        <v>3923.759559078344</v>
      </c>
      <c r="L58" s="41">
        <f>'2. Toimintakate'!M58+'3. Verotulot'!AZ58+'4. Valtionosuudet'!BK58</f>
        <v>2658.9299405281854</v>
      </c>
      <c r="M58" s="41">
        <f>'2. Toimintakate'!N58+'3. Verotulot'!BE58+'4. Valtionosuudet'!BQ58</f>
        <v>1985.3298214726565</v>
      </c>
      <c r="N58" s="41">
        <f>'2. Toimintakate'!O58+'3. Verotulot'!BJ58+'4. Valtionosuudet'!BY58</f>
        <v>1836.7100666289771</v>
      </c>
      <c r="O58" s="41">
        <f>'2. Toimintakate'!P58+'3. Verotulot'!BO58+'4. Valtionosuudet'!CE58</f>
        <v>1774.7086621303097</v>
      </c>
      <c r="P58" s="41">
        <f>'2. Toimintakate'!Q58+'3. Verotulot'!BT58+'4. Valtionosuudet'!CK58</f>
        <v>2140.5676266800747</v>
      </c>
      <c r="T58" s="34">
        <v>148</v>
      </c>
      <c r="U58" s="88" t="s">
        <v>372</v>
      </c>
      <c r="V58" s="41" t="e">
        <f>C58/'1. Väestöennuste'!E58*1000</f>
        <v>#REF!</v>
      </c>
      <c r="W58" s="41">
        <f>D58/'1. Väestöennuste'!F58*1000</f>
        <v>447.61904761904765</v>
      </c>
      <c r="X58" s="41">
        <f>E58/'1. Väestöennuste'!G58*1000</f>
        <v>615.66457999708837</v>
      </c>
      <c r="Y58" s="41">
        <f>F58/'1. Väestöennuste'!H58*1000</f>
        <v>414.71861471861473</v>
      </c>
      <c r="Z58" s="41">
        <f>G58/'1. Väestöennuste'!I58*1000</f>
        <v>214.56493412480094</v>
      </c>
      <c r="AA58" s="41">
        <f>H58/'1. Väestöennuste'!J58*1000</f>
        <v>758.89035813310772</v>
      </c>
      <c r="AB58" s="41">
        <f>I58/'1. Väestöennuste'!K58*1000</f>
        <v>765.29342855127709</v>
      </c>
      <c r="AC58" s="41">
        <f>J58/'1. Väestöennuste'!L58*1000</f>
        <v>595.76705649923474</v>
      </c>
      <c r="AD58" s="41">
        <f>K58/'1. Väestöennuste'!M58*1000</f>
        <v>550.54855606543344</v>
      </c>
      <c r="AE58" s="41">
        <f>L58/'1. Väestöennuste'!N58*1000</f>
        <v>385.79946902614415</v>
      </c>
      <c r="AF58" s="41">
        <f>M58/'1. Väestöennuste'!O58*1000</f>
        <v>287.72895963371832</v>
      </c>
      <c r="AG58" s="41">
        <f>N58/'1. Väestöennuste'!P58*1000</f>
        <v>265.95859638415538</v>
      </c>
      <c r="AH58" s="41">
        <f>O58/'1. Väestöennuste'!Q58*1000</f>
        <v>256.72047766965278</v>
      </c>
      <c r="AI58" s="41">
        <f>P58/'1. Väestöennuste'!R58*1000</f>
        <v>309.33058189018419</v>
      </c>
    </row>
    <row r="59" spans="1:35" x14ac:dyDescent="0.2">
      <c r="A59" s="34">
        <v>149</v>
      </c>
      <c r="B59" s="88" t="s">
        <v>373</v>
      </c>
      <c r="C59" s="41" t="e">
        <f>'2. Toimintakate'!D59+'3. Verotulot'!G59+'4. Valtionosuudet'!#REF!</f>
        <v>#REF!</v>
      </c>
      <c r="D59" s="41">
        <f>'2. Toimintakate'!E59+'3. Verotulot'!L59+'4. Valtionosuudet'!H59</f>
        <v>1940</v>
      </c>
      <c r="E59" s="41">
        <f>'2. Toimintakate'!F59+'3. Verotulot'!Q59+'4. Valtionosuudet'!N59</f>
        <v>2086</v>
      </c>
      <c r="F59" s="41">
        <f>'2. Toimintakate'!G59+'3. Verotulot'!V59+'4. Valtionosuudet'!T59</f>
        <v>2838</v>
      </c>
      <c r="G59" s="41">
        <f>'2. Toimintakate'!H59+'3. Verotulot'!AA59+'4. Valtionosuudet'!Z59</f>
        <v>632</v>
      </c>
      <c r="H59" s="41">
        <f>'2. Toimintakate'!I59+'3. Verotulot'!AF59+'4. Valtionosuudet'!AG59</f>
        <v>5077.2601452154431</v>
      </c>
      <c r="I59" s="41">
        <f>'2. Toimintakate'!J59+'3. Verotulot'!AK59+'4. Valtionosuudet'!AN59</f>
        <v>3968.5856397293146</v>
      </c>
      <c r="J59" s="41">
        <f>'2. Toimintakate'!K59+'3. Verotulot'!AP59+'4. Valtionosuudet'!AU59</f>
        <v>3223.24572628858</v>
      </c>
      <c r="K59" s="41">
        <f>'2. Toimintakate'!L59+'3. Verotulot'!AU59+'4. Valtionosuudet'!BC59</f>
        <v>2992.791005485622</v>
      </c>
      <c r="L59" s="41">
        <f>'2. Toimintakate'!M59+'3. Verotulot'!AZ59+'4. Valtionosuudet'!BK59</f>
        <v>1505.2769436186481</v>
      </c>
      <c r="M59" s="41">
        <f>'2. Toimintakate'!N59+'3. Verotulot'!BE59+'4. Valtionosuudet'!BQ59</f>
        <v>1439.084504686432</v>
      </c>
      <c r="N59" s="41">
        <f>'2. Toimintakate'!O59+'3. Verotulot'!BJ59+'4. Valtionosuudet'!BY59</f>
        <v>1279.7184565889806</v>
      </c>
      <c r="O59" s="41">
        <f>'2. Toimintakate'!P59+'3. Verotulot'!BO59+'4. Valtionosuudet'!CE59</f>
        <v>1614.3946637953286</v>
      </c>
      <c r="P59" s="41">
        <f>'2. Toimintakate'!Q59+'3. Verotulot'!BT59+'4. Valtionosuudet'!CK59</f>
        <v>1760.4672756220107</v>
      </c>
      <c r="T59" s="34">
        <v>149</v>
      </c>
      <c r="U59" s="88" t="s">
        <v>373</v>
      </c>
      <c r="V59" s="41" t="e">
        <f>C59/'1. Väestöennuste'!E59*1000</f>
        <v>#REF!</v>
      </c>
      <c r="W59" s="41">
        <f>D59/'1. Väestöennuste'!F59*1000</f>
        <v>347.35899731423456</v>
      </c>
      <c r="X59" s="41">
        <f>E59/'1. Väestöennuste'!G59*1000</f>
        <v>380.58748403575987</v>
      </c>
      <c r="Y59" s="41">
        <f>F59/'1. Väestöennuste'!H59*1000</f>
        <v>525.26374236535253</v>
      </c>
      <c r="Z59" s="41">
        <f>G59/'1. Väestöennuste'!I59*1000</f>
        <v>117.34125510582993</v>
      </c>
      <c r="AA59" s="41">
        <f>H59/'1. Väestöennuste'!J59*1000</f>
        <v>954.1928481893334</v>
      </c>
      <c r="AB59" s="41">
        <f>I59/'1. Väestöennuste'!K59*1000</f>
        <v>741.37598351005317</v>
      </c>
      <c r="AC59" s="41">
        <f>J59/'1. Väestöennuste'!L59*1000</f>
        <v>598.67119730471393</v>
      </c>
      <c r="AD59" s="41">
        <f>K59/'1. Väestöennuste'!M59*1000</f>
        <v>556.38427318937011</v>
      </c>
      <c r="AE59" s="41">
        <f>L59/'1. Väestöennuste'!N59*1000</f>
        <v>290.36978079063431</v>
      </c>
      <c r="AF59" s="41">
        <f>M59/'1. Väestöennuste'!O59*1000</f>
        <v>278.83830743778958</v>
      </c>
      <c r="AG59" s="41">
        <f>N59/'1. Väestöennuste'!P59*1000</f>
        <v>249.11786190168982</v>
      </c>
      <c r="AH59" s="41">
        <f>O59/'1. Väestöennuste'!Q59*1000</f>
        <v>315.55798745022065</v>
      </c>
      <c r="AI59" s="41">
        <f>P59/'1. Väestöennuste'!R59*1000</f>
        <v>345.46061138579489</v>
      </c>
    </row>
    <row r="60" spans="1:35" x14ac:dyDescent="0.2">
      <c r="A60" s="34">
        <v>151</v>
      </c>
      <c r="B60" s="88" t="s">
        <v>374</v>
      </c>
      <c r="C60" s="41" t="e">
        <f>'2. Toimintakate'!D60+'3. Verotulot'!G60+'4. Valtionosuudet'!#REF!</f>
        <v>#REF!</v>
      </c>
      <c r="D60" s="41">
        <f>'2. Toimintakate'!E60+'3. Verotulot'!L60+'4. Valtionosuudet'!H60</f>
        <v>1110</v>
      </c>
      <c r="E60" s="41">
        <f>'2. Toimintakate'!F60+'3. Verotulot'!Q60+'4. Valtionosuudet'!N60</f>
        <v>1079</v>
      </c>
      <c r="F60" s="41">
        <f>'2. Toimintakate'!G60+'3. Verotulot'!V60+'4. Valtionosuudet'!T60</f>
        <v>107</v>
      </c>
      <c r="G60" s="41">
        <f>'2. Toimintakate'!H60+'3. Verotulot'!AA60+'4. Valtionosuudet'!Z60</f>
        <v>74</v>
      </c>
      <c r="H60" s="41">
        <f>'2. Toimintakate'!I60+'3. Verotulot'!AF60+'4. Valtionosuudet'!AG60</f>
        <v>1793.0990020439276</v>
      </c>
      <c r="I60" s="41">
        <f>'2. Toimintakate'!J60+'3. Verotulot'!AK60+'4. Valtionosuudet'!AN60</f>
        <v>628.47087720069976</v>
      </c>
      <c r="J60" s="41">
        <f>'2. Toimintakate'!K60+'3. Verotulot'!AP60+'4. Valtionosuudet'!AU60</f>
        <v>1461.2814302253209</v>
      </c>
      <c r="K60" s="41">
        <f>'2. Toimintakate'!L60+'3. Verotulot'!AU60+'4. Valtionosuudet'!BC60</f>
        <v>1475.3836985820683</v>
      </c>
      <c r="L60" s="41">
        <f>'2. Toimintakate'!M60+'3. Verotulot'!AZ60+'4. Valtionosuudet'!BK60</f>
        <v>658.98985853436523</v>
      </c>
      <c r="M60" s="41">
        <f>'2. Toimintakate'!N60+'3. Verotulot'!BE60+'4. Valtionosuudet'!BQ60</f>
        <v>726.94600523350562</v>
      </c>
      <c r="N60" s="41">
        <f>'2. Toimintakate'!O60+'3. Verotulot'!BJ60+'4. Valtionosuudet'!BY60</f>
        <v>666.90845736566496</v>
      </c>
      <c r="O60" s="41">
        <f>'2. Toimintakate'!P60+'3. Verotulot'!BO60+'4. Valtionosuudet'!CE60</f>
        <v>745.84102119257057</v>
      </c>
      <c r="P60" s="41">
        <f>'2. Toimintakate'!Q60+'3. Verotulot'!BT60+'4. Valtionosuudet'!CK60</f>
        <v>857.26473625936944</v>
      </c>
      <c r="T60" s="34">
        <v>151</v>
      </c>
      <c r="U60" s="88" t="s">
        <v>374</v>
      </c>
      <c r="V60" s="41" t="e">
        <f>C60/'1. Väestöennuste'!E60*1000</f>
        <v>#REF!</v>
      </c>
      <c r="W60" s="41">
        <f>D60/'1. Väestöennuste'!F60*1000</f>
        <v>533.9105339105339</v>
      </c>
      <c r="X60" s="41">
        <f>E60/'1. Väestöennuste'!G60*1000</f>
        <v>531.00393700787401</v>
      </c>
      <c r="Y60" s="41">
        <f>F60/'1. Väestöennuste'!H60*1000</f>
        <v>54.149797570850197</v>
      </c>
      <c r="Z60" s="41">
        <f>G60/'1. Väestöennuste'!I60*1000</f>
        <v>37.929267042542286</v>
      </c>
      <c r="AA60" s="41">
        <f>H60/'1. Väestöennuste'!J60*1000</f>
        <v>931.48000106178051</v>
      </c>
      <c r="AB60" s="41">
        <f>I60/'1. Väestöennuste'!K60*1000</f>
        <v>332.34842792210458</v>
      </c>
      <c r="AC60" s="41">
        <f>J60/'1. Väestöennuste'!L60*1000</f>
        <v>789.02885001367213</v>
      </c>
      <c r="AD60" s="41">
        <f>K60/'1. Väestöennuste'!M60*1000</f>
        <v>813.33169712352174</v>
      </c>
      <c r="AE60" s="41">
        <f>L60/'1. Väestöennuste'!N60*1000</f>
        <v>366.92085664496949</v>
      </c>
      <c r="AF60" s="41">
        <f>M60/'1. Väestöennuste'!O60*1000</f>
        <v>410.70395775904274</v>
      </c>
      <c r="AG60" s="41">
        <f>N60/'1. Väestöennuste'!P60*1000</f>
        <v>382.18249705768767</v>
      </c>
      <c r="AH60" s="41">
        <f>O60/'1. Väestöennuste'!Q60*1000</f>
        <v>432.37160648844667</v>
      </c>
      <c r="AI60" s="41">
        <f>P60/'1. Väestöennuste'!R60*1000</f>
        <v>503.08963395502906</v>
      </c>
    </row>
    <row r="61" spans="1:35" x14ac:dyDescent="0.2">
      <c r="A61" s="34">
        <v>152</v>
      </c>
      <c r="B61" s="88" t="s">
        <v>375</v>
      </c>
      <c r="C61" s="41" t="e">
        <f>'2. Toimintakate'!D61+'3. Verotulot'!G61+'4. Valtionosuudet'!#REF!</f>
        <v>#REF!</v>
      </c>
      <c r="D61" s="41">
        <f>'2. Toimintakate'!E61+'3. Verotulot'!L61+'4. Valtionosuudet'!H61</f>
        <v>3008</v>
      </c>
      <c r="E61" s="41">
        <f>'2. Toimintakate'!F61+'3. Verotulot'!Q61+'4. Valtionosuudet'!N61</f>
        <v>2579</v>
      </c>
      <c r="F61" s="41">
        <f>'2. Toimintakate'!G61+'3. Verotulot'!V61+'4. Valtionosuudet'!T61</f>
        <v>2460</v>
      </c>
      <c r="G61" s="41">
        <f>'2. Toimintakate'!H61+'3. Verotulot'!AA61+'4. Valtionosuudet'!Z61</f>
        <v>1091</v>
      </c>
      <c r="H61" s="41">
        <f>'2. Toimintakate'!I61+'3. Verotulot'!AF61+'4. Valtionosuudet'!AG61</f>
        <v>2745.3897659165741</v>
      </c>
      <c r="I61" s="41">
        <f>'2. Toimintakate'!J61+'3. Verotulot'!AK61+'4. Valtionosuudet'!AN61</f>
        <v>989.91972301234819</v>
      </c>
      <c r="J61" s="41">
        <f>'2. Toimintakate'!K61+'3. Verotulot'!AP61+'4. Valtionosuudet'!AU61</f>
        <v>3346.5025619837706</v>
      </c>
      <c r="K61" s="41">
        <f>'2. Toimintakate'!L61+'3. Verotulot'!AU61+'4. Valtionosuudet'!BC61</f>
        <v>3132.6666869224582</v>
      </c>
      <c r="L61" s="41">
        <f>'2. Toimintakate'!M61+'3. Verotulot'!AZ61+'4. Valtionosuudet'!BK61</f>
        <v>2174.1593294483027</v>
      </c>
      <c r="M61" s="41">
        <f>'2. Toimintakate'!N61+'3. Verotulot'!BE61+'4. Valtionosuudet'!BQ61</f>
        <v>1684.7739151690903</v>
      </c>
      <c r="N61" s="41">
        <f>'2. Toimintakate'!O61+'3. Verotulot'!BJ61+'4. Valtionosuudet'!BY61</f>
        <v>1385.0222855620341</v>
      </c>
      <c r="O61" s="41">
        <f>'2. Toimintakate'!P61+'3. Verotulot'!BO61+'4. Valtionosuudet'!CE61</f>
        <v>1450.4879800655362</v>
      </c>
      <c r="P61" s="41">
        <f>'2. Toimintakate'!Q61+'3. Verotulot'!BT61+'4. Valtionosuudet'!CK61</f>
        <v>1961.7285609783794</v>
      </c>
      <c r="T61" s="34">
        <v>152</v>
      </c>
      <c r="U61" s="88" t="s">
        <v>375</v>
      </c>
      <c r="V61" s="41" t="e">
        <f>C61/'1. Väestöennuste'!E61*1000</f>
        <v>#REF!</v>
      </c>
      <c r="W61" s="41">
        <f>D61/'1. Väestöennuste'!F61*1000</f>
        <v>638.37011884550088</v>
      </c>
      <c r="X61" s="41">
        <f>E61/'1. Väestöennuste'!G61*1000</f>
        <v>551.89385833511665</v>
      </c>
      <c r="Y61" s="41">
        <f>F61/'1. Väestöennuste'!H61*1000</f>
        <v>534.66637687459252</v>
      </c>
      <c r="Z61" s="41">
        <f>G61/'1. Väestöennuste'!I61*1000</f>
        <v>241.26492702344098</v>
      </c>
      <c r="AA61" s="41">
        <f>H61/'1. Väestöennuste'!J61*1000</f>
        <v>614.04378571160237</v>
      </c>
      <c r="AB61" s="41">
        <f>I61/'1. Väestöennuste'!K61*1000</f>
        <v>220.96422388668486</v>
      </c>
      <c r="AC61" s="41">
        <f>J61/'1. Väestöennuste'!L61*1000</f>
        <v>759.53303721828661</v>
      </c>
      <c r="AD61" s="41">
        <f>K61/'1. Väestöennuste'!M61*1000</f>
        <v>718.99625589223285</v>
      </c>
      <c r="AE61" s="41">
        <f>L61/'1. Väestöennuste'!N61*1000</f>
        <v>509.52878590304726</v>
      </c>
      <c r="AF61" s="41">
        <f>M61/'1. Väestöennuste'!O61*1000</f>
        <v>399.23552492158535</v>
      </c>
      <c r="AG61" s="41">
        <f>N61/'1. Väestöennuste'!P61*1000</f>
        <v>331.82134297125879</v>
      </c>
      <c r="AH61" s="41">
        <f>O61/'1. Väestöennuste'!Q61*1000</f>
        <v>351.46304338878997</v>
      </c>
      <c r="AI61" s="41">
        <f>P61/'1. Väestöennuste'!R61*1000</f>
        <v>480.10977997512953</v>
      </c>
    </row>
    <row r="62" spans="1:35" x14ac:dyDescent="0.2">
      <c r="A62" s="34">
        <v>153</v>
      </c>
      <c r="B62" s="88" t="s">
        <v>376</v>
      </c>
      <c r="C62" s="41" t="e">
        <f>'2. Toimintakate'!D62+'3. Verotulot'!G62+'4. Valtionosuudet'!#REF!</f>
        <v>#REF!</v>
      </c>
      <c r="D62" s="41">
        <f>'2. Toimintakate'!E62+'3. Verotulot'!L62+'4. Valtionosuudet'!H62</f>
        <v>14687</v>
      </c>
      <c r="E62" s="41">
        <f>'2. Toimintakate'!F62+'3. Verotulot'!Q62+'4. Valtionosuudet'!N62</f>
        <v>16221</v>
      </c>
      <c r="F62" s="41">
        <f>'2. Toimintakate'!G62+'3. Verotulot'!V62+'4. Valtionosuudet'!T62</f>
        <v>8299</v>
      </c>
      <c r="G62" s="41">
        <f>'2. Toimintakate'!H62+'3. Verotulot'!AA62+'4. Valtionosuudet'!Z62</f>
        <v>12168</v>
      </c>
      <c r="H62" s="41">
        <f>'2. Toimintakate'!I62+'3. Verotulot'!AF62+'4. Valtionosuudet'!AG62</f>
        <v>11453.281741824292</v>
      </c>
      <c r="I62" s="41">
        <f>'2. Toimintakate'!J62+'3. Verotulot'!AK62+'4. Valtionosuudet'!AN62</f>
        <v>13061.63572200296</v>
      </c>
      <c r="J62" s="41">
        <f>'2. Toimintakate'!K62+'3. Verotulot'!AP62+'4. Valtionosuudet'!AU62</f>
        <v>9310.6028066246654</v>
      </c>
      <c r="K62" s="41">
        <f>'2. Toimintakate'!L62+'3. Verotulot'!AU62+'4. Valtionosuudet'!BC62</f>
        <v>18748.814165301621</v>
      </c>
      <c r="L62" s="41">
        <f>'2. Toimintakate'!M62+'3. Verotulot'!AZ62+'4. Valtionosuudet'!BK62</f>
        <v>13440.574139648255</v>
      </c>
      <c r="M62" s="41">
        <f>'2. Toimintakate'!N62+'3. Verotulot'!BE62+'4. Valtionosuudet'!BQ62</f>
        <v>10904.333029937334</v>
      </c>
      <c r="N62" s="41">
        <f>'2. Toimintakate'!O62+'3. Verotulot'!BJ62+'4. Valtionosuudet'!BY62</f>
        <v>9664.9238596452815</v>
      </c>
      <c r="O62" s="41">
        <f>'2. Toimintakate'!P62+'3. Verotulot'!BO62+'4. Valtionosuudet'!CE62</f>
        <v>9214.3612593540747</v>
      </c>
      <c r="P62" s="41">
        <f>'2. Toimintakate'!Q62+'3. Verotulot'!BT62+'4. Valtionosuudet'!CK62</f>
        <v>12564.263245366885</v>
      </c>
      <c r="T62" s="34">
        <v>153</v>
      </c>
      <c r="U62" s="88" t="s">
        <v>376</v>
      </c>
      <c r="V62" s="41" t="e">
        <f>C62/'1. Väestöennuste'!E62*1000</f>
        <v>#REF!</v>
      </c>
      <c r="W62" s="41">
        <f>D62/'1. Väestöennuste'!F62*1000</f>
        <v>533.7427771922811</v>
      </c>
      <c r="X62" s="41">
        <f>E62/'1. Väestöennuste'!G62*1000</f>
        <v>594.85129634383361</v>
      </c>
      <c r="Y62" s="41">
        <f>F62/'1. Väestöennuste'!H62*1000</f>
        <v>308.14644289321251</v>
      </c>
      <c r="Z62" s="41">
        <f>G62/'1. Väestöennuste'!I62*1000</f>
        <v>459.0312358533273</v>
      </c>
      <c r="AA62" s="41">
        <f>H62/'1. Väestöennuste'!J62*1000</f>
        <v>439.24378683889904</v>
      </c>
      <c r="AB62" s="41">
        <f>I62/'1. Väestöennuste'!K62*1000</f>
        <v>509.12631931408924</v>
      </c>
      <c r="AC62" s="41">
        <f>J62/'1. Väestöennuste'!L62*1000</f>
        <v>369.35111102128946</v>
      </c>
      <c r="AD62" s="41">
        <f>K62/'1. Väestöennuste'!M62*1000</f>
        <v>752.39031122041899</v>
      </c>
      <c r="AE62" s="41">
        <f>L62/'1. Väestöennuste'!N62*1000</f>
        <v>543.75653934979596</v>
      </c>
      <c r="AF62" s="41">
        <f>M62/'1. Väestöennuste'!O62*1000</f>
        <v>447.02714016059252</v>
      </c>
      <c r="AG62" s="41">
        <f>N62/'1. Väestöennuste'!P62*1000</f>
        <v>401.41728037734276</v>
      </c>
      <c r="AH62" s="41">
        <f>O62/'1. Väestöennuste'!Q62*1000</f>
        <v>387.56514234927761</v>
      </c>
      <c r="AI62" s="41">
        <f>P62/'1. Väestöennuste'!R62*1000</f>
        <v>534.85433763428057</v>
      </c>
    </row>
    <row r="63" spans="1:35" x14ac:dyDescent="0.2">
      <c r="A63" s="34">
        <v>165</v>
      </c>
      <c r="B63" s="88" t="s">
        <v>377</v>
      </c>
      <c r="C63" s="41" t="e">
        <f>'2. Toimintakate'!D63+'3. Verotulot'!G63+'4. Valtionosuudet'!#REF!</f>
        <v>#REF!</v>
      </c>
      <c r="D63" s="41">
        <f>'2. Toimintakate'!E63+'3. Verotulot'!L63+'4. Valtionosuudet'!H63</f>
        <v>6064</v>
      </c>
      <c r="E63" s="41">
        <f>'2. Toimintakate'!F63+'3. Verotulot'!Q63+'4. Valtionosuudet'!N63</f>
        <v>9343</v>
      </c>
      <c r="F63" s="41">
        <f>'2. Toimintakate'!G63+'3. Verotulot'!V63+'4. Valtionosuudet'!T63</f>
        <v>4985</v>
      </c>
      <c r="G63" s="41">
        <f>'2. Toimintakate'!H63+'3. Verotulot'!AA63+'4. Valtionosuudet'!Z63</f>
        <v>1572</v>
      </c>
      <c r="H63" s="41">
        <f>'2. Toimintakate'!I63+'3. Verotulot'!AF63+'4. Valtionosuudet'!AG63</f>
        <v>10320.342793307613</v>
      </c>
      <c r="I63" s="41">
        <f>'2. Toimintakate'!J63+'3. Verotulot'!AK63+'4. Valtionosuudet'!AN63</f>
        <v>7831.5302101316011</v>
      </c>
      <c r="J63" s="41">
        <f>'2. Toimintakate'!K63+'3. Verotulot'!AP63+'4. Valtionosuudet'!AU63</f>
        <v>6866.3098560402868</v>
      </c>
      <c r="K63" s="41">
        <f>'2. Toimintakate'!L63+'3. Verotulot'!AU63+'4. Valtionosuudet'!BC63</f>
        <v>13208.604109979802</v>
      </c>
      <c r="L63" s="41">
        <f>'2. Toimintakate'!M63+'3. Verotulot'!AZ63+'4. Valtionosuudet'!BK63</f>
        <v>6561.5647182860466</v>
      </c>
      <c r="M63" s="41">
        <f>'2. Toimintakate'!N63+'3. Verotulot'!BE63+'4. Valtionosuudet'!BQ63</f>
        <v>6623.6417213696586</v>
      </c>
      <c r="N63" s="41">
        <f>'2. Toimintakate'!O63+'3. Verotulot'!BJ63+'4. Valtionosuudet'!BY63</f>
        <v>6902.3747994936621</v>
      </c>
      <c r="O63" s="41">
        <f>'2. Toimintakate'!P63+'3. Verotulot'!BO63+'4. Valtionosuudet'!CE63</f>
        <v>6889.2157099850665</v>
      </c>
      <c r="P63" s="41">
        <f>'2. Toimintakate'!Q63+'3. Verotulot'!BT63+'4. Valtionosuudet'!CK63</f>
        <v>8366.3193061917063</v>
      </c>
      <c r="T63" s="34">
        <v>165</v>
      </c>
      <c r="U63" s="88" t="s">
        <v>377</v>
      </c>
      <c r="V63" s="41" t="e">
        <f>C63/'1. Väestöennuste'!E63*1000</f>
        <v>#REF!</v>
      </c>
      <c r="W63" s="41">
        <f>D63/'1. Väestöennuste'!F63*1000</f>
        <v>362.91818780298041</v>
      </c>
      <c r="X63" s="41">
        <f>E63/'1. Väestöennuste'!G63*1000</f>
        <v>562.59408683085439</v>
      </c>
      <c r="Y63" s="41">
        <f>F63/'1. Väestöennuste'!H63*1000</f>
        <v>303.09478932328085</v>
      </c>
      <c r="Z63" s="41">
        <f>G63/'1. Väestöennuste'!I63*1000</f>
        <v>95.777737159568645</v>
      </c>
      <c r="AA63" s="41">
        <f>H63/'1. Väestöennuste'!J63*1000</f>
        <v>635.60650325230108</v>
      </c>
      <c r="AB63" s="41">
        <f>I63/'1. Väestöennuste'!K63*1000</f>
        <v>479.28581457353744</v>
      </c>
      <c r="AC63" s="41">
        <f>J63/'1. Väestöennuste'!L63*1000</f>
        <v>421.7635046707793</v>
      </c>
      <c r="AD63" s="41">
        <f>K63/'1. Väestöennuste'!M63*1000</f>
        <v>819.23985052284331</v>
      </c>
      <c r="AE63" s="41">
        <f>L63/'1. Väestöennuste'!N63*1000</f>
        <v>415.89432200583423</v>
      </c>
      <c r="AF63" s="41">
        <f>M63/'1. Väestöennuste'!O63*1000</f>
        <v>422.64176374232125</v>
      </c>
      <c r="AG63" s="41">
        <f>N63/'1. Väestöennuste'!P63*1000</f>
        <v>443.36939873417663</v>
      </c>
      <c r="AH63" s="41">
        <f>O63/'1. Väestöennuste'!Q63*1000</f>
        <v>445.41383008890324</v>
      </c>
      <c r="AI63" s="41">
        <f>P63/'1. Väestöennuste'!R63*1000</f>
        <v>544.50499877590016</v>
      </c>
    </row>
    <row r="64" spans="1:35" x14ac:dyDescent="0.2">
      <c r="A64" s="34">
        <v>167</v>
      </c>
      <c r="B64" s="88" t="s">
        <v>378</v>
      </c>
      <c r="C64" s="41" t="e">
        <f>'2. Toimintakate'!D64+'3. Verotulot'!G64+'4. Valtionosuudet'!#REF!</f>
        <v>#REF!</v>
      </c>
      <c r="D64" s="41">
        <f>'2. Toimintakate'!E64+'3. Verotulot'!L64+'4. Valtionosuudet'!H64</f>
        <v>25247</v>
      </c>
      <c r="E64" s="41">
        <f>'2. Toimintakate'!F64+'3. Verotulot'!Q64+'4. Valtionosuudet'!N64</f>
        <v>37485</v>
      </c>
      <c r="F64" s="41">
        <f>'2. Toimintakate'!G64+'3. Verotulot'!V64+'4. Valtionosuudet'!T64</f>
        <v>27622</v>
      </c>
      <c r="G64" s="41">
        <f>'2. Toimintakate'!H64+'3. Verotulot'!AA64+'4. Valtionosuudet'!Z64</f>
        <v>26764</v>
      </c>
      <c r="H64" s="41">
        <f>'2. Toimintakate'!I64+'3. Verotulot'!AF64+'4. Valtionosuudet'!AG64</f>
        <v>49617.221651173808</v>
      </c>
      <c r="I64" s="41">
        <f>'2. Toimintakate'!J64+'3. Verotulot'!AK64+'4. Valtionosuudet'!AN64</f>
        <v>36757.375153955043</v>
      </c>
      <c r="J64" s="41">
        <f>'2. Toimintakate'!K64+'3. Verotulot'!AP64+'4. Valtionosuudet'!AU64</f>
        <v>30043.674642881437</v>
      </c>
      <c r="K64" s="41">
        <f>'2. Toimintakate'!L64+'3. Verotulot'!AU64+'4. Valtionosuudet'!BC64</f>
        <v>55867.22615588989</v>
      </c>
      <c r="L64" s="41">
        <f>'2. Toimintakate'!M64+'3. Verotulot'!AZ64+'4. Valtionosuudet'!BK64</f>
        <v>29903.036295409467</v>
      </c>
      <c r="M64" s="41">
        <f>'2. Toimintakate'!N64+'3. Verotulot'!BE64+'4. Valtionosuudet'!BQ64</f>
        <v>17175.598125562181</v>
      </c>
      <c r="N64" s="41">
        <f>'2. Toimintakate'!O64+'3. Verotulot'!BJ64+'4. Valtionosuudet'!BY64</f>
        <v>21537.263803361588</v>
      </c>
      <c r="O64" s="41">
        <f>'2. Toimintakate'!P64+'3. Verotulot'!BO64+'4. Valtionosuudet'!CE64</f>
        <v>21463.798999578612</v>
      </c>
      <c r="P64" s="41">
        <f>'2. Toimintakate'!Q64+'3. Verotulot'!BT64+'4. Valtionosuudet'!CK64</f>
        <v>27914.768072156759</v>
      </c>
      <c r="T64" s="34">
        <v>167</v>
      </c>
      <c r="U64" s="88" t="s">
        <v>378</v>
      </c>
      <c r="V64" s="41" t="e">
        <f>C64/'1. Väestöennuste'!E64*1000</f>
        <v>#REF!</v>
      </c>
      <c r="W64" s="41">
        <f>D64/'1. Väestöennuste'!F64*1000</f>
        <v>332.86309461027321</v>
      </c>
      <c r="X64" s="41">
        <f>E64/'1. Väestöennuste'!G64*1000</f>
        <v>492.7892515808432</v>
      </c>
      <c r="Y64" s="41">
        <f>F64/'1. Väestöennuste'!H64*1000</f>
        <v>360.83134119737173</v>
      </c>
      <c r="Z64" s="41">
        <f>G64/'1. Väestöennuste'!I64*1000</f>
        <v>348.2628497072219</v>
      </c>
      <c r="AA64" s="41">
        <f>H64/'1. Väestöennuste'!J64*1000</f>
        <v>644.92391825792947</v>
      </c>
      <c r="AB64" s="41">
        <f>I64/'1. Väestöennuste'!K64*1000</f>
        <v>475.75588141436225</v>
      </c>
      <c r="AC64" s="41">
        <f>J64/'1. Väestöennuste'!L64*1000</f>
        <v>387.59530198652402</v>
      </c>
      <c r="AD64" s="41">
        <f>K64/'1. Väestöennuste'!M64*1000</f>
        <v>715.67761722592161</v>
      </c>
      <c r="AE64" s="41">
        <f>L64/'1. Väestöennuste'!N64*1000</f>
        <v>384.18002332351955</v>
      </c>
      <c r="AF64" s="41">
        <f>M64/'1. Väestöennuste'!O64*1000</f>
        <v>220.21973927868117</v>
      </c>
      <c r="AG64" s="41">
        <f>N64/'1. Väestöennuste'!P64*1000</f>
        <v>275.61700242330102</v>
      </c>
      <c r="AH64" s="41">
        <f>O64/'1. Väestöennuste'!Q64*1000</f>
        <v>274.18562376508794</v>
      </c>
      <c r="AI64" s="41">
        <f>P64/'1. Väestöennuste'!R64*1000</f>
        <v>356.0057654175659</v>
      </c>
    </row>
    <row r="65" spans="1:35" x14ac:dyDescent="0.2">
      <c r="A65" s="34">
        <v>169</v>
      </c>
      <c r="B65" s="88" t="s">
        <v>379</v>
      </c>
      <c r="C65" s="41" t="e">
        <f>'2. Toimintakate'!D65+'3. Verotulot'!G65+'4. Valtionosuudet'!#REF!</f>
        <v>#REF!</v>
      </c>
      <c r="D65" s="41">
        <f>'2. Toimintakate'!E65+'3. Verotulot'!L65+'4. Valtionosuudet'!H65</f>
        <v>1012</v>
      </c>
      <c r="E65" s="41">
        <f>'2. Toimintakate'!F65+'3. Verotulot'!Q65+'4. Valtionosuudet'!N65</f>
        <v>2043</v>
      </c>
      <c r="F65" s="41">
        <f>'2. Toimintakate'!G65+'3. Verotulot'!V65+'4. Valtionosuudet'!T65</f>
        <v>1633</v>
      </c>
      <c r="G65" s="41">
        <f>'2. Toimintakate'!H65+'3. Verotulot'!AA65+'4. Valtionosuudet'!Z65</f>
        <v>1655</v>
      </c>
      <c r="H65" s="41">
        <f>'2. Toimintakate'!I65+'3. Verotulot'!AF65+'4. Valtionosuudet'!AG65</f>
        <v>3884.9324682094993</v>
      </c>
      <c r="I65" s="41">
        <f>'2. Toimintakate'!J65+'3. Verotulot'!AK65+'4. Valtionosuudet'!AN65</f>
        <v>2568.9989519161954</v>
      </c>
      <c r="J65" s="41">
        <f>'2. Toimintakate'!K65+'3. Verotulot'!AP65+'4. Valtionosuudet'!AU65</f>
        <v>1194.4399830715847</v>
      </c>
      <c r="K65" s="41">
        <f>'2. Toimintakate'!L65+'3. Verotulot'!AU65+'4. Valtionosuudet'!BC65</f>
        <v>1898.7310159957151</v>
      </c>
      <c r="L65" s="41">
        <f>'2. Toimintakate'!M65+'3. Verotulot'!AZ65+'4. Valtionosuudet'!BK65</f>
        <v>1225.9894245294563</v>
      </c>
      <c r="M65" s="41">
        <f>'2. Toimintakate'!N65+'3. Verotulot'!BE65+'4. Valtionosuudet'!BQ65</f>
        <v>535.25791613704314</v>
      </c>
      <c r="N65" s="41">
        <f>'2. Toimintakate'!O65+'3. Verotulot'!BJ65+'4. Valtionosuudet'!BY65</f>
        <v>-179.68865255525134</v>
      </c>
      <c r="O65" s="41">
        <f>'2. Toimintakate'!P65+'3. Verotulot'!BO65+'4. Valtionosuudet'!CE65</f>
        <v>-508.02200372035077</v>
      </c>
      <c r="P65" s="41">
        <f>'2. Toimintakate'!Q65+'3. Verotulot'!BT65+'4. Valtionosuudet'!CK65</f>
        <v>-496.03192537504583</v>
      </c>
      <c r="T65" s="34">
        <v>169</v>
      </c>
      <c r="U65" s="88" t="s">
        <v>379</v>
      </c>
      <c r="V65" s="41" t="e">
        <f>C65/'1. Väestöennuste'!E65*1000</f>
        <v>#REF!</v>
      </c>
      <c r="W65" s="41">
        <f>D65/'1. Väestöennuste'!F65*1000</f>
        <v>189.47762591275043</v>
      </c>
      <c r="X65" s="41">
        <f>E65/'1. Väestöennuste'!G65*1000</f>
        <v>386.49262202043133</v>
      </c>
      <c r="Y65" s="41">
        <f>F65/'1. Väestöennuste'!H65*1000</f>
        <v>314.34071222329163</v>
      </c>
      <c r="Z65" s="41">
        <f>G65/'1. Väestöennuste'!I65*1000</f>
        <v>322.42353399571402</v>
      </c>
      <c r="AA65" s="41">
        <f>H65/'1. Väestöennuste'!J65*1000</f>
        <v>767.6215112051965</v>
      </c>
      <c r="AB65" s="41">
        <f>I65/'1. Väestöennuste'!K65*1000</f>
        <v>509.11592388351079</v>
      </c>
      <c r="AC65" s="41">
        <f>J65/'1. Väestöennuste'!L65*1000</f>
        <v>239.36673007446589</v>
      </c>
      <c r="AD65" s="41">
        <f>K65/'1. Väestöennuste'!M65*1000</f>
        <v>386.2349503652797</v>
      </c>
      <c r="AE65" s="41">
        <f>L65/'1. Väestöennuste'!N65*1000</f>
        <v>254.4074340173182</v>
      </c>
      <c r="AF65" s="41">
        <f>M65/'1. Väestöennuste'!O65*1000</f>
        <v>112.35472630920302</v>
      </c>
      <c r="AG65" s="41">
        <f>N65/'1. Väestöennuste'!P65*1000</f>
        <v>-38.126172831583141</v>
      </c>
      <c r="AH65" s="41">
        <f>O65/'1. Väestöennuste'!Q65*1000</f>
        <v>-108.9474595154087</v>
      </c>
      <c r="AI65" s="41">
        <f>P65/'1. Väestöennuste'!R65*1000</f>
        <v>-107.41271662517234</v>
      </c>
    </row>
    <row r="66" spans="1:35" x14ac:dyDescent="0.2">
      <c r="A66" s="34">
        <v>171</v>
      </c>
      <c r="B66" s="88" t="s">
        <v>380</v>
      </c>
      <c r="C66" s="41" t="e">
        <f>'2. Toimintakate'!D66+'3. Verotulot'!G66+'4. Valtionosuudet'!#REF!</f>
        <v>#REF!</v>
      </c>
      <c r="D66" s="41">
        <f>'2. Toimintakate'!E66+'3. Verotulot'!L66+'4. Valtionosuudet'!H66</f>
        <v>695</v>
      </c>
      <c r="E66" s="41">
        <f>'2. Toimintakate'!F66+'3. Verotulot'!Q66+'4. Valtionosuudet'!N66</f>
        <v>1766</v>
      </c>
      <c r="F66" s="41">
        <f>'2. Toimintakate'!G66+'3. Verotulot'!V66+'4. Valtionosuudet'!T66</f>
        <v>-788</v>
      </c>
      <c r="G66" s="41">
        <f>'2. Toimintakate'!H66+'3. Verotulot'!AA66+'4. Valtionosuudet'!Z66</f>
        <v>611</v>
      </c>
      <c r="H66" s="41">
        <f>'2. Toimintakate'!I66+'3. Verotulot'!AF66+'4. Valtionosuudet'!AG66</f>
        <v>3048.5325558688401</v>
      </c>
      <c r="I66" s="41">
        <f>'2. Toimintakate'!J66+'3. Verotulot'!AK66+'4. Valtionosuudet'!AN66</f>
        <v>1984.2836016942892</v>
      </c>
      <c r="J66" s="41">
        <f>'2. Toimintakate'!K66+'3. Verotulot'!AP66+'4. Valtionosuudet'!AU66</f>
        <v>2138.4506707773708</v>
      </c>
      <c r="K66" s="41">
        <f>'2. Toimintakate'!L66+'3. Verotulot'!AU66+'4. Valtionosuudet'!BC66</f>
        <v>2253.4005534689413</v>
      </c>
      <c r="L66" s="41">
        <f>'2. Toimintakate'!M66+'3. Verotulot'!AZ66+'4. Valtionosuudet'!BK66</f>
        <v>1803.083711623317</v>
      </c>
      <c r="M66" s="41">
        <f>'2. Toimintakate'!N66+'3. Verotulot'!BE66+'4. Valtionosuudet'!BQ66</f>
        <v>807.67228198447083</v>
      </c>
      <c r="N66" s="41">
        <f>'2. Toimintakate'!O66+'3. Verotulot'!BJ66+'4. Valtionosuudet'!BY66</f>
        <v>1002.7803132343274</v>
      </c>
      <c r="O66" s="41">
        <f>'2. Toimintakate'!P66+'3. Verotulot'!BO66+'4. Valtionosuudet'!CE66</f>
        <v>746.30697867685467</v>
      </c>
      <c r="P66" s="41">
        <f>'2. Toimintakate'!Q66+'3. Verotulot'!BT66+'4. Valtionosuudet'!CK66</f>
        <v>1112.1473107168945</v>
      </c>
      <c r="T66" s="34">
        <v>171</v>
      </c>
      <c r="U66" s="88" t="s">
        <v>380</v>
      </c>
      <c r="V66" s="41" t="e">
        <f>C66/'1. Väestöennuste'!E66*1000</f>
        <v>#REF!</v>
      </c>
      <c r="W66" s="41">
        <f>D66/'1. Väestöennuste'!F66*1000</f>
        <v>137.92419130779916</v>
      </c>
      <c r="X66" s="41">
        <f>E66/'1. Väestöennuste'!G66*1000</f>
        <v>359.16209070571489</v>
      </c>
      <c r="Y66" s="41">
        <f>F66/'1. Väestöennuste'!H66*1000</f>
        <v>-163.75727348295928</v>
      </c>
      <c r="Z66" s="41">
        <f>G66/'1. Väestöennuste'!I66*1000</f>
        <v>128.17285504510173</v>
      </c>
      <c r="AA66" s="41">
        <f>H66/'1. Väestöennuste'!J66*1000</f>
        <v>650.14556533777784</v>
      </c>
      <c r="AB66" s="41">
        <f>I66/'1. Väestöennuste'!K66*1000</f>
        <v>429.1270764909795</v>
      </c>
      <c r="AC66" s="41">
        <f>J66/'1. Väestöennuste'!L66*1000</f>
        <v>471.02437682320942</v>
      </c>
      <c r="AD66" s="41">
        <f>K66/'1. Väestöennuste'!M66*1000</f>
        <v>490.93693975358201</v>
      </c>
      <c r="AE66" s="41">
        <f>L66/'1. Väestöennuste'!N66*1000</f>
        <v>409.69863931454597</v>
      </c>
      <c r="AF66" s="41">
        <f>M66/'1. Väestöennuste'!O66*1000</f>
        <v>186.52939537747596</v>
      </c>
      <c r="AG66" s="41">
        <f>N66/'1. Väestöennuste'!P66*1000</f>
        <v>235.33919578369571</v>
      </c>
      <c r="AH66" s="41">
        <f>O66/'1. Väestöennuste'!Q66*1000</f>
        <v>177.90392817088309</v>
      </c>
      <c r="AI66" s="41">
        <f>P66/'1. Väestöennuste'!R66*1000</f>
        <v>269.48081190135559</v>
      </c>
    </row>
    <row r="67" spans="1:35" x14ac:dyDescent="0.2">
      <c r="A67" s="34">
        <v>172</v>
      </c>
      <c r="B67" s="88" t="s">
        <v>381</v>
      </c>
      <c r="C67" s="41" t="e">
        <f>'2. Toimintakate'!D67+'3. Verotulot'!G67+'4. Valtionosuudet'!#REF!</f>
        <v>#REF!</v>
      </c>
      <c r="D67" s="41">
        <f>'2. Toimintakate'!E67+'3. Verotulot'!L67+'4. Valtionosuudet'!H67</f>
        <v>3048</v>
      </c>
      <c r="E67" s="41">
        <f>'2. Toimintakate'!F67+'3. Verotulot'!Q67+'4. Valtionosuudet'!N67</f>
        <v>1572</v>
      </c>
      <c r="F67" s="41">
        <f>'2. Toimintakate'!G67+'3. Verotulot'!V67+'4. Valtionosuudet'!T67</f>
        <v>1175</v>
      </c>
      <c r="G67" s="41">
        <f>'2. Toimintakate'!H67+'3. Verotulot'!AA67+'4. Valtionosuudet'!Z67</f>
        <v>667</v>
      </c>
      <c r="H67" s="41">
        <f>'2. Toimintakate'!I67+'3. Verotulot'!AF67+'4. Valtionosuudet'!AG67</f>
        <v>539.93370626150499</v>
      </c>
      <c r="I67" s="41">
        <f>'2. Toimintakate'!J67+'3. Verotulot'!AK67+'4. Valtionosuudet'!AN67</f>
        <v>2603.5959382666315</v>
      </c>
      <c r="J67" s="41">
        <f>'2. Toimintakate'!K67+'3. Verotulot'!AP67+'4. Valtionosuudet'!AU67</f>
        <v>14.695862873268197</v>
      </c>
      <c r="K67" s="41">
        <f>'2. Toimintakate'!L67+'3. Verotulot'!AU67+'4. Valtionosuudet'!BC67</f>
        <v>1844.7578162626892</v>
      </c>
      <c r="L67" s="41">
        <f>'2. Toimintakate'!M67+'3. Verotulot'!AZ67+'4. Valtionosuudet'!BK67</f>
        <v>2075.1920613727684</v>
      </c>
      <c r="M67" s="41">
        <f>'2. Toimintakate'!N67+'3. Verotulot'!BE67+'4. Valtionosuudet'!BQ67</f>
        <v>1904.3105524638736</v>
      </c>
      <c r="N67" s="41">
        <f>'2. Toimintakate'!O67+'3. Verotulot'!BJ67+'4. Valtionosuudet'!BY67</f>
        <v>1480.1324700411428</v>
      </c>
      <c r="O67" s="41">
        <f>'2. Toimintakate'!P67+'3. Verotulot'!BO67+'4. Valtionosuudet'!CE67</f>
        <v>1389.7086286131603</v>
      </c>
      <c r="P67" s="41">
        <f>'2. Toimintakate'!Q67+'3. Verotulot'!BT67+'4. Valtionosuudet'!CK67</f>
        <v>1683.8773597384225</v>
      </c>
      <c r="T67" s="34">
        <v>172</v>
      </c>
      <c r="U67" s="88" t="s">
        <v>381</v>
      </c>
      <c r="V67" s="41" t="e">
        <f>C67/'1. Väestöennuste'!E67*1000</f>
        <v>#REF!</v>
      </c>
      <c r="W67" s="41">
        <f>D67/'1. Väestöennuste'!F67*1000</f>
        <v>652.25765033169273</v>
      </c>
      <c r="X67" s="41">
        <f>E67/'1. Väestöennuste'!G67*1000</f>
        <v>344.20845193781474</v>
      </c>
      <c r="Y67" s="41">
        <f>F67/'1. Väestöennuste'!H67*1000</f>
        <v>263.04007163644508</v>
      </c>
      <c r="Z67" s="41">
        <f>G67/'1. Väestöennuste'!I67*1000</f>
        <v>152.38748000913867</v>
      </c>
      <c r="AA67" s="41">
        <f>H67/'1. Väestöennuste'!J67*1000</f>
        <v>125.65364353304747</v>
      </c>
      <c r="AB67" s="41">
        <f>I67/'1. Väestöennuste'!K67*1000</f>
        <v>610.74265500038268</v>
      </c>
      <c r="AC67" s="41">
        <f>J67/'1. Väestöennuste'!L67*1000</f>
        <v>3.523342813058786</v>
      </c>
      <c r="AD67" s="41">
        <f>K67/'1. Väestöennuste'!M67*1000</f>
        <v>452.25737098864653</v>
      </c>
      <c r="AE67" s="41">
        <f>L67/'1. Väestöennuste'!N67*1000</f>
        <v>515.70379258766604</v>
      </c>
      <c r="AF67" s="41">
        <f>M67/'1. Väestöennuste'!O67*1000</f>
        <v>479.91697390722618</v>
      </c>
      <c r="AG67" s="41">
        <f>N67/'1. Väestöennuste'!P67*1000</f>
        <v>378.5505038468396</v>
      </c>
      <c r="AH67" s="41">
        <f>O67/'1. Väestöennuste'!Q67*1000</f>
        <v>360.1214378370459</v>
      </c>
      <c r="AI67" s="41">
        <f>P67/'1. Väestöennuste'!R67*1000</f>
        <v>441.84659137717722</v>
      </c>
    </row>
    <row r="68" spans="1:35" x14ac:dyDescent="0.2">
      <c r="A68" s="34">
        <v>176</v>
      </c>
      <c r="B68" s="88" t="s">
        <v>382</v>
      </c>
      <c r="C68" s="41" t="e">
        <f>'2. Toimintakate'!D68+'3. Verotulot'!G68+'4. Valtionosuudet'!#REF!</f>
        <v>#REF!</v>
      </c>
      <c r="D68" s="41">
        <f>'2. Toimintakate'!E68+'3. Verotulot'!L68+'4. Valtionosuudet'!H68</f>
        <v>1419</v>
      </c>
      <c r="E68" s="41">
        <f>'2. Toimintakate'!F68+'3. Verotulot'!Q68+'4. Valtionosuudet'!N68</f>
        <v>3448</v>
      </c>
      <c r="F68" s="41">
        <f>'2. Toimintakate'!G68+'3. Verotulot'!V68+'4. Valtionosuudet'!T68</f>
        <v>1770</v>
      </c>
      <c r="G68" s="41">
        <f>'2. Toimintakate'!H68+'3. Verotulot'!AA68+'4. Valtionosuudet'!Z68</f>
        <v>1320</v>
      </c>
      <c r="H68" s="41">
        <f>'2. Toimintakate'!I68+'3. Verotulot'!AF68+'4. Valtionosuudet'!AG68</f>
        <v>2872.1987217031747</v>
      </c>
      <c r="I68" s="41">
        <f>'2. Toimintakate'!J68+'3. Verotulot'!AK68+'4. Valtionosuudet'!AN68</f>
        <v>1600.6040820898852</v>
      </c>
      <c r="J68" s="41">
        <f>'2. Toimintakate'!K68+'3. Verotulot'!AP68+'4. Valtionosuudet'!AU68</f>
        <v>2005.9568919984085</v>
      </c>
      <c r="K68" s="41">
        <f>'2. Toimintakate'!L68+'3. Verotulot'!AU68+'4. Valtionosuudet'!BC68</f>
        <v>2326.1374025116852</v>
      </c>
      <c r="L68" s="41">
        <f>'2. Toimintakate'!M68+'3. Verotulot'!AZ68+'4. Valtionosuudet'!BK68</f>
        <v>528.44840849572529</v>
      </c>
      <c r="M68" s="41">
        <f>'2. Toimintakate'!N68+'3. Verotulot'!BE68+'4. Valtionosuudet'!BQ68</f>
        <v>78.966631754319678</v>
      </c>
      <c r="N68" s="41">
        <f>'2. Toimintakate'!O68+'3. Verotulot'!BJ68+'4. Valtionosuudet'!BY68</f>
        <v>-145.1532448115795</v>
      </c>
      <c r="O68" s="41">
        <f>'2. Toimintakate'!P68+'3. Verotulot'!BO68+'4. Valtionosuudet'!CE68</f>
        <v>-260.32101153012354</v>
      </c>
      <c r="P68" s="41">
        <f>'2. Toimintakate'!Q68+'3. Verotulot'!BT68+'4. Valtionosuudet'!CK68</f>
        <v>228.54086566244814</v>
      </c>
      <c r="T68" s="34">
        <v>176</v>
      </c>
      <c r="U68" s="88" t="s">
        <v>382</v>
      </c>
      <c r="V68" s="41" t="e">
        <f>C68/'1. Väestöennuste'!E68*1000</f>
        <v>#REF!</v>
      </c>
      <c r="W68" s="41">
        <f>D68/'1. Väestöennuste'!F68*1000</f>
        <v>287.36330498177398</v>
      </c>
      <c r="X68" s="41">
        <f>E68/'1. Väestöennuste'!G68*1000</f>
        <v>715.7982146564251</v>
      </c>
      <c r="Y68" s="41">
        <f>F68/'1. Väestöennuste'!H68*1000</f>
        <v>375.87598216181777</v>
      </c>
      <c r="Z68" s="41">
        <f>G68/'1. Väestöennuste'!I68*1000</f>
        <v>286.58271819366041</v>
      </c>
      <c r="AA68" s="41">
        <f>H68/'1. Väestöennuste'!J68*1000</f>
        <v>634.45962485159589</v>
      </c>
      <c r="AB68" s="41">
        <f>I68/'1. Väestöennuste'!K68*1000</f>
        <v>360.17193566379052</v>
      </c>
      <c r="AC68" s="41">
        <f>J68/'1. Väestöennuste'!L68*1000</f>
        <v>460.92759466875196</v>
      </c>
      <c r="AD68" s="41">
        <f>K68/'1. Väestöennuste'!M68*1000</f>
        <v>546.16985266768847</v>
      </c>
      <c r="AE68" s="41">
        <f>L68/'1. Väestöennuste'!N68*1000</f>
        <v>126.75663432375278</v>
      </c>
      <c r="AF68" s="41">
        <f>M68/'1. Väestöennuste'!O68*1000</f>
        <v>19.326145803798255</v>
      </c>
      <c r="AG68" s="41">
        <f>N68/'1. Väestöennuste'!P68*1000</f>
        <v>-36.243007443590386</v>
      </c>
      <c r="AH68" s="41">
        <f>O68/'1. Väestöennuste'!Q68*1000</f>
        <v>-66.172092407250517</v>
      </c>
      <c r="AI68" s="41">
        <f>P68/'1. Väestöennuste'!R68*1000</f>
        <v>59.130883741901201</v>
      </c>
    </row>
    <row r="69" spans="1:35" x14ac:dyDescent="0.2">
      <c r="A69" s="34">
        <v>177</v>
      </c>
      <c r="B69" s="88" t="s">
        <v>383</v>
      </c>
      <c r="C69" s="41" t="e">
        <f>'2. Toimintakate'!D69+'3. Verotulot'!G69+'4. Valtionosuudet'!#REF!</f>
        <v>#REF!</v>
      </c>
      <c r="D69" s="41">
        <f>'2. Toimintakate'!E69+'3. Verotulot'!L69+'4. Valtionosuudet'!H69</f>
        <v>568</v>
      </c>
      <c r="E69" s="41">
        <f>'2. Toimintakate'!F69+'3. Verotulot'!Q69+'4. Valtionosuudet'!N69</f>
        <v>918</v>
      </c>
      <c r="F69" s="41">
        <f>'2. Toimintakate'!G69+'3. Verotulot'!V69+'4. Valtionosuudet'!T69</f>
        <v>260</v>
      </c>
      <c r="G69" s="41">
        <f>'2. Toimintakate'!H69+'3. Verotulot'!AA69+'4. Valtionosuudet'!Z69</f>
        <v>810</v>
      </c>
      <c r="H69" s="41">
        <f>'2. Toimintakate'!I69+'3. Verotulot'!AF69+'4. Valtionosuudet'!AG69</f>
        <v>1151.3624689544595</v>
      </c>
      <c r="I69" s="41">
        <f>'2. Toimintakate'!J69+'3. Verotulot'!AK69+'4. Valtionosuudet'!AN69</f>
        <v>1313.3610961246095</v>
      </c>
      <c r="J69" s="41">
        <f>'2. Toimintakate'!K69+'3. Verotulot'!AP69+'4. Valtionosuudet'!AU69</f>
        <v>1246.5762460836513</v>
      </c>
      <c r="K69" s="41">
        <f>'2. Toimintakate'!L69+'3. Verotulot'!AU69+'4. Valtionosuudet'!BC69</f>
        <v>683.82484727694407</v>
      </c>
      <c r="L69" s="41">
        <f>'2. Toimintakate'!M69+'3. Verotulot'!AZ69+'4. Valtionosuudet'!BK69</f>
        <v>1101.0935022721005</v>
      </c>
      <c r="M69" s="41">
        <f>'2. Toimintakate'!N69+'3. Verotulot'!BE69+'4. Valtionosuudet'!BQ69</f>
        <v>927.67323868970061</v>
      </c>
      <c r="N69" s="41">
        <f>'2. Toimintakate'!O69+'3. Verotulot'!BJ69+'4. Valtionosuudet'!BY69</f>
        <v>356.30615177363586</v>
      </c>
      <c r="O69" s="41">
        <f>'2. Toimintakate'!P69+'3. Verotulot'!BO69+'4. Valtionosuudet'!CE69</f>
        <v>351.87935153578144</v>
      </c>
      <c r="P69" s="41">
        <f>'2. Toimintakate'!Q69+'3. Verotulot'!BT69+'4. Valtionosuudet'!CK69</f>
        <v>381.91850373359046</v>
      </c>
      <c r="T69" s="34">
        <v>177</v>
      </c>
      <c r="U69" s="88" t="s">
        <v>383</v>
      </c>
      <c r="V69" s="41" t="e">
        <f>C69/'1. Väestöennuste'!E69*1000</f>
        <v>#REF!</v>
      </c>
      <c r="W69" s="41">
        <f>D69/'1. Väestöennuste'!F69*1000</f>
        <v>290.2401635155851</v>
      </c>
      <c r="X69" s="41">
        <f>E69/'1. Väestöennuste'!G69*1000</f>
        <v>482.14285714285717</v>
      </c>
      <c r="Y69" s="41">
        <f>F69/'1. Väestöennuste'!H69*1000</f>
        <v>138.00424628450105</v>
      </c>
      <c r="Z69" s="41">
        <f>G69/'1. Väestöennuste'!I69*1000</f>
        <v>439.26247288503254</v>
      </c>
      <c r="AA69" s="41">
        <f>H69/'1. Väestöennuste'!J69*1000</f>
        <v>639.64581608581079</v>
      </c>
      <c r="AB69" s="41">
        <f>I69/'1. Väestöennuste'!K69*1000</f>
        <v>735.36455550090113</v>
      </c>
      <c r="AC69" s="41">
        <f>J69/'1. Väestöennuste'!L69*1000</f>
        <v>705.07706226450864</v>
      </c>
      <c r="AD69" s="41">
        <f>K69/'1. Väestöennuste'!M69*1000</f>
        <v>400.36583564223895</v>
      </c>
      <c r="AE69" s="41">
        <f>L69/'1. Väestöennuste'!N69*1000</f>
        <v>657.76194878859053</v>
      </c>
      <c r="AF69" s="41">
        <f>M69/'1. Väestöennuste'!O69*1000</f>
        <v>563.25029671505797</v>
      </c>
      <c r="AG69" s="41">
        <f>N69/'1. Väestöennuste'!P69*1000</f>
        <v>219.67087039065098</v>
      </c>
      <c r="AH69" s="41">
        <f>O69/'1. Väestöennuste'!Q69*1000</f>
        <v>219.92459470986338</v>
      </c>
      <c r="AI69" s="41">
        <f>P69/'1. Väestöennuste'!R69*1000</f>
        <v>242.02693519238937</v>
      </c>
    </row>
    <row r="70" spans="1:35" x14ac:dyDescent="0.2">
      <c r="A70" s="34">
        <v>178</v>
      </c>
      <c r="B70" s="88" t="s">
        <v>384</v>
      </c>
      <c r="C70" s="41" t="e">
        <f>'2. Toimintakate'!D70+'3. Verotulot'!G70+'4. Valtionosuudet'!#REF!</f>
        <v>#REF!</v>
      </c>
      <c r="D70" s="41">
        <f>'2. Toimintakate'!E70+'3. Verotulot'!L70+'4. Valtionosuudet'!H70</f>
        <v>3205</v>
      </c>
      <c r="E70" s="41">
        <f>'2. Toimintakate'!F70+'3. Verotulot'!Q70+'4. Valtionosuudet'!N70</f>
        <v>3516</v>
      </c>
      <c r="F70" s="41">
        <f>'2. Toimintakate'!G70+'3. Verotulot'!V70+'4. Valtionosuudet'!T70</f>
        <v>1313</v>
      </c>
      <c r="G70" s="41">
        <f>'2. Toimintakate'!H70+'3. Verotulot'!AA70+'4. Valtionosuudet'!Z70</f>
        <v>463</v>
      </c>
      <c r="H70" s="41">
        <f>'2. Toimintakate'!I70+'3. Verotulot'!AF70+'4. Valtionosuudet'!AG70</f>
        <v>4745.9066038484125</v>
      </c>
      <c r="I70" s="41">
        <f>'2. Toimintakate'!J70+'3. Verotulot'!AK70+'4. Valtionosuudet'!AN70</f>
        <v>2702.7077999937792</v>
      </c>
      <c r="J70" s="41">
        <f>'2. Toimintakate'!K70+'3. Verotulot'!AP70+'4. Valtionosuudet'!AU70</f>
        <v>792.98918439451154</v>
      </c>
      <c r="K70" s="41">
        <f>'2. Toimintakate'!L70+'3. Verotulot'!AU70+'4. Valtionosuudet'!BC70</f>
        <v>761.09152580037789</v>
      </c>
      <c r="L70" s="41">
        <f>'2. Toimintakate'!M70+'3. Verotulot'!AZ70+'4. Valtionosuudet'!BK70</f>
        <v>765.57415092647625</v>
      </c>
      <c r="M70" s="41">
        <f>'2. Toimintakate'!N70+'3. Verotulot'!BE70+'4. Valtionosuudet'!BQ70</f>
        <v>-229.02224898229179</v>
      </c>
      <c r="N70" s="41">
        <f>'2. Toimintakate'!O70+'3. Verotulot'!BJ70+'4. Valtionosuudet'!BY70</f>
        <v>-70.551685466431991</v>
      </c>
      <c r="O70" s="41">
        <f>'2. Toimintakate'!P70+'3. Verotulot'!BO70+'4. Valtionosuudet'!CE70</f>
        <v>-160.52278352725716</v>
      </c>
      <c r="P70" s="41">
        <f>'2. Toimintakate'!Q70+'3. Verotulot'!BT70+'4. Valtionosuudet'!CK70</f>
        <v>984.58202411336697</v>
      </c>
      <c r="T70" s="34">
        <v>178</v>
      </c>
      <c r="U70" s="88" t="s">
        <v>384</v>
      </c>
      <c r="V70" s="41" t="e">
        <f>C70/'1. Väestöennuste'!E70*1000</f>
        <v>#REF!</v>
      </c>
      <c r="W70" s="41">
        <f>D70/'1. Väestöennuste'!F70*1000</f>
        <v>499.14343560193112</v>
      </c>
      <c r="X70" s="41">
        <f>E70/'1. Väestöennuste'!G70*1000</f>
        <v>555.0994632143985</v>
      </c>
      <c r="Y70" s="41">
        <f>F70/'1. Väestöennuste'!H70*1000</f>
        <v>210.92369477911646</v>
      </c>
      <c r="Z70" s="41">
        <f>G70/'1. Väestöennuste'!I70*1000</f>
        <v>75.703073904512749</v>
      </c>
      <c r="AA70" s="41">
        <f>H70/'1. Väestöennuste'!J70*1000</f>
        <v>800.05168642083822</v>
      </c>
      <c r="AB70" s="41">
        <f>I70/'1. Väestöennuste'!K70*1000</f>
        <v>459.09763886423968</v>
      </c>
      <c r="AC70" s="41">
        <f>J70/'1. Väestöennuste'!L70*1000</f>
        <v>137.45695690665826</v>
      </c>
      <c r="AD70" s="41">
        <f>K70/'1. Väestöennuste'!M70*1000</f>
        <v>132.73308786194244</v>
      </c>
      <c r="AE70" s="41">
        <f>L70/'1. Väestöennuste'!N70*1000</f>
        <v>138.64073721957192</v>
      </c>
      <c r="AF70" s="41">
        <f>M70/'1. Väestöennuste'!O70*1000</f>
        <v>-42.15392029859963</v>
      </c>
      <c r="AG70" s="41">
        <f>N70/'1. Väestöennuste'!P70*1000</f>
        <v>-13.194629786129044</v>
      </c>
      <c r="AH70" s="41">
        <f>O70/'1. Väestöennuste'!Q70*1000</f>
        <v>-30.465512151690483</v>
      </c>
      <c r="AI70" s="41">
        <f>P70/'1. Väestöennuste'!R70*1000</f>
        <v>189.59792492073311</v>
      </c>
    </row>
    <row r="71" spans="1:35" x14ac:dyDescent="0.2">
      <c r="A71" s="34">
        <v>179</v>
      </c>
      <c r="B71" s="88" t="s">
        <v>385</v>
      </c>
      <c r="C71" s="41" t="e">
        <f>'2. Toimintakate'!D71+'3. Verotulot'!G71+'4. Valtionosuudet'!#REF!</f>
        <v>#REF!</v>
      </c>
      <c r="D71" s="41">
        <f>'2. Toimintakate'!E71+'3. Verotulot'!L71+'4. Valtionosuudet'!H71</f>
        <v>52289</v>
      </c>
      <c r="E71" s="41">
        <f>'2. Toimintakate'!F71+'3. Verotulot'!Q71+'4. Valtionosuudet'!N71</f>
        <v>60034</v>
      </c>
      <c r="F71" s="41">
        <f>'2. Toimintakate'!G71+'3. Verotulot'!V71+'4. Valtionosuudet'!T71</f>
        <v>35665</v>
      </c>
      <c r="G71" s="41">
        <f>'2. Toimintakate'!H71+'3. Verotulot'!AA71+'4. Valtionosuudet'!Z71</f>
        <v>10854</v>
      </c>
      <c r="H71" s="41">
        <f>'2. Toimintakate'!I71+'3. Verotulot'!AF71+'4. Valtionosuudet'!AG71</f>
        <v>60338.89944109894</v>
      </c>
      <c r="I71" s="41">
        <f>'2. Toimintakate'!J71+'3. Verotulot'!AK71+'4. Valtionosuudet'!AN71</f>
        <v>27403.873607762507</v>
      </c>
      <c r="J71" s="41">
        <f>'2. Toimintakate'!K71+'3. Verotulot'!AP71+'4. Valtionosuudet'!AU71</f>
        <v>8354.5524621404475</v>
      </c>
      <c r="K71" s="41">
        <f>'2. Toimintakate'!L71+'3. Verotulot'!AU71+'4. Valtionosuudet'!BC71</f>
        <v>56105.579008086992</v>
      </c>
      <c r="L71" s="41">
        <f>'2. Toimintakate'!M71+'3. Verotulot'!AZ71+'4. Valtionosuudet'!BK71</f>
        <v>39828.173634094972</v>
      </c>
      <c r="M71" s="41">
        <f>'2. Toimintakate'!N71+'3. Verotulot'!BE71+'4. Valtionosuudet'!BQ71</f>
        <v>262.33275623670488</v>
      </c>
      <c r="N71" s="41">
        <f>'2. Toimintakate'!O71+'3. Verotulot'!BJ71+'4. Valtionosuudet'!BY71</f>
        <v>10831.677222428989</v>
      </c>
      <c r="O71" s="41">
        <f>'2. Toimintakate'!P71+'3. Verotulot'!BO71+'4. Valtionosuudet'!CE71</f>
        <v>10676.527512398054</v>
      </c>
      <c r="P71" s="41">
        <f>'2. Toimintakate'!Q71+'3. Verotulot'!BT71+'4. Valtionosuudet'!CK71</f>
        <v>18609.853879639355</v>
      </c>
      <c r="T71" s="34">
        <v>179</v>
      </c>
      <c r="U71" s="88" t="s">
        <v>385</v>
      </c>
      <c r="V71" s="41" t="e">
        <f>C71/'1. Väestöennuste'!E71*1000</f>
        <v>#REF!</v>
      </c>
      <c r="W71" s="41">
        <f>D71/'1. Väestöennuste'!F71*1000</f>
        <v>376.58624414836157</v>
      </c>
      <c r="X71" s="41">
        <f>E71/'1. Väestöennuste'!G71*1000</f>
        <v>428.23922161668617</v>
      </c>
      <c r="Y71" s="41">
        <f>F71/'1. Väestöennuste'!H71*1000</f>
        <v>252.39729662786169</v>
      </c>
      <c r="Z71" s="41">
        <f>G71/'1. Väestöennuste'!I71*1000</f>
        <v>76.221910112359552</v>
      </c>
      <c r="AA71" s="41">
        <f>H71/'1. Väestöennuste'!J71*1000</f>
        <v>420.71468024751732</v>
      </c>
      <c r="AB71" s="41">
        <f>I71/'1. Väestöennuste'!K71*1000</f>
        <v>189.68162637837179</v>
      </c>
      <c r="AC71" s="41">
        <f>J71/'1. Väestöennuste'!L71*1000</f>
        <v>57.267285379372026</v>
      </c>
      <c r="AD71" s="41">
        <f>K71/'1. Väestöennuste'!M71*1000</f>
        <v>379.74347195922047</v>
      </c>
      <c r="AE71" s="41">
        <f>L71/'1. Väestöennuste'!N71*1000</f>
        <v>269.89891801076783</v>
      </c>
      <c r="AF71" s="41">
        <f>M71/'1. Väestöennuste'!O71*1000</f>
        <v>1.7677052097107528</v>
      </c>
      <c r="AG71" s="41">
        <f>N71/'1. Väestöennuste'!P71*1000</f>
        <v>72.610539449834022</v>
      </c>
      <c r="AH71" s="41">
        <f>O71/'1. Väestöennuste'!Q71*1000</f>
        <v>71.226233604619566</v>
      </c>
      <c r="AI71" s="41">
        <f>P71/'1. Väestöennuste'!R71*1000</f>
        <v>123.59849023783003</v>
      </c>
    </row>
    <row r="72" spans="1:35" x14ac:dyDescent="0.2">
      <c r="A72" s="34">
        <v>181</v>
      </c>
      <c r="B72" s="88" t="s">
        <v>386</v>
      </c>
      <c r="C72" s="41" t="e">
        <f>'2. Toimintakate'!D72+'3. Verotulot'!G72+'4. Valtionosuudet'!#REF!</f>
        <v>#REF!</v>
      </c>
      <c r="D72" s="41">
        <f>'2. Toimintakate'!E72+'3. Verotulot'!L72+'4. Valtionosuudet'!H72</f>
        <v>-399</v>
      </c>
      <c r="E72" s="41">
        <f>'2. Toimintakate'!F72+'3. Verotulot'!Q72+'4. Valtionosuudet'!N72</f>
        <v>339</v>
      </c>
      <c r="F72" s="41">
        <f>'2. Toimintakate'!G72+'3. Verotulot'!V72+'4. Valtionosuudet'!T72</f>
        <v>709</v>
      </c>
      <c r="G72" s="41">
        <f>'2. Toimintakate'!H72+'3. Verotulot'!AA72+'4. Valtionosuudet'!Z72</f>
        <v>689</v>
      </c>
      <c r="H72" s="41">
        <f>'2. Toimintakate'!I72+'3. Verotulot'!AF72+'4. Valtionosuudet'!AG72</f>
        <v>1383.6040582359565</v>
      </c>
      <c r="I72" s="41">
        <f>'2. Toimintakate'!J72+'3. Verotulot'!AK72+'4. Valtionosuudet'!AN72</f>
        <v>1407.6860600521595</v>
      </c>
      <c r="J72" s="41">
        <f>'2. Toimintakate'!K72+'3. Verotulot'!AP72+'4. Valtionosuudet'!AU72</f>
        <v>729.41386938372943</v>
      </c>
      <c r="K72" s="41">
        <f>'2. Toimintakate'!L72+'3. Verotulot'!AU72+'4. Valtionosuudet'!BC72</f>
        <v>1731.6656895057481</v>
      </c>
      <c r="L72" s="41">
        <f>'2. Toimintakate'!M72+'3. Verotulot'!AZ72+'4. Valtionosuudet'!BK72</f>
        <v>818.50642964736153</v>
      </c>
      <c r="M72" s="41">
        <f>'2. Toimintakate'!N72+'3. Verotulot'!BE72+'4. Valtionosuudet'!BQ72</f>
        <v>1071.0631576478672</v>
      </c>
      <c r="N72" s="41">
        <f>'2. Toimintakate'!O72+'3. Verotulot'!BJ72+'4. Valtionosuudet'!BY72</f>
        <v>1026.3586100645543</v>
      </c>
      <c r="O72" s="41">
        <f>'2. Toimintakate'!P72+'3. Verotulot'!BO72+'4. Valtionosuudet'!CE72</f>
        <v>974.30453434925812</v>
      </c>
      <c r="P72" s="41">
        <f>'2. Toimintakate'!Q72+'3. Verotulot'!BT72+'4. Valtionosuudet'!CK72</f>
        <v>1146.2534608279107</v>
      </c>
      <c r="T72" s="34">
        <v>181</v>
      </c>
      <c r="U72" s="88" t="s">
        <v>386</v>
      </c>
      <c r="V72" s="41" t="e">
        <f>C72/'1. Väestöennuste'!E72*1000</f>
        <v>#REF!</v>
      </c>
      <c r="W72" s="41">
        <f>D72/'1. Väestöennuste'!F72*1000</f>
        <v>-208.35509138381201</v>
      </c>
      <c r="X72" s="41">
        <f>E72/'1. Väestöennuste'!G72*1000</f>
        <v>181.57471880021424</v>
      </c>
      <c r="Y72" s="41">
        <f>F72/'1. Väestöennuste'!H72*1000</f>
        <v>391.92924267551132</v>
      </c>
      <c r="Z72" s="41">
        <f>G72/'1. Väestöennuste'!I72*1000</f>
        <v>396.20471535365152</v>
      </c>
      <c r="AA72" s="41">
        <f>H72/'1. Väestöennuste'!J72*1000</f>
        <v>810.54719287402258</v>
      </c>
      <c r="AB72" s="41">
        <f>I72/'1. Väestöennuste'!K72*1000</f>
        <v>835.42199409623709</v>
      </c>
      <c r="AC72" s="41">
        <f>J72/'1. Väestöennuste'!L72*1000</f>
        <v>433.40099190952429</v>
      </c>
      <c r="AD72" s="41">
        <f>K72/'1. Väestöennuste'!M72*1000</f>
        <v>1029.5277583268419</v>
      </c>
      <c r="AE72" s="41">
        <f>L72/'1. Väestöennuste'!N72*1000</f>
        <v>523.34170693565318</v>
      </c>
      <c r="AF72" s="41">
        <f>M72/'1. Väestöennuste'!O72*1000</f>
        <v>697.76101475431085</v>
      </c>
      <c r="AG72" s="41">
        <f>N72/'1. Väestöennuste'!P72*1000</f>
        <v>681.06078969114424</v>
      </c>
      <c r="AH72" s="41">
        <f>O72/'1. Väestöennuste'!Q72*1000</f>
        <v>659.2046917112707</v>
      </c>
      <c r="AI72" s="41">
        <f>P72/'1. Väestöennuste'!R72*1000</f>
        <v>788.88744723187244</v>
      </c>
    </row>
    <row r="73" spans="1:35" x14ac:dyDescent="0.2">
      <c r="A73" s="34">
        <v>182</v>
      </c>
      <c r="B73" s="88" t="s">
        <v>387</v>
      </c>
      <c r="C73" s="41" t="e">
        <f>'2. Toimintakate'!D73+'3. Verotulot'!G73+'4. Valtionosuudet'!#REF!</f>
        <v>#REF!</v>
      </c>
      <c r="D73" s="41">
        <f>'2. Toimintakate'!E73+'3. Verotulot'!L73+'4. Valtionosuudet'!H73</f>
        <v>7024</v>
      </c>
      <c r="E73" s="41">
        <f>'2. Toimintakate'!F73+'3. Verotulot'!Q73+'4. Valtionosuudet'!N73</f>
        <v>4440</v>
      </c>
      <c r="F73" s="41">
        <f>'2. Toimintakate'!G73+'3. Verotulot'!V73+'4. Valtionosuudet'!T73</f>
        <v>4034</v>
      </c>
      <c r="G73" s="41">
        <f>'2. Toimintakate'!H73+'3. Verotulot'!AA73+'4. Valtionosuudet'!Z73</f>
        <v>4751</v>
      </c>
      <c r="H73" s="41">
        <f>'2. Toimintakate'!I73+'3. Verotulot'!AF73+'4. Valtionosuudet'!AG73</f>
        <v>11753.718509105733</v>
      </c>
      <c r="I73" s="41">
        <f>'2. Toimintakate'!J73+'3. Verotulot'!AK73+'4. Valtionosuudet'!AN73</f>
        <v>8713.6269128229105</v>
      </c>
      <c r="J73" s="41">
        <f>'2. Toimintakate'!K73+'3. Verotulot'!AP73+'4. Valtionosuudet'!AU73</f>
        <v>436.25262798416952</v>
      </c>
      <c r="K73" s="41">
        <f>'2. Toimintakate'!L73+'3. Verotulot'!AU73+'4. Valtionosuudet'!BC73</f>
        <v>9331.2035348705213</v>
      </c>
      <c r="L73" s="41">
        <f>'2. Toimintakate'!M73+'3. Verotulot'!AZ73+'4. Valtionosuudet'!BK73</f>
        <v>7440.7771628903956</v>
      </c>
      <c r="M73" s="41">
        <f>'2. Toimintakate'!N73+'3. Verotulot'!BE73+'4. Valtionosuudet'!BQ73</f>
        <v>6000.4902324476589</v>
      </c>
      <c r="N73" s="41">
        <f>'2. Toimintakate'!O73+'3. Verotulot'!BJ73+'4. Valtionosuudet'!BY73</f>
        <v>7225.2533718944469</v>
      </c>
      <c r="O73" s="41">
        <f>'2. Toimintakate'!P73+'3. Verotulot'!BO73+'4. Valtionosuudet'!CE73</f>
        <v>8002.3916919671956</v>
      </c>
      <c r="P73" s="41">
        <f>'2. Toimintakate'!Q73+'3. Verotulot'!BT73+'4. Valtionosuudet'!CK73</f>
        <v>11001.071206817554</v>
      </c>
      <c r="T73" s="34">
        <v>182</v>
      </c>
      <c r="U73" s="88" t="s">
        <v>387</v>
      </c>
      <c r="V73" s="41" t="e">
        <f>C73/'1. Väestöennuste'!E73*1000</f>
        <v>#REF!</v>
      </c>
      <c r="W73" s="41">
        <f>D73/'1. Väestöennuste'!F73*1000</f>
        <v>330.40124182699094</v>
      </c>
      <c r="X73" s="41">
        <f>E73/'1. Väestöennuste'!G73*1000</f>
        <v>212.67423480385111</v>
      </c>
      <c r="Y73" s="41">
        <f>F73/'1. Väestöennuste'!H73*1000</f>
        <v>195.75872276410928</v>
      </c>
      <c r="Z73" s="41">
        <f>G73/'1. Väestöennuste'!I73*1000</f>
        <v>235.40778911901694</v>
      </c>
      <c r="AA73" s="41">
        <f>H73/'1. Väestöennuste'!J73*1000</f>
        <v>591.02521793662856</v>
      </c>
      <c r="AB73" s="41">
        <f>I73/'1. Väestöennuste'!K73*1000</f>
        <v>440.81686208442909</v>
      </c>
      <c r="AC73" s="41">
        <f>J73/'1. Väestöennuste'!L73*1000</f>
        <v>22.548851397331344</v>
      </c>
      <c r="AD73" s="41">
        <f>K73/'1. Väestöennuste'!M73*1000</f>
        <v>486.45623682986763</v>
      </c>
      <c r="AE73" s="41">
        <f>L73/'1. Väestöennuste'!N73*1000</f>
        <v>399.48336534362693</v>
      </c>
      <c r="AF73" s="41">
        <f>M73/'1. Väestöennuste'!O73*1000</f>
        <v>326.78848886001845</v>
      </c>
      <c r="AG73" s="41">
        <f>N73/'1. Väestöennuste'!P73*1000</f>
        <v>399.09707091772248</v>
      </c>
      <c r="AH73" s="41">
        <f>O73/'1. Väestöennuste'!Q73*1000</f>
        <v>448.08733366746156</v>
      </c>
      <c r="AI73" s="41">
        <f>P73/'1. Väestöennuste'!R73*1000</f>
        <v>624.38681008102355</v>
      </c>
    </row>
    <row r="74" spans="1:35" x14ac:dyDescent="0.2">
      <c r="A74" s="34">
        <v>186</v>
      </c>
      <c r="B74" s="88" t="s">
        <v>388</v>
      </c>
      <c r="C74" s="41" t="e">
        <f>'2. Toimintakate'!D74+'3. Verotulot'!G74+'4. Valtionosuudet'!#REF!</f>
        <v>#REF!</v>
      </c>
      <c r="D74" s="41">
        <f>'2. Toimintakate'!E74+'3. Verotulot'!L74+'4. Valtionosuudet'!H74</f>
        <v>15244</v>
      </c>
      <c r="E74" s="41">
        <f>'2. Toimintakate'!F74+'3. Verotulot'!Q74+'4. Valtionosuudet'!N74</f>
        <v>15075</v>
      </c>
      <c r="F74" s="41">
        <f>'2. Toimintakate'!G74+'3. Verotulot'!V74+'4. Valtionosuudet'!T74</f>
        <v>9221</v>
      </c>
      <c r="G74" s="41">
        <f>'2. Toimintakate'!H74+'3. Verotulot'!AA74+'4. Valtionosuudet'!Z74</f>
        <v>-9586</v>
      </c>
      <c r="H74" s="41">
        <f>'2. Toimintakate'!I74+'3. Verotulot'!AF74+'4. Valtionosuudet'!AG74</f>
        <v>21908.169164760562</v>
      </c>
      <c r="I74" s="41">
        <f>'2. Toimintakate'!J74+'3. Verotulot'!AK74+'4. Valtionosuudet'!AN74</f>
        <v>25107.78857321362</v>
      </c>
      <c r="J74" s="41">
        <f>'2. Toimintakate'!K74+'3. Verotulot'!AP74+'4. Valtionosuudet'!AU74</f>
        <v>17426.679160442189</v>
      </c>
      <c r="K74" s="41">
        <f>'2. Toimintakate'!L74+'3. Verotulot'!AU74+'4. Valtionosuudet'!BC74</f>
        <v>39634.801010715892</v>
      </c>
      <c r="L74" s="41">
        <f>'2. Toimintakate'!M74+'3. Verotulot'!AZ74+'4. Valtionosuudet'!BK74</f>
        <v>32812.417482699799</v>
      </c>
      <c r="M74" s="41">
        <f>'2. Toimintakate'!N74+'3. Verotulot'!BE74+'4. Valtionosuudet'!BQ74</f>
        <v>21488.826876822914</v>
      </c>
      <c r="N74" s="41">
        <f>'2. Toimintakate'!O74+'3. Verotulot'!BJ74+'4. Valtionosuudet'!BY74</f>
        <v>22933.754303608803</v>
      </c>
      <c r="O74" s="41">
        <f>'2. Toimintakate'!P74+'3. Verotulot'!BO74+'4. Valtionosuudet'!CE74</f>
        <v>24419.207928016549</v>
      </c>
      <c r="P74" s="41">
        <f>'2. Toimintakate'!Q74+'3. Verotulot'!BT74+'4. Valtionosuudet'!CK74</f>
        <v>27726.79072685563</v>
      </c>
      <c r="T74" s="34">
        <v>186</v>
      </c>
      <c r="U74" s="88" t="s">
        <v>388</v>
      </c>
      <c r="V74" s="41" t="e">
        <f>C74/'1. Väestöennuste'!E74*1000</f>
        <v>#REF!</v>
      </c>
      <c r="W74" s="41">
        <f>D74/'1. Väestöennuste'!F74*1000</f>
        <v>367.06879529967011</v>
      </c>
      <c r="X74" s="41">
        <f>E74/'1. Väestöennuste'!G74*1000</f>
        <v>354.10598515456172</v>
      </c>
      <c r="Y74" s="41">
        <f>F74/'1. Väestöennuste'!H74*1000</f>
        <v>212.41649389541581</v>
      </c>
      <c r="Z74" s="41">
        <f>G74/'1. Väestöennuste'!I74*1000</f>
        <v>-219.30406533824436</v>
      </c>
      <c r="AA74" s="41">
        <f>H74/'1. Väestöennuste'!J74*1000</f>
        <v>492.81676222608394</v>
      </c>
      <c r="AB74" s="41">
        <f>I74/'1. Väestöennuste'!K74*1000</f>
        <v>555.1627066999871</v>
      </c>
      <c r="AC74" s="41">
        <f>J74/'1. Väestöennuste'!L74*1000</f>
        <v>381.91275828275673</v>
      </c>
      <c r="AD74" s="41">
        <f>K74/'1. Väestöennuste'!M74*1000</f>
        <v>852.54465499496439</v>
      </c>
      <c r="AE74" s="41">
        <f>L74/'1. Väestöennuste'!N74*1000</f>
        <v>695.76797037107292</v>
      </c>
      <c r="AF74" s="41">
        <f>M74/'1. Väestöennuste'!O74*1000</f>
        <v>449.88646240600679</v>
      </c>
      <c r="AG74" s="41">
        <f>N74/'1. Väestöennuste'!P74*1000</f>
        <v>474.42603027738522</v>
      </c>
      <c r="AH74" s="41">
        <f>O74/'1. Väestöennuste'!Q74*1000</f>
        <v>499.45201521755195</v>
      </c>
      <c r="AI74" s="41">
        <f>P74/'1. Väestöennuste'!R74*1000</f>
        <v>561.1120477365854</v>
      </c>
    </row>
    <row r="75" spans="1:35" x14ac:dyDescent="0.2">
      <c r="A75" s="34">
        <v>202</v>
      </c>
      <c r="B75" s="88" t="s">
        <v>389</v>
      </c>
      <c r="C75" s="41" t="e">
        <f>'2. Toimintakate'!D75+'3. Verotulot'!G75+'4. Valtionosuudet'!#REF!</f>
        <v>#REF!</v>
      </c>
      <c r="D75" s="41">
        <f>'2. Toimintakate'!E75+'3. Verotulot'!L75+'4. Valtionosuudet'!H75</f>
        <v>12310</v>
      </c>
      <c r="E75" s="41">
        <f>'2. Toimintakate'!F75+'3. Verotulot'!Q75+'4. Valtionosuudet'!N75</f>
        <v>11971</v>
      </c>
      <c r="F75" s="41">
        <f>'2. Toimintakate'!G75+'3. Verotulot'!V75+'4. Valtionosuudet'!T75</f>
        <v>4457</v>
      </c>
      <c r="G75" s="41">
        <f>'2. Toimintakate'!H75+'3. Verotulot'!AA75+'4. Valtionosuudet'!Z75</f>
        <v>2052</v>
      </c>
      <c r="H75" s="41">
        <f>'2. Toimintakate'!I75+'3. Verotulot'!AF75+'4. Valtionosuudet'!AG75</f>
        <v>18968.779728415524</v>
      </c>
      <c r="I75" s="41">
        <f>'2. Toimintakate'!J75+'3. Verotulot'!AK75+'4. Valtionosuudet'!AN75</f>
        <v>20332.073049089347</v>
      </c>
      <c r="J75" s="41">
        <f>'2. Toimintakate'!K75+'3. Verotulot'!AP75+'4. Valtionosuudet'!AU75</f>
        <v>23512.190068266282</v>
      </c>
      <c r="K75" s="41">
        <f>'2. Toimintakate'!L75+'3. Verotulot'!AU75+'4. Valtionosuudet'!BC75</f>
        <v>22856.866306070697</v>
      </c>
      <c r="L75" s="41">
        <f>'2. Toimintakate'!M75+'3. Verotulot'!AZ75+'4. Valtionosuudet'!BK75</f>
        <v>15067.064528659448</v>
      </c>
      <c r="M75" s="41">
        <f>'2. Toimintakate'!N75+'3. Verotulot'!BE75+'4. Valtionosuudet'!BQ75</f>
        <v>12301.948050152638</v>
      </c>
      <c r="N75" s="41">
        <f>'2. Toimintakate'!O75+'3. Verotulot'!BJ75+'4. Valtionosuudet'!BY75</f>
        <v>12641.633645731315</v>
      </c>
      <c r="O75" s="41">
        <f>'2. Toimintakate'!P75+'3. Verotulot'!BO75+'4. Valtionosuudet'!CE75</f>
        <v>11974.65437154195</v>
      </c>
      <c r="P75" s="41">
        <f>'2. Toimintakate'!Q75+'3. Verotulot'!BT75+'4. Valtionosuudet'!CK75</f>
        <v>12305.196680212921</v>
      </c>
      <c r="T75" s="34">
        <v>202</v>
      </c>
      <c r="U75" s="88" t="s">
        <v>389</v>
      </c>
      <c r="V75" s="41" t="e">
        <f>C75/'1. Väestöennuste'!E75*1000</f>
        <v>#REF!</v>
      </c>
      <c r="W75" s="41">
        <f>D75/'1. Väestöennuste'!F75*1000</f>
        <v>376.01563931822346</v>
      </c>
      <c r="X75" s="41">
        <f>E75/'1. Väestöennuste'!G75*1000</f>
        <v>361.67255808332578</v>
      </c>
      <c r="Y75" s="41">
        <f>F75/'1. Väestöennuste'!H75*1000</f>
        <v>133.21178791320463</v>
      </c>
      <c r="Z75" s="41">
        <f>G75/'1. Väestöennuste'!I75*1000</f>
        <v>60.464979226213281</v>
      </c>
      <c r="AA75" s="41">
        <f>H75/'1. Väestöennuste'!J75*1000</f>
        <v>547.17107705932222</v>
      </c>
      <c r="AB75" s="41">
        <f>I75/'1. Väestöennuste'!K75*1000</f>
        <v>572.78285627206094</v>
      </c>
      <c r="AC75" s="41">
        <f>J75/'1. Väestöennuste'!L75*1000</f>
        <v>655.88568590343345</v>
      </c>
      <c r="AD75" s="41">
        <f>K75/'1. Väestöennuste'!M75*1000</f>
        <v>628.9899641176338</v>
      </c>
      <c r="AE75" s="41">
        <f>L75/'1. Väestöennuste'!N75*1000</f>
        <v>412.33311974657096</v>
      </c>
      <c r="AF75" s="41">
        <f>M75/'1. Väestöennuste'!O75*1000</f>
        <v>332.95301640556016</v>
      </c>
      <c r="AG75" s="41">
        <f>N75/'1. Väestöennuste'!P75*1000</f>
        <v>338.60007086463952</v>
      </c>
      <c r="AH75" s="41">
        <f>O75/'1. Väestöennuste'!Q75*1000</f>
        <v>317.62166445298402</v>
      </c>
      <c r="AI75" s="41">
        <f>P75/'1. Väestöennuste'!R75*1000</f>
        <v>323.42944541378648</v>
      </c>
    </row>
    <row r="76" spans="1:35" x14ac:dyDescent="0.2">
      <c r="A76" s="34">
        <v>204</v>
      </c>
      <c r="B76" s="88" t="s">
        <v>390</v>
      </c>
      <c r="C76" s="41" t="e">
        <f>'2. Toimintakate'!D76+'3. Verotulot'!G76+'4. Valtionosuudet'!#REF!</f>
        <v>#REF!</v>
      </c>
      <c r="D76" s="41">
        <f>'2. Toimintakate'!E76+'3. Verotulot'!L76+'4. Valtionosuudet'!H76</f>
        <v>579</v>
      </c>
      <c r="E76" s="41">
        <f>'2. Toimintakate'!F76+'3. Verotulot'!Q76+'4. Valtionosuudet'!N76</f>
        <v>113</v>
      </c>
      <c r="F76" s="41">
        <f>'2. Toimintakate'!G76+'3. Verotulot'!V76+'4. Valtionosuudet'!T76</f>
        <v>399</v>
      </c>
      <c r="G76" s="41">
        <f>'2. Toimintakate'!H76+'3. Verotulot'!AA76+'4. Valtionosuudet'!Z76</f>
        <v>570</v>
      </c>
      <c r="H76" s="41">
        <f>'2. Toimintakate'!I76+'3. Verotulot'!AF76+'4. Valtionosuudet'!AG76</f>
        <v>2019.93346599084</v>
      </c>
      <c r="I76" s="41">
        <f>'2. Toimintakate'!J76+'3. Verotulot'!AK76+'4. Valtionosuudet'!AN76</f>
        <v>1064.9207317139062</v>
      </c>
      <c r="J76" s="41">
        <f>'2. Toimintakate'!K76+'3. Verotulot'!AP76+'4. Valtionosuudet'!AU76</f>
        <v>441.75512473910385</v>
      </c>
      <c r="K76" s="41">
        <f>'2. Toimintakate'!L76+'3. Verotulot'!AU76+'4. Valtionosuudet'!BC76</f>
        <v>56.002933033784871</v>
      </c>
      <c r="L76" s="41">
        <f>'2. Toimintakate'!M76+'3. Verotulot'!AZ76+'4. Valtionosuudet'!BK76</f>
        <v>-210.36104256301792</v>
      </c>
      <c r="M76" s="41">
        <f>'2. Toimintakate'!N76+'3. Verotulot'!BE76+'4. Valtionosuudet'!BQ76</f>
        <v>-1695.672007803827</v>
      </c>
      <c r="N76" s="41">
        <f>'2. Toimintakate'!O76+'3. Verotulot'!BJ76+'4. Valtionosuudet'!BY76</f>
        <v>-1257.0293096522673</v>
      </c>
      <c r="O76" s="41">
        <f>'2. Toimintakate'!P76+'3. Verotulot'!BO76+'4. Valtionosuudet'!CE76</f>
        <v>-1151.4612127211274</v>
      </c>
      <c r="P76" s="41">
        <f>'2. Toimintakate'!Q76+'3. Verotulot'!BT76+'4. Valtionosuudet'!CK76</f>
        <v>-829.8006177015036</v>
      </c>
      <c r="T76" s="34">
        <v>204</v>
      </c>
      <c r="U76" s="88" t="s">
        <v>390</v>
      </c>
      <c r="V76" s="41" t="e">
        <f>C76/'1. Väestöennuste'!E76*1000</f>
        <v>#REF!</v>
      </c>
      <c r="W76" s="41">
        <f>D76/'1. Väestöennuste'!F76*1000</f>
        <v>183.57641090678504</v>
      </c>
      <c r="X76" s="41">
        <f>E76/'1. Väestöennuste'!G76*1000</f>
        <v>37.073490813648299</v>
      </c>
      <c r="Y76" s="41">
        <f>F76/'1. Väestöennuste'!H76*1000</f>
        <v>133.44481605351172</v>
      </c>
      <c r="Z76" s="41">
        <f>G76/'1. Väestöennuste'!I76*1000</f>
        <v>197.02730729346698</v>
      </c>
      <c r="AA76" s="41">
        <f>H76/'1. Väestöennuste'!J76*1000</f>
        <v>719.60579479545413</v>
      </c>
      <c r="AB76" s="41">
        <f>I76/'1. Väestöennuste'!K76*1000</f>
        <v>383.34079615331393</v>
      </c>
      <c r="AC76" s="41">
        <f>J76/'1. Väestöennuste'!L76*1000</f>
        <v>164.28230745225133</v>
      </c>
      <c r="AD76" s="41">
        <f>K76/'1. Väestöennuste'!M76*1000</f>
        <v>21.310096283784198</v>
      </c>
      <c r="AE76" s="41">
        <f>L76/'1. Väestöennuste'!N76*1000</f>
        <v>-81.75710942985539</v>
      </c>
      <c r="AF76" s="41">
        <f>M76/'1. Väestöennuste'!O76*1000</f>
        <v>-670.49110628858318</v>
      </c>
      <c r="AG76" s="41">
        <f>N76/'1. Väestöennuste'!P76*1000</f>
        <v>-505.03387290167433</v>
      </c>
      <c r="AH76" s="41">
        <f>O76/'1. Väestöennuste'!Q76*1000</f>
        <v>-469.79241645088837</v>
      </c>
      <c r="AI76" s="41">
        <f>P76/'1. Väestöennuste'!R76*1000</f>
        <v>-343.88753323725803</v>
      </c>
    </row>
    <row r="77" spans="1:35" x14ac:dyDescent="0.2">
      <c r="A77" s="34">
        <v>205</v>
      </c>
      <c r="B77" s="88" t="s">
        <v>391</v>
      </c>
      <c r="C77" s="41" t="e">
        <f>'2. Toimintakate'!D77+'3. Verotulot'!G77+'4. Valtionosuudet'!#REF!</f>
        <v>#REF!</v>
      </c>
      <c r="D77" s="41">
        <f>'2. Toimintakate'!E77+'3. Verotulot'!L77+'4. Valtionosuudet'!H77</f>
        <v>9853</v>
      </c>
      <c r="E77" s="41">
        <f>'2. Toimintakate'!F77+'3. Verotulot'!Q77+'4. Valtionosuudet'!N77</f>
        <v>8962</v>
      </c>
      <c r="F77" s="41">
        <f>'2. Toimintakate'!G77+'3. Verotulot'!V77+'4. Valtionosuudet'!T77</f>
        <v>-2670</v>
      </c>
      <c r="G77" s="41">
        <f>'2. Toimintakate'!H77+'3. Verotulot'!AA77+'4. Valtionosuudet'!Z77</f>
        <v>-12438</v>
      </c>
      <c r="H77" s="41">
        <f>'2. Toimintakate'!I77+'3. Verotulot'!AF77+'4. Valtionosuudet'!AG77</f>
        <v>1823.3887057481625</v>
      </c>
      <c r="I77" s="41">
        <f>'2. Toimintakate'!J77+'3. Verotulot'!AK77+'4. Valtionosuudet'!AN77</f>
        <v>2258.5775683795364</v>
      </c>
      <c r="J77" s="41">
        <f>'2. Toimintakate'!K77+'3. Verotulot'!AP77+'4. Valtionosuudet'!AU77</f>
        <v>9606.9337779918278</v>
      </c>
      <c r="K77" s="41">
        <f>'2. Toimintakate'!L77+'3. Verotulot'!AU77+'4. Valtionosuudet'!BC77</f>
        <v>3705.6025675035853</v>
      </c>
      <c r="L77" s="41">
        <f>'2. Toimintakate'!M77+'3. Verotulot'!AZ77+'4. Valtionosuudet'!BK77</f>
        <v>6455.3991233869529</v>
      </c>
      <c r="M77" s="41">
        <f>'2. Toimintakate'!N77+'3. Verotulot'!BE77+'4. Valtionosuudet'!BQ77</f>
        <v>-1994.0438100424435</v>
      </c>
      <c r="N77" s="41">
        <f>'2. Toimintakate'!O77+'3. Verotulot'!BJ77+'4. Valtionosuudet'!BY77</f>
        <v>-4417.5215724317895</v>
      </c>
      <c r="O77" s="41">
        <f>'2. Toimintakate'!P77+'3. Verotulot'!BO77+'4. Valtionosuudet'!CE77</f>
        <v>-5732.6800130293486</v>
      </c>
      <c r="P77" s="41">
        <f>'2. Toimintakate'!Q77+'3. Verotulot'!BT77+'4. Valtionosuudet'!CK77</f>
        <v>-3652.7481259208216</v>
      </c>
      <c r="T77" s="34">
        <v>205</v>
      </c>
      <c r="U77" s="88" t="s">
        <v>391</v>
      </c>
      <c r="V77" s="41" t="e">
        <f>C77/'1. Väestöennuste'!E77*1000</f>
        <v>#REF!</v>
      </c>
      <c r="W77" s="41">
        <f>D77/'1. Väestöennuste'!F77*1000</f>
        <v>262.59961088457129</v>
      </c>
      <c r="X77" s="41">
        <f>E77/'1. Väestöennuste'!G77*1000</f>
        <v>240.66167190311234</v>
      </c>
      <c r="Y77" s="41">
        <f>F77/'1. Väestöennuste'!H77*1000</f>
        <v>-72.214859492061777</v>
      </c>
      <c r="Z77" s="41">
        <f>G77/'1. Väestöennuste'!I77*1000</f>
        <v>-338.82699065624234</v>
      </c>
      <c r="AA77" s="41">
        <f>H77/'1. Väestöennuste'!J77*1000</f>
        <v>49.864323180686483</v>
      </c>
      <c r="AB77" s="41">
        <f>I77/'1. Väestöennuste'!K77*1000</f>
        <v>61.890706940496436</v>
      </c>
      <c r="AC77" s="41">
        <f>J77/'1. Väestöennuste'!L77*1000</f>
        <v>264.67569710972884</v>
      </c>
      <c r="AD77" s="41">
        <f>K77/'1. Väestöennuste'!M77*1000</f>
        <v>101.48721188353697</v>
      </c>
      <c r="AE77" s="41">
        <f>L77/'1. Väestöennuste'!N77*1000</f>
        <v>179.8812696348804</v>
      </c>
      <c r="AF77" s="41">
        <f>M77/'1. Väestöennuste'!O77*1000</f>
        <v>-55.852439920521078</v>
      </c>
      <c r="AG77" s="41">
        <f>N77/'1. Väestöennuste'!P77*1000</f>
        <v>-124.4021845235649</v>
      </c>
      <c r="AH77" s="41">
        <f>O77/'1. Väestöennuste'!Q77*1000</f>
        <v>-162.30231344042775</v>
      </c>
      <c r="AI77" s="41">
        <f>P77/'1. Väestöennuste'!R77*1000</f>
        <v>-103.99282920771022</v>
      </c>
    </row>
    <row r="78" spans="1:35" x14ac:dyDescent="0.2">
      <c r="A78" s="34">
        <v>208</v>
      </c>
      <c r="B78" s="88" t="s">
        <v>392</v>
      </c>
      <c r="C78" s="41" t="e">
        <f>'2. Toimintakate'!D78+'3. Verotulot'!G78+'4. Valtionosuudet'!#REF!</f>
        <v>#REF!</v>
      </c>
      <c r="D78" s="41">
        <f>'2. Toimintakate'!E78+'3. Verotulot'!L78+'4. Valtionosuudet'!H78</f>
        <v>5841</v>
      </c>
      <c r="E78" s="41">
        <f>'2. Toimintakate'!F78+'3. Verotulot'!Q78+'4. Valtionosuudet'!N78</f>
        <v>4165</v>
      </c>
      <c r="F78" s="41">
        <f>'2. Toimintakate'!G78+'3. Verotulot'!V78+'4. Valtionosuudet'!T78</f>
        <v>5700</v>
      </c>
      <c r="G78" s="41">
        <f>'2. Toimintakate'!H78+'3. Verotulot'!AA78+'4. Valtionosuudet'!Z78</f>
        <v>5113</v>
      </c>
      <c r="H78" s="41">
        <f>'2. Toimintakate'!I78+'3. Verotulot'!AF78+'4. Valtionosuudet'!AG78</f>
        <v>8695.8040246725795</v>
      </c>
      <c r="I78" s="41">
        <f>'2. Toimintakate'!J78+'3. Verotulot'!AK78+'4. Valtionosuudet'!AN78</f>
        <v>5916.8693032595329</v>
      </c>
      <c r="J78" s="41">
        <f>'2. Toimintakate'!K78+'3. Verotulot'!AP78+'4. Valtionosuudet'!AU78</f>
        <v>8275.5677909766673</v>
      </c>
      <c r="K78" s="41">
        <f>'2. Toimintakate'!L78+'3. Verotulot'!AU78+'4. Valtionosuudet'!BC78</f>
        <v>12572.261746929409</v>
      </c>
      <c r="L78" s="41">
        <f>'2. Toimintakate'!M78+'3. Verotulot'!AZ78+'4. Valtionosuudet'!BK78</f>
        <v>7760.2815088182269</v>
      </c>
      <c r="M78" s="41">
        <f>'2. Toimintakate'!N78+'3. Verotulot'!BE78+'4. Valtionosuudet'!BQ78</f>
        <v>7351.0510280349245</v>
      </c>
      <c r="N78" s="41">
        <f>'2. Toimintakate'!O78+'3. Verotulot'!BJ78+'4. Valtionosuudet'!BY78</f>
        <v>7036.4283453976277</v>
      </c>
      <c r="O78" s="41">
        <f>'2. Toimintakate'!P78+'3. Verotulot'!BO78+'4. Valtionosuudet'!CE78</f>
        <v>7263.9438407546713</v>
      </c>
      <c r="P78" s="41">
        <f>'2. Toimintakate'!Q78+'3. Verotulot'!BT78+'4. Valtionosuudet'!CK78</f>
        <v>8748.9001916288944</v>
      </c>
      <c r="T78" s="34">
        <v>208</v>
      </c>
      <c r="U78" s="88" t="s">
        <v>392</v>
      </c>
      <c r="V78" s="41" t="e">
        <f>C78/'1. Väestöennuste'!E78*1000</f>
        <v>#REF!</v>
      </c>
      <c r="W78" s="41">
        <f>D78/'1. Väestöennuste'!F78*1000</f>
        <v>464.08708088352137</v>
      </c>
      <c r="X78" s="41">
        <f>E78/'1. Väestöennuste'!G78*1000</f>
        <v>332.77404921700219</v>
      </c>
      <c r="Y78" s="41">
        <f>F78/'1. Väestöennuste'!H78*1000</f>
        <v>460.15984499878903</v>
      </c>
      <c r="Z78" s="41">
        <f>G78/'1. Väestöennuste'!I78*1000</f>
        <v>413.23850319243513</v>
      </c>
      <c r="AA78" s="41">
        <f>H78/'1. Väestöennuste'!J78*1000</f>
        <v>701.27451811875642</v>
      </c>
      <c r="AB78" s="41">
        <f>I78/'1. Väestöennuste'!K78*1000</f>
        <v>476.70555134221183</v>
      </c>
      <c r="AC78" s="41">
        <f>J78/'1. Väestöennuste'!L78*1000</f>
        <v>670.9013207115255</v>
      </c>
      <c r="AD78" s="41">
        <f>K78/'1. Väestöennuste'!M78*1000</f>
        <v>1016.1866914750573</v>
      </c>
      <c r="AE78" s="41">
        <f>L78/'1. Väestöennuste'!N78*1000</f>
        <v>635.25552626213391</v>
      </c>
      <c r="AF78" s="41">
        <f>M78/'1. Väestöennuste'!O78*1000</f>
        <v>604.57694119869427</v>
      </c>
      <c r="AG78" s="41">
        <f>N78/'1. Väestöennuste'!P78*1000</f>
        <v>581.52300375187008</v>
      </c>
      <c r="AH78" s="41">
        <f>O78/'1. Väestöennuste'!Q78*1000</f>
        <v>603.41783026704366</v>
      </c>
      <c r="AI78" s="41">
        <f>P78/'1. Väestöennuste'!R78*1000</f>
        <v>730.65810853757262</v>
      </c>
    </row>
    <row r="79" spans="1:35" x14ac:dyDescent="0.2">
      <c r="A79" s="34">
        <v>211</v>
      </c>
      <c r="B79" s="88" t="s">
        <v>393</v>
      </c>
      <c r="C79" s="41" t="e">
        <f>'2. Toimintakate'!D79+'3. Verotulot'!G79+'4. Valtionosuudet'!#REF!</f>
        <v>#REF!</v>
      </c>
      <c r="D79" s="41">
        <f>'2. Toimintakate'!E79+'3. Verotulot'!L79+'4. Valtionosuudet'!H79</f>
        <v>21202</v>
      </c>
      <c r="E79" s="41">
        <f>'2. Toimintakate'!F79+'3. Verotulot'!Q79+'4. Valtionosuudet'!N79</f>
        <v>23235</v>
      </c>
      <c r="F79" s="41">
        <f>'2. Toimintakate'!G79+'3. Verotulot'!V79+'4. Valtionosuudet'!T79</f>
        <v>6863</v>
      </c>
      <c r="G79" s="41">
        <f>'2. Toimintakate'!H79+'3. Verotulot'!AA79+'4. Valtionosuudet'!Z79</f>
        <v>10813</v>
      </c>
      <c r="H79" s="41">
        <f>'2. Toimintakate'!I79+'3. Verotulot'!AF79+'4. Valtionosuudet'!AG79</f>
        <v>29218.404546604746</v>
      </c>
      <c r="I79" s="41">
        <f>'2. Toimintakate'!J79+'3. Verotulot'!AK79+'4. Valtionosuudet'!AN79</f>
        <v>14119.637868737016</v>
      </c>
      <c r="J79" s="41">
        <f>'2. Toimintakate'!K79+'3. Verotulot'!AP79+'4. Valtionosuudet'!AU79</f>
        <v>14684.160012812696</v>
      </c>
      <c r="K79" s="41">
        <f>'2. Toimintakate'!L79+'3. Verotulot'!AU79+'4. Valtionosuudet'!BC79</f>
        <v>17904.312600804602</v>
      </c>
      <c r="L79" s="41">
        <f>'2. Toimintakate'!M79+'3. Verotulot'!AZ79+'4. Valtionosuudet'!BK79</f>
        <v>9565.3903328200831</v>
      </c>
      <c r="M79" s="41">
        <f>'2. Toimintakate'!N79+'3. Verotulot'!BE79+'4. Valtionosuudet'!BQ79</f>
        <v>12975.037971641952</v>
      </c>
      <c r="N79" s="41">
        <f>'2. Toimintakate'!O79+'3. Verotulot'!BJ79+'4. Valtionosuudet'!BY79</f>
        <v>15411.895715721788</v>
      </c>
      <c r="O79" s="41">
        <f>'2. Toimintakate'!P79+'3. Verotulot'!BO79+'4. Valtionosuudet'!CE79</f>
        <v>15754.183758350002</v>
      </c>
      <c r="P79" s="41">
        <f>'2. Toimintakate'!Q79+'3. Verotulot'!BT79+'4. Valtionosuudet'!CK79</f>
        <v>16982.800694985574</v>
      </c>
      <c r="T79" s="34">
        <v>211</v>
      </c>
      <c r="U79" s="88" t="s">
        <v>393</v>
      </c>
      <c r="V79" s="41" t="e">
        <f>C79/'1. Väestöennuste'!E79*1000</f>
        <v>#REF!</v>
      </c>
      <c r="W79" s="41">
        <f>D79/'1. Väestöennuste'!F79*1000</f>
        <v>679.76915678101955</v>
      </c>
      <c r="X79" s="41">
        <f>E79/'1. Väestöennuste'!G79*1000</f>
        <v>739.09724210325408</v>
      </c>
      <c r="Y79" s="41">
        <f>F79/'1. Väestöennuste'!H79*1000</f>
        <v>216.66245738098243</v>
      </c>
      <c r="Z79" s="41">
        <f>G79/'1. Väestöennuste'!I79*1000</f>
        <v>339.30588678297977</v>
      </c>
      <c r="AA79" s="41">
        <f>H79/'1. Väestöennuste'!J79*1000</f>
        <v>907.00951594352591</v>
      </c>
      <c r="AB79" s="41">
        <f>I79/'1. Väestöennuste'!K79*1000</f>
        <v>432.82563511547471</v>
      </c>
      <c r="AC79" s="41">
        <f>J79/'1. Väestöennuste'!L79*1000</f>
        <v>445.52808073098987</v>
      </c>
      <c r="AD79" s="41">
        <f>K79/'1. Väestöennuste'!M79*1000</f>
        <v>534.88819648088315</v>
      </c>
      <c r="AE79" s="41">
        <f>L79/'1. Väestöennuste'!N79*1000</f>
        <v>287.88004733560308</v>
      </c>
      <c r="AF79" s="41">
        <f>M79/'1. Väestöennuste'!O79*1000</f>
        <v>387.82394702420947</v>
      </c>
      <c r="AG79" s="41">
        <f>N79/'1. Väestöennuste'!P79*1000</f>
        <v>457.70657269309186</v>
      </c>
      <c r="AH79" s="41">
        <f>O79/'1. Väestöennuste'!Q79*1000</f>
        <v>465.02697202756957</v>
      </c>
      <c r="AI79" s="41">
        <f>P79/'1. Väestöennuste'!R79*1000</f>
        <v>498.39473793061114</v>
      </c>
    </row>
    <row r="80" spans="1:35" x14ac:dyDescent="0.2">
      <c r="A80" s="34">
        <v>213</v>
      </c>
      <c r="B80" s="88" t="s">
        <v>394</v>
      </c>
      <c r="C80" s="41" t="e">
        <f>'2. Toimintakate'!D80+'3. Verotulot'!G80+'4. Valtionosuudet'!#REF!</f>
        <v>#REF!</v>
      </c>
      <c r="D80" s="41">
        <f>'2. Toimintakate'!E80+'3. Verotulot'!L80+'4. Valtionosuudet'!H80</f>
        <v>2099</v>
      </c>
      <c r="E80" s="41">
        <f>'2. Toimintakate'!F80+'3. Verotulot'!Q80+'4. Valtionosuudet'!N80</f>
        <v>2791</v>
      </c>
      <c r="F80" s="41">
        <f>'2. Toimintakate'!G80+'3. Verotulot'!V80+'4. Valtionosuudet'!T80</f>
        <v>822</v>
      </c>
      <c r="G80" s="41">
        <f>'2. Toimintakate'!H80+'3. Verotulot'!AA80+'4. Valtionosuudet'!Z80</f>
        <v>686</v>
      </c>
      <c r="H80" s="41">
        <f>'2. Toimintakate'!I80+'3. Verotulot'!AF80+'4. Valtionosuudet'!AG80</f>
        <v>3807.2527294825377</v>
      </c>
      <c r="I80" s="41">
        <f>'2. Toimintakate'!J80+'3. Verotulot'!AK80+'4. Valtionosuudet'!AN80</f>
        <v>2156.1128536226315</v>
      </c>
      <c r="J80" s="41">
        <f>'2. Toimintakate'!K80+'3. Verotulot'!AP80+'4. Valtionosuudet'!AU80</f>
        <v>1189.1474886185679</v>
      </c>
      <c r="K80" s="41">
        <f>'2. Toimintakate'!L80+'3. Verotulot'!AU80+'4. Valtionosuudet'!BC80</f>
        <v>1690.7332753090968</v>
      </c>
      <c r="L80" s="41">
        <f>'2. Toimintakate'!M80+'3. Verotulot'!AZ80+'4. Valtionosuudet'!BK80</f>
        <v>1426.6265421132493</v>
      </c>
      <c r="M80" s="41">
        <f>'2. Toimintakate'!N80+'3. Verotulot'!BE80+'4. Valtionosuudet'!BQ80</f>
        <v>684.97268128024598</v>
      </c>
      <c r="N80" s="41">
        <f>'2. Toimintakate'!O80+'3. Verotulot'!BJ80+'4. Valtionosuudet'!BY80</f>
        <v>831.01238149042001</v>
      </c>
      <c r="O80" s="41">
        <f>'2. Toimintakate'!P80+'3. Verotulot'!BO80+'4. Valtionosuudet'!CE80</f>
        <v>964.05420371789705</v>
      </c>
      <c r="P80" s="41">
        <f>'2. Toimintakate'!Q80+'3. Verotulot'!BT80+'4. Valtionosuudet'!CK80</f>
        <v>1806.1146955448562</v>
      </c>
      <c r="T80" s="34">
        <v>213</v>
      </c>
      <c r="U80" s="88" t="s">
        <v>394</v>
      </c>
      <c r="V80" s="41" t="e">
        <f>C80/'1. Väestöennuste'!E80*1000</f>
        <v>#REF!</v>
      </c>
      <c r="W80" s="41">
        <f>D80/'1. Väestöennuste'!F80*1000</f>
        <v>374.62073888988039</v>
      </c>
      <c r="X80" s="41">
        <f>E80/'1. Väestöennuste'!G80*1000</f>
        <v>502.97350874031355</v>
      </c>
      <c r="Y80" s="41">
        <f>F80/'1. Väestöennuste'!H80*1000</f>
        <v>150.77035950110053</v>
      </c>
      <c r="Z80" s="41">
        <f>G80/'1. Väestöennuste'!I80*1000</f>
        <v>128.08065720687082</v>
      </c>
      <c r="AA80" s="41">
        <f>H80/'1. Väestöennuste'!J80*1000</f>
        <v>716.726793953791</v>
      </c>
      <c r="AB80" s="41">
        <f>I80/'1. Väestöennuste'!K80*1000</f>
        <v>412.25867182077087</v>
      </c>
      <c r="AC80" s="41">
        <f>J80/'1. Väestöennuste'!L80*1000</f>
        <v>230.72322247158863</v>
      </c>
      <c r="AD80" s="41">
        <f>K80/'1. Väestöennuste'!M80*1000</f>
        <v>330.60877499200177</v>
      </c>
      <c r="AE80" s="41">
        <f>L80/'1. Väestöennuste'!N80*1000</f>
        <v>281.55250485755857</v>
      </c>
      <c r="AF80" s="41">
        <f>M80/'1. Väestöennuste'!O80*1000</f>
        <v>136.69380987432567</v>
      </c>
      <c r="AG80" s="41">
        <f>N80/'1. Väestöennuste'!P80*1000</f>
        <v>167.64421656050436</v>
      </c>
      <c r="AH80" s="41">
        <f>O80/'1. Väestöennuste'!Q80*1000</f>
        <v>196.58527808276858</v>
      </c>
      <c r="AI80" s="41">
        <f>P80/'1. Väestöennuste'!R80*1000</f>
        <v>372.16457769314985</v>
      </c>
    </row>
    <row r="81" spans="1:35" x14ac:dyDescent="0.2">
      <c r="A81" s="34">
        <v>214</v>
      </c>
      <c r="B81" s="88" t="s">
        <v>395</v>
      </c>
      <c r="C81" s="41" t="e">
        <f>'2. Toimintakate'!D81+'3. Verotulot'!G81+'4. Valtionosuudet'!#REF!</f>
        <v>#REF!</v>
      </c>
      <c r="D81" s="41">
        <f>'2. Toimintakate'!E81+'3. Verotulot'!L81+'4. Valtionosuudet'!H81</f>
        <v>3978</v>
      </c>
      <c r="E81" s="41">
        <f>'2. Toimintakate'!F81+'3. Verotulot'!Q81+'4. Valtionosuudet'!N81</f>
        <v>3309</v>
      </c>
      <c r="F81" s="41">
        <f>'2. Toimintakate'!G81+'3. Verotulot'!V81+'4. Valtionosuudet'!T81</f>
        <v>-283</v>
      </c>
      <c r="G81" s="41">
        <f>'2. Toimintakate'!H81+'3. Verotulot'!AA81+'4. Valtionosuudet'!Z81</f>
        <v>-38</v>
      </c>
      <c r="H81" s="41">
        <f>'2. Toimintakate'!I81+'3. Verotulot'!AF81+'4. Valtionosuudet'!AG81</f>
        <v>7198.8232592137356</v>
      </c>
      <c r="I81" s="41">
        <f>'2. Toimintakate'!J81+'3. Verotulot'!AK81+'4. Valtionosuudet'!AN81</f>
        <v>8889.5997582354394</v>
      </c>
      <c r="J81" s="41">
        <f>'2. Toimintakate'!K81+'3. Verotulot'!AP81+'4. Valtionosuudet'!AU81</f>
        <v>4789.3990828161623</v>
      </c>
      <c r="K81" s="41">
        <f>'2. Toimintakate'!L81+'3. Verotulot'!AU81+'4. Valtionosuudet'!BC81</f>
        <v>8586.3010140480947</v>
      </c>
      <c r="L81" s="41">
        <f>'2. Toimintakate'!M81+'3. Verotulot'!AZ81+'4. Valtionosuudet'!BK81</f>
        <v>4219.4421082843746</v>
      </c>
      <c r="M81" s="41">
        <f>'2. Toimintakate'!N81+'3. Verotulot'!BE81+'4. Valtionosuudet'!BQ81</f>
        <v>3768.4773326621871</v>
      </c>
      <c r="N81" s="41">
        <f>'2. Toimintakate'!O81+'3. Verotulot'!BJ81+'4. Valtionosuudet'!BY81</f>
        <v>4296.9548792099449</v>
      </c>
      <c r="O81" s="41">
        <f>'2. Toimintakate'!P81+'3. Verotulot'!BO81+'4. Valtionosuudet'!CE81</f>
        <v>4606.9420481127308</v>
      </c>
      <c r="P81" s="41">
        <f>'2. Toimintakate'!Q81+'3. Verotulot'!BT81+'4. Valtionosuudet'!CK81</f>
        <v>6444.3087159297211</v>
      </c>
      <c r="T81" s="34">
        <v>214</v>
      </c>
      <c r="U81" s="88" t="s">
        <v>395</v>
      </c>
      <c r="V81" s="41" t="e">
        <f>C81/'1. Väestöennuste'!E81*1000</f>
        <v>#REF!</v>
      </c>
      <c r="W81" s="41">
        <f>D81/'1. Väestöennuste'!F81*1000</f>
        <v>296.95431472081219</v>
      </c>
      <c r="X81" s="41">
        <f>E81/'1. Väestöennuste'!G81*1000</f>
        <v>248.94673487812219</v>
      </c>
      <c r="Y81" s="41">
        <f>F81/'1. Väestöennuste'!H81*1000</f>
        <v>-21.542209027936362</v>
      </c>
      <c r="Z81" s="41">
        <f>G81/'1. Väestöennuste'!I81*1000</f>
        <v>-2.9443669611033627</v>
      </c>
      <c r="AA81" s="41">
        <f>H81/'1. Väestöennuste'!J81*1000</f>
        <v>564.25954375401602</v>
      </c>
      <c r="AB81" s="41">
        <f>I81/'1. Väestöennuste'!K81*1000</f>
        <v>702.06916428964144</v>
      </c>
      <c r="AC81" s="41">
        <f>J81/'1. Väestöennuste'!L81*1000</f>
        <v>382.29558451597717</v>
      </c>
      <c r="AD81" s="41">
        <f>K81/'1. Väestöennuste'!M81*1000</f>
        <v>692.7788457356861</v>
      </c>
      <c r="AE81" s="41">
        <f>L81/'1. Väestöennuste'!N81*1000</f>
        <v>347.65115829977543</v>
      </c>
      <c r="AF81" s="41">
        <f>M81/'1. Väestöennuste'!O81*1000</f>
        <v>314.09212640958384</v>
      </c>
      <c r="AG81" s="41">
        <f>N81/'1. Väestöennuste'!P81*1000</f>
        <v>362.12328326394277</v>
      </c>
      <c r="AH81" s="41">
        <f>O81/'1. Väestöennuste'!Q81*1000</f>
        <v>392.38072124288652</v>
      </c>
      <c r="AI81" s="41">
        <f>P81/'1. Väestöennuste'!R81*1000</f>
        <v>554.63540028657553</v>
      </c>
    </row>
    <row r="82" spans="1:35" x14ac:dyDescent="0.2">
      <c r="A82" s="34">
        <v>216</v>
      </c>
      <c r="B82" s="88" t="s">
        <v>396</v>
      </c>
      <c r="C82" s="41" t="e">
        <f>'2. Toimintakate'!D82+'3. Verotulot'!G82+'4. Valtionosuudet'!#REF!</f>
        <v>#REF!</v>
      </c>
      <c r="D82" s="41">
        <f>'2. Toimintakate'!E82+'3. Verotulot'!L82+'4. Valtionosuudet'!H82</f>
        <v>1960</v>
      </c>
      <c r="E82" s="41">
        <f>'2. Toimintakate'!F82+'3. Verotulot'!Q82+'4. Valtionosuudet'!N82</f>
        <v>1336</v>
      </c>
      <c r="F82" s="41">
        <f>'2. Toimintakate'!G82+'3. Verotulot'!V82+'4. Valtionosuudet'!T82</f>
        <v>982</v>
      </c>
      <c r="G82" s="41">
        <f>'2. Toimintakate'!H82+'3. Verotulot'!AA82+'4. Valtionosuudet'!Z82</f>
        <v>561</v>
      </c>
      <c r="H82" s="41">
        <f>'2. Toimintakate'!I82+'3. Verotulot'!AF82+'4. Valtionosuudet'!AG82</f>
        <v>1084.2612447382935</v>
      </c>
      <c r="I82" s="41">
        <f>'2. Toimintakate'!J82+'3. Verotulot'!AK82+'4. Valtionosuudet'!AN82</f>
        <v>643.12252587746661</v>
      </c>
      <c r="J82" s="41">
        <f>'2. Toimintakate'!K82+'3. Verotulot'!AP82+'4. Valtionosuudet'!AU82</f>
        <v>-102.57801551391913</v>
      </c>
      <c r="K82" s="41">
        <f>'2. Toimintakate'!L82+'3. Verotulot'!AU82+'4. Valtionosuudet'!BC82</f>
        <v>376.19572242489971</v>
      </c>
      <c r="L82" s="41">
        <f>'2. Toimintakate'!M82+'3. Verotulot'!AZ82+'4. Valtionosuudet'!BK82</f>
        <v>910.44685420068936</v>
      </c>
      <c r="M82" s="41">
        <f>'2. Toimintakate'!N82+'3. Verotulot'!BE82+'4. Valtionosuudet'!BQ82</f>
        <v>160.26443367282445</v>
      </c>
      <c r="N82" s="41">
        <f>'2. Toimintakate'!O82+'3. Verotulot'!BJ82+'4. Valtionosuudet'!BY82</f>
        <v>35.580916985448766</v>
      </c>
      <c r="O82" s="41">
        <f>'2. Toimintakate'!P82+'3. Verotulot'!BO82+'4. Valtionosuudet'!CE82</f>
        <v>7.5224870705355897</v>
      </c>
      <c r="P82" s="41">
        <f>'2. Toimintakate'!Q82+'3. Verotulot'!BT82+'4. Valtionosuudet'!CK82</f>
        <v>99.777507041724675</v>
      </c>
      <c r="T82" s="34">
        <v>216</v>
      </c>
      <c r="U82" s="88" t="s">
        <v>396</v>
      </c>
      <c r="V82" s="41" t="e">
        <f>C82/'1. Väestöennuste'!E82*1000</f>
        <v>#REF!</v>
      </c>
      <c r="W82" s="41">
        <f>D82/'1. Väestöennuste'!F82*1000</f>
        <v>1376.4044943820224</v>
      </c>
      <c r="X82" s="41">
        <f>E82/'1. Väestöennuste'!G82*1000</f>
        <v>948.86363636363637</v>
      </c>
      <c r="Y82" s="41">
        <f>F82/'1. Väestöennuste'!H82*1000</f>
        <v>725.79453067257953</v>
      </c>
      <c r="Z82" s="41">
        <f>G82/'1. Väestöennuste'!I82*1000</f>
        <v>418.96938013442872</v>
      </c>
      <c r="AA82" s="41">
        <f>H82/'1. Väestöennuste'!J82*1000</f>
        <v>819.54742610604194</v>
      </c>
      <c r="AB82" s="41">
        <f>I82/'1. Väestöennuste'!K82*1000</f>
        <v>490.55875352972282</v>
      </c>
      <c r="AC82" s="41">
        <f>J82/'1. Väestöennuste'!L82*1000</f>
        <v>-80.833739569676226</v>
      </c>
      <c r="AD82" s="41">
        <f>K82/'1. Väestöennuste'!M82*1000</f>
        <v>309.11727397280174</v>
      </c>
      <c r="AE82" s="41">
        <f>L82/'1. Väestöennuste'!N82*1000</f>
        <v>733.04899694097367</v>
      </c>
      <c r="AF82" s="41">
        <f>M82/'1. Väestöennuste'!O82*1000</f>
        <v>130.93499483073893</v>
      </c>
      <c r="AG82" s="41">
        <f>N82/'1. Väestöennuste'!P82*1000</f>
        <v>29.405716516899805</v>
      </c>
      <c r="AH82" s="41">
        <f>O82/'1. Väestöennuste'!Q82*1000</f>
        <v>6.3002404275842459</v>
      </c>
      <c r="AI82" s="41">
        <f>P82/'1. Väestöennuste'!R82*1000</f>
        <v>84.628928788570548</v>
      </c>
    </row>
    <row r="83" spans="1:35" x14ac:dyDescent="0.2">
      <c r="A83" s="34">
        <v>217</v>
      </c>
      <c r="B83" s="88" t="s">
        <v>397</v>
      </c>
      <c r="C83" s="41" t="e">
        <f>'2. Toimintakate'!D83+'3. Verotulot'!G83+'4. Valtionosuudet'!#REF!</f>
        <v>#REF!</v>
      </c>
      <c r="D83" s="41">
        <f>'2. Toimintakate'!E83+'3. Verotulot'!L83+'4. Valtionosuudet'!H83</f>
        <v>650</v>
      </c>
      <c r="E83" s="41">
        <f>'2. Toimintakate'!F83+'3. Verotulot'!Q83+'4. Valtionosuudet'!N83</f>
        <v>712</v>
      </c>
      <c r="F83" s="41">
        <f>'2. Toimintakate'!G83+'3. Verotulot'!V83+'4. Valtionosuudet'!T83</f>
        <v>115</v>
      </c>
      <c r="G83" s="41">
        <f>'2. Toimintakate'!H83+'3. Verotulot'!AA83+'4. Valtionosuudet'!Z83</f>
        <v>65</v>
      </c>
      <c r="H83" s="41">
        <f>'2. Toimintakate'!I83+'3. Verotulot'!AF83+'4. Valtionosuudet'!AG83</f>
        <v>2457.9221499128653</v>
      </c>
      <c r="I83" s="41">
        <f>'2. Toimintakate'!J83+'3. Verotulot'!AK83+'4. Valtionosuudet'!AN83</f>
        <v>1169.8416083630491</v>
      </c>
      <c r="J83" s="41">
        <f>'2. Toimintakate'!K83+'3. Verotulot'!AP83+'4. Valtionosuudet'!AU83</f>
        <v>1021.6505052085377</v>
      </c>
      <c r="K83" s="41">
        <f>'2. Toimintakate'!L83+'3. Verotulot'!AU83+'4. Valtionosuudet'!BC83</f>
        <v>2421.6204145411639</v>
      </c>
      <c r="L83" s="41">
        <f>'2. Toimintakate'!M83+'3. Verotulot'!AZ83+'4. Valtionosuudet'!BK83</f>
        <v>1114.2991828560944</v>
      </c>
      <c r="M83" s="41">
        <f>'2. Toimintakate'!N83+'3. Verotulot'!BE83+'4. Valtionosuudet'!BQ83</f>
        <v>988.52616983372081</v>
      </c>
      <c r="N83" s="41">
        <f>'2. Toimintakate'!O83+'3. Verotulot'!BJ83+'4. Valtionosuudet'!BY83</f>
        <v>1283.6005287104672</v>
      </c>
      <c r="O83" s="41">
        <f>'2. Toimintakate'!P83+'3. Verotulot'!BO83+'4. Valtionosuudet'!CE83</f>
        <v>1453.7431155987542</v>
      </c>
      <c r="P83" s="41">
        <f>'2. Toimintakate'!Q83+'3. Verotulot'!BT83+'4. Valtionosuudet'!CK83</f>
        <v>1857.2136030731117</v>
      </c>
      <c r="T83" s="34">
        <v>217</v>
      </c>
      <c r="U83" s="88" t="s">
        <v>397</v>
      </c>
      <c r="V83" s="41" t="e">
        <f>C83/'1. Väestöennuste'!E83*1000</f>
        <v>#REF!</v>
      </c>
      <c r="W83" s="41">
        <f>D83/'1. Väestöennuste'!F83*1000</f>
        <v>116.52922194334887</v>
      </c>
      <c r="X83" s="41">
        <f>E83/'1. Väestöennuste'!G83*1000</f>
        <v>128.98550724637681</v>
      </c>
      <c r="Y83" s="41">
        <f>F83/'1. Väestöennuste'!H83*1000</f>
        <v>20.901490367139225</v>
      </c>
      <c r="Z83" s="41">
        <f>G83/'1. Väestöennuste'!I83*1000</f>
        <v>11.896046852122987</v>
      </c>
      <c r="AA83" s="41">
        <f>H83/'1. Väestöennuste'!J83*1000</f>
        <v>452.98970695039901</v>
      </c>
      <c r="AB83" s="41">
        <f>I83/'1. Väestöennuste'!K83*1000</f>
        <v>217.03925943655827</v>
      </c>
      <c r="AC83" s="41">
        <f>J83/'1. Väestöennuste'!L83*1000</f>
        <v>190.89135000159524</v>
      </c>
      <c r="AD83" s="41">
        <f>K83/'1. Väestöennuste'!M83*1000</f>
        <v>461.61273628310408</v>
      </c>
      <c r="AE83" s="41">
        <f>L83/'1. Väestöennuste'!N83*1000</f>
        <v>211.08148945938518</v>
      </c>
      <c r="AF83" s="41">
        <f>M83/'1. Väestöennuste'!O83*1000</f>
        <v>188.47019443922227</v>
      </c>
      <c r="AG83" s="41">
        <f>N83/'1. Väestöennuste'!P83*1000</f>
        <v>246.18345391455068</v>
      </c>
      <c r="AH83" s="41">
        <f>O83/'1. Väestöennuste'!Q83*1000</f>
        <v>280.37475710679928</v>
      </c>
      <c r="AI83" s="41">
        <f>P83/'1. Väestöennuste'!R83*1000</f>
        <v>360.2742198007976</v>
      </c>
    </row>
    <row r="84" spans="1:35" x14ac:dyDescent="0.2">
      <c r="A84" s="34">
        <v>218</v>
      </c>
      <c r="B84" s="88" t="s">
        <v>398</v>
      </c>
      <c r="C84" s="41" t="e">
        <f>'2. Toimintakate'!D84+'3. Verotulot'!G84+'4. Valtionosuudet'!#REF!</f>
        <v>#REF!</v>
      </c>
      <c r="D84" s="41">
        <f>'2. Toimintakate'!E84+'3. Verotulot'!L84+'4. Valtionosuudet'!H84</f>
        <v>717</v>
      </c>
      <c r="E84" s="41">
        <f>'2. Toimintakate'!F84+'3. Verotulot'!Q84+'4. Valtionosuudet'!N84</f>
        <v>749</v>
      </c>
      <c r="F84" s="41">
        <f>'2. Toimintakate'!G84+'3. Verotulot'!V84+'4. Valtionosuudet'!T84</f>
        <v>43</v>
      </c>
      <c r="G84" s="41">
        <f>'2. Toimintakate'!H84+'3. Verotulot'!AA84+'4. Valtionosuudet'!Z84</f>
        <v>-448</v>
      </c>
      <c r="H84" s="41">
        <f>'2. Toimintakate'!I84+'3. Verotulot'!AF84+'4. Valtionosuudet'!AG84</f>
        <v>1829.3714463133019</v>
      </c>
      <c r="I84" s="41">
        <f>'2. Toimintakate'!J84+'3. Verotulot'!AK84+'4. Valtionosuudet'!AN84</f>
        <v>784.79705061084405</v>
      </c>
      <c r="J84" s="41">
        <f>'2. Toimintakate'!K84+'3. Verotulot'!AP84+'4. Valtionosuudet'!AU84</f>
        <v>702.24971427467335</v>
      </c>
      <c r="K84" s="41">
        <f>'2. Toimintakate'!L84+'3. Verotulot'!AU84+'4. Valtionosuudet'!BC84</f>
        <v>820.46651771842608</v>
      </c>
      <c r="L84" s="41">
        <f>'2. Toimintakate'!M84+'3. Verotulot'!AZ84+'4. Valtionosuudet'!BK84</f>
        <v>423.26889086875576</v>
      </c>
      <c r="M84" s="41">
        <f>'2. Toimintakate'!N84+'3. Verotulot'!BE84+'4. Valtionosuudet'!BQ84</f>
        <v>202.68140558286132</v>
      </c>
      <c r="N84" s="41">
        <f>'2. Toimintakate'!O84+'3. Verotulot'!BJ84+'4. Valtionosuudet'!BY84</f>
        <v>286.67162237732828</v>
      </c>
      <c r="O84" s="41">
        <f>'2. Toimintakate'!P84+'3. Verotulot'!BO84+'4. Valtionosuudet'!CE84</f>
        <v>287.9374125119889</v>
      </c>
      <c r="P84" s="41">
        <f>'2. Toimintakate'!Q84+'3. Verotulot'!BT84+'4. Valtionosuudet'!CK84</f>
        <v>436.8215596171699</v>
      </c>
      <c r="T84" s="34">
        <v>218</v>
      </c>
      <c r="U84" s="88" t="s">
        <v>398</v>
      </c>
      <c r="V84" s="41" t="e">
        <f>C84/'1. Väestöennuste'!E84*1000</f>
        <v>#REF!</v>
      </c>
      <c r="W84" s="41">
        <f>D84/'1. Väestöennuste'!F84*1000</f>
        <v>531.50481838398809</v>
      </c>
      <c r="X84" s="41">
        <f>E84/'1. Väestöennuste'!G84*1000</f>
        <v>563.58164033107607</v>
      </c>
      <c r="Y84" s="41">
        <f>F84/'1. Väestöennuste'!H84*1000</f>
        <v>33.751962323390892</v>
      </c>
      <c r="Z84" s="41">
        <f>G84/'1. Väestöennuste'!I84*1000</f>
        <v>-359.83935742971892</v>
      </c>
      <c r="AA84" s="41">
        <f>H84/'1. Väestöennuste'!J84*1000</f>
        <v>1515.6350010880712</v>
      </c>
      <c r="AB84" s="41">
        <f>I84/'1. Väestöennuste'!K84*1000</f>
        <v>658.38678742520472</v>
      </c>
      <c r="AC84" s="41">
        <f>J84/'1. Väestöennuste'!L84*1000</f>
        <v>585.20809522889454</v>
      </c>
      <c r="AD84" s="41">
        <f>K84/'1. Väestöennuste'!M84*1000</f>
        <v>690.62838191786705</v>
      </c>
      <c r="AE84" s="41">
        <f>L84/'1. Väestöennuste'!N84*1000</f>
        <v>382.35672165199259</v>
      </c>
      <c r="AF84" s="41">
        <f>M84/'1. Väestöennuste'!O84*1000</f>
        <v>186.2880566018946</v>
      </c>
      <c r="AG84" s="41">
        <f>N84/'1. Väestöennuste'!P84*1000</f>
        <v>267.66724778462026</v>
      </c>
      <c r="AH84" s="41">
        <f>O84/'1. Väestöennuste'!Q84*1000</f>
        <v>273.70476474523656</v>
      </c>
      <c r="AI84" s="41">
        <f>P84/'1. Väestöennuste'!R84*1000</f>
        <v>420.42498519458121</v>
      </c>
    </row>
    <row r="85" spans="1:35" x14ac:dyDescent="0.2">
      <c r="A85" s="34">
        <v>224</v>
      </c>
      <c r="B85" s="88" t="s">
        <v>399</v>
      </c>
      <c r="C85" s="41" t="e">
        <f>'2. Toimintakate'!D85+'3. Verotulot'!G85+'4. Valtionosuudet'!#REF!</f>
        <v>#REF!</v>
      </c>
      <c r="D85" s="41">
        <f>'2. Toimintakate'!E85+'3. Verotulot'!L85+'4. Valtionosuudet'!H85</f>
        <v>3869</v>
      </c>
      <c r="E85" s="41">
        <f>'2. Toimintakate'!F85+'3. Verotulot'!Q85+'4. Valtionosuudet'!N85</f>
        <v>3233</v>
      </c>
      <c r="F85" s="41">
        <f>'2. Toimintakate'!G85+'3. Verotulot'!V85+'4. Valtionosuudet'!T85</f>
        <v>2475</v>
      </c>
      <c r="G85" s="41">
        <f>'2. Toimintakate'!H85+'3. Verotulot'!AA85+'4. Valtionosuudet'!Z85</f>
        <v>-216</v>
      </c>
      <c r="H85" s="41">
        <f>'2. Toimintakate'!I85+'3. Verotulot'!AF85+'4. Valtionosuudet'!AG85</f>
        <v>4796.2253273974311</v>
      </c>
      <c r="I85" s="41">
        <f>'2. Toimintakate'!J85+'3. Verotulot'!AK85+'4. Valtionosuudet'!AN85</f>
        <v>3562.8147233058298</v>
      </c>
      <c r="J85" s="41">
        <f>'2. Toimintakate'!K85+'3. Verotulot'!AP85+'4. Valtionosuudet'!AU85</f>
        <v>5380.6412157252089</v>
      </c>
      <c r="K85" s="41">
        <f>'2. Toimintakate'!L85+'3. Verotulot'!AU85+'4. Valtionosuudet'!BC85</f>
        <v>5717.6559081226578</v>
      </c>
      <c r="L85" s="41">
        <f>'2. Toimintakate'!M85+'3. Verotulot'!AZ85+'4. Valtionosuudet'!BK85</f>
        <v>5152.7027544136317</v>
      </c>
      <c r="M85" s="41">
        <f>'2. Toimintakate'!N85+'3. Verotulot'!BE85+'4. Valtionosuudet'!BQ85</f>
        <v>4696.9599153107329</v>
      </c>
      <c r="N85" s="41">
        <f>'2. Toimintakate'!O85+'3. Verotulot'!BJ85+'4. Valtionosuudet'!BY85</f>
        <v>5087.4064531717822</v>
      </c>
      <c r="O85" s="41">
        <f>'2. Toimintakate'!P85+'3. Verotulot'!BO85+'4. Valtionosuudet'!CE85</f>
        <v>5052.562384908294</v>
      </c>
      <c r="P85" s="41">
        <f>'2. Toimintakate'!Q85+'3. Verotulot'!BT85+'4. Valtionosuudet'!CK85</f>
        <v>6161.9554102980019</v>
      </c>
      <c r="T85" s="34">
        <v>224</v>
      </c>
      <c r="U85" s="88" t="s">
        <v>399</v>
      </c>
      <c r="V85" s="41" t="e">
        <f>C85/'1. Väestöennuste'!E85*1000</f>
        <v>#REF!</v>
      </c>
      <c r="W85" s="41">
        <f>D85/'1. Väestöennuste'!F85*1000</f>
        <v>434.18247110313098</v>
      </c>
      <c r="X85" s="41">
        <f>E85/'1. Väestöennuste'!G85*1000</f>
        <v>363.25842696629212</v>
      </c>
      <c r="Y85" s="41">
        <f>F85/'1. Väestöennuste'!H85*1000</f>
        <v>281.95488721804514</v>
      </c>
      <c r="Z85" s="41">
        <f>G85/'1. Väestöennuste'!I85*1000</f>
        <v>-24.787697957310076</v>
      </c>
      <c r="AA85" s="41">
        <f>H85/'1. Väestöennuste'!J85*1000</f>
        <v>551.54385089666869</v>
      </c>
      <c r="AB85" s="41">
        <f>I85/'1. Väestöennuste'!K85*1000</f>
        <v>408.72028488078809</v>
      </c>
      <c r="AC85" s="41">
        <f>J85/'1. Väestöennuste'!L85*1000</f>
        <v>625.43777934734499</v>
      </c>
      <c r="AD85" s="41">
        <f>K85/'1. Väestöennuste'!M85*1000</f>
        <v>666.31580330062434</v>
      </c>
      <c r="AE85" s="41">
        <f>L85/'1. Väestöennuste'!N85*1000</f>
        <v>608.41926489711079</v>
      </c>
      <c r="AF85" s="41">
        <f>M85/'1. Väestöennuste'!O85*1000</f>
        <v>557.56884084885235</v>
      </c>
      <c r="AG85" s="41">
        <f>N85/'1. Väestöennuste'!P85*1000</f>
        <v>606.65471657187959</v>
      </c>
      <c r="AH85" s="41">
        <f>O85/'1. Väestöennuste'!Q85*1000</f>
        <v>605.16976702698457</v>
      </c>
      <c r="AI85" s="41">
        <f>P85/'1. Väestöennuste'!R85*1000</f>
        <v>741.06499221864124</v>
      </c>
    </row>
    <row r="86" spans="1:35" x14ac:dyDescent="0.2">
      <c r="A86" s="34">
        <v>226</v>
      </c>
      <c r="B86" s="88" t="s">
        <v>400</v>
      </c>
      <c r="C86" s="41" t="e">
        <f>'2. Toimintakate'!D86+'3. Verotulot'!G86+'4. Valtionosuudet'!#REF!</f>
        <v>#REF!</v>
      </c>
      <c r="D86" s="41">
        <f>'2. Toimintakate'!E86+'3. Verotulot'!L86+'4. Valtionosuudet'!H86</f>
        <v>1983</v>
      </c>
      <c r="E86" s="41">
        <f>'2. Toimintakate'!F86+'3. Verotulot'!Q86+'4. Valtionosuudet'!N86</f>
        <v>2654</v>
      </c>
      <c r="F86" s="41">
        <f>'2. Toimintakate'!G86+'3. Verotulot'!V86+'4. Valtionosuudet'!T86</f>
        <v>1725</v>
      </c>
      <c r="G86" s="41">
        <f>'2. Toimintakate'!H86+'3. Verotulot'!AA86+'4. Valtionosuudet'!Z86</f>
        <v>-3088</v>
      </c>
      <c r="H86" s="41">
        <f>'2. Toimintakate'!I86+'3. Verotulot'!AF86+'4. Valtionosuudet'!AG86</f>
        <v>4186.5038239565656</v>
      </c>
      <c r="I86" s="41">
        <f>'2. Toimintakate'!J86+'3. Verotulot'!AK86+'4. Valtionosuudet'!AN86</f>
        <v>3764.2919812037908</v>
      </c>
      <c r="J86" s="41">
        <f>'2. Toimintakate'!K86+'3. Verotulot'!AP86+'4. Valtionosuudet'!AU86</f>
        <v>2658.0200032481007</v>
      </c>
      <c r="K86" s="41">
        <f>'2. Toimintakate'!L86+'3. Verotulot'!AU86+'4. Valtionosuudet'!BC86</f>
        <v>2751.848094708691</v>
      </c>
      <c r="L86" s="41">
        <f>'2. Toimintakate'!M86+'3. Verotulot'!AZ86+'4. Valtionosuudet'!BK86</f>
        <v>1892.1625288457526</v>
      </c>
      <c r="M86" s="41">
        <f>'2. Toimintakate'!N86+'3. Verotulot'!BE86+'4. Valtionosuudet'!BQ86</f>
        <v>299.19833039019386</v>
      </c>
      <c r="N86" s="41">
        <f>'2. Toimintakate'!O86+'3. Verotulot'!BJ86+'4. Valtionosuudet'!BY86</f>
        <v>217.97466572733356</v>
      </c>
      <c r="O86" s="41">
        <f>'2. Toimintakate'!P86+'3. Verotulot'!BO86+'4. Valtionosuudet'!CE86</f>
        <v>-67.393688847274461</v>
      </c>
      <c r="P86" s="41">
        <f>'2. Toimintakate'!Q86+'3. Verotulot'!BT86+'4. Valtionosuudet'!CK86</f>
        <v>313.2979896386596</v>
      </c>
      <c r="T86" s="34">
        <v>226</v>
      </c>
      <c r="U86" s="88" t="s">
        <v>400</v>
      </c>
      <c r="V86" s="41" t="e">
        <f>C86/'1. Väestöennuste'!E86*1000</f>
        <v>#REF!</v>
      </c>
      <c r="W86" s="41">
        <f>D86/'1. Väestöennuste'!F86*1000</f>
        <v>468.57277882797734</v>
      </c>
      <c r="X86" s="41">
        <f>E86/'1. Väestöennuste'!G86*1000</f>
        <v>640.13506994693682</v>
      </c>
      <c r="Y86" s="41">
        <f>F86/'1. Väestöennuste'!H86*1000</f>
        <v>427.93351525676007</v>
      </c>
      <c r="Z86" s="41">
        <f>G86/'1. Väestöennuste'!I86*1000</f>
        <v>-781.97011901747283</v>
      </c>
      <c r="AA86" s="41">
        <f>H86/'1. Väestöennuste'!J86*1000</f>
        <v>1085.1487361214529</v>
      </c>
      <c r="AB86" s="41">
        <f>I86/'1. Väestöennuste'!K86*1000</f>
        <v>997.42765797662719</v>
      </c>
      <c r="AC86" s="41">
        <f>J86/'1. Väestöennuste'!L86*1000</f>
        <v>725.24420279620756</v>
      </c>
      <c r="AD86" s="41">
        <f>K86/'1. Väestöennuste'!M86*1000</f>
        <v>759.13050888515613</v>
      </c>
      <c r="AE86" s="41">
        <f>L86/'1. Väestöennuste'!N86*1000</f>
        <v>530.90980046177117</v>
      </c>
      <c r="AF86" s="41">
        <f>M86/'1. Väestöennuste'!O86*1000</f>
        <v>85.509668588223448</v>
      </c>
      <c r="AG86" s="41">
        <f>N86/'1. Väestöennuste'!P86*1000</f>
        <v>63.438494099922458</v>
      </c>
      <c r="AH86" s="41">
        <f>O86/'1. Väestöennuste'!Q86*1000</f>
        <v>-19.968500399192433</v>
      </c>
      <c r="AI86" s="41">
        <f>P86/'1. Väestöennuste'!R86*1000</f>
        <v>94.452212733994457</v>
      </c>
    </row>
    <row r="87" spans="1:35" x14ac:dyDescent="0.2">
      <c r="A87" s="34">
        <v>230</v>
      </c>
      <c r="B87" s="88" t="s">
        <v>401</v>
      </c>
      <c r="C87" s="41" t="e">
        <f>'2. Toimintakate'!D87+'3. Verotulot'!G87+'4. Valtionosuudet'!#REF!</f>
        <v>#REF!</v>
      </c>
      <c r="D87" s="41">
        <f>'2. Toimintakate'!E87+'3. Verotulot'!L87+'4. Valtionosuudet'!H87</f>
        <v>-290</v>
      </c>
      <c r="E87" s="41">
        <f>'2. Toimintakate'!F87+'3. Verotulot'!Q87+'4. Valtionosuudet'!N87</f>
        <v>611</v>
      </c>
      <c r="F87" s="41">
        <f>'2. Toimintakate'!G87+'3. Verotulot'!V87+'4. Valtionosuudet'!T87</f>
        <v>-410</v>
      </c>
      <c r="G87" s="41">
        <f>'2. Toimintakate'!H87+'3. Verotulot'!AA87+'4. Valtionosuudet'!Z87</f>
        <v>-809</v>
      </c>
      <c r="H87" s="41">
        <f>'2. Toimintakate'!I87+'3. Verotulot'!AF87+'4. Valtionosuudet'!AG87</f>
        <v>1360.2549690884971</v>
      </c>
      <c r="I87" s="41">
        <f>'2. Toimintakate'!J87+'3. Verotulot'!AK87+'4. Valtionosuudet'!AN87</f>
        <v>1227.2145669169695</v>
      </c>
      <c r="J87" s="41">
        <f>'2. Toimintakate'!K87+'3. Verotulot'!AP87+'4. Valtionosuudet'!AU87</f>
        <v>185.6418196389277</v>
      </c>
      <c r="K87" s="41">
        <f>'2. Toimintakate'!L87+'3. Verotulot'!AU87+'4. Valtionosuudet'!BC87</f>
        <v>60.667292640248206</v>
      </c>
      <c r="L87" s="41">
        <f>'2. Toimintakate'!M87+'3. Verotulot'!AZ87+'4. Valtionosuudet'!BK87</f>
        <v>524.83594910292913</v>
      </c>
      <c r="M87" s="41">
        <f>'2. Toimintakate'!N87+'3. Verotulot'!BE87+'4. Valtionosuudet'!BQ87</f>
        <v>112.34406604309424</v>
      </c>
      <c r="N87" s="41">
        <f>'2. Toimintakate'!O87+'3. Verotulot'!BJ87+'4. Valtionosuudet'!BY87</f>
        <v>40.332858151734399</v>
      </c>
      <c r="O87" s="41">
        <f>'2. Toimintakate'!P87+'3. Verotulot'!BO87+'4. Valtionosuudet'!CE87</f>
        <v>-115.02326607519444</v>
      </c>
      <c r="P87" s="41">
        <f>'2. Toimintakate'!Q87+'3. Verotulot'!BT87+'4. Valtionosuudet'!CK87</f>
        <v>159.6291199477705</v>
      </c>
      <c r="T87" s="34">
        <v>230</v>
      </c>
      <c r="U87" s="88" t="s">
        <v>401</v>
      </c>
      <c r="V87" s="41" t="e">
        <f>C87/'1. Väestöennuste'!E87*1000</f>
        <v>#REF!</v>
      </c>
      <c r="W87" s="41">
        <f>D87/'1. Väestöennuste'!F87*1000</f>
        <v>-118.41567986933443</v>
      </c>
      <c r="X87" s="41">
        <f>E87/'1. Väestöennuste'!G87*1000</f>
        <v>254.26550145651265</v>
      </c>
      <c r="Y87" s="41">
        <f>F87/'1. Väestöennuste'!H87*1000</f>
        <v>-171.54811715481171</v>
      </c>
      <c r="Z87" s="41">
        <f>G87/'1. Väestöennuste'!I87*1000</f>
        <v>-345.43125533731853</v>
      </c>
      <c r="AA87" s="41">
        <f>H87/'1. Väestöennuste'!J87*1000</f>
        <v>585.81178685981786</v>
      </c>
      <c r="AB87" s="41">
        <f>I87/'1. Väestöennuste'!K87*1000</f>
        <v>535.90155760566347</v>
      </c>
      <c r="AC87" s="41">
        <f>J87/'1. Väestöennuste'!L87*1000</f>
        <v>82.875812338807009</v>
      </c>
      <c r="AD87" s="41">
        <f>K87/'1. Väestöennuste'!M87*1000</f>
        <v>27.376937112025367</v>
      </c>
      <c r="AE87" s="41">
        <f>L87/'1. Väestöennuste'!N87*1000</f>
        <v>237.5898366242323</v>
      </c>
      <c r="AF87" s="41">
        <f>M87/'1. Väestöennuste'!O87*1000</f>
        <v>51.463154394454534</v>
      </c>
      <c r="AG87" s="41">
        <f>N87/'1. Väestöennuste'!P87*1000</f>
        <v>18.663978783773437</v>
      </c>
      <c r="AH87" s="41">
        <f>O87/'1. Väestöennuste'!Q87*1000</f>
        <v>-53.749189754763762</v>
      </c>
      <c r="AI87" s="41">
        <f>P87/'1. Väestöennuste'!R87*1000</f>
        <v>75.296754692344578</v>
      </c>
    </row>
    <row r="88" spans="1:35" x14ac:dyDescent="0.2">
      <c r="A88" s="34">
        <v>231</v>
      </c>
      <c r="B88" s="88" t="s">
        <v>402</v>
      </c>
      <c r="C88" s="41" t="e">
        <f>'2. Toimintakate'!D88+'3. Verotulot'!G88+'4. Valtionosuudet'!#REF!</f>
        <v>#REF!</v>
      </c>
      <c r="D88" s="41">
        <f>'2. Toimintakate'!E88+'3. Verotulot'!L88+'4. Valtionosuudet'!H88</f>
        <v>-231</v>
      </c>
      <c r="E88" s="41">
        <f>'2. Toimintakate'!F88+'3. Verotulot'!Q88+'4. Valtionosuudet'!N88</f>
        <v>653</v>
      </c>
      <c r="F88" s="41">
        <f>'2. Toimintakate'!G88+'3. Verotulot'!V88+'4. Valtionosuudet'!T88</f>
        <v>264</v>
      </c>
      <c r="G88" s="41">
        <f>'2. Toimintakate'!H88+'3. Verotulot'!AA88+'4. Valtionosuudet'!Z88</f>
        <v>-461</v>
      </c>
      <c r="H88" s="41">
        <f>'2. Toimintakate'!I88+'3. Verotulot'!AF88+'4. Valtionosuudet'!AG88</f>
        <v>67.469671750691759</v>
      </c>
      <c r="I88" s="41">
        <f>'2. Toimintakate'!J88+'3. Verotulot'!AK88+'4. Valtionosuudet'!AN88</f>
        <v>-613.62263392502427</v>
      </c>
      <c r="J88" s="41">
        <f>'2. Toimintakate'!K88+'3. Verotulot'!AP88+'4. Valtionosuudet'!AU88</f>
        <v>719.51308474499365</v>
      </c>
      <c r="K88" s="41">
        <f>'2. Toimintakate'!L88+'3. Verotulot'!AU88+'4. Valtionosuudet'!BC88</f>
        <v>-413.142380104116</v>
      </c>
      <c r="L88" s="41">
        <f>'2. Toimintakate'!M88+'3. Verotulot'!AZ88+'4. Valtionosuudet'!BK88</f>
        <v>-71.168669075211028</v>
      </c>
      <c r="M88" s="41">
        <f>'2. Toimintakate'!N88+'3. Verotulot'!BE88+'4. Valtionosuudet'!BQ88</f>
        <v>-260.36992099235567</v>
      </c>
      <c r="N88" s="41">
        <f>'2. Toimintakate'!O88+'3. Verotulot'!BJ88+'4. Valtionosuudet'!BY88</f>
        <v>-351.55855337574076</v>
      </c>
      <c r="O88" s="41">
        <f>'2. Toimintakate'!P88+'3. Verotulot'!BO88+'4. Valtionosuudet'!CE88</f>
        <v>-475.34299129944918</v>
      </c>
      <c r="P88" s="41">
        <f>'2. Toimintakate'!Q88+'3. Verotulot'!BT88+'4. Valtionosuudet'!CK88</f>
        <v>-405.94444851498861</v>
      </c>
      <c r="T88" s="34">
        <v>231</v>
      </c>
      <c r="U88" s="88" t="s">
        <v>402</v>
      </c>
      <c r="V88" s="41" t="e">
        <f>C88/'1. Väestöennuste'!E88*1000</f>
        <v>#REF!</v>
      </c>
      <c r="W88" s="41">
        <f>D88/'1. Väestöennuste'!F88*1000</f>
        <v>-178.24074074074073</v>
      </c>
      <c r="X88" s="41">
        <f>E88/'1. Väestöennuste'!G88*1000</f>
        <v>512.55886970172685</v>
      </c>
      <c r="Y88" s="41">
        <f>F88/'1. Väestöennuste'!H88*1000</f>
        <v>209.1917591125198</v>
      </c>
      <c r="Z88" s="41">
        <f>G88/'1. Väestöennuste'!I88*1000</f>
        <v>-369.98394863563408</v>
      </c>
      <c r="AA88" s="41">
        <f>H88/'1. Väestöennuste'!J88*1000</f>
        <v>52.793170383952862</v>
      </c>
      <c r="AB88" s="41">
        <f>I88/'1. Väestöennuste'!K88*1000</f>
        <v>-476.04548791700876</v>
      </c>
      <c r="AC88" s="41">
        <f>J88/'1. Väestöennuste'!L88*1000</f>
        <v>572.86073626193752</v>
      </c>
      <c r="AD88" s="41">
        <f>K88/'1. Väestöennuste'!M88*1000</f>
        <v>-342.00528154314236</v>
      </c>
      <c r="AE88" s="41">
        <f>L88/'1. Väestöennuste'!N88*1000</f>
        <v>-54.661036156076058</v>
      </c>
      <c r="AF88" s="41">
        <f>M88/'1. Väestöennuste'!O88*1000</f>
        <v>-199.36441117331981</v>
      </c>
      <c r="AG88" s="41">
        <f>N88/'1. Väestöennuste'!P88*1000</f>
        <v>-268.16060516837587</v>
      </c>
      <c r="AH88" s="41">
        <f>O88/'1. Väestöennuste'!Q88*1000</f>
        <v>-361.75265700110288</v>
      </c>
      <c r="AI88" s="41">
        <f>P88/'1. Väestöennuste'!R88*1000</f>
        <v>-308.23420540242114</v>
      </c>
    </row>
    <row r="89" spans="1:35" x14ac:dyDescent="0.2">
      <c r="A89" s="34">
        <v>232</v>
      </c>
      <c r="B89" s="88" t="s">
        <v>403</v>
      </c>
      <c r="C89" s="41" t="e">
        <f>'2. Toimintakate'!D89+'3. Verotulot'!G89+'4. Valtionosuudet'!#REF!</f>
        <v>#REF!</v>
      </c>
      <c r="D89" s="41">
        <f>'2. Toimintakate'!E89+'3. Verotulot'!L89+'4. Valtionosuudet'!H89</f>
        <v>3136</v>
      </c>
      <c r="E89" s="41">
        <f>'2. Toimintakate'!F89+'3. Verotulot'!Q89+'4. Valtionosuudet'!N89</f>
        <v>5058</v>
      </c>
      <c r="F89" s="41">
        <f>'2. Toimintakate'!G89+'3. Verotulot'!V89+'4. Valtionosuudet'!T89</f>
        <v>1564</v>
      </c>
      <c r="G89" s="41">
        <f>'2. Toimintakate'!H89+'3. Verotulot'!AA89+'4. Valtionosuudet'!Z89</f>
        <v>1518</v>
      </c>
      <c r="H89" s="41">
        <f>'2. Toimintakate'!I89+'3. Verotulot'!AF89+'4. Valtionosuudet'!AG89</f>
        <v>5458.3170449253594</v>
      </c>
      <c r="I89" s="41">
        <f>'2. Toimintakate'!J89+'3. Verotulot'!AK89+'4. Valtionosuudet'!AN89</f>
        <v>5154.6284188855352</v>
      </c>
      <c r="J89" s="41">
        <f>'2. Toimintakate'!K89+'3. Verotulot'!AP89+'4. Valtionosuudet'!AU89</f>
        <v>7927.4964223432544</v>
      </c>
      <c r="K89" s="41">
        <f>'2. Toimintakate'!L89+'3. Verotulot'!AU89+'4. Valtionosuudet'!BC89</f>
        <v>6028.0502558312164</v>
      </c>
      <c r="L89" s="41">
        <f>'2. Toimintakate'!M89+'3. Verotulot'!AZ89+'4. Valtionosuudet'!BK89</f>
        <v>6463.7763610068851</v>
      </c>
      <c r="M89" s="41">
        <f>'2. Toimintakate'!N89+'3. Verotulot'!BE89+'4. Valtionosuudet'!BQ89</f>
        <v>3135.9973698525519</v>
      </c>
      <c r="N89" s="41">
        <f>'2. Toimintakate'!O89+'3. Verotulot'!BJ89+'4. Valtionosuudet'!BY89</f>
        <v>4280.2698938783597</v>
      </c>
      <c r="O89" s="41">
        <f>'2. Toimintakate'!P89+'3. Verotulot'!BO89+'4. Valtionosuudet'!CE89</f>
        <v>4167.7648575468538</v>
      </c>
      <c r="P89" s="41">
        <f>'2. Toimintakate'!Q89+'3. Verotulot'!BT89+'4. Valtionosuudet'!CK89</f>
        <v>5534.6237332937326</v>
      </c>
      <c r="T89" s="34">
        <v>232</v>
      </c>
      <c r="U89" s="88" t="s">
        <v>403</v>
      </c>
      <c r="V89" s="41" t="e">
        <f>C89/'1. Väestöennuste'!E89*1000</f>
        <v>#REF!</v>
      </c>
      <c r="W89" s="41">
        <f>D89/'1. Väestöennuste'!F89*1000</f>
        <v>227.70839384257914</v>
      </c>
      <c r="X89" s="41">
        <f>E89/'1. Väestöennuste'!G89*1000</f>
        <v>371.63850110213082</v>
      </c>
      <c r="Y89" s="41">
        <f>F89/'1. Väestöennuste'!H89*1000</f>
        <v>116.93457943925235</v>
      </c>
      <c r="Z89" s="41">
        <f>G89/'1. Väestöennuste'!I89*1000</f>
        <v>115.13956310679612</v>
      </c>
      <c r="AA89" s="41">
        <f>H89/'1. Väestöennuste'!J89*1000</f>
        <v>419.64457945147689</v>
      </c>
      <c r="AB89" s="41">
        <f>I89/'1. Väestöennuste'!K89*1000</f>
        <v>399.89359339686075</v>
      </c>
      <c r="AC89" s="41">
        <f>J89/'1. Väestöennuste'!L89*1000</f>
        <v>621.76442528182383</v>
      </c>
      <c r="AD89" s="41">
        <f>K89/'1. Väestöennuste'!M89*1000</f>
        <v>477.73420952854786</v>
      </c>
      <c r="AE89" s="41">
        <f>L89/'1. Väestöennuste'!N89*1000</f>
        <v>521.86148562949177</v>
      </c>
      <c r="AF89" s="41">
        <f>M89/'1. Väestöennuste'!O89*1000</f>
        <v>255.97888905824439</v>
      </c>
      <c r="AG89" s="41">
        <f>N89/'1. Väestöennuste'!P89*1000</f>
        <v>353.15758200316498</v>
      </c>
      <c r="AH89" s="41">
        <f>O89/'1. Väestöennuste'!Q89*1000</f>
        <v>347.63240116330417</v>
      </c>
      <c r="AI89" s="41">
        <f>P89/'1. Väestöennuste'!R89*1000</f>
        <v>466.85986784426251</v>
      </c>
    </row>
    <row r="90" spans="1:35" x14ac:dyDescent="0.2">
      <c r="A90" s="34">
        <v>233</v>
      </c>
      <c r="B90" s="88" t="s">
        <v>404</v>
      </c>
      <c r="C90" s="41" t="e">
        <f>'2. Toimintakate'!D90+'3. Verotulot'!G90+'4. Valtionosuudet'!#REF!</f>
        <v>#REF!</v>
      </c>
      <c r="D90" s="41">
        <f>'2. Toimintakate'!E90+'3. Verotulot'!L90+'4. Valtionosuudet'!H90</f>
        <v>5651</v>
      </c>
      <c r="E90" s="41">
        <f>'2. Toimintakate'!F90+'3. Verotulot'!Q90+'4. Valtionosuudet'!N90</f>
        <v>8670</v>
      </c>
      <c r="F90" s="41">
        <f>'2. Toimintakate'!G90+'3. Verotulot'!V90+'4. Valtionosuudet'!T90</f>
        <v>556</v>
      </c>
      <c r="G90" s="41">
        <f>'2. Toimintakate'!H90+'3. Verotulot'!AA90+'4. Valtionosuudet'!Z90</f>
        <v>-720</v>
      </c>
      <c r="H90" s="41">
        <f>'2. Toimintakate'!I90+'3. Verotulot'!AF90+'4. Valtionosuudet'!AG90</f>
        <v>10205.245150105744</v>
      </c>
      <c r="I90" s="41">
        <f>'2. Toimintakate'!J90+'3. Verotulot'!AK90+'4. Valtionosuudet'!AN90</f>
        <v>8427.6343134630733</v>
      </c>
      <c r="J90" s="41">
        <f>'2. Toimintakate'!K90+'3. Verotulot'!AP90+'4. Valtionosuudet'!AU90</f>
        <v>7675.0206942669611</v>
      </c>
      <c r="K90" s="41">
        <f>'2. Toimintakate'!L90+'3. Verotulot'!AU90+'4. Valtionosuudet'!BC90</f>
        <v>11236.12178888141</v>
      </c>
      <c r="L90" s="41">
        <f>'2. Toimintakate'!M90+'3. Verotulot'!AZ90+'4. Valtionosuudet'!BK90</f>
        <v>7763.8006366037116</v>
      </c>
      <c r="M90" s="41">
        <f>'2. Toimintakate'!N90+'3. Verotulot'!BE90+'4. Valtionosuudet'!BQ90</f>
        <v>6338.6413652450938</v>
      </c>
      <c r="N90" s="41">
        <f>'2. Toimintakate'!O90+'3. Verotulot'!BJ90+'4. Valtionosuudet'!BY90</f>
        <v>7828.7227964231497</v>
      </c>
      <c r="O90" s="41">
        <f>'2. Toimintakate'!P90+'3. Verotulot'!BO90+'4. Valtionosuudet'!CE90</f>
        <v>7739.9725470761368</v>
      </c>
      <c r="P90" s="41">
        <f>'2. Toimintakate'!Q90+'3. Verotulot'!BT90+'4. Valtionosuudet'!CK90</f>
        <v>10162.841100859834</v>
      </c>
      <c r="T90" s="34">
        <v>233</v>
      </c>
      <c r="U90" s="88" t="s">
        <v>404</v>
      </c>
      <c r="V90" s="41" t="e">
        <f>C90/'1. Väestöennuste'!E90*1000</f>
        <v>#REF!</v>
      </c>
      <c r="W90" s="41">
        <f>D90/'1. Väestöennuste'!F90*1000</f>
        <v>340.44219531297063</v>
      </c>
      <c r="X90" s="41">
        <f>E90/'1. Väestöennuste'!G90*1000</f>
        <v>532.62071507556209</v>
      </c>
      <c r="Y90" s="41">
        <f>F90/'1. Väestöennuste'!H90*1000</f>
        <v>34.702284359006363</v>
      </c>
      <c r="Z90" s="41">
        <f>G90/'1. Väestöennuste'!I90*1000</f>
        <v>-45.784051888592145</v>
      </c>
      <c r="AA90" s="41">
        <f>H90/'1. Väestöennuste'!J90*1000</f>
        <v>657.80876305954257</v>
      </c>
      <c r="AB90" s="41">
        <f>I90/'1. Väestöennuste'!K90*1000</f>
        <v>550.39409048217567</v>
      </c>
      <c r="AC90" s="41">
        <f>J90/'1. Väestöennuste'!L90*1000</f>
        <v>507.74151192557292</v>
      </c>
      <c r="AD90" s="41">
        <f>K90/'1. Väestöennuste'!M90*1000</f>
        <v>740.92461515868183</v>
      </c>
      <c r="AE90" s="41">
        <f>L90/'1. Väestöennuste'!N90*1000</f>
        <v>531.22139148845099</v>
      </c>
      <c r="AF90" s="41">
        <f>M90/'1. Väestöennuste'!O90*1000</f>
        <v>439.81691404698125</v>
      </c>
      <c r="AG90" s="41">
        <f>N90/'1. Väestöennuste'!P90*1000</f>
        <v>550.73674262561735</v>
      </c>
      <c r="AH90" s="41">
        <f>O90/'1. Väestöennuste'!Q90*1000</f>
        <v>551.83035413347613</v>
      </c>
      <c r="AI90" s="41">
        <f>P90/'1. Väestöennuste'!R90*1000</f>
        <v>734.20322936424179</v>
      </c>
    </row>
    <row r="91" spans="1:35" x14ac:dyDescent="0.2">
      <c r="A91" s="34">
        <v>235</v>
      </c>
      <c r="B91" s="88" t="s">
        <v>405</v>
      </c>
      <c r="C91" s="41" t="e">
        <f>'2. Toimintakate'!D91+'3. Verotulot'!G91+'4. Valtionosuudet'!#REF!</f>
        <v>#REF!</v>
      </c>
      <c r="D91" s="41">
        <f>'2. Toimintakate'!E91+'3. Verotulot'!L91+'4. Valtionosuudet'!H91</f>
        <v>13560</v>
      </c>
      <c r="E91" s="41">
        <f>'2. Toimintakate'!F91+'3. Verotulot'!Q91+'4. Valtionosuudet'!N91</f>
        <v>13199</v>
      </c>
      <c r="F91" s="41">
        <f>'2. Toimintakate'!G91+'3. Verotulot'!V91+'4. Valtionosuudet'!T91</f>
        <v>10120</v>
      </c>
      <c r="G91" s="41">
        <f>'2. Toimintakate'!H91+'3. Verotulot'!AA91+'4. Valtionosuudet'!Z91</f>
        <v>5933</v>
      </c>
      <c r="H91" s="41">
        <f>'2. Toimintakate'!I91+'3. Verotulot'!AF91+'4. Valtionosuudet'!AG91</f>
        <v>10043.312800978158</v>
      </c>
      <c r="I91" s="41">
        <f>'2. Toimintakate'!J91+'3. Verotulot'!AK91+'4. Valtionosuudet'!AN91</f>
        <v>7458.0954868064309</v>
      </c>
      <c r="J91" s="41">
        <f>'2. Toimintakate'!K91+'3. Verotulot'!AP91+'4. Valtionosuudet'!AU91</f>
        <v>20307.354135745689</v>
      </c>
      <c r="K91" s="41">
        <f>'2. Toimintakate'!L91+'3. Verotulot'!AU91+'4. Valtionosuudet'!BC91</f>
        <v>10873.037764766072</v>
      </c>
      <c r="L91" s="41">
        <f>'2. Toimintakate'!M91+'3. Verotulot'!AZ91+'4. Valtionosuudet'!BK91</f>
        <v>9581.3012691060612</v>
      </c>
      <c r="M91" s="41">
        <f>'2. Toimintakate'!N91+'3. Verotulot'!BE91+'4. Valtionosuudet'!BQ91</f>
        <v>8459.6936059252985</v>
      </c>
      <c r="N91" s="41">
        <f>'2. Toimintakate'!O91+'3. Verotulot'!BJ91+'4. Valtionosuudet'!BY91</f>
        <v>6823.7992206099589</v>
      </c>
      <c r="O91" s="41">
        <f>'2. Toimintakate'!P91+'3. Verotulot'!BO91+'4. Valtionosuudet'!CE91</f>
        <v>5262.7473055666014</v>
      </c>
      <c r="P91" s="41">
        <f>'2. Toimintakate'!Q91+'3. Verotulot'!BT91+'4. Valtionosuudet'!CK91</f>
        <v>4291.0816523020912</v>
      </c>
      <c r="T91" s="34">
        <v>235</v>
      </c>
      <c r="U91" s="88" t="s">
        <v>405</v>
      </c>
      <c r="V91" s="41" t="e">
        <f>C91/'1. Väestöennuste'!E91*1000</f>
        <v>#REF!</v>
      </c>
      <c r="W91" s="41">
        <f>D91/'1. Väestöennuste'!F91*1000</f>
        <v>1443.0137277854635</v>
      </c>
      <c r="X91" s="41">
        <f>E91/'1. Väestöennuste'!G91*1000</f>
        <v>1371.4671654197839</v>
      </c>
      <c r="Y91" s="41">
        <f>F91/'1. Väestöennuste'!H91*1000</f>
        <v>1052.5221008840354</v>
      </c>
      <c r="Z91" s="41">
        <f>G91/'1. Väestöennuste'!I91*1000</f>
        <v>605.59354904562622</v>
      </c>
      <c r="AA91" s="41">
        <f>H91/'1. Väestöennuste'!J91*1000</f>
        <v>986.76683051465488</v>
      </c>
      <c r="AB91" s="41">
        <f>I91/'1. Väestöennuste'!K91*1000</f>
        <v>717.40048930419687</v>
      </c>
      <c r="AC91" s="41">
        <f>J91/'1. Väestöennuste'!L91*1000</f>
        <v>1974.6552057317861</v>
      </c>
      <c r="AD91" s="41">
        <f>K91/'1. Väestöennuste'!M91*1000</f>
        <v>1058.7183802109125</v>
      </c>
      <c r="AE91" s="41">
        <f>L91/'1. Väestöennuste'!N91*1000</f>
        <v>897.20959538403042</v>
      </c>
      <c r="AF91" s="41">
        <f>M91/'1. Väestöennuste'!O91*1000</f>
        <v>783.08743922292865</v>
      </c>
      <c r="AG91" s="41">
        <f>N91/'1. Väestöennuste'!P91*1000</f>
        <v>624.66122488190763</v>
      </c>
      <c r="AH91" s="41">
        <f>O91/'1. Väestöennuste'!Q91*1000</f>
        <v>476.78449950775513</v>
      </c>
      <c r="AI91" s="41">
        <f>P91/'1. Väestöennuste'!R91*1000</f>
        <v>384.95394745690243</v>
      </c>
    </row>
    <row r="92" spans="1:35" x14ac:dyDescent="0.2">
      <c r="A92" s="34">
        <v>236</v>
      </c>
      <c r="B92" s="88" t="s">
        <v>406</v>
      </c>
      <c r="C92" s="41" t="e">
        <f>'2. Toimintakate'!D92+'3. Verotulot'!G92+'4. Valtionosuudet'!#REF!</f>
        <v>#REF!</v>
      </c>
      <c r="D92" s="41">
        <f>'2. Toimintakate'!E92+'3. Verotulot'!L92+'4. Valtionosuudet'!H92</f>
        <v>2154</v>
      </c>
      <c r="E92" s="41">
        <f>'2. Toimintakate'!F92+'3. Verotulot'!Q92+'4. Valtionosuudet'!N92</f>
        <v>1514</v>
      </c>
      <c r="F92" s="41">
        <f>'2. Toimintakate'!G92+'3. Verotulot'!V92+'4. Valtionosuudet'!T92</f>
        <v>1261</v>
      </c>
      <c r="G92" s="41">
        <f>'2. Toimintakate'!H92+'3. Verotulot'!AA92+'4. Valtionosuudet'!Z92</f>
        <v>-107</v>
      </c>
      <c r="H92" s="41">
        <f>'2. Toimintakate'!I92+'3. Verotulot'!AF92+'4. Valtionosuudet'!AG92</f>
        <v>3588.3369044947758</v>
      </c>
      <c r="I92" s="41">
        <f>'2. Toimintakate'!J92+'3. Verotulot'!AK92+'4. Valtionosuudet'!AN92</f>
        <v>2528.7746996638889</v>
      </c>
      <c r="J92" s="41">
        <f>'2. Toimintakate'!K92+'3. Verotulot'!AP92+'4. Valtionosuudet'!AU92</f>
        <v>3936.0798523158246</v>
      </c>
      <c r="K92" s="41">
        <f>'2. Toimintakate'!L92+'3. Verotulot'!AU92+'4. Valtionosuudet'!BC92</f>
        <v>2238.970426101072</v>
      </c>
      <c r="L92" s="41">
        <f>'2. Toimintakate'!M92+'3. Verotulot'!AZ92+'4. Valtionosuudet'!BK92</f>
        <v>2397.0835913976243</v>
      </c>
      <c r="M92" s="41">
        <f>'2. Toimintakate'!N92+'3. Verotulot'!BE92+'4. Valtionosuudet'!BQ92</f>
        <v>1452.8406113451656</v>
      </c>
      <c r="N92" s="41">
        <f>'2. Toimintakate'!O92+'3. Verotulot'!BJ92+'4. Valtionosuudet'!BY92</f>
        <v>1795.017405167986</v>
      </c>
      <c r="O92" s="41">
        <f>'2. Toimintakate'!P92+'3. Verotulot'!BO92+'4. Valtionosuudet'!CE92</f>
        <v>2045.6001161991426</v>
      </c>
      <c r="P92" s="41">
        <f>'2. Toimintakate'!Q92+'3. Verotulot'!BT92+'4. Valtionosuudet'!CK92</f>
        <v>2356.2418843282276</v>
      </c>
      <c r="T92" s="34">
        <v>236</v>
      </c>
      <c r="U92" s="88" t="s">
        <v>406</v>
      </c>
      <c r="V92" s="41" t="e">
        <f>C92/'1. Väestöennuste'!E92*1000</f>
        <v>#REF!</v>
      </c>
      <c r="W92" s="41">
        <f>D92/'1. Väestöennuste'!F92*1000</f>
        <v>501.16333178222425</v>
      </c>
      <c r="X92" s="41">
        <f>E92/'1. Väestöennuste'!G92*1000</f>
        <v>351.35762357855651</v>
      </c>
      <c r="Y92" s="41">
        <f>F92/'1. Väestöennuste'!H92*1000</f>
        <v>295.10882284109522</v>
      </c>
      <c r="Z92" s="41">
        <f>G92/'1. Väestöennuste'!I92*1000</f>
        <v>-25.111476179300634</v>
      </c>
      <c r="AA92" s="41">
        <f>H92/'1. Väestöennuste'!J92*1000</f>
        <v>848.70787712743049</v>
      </c>
      <c r="AB92" s="41">
        <f>I92/'1. Väestöennuste'!K92*1000</f>
        <v>602.66317913820046</v>
      </c>
      <c r="AC92" s="41">
        <f>J92/'1. Väestöennuste'!L92*1000</f>
        <v>937.60834976556089</v>
      </c>
      <c r="AD92" s="41">
        <f>K92/'1. Väestöennuste'!M92*1000</f>
        <v>541.20629105658008</v>
      </c>
      <c r="AE92" s="41">
        <f>L92/'1. Väestöennuste'!N92*1000</f>
        <v>581.81640567903503</v>
      </c>
      <c r="AF92" s="41">
        <f>M92/'1. Väestöennuste'!O92*1000</f>
        <v>355.30462493156409</v>
      </c>
      <c r="AG92" s="41">
        <f>N92/'1. Väestöennuste'!P92*1000</f>
        <v>442.34041527057315</v>
      </c>
      <c r="AH92" s="41">
        <f>O92/'1. Väestöennuste'!Q92*1000</f>
        <v>507.97122329256081</v>
      </c>
      <c r="AI92" s="41">
        <f>P92/'1. Väestöennuste'!R92*1000</f>
        <v>589.65012120326014</v>
      </c>
    </row>
    <row r="93" spans="1:35" x14ac:dyDescent="0.2">
      <c r="A93" s="34">
        <v>239</v>
      </c>
      <c r="B93" s="88" t="s">
        <v>407</v>
      </c>
      <c r="C93" s="41" t="e">
        <f>'2. Toimintakate'!D93+'3. Verotulot'!G93+'4. Valtionosuudet'!#REF!</f>
        <v>#REF!</v>
      </c>
      <c r="D93" s="41">
        <f>'2. Toimintakate'!E93+'3. Verotulot'!L93+'4. Valtionosuudet'!H93</f>
        <v>538</v>
      </c>
      <c r="E93" s="41">
        <f>'2. Toimintakate'!F93+'3. Verotulot'!Q93+'4. Valtionosuudet'!N93</f>
        <v>-280</v>
      </c>
      <c r="F93" s="41">
        <f>'2. Toimintakate'!G93+'3. Verotulot'!V93+'4. Valtionosuudet'!T93</f>
        <v>-203</v>
      </c>
      <c r="G93" s="41">
        <f>'2. Toimintakate'!H93+'3. Verotulot'!AA93+'4. Valtionosuudet'!Z93</f>
        <v>1057</v>
      </c>
      <c r="H93" s="41">
        <f>'2. Toimintakate'!I93+'3. Verotulot'!AF93+'4. Valtionosuudet'!AG93</f>
        <v>1015.6626847208499</v>
      </c>
      <c r="I93" s="41">
        <f>'2. Toimintakate'!J93+'3. Verotulot'!AK93+'4. Valtionosuudet'!AN93</f>
        <v>1203.020863670351</v>
      </c>
      <c r="J93" s="41">
        <f>'2. Toimintakate'!K93+'3. Verotulot'!AP93+'4. Valtionosuudet'!AU93</f>
        <v>1024.8498563153153</v>
      </c>
      <c r="K93" s="41">
        <f>'2. Toimintakate'!L93+'3. Verotulot'!AU93+'4. Valtionosuudet'!BC93</f>
        <v>-79.998133269909658</v>
      </c>
      <c r="L93" s="41">
        <f>'2. Toimintakate'!M93+'3. Verotulot'!AZ93+'4. Valtionosuudet'!BK93</f>
        <v>3390.896551465692</v>
      </c>
      <c r="M93" s="41">
        <f>'2. Toimintakate'!N93+'3. Verotulot'!BE93+'4. Valtionosuudet'!BQ93</f>
        <v>2248.2930281549279</v>
      </c>
      <c r="N93" s="41">
        <f>'2. Toimintakate'!O93+'3. Verotulot'!BJ93+'4. Valtionosuudet'!BY93</f>
        <v>2019.9186896449494</v>
      </c>
      <c r="O93" s="41">
        <f>'2. Toimintakate'!P93+'3. Verotulot'!BO93+'4. Valtionosuudet'!CE93</f>
        <v>2185.3113119924683</v>
      </c>
      <c r="P93" s="41">
        <f>'2. Toimintakate'!Q93+'3. Verotulot'!BT93+'4. Valtionosuudet'!CK93</f>
        <v>2244.0644877768045</v>
      </c>
      <c r="T93" s="34">
        <v>239</v>
      </c>
      <c r="U93" s="88" t="s">
        <v>407</v>
      </c>
      <c r="V93" s="41" t="e">
        <f>C93/'1. Väestöennuste'!E93*1000</f>
        <v>#REF!</v>
      </c>
      <c r="W93" s="41">
        <f>D93/'1. Väestöennuste'!F93*1000</f>
        <v>229.32651321398123</v>
      </c>
      <c r="X93" s="41">
        <f>E93/'1. Väestöennuste'!G93*1000</f>
        <v>-121.26461671719359</v>
      </c>
      <c r="Y93" s="41">
        <f>F93/'1. Väestöennuste'!H93*1000</f>
        <v>-90.463458110516939</v>
      </c>
      <c r="Z93" s="41">
        <f>G93/'1. Väestöennuste'!I93*1000</f>
        <v>480.01816530426885</v>
      </c>
      <c r="AA93" s="41">
        <f>H93/'1. Väestöennuste'!J93*1000</f>
        <v>471.30519012568448</v>
      </c>
      <c r="AB93" s="41">
        <f>I93/'1. Väestöennuste'!K93*1000</f>
        <v>574.23430246794794</v>
      </c>
      <c r="AC93" s="41">
        <f>J93/'1. Väestöennuste'!L93*1000</f>
        <v>505.10096417708985</v>
      </c>
      <c r="AD93" s="41">
        <f>K93/'1. Väestöennuste'!M93*1000</f>
        <v>-39.31112199995561</v>
      </c>
      <c r="AE93" s="41">
        <f>L93/'1. Väestöennuste'!N93*1000</f>
        <v>1691.2202251699214</v>
      </c>
      <c r="AF93" s="41">
        <f>M93/'1. Väestöennuste'!O93*1000</f>
        <v>1140.686467861455</v>
      </c>
      <c r="AG93" s="41">
        <f>N93/'1. Väestöennuste'!P93*1000</f>
        <v>1039.5875911708436</v>
      </c>
      <c r="AH93" s="41">
        <f>O93/'1. Väestöennuste'!Q93*1000</f>
        <v>1141.7509467045288</v>
      </c>
      <c r="AI93" s="41">
        <f>P93/'1. Väestöennuste'!R93*1000</f>
        <v>1187.9642603371119</v>
      </c>
    </row>
    <row r="94" spans="1:35" x14ac:dyDescent="0.2">
      <c r="A94" s="34">
        <v>240</v>
      </c>
      <c r="B94" s="88" t="s">
        <v>408</v>
      </c>
      <c r="C94" s="41" t="e">
        <f>'2. Toimintakate'!D94+'3. Verotulot'!G94+'4. Valtionosuudet'!#REF!</f>
        <v>#REF!</v>
      </c>
      <c r="D94" s="41">
        <f>'2. Toimintakate'!E94+'3. Verotulot'!L94+'4. Valtionosuudet'!H94</f>
        <v>2127</v>
      </c>
      <c r="E94" s="41">
        <f>'2. Toimintakate'!F94+'3. Verotulot'!Q94+'4. Valtionosuudet'!N94</f>
        <v>6499</v>
      </c>
      <c r="F94" s="41">
        <f>'2. Toimintakate'!G94+'3. Verotulot'!V94+'4. Valtionosuudet'!T94</f>
        <v>-5701</v>
      </c>
      <c r="G94" s="41">
        <f>'2. Toimintakate'!H94+'3. Verotulot'!AA94+'4. Valtionosuudet'!Z94</f>
        <v>-8786</v>
      </c>
      <c r="H94" s="41">
        <f>'2. Toimintakate'!I94+'3. Verotulot'!AF94+'4. Valtionosuudet'!AG94</f>
        <v>4498.0637529057058</v>
      </c>
      <c r="I94" s="41">
        <f>'2. Toimintakate'!J94+'3. Verotulot'!AK94+'4. Valtionosuudet'!AN94</f>
        <v>745.00998906271707</v>
      </c>
      <c r="J94" s="41">
        <f>'2. Toimintakate'!K94+'3. Verotulot'!AP94+'4. Valtionosuudet'!AU94</f>
        <v>-675.37722795778245</v>
      </c>
      <c r="K94" s="41">
        <f>'2. Toimintakate'!L94+'3. Verotulot'!AU94+'4. Valtionosuudet'!BC94</f>
        <v>11890.676577883423</v>
      </c>
      <c r="L94" s="41">
        <f>'2. Toimintakate'!M94+'3. Verotulot'!AZ94+'4. Valtionosuudet'!BK94</f>
        <v>7193.5463204818761</v>
      </c>
      <c r="M94" s="41">
        <f>'2. Toimintakate'!N94+'3. Verotulot'!BE94+'4. Valtionosuudet'!BQ94</f>
        <v>7114.445290283571</v>
      </c>
      <c r="N94" s="41">
        <f>'2. Toimintakate'!O94+'3. Verotulot'!BJ94+'4. Valtionosuudet'!BY94</f>
        <v>5230.0706672290244</v>
      </c>
      <c r="O94" s="41">
        <f>'2. Toimintakate'!P94+'3. Verotulot'!BO94+'4. Valtionosuudet'!CE94</f>
        <v>6364.1922986910376</v>
      </c>
      <c r="P94" s="41">
        <f>'2. Toimintakate'!Q94+'3. Verotulot'!BT94+'4. Valtionosuudet'!CK94</f>
        <v>8989.208836445172</v>
      </c>
      <c r="T94" s="34">
        <v>240</v>
      </c>
      <c r="U94" s="88" t="s">
        <v>408</v>
      </c>
      <c r="V94" s="41" t="e">
        <f>C94/'1. Väestöennuste'!E94*1000</f>
        <v>#REF!</v>
      </c>
      <c r="W94" s="41">
        <f>D94/'1. Väestöennuste'!F94*1000</f>
        <v>98.463105268030731</v>
      </c>
      <c r="X94" s="41">
        <f>E94/'1. Väestöennuste'!G94*1000</f>
        <v>305.74896499811814</v>
      </c>
      <c r="Y94" s="41">
        <f>F94/'1. Väestöennuste'!H94*1000</f>
        <v>-271.20498549069976</v>
      </c>
      <c r="Z94" s="41">
        <f>G94/'1. Väestöennuste'!I94*1000</f>
        <v>-424.3009610276718</v>
      </c>
      <c r="AA94" s="41">
        <f>H94/'1. Väestöennuste'!J94*1000</f>
        <v>220.09413088543846</v>
      </c>
      <c r="AB94" s="41">
        <f>I94/'1. Väestöennuste'!K94*1000</f>
        <v>37.28405510272831</v>
      </c>
      <c r="AC94" s="41">
        <f>J94/'1. Väestöennuste'!L94*1000</f>
        <v>-34.636505869930886</v>
      </c>
      <c r="AD94" s="41">
        <f>K94/'1. Väestöennuste'!M94*1000</f>
        <v>613.83906756922329</v>
      </c>
      <c r="AE94" s="41">
        <f>L94/'1. Väestöennuste'!N94*1000</f>
        <v>371.91326235559279</v>
      </c>
      <c r="AF94" s="41">
        <f>M94/'1. Väestöennuste'!O94*1000</f>
        <v>372.60109407581285</v>
      </c>
      <c r="AG94" s="41">
        <f>N94/'1. Väestöennuste'!P94*1000</f>
        <v>277.38375323410361</v>
      </c>
      <c r="AH94" s="41">
        <f>O94/'1. Väestöennuste'!Q94*1000</f>
        <v>341.71994730944147</v>
      </c>
      <c r="AI94" s="41">
        <f>P94/'1. Väestöennuste'!R94*1000</f>
        <v>488.46431758111027</v>
      </c>
    </row>
    <row r="95" spans="1:35" x14ac:dyDescent="0.2">
      <c r="A95" s="34">
        <v>241</v>
      </c>
      <c r="B95" s="88" t="s">
        <v>409</v>
      </c>
      <c r="C95" s="41" t="e">
        <f>'2. Toimintakate'!D95+'3. Verotulot'!G95+'4. Valtionosuudet'!#REF!</f>
        <v>#REF!</v>
      </c>
      <c r="D95" s="41">
        <f>'2. Toimintakate'!E95+'3. Verotulot'!L95+'4. Valtionosuudet'!H95</f>
        <v>3064</v>
      </c>
      <c r="E95" s="41">
        <f>'2. Toimintakate'!F95+'3. Verotulot'!Q95+'4. Valtionosuudet'!N95</f>
        <v>2404</v>
      </c>
      <c r="F95" s="41">
        <f>'2. Toimintakate'!G95+'3. Verotulot'!V95+'4. Valtionosuudet'!T95</f>
        <v>24</v>
      </c>
      <c r="G95" s="41">
        <f>'2. Toimintakate'!H95+'3. Verotulot'!AA95+'4. Valtionosuudet'!Z95</f>
        <v>554</v>
      </c>
      <c r="H95" s="41">
        <f>'2. Toimintakate'!I95+'3. Verotulot'!AF95+'4. Valtionosuudet'!AG95</f>
        <v>4433.984532433853</v>
      </c>
      <c r="I95" s="41">
        <f>'2. Toimintakate'!J95+'3. Verotulot'!AK95+'4. Valtionosuudet'!AN95</f>
        <v>3568.9534416734878</v>
      </c>
      <c r="J95" s="41">
        <f>'2. Toimintakate'!K95+'3. Verotulot'!AP95+'4. Valtionosuudet'!AU95</f>
        <v>41242.054815695745</v>
      </c>
      <c r="K95" s="41">
        <f>'2. Toimintakate'!L95+'3. Verotulot'!AU95+'4. Valtionosuudet'!BC95</f>
        <v>5322.6776604724246</v>
      </c>
      <c r="L95" s="41">
        <f>'2. Toimintakate'!M95+'3. Verotulot'!AZ95+'4. Valtionosuudet'!BK95</f>
        <v>2156.6539590452257</v>
      </c>
      <c r="M95" s="41">
        <f>'2. Toimintakate'!N95+'3. Verotulot'!BE95+'4. Valtionosuudet'!BQ95</f>
        <v>1427.410058596332</v>
      </c>
      <c r="N95" s="41">
        <f>'2. Toimintakate'!O95+'3. Verotulot'!BJ95+'4. Valtionosuudet'!BY95</f>
        <v>1620.4594763473483</v>
      </c>
      <c r="O95" s="41">
        <f>'2. Toimintakate'!P95+'3. Verotulot'!BO95+'4. Valtionosuudet'!CE95</f>
        <v>1701.2869496049598</v>
      </c>
      <c r="P95" s="41">
        <f>'2. Toimintakate'!Q95+'3. Verotulot'!BT95+'4. Valtionosuudet'!CK95</f>
        <v>2736.0229531788282</v>
      </c>
      <c r="T95" s="34">
        <v>241</v>
      </c>
      <c r="U95" s="88" t="s">
        <v>409</v>
      </c>
      <c r="V95" s="41" t="e">
        <f>C95/'1. Väestöennuste'!E95*1000</f>
        <v>#REF!</v>
      </c>
      <c r="W95" s="41">
        <f>D95/'1. Väestöennuste'!F95*1000</f>
        <v>368.44636844636847</v>
      </c>
      <c r="X95" s="41">
        <f>E95/'1. Väestöennuste'!G95*1000</f>
        <v>289.77820636451304</v>
      </c>
      <c r="Y95" s="41">
        <f>F95/'1. Väestöennuste'!H95*1000</f>
        <v>2.9458696452681967</v>
      </c>
      <c r="Z95" s="41">
        <f>G95/'1. Väestöennuste'!I95*1000</f>
        <v>68.572843173660104</v>
      </c>
      <c r="AA95" s="41">
        <f>H95/'1. Väestöennuste'!J95*1000</f>
        <v>555.35878412247666</v>
      </c>
      <c r="AB95" s="41">
        <f>I95/'1. Väestöennuste'!K95*1000</f>
        <v>451.53763179067408</v>
      </c>
      <c r="AC95" s="41">
        <f>J95/'1. Väestöennuste'!L95*1000</f>
        <v>5307.1747285672045</v>
      </c>
      <c r="AD95" s="41">
        <f>K95/'1. Väestöennuste'!M95*1000</f>
        <v>692.0657470384117</v>
      </c>
      <c r="AE95" s="41">
        <f>L95/'1. Väestöennuste'!N95*1000</f>
        <v>279.64911294673573</v>
      </c>
      <c r="AF95" s="41">
        <f>M95/'1. Väestöennuste'!O95*1000</f>
        <v>186.7115838582514</v>
      </c>
      <c r="AG95" s="41">
        <f>N95/'1. Väestöennuste'!P95*1000</f>
        <v>213.83735502076385</v>
      </c>
      <c r="AH95" s="41">
        <f>O95/'1. Väestöennuste'!Q95*1000</f>
        <v>226.65693439980814</v>
      </c>
      <c r="AI95" s="41">
        <f>P95/'1. Väestöennuste'!R95*1000</f>
        <v>367.84390335827214</v>
      </c>
    </row>
    <row r="96" spans="1:35" x14ac:dyDescent="0.2">
      <c r="A96" s="34">
        <v>244</v>
      </c>
      <c r="B96" s="88" t="s">
        <v>410</v>
      </c>
      <c r="C96" s="41" t="e">
        <f>'2. Toimintakate'!D96+'3. Verotulot'!G96+'4. Valtionosuudet'!#REF!</f>
        <v>#REF!</v>
      </c>
      <c r="D96" s="41">
        <f>'2. Toimintakate'!E96+'3. Verotulot'!L96+'4. Valtionosuudet'!H96</f>
        <v>10395</v>
      </c>
      <c r="E96" s="41">
        <f>'2. Toimintakate'!F96+'3. Verotulot'!Q96+'4. Valtionosuudet'!N96</f>
        <v>8059</v>
      </c>
      <c r="F96" s="41">
        <f>'2. Toimintakate'!G96+'3. Verotulot'!V96+'4. Valtionosuudet'!T96</f>
        <v>7349</v>
      </c>
      <c r="G96" s="41">
        <f>'2. Toimintakate'!H96+'3. Verotulot'!AA96+'4. Valtionosuudet'!Z96</f>
        <v>2399</v>
      </c>
      <c r="H96" s="41">
        <f>'2. Toimintakate'!I96+'3. Verotulot'!AF96+'4. Valtionosuudet'!AG96</f>
        <v>7630.1784479610287</v>
      </c>
      <c r="I96" s="41">
        <f>'2. Toimintakate'!J96+'3. Verotulot'!AK96+'4. Valtionosuudet'!AN96</f>
        <v>7203.1566797029809</v>
      </c>
      <c r="J96" s="41">
        <f>'2. Toimintakate'!K96+'3. Verotulot'!AP96+'4. Valtionosuudet'!AU96</f>
        <v>10589.992906732528</v>
      </c>
      <c r="K96" s="41">
        <f>'2. Toimintakate'!L96+'3. Verotulot'!AU96+'4. Valtionosuudet'!BC96</f>
        <v>9110.3953004095856</v>
      </c>
      <c r="L96" s="41">
        <f>'2. Toimintakate'!M96+'3. Verotulot'!AZ96+'4. Valtionosuudet'!BK96</f>
        <v>5011.5951521351053</v>
      </c>
      <c r="M96" s="41">
        <f>'2. Toimintakate'!N96+'3. Verotulot'!BE96+'4. Valtionosuudet'!BQ96</f>
        <v>5009.5213334069012</v>
      </c>
      <c r="N96" s="41">
        <f>'2. Toimintakate'!O96+'3. Verotulot'!BJ96+'4. Valtionosuudet'!BY96</f>
        <v>4877.9244128021382</v>
      </c>
      <c r="O96" s="41">
        <f>'2. Toimintakate'!P96+'3. Verotulot'!BO96+'4. Valtionosuudet'!CE96</f>
        <v>5527.7879131633636</v>
      </c>
      <c r="P96" s="41">
        <f>'2. Toimintakate'!Q96+'3. Verotulot'!BT96+'4. Valtionosuudet'!CK96</f>
        <v>4635.7516107007505</v>
      </c>
      <c r="T96" s="34">
        <v>244</v>
      </c>
      <c r="U96" s="88" t="s">
        <v>410</v>
      </c>
      <c r="V96" s="41" t="e">
        <f>C96/'1. Väestöennuste'!E96*1000</f>
        <v>#REF!</v>
      </c>
      <c r="W96" s="41">
        <f>D96/'1. Väestöennuste'!F96*1000</f>
        <v>600.97126669364627</v>
      </c>
      <c r="X96" s="41">
        <f>E96/'1. Väestöennuste'!G96*1000</f>
        <v>459.59509552323925</v>
      </c>
      <c r="Y96" s="41">
        <f>F96/'1. Väestöennuste'!H96*1000</f>
        <v>410.0318027115996</v>
      </c>
      <c r="Z96" s="41">
        <f>G96/'1. Väestöennuste'!I96*1000</f>
        <v>130.70008172160175</v>
      </c>
      <c r="AA96" s="41">
        <f>H96/'1. Väestöennuste'!J96*1000</f>
        <v>405.94692742929499</v>
      </c>
      <c r="AB96" s="41">
        <f>I96/'1. Väestöennuste'!K96*1000</f>
        <v>376.81296713240118</v>
      </c>
      <c r="AC96" s="41">
        <f>J96/'1. Väestöennuste'!L96*1000</f>
        <v>548.70429568562315</v>
      </c>
      <c r="AD96" s="41">
        <f>K96/'1. Väestöennuste'!M96*1000</f>
        <v>466.86457417288028</v>
      </c>
      <c r="AE96" s="41">
        <f>L96/'1. Väestöennuste'!N96*1000</f>
        <v>248.62802759017242</v>
      </c>
      <c r="AF96" s="41">
        <f>M96/'1. Väestöennuste'!O96*1000</f>
        <v>245.04824797764033</v>
      </c>
      <c r="AG96" s="41">
        <f>N96/'1. Väestöennuste'!P96*1000</f>
        <v>235.53473746026742</v>
      </c>
      <c r="AH96" s="41">
        <f>O96/'1. Väestöennuste'!Q96*1000</f>
        <v>263.65486564739882</v>
      </c>
      <c r="AI96" s="41">
        <f>P96/'1. Väestöennuste'!R96*1000</f>
        <v>218.63658966659202</v>
      </c>
    </row>
    <row r="97" spans="1:35" x14ac:dyDescent="0.2">
      <c r="A97" s="34">
        <v>245</v>
      </c>
      <c r="B97" s="88" t="s">
        <v>411</v>
      </c>
      <c r="C97" s="41" t="e">
        <f>'2. Toimintakate'!D97+'3. Verotulot'!G97+'4. Valtionosuudet'!#REF!</f>
        <v>#REF!</v>
      </c>
      <c r="D97" s="41">
        <f>'2. Toimintakate'!E97+'3. Verotulot'!L97+'4. Valtionosuudet'!H97</f>
        <v>25377</v>
      </c>
      <c r="E97" s="41">
        <f>'2. Toimintakate'!F97+'3. Verotulot'!Q97+'4. Valtionosuudet'!N97</f>
        <v>20181</v>
      </c>
      <c r="F97" s="41">
        <f>'2. Toimintakate'!G97+'3. Verotulot'!V97+'4. Valtionosuudet'!T97</f>
        <v>13047</v>
      </c>
      <c r="G97" s="41">
        <f>'2. Toimintakate'!H97+'3. Verotulot'!AA97+'4. Valtionosuudet'!Z97</f>
        <v>8439</v>
      </c>
      <c r="H97" s="41">
        <f>'2. Toimintakate'!I97+'3. Verotulot'!AF97+'4. Valtionosuudet'!AG97</f>
        <v>16113.582055914965</v>
      </c>
      <c r="I97" s="41">
        <f>'2. Toimintakate'!J97+'3. Verotulot'!AK97+'4. Valtionosuudet'!AN97</f>
        <v>9480.2350012376482</v>
      </c>
      <c r="J97" s="41">
        <f>'2. Toimintakate'!K97+'3. Verotulot'!AP97+'4. Valtionosuudet'!AU97</f>
        <v>5175.9827108345198</v>
      </c>
      <c r="K97" s="41">
        <f>'2. Toimintakate'!L97+'3. Verotulot'!AU97+'4. Valtionosuudet'!BC97</f>
        <v>26872.809688809517</v>
      </c>
      <c r="L97" s="41">
        <f>'2. Toimintakate'!M97+'3. Verotulot'!AZ97+'4. Valtionosuudet'!BK97</f>
        <v>20991.183345176923</v>
      </c>
      <c r="M97" s="41">
        <f>'2. Toimintakate'!N97+'3. Verotulot'!BE97+'4. Valtionosuudet'!BQ97</f>
        <v>15164.633551737701</v>
      </c>
      <c r="N97" s="41">
        <f>'2. Toimintakate'!O97+'3. Verotulot'!BJ97+'4. Valtionosuudet'!BY97</f>
        <v>15806.670412860978</v>
      </c>
      <c r="O97" s="41">
        <f>'2. Toimintakate'!P97+'3. Verotulot'!BO97+'4. Valtionosuudet'!CE97</f>
        <v>16109.868464066349</v>
      </c>
      <c r="P97" s="41">
        <f>'2. Toimintakate'!Q97+'3. Verotulot'!BT97+'4. Valtionosuudet'!CK97</f>
        <v>18282.310891676363</v>
      </c>
      <c r="T97" s="34">
        <v>245</v>
      </c>
      <c r="U97" s="88" t="s">
        <v>411</v>
      </c>
      <c r="V97" s="41" t="e">
        <f>C97/'1. Väestöennuste'!E97*1000</f>
        <v>#REF!</v>
      </c>
      <c r="W97" s="41">
        <f>D97/'1. Väestöennuste'!F97*1000</f>
        <v>714.62363774605058</v>
      </c>
      <c r="X97" s="41">
        <f>E97/'1. Väestöennuste'!G97*1000</f>
        <v>567.61545817629519</v>
      </c>
      <c r="Y97" s="41">
        <f>F97/'1. Väestöennuste'!H97*1000</f>
        <v>359.87753075522699</v>
      </c>
      <c r="Z97" s="41">
        <f>G97/'1. Väestöennuste'!I97*1000</f>
        <v>229.59516813581456</v>
      </c>
      <c r="AA97" s="41">
        <f>H97/'1. Väestöennuste'!J97*1000</f>
        <v>434.26983037097335</v>
      </c>
      <c r="AB97" s="41">
        <f>I97/'1. Väestöennuste'!K97*1000</f>
        <v>254.62599380204253</v>
      </c>
      <c r="AC97" s="41">
        <f>J97/'1. Väestöennuste'!L97*1000</f>
        <v>137.38142878316486</v>
      </c>
      <c r="AD97" s="41">
        <f>K97/'1. Väestöennuste'!M97*1000</f>
        <v>703.27417991702703</v>
      </c>
      <c r="AE97" s="41">
        <f>L97/'1. Väestöennuste'!N97*1000</f>
        <v>543.82712881621092</v>
      </c>
      <c r="AF97" s="41">
        <f>M97/'1. Väestöennuste'!O97*1000</f>
        <v>389.68607353816526</v>
      </c>
      <c r="AG97" s="41">
        <f>N97/'1. Väestöennuste'!P97*1000</f>
        <v>403.04631579532304</v>
      </c>
      <c r="AH97" s="41">
        <f>O97/'1. Väestöennuste'!Q97*1000</f>
        <v>407.85509668767179</v>
      </c>
      <c r="AI97" s="41">
        <f>P97/'1. Väestöennuste'!R97*1000</f>
        <v>459.73573293626282</v>
      </c>
    </row>
    <row r="98" spans="1:35" x14ac:dyDescent="0.2">
      <c r="A98" s="34">
        <v>249</v>
      </c>
      <c r="B98" s="88" t="s">
        <v>412</v>
      </c>
      <c r="C98" s="41" t="e">
        <f>'2. Toimintakate'!D98+'3. Verotulot'!G98+'4. Valtionosuudet'!#REF!</f>
        <v>#REF!</v>
      </c>
      <c r="D98" s="41">
        <f>'2. Toimintakate'!E98+'3. Verotulot'!L98+'4. Valtionosuudet'!H98</f>
        <v>3538</v>
      </c>
      <c r="E98" s="41">
        <f>'2. Toimintakate'!F98+'3. Verotulot'!Q98+'4. Valtionosuudet'!N98</f>
        <v>6428</v>
      </c>
      <c r="F98" s="41">
        <f>'2. Toimintakate'!G98+'3. Verotulot'!V98+'4. Valtionosuudet'!T98</f>
        <v>4812</v>
      </c>
      <c r="G98" s="41">
        <f>'2. Toimintakate'!H98+'3. Verotulot'!AA98+'4. Valtionosuudet'!Z98</f>
        <v>1601</v>
      </c>
      <c r="H98" s="41">
        <f>'2. Toimintakate'!I98+'3. Verotulot'!AF98+'4. Valtionosuudet'!AG98</f>
        <v>7082.5217047125916</v>
      </c>
      <c r="I98" s="41">
        <f>'2. Toimintakate'!J98+'3. Verotulot'!AK98+'4. Valtionosuudet'!AN98</f>
        <v>3077.4738749414573</v>
      </c>
      <c r="J98" s="41">
        <f>'2. Toimintakate'!K98+'3. Verotulot'!AP98+'4. Valtionosuudet'!AU98</f>
        <v>2875.4893527990243</v>
      </c>
      <c r="K98" s="41">
        <f>'2. Toimintakate'!L98+'3. Verotulot'!AU98+'4. Valtionosuudet'!BC98</f>
        <v>7462.6480411579805</v>
      </c>
      <c r="L98" s="41">
        <f>'2. Toimintakate'!M98+'3. Verotulot'!AZ98+'4. Valtionosuudet'!BK98</f>
        <v>5983.3089809100311</v>
      </c>
      <c r="M98" s="41">
        <f>'2. Toimintakate'!N98+'3. Verotulot'!BE98+'4. Valtionosuudet'!BQ98</f>
        <v>5364.9908458700966</v>
      </c>
      <c r="N98" s="41">
        <f>'2. Toimintakate'!O98+'3. Verotulot'!BJ98+'4. Valtionosuudet'!BY98</f>
        <v>5720.5083512398141</v>
      </c>
      <c r="O98" s="41">
        <f>'2. Toimintakate'!P98+'3. Verotulot'!BO98+'4. Valtionosuudet'!CE98</f>
        <v>5675.7019146270713</v>
      </c>
      <c r="P98" s="41">
        <f>'2. Toimintakate'!Q98+'3. Verotulot'!BT98+'4. Valtionosuudet'!CK98</f>
        <v>7081.9181540547434</v>
      </c>
      <c r="T98" s="34">
        <v>249</v>
      </c>
      <c r="U98" s="88" t="s">
        <v>412</v>
      </c>
      <c r="V98" s="41" t="e">
        <f>C98/'1. Väestöennuste'!E98*1000</f>
        <v>#REF!</v>
      </c>
      <c r="W98" s="41">
        <f>D98/'1. Väestöennuste'!F98*1000</f>
        <v>354.08326661329068</v>
      </c>
      <c r="X98" s="41">
        <f>E98/'1. Väestöennuste'!G98*1000</f>
        <v>648.04919850791407</v>
      </c>
      <c r="Y98" s="41">
        <f>F98/'1. Väestöennuste'!H98*1000</f>
        <v>492.9317762753534</v>
      </c>
      <c r="Z98" s="41">
        <f>G98/'1. Väestöennuste'!I98*1000</f>
        <v>166.68401874023948</v>
      </c>
      <c r="AA98" s="41">
        <f>H98/'1. Väestöennuste'!J98*1000</f>
        <v>746.62889571079393</v>
      </c>
      <c r="AB98" s="41">
        <f>I98/'1. Väestöennuste'!K98*1000</f>
        <v>325.90001852604649</v>
      </c>
      <c r="AC98" s="41">
        <f>J98/'1. Väestöennuste'!L98*1000</f>
        <v>310.8637138161107</v>
      </c>
      <c r="AD98" s="41">
        <f>K98/'1. Väestöennuste'!M98*1000</f>
        <v>812.57056197277666</v>
      </c>
      <c r="AE98" s="41">
        <f>L98/'1. Väestöennuste'!N98*1000</f>
        <v>665.92197895492836</v>
      </c>
      <c r="AF98" s="41">
        <f>M98/'1. Väestöennuste'!O98*1000</f>
        <v>604.16563579618207</v>
      </c>
      <c r="AG98" s="41">
        <f>N98/'1. Väestöennuste'!P98*1000</f>
        <v>651.83550036916745</v>
      </c>
      <c r="AH98" s="41">
        <f>O98/'1. Väestöennuste'!Q98*1000</f>
        <v>653.95804984757137</v>
      </c>
      <c r="AI98" s="41">
        <f>P98/'1. Väestöennuste'!R98*1000</f>
        <v>825.10988629322424</v>
      </c>
    </row>
    <row r="99" spans="1:35" x14ac:dyDescent="0.2">
      <c r="A99" s="34">
        <v>250</v>
      </c>
      <c r="B99" s="88" t="s">
        <v>413</v>
      </c>
      <c r="C99" s="41" t="e">
        <f>'2. Toimintakate'!D99+'3. Verotulot'!G99+'4. Valtionosuudet'!#REF!</f>
        <v>#REF!</v>
      </c>
      <c r="D99" s="41">
        <f>'2. Toimintakate'!E99+'3. Verotulot'!L99+'4. Valtionosuudet'!H99</f>
        <v>602</v>
      </c>
      <c r="E99" s="41">
        <f>'2. Toimintakate'!F99+'3. Verotulot'!Q99+'4. Valtionosuudet'!N99</f>
        <v>550</v>
      </c>
      <c r="F99" s="41">
        <f>'2. Toimintakate'!G99+'3. Verotulot'!V99+'4. Valtionosuudet'!T99</f>
        <v>679</v>
      </c>
      <c r="G99" s="41">
        <f>'2. Toimintakate'!H99+'3. Verotulot'!AA99+'4. Valtionosuudet'!Z99</f>
        <v>452</v>
      </c>
      <c r="H99" s="41">
        <f>'2. Toimintakate'!I99+'3. Verotulot'!AF99+'4. Valtionosuudet'!AG99</f>
        <v>1284.5789289333725</v>
      </c>
      <c r="I99" s="41">
        <f>'2. Toimintakate'!J99+'3. Verotulot'!AK99+'4. Valtionosuudet'!AN99</f>
        <v>1053.8555802725459</v>
      </c>
      <c r="J99" s="41">
        <f>'2. Toimintakate'!K99+'3. Verotulot'!AP99+'4. Valtionosuudet'!AU99</f>
        <v>530.56438957272894</v>
      </c>
      <c r="K99" s="41">
        <f>'2. Toimintakate'!L99+'3. Verotulot'!AU99+'4. Valtionosuudet'!BC99</f>
        <v>-10.353167800730262</v>
      </c>
      <c r="L99" s="41">
        <f>'2. Toimintakate'!M99+'3. Verotulot'!AZ99+'4. Valtionosuudet'!BK99</f>
        <v>164.66242474360183</v>
      </c>
      <c r="M99" s="41">
        <f>'2. Toimintakate'!N99+'3. Verotulot'!BE99+'4. Valtionosuudet'!BQ99</f>
        <v>-799.39035041491957</v>
      </c>
      <c r="N99" s="41">
        <f>'2. Toimintakate'!O99+'3. Verotulot'!BJ99+'4. Valtionosuudet'!BY99</f>
        <v>-905.72255357752942</v>
      </c>
      <c r="O99" s="41">
        <f>'2. Toimintakate'!P99+'3. Verotulot'!BO99+'4. Valtionosuudet'!CE99</f>
        <v>-970.45052765830587</v>
      </c>
      <c r="P99" s="41">
        <f>'2. Toimintakate'!Q99+'3. Verotulot'!BT99+'4. Valtionosuudet'!CK99</f>
        <v>-814.4285804580652</v>
      </c>
      <c r="T99" s="34">
        <v>250</v>
      </c>
      <c r="U99" s="88" t="s">
        <v>413</v>
      </c>
      <c r="V99" s="41" t="e">
        <f>C99/'1. Väestöennuste'!E99*1000</f>
        <v>#REF!</v>
      </c>
      <c r="W99" s="41">
        <f>D99/'1. Väestöennuste'!F99*1000</f>
        <v>301.90571715145438</v>
      </c>
      <c r="X99" s="41">
        <f>E99/'1. Väestöennuste'!G99*1000</f>
        <v>279.61362480935435</v>
      </c>
      <c r="Y99" s="41">
        <f>F99/'1. Väestöennuste'!H99*1000</f>
        <v>355.49738219895289</v>
      </c>
      <c r="Z99" s="41">
        <f>G99/'1. Väestöennuste'!I99*1000</f>
        <v>242.35924932975871</v>
      </c>
      <c r="AA99" s="41">
        <f>H99/'1. Väestöennuste'!J99*1000</f>
        <v>705.03783146727358</v>
      </c>
      <c r="AB99" s="41">
        <f>I99/'1. Väestöennuste'!K99*1000</f>
        <v>582.88472360207186</v>
      </c>
      <c r="AC99" s="41">
        <f>J99/'1. Väestöennuste'!L99*1000</f>
        <v>299.58463555772386</v>
      </c>
      <c r="AD99" s="41">
        <f>K99/'1. Väestöennuste'!M99*1000</f>
        <v>-5.9194784452431461</v>
      </c>
      <c r="AE99" s="41">
        <f>L99/'1. Väestöennuste'!N99*1000</f>
        <v>98.60025433748612</v>
      </c>
      <c r="AF99" s="41">
        <f>M99/'1. Väestöennuste'!O99*1000</f>
        <v>-488.0282969566054</v>
      </c>
      <c r="AG99" s="41">
        <f>N99/'1. Väestöennuste'!P99*1000</f>
        <v>-563.61079874146208</v>
      </c>
      <c r="AH99" s="41">
        <f>O99/'1. Väestöennuste'!Q99*1000</f>
        <v>-614.98766011299483</v>
      </c>
      <c r="AI99" s="41">
        <f>P99/'1. Väestöennuste'!R99*1000</f>
        <v>-526.45674237754702</v>
      </c>
    </row>
    <row r="100" spans="1:35" x14ac:dyDescent="0.2">
      <c r="A100" s="34">
        <v>256</v>
      </c>
      <c r="B100" s="88" t="s">
        <v>414</v>
      </c>
      <c r="C100" s="41" t="e">
        <f>'2. Toimintakate'!D100+'3. Verotulot'!G100+'4. Valtionosuudet'!#REF!</f>
        <v>#REF!</v>
      </c>
      <c r="D100" s="41">
        <f>'2. Toimintakate'!E100+'3. Verotulot'!L100+'4. Valtionosuudet'!H100</f>
        <v>858</v>
      </c>
      <c r="E100" s="41">
        <f>'2. Toimintakate'!F100+'3. Verotulot'!Q100+'4. Valtionosuudet'!N100</f>
        <v>1188</v>
      </c>
      <c r="F100" s="41">
        <f>'2. Toimintakate'!G100+'3. Verotulot'!V100+'4. Valtionosuudet'!T100</f>
        <v>-289</v>
      </c>
      <c r="G100" s="41">
        <f>'2. Toimintakate'!H100+'3. Verotulot'!AA100+'4. Valtionosuudet'!Z100</f>
        <v>-311</v>
      </c>
      <c r="H100" s="41">
        <f>'2. Toimintakate'!I100+'3. Verotulot'!AF100+'4. Valtionosuudet'!AG100</f>
        <v>678.60784876036087</v>
      </c>
      <c r="I100" s="41">
        <f>'2. Toimintakate'!J100+'3. Verotulot'!AK100+'4. Valtionosuudet'!AN100</f>
        <v>1365.4857184147832</v>
      </c>
      <c r="J100" s="41">
        <f>'2. Toimintakate'!K100+'3. Verotulot'!AP100+'4. Valtionosuudet'!AU100</f>
        <v>520.80529423207099</v>
      </c>
      <c r="K100" s="41">
        <f>'2. Toimintakate'!L100+'3. Verotulot'!AU100+'4. Valtionosuudet'!BC100</f>
        <v>437.18687310438509</v>
      </c>
      <c r="L100" s="41">
        <f>'2. Toimintakate'!M100+'3. Verotulot'!AZ100+'4. Valtionosuudet'!BK100</f>
        <v>940.12798058405087</v>
      </c>
      <c r="M100" s="41">
        <f>'2. Toimintakate'!N100+'3. Verotulot'!BE100+'4. Valtionosuudet'!BQ100</f>
        <v>12.244547233593948</v>
      </c>
      <c r="N100" s="41">
        <f>'2. Toimintakate'!O100+'3. Verotulot'!BJ100+'4. Valtionosuudet'!BY100</f>
        <v>-106.91762468478146</v>
      </c>
      <c r="O100" s="41">
        <f>'2. Toimintakate'!P100+'3. Verotulot'!BO100+'4. Valtionosuudet'!CE100</f>
        <v>-97.18521344971532</v>
      </c>
      <c r="P100" s="41">
        <f>'2. Toimintakate'!Q100+'3. Verotulot'!BT100+'4. Valtionosuudet'!CK100</f>
        <v>51.89074027695824</v>
      </c>
      <c r="T100" s="34">
        <v>256</v>
      </c>
      <c r="U100" s="88" t="s">
        <v>414</v>
      </c>
      <c r="V100" s="41" t="e">
        <f>C100/'1. Väestöennuste'!E100*1000</f>
        <v>#REF!</v>
      </c>
      <c r="W100" s="41">
        <f>D100/'1. Väestöennuste'!F100*1000</f>
        <v>505.00294290759274</v>
      </c>
      <c r="X100" s="41">
        <f>E100/'1. Väestöennuste'!G100*1000</f>
        <v>717.39130434782601</v>
      </c>
      <c r="Y100" s="41">
        <f>F100/'1. Väestöennuste'!H100*1000</f>
        <v>-178.94736842105263</v>
      </c>
      <c r="Z100" s="41">
        <f>G100/'1. Väestöennuste'!I100*1000</f>
        <v>-191.97530864197532</v>
      </c>
      <c r="AA100" s="41">
        <f>H100/'1. Väestöennuste'!J100*1000</f>
        <v>424.92664293072062</v>
      </c>
      <c r="AB100" s="41">
        <f>I100/'1. Väestöennuste'!K100*1000</f>
        <v>863.68483138189958</v>
      </c>
      <c r="AC100" s="41">
        <f>J100/'1. Väestöennuste'!L100*1000</f>
        <v>335.13854197687965</v>
      </c>
      <c r="AD100" s="41">
        <f>K100/'1. Väestöennuste'!M100*1000</f>
        <v>287.05638417884774</v>
      </c>
      <c r="AE100" s="41">
        <f>L100/'1. Väestöennuste'!N100*1000</f>
        <v>628.4277945080554</v>
      </c>
      <c r="AF100" s="41">
        <f>M100/'1. Väestöennuste'!O100*1000</f>
        <v>8.3070198328317151</v>
      </c>
      <c r="AG100" s="41">
        <f>N100/'1. Väestöennuste'!P100*1000</f>
        <v>-73.736292886056177</v>
      </c>
      <c r="AH100" s="41">
        <f>O100/'1. Väestöennuste'!Q100*1000</f>
        <v>-68.056872163666199</v>
      </c>
      <c r="AI100" s="41">
        <f>P100/'1. Väestöennuste'!R100*1000</f>
        <v>36.828062652205993</v>
      </c>
    </row>
    <row r="101" spans="1:35" x14ac:dyDescent="0.2">
      <c r="A101" s="34">
        <v>257</v>
      </c>
      <c r="B101" s="88" t="s">
        <v>415</v>
      </c>
      <c r="C101" s="41" t="e">
        <f>'2. Toimintakate'!D101+'3. Verotulot'!G101+'4. Valtionosuudet'!#REF!</f>
        <v>#REF!</v>
      </c>
      <c r="D101" s="41">
        <f>'2. Toimintakate'!E101+'3. Verotulot'!L101+'4. Valtionosuudet'!H101</f>
        <v>18251</v>
      </c>
      <c r="E101" s="41">
        <f>'2. Toimintakate'!F101+'3. Verotulot'!Q101+'4. Valtionosuudet'!N101</f>
        <v>16375</v>
      </c>
      <c r="F101" s="41">
        <f>'2. Toimintakate'!G101+'3. Verotulot'!V101+'4. Valtionosuudet'!T101</f>
        <v>11885</v>
      </c>
      <c r="G101" s="41">
        <f>'2. Toimintakate'!H101+'3. Verotulot'!AA101+'4. Valtionosuudet'!Z101</f>
        <v>-2033</v>
      </c>
      <c r="H101" s="41">
        <f>'2. Toimintakate'!I101+'3. Verotulot'!AF101+'4. Valtionosuudet'!AG101</f>
        <v>26085.138681185606</v>
      </c>
      <c r="I101" s="41">
        <f>'2. Toimintakate'!J101+'3. Verotulot'!AK101+'4. Valtionosuudet'!AN101</f>
        <v>21850.251512552633</v>
      </c>
      <c r="J101" s="41">
        <f>'2. Toimintakate'!K101+'3. Verotulot'!AP101+'4. Valtionosuudet'!AU101</f>
        <v>38597.171370106771</v>
      </c>
      <c r="K101" s="41">
        <f>'2. Toimintakate'!L101+'3. Verotulot'!AU101+'4. Valtionosuudet'!BC101</f>
        <v>42291.207750698632</v>
      </c>
      <c r="L101" s="41">
        <f>'2. Toimintakate'!M101+'3. Verotulot'!AZ101+'4. Valtionosuudet'!BK101</f>
        <v>25347.559170676504</v>
      </c>
      <c r="M101" s="41">
        <f>'2. Toimintakate'!N101+'3. Verotulot'!BE101+'4. Valtionosuudet'!BQ101</f>
        <v>26677.108169110586</v>
      </c>
      <c r="N101" s="41">
        <f>'2. Toimintakate'!O101+'3. Verotulot'!BJ101+'4. Valtionosuudet'!BY101</f>
        <v>26534.262587163241</v>
      </c>
      <c r="O101" s="41">
        <f>'2. Toimintakate'!P101+'3. Verotulot'!BO101+'4. Valtionosuudet'!CE101</f>
        <v>26680.291963397482</v>
      </c>
      <c r="P101" s="41">
        <f>'2. Toimintakate'!Q101+'3. Verotulot'!BT101+'4. Valtionosuudet'!CK101</f>
        <v>28386.716690317618</v>
      </c>
      <c r="T101" s="34">
        <v>257</v>
      </c>
      <c r="U101" s="88" t="s">
        <v>415</v>
      </c>
      <c r="V101" s="41" t="e">
        <f>C101/'1. Väestöennuste'!E101*1000</f>
        <v>#REF!</v>
      </c>
      <c r="W101" s="41">
        <f>D101/'1. Väestöennuste'!F101*1000</f>
        <v>467.57871544590472</v>
      </c>
      <c r="X101" s="41">
        <f>E101/'1. Väestöennuste'!G101*1000</f>
        <v>418.04952769977024</v>
      </c>
      <c r="Y101" s="41">
        <f>F101/'1. Väestöennuste'!H101*1000</f>
        <v>302.7099994906016</v>
      </c>
      <c r="Z101" s="41">
        <f>G101/'1. Väestöennuste'!I101*1000</f>
        <v>-51.356540190976609</v>
      </c>
      <c r="AA101" s="41">
        <f>H101/'1. Väestöennuste'!J101*1000</f>
        <v>650.79433863543761</v>
      </c>
      <c r="AB101" s="41">
        <f>I101/'1. Väestöennuste'!K101*1000</f>
        <v>540.4063886566081</v>
      </c>
      <c r="AC101" s="41">
        <f>J101/'1. Väestöennuste'!L101*1000</f>
        <v>947.8211131601289</v>
      </c>
      <c r="AD101" s="41">
        <f>K101/'1. Väestöennuste'!M101*1000</f>
        <v>1027.6329822301266</v>
      </c>
      <c r="AE101" s="41">
        <f>L101/'1. Väestöennuste'!N101*1000</f>
        <v>611.32959917701339</v>
      </c>
      <c r="AF101" s="41">
        <f>M101/'1. Väestöennuste'!O101*1000</f>
        <v>638.80434302604317</v>
      </c>
      <c r="AG101" s="41">
        <f>N101/'1. Väestöennuste'!P101*1000</f>
        <v>631.15203223432457</v>
      </c>
      <c r="AH101" s="41">
        <f>O101/'1. Väestöennuste'!Q101*1000</f>
        <v>630.66521601223212</v>
      </c>
      <c r="AI101" s="41">
        <f>P101/'1. Väestöennuste'!R101*1000</f>
        <v>666.96545406164375</v>
      </c>
    </row>
    <row r="102" spans="1:35" x14ac:dyDescent="0.2">
      <c r="A102" s="34">
        <v>260</v>
      </c>
      <c r="B102" s="88" t="s">
        <v>416</v>
      </c>
      <c r="C102" s="41" t="e">
        <f>'2. Toimintakate'!D102+'3. Verotulot'!G102+'4. Valtionosuudet'!#REF!</f>
        <v>#REF!</v>
      </c>
      <c r="D102" s="41">
        <f>'2. Toimintakate'!E102+'3. Verotulot'!L102+'4. Valtionosuudet'!H102</f>
        <v>8796</v>
      </c>
      <c r="E102" s="41">
        <f>'2. Toimintakate'!F102+'3. Verotulot'!Q102+'4. Valtionosuudet'!N102</f>
        <v>9408</v>
      </c>
      <c r="F102" s="41">
        <f>'2. Toimintakate'!G102+'3. Verotulot'!V102+'4. Valtionosuudet'!T102</f>
        <v>5281</v>
      </c>
      <c r="G102" s="41">
        <f>'2. Toimintakate'!H102+'3. Verotulot'!AA102+'4. Valtionosuudet'!Z102</f>
        <v>3637</v>
      </c>
      <c r="H102" s="41">
        <f>'2. Toimintakate'!I102+'3. Verotulot'!AF102+'4. Valtionosuudet'!AG102</f>
        <v>6449.6066954614871</v>
      </c>
      <c r="I102" s="41">
        <f>'2. Toimintakate'!J102+'3. Verotulot'!AK102+'4. Valtionosuudet'!AN102</f>
        <v>5459.1138545661306</v>
      </c>
      <c r="J102" s="41">
        <f>'2. Toimintakate'!K102+'3. Verotulot'!AP102+'4. Valtionosuudet'!AU102</f>
        <v>4651.486954969223</v>
      </c>
      <c r="K102" s="41">
        <f>'2. Toimintakate'!L102+'3. Verotulot'!AU102+'4. Valtionosuudet'!BC102</f>
        <v>8932.86417909181</v>
      </c>
      <c r="L102" s="41">
        <f>'2. Toimintakate'!M102+'3. Verotulot'!AZ102+'4. Valtionosuudet'!BK102</f>
        <v>4376.8798537738585</v>
      </c>
      <c r="M102" s="41">
        <f>'2. Toimintakate'!N102+'3. Verotulot'!BE102+'4. Valtionosuudet'!BQ102</f>
        <v>4601.4121998951941</v>
      </c>
      <c r="N102" s="41">
        <f>'2. Toimintakate'!O102+'3. Verotulot'!BJ102+'4. Valtionosuudet'!BY102</f>
        <v>4558.4247581540603</v>
      </c>
      <c r="O102" s="41">
        <f>'2. Toimintakate'!P102+'3. Verotulot'!BO102+'4. Valtionosuudet'!CE102</f>
        <v>4451.5346399525006</v>
      </c>
      <c r="P102" s="41">
        <f>'2. Toimintakate'!Q102+'3. Verotulot'!BT102+'4. Valtionosuudet'!CK102</f>
        <v>6283.3266310569743</v>
      </c>
      <c r="T102" s="34">
        <v>260</v>
      </c>
      <c r="U102" s="88" t="s">
        <v>416</v>
      </c>
      <c r="V102" s="41" t="e">
        <f>C102/'1. Väestöennuste'!E102*1000</f>
        <v>#REF!</v>
      </c>
      <c r="W102" s="41">
        <f>D102/'1. Väestöennuste'!F102*1000</f>
        <v>820.5989364679541</v>
      </c>
      <c r="X102" s="41">
        <f>E102/'1. Väestöennuste'!G102*1000</f>
        <v>897.19626168224295</v>
      </c>
      <c r="Y102" s="41">
        <f>F102/'1. Väestöennuste'!H102*1000</f>
        <v>509.84746089978762</v>
      </c>
      <c r="Z102" s="41">
        <f>G102/'1. Väestöennuste'!I102*1000</f>
        <v>358.82004735595893</v>
      </c>
      <c r="AA102" s="41">
        <f>H102/'1. Väestöennuste'!J102*1000</f>
        <v>649.31105360530432</v>
      </c>
      <c r="AB102" s="41">
        <f>I102/'1. Väestöennuste'!K102*1000</f>
        <v>552.70971495050424</v>
      </c>
      <c r="AC102" s="41">
        <f>J102/'1. Väestöennuste'!L102*1000</f>
        <v>478.20365528623654</v>
      </c>
      <c r="AD102" s="41">
        <f>K102/'1. Väestöennuste'!M102*1000</f>
        <v>921.95935381275774</v>
      </c>
      <c r="AE102" s="41">
        <f>L102/'1. Väestöennuste'!N102*1000</f>
        <v>473.58578811662608</v>
      </c>
      <c r="AF102" s="41">
        <f>M102/'1. Väestöennuste'!O102*1000</f>
        <v>506.09461063519512</v>
      </c>
      <c r="AG102" s="41">
        <f>N102/'1. Väestöennuste'!P102*1000</f>
        <v>509.4350422612942</v>
      </c>
      <c r="AH102" s="41">
        <f>O102/'1. Väestöennuste'!Q102*1000</f>
        <v>505.11002382304559</v>
      </c>
      <c r="AI102" s="41">
        <f>P102/'1. Väestöennuste'!R102*1000</f>
        <v>723.552122415589</v>
      </c>
    </row>
    <row r="103" spans="1:35" x14ac:dyDescent="0.2">
      <c r="A103" s="34">
        <v>261</v>
      </c>
      <c r="B103" s="88" t="s">
        <v>417</v>
      </c>
      <c r="C103" s="41" t="e">
        <f>'2. Toimintakate'!D103+'3. Verotulot'!G103+'4. Valtionosuudet'!#REF!</f>
        <v>#REF!</v>
      </c>
      <c r="D103" s="41">
        <f>'2. Toimintakate'!E103+'3. Verotulot'!L103+'4. Valtionosuudet'!H103</f>
        <v>6950</v>
      </c>
      <c r="E103" s="41">
        <f>'2. Toimintakate'!F103+'3. Verotulot'!Q103+'4. Valtionosuudet'!N103</f>
        <v>5552</v>
      </c>
      <c r="F103" s="41">
        <f>'2. Toimintakate'!G103+'3. Verotulot'!V103+'4. Valtionosuudet'!T103</f>
        <v>2996</v>
      </c>
      <c r="G103" s="41">
        <f>'2. Toimintakate'!H103+'3. Verotulot'!AA103+'4. Valtionosuudet'!Z103</f>
        <v>4768</v>
      </c>
      <c r="H103" s="41">
        <f>'2. Toimintakate'!I103+'3. Verotulot'!AF103+'4. Valtionosuudet'!AG103</f>
        <v>6867.4184455986724</v>
      </c>
      <c r="I103" s="41">
        <f>'2. Toimintakate'!J103+'3. Verotulot'!AK103+'4. Valtionosuudet'!AN103</f>
        <v>10436.284145016372</v>
      </c>
      <c r="J103" s="41">
        <f>'2. Toimintakate'!K103+'3. Verotulot'!AP103+'4. Valtionosuudet'!AU103</f>
        <v>8764.4787249427682</v>
      </c>
      <c r="K103" s="41">
        <f>'2. Toimintakate'!L103+'3. Verotulot'!AU103+'4. Valtionosuudet'!BC103</f>
        <v>10569.39850734034</v>
      </c>
      <c r="L103" s="41">
        <f>'2. Toimintakate'!M103+'3. Verotulot'!AZ103+'4. Valtionosuudet'!BK103</f>
        <v>8915.0696285118465</v>
      </c>
      <c r="M103" s="41">
        <f>'2. Toimintakate'!N103+'3. Verotulot'!BE103+'4. Valtionosuudet'!BQ103</f>
        <v>8824.6443909526406</v>
      </c>
      <c r="N103" s="41">
        <f>'2. Toimintakate'!O103+'3. Verotulot'!BJ103+'4. Valtionosuudet'!BY103</f>
        <v>8724.9994336025502</v>
      </c>
      <c r="O103" s="41">
        <f>'2. Toimintakate'!P103+'3. Verotulot'!BO103+'4. Valtionosuudet'!CE103</f>
        <v>9291.6180304485933</v>
      </c>
      <c r="P103" s="41">
        <f>'2. Toimintakate'!Q103+'3. Verotulot'!BT103+'4. Valtionosuudet'!CK103</f>
        <v>9886.7997892365602</v>
      </c>
      <c r="T103" s="34">
        <v>261</v>
      </c>
      <c r="U103" s="88" t="s">
        <v>417</v>
      </c>
      <c r="V103" s="41" t="e">
        <f>C103/'1. Väestöennuste'!E103*1000</f>
        <v>#REF!</v>
      </c>
      <c r="W103" s="41">
        <f>D103/'1. Väestöennuste'!F103*1000</f>
        <v>1088.8297039009872</v>
      </c>
      <c r="X103" s="41">
        <f>E103/'1. Väestöennuste'!G103*1000</f>
        <v>864.66282510512383</v>
      </c>
      <c r="Y103" s="41">
        <f>F103/'1. Väestöennuste'!H103*1000</f>
        <v>465.50652579241762</v>
      </c>
      <c r="Z103" s="41">
        <f>G103/'1. Väestöennuste'!I103*1000</f>
        <v>738.8811405547807</v>
      </c>
      <c r="AA103" s="41">
        <f>H103/'1. Väestöennuste'!J103*1000</f>
        <v>1067.0320766933924</v>
      </c>
      <c r="AB103" s="41">
        <f>I103/'1. Väestöennuste'!K103*1000</f>
        <v>1599.9209175251224</v>
      </c>
      <c r="AC103" s="41">
        <f>J103/'1. Väestöennuste'!L103*1000</f>
        <v>1320.5482484470044</v>
      </c>
      <c r="AD103" s="41">
        <f>K103/'1. Väestöennuste'!M103*1000</f>
        <v>1549.310833676391</v>
      </c>
      <c r="AE103" s="41">
        <f>L103/'1. Väestöennuste'!N103*1000</f>
        <v>1391.8922136630517</v>
      </c>
      <c r="AF103" s="41">
        <f>M103/'1. Väestöennuste'!O103*1000</f>
        <v>1380.3604553343721</v>
      </c>
      <c r="AG103" s="41">
        <f>N103/'1. Väestöennuste'!P103*1000</f>
        <v>1367.7691540370827</v>
      </c>
      <c r="AH103" s="41">
        <f>O103/'1. Väestöennuste'!Q103*1000</f>
        <v>1459.7985908010357</v>
      </c>
      <c r="AI103" s="41">
        <f>P103/'1. Väestöennuste'!R103*1000</f>
        <v>1556.2411127398962</v>
      </c>
    </row>
    <row r="104" spans="1:35" x14ac:dyDescent="0.2">
      <c r="A104" s="34">
        <v>263</v>
      </c>
      <c r="B104" s="88" t="s">
        <v>418</v>
      </c>
      <c r="C104" s="41" t="e">
        <f>'2. Toimintakate'!D104+'3. Verotulot'!G104+'4. Valtionosuudet'!#REF!</f>
        <v>#REF!</v>
      </c>
      <c r="D104" s="41">
        <f>'2. Toimintakate'!E104+'3. Verotulot'!L104+'4. Valtionosuudet'!H104</f>
        <v>2505</v>
      </c>
      <c r="E104" s="41">
        <f>'2. Toimintakate'!F104+'3. Verotulot'!Q104+'4. Valtionosuudet'!N104</f>
        <v>3325</v>
      </c>
      <c r="F104" s="41">
        <f>'2. Toimintakate'!G104+'3. Verotulot'!V104+'4. Valtionosuudet'!T104</f>
        <v>1439</v>
      </c>
      <c r="G104" s="41">
        <f>'2. Toimintakate'!H104+'3. Verotulot'!AA104+'4. Valtionosuudet'!Z104</f>
        <v>-556</v>
      </c>
      <c r="H104" s="41">
        <f>'2. Toimintakate'!I104+'3. Verotulot'!AF104+'4. Valtionosuudet'!AG104</f>
        <v>6666.1303291700096</v>
      </c>
      <c r="I104" s="41">
        <f>'2. Toimintakate'!J104+'3. Verotulot'!AK104+'4. Valtionosuudet'!AN104</f>
        <v>6189.0228878515481</v>
      </c>
      <c r="J104" s="41">
        <f>'2. Toimintakate'!K104+'3. Verotulot'!AP104+'4. Valtionosuudet'!AU104</f>
        <v>5194.841683868719</v>
      </c>
      <c r="K104" s="41">
        <f>'2. Toimintakate'!L104+'3. Verotulot'!AU104+'4. Valtionosuudet'!BC104</f>
        <v>3579.7093754447997</v>
      </c>
      <c r="L104" s="41">
        <f>'2. Toimintakate'!M104+'3. Verotulot'!AZ104+'4. Valtionosuudet'!BK104</f>
        <v>3399.1263444441975</v>
      </c>
      <c r="M104" s="41">
        <f>'2. Toimintakate'!N104+'3. Verotulot'!BE104+'4. Valtionosuudet'!BQ104</f>
        <v>1562.87500718091</v>
      </c>
      <c r="N104" s="41">
        <f>'2. Toimintakate'!O104+'3. Verotulot'!BJ104+'4. Valtionosuudet'!BY104</f>
        <v>1848.8516354495987</v>
      </c>
      <c r="O104" s="41">
        <f>'2. Toimintakate'!P104+'3. Verotulot'!BO104+'4. Valtionosuudet'!CE104</f>
        <v>1767.5550707923612</v>
      </c>
      <c r="P104" s="41">
        <f>'2. Toimintakate'!Q104+'3. Verotulot'!BT104+'4. Valtionosuudet'!CK104</f>
        <v>3035.0056303066976</v>
      </c>
      <c r="T104" s="34">
        <v>263</v>
      </c>
      <c r="U104" s="88" t="s">
        <v>418</v>
      </c>
      <c r="V104" s="41" t="e">
        <f>C104/'1. Väestöennuste'!E104*1000</f>
        <v>#REF!</v>
      </c>
      <c r="W104" s="41">
        <f>D104/'1. Väestöennuste'!F104*1000</f>
        <v>296.66035054476555</v>
      </c>
      <c r="X104" s="41">
        <f>E104/'1. Väestöennuste'!G104*1000</f>
        <v>401.42460461185556</v>
      </c>
      <c r="Y104" s="41">
        <f>F104/'1. Väestöennuste'!H104*1000</f>
        <v>176.49944805593032</v>
      </c>
      <c r="Z104" s="41">
        <f>G104/'1. Väestöennuste'!I104*1000</f>
        <v>-69.517379344836201</v>
      </c>
      <c r="AA104" s="41">
        <f>H104/'1. Väestöennuste'!J104*1000</f>
        <v>848.75608978482421</v>
      </c>
      <c r="AB104" s="41">
        <f>I104/'1. Väestöennuste'!K104*1000</f>
        <v>797.65728674462537</v>
      </c>
      <c r="AC104" s="41">
        <f>J104/'1. Väestöennuste'!L104*1000</f>
        <v>683.80172224150567</v>
      </c>
      <c r="AD104" s="41">
        <f>K104/'1. Väestöennuste'!M104*1000</f>
        <v>478.89088634713039</v>
      </c>
      <c r="AE104" s="41">
        <f>L104/'1. Väestöennuste'!N104*1000</f>
        <v>463.6647584837263</v>
      </c>
      <c r="AF104" s="41">
        <f>M104/'1. Väestöennuste'!O104*1000</f>
        <v>216.61469260996674</v>
      </c>
      <c r="AG104" s="41">
        <f>N104/'1. Väestöennuste'!P104*1000</f>
        <v>260.32830687828761</v>
      </c>
      <c r="AH104" s="41">
        <f>O104/'1. Väestöennuste'!Q104*1000</f>
        <v>252.72448824597672</v>
      </c>
      <c r="AI104" s="41">
        <f>P104/'1. Väestöennuste'!R104*1000</f>
        <v>440.43036283655459</v>
      </c>
    </row>
    <row r="105" spans="1:35" x14ac:dyDescent="0.2">
      <c r="A105" s="34">
        <v>265</v>
      </c>
      <c r="B105" s="88" t="s">
        <v>419</v>
      </c>
      <c r="C105" s="41" t="e">
        <f>'2. Toimintakate'!D105+'3. Verotulot'!G105+'4. Valtionosuudet'!#REF!</f>
        <v>#REF!</v>
      </c>
      <c r="D105" s="41">
        <f>'2. Toimintakate'!E105+'3. Verotulot'!L105+'4. Valtionosuudet'!H105</f>
        <v>425</v>
      </c>
      <c r="E105" s="41">
        <f>'2. Toimintakate'!F105+'3. Verotulot'!Q105+'4. Valtionosuudet'!N105</f>
        <v>934</v>
      </c>
      <c r="F105" s="41">
        <f>'2. Toimintakate'!G105+'3. Verotulot'!V105+'4. Valtionosuudet'!T105</f>
        <v>278</v>
      </c>
      <c r="G105" s="41">
        <f>'2. Toimintakate'!H105+'3. Verotulot'!AA105+'4. Valtionosuudet'!Z105</f>
        <v>60</v>
      </c>
      <c r="H105" s="41">
        <f>'2. Toimintakate'!I105+'3. Verotulot'!AF105+'4. Valtionosuudet'!AG105</f>
        <v>1385.8387575779561</v>
      </c>
      <c r="I105" s="41">
        <f>'2. Toimintakate'!J105+'3. Verotulot'!AK105+'4. Valtionosuudet'!AN105</f>
        <v>1711.9480458060061</v>
      </c>
      <c r="J105" s="41">
        <f>'2. Toimintakate'!K105+'3. Verotulot'!AP105+'4. Valtionosuudet'!AU105</f>
        <v>1961.7095047221901</v>
      </c>
      <c r="K105" s="41">
        <f>'2. Toimintakate'!L105+'3. Verotulot'!AU105+'4. Valtionosuudet'!BC105</f>
        <v>1391.7606729496131</v>
      </c>
      <c r="L105" s="41">
        <f>'2. Toimintakate'!M105+'3. Verotulot'!AZ105+'4. Valtionosuudet'!BK105</f>
        <v>1216.1855810235343</v>
      </c>
      <c r="M105" s="41">
        <f>'2. Toimintakate'!N105+'3. Verotulot'!BE105+'4. Valtionosuudet'!BQ105</f>
        <v>1338.8228293326918</v>
      </c>
      <c r="N105" s="41">
        <f>'2. Toimintakate'!O105+'3. Verotulot'!BJ105+'4. Valtionosuudet'!BY105</f>
        <v>1138.284637019098</v>
      </c>
      <c r="O105" s="41">
        <f>'2. Toimintakate'!P105+'3. Verotulot'!BO105+'4. Valtionosuudet'!CE105</f>
        <v>1086.9315822042731</v>
      </c>
      <c r="P105" s="41">
        <f>'2. Toimintakate'!Q105+'3. Verotulot'!BT105+'4. Valtionosuudet'!CK105</f>
        <v>1202.4255551803144</v>
      </c>
      <c r="T105" s="34">
        <v>265</v>
      </c>
      <c r="U105" s="88" t="s">
        <v>419</v>
      </c>
      <c r="V105" s="41" t="e">
        <f>C105/'1. Väestöennuste'!E105*1000</f>
        <v>#REF!</v>
      </c>
      <c r="W105" s="41">
        <f>D105/'1. Väestöennuste'!F105*1000</f>
        <v>366.06373815676142</v>
      </c>
      <c r="X105" s="41">
        <f>E105/'1. Väestöennuste'!G105*1000</f>
        <v>825.08833922261476</v>
      </c>
      <c r="Y105" s="41">
        <f>F105/'1. Väestöennuste'!H105*1000</f>
        <v>252.03989120580235</v>
      </c>
      <c r="Z105" s="41">
        <f>G105/'1. Väestöennuste'!I105*1000</f>
        <v>54.744525547445257</v>
      </c>
      <c r="AA105" s="41">
        <f>H105/'1. Väestöennuste'!J105*1000</f>
        <v>1251.8868632140525</v>
      </c>
      <c r="AB105" s="41">
        <f>I105/'1. Väestöennuste'!K105*1000</f>
        <v>1573.4816597481674</v>
      </c>
      <c r="AC105" s="41">
        <f>J105/'1. Väestöennuste'!L105*1000</f>
        <v>1843.7119405283743</v>
      </c>
      <c r="AD105" s="41">
        <f>K105/'1. Väestöennuste'!M105*1000</f>
        <v>1344.6963023667759</v>
      </c>
      <c r="AE105" s="41">
        <f>L105/'1. Väestöennuste'!N105*1000</f>
        <v>1161.5908128209496</v>
      </c>
      <c r="AF105" s="41">
        <f>M105/'1. Väestöennuste'!O105*1000</f>
        <v>1297.3089431518333</v>
      </c>
      <c r="AG105" s="41">
        <f>N105/'1. Väestöennuste'!P105*1000</f>
        <v>1119.2572635389363</v>
      </c>
      <c r="AH105" s="41">
        <f>O105/'1. Väestöennuste'!Q105*1000</f>
        <v>1083.6805405825255</v>
      </c>
      <c r="AI105" s="41">
        <f>P105/'1. Väestöennuste'!R105*1000</f>
        <v>1215.7993480084069</v>
      </c>
    </row>
    <row r="106" spans="1:35" x14ac:dyDescent="0.2">
      <c r="A106" s="34">
        <v>271</v>
      </c>
      <c r="B106" s="88" t="s">
        <v>420</v>
      </c>
      <c r="C106" s="41" t="e">
        <f>'2. Toimintakate'!D106+'3. Verotulot'!G106+'4. Valtionosuudet'!#REF!</f>
        <v>#REF!</v>
      </c>
      <c r="D106" s="41">
        <f>'2. Toimintakate'!E106+'3. Verotulot'!L106+'4. Valtionosuudet'!H106</f>
        <v>1764</v>
      </c>
      <c r="E106" s="41">
        <f>'2. Toimintakate'!F106+'3. Verotulot'!Q106+'4. Valtionosuudet'!N106</f>
        <v>2214</v>
      </c>
      <c r="F106" s="41">
        <f>'2. Toimintakate'!G106+'3. Verotulot'!V106+'4. Valtionosuudet'!T106</f>
        <v>1644</v>
      </c>
      <c r="G106" s="41">
        <f>'2. Toimintakate'!H106+'3. Verotulot'!AA106+'4. Valtionosuudet'!Z106</f>
        <v>327</v>
      </c>
      <c r="H106" s="41">
        <f>'2. Toimintakate'!I106+'3. Verotulot'!AF106+'4. Valtionosuudet'!AG106</f>
        <v>5510.5780597239609</v>
      </c>
      <c r="I106" s="41">
        <f>'2. Toimintakate'!J106+'3. Verotulot'!AK106+'4. Valtionosuudet'!AN106</f>
        <v>2885.5037565261773</v>
      </c>
      <c r="J106" s="41">
        <f>'2. Toimintakate'!K106+'3. Verotulot'!AP106+'4. Valtionosuudet'!AU106</f>
        <v>2186.1436899419605</v>
      </c>
      <c r="K106" s="41">
        <f>'2. Toimintakate'!L106+'3. Verotulot'!AU106+'4. Valtionosuudet'!BC106</f>
        <v>4193.4541852185575</v>
      </c>
      <c r="L106" s="41">
        <f>'2. Toimintakate'!M106+'3. Verotulot'!AZ106+'4. Valtionosuudet'!BK106</f>
        <v>2185.5016586939646</v>
      </c>
      <c r="M106" s="41">
        <f>'2. Toimintakate'!N106+'3. Verotulot'!BE106+'4. Valtionosuudet'!BQ106</f>
        <v>1442.2769080917424</v>
      </c>
      <c r="N106" s="41">
        <f>'2. Toimintakate'!O106+'3. Verotulot'!BJ106+'4. Valtionosuudet'!BY106</f>
        <v>1539.1034088513602</v>
      </c>
      <c r="O106" s="41">
        <f>'2. Toimintakate'!P106+'3. Verotulot'!BO106+'4. Valtionosuudet'!CE106</f>
        <v>1832.9817820428289</v>
      </c>
      <c r="P106" s="41">
        <f>'2. Toimintakate'!Q106+'3. Verotulot'!BT106+'4. Valtionosuudet'!CK106</f>
        <v>2727.1473187006477</v>
      </c>
      <c r="T106" s="34">
        <v>271</v>
      </c>
      <c r="U106" s="88" t="s">
        <v>420</v>
      </c>
      <c r="V106" s="41" t="e">
        <f>C106/'1. Väestöennuste'!E106*1000</f>
        <v>#REF!</v>
      </c>
      <c r="W106" s="41">
        <f>D106/'1. Väestöennuste'!F106*1000</f>
        <v>235.26273672979463</v>
      </c>
      <c r="X106" s="41">
        <f>E106/'1. Väestöennuste'!G106*1000</f>
        <v>299.95935510093483</v>
      </c>
      <c r="Y106" s="41">
        <f>F106/'1. Väestöennuste'!H106*1000</f>
        <v>227.5117630777747</v>
      </c>
      <c r="Z106" s="41">
        <f>G106/'1. Väestöennuste'!I106*1000</f>
        <v>46.036885822891733</v>
      </c>
      <c r="AA106" s="41">
        <f>H106/'1. Väestöennuste'!J106*1000</f>
        <v>785.76615709738496</v>
      </c>
      <c r="AB106" s="41">
        <f>I106/'1. Väestöennuste'!K106*1000</f>
        <v>415.12066703009316</v>
      </c>
      <c r="AC106" s="41">
        <f>J106/'1. Väestöennuste'!L106*1000</f>
        <v>316.69472547326677</v>
      </c>
      <c r="AD106" s="41">
        <f>K106/'1. Väestöennuste'!M106*1000</f>
        <v>619.78335578163728</v>
      </c>
      <c r="AE106" s="41">
        <f>L106/'1. Väestöennuste'!N106*1000</f>
        <v>329.43950236568651</v>
      </c>
      <c r="AF106" s="41">
        <f>M106/'1. Väestöennuste'!O106*1000</f>
        <v>220.19494780026602</v>
      </c>
      <c r="AG106" s="41">
        <f>N106/'1. Väestöennuste'!P106*1000</f>
        <v>237.77281150183228</v>
      </c>
      <c r="AH106" s="41">
        <f>O106/'1. Väestöennuste'!Q106*1000</f>
        <v>286.3139303409605</v>
      </c>
      <c r="AI106" s="41">
        <f>P106/'1. Väestöennuste'!R106*1000</f>
        <v>430.55688643837192</v>
      </c>
    </row>
    <row r="107" spans="1:35" x14ac:dyDescent="0.2">
      <c r="A107" s="34">
        <v>272</v>
      </c>
      <c r="B107" s="88" t="s">
        <v>421</v>
      </c>
      <c r="C107" s="41" t="e">
        <f>'2. Toimintakate'!D107+'3. Verotulot'!G107+'4. Valtionosuudet'!#REF!</f>
        <v>#REF!</v>
      </c>
      <c r="D107" s="41">
        <f>'2. Toimintakate'!E107+'3. Verotulot'!L107+'4. Valtionosuudet'!H107</f>
        <v>11046</v>
      </c>
      <c r="E107" s="41">
        <f>'2. Toimintakate'!F107+'3. Verotulot'!Q107+'4. Valtionosuudet'!N107</f>
        <v>20991</v>
      </c>
      <c r="F107" s="41">
        <f>'2. Toimintakate'!G107+'3. Verotulot'!V107+'4. Valtionosuudet'!T107</f>
        <v>10491</v>
      </c>
      <c r="G107" s="41">
        <f>'2. Toimintakate'!H107+'3. Verotulot'!AA107+'4. Valtionosuudet'!Z107</f>
        <v>10968</v>
      </c>
      <c r="H107" s="41">
        <f>'2. Toimintakate'!I107+'3. Verotulot'!AF107+'4. Valtionosuudet'!AG107</f>
        <v>29824.647559847726</v>
      </c>
      <c r="I107" s="41">
        <f>'2. Toimintakate'!J107+'3. Verotulot'!AK107+'4. Valtionosuudet'!AN107</f>
        <v>21804.572929495524</v>
      </c>
      <c r="J107" s="41">
        <f>'2. Toimintakate'!K107+'3. Verotulot'!AP107+'4. Valtionosuudet'!AU107</f>
        <v>20221.391987110372</v>
      </c>
      <c r="K107" s="41">
        <f>'2. Toimintakate'!L107+'3. Verotulot'!AU107+'4. Valtionosuudet'!BC107</f>
        <v>28364.218532033578</v>
      </c>
      <c r="L107" s="41">
        <f>'2. Toimintakate'!M107+'3. Verotulot'!AZ107+'4. Valtionosuudet'!BK107</f>
        <v>13723.539089448488</v>
      </c>
      <c r="M107" s="41">
        <f>'2. Toimintakate'!N107+'3. Verotulot'!BE107+'4. Valtionosuudet'!BQ107</f>
        <v>9484.9871640527526</v>
      </c>
      <c r="N107" s="41">
        <f>'2. Toimintakate'!O107+'3. Verotulot'!BJ107+'4. Valtionosuudet'!BY107</f>
        <v>13571.619782301605</v>
      </c>
      <c r="O107" s="41">
        <f>'2. Toimintakate'!P107+'3. Verotulot'!BO107+'4. Valtionosuudet'!CE107</f>
        <v>15385.06648044155</v>
      </c>
      <c r="P107" s="41">
        <f>'2. Toimintakate'!Q107+'3. Verotulot'!BT107+'4. Valtionosuudet'!CK107</f>
        <v>19651.680508625606</v>
      </c>
      <c r="T107" s="34">
        <v>272</v>
      </c>
      <c r="U107" s="88" t="s">
        <v>421</v>
      </c>
      <c r="V107" s="41" t="e">
        <f>C107/'1. Väestöennuste'!E107*1000</f>
        <v>#REF!</v>
      </c>
      <c r="W107" s="41">
        <f>D107/'1. Väestöennuste'!F107*1000</f>
        <v>231.46072124552103</v>
      </c>
      <c r="X107" s="41">
        <f>E107/'1. Väestöennuste'!G107*1000</f>
        <v>439.85080569117616</v>
      </c>
      <c r="Y107" s="41">
        <f>F107/'1. Väestöennuste'!H107*1000</f>
        <v>220.13555196508383</v>
      </c>
      <c r="Z107" s="41">
        <f>G107/'1. Väestöennuste'!I107*1000</f>
        <v>230.02873261886288</v>
      </c>
      <c r="AA107" s="41">
        <f>H107/'1. Väestöennuste'!J107*1000</f>
        <v>624.31230762471171</v>
      </c>
      <c r="AB107" s="41">
        <f>I107/'1. Väestöennuste'!K107*1000</f>
        <v>455.12477675375243</v>
      </c>
      <c r="AC107" s="41">
        <f>J107/'1. Väestöennuste'!L107*1000</f>
        <v>421.22634643816133</v>
      </c>
      <c r="AD107" s="41">
        <f>K107/'1. Väestöennuste'!M107*1000</f>
        <v>587.3116995969267</v>
      </c>
      <c r="AE107" s="41">
        <f>L107/'1. Väestöennuste'!N107*1000</f>
        <v>286.5877101751762</v>
      </c>
      <c r="AF107" s="41">
        <f>M107/'1. Väestöennuste'!O107*1000</f>
        <v>198.13225192289337</v>
      </c>
      <c r="AG107" s="41">
        <f>N107/'1. Väestöennuste'!P107*1000</f>
        <v>283.66991581425918</v>
      </c>
      <c r="AH107" s="41">
        <f>O107/'1. Väestöennuste'!Q107*1000</f>
        <v>321.84311613165596</v>
      </c>
      <c r="AI107" s="41">
        <f>P107/'1. Väestöennuste'!R107*1000</f>
        <v>411.57075707098949</v>
      </c>
    </row>
    <row r="108" spans="1:35" x14ac:dyDescent="0.2">
      <c r="A108" s="34">
        <v>273</v>
      </c>
      <c r="B108" s="88" t="s">
        <v>422</v>
      </c>
      <c r="C108" s="41" t="e">
        <f>'2. Toimintakate'!D108+'3. Verotulot'!G108+'4. Valtionosuudet'!#REF!</f>
        <v>#REF!</v>
      </c>
      <c r="D108" s="41">
        <f>'2. Toimintakate'!E108+'3. Verotulot'!L108+'4. Valtionosuudet'!H108</f>
        <v>3538</v>
      </c>
      <c r="E108" s="41">
        <f>'2. Toimintakate'!F108+'3. Verotulot'!Q108+'4. Valtionosuudet'!N108</f>
        <v>4080</v>
      </c>
      <c r="F108" s="41">
        <f>'2. Toimintakate'!G108+'3. Verotulot'!V108+'4. Valtionosuudet'!T108</f>
        <v>2759</v>
      </c>
      <c r="G108" s="41">
        <f>'2. Toimintakate'!H108+'3. Verotulot'!AA108+'4. Valtionosuudet'!Z108</f>
        <v>2688</v>
      </c>
      <c r="H108" s="41">
        <f>'2. Toimintakate'!I108+'3. Verotulot'!AF108+'4. Valtionosuudet'!AG108</f>
        <v>2709.2505391636259</v>
      </c>
      <c r="I108" s="41">
        <f>'2. Toimintakate'!J108+'3. Verotulot'!AK108+'4. Valtionosuudet'!AN108</f>
        <v>2123.8462570158736</v>
      </c>
      <c r="J108" s="41">
        <f>'2. Toimintakate'!K108+'3. Verotulot'!AP108+'4. Valtionosuudet'!AU108</f>
        <v>3669.1294344489143</v>
      </c>
      <c r="K108" s="41">
        <f>'2. Toimintakate'!L108+'3. Verotulot'!AU108+'4. Valtionosuudet'!BC108</f>
        <v>4220.1563268798936</v>
      </c>
      <c r="L108" s="41">
        <f>'2. Toimintakate'!M108+'3. Verotulot'!AZ108+'4. Valtionosuudet'!BK108</f>
        <v>3605.0913312314933</v>
      </c>
      <c r="M108" s="41">
        <f>'2. Toimintakate'!N108+'3. Verotulot'!BE108+'4. Valtionosuudet'!BQ108</f>
        <v>3065.1328189301821</v>
      </c>
      <c r="N108" s="41">
        <f>'2. Toimintakate'!O108+'3. Verotulot'!BJ108+'4. Valtionosuudet'!BY108</f>
        <v>2624.8844796982157</v>
      </c>
      <c r="O108" s="41">
        <f>'2. Toimintakate'!P108+'3. Verotulot'!BO108+'4. Valtionosuudet'!CE108</f>
        <v>2480.1109747509354</v>
      </c>
      <c r="P108" s="41">
        <f>'2. Toimintakate'!Q108+'3. Verotulot'!BT108+'4. Valtionosuudet'!CK108</f>
        <v>2789.5017878392646</v>
      </c>
      <c r="T108" s="34">
        <v>273</v>
      </c>
      <c r="U108" s="88" t="s">
        <v>422</v>
      </c>
      <c r="V108" s="41" t="e">
        <f>C108/'1. Väestöennuste'!E108*1000</f>
        <v>#REF!</v>
      </c>
      <c r="W108" s="41">
        <f>D108/'1. Väestöennuste'!F108*1000</f>
        <v>924.48392997125688</v>
      </c>
      <c r="X108" s="41">
        <f>E108/'1. Väestöennuste'!G108*1000</f>
        <v>1058.640373637779</v>
      </c>
      <c r="Y108" s="41">
        <f>F108/'1. Väestöennuste'!H108*1000</f>
        <v>719.61398017736042</v>
      </c>
      <c r="Z108" s="41">
        <f>G108/'1. Väestöennuste'!I108*1000</f>
        <v>698.90795631825279</v>
      </c>
      <c r="AA108" s="41">
        <f>H108/'1. Väestöennuste'!J108*1000</f>
        <v>690.25491443659257</v>
      </c>
      <c r="AB108" s="41">
        <f>I108/'1. Väestöennuste'!K108*1000</f>
        <v>532.42573502528785</v>
      </c>
      <c r="AC108" s="41">
        <f>J108/'1. Väestöennuste'!L108*1000</f>
        <v>917.51173654636523</v>
      </c>
      <c r="AD108" s="41">
        <f>K108/'1. Väestöennuste'!M108*1000</f>
        <v>1052.1456810969567</v>
      </c>
      <c r="AE108" s="41">
        <f>L108/'1. Väestöennuste'!N108*1000</f>
        <v>908.54116210471102</v>
      </c>
      <c r="AF108" s="41">
        <f>M108/'1. Väestöennuste'!O108*1000</f>
        <v>771.29663284604476</v>
      </c>
      <c r="AG108" s="41">
        <f>N108/'1. Väestöennuste'!P108*1000</f>
        <v>659.85029655560982</v>
      </c>
      <c r="AH108" s="41">
        <f>O108/'1. Väestöennuste'!Q108*1000</f>
        <v>623.61352143599083</v>
      </c>
      <c r="AI108" s="41">
        <f>P108/'1. Väestöennuste'!R108*1000</f>
        <v>701.4085460998906</v>
      </c>
    </row>
    <row r="109" spans="1:35" x14ac:dyDescent="0.2">
      <c r="A109" s="34">
        <v>275</v>
      </c>
      <c r="B109" s="88" t="s">
        <v>423</v>
      </c>
      <c r="C109" s="41" t="e">
        <f>'2. Toimintakate'!D109+'3. Verotulot'!G109+'4. Valtionosuudet'!#REF!</f>
        <v>#REF!</v>
      </c>
      <c r="D109" s="41">
        <f>'2. Toimintakate'!E109+'3. Verotulot'!L109+'4. Valtionosuudet'!H109</f>
        <v>632</v>
      </c>
      <c r="E109" s="41">
        <f>'2. Toimintakate'!F109+'3. Verotulot'!Q109+'4. Valtionosuudet'!N109</f>
        <v>-112</v>
      </c>
      <c r="F109" s="41">
        <f>'2. Toimintakate'!G109+'3. Verotulot'!V109+'4. Valtionosuudet'!T109</f>
        <v>-1</v>
      </c>
      <c r="G109" s="41">
        <f>'2. Toimintakate'!H109+'3. Verotulot'!AA109+'4. Valtionosuudet'!Z109</f>
        <v>-4282</v>
      </c>
      <c r="H109" s="41">
        <f>'2. Toimintakate'!I109+'3. Verotulot'!AF109+'4. Valtionosuudet'!AG109</f>
        <v>2539.855847511295</v>
      </c>
      <c r="I109" s="41">
        <f>'2. Toimintakate'!J109+'3. Verotulot'!AK109+'4. Valtionosuudet'!AN109</f>
        <v>2233.9594272482645</v>
      </c>
      <c r="J109" s="41">
        <f>'2. Toimintakate'!K109+'3. Verotulot'!AP109+'4. Valtionosuudet'!AU109</f>
        <v>1522.3765252593239</v>
      </c>
      <c r="K109" s="41">
        <f>'2. Toimintakate'!L109+'3. Verotulot'!AU109+'4. Valtionosuudet'!BC109</f>
        <v>1946.0371739624375</v>
      </c>
      <c r="L109" s="41">
        <f>'2. Toimintakate'!M109+'3. Verotulot'!AZ109+'4. Valtionosuudet'!BK109</f>
        <v>1275.1204426226459</v>
      </c>
      <c r="M109" s="41">
        <f>'2. Toimintakate'!N109+'3. Verotulot'!BE109+'4. Valtionosuudet'!BQ109</f>
        <v>1260.5246166889528</v>
      </c>
      <c r="N109" s="41">
        <f>'2. Toimintakate'!O109+'3. Verotulot'!BJ109+'4. Valtionosuudet'!BY109</f>
        <v>858.17278462481818</v>
      </c>
      <c r="O109" s="41">
        <f>'2. Toimintakate'!P109+'3. Verotulot'!BO109+'4. Valtionosuudet'!CE109</f>
        <v>716.27972833974309</v>
      </c>
      <c r="P109" s="41">
        <f>'2. Toimintakate'!Q109+'3. Verotulot'!BT109+'4. Valtionosuudet'!CK109</f>
        <v>892.83269085524671</v>
      </c>
      <c r="T109" s="34">
        <v>275</v>
      </c>
      <c r="U109" s="88" t="s">
        <v>423</v>
      </c>
      <c r="V109" s="41" t="e">
        <f>C109/'1. Väestöennuste'!E109*1000</f>
        <v>#REF!</v>
      </c>
      <c r="W109" s="41">
        <f>D109/'1. Väestöennuste'!F109*1000</f>
        <v>229.56774427896841</v>
      </c>
      <c r="X109" s="41">
        <f>E109/'1. Väestöennuste'!G109*1000</f>
        <v>-40.756914119359536</v>
      </c>
      <c r="Y109" s="41">
        <f>F109/'1. Väestöennuste'!H109*1000</f>
        <v>-0.37064492216456635</v>
      </c>
      <c r="Z109" s="41">
        <f>G109/'1. Väestöennuste'!I109*1000</f>
        <v>-1629.996193376475</v>
      </c>
      <c r="AA109" s="41">
        <f>H109/'1. Väestöennuste'!J109*1000</f>
        <v>979.50476186320668</v>
      </c>
      <c r="AB109" s="41">
        <f>I109/'1. Väestöennuste'!K109*1000</f>
        <v>863.86675454302576</v>
      </c>
      <c r="AC109" s="41">
        <f>J109/'1. Väestöennuste'!L109*1000</f>
        <v>603.87803461298051</v>
      </c>
      <c r="AD109" s="41">
        <f>K109/'1. Väestöennuste'!M109*1000</f>
        <v>778.7263601290266</v>
      </c>
      <c r="AE109" s="41">
        <f>L109/'1. Väestöennuste'!N109*1000</f>
        <v>520.4573235194473</v>
      </c>
      <c r="AF109" s="41">
        <f>M109/'1. Väestöennuste'!O109*1000</f>
        <v>521.09326857749181</v>
      </c>
      <c r="AG109" s="41">
        <f>N109/'1. Väestöennuste'!P109*1000</f>
        <v>359.06811072168125</v>
      </c>
      <c r="AH109" s="41">
        <f>O109/'1. Väestöennuste'!Q109*1000</f>
        <v>303.50835946599284</v>
      </c>
      <c r="AI109" s="41">
        <f>P109/'1. Väestöennuste'!R109*1000</f>
        <v>383.02560740250823</v>
      </c>
    </row>
    <row r="110" spans="1:35" x14ac:dyDescent="0.2">
      <c r="A110" s="34">
        <v>276</v>
      </c>
      <c r="B110" s="88" t="s">
        <v>424</v>
      </c>
      <c r="C110" s="41" t="e">
        <f>'2. Toimintakate'!D110+'3. Verotulot'!G110+'4. Valtionosuudet'!#REF!</f>
        <v>#REF!</v>
      </c>
      <c r="D110" s="41">
        <f>'2. Toimintakate'!E110+'3. Verotulot'!L110+'4. Valtionosuudet'!H110</f>
        <v>7827</v>
      </c>
      <c r="E110" s="41">
        <f>'2. Toimintakate'!F110+'3. Verotulot'!Q110+'4. Valtionosuudet'!N110</f>
        <v>5303</v>
      </c>
      <c r="F110" s="41">
        <f>'2. Toimintakate'!G110+'3. Verotulot'!V110+'4. Valtionosuudet'!T110</f>
        <v>330</v>
      </c>
      <c r="G110" s="41">
        <f>'2. Toimintakate'!H110+'3. Verotulot'!AA110+'4. Valtionosuudet'!Z110</f>
        <v>5318</v>
      </c>
      <c r="H110" s="41">
        <f>'2. Toimintakate'!I110+'3. Verotulot'!AF110+'4. Valtionosuudet'!AG110</f>
        <v>10714.942550972708</v>
      </c>
      <c r="I110" s="41">
        <f>'2. Toimintakate'!J110+'3. Verotulot'!AK110+'4. Valtionosuudet'!AN110</f>
        <v>5886.8310789986426</v>
      </c>
      <c r="J110" s="41">
        <f>'2. Toimintakate'!K110+'3. Verotulot'!AP110+'4. Valtionosuudet'!AU110</f>
        <v>5950.1265939001096</v>
      </c>
      <c r="K110" s="41">
        <f>'2. Toimintakate'!L110+'3. Verotulot'!AU110+'4. Valtionosuudet'!BC110</f>
        <v>8746.1507319683296</v>
      </c>
      <c r="L110" s="41">
        <f>'2. Toimintakate'!M110+'3. Verotulot'!AZ110+'4. Valtionosuudet'!BK110</f>
        <v>6685.465447248429</v>
      </c>
      <c r="M110" s="41">
        <f>'2. Toimintakate'!N110+'3. Verotulot'!BE110+'4. Valtionosuudet'!BQ110</f>
        <v>3619.726320252521</v>
      </c>
      <c r="N110" s="41">
        <f>'2. Toimintakate'!O110+'3. Verotulot'!BJ110+'4. Valtionosuudet'!BY110</f>
        <v>3630.9690789600027</v>
      </c>
      <c r="O110" s="41">
        <f>'2. Toimintakate'!P110+'3. Verotulot'!BO110+'4. Valtionosuudet'!CE110</f>
        <v>3999.2872380954104</v>
      </c>
      <c r="P110" s="41">
        <f>'2. Toimintakate'!Q110+'3. Verotulot'!BT110+'4. Valtionosuudet'!CK110</f>
        <v>4973.2814061935169</v>
      </c>
      <c r="T110" s="34">
        <v>276</v>
      </c>
      <c r="U110" s="88" t="s">
        <v>424</v>
      </c>
      <c r="V110" s="41" t="e">
        <f>C110/'1. Väestöennuste'!E110*1000</f>
        <v>#REF!</v>
      </c>
      <c r="W110" s="41">
        <f>D110/'1. Väestöennuste'!F110*1000</f>
        <v>528.63703903822784</v>
      </c>
      <c r="X110" s="41">
        <f>E110/'1. Väestöennuste'!G110*1000</f>
        <v>357.58597437626435</v>
      </c>
      <c r="Y110" s="41">
        <f>F110/'1. Väestöennuste'!H110*1000</f>
        <v>22.223718768940667</v>
      </c>
      <c r="Z110" s="41">
        <f>G110/'1. Väestöennuste'!I110*1000</f>
        <v>358.81519465623103</v>
      </c>
      <c r="AA110" s="41">
        <f>H110/'1. Väestöennuste'!J110*1000</f>
        <v>721.20499097884544</v>
      </c>
      <c r="AB110" s="41">
        <f>I110/'1. Väestöennuste'!K110*1000</f>
        <v>391.54180771524062</v>
      </c>
      <c r="AC110" s="41">
        <f>J110/'1. Väestöennuste'!L110*1000</f>
        <v>392.56624621627697</v>
      </c>
      <c r="AD110" s="41">
        <f>K110/'1. Väestöennuste'!M110*1000</f>
        <v>577.83765406767509</v>
      </c>
      <c r="AE110" s="41">
        <f>L110/'1. Väestöennuste'!N110*1000</f>
        <v>447.21823849410856</v>
      </c>
      <c r="AF110" s="41">
        <f>M110/'1. Väestöennuste'!O110*1000</f>
        <v>242.1869610767109</v>
      </c>
      <c r="AG110" s="41">
        <f>N110/'1. Väestöennuste'!P110*1000</f>
        <v>243.16696215912154</v>
      </c>
      <c r="AH110" s="41">
        <f>O110/'1. Väestöennuste'!Q110*1000</f>
        <v>268.21053169441421</v>
      </c>
      <c r="AI110" s="41">
        <f>P110/'1. Väestöennuste'!R110*1000</f>
        <v>334.18098415491983</v>
      </c>
    </row>
    <row r="111" spans="1:35" x14ac:dyDescent="0.2">
      <c r="A111" s="34">
        <v>280</v>
      </c>
      <c r="B111" s="88" t="s">
        <v>425</v>
      </c>
      <c r="C111" s="41" t="e">
        <f>'2. Toimintakate'!D111+'3. Verotulot'!G111+'4. Valtionosuudet'!#REF!</f>
        <v>#REF!</v>
      </c>
      <c r="D111" s="41">
        <f>'2. Toimintakate'!E111+'3. Verotulot'!L111+'4. Valtionosuudet'!H111</f>
        <v>1996</v>
      </c>
      <c r="E111" s="41">
        <f>'2. Toimintakate'!F111+'3. Verotulot'!Q111+'4. Valtionosuudet'!N111</f>
        <v>1507</v>
      </c>
      <c r="F111" s="41">
        <f>'2. Toimintakate'!G111+'3. Verotulot'!V111+'4. Valtionosuudet'!T111</f>
        <v>522</v>
      </c>
      <c r="G111" s="41">
        <f>'2. Toimintakate'!H111+'3. Verotulot'!AA111+'4. Valtionosuudet'!Z111</f>
        <v>607</v>
      </c>
      <c r="H111" s="41">
        <f>'2. Toimintakate'!I111+'3. Verotulot'!AF111+'4. Valtionosuudet'!AG111</f>
        <v>460.218763015273</v>
      </c>
      <c r="I111" s="41">
        <f>'2. Toimintakate'!J111+'3. Verotulot'!AK111+'4. Valtionosuudet'!AN111</f>
        <v>1022.4832245944181</v>
      </c>
      <c r="J111" s="41">
        <f>'2. Toimintakate'!K111+'3. Verotulot'!AP111+'4. Valtionosuudet'!AU111</f>
        <v>1231.3004100330727</v>
      </c>
      <c r="K111" s="41">
        <f>'2. Toimintakate'!L111+'3. Verotulot'!AU111+'4. Valtionosuudet'!BC111</f>
        <v>1865.1412647600491</v>
      </c>
      <c r="L111" s="41">
        <f>'2. Toimintakate'!M111+'3. Verotulot'!AZ111+'4. Valtionosuudet'!BK111</f>
        <v>1661.8290132597572</v>
      </c>
      <c r="M111" s="41">
        <f>'2. Toimintakate'!N111+'3. Verotulot'!BE111+'4. Valtionosuudet'!BQ111</f>
        <v>1502.4920496629329</v>
      </c>
      <c r="N111" s="41">
        <f>'2. Toimintakate'!O111+'3. Verotulot'!BJ111+'4. Valtionosuudet'!BY111</f>
        <v>1630.731706970394</v>
      </c>
      <c r="O111" s="41">
        <f>'2. Toimintakate'!P111+'3. Verotulot'!BO111+'4. Valtionosuudet'!CE111</f>
        <v>1437.1839948759271</v>
      </c>
      <c r="P111" s="41">
        <f>'2. Toimintakate'!Q111+'3. Verotulot'!BT111+'4. Valtionosuudet'!CK111</f>
        <v>1504.9178153994317</v>
      </c>
      <c r="T111" s="34">
        <v>280</v>
      </c>
      <c r="U111" s="88" t="s">
        <v>425</v>
      </c>
      <c r="V111" s="41" t="e">
        <f>C111/'1. Väestöennuste'!E111*1000</f>
        <v>#REF!</v>
      </c>
      <c r="W111" s="41">
        <f>D111/'1. Väestöennuste'!F111*1000</f>
        <v>919.3919852602487</v>
      </c>
      <c r="X111" s="41">
        <f>E111/'1. Väestöennuste'!G111*1000</f>
        <v>699.62859795728866</v>
      </c>
      <c r="Y111" s="41">
        <f>F111/'1. Väestöennuste'!H111*1000</f>
        <v>245.99434495758717</v>
      </c>
      <c r="Z111" s="41">
        <f>G111/'1. Väestöennuste'!I111*1000</f>
        <v>292.24843524313917</v>
      </c>
      <c r="AA111" s="41">
        <f>H111/'1. Väestöennuste'!J111*1000</f>
        <v>222.54292215438733</v>
      </c>
      <c r="AB111" s="41">
        <f>I111/'1. Väestöennuste'!K111*1000</f>
        <v>498.77230468020394</v>
      </c>
      <c r="AC111" s="41">
        <f>J111/'1. Väestöennuste'!L111*1000</f>
        <v>608.35000495705174</v>
      </c>
      <c r="AD111" s="41">
        <f>K111/'1. Väestöennuste'!M111*1000</f>
        <v>925.62841923575638</v>
      </c>
      <c r="AE111" s="41">
        <f>L111/'1. Väestöennuste'!N111*1000</f>
        <v>824.72903883858919</v>
      </c>
      <c r="AF111" s="41">
        <f>M111/'1. Väestöennuste'!O111*1000</f>
        <v>749.3725933480963</v>
      </c>
      <c r="AG111" s="41">
        <f>N111/'1. Väestöennuste'!P111*1000</f>
        <v>817.40937692751584</v>
      </c>
      <c r="AH111" s="41">
        <f>O111/'1. Väestöennuste'!Q111*1000</f>
        <v>725.11805997776332</v>
      </c>
      <c r="AI111" s="41">
        <f>P111/'1. Väestöennuste'!R111*1000</f>
        <v>763.53009406363856</v>
      </c>
    </row>
    <row r="112" spans="1:35" x14ac:dyDescent="0.2">
      <c r="A112" s="34">
        <v>284</v>
      </c>
      <c r="B112" s="88" t="s">
        <v>426</v>
      </c>
      <c r="C112" s="41" t="e">
        <f>'2. Toimintakate'!D112+'3. Verotulot'!G112+'4. Valtionosuudet'!#REF!</f>
        <v>#REF!</v>
      </c>
      <c r="D112" s="41">
        <f>'2. Toimintakate'!E112+'3. Verotulot'!L112+'4. Valtionosuudet'!H112</f>
        <v>837</v>
      </c>
      <c r="E112" s="41">
        <f>'2. Toimintakate'!F112+'3. Verotulot'!Q112+'4. Valtionosuudet'!N112</f>
        <v>1506</v>
      </c>
      <c r="F112" s="41">
        <f>'2. Toimintakate'!G112+'3. Verotulot'!V112+'4. Valtionosuudet'!T112</f>
        <v>-79</v>
      </c>
      <c r="G112" s="41">
        <f>'2. Toimintakate'!H112+'3. Verotulot'!AA112+'4. Valtionosuudet'!Z112</f>
        <v>498</v>
      </c>
      <c r="H112" s="41">
        <f>'2. Toimintakate'!I112+'3. Verotulot'!AF112+'4. Valtionosuudet'!AG112</f>
        <v>2073.690503294154</v>
      </c>
      <c r="I112" s="41">
        <f>'2. Toimintakate'!J112+'3. Verotulot'!AK112+'4. Valtionosuudet'!AN112</f>
        <v>1720.582457187802</v>
      </c>
      <c r="J112" s="41">
        <f>'2. Toimintakate'!K112+'3. Verotulot'!AP112+'4. Valtionosuudet'!AU112</f>
        <v>563.02972791537104</v>
      </c>
      <c r="K112" s="41">
        <f>'2. Toimintakate'!L112+'3. Verotulot'!AU112+'4. Valtionosuudet'!BC112</f>
        <v>4469.3129643986231</v>
      </c>
      <c r="L112" s="41">
        <f>'2. Toimintakate'!M112+'3. Verotulot'!AZ112+'4. Valtionosuudet'!BK112</f>
        <v>2013.2935579804639</v>
      </c>
      <c r="M112" s="41">
        <f>'2. Toimintakate'!N112+'3. Verotulot'!BE112+'4. Valtionosuudet'!BQ112</f>
        <v>2912.7684707056555</v>
      </c>
      <c r="N112" s="41">
        <f>'2. Toimintakate'!O112+'3. Verotulot'!BJ112+'4. Valtionosuudet'!BY112</f>
        <v>2573.8407406656961</v>
      </c>
      <c r="O112" s="41">
        <f>'2. Toimintakate'!P112+'3. Verotulot'!BO112+'4. Valtionosuudet'!CE112</f>
        <v>2501.1710566751681</v>
      </c>
      <c r="P112" s="41">
        <f>'2. Toimintakate'!Q112+'3. Verotulot'!BT112+'4. Valtionosuudet'!CK112</f>
        <v>2828.0889615089468</v>
      </c>
      <c r="T112" s="34">
        <v>284</v>
      </c>
      <c r="U112" s="88" t="s">
        <v>426</v>
      </c>
      <c r="V112" s="41" t="e">
        <f>C112/'1. Väestöennuste'!E112*1000</f>
        <v>#REF!</v>
      </c>
      <c r="W112" s="41">
        <f>D112/'1. Väestöennuste'!F112*1000</f>
        <v>346.44039735099335</v>
      </c>
      <c r="X112" s="41">
        <f>E112/'1. Väestöennuste'!G112*1000</f>
        <v>638.40610428147511</v>
      </c>
      <c r="Y112" s="41">
        <f>F112/'1. Väestöennuste'!H112*1000</f>
        <v>-33.760683760683762</v>
      </c>
      <c r="Z112" s="41">
        <f>G112/'1. Väestöennuste'!I112*1000</f>
        <v>215.77123050259968</v>
      </c>
      <c r="AA112" s="41">
        <f>H112/'1. Väestöennuste'!J112*1000</f>
        <v>904.75152848785081</v>
      </c>
      <c r="AB112" s="41">
        <f>I112/'1. Väestöennuste'!K112*1000</f>
        <v>757.63208154460676</v>
      </c>
      <c r="AC112" s="41">
        <f>J112/'1. Väestöennuste'!L112*1000</f>
        <v>252.81981495975347</v>
      </c>
      <c r="AD112" s="41">
        <f>K112/'1. Väestöennuste'!M112*1000</f>
        <v>2025.0625121878675</v>
      </c>
      <c r="AE112" s="41">
        <f>L112/'1. Väestöennuste'!N112*1000</f>
        <v>915.96613192923746</v>
      </c>
      <c r="AF112" s="41">
        <f>M112/'1. Väestöennuste'!O112*1000</f>
        <v>1337.9735740494514</v>
      </c>
      <c r="AG112" s="41">
        <f>N112/'1. Väestöennuste'!P112*1000</f>
        <v>1193.2502274759834</v>
      </c>
      <c r="AH112" s="41">
        <f>O112/'1. Väestöennuste'!Q112*1000</f>
        <v>1169.3179320594522</v>
      </c>
      <c r="AI112" s="41">
        <f>P112/'1. Väestöennuste'!R112*1000</f>
        <v>1335.2639100608815</v>
      </c>
    </row>
    <row r="113" spans="1:35" x14ac:dyDescent="0.2">
      <c r="A113" s="34">
        <v>285</v>
      </c>
      <c r="B113" s="88" t="s">
        <v>427</v>
      </c>
      <c r="C113" s="41" t="e">
        <f>'2. Toimintakate'!D113+'3. Verotulot'!G113+'4. Valtionosuudet'!#REF!</f>
        <v>#REF!</v>
      </c>
      <c r="D113" s="41">
        <f>'2. Toimintakate'!E113+'3. Verotulot'!L113+'4. Valtionosuudet'!H113</f>
        <v>12758</v>
      </c>
      <c r="E113" s="41">
        <f>'2. Toimintakate'!F113+'3. Verotulot'!Q113+'4. Valtionosuudet'!N113</f>
        <v>27858</v>
      </c>
      <c r="F113" s="41">
        <f>'2. Toimintakate'!G113+'3. Verotulot'!V113+'4. Valtionosuudet'!T113</f>
        <v>11751</v>
      </c>
      <c r="G113" s="41">
        <f>'2. Toimintakate'!H113+'3. Verotulot'!AA113+'4. Valtionosuudet'!Z113</f>
        <v>20293</v>
      </c>
      <c r="H113" s="41">
        <f>'2. Toimintakate'!I113+'3. Verotulot'!AF113+'4. Valtionosuudet'!AG113</f>
        <v>37464.984790299583</v>
      </c>
      <c r="I113" s="41">
        <f>'2. Toimintakate'!J113+'3. Verotulot'!AK113+'4. Valtionosuudet'!AN113</f>
        <v>24208.834451706818</v>
      </c>
      <c r="J113" s="41">
        <f>'2. Toimintakate'!K113+'3. Verotulot'!AP113+'4. Valtionosuudet'!AU113</f>
        <v>10428.605065038108</v>
      </c>
      <c r="K113" s="41">
        <f>'2. Toimintakate'!L113+'3. Verotulot'!AU113+'4. Valtionosuudet'!BC113</f>
        <v>42702.906156266326</v>
      </c>
      <c r="L113" s="41">
        <f>'2. Toimintakate'!M113+'3. Verotulot'!AZ113+'4. Valtionosuudet'!BK113</f>
        <v>6892.9565988955865</v>
      </c>
      <c r="M113" s="41">
        <f>'2. Toimintakate'!N113+'3. Verotulot'!BE113+'4. Valtionosuudet'!BQ113</f>
        <v>8374.4635841140898</v>
      </c>
      <c r="N113" s="41">
        <f>'2. Toimintakate'!O113+'3. Verotulot'!BJ113+'4. Valtionosuudet'!BY113</f>
        <v>13242.690499477323</v>
      </c>
      <c r="O113" s="41">
        <f>'2. Toimintakate'!P113+'3. Verotulot'!BO113+'4. Valtionosuudet'!CE113</f>
        <v>14832.740832682462</v>
      </c>
      <c r="P113" s="41">
        <f>'2. Toimintakate'!Q113+'3. Verotulot'!BT113+'4. Valtionosuudet'!CK113</f>
        <v>20453.594026727696</v>
      </c>
      <c r="T113" s="34">
        <v>285</v>
      </c>
      <c r="U113" s="88" t="s">
        <v>427</v>
      </c>
      <c r="V113" s="41" t="e">
        <f>C113/'1. Väestöennuste'!E113*1000</f>
        <v>#REF!</v>
      </c>
      <c r="W113" s="41">
        <f>D113/'1. Väestöennuste'!F113*1000</f>
        <v>235.44392566482736</v>
      </c>
      <c r="X113" s="41">
        <f>E113/'1. Väestöennuste'!G113*1000</f>
        <v>520.33097368273593</v>
      </c>
      <c r="Y113" s="41">
        <f>F113/'1. Väestöennuste'!H113*1000</f>
        <v>222.20751470226728</v>
      </c>
      <c r="Z113" s="41">
        <f>G113/'1. Väestöennuste'!I113*1000</f>
        <v>389.30667996777044</v>
      </c>
      <c r="AA113" s="41">
        <f>H113/'1. Väestöennuste'!J113*1000</f>
        <v>725.11002535998261</v>
      </c>
      <c r="AB113" s="41">
        <f>I113/'1. Väestöennuste'!K113*1000</f>
        <v>472.45046840824375</v>
      </c>
      <c r="AC113" s="41">
        <f>J113/'1. Väestöennuste'!L113*1000</f>
        <v>206.02969486611431</v>
      </c>
      <c r="AD113" s="41">
        <f>K113/'1. Väestöennuste'!M113*1000</f>
        <v>845.60210210428363</v>
      </c>
      <c r="AE113" s="41">
        <f>L113/'1. Väestöennuste'!N113*1000</f>
        <v>138.35999516039234</v>
      </c>
      <c r="AF113" s="41">
        <f>M113/'1. Väestöennuste'!O113*1000</f>
        <v>169.56474415068621</v>
      </c>
      <c r="AG113" s="41">
        <f>N113/'1. Väestöennuste'!P113*1000</f>
        <v>270.4024686461658</v>
      </c>
      <c r="AH113" s="41">
        <f>O113/'1. Väestöennuste'!Q113*1000</f>
        <v>305.38894034759034</v>
      </c>
      <c r="AI113" s="41">
        <f>P113/'1. Väestöennuste'!R113*1000</f>
        <v>424.56863573902848</v>
      </c>
    </row>
    <row r="114" spans="1:35" x14ac:dyDescent="0.2">
      <c r="A114" s="34">
        <v>286</v>
      </c>
      <c r="B114" s="88" t="s">
        <v>428</v>
      </c>
      <c r="C114" s="41" t="e">
        <f>'2. Toimintakate'!D114+'3. Verotulot'!G114+'4. Valtionosuudet'!#REF!</f>
        <v>#REF!</v>
      </c>
      <c r="D114" s="41">
        <f>'2. Toimintakate'!E114+'3. Verotulot'!L114+'4. Valtionosuudet'!H114</f>
        <v>17880</v>
      </c>
      <c r="E114" s="41">
        <f>'2. Toimintakate'!F114+'3. Verotulot'!Q114+'4. Valtionosuudet'!N114</f>
        <v>14146</v>
      </c>
      <c r="F114" s="41">
        <f>'2. Toimintakate'!G114+'3. Verotulot'!V114+'4. Valtionosuudet'!T114</f>
        <v>-12076</v>
      </c>
      <c r="G114" s="41">
        <f>'2. Toimintakate'!H114+'3. Verotulot'!AA114+'4. Valtionosuudet'!Z114</f>
        <v>-12748</v>
      </c>
      <c r="H114" s="41">
        <f>'2. Toimintakate'!I114+'3. Verotulot'!AF114+'4. Valtionosuudet'!AG114</f>
        <v>46595.030822256143</v>
      </c>
      <c r="I114" s="41">
        <f>'2. Toimintakate'!J114+'3. Verotulot'!AK114+'4. Valtionosuudet'!AN114</f>
        <v>16241.603311116633</v>
      </c>
      <c r="J114" s="41">
        <f>'2. Toimintakate'!K114+'3. Verotulot'!AP114+'4. Valtionosuudet'!AU114</f>
        <v>-3506.4929757839709</v>
      </c>
      <c r="K114" s="41">
        <f>'2. Toimintakate'!L114+'3. Verotulot'!AU114+'4. Valtionosuudet'!BC114</f>
        <v>44136.851127572285</v>
      </c>
      <c r="L114" s="41">
        <f>'2. Toimintakate'!M114+'3. Verotulot'!AZ114+'4. Valtionosuudet'!BK114</f>
        <v>13364.461501437334</v>
      </c>
      <c r="M114" s="41">
        <f>'2. Toimintakate'!N114+'3. Verotulot'!BE114+'4. Valtionosuudet'!BQ114</f>
        <v>-2053.8416339192454</v>
      </c>
      <c r="N114" s="41">
        <f>'2. Toimintakate'!O114+'3. Verotulot'!BJ114+'4. Valtionosuudet'!BY114</f>
        <v>3639.0030674633854</v>
      </c>
      <c r="O114" s="41">
        <f>'2. Toimintakate'!P114+'3. Verotulot'!BO114+'4. Valtionosuudet'!CE114</f>
        <v>6356.1590882513883</v>
      </c>
      <c r="P114" s="41">
        <f>'2. Toimintakate'!Q114+'3. Verotulot'!BT114+'4. Valtionosuudet'!CK114</f>
        <v>15155.702170126595</v>
      </c>
      <c r="T114" s="34">
        <v>286</v>
      </c>
      <c r="U114" s="88" t="s">
        <v>428</v>
      </c>
      <c r="V114" s="41" t="e">
        <f>C114/'1. Väestöennuste'!E114*1000</f>
        <v>#REF!</v>
      </c>
      <c r="W114" s="41">
        <f>D114/'1. Väestöennuste'!F114*1000</f>
        <v>209.59838698333061</v>
      </c>
      <c r="X114" s="41">
        <f>E114/'1. Väestöennuste'!G114*1000</f>
        <v>168.01273219630386</v>
      </c>
      <c r="Y114" s="41">
        <f>F114/'1. Väestöennuste'!H114*1000</f>
        <v>-145.1843658703728</v>
      </c>
      <c r="Z114" s="41">
        <f>G114/'1. Väestöennuste'!I114*1000</f>
        <v>-155.24947328681208</v>
      </c>
      <c r="AA114" s="41">
        <f>H114/'1. Väestöennuste'!J114*1000</f>
        <v>573.9223129596628</v>
      </c>
      <c r="AB114" s="41">
        <f>I114/'1. Väestöennuste'!K114*1000</f>
        <v>201.87440414543258</v>
      </c>
      <c r="AC114" s="41">
        <f>J114/'1. Väestöennuste'!L114*1000</f>
        <v>-44.14625610021492</v>
      </c>
      <c r="AD114" s="41">
        <f>K114/'1. Väestöennuste'!M114*1000</f>
        <v>559.54425871668718</v>
      </c>
      <c r="AE114" s="41">
        <f>L114/'1. Väestöennuste'!N114*1000</f>
        <v>171.52396813796057</v>
      </c>
      <c r="AF114" s="41">
        <f>M114/'1. Väestöennuste'!O114*1000</f>
        <v>-26.623133500800382</v>
      </c>
      <c r="AG114" s="41">
        <f>N114/'1. Väestöennuste'!P114*1000</f>
        <v>47.636541836909913</v>
      </c>
      <c r="AH114" s="41">
        <f>O114/'1. Väestöennuste'!Q114*1000</f>
        <v>84.010614576605406</v>
      </c>
      <c r="AI114" s="41">
        <f>P114/'1. Väestöennuste'!R114*1000</f>
        <v>202.20544041688805</v>
      </c>
    </row>
    <row r="115" spans="1:35" x14ac:dyDescent="0.2">
      <c r="A115" s="34">
        <v>287</v>
      </c>
      <c r="B115" s="88" t="s">
        <v>429</v>
      </c>
      <c r="C115" s="41" t="e">
        <f>'2. Toimintakate'!D115+'3. Verotulot'!G115+'4. Valtionosuudet'!#REF!</f>
        <v>#REF!</v>
      </c>
      <c r="D115" s="41">
        <f>'2. Toimintakate'!E115+'3. Verotulot'!L115+'4. Valtionosuudet'!H115</f>
        <v>8466</v>
      </c>
      <c r="E115" s="41">
        <f>'2. Toimintakate'!F115+'3. Verotulot'!Q115+'4. Valtionosuudet'!N115</f>
        <v>5911</v>
      </c>
      <c r="F115" s="41">
        <f>'2. Toimintakate'!G115+'3. Verotulot'!V115+'4. Valtionosuudet'!T115</f>
        <v>3137</v>
      </c>
      <c r="G115" s="41">
        <f>'2. Toimintakate'!H115+'3. Verotulot'!AA115+'4. Valtionosuudet'!Z115</f>
        <v>1210</v>
      </c>
      <c r="H115" s="41">
        <f>'2. Toimintakate'!I115+'3. Verotulot'!AF115+'4. Valtionosuudet'!AG115</f>
        <v>3963.8489743163736</v>
      </c>
      <c r="I115" s="41">
        <f>'2. Toimintakate'!J115+'3. Verotulot'!AK115+'4. Valtionosuudet'!AN115</f>
        <v>3926.139968319043</v>
      </c>
      <c r="J115" s="41">
        <f>'2. Toimintakate'!K115+'3. Verotulot'!AP115+'4. Valtionosuudet'!AU115</f>
        <v>2496.9163542310598</v>
      </c>
      <c r="K115" s="41">
        <f>'2. Toimintakate'!L115+'3. Verotulot'!AU115+'4. Valtionosuudet'!BC115</f>
        <v>5740.36957320078</v>
      </c>
      <c r="L115" s="41">
        <f>'2. Toimintakate'!M115+'3. Verotulot'!AZ115+'4. Valtionosuudet'!BK115</f>
        <v>4580.8826998170898</v>
      </c>
      <c r="M115" s="41">
        <f>'2. Toimintakate'!N115+'3. Verotulot'!BE115+'4. Valtionosuudet'!BQ115</f>
        <v>4141.6357791795508</v>
      </c>
      <c r="N115" s="41">
        <f>'2. Toimintakate'!O115+'3. Verotulot'!BJ115+'4. Valtionosuudet'!BY115</f>
        <v>4454.1239040590117</v>
      </c>
      <c r="O115" s="41">
        <f>'2. Toimintakate'!P115+'3. Verotulot'!BO115+'4. Valtionosuudet'!CE115</f>
        <v>4332.7301965862825</v>
      </c>
      <c r="P115" s="41">
        <f>'2. Toimintakate'!Q115+'3. Verotulot'!BT115+'4. Valtionosuudet'!CK115</f>
        <v>4932.5424637117831</v>
      </c>
      <c r="T115" s="34">
        <v>287</v>
      </c>
      <c r="U115" s="88" t="s">
        <v>429</v>
      </c>
      <c r="V115" s="41" t="e">
        <f>C115/'1. Väestöennuste'!E115*1000</f>
        <v>#REF!</v>
      </c>
      <c r="W115" s="41">
        <f>D115/'1. Väestöennuste'!F115*1000</f>
        <v>1258.5104801546008</v>
      </c>
      <c r="X115" s="41">
        <f>E115/'1. Väestöennuste'!G115*1000</f>
        <v>890.47905995781866</v>
      </c>
      <c r="Y115" s="41">
        <f>F115/'1. Väestöennuste'!H115*1000</f>
        <v>475.59126743480897</v>
      </c>
      <c r="Z115" s="41">
        <f>G115/'1. Väestöennuste'!I115*1000</f>
        <v>186.55565834104223</v>
      </c>
      <c r="AA115" s="41">
        <f>H115/'1. Väestöennuste'!J115*1000</f>
        <v>618.96454939356238</v>
      </c>
      <c r="AB115" s="41">
        <f>I115/'1. Väestöennuste'!K115*1000</f>
        <v>615.38244017539853</v>
      </c>
      <c r="AC115" s="41">
        <f>J115/'1. Väestöennuste'!L115*1000</f>
        <v>400.01864053685676</v>
      </c>
      <c r="AD115" s="41">
        <f>K115/'1. Väestöennuste'!M115*1000</f>
        <v>926.01541751908042</v>
      </c>
      <c r="AE115" s="41">
        <f>L115/'1. Väestöennuste'!N115*1000</f>
        <v>749.85802910739733</v>
      </c>
      <c r="AF115" s="41">
        <f>M115/'1. Väestöennuste'!O115*1000</f>
        <v>684.90752094915672</v>
      </c>
      <c r="AG115" s="41">
        <f>N115/'1. Väestöennuste'!P115*1000</f>
        <v>743.84166734452424</v>
      </c>
      <c r="AH115" s="41">
        <f>O115/'1. Väestöennuste'!Q115*1000</f>
        <v>730.52271060298131</v>
      </c>
      <c r="AI115" s="41">
        <f>P115/'1. Väestöennuste'!R115*1000</f>
        <v>839.7246278024827</v>
      </c>
    </row>
    <row r="116" spans="1:35" x14ac:dyDescent="0.2">
      <c r="A116" s="34">
        <v>288</v>
      </c>
      <c r="B116" s="88" t="s">
        <v>430</v>
      </c>
      <c r="C116" s="41" t="e">
        <f>'2. Toimintakate'!D116+'3. Verotulot'!G116+'4. Valtionosuudet'!#REF!</f>
        <v>#REF!</v>
      </c>
      <c r="D116" s="41">
        <f>'2. Toimintakate'!E116+'3. Verotulot'!L116+'4. Valtionosuudet'!H116</f>
        <v>1196</v>
      </c>
      <c r="E116" s="41">
        <f>'2. Toimintakate'!F116+'3. Verotulot'!Q116+'4. Valtionosuudet'!N116</f>
        <v>2025</v>
      </c>
      <c r="F116" s="41">
        <f>'2. Toimintakate'!G116+'3. Verotulot'!V116+'4. Valtionosuudet'!T116</f>
        <v>1413</v>
      </c>
      <c r="G116" s="41">
        <f>'2. Toimintakate'!H116+'3. Verotulot'!AA116+'4. Valtionosuudet'!Z116</f>
        <v>1808</v>
      </c>
      <c r="H116" s="41">
        <f>'2. Toimintakate'!I116+'3. Verotulot'!AF116+'4. Valtionosuudet'!AG116</f>
        <v>4887.2142681834557</v>
      </c>
      <c r="I116" s="41">
        <f>'2. Toimintakate'!J116+'3. Verotulot'!AK116+'4. Valtionosuudet'!AN116</f>
        <v>4302.7078166632127</v>
      </c>
      <c r="J116" s="41">
        <f>'2. Toimintakate'!K116+'3. Verotulot'!AP116+'4. Valtionosuudet'!AU116</f>
        <v>4950.9553796024375</v>
      </c>
      <c r="K116" s="41">
        <f>'2. Toimintakate'!L116+'3. Verotulot'!AU116+'4. Valtionosuudet'!BC116</f>
        <v>4935.7045196642557</v>
      </c>
      <c r="L116" s="41">
        <f>'2. Toimintakate'!M116+'3. Verotulot'!AZ116+'4. Valtionosuudet'!BK116</f>
        <v>4039.3909728723656</v>
      </c>
      <c r="M116" s="41">
        <f>'2. Toimintakate'!N116+'3. Verotulot'!BE116+'4. Valtionosuudet'!BQ116</f>
        <v>4334.5673662367808</v>
      </c>
      <c r="N116" s="41">
        <f>'2. Toimintakate'!O116+'3. Verotulot'!BJ116+'4. Valtionosuudet'!BY116</f>
        <v>4329.9443536103072</v>
      </c>
      <c r="O116" s="41">
        <f>'2. Toimintakate'!P116+'3. Verotulot'!BO116+'4. Valtionosuudet'!CE116</f>
        <v>4656.5312369473468</v>
      </c>
      <c r="P116" s="41">
        <f>'2. Toimintakate'!Q116+'3. Verotulot'!BT116+'4. Valtionosuudet'!CK116</f>
        <v>5211.5599855056171</v>
      </c>
      <c r="T116" s="34">
        <v>288</v>
      </c>
      <c r="U116" s="88" t="s">
        <v>430</v>
      </c>
      <c r="V116" s="41" t="e">
        <f>C116/'1. Väestöennuste'!E116*1000</f>
        <v>#REF!</v>
      </c>
      <c r="W116" s="41">
        <f>D116/'1. Väestöennuste'!F116*1000</f>
        <v>180.66465256797585</v>
      </c>
      <c r="X116" s="41">
        <f>E116/'1. Väestöennuste'!G116*1000</f>
        <v>310.05971520440971</v>
      </c>
      <c r="Y116" s="41">
        <f>F116/'1. Väestöennuste'!H116*1000</f>
        <v>217.08403748655709</v>
      </c>
      <c r="Z116" s="41">
        <f>G116/'1. Väestöennuste'!I116*1000</f>
        <v>281.26944617299313</v>
      </c>
      <c r="AA116" s="41">
        <f>H116/'1. Väestöennuste'!J116*1000</f>
        <v>761.72292209841885</v>
      </c>
      <c r="AB116" s="41">
        <f>I116/'1. Väestöennuste'!K116*1000</f>
        <v>667.91490479093648</v>
      </c>
      <c r="AC116" s="41">
        <f>J116/'1. Väestöennuste'!L116*1000</f>
        <v>772.98288518383094</v>
      </c>
      <c r="AD116" s="41">
        <f>K116/'1. Väestöennuste'!M116*1000</f>
        <v>775.07922733421094</v>
      </c>
      <c r="AE116" s="41">
        <f>L116/'1. Väestöennuste'!N116*1000</f>
        <v>649.00240566715388</v>
      </c>
      <c r="AF116" s="41">
        <f>M116/'1. Väestöennuste'!O116*1000</f>
        <v>701.72694936648554</v>
      </c>
      <c r="AG116" s="41">
        <f>N116/'1. Väestöennuste'!P116*1000</f>
        <v>706.23786553748278</v>
      </c>
      <c r="AH116" s="41">
        <f>O116/'1. Väestöennuste'!Q116*1000</f>
        <v>765.3733131077164</v>
      </c>
      <c r="AI116" s="41">
        <f>P116/'1. Väestöennuste'!R116*1000</f>
        <v>863.41285379483384</v>
      </c>
    </row>
    <row r="117" spans="1:35" x14ac:dyDescent="0.2">
      <c r="A117" s="34">
        <v>290</v>
      </c>
      <c r="B117" s="88" t="s">
        <v>431</v>
      </c>
      <c r="C117" s="41" t="e">
        <f>'2. Toimintakate'!D117+'3. Verotulot'!G117+'4. Valtionosuudet'!#REF!</f>
        <v>#REF!</v>
      </c>
      <c r="D117" s="41">
        <f>'2. Toimintakate'!E117+'3. Verotulot'!L117+'4. Valtionosuudet'!H117</f>
        <v>1311</v>
      </c>
      <c r="E117" s="41">
        <f>'2. Toimintakate'!F117+'3. Verotulot'!Q117+'4. Valtionosuudet'!N117</f>
        <v>1670</v>
      </c>
      <c r="F117" s="41">
        <f>'2. Toimintakate'!G117+'3. Verotulot'!V117+'4. Valtionosuudet'!T117</f>
        <v>-458</v>
      </c>
      <c r="G117" s="41">
        <f>'2. Toimintakate'!H117+'3. Verotulot'!AA117+'4. Valtionosuudet'!Z117</f>
        <v>-83</v>
      </c>
      <c r="H117" s="41">
        <f>'2. Toimintakate'!I117+'3. Verotulot'!AF117+'4. Valtionosuudet'!AG117</f>
        <v>1949.9647152747712</v>
      </c>
      <c r="I117" s="41">
        <f>'2. Toimintakate'!J117+'3. Verotulot'!AK117+'4. Valtionosuudet'!AN117</f>
        <v>5316.8653555013734</v>
      </c>
      <c r="J117" s="41">
        <f>'2. Toimintakate'!K117+'3. Verotulot'!AP117+'4. Valtionosuudet'!AU117</f>
        <v>4233.5297247838753</v>
      </c>
      <c r="K117" s="41">
        <f>'2. Toimintakate'!L117+'3. Verotulot'!AU117+'4. Valtionosuudet'!BC117</f>
        <v>3590.952398953048</v>
      </c>
      <c r="L117" s="41">
        <f>'2. Toimintakate'!M117+'3. Verotulot'!AZ117+'4. Valtionosuudet'!BK117</f>
        <v>3190.8789708681124</v>
      </c>
      <c r="M117" s="41">
        <f>'2. Toimintakate'!N117+'3. Verotulot'!BE117+'4. Valtionosuudet'!BQ117</f>
        <v>1476.3173685295915</v>
      </c>
      <c r="N117" s="41">
        <f>'2. Toimintakate'!O117+'3. Verotulot'!BJ117+'4. Valtionosuudet'!BY117</f>
        <v>1724.2343814345022</v>
      </c>
      <c r="O117" s="41">
        <f>'2. Toimintakate'!P117+'3. Verotulot'!BO117+'4. Valtionosuudet'!CE117</f>
        <v>1332.630242601952</v>
      </c>
      <c r="P117" s="41">
        <f>'2. Toimintakate'!Q117+'3. Verotulot'!BT117+'4. Valtionosuudet'!CK117</f>
        <v>2570.6994865107645</v>
      </c>
      <c r="T117" s="34">
        <v>290</v>
      </c>
      <c r="U117" s="88" t="s">
        <v>431</v>
      </c>
      <c r="V117" s="41" t="e">
        <f>C117/'1. Väestöennuste'!E117*1000</f>
        <v>#REF!</v>
      </c>
      <c r="W117" s="41">
        <f>D117/'1. Väestöennuste'!F117*1000</f>
        <v>151.61327628079101</v>
      </c>
      <c r="X117" s="41">
        <f>E117/'1. Väestöennuste'!G117*1000</f>
        <v>196.49370514178139</v>
      </c>
      <c r="Y117" s="41">
        <f>F117/'1. Väestöennuste'!H117*1000</f>
        <v>-54.98859406891583</v>
      </c>
      <c r="Z117" s="41">
        <f>G117/'1. Väestöennuste'!I117*1000</f>
        <v>-10.134310134310136</v>
      </c>
      <c r="AA117" s="41">
        <f>H117/'1. Väestöennuste'!J117*1000</f>
        <v>242.47260821621128</v>
      </c>
      <c r="AB117" s="41">
        <f>I117/'1. Väestöennuste'!K117*1000</f>
        <v>670.64396512378573</v>
      </c>
      <c r="AC117" s="41">
        <f>J117/'1. Väestöennuste'!L117*1000</f>
        <v>545.90970016555457</v>
      </c>
      <c r="AD117" s="41">
        <f>K117/'1. Väestöennuste'!M117*1000</f>
        <v>473.61545752480191</v>
      </c>
      <c r="AE117" s="41">
        <f>L117/'1. Väestöennuste'!N117*1000</f>
        <v>426.75925783979034</v>
      </c>
      <c r="AF117" s="41">
        <f>M117/'1. Väestöennuste'!O117*1000</f>
        <v>200.94152287050383</v>
      </c>
      <c r="AG117" s="41">
        <f>N117/'1. Väestöennuste'!P117*1000</f>
        <v>238.91289752452573</v>
      </c>
      <c r="AH117" s="41">
        <f>O117/'1. Väestöennuste'!Q117*1000</f>
        <v>187.9591315376519</v>
      </c>
      <c r="AI117" s="41">
        <f>P117/'1. Väestöennuste'!R117*1000</f>
        <v>368.98227163926572</v>
      </c>
    </row>
    <row r="118" spans="1:35" x14ac:dyDescent="0.2">
      <c r="A118" s="34">
        <v>291</v>
      </c>
      <c r="B118" s="88" t="s">
        <v>432</v>
      </c>
      <c r="C118" s="41" t="e">
        <f>'2. Toimintakate'!D118+'3. Verotulot'!G118+'4. Valtionosuudet'!#REF!</f>
        <v>#REF!</v>
      </c>
      <c r="D118" s="41">
        <f>'2. Toimintakate'!E118+'3. Verotulot'!L118+'4. Valtionosuudet'!H118</f>
        <v>1698</v>
      </c>
      <c r="E118" s="41">
        <f>'2. Toimintakate'!F118+'3. Verotulot'!Q118+'4. Valtionosuudet'!N118</f>
        <v>2263</v>
      </c>
      <c r="F118" s="41">
        <f>'2. Toimintakate'!G118+'3. Verotulot'!V118+'4. Valtionosuudet'!T118</f>
        <v>1105</v>
      </c>
      <c r="G118" s="41">
        <f>'2. Toimintakate'!H118+'3. Verotulot'!AA118+'4. Valtionosuudet'!Z118</f>
        <v>679</v>
      </c>
      <c r="H118" s="41">
        <f>'2. Toimintakate'!I118+'3. Verotulot'!AF118+'4. Valtionosuudet'!AG118</f>
        <v>2121.1663616522274</v>
      </c>
      <c r="I118" s="41">
        <f>'2. Toimintakate'!J118+'3. Verotulot'!AK118+'4. Valtionosuudet'!AN118</f>
        <v>1864.93607249452</v>
      </c>
      <c r="J118" s="41">
        <f>'2. Toimintakate'!K118+'3. Verotulot'!AP118+'4. Valtionosuudet'!AU118</f>
        <v>908.46694265809674</v>
      </c>
      <c r="K118" s="41">
        <f>'2. Toimintakate'!L118+'3. Verotulot'!AU118+'4. Valtionosuudet'!BC118</f>
        <v>1565.1910388158703</v>
      </c>
      <c r="L118" s="41">
        <f>'2. Toimintakate'!M118+'3. Verotulot'!AZ118+'4. Valtionosuudet'!BK118</f>
        <v>1987.7521028257829</v>
      </c>
      <c r="M118" s="41">
        <f>'2. Toimintakate'!N118+'3. Verotulot'!BE118+'4. Valtionosuudet'!BQ118</f>
        <v>1176.3541701126287</v>
      </c>
      <c r="N118" s="41">
        <f>'2. Toimintakate'!O118+'3. Verotulot'!BJ118+'4. Valtionosuudet'!BY118</f>
        <v>977.80955193195996</v>
      </c>
      <c r="O118" s="41">
        <f>'2. Toimintakate'!P118+'3. Verotulot'!BO118+'4. Valtionosuudet'!CE118</f>
        <v>778.85132220952892</v>
      </c>
      <c r="P118" s="41">
        <f>'2. Toimintakate'!Q118+'3. Verotulot'!BT118+'4. Valtionosuudet'!CK118</f>
        <v>937.17516691898163</v>
      </c>
      <c r="T118" s="34">
        <v>291</v>
      </c>
      <c r="U118" s="88" t="s">
        <v>432</v>
      </c>
      <c r="V118" s="41" t="e">
        <f>C118/'1. Väestöennuste'!E118*1000</f>
        <v>#REF!</v>
      </c>
      <c r="W118" s="41">
        <f>D118/'1. Väestöennuste'!F118*1000</f>
        <v>742.78215223097106</v>
      </c>
      <c r="X118" s="41">
        <f>E118/'1. Väestöennuste'!G118*1000</f>
        <v>1004.8845470692718</v>
      </c>
      <c r="Y118" s="41">
        <f>F118/'1. Väestöennuste'!H118*1000</f>
        <v>493.74441465594282</v>
      </c>
      <c r="Z118" s="41">
        <f>G118/'1. Väestöennuste'!I118*1000</f>
        <v>307.79691749773349</v>
      </c>
      <c r="AA118" s="41">
        <f>H118/'1. Väestöennuste'!J118*1000</f>
        <v>981.56703454522324</v>
      </c>
      <c r="AB118" s="41">
        <f>I118/'1. Väestöennuste'!K118*1000</f>
        <v>864.19651181395739</v>
      </c>
      <c r="AC118" s="41">
        <f>J118/'1. Väestöennuste'!L118*1000</f>
        <v>428.72437124025333</v>
      </c>
      <c r="AD118" s="41">
        <f>K118/'1. Väestöennuste'!M118*1000</f>
        <v>748.17927285653468</v>
      </c>
      <c r="AE118" s="41">
        <f>L118/'1. Väestöennuste'!N118*1000</f>
        <v>973.43393870018758</v>
      </c>
      <c r="AF118" s="41">
        <f>M118/'1. Väestöennuste'!O118*1000</f>
        <v>583.79859558939393</v>
      </c>
      <c r="AG118" s="41">
        <f>N118/'1. Väestöennuste'!P118*1000</f>
        <v>491.60862339465058</v>
      </c>
      <c r="AH118" s="41">
        <f>O118/'1. Väestöennuste'!Q118*1000</f>
        <v>395.95898434648143</v>
      </c>
      <c r="AI118" s="41">
        <f>P118/'1. Väestöennuste'!R118*1000</f>
        <v>481.59052770759592</v>
      </c>
    </row>
    <row r="119" spans="1:35" x14ac:dyDescent="0.2">
      <c r="A119" s="34">
        <v>297</v>
      </c>
      <c r="B119" s="88" t="s">
        <v>433</v>
      </c>
      <c r="C119" s="41" t="e">
        <f>'2. Toimintakate'!D119+'3. Verotulot'!G119+'4. Valtionosuudet'!#REF!</f>
        <v>#REF!</v>
      </c>
      <c r="D119" s="41">
        <f>'2. Toimintakate'!E119+'3. Verotulot'!L119+'4. Valtionosuudet'!H119</f>
        <v>37758</v>
      </c>
      <c r="E119" s="41">
        <f>'2. Toimintakate'!F119+'3. Verotulot'!Q119+'4. Valtionosuudet'!N119</f>
        <v>50937</v>
      </c>
      <c r="F119" s="41">
        <f>'2. Toimintakate'!G119+'3. Verotulot'!V119+'4. Valtionosuudet'!T119</f>
        <v>18407</v>
      </c>
      <c r="G119" s="41">
        <f>'2. Toimintakate'!H119+'3. Verotulot'!AA119+'4. Valtionosuudet'!Z119</f>
        <v>7281</v>
      </c>
      <c r="H119" s="41">
        <f>'2. Toimintakate'!I119+'3. Verotulot'!AF119+'4. Valtionosuudet'!AG119</f>
        <v>45205.871973257512</v>
      </c>
      <c r="I119" s="41">
        <f>'2. Toimintakate'!J119+'3. Verotulot'!AK119+'4. Valtionosuudet'!AN119</f>
        <v>49415.360756251146</v>
      </c>
      <c r="J119" s="41">
        <f>'2. Toimintakate'!K119+'3. Verotulot'!AP119+'4. Valtionosuudet'!AU119</f>
        <v>31297.935450216319</v>
      </c>
      <c r="K119" s="41">
        <f>'2. Toimintakate'!L119+'3. Verotulot'!AU119+'4. Valtionosuudet'!BC119</f>
        <v>51325.914259503254</v>
      </c>
      <c r="L119" s="41">
        <f>'2. Toimintakate'!M119+'3. Verotulot'!AZ119+'4. Valtionosuudet'!BK119</f>
        <v>35784.12726787768</v>
      </c>
      <c r="M119" s="41">
        <f>'2. Toimintakate'!N119+'3. Verotulot'!BE119+'4. Valtionosuudet'!BQ119</f>
        <v>13495.310351526707</v>
      </c>
      <c r="N119" s="41">
        <f>'2. Toimintakate'!O119+'3. Verotulot'!BJ119+'4. Valtionosuudet'!BY119</f>
        <v>21348.542572967817</v>
      </c>
      <c r="O119" s="41">
        <f>'2. Toimintakate'!P119+'3. Verotulot'!BO119+'4. Valtionosuudet'!CE119</f>
        <v>25148.166711279468</v>
      </c>
      <c r="P119" s="41">
        <f>'2. Toimintakate'!Q119+'3. Verotulot'!BT119+'4. Valtionosuudet'!CK119</f>
        <v>32634.767007250462</v>
      </c>
      <c r="T119" s="34">
        <v>297</v>
      </c>
      <c r="U119" s="88" t="s">
        <v>433</v>
      </c>
      <c r="V119" s="41" t="e">
        <f>C119/'1. Väestöennuste'!E119*1000</f>
        <v>#REF!</v>
      </c>
      <c r="W119" s="41">
        <f>D119/'1. Väestöennuste'!F119*1000</f>
        <v>320.68965517241378</v>
      </c>
      <c r="X119" s="41">
        <f>E119/'1. Väestöennuste'!G119*1000</f>
        <v>430.9062761718651</v>
      </c>
      <c r="Y119" s="41">
        <f>F119/'1. Väestöennuste'!H119*1000</f>
        <v>155.11865435178319</v>
      </c>
      <c r="Z119" s="41">
        <f>G119/'1. Väestöennuste'!I119*1000</f>
        <v>61.040224006975073</v>
      </c>
      <c r="AA119" s="41">
        <f>H119/'1. Väestöennuste'!J119*1000</f>
        <v>376.05749915362708</v>
      </c>
      <c r="AB119" s="41">
        <f>I119/'1. Väestöennuste'!K119*1000</f>
        <v>406.56690024313326</v>
      </c>
      <c r="AC119" s="41">
        <f>J119/'1. Väestöennuste'!L119*1000</f>
        <v>255.29744889812162</v>
      </c>
      <c r="AD119" s="41">
        <f>K119/'1. Väestöennuste'!M119*1000</f>
        <v>413.84857612423099</v>
      </c>
      <c r="AE119" s="41">
        <f>L119/'1. Väestöennuste'!N119*1000</f>
        <v>291.46577234308586</v>
      </c>
      <c r="AF119" s="41">
        <f>M119/'1. Väestöennuste'!O119*1000</f>
        <v>109.4643334673862</v>
      </c>
      <c r="AG119" s="41">
        <f>N119/'1. Väestöennuste'!P119*1000</f>
        <v>172.48699248574212</v>
      </c>
      <c r="AH119" s="41">
        <f>O119/'1. Väestöennuste'!Q119*1000</f>
        <v>202.44046457057328</v>
      </c>
      <c r="AI119" s="41">
        <f>P119/'1. Väestöennuste'!R119*1000</f>
        <v>261.80910708498499</v>
      </c>
    </row>
    <row r="120" spans="1:35" x14ac:dyDescent="0.2">
      <c r="A120" s="34">
        <v>300</v>
      </c>
      <c r="B120" s="88" t="s">
        <v>434</v>
      </c>
      <c r="C120" s="41" t="e">
        <f>'2. Toimintakate'!D120+'3. Verotulot'!G120+'4. Valtionosuudet'!#REF!</f>
        <v>#REF!</v>
      </c>
      <c r="D120" s="41">
        <f>'2. Toimintakate'!E120+'3. Verotulot'!L120+'4. Valtionosuudet'!H120</f>
        <v>2155</v>
      </c>
      <c r="E120" s="41">
        <f>'2. Toimintakate'!F120+'3. Verotulot'!Q120+'4. Valtionosuudet'!N120</f>
        <v>2305</v>
      </c>
      <c r="F120" s="41">
        <f>'2. Toimintakate'!G120+'3. Verotulot'!V120+'4. Valtionosuudet'!T120</f>
        <v>1280</v>
      </c>
      <c r="G120" s="41">
        <f>'2. Toimintakate'!H120+'3. Verotulot'!AA120+'4. Valtionosuudet'!Z120</f>
        <v>933</v>
      </c>
      <c r="H120" s="41">
        <f>'2. Toimintakate'!I120+'3. Verotulot'!AF120+'4. Valtionosuudet'!AG120</f>
        <v>2651.4892056585486</v>
      </c>
      <c r="I120" s="41">
        <f>'2. Toimintakate'!J120+'3. Verotulot'!AK120+'4. Valtionosuudet'!AN120</f>
        <v>1397.7483445741273</v>
      </c>
      <c r="J120" s="41">
        <f>'2. Toimintakate'!K120+'3. Verotulot'!AP120+'4. Valtionosuudet'!AU120</f>
        <v>2705.604192267956</v>
      </c>
      <c r="K120" s="41">
        <f>'2. Toimintakate'!L120+'3. Verotulot'!AU120+'4. Valtionosuudet'!BC120</f>
        <v>2549.2023400083326</v>
      </c>
      <c r="L120" s="41">
        <f>'2. Toimintakate'!M120+'3. Verotulot'!AZ120+'4. Valtionosuudet'!BK120</f>
        <v>2120.3554717406396</v>
      </c>
      <c r="M120" s="41">
        <f>'2. Toimintakate'!N120+'3. Verotulot'!BE120+'4. Valtionosuudet'!BQ120</f>
        <v>1260.6279814870113</v>
      </c>
      <c r="N120" s="41">
        <f>'2. Toimintakate'!O120+'3. Verotulot'!BJ120+'4. Valtionosuudet'!BY120</f>
        <v>1115.2668988152245</v>
      </c>
      <c r="O120" s="41">
        <f>'2. Toimintakate'!P120+'3. Verotulot'!BO120+'4. Valtionosuudet'!CE120</f>
        <v>723.08296163759496</v>
      </c>
      <c r="P120" s="41">
        <f>'2. Toimintakate'!Q120+'3. Verotulot'!BT120+'4. Valtionosuudet'!CK120</f>
        <v>936.19263942218913</v>
      </c>
      <c r="T120" s="34">
        <v>300</v>
      </c>
      <c r="U120" s="88" t="s">
        <v>434</v>
      </c>
      <c r="V120" s="41" t="e">
        <f>C120/'1. Väestöennuste'!E120*1000</f>
        <v>#REF!</v>
      </c>
      <c r="W120" s="41">
        <f>D120/'1. Väestöennuste'!F120*1000</f>
        <v>584.01084010840111</v>
      </c>
      <c r="X120" s="41">
        <f>E120/'1. Väestöennuste'!G120*1000</f>
        <v>633.76409128402531</v>
      </c>
      <c r="Y120" s="41">
        <f>F120/'1. Väestöennuste'!H120*1000</f>
        <v>358.34266517357224</v>
      </c>
      <c r="Z120" s="41">
        <f>G120/'1. Väestöennuste'!I120*1000</f>
        <v>262.74288932695015</v>
      </c>
      <c r="AA120" s="41">
        <f>H120/'1. Väestöennuste'!J120*1000</f>
        <v>750.27991105222088</v>
      </c>
      <c r="AB120" s="41">
        <f>I120/'1. Väestöennuste'!K120*1000</f>
        <v>396.18717249833543</v>
      </c>
      <c r="AC120" s="41">
        <f>J120/'1. Väestöennuste'!L120*1000</f>
        <v>787.19935765724642</v>
      </c>
      <c r="AD120" s="41">
        <f>K120/'1. Väestöennuste'!M120*1000</f>
        <v>753.97880508971684</v>
      </c>
      <c r="AE120" s="41">
        <f>L120/'1. Väestöennuste'!N120*1000</f>
        <v>626.02759720715665</v>
      </c>
      <c r="AF120" s="41">
        <f>M120/'1. Väestöennuste'!O120*1000</f>
        <v>375.8580743849169</v>
      </c>
      <c r="AG120" s="41">
        <f>N120/'1. Väestöennuste'!P120*1000</f>
        <v>336.0249770458646</v>
      </c>
      <c r="AH120" s="41">
        <f>O120/'1. Väestöennuste'!Q120*1000</f>
        <v>219.98264728858987</v>
      </c>
      <c r="AI120" s="41">
        <f>P120/'1. Väestöennuste'!R120*1000</f>
        <v>287.44017175995987</v>
      </c>
    </row>
    <row r="121" spans="1:35" x14ac:dyDescent="0.2">
      <c r="A121" s="34">
        <v>301</v>
      </c>
      <c r="B121" s="88" t="s">
        <v>435</v>
      </c>
      <c r="C121" s="41" t="e">
        <f>'2. Toimintakate'!D121+'3. Verotulot'!G121+'4. Valtionosuudet'!#REF!</f>
        <v>#REF!</v>
      </c>
      <c r="D121" s="41">
        <f>'2. Toimintakate'!E121+'3. Verotulot'!L121+'4. Valtionosuudet'!H121</f>
        <v>-4281</v>
      </c>
      <c r="E121" s="41">
        <f>'2. Toimintakate'!F121+'3. Verotulot'!Q121+'4. Valtionosuudet'!N121</f>
        <v>1335</v>
      </c>
      <c r="F121" s="41">
        <f>'2. Toimintakate'!G121+'3. Verotulot'!V121+'4. Valtionosuudet'!T121</f>
        <v>-1406</v>
      </c>
      <c r="G121" s="41">
        <f>'2. Toimintakate'!H121+'3. Verotulot'!AA121+'4. Valtionosuudet'!Z121</f>
        <v>-7093</v>
      </c>
      <c r="H121" s="41">
        <f>'2. Toimintakate'!I121+'3. Verotulot'!AF121+'4. Valtionosuudet'!AG121</f>
        <v>-981.23814006856992</v>
      </c>
      <c r="I121" s="41">
        <f>'2. Toimintakate'!J121+'3. Verotulot'!AK121+'4. Valtionosuudet'!AN121</f>
        <v>-9126.1891987094714</v>
      </c>
      <c r="J121" s="41">
        <f>'2. Toimintakate'!K121+'3. Verotulot'!AP121+'4. Valtionosuudet'!AU121</f>
        <v>-642.88820932067756</v>
      </c>
      <c r="K121" s="41">
        <f>'2. Toimintakate'!L121+'3. Verotulot'!AU121+'4. Valtionosuudet'!BC121</f>
        <v>3169.4671456060914</v>
      </c>
      <c r="L121" s="41">
        <f>'2. Toimintakate'!M121+'3. Verotulot'!AZ121+'4. Valtionosuudet'!BK121</f>
        <v>-4013.726744808464</v>
      </c>
      <c r="M121" s="41">
        <f>'2. Toimintakate'!N121+'3. Verotulot'!BE121+'4. Valtionosuudet'!BQ121</f>
        <v>-4159.7918389945316</v>
      </c>
      <c r="N121" s="41">
        <f>'2. Toimintakate'!O121+'3. Verotulot'!BJ121+'4. Valtionosuudet'!BY121</f>
        <v>-3613.1177094587547</v>
      </c>
      <c r="O121" s="41">
        <f>'2. Toimintakate'!P121+'3. Verotulot'!BO121+'4. Valtionosuudet'!CE121</f>
        <v>-3034.6114052867888</v>
      </c>
      <c r="P121" s="41">
        <f>'2. Toimintakate'!Q121+'3. Verotulot'!BT121+'4. Valtionosuudet'!CK121</f>
        <v>-554.3769034437446</v>
      </c>
      <c r="T121" s="34">
        <v>301</v>
      </c>
      <c r="U121" s="88" t="s">
        <v>435</v>
      </c>
      <c r="V121" s="41" t="e">
        <f>C121/'1. Väestöennuste'!E121*1000</f>
        <v>#REF!</v>
      </c>
      <c r="W121" s="41">
        <f>D121/'1. Väestöennuste'!F121*1000</f>
        <v>-199.10701827821961</v>
      </c>
      <c r="X121" s="41">
        <f>E121/'1. Väestöennuste'!G121*1000</f>
        <v>62.962788284676691</v>
      </c>
      <c r="Y121" s="41">
        <f>F121/'1. Väestöennuste'!H121*1000</f>
        <v>-67.105765559373808</v>
      </c>
      <c r="Z121" s="41">
        <f>G121/'1. Väestöennuste'!I121*1000</f>
        <v>-343.02156881710027</v>
      </c>
      <c r="AA121" s="41">
        <f>H121/'1. Väestöennuste'!J121*1000</f>
        <v>-47.968231329124457</v>
      </c>
      <c r="AB121" s="41">
        <f>I121/'1. Väestöennuste'!K121*1000</f>
        <v>-451.85865221119332</v>
      </c>
      <c r="AC121" s="41">
        <f>J121/'1. Väestöennuste'!L121*1000</f>
        <v>-32.32218246961677</v>
      </c>
      <c r="AD121" s="41">
        <f>K121/'1. Väestöennuste'!M121*1000</f>
        <v>160.40625262442896</v>
      </c>
      <c r="AE121" s="41">
        <f>L121/'1. Väestöennuste'!N121*1000</f>
        <v>-205.88493176755392</v>
      </c>
      <c r="AF121" s="41">
        <f>M121/'1. Väestöennuste'!O121*1000</f>
        <v>-215.88000617543887</v>
      </c>
      <c r="AG121" s="41">
        <f>N121/'1. Väestöennuste'!P121*1000</f>
        <v>-189.67492831428186</v>
      </c>
      <c r="AH121" s="41">
        <f>O121/'1. Väestöennuste'!Q121*1000</f>
        <v>-161.12410562210835</v>
      </c>
      <c r="AI121" s="41">
        <f>P121/'1. Väestöennuste'!R121*1000</f>
        <v>-29.769998036931831</v>
      </c>
    </row>
    <row r="122" spans="1:35" x14ac:dyDescent="0.2">
      <c r="A122" s="34">
        <v>304</v>
      </c>
      <c r="B122" s="88" t="s">
        <v>436</v>
      </c>
      <c r="C122" s="41" t="e">
        <f>'2. Toimintakate'!D122+'3. Verotulot'!G122+'4. Valtionosuudet'!#REF!</f>
        <v>#REF!</v>
      </c>
      <c r="D122" s="41">
        <f>'2. Toimintakate'!E122+'3. Verotulot'!L122+'4. Valtionosuudet'!H122</f>
        <v>766</v>
      </c>
      <c r="E122" s="41">
        <f>'2. Toimintakate'!F122+'3. Verotulot'!Q122+'4. Valtionosuudet'!N122</f>
        <v>949</v>
      </c>
      <c r="F122" s="41">
        <f>'2. Toimintakate'!G122+'3. Verotulot'!V122+'4. Valtionosuudet'!T122</f>
        <v>701</v>
      </c>
      <c r="G122" s="41">
        <f>'2. Toimintakate'!H122+'3. Verotulot'!AA122+'4. Valtionosuudet'!Z122</f>
        <v>423</v>
      </c>
      <c r="H122" s="41">
        <f>'2. Toimintakate'!I122+'3. Verotulot'!AF122+'4. Valtionosuudet'!AG122</f>
        <v>958.6841086969489</v>
      </c>
      <c r="I122" s="41">
        <f>'2. Toimintakate'!J122+'3. Verotulot'!AK122+'4. Valtionosuudet'!AN122</f>
        <v>129.40627171372716</v>
      </c>
      <c r="J122" s="41">
        <f>'2. Toimintakate'!K122+'3. Verotulot'!AP122+'4. Valtionosuudet'!AU122</f>
        <v>557.98162365155258</v>
      </c>
      <c r="K122" s="41">
        <f>'2. Toimintakate'!L122+'3. Verotulot'!AU122+'4. Valtionosuudet'!BC122</f>
        <v>151.58044007724266</v>
      </c>
      <c r="L122" s="41">
        <f>'2. Toimintakate'!M122+'3. Verotulot'!AZ122+'4. Valtionosuudet'!BK122</f>
        <v>473.83524932523176</v>
      </c>
      <c r="M122" s="41">
        <f>'2. Toimintakate'!N122+'3. Verotulot'!BE122+'4. Valtionosuudet'!BQ122</f>
        <v>154.79245769307357</v>
      </c>
      <c r="N122" s="41">
        <f>'2. Toimintakate'!O122+'3. Verotulot'!BJ122+'4. Valtionosuudet'!BY122</f>
        <v>164.64167590019707</v>
      </c>
      <c r="O122" s="41">
        <f>'2. Toimintakate'!P122+'3. Verotulot'!BO122+'4. Valtionosuudet'!CE122</f>
        <v>106.56199809600828</v>
      </c>
      <c r="P122" s="41">
        <f>'2. Toimintakate'!Q122+'3. Verotulot'!BT122+'4. Valtionosuudet'!CK122</f>
        <v>108.47702842567412</v>
      </c>
      <c r="T122" s="34">
        <v>304</v>
      </c>
      <c r="U122" s="88" t="s">
        <v>436</v>
      </c>
      <c r="V122" s="41" t="e">
        <f>C122/'1. Väestöennuste'!E122*1000</f>
        <v>#REF!</v>
      </c>
      <c r="W122" s="41">
        <f>D122/'1. Väestöennuste'!F122*1000</f>
        <v>843.61233480176213</v>
      </c>
      <c r="X122" s="41">
        <f>E122/'1. Väestöennuste'!G122*1000</f>
        <v>1028.1690140845069</v>
      </c>
      <c r="Y122" s="41">
        <f>F122/'1. Väestöennuste'!H122*1000</f>
        <v>757.01943844492439</v>
      </c>
      <c r="Z122" s="41">
        <f>G122/'1. Väestöennuste'!I122*1000</f>
        <v>445.73234984193886</v>
      </c>
      <c r="AA122" s="41">
        <f>H122/'1. Väestöennuste'!J122*1000</f>
        <v>996.55312754360591</v>
      </c>
      <c r="AB122" s="41">
        <f>I122/'1. Väestöennuste'!K122*1000</f>
        <v>133.27113461763867</v>
      </c>
      <c r="AC122" s="41">
        <f>J122/'1. Väestöennuste'!L122*1000</f>
        <v>587.34907752795004</v>
      </c>
      <c r="AD122" s="41">
        <f>K122/'1. Väestöennuste'!M122*1000</f>
        <v>159.72649112459712</v>
      </c>
      <c r="AE122" s="41">
        <f>L122/'1. Väestöennuste'!N122*1000</f>
        <v>462.27829202461635</v>
      </c>
      <c r="AF122" s="41">
        <f>M122/'1. Väestöennuste'!O122*1000</f>
        <v>149.26948668570259</v>
      </c>
      <c r="AG122" s="41">
        <f>N122/'1. Väestöennuste'!P122*1000</f>
        <v>156.80159609542579</v>
      </c>
      <c r="AH122" s="41">
        <f>O122/'1. Väestöennuste'!Q122*1000</f>
        <v>100.15225384963185</v>
      </c>
      <c r="AI122" s="41">
        <f>P122/'1. Väestöennuste'!R122*1000</f>
        <v>100.90886365178987</v>
      </c>
    </row>
    <row r="123" spans="1:35" x14ac:dyDescent="0.2">
      <c r="A123" s="34">
        <v>305</v>
      </c>
      <c r="B123" s="88" t="s">
        <v>437</v>
      </c>
      <c r="C123" s="41" t="e">
        <f>'2. Toimintakate'!D123+'3. Verotulot'!G123+'4. Valtionosuudet'!#REF!</f>
        <v>#REF!</v>
      </c>
      <c r="D123" s="41">
        <f>'2. Toimintakate'!E123+'3. Verotulot'!L123+'4. Valtionosuudet'!H123</f>
        <v>6885</v>
      </c>
      <c r="E123" s="41">
        <f>'2. Toimintakate'!F123+'3. Verotulot'!Q123+'4. Valtionosuudet'!N123</f>
        <v>7752</v>
      </c>
      <c r="F123" s="41">
        <f>'2. Toimintakate'!G123+'3. Verotulot'!V123+'4. Valtionosuudet'!T123</f>
        <v>3445</v>
      </c>
      <c r="G123" s="41">
        <f>'2. Toimintakate'!H123+'3. Verotulot'!AA123+'4. Valtionosuudet'!Z123</f>
        <v>2002</v>
      </c>
      <c r="H123" s="41">
        <f>'2. Toimintakate'!I123+'3. Verotulot'!AF123+'4. Valtionosuudet'!AG123</f>
        <v>8832.3154999061371</v>
      </c>
      <c r="I123" s="41">
        <f>'2. Toimintakate'!J123+'3. Verotulot'!AK123+'4. Valtionosuudet'!AN123</f>
        <v>8966.6593842529765</v>
      </c>
      <c r="J123" s="41">
        <f>'2. Toimintakate'!K123+'3. Verotulot'!AP123+'4. Valtionosuudet'!AU123</f>
        <v>10183.055322404638</v>
      </c>
      <c r="K123" s="41">
        <f>'2. Toimintakate'!L123+'3. Verotulot'!AU123+'4. Valtionosuudet'!BC123</f>
        <v>8779.6089089427369</v>
      </c>
      <c r="L123" s="41">
        <f>'2. Toimintakate'!M123+'3. Verotulot'!AZ123+'4. Valtionosuudet'!BK123</f>
        <v>2438.5504007254422</v>
      </c>
      <c r="M123" s="41">
        <f>'2. Toimintakate'!N123+'3. Verotulot'!BE123+'4. Valtionosuudet'!BQ123</f>
        <v>2370.4445128740663</v>
      </c>
      <c r="N123" s="41">
        <f>'2. Toimintakate'!O123+'3. Verotulot'!BJ123+'4. Valtionosuudet'!BY123</f>
        <v>1865.5698056311358</v>
      </c>
      <c r="O123" s="41">
        <f>'2. Toimintakate'!P123+'3. Verotulot'!BO123+'4. Valtionosuudet'!CE123</f>
        <v>1722.3716329527033</v>
      </c>
      <c r="P123" s="41">
        <f>'2. Toimintakate'!Q123+'3. Verotulot'!BT123+'4. Valtionosuudet'!CK123</f>
        <v>3552.919730343745</v>
      </c>
      <c r="T123" s="34">
        <v>305</v>
      </c>
      <c r="U123" s="88" t="s">
        <v>437</v>
      </c>
      <c r="V123" s="41" t="e">
        <f>C123/'1. Väestöennuste'!E123*1000</f>
        <v>#REF!</v>
      </c>
      <c r="W123" s="41">
        <f>D123/'1. Väestöennuste'!F123*1000</f>
        <v>443.24985514710619</v>
      </c>
      <c r="X123" s="41">
        <f>E123/'1. Väestöennuste'!G123*1000</f>
        <v>503.83465488106071</v>
      </c>
      <c r="Y123" s="41">
        <f>F123/'1. Väestöennuste'!H123*1000</f>
        <v>226.54040902216084</v>
      </c>
      <c r="Z123" s="41">
        <f>G123/'1. Väestöennuste'!I123*1000</f>
        <v>132.2849213691027</v>
      </c>
      <c r="AA123" s="41">
        <f>H123/'1. Väestöennuste'!J123*1000</f>
        <v>580.57684216828625</v>
      </c>
      <c r="AB123" s="41">
        <f>I123/'1. Väestöennuste'!K123*1000</f>
        <v>591.27328613603538</v>
      </c>
      <c r="AC123" s="41">
        <f>J123/'1. Väestöennuste'!L123*1000</f>
        <v>672.32637808032734</v>
      </c>
      <c r="AD123" s="41">
        <f>K123/'1. Väestöennuste'!M123*1000</f>
        <v>584.56680930439688</v>
      </c>
      <c r="AE123" s="41">
        <f>L123/'1. Väestöennuste'!N123*1000</f>
        <v>165.03454255044952</v>
      </c>
      <c r="AF123" s="41">
        <f>M123/'1. Väestöennuste'!O123*1000</f>
        <v>161.55145593089802</v>
      </c>
      <c r="AG123" s="41">
        <f>N123/'1. Väestöennuste'!P123*1000</f>
        <v>128.0067109668681</v>
      </c>
      <c r="AH123" s="41">
        <f>O123/'1. Väestöennuste'!Q123*1000</f>
        <v>118.99762560126456</v>
      </c>
      <c r="AI123" s="41">
        <f>P123/'1. Väestöennuste'!R123*1000</f>
        <v>247.17682832501356</v>
      </c>
    </row>
    <row r="124" spans="1:35" x14ac:dyDescent="0.2">
      <c r="A124" s="34">
        <v>309</v>
      </c>
      <c r="B124" s="88" t="s">
        <v>438</v>
      </c>
      <c r="C124" s="41" t="e">
        <f>'2. Toimintakate'!D124+'3. Verotulot'!G124+'4. Valtionosuudet'!#REF!</f>
        <v>#REF!</v>
      </c>
      <c r="D124" s="41">
        <f>'2. Toimintakate'!E124+'3. Verotulot'!L124+'4. Valtionosuudet'!H124</f>
        <v>2678</v>
      </c>
      <c r="E124" s="41">
        <f>'2. Toimintakate'!F124+'3. Verotulot'!Q124+'4. Valtionosuudet'!N124</f>
        <v>3757</v>
      </c>
      <c r="F124" s="41">
        <f>'2. Toimintakate'!G124+'3. Verotulot'!V124+'4. Valtionosuudet'!T124</f>
        <v>2067</v>
      </c>
      <c r="G124" s="41">
        <f>'2. Toimintakate'!H124+'3. Verotulot'!AA124+'4. Valtionosuudet'!Z124</f>
        <v>353</v>
      </c>
      <c r="H124" s="41">
        <f>'2. Toimintakate'!I124+'3. Verotulot'!AF124+'4. Valtionosuudet'!AG124</f>
        <v>1878.8228538820986</v>
      </c>
      <c r="I124" s="41">
        <f>'2. Toimintakate'!J124+'3. Verotulot'!AK124+'4. Valtionosuudet'!AN124</f>
        <v>623.62682958185906</v>
      </c>
      <c r="J124" s="41">
        <f>'2. Toimintakate'!K124+'3. Verotulot'!AP124+'4. Valtionosuudet'!AU124</f>
        <v>-578.85046019394576</v>
      </c>
      <c r="K124" s="41">
        <f>'2. Toimintakate'!L124+'3. Verotulot'!AU124+'4. Valtionosuudet'!BC124</f>
        <v>2401.6429752190925</v>
      </c>
      <c r="L124" s="41">
        <f>'2. Toimintakate'!M124+'3. Verotulot'!AZ124+'4. Valtionosuudet'!BK124</f>
        <v>98.027873666788309</v>
      </c>
      <c r="M124" s="41">
        <f>'2. Toimintakate'!N124+'3. Verotulot'!BE124+'4. Valtionosuudet'!BQ124</f>
        <v>-463.63364482641236</v>
      </c>
      <c r="N124" s="41">
        <f>'2. Toimintakate'!O124+'3. Verotulot'!BJ124+'4. Valtionosuudet'!BY124</f>
        <v>-91.408070023258915</v>
      </c>
      <c r="O124" s="41">
        <f>'2. Toimintakate'!P124+'3. Verotulot'!BO124+'4. Valtionosuudet'!CE124</f>
        <v>-146.75746581736348</v>
      </c>
      <c r="P124" s="41">
        <f>'2. Toimintakate'!Q124+'3. Verotulot'!BT124+'4. Valtionosuudet'!CK124</f>
        <v>1061.6777457501503</v>
      </c>
      <c r="T124" s="34">
        <v>309</v>
      </c>
      <c r="U124" s="88" t="s">
        <v>438</v>
      </c>
      <c r="V124" s="41" t="e">
        <f>C124/'1. Väestöennuste'!E124*1000</f>
        <v>#REF!</v>
      </c>
      <c r="W124" s="41">
        <f>D124/'1. Väestöennuste'!F124*1000</f>
        <v>377.66182484839936</v>
      </c>
      <c r="X124" s="41">
        <f>E124/'1. Väestöennuste'!G124*1000</f>
        <v>536.48436384406682</v>
      </c>
      <c r="Y124" s="41">
        <f>F124/'1. Väestöennuste'!H124*1000</f>
        <v>303.83654270174918</v>
      </c>
      <c r="Z124" s="41">
        <f>G124/'1. Väestöennuste'!I124*1000</f>
        <v>52.7811004784689</v>
      </c>
      <c r="AA124" s="41">
        <f>H124/'1. Väestöennuste'!J124*1000</f>
        <v>286.75562482938011</v>
      </c>
      <c r="AB124" s="41">
        <f>I124/'1. Väestöennuste'!K124*1000</f>
        <v>95.854108450946683</v>
      </c>
      <c r="AC124" s="41">
        <f>J124/'1. Väestöennuste'!L124*1000</f>
        <v>-89.646966113356939</v>
      </c>
      <c r="AD124" s="41">
        <f>K124/'1. Väestöennuste'!M124*1000</f>
        <v>374.72975116540687</v>
      </c>
      <c r="AE124" s="41">
        <f>L124/'1. Väestöennuste'!N124*1000</f>
        <v>15.955057562953828</v>
      </c>
      <c r="AF124" s="41">
        <f>M124/'1. Väestöennuste'!O124*1000</f>
        <v>-76.646329116616357</v>
      </c>
      <c r="AG124" s="41">
        <f>N124/'1. Väestöennuste'!P124*1000</f>
        <v>-15.354958848187286</v>
      </c>
      <c r="AH124" s="41">
        <f>O124/'1. Väestöennuste'!Q124*1000</f>
        <v>-25.031121578946525</v>
      </c>
      <c r="AI124" s="41">
        <f>P124/'1. Väestöennuste'!R124*1000</f>
        <v>183.93585338706691</v>
      </c>
    </row>
    <row r="125" spans="1:35" x14ac:dyDescent="0.2">
      <c r="A125" s="34">
        <v>312</v>
      </c>
      <c r="B125" s="88" t="s">
        <v>439</v>
      </c>
      <c r="C125" s="41" t="e">
        <f>'2. Toimintakate'!D125+'3. Verotulot'!G125+'4. Valtionosuudet'!#REF!</f>
        <v>#REF!</v>
      </c>
      <c r="D125" s="41">
        <f>'2. Toimintakate'!E125+'3. Verotulot'!L125+'4. Valtionosuudet'!H125</f>
        <v>-973</v>
      </c>
      <c r="E125" s="41">
        <f>'2. Toimintakate'!F125+'3. Verotulot'!Q125+'4. Valtionosuudet'!N125</f>
        <v>220</v>
      </c>
      <c r="F125" s="41">
        <f>'2. Toimintakate'!G125+'3. Verotulot'!V125+'4. Valtionosuudet'!T125</f>
        <v>-358</v>
      </c>
      <c r="G125" s="41">
        <f>'2. Toimintakate'!H125+'3. Verotulot'!AA125+'4. Valtionosuudet'!Z125</f>
        <v>-1988</v>
      </c>
      <c r="H125" s="41">
        <f>'2. Toimintakate'!I125+'3. Verotulot'!AF125+'4. Valtionosuudet'!AG125</f>
        <v>1104.109940335301</v>
      </c>
      <c r="I125" s="41">
        <f>'2. Toimintakate'!J125+'3. Verotulot'!AK125+'4. Valtionosuudet'!AN125</f>
        <v>1067.5919488126538</v>
      </c>
      <c r="J125" s="41">
        <f>'2. Toimintakate'!K125+'3. Verotulot'!AP125+'4. Valtionosuudet'!AU125</f>
        <v>967.8758973070635</v>
      </c>
      <c r="K125" s="41">
        <f>'2. Toimintakate'!L125+'3. Verotulot'!AU125+'4. Valtionosuudet'!BC125</f>
        <v>754.46442702440072</v>
      </c>
      <c r="L125" s="41">
        <f>'2. Toimintakate'!M125+'3. Verotulot'!AZ125+'4. Valtionosuudet'!BK125</f>
        <v>127.72297724165162</v>
      </c>
      <c r="M125" s="41">
        <f>'2. Toimintakate'!N125+'3. Verotulot'!BE125+'4. Valtionosuudet'!BQ125</f>
        <v>115.96554007954785</v>
      </c>
      <c r="N125" s="41">
        <f>'2. Toimintakate'!O125+'3. Verotulot'!BJ125+'4. Valtionosuudet'!BY125</f>
        <v>69.552124890084883</v>
      </c>
      <c r="O125" s="41">
        <f>'2. Toimintakate'!P125+'3. Verotulot'!BO125+'4. Valtionosuudet'!CE125</f>
        <v>89.570436144402265</v>
      </c>
      <c r="P125" s="41">
        <f>'2. Toimintakate'!Q125+'3. Verotulot'!BT125+'4. Valtionosuudet'!CK125</f>
        <v>139.87472309638406</v>
      </c>
      <c r="T125" s="34">
        <v>312</v>
      </c>
      <c r="U125" s="88" t="s">
        <v>439</v>
      </c>
      <c r="V125" s="41" t="e">
        <f>C125/'1. Väestöennuste'!E125*1000</f>
        <v>#REF!</v>
      </c>
      <c r="W125" s="41">
        <f>D125/'1. Väestöennuste'!F125*1000</f>
        <v>-707.63636363636363</v>
      </c>
      <c r="X125" s="41">
        <f>E125/'1. Väestöennuste'!G125*1000</f>
        <v>162.72189349112426</v>
      </c>
      <c r="Y125" s="41">
        <f>F125/'1. Väestöennuste'!H125*1000</f>
        <v>-266.5673864482502</v>
      </c>
      <c r="Z125" s="41">
        <f>G125/'1. Väestöennuste'!I125*1000</f>
        <v>-1514.0898705255142</v>
      </c>
      <c r="AA125" s="41">
        <f>H125/'1. Väestöennuste'!J125*1000</f>
        <v>857.22821454604116</v>
      </c>
      <c r="AB125" s="41">
        <f>I125/'1. Väestöennuste'!K125*1000</f>
        <v>866.55190650377745</v>
      </c>
      <c r="AC125" s="41">
        <f>J125/'1. Väestöennuste'!L125*1000</f>
        <v>809.26078370155813</v>
      </c>
      <c r="AD125" s="41">
        <f>K125/'1. Väestöennuste'!M125*1000</f>
        <v>642.6443160344129</v>
      </c>
      <c r="AE125" s="41">
        <f>L125/'1. Väestöennuste'!N125*1000</f>
        <v>106.52458485542253</v>
      </c>
      <c r="AF125" s="41">
        <f>M125/'1. Väestöennuste'!O125*1000</f>
        <v>98.359236708691981</v>
      </c>
      <c r="AG125" s="41">
        <f>N125/'1. Väestöennuste'!P125*1000</f>
        <v>59.907084315318592</v>
      </c>
      <c r="AH125" s="41">
        <f>O125/'1. Väestöennuste'!Q125*1000</f>
        <v>78.364336084341446</v>
      </c>
      <c r="AI125" s="41">
        <f>P125/'1. Väestöennuste'!R125*1000</f>
        <v>124.44370382240574</v>
      </c>
    </row>
    <row r="126" spans="1:35" x14ac:dyDescent="0.2">
      <c r="A126" s="34">
        <v>316</v>
      </c>
      <c r="B126" s="88" t="s">
        <v>440</v>
      </c>
      <c r="C126" s="41" t="e">
        <f>'2. Toimintakate'!D126+'3. Verotulot'!G126+'4. Valtionosuudet'!#REF!</f>
        <v>#REF!</v>
      </c>
      <c r="D126" s="41">
        <f>'2. Toimintakate'!E126+'3. Verotulot'!L126+'4. Valtionosuudet'!H126</f>
        <v>966</v>
      </c>
      <c r="E126" s="41">
        <f>'2. Toimintakate'!F126+'3. Verotulot'!Q126+'4. Valtionosuudet'!N126</f>
        <v>2484</v>
      </c>
      <c r="F126" s="41">
        <f>'2. Toimintakate'!G126+'3. Verotulot'!V126+'4. Valtionosuudet'!T126</f>
        <v>292</v>
      </c>
      <c r="G126" s="41">
        <f>'2. Toimintakate'!H126+'3. Verotulot'!AA126+'4. Valtionosuudet'!Z126</f>
        <v>189</v>
      </c>
      <c r="H126" s="41">
        <f>'2. Toimintakate'!I126+'3. Verotulot'!AF126+'4. Valtionosuudet'!AG126</f>
        <v>4362.4064914306709</v>
      </c>
      <c r="I126" s="41">
        <f>'2. Toimintakate'!J126+'3. Verotulot'!AK126+'4. Valtionosuudet'!AN126</f>
        <v>1345.9752009498116</v>
      </c>
      <c r="J126" s="41">
        <f>'2. Toimintakate'!K126+'3. Verotulot'!AP126+'4. Valtionosuudet'!AU126</f>
        <v>1094.7620164585787</v>
      </c>
      <c r="K126" s="41">
        <f>'2. Toimintakate'!L126+'3. Verotulot'!AU126+'4. Valtionosuudet'!BC126</f>
        <v>2019.763395738823</v>
      </c>
      <c r="L126" s="41">
        <f>'2. Toimintakate'!M126+'3. Verotulot'!AZ126+'4. Valtionosuudet'!BK126</f>
        <v>2784.7056127688325</v>
      </c>
      <c r="M126" s="41">
        <f>'2. Toimintakate'!N126+'3. Verotulot'!BE126+'4. Valtionosuudet'!BQ126</f>
        <v>694.04123654657053</v>
      </c>
      <c r="N126" s="41">
        <f>'2. Toimintakate'!O126+'3. Verotulot'!BJ126+'4. Valtionosuudet'!BY126</f>
        <v>-397.5647691329192</v>
      </c>
      <c r="O126" s="41">
        <f>'2. Toimintakate'!P126+'3. Verotulot'!BO126+'4. Valtionosuudet'!CE126</f>
        <v>-327.20298157446587</v>
      </c>
      <c r="P126" s="41">
        <f>'2. Toimintakate'!Q126+'3. Verotulot'!BT126+'4. Valtionosuudet'!CK126</f>
        <v>-79.178352683908656</v>
      </c>
      <c r="T126" s="34">
        <v>316</v>
      </c>
      <c r="U126" s="88" t="s">
        <v>440</v>
      </c>
      <c r="V126" s="41" t="e">
        <f>C126/'1. Väestöennuste'!E126*1000</f>
        <v>#REF!</v>
      </c>
      <c r="W126" s="41">
        <f>D126/'1. Väestöennuste'!F126*1000</f>
        <v>212.77533039647579</v>
      </c>
      <c r="X126" s="41">
        <f>E126/'1. Väestöennuste'!G126*1000</f>
        <v>551.0204081632653</v>
      </c>
      <c r="Y126" s="41">
        <f>F126/'1. Väestöennuste'!H126*1000</f>
        <v>65.603235228038642</v>
      </c>
      <c r="Z126" s="41">
        <f>G126/'1. Väestöennuste'!I126*1000</f>
        <v>43.269230769230766</v>
      </c>
      <c r="AA126" s="41">
        <f>H126/'1. Väestöennuste'!J126*1000</f>
        <v>1008.4157400440756</v>
      </c>
      <c r="AB126" s="41">
        <f>I126/'1. Väestöennuste'!K126*1000</f>
        <v>317.07307442869529</v>
      </c>
      <c r="AC126" s="41">
        <f>J126/'1. Väestöennuste'!L126*1000</f>
        <v>260.78180477812742</v>
      </c>
      <c r="AD126" s="41">
        <f>K126/'1. Väestöennuste'!M126*1000</f>
        <v>490.94880790929096</v>
      </c>
      <c r="AE126" s="41">
        <f>L126/'1. Väestöennuste'!N126*1000</f>
        <v>674.09963998277237</v>
      </c>
      <c r="AF126" s="41">
        <f>M126/'1. Väestöennuste'!O126*1000</f>
        <v>169.65075447239565</v>
      </c>
      <c r="AG126" s="41">
        <f>N126/'1. Väestöennuste'!P126*1000</f>
        <v>-98.043099662865401</v>
      </c>
      <c r="AH126" s="41">
        <f>O126/'1. Väestöennuste'!Q126*1000</f>
        <v>-81.312868184509398</v>
      </c>
      <c r="AI126" s="41">
        <f>P126/'1. Väestöennuste'!R126*1000</f>
        <v>-19.829289427475246</v>
      </c>
    </row>
    <row r="127" spans="1:35" x14ac:dyDescent="0.2">
      <c r="A127" s="34">
        <v>317</v>
      </c>
      <c r="B127" s="88" t="s">
        <v>441</v>
      </c>
      <c r="C127" s="41" t="e">
        <f>'2. Toimintakate'!D127+'3. Verotulot'!G127+'4. Valtionosuudet'!#REF!</f>
        <v>#REF!</v>
      </c>
      <c r="D127" s="41">
        <f>'2. Toimintakate'!E127+'3. Verotulot'!L127+'4. Valtionosuudet'!H127</f>
        <v>1288</v>
      </c>
      <c r="E127" s="41">
        <f>'2. Toimintakate'!F127+'3. Verotulot'!Q127+'4. Valtionosuudet'!N127</f>
        <v>735</v>
      </c>
      <c r="F127" s="41">
        <f>'2. Toimintakate'!G127+'3. Verotulot'!V127+'4. Valtionosuudet'!T127</f>
        <v>839</v>
      </c>
      <c r="G127" s="41">
        <f>'2. Toimintakate'!H127+'3. Verotulot'!AA127+'4. Valtionosuudet'!Z127</f>
        <v>873</v>
      </c>
      <c r="H127" s="41">
        <f>'2. Toimintakate'!I127+'3. Verotulot'!AF127+'4. Valtionosuudet'!AG127</f>
        <v>1253.620233685213</v>
      </c>
      <c r="I127" s="41">
        <f>'2. Toimintakate'!J127+'3. Verotulot'!AK127+'4. Valtionosuudet'!AN127</f>
        <v>1376.5111667036144</v>
      </c>
      <c r="J127" s="41">
        <f>'2. Toimintakate'!K127+'3. Verotulot'!AP127+'4. Valtionosuudet'!AU127</f>
        <v>2123.2933562476919</v>
      </c>
      <c r="K127" s="41">
        <f>'2. Toimintakate'!L127+'3. Verotulot'!AU127+'4. Valtionosuudet'!BC127</f>
        <v>1199.5848299334502</v>
      </c>
      <c r="L127" s="41">
        <f>'2. Toimintakate'!M127+'3. Verotulot'!AZ127+'4. Valtionosuudet'!BK127</f>
        <v>756.88863331303583</v>
      </c>
      <c r="M127" s="41">
        <f>'2. Toimintakate'!N127+'3. Verotulot'!BE127+'4. Valtionosuudet'!BQ127</f>
        <v>241.51527425797212</v>
      </c>
      <c r="N127" s="41">
        <f>'2. Toimintakate'!O127+'3. Verotulot'!BJ127+'4. Valtionosuudet'!BY127</f>
        <v>-72.847534980826822</v>
      </c>
      <c r="O127" s="41">
        <f>'2. Toimintakate'!P127+'3. Verotulot'!BO127+'4. Valtionosuudet'!CE127</f>
        <v>-300.22779097544117</v>
      </c>
      <c r="P127" s="41">
        <f>'2. Toimintakate'!Q127+'3. Verotulot'!BT127+'4. Valtionosuudet'!CK127</f>
        <v>-289.76050709721858</v>
      </c>
      <c r="T127" s="34">
        <v>317</v>
      </c>
      <c r="U127" s="88" t="s">
        <v>441</v>
      </c>
      <c r="V127" s="41" t="e">
        <f>C127/'1. Väestöennuste'!E127*1000</f>
        <v>#REF!</v>
      </c>
      <c r="W127" s="41">
        <f>D127/'1. Väestöennuste'!F127*1000</f>
        <v>485.12241054613935</v>
      </c>
      <c r="X127" s="41">
        <f>E127/'1. Väestöennuste'!G127*1000</f>
        <v>281.50134048257377</v>
      </c>
      <c r="Y127" s="41">
        <f>F127/'1. Väestöennuste'!H127*1000</f>
        <v>321.08687332567933</v>
      </c>
      <c r="Z127" s="41">
        <f>G127/'1. Väestöennuste'!I127*1000</f>
        <v>338.8975155279503</v>
      </c>
      <c r="AA127" s="41">
        <f>H127/'1. Väestöennuste'!J127*1000</f>
        <v>493.94020239764103</v>
      </c>
      <c r="AB127" s="41">
        <f>I127/'1. Väestöennuste'!K127*1000</f>
        <v>543.43117516921211</v>
      </c>
      <c r="AC127" s="41">
        <f>J127/'1. Väestöennuste'!L127*1000</f>
        <v>858.243070431565</v>
      </c>
      <c r="AD127" s="41">
        <f>K127/'1. Väestöennuste'!M127*1000</f>
        <v>491.63312702190581</v>
      </c>
      <c r="AE127" s="41">
        <f>L127/'1. Väestöennuste'!N127*1000</f>
        <v>312.76389806323795</v>
      </c>
      <c r="AF127" s="41">
        <f>M127/'1. Väestöennuste'!O127*1000</f>
        <v>100.88357320717297</v>
      </c>
      <c r="AG127" s="41">
        <f>N127/'1. Väestöennuste'!P127*1000</f>
        <v>-30.750331355351129</v>
      </c>
      <c r="AH127" s="41">
        <f>O127/'1. Väestöennuste'!Q127*1000</f>
        <v>-128.24766808006885</v>
      </c>
      <c r="AI127" s="41">
        <f>P127/'1. Väestöennuste'!R127*1000</f>
        <v>-125.11248147548298</v>
      </c>
    </row>
    <row r="128" spans="1:35" x14ac:dyDescent="0.2">
      <c r="A128" s="34">
        <v>320</v>
      </c>
      <c r="B128" s="88" t="s">
        <v>442</v>
      </c>
      <c r="C128" s="41" t="e">
        <f>'2. Toimintakate'!D128+'3. Verotulot'!G128+'4. Valtionosuudet'!#REF!</f>
        <v>#REF!</v>
      </c>
      <c r="D128" s="41">
        <f>'2. Toimintakate'!E128+'3. Verotulot'!L128+'4. Valtionosuudet'!H128</f>
        <v>1125</v>
      </c>
      <c r="E128" s="41">
        <f>'2. Toimintakate'!F128+'3. Verotulot'!Q128+'4. Valtionosuudet'!N128</f>
        <v>-656</v>
      </c>
      <c r="F128" s="41">
        <f>'2. Toimintakate'!G128+'3. Verotulot'!V128+'4. Valtionosuudet'!T128</f>
        <v>-326</v>
      </c>
      <c r="G128" s="41">
        <f>'2. Toimintakate'!H128+'3. Verotulot'!AA128+'4. Valtionosuudet'!Z128</f>
        <v>-1664</v>
      </c>
      <c r="H128" s="41">
        <f>'2. Toimintakate'!I128+'3. Verotulot'!AF128+'4. Valtionosuudet'!AG128</f>
        <v>4002.4755028888394</v>
      </c>
      <c r="I128" s="41">
        <f>'2. Toimintakate'!J128+'3. Verotulot'!AK128+'4. Valtionosuudet'!AN128</f>
        <v>4049.4867900418576</v>
      </c>
      <c r="J128" s="41">
        <f>'2. Toimintakate'!K128+'3. Verotulot'!AP128+'4. Valtionosuudet'!AU128</f>
        <v>3708.1858896484155</v>
      </c>
      <c r="K128" s="41">
        <f>'2. Toimintakate'!L128+'3. Verotulot'!AU128+'4. Valtionosuudet'!BC128</f>
        <v>6406.190818130739</v>
      </c>
      <c r="L128" s="41">
        <f>'2. Toimintakate'!M128+'3. Verotulot'!AZ128+'4. Valtionosuudet'!BK128</f>
        <v>3058.3830957576829</v>
      </c>
      <c r="M128" s="41">
        <f>'2. Toimintakate'!N128+'3. Verotulot'!BE128+'4. Valtionosuudet'!BQ128</f>
        <v>4141.5865670973435</v>
      </c>
      <c r="N128" s="41">
        <f>'2. Toimintakate'!O128+'3. Verotulot'!BJ128+'4. Valtionosuudet'!BY128</f>
        <v>3575.8070948483237</v>
      </c>
      <c r="O128" s="41">
        <f>'2. Toimintakate'!P128+'3. Verotulot'!BO128+'4. Valtionosuudet'!CE128</f>
        <v>3613.6358584913123</v>
      </c>
      <c r="P128" s="41">
        <f>'2. Toimintakate'!Q128+'3. Verotulot'!BT128+'4. Valtionosuudet'!CK128</f>
        <v>4688.707546439271</v>
      </c>
      <c r="T128" s="34">
        <v>320</v>
      </c>
      <c r="U128" s="88" t="s">
        <v>442</v>
      </c>
      <c r="V128" s="41" t="e">
        <f>C128/'1. Väestöennuste'!E128*1000</f>
        <v>#REF!</v>
      </c>
      <c r="W128" s="41">
        <f>D128/'1. Väestöennuste'!F128*1000</f>
        <v>146.84767001696906</v>
      </c>
      <c r="X128" s="41">
        <f>E128/'1. Väestöennuste'!G128*1000</f>
        <v>-87.071940536235743</v>
      </c>
      <c r="Y128" s="41">
        <f>F128/'1. Väestöennuste'!H128*1000</f>
        <v>-44.233378561736771</v>
      </c>
      <c r="Z128" s="41">
        <f>G128/'1. Väestöennuste'!I128*1000</f>
        <v>-228.759967005774</v>
      </c>
      <c r="AA128" s="41">
        <f>H128/'1. Väestöennuste'!J128*1000</f>
        <v>556.59511930035308</v>
      </c>
      <c r="AB128" s="41">
        <f>I128/'1. Väestöennuste'!K128*1000</f>
        <v>569.94887966810109</v>
      </c>
      <c r="AC128" s="41">
        <f>J128/'1. Väestöennuste'!L128*1000</f>
        <v>530.04372350606275</v>
      </c>
      <c r="AD128" s="41">
        <f>K128/'1. Väestöennuste'!M128*1000</f>
        <v>911.26469674690463</v>
      </c>
      <c r="AE128" s="41">
        <f>L128/'1. Väestöennuste'!N128*1000</f>
        <v>453.56415479129214</v>
      </c>
      <c r="AF128" s="41">
        <f>M128/'1. Väestöennuste'!O128*1000</f>
        <v>622.7013331976159</v>
      </c>
      <c r="AG128" s="41">
        <f>N128/'1. Väestöennuste'!P128*1000</f>
        <v>545.09254494639083</v>
      </c>
      <c r="AH128" s="41">
        <f>O128/'1. Väestöennuste'!Q128*1000</f>
        <v>558.0904800758783</v>
      </c>
      <c r="AI128" s="41">
        <f>P128/'1. Väestöennuste'!R128*1000</f>
        <v>733.18335362615653</v>
      </c>
    </row>
    <row r="129" spans="1:35" x14ac:dyDescent="0.2">
      <c r="A129" s="34">
        <v>322</v>
      </c>
      <c r="B129" s="88" t="s">
        <v>443</v>
      </c>
      <c r="C129" s="41" t="e">
        <f>'2. Toimintakate'!D129+'3. Verotulot'!G129+'4. Valtionosuudet'!#REF!</f>
        <v>#REF!</v>
      </c>
      <c r="D129" s="41">
        <f>'2. Toimintakate'!E129+'3. Verotulot'!L129+'4. Valtionosuudet'!H129</f>
        <v>4271</v>
      </c>
      <c r="E129" s="41">
        <f>'2. Toimintakate'!F129+'3. Verotulot'!Q129+'4. Valtionosuudet'!N129</f>
        <v>5384</v>
      </c>
      <c r="F129" s="41">
        <f>'2. Toimintakate'!G129+'3. Verotulot'!V129+'4. Valtionosuudet'!T129</f>
        <v>714</v>
      </c>
      <c r="G129" s="41">
        <f>'2. Toimintakate'!H129+'3. Verotulot'!AA129+'4. Valtionosuudet'!Z129</f>
        <v>1234</v>
      </c>
      <c r="H129" s="41">
        <f>'2. Toimintakate'!I129+'3. Verotulot'!AF129+'4. Valtionosuudet'!AG129</f>
        <v>6845.6166194393045</v>
      </c>
      <c r="I129" s="41">
        <f>'2. Toimintakate'!J129+'3. Verotulot'!AK129+'4. Valtionosuudet'!AN129</f>
        <v>5926.4968750494481</v>
      </c>
      <c r="J129" s="41">
        <f>'2. Toimintakate'!K129+'3. Verotulot'!AP129+'4. Valtionosuudet'!AU129</f>
        <v>6161.8092010168511</v>
      </c>
      <c r="K129" s="41">
        <f>'2. Toimintakate'!L129+'3. Verotulot'!AU129+'4. Valtionosuudet'!BC129</f>
        <v>6519.7407026417404</v>
      </c>
      <c r="L129" s="41">
        <f>'2. Toimintakate'!M129+'3. Verotulot'!AZ129+'4. Valtionosuudet'!BK129</f>
        <v>4851.2683192158984</v>
      </c>
      <c r="M129" s="41">
        <f>'2. Toimintakate'!N129+'3. Verotulot'!BE129+'4. Valtionosuudet'!BQ129</f>
        <v>4420.698565873894</v>
      </c>
      <c r="N129" s="41">
        <f>'2. Toimintakate'!O129+'3. Verotulot'!BJ129+'4. Valtionosuudet'!BY129</f>
        <v>4612.5177370999172</v>
      </c>
      <c r="O129" s="41">
        <f>'2. Toimintakate'!P129+'3. Verotulot'!BO129+'4. Valtionosuudet'!CE129</f>
        <v>4452.4295467928641</v>
      </c>
      <c r="P129" s="41">
        <f>'2. Toimintakate'!Q129+'3. Verotulot'!BT129+'4. Valtionosuudet'!CK129</f>
        <v>5531.6332657587209</v>
      </c>
      <c r="T129" s="34">
        <v>322</v>
      </c>
      <c r="U129" s="88" t="s">
        <v>443</v>
      </c>
      <c r="V129" s="41" t="e">
        <f>C129/'1. Väestöennuste'!E129*1000</f>
        <v>#REF!</v>
      </c>
      <c r="W129" s="41">
        <f>D129/'1. Väestöennuste'!F129*1000</f>
        <v>621.50756693830033</v>
      </c>
      <c r="X129" s="41">
        <f>E129/'1. Väestöennuste'!G129*1000</f>
        <v>792.58059767407633</v>
      </c>
      <c r="Y129" s="41">
        <f>F129/'1. Väestöennuste'!H129*1000</f>
        <v>106.18679357525282</v>
      </c>
      <c r="Z129" s="41">
        <f>G129/'1. Väestöennuste'!I129*1000</f>
        <v>185.84337349397589</v>
      </c>
      <c r="AA129" s="41">
        <f>H129/'1. Väestöennuste'!J129*1000</f>
        <v>1035.802181788365</v>
      </c>
      <c r="AB129" s="41">
        <f>I129/'1. Väestöennuste'!K129*1000</f>
        <v>896.0533527440956</v>
      </c>
      <c r="AC129" s="41">
        <f>J129/'1. Väestöennuste'!L129*1000</f>
        <v>940.87787463992231</v>
      </c>
      <c r="AD129" s="41">
        <f>K129/'1. Väestöennuste'!M129*1000</f>
        <v>1008.9354228786351</v>
      </c>
      <c r="AE129" s="41">
        <f>L129/'1. Väestöennuste'!N129*1000</f>
        <v>762.17884041098171</v>
      </c>
      <c r="AF129" s="41">
        <f>M129/'1. Väestöennuste'!O129*1000</f>
        <v>699.47762118257822</v>
      </c>
      <c r="AG129" s="41">
        <f>N129/'1. Väestöennuste'!P129*1000</f>
        <v>734.71133117233467</v>
      </c>
      <c r="AH129" s="41">
        <f>O129/'1. Väestöennuste'!Q129*1000</f>
        <v>713.75914504534535</v>
      </c>
      <c r="AI129" s="41">
        <f>P129/'1. Väestöennuste'!R129*1000</f>
        <v>892.19891383205174</v>
      </c>
    </row>
    <row r="130" spans="1:35" x14ac:dyDescent="0.2">
      <c r="A130" s="34">
        <v>398</v>
      </c>
      <c r="B130" s="88" t="s">
        <v>444</v>
      </c>
      <c r="C130" s="41" t="e">
        <f>'2. Toimintakate'!D130+'3. Verotulot'!G130+'4. Valtionosuudet'!#REF!</f>
        <v>#REF!</v>
      </c>
      <c r="D130" s="41">
        <f>'2. Toimintakate'!E130+'3. Verotulot'!L130+'4. Valtionosuudet'!H130</f>
        <v>34171</v>
      </c>
      <c r="E130" s="41">
        <f>'2. Toimintakate'!F130+'3. Verotulot'!Q130+'4. Valtionosuudet'!N130</f>
        <v>48928</v>
      </c>
      <c r="F130" s="41">
        <f>'2. Toimintakate'!G130+'3. Verotulot'!V130+'4. Valtionosuudet'!T130</f>
        <v>34295</v>
      </c>
      <c r="G130" s="41">
        <f>'2. Toimintakate'!H130+'3. Verotulot'!AA130+'4. Valtionosuudet'!Z130</f>
        <v>17749</v>
      </c>
      <c r="H130" s="41">
        <f>'2. Toimintakate'!I130+'3. Verotulot'!AF130+'4. Valtionosuudet'!AG130</f>
        <v>80300.076121145743</v>
      </c>
      <c r="I130" s="41">
        <f>'2. Toimintakate'!J130+'3. Verotulot'!AK130+'4. Valtionosuudet'!AN130</f>
        <v>66925.940662462788</v>
      </c>
      <c r="J130" s="41">
        <f>'2. Toimintakate'!K130+'3. Verotulot'!AP130+'4. Valtionosuudet'!AU130</f>
        <v>99620.109519042831</v>
      </c>
      <c r="K130" s="41">
        <f>'2. Toimintakate'!L130+'3. Verotulot'!AU130+'4. Valtionosuudet'!BC130</f>
        <v>93264.603119933206</v>
      </c>
      <c r="L130" s="41">
        <f>'2. Toimintakate'!M130+'3. Verotulot'!AZ130+'4. Valtionosuudet'!BK130</f>
        <v>10533.484626560268</v>
      </c>
      <c r="M130" s="41">
        <f>'2. Toimintakate'!N130+'3. Verotulot'!BE130+'4. Valtionosuudet'!BQ130</f>
        <v>39517.056908522994</v>
      </c>
      <c r="N130" s="41">
        <f>'2. Toimintakate'!O130+'3. Verotulot'!BJ130+'4. Valtionosuudet'!BY130</f>
        <v>39485.731516574757</v>
      </c>
      <c r="O130" s="41">
        <f>'2. Toimintakate'!P130+'3. Verotulot'!BO130+'4. Valtionosuudet'!CE130</f>
        <v>39225.03565660528</v>
      </c>
      <c r="P130" s="41">
        <f>'2. Toimintakate'!Q130+'3. Verotulot'!BT130+'4. Valtionosuudet'!CK130</f>
        <v>46958.884775556842</v>
      </c>
      <c r="T130" s="34">
        <v>398</v>
      </c>
      <c r="U130" s="88" t="s">
        <v>444</v>
      </c>
      <c r="V130" s="41" t="e">
        <f>C130/'1. Väestöennuste'!E130*1000</f>
        <v>#REF!</v>
      </c>
      <c r="W130" s="41">
        <f>D130/'1. Väestöennuste'!F130*1000</f>
        <v>286.06469544252082</v>
      </c>
      <c r="X130" s="41">
        <f>E130/'1. Väestöennuste'!G130*1000</f>
        <v>409.18936549220979</v>
      </c>
      <c r="Y130" s="41">
        <f>F130/'1. Väestöennuste'!H130*1000</f>
        <v>285.90841260181242</v>
      </c>
      <c r="Z130" s="41">
        <f>G130/'1. Väestöennuste'!I130*1000</f>
        <v>148.12682039341362</v>
      </c>
      <c r="AA130" s="41">
        <f>H130/'1. Väestöennuste'!J130*1000</f>
        <v>669.25653521424306</v>
      </c>
      <c r="AB130" s="41">
        <f>I130/'1. Väestöennuste'!K130*1000</f>
        <v>557.59071427647768</v>
      </c>
      <c r="AC130" s="41">
        <f>J130/'1. Väestöennuste'!L130*1000</f>
        <v>828.9586812485361</v>
      </c>
      <c r="AD130" s="41">
        <f>K130/'1. Väestöennuste'!M130*1000</f>
        <v>772.74243841758187</v>
      </c>
      <c r="AE130" s="41">
        <f>L130/'1. Väestöennuste'!N130*1000</f>
        <v>87.200607855891477</v>
      </c>
      <c r="AF130" s="41">
        <f>M130/'1. Väestöennuste'!O130*1000</f>
        <v>326.85197026122802</v>
      </c>
      <c r="AG130" s="41">
        <f>N130/'1. Väestöennuste'!P130*1000</f>
        <v>326.41738256363107</v>
      </c>
      <c r="AH130" s="41">
        <f>O130/'1. Väestöennuste'!Q130*1000</f>
        <v>324.18188596911722</v>
      </c>
      <c r="AI130" s="41">
        <f>P130/'1. Väestöennuste'!R130*1000</f>
        <v>388.11561735946873</v>
      </c>
    </row>
    <row r="131" spans="1:35" x14ac:dyDescent="0.2">
      <c r="A131" s="34">
        <v>399</v>
      </c>
      <c r="B131" s="88" t="s">
        <v>445</v>
      </c>
      <c r="C131" s="41" t="e">
        <f>'2. Toimintakate'!D131+'3. Verotulot'!G131+'4. Valtionosuudet'!#REF!</f>
        <v>#REF!</v>
      </c>
      <c r="D131" s="41">
        <f>'2. Toimintakate'!E131+'3. Verotulot'!L131+'4. Valtionosuudet'!H131</f>
        <v>41</v>
      </c>
      <c r="E131" s="41">
        <f>'2. Toimintakate'!F131+'3. Verotulot'!Q131+'4. Valtionosuudet'!N131</f>
        <v>1812</v>
      </c>
      <c r="F131" s="41">
        <f>'2. Toimintakate'!G131+'3. Verotulot'!V131+'4. Valtionosuudet'!T131</f>
        <v>402</v>
      </c>
      <c r="G131" s="41">
        <f>'2. Toimintakate'!H131+'3. Verotulot'!AA131+'4. Valtionosuudet'!Z131</f>
        <v>1196</v>
      </c>
      <c r="H131" s="41">
        <f>'2. Toimintakate'!I131+'3. Verotulot'!AF131+'4. Valtionosuudet'!AG131</f>
        <v>4033.8633645300579</v>
      </c>
      <c r="I131" s="41">
        <f>'2. Toimintakate'!J131+'3. Verotulot'!AK131+'4. Valtionosuudet'!AN131</f>
        <v>3576.6093819808229</v>
      </c>
      <c r="J131" s="41">
        <f>'2. Toimintakate'!K131+'3. Verotulot'!AP131+'4. Valtionosuudet'!AU131</f>
        <v>2197.8101868450249</v>
      </c>
      <c r="K131" s="41">
        <f>'2. Toimintakate'!L131+'3. Verotulot'!AU131+'4. Valtionosuudet'!BC131</f>
        <v>3459.074096177631</v>
      </c>
      <c r="L131" s="41">
        <f>'2. Toimintakate'!M131+'3. Verotulot'!AZ131+'4. Valtionosuudet'!BK131</f>
        <v>1599.8238470561946</v>
      </c>
      <c r="M131" s="41">
        <f>'2. Toimintakate'!N131+'3. Verotulot'!BE131+'4. Valtionosuudet'!BQ131</f>
        <v>1147.7723404407143</v>
      </c>
      <c r="N131" s="41">
        <f>'2. Toimintakate'!O131+'3. Verotulot'!BJ131+'4. Valtionosuudet'!BY131</f>
        <v>1753.0025642589853</v>
      </c>
      <c r="O131" s="41">
        <f>'2. Toimintakate'!P131+'3. Verotulot'!BO131+'4. Valtionosuudet'!CE131</f>
        <v>2087.4246400314141</v>
      </c>
      <c r="P131" s="41">
        <f>'2. Toimintakate'!Q131+'3. Verotulot'!BT131+'4. Valtionosuudet'!CK131</f>
        <v>2642.2419853046895</v>
      </c>
      <c r="T131" s="34">
        <v>399</v>
      </c>
      <c r="U131" s="88" t="s">
        <v>445</v>
      </c>
      <c r="V131" s="41" t="e">
        <f>C131/'1. Väestöennuste'!E131*1000</f>
        <v>#REF!</v>
      </c>
      <c r="W131" s="41">
        <f>D131/'1. Väestöennuste'!F131*1000</f>
        <v>5.0374738911414179</v>
      </c>
      <c r="X131" s="41">
        <f>E131/'1. Väestöennuste'!G131*1000</f>
        <v>225.06520929077135</v>
      </c>
      <c r="Y131" s="41">
        <f>F131/'1. Väestöennuste'!H131*1000</f>
        <v>49.888309754281465</v>
      </c>
      <c r="Z131" s="41">
        <f>G131/'1. Väestöennuste'!I131*1000</f>
        <v>149.18298615442185</v>
      </c>
      <c r="AA131" s="41">
        <f>H131/'1. Väestöennuste'!J131*1000</f>
        <v>504.4851631478312</v>
      </c>
      <c r="AB131" s="41">
        <f>I131/'1. Väestöennuste'!K131*1000</f>
        <v>451.8202857479564</v>
      </c>
      <c r="AC131" s="41">
        <f>J131/'1. Väestöennuste'!L131*1000</f>
        <v>281.15775704810346</v>
      </c>
      <c r="AD131" s="41">
        <f>K131/'1. Väestöennuste'!M131*1000</f>
        <v>450.2830117388221</v>
      </c>
      <c r="AE131" s="41">
        <f>L131/'1. Väestöennuste'!N131*1000</f>
        <v>202.84314023788443</v>
      </c>
      <c r="AF131" s="41">
        <f>M131/'1. Väestöennuste'!O131*1000</f>
        <v>146.17579475811439</v>
      </c>
      <c r="AG131" s="41">
        <f>N131/'1. Väestöennuste'!P131*1000</f>
        <v>224.2838490607709</v>
      </c>
      <c r="AH131" s="41">
        <f>O131/'1. Väestöennuste'!Q131*1000</f>
        <v>268.44452675301108</v>
      </c>
      <c r="AI131" s="41">
        <f>P131/'1. Väestöennuste'!R131*1000</f>
        <v>341.81655696050319</v>
      </c>
    </row>
    <row r="132" spans="1:35" x14ac:dyDescent="0.2">
      <c r="A132" s="34">
        <v>400</v>
      </c>
      <c r="B132" s="88" t="s">
        <v>446</v>
      </c>
      <c r="C132" s="41" t="e">
        <f>'2. Toimintakate'!D132+'3. Verotulot'!G132+'4. Valtionosuudet'!#REF!</f>
        <v>#REF!</v>
      </c>
      <c r="D132" s="41">
        <f>'2. Toimintakate'!E132+'3. Verotulot'!L132+'4. Valtionosuudet'!H132</f>
        <v>3214</v>
      </c>
      <c r="E132" s="41">
        <f>'2. Toimintakate'!F132+'3. Verotulot'!Q132+'4. Valtionosuudet'!N132</f>
        <v>3871</v>
      </c>
      <c r="F132" s="41">
        <f>'2. Toimintakate'!G132+'3. Verotulot'!V132+'4. Valtionosuudet'!T132</f>
        <v>1591</v>
      </c>
      <c r="G132" s="41">
        <f>'2. Toimintakate'!H132+'3. Verotulot'!AA132+'4. Valtionosuudet'!Z132</f>
        <v>114</v>
      </c>
      <c r="H132" s="41">
        <f>'2. Toimintakate'!I132+'3. Verotulot'!AF132+'4. Valtionosuudet'!AG132</f>
        <v>5779.0846484991198</v>
      </c>
      <c r="I132" s="41">
        <f>'2. Toimintakate'!J132+'3. Verotulot'!AK132+'4. Valtionosuudet'!AN132</f>
        <v>4939.0027466408574</v>
      </c>
      <c r="J132" s="41">
        <f>'2. Toimintakate'!K132+'3. Verotulot'!AP132+'4. Valtionosuudet'!AU132</f>
        <v>5193.0456055363829</v>
      </c>
      <c r="K132" s="41">
        <f>'2. Toimintakate'!L132+'3. Verotulot'!AU132+'4. Valtionosuudet'!BC132</f>
        <v>7315.4351690047115</v>
      </c>
      <c r="L132" s="41">
        <f>'2. Toimintakate'!M132+'3. Verotulot'!AZ132+'4. Valtionosuudet'!BK132</f>
        <v>4058.1196565269183</v>
      </c>
      <c r="M132" s="41">
        <f>'2. Toimintakate'!N132+'3. Verotulot'!BE132+'4. Valtionosuudet'!BQ132</f>
        <v>5509.8002321431213</v>
      </c>
      <c r="N132" s="41">
        <f>'2. Toimintakate'!O132+'3. Verotulot'!BJ132+'4. Valtionosuudet'!BY132</f>
        <v>5289.8243948926993</v>
      </c>
      <c r="O132" s="41">
        <f>'2. Toimintakate'!P132+'3. Verotulot'!BO132+'4. Valtionosuudet'!CE132</f>
        <v>5321.8440943590558</v>
      </c>
      <c r="P132" s="41">
        <f>'2. Toimintakate'!Q132+'3. Verotulot'!BT132+'4. Valtionosuudet'!CK132</f>
        <v>6224.3751244438317</v>
      </c>
      <c r="T132" s="34">
        <v>400</v>
      </c>
      <c r="U132" s="88" t="s">
        <v>446</v>
      </c>
      <c r="V132" s="41" t="e">
        <f>C132/'1. Väestöennuste'!E132*1000</f>
        <v>#REF!</v>
      </c>
      <c r="W132" s="41">
        <f>D132/'1. Väestöennuste'!F132*1000</f>
        <v>377.2300469483568</v>
      </c>
      <c r="X132" s="41">
        <f>E132/'1. Väestöennuste'!G132*1000</f>
        <v>449.59349593495932</v>
      </c>
      <c r="Y132" s="41">
        <f>F132/'1. Väestöennuste'!H132*1000</f>
        <v>183.99444894182955</v>
      </c>
      <c r="Z132" s="41">
        <f>G132/'1. Väestöennuste'!I132*1000</f>
        <v>13.274336283185841</v>
      </c>
      <c r="AA132" s="41">
        <f>H132/'1. Väestöennuste'!J132*1000</f>
        <v>682.46157870797356</v>
      </c>
      <c r="AB132" s="41">
        <f>I132/'1. Väestöennuste'!K132*1000</f>
        <v>584.08263323567382</v>
      </c>
      <c r="AC132" s="41">
        <f>J132/'1. Väestöennuste'!L132*1000</f>
        <v>620.73220243083699</v>
      </c>
      <c r="AD132" s="41">
        <f>K132/'1. Väestöennuste'!M132*1000</f>
        <v>866.65503719994206</v>
      </c>
      <c r="AE132" s="41">
        <f>L132/'1. Väestöennuste'!N132*1000</f>
        <v>484.37809220899004</v>
      </c>
      <c r="AF132" s="41">
        <f>M132/'1. Väestöennuste'!O132*1000</f>
        <v>659.77729998121436</v>
      </c>
      <c r="AG132" s="41">
        <f>N132/'1. Väestöennuste'!P132*1000</f>
        <v>635.49067694530265</v>
      </c>
      <c r="AH132" s="41">
        <f>O132/'1. Väestöennuste'!Q132*1000</f>
        <v>641.64987875079044</v>
      </c>
      <c r="AI132" s="41">
        <f>P132/'1. Väestöennuste'!R132*1000</f>
        <v>753.10043852919932</v>
      </c>
    </row>
    <row r="133" spans="1:35" x14ac:dyDescent="0.2">
      <c r="A133" s="34">
        <v>402</v>
      </c>
      <c r="B133" s="88" t="s">
        <v>447</v>
      </c>
      <c r="C133" s="41" t="e">
        <f>'2. Toimintakate'!D133+'3. Verotulot'!G133+'4. Valtionosuudet'!#REF!</f>
        <v>#REF!</v>
      </c>
      <c r="D133" s="41">
        <f>'2. Toimintakate'!E133+'3. Verotulot'!L133+'4. Valtionosuudet'!H133</f>
        <v>620</v>
      </c>
      <c r="E133" s="41">
        <f>'2. Toimintakate'!F133+'3. Verotulot'!Q133+'4. Valtionosuudet'!N133</f>
        <v>2990</v>
      </c>
      <c r="F133" s="41">
        <f>'2. Toimintakate'!G133+'3. Verotulot'!V133+'4. Valtionosuudet'!T133</f>
        <v>2314</v>
      </c>
      <c r="G133" s="41">
        <f>'2. Toimintakate'!H133+'3. Verotulot'!AA133+'4. Valtionosuudet'!Z133</f>
        <v>1016</v>
      </c>
      <c r="H133" s="41">
        <f>'2. Toimintakate'!I133+'3. Verotulot'!AF133+'4. Valtionosuudet'!AG133</f>
        <v>3557.690440280865</v>
      </c>
      <c r="I133" s="41">
        <f>'2. Toimintakate'!J133+'3. Verotulot'!AK133+'4. Valtionosuudet'!AN133</f>
        <v>906.56363050871732</v>
      </c>
      <c r="J133" s="41">
        <f>'2. Toimintakate'!K133+'3. Verotulot'!AP133+'4. Valtionosuudet'!AU133</f>
        <v>-421.33592358533497</v>
      </c>
      <c r="K133" s="41">
        <f>'2. Toimintakate'!L133+'3. Verotulot'!AU133+'4. Valtionosuudet'!BC133</f>
        <v>4270.5250844980319</v>
      </c>
      <c r="L133" s="41">
        <f>'2. Toimintakate'!M133+'3. Verotulot'!AZ133+'4. Valtionosuudet'!BK133</f>
        <v>1630.4301747598702</v>
      </c>
      <c r="M133" s="41">
        <f>'2. Toimintakate'!N133+'3. Verotulot'!BE133+'4. Valtionosuudet'!BQ133</f>
        <v>1052.1202772242077</v>
      </c>
      <c r="N133" s="41">
        <f>'2. Toimintakate'!O133+'3. Verotulot'!BJ133+'4. Valtionosuudet'!BY133</f>
        <v>1395.3094545050162</v>
      </c>
      <c r="O133" s="41">
        <f>'2. Toimintakate'!P133+'3. Verotulot'!BO133+'4. Valtionosuudet'!CE133</f>
        <v>1502.3161765407149</v>
      </c>
      <c r="P133" s="41">
        <f>'2. Toimintakate'!Q133+'3. Verotulot'!BT133+'4. Valtionosuudet'!CK133</f>
        <v>2476.6451125905851</v>
      </c>
      <c r="T133" s="34">
        <v>402</v>
      </c>
      <c r="U133" s="88" t="s">
        <v>447</v>
      </c>
      <c r="V133" s="41" t="e">
        <f>C133/'1. Väestöennuste'!E133*1000</f>
        <v>#REF!</v>
      </c>
      <c r="W133" s="41">
        <f>D133/'1. Väestöennuste'!F133*1000</f>
        <v>62.740335964379682</v>
      </c>
      <c r="X133" s="41">
        <f>E133/'1. Väestöennuste'!G133*1000</f>
        <v>308.50185720181594</v>
      </c>
      <c r="Y133" s="41">
        <f>F133/'1. Väestöennuste'!H133*1000</f>
        <v>240.61557658313404</v>
      </c>
      <c r="Z133" s="41">
        <f>G133/'1. Väestöennuste'!I133*1000</f>
        <v>107.11649973642594</v>
      </c>
      <c r="AA133" s="41">
        <f>H133/'1. Väestöennuste'!J133*1000</f>
        <v>380.17636677504436</v>
      </c>
      <c r="AB133" s="41">
        <f>I133/'1. Väestöennuste'!K133*1000</f>
        <v>98.038675301040044</v>
      </c>
      <c r="AC133" s="41">
        <f>J133/'1. Väestöennuste'!L133*1000</f>
        <v>-46.305739486244093</v>
      </c>
      <c r="AD133" s="41">
        <f>K133/'1. Väestöennuste'!M133*1000</f>
        <v>475.82452194964139</v>
      </c>
      <c r="AE133" s="41">
        <f>L133/'1. Väestöennuste'!N133*1000</f>
        <v>182.41554875362164</v>
      </c>
      <c r="AF133" s="41">
        <f>M133/'1. Väestöennuste'!O133*1000</f>
        <v>119.0181309077158</v>
      </c>
      <c r="AG133" s="41">
        <f>N133/'1. Väestöennuste'!P133*1000</f>
        <v>159.57335938986918</v>
      </c>
      <c r="AH133" s="41">
        <f>O133/'1. Väestöennuste'!Q133*1000</f>
        <v>173.63802317853848</v>
      </c>
      <c r="AI133" s="41">
        <f>P133/'1. Väestöennuste'!R133*1000</f>
        <v>289.32770006899364</v>
      </c>
    </row>
    <row r="134" spans="1:35" x14ac:dyDescent="0.2">
      <c r="A134" s="34">
        <v>403</v>
      </c>
      <c r="B134" s="88" t="s">
        <v>448</v>
      </c>
      <c r="C134" s="41" t="e">
        <f>'2. Toimintakate'!D134+'3. Verotulot'!G134+'4. Valtionosuudet'!#REF!</f>
        <v>#REF!</v>
      </c>
      <c r="D134" s="41">
        <f>'2. Toimintakate'!E134+'3. Verotulot'!L134+'4. Valtionosuudet'!H134</f>
        <v>2220</v>
      </c>
      <c r="E134" s="41">
        <f>'2. Toimintakate'!F134+'3. Verotulot'!Q134+'4. Valtionosuudet'!N134</f>
        <v>1400</v>
      </c>
      <c r="F134" s="41">
        <f>'2. Toimintakate'!G134+'3. Verotulot'!V134+'4. Valtionosuudet'!T134</f>
        <v>1826</v>
      </c>
      <c r="G134" s="41">
        <f>'2. Toimintakate'!H134+'3. Verotulot'!AA134+'4. Valtionosuudet'!Z134</f>
        <v>479</v>
      </c>
      <c r="H134" s="41">
        <f>'2. Toimintakate'!I134+'3. Verotulot'!AF134+'4. Valtionosuudet'!AG134</f>
        <v>1206.1868516834129</v>
      </c>
      <c r="I134" s="41">
        <f>'2. Toimintakate'!J134+'3. Verotulot'!AK134+'4. Valtionosuudet'!AN134</f>
        <v>1430.9739348039238</v>
      </c>
      <c r="J134" s="41">
        <f>'2. Toimintakate'!K134+'3. Verotulot'!AP134+'4. Valtionosuudet'!AU134</f>
        <v>1243.5813471879155</v>
      </c>
      <c r="K134" s="41">
        <f>'2. Toimintakate'!L134+'3. Verotulot'!AU134+'4. Valtionosuudet'!BC134</f>
        <v>2091.8353067720313</v>
      </c>
      <c r="L134" s="41">
        <f>'2. Toimintakate'!M134+'3. Verotulot'!AZ134+'4. Valtionosuudet'!BK134</f>
        <v>1668.8745848507328</v>
      </c>
      <c r="M134" s="41">
        <f>'2. Toimintakate'!N134+'3. Verotulot'!BE134+'4. Valtionosuudet'!BQ134</f>
        <v>598.18271745760467</v>
      </c>
      <c r="N134" s="41">
        <f>'2. Toimintakate'!O134+'3. Verotulot'!BJ134+'4. Valtionosuudet'!BY134</f>
        <v>427.97009037566659</v>
      </c>
      <c r="O134" s="41">
        <f>'2. Toimintakate'!P134+'3. Verotulot'!BO134+'4. Valtionosuudet'!CE134</f>
        <v>369.12660739444254</v>
      </c>
      <c r="P134" s="41">
        <f>'2. Toimintakate'!Q134+'3. Verotulot'!BT134+'4. Valtionosuudet'!CK134</f>
        <v>687.1519434639622</v>
      </c>
      <c r="T134" s="34">
        <v>403</v>
      </c>
      <c r="U134" s="88" t="s">
        <v>448</v>
      </c>
      <c r="V134" s="41" t="e">
        <f>C134/'1. Väestöennuste'!E134*1000</f>
        <v>#REF!</v>
      </c>
      <c r="W134" s="41">
        <f>D134/'1. Väestöennuste'!F134*1000</f>
        <v>698.99244332493708</v>
      </c>
      <c r="X134" s="41">
        <f>E134/'1. Väestöennuste'!G134*1000</f>
        <v>445.85987261146499</v>
      </c>
      <c r="Y134" s="41">
        <f>F134/'1. Väestöennuste'!H134*1000</f>
        <v>593.24236517218981</v>
      </c>
      <c r="Z134" s="41">
        <f>G134/'1. Väestöennuste'!I134*1000</f>
        <v>159.87983978638184</v>
      </c>
      <c r="AA134" s="41">
        <f>H134/'1. Väestöennuste'!J134*1000</f>
        <v>412.37157322509842</v>
      </c>
      <c r="AB134" s="41">
        <f>I134/'1. Väestöennuste'!K134*1000</f>
        <v>499.29306866850101</v>
      </c>
      <c r="AC134" s="41">
        <f>J134/'1. Väestöennuste'!L134*1000</f>
        <v>440.98629332904807</v>
      </c>
      <c r="AD134" s="41">
        <f>K134/'1. Väestöennuste'!M134*1000</f>
        <v>750.03058686698864</v>
      </c>
      <c r="AE134" s="41">
        <f>L134/'1. Väestöennuste'!N134*1000</f>
        <v>615.59372366312539</v>
      </c>
      <c r="AF134" s="41">
        <f>M134/'1. Väestöennuste'!O134*1000</f>
        <v>224.54306210871047</v>
      </c>
      <c r="AG134" s="41">
        <f>N134/'1. Väestöennuste'!P134*1000</f>
        <v>163.47215064005599</v>
      </c>
      <c r="AH134" s="41">
        <f>O134/'1. Väestöennuste'!Q134*1000</f>
        <v>143.35013879395828</v>
      </c>
      <c r="AI134" s="41">
        <f>P134/'1. Väestöennuste'!R134*1000</f>
        <v>271.60155868140799</v>
      </c>
    </row>
    <row r="135" spans="1:35" x14ac:dyDescent="0.2">
      <c r="A135" s="34">
        <v>405</v>
      </c>
      <c r="B135" s="88" t="s">
        <v>449</v>
      </c>
      <c r="C135" s="41" t="e">
        <f>'2. Toimintakate'!D135+'3. Verotulot'!G135+'4. Valtionosuudet'!#REF!</f>
        <v>#REF!</v>
      </c>
      <c r="D135" s="41">
        <f>'2. Toimintakate'!E135+'3. Verotulot'!L135+'4. Valtionosuudet'!H135</f>
        <v>15399</v>
      </c>
      <c r="E135" s="41">
        <f>'2. Toimintakate'!F135+'3. Verotulot'!Q135+'4. Valtionosuudet'!N135</f>
        <v>23962</v>
      </c>
      <c r="F135" s="41">
        <f>'2. Toimintakate'!G135+'3. Verotulot'!V135+'4. Valtionosuudet'!T135</f>
        <v>9083</v>
      </c>
      <c r="G135" s="41">
        <f>'2. Toimintakate'!H135+'3. Verotulot'!AA135+'4. Valtionosuudet'!Z135</f>
        <v>15730</v>
      </c>
      <c r="H135" s="41">
        <f>'2. Toimintakate'!I135+'3. Verotulot'!AF135+'4. Valtionosuudet'!AG135</f>
        <v>27149.390094509756</v>
      </c>
      <c r="I135" s="41">
        <f>'2. Toimintakate'!J135+'3. Verotulot'!AK135+'4. Valtionosuudet'!AN135</f>
        <v>46811.383079438499</v>
      </c>
      <c r="J135" s="41">
        <f>'2. Toimintakate'!K135+'3. Verotulot'!AP135+'4. Valtionosuudet'!AU135</f>
        <v>25838.60276660102</v>
      </c>
      <c r="K135" s="41">
        <f>'2. Toimintakate'!L135+'3. Verotulot'!AU135+'4. Valtionosuudet'!BC135</f>
        <v>52159.933318166397</v>
      </c>
      <c r="L135" s="41">
        <f>'2. Toimintakate'!M135+'3. Verotulot'!AZ135+'4. Valtionosuudet'!BK135</f>
        <v>40061.151744111172</v>
      </c>
      <c r="M135" s="41">
        <f>'2. Toimintakate'!N135+'3. Verotulot'!BE135+'4. Valtionosuudet'!BQ135</f>
        <v>27874.826628691611</v>
      </c>
      <c r="N135" s="41">
        <f>'2. Toimintakate'!O135+'3. Verotulot'!BJ135+'4. Valtionosuudet'!BY135</f>
        <v>25660.68477429331</v>
      </c>
      <c r="O135" s="41">
        <f>'2. Toimintakate'!P135+'3. Verotulot'!BO135+'4. Valtionosuudet'!CE135</f>
        <v>27531.971489071366</v>
      </c>
      <c r="P135" s="41">
        <f>'2. Toimintakate'!Q135+'3. Verotulot'!BT135+'4. Valtionosuudet'!CK135</f>
        <v>32583.90704258655</v>
      </c>
      <c r="T135" s="34">
        <v>405</v>
      </c>
      <c r="U135" s="88" t="s">
        <v>449</v>
      </c>
      <c r="V135" s="41" t="e">
        <f>C135/'1. Väestöennuste'!E135*1000</f>
        <v>#REF!</v>
      </c>
      <c r="W135" s="41">
        <f>D135/'1. Väestöennuste'!F135*1000</f>
        <v>211.31573169392908</v>
      </c>
      <c r="X135" s="41">
        <f>E135/'1. Väestöennuste'!G135*1000</f>
        <v>328.65627014497522</v>
      </c>
      <c r="Y135" s="41">
        <f>F135/'1. Väestöennuste'!H135*1000</f>
        <v>124.93982035516308</v>
      </c>
      <c r="Z135" s="41">
        <f>G135/'1. Väestöennuste'!I135*1000</f>
        <v>216.56524492661839</v>
      </c>
      <c r="AA135" s="41">
        <f>H135/'1. Väestöennuste'!J135*1000</f>
        <v>373.63945521056064</v>
      </c>
      <c r="AB135" s="41">
        <f>I135/'1. Väestöennuste'!K135*1000</f>
        <v>644.48306687554725</v>
      </c>
      <c r="AC135" s="41">
        <f>J135/'1. Väestöennuste'!L135*1000</f>
        <v>355.6586753833588</v>
      </c>
      <c r="AD135" s="41">
        <f>K135/'1. Väestöennuste'!M135*1000</f>
        <v>714.63710908870496</v>
      </c>
      <c r="AE135" s="41">
        <f>L135/'1. Väestöennuste'!N135*1000</f>
        <v>552.30859657693179</v>
      </c>
      <c r="AF135" s="41">
        <f>M135/'1. Väestöennuste'!O135*1000</f>
        <v>384.66075992453858</v>
      </c>
      <c r="AG135" s="41">
        <f>N135/'1. Väestöennuste'!P135*1000</f>
        <v>354.49299976920315</v>
      </c>
      <c r="AH135" s="41">
        <f>O135/'1. Väestöennuste'!Q135*1000</f>
        <v>380.77548563821819</v>
      </c>
      <c r="AI135" s="41">
        <f>P135/'1. Väestöennuste'!R135*1000</f>
        <v>451.19441464733444</v>
      </c>
    </row>
    <row r="136" spans="1:35" x14ac:dyDescent="0.2">
      <c r="A136" s="34">
        <v>407</v>
      </c>
      <c r="B136" s="88" t="s">
        <v>450</v>
      </c>
      <c r="C136" s="41" t="e">
        <f>'2. Toimintakate'!D136+'3. Verotulot'!G136+'4. Valtionosuudet'!#REF!</f>
        <v>#REF!</v>
      </c>
      <c r="D136" s="41">
        <f>'2. Toimintakate'!E136+'3. Verotulot'!L136+'4. Valtionosuudet'!H136</f>
        <v>-979</v>
      </c>
      <c r="E136" s="41">
        <f>'2. Toimintakate'!F136+'3. Verotulot'!Q136+'4. Valtionosuudet'!N136</f>
        <v>-972</v>
      </c>
      <c r="F136" s="41">
        <f>'2. Toimintakate'!G136+'3. Verotulot'!V136+'4. Valtionosuudet'!T136</f>
        <v>-819</v>
      </c>
      <c r="G136" s="41">
        <f>'2. Toimintakate'!H136+'3. Verotulot'!AA136+'4. Valtionosuudet'!Z136</f>
        <v>-648</v>
      </c>
      <c r="H136" s="41">
        <f>'2. Toimintakate'!I136+'3. Verotulot'!AF136+'4. Valtionosuudet'!AG136</f>
        <v>2027.1099713894255</v>
      </c>
      <c r="I136" s="41">
        <f>'2. Toimintakate'!J136+'3. Verotulot'!AK136+'4. Valtionosuudet'!AN136</f>
        <v>898.82273363247987</v>
      </c>
      <c r="J136" s="41">
        <f>'2. Toimintakate'!K136+'3. Verotulot'!AP136+'4. Valtionosuudet'!AU136</f>
        <v>887.28322776994355</v>
      </c>
      <c r="K136" s="41">
        <f>'2. Toimintakate'!L136+'3. Verotulot'!AU136+'4. Valtionosuudet'!BC136</f>
        <v>497.45743909352132</v>
      </c>
      <c r="L136" s="41">
        <f>'2. Toimintakate'!M136+'3. Verotulot'!AZ136+'4. Valtionosuudet'!BK136</f>
        <v>314.02655406245503</v>
      </c>
      <c r="M136" s="41">
        <f>'2. Toimintakate'!N136+'3. Verotulot'!BE136+'4. Valtionosuudet'!BQ136</f>
        <v>-554.93742570271843</v>
      </c>
      <c r="N136" s="41">
        <f>'2. Toimintakate'!O136+'3. Verotulot'!BJ136+'4. Valtionosuudet'!BY136</f>
        <v>-594.98023331803233</v>
      </c>
      <c r="O136" s="41">
        <f>'2. Toimintakate'!P136+'3. Verotulot'!BO136+'4. Valtionosuudet'!CE136</f>
        <v>-606.65280535857664</v>
      </c>
      <c r="P136" s="41">
        <f>'2. Toimintakate'!Q136+'3. Verotulot'!BT136+'4. Valtionosuudet'!CK136</f>
        <v>-511.56257535597206</v>
      </c>
      <c r="T136" s="34">
        <v>407</v>
      </c>
      <c r="U136" s="88" t="s">
        <v>450</v>
      </c>
      <c r="V136" s="41" t="e">
        <f>C136/'1. Väestöennuste'!E136*1000</f>
        <v>#REF!</v>
      </c>
      <c r="W136" s="41">
        <f>D136/'1. Väestöennuste'!F136*1000</f>
        <v>-357.42971887550203</v>
      </c>
      <c r="X136" s="41">
        <f>E136/'1. Väestöennuste'!G136*1000</f>
        <v>-359.20177383592016</v>
      </c>
      <c r="Y136" s="41">
        <f>F136/'1. Väestöennuste'!H136*1000</f>
        <v>-307.3170731707317</v>
      </c>
      <c r="Z136" s="41">
        <f>G136/'1. Väestöennuste'!I136*1000</f>
        <v>-248.65694551036071</v>
      </c>
      <c r="AA136" s="41">
        <f>H136/'1. Väestöennuste'!J136*1000</f>
        <v>773.41090094979995</v>
      </c>
      <c r="AB136" s="41">
        <f>I136/'1. Väestöennuste'!K136*1000</f>
        <v>348.38090450871312</v>
      </c>
      <c r="AC136" s="41">
        <f>J136/'1. Väestöennuste'!L136*1000</f>
        <v>352.3761825933056</v>
      </c>
      <c r="AD136" s="41">
        <f>K136/'1. Väestöennuste'!M136*1000</f>
        <v>203.12676157350811</v>
      </c>
      <c r="AE136" s="41">
        <f>L136/'1. Väestöennuste'!N136*1000</f>
        <v>124.26852159179067</v>
      </c>
      <c r="AF136" s="41">
        <f>M136/'1. Väestöennuste'!O136*1000</f>
        <v>-221.26691614940927</v>
      </c>
      <c r="AG136" s="41">
        <f>N136/'1. Väestöennuste'!P136*1000</f>
        <v>-238.8519603845975</v>
      </c>
      <c r="AH136" s="41">
        <f>O136/'1. Väestöennuste'!Q136*1000</f>
        <v>-245.21131987007948</v>
      </c>
      <c r="AI136" s="41">
        <f>P136/'1. Väestöennuste'!R136*1000</f>
        <v>-208.12147085271442</v>
      </c>
    </row>
    <row r="137" spans="1:35" x14ac:dyDescent="0.2">
      <c r="A137" s="34">
        <v>408</v>
      </c>
      <c r="B137" s="88" t="s">
        <v>451</v>
      </c>
      <c r="C137" s="41" t="e">
        <f>'2. Toimintakate'!D137+'3. Verotulot'!G137+'4. Valtionosuudet'!#REF!</f>
        <v>#REF!</v>
      </c>
      <c r="D137" s="41">
        <f>'2. Toimintakate'!E137+'3. Verotulot'!L137+'4. Valtionosuudet'!H137</f>
        <v>8054</v>
      </c>
      <c r="E137" s="41">
        <f>'2. Toimintakate'!F137+'3. Verotulot'!Q137+'4. Valtionosuudet'!N137</f>
        <v>8051</v>
      </c>
      <c r="F137" s="41">
        <f>'2. Toimintakate'!G137+'3. Verotulot'!V137+'4. Valtionosuudet'!T137</f>
        <v>4070</v>
      </c>
      <c r="G137" s="41">
        <f>'2. Toimintakate'!H137+'3. Verotulot'!AA137+'4. Valtionosuudet'!Z137</f>
        <v>3862</v>
      </c>
      <c r="H137" s="41">
        <f>'2. Toimintakate'!I137+'3. Verotulot'!AF137+'4. Valtionosuudet'!AG137</f>
        <v>9515.7435107509955</v>
      </c>
      <c r="I137" s="41">
        <f>'2. Toimintakate'!J137+'3. Verotulot'!AK137+'4. Valtionosuudet'!AN137</f>
        <v>7946.0080131973373</v>
      </c>
      <c r="J137" s="41">
        <f>'2. Toimintakate'!K137+'3. Verotulot'!AP137+'4. Valtionosuudet'!AU137</f>
        <v>7916.0882921690427</v>
      </c>
      <c r="K137" s="41">
        <f>'2. Toimintakate'!L137+'3. Verotulot'!AU137+'4. Valtionosuudet'!BC137</f>
        <v>12164.776479933571</v>
      </c>
      <c r="L137" s="41">
        <f>'2. Toimintakate'!M137+'3. Verotulot'!AZ137+'4. Valtionosuudet'!BK137</f>
        <v>6825.2343741784953</v>
      </c>
      <c r="M137" s="41">
        <f>'2. Toimintakate'!N137+'3. Verotulot'!BE137+'4. Valtionosuudet'!BQ137</f>
        <v>7007.4314539720799</v>
      </c>
      <c r="N137" s="41">
        <f>'2. Toimintakate'!O137+'3. Verotulot'!BJ137+'4. Valtionosuudet'!BY137</f>
        <v>8171.1759083852812</v>
      </c>
      <c r="O137" s="41">
        <f>'2. Toimintakate'!P137+'3. Verotulot'!BO137+'4. Valtionosuudet'!CE137</f>
        <v>8308.6160455006975</v>
      </c>
      <c r="P137" s="41">
        <f>'2. Toimintakate'!Q137+'3. Verotulot'!BT137+'4. Valtionosuudet'!CK137</f>
        <v>10470.095336062201</v>
      </c>
      <c r="T137" s="34">
        <v>408</v>
      </c>
      <c r="U137" s="88" t="s">
        <v>451</v>
      </c>
      <c r="V137" s="41" t="e">
        <f>C137/'1. Väestöennuste'!E137*1000</f>
        <v>#REF!</v>
      </c>
      <c r="W137" s="41">
        <f>D137/'1. Väestöennuste'!F137*1000</f>
        <v>552.59005145797596</v>
      </c>
      <c r="X137" s="41">
        <f>E137/'1. Väestöennuste'!G137*1000</f>
        <v>555.47122947426521</v>
      </c>
      <c r="Y137" s="41">
        <f>F137/'1. Väestöennuste'!H137*1000</f>
        <v>282.10993276495464</v>
      </c>
      <c r="Z137" s="41">
        <f>G137/'1. Väestöennuste'!I137*1000</f>
        <v>270.48606247373579</v>
      </c>
      <c r="AA137" s="41">
        <f>H137/'1. Väestöennuste'!J137*1000</f>
        <v>669.13321923570743</v>
      </c>
      <c r="AB137" s="41">
        <f>I137/'1. Väestöennuste'!K137*1000</f>
        <v>559.45983335896199</v>
      </c>
      <c r="AC137" s="41">
        <f>J137/'1. Väestöennuste'!L137*1000</f>
        <v>561.46452175112017</v>
      </c>
      <c r="AD137" s="41">
        <f>K137/'1. Väestöennuste'!M137*1000</f>
        <v>867.42559041169216</v>
      </c>
      <c r="AE137" s="41">
        <f>L137/'1. Väestöennuste'!N137*1000</f>
        <v>491.80244806013081</v>
      </c>
      <c r="AF137" s="41">
        <f>M137/'1. Väestöennuste'!O137*1000</f>
        <v>508.26368709451509</v>
      </c>
      <c r="AG137" s="41">
        <f>N137/'1. Väestöennuste'!P137*1000</f>
        <v>596.43619769235636</v>
      </c>
      <c r="AH137" s="41">
        <f>O137/'1. Väestöennuste'!Q137*1000</f>
        <v>610.56849246771742</v>
      </c>
      <c r="AI137" s="41">
        <f>P137/'1. Väestöennuste'!R137*1000</f>
        <v>774.52991093817138</v>
      </c>
    </row>
    <row r="138" spans="1:35" x14ac:dyDescent="0.2">
      <c r="A138" s="34">
        <v>410</v>
      </c>
      <c r="B138" s="88" t="s">
        <v>452</v>
      </c>
      <c r="C138" s="41" t="e">
        <f>'2. Toimintakate'!D138+'3. Verotulot'!G138+'4. Valtionosuudet'!#REF!</f>
        <v>#REF!</v>
      </c>
      <c r="D138" s="41">
        <f>'2. Toimintakate'!E138+'3. Verotulot'!L138+'4. Valtionosuudet'!H138</f>
        <v>3797</v>
      </c>
      <c r="E138" s="41">
        <f>'2. Toimintakate'!F138+'3. Verotulot'!Q138+'4. Valtionosuudet'!N138</f>
        <v>6927</v>
      </c>
      <c r="F138" s="41">
        <f>'2. Toimintakate'!G138+'3. Verotulot'!V138+'4. Valtionosuudet'!T138</f>
        <v>548</v>
      </c>
      <c r="G138" s="41">
        <f>'2. Toimintakate'!H138+'3. Verotulot'!AA138+'4. Valtionosuudet'!Z138</f>
        <v>2360</v>
      </c>
      <c r="H138" s="41">
        <f>'2. Toimintakate'!I138+'3. Verotulot'!AF138+'4. Valtionosuudet'!AG138</f>
        <v>12225.306222963562</v>
      </c>
      <c r="I138" s="41">
        <f>'2. Toimintakate'!J138+'3. Verotulot'!AK138+'4. Valtionosuudet'!AN138</f>
        <v>3972.141738485996</v>
      </c>
      <c r="J138" s="41">
        <f>'2. Toimintakate'!K138+'3. Verotulot'!AP138+'4. Valtionosuudet'!AU138</f>
        <v>1650.0152753522852</v>
      </c>
      <c r="K138" s="41">
        <f>'2. Toimintakate'!L138+'3. Verotulot'!AU138+'4. Valtionosuudet'!BC138</f>
        <v>11183.396943794833</v>
      </c>
      <c r="L138" s="41">
        <f>'2. Toimintakate'!M138+'3. Verotulot'!AZ138+'4. Valtionosuudet'!BK138</f>
        <v>6413.0870062898557</v>
      </c>
      <c r="M138" s="41">
        <f>'2. Toimintakate'!N138+'3. Verotulot'!BE138+'4. Valtionosuudet'!BQ138</f>
        <v>5895.4745889726946</v>
      </c>
      <c r="N138" s="41">
        <f>'2. Toimintakate'!O138+'3. Verotulot'!BJ138+'4. Valtionosuudet'!BY138</f>
        <v>6998.2314895996496</v>
      </c>
      <c r="O138" s="41">
        <f>'2. Toimintakate'!P138+'3. Verotulot'!BO138+'4. Valtionosuudet'!CE138</f>
        <v>7760.5849711735063</v>
      </c>
      <c r="P138" s="41">
        <f>'2. Toimintakate'!Q138+'3. Verotulot'!BT138+'4. Valtionosuudet'!CK138</f>
        <v>9520.5371501803638</v>
      </c>
      <c r="T138" s="34">
        <v>410</v>
      </c>
      <c r="U138" s="88" t="s">
        <v>452</v>
      </c>
      <c r="V138" s="41" t="e">
        <f>C138/'1. Väestöennuste'!E138*1000</f>
        <v>#REF!</v>
      </c>
      <c r="W138" s="41">
        <f>D138/'1. Väestöennuste'!F138*1000</f>
        <v>200.15814443858724</v>
      </c>
      <c r="X138" s="41">
        <f>E138/'1. Väestöennuste'!G138*1000</f>
        <v>365.00158077774262</v>
      </c>
      <c r="Y138" s="41">
        <f>F138/'1. Väestöennuste'!H138*1000</f>
        <v>28.953347070322817</v>
      </c>
      <c r="Z138" s="41">
        <f>G138/'1. Väestöennuste'!I138*1000</f>
        <v>124.84790773951225</v>
      </c>
      <c r="AA138" s="41">
        <f>H138/'1. Väestöennuste'!J138*1000</f>
        <v>649.48765993537495</v>
      </c>
      <c r="AB138" s="41">
        <f>I138/'1. Väestöennuste'!K138*1000</f>
        <v>211.41908337694252</v>
      </c>
      <c r="AC138" s="41">
        <f>J138/'1. Väestöennuste'!L138*1000</f>
        <v>87.883636503450617</v>
      </c>
      <c r="AD138" s="41">
        <f>K138/'1. Väestöennuste'!M138*1000</f>
        <v>596.06635453548836</v>
      </c>
      <c r="AE138" s="41">
        <f>L138/'1. Väestöennuste'!N138*1000</f>
        <v>342.08604076864862</v>
      </c>
      <c r="AF138" s="41">
        <f>M138/'1. Väestöennuste'!O138*1000</f>
        <v>315.0470041667661</v>
      </c>
      <c r="AG138" s="41">
        <f>N138/'1. Väestöennuste'!P138*1000</f>
        <v>374.75803200169486</v>
      </c>
      <c r="AH138" s="41">
        <f>O138/'1. Väestöennuste'!Q138*1000</f>
        <v>416.47445374978571</v>
      </c>
      <c r="AI138" s="41">
        <f>P138/'1. Väestöennuste'!R138*1000</f>
        <v>512.13217591072419</v>
      </c>
    </row>
    <row r="139" spans="1:35" x14ac:dyDescent="0.2">
      <c r="A139" s="34">
        <v>416</v>
      </c>
      <c r="B139" s="88" t="s">
        <v>453</v>
      </c>
      <c r="C139" s="41" t="e">
        <f>'2. Toimintakate'!D139+'3. Verotulot'!G139+'4. Valtionosuudet'!#REF!</f>
        <v>#REF!</v>
      </c>
      <c r="D139" s="41">
        <f>'2. Toimintakate'!E139+'3. Verotulot'!L139+'4. Valtionosuudet'!H139</f>
        <v>944</v>
      </c>
      <c r="E139" s="41">
        <f>'2. Toimintakate'!F139+'3. Verotulot'!Q139+'4. Valtionosuudet'!N139</f>
        <v>41</v>
      </c>
      <c r="F139" s="41">
        <f>'2. Toimintakate'!G139+'3. Verotulot'!V139+'4. Valtionosuudet'!T139</f>
        <v>-1100</v>
      </c>
      <c r="G139" s="41">
        <f>'2. Toimintakate'!H139+'3. Verotulot'!AA139+'4. Valtionosuudet'!Z139</f>
        <v>-43</v>
      </c>
      <c r="H139" s="41">
        <f>'2. Toimintakate'!I139+'3. Verotulot'!AF139+'4. Valtionosuudet'!AG139</f>
        <v>1330.6947077886525</v>
      </c>
      <c r="I139" s="41">
        <f>'2. Toimintakate'!J139+'3. Verotulot'!AK139+'4. Valtionosuudet'!AN139</f>
        <v>1101.0632867062495</v>
      </c>
      <c r="J139" s="41">
        <f>'2. Toimintakate'!K139+'3. Verotulot'!AP139+'4. Valtionosuudet'!AU139</f>
        <v>631.31798252029603</v>
      </c>
      <c r="K139" s="41">
        <f>'2. Toimintakate'!L139+'3. Verotulot'!AU139+'4. Valtionosuudet'!BC139</f>
        <v>1656.3763426790749</v>
      </c>
      <c r="L139" s="41">
        <f>'2. Toimintakate'!M139+'3. Verotulot'!AZ139+'4. Valtionosuudet'!BK139</f>
        <v>1000.7275409221852</v>
      </c>
      <c r="M139" s="41">
        <f>'2. Toimintakate'!N139+'3. Verotulot'!BE139+'4. Valtionosuudet'!BQ139</f>
        <v>-297.69528795521319</v>
      </c>
      <c r="N139" s="41">
        <f>'2. Toimintakate'!O139+'3. Verotulot'!BJ139+'4. Valtionosuudet'!BY139</f>
        <v>-194.37656014835011</v>
      </c>
      <c r="O139" s="41">
        <f>'2. Toimintakate'!P139+'3. Verotulot'!BO139+'4. Valtionosuudet'!CE139</f>
        <v>-220.10850581446039</v>
      </c>
      <c r="P139" s="41">
        <f>'2. Toimintakate'!Q139+'3. Verotulot'!BT139+'4. Valtionosuudet'!CK139</f>
        <v>-247.14054968905612</v>
      </c>
      <c r="T139" s="34">
        <v>416</v>
      </c>
      <c r="U139" s="88" t="s">
        <v>453</v>
      </c>
      <c r="V139" s="41" t="e">
        <f>C139/'1. Väestöennuste'!E139*1000</f>
        <v>#REF!</v>
      </c>
      <c r="W139" s="41">
        <f>D139/'1. Väestöennuste'!F139*1000</f>
        <v>306.89206762028607</v>
      </c>
      <c r="X139" s="41">
        <f>E139/'1. Väestöennuste'!G139*1000</f>
        <v>13.385569702905649</v>
      </c>
      <c r="Y139" s="41">
        <f>F139/'1. Väestöennuste'!H139*1000</f>
        <v>-361.48537627341437</v>
      </c>
      <c r="Z139" s="41">
        <f>G139/'1. Väestöennuste'!I139*1000</f>
        <v>-14.473241332884552</v>
      </c>
      <c r="AA139" s="41">
        <f>H139/'1. Väestöennuste'!J139*1000</f>
        <v>448.9523305629732</v>
      </c>
      <c r="AB139" s="41">
        <f>I139/'1. Väestöennuste'!K139*1000</f>
        <v>377.46427381084999</v>
      </c>
      <c r="AC139" s="41">
        <f>J139/'1. Väestöennuste'!L139*1000</f>
        <v>218.75189969518226</v>
      </c>
      <c r="AD139" s="41">
        <f>K139/'1. Väestöennuste'!M139*1000</f>
        <v>578.74784859506451</v>
      </c>
      <c r="AE139" s="41">
        <f>L139/'1. Väestöennuste'!N139*1000</f>
        <v>346.99290600630553</v>
      </c>
      <c r="AF139" s="41">
        <f>M139/'1. Väestöennuste'!O139*1000</f>
        <v>-103.87134960056287</v>
      </c>
      <c r="AG139" s="41">
        <f>N139/'1. Väestöennuste'!P139*1000</f>
        <v>-68.29815887152148</v>
      </c>
      <c r="AH139" s="41">
        <f>O139/'1. Väestöennuste'!Q139*1000</f>
        <v>-77.942105458378322</v>
      </c>
      <c r="AI139" s="41">
        <f>P139/'1. Väestöennuste'!R139*1000</f>
        <v>-88.201480973967207</v>
      </c>
    </row>
    <row r="140" spans="1:35" x14ac:dyDescent="0.2">
      <c r="A140" s="34">
        <v>418</v>
      </c>
      <c r="B140" s="88" t="s">
        <v>454</v>
      </c>
      <c r="C140" s="41" t="e">
        <f>'2. Toimintakate'!D140+'3. Verotulot'!G140+'4. Valtionosuudet'!#REF!</f>
        <v>#REF!</v>
      </c>
      <c r="D140" s="41">
        <f>'2. Toimintakate'!E140+'3. Verotulot'!L140+'4. Valtionosuudet'!H140</f>
        <v>13792</v>
      </c>
      <c r="E140" s="41">
        <f>'2. Toimintakate'!F140+'3. Verotulot'!Q140+'4. Valtionosuudet'!N140</f>
        <v>14286</v>
      </c>
      <c r="F140" s="41">
        <f>'2. Toimintakate'!G140+'3. Verotulot'!V140+'4. Valtionosuudet'!T140</f>
        <v>5910</v>
      </c>
      <c r="G140" s="41">
        <f>'2. Toimintakate'!H140+'3. Verotulot'!AA140+'4. Valtionosuudet'!Z140</f>
        <v>7682</v>
      </c>
      <c r="H140" s="41">
        <f>'2. Toimintakate'!I140+'3. Verotulot'!AF140+'4. Valtionosuudet'!AG140</f>
        <v>14152.099781871853</v>
      </c>
      <c r="I140" s="41">
        <f>'2. Toimintakate'!J140+'3. Verotulot'!AK140+'4. Valtionosuudet'!AN140</f>
        <v>12575.52716581853</v>
      </c>
      <c r="J140" s="41">
        <f>'2. Toimintakate'!K140+'3. Verotulot'!AP140+'4. Valtionosuudet'!AU140</f>
        <v>8653.213308129958</v>
      </c>
      <c r="K140" s="41">
        <f>'2. Toimintakate'!L140+'3. Verotulot'!AU140+'4. Valtionosuudet'!BC140</f>
        <v>14044.904803737951</v>
      </c>
      <c r="L140" s="41">
        <f>'2. Toimintakate'!M140+'3. Verotulot'!AZ140+'4. Valtionosuudet'!BK140</f>
        <v>7921.7058921256539</v>
      </c>
      <c r="M140" s="41">
        <f>'2. Toimintakate'!N140+'3. Verotulot'!BE140+'4. Valtionosuudet'!BQ140</f>
        <v>4672.1007712457758</v>
      </c>
      <c r="N140" s="41">
        <f>'2. Toimintakate'!O140+'3. Verotulot'!BJ140+'4. Valtionosuudet'!BY140</f>
        <v>6485.4566708450402</v>
      </c>
      <c r="O140" s="41">
        <f>'2. Toimintakate'!P140+'3. Verotulot'!BO140+'4. Valtionosuudet'!CE140</f>
        <v>6855.0448731204015</v>
      </c>
      <c r="P140" s="41">
        <f>'2. Toimintakate'!Q140+'3. Verotulot'!BT140+'4. Valtionosuudet'!CK140</f>
        <v>7625.0011271747317</v>
      </c>
      <c r="T140" s="34">
        <v>418</v>
      </c>
      <c r="U140" s="88" t="s">
        <v>454</v>
      </c>
      <c r="V140" s="41" t="e">
        <f>C140/'1. Väestöennuste'!E140*1000</f>
        <v>#REF!</v>
      </c>
      <c r="W140" s="41">
        <f>D140/'1. Väestöennuste'!F140*1000</f>
        <v>606.37502747856672</v>
      </c>
      <c r="X140" s="41">
        <f>E140/'1. Väestöennuste'!G140*1000</f>
        <v>625.7829953129791</v>
      </c>
      <c r="Y140" s="41">
        <f>F140/'1. Väestöennuste'!H140*1000</f>
        <v>254.67551495302936</v>
      </c>
      <c r="Z140" s="41">
        <f>G140/'1. Väestöennuste'!I140*1000</f>
        <v>326.57399141265995</v>
      </c>
      <c r="AA140" s="41">
        <f>H140/'1. Väestöennuste'!J140*1000</f>
        <v>593.9273032512948</v>
      </c>
      <c r="AB140" s="41">
        <f>I140/'1. Väestöennuste'!K140*1000</f>
        <v>520.42406744820937</v>
      </c>
      <c r="AC140" s="41">
        <f>J140/'1. Väestöennuste'!L140*1000</f>
        <v>352.04285224287867</v>
      </c>
      <c r="AD140" s="41">
        <f>K140/'1. Väestöennuste'!M140*1000</f>
        <v>568.36650899348274</v>
      </c>
      <c r="AE140" s="41">
        <f>L140/'1. Väestöennuste'!N140*1000</f>
        <v>320.93772605135734</v>
      </c>
      <c r="AF140" s="41">
        <f>M140/'1. Väestöennuste'!O140*1000</f>
        <v>187.96671915214742</v>
      </c>
      <c r="AG140" s="41">
        <f>N140/'1. Väestöennuste'!P140*1000</f>
        <v>259.26270920827665</v>
      </c>
      <c r="AH140" s="41">
        <f>O140/'1. Väestöennuste'!Q140*1000</f>
        <v>272.49055424416275</v>
      </c>
      <c r="AI140" s="41">
        <f>P140/'1. Väestöennuste'!R140*1000</f>
        <v>301.51453703882055</v>
      </c>
    </row>
    <row r="141" spans="1:35" x14ac:dyDescent="0.2">
      <c r="A141" s="34">
        <v>420</v>
      </c>
      <c r="B141" s="88" t="s">
        <v>455</v>
      </c>
      <c r="C141" s="41" t="e">
        <f>'2. Toimintakate'!D141+'3. Verotulot'!G141+'4. Valtionosuudet'!#REF!</f>
        <v>#REF!</v>
      </c>
      <c r="D141" s="41">
        <f>'2. Toimintakate'!E141+'3. Verotulot'!L141+'4. Valtionosuudet'!H141</f>
        <v>4151</v>
      </c>
      <c r="E141" s="41">
        <f>'2. Toimintakate'!F141+'3. Verotulot'!Q141+'4. Valtionosuudet'!N141</f>
        <v>4179</v>
      </c>
      <c r="F141" s="41">
        <f>'2. Toimintakate'!G141+'3. Verotulot'!V141+'4. Valtionosuudet'!T141</f>
        <v>1423</v>
      </c>
      <c r="G141" s="41">
        <f>'2. Toimintakate'!H141+'3. Verotulot'!AA141+'4. Valtionosuudet'!Z141</f>
        <v>-44</v>
      </c>
      <c r="H141" s="41">
        <f>'2. Toimintakate'!I141+'3. Verotulot'!AF141+'4. Valtionosuudet'!AG141</f>
        <v>5420.3393713628247</v>
      </c>
      <c r="I141" s="41">
        <f>'2. Toimintakate'!J141+'3. Verotulot'!AK141+'4. Valtionosuudet'!AN141</f>
        <v>3194.913003018657</v>
      </c>
      <c r="J141" s="41">
        <f>'2. Toimintakate'!K141+'3. Verotulot'!AP141+'4. Valtionosuudet'!AU141</f>
        <v>4125.5971728934164</v>
      </c>
      <c r="K141" s="41">
        <f>'2. Toimintakate'!L141+'3. Verotulot'!AU141+'4. Valtionosuudet'!BC141</f>
        <v>6130.4794010969381</v>
      </c>
      <c r="L141" s="41">
        <f>'2. Toimintakate'!M141+'3. Verotulot'!AZ141+'4. Valtionosuudet'!BK141</f>
        <v>2713.4210861452002</v>
      </c>
      <c r="M141" s="41">
        <f>'2. Toimintakate'!N141+'3. Verotulot'!BE141+'4. Valtionosuudet'!BQ141</f>
        <v>3265.9911057851523</v>
      </c>
      <c r="N141" s="41">
        <f>'2. Toimintakate'!O141+'3. Verotulot'!BJ141+'4. Valtionosuudet'!BY141</f>
        <v>3392.8707350187633</v>
      </c>
      <c r="O141" s="41">
        <f>'2. Toimintakate'!P141+'3. Verotulot'!BO141+'4. Valtionosuudet'!CE141</f>
        <v>3842.9304737291395</v>
      </c>
      <c r="P141" s="41">
        <f>'2. Toimintakate'!Q141+'3. Verotulot'!BT141+'4. Valtionosuudet'!CK141</f>
        <v>4674.578885658234</v>
      </c>
      <c r="T141" s="34">
        <v>420</v>
      </c>
      <c r="U141" s="88" t="s">
        <v>455</v>
      </c>
      <c r="V141" s="41" t="e">
        <f>C141/'1. Väestöennuste'!E141*1000</f>
        <v>#REF!</v>
      </c>
      <c r="W141" s="41">
        <f>D141/'1. Väestöennuste'!F141*1000</f>
        <v>420.78053725291437</v>
      </c>
      <c r="X141" s="41">
        <f>E141/'1. Väestöennuste'!G141*1000</f>
        <v>427.21324882437131</v>
      </c>
      <c r="Y141" s="41">
        <f>F141/'1. Väestöennuste'!H141*1000</f>
        <v>147.46113989637306</v>
      </c>
      <c r="Z141" s="41">
        <f>G141/'1. Väestöennuste'!I141*1000</f>
        <v>-4.6541146604611807</v>
      </c>
      <c r="AA141" s="41">
        <f>H141/'1. Väestöennuste'!J141*1000</f>
        <v>576.50918648828178</v>
      </c>
      <c r="AB141" s="41">
        <f>I141/'1. Väestöennuste'!K141*1000</f>
        <v>344.27941842873463</v>
      </c>
      <c r="AC141" s="41">
        <f>J141/'1. Väestöennuste'!L141*1000</f>
        <v>449.5583712426083</v>
      </c>
      <c r="AD141" s="41">
        <f>K141/'1. Väestöennuste'!M141*1000</f>
        <v>677.47589801049162</v>
      </c>
      <c r="AE141" s="41">
        <f>L141/'1. Väestöennuste'!N141*1000</f>
        <v>301.89375680298173</v>
      </c>
      <c r="AF141" s="41">
        <f>M141/'1. Väestöennuste'!O141*1000</f>
        <v>367.3367569210609</v>
      </c>
      <c r="AG141" s="41">
        <f>N141/'1. Väestöennuste'!P141*1000</f>
        <v>385.77268163942728</v>
      </c>
      <c r="AH141" s="41">
        <f>O141/'1. Väestöennuste'!Q141*1000</f>
        <v>441.563882997718</v>
      </c>
      <c r="AI141" s="41">
        <f>P141/'1. Väestöennuste'!R141*1000</f>
        <v>542.86132686775443</v>
      </c>
    </row>
    <row r="142" spans="1:35" x14ac:dyDescent="0.2">
      <c r="A142" s="34">
        <v>421</v>
      </c>
      <c r="B142" s="88" t="s">
        <v>456</v>
      </c>
      <c r="C142" s="41" t="e">
        <f>'2. Toimintakate'!D142+'3. Verotulot'!G142+'4. Valtionosuudet'!#REF!</f>
        <v>#REF!</v>
      </c>
      <c r="D142" s="41">
        <f>'2. Toimintakate'!E142+'3. Verotulot'!L142+'4. Valtionosuudet'!H142</f>
        <v>60</v>
      </c>
      <c r="E142" s="41">
        <f>'2. Toimintakate'!F142+'3. Verotulot'!Q142+'4. Valtionosuudet'!N142</f>
        <v>193</v>
      </c>
      <c r="F142" s="41">
        <f>'2. Toimintakate'!G142+'3. Verotulot'!V142+'4. Valtionosuudet'!T142</f>
        <v>-232</v>
      </c>
      <c r="G142" s="41">
        <f>'2. Toimintakate'!H142+'3. Verotulot'!AA142+'4. Valtionosuudet'!Z142</f>
        <v>-142</v>
      </c>
      <c r="H142" s="41">
        <f>'2. Toimintakate'!I142+'3. Verotulot'!AF142+'4. Valtionosuudet'!AG142</f>
        <v>235.81050032979829</v>
      </c>
      <c r="I142" s="41">
        <f>'2. Toimintakate'!J142+'3. Verotulot'!AK142+'4. Valtionosuudet'!AN142</f>
        <v>-45.665543919503762</v>
      </c>
      <c r="J142" s="41">
        <f>'2. Toimintakate'!K142+'3. Verotulot'!AP142+'4. Valtionosuudet'!AU142</f>
        <v>-839.40807435729039</v>
      </c>
      <c r="K142" s="41">
        <f>'2. Toimintakate'!L142+'3. Verotulot'!AU142+'4. Valtionosuudet'!BC142</f>
        <v>-344.03779596851587</v>
      </c>
      <c r="L142" s="41">
        <f>'2. Toimintakate'!M142+'3. Verotulot'!AZ142+'4. Valtionosuudet'!BK142</f>
        <v>490.45889397951896</v>
      </c>
      <c r="M142" s="41">
        <f>'2. Toimintakate'!N142+'3. Verotulot'!BE142+'4. Valtionosuudet'!BQ142</f>
        <v>238.45713032492176</v>
      </c>
      <c r="N142" s="41">
        <f>'2. Toimintakate'!O142+'3. Verotulot'!BJ142+'4. Valtionosuudet'!BY142</f>
        <v>-11.477940716110425</v>
      </c>
      <c r="O142" s="41">
        <f>'2. Toimintakate'!P142+'3. Verotulot'!BO142+'4. Valtionosuudet'!CE142</f>
        <v>-41.927425366798161</v>
      </c>
      <c r="P142" s="41">
        <f>'2. Toimintakate'!Q142+'3. Verotulot'!BT142+'4. Valtionosuudet'!CK142</f>
        <v>50.472761809953226</v>
      </c>
      <c r="T142" s="34">
        <v>421</v>
      </c>
      <c r="U142" s="88" t="s">
        <v>456</v>
      </c>
      <c r="V142" s="41" t="e">
        <f>C142/'1. Väestöennuste'!E142*1000</f>
        <v>#REF!</v>
      </c>
      <c r="W142" s="41">
        <f>D142/'1. Väestöennuste'!F142*1000</f>
        <v>73.982737361282375</v>
      </c>
      <c r="X142" s="41">
        <f>E142/'1. Väestöennuste'!G142*1000</f>
        <v>244.61343472750315</v>
      </c>
      <c r="Y142" s="41">
        <f>F142/'1. Väestöennuste'!H142*1000</f>
        <v>-314.78968792401628</v>
      </c>
      <c r="Z142" s="41">
        <f>G142/'1. Väestöennuste'!I142*1000</f>
        <v>-197.49652294853965</v>
      </c>
      <c r="AA142" s="41">
        <f>H142/'1. Väestöennuste'!J142*1000</f>
        <v>326.60734117700594</v>
      </c>
      <c r="AB142" s="41">
        <f>I142/'1. Väestöennuste'!K142*1000</f>
        <v>-63.512578469407181</v>
      </c>
      <c r="AC142" s="41">
        <f>J142/'1. Väestöennuste'!L142*1000</f>
        <v>-1207.7814019529358</v>
      </c>
      <c r="AD142" s="41">
        <f>K142/'1. Väestöennuste'!M142*1000</f>
        <v>-504.45424628814641</v>
      </c>
      <c r="AE142" s="41">
        <f>L142/'1. Väestöennuste'!N142*1000</f>
        <v>723.39069908483623</v>
      </c>
      <c r="AF142" s="41">
        <f>M142/'1. Väestöennuste'!O142*1000</f>
        <v>356.43816192066038</v>
      </c>
      <c r="AG142" s="41">
        <f>N142/'1. Väestöennuste'!P142*1000</f>
        <v>-17.390819266833976</v>
      </c>
      <c r="AH142" s="41">
        <f>O142/'1. Väestöennuste'!Q142*1000</f>
        <v>-64.109213099079753</v>
      </c>
      <c r="AI142" s="41">
        <f>P142/'1. Väestöennuste'!R142*1000</f>
        <v>78.01045102002044</v>
      </c>
    </row>
    <row r="143" spans="1:35" x14ac:dyDescent="0.2">
      <c r="A143" s="34">
        <v>422</v>
      </c>
      <c r="B143" s="88" t="s">
        <v>457</v>
      </c>
      <c r="C143" s="41" t="e">
        <f>'2. Toimintakate'!D143+'3. Verotulot'!G143+'4. Valtionosuudet'!#REF!</f>
        <v>#REF!</v>
      </c>
      <c r="D143" s="41">
        <f>'2. Toimintakate'!E143+'3. Verotulot'!L143+'4. Valtionosuudet'!H143</f>
        <v>5664</v>
      </c>
      <c r="E143" s="41">
        <f>'2. Toimintakate'!F143+'3. Verotulot'!Q143+'4. Valtionosuudet'!N143</f>
        <v>8818</v>
      </c>
      <c r="F143" s="41">
        <f>'2. Toimintakate'!G143+'3. Verotulot'!V143+'4. Valtionosuudet'!T143</f>
        <v>5478</v>
      </c>
      <c r="G143" s="41">
        <f>'2. Toimintakate'!H143+'3. Verotulot'!AA143+'4. Valtionosuudet'!Z143</f>
        <v>4916</v>
      </c>
      <c r="H143" s="41">
        <f>'2. Toimintakate'!I143+'3. Verotulot'!AF143+'4. Valtionosuudet'!AG143</f>
        <v>9761.2626745296147</v>
      </c>
      <c r="I143" s="41">
        <f>'2. Toimintakate'!J143+'3. Verotulot'!AK143+'4. Valtionosuudet'!AN143</f>
        <v>8181.2845200735319</v>
      </c>
      <c r="J143" s="41">
        <f>'2. Toimintakate'!K143+'3. Verotulot'!AP143+'4. Valtionosuudet'!AU143</f>
        <v>5150.5211261842633</v>
      </c>
      <c r="K143" s="41">
        <f>'2. Toimintakate'!L143+'3. Verotulot'!AU143+'4. Valtionosuudet'!BC143</f>
        <v>8602.407343167095</v>
      </c>
      <c r="L143" s="41">
        <f>'2. Toimintakate'!M143+'3. Verotulot'!AZ143+'4. Valtionosuudet'!BK143</f>
        <v>6163.9590400920997</v>
      </c>
      <c r="M143" s="41">
        <f>'2. Toimintakate'!N143+'3. Verotulot'!BE143+'4. Valtionosuudet'!BQ143</f>
        <v>3690.2720107218547</v>
      </c>
      <c r="N143" s="41">
        <f>'2. Toimintakate'!O143+'3. Verotulot'!BJ143+'4. Valtionosuudet'!BY143</f>
        <v>2885.6016189172178</v>
      </c>
      <c r="O143" s="41">
        <f>'2. Toimintakate'!P143+'3. Verotulot'!BO143+'4. Valtionosuudet'!CE143</f>
        <v>3000.9076894480013</v>
      </c>
      <c r="P143" s="41">
        <f>'2. Toimintakate'!Q143+'3. Verotulot'!BT143+'4. Valtionosuudet'!CK143</f>
        <v>4903.6600271437983</v>
      </c>
      <c r="T143" s="34">
        <v>422</v>
      </c>
      <c r="U143" s="88" t="s">
        <v>457</v>
      </c>
      <c r="V143" s="41" t="e">
        <f>C143/'1. Väestöennuste'!E143*1000</f>
        <v>#REF!</v>
      </c>
      <c r="W143" s="41">
        <f>D143/'1. Väestöennuste'!F143*1000</f>
        <v>489.11917098445593</v>
      </c>
      <c r="X143" s="41">
        <f>E143/'1. Väestöennuste'!G143*1000</f>
        <v>780.56121094095772</v>
      </c>
      <c r="Y143" s="41">
        <f>F143/'1. Väestöennuste'!H143*1000</f>
        <v>493.60245089205262</v>
      </c>
      <c r="Z143" s="41">
        <f>G143/'1. Väestöennuste'!I143*1000</f>
        <v>451.67217934582874</v>
      </c>
      <c r="AA143" s="41">
        <f>H143/'1. Väestöennuste'!J143*1000</f>
        <v>910.65049673753288</v>
      </c>
      <c r="AB143" s="41">
        <f>I143/'1. Väestöennuste'!K143*1000</f>
        <v>775.99208195708354</v>
      </c>
      <c r="AC143" s="41">
        <f>J143/'1. Väestöennuste'!L143*1000</f>
        <v>496.5793604111322</v>
      </c>
      <c r="AD143" s="41">
        <f>K143/'1. Väestöennuste'!M143*1000</f>
        <v>841.06446452552757</v>
      </c>
      <c r="AE143" s="41">
        <f>L143/'1. Väestöennuste'!N143*1000</f>
        <v>617.87881316079586</v>
      </c>
      <c r="AF143" s="41">
        <f>M143/'1. Väestöennuste'!O143*1000</f>
        <v>376.1361747754413</v>
      </c>
      <c r="AG143" s="41">
        <f>N143/'1. Väestöennuste'!P143*1000</f>
        <v>299.02607449919356</v>
      </c>
      <c r="AH143" s="41">
        <f>O143/'1. Väestöennuste'!Q143*1000</f>
        <v>316.05136276440243</v>
      </c>
      <c r="AI143" s="41">
        <f>P143/'1. Väestöennuste'!R143*1000</f>
        <v>524.62394641529886</v>
      </c>
    </row>
    <row r="144" spans="1:35" x14ac:dyDescent="0.2">
      <c r="A144" s="34">
        <v>423</v>
      </c>
      <c r="B144" s="88" t="s">
        <v>458</v>
      </c>
      <c r="C144" s="41" t="e">
        <f>'2. Toimintakate'!D144+'3. Verotulot'!G144+'4. Valtionosuudet'!#REF!</f>
        <v>#REF!</v>
      </c>
      <c r="D144" s="41">
        <f>'2. Toimintakate'!E144+'3. Verotulot'!L144+'4. Valtionosuudet'!H144</f>
        <v>7793</v>
      </c>
      <c r="E144" s="41">
        <f>'2. Toimintakate'!F144+'3. Verotulot'!Q144+'4. Valtionosuudet'!N144</f>
        <v>8042</v>
      </c>
      <c r="F144" s="41">
        <f>'2. Toimintakate'!G144+'3. Verotulot'!V144+'4. Valtionosuudet'!T144</f>
        <v>3265</v>
      </c>
      <c r="G144" s="41">
        <f>'2. Toimintakate'!H144+'3. Verotulot'!AA144+'4. Valtionosuudet'!Z144</f>
        <v>5681</v>
      </c>
      <c r="H144" s="41">
        <f>'2. Toimintakate'!I144+'3. Verotulot'!AF144+'4. Valtionosuudet'!AG144</f>
        <v>14439.759436620247</v>
      </c>
      <c r="I144" s="41">
        <f>'2. Toimintakate'!J144+'3. Verotulot'!AK144+'4. Valtionosuudet'!AN144</f>
        <v>11009.768368954796</v>
      </c>
      <c r="J144" s="41">
        <f>'2. Toimintakate'!K144+'3. Verotulot'!AP144+'4. Valtionosuudet'!AU144</f>
        <v>14005.754564943269</v>
      </c>
      <c r="K144" s="41">
        <f>'2. Toimintakate'!L144+'3. Verotulot'!AU144+'4. Valtionosuudet'!BC144</f>
        <v>15534.067089112363</v>
      </c>
      <c r="L144" s="41">
        <f>'2. Toimintakate'!M144+'3. Verotulot'!AZ144+'4. Valtionosuudet'!BK144</f>
        <v>9992.8655547485941</v>
      </c>
      <c r="M144" s="41">
        <f>'2. Toimintakate'!N144+'3. Verotulot'!BE144+'4. Valtionosuudet'!BQ144</f>
        <v>8741.7269313621982</v>
      </c>
      <c r="N144" s="41">
        <f>'2. Toimintakate'!O144+'3. Verotulot'!BJ144+'4. Valtionosuudet'!BY144</f>
        <v>9447.7862944687731</v>
      </c>
      <c r="O144" s="41">
        <f>'2. Toimintakate'!P144+'3. Verotulot'!BO144+'4. Valtionosuudet'!CE144</f>
        <v>9578.1620975255828</v>
      </c>
      <c r="P144" s="41">
        <f>'2. Toimintakate'!Q144+'3. Verotulot'!BT144+'4. Valtionosuudet'!CK144</f>
        <v>10773.843125088548</v>
      </c>
      <c r="T144" s="34">
        <v>423</v>
      </c>
      <c r="U144" s="88" t="s">
        <v>458</v>
      </c>
      <c r="V144" s="41" t="e">
        <f>C144/'1. Väestöennuste'!E144*1000</f>
        <v>#REF!</v>
      </c>
      <c r="W144" s="41">
        <f>D144/'1. Väestöennuste'!F144*1000</f>
        <v>401.32866412606859</v>
      </c>
      <c r="X144" s="41">
        <f>E144/'1. Väestöennuste'!G144*1000</f>
        <v>410.38987548479281</v>
      </c>
      <c r="Y144" s="41">
        <f>F144/'1. Väestöennuste'!H144*1000</f>
        <v>164.64121829458927</v>
      </c>
      <c r="Z144" s="41">
        <f>G144/'1. Väestöennuste'!I144*1000</f>
        <v>284.13524057217165</v>
      </c>
      <c r="AA144" s="41">
        <f>H144/'1. Väestöennuste'!J144*1000</f>
        <v>716.75565554552998</v>
      </c>
      <c r="AB144" s="41">
        <f>I144/'1. Väestöennuste'!K144*1000</f>
        <v>542.59368039794958</v>
      </c>
      <c r="AC144" s="41">
        <f>J144/'1. Väestöennuste'!L144*1000</f>
        <v>683.30753597810747</v>
      </c>
      <c r="AD144" s="41">
        <f>K144/'1. Väestöennuste'!M144*1000</f>
        <v>752.72893778709908</v>
      </c>
      <c r="AE144" s="41">
        <f>L144/'1. Väestöennuste'!N144*1000</f>
        <v>481.56067441321352</v>
      </c>
      <c r="AF144" s="41">
        <f>M144/'1. Väestöennuste'!O144*1000</f>
        <v>418.4246090064234</v>
      </c>
      <c r="AG144" s="41">
        <f>N144/'1. Väestöennuste'!P144*1000</f>
        <v>449.29552475122563</v>
      </c>
      <c r="AH144" s="41">
        <f>O144/'1. Väestöennuste'!Q144*1000</f>
        <v>452.71834842017216</v>
      </c>
      <c r="AI144" s="41">
        <f>P144/'1. Väestöennuste'!R144*1000</f>
        <v>506.40860752472605</v>
      </c>
    </row>
    <row r="145" spans="1:35" x14ac:dyDescent="0.2">
      <c r="A145" s="34">
        <v>425</v>
      </c>
      <c r="B145" s="88" t="s">
        <v>459</v>
      </c>
      <c r="C145" s="41" t="e">
        <f>'2. Toimintakate'!D145+'3. Verotulot'!G145+'4. Valtionosuudet'!#REF!</f>
        <v>#REF!</v>
      </c>
      <c r="D145" s="41">
        <f>'2. Toimintakate'!E145+'3. Verotulot'!L145+'4. Valtionosuudet'!H145</f>
        <v>4571</v>
      </c>
      <c r="E145" s="41">
        <f>'2. Toimintakate'!F145+'3. Verotulot'!Q145+'4. Valtionosuudet'!N145</f>
        <v>5948</v>
      </c>
      <c r="F145" s="41">
        <f>'2. Toimintakate'!G145+'3. Verotulot'!V145+'4. Valtionosuudet'!T145</f>
        <v>5563</v>
      </c>
      <c r="G145" s="41">
        <f>'2. Toimintakate'!H145+'3. Verotulot'!AA145+'4. Valtionosuudet'!Z145</f>
        <v>4287</v>
      </c>
      <c r="H145" s="41">
        <f>'2. Toimintakate'!I145+'3. Verotulot'!AF145+'4. Valtionosuudet'!AG145</f>
        <v>7529.3502367172186</v>
      </c>
      <c r="I145" s="41">
        <f>'2. Toimintakate'!J145+'3. Verotulot'!AK145+'4. Valtionosuudet'!AN145</f>
        <v>4816.0301394878079</v>
      </c>
      <c r="J145" s="41">
        <f>'2. Toimintakate'!K145+'3. Verotulot'!AP145+'4. Valtionosuudet'!AU145</f>
        <v>4537.8388028894915</v>
      </c>
      <c r="K145" s="41">
        <f>'2. Toimintakate'!L145+'3. Verotulot'!AU145+'4. Valtionosuudet'!BC145</f>
        <v>3851.1625941186721</v>
      </c>
      <c r="L145" s="41">
        <f>'2. Toimintakate'!M145+'3. Verotulot'!AZ145+'4. Valtionosuudet'!BK145</f>
        <v>3496.1411901810134</v>
      </c>
      <c r="M145" s="41">
        <f>'2. Toimintakate'!N145+'3. Verotulot'!BE145+'4. Valtionosuudet'!BQ145</f>
        <v>1696.4618316867418</v>
      </c>
      <c r="N145" s="41">
        <f>'2. Toimintakate'!O145+'3. Verotulot'!BJ145+'4. Valtionosuudet'!BY145</f>
        <v>1903.9540592276207</v>
      </c>
      <c r="O145" s="41">
        <f>'2. Toimintakate'!P145+'3. Verotulot'!BO145+'4. Valtionosuudet'!CE145</f>
        <v>2116.5593707199296</v>
      </c>
      <c r="P145" s="41">
        <f>'2. Toimintakate'!Q145+'3. Verotulot'!BT145+'4. Valtionosuudet'!CK145</f>
        <v>2505.7939866308479</v>
      </c>
      <c r="T145" s="34">
        <v>425</v>
      </c>
      <c r="U145" s="88" t="s">
        <v>459</v>
      </c>
      <c r="V145" s="41" t="e">
        <f>C145/'1. Väestöennuste'!E145*1000</f>
        <v>#REF!</v>
      </c>
      <c r="W145" s="41">
        <f>D145/'1. Väestöennuste'!F145*1000</f>
        <v>457.1</v>
      </c>
      <c r="X145" s="41">
        <f>E145/'1. Väestöennuste'!G145*1000</f>
        <v>586.99299319056547</v>
      </c>
      <c r="Y145" s="41">
        <f>F145/'1. Väestöennuste'!H145*1000</f>
        <v>547.48548371223308</v>
      </c>
      <c r="Z145" s="41">
        <f>G145/'1. Väestöennuste'!I145*1000</f>
        <v>420.66529290550488</v>
      </c>
      <c r="AA145" s="41">
        <f>H145/'1. Väestöennuste'!J145*1000</f>
        <v>735.43174806771037</v>
      </c>
      <c r="AB145" s="41">
        <f>I145/'1. Väestöennuste'!K145*1000</f>
        <v>471.32806219297396</v>
      </c>
      <c r="AC145" s="41">
        <f>J145/'1. Väestöennuste'!L145*1000</f>
        <v>442.37071582077317</v>
      </c>
      <c r="AD145" s="41">
        <f>K145/'1. Väestöennuste'!M145*1000</f>
        <v>375.50337306149299</v>
      </c>
      <c r="AE145" s="41">
        <f>L145/'1. Väestöennuste'!N145*1000</f>
        <v>335.00777981803503</v>
      </c>
      <c r="AF145" s="41">
        <f>M145/'1. Väestöennuste'!O145*1000</f>
        <v>162.12364599452809</v>
      </c>
      <c r="AG145" s="41">
        <f>N145/'1. Väestöennuste'!P145*1000</f>
        <v>181.51912091025079</v>
      </c>
      <c r="AH145" s="41">
        <f>O145/'1. Väestöennuste'!Q145*1000</f>
        <v>201.3469721004499</v>
      </c>
      <c r="AI145" s="41">
        <f>P145/'1. Väestöennuste'!R145*1000</f>
        <v>237.96714023084974</v>
      </c>
    </row>
    <row r="146" spans="1:35" x14ac:dyDescent="0.2">
      <c r="A146" s="34">
        <v>426</v>
      </c>
      <c r="B146" s="88" t="s">
        <v>460</v>
      </c>
      <c r="C146" s="41" t="e">
        <f>'2. Toimintakate'!D146+'3. Verotulot'!G146+'4. Valtionosuudet'!#REF!</f>
        <v>#REF!</v>
      </c>
      <c r="D146" s="41">
        <f>'2. Toimintakate'!E146+'3. Verotulot'!L146+'4. Valtionosuudet'!H146</f>
        <v>4432</v>
      </c>
      <c r="E146" s="41">
        <f>'2. Toimintakate'!F146+'3. Verotulot'!Q146+'4. Valtionosuudet'!N146</f>
        <v>5659</v>
      </c>
      <c r="F146" s="41">
        <f>'2. Toimintakate'!G146+'3. Verotulot'!V146+'4. Valtionosuudet'!T146</f>
        <v>3783</v>
      </c>
      <c r="G146" s="41">
        <f>'2. Toimintakate'!H146+'3. Verotulot'!AA146+'4. Valtionosuudet'!Z146</f>
        <v>2195</v>
      </c>
      <c r="H146" s="41">
        <f>'2. Toimintakate'!I146+'3. Verotulot'!AF146+'4. Valtionosuudet'!AG146</f>
        <v>4355.4305620588966</v>
      </c>
      <c r="I146" s="41">
        <f>'2. Toimintakate'!J146+'3. Verotulot'!AK146+'4. Valtionosuudet'!AN146</f>
        <v>2375.1212233273181</v>
      </c>
      <c r="J146" s="41">
        <f>'2. Toimintakate'!K146+'3. Verotulot'!AP146+'4. Valtionosuudet'!AU146</f>
        <v>-37.605086115709128</v>
      </c>
      <c r="K146" s="41">
        <f>'2. Toimintakate'!L146+'3. Verotulot'!AU146+'4. Valtionosuudet'!BC146</f>
        <v>6322.6925010486957</v>
      </c>
      <c r="L146" s="41">
        <f>'2. Toimintakate'!M146+'3. Verotulot'!AZ146+'4. Valtionosuudet'!BK146</f>
        <v>2991.7412900400159</v>
      </c>
      <c r="M146" s="41">
        <f>'2. Toimintakate'!N146+'3. Verotulot'!BE146+'4. Valtionosuudet'!BQ146</f>
        <v>834.98100741794769</v>
      </c>
      <c r="N146" s="41">
        <f>'2. Toimintakate'!O146+'3. Verotulot'!BJ146+'4. Valtionosuudet'!BY146</f>
        <v>1554.8367540890158</v>
      </c>
      <c r="O146" s="41">
        <f>'2. Toimintakate'!P146+'3. Verotulot'!BO146+'4. Valtionosuudet'!CE146</f>
        <v>2007.805312995697</v>
      </c>
      <c r="P146" s="41">
        <f>'2. Toimintakate'!Q146+'3. Verotulot'!BT146+'4. Valtionosuudet'!CK146</f>
        <v>3319.2552576144299</v>
      </c>
      <c r="T146" s="34">
        <v>426</v>
      </c>
      <c r="U146" s="88" t="s">
        <v>460</v>
      </c>
      <c r="V146" s="41" t="e">
        <f>C146/'1. Väestöennuste'!E146*1000</f>
        <v>#REF!</v>
      </c>
      <c r="W146" s="41">
        <f>D146/'1. Väestöennuste'!F146*1000</f>
        <v>360.2959109015527</v>
      </c>
      <c r="X146" s="41">
        <f>E146/'1. Väestöennuste'!G146*1000</f>
        <v>465.76131687242798</v>
      </c>
      <c r="Y146" s="41">
        <f>F146/'1. Väestöennuste'!H146*1000</f>
        <v>311.4862083161795</v>
      </c>
      <c r="Z146" s="41">
        <f>G146/'1. Väestöennuste'!I146*1000</f>
        <v>181.64515061238001</v>
      </c>
      <c r="AA146" s="41">
        <f>H146/'1. Väestöennuste'!J146*1000</f>
        <v>363.13411389518893</v>
      </c>
      <c r="AB146" s="41">
        <f>I146/'1. Väestöennuste'!K146*1000</f>
        <v>198.27374766903063</v>
      </c>
      <c r="AC146" s="41">
        <f>J146/'1. Väestöennuste'!L146*1000</f>
        <v>-3.1437122651487313</v>
      </c>
      <c r="AD146" s="41">
        <f>K146/'1. Väestöennuste'!M146*1000</f>
        <v>528.25570231838049</v>
      </c>
      <c r="AE146" s="41">
        <f>L146/'1. Väestöennuste'!N146*1000</f>
        <v>254.7029874033727</v>
      </c>
      <c r="AF146" s="41">
        <f>M146/'1. Väestöennuste'!O146*1000</f>
        <v>71.488099950166756</v>
      </c>
      <c r="AG146" s="41">
        <f>N146/'1. Väestöennuste'!P146*1000</f>
        <v>133.88760476095891</v>
      </c>
      <c r="AH146" s="41">
        <f>O146/'1. Väestöennuste'!Q146*1000</f>
        <v>173.94137685139884</v>
      </c>
      <c r="AI146" s="41">
        <f>P146/'1. Väestöennuste'!R146*1000</f>
        <v>289.41104347496992</v>
      </c>
    </row>
    <row r="147" spans="1:35" x14ac:dyDescent="0.2">
      <c r="A147" s="34">
        <v>430</v>
      </c>
      <c r="B147" s="88" t="s">
        <v>461</v>
      </c>
      <c r="C147" s="41" t="e">
        <f>'2. Toimintakate'!D147+'3. Verotulot'!G147+'4. Valtionosuudet'!#REF!</f>
        <v>#REF!</v>
      </c>
      <c r="D147" s="41">
        <f>'2. Toimintakate'!E147+'3. Verotulot'!L147+'4. Valtionosuudet'!H147</f>
        <v>2543</v>
      </c>
      <c r="E147" s="41">
        <f>'2. Toimintakate'!F147+'3. Verotulot'!Q147+'4. Valtionosuudet'!N147</f>
        <v>3391</v>
      </c>
      <c r="F147" s="41">
        <f>'2. Toimintakate'!G147+'3. Verotulot'!V147+'4. Valtionosuudet'!T147</f>
        <v>-399</v>
      </c>
      <c r="G147" s="41">
        <f>'2. Toimintakate'!H147+'3. Verotulot'!AA147+'4. Valtionosuudet'!Z147</f>
        <v>1508</v>
      </c>
      <c r="H147" s="41">
        <f>'2. Toimintakate'!I147+'3. Verotulot'!AF147+'4. Valtionosuudet'!AG147</f>
        <v>12669.264361125031</v>
      </c>
      <c r="I147" s="41">
        <f>'2. Toimintakate'!J147+'3. Verotulot'!AK147+'4. Valtionosuudet'!AN147</f>
        <v>7476.0610741948331</v>
      </c>
      <c r="J147" s="41">
        <f>'2. Toimintakate'!K147+'3. Verotulot'!AP147+'4. Valtionosuudet'!AU147</f>
        <v>5953.2558553534254</v>
      </c>
      <c r="K147" s="41">
        <f>'2. Toimintakate'!L147+'3. Verotulot'!AU147+'4. Valtionosuudet'!BC147</f>
        <v>8318.9111582850928</v>
      </c>
      <c r="L147" s="41">
        <f>'2. Toimintakate'!M147+'3. Verotulot'!AZ147+'4. Valtionosuudet'!BK147</f>
        <v>7067.686693328149</v>
      </c>
      <c r="M147" s="41">
        <f>'2. Toimintakate'!N147+'3. Verotulot'!BE147+'4. Valtionosuudet'!BQ147</f>
        <v>4792.6649196455364</v>
      </c>
      <c r="N147" s="41">
        <f>'2. Toimintakate'!O147+'3. Verotulot'!BJ147+'4. Valtionosuudet'!BY147</f>
        <v>5232.8666956393408</v>
      </c>
      <c r="O147" s="41">
        <f>'2. Toimintakate'!P147+'3. Verotulot'!BO147+'4. Valtionosuudet'!CE147</f>
        <v>5608.498027310663</v>
      </c>
      <c r="P147" s="41">
        <f>'2. Toimintakate'!Q147+'3. Verotulot'!BT147+'4. Valtionosuudet'!CK147</f>
        <v>7738.079381278696</v>
      </c>
      <c r="T147" s="34">
        <v>430</v>
      </c>
      <c r="U147" s="88" t="s">
        <v>461</v>
      </c>
      <c r="V147" s="41" t="e">
        <f>C147/'1. Väestöennuste'!E147*1000</f>
        <v>#REF!</v>
      </c>
      <c r="W147" s="41">
        <f>D147/'1. Väestöennuste'!F147*1000</f>
        <v>156.32876375484108</v>
      </c>
      <c r="X147" s="41">
        <f>E147/'1. Väestöennuste'!G147*1000</f>
        <v>209.96904024767801</v>
      </c>
      <c r="Y147" s="41">
        <f>F147/'1. Väestöennuste'!H147*1000</f>
        <v>-24.887724550898202</v>
      </c>
      <c r="Z147" s="41">
        <f>G147/'1. Väestöennuste'!I147*1000</f>
        <v>94.99212598425197</v>
      </c>
      <c r="AA147" s="41">
        <f>H147/'1. Väestöennuste'!J147*1000</f>
        <v>803.37757521401602</v>
      </c>
      <c r="AB147" s="41">
        <f>I147/'1. Väestöennuste'!K147*1000</f>
        <v>478.37606054484473</v>
      </c>
      <c r="AC147" s="41">
        <f>J147/'1. Väestöennuste'!L147*1000</f>
        <v>386.77597812847097</v>
      </c>
      <c r="AD147" s="41">
        <f>K147/'1. Väestöennuste'!M147*1000</f>
        <v>539.48840196401386</v>
      </c>
      <c r="AE147" s="41">
        <f>L147/'1. Väestöennuste'!N147*1000</f>
        <v>464.18538640011485</v>
      </c>
      <c r="AF147" s="41">
        <f>M147/'1. Väestöennuste'!O147*1000</f>
        <v>317.31097190449793</v>
      </c>
      <c r="AG147" s="41">
        <f>N147/'1. Väestöennuste'!P147*1000</f>
        <v>349.16038537661581</v>
      </c>
      <c r="AH147" s="41">
        <f>O147/'1. Väestöennuste'!Q147*1000</f>
        <v>377.06723324664938</v>
      </c>
      <c r="AI147" s="41">
        <f>P147/'1. Väestöennuste'!R147*1000</f>
        <v>524.08258593150674</v>
      </c>
    </row>
    <row r="148" spans="1:35" x14ac:dyDescent="0.2">
      <c r="A148" s="34">
        <v>433</v>
      </c>
      <c r="B148" s="88" t="s">
        <v>462</v>
      </c>
      <c r="C148" s="41" t="e">
        <f>'2. Toimintakate'!D148+'3. Verotulot'!G148+'4. Valtionosuudet'!#REF!</f>
        <v>#REF!</v>
      </c>
      <c r="D148" s="41">
        <f>'2. Toimintakate'!E148+'3. Verotulot'!L148+'4. Valtionosuudet'!H148</f>
        <v>3768</v>
      </c>
      <c r="E148" s="41">
        <f>'2. Toimintakate'!F148+'3. Verotulot'!Q148+'4. Valtionosuudet'!N148</f>
        <v>3648</v>
      </c>
      <c r="F148" s="41">
        <f>'2. Toimintakate'!G148+'3. Verotulot'!V148+'4. Valtionosuudet'!T148</f>
        <v>1501</v>
      </c>
      <c r="G148" s="41">
        <f>'2. Toimintakate'!H148+'3. Verotulot'!AA148+'4. Valtionosuudet'!Z148</f>
        <v>3227</v>
      </c>
      <c r="H148" s="41">
        <f>'2. Toimintakate'!I148+'3. Verotulot'!AF148+'4. Valtionosuudet'!AG148</f>
        <v>6415.3480897596892</v>
      </c>
      <c r="I148" s="41">
        <f>'2. Toimintakate'!J148+'3. Verotulot'!AK148+'4. Valtionosuudet'!AN148</f>
        <v>4711.8149729439028</v>
      </c>
      <c r="J148" s="41">
        <f>'2. Toimintakate'!K148+'3. Verotulot'!AP148+'4. Valtionosuudet'!AU148</f>
        <v>2484.7932289662749</v>
      </c>
      <c r="K148" s="41">
        <f>'2. Toimintakate'!L148+'3. Verotulot'!AU148+'4. Valtionosuudet'!BC148</f>
        <v>3741.8887914176767</v>
      </c>
      <c r="L148" s="41">
        <f>'2. Toimintakate'!M148+'3. Verotulot'!AZ148+'4. Valtionosuudet'!BK148</f>
        <v>1425.5636138630725</v>
      </c>
      <c r="M148" s="41">
        <f>'2. Toimintakate'!N148+'3. Verotulot'!BE148+'4. Valtionosuudet'!BQ148</f>
        <v>813.66624399202919</v>
      </c>
      <c r="N148" s="41">
        <f>'2. Toimintakate'!O148+'3. Verotulot'!BJ148+'4. Valtionosuudet'!BY148</f>
        <v>1282.1071561795507</v>
      </c>
      <c r="O148" s="41">
        <f>'2. Toimintakate'!P148+'3. Verotulot'!BO148+'4. Valtionosuudet'!CE148</f>
        <v>1094.0120848161087</v>
      </c>
      <c r="P148" s="41">
        <f>'2. Toimintakate'!Q148+'3. Verotulot'!BT148+'4. Valtionosuudet'!CK148</f>
        <v>1970.7009787518837</v>
      </c>
      <c r="T148" s="34">
        <v>433</v>
      </c>
      <c r="U148" s="88" t="s">
        <v>462</v>
      </c>
      <c r="V148" s="41" t="e">
        <f>C148/'1. Väestöennuste'!E148*1000</f>
        <v>#REF!</v>
      </c>
      <c r="W148" s="41">
        <f>D148/'1. Väestöennuste'!F148*1000</f>
        <v>465.3000740923685</v>
      </c>
      <c r="X148" s="41">
        <f>E148/'1. Väestöennuste'!G148*1000</f>
        <v>454.40956651718983</v>
      </c>
      <c r="Y148" s="41">
        <f>F148/'1. Väestöennuste'!H148*1000</f>
        <v>190.94262816435568</v>
      </c>
      <c r="Z148" s="41">
        <f>G148/'1. Väestöennuste'!I148*1000</f>
        <v>412.23811957077163</v>
      </c>
      <c r="AA148" s="41">
        <f>H148/'1. Väestöennuste'!J148*1000</f>
        <v>816.92959248181455</v>
      </c>
      <c r="AB148" s="41">
        <f>I148/'1. Väestöennuste'!K148*1000</f>
        <v>604.15629862083642</v>
      </c>
      <c r="AC148" s="41">
        <f>J148/'1. Väestöennuste'!L148*1000</f>
        <v>320.65985662230935</v>
      </c>
      <c r="AD148" s="41">
        <f>K148/'1. Väestöennuste'!M148*1000</f>
        <v>486.46500148435734</v>
      </c>
      <c r="AE148" s="41">
        <f>L148/'1. Väestöennuste'!N148*1000</f>
        <v>186.42129120741109</v>
      </c>
      <c r="AF148" s="41">
        <f>M148/'1. Väestöennuste'!O148*1000</f>
        <v>107.01910351072328</v>
      </c>
      <c r="AG148" s="41">
        <f>N148/'1. Väestöennuste'!P148*1000</f>
        <v>169.65821836437087</v>
      </c>
      <c r="AH148" s="41">
        <f>O148/'1. Väestöennuste'!Q148*1000</f>
        <v>145.57712372802513</v>
      </c>
      <c r="AI148" s="41">
        <f>P148/'1. Väestöennuste'!R148*1000</f>
        <v>263.78008014347262</v>
      </c>
    </row>
    <row r="149" spans="1:35" x14ac:dyDescent="0.2">
      <c r="A149" s="34">
        <v>434</v>
      </c>
      <c r="B149" s="88" t="s">
        <v>463</v>
      </c>
      <c r="C149" s="41" t="e">
        <f>'2. Toimintakate'!D149+'3. Verotulot'!G149+'4. Valtionosuudet'!#REF!</f>
        <v>#REF!</v>
      </c>
      <c r="D149" s="41">
        <f>'2. Toimintakate'!E149+'3. Verotulot'!L149+'4. Valtionosuudet'!H149</f>
        <v>6230</v>
      </c>
      <c r="E149" s="41">
        <f>'2. Toimintakate'!F149+'3. Verotulot'!Q149+'4. Valtionosuudet'!N149</f>
        <v>6758</v>
      </c>
      <c r="F149" s="41">
        <f>'2. Toimintakate'!G149+'3. Verotulot'!V149+'4. Valtionosuudet'!T149</f>
        <v>-3378</v>
      </c>
      <c r="G149" s="41">
        <f>'2. Toimintakate'!H149+'3. Verotulot'!AA149+'4. Valtionosuudet'!Z149</f>
        <v>-3476</v>
      </c>
      <c r="H149" s="41">
        <f>'2. Toimintakate'!I149+'3. Verotulot'!AF149+'4. Valtionosuudet'!AG149</f>
        <v>8692.4400496072485</v>
      </c>
      <c r="I149" s="41">
        <f>'2. Toimintakate'!J149+'3. Verotulot'!AK149+'4. Valtionosuudet'!AN149</f>
        <v>9907.0580578335321</v>
      </c>
      <c r="J149" s="41">
        <f>'2. Toimintakate'!K149+'3. Verotulot'!AP149+'4. Valtionosuudet'!AU149</f>
        <v>9568.6558740591354</v>
      </c>
      <c r="K149" s="41">
        <f>'2. Toimintakate'!L149+'3. Verotulot'!AU149+'4. Valtionosuudet'!BC149</f>
        <v>9779.2977537384104</v>
      </c>
      <c r="L149" s="41">
        <f>'2. Toimintakate'!M149+'3. Verotulot'!AZ149+'4. Valtionosuudet'!BK149</f>
        <v>7156.1036702703532</v>
      </c>
      <c r="M149" s="41">
        <f>'2. Toimintakate'!N149+'3. Verotulot'!BE149+'4. Valtionosuudet'!BQ149</f>
        <v>5440.2821397562839</v>
      </c>
      <c r="N149" s="41">
        <f>'2. Toimintakate'!O149+'3. Verotulot'!BJ149+'4. Valtionosuudet'!BY149</f>
        <v>5267.5514831796281</v>
      </c>
      <c r="O149" s="41">
        <f>'2. Toimintakate'!P149+'3. Verotulot'!BO149+'4. Valtionosuudet'!CE149</f>
        <v>5918.8608415500239</v>
      </c>
      <c r="P149" s="41">
        <f>'2. Toimintakate'!Q149+'3. Verotulot'!BT149+'4. Valtionosuudet'!CK149</f>
        <v>7131.1159012231001</v>
      </c>
      <c r="T149" s="34">
        <v>434</v>
      </c>
      <c r="U149" s="88" t="s">
        <v>463</v>
      </c>
      <c r="V149" s="41" t="e">
        <f>C149/'1. Väestöennuste'!E149*1000</f>
        <v>#REF!</v>
      </c>
      <c r="W149" s="41">
        <f>D149/'1. Väestöennuste'!F149*1000</f>
        <v>409.65281430825877</v>
      </c>
      <c r="X149" s="41">
        <f>E149/'1. Väestöennuste'!G149*1000</f>
        <v>447.99469671859464</v>
      </c>
      <c r="Y149" s="41">
        <f>F149/'1. Väestöennuste'!H149*1000</f>
        <v>-226.84843193875494</v>
      </c>
      <c r="Z149" s="41">
        <f>G149/'1. Väestöennuste'!I149*1000</f>
        <v>-235.31004603303549</v>
      </c>
      <c r="AA149" s="41">
        <f>H149/'1. Väestöennuste'!J149*1000</f>
        <v>589.51780600930817</v>
      </c>
      <c r="AB149" s="41">
        <f>I149/'1. Väestöennuste'!K149*1000</f>
        <v>676.57297396937327</v>
      </c>
      <c r="AC149" s="41">
        <f>J149/'1. Väestöennuste'!L149*1000</f>
        <v>656.82700947687647</v>
      </c>
      <c r="AD149" s="41">
        <f>K149/'1. Väestöennuste'!M149*1000</f>
        <v>676.39353670897844</v>
      </c>
      <c r="AE149" s="41">
        <f>L149/'1. Väestöennuste'!N149*1000</f>
        <v>499.5534848356267</v>
      </c>
      <c r="AF149" s="41">
        <f>M149/'1. Väestöennuste'!O149*1000</f>
        <v>382.09595025679761</v>
      </c>
      <c r="AG149" s="41">
        <f>N149/'1. Väestöennuste'!P149*1000</f>
        <v>372.18621374829564</v>
      </c>
      <c r="AH149" s="41">
        <f>O149/'1. Väestöennuste'!Q149*1000</f>
        <v>420.4333599623543</v>
      </c>
      <c r="AI149" s="41">
        <f>P149/'1. Väestöennuste'!R149*1000</f>
        <v>509.07452178919897</v>
      </c>
    </row>
    <row r="150" spans="1:35" x14ac:dyDescent="0.2">
      <c r="A150" s="34">
        <v>435</v>
      </c>
      <c r="B150" s="88" t="s">
        <v>464</v>
      </c>
      <c r="C150" s="41" t="e">
        <f>'2. Toimintakate'!D150+'3. Verotulot'!G150+'4. Valtionosuudet'!#REF!</f>
        <v>#REF!</v>
      </c>
      <c r="D150" s="41">
        <f>'2. Toimintakate'!E150+'3. Verotulot'!L150+'4. Valtionosuudet'!H150</f>
        <v>222</v>
      </c>
      <c r="E150" s="41">
        <f>'2. Toimintakate'!F150+'3. Verotulot'!Q150+'4. Valtionosuudet'!N150</f>
        <v>625</v>
      </c>
      <c r="F150" s="41">
        <f>'2. Toimintakate'!G150+'3. Verotulot'!V150+'4. Valtionosuudet'!T150</f>
        <v>451</v>
      </c>
      <c r="G150" s="41">
        <f>'2. Toimintakate'!H150+'3. Verotulot'!AA150+'4. Valtionosuudet'!Z150</f>
        <v>35</v>
      </c>
      <c r="H150" s="41">
        <f>'2. Toimintakate'!I150+'3. Verotulot'!AF150+'4. Valtionosuudet'!AG150</f>
        <v>870.93725968993112</v>
      </c>
      <c r="I150" s="41">
        <f>'2. Toimintakate'!J150+'3. Verotulot'!AK150+'4. Valtionosuudet'!AN150</f>
        <v>511.60804035774117</v>
      </c>
      <c r="J150" s="41">
        <f>'2. Toimintakate'!K150+'3. Verotulot'!AP150+'4. Valtionosuudet'!AU150</f>
        <v>226.64491556238272</v>
      </c>
      <c r="K150" s="41">
        <f>'2. Toimintakate'!L150+'3. Verotulot'!AU150+'4. Valtionosuudet'!BC150</f>
        <v>-55.292267096402952</v>
      </c>
      <c r="L150" s="41">
        <f>'2. Toimintakate'!M150+'3. Verotulot'!AZ150+'4. Valtionosuudet'!BK150</f>
        <v>-19.983560197518614</v>
      </c>
      <c r="M150" s="41">
        <f>'2. Toimintakate'!N150+'3. Verotulot'!BE150+'4. Valtionosuudet'!BQ150</f>
        <v>-65.921256210289812</v>
      </c>
      <c r="N150" s="41">
        <f>'2. Toimintakate'!O150+'3. Verotulot'!BJ150+'4. Valtionosuudet'!BY150</f>
        <v>-138.15585528571955</v>
      </c>
      <c r="O150" s="41">
        <f>'2. Toimintakate'!P150+'3. Verotulot'!BO150+'4. Valtionosuudet'!CE150</f>
        <v>-185.95086721456869</v>
      </c>
      <c r="P150" s="41">
        <f>'2. Toimintakate'!Q150+'3. Verotulot'!BT150+'4. Valtionosuudet'!CK150</f>
        <v>-189.5482859763847</v>
      </c>
      <c r="T150" s="34">
        <v>435</v>
      </c>
      <c r="U150" s="88" t="s">
        <v>464</v>
      </c>
      <c r="V150" s="41" t="e">
        <f>C150/'1. Väestöennuste'!E150*1000</f>
        <v>#REF!</v>
      </c>
      <c r="W150" s="41">
        <f>D150/'1. Väestöennuste'!F150*1000</f>
        <v>293.65079365079367</v>
      </c>
      <c r="X150" s="41">
        <f>E150/'1. Väestöennuste'!G150*1000</f>
        <v>851.49863760217977</v>
      </c>
      <c r="Y150" s="41">
        <f>F150/'1. Väestöennuste'!H150*1000</f>
        <v>637.90664780763791</v>
      </c>
      <c r="Z150" s="41">
        <f>G150/'1. Väestöennuste'!I150*1000</f>
        <v>50.724637681159422</v>
      </c>
      <c r="AA150" s="41">
        <f>H150/'1. Väestöennuste'!J150*1000</f>
        <v>1245.9760510585568</v>
      </c>
      <c r="AB150" s="41">
        <f>I150/'1. Väestöennuste'!K150*1000</f>
        <v>727.74970178910553</v>
      </c>
      <c r="AC150" s="41">
        <f>J150/'1. Väestöennuste'!L150*1000</f>
        <v>327.52155428089992</v>
      </c>
      <c r="AD150" s="41">
        <f>K150/'1. Väestöennuste'!M150*1000</f>
        <v>-78.76391324273925</v>
      </c>
      <c r="AE150" s="41">
        <f>L150/'1. Väestöennuste'!N150*1000</f>
        <v>-29.08815167033277</v>
      </c>
      <c r="AF150" s="41">
        <f>M150/'1. Väestöennuste'!O150*1000</f>
        <v>-96.517212606573651</v>
      </c>
      <c r="AG150" s="41">
        <f>N150/'1. Väestöennuste'!P150*1000</f>
        <v>-202.27797259988222</v>
      </c>
      <c r="AH150" s="41">
        <f>O150/'1. Väestöennuste'!Q150*1000</f>
        <v>-273.45715766848338</v>
      </c>
      <c r="AI150" s="41">
        <f>P150/'1. Väestöennuste'!R150*1000</f>
        <v>-279.15800585623668</v>
      </c>
    </row>
    <row r="151" spans="1:35" x14ac:dyDescent="0.2">
      <c r="A151" s="34">
        <v>436</v>
      </c>
      <c r="B151" s="88" t="s">
        <v>465</v>
      </c>
      <c r="C151" s="41" t="e">
        <f>'2. Toimintakate'!D151+'3. Verotulot'!G151+'4. Valtionosuudet'!#REF!</f>
        <v>#REF!</v>
      </c>
      <c r="D151" s="41">
        <f>'2. Toimintakate'!E151+'3. Verotulot'!L151+'4. Valtionosuudet'!H151</f>
        <v>562</v>
      </c>
      <c r="E151" s="41">
        <f>'2. Toimintakate'!F151+'3. Verotulot'!Q151+'4. Valtionosuudet'!N151</f>
        <v>551</v>
      </c>
      <c r="F151" s="41">
        <f>'2. Toimintakate'!G151+'3. Verotulot'!V151+'4. Valtionosuudet'!T151</f>
        <v>991</v>
      </c>
      <c r="G151" s="41">
        <f>'2. Toimintakate'!H151+'3. Verotulot'!AA151+'4. Valtionosuudet'!Z151</f>
        <v>916</v>
      </c>
      <c r="H151" s="41">
        <f>'2. Toimintakate'!I151+'3. Verotulot'!AF151+'4. Valtionosuudet'!AG151</f>
        <v>1357.6514014942622</v>
      </c>
      <c r="I151" s="41">
        <f>'2. Toimintakate'!J151+'3. Verotulot'!AK151+'4. Valtionosuudet'!AN151</f>
        <v>1155.1118225459068</v>
      </c>
      <c r="J151" s="41">
        <f>'2. Toimintakate'!K151+'3. Verotulot'!AP151+'4. Valtionosuudet'!AU151</f>
        <v>-195.52553378914672</v>
      </c>
      <c r="K151" s="41">
        <f>'2. Toimintakate'!L151+'3. Verotulot'!AU151+'4. Valtionosuudet'!BC151</f>
        <v>1518.179537579852</v>
      </c>
      <c r="L151" s="41">
        <f>'2. Toimintakate'!M151+'3. Verotulot'!AZ151+'4. Valtionosuudet'!BK151</f>
        <v>395.74110306145667</v>
      </c>
      <c r="M151" s="41">
        <f>'2. Toimintakate'!N151+'3. Verotulot'!BE151+'4. Valtionosuudet'!BQ151</f>
        <v>-310.11384484835526</v>
      </c>
      <c r="N151" s="41">
        <f>'2. Toimintakate'!O151+'3. Verotulot'!BJ151+'4. Valtionosuudet'!BY151</f>
        <v>137.70590947272376</v>
      </c>
      <c r="O151" s="41">
        <f>'2. Toimintakate'!P151+'3. Verotulot'!BO151+'4. Valtionosuudet'!CE151</f>
        <v>72.151987502321845</v>
      </c>
      <c r="P151" s="41">
        <f>'2. Toimintakate'!Q151+'3. Verotulot'!BT151+'4. Valtionosuudet'!CK151</f>
        <v>80.959287779380247</v>
      </c>
      <c r="T151" s="34">
        <v>436</v>
      </c>
      <c r="U151" s="88" t="s">
        <v>465</v>
      </c>
      <c r="V151" s="41" t="e">
        <f>C151/'1. Väestöennuste'!E151*1000</f>
        <v>#REF!</v>
      </c>
      <c r="W151" s="41">
        <f>D151/'1. Väestöennuste'!F151*1000</f>
        <v>266.98337292161523</v>
      </c>
      <c r="X151" s="41">
        <f>E151/'1. Väestöennuste'!G151*1000</f>
        <v>264.77654973570395</v>
      </c>
      <c r="Y151" s="41">
        <f>F151/'1. Väestöennuste'!H151*1000</f>
        <v>482.94346978557508</v>
      </c>
      <c r="Z151" s="41">
        <f>G151/'1. Väestöennuste'!I151*1000</f>
        <v>453.46534653465346</v>
      </c>
      <c r="AA151" s="41">
        <f>H151/'1. Väestöennuste'!J151*1000</f>
        <v>666.82288874963774</v>
      </c>
      <c r="AB151" s="41">
        <f>I151/'1. Väestöennuste'!K151*1000</f>
        <v>572.40427281759503</v>
      </c>
      <c r="AC151" s="41">
        <f>J151/'1. Väestöennuste'!L151*1000</f>
        <v>-98.352884199771992</v>
      </c>
      <c r="AD151" s="41">
        <f>K151/'1. Väestöennuste'!M151*1000</f>
        <v>746.76809521881546</v>
      </c>
      <c r="AE151" s="41">
        <f>L151/'1. Väestöennuste'!N151*1000</f>
        <v>196.10560112064255</v>
      </c>
      <c r="AF151" s="41">
        <f>M151/'1. Väestöennuste'!O151*1000</f>
        <v>-154.36229210968406</v>
      </c>
      <c r="AG151" s="41">
        <f>N151/'1. Väestöennuste'!P151*1000</f>
        <v>68.715523688983907</v>
      </c>
      <c r="AH151" s="41">
        <f>O151/'1. Väestöennuste'!Q151*1000</f>
        <v>36.130189034712991</v>
      </c>
      <c r="AI151" s="41">
        <f>P151/'1. Väestöennuste'!R151*1000</f>
        <v>40.642212740652738</v>
      </c>
    </row>
    <row r="152" spans="1:35" x14ac:dyDescent="0.2">
      <c r="A152" s="34">
        <v>440</v>
      </c>
      <c r="B152" s="88" t="s">
        <v>466</v>
      </c>
      <c r="C152" s="41" t="e">
        <f>'2. Toimintakate'!D152+'3. Verotulot'!G152+'4. Valtionosuudet'!#REF!</f>
        <v>#REF!</v>
      </c>
      <c r="D152" s="41">
        <f>'2. Toimintakate'!E152+'3. Verotulot'!L152+'4. Valtionosuudet'!H152</f>
        <v>2728</v>
      </c>
      <c r="E152" s="41">
        <f>'2. Toimintakate'!F152+'3. Verotulot'!Q152+'4. Valtionosuudet'!N152</f>
        <v>2577</v>
      </c>
      <c r="F152" s="41">
        <f>'2. Toimintakate'!G152+'3. Verotulot'!V152+'4. Valtionosuudet'!T152</f>
        <v>1580</v>
      </c>
      <c r="G152" s="41">
        <f>'2. Toimintakate'!H152+'3. Verotulot'!AA152+'4. Valtionosuudet'!Z152</f>
        <v>305</v>
      </c>
      <c r="H152" s="41">
        <f>'2. Toimintakate'!I152+'3. Verotulot'!AF152+'4. Valtionosuudet'!AG152</f>
        <v>3228.5336583003373</v>
      </c>
      <c r="I152" s="41">
        <f>'2. Toimintakate'!J152+'3. Verotulot'!AK152+'4. Valtionosuudet'!AN152</f>
        <v>2398.9079749936245</v>
      </c>
      <c r="J152" s="41">
        <f>'2. Toimintakate'!K152+'3. Verotulot'!AP152+'4. Valtionosuudet'!AU152</f>
        <v>2245.8912141811306</v>
      </c>
      <c r="K152" s="41">
        <f>'2. Toimintakate'!L152+'3. Verotulot'!AU152+'4. Valtionosuudet'!BC152</f>
        <v>1980.2301938885776</v>
      </c>
      <c r="L152" s="41">
        <f>'2. Toimintakate'!M152+'3. Verotulot'!AZ152+'4. Valtionosuudet'!BK152</f>
        <v>2201.0922769938734</v>
      </c>
      <c r="M152" s="41">
        <f>'2. Toimintakate'!N152+'3. Verotulot'!BE152+'4. Valtionosuudet'!BQ152</f>
        <v>2870.5337174955657</v>
      </c>
      <c r="N152" s="41">
        <f>'2. Toimintakate'!O152+'3. Verotulot'!BJ152+'4. Valtionosuudet'!BY152</f>
        <v>2729.2762846544392</v>
      </c>
      <c r="O152" s="41">
        <f>'2. Toimintakate'!P152+'3. Verotulot'!BO152+'4. Valtionosuudet'!CE152</f>
        <v>3001.8141970725483</v>
      </c>
      <c r="P152" s="41">
        <f>'2. Toimintakate'!Q152+'3. Verotulot'!BT152+'4. Valtionosuudet'!CK152</f>
        <v>3683.9806719847693</v>
      </c>
      <c r="T152" s="34">
        <v>440</v>
      </c>
      <c r="U152" s="88" t="s">
        <v>466</v>
      </c>
      <c r="V152" s="41" t="e">
        <f>C152/'1. Väestöennuste'!E152*1000</f>
        <v>#REF!</v>
      </c>
      <c r="W152" s="41">
        <f>D152/'1. Väestöennuste'!F152*1000</f>
        <v>527.04791344667706</v>
      </c>
      <c r="X152" s="41">
        <f>E152/'1. Väestöennuste'!G152*1000</f>
        <v>489.55167173252278</v>
      </c>
      <c r="Y152" s="41">
        <f>F152/'1. Väestöennuste'!H152*1000</f>
        <v>295.88014981273409</v>
      </c>
      <c r="Z152" s="41">
        <f>G152/'1. Väestöennuste'!I152*1000</f>
        <v>56.304227432158022</v>
      </c>
      <c r="AA152" s="41">
        <f>H152/'1. Väestöennuste'!J152*1000</f>
        <v>583.39964913269557</v>
      </c>
      <c r="AB152" s="41">
        <f>I152/'1. Väestöennuste'!K152*1000</f>
        <v>426.7001022756358</v>
      </c>
      <c r="AC152" s="41">
        <f>J152/'1. Väestöennuste'!L152*1000</f>
        <v>391.81633185295374</v>
      </c>
      <c r="AD152" s="41">
        <f>K152/'1. Väestöennuste'!M152*1000</f>
        <v>338.90641689005264</v>
      </c>
      <c r="AE152" s="41">
        <f>L152/'1. Väestöennuste'!N152*1000</f>
        <v>375.2928008514703</v>
      </c>
      <c r="AF152" s="41">
        <f>M152/'1. Väestöennuste'!O152*1000</f>
        <v>483.49902602249716</v>
      </c>
      <c r="AG152" s="41">
        <f>N152/'1. Väestöennuste'!P152*1000</f>
        <v>454.34930658472433</v>
      </c>
      <c r="AH152" s="41">
        <f>O152/'1. Väestöennuste'!Q152*1000</f>
        <v>494.12579375679803</v>
      </c>
      <c r="AI152" s="41">
        <f>P152/'1. Väestöennuste'!R152*1000</f>
        <v>600.09458738960245</v>
      </c>
    </row>
    <row r="153" spans="1:35" x14ac:dyDescent="0.2">
      <c r="A153" s="34">
        <v>441</v>
      </c>
      <c r="B153" s="88" t="s">
        <v>467</v>
      </c>
      <c r="C153" s="41" t="e">
        <f>'2. Toimintakate'!D153+'3. Verotulot'!G153+'4. Valtionosuudet'!#REF!</f>
        <v>#REF!</v>
      </c>
      <c r="D153" s="41">
        <f>'2. Toimintakate'!E153+'3. Verotulot'!L153+'4. Valtionosuudet'!H153</f>
        <v>-498</v>
      </c>
      <c r="E153" s="41">
        <f>'2. Toimintakate'!F153+'3. Verotulot'!Q153+'4. Valtionosuudet'!N153</f>
        <v>1827</v>
      </c>
      <c r="F153" s="41">
        <f>'2. Toimintakate'!G153+'3. Verotulot'!V153+'4. Valtionosuudet'!T153</f>
        <v>-1110</v>
      </c>
      <c r="G153" s="41">
        <f>'2. Toimintakate'!H153+'3. Verotulot'!AA153+'4. Valtionosuudet'!Z153</f>
        <v>-610</v>
      </c>
      <c r="H153" s="41">
        <f>'2. Toimintakate'!I153+'3. Verotulot'!AF153+'4. Valtionosuudet'!AG153</f>
        <v>837.93911094397299</v>
      </c>
      <c r="I153" s="41">
        <f>'2. Toimintakate'!J153+'3. Verotulot'!AK153+'4. Valtionosuudet'!AN153</f>
        <v>1661.3529338711996</v>
      </c>
      <c r="J153" s="41">
        <f>'2. Toimintakate'!K153+'3. Verotulot'!AP153+'4. Valtionosuudet'!AU153</f>
        <v>-364.59912366594835</v>
      </c>
      <c r="K153" s="41">
        <f>'2. Toimintakate'!L153+'3. Verotulot'!AU153+'4. Valtionosuudet'!BC153</f>
        <v>470.77537872578318</v>
      </c>
      <c r="L153" s="41">
        <f>'2. Toimintakate'!M153+'3. Verotulot'!AZ153+'4. Valtionosuudet'!BK153</f>
        <v>-297.54277027152239</v>
      </c>
      <c r="M153" s="41">
        <f>'2. Toimintakate'!N153+'3. Verotulot'!BE153+'4. Valtionosuudet'!BQ153</f>
        <v>-378.78078848231758</v>
      </c>
      <c r="N153" s="41">
        <f>'2. Toimintakate'!O153+'3. Verotulot'!BJ153+'4. Valtionosuudet'!BY153</f>
        <v>-312.51327637973873</v>
      </c>
      <c r="O153" s="41">
        <f>'2. Toimintakate'!P153+'3. Verotulot'!BO153+'4. Valtionosuudet'!CE153</f>
        <v>-387.22593001663722</v>
      </c>
      <c r="P153" s="41">
        <f>'2. Toimintakate'!Q153+'3. Verotulot'!BT153+'4. Valtionosuudet'!CK153</f>
        <v>-51.199798583547818</v>
      </c>
      <c r="T153" s="34">
        <v>441</v>
      </c>
      <c r="U153" s="88" t="s">
        <v>467</v>
      </c>
      <c r="V153" s="41" t="e">
        <f>C153/'1. Väestöennuste'!E153*1000</f>
        <v>#REF!</v>
      </c>
      <c r="W153" s="41">
        <f>D153/'1. Väestöennuste'!F153*1000</f>
        <v>-103.08424756779135</v>
      </c>
      <c r="X153" s="41">
        <f>E153/'1. Väestöennuste'!G153*1000</f>
        <v>384.87465767853382</v>
      </c>
      <c r="Y153" s="41">
        <f>F153/'1. Väestöennuste'!H153*1000</f>
        <v>-238.09523809523807</v>
      </c>
      <c r="Z153" s="41">
        <f>G153/'1. Väestöennuste'!I153*1000</f>
        <v>-131.57894736842104</v>
      </c>
      <c r="AA153" s="41">
        <f>H153/'1. Väestöennuste'!J153*1000</f>
        <v>184.44620535856768</v>
      </c>
      <c r="AB153" s="41">
        <f>I153/'1. Väestöennuste'!K153*1000</f>
        <v>371.41804915519776</v>
      </c>
      <c r="AC153" s="41">
        <f>J153/'1. Väestöennuste'!L153*1000</f>
        <v>-82.469831184335746</v>
      </c>
      <c r="AD153" s="41">
        <f>K153/'1. Väestöennuste'!M153*1000</f>
        <v>107.09176040167952</v>
      </c>
      <c r="AE153" s="41">
        <f>L153/'1. Väestöennuste'!N153*1000</f>
        <v>-69.260421385363685</v>
      </c>
      <c r="AF153" s="41">
        <f>M153/'1. Väestöennuste'!O153*1000</f>
        <v>-89.229867722571868</v>
      </c>
      <c r="AG153" s="41">
        <f>N153/'1. Väestöennuste'!P153*1000</f>
        <v>-74.443372172400842</v>
      </c>
      <c r="AH153" s="41">
        <f>O153/'1. Väestöennuste'!Q153*1000</f>
        <v>-93.307453016057167</v>
      </c>
      <c r="AI153" s="41">
        <f>P153/'1. Väestöennuste'!R153*1000</f>
        <v>-12.47862505082813</v>
      </c>
    </row>
    <row r="154" spans="1:35" x14ac:dyDescent="0.2">
      <c r="A154" s="34">
        <v>444</v>
      </c>
      <c r="B154" s="88" t="s">
        <v>468</v>
      </c>
      <c r="C154" s="41" t="e">
        <f>'2. Toimintakate'!D154+'3. Verotulot'!G154+'4. Valtionosuudet'!#REF!</f>
        <v>#REF!</v>
      </c>
      <c r="D154" s="41">
        <f>'2. Toimintakate'!E154+'3. Verotulot'!L154+'4. Valtionosuudet'!H154</f>
        <v>18033</v>
      </c>
      <c r="E154" s="41">
        <f>'2. Toimintakate'!F154+'3. Verotulot'!Q154+'4. Valtionosuudet'!N154</f>
        <v>14918</v>
      </c>
      <c r="F154" s="41">
        <f>'2. Toimintakate'!G154+'3. Verotulot'!V154+'4. Valtionosuudet'!T154</f>
        <v>5660</v>
      </c>
      <c r="G154" s="41">
        <f>'2. Toimintakate'!H154+'3. Verotulot'!AA154+'4. Valtionosuudet'!Z154</f>
        <v>6611</v>
      </c>
      <c r="H154" s="41">
        <f>'2. Toimintakate'!I154+'3. Verotulot'!AF154+'4. Valtionosuudet'!AG154</f>
        <v>33547.836167540489</v>
      </c>
      <c r="I154" s="41">
        <f>'2. Toimintakate'!J154+'3. Verotulot'!AK154+'4. Valtionosuudet'!AN154</f>
        <v>32282.162439447173</v>
      </c>
      <c r="J154" s="41">
        <f>'2. Toimintakate'!K154+'3. Verotulot'!AP154+'4. Valtionosuudet'!AU154</f>
        <v>27079.017984985214</v>
      </c>
      <c r="K154" s="41">
        <f>'2. Toimintakate'!L154+'3. Verotulot'!AU154+'4. Valtionosuudet'!BC154</f>
        <v>34262.583019237449</v>
      </c>
      <c r="L154" s="41">
        <f>'2. Toimintakate'!M154+'3. Verotulot'!AZ154+'4. Valtionosuudet'!BK154</f>
        <v>21411.012984315581</v>
      </c>
      <c r="M154" s="41">
        <f>'2. Toimintakate'!N154+'3. Verotulot'!BE154+'4. Valtionosuudet'!BQ154</f>
        <v>18220.822655681193</v>
      </c>
      <c r="N154" s="41">
        <f>'2. Toimintakate'!O154+'3. Verotulot'!BJ154+'4. Valtionosuudet'!BY154</f>
        <v>18347.440016786433</v>
      </c>
      <c r="O154" s="41">
        <f>'2. Toimintakate'!P154+'3. Verotulot'!BO154+'4. Valtionosuudet'!CE154</f>
        <v>18825.409566026461</v>
      </c>
      <c r="P154" s="41">
        <f>'2. Toimintakate'!Q154+'3. Verotulot'!BT154+'4. Valtionosuudet'!CK154</f>
        <v>23136.742454897038</v>
      </c>
      <c r="T154" s="34">
        <v>444</v>
      </c>
      <c r="U154" s="88" t="s">
        <v>468</v>
      </c>
      <c r="V154" s="41" t="e">
        <f>C154/'1. Väestöennuste'!E154*1000</f>
        <v>#REF!</v>
      </c>
      <c r="W154" s="41">
        <f>D154/'1. Väestöennuste'!F154*1000</f>
        <v>382.46834503382894</v>
      </c>
      <c r="X154" s="41">
        <f>E154/'1. Väestöennuste'!G154*1000</f>
        <v>318.86288340280004</v>
      </c>
      <c r="Y154" s="41">
        <f>F154/'1. Väestöennuste'!H154*1000</f>
        <v>122.25678244340764</v>
      </c>
      <c r="Z154" s="41">
        <f>G154/'1. Väestöennuste'!I154*1000</f>
        <v>143.82682475796801</v>
      </c>
      <c r="AA154" s="41">
        <f>H154/'1. Väestöennuste'!J154*1000</f>
        <v>731.11267418254999</v>
      </c>
      <c r="AB154" s="41">
        <f>I154/'1. Väestöennuste'!K154*1000</f>
        <v>701.96926240426137</v>
      </c>
      <c r="AC154" s="41">
        <f>J154/'1. Väestöennuste'!L154*1000</f>
        <v>591.10296620866632</v>
      </c>
      <c r="AD154" s="41">
        <f>K154/'1. Väestöennuste'!M154*1000</f>
        <v>750.63167968534231</v>
      </c>
      <c r="AE154" s="41">
        <f>L154/'1. Väestöennuste'!N154*1000</f>
        <v>476.89184097635876</v>
      </c>
      <c r="AF154" s="41">
        <f>M154/'1. Väestöennuste'!O154*1000</f>
        <v>407.90755682198375</v>
      </c>
      <c r="AG154" s="41">
        <f>N154/'1. Väestöennuste'!P154*1000</f>
        <v>412.75651879117305</v>
      </c>
      <c r="AH154" s="41">
        <f>O154/'1. Väestöennuste'!Q154*1000</f>
        <v>425.50029532415209</v>
      </c>
      <c r="AI154" s="41">
        <f>P154/'1. Väestöennuste'!R154*1000</f>
        <v>525.27396769126244</v>
      </c>
    </row>
    <row r="155" spans="1:35" x14ac:dyDescent="0.2">
      <c r="A155" s="34">
        <v>445</v>
      </c>
      <c r="B155" s="88" t="s">
        <v>469</v>
      </c>
      <c r="C155" s="41" t="e">
        <f>'2. Toimintakate'!D155+'3. Verotulot'!G155+'4. Valtionosuudet'!#REF!</f>
        <v>#REF!</v>
      </c>
      <c r="D155" s="41">
        <f>'2. Toimintakate'!E155+'3. Verotulot'!L155+'4. Valtionosuudet'!H155</f>
        <v>7686</v>
      </c>
      <c r="E155" s="41">
        <f>'2. Toimintakate'!F155+'3. Verotulot'!Q155+'4. Valtionosuudet'!N155</f>
        <v>5540</v>
      </c>
      <c r="F155" s="41">
        <f>'2. Toimintakate'!G155+'3. Verotulot'!V155+'4. Valtionosuudet'!T155</f>
        <v>3725</v>
      </c>
      <c r="G155" s="41">
        <f>'2. Toimintakate'!H155+'3. Verotulot'!AA155+'4. Valtionosuudet'!Z155</f>
        <v>260</v>
      </c>
      <c r="H155" s="41">
        <f>'2. Toimintakate'!I155+'3. Verotulot'!AF155+'4. Valtionosuudet'!AG155</f>
        <v>6839.4939520658299</v>
      </c>
      <c r="I155" s="41">
        <f>'2. Toimintakate'!J155+'3. Verotulot'!AK155+'4. Valtionosuudet'!AN155</f>
        <v>8279.19675943334</v>
      </c>
      <c r="J155" s="41">
        <f>'2. Toimintakate'!K155+'3. Verotulot'!AP155+'4. Valtionosuudet'!AU155</f>
        <v>6403.0615300651771</v>
      </c>
      <c r="K155" s="41">
        <f>'2. Toimintakate'!L155+'3. Verotulot'!AU155+'4. Valtionosuudet'!BC155</f>
        <v>10034.735343736929</v>
      </c>
      <c r="L155" s="41">
        <f>'2. Toimintakate'!M155+'3. Verotulot'!AZ155+'4. Valtionosuudet'!BK155</f>
        <v>4374.5265211088608</v>
      </c>
      <c r="M155" s="41">
        <f>'2. Toimintakate'!N155+'3. Verotulot'!BE155+'4. Valtionosuudet'!BQ155</f>
        <v>3927.4958261743886</v>
      </c>
      <c r="N155" s="41">
        <f>'2. Toimintakate'!O155+'3. Verotulot'!BJ155+'4. Valtionosuudet'!BY155</f>
        <v>4851.8723231465119</v>
      </c>
      <c r="O155" s="41">
        <f>'2. Toimintakate'!P155+'3. Verotulot'!BO155+'4. Valtionosuudet'!CE155</f>
        <v>5518.2839037492995</v>
      </c>
      <c r="P155" s="41">
        <f>'2. Toimintakate'!Q155+'3. Verotulot'!BT155+'4. Valtionosuudet'!CK155</f>
        <v>7116.8033598986003</v>
      </c>
      <c r="T155" s="34">
        <v>445</v>
      </c>
      <c r="U155" s="88" t="s">
        <v>469</v>
      </c>
      <c r="V155" s="41" t="e">
        <f>C155/'1. Väestöennuste'!E155*1000</f>
        <v>#REF!</v>
      </c>
      <c r="W155" s="41">
        <f>D155/'1. Väestöennuste'!F155*1000</f>
        <v>499.15573451097544</v>
      </c>
      <c r="X155" s="41">
        <f>E155/'1. Väestöennuste'!G155*1000</f>
        <v>362.4468433104351</v>
      </c>
      <c r="Y155" s="41">
        <f>F155/'1. Väestöennuste'!H155*1000</f>
        <v>244.79200893737269</v>
      </c>
      <c r="Z155" s="41">
        <f>G155/'1. Väestöennuste'!I155*1000</f>
        <v>17.182130584192443</v>
      </c>
      <c r="AA155" s="41">
        <f>H155/'1. Väestöennuste'!J155*1000</f>
        <v>452.79668666440449</v>
      </c>
      <c r="AB155" s="41">
        <f>I155/'1. Väestöennuste'!K155*1000</f>
        <v>548.79999731097303</v>
      </c>
      <c r="AC155" s="41">
        <f>J155/'1. Väestöennuste'!L155*1000</f>
        <v>427.12704489795055</v>
      </c>
      <c r="AD155" s="41">
        <f>K155/'1. Väestöennuste'!M155*1000</f>
        <v>669.02695804633174</v>
      </c>
      <c r="AE155" s="41">
        <f>L155/'1. Väestöennuste'!N155*1000</f>
        <v>295.45633669518173</v>
      </c>
      <c r="AF155" s="41">
        <f>M155/'1. Väestöennuste'!O155*1000</f>
        <v>266.43347304622404</v>
      </c>
      <c r="AG155" s="41">
        <f>N155/'1. Väestöennuste'!P155*1000</f>
        <v>330.5315296100901</v>
      </c>
      <c r="AH155" s="41">
        <f>O155/'1. Väestöennuste'!Q155*1000</f>
        <v>377.4217839921551</v>
      </c>
      <c r="AI155" s="41">
        <f>P155/'1. Väestöennuste'!R155*1000</f>
        <v>488.69074777852097</v>
      </c>
    </row>
    <row r="156" spans="1:35" x14ac:dyDescent="0.2">
      <c r="A156" s="34">
        <v>475</v>
      </c>
      <c r="B156" s="88" t="s">
        <v>470</v>
      </c>
      <c r="C156" s="41" t="e">
        <f>'2. Toimintakate'!D156+'3. Verotulot'!G156+'4. Valtionosuudet'!#REF!</f>
        <v>#REF!</v>
      </c>
      <c r="D156" s="41">
        <f>'2. Toimintakate'!E156+'3. Verotulot'!L156+'4. Valtionosuudet'!H156</f>
        <v>2479</v>
      </c>
      <c r="E156" s="41">
        <f>'2. Toimintakate'!F156+'3. Verotulot'!Q156+'4. Valtionosuudet'!N156</f>
        <v>2526</v>
      </c>
      <c r="F156" s="41">
        <f>'2. Toimintakate'!G156+'3. Verotulot'!V156+'4. Valtionosuudet'!T156</f>
        <v>1700</v>
      </c>
      <c r="G156" s="41">
        <f>'2. Toimintakate'!H156+'3. Verotulot'!AA156+'4. Valtionosuudet'!Z156</f>
        <v>756</v>
      </c>
      <c r="H156" s="41">
        <f>'2. Toimintakate'!I156+'3. Verotulot'!AF156+'4. Valtionosuudet'!AG156</f>
        <v>4028.4624034336412</v>
      </c>
      <c r="I156" s="41">
        <f>'2. Toimintakate'!J156+'3. Verotulot'!AK156+'4. Valtionosuudet'!AN156</f>
        <v>2486.0903564192304</v>
      </c>
      <c r="J156" s="41">
        <f>'2. Toimintakate'!K156+'3. Verotulot'!AP156+'4. Valtionosuudet'!AU156</f>
        <v>3064.362940906798</v>
      </c>
      <c r="K156" s="41">
        <f>'2. Toimintakate'!L156+'3. Verotulot'!AU156+'4. Valtionosuudet'!BC156</f>
        <v>4348.3936823117929</v>
      </c>
      <c r="L156" s="41">
        <f>'2. Toimintakate'!M156+'3. Verotulot'!AZ156+'4. Valtionosuudet'!BK156</f>
        <v>3480.8039570236151</v>
      </c>
      <c r="M156" s="41">
        <f>'2. Toimintakate'!N156+'3. Verotulot'!BE156+'4. Valtionosuudet'!BQ156</f>
        <v>3715.4053298590006</v>
      </c>
      <c r="N156" s="41">
        <f>'2. Toimintakate'!O156+'3. Verotulot'!BJ156+'4. Valtionosuudet'!BY156</f>
        <v>3736.8567094425371</v>
      </c>
      <c r="O156" s="41">
        <f>'2. Toimintakate'!P156+'3. Verotulot'!BO156+'4. Valtionosuudet'!CE156</f>
        <v>3483.3500201131083</v>
      </c>
      <c r="P156" s="41">
        <f>'2. Toimintakate'!Q156+'3. Verotulot'!BT156+'4. Valtionosuudet'!CK156</f>
        <v>4120.7036066358196</v>
      </c>
      <c r="T156" s="34">
        <v>475</v>
      </c>
      <c r="U156" s="88" t="s">
        <v>470</v>
      </c>
      <c r="V156" s="41" t="e">
        <f>C156/'1. Väestöennuste'!E156*1000</f>
        <v>#REF!</v>
      </c>
      <c r="W156" s="41">
        <f>D156/'1. Väestöennuste'!F156*1000</f>
        <v>449.33840855537431</v>
      </c>
      <c r="X156" s="41">
        <f>E156/'1. Väestöennuste'!G156*1000</f>
        <v>461.20138762096036</v>
      </c>
      <c r="Y156" s="41">
        <f>F156/'1. Väestöennuste'!H156*1000</f>
        <v>310.388899032317</v>
      </c>
      <c r="Z156" s="41">
        <f>G156/'1. Väestöennuste'!I156*1000</f>
        <v>138.08219178082192</v>
      </c>
      <c r="AA156" s="41">
        <f>H156/'1. Väestöennuste'!J156*1000</f>
        <v>739.03181130685039</v>
      </c>
      <c r="AB156" s="41">
        <f>I156/'1. Väestöennuste'!K156*1000</f>
        <v>453.08736220507205</v>
      </c>
      <c r="AC156" s="41">
        <f>J156/'1. Väestöennuste'!L156*1000</f>
        <v>559.29237833670345</v>
      </c>
      <c r="AD156" s="41">
        <f>K156/'1. Väestöennuste'!M156*1000</f>
        <v>796.99297696330518</v>
      </c>
      <c r="AE156" s="41">
        <f>L156/'1. Väestöennuste'!N156*1000</f>
        <v>644.59332537474359</v>
      </c>
      <c r="AF156" s="41">
        <f>M156/'1. Väestöennuste'!O156*1000</f>
        <v>689.5704027206757</v>
      </c>
      <c r="AG156" s="41">
        <f>N156/'1. Väestöennuste'!P156*1000</f>
        <v>695.09983434570995</v>
      </c>
      <c r="AH156" s="41">
        <f>O156/'1. Väestöennuste'!Q156*1000</f>
        <v>649.63633347875952</v>
      </c>
      <c r="AI156" s="41">
        <f>P156/'1. Väestöennuste'!R156*1000</f>
        <v>771.52286212990441</v>
      </c>
    </row>
    <row r="157" spans="1:35" x14ac:dyDescent="0.2">
      <c r="A157" s="34">
        <v>480</v>
      </c>
      <c r="B157" s="88" t="s">
        <v>471</v>
      </c>
      <c r="C157" s="41" t="e">
        <f>'2. Toimintakate'!D157+'3. Verotulot'!G157+'4. Valtionosuudet'!#REF!</f>
        <v>#REF!</v>
      </c>
      <c r="D157" s="41">
        <f>'2. Toimintakate'!E157+'3. Verotulot'!L157+'4. Valtionosuudet'!H157</f>
        <v>903</v>
      </c>
      <c r="E157" s="41">
        <f>'2. Toimintakate'!F157+'3. Verotulot'!Q157+'4. Valtionosuudet'!N157</f>
        <v>1128</v>
      </c>
      <c r="F157" s="41">
        <f>'2. Toimintakate'!G157+'3. Verotulot'!V157+'4. Valtionosuudet'!T157</f>
        <v>416</v>
      </c>
      <c r="G157" s="41">
        <f>'2. Toimintakate'!H157+'3. Verotulot'!AA157+'4. Valtionosuudet'!Z157</f>
        <v>392</v>
      </c>
      <c r="H157" s="41">
        <f>'2. Toimintakate'!I157+'3. Verotulot'!AF157+'4. Valtionosuudet'!AG157</f>
        <v>1162.1635999651126</v>
      </c>
      <c r="I157" s="41">
        <f>'2. Toimintakate'!J157+'3. Verotulot'!AK157+'4. Valtionosuudet'!AN157</f>
        <v>767.80570584149064</v>
      </c>
      <c r="J157" s="41">
        <f>'2. Toimintakate'!K157+'3. Verotulot'!AP157+'4. Valtionosuudet'!AU157</f>
        <v>591.81242739114168</v>
      </c>
      <c r="K157" s="41">
        <f>'2. Toimintakate'!L157+'3. Verotulot'!AU157+'4. Valtionosuudet'!BC157</f>
        <v>575.44887528893605</v>
      </c>
      <c r="L157" s="41">
        <f>'2. Toimintakate'!M157+'3. Verotulot'!AZ157+'4. Valtionosuudet'!BK157</f>
        <v>349.75347944493114</v>
      </c>
      <c r="M157" s="41">
        <f>'2. Toimintakate'!N157+'3. Verotulot'!BE157+'4. Valtionosuudet'!BQ157</f>
        <v>246.9356311891097</v>
      </c>
      <c r="N157" s="41">
        <f>'2. Toimintakate'!O157+'3. Verotulot'!BJ157+'4. Valtionosuudet'!BY157</f>
        <v>207.9865212481327</v>
      </c>
      <c r="O157" s="41">
        <f>'2. Toimintakate'!P157+'3. Verotulot'!BO157+'4. Valtionosuudet'!CE157</f>
        <v>136.23951668124801</v>
      </c>
      <c r="P157" s="41">
        <f>'2. Toimintakate'!Q157+'3. Verotulot'!BT157+'4. Valtionosuudet'!CK157</f>
        <v>335.97804636045794</v>
      </c>
      <c r="T157" s="34">
        <v>480</v>
      </c>
      <c r="U157" s="88" t="s">
        <v>471</v>
      </c>
      <c r="V157" s="41" t="e">
        <f>C157/'1. Väestöennuste'!E157*1000</f>
        <v>#REF!</v>
      </c>
      <c r="W157" s="41">
        <f>D157/'1. Väestöennuste'!F157*1000</f>
        <v>446.80851063829783</v>
      </c>
      <c r="X157" s="41">
        <f>E157/'1. Väestöennuste'!G157*1000</f>
        <v>567.40442655935624</v>
      </c>
      <c r="Y157" s="41">
        <f>F157/'1. Väestöennuste'!H157*1000</f>
        <v>206.14469772051535</v>
      </c>
      <c r="Z157" s="41">
        <f>G157/'1. Väestöennuste'!I157*1000</f>
        <v>194.73422752111279</v>
      </c>
      <c r="AA157" s="41">
        <f>H157/'1. Väestöennuste'!J157*1000</f>
        <v>581.37248622566904</v>
      </c>
      <c r="AB157" s="41">
        <f>I157/'1. Väestöennuste'!K157*1000</f>
        <v>385.83201298567371</v>
      </c>
      <c r="AC157" s="41">
        <f>J157/'1. Väestöennuste'!L157*1000</f>
        <v>299.19738492979866</v>
      </c>
      <c r="AD157" s="41">
        <f>K157/'1. Väestöennuste'!M157*1000</f>
        <v>298.16003900981144</v>
      </c>
      <c r="AE157" s="41">
        <f>L157/'1. Väestöennuste'!N157*1000</f>
        <v>176.55400274857706</v>
      </c>
      <c r="AF157" s="41">
        <f>M157/'1. Väestöennuste'!O157*1000</f>
        <v>124.90421405620117</v>
      </c>
      <c r="AG157" s="41">
        <f>N157/'1. Väestöennuste'!P157*1000</f>
        <v>105.36297935569031</v>
      </c>
      <c r="AH157" s="41">
        <f>O157/'1. Väestöennuste'!Q157*1000</f>
        <v>69.192238030090408</v>
      </c>
      <c r="AI157" s="41">
        <f>P157/'1. Väestöennuste'!R157*1000</f>
        <v>171.32995734852523</v>
      </c>
    </row>
    <row r="158" spans="1:35" x14ac:dyDescent="0.2">
      <c r="A158" s="34">
        <v>481</v>
      </c>
      <c r="B158" s="88" t="s">
        <v>472</v>
      </c>
      <c r="C158" s="41" t="e">
        <f>'2. Toimintakate'!D158+'3. Verotulot'!G158+'4. Valtionosuudet'!#REF!</f>
        <v>#REF!</v>
      </c>
      <c r="D158" s="41">
        <f>'2. Toimintakate'!E158+'3. Verotulot'!L158+'4. Valtionosuudet'!H158</f>
        <v>1306</v>
      </c>
      <c r="E158" s="41">
        <f>'2. Toimintakate'!F158+'3. Verotulot'!Q158+'4. Valtionosuudet'!N158</f>
        <v>4474</v>
      </c>
      <c r="F158" s="41">
        <f>'2. Toimintakate'!G158+'3. Verotulot'!V158+'4. Valtionosuudet'!T158</f>
        <v>1351</v>
      </c>
      <c r="G158" s="41">
        <f>'2. Toimintakate'!H158+'3. Verotulot'!AA158+'4. Valtionosuudet'!Z158</f>
        <v>815</v>
      </c>
      <c r="H158" s="41">
        <f>'2. Toimintakate'!I158+'3. Verotulot'!AF158+'4. Valtionosuudet'!AG158</f>
        <v>6373.4801029844875</v>
      </c>
      <c r="I158" s="41">
        <f>'2. Toimintakate'!J158+'3. Verotulot'!AK158+'4. Valtionosuudet'!AN158</f>
        <v>3497.0870802593836</v>
      </c>
      <c r="J158" s="41">
        <f>'2. Toimintakate'!K158+'3. Verotulot'!AP158+'4. Valtionosuudet'!AU158</f>
        <v>4972.8151002905161</v>
      </c>
      <c r="K158" s="41">
        <f>'2. Toimintakate'!L158+'3. Verotulot'!AU158+'4. Valtionosuudet'!BC158</f>
        <v>3344.6180236469072</v>
      </c>
      <c r="L158" s="41">
        <f>'2. Toimintakate'!M158+'3. Verotulot'!AZ158+'4. Valtionosuudet'!BK158</f>
        <v>2597.9920850709605</v>
      </c>
      <c r="M158" s="41">
        <f>'2. Toimintakate'!N158+'3. Verotulot'!BE158+'4. Valtionosuudet'!BQ158</f>
        <v>-492.44282306967034</v>
      </c>
      <c r="N158" s="41">
        <f>'2. Toimintakate'!O158+'3. Verotulot'!BJ158+'4. Valtionosuudet'!BY158</f>
        <v>386.98070099015422</v>
      </c>
      <c r="O158" s="41">
        <f>'2. Toimintakate'!P158+'3. Verotulot'!BO158+'4. Valtionosuudet'!CE158</f>
        <v>762.2748219045352</v>
      </c>
      <c r="P158" s="41">
        <f>'2. Toimintakate'!Q158+'3. Verotulot'!BT158+'4. Valtionosuudet'!CK158</f>
        <v>871.43516341197392</v>
      </c>
      <c r="T158" s="34">
        <v>481</v>
      </c>
      <c r="U158" s="88" t="s">
        <v>472</v>
      </c>
      <c r="V158" s="41" t="e">
        <f>C158/'1. Väestöennuste'!E158*1000</f>
        <v>#REF!</v>
      </c>
      <c r="W158" s="41">
        <f>D158/'1. Väestöennuste'!F158*1000</f>
        <v>134.98708010335918</v>
      </c>
      <c r="X158" s="41">
        <f>E158/'1. Väestöennuste'!G158*1000</f>
        <v>463.33885666942831</v>
      </c>
      <c r="Y158" s="41">
        <f>F158/'1. Väestöennuste'!H158*1000</f>
        <v>141.40674063219595</v>
      </c>
      <c r="Z158" s="41">
        <f>G158/'1. Väestöennuste'!I158*1000</f>
        <v>85.483532620096497</v>
      </c>
      <c r="AA158" s="41">
        <f>H158/'1. Väestöennuste'!J158*1000</f>
        <v>667.86965346164595</v>
      </c>
      <c r="AB158" s="41">
        <f>I158/'1. Väestöennuste'!K158*1000</f>
        <v>363.82512279019801</v>
      </c>
      <c r="AC158" s="41">
        <f>J158/'1. Väestöennuste'!L158*1000</f>
        <v>515.74518775052024</v>
      </c>
      <c r="AD158" s="41">
        <f>K158/'1. Väestöennuste'!M158*1000</f>
        <v>347.70953567386499</v>
      </c>
      <c r="AE158" s="41">
        <f>L158/'1. Väestöennuste'!N158*1000</f>
        <v>274.2233570900317</v>
      </c>
      <c r="AF158" s="41">
        <f>M158/'1. Väestöennuste'!O158*1000</f>
        <v>-52.077286703645342</v>
      </c>
      <c r="AG158" s="41">
        <f>N158/'1. Väestöennuste'!P158*1000</f>
        <v>40.985035055089405</v>
      </c>
      <c r="AH158" s="41">
        <f>O158/'1. Väestöennuste'!Q158*1000</f>
        <v>80.826510646223653</v>
      </c>
      <c r="AI158" s="41">
        <f>P158/'1. Väestöennuste'!R158*1000</f>
        <v>92.48940388579642</v>
      </c>
    </row>
    <row r="159" spans="1:35" x14ac:dyDescent="0.2">
      <c r="A159" s="34">
        <v>483</v>
      </c>
      <c r="B159" s="88" t="s">
        <v>473</v>
      </c>
      <c r="C159" s="41" t="e">
        <f>'2. Toimintakate'!D159+'3. Verotulot'!G159+'4. Valtionosuudet'!#REF!</f>
        <v>#REF!</v>
      </c>
      <c r="D159" s="41">
        <f>'2. Toimintakate'!E159+'3. Verotulot'!L159+'4. Valtionosuudet'!H159</f>
        <v>107</v>
      </c>
      <c r="E159" s="41">
        <f>'2. Toimintakate'!F159+'3. Verotulot'!Q159+'4. Valtionosuudet'!N159</f>
        <v>315</v>
      </c>
      <c r="F159" s="41">
        <f>'2. Toimintakate'!G159+'3. Verotulot'!V159+'4. Valtionosuudet'!T159</f>
        <v>27</v>
      </c>
      <c r="G159" s="41">
        <f>'2. Toimintakate'!H159+'3. Verotulot'!AA159+'4. Valtionosuudet'!Z159</f>
        <v>-514</v>
      </c>
      <c r="H159" s="41">
        <f>'2. Toimintakate'!I159+'3. Verotulot'!AF159+'4. Valtionosuudet'!AG159</f>
        <v>630.3059741257739</v>
      </c>
      <c r="I159" s="41">
        <f>'2. Toimintakate'!J159+'3. Verotulot'!AK159+'4. Valtionosuudet'!AN159</f>
        <v>101.60875378272431</v>
      </c>
      <c r="J159" s="41">
        <f>'2. Toimintakate'!K159+'3. Verotulot'!AP159+'4. Valtionosuudet'!AU159</f>
        <v>-434.04868728568636</v>
      </c>
      <c r="K159" s="41">
        <f>'2. Toimintakate'!L159+'3. Verotulot'!AU159+'4. Valtionosuudet'!BC159</f>
        <v>-322.70812696327494</v>
      </c>
      <c r="L159" s="41">
        <f>'2. Toimintakate'!M159+'3. Verotulot'!AZ159+'4. Valtionosuudet'!BK159</f>
        <v>-626.25767336485114</v>
      </c>
      <c r="M159" s="41">
        <f>'2. Toimintakate'!N159+'3. Verotulot'!BE159+'4. Valtionosuudet'!BQ159</f>
        <v>-1173.302331348048</v>
      </c>
      <c r="N159" s="41">
        <f>'2. Toimintakate'!O159+'3. Verotulot'!BJ159+'4. Valtionosuudet'!BY159</f>
        <v>-1134.0665890314672</v>
      </c>
      <c r="O159" s="41">
        <f>'2. Toimintakate'!P159+'3. Verotulot'!BO159+'4. Valtionosuudet'!CE159</f>
        <v>-1222.5530477970763</v>
      </c>
      <c r="P159" s="41">
        <f>'2. Toimintakate'!Q159+'3. Verotulot'!BT159+'4. Valtionosuudet'!CK159</f>
        <v>-1082.7952089110363</v>
      </c>
      <c r="T159" s="34">
        <v>483</v>
      </c>
      <c r="U159" s="88" t="s">
        <v>473</v>
      </c>
      <c r="V159" s="41" t="e">
        <f>C159/'1. Väestöennuste'!E159*1000</f>
        <v>#REF!</v>
      </c>
      <c r="W159" s="41">
        <f>D159/'1. Väestöennuste'!F159*1000</f>
        <v>94.606542882404952</v>
      </c>
      <c r="X159" s="41">
        <f>E159/'1. Väestöennuste'!G159*1000</f>
        <v>281.50134048257377</v>
      </c>
      <c r="Y159" s="41">
        <f>F159/'1. Väestöennuste'!H159*1000</f>
        <v>24.456521739130437</v>
      </c>
      <c r="Z159" s="41">
        <f>G159/'1. Väestöennuste'!I159*1000</f>
        <v>-471.99265381083558</v>
      </c>
      <c r="AA159" s="41">
        <f>H159/'1. Väestöennuste'!J159*1000</f>
        <v>584.69941941166417</v>
      </c>
      <c r="AB159" s="41">
        <f>I159/'1. Väestöennuste'!K159*1000</f>
        <v>94.431927307364589</v>
      </c>
      <c r="AC159" s="41">
        <f>J159/'1. Väestöennuste'!L159*1000</f>
        <v>-406.79352135490751</v>
      </c>
      <c r="AD159" s="41">
        <f>K159/'1. Väestöennuste'!M159*1000</f>
        <v>-305.88448053390988</v>
      </c>
      <c r="AE159" s="41">
        <f>L159/'1. Väestöennuste'!N159*1000</f>
        <v>-613.9781111420109</v>
      </c>
      <c r="AF159" s="41">
        <f>M159/'1. Väestöennuste'!O159*1000</f>
        <v>-1166.3045043221155</v>
      </c>
      <c r="AG159" s="41">
        <f>N159/'1. Väestöennuste'!P159*1000</f>
        <v>-1142.0610161444783</v>
      </c>
      <c r="AH159" s="41">
        <f>O159/'1. Väestöennuste'!Q159*1000</f>
        <v>-1248.7773726221412</v>
      </c>
      <c r="AI159" s="41">
        <f>P159/'1. Väestöennuste'!R159*1000</f>
        <v>-1117.4357161104606</v>
      </c>
    </row>
    <row r="160" spans="1:35" x14ac:dyDescent="0.2">
      <c r="A160" s="34">
        <v>484</v>
      </c>
      <c r="B160" s="88" t="s">
        <v>474</v>
      </c>
      <c r="C160" s="41" t="e">
        <f>'2. Toimintakate'!D160+'3. Verotulot'!G160+'4. Valtionosuudet'!#REF!</f>
        <v>#REF!</v>
      </c>
      <c r="D160" s="41">
        <f>'2. Toimintakate'!E160+'3. Verotulot'!L160+'4. Valtionosuudet'!H160</f>
        <v>1325</v>
      </c>
      <c r="E160" s="41">
        <f>'2. Toimintakate'!F160+'3. Verotulot'!Q160+'4. Valtionosuudet'!N160</f>
        <v>963</v>
      </c>
      <c r="F160" s="41">
        <f>'2. Toimintakate'!G160+'3. Verotulot'!V160+'4. Valtionosuudet'!T160</f>
        <v>-388</v>
      </c>
      <c r="G160" s="41">
        <f>'2. Toimintakate'!H160+'3. Verotulot'!AA160+'4. Valtionosuudet'!Z160</f>
        <v>222</v>
      </c>
      <c r="H160" s="41">
        <f>'2. Toimintakate'!I160+'3. Verotulot'!AF160+'4. Valtionosuudet'!AG160</f>
        <v>2371.2024869220568</v>
      </c>
      <c r="I160" s="41">
        <f>'2. Toimintakate'!J160+'3. Verotulot'!AK160+'4. Valtionosuudet'!AN160</f>
        <v>2882.0045854801647</v>
      </c>
      <c r="J160" s="41">
        <f>'2. Toimintakate'!K160+'3. Verotulot'!AP160+'4. Valtionosuudet'!AU160</f>
        <v>773.34475677597766</v>
      </c>
      <c r="K160" s="41">
        <f>'2. Toimintakate'!L160+'3. Verotulot'!AU160+'4. Valtionosuudet'!BC160</f>
        <v>-949.70330642793124</v>
      </c>
      <c r="L160" s="41">
        <f>'2. Toimintakate'!M160+'3. Verotulot'!AZ160+'4. Valtionosuudet'!BK160</f>
        <v>2141.6247035314441</v>
      </c>
      <c r="M160" s="41">
        <f>'2. Toimintakate'!N160+'3. Verotulot'!BE160+'4. Valtionosuudet'!BQ160</f>
        <v>108.85720284933768</v>
      </c>
      <c r="N160" s="41">
        <f>'2. Toimintakate'!O160+'3. Verotulot'!BJ160+'4. Valtionosuudet'!BY160</f>
        <v>-848.0362863505095</v>
      </c>
      <c r="O160" s="41">
        <f>'2. Toimintakate'!P160+'3. Verotulot'!BO160+'4. Valtionosuudet'!CE160</f>
        <v>-562.30339475157007</v>
      </c>
      <c r="P160" s="41">
        <f>'2. Toimintakate'!Q160+'3. Verotulot'!BT160+'4. Valtionosuudet'!CK160</f>
        <v>-533.04983041381047</v>
      </c>
      <c r="T160" s="34">
        <v>484</v>
      </c>
      <c r="U160" s="88" t="s">
        <v>474</v>
      </c>
      <c r="V160" s="41" t="e">
        <f>C160/'1. Väestöennuste'!E160*1000</f>
        <v>#REF!</v>
      </c>
      <c r="W160" s="41">
        <f>D160/'1. Väestöennuste'!F160*1000</f>
        <v>418.11296939097508</v>
      </c>
      <c r="X160" s="41">
        <f>E160/'1. Väestöennuste'!G160*1000</f>
        <v>305.13307984790879</v>
      </c>
      <c r="Y160" s="41">
        <f>F160/'1. Väestöennuste'!H160*1000</f>
        <v>-124.5585874799358</v>
      </c>
      <c r="Z160" s="41">
        <f>G160/'1. Väestöennuste'!I160*1000</f>
        <v>72.38343658298011</v>
      </c>
      <c r="AA160" s="41">
        <f>H160/'1. Väestöennuste'!J160*1000</f>
        <v>773.38632972017513</v>
      </c>
      <c r="AB160" s="41">
        <f>I160/'1. Väestöennuste'!K160*1000</f>
        <v>943.37302307043035</v>
      </c>
      <c r="AC160" s="41">
        <f>J160/'1. Väestöennuste'!L160*1000</f>
        <v>260.64872152880946</v>
      </c>
      <c r="AD160" s="41">
        <f>K160/'1. Väestöennuste'!M160*1000</f>
        <v>-320.19666433847988</v>
      </c>
      <c r="AE160" s="41">
        <f>L160/'1. Väestöennuste'!N160*1000</f>
        <v>718.4249257066233</v>
      </c>
      <c r="AF160" s="41">
        <f>M160/'1. Väestöennuste'!O160*1000</f>
        <v>36.714065041935143</v>
      </c>
      <c r="AG160" s="41">
        <f>N160/'1. Väestöennuste'!P160*1000</f>
        <v>-287.46992757644392</v>
      </c>
      <c r="AH160" s="41">
        <f>O160/'1. Väestöennuste'!Q160*1000</f>
        <v>-191.7161250431538</v>
      </c>
      <c r="AI160" s="41">
        <f>P160/'1. Väestöennuste'!R160*1000</f>
        <v>-182.61385077554314</v>
      </c>
    </row>
    <row r="161" spans="1:35" x14ac:dyDescent="0.2">
      <c r="A161" s="34">
        <v>489</v>
      </c>
      <c r="B161" s="88" t="s">
        <v>475</v>
      </c>
      <c r="C161" s="41" t="e">
        <f>'2. Toimintakate'!D161+'3. Verotulot'!G161+'4. Valtionosuudet'!#REF!</f>
        <v>#REF!</v>
      </c>
      <c r="D161" s="41">
        <f>'2. Toimintakate'!E161+'3. Verotulot'!L161+'4. Valtionosuudet'!H161</f>
        <v>1542</v>
      </c>
      <c r="E161" s="41">
        <f>'2. Toimintakate'!F161+'3. Verotulot'!Q161+'4. Valtionosuudet'!N161</f>
        <v>1514</v>
      </c>
      <c r="F161" s="41">
        <f>'2. Toimintakate'!G161+'3. Verotulot'!V161+'4. Valtionosuudet'!T161</f>
        <v>617</v>
      </c>
      <c r="G161" s="41">
        <f>'2. Toimintakate'!H161+'3. Verotulot'!AA161+'4. Valtionosuudet'!Z161</f>
        <v>1174</v>
      </c>
      <c r="H161" s="41">
        <f>'2. Toimintakate'!I161+'3. Verotulot'!AF161+'4. Valtionosuudet'!AG161</f>
        <v>1987.9854964863907</v>
      </c>
      <c r="I161" s="41">
        <f>'2. Toimintakate'!J161+'3. Verotulot'!AK161+'4. Valtionosuudet'!AN161</f>
        <v>761.32335969090946</v>
      </c>
      <c r="J161" s="41">
        <f>'2. Toimintakate'!K161+'3. Verotulot'!AP161+'4. Valtionosuudet'!AU161</f>
        <v>91.270589913294316</v>
      </c>
      <c r="K161" s="41">
        <f>'2. Toimintakate'!L161+'3. Verotulot'!AU161+'4. Valtionosuudet'!BC161</f>
        <v>785.33900657757636</v>
      </c>
      <c r="L161" s="41">
        <f>'2. Toimintakate'!M161+'3. Verotulot'!AZ161+'4. Valtionosuudet'!BK161</f>
        <v>131.97814330564597</v>
      </c>
      <c r="M161" s="41">
        <f>'2. Toimintakate'!N161+'3. Verotulot'!BE161+'4. Valtionosuudet'!BQ161</f>
        <v>-283.62924663213425</v>
      </c>
      <c r="N161" s="41">
        <f>'2. Toimintakate'!O161+'3. Verotulot'!BJ161+'4. Valtionosuudet'!BY161</f>
        <v>-396.88277042382742</v>
      </c>
      <c r="O161" s="41">
        <f>'2. Toimintakate'!P161+'3. Verotulot'!BO161+'4. Valtionosuudet'!CE161</f>
        <v>-536.62007932865572</v>
      </c>
      <c r="P161" s="41">
        <f>'2. Toimintakate'!Q161+'3. Verotulot'!BT161+'4. Valtionosuudet'!CK161</f>
        <v>-390.471321803911</v>
      </c>
      <c r="T161" s="34">
        <v>489</v>
      </c>
      <c r="U161" s="88" t="s">
        <v>475</v>
      </c>
      <c r="V161" s="41" t="e">
        <f>C161/'1. Väestöennuste'!E161*1000</f>
        <v>#REF!</v>
      </c>
      <c r="W161" s="41">
        <f>D161/'1. Väestöennuste'!F161*1000</f>
        <v>758.11209439528022</v>
      </c>
      <c r="X161" s="41">
        <f>E161/'1. Väestöennuste'!G161*1000</f>
        <v>760.0401606425703</v>
      </c>
      <c r="Y161" s="41">
        <f>F161/'1. Väestöennuste'!H161*1000</f>
        <v>318.04123711340202</v>
      </c>
      <c r="Z161" s="41">
        <f>G161/'1. Väestöennuste'!I161*1000</f>
        <v>632.20247711362413</v>
      </c>
      <c r="AA161" s="41">
        <f>H161/'1. Väestöennuste'!J161*1000</f>
        <v>1064.2320645002092</v>
      </c>
      <c r="AB161" s="41">
        <f>I161/'1. Väestöennuste'!K161*1000</f>
        <v>414.89011427297515</v>
      </c>
      <c r="AC161" s="41">
        <f>J161/'1. Väestöennuste'!L161*1000</f>
        <v>50.960686718757294</v>
      </c>
      <c r="AD161" s="41">
        <f>K161/'1. Väestöennuste'!M161*1000</f>
        <v>448.25285763560294</v>
      </c>
      <c r="AE161" s="41">
        <f>L161/'1. Väestöennuste'!N161*1000</f>
        <v>76.332066689211089</v>
      </c>
      <c r="AF161" s="41">
        <f>M161/'1. Väestöennuste'!O161*1000</f>
        <v>-166.64468074743493</v>
      </c>
      <c r="AG161" s="41">
        <f>N161/'1. Väestöennuste'!P161*1000</f>
        <v>-236.94493756646412</v>
      </c>
      <c r="AH161" s="41">
        <f>O161/'1. Väestöennuste'!Q161*1000</f>
        <v>-325.4215156632236</v>
      </c>
      <c r="AI161" s="41">
        <f>P161/'1. Väestöennuste'!R161*1000</f>
        <v>-240.29004418702215</v>
      </c>
    </row>
    <row r="162" spans="1:35" x14ac:dyDescent="0.2">
      <c r="A162" s="34">
        <v>491</v>
      </c>
      <c r="B162" s="88" t="s">
        <v>476</v>
      </c>
      <c r="C162" s="41" t="e">
        <f>'2. Toimintakate'!D162+'3. Verotulot'!G162+'4. Valtionosuudet'!#REF!</f>
        <v>#REF!</v>
      </c>
      <c r="D162" s="41">
        <f>'2. Toimintakate'!E162+'3. Verotulot'!L162+'4. Valtionosuudet'!H162</f>
        <v>15721</v>
      </c>
      <c r="E162" s="41">
        <f>'2. Toimintakate'!F162+'3. Verotulot'!Q162+'4. Valtionosuudet'!N162</f>
        <v>20910</v>
      </c>
      <c r="F162" s="41">
        <f>'2. Toimintakate'!G162+'3. Verotulot'!V162+'4. Valtionosuudet'!T162</f>
        <v>1057</v>
      </c>
      <c r="G162" s="41">
        <f>'2. Toimintakate'!H162+'3. Verotulot'!AA162+'4. Valtionosuudet'!Z162</f>
        <v>1470</v>
      </c>
      <c r="H162" s="41">
        <f>'2. Toimintakate'!I162+'3. Verotulot'!AF162+'4. Valtionosuudet'!AG162</f>
        <v>31699.61883728212</v>
      </c>
      <c r="I162" s="41">
        <f>'2. Toimintakate'!J162+'3. Verotulot'!AK162+'4. Valtionosuudet'!AN162</f>
        <v>15023.308833321164</v>
      </c>
      <c r="J162" s="41">
        <f>'2. Toimintakate'!K162+'3. Verotulot'!AP162+'4. Valtionosuudet'!AU162</f>
        <v>21684.817866279715</v>
      </c>
      <c r="K162" s="41">
        <f>'2. Toimintakate'!L162+'3. Verotulot'!AU162+'4. Valtionosuudet'!BC162</f>
        <v>33357.310978008492</v>
      </c>
      <c r="L162" s="41">
        <f>'2. Toimintakate'!M162+'3. Verotulot'!AZ162+'4. Valtionosuudet'!BK162</f>
        <v>13660.171573861189</v>
      </c>
      <c r="M162" s="41">
        <f>'2. Toimintakate'!N162+'3. Verotulot'!BE162+'4. Valtionosuudet'!BQ162</f>
        <v>12694.147246872591</v>
      </c>
      <c r="N162" s="41">
        <f>'2. Toimintakate'!O162+'3. Verotulot'!BJ162+'4. Valtionosuudet'!BY162</f>
        <v>14581.855983191796</v>
      </c>
      <c r="O162" s="41">
        <f>'2. Toimintakate'!P162+'3. Verotulot'!BO162+'4. Valtionosuudet'!CE162</f>
        <v>15681.736321875749</v>
      </c>
      <c r="P162" s="41">
        <f>'2. Toimintakate'!Q162+'3. Verotulot'!BT162+'4. Valtionosuudet'!CK162</f>
        <v>22467.870171248542</v>
      </c>
      <c r="T162" s="34">
        <v>491</v>
      </c>
      <c r="U162" s="88" t="s">
        <v>476</v>
      </c>
      <c r="V162" s="41" t="e">
        <f>C162/'1. Väestöennuste'!E162*1000</f>
        <v>#REF!</v>
      </c>
      <c r="W162" s="41">
        <f>D162/'1. Väestöennuste'!F162*1000</f>
        <v>288.36876570611003</v>
      </c>
      <c r="X162" s="41">
        <f>E162/'1. Väestöennuste'!G162*1000</f>
        <v>385.35965057776303</v>
      </c>
      <c r="Y162" s="41">
        <f>F162/'1. Väestöennuste'!H162*1000</f>
        <v>19.640269054963021</v>
      </c>
      <c r="Z162" s="41">
        <f>G162/'1. Väestöennuste'!I162*1000</f>
        <v>27.665901306131669</v>
      </c>
      <c r="AA162" s="41">
        <f>H162/'1. Väestöennuste'!J162*1000</f>
        <v>602.84918770861532</v>
      </c>
      <c r="AB162" s="41">
        <f>I162/'1. Väestöennuste'!K162*1000</f>
        <v>288.2335450159465</v>
      </c>
      <c r="AC162" s="41">
        <f>J162/'1. Väestöennuste'!L162*1000</f>
        <v>417.17618057483099</v>
      </c>
      <c r="AD162" s="41">
        <f>K162/'1. Väestöennuste'!M162*1000</f>
        <v>642.48754748759598</v>
      </c>
      <c r="AE162" s="41">
        <f>L162/'1. Väestöennuste'!N162*1000</f>
        <v>267.94106888433544</v>
      </c>
      <c r="AF162" s="41">
        <f>M162/'1. Väestöennuste'!O162*1000</f>
        <v>250.93198479624795</v>
      </c>
      <c r="AG162" s="41">
        <f>N162/'1. Väestöennuste'!P162*1000</f>
        <v>290.5157289500886</v>
      </c>
      <c r="AH162" s="41">
        <f>O162/'1. Väestöennuste'!Q162*1000</f>
        <v>314.82476404560737</v>
      </c>
      <c r="AI162" s="41">
        <f>P162/'1. Väestöennuste'!R162*1000</f>
        <v>454.52995430496128</v>
      </c>
    </row>
    <row r="163" spans="1:35" x14ac:dyDescent="0.2">
      <c r="A163" s="34">
        <v>494</v>
      </c>
      <c r="B163" s="88" t="s">
        <v>477</v>
      </c>
      <c r="C163" s="41" t="e">
        <f>'2. Toimintakate'!D163+'3. Verotulot'!G163+'4. Valtionosuudet'!#REF!</f>
        <v>#REF!</v>
      </c>
      <c r="D163" s="41">
        <f>'2. Toimintakate'!E163+'3. Verotulot'!L163+'4. Valtionosuudet'!H163</f>
        <v>5086</v>
      </c>
      <c r="E163" s="41">
        <f>'2. Toimintakate'!F163+'3. Verotulot'!Q163+'4. Valtionosuudet'!N163</f>
        <v>4543</v>
      </c>
      <c r="F163" s="41">
        <f>'2. Toimintakate'!G163+'3. Verotulot'!V163+'4. Valtionosuudet'!T163</f>
        <v>2222</v>
      </c>
      <c r="G163" s="41">
        <f>'2. Toimintakate'!H163+'3. Verotulot'!AA163+'4. Valtionosuudet'!Z163</f>
        <v>1721</v>
      </c>
      <c r="H163" s="41">
        <f>'2. Toimintakate'!I163+'3. Verotulot'!AF163+'4. Valtionosuudet'!AG163</f>
        <v>5440.660357549692</v>
      </c>
      <c r="I163" s="41">
        <f>'2. Toimintakate'!J163+'3. Verotulot'!AK163+'4. Valtionosuudet'!AN163</f>
        <v>4765.2540259794805</v>
      </c>
      <c r="J163" s="41">
        <f>'2. Toimintakate'!K163+'3. Verotulot'!AP163+'4. Valtionosuudet'!AU163</f>
        <v>4378.3583384259837</v>
      </c>
      <c r="K163" s="41">
        <f>'2. Toimintakate'!L163+'3. Verotulot'!AU163+'4. Valtionosuudet'!BC163</f>
        <v>7434.9140260880358</v>
      </c>
      <c r="L163" s="41">
        <f>'2. Toimintakate'!M163+'3. Verotulot'!AZ163+'4. Valtionosuudet'!BK163</f>
        <v>4593.7892376889176</v>
      </c>
      <c r="M163" s="41">
        <f>'2. Toimintakate'!N163+'3. Verotulot'!BE163+'4. Valtionosuudet'!BQ163</f>
        <v>3768.3656277283317</v>
      </c>
      <c r="N163" s="41">
        <f>'2. Toimintakate'!O163+'3. Verotulot'!BJ163+'4. Valtionosuudet'!BY163</f>
        <v>4282.6178609187355</v>
      </c>
      <c r="O163" s="41">
        <f>'2. Toimintakate'!P163+'3. Verotulot'!BO163+'4. Valtionosuudet'!CE163</f>
        <v>4486.316907300934</v>
      </c>
      <c r="P163" s="41">
        <f>'2. Toimintakate'!Q163+'3. Verotulot'!BT163+'4. Valtionosuudet'!CK163</f>
        <v>5566.3353200581005</v>
      </c>
      <c r="T163" s="34">
        <v>494</v>
      </c>
      <c r="U163" s="88" t="s">
        <v>477</v>
      </c>
      <c r="V163" s="41" t="e">
        <f>C163/'1. Väestöennuste'!E163*1000</f>
        <v>#REF!</v>
      </c>
      <c r="W163" s="41">
        <f>D163/'1. Väestöennuste'!F163*1000</f>
        <v>565.42523624235685</v>
      </c>
      <c r="X163" s="41">
        <f>E163/'1. Väestöennuste'!G163*1000</f>
        <v>503.71438075174638</v>
      </c>
      <c r="Y163" s="41">
        <f>F163/'1. Väestöennuste'!H163*1000</f>
        <v>247.43875278396439</v>
      </c>
      <c r="Z163" s="41">
        <f>G163/'1. Väestöennuste'!I163*1000</f>
        <v>193.19712617871576</v>
      </c>
      <c r="AA163" s="41">
        <f>H163/'1. Väestöennuste'!J163*1000</f>
        <v>611.10416236658341</v>
      </c>
      <c r="AB163" s="41">
        <f>I163/'1. Väestöennuste'!K163*1000</f>
        <v>534.88090986412396</v>
      </c>
      <c r="AC163" s="41">
        <f>J163/'1. Väestöennuste'!L163*1000</f>
        <v>492.94734726705514</v>
      </c>
      <c r="AD163" s="41">
        <f>K163/'1. Väestöennuste'!M163*1000</f>
        <v>842.29228799003465</v>
      </c>
      <c r="AE163" s="41">
        <f>L163/'1. Väestöennuste'!N163*1000</f>
        <v>523.21061932675593</v>
      </c>
      <c r="AF163" s="41">
        <f>M163/'1. Väestöennuste'!O163*1000</f>
        <v>430.67035745466649</v>
      </c>
      <c r="AG163" s="41">
        <f>N163/'1. Väestöennuste'!P163*1000</f>
        <v>491.12590148150639</v>
      </c>
      <c r="AH163" s="41">
        <f>O163/'1. Väestöennuste'!Q163*1000</f>
        <v>516.20261273742199</v>
      </c>
      <c r="AI163" s="41">
        <f>P163/'1. Väestöennuste'!R163*1000</f>
        <v>642.61548372871164</v>
      </c>
    </row>
    <row r="164" spans="1:35" x14ac:dyDescent="0.2">
      <c r="A164" s="34">
        <v>495</v>
      </c>
      <c r="B164" s="88" t="s">
        <v>478</v>
      </c>
      <c r="C164" s="41" t="e">
        <f>'2. Toimintakate'!D164+'3. Verotulot'!G164+'4. Valtionosuudet'!#REF!</f>
        <v>#REF!</v>
      </c>
      <c r="D164" s="41">
        <f>'2. Toimintakate'!E164+'3. Verotulot'!L164+'4. Valtionosuudet'!H164</f>
        <v>818</v>
      </c>
      <c r="E164" s="41">
        <f>'2. Toimintakate'!F164+'3. Verotulot'!Q164+'4. Valtionosuudet'!N164</f>
        <v>499</v>
      </c>
      <c r="F164" s="41">
        <f>'2. Toimintakate'!G164+'3. Verotulot'!V164+'4. Valtionosuudet'!T164</f>
        <v>524</v>
      </c>
      <c r="G164" s="41">
        <f>'2. Toimintakate'!H164+'3. Verotulot'!AA164+'4. Valtionosuudet'!Z164</f>
        <v>-1376</v>
      </c>
      <c r="H164" s="41">
        <f>'2. Toimintakate'!I164+'3. Verotulot'!AF164+'4. Valtionosuudet'!AG164</f>
        <v>1528.3613632931047</v>
      </c>
      <c r="I164" s="41">
        <f>'2. Toimintakate'!J164+'3. Verotulot'!AK164+'4. Valtionosuudet'!AN164</f>
        <v>1042.4384075369817</v>
      </c>
      <c r="J164" s="41">
        <f>'2. Toimintakate'!K164+'3. Verotulot'!AP164+'4. Valtionosuudet'!AU164</f>
        <v>301.44837461232964</v>
      </c>
      <c r="K164" s="41">
        <f>'2. Toimintakate'!L164+'3. Verotulot'!AU164+'4. Valtionosuudet'!BC164</f>
        <v>14.76473726231302</v>
      </c>
      <c r="L164" s="41">
        <f>'2. Toimintakate'!M164+'3. Verotulot'!AZ164+'4. Valtionosuudet'!BK164</f>
        <v>577.45781414602777</v>
      </c>
      <c r="M164" s="41">
        <f>'2. Toimintakate'!N164+'3. Verotulot'!BE164+'4. Valtionosuudet'!BQ164</f>
        <v>-269.43044136912522</v>
      </c>
      <c r="N164" s="41">
        <f>'2. Toimintakate'!O164+'3. Verotulot'!BJ164+'4. Valtionosuudet'!BY164</f>
        <v>-452.54327477106006</v>
      </c>
      <c r="O164" s="41">
        <f>'2. Toimintakate'!P164+'3. Verotulot'!BO164+'4. Valtionosuudet'!CE164</f>
        <v>-504.30869119623537</v>
      </c>
      <c r="P164" s="41">
        <f>'2. Toimintakate'!Q164+'3. Verotulot'!BT164+'4. Valtionosuudet'!CK164</f>
        <v>-408.58117587290644</v>
      </c>
      <c r="T164" s="34">
        <v>495</v>
      </c>
      <c r="U164" s="88" t="s">
        <v>478</v>
      </c>
      <c r="V164" s="41" t="e">
        <f>C164/'1. Väestöennuste'!E164*1000</f>
        <v>#REF!</v>
      </c>
      <c r="W164" s="41">
        <f>D164/'1. Väestöennuste'!F164*1000</f>
        <v>491.88214070956104</v>
      </c>
      <c r="X164" s="41">
        <f>E164/'1. Väestöennuste'!G164*1000</f>
        <v>305.01222493887531</v>
      </c>
      <c r="Y164" s="41">
        <f>F164/'1. Väestöennuste'!H164*1000</f>
        <v>330.80808080808083</v>
      </c>
      <c r="Z164" s="41">
        <f>G164/'1. Väestöennuste'!I164*1000</f>
        <v>-878.67177522349937</v>
      </c>
      <c r="AA164" s="41">
        <f>H164/'1. Väestöennuste'!J164*1000</f>
        <v>980.97648478376425</v>
      </c>
      <c r="AB164" s="41">
        <f>I164/'1. Väestöennuste'!K164*1000</f>
        <v>700.56344592539085</v>
      </c>
      <c r="AC164" s="41">
        <f>J164/'1. Väestöennuste'!L164*1000</f>
        <v>204.09504036041275</v>
      </c>
      <c r="AD164" s="41">
        <f>K164/'1. Väestöennuste'!M164*1000</f>
        <v>10.324991092526588</v>
      </c>
      <c r="AE164" s="41">
        <f>L164/'1. Väestöennuste'!N164*1000</f>
        <v>396.33343455458328</v>
      </c>
      <c r="AF164" s="41">
        <f>M164/'1. Väestöennuste'!O164*1000</f>
        <v>-187.88733707749316</v>
      </c>
      <c r="AG164" s="41">
        <f>N164/'1. Väestöennuste'!P164*1000</f>
        <v>-320.27124895333338</v>
      </c>
      <c r="AH164" s="41">
        <f>O164/'1. Väestöennuste'!Q164*1000</f>
        <v>-363.07321180434508</v>
      </c>
      <c r="AI164" s="41">
        <f>P164/'1. Väestöennuste'!R164*1000</f>
        <v>-298.88893626401347</v>
      </c>
    </row>
    <row r="165" spans="1:35" x14ac:dyDescent="0.2">
      <c r="A165" s="34">
        <v>498</v>
      </c>
      <c r="B165" s="88" t="s">
        <v>479</v>
      </c>
      <c r="C165" s="41" t="e">
        <f>'2. Toimintakate'!D165+'3. Verotulot'!G165+'4. Valtionosuudet'!#REF!</f>
        <v>#REF!</v>
      </c>
      <c r="D165" s="41">
        <f>'2. Toimintakate'!E165+'3. Verotulot'!L165+'4. Valtionosuudet'!H165</f>
        <v>1011</v>
      </c>
      <c r="E165" s="41">
        <f>'2. Toimintakate'!F165+'3. Verotulot'!Q165+'4. Valtionosuudet'!N165</f>
        <v>1585</v>
      </c>
      <c r="F165" s="41">
        <f>'2. Toimintakate'!G165+'3. Verotulot'!V165+'4. Valtionosuudet'!T165</f>
        <v>903</v>
      </c>
      <c r="G165" s="41">
        <f>'2. Toimintakate'!H165+'3. Verotulot'!AA165+'4. Valtionosuudet'!Z165</f>
        <v>311</v>
      </c>
      <c r="H165" s="41">
        <f>'2. Toimintakate'!I165+'3. Verotulot'!AF165+'4. Valtionosuudet'!AG165</f>
        <v>2586.1444098640477</v>
      </c>
      <c r="I165" s="41">
        <f>'2. Toimintakate'!J165+'3. Verotulot'!AK165+'4. Valtionosuudet'!AN165</f>
        <v>1906.3908770899543</v>
      </c>
      <c r="J165" s="41">
        <f>'2. Toimintakate'!K165+'3. Verotulot'!AP165+'4. Valtionosuudet'!AU165</f>
        <v>2200.3322595890877</v>
      </c>
      <c r="K165" s="41">
        <f>'2. Toimintakate'!L165+'3. Verotulot'!AU165+'4. Valtionosuudet'!BC165</f>
        <v>2084.9077688013826</v>
      </c>
      <c r="L165" s="41">
        <f>'2. Toimintakate'!M165+'3. Verotulot'!AZ165+'4. Valtionosuudet'!BK165</f>
        <v>1168.2186383931912</v>
      </c>
      <c r="M165" s="41">
        <f>'2. Toimintakate'!N165+'3. Verotulot'!BE165+'4. Valtionosuudet'!BQ165</f>
        <v>1207.8936656032702</v>
      </c>
      <c r="N165" s="41">
        <f>'2. Toimintakate'!O165+'3. Verotulot'!BJ165+'4. Valtionosuudet'!BY165</f>
        <v>1047.9387270874258</v>
      </c>
      <c r="O165" s="41">
        <f>'2. Toimintakate'!P165+'3. Verotulot'!BO165+'4. Valtionosuudet'!CE165</f>
        <v>883.12021995612486</v>
      </c>
      <c r="P165" s="41">
        <f>'2. Toimintakate'!Q165+'3. Verotulot'!BT165+'4. Valtionosuudet'!CK165</f>
        <v>964.64924899627022</v>
      </c>
      <c r="T165" s="34">
        <v>498</v>
      </c>
      <c r="U165" s="88" t="s">
        <v>479</v>
      </c>
      <c r="V165" s="41" t="e">
        <f>C165/'1. Väestöennuste'!E165*1000</f>
        <v>#REF!</v>
      </c>
      <c r="W165" s="41">
        <f>D165/'1. Väestöennuste'!F165*1000</f>
        <v>430.21276595744678</v>
      </c>
      <c r="X165" s="41">
        <f>E165/'1. Väestöennuste'!G165*1000</f>
        <v>679.67409948542024</v>
      </c>
      <c r="Y165" s="41">
        <f>F165/'1. Väestöennuste'!H165*1000</f>
        <v>392.77946933449329</v>
      </c>
      <c r="Z165" s="41">
        <f>G165/'1. Väestöennuste'!I165*1000</f>
        <v>134.74870017331023</v>
      </c>
      <c r="AA165" s="41">
        <f>H165/'1. Väestöennuste'!J165*1000</f>
        <v>1125.8791510074218</v>
      </c>
      <c r="AB165" s="41">
        <f>I165/'1. Väestöennuste'!K165*1000</f>
        <v>821.3661685006266</v>
      </c>
      <c r="AC165" s="41">
        <f>J165/'1. Väestöennuste'!L165*1000</f>
        <v>964.63492309911783</v>
      </c>
      <c r="AD165" s="41">
        <f>K165/'1. Väestöennuste'!M165*1000</f>
        <v>896.73452421564843</v>
      </c>
      <c r="AE165" s="41">
        <f>L165/'1. Väestöennuste'!N165*1000</f>
        <v>518.05704585063916</v>
      </c>
      <c r="AF165" s="41">
        <f>M165/'1. Väestöennuste'!O165*1000</f>
        <v>538.03726752929629</v>
      </c>
      <c r="AG165" s="41">
        <f>N165/'1. Väestöennuste'!P165*1000</f>
        <v>468.66669368847306</v>
      </c>
      <c r="AH165" s="41">
        <f>O165/'1. Väestöennuste'!Q165*1000</f>
        <v>396.55151322681854</v>
      </c>
      <c r="AI165" s="41">
        <f>P165/'1. Väestöennuste'!R165*1000</f>
        <v>435.11468154996402</v>
      </c>
    </row>
    <row r="166" spans="1:35" x14ac:dyDescent="0.2">
      <c r="A166" s="34">
        <v>499</v>
      </c>
      <c r="B166" s="88" t="s">
        <v>480</v>
      </c>
      <c r="C166" s="41" t="e">
        <f>'2. Toimintakate'!D166+'3. Verotulot'!G166+'4. Valtionosuudet'!#REF!</f>
        <v>#REF!</v>
      </c>
      <c r="D166" s="41">
        <f>'2. Toimintakate'!E166+'3. Verotulot'!L166+'4. Valtionosuudet'!H166</f>
        <v>10441</v>
      </c>
      <c r="E166" s="41">
        <f>'2. Toimintakate'!F166+'3. Verotulot'!Q166+'4. Valtionosuudet'!N166</f>
        <v>11990</v>
      </c>
      <c r="F166" s="41">
        <f>'2. Toimintakate'!G166+'3. Verotulot'!V166+'4. Valtionosuudet'!T166</f>
        <v>5147</v>
      </c>
      <c r="G166" s="41">
        <f>'2. Toimintakate'!H166+'3. Verotulot'!AA166+'4. Valtionosuudet'!Z166</f>
        <v>6582</v>
      </c>
      <c r="H166" s="41">
        <f>'2. Toimintakate'!I166+'3. Verotulot'!AF166+'4. Valtionosuudet'!AG166</f>
        <v>15402.470112503899</v>
      </c>
      <c r="I166" s="41">
        <f>'2. Toimintakate'!J166+'3. Verotulot'!AK166+'4. Valtionosuudet'!AN166</f>
        <v>12109.896917965809</v>
      </c>
      <c r="J166" s="41">
        <f>'2. Toimintakate'!K166+'3. Verotulot'!AP166+'4. Valtionosuudet'!AU166</f>
        <v>11061.663412604583</v>
      </c>
      <c r="K166" s="41">
        <f>'2. Toimintakate'!L166+'3. Verotulot'!AU166+'4. Valtionosuudet'!BC166</f>
        <v>15632.091575918501</v>
      </c>
      <c r="L166" s="41">
        <f>'2. Toimintakate'!M166+'3. Verotulot'!AZ166+'4. Valtionosuudet'!BK166</f>
        <v>9214.5556330156323</v>
      </c>
      <c r="M166" s="41">
        <f>'2. Toimintakate'!N166+'3. Verotulot'!BE166+'4. Valtionosuudet'!BQ166</f>
        <v>6582.2074770050021</v>
      </c>
      <c r="N166" s="41">
        <f>'2. Toimintakate'!O166+'3. Verotulot'!BJ166+'4. Valtionosuudet'!BY166</f>
        <v>8409.1936888767232</v>
      </c>
      <c r="O166" s="41">
        <f>'2. Toimintakate'!P166+'3. Verotulot'!BO166+'4. Valtionosuudet'!CE166</f>
        <v>9173.6142513852319</v>
      </c>
      <c r="P166" s="41">
        <f>'2. Toimintakate'!Q166+'3. Verotulot'!BT166+'4. Valtionosuudet'!CK166</f>
        <v>10645.936253393942</v>
      </c>
      <c r="T166" s="34">
        <v>499</v>
      </c>
      <c r="U166" s="88" t="s">
        <v>480</v>
      </c>
      <c r="V166" s="41" t="e">
        <f>C166/'1. Väestöennuste'!E166*1000</f>
        <v>#REF!</v>
      </c>
      <c r="W166" s="41">
        <f>D166/'1. Väestöennuste'!F166*1000</f>
        <v>538.75128998968012</v>
      </c>
      <c r="X166" s="41">
        <f>E166/'1. Väestöennuste'!G166*1000</f>
        <v>618.55138258357408</v>
      </c>
      <c r="Y166" s="41">
        <f>F166/'1. Väestöennuste'!H166*1000</f>
        <v>264.70890763217449</v>
      </c>
      <c r="Z166" s="41">
        <f>G166/'1. Väestöennuste'!I166*1000</f>
        <v>338.44097079391196</v>
      </c>
      <c r="AA166" s="41">
        <f>H166/'1. Väestöennuste'!J166*1000</f>
        <v>791.7786517505732</v>
      </c>
      <c r="AB166" s="41">
        <f>I166/'1. Väestöennuste'!K166*1000</f>
        <v>619.87596836434318</v>
      </c>
      <c r="AC166" s="41">
        <f>J166/'1. Väestöennuste'!L166*1000</f>
        <v>562.5909578173422</v>
      </c>
      <c r="AD166" s="41">
        <f>K166/'1. Väestöennuste'!M166*1000</f>
        <v>790.97766411569603</v>
      </c>
      <c r="AE166" s="41">
        <f>L166/'1. Väestöennuste'!N166*1000</f>
        <v>471.98461471165461</v>
      </c>
      <c r="AF166" s="41">
        <f>M166/'1. Väestöennuste'!O166*1000</f>
        <v>337.20325189574805</v>
      </c>
      <c r="AG166" s="41">
        <f>N166/'1. Väestöennuste'!P166*1000</f>
        <v>430.97548630979514</v>
      </c>
      <c r="AH166" s="41">
        <f>O166/'1. Väestöennuste'!Q166*1000</f>
        <v>470.46588293682919</v>
      </c>
      <c r="AI166" s="41">
        <f>P166/'1. Väestöennuste'!R166*1000</f>
        <v>546.44986415121355</v>
      </c>
    </row>
    <row r="167" spans="1:35" x14ac:dyDescent="0.2">
      <c r="A167" s="34">
        <v>500</v>
      </c>
      <c r="B167" s="88" t="s">
        <v>481</v>
      </c>
      <c r="C167" s="41" t="e">
        <f>'2. Toimintakate'!D167+'3. Verotulot'!G167+'4. Valtionosuudet'!#REF!</f>
        <v>#REF!</v>
      </c>
      <c r="D167" s="41">
        <f>'2. Toimintakate'!E167+'3. Verotulot'!L167+'4. Valtionosuudet'!H167</f>
        <v>3859</v>
      </c>
      <c r="E167" s="41">
        <f>'2. Toimintakate'!F167+'3. Verotulot'!Q167+'4. Valtionosuudet'!N167</f>
        <v>5190</v>
      </c>
      <c r="F167" s="41">
        <f>'2. Toimintakate'!G167+'3. Verotulot'!V167+'4. Valtionosuudet'!T167</f>
        <v>3756</v>
      </c>
      <c r="G167" s="41">
        <f>'2. Toimintakate'!H167+'3. Verotulot'!AA167+'4. Valtionosuudet'!Z167</f>
        <v>2473</v>
      </c>
      <c r="H167" s="41">
        <f>'2. Toimintakate'!I167+'3. Verotulot'!AF167+'4. Valtionosuudet'!AG167</f>
        <v>9419.9738849026253</v>
      </c>
      <c r="I167" s="41">
        <f>'2. Toimintakate'!J167+'3. Verotulot'!AK167+'4. Valtionosuudet'!AN167</f>
        <v>6434.222873244471</v>
      </c>
      <c r="J167" s="41">
        <f>'2. Toimintakate'!K167+'3. Verotulot'!AP167+'4. Valtionosuudet'!AU167</f>
        <v>5859.8947697701497</v>
      </c>
      <c r="K167" s="41">
        <f>'2. Toimintakate'!L167+'3. Verotulot'!AU167+'4. Valtionosuudet'!BC167</f>
        <v>6892.2821446687176</v>
      </c>
      <c r="L167" s="41">
        <f>'2. Toimintakate'!M167+'3. Verotulot'!AZ167+'4. Valtionosuudet'!BK167</f>
        <v>6300.2967885419694</v>
      </c>
      <c r="M167" s="41">
        <f>'2. Toimintakate'!N167+'3. Verotulot'!BE167+'4. Valtionosuudet'!BQ167</f>
        <v>2646.8209979304211</v>
      </c>
      <c r="N167" s="41">
        <f>'2. Toimintakate'!O167+'3. Verotulot'!BJ167+'4. Valtionosuudet'!BY167</f>
        <v>2201.5426328958492</v>
      </c>
      <c r="O167" s="41">
        <f>'2. Toimintakate'!P167+'3. Verotulot'!BO167+'4. Valtionosuudet'!CE167</f>
        <v>2071.7334396347323</v>
      </c>
      <c r="P167" s="41">
        <f>'2. Toimintakate'!Q167+'3. Verotulot'!BT167+'4. Valtionosuudet'!CK167</f>
        <v>2465.7193255474795</v>
      </c>
      <c r="T167" s="34">
        <v>500</v>
      </c>
      <c r="U167" s="88" t="s">
        <v>481</v>
      </c>
      <c r="V167" s="41" t="e">
        <f>C167/'1. Väestöennuste'!E167*1000</f>
        <v>#REF!</v>
      </c>
      <c r="W167" s="41">
        <f>D167/'1. Väestöennuste'!F167*1000</f>
        <v>388.19032290514031</v>
      </c>
      <c r="X167" s="41">
        <f>E167/'1. Väestöennuste'!G167*1000</f>
        <v>514.01406358324255</v>
      </c>
      <c r="Y167" s="41">
        <f>F167/'1. Väestöennuste'!H167*1000</f>
        <v>369.32153392330383</v>
      </c>
      <c r="Z167" s="41">
        <f>G167/'1. Väestöennuste'!I167*1000</f>
        <v>243.30972058244785</v>
      </c>
      <c r="AA167" s="41">
        <f>H167/'1. Väestöennuste'!J167*1000</f>
        <v>917.50013488873344</v>
      </c>
      <c r="AB167" s="41">
        <f>I167/'1. Väestöennuste'!K167*1000</f>
        <v>617.13244516060524</v>
      </c>
      <c r="AC167" s="41">
        <f>J167/'1. Väestöennuste'!L167*1000</f>
        <v>558.83032326627404</v>
      </c>
      <c r="AD167" s="41">
        <f>K167/'1. Väestöennuste'!M167*1000</f>
        <v>653.2349677441681</v>
      </c>
      <c r="AE167" s="41">
        <f>L167/'1. Väestöennuste'!N167*1000</f>
        <v>592.74595809031609</v>
      </c>
      <c r="AF167" s="41">
        <f>M167/'1. Väestöennuste'!O167*1000</f>
        <v>247.36644840471226</v>
      </c>
      <c r="AG167" s="41">
        <f>N167/'1. Väestöennuste'!P167*1000</f>
        <v>204.54730399478299</v>
      </c>
      <c r="AH167" s="41">
        <f>O167/'1. Väestöennuste'!Q167*1000</f>
        <v>191.49028927208914</v>
      </c>
      <c r="AI167" s="41">
        <f>P167/'1. Väestöennuste'!R167*1000</f>
        <v>226.85797456504551</v>
      </c>
    </row>
    <row r="168" spans="1:35" x14ac:dyDescent="0.2">
      <c r="A168" s="34">
        <v>503</v>
      </c>
      <c r="B168" s="88" t="s">
        <v>482</v>
      </c>
      <c r="C168" s="41" t="e">
        <f>'2. Toimintakate'!D168+'3. Verotulot'!G168+'4. Valtionosuudet'!#REF!</f>
        <v>#REF!</v>
      </c>
      <c r="D168" s="41">
        <f>'2. Toimintakate'!E168+'3. Verotulot'!L168+'4. Valtionosuudet'!H168</f>
        <v>1924</v>
      </c>
      <c r="E168" s="41">
        <f>'2. Toimintakate'!F168+'3. Verotulot'!Q168+'4. Valtionosuudet'!N168</f>
        <v>2508</v>
      </c>
      <c r="F168" s="41">
        <f>'2. Toimintakate'!G168+'3. Verotulot'!V168+'4. Valtionosuudet'!T168</f>
        <v>-1762</v>
      </c>
      <c r="G168" s="41">
        <f>'2. Toimintakate'!H168+'3. Verotulot'!AA168+'4. Valtionosuudet'!Z168</f>
        <v>-4070</v>
      </c>
      <c r="H168" s="41">
        <f>'2. Toimintakate'!I168+'3. Verotulot'!AF168+'4. Valtionosuudet'!AG168</f>
        <v>3651.4894533346996</v>
      </c>
      <c r="I168" s="41">
        <f>'2. Toimintakate'!J168+'3. Verotulot'!AK168+'4. Valtionosuudet'!AN168</f>
        <v>310.75736202476401</v>
      </c>
      <c r="J168" s="41">
        <f>'2. Toimintakate'!K168+'3. Verotulot'!AP168+'4. Valtionosuudet'!AU168</f>
        <v>2750.5789076961446</v>
      </c>
      <c r="K168" s="41">
        <f>'2. Toimintakate'!L168+'3. Verotulot'!AU168+'4. Valtionosuudet'!BC168</f>
        <v>2680.4894550180697</v>
      </c>
      <c r="L168" s="41">
        <f>'2. Toimintakate'!M168+'3. Verotulot'!AZ168+'4. Valtionosuudet'!BK168</f>
        <v>1584.7452732723877</v>
      </c>
      <c r="M168" s="41">
        <f>'2. Toimintakate'!N168+'3. Verotulot'!BE168+'4. Valtionosuudet'!BQ168</f>
        <v>1983.9281210656145</v>
      </c>
      <c r="N168" s="41">
        <f>'2. Toimintakate'!O168+'3. Verotulot'!BJ168+'4. Valtionosuudet'!BY168</f>
        <v>1980.6047458367602</v>
      </c>
      <c r="O168" s="41">
        <f>'2. Toimintakate'!P168+'3. Verotulot'!BO168+'4. Valtionosuudet'!CE168</f>
        <v>2031.3459056737202</v>
      </c>
      <c r="P168" s="41">
        <f>'2. Toimintakate'!Q168+'3. Verotulot'!BT168+'4. Valtionosuudet'!CK168</f>
        <v>2820.6201304829665</v>
      </c>
      <c r="T168" s="34">
        <v>503</v>
      </c>
      <c r="U168" s="88" t="s">
        <v>482</v>
      </c>
      <c r="V168" s="41" t="e">
        <f>C168/'1. Väestöennuste'!E168*1000</f>
        <v>#REF!</v>
      </c>
      <c r="W168" s="41">
        <f>D168/'1. Väestöennuste'!F168*1000</f>
        <v>245.34557510839073</v>
      </c>
      <c r="X168" s="41">
        <f>E168/'1. Väestöennuste'!G168*1000</f>
        <v>319.97958662924214</v>
      </c>
      <c r="Y168" s="41">
        <f>F168/'1. Väestöennuste'!H168*1000</f>
        <v>-226.88642801957249</v>
      </c>
      <c r="Z168" s="41">
        <f>G168/'1. Väestöennuste'!I168*1000</f>
        <v>-531.74810556571731</v>
      </c>
      <c r="AA168" s="41">
        <f>H168/'1. Väestöennuste'!J168*1000</f>
        <v>477.63105995221713</v>
      </c>
      <c r="AB168" s="41">
        <f>I168/'1. Väestöennuste'!K168*1000</f>
        <v>40.921432976661052</v>
      </c>
      <c r="AC168" s="41">
        <f>J168/'1. Väestöennuste'!L168*1000</f>
        <v>364.84665177028046</v>
      </c>
      <c r="AD168" s="41">
        <f>K168/'1. Väestöennuste'!M168*1000</f>
        <v>356.68522355529871</v>
      </c>
      <c r="AE168" s="41">
        <f>L168/'1. Väestöennuste'!N168*1000</f>
        <v>212.40386989309579</v>
      </c>
      <c r="AF168" s="41">
        <f>M168/'1. Väestöennuste'!O168*1000</f>
        <v>267.3037080390211</v>
      </c>
      <c r="AG168" s="41">
        <f>N168/'1. Väestöennuste'!P168*1000</f>
        <v>268.19292428392151</v>
      </c>
      <c r="AH168" s="41">
        <f>O168/'1. Väestöennuste'!Q168*1000</f>
        <v>276.33599587453682</v>
      </c>
      <c r="AI168" s="41">
        <f>P168/'1. Väestöennuste'!R168*1000</f>
        <v>385.54129722293146</v>
      </c>
    </row>
    <row r="169" spans="1:35" x14ac:dyDescent="0.2">
      <c r="A169" s="34">
        <v>504</v>
      </c>
      <c r="B169" s="88" t="s">
        <v>483</v>
      </c>
      <c r="C169" s="41" t="e">
        <f>'2. Toimintakate'!D169+'3. Verotulot'!G169+'4. Valtionosuudet'!#REF!</f>
        <v>#REF!</v>
      </c>
      <c r="D169" s="41">
        <f>'2. Toimintakate'!E169+'3. Verotulot'!L169+'4. Valtionosuudet'!H169</f>
        <v>-15</v>
      </c>
      <c r="E169" s="41">
        <f>'2. Toimintakate'!F169+'3. Verotulot'!Q169+'4. Valtionosuudet'!N169</f>
        <v>-120</v>
      </c>
      <c r="F169" s="41">
        <f>'2. Toimintakate'!G169+'3. Verotulot'!V169+'4. Valtionosuudet'!T169</f>
        <v>390</v>
      </c>
      <c r="G169" s="41">
        <f>'2. Toimintakate'!H169+'3. Verotulot'!AA169+'4. Valtionosuudet'!Z169</f>
        <v>560</v>
      </c>
      <c r="H169" s="41">
        <f>'2. Toimintakate'!I169+'3. Verotulot'!AF169+'4. Valtionosuudet'!AG169</f>
        <v>1196.2288991224295</v>
      </c>
      <c r="I169" s="41">
        <f>'2. Toimintakate'!J169+'3. Verotulot'!AK169+'4. Valtionosuudet'!AN169</f>
        <v>239.4173599248561</v>
      </c>
      <c r="J169" s="41">
        <f>'2. Toimintakate'!K169+'3. Verotulot'!AP169+'4. Valtionosuudet'!AU169</f>
        <v>-197.10379722098696</v>
      </c>
      <c r="K169" s="41">
        <f>'2. Toimintakate'!L169+'3. Verotulot'!AU169+'4. Valtionosuudet'!BC169</f>
        <v>403.41864186721887</v>
      </c>
      <c r="L169" s="41">
        <f>'2. Toimintakate'!M169+'3. Verotulot'!AZ169+'4. Valtionosuudet'!BK169</f>
        <v>928.60655326212509</v>
      </c>
      <c r="M169" s="41">
        <f>'2. Toimintakate'!N169+'3. Verotulot'!BE169+'4. Valtionosuudet'!BQ169</f>
        <v>-367.71432443258186</v>
      </c>
      <c r="N169" s="41">
        <f>'2. Toimintakate'!O169+'3. Verotulot'!BJ169+'4. Valtionosuudet'!BY169</f>
        <v>-413.39835638776071</v>
      </c>
      <c r="O169" s="41">
        <f>'2. Toimintakate'!P169+'3. Verotulot'!BO169+'4. Valtionosuudet'!CE169</f>
        <v>-490.8702259584079</v>
      </c>
      <c r="P169" s="41">
        <f>'2. Toimintakate'!Q169+'3. Verotulot'!BT169+'4. Valtionosuudet'!CK169</f>
        <v>-326.78317031848997</v>
      </c>
      <c r="T169" s="34">
        <v>504</v>
      </c>
      <c r="U169" s="88" t="s">
        <v>483</v>
      </c>
      <c r="V169" s="41" t="e">
        <f>C169/'1. Väestöennuste'!E169*1000</f>
        <v>#REF!</v>
      </c>
      <c r="W169" s="41">
        <f>D169/'1. Väestöennuste'!F169*1000</f>
        <v>-7.5528700906344417</v>
      </c>
      <c r="X169" s="41">
        <f>E169/'1. Väestöennuste'!G169*1000</f>
        <v>-60.944641950228544</v>
      </c>
      <c r="Y169" s="41">
        <f>F169/'1. Väestöennuste'!H169*1000</f>
        <v>202.91363163371486</v>
      </c>
      <c r="Z169" s="41">
        <f>G169/'1. Väestöennuste'!I169*1000</f>
        <v>297.55579171094581</v>
      </c>
      <c r="AA169" s="41">
        <f>H169/'1. Väestöennuste'!J169*1000</f>
        <v>639.3526986223568</v>
      </c>
      <c r="AB169" s="41">
        <f>I169/'1. Väestöennuste'!K169*1000</f>
        <v>131.83775326258595</v>
      </c>
      <c r="AC169" s="41">
        <f>J169/'1. Väestöennuste'!L169*1000</f>
        <v>-111.73684649715815</v>
      </c>
      <c r="AD169" s="41">
        <f>K169/'1. Väestöennuste'!M169*1000</f>
        <v>235.22952878555037</v>
      </c>
      <c r="AE169" s="41">
        <f>L169/'1. Väestöennuste'!N169*1000</f>
        <v>518.77461076096381</v>
      </c>
      <c r="AF169" s="41">
        <f>M169/'1. Väestöennuste'!O169*1000</f>
        <v>-207.39668608718662</v>
      </c>
      <c r="AG169" s="41">
        <f>N169/'1. Väestöennuste'!P169*1000</f>
        <v>-235.42047630282499</v>
      </c>
      <c r="AH169" s="41">
        <f>O169/'1. Väestöennuste'!Q169*1000</f>
        <v>-281.30098908791285</v>
      </c>
      <c r="AI169" s="41">
        <f>P169/'1. Väestöennuste'!R169*1000</f>
        <v>-188.45626892646482</v>
      </c>
    </row>
    <row r="170" spans="1:35" x14ac:dyDescent="0.2">
      <c r="A170" s="34">
        <v>505</v>
      </c>
      <c r="B170" s="88" t="s">
        <v>484</v>
      </c>
      <c r="C170" s="41" t="e">
        <f>'2. Toimintakate'!D170+'3. Verotulot'!G170+'4. Valtionosuudet'!#REF!</f>
        <v>#REF!</v>
      </c>
      <c r="D170" s="41">
        <f>'2. Toimintakate'!E170+'3. Verotulot'!L170+'4. Valtionosuudet'!H170</f>
        <v>11898</v>
      </c>
      <c r="E170" s="41">
        <f>'2. Toimintakate'!F170+'3. Verotulot'!Q170+'4. Valtionosuudet'!N170</f>
        <v>10027</v>
      </c>
      <c r="F170" s="41">
        <f>'2. Toimintakate'!G170+'3. Verotulot'!V170+'4. Valtionosuudet'!T170</f>
        <v>2260</v>
      </c>
      <c r="G170" s="41">
        <f>'2. Toimintakate'!H170+'3. Verotulot'!AA170+'4. Valtionosuudet'!Z170</f>
        <v>-2627</v>
      </c>
      <c r="H170" s="41">
        <f>'2. Toimintakate'!I170+'3. Verotulot'!AF170+'4. Valtionosuudet'!AG170</f>
        <v>12195.958443381242</v>
      </c>
      <c r="I170" s="41">
        <f>'2. Toimintakate'!J170+'3. Verotulot'!AK170+'4. Valtionosuudet'!AN170</f>
        <v>13900.545961973694</v>
      </c>
      <c r="J170" s="41">
        <f>'2. Toimintakate'!K170+'3. Verotulot'!AP170+'4. Valtionosuudet'!AU170</f>
        <v>11572.015843189438</v>
      </c>
      <c r="K170" s="41">
        <f>'2. Toimintakate'!L170+'3. Verotulot'!AU170+'4. Valtionosuudet'!BC170</f>
        <v>13561.39719958374</v>
      </c>
      <c r="L170" s="41">
        <f>'2. Toimintakate'!M170+'3. Verotulot'!AZ170+'4. Valtionosuudet'!BK170</f>
        <v>10488.534813673208</v>
      </c>
      <c r="M170" s="41">
        <f>'2. Toimintakate'!N170+'3. Verotulot'!BE170+'4. Valtionosuudet'!BQ170</f>
        <v>8657.9509029463679</v>
      </c>
      <c r="N170" s="41">
        <f>'2. Toimintakate'!O170+'3. Verotulot'!BJ170+'4. Valtionosuudet'!BY170</f>
        <v>9509.579940846701</v>
      </c>
      <c r="O170" s="41">
        <f>'2. Toimintakate'!P170+'3. Verotulot'!BO170+'4. Valtionosuudet'!CE170</f>
        <v>10037.34974300596</v>
      </c>
      <c r="P170" s="41">
        <f>'2. Toimintakate'!Q170+'3. Verotulot'!BT170+'4. Valtionosuudet'!CK170</f>
        <v>11433.153080984286</v>
      </c>
      <c r="T170" s="34">
        <v>505</v>
      </c>
      <c r="U170" s="88" t="s">
        <v>484</v>
      </c>
      <c r="V170" s="41" t="e">
        <f>C170/'1. Väestöennuste'!E170*1000</f>
        <v>#REF!</v>
      </c>
      <c r="W170" s="41">
        <f>D170/'1. Väestöennuste'!F170*1000</f>
        <v>570.56538627535599</v>
      </c>
      <c r="X170" s="41">
        <f>E170/'1. Väestöennuste'!G170*1000</f>
        <v>481.99778878046436</v>
      </c>
      <c r="Y170" s="41">
        <f>F170/'1. Väestöennuste'!H170*1000</f>
        <v>109.25263463211834</v>
      </c>
      <c r="Z170" s="41">
        <f>G170/'1. Väestöennuste'!I170*1000</f>
        <v>-126.77959557936394</v>
      </c>
      <c r="AA170" s="41">
        <f>H170/'1. Väestöennuste'!J170*1000</f>
        <v>586.82377151427806</v>
      </c>
      <c r="AB170" s="41">
        <f>I170/'1. Väestöennuste'!K170*1000</f>
        <v>667.10879502681269</v>
      </c>
      <c r="AC170" s="41">
        <f>J170/'1. Väestöennuste'!L170*1000</f>
        <v>553.36724575312928</v>
      </c>
      <c r="AD170" s="41">
        <f>K170/'1. Väestöennuste'!M170*1000</f>
        <v>647.10584528242305</v>
      </c>
      <c r="AE170" s="41">
        <f>L170/'1. Väestöennuste'!N170*1000</f>
        <v>502.08400256932538</v>
      </c>
      <c r="AF170" s="41">
        <f>M170/'1. Väestöennuste'!O170*1000</f>
        <v>413.72155124701902</v>
      </c>
      <c r="AG170" s="41">
        <f>N170/'1. Väestöennuste'!P170*1000</f>
        <v>453.48497571991896</v>
      </c>
      <c r="AH170" s="41">
        <f>O170/'1. Väestöennuste'!Q170*1000</f>
        <v>477.71880172319072</v>
      </c>
      <c r="AI170" s="41">
        <f>P170/'1. Väestöennuste'!R170*1000</f>
        <v>543.1942740870528</v>
      </c>
    </row>
    <row r="171" spans="1:35" x14ac:dyDescent="0.2">
      <c r="A171" s="34">
        <v>507</v>
      </c>
      <c r="B171" s="88" t="s">
        <v>485</v>
      </c>
      <c r="C171" s="41" t="e">
        <f>'2. Toimintakate'!D171+'3. Verotulot'!G171+'4. Valtionosuudet'!#REF!</f>
        <v>#REF!</v>
      </c>
      <c r="D171" s="41">
        <f>'2. Toimintakate'!E171+'3. Verotulot'!L171+'4. Valtionosuudet'!H171</f>
        <v>2906</v>
      </c>
      <c r="E171" s="41">
        <f>'2. Toimintakate'!F171+'3. Verotulot'!Q171+'4. Valtionosuudet'!N171</f>
        <v>3107</v>
      </c>
      <c r="F171" s="41">
        <f>'2. Toimintakate'!G171+'3. Verotulot'!V171+'4. Valtionosuudet'!T171</f>
        <v>1834</v>
      </c>
      <c r="G171" s="41">
        <f>'2. Toimintakate'!H171+'3. Verotulot'!AA171+'4. Valtionosuudet'!Z171</f>
        <v>-775</v>
      </c>
      <c r="H171" s="41">
        <f>'2. Toimintakate'!I171+'3. Verotulot'!AF171+'4. Valtionosuudet'!AG171</f>
        <v>4105.281311741066</v>
      </c>
      <c r="I171" s="41">
        <f>'2. Toimintakate'!J171+'3. Verotulot'!AK171+'4. Valtionosuudet'!AN171</f>
        <v>737.71706803959387</v>
      </c>
      <c r="J171" s="41">
        <f>'2. Toimintakate'!K171+'3. Verotulot'!AP171+'4. Valtionosuudet'!AU171</f>
        <v>2647.235817562756</v>
      </c>
      <c r="K171" s="41">
        <f>'2. Toimintakate'!L171+'3. Verotulot'!AU171+'4. Valtionosuudet'!BC171</f>
        <v>1968.0127070056963</v>
      </c>
      <c r="L171" s="41">
        <f>'2. Toimintakate'!M171+'3. Verotulot'!AZ171+'4. Valtionosuudet'!BK171</f>
        <v>1079.9170129286413</v>
      </c>
      <c r="M171" s="41">
        <f>'2. Toimintakate'!N171+'3. Verotulot'!BE171+'4. Valtionosuudet'!BQ171</f>
        <v>-292.21110595488312</v>
      </c>
      <c r="N171" s="41">
        <f>'2. Toimintakate'!O171+'3. Verotulot'!BJ171+'4. Valtionosuudet'!BY171</f>
        <v>-680.63236250481964</v>
      </c>
      <c r="O171" s="41">
        <f>'2. Toimintakate'!P171+'3. Verotulot'!BO171+'4. Valtionosuudet'!CE171</f>
        <v>-550.02900658023486</v>
      </c>
      <c r="P171" s="41">
        <f>'2. Toimintakate'!Q171+'3. Verotulot'!BT171+'4. Valtionosuudet'!CK171</f>
        <v>603.81822481646805</v>
      </c>
      <c r="T171" s="34">
        <v>507</v>
      </c>
      <c r="U171" s="88" t="s">
        <v>485</v>
      </c>
      <c r="V171" s="41" t="e">
        <f>C171/'1. Väestöennuste'!E171*1000</f>
        <v>#REF!</v>
      </c>
      <c r="W171" s="41">
        <f>D171/'1. Väestöennuste'!F171*1000</f>
        <v>476.62784976217813</v>
      </c>
      <c r="X171" s="41">
        <f>E171/'1. Väestöennuste'!G171*1000</f>
        <v>513.21440370003302</v>
      </c>
      <c r="Y171" s="41">
        <f>F171/'1. Väestöennuste'!H171*1000</f>
        <v>309.58811613774481</v>
      </c>
      <c r="Z171" s="41">
        <f>G171/'1. Väestöennuste'!I171*1000</f>
        <v>-133.82835434294597</v>
      </c>
      <c r="AA171" s="41">
        <f>H171/'1. Väestöennuste'!J171*1000</f>
        <v>723.27013948926469</v>
      </c>
      <c r="AB171" s="41">
        <f>I171/'1. Väestöennuste'!K171*1000</f>
        <v>130.91695972308676</v>
      </c>
      <c r="AC171" s="41">
        <f>J171/'1. Väestöennuste'!L171*1000</f>
        <v>475.77926268201941</v>
      </c>
      <c r="AD171" s="41">
        <f>K171/'1. Väestöennuste'!M171*1000</f>
        <v>356.39491253272297</v>
      </c>
      <c r="AE171" s="41">
        <f>L171/'1. Väestöennuste'!N171*1000</f>
        <v>200.72806931759132</v>
      </c>
      <c r="AF171" s="41">
        <f>M171/'1. Väestöennuste'!O171*1000</f>
        <v>-42.727168585302401</v>
      </c>
      <c r="AG171" s="41">
        <f>N171/'1. Väestöennuste'!P171*1000</f>
        <v>-100.70015719852339</v>
      </c>
      <c r="AH171" s="41">
        <f>O171/'1. Väestöennuste'!Q171*1000</f>
        <v>-82.290395957545613</v>
      </c>
      <c r="AI171" s="41">
        <f>P171/'1. Väestöennuste'!R171*1000</f>
        <v>91.293955974670098</v>
      </c>
    </row>
    <row r="172" spans="1:35" x14ac:dyDescent="0.2">
      <c r="A172" s="34">
        <v>508</v>
      </c>
      <c r="B172" s="88" t="s">
        <v>486</v>
      </c>
      <c r="C172" s="41" t="e">
        <f>'2. Toimintakate'!D172+'3. Verotulot'!G172+'4. Valtionosuudet'!#REF!</f>
        <v>#REF!</v>
      </c>
      <c r="D172" s="41">
        <f>'2. Toimintakate'!E172+'3. Verotulot'!L172+'4. Valtionosuudet'!H172</f>
        <v>1027</v>
      </c>
      <c r="E172" s="41">
        <f>'2. Toimintakate'!F172+'3. Verotulot'!Q172+'4. Valtionosuudet'!N172</f>
        <v>5551</v>
      </c>
      <c r="F172" s="41">
        <f>'2. Toimintakate'!G172+'3. Verotulot'!V172+'4. Valtionosuudet'!T172</f>
        <v>1280</v>
      </c>
      <c r="G172" s="41">
        <f>'2. Toimintakate'!H172+'3. Verotulot'!AA172+'4. Valtionosuudet'!Z172</f>
        <v>-806</v>
      </c>
      <c r="H172" s="41">
        <f>'2. Toimintakate'!I172+'3. Verotulot'!AF172+'4. Valtionosuudet'!AG172</f>
        <v>2677.8845412438895</v>
      </c>
      <c r="I172" s="41">
        <f>'2. Toimintakate'!J172+'3. Verotulot'!AK172+'4. Valtionosuudet'!AN172</f>
        <v>2496.2414697387903</v>
      </c>
      <c r="J172" s="41">
        <f>'2. Toimintakate'!K172+'3. Verotulot'!AP172+'4. Valtionosuudet'!AU172</f>
        <v>1375.9393780040627</v>
      </c>
      <c r="K172" s="41">
        <f>'2. Toimintakate'!L172+'3. Verotulot'!AU172+'4. Valtionosuudet'!BC172</f>
        <v>6294.3545343294309</v>
      </c>
      <c r="L172" s="41">
        <f>'2. Toimintakate'!M172+'3. Verotulot'!AZ172+'4. Valtionosuudet'!BK172</f>
        <v>6477.8571687709455</v>
      </c>
      <c r="M172" s="41">
        <f>'2. Toimintakate'!N172+'3. Verotulot'!BE172+'4. Valtionosuudet'!BQ172</f>
        <v>5410.6527526729678</v>
      </c>
      <c r="N172" s="41">
        <f>'2. Toimintakate'!O172+'3. Verotulot'!BJ172+'4. Valtionosuudet'!BY172</f>
        <v>3752.2966963451445</v>
      </c>
      <c r="O172" s="41">
        <f>'2. Toimintakate'!P172+'3. Verotulot'!BO172+'4. Valtionosuudet'!CE172</f>
        <v>4352.5249429941941</v>
      </c>
      <c r="P172" s="41">
        <f>'2. Toimintakate'!Q172+'3. Verotulot'!BT172+'4. Valtionosuudet'!CK172</f>
        <v>5951.6143501846245</v>
      </c>
      <c r="T172" s="34">
        <v>508</v>
      </c>
      <c r="U172" s="88" t="s">
        <v>486</v>
      </c>
      <c r="V172" s="41" t="e">
        <f>C172/'1. Väestöennuste'!E172*1000</f>
        <v>#REF!</v>
      </c>
      <c r="W172" s="41">
        <f>D172/'1. Väestöennuste'!F172*1000</f>
        <v>98.29632465543645</v>
      </c>
      <c r="X172" s="41">
        <f>E172/'1. Väestöennuste'!G172*1000</f>
        <v>541.24414976599064</v>
      </c>
      <c r="Y172" s="41">
        <f>F172/'1. Väestöennuste'!H172*1000</f>
        <v>128.21797054993488</v>
      </c>
      <c r="Z172" s="41">
        <f>G172/'1. Väestöennuste'!I172*1000</f>
        <v>-81.785895484525625</v>
      </c>
      <c r="AA172" s="41">
        <f>H172/'1. Väestöennuste'!J172*1000</f>
        <v>276.84116005829526</v>
      </c>
      <c r="AB172" s="41">
        <f>I172/'1. Väestöennuste'!K172*1000</f>
        <v>261.03121088976161</v>
      </c>
      <c r="AC172" s="41">
        <f>J172/'1. Väestöennuste'!L172*1000</f>
        <v>147.00207029957934</v>
      </c>
      <c r="AD172" s="41">
        <f>K172/'1. Väestöennuste'!M172*1000</f>
        <v>678.92940721922457</v>
      </c>
      <c r="AE172" s="41">
        <f>L172/'1. Väestöennuste'!N172*1000</f>
        <v>723.05582863834638</v>
      </c>
      <c r="AF172" s="41">
        <f>M172/'1. Väestöennuste'!O172*1000</f>
        <v>613.93994697299081</v>
      </c>
      <c r="AG172" s="41">
        <f>N172/'1. Väestöennuste'!P172*1000</f>
        <v>432.49155098491752</v>
      </c>
      <c r="AH172" s="41">
        <f>O172/'1. Väestöennuste'!Q172*1000</f>
        <v>509.30551638125365</v>
      </c>
      <c r="AI172" s="41">
        <f>P172/'1. Väestöennuste'!R172*1000</f>
        <v>706.42306827117204</v>
      </c>
    </row>
    <row r="173" spans="1:35" x14ac:dyDescent="0.2">
      <c r="A173" s="34">
        <v>529</v>
      </c>
      <c r="B173" s="88" t="s">
        <v>487</v>
      </c>
      <c r="C173" s="41" t="e">
        <f>'2. Toimintakate'!D173+'3. Verotulot'!G173+'4. Valtionosuudet'!#REF!</f>
        <v>#REF!</v>
      </c>
      <c r="D173" s="41">
        <f>'2. Toimintakate'!E173+'3. Verotulot'!L173+'4. Valtionosuudet'!H173</f>
        <v>9205</v>
      </c>
      <c r="E173" s="41">
        <f>'2. Toimintakate'!F173+'3. Verotulot'!Q173+'4. Valtionosuudet'!N173</f>
        <v>13231</v>
      </c>
      <c r="F173" s="41">
        <f>'2. Toimintakate'!G173+'3. Verotulot'!V173+'4. Valtionosuudet'!T173</f>
        <v>9850</v>
      </c>
      <c r="G173" s="41">
        <f>'2. Toimintakate'!H173+'3. Verotulot'!AA173+'4. Valtionosuudet'!Z173</f>
        <v>8405</v>
      </c>
      <c r="H173" s="41">
        <f>'2. Toimintakate'!I173+'3. Verotulot'!AF173+'4. Valtionosuudet'!AG173</f>
        <v>17170.038296624392</v>
      </c>
      <c r="I173" s="41">
        <f>'2. Toimintakate'!J173+'3. Verotulot'!AK173+'4. Valtionosuudet'!AN173</f>
        <v>17905.979763833471</v>
      </c>
      <c r="J173" s="41">
        <f>'2. Toimintakate'!K173+'3. Verotulot'!AP173+'4. Valtionosuudet'!AU173</f>
        <v>19643.261798753323</v>
      </c>
      <c r="K173" s="41">
        <f>'2. Toimintakate'!L173+'3. Verotulot'!AU173+'4. Valtionosuudet'!BC173</f>
        <v>19253.583310576774</v>
      </c>
      <c r="L173" s="41">
        <f>'2. Toimintakate'!M173+'3. Verotulot'!AZ173+'4. Valtionosuudet'!BK173</f>
        <v>13683.12885436286</v>
      </c>
      <c r="M173" s="41">
        <f>'2. Toimintakate'!N173+'3. Verotulot'!BE173+'4. Valtionosuudet'!BQ173</f>
        <v>13574.288602805718</v>
      </c>
      <c r="N173" s="41">
        <f>'2. Toimintakate'!O173+'3. Verotulot'!BJ173+'4. Valtionosuudet'!BY173</f>
        <v>12113.700302400599</v>
      </c>
      <c r="O173" s="41">
        <f>'2. Toimintakate'!P173+'3. Verotulot'!BO173+'4. Valtionosuudet'!CE173</f>
        <v>12146.923495106903</v>
      </c>
      <c r="P173" s="41">
        <f>'2. Toimintakate'!Q173+'3. Verotulot'!BT173+'4. Valtionosuudet'!CK173</f>
        <v>13412.56585648976</v>
      </c>
      <c r="T173" s="34">
        <v>529</v>
      </c>
      <c r="U173" s="88" t="s">
        <v>487</v>
      </c>
      <c r="V173" s="41" t="e">
        <f>C173/'1. Väestöennuste'!E173*1000</f>
        <v>#REF!</v>
      </c>
      <c r="W173" s="41">
        <f>D173/'1. Väestöennuste'!F173*1000</f>
        <v>482.74596182085168</v>
      </c>
      <c r="X173" s="41">
        <f>E173/'1. Väestöennuste'!G173*1000</f>
        <v>690.30103824281321</v>
      </c>
      <c r="Y173" s="41">
        <f>F173/'1. Väestöennuste'!H173*1000</f>
        <v>511.82125227331778</v>
      </c>
      <c r="Z173" s="41">
        <f>G173/'1. Väestöennuste'!I173*1000</f>
        <v>435.176555866211</v>
      </c>
      <c r="AA173" s="41">
        <f>H173/'1. Väestöennuste'!J173*1000</f>
        <v>883.82345687056113</v>
      </c>
      <c r="AB173" s="41">
        <f>I173/'1. Väestöennuste'!K173*1000</f>
        <v>914.5502714047434</v>
      </c>
      <c r="AC173" s="41">
        <f>J173/'1. Väestöennuste'!L173*1000</f>
        <v>989.58497726716985</v>
      </c>
      <c r="AD173" s="41">
        <f>K173/'1. Väestöennuste'!M173*1000</f>
        <v>962.72730189393337</v>
      </c>
      <c r="AE173" s="41">
        <f>L173/'1. Väestöennuste'!N173*1000</f>
        <v>693.69474546833248</v>
      </c>
      <c r="AF173" s="41">
        <f>M173/'1. Väestöennuste'!O173*1000</f>
        <v>685.57013145483427</v>
      </c>
      <c r="AG173" s="41">
        <f>N173/'1. Väestöennuste'!P173*1000</f>
        <v>609.55569377550444</v>
      </c>
      <c r="AH173" s="41">
        <f>O173/'1. Väestöennuste'!Q173*1000</f>
        <v>609.11260129911261</v>
      </c>
      <c r="AI173" s="41">
        <f>P173/'1. Väestöennuste'!R173*1000</f>
        <v>670.36014876498211</v>
      </c>
    </row>
    <row r="174" spans="1:35" x14ac:dyDescent="0.2">
      <c r="A174" s="34">
        <v>531</v>
      </c>
      <c r="B174" s="88" t="s">
        <v>488</v>
      </c>
      <c r="C174" s="41" t="e">
        <f>'2. Toimintakate'!D174+'3. Verotulot'!G174+'4. Valtionosuudet'!#REF!</f>
        <v>#REF!</v>
      </c>
      <c r="D174" s="41">
        <f>'2. Toimintakate'!E174+'3. Verotulot'!L174+'4. Valtionosuudet'!H174</f>
        <v>2426</v>
      </c>
      <c r="E174" s="41">
        <f>'2. Toimintakate'!F174+'3. Verotulot'!Q174+'4. Valtionosuudet'!N174</f>
        <v>1346</v>
      </c>
      <c r="F174" s="41">
        <f>'2. Toimintakate'!G174+'3. Verotulot'!V174+'4. Valtionosuudet'!T174</f>
        <v>1972</v>
      </c>
      <c r="G174" s="41">
        <f>'2. Toimintakate'!H174+'3. Verotulot'!AA174+'4. Valtionosuudet'!Z174</f>
        <v>522</v>
      </c>
      <c r="H174" s="41">
        <f>'2. Toimintakate'!I174+'3. Verotulot'!AF174+'4. Valtionosuudet'!AG174</f>
        <v>2650.3903907251879</v>
      </c>
      <c r="I174" s="41">
        <f>'2. Toimintakate'!J174+'3. Verotulot'!AK174+'4. Valtionosuudet'!AN174</f>
        <v>1001.3794229055329</v>
      </c>
      <c r="J174" s="41">
        <f>'2. Toimintakate'!K174+'3. Verotulot'!AP174+'4. Valtionosuudet'!AU174</f>
        <v>1946.2960720709125</v>
      </c>
      <c r="K174" s="41">
        <f>'2. Toimintakate'!L174+'3. Verotulot'!AU174+'4. Valtionosuudet'!BC174</f>
        <v>2794.200718229974</v>
      </c>
      <c r="L174" s="41">
        <f>'2. Toimintakate'!M174+'3. Verotulot'!AZ174+'4. Valtionosuudet'!BK174</f>
        <v>348.11859558818264</v>
      </c>
      <c r="M174" s="41">
        <f>'2. Toimintakate'!N174+'3. Verotulot'!BE174+'4. Valtionosuudet'!BQ174</f>
        <v>-423.98194134018968</v>
      </c>
      <c r="N174" s="41">
        <f>'2. Toimintakate'!O174+'3. Verotulot'!BJ174+'4. Valtionosuudet'!BY174</f>
        <v>-377.70416312238467</v>
      </c>
      <c r="O174" s="41">
        <f>'2. Toimintakate'!P174+'3. Verotulot'!BO174+'4. Valtionosuudet'!CE174</f>
        <v>-627.39660634034999</v>
      </c>
      <c r="P174" s="41">
        <f>'2. Toimintakate'!Q174+'3. Verotulot'!BT174+'4. Valtionosuudet'!CK174</f>
        <v>48.539438315551706</v>
      </c>
      <c r="T174" s="34">
        <v>531</v>
      </c>
      <c r="U174" s="88" t="s">
        <v>488</v>
      </c>
      <c r="V174" s="41" t="e">
        <f>C174/'1. Väestöennuste'!E174*1000</f>
        <v>#REF!</v>
      </c>
      <c r="W174" s="41">
        <f>D174/'1. Väestöennuste'!F174*1000</f>
        <v>437.27469358327323</v>
      </c>
      <c r="X174" s="41">
        <f>E174/'1. Väestöennuste'!G174*1000</f>
        <v>243.79641369317153</v>
      </c>
      <c r="Y174" s="41">
        <f>F174/'1. Väestöennuste'!H174*1000</f>
        <v>362.70001839249591</v>
      </c>
      <c r="Z174" s="41">
        <f>G174/'1. Väestöennuste'!I174*1000</f>
        <v>97.954588102833554</v>
      </c>
      <c r="AA174" s="41">
        <f>H174/'1. Väestöennuste'!J174*1000</f>
        <v>504.25996779398554</v>
      </c>
      <c r="AB174" s="41">
        <f>I174/'1. Väestöennuste'!K174*1000</f>
        <v>193.72788216396458</v>
      </c>
      <c r="AC174" s="41">
        <f>J174/'1. Väestöennuste'!L174*1000</f>
        <v>383.73345269536918</v>
      </c>
      <c r="AD174" s="41">
        <f>K174/'1. Väestöennuste'!M174*1000</f>
        <v>562.66627431131167</v>
      </c>
      <c r="AE174" s="41">
        <f>L174/'1. Väestöennuste'!N174*1000</f>
        <v>69.945468271686281</v>
      </c>
      <c r="AF174" s="41">
        <f>M174/'1. Väestöennuste'!O174*1000</f>
        <v>-86.403493242345561</v>
      </c>
      <c r="AG174" s="41">
        <f>N174/'1. Väestöennuste'!P174*1000</f>
        <v>-78.038050231897671</v>
      </c>
      <c r="AH174" s="41">
        <f>O174/'1. Väestöennuste'!Q174*1000</f>
        <v>-131.36444856372486</v>
      </c>
      <c r="AI174" s="41">
        <f>P174/'1. Väestöennuste'!R174*1000</f>
        <v>10.299053323902335</v>
      </c>
    </row>
    <row r="175" spans="1:35" x14ac:dyDescent="0.2">
      <c r="A175" s="34">
        <v>535</v>
      </c>
      <c r="B175" s="88" t="s">
        <v>489</v>
      </c>
      <c r="C175" s="41" t="e">
        <f>'2. Toimintakate'!D175+'3. Verotulot'!G175+'4. Valtionosuudet'!#REF!</f>
        <v>#REF!</v>
      </c>
      <c r="D175" s="41">
        <f>'2. Toimintakate'!E175+'3. Verotulot'!L175+'4. Valtionosuudet'!H175</f>
        <v>2158</v>
      </c>
      <c r="E175" s="41">
        <f>'2. Toimintakate'!F175+'3. Verotulot'!Q175+'4. Valtionosuudet'!N175</f>
        <v>3892</v>
      </c>
      <c r="F175" s="41">
        <f>'2. Toimintakate'!G175+'3. Verotulot'!V175+'4. Valtionosuudet'!T175</f>
        <v>1829</v>
      </c>
      <c r="G175" s="41">
        <f>'2. Toimintakate'!H175+'3. Verotulot'!AA175+'4. Valtionosuudet'!Z175</f>
        <v>780</v>
      </c>
      <c r="H175" s="41">
        <f>'2. Toimintakate'!I175+'3. Verotulot'!AF175+'4. Valtionosuudet'!AG175</f>
        <v>5729.0968402872895</v>
      </c>
      <c r="I175" s="41">
        <f>'2. Toimintakate'!J175+'3. Verotulot'!AK175+'4. Valtionosuudet'!AN175</f>
        <v>3989.9944606041463</v>
      </c>
      <c r="J175" s="41">
        <f>'2. Toimintakate'!K175+'3. Verotulot'!AP175+'4. Valtionosuudet'!AU175</f>
        <v>3007.7292339728519</v>
      </c>
      <c r="K175" s="41">
        <f>'2. Toimintakate'!L175+'3. Verotulot'!AU175+'4. Valtionosuudet'!BC175</f>
        <v>2918.680831470534</v>
      </c>
      <c r="L175" s="41">
        <f>'2. Toimintakate'!M175+'3. Verotulot'!AZ175+'4. Valtionosuudet'!BK175</f>
        <v>1672.1906717689708</v>
      </c>
      <c r="M175" s="41">
        <f>'2. Toimintakate'!N175+'3. Verotulot'!BE175+'4. Valtionosuudet'!BQ175</f>
        <v>1563.8497533842965</v>
      </c>
      <c r="N175" s="41">
        <f>'2. Toimintakate'!O175+'3. Verotulot'!BJ175+'4. Valtionosuudet'!BY175</f>
        <v>2396.1244167588011</v>
      </c>
      <c r="O175" s="41">
        <f>'2. Toimintakate'!P175+'3. Verotulot'!BO175+'4. Valtionosuudet'!CE175</f>
        <v>2696.2269574356797</v>
      </c>
      <c r="P175" s="41">
        <f>'2. Toimintakate'!Q175+'3. Verotulot'!BT175+'4. Valtionosuudet'!CK175</f>
        <v>4144.232567153158</v>
      </c>
      <c r="T175" s="34">
        <v>535</v>
      </c>
      <c r="U175" s="88" t="s">
        <v>489</v>
      </c>
      <c r="V175" s="41" t="e">
        <f>C175/'1. Väestöennuste'!E175*1000</f>
        <v>#REF!</v>
      </c>
      <c r="W175" s="41">
        <f>D175/'1. Väestöennuste'!F175*1000</f>
        <v>198.18165120764075</v>
      </c>
      <c r="X175" s="41">
        <f>E175/'1. Väestöennuste'!G175*1000</f>
        <v>359.87055016181228</v>
      </c>
      <c r="Y175" s="41">
        <f>F175/'1. Väestöennuste'!H175*1000</f>
        <v>170.34553413430194</v>
      </c>
      <c r="Z175" s="41">
        <f>G175/'1. Väestöennuste'!I175*1000</f>
        <v>73.315161199360844</v>
      </c>
      <c r="AA175" s="41">
        <f>H175/'1. Väestöennuste'!J175*1000</f>
        <v>545.62827050355133</v>
      </c>
      <c r="AB175" s="41">
        <f>I175/'1. Väestöennuste'!K175*1000</f>
        <v>383.80092926165315</v>
      </c>
      <c r="AC175" s="41">
        <f>J175/'1. Väestöennuste'!L175*1000</f>
        <v>288.67734273662074</v>
      </c>
      <c r="AD175" s="41">
        <f>K175/'1. Väestöennuste'!M175*1000</f>
        <v>279.19273306586325</v>
      </c>
      <c r="AE175" s="41">
        <f>L175/'1. Väestöennuste'!N175*1000</f>
        <v>166.17218242760319</v>
      </c>
      <c r="AF175" s="41">
        <f>M175/'1. Väestöennuste'!O175*1000</f>
        <v>157.06033477797493</v>
      </c>
      <c r="AG175" s="41">
        <f>N175/'1. Väestöennuste'!P175*1000</f>
        <v>243.33547443473151</v>
      </c>
      <c r="AH175" s="41">
        <f>O175/'1. Väestöennuste'!Q175*1000</f>
        <v>276.90530527222757</v>
      </c>
      <c r="AI175" s="41">
        <f>P175/'1. Väestöennuste'!R175*1000</f>
        <v>430.39075367672217</v>
      </c>
    </row>
    <row r="176" spans="1:35" x14ac:dyDescent="0.2">
      <c r="A176" s="34">
        <v>536</v>
      </c>
      <c r="B176" s="88" t="s">
        <v>490</v>
      </c>
      <c r="C176" s="41" t="e">
        <f>'2. Toimintakate'!D176+'3. Verotulot'!G176+'4. Valtionosuudet'!#REF!</f>
        <v>#REF!</v>
      </c>
      <c r="D176" s="41">
        <f>'2. Toimintakate'!E176+'3. Verotulot'!L176+'4. Valtionosuudet'!H176</f>
        <v>11822</v>
      </c>
      <c r="E176" s="41">
        <f>'2. Toimintakate'!F176+'3. Verotulot'!Q176+'4. Valtionosuudet'!N176</f>
        <v>8489</v>
      </c>
      <c r="F176" s="41">
        <f>'2. Toimintakate'!G176+'3. Verotulot'!V176+'4. Valtionosuudet'!T176</f>
        <v>11664</v>
      </c>
      <c r="G176" s="41">
        <f>'2. Toimintakate'!H176+'3. Verotulot'!AA176+'4. Valtionosuudet'!Z176</f>
        <v>7099</v>
      </c>
      <c r="H176" s="41">
        <f>'2. Toimintakate'!I176+'3. Verotulot'!AF176+'4. Valtionosuudet'!AG176</f>
        <v>25050.293919266667</v>
      </c>
      <c r="I176" s="41">
        <f>'2. Toimintakate'!J176+'3. Verotulot'!AK176+'4. Valtionosuudet'!AN176</f>
        <v>20223.983524081043</v>
      </c>
      <c r="J176" s="41">
        <f>'2. Toimintakate'!K176+'3. Verotulot'!AP176+'4. Valtionosuudet'!AU176</f>
        <v>23526.807868394579</v>
      </c>
      <c r="K176" s="41">
        <f>'2. Toimintakate'!L176+'3. Verotulot'!AU176+'4. Valtionosuudet'!BC176</f>
        <v>24225.695326802645</v>
      </c>
      <c r="L176" s="41">
        <f>'2. Toimintakate'!M176+'3. Verotulot'!AZ176+'4. Valtionosuudet'!BK176</f>
        <v>16068.093136459003</v>
      </c>
      <c r="M176" s="41">
        <f>'2. Toimintakate'!N176+'3. Verotulot'!BE176+'4. Valtionosuudet'!BQ176</f>
        <v>14398.871961094977</v>
      </c>
      <c r="N176" s="41">
        <f>'2. Toimintakate'!O176+'3. Verotulot'!BJ176+'4. Valtionosuudet'!BY176</f>
        <v>16608.822518755493</v>
      </c>
      <c r="O176" s="41">
        <f>'2. Toimintakate'!P176+'3. Verotulot'!BO176+'4. Valtionosuudet'!CE176</f>
        <v>17094.041147403252</v>
      </c>
      <c r="P176" s="41">
        <f>'2. Toimintakate'!Q176+'3. Verotulot'!BT176+'4. Valtionosuudet'!CK176</f>
        <v>19065.226744879212</v>
      </c>
      <c r="T176" s="34">
        <v>536</v>
      </c>
      <c r="U176" s="88" t="s">
        <v>490</v>
      </c>
      <c r="V176" s="41" t="e">
        <f>C176/'1. Väestöennuste'!E176*1000</f>
        <v>#REF!</v>
      </c>
      <c r="W176" s="41">
        <f>D176/'1. Väestöennuste'!F176*1000</f>
        <v>355.97711532670883</v>
      </c>
      <c r="X176" s="41">
        <f>E176/'1. Väestöennuste'!G176*1000</f>
        <v>254.75661724986497</v>
      </c>
      <c r="Y176" s="41">
        <f>F176/'1. Väestöennuste'!H176*1000</f>
        <v>347.89870850359409</v>
      </c>
      <c r="Z176" s="41">
        <f>G176/'1. Väestöennuste'!I176*1000</f>
        <v>209.23104129210998</v>
      </c>
      <c r="AA176" s="41">
        <f>H176/'1. Väestöennuste'!J176*1000</f>
        <v>726.60093744247217</v>
      </c>
      <c r="AB176" s="41">
        <f>I176/'1. Väestöennuste'!K176*1000</f>
        <v>579.74955636053903</v>
      </c>
      <c r="AC176" s="41">
        <f>J176/'1. Väestöennuste'!L176*1000</f>
        <v>665.61443638303001</v>
      </c>
      <c r="AD176" s="41">
        <f>K176/'1. Väestöennuste'!M176*1000</f>
        <v>679.59983524006634</v>
      </c>
      <c r="AE176" s="41">
        <f>L176/'1. Väestöennuste'!N176*1000</f>
        <v>452.49487852602095</v>
      </c>
      <c r="AF176" s="41">
        <f>M176/'1. Väestöennuste'!O176*1000</f>
        <v>402.97982035473336</v>
      </c>
      <c r="AG176" s="41">
        <f>N176/'1. Väestöennuste'!P176*1000</f>
        <v>462.10067661108155</v>
      </c>
      <c r="AH176" s="41">
        <f>O176/'1. Väestöennuste'!Q176*1000</f>
        <v>473.00813933432721</v>
      </c>
      <c r="AI176" s="41">
        <f>P176/'1. Väestöennuste'!R176*1000</f>
        <v>524.8947399614342</v>
      </c>
    </row>
    <row r="177" spans="1:35" x14ac:dyDescent="0.2">
      <c r="A177" s="34">
        <v>538</v>
      </c>
      <c r="B177" s="88" t="s">
        <v>491</v>
      </c>
      <c r="C177" s="41" t="e">
        <f>'2. Toimintakate'!D177+'3. Verotulot'!G177+'4. Valtionosuudet'!#REF!</f>
        <v>#REF!</v>
      </c>
      <c r="D177" s="41">
        <f>'2. Toimintakate'!E177+'3. Verotulot'!L177+'4. Valtionosuudet'!H177</f>
        <v>340</v>
      </c>
      <c r="E177" s="41">
        <f>'2. Toimintakate'!F177+'3. Verotulot'!Q177+'4. Valtionosuudet'!N177</f>
        <v>1126</v>
      </c>
      <c r="F177" s="41">
        <f>'2. Toimintakate'!G177+'3. Verotulot'!V177+'4. Valtionosuudet'!T177</f>
        <v>807</v>
      </c>
      <c r="G177" s="41">
        <f>'2. Toimintakate'!H177+'3. Verotulot'!AA177+'4. Valtionosuudet'!Z177</f>
        <v>-444</v>
      </c>
      <c r="H177" s="41">
        <f>'2. Toimintakate'!I177+'3. Verotulot'!AF177+'4. Valtionosuudet'!AG177</f>
        <v>4101.2740148460889</v>
      </c>
      <c r="I177" s="41">
        <f>'2. Toimintakate'!J177+'3. Verotulot'!AK177+'4. Valtionosuudet'!AN177</f>
        <v>1648.9628452597353</v>
      </c>
      <c r="J177" s="41">
        <f>'2. Toimintakate'!K177+'3. Verotulot'!AP177+'4. Valtionosuudet'!AU177</f>
        <v>1353.5983014618196</v>
      </c>
      <c r="K177" s="41">
        <f>'2. Toimintakate'!L177+'3. Verotulot'!AU177+'4. Valtionosuudet'!BC177</f>
        <v>1670.1459310321579</v>
      </c>
      <c r="L177" s="41">
        <f>'2. Toimintakate'!M177+'3. Verotulot'!AZ177+'4. Valtionosuudet'!BK177</f>
        <v>1646.0499706488808</v>
      </c>
      <c r="M177" s="41">
        <f>'2. Toimintakate'!N177+'3. Verotulot'!BE177+'4. Valtionosuudet'!BQ177</f>
        <v>813.38039944947013</v>
      </c>
      <c r="N177" s="41">
        <f>'2. Toimintakate'!O177+'3. Verotulot'!BJ177+'4. Valtionosuudet'!BY177</f>
        <v>640.77032049482477</v>
      </c>
      <c r="O177" s="41">
        <f>'2. Toimintakate'!P177+'3. Verotulot'!BO177+'4. Valtionosuudet'!CE177</f>
        <v>433.88766524585481</v>
      </c>
      <c r="P177" s="41">
        <f>'2. Toimintakate'!Q177+'3. Verotulot'!BT177+'4. Valtionosuudet'!CK177</f>
        <v>556.87390687537481</v>
      </c>
      <c r="T177" s="34">
        <v>538</v>
      </c>
      <c r="U177" s="88" t="s">
        <v>491</v>
      </c>
      <c r="V177" s="41" t="e">
        <f>C177/'1. Väestöennuste'!E177*1000</f>
        <v>#REF!</v>
      </c>
      <c r="W177" s="41">
        <f>D177/'1. Väestöennuste'!F177*1000</f>
        <v>70.612668743509872</v>
      </c>
      <c r="X177" s="41">
        <f>E177/'1. Väestöennuste'!G177*1000</f>
        <v>233.94971950966135</v>
      </c>
      <c r="Y177" s="41">
        <f>F177/'1. Väestöennuste'!H177*1000</f>
        <v>170.50496513839002</v>
      </c>
      <c r="Z177" s="41">
        <f>G177/'1. Väestöennuste'!I177*1000</f>
        <v>-94.167550371155883</v>
      </c>
      <c r="AA177" s="41">
        <f>H177/'1. Väestöennuste'!J177*1000</f>
        <v>873.9130651706987</v>
      </c>
      <c r="AB177" s="41">
        <f>I177/'1. Väestöennuste'!K177*1000</f>
        <v>351.66620713579346</v>
      </c>
      <c r="AC177" s="41">
        <f>J177/'1. Väestöennuste'!L177*1000</f>
        <v>291.4725024680921</v>
      </c>
      <c r="AD177" s="41">
        <f>K177/'1. Väestöennuste'!M177*1000</f>
        <v>355.72863280770139</v>
      </c>
      <c r="AE177" s="41">
        <f>L177/'1. Väestöennuste'!N177*1000</f>
        <v>356.82852171014105</v>
      </c>
      <c r="AF177" s="41">
        <f>M177/'1. Väestöennuste'!O177*1000</f>
        <v>176.93721980628021</v>
      </c>
      <c r="AG177" s="41">
        <f>N177/'1. Väestöennuste'!P177*1000</f>
        <v>139.87564298075196</v>
      </c>
      <c r="AH177" s="41">
        <f>O177/'1. Väestöennuste'!Q177*1000</f>
        <v>95.004962830272575</v>
      </c>
      <c r="AI177" s="41">
        <f>P177/'1. Väestöennuste'!R177*1000</f>
        <v>122.28236865950259</v>
      </c>
    </row>
    <row r="178" spans="1:35" x14ac:dyDescent="0.2">
      <c r="A178" s="34">
        <v>541</v>
      </c>
      <c r="B178" s="88" t="s">
        <v>492</v>
      </c>
      <c r="C178" s="41" t="e">
        <f>'2. Toimintakate'!D178+'3. Verotulot'!G178+'4. Valtionosuudet'!#REF!</f>
        <v>#REF!</v>
      </c>
      <c r="D178" s="41">
        <f>'2. Toimintakate'!E178+'3. Verotulot'!L178+'4. Valtionosuudet'!H178</f>
        <v>4235</v>
      </c>
      <c r="E178" s="41">
        <f>'2. Toimintakate'!F178+'3. Verotulot'!Q178+'4. Valtionosuudet'!N178</f>
        <v>6936</v>
      </c>
      <c r="F178" s="41">
        <f>'2. Toimintakate'!G178+'3. Verotulot'!V178+'4. Valtionosuudet'!T178</f>
        <v>6421</v>
      </c>
      <c r="G178" s="41">
        <f>'2. Toimintakate'!H178+'3. Verotulot'!AA178+'4. Valtionosuudet'!Z178</f>
        <v>3278</v>
      </c>
      <c r="H178" s="41">
        <f>'2. Toimintakate'!I178+'3. Verotulot'!AF178+'4. Valtionosuudet'!AG178</f>
        <v>7494.628149554941</v>
      </c>
      <c r="I178" s="41">
        <f>'2. Toimintakate'!J178+'3. Verotulot'!AK178+'4. Valtionosuudet'!AN178</f>
        <v>4355.3140616252931</v>
      </c>
      <c r="J178" s="41">
        <f>'2. Toimintakate'!K178+'3. Verotulot'!AP178+'4. Valtionosuudet'!AU178</f>
        <v>3160.4525098449303</v>
      </c>
      <c r="K178" s="41">
        <f>'2. Toimintakate'!L178+'3. Verotulot'!AU178+'4. Valtionosuudet'!BC178</f>
        <v>5800.4143399167642</v>
      </c>
      <c r="L178" s="41">
        <f>'2. Toimintakate'!M178+'3. Verotulot'!AZ178+'4. Valtionosuudet'!BK178</f>
        <v>3169.8251817607597</v>
      </c>
      <c r="M178" s="41">
        <f>'2. Toimintakate'!N178+'3. Verotulot'!BE178+'4. Valtionosuudet'!BQ178</f>
        <v>1494.7705929695439</v>
      </c>
      <c r="N178" s="41">
        <f>'2. Toimintakate'!O178+'3. Verotulot'!BJ178+'4. Valtionosuudet'!BY178</f>
        <v>1258.4082224375761</v>
      </c>
      <c r="O178" s="41">
        <f>'2. Toimintakate'!P178+'3. Verotulot'!BO178+'4. Valtionosuudet'!CE178</f>
        <v>719.96537558791897</v>
      </c>
      <c r="P178" s="41">
        <f>'2. Toimintakate'!Q178+'3. Verotulot'!BT178+'4. Valtionosuudet'!CK178</f>
        <v>2279.0480071493821</v>
      </c>
      <c r="T178" s="34">
        <v>541</v>
      </c>
      <c r="U178" s="88" t="s">
        <v>492</v>
      </c>
      <c r="V178" s="41" t="e">
        <f>C178/'1. Väestöennuste'!E178*1000</f>
        <v>#REF!</v>
      </c>
      <c r="W178" s="41">
        <f>D178/'1. Väestöennuste'!F178*1000</f>
        <v>418.06515301085886</v>
      </c>
      <c r="X178" s="41">
        <f>E178/'1. Väestöennuste'!G178*1000</f>
        <v>694.78112791745968</v>
      </c>
      <c r="Y178" s="41">
        <f>F178/'1. Väestöennuste'!H178*1000</f>
        <v>656.27555192150453</v>
      </c>
      <c r="Z178" s="41">
        <f>G178/'1. Väestöennuste'!I178*1000</f>
        <v>343.17420435510888</v>
      </c>
      <c r="AA178" s="41">
        <f>H178/'1. Väestöennuste'!J178*1000</f>
        <v>788.82519203820038</v>
      </c>
      <c r="AB178" s="41">
        <f>I178/'1. Väestöennuste'!K178*1000</f>
        <v>462.20036735915244</v>
      </c>
      <c r="AC178" s="41">
        <f>J178/'1. Väestöennuste'!L178*1000</f>
        <v>341.9292989121422</v>
      </c>
      <c r="AD178" s="41">
        <f>K178/'1. Väestöennuste'!M178*1000</f>
        <v>635.31372835890079</v>
      </c>
      <c r="AE178" s="41">
        <f>L178/'1. Väestöennuste'!N178*1000</f>
        <v>356.72126735997745</v>
      </c>
      <c r="AF178" s="41">
        <f>M178/'1. Väestöennuste'!O178*1000</f>
        <v>170.90905476441162</v>
      </c>
      <c r="AG178" s="41">
        <f>N178/'1. Väestöennuste'!P178*1000</f>
        <v>146.08871864843002</v>
      </c>
      <c r="AH178" s="41">
        <f>O178/'1. Väestöennuste'!Q178*1000</f>
        <v>84.801575452051708</v>
      </c>
      <c r="AI178" s="41">
        <f>P178/'1. Väestöennuste'!R178*1000</f>
        <v>272.22264777226258</v>
      </c>
    </row>
    <row r="179" spans="1:35" x14ac:dyDescent="0.2">
      <c r="A179" s="34">
        <v>543</v>
      </c>
      <c r="B179" s="88" t="s">
        <v>493</v>
      </c>
      <c r="C179" s="41" t="e">
        <f>'2. Toimintakate'!D179+'3. Verotulot'!G179+'4. Valtionosuudet'!#REF!</f>
        <v>#REF!</v>
      </c>
      <c r="D179" s="41">
        <f>'2. Toimintakate'!E179+'3. Verotulot'!L179+'4. Valtionosuudet'!H179</f>
        <v>19721</v>
      </c>
      <c r="E179" s="41">
        <f>'2. Toimintakate'!F179+'3. Verotulot'!Q179+'4. Valtionosuudet'!N179</f>
        <v>19755</v>
      </c>
      <c r="F179" s="41">
        <f>'2. Toimintakate'!G179+'3. Verotulot'!V179+'4. Valtionosuudet'!T179</f>
        <v>5848</v>
      </c>
      <c r="G179" s="41">
        <f>'2. Toimintakate'!H179+'3. Verotulot'!AA179+'4. Valtionosuudet'!Z179</f>
        <v>963</v>
      </c>
      <c r="H179" s="41">
        <f>'2. Toimintakate'!I179+'3. Verotulot'!AF179+'4. Valtionosuudet'!AG179</f>
        <v>27011.453792031592</v>
      </c>
      <c r="I179" s="41">
        <f>'2. Toimintakate'!J179+'3. Verotulot'!AK179+'4. Valtionosuudet'!AN179</f>
        <v>34081.30493739932</v>
      </c>
      <c r="J179" s="41">
        <f>'2. Toimintakate'!K179+'3. Verotulot'!AP179+'4. Valtionosuudet'!AU179</f>
        <v>27738.380255996053</v>
      </c>
      <c r="K179" s="41">
        <f>'2. Toimintakate'!L179+'3. Verotulot'!AU179+'4. Valtionosuudet'!BC179</f>
        <v>49495.167277795248</v>
      </c>
      <c r="L179" s="41">
        <f>'2. Toimintakate'!M179+'3. Verotulot'!AZ179+'4. Valtionosuudet'!BK179</f>
        <v>29893.927631814931</v>
      </c>
      <c r="M179" s="41">
        <f>'2. Toimintakate'!N179+'3. Verotulot'!BE179+'4. Valtionosuudet'!BQ179</f>
        <v>40950.667107031106</v>
      </c>
      <c r="N179" s="41">
        <f>'2. Toimintakate'!O179+'3. Verotulot'!BJ179+'4. Valtionosuudet'!BY179</f>
        <v>42172.101021735594</v>
      </c>
      <c r="O179" s="41">
        <f>'2. Toimintakate'!P179+'3. Verotulot'!BO179+'4. Valtionosuudet'!CE179</f>
        <v>42873.337732065309</v>
      </c>
      <c r="P179" s="41">
        <f>'2. Toimintakate'!Q179+'3. Verotulot'!BT179+'4. Valtionosuudet'!CK179</f>
        <v>46650.421315639469</v>
      </c>
      <c r="T179" s="34">
        <v>543</v>
      </c>
      <c r="U179" s="88" t="s">
        <v>493</v>
      </c>
      <c r="V179" s="41" t="e">
        <f>C179/'1. Väestöennuste'!E179*1000</f>
        <v>#REF!</v>
      </c>
      <c r="W179" s="41">
        <f>D179/'1. Väestöennuste'!F179*1000</f>
        <v>469.43584860747438</v>
      </c>
      <c r="X179" s="41">
        <f>E179/'1. Väestöennuste'!G179*1000</f>
        <v>468.58322066462677</v>
      </c>
      <c r="Y179" s="41">
        <f>F179/'1. Väestöennuste'!H179*1000</f>
        <v>137.0678542130552</v>
      </c>
      <c r="Z179" s="41">
        <f>G179/'1. Väestöennuste'!I179*1000</f>
        <v>22.398995185262716</v>
      </c>
      <c r="AA179" s="41">
        <f>H179/'1. Väestöennuste'!J179*1000</f>
        <v>618.63485770633247</v>
      </c>
      <c r="AB179" s="41">
        <f>I179/'1. Väestöennuste'!K179*1000</f>
        <v>772.34584126270352</v>
      </c>
      <c r="AC179" s="41">
        <f>J179/'1. Väestöennuste'!L179*1000</f>
        <v>623.92325916586572</v>
      </c>
      <c r="AD179" s="41">
        <f>K179/'1. Väestöennuste'!M179*1000</f>
        <v>1105.1728765835715</v>
      </c>
      <c r="AE179" s="41">
        <f>L179/'1. Väestöennuste'!N179*1000</f>
        <v>662.13182492723774</v>
      </c>
      <c r="AF179" s="41">
        <f>M179/'1. Väestöennuste'!O179*1000</f>
        <v>900.25209081584387</v>
      </c>
      <c r="AG179" s="41">
        <f>N179/'1. Väestöennuste'!P179*1000</f>
        <v>920.38631649357467</v>
      </c>
      <c r="AH179" s="41">
        <f>O179/'1. Väestöennuste'!Q179*1000</f>
        <v>929.16080213396276</v>
      </c>
      <c r="AI179" s="41">
        <f>P179/'1. Väestöennuste'!R179*1000</f>
        <v>1004.3363972451391</v>
      </c>
    </row>
    <row r="180" spans="1:35" x14ac:dyDescent="0.2">
      <c r="A180" s="34">
        <v>545</v>
      </c>
      <c r="B180" s="88" t="s">
        <v>494</v>
      </c>
      <c r="C180" s="41" t="e">
        <f>'2. Toimintakate'!D180+'3. Verotulot'!G180+'4. Valtionosuudet'!#REF!</f>
        <v>#REF!</v>
      </c>
      <c r="D180" s="41">
        <f>'2. Toimintakate'!E180+'3. Verotulot'!L180+'4. Valtionosuudet'!H180</f>
        <v>6199</v>
      </c>
      <c r="E180" s="41">
        <f>'2. Toimintakate'!F180+'3. Verotulot'!Q180+'4. Valtionosuudet'!N180</f>
        <v>7973</v>
      </c>
      <c r="F180" s="41">
        <f>'2. Toimintakate'!G180+'3. Verotulot'!V180+'4. Valtionosuudet'!T180</f>
        <v>4265</v>
      </c>
      <c r="G180" s="41">
        <f>'2. Toimintakate'!H180+'3. Verotulot'!AA180+'4. Valtionosuudet'!Z180</f>
        <v>4195</v>
      </c>
      <c r="H180" s="41">
        <f>'2. Toimintakate'!I180+'3. Verotulot'!AF180+'4. Valtionosuudet'!AG180</f>
        <v>8912.5952772706514</v>
      </c>
      <c r="I180" s="41">
        <f>'2. Toimintakate'!J180+'3. Verotulot'!AK180+'4. Valtionosuudet'!AN180</f>
        <v>10248.449953433097</v>
      </c>
      <c r="J180" s="41">
        <f>'2. Toimintakate'!K180+'3. Verotulot'!AP180+'4. Valtionosuudet'!AU180</f>
        <v>10200.417086213798</v>
      </c>
      <c r="K180" s="41">
        <f>'2. Toimintakate'!L180+'3. Verotulot'!AU180+'4. Valtionosuudet'!BC180</f>
        <v>10902.824425391425</v>
      </c>
      <c r="L180" s="41">
        <f>'2. Toimintakate'!M180+'3. Verotulot'!AZ180+'4. Valtionosuudet'!BK180</f>
        <v>10153.613740400342</v>
      </c>
      <c r="M180" s="41">
        <f>'2. Toimintakate'!N180+'3. Verotulot'!BE180+'4. Valtionosuudet'!BQ180</f>
        <v>10556.206585024174</v>
      </c>
      <c r="N180" s="41">
        <f>'2. Toimintakate'!O180+'3. Verotulot'!BJ180+'4. Valtionosuudet'!BY180</f>
        <v>9851.8970221742602</v>
      </c>
      <c r="O180" s="41">
        <f>'2. Toimintakate'!P180+'3. Verotulot'!BO180+'4. Valtionosuudet'!CE180</f>
        <v>10368.729168015852</v>
      </c>
      <c r="P180" s="41">
        <f>'2. Toimintakate'!Q180+'3. Verotulot'!BT180+'4. Valtionosuudet'!CK180</f>
        <v>10981.676703868976</v>
      </c>
      <c r="T180" s="34">
        <v>545</v>
      </c>
      <c r="U180" s="88" t="s">
        <v>494</v>
      </c>
      <c r="V180" s="41" t="e">
        <f>C180/'1. Väestöennuste'!E180*1000</f>
        <v>#REF!</v>
      </c>
      <c r="W180" s="41">
        <f>D180/'1. Väestöennuste'!F180*1000</f>
        <v>656.74329907829224</v>
      </c>
      <c r="X180" s="41">
        <f>E180/'1. Väestöennuste'!G180*1000</f>
        <v>838.64520879352051</v>
      </c>
      <c r="Y180" s="41">
        <f>F180/'1. Väestöennuste'!H180*1000</f>
        <v>450.32203568788935</v>
      </c>
      <c r="Z180" s="41">
        <f>G180/'1. Väestöennuste'!I180*1000</f>
        <v>442.55723177550379</v>
      </c>
      <c r="AA180" s="41">
        <f>H180/'1. Väestöennuste'!J180*1000</f>
        <v>932.47491915365674</v>
      </c>
      <c r="AB180" s="41">
        <f>I180/'1. Väestöennuste'!K180*1000</f>
        <v>1071.7893697378265</v>
      </c>
      <c r="AC180" s="41">
        <f>J180/'1. Väestöennuste'!L180*1000</f>
        <v>1064.3173086617069</v>
      </c>
      <c r="AD180" s="41">
        <f>K180/'1. Väestöennuste'!M180*1000</f>
        <v>1133.2319327919577</v>
      </c>
      <c r="AE180" s="41">
        <f>L180/'1. Väestöennuste'!N180*1000</f>
        <v>1056.3476633791452</v>
      </c>
      <c r="AF180" s="41">
        <f>M180/'1. Väestöennuste'!O180*1000</f>
        <v>1097.0906864502363</v>
      </c>
      <c r="AG180" s="41">
        <f>N180/'1. Väestöennuste'!P180*1000</f>
        <v>1023.2547800347176</v>
      </c>
      <c r="AH180" s="41">
        <f>O180/'1. Väestöennuste'!Q180*1000</f>
        <v>1076.2641860095341</v>
      </c>
      <c r="AI180" s="41">
        <f>P180/'1. Väestöennuste'!R180*1000</f>
        <v>1139.4144743586819</v>
      </c>
    </row>
    <row r="181" spans="1:35" x14ac:dyDescent="0.2">
      <c r="A181" s="34">
        <v>560</v>
      </c>
      <c r="B181" s="88" t="s">
        <v>495</v>
      </c>
      <c r="C181" s="41" t="e">
        <f>'2. Toimintakate'!D181+'3. Verotulot'!G181+'4. Valtionosuudet'!#REF!</f>
        <v>#REF!</v>
      </c>
      <c r="D181" s="41">
        <f>'2. Toimintakate'!E181+'3. Verotulot'!L181+'4. Valtionosuudet'!H181</f>
        <v>4390</v>
      </c>
      <c r="E181" s="41">
        <f>'2. Toimintakate'!F181+'3. Verotulot'!Q181+'4. Valtionosuudet'!N181</f>
        <v>3966</v>
      </c>
      <c r="F181" s="41">
        <f>'2. Toimintakate'!G181+'3. Verotulot'!V181+'4. Valtionosuudet'!T181</f>
        <v>978</v>
      </c>
      <c r="G181" s="41">
        <f>'2. Toimintakate'!H181+'3. Verotulot'!AA181+'4. Valtionosuudet'!Z181</f>
        <v>-847</v>
      </c>
      <c r="H181" s="41">
        <f>'2. Toimintakate'!I181+'3. Verotulot'!AF181+'4. Valtionosuudet'!AG181</f>
        <v>9326.4902644286994</v>
      </c>
      <c r="I181" s="41">
        <f>'2. Toimintakate'!J181+'3. Verotulot'!AK181+'4. Valtionosuudet'!AN181</f>
        <v>7132.6183074593355</v>
      </c>
      <c r="J181" s="41">
        <f>'2. Toimintakate'!K181+'3. Verotulot'!AP181+'4. Valtionosuudet'!AU181</f>
        <v>4708.3204205005241</v>
      </c>
      <c r="K181" s="41">
        <f>'2. Toimintakate'!L181+'3. Verotulot'!AU181+'4. Valtionosuudet'!BC181</f>
        <v>8255.7189845960565</v>
      </c>
      <c r="L181" s="41">
        <f>'2. Toimintakate'!M181+'3. Verotulot'!AZ181+'4. Valtionosuudet'!BK181</f>
        <v>4322.779797091378</v>
      </c>
      <c r="M181" s="41">
        <f>'2. Toimintakate'!N181+'3. Verotulot'!BE181+'4. Valtionosuudet'!BQ181</f>
        <v>2682.7799748722391</v>
      </c>
      <c r="N181" s="41">
        <f>'2. Toimintakate'!O181+'3. Verotulot'!BJ181+'4. Valtionosuudet'!BY181</f>
        <v>2509.3943574991754</v>
      </c>
      <c r="O181" s="41">
        <f>'2. Toimintakate'!P181+'3. Verotulot'!BO181+'4. Valtionosuudet'!CE181</f>
        <v>2990.8338680139641</v>
      </c>
      <c r="P181" s="41">
        <f>'2. Toimintakate'!Q181+'3. Verotulot'!BT181+'4. Valtionosuudet'!CK181</f>
        <v>4510.4844433133585</v>
      </c>
      <c r="T181" s="34">
        <v>560</v>
      </c>
      <c r="U181" s="88" t="s">
        <v>495</v>
      </c>
      <c r="V181" s="41" t="e">
        <f>C181/'1. Väestöennuste'!E181*1000</f>
        <v>#REF!</v>
      </c>
      <c r="W181" s="41">
        <f>D181/'1. Väestöennuste'!F181*1000</f>
        <v>269.67258431107558</v>
      </c>
      <c r="X181" s="41">
        <f>E181/'1. Väestöennuste'!G181*1000</f>
        <v>244.4978731274274</v>
      </c>
      <c r="Y181" s="41">
        <f>F181/'1. Väestöennuste'!H181*1000</f>
        <v>60.779317630973836</v>
      </c>
      <c r="Z181" s="41">
        <f>G181/'1. Väestöennuste'!I181*1000</f>
        <v>-52.9275760794851</v>
      </c>
      <c r="AA181" s="41">
        <f>H181/'1. Väestöennuste'!J181*1000</f>
        <v>587.23651079389867</v>
      </c>
      <c r="AB181" s="41">
        <f>I181/'1. Väestöennuste'!K181*1000</f>
        <v>451.2030811904944</v>
      </c>
      <c r="AC181" s="41">
        <f>J181/'1. Väestöennuste'!L181*1000</f>
        <v>299.22595618052264</v>
      </c>
      <c r="AD181" s="41">
        <f>K181/'1. Väestöennuste'!M181*1000</f>
        <v>526.88231441675009</v>
      </c>
      <c r="AE181" s="41">
        <f>L181/'1. Väestöennuste'!N181*1000</f>
        <v>278.47579701677364</v>
      </c>
      <c r="AF181" s="41">
        <f>M181/'1. Väestöennuste'!O181*1000</f>
        <v>173.83399046667782</v>
      </c>
      <c r="AG181" s="41">
        <f>N181/'1. Väestöennuste'!P181*1000</f>
        <v>163.4997626726072</v>
      </c>
      <c r="AH181" s="41">
        <f>O181/'1. Väestöennuste'!Q181*1000</f>
        <v>195.91470378710628</v>
      </c>
      <c r="AI181" s="41">
        <f>P181/'1. Väestöennuste'!R181*1000</f>
        <v>297.05508715182816</v>
      </c>
    </row>
    <row r="182" spans="1:35" x14ac:dyDescent="0.2">
      <c r="A182" s="34">
        <v>561</v>
      </c>
      <c r="B182" s="88" t="s">
        <v>496</v>
      </c>
      <c r="C182" s="41" t="e">
        <f>'2. Toimintakate'!D182+'3. Verotulot'!G182+'4. Valtionosuudet'!#REF!</f>
        <v>#REF!</v>
      </c>
      <c r="D182" s="41">
        <f>'2. Toimintakate'!E182+'3. Verotulot'!L182+'4. Valtionosuudet'!H182</f>
        <v>498</v>
      </c>
      <c r="E182" s="41">
        <f>'2. Toimintakate'!F182+'3. Verotulot'!Q182+'4. Valtionosuudet'!N182</f>
        <v>45</v>
      </c>
      <c r="F182" s="41">
        <f>'2. Toimintakate'!G182+'3. Verotulot'!V182+'4. Valtionosuudet'!T182</f>
        <v>-833</v>
      </c>
      <c r="G182" s="41">
        <f>'2. Toimintakate'!H182+'3. Verotulot'!AA182+'4. Valtionosuudet'!Z182</f>
        <v>490</v>
      </c>
      <c r="H182" s="41">
        <f>'2. Toimintakate'!I182+'3. Verotulot'!AF182+'4. Valtionosuudet'!AG182</f>
        <v>1192.7431825936847</v>
      </c>
      <c r="I182" s="41">
        <f>'2. Toimintakate'!J182+'3. Verotulot'!AK182+'4. Valtionosuudet'!AN182</f>
        <v>1013.7114022643045</v>
      </c>
      <c r="J182" s="41">
        <f>'2. Toimintakate'!K182+'3. Verotulot'!AP182+'4. Valtionosuudet'!AU182</f>
        <v>543.6581156077018</v>
      </c>
      <c r="K182" s="41">
        <f>'2. Toimintakate'!L182+'3. Verotulot'!AU182+'4. Valtionosuudet'!BC182</f>
        <v>650.14142121047325</v>
      </c>
      <c r="L182" s="41">
        <f>'2. Toimintakate'!M182+'3. Verotulot'!AZ182+'4. Valtionosuudet'!BK182</f>
        <v>773.1286887509898</v>
      </c>
      <c r="M182" s="41">
        <f>'2. Toimintakate'!N182+'3. Verotulot'!BE182+'4. Valtionosuudet'!BQ182</f>
        <v>431.01010356404981</v>
      </c>
      <c r="N182" s="41">
        <f>'2. Toimintakate'!O182+'3. Verotulot'!BJ182+'4. Valtionosuudet'!BY182</f>
        <v>130.80940592237471</v>
      </c>
      <c r="O182" s="41">
        <f>'2. Toimintakate'!P182+'3. Verotulot'!BO182+'4. Valtionosuudet'!CE182</f>
        <v>210.63534469473075</v>
      </c>
      <c r="P182" s="41">
        <f>'2. Toimintakate'!Q182+'3. Verotulot'!BT182+'4. Valtionosuudet'!CK182</f>
        <v>198.20273759834049</v>
      </c>
      <c r="T182" s="34">
        <v>561</v>
      </c>
      <c r="U182" s="88" t="s">
        <v>496</v>
      </c>
      <c r="V182" s="41" t="e">
        <f>C182/'1. Väestöennuste'!E182*1000</f>
        <v>#REF!</v>
      </c>
      <c r="W182" s="41">
        <f>D182/'1. Väestöennuste'!F182*1000</f>
        <v>365.37050623624356</v>
      </c>
      <c r="X182" s="41">
        <f>E182/'1. Väestöennuste'!G182*1000</f>
        <v>32.561505065123008</v>
      </c>
      <c r="Y182" s="41">
        <f>F182/'1. Väestöennuste'!H182*1000</f>
        <v>-610.70381231671558</v>
      </c>
      <c r="Z182" s="41">
        <f>G182/'1. Väestöennuste'!I182*1000</f>
        <v>368.69826937547026</v>
      </c>
      <c r="AA182" s="41">
        <f>H182/'1. Väestöennuste'!J182*1000</f>
        <v>894.11033177937384</v>
      </c>
      <c r="AB182" s="41">
        <f>I182/'1. Väestöennuste'!K182*1000</f>
        <v>758.19850580725847</v>
      </c>
      <c r="AC182" s="41">
        <f>J182/'1. Väestöennuste'!L182*1000</f>
        <v>412.80039150167181</v>
      </c>
      <c r="AD182" s="41">
        <f>K182/'1. Väestöennuste'!M182*1000</f>
        <v>494.40412259351581</v>
      </c>
      <c r="AE182" s="41">
        <f>L182/'1. Väestöennuste'!N182*1000</f>
        <v>590.17457156564103</v>
      </c>
      <c r="AF182" s="41">
        <f>M182/'1. Väestöennuste'!O182*1000</f>
        <v>330.27594142839069</v>
      </c>
      <c r="AG182" s="41">
        <f>N182/'1. Väestöennuste'!P182*1000</f>
        <v>100.54527741919654</v>
      </c>
      <c r="AH182" s="41">
        <f>O182/'1. Väestöennuste'!Q182*1000</f>
        <v>162.27684491119473</v>
      </c>
      <c r="AI182" s="41">
        <f>P182/'1. Väestöennuste'!R182*1000</f>
        <v>153.05230702574553</v>
      </c>
    </row>
    <row r="183" spans="1:35" x14ac:dyDescent="0.2">
      <c r="A183" s="34">
        <v>562</v>
      </c>
      <c r="B183" s="88" t="s">
        <v>497</v>
      </c>
      <c r="C183" s="41" t="e">
        <f>'2. Toimintakate'!D183+'3. Verotulot'!G183+'4. Valtionosuudet'!#REF!</f>
        <v>#REF!</v>
      </c>
      <c r="D183" s="41">
        <f>'2. Toimintakate'!E183+'3. Verotulot'!L183+'4. Valtionosuudet'!H183</f>
        <v>3246</v>
      </c>
      <c r="E183" s="41">
        <f>'2. Toimintakate'!F183+'3. Verotulot'!Q183+'4. Valtionosuudet'!N183</f>
        <v>4445</v>
      </c>
      <c r="F183" s="41">
        <f>'2. Toimintakate'!G183+'3. Verotulot'!V183+'4. Valtionosuudet'!T183</f>
        <v>1182</v>
      </c>
      <c r="G183" s="41">
        <f>'2. Toimintakate'!H183+'3. Verotulot'!AA183+'4. Valtionosuudet'!Z183</f>
        <v>600</v>
      </c>
      <c r="H183" s="41">
        <f>'2. Toimintakate'!I183+'3. Verotulot'!AF183+'4. Valtionosuudet'!AG183</f>
        <v>4917.5307824693155</v>
      </c>
      <c r="I183" s="41">
        <f>'2. Toimintakate'!J183+'3. Verotulot'!AK183+'4. Valtionosuudet'!AN183</f>
        <v>2181.4068315170371</v>
      </c>
      <c r="J183" s="41">
        <f>'2. Toimintakate'!K183+'3. Verotulot'!AP183+'4. Valtionosuudet'!AU183</f>
        <v>3821.0166583333994</v>
      </c>
      <c r="K183" s="41">
        <f>'2. Toimintakate'!L183+'3. Verotulot'!AU183+'4. Valtionosuudet'!BC183</f>
        <v>4704.2929809019261</v>
      </c>
      <c r="L183" s="41">
        <f>'2. Toimintakate'!M183+'3. Verotulot'!AZ183+'4. Valtionosuudet'!BK183</f>
        <v>1861.3841027951476</v>
      </c>
      <c r="M183" s="41">
        <f>'2. Toimintakate'!N183+'3. Verotulot'!BE183+'4. Valtionosuudet'!BQ183</f>
        <v>2616.1900296706326</v>
      </c>
      <c r="N183" s="41">
        <f>'2. Toimintakate'!O183+'3. Verotulot'!BJ183+'4. Valtionosuudet'!BY183</f>
        <v>3085.7114505248855</v>
      </c>
      <c r="O183" s="41">
        <f>'2. Toimintakate'!P183+'3. Verotulot'!BO183+'4. Valtionosuudet'!CE183</f>
        <v>2961.4839251599233</v>
      </c>
      <c r="P183" s="41">
        <f>'2. Toimintakate'!Q183+'3. Verotulot'!BT183+'4. Valtionosuudet'!CK183</f>
        <v>4067.3975876340564</v>
      </c>
      <c r="T183" s="34">
        <v>562</v>
      </c>
      <c r="U183" s="88" t="s">
        <v>497</v>
      </c>
      <c r="V183" s="41" t="e">
        <f>C183/'1. Väestöennuste'!E183*1000</f>
        <v>#REF!</v>
      </c>
      <c r="W183" s="41">
        <f>D183/'1. Väestöennuste'!F183*1000</f>
        <v>348.58247422680409</v>
      </c>
      <c r="X183" s="41">
        <f>E183/'1. Väestöennuste'!G183*1000</f>
        <v>478.72913301023158</v>
      </c>
      <c r="Y183" s="41">
        <f>F183/'1. Väestöennuste'!H183*1000</f>
        <v>128.18566316017785</v>
      </c>
      <c r="Z183" s="41">
        <f>G183/'1. Väestöennuste'!I183*1000</f>
        <v>65.516488316226258</v>
      </c>
      <c r="AA183" s="41">
        <f>H183/'1. Väestöennuste'!J183*1000</f>
        <v>545.9070584446398</v>
      </c>
      <c r="AB183" s="41">
        <f>I183/'1. Väestöennuste'!K183*1000</f>
        <v>242.97246953854278</v>
      </c>
      <c r="AC183" s="41">
        <f>J183/'1. Väestöennuste'!L183*1000</f>
        <v>427.6459606416787</v>
      </c>
      <c r="AD183" s="41">
        <f>K183/'1. Väestöennuste'!M183*1000</f>
        <v>532.22004535602741</v>
      </c>
      <c r="AE183" s="41">
        <f>L183/'1. Väestöennuste'!N183*1000</f>
        <v>214.3710817453815</v>
      </c>
      <c r="AF183" s="41">
        <f>M183/'1. Väestöennuste'!O183*1000</f>
        <v>303.74898753867791</v>
      </c>
      <c r="AG183" s="41">
        <f>N183/'1. Väestöennuste'!P183*1000</f>
        <v>361.11310129021479</v>
      </c>
      <c r="AH183" s="41">
        <f>O183/'1. Väestöennuste'!Q183*1000</f>
        <v>349.2315949481042</v>
      </c>
      <c r="AI183" s="41">
        <f>P183/'1. Väestöennuste'!R183*1000</f>
        <v>483.12122432997461</v>
      </c>
    </row>
    <row r="184" spans="1:35" x14ac:dyDescent="0.2">
      <c r="A184" s="34">
        <v>563</v>
      </c>
      <c r="B184" s="88" t="s">
        <v>498</v>
      </c>
      <c r="C184" s="41" t="e">
        <f>'2. Toimintakate'!D184+'3. Verotulot'!G184+'4. Valtionosuudet'!#REF!</f>
        <v>#REF!</v>
      </c>
      <c r="D184" s="41">
        <f>'2. Toimintakate'!E184+'3. Verotulot'!L184+'4. Valtionosuudet'!H184</f>
        <v>2034</v>
      </c>
      <c r="E184" s="41">
        <f>'2. Toimintakate'!F184+'3. Verotulot'!Q184+'4. Valtionosuudet'!N184</f>
        <v>2697</v>
      </c>
      <c r="F184" s="41">
        <f>'2. Toimintakate'!G184+'3. Verotulot'!V184+'4. Valtionosuudet'!T184</f>
        <v>-288</v>
      </c>
      <c r="G184" s="41">
        <f>'2. Toimintakate'!H184+'3. Verotulot'!AA184+'4. Valtionosuudet'!Z184</f>
        <v>-713</v>
      </c>
      <c r="H184" s="41">
        <f>'2. Toimintakate'!I184+'3. Verotulot'!AF184+'4. Valtionosuudet'!AG184</f>
        <v>4551.5390686318788</v>
      </c>
      <c r="I184" s="41">
        <f>'2. Toimintakate'!J184+'3. Verotulot'!AK184+'4. Valtionosuudet'!AN184</f>
        <v>500.16329229830808</v>
      </c>
      <c r="J184" s="41">
        <f>'2. Toimintakate'!K184+'3. Verotulot'!AP184+'4. Valtionosuudet'!AU184</f>
        <v>-699.11139308166457</v>
      </c>
      <c r="K184" s="41">
        <f>'2. Toimintakate'!L184+'3. Verotulot'!AU184+'4. Valtionosuudet'!BC184</f>
        <v>3003.3900980812396</v>
      </c>
      <c r="L184" s="41">
        <f>'2. Toimintakate'!M184+'3. Verotulot'!AZ184+'4. Valtionosuudet'!BK184</f>
        <v>2348.2825058931085</v>
      </c>
      <c r="M184" s="41">
        <f>'2. Toimintakate'!N184+'3. Verotulot'!BE184+'4. Valtionosuudet'!BQ184</f>
        <v>-132.8800124462623</v>
      </c>
      <c r="N184" s="41">
        <f>'2. Toimintakate'!O184+'3. Verotulot'!BJ184+'4. Valtionosuudet'!BY184</f>
        <v>29.636647124228148</v>
      </c>
      <c r="O184" s="41">
        <f>'2. Toimintakate'!P184+'3. Verotulot'!BO184+'4. Valtionosuudet'!CE184</f>
        <v>253.58551243367583</v>
      </c>
      <c r="P184" s="41">
        <f>'2. Toimintakate'!Q184+'3. Verotulot'!BT184+'4. Valtionosuudet'!CK184</f>
        <v>1252.0009105546042</v>
      </c>
      <c r="T184" s="34">
        <v>563</v>
      </c>
      <c r="U184" s="88" t="s">
        <v>498</v>
      </c>
      <c r="V184" s="41" t="e">
        <f>C184/'1. Väestöennuste'!E184*1000</f>
        <v>#REF!</v>
      </c>
      <c r="W184" s="41">
        <f>D184/'1. Väestöennuste'!F184*1000</f>
        <v>270.69470322065473</v>
      </c>
      <c r="X184" s="41">
        <f>E184/'1. Väestöennuste'!G184*1000</f>
        <v>360.94753747323341</v>
      </c>
      <c r="Y184" s="41">
        <f>F184/'1. Väestöennuste'!H184*1000</f>
        <v>-38.761776581426645</v>
      </c>
      <c r="Z184" s="41">
        <f>G184/'1. Väestöennuste'!I184*1000</f>
        <v>-97.832052689352352</v>
      </c>
      <c r="AA184" s="41">
        <f>H184/'1. Väestöennuste'!J184*1000</f>
        <v>636.13404173750928</v>
      </c>
      <c r="AB184" s="41">
        <f>I184/'1. Väestöennuste'!K184*1000</f>
        <v>70.425695902324421</v>
      </c>
      <c r="AC184" s="41">
        <f>J184/'1. Väestöennuste'!L184*1000</f>
        <v>-99.51763602585973</v>
      </c>
      <c r="AD184" s="41">
        <f>K184/'1. Väestöennuste'!M184*1000</f>
        <v>430.40844053901401</v>
      </c>
      <c r="AE184" s="41">
        <f>L184/'1. Väestöennuste'!N184*1000</f>
        <v>344.22200320919211</v>
      </c>
      <c r="AF184" s="41">
        <f>M184/'1. Väestöennuste'!O184*1000</f>
        <v>-19.709286924690346</v>
      </c>
      <c r="AG184" s="41">
        <f>N184/'1. Väestöennuste'!P184*1000</f>
        <v>4.4479434375248612</v>
      </c>
      <c r="AH184" s="41">
        <f>O184/'1. Väestöennuste'!Q184*1000</f>
        <v>38.503721900041882</v>
      </c>
      <c r="AI184" s="41">
        <f>P184/'1. Väestöennuste'!R184*1000</f>
        <v>192.23106257555722</v>
      </c>
    </row>
    <row r="185" spans="1:35" x14ac:dyDescent="0.2">
      <c r="A185" s="34">
        <v>564</v>
      </c>
      <c r="B185" s="88" t="s">
        <v>499</v>
      </c>
      <c r="C185" s="41" t="e">
        <f>'2. Toimintakate'!D185+'3. Verotulot'!G185+'4. Valtionosuudet'!#REF!</f>
        <v>#REF!</v>
      </c>
      <c r="D185" s="41">
        <f>'2. Toimintakate'!E185+'3. Verotulot'!L185+'4. Valtionosuudet'!H185</f>
        <v>67831</v>
      </c>
      <c r="E185" s="41">
        <f>'2. Toimintakate'!F185+'3. Verotulot'!Q185+'4. Valtionosuudet'!N185</f>
        <v>91037</v>
      </c>
      <c r="F185" s="41">
        <f>'2. Toimintakate'!G185+'3. Verotulot'!V185+'4. Valtionosuudet'!T185</f>
        <v>55543</v>
      </c>
      <c r="G185" s="41">
        <f>'2. Toimintakate'!H185+'3. Verotulot'!AA185+'4. Valtionosuudet'!Z185</f>
        <v>26853</v>
      </c>
      <c r="H185" s="41">
        <f>'2. Toimintakate'!I185+'3. Verotulot'!AF185+'4. Valtionosuudet'!AG185</f>
        <v>89931.374998799816</v>
      </c>
      <c r="I185" s="41">
        <f>'2. Toimintakate'!J185+'3. Verotulot'!AK185+'4. Valtionosuudet'!AN185</f>
        <v>102875.61551061994</v>
      </c>
      <c r="J185" s="41">
        <f>'2. Toimintakate'!K185+'3. Verotulot'!AP185+'4. Valtionosuudet'!AU185</f>
        <v>234732.8699428541</v>
      </c>
      <c r="K185" s="41">
        <f>'2. Toimintakate'!L185+'3. Verotulot'!AU185+'4. Valtionosuudet'!BC185</f>
        <v>77436.970291787133</v>
      </c>
      <c r="L185" s="41">
        <f>'2. Toimintakate'!M185+'3. Verotulot'!AZ185+'4. Valtionosuudet'!BK185</f>
        <v>61376.142287754483</v>
      </c>
      <c r="M185" s="41">
        <f>'2. Toimintakate'!N185+'3. Verotulot'!BE185+'4. Valtionosuudet'!BQ185</f>
        <v>17459.447653728537</v>
      </c>
      <c r="N185" s="41">
        <f>'2. Toimintakate'!O185+'3. Verotulot'!BJ185+'4. Valtionosuudet'!BY185</f>
        <v>29995.85588961796</v>
      </c>
      <c r="O185" s="41">
        <f>'2. Toimintakate'!P185+'3. Verotulot'!BO185+'4. Valtionosuudet'!CE185</f>
        <v>33644.962959547207</v>
      </c>
      <c r="P185" s="41">
        <f>'2. Toimintakate'!Q185+'3. Verotulot'!BT185+'4. Valtionosuudet'!CK185</f>
        <v>42510.419866522687</v>
      </c>
      <c r="T185" s="34">
        <v>564</v>
      </c>
      <c r="U185" s="88" t="s">
        <v>499</v>
      </c>
      <c r="V185" s="41" t="e">
        <f>C185/'1. Väestöennuste'!E185*1000</f>
        <v>#REF!</v>
      </c>
      <c r="W185" s="41">
        <f>D185/'1. Väestöennuste'!F185*1000</f>
        <v>338.26536209768312</v>
      </c>
      <c r="X185" s="41">
        <f>E185/'1. Väestöennuste'!G185*1000</f>
        <v>451.10252217432242</v>
      </c>
      <c r="Y185" s="41">
        <f>F185/'1. Väestöennuste'!H185*1000</f>
        <v>272.84874267440205</v>
      </c>
      <c r="Z185" s="41">
        <f>G185/'1. Väestöennuste'!I185*1000</f>
        <v>130.67852780440802</v>
      </c>
      <c r="AA185" s="41">
        <f>H185/'1. Väestöennuste'!J185*1000</f>
        <v>433.76586261702437</v>
      </c>
      <c r="AB185" s="41">
        <f>I185/'1. Väestöennuste'!K185*1000</f>
        <v>490.93354606095863</v>
      </c>
      <c r="AC185" s="41">
        <f>J185/'1. Väestöennuste'!L185*1000</f>
        <v>1108.0249515825219</v>
      </c>
      <c r="AD185" s="41">
        <f>K185/'1. Väestöennuste'!M185*1000</f>
        <v>360.78781124890924</v>
      </c>
      <c r="AE185" s="41">
        <f>L185/'1. Väestöennuste'!N185*1000</f>
        <v>285.60991315644605</v>
      </c>
      <c r="AF185" s="41">
        <f>M185/'1. Väestöennuste'!O185*1000</f>
        <v>80.643727528873015</v>
      </c>
      <c r="AG185" s="41">
        <f>N185/'1. Väestöennuste'!P185*1000</f>
        <v>137.58430904612445</v>
      </c>
      <c r="AH185" s="41">
        <f>O185/'1. Väestöennuste'!Q185*1000</f>
        <v>153.30375985139932</v>
      </c>
      <c r="AI185" s="41">
        <f>P185/'1. Väestöennuste'!R185*1000</f>
        <v>192.4881020186948</v>
      </c>
    </row>
    <row r="186" spans="1:35" x14ac:dyDescent="0.2">
      <c r="A186" s="34">
        <v>576</v>
      </c>
      <c r="B186" s="88" t="s">
        <v>500</v>
      </c>
      <c r="C186" s="41" t="e">
        <f>'2. Toimintakate'!D186+'3. Verotulot'!G186+'4. Valtionosuudet'!#REF!</f>
        <v>#REF!</v>
      </c>
      <c r="D186" s="41">
        <f>'2. Toimintakate'!E186+'3. Verotulot'!L186+'4. Valtionosuudet'!H186</f>
        <v>1474</v>
      </c>
      <c r="E186" s="41">
        <f>'2. Toimintakate'!F186+'3. Verotulot'!Q186+'4. Valtionosuudet'!N186</f>
        <v>1999</v>
      </c>
      <c r="F186" s="41">
        <f>'2. Toimintakate'!G186+'3. Verotulot'!V186+'4. Valtionosuudet'!T186</f>
        <v>1152</v>
      </c>
      <c r="G186" s="41">
        <f>'2. Toimintakate'!H186+'3. Verotulot'!AA186+'4. Valtionosuudet'!Z186</f>
        <v>732</v>
      </c>
      <c r="H186" s="41">
        <f>'2. Toimintakate'!I186+'3. Verotulot'!AF186+'4. Valtionosuudet'!AG186</f>
        <v>3346.4762212534388</v>
      </c>
      <c r="I186" s="41">
        <f>'2. Toimintakate'!J186+'3. Verotulot'!AK186+'4. Valtionosuudet'!AN186</f>
        <v>2127.1386607483309</v>
      </c>
      <c r="J186" s="41">
        <f>'2. Toimintakate'!K186+'3. Verotulot'!AP186+'4. Valtionosuudet'!AU186</f>
        <v>2711.7131712124574</v>
      </c>
      <c r="K186" s="41">
        <f>'2. Toimintakate'!L186+'3. Verotulot'!AU186+'4. Valtionosuudet'!BC186</f>
        <v>1247.0972786967832</v>
      </c>
      <c r="L186" s="41">
        <f>'2. Toimintakate'!M186+'3. Verotulot'!AZ186+'4. Valtionosuudet'!BK186</f>
        <v>1014.9908518348916</v>
      </c>
      <c r="M186" s="41">
        <f>'2. Toimintakate'!N186+'3. Verotulot'!BE186+'4. Valtionosuudet'!BQ186</f>
        <v>346.43941191380281</v>
      </c>
      <c r="N186" s="41">
        <f>'2. Toimintakate'!O186+'3. Verotulot'!BJ186+'4. Valtionosuudet'!BY186</f>
        <v>273.4544941037725</v>
      </c>
      <c r="O186" s="41">
        <f>'2. Toimintakate'!P186+'3. Verotulot'!BO186+'4. Valtionosuudet'!CE186</f>
        <v>149.10914959675392</v>
      </c>
      <c r="P186" s="41">
        <f>'2. Toimintakate'!Q186+'3. Verotulot'!BT186+'4. Valtionosuudet'!CK186</f>
        <v>445.17126838002241</v>
      </c>
      <c r="T186" s="34">
        <v>576</v>
      </c>
      <c r="U186" s="88" t="s">
        <v>500</v>
      </c>
      <c r="V186" s="41" t="e">
        <f>C186/'1. Väestöennuste'!E186*1000</f>
        <v>#REF!</v>
      </c>
      <c r="W186" s="41">
        <f>D186/'1. Väestöennuste'!F186*1000</f>
        <v>479.66156849983724</v>
      </c>
      <c r="X186" s="41">
        <f>E186/'1. Väestöennuste'!G186*1000</f>
        <v>660.389824909151</v>
      </c>
      <c r="Y186" s="41">
        <f>F186/'1. Väestöennuste'!H186*1000</f>
        <v>388.79514006074925</v>
      </c>
      <c r="Z186" s="41">
        <f>G186/'1. Väestöennuste'!I186*1000</f>
        <v>252.7624309392265</v>
      </c>
      <c r="AA186" s="41">
        <f>H186/'1. Väestöennuste'!J186*1000</f>
        <v>1169.6875991798108</v>
      </c>
      <c r="AB186" s="41">
        <f>I186/'1. Väestöennuste'!K186*1000</f>
        <v>756.18153599300774</v>
      </c>
      <c r="AC186" s="41">
        <f>J186/'1. Väestöennuste'!L186*1000</f>
        <v>986.07751680452998</v>
      </c>
      <c r="AD186" s="41">
        <f>K186/'1. Väestöennuste'!M186*1000</f>
        <v>457.48249401936289</v>
      </c>
      <c r="AE186" s="41">
        <f>L186/'1. Väestöennuste'!N186*1000</f>
        <v>378.72792978913867</v>
      </c>
      <c r="AF186" s="41">
        <f>M186/'1. Väestöennuste'!O186*1000</f>
        <v>131.12771079250675</v>
      </c>
      <c r="AG186" s="41">
        <f>N186/'1. Väestöennuste'!P186*1000</f>
        <v>104.93265314803241</v>
      </c>
      <c r="AH186" s="41">
        <f>O186/'1. Väestöennuste'!Q186*1000</f>
        <v>57.974008396871668</v>
      </c>
      <c r="AI186" s="41">
        <f>P186/'1. Väestöennuste'!R186*1000</f>
        <v>175.33330775109192</v>
      </c>
    </row>
    <row r="187" spans="1:35" x14ac:dyDescent="0.2">
      <c r="A187" s="34">
        <v>577</v>
      </c>
      <c r="B187" s="88" t="s">
        <v>501</v>
      </c>
      <c r="C187" s="41" t="e">
        <f>'2. Toimintakate'!D187+'3. Verotulot'!G187+'4. Valtionosuudet'!#REF!</f>
        <v>#REF!</v>
      </c>
      <c r="D187" s="41">
        <f>'2. Toimintakate'!E187+'3. Verotulot'!L187+'4. Valtionosuudet'!H187</f>
        <v>2312</v>
      </c>
      <c r="E187" s="41">
        <f>'2. Toimintakate'!F187+'3. Verotulot'!Q187+'4. Valtionosuudet'!N187</f>
        <v>4701</v>
      </c>
      <c r="F187" s="41">
        <f>'2. Toimintakate'!G187+'3. Verotulot'!V187+'4. Valtionosuudet'!T187</f>
        <v>-116</v>
      </c>
      <c r="G187" s="41">
        <f>'2. Toimintakate'!H187+'3. Verotulot'!AA187+'4. Valtionosuudet'!Z187</f>
        <v>-563</v>
      </c>
      <c r="H187" s="41">
        <f>'2. Toimintakate'!I187+'3. Verotulot'!AF187+'4. Valtionosuudet'!AG187</f>
        <v>3484.7374185103799</v>
      </c>
      <c r="I187" s="41">
        <f>'2. Toimintakate'!J187+'3. Verotulot'!AK187+'4. Valtionosuudet'!AN187</f>
        <v>1246.683481426975</v>
      </c>
      <c r="J187" s="41">
        <f>'2. Toimintakate'!K187+'3. Verotulot'!AP187+'4. Valtionosuudet'!AU187</f>
        <v>2891.4297048924236</v>
      </c>
      <c r="K187" s="41">
        <f>'2. Toimintakate'!L187+'3. Verotulot'!AU187+'4. Valtionosuudet'!BC187</f>
        <v>5665.2074830323072</v>
      </c>
      <c r="L187" s="41">
        <f>'2. Toimintakate'!M187+'3. Verotulot'!AZ187+'4. Valtionosuudet'!BK187</f>
        <v>1651.278974087234</v>
      </c>
      <c r="M187" s="41">
        <f>'2. Toimintakate'!N187+'3. Verotulot'!BE187+'4. Valtionosuudet'!BQ187</f>
        <v>1978.4783941307378</v>
      </c>
      <c r="N187" s="41">
        <f>'2. Toimintakate'!O187+'3. Verotulot'!BJ187+'4. Valtionosuudet'!BY187</f>
        <v>2827.591136401983</v>
      </c>
      <c r="O187" s="41">
        <f>'2. Toimintakate'!P187+'3. Verotulot'!BO187+'4. Valtionosuudet'!CE187</f>
        <v>2939.4044695969424</v>
      </c>
      <c r="P187" s="41">
        <f>'2. Toimintakate'!Q187+'3. Verotulot'!BT187+'4. Valtionosuudet'!CK187</f>
        <v>3204.4895303753055</v>
      </c>
      <c r="T187" s="34">
        <v>577</v>
      </c>
      <c r="U187" s="88" t="s">
        <v>501</v>
      </c>
      <c r="V187" s="41" t="e">
        <f>C187/'1. Väestöennuste'!E187*1000</f>
        <v>#REF!</v>
      </c>
      <c r="W187" s="41">
        <f>D187/'1. Väestöennuste'!F187*1000</f>
        <v>215.81256417436759</v>
      </c>
      <c r="X187" s="41">
        <f>E187/'1. Väestöennuste'!G187*1000</f>
        <v>438.11742777260019</v>
      </c>
      <c r="Y187" s="41">
        <f>F187/'1. Väestöennuste'!H187*1000</f>
        <v>-10.709010339734121</v>
      </c>
      <c r="Z187" s="41">
        <f>G187/'1. Väestöennuste'!I187*1000</f>
        <v>-51.889400921658989</v>
      </c>
      <c r="AA187" s="41">
        <f>H187/'1. Väestöennuste'!J187*1000</f>
        <v>319.05671291982969</v>
      </c>
      <c r="AB187" s="41">
        <f>I187/'1. Väestöennuste'!K187*1000</f>
        <v>112.91400067267232</v>
      </c>
      <c r="AC187" s="41">
        <f>J187/'1. Väestöennuste'!L187*1000</f>
        <v>259.60044037461154</v>
      </c>
      <c r="AD187" s="41">
        <f>K187/'1. Väestöennuste'!M187*1000</f>
        <v>504.20144918407863</v>
      </c>
      <c r="AE187" s="41">
        <f>L187/'1. Väestöennuste'!N187*1000</f>
        <v>148.45625947021793</v>
      </c>
      <c r="AF187" s="41">
        <f>M187/'1. Väestöennuste'!O187*1000</f>
        <v>177.07673804087869</v>
      </c>
      <c r="AG187" s="41">
        <f>N187/'1. Väestöennuste'!P187*1000</f>
        <v>252.01347026755644</v>
      </c>
      <c r="AH187" s="41">
        <f>O187/'1. Väestöennuste'!Q187*1000</f>
        <v>260.97882177012718</v>
      </c>
      <c r="AI187" s="41">
        <f>P187/'1. Väestöennuste'!R187*1000</f>
        <v>283.5831442810005</v>
      </c>
    </row>
    <row r="188" spans="1:35" x14ac:dyDescent="0.2">
      <c r="A188" s="34">
        <v>578</v>
      </c>
      <c r="B188" s="88" t="s">
        <v>502</v>
      </c>
      <c r="C188" s="41" t="e">
        <f>'2. Toimintakate'!D188+'3. Verotulot'!G188+'4. Valtionosuudet'!#REF!</f>
        <v>#REF!</v>
      </c>
      <c r="D188" s="41">
        <f>'2. Toimintakate'!E188+'3. Verotulot'!L188+'4. Valtionosuudet'!H188</f>
        <v>1768</v>
      </c>
      <c r="E188" s="41">
        <f>'2. Toimintakate'!F188+'3. Verotulot'!Q188+'4. Valtionosuudet'!N188</f>
        <v>767</v>
      </c>
      <c r="F188" s="41">
        <f>'2. Toimintakate'!G188+'3. Verotulot'!V188+'4. Valtionosuudet'!T188</f>
        <v>369</v>
      </c>
      <c r="G188" s="41">
        <f>'2. Toimintakate'!H188+'3. Verotulot'!AA188+'4. Valtionosuudet'!Z188</f>
        <v>249</v>
      </c>
      <c r="H188" s="41">
        <f>'2. Toimintakate'!I188+'3. Verotulot'!AF188+'4. Valtionosuudet'!AG188</f>
        <v>404.8816978333507</v>
      </c>
      <c r="I188" s="41">
        <f>'2. Toimintakate'!J188+'3. Verotulot'!AK188+'4. Valtionosuudet'!AN188</f>
        <v>1207.5256365186669</v>
      </c>
      <c r="J188" s="41">
        <f>'2. Toimintakate'!K188+'3. Verotulot'!AP188+'4. Valtionosuudet'!AU188</f>
        <v>1853.3612559676785</v>
      </c>
      <c r="K188" s="41">
        <f>'2. Toimintakate'!L188+'3. Verotulot'!AU188+'4. Valtionosuudet'!BC188</f>
        <v>913.01910134545915</v>
      </c>
      <c r="L188" s="41">
        <f>'2. Toimintakate'!M188+'3. Verotulot'!AZ188+'4. Valtionosuudet'!BK188</f>
        <v>1184.2993532215451</v>
      </c>
      <c r="M188" s="41">
        <f>'2. Toimintakate'!N188+'3. Verotulot'!BE188+'4. Valtionosuudet'!BQ188</f>
        <v>79.568198620876956</v>
      </c>
      <c r="N188" s="41">
        <f>'2. Toimintakate'!O188+'3. Verotulot'!BJ188+'4. Valtionosuudet'!BY188</f>
        <v>-194.00619510470597</v>
      </c>
      <c r="O188" s="41">
        <f>'2. Toimintakate'!P188+'3. Verotulot'!BO188+'4. Valtionosuudet'!CE188</f>
        <v>-233.86049487746595</v>
      </c>
      <c r="P188" s="41">
        <f>'2. Toimintakate'!Q188+'3. Verotulot'!BT188+'4. Valtionosuudet'!CK188</f>
        <v>-93.357927259768985</v>
      </c>
      <c r="T188" s="34">
        <v>578</v>
      </c>
      <c r="U188" s="88" t="s">
        <v>502</v>
      </c>
      <c r="V188" s="41" t="e">
        <f>C188/'1. Väestöennuste'!E188*1000</f>
        <v>#REF!</v>
      </c>
      <c r="W188" s="41">
        <f>D188/'1. Väestöennuste'!F188*1000</f>
        <v>506.44514465769117</v>
      </c>
      <c r="X188" s="41">
        <f>E188/'1. Väestöennuste'!G188*1000</f>
        <v>223.28966521106258</v>
      </c>
      <c r="Y188" s="41">
        <f>F188/'1. Väestöennuste'!H188*1000</f>
        <v>110.61151079136691</v>
      </c>
      <c r="Z188" s="41">
        <f>G188/'1. Väestöennuste'!I188*1000</f>
        <v>76.076993583868003</v>
      </c>
      <c r="AA188" s="41">
        <f>H188/'1. Väestöennuste'!J188*1000</f>
        <v>125.15662993302959</v>
      </c>
      <c r="AB188" s="41">
        <f>I188/'1. Väestöennuste'!K188*1000</f>
        <v>379.36714939323497</v>
      </c>
      <c r="AC188" s="41">
        <f>J188/'1. Väestöennuste'!L188*1000</f>
        <v>597.85846966699307</v>
      </c>
      <c r="AD188" s="41">
        <f>K188/'1. Väestöennuste'!M188*1000</f>
        <v>300.63190692968686</v>
      </c>
      <c r="AE188" s="41">
        <f>L188/'1. Väestöennuste'!N188*1000</f>
        <v>388.04041717612881</v>
      </c>
      <c r="AF188" s="41">
        <f>M188/'1. Väestöennuste'!O188*1000</f>
        <v>26.417064615164993</v>
      </c>
      <c r="AG188" s="41">
        <f>N188/'1. Väestöennuste'!P188*1000</f>
        <v>-65.234093848253522</v>
      </c>
      <c r="AH188" s="41">
        <f>O188/'1. Väestöennuste'!Q188*1000</f>
        <v>-79.598534675788272</v>
      </c>
      <c r="AI188" s="41">
        <f>P188/'1. Väestöennuste'!R188*1000</f>
        <v>-32.159120654415773</v>
      </c>
    </row>
    <row r="189" spans="1:35" x14ac:dyDescent="0.2">
      <c r="A189" s="34">
        <v>580</v>
      </c>
      <c r="B189" s="88" t="s">
        <v>503</v>
      </c>
      <c r="C189" s="41" t="e">
        <f>'2. Toimintakate'!D189+'3. Verotulot'!G189+'4. Valtionosuudet'!#REF!</f>
        <v>#REF!</v>
      </c>
      <c r="D189" s="41">
        <f>'2. Toimintakate'!E189+'3. Verotulot'!L189+'4. Valtionosuudet'!H189</f>
        <v>3178</v>
      </c>
      <c r="E189" s="41">
        <f>'2. Toimintakate'!F189+'3. Verotulot'!Q189+'4. Valtionosuudet'!N189</f>
        <v>3137</v>
      </c>
      <c r="F189" s="41">
        <f>'2. Toimintakate'!G189+'3. Verotulot'!V189+'4. Valtionosuudet'!T189</f>
        <v>3369</v>
      </c>
      <c r="G189" s="41">
        <f>'2. Toimintakate'!H189+'3. Verotulot'!AA189+'4. Valtionosuudet'!Z189</f>
        <v>-214</v>
      </c>
      <c r="H189" s="41">
        <f>'2. Toimintakate'!I189+'3. Verotulot'!AF189+'4. Valtionosuudet'!AG189</f>
        <v>364.84258541340387</v>
      </c>
      <c r="I189" s="41">
        <f>'2. Toimintakate'!J189+'3. Verotulot'!AK189+'4. Valtionosuudet'!AN189</f>
        <v>2107.5044862714312</v>
      </c>
      <c r="J189" s="41">
        <f>'2. Toimintakate'!K189+'3. Verotulot'!AP189+'4. Valtionosuudet'!AU189</f>
        <v>1255.9698385636038</v>
      </c>
      <c r="K189" s="41">
        <f>'2. Toimintakate'!L189+'3. Verotulot'!AU189+'4. Valtionosuudet'!BC189</f>
        <v>1807.8396862798331</v>
      </c>
      <c r="L189" s="41">
        <f>'2. Toimintakate'!M189+'3. Verotulot'!AZ189+'4. Valtionosuudet'!BK189</f>
        <v>1388.1124063762206</v>
      </c>
      <c r="M189" s="41">
        <f>'2. Toimintakate'!N189+'3. Verotulot'!BE189+'4. Valtionosuudet'!BQ189</f>
        <v>861.64958582350664</v>
      </c>
      <c r="N189" s="41">
        <f>'2. Toimintakate'!O189+'3. Verotulot'!BJ189+'4. Valtionosuudet'!BY189</f>
        <v>653.48915810482322</v>
      </c>
      <c r="O189" s="41">
        <f>'2. Toimintakate'!P189+'3. Verotulot'!BO189+'4. Valtionosuudet'!CE189</f>
        <v>513.66029652375983</v>
      </c>
      <c r="P189" s="41">
        <f>'2. Toimintakate'!Q189+'3. Verotulot'!BT189+'4. Valtionosuudet'!CK189</f>
        <v>1102.8990372552298</v>
      </c>
      <c r="T189" s="34">
        <v>580</v>
      </c>
      <c r="U189" s="88" t="s">
        <v>503</v>
      </c>
      <c r="V189" s="41" t="e">
        <f>C189/'1. Väestöennuste'!E189*1000</f>
        <v>#REF!</v>
      </c>
      <c r="W189" s="41">
        <f>D189/'1. Väestöennuste'!F189*1000</f>
        <v>619.97658993367145</v>
      </c>
      <c r="X189" s="41">
        <f>E189/'1. Väestöennuste'!G189*1000</f>
        <v>631.3141477158382</v>
      </c>
      <c r="Y189" s="41">
        <f>F189/'1. Väestöennuste'!H189*1000</f>
        <v>695.78686493184637</v>
      </c>
      <c r="Z189" s="41">
        <f>G189/'1. Väestöennuste'!I189*1000</f>
        <v>-45.204900718208698</v>
      </c>
      <c r="AA189" s="41">
        <f>H189/'1. Väestöennuste'!J189*1000</f>
        <v>78.376495255296206</v>
      </c>
      <c r="AB189" s="41">
        <f>I189/'1. Väestöennuste'!K189*1000</f>
        <v>461.46364928211761</v>
      </c>
      <c r="AC189" s="41">
        <f>J189/'1. Väestöennuste'!L189*1000</f>
        <v>283.00356885164575</v>
      </c>
      <c r="AD189" s="41">
        <f>K189/'1. Väestöennuste'!M189*1000</f>
        <v>414.07230560692466</v>
      </c>
      <c r="AE189" s="41">
        <f>L189/'1. Väestöennuste'!N189*1000</f>
        <v>323.19264409225161</v>
      </c>
      <c r="AF189" s="41">
        <f>M189/'1. Väestöennuste'!O189*1000</f>
        <v>204.2307622241068</v>
      </c>
      <c r="AG189" s="41">
        <f>N189/'1. Väestöennuste'!P189*1000</f>
        <v>157.69526016043031</v>
      </c>
      <c r="AH189" s="41">
        <f>O189/'1. Väestöennuste'!Q189*1000</f>
        <v>126.20646106234884</v>
      </c>
      <c r="AI189" s="41">
        <f>P189/'1. Väestöennuste'!R189*1000</f>
        <v>275.58696583089198</v>
      </c>
    </row>
    <row r="190" spans="1:35" x14ac:dyDescent="0.2">
      <c r="A190" s="34">
        <v>581</v>
      </c>
      <c r="B190" s="88" t="s">
        <v>504</v>
      </c>
      <c r="C190" s="41" t="e">
        <f>'2. Toimintakate'!D190+'3. Verotulot'!G190+'4. Valtionosuudet'!#REF!</f>
        <v>#REF!</v>
      </c>
      <c r="D190" s="41">
        <f>'2. Toimintakate'!E190+'3. Verotulot'!L190+'4. Valtionosuudet'!H190</f>
        <v>2427</v>
      </c>
      <c r="E190" s="41">
        <f>'2. Toimintakate'!F190+'3. Verotulot'!Q190+'4. Valtionosuudet'!N190</f>
        <v>3118</v>
      </c>
      <c r="F190" s="41">
        <f>'2. Toimintakate'!G190+'3. Verotulot'!V190+'4. Valtionosuudet'!T190</f>
        <v>3448</v>
      </c>
      <c r="G190" s="41">
        <f>'2. Toimintakate'!H190+'3. Verotulot'!AA190+'4. Valtionosuudet'!Z190</f>
        <v>1928</v>
      </c>
      <c r="H190" s="41">
        <f>'2. Toimintakate'!I190+'3. Verotulot'!AF190+'4. Valtionosuudet'!AG190</f>
        <v>3045.7320210732178</v>
      </c>
      <c r="I190" s="41">
        <f>'2. Toimintakate'!J190+'3. Verotulot'!AK190+'4. Valtionosuudet'!AN190</f>
        <v>2441.3976418064885</v>
      </c>
      <c r="J190" s="41">
        <f>'2. Toimintakate'!K190+'3. Verotulot'!AP190+'4. Valtionosuudet'!AU190</f>
        <v>920.08773116284647</v>
      </c>
      <c r="K190" s="41">
        <f>'2. Toimintakate'!L190+'3. Verotulot'!AU190+'4. Valtionosuudet'!BC190</f>
        <v>5518.8261291228291</v>
      </c>
      <c r="L190" s="41">
        <f>'2. Toimintakate'!M190+'3. Verotulot'!AZ190+'4. Valtionosuudet'!BK190</f>
        <v>1005.3370044799753</v>
      </c>
      <c r="M190" s="41">
        <f>'2. Toimintakate'!N190+'3. Verotulot'!BE190+'4. Valtionosuudet'!BQ190</f>
        <v>1675.6139336612255</v>
      </c>
      <c r="N190" s="41">
        <f>'2. Toimintakate'!O190+'3. Verotulot'!BJ190+'4. Valtionosuudet'!BY190</f>
        <v>1951.8097968345141</v>
      </c>
      <c r="O190" s="41">
        <f>'2. Toimintakate'!P190+'3. Verotulot'!BO190+'4. Valtionosuudet'!CE190</f>
        <v>1991.1199094782501</v>
      </c>
      <c r="P190" s="41">
        <f>'2. Toimintakate'!Q190+'3. Verotulot'!BT190+'4. Valtionosuudet'!CK190</f>
        <v>2893.2081004522443</v>
      </c>
      <c r="T190" s="34">
        <v>581</v>
      </c>
      <c r="U190" s="88" t="s">
        <v>504</v>
      </c>
      <c r="V190" s="41" t="e">
        <f>C190/'1. Väestöennuste'!E190*1000</f>
        <v>#REF!</v>
      </c>
      <c r="W190" s="41">
        <f>D190/'1. Väestöennuste'!F190*1000</f>
        <v>362.67184698147042</v>
      </c>
      <c r="X190" s="41">
        <f>E190/'1. Väestöennuste'!G190*1000</f>
        <v>475.16001219140509</v>
      </c>
      <c r="Y190" s="41">
        <f>F190/'1. Väestöennuste'!H190*1000</f>
        <v>533.00355541814815</v>
      </c>
      <c r="Z190" s="41">
        <f>G190/'1. Väestöennuste'!I190*1000</f>
        <v>301.06183635227984</v>
      </c>
      <c r="AA190" s="41">
        <f>H190/'1. Väestöennuste'!J190*1000</f>
        <v>479.49181691958722</v>
      </c>
      <c r="AB190" s="41">
        <f>I190/'1. Väestöennuste'!K190*1000</f>
        <v>388.38651635483433</v>
      </c>
      <c r="AC190" s="41">
        <f>J190/'1. Väestöennuste'!L190*1000</f>
        <v>147.44995691712285</v>
      </c>
      <c r="AD190" s="41">
        <f>K190/'1. Väestöennuste'!M190*1000</f>
        <v>901.32714831338058</v>
      </c>
      <c r="AE190" s="41">
        <f>L190/'1. Väestöennuste'!N190*1000</f>
        <v>166.28134377770019</v>
      </c>
      <c r="AF190" s="41">
        <f>M190/'1. Väestöennuste'!O190*1000</f>
        <v>280.15615008547491</v>
      </c>
      <c r="AG190" s="41">
        <f>N190/'1. Väestöennuste'!P190*1000</f>
        <v>329.80902278379762</v>
      </c>
      <c r="AH190" s="41">
        <f>O190/'1. Väestöennuste'!Q190*1000</f>
        <v>340.0717181004697</v>
      </c>
      <c r="AI190" s="41">
        <f>P190/'1. Väestöennuste'!R190*1000</f>
        <v>499.34554719576187</v>
      </c>
    </row>
    <row r="191" spans="1:35" x14ac:dyDescent="0.2">
      <c r="A191" s="34">
        <v>583</v>
      </c>
      <c r="B191" s="88" t="s">
        <v>505</v>
      </c>
      <c r="C191" s="41" t="e">
        <f>'2. Toimintakate'!D191+'3. Verotulot'!G191+'4. Valtionosuudet'!#REF!</f>
        <v>#REF!</v>
      </c>
      <c r="D191" s="41">
        <f>'2. Toimintakate'!E191+'3. Verotulot'!L191+'4. Valtionosuudet'!H191</f>
        <v>726</v>
      </c>
      <c r="E191" s="41">
        <f>'2. Toimintakate'!F191+'3. Verotulot'!Q191+'4. Valtionosuudet'!N191</f>
        <v>780</v>
      </c>
      <c r="F191" s="41">
        <f>'2. Toimintakate'!G191+'3. Verotulot'!V191+'4. Valtionosuudet'!T191</f>
        <v>355</v>
      </c>
      <c r="G191" s="41">
        <f>'2. Toimintakate'!H191+'3. Verotulot'!AA191+'4. Valtionosuudet'!Z191</f>
        <v>-355</v>
      </c>
      <c r="H191" s="41">
        <f>'2. Toimintakate'!I191+'3. Verotulot'!AF191+'4. Valtionosuudet'!AG191</f>
        <v>614.32092759242278</v>
      </c>
      <c r="I191" s="41">
        <f>'2. Toimintakate'!J191+'3. Verotulot'!AK191+'4. Valtionosuudet'!AN191</f>
        <v>1211.3972990676039</v>
      </c>
      <c r="J191" s="41">
        <f>'2. Toimintakate'!K191+'3. Verotulot'!AP191+'4. Valtionosuudet'!AU191</f>
        <v>2359.5316480879674</v>
      </c>
      <c r="K191" s="41">
        <f>'2. Toimintakate'!L191+'3. Verotulot'!AU191+'4. Valtionosuudet'!BC191</f>
        <v>1072.8550090649787</v>
      </c>
      <c r="L191" s="41">
        <f>'2. Toimintakate'!M191+'3. Verotulot'!AZ191+'4. Valtionosuudet'!BK191</f>
        <v>1323.0582960928675</v>
      </c>
      <c r="M191" s="41">
        <f>'2. Toimintakate'!N191+'3. Verotulot'!BE191+'4. Valtionosuudet'!BQ191</f>
        <v>838.24074919743452</v>
      </c>
      <c r="N191" s="41">
        <f>'2. Toimintakate'!O191+'3. Verotulot'!BJ191+'4. Valtionosuudet'!BY191</f>
        <v>869.67109173403242</v>
      </c>
      <c r="O191" s="41">
        <f>'2. Toimintakate'!P191+'3. Verotulot'!BO191+'4. Valtionosuudet'!CE191</f>
        <v>830.27124814607691</v>
      </c>
      <c r="P191" s="41">
        <f>'2. Toimintakate'!Q191+'3. Verotulot'!BT191+'4. Valtionosuudet'!CK191</f>
        <v>952.3246070265634</v>
      </c>
      <c r="T191" s="34">
        <v>583</v>
      </c>
      <c r="U191" s="88" t="s">
        <v>505</v>
      </c>
      <c r="V191" s="41" t="e">
        <f>C191/'1. Väestöennuste'!E191*1000</f>
        <v>#REF!</v>
      </c>
      <c r="W191" s="41">
        <f>D191/'1. Väestöennuste'!F191*1000</f>
        <v>763.4069400630915</v>
      </c>
      <c r="X191" s="41">
        <f>E191/'1. Väestöennuste'!G191*1000</f>
        <v>814.19624217118997</v>
      </c>
      <c r="Y191" s="41">
        <f>F191/'1. Väestöennuste'!H191*1000</f>
        <v>372.11740041928721</v>
      </c>
      <c r="Z191" s="41">
        <f>G191/'1. Väestöennuste'!I191*1000</f>
        <v>-378.06176783812566</v>
      </c>
      <c r="AA191" s="41">
        <f>H191/'1. Väestöennuste'!J191*1000</f>
        <v>659.85062040002447</v>
      </c>
      <c r="AB191" s="41">
        <f>I191/'1. Väestöennuste'!K191*1000</f>
        <v>1311.036037951952</v>
      </c>
      <c r="AC191" s="41">
        <f>J191/'1. Väestöennuste'!L191*1000</f>
        <v>2491.5856896388254</v>
      </c>
      <c r="AD191" s="41">
        <f>K191/'1. Väestöennuste'!M191*1000</f>
        <v>1176.3761064308978</v>
      </c>
      <c r="AE191" s="41">
        <f>L191/'1. Väestöennuste'!N191*1000</f>
        <v>1444.3867861275846</v>
      </c>
      <c r="AF191" s="41">
        <f>M191/'1. Väestöennuste'!O191*1000</f>
        <v>919.12362850595889</v>
      </c>
      <c r="AG191" s="41">
        <f>N191/'1. Väestöennuste'!P191*1000</f>
        <v>955.68251838904666</v>
      </c>
      <c r="AH191" s="41">
        <f>O191/'1. Väestöennuste'!Q191*1000</f>
        <v>915.40380170460526</v>
      </c>
      <c r="AI191" s="41">
        <f>P191/'1. Väestöennuste'!R191*1000</f>
        <v>1056.9640477542323</v>
      </c>
    </row>
    <row r="192" spans="1:35" x14ac:dyDescent="0.2">
      <c r="A192" s="34">
        <v>584</v>
      </c>
      <c r="B192" s="88" t="s">
        <v>506</v>
      </c>
      <c r="C192" s="41" t="e">
        <f>'2. Toimintakate'!D192+'3. Verotulot'!G192+'4. Valtionosuudet'!#REF!</f>
        <v>#REF!</v>
      </c>
      <c r="D192" s="41">
        <f>'2. Toimintakate'!E192+'3. Verotulot'!L192+'4. Valtionosuudet'!H192</f>
        <v>1440</v>
      </c>
      <c r="E192" s="41">
        <f>'2. Toimintakate'!F192+'3. Verotulot'!Q192+'4. Valtionosuudet'!N192</f>
        <v>1221</v>
      </c>
      <c r="F192" s="41">
        <f>'2. Toimintakate'!G192+'3. Verotulot'!V192+'4. Valtionosuudet'!T192</f>
        <v>-22</v>
      </c>
      <c r="G192" s="41">
        <f>'2. Toimintakate'!H192+'3. Verotulot'!AA192+'4. Valtionosuudet'!Z192</f>
        <v>724</v>
      </c>
      <c r="H192" s="41">
        <f>'2. Toimintakate'!I192+'3. Verotulot'!AF192+'4. Valtionosuudet'!AG192</f>
        <v>2512.9511732844294</v>
      </c>
      <c r="I192" s="41">
        <f>'2. Toimintakate'!J192+'3. Verotulot'!AK192+'4. Valtionosuudet'!AN192</f>
        <v>2304.3308457933363</v>
      </c>
      <c r="J192" s="41">
        <f>'2. Toimintakate'!K192+'3. Verotulot'!AP192+'4. Valtionosuudet'!AU192</f>
        <v>820.8504402886083</v>
      </c>
      <c r="K192" s="41">
        <f>'2. Toimintakate'!L192+'3. Verotulot'!AU192+'4. Valtionosuudet'!BC192</f>
        <v>1151.0402151408007</v>
      </c>
      <c r="L192" s="41">
        <f>'2. Toimintakate'!M192+'3. Verotulot'!AZ192+'4. Valtionosuudet'!BK192</f>
        <v>1253.237791772799</v>
      </c>
      <c r="M192" s="41">
        <f>'2. Toimintakate'!N192+'3. Verotulot'!BE192+'4. Valtionosuudet'!BQ192</f>
        <v>75.539223619235599</v>
      </c>
      <c r="N192" s="41">
        <f>'2. Toimintakate'!O192+'3. Verotulot'!BJ192+'4. Valtionosuudet'!BY192</f>
        <v>-78.952862186048151</v>
      </c>
      <c r="O192" s="41">
        <f>'2. Toimintakate'!P192+'3. Verotulot'!BO192+'4. Valtionosuudet'!CE192</f>
        <v>-431.13775992628689</v>
      </c>
      <c r="P192" s="41">
        <f>'2. Toimintakate'!Q192+'3. Verotulot'!BT192+'4. Valtionosuudet'!CK192</f>
        <v>-225.96676449499864</v>
      </c>
      <c r="T192" s="34">
        <v>584</v>
      </c>
      <c r="U192" s="88" t="s">
        <v>506</v>
      </c>
      <c r="V192" s="41" t="e">
        <f>C192/'1. Väestöennuste'!E192*1000</f>
        <v>#REF!</v>
      </c>
      <c r="W192" s="41">
        <f>D192/'1. Väestöennuste'!F192*1000</f>
        <v>495.35603715170276</v>
      </c>
      <c r="X192" s="41">
        <f>E192/'1. Väestöennuste'!G192*1000</f>
        <v>426.92307692307691</v>
      </c>
      <c r="Y192" s="41">
        <f>F192/'1. Väestöennuste'!H192*1000</f>
        <v>-7.7876106194690271</v>
      </c>
      <c r="Z192" s="41">
        <f>G192/'1. Väestöennuste'!I192*1000</f>
        <v>262.41391808626315</v>
      </c>
      <c r="AA192" s="41">
        <f>H192/'1. Väestöennuste'!J192*1000</f>
        <v>928.65897017162945</v>
      </c>
      <c r="AB192" s="41">
        <f>I192/'1. Väestöennuste'!K192*1000</f>
        <v>861.11018153712121</v>
      </c>
      <c r="AC192" s="41">
        <f>J192/'1. Väestöennuste'!L192*1000</f>
        <v>309.40461375371592</v>
      </c>
      <c r="AD192" s="41">
        <f>K192/'1. Väestöennuste'!M192*1000</f>
        <v>446.48573124158287</v>
      </c>
      <c r="AE192" s="41">
        <f>L192/'1. Väestöennuste'!N192*1000</f>
        <v>500.89440118816907</v>
      </c>
      <c r="AF192" s="41">
        <f>M192/'1. Väestöennuste'!O192*1000</f>
        <v>30.844925936805062</v>
      </c>
      <c r="AG192" s="41">
        <f>N192/'1. Väestöennuste'!P192*1000</f>
        <v>-32.924462963322831</v>
      </c>
      <c r="AH192" s="41">
        <f>O192/'1. Väestöennuste'!Q192*1000</f>
        <v>-183.54097910867898</v>
      </c>
      <c r="AI192" s="41">
        <f>P192/'1. Väestöennuste'!R192*1000</f>
        <v>-98.161061900520693</v>
      </c>
    </row>
    <row r="193" spans="1:35" x14ac:dyDescent="0.2">
      <c r="A193" s="34">
        <v>588</v>
      </c>
      <c r="B193" s="88" t="s">
        <v>507</v>
      </c>
      <c r="C193" s="41" t="e">
        <f>'2. Toimintakate'!D193+'3. Verotulot'!G193+'4. Valtionosuudet'!#REF!</f>
        <v>#REF!</v>
      </c>
      <c r="D193" s="41">
        <f>'2. Toimintakate'!E193+'3. Verotulot'!L193+'4. Valtionosuudet'!H193</f>
        <v>677</v>
      </c>
      <c r="E193" s="41">
        <f>'2. Toimintakate'!F193+'3. Verotulot'!Q193+'4. Valtionosuudet'!N193</f>
        <v>715</v>
      </c>
      <c r="F193" s="41">
        <f>'2. Toimintakate'!G193+'3. Verotulot'!V193+'4. Valtionosuudet'!T193</f>
        <v>-637</v>
      </c>
      <c r="G193" s="41">
        <f>'2. Toimintakate'!H193+'3. Verotulot'!AA193+'4. Valtionosuudet'!Z193</f>
        <v>-574</v>
      </c>
      <c r="H193" s="41">
        <f>'2. Toimintakate'!I193+'3. Verotulot'!AF193+'4. Valtionosuudet'!AG193</f>
        <v>97.418416593513939</v>
      </c>
      <c r="I193" s="41">
        <f>'2. Toimintakate'!J193+'3. Verotulot'!AK193+'4. Valtionosuudet'!AN193</f>
        <v>-434.2086219759849</v>
      </c>
      <c r="J193" s="41">
        <f>'2. Toimintakate'!K193+'3. Verotulot'!AP193+'4. Valtionosuudet'!AU193</f>
        <v>-770.066383357831</v>
      </c>
      <c r="K193" s="41">
        <f>'2. Toimintakate'!L193+'3. Verotulot'!AU193+'4. Valtionosuudet'!BC193</f>
        <v>138.56952131035194</v>
      </c>
      <c r="L193" s="41">
        <f>'2. Toimintakate'!M193+'3. Verotulot'!AZ193+'4. Valtionosuudet'!BK193</f>
        <v>-506.60960893191668</v>
      </c>
      <c r="M193" s="41">
        <f>'2. Toimintakate'!N193+'3. Verotulot'!BE193+'4. Valtionosuudet'!BQ193</f>
        <v>0</v>
      </c>
      <c r="N193" s="41">
        <f>'2. Toimintakate'!O193+'3. Verotulot'!BJ193+'4. Valtionosuudet'!BY193</f>
        <v>0</v>
      </c>
      <c r="O193" s="41">
        <f>'2. Toimintakate'!P193+'3. Verotulot'!BO193+'4. Valtionosuudet'!CE193</f>
        <v>0</v>
      </c>
      <c r="P193" s="41">
        <f>'2. Toimintakate'!Q193+'3. Verotulot'!BT193+'4. Valtionosuudet'!CK193</f>
        <v>0</v>
      </c>
      <c r="T193" s="34">
        <v>588</v>
      </c>
      <c r="U193" s="88" t="s">
        <v>507</v>
      </c>
      <c r="V193" s="41" t="e">
        <f>C193/'1. Väestöennuste'!E193*1000</f>
        <v>#REF!</v>
      </c>
      <c r="W193" s="41">
        <f>D193/'1. Väestöennuste'!F193*1000</f>
        <v>376.94877505567933</v>
      </c>
      <c r="X193" s="41">
        <f>E193/'1. Väestöennuste'!G193*1000</f>
        <v>411.15583668775156</v>
      </c>
      <c r="Y193" s="41">
        <f>F193/'1. Väestöennuste'!H193*1000</f>
        <v>-371.86223000583772</v>
      </c>
      <c r="Z193" s="41">
        <f>G193/'1. Väestöennuste'!I193*1000</f>
        <v>-339.64497041420117</v>
      </c>
      <c r="AA193" s="41">
        <f>H193/'1. Väestöennuste'!J193*1000</f>
        <v>58.898679923527169</v>
      </c>
      <c r="AB193" s="41">
        <f>I193/'1. Väestöennuste'!K193*1000</f>
        <v>-264.11716665205893</v>
      </c>
      <c r="AC193" s="41">
        <f>J193/'1. Väestöennuste'!L193*1000</f>
        <v>-481.29148959864438</v>
      </c>
      <c r="AD193" s="41">
        <f>K193/'1. Väestöennuste'!M193*1000</f>
        <v>87.86906868126313</v>
      </c>
      <c r="AE193" s="41">
        <f>L193/'1. Väestöennuste'!N193*1000</f>
        <v>-328.11503169165587</v>
      </c>
      <c r="AF193" s="41" t="e">
        <f>M193/'1. Väestöennuste'!O193*1000</f>
        <v>#DIV/0!</v>
      </c>
      <c r="AG193" s="41" t="e">
        <f>N193/'1. Väestöennuste'!P193*1000</f>
        <v>#DIV/0!</v>
      </c>
      <c r="AH193" s="41" t="e">
        <f>O193/'1. Väestöennuste'!Q193*1000</f>
        <v>#DIV/0!</v>
      </c>
      <c r="AI193" s="41" t="e">
        <f>P193/'1. Väestöennuste'!R193*1000</f>
        <v>#DIV/0!</v>
      </c>
    </row>
    <row r="194" spans="1:35" x14ac:dyDescent="0.2">
      <c r="A194" s="34">
        <v>592</v>
      </c>
      <c r="B194" s="88" t="s">
        <v>508</v>
      </c>
      <c r="C194" s="41" t="e">
        <f>'2. Toimintakate'!D194+'3. Verotulot'!G194+'4. Valtionosuudet'!#REF!</f>
        <v>#REF!</v>
      </c>
      <c r="D194" s="41">
        <f>'2. Toimintakate'!E194+'3. Verotulot'!L194+'4. Valtionosuudet'!H194</f>
        <v>392</v>
      </c>
      <c r="E194" s="41">
        <f>'2. Toimintakate'!F194+'3. Verotulot'!Q194+'4. Valtionosuudet'!N194</f>
        <v>597</v>
      </c>
      <c r="F194" s="41">
        <f>'2. Toimintakate'!G194+'3. Verotulot'!V194+'4. Valtionosuudet'!T194</f>
        <v>572</v>
      </c>
      <c r="G194" s="41">
        <f>'2. Toimintakate'!H194+'3. Verotulot'!AA194+'4. Valtionosuudet'!Z194</f>
        <v>-1044</v>
      </c>
      <c r="H194" s="41">
        <f>'2. Toimintakate'!I194+'3. Verotulot'!AF194+'4. Valtionosuudet'!AG194</f>
        <v>1528.3264786414584</v>
      </c>
      <c r="I194" s="41">
        <f>'2. Toimintakate'!J194+'3. Verotulot'!AK194+'4. Valtionosuudet'!AN194</f>
        <v>179.47288494966597</v>
      </c>
      <c r="J194" s="41">
        <f>'2. Toimintakate'!K194+'3. Verotulot'!AP194+'4. Valtionosuudet'!AU194</f>
        <v>-515.91347607909665</v>
      </c>
      <c r="K194" s="41">
        <f>'2. Toimintakate'!L194+'3. Verotulot'!AU194+'4. Valtionosuudet'!BC194</f>
        <v>1565.31077292176</v>
      </c>
      <c r="L194" s="41">
        <f>'2. Toimintakate'!M194+'3. Verotulot'!AZ194+'4. Valtionosuudet'!BK194</f>
        <v>-168.50794486650284</v>
      </c>
      <c r="M194" s="41">
        <f>'2. Toimintakate'!N194+'3. Verotulot'!BE194+'4. Valtionosuudet'!BQ194</f>
        <v>-1096.1045107567529</v>
      </c>
      <c r="N194" s="41">
        <f>'2. Toimintakate'!O194+'3. Verotulot'!BJ194+'4. Valtionosuudet'!BY194</f>
        <v>-955.64864402769172</v>
      </c>
      <c r="O194" s="41">
        <f>'2. Toimintakate'!P194+'3. Verotulot'!BO194+'4. Valtionosuudet'!CE194</f>
        <v>-1412.0157639560157</v>
      </c>
      <c r="P194" s="41">
        <f>'2. Toimintakate'!Q194+'3. Verotulot'!BT194+'4. Valtionosuudet'!CK194</f>
        <v>-1242.1526988199607</v>
      </c>
      <c r="T194" s="34">
        <v>592</v>
      </c>
      <c r="U194" s="88" t="s">
        <v>508</v>
      </c>
      <c r="V194" s="41" t="e">
        <f>C194/'1. Väestöennuste'!E194*1000</f>
        <v>#REF!</v>
      </c>
      <c r="W194" s="41">
        <f>D194/'1. Väestöennuste'!F194*1000</f>
        <v>98.46772167797036</v>
      </c>
      <c r="X194" s="41">
        <f>E194/'1. Väestöennuste'!G194*1000</f>
        <v>152.29591836734693</v>
      </c>
      <c r="Y194" s="41">
        <f>F194/'1. Väestöennuste'!H194*1000</f>
        <v>146.66666666666666</v>
      </c>
      <c r="Z194" s="41">
        <f>G194/'1. Väestöennuste'!I194*1000</f>
        <v>-271.80421765165318</v>
      </c>
      <c r="AA194" s="41">
        <f>H194/'1. Väestöennuste'!J194*1000</f>
        <v>405.17669105022759</v>
      </c>
      <c r="AB194" s="41">
        <f>I194/'1. Väestöennuste'!K194*1000</f>
        <v>48.796325434928214</v>
      </c>
      <c r="AC194" s="41">
        <f>J194/'1. Väestöennuste'!L194*1000</f>
        <v>-141.30744346181777</v>
      </c>
      <c r="AD194" s="41">
        <f>K194/'1. Väestöennuste'!M194*1000</f>
        <v>435.29220604053393</v>
      </c>
      <c r="AE194" s="41">
        <f>L194/'1. Väestöennuste'!N194*1000</f>
        <v>-46.613539382158457</v>
      </c>
      <c r="AF194" s="41">
        <f>M194/'1. Väestöennuste'!O194*1000</f>
        <v>-306.25999182921288</v>
      </c>
      <c r="AG194" s="41">
        <f>N194/'1. Väestöennuste'!P194*1000</f>
        <v>-269.50046362879067</v>
      </c>
      <c r="AH194" s="41">
        <f>O194/'1. Väestöennuste'!Q194*1000</f>
        <v>-402.51304559749587</v>
      </c>
      <c r="AI194" s="41">
        <f>P194/'1. Väestöennuste'!R194*1000</f>
        <v>-357.55690812318966</v>
      </c>
    </row>
    <row r="195" spans="1:35" x14ac:dyDescent="0.2">
      <c r="A195" s="34">
        <v>593</v>
      </c>
      <c r="B195" s="88" t="s">
        <v>509</v>
      </c>
      <c r="C195" s="41" t="e">
        <f>'2. Toimintakate'!D195+'3. Verotulot'!G195+'4. Valtionosuudet'!#REF!</f>
        <v>#REF!</v>
      </c>
      <c r="D195" s="41">
        <f>'2. Toimintakate'!E195+'3. Verotulot'!L195+'4. Valtionosuudet'!H195</f>
        <v>8263</v>
      </c>
      <c r="E195" s="41">
        <f>'2. Toimintakate'!F195+'3. Verotulot'!Q195+'4. Valtionosuudet'!N195</f>
        <v>9455</v>
      </c>
      <c r="F195" s="41">
        <f>'2. Toimintakate'!G195+'3. Verotulot'!V195+'4. Valtionosuudet'!T195</f>
        <v>4869</v>
      </c>
      <c r="G195" s="41">
        <f>'2. Toimintakate'!H195+'3. Verotulot'!AA195+'4. Valtionosuudet'!Z195</f>
        <v>977</v>
      </c>
      <c r="H195" s="41">
        <f>'2. Toimintakate'!I195+'3. Verotulot'!AF195+'4. Valtionosuudet'!AG195</f>
        <v>10050.567076017527</v>
      </c>
      <c r="I195" s="41">
        <f>'2. Toimintakate'!J195+'3. Verotulot'!AK195+'4. Valtionosuudet'!AN195</f>
        <v>9744.7800006842008</v>
      </c>
      <c r="J195" s="41">
        <f>'2. Toimintakate'!K195+'3. Verotulot'!AP195+'4. Valtionosuudet'!AU195</f>
        <v>2359.294731781818</v>
      </c>
      <c r="K195" s="41">
        <f>'2. Toimintakate'!L195+'3. Verotulot'!AU195+'4. Valtionosuudet'!BC195</f>
        <v>8775.5962078693738</v>
      </c>
      <c r="L195" s="41">
        <f>'2. Toimintakate'!M195+'3. Verotulot'!AZ195+'4. Valtionosuudet'!BK195</f>
        <v>3840.1860436820348</v>
      </c>
      <c r="M195" s="41">
        <f>'2. Toimintakate'!N195+'3. Verotulot'!BE195+'4. Valtionosuudet'!BQ195</f>
        <v>2528.9617280478124</v>
      </c>
      <c r="N195" s="41">
        <f>'2. Toimintakate'!O195+'3. Verotulot'!BJ195+'4. Valtionosuudet'!BY195</f>
        <v>4536.4045174376497</v>
      </c>
      <c r="O195" s="41">
        <f>'2. Toimintakate'!P195+'3. Verotulot'!BO195+'4. Valtionosuudet'!CE195</f>
        <v>4745.1277248979404</v>
      </c>
      <c r="P195" s="41">
        <f>'2. Toimintakate'!Q195+'3. Verotulot'!BT195+'4. Valtionosuudet'!CK195</f>
        <v>8047.0093694418738</v>
      </c>
      <c r="T195" s="34">
        <v>593</v>
      </c>
      <c r="U195" s="88" t="s">
        <v>509</v>
      </c>
      <c r="V195" s="41" t="e">
        <f>C195/'1. Väestöennuste'!E195*1000</f>
        <v>#REF!</v>
      </c>
      <c r="W195" s="41">
        <f>D195/'1. Väestöennuste'!F195*1000</f>
        <v>447.25304465493912</v>
      </c>
      <c r="X195" s="41">
        <f>E195/'1. Väestöennuste'!G195*1000</f>
        <v>518.93523600439073</v>
      </c>
      <c r="Y195" s="41">
        <f>F195/'1. Väestöennuste'!H195*1000</f>
        <v>271.51062287403113</v>
      </c>
      <c r="Z195" s="41">
        <f>G195/'1. Väestöennuste'!I195*1000</f>
        <v>55.253930550842661</v>
      </c>
      <c r="AA195" s="41">
        <f>H195/'1. Väestöennuste'!J195*1000</f>
        <v>578.44990365568503</v>
      </c>
      <c r="AB195" s="41">
        <f>I195/'1. Väestöennuste'!K195*1000</f>
        <v>564.81655368250165</v>
      </c>
      <c r="AC195" s="41">
        <f>J195/'1. Väestöennuste'!L195*1000</f>
        <v>138.15627638237501</v>
      </c>
      <c r="AD195" s="41">
        <f>K195/'1. Väestöennuste'!M195*1000</f>
        <v>514.69772480172287</v>
      </c>
      <c r="AE195" s="41">
        <f>L195/'1. Väestöennuste'!N195*1000</f>
        <v>236.14475732886697</v>
      </c>
      <c r="AF195" s="41">
        <f>M195/'1. Väestöennuste'!O195*1000</f>
        <v>157.95151633550762</v>
      </c>
      <c r="AG195" s="41">
        <f>N195/'1. Väestöennuste'!P195*1000</f>
        <v>287.62392324611017</v>
      </c>
      <c r="AH195" s="41">
        <f>O195/'1. Väestöennuste'!Q195*1000</f>
        <v>305.34927444645695</v>
      </c>
      <c r="AI195" s="41">
        <f>P195/'1. Väestöennuste'!R195*1000</f>
        <v>525.36458637082148</v>
      </c>
    </row>
    <row r="196" spans="1:35" x14ac:dyDescent="0.2">
      <c r="A196" s="34">
        <v>595</v>
      </c>
      <c r="B196" s="88" t="s">
        <v>510</v>
      </c>
      <c r="C196" s="41" t="e">
        <f>'2. Toimintakate'!D196+'3. Verotulot'!G196+'4. Valtionosuudet'!#REF!</f>
        <v>#REF!</v>
      </c>
      <c r="D196" s="41">
        <f>'2. Toimintakate'!E196+'3. Verotulot'!L196+'4. Valtionosuudet'!H196</f>
        <v>1004</v>
      </c>
      <c r="E196" s="41">
        <f>'2. Toimintakate'!F196+'3. Verotulot'!Q196+'4. Valtionosuudet'!N196</f>
        <v>2294</v>
      </c>
      <c r="F196" s="41">
        <f>'2. Toimintakate'!G196+'3. Verotulot'!V196+'4. Valtionosuudet'!T196</f>
        <v>1785</v>
      </c>
      <c r="G196" s="41">
        <f>'2. Toimintakate'!H196+'3. Verotulot'!AA196+'4. Valtionosuudet'!Z196</f>
        <v>753</v>
      </c>
      <c r="H196" s="41">
        <f>'2. Toimintakate'!I196+'3. Verotulot'!AF196+'4. Valtionosuudet'!AG196</f>
        <v>3758.797493249629</v>
      </c>
      <c r="I196" s="41">
        <f>'2. Toimintakate'!J196+'3. Verotulot'!AK196+'4. Valtionosuudet'!AN196</f>
        <v>3962.8538145293824</v>
      </c>
      <c r="J196" s="41">
        <f>'2. Toimintakate'!K196+'3. Verotulot'!AP196+'4. Valtionosuudet'!AU196</f>
        <v>3344.1653375830538</v>
      </c>
      <c r="K196" s="41">
        <f>'2. Toimintakate'!L196+'3. Verotulot'!AU196+'4. Valtionosuudet'!BC196</f>
        <v>1820.5034521016269</v>
      </c>
      <c r="L196" s="41">
        <f>'2. Toimintakate'!M196+'3. Verotulot'!AZ196+'4. Valtionosuudet'!BK196</f>
        <v>1648.1030338614173</v>
      </c>
      <c r="M196" s="41">
        <f>'2. Toimintakate'!N196+'3. Verotulot'!BE196+'4. Valtionosuudet'!BQ196</f>
        <v>684.05872210375401</v>
      </c>
      <c r="N196" s="41">
        <f>'2. Toimintakate'!O196+'3. Verotulot'!BJ196+'4. Valtionosuudet'!BY196</f>
        <v>451.20027702306561</v>
      </c>
      <c r="O196" s="41">
        <f>'2. Toimintakate'!P196+'3. Verotulot'!BO196+'4. Valtionosuudet'!CE196</f>
        <v>88.407963219305202</v>
      </c>
      <c r="P196" s="41">
        <f>'2. Toimintakate'!Q196+'3. Verotulot'!BT196+'4. Valtionosuudet'!CK196</f>
        <v>442.12370338710934</v>
      </c>
      <c r="T196" s="34">
        <v>595</v>
      </c>
      <c r="U196" s="88" t="s">
        <v>510</v>
      </c>
      <c r="V196" s="41" t="e">
        <f>C196/'1. Väestöennuste'!E196*1000</f>
        <v>#REF!</v>
      </c>
      <c r="W196" s="41">
        <f>D196/'1. Väestöennuste'!F196*1000</f>
        <v>213.75345965509902</v>
      </c>
      <c r="X196" s="41">
        <f>E196/'1. Väestöennuste'!G196*1000</f>
        <v>496.10726643598616</v>
      </c>
      <c r="Y196" s="41">
        <f>F196/'1. Väestöennuste'!H196*1000</f>
        <v>396.84304135171192</v>
      </c>
      <c r="Z196" s="41">
        <f>G196/'1. Väestöennuste'!I196*1000</f>
        <v>171.48713277157825</v>
      </c>
      <c r="AA196" s="41">
        <f>H196/'1. Väestöennuste'!J196*1000</f>
        <v>869.89064875020335</v>
      </c>
      <c r="AB196" s="41">
        <f>I196/'1. Väestöennuste'!K196*1000</f>
        <v>928.28620626127486</v>
      </c>
      <c r="AC196" s="41">
        <f>J196/'1. Väestöennuste'!L196*1000</f>
        <v>807.769405213298</v>
      </c>
      <c r="AD196" s="41">
        <f>K196/'1. Väestöennuste'!M196*1000</f>
        <v>446.96868453268524</v>
      </c>
      <c r="AE196" s="41">
        <f>L196/'1. Väestöennuste'!N196*1000</f>
        <v>410.69101267416329</v>
      </c>
      <c r="AF196" s="41">
        <f>M196/'1. Väestöennuste'!O196*1000</f>
        <v>173.48686840064772</v>
      </c>
      <c r="AG196" s="41">
        <f>N196/'1. Väestöennuste'!P196*1000</f>
        <v>116.49890963673266</v>
      </c>
      <c r="AH196" s="41">
        <f>O196/'1. Väestöennuste'!Q196*1000</f>
        <v>23.210281758809451</v>
      </c>
      <c r="AI196" s="41">
        <f>P196/'1. Väestöennuste'!R196*1000</f>
        <v>117.9940494761434</v>
      </c>
    </row>
    <row r="197" spans="1:35" x14ac:dyDescent="0.2">
      <c r="A197" s="34">
        <v>598</v>
      </c>
      <c r="B197" s="88" t="s">
        <v>511</v>
      </c>
      <c r="C197" s="41" t="e">
        <f>'2. Toimintakate'!D197+'3. Verotulot'!G197+'4. Valtionosuudet'!#REF!</f>
        <v>#REF!</v>
      </c>
      <c r="D197" s="41">
        <f>'2. Toimintakate'!E197+'3. Verotulot'!L197+'4. Valtionosuudet'!H197</f>
        <v>2051</v>
      </c>
      <c r="E197" s="41">
        <f>'2. Toimintakate'!F197+'3. Verotulot'!Q197+'4. Valtionosuudet'!N197</f>
        <v>3985</v>
      </c>
      <c r="F197" s="41">
        <f>'2. Toimintakate'!G197+'3. Verotulot'!V197+'4. Valtionosuudet'!T197</f>
        <v>3161</v>
      </c>
      <c r="G197" s="41">
        <f>'2. Toimintakate'!H197+'3. Verotulot'!AA197+'4. Valtionosuudet'!Z197</f>
        <v>-1556</v>
      </c>
      <c r="H197" s="41">
        <f>'2. Toimintakate'!I197+'3. Verotulot'!AF197+'4. Valtionosuudet'!AG197</f>
        <v>5814.3712488695528</v>
      </c>
      <c r="I197" s="41">
        <f>'2. Toimintakate'!J197+'3. Verotulot'!AK197+'4. Valtionosuudet'!AN197</f>
        <v>4311.5496508886354</v>
      </c>
      <c r="J197" s="41">
        <f>'2. Toimintakate'!K197+'3. Verotulot'!AP197+'4. Valtionosuudet'!AU197</f>
        <v>5547.9828648864204</v>
      </c>
      <c r="K197" s="41">
        <f>'2. Toimintakate'!L197+'3. Verotulot'!AU197+'4. Valtionosuudet'!BC197</f>
        <v>9130.0891038222417</v>
      </c>
      <c r="L197" s="41">
        <f>'2. Toimintakate'!M197+'3. Verotulot'!AZ197+'4. Valtionosuudet'!BK197</f>
        <v>5939.1075237854675</v>
      </c>
      <c r="M197" s="41">
        <f>'2. Toimintakate'!N197+'3. Verotulot'!BE197+'4. Valtionosuudet'!BQ197</f>
        <v>3511.0367048730732</v>
      </c>
      <c r="N197" s="41">
        <f>'2. Toimintakate'!O197+'3. Verotulot'!BJ197+'4. Valtionosuudet'!BY197</f>
        <v>4661.2779646486761</v>
      </c>
      <c r="O197" s="41">
        <f>'2. Toimintakate'!P197+'3. Verotulot'!BO197+'4. Valtionosuudet'!CE197</f>
        <v>5406.2537951197082</v>
      </c>
      <c r="P197" s="41">
        <f>'2. Toimintakate'!Q197+'3. Verotulot'!BT197+'4. Valtionosuudet'!CK197</f>
        <v>6863.3799176320645</v>
      </c>
      <c r="T197" s="34">
        <v>598</v>
      </c>
      <c r="U197" s="88" t="s">
        <v>511</v>
      </c>
      <c r="V197" s="41" t="e">
        <f>C197/'1. Väestöennuste'!E197*1000</f>
        <v>#REF!</v>
      </c>
      <c r="W197" s="41">
        <f>D197/'1. Väestöennuste'!F197*1000</f>
        <v>105.84713835991123</v>
      </c>
      <c r="X197" s="41">
        <f>E197/'1. Väestöennuste'!G197*1000</f>
        <v>205.63496568450384</v>
      </c>
      <c r="Y197" s="41">
        <f>F197/'1. Väestöennuste'!H197*1000</f>
        <v>163.96929142027182</v>
      </c>
      <c r="Z197" s="41">
        <f>G197/'1. Väestöennuste'!I197*1000</f>
        <v>-81.007913369429403</v>
      </c>
      <c r="AA197" s="41">
        <f>H197/'1. Väestöennuste'!J197*1000</f>
        <v>304.96020396882165</v>
      </c>
      <c r="AB197" s="41">
        <f>I197/'1. Väestöennuste'!K197*1000</f>
        <v>225.77104523687674</v>
      </c>
      <c r="AC197" s="41">
        <f>J197/'1. Väestöennuste'!L197*1000</f>
        <v>288.85213020702975</v>
      </c>
      <c r="AD197" s="41">
        <f>K197/'1. Väestöennuste'!M197*1000</f>
        <v>468.81073703836927</v>
      </c>
      <c r="AE197" s="41">
        <f>L197/'1. Väestöennuste'!N197*1000</f>
        <v>316.49920190703261</v>
      </c>
      <c r="AF197" s="41">
        <f>M197/'1. Väestöennuste'!O197*1000</f>
        <v>187.91675791442267</v>
      </c>
      <c r="AG197" s="41">
        <f>N197/'1. Väestöennuste'!P197*1000</f>
        <v>250.60634218541267</v>
      </c>
      <c r="AH197" s="41">
        <f>O197/'1. Väestöennuste'!Q197*1000</f>
        <v>291.9143517883212</v>
      </c>
      <c r="AI197" s="41">
        <f>P197/'1. Väestöennuste'!R197*1000</f>
        <v>372.18046297012444</v>
      </c>
    </row>
    <row r="198" spans="1:35" x14ac:dyDescent="0.2">
      <c r="A198" s="34">
        <v>599</v>
      </c>
      <c r="B198" s="88" t="s">
        <v>512</v>
      </c>
      <c r="C198" s="41" t="e">
        <f>'2. Toimintakate'!D198+'3. Verotulot'!G198+'4. Valtionosuudet'!#REF!</f>
        <v>#REF!</v>
      </c>
      <c r="D198" s="41">
        <f>'2. Toimintakate'!E198+'3. Verotulot'!L198+'4. Valtionosuudet'!H198</f>
        <v>985</v>
      </c>
      <c r="E198" s="41">
        <f>'2. Toimintakate'!F198+'3. Verotulot'!Q198+'4. Valtionosuudet'!N198</f>
        <v>1924</v>
      </c>
      <c r="F198" s="41">
        <f>'2. Toimintakate'!G198+'3. Verotulot'!V198+'4. Valtionosuudet'!T198</f>
        <v>-152</v>
      </c>
      <c r="G198" s="41">
        <f>'2. Toimintakate'!H198+'3. Verotulot'!AA198+'4. Valtionosuudet'!Z198</f>
        <v>-1921</v>
      </c>
      <c r="H198" s="41">
        <f>'2. Toimintakate'!I198+'3. Verotulot'!AF198+'4. Valtionosuudet'!AG198</f>
        <v>6490.1615216316532</v>
      </c>
      <c r="I198" s="41">
        <f>'2. Toimintakate'!J198+'3. Verotulot'!AK198+'4. Valtionosuudet'!AN198</f>
        <v>4585.0677029745311</v>
      </c>
      <c r="J198" s="41">
        <f>'2. Toimintakate'!K198+'3. Verotulot'!AP198+'4. Valtionosuudet'!AU198</f>
        <v>4923.9109002018668</v>
      </c>
      <c r="K198" s="41">
        <f>'2. Toimintakate'!L198+'3. Verotulot'!AU198+'4. Valtionosuudet'!BC198</f>
        <v>5256.2562136694632</v>
      </c>
      <c r="L198" s="41">
        <f>'2. Toimintakate'!M198+'3. Verotulot'!AZ198+'4. Valtionosuudet'!BK198</f>
        <v>4348.4598418400146</v>
      </c>
      <c r="M198" s="41">
        <f>'2. Toimintakate'!N198+'3. Verotulot'!BE198+'4. Valtionosuudet'!BQ198</f>
        <v>4039.485105465179</v>
      </c>
      <c r="N198" s="41">
        <f>'2. Toimintakate'!O198+'3. Verotulot'!BJ198+'4. Valtionosuudet'!BY198</f>
        <v>4557.898160996554</v>
      </c>
      <c r="O198" s="41">
        <f>'2. Toimintakate'!P198+'3. Verotulot'!BO198+'4. Valtionosuudet'!CE198</f>
        <v>5412.8321763032582</v>
      </c>
      <c r="P198" s="41">
        <f>'2. Toimintakate'!Q198+'3. Verotulot'!BT198+'4. Valtionosuudet'!CK198</f>
        <v>5948.6120425480403</v>
      </c>
      <c r="T198" s="34">
        <v>599</v>
      </c>
      <c r="U198" s="88" t="s">
        <v>512</v>
      </c>
      <c r="V198" s="41" t="e">
        <f>C198/'1. Väestöennuste'!E198*1000</f>
        <v>#REF!</v>
      </c>
      <c r="W198" s="41">
        <f>D198/'1. Väestöennuste'!F198*1000</f>
        <v>89.003343272792975</v>
      </c>
      <c r="X198" s="41">
        <f>E198/'1. Väestöennuste'!G198*1000</f>
        <v>173.58354384698666</v>
      </c>
      <c r="Y198" s="41">
        <f>F198/'1. Väestöennuste'!H198*1000</f>
        <v>-13.798111837327523</v>
      </c>
      <c r="Z198" s="41">
        <f>G198/'1. Väestöennuste'!I198*1000</f>
        <v>-173.35980507174443</v>
      </c>
      <c r="AA198" s="41">
        <f>H198/'1. Väestöennuste'!J198*1000</f>
        <v>580.82705581095877</v>
      </c>
      <c r="AB198" s="41">
        <f>I198/'1. Väestöennuste'!K198*1000</f>
        <v>410.40706256485242</v>
      </c>
      <c r="AC198" s="41">
        <f>J198/'1. Väestöennuste'!L198*1000</f>
        <v>439.39950920951873</v>
      </c>
      <c r="AD198" s="41">
        <f>K198/'1. Väestöennuste'!M198*1000</f>
        <v>468.26335979237984</v>
      </c>
      <c r="AE198" s="41">
        <f>L198/'1. Väestöennuste'!N198*1000</f>
        <v>385.84381915173157</v>
      </c>
      <c r="AF198" s="41">
        <f>M198/'1. Väestöennuste'!O198*1000</f>
        <v>357.76150079401111</v>
      </c>
      <c r="AG198" s="41">
        <f>N198/'1. Väestöennuste'!P198*1000</f>
        <v>403.03281996609377</v>
      </c>
      <c r="AH198" s="41">
        <f>O198/'1. Väestöennuste'!Q198*1000</f>
        <v>478.08092000558725</v>
      </c>
      <c r="AI198" s="41">
        <f>P198/'1. Väestöennuste'!R198*1000</f>
        <v>524.93929072961873</v>
      </c>
    </row>
    <row r="199" spans="1:35" x14ac:dyDescent="0.2">
      <c r="A199" s="34">
        <v>601</v>
      </c>
      <c r="B199" s="88" t="s">
        <v>513</v>
      </c>
      <c r="C199" s="41" t="e">
        <f>'2. Toimintakate'!D199+'3. Verotulot'!G199+'4. Valtionosuudet'!#REF!</f>
        <v>#REF!</v>
      </c>
      <c r="D199" s="41">
        <f>'2. Toimintakate'!E199+'3. Verotulot'!L199+'4. Valtionosuudet'!H199</f>
        <v>2123</v>
      </c>
      <c r="E199" s="41">
        <f>'2. Toimintakate'!F199+'3. Verotulot'!Q199+'4. Valtionosuudet'!N199</f>
        <v>1777</v>
      </c>
      <c r="F199" s="41">
        <f>'2. Toimintakate'!G199+'3. Verotulot'!V199+'4. Valtionosuudet'!T199</f>
        <v>752</v>
      </c>
      <c r="G199" s="41">
        <f>'2. Toimintakate'!H199+'3. Verotulot'!AA199+'4. Valtionosuudet'!Z199</f>
        <v>33</v>
      </c>
      <c r="H199" s="41">
        <f>'2. Toimintakate'!I199+'3. Verotulot'!AF199+'4. Valtionosuudet'!AG199</f>
        <v>2353.8749571643857</v>
      </c>
      <c r="I199" s="41">
        <f>'2. Toimintakate'!J199+'3. Verotulot'!AK199+'4. Valtionosuudet'!AN199</f>
        <v>2750.1521718769472</v>
      </c>
      <c r="J199" s="41">
        <f>'2. Toimintakate'!K199+'3. Verotulot'!AP199+'4. Valtionosuudet'!AU199</f>
        <v>2350.7383032395956</v>
      </c>
      <c r="K199" s="41">
        <f>'2. Toimintakate'!L199+'3. Verotulot'!AU199+'4. Valtionosuudet'!BC199</f>
        <v>3563.9840675692722</v>
      </c>
      <c r="L199" s="41">
        <f>'2. Toimintakate'!M199+'3. Verotulot'!AZ199+'4. Valtionosuudet'!BK199</f>
        <v>1099.0315286978484</v>
      </c>
      <c r="M199" s="41">
        <f>'2. Toimintakate'!N199+'3. Verotulot'!BE199+'4. Valtionosuudet'!BQ199</f>
        <v>1028.2980016100446</v>
      </c>
      <c r="N199" s="41">
        <f>'2. Toimintakate'!O199+'3. Verotulot'!BJ199+'4. Valtionosuudet'!BY199</f>
        <v>662.28433034438967</v>
      </c>
      <c r="O199" s="41">
        <f>'2. Toimintakate'!P199+'3. Verotulot'!BO199+'4. Valtionosuudet'!CE199</f>
        <v>399.20239922836663</v>
      </c>
      <c r="P199" s="41">
        <f>'2. Toimintakate'!Q199+'3. Verotulot'!BT199+'4. Valtionosuudet'!CK199</f>
        <v>513.66121167809979</v>
      </c>
      <c r="T199" s="34">
        <v>601</v>
      </c>
      <c r="U199" s="88" t="s">
        <v>513</v>
      </c>
      <c r="V199" s="41" t="e">
        <f>C199/'1. Väestöennuste'!E199*1000</f>
        <v>#REF!</v>
      </c>
      <c r="W199" s="41">
        <f>D199/'1. Väestöennuste'!F199*1000</f>
        <v>505.23560209424079</v>
      </c>
      <c r="X199" s="41">
        <f>E199/'1. Väestöennuste'!G199*1000</f>
        <v>430.5791131572571</v>
      </c>
      <c r="Y199" s="41">
        <f>F199/'1. Väestöennuste'!H199*1000</f>
        <v>185.54157414261041</v>
      </c>
      <c r="Z199" s="41">
        <f>G199/'1. Väestöennuste'!I199*1000</f>
        <v>8.1845238095238102</v>
      </c>
      <c r="AA199" s="41">
        <f>H199/'1. Väestöennuste'!J199*1000</f>
        <v>598.79800487519356</v>
      </c>
      <c r="AB199" s="41">
        <f>I199/'1. Väestöennuste'!K199*1000</f>
        <v>710.08318406324486</v>
      </c>
      <c r="AC199" s="41">
        <f>J199/'1. Väestöennuste'!L199*1000</f>
        <v>620.9028798836755</v>
      </c>
      <c r="AD199" s="41">
        <f>K199/'1. Väestöennuste'!M199*1000</f>
        <v>953.19178057482532</v>
      </c>
      <c r="AE199" s="41">
        <f>L199/'1. Väestöennuste'!N199*1000</f>
        <v>298.4066056741375</v>
      </c>
      <c r="AF199" s="41">
        <f>M199/'1. Väestöennuste'!O199*1000</f>
        <v>283.43384829383808</v>
      </c>
      <c r="AG199" s="41">
        <f>N199/'1. Väestöennuste'!P199*1000</f>
        <v>185.35805495225011</v>
      </c>
      <c r="AH199" s="41">
        <f>O199/'1. Väestöennuste'!Q199*1000</f>
        <v>113.31319875911628</v>
      </c>
      <c r="AI199" s="41">
        <f>P199/'1. Väestöennuste'!R199*1000</f>
        <v>147.90129907230053</v>
      </c>
    </row>
    <row r="200" spans="1:35" x14ac:dyDescent="0.2">
      <c r="A200" s="34">
        <v>604</v>
      </c>
      <c r="B200" s="88" t="s">
        <v>514</v>
      </c>
      <c r="C200" s="41" t="e">
        <f>'2. Toimintakate'!D200+'3. Verotulot'!G200+'4. Valtionosuudet'!#REF!</f>
        <v>#REF!</v>
      </c>
      <c r="D200" s="41">
        <f>'2. Toimintakate'!E200+'3. Verotulot'!L200+'4. Valtionosuudet'!H200</f>
        <v>16523</v>
      </c>
      <c r="E200" s="41">
        <f>'2. Toimintakate'!F200+'3. Verotulot'!Q200+'4. Valtionosuudet'!N200</f>
        <v>10424</v>
      </c>
      <c r="F200" s="41">
        <f>'2. Toimintakate'!G200+'3. Verotulot'!V200+'4. Valtionosuudet'!T200</f>
        <v>6700</v>
      </c>
      <c r="G200" s="41">
        <f>'2. Toimintakate'!H200+'3. Verotulot'!AA200+'4. Valtionosuudet'!Z200</f>
        <v>6626</v>
      </c>
      <c r="H200" s="41">
        <f>'2. Toimintakate'!I200+'3. Verotulot'!AF200+'4. Valtionosuudet'!AG200</f>
        <v>14469.014101546494</v>
      </c>
      <c r="I200" s="41">
        <f>'2. Toimintakate'!J200+'3. Verotulot'!AK200+'4. Valtionosuudet'!AN200</f>
        <v>11145.166238131347</v>
      </c>
      <c r="J200" s="41">
        <f>'2. Toimintakate'!K200+'3. Verotulot'!AP200+'4. Valtionosuudet'!AU200</f>
        <v>14842.307527100143</v>
      </c>
      <c r="K200" s="41">
        <f>'2. Toimintakate'!L200+'3. Verotulot'!AU200+'4. Valtionosuudet'!BC200</f>
        <v>19509.604699092521</v>
      </c>
      <c r="L200" s="41">
        <f>'2. Toimintakate'!M200+'3. Verotulot'!AZ200+'4. Valtionosuudet'!BK200</f>
        <v>12498.880778794017</v>
      </c>
      <c r="M200" s="41">
        <f>'2. Toimintakate'!N200+'3. Verotulot'!BE200+'4. Valtionosuudet'!BQ200</f>
        <v>10403.784918256155</v>
      </c>
      <c r="N200" s="41">
        <f>'2. Toimintakate'!O200+'3. Verotulot'!BJ200+'4. Valtionosuudet'!BY200</f>
        <v>10966.700708886394</v>
      </c>
      <c r="O200" s="41">
        <f>'2. Toimintakate'!P200+'3. Verotulot'!BO200+'4. Valtionosuudet'!CE200</f>
        <v>10646.756083691318</v>
      </c>
      <c r="P200" s="41">
        <f>'2. Toimintakate'!Q200+'3. Verotulot'!BT200+'4. Valtionosuudet'!CK200</f>
        <v>11966.16353727052</v>
      </c>
      <c r="T200" s="34">
        <v>604</v>
      </c>
      <c r="U200" s="88" t="s">
        <v>514</v>
      </c>
      <c r="V200" s="41" t="e">
        <f>C200/'1. Väestöennuste'!E200*1000</f>
        <v>#REF!</v>
      </c>
      <c r="W200" s="41">
        <f>D200/'1. Väestöennuste'!F200*1000</f>
        <v>862.23451442884721</v>
      </c>
      <c r="X200" s="41">
        <f>E200/'1. Väestöennuste'!G200*1000</f>
        <v>541.87243333160052</v>
      </c>
      <c r="Y200" s="41">
        <f>F200/'1. Väestöennuste'!H200*1000</f>
        <v>345.93143329202809</v>
      </c>
      <c r="Z200" s="41">
        <f>G200/'1. Väestöennuste'!I200*1000</f>
        <v>337.66498496662081</v>
      </c>
      <c r="AA200" s="41">
        <f>H200/'1. Väestöennuste'!J200*1000</f>
        <v>730.64758377753333</v>
      </c>
      <c r="AB200" s="41">
        <f>I200/'1. Väestöennuste'!K200*1000</f>
        <v>551.577068105085</v>
      </c>
      <c r="AC200" s="41">
        <f>J200/'1. Väestöennuste'!L200*1000</f>
        <v>727.38581362901959</v>
      </c>
      <c r="AD200" s="41">
        <f>K200/'1. Väestöennuste'!M200*1000</f>
        <v>939.63322733191353</v>
      </c>
      <c r="AE200" s="41">
        <f>L200/'1. Väestöennuste'!N200*1000</f>
        <v>610.38632508639046</v>
      </c>
      <c r="AF200" s="41">
        <f>M200/'1. Väestöennuste'!O200*1000</f>
        <v>504.27923601648763</v>
      </c>
      <c r="AG200" s="41">
        <f>N200/'1. Väestöennuste'!P200*1000</f>
        <v>527.80348006961174</v>
      </c>
      <c r="AH200" s="41">
        <f>O200/'1. Väestöennuste'!Q200*1000</f>
        <v>509.000147425124</v>
      </c>
      <c r="AI200" s="41">
        <f>P200/'1. Väestöennuste'!R200*1000</f>
        <v>568.49083268898858</v>
      </c>
    </row>
    <row r="201" spans="1:35" x14ac:dyDescent="0.2">
      <c r="A201" s="34">
        <v>607</v>
      </c>
      <c r="B201" s="88" t="s">
        <v>515</v>
      </c>
      <c r="C201" s="41" t="e">
        <f>'2. Toimintakate'!D201+'3. Verotulot'!G201+'4. Valtionosuudet'!#REF!</f>
        <v>#REF!</v>
      </c>
      <c r="D201" s="41">
        <f>'2. Toimintakate'!E201+'3. Verotulot'!L201+'4. Valtionosuudet'!H201</f>
        <v>1936</v>
      </c>
      <c r="E201" s="41">
        <f>'2. Toimintakate'!F201+'3. Verotulot'!Q201+'4. Valtionosuudet'!N201</f>
        <v>2390</v>
      </c>
      <c r="F201" s="41">
        <f>'2. Toimintakate'!G201+'3. Verotulot'!V201+'4. Valtionosuudet'!T201</f>
        <v>706</v>
      </c>
      <c r="G201" s="41">
        <f>'2. Toimintakate'!H201+'3. Verotulot'!AA201+'4. Valtionosuudet'!Z201</f>
        <v>781</v>
      </c>
      <c r="H201" s="41">
        <f>'2. Toimintakate'!I201+'3. Verotulot'!AF201+'4. Valtionosuudet'!AG201</f>
        <v>1482.810480871598</v>
      </c>
      <c r="I201" s="41">
        <f>'2. Toimintakate'!J201+'3. Verotulot'!AK201+'4. Valtionosuudet'!AN201</f>
        <v>-203.85380139748304</v>
      </c>
      <c r="J201" s="41">
        <f>'2. Toimintakate'!K201+'3. Verotulot'!AP201+'4. Valtionosuudet'!AU201</f>
        <v>-838.4971666990059</v>
      </c>
      <c r="K201" s="41">
        <f>'2. Toimintakate'!L201+'3. Verotulot'!AU201+'4. Valtionosuudet'!BC201</f>
        <v>-1.1453516532910726</v>
      </c>
      <c r="L201" s="41">
        <f>'2. Toimintakate'!M201+'3. Verotulot'!AZ201+'4. Valtionosuudet'!BK201</f>
        <v>-589.49793055172177</v>
      </c>
      <c r="M201" s="41">
        <f>'2. Toimintakate'!N201+'3. Verotulot'!BE201+'4. Valtionosuudet'!BQ201</f>
        <v>-1797.9123767949877</v>
      </c>
      <c r="N201" s="41">
        <f>'2. Toimintakate'!O201+'3. Verotulot'!BJ201+'4. Valtionosuudet'!BY201</f>
        <v>-1621.8345535544486</v>
      </c>
      <c r="O201" s="41">
        <f>'2. Toimintakate'!P201+'3. Verotulot'!BO201+'4. Valtionosuudet'!CE201</f>
        <v>-1768.6136205645744</v>
      </c>
      <c r="P201" s="41">
        <f>'2. Toimintakate'!Q201+'3. Verotulot'!BT201+'4. Valtionosuudet'!CK201</f>
        <v>-1364.8258535225177</v>
      </c>
      <c r="T201" s="34">
        <v>607</v>
      </c>
      <c r="U201" s="88" t="s">
        <v>515</v>
      </c>
      <c r="V201" s="41" t="e">
        <f>C201/'1. Väestöennuste'!E201*1000</f>
        <v>#REF!</v>
      </c>
      <c r="W201" s="41">
        <f>D201/'1. Väestöennuste'!F201*1000</f>
        <v>428.88790429774036</v>
      </c>
      <c r="X201" s="41">
        <f>E201/'1. Väestöennuste'!G201*1000</f>
        <v>541.45899410965114</v>
      </c>
      <c r="Y201" s="41">
        <f>F201/'1. Väestöennuste'!H201*1000</f>
        <v>163.91920130020895</v>
      </c>
      <c r="Z201" s="41">
        <f>G201/'1. Väestöennuste'!I201*1000</f>
        <v>183.93782383419688</v>
      </c>
      <c r="AA201" s="41">
        <f>H201/'1. Väestöennuste'!J201*1000</f>
        <v>352.96607495158247</v>
      </c>
      <c r="AB201" s="41">
        <f>I201/'1. Väestöennuste'!K201*1000</f>
        <v>-48.991540830925985</v>
      </c>
      <c r="AC201" s="41">
        <f>J201/'1. Väestöennuste'!L201*1000</f>
        <v>-205.31272446106902</v>
      </c>
      <c r="AD201" s="41">
        <f>K201/'1. Väestöennuste'!M201*1000</f>
        <v>-0.28182865484524422</v>
      </c>
      <c r="AE201" s="41">
        <f>L201/'1. Väestöennuste'!N201*1000</f>
        <v>-149.27777425974216</v>
      </c>
      <c r="AF201" s="41">
        <f>M201/'1. Väestöennuste'!O201*1000</f>
        <v>-461.95076484968848</v>
      </c>
      <c r="AG201" s="41">
        <f>N201/'1. Väestöennuste'!P201*1000</f>
        <v>-422.35274832147098</v>
      </c>
      <c r="AH201" s="41">
        <f>O201/'1. Väestöennuste'!Q201*1000</f>
        <v>-467.1457000962954</v>
      </c>
      <c r="AI201" s="41">
        <f>P201/'1. Väestöennuste'!R201*1000</f>
        <v>-365.80698298646951</v>
      </c>
    </row>
    <row r="202" spans="1:35" x14ac:dyDescent="0.2">
      <c r="A202" s="34">
        <v>608</v>
      </c>
      <c r="B202" s="88" t="s">
        <v>516</v>
      </c>
      <c r="C202" s="41" t="e">
        <f>'2. Toimintakate'!D202+'3. Verotulot'!G202+'4. Valtionosuudet'!#REF!</f>
        <v>#REF!</v>
      </c>
      <c r="D202" s="41">
        <f>'2. Toimintakate'!E202+'3. Verotulot'!L202+'4. Valtionosuudet'!H202</f>
        <v>335</v>
      </c>
      <c r="E202" s="41">
        <f>'2. Toimintakate'!F202+'3. Verotulot'!Q202+'4. Valtionosuudet'!N202</f>
        <v>141</v>
      </c>
      <c r="F202" s="41">
        <f>'2. Toimintakate'!G202+'3. Verotulot'!V202+'4. Valtionosuudet'!T202</f>
        <v>-171</v>
      </c>
      <c r="G202" s="41">
        <f>'2. Toimintakate'!H202+'3. Verotulot'!AA202+'4. Valtionosuudet'!Z202</f>
        <v>618</v>
      </c>
      <c r="H202" s="41">
        <f>'2. Toimintakate'!I202+'3. Verotulot'!AF202+'4. Valtionosuudet'!AG202</f>
        <v>628.61784343642285</v>
      </c>
      <c r="I202" s="41">
        <f>'2. Toimintakate'!J202+'3. Verotulot'!AK202+'4. Valtionosuudet'!AN202</f>
        <v>428.55848350405267</v>
      </c>
      <c r="J202" s="41">
        <f>'2. Toimintakate'!K202+'3. Verotulot'!AP202+'4. Valtionosuudet'!AU202</f>
        <v>648.1868912788168</v>
      </c>
      <c r="K202" s="41">
        <f>'2. Toimintakate'!L202+'3. Verotulot'!AU202+'4. Valtionosuudet'!BC202</f>
        <v>824.03865061633041</v>
      </c>
      <c r="L202" s="41">
        <f>'2. Toimintakate'!M202+'3. Verotulot'!AZ202+'4. Valtionosuudet'!BK202</f>
        <v>-16.205645712102069</v>
      </c>
      <c r="M202" s="41">
        <f>'2. Toimintakate'!N202+'3. Verotulot'!BE202+'4. Valtionosuudet'!BQ202</f>
        <v>-150.08630939202021</v>
      </c>
      <c r="N202" s="41">
        <f>'2. Toimintakate'!O202+'3. Verotulot'!BJ202+'4. Valtionosuudet'!BY202</f>
        <v>-30.046173661050489</v>
      </c>
      <c r="O202" s="41">
        <f>'2. Toimintakate'!P202+'3. Verotulot'!BO202+'4. Valtionosuudet'!CE202</f>
        <v>-43.794531336706768</v>
      </c>
      <c r="P202" s="41">
        <f>'2. Toimintakate'!Q202+'3. Verotulot'!BT202+'4. Valtionosuudet'!CK202</f>
        <v>216.98593458421101</v>
      </c>
      <c r="T202" s="34">
        <v>608</v>
      </c>
      <c r="U202" s="88" t="s">
        <v>516</v>
      </c>
      <c r="V202" s="41" t="e">
        <f>C202/'1. Väestöennuste'!E202*1000</f>
        <v>#REF!</v>
      </c>
      <c r="W202" s="41">
        <f>D202/'1. Väestöennuste'!F202*1000</f>
        <v>150.02239140170175</v>
      </c>
      <c r="X202" s="41">
        <f>E202/'1. Väestöennuste'!G202*1000</f>
        <v>65.096952908587255</v>
      </c>
      <c r="Y202" s="41">
        <f>F202/'1. Väestöennuste'!H202*1000</f>
        <v>-79.683131407269329</v>
      </c>
      <c r="Z202" s="41">
        <f>G202/'1. Väestöennuste'!I202*1000</f>
        <v>295.83532790808999</v>
      </c>
      <c r="AA202" s="41">
        <f>H202/'1. Väestöennuste'!J202*1000</f>
        <v>304.71053971712206</v>
      </c>
      <c r="AB202" s="41">
        <f>I202/'1. Väestöennuste'!K202*1000</f>
        <v>212.89542151219706</v>
      </c>
      <c r="AC202" s="41">
        <f>J202/'1. Väestöennuste'!L202*1000</f>
        <v>327.36711680748328</v>
      </c>
      <c r="AD202" s="41">
        <f>K202/'1. Väestöennuste'!M202*1000</f>
        <v>424.10635646748864</v>
      </c>
      <c r="AE202" s="41">
        <f>L202/'1. Väestöennuste'!N202*1000</f>
        <v>-8.3191199754117395</v>
      </c>
      <c r="AF202" s="41">
        <f>M202/'1. Väestöennuste'!O202*1000</f>
        <v>-78.04800280396266</v>
      </c>
      <c r="AG202" s="41">
        <f>N202/'1. Väestöennuste'!P202*1000</f>
        <v>-15.838784217738791</v>
      </c>
      <c r="AH202" s="41">
        <f>O202/'1. Väestöennuste'!Q202*1000</f>
        <v>-23.407018352061339</v>
      </c>
      <c r="AI202" s="41">
        <f>P202/'1. Väestöennuste'!R202*1000</f>
        <v>117.48020280682783</v>
      </c>
    </row>
    <row r="203" spans="1:35" x14ac:dyDescent="0.2">
      <c r="A203" s="34">
        <v>609</v>
      </c>
      <c r="B203" s="88" t="s">
        <v>517</v>
      </c>
      <c r="C203" s="41" t="e">
        <f>'2. Toimintakate'!D203+'3. Verotulot'!G203+'4. Valtionosuudet'!#REF!</f>
        <v>#REF!</v>
      </c>
      <c r="D203" s="41">
        <f>'2. Toimintakate'!E203+'3. Verotulot'!L203+'4. Valtionosuudet'!H203</f>
        <v>32188</v>
      </c>
      <c r="E203" s="41">
        <f>'2. Toimintakate'!F203+'3. Verotulot'!Q203+'4. Valtionosuudet'!N203</f>
        <v>33210</v>
      </c>
      <c r="F203" s="41">
        <f>'2. Toimintakate'!G203+'3. Verotulot'!V203+'4. Valtionosuudet'!T203</f>
        <v>5277</v>
      </c>
      <c r="G203" s="41">
        <f>'2. Toimintakate'!H203+'3. Verotulot'!AA203+'4. Valtionosuudet'!Z203</f>
        <v>-3152</v>
      </c>
      <c r="H203" s="41">
        <f>'2. Toimintakate'!I203+'3. Verotulot'!AF203+'4. Valtionosuudet'!AG203</f>
        <v>27648.572860926972</v>
      </c>
      <c r="I203" s="41">
        <f>'2. Toimintakate'!J203+'3. Verotulot'!AK203+'4. Valtionosuudet'!AN203</f>
        <v>15160.240171890357</v>
      </c>
      <c r="J203" s="41">
        <f>'2. Toimintakate'!K203+'3. Verotulot'!AP203+'4. Valtionosuudet'!AU203</f>
        <v>18179.591241694754</v>
      </c>
      <c r="K203" s="41">
        <f>'2. Toimintakate'!L203+'3. Verotulot'!AU203+'4. Valtionosuudet'!BC203</f>
        <v>47764.629881886853</v>
      </c>
      <c r="L203" s="41">
        <f>'2. Toimintakate'!M203+'3. Verotulot'!AZ203+'4. Valtionosuudet'!BK203</f>
        <v>17506.218931676467</v>
      </c>
      <c r="M203" s="41">
        <f>'2. Toimintakate'!N203+'3. Verotulot'!BE203+'4. Valtionosuudet'!BQ203</f>
        <v>13684.08046286894</v>
      </c>
      <c r="N203" s="41">
        <f>'2. Toimintakate'!O203+'3. Verotulot'!BJ203+'4. Valtionosuudet'!BY203</f>
        <v>16846.511774426468</v>
      </c>
      <c r="O203" s="41">
        <f>'2. Toimintakate'!P203+'3. Verotulot'!BO203+'4. Valtionosuudet'!CE203</f>
        <v>19529.151698459089</v>
      </c>
      <c r="P203" s="41">
        <f>'2. Toimintakate'!Q203+'3. Verotulot'!BT203+'4. Valtionosuudet'!CK203</f>
        <v>27883.956848589569</v>
      </c>
      <c r="T203" s="34">
        <v>609</v>
      </c>
      <c r="U203" s="88" t="s">
        <v>517</v>
      </c>
      <c r="V203" s="41" t="e">
        <f>C203/'1. Väestöennuste'!E203*1000</f>
        <v>#REF!</v>
      </c>
      <c r="W203" s="41">
        <f>D203/'1. Väestöennuste'!F203*1000</f>
        <v>378.41968515971269</v>
      </c>
      <c r="X203" s="41">
        <f>E203/'1. Väestöennuste'!G203*1000</f>
        <v>392.61352217243785</v>
      </c>
      <c r="Y203" s="41">
        <f>F203/'1. Väestöennuste'!H203*1000</f>
        <v>62.521474355176949</v>
      </c>
      <c r="Z203" s="41">
        <f>G203/'1. Väestöennuste'!I203*1000</f>
        <v>-37.553315700431291</v>
      </c>
      <c r="AA203" s="41">
        <f>H203/'1. Väestöennuste'!J203*1000</f>
        <v>330.39258234461749</v>
      </c>
      <c r="AB203" s="41">
        <f>I203/'1. Väestöennuste'!K203*1000</f>
        <v>181.59890960794371</v>
      </c>
      <c r="AC203" s="41">
        <f>J203/'1. Väestöennuste'!L203*1000</f>
        <v>218.49157192109553</v>
      </c>
      <c r="AD203" s="41">
        <f>K203/'1. Väestöennuste'!M203*1000</f>
        <v>574.74345873807977</v>
      </c>
      <c r="AE203" s="41">
        <f>L203/'1. Väestöennuste'!N203*1000</f>
        <v>212.84933105981332</v>
      </c>
      <c r="AF203" s="41">
        <f>M203/'1. Väestöennuste'!O203*1000</f>
        <v>167.13584853395389</v>
      </c>
      <c r="AG203" s="41">
        <f>N203/'1. Väestöennuste'!P203*1000</f>
        <v>206.71834805112545</v>
      </c>
      <c r="AH203" s="41">
        <f>O203/'1. Väestöennuste'!Q203*1000</f>
        <v>240.75585209402695</v>
      </c>
      <c r="AI203" s="41">
        <f>P203/'1. Väestöennuste'!R203*1000</f>
        <v>345.36776011728909</v>
      </c>
    </row>
    <row r="204" spans="1:35" x14ac:dyDescent="0.2">
      <c r="A204" s="34">
        <v>611</v>
      </c>
      <c r="B204" s="88" t="s">
        <v>518</v>
      </c>
      <c r="C204" s="41" t="e">
        <f>'2. Toimintakate'!D204+'3. Verotulot'!G204+'4. Valtionosuudet'!#REF!</f>
        <v>#REF!</v>
      </c>
      <c r="D204" s="41">
        <f>'2. Toimintakate'!E204+'3. Verotulot'!L204+'4. Valtionosuudet'!H204</f>
        <v>3485</v>
      </c>
      <c r="E204" s="41">
        <f>'2. Toimintakate'!F204+'3. Verotulot'!Q204+'4. Valtionosuudet'!N204</f>
        <v>3688</v>
      </c>
      <c r="F204" s="41">
        <f>'2. Toimintakate'!G204+'3. Verotulot'!V204+'4. Valtionosuudet'!T204</f>
        <v>2772</v>
      </c>
      <c r="G204" s="41">
        <f>'2. Toimintakate'!H204+'3. Verotulot'!AA204+'4. Valtionosuudet'!Z204</f>
        <v>1112</v>
      </c>
      <c r="H204" s="41">
        <f>'2. Toimintakate'!I204+'3. Verotulot'!AF204+'4. Valtionosuudet'!AG204</f>
        <v>3127.9065539462945</v>
      </c>
      <c r="I204" s="41">
        <f>'2. Toimintakate'!J204+'3. Verotulot'!AK204+'4. Valtionosuudet'!AN204</f>
        <v>2950.5917914366128</v>
      </c>
      <c r="J204" s="41">
        <f>'2. Toimintakate'!K204+'3. Verotulot'!AP204+'4. Valtionosuudet'!AU204</f>
        <v>940.9299934155697</v>
      </c>
      <c r="K204" s="41">
        <f>'2. Toimintakate'!L204+'3. Verotulot'!AU204+'4. Valtionosuudet'!BC204</f>
        <v>2964.2372305282024</v>
      </c>
      <c r="L204" s="41">
        <f>'2. Toimintakate'!M204+'3. Verotulot'!AZ204+'4. Valtionosuudet'!BK204</f>
        <v>2201.0126779840857</v>
      </c>
      <c r="M204" s="41">
        <f>'2. Toimintakate'!N204+'3. Verotulot'!BE204+'4. Valtionosuudet'!BQ204</f>
        <v>495.01546163716284</v>
      </c>
      <c r="N204" s="41">
        <f>'2. Toimintakate'!O204+'3. Verotulot'!BJ204+'4. Valtionosuudet'!BY204</f>
        <v>246.69522404385225</v>
      </c>
      <c r="O204" s="41">
        <f>'2. Toimintakate'!P204+'3. Verotulot'!BO204+'4. Valtionosuudet'!CE204</f>
        <v>-12.503966633485106</v>
      </c>
      <c r="P204" s="41">
        <f>'2. Toimintakate'!Q204+'3. Verotulot'!BT204+'4. Valtionosuudet'!CK204</f>
        <v>147.94614068991359</v>
      </c>
      <c r="T204" s="34">
        <v>611</v>
      </c>
      <c r="U204" s="88" t="s">
        <v>518</v>
      </c>
      <c r="V204" s="41" t="e">
        <f>C204/'1. Väestöennuste'!E204*1000</f>
        <v>#REF!</v>
      </c>
      <c r="W204" s="41">
        <f>D204/'1. Väestöennuste'!F204*1000</f>
        <v>682.26311667971811</v>
      </c>
      <c r="X204" s="41">
        <f>E204/'1. Väestöennuste'!G204*1000</f>
        <v>720.1718414372192</v>
      </c>
      <c r="Y204" s="41">
        <f>F204/'1. Väestöennuste'!H204*1000</f>
        <v>546.96132596685084</v>
      </c>
      <c r="Z204" s="41">
        <f>G204/'1. Väestöennuste'!I204*1000</f>
        <v>220.8540218470705</v>
      </c>
      <c r="AA204" s="41">
        <f>H204/'1. Väestöennuste'!J204*1000</f>
        <v>616.94409348053148</v>
      </c>
      <c r="AB204" s="41">
        <f>I204/'1. Väestöennuste'!K204*1000</f>
        <v>582.43027860967493</v>
      </c>
      <c r="AC204" s="41">
        <f>J204/'1. Väestöennuste'!L204*1000</f>
        <v>187.77289830683887</v>
      </c>
      <c r="AD204" s="41">
        <f>K204/'1. Väestöennuste'!M204*1000</f>
        <v>596.06620360510806</v>
      </c>
      <c r="AE204" s="41">
        <f>L204/'1. Väestöennuste'!N204*1000</f>
        <v>434.81088067642941</v>
      </c>
      <c r="AF204" s="41">
        <f>M204/'1. Väestöennuste'!O204*1000</f>
        <v>97.693992823596375</v>
      </c>
      <c r="AG204" s="41">
        <f>N204/'1. Väestöennuste'!P204*1000</f>
        <v>48.609896363320637</v>
      </c>
      <c r="AH204" s="41">
        <f>O204/'1. Väestöennuste'!Q204*1000</f>
        <v>-2.4580237140721657</v>
      </c>
      <c r="AI204" s="41">
        <f>P204/'1. Väestöennuste'!R204*1000</f>
        <v>29.026121383149615</v>
      </c>
    </row>
    <row r="205" spans="1:35" x14ac:dyDescent="0.2">
      <c r="A205" s="34">
        <v>614</v>
      </c>
      <c r="B205" s="88" t="s">
        <v>519</v>
      </c>
      <c r="C205" s="41" t="e">
        <f>'2. Toimintakate'!D205+'3. Verotulot'!G205+'4. Valtionosuudet'!#REF!</f>
        <v>#REF!</v>
      </c>
      <c r="D205" s="41">
        <f>'2. Toimintakate'!E205+'3. Verotulot'!L205+'4. Valtionosuudet'!H205</f>
        <v>1097</v>
      </c>
      <c r="E205" s="41">
        <f>'2. Toimintakate'!F205+'3. Verotulot'!Q205+'4. Valtionosuudet'!N205</f>
        <v>3785</v>
      </c>
      <c r="F205" s="41">
        <f>'2. Toimintakate'!G205+'3. Verotulot'!V205+'4. Valtionosuudet'!T205</f>
        <v>2068</v>
      </c>
      <c r="G205" s="41">
        <f>'2. Toimintakate'!H205+'3. Verotulot'!AA205+'4. Valtionosuudet'!Z205</f>
        <v>1405</v>
      </c>
      <c r="H205" s="41">
        <f>'2. Toimintakate'!I205+'3. Verotulot'!AF205+'4. Valtionosuudet'!AG205</f>
        <v>1786.3349318095607</v>
      </c>
      <c r="I205" s="41">
        <f>'2. Toimintakate'!J205+'3. Verotulot'!AK205+'4. Valtionosuudet'!AN205</f>
        <v>1860.8848970117087</v>
      </c>
      <c r="J205" s="41">
        <f>'2. Toimintakate'!K205+'3. Verotulot'!AP205+'4. Valtionosuudet'!AU205</f>
        <v>841.97036707502775</v>
      </c>
      <c r="K205" s="41">
        <f>'2. Toimintakate'!L205+'3. Verotulot'!AU205+'4. Valtionosuudet'!BC205</f>
        <v>1501.7447540374733</v>
      </c>
      <c r="L205" s="41">
        <f>'2. Toimintakate'!M205+'3. Verotulot'!AZ205+'4. Valtionosuudet'!BK205</f>
        <v>800.98621037307657</v>
      </c>
      <c r="M205" s="41">
        <f>'2. Toimintakate'!N205+'3. Verotulot'!BE205+'4. Valtionosuudet'!BQ205</f>
        <v>29.406396754494381</v>
      </c>
      <c r="N205" s="41">
        <f>'2. Toimintakate'!O205+'3. Verotulot'!BJ205+'4. Valtionosuudet'!BY205</f>
        <v>185.61863580513227</v>
      </c>
      <c r="O205" s="41">
        <f>'2. Toimintakate'!P205+'3. Verotulot'!BO205+'4. Valtionosuudet'!CE205</f>
        <v>163.17034462596166</v>
      </c>
      <c r="P205" s="41">
        <f>'2. Toimintakate'!Q205+'3. Verotulot'!BT205+'4. Valtionosuudet'!CK205</f>
        <v>495.93200280173915</v>
      </c>
      <c r="T205" s="34">
        <v>614</v>
      </c>
      <c r="U205" s="88" t="s">
        <v>519</v>
      </c>
      <c r="V205" s="41" t="e">
        <f>C205/'1. Väestöennuste'!E205*1000</f>
        <v>#REF!</v>
      </c>
      <c r="W205" s="41">
        <f>D205/'1. Väestöennuste'!F205*1000</f>
        <v>320.38551401869159</v>
      </c>
      <c r="X205" s="41">
        <f>E205/'1. Väestöennuste'!G205*1000</f>
        <v>1143.5045317220545</v>
      </c>
      <c r="Y205" s="41">
        <f>F205/'1. Väestöennuste'!H205*1000</f>
        <v>638.86314488724122</v>
      </c>
      <c r="Z205" s="41">
        <f>G205/'1. Väestöennuste'!I205*1000</f>
        <v>441.4074772227458</v>
      </c>
      <c r="AA205" s="41">
        <f>H205/'1. Väestöennuste'!J205*1000</f>
        <v>573.09429958599958</v>
      </c>
      <c r="AB205" s="41">
        <f>I205/'1. Väestöennuste'!K205*1000</f>
        <v>606.94223646826777</v>
      </c>
      <c r="AC205" s="41">
        <f>J205/'1. Väestöennuste'!L205*1000</f>
        <v>280.75037248250339</v>
      </c>
      <c r="AD205" s="41">
        <f>K205/'1. Väestöennuste'!M205*1000</f>
        <v>513.768304494517</v>
      </c>
      <c r="AE205" s="41">
        <f>L205/'1. Väestöennuste'!N205*1000</f>
        <v>280.45735657320608</v>
      </c>
      <c r="AF205" s="41">
        <f>M205/'1. Väestöennuste'!O205*1000</f>
        <v>10.487302694184871</v>
      </c>
      <c r="AG205" s="41">
        <f>N205/'1. Väestöennuste'!P205*1000</f>
        <v>67.326309686301158</v>
      </c>
      <c r="AH205" s="41">
        <f>O205/'1. Väestöennuste'!Q205*1000</f>
        <v>60.210459271572574</v>
      </c>
      <c r="AI205" s="41">
        <f>P205/'1. Väestöennuste'!R205*1000</f>
        <v>185.95125714350925</v>
      </c>
    </row>
    <row r="206" spans="1:35" x14ac:dyDescent="0.2">
      <c r="A206" s="34">
        <v>615</v>
      </c>
      <c r="B206" s="88" t="s">
        <v>520</v>
      </c>
      <c r="C206" s="41" t="e">
        <f>'2. Toimintakate'!D206+'3. Verotulot'!G206+'4. Valtionosuudet'!#REF!</f>
        <v>#REF!</v>
      </c>
      <c r="D206" s="41">
        <f>'2. Toimintakate'!E206+'3. Verotulot'!L206+'4. Valtionosuudet'!H206</f>
        <v>4060</v>
      </c>
      <c r="E206" s="41">
        <f>'2. Toimintakate'!F206+'3. Verotulot'!Q206+'4. Valtionosuudet'!N206</f>
        <v>2552</v>
      </c>
      <c r="F206" s="41">
        <f>'2. Toimintakate'!G206+'3. Verotulot'!V206+'4. Valtionosuudet'!T206</f>
        <v>-1445</v>
      </c>
      <c r="G206" s="41">
        <f>'2. Toimintakate'!H206+'3. Verotulot'!AA206+'4. Valtionosuudet'!Z206</f>
        <v>-1175</v>
      </c>
      <c r="H206" s="41">
        <f>'2. Toimintakate'!I206+'3. Verotulot'!AF206+'4. Valtionosuudet'!AG206</f>
        <v>3658.4637581113639</v>
      </c>
      <c r="I206" s="41">
        <f>'2. Toimintakate'!J206+'3. Verotulot'!AK206+'4. Valtionosuudet'!AN206</f>
        <v>4517.8062972673433</v>
      </c>
      <c r="J206" s="41">
        <f>'2. Toimintakate'!K206+'3. Verotulot'!AP206+'4. Valtionosuudet'!AU206</f>
        <v>4407.5968914245459</v>
      </c>
      <c r="K206" s="41">
        <f>'2. Toimintakate'!L206+'3. Verotulot'!AU206+'4. Valtionosuudet'!BC206</f>
        <v>425.72327555547236</v>
      </c>
      <c r="L206" s="41">
        <f>'2. Toimintakate'!M206+'3. Verotulot'!AZ206+'4. Valtionosuudet'!BK206</f>
        <v>4794.655338131075</v>
      </c>
      <c r="M206" s="41">
        <f>'2. Toimintakate'!N206+'3. Verotulot'!BE206+'4. Valtionosuudet'!BQ206</f>
        <v>-475.06035801636972</v>
      </c>
      <c r="N206" s="41">
        <f>'2. Toimintakate'!O206+'3. Verotulot'!BJ206+'4. Valtionosuudet'!BY206</f>
        <v>-733.11633811701176</v>
      </c>
      <c r="O206" s="41">
        <f>'2. Toimintakate'!P206+'3. Verotulot'!BO206+'4. Valtionosuudet'!CE206</f>
        <v>-766.76205328453216</v>
      </c>
      <c r="P206" s="41">
        <f>'2. Toimintakate'!Q206+'3. Verotulot'!BT206+'4. Valtionosuudet'!CK206</f>
        <v>259.98071508221983</v>
      </c>
      <c r="T206" s="34">
        <v>615</v>
      </c>
      <c r="U206" s="88" t="s">
        <v>520</v>
      </c>
      <c r="V206" s="41" t="e">
        <f>C206/'1. Väestöennuste'!E206*1000</f>
        <v>#REF!</v>
      </c>
      <c r="W206" s="41">
        <f>D206/'1. Väestöennuste'!F206*1000</f>
        <v>495.90814706241605</v>
      </c>
      <c r="X206" s="41">
        <f>E206/'1. Väestöennuste'!G206*1000</f>
        <v>314.94508206836974</v>
      </c>
      <c r="Y206" s="41">
        <f>F206/'1. Väestöennuste'!H206*1000</f>
        <v>-180.85106382978725</v>
      </c>
      <c r="Z206" s="41">
        <f>G206/'1. Väestöennuste'!I206*1000</f>
        <v>-149.2442525085736</v>
      </c>
      <c r="AA206" s="41">
        <f>H206/'1. Väestöennuste'!J206*1000</f>
        <v>470.30000747028714</v>
      </c>
      <c r="AB206" s="41">
        <f>I206/'1. Väestöennuste'!K206*1000</f>
        <v>586.57573322089627</v>
      </c>
      <c r="AC206" s="41">
        <f>J206/'1. Väestöennuste'!L206*1000</f>
        <v>579.71812329666523</v>
      </c>
      <c r="AD206" s="41">
        <f>K206/'1. Väestöennuste'!M206*1000</f>
        <v>56.922486369230164</v>
      </c>
      <c r="AE206" s="41">
        <f>L206/'1. Väestöennuste'!N206*1000</f>
        <v>647.83885125402981</v>
      </c>
      <c r="AF206" s="41">
        <f>M206/'1. Väestöennuste'!O206*1000</f>
        <v>-64.952195517687954</v>
      </c>
      <c r="AG206" s="41">
        <f>N206/'1. Väestöennuste'!P206*1000</f>
        <v>-101.4272742275888</v>
      </c>
      <c r="AH206" s="41">
        <f>O206/'1. Väestöennuste'!Q206*1000</f>
        <v>-107.25444863400925</v>
      </c>
      <c r="AI206" s="41">
        <f>P206/'1. Väestöennuste'!R206*1000</f>
        <v>36.767177921400055</v>
      </c>
    </row>
    <row r="207" spans="1:35" x14ac:dyDescent="0.2">
      <c r="A207" s="34">
        <v>616</v>
      </c>
      <c r="B207" s="88" t="s">
        <v>521</v>
      </c>
      <c r="C207" s="41" t="e">
        <f>'2. Toimintakate'!D207+'3. Verotulot'!G207+'4. Valtionosuudet'!#REF!</f>
        <v>#REF!</v>
      </c>
      <c r="D207" s="41">
        <f>'2. Toimintakate'!E207+'3. Verotulot'!L207+'4. Valtionosuudet'!H207</f>
        <v>265</v>
      </c>
      <c r="E207" s="41">
        <f>'2. Toimintakate'!F207+'3. Verotulot'!Q207+'4. Valtionosuudet'!N207</f>
        <v>728</v>
      </c>
      <c r="F207" s="41">
        <f>'2. Toimintakate'!G207+'3. Verotulot'!V207+'4. Valtionosuudet'!T207</f>
        <v>-975</v>
      </c>
      <c r="G207" s="41">
        <f>'2. Toimintakate'!H207+'3. Verotulot'!AA207+'4. Valtionosuudet'!Z207</f>
        <v>-881</v>
      </c>
      <c r="H207" s="41">
        <f>'2. Toimintakate'!I207+'3. Verotulot'!AF207+'4. Valtionosuudet'!AG207</f>
        <v>533.10617217742038</v>
      </c>
      <c r="I207" s="41">
        <f>'2. Toimintakate'!J207+'3. Verotulot'!AK207+'4. Valtionosuudet'!AN207</f>
        <v>-191.62930478409453</v>
      </c>
      <c r="J207" s="41">
        <f>'2. Toimintakate'!K207+'3. Verotulot'!AP207+'4. Valtionosuudet'!AU207</f>
        <v>-308.32673490497655</v>
      </c>
      <c r="K207" s="41">
        <f>'2. Toimintakate'!L207+'3. Verotulot'!AU207+'4. Valtionosuudet'!BC207</f>
        <v>187.48974601921418</v>
      </c>
      <c r="L207" s="41">
        <f>'2. Toimintakate'!M207+'3. Verotulot'!AZ207+'4. Valtionosuudet'!BK207</f>
        <v>-313.93863737927529</v>
      </c>
      <c r="M207" s="41">
        <f>'2. Toimintakate'!N207+'3. Verotulot'!BE207+'4. Valtionosuudet'!BQ207</f>
        <v>-1040.8293971673115</v>
      </c>
      <c r="N207" s="41">
        <f>'2. Toimintakate'!O207+'3. Verotulot'!BJ207+'4. Valtionosuudet'!BY207</f>
        <v>-1034.0520316508146</v>
      </c>
      <c r="O207" s="41">
        <f>'2. Toimintakate'!P207+'3. Verotulot'!BO207+'4. Valtionosuudet'!CE207</f>
        <v>-1025.8869513456052</v>
      </c>
      <c r="P207" s="41">
        <f>'2. Toimintakate'!Q207+'3. Verotulot'!BT207+'4. Valtionosuudet'!CK207</f>
        <v>-956.49105412938991</v>
      </c>
      <c r="T207" s="34">
        <v>616</v>
      </c>
      <c r="U207" s="88" t="s">
        <v>521</v>
      </c>
      <c r="V207" s="41" t="e">
        <f>C207/'1. Väestöennuste'!E207*1000</f>
        <v>#REF!</v>
      </c>
      <c r="W207" s="41">
        <f>D207/'1. Väestöennuste'!F207*1000</f>
        <v>133.29979879275655</v>
      </c>
      <c r="X207" s="41">
        <f>E207/'1. Väestöennuste'!G207*1000</f>
        <v>375.25773195876286</v>
      </c>
      <c r="Y207" s="41">
        <f>F207/'1. Väestöennuste'!H207*1000</f>
        <v>-513.42812006319116</v>
      </c>
      <c r="Z207" s="41">
        <f>G207/'1. Väestöennuste'!I207*1000</f>
        <v>-473.6559139784946</v>
      </c>
      <c r="AA207" s="41">
        <f>H207/'1. Väestöennuste'!J207*1000</f>
        <v>290.83806447213334</v>
      </c>
      <c r="AB207" s="41">
        <f>I207/'1. Väestöennuste'!K207*1000</f>
        <v>-103.6955112468044</v>
      </c>
      <c r="AC207" s="41">
        <f>J207/'1. Väestöennuste'!L207*1000</f>
        <v>-170.62907299666659</v>
      </c>
      <c r="AD207" s="41">
        <f>K207/'1. Väestöennuste'!M207*1000</f>
        <v>105.27217631623479</v>
      </c>
      <c r="AE207" s="41">
        <f>L207/'1. Väestöennuste'!N207*1000</f>
        <v>-180.01068657068535</v>
      </c>
      <c r="AF207" s="41">
        <f>M207/'1. Väestöennuste'!O207*1000</f>
        <v>-602.3318270644163</v>
      </c>
      <c r="AG207" s="41">
        <f>N207/'1. Väestöennuste'!P207*1000</f>
        <v>-602.24346630798755</v>
      </c>
      <c r="AH207" s="41">
        <f>O207/'1. Väestöennuste'!Q207*1000</f>
        <v>-601.34053420023747</v>
      </c>
      <c r="AI207" s="41">
        <f>P207/'1. Väestöennuste'!R207*1000</f>
        <v>-563.63644910394214</v>
      </c>
    </row>
    <row r="208" spans="1:35" x14ac:dyDescent="0.2">
      <c r="A208" s="34">
        <v>619</v>
      </c>
      <c r="B208" s="88" t="s">
        <v>522</v>
      </c>
      <c r="C208" s="41" t="e">
        <f>'2. Toimintakate'!D208+'3. Verotulot'!G208+'4. Valtionosuudet'!#REF!</f>
        <v>#REF!</v>
      </c>
      <c r="D208" s="41">
        <f>'2. Toimintakate'!E208+'3. Verotulot'!L208+'4. Valtionosuudet'!H208</f>
        <v>1160</v>
      </c>
      <c r="E208" s="41">
        <f>'2. Toimintakate'!F208+'3. Verotulot'!Q208+'4. Valtionosuudet'!N208</f>
        <v>1538</v>
      </c>
      <c r="F208" s="41">
        <f>'2. Toimintakate'!G208+'3. Verotulot'!V208+'4. Valtionosuudet'!T208</f>
        <v>1032</v>
      </c>
      <c r="G208" s="41">
        <f>'2. Toimintakate'!H208+'3. Verotulot'!AA208+'4. Valtionosuudet'!Z208</f>
        <v>586</v>
      </c>
      <c r="H208" s="41">
        <f>'2. Toimintakate'!I208+'3. Verotulot'!AF208+'4. Valtionosuudet'!AG208</f>
        <v>2151.4147729348169</v>
      </c>
      <c r="I208" s="41">
        <f>'2. Toimintakate'!J208+'3. Verotulot'!AK208+'4. Valtionosuudet'!AN208</f>
        <v>908.27065119071995</v>
      </c>
      <c r="J208" s="41">
        <f>'2. Toimintakate'!K208+'3. Verotulot'!AP208+'4. Valtionosuudet'!AU208</f>
        <v>1723.7133281229999</v>
      </c>
      <c r="K208" s="41">
        <f>'2. Toimintakate'!L208+'3. Verotulot'!AU208+'4. Valtionosuudet'!BC208</f>
        <v>2074.9624945751798</v>
      </c>
      <c r="L208" s="41">
        <f>'2. Toimintakate'!M208+'3. Verotulot'!AZ208+'4. Valtionosuudet'!BK208</f>
        <v>892.90531251567973</v>
      </c>
      <c r="M208" s="41">
        <f>'2. Toimintakate'!N208+'3. Verotulot'!BE208+'4. Valtionosuudet'!BQ208</f>
        <v>540.82287202497628</v>
      </c>
      <c r="N208" s="41">
        <f>'2. Toimintakate'!O208+'3. Verotulot'!BJ208+'4. Valtionosuudet'!BY208</f>
        <v>560.23978541883525</v>
      </c>
      <c r="O208" s="41">
        <f>'2. Toimintakate'!P208+'3. Verotulot'!BO208+'4. Valtionosuudet'!CE208</f>
        <v>376.79324084520113</v>
      </c>
      <c r="P208" s="41">
        <f>'2. Toimintakate'!Q208+'3. Verotulot'!BT208+'4. Valtionosuudet'!CK208</f>
        <v>626.39135321928279</v>
      </c>
      <c r="T208" s="34">
        <v>619</v>
      </c>
      <c r="U208" s="88" t="s">
        <v>522</v>
      </c>
      <c r="V208" s="41" t="e">
        <f>C208/'1. Väestöennuste'!E208*1000</f>
        <v>#REF!</v>
      </c>
      <c r="W208" s="41">
        <f>D208/'1. Väestöennuste'!F208*1000</f>
        <v>386.28038628038632</v>
      </c>
      <c r="X208" s="41">
        <f>E208/'1. Väestöennuste'!G208*1000</f>
        <v>521.53272295693455</v>
      </c>
      <c r="Y208" s="41">
        <f>F208/'1. Väestöennuste'!H208*1000</f>
        <v>356.35359116022096</v>
      </c>
      <c r="Z208" s="41">
        <f>G208/'1. Väestöennuste'!I208*1000</f>
        <v>207.2135785007072</v>
      </c>
      <c r="AA208" s="41">
        <f>H208/'1. Väestöennuste'!J208*1000</f>
        <v>772.50081613458417</v>
      </c>
      <c r="AB208" s="41">
        <f>I208/'1. Väestöennuste'!K208*1000</f>
        <v>333.80031282275627</v>
      </c>
      <c r="AC208" s="41">
        <f>J208/'1. Väestöennuste'!L208*1000</f>
        <v>644.37881425158866</v>
      </c>
      <c r="AD208" s="41">
        <f>K208/'1. Väestöennuste'!M208*1000</f>
        <v>783.00471493403018</v>
      </c>
      <c r="AE208" s="41">
        <f>L208/'1. Väestöennuste'!N208*1000</f>
        <v>348.38287651801784</v>
      </c>
      <c r="AF208" s="41">
        <f>M208/'1. Väestöennuste'!O208*1000</f>
        <v>214.95344675078547</v>
      </c>
      <c r="AG208" s="41">
        <f>N208/'1. Väestöennuste'!P208*1000</f>
        <v>226.45100461553565</v>
      </c>
      <c r="AH208" s="41">
        <f>O208/'1. Väestöennuste'!Q208*1000</f>
        <v>154.67702826157682</v>
      </c>
      <c r="AI208" s="41">
        <f>P208/'1. Väestöennuste'!R208*1000</f>
        <v>260.9963971747012</v>
      </c>
    </row>
    <row r="209" spans="1:35" x14ac:dyDescent="0.2">
      <c r="A209" s="34">
        <v>620</v>
      </c>
      <c r="B209" s="88" t="s">
        <v>523</v>
      </c>
      <c r="C209" s="41" t="e">
        <f>'2. Toimintakate'!D209+'3. Verotulot'!G209+'4. Valtionosuudet'!#REF!</f>
        <v>#REF!</v>
      </c>
      <c r="D209" s="41">
        <f>'2. Toimintakate'!E209+'3. Verotulot'!L209+'4. Valtionosuudet'!H209</f>
        <v>1533</v>
      </c>
      <c r="E209" s="41">
        <f>'2. Toimintakate'!F209+'3. Verotulot'!Q209+'4. Valtionosuudet'!N209</f>
        <v>926</v>
      </c>
      <c r="F209" s="41">
        <f>'2. Toimintakate'!G209+'3. Verotulot'!V209+'4. Valtionosuudet'!T209</f>
        <v>159</v>
      </c>
      <c r="G209" s="41">
        <f>'2. Toimintakate'!H209+'3. Verotulot'!AA209+'4. Valtionosuudet'!Z209</f>
        <v>1418</v>
      </c>
      <c r="H209" s="41">
        <f>'2. Toimintakate'!I209+'3. Verotulot'!AF209+'4. Valtionosuudet'!AG209</f>
        <v>2462.4031489030967</v>
      </c>
      <c r="I209" s="41">
        <f>'2. Toimintakate'!J209+'3. Verotulot'!AK209+'4. Valtionosuudet'!AN209</f>
        <v>1669.6744047077282</v>
      </c>
      <c r="J209" s="41">
        <f>'2. Toimintakate'!K209+'3. Verotulot'!AP209+'4. Valtionosuudet'!AU209</f>
        <v>2153.2494880719805</v>
      </c>
      <c r="K209" s="41">
        <f>'2. Toimintakate'!L209+'3. Verotulot'!AU209+'4. Valtionosuudet'!BC209</f>
        <v>1035.6106562761606</v>
      </c>
      <c r="L209" s="41">
        <f>'2. Toimintakate'!M209+'3. Verotulot'!AZ209+'4. Valtionosuudet'!BK209</f>
        <v>1006.102897519007</v>
      </c>
      <c r="M209" s="41">
        <f>'2. Toimintakate'!N209+'3. Verotulot'!BE209+'4. Valtionosuudet'!BQ209</f>
        <v>186.91779990176929</v>
      </c>
      <c r="N209" s="41">
        <f>'2. Toimintakate'!O209+'3. Verotulot'!BJ209+'4. Valtionosuudet'!BY209</f>
        <v>-15.101768400277251</v>
      </c>
      <c r="O209" s="41">
        <f>'2. Toimintakate'!P209+'3. Verotulot'!BO209+'4. Valtionosuudet'!CE209</f>
        <v>-220.62812936914361</v>
      </c>
      <c r="P209" s="41">
        <f>'2. Toimintakate'!Q209+'3. Verotulot'!BT209+'4. Valtionosuudet'!CK209</f>
        <v>60.238677190496674</v>
      </c>
      <c r="T209" s="34">
        <v>620</v>
      </c>
      <c r="U209" s="88" t="s">
        <v>523</v>
      </c>
      <c r="V209" s="41" t="e">
        <f>C209/'1. Väestöennuste'!E209*1000</f>
        <v>#REF!</v>
      </c>
      <c r="W209" s="41">
        <f>D209/'1. Väestöennuste'!F209*1000</f>
        <v>560.51188299817193</v>
      </c>
      <c r="X209" s="41">
        <f>E209/'1. Väestöennuste'!G209*1000</f>
        <v>346.94642188085425</v>
      </c>
      <c r="Y209" s="41">
        <f>F209/'1. Väestöennuste'!H209*1000</f>
        <v>61.224489795918366</v>
      </c>
      <c r="Z209" s="41">
        <f>G209/'1. Väestöennuste'!I209*1000</f>
        <v>560.91772151898738</v>
      </c>
      <c r="AA209" s="41">
        <f>H209/'1. Väestöennuste'!J209*1000</f>
        <v>988.51993131396898</v>
      </c>
      <c r="AB209" s="41">
        <f>I209/'1. Väestöennuste'!K209*1000</f>
        <v>682.61422923455768</v>
      </c>
      <c r="AC209" s="41">
        <f>J209/'1. Väestöennuste'!L209*1000</f>
        <v>904.72667566049597</v>
      </c>
      <c r="AD209" s="41">
        <f>K209/'1. Väestöennuste'!M209*1000</f>
        <v>439.0040933769227</v>
      </c>
      <c r="AE209" s="41">
        <f>L209/'1. Väestöennuste'!N209*1000</f>
        <v>440.69334100701138</v>
      </c>
      <c r="AF209" s="41">
        <f>M209/'1. Väestöennuste'!O209*1000</f>
        <v>83.520017829208797</v>
      </c>
      <c r="AG209" s="41">
        <f>N209/'1. Väestöennuste'!P209*1000</f>
        <v>-6.8769437159732476</v>
      </c>
      <c r="AH209" s="41">
        <f>O209/'1. Väestöennuste'!Q209*1000</f>
        <v>-102.28471458931091</v>
      </c>
      <c r="AI209" s="41">
        <f>P209/'1. Väestöennuste'!R209*1000</f>
        <v>28.427879750116411</v>
      </c>
    </row>
    <row r="210" spans="1:35" x14ac:dyDescent="0.2">
      <c r="A210" s="34">
        <v>623</v>
      </c>
      <c r="B210" s="88" t="s">
        <v>524</v>
      </c>
      <c r="C210" s="41" t="e">
        <f>'2. Toimintakate'!D210+'3. Verotulot'!G210+'4. Valtionosuudet'!#REF!</f>
        <v>#REF!</v>
      </c>
      <c r="D210" s="41">
        <f>'2. Toimintakate'!E210+'3. Verotulot'!L210+'4. Valtionosuudet'!H210</f>
        <v>2410</v>
      </c>
      <c r="E210" s="41">
        <f>'2. Toimintakate'!F210+'3. Verotulot'!Q210+'4. Valtionosuudet'!N210</f>
        <v>2248</v>
      </c>
      <c r="F210" s="41">
        <f>'2. Toimintakate'!G210+'3. Verotulot'!V210+'4. Valtionosuudet'!T210</f>
        <v>2340</v>
      </c>
      <c r="G210" s="41">
        <f>'2. Toimintakate'!H210+'3. Verotulot'!AA210+'4. Valtionosuudet'!Z210</f>
        <v>2139</v>
      </c>
      <c r="H210" s="41">
        <f>'2. Toimintakate'!I210+'3. Verotulot'!AF210+'4. Valtionosuudet'!AG210</f>
        <v>2319.0752507944962</v>
      </c>
      <c r="I210" s="41">
        <f>'2. Toimintakate'!J210+'3. Verotulot'!AK210+'4. Valtionosuudet'!AN210</f>
        <v>2208.3322535266416</v>
      </c>
      <c r="J210" s="41">
        <f>'2. Toimintakate'!K210+'3. Verotulot'!AP210+'4. Valtionosuudet'!AU210</f>
        <v>1258.6360344459845</v>
      </c>
      <c r="K210" s="41">
        <f>'2. Toimintakate'!L210+'3. Verotulot'!AU210+'4. Valtionosuudet'!BC210</f>
        <v>2293.1466120357036</v>
      </c>
      <c r="L210" s="41">
        <f>'2. Toimintakate'!M210+'3. Verotulot'!AZ210+'4. Valtionosuudet'!BK210</f>
        <v>969.95796940996956</v>
      </c>
      <c r="M210" s="41">
        <f>'2. Toimintakate'!N210+'3. Verotulot'!BE210+'4. Valtionosuudet'!BQ210</f>
        <v>1221.1175960263677</v>
      </c>
      <c r="N210" s="41">
        <f>'2. Toimintakate'!O210+'3. Verotulot'!BJ210+'4. Valtionosuudet'!BY210</f>
        <v>1158.054717413944</v>
      </c>
      <c r="O210" s="41">
        <f>'2. Toimintakate'!P210+'3. Verotulot'!BO210+'4. Valtionosuudet'!CE210</f>
        <v>1063.028887165236</v>
      </c>
      <c r="P210" s="41">
        <f>'2. Toimintakate'!Q210+'3. Verotulot'!BT210+'4. Valtionosuudet'!CK210</f>
        <v>1108.7812155559027</v>
      </c>
      <c r="T210" s="34">
        <v>623</v>
      </c>
      <c r="U210" s="88" t="s">
        <v>524</v>
      </c>
      <c r="V210" s="41" t="e">
        <f>C210/'1. Väestöennuste'!E210*1000</f>
        <v>#REF!</v>
      </c>
      <c r="W210" s="41">
        <f>D210/'1. Väestöennuste'!F210*1000</f>
        <v>1078.7824529991049</v>
      </c>
      <c r="X210" s="41">
        <f>E210/'1. Väestöennuste'!G210*1000</f>
        <v>1018.1159420289856</v>
      </c>
      <c r="Y210" s="41">
        <f>F210/'1. Väestöennuste'!H210*1000</f>
        <v>1065.0887573964499</v>
      </c>
      <c r="Z210" s="41">
        <f>G210/'1. Väestöennuste'!I210*1000</f>
        <v>994.42119944211993</v>
      </c>
      <c r="AA210" s="41">
        <f>H210/'1. Väestöennuste'!J210*1000</f>
        <v>1085.2013340170784</v>
      </c>
      <c r="AB210" s="41">
        <f>I210/'1. Väestöennuste'!K210*1000</f>
        <v>1043.1423020909974</v>
      </c>
      <c r="AC210" s="41">
        <f>J210/'1. Väestöennuste'!L210*1000</f>
        <v>597.35929494351421</v>
      </c>
      <c r="AD210" s="41">
        <f>K210/'1. Väestöennuste'!M210*1000</f>
        <v>1087.8304611175065</v>
      </c>
      <c r="AE210" s="41">
        <f>L210/'1. Väestöennuste'!N210*1000</f>
        <v>473.15022898047295</v>
      </c>
      <c r="AF210" s="41">
        <f>M210/'1. Väestöennuste'!O210*1000</f>
        <v>600.6481042923599</v>
      </c>
      <c r="AG210" s="41">
        <f>N210/'1. Väestöennuste'!P210*1000</f>
        <v>574.4319034791389</v>
      </c>
      <c r="AH210" s="41">
        <f>O210/'1. Väestöennuste'!Q210*1000</f>
        <v>531.51444358261801</v>
      </c>
      <c r="AI210" s="41">
        <f>P210/'1. Väestöennuste'!R210*1000</f>
        <v>559.14332604937101</v>
      </c>
    </row>
    <row r="211" spans="1:35" x14ac:dyDescent="0.2">
      <c r="A211" s="34">
        <v>624</v>
      </c>
      <c r="B211" s="88" t="s">
        <v>525</v>
      </c>
      <c r="C211" s="41" t="e">
        <f>'2. Toimintakate'!D211+'3. Verotulot'!G211+'4. Valtionosuudet'!#REF!</f>
        <v>#REF!</v>
      </c>
      <c r="D211" s="41">
        <f>'2. Toimintakate'!E211+'3. Verotulot'!L211+'4. Valtionosuudet'!H211</f>
        <v>1921</v>
      </c>
      <c r="E211" s="41">
        <f>'2. Toimintakate'!F211+'3. Verotulot'!Q211+'4. Valtionosuudet'!N211</f>
        <v>3239</v>
      </c>
      <c r="F211" s="41">
        <f>'2. Toimintakate'!G211+'3. Verotulot'!V211+'4. Valtionosuudet'!T211</f>
        <v>340</v>
      </c>
      <c r="G211" s="41">
        <f>'2. Toimintakate'!H211+'3. Verotulot'!AA211+'4. Valtionosuudet'!Z211</f>
        <v>692</v>
      </c>
      <c r="H211" s="41">
        <f>'2. Toimintakate'!I211+'3. Verotulot'!AF211+'4. Valtionosuudet'!AG211</f>
        <v>2662.5151978611502</v>
      </c>
      <c r="I211" s="41">
        <f>'2. Toimintakate'!J211+'3. Verotulot'!AK211+'4. Valtionosuudet'!AN211</f>
        <v>2535.0496322917897</v>
      </c>
      <c r="J211" s="41">
        <f>'2. Toimintakate'!K211+'3. Verotulot'!AP211+'4. Valtionosuudet'!AU211</f>
        <v>2677.0107292291796</v>
      </c>
      <c r="K211" s="41">
        <f>'2. Toimintakate'!L211+'3. Verotulot'!AU211+'4. Valtionosuudet'!BC211</f>
        <v>4773.8108891767815</v>
      </c>
      <c r="L211" s="41">
        <f>'2. Toimintakate'!M211+'3. Verotulot'!AZ211+'4. Valtionosuudet'!BK211</f>
        <v>2061.4580422872687</v>
      </c>
      <c r="M211" s="41">
        <f>'2. Toimintakate'!N211+'3. Verotulot'!BE211+'4. Valtionosuudet'!BQ211</f>
        <v>1501.0697519546256</v>
      </c>
      <c r="N211" s="41">
        <f>'2. Toimintakate'!O211+'3. Verotulot'!BJ211+'4. Valtionosuudet'!BY211</f>
        <v>1491.3399985917476</v>
      </c>
      <c r="O211" s="41">
        <f>'2. Toimintakate'!P211+'3. Verotulot'!BO211+'4. Valtionosuudet'!CE211</f>
        <v>1590.684093058404</v>
      </c>
      <c r="P211" s="41">
        <f>'2. Toimintakate'!Q211+'3. Verotulot'!BT211+'4. Valtionosuudet'!CK211</f>
        <v>2183.0579745457626</v>
      </c>
      <c r="T211" s="34">
        <v>624</v>
      </c>
      <c r="U211" s="88" t="s">
        <v>525</v>
      </c>
      <c r="V211" s="41" t="e">
        <f>C211/'1. Väestöennuste'!E211*1000</f>
        <v>#REF!</v>
      </c>
      <c r="W211" s="41">
        <f>D211/'1. Väestöennuste'!F211*1000</f>
        <v>359.73782771535576</v>
      </c>
      <c r="X211" s="41">
        <f>E211/'1. Väestöennuste'!G211*1000</f>
        <v>615.31155015197567</v>
      </c>
      <c r="Y211" s="41">
        <f>F211/'1. Väestöennuste'!H211*1000</f>
        <v>65.548486601118185</v>
      </c>
      <c r="Z211" s="41">
        <f>G211/'1. Väestöennuste'!I211*1000</f>
        <v>134.63035019455253</v>
      </c>
      <c r="AA211" s="41">
        <f>H211/'1. Väestöennuste'!J211*1000</f>
        <v>519.51516055827324</v>
      </c>
      <c r="AB211" s="41">
        <f>I211/'1. Väestöennuste'!K211*1000</f>
        <v>495.22360466727679</v>
      </c>
      <c r="AC211" s="41">
        <f>J211/'1. Väestöennuste'!L211*1000</f>
        <v>523.16019723063903</v>
      </c>
      <c r="AD211" s="41">
        <f>K211/'1. Väestöennuste'!M211*1000</f>
        <v>942.50955363806156</v>
      </c>
      <c r="AE211" s="41">
        <f>L211/'1. Väestöennuste'!N211*1000</f>
        <v>413.36636099604345</v>
      </c>
      <c r="AF211" s="41">
        <f>M211/'1. Väestöennuste'!O211*1000</f>
        <v>303.49166032240714</v>
      </c>
      <c r="AG211" s="41">
        <f>N211/'1. Väestöennuste'!P211*1000</f>
        <v>303.92092899770688</v>
      </c>
      <c r="AH211" s="41">
        <f>O211/'1. Väestöennuste'!Q211*1000</f>
        <v>326.76337162251519</v>
      </c>
      <c r="AI211" s="41">
        <f>P211/'1. Väestöennuste'!R211*1000</f>
        <v>452.44724861052077</v>
      </c>
    </row>
    <row r="212" spans="1:35" x14ac:dyDescent="0.2">
      <c r="A212" s="34">
        <v>625</v>
      </c>
      <c r="B212" s="88" t="s">
        <v>526</v>
      </c>
      <c r="C212" s="41" t="e">
        <f>'2. Toimintakate'!D212+'3. Verotulot'!G212+'4. Valtionosuudet'!#REF!</f>
        <v>#REF!</v>
      </c>
      <c r="D212" s="41">
        <f>'2. Toimintakate'!E212+'3. Verotulot'!L212+'4. Valtionosuudet'!H212</f>
        <v>1005</v>
      </c>
      <c r="E212" s="41">
        <f>'2. Toimintakate'!F212+'3. Verotulot'!Q212+'4. Valtionosuudet'!N212</f>
        <v>1420</v>
      </c>
      <c r="F212" s="41">
        <f>'2. Toimintakate'!G212+'3. Verotulot'!V212+'4. Valtionosuudet'!T212</f>
        <v>758</v>
      </c>
      <c r="G212" s="41">
        <f>'2. Toimintakate'!H212+'3. Verotulot'!AA212+'4. Valtionosuudet'!Z212</f>
        <v>-356</v>
      </c>
      <c r="H212" s="41">
        <f>'2. Toimintakate'!I212+'3. Verotulot'!AF212+'4. Valtionosuudet'!AG212</f>
        <v>2879.869630893254</v>
      </c>
      <c r="I212" s="41">
        <f>'2. Toimintakate'!J212+'3. Verotulot'!AK212+'4. Valtionosuudet'!AN212</f>
        <v>2417.1809651006588</v>
      </c>
      <c r="J212" s="41">
        <f>'2. Toimintakate'!K212+'3. Verotulot'!AP212+'4. Valtionosuudet'!AU212</f>
        <v>4289.8987795823832</v>
      </c>
      <c r="K212" s="41">
        <f>'2. Toimintakate'!L212+'3. Verotulot'!AU212+'4. Valtionosuudet'!BC212</f>
        <v>5045.6433952282969</v>
      </c>
      <c r="L212" s="41">
        <f>'2. Toimintakate'!M212+'3. Verotulot'!AZ212+'4. Valtionosuudet'!BK212</f>
        <v>4236.4360548538734</v>
      </c>
      <c r="M212" s="41">
        <f>'2. Toimintakate'!N212+'3. Verotulot'!BE212+'4. Valtionosuudet'!BQ212</f>
        <v>3498.068652881564</v>
      </c>
      <c r="N212" s="41">
        <f>'2. Toimintakate'!O212+'3. Verotulot'!BJ212+'4. Valtionosuudet'!BY212</f>
        <v>3287.7788745245871</v>
      </c>
      <c r="O212" s="41">
        <f>'2. Toimintakate'!P212+'3. Verotulot'!BO212+'4. Valtionosuudet'!CE212</f>
        <v>2966.7015715700136</v>
      </c>
      <c r="P212" s="41">
        <f>'2. Toimintakate'!Q212+'3. Verotulot'!BT212+'4. Valtionosuudet'!CK212</f>
        <v>3232.5113348419009</v>
      </c>
      <c r="T212" s="34">
        <v>625</v>
      </c>
      <c r="U212" s="88" t="s">
        <v>526</v>
      </c>
      <c r="V212" s="41" t="e">
        <f>C212/'1. Väestöennuste'!E212*1000</f>
        <v>#REF!</v>
      </c>
      <c r="W212" s="41">
        <f>D212/'1. Väestöennuste'!F212*1000</f>
        <v>315.24466750313678</v>
      </c>
      <c r="X212" s="41">
        <f>E212/'1. Väestöennuste'!G212*1000</f>
        <v>445.28065224208211</v>
      </c>
      <c r="Y212" s="41">
        <f>F212/'1. Väestöennuste'!H212*1000</f>
        <v>240.94087730451366</v>
      </c>
      <c r="Z212" s="41">
        <f>G212/'1. Väestöennuste'!I212*1000</f>
        <v>-115.6971075723107</v>
      </c>
      <c r="AA212" s="41">
        <f>H212/'1. Väestöennuste'!J212*1000</f>
        <v>943.91007240027989</v>
      </c>
      <c r="AB212" s="41">
        <f>I212/'1. Väestöennuste'!K212*1000</f>
        <v>793.0383743768565</v>
      </c>
      <c r="AC212" s="41">
        <f>J212/'1. Väestöennuste'!L212*1000</f>
        <v>1434.2690670619804</v>
      </c>
      <c r="AD212" s="41">
        <f>K212/'1. Väestöennuste'!M212*1000</f>
        <v>1693.1689245732539</v>
      </c>
      <c r="AE212" s="41">
        <f>L212/'1. Väestöennuste'!N212*1000</f>
        <v>1454.8200737822367</v>
      </c>
      <c r="AF212" s="41">
        <f>M212/'1. Väestöennuste'!O212*1000</f>
        <v>1215.0290562284001</v>
      </c>
      <c r="AG212" s="41">
        <f>N212/'1. Väestöennuste'!P212*1000</f>
        <v>1154.8222249822925</v>
      </c>
      <c r="AH212" s="41">
        <f>O212/'1. Väestöennuste'!Q212*1000</f>
        <v>1054.2649508066856</v>
      </c>
      <c r="AI212" s="41">
        <f>P212/'1. Väestöennuste'!R212*1000</f>
        <v>1162.3557478755486</v>
      </c>
    </row>
    <row r="213" spans="1:35" x14ac:dyDescent="0.2">
      <c r="A213" s="34">
        <v>626</v>
      </c>
      <c r="B213" s="88" t="s">
        <v>527</v>
      </c>
      <c r="C213" s="41" t="e">
        <f>'2. Toimintakate'!D213+'3. Verotulot'!G213+'4. Valtionosuudet'!#REF!</f>
        <v>#REF!</v>
      </c>
      <c r="D213" s="41">
        <f>'2. Toimintakate'!E213+'3. Verotulot'!L213+'4. Valtionosuudet'!H213</f>
        <v>-3235</v>
      </c>
      <c r="E213" s="41">
        <f>'2. Toimintakate'!F213+'3. Verotulot'!Q213+'4. Valtionosuudet'!N213</f>
        <v>-530</v>
      </c>
      <c r="F213" s="41">
        <f>'2. Toimintakate'!G213+'3. Verotulot'!V213+'4. Valtionosuudet'!T213</f>
        <v>-936</v>
      </c>
      <c r="G213" s="41">
        <f>'2. Toimintakate'!H213+'3. Verotulot'!AA213+'4. Valtionosuudet'!Z213</f>
        <v>-2203</v>
      </c>
      <c r="H213" s="41">
        <f>'2. Toimintakate'!I213+'3. Verotulot'!AF213+'4. Valtionosuudet'!AG213</f>
        <v>2456.261955174592</v>
      </c>
      <c r="I213" s="41">
        <f>'2. Toimintakate'!J213+'3. Verotulot'!AK213+'4. Valtionosuudet'!AN213</f>
        <v>3179.5410587169063</v>
      </c>
      <c r="J213" s="41">
        <f>'2. Toimintakate'!K213+'3. Verotulot'!AP213+'4. Valtionosuudet'!AU213</f>
        <v>439.24570135903195</v>
      </c>
      <c r="K213" s="41">
        <f>'2. Toimintakate'!L213+'3. Verotulot'!AU213+'4. Valtionosuudet'!BC213</f>
        <v>-1329.6236623158989</v>
      </c>
      <c r="L213" s="41">
        <f>'2. Toimintakate'!M213+'3. Verotulot'!AZ213+'4. Valtionosuudet'!BK213</f>
        <v>-1093.8766714368599</v>
      </c>
      <c r="M213" s="41">
        <f>'2. Toimintakate'!N213+'3. Verotulot'!BE213+'4. Valtionosuudet'!BQ213</f>
        <v>-1464.1029290554588</v>
      </c>
      <c r="N213" s="41">
        <f>'2. Toimintakate'!O213+'3. Verotulot'!BJ213+'4. Valtionosuudet'!BY213</f>
        <v>-1380.8769371499384</v>
      </c>
      <c r="O213" s="41">
        <f>'2. Toimintakate'!P213+'3. Verotulot'!BO213+'4. Valtionosuudet'!CE213</f>
        <v>-1630.6953177668374</v>
      </c>
      <c r="P213" s="41">
        <f>'2. Toimintakate'!Q213+'3. Verotulot'!BT213+'4. Valtionosuudet'!CK213</f>
        <v>-989.82907072830039</v>
      </c>
      <c r="T213" s="34">
        <v>626</v>
      </c>
      <c r="U213" s="88" t="s">
        <v>527</v>
      </c>
      <c r="V213" s="41" t="e">
        <f>C213/'1. Väestöennuste'!E213*1000</f>
        <v>#REF!</v>
      </c>
      <c r="W213" s="41">
        <f>D213/'1. Väestöennuste'!F213*1000</f>
        <v>-594.01395519647451</v>
      </c>
      <c r="X213" s="41">
        <f>E213/'1. Väestöennuste'!G213*1000</f>
        <v>-99.306726625445009</v>
      </c>
      <c r="Y213" s="41">
        <f>F213/'1. Väestöennuste'!H213*1000</f>
        <v>-178.35365853658536</v>
      </c>
      <c r="Z213" s="41">
        <f>G213/'1. Väestöennuste'!I213*1000</f>
        <v>-429.35100370298187</v>
      </c>
      <c r="AA213" s="41">
        <f>H213/'1. Väestöennuste'!J213*1000</f>
        <v>488.03138390117067</v>
      </c>
      <c r="AB213" s="41">
        <f>I213/'1. Väestöennuste'!K213*1000</f>
        <v>640.51995542242264</v>
      </c>
      <c r="AC213" s="41">
        <f>J213/'1. Väestöennuste'!L213*1000</f>
        <v>90.847094386562972</v>
      </c>
      <c r="AD213" s="41">
        <f>K213/'1. Väestöennuste'!M213*1000</f>
        <v>-279.56763295119822</v>
      </c>
      <c r="AE213" s="41">
        <f>L213/'1. Väestöennuste'!N213*1000</f>
        <v>-232.93796240137559</v>
      </c>
      <c r="AF213" s="41">
        <f>M213/'1. Väestöennuste'!O213*1000</f>
        <v>-316.97400499143947</v>
      </c>
      <c r="AG213" s="41">
        <f>N213/'1. Väestöennuste'!P213*1000</f>
        <v>-303.89017102771533</v>
      </c>
      <c r="AH213" s="41">
        <f>O213/'1. Väestöennuste'!Q213*1000</f>
        <v>-364.64564350779011</v>
      </c>
      <c r="AI213" s="41">
        <f>P213/'1. Väestöennuste'!R213*1000</f>
        <v>-225.01229159543087</v>
      </c>
    </row>
    <row r="214" spans="1:35" x14ac:dyDescent="0.2">
      <c r="A214" s="34">
        <v>630</v>
      </c>
      <c r="B214" s="88" t="s">
        <v>528</v>
      </c>
      <c r="C214" s="41" t="e">
        <f>'2. Toimintakate'!D214+'3. Verotulot'!G214+'4. Valtionosuudet'!#REF!</f>
        <v>#REF!</v>
      </c>
      <c r="D214" s="41">
        <f>'2. Toimintakate'!E214+'3. Verotulot'!L214+'4. Valtionosuudet'!H214</f>
        <v>687</v>
      </c>
      <c r="E214" s="41">
        <f>'2. Toimintakate'!F214+'3. Verotulot'!Q214+'4. Valtionosuudet'!N214</f>
        <v>1317</v>
      </c>
      <c r="F214" s="41">
        <f>'2. Toimintakate'!G214+'3. Verotulot'!V214+'4. Valtionosuudet'!T214</f>
        <v>849</v>
      </c>
      <c r="G214" s="41">
        <f>'2. Toimintakate'!H214+'3. Verotulot'!AA214+'4. Valtionosuudet'!Z214</f>
        <v>390</v>
      </c>
      <c r="H214" s="41">
        <f>'2. Toimintakate'!I214+'3. Verotulot'!AF214+'4. Valtionosuudet'!AG214</f>
        <v>469.59980795443153</v>
      </c>
      <c r="I214" s="41">
        <f>'2. Toimintakate'!J214+'3. Verotulot'!AK214+'4. Valtionosuudet'!AN214</f>
        <v>516.81461751898314</v>
      </c>
      <c r="J214" s="41">
        <f>'2. Toimintakate'!K214+'3. Verotulot'!AP214+'4. Valtionosuudet'!AU214</f>
        <v>1724.1773901412616</v>
      </c>
      <c r="K214" s="41">
        <f>'2. Toimintakate'!L214+'3. Verotulot'!AU214+'4. Valtionosuudet'!BC214</f>
        <v>1401.9332127619514</v>
      </c>
      <c r="L214" s="41">
        <f>'2. Toimintakate'!M214+'3. Verotulot'!AZ214+'4. Valtionosuudet'!BK214</f>
        <v>1411.7743686309668</v>
      </c>
      <c r="M214" s="41">
        <f>'2. Toimintakate'!N214+'3. Verotulot'!BE214+'4. Valtionosuudet'!BQ214</f>
        <v>1409.6161959921851</v>
      </c>
      <c r="N214" s="41">
        <f>'2. Toimintakate'!O214+'3. Verotulot'!BJ214+'4. Valtionosuudet'!BY214</f>
        <v>1435.0766039484083</v>
      </c>
      <c r="O214" s="41">
        <f>'2. Toimintakate'!P214+'3. Verotulot'!BO214+'4. Valtionosuudet'!CE214</f>
        <v>1534.7815113258507</v>
      </c>
      <c r="P214" s="41">
        <f>'2. Toimintakate'!Q214+'3. Verotulot'!BT214+'4. Valtionosuudet'!CK214</f>
        <v>1924.9729994496297</v>
      </c>
      <c r="T214" s="34">
        <v>630</v>
      </c>
      <c r="U214" s="88" t="s">
        <v>528</v>
      </c>
      <c r="V214" s="41" t="e">
        <f>C214/'1. Väestöennuste'!E214*1000</f>
        <v>#REF!</v>
      </c>
      <c r="W214" s="41">
        <f>D214/'1. Väestöennuste'!F214*1000</f>
        <v>435.08549715009497</v>
      </c>
      <c r="X214" s="41">
        <f>E214/'1. Väestöennuste'!G214*1000</f>
        <v>834.07219759341353</v>
      </c>
      <c r="Y214" s="41">
        <f>F214/'1. Väestöennuste'!H214*1000</f>
        <v>545.27938342967241</v>
      </c>
      <c r="Z214" s="41">
        <f>G214/'1. Väestöennuste'!I214*1000</f>
        <v>247.14828897338404</v>
      </c>
      <c r="AA214" s="41">
        <f>H214/'1. Väestöennuste'!J214*1000</f>
        <v>294.78958440328404</v>
      </c>
      <c r="AB214" s="41">
        <f>I214/'1. Väestöennuste'!K214*1000</f>
        <v>316.86978388656235</v>
      </c>
      <c r="AC214" s="41">
        <f>J214/'1. Väestöennuste'!L214*1000</f>
        <v>1054.5427462637685</v>
      </c>
      <c r="AD214" s="41">
        <f>K214/'1. Väestöennuste'!M214*1000</f>
        <v>851.72127142281374</v>
      </c>
      <c r="AE214" s="41">
        <f>L214/'1. Väestöennuste'!N214*1000</f>
        <v>883.46330953126835</v>
      </c>
      <c r="AF214" s="41">
        <f>M214/'1. Väestöennuste'!O214*1000</f>
        <v>881.56109818147911</v>
      </c>
      <c r="AG214" s="41">
        <f>N214/'1. Väestöennuste'!P214*1000</f>
        <v>898.60776703093825</v>
      </c>
      <c r="AH214" s="41">
        <f>O214/'1. Väestöennuste'!Q214*1000</f>
        <v>962.24546164630146</v>
      </c>
      <c r="AI214" s="41">
        <f>P214/'1. Väestöennuste'!R214*1000</f>
        <v>1205.3681900122917</v>
      </c>
    </row>
    <row r="215" spans="1:35" x14ac:dyDescent="0.2">
      <c r="A215" s="34">
        <v>631</v>
      </c>
      <c r="B215" s="88" t="s">
        <v>529</v>
      </c>
      <c r="C215" s="41" t="e">
        <f>'2. Toimintakate'!D215+'3. Verotulot'!G215+'4. Valtionosuudet'!#REF!</f>
        <v>#REF!</v>
      </c>
      <c r="D215" s="41">
        <f>'2. Toimintakate'!E215+'3. Verotulot'!L215+'4. Valtionosuudet'!H215</f>
        <v>-265</v>
      </c>
      <c r="E215" s="41">
        <f>'2. Toimintakate'!F215+'3. Verotulot'!Q215+'4. Valtionosuudet'!N215</f>
        <v>994</v>
      </c>
      <c r="F215" s="41">
        <f>'2. Toimintakate'!G215+'3. Verotulot'!V215+'4. Valtionosuudet'!T215</f>
        <v>1240</v>
      </c>
      <c r="G215" s="41">
        <f>'2. Toimintakate'!H215+'3. Verotulot'!AA215+'4. Valtionosuudet'!Z215</f>
        <v>1101</v>
      </c>
      <c r="H215" s="41">
        <f>'2. Toimintakate'!I215+'3. Verotulot'!AF215+'4. Valtionosuudet'!AG215</f>
        <v>1590.8898156634446</v>
      </c>
      <c r="I215" s="41">
        <f>'2. Toimintakate'!J215+'3. Verotulot'!AK215+'4. Valtionosuudet'!AN215</f>
        <v>326.87182544225743</v>
      </c>
      <c r="J215" s="41">
        <f>'2. Toimintakate'!K215+'3. Verotulot'!AP215+'4. Valtionosuudet'!AU215</f>
        <v>509.85973116224068</v>
      </c>
      <c r="K215" s="41">
        <f>'2. Toimintakate'!L215+'3. Verotulot'!AU215+'4. Valtionosuudet'!BC215</f>
        <v>1196.3007679963107</v>
      </c>
      <c r="L215" s="41">
        <f>'2. Toimintakate'!M215+'3. Verotulot'!AZ215+'4. Valtionosuudet'!BK215</f>
        <v>107.81101087565196</v>
      </c>
      <c r="M215" s="41">
        <f>'2. Toimintakate'!N215+'3. Verotulot'!BE215+'4. Valtionosuudet'!BQ215</f>
        <v>-166.73347461549656</v>
      </c>
      <c r="N215" s="41">
        <f>'2. Toimintakate'!O215+'3. Verotulot'!BJ215+'4. Valtionosuudet'!BY215</f>
        <v>-204.3490215735219</v>
      </c>
      <c r="O215" s="41">
        <f>'2. Toimintakate'!P215+'3. Verotulot'!BO215+'4. Valtionosuudet'!CE215</f>
        <v>-250.08531746940344</v>
      </c>
      <c r="P215" s="41">
        <f>'2. Toimintakate'!Q215+'3. Verotulot'!BT215+'4. Valtionosuudet'!CK215</f>
        <v>-44.120597307708977</v>
      </c>
      <c r="T215" s="34">
        <v>631</v>
      </c>
      <c r="U215" s="88" t="s">
        <v>529</v>
      </c>
      <c r="V215" s="41" t="e">
        <f>C215/'1. Väestöennuste'!E215*1000</f>
        <v>#REF!</v>
      </c>
      <c r="W215" s="41">
        <f>D215/'1. Väestöennuste'!F215*1000</f>
        <v>-127.71084337349397</v>
      </c>
      <c r="X215" s="41">
        <f>E215/'1. Väestöennuste'!G215*1000</f>
        <v>478.57486759749639</v>
      </c>
      <c r="Y215" s="41">
        <f>F215/'1. Väestöennuste'!H215*1000</f>
        <v>611.43984220907305</v>
      </c>
      <c r="Z215" s="41">
        <f>G215/'1. Väestöennuste'!I215*1000</f>
        <v>549.40119760479047</v>
      </c>
      <c r="AA215" s="41">
        <f>H215/'1. Väestöennuste'!J215*1000</f>
        <v>797.83842310102534</v>
      </c>
      <c r="AB215" s="41">
        <f>I215/'1. Väestöennuste'!K215*1000</f>
        <v>164.67094480718259</v>
      </c>
      <c r="AC215" s="41">
        <f>J215/'1. Väestöennuste'!L215*1000</f>
        <v>259.7349623852474</v>
      </c>
      <c r="AD215" s="41">
        <f>K215/'1. Väestöennuste'!M215*1000</f>
        <v>619.8449575110418</v>
      </c>
      <c r="AE215" s="41">
        <f>L215/'1. Väestöennuste'!N215*1000</f>
        <v>56.653184905755104</v>
      </c>
      <c r="AF215" s="41">
        <f>M215/'1. Väestöennuste'!O215*1000</f>
        <v>-88.546720454326376</v>
      </c>
      <c r="AG215" s="41">
        <f>N215/'1. Väestöennuste'!P215*1000</f>
        <v>-109.68814899276536</v>
      </c>
      <c r="AH215" s="41">
        <f>O215/'1. Väestöennuste'!Q215*1000</f>
        <v>-135.76835910391065</v>
      </c>
      <c r="AI215" s="41">
        <f>P215/'1. Väestöennuste'!R215*1000</f>
        <v>-24.228773919664459</v>
      </c>
    </row>
    <row r="216" spans="1:35" x14ac:dyDescent="0.2">
      <c r="A216" s="34">
        <v>635</v>
      </c>
      <c r="B216" s="88" t="s">
        <v>530</v>
      </c>
      <c r="C216" s="41" t="e">
        <f>'2. Toimintakate'!D216+'3. Verotulot'!G216+'4. Valtionosuudet'!#REF!</f>
        <v>#REF!</v>
      </c>
      <c r="D216" s="41">
        <f>'2. Toimintakate'!E216+'3. Verotulot'!L216+'4. Valtionosuudet'!H216</f>
        <v>2196</v>
      </c>
      <c r="E216" s="41">
        <f>'2. Toimintakate'!F216+'3. Verotulot'!Q216+'4. Valtionosuudet'!N216</f>
        <v>1491</v>
      </c>
      <c r="F216" s="41">
        <f>'2. Toimintakate'!G216+'3. Verotulot'!V216+'4. Valtionosuudet'!T216</f>
        <v>-68</v>
      </c>
      <c r="G216" s="41">
        <f>'2. Toimintakate'!H216+'3. Verotulot'!AA216+'4. Valtionosuudet'!Z216</f>
        <v>1803</v>
      </c>
      <c r="H216" s="41">
        <f>'2. Toimintakate'!I216+'3. Verotulot'!AF216+'4. Valtionosuudet'!AG216</f>
        <v>4570.086740311137</v>
      </c>
      <c r="I216" s="41">
        <f>'2. Toimintakate'!J216+'3. Verotulot'!AK216+'4. Valtionosuudet'!AN216</f>
        <v>3739.6643063318443</v>
      </c>
      <c r="J216" s="41">
        <f>'2. Toimintakate'!K216+'3. Verotulot'!AP216+'4. Valtionosuudet'!AU216</f>
        <v>2941.1321198280675</v>
      </c>
      <c r="K216" s="41">
        <f>'2. Toimintakate'!L216+'3. Verotulot'!AU216+'4. Valtionosuudet'!BC216</f>
        <v>3863.2120377451347</v>
      </c>
      <c r="L216" s="41">
        <f>'2. Toimintakate'!M216+'3. Verotulot'!AZ216+'4. Valtionosuudet'!BK216</f>
        <v>2479.1965534824376</v>
      </c>
      <c r="M216" s="41">
        <f>'2. Toimintakate'!N216+'3. Verotulot'!BE216+'4. Valtionosuudet'!BQ216</f>
        <v>2694.3950041967246</v>
      </c>
      <c r="N216" s="41">
        <f>'2. Toimintakate'!O216+'3. Verotulot'!BJ216+'4. Valtionosuudet'!BY216</f>
        <v>2670.0553362040155</v>
      </c>
      <c r="O216" s="41">
        <f>'2. Toimintakate'!P216+'3. Verotulot'!BO216+'4. Valtionosuudet'!CE216</f>
        <v>2890.8321684883658</v>
      </c>
      <c r="P216" s="41">
        <f>'2. Toimintakate'!Q216+'3. Verotulot'!BT216+'4. Valtionosuudet'!CK216</f>
        <v>3682.1709532600025</v>
      </c>
      <c r="T216" s="34">
        <v>635</v>
      </c>
      <c r="U216" s="88" t="s">
        <v>530</v>
      </c>
      <c r="V216" s="41" t="e">
        <f>C216/'1. Väestöennuste'!E216*1000</f>
        <v>#REF!</v>
      </c>
      <c r="W216" s="41">
        <f>D216/'1. Väestöennuste'!F216*1000</f>
        <v>331.37166138524219</v>
      </c>
      <c r="X216" s="41">
        <f>E216/'1. Väestöennuste'!G216*1000</f>
        <v>227.04431247144817</v>
      </c>
      <c r="Y216" s="41">
        <f>F216/'1. Väestöennuste'!H216*1000</f>
        <v>-10.46314817664256</v>
      </c>
      <c r="Z216" s="41">
        <f>G216/'1. Väestöennuste'!I216*1000</f>
        <v>280.1864801864802</v>
      </c>
      <c r="AA216" s="41">
        <f>H216/'1. Väestöennuste'!J216*1000</f>
        <v>712.40635078895355</v>
      </c>
      <c r="AB216" s="41">
        <f>I216/'1. Väestöennuste'!K216*1000</f>
        <v>580.78339902653272</v>
      </c>
      <c r="AC216" s="41">
        <f>J216/'1. Väestöennuste'!L216*1000</f>
        <v>463.38933666741258</v>
      </c>
      <c r="AD216" s="41">
        <f>K216/'1. Väestöennuste'!M216*1000</f>
        <v>609.62790559336202</v>
      </c>
      <c r="AE216" s="41">
        <f>L216/'1. Väestöennuste'!N216*1000</f>
        <v>400.12855930962513</v>
      </c>
      <c r="AF216" s="41">
        <f>M216/'1. Väestöennuste'!O216*1000</f>
        <v>438.32682677675689</v>
      </c>
      <c r="AG216" s="41">
        <f>N216/'1. Väestöennuste'!P216*1000</f>
        <v>437.42715206487804</v>
      </c>
      <c r="AH216" s="41">
        <f>O216/'1. Väestöennuste'!Q216*1000</f>
        <v>476.79897220655874</v>
      </c>
      <c r="AI216" s="41">
        <f>P216/'1. Väestöennuste'!R216*1000</f>
        <v>611.14870593527019</v>
      </c>
    </row>
    <row r="217" spans="1:35" x14ac:dyDescent="0.2">
      <c r="A217" s="34">
        <v>636</v>
      </c>
      <c r="B217" s="88" t="s">
        <v>531</v>
      </c>
      <c r="C217" s="41" t="e">
        <f>'2. Toimintakate'!D217+'3. Verotulot'!G217+'4. Valtionosuudet'!#REF!</f>
        <v>#REF!</v>
      </c>
      <c r="D217" s="41">
        <f>'2. Toimintakate'!E217+'3. Verotulot'!L217+'4. Valtionosuudet'!H217</f>
        <v>2750</v>
      </c>
      <c r="E217" s="41">
        <f>'2. Toimintakate'!F217+'3. Verotulot'!Q217+'4. Valtionosuudet'!N217</f>
        <v>4207</v>
      </c>
      <c r="F217" s="41">
        <f>'2. Toimintakate'!G217+'3. Verotulot'!V217+'4. Valtionosuudet'!T217</f>
        <v>2615</v>
      </c>
      <c r="G217" s="41">
        <f>'2. Toimintakate'!H217+'3. Verotulot'!AA217+'4. Valtionosuudet'!Z217</f>
        <v>-185</v>
      </c>
      <c r="H217" s="41">
        <f>'2. Toimintakate'!I217+'3. Verotulot'!AF217+'4. Valtionosuudet'!AG217</f>
        <v>6118.279531331511</v>
      </c>
      <c r="I217" s="41">
        <f>'2. Toimintakate'!J217+'3. Verotulot'!AK217+'4. Valtionosuudet'!AN217</f>
        <v>5244.6043982098017</v>
      </c>
      <c r="J217" s="41">
        <f>'2. Toimintakate'!K217+'3. Verotulot'!AP217+'4. Valtionosuudet'!AU217</f>
        <v>4381.8370701866552</v>
      </c>
      <c r="K217" s="41">
        <f>'2. Toimintakate'!L217+'3. Verotulot'!AU217+'4. Valtionosuudet'!BC217</f>
        <v>4743.7714947105105</v>
      </c>
      <c r="L217" s="41">
        <f>'2. Toimintakate'!M217+'3. Verotulot'!AZ217+'4. Valtionosuudet'!BK217</f>
        <v>4237.660746040965</v>
      </c>
      <c r="M217" s="41">
        <f>'2. Toimintakate'!N217+'3. Verotulot'!BE217+'4. Valtionosuudet'!BQ217</f>
        <v>4942.2044602188435</v>
      </c>
      <c r="N217" s="41">
        <f>'2. Toimintakate'!O217+'3. Verotulot'!BJ217+'4. Valtionosuudet'!BY217</f>
        <v>4718.7066905194297</v>
      </c>
      <c r="O217" s="41">
        <f>'2. Toimintakate'!P217+'3. Verotulot'!BO217+'4. Valtionosuudet'!CE217</f>
        <v>5087.2797587500772</v>
      </c>
      <c r="P217" s="41">
        <f>'2. Toimintakate'!Q217+'3. Verotulot'!BT217+'4. Valtionosuudet'!CK217</f>
        <v>5904.6717320681437</v>
      </c>
      <c r="T217" s="34">
        <v>636</v>
      </c>
      <c r="U217" s="88" t="s">
        <v>531</v>
      </c>
      <c r="V217" s="41" t="e">
        <f>C217/'1. Väestöennuste'!E217*1000</f>
        <v>#REF!</v>
      </c>
      <c r="W217" s="41">
        <f>D217/'1. Väestöennuste'!F217*1000</f>
        <v>323.41526520051747</v>
      </c>
      <c r="X217" s="41">
        <f>E217/'1. Väestöennuste'!G217*1000</f>
        <v>499.52505343148897</v>
      </c>
      <c r="Y217" s="41">
        <f>F217/'1. Väestöennuste'!H217*1000</f>
        <v>313.81255250210012</v>
      </c>
      <c r="Z217" s="41">
        <f>G217/'1. Väestöennuste'!I217*1000</f>
        <v>-22.353794103431611</v>
      </c>
      <c r="AA217" s="41">
        <f>H217/'1. Väestöennuste'!J217*1000</f>
        <v>743.50219119352425</v>
      </c>
      <c r="AB217" s="41">
        <f>I217/'1. Väestöennuste'!K217*1000</f>
        <v>637.87453152636851</v>
      </c>
      <c r="AC217" s="41">
        <f>J217/'1. Väestöennuste'!L217*1000</f>
        <v>537.38497304226826</v>
      </c>
      <c r="AD217" s="41">
        <f>K217/'1. Väestöennuste'!M217*1000</f>
        <v>583.48972874668027</v>
      </c>
      <c r="AE217" s="41">
        <f>L217/'1. Väestöennuste'!N217*1000</f>
        <v>530.30418546376734</v>
      </c>
      <c r="AF217" s="41">
        <f>M217/'1. Väestöennuste'!O217*1000</f>
        <v>622.13047082311721</v>
      </c>
      <c r="AG217" s="41">
        <f>N217/'1. Väestöennuste'!P217*1000</f>
        <v>597.45589902752977</v>
      </c>
      <c r="AH217" s="41">
        <f>O217/'1. Väestöennuste'!Q217*1000</f>
        <v>647.73106172015252</v>
      </c>
      <c r="AI217" s="41">
        <f>P217/'1. Väestöennuste'!R217*1000</f>
        <v>756.52424497990307</v>
      </c>
    </row>
    <row r="218" spans="1:35" x14ac:dyDescent="0.2">
      <c r="A218" s="34">
        <v>638</v>
      </c>
      <c r="B218" s="88" t="s">
        <v>532</v>
      </c>
      <c r="C218" s="41" t="e">
        <f>'2. Toimintakate'!D218+'3. Verotulot'!G218+'4. Valtionosuudet'!#REF!</f>
        <v>#REF!</v>
      </c>
      <c r="D218" s="41">
        <f>'2. Toimintakate'!E218+'3. Verotulot'!L218+'4. Valtionosuudet'!H218</f>
        <v>34379</v>
      </c>
      <c r="E218" s="41">
        <f>'2. Toimintakate'!F218+'3. Verotulot'!Q218+'4. Valtionosuudet'!N218</f>
        <v>26901</v>
      </c>
      <c r="F218" s="41">
        <f>'2. Toimintakate'!G218+'3. Verotulot'!V218+'4. Valtionosuudet'!T218</f>
        <v>26893</v>
      </c>
      <c r="G218" s="41">
        <f>'2. Toimintakate'!H218+'3. Verotulot'!AA218+'4. Valtionosuudet'!Z218</f>
        <v>23019</v>
      </c>
      <c r="H218" s="41">
        <f>'2. Toimintakate'!I218+'3. Verotulot'!AF218+'4. Valtionosuudet'!AG218</f>
        <v>53258.433589323191</v>
      </c>
      <c r="I218" s="41">
        <f>'2. Toimintakate'!J218+'3. Verotulot'!AK218+'4. Valtionosuudet'!AN218</f>
        <v>76803.912968628341</v>
      </c>
      <c r="J218" s="41">
        <f>'2. Toimintakate'!K218+'3. Verotulot'!AP218+'4. Valtionosuudet'!AU218</f>
        <v>75346.285973355742</v>
      </c>
      <c r="K218" s="41">
        <f>'2. Toimintakate'!L218+'3. Verotulot'!AU218+'4. Valtionosuudet'!BC218</f>
        <v>45194.863879337885</v>
      </c>
      <c r="L218" s="41">
        <f>'2. Toimintakate'!M218+'3. Verotulot'!AZ218+'4. Valtionosuudet'!BK218</f>
        <v>32341.203968932539</v>
      </c>
      <c r="M218" s="41">
        <f>'2. Toimintakate'!N218+'3. Verotulot'!BE218+'4. Valtionosuudet'!BQ218</f>
        <v>27352.933600982513</v>
      </c>
      <c r="N218" s="41">
        <f>'2. Toimintakate'!O218+'3. Verotulot'!BJ218+'4. Valtionosuudet'!BY218</f>
        <v>26276.902807089435</v>
      </c>
      <c r="O218" s="41">
        <f>'2. Toimintakate'!P218+'3. Verotulot'!BO218+'4. Valtionosuudet'!CE218</f>
        <v>26455.106179917544</v>
      </c>
      <c r="P218" s="41">
        <f>'2. Toimintakate'!Q218+'3. Verotulot'!BT218+'4. Valtionosuudet'!CK218</f>
        <v>28961.765780529364</v>
      </c>
      <c r="T218" s="34">
        <v>638</v>
      </c>
      <c r="U218" s="88" t="s">
        <v>532</v>
      </c>
      <c r="V218" s="41" t="e">
        <f>C218/'1. Väestöennuste'!E218*1000</f>
        <v>#REF!</v>
      </c>
      <c r="W218" s="41">
        <f>D218/'1. Väestöennuste'!F218*1000</f>
        <v>685.60545628589659</v>
      </c>
      <c r="X218" s="41">
        <f>E218/'1. Väestöennuste'!G218*1000</f>
        <v>536.31451982695035</v>
      </c>
      <c r="Y218" s="41">
        <f>F218/'1. Väestöennuste'!H218*1000</f>
        <v>535.0563049619991</v>
      </c>
      <c r="Z218" s="41">
        <f>G218/'1. Väestöennuste'!I218*1000</f>
        <v>456.90750297737196</v>
      </c>
      <c r="AA218" s="41">
        <f>H218/'1. Väestöennuste'!J218*1000</f>
        <v>1052.1431397167703</v>
      </c>
      <c r="AB218" s="41">
        <f>I218/'1. Väestöennuste'!K218*1000</f>
        <v>1501.5721317841667</v>
      </c>
      <c r="AC218" s="41">
        <f>J218/'1. Väestöennuste'!L218*1000</f>
        <v>1470.6879679371436</v>
      </c>
      <c r="AD218" s="41">
        <f>K218/'1. Väestöennuste'!M218*1000</f>
        <v>881.18044569669689</v>
      </c>
      <c r="AE218" s="41">
        <f>L218/'1. Väestöennuste'!N218*1000</f>
        <v>629.86803195833249</v>
      </c>
      <c r="AF218" s="41">
        <f>M218/'1. Väestöennuste'!O218*1000</f>
        <v>531.26934702603648</v>
      </c>
      <c r="AG218" s="41">
        <f>N218/'1. Väestöennuste'!P218*1000</f>
        <v>509.04499820010528</v>
      </c>
      <c r="AH218" s="41">
        <f>O218/'1. Väestöennuste'!Q218*1000</f>
        <v>511.30858484571985</v>
      </c>
      <c r="AI218" s="41">
        <f>P218/'1. Väestöennuste'!R218*1000</f>
        <v>558.57906190147094</v>
      </c>
    </row>
    <row r="219" spans="1:35" x14ac:dyDescent="0.2">
      <c r="A219" s="34">
        <v>678</v>
      </c>
      <c r="B219" s="88" t="s">
        <v>533</v>
      </c>
      <c r="C219" s="41" t="e">
        <f>'2. Toimintakate'!D219+'3. Verotulot'!G219+'4. Valtionosuudet'!#REF!</f>
        <v>#REF!</v>
      </c>
      <c r="D219" s="41">
        <f>'2. Toimintakate'!E219+'3. Verotulot'!L219+'4. Valtionosuudet'!H219</f>
        <v>9796</v>
      </c>
      <c r="E219" s="41">
        <f>'2. Toimintakate'!F219+'3. Verotulot'!Q219+'4. Valtionosuudet'!N219</f>
        <v>10485</v>
      </c>
      <c r="F219" s="41">
        <f>'2. Toimintakate'!G219+'3. Verotulot'!V219+'4. Valtionosuudet'!T219</f>
        <v>5623</v>
      </c>
      <c r="G219" s="41">
        <f>'2. Toimintakate'!H219+'3. Verotulot'!AA219+'4. Valtionosuudet'!Z219</f>
        <v>-1774</v>
      </c>
      <c r="H219" s="41">
        <f>'2. Toimintakate'!I219+'3. Verotulot'!AF219+'4. Valtionosuudet'!AG219</f>
        <v>16566.655374554641</v>
      </c>
      <c r="I219" s="41">
        <f>'2. Toimintakate'!J219+'3. Verotulot'!AK219+'4. Valtionosuudet'!AN219</f>
        <v>9861.3516992109071</v>
      </c>
      <c r="J219" s="41">
        <f>'2. Toimintakate'!K219+'3. Verotulot'!AP219+'4. Valtionosuudet'!AU219</f>
        <v>2941.3067369603814</v>
      </c>
      <c r="K219" s="41">
        <f>'2. Toimintakate'!L219+'3. Verotulot'!AU219+'4. Valtionosuudet'!BC219</f>
        <v>21300.808579941448</v>
      </c>
      <c r="L219" s="41">
        <f>'2. Toimintakate'!M219+'3. Verotulot'!AZ219+'4. Valtionosuudet'!BK219</f>
        <v>17211.725406703452</v>
      </c>
      <c r="M219" s="41">
        <f>'2. Toimintakate'!N219+'3. Verotulot'!BE219+'4. Valtionosuudet'!BQ219</f>
        <v>11681.785067193636</v>
      </c>
      <c r="N219" s="41">
        <f>'2. Toimintakate'!O219+'3. Verotulot'!BJ219+'4. Valtionosuudet'!BY219</f>
        <v>10608.425165520563</v>
      </c>
      <c r="O219" s="41">
        <f>'2. Toimintakate'!P219+'3. Verotulot'!BO219+'4. Valtionosuudet'!CE219</f>
        <v>11459.645635038862</v>
      </c>
      <c r="P219" s="41">
        <f>'2. Toimintakate'!Q219+'3. Verotulot'!BT219+'4. Valtionosuudet'!CK219</f>
        <v>13152.71576808023</v>
      </c>
      <c r="T219" s="34">
        <v>678</v>
      </c>
      <c r="U219" s="88" t="s">
        <v>533</v>
      </c>
      <c r="V219" s="41" t="e">
        <f>C219/'1. Väestöennuste'!E219*1000</f>
        <v>#REF!</v>
      </c>
      <c r="W219" s="41">
        <f>D219/'1. Väestöennuste'!F219*1000</f>
        <v>391.68332666933225</v>
      </c>
      <c r="X219" s="41">
        <f>E219/'1. Väestöennuste'!G219*1000</f>
        <v>419.38322467101312</v>
      </c>
      <c r="Y219" s="41">
        <f>F219/'1. Väestöennuste'!H219*1000</f>
        <v>226.63334811172464</v>
      </c>
      <c r="Z219" s="41">
        <f>G219/'1. Väestöennuste'!I219*1000</f>
        <v>-71.882977430203823</v>
      </c>
      <c r="AA219" s="41">
        <f>H219/'1. Väestöennuste'!J219*1000</f>
        <v>680.27164515889797</v>
      </c>
      <c r="AB219" s="41">
        <f>I219/'1. Väestöennuste'!K219*1000</f>
        <v>406.48605520242813</v>
      </c>
      <c r="AC219" s="41">
        <f>J219/'1. Väestöennuste'!L219*1000</f>
        <v>122.18280799901888</v>
      </c>
      <c r="AD219" s="41">
        <f>K219/'1. Väestöennuste'!M219*1000</f>
        <v>895.10478547470052</v>
      </c>
      <c r="AE219" s="41">
        <f>L219/'1. Väestöennuste'!N219*1000</f>
        <v>727.83006625099165</v>
      </c>
      <c r="AF219" s="41">
        <f>M219/'1. Väestöennuste'!O219*1000</f>
        <v>497.90235560453647</v>
      </c>
      <c r="AG219" s="41">
        <f>N219/'1. Väestöennuste'!P219*1000</f>
        <v>455.84501398764877</v>
      </c>
      <c r="AH219" s="41">
        <f>O219/'1. Väestöennuste'!Q219*1000</f>
        <v>496.51844172612056</v>
      </c>
      <c r="AI219" s="41">
        <f>P219/'1. Väestöennuste'!R219*1000</f>
        <v>574.75597658102743</v>
      </c>
    </row>
    <row r="220" spans="1:35" x14ac:dyDescent="0.2">
      <c r="A220" s="34">
        <v>680</v>
      </c>
      <c r="B220" s="88" t="s">
        <v>534</v>
      </c>
      <c r="C220" s="41" t="e">
        <f>'2. Toimintakate'!D220+'3. Verotulot'!G220+'4. Valtionosuudet'!#REF!</f>
        <v>#REF!</v>
      </c>
      <c r="D220" s="41">
        <f>'2. Toimintakate'!E220+'3. Verotulot'!L220+'4. Valtionosuudet'!H220</f>
        <v>8611</v>
      </c>
      <c r="E220" s="41">
        <f>'2. Toimintakate'!F220+'3. Verotulot'!Q220+'4. Valtionosuudet'!N220</f>
        <v>8645</v>
      </c>
      <c r="F220" s="41">
        <f>'2. Toimintakate'!G220+'3. Verotulot'!V220+'4. Valtionosuudet'!T220</f>
        <v>2793</v>
      </c>
      <c r="G220" s="41">
        <f>'2. Toimintakate'!H220+'3. Verotulot'!AA220+'4. Valtionosuudet'!Z220</f>
        <v>-1547</v>
      </c>
      <c r="H220" s="41">
        <f>'2. Toimintakate'!I220+'3. Verotulot'!AF220+'4. Valtionosuudet'!AG220</f>
        <v>12309.872834833935</v>
      </c>
      <c r="I220" s="41">
        <f>'2. Toimintakate'!J220+'3. Verotulot'!AK220+'4. Valtionosuudet'!AN220</f>
        <v>15361.342772061071</v>
      </c>
      <c r="J220" s="41">
        <f>'2. Toimintakate'!K220+'3. Verotulot'!AP220+'4. Valtionosuudet'!AU220</f>
        <v>13679.442062783542</v>
      </c>
      <c r="K220" s="41">
        <f>'2. Toimintakate'!L220+'3. Verotulot'!AU220+'4. Valtionosuudet'!BC220</f>
        <v>19607.434116855824</v>
      </c>
      <c r="L220" s="41">
        <f>'2. Toimintakate'!M220+'3. Verotulot'!AZ220+'4. Valtionosuudet'!BK220</f>
        <v>8973.0229642246231</v>
      </c>
      <c r="M220" s="41">
        <f>'2. Toimintakate'!N220+'3. Verotulot'!BE220+'4. Valtionosuudet'!BQ220</f>
        <v>9808.3054550022534</v>
      </c>
      <c r="N220" s="41">
        <f>'2. Toimintakate'!O220+'3. Verotulot'!BJ220+'4. Valtionosuudet'!BY220</f>
        <v>10818.581214255482</v>
      </c>
      <c r="O220" s="41">
        <f>'2. Toimintakate'!P220+'3. Verotulot'!BO220+'4. Valtionosuudet'!CE220</f>
        <v>11162.880525393648</v>
      </c>
      <c r="P220" s="41">
        <f>'2. Toimintakate'!Q220+'3. Verotulot'!BT220+'4. Valtionosuudet'!CK220</f>
        <v>12486.401519077273</v>
      </c>
      <c r="T220" s="34">
        <v>680</v>
      </c>
      <c r="U220" s="88" t="s">
        <v>534</v>
      </c>
      <c r="V220" s="41" t="e">
        <f>C220/'1. Väestöennuste'!E220*1000</f>
        <v>#REF!</v>
      </c>
      <c r="W220" s="41">
        <f>D220/'1. Väestöennuste'!F220*1000</f>
        <v>354.61022114236295</v>
      </c>
      <c r="X220" s="41">
        <f>E220/'1. Väestöennuste'!G220*1000</f>
        <v>356.73021374927788</v>
      </c>
      <c r="Y220" s="41">
        <f>F220/'1. Väestöennuste'!H220*1000</f>
        <v>115.51823972206138</v>
      </c>
      <c r="Z220" s="41">
        <f>G220/'1. Väestöennuste'!I220*1000</f>
        <v>-64.30828067841702</v>
      </c>
      <c r="AA220" s="41">
        <f>H220/'1. Väestöennuste'!J220*1000</f>
        <v>504.35829208153137</v>
      </c>
      <c r="AB220" s="41">
        <f>I220/'1. Väestöennuste'!K220*1000</f>
        <v>619.15932172757243</v>
      </c>
      <c r="AC220" s="41">
        <f>J220/'1. Väestöennuste'!L220*1000</f>
        <v>548.45008671251469</v>
      </c>
      <c r="AD220" s="41">
        <f>K220/'1. Väestöennuste'!M220*1000</f>
        <v>774.04895649030141</v>
      </c>
      <c r="AE220" s="41">
        <f>L220/'1. Väestöennuste'!N220*1000</f>
        <v>365.54458647592872</v>
      </c>
      <c r="AF220" s="41">
        <f>M220/'1. Väestöennuste'!O220*1000</f>
        <v>398.80887431903125</v>
      </c>
      <c r="AG220" s="41">
        <f>N220/'1. Väestöennuste'!P220*1000</f>
        <v>439.11926022874059</v>
      </c>
      <c r="AH220" s="41">
        <f>O220/'1. Väestöennuste'!Q220*1000</f>
        <v>452.32304896444947</v>
      </c>
      <c r="AI220" s="41">
        <f>P220/'1. Väestöennuste'!R220*1000</f>
        <v>505.0316097345605</v>
      </c>
    </row>
    <row r="221" spans="1:35" x14ac:dyDescent="0.2">
      <c r="A221" s="34">
        <v>681</v>
      </c>
      <c r="B221" s="88" t="s">
        <v>535</v>
      </c>
      <c r="C221" s="41" t="e">
        <f>'2. Toimintakate'!D221+'3. Verotulot'!G221+'4. Valtionosuudet'!#REF!</f>
        <v>#REF!</v>
      </c>
      <c r="D221" s="41">
        <f>'2. Toimintakate'!E221+'3. Verotulot'!L221+'4. Valtionosuudet'!H221</f>
        <v>2289</v>
      </c>
      <c r="E221" s="41">
        <f>'2. Toimintakate'!F221+'3. Verotulot'!Q221+'4. Valtionosuudet'!N221</f>
        <v>2687</v>
      </c>
      <c r="F221" s="41">
        <f>'2. Toimintakate'!G221+'3. Verotulot'!V221+'4. Valtionosuudet'!T221</f>
        <v>123</v>
      </c>
      <c r="G221" s="41">
        <f>'2. Toimintakate'!H221+'3. Verotulot'!AA221+'4. Valtionosuudet'!Z221</f>
        <v>2132</v>
      </c>
      <c r="H221" s="41">
        <f>'2. Toimintakate'!I221+'3. Verotulot'!AF221+'4. Valtionosuudet'!AG221</f>
        <v>2426.8767412570687</v>
      </c>
      <c r="I221" s="41">
        <f>'2. Toimintakate'!J221+'3. Verotulot'!AK221+'4. Valtionosuudet'!AN221</f>
        <v>1345.7762679256957</v>
      </c>
      <c r="J221" s="41">
        <f>'2. Toimintakate'!K221+'3. Verotulot'!AP221+'4. Valtionosuudet'!AU221</f>
        <v>1814.6989346976443</v>
      </c>
      <c r="K221" s="41">
        <f>'2. Toimintakate'!L221+'3. Verotulot'!AU221+'4. Valtionosuudet'!BC221</f>
        <v>1500.8238668575518</v>
      </c>
      <c r="L221" s="41">
        <f>'2. Toimintakate'!M221+'3. Verotulot'!AZ221+'4. Valtionosuudet'!BK221</f>
        <v>1023.3446085249666</v>
      </c>
      <c r="M221" s="41">
        <f>'2. Toimintakate'!N221+'3. Verotulot'!BE221+'4. Valtionosuudet'!BQ221</f>
        <v>403.74782313284504</v>
      </c>
      <c r="N221" s="41">
        <f>'2. Toimintakate'!O221+'3. Verotulot'!BJ221+'4. Valtionosuudet'!BY221</f>
        <v>427.80552700444377</v>
      </c>
      <c r="O221" s="41">
        <f>'2. Toimintakate'!P221+'3. Verotulot'!BO221+'4. Valtionosuudet'!CE221</f>
        <v>526.32458231197324</v>
      </c>
      <c r="P221" s="41">
        <f>'2. Toimintakate'!Q221+'3. Verotulot'!BT221+'4. Valtionosuudet'!CK221</f>
        <v>854.1436473003273</v>
      </c>
      <c r="T221" s="34">
        <v>681</v>
      </c>
      <c r="U221" s="88" t="s">
        <v>535</v>
      </c>
      <c r="V221" s="41" t="e">
        <f>C221/'1. Väestöennuste'!E221*1000</f>
        <v>#REF!</v>
      </c>
      <c r="W221" s="41">
        <f>D221/'1. Väestöennuste'!F221*1000</f>
        <v>627.29514935598797</v>
      </c>
      <c r="X221" s="41">
        <f>E221/'1. Väestöennuste'!G221*1000</f>
        <v>756.26231353785533</v>
      </c>
      <c r="Y221" s="41">
        <f>F221/'1. Väestöennuste'!H221*1000</f>
        <v>35.002845759817873</v>
      </c>
      <c r="Z221" s="41">
        <f>G221/'1. Väestöennuste'!I221*1000</f>
        <v>621.39317983095316</v>
      </c>
      <c r="AA221" s="41">
        <f>H221/'1. Väestöennuste'!J221*1000</f>
        <v>721.42590405977069</v>
      </c>
      <c r="AB221" s="41">
        <f>I221/'1. Väestöennuste'!K221*1000</f>
        <v>404.13701739510384</v>
      </c>
      <c r="AC221" s="41">
        <f>J221/'1. Väestöennuste'!L221*1000</f>
        <v>548.57887989650681</v>
      </c>
      <c r="AD221" s="41">
        <f>K221/'1. Väestöennuste'!M221*1000</f>
        <v>455.20893747575127</v>
      </c>
      <c r="AE221" s="41">
        <f>L221/'1. Väestöennuste'!N221*1000</f>
        <v>329.47347344654429</v>
      </c>
      <c r="AF221" s="41">
        <f>M221/'1. Väestöennuste'!O221*1000</f>
        <v>132.28958818245252</v>
      </c>
      <c r="AG221" s="41">
        <f>N221/'1. Väestöennuste'!P221*1000</f>
        <v>142.36456805472338</v>
      </c>
      <c r="AH221" s="41">
        <f>O221/'1. Väestöennuste'!Q221*1000</f>
        <v>177.87245093341443</v>
      </c>
      <c r="AI221" s="41">
        <f>P221/'1. Väestöennuste'!R221*1000</f>
        <v>293.11724341123107</v>
      </c>
    </row>
    <row r="222" spans="1:35" x14ac:dyDescent="0.2">
      <c r="A222" s="34">
        <v>683</v>
      </c>
      <c r="B222" s="88" t="s">
        <v>536</v>
      </c>
      <c r="C222" s="41" t="e">
        <f>'2. Toimintakate'!D222+'3. Verotulot'!G222+'4. Valtionosuudet'!#REF!</f>
        <v>#REF!</v>
      </c>
      <c r="D222" s="41">
        <f>'2. Toimintakate'!E222+'3. Verotulot'!L222+'4. Valtionosuudet'!H222</f>
        <v>3919</v>
      </c>
      <c r="E222" s="41">
        <f>'2. Toimintakate'!F222+'3. Verotulot'!Q222+'4. Valtionosuudet'!N222</f>
        <v>3510</v>
      </c>
      <c r="F222" s="41">
        <f>'2. Toimintakate'!G222+'3. Verotulot'!V222+'4. Valtionosuudet'!T222</f>
        <v>1635</v>
      </c>
      <c r="G222" s="41">
        <f>'2. Toimintakate'!H222+'3. Verotulot'!AA222+'4. Valtionosuudet'!Z222</f>
        <v>835</v>
      </c>
      <c r="H222" s="41">
        <f>'2. Toimintakate'!I222+'3. Verotulot'!AF222+'4. Valtionosuudet'!AG222</f>
        <v>2081.172577254365</v>
      </c>
      <c r="I222" s="41">
        <f>'2. Toimintakate'!J222+'3. Verotulot'!AK222+'4. Valtionosuudet'!AN222</f>
        <v>1892.3488723025803</v>
      </c>
      <c r="J222" s="41">
        <f>'2. Toimintakate'!K222+'3. Verotulot'!AP222+'4. Valtionosuudet'!AU222</f>
        <v>1398.8830470879475</v>
      </c>
      <c r="K222" s="41">
        <f>'2. Toimintakate'!L222+'3. Verotulot'!AU222+'4. Valtionosuudet'!BC222</f>
        <v>-203.28667724138541</v>
      </c>
      <c r="L222" s="41">
        <f>'2. Toimintakate'!M222+'3. Verotulot'!AZ222+'4. Valtionosuudet'!BK222</f>
        <v>258.88679823498387</v>
      </c>
      <c r="M222" s="41">
        <f>'2. Toimintakate'!N222+'3. Verotulot'!BE222+'4. Valtionosuudet'!BQ222</f>
        <v>-1226.8387606591969</v>
      </c>
      <c r="N222" s="41">
        <f>'2. Toimintakate'!O222+'3. Verotulot'!BJ222+'4. Valtionosuudet'!BY222</f>
        <v>-1509.0071068186899</v>
      </c>
      <c r="O222" s="41">
        <f>'2. Toimintakate'!P222+'3. Verotulot'!BO222+'4. Valtionosuudet'!CE222</f>
        <v>-1946.607472443091</v>
      </c>
      <c r="P222" s="41">
        <f>'2. Toimintakate'!Q222+'3. Verotulot'!BT222+'4. Valtionosuudet'!CK222</f>
        <v>-1610.0113964198517</v>
      </c>
      <c r="T222" s="34">
        <v>683</v>
      </c>
      <c r="U222" s="88" t="s">
        <v>536</v>
      </c>
      <c r="V222" s="41" t="e">
        <f>C222/'1. Väestöennuste'!E222*1000</f>
        <v>#REF!</v>
      </c>
      <c r="W222" s="41">
        <f>D222/'1. Väestöennuste'!F222*1000</f>
        <v>974.14864528958492</v>
      </c>
      <c r="X222" s="41">
        <f>E222/'1. Väestöennuste'!G222*1000</f>
        <v>883.6858006042296</v>
      </c>
      <c r="Y222" s="41">
        <f>F222/'1. Väestöennuste'!H222*1000</f>
        <v>419.66119096509243</v>
      </c>
      <c r="Z222" s="41">
        <f>G222/'1. Väestöennuste'!I222*1000</f>
        <v>220.72429288924133</v>
      </c>
      <c r="AA222" s="41">
        <f>H222/'1. Väestöennuste'!J222*1000</f>
        <v>560.66071585516295</v>
      </c>
      <c r="AB222" s="41">
        <f>I222/'1. Väestöennuste'!K222*1000</f>
        <v>515.62639572277396</v>
      </c>
      <c r="AC222" s="41">
        <f>J222/'1. Väestöennuste'!L222*1000</f>
        <v>386.64539720507116</v>
      </c>
      <c r="AD222" s="41">
        <f>K222/'1. Väestöennuste'!M222*1000</f>
        <v>-56.484211514694472</v>
      </c>
      <c r="AE222" s="41">
        <f>L222/'1. Väestöennuste'!N222*1000</f>
        <v>74.974456482763941</v>
      </c>
      <c r="AF222" s="41">
        <f>M222/'1. Väestöennuste'!O222*1000</f>
        <v>-361.47282282239149</v>
      </c>
      <c r="AG222" s="41">
        <f>N222/'1. Väestöennuste'!P222*1000</f>
        <v>-452.20470686805209</v>
      </c>
      <c r="AH222" s="41">
        <f>O222/'1. Väestöennuste'!Q222*1000</f>
        <v>-592.75501596927245</v>
      </c>
      <c r="AI222" s="41">
        <f>P222/'1. Väestöennuste'!R222*1000</f>
        <v>-498.1470904764393</v>
      </c>
    </row>
    <row r="223" spans="1:35" x14ac:dyDescent="0.2">
      <c r="A223" s="34">
        <v>684</v>
      </c>
      <c r="B223" s="88" t="s">
        <v>537</v>
      </c>
      <c r="C223" s="41" t="e">
        <f>'2. Toimintakate'!D223+'3. Verotulot'!G223+'4. Valtionosuudet'!#REF!</f>
        <v>#REF!</v>
      </c>
      <c r="D223" s="41">
        <f>'2. Toimintakate'!E223+'3. Verotulot'!L223+'4. Valtionosuudet'!H223</f>
        <v>26595</v>
      </c>
      <c r="E223" s="41">
        <f>'2. Toimintakate'!F223+'3. Verotulot'!Q223+'4. Valtionosuudet'!N223</f>
        <v>27955</v>
      </c>
      <c r="F223" s="41">
        <f>'2. Toimintakate'!G223+'3. Verotulot'!V223+'4. Valtionosuudet'!T223</f>
        <v>3539</v>
      </c>
      <c r="G223" s="41">
        <f>'2. Toimintakate'!H223+'3. Verotulot'!AA223+'4. Valtionosuudet'!Z223</f>
        <v>-477</v>
      </c>
      <c r="H223" s="41">
        <f>'2. Toimintakate'!I223+'3. Verotulot'!AF223+'4. Valtionosuudet'!AG223</f>
        <v>34217.399845386914</v>
      </c>
      <c r="I223" s="41">
        <f>'2. Toimintakate'!J223+'3. Verotulot'!AK223+'4. Valtionosuudet'!AN223</f>
        <v>35830.561133626288</v>
      </c>
      <c r="J223" s="41">
        <f>'2. Toimintakate'!K223+'3. Verotulot'!AP223+'4. Valtionosuudet'!AU223</f>
        <v>22188.89416119011</v>
      </c>
      <c r="K223" s="41">
        <f>'2. Toimintakate'!L223+'3. Verotulot'!AU223+'4. Valtionosuudet'!BC223</f>
        <v>30893.30474942096</v>
      </c>
      <c r="L223" s="41">
        <f>'2. Toimintakate'!M223+'3. Verotulot'!AZ223+'4. Valtionosuudet'!BK223</f>
        <v>15805.371355626698</v>
      </c>
      <c r="M223" s="41">
        <f>'2. Toimintakate'!N223+'3. Verotulot'!BE223+'4. Valtionosuudet'!BQ223</f>
        <v>16619.979488776</v>
      </c>
      <c r="N223" s="41">
        <f>'2. Toimintakate'!O223+'3. Verotulot'!BJ223+'4. Valtionosuudet'!BY223</f>
        <v>19177.405516478957</v>
      </c>
      <c r="O223" s="41">
        <f>'2. Toimintakate'!P223+'3. Verotulot'!BO223+'4. Valtionosuudet'!CE223</f>
        <v>20499.455756573865</v>
      </c>
      <c r="P223" s="41">
        <f>'2. Toimintakate'!Q223+'3. Verotulot'!BT223+'4. Valtionosuudet'!CK223</f>
        <v>23166.395095612021</v>
      </c>
      <c r="T223" s="34">
        <v>684</v>
      </c>
      <c r="U223" s="88" t="s">
        <v>537</v>
      </c>
      <c r="V223" s="41" t="e">
        <f>C223/'1. Väestöennuste'!E223*1000</f>
        <v>#REF!</v>
      </c>
      <c r="W223" s="41">
        <f>D223/'1. Väestöennuste'!F223*1000</f>
        <v>671.35356187206537</v>
      </c>
      <c r="X223" s="41">
        <f>E223/'1. Väestöennuste'!G223*1000</f>
        <v>705.57799091367997</v>
      </c>
      <c r="Y223" s="41">
        <f>F223/'1. Väestöennuste'!H223*1000</f>
        <v>89.913617886178869</v>
      </c>
      <c r="Z223" s="41">
        <f>G223/'1. Väestöennuste'!I223*1000</f>
        <v>-12.16681545721209</v>
      </c>
      <c r="AA223" s="41">
        <f>H223/'1. Väestöennuste'!J223*1000</f>
        <v>876.47028292486971</v>
      </c>
      <c r="AB223" s="41">
        <f>I223/'1. Väestöennuste'!K223*1000</f>
        <v>919.69920002120921</v>
      </c>
      <c r="AC223" s="41">
        <f>J223/'1. Väestöennuste'!L223*1000</f>
        <v>573.84576411901912</v>
      </c>
      <c r="AD223" s="41">
        <f>K223/'1. Väestöennuste'!M223*1000</f>
        <v>795.56306009015657</v>
      </c>
      <c r="AE223" s="41">
        <f>L223/'1. Väestöennuste'!N223*1000</f>
        <v>410.80655392282313</v>
      </c>
      <c r="AF223" s="41">
        <f>M223/'1. Väestöennuste'!O223*1000</f>
        <v>433.8174281218449</v>
      </c>
      <c r="AG223" s="41">
        <f>N223/'1. Väestöennuste'!P223*1000</f>
        <v>502.72381881875259</v>
      </c>
      <c r="AH223" s="41">
        <f>O223/'1. Väestöennuste'!Q223*1000</f>
        <v>539.72922662841597</v>
      </c>
      <c r="AI223" s="41">
        <f>P223/'1. Väestöennuste'!R223*1000</f>
        <v>612.57589231614634</v>
      </c>
    </row>
    <row r="224" spans="1:35" x14ac:dyDescent="0.2">
      <c r="A224" s="34">
        <v>686</v>
      </c>
      <c r="B224" s="88" t="s">
        <v>538</v>
      </c>
      <c r="C224" s="41" t="e">
        <f>'2. Toimintakate'!D224+'3. Verotulot'!G224+'4. Valtionosuudet'!#REF!</f>
        <v>#REF!</v>
      </c>
      <c r="D224" s="41">
        <f>'2. Toimintakate'!E224+'3. Verotulot'!L224+'4. Valtionosuudet'!H224</f>
        <v>2364</v>
      </c>
      <c r="E224" s="41">
        <f>'2. Toimintakate'!F224+'3. Verotulot'!Q224+'4. Valtionosuudet'!N224</f>
        <v>1694</v>
      </c>
      <c r="F224" s="41">
        <f>'2. Toimintakate'!G224+'3. Verotulot'!V224+'4. Valtionosuudet'!T224</f>
        <v>465</v>
      </c>
      <c r="G224" s="41">
        <f>'2. Toimintakate'!H224+'3. Verotulot'!AA224+'4. Valtionosuudet'!Z224</f>
        <v>-376</v>
      </c>
      <c r="H224" s="41">
        <f>'2. Toimintakate'!I224+'3. Verotulot'!AF224+'4. Valtionosuudet'!AG224</f>
        <v>714.72369210740362</v>
      </c>
      <c r="I224" s="41">
        <f>'2. Toimintakate'!J224+'3. Verotulot'!AK224+'4. Valtionosuudet'!AN224</f>
        <v>663.26840213981086</v>
      </c>
      <c r="J224" s="41">
        <f>'2. Toimintakate'!K224+'3. Verotulot'!AP224+'4. Valtionosuudet'!AU224</f>
        <v>1121.2531199022415</v>
      </c>
      <c r="K224" s="41">
        <f>'2. Toimintakate'!L224+'3. Verotulot'!AU224+'4. Valtionosuudet'!BC224</f>
        <v>325.98454108475198</v>
      </c>
      <c r="L224" s="41">
        <f>'2. Toimintakate'!M224+'3. Verotulot'!AZ224+'4. Valtionosuudet'!BK224</f>
        <v>791.52040010953942</v>
      </c>
      <c r="M224" s="41">
        <f>'2. Toimintakate'!N224+'3. Verotulot'!BE224+'4. Valtionosuudet'!BQ224</f>
        <v>-251.04164495794839</v>
      </c>
      <c r="N224" s="41">
        <f>'2. Toimintakate'!O224+'3. Verotulot'!BJ224+'4. Valtionosuudet'!BY224</f>
        <v>-403.75181129223074</v>
      </c>
      <c r="O224" s="41">
        <f>'2. Toimintakate'!P224+'3. Verotulot'!BO224+'4. Valtionosuudet'!CE224</f>
        <v>-572.47301150361409</v>
      </c>
      <c r="P224" s="41">
        <f>'2. Toimintakate'!Q224+'3. Verotulot'!BT224+'4. Valtionosuudet'!CK224</f>
        <v>-300.13698542498923</v>
      </c>
      <c r="T224" s="34">
        <v>686</v>
      </c>
      <c r="U224" s="88" t="s">
        <v>538</v>
      </c>
      <c r="V224" s="41" t="e">
        <f>C224/'1. Väestöennuste'!E224*1000</f>
        <v>#REF!</v>
      </c>
      <c r="W224" s="41">
        <f>D224/'1. Väestöennuste'!F224*1000</f>
        <v>718.978102189781</v>
      </c>
      <c r="X224" s="41">
        <f>E224/'1. Väestöennuste'!G224*1000</f>
        <v>520.43010752688167</v>
      </c>
      <c r="Y224" s="41">
        <f>F224/'1. Väestöennuste'!H224*1000</f>
        <v>145.49436795994993</v>
      </c>
      <c r="Z224" s="41">
        <f>G224/'1. Väestöennuste'!I224*1000</f>
        <v>-120.47420698494072</v>
      </c>
      <c r="AA224" s="41">
        <f>H224/'1. Väestöennuste'!J224*1000</f>
        <v>234.10536918028288</v>
      </c>
      <c r="AB224" s="41">
        <f>I224/'1. Väestöennuste'!K224*1000</f>
        <v>218.68394399598114</v>
      </c>
      <c r="AC224" s="41">
        <f>J224/'1. Väestöennuste'!L224*1000</f>
        <v>378.29052628280749</v>
      </c>
      <c r="AD224" s="41">
        <f>K224/'1. Väestöennuste'!M224*1000</f>
        <v>111.14372352020185</v>
      </c>
      <c r="AE224" s="41">
        <f>L224/'1. Väestöennuste'!N224*1000</f>
        <v>276.07966519342148</v>
      </c>
      <c r="AF224" s="41">
        <f>M224/'1. Väestöennuste'!O224*1000</f>
        <v>-89.0218599141661</v>
      </c>
      <c r="AG224" s="41">
        <f>N224/'1. Väestöennuste'!P224*1000</f>
        <v>-145.23446449360819</v>
      </c>
      <c r="AH224" s="41">
        <f>O224/'1. Väestöennuste'!Q224*1000</f>
        <v>-208.77936232808682</v>
      </c>
      <c r="AI224" s="41">
        <f>P224/'1. Väestöennuste'!R224*1000</f>
        <v>-110.99740585243686</v>
      </c>
    </row>
    <row r="225" spans="1:35" x14ac:dyDescent="0.2">
      <c r="A225" s="34">
        <v>687</v>
      </c>
      <c r="B225" s="88" t="s">
        <v>539</v>
      </c>
      <c r="C225" s="41" t="e">
        <f>'2. Toimintakate'!D225+'3. Verotulot'!G225+'4. Valtionosuudet'!#REF!</f>
        <v>#REF!</v>
      </c>
      <c r="D225" s="41">
        <f>'2. Toimintakate'!E225+'3. Verotulot'!L225+'4. Valtionosuudet'!H225</f>
        <v>496</v>
      </c>
      <c r="E225" s="41">
        <f>'2. Toimintakate'!F225+'3. Verotulot'!Q225+'4. Valtionosuudet'!N225</f>
        <v>1545</v>
      </c>
      <c r="F225" s="41">
        <f>'2. Toimintakate'!G225+'3. Verotulot'!V225+'4. Valtionosuudet'!T225</f>
        <v>1162</v>
      </c>
      <c r="G225" s="41">
        <f>'2. Toimintakate'!H225+'3. Verotulot'!AA225+'4. Valtionosuudet'!Z225</f>
        <v>277</v>
      </c>
      <c r="H225" s="41">
        <f>'2. Toimintakate'!I225+'3. Verotulot'!AF225+'4. Valtionosuudet'!AG225</f>
        <v>2299.0007618505333</v>
      </c>
      <c r="I225" s="41">
        <f>'2. Toimintakate'!J225+'3. Verotulot'!AK225+'4. Valtionosuudet'!AN225</f>
        <v>2547.297037698967</v>
      </c>
      <c r="J225" s="41">
        <f>'2. Toimintakate'!K225+'3. Verotulot'!AP225+'4. Valtionosuudet'!AU225</f>
        <v>1637.7288338176249</v>
      </c>
      <c r="K225" s="41">
        <f>'2. Toimintakate'!L225+'3. Verotulot'!AU225+'4. Valtionosuudet'!BC225</f>
        <v>519.08937928932266</v>
      </c>
      <c r="L225" s="41">
        <f>'2. Toimintakate'!M225+'3. Verotulot'!AZ225+'4. Valtionosuudet'!BK225</f>
        <v>698.00033458540884</v>
      </c>
      <c r="M225" s="41">
        <f>'2. Toimintakate'!N225+'3. Verotulot'!BE225+'4. Valtionosuudet'!BQ225</f>
        <v>649.10993049533226</v>
      </c>
      <c r="N225" s="41">
        <f>'2. Toimintakate'!O225+'3. Verotulot'!BJ225+'4. Valtionosuudet'!BY225</f>
        <v>557.35017941289289</v>
      </c>
      <c r="O225" s="41">
        <f>'2. Toimintakate'!P225+'3. Verotulot'!BO225+'4. Valtionosuudet'!CE225</f>
        <v>535.2531308401999</v>
      </c>
      <c r="P225" s="41">
        <f>'2. Toimintakate'!Q225+'3. Verotulot'!BT225+'4. Valtionosuudet'!CK225</f>
        <v>725.61326028439635</v>
      </c>
      <c r="T225" s="34">
        <v>687</v>
      </c>
      <c r="U225" s="88" t="s">
        <v>539</v>
      </c>
      <c r="V225" s="41" t="e">
        <f>C225/'1. Väestöennuste'!E225*1000</f>
        <v>#REF!</v>
      </c>
      <c r="W225" s="41">
        <f>D225/'1. Väestöennuste'!F225*1000</f>
        <v>287.8699941961695</v>
      </c>
      <c r="X225" s="41">
        <f>E225/'1. Väestöennuste'!G225*1000</f>
        <v>909.89399293286226</v>
      </c>
      <c r="Y225" s="41">
        <f>F225/'1. Väestöennuste'!H225*1000</f>
        <v>703.8158691701999</v>
      </c>
      <c r="Z225" s="41">
        <f>G225/'1. Väestöennuste'!I225*1000</f>
        <v>172.90886392009989</v>
      </c>
      <c r="AA225" s="41">
        <f>H225/'1. Väestöennuste'!J225*1000</f>
        <v>1472.7743509612642</v>
      </c>
      <c r="AB225" s="41">
        <f>I225/'1. Väestöennuste'!K225*1000</f>
        <v>1683.6067664897337</v>
      </c>
      <c r="AC225" s="41">
        <f>J225/'1. Väestöennuste'!L225*1000</f>
        <v>1108.8211467959545</v>
      </c>
      <c r="AD225" s="41">
        <f>K225/'1. Väestöennuste'!M225*1000</f>
        <v>364.52905848969289</v>
      </c>
      <c r="AE225" s="41">
        <f>L225/'1. Väestöennuste'!N225*1000</f>
        <v>486.41138298634763</v>
      </c>
      <c r="AF225" s="41">
        <f>M225/'1. Väestöennuste'!O225*1000</f>
        <v>461.01557563588943</v>
      </c>
      <c r="AG225" s="41">
        <f>N225/'1. Väestöennuste'!P225*1000</f>
        <v>403.58448907523018</v>
      </c>
      <c r="AH225" s="41">
        <f>O225/'1. Väestöennuste'!Q225*1000</f>
        <v>395.02076076767526</v>
      </c>
      <c r="AI225" s="41">
        <f>P225/'1. Väestöennuste'!R225*1000</f>
        <v>545.16398218211589</v>
      </c>
    </row>
    <row r="226" spans="1:35" x14ac:dyDescent="0.2">
      <c r="A226" s="34">
        <v>689</v>
      </c>
      <c r="B226" s="88" t="s">
        <v>540</v>
      </c>
      <c r="C226" s="41" t="e">
        <f>'2. Toimintakate'!D226+'3. Verotulot'!G226+'4. Valtionosuudet'!#REF!</f>
        <v>#REF!</v>
      </c>
      <c r="D226" s="41">
        <f>'2. Toimintakate'!E226+'3. Verotulot'!L226+'4. Valtionosuudet'!H226</f>
        <v>3451</v>
      </c>
      <c r="E226" s="41">
        <f>'2. Toimintakate'!F226+'3. Verotulot'!Q226+'4. Valtionosuudet'!N226</f>
        <v>2350</v>
      </c>
      <c r="F226" s="41">
        <f>'2. Toimintakate'!G226+'3. Verotulot'!V226+'4. Valtionosuudet'!T226</f>
        <v>1616</v>
      </c>
      <c r="G226" s="41">
        <f>'2. Toimintakate'!H226+'3. Verotulot'!AA226+'4. Valtionosuudet'!Z226</f>
        <v>550</v>
      </c>
      <c r="H226" s="41">
        <f>'2. Toimintakate'!I226+'3. Verotulot'!AF226+'4. Valtionosuudet'!AG226</f>
        <v>311.65142720147924</v>
      </c>
      <c r="I226" s="41">
        <f>'2. Toimintakate'!J226+'3. Verotulot'!AK226+'4. Valtionosuudet'!AN226</f>
        <v>1810.7699976001331</v>
      </c>
      <c r="J226" s="41">
        <f>'2. Toimintakate'!K226+'3. Verotulot'!AP226+'4. Valtionosuudet'!AU226</f>
        <v>2034.1333723496809</v>
      </c>
      <c r="K226" s="41">
        <f>'2. Toimintakate'!L226+'3. Verotulot'!AU226+'4. Valtionosuudet'!BC226</f>
        <v>3669.8472034759202</v>
      </c>
      <c r="L226" s="41">
        <f>'2. Toimintakate'!M226+'3. Verotulot'!AZ226+'4. Valtionosuudet'!BK226</f>
        <v>864.59853048590594</v>
      </c>
      <c r="M226" s="41">
        <f>'2. Toimintakate'!N226+'3. Verotulot'!BE226+'4. Valtionosuudet'!BQ226</f>
        <v>499.74641193151001</v>
      </c>
      <c r="N226" s="41">
        <f>'2. Toimintakate'!O226+'3. Verotulot'!BJ226+'4. Valtionosuudet'!BY226</f>
        <v>1004.6302617962392</v>
      </c>
      <c r="O226" s="41">
        <f>'2. Toimintakate'!P226+'3. Verotulot'!BO226+'4. Valtionosuudet'!CE226</f>
        <v>672.81341566431138</v>
      </c>
      <c r="P226" s="41">
        <f>'2. Toimintakate'!Q226+'3. Verotulot'!BT226+'4. Valtionosuudet'!CK226</f>
        <v>1165.4417928048065</v>
      </c>
      <c r="T226" s="34">
        <v>689</v>
      </c>
      <c r="U226" s="88" t="s">
        <v>540</v>
      </c>
      <c r="V226" s="41" t="e">
        <f>C226/'1. Väestöennuste'!E226*1000</f>
        <v>#REF!</v>
      </c>
      <c r="W226" s="41">
        <f>D226/'1. Väestöennuste'!F226*1000</f>
        <v>993.66541894615602</v>
      </c>
      <c r="X226" s="41">
        <f>E226/'1. Väestöennuste'!G226*1000</f>
        <v>683.93480791618151</v>
      </c>
      <c r="Y226" s="41">
        <f>F226/'1. Väestöennuste'!H226*1000</f>
        <v>484.55772113943027</v>
      </c>
      <c r="Z226" s="41">
        <f>G226/'1. Väestöennuste'!I226*1000</f>
        <v>170.48977061376317</v>
      </c>
      <c r="AA226" s="41">
        <f>H226/'1. Väestöennuste'!J226*1000</f>
        <v>99.06275499093428</v>
      </c>
      <c r="AB226" s="41">
        <f>I226/'1. Väestöennuste'!K226*1000</f>
        <v>585.6306589909874</v>
      </c>
      <c r="AC226" s="41">
        <f>J226/'1. Väestöennuste'!L226*1000</f>
        <v>657.65708773025574</v>
      </c>
      <c r="AD226" s="41">
        <f>K226/'1. Väestöennuste'!M226*1000</f>
        <v>1210.3717689564382</v>
      </c>
      <c r="AE226" s="41">
        <f>L226/'1. Väestöennuste'!N226*1000</f>
        <v>302.41291727383907</v>
      </c>
      <c r="AF226" s="41">
        <f>M226/'1. Väestöennuste'!O226*1000</f>
        <v>178.54462734244731</v>
      </c>
      <c r="AG226" s="41">
        <f>N226/'1. Väestöennuste'!P226*1000</f>
        <v>366.38594522109378</v>
      </c>
      <c r="AH226" s="41">
        <f>O226/'1. Väestöennuste'!Q226*1000</f>
        <v>250.20952609308716</v>
      </c>
      <c r="AI226" s="41">
        <f>P226/'1. Väestöennuste'!R226*1000</f>
        <v>441.62250579947192</v>
      </c>
    </row>
    <row r="227" spans="1:35" x14ac:dyDescent="0.2">
      <c r="A227" s="34">
        <v>691</v>
      </c>
      <c r="B227" s="88" t="s">
        <v>541</v>
      </c>
      <c r="C227" s="41" t="e">
        <f>'2. Toimintakate'!D227+'3. Verotulot'!G227+'4. Valtionosuudet'!#REF!</f>
        <v>#REF!</v>
      </c>
      <c r="D227" s="41">
        <f>'2. Toimintakate'!E227+'3. Verotulot'!L227+'4. Valtionosuudet'!H227</f>
        <v>-8</v>
      </c>
      <c r="E227" s="41">
        <f>'2. Toimintakate'!F227+'3. Verotulot'!Q227+'4. Valtionosuudet'!N227</f>
        <v>860</v>
      </c>
      <c r="F227" s="41">
        <f>'2. Toimintakate'!G227+'3. Verotulot'!V227+'4. Valtionosuudet'!T227</f>
        <v>-223</v>
      </c>
      <c r="G227" s="41">
        <f>'2. Toimintakate'!H227+'3. Verotulot'!AA227+'4. Valtionosuudet'!Z227</f>
        <v>233</v>
      </c>
      <c r="H227" s="41">
        <f>'2. Toimintakate'!I227+'3. Verotulot'!AF227+'4. Valtionosuudet'!AG227</f>
        <v>2059.7336689757412</v>
      </c>
      <c r="I227" s="41">
        <f>'2. Toimintakate'!J227+'3. Verotulot'!AK227+'4. Valtionosuudet'!AN227</f>
        <v>2394.465882073473</v>
      </c>
      <c r="J227" s="41">
        <f>'2. Toimintakate'!K227+'3. Verotulot'!AP227+'4. Valtionosuudet'!AU227</f>
        <v>2305.2582010098959</v>
      </c>
      <c r="K227" s="41">
        <f>'2. Toimintakate'!L227+'3. Verotulot'!AU227+'4. Valtionosuudet'!BC227</f>
        <v>2112.3600955327447</v>
      </c>
      <c r="L227" s="41">
        <f>'2. Toimintakate'!M227+'3. Verotulot'!AZ227+'4. Valtionosuudet'!BK227</f>
        <v>2258.4096718495966</v>
      </c>
      <c r="M227" s="41">
        <f>'2. Toimintakate'!N227+'3. Verotulot'!BE227+'4. Valtionosuudet'!BQ227</f>
        <v>733.1684496772159</v>
      </c>
      <c r="N227" s="41">
        <f>'2. Toimintakate'!O227+'3. Verotulot'!BJ227+'4. Valtionosuudet'!BY227</f>
        <v>917.54312333344751</v>
      </c>
      <c r="O227" s="41">
        <f>'2. Toimintakate'!P227+'3. Verotulot'!BO227+'4. Valtionosuudet'!CE227</f>
        <v>801.24340311486321</v>
      </c>
      <c r="P227" s="41">
        <f>'2. Toimintakate'!Q227+'3. Verotulot'!BT227+'4. Valtionosuudet'!CK227</f>
        <v>1080.2313871478491</v>
      </c>
      <c r="T227" s="34">
        <v>691</v>
      </c>
      <c r="U227" s="88" t="s">
        <v>541</v>
      </c>
      <c r="V227" s="41" t="e">
        <f>C227/'1. Väestöennuste'!E227*1000</f>
        <v>#REF!</v>
      </c>
      <c r="W227" s="41">
        <f>D227/'1. Väestöennuste'!F227*1000</f>
        <v>-2.8030833917309037</v>
      </c>
      <c r="X227" s="41">
        <f>E227/'1. Väestöennuste'!G227*1000</f>
        <v>305.72342694632067</v>
      </c>
      <c r="Y227" s="41">
        <f>F227/'1. Väestöennuste'!H227*1000</f>
        <v>-81.297849070360911</v>
      </c>
      <c r="Z227" s="41">
        <f>G227/'1. Väestöennuste'!I227*1000</f>
        <v>85.724797645327456</v>
      </c>
      <c r="AA227" s="41">
        <f>H227/'1. Väestöennuste'!J227*1000</f>
        <v>760.04932434529189</v>
      </c>
      <c r="AB227" s="41">
        <f>I227/'1. Väestöennuste'!K227*1000</f>
        <v>890.13601564069631</v>
      </c>
      <c r="AC227" s="41">
        <f>J227/'1. Väestöennuste'!L227*1000</f>
        <v>874.52890781862516</v>
      </c>
      <c r="AD227" s="41">
        <f>K227/'1. Väestöennuste'!M227*1000</f>
        <v>813.07163030513652</v>
      </c>
      <c r="AE227" s="41">
        <f>L227/'1. Väestöennuste'!N227*1000</f>
        <v>876.0316803140405</v>
      </c>
      <c r="AF227" s="41">
        <f>M227/'1. Väestöennuste'!O227*1000</f>
        <v>287.96875478288138</v>
      </c>
      <c r="AG227" s="41">
        <f>N227/'1. Väestöennuste'!P227*1000</f>
        <v>364.82827965544635</v>
      </c>
      <c r="AH227" s="41">
        <f>O227/'1. Väestöennuste'!Q227*1000</f>
        <v>322.30225386760384</v>
      </c>
      <c r="AI227" s="41">
        <f>P227/'1. Väestöennuste'!R227*1000</f>
        <v>440.01278498894061</v>
      </c>
    </row>
    <row r="228" spans="1:35" x14ac:dyDescent="0.2">
      <c r="A228" s="34">
        <v>694</v>
      </c>
      <c r="B228" s="88" t="s">
        <v>542</v>
      </c>
      <c r="C228" s="41" t="e">
        <f>'2. Toimintakate'!D228+'3. Verotulot'!G228+'4. Valtionosuudet'!#REF!</f>
        <v>#REF!</v>
      </c>
      <c r="D228" s="41">
        <f>'2. Toimintakate'!E228+'3. Verotulot'!L228+'4. Valtionosuudet'!H228</f>
        <v>8128</v>
      </c>
      <c r="E228" s="41">
        <f>'2. Toimintakate'!F228+'3. Verotulot'!Q228+'4. Valtionosuudet'!N228</f>
        <v>18265</v>
      </c>
      <c r="F228" s="41">
        <f>'2. Toimintakate'!G228+'3. Verotulot'!V228+'4. Valtionosuudet'!T228</f>
        <v>13666</v>
      </c>
      <c r="G228" s="41">
        <f>'2. Toimintakate'!H228+'3. Verotulot'!AA228+'4. Valtionosuudet'!Z228</f>
        <v>11410</v>
      </c>
      <c r="H228" s="41">
        <f>'2. Toimintakate'!I228+'3. Verotulot'!AF228+'4. Valtionosuudet'!AG228</f>
        <v>21624.089861405642</v>
      </c>
      <c r="I228" s="41">
        <f>'2. Toimintakate'!J228+'3. Verotulot'!AK228+'4. Valtionosuudet'!AN228</f>
        <v>15843.346160184803</v>
      </c>
      <c r="J228" s="41">
        <f>'2. Toimintakate'!K228+'3. Verotulot'!AP228+'4. Valtionosuudet'!AU228</f>
        <v>16283.196072659317</v>
      </c>
      <c r="K228" s="41">
        <f>'2. Toimintakate'!L228+'3. Verotulot'!AU228+'4. Valtionosuudet'!BC228</f>
        <v>22146.863068961109</v>
      </c>
      <c r="L228" s="41">
        <f>'2. Toimintakate'!M228+'3. Verotulot'!AZ228+'4. Valtionosuudet'!BK228</f>
        <v>15304.935106795654</v>
      </c>
      <c r="M228" s="41">
        <f>'2. Toimintakate'!N228+'3. Verotulot'!BE228+'4. Valtionosuudet'!BQ228</f>
        <v>9373.0616195135372</v>
      </c>
      <c r="N228" s="41">
        <f>'2. Toimintakate'!O228+'3. Verotulot'!BJ228+'4. Valtionosuudet'!BY228</f>
        <v>9516.7723519407446</v>
      </c>
      <c r="O228" s="41">
        <f>'2. Toimintakate'!P228+'3. Verotulot'!BO228+'4. Valtionosuudet'!CE228</f>
        <v>10260.258702387831</v>
      </c>
      <c r="P228" s="41">
        <f>'2. Toimintakate'!Q228+'3. Verotulot'!BT228+'4. Valtionosuudet'!CK228</f>
        <v>11691.571796772374</v>
      </c>
      <c r="T228" s="34">
        <v>694</v>
      </c>
      <c r="U228" s="88" t="s">
        <v>542</v>
      </c>
      <c r="V228" s="41" t="e">
        <f>C228/'1. Väestöennuste'!E228*1000</f>
        <v>#REF!</v>
      </c>
      <c r="W228" s="41">
        <f>D228/'1. Väestöennuste'!F228*1000</f>
        <v>278.73799725651577</v>
      </c>
      <c r="X228" s="41">
        <f>E228/'1. Väestöennuste'!G228*1000</f>
        <v>629.37183418903555</v>
      </c>
      <c r="Y228" s="41">
        <f>F228/'1. Väestöennuste'!H228*1000</f>
        <v>475.5707126948775</v>
      </c>
      <c r="Z228" s="41">
        <f>G228/'1. Väestöennuste'!I228*1000</f>
        <v>396.2768728510402</v>
      </c>
      <c r="AA228" s="41">
        <f>H228/'1. Väestöennuste'!J228*1000</f>
        <v>753.1901728110638</v>
      </c>
      <c r="AB228" s="41">
        <f>I228/'1. Väestöennuste'!K228*1000</f>
        <v>555.49756881542737</v>
      </c>
      <c r="AC228" s="41">
        <f>J228/'1. Väestöennuste'!L228*1000</f>
        <v>574.38343760482974</v>
      </c>
      <c r="AD228" s="41">
        <f>K228/'1. Väestöennuste'!M228*1000</f>
        <v>777.54671449500086</v>
      </c>
      <c r="AE228" s="41">
        <f>L228/'1. Väestöennuste'!N228*1000</f>
        <v>540.90599423204287</v>
      </c>
      <c r="AF228" s="41">
        <f>M228/'1. Väestöennuste'!O228*1000</f>
        <v>332.34271600586953</v>
      </c>
      <c r="AG228" s="41">
        <f>N228/'1. Väestöennuste'!P228*1000</f>
        <v>338.55469057064192</v>
      </c>
      <c r="AH228" s="41">
        <f>O228/'1. Väestöennuste'!Q228*1000</f>
        <v>366.21546569539322</v>
      </c>
      <c r="AI228" s="41">
        <f>P228/'1. Väestöennuste'!R228*1000</f>
        <v>418.66260104463134</v>
      </c>
    </row>
    <row r="229" spans="1:35" x14ac:dyDescent="0.2">
      <c r="A229" s="89">
        <v>697</v>
      </c>
      <c r="B229" s="90" t="s">
        <v>543</v>
      </c>
      <c r="C229" s="41" t="e">
        <f>'2. Toimintakate'!D229+'3. Verotulot'!G229+'4. Valtionosuudet'!#REF!</f>
        <v>#REF!</v>
      </c>
      <c r="D229" s="41">
        <f>'2. Toimintakate'!E229+'3. Verotulot'!L229+'4. Valtionosuudet'!H229</f>
        <v>310</v>
      </c>
      <c r="E229" s="41">
        <f>'2. Toimintakate'!F229+'3. Verotulot'!Q229+'4. Valtionosuudet'!N229</f>
        <v>671</v>
      </c>
      <c r="F229" s="41">
        <f>'2. Toimintakate'!G229+'3. Verotulot'!V229+'4. Valtionosuudet'!T229</f>
        <v>-29</v>
      </c>
      <c r="G229" s="41">
        <f>'2. Toimintakate'!H229+'3. Verotulot'!AA229+'4. Valtionosuudet'!Z229</f>
        <v>347</v>
      </c>
      <c r="H229" s="41">
        <f>'2. Toimintakate'!I229+'3. Verotulot'!AF229+'4. Valtionosuudet'!AG229</f>
        <v>298.33239035044789</v>
      </c>
      <c r="I229" s="41">
        <f>'2. Toimintakate'!J229+'3. Verotulot'!AK229+'4. Valtionosuudet'!AN229</f>
        <v>451.33875957649434</v>
      </c>
      <c r="J229" s="41">
        <f>'2. Toimintakate'!K229+'3. Verotulot'!AP229+'4. Valtionosuudet'!AU229</f>
        <v>745.33263859913131</v>
      </c>
      <c r="K229" s="41">
        <f>'2. Toimintakate'!L229+'3. Verotulot'!AU229+'4. Valtionosuudet'!BC229</f>
        <v>286.63364981902305</v>
      </c>
      <c r="L229" s="41">
        <f>'2. Toimintakate'!M229+'3. Verotulot'!AZ229+'4. Valtionosuudet'!BK229</f>
        <v>79.434997560616466</v>
      </c>
      <c r="M229" s="41">
        <f>'2. Toimintakate'!N229+'3. Verotulot'!BE229+'4. Valtionosuudet'!BQ229</f>
        <v>-164.17169112693296</v>
      </c>
      <c r="N229" s="41">
        <f>'2. Toimintakate'!O229+'3. Verotulot'!BJ229+'4. Valtionosuudet'!BY229</f>
        <v>-206.50550727269911</v>
      </c>
      <c r="O229" s="41">
        <f>'2. Toimintakate'!P229+'3. Verotulot'!BO229+'4. Valtionosuudet'!CE229</f>
        <v>-260.76802716999578</v>
      </c>
      <c r="P229" s="41">
        <f>'2. Toimintakate'!Q229+'3. Verotulot'!BT229+'4. Valtionosuudet'!CK229</f>
        <v>-124.19331645329089</v>
      </c>
      <c r="T229" s="89">
        <v>697</v>
      </c>
      <c r="U229" s="90" t="s">
        <v>543</v>
      </c>
      <c r="V229" s="41" t="e">
        <f>C229/'1. Väestöennuste'!E229*1000</f>
        <v>#REF!</v>
      </c>
      <c r="W229" s="41">
        <f>D229/'1. Väestöennuste'!F229*1000</f>
        <v>230.48327137546468</v>
      </c>
      <c r="X229" s="41">
        <f>E229/'1. Väestöennuste'!G229*1000</f>
        <v>509.49126803340926</v>
      </c>
      <c r="Y229" s="41">
        <f>F229/'1. Väestöennuste'!H229*1000</f>
        <v>-22.51552795031056</v>
      </c>
      <c r="Z229" s="41">
        <f>G229/'1. Väestöennuste'!I229*1000</f>
        <v>272.79874213836479</v>
      </c>
      <c r="AA229" s="41">
        <f>H229/'1. Väestöennuste'!J229*1000</f>
        <v>241.5646885428728</v>
      </c>
      <c r="AB229" s="41">
        <f>I229/'1. Väestöennuste'!K229*1000</f>
        <v>373.00723931941684</v>
      </c>
      <c r="AC229" s="41">
        <f>J229/'1. Väestöennuste'!L229*1000</f>
        <v>634.8659613280505</v>
      </c>
      <c r="AD229" s="41">
        <f>K229/'1. Väestöennuste'!M229*1000</f>
        <v>246.24884005070709</v>
      </c>
      <c r="AE229" s="41">
        <f>L229/'1. Väestöennuste'!N229*1000</f>
        <v>67.661837785874326</v>
      </c>
      <c r="AF229" s="41">
        <f>M229/'1. Väestöennuste'!O229*1000</f>
        <v>-140.79904899393907</v>
      </c>
      <c r="AG229" s="41">
        <f>N229/'1. Väestöennuste'!P229*1000</f>
        <v>-178.63798206980891</v>
      </c>
      <c r="AH229" s="41">
        <f>O229/'1. Väestöennuste'!Q229*1000</f>
        <v>-227.74500189519281</v>
      </c>
      <c r="AI229" s="41">
        <f>P229/'1. Väestöennuste'!R229*1000</f>
        <v>-109.22895026674661</v>
      </c>
    </row>
    <row r="230" spans="1:35" x14ac:dyDescent="0.2">
      <c r="A230" s="34">
        <v>698</v>
      </c>
      <c r="B230" s="88" t="s">
        <v>544</v>
      </c>
      <c r="C230" s="41" t="e">
        <f>'2. Toimintakate'!D230+'3. Verotulot'!G230+'4. Valtionosuudet'!#REF!</f>
        <v>#REF!</v>
      </c>
      <c r="D230" s="41">
        <f>'2. Toimintakate'!E230+'3. Verotulot'!L230+'4. Valtionosuudet'!H230</f>
        <v>10428</v>
      </c>
      <c r="E230" s="41">
        <f>'2. Toimintakate'!F230+'3. Verotulot'!Q230+'4. Valtionosuudet'!N230</f>
        <v>5930</v>
      </c>
      <c r="F230" s="41">
        <f>'2. Toimintakate'!G230+'3. Verotulot'!V230+'4. Valtionosuudet'!T230</f>
        <v>-15901</v>
      </c>
      <c r="G230" s="41">
        <f>'2. Toimintakate'!H230+'3. Verotulot'!AA230+'4. Valtionosuudet'!Z230</f>
        <v>-22056</v>
      </c>
      <c r="H230" s="41">
        <f>'2. Toimintakate'!I230+'3. Verotulot'!AF230+'4. Valtionosuudet'!AG230</f>
        <v>20108.373838072759</v>
      </c>
      <c r="I230" s="41">
        <f>'2. Toimintakate'!J230+'3. Verotulot'!AK230+'4. Valtionosuudet'!AN230</f>
        <v>14951.778005775122</v>
      </c>
      <c r="J230" s="41">
        <f>'2. Toimintakate'!K230+'3. Verotulot'!AP230+'4. Valtionosuudet'!AU230</f>
        <v>-7987.781168590649</v>
      </c>
      <c r="K230" s="41">
        <f>'2. Toimintakate'!L230+'3. Verotulot'!AU230+'4. Valtionosuudet'!BC230</f>
        <v>25307.933852494541</v>
      </c>
      <c r="L230" s="41">
        <f>'2. Toimintakate'!M230+'3. Verotulot'!AZ230+'4. Valtionosuudet'!BK230</f>
        <v>8234.7010635664374</v>
      </c>
      <c r="M230" s="41">
        <f>'2. Toimintakate'!N230+'3. Verotulot'!BE230+'4. Valtionosuudet'!BQ230</f>
        <v>-79.586716972888098</v>
      </c>
      <c r="N230" s="41">
        <f>'2. Toimintakate'!O230+'3. Verotulot'!BJ230+'4. Valtionosuudet'!BY230</f>
        <v>4267.6940545524412</v>
      </c>
      <c r="O230" s="41">
        <f>'2. Toimintakate'!P230+'3. Verotulot'!BO230+'4. Valtionosuudet'!CE230</f>
        <v>5374.3028241033171</v>
      </c>
      <c r="P230" s="41">
        <f>'2. Toimintakate'!Q230+'3. Verotulot'!BT230+'4. Valtionosuudet'!CK230</f>
        <v>9563.7449122618928</v>
      </c>
      <c r="T230" s="34">
        <v>698</v>
      </c>
      <c r="U230" s="88" t="s">
        <v>544</v>
      </c>
      <c r="V230" s="41" t="e">
        <f>C230/'1. Väestöennuste'!E230*1000</f>
        <v>#REF!</v>
      </c>
      <c r="W230" s="41">
        <f>D230/'1. Väestöennuste'!F230*1000</f>
        <v>167.56921791390141</v>
      </c>
      <c r="X230" s="41">
        <f>E230/'1. Väestöennuste'!G230*1000</f>
        <v>95.001602050624797</v>
      </c>
      <c r="Y230" s="41">
        <f>F230/'1. Väestöennuste'!H230*1000</f>
        <v>-252.70970407806493</v>
      </c>
      <c r="Z230" s="41">
        <f>G230/'1. Väestöennuste'!I230*1000</f>
        <v>-349.86199676406204</v>
      </c>
      <c r="AA230" s="41">
        <f>H230/'1. Väestöennuste'!J230*1000</f>
        <v>316.52773325262496</v>
      </c>
      <c r="AB230" s="41">
        <f>I230/'1. Väestöennuste'!K230*1000</f>
        <v>232.96631358328329</v>
      </c>
      <c r="AC230" s="41">
        <f>J230/'1. Väestöennuste'!L230*1000</f>
        <v>-123.77440409995583</v>
      </c>
      <c r="AD230" s="41">
        <f>K230/'1. Väestöennuste'!M230*1000</f>
        <v>387.6471809039387</v>
      </c>
      <c r="AE230" s="41">
        <f>L230/'1. Väestöennuste'!N230*1000</f>
        <v>126.77937991419083</v>
      </c>
      <c r="AF230" s="41">
        <f>M230/'1. Väestöennuste'!O230*1000</f>
        <v>-1.2196637238577246</v>
      </c>
      <c r="AG230" s="41">
        <f>N230/'1. Väestöennuste'!P230*1000</f>
        <v>65.11785612243952</v>
      </c>
      <c r="AH230" s="41">
        <f>O230/'1. Väestöennuste'!Q230*1000</f>
        <v>81.673852224906796</v>
      </c>
      <c r="AI230" s="41">
        <f>P230/'1. Väestöennuste'!R230*1000</f>
        <v>144.80868681881614</v>
      </c>
    </row>
    <row r="231" spans="1:35" x14ac:dyDescent="0.2">
      <c r="A231" s="34">
        <v>700</v>
      </c>
      <c r="B231" s="88" t="s">
        <v>545</v>
      </c>
      <c r="C231" s="41" t="e">
        <f>'2. Toimintakate'!D231+'3. Verotulot'!G231+'4. Valtionosuudet'!#REF!</f>
        <v>#REF!</v>
      </c>
      <c r="D231" s="41">
        <f>'2. Toimintakate'!E231+'3. Verotulot'!L231+'4. Valtionosuudet'!H231</f>
        <v>2430</v>
      </c>
      <c r="E231" s="41">
        <f>'2. Toimintakate'!F231+'3. Verotulot'!Q231+'4. Valtionosuudet'!N231</f>
        <v>2345</v>
      </c>
      <c r="F231" s="41">
        <f>'2. Toimintakate'!G231+'3. Verotulot'!V231+'4. Valtionosuudet'!T231</f>
        <v>2207</v>
      </c>
      <c r="G231" s="41">
        <f>'2. Toimintakate'!H231+'3. Verotulot'!AA231+'4. Valtionosuudet'!Z231</f>
        <v>2970</v>
      </c>
      <c r="H231" s="41">
        <f>'2. Toimintakate'!I231+'3. Verotulot'!AF231+'4. Valtionosuudet'!AG231</f>
        <v>4019.776653564666</v>
      </c>
      <c r="I231" s="41">
        <f>'2. Toimintakate'!J231+'3. Verotulot'!AK231+'4. Valtionosuudet'!AN231</f>
        <v>3409.3942593239681</v>
      </c>
      <c r="J231" s="41">
        <f>'2. Toimintakate'!K231+'3. Verotulot'!AP231+'4. Valtionosuudet'!AU231</f>
        <v>1966.5888987352409</v>
      </c>
      <c r="K231" s="41">
        <f>'2. Toimintakate'!L231+'3. Verotulot'!AU231+'4. Valtionosuudet'!BC231</f>
        <v>2411.7233204848981</v>
      </c>
      <c r="L231" s="41">
        <f>'2. Toimintakate'!M231+'3. Verotulot'!AZ231+'4. Valtionosuudet'!BK231</f>
        <v>2209.2601953458534</v>
      </c>
      <c r="M231" s="41">
        <f>'2. Toimintakate'!N231+'3. Verotulot'!BE231+'4. Valtionosuudet'!BQ231</f>
        <v>1957.5836648630761</v>
      </c>
      <c r="N231" s="41">
        <f>'2. Toimintakate'!O231+'3. Verotulot'!BJ231+'4. Valtionosuudet'!BY231</f>
        <v>1654.0264689794853</v>
      </c>
      <c r="O231" s="41">
        <f>'2. Toimintakate'!P231+'3. Verotulot'!BO231+'4. Valtionosuudet'!CE231</f>
        <v>1363.4969708984513</v>
      </c>
      <c r="P231" s="41">
        <f>'2. Toimintakate'!Q231+'3. Verotulot'!BT231+'4. Valtionosuudet'!CK231</f>
        <v>1781.5330252899739</v>
      </c>
      <c r="T231" s="34">
        <v>700</v>
      </c>
      <c r="U231" s="88" t="s">
        <v>545</v>
      </c>
      <c r="V231" s="41" t="e">
        <f>C231/'1. Väestöennuste'!E231*1000</f>
        <v>#REF!</v>
      </c>
      <c r="W231" s="41">
        <f>D231/'1. Väestöennuste'!F231*1000</f>
        <v>463.2983794089609</v>
      </c>
      <c r="X231" s="41">
        <f>E231/'1. Väestöennuste'!G231*1000</f>
        <v>449.40590264469142</v>
      </c>
      <c r="Y231" s="41">
        <f>F231/'1. Väestöennuste'!H231*1000</f>
        <v>432.82996666012946</v>
      </c>
      <c r="Z231" s="41">
        <f>G231/'1. Väestöennuste'!I231*1000</f>
        <v>594.7136563876652</v>
      </c>
      <c r="AA231" s="41">
        <f>H231/'1. Väestöennuste'!J231*1000</f>
        <v>816.69578495828239</v>
      </c>
      <c r="AB231" s="41">
        <f>I231/'1. Väestöennuste'!K231*1000</f>
        <v>693.95364529288997</v>
      </c>
      <c r="AC231" s="41">
        <f>J231/'1. Väestöennuste'!L231*1000</f>
        <v>406.15218891681968</v>
      </c>
      <c r="AD231" s="41">
        <f>K231/'1. Väestöennuste'!M231*1000</f>
        <v>506.87753688207192</v>
      </c>
      <c r="AE231" s="41">
        <f>L231/'1. Väestöennuste'!N231*1000</f>
        <v>476.33898131648414</v>
      </c>
      <c r="AF231" s="41">
        <f>M231/'1. Väestöennuste'!O231*1000</f>
        <v>427.98068755204986</v>
      </c>
      <c r="AG231" s="41">
        <f>N231/'1. Väestöennuste'!P231*1000</f>
        <v>366.58388053623349</v>
      </c>
      <c r="AH231" s="41">
        <f>O231/'1. Väestöennuste'!Q231*1000</f>
        <v>306.33497436496322</v>
      </c>
      <c r="AI231" s="41">
        <f>P231/'1. Väestöennuste'!R231*1000</f>
        <v>405.9086409865514</v>
      </c>
    </row>
    <row r="232" spans="1:35" x14ac:dyDescent="0.2">
      <c r="A232" s="34">
        <v>702</v>
      </c>
      <c r="B232" s="88" t="s">
        <v>546</v>
      </c>
      <c r="C232" s="41" t="e">
        <f>'2. Toimintakate'!D232+'3. Verotulot'!G232+'4. Valtionosuudet'!#REF!</f>
        <v>#REF!</v>
      </c>
      <c r="D232" s="41">
        <f>'2. Toimintakate'!E232+'3. Verotulot'!L232+'4. Valtionosuudet'!H232</f>
        <v>3056</v>
      </c>
      <c r="E232" s="41">
        <f>'2. Toimintakate'!F232+'3. Verotulot'!Q232+'4. Valtionosuudet'!N232</f>
        <v>2643</v>
      </c>
      <c r="F232" s="41">
        <f>'2. Toimintakate'!G232+'3. Verotulot'!V232+'4. Valtionosuudet'!T232</f>
        <v>1193</v>
      </c>
      <c r="G232" s="41">
        <f>'2. Toimintakate'!H232+'3. Verotulot'!AA232+'4. Valtionosuudet'!Z232</f>
        <v>270</v>
      </c>
      <c r="H232" s="41">
        <f>'2. Toimintakate'!I232+'3. Verotulot'!AF232+'4. Valtionosuudet'!AG232</f>
        <v>3421.223499187663</v>
      </c>
      <c r="I232" s="41">
        <f>'2. Toimintakate'!J232+'3. Verotulot'!AK232+'4. Valtionosuudet'!AN232</f>
        <v>461.18778345922328</v>
      </c>
      <c r="J232" s="41">
        <f>'2. Toimintakate'!K232+'3. Verotulot'!AP232+'4. Valtionosuudet'!AU232</f>
        <v>1066.3739395450666</v>
      </c>
      <c r="K232" s="41">
        <f>'2. Toimintakate'!L232+'3. Verotulot'!AU232+'4. Valtionosuudet'!BC232</f>
        <v>1863.0999543041121</v>
      </c>
      <c r="L232" s="41">
        <f>'2. Toimintakate'!M232+'3. Verotulot'!AZ232+'4. Valtionosuudet'!BK232</f>
        <v>1387.0533455333143</v>
      </c>
      <c r="M232" s="41">
        <f>'2. Toimintakate'!N232+'3. Verotulot'!BE232+'4. Valtionosuudet'!BQ232</f>
        <v>770.08870587031834</v>
      </c>
      <c r="N232" s="41">
        <f>'2. Toimintakate'!O232+'3. Verotulot'!BJ232+'4. Valtionosuudet'!BY232</f>
        <v>810.72507654050332</v>
      </c>
      <c r="O232" s="41">
        <f>'2. Toimintakate'!P232+'3. Verotulot'!BO232+'4. Valtionosuudet'!CE232</f>
        <v>453.91291199358784</v>
      </c>
      <c r="P232" s="41">
        <f>'2. Toimintakate'!Q232+'3. Verotulot'!BT232+'4. Valtionosuudet'!CK232</f>
        <v>881.97475955184564</v>
      </c>
      <c r="T232" s="34">
        <v>702</v>
      </c>
      <c r="U232" s="88" t="s">
        <v>546</v>
      </c>
      <c r="V232" s="41" t="e">
        <f>C232/'1. Väestöennuste'!E232*1000</f>
        <v>#REF!</v>
      </c>
      <c r="W232" s="41">
        <f>D232/'1. Väestöennuste'!F232*1000</f>
        <v>669.44140197152251</v>
      </c>
      <c r="X232" s="41">
        <f>E232/'1. Väestöennuste'!G232*1000</f>
        <v>592.73379681542951</v>
      </c>
      <c r="Y232" s="41">
        <f>F232/'1. Väestöennuste'!H232*1000</f>
        <v>271.25966348340154</v>
      </c>
      <c r="Z232" s="41">
        <f>G232/'1. Väestöennuste'!I232*1000</f>
        <v>63.039925286014473</v>
      </c>
      <c r="AA232" s="41">
        <f>H232/'1. Väestöennuste'!J232*1000</f>
        <v>811.67817299825924</v>
      </c>
      <c r="AB232" s="41">
        <f>I232/'1. Väestöennuste'!K232*1000</f>
        <v>110.99585642821258</v>
      </c>
      <c r="AC232" s="41">
        <f>J232/'1. Väestöennuste'!L232*1000</f>
        <v>259.20611073044887</v>
      </c>
      <c r="AD232" s="41">
        <f>K232/'1. Väestöennuste'!M232*1000</f>
        <v>451.77011501069643</v>
      </c>
      <c r="AE232" s="41">
        <f>L232/'1. Väestöennuste'!N232*1000</f>
        <v>355.38133372618864</v>
      </c>
      <c r="AF232" s="41">
        <f>M232/'1. Väestöennuste'!O232*1000</f>
        <v>200.43953822756856</v>
      </c>
      <c r="AG232" s="41">
        <f>N232/'1. Väestöennuste'!P232*1000</f>
        <v>214.02457142040743</v>
      </c>
      <c r="AH232" s="41">
        <f>O232/'1. Väestöennuste'!Q232*1000</f>
        <v>121.43202568046759</v>
      </c>
      <c r="AI232" s="41">
        <f>P232/'1. Väestöennuste'!R232*1000</f>
        <v>238.88807138457358</v>
      </c>
    </row>
    <row r="233" spans="1:35" x14ac:dyDescent="0.2">
      <c r="A233" s="34">
        <v>704</v>
      </c>
      <c r="B233" s="88" t="s">
        <v>547</v>
      </c>
      <c r="C233" s="41" t="e">
        <f>'2. Toimintakate'!D233+'3. Verotulot'!G233+'4. Valtionosuudet'!#REF!</f>
        <v>#REF!</v>
      </c>
      <c r="D233" s="41">
        <f>'2. Toimintakate'!E233+'3. Verotulot'!L233+'4. Valtionosuudet'!H233</f>
        <v>3795</v>
      </c>
      <c r="E233" s="41">
        <f>'2. Toimintakate'!F233+'3. Verotulot'!Q233+'4. Valtionosuudet'!N233</f>
        <v>4276</v>
      </c>
      <c r="F233" s="41">
        <f>'2. Toimintakate'!G233+'3. Verotulot'!V233+'4. Valtionosuudet'!T233</f>
        <v>2533</v>
      </c>
      <c r="G233" s="41">
        <f>'2. Toimintakate'!H233+'3. Verotulot'!AA233+'4. Valtionosuudet'!Z233</f>
        <v>-77</v>
      </c>
      <c r="H233" s="41">
        <f>'2. Toimintakate'!I233+'3. Verotulot'!AF233+'4. Valtionosuudet'!AG233</f>
        <v>3944.9192252957127</v>
      </c>
      <c r="I233" s="41">
        <f>'2. Toimintakate'!J233+'3. Verotulot'!AK233+'4. Valtionosuudet'!AN233</f>
        <v>2467.2502667945409</v>
      </c>
      <c r="J233" s="41">
        <f>'2. Toimintakate'!K233+'3. Verotulot'!AP233+'4. Valtionosuudet'!AU233</f>
        <v>2121.9281040138558</v>
      </c>
      <c r="K233" s="41">
        <f>'2. Toimintakate'!L233+'3. Verotulot'!AU233+'4. Valtionosuudet'!BC233</f>
        <v>2502.1923601922063</v>
      </c>
      <c r="L233" s="41">
        <f>'2. Toimintakate'!M233+'3. Verotulot'!AZ233+'4. Valtionosuudet'!BK233</f>
        <v>2372.4666377018575</v>
      </c>
      <c r="M233" s="41">
        <f>'2. Toimintakate'!N233+'3. Verotulot'!BE233+'4. Valtionosuudet'!BQ233</f>
        <v>501.04029392620669</v>
      </c>
      <c r="N233" s="41">
        <f>'2. Toimintakate'!O233+'3. Verotulot'!BJ233+'4. Valtionosuudet'!BY233</f>
        <v>1250.2469775531845</v>
      </c>
      <c r="O233" s="41">
        <f>'2. Toimintakate'!P233+'3. Verotulot'!BO233+'4. Valtionosuudet'!CE233</f>
        <v>1321.3896875410946</v>
      </c>
      <c r="P233" s="41">
        <f>'2. Toimintakate'!Q233+'3. Verotulot'!BT233+'4. Valtionosuudet'!CK233</f>
        <v>1613.7420985007548</v>
      </c>
      <c r="T233" s="34">
        <v>704</v>
      </c>
      <c r="U233" s="88" t="s">
        <v>547</v>
      </c>
      <c r="V233" s="41" t="e">
        <f>C233/'1. Väestöennuste'!E233*1000</f>
        <v>#REF!</v>
      </c>
      <c r="W233" s="41">
        <f>D233/'1. Väestöennuste'!F233*1000</f>
        <v>618.38031611536576</v>
      </c>
      <c r="X233" s="41">
        <f>E233/'1. Väestöennuste'!G233*1000</f>
        <v>682.73990100590777</v>
      </c>
      <c r="Y233" s="41">
        <f>F233/'1. Väestöennuste'!H233*1000</f>
        <v>405.21516557350822</v>
      </c>
      <c r="Z233" s="41">
        <f>G233/'1. Väestöennuste'!I233*1000</f>
        <v>-12.170064801643749</v>
      </c>
      <c r="AA233" s="41">
        <f>H233/'1. Väestöennuste'!J233*1000</f>
        <v>620.85603168015621</v>
      </c>
      <c r="AB233" s="41">
        <f>I233/'1. Väestöennuste'!K233*1000</f>
        <v>386.7769661066846</v>
      </c>
      <c r="AC233" s="41">
        <f>J233/'1. Väestöennuste'!L233*1000</f>
        <v>330.10704791752579</v>
      </c>
      <c r="AD233" s="41">
        <f>K233/'1. Väestöennuste'!M233*1000</f>
        <v>388.78066503918677</v>
      </c>
      <c r="AE233" s="41">
        <f>L233/'1. Väestöennuste'!N233*1000</f>
        <v>360.83142778735476</v>
      </c>
      <c r="AF233" s="41">
        <f>M233/'1. Väestöennuste'!O233*1000</f>
        <v>75.514739099654363</v>
      </c>
      <c r="AG233" s="41">
        <f>N233/'1. Väestöennuste'!P233*1000</f>
        <v>186.85502578884839</v>
      </c>
      <c r="AH233" s="41">
        <f>O233/'1. Väestöennuste'!Q233*1000</f>
        <v>195.8484789596998</v>
      </c>
      <c r="AI233" s="41">
        <f>P233/'1. Väestöennuste'!R233*1000</f>
        <v>237.41975849650652</v>
      </c>
    </row>
    <row r="234" spans="1:35" x14ac:dyDescent="0.2">
      <c r="A234" s="34">
        <v>707</v>
      </c>
      <c r="B234" s="88" t="s">
        <v>548</v>
      </c>
      <c r="C234" s="41" t="e">
        <f>'2. Toimintakate'!D234+'3. Verotulot'!G234+'4. Valtionosuudet'!#REF!</f>
        <v>#REF!</v>
      </c>
      <c r="D234" s="41">
        <f>'2. Toimintakate'!E234+'3. Verotulot'!L234+'4. Valtionosuudet'!H234</f>
        <v>975</v>
      </c>
      <c r="E234" s="41">
        <f>'2. Toimintakate'!F234+'3. Verotulot'!Q234+'4. Valtionosuudet'!N234</f>
        <v>1363</v>
      </c>
      <c r="F234" s="41">
        <f>'2. Toimintakate'!G234+'3. Verotulot'!V234+'4. Valtionosuudet'!T234</f>
        <v>331</v>
      </c>
      <c r="G234" s="41">
        <f>'2. Toimintakate'!H234+'3. Verotulot'!AA234+'4. Valtionosuudet'!Z234</f>
        <v>-296</v>
      </c>
      <c r="H234" s="41">
        <f>'2. Toimintakate'!I234+'3. Verotulot'!AF234+'4. Valtionosuudet'!AG234</f>
        <v>-1296.8006569229237</v>
      </c>
      <c r="I234" s="41">
        <f>'2. Toimintakate'!J234+'3. Verotulot'!AK234+'4. Valtionosuudet'!AN234</f>
        <v>226.17187385869511</v>
      </c>
      <c r="J234" s="41">
        <f>'2. Toimintakate'!K234+'3. Verotulot'!AP234+'4. Valtionosuudet'!AU234</f>
        <v>1813.75657263844</v>
      </c>
      <c r="K234" s="41">
        <f>'2. Toimintakate'!L234+'3. Verotulot'!AU234+'4. Valtionosuudet'!BC234</f>
        <v>837.11329547052355</v>
      </c>
      <c r="L234" s="41">
        <f>'2. Toimintakate'!M234+'3. Verotulot'!AZ234+'4. Valtionosuudet'!BK234</f>
        <v>703.8905123388605</v>
      </c>
      <c r="M234" s="41">
        <f>'2. Toimintakate'!N234+'3. Verotulot'!BE234+'4. Valtionosuudet'!BQ234</f>
        <v>-649.02375175077395</v>
      </c>
      <c r="N234" s="41">
        <f>'2. Toimintakate'!O234+'3. Verotulot'!BJ234+'4. Valtionosuudet'!BY234</f>
        <v>-744.48182139670189</v>
      </c>
      <c r="O234" s="41">
        <f>'2. Toimintakate'!P234+'3. Verotulot'!BO234+'4. Valtionosuudet'!CE234</f>
        <v>-877.43742339038681</v>
      </c>
      <c r="P234" s="41">
        <f>'2. Toimintakate'!Q234+'3. Verotulot'!BT234+'4. Valtionosuudet'!CK234</f>
        <v>-609.7725613949442</v>
      </c>
      <c r="T234" s="34">
        <v>707</v>
      </c>
      <c r="U234" s="88" t="s">
        <v>548</v>
      </c>
      <c r="V234" s="41" t="e">
        <f>C234/'1. Väestöennuste'!E234*1000</f>
        <v>#REF!</v>
      </c>
      <c r="W234" s="41">
        <f>D234/'1. Väestöennuste'!F234*1000</f>
        <v>429.8941798941799</v>
      </c>
      <c r="X234" s="41">
        <f>E234/'1. Väestöennuste'!G234*1000</f>
        <v>608.48214285714289</v>
      </c>
      <c r="Y234" s="41">
        <f>F234/'1. Väestöennuste'!H234*1000</f>
        <v>151.76524530032094</v>
      </c>
      <c r="Z234" s="41">
        <f>G234/'1. Väestöennuste'!I234*1000</f>
        <v>-139.22859830667923</v>
      </c>
      <c r="AA234" s="41">
        <f>H234/'1. Väestöennuste'!J234*1000</f>
        <v>-627.68666840412573</v>
      </c>
      <c r="AB234" s="41">
        <f>I234/'1. Väestöennuste'!K234*1000</f>
        <v>111.30505603282239</v>
      </c>
      <c r="AC234" s="41">
        <f>J234/'1. Väestöennuste'!L234*1000</f>
        <v>925.38600644818371</v>
      </c>
      <c r="AD234" s="41">
        <f>K234/'1. Väestöennuste'!M234*1000</f>
        <v>440.12265797609018</v>
      </c>
      <c r="AE234" s="41">
        <f>L234/'1. Väestöennuste'!N234*1000</f>
        <v>369.3024723708607</v>
      </c>
      <c r="AF234" s="41">
        <f>M234/'1. Väestöennuste'!O234*1000</f>
        <v>-345.96148814007137</v>
      </c>
      <c r="AG234" s="41">
        <f>N234/'1. Väestöennuste'!P234*1000</f>
        <v>-403.07624331169569</v>
      </c>
      <c r="AH234" s="41">
        <f>O234/'1. Väestöennuste'!Q234*1000</f>
        <v>-482.37351478306033</v>
      </c>
      <c r="AI234" s="41">
        <f>P234/'1. Väestöennuste'!R234*1000</f>
        <v>-340.08508722528956</v>
      </c>
    </row>
    <row r="235" spans="1:35" x14ac:dyDescent="0.2">
      <c r="A235" s="34">
        <v>710</v>
      </c>
      <c r="B235" s="88" t="s">
        <v>549</v>
      </c>
      <c r="C235" s="41" t="e">
        <f>'2. Toimintakate'!D235+'3. Verotulot'!G235+'4. Valtionosuudet'!#REF!</f>
        <v>#REF!</v>
      </c>
      <c r="D235" s="41">
        <f>'2. Toimintakate'!E235+'3. Verotulot'!L235+'4. Valtionosuudet'!H235</f>
        <v>7492</v>
      </c>
      <c r="E235" s="41">
        <f>'2. Toimintakate'!F235+'3. Verotulot'!Q235+'4. Valtionosuudet'!N235</f>
        <v>15297</v>
      </c>
      <c r="F235" s="41">
        <f>'2. Toimintakate'!G235+'3. Verotulot'!V235+'4. Valtionosuudet'!T235</f>
        <v>3096</v>
      </c>
      <c r="G235" s="41">
        <f>'2. Toimintakate'!H235+'3. Verotulot'!AA235+'4. Valtionosuudet'!Z235</f>
        <v>-277</v>
      </c>
      <c r="H235" s="41">
        <f>'2. Toimintakate'!I235+'3. Verotulot'!AF235+'4. Valtionosuudet'!AG235</f>
        <v>16039.813513946967</v>
      </c>
      <c r="I235" s="41">
        <f>'2. Toimintakate'!J235+'3. Verotulot'!AK235+'4. Valtionosuudet'!AN235</f>
        <v>12182.990546406698</v>
      </c>
      <c r="J235" s="41">
        <f>'2. Toimintakate'!K235+'3. Verotulot'!AP235+'4. Valtionosuudet'!AU235</f>
        <v>10442.729969873981</v>
      </c>
      <c r="K235" s="41">
        <f>'2. Toimintakate'!L235+'3. Verotulot'!AU235+'4. Valtionosuudet'!BC235</f>
        <v>18281.555948286707</v>
      </c>
      <c r="L235" s="41">
        <f>'2. Toimintakate'!M235+'3. Verotulot'!AZ235+'4. Valtionosuudet'!BK235</f>
        <v>8184.77374204031</v>
      </c>
      <c r="M235" s="41">
        <f>'2. Toimintakate'!N235+'3. Verotulot'!BE235+'4. Valtionosuudet'!BQ235</f>
        <v>8414.3069442233646</v>
      </c>
      <c r="N235" s="41">
        <f>'2. Toimintakate'!O235+'3. Verotulot'!BJ235+'4. Valtionosuudet'!BY235</f>
        <v>8865.6771590509852</v>
      </c>
      <c r="O235" s="41">
        <f>'2. Toimintakate'!P235+'3. Verotulot'!BO235+'4. Valtionosuudet'!CE235</f>
        <v>10016.422722192754</v>
      </c>
      <c r="P235" s="41">
        <f>'2. Toimintakate'!Q235+'3. Verotulot'!BT235+'4. Valtionosuudet'!CK235</f>
        <v>12746.8880767761</v>
      </c>
      <c r="T235" s="34">
        <v>710</v>
      </c>
      <c r="U235" s="88" t="s">
        <v>549</v>
      </c>
      <c r="V235" s="41" t="e">
        <f>C235/'1. Väestöennuste'!E235*1000</f>
        <v>#REF!</v>
      </c>
      <c r="W235" s="41">
        <f>D235/'1. Väestöennuste'!F235*1000</f>
        <v>266.837625102397</v>
      </c>
      <c r="X235" s="41">
        <f>E235/'1. Väestöennuste'!G235*1000</f>
        <v>549.24419230907324</v>
      </c>
      <c r="Y235" s="41">
        <f>F235/'1. Väestöennuste'!H235*1000</f>
        <v>112.20643664830386</v>
      </c>
      <c r="Z235" s="41">
        <f>G235/'1. Väestöennuste'!I235*1000</f>
        <v>-10.059558396281231</v>
      </c>
      <c r="AA235" s="41">
        <f>H235/'1. Väestöennuste'!J235*1000</f>
        <v>582.67267923376073</v>
      </c>
      <c r="AB235" s="41">
        <f>I235/'1. Väestöennuste'!K235*1000</f>
        <v>443.27574393853507</v>
      </c>
      <c r="AC235" s="41">
        <f>J235/'1. Väestöennuste'!L235*1000</f>
        <v>382.433529988793</v>
      </c>
      <c r="AD235" s="41">
        <f>K235/'1. Väestöennuste'!M235*1000</f>
        <v>671.89370973893597</v>
      </c>
      <c r="AE235" s="41">
        <f>L235/'1. Väestöennuste'!N235*1000</f>
        <v>304.71979679971372</v>
      </c>
      <c r="AF235" s="41">
        <f>M235/'1. Väestöennuste'!O235*1000</f>
        <v>315.03639013903046</v>
      </c>
      <c r="AG235" s="41">
        <f>N235/'1. Väestöennuste'!P235*1000</f>
        <v>333.74782258135014</v>
      </c>
      <c r="AH235" s="41">
        <f>O235/'1. Väestöennuste'!Q235*1000</f>
        <v>379.02231513954496</v>
      </c>
      <c r="AI235" s="41">
        <f>P235/'1. Väestöennuste'!R235*1000</f>
        <v>484.72784259710619</v>
      </c>
    </row>
    <row r="236" spans="1:35" x14ac:dyDescent="0.2">
      <c r="A236" s="34">
        <v>729</v>
      </c>
      <c r="B236" s="88" t="s">
        <v>550</v>
      </c>
      <c r="C236" s="41" t="e">
        <f>'2. Toimintakate'!D236+'3. Verotulot'!G236+'4. Valtionosuudet'!#REF!</f>
        <v>#REF!</v>
      </c>
      <c r="D236" s="41">
        <f>'2. Toimintakate'!E236+'3. Verotulot'!L236+'4. Valtionosuudet'!H236</f>
        <v>4097</v>
      </c>
      <c r="E236" s="41">
        <f>'2. Toimintakate'!F236+'3. Verotulot'!Q236+'4. Valtionosuudet'!N236</f>
        <v>5015</v>
      </c>
      <c r="F236" s="41">
        <f>'2. Toimintakate'!G236+'3. Verotulot'!V236+'4. Valtionosuudet'!T236</f>
        <v>2673</v>
      </c>
      <c r="G236" s="41">
        <f>'2. Toimintakate'!H236+'3. Verotulot'!AA236+'4. Valtionosuudet'!Z236</f>
        <v>1275</v>
      </c>
      <c r="H236" s="41">
        <f>'2. Toimintakate'!I236+'3. Verotulot'!AF236+'4. Valtionosuudet'!AG236</f>
        <v>5772.9916243962725</v>
      </c>
      <c r="I236" s="41">
        <f>'2. Toimintakate'!J236+'3. Verotulot'!AK236+'4. Valtionosuudet'!AN236</f>
        <v>5256.6416796407502</v>
      </c>
      <c r="J236" s="41">
        <f>'2. Toimintakate'!K236+'3. Verotulot'!AP236+'4. Valtionosuudet'!AU236</f>
        <v>4548.7472729802248</v>
      </c>
      <c r="K236" s="41">
        <f>'2. Toimintakate'!L236+'3. Verotulot'!AU236+'4. Valtionosuudet'!BC236</f>
        <v>4949.7224896647785</v>
      </c>
      <c r="L236" s="41">
        <f>'2. Toimintakate'!M236+'3. Verotulot'!AZ236+'4. Valtionosuudet'!BK236</f>
        <v>3315.1299804209029</v>
      </c>
      <c r="M236" s="41">
        <f>'2. Toimintakate'!N236+'3. Verotulot'!BE236+'4. Valtionosuudet'!BQ236</f>
        <v>1203.3650784804322</v>
      </c>
      <c r="N236" s="41">
        <f>'2. Toimintakate'!O236+'3. Verotulot'!BJ236+'4. Valtionosuudet'!BY236</f>
        <v>1497.1187844314227</v>
      </c>
      <c r="O236" s="41">
        <f>'2. Toimintakate'!P236+'3. Verotulot'!BO236+'4. Valtionosuudet'!CE236</f>
        <v>1569.8843681712769</v>
      </c>
      <c r="P236" s="41">
        <f>'2. Toimintakate'!Q236+'3. Verotulot'!BT236+'4. Valtionosuudet'!CK236</f>
        <v>2810.0796096758349</v>
      </c>
      <c r="T236" s="34">
        <v>729</v>
      </c>
      <c r="U236" s="88" t="s">
        <v>550</v>
      </c>
      <c r="V236" s="41" t="e">
        <f>C236/'1. Väestöennuste'!E236*1000</f>
        <v>#REF!</v>
      </c>
      <c r="W236" s="41">
        <f>D236/'1. Väestöennuste'!F236*1000</f>
        <v>422.80701754385962</v>
      </c>
      <c r="X236" s="41">
        <f>E236/'1. Väestöennuste'!G236*1000</f>
        <v>522.99509855042231</v>
      </c>
      <c r="Y236" s="41">
        <f>F236/'1. Väestöennuste'!H236*1000</f>
        <v>283.90865639936277</v>
      </c>
      <c r="Z236" s="41">
        <f>G236/'1. Väestöennuste'!I236*1000</f>
        <v>136.9642281662907</v>
      </c>
      <c r="AA236" s="41">
        <f>H236/'1. Väestöennuste'!J236*1000</f>
        <v>626.95391229325287</v>
      </c>
      <c r="AB236" s="41">
        <f>I236/'1. Väestöennuste'!K236*1000</f>
        <v>576.57581217952725</v>
      </c>
      <c r="AC236" s="41">
        <f>J236/'1. Väestöennuste'!L236*1000</f>
        <v>506.82420868860447</v>
      </c>
      <c r="AD236" s="41">
        <f>K236/'1. Väestöennuste'!M236*1000</f>
        <v>559.48033114782174</v>
      </c>
      <c r="AE236" s="41">
        <f>L236/'1. Väestöennuste'!N236*1000</f>
        <v>380.34992891474332</v>
      </c>
      <c r="AF236" s="41">
        <f>M236/'1. Väestöennuste'!O236*1000</f>
        <v>139.89363851202421</v>
      </c>
      <c r="AG236" s="41">
        <f>N236/'1. Väestöennuste'!P236*1000</f>
        <v>176.3598520946428</v>
      </c>
      <c r="AH236" s="41">
        <f>O236/'1. Väestöennuste'!Q236*1000</f>
        <v>187.29233693286528</v>
      </c>
      <c r="AI236" s="41">
        <f>P236/'1. Väestöennuste'!R236*1000</f>
        <v>339.46359140804964</v>
      </c>
    </row>
    <row r="237" spans="1:35" x14ac:dyDescent="0.2">
      <c r="A237" s="34">
        <v>732</v>
      </c>
      <c r="B237" s="88" t="s">
        <v>551</v>
      </c>
      <c r="C237" s="41" t="e">
        <f>'2. Toimintakate'!D237+'3. Verotulot'!G237+'4. Valtionosuudet'!#REF!</f>
        <v>#REF!</v>
      </c>
      <c r="D237" s="41">
        <f>'2. Toimintakate'!E237+'3. Verotulot'!L237+'4. Valtionosuudet'!H237</f>
        <v>1694</v>
      </c>
      <c r="E237" s="41">
        <f>'2. Toimintakate'!F237+'3. Verotulot'!Q237+'4. Valtionosuudet'!N237</f>
        <v>1714</v>
      </c>
      <c r="F237" s="41">
        <f>'2. Toimintakate'!G237+'3. Verotulot'!V237+'4. Valtionosuudet'!T237</f>
        <v>2933</v>
      </c>
      <c r="G237" s="41">
        <f>'2. Toimintakate'!H237+'3. Verotulot'!AA237+'4. Valtionosuudet'!Z237</f>
        <v>1638</v>
      </c>
      <c r="H237" s="41">
        <f>'2. Toimintakate'!I237+'3. Verotulot'!AF237+'4. Valtionosuudet'!AG237</f>
        <v>2623.7540100534679</v>
      </c>
      <c r="I237" s="41">
        <f>'2. Toimintakate'!J237+'3. Verotulot'!AK237+'4. Valtionosuudet'!AN237</f>
        <v>2312.2050650376113</v>
      </c>
      <c r="J237" s="41">
        <f>'2. Toimintakate'!K237+'3. Verotulot'!AP237+'4. Valtionosuudet'!AU237</f>
        <v>3892.0504494769739</v>
      </c>
      <c r="K237" s="41">
        <f>'2. Toimintakate'!L237+'3. Verotulot'!AU237+'4. Valtionosuudet'!BC237</f>
        <v>1353.9724364176145</v>
      </c>
      <c r="L237" s="41">
        <f>'2. Toimintakate'!M237+'3. Verotulot'!AZ237+'4. Valtionosuudet'!BK237</f>
        <v>781.26071033082735</v>
      </c>
      <c r="M237" s="41">
        <f>'2. Toimintakate'!N237+'3. Verotulot'!BE237+'4. Valtionosuudet'!BQ237</f>
        <v>454.69071601525684</v>
      </c>
      <c r="N237" s="41">
        <f>'2. Toimintakate'!O237+'3. Verotulot'!BJ237+'4. Valtionosuudet'!BY237</f>
        <v>585.641252979407</v>
      </c>
      <c r="O237" s="41">
        <f>'2. Toimintakate'!P237+'3. Verotulot'!BO237+'4. Valtionosuudet'!CE237</f>
        <v>238.90951477453928</v>
      </c>
      <c r="P237" s="41">
        <f>'2. Toimintakate'!Q237+'3. Verotulot'!BT237+'4. Valtionosuudet'!CK237</f>
        <v>619.24612311393776</v>
      </c>
      <c r="T237" s="34">
        <v>732</v>
      </c>
      <c r="U237" s="88" t="s">
        <v>551</v>
      </c>
      <c r="V237" s="41" t="e">
        <f>C237/'1. Väestöennuste'!E237*1000</f>
        <v>#REF!</v>
      </c>
      <c r="W237" s="41">
        <f>D237/'1. Väestöennuste'!F237*1000</f>
        <v>463.72844237612918</v>
      </c>
      <c r="X237" s="41">
        <f>E237/'1. Väestöennuste'!G237*1000</f>
        <v>479.44055944055947</v>
      </c>
      <c r="Y237" s="41">
        <f>F237/'1. Väestöennuste'!H237*1000</f>
        <v>840.16041248925808</v>
      </c>
      <c r="Z237" s="41">
        <f>G237/'1. Väestöennuste'!I237*1000</f>
        <v>481.76470588235293</v>
      </c>
      <c r="AA237" s="41">
        <f>H237/'1. Väestöennuste'!J237*1000</f>
        <v>770.10684181199531</v>
      </c>
      <c r="AB237" s="41">
        <f>I237/'1. Väestöennuste'!K237*1000</f>
        <v>676.87501903911345</v>
      </c>
      <c r="AC237" s="41">
        <f>J237/'1. Väestöennuste'!L237*1000</f>
        <v>1166.6817894115629</v>
      </c>
      <c r="AD237" s="41">
        <f>K237/'1. Väestöennuste'!M237*1000</f>
        <v>404.89606352201389</v>
      </c>
      <c r="AE237" s="41">
        <f>L237/'1. Väestöennuste'!N237*1000</f>
        <v>246.14389109351839</v>
      </c>
      <c r="AF237" s="41">
        <f>M237/'1. Väestöennuste'!O237*1000</f>
        <v>145.40796802534598</v>
      </c>
      <c r="AG237" s="41">
        <f>N237/'1. Väestöennuste'!P237*1000</f>
        <v>190.08154916566278</v>
      </c>
      <c r="AH237" s="41">
        <f>O237/'1. Väestöennuste'!Q237*1000</f>
        <v>78.640393276675198</v>
      </c>
      <c r="AI237" s="41">
        <f>P237/'1. Väestöennuste'!R237*1000</f>
        <v>206.62199636768028</v>
      </c>
    </row>
    <row r="238" spans="1:35" x14ac:dyDescent="0.2">
      <c r="A238" s="34">
        <v>734</v>
      </c>
      <c r="B238" s="88" t="s">
        <v>552</v>
      </c>
      <c r="C238" s="41" t="e">
        <f>'2. Toimintakate'!D238+'3. Verotulot'!G238+'4. Valtionosuudet'!#REF!</f>
        <v>#REF!</v>
      </c>
      <c r="D238" s="41">
        <f>'2. Toimintakate'!E238+'3. Verotulot'!L238+'4. Valtionosuudet'!H238</f>
        <v>24136</v>
      </c>
      <c r="E238" s="41">
        <f>'2. Toimintakate'!F238+'3. Verotulot'!Q238+'4. Valtionosuudet'!N238</f>
        <v>23002</v>
      </c>
      <c r="F238" s="41">
        <f>'2. Toimintakate'!G238+'3. Verotulot'!V238+'4. Valtionosuudet'!T238</f>
        <v>2487</v>
      </c>
      <c r="G238" s="41">
        <f>'2. Toimintakate'!H238+'3. Verotulot'!AA238+'4. Valtionosuudet'!Z238</f>
        <v>-2451</v>
      </c>
      <c r="H238" s="41">
        <f>'2. Toimintakate'!I238+'3. Verotulot'!AF238+'4. Valtionosuudet'!AG238</f>
        <v>30537.305314844096</v>
      </c>
      <c r="I238" s="41">
        <f>'2. Toimintakate'!J238+'3. Verotulot'!AK238+'4. Valtionosuudet'!AN238</f>
        <v>22153.737505128593</v>
      </c>
      <c r="J238" s="41">
        <f>'2. Toimintakate'!K238+'3. Verotulot'!AP238+'4. Valtionosuudet'!AU238</f>
        <v>22822.571084204188</v>
      </c>
      <c r="K238" s="41">
        <f>'2. Toimintakate'!L238+'3. Verotulot'!AU238+'4. Valtionosuudet'!BC238</f>
        <v>30998.652962120028</v>
      </c>
      <c r="L238" s="41">
        <f>'2. Toimintakate'!M238+'3. Verotulot'!AZ238+'4. Valtionosuudet'!BK238</f>
        <v>19125.283827477109</v>
      </c>
      <c r="M238" s="41">
        <f>'2. Toimintakate'!N238+'3. Verotulot'!BE238+'4. Valtionosuudet'!BQ238</f>
        <v>18535.679977132168</v>
      </c>
      <c r="N238" s="41">
        <f>'2. Toimintakate'!O238+'3. Verotulot'!BJ238+'4. Valtionosuudet'!BY238</f>
        <v>20906.092301873476</v>
      </c>
      <c r="O238" s="41">
        <f>'2. Toimintakate'!P238+'3. Verotulot'!BO238+'4. Valtionosuudet'!CE238</f>
        <v>22438.91442008645</v>
      </c>
      <c r="P238" s="41">
        <f>'2. Toimintakate'!Q238+'3. Verotulot'!BT238+'4. Valtionosuudet'!CK238</f>
        <v>27963.441132612868</v>
      </c>
      <c r="T238" s="34">
        <v>734</v>
      </c>
      <c r="U238" s="88" t="s">
        <v>552</v>
      </c>
      <c r="V238" s="41" t="e">
        <f>C238/'1. Väestöennuste'!E238*1000</f>
        <v>#REF!</v>
      </c>
      <c r="W238" s="41">
        <f>D238/'1. Väestöennuste'!F238*1000</f>
        <v>450.75262391215034</v>
      </c>
      <c r="X238" s="41">
        <f>E238/'1. Väestöennuste'!G238*1000</f>
        <v>434.13105843273439</v>
      </c>
      <c r="Y238" s="41">
        <f>F238/'1. Väestöennuste'!H238*1000</f>
        <v>47.533495154909119</v>
      </c>
      <c r="Z238" s="41">
        <f>G238/'1. Väestöennuste'!I238*1000</f>
        <v>-47.286477726544867</v>
      </c>
      <c r="AA238" s="41">
        <f>H238/'1. Väestöennuste'!J238*1000</f>
        <v>592.24439150622732</v>
      </c>
      <c r="AB238" s="41">
        <f>I238/'1. Väestöennuste'!K238*1000</f>
        <v>431.00656624763798</v>
      </c>
      <c r="AC238" s="41">
        <f>J238/'1. Väestöennuste'!L238*1000</f>
        <v>448.09006114315252</v>
      </c>
      <c r="AD238" s="41">
        <f>K238/'1. Väestöennuste'!M238*1000</f>
        <v>606.62725953268159</v>
      </c>
      <c r="AE238" s="41">
        <f>L238/'1. Väestöennuste'!N238*1000</f>
        <v>383.72592499101358</v>
      </c>
      <c r="AF238" s="41">
        <f>M238/'1. Väestöennuste'!O238*1000</f>
        <v>374.8822906142741</v>
      </c>
      <c r="AG238" s="41">
        <f>N238/'1. Väestöennuste'!P238*1000</f>
        <v>426.17658346495716</v>
      </c>
      <c r="AH238" s="41">
        <f>O238/'1. Väestöennuste'!Q238*1000</f>
        <v>460.93782831261581</v>
      </c>
      <c r="AI238" s="41">
        <f>P238/'1. Väestöennuste'!R238*1000</f>
        <v>578.72557653537672</v>
      </c>
    </row>
    <row r="239" spans="1:35" x14ac:dyDescent="0.2">
      <c r="A239" s="34">
        <v>738</v>
      </c>
      <c r="B239" s="88" t="s">
        <v>553</v>
      </c>
      <c r="C239" s="41" t="e">
        <f>'2. Toimintakate'!D239+'3. Verotulot'!G239+'4. Valtionosuudet'!#REF!</f>
        <v>#REF!</v>
      </c>
      <c r="D239" s="41">
        <f>'2. Toimintakate'!E239+'3. Verotulot'!L239+'4. Valtionosuudet'!H239</f>
        <v>557</v>
      </c>
      <c r="E239" s="41">
        <f>'2. Toimintakate'!F239+'3. Verotulot'!Q239+'4. Valtionosuudet'!N239</f>
        <v>648</v>
      </c>
      <c r="F239" s="41">
        <f>'2. Toimintakate'!G239+'3. Verotulot'!V239+'4. Valtionosuudet'!T239</f>
        <v>174</v>
      </c>
      <c r="G239" s="41">
        <f>'2. Toimintakate'!H239+'3. Verotulot'!AA239+'4. Valtionosuudet'!Z239</f>
        <v>-340</v>
      </c>
      <c r="H239" s="41">
        <f>'2. Toimintakate'!I239+'3. Verotulot'!AF239+'4. Valtionosuudet'!AG239</f>
        <v>2156.3217456568727</v>
      </c>
      <c r="I239" s="41">
        <f>'2. Toimintakate'!J239+'3. Verotulot'!AK239+'4. Valtionosuudet'!AN239</f>
        <v>1163.8567480781921</v>
      </c>
      <c r="J239" s="41">
        <f>'2. Toimintakate'!K239+'3. Verotulot'!AP239+'4. Valtionosuudet'!AU239</f>
        <v>1179.1050896190754</v>
      </c>
      <c r="K239" s="41">
        <f>'2. Toimintakate'!L239+'3. Verotulot'!AU239+'4. Valtionosuudet'!BC239</f>
        <v>1335.8720115308295</v>
      </c>
      <c r="L239" s="41">
        <f>'2. Toimintakate'!M239+'3. Verotulot'!AZ239+'4. Valtionosuudet'!BK239</f>
        <v>1174.577445634983</v>
      </c>
      <c r="M239" s="41">
        <f>'2. Toimintakate'!N239+'3. Verotulot'!BE239+'4. Valtionosuudet'!BQ239</f>
        <v>1008.403615694466</v>
      </c>
      <c r="N239" s="41">
        <f>'2. Toimintakate'!O239+'3. Verotulot'!BJ239+'4. Valtionosuudet'!BY239</f>
        <v>839.37480177664861</v>
      </c>
      <c r="O239" s="41">
        <f>'2. Toimintakate'!P239+'3. Verotulot'!BO239+'4. Valtionosuudet'!CE239</f>
        <v>930.60871803757323</v>
      </c>
      <c r="P239" s="41">
        <f>'2. Toimintakate'!Q239+'3. Verotulot'!BT239+'4. Valtionosuudet'!CK239</f>
        <v>932.03458376521689</v>
      </c>
      <c r="T239" s="34">
        <v>738</v>
      </c>
      <c r="U239" s="88" t="s">
        <v>553</v>
      </c>
      <c r="V239" s="41" t="e">
        <f>C239/'1. Väestöennuste'!E239*1000</f>
        <v>#REF!</v>
      </c>
      <c r="W239" s="41">
        <f>D239/'1. Väestöennuste'!F239*1000</f>
        <v>182.80275680997701</v>
      </c>
      <c r="X239" s="41">
        <f>E239/'1. Väestöennuste'!G239*1000</f>
        <v>215.49717326238778</v>
      </c>
      <c r="Y239" s="41">
        <f>F239/'1. Väestöennuste'!H239*1000</f>
        <v>58.116232464929865</v>
      </c>
      <c r="Z239" s="41">
        <f>G239/'1. Väestöennuste'!I239*1000</f>
        <v>-115.44991511035653</v>
      </c>
      <c r="AA239" s="41">
        <f>H239/'1. Väestöennuste'!J239*1000</f>
        <v>730.95652395148227</v>
      </c>
      <c r="AB239" s="41">
        <f>I239/'1. Väestöennuste'!K239*1000</f>
        <v>393.32772831300849</v>
      </c>
      <c r="AC239" s="41">
        <f>J239/'1. Väestöennuste'!L239*1000</f>
        <v>404.21840576588119</v>
      </c>
      <c r="AD239" s="41">
        <f>K239/'1. Väestöennuste'!M239*1000</f>
        <v>449.1835950002789</v>
      </c>
      <c r="AE239" s="41">
        <f>L239/'1. Väestöennuste'!N239*1000</f>
        <v>405.02670539137341</v>
      </c>
      <c r="AF239" s="41">
        <f>M239/'1. Väestöennuste'!O239*1000</f>
        <v>348.44630811833656</v>
      </c>
      <c r="AG239" s="41">
        <f>N239/'1. Väestöennuste'!P239*1000</f>
        <v>290.44110788119332</v>
      </c>
      <c r="AH239" s="41">
        <f>O239/'1. Väestöennuste'!Q239*1000</f>
        <v>323.01586880859884</v>
      </c>
      <c r="AI239" s="41">
        <f>P239/'1. Väestöennuste'!R239*1000</f>
        <v>324.07322105883759</v>
      </c>
    </row>
    <row r="240" spans="1:35" x14ac:dyDescent="0.2">
      <c r="A240" s="34">
        <v>739</v>
      </c>
      <c r="B240" s="88" t="s">
        <v>554</v>
      </c>
      <c r="C240" s="41" t="e">
        <f>'2. Toimintakate'!D240+'3. Verotulot'!G240+'4. Valtionosuudet'!#REF!</f>
        <v>#REF!</v>
      </c>
      <c r="D240" s="41">
        <f>'2. Toimintakate'!E240+'3. Verotulot'!L240+'4. Valtionosuudet'!H240</f>
        <v>25</v>
      </c>
      <c r="E240" s="41">
        <f>'2. Toimintakate'!F240+'3. Verotulot'!Q240+'4. Valtionosuudet'!N240</f>
        <v>1660</v>
      </c>
      <c r="F240" s="41">
        <f>'2. Toimintakate'!G240+'3. Verotulot'!V240+'4. Valtionosuudet'!T240</f>
        <v>1205</v>
      </c>
      <c r="G240" s="41">
        <f>'2. Toimintakate'!H240+'3. Verotulot'!AA240+'4. Valtionosuudet'!Z240</f>
        <v>3879</v>
      </c>
      <c r="H240" s="41">
        <f>'2. Toimintakate'!I240+'3. Verotulot'!AF240+'4. Valtionosuudet'!AG240</f>
        <v>2208.0556701952446</v>
      </c>
      <c r="I240" s="41">
        <f>'2. Toimintakate'!J240+'3. Verotulot'!AK240+'4. Valtionosuudet'!AN240</f>
        <v>2297.9956940543543</v>
      </c>
      <c r="J240" s="41">
        <f>'2. Toimintakate'!K240+'3. Verotulot'!AP240+'4. Valtionosuudet'!AU240</f>
        <v>1644.4857857130137</v>
      </c>
      <c r="K240" s="41">
        <f>'2. Toimintakate'!L240+'3. Verotulot'!AU240+'4. Valtionosuudet'!BC240</f>
        <v>2388.9439192272412</v>
      </c>
      <c r="L240" s="41">
        <f>'2. Toimintakate'!M240+'3. Verotulot'!AZ240+'4. Valtionosuudet'!BK240</f>
        <v>962.91666499852636</v>
      </c>
      <c r="M240" s="41">
        <f>'2. Toimintakate'!N240+'3. Verotulot'!BE240+'4. Valtionosuudet'!BQ240</f>
        <v>917.0632719439127</v>
      </c>
      <c r="N240" s="41">
        <f>'2. Toimintakate'!O240+'3. Verotulot'!BJ240+'4. Valtionosuudet'!BY240</f>
        <v>230.59090564969483</v>
      </c>
      <c r="O240" s="41">
        <f>'2. Toimintakate'!P240+'3. Verotulot'!BO240+'4. Valtionosuudet'!CE240</f>
        <v>126.41122173470058</v>
      </c>
      <c r="P240" s="41">
        <f>'2. Toimintakate'!Q240+'3. Verotulot'!BT240+'4. Valtionosuudet'!CK240</f>
        <v>465.81071963862541</v>
      </c>
      <c r="T240" s="34">
        <v>739</v>
      </c>
      <c r="U240" s="88" t="s">
        <v>554</v>
      </c>
      <c r="V240" s="41" t="e">
        <f>C240/'1. Väestöennuste'!E240*1000</f>
        <v>#REF!</v>
      </c>
      <c r="W240" s="41">
        <f>D240/'1. Väestöennuste'!F240*1000</f>
        <v>7.0741369552914541</v>
      </c>
      <c r="X240" s="41">
        <f>E240/'1. Väestöennuste'!G240*1000</f>
        <v>477.01149425287355</v>
      </c>
      <c r="Y240" s="41">
        <f>F240/'1. Väestöennuste'!H240*1000</f>
        <v>351.41440653251675</v>
      </c>
      <c r="Z240" s="41">
        <f>G240/'1. Väestöennuste'!I240*1000</f>
        <v>1146.6154300916346</v>
      </c>
      <c r="AA240" s="41">
        <f>H240/'1. Väestöennuste'!J240*1000</f>
        <v>663.87723096670015</v>
      </c>
      <c r="AB240" s="41">
        <f>I240/'1. Väestöennuste'!K240*1000</f>
        <v>704.69049189032637</v>
      </c>
      <c r="AC240" s="41">
        <f>J240/'1. Väestöennuste'!L240*1000</f>
        <v>505.06320200031132</v>
      </c>
      <c r="AD240" s="41">
        <f>K240/'1. Väestöennuste'!M240*1000</f>
        <v>742.83082065523661</v>
      </c>
      <c r="AE240" s="41">
        <f>L240/'1. Väestöennuste'!N240*1000</f>
        <v>309.61950643039432</v>
      </c>
      <c r="AF240" s="41">
        <f>M240/'1. Väestöennuste'!O240*1000</f>
        <v>299.40034996536491</v>
      </c>
      <c r="AG240" s="41">
        <f>N240/'1. Väestöennuste'!P240*1000</f>
        <v>76.405203992609287</v>
      </c>
      <c r="AH240" s="41">
        <f>O240/'1. Väestöennuste'!Q240*1000</f>
        <v>42.491166969647253</v>
      </c>
      <c r="AI240" s="41">
        <f>P240/'1. Väestöennuste'!R240*1000</f>
        <v>158.81715637184638</v>
      </c>
    </row>
    <row r="241" spans="1:35" x14ac:dyDescent="0.2">
      <c r="A241" s="34">
        <v>740</v>
      </c>
      <c r="B241" s="88" t="s">
        <v>555</v>
      </c>
      <c r="C241" s="41" t="e">
        <f>'2. Toimintakate'!D241+'3. Verotulot'!G241+'4. Valtionosuudet'!#REF!</f>
        <v>#REF!</v>
      </c>
      <c r="D241" s="41">
        <f>'2. Toimintakate'!E241+'3. Verotulot'!L241+'4. Valtionosuudet'!H241</f>
        <v>15464</v>
      </c>
      <c r="E241" s="41">
        <f>'2. Toimintakate'!F241+'3. Verotulot'!Q241+'4. Valtionosuudet'!N241</f>
        <v>12805</v>
      </c>
      <c r="F241" s="41">
        <f>'2. Toimintakate'!G241+'3. Verotulot'!V241+'4. Valtionosuudet'!T241</f>
        <v>3767</v>
      </c>
      <c r="G241" s="41">
        <f>'2. Toimintakate'!H241+'3. Verotulot'!AA241+'4. Valtionosuudet'!Z241</f>
        <v>5323</v>
      </c>
      <c r="H241" s="41">
        <f>'2. Toimintakate'!I241+'3. Verotulot'!AF241+'4. Valtionosuudet'!AG241</f>
        <v>31909.769715809074</v>
      </c>
      <c r="I241" s="41">
        <f>'2. Toimintakate'!J241+'3. Verotulot'!AK241+'4. Valtionosuudet'!AN241</f>
        <v>18302.748243134425</v>
      </c>
      <c r="J241" s="41">
        <f>'2. Toimintakate'!K241+'3. Verotulot'!AP241+'4. Valtionosuudet'!AU241</f>
        <v>14811.183208589719</v>
      </c>
      <c r="K241" s="41">
        <f>'2. Toimintakate'!L241+'3. Verotulot'!AU241+'4. Valtionosuudet'!BC241</f>
        <v>23948.936373082557</v>
      </c>
      <c r="L241" s="41">
        <f>'2. Toimintakate'!M241+'3. Verotulot'!AZ241+'4. Valtionosuudet'!BK241</f>
        <v>8822.5636049903806</v>
      </c>
      <c r="M241" s="41">
        <f>'2. Toimintakate'!N241+'3. Verotulot'!BE241+'4. Valtionosuudet'!BQ241</f>
        <v>8721.1223044904182</v>
      </c>
      <c r="N241" s="41">
        <f>'2. Toimintakate'!O241+'3. Verotulot'!BJ241+'4. Valtionosuudet'!BY241</f>
        <v>10931.765662823169</v>
      </c>
      <c r="O241" s="41">
        <f>'2. Toimintakate'!P241+'3. Verotulot'!BO241+'4. Valtionosuudet'!CE241</f>
        <v>11909.439890403146</v>
      </c>
      <c r="P241" s="41">
        <f>'2. Toimintakate'!Q241+'3. Verotulot'!BT241+'4. Valtionosuudet'!CK241</f>
        <v>16853.589676957836</v>
      </c>
      <c r="T241" s="34">
        <v>740</v>
      </c>
      <c r="U241" s="88" t="s">
        <v>555</v>
      </c>
      <c r="V241" s="41" t="e">
        <f>C241/'1. Väestöennuste'!E241*1000</f>
        <v>#REF!</v>
      </c>
      <c r="W241" s="41">
        <f>D241/'1. Väestöennuste'!F241*1000</f>
        <v>438.7946200556155</v>
      </c>
      <c r="X241" s="41">
        <f>E241/'1. Väestöennuste'!G241*1000</f>
        <v>369.40341564735752</v>
      </c>
      <c r="Y241" s="41">
        <f>F241/'1. Väestöennuste'!H241*1000</f>
        <v>112.07640355835886</v>
      </c>
      <c r="Z241" s="41">
        <f>G241/'1. Väestöennuste'!I241*1000</f>
        <v>161.43021774731605</v>
      </c>
      <c r="AA241" s="41">
        <f>H241/'1. Väestöennuste'!J241*1000</f>
        <v>976.96925221385936</v>
      </c>
      <c r="AB241" s="41">
        <f>I241/'1. Väestöennuste'!K241*1000</f>
        <v>562.34824233061192</v>
      </c>
      <c r="AC241" s="41">
        <f>J241/'1. Väestöennuste'!L241*1000</f>
        <v>461.6232884085934</v>
      </c>
      <c r="AD241" s="41">
        <f>K241/'1. Väestöennuste'!M241*1000</f>
        <v>752.09422394506032</v>
      </c>
      <c r="AE241" s="41">
        <f>L241/'1. Väestöennuste'!N241*1000</f>
        <v>287.81116999381419</v>
      </c>
      <c r="AF241" s="41">
        <f>M241/'1. Väestöennuste'!O241*1000</f>
        <v>288.71196426293307</v>
      </c>
      <c r="AG241" s="41">
        <f>N241/'1. Väestöennuste'!P241*1000</f>
        <v>367.14578212672274</v>
      </c>
      <c r="AH241" s="41">
        <f>O241/'1. Väestöennuste'!Q241*1000</f>
        <v>405.66250733711922</v>
      </c>
      <c r="AI241" s="41">
        <f>P241/'1. Väestöennuste'!R241*1000</f>
        <v>582.06146354542682</v>
      </c>
    </row>
    <row r="242" spans="1:35" x14ac:dyDescent="0.2">
      <c r="A242" s="34">
        <v>742</v>
      </c>
      <c r="B242" s="88" t="s">
        <v>556</v>
      </c>
      <c r="C242" s="41" t="e">
        <f>'2. Toimintakate'!D242+'3. Verotulot'!G242+'4. Valtionosuudet'!#REF!</f>
        <v>#REF!</v>
      </c>
      <c r="D242" s="41">
        <f>'2. Toimintakate'!E242+'3. Verotulot'!L242+'4. Valtionosuudet'!H242</f>
        <v>1017</v>
      </c>
      <c r="E242" s="41">
        <f>'2. Toimintakate'!F242+'3. Verotulot'!Q242+'4. Valtionosuudet'!N242</f>
        <v>626</v>
      </c>
      <c r="F242" s="41">
        <f>'2. Toimintakate'!G242+'3. Verotulot'!V242+'4. Valtionosuudet'!T242</f>
        <v>-5</v>
      </c>
      <c r="G242" s="41">
        <f>'2. Toimintakate'!H242+'3. Verotulot'!AA242+'4. Valtionosuudet'!Z242</f>
        <v>92</v>
      </c>
      <c r="H242" s="41">
        <f>'2. Toimintakate'!I242+'3. Verotulot'!AF242+'4. Valtionosuudet'!AG242</f>
        <v>226.01928340649829</v>
      </c>
      <c r="I242" s="41">
        <f>'2. Toimintakate'!J242+'3. Verotulot'!AK242+'4. Valtionosuudet'!AN242</f>
        <v>1115.3546304377269</v>
      </c>
      <c r="J242" s="41">
        <f>'2. Toimintakate'!K242+'3. Verotulot'!AP242+'4. Valtionosuudet'!AU242</f>
        <v>699.57972886122025</v>
      </c>
      <c r="K242" s="41">
        <f>'2. Toimintakate'!L242+'3. Verotulot'!AU242+'4. Valtionosuudet'!BC242</f>
        <v>333.36576206387349</v>
      </c>
      <c r="L242" s="41">
        <f>'2. Toimintakate'!M242+'3. Verotulot'!AZ242+'4. Valtionosuudet'!BK242</f>
        <v>20.117437007062108</v>
      </c>
      <c r="M242" s="41">
        <f>'2. Toimintakate'!N242+'3. Verotulot'!BE242+'4. Valtionosuudet'!BQ242</f>
        <v>-7.8471255926233425</v>
      </c>
      <c r="N242" s="41">
        <f>'2. Toimintakate'!O242+'3. Verotulot'!BJ242+'4. Valtionosuudet'!BY242</f>
        <v>4.8103271324482648</v>
      </c>
      <c r="O242" s="41">
        <f>'2. Toimintakate'!P242+'3. Verotulot'!BO242+'4. Valtionosuudet'!CE242</f>
        <v>-24.311211680373617</v>
      </c>
      <c r="P242" s="41">
        <f>'2. Toimintakate'!Q242+'3. Verotulot'!BT242+'4. Valtionosuudet'!CK242</f>
        <v>25.923038130266832</v>
      </c>
      <c r="T242" s="34">
        <v>742</v>
      </c>
      <c r="U242" s="88" t="s">
        <v>556</v>
      </c>
      <c r="V242" s="41" t="e">
        <f>C242/'1. Väestöennuste'!E242*1000</f>
        <v>#REF!</v>
      </c>
      <c r="W242" s="41">
        <f>D242/'1. Väestöennuste'!F242*1000</f>
        <v>974.13793103448279</v>
      </c>
      <c r="X242" s="41">
        <f>E242/'1. Väestöennuste'!G242*1000</f>
        <v>618.57707509881425</v>
      </c>
      <c r="Y242" s="41">
        <f>F242/'1. Väestöennuste'!H242*1000</f>
        <v>-4.9261083743842367</v>
      </c>
      <c r="Z242" s="41">
        <f>G242/'1. Väestöennuste'!I242*1000</f>
        <v>91.542288557213922</v>
      </c>
      <c r="AA242" s="41">
        <f>H242/'1. Väestöennuste'!J242*1000</f>
        <v>224.00325411942347</v>
      </c>
      <c r="AB242" s="41">
        <f>I242/'1. Väestöennuste'!K242*1000</f>
        <v>1105.4059766478958</v>
      </c>
      <c r="AC242" s="41">
        <f>J242/'1. Väestöennuste'!L242*1000</f>
        <v>708.07664864495973</v>
      </c>
      <c r="AD242" s="41">
        <f>K242/'1. Väestöennuste'!M242*1000</f>
        <v>340.86478738637373</v>
      </c>
      <c r="AE242" s="41">
        <f>L242/'1. Väestöennuste'!N242*1000</f>
        <v>20.591030713471962</v>
      </c>
      <c r="AF242" s="41">
        <f>M242/'1. Väestöennuste'!O242*1000</f>
        <v>-8.0731744780075552</v>
      </c>
      <c r="AG242" s="41">
        <f>N242/'1. Väestöennuste'!P242*1000</f>
        <v>4.974485142138847</v>
      </c>
      <c r="AH242" s="41">
        <f>O242/'1. Väestöennuste'!Q242*1000</f>
        <v>-25.2190992534996</v>
      </c>
      <c r="AI242" s="41">
        <f>P242/'1. Väestöennuste'!R242*1000</f>
        <v>27.00316471902795</v>
      </c>
    </row>
    <row r="243" spans="1:35" x14ac:dyDescent="0.2">
      <c r="A243" s="34">
        <v>743</v>
      </c>
      <c r="B243" s="88" t="s">
        <v>557</v>
      </c>
      <c r="C243" s="41" t="e">
        <f>'2. Toimintakate'!D243+'3. Verotulot'!G243+'4. Valtionosuudet'!#REF!</f>
        <v>#REF!</v>
      </c>
      <c r="D243" s="41">
        <f>'2. Toimintakate'!E243+'3. Verotulot'!L243+'4. Valtionosuudet'!H243</f>
        <v>21257</v>
      </c>
      <c r="E243" s="41">
        <f>'2. Toimintakate'!F243+'3. Verotulot'!Q243+'4. Valtionosuudet'!N243</f>
        <v>22422</v>
      </c>
      <c r="F243" s="41">
        <f>'2. Toimintakate'!G243+'3. Verotulot'!V243+'4. Valtionosuudet'!T243</f>
        <v>7053</v>
      </c>
      <c r="G243" s="41">
        <f>'2. Toimintakate'!H243+'3. Verotulot'!AA243+'4. Valtionosuudet'!Z243</f>
        <v>-8660</v>
      </c>
      <c r="H243" s="41">
        <f>'2. Toimintakate'!I243+'3. Verotulot'!AF243+'4. Valtionosuudet'!AG243</f>
        <v>29195.734185364796</v>
      </c>
      <c r="I243" s="41">
        <f>'2. Toimintakate'!J243+'3. Verotulot'!AK243+'4. Valtionosuudet'!AN243</f>
        <v>8583.7273467621999</v>
      </c>
      <c r="J243" s="41">
        <f>'2. Toimintakate'!K243+'3. Verotulot'!AP243+'4. Valtionosuudet'!AU243</f>
        <v>33459.067335760759</v>
      </c>
      <c r="K243" s="41">
        <f>'2. Toimintakate'!L243+'3. Verotulot'!AU243+'4. Valtionosuudet'!BC243</f>
        <v>6669.2011532999422</v>
      </c>
      <c r="L243" s="41">
        <f>'2. Toimintakate'!M243+'3. Verotulot'!AZ243+'4. Valtionosuudet'!BK243</f>
        <v>14825.854467540554</v>
      </c>
      <c r="M243" s="41">
        <f>'2. Toimintakate'!N243+'3. Verotulot'!BE243+'4. Valtionosuudet'!BQ243</f>
        <v>-14091.124257955213</v>
      </c>
      <c r="N243" s="41">
        <f>'2. Toimintakate'!O243+'3. Verotulot'!BJ243+'4. Valtionosuudet'!BY243</f>
        <v>-11953.304108890145</v>
      </c>
      <c r="O243" s="41">
        <f>'2. Toimintakate'!P243+'3. Verotulot'!BO243+'4. Valtionosuudet'!CE243</f>
        <v>-11177.545232190772</v>
      </c>
      <c r="P243" s="41">
        <f>'2. Toimintakate'!Q243+'3. Verotulot'!BT243+'4. Valtionosuudet'!CK243</f>
        <v>-8892.8099054846389</v>
      </c>
      <c r="T243" s="34">
        <v>743</v>
      </c>
      <c r="U243" s="88" t="s">
        <v>557</v>
      </c>
      <c r="V243" s="41" t="e">
        <f>C243/'1. Väestöennuste'!E243*1000</f>
        <v>#REF!</v>
      </c>
      <c r="W243" s="41">
        <f>D243/'1. Väestöennuste'!F243*1000</f>
        <v>342.56752401211889</v>
      </c>
      <c r="X243" s="41">
        <f>E243/'1. Väestöennuste'!G243*1000</f>
        <v>357.74459123109324</v>
      </c>
      <c r="Y243" s="41">
        <f>F243/'1. Väestöennuste'!H243*1000</f>
        <v>111.44292756920743</v>
      </c>
      <c r="Z243" s="41">
        <f>G243/'1. Väestöennuste'!I243*1000</f>
        <v>-135.77711230617268</v>
      </c>
      <c r="AA243" s="41">
        <f>H243/'1. Väestöennuste'!J243*1000</f>
        <v>455.25860260977385</v>
      </c>
      <c r="AB243" s="41">
        <f>I243/'1. Väestöennuste'!K243*1000</f>
        <v>132.5958870916059</v>
      </c>
      <c r="AC243" s="41">
        <f>J243/'1. Väestöennuste'!L243*1000</f>
        <v>512.20959441178081</v>
      </c>
      <c r="AD243" s="41">
        <f>K243/'1. Väestöennuste'!M243*1000</f>
        <v>100.80412867744774</v>
      </c>
      <c r="AE243" s="41">
        <f>L243/'1. Väestöennuste'!N243*1000</f>
        <v>224.32825643123851</v>
      </c>
      <c r="AF243" s="41">
        <f>M243/'1. Väestöennuste'!O243*1000</f>
        <v>-211.94441239309938</v>
      </c>
      <c r="AG243" s="41">
        <f>N243/'1. Väestöennuste'!P243*1000</f>
        <v>-178.79446726333325</v>
      </c>
      <c r="AH243" s="41">
        <f>O243/'1. Väestöennuste'!Q243*1000</f>
        <v>-166.3275681109308</v>
      </c>
      <c r="AI243" s="41">
        <f>P243/'1. Väestöennuste'!R243*1000</f>
        <v>-131.71411081054327</v>
      </c>
    </row>
    <row r="244" spans="1:35" x14ac:dyDescent="0.2">
      <c r="A244" s="34">
        <v>746</v>
      </c>
      <c r="B244" s="88" t="s">
        <v>558</v>
      </c>
      <c r="C244" s="41" t="e">
        <f>'2. Toimintakate'!D244+'3. Verotulot'!G244+'4. Valtionosuudet'!#REF!</f>
        <v>#REF!</v>
      </c>
      <c r="D244" s="41">
        <f>'2. Toimintakate'!E244+'3. Verotulot'!L244+'4. Valtionosuudet'!H244</f>
        <v>1033</v>
      </c>
      <c r="E244" s="41">
        <f>'2. Toimintakate'!F244+'3. Verotulot'!Q244+'4. Valtionosuudet'!N244</f>
        <v>3128</v>
      </c>
      <c r="F244" s="41">
        <f>'2. Toimintakate'!G244+'3. Verotulot'!V244+'4. Valtionosuudet'!T244</f>
        <v>1456</v>
      </c>
      <c r="G244" s="41">
        <f>'2. Toimintakate'!H244+'3. Verotulot'!AA244+'4. Valtionosuudet'!Z244</f>
        <v>65</v>
      </c>
      <c r="H244" s="41">
        <f>'2. Toimintakate'!I244+'3. Verotulot'!AF244+'4. Valtionosuudet'!AG244</f>
        <v>4167.6781913846244</v>
      </c>
      <c r="I244" s="41">
        <f>'2. Toimintakate'!J244+'3. Verotulot'!AK244+'4. Valtionosuudet'!AN244</f>
        <v>2880.5706984028002</v>
      </c>
      <c r="J244" s="41">
        <f>'2. Toimintakate'!K244+'3. Verotulot'!AP244+'4. Valtionosuudet'!AU244</f>
        <v>4675.6443229747529</v>
      </c>
      <c r="K244" s="41">
        <f>'2. Toimintakate'!L244+'3. Verotulot'!AU244+'4. Valtionosuudet'!BC244</f>
        <v>2410.6179178981529</v>
      </c>
      <c r="L244" s="41">
        <f>'2. Toimintakate'!M244+'3. Verotulot'!AZ244+'4. Valtionosuudet'!BK244</f>
        <v>560.6038112033184</v>
      </c>
      <c r="M244" s="41">
        <f>'2. Toimintakate'!N244+'3. Verotulot'!BE244+'4. Valtionosuudet'!BQ244</f>
        <v>1195.6519728247131</v>
      </c>
      <c r="N244" s="41">
        <f>'2. Toimintakate'!O244+'3. Verotulot'!BJ244+'4. Valtionosuudet'!BY244</f>
        <v>1307.9026291351183</v>
      </c>
      <c r="O244" s="41">
        <f>'2. Toimintakate'!P244+'3. Verotulot'!BO244+'4. Valtionosuudet'!CE244</f>
        <v>1107.784750742785</v>
      </c>
      <c r="P244" s="41">
        <f>'2. Toimintakate'!Q244+'3. Verotulot'!BT244+'4. Valtionosuudet'!CK244</f>
        <v>1290.2351378454823</v>
      </c>
      <c r="T244" s="34">
        <v>746</v>
      </c>
      <c r="U244" s="88" t="s">
        <v>558</v>
      </c>
      <c r="V244" s="41" t="e">
        <f>C244/'1. Väestöennuste'!E244*1000</f>
        <v>#REF!</v>
      </c>
      <c r="W244" s="41">
        <f>D244/'1. Väestöennuste'!F244*1000</f>
        <v>203.78772933517459</v>
      </c>
      <c r="X244" s="41">
        <f>E244/'1. Väestöennuste'!G244*1000</f>
        <v>621.25124131082418</v>
      </c>
      <c r="Y244" s="41">
        <f>F244/'1. Väestöennuste'!H244*1000</f>
        <v>292.36947791164658</v>
      </c>
      <c r="Z244" s="41">
        <f>G244/'1. Väestöennuste'!I244*1000</f>
        <v>13.238289205702648</v>
      </c>
      <c r="AA244" s="41">
        <f>H244/'1. Väestöennuste'!J244*1000</f>
        <v>862.15932796537527</v>
      </c>
      <c r="AB244" s="41">
        <f>I244/'1. Väestöennuste'!K244*1000</f>
        <v>602.50380640092044</v>
      </c>
      <c r="AC244" s="41">
        <f>J244/'1. Väestöennuste'!L244*1000</f>
        <v>987.46448214883912</v>
      </c>
      <c r="AD244" s="41">
        <f>K244/'1. Väestöennuste'!M244*1000</f>
        <v>511.48268998475555</v>
      </c>
      <c r="AE244" s="41">
        <f>L244/'1. Väestöennuste'!N244*1000</f>
        <v>122.64358153649495</v>
      </c>
      <c r="AF244" s="41">
        <f>M244/'1. Väestöennuste'!O244*1000</f>
        <v>265.5824017824774</v>
      </c>
      <c r="AG244" s="41">
        <f>N244/'1. Väestöennuste'!P244*1000</f>
        <v>295.17098378134017</v>
      </c>
      <c r="AH244" s="41">
        <f>O244/'1. Väestöennuste'!Q244*1000</f>
        <v>253.84618486314963</v>
      </c>
      <c r="AI244" s="41">
        <f>P244/'1. Väestöennuste'!R244*1000</f>
        <v>300.12447961048673</v>
      </c>
    </row>
    <row r="245" spans="1:35" x14ac:dyDescent="0.2">
      <c r="A245" s="34">
        <v>747</v>
      </c>
      <c r="B245" s="88" t="s">
        <v>559</v>
      </c>
      <c r="C245" s="41" t="e">
        <f>'2. Toimintakate'!D245+'3. Verotulot'!G245+'4. Valtionosuudet'!#REF!</f>
        <v>#REF!</v>
      </c>
      <c r="D245" s="41">
        <f>'2. Toimintakate'!E245+'3. Verotulot'!L245+'4. Valtionosuudet'!H245</f>
        <v>839</v>
      </c>
      <c r="E245" s="41">
        <f>'2. Toimintakate'!F245+'3. Verotulot'!Q245+'4. Valtionosuudet'!N245</f>
        <v>892</v>
      </c>
      <c r="F245" s="41">
        <f>'2. Toimintakate'!G245+'3. Verotulot'!V245+'4. Valtionosuudet'!T245</f>
        <v>892</v>
      </c>
      <c r="G245" s="41">
        <f>'2. Toimintakate'!H245+'3. Verotulot'!AA245+'4. Valtionosuudet'!Z245</f>
        <v>1602</v>
      </c>
      <c r="H245" s="41">
        <f>'2. Toimintakate'!I245+'3. Verotulot'!AF245+'4. Valtionosuudet'!AG245</f>
        <v>1492.6713316021669</v>
      </c>
      <c r="I245" s="41">
        <f>'2. Toimintakate'!J245+'3. Verotulot'!AK245+'4. Valtionosuudet'!AN245</f>
        <v>1109.2856883556333</v>
      </c>
      <c r="J245" s="41">
        <f>'2. Toimintakate'!K245+'3. Verotulot'!AP245+'4. Valtionosuudet'!AU245</f>
        <v>782.39441937546053</v>
      </c>
      <c r="K245" s="41">
        <f>'2. Toimintakate'!L245+'3. Verotulot'!AU245+'4. Valtionosuudet'!BC245</f>
        <v>1371.2711547496415</v>
      </c>
      <c r="L245" s="41">
        <f>'2. Toimintakate'!M245+'3. Verotulot'!AZ245+'4. Valtionosuudet'!BK245</f>
        <v>-120.63925588224561</v>
      </c>
      <c r="M245" s="41">
        <f>'2. Toimintakate'!N245+'3. Verotulot'!BE245+'4. Valtionosuudet'!BQ245</f>
        <v>591.06838737206203</v>
      </c>
      <c r="N245" s="41">
        <f>'2. Toimintakate'!O245+'3. Verotulot'!BJ245+'4. Valtionosuudet'!BY245</f>
        <v>718.44664442230442</v>
      </c>
      <c r="O245" s="41">
        <f>'2. Toimintakate'!P245+'3. Verotulot'!BO245+'4. Valtionosuudet'!CE245</f>
        <v>670.96340932088515</v>
      </c>
      <c r="P245" s="41">
        <f>'2. Toimintakate'!Q245+'3. Verotulot'!BT245+'4. Valtionosuudet'!CK245</f>
        <v>776.48572509449059</v>
      </c>
      <c r="T245" s="34">
        <v>747</v>
      </c>
      <c r="U245" s="88" t="s">
        <v>559</v>
      </c>
      <c r="V245" s="41" t="e">
        <f>C245/'1. Väestöennuste'!E245*1000</f>
        <v>#REF!</v>
      </c>
      <c r="W245" s="41">
        <f>D245/'1. Väestöennuste'!F245*1000</f>
        <v>561.57965194109772</v>
      </c>
      <c r="X245" s="41">
        <f>E245/'1. Väestöennuste'!G245*1000</f>
        <v>604.33604336043356</v>
      </c>
      <c r="Y245" s="41">
        <f>F245/'1. Väestöennuste'!H245*1000</f>
        <v>611.79698216735255</v>
      </c>
      <c r="Z245" s="41">
        <f>G245/'1. Väestöennuste'!I245*1000</f>
        <v>1114.82254697286</v>
      </c>
      <c r="AA245" s="41">
        <f>H245/'1. Väestöennuste'!J245*1000</f>
        <v>1077.741033647774</v>
      </c>
      <c r="AB245" s="41">
        <f>I245/'1. Väestöennuste'!K245*1000</f>
        <v>820.47758014469923</v>
      </c>
      <c r="AC245" s="41">
        <f>J245/'1. Väestöennuste'!L245*1000</f>
        <v>598.16087108215629</v>
      </c>
      <c r="AD245" s="41">
        <f>K245/'1. Väestöennuste'!M245*1000</f>
        <v>1068.800588269401</v>
      </c>
      <c r="AE245" s="41">
        <f>L245/'1. Väestöennuste'!N245*1000</f>
        <v>-93.374037060561619</v>
      </c>
      <c r="AF245" s="41">
        <f>M245/'1. Väestöennuste'!O245*1000</f>
        <v>463.58304891926434</v>
      </c>
      <c r="AG245" s="41">
        <f>N245/'1. Väestöennuste'!P245*1000</f>
        <v>571.10226106701464</v>
      </c>
      <c r="AH245" s="41">
        <f>O245/'1. Väestöennuste'!Q245*1000</f>
        <v>539.79357145686652</v>
      </c>
      <c r="AI245" s="41">
        <f>P245/'1. Väestöennuste'!R245*1000</f>
        <v>633.86589803631887</v>
      </c>
    </row>
    <row r="246" spans="1:35" x14ac:dyDescent="0.2">
      <c r="A246" s="34">
        <v>748</v>
      </c>
      <c r="B246" s="88" t="s">
        <v>560</v>
      </c>
      <c r="C246" s="41" t="e">
        <f>'2. Toimintakate'!D246+'3. Verotulot'!G246+'4. Valtionosuudet'!#REF!</f>
        <v>#REF!</v>
      </c>
      <c r="D246" s="41">
        <f>'2. Toimintakate'!E246+'3. Verotulot'!L246+'4. Valtionosuudet'!H246</f>
        <v>2264</v>
      </c>
      <c r="E246" s="41">
        <f>'2. Toimintakate'!F246+'3. Verotulot'!Q246+'4. Valtionosuudet'!N246</f>
        <v>2423</v>
      </c>
      <c r="F246" s="41">
        <f>'2. Toimintakate'!G246+'3. Verotulot'!V246+'4. Valtionosuudet'!T246</f>
        <v>1509</v>
      </c>
      <c r="G246" s="41">
        <f>'2. Toimintakate'!H246+'3. Verotulot'!AA246+'4. Valtionosuudet'!Z246</f>
        <v>2525</v>
      </c>
      <c r="H246" s="41">
        <f>'2. Toimintakate'!I246+'3. Verotulot'!AF246+'4. Valtionosuudet'!AG246</f>
        <v>4321.3297541980792</v>
      </c>
      <c r="I246" s="41">
        <f>'2. Toimintakate'!J246+'3. Verotulot'!AK246+'4. Valtionosuudet'!AN246</f>
        <v>2101.2401081397002</v>
      </c>
      <c r="J246" s="41">
        <f>'2. Toimintakate'!K246+'3. Verotulot'!AP246+'4. Valtionosuudet'!AU246</f>
        <v>3026.0024791736068</v>
      </c>
      <c r="K246" s="41">
        <f>'2. Toimintakate'!L246+'3. Verotulot'!AU246+'4. Valtionosuudet'!BC246</f>
        <v>589.52818630985621</v>
      </c>
      <c r="L246" s="41">
        <f>'2. Toimintakate'!M246+'3. Verotulot'!AZ246+'4. Valtionosuudet'!BK246</f>
        <v>417.13839077905686</v>
      </c>
      <c r="M246" s="41">
        <f>'2. Toimintakate'!N246+'3. Verotulot'!BE246+'4. Valtionosuudet'!BQ246</f>
        <v>-1325.471496521498</v>
      </c>
      <c r="N246" s="41">
        <f>'2. Toimintakate'!O246+'3. Verotulot'!BJ246+'4. Valtionosuudet'!BY246</f>
        <v>-1446.0037956992219</v>
      </c>
      <c r="O246" s="41">
        <f>'2. Toimintakate'!P246+'3. Verotulot'!BO246+'4. Valtionosuudet'!CE246</f>
        <v>-1622.5111761802982</v>
      </c>
      <c r="P246" s="41">
        <f>'2. Toimintakate'!Q246+'3. Verotulot'!BT246+'4. Valtionosuudet'!CK246</f>
        <v>-1508.0784610529945</v>
      </c>
      <c r="T246" s="34">
        <v>748</v>
      </c>
      <c r="U246" s="88" t="s">
        <v>560</v>
      </c>
      <c r="V246" s="41" t="e">
        <f>C246/'1. Väestöennuste'!E246*1000</f>
        <v>#REF!</v>
      </c>
      <c r="W246" s="41">
        <f>D246/'1. Väestöennuste'!F246*1000</f>
        <v>421.91576593365636</v>
      </c>
      <c r="X246" s="41">
        <f>E246/'1. Väestöennuste'!G246*1000</f>
        <v>453.49054838105934</v>
      </c>
      <c r="Y246" s="41">
        <f>F246/'1. Väestöennuste'!H246*1000</f>
        <v>287.4833301581254</v>
      </c>
      <c r="Z246" s="41">
        <f>G246/'1. Väestöennuste'!I246*1000</f>
        <v>490.76773566569489</v>
      </c>
      <c r="AA246" s="41">
        <f>H246/'1. Väestöennuste'!J246*1000</f>
        <v>858.42863611404039</v>
      </c>
      <c r="AB246" s="41">
        <f>I246/'1. Väestöennuste'!K246*1000</f>
        <v>417.90773829349649</v>
      </c>
      <c r="AC246" s="41">
        <f>J246/'1. Väestöennuste'!L246*1000</f>
        <v>617.92985076038531</v>
      </c>
      <c r="AD246" s="41">
        <f>K246/'1. Väestöennuste'!M246*1000</f>
        <v>121.87888904483279</v>
      </c>
      <c r="AE246" s="41">
        <f>L246/'1. Väestöennuste'!N246*1000</f>
        <v>89.553110944408942</v>
      </c>
      <c r="AF246" s="41">
        <f>M246/'1. Väestöennuste'!O246*1000</f>
        <v>-289.78388642796193</v>
      </c>
      <c r="AG246" s="41">
        <f>N246/'1. Väestöennuste'!P246*1000</f>
        <v>-321.47705551338856</v>
      </c>
      <c r="AH246" s="41">
        <f>O246/'1. Väestöennuste'!Q246*1000</f>
        <v>-366.66919235712953</v>
      </c>
      <c r="AI246" s="41">
        <f>P246/'1. Väestöennuste'!R246*1000</f>
        <v>-346.36620602962665</v>
      </c>
    </row>
    <row r="247" spans="1:35" x14ac:dyDescent="0.2">
      <c r="A247" s="34">
        <v>749</v>
      </c>
      <c r="B247" s="88" t="s">
        <v>561</v>
      </c>
      <c r="C247" s="41" t="e">
        <f>'2. Toimintakate'!D247+'3. Verotulot'!G247+'4. Valtionosuudet'!#REF!</f>
        <v>#REF!</v>
      </c>
      <c r="D247" s="41">
        <f>'2. Toimintakate'!E247+'3. Verotulot'!L247+'4. Valtionosuudet'!H247</f>
        <v>7355</v>
      </c>
      <c r="E247" s="41">
        <f>'2. Toimintakate'!F247+'3. Verotulot'!Q247+'4. Valtionosuudet'!N247</f>
        <v>8256</v>
      </c>
      <c r="F247" s="41">
        <f>'2. Toimintakate'!G247+'3. Verotulot'!V247+'4. Valtionosuudet'!T247</f>
        <v>3206</v>
      </c>
      <c r="G247" s="41">
        <f>'2. Toimintakate'!H247+'3. Verotulot'!AA247+'4. Valtionosuudet'!Z247</f>
        <v>-2490</v>
      </c>
      <c r="H247" s="41">
        <f>'2. Toimintakate'!I247+'3. Verotulot'!AF247+'4. Valtionosuudet'!AG247</f>
        <v>8677.7622350998136</v>
      </c>
      <c r="I247" s="41">
        <f>'2. Toimintakate'!J247+'3. Verotulot'!AK247+'4. Valtionosuudet'!AN247</f>
        <v>6441.4895030471525</v>
      </c>
      <c r="J247" s="41">
        <f>'2. Toimintakate'!K247+'3. Verotulot'!AP247+'4. Valtionosuudet'!AU247</f>
        <v>3439.8532059989593</v>
      </c>
      <c r="K247" s="41">
        <f>'2. Toimintakate'!L247+'3. Verotulot'!AU247+'4. Valtionosuudet'!BC247</f>
        <v>7825.8379214215183</v>
      </c>
      <c r="L247" s="41">
        <f>'2. Toimintakate'!M247+'3. Verotulot'!AZ247+'4. Valtionosuudet'!BK247</f>
        <v>8887.9371600188733</v>
      </c>
      <c r="M247" s="41">
        <f>'2. Toimintakate'!N247+'3. Verotulot'!BE247+'4. Valtionosuudet'!BQ247</f>
        <v>5235.0966919970597</v>
      </c>
      <c r="N247" s="41">
        <f>'2. Toimintakate'!O247+'3. Verotulot'!BJ247+'4. Valtionosuudet'!BY247</f>
        <v>3599.8198848232078</v>
      </c>
      <c r="O247" s="41">
        <f>'2. Toimintakate'!P247+'3. Verotulot'!BO247+'4. Valtionosuudet'!CE247</f>
        <v>4148.7472689293736</v>
      </c>
      <c r="P247" s="41">
        <f>'2. Toimintakate'!Q247+'3. Verotulot'!BT247+'4. Valtionosuudet'!CK247</f>
        <v>6461.5672915713367</v>
      </c>
      <c r="T247" s="34">
        <v>749</v>
      </c>
      <c r="U247" s="88" t="s">
        <v>561</v>
      </c>
      <c r="V247" s="41" t="e">
        <f>C247/'1. Väestöennuste'!E247*1000</f>
        <v>#REF!</v>
      </c>
      <c r="W247" s="41">
        <f>D247/'1. Väestöennuste'!F247*1000</f>
        <v>337.88129364204337</v>
      </c>
      <c r="X247" s="41">
        <f>E247/'1. Väestöennuste'!G247*1000</f>
        <v>381.21623493558667</v>
      </c>
      <c r="Y247" s="41">
        <f>F247/'1. Väestöennuste'!H247*1000</f>
        <v>147.91916582079912</v>
      </c>
      <c r="Z247" s="41">
        <f>G247/'1. Väestöennuste'!I247*1000</f>
        <v>-116.23021985716287</v>
      </c>
      <c r="AA247" s="41">
        <f>H247/'1. Väestöennuste'!J247*1000</f>
        <v>408.34606536632697</v>
      </c>
      <c r="AB247" s="41">
        <f>I247/'1. Väestöennuste'!K247*1000</f>
        <v>302.51676621646328</v>
      </c>
      <c r="AC247" s="41">
        <f>J247/'1. Väestöennuste'!L247*1000</f>
        <v>162.01267925767519</v>
      </c>
      <c r="AD247" s="41">
        <f>K247/'1. Väestöennuste'!M247*1000</f>
        <v>367.5828051395734</v>
      </c>
      <c r="AE247" s="41">
        <f>L247/'1. Väestöennuste'!N247*1000</f>
        <v>426.40266551616162</v>
      </c>
      <c r="AF247" s="41">
        <f>M247/'1. Väestöennuste'!O247*1000</f>
        <v>252.40329260870064</v>
      </c>
      <c r="AG247" s="41">
        <f>N247/'1. Väestöennuste'!P247*1000</f>
        <v>174.51979855641673</v>
      </c>
      <c r="AH247" s="41">
        <f>O247/'1. Väestöennuste'!Q247*1000</f>
        <v>202.29896961816723</v>
      </c>
      <c r="AI247" s="41">
        <f>P247/'1. Väestöennuste'!R247*1000</f>
        <v>316.94546973911497</v>
      </c>
    </row>
    <row r="248" spans="1:35" x14ac:dyDescent="0.2">
      <c r="A248" s="34">
        <v>751</v>
      </c>
      <c r="B248" s="88" t="s">
        <v>562</v>
      </c>
      <c r="C248" s="41" t="e">
        <f>'2. Toimintakate'!D248+'3. Verotulot'!G248+'4. Valtionosuudet'!#REF!</f>
        <v>#REF!</v>
      </c>
      <c r="D248" s="41">
        <f>'2. Toimintakate'!E248+'3. Verotulot'!L248+'4. Valtionosuudet'!H248</f>
        <v>1647</v>
      </c>
      <c r="E248" s="41">
        <f>'2. Toimintakate'!F248+'3. Verotulot'!Q248+'4. Valtionosuudet'!N248</f>
        <v>1939</v>
      </c>
      <c r="F248" s="41">
        <f>'2. Toimintakate'!G248+'3. Verotulot'!V248+'4. Valtionosuudet'!T248</f>
        <v>387</v>
      </c>
      <c r="G248" s="41">
        <f>'2. Toimintakate'!H248+'3. Verotulot'!AA248+'4. Valtionosuudet'!Z248</f>
        <v>-693</v>
      </c>
      <c r="H248" s="41">
        <f>'2. Toimintakate'!I248+'3. Verotulot'!AF248+'4. Valtionosuudet'!AG248</f>
        <v>2391.7708072868409</v>
      </c>
      <c r="I248" s="41">
        <f>'2. Toimintakate'!J248+'3. Verotulot'!AK248+'4. Valtionosuudet'!AN248</f>
        <v>1901.0226383533154</v>
      </c>
      <c r="J248" s="41">
        <f>'2. Toimintakate'!K248+'3. Verotulot'!AP248+'4. Valtionosuudet'!AU248</f>
        <v>2847.7088190112299</v>
      </c>
      <c r="K248" s="41">
        <f>'2. Toimintakate'!L248+'3. Verotulot'!AU248+'4. Valtionosuudet'!BC248</f>
        <v>3561.945053354475</v>
      </c>
      <c r="L248" s="41">
        <f>'2. Toimintakate'!M248+'3. Verotulot'!AZ248+'4. Valtionosuudet'!BK248</f>
        <v>1780.598164519457</v>
      </c>
      <c r="M248" s="41">
        <f>'2. Toimintakate'!N248+'3. Verotulot'!BE248+'4. Valtionosuudet'!BQ248</f>
        <v>2454.796370758208</v>
      </c>
      <c r="N248" s="41">
        <f>'2. Toimintakate'!O248+'3. Verotulot'!BJ248+'4. Valtionosuudet'!BY248</f>
        <v>2200.9050834245886</v>
      </c>
      <c r="O248" s="41">
        <f>'2. Toimintakate'!P248+'3. Verotulot'!BO248+'4. Valtionosuudet'!CE248</f>
        <v>2007.4327744336238</v>
      </c>
      <c r="P248" s="41">
        <f>'2. Toimintakate'!Q248+'3. Verotulot'!BT248+'4. Valtionosuudet'!CK248</f>
        <v>2288.6888513447766</v>
      </c>
      <c r="T248" s="34">
        <v>751</v>
      </c>
      <c r="U248" s="88" t="s">
        <v>562</v>
      </c>
      <c r="V248" s="41" t="e">
        <f>C248/'1. Väestöennuste'!E248*1000</f>
        <v>#REF!</v>
      </c>
      <c r="W248" s="41">
        <f>D248/'1. Väestöennuste'!F248*1000</f>
        <v>519.55835962145113</v>
      </c>
      <c r="X248" s="41">
        <f>E248/'1. Väestöennuste'!G248*1000</f>
        <v>623.47266881028941</v>
      </c>
      <c r="Y248" s="41">
        <f>F248/'1. Väestöennuste'!H248*1000</f>
        <v>127.0935960591133</v>
      </c>
      <c r="Z248" s="41">
        <f>G248/'1. Väestöennuste'!I248*1000</f>
        <v>-231.92771084337349</v>
      </c>
      <c r="AA248" s="41">
        <f>H248/'1. Väestöennuste'!J248*1000</f>
        <v>810.76976518198001</v>
      </c>
      <c r="AB248" s="41">
        <f>I248/'1. Väestöennuste'!K248*1000</f>
        <v>654.62212064508105</v>
      </c>
      <c r="AC248" s="41">
        <f>J248/'1. Väestöennuste'!L248*1000</f>
        <v>989.81884567647899</v>
      </c>
      <c r="AD248" s="41">
        <f>K248/'1. Väestöennuste'!M248*1000</f>
        <v>1259.5279538028553</v>
      </c>
      <c r="AE248" s="41">
        <f>L248/'1. Väestöennuste'!N248*1000</f>
        <v>643.97763635423405</v>
      </c>
      <c r="AF248" s="41">
        <f>M248/'1. Väestöennuste'!O248*1000</f>
        <v>902.49866571992948</v>
      </c>
      <c r="AG248" s="41">
        <f>N248/'1. Väestöennuste'!P248*1000</f>
        <v>821.84655841097413</v>
      </c>
      <c r="AH248" s="41">
        <f>O248/'1. Väestöennuste'!Q248*1000</f>
        <v>760.10328452617341</v>
      </c>
      <c r="AI248" s="41">
        <f>P248/'1. Väestöennuste'!R248*1000</f>
        <v>880.2649428249141</v>
      </c>
    </row>
    <row r="249" spans="1:35" x14ac:dyDescent="0.2">
      <c r="A249" s="34">
        <v>753</v>
      </c>
      <c r="B249" s="88" t="s">
        <v>563</v>
      </c>
      <c r="C249" s="41" t="e">
        <f>'2. Toimintakate'!D249+'3. Verotulot'!G249+'4. Valtionosuudet'!#REF!</f>
        <v>#REF!</v>
      </c>
      <c r="D249" s="41">
        <f>'2. Toimintakate'!E249+'3. Verotulot'!L249+'4. Valtionosuudet'!H249</f>
        <v>4802</v>
      </c>
      <c r="E249" s="41">
        <f>'2. Toimintakate'!F249+'3. Verotulot'!Q249+'4. Valtionosuudet'!N249</f>
        <v>10677</v>
      </c>
      <c r="F249" s="41">
        <f>'2. Toimintakate'!G249+'3. Verotulot'!V249+'4. Valtionosuudet'!T249</f>
        <v>7662</v>
      </c>
      <c r="G249" s="41">
        <f>'2. Toimintakate'!H249+'3. Verotulot'!AA249+'4. Valtionosuudet'!Z249</f>
        <v>5624</v>
      </c>
      <c r="H249" s="41">
        <f>'2. Toimintakate'!I249+'3. Verotulot'!AF249+'4. Valtionosuudet'!AG249</f>
        <v>16201.077040655855</v>
      </c>
      <c r="I249" s="41">
        <f>'2. Toimintakate'!J249+'3. Verotulot'!AK249+'4. Valtionosuudet'!AN249</f>
        <v>18460.658165845074</v>
      </c>
      <c r="J249" s="41">
        <f>'2. Toimintakate'!K249+'3. Verotulot'!AP249+'4. Valtionosuudet'!AU249</f>
        <v>23580.407138813</v>
      </c>
      <c r="K249" s="41">
        <f>'2. Toimintakate'!L249+'3. Verotulot'!AU249+'4. Valtionosuudet'!BC249</f>
        <v>19741.136947246134</v>
      </c>
      <c r="L249" s="41">
        <f>'2. Toimintakate'!M249+'3. Verotulot'!AZ249+'4. Valtionosuudet'!BK249</f>
        <v>13524.518945024953</v>
      </c>
      <c r="M249" s="41">
        <f>'2. Toimintakate'!N249+'3. Verotulot'!BE249+'4. Valtionosuudet'!BQ249</f>
        <v>13553.561637637507</v>
      </c>
      <c r="N249" s="41">
        <f>'2. Toimintakate'!O249+'3. Verotulot'!BJ249+'4. Valtionosuudet'!BY249</f>
        <v>13048.403441885981</v>
      </c>
      <c r="O249" s="41">
        <f>'2. Toimintakate'!P249+'3. Verotulot'!BO249+'4. Valtionosuudet'!CE249</f>
        <v>12723.208259558087</v>
      </c>
      <c r="P249" s="41">
        <f>'2. Toimintakate'!Q249+'3. Verotulot'!BT249+'4. Valtionosuudet'!CK249</f>
        <v>13569.467865122999</v>
      </c>
      <c r="T249" s="34">
        <v>753</v>
      </c>
      <c r="U249" s="88" t="s">
        <v>563</v>
      </c>
      <c r="V249" s="41" t="e">
        <f>C249/'1. Väestöennuste'!E249*1000</f>
        <v>#REF!</v>
      </c>
      <c r="W249" s="41">
        <f>D249/'1. Väestöennuste'!F249*1000</f>
        <v>241.04005621925509</v>
      </c>
      <c r="X249" s="41">
        <f>E249/'1. Väestöennuste'!G249*1000</f>
        <v>525.70162481536181</v>
      </c>
      <c r="Y249" s="41">
        <f>F249/'1. Väestöennuste'!H249*1000</f>
        <v>370.75389528694473</v>
      </c>
      <c r="Z249" s="41">
        <f>G249/'1. Väestöennuste'!I249*1000</f>
        <v>265.65895134624469</v>
      </c>
      <c r="AA249" s="41">
        <f>H249/'1. Väestöennuste'!J249*1000</f>
        <v>747.04094806362582</v>
      </c>
      <c r="AB249" s="41">
        <f>I249/'1. Väestöennuste'!K249*1000</f>
        <v>831.93592455363103</v>
      </c>
      <c r="AC249" s="41">
        <f>J249/'1. Väestöennuste'!L249*1000</f>
        <v>1056.4698538894713</v>
      </c>
      <c r="AD249" s="41">
        <f>K249/'1. Väestöennuste'!M249*1000</f>
        <v>873.69493017243349</v>
      </c>
      <c r="AE249" s="41">
        <f>L249/'1. Väestöennuste'!N249*1000</f>
        <v>581.95004066372428</v>
      </c>
      <c r="AF249" s="41">
        <f>M249/'1. Väestöennuste'!O249*1000</f>
        <v>574.20613614800482</v>
      </c>
      <c r="AG249" s="41">
        <f>N249/'1. Väestöennuste'!P249*1000</f>
        <v>544.59112862629297</v>
      </c>
      <c r="AH249" s="41">
        <f>O249/'1. Väestöennuste'!Q249*1000</f>
        <v>523.54572708246599</v>
      </c>
      <c r="AI249" s="41">
        <f>P249/'1. Väestöennuste'!R249*1000</f>
        <v>550.91014839523359</v>
      </c>
    </row>
    <row r="250" spans="1:35" x14ac:dyDescent="0.2">
      <c r="A250" s="34">
        <v>755</v>
      </c>
      <c r="B250" s="88" t="s">
        <v>564</v>
      </c>
      <c r="C250" s="41" t="e">
        <f>'2. Toimintakate'!D250+'3. Verotulot'!G250+'4. Valtionosuudet'!#REF!</f>
        <v>#REF!</v>
      </c>
      <c r="D250" s="41">
        <f>'2. Toimintakate'!E250+'3. Verotulot'!L250+'4. Valtionosuudet'!H250</f>
        <v>4665</v>
      </c>
      <c r="E250" s="41">
        <f>'2. Toimintakate'!F250+'3. Verotulot'!Q250+'4. Valtionosuudet'!N250</f>
        <v>3866</v>
      </c>
      <c r="F250" s="41">
        <f>'2. Toimintakate'!G250+'3. Verotulot'!V250+'4. Valtionosuudet'!T250</f>
        <v>2968</v>
      </c>
      <c r="G250" s="41">
        <f>'2. Toimintakate'!H250+'3. Verotulot'!AA250+'4. Valtionosuudet'!Z250</f>
        <v>1019</v>
      </c>
      <c r="H250" s="41">
        <f>'2. Toimintakate'!I250+'3. Verotulot'!AF250+'4. Valtionosuudet'!AG250</f>
        <v>3952.5592085550261</v>
      </c>
      <c r="I250" s="41">
        <f>'2. Toimintakate'!J250+'3. Verotulot'!AK250+'4. Valtionosuudet'!AN250</f>
        <v>3557.4098202458927</v>
      </c>
      <c r="J250" s="41">
        <f>'2. Toimintakate'!K250+'3. Verotulot'!AP250+'4. Valtionosuudet'!AU250</f>
        <v>4877.6927789422152</v>
      </c>
      <c r="K250" s="41">
        <f>'2. Toimintakate'!L250+'3. Verotulot'!AU250+'4. Valtionosuudet'!BC250</f>
        <v>4145.1850153952155</v>
      </c>
      <c r="L250" s="41">
        <f>'2. Toimintakate'!M250+'3. Verotulot'!AZ250+'4. Valtionosuudet'!BK250</f>
        <v>2571.3597373829252</v>
      </c>
      <c r="M250" s="41">
        <f>'2. Toimintakate'!N250+'3. Verotulot'!BE250+'4. Valtionosuudet'!BQ250</f>
        <v>2268.2174568974606</v>
      </c>
      <c r="N250" s="41">
        <f>'2. Toimintakate'!O250+'3. Verotulot'!BJ250+'4. Valtionosuudet'!BY250</f>
        <v>2399.0898314114675</v>
      </c>
      <c r="O250" s="41">
        <f>'2. Toimintakate'!P250+'3. Verotulot'!BO250+'4. Valtionosuudet'!CE250</f>
        <v>2155.5248189581289</v>
      </c>
      <c r="P250" s="41">
        <f>'2. Toimintakate'!Q250+'3. Verotulot'!BT250+'4. Valtionosuudet'!CK250</f>
        <v>2320.0332942434197</v>
      </c>
      <c r="T250" s="34">
        <v>755</v>
      </c>
      <c r="U250" s="88" t="s">
        <v>564</v>
      </c>
      <c r="V250" s="41" t="e">
        <f>C250/'1. Väestöennuste'!E250*1000</f>
        <v>#REF!</v>
      </c>
      <c r="W250" s="41">
        <f>D250/'1. Väestöennuste'!F250*1000</f>
        <v>755.09873745548714</v>
      </c>
      <c r="X250" s="41">
        <f>E250/'1. Väestöennuste'!G250*1000</f>
        <v>629.02700943703223</v>
      </c>
      <c r="Y250" s="41">
        <f>F250/'1. Väestöennuste'!H250*1000</f>
        <v>483.86044995109228</v>
      </c>
      <c r="Z250" s="41">
        <f>G250/'1. Väestöennuste'!I250*1000</f>
        <v>165.8258746948739</v>
      </c>
      <c r="AA250" s="41">
        <f>H250/'1. Väestöennuste'!J250*1000</f>
        <v>642.79707408603451</v>
      </c>
      <c r="AB250" s="41">
        <f>I250/'1. Väestöennuste'!K250*1000</f>
        <v>573.96092614486815</v>
      </c>
      <c r="AC250" s="41">
        <f>J250/'1. Väestöennuste'!L250*1000</f>
        <v>784.57339214126034</v>
      </c>
      <c r="AD250" s="41">
        <f>K250/'1. Väestöennuste'!M250*1000</f>
        <v>673.13819671893725</v>
      </c>
      <c r="AE250" s="41">
        <f>L250/'1. Väestöennuste'!N250*1000</f>
        <v>415.3383520243782</v>
      </c>
      <c r="AF250" s="41">
        <f>M250/'1. Väestöennuste'!O250*1000</f>
        <v>365.841525306042</v>
      </c>
      <c r="AG250" s="41">
        <f>N250/'1. Väestöennuste'!P250*1000</f>
        <v>386.51358650096142</v>
      </c>
      <c r="AH250" s="41">
        <f>O250/'1. Väestöennuste'!Q250*1000</f>
        <v>346.99369268482434</v>
      </c>
      <c r="AI250" s="41">
        <f>P250/'1. Väestöennuste'!R250*1000</f>
        <v>373.17569474721245</v>
      </c>
    </row>
    <row r="251" spans="1:35" x14ac:dyDescent="0.2">
      <c r="A251" s="34">
        <v>758</v>
      </c>
      <c r="B251" s="88" t="s">
        <v>565</v>
      </c>
      <c r="C251" s="41" t="e">
        <f>'2. Toimintakate'!D251+'3. Verotulot'!G251+'4. Valtionosuudet'!#REF!</f>
        <v>#REF!</v>
      </c>
      <c r="D251" s="41">
        <f>'2. Toimintakate'!E251+'3. Verotulot'!L251+'4. Valtionosuudet'!H251</f>
        <v>2200</v>
      </c>
      <c r="E251" s="41">
        <f>'2. Toimintakate'!F251+'3. Verotulot'!Q251+'4. Valtionosuudet'!N251</f>
        <v>3411</v>
      </c>
      <c r="F251" s="41">
        <f>'2. Toimintakate'!G251+'3. Verotulot'!V251+'4. Valtionosuudet'!T251</f>
        <v>830</v>
      </c>
      <c r="G251" s="41">
        <f>'2. Toimintakate'!H251+'3. Verotulot'!AA251+'4. Valtionosuudet'!Z251</f>
        <v>-906</v>
      </c>
      <c r="H251" s="41">
        <f>'2. Toimintakate'!I251+'3. Verotulot'!AF251+'4. Valtionosuudet'!AG251</f>
        <v>8817.4962282736524</v>
      </c>
      <c r="I251" s="41">
        <f>'2. Toimintakate'!J251+'3. Verotulot'!AK251+'4. Valtionosuudet'!AN251</f>
        <v>8196.445376722153</v>
      </c>
      <c r="J251" s="41">
        <f>'2. Toimintakate'!K251+'3. Verotulot'!AP251+'4. Valtionosuudet'!AU251</f>
        <v>6933.9263713090986</v>
      </c>
      <c r="K251" s="41">
        <f>'2. Toimintakate'!L251+'3. Verotulot'!AU251+'4. Valtionosuudet'!BC251</f>
        <v>5721.1330831159248</v>
      </c>
      <c r="L251" s="41">
        <f>'2. Toimintakate'!M251+'3. Verotulot'!AZ251+'4. Valtionosuudet'!BK251</f>
        <v>8086.5419185668952</v>
      </c>
      <c r="M251" s="41">
        <f>'2. Toimintakate'!N251+'3. Verotulot'!BE251+'4. Valtionosuudet'!BQ251</f>
        <v>8701.8537102132868</v>
      </c>
      <c r="N251" s="41">
        <f>'2. Toimintakate'!O251+'3. Verotulot'!BJ251+'4. Valtionosuudet'!BY251</f>
        <v>8948.248751295876</v>
      </c>
      <c r="O251" s="41">
        <f>'2. Toimintakate'!P251+'3. Verotulot'!BO251+'4. Valtionosuudet'!CE251</f>
        <v>9684.2252685623134</v>
      </c>
      <c r="P251" s="41">
        <f>'2. Toimintakate'!Q251+'3. Verotulot'!BT251+'4. Valtionosuudet'!CK251</f>
        <v>10529.782570297986</v>
      </c>
      <c r="T251" s="34">
        <v>758</v>
      </c>
      <c r="U251" s="88" t="s">
        <v>565</v>
      </c>
      <c r="V251" s="41" t="e">
        <f>C251/'1. Väestöennuste'!E251*1000</f>
        <v>#REF!</v>
      </c>
      <c r="W251" s="41">
        <f>D251/'1. Väestöennuste'!F251*1000</f>
        <v>254.24708193690049</v>
      </c>
      <c r="X251" s="41">
        <f>E251/'1. Väestöennuste'!G251*1000</f>
        <v>399.18080748976007</v>
      </c>
      <c r="Y251" s="41">
        <f>F251/'1. Väestöennuste'!H251*1000</f>
        <v>98.294647086688769</v>
      </c>
      <c r="Z251" s="41">
        <f>G251/'1. Väestöennuste'!I251*1000</f>
        <v>-109.11718655907502</v>
      </c>
      <c r="AA251" s="41">
        <f>H251/'1. Väestöennuste'!J251*1000</f>
        <v>1066.7186339551961</v>
      </c>
      <c r="AB251" s="41">
        <f>I251/'1. Väestöennuste'!K251*1000</f>
        <v>1001.1537042533472</v>
      </c>
      <c r="AC251" s="41">
        <f>J251/'1. Väestöennuste'!L251*1000</f>
        <v>852.46205695956462</v>
      </c>
      <c r="AD251" s="41">
        <f>K251/'1. Väestöennuste'!M251*1000</f>
        <v>704.05280373073151</v>
      </c>
      <c r="AE251" s="41">
        <f>L251/'1. Väestöennuste'!N251*1000</f>
        <v>1026.341149710229</v>
      </c>
      <c r="AF251" s="41">
        <f>M251/'1. Väestöennuste'!O251*1000</f>
        <v>1115.90840089937</v>
      </c>
      <c r="AG251" s="41">
        <f>N251/'1. Väestöennuste'!P251*1000</f>
        <v>1159.5501815855741</v>
      </c>
      <c r="AH251" s="41">
        <f>O251/'1. Väestöennuste'!Q251*1000</f>
        <v>1268.3988563932303</v>
      </c>
      <c r="AI251" s="41">
        <f>P251/'1. Väestöennuste'!R251*1000</f>
        <v>1393.3813114063764</v>
      </c>
    </row>
    <row r="252" spans="1:35" x14ac:dyDescent="0.2">
      <c r="A252" s="34">
        <v>759</v>
      </c>
      <c r="B252" s="88" t="s">
        <v>566</v>
      </c>
      <c r="C252" s="41" t="e">
        <f>'2. Toimintakate'!D252+'3. Verotulot'!G252+'4. Valtionosuudet'!#REF!</f>
        <v>#REF!</v>
      </c>
      <c r="D252" s="41">
        <f>'2. Toimintakate'!E252+'3. Verotulot'!L252+'4. Valtionosuudet'!H252</f>
        <v>902</v>
      </c>
      <c r="E252" s="41">
        <f>'2. Toimintakate'!F252+'3. Verotulot'!Q252+'4. Valtionosuudet'!N252</f>
        <v>1542</v>
      </c>
      <c r="F252" s="41">
        <f>'2. Toimintakate'!G252+'3. Verotulot'!V252+'4. Valtionosuudet'!T252</f>
        <v>846</v>
      </c>
      <c r="G252" s="41">
        <f>'2. Toimintakate'!H252+'3. Verotulot'!AA252+'4. Valtionosuudet'!Z252</f>
        <v>411</v>
      </c>
      <c r="H252" s="41">
        <f>'2. Toimintakate'!I252+'3. Verotulot'!AF252+'4. Valtionosuudet'!AG252</f>
        <v>590.61084184400534</v>
      </c>
      <c r="I252" s="41">
        <f>'2. Toimintakate'!J252+'3. Verotulot'!AK252+'4. Valtionosuudet'!AN252</f>
        <v>-49.079510925324939</v>
      </c>
      <c r="J252" s="41">
        <f>'2. Toimintakate'!K252+'3. Verotulot'!AP252+'4. Valtionosuudet'!AU252</f>
        <v>1249.8800050293494</v>
      </c>
      <c r="K252" s="41">
        <f>'2. Toimintakate'!L252+'3. Verotulot'!AU252+'4. Valtionosuudet'!BC252</f>
        <v>1821.9485061922196</v>
      </c>
      <c r="L252" s="41">
        <f>'2. Toimintakate'!M252+'3. Verotulot'!AZ252+'4. Valtionosuudet'!BK252</f>
        <v>1074.0570312676768</v>
      </c>
      <c r="M252" s="41">
        <f>'2. Toimintakate'!N252+'3. Verotulot'!BE252+'4. Valtionosuudet'!BQ252</f>
        <v>794.95392752057887</v>
      </c>
      <c r="N252" s="41">
        <f>'2. Toimintakate'!O252+'3. Verotulot'!BJ252+'4. Valtionosuudet'!BY252</f>
        <v>806.55728044817715</v>
      </c>
      <c r="O252" s="41">
        <f>'2. Toimintakate'!P252+'3. Verotulot'!BO252+'4. Valtionosuudet'!CE252</f>
        <v>801.63623014267159</v>
      </c>
      <c r="P252" s="41">
        <f>'2. Toimintakate'!Q252+'3. Verotulot'!BT252+'4. Valtionosuudet'!CK252</f>
        <v>1070.3545613706183</v>
      </c>
      <c r="T252" s="34">
        <v>759</v>
      </c>
      <c r="U252" s="88" t="s">
        <v>566</v>
      </c>
      <c r="V252" s="41" t="e">
        <f>C252/'1. Väestöennuste'!E252*1000</f>
        <v>#REF!</v>
      </c>
      <c r="W252" s="41">
        <f>D252/'1. Väestöennuste'!F252*1000</f>
        <v>412.62580054894789</v>
      </c>
      <c r="X252" s="41">
        <f>E252/'1. Väestöennuste'!G252*1000</f>
        <v>729.42289498580897</v>
      </c>
      <c r="Y252" s="41">
        <f>F252/'1. Väestöennuste'!H252*1000</f>
        <v>405.75539568345323</v>
      </c>
      <c r="Z252" s="41">
        <f>G252/'1. Väestöennuste'!I252*1000</f>
        <v>200.29239766081872</v>
      </c>
      <c r="AA252" s="41">
        <f>H252/'1. Väestöennuste'!J252*1000</f>
        <v>294.27545682312171</v>
      </c>
      <c r="AB252" s="41">
        <f>I252/'1. Väestöennuste'!K252*1000</f>
        <v>-24.576620393252348</v>
      </c>
      <c r="AC252" s="41">
        <f>J252/'1. Väestöennuste'!L252*1000</f>
        <v>643.6045340006948</v>
      </c>
      <c r="AD252" s="41">
        <f>K252/'1. Väestöennuste'!M252*1000</f>
        <v>972.74346299637989</v>
      </c>
      <c r="AE252" s="41">
        <f>L252/'1. Väestöennuste'!N252*1000</f>
        <v>578.0715991752835</v>
      </c>
      <c r="AF252" s="41">
        <f>M252/'1. Väestöennuste'!O252*1000</f>
        <v>434.87632796530573</v>
      </c>
      <c r="AG252" s="41">
        <f>N252/'1. Väestöennuste'!P252*1000</f>
        <v>449.33553228310706</v>
      </c>
      <c r="AH252" s="41">
        <f>O252/'1. Väestöennuste'!Q252*1000</f>
        <v>453.92765013741314</v>
      </c>
      <c r="AI252" s="41">
        <f>P252/'1. Väestöennuste'!R252*1000</f>
        <v>616.20872848049407</v>
      </c>
    </row>
    <row r="253" spans="1:35" x14ac:dyDescent="0.2">
      <c r="A253" s="34">
        <v>761</v>
      </c>
      <c r="B253" s="88" t="s">
        <v>567</v>
      </c>
      <c r="C253" s="41" t="e">
        <f>'2. Toimintakate'!D253+'3. Verotulot'!G253+'4. Valtionosuudet'!#REF!</f>
        <v>#REF!</v>
      </c>
      <c r="D253" s="41">
        <f>'2. Toimintakate'!E253+'3. Verotulot'!L253+'4. Valtionosuudet'!H253</f>
        <v>2902</v>
      </c>
      <c r="E253" s="41">
        <f>'2. Toimintakate'!F253+'3. Verotulot'!Q253+'4. Valtionosuudet'!N253</f>
        <v>5114</v>
      </c>
      <c r="F253" s="41">
        <f>'2. Toimintakate'!G253+'3. Verotulot'!V253+'4. Valtionosuudet'!T253</f>
        <v>2281</v>
      </c>
      <c r="G253" s="41">
        <f>'2. Toimintakate'!H253+'3. Verotulot'!AA253+'4. Valtionosuudet'!Z253</f>
        <v>1072</v>
      </c>
      <c r="H253" s="41">
        <f>'2. Toimintakate'!I253+'3. Verotulot'!AF253+'4. Valtionosuudet'!AG253</f>
        <v>6025.5026016050797</v>
      </c>
      <c r="I253" s="41">
        <f>'2. Toimintakate'!J253+'3. Verotulot'!AK253+'4. Valtionosuudet'!AN253</f>
        <v>4301.681772865144</v>
      </c>
      <c r="J253" s="41">
        <f>'2. Toimintakate'!K253+'3. Verotulot'!AP253+'4. Valtionosuudet'!AU253</f>
        <v>2963.5014782355902</v>
      </c>
      <c r="K253" s="41">
        <f>'2. Toimintakate'!L253+'3. Verotulot'!AU253+'4. Valtionosuudet'!BC253</f>
        <v>5497.6614559967766</v>
      </c>
      <c r="L253" s="41">
        <f>'2. Toimintakate'!M253+'3. Verotulot'!AZ253+'4. Valtionosuudet'!BK253</f>
        <v>3082.0615984092819</v>
      </c>
      <c r="M253" s="41">
        <f>'2. Toimintakate'!N253+'3. Verotulot'!BE253+'4. Valtionosuudet'!BQ253</f>
        <v>2369.8997840198535</v>
      </c>
      <c r="N253" s="41">
        <f>'2. Toimintakate'!O253+'3. Verotulot'!BJ253+'4. Valtionosuudet'!BY253</f>
        <v>2025.056318183324</v>
      </c>
      <c r="O253" s="41">
        <f>'2. Toimintakate'!P253+'3. Verotulot'!BO253+'4. Valtionosuudet'!CE253</f>
        <v>1986.7316520085678</v>
      </c>
      <c r="P253" s="41">
        <f>'2. Toimintakate'!Q253+'3. Verotulot'!BT253+'4. Valtionosuudet'!CK253</f>
        <v>3206.4386617538548</v>
      </c>
      <c r="T253" s="34">
        <v>761</v>
      </c>
      <c r="U253" s="88" t="s">
        <v>567</v>
      </c>
      <c r="V253" s="41" t="e">
        <f>C253/'1. Väestöennuste'!E253*1000</f>
        <v>#REF!</v>
      </c>
      <c r="W253" s="41">
        <f>D253/'1. Väestöennuste'!F253*1000</f>
        <v>321.48000443115097</v>
      </c>
      <c r="X253" s="41">
        <f>E253/'1. Väestöennuste'!G253*1000</f>
        <v>573.38266621818593</v>
      </c>
      <c r="Y253" s="41">
        <f>F253/'1. Väestöennuste'!H253*1000</f>
        <v>258.38241957408246</v>
      </c>
      <c r="Z253" s="41">
        <f>G253/'1. Väestöennuste'!I253*1000</f>
        <v>123.06279416829297</v>
      </c>
      <c r="AA253" s="41">
        <f>H253/'1. Väestöennuste'!J253*1000</f>
        <v>696.91216766193372</v>
      </c>
      <c r="AB253" s="41">
        <f>I253/'1. Väestöennuste'!K253*1000</f>
        <v>502.35685774438213</v>
      </c>
      <c r="AC253" s="41">
        <f>J253/'1. Väestöennuste'!L253*1000</f>
        <v>351.70917140227749</v>
      </c>
      <c r="AD253" s="41">
        <f>K253/'1. Väestöennuste'!M253*1000</f>
        <v>653.70528608760731</v>
      </c>
      <c r="AE253" s="41">
        <f>L253/'1. Väestöennuste'!N253*1000</f>
        <v>371.9152405465527</v>
      </c>
      <c r="AF253" s="41">
        <f>M253/'1. Väestöennuste'!O253*1000</f>
        <v>288.58984218459005</v>
      </c>
      <c r="AG253" s="41">
        <f>N253/'1. Väestöennuste'!P253*1000</f>
        <v>248.74785876223117</v>
      </c>
      <c r="AH253" s="41">
        <f>O253/'1. Väestöennuste'!Q253*1000</f>
        <v>246.06535199511615</v>
      </c>
      <c r="AI253" s="41">
        <f>P253/'1. Väestöennuste'!R253*1000</f>
        <v>400.10464958246257</v>
      </c>
    </row>
    <row r="254" spans="1:35" x14ac:dyDescent="0.2">
      <c r="A254" s="34">
        <v>762</v>
      </c>
      <c r="B254" s="88" t="s">
        <v>568</v>
      </c>
      <c r="C254" s="41" t="e">
        <f>'2. Toimintakate'!D254+'3. Verotulot'!G254+'4. Valtionosuudet'!#REF!</f>
        <v>#REF!</v>
      </c>
      <c r="D254" s="41">
        <f>'2. Toimintakate'!E254+'3. Verotulot'!L254+'4. Valtionosuudet'!H254</f>
        <v>496</v>
      </c>
      <c r="E254" s="41">
        <f>'2. Toimintakate'!F254+'3. Verotulot'!Q254+'4. Valtionosuudet'!N254</f>
        <v>2606</v>
      </c>
      <c r="F254" s="41">
        <f>'2. Toimintakate'!G254+'3. Verotulot'!V254+'4. Valtionosuudet'!T254</f>
        <v>1575</v>
      </c>
      <c r="G254" s="41">
        <f>'2. Toimintakate'!H254+'3. Verotulot'!AA254+'4. Valtionosuudet'!Z254</f>
        <v>1616</v>
      </c>
      <c r="H254" s="41">
        <f>'2. Toimintakate'!I254+'3. Verotulot'!AF254+'4. Valtionosuudet'!AG254</f>
        <v>4218.542990471371</v>
      </c>
      <c r="I254" s="41">
        <f>'2. Toimintakate'!J254+'3. Verotulot'!AK254+'4. Valtionosuudet'!AN254</f>
        <v>6015.5300523798105</v>
      </c>
      <c r="J254" s="41">
        <f>'2. Toimintakate'!K254+'3. Verotulot'!AP254+'4. Valtionosuudet'!AU254</f>
        <v>1949.5745596801353</v>
      </c>
      <c r="K254" s="41">
        <f>'2. Toimintakate'!L254+'3. Verotulot'!AU254+'4. Valtionosuudet'!BC254</f>
        <v>2031.0093467137467</v>
      </c>
      <c r="L254" s="41">
        <f>'2. Toimintakate'!M254+'3. Verotulot'!AZ254+'4. Valtionosuudet'!BK254</f>
        <v>2666.8951188830015</v>
      </c>
      <c r="M254" s="41">
        <f>'2. Toimintakate'!N254+'3. Verotulot'!BE254+'4. Valtionosuudet'!BQ254</f>
        <v>910.966172256346</v>
      </c>
      <c r="N254" s="41">
        <f>'2. Toimintakate'!O254+'3. Verotulot'!BJ254+'4. Valtionosuudet'!BY254</f>
        <v>746.61042468523101</v>
      </c>
      <c r="O254" s="41">
        <f>'2. Toimintakate'!P254+'3. Verotulot'!BO254+'4. Valtionosuudet'!CE254</f>
        <v>612.6405842876793</v>
      </c>
      <c r="P254" s="41">
        <f>'2. Toimintakate'!Q254+'3. Verotulot'!BT254+'4. Valtionosuudet'!CK254</f>
        <v>1072.5517686946177</v>
      </c>
      <c r="T254" s="34">
        <v>762</v>
      </c>
      <c r="U254" s="88" t="s">
        <v>568</v>
      </c>
      <c r="V254" s="41" t="e">
        <f>C254/'1. Väestöennuste'!E254*1000</f>
        <v>#REF!</v>
      </c>
      <c r="W254" s="41">
        <f>D254/'1. Väestöennuste'!F254*1000</f>
        <v>118.12336270540605</v>
      </c>
      <c r="X254" s="41">
        <f>E254/'1. Väestöennuste'!G254*1000</f>
        <v>639.50920245398765</v>
      </c>
      <c r="Y254" s="41">
        <f>F254/'1. Väestöennuste'!H254*1000</f>
        <v>397.0254600453743</v>
      </c>
      <c r="Z254" s="41">
        <f>G254/'1. Väestöennuste'!I254*1000</f>
        <v>414.67795740313062</v>
      </c>
      <c r="AA254" s="41">
        <f>H254/'1. Väestöennuste'!J254*1000</f>
        <v>1098.2928899951501</v>
      </c>
      <c r="AB254" s="41">
        <f>I254/'1. Väestöennuste'!K254*1000</f>
        <v>1592.6740938257376</v>
      </c>
      <c r="AC254" s="41">
        <f>J254/'1. Väestöennuste'!L254*1000</f>
        <v>530.92989098042892</v>
      </c>
      <c r="AD254" s="41">
        <f>K254/'1. Väestöennuste'!M254*1000</f>
        <v>558.42984512338376</v>
      </c>
      <c r="AE254" s="41">
        <f>L254/'1. Väestöennuste'!N254*1000</f>
        <v>749.97050587261003</v>
      </c>
      <c r="AF254" s="41">
        <f>M254/'1. Väestöennuste'!O254*1000</f>
        <v>260.49933435983587</v>
      </c>
      <c r="AG254" s="41">
        <f>N254/'1. Väestöennuste'!P254*1000</f>
        <v>216.91180263952091</v>
      </c>
      <c r="AH254" s="41">
        <f>O254/'1. Väestöennuste'!Q254*1000</f>
        <v>180.66664237324662</v>
      </c>
      <c r="AI254" s="41">
        <f>P254/'1. Väestöennuste'!R254*1000</f>
        <v>321.02716812170542</v>
      </c>
    </row>
    <row r="255" spans="1:35" x14ac:dyDescent="0.2">
      <c r="A255" s="34">
        <v>765</v>
      </c>
      <c r="B255" s="88" t="s">
        <v>569</v>
      </c>
      <c r="C255" s="41" t="e">
        <f>'2. Toimintakate'!D255+'3. Verotulot'!G255+'4. Valtionosuudet'!#REF!</f>
        <v>#REF!</v>
      </c>
      <c r="D255" s="41">
        <f>'2. Toimintakate'!E255+'3. Verotulot'!L255+'4. Valtionosuudet'!H255</f>
        <v>59</v>
      </c>
      <c r="E255" s="41">
        <f>'2. Toimintakate'!F255+'3. Verotulot'!Q255+'4. Valtionosuudet'!N255</f>
        <v>1880</v>
      </c>
      <c r="F255" s="41">
        <f>'2. Toimintakate'!G255+'3. Verotulot'!V255+'4. Valtionosuudet'!T255</f>
        <v>-2127</v>
      </c>
      <c r="G255" s="41">
        <f>'2. Toimintakate'!H255+'3. Verotulot'!AA255+'4. Valtionosuudet'!Z255</f>
        <v>-3102</v>
      </c>
      <c r="H255" s="41">
        <f>'2. Toimintakate'!I255+'3. Verotulot'!AF255+'4. Valtionosuudet'!AG255</f>
        <v>-3425.5984059806979</v>
      </c>
      <c r="I255" s="41">
        <f>'2. Toimintakate'!J255+'3. Verotulot'!AK255+'4. Valtionosuudet'!AN255</f>
        <v>-4296.6379947111418</v>
      </c>
      <c r="J255" s="41">
        <f>'2. Toimintakate'!K255+'3. Verotulot'!AP255+'4. Valtionosuudet'!AU255</f>
        <v>-1092.2707965774753</v>
      </c>
      <c r="K255" s="41">
        <f>'2. Toimintakate'!L255+'3. Verotulot'!AU255+'4. Valtionosuudet'!BC255</f>
        <v>-6669.2350121129184</v>
      </c>
      <c r="L255" s="41">
        <f>'2. Toimintakate'!M255+'3. Verotulot'!AZ255+'4. Valtionosuudet'!BK255</f>
        <v>-4938.5035393641219</v>
      </c>
      <c r="M255" s="41">
        <f>'2. Toimintakate'!N255+'3. Verotulot'!BE255+'4. Valtionosuudet'!BQ255</f>
        <v>-7886.2306755944237</v>
      </c>
      <c r="N255" s="41">
        <f>'2. Toimintakate'!O255+'3. Verotulot'!BJ255+'4. Valtionosuudet'!BY255</f>
        <v>-8309.2496971723413</v>
      </c>
      <c r="O255" s="41">
        <f>'2. Toimintakate'!P255+'3. Verotulot'!BO255+'4. Valtionosuudet'!CE255</f>
        <v>-8486.5015253123402</v>
      </c>
      <c r="P255" s="41">
        <f>'2. Toimintakate'!Q255+'3. Verotulot'!BT255+'4. Valtionosuudet'!CK255</f>
        <v>-7946.1187225202557</v>
      </c>
      <c r="T255" s="34">
        <v>765</v>
      </c>
      <c r="U255" s="88" t="s">
        <v>569</v>
      </c>
      <c r="V255" s="41" t="e">
        <f>C255/'1. Väestöennuste'!E255*1000</f>
        <v>#REF!</v>
      </c>
      <c r="W255" s="41">
        <f>D255/'1. Väestöennuste'!F255*1000</f>
        <v>5.6346098748925604</v>
      </c>
      <c r="X255" s="41">
        <f>E255/'1. Väestöennuste'!G255*1000</f>
        <v>180.37033483641946</v>
      </c>
      <c r="Y255" s="41">
        <f>F255/'1. Väestöennuste'!H255*1000</f>
        <v>-204.73577822697084</v>
      </c>
      <c r="Z255" s="41">
        <f>G255/'1. Väestöennuste'!I255*1000</f>
        <v>-300.11609907120743</v>
      </c>
      <c r="AA255" s="41">
        <f>H255/'1. Väestöennuste'!J255*1000</f>
        <v>-332.55008309685445</v>
      </c>
      <c r="AB255" s="41">
        <f>I255/'1. Väestöennuste'!K255*1000</f>
        <v>-415.21434042434691</v>
      </c>
      <c r="AC255" s="41">
        <f>J255/'1. Väestöennuste'!L255*1000</f>
        <v>-105.49264019484984</v>
      </c>
      <c r="AD255" s="41">
        <f>K255/'1. Väestöennuste'!M255*1000</f>
        <v>-649.13714347994141</v>
      </c>
      <c r="AE255" s="41">
        <f>L255/'1. Väestöennuste'!N255*1000</f>
        <v>-489.05758955873659</v>
      </c>
      <c r="AF255" s="41">
        <f>M255/'1. Väestöennuste'!O255*1000</f>
        <v>-784.93387833128531</v>
      </c>
      <c r="AG255" s="41">
        <f>N255/'1. Väestöennuste'!P255*1000</f>
        <v>-831.00807052428661</v>
      </c>
      <c r="AH255" s="41">
        <f>O255/'1. Väestöennuste'!Q255*1000</f>
        <v>-853.00045485097394</v>
      </c>
      <c r="AI255" s="41">
        <f>P255/'1. Väestöennuste'!R255*1000</f>
        <v>-802.63825480002583</v>
      </c>
    </row>
    <row r="256" spans="1:35" x14ac:dyDescent="0.2">
      <c r="A256" s="34">
        <v>768</v>
      </c>
      <c r="B256" s="88" t="s">
        <v>570</v>
      </c>
      <c r="C256" s="41" t="e">
        <f>'2. Toimintakate'!D256+'3. Verotulot'!G256+'4. Valtionosuudet'!#REF!</f>
        <v>#REF!</v>
      </c>
      <c r="D256" s="41">
        <f>'2. Toimintakate'!E256+'3. Verotulot'!L256+'4. Valtionosuudet'!H256</f>
        <v>344</v>
      </c>
      <c r="E256" s="41">
        <f>'2. Toimintakate'!F256+'3. Verotulot'!Q256+'4. Valtionosuudet'!N256</f>
        <v>2524</v>
      </c>
      <c r="F256" s="41">
        <f>'2. Toimintakate'!G256+'3. Verotulot'!V256+'4. Valtionosuudet'!T256</f>
        <v>1162</v>
      </c>
      <c r="G256" s="41">
        <f>'2. Toimintakate'!H256+'3. Verotulot'!AA256+'4. Valtionosuudet'!Z256</f>
        <v>1244</v>
      </c>
      <c r="H256" s="41">
        <f>'2. Toimintakate'!I256+'3. Verotulot'!AF256+'4. Valtionosuudet'!AG256</f>
        <v>2075.5635101786429</v>
      </c>
      <c r="I256" s="41">
        <f>'2. Toimintakate'!J256+'3. Verotulot'!AK256+'4. Valtionosuudet'!AN256</f>
        <v>990.27758528865888</v>
      </c>
      <c r="J256" s="41">
        <f>'2. Toimintakate'!K256+'3. Verotulot'!AP256+'4. Valtionosuudet'!AU256</f>
        <v>1275.7909017260827</v>
      </c>
      <c r="K256" s="41">
        <f>'2. Toimintakate'!L256+'3. Verotulot'!AU256+'4. Valtionosuudet'!BC256</f>
        <v>521.28507723167832</v>
      </c>
      <c r="L256" s="41">
        <f>'2. Toimintakate'!M256+'3. Verotulot'!AZ256+'4. Valtionosuudet'!BK256</f>
        <v>739.0723390869498</v>
      </c>
      <c r="M256" s="41">
        <f>'2. Toimintakate'!N256+'3. Verotulot'!BE256+'4. Valtionosuudet'!BQ256</f>
        <v>414.01871639466117</v>
      </c>
      <c r="N256" s="41">
        <f>'2. Toimintakate'!O256+'3. Verotulot'!BJ256+'4. Valtionosuudet'!BY256</f>
        <v>58.85126709596716</v>
      </c>
      <c r="O256" s="41">
        <f>'2. Toimintakate'!P256+'3. Verotulot'!BO256+'4. Valtionosuudet'!CE256</f>
        <v>32.699594874470222</v>
      </c>
      <c r="P256" s="41">
        <f>'2. Toimintakate'!Q256+'3. Verotulot'!BT256+'4. Valtionosuudet'!CK256</f>
        <v>337.74115084841242</v>
      </c>
      <c r="T256" s="34">
        <v>768</v>
      </c>
      <c r="U256" s="88" t="s">
        <v>570</v>
      </c>
      <c r="V256" s="41" t="e">
        <f>C256/'1. Väestöennuste'!E256*1000</f>
        <v>#REF!</v>
      </c>
      <c r="W256" s="41">
        <f>D256/'1. Väestöennuste'!F256*1000</f>
        <v>129.27470875610672</v>
      </c>
      <c r="X256" s="41">
        <f>E256/'1. Väestöennuste'!G256*1000</f>
        <v>975.27047913446677</v>
      </c>
      <c r="Y256" s="41">
        <f>F256/'1. Väestöennuste'!H256*1000</f>
        <v>459.28853754940712</v>
      </c>
      <c r="Z256" s="41">
        <f>G256/'1. Väestöennuste'!I256*1000</f>
        <v>499.19743178170143</v>
      </c>
      <c r="AA256" s="41">
        <f>H256/'1. Väestöennuste'!J256*1000</f>
        <v>836.24637799300683</v>
      </c>
      <c r="AB256" s="41">
        <f>I256/'1. Väestöennuste'!K256*1000</f>
        <v>407.52164003648511</v>
      </c>
      <c r="AC256" s="41">
        <f>J256/'1. Väestöennuste'!L256*1000</f>
        <v>537.17511651624534</v>
      </c>
      <c r="AD256" s="41">
        <f>K256/'1. Väestöennuste'!M256*1000</f>
        <v>220.13727923635065</v>
      </c>
      <c r="AE256" s="41">
        <f>L256/'1. Väestöennuste'!N256*1000</f>
        <v>322.31676366635401</v>
      </c>
      <c r="AF256" s="41">
        <f>M256/'1. Väestöennuste'!O256*1000</f>
        <v>183.68177302336343</v>
      </c>
      <c r="AG256" s="41">
        <f>N256/'1. Väestöennuste'!P256*1000</f>
        <v>26.533483812428837</v>
      </c>
      <c r="AH256" s="41">
        <f>O256/'1. Väestöennuste'!Q256*1000</f>
        <v>14.965489645066462</v>
      </c>
      <c r="AI256" s="41">
        <f>P256/'1. Väestöennuste'!R256*1000</f>
        <v>156.57911490422458</v>
      </c>
    </row>
    <row r="257" spans="1:35" x14ac:dyDescent="0.2">
      <c r="A257" s="34">
        <v>777</v>
      </c>
      <c r="B257" s="88" t="s">
        <v>571</v>
      </c>
      <c r="C257" s="41" t="e">
        <f>'2. Toimintakate'!D257+'3. Verotulot'!G257+'4. Valtionosuudet'!#REF!</f>
        <v>#REF!</v>
      </c>
      <c r="D257" s="41">
        <f>'2. Toimintakate'!E257+'3. Verotulot'!L257+'4. Valtionosuudet'!H257</f>
        <v>3559</v>
      </c>
      <c r="E257" s="41">
        <f>'2. Toimintakate'!F257+'3. Verotulot'!Q257+'4. Valtionosuudet'!N257</f>
        <v>3282</v>
      </c>
      <c r="F257" s="41">
        <f>'2. Toimintakate'!G257+'3. Verotulot'!V257+'4. Valtionosuudet'!T257</f>
        <v>-714</v>
      </c>
      <c r="G257" s="41">
        <f>'2. Toimintakate'!H257+'3. Verotulot'!AA257+'4. Valtionosuudet'!Z257</f>
        <v>1279</v>
      </c>
      <c r="H257" s="41">
        <f>'2. Toimintakate'!I257+'3. Verotulot'!AF257+'4. Valtionosuudet'!AG257</f>
        <v>3827.0830550519095</v>
      </c>
      <c r="I257" s="41">
        <f>'2. Toimintakate'!J257+'3. Verotulot'!AK257+'4. Valtionosuudet'!AN257</f>
        <v>5506.5856181202907</v>
      </c>
      <c r="J257" s="41">
        <f>'2. Toimintakate'!K257+'3. Verotulot'!AP257+'4. Valtionosuudet'!AU257</f>
        <v>6592.8454496367085</v>
      </c>
      <c r="K257" s="41">
        <f>'2. Toimintakate'!L257+'3. Verotulot'!AU257+'4. Valtionosuudet'!BC257</f>
        <v>5862.7269488425272</v>
      </c>
      <c r="L257" s="41">
        <f>'2. Toimintakate'!M257+'3. Verotulot'!AZ257+'4. Valtionosuudet'!BK257</f>
        <v>5250.4987177011208</v>
      </c>
      <c r="M257" s="41">
        <f>'2. Toimintakate'!N257+'3. Verotulot'!BE257+'4. Valtionosuudet'!BQ257</f>
        <v>4122.6085578709535</v>
      </c>
      <c r="N257" s="41">
        <f>'2. Toimintakate'!O257+'3. Verotulot'!BJ257+'4. Valtionosuudet'!BY257</f>
        <v>4572.7452687687382</v>
      </c>
      <c r="O257" s="41">
        <f>'2. Toimintakate'!P257+'3. Verotulot'!BO257+'4. Valtionosuudet'!CE257</f>
        <v>4501.3613745050297</v>
      </c>
      <c r="P257" s="41">
        <f>'2. Toimintakate'!Q257+'3. Verotulot'!BT257+'4. Valtionosuudet'!CK257</f>
        <v>5843.5925325928965</v>
      </c>
      <c r="T257" s="34">
        <v>777</v>
      </c>
      <c r="U257" s="88" t="s">
        <v>571</v>
      </c>
      <c r="V257" s="41" t="e">
        <f>C257/'1. Väestöennuste'!E257*1000</f>
        <v>#REF!</v>
      </c>
      <c r="W257" s="41">
        <f>D257/'1. Väestöennuste'!F257*1000</f>
        <v>434.71357029436911</v>
      </c>
      <c r="X257" s="41">
        <f>E257/'1. Väestöennuste'!G257*1000</f>
        <v>407.65122345050304</v>
      </c>
      <c r="Y257" s="41">
        <f>F257/'1. Väestöennuste'!H257*1000</f>
        <v>-90.816586110404486</v>
      </c>
      <c r="Z257" s="41">
        <f>G257/'1. Väestöennuste'!I257*1000</f>
        <v>165.5234890643199</v>
      </c>
      <c r="AA257" s="41">
        <f>H257/'1. Väestöennuste'!J257*1000</f>
        <v>503.96142415748079</v>
      </c>
      <c r="AB257" s="41">
        <f>I257/'1. Väestöennuste'!K257*1000</f>
        <v>733.42909138522782</v>
      </c>
      <c r="AC257" s="41">
        <f>J257/'1. Väestöennuste'!L257*1000</f>
        <v>894.91590194607147</v>
      </c>
      <c r="AD257" s="41">
        <f>K257/'1. Väestöennuste'!M257*1000</f>
        <v>817.44659074770323</v>
      </c>
      <c r="AE257" s="41">
        <f>L257/'1. Väestöennuste'!N257*1000</f>
        <v>746.5517869616267</v>
      </c>
      <c r="AF257" s="41">
        <f>M257/'1. Väestöennuste'!O257*1000</f>
        <v>596.7011952338911</v>
      </c>
      <c r="AG257" s="41">
        <f>N257/'1. Väestöennuste'!P257*1000</f>
        <v>673.35374300820774</v>
      </c>
      <c r="AH257" s="41">
        <f>O257/'1. Väestöennuste'!Q257*1000</f>
        <v>674.05830705376297</v>
      </c>
      <c r="AI257" s="41">
        <f>P257/'1. Väestöennuste'!R257*1000</f>
        <v>889.30033976455582</v>
      </c>
    </row>
    <row r="258" spans="1:35" x14ac:dyDescent="0.2">
      <c r="A258" s="34">
        <v>778</v>
      </c>
      <c r="B258" s="88" t="s">
        <v>572</v>
      </c>
      <c r="C258" s="41" t="e">
        <f>'2. Toimintakate'!D258+'3. Verotulot'!G258+'4. Valtionosuudet'!#REF!</f>
        <v>#REF!</v>
      </c>
      <c r="D258" s="41">
        <f>'2. Toimintakate'!E258+'3. Verotulot'!L258+'4. Valtionosuudet'!H258</f>
        <v>5350</v>
      </c>
      <c r="E258" s="41">
        <f>'2. Toimintakate'!F258+'3. Verotulot'!Q258+'4. Valtionosuudet'!N258</f>
        <v>5562</v>
      </c>
      <c r="F258" s="41">
        <f>'2. Toimintakate'!G258+'3. Verotulot'!V258+'4. Valtionosuudet'!T258</f>
        <v>2629</v>
      </c>
      <c r="G258" s="41">
        <f>'2. Toimintakate'!H258+'3. Verotulot'!AA258+'4. Valtionosuudet'!Z258</f>
        <v>2149</v>
      </c>
      <c r="H258" s="41">
        <f>'2. Toimintakate'!I258+'3. Verotulot'!AF258+'4. Valtionosuudet'!AG258</f>
        <v>2664.1255365205507</v>
      </c>
      <c r="I258" s="41">
        <f>'2. Toimintakate'!J258+'3. Verotulot'!AK258+'4. Valtionosuudet'!AN258</f>
        <v>2203.6530081459277</v>
      </c>
      <c r="J258" s="41">
        <f>'2. Toimintakate'!K258+'3. Verotulot'!AP258+'4. Valtionosuudet'!AU258</f>
        <v>2704.8930950865724</v>
      </c>
      <c r="K258" s="41">
        <f>'2. Toimintakate'!L258+'3. Verotulot'!AU258+'4. Valtionosuudet'!BC258</f>
        <v>2073.0543568571984</v>
      </c>
      <c r="L258" s="41">
        <f>'2. Toimintakate'!M258+'3. Verotulot'!AZ258+'4. Valtionosuudet'!BK258</f>
        <v>3295.587388188158</v>
      </c>
      <c r="M258" s="41">
        <f>'2. Toimintakate'!N258+'3. Verotulot'!BE258+'4. Valtionosuudet'!BQ258</f>
        <v>1630.8900293839552</v>
      </c>
      <c r="N258" s="41">
        <f>'2. Toimintakate'!O258+'3. Verotulot'!BJ258+'4. Valtionosuudet'!BY258</f>
        <v>708.32126992124631</v>
      </c>
      <c r="O258" s="41">
        <f>'2. Toimintakate'!P258+'3. Verotulot'!BO258+'4. Valtionosuudet'!CE258</f>
        <v>719.45859750589352</v>
      </c>
      <c r="P258" s="41">
        <f>'2. Toimintakate'!Q258+'3. Verotulot'!BT258+'4. Valtionosuudet'!CK258</f>
        <v>1652.1135656417164</v>
      </c>
      <c r="T258" s="34">
        <v>778</v>
      </c>
      <c r="U258" s="88" t="s">
        <v>572</v>
      </c>
      <c r="V258" s="41" t="e">
        <f>C258/'1. Väestöennuste'!E258*1000</f>
        <v>#REF!</v>
      </c>
      <c r="W258" s="41">
        <f>D258/'1. Väestöennuste'!F258*1000</f>
        <v>731.67396061269153</v>
      </c>
      <c r="X258" s="41">
        <f>E258/'1. Väestöennuste'!G258*1000</f>
        <v>765.48307184145335</v>
      </c>
      <c r="Y258" s="41">
        <f>F258/'1. Väestöennuste'!H258*1000</f>
        <v>367.94961511546535</v>
      </c>
      <c r="Z258" s="41">
        <f>G258/'1. Väestöennuste'!I258*1000</f>
        <v>304.21857304643265</v>
      </c>
      <c r="AA258" s="41">
        <f>H258/'1. Väestöennuste'!J258*1000</f>
        <v>384.37823351905223</v>
      </c>
      <c r="AB258" s="41">
        <f>I258/'1. Väestöennuste'!K258*1000</f>
        <v>319.78711480858038</v>
      </c>
      <c r="AC258" s="41">
        <f>J258/'1. Väestöennuste'!L258*1000</f>
        <v>399.95462000392905</v>
      </c>
      <c r="AD258" s="41">
        <f>K258/'1. Väestöennuste'!M258*1000</f>
        <v>309.04209255474035</v>
      </c>
      <c r="AE258" s="41">
        <f>L258/'1. Väestöennuste'!N258*1000</f>
        <v>502.06998601282118</v>
      </c>
      <c r="AF258" s="41">
        <f>M258/'1. Väestöennuste'!O258*1000</f>
        <v>251.37022647718177</v>
      </c>
      <c r="AG258" s="41">
        <f>N258/'1. Väestöennuste'!P258*1000</f>
        <v>110.39920042413439</v>
      </c>
      <c r="AH258" s="41">
        <f>O258/'1. Väestöennuste'!Q258*1000</f>
        <v>113.31841195556679</v>
      </c>
      <c r="AI258" s="41">
        <f>P258/'1. Väestöennuste'!R258*1000</f>
        <v>263.03352422253084</v>
      </c>
    </row>
    <row r="259" spans="1:35" x14ac:dyDescent="0.2">
      <c r="A259" s="34">
        <v>781</v>
      </c>
      <c r="B259" s="88" t="s">
        <v>573</v>
      </c>
      <c r="C259" s="41" t="e">
        <f>'2. Toimintakate'!D259+'3. Verotulot'!G259+'4. Valtionosuudet'!#REF!</f>
        <v>#REF!</v>
      </c>
      <c r="D259" s="41">
        <f>'2. Toimintakate'!E259+'3. Verotulot'!L259+'4. Valtionosuudet'!H259</f>
        <v>1658</v>
      </c>
      <c r="E259" s="41">
        <f>'2. Toimintakate'!F259+'3. Verotulot'!Q259+'4. Valtionosuudet'!N259</f>
        <v>1925</v>
      </c>
      <c r="F259" s="41">
        <f>'2. Toimintakate'!G259+'3. Verotulot'!V259+'4. Valtionosuudet'!T259</f>
        <v>610</v>
      </c>
      <c r="G259" s="41">
        <f>'2. Toimintakate'!H259+'3. Verotulot'!AA259+'4. Valtionosuudet'!Z259</f>
        <v>322</v>
      </c>
      <c r="H259" s="41">
        <f>'2. Toimintakate'!I259+'3. Verotulot'!AF259+'4. Valtionosuudet'!AG259</f>
        <v>2270.4337372809277</v>
      </c>
      <c r="I259" s="41">
        <f>'2. Toimintakate'!J259+'3. Verotulot'!AK259+'4. Valtionosuudet'!AN259</f>
        <v>3627.0989225320736</v>
      </c>
      <c r="J259" s="41">
        <f>'2. Toimintakate'!K259+'3. Verotulot'!AP259+'4. Valtionosuudet'!AU259</f>
        <v>2111.2501875663456</v>
      </c>
      <c r="K259" s="41">
        <f>'2. Toimintakate'!L259+'3. Verotulot'!AU259+'4. Valtionosuudet'!BC259</f>
        <v>2431.209538954593</v>
      </c>
      <c r="L259" s="41">
        <f>'2. Toimintakate'!M259+'3. Verotulot'!AZ259+'4. Valtionosuudet'!BK259</f>
        <v>1775.4914771012482</v>
      </c>
      <c r="M259" s="41">
        <f>'2. Toimintakate'!N259+'3. Verotulot'!BE259+'4. Valtionosuudet'!BQ259</f>
        <v>1527.78152919686</v>
      </c>
      <c r="N259" s="41">
        <f>'2. Toimintakate'!O259+'3. Verotulot'!BJ259+'4. Valtionosuudet'!BY259</f>
        <v>1295.7149581155018</v>
      </c>
      <c r="O259" s="41">
        <f>'2. Toimintakate'!P259+'3. Verotulot'!BO259+'4. Valtionosuudet'!CE259</f>
        <v>1178.563344524403</v>
      </c>
      <c r="P259" s="41">
        <f>'2. Toimintakate'!Q259+'3. Verotulot'!BT259+'4. Valtionosuudet'!CK259</f>
        <v>1704.5762066375673</v>
      </c>
      <c r="T259" s="34">
        <v>781</v>
      </c>
      <c r="U259" s="88" t="s">
        <v>573</v>
      </c>
      <c r="V259" s="41" t="e">
        <f>C259/'1. Väestöennuste'!E259*1000</f>
        <v>#REF!</v>
      </c>
      <c r="W259" s="41">
        <f>D259/'1. Väestöennuste'!F259*1000</f>
        <v>419.4282823172274</v>
      </c>
      <c r="X259" s="41">
        <f>E259/'1. Väestöennuste'!G259*1000</f>
        <v>498.83389479139674</v>
      </c>
      <c r="Y259" s="41">
        <f>F259/'1. Väestöennuste'!H259*1000</f>
        <v>162.53663735678126</v>
      </c>
      <c r="Z259" s="41">
        <f>G259/'1. Väestöennuste'!I259*1000</f>
        <v>88.050314465408803</v>
      </c>
      <c r="AA259" s="41">
        <f>H259/'1. Väestöennuste'!J259*1000</f>
        <v>625.2915828369396</v>
      </c>
      <c r="AB259" s="41">
        <f>I259/'1. Väestöennuste'!K259*1000</f>
        <v>1012.0253690100651</v>
      </c>
      <c r="AC259" s="41">
        <f>J259/'1. Väestöennuste'!L259*1000</f>
        <v>602.52573846071516</v>
      </c>
      <c r="AD259" s="41">
        <f>K259/'1. Väestöennuste'!M259*1000</f>
        <v>695.42606949502078</v>
      </c>
      <c r="AE259" s="41">
        <f>L259/'1. Väestöennuste'!N259*1000</f>
        <v>533.02055752063893</v>
      </c>
      <c r="AF259" s="41">
        <f>M259/'1. Väestöennuste'!O259*1000</f>
        <v>467.21147681861163</v>
      </c>
      <c r="AG259" s="41">
        <f>N259/'1. Väestöennuste'!P259*1000</f>
        <v>402.646040433655</v>
      </c>
      <c r="AH259" s="41">
        <f>O259/'1. Väestöennuste'!Q259*1000</f>
        <v>371.90386384487311</v>
      </c>
      <c r="AI259" s="41">
        <f>P259/'1. Väestöennuste'!R259*1000</f>
        <v>545.6389906010138</v>
      </c>
    </row>
    <row r="260" spans="1:35" x14ac:dyDescent="0.2">
      <c r="A260" s="34">
        <v>783</v>
      </c>
      <c r="B260" s="88" t="s">
        <v>574</v>
      </c>
      <c r="C260" s="41" t="e">
        <f>'2. Toimintakate'!D260+'3. Verotulot'!G260+'4. Valtionosuudet'!#REF!</f>
        <v>#REF!</v>
      </c>
      <c r="D260" s="41">
        <f>'2. Toimintakate'!E260+'3. Verotulot'!L260+'4. Valtionosuudet'!H260</f>
        <v>4867</v>
      </c>
      <c r="E260" s="41">
        <f>'2. Toimintakate'!F260+'3. Verotulot'!Q260+'4. Valtionosuudet'!N260</f>
        <v>4990</v>
      </c>
      <c r="F260" s="41">
        <f>'2. Toimintakate'!G260+'3. Verotulot'!V260+'4. Valtionosuudet'!T260</f>
        <v>2548</v>
      </c>
      <c r="G260" s="41">
        <f>'2. Toimintakate'!H260+'3. Verotulot'!AA260+'4. Valtionosuudet'!Z260</f>
        <v>582</v>
      </c>
      <c r="H260" s="41">
        <f>'2. Toimintakate'!I260+'3. Verotulot'!AF260+'4. Valtionosuudet'!AG260</f>
        <v>4022.3758697130979</v>
      </c>
      <c r="I260" s="41">
        <f>'2. Toimintakate'!J260+'3. Verotulot'!AK260+'4. Valtionosuudet'!AN260</f>
        <v>4962.4099744541472</v>
      </c>
      <c r="J260" s="41">
        <f>'2. Toimintakate'!K260+'3. Verotulot'!AP260+'4. Valtionosuudet'!AU260</f>
        <v>3193.4625171326297</v>
      </c>
      <c r="K260" s="41">
        <f>'2. Toimintakate'!L260+'3. Verotulot'!AU260+'4. Valtionosuudet'!BC260</f>
        <v>6508.8066351209536</v>
      </c>
      <c r="L260" s="41">
        <f>'2. Toimintakate'!M260+'3. Verotulot'!AZ260+'4. Valtionosuudet'!BK260</f>
        <v>2226.4530725010818</v>
      </c>
      <c r="M260" s="41">
        <f>'2. Toimintakate'!N260+'3. Verotulot'!BE260+'4. Valtionosuudet'!BQ260</f>
        <v>4982.8020490586814</v>
      </c>
      <c r="N260" s="41">
        <f>'2. Toimintakate'!O260+'3. Verotulot'!BJ260+'4. Valtionosuudet'!BY260</f>
        <v>5182.5293489342494</v>
      </c>
      <c r="O260" s="41">
        <f>'2. Toimintakate'!P260+'3. Verotulot'!BO260+'4. Valtionosuudet'!CE260</f>
        <v>5343.4900104384633</v>
      </c>
      <c r="P260" s="41">
        <f>'2. Toimintakate'!Q260+'3. Verotulot'!BT260+'4. Valtionosuudet'!CK260</f>
        <v>6193.3181549609035</v>
      </c>
      <c r="T260" s="34">
        <v>783</v>
      </c>
      <c r="U260" s="88" t="s">
        <v>574</v>
      </c>
      <c r="V260" s="41" t="e">
        <f>C260/'1. Väestöennuste'!E260*1000</f>
        <v>#REF!</v>
      </c>
      <c r="W260" s="41">
        <f>D260/'1. Väestöennuste'!F260*1000</f>
        <v>696.47967945048651</v>
      </c>
      <c r="X260" s="41">
        <f>E260/'1. Väestöennuste'!G260*1000</f>
        <v>722.87411270462121</v>
      </c>
      <c r="Y260" s="41">
        <f>F260/'1. Väestöennuste'!H260*1000</f>
        <v>374.10071942446046</v>
      </c>
      <c r="Z260" s="41">
        <f>G260/'1. Väestöennuste'!I260*1000</f>
        <v>86.594256807022759</v>
      </c>
      <c r="AA260" s="41">
        <f>H260/'1. Väestöennuste'!J260*1000</f>
        <v>605.23260152168189</v>
      </c>
      <c r="AB260" s="41">
        <f>I260/'1. Väestöennuste'!K260*1000</f>
        <v>753.24984433123063</v>
      </c>
      <c r="AC260" s="41">
        <f>J260/'1. Väestöennuste'!L260*1000</f>
        <v>497.50156054410809</v>
      </c>
      <c r="AD260" s="41">
        <f>K260/'1. Väestöennuste'!M260*1000</f>
        <v>1020.6690661942848</v>
      </c>
      <c r="AE260" s="41">
        <f>L260/'1. Väestöennuste'!N260*1000</f>
        <v>351.95274620630443</v>
      </c>
      <c r="AF260" s="41">
        <f>M260/'1. Väestöennuste'!O260*1000</f>
        <v>796.48370349403478</v>
      </c>
      <c r="AG260" s="41">
        <f>N260/'1. Väestöennuste'!P260*1000</f>
        <v>837.91905399098619</v>
      </c>
      <c r="AH260" s="41">
        <f>O260/'1. Väestöennuste'!Q260*1000</f>
        <v>873.40470912691455</v>
      </c>
      <c r="AI260" s="41">
        <f>P260/'1. Väestöennuste'!R260*1000</f>
        <v>1023.3506534965143</v>
      </c>
    </row>
    <row r="261" spans="1:35" x14ac:dyDescent="0.2">
      <c r="A261" s="34">
        <v>785</v>
      </c>
      <c r="B261" s="88" t="s">
        <v>575</v>
      </c>
      <c r="C261" s="41" t="e">
        <f>'2. Toimintakate'!D261+'3. Verotulot'!G261+'4. Valtionosuudet'!#REF!</f>
        <v>#REF!</v>
      </c>
      <c r="D261" s="41">
        <f>'2. Toimintakate'!E261+'3. Verotulot'!L261+'4. Valtionosuudet'!H261</f>
        <v>1497</v>
      </c>
      <c r="E261" s="41">
        <f>'2. Toimintakate'!F261+'3. Verotulot'!Q261+'4. Valtionosuudet'!N261</f>
        <v>2150</v>
      </c>
      <c r="F261" s="41">
        <f>'2. Toimintakate'!G261+'3. Verotulot'!V261+'4. Valtionosuudet'!T261</f>
        <v>900</v>
      </c>
      <c r="G261" s="41">
        <f>'2. Toimintakate'!H261+'3. Verotulot'!AA261+'4. Valtionosuudet'!Z261</f>
        <v>766</v>
      </c>
      <c r="H261" s="41">
        <f>'2. Toimintakate'!I261+'3. Verotulot'!AF261+'4. Valtionosuudet'!AG261</f>
        <v>728.10722823981087</v>
      </c>
      <c r="I261" s="41">
        <f>'2. Toimintakate'!J261+'3. Verotulot'!AK261+'4. Valtionosuudet'!AN261</f>
        <v>1914.3368742363</v>
      </c>
      <c r="J261" s="41">
        <f>'2. Toimintakate'!K261+'3. Verotulot'!AP261+'4. Valtionosuudet'!AU261</f>
        <v>2799.1039872203692</v>
      </c>
      <c r="K261" s="41">
        <f>'2. Toimintakate'!L261+'3. Verotulot'!AU261+'4. Valtionosuudet'!BC261</f>
        <v>2894.1543804237672</v>
      </c>
      <c r="L261" s="41">
        <f>'2. Toimintakate'!M261+'3. Verotulot'!AZ261+'4. Valtionosuudet'!BK261</f>
        <v>2409.7341006038951</v>
      </c>
      <c r="M261" s="41">
        <f>'2. Toimintakate'!N261+'3. Verotulot'!BE261+'4. Valtionosuudet'!BQ261</f>
        <v>1856.8649096586514</v>
      </c>
      <c r="N261" s="41">
        <f>'2. Toimintakate'!O261+'3. Verotulot'!BJ261+'4. Valtionosuudet'!BY261</f>
        <v>1519.7315465754</v>
      </c>
      <c r="O261" s="41">
        <f>'2. Toimintakate'!P261+'3. Verotulot'!BO261+'4. Valtionosuudet'!CE261</f>
        <v>1354.097256279525</v>
      </c>
      <c r="P261" s="41">
        <f>'2. Toimintakate'!Q261+'3. Verotulot'!BT261+'4. Valtionosuudet'!CK261</f>
        <v>1575.8683130403024</v>
      </c>
      <c r="T261" s="34">
        <v>785</v>
      </c>
      <c r="U261" s="88" t="s">
        <v>575</v>
      </c>
      <c r="V261" s="41" t="e">
        <f>C261/'1. Väestöennuste'!E261*1000</f>
        <v>#REF!</v>
      </c>
      <c r="W261" s="41">
        <f>D261/'1. Väestöennuste'!F261*1000</f>
        <v>492.43421052631578</v>
      </c>
      <c r="X261" s="41">
        <f>E261/'1. Väestöennuste'!G261*1000</f>
        <v>731.04386263175786</v>
      </c>
      <c r="Y261" s="41">
        <f>F261/'1. Väestöennuste'!H261*1000</f>
        <v>313.69815266643428</v>
      </c>
      <c r="Z261" s="41">
        <f>G261/'1. Väestöennuste'!I261*1000</f>
        <v>274.35530085959886</v>
      </c>
      <c r="AA261" s="41">
        <f>H261/'1. Väestöennuste'!J261*1000</f>
        <v>266.02383202039124</v>
      </c>
      <c r="AB261" s="41">
        <f>I261/'1. Väestöennuste'!K261*1000</f>
        <v>716.1754112369249</v>
      </c>
      <c r="AC261" s="41">
        <f>J261/'1. Väestöennuste'!L261*1000</f>
        <v>1065.919263983385</v>
      </c>
      <c r="AD261" s="41">
        <f>K261/'1. Väestöennuste'!M261*1000</f>
        <v>1117.8657321065148</v>
      </c>
      <c r="AE261" s="41">
        <f>L261/'1. Väestöennuste'!N261*1000</f>
        <v>966.21255036242781</v>
      </c>
      <c r="AF261" s="41">
        <f>M261/'1. Väestöennuste'!O261*1000</f>
        <v>758.83322830349459</v>
      </c>
      <c r="AG261" s="41">
        <f>N261/'1. Väestöennuste'!P261*1000</f>
        <v>632.43093906591764</v>
      </c>
      <c r="AH261" s="41">
        <f>O261/'1. Väestöennuste'!Q261*1000</f>
        <v>573.28418978811396</v>
      </c>
      <c r="AI261" s="41">
        <f>P261/'1. Väestöennuste'!R261*1000</f>
        <v>677.79282281303335</v>
      </c>
    </row>
    <row r="262" spans="1:35" x14ac:dyDescent="0.2">
      <c r="A262" s="34">
        <v>790</v>
      </c>
      <c r="B262" s="88" t="s">
        <v>576</v>
      </c>
      <c r="C262" s="41" t="e">
        <f>'2. Toimintakate'!D262+'3. Verotulot'!G262+'4. Valtionosuudet'!#REF!</f>
        <v>#REF!</v>
      </c>
      <c r="D262" s="41">
        <f>'2. Toimintakate'!E262+'3. Verotulot'!L262+'4. Valtionosuudet'!H262</f>
        <v>7722</v>
      </c>
      <c r="E262" s="41">
        <f>'2. Toimintakate'!F262+'3. Verotulot'!Q262+'4. Valtionosuudet'!N262</f>
        <v>12797</v>
      </c>
      <c r="F262" s="41">
        <f>'2. Toimintakate'!G262+'3. Verotulot'!V262+'4. Valtionosuudet'!T262</f>
        <v>6577</v>
      </c>
      <c r="G262" s="41">
        <f>'2. Toimintakate'!H262+'3. Verotulot'!AA262+'4. Valtionosuudet'!Z262</f>
        <v>2052</v>
      </c>
      <c r="H262" s="41">
        <f>'2. Toimintakate'!I262+'3. Verotulot'!AF262+'4. Valtionosuudet'!AG262</f>
        <v>14961.130583299178</v>
      </c>
      <c r="I262" s="41">
        <f>'2. Toimintakate'!J262+'3. Verotulot'!AK262+'4. Valtionosuudet'!AN262</f>
        <v>13064.649101472445</v>
      </c>
      <c r="J262" s="41">
        <f>'2. Toimintakate'!K262+'3. Verotulot'!AP262+'4. Valtionosuudet'!AU262</f>
        <v>18792.86750323177</v>
      </c>
      <c r="K262" s="41">
        <f>'2. Toimintakate'!L262+'3. Verotulot'!AU262+'4. Valtionosuudet'!BC262</f>
        <v>18843.567598508362</v>
      </c>
      <c r="L262" s="41">
        <f>'2. Toimintakate'!M262+'3. Verotulot'!AZ262+'4. Valtionosuudet'!BK262</f>
        <v>14052.767668834722</v>
      </c>
      <c r="M262" s="41">
        <f>'2. Toimintakate'!N262+'3. Verotulot'!BE262+'4. Valtionosuudet'!BQ262</f>
        <v>11788.744539203504</v>
      </c>
      <c r="N262" s="41">
        <f>'2. Toimintakate'!O262+'3. Verotulot'!BJ262+'4. Valtionosuudet'!BY262</f>
        <v>12652.154672888915</v>
      </c>
      <c r="O262" s="41">
        <f>'2. Toimintakate'!P262+'3. Verotulot'!BO262+'4. Valtionosuudet'!CE262</f>
        <v>12898.833988147147</v>
      </c>
      <c r="P262" s="41">
        <f>'2. Toimintakate'!Q262+'3. Verotulot'!BT262+'4. Valtionosuudet'!CK262</f>
        <v>16073.370631786016</v>
      </c>
      <c r="T262" s="34">
        <v>790</v>
      </c>
      <c r="U262" s="88" t="s">
        <v>576</v>
      </c>
      <c r="V262" s="41" t="e">
        <f>C262/'1. Väestöennuste'!E262*1000</f>
        <v>#REF!</v>
      </c>
      <c r="W262" s="41">
        <f>D262/'1. Väestöennuste'!F262*1000</f>
        <v>308.11587263586307</v>
      </c>
      <c r="X262" s="41">
        <f>E262/'1. Väestöennuste'!G262*1000</f>
        <v>515.59226430298145</v>
      </c>
      <c r="Y262" s="41">
        <f>F262/'1. Väestöennuste'!H262*1000</f>
        <v>266.80459210579693</v>
      </c>
      <c r="Z262" s="41">
        <f>G262/'1. Väestöennuste'!I262*1000</f>
        <v>84.52444700745562</v>
      </c>
      <c r="AA262" s="41">
        <f>H262/'1. Väestöennuste'!J262*1000</f>
        <v>622.03270344666464</v>
      </c>
      <c r="AB262" s="41">
        <f>I262/'1. Väestöennuste'!K262*1000</f>
        <v>544.40574637354962</v>
      </c>
      <c r="AC262" s="41">
        <f>J262/'1. Väestöennuste'!L262*1000</f>
        <v>791.81206299956898</v>
      </c>
      <c r="AD262" s="41">
        <f>K262/'1. Väestöennuste'!M262*1000</f>
        <v>801.34244518428079</v>
      </c>
      <c r="AE262" s="41">
        <f>L262/'1. Väestöennuste'!N262*1000</f>
        <v>610.98989864498787</v>
      </c>
      <c r="AF262" s="41">
        <f>M262/'1. Väestöennuste'!O262*1000</f>
        <v>517.70868820884039</v>
      </c>
      <c r="AG262" s="41">
        <f>N262/'1. Väestöennuste'!P262*1000</f>
        <v>560.87218161578664</v>
      </c>
      <c r="AH262" s="41">
        <f>O262/'1. Väestöennuste'!Q262*1000</f>
        <v>577.10321632800083</v>
      </c>
      <c r="AI262" s="41">
        <f>P262/'1. Väestöennuste'!R262*1000</f>
        <v>725.5945572312213</v>
      </c>
    </row>
    <row r="263" spans="1:35" x14ac:dyDescent="0.2">
      <c r="A263" s="34">
        <v>791</v>
      </c>
      <c r="B263" s="88" t="s">
        <v>577</v>
      </c>
      <c r="C263" s="41" t="e">
        <f>'2. Toimintakate'!D263+'3. Verotulot'!G263+'4. Valtionosuudet'!#REF!</f>
        <v>#REF!</v>
      </c>
      <c r="D263" s="41">
        <f>'2. Toimintakate'!E263+'3. Verotulot'!L263+'4. Valtionosuudet'!H263</f>
        <v>-356</v>
      </c>
      <c r="E263" s="41">
        <f>'2. Toimintakate'!F263+'3. Verotulot'!Q263+'4. Valtionosuudet'!N263</f>
        <v>1668</v>
      </c>
      <c r="F263" s="41">
        <f>'2. Toimintakate'!G263+'3. Verotulot'!V263+'4. Valtionosuudet'!T263</f>
        <v>1061</v>
      </c>
      <c r="G263" s="41">
        <f>'2. Toimintakate'!H263+'3. Verotulot'!AA263+'4. Valtionosuudet'!Z263</f>
        <v>706</v>
      </c>
      <c r="H263" s="41">
        <f>'2. Toimintakate'!I263+'3. Verotulot'!AF263+'4. Valtionosuudet'!AG263</f>
        <v>1938.0297071816858</v>
      </c>
      <c r="I263" s="41">
        <f>'2. Toimintakate'!J263+'3. Verotulot'!AK263+'4. Valtionosuudet'!AN263</f>
        <v>2880.073958116227</v>
      </c>
      <c r="J263" s="41">
        <f>'2. Toimintakate'!K263+'3. Verotulot'!AP263+'4. Valtionosuudet'!AU263</f>
        <v>1926.7591494583939</v>
      </c>
      <c r="K263" s="41">
        <f>'2. Toimintakate'!L263+'3. Verotulot'!AU263+'4. Valtionosuudet'!BC263</f>
        <v>3390.2959660460092</v>
      </c>
      <c r="L263" s="41">
        <f>'2. Toimintakate'!M263+'3. Verotulot'!AZ263+'4. Valtionosuudet'!BK263</f>
        <v>2058.5882886450836</v>
      </c>
      <c r="M263" s="41">
        <f>'2. Toimintakate'!N263+'3. Verotulot'!BE263+'4. Valtionosuudet'!BQ263</f>
        <v>1090.459316415071</v>
      </c>
      <c r="N263" s="41">
        <f>'2. Toimintakate'!O263+'3. Verotulot'!BJ263+'4. Valtionosuudet'!BY263</f>
        <v>708.57814220068758</v>
      </c>
      <c r="O263" s="41">
        <f>'2. Toimintakate'!P263+'3. Verotulot'!BO263+'4. Valtionosuudet'!CE263</f>
        <v>683.58088566092647</v>
      </c>
      <c r="P263" s="41">
        <f>'2. Toimintakate'!Q263+'3. Verotulot'!BT263+'4. Valtionosuudet'!CK263</f>
        <v>1006.9804227251061</v>
      </c>
      <c r="T263" s="34">
        <v>791</v>
      </c>
      <c r="U263" s="88" t="s">
        <v>577</v>
      </c>
      <c r="V263" s="41" t="e">
        <f>C263/'1. Väestöennuste'!E263*1000</f>
        <v>#REF!</v>
      </c>
      <c r="W263" s="41">
        <f>D263/'1. Väestöennuste'!F263*1000</f>
        <v>-63.765000895575852</v>
      </c>
      <c r="X263" s="41">
        <f>E263/'1. Väestöennuste'!G263*1000</f>
        <v>306.22360932623462</v>
      </c>
      <c r="Y263" s="41">
        <f>F263/'1. Väestöennuste'!H263*1000</f>
        <v>200.15091492171288</v>
      </c>
      <c r="Z263" s="41">
        <f>G263/'1. Väestöennuste'!I263*1000</f>
        <v>134.9646339132097</v>
      </c>
      <c r="AA263" s="41">
        <f>H263/'1. Väestöennuste'!J263*1000</f>
        <v>372.4831265004201</v>
      </c>
      <c r="AB263" s="41">
        <f>I263/'1. Väestöennuste'!K263*1000</f>
        <v>561.3085086954253</v>
      </c>
      <c r="AC263" s="41">
        <f>J263/'1. Väestöennuste'!L263*1000</f>
        <v>383.12967776066694</v>
      </c>
      <c r="AD263" s="41">
        <f>K263/'1. Väestöennuste'!M263*1000</f>
        <v>687.54734659217388</v>
      </c>
      <c r="AE263" s="41">
        <f>L263/'1. Väestöennuste'!N263*1000</f>
        <v>425.59195547758605</v>
      </c>
      <c r="AF263" s="41">
        <f>M263/'1. Väestöennuste'!O263*1000</f>
        <v>229.23256599013476</v>
      </c>
      <c r="AG263" s="41">
        <f>N263/'1. Väestöennuste'!P263*1000</f>
        <v>151.43794447546219</v>
      </c>
      <c r="AH263" s="41">
        <f>O263/'1. Väestöennuste'!Q263*1000</f>
        <v>148.41096084692282</v>
      </c>
      <c r="AI263" s="41">
        <f>P263/'1. Väestöennuste'!R263*1000</f>
        <v>221.9485172415927</v>
      </c>
    </row>
    <row r="264" spans="1:35" x14ac:dyDescent="0.2">
      <c r="A264" s="34">
        <v>831</v>
      </c>
      <c r="B264" s="88" t="s">
        <v>578</v>
      </c>
      <c r="C264" s="41" t="e">
        <f>'2. Toimintakate'!D264+'3. Verotulot'!G264+'4. Valtionosuudet'!#REF!</f>
        <v>#REF!</v>
      </c>
      <c r="D264" s="41">
        <f>'2. Toimintakate'!E264+'3. Verotulot'!L264+'4. Valtionosuudet'!H264</f>
        <v>373</v>
      </c>
      <c r="E264" s="41">
        <f>'2. Toimintakate'!F264+'3. Verotulot'!Q264+'4. Valtionosuudet'!N264</f>
        <v>304</v>
      </c>
      <c r="F264" s="41">
        <f>'2. Toimintakate'!G264+'3. Verotulot'!V264+'4. Valtionosuudet'!T264</f>
        <v>1107</v>
      </c>
      <c r="G264" s="41">
        <f>'2. Toimintakate'!H264+'3. Verotulot'!AA264+'4. Valtionosuudet'!Z264</f>
        <v>1803</v>
      </c>
      <c r="H264" s="41">
        <f>'2. Toimintakate'!I264+'3. Verotulot'!AF264+'4. Valtionosuudet'!AG264</f>
        <v>2913.267934773663</v>
      </c>
      <c r="I264" s="41">
        <f>'2. Toimintakate'!J264+'3. Verotulot'!AK264+'4. Valtionosuudet'!AN264</f>
        <v>3647.6264442892762</v>
      </c>
      <c r="J264" s="41">
        <f>'2. Toimintakate'!K264+'3. Verotulot'!AP264+'4. Valtionosuudet'!AU264</f>
        <v>1220.2441315944961</v>
      </c>
      <c r="K264" s="41">
        <f>'2. Toimintakate'!L264+'3. Verotulot'!AU264+'4. Valtionosuudet'!BC264</f>
        <v>2892.8815686607695</v>
      </c>
      <c r="L264" s="41">
        <f>'2. Toimintakate'!M264+'3. Verotulot'!AZ264+'4. Valtionosuudet'!BK264</f>
        <v>1803.2572372583063</v>
      </c>
      <c r="M264" s="41">
        <f>'2. Toimintakate'!N264+'3. Verotulot'!BE264+'4. Valtionosuudet'!BQ264</f>
        <v>1281.2498544888258</v>
      </c>
      <c r="N264" s="41">
        <f>'2. Toimintakate'!O264+'3. Verotulot'!BJ264+'4. Valtionosuudet'!BY264</f>
        <v>718.42678825095027</v>
      </c>
      <c r="O264" s="41">
        <f>'2. Toimintakate'!P264+'3. Verotulot'!BO264+'4. Valtionosuudet'!CE264</f>
        <v>599.85333628897661</v>
      </c>
      <c r="P264" s="41">
        <f>'2. Toimintakate'!Q264+'3. Verotulot'!BT264+'4. Valtionosuudet'!CK264</f>
        <v>801.09487153453028</v>
      </c>
      <c r="T264" s="34">
        <v>831</v>
      </c>
      <c r="U264" s="88" t="s">
        <v>578</v>
      </c>
      <c r="V264" s="41" t="e">
        <f>C264/'1. Väestöennuste'!E264*1000</f>
        <v>#REF!</v>
      </c>
      <c r="W264" s="41">
        <f>D264/'1. Väestöennuste'!F264*1000</f>
        <v>77.193708609271525</v>
      </c>
      <c r="X264" s="41">
        <f>E264/'1. Väestöennuste'!G264*1000</f>
        <v>63.678257226644334</v>
      </c>
      <c r="Y264" s="41">
        <f>F264/'1. Väestöennuste'!H264*1000</f>
        <v>234.78260869565219</v>
      </c>
      <c r="Z264" s="41">
        <f>G264/'1. Väestöennuste'!I264*1000</f>
        <v>385.99871547848426</v>
      </c>
      <c r="AA264" s="41">
        <f>H264/'1. Väestöennuste'!J264*1000</f>
        <v>629.48745349474132</v>
      </c>
      <c r="AB264" s="41">
        <f>I264/'1. Väestöennuste'!K264*1000</f>
        <v>793.82512389320482</v>
      </c>
      <c r="AC264" s="41">
        <f>J264/'1. Väestöennuste'!L264*1000</f>
        <v>267.65609379129114</v>
      </c>
      <c r="AD264" s="41">
        <f>K264/'1. Väestöennuste'!M264*1000</f>
        <v>625.48790673746373</v>
      </c>
      <c r="AE264" s="41">
        <f>L264/'1. Väestöennuste'!N264*1000</f>
        <v>400.63480054616889</v>
      </c>
      <c r="AF264" s="41">
        <f>M264/'1. Väestöennuste'!O264*1000</f>
        <v>286.69721514630248</v>
      </c>
      <c r="AG264" s="41">
        <f>N264/'1. Väestöennuste'!P264*1000</f>
        <v>161.95373946144053</v>
      </c>
      <c r="AH264" s="41">
        <f>O264/'1. Väestöennuste'!Q264*1000</f>
        <v>136.14465190398926</v>
      </c>
      <c r="AI264" s="41">
        <f>P264/'1. Väestöennuste'!R264*1000</f>
        <v>183.10739920789263</v>
      </c>
    </row>
    <row r="265" spans="1:35" x14ac:dyDescent="0.2">
      <c r="A265" s="34">
        <v>832</v>
      </c>
      <c r="B265" s="88" t="s">
        <v>579</v>
      </c>
      <c r="C265" s="41" t="e">
        <f>'2. Toimintakate'!D265+'3. Verotulot'!G265+'4. Valtionosuudet'!#REF!</f>
        <v>#REF!</v>
      </c>
      <c r="D265" s="41">
        <f>'2. Toimintakate'!E265+'3. Verotulot'!L265+'4. Valtionosuudet'!H265</f>
        <v>3632</v>
      </c>
      <c r="E265" s="41">
        <f>'2. Toimintakate'!F265+'3. Verotulot'!Q265+'4. Valtionosuudet'!N265</f>
        <v>2384</v>
      </c>
      <c r="F265" s="41">
        <f>'2. Toimintakate'!G265+'3. Verotulot'!V265+'4. Valtionosuudet'!T265</f>
        <v>939</v>
      </c>
      <c r="G265" s="41">
        <f>'2. Toimintakate'!H265+'3. Verotulot'!AA265+'4. Valtionosuudet'!Z265</f>
        <v>1912</v>
      </c>
      <c r="H265" s="41">
        <f>'2. Toimintakate'!I265+'3. Verotulot'!AF265+'4. Valtionosuudet'!AG265</f>
        <v>4093.5788516948742</v>
      </c>
      <c r="I265" s="41">
        <f>'2. Toimintakate'!J265+'3. Verotulot'!AK265+'4. Valtionosuudet'!AN265</f>
        <v>3782.6488700697919</v>
      </c>
      <c r="J265" s="41">
        <f>'2. Toimintakate'!K265+'3. Verotulot'!AP265+'4. Valtionosuudet'!AU265</f>
        <v>4169.1332317861306</v>
      </c>
      <c r="K265" s="41">
        <f>'2. Toimintakate'!L265+'3. Verotulot'!AU265+'4. Valtionosuudet'!BC265</f>
        <v>2858.1876459746454</v>
      </c>
      <c r="L265" s="41">
        <f>'2. Toimintakate'!M265+'3. Verotulot'!AZ265+'4. Valtionosuudet'!BK265</f>
        <v>1769.0066427645179</v>
      </c>
      <c r="M265" s="41">
        <f>'2. Toimintakate'!N265+'3. Verotulot'!BE265+'4. Valtionosuudet'!BQ265</f>
        <v>1638.001410398183</v>
      </c>
      <c r="N265" s="41">
        <f>'2. Toimintakate'!O265+'3. Verotulot'!BJ265+'4. Valtionosuudet'!BY265</f>
        <v>831.11238355475325</v>
      </c>
      <c r="O265" s="41">
        <f>'2. Toimintakate'!P265+'3. Verotulot'!BO265+'4. Valtionosuudet'!CE265</f>
        <v>347.4251436646764</v>
      </c>
      <c r="P265" s="41">
        <f>'2. Toimintakate'!Q265+'3. Verotulot'!BT265+'4. Valtionosuudet'!CK265</f>
        <v>630.31434151082249</v>
      </c>
      <c r="T265" s="34">
        <v>832</v>
      </c>
      <c r="U265" s="88" t="s">
        <v>579</v>
      </c>
      <c r="V265" s="41" t="e">
        <f>C265/'1. Väestöennuste'!E265*1000</f>
        <v>#REF!</v>
      </c>
      <c r="W265" s="41">
        <f>D265/'1. Väestöennuste'!F265*1000</f>
        <v>878.78054681829178</v>
      </c>
      <c r="X265" s="41">
        <f>E265/'1. Väestöennuste'!G265*1000</f>
        <v>587.48151798915728</v>
      </c>
      <c r="Y265" s="41">
        <f>F265/'1. Väestöennuste'!H265*1000</f>
        <v>233.34990059642146</v>
      </c>
      <c r="Z265" s="41">
        <f>G265/'1. Väestöennuste'!I265*1000</f>
        <v>480.88531187122737</v>
      </c>
      <c r="AA265" s="41">
        <f>H265/'1. Väestöennuste'!J265*1000</f>
        <v>1045.3469999220824</v>
      </c>
      <c r="AB265" s="41">
        <f>I265/'1. Väestöennuste'!K265*1000</f>
        <v>966.6876744364406</v>
      </c>
      <c r="AC265" s="41">
        <f>J265/'1. Väestöennuste'!L265*1000</f>
        <v>1089.9694723623873</v>
      </c>
      <c r="AD265" s="41">
        <f>K265/'1. Väestöennuste'!M265*1000</f>
        <v>766.06476707977629</v>
      </c>
      <c r="AE265" s="41">
        <f>L265/'1. Väestöennuste'!N265*1000</f>
        <v>480.3167642586256</v>
      </c>
      <c r="AF265" s="41">
        <f>M265/'1. Väestöennuste'!O265*1000</f>
        <v>451.24005796093195</v>
      </c>
      <c r="AG265" s="41">
        <f>N265/'1. Väestöennuste'!P265*1000</f>
        <v>232.28406471625303</v>
      </c>
      <c r="AH265" s="41">
        <f>O265/'1. Väestöennuste'!Q265*1000</f>
        <v>98.504435402516705</v>
      </c>
      <c r="AI265" s="41">
        <f>P265/'1. Väestöennuste'!R265*1000</f>
        <v>181.33323979022512</v>
      </c>
    </row>
    <row r="266" spans="1:35" x14ac:dyDescent="0.2">
      <c r="A266" s="34">
        <v>833</v>
      </c>
      <c r="B266" s="88" t="s">
        <v>580</v>
      </c>
      <c r="C266" s="41" t="e">
        <f>'2. Toimintakate'!D266+'3. Verotulot'!G266+'4. Valtionosuudet'!#REF!</f>
        <v>#REF!</v>
      </c>
      <c r="D266" s="41">
        <f>'2. Toimintakate'!E266+'3. Verotulot'!L266+'4. Valtionosuudet'!H266</f>
        <v>818</v>
      </c>
      <c r="E266" s="41">
        <f>'2. Toimintakate'!F266+'3. Verotulot'!Q266+'4. Valtionosuudet'!N266</f>
        <v>1577</v>
      </c>
      <c r="F266" s="41">
        <f>'2. Toimintakate'!G266+'3. Verotulot'!V266+'4. Valtionosuudet'!T266</f>
        <v>1082</v>
      </c>
      <c r="G266" s="41">
        <f>'2. Toimintakate'!H266+'3. Verotulot'!AA266+'4. Valtionosuudet'!Z266</f>
        <v>921</v>
      </c>
      <c r="H266" s="41">
        <f>'2. Toimintakate'!I266+'3. Verotulot'!AF266+'4. Valtionosuudet'!AG266</f>
        <v>2584.0166105415374</v>
      </c>
      <c r="I266" s="41">
        <f>'2. Toimintakate'!J266+'3. Verotulot'!AK266+'4. Valtionosuudet'!AN266</f>
        <v>1396.1231874902187</v>
      </c>
      <c r="J266" s="41">
        <f>'2. Toimintakate'!K266+'3. Verotulot'!AP266+'4. Valtionosuudet'!AU266</f>
        <v>636.07370401623393</v>
      </c>
      <c r="K266" s="41">
        <f>'2. Toimintakate'!L266+'3. Verotulot'!AU266+'4. Valtionosuudet'!BC266</f>
        <v>859.66134390510024</v>
      </c>
      <c r="L266" s="41">
        <f>'2. Toimintakate'!M266+'3. Verotulot'!AZ266+'4. Valtionosuudet'!BK266</f>
        <v>491.5464318683064</v>
      </c>
      <c r="M266" s="41">
        <f>'2. Toimintakate'!N266+'3. Verotulot'!BE266+'4. Valtionosuudet'!BQ266</f>
        <v>463.98127027386727</v>
      </c>
      <c r="N266" s="41">
        <f>'2. Toimintakate'!O266+'3. Verotulot'!BJ266+'4. Valtionosuudet'!BY266</f>
        <v>321.92091029256108</v>
      </c>
      <c r="O266" s="41">
        <f>'2. Toimintakate'!P266+'3. Verotulot'!BO266+'4. Valtionosuudet'!CE266</f>
        <v>218.45933468264866</v>
      </c>
      <c r="P266" s="41">
        <f>'2. Toimintakate'!Q266+'3. Verotulot'!BT266+'4. Valtionosuudet'!CK266</f>
        <v>308.58501439529755</v>
      </c>
      <c r="T266" s="34">
        <v>833</v>
      </c>
      <c r="U266" s="88" t="s">
        <v>580</v>
      </c>
      <c r="V266" s="41" t="e">
        <f>C266/'1. Väestöennuste'!E266*1000</f>
        <v>#REF!</v>
      </c>
      <c r="W266" s="41">
        <f>D266/'1. Väestöennuste'!F266*1000</f>
        <v>504.31565967940816</v>
      </c>
      <c r="X266" s="41">
        <f>E266/'1. Väestöennuste'!G266*1000</f>
        <v>953.44619105199513</v>
      </c>
      <c r="Y266" s="41">
        <f>F266/'1. Väestöennuste'!H266*1000</f>
        <v>651.02286401925392</v>
      </c>
      <c r="Z266" s="41">
        <f>G266/'1. Väestöennuste'!I266*1000</f>
        <v>561.928004881025</v>
      </c>
      <c r="AA266" s="41">
        <f>H266/'1. Väestöennuste'!J266*1000</f>
        <v>1557.5748104530062</v>
      </c>
      <c r="AB266" s="41">
        <f>I266/'1. Väestöennuste'!K266*1000</f>
        <v>832.51233601086381</v>
      </c>
      <c r="AC266" s="41">
        <f>J266/'1. Väestöennuste'!L266*1000</f>
        <v>376.15239740758955</v>
      </c>
      <c r="AD266" s="41">
        <f>K266/'1. Väestöennuste'!M266*1000</f>
        <v>504.20020170387113</v>
      </c>
      <c r="AE266" s="41">
        <f>L266/'1. Väestöennuste'!N266*1000</f>
        <v>292.23925794786351</v>
      </c>
      <c r="AF266" s="41">
        <f>M266/'1. Väestöennuste'!O266*1000</f>
        <v>275.35980431683515</v>
      </c>
      <c r="AG266" s="41">
        <f>N266/'1. Väestöennuste'!P266*1000</f>
        <v>190.7114397467779</v>
      </c>
      <c r="AH266" s="41">
        <f>O266/'1. Väestöennuste'!Q266*1000</f>
        <v>129.03681906830991</v>
      </c>
      <c r="AI266" s="41">
        <f>P266/'1. Väestöennuste'!R266*1000</f>
        <v>182.05605569044104</v>
      </c>
    </row>
    <row r="267" spans="1:35" x14ac:dyDescent="0.2">
      <c r="A267" s="34">
        <v>834</v>
      </c>
      <c r="B267" s="88" t="s">
        <v>581</v>
      </c>
      <c r="C267" s="41" t="e">
        <f>'2. Toimintakate'!D267+'3. Verotulot'!G267+'4. Valtionosuudet'!#REF!</f>
        <v>#REF!</v>
      </c>
      <c r="D267" s="41">
        <f>'2. Toimintakate'!E267+'3. Verotulot'!L267+'4. Valtionosuudet'!H267</f>
        <v>1981</v>
      </c>
      <c r="E267" s="41">
        <f>'2. Toimintakate'!F267+'3. Verotulot'!Q267+'4. Valtionosuudet'!N267</f>
        <v>2350</v>
      </c>
      <c r="F267" s="41">
        <f>'2. Toimintakate'!G267+'3. Verotulot'!V267+'4. Valtionosuudet'!T267</f>
        <v>882</v>
      </c>
      <c r="G267" s="41">
        <f>'2. Toimintakate'!H267+'3. Verotulot'!AA267+'4. Valtionosuudet'!Z267</f>
        <v>-596</v>
      </c>
      <c r="H267" s="41">
        <f>'2. Toimintakate'!I267+'3. Verotulot'!AF267+'4. Valtionosuudet'!AG267</f>
        <v>3242.1237956303521</v>
      </c>
      <c r="I267" s="41">
        <f>'2. Toimintakate'!J267+'3. Verotulot'!AK267+'4. Valtionosuudet'!AN267</f>
        <v>3060.5057036267808</v>
      </c>
      <c r="J267" s="41">
        <f>'2. Toimintakate'!K267+'3. Verotulot'!AP267+'4. Valtionosuudet'!AU267</f>
        <v>5186.2669686586542</v>
      </c>
      <c r="K267" s="41">
        <f>'2. Toimintakate'!L267+'3. Verotulot'!AU267+'4. Valtionosuudet'!BC267</f>
        <v>3855.4736513031967</v>
      </c>
      <c r="L267" s="41">
        <f>'2. Toimintakate'!M267+'3. Verotulot'!AZ267+'4. Valtionosuudet'!BK267</f>
        <v>2486.2754187451737</v>
      </c>
      <c r="M267" s="41">
        <f>'2. Toimintakate'!N267+'3. Verotulot'!BE267+'4. Valtionosuudet'!BQ267</f>
        <v>2501.3882160790199</v>
      </c>
      <c r="N267" s="41">
        <f>'2. Toimintakate'!O267+'3. Verotulot'!BJ267+'4. Valtionosuudet'!BY267</f>
        <v>2898.2311497679466</v>
      </c>
      <c r="O267" s="41">
        <f>'2. Toimintakate'!P267+'3. Verotulot'!BO267+'4. Valtionosuudet'!CE267</f>
        <v>2561.1236086551417</v>
      </c>
      <c r="P267" s="41">
        <f>'2. Toimintakate'!Q267+'3. Verotulot'!BT267+'4. Valtionosuudet'!CK267</f>
        <v>3224.4838122813981</v>
      </c>
      <c r="T267" s="34">
        <v>834</v>
      </c>
      <c r="U267" s="88" t="s">
        <v>581</v>
      </c>
      <c r="V267" s="41" t="e">
        <f>C267/'1. Väestöennuste'!E267*1000</f>
        <v>#REF!</v>
      </c>
      <c r="W267" s="41">
        <f>D267/'1. Väestöennuste'!F267*1000</f>
        <v>317.41708059605833</v>
      </c>
      <c r="X267" s="41">
        <f>E267/'1. Väestöennuste'!G267*1000</f>
        <v>381.80341186027624</v>
      </c>
      <c r="Y267" s="41">
        <f>F267/'1. Väestöennuste'!H267*1000</f>
        <v>145.04193389245191</v>
      </c>
      <c r="Z267" s="41">
        <f>G267/'1. Väestöennuste'!I267*1000</f>
        <v>-99.085619285120544</v>
      </c>
      <c r="AA267" s="41">
        <f>H267/'1. Väestöennuste'!J267*1000</f>
        <v>538.91685432685381</v>
      </c>
      <c r="AB267" s="41">
        <f>I267/'1. Väestöennuste'!K267*1000</f>
        <v>512.90526288365686</v>
      </c>
      <c r="AC267" s="41">
        <f>J267/'1. Väestöennuste'!L267*1000</f>
        <v>882.1682205576891</v>
      </c>
      <c r="AD267" s="41">
        <f>K267/'1. Väestöennuste'!M267*1000</f>
        <v>659.73197318672078</v>
      </c>
      <c r="AE267" s="41">
        <f>L267/'1. Väestöennuste'!N267*1000</f>
        <v>429.03803602160031</v>
      </c>
      <c r="AF267" s="41">
        <f>M267/'1. Väestöennuste'!O267*1000</f>
        <v>435.47844987448121</v>
      </c>
      <c r="AG267" s="41">
        <f>N267/'1. Väestöennuste'!P267*1000</f>
        <v>508.90801576258934</v>
      </c>
      <c r="AH267" s="41">
        <f>O267/'1. Väestöennuste'!Q267*1000</f>
        <v>453.45672957775167</v>
      </c>
      <c r="AI267" s="41">
        <f>P267/'1. Väestöennuste'!R267*1000</f>
        <v>575.18441175194403</v>
      </c>
    </row>
    <row r="268" spans="1:35" x14ac:dyDescent="0.2">
      <c r="A268" s="34">
        <v>837</v>
      </c>
      <c r="B268" s="88" t="s">
        <v>582</v>
      </c>
      <c r="C268" s="41" t="e">
        <f>'2. Toimintakate'!D268+'3. Verotulot'!G268+'4. Valtionosuudet'!#REF!</f>
        <v>#REF!</v>
      </c>
      <c r="D268" s="41">
        <f>'2. Toimintakate'!E268+'3. Verotulot'!L268+'4. Valtionosuudet'!H268</f>
        <v>68519</v>
      </c>
      <c r="E268" s="41">
        <f>'2. Toimintakate'!F268+'3. Verotulot'!Q268+'4. Valtionosuudet'!N268</f>
        <v>66335</v>
      </c>
      <c r="F268" s="41">
        <f>'2. Toimintakate'!G268+'3. Verotulot'!V268+'4. Valtionosuudet'!T268</f>
        <v>25713</v>
      </c>
      <c r="G268" s="41">
        <f>'2. Toimintakate'!H268+'3. Verotulot'!AA268+'4. Valtionosuudet'!Z268</f>
        <v>64677</v>
      </c>
      <c r="H268" s="41">
        <f>'2. Toimintakate'!I268+'3. Verotulot'!AF268+'4. Valtionosuudet'!AG268</f>
        <v>137288.45728534868</v>
      </c>
      <c r="I268" s="41">
        <f>'2. Toimintakate'!J268+'3. Verotulot'!AK268+'4. Valtionosuudet'!AN268</f>
        <v>155935.99901292642</v>
      </c>
      <c r="J268" s="41">
        <f>'2. Toimintakate'!K268+'3. Verotulot'!AP268+'4. Valtionosuudet'!AU268</f>
        <v>117664.96400721755</v>
      </c>
      <c r="K268" s="41">
        <f>'2. Toimintakate'!L268+'3. Verotulot'!AU268+'4. Valtionosuudet'!BC268</f>
        <v>158492.94554601065</v>
      </c>
      <c r="L268" s="41">
        <f>'2. Toimintakate'!M268+'3. Verotulot'!AZ268+'4. Valtionosuudet'!BK268</f>
        <v>100638.75970411731</v>
      </c>
      <c r="M268" s="41">
        <f>'2. Toimintakate'!N268+'3. Verotulot'!BE268+'4. Valtionosuudet'!BQ268</f>
        <v>89694.691859962448</v>
      </c>
      <c r="N268" s="41">
        <f>'2. Toimintakate'!O268+'3. Verotulot'!BJ268+'4. Valtionosuudet'!BY268</f>
        <v>104366.39813830715</v>
      </c>
      <c r="O268" s="41">
        <f>'2. Toimintakate'!P268+'3. Verotulot'!BO268+'4. Valtionosuudet'!CE268</f>
        <v>109237.95798789008</v>
      </c>
      <c r="P268" s="41">
        <f>'2. Toimintakate'!Q268+'3. Verotulot'!BT268+'4. Valtionosuudet'!CK268</f>
        <v>120536.0708401578</v>
      </c>
      <c r="T268" s="34">
        <v>837</v>
      </c>
      <c r="U268" s="88" t="s">
        <v>582</v>
      </c>
      <c r="V268" s="41" t="e">
        <f>C268/'1. Väestöennuste'!E268*1000</f>
        <v>#REF!</v>
      </c>
      <c r="W268" s="41">
        <f>D268/'1. Väestöennuste'!F268*1000</f>
        <v>300.16120977421872</v>
      </c>
      <c r="X268" s="41">
        <f>E268/'1. Väestöennuste'!G268*1000</f>
        <v>286.10800809133372</v>
      </c>
      <c r="Y268" s="41">
        <f>F268/'1. Väestöennuste'!H268*1000</f>
        <v>109.30585489650952</v>
      </c>
      <c r="Z268" s="41">
        <f>G268/'1. Väestöennuste'!I268*1000</f>
        <v>271.59234063995967</v>
      </c>
      <c r="AA268" s="41">
        <f>H268/'1. Väestöennuste'!J268*1000</f>
        <v>569.64037560982649</v>
      </c>
      <c r="AB268" s="41">
        <f>I268/'1. Väestöennuste'!K268*1000</f>
        <v>638.49841748290055</v>
      </c>
      <c r="AC268" s="41">
        <f>J268/'1. Väestöennuste'!L268*1000</f>
        <v>472.53297674870208</v>
      </c>
      <c r="AD268" s="41">
        <f>K268/'1. Väestöennuste'!M268*1000</f>
        <v>621.41911604003394</v>
      </c>
      <c r="AE268" s="41">
        <f>L268/'1. Väestöennuste'!N268*1000</f>
        <v>396.46064576969746</v>
      </c>
      <c r="AF268" s="41">
        <f>M268/'1. Väestöennuste'!O268*1000</f>
        <v>349.56970317929449</v>
      </c>
      <c r="AG268" s="41">
        <f>N268/'1. Väestöennuste'!P268*1000</f>
        <v>402.66212228938173</v>
      </c>
      <c r="AH268" s="41">
        <f>O268/'1. Väestöennuste'!Q268*1000</f>
        <v>417.45341771684207</v>
      </c>
      <c r="AI268" s="41">
        <f>P268/'1. Väestöennuste'!R268*1000</f>
        <v>456.46882489778085</v>
      </c>
    </row>
    <row r="269" spans="1:35" x14ac:dyDescent="0.2">
      <c r="A269" s="34">
        <v>844</v>
      </c>
      <c r="B269" s="88" t="s">
        <v>583</v>
      </c>
      <c r="C269" s="41" t="e">
        <f>'2. Toimintakate'!D269+'3. Verotulot'!G269+'4. Valtionosuudet'!#REF!</f>
        <v>#REF!</v>
      </c>
      <c r="D269" s="41">
        <f>'2. Toimintakate'!E269+'3. Verotulot'!L269+'4. Valtionosuudet'!H269</f>
        <v>223</v>
      </c>
      <c r="E269" s="41">
        <f>'2. Toimintakate'!F269+'3. Verotulot'!Q269+'4. Valtionosuudet'!N269</f>
        <v>77</v>
      </c>
      <c r="F269" s="41">
        <f>'2. Toimintakate'!G269+'3. Verotulot'!V269+'4. Valtionosuudet'!T269</f>
        <v>-178</v>
      </c>
      <c r="G269" s="41">
        <f>'2. Toimintakate'!H269+'3. Verotulot'!AA269+'4. Valtionosuudet'!Z269</f>
        <v>-762</v>
      </c>
      <c r="H269" s="41">
        <f>'2. Toimintakate'!I269+'3. Verotulot'!AF269+'4. Valtionosuudet'!AG269</f>
        <v>43.183049896098964</v>
      </c>
      <c r="I269" s="41">
        <f>'2. Toimintakate'!J269+'3. Verotulot'!AK269+'4. Valtionosuudet'!AN269</f>
        <v>103.39540667384063</v>
      </c>
      <c r="J269" s="41">
        <f>'2. Toimintakate'!K269+'3. Verotulot'!AP269+'4. Valtionosuudet'!AU269</f>
        <v>244.26493351457157</v>
      </c>
      <c r="K269" s="41">
        <f>'2. Toimintakate'!L269+'3. Verotulot'!AU269+'4. Valtionosuudet'!BC269</f>
        <v>-206.93721773601033</v>
      </c>
      <c r="L269" s="41">
        <f>'2. Toimintakate'!M269+'3. Verotulot'!AZ269+'4. Valtionosuudet'!BK269</f>
        <v>350.20810178804504</v>
      </c>
      <c r="M269" s="41">
        <f>'2. Toimintakate'!N269+'3. Verotulot'!BE269+'4. Valtionosuudet'!BQ269</f>
        <v>44.891968509574099</v>
      </c>
      <c r="N269" s="41">
        <f>'2. Toimintakate'!O269+'3. Verotulot'!BJ269+'4. Valtionosuudet'!BY269</f>
        <v>121.20380918721912</v>
      </c>
      <c r="O269" s="41">
        <f>'2. Toimintakate'!P269+'3. Verotulot'!BO269+'4. Valtionosuudet'!CE269</f>
        <v>274.66601487309549</v>
      </c>
      <c r="P269" s="41">
        <f>'2. Toimintakate'!Q269+'3. Verotulot'!BT269+'4. Valtionosuudet'!CK269</f>
        <v>449.70686954592384</v>
      </c>
      <c r="T269" s="34">
        <v>844</v>
      </c>
      <c r="U269" s="88" t="s">
        <v>583</v>
      </c>
      <c r="V269" s="41" t="e">
        <f>C269/'1. Väestöennuste'!E269*1000</f>
        <v>#REF!</v>
      </c>
      <c r="W269" s="41">
        <f>D269/'1. Väestöennuste'!F269*1000</f>
        <v>138.42333954065796</v>
      </c>
      <c r="X269" s="41">
        <f>E269/'1. Väestöennuste'!G269*1000</f>
        <v>48.580441640378552</v>
      </c>
      <c r="Y269" s="41">
        <f>F269/'1. Väestöennuste'!H269*1000</f>
        <v>-113.59285258455648</v>
      </c>
      <c r="Z269" s="41">
        <f>G269/'1. Väestöennuste'!I269*1000</f>
        <v>-501.31578947368416</v>
      </c>
      <c r="AA269" s="41">
        <f>H269/'1. Väestöennuste'!J269*1000</f>
        <v>28.731237455821002</v>
      </c>
      <c r="AB269" s="41">
        <f>I269/'1. Väestöennuste'!K269*1000</f>
        <v>69.90899707494296</v>
      </c>
      <c r="AC269" s="41">
        <f>J269/'1. Väestöennuste'!L269*1000</f>
        <v>169.51071028075751</v>
      </c>
      <c r="AD269" s="41">
        <f>K269/'1. Väestöennuste'!M269*1000</f>
        <v>-146.5561032124719</v>
      </c>
      <c r="AE269" s="41">
        <f>L269/'1. Väestöennuste'!N269*1000</f>
        <v>244.21764420365764</v>
      </c>
      <c r="AF269" s="41">
        <f>M269/'1. Väestöennuste'!O269*1000</f>
        <v>31.569598107998662</v>
      </c>
      <c r="AG269" s="41">
        <f>N269/'1. Väestöennuste'!P269*1000</f>
        <v>85.838391775650933</v>
      </c>
      <c r="AH269" s="41">
        <f>O269/'1. Väestöennuste'!Q269*1000</f>
        <v>195.91013899650179</v>
      </c>
      <c r="AI269" s="41">
        <f>P269/'1. Väestöennuste'!R269*1000</f>
        <v>323.29753382165626</v>
      </c>
    </row>
    <row r="270" spans="1:35" x14ac:dyDescent="0.2">
      <c r="A270" s="34">
        <v>845</v>
      </c>
      <c r="B270" s="88" t="s">
        <v>584</v>
      </c>
      <c r="C270" s="41" t="e">
        <f>'2. Toimintakate'!D270+'3. Verotulot'!G270+'4. Valtionosuudet'!#REF!</f>
        <v>#REF!</v>
      </c>
      <c r="D270" s="41">
        <f>'2. Toimintakate'!E270+'3. Verotulot'!L270+'4. Valtionosuudet'!H270</f>
        <v>2985</v>
      </c>
      <c r="E270" s="41">
        <f>'2. Toimintakate'!F270+'3. Verotulot'!Q270+'4. Valtionosuudet'!N270</f>
        <v>1653</v>
      </c>
      <c r="F270" s="41">
        <f>'2. Toimintakate'!G270+'3. Verotulot'!V270+'4. Valtionosuudet'!T270</f>
        <v>1021</v>
      </c>
      <c r="G270" s="41">
        <f>'2. Toimintakate'!H270+'3. Verotulot'!AA270+'4. Valtionosuudet'!Z270</f>
        <v>47</v>
      </c>
      <c r="H270" s="41">
        <f>'2. Toimintakate'!I270+'3. Verotulot'!AF270+'4. Valtionosuudet'!AG270</f>
        <v>1635.8071516460623</v>
      </c>
      <c r="I270" s="41">
        <f>'2. Toimintakate'!J270+'3. Verotulot'!AK270+'4. Valtionosuudet'!AN270</f>
        <v>2854.7200312005989</v>
      </c>
      <c r="J270" s="41">
        <f>'2. Toimintakate'!K270+'3. Verotulot'!AP270+'4. Valtionosuudet'!AU270</f>
        <v>980.29489708128676</v>
      </c>
      <c r="K270" s="41">
        <f>'2. Toimintakate'!L270+'3. Verotulot'!AU270+'4. Valtionosuudet'!BC270</f>
        <v>2406.9148009678029</v>
      </c>
      <c r="L270" s="41">
        <f>'2. Toimintakate'!M270+'3. Verotulot'!AZ270+'4. Valtionosuudet'!BK270</f>
        <v>1146.5953106781353</v>
      </c>
      <c r="M270" s="41">
        <f>'2. Toimintakate'!N270+'3. Verotulot'!BE270+'4. Valtionosuudet'!BQ270</f>
        <v>825.57884602300237</v>
      </c>
      <c r="N270" s="41">
        <f>'2. Toimintakate'!O270+'3. Verotulot'!BJ270+'4. Valtionosuudet'!BY270</f>
        <v>620.21946370182468</v>
      </c>
      <c r="O270" s="41">
        <f>'2. Toimintakate'!P270+'3. Verotulot'!BO270+'4. Valtionosuudet'!CE270</f>
        <v>440.1956455098607</v>
      </c>
      <c r="P270" s="41">
        <f>'2. Toimintakate'!Q270+'3. Verotulot'!BT270+'4. Valtionosuudet'!CK270</f>
        <v>635.53987639334537</v>
      </c>
      <c r="T270" s="34">
        <v>845</v>
      </c>
      <c r="U270" s="88" t="s">
        <v>584</v>
      </c>
      <c r="V270" s="41" t="e">
        <f>C270/'1. Väestöennuste'!E270*1000</f>
        <v>#REF!</v>
      </c>
      <c r="W270" s="41">
        <f>D270/'1. Väestöennuste'!F270*1000</f>
        <v>963.21393998063888</v>
      </c>
      <c r="X270" s="41">
        <f>E270/'1. Väestöennuste'!G270*1000</f>
        <v>538.78748370273797</v>
      </c>
      <c r="Y270" s="41">
        <f>F270/'1. Väestöennuste'!H270*1000</f>
        <v>333.44219464402352</v>
      </c>
      <c r="Z270" s="41">
        <f>G270/'1. Väestöennuste'!I270*1000</f>
        <v>15.661446184605133</v>
      </c>
      <c r="AA270" s="41">
        <f>H270/'1. Väestöennuste'!J270*1000</f>
        <v>559.25030825506406</v>
      </c>
      <c r="AB270" s="41">
        <f>I270/'1. Väestöennuste'!K270*1000</f>
        <v>990.53436197106134</v>
      </c>
      <c r="AC270" s="41">
        <f>J270/'1. Väestöennuste'!L270*1000</f>
        <v>342.40129133122139</v>
      </c>
      <c r="AD270" s="41">
        <f>K270/'1. Väestöennuste'!M270*1000</f>
        <v>850.19950581695616</v>
      </c>
      <c r="AE270" s="41">
        <f>L270/'1. Väestöennuste'!N270*1000</f>
        <v>421.85257935177901</v>
      </c>
      <c r="AF270" s="41">
        <f>M270/'1. Väestöennuste'!O270*1000</f>
        <v>308.51227429858085</v>
      </c>
      <c r="AG270" s="41">
        <f>N270/'1. Väestöennuste'!P270*1000</f>
        <v>235.19888650050234</v>
      </c>
      <c r="AH270" s="41">
        <f>O270/'1. Väestöennuste'!Q270*1000</f>
        <v>169.43635316006956</v>
      </c>
      <c r="AI270" s="41">
        <f>P270/'1. Väestöennuste'!R270*1000</f>
        <v>248.16082639334064</v>
      </c>
    </row>
    <row r="271" spans="1:35" x14ac:dyDescent="0.2">
      <c r="A271" s="34">
        <v>846</v>
      </c>
      <c r="B271" s="88" t="s">
        <v>585</v>
      </c>
      <c r="C271" s="41" t="e">
        <f>'2. Toimintakate'!D271+'3. Verotulot'!G271+'4. Valtionosuudet'!#REF!</f>
        <v>#REF!</v>
      </c>
      <c r="D271" s="41">
        <f>'2. Toimintakate'!E271+'3. Verotulot'!L271+'4. Valtionosuudet'!H271</f>
        <v>711</v>
      </c>
      <c r="E271" s="41">
        <f>'2. Toimintakate'!F271+'3. Verotulot'!Q271+'4. Valtionosuudet'!N271</f>
        <v>2231</v>
      </c>
      <c r="F271" s="41">
        <f>'2. Toimintakate'!G271+'3. Verotulot'!V271+'4. Valtionosuudet'!T271</f>
        <v>1495</v>
      </c>
      <c r="G271" s="41">
        <f>'2. Toimintakate'!H271+'3. Verotulot'!AA271+'4. Valtionosuudet'!Z271</f>
        <v>2162</v>
      </c>
      <c r="H271" s="41">
        <f>'2. Toimintakate'!I271+'3. Verotulot'!AF271+'4. Valtionosuudet'!AG271</f>
        <v>4638.6035700283683</v>
      </c>
      <c r="I271" s="41">
        <f>'2. Toimintakate'!J271+'3. Verotulot'!AK271+'4. Valtionosuudet'!AN271</f>
        <v>3036.485683652787</v>
      </c>
      <c r="J271" s="41">
        <f>'2. Toimintakate'!K271+'3. Verotulot'!AP271+'4. Valtionosuudet'!AU271</f>
        <v>4118.0954203077636</v>
      </c>
      <c r="K271" s="41">
        <f>'2. Toimintakate'!L271+'3. Verotulot'!AU271+'4. Valtionosuudet'!BC271</f>
        <v>5579.6656308322508</v>
      </c>
      <c r="L271" s="41">
        <f>'2. Toimintakate'!M271+'3. Verotulot'!AZ271+'4. Valtionosuudet'!BK271</f>
        <v>4062.6429940463904</v>
      </c>
      <c r="M271" s="41">
        <f>'2. Toimintakate'!N271+'3. Verotulot'!BE271+'4. Valtionosuudet'!BQ271</f>
        <v>2875.0543767216677</v>
      </c>
      <c r="N271" s="41">
        <f>'2. Toimintakate'!O271+'3. Verotulot'!BJ271+'4. Valtionosuudet'!BY271</f>
        <v>2932.112650570024</v>
      </c>
      <c r="O271" s="41">
        <f>'2. Toimintakate'!P271+'3. Verotulot'!BO271+'4. Valtionosuudet'!CE271</f>
        <v>2517.1159212433213</v>
      </c>
      <c r="P271" s="41">
        <f>'2. Toimintakate'!Q271+'3. Verotulot'!BT271+'4. Valtionosuudet'!CK271</f>
        <v>3050.8313717903347</v>
      </c>
      <c r="T271" s="34">
        <v>846</v>
      </c>
      <c r="U271" s="88" t="s">
        <v>585</v>
      </c>
      <c r="V271" s="41" t="e">
        <f>C271/'1. Väestöennuste'!E271*1000</f>
        <v>#REF!</v>
      </c>
      <c r="W271" s="41">
        <f>D271/'1. Väestöennuste'!F271*1000</f>
        <v>132.57505127727018</v>
      </c>
      <c r="X271" s="41">
        <f>E271/'1. Väestöennuste'!G271*1000</f>
        <v>423.42000379578673</v>
      </c>
      <c r="Y271" s="41">
        <f>F271/'1. Väestöennuste'!H271*1000</f>
        <v>289.84102365257854</v>
      </c>
      <c r="Z271" s="41">
        <f>G271/'1. Väestöennuste'!I271*1000</f>
        <v>425.92592592592592</v>
      </c>
      <c r="AA271" s="41">
        <f>H271/'1. Väestöennuste'!J271*1000</f>
        <v>928.835316385336</v>
      </c>
      <c r="AB271" s="41">
        <f>I271/'1. Väestöennuste'!K271*1000</f>
        <v>613.18370025298611</v>
      </c>
      <c r="AC271" s="41">
        <f>J271/'1. Väestöennuste'!L271*1000</f>
        <v>846.99617859065484</v>
      </c>
      <c r="AD271" s="41">
        <f>K271/'1. Väestöennuste'!M271*1000</f>
        <v>1172.6913894140923</v>
      </c>
      <c r="AE271" s="41">
        <f>L271/'1. Väestöennuste'!N271*1000</f>
        <v>877.08182082175961</v>
      </c>
      <c r="AF271" s="41">
        <f>M271/'1. Väestöennuste'!O271*1000</f>
        <v>631.32507174388843</v>
      </c>
      <c r="AG271" s="41">
        <f>N271/'1. Väestöennuste'!P271*1000</f>
        <v>654.6355549386077</v>
      </c>
      <c r="AH271" s="41">
        <f>O271/'1. Väestöennuste'!Q271*1000</f>
        <v>571.16313166401665</v>
      </c>
      <c r="AI271" s="41">
        <f>P271/'1. Väestöennuste'!R271*1000</f>
        <v>703.92971199592398</v>
      </c>
    </row>
    <row r="272" spans="1:35" x14ac:dyDescent="0.2">
      <c r="A272" s="34">
        <v>848</v>
      </c>
      <c r="B272" s="88" t="s">
        <v>586</v>
      </c>
      <c r="C272" s="41" t="e">
        <f>'2. Toimintakate'!D272+'3. Verotulot'!G272+'4. Valtionosuudet'!#REF!</f>
        <v>#REF!</v>
      </c>
      <c r="D272" s="41">
        <f>'2. Toimintakate'!E272+'3. Verotulot'!L272+'4. Valtionosuudet'!H272</f>
        <v>1353</v>
      </c>
      <c r="E272" s="41">
        <f>'2. Toimintakate'!F272+'3. Verotulot'!Q272+'4. Valtionosuudet'!N272</f>
        <v>2029</v>
      </c>
      <c r="F272" s="41">
        <f>'2. Toimintakate'!G272+'3. Verotulot'!V272+'4. Valtionosuudet'!T272</f>
        <v>266</v>
      </c>
      <c r="G272" s="41">
        <f>'2. Toimintakate'!H272+'3. Verotulot'!AA272+'4. Valtionosuudet'!Z272</f>
        <v>106</v>
      </c>
      <c r="H272" s="41">
        <f>'2. Toimintakate'!I272+'3. Verotulot'!AF272+'4. Valtionosuudet'!AG272</f>
        <v>1539.690433072843</v>
      </c>
      <c r="I272" s="41">
        <f>'2. Toimintakate'!J272+'3. Verotulot'!AK272+'4. Valtionosuudet'!AN272</f>
        <v>1410.0037348383885</v>
      </c>
      <c r="J272" s="41">
        <f>'2. Toimintakate'!K272+'3. Verotulot'!AP272+'4. Valtionosuudet'!AU272</f>
        <v>1337.8170942343859</v>
      </c>
      <c r="K272" s="41">
        <f>'2. Toimintakate'!L272+'3. Verotulot'!AU272+'4. Valtionosuudet'!BC272</f>
        <v>1834.5185774872034</v>
      </c>
      <c r="L272" s="41">
        <f>'2. Toimintakate'!M272+'3. Verotulot'!AZ272+'4. Valtionosuudet'!BK272</f>
        <v>672.59406734959066</v>
      </c>
      <c r="M272" s="41">
        <f>'2. Toimintakate'!N272+'3. Verotulot'!BE272+'4. Valtionosuudet'!BQ272</f>
        <v>-958.57279158316487</v>
      </c>
      <c r="N272" s="41">
        <f>'2. Toimintakate'!O272+'3. Verotulot'!BJ272+'4. Valtionosuudet'!BY272</f>
        <v>-1411.7868549726254</v>
      </c>
      <c r="O272" s="41">
        <f>'2. Toimintakate'!P272+'3. Verotulot'!BO272+'4. Valtionosuudet'!CE272</f>
        <v>-1791.5873595172625</v>
      </c>
      <c r="P272" s="41">
        <f>'2. Toimintakate'!Q272+'3. Verotulot'!BT272+'4. Valtionosuudet'!CK272</f>
        <v>-1488.0602099485241</v>
      </c>
      <c r="T272" s="34">
        <v>848</v>
      </c>
      <c r="U272" s="88" t="s">
        <v>586</v>
      </c>
      <c r="V272" s="41" t="e">
        <f>C272/'1. Väestöennuste'!E272*1000</f>
        <v>#REF!</v>
      </c>
      <c r="W272" s="41">
        <f>D272/'1. Väestöennuste'!F272*1000</f>
        <v>290.78014184397159</v>
      </c>
      <c r="X272" s="41">
        <f>E272/'1. Väestöennuste'!G272*1000</f>
        <v>443.88536425289868</v>
      </c>
      <c r="Y272" s="41">
        <f>F272/'1. Väestöennuste'!H272*1000</f>
        <v>59.348505131637658</v>
      </c>
      <c r="Z272" s="41">
        <f>G272/'1. Väestöennuste'!I272*1000</f>
        <v>24.306351754184821</v>
      </c>
      <c r="AA272" s="41">
        <f>H272/'1. Väestöennuste'!J272*1000</f>
        <v>357.48558929018873</v>
      </c>
      <c r="AB272" s="41">
        <f>I272/'1. Väestöennuste'!K272*1000</f>
        <v>332.4696380189551</v>
      </c>
      <c r="AC272" s="41">
        <f>J272/'1. Väestöennuste'!L272*1000</f>
        <v>321.59064765249661</v>
      </c>
      <c r="AD272" s="41">
        <f>K272/'1. Väestöennuste'!M272*1000</f>
        <v>451.18509038052224</v>
      </c>
      <c r="AE272" s="41">
        <f>L272/'1. Väestöennuste'!N272*1000</f>
        <v>168.23263315397466</v>
      </c>
      <c r="AF272" s="41">
        <f>M272/'1. Väestöennuste'!O272*1000</f>
        <v>-243.35435176013326</v>
      </c>
      <c r="AG272" s="41">
        <f>N272/'1. Väestöennuste'!P272*1000</f>
        <v>-363.5814717931047</v>
      </c>
      <c r="AH272" s="41">
        <f>O272/'1. Väestöennuste'!Q272*1000</f>
        <v>-467.89954544718273</v>
      </c>
      <c r="AI272" s="41">
        <f>P272/'1. Väestöennuste'!R272*1000</f>
        <v>-393.97940427548957</v>
      </c>
    </row>
    <row r="273" spans="1:35" x14ac:dyDescent="0.2">
      <c r="A273" s="34">
        <v>849</v>
      </c>
      <c r="B273" s="88" t="s">
        <v>587</v>
      </c>
      <c r="C273" s="41" t="e">
        <f>'2. Toimintakate'!D273+'3. Verotulot'!G273+'4. Valtionosuudet'!#REF!</f>
        <v>#REF!</v>
      </c>
      <c r="D273" s="41">
        <f>'2. Toimintakate'!E273+'3. Verotulot'!L273+'4. Valtionosuudet'!H273</f>
        <v>1015</v>
      </c>
      <c r="E273" s="41">
        <f>'2. Toimintakate'!F273+'3. Verotulot'!Q273+'4. Valtionosuudet'!N273</f>
        <v>1876</v>
      </c>
      <c r="F273" s="41">
        <f>'2. Toimintakate'!G273+'3. Verotulot'!V273+'4. Valtionosuudet'!T273</f>
        <v>751</v>
      </c>
      <c r="G273" s="41">
        <f>'2. Toimintakate'!H273+'3. Verotulot'!AA273+'4. Valtionosuudet'!Z273</f>
        <v>326</v>
      </c>
      <c r="H273" s="41">
        <f>'2. Toimintakate'!I273+'3. Verotulot'!AF273+'4. Valtionosuudet'!AG273</f>
        <v>2394.5654346872125</v>
      </c>
      <c r="I273" s="41">
        <f>'2. Toimintakate'!J273+'3. Verotulot'!AK273+'4. Valtionosuudet'!AN273</f>
        <v>2634.2879641048567</v>
      </c>
      <c r="J273" s="41">
        <f>'2. Toimintakate'!K273+'3. Verotulot'!AP273+'4. Valtionosuudet'!AU273</f>
        <v>1883.4005884005255</v>
      </c>
      <c r="K273" s="41">
        <f>'2. Toimintakate'!L273+'3. Verotulot'!AU273+'4. Valtionosuudet'!BC273</f>
        <v>1435.9711175364801</v>
      </c>
      <c r="L273" s="41">
        <f>'2. Toimintakate'!M273+'3. Verotulot'!AZ273+'4. Valtionosuudet'!BK273</f>
        <v>1121.6499272164974</v>
      </c>
      <c r="M273" s="41">
        <f>'2. Toimintakate'!N273+'3. Verotulot'!BE273+'4. Valtionosuudet'!BQ273</f>
        <v>799.49849903603445</v>
      </c>
      <c r="N273" s="41">
        <f>'2. Toimintakate'!O273+'3. Verotulot'!BJ273+'4. Valtionosuudet'!BY273</f>
        <v>311.33181861848243</v>
      </c>
      <c r="O273" s="41">
        <f>'2. Toimintakate'!P273+'3. Verotulot'!BO273+'4. Valtionosuudet'!CE273</f>
        <v>-46.167138878676269</v>
      </c>
      <c r="P273" s="41">
        <f>'2. Toimintakate'!Q273+'3. Verotulot'!BT273+'4. Valtionosuudet'!CK273</f>
        <v>252.32608392397469</v>
      </c>
      <c r="T273" s="34">
        <v>849</v>
      </c>
      <c r="U273" s="88" t="s">
        <v>587</v>
      </c>
      <c r="V273" s="41" t="e">
        <f>C273/'1. Väestöennuste'!E273*1000</f>
        <v>#REF!</v>
      </c>
      <c r="W273" s="41">
        <f>D273/'1. Väestöennuste'!F273*1000</f>
        <v>314.04702970297029</v>
      </c>
      <c r="X273" s="41">
        <f>E273/'1. Väestöennuste'!G273*1000</f>
        <v>587.71929824561414</v>
      </c>
      <c r="Y273" s="41">
        <f>F273/'1. Väestöennuste'!H273*1000</f>
        <v>241.32390745501286</v>
      </c>
      <c r="Z273" s="41">
        <f>G273/'1. Väestöennuste'!I273*1000</f>
        <v>107.48433893834488</v>
      </c>
      <c r="AA273" s="41">
        <f>H273/'1. Väestöennuste'!J273*1000</f>
        <v>807.33831243668658</v>
      </c>
      <c r="AB273" s="41">
        <f>I273/'1. Väestöennuste'!K273*1000</f>
        <v>896.62626416094508</v>
      </c>
      <c r="AC273" s="41">
        <f>J273/'1. Väestöennuste'!L273*1000</f>
        <v>648.77732979694304</v>
      </c>
      <c r="AD273" s="41">
        <f>K273/'1. Väestöennuste'!M273*1000</f>
        <v>504.02636628167073</v>
      </c>
      <c r="AE273" s="41">
        <f>L273/'1. Väestöennuste'!N273*1000</f>
        <v>415.5798174199694</v>
      </c>
      <c r="AF273" s="41">
        <f>M273/'1. Väestöennuste'!O273*1000</f>
        <v>303.18486880395693</v>
      </c>
      <c r="AG273" s="41">
        <f>N273/'1. Väestöennuste'!P273*1000</f>
        <v>120.71803746354496</v>
      </c>
      <c r="AH273" s="41">
        <f>O273/'1. Väestöennuste'!Q273*1000</f>
        <v>-18.291259460648284</v>
      </c>
      <c r="AI273" s="41">
        <f>P273/'1. Väestöennuste'!R273*1000</f>
        <v>102.11496718898206</v>
      </c>
    </row>
    <row r="274" spans="1:35" x14ac:dyDescent="0.2">
      <c r="A274" s="34">
        <v>850</v>
      </c>
      <c r="B274" s="88" t="s">
        <v>588</v>
      </c>
      <c r="C274" s="41" t="e">
        <f>'2. Toimintakate'!D274+'3. Verotulot'!G274+'4. Valtionosuudet'!#REF!</f>
        <v>#REF!</v>
      </c>
      <c r="D274" s="41">
        <f>'2. Toimintakate'!E274+'3. Verotulot'!L274+'4. Valtionosuudet'!H274</f>
        <v>802</v>
      </c>
      <c r="E274" s="41">
        <f>'2. Toimintakate'!F274+'3. Verotulot'!Q274+'4. Valtionosuudet'!N274</f>
        <v>1407</v>
      </c>
      <c r="F274" s="41">
        <f>'2. Toimintakate'!G274+'3. Verotulot'!V274+'4. Valtionosuudet'!T274</f>
        <v>183</v>
      </c>
      <c r="G274" s="41">
        <f>'2. Toimintakate'!H274+'3. Verotulot'!AA274+'4. Valtionosuudet'!Z274</f>
        <v>-3140</v>
      </c>
      <c r="H274" s="41">
        <f>'2. Toimintakate'!I274+'3. Verotulot'!AF274+'4. Valtionosuudet'!AG274</f>
        <v>2315.8344974315996</v>
      </c>
      <c r="I274" s="41">
        <f>'2. Toimintakate'!J274+'3. Verotulot'!AK274+'4. Valtionosuudet'!AN274</f>
        <v>1048.3980529275595</v>
      </c>
      <c r="J274" s="41">
        <f>'2. Toimintakate'!K274+'3. Verotulot'!AP274+'4. Valtionosuudet'!AU274</f>
        <v>1196.0413871885057</v>
      </c>
      <c r="K274" s="41">
        <f>'2. Toimintakate'!L274+'3. Verotulot'!AU274+'4. Valtionosuudet'!BC274</f>
        <v>721.69894632492924</v>
      </c>
      <c r="L274" s="41">
        <f>'2. Toimintakate'!M274+'3. Verotulot'!AZ274+'4. Valtionosuudet'!BK274</f>
        <v>2011.6151631891944</v>
      </c>
      <c r="M274" s="41">
        <f>'2. Toimintakate'!N274+'3. Verotulot'!BE274+'4. Valtionosuudet'!BQ274</f>
        <v>132.56524415987951</v>
      </c>
      <c r="N274" s="41">
        <f>'2. Toimintakate'!O274+'3. Verotulot'!BJ274+'4. Valtionosuudet'!BY274</f>
        <v>144.36993472912673</v>
      </c>
      <c r="O274" s="41">
        <f>'2. Toimintakate'!P274+'3. Verotulot'!BO274+'4. Valtionosuudet'!CE274</f>
        <v>-53.595114862062928</v>
      </c>
      <c r="P274" s="41">
        <f>'2. Toimintakate'!Q274+'3. Verotulot'!BT274+'4. Valtionosuudet'!CK274</f>
        <v>-110.25932226294344</v>
      </c>
      <c r="T274" s="34">
        <v>850</v>
      </c>
      <c r="U274" s="88" t="s">
        <v>588</v>
      </c>
      <c r="V274" s="41" t="e">
        <f>C274/'1. Väestöennuste'!E274*1000</f>
        <v>#REF!</v>
      </c>
      <c r="W274" s="41">
        <f>D274/'1. Väestöennuste'!F274*1000</f>
        <v>329.76973684210526</v>
      </c>
      <c r="X274" s="41">
        <f>E274/'1. Väestöennuste'!G274*1000</f>
        <v>590.18456375838923</v>
      </c>
      <c r="Y274" s="41">
        <f>F274/'1. Väestöennuste'!H274*1000</f>
        <v>76.059850374064837</v>
      </c>
      <c r="Z274" s="41">
        <f>G274/'1. Väestöennuste'!I274*1000</f>
        <v>-1314.9078726968175</v>
      </c>
      <c r="AA274" s="41">
        <f>H274/'1. Väestöennuste'!J274*1000</f>
        <v>964.52915344922928</v>
      </c>
      <c r="AB274" s="41">
        <f>I274/'1. Väestöennuste'!K274*1000</f>
        <v>439.21158480417245</v>
      </c>
      <c r="AC274" s="41">
        <f>J274/'1. Väestöennuste'!L274*1000</f>
        <v>496.90128258766339</v>
      </c>
      <c r="AD274" s="41">
        <f>K274/'1. Väestöennuste'!M274*1000</f>
        <v>304.77151449532488</v>
      </c>
      <c r="AE274" s="41">
        <f>L274/'1. Väestöennuste'!N274*1000</f>
        <v>841.67998459798935</v>
      </c>
      <c r="AF274" s="41">
        <f>M274/'1. Väestöennuste'!O274*1000</f>
        <v>55.629561124582253</v>
      </c>
      <c r="AG274" s="41">
        <f>N274/'1. Väestöennuste'!P274*1000</f>
        <v>60.736194669384403</v>
      </c>
      <c r="AH274" s="41">
        <f>O274/'1. Väestöennuste'!Q274*1000</f>
        <v>-22.633072154587385</v>
      </c>
      <c r="AI274" s="41">
        <f>P274/'1. Väestöennuste'!R274*1000</f>
        <v>-46.819245122268974</v>
      </c>
    </row>
    <row r="275" spans="1:35" x14ac:dyDescent="0.2">
      <c r="A275" s="34">
        <v>851</v>
      </c>
      <c r="B275" s="88" t="s">
        <v>589</v>
      </c>
      <c r="C275" s="41" t="e">
        <f>'2. Toimintakate'!D275+'3. Verotulot'!G275+'4. Valtionosuudet'!#REF!</f>
        <v>#REF!</v>
      </c>
      <c r="D275" s="41">
        <f>'2. Toimintakate'!E275+'3. Verotulot'!L275+'4. Valtionosuudet'!H275</f>
        <v>6426</v>
      </c>
      <c r="E275" s="41">
        <f>'2. Toimintakate'!F275+'3. Verotulot'!Q275+'4. Valtionosuudet'!N275</f>
        <v>7543</v>
      </c>
      <c r="F275" s="41">
        <f>'2. Toimintakate'!G275+'3. Verotulot'!V275+'4. Valtionosuudet'!T275</f>
        <v>4707</v>
      </c>
      <c r="G275" s="41">
        <f>'2. Toimintakate'!H275+'3. Verotulot'!AA275+'4. Valtionosuudet'!Z275</f>
        <v>-99</v>
      </c>
      <c r="H275" s="41">
        <f>'2. Toimintakate'!I275+'3. Verotulot'!AF275+'4. Valtionosuudet'!AG275</f>
        <v>10470.729541113898</v>
      </c>
      <c r="I275" s="41">
        <f>'2. Toimintakate'!J275+'3. Verotulot'!AK275+'4. Valtionosuudet'!AN275</f>
        <v>6346.5215453680721</v>
      </c>
      <c r="J275" s="41">
        <f>'2. Toimintakate'!K275+'3. Verotulot'!AP275+'4. Valtionosuudet'!AU275</f>
        <v>5924.1076963352025</v>
      </c>
      <c r="K275" s="41">
        <f>'2. Toimintakate'!L275+'3. Verotulot'!AU275+'4. Valtionosuudet'!BC275</f>
        <v>15031.830487006753</v>
      </c>
      <c r="L275" s="41">
        <f>'2. Toimintakate'!M275+'3. Verotulot'!AZ275+'4. Valtionosuudet'!BK275</f>
        <v>4177.7857122771438</v>
      </c>
      <c r="M275" s="41">
        <f>'2. Toimintakate'!N275+'3. Verotulot'!BE275+'4. Valtionosuudet'!BQ275</f>
        <v>5175.376187743801</v>
      </c>
      <c r="N275" s="41">
        <f>'2. Toimintakate'!O275+'3. Verotulot'!BJ275+'4. Valtionosuudet'!BY275</f>
        <v>3947.9063951359785</v>
      </c>
      <c r="O275" s="41">
        <f>'2. Toimintakate'!P275+'3. Verotulot'!BO275+'4. Valtionosuudet'!CE275</f>
        <v>4580.6303873745765</v>
      </c>
      <c r="P275" s="41">
        <f>'2. Toimintakate'!Q275+'3. Verotulot'!BT275+'4. Valtionosuudet'!CK275</f>
        <v>6768.4604987442472</v>
      </c>
      <c r="T275" s="34">
        <v>851</v>
      </c>
      <c r="U275" s="88" t="s">
        <v>589</v>
      </c>
      <c r="V275" s="41" t="e">
        <f>C275/'1. Väestöennuste'!E275*1000</f>
        <v>#REF!</v>
      </c>
      <c r="W275" s="41">
        <f>D275/'1. Väestöennuste'!F275*1000</f>
        <v>290.54573405073018</v>
      </c>
      <c r="X275" s="41">
        <f>E275/'1. Väestöennuste'!G275*1000</f>
        <v>343.98941991973732</v>
      </c>
      <c r="Y275" s="41">
        <f>F275/'1. Väestöennuste'!H275*1000</f>
        <v>215.17714285714285</v>
      </c>
      <c r="Z275" s="41">
        <f>G275/'1. Väestöennuste'!I275*1000</f>
        <v>-4.5829089899083417</v>
      </c>
      <c r="AA275" s="41">
        <f>H275/'1. Väestöennuste'!J275*1000</f>
        <v>487.75933018651415</v>
      </c>
      <c r="AB275" s="41">
        <f>I275/'1. Väestöennuste'!K275*1000</f>
        <v>297.4978458429697</v>
      </c>
      <c r="AC275" s="41">
        <f>J275/'1. Väestöennuste'!L275*1000</f>
        <v>279.08360561243711</v>
      </c>
      <c r="AD275" s="41">
        <f>K275/'1. Väestöennuste'!M275*1000</f>
        <v>715.18843310527893</v>
      </c>
      <c r="AE275" s="41">
        <f>L275/'1. Väestöennuste'!N275*1000</f>
        <v>200.00889085968709</v>
      </c>
      <c r="AF275" s="41">
        <f>M275/'1. Väestöennuste'!O275*1000</f>
        <v>249.43976227799311</v>
      </c>
      <c r="AG275" s="41">
        <f>N275/'1. Väestöennuste'!P275*1000</f>
        <v>191.53436809314857</v>
      </c>
      <c r="AH275" s="41">
        <f>O275/'1. Väestöennuste'!Q275*1000</f>
        <v>223.70728596281387</v>
      </c>
      <c r="AI275" s="41">
        <f>P275/'1. Väestöennuste'!R275*1000</f>
        <v>332.76600288811443</v>
      </c>
    </row>
    <row r="276" spans="1:35" x14ac:dyDescent="0.2">
      <c r="A276" s="34">
        <v>853</v>
      </c>
      <c r="B276" s="88" t="s">
        <v>590</v>
      </c>
      <c r="C276" s="41" t="e">
        <f>'2. Toimintakate'!D276+'3. Verotulot'!G276+'4. Valtionosuudet'!#REF!</f>
        <v>#REF!</v>
      </c>
      <c r="D276" s="41">
        <f>'2. Toimintakate'!E276+'3. Verotulot'!L276+'4. Valtionosuudet'!H276</f>
        <v>24633</v>
      </c>
      <c r="E276" s="41">
        <f>'2. Toimintakate'!F276+'3. Verotulot'!Q276+'4. Valtionosuudet'!N276</f>
        <v>-19228</v>
      </c>
      <c r="F276" s="41">
        <f>'2. Toimintakate'!G276+'3. Verotulot'!V276+'4. Valtionosuudet'!T276</f>
        <v>-24813</v>
      </c>
      <c r="G276" s="41">
        <f>'2. Toimintakate'!H276+'3. Verotulot'!AA276+'4. Valtionosuudet'!Z276</f>
        <v>-24517</v>
      </c>
      <c r="H276" s="41">
        <f>'2. Toimintakate'!I276+'3. Verotulot'!AF276+'4. Valtionosuudet'!AG276</f>
        <v>29369.993312221894</v>
      </c>
      <c r="I276" s="41">
        <f>'2. Toimintakate'!J276+'3. Verotulot'!AK276+'4. Valtionosuudet'!AN276</f>
        <v>60769.472017035238</v>
      </c>
      <c r="J276" s="41">
        <f>'2. Toimintakate'!K276+'3. Verotulot'!AP276+'4. Valtionosuudet'!AU276</f>
        <v>38003.205419332022</v>
      </c>
      <c r="K276" s="41">
        <f>'2. Toimintakate'!L276+'3. Verotulot'!AU276+'4. Valtionosuudet'!BC276</f>
        <v>58844.895440684384</v>
      </c>
      <c r="L276" s="41">
        <f>'2. Toimintakate'!M276+'3. Verotulot'!AZ276+'4. Valtionosuudet'!BK276</f>
        <v>16355.837531887853</v>
      </c>
      <c r="M276" s="41">
        <f>'2. Toimintakate'!N276+'3. Verotulot'!BE276+'4. Valtionosuudet'!BQ276</f>
        <v>-33831.047801865818</v>
      </c>
      <c r="N276" s="41">
        <f>'2. Toimintakate'!O276+'3. Verotulot'!BJ276+'4. Valtionosuudet'!BY276</f>
        <v>-32545.228919173052</v>
      </c>
      <c r="O276" s="41">
        <f>'2. Toimintakate'!P276+'3. Verotulot'!BO276+'4. Valtionosuudet'!CE276</f>
        <v>-33035.750579808155</v>
      </c>
      <c r="P276" s="41">
        <f>'2. Toimintakate'!Q276+'3. Verotulot'!BT276+'4. Valtionosuudet'!CK276</f>
        <v>-26787.715373174753</v>
      </c>
      <c r="T276" s="34">
        <v>853</v>
      </c>
      <c r="U276" s="88" t="s">
        <v>590</v>
      </c>
      <c r="V276" s="41" t="e">
        <f>C276/'1. Väestöennuste'!E276*1000</f>
        <v>#REF!</v>
      </c>
      <c r="W276" s="41">
        <f>D276/'1. Väestöennuste'!F276*1000</f>
        <v>131.30317050809151</v>
      </c>
      <c r="X276" s="41">
        <f>E276/'1. Väestöennuste'!G276*1000</f>
        <v>-101.37660872361852</v>
      </c>
      <c r="Y276" s="41">
        <f>F276/'1. Väestöennuste'!H276*1000</f>
        <v>-129.68625052918765</v>
      </c>
      <c r="Z276" s="41">
        <f>G276/'1. Väestöennuste'!I276*1000</f>
        <v>-127.05610431069331</v>
      </c>
      <c r="AA276" s="41">
        <f>H276/'1. Väestöennuste'!J276*1000</f>
        <v>151.08720728954475</v>
      </c>
      <c r="AB276" s="41">
        <f>I276/'1. Väestöennuste'!K276*1000</f>
        <v>311.41952585637392</v>
      </c>
      <c r="AC276" s="41">
        <f>J276/'1. Väestöennuste'!L276*1000</f>
        <v>192.03236694963124</v>
      </c>
      <c r="AD276" s="41">
        <f>K276/'1. Väestöennuste'!M276*1000</f>
        <v>291.50907021437501</v>
      </c>
      <c r="AE276" s="41">
        <f>L276/'1. Väestöennuste'!N276*1000</f>
        <v>81.771419374598679</v>
      </c>
      <c r="AF276" s="41">
        <f>M276/'1. Väestöennuste'!O276*1000</f>
        <v>-168.1095973140358</v>
      </c>
      <c r="AG276" s="41">
        <f>N276/'1. Väestöennuste'!P276*1000</f>
        <v>-160.76481386669161</v>
      </c>
      <c r="AH276" s="41">
        <f>O276/'1. Väestöennuste'!Q276*1000</f>
        <v>-162.25412234379388</v>
      </c>
      <c r="AI276" s="41">
        <f>P276/'1. Väestöennuste'!R276*1000</f>
        <v>-130.83580573291761</v>
      </c>
    </row>
    <row r="277" spans="1:35" x14ac:dyDescent="0.2">
      <c r="A277" s="34">
        <v>854</v>
      </c>
      <c r="B277" s="88" t="s">
        <v>591</v>
      </c>
      <c r="C277" s="41" t="e">
        <f>'2. Toimintakate'!D277+'3. Verotulot'!G277+'4. Valtionosuudet'!#REF!</f>
        <v>#REF!</v>
      </c>
      <c r="D277" s="41">
        <f>'2. Toimintakate'!E277+'3. Verotulot'!L277+'4. Valtionosuudet'!H277</f>
        <v>595</v>
      </c>
      <c r="E277" s="41">
        <f>'2. Toimintakate'!F277+'3. Verotulot'!Q277+'4. Valtionosuudet'!N277</f>
        <v>-811</v>
      </c>
      <c r="F277" s="41">
        <f>'2. Toimintakate'!G277+'3. Verotulot'!V277+'4. Valtionosuudet'!T277</f>
        <v>483</v>
      </c>
      <c r="G277" s="41">
        <f>'2. Toimintakate'!H277+'3. Verotulot'!AA277+'4. Valtionosuudet'!Z277</f>
        <v>-1008</v>
      </c>
      <c r="H277" s="41">
        <f>'2. Toimintakate'!I277+'3. Verotulot'!AF277+'4. Valtionosuudet'!AG277</f>
        <v>1851.4906058852175</v>
      </c>
      <c r="I277" s="41">
        <f>'2. Toimintakate'!J277+'3. Verotulot'!AK277+'4. Valtionosuudet'!AN277</f>
        <v>1646.1046173320992</v>
      </c>
      <c r="J277" s="41">
        <f>'2. Toimintakate'!K277+'3. Verotulot'!AP277+'4. Valtionosuudet'!AU277</f>
        <v>983.39804289178028</v>
      </c>
      <c r="K277" s="41">
        <f>'2. Toimintakate'!L277+'3. Verotulot'!AU277+'4. Valtionosuudet'!BC277</f>
        <v>1713.7676126856263</v>
      </c>
      <c r="L277" s="41">
        <f>'2. Toimintakate'!M277+'3. Verotulot'!AZ277+'4. Valtionosuudet'!BK277</f>
        <v>658.49998897173373</v>
      </c>
      <c r="M277" s="41">
        <f>'2. Toimintakate'!N277+'3. Verotulot'!BE277+'4. Valtionosuudet'!BQ277</f>
        <v>-399.60217388451292</v>
      </c>
      <c r="N277" s="41">
        <f>'2. Toimintakate'!O277+'3. Verotulot'!BJ277+'4. Valtionosuudet'!BY277</f>
        <v>-563.8715933212261</v>
      </c>
      <c r="O277" s="41">
        <f>'2. Toimintakate'!P277+'3. Verotulot'!BO277+'4. Valtionosuudet'!CE277</f>
        <v>-553.34138031977909</v>
      </c>
      <c r="P277" s="41">
        <f>'2. Toimintakate'!Q277+'3. Verotulot'!BT277+'4. Valtionosuudet'!CK277</f>
        <v>-165.84160641222252</v>
      </c>
      <c r="T277" s="34">
        <v>854</v>
      </c>
      <c r="U277" s="88" t="s">
        <v>591</v>
      </c>
      <c r="V277" s="41" t="e">
        <f>C277/'1. Väestöennuste'!E277*1000</f>
        <v>#REF!</v>
      </c>
      <c r="W277" s="41">
        <f>D277/'1. Väestöennuste'!F277*1000</f>
        <v>166.90042075736324</v>
      </c>
      <c r="X277" s="41">
        <f>E277/'1. Väestöennuste'!G277*1000</f>
        <v>-231.05413105413106</v>
      </c>
      <c r="Y277" s="41">
        <f>F277/'1. Väestöennuste'!H277*1000</f>
        <v>140.48865619546248</v>
      </c>
      <c r="Z277" s="41">
        <f>G277/'1. Väestöennuste'!I277*1000</f>
        <v>-298.84375926474951</v>
      </c>
      <c r="AA277" s="41">
        <f>H277/'1. Väestöennuste'!J277*1000</f>
        <v>560.37851267712392</v>
      </c>
      <c r="AB277" s="41">
        <f>I277/'1. Väestöennuste'!K277*1000</f>
        <v>499.4249445789136</v>
      </c>
      <c r="AC277" s="41">
        <f>J277/'1. Väestöennuste'!L277*1000</f>
        <v>301.47088991164321</v>
      </c>
      <c r="AD277" s="41">
        <f>K277/'1. Väestöennuste'!M277*1000</f>
        <v>526.82680992487735</v>
      </c>
      <c r="AE277" s="41">
        <f>L277/'1. Väestöennuste'!N277*1000</f>
        <v>214.91514000382955</v>
      </c>
      <c r="AF277" s="41">
        <f>M277/'1. Väestöennuste'!O277*1000</f>
        <v>-132.5820085880932</v>
      </c>
      <c r="AG277" s="41">
        <f>N277/'1. Väestöennuste'!P277*1000</f>
        <v>-189.98369047211122</v>
      </c>
      <c r="AH277" s="41">
        <f>O277/'1. Väestöennuste'!Q277*1000</f>
        <v>-189.30598026677356</v>
      </c>
      <c r="AI277" s="41">
        <f>P277/'1. Väestöennuste'!R277*1000</f>
        <v>-57.563903648810317</v>
      </c>
    </row>
    <row r="278" spans="1:35" x14ac:dyDescent="0.2">
      <c r="A278" s="34">
        <v>857</v>
      </c>
      <c r="B278" s="88" t="s">
        <v>592</v>
      </c>
      <c r="C278" s="41" t="e">
        <f>'2. Toimintakate'!D278+'3. Verotulot'!G278+'4. Valtionosuudet'!#REF!</f>
        <v>#REF!</v>
      </c>
      <c r="D278" s="41">
        <f>'2. Toimintakate'!E278+'3. Verotulot'!L278+'4. Valtionosuudet'!H278</f>
        <v>1060</v>
      </c>
      <c r="E278" s="41">
        <f>'2. Toimintakate'!F278+'3. Verotulot'!Q278+'4. Valtionosuudet'!N278</f>
        <v>1208</v>
      </c>
      <c r="F278" s="41">
        <f>'2. Toimintakate'!G278+'3. Verotulot'!V278+'4. Valtionosuudet'!T278</f>
        <v>-165</v>
      </c>
      <c r="G278" s="41">
        <f>'2. Toimintakate'!H278+'3. Verotulot'!AA278+'4. Valtionosuudet'!Z278</f>
        <v>-326</v>
      </c>
      <c r="H278" s="41">
        <f>'2. Toimintakate'!I278+'3. Verotulot'!AF278+'4. Valtionosuudet'!AG278</f>
        <v>548.2163406265754</v>
      </c>
      <c r="I278" s="41">
        <f>'2. Toimintakate'!J278+'3. Verotulot'!AK278+'4. Valtionosuudet'!AN278</f>
        <v>448.24894513407889</v>
      </c>
      <c r="J278" s="41">
        <f>'2. Toimintakate'!K278+'3. Verotulot'!AP278+'4. Valtionosuudet'!AU278</f>
        <v>585.30300198141595</v>
      </c>
      <c r="K278" s="41">
        <f>'2. Toimintakate'!L278+'3. Verotulot'!AU278+'4. Valtionosuudet'!BC278</f>
        <v>-279.08994714317697</v>
      </c>
      <c r="L278" s="41">
        <f>'2. Toimintakate'!M278+'3. Verotulot'!AZ278+'4. Valtionosuudet'!BK278</f>
        <v>-539.36365691335141</v>
      </c>
      <c r="M278" s="41">
        <f>'2. Toimintakate'!N278+'3. Verotulot'!BE278+'4. Valtionosuudet'!BQ278</f>
        <v>-754.55796056600298</v>
      </c>
      <c r="N278" s="41">
        <f>'2. Toimintakate'!O278+'3. Verotulot'!BJ278+'4. Valtionosuudet'!BY278</f>
        <v>-970.74357148545687</v>
      </c>
      <c r="O278" s="41">
        <f>'2. Toimintakate'!P278+'3. Verotulot'!BO278+'4. Valtionosuudet'!CE278</f>
        <v>-968.81067902615791</v>
      </c>
      <c r="P278" s="41">
        <f>'2. Toimintakate'!Q278+'3. Verotulot'!BT278+'4. Valtionosuudet'!CK278</f>
        <v>-754.4425254233488</v>
      </c>
      <c r="T278" s="34">
        <v>857</v>
      </c>
      <c r="U278" s="88" t="s">
        <v>592</v>
      </c>
      <c r="V278" s="41" t="e">
        <f>C278/'1. Väestöennuste'!E278*1000</f>
        <v>#REF!</v>
      </c>
      <c r="W278" s="41">
        <f>D278/'1. Väestöennuste'!F278*1000</f>
        <v>401.05940219447598</v>
      </c>
      <c r="X278" s="41">
        <f>E278/'1. Väestöennuste'!G278*1000</f>
        <v>465.15209857527918</v>
      </c>
      <c r="Y278" s="41">
        <f>F278/'1. Väestöennuste'!H278*1000</f>
        <v>-64.680517444139554</v>
      </c>
      <c r="Z278" s="41">
        <f>G278/'1. Väestöennuste'!I278*1000</f>
        <v>-131.61081953976583</v>
      </c>
      <c r="AA278" s="41">
        <f>H278/'1. Väestöennuste'!J278*1000</f>
        <v>225.32525303188467</v>
      </c>
      <c r="AB278" s="41">
        <f>I278/'1. Väestöennuste'!K278*1000</f>
        <v>185.22683683226401</v>
      </c>
      <c r="AC278" s="41">
        <f>J278/'1. Väestöennuste'!L278*1000</f>
        <v>244.48746949933835</v>
      </c>
      <c r="AD278" s="41">
        <f>K278/'1. Väestöennuste'!M278*1000</f>
        <v>-120.66145574715823</v>
      </c>
      <c r="AE278" s="41">
        <f>L278/'1. Väestöennuste'!N278*1000</f>
        <v>-240.35813587939012</v>
      </c>
      <c r="AF278" s="41">
        <f>M278/'1. Väestöennuste'!O278*1000</f>
        <v>-341.89304964476804</v>
      </c>
      <c r="AG278" s="41">
        <f>N278/'1. Väestöennuste'!P278*1000</f>
        <v>-446.52418191603351</v>
      </c>
      <c r="AH278" s="41">
        <f>O278/'1. Väestöennuste'!Q278*1000</f>
        <v>-452.29256723910265</v>
      </c>
      <c r="AI278" s="41">
        <f>P278/'1. Väestöennuste'!R278*1000</f>
        <v>-357.04804799969179</v>
      </c>
    </row>
    <row r="279" spans="1:35" x14ac:dyDescent="0.2">
      <c r="A279" s="34">
        <v>858</v>
      </c>
      <c r="B279" s="88" t="s">
        <v>593</v>
      </c>
      <c r="C279" s="41" t="e">
        <f>'2. Toimintakate'!D279+'3. Verotulot'!G279+'4. Valtionosuudet'!#REF!</f>
        <v>#REF!</v>
      </c>
      <c r="D279" s="41">
        <f>'2. Toimintakate'!E279+'3. Verotulot'!L279+'4. Valtionosuudet'!H279</f>
        <v>15040</v>
      </c>
      <c r="E279" s="41">
        <f>'2. Toimintakate'!F279+'3. Verotulot'!Q279+'4. Valtionosuudet'!N279</f>
        <v>18614</v>
      </c>
      <c r="F279" s="41">
        <f>'2. Toimintakate'!G279+'3. Verotulot'!V279+'4. Valtionosuudet'!T279</f>
        <v>11627</v>
      </c>
      <c r="G279" s="41">
        <f>'2. Toimintakate'!H279+'3. Verotulot'!AA279+'4. Valtionosuudet'!Z279</f>
        <v>5649</v>
      </c>
      <c r="H279" s="41">
        <f>'2. Toimintakate'!I279+'3. Verotulot'!AF279+'4. Valtionosuudet'!AG279</f>
        <v>22056.730533962473</v>
      </c>
      <c r="I279" s="41">
        <f>'2. Toimintakate'!J279+'3. Verotulot'!AK279+'4. Valtionosuudet'!AN279</f>
        <v>30174.086477817251</v>
      </c>
      <c r="J279" s="41">
        <f>'2. Toimintakate'!K279+'3. Verotulot'!AP279+'4. Valtionosuudet'!AU279</f>
        <v>26521.663338431943</v>
      </c>
      <c r="K279" s="41">
        <f>'2. Toimintakate'!L279+'3. Verotulot'!AU279+'4. Valtionosuudet'!BC279</f>
        <v>39277.37776500691</v>
      </c>
      <c r="L279" s="41">
        <f>'2. Toimintakate'!M279+'3. Verotulot'!AZ279+'4. Valtionosuudet'!BK279</f>
        <v>29780.574056706071</v>
      </c>
      <c r="M279" s="41">
        <f>'2. Toimintakate'!N279+'3. Verotulot'!BE279+'4. Valtionosuudet'!BQ279</f>
        <v>25757.707405942438</v>
      </c>
      <c r="N279" s="41">
        <f>'2. Toimintakate'!O279+'3. Verotulot'!BJ279+'4. Valtionosuudet'!BY279</f>
        <v>24478.853579977313</v>
      </c>
      <c r="O279" s="41">
        <f>'2. Toimintakate'!P279+'3. Verotulot'!BO279+'4. Valtionosuudet'!CE279</f>
        <v>24481.656901835533</v>
      </c>
      <c r="P279" s="41">
        <f>'2. Toimintakate'!Q279+'3. Verotulot'!BT279+'4. Valtionosuudet'!CK279</f>
        <v>25749.862207148133</v>
      </c>
      <c r="T279" s="34">
        <v>858</v>
      </c>
      <c r="U279" s="88" t="s">
        <v>593</v>
      </c>
      <c r="V279" s="41" t="e">
        <f>C279/'1. Väestöennuste'!E279*1000</f>
        <v>#REF!</v>
      </c>
      <c r="W279" s="41">
        <f>D279/'1. Väestöennuste'!F279*1000</f>
        <v>389.75847413703741</v>
      </c>
      <c r="X279" s="41">
        <f>E279/'1. Väestöennuste'!G279*1000</f>
        <v>481.6539874760648</v>
      </c>
      <c r="Y279" s="41">
        <f>F279/'1. Väestöennuste'!H279*1000</f>
        <v>300.71901510448993</v>
      </c>
      <c r="Z279" s="41">
        <f>G279/'1. Väestöennuste'!I279*1000</f>
        <v>146.35094173424181</v>
      </c>
      <c r="AA279" s="41">
        <f>H279/'1. Väestöennuste'!J279*1000</f>
        <v>568.72161859480889</v>
      </c>
      <c r="AB279" s="41">
        <f>I279/'1. Väestöennuste'!K279*1000</f>
        <v>759.70810407918952</v>
      </c>
      <c r="AC279" s="41">
        <f>J279/'1. Väestöennuste'!L279*1000</f>
        <v>656.73690913312066</v>
      </c>
      <c r="AD279" s="41">
        <f>K279/'1. Väestöennuste'!M279*1000</f>
        <v>950.15186426549201</v>
      </c>
      <c r="AE279" s="41">
        <f>L279/'1. Väestöennuste'!N279*1000</f>
        <v>758.68275180765988</v>
      </c>
      <c r="AF279" s="41">
        <f>M279/'1. Väestöennuste'!O279*1000</f>
        <v>654.42992469174624</v>
      </c>
      <c r="AG279" s="41">
        <f>N279/'1. Väestöennuste'!P279*1000</f>
        <v>620.26741619098721</v>
      </c>
      <c r="AH279" s="41">
        <f>O279/'1. Väestöennuste'!Q279*1000</f>
        <v>618.69236547474179</v>
      </c>
      <c r="AI279" s="41">
        <f>P279/'1. Väestöennuste'!R279*1000</f>
        <v>649.16710046760784</v>
      </c>
    </row>
    <row r="280" spans="1:35" x14ac:dyDescent="0.2">
      <c r="A280" s="34">
        <v>859</v>
      </c>
      <c r="B280" s="88" t="s">
        <v>594</v>
      </c>
      <c r="C280" s="41" t="e">
        <f>'2. Toimintakate'!D280+'3. Verotulot'!G280+'4. Valtionosuudet'!#REF!</f>
        <v>#REF!</v>
      </c>
      <c r="D280" s="41">
        <f>'2. Toimintakate'!E280+'3. Verotulot'!L280+'4. Valtionosuudet'!H280</f>
        <v>1207</v>
      </c>
      <c r="E280" s="41">
        <f>'2. Toimintakate'!F280+'3. Verotulot'!Q280+'4. Valtionosuudet'!N280</f>
        <v>1633</v>
      </c>
      <c r="F280" s="41">
        <f>'2. Toimintakate'!G280+'3. Verotulot'!V280+'4. Valtionosuudet'!T280</f>
        <v>18</v>
      </c>
      <c r="G280" s="41">
        <f>'2. Toimintakate'!H280+'3. Verotulot'!AA280+'4. Valtionosuudet'!Z280</f>
        <v>2199</v>
      </c>
      <c r="H280" s="41">
        <f>'2. Toimintakate'!I280+'3. Verotulot'!AF280+'4. Valtionosuudet'!AG280</f>
        <v>3499.8760832433727</v>
      </c>
      <c r="I280" s="41">
        <f>'2. Toimintakate'!J280+'3. Verotulot'!AK280+'4. Valtionosuudet'!AN280</f>
        <v>2517.495489938512</v>
      </c>
      <c r="J280" s="41">
        <f>'2. Toimintakate'!K280+'3. Verotulot'!AP280+'4. Valtionosuudet'!AU280</f>
        <v>2451.4501700167057</v>
      </c>
      <c r="K280" s="41">
        <f>'2. Toimintakate'!L280+'3. Verotulot'!AU280+'4. Valtionosuudet'!BC280</f>
        <v>3188.8127489749895</v>
      </c>
      <c r="L280" s="41">
        <f>'2. Toimintakate'!M280+'3. Verotulot'!AZ280+'4. Valtionosuudet'!BK280</f>
        <v>2586.333659261265</v>
      </c>
      <c r="M280" s="41">
        <f>'2. Toimintakate'!N280+'3. Verotulot'!BE280+'4. Valtionosuudet'!BQ280</f>
        <v>1942.5472021361984</v>
      </c>
      <c r="N280" s="41">
        <f>'2. Toimintakate'!O280+'3. Verotulot'!BJ280+'4. Valtionosuudet'!BY280</f>
        <v>2080.9609721686975</v>
      </c>
      <c r="O280" s="41">
        <f>'2. Toimintakate'!P280+'3. Verotulot'!BO280+'4. Valtionosuudet'!CE280</f>
        <v>2189.9048061304529</v>
      </c>
      <c r="P280" s="41">
        <f>'2. Toimintakate'!Q280+'3. Verotulot'!BT280+'4. Valtionosuudet'!CK280</f>
        <v>2629.7702818941707</v>
      </c>
      <c r="T280" s="34">
        <v>859</v>
      </c>
      <c r="U280" s="88" t="s">
        <v>594</v>
      </c>
      <c r="V280" s="41" t="e">
        <f>C280/'1. Väestöennuste'!E280*1000</f>
        <v>#REF!</v>
      </c>
      <c r="W280" s="41">
        <f>D280/'1. Väestöennuste'!F280*1000</f>
        <v>178.81481481481481</v>
      </c>
      <c r="X280" s="41">
        <f>E280/'1. Väestöennuste'!G280*1000</f>
        <v>242.64487369985142</v>
      </c>
      <c r="Y280" s="41">
        <f>F280/'1. Väestöennuste'!H280*1000</f>
        <v>2.6635099141757914</v>
      </c>
      <c r="Z280" s="41">
        <f>G280/'1. Väestöennuste'!I280*1000</f>
        <v>331.32439355130327</v>
      </c>
      <c r="AA280" s="41">
        <f>H280/'1. Väestöennuste'!J280*1000</f>
        <v>530.04332625221446</v>
      </c>
      <c r="AB280" s="41">
        <f>I280/'1. Väestöennuste'!K280*1000</f>
        <v>381.84369633528166</v>
      </c>
      <c r="AC280" s="41">
        <f>J280/'1. Väestöennuste'!L280*1000</f>
        <v>373.58277507112246</v>
      </c>
      <c r="AD280" s="41">
        <f>K280/'1. Väestöennuste'!M280*1000</f>
        <v>488.70693470881065</v>
      </c>
      <c r="AE280" s="41">
        <f>L280/'1. Väestöennuste'!N280*1000</f>
        <v>399.55718511683375</v>
      </c>
      <c r="AF280" s="41">
        <f>M280/'1. Väestöennuste'!O280*1000</f>
        <v>302.10687436021749</v>
      </c>
      <c r="AG280" s="41">
        <f>N280/'1. Väestöennuste'!P280*1000</f>
        <v>326.0161322526551</v>
      </c>
      <c r="AH280" s="41">
        <f>O280/'1. Väestöennuste'!Q280*1000</f>
        <v>345.57437369898264</v>
      </c>
      <c r="AI280" s="41">
        <f>P280/'1. Väestöennuste'!R280*1000</f>
        <v>418.22046467782616</v>
      </c>
    </row>
    <row r="281" spans="1:35" x14ac:dyDescent="0.2">
      <c r="A281" s="34">
        <v>886</v>
      </c>
      <c r="B281" s="88" t="s">
        <v>595</v>
      </c>
      <c r="C281" s="41" t="e">
        <f>'2. Toimintakate'!D281+'3. Verotulot'!G281+'4. Valtionosuudet'!#REF!</f>
        <v>#REF!</v>
      </c>
      <c r="D281" s="41">
        <f>'2. Toimintakate'!E281+'3. Verotulot'!L281+'4. Valtionosuudet'!H281</f>
        <v>1350</v>
      </c>
      <c r="E281" s="41">
        <f>'2. Toimintakate'!F281+'3. Verotulot'!Q281+'4. Valtionosuudet'!N281</f>
        <v>2428</v>
      </c>
      <c r="F281" s="41">
        <f>'2. Toimintakate'!G281+'3. Verotulot'!V281+'4. Valtionosuudet'!T281</f>
        <v>2414</v>
      </c>
      <c r="G281" s="41">
        <f>'2. Toimintakate'!H281+'3. Verotulot'!AA281+'4. Valtionosuudet'!Z281</f>
        <v>2647</v>
      </c>
      <c r="H281" s="41">
        <f>'2. Toimintakate'!I281+'3. Verotulot'!AF281+'4. Valtionosuudet'!AG281</f>
        <v>7238.7310143490431</v>
      </c>
      <c r="I281" s="41">
        <f>'2. Toimintakate'!J281+'3. Verotulot'!AK281+'4. Valtionosuudet'!AN281</f>
        <v>3941.4292468678141</v>
      </c>
      <c r="J281" s="41">
        <f>'2. Toimintakate'!K281+'3. Verotulot'!AP281+'4. Valtionosuudet'!AU281</f>
        <v>3597.7152546125981</v>
      </c>
      <c r="K281" s="41">
        <f>'2. Toimintakate'!L281+'3. Verotulot'!AU281+'4. Valtionosuudet'!BC281</f>
        <v>8488.8259941203305</v>
      </c>
      <c r="L281" s="41">
        <f>'2. Toimintakate'!M281+'3. Verotulot'!AZ281+'4. Valtionosuudet'!BK281</f>
        <v>2523.5916399639191</v>
      </c>
      <c r="M281" s="41">
        <f>'2. Toimintakate'!N281+'3. Verotulot'!BE281+'4. Valtionosuudet'!BQ281</f>
        <v>3552.2394571792138</v>
      </c>
      <c r="N281" s="41">
        <f>'2. Toimintakate'!O281+'3. Verotulot'!BJ281+'4. Valtionosuudet'!BY281</f>
        <v>4104.6044907934393</v>
      </c>
      <c r="O281" s="41">
        <f>'2. Toimintakate'!P281+'3. Verotulot'!BO281+'4. Valtionosuudet'!CE281</f>
        <v>4309.5961029917817</v>
      </c>
      <c r="P281" s="41">
        <f>'2. Toimintakate'!Q281+'3. Verotulot'!BT281+'4. Valtionosuudet'!CK281</f>
        <v>5709.6646722466339</v>
      </c>
      <c r="T281" s="34">
        <v>886</v>
      </c>
      <c r="U281" s="88" t="s">
        <v>595</v>
      </c>
      <c r="V281" s="41" t="e">
        <f>C281/'1. Väestöennuste'!E281*1000</f>
        <v>#REF!</v>
      </c>
      <c r="W281" s="41">
        <f>D281/'1. Väestöennuste'!F281*1000</f>
        <v>101.41225961538461</v>
      </c>
      <c r="X281" s="41">
        <f>E281/'1. Väestöennuste'!G281*1000</f>
        <v>183.42524741255573</v>
      </c>
      <c r="Y281" s="41">
        <f>F281/'1. Väestöennuste'!H281*1000</f>
        <v>185.39282697181474</v>
      </c>
      <c r="Z281" s="41">
        <f>G281/'1. Väestöennuste'!I281*1000</f>
        <v>205.65612617512235</v>
      </c>
      <c r="AA281" s="41">
        <f>H281/'1. Väestöennuste'!J281*1000</f>
        <v>568.41232935603</v>
      </c>
      <c r="AB281" s="41">
        <f>I281/'1. Väestöennuste'!K281*1000</f>
        <v>311.10815746055835</v>
      </c>
      <c r="AC281" s="41">
        <f>J281/'1. Väestöennuste'!L281*1000</f>
        <v>285.55561985971889</v>
      </c>
      <c r="AD281" s="41">
        <f>K281/'1. Väestöennuste'!M281*1000</f>
        <v>677.31796011492304</v>
      </c>
      <c r="AE281" s="41">
        <f>L281/'1. Väestöennuste'!N281*1000</f>
        <v>205.43728752555512</v>
      </c>
      <c r="AF281" s="41">
        <f>M281/'1. Väestöennuste'!O281*1000</f>
        <v>291.95688807259091</v>
      </c>
      <c r="AG281" s="41">
        <f>N281/'1. Väestöennuste'!P281*1000</f>
        <v>340.68762373783528</v>
      </c>
      <c r="AH281" s="41">
        <f>O281/'1. Väestöennuste'!Q281*1000</f>
        <v>361.33110614503073</v>
      </c>
      <c r="AI281" s="41">
        <f>P281/'1. Väestöennuste'!R281*1000</f>
        <v>483.82888503064436</v>
      </c>
    </row>
    <row r="282" spans="1:35" x14ac:dyDescent="0.2">
      <c r="A282" s="34">
        <v>887</v>
      </c>
      <c r="B282" s="88" t="s">
        <v>596</v>
      </c>
      <c r="C282" s="41" t="e">
        <f>'2. Toimintakate'!D282+'3. Verotulot'!G282+'4. Valtionosuudet'!#REF!</f>
        <v>#REF!</v>
      </c>
      <c r="D282" s="41">
        <f>'2. Toimintakate'!E282+'3. Verotulot'!L282+'4. Valtionosuudet'!H282</f>
        <v>1387</v>
      </c>
      <c r="E282" s="41">
        <f>'2. Toimintakate'!F282+'3. Verotulot'!Q282+'4. Valtionosuudet'!N282</f>
        <v>-1</v>
      </c>
      <c r="F282" s="41">
        <f>'2. Toimintakate'!G282+'3. Verotulot'!V282+'4. Valtionosuudet'!T282</f>
        <v>1929</v>
      </c>
      <c r="G282" s="41">
        <f>'2. Toimintakate'!H282+'3. Verotulot'!AA282+'4. Valtionosuudet'!Z282</f>
        <v>330</v>
      </c>
      <c r="H282" s="41">
        <f>'2. Toimintakate'!I282+'3. Verotulot'!AF282+'4. Valtionosuudet'!AG282</f>
        <v>1523.1898579197532</v>
      </c>
      <c r="I282" s="41">
        <f>'2. Toimintakate'!J282+'3. Verotulot'!AK282+'4. Valtionosuudet'!AN282</f>
        <v>2120.044313876886</v>
      </c>
      <c r="J282" s="41">
        <f>'2. Toimintakate'!K282+'3. Verotulot'!AP282+'4. Valtionosuudet'!AU282</f>
        <v>795.53818893254356</v>
      </c>
      <c r="K282" s="41">
        <f>'2. Toimintakate'!L282+'3. Verotulot'!AU282+'4. Valtionosuudet'!BC282</f>
        <v>1104.0609057099605</v>
      </c>
      <c r="L282" s="41">
        <f>'2. Toimintakate'!M282+'3. Verotulot'!AZ282+'4. Valtionosuudet'!BK282</f>
        <v>1358.8612729791225</v>
      </c>
      <c r="M282" s="41">
        <f>'2. Toimintakate'!N282+'3. Verotulot'!BE282+'4. Valtionosuudet'!BQ282</f>
        <v>458.48278961678352</v>
      </c>
      <c r="N282" s="41">
        <f>'2. Toimintakate'!O282+'3. Verotulot'!BJ282+'4. Valtionosuudet'!BY282</f>
        <v>503.98248404847345</v>
      </c>
      <c r="O282" s="41">
        <f>'2. Toimintakate'!P282+'3. Verotulot'!BO282+'4. Valtionosuudet'!CE282</f>
        <v>459.63973903981969</v>
      </c>
      <c r="P282" s="41">
        <f>'2. Toimintakate'!Q282+'3. Verotulot'!BT282+'4. Valtionosuudet'!CK282</f>
        <v>885.47526487219011</v>
      </c>
      <c r="T282" s="34">
        <v>887</v>
      </c>
      <c r="U282" s="88" t="s">
        <v>596</v>
      </c>
      <c r="V282" s="41" t="e">
        <f>C282/'1. Väestöennuste'!E282*1000</f>
        <v>#REF!</v>
      </c>
      <c r="W282" s="41">
        <f>D282/'1. Väestöennuste'!F282*1000</f>
        <v>285.50843968711405</v>
      </c>
      <c r="X282" s="41">
        <f>E282/'1. Väestöennuste'!G282*1000</f>
        <v>-0.20708221163802029</v>
      </c>
      <c r="Y282" s="41">
        <f>F282/'1. Väestöennuste'!H282*1000</f>
        <v>402.54590984974959</v>
      </c>
      <c r="Z282" s="41">
        <f>G282/'1. Väestöennuste'!I282*1000</f>
        <v>70.392491467576804</v>
      </c>
      <c r="AA282" s="41">
        <f>H282/'1. Väestöennuste'!J282*1000</f>
        <v>327.99092547798301</v>
      </c>
      <c r="AB282" s="41">
        <f>I282/'1. Väestöennuste'!K282*1000</f>
        <v>454.06817602846132</v>
      </c>
      <c r="AC282" s="41">
        <f>J282/'1. Väestöennuste'!L282*1000</f>
        <v>174.11647820804194</v>
      </c>
      <c r="AD282" s="41">
        <f>K282/'1. Väestöennuste'!M282*1000</f>
        <v>241.69459406960607</v>
      </c>
      <c r="AE282" s="41">
        <f>L282/'1. Väestöennuste'!N282*1000</f>
        <v>306.18775867037465</v>
      </c>
      <c r="AF282" s="41">
        <f>M282/'1. Väestöennuste'!O282*1000</f>
        <v>104.43799307899397</v>
      </c>
      <c r="AG282" s="41">
        <f>N282/'1. Väestöennuste'!P282*1000</f>
        <v>115.9646764952769</v>
      </c>
      <c r="AH282" s="41">
        <f>O282/'1. Väestöennuste'!Q282*1000</f>
        <v>106.74401742680438</v>
      </c>
      <c r="AI282" s="41">
        <f>P282/'1. Väestöennuste'!R282*1000</f>
        <v>207.56569734462965</v>
      </c>
    </row>
    <row r="283" spans="1:35" x14ac:dyDescent="0.2">
      <c r="A283" s="34">
        <v>889</v>
      </c>
      <c r="B283" s="88" t="s">
        <v>597</v>
      </c>
      <c r="C283" s="41" t="e">
        <f>'2. Toimintakate'!D283+'3. Verotulot'!G283+'4. Valtionosuudet'!#REF!</f>
        <v>#REF!</v>
      </c>
      <c r="D283" s="41">
        <f>'2. Toimintakate'!E283+'3. Verotulot'!L283+'4. Valtionosuudet'!H283</f>
        <v>2514</v>
      </c>
      <c r="E283" s="41">
        <f>'2. Toimintakate'!F283+'3. Verotulot'!Q283+'4. Valtionosuudet'!N283</f>
        <v>2503</v>
      </c>
      <c r="F283" s="41">
        <f>'2. Toimintakate'!G283+'3. Verotulot'!V283+'4. Valtionosuudet'!T283</f>
        <v>1617</v>
      </c>
      <c r="G283" s="41">
        <f>'2. Toimintakate'!H283+'3. Verotulot'!AA283+'4. Valtionosuudet'!Z283</f>
        <v>1372</v>
      </c>
      <c r="H283" s="41">
        <f>'2. Toimintakate'!I283+'3. Verotulot'!AF283+'4. Valtionosuudet'!AG283</f>
        <v>1892.1989130087568</v>
      </c>
      <c r="I283" s="41">
        <f>'2. Toimintakate'!J283+'3. Verotulot'!AK283+'4. Valtionosuudet'!AN283</f>
        <v>2335.526485927634</v>
      </c>
      <c r="J283" s="41">
        <f>'2. Toimintakate'!K283+'3. Verotulot'!AP283+'4. Valtionosuudet'!AU283</f>
        <v>2832.8686487324194</v>
      </c>
      <c r="K283" s="41">
        <f>'2. Toimintakate'!L283+'3. Verotulot'!AU283+'4. Valtionosuudet'!BC283</f>
        <v>2150.2363878051847</v>
      </c>
      <c r="L283" s="41">
        <f>'2. Toimintakate'!M283+'3. Verotulot'!AZ283+'4. Valtionosuudet'!BK283</f>
        <v>1016.4501934394502</v>
      </c>
      <c r="M283" s="41">
        <f>'2. Toimintakate'!N283+'3. Verotulot'!BE283+'4. Valtionosuudet'!BQ283</f>
        <v>790.95003308697233</v>
      </c>
      <c r="N283" s="41">
        <f>'2. Toimintakate'!O283+'3. Verotulot'!BJ283+'4. Valtionosuudet'!BY283</f>
        <v>606.9555040850064</v>
      </c>
      <c r="O283" s="41">
        <f>'2. Toimintakate'!P283+'3. Verotulot'!BO283+'4. Valtionosuudet'!CE283</f>
        <v>417.69010497056206</v>
      </c>
      <c r="P283" s="41">
        <f>'2. Toimintakate'!Q283+'3. Verotulot'!BT283+'4. Valtionosuudet'!CK283</f>
        <v>646.38945775999582</v>
      </c>
      <c r="T283" s="34">
        <v>889</v>
      </c>
      <c r="U283" s="88" t="s">
        <v>597</v>
      </c>
      <c r="V283" s="41" t="e">
        <f>C283/'1. Väestöennuste'!E283*1000</f>
        <v>#REF!</v>
      </c>
      <c r="W283" s="41">
        <f>D283/'1. Väestöennuste'!F283*1000</f>
        <v>890.22662889518415</v>
      </c>
      <c r="X283" s="41">
        <f>E283/'1. Väestöennuste'!G283*1000</f>
        <v>904.26300578034682</v>
      </c>
      <c r="Y283" s="41">
        <f>F283/'1. Väestöennuste'!H283*1000</f>
        <v>598.44559585492232</v>
      </c>
      <c r="Z283" s="41">
        <f>G283/'1. Väestöennuste'!I283*1000</f>
        <v>512.70553064275032</v>
      </c>
      <c r="AA283" s="41">
        <f>H283/'1. Väestöennuste'!J283*1000</f>
        <v>722.48908476852114</v>
      </c>
      <c r="AB283" s="41">
        <f>I283/'1. Väestöennuste'!K283*1000</f>
        <v>909.47293065717838</v>
      </c>
      <c r="AC283" s="41">
        <f>J283/'1. Väestöennuste'!L283*1000</f>
        <v>1122.8175381420608</v>
      </c>
      <c r="AD283" s="41">
        <f>K283/'1. Väestöennuste'!M283*1000</f>
        <v>863.20208261950404</v>
      </c>
      <c r="AE283" s="41">
        <f>L283/'1. Väestöennuste'!N283*1000</f>
        <v>417.77648723364172</v>
      </c>
      <c r="AF283" s="41">
        <f>M283/'1. Väestöennuste'!O283*1000</f>
        <v>329.97498251438145</v>
      </c>
      <c r="AG283" s="41">
        <f>N283/'1. Väestöennuste'!P283*1000</f>
        <v>256.85802119551687</v>
      </c>
      <c r="AH283" s="41">
        <f>O283/'1. Väestöennuste'!Q283*1000</f>
        <v>179.11239492734222</v>
      </c>
      <c r="AI283" s="41">
        <f>P283/'1. Väestöennuste'!R283*1000</f>
        <v>280.55097993055375</v>
      </c>
    </row>
    <row r="284" spans="1:35" x14ac:dyDescent="0.2">
      <c r="A284" s="34">
        <v>890</v>
      </c>
      <c r="B284" s="88" t="s">
        <v>598</v>
      </c>
      <c r="C284" s="41" t="e">
        <f>'2. Toimintakate'!D284+'3. Verotulot'!G284+'4. Valtionosuudet'!#REF!</f>
        <v>#REF!</v>
      </c>
      <c r="D284" s="41">
        <f>'2. Toimintakate'!E284+'3. Verotulot'!L284+'4. Valtionosuudet'!H284</f>
        <v>1243</v>
      </c>
      <c r="E284" s="41">
        <f>'2. Toimintakate'!F284+'3. Verotulot'!Q284+'4. Valtionosuudet'!N284</f>
        <v>2005</v>
      </c>
      <c r="F284" s="41">
        <f>'2. Toimintakate'!G284+'3. Verotulot'!V284+'4. Valtionosuudet'!T284</f>
        <v>1325</v>
      </c>
      <c r="G284" s="41">
        <f>'2. Toimintakate'!H284+'3. Verotulot'!AA284+'4. Valtionosuudet'!Z284</f>
        <v>997</v>
      </c>
      <c r="H284" s="41">
        <f>'2. Toimintakate'!I284+'3. Verotulot'!AF284+'4. Valtionosuudet'!AG284</f>
        <v>1322.5808521309164</v>
      </c>
      <c r="I284" s="41">
        <f>'2. Toimintakate'!J284+'3. Verotulot'!AK284+'4. Valtionosuudet'!AN284</f>
        <v>223.77689704944896</v>
      </c>
      <c r="J284" s="41">
        <f>'2. Toimintakate'!K284+'3. Verotulot'!AP284+'4. Valtionosuudet'!AU284</f>
        <v>888.52659557347397</v>
      </c>
      <c r="K284" s="41">
        <f>'2. Toimintakate'!L284+'3. Verotulot'!AU284+'4. Valtionosuudet'!BC284</f>
        <v>1566.6452562152208</v>
      </c>
      <c r="L284" s="41">
        <f>'2. Toimintakate'!M284+'3. Verotulot'!AZ284+'4. Valtionosuudet'!BK284</f>
        <v>1034.5551111251225</v>
      </c>
      <c r="M284" s="41">
        <f>'2. Toimintakate'!N284+'3. Verotulot'!BE284+'4. Valtionosuudet'!BQ284</f>
        <v>537.63133872220124</v>
      </c>
      <c r="N284" s="41">
        <f>'2. Toimintakate'!O284+'3. Verotulot'!BJ284+'4. Valtionosuudet'!BY284</f>
        <v>387.59184276986116</v>
      </c>
      <c r="O284" s="41">
        <f>'2. Toimintakate'!P284+'3. Verotulot'!BO284+'4. Valtionosuudet'!CE284</f>
        <v>306.12117425929137</v>
      </c>
      <c r="P284" s="41">
        <f>'2. Toimintakate'!Q284+'3. Verotulot'!BT284+'4. Valtionosuudet'!CK284</f>
        <v>347.10356768662632</v>
      </c>
      <c r="T284" s="34">
        <v>890</v>
      </c>
      <c r="U284" s="88" t="s">
        <v>598</v>
      </c>
      <c r="V284" s="41" t="e">
        <f>C284/'1. Väestöennuste'!E284*1000</f>
        <v>#REF!</v>
      </c>
      <c r="W284" s="41">
        <f>D284/'1. Väestöennuste'!F284*1000</f>
        <v>1001.6116035455278</v>
      </c>
      <c r="X284" s="41">
        <f>E284/'1. Väestöennuste'!G284*1000</f>
        <v>1614.3317230273753</v>
      </c>
      <c r="Y284" s="41">
        <f>F284/'1. Väestöennuste'!H284*1000</f>
        <v>1075.4870129870128</v>
      </c>
      <c r="Z284" s="41">
        <f>G284/'1. Väestöennuste'!I284*1000</f>
        <v>822.60726072607258</v>
      </c>
      <c r="AA284" s="41">
        <f>H284/'1. Väestöennuste'!J284*1000</f>
        <v>1084.9719869818839</v>
      </c>
      <c r="AB284" s="41">
        <f>I284/'1. Väestöennuste'!K284*1000</f>
        <v>190.28647708286476</v>
      </c>
      <c r="AC284" s="41">
        <f>J284/'1. Väestöennuste'!L284*1000</f>
        <v>752.98864031650339</v>
      </c>
      <c r="AD284" s="41">
        <f>K284/'1. Väestöennuste'!M284*1000</f>
        <v>1375.4567657728014</v>
      </c>
      <c r="AE284" s="41">
        <f>L284/'1. Väestöennuste'!N284*1000</f>
        <v>863.56854017122077</v>
      </c>
      <c r="AF284" s="41">
        <f>M284/'1. Väestöennuste'!O284*1000</f>
        <v>449.90070185958263</v>
      </c>
      <c r="AG284" s="41">
        <f>N284/'1. Väestöennuste'!P284*1000</f>
        <v>324.88838455143434</v>
      </c>
      <c r="AH284" s="41">
        <f>O284/'1. Väestöennuste'!Q284*1000</f>
        <v>256.81306565376792</v>
      </c>
      <c r="AI284" s="41">
        <f>P284/'1. Väestöennuste'!R284*1000</f>
        <v>291.19426819347842</v>
      </c>
    </row>
    <row r="285" spans="1:35" x14ac:dyDescent="0.2">
      <c r="A285" s="34">
        <v>892</v>
      </c>
      <c r="B285" s="88" t="s">
        <v>599</v>
      </c>
      <c r="C285" s="41" t="e">
        <f>'2. Toimintakate'!D285+'3. Verotulot'!G285+'4. Valtionosuudet'!#REF!</f>
        <v>#REF!</v>
      </c>
      <c r="D285" s="41">
        <f>'2. Toimintakate'!E285+'3. Verotulot'!L285+'4. Valtionosuudet'!H285</f>
        <v>1179</v>
      </c>
      <c r="E285" s="41">
        <f>'2. Toimintakate'!F285+'3. Verotulot'!Q285+'4. Valtionosuudet'!N285</f>
        <v>1343</v>
      </c>
      <c r="F285" s="41">
        <f>'2. Toimintakate'!G285+'3. Verotulot'!V285+'4. Valtionosuudet'!T285</f>
        <v>-329</v>
      </c>
      <c r="G285" s="41">
        <f>'2. Toimintakate'!H285+'3. Verotulot'!AA285+'4. Valtionosuudet'!Z285</f>
        <v>-173</v>
      </c>
      <c r="H285" s="41">
        <f>'2. Toimintakate'!I285+'3. Verotulot'!AF285+'4. Valtionosuudet'!AG285</f>
        <v>2337.3828668450587</v>
      </c>
      <c r="I285" s="41">
        <f>'2. Toimintakate'!J285+'3. Verotulot'!AK285+'4. Valtionosuudet'!AN285</f>
        <v>1966.2838344102802</v>
      </c>
      <c r="J285" s="41">
        <f>'2. Toimintakate'!K285+'3. Verotulot'!AP285+'4. Valtionosuudet'!AU285</f>
        <v>756.45426833811689</v>
      </c>
      <c r="K285" s="41">
        <f>'2. Toimintakate'!L285+'3. Verotulot'!AU285+'4. Valtionosuudet'!BC285</f>
        <v>838.52987837141154</v>
      </c>
      <c r="L285" s="41">
        <f>'2. Toimintakate'!M285+'3. Verotulot'!AZ285+'4. Valtionosuudet'!BK285</f>
        <v>1187.6315018156156</v>
      </c>
      <c r="M285" s="41">
        <f>'2. Toimintakate'!N285+'3. Verotulot'!BE285+'4. Valtionosuudet'!BQ285</f>
        <v>364.82065822558434</v>
      </c>
      <c r="N285" s="41">
        <f>'2. Toimintakate'!O285+'3. Verotulot'!BJ285+'4. Valtionosuudet'!BY285</f>
        <v>340.49762639889286</v>
      </c>
      <c r="O285" s="41">
        <f>'2. Toimintakate'!P285+'3. Verotulot'!BO285+'4. Valtionosuudet'!CE285</f>
        <v>-9.2643726320939095</v>
      </c>
      <c r="P285" s="41">
        <f>'2. Toimintakate'!Q285+'3. Verotulot'!BT285+'4. Valtionosuudet'!CK285</f>
        <v>41.602700700163041</v>
      </c>
      <c r="T285" s="34">
        <v>892</v>
      </c>
      <c r="U285" s="88" t="s">
        <v>599</v>
      </c>
      <c r="V285" s="41" t="e">
        <f>C285/'1. Väestöennuste'!E285*1000</f>
        <v>#REF!</v>
      </c>
      <c r="W285" s="41">
        <f>D285/'1. Väestöennuste'!F285*1000</f>
        <v>317.1912832929782</v>
      </c>
      <c r="X285" s="41">
        <f>E285/'1. Väestöennuste'!G285*1000</f>
        <v>358.42006938884441</v>
      </c>
      <c r="Y285" s="41">
        <f>F285/'1. Väestöennuste'!H285*1000</f>
        <v>-86.968014803066339</v>
      </c>
      <c r="Z285" s="41">
        <f>G285/'1. Väestöennuste'!I285*1000</f>
        <v>-46.998098342841615</v>
      </c>
      <c r="AA285" s="41">
        <f>H285/'1. Väestöennuste'!J285*1000</f>
        <v>641.08142261246815</v>
      </c>
      <c r="AB285" s="41">
        <f>I285/'1. Väestöennuste'!K285*1000</f>
        <v>541.0797563044249</v>
      </c>
      <c r="AC285" s="41">
        <f>J285/'1. Väestöennuste'!L285*1000</f>
        <v>210.59417269992116</v>
      </c>
      <c r="AD285" s="41">
        <f>K285/'1. Väestöennuste'!M285*1000</f>
        <v>231.95847257853708</v>
      </c>
      <c r="AE285" s="41">
        <f>L285/'1. Väestöennuste'!N285*1000</f>
        <v>324.3122615553292</v>
      </c>
      <c r="AF285" s="41">
        <f>M285/'1. Väestöennuste'!O285*1000</f>
        <v>99.814133577451258</v>
      </c>
      <c r="AG285" s="41">
        <f>N285/'1. Väestöennuste'!P285*1000</f>
        <v>93.517612304007926</v>
      </c>
      <c r="AH285" s="41">
        <f>O285/'1. Väestöennuste'!Q285*1000</f>
        <v>-2.5556890019569405</v>
      </c>
      <c r="AI285" s="41">
        <f>P285/'1. Väestöennuste'!R285*1000</f>
        <v>11.543479661532475</v>
      </c>
    </row>
    <row r="286" spans="1:35" x14ac:dyDescent="0.2">
      <c r="A286" s="34">
        <v>893</v>
      </c>
      <c r="B286" s="88" t="s">
        <v>600</v>
      </c>
      <c r="C286" s="41" t="e">
        <f>'2. Toimintakate'!D286+'3. Verotulot'!G286+'4. Valtionosuudet'!#REF!</f>
        <v>#REF!</v>
      </c>
      <c r="D286" s="41">
        <f>'2. Toimintakate'!E286+'3. Verotulot'!L286+'4. Valtionosuudet'!H286</f>
        <v>1552</v>
      </c>
      <c r="E286" s="41">
        <f>'2. Toimintakate'!F286+'3. Verotulot'!Q286+'4. Valtionosuudet'!N286</f>
        <v>510</v>
      </c>
      <c r="F286" s="41">
        <f>'2. Toimintakate'!G286+'3. Verotulot'!V286+'4. Valtionosuudet'!T286</f>
        <v>-545</v>
      </c>
      <c r="G286" s="41">
        <f>'2. Toimintakate'!H286+'3. Verotulot'!AA286+'4. Valtionosuudet'!Z286</f>
        <v>315</v>
      </c>
      <c r="H286" s="41">
        <f>'2. Toimintakate'!I286+'3. Verotulot'!AF286+'4. Valtionosuudet'!AG286</f>
        <v>5757.6993740443577</v>
      </c>
      <c r="I286" s="41">
        <f>'2. Toimintakate'!J286+'3. Verotulot'!AK286+'4. Valtionosuudet'!AN286</f>
        <v>4543.3122212427734</v>
      </c>
      <c r="J286" s="41">
        <f>'2. Toimintakate'!K286+'3. Verotulot'!AP286+'4. Valtionosuudet'!AU286</f>
        <v>6144.9562517941195</v>
      </c>
      <c r="K286" s="41">
        <f>'2. Toimintakate'!L286+'3. Verotulot'!AU286+'4. Valtionosuudet'!BC286</f>
        <v>6114.2146400365782</v>
      </c>
      <c r="L286" s="41">
        <f>'2. Toimintakate'!M286+'3. Verotulot'!AZ286+'4. Valtionosuudet'!BK286</f>
        <v>5152.6577018656117</v>
      </c>
      <c r="M286" s="41">
        <f>'2. Toimintakate'!N286+'3. Verotulot'!BE286+'4. Valtionosuudet'!BQ286</f>
        <v>5581.630525784256</v>
      </c>
      <c r="N286" s="41">
        <f>'2. Toimintakate'!O286+'3. Verotulot'!BJ286+'4. Valtionosuudet'!BY286</f>
        <v>5708.8566249829473</v>
      </c>
      <c r="O286" s="41">
        <f>'2. Toimintakate'!P286+'3. Verotulot'!BO286+'4. Valtionosuudet'!CE286</f>
        <v>6098.6955015631193</v>
      </c>
      <c r="P286" s="41">
        <f>'2. Toimintakate'!Q286+'3. Verotulot'!BT286+'4. Valtionosuudet'!CK286</f>
        <v>6805.3452184063644</v>
      </c>
      <c r="T286" s="34">
        <v>893</v>
      </c>
      <c r="U286" s="88" t="s">
        <v>600</v>
      </c>
      <c r="V286" s="41" t="e">
        <f>C286/'1. Väestöennuste'!E286*1000</f>
        <v>#REF!</v>
      </c>
      <c r="W286" s="41">
        <f>D286/'1. Väestöennuste'!F286*1000</f>
        <v>206.49281532730177</v>
      </c>
      <c r="X286" s="41">
        <f>E286/'1. Väestöennuste'!G286*1000</f>
        <v>67.810131631431986</v>
      </c>
      <c r="Y286" s="41">
        <f>F286/'1. Väestöennuste'!H286*1000</f>
        <v>-73.105298457411138</v>
      </c>
      <c r="Z286" s="41">
        <f>G286/'1. Väestöennuste'!I286*1000</f>
        <v>42.20257234726688</v>
      </c>
      <c r="AA286" s="41">
        <f>H286/'1. Väestöennuste'!J286*1000</f>
        <v>769.84882658702475</v>
      </c>
      <c r="AB286" s="41">
        <f>I286/'1. Väestöennuste'!K286*1000</f>
        <v>606.01736978028191</v>
      </c>
      <c r="AC286" s="41">
        <f>J286/'1. Väestöennuste'!L286*1000</f>
        <v>826.60159426878124</v>
      </c>
      <c r="AD286" s="41">
        <f>K286/'1. Väestöennuste'!M286*1000</f>
        <v>815.2286186715437</v>
      </c>
      <c r="AE286" s="41">
        <f>L286/'1. Väestöennuste'!N286*1000</f>
        <v>693.1204872027995</v>
      </c>
      <c r="AF286" s="41">
        <f>M286/'1. Väestöennuste'!O286*1000</f>
        <v>752.44412588086493</v>
      </c>
      <c r="AG286" s="41">
        <f>N286/'1. Väestöennuste'!P286*1000</f>
        <v>771.98872548789006</v>
      </c>
      <c r="AH286" s="41">
        <f>O286/'1. Väestöennuste'!Q286*1000</f>
        <v>827.50278175890355</v>
      </c>
      <c r="AI286" s="41">
        <f>P286/'1. Väestöennuste'!R286*1000</f>
        <v>927.41144976919657</v>
      </c>
    </row>
    <row r="287" spans="1:35" x14ac:dyDescent="0.2">
      <c r="A287" s="34">
        <v>895</v>
      </c>
      <c r="B287" s="88" t="s">
        <v>601</v>
      </c>
      <c r="C287" s="41" t="e">
        <f>'2. Toimintakate'!D287+'3. Verotulot'!G287+'4. Valtionosuudet'!#REF!</f>
        <v>#REF!</v>
      </c>
      <c r="D287" s="41">
        <f>'2. Toimintakate'!E287+'3. Verotulot'!L287+'4. Valtionosuudet'!H287</f>
        <v>8708</v>
      </c>
      <c r="E287" s="41">
        <f>'2. Toimintakate'!F287+'3. Verotulot'!Q287+'4. Valtionosuudet'!N287</f>
        <v>7269</v>
      </c>
      <c r="F287" s="41">
        <f>'2. Toimintakate'!G287+'3. Verotulot'!V287+'4. Valtionosuudet'!T287</f>
        <v>6946</v>
      </c>
      <c r="G287" s="41">
        <f>'2. Toimintakate'!H287+'3. Verotulot'!AA287+'4. Valtionosuudet'!Z287</f>
        <v>2454</v>
      </c>
      <c r="H287" s="41">
        <f>'2. Toimintakate'!I287+'3. Verotulot'!AF287+'4. Valtionosuudet'!AG287</f>
        <v>11913.034132462933</v>
      </c>
      <c r="I287" s="41">
        <f>'2. Toimintakate'!J287+'3. Verotulot'!AK287+'4. Valtionosuudet'!AN287</f>
        <v>8938.6556014716953</v>
      </c>
      <c r="J287" s="41">
        <f>'2. Toimintakate'!K287+'3. Verotulot'!AP287+'4. Valtionosuudet'!AU287</f>
        <v>7562.8705243539662</v>
      </c>
      <c r="K287" s="41">
        <f>'2. Toimintakate'!L287+'3. Verotulot'!AU287+'4. Valtionosuudet'!BC287</f>
        <v>11051.515854674821</v>
      </c>
      <c r="L287" s="41">
        <f>'2. Toimintakate'!M287+'3. Verotulot'!AZ287+'4. Valtionosuudet'!BK287</f>
        <v>9722.3518607860606</v>
      </c>
      <c r="M287" s="41">
        <f>'2. Toimintakate'!N287+'3. Verotulot'!BE287+'4. Valtionosuudet'!BQ287</f>
        <v>10685.01033015352</v>
      </c>
      <c r="N287" s="41">
        <f>'2. Toimintakate'!O287+'3. Verotulot'!BJ287+'4. Valtionosuudet'!BY287</f>
        <v>8853.0744609054509</v>
      </c>
      <c r="O287" s="41">
        <f>'2. Toimintakate'!P287+'3. Verotulot'!BO287+'4. Valtionosuudet'!CE287</f>
        <v>9693.2530195990075</v>
      </c>
      <c r="P287" s="41">
        <f>'2. Toimintakate'!Q287+'3. Verotulot'!BT287+'4. Valtionosuudet'!CK287</f>
        <v>10870.103186946548</v>
      </c>
      <c r="T287" s="34">
        <v>895</v>
      </c>
      <c r="U287" s="88" t="s">
        <v>601</v>
      </c>
      <c r="V287" s="41" t="e">
        <f>C287/'1. Väestöennuste'!E287*1000</f>
        <v>#REF!</v>
      </c>
      <c r="W287" s="41">
        <f>D287/'1. Väestöennuste'!F287*1000</f>
        <v>565.30771228252399</v>
      </c>
      <c r="X287" s="41">
        <f>E287/'1. Väestöennuste'!G287*1000</f>
        <v>461.46521076688674</v>
      </c>
      <c r="Y287" s="41">
        <f>F287/'1. Väestöennuste'!H287*1000</f>
        <v>442.42038216560508</v>
      </c>
      <c r="Z287" s="41">
        <f>G287/'1. Väestöennuste'!I287*1000</f>
        <v>158.09818322381136</v>
      </c>
      <c r="AA287" s="41">
        <f>H287/'1. Väestöennuste'!J287*1000</f>
        <v>774.68033115248625</v>
      </c>
      <c r="AB287" s="41">
        <f>I287/'1. Väestöennuste'!K287*1000</f>
        <v>578.06736089191588</v>
      </c>
      <c r="AC287" s="41">
        <f>J287/'1. Väestöennuste'!L287*1000</f>
        <v>501.11784550450346</v>
      </c>
      <c r="AD287" s="41">
        <f>K287/'1. Väestöennuste'!M287*1000</f>
        <v>739.82566974660733</v>
      </c>
      <c r="AE287" s="41">
        <f>L287/'1. Väestöennuste'!N287*1000</f>
        <v>646.04637256867966</v>
      </c>
      <c r="AF287" s="41">
        <f>M287/'1. Väestöennuste'!O287*1000</f>
        <v>714.1909183980697</v>
      </c>
      <c r="AG287" s="41">
        <f>N287/'1. Väestöennuste'!P287*1000</f>
        <v>595.12466126011361</v>
      </c>
      <c r="AH287" s="41">
        <f>O287/'1. Väestöennuste'!Q287*1000</f>
        <v>655.39236102765426</v>
      </c>
      <c r="AI287" s="41">
        <f>P287/'1. Väestöennuste'!R287*1000</f>
        <v>739.0605919871191</v>
      </c>
    </row>
    <row r="288" spans="1:35" x14ac:dyDescent="0.2">
      <c r="A288" s="34">
        <v>905</v>
      </c>
      <c r="B288" s="88" t="s">
        <v>602</v>
      </c>
      <c r="C288" s="41" t="e">
        <f>'2. Toimintakate'!D288+'3. Verotulot'!G288+'4. Valtionosuudet'!#REF!</f>
        <v>#REF!</v>
      </c>
      <c r="D288" s="41">
        <f>'2. Toimintakate'!E288+'3. Verotulot'!L288+'4. Valtionosuudet'!H288</f>
        <v>13931</v>
      </c>
      <c r="E288" s="41">
        <f>'2. Toimintakate'!F288+'3. Verotulot'!Q288+'4. Valtionosuudet'!N288</f>
        <v>20361</v>
      </c>
      <c r="F288" s="41">
        <f>'2. Toimintakate'!G288+'3. Verotulot'!V288+'4. Valtionosuudet'!T288</f>
        <v>7402</v>
      </c>
      <c r="G288" s="41">
        <f>'2. Toimintakate'!H288+'3. Verotulot'!AA288+'4. Valtionosuudet'!Z288</f>
        <v>21994</v>
      </c>
      <c r="H288" s="41">
        <f>'2. Toimintakate'!I288+'3. Verotulot'!AF288+'4. Valtionosuudet'!AG288</f>
        <v>49675.249795587966</v>
      </c>
      <c r="I288" s="41">
        <f>'2. Toimintakate'!J288+'3. Verotulot'!AK288+'4. Valtionosuudet'!AN288</f>
        <v>38019.030693817418</v>
      </c>
      <c r="J288" s="41">
        <f>'2. Toimintakate'!K288+'3. Verotulot'!AP288+'4. Valtionosuudet'!AU288</f>
        <v>32441.296671994758</v>
      </c>
      <c r="K288" s="41">
        <f>'2. Toimintakate'!L288+'3. Verotulot'!AU288+'4. Valtionosuudet'!BC288</f>
        <v>47030.041380634932</v>
      </c>
      <c r="L288" s="41">
        <f>'2. Toimintakate'!M288+'3. Verotulot'!AZ288+'4. Valtionosuudet'!BK288</f>
        <v>27392.498688407119</v>
      </c>
      <c r="M288" s="41">
        <f>'2. Toimintakate'!N288+'3. Verotulot'!BE288+'4. Valtionosuudet'!BQ288</f>
        <v>15797.490390975086</v>
      </c>
      <c r="N288" s="41">
        <f>'2. Toimintakate'!O288+'3. Verotulot'!BJ288+'4. Valtionosuudet'!BY288</f>
        <v>22149.557528508747</v>
      </c>
      <c r="O288" s="41">
        <f>'2. Toimintakate'!P288+'3. Verotulot'!BO288+'4. Valtionosuudet'!CE288</f>
        <v>24158.731119382428</v>
      </c>
      <c r="P288" s="41">
        <f>'2. Toimintakate'!Q288+'3. Verotulot'!BT288+'4. Valtionosuudet'!CK288</f>
        <v>27406.051694248818</v>
      </c>
      <c r="T288" s="34">
        <v>905</v>
      </c>
      <c r="U288" s="88" t="s">
        <v>602</v>
      </c>
      <c r="V288" s="41" t="e">
        <f>C288/'1. Väestöennuste'!E288*1000</f>
        <v>#REF!</v>
      </c>
      <c r="W288" s="41">
        <f>D288/'1. Väestöennuste'!F288*1000</f>
        <v>206.01892931085479</v>
      </c>
      <c r="X288" s="41">
        <f>E288/'1. Väestöennuste'!G288*1000</f>
        <v>302.12784900284902</v>
      </c>
      <c r="Y288" s="41">
        <f>F288/'1. Väestöennuste'!H288*1000</f>
        <v>109.57484604452866</v>
      </c>
      <c r="Z288" s="41">
        <f>G288/'1. Väestöennuste'!I288*1000</f>
        <v>325.18185581642911</v>
      </c>
      <c r="AA288" s="41">
        <f>H288/'1. Väestöennuste'!J288*1000</f>
        <v>735.37401068212114</v>
      </c>
      <c r="AB288" s="41">
        <f>I288/'1. Väestöennuste'!K288*1000</f>
        <v>562.28692884444899</v>
      </c>
      <c r="AC288" s="41">
        <f>J288/'1. Väestöennuste'!L288*1000</f>
        <v>477.16209731121313</v>
      </c>
      <c r="AD288" s="41">
        <f>K288/'1. Väestöennuste'!M288*1000</f>
        <v>682.02972012058319</v>
      </c>
      <c r="AE288" s="41">
        <f>L288/'1. Väestöennuste'!N288*1000</f>
        <v>404.75344191390161</v>
      </c>
      <c r="AF288" s="41">
        <f>M288/'1. Väestöennuste'!O288*1000</f>
        <v>233.43170138123511</v>
      </c>
      <c r="AG288" s="41">
        <f>N288/'1. Väestöennuste'!P288*1000</f>
        <v>327.26887601224507</v>
      </c>
      <c r="AH288" s="41">
        <f>O288/'1. Väestöennuste'!Q288*1000</f>
        <v>356.88669610421209</v>
      </c>
      <c r="AI288" s="41">
        <f>P288/'1. Väestöennuste'!R288*1000</f>
        <v>404.76231659378834</v>
      </c>
    </row>
    <row r="289" spans="1:35" x14ac:dyDescent="0.2">
      <c r="A289" s="34">
        <v>908</v>
      </c>
      <c r="B289" s="88" t="s">
        <v>603</v>
      </c>
      <c r="C289" s="41" t="e">
        <f>'2. Toimintakate'!D289+'3. Verotulot'!G289+'4. Valtionosuudet'!#REF!</f>
        <v>#REF!</v>
      </c>
      <c r="D289" s="41">
        <f>'2. Toimintakate'!E289+'3. Verotulot'!L289+'4. Valtionosuudet'!H289</f>
        <v>6868</v>
      </c>
      <c r="E289" s="41">
        <f>'2. Toimintakate'!F289+'3. Verotulot'!Q289+'4. Valtionosuudet'!N289</f>
        <v>6585</v>
      </c>
      <c r="F289" s="41">
        <f>'2. Toimintakate'!G289+'3. Verotulot'!V289+'4. Valtionosuudet'!T289</f>
        <v>-534</v>
      </c>
      <c r="G289" s="41">
        <f>'2. Toimintakate'!H289+'3. Verotulot'!AA289+'4. Valtionosuudet'!Z289</f>
        <v>1890</v>
      </c>
      <c r="H289" s="41">
        <f>'2. Toimintakate'!I289+'3. Verotulot'!AF289+'4. Valtionosuudet'!AG289</f>
        <v>12594.55418364166</v>
      </c>
      <c r="I289" s="41">
        <f>'2. Toimintakate'!J289+'3. Verotulot'!AK289+'4. Valtionosuudet'!AN289</f>
        <v>7951.7223240987441</v>
      </c>
      <c r="J289" s="41">
        <f>'2. Toimintakate'!K289+'3. Verotulot'!AP289+'4. Valtionosuudet'!AU289</f>
        <v>1210.9792514571309</v>
      </c>
      <c r="K289" s="41">
        <f>'2. Toimintakate'!L289+'3. Verotulot'!AU289+'4. Valtionosuudet'!BC289</f>
        <v>8724.4882193625399</v>
      </c>
      <c r="L289" s="41">
        <f>'2. Toimintakate'!M289+'3. Verotulot'!AZ289+'4. Valtionosuudet'!BK289</f>
        <v>6804.638064756824</v>
      </c>
      <c r="M289" s="41">
        <f>'2. Toimintakate'!N289+'3. Verotulot'!BE289+'4. Valtionosuudet'!BQ289</f>
        <v>4949.0656512454279</v>
      </c>
      <c r="N289" s="41">
        <f>'2. Toimintakate'!O289+'3. Verotulot'!BJ289+'4. Valtionosuudet'!BY289</f>
        <v>6239.5228168944523</v>
      </c>
      <c r="O289" s="41">
        <f>'2. Toimintakate'!P289+'3. Verotulot'!BO289+'4. Valtionosuudet'!CE289</f>
        <v>7205.0513623994793</v>
      </c>
      <c r="P289" s="41">
        <f>'2. Toimintakate'!Q289+'3. Verotulot'!BT289+'4. Valtionosuudet'!CK289</f>
        <v>9048.0400175844188</v>
      </c>
      <c r="T289" s="34">
        <v>908</v>
      </c>
      <c r="U289" s="88" t="s">
        <v>603</v>
      </c>
      <c r="V289" s="41" t="e">
        <f>C289/'1. Väestöennuste'!E289*1000</f>
        <v>#REF!</v>
      </c>
      <c r="W289" s="41">
        <f>D289/'1. Väestöennuste'!F289*1000</f>
        <v>321.7464630375714</v>
      </c>
      <c r="X289" s="41">
        <f>E289/'1. Väestöennuste'!G289*1000</f>
        <v>311.55374716124146</v>
      </c>
      <c r="Y289" s="41">
        <f>F289/'1. Väestöennuste'!H289*1000</f>
        <v>-25.263755499834414</v>
      </c>
      <c r="Z289" s="41">
        <f>G289/'1. Väestöennuste'!I289*1000</f>
        <v>90.120160213618149</v>
      </c>
      <c r="AA289" s="41">
        <f>H289/'1. Väestöennuste'!J289*1000</f>
        <v>606.52801269644397</v>
      </c>
      <c r="AB289" s="41">
        <f>I289/'1. Väestöennuste'!K289*1000</f>
        <v>384.23398521859116</v>
      </c>
      <c r="AC289" s="41">
        <f>J289/'1. Väestöennuste'!L289*1000</f>
        <v>58.492935876787463</v>
      </c>
      <c r="AD289" s="41">
        <f>K289/'1. Väestöennuste'!M289*1000</f>
        <v>421.59506230610515</v>
      </c>
      <c r="AE289" s="41">
        <f>L289/'1. Väestöennuste'!N289*1000</f>
        <v>335.94855910919892</v>
      </c>
      <c r="AF289" s="41">
        <f>M289/'1. Väestöennuste'!O289*1000</f>
        <v>245.75755542980573</v>
      </c>
      <c r="AG289" s="41">
        <f>N289/'1. Väestöennuste'!P289*1000</f>
        <v>311.63334416613986</v>
      </c>
      <c r="AH289" s="41">
        <f>O289/'1. Väestöennuste'!Q289*1000</f>
        <v>361.9901206993307</v>
      </c>
      <c r="AI289" s="41">
        <f>P289/'1. Väestöennuste'!R289*1000</f>
        <v>457.36440466988927</v>
      </c>
    </row>
    <row r="290" spans="1:35" x14ac:dyDescent="0.2">
      <c r="A290" s="34">
        <v>915</v>
      </c>
      <c r="B290" s="88" t="s">
        <v>604</v>
      </c>
      <c r="C290" s="41" t="e">
        <f>'2. Toimintakate'!D290+'3. Verotulot'!G290+'4. Valtionosuudet'!#REF!</f>
        <v>#REF!</v>
      </c>
      <c r="D290" s="41">
        <f>'2. Toimintakate'!E290+'3. Verotulot'!L290+'4. Valtionosuudet'!H290</f>
        <v>7481</v>
      </c>
      <c r="E290" s="41">
        <f>'2. Toimintakate'!F290+'3. Verotulot'!Q290+'4. Valtionosuudet'!N290</f>
        <v>5107</v>
      </c>
      <c r="F290" s="41">
        <f>'2. Toimintakate'!G290+'3. Verotulot'!V290+'4. Valtionosuudet'!T290</f>
        <v>2341</v>
      </c>
      <c r="G290" s="41">
        <f>'2. Toimintakate'!H290+'3. Verotulot'!AA290+'4. Valtionosuudet'!Z290</f>
        <v>983</v>
      </c>
      <c r="H290" s="41">
        <f>'2. Toimintakate'!I290+'3. Verotulot'!AF290+'4. Valtionosuudet'!AG290</f>
        <v>8295.1029149660608</v>
      </c>
      <c r="I290" s="41">
        <f>'2. Toimintakate'!J290+'3. Verotulot'!AK290+'4. Valtionosuudet'!AN290</f>
        <v>5214.1069573671193</v>
      </c>
      <c r="J290" s="41">
        <f>'2. Toimintakate'!K290+'3. Verotulot'!AP290+'4. Valtionosuudet'!AU290</f>
        <v>2998.5951003005684</v>
      </c>
      <c r="K290" s="41">
        <f>'2. Toimintakate'!L290+'3. Verotulot'!AU290+'4. Valtionosuudet'!BC290</f>
        <v>6457.9982738647659</v>
      </c>
      <c r="L290" s="41">
        <f>'2. Toimintakate'!M290+'3. Verotulot'!AZ290+'4. Valtionosuudet'!BK290</f>
        <v>2444.2771416411069</v>
      </c>
      <c r="M290" s="41">
        <f>'2. Toimintakate'!N290+'3. Verotulot'!BE290+'4. Valtionosuudet'!BQ290</f>
        <v>-1228.146526112514</v>
      </c>
      <c r="N290" s="41">
        <f>'2. Toimintakate'!O290+'3. Verotulot'!BJ290+'4. Valtionosuudet'!BY290</f>
        <v>42.122333857456397</v>
      </c>
      <c r="O290" s="41">
        <f>'2. Toimintakate'!P290+'3. Verotulot'!BO290+'4. Valtionosuudet'!CE290</f>
        <v>262.98250939828722</v>
      </c>
      <c r="P290" s="41">
        <f>'2. Toimintakate'!Q290+'3. Verotulot'!BT290+'4. Valtionosuudet'!CK290</f>
        <v>2693.3464131195869</v>
      </c>
      <c r="T290" s="34">
        <v>915</v>
      </c>
      <c r="U290" s="88" t="s">
        <v>604</v>
      </c>
      <c r="V290" s="41" t="e">
        <f>C290/'1. Väestöennuste'!E290*1000</f>
        <v>#REF!</v>
      </c>
      <c r="W290" s="41">
        <f>D290/'1. Väestöennuste'!F290*1000</f>
        <v>348.47214458729269</v>
      </c>
      <c r="X290" s="41">
        <f>E290/'1. Väestöennuste'!G290*1000</f>
        <v>241.40865043724887</v>
      </c>
      <c r="Y290" s="41">
        <f>F290/'1. Väestöennuste'!H290*1000</f>
        <v>112.39137740650055</v>
      </c>
      <c r="Z290" s="41">
        <f>G290/'1. Väestöennuste'!I290*1000</f>
        <v>48.030880484706344</v>
      </c>
      <c r="AA290" s="41">
        <f>H290/'1. Väestöennuste'!J290*1000</f>
        <v>409.06908546040341</v>
      </c>
      <c r="AB290" s="41">
        <f>I290/'1. Väestöennuste'!K290*1000</f>
        <v>261.05777586577477</v>
      </c>
      <c r="AC290" s="41">
        <f>J290/'1. Väestöennuste'!L290*1000</f>
        <v>151.75844426846342</v>
      </c>
      <c r="AD290" s="41">
        <f>K290/'1. Väestöennuste'!M290*1000</f>
        <v>327.36849363130563</v>
      </c>
      <c r="AE290" s="41">
        <f>L290/'1. Väestöennuste'!N290*1000</f>
        <v>126.94905690459682</v>
      </c>
      <c r="AF290" s="41">
        <f>M290/'1. Väestöennuste'!O290*1000</f>
        <v>-64.567926297908315</v>
      </c>
      <c r="AG290" s="41">
        <f>N290/'1. Väestöennuste'!P290*1000</f>
        <v>2.240907264853774</v>
      </c>
      <c r="AH290" s="41">
        <f>O290/'1. Väestöennuste'!Q290*1000</f>
        <v>14.152540598336413</v>
      </c>
      <c r="AI290" s="41">
        <f>P290/'1. Väestöennuste'!R290*1000</f>
        <v>146.61657120955834</v>
      </c>
    </row>
    <row r="291" spans="1:35" x14ac:dyDescent="0.2">
      <c r="A291" s="34">
        <v>918</v>
      </c>
      <c r="B291" s="88" t="s">
        <v>605</v>
      </c>
      <c r="C291" s="41" t="e">
        <f>'2. Toimintakate'!D291+'3. Verotulot'!G291+'4. Valtionosuudet'!#REF!</f>
        <v>#REF!</v>
      </c>
      <c r="D291" s="41">
        <f>'2. Toimintakate'!E291+'3. Verotulot'!L291+'4. Valtionosuudet'!H291</f>
        <v>-283</v>
      </c>
      <c r="E291" s="41">
        <f>'2. Toimintakate'!F291+'3. Verotulot'!Q291+'4. Valtionosuudet'!N291</f>
        <v>798</v>
      </c>
      <c r="F291" s="41">
        <f>'2. Toimintakate'!G291+'3. Verotulot'!V291+'4. Valtionosuudet'!T291</f>
        <v>-883</v>
      </c>
      <c r="G291" s="41">
        <f>'2. Toimintakate'!H291+'3. Verotulot'!AA291+'4. Valtionosuudet'!Z291</f>
        <v>838</v>
      </c>
      <c r="H291" s="41">
        <f>'2. Toimintakate'!I291+'3. Verotulot'!AF291+'4. Valtionosuudet'!AG291</f>
        <v>2625.9018750257228</v>
      </c>
      <c r="I291" s="41">
        <f>'2. Toimintakate'!J291+'3. Verotulot'!AK291+'4. Valtionosuudet'!AN291</f>
        <v>1460.3933675602502</v>
      </c>
      <c r="J291" s="41">
        <f>'2. Toimintakate'!K291+'3. Verotulot'!AP291+'4. Valtionosuudet'!AU291</f>
        <v>1399.1302095476358</v>
      </c>
      <c r="K291" s="41">
        <f>'2. Toimintakate'!L291+'3. Verotulot'!AU291+'4. Valtionosuudet'!BC291</f>
        <v>1950.7976041045742</v>
      </c>
      <c r="L291" s="41">
        <f>'2. Toimintakate'!M291+'3. Verotulot'!AZ291+'4. Valtionosuudet'!BK291</f>
        <v>1398.6850500240093</v>
      </c>
      <c r="M291" s="41">
        <f>'2. Toimintakate'!N291+'3. Verotulot'!BE291+'4. Valtionosuudet'!BQ291</f>
        <v>1994.8121000295948</v>
      </c>
      <c r="N291" s="41">
        <f>'2. Toimintakate'!O291+'3. Verotulot'!BJ291+'4. Valtionosuudet'!BY291</f>
        <v>2009.3807235100626</v>
      </c>
      <c r="O291" s="41">
        <f>'2. Toimintakate'!P291+'3. Verotulot'!BO291+'4. Valtionosuudet'!CE291</f>
        <v>1922.1401010812845</v>
      </c>
      <c r="P291" s="41">
        <f>'2. Toimintakate'!Q291+'3. Verotulot'!BT291+'4. Valtionosuudet'!CK291</f>
        <v>2228.1425989134486</v>
      </c>
      <c r="T291" s="34">
        <v>918</v>
      </c>
      <c r="U291" s="88" t="s">
        <v>605</v>
      </c>
      <c r="V291" s="41" t="e">
        <f>C291/'1. Väestöennuste'!E291*1000</f>
        <v>#REF!</v>
      </c>
      <c r="W291" s="41">
        <f>D291/'1. Väestöennuste'!F291*1000</f>
        <v>-124.28634167764604</v>
      </c>
      <c r="X291" s="41">
        <f>E291/'1. Väestöennuste'!G291*1000</f>
        <v>344.559585492228</v>
      </c>
      <c r="Y291" s="41">
        <f>F291/'1. Väestöennuste'!H291*1000</f>
        <v>-386.43326039387313</v>
      </c>
      <c r="Z291" s="41">
        <f>G291/'1. Väestöennuste'!I291*1000</f>
        <v>365.46009594417797</v>
      </c>
      <c r="AA291" s="41">
        <f>H291/'1. Väestöennuste'!J291*1000</f>
        <v>1145.6814463463015</v>
      </c>
      <c r="AB291" s="41">
        <f>I291/'1. Väestöennuste'!K291*1000</f>
        <v>643.06180870112291</v>
      </c>
      <c r="AC291" s="41">
        <f>J291/'1. Väestöennuste'!L291*1000</f>
        <v>627.9758570680591</v>
      </c>
      <c r="AD291" s="41">
        <f>K291/'1. Väestöennuste'!M291*1000</f>
        <v>868.95216218466567</v>
      </c>
      <c r="AE291" s="41">
        <f>L291/'1. Väestöennuste'!N291*1000</f>
        <v>602.36220931266553</v>
      </c>
      <c r="AF291" s="41">
        <f>M291/'1. Väestöennuste'!O291*1000</f>
        <v>857.61483234290404</v>
      </c>
      <c r="AG291" s="41">
        <f>N291/'1. Väestöennuste'!P291*1000</f>
        <v>862.02519241100924</v>
      </c>
      <c r="AH291" s="41">
        <f>O291/'1. Väestöennuste'!Q291*1000</f>
        <v>822.48185754440931</v>
      </c>
      <c r="AI291" s="41">
        <f>P291/'1. Väestöennuste'!R291*1000</f>
        <v>951.38454266159215</v>
      </c>
    </row>
    <row r="292" spans="1:35" x14ac:dyDescent="0.2">
      <c r="A292" s="34">
        <v>921</v>
      </c>
      <c r="B292" s="88" t="s">
        <v>606</v>
      </c>
      <c r="C292" s="41" t="e">
        <f>'2. Toimintakate'!D292+'3. Verotulot'!G292+'4. Valtionosuudet'!#REF!</f>
        <v>#REF!</v>
      </c>
      <c r="D292" s="41">
        <f>'2. Toimintakate'!E292+'3. Verotulot'!L292+'4. Valtionosuudet'!H292</f>
        <v>166</v>
      </c>
      <c r="E292" s="41">
        <f>'2. Toimintakate'!F292+'3. Verotulot'!Q292+'4. Valtionosuudet'!N292</f>
        <v>780</v>
      </c>
      <c r="F292" s="41">
        <f>'2. Toimintakate'!G292+'3. Verotulot'!V292+'4. Valtionosuudet'!T292</f>
        <v>404</v>
      </c>
      <c r="G292" s="41">
        <f>'2. Toimintakate'!H292+'3. Verotulot'!AA292+'4. Valtionosuudet'!Z292</f>
        <v>-9</v>
      </c>
      <c r="H292" s="41">
        <f>'2. Toimintakate'!I292+'3. Verotulot'!AF292+'4. Valtionosuudet'!AG292</f>
        <v>1300.0553700539349</v>
      </c>
      <c r="I292" s="41">
        <f>'2. Toimintakate'!J292+'3. Verotulot'!AK292+'4. Valtionosuudet'!AN292</f>
        <v>2266.484683195833</v>
      </c>
      <c r="J292" s="41">
        <f>'2. Toimintakate'!K292+'3. Verotulot'!AP292+'4. Valtionosuudet'!AU292</f>
        <v>751.87884269204915</v>
      </c>
      <c r="K292" s="41">
        <f>'2. Toimintakate'!L292+'3. Verotulot'!AU292+'4. Valtionosuudet'!BC292</f>
        <v>665.7583447359043</v>
      </c>
      <c r="L292" s="41">
        <f>'2. Toimintakate'!M292+'3. Verotulot'!AZ292+'4. Valtionosuudet'!BK292</f>
        <v>996.7080346701282</v>
      </c>
      <c r="M292" s="41">
        <f>'2. Toimintakate'!N292+'3. Verotulot'!BE292+'4. Valtionosuudet'!BQ292</f>
        <v>13.506945456379071</v>
      </c>
      <c r="N292" s="41">
        <f>'2. Toimintakate'!O292+'3. Verotulot'!BJ292+'4. Valtionosuudet'!BY292</f>
        <v>-159.19376778090282</v>
      </c>
      <c r="O292" s="41">
        <f>'2. Toimintakate'!P292+'3. Verotulot'!BO292+'4. Valtionosuudet'!CE292</f>
        <v>-358.6196280614945</v>
      </c>
      <c r="P292" s="41">
        <f>'2. Toimintakate'!Q292+'3. Verotulot'!BT292+'4. Valtionosuudet'!CK292</f>
        <v>-161.82432463834948</v>
      </c>
      <c r="T292" s="34">
        <v>921</v>
      </c>
      <c r="U292" s="88" t="s">
        <v>606</v>
      </c>
      <c r="V292" s="41" t="e">
        <f>C292/'1. Väestöennuste'!E292*1000</f>
        <v>#REF!</v>
      </c>
      <c r="W292" s="41">
        <f>D292/'1. Väestöennuste'!F292*1000</f>
        <v>77.281191806331478</v>
      </c>
      <c r="X292" s="41">
        <f>E292/'1. Väestöennuste'!G292*1000</f>
        <v>372.49283667621773</v>
      </c>
      <c r="Y292" s="41">
        <f>F292/'1. Väestöennuste'!H292*1000</f>
        <v>196.30709426627794</v>
      </c>
      <c r="Z292" s="41">
        <f>G292/'1. Väestöennuste'!I292*1000</f>
        <v>-4.4687189672293943</v>
      </c>
      <c r="AA292" s="41">
        <f>H292/'1. Väestöennuste'!J292*1000</f>
        <v>659.25728704560595</v>
      </c>
      <c r="AB292" s="41">
        <f>I292/'1. Väestöennuste'!K292*1000</f>
        <v>1167.6891721771424</v>
      </c>
      <c r="AC292" s="41">
        <f>J292/'1. Väestöennuste'!L292*1000</f>
        <v>396.97932560298267</v>
      </c>
      <c r="AD292" s="41">
        <f>K292/'1. Väestöennuste'!M292*1000</f>
        <v>351.32366476828724</v>
      </c>
      <c r="AE292" s="41">
        <f>L292/'1. Väestöennuste'!N292*1000</f>
        <v>549.7562243078479</v>
      </c>
      <c r="AF292" s="41">
        <f>M292/'1. Väestöennuste'!O292*1000</f>
        <v>7.5881716047073438</v>
      </c>
      <c r="AG292" s="41">
        <f>N292/'1. Väestöennuste'!P292*1000</f>
        <v>-91.071949531408933</v>
      </c>
      <c r="AH292" s="41">
        <f>O292/'1. Väestöennuste'!Q292*1000</f>
        <v>-208.74250760273253</v>
      </c>
      <c r="AI292" s="41">
        <f>P292/'1. Väestöennuste'!R292*1000</f>
        <v>-95.810730987773525</v>
      </c>
    </row>
    <row r="293" spans="1:35" x14ac:dyDescent="0.2">
      <c r="A293" s="34">
        <v>922</v>
      </c>
      <c r="B293" s="88" t="s">
        <v>607</v>
      </c>
      <c r="C293" s="41" t="e">
        <f>'2. Toimintakate'!D293+'3. Verotulot'!G293+'4. Valtionosuudet'!#REF!</f>
        <v>#REF!</v>
      </c>
      <c r="D293" s="41">
        <f>'2. Toimintakate'!E293+'3. Verotulot'!L293+'4. Valtionosuudet'!H293</f>
        <v>2925</v>
      </c>
      <c r="E293" s="41">
        <f>'2. Toimintakate'!F293+'3. Verotulot'!Q293+'4. Valtionosuudet'!N293</f>
        <v>1924</v>
      </c>
      <c r="F293" s="41">
        <f>'2. Toimintakate'!G293+'3. Verotulot'!V293+'4. Valtionosuudet'!T293</f>
        <v>-237</v>
      </c>
      <c r="G293" s="41">
        <f>'2. Toimintakate'!H293+'3. Verotulot'!AA293+'4. Valtionosuudet'!Z293</f>
        <v>1497</v>
      </c>
      <c r="H293" s="41">
        <f>'2. Toimintakate'!I293+'3. Verotulot'!AF293+'4. Valtionosuudet'!AG293</f>
        <v>3107.5798445422242</v>
      </c>
      <c r="I293" s="41">
        <f>'2. Toimintakate'!J293+'3. Verotulot'!AK293+'4. Valtionosuudet'!AN293</f>
        <v>2681.4911082680201</v>
      </c>
      <c r="J293" s="41">
        <f>'2. Toimintakate'!K293+'3. Verotulot'!AP293+'4. Valtionosuudet'!AU293</f>
        <v>2014.4337138916389</v>
      </c>
      <c r="K293" s="41">
        <f>'2. Toimintakate'!L293+'3. Verotulot'!AU293+'4. Valtionosuudet'!BC293</f>
        <v>1946.1313789843252</v>
      </c>
      <c r="L293" s="41">
        <f>'2. Toimintakate'!M293+'3. Verotulot'!AZ293+'4. Valtionosuudet'!BK293</f>
        <v>1175.0799344985517</v>
      </c>
      <c r="M293" s="41">
        <f>'2. Toimintakate'!N293+'3. Verotulot'!BE293+'4. Valtionosuudet'!BQ293</f>
        <v>293.32637792517653</v>
      </c>
      <c r="N293" s="41">
        <f>'2. Toimintakate'!O293+'3. Verotulot'!BJ293+'4. Valtionosuudet'!BY293</f>
        <v>-21.648674000993196</v>
      </c>
      <c r="O293" s="41">
        <f>'2. Toimintakate'!P293+'3. Verotulot'!BO293+'4. Valtionosuudet'!CE293</f>
        <v>-46.67171686974325</v>
      </c>
      <c r="P293" s="41">
        <f>'2. Toimintakate'!Q293+'3. Verotulot'!BT293+'4. Valtionosuudet'!CK293</f>
        <v>16.432386165146454</v>
      </c>
      <c r="T293" s="34">
        <v>922</v>
      </c>
      <c r="U293" s="88" t="s">
        <v>607</v>
      </c>
      <c r="V293" s="41" t="e">
        <f>C293/'1. Väestöennuste'!E293*1000</f>
        <v>#REF!</v>
      </c>
      <c r="W293" s="41">
        <f>D293/'1. Väestöennuste'!F293*1000</f>
        <v>655.53563424473327</v>
      </c>
      <c r="X293" s="41">
        <f>E293/'1. Väestöennuste'!G293*1000</f>
        <v>431.39013452914799</v>
      </c>
      <c r="Y293" s="41">
        <f>F293/'1. Väestöennuste'!H293*1000</f>
        <v>-53.949465058046897</v>
      </c>
      <c r="Z293" s="41">
        <f>G293/'1. Väestöennuste'!I293*1000</f>
        <v>343.74282433983927</v>
      </c>
      <c r="AA293" s="41">
        <f>H293/'1. Väestöennuste'!J293*1000</f>
        <v>711.60518537719804</v>
      </c>
      <c r="AB293" s="41">
        <f>I293/'1. Väestöennuste'!K293*1000</f>
        <v>603.39583894419889</v>
      </c>
      <c r="AC293" s="41">
        <f>J293/'1. Väestöennuste'!L293*1000</f>
        <v>447.55248031362783</v>
      </c>
      <c r="AD293" s="41">
        <f>K293/'1. Väestöennuste'!M293*1000</f>
        <v>435.47356880383205</v>
      </c>
      <c r="AE293" s="41">
        <f>L293/'1. Väestöennuste'!N293*1000</f>
        <v>273.21086596106761</v>
      </c>
      <c r="AF293" s="41">
        <f>M293/'1. Väestöennuste'!O293*1000</f>
        <v>68.374447068805722</v>
      </c>
      <c r="AG293" s="41">
        <f>N293/'1. Väestöennuste'!P293*1000</f>
        <v>-5.053378618345751</v>
      </c>
      <c r="AH293" s="41">
        <f>O293/'1. Väestöennuste'!Q293*1000</f>
        <v>-10.909704738135403</v>
      </c>
      <c r="AI293" s="41">
        <f>P293/'1. Väestöennuste'!R293*1000</f>
        <v>3.8465323420286643</v>
      </c>
    </row>
    <row r="294" spans="1:35" x14ac:dyDescent="0.2">
      <c r="A294" s="34">
        <v>924</v>
      </c>
      <c r="B294" s="88" t="s">
        <v>608</v>
      </c>
      <c r="C294" s="41" t="e">
        <f>'2. Toimintakate'!D294+'3. Verotulot'!G294+'4. Valtionosuudet'!#REF!</f>
        <v>#REF!</v>
      </c>
      <c r="D294" s="41">
        <f>'2. Toimintakate'!E294+'3. Verotulot'!L294+'4. Valtionosuudet'!H294</f>
        <v>1073</v>
      </c>
      <c r="E294" s="41">
        <f>'2. Toimintakate'!F294+'3. Verotulot'!Q294+'4. Valtionosuudet'!N294</f>
        <v>907</v>
      </c>
      <c r="F294" s="41">
        <f>'2. Toimintakate'!G294+'3. Verotulot'!V294+'4. Valtionosuudet'!T294</f>
        <v>1804</v>
      </c>
      <c r="G294" s="41">
        <f>'2. Toimintakate'!H294+'3. Verotulot'!AA294+'4. Valtionosuudet'!Z294</f>
        <v>285</v>
      </c>
      <c r="H294" s="41">
        <f>'2. Toimintakate'!I294+'3. Verotulot'!AF294+'4. Valtionosuudet'!AG294</f>
        <v>959.58604293985445</v>
      </c>
      <c r="I294" s="41">
        <f>'2. Toimintakate'!J294+'3. Verotulot'!AK294+'4. Valtionosuudet'!AN294</f>
        <v>1680.145792783218</v>
      </c>
      <c r="J294" s="41">
        <f>'2. Toimintakate'!K294+'3. Verotulot'!AP294+'4. Valtionosuudet'!AU294</f>
        <v>2176.383027765125</v>
      </c>
      <c r="K294" s="41">
        <f>'2. Toimintakate'!L294+'3. Verotulot'!AU294+'4. Valtionosuudet'!BC294</f>
        <v>978.55847264446811</v>
      </c>
      <c r="L294" s="41">
        <f>'2. Toimintakate'!M294+'3. Verotulot'!AZ294+'4. Valtionosuudet'!BK294</f>
        <v>823.66107194155984</v>
      </c>
      <c r="M294" s="41">
        <f>'2. Toimintakate'!N294+'3. Verotulot'!BE294+'4. Valtionosuudet'!BQ294</f>
        <v>483.06377081456912</v>
      </c>
      <c r="N294" s="41">
        <f>'2. Toimintakate'!O294+'3. Verotulot'!BJ294+'4. Valtionosuudet'!BY294</f>
        <v>561.06207175458394</v>
      </c>
      <c r="O294" s="41">
        <f>'2. Toimintakate'!P294+'3. Verotulot'!BO294+'4. Valtionosuudet'!CE294</f>
        <v>244.74690051264497</v>
      </c>
      <c r="P294" s="41">
        <f>'2. Toimintakate'!Q294+'3. Verotulot'!BT294+'4. Valtionosuudet'!CK294</f>
        <v>477.56388635796611</v>
      </c>
      <c r="T294" s="34">
        <v>924</v>
      </c>
      <c r="U294" s="88" t="s">
        <v>608</v>
      </c>
      <c r="V294" s="41" t="e">
        <f>C294/'1. Väestöennuste'!E294*1000</f>
        <v>#REF!</v>
      </c>
      <c r="W294" s="41">
        <f>D294/'1. Väestöennuste'!F294*1000</f>
        <v>329.24209880331392</v>
      </c>
      <c r="X294" s="41">
        <f>E294/'1. Väestöennuste'!G294*1000</f>
        <v>282.0273631840796</v>
      </c>
      <c r="Y294" s="41">
        <f>F294/'1. Väestöennuste'!H294*1000</f>
        <v>569.80416929879971</v>
      </c>
      <c r="Z294" s="41">
        <f>G294/'1. Väestöennuste'!I294*1000</f>
        <v>91.522157996146433</v>
      </c>
      <c r="AA294" s="41">
        <f>H294/'1. Väestöennuste'!J294*1000</f>
        <v>313.07864369978938</v>
      </c>
      <c r="AB294" s="41">
        <f>I294/'1. Väestöennuste'!K294*1000</f>
        <v>559.30286044714319</v>
      </c>
      <c r="AC294" s="41">
        <f>J294/'1. Väestöennuste'!L294*1000</f>
        <v>738.7586652291667</v>
      </c>
      <c r="AD294" s="41">
        <f>K294/'1. Väestöennuste'!M294*1000</f>
        <v>333.29648250833384</v>
      </c>
      <c r="AE294" s="41">
        <f>L294/'1. Väestöennuste'!N294*1000</f>
        <v>285.29999028110836</v>
      </c>
      <c r="AF294" s="41">
        <f>M294/'1. Väestöennuste'!O294*1000</f>
        <v>169.91339107090013</v>
      </c>
      <c r="AG294" s="41">
        <f>N294/'1. Väestöennuste'!P294*1000</f>
        <v>200.30777285061905</v>
      </c>
      <c r="AH294" s="41">
        <f>O294/'1. Väestöennuste'!Q294*1000</f>
        <v>88.740718097405718</v>
      </c>
      <c r="AI294" s="41">
        <f>P294/'1. Väestöennuste'!R294*1000</f>
        <v>175.83353695065026</v>
      </c>
    </row>
    <row r="295" spans="1:35" x14ac:dyDescent="0.2">
      <c r="A295" s="34">
        <v>925</v>
      </c>
      <c r="B295" s="88" t="s">
        <v>609</v>
      </c>
      <c r="C295" s="41" t="e">
        <f>'2. Toimintakate'!D295+'3. Verotulot'!G295+'4. Valtionosuudet'!#REF!</f>
        <v>#REF!</v>
      </c>
      <c r="D295" s="41">
        <f>'2. Toimintakate'!E295+'3. Verotulot'!L295+'4. Valtionosuudet'!H295</f>
        <v>678</v>
      </c>
      <c r="E295" s="41">
        <f>'2. Toimintakate'!F295+'3. Verotulot'!Q295+'4. Valtionosuudet'!N295</f>
        <v>3304</v>
      </c>
      <c r="F295" s="41">
        <f>'2. Toimintakate'!G295+'3. Verotulot'!V295+'4. Valtionosuudet'!T295</f>
        <v>3239</v>
      </c>
      <c r="G295" s="41">
        <f>'2. Toimintakate'!H295+'3. Verotulot'!AA295+'4. Valtionosuudet'!Z295</f>
        <v>4010</v>
      </c>
      <c r="H295" s="41">
        <f>'2. Toimintakate'!I295+'3. Verotulot'!AF295+'4. Valtionosuudet'!AG295</f>
        <v>3999.768188670967</v>
      </c>
      <c r="I295" s="41">
        <f>'2. Toimintakate'!J295+'3. Verotulot'!AK295+'4. Valtionosuudet'!AN295</f>
        <v>4979.4121566144295</v>
      </c>
      <c r="J295" s="41">
        <f>'2. Toimintakate'!K295+'3. Verotulot'!AP295+'4. Valtionosuudet'!AU295</f>
        <v>4067.6883765471757</v>
      </c>
      <c r="K295" s="41">
        <f>'2. Toimintakate'!L295+'3. Verotulot'!AU295+'4. Valtionosuudet'!BC295</f>
        <v>2795.8617454296509</v>
      </c>
      <c r="L295" s="41">
        <f>'2. Toimintakate'!M295+'3. Verotulot'!AZ295+'4. Valtionosuudet'!BK295</f>
        <v>1322.4554398420082</v>
      </c>
      <c r="M295" s="41">
        <f>'2. Toimintakate'!N295+'3. Verotulot'!BE295+'4. Valtionosuudet'!BQ295</f>
        <v>1237.1070074935269</v>
      </c>
      <c r="N295" s="41">
        <f>'2. Toimintakate'!O295+'3. Verotulot'!BJ295+'4. Valtionosuudet'!BY295</f>
        <v>1276.3706278771388</v>
      </c>
      <c r="O295" s="41">
        <f>'2. Toimintakate'!P295+'3. Verotulot'!BO295+'4. Valtionosuudet'!CE295</f>
        <v>1267.9802891542513</v>
      </c>
      <c r="P295" s="41">
        <f>'2. Toimintakate'!Q295+'3. Verotulot'!BT295+'4. Valtionosuudet'!CK295</f>
        <v>1516.9516017109017</v>
      </c>
      <c r="T295" s="34">
        <v>925</v>
      </c>
      <c r="U295" s="88" t="s">
        <v>609</v>
      </c>
      <c r="V295" s="41" t="e">
        <f>C295/'1. Väestöennuste'!E295*1000</f>
        <v>#REF!</v>
      </c>
      <c r="W295" s="41">
        <f>D295/'1. Väestöennuste'!F295*1000</f>
        <v>182.20908357968287</v>
      </c>
      <c r="X295" s="41">
        <f>E295/'1. Väestöennuste'!G295*1000</f>
        <v>896.60786974219809</v>
      </c>
      <c r="Y295" s="41">
        <f>F295/'1. Väestöennuste'!H295*1000</f>
        <v>881.12078346028284</v>
      </c>
      <c r="Z295" s="41">
        <f>G295/'1. Väestöennuste'!I295*1000</f>
        <v>1120.4246996367699</v>
      </c>
      <c r="AA295" s="41">
        <f>H295/'1. Väestöennuste'!J295*1000</f>
        <v>1135.652523756663</v>
      </c>
      <c r="AB295" s="41">
        <f>I295/'1. Väestöennuste'!K295*1000</f>
        <v>1426.7656609210399</v>
      </c>
      <c r="AC295" s="41">
        <f>J295/'1. Väestöennuste'!L295*1000</f>
        <v>1186.9531300108479</v>
      </c>
      <c r="AD295" s="41">
        <f>K295/'1. Väestöennuste'!M295*1000</f>
        <v>825.46848108345171</v>
      </c>
      <c r="AE295" s="41">
        <f>L295/'1. Väestöennuste'!N295*1000</f>
        <v>395.2347399408273</v>
      </c>
      <c r="AF295" s="41">
        <f>M295/'1. Väestöennuste'!O295*1000</f>
        <v>373.86128966259503</v>
      </c>
      <c r="AG295" s="41">
        <f>N295/'1. Väestöennuste'!P295*1000</f>
        <v>390.20807944883484</v>
      </c>
      <c r="AH295" s="41">
        <f>O295/'1. Väestöennuste'!Q295*1000</f>
        <v>391.8356888610171</v>
      </c>
      <c r="AI295" s="41">
        <f>P295/'1. Väestöennuste'!R295*1000</f>
        <v>473.89928200902898</v>
      </c>
    </row>
    <row r="296" spans="1:35" x14ac:dyDescent="0.2">
      <c r="A296" s="34">
        <v>927</v>
      </c>
      <c r="B296" s="88" t="s">
        <v>610</v>
      </c>
      <c r="C296" s="41" t="e">
        <f>'2. Toimintakate'!D296+'3. Verotulot'!G296+'4. Valtionosuudet'!#REF!</f>
        <v>#REF!</v>
      </c>
      <c r="D296" s="41">
        <f>'2. Toimintakate'!E296+'3. Verotulot'!L296+'4. Valtionosuudet'!H296</f>
        <v>16092</v>
      </c>
      <c r="E296" s="41">
        <f>'2. Toimintakate'!F296+'3. Verotulot'!Q296+'4. Valtionosuudet'!N296</f>
        <v>15326</v>
      </c>
      <c r="F296" s="41">
        <f>'2. Toimintakate'!G296+'3. Verotulot'!V296+'4. Valtionosuudet'!T296</f>
        <v>4945</v>
      </c>
      <c r="G296" s="41">
        <f>'2. Toimintakate'!H296+'3. Verotulot'!AA296+'4. Valtionosuudet'!Z296</f>
        <v>162</v>
      </c>
      <c r="H296" s="41">
        <f>'2. Toimintakate'!I296+'3. Verotulot'!AF296+'4. Valtionosuudet'!AG296</f>
        <v>20271.91744226234</v>
      </c>
      <c r="I296" s="41">
        <f>'2. Toimintakate'!J296+'3. Verotulot'!AK296+'4. Valtionosuudet'!AN296</f>
        <v>18004.033818634183</v>
      </c>
      <c r="J296" s="41">
        <f>'2. Toimintakate'!K296+'3. Verotulot'!AP296+'4. Valtionosuudet'!AU296</f>
        <v>19598.620265181511</v>
      </c>
      <c r="K296" s="41">
        <f>'2. Toimintakate'!L296+'3. Verotulot'!AU296+'4. Valtionosuudet'!BC296</f>
        <v>37056.631077866361</v>
      </c>
      <c r="L296" s="41">
        <f>'2. Toimintakate'!M296+'3. Verotulot'!AZ296+'4. Valtionosuudet'!BK296</f>
        <v>17489.05934696961</v>
      </c>
      <c r="M296" s="41">
        <f>'2. Toimintakate'!N296+'3. Verotulot'!BE296+'4. Valtionosuudet'!BQ296</f>
        <v>28986.271658423804</v>
      </c>
      <c r="N296" s="41">
        <f>'2. Toimintakate'!O296+'3. Verotulot'!BJ296+'4. Valtionosuudet'!BY296</f>
        <v>28752.046484514114</v>
      </c>
      <c r="O296" s="41">
        <f>'2. Toimintakate'!P296+'3. Verotulot'!BO296+'4. Valtionosuudet'!CE296</f>
        <v>30011.113140069363</v>
      </c>
      <c r="P296" s="41">
        <f>'2. Toimintakate'!Q296+'3. Verotulot'!BT296+'4. Valtionosuudet'!CK296</f>
        <v>31710.883351602752</v>
      </c>
      <c r="T296" s="34">
        <v>927</v>
      </c>
      <c r="U296" s="88" t="s">
        <v>610</v>
      </c>
      <c r="V296" s="41" t="e">
        <f>C296/'1. Väestöennuste'!E296*1000</f>
        <v>#REF!</v>
      </c>
      <c r="W296" s="41">
        <f>D296/'1. Väestöennuste'!F296*1000</f>
        <v>555.52870507819239</v>
      </c>
      <c r="X296" s="41">
        <f>E296/'1. Väestöennuste'!G296*1000</f>
        <v>527.5005162800303</v>
      </c>
      <c r="Y296" s="41">
        <f>F296/'1. Väestöennuste'!H296*1000</f>
        <v>169.28554311731884</v>
      </c>
      <c r="Z296" s="41">
        <f>G296/'1. Väestöennuste'!I296*1000</f>
        <v>5.555936621167433</v>
      </c>
      <c r="AA296" s="41">
        <f>H296/'1. Väestöennuste'!J296*1000</f>
        <v>695.19607140817357</v>
      </c>
      <c r="AB296" s="41">
        <f>I296/'1. Väestöennuste'!K296*1000</f>
        <v>615.75408935443011</v>
      </c>
      <c r="AC296" s="41">
        <f>J296/'1. Väestöennuste'!L296*1000</f>
        <v>677.8480360108432</v>
      </c>
      <c r="AD296" s="41">
        <f>K296/'1. Väestöennuste'!M296*1000</f>
        <v>1286.1973231705376</v>
      </c>
      <c r="AE296" s="41">
        <f>L296/'1. Väestöennuste'!N296*1000</f>
        <v>596.2856920207845</v>
      </c>
      <c r="AF296" s="41">
        <f>M296/'1. Väestöennuste'!O296*1000</f>
        <v>986.63234481853726</v>
      </c>
      <c r="AG296" s="41">
        <f>N296/'1. Väestöennuste'!P296*1000</f>
        <v>977.22950460587697</v>
      </c>
      <c r="AH296" s="41">
        <f>O296/'1. Väestöennuste'!Q296*1000</f>
        <v>1018.6380130360928</v>
      </c>
      <c r="AI296" s="41">
        <f>P296/'1. Väestöennuste'!R296*1000</f>
        <v>1075.1274233464233</v>
      </c>
    </row>
    <row r="297" spans="1:35" x14ac:dyDescent="0.2">
      <c r="A297" s="34">
        <v>931</v>
      </c>
      <c r="B297" s="88" t="s">
        <v>611</v>
      </c>
      <c r="C297" s="41" t="e">
        <f>'2. Toimintakate'!D297+'3. Verotulot'!G297+'4. Valtionosuudet'!#REF!</f>
        <v>#REF!</v>
      </c>
      <c r="D297" s="41">
        <f>'2. Toimintakate'!E297+'3. Verotulot'!L297+'4. Valtionosuudet'!H297</f>
        <v>4100</v>
      </c>
      <c r="E297" s="41">
        <f>'2. Toimintakate'!F297+'3. Verotulot'!Q297+'4. Valtionosuudet'!N297</f>
        <v>5317</v>
      </c>
      <c r="F297" s="41">
        <f>'2. Toimintakate'!G297+'3. Verotulot'!V297+'4. Valtionosuudet'!T297</f>
        <v>2970</v>
      </c>
      <c r="G297" s="41">
        <f>'2. Toimintakate'!H297+'3. Verotulot'!AA297+'4. Valtionosuudet'!Z297</f>
        <v>1702</v>
      </c>
      <c r="H297" s="41">
        <f>'2. Toimintakate'!I297+'3. Verotulot'!AF297+'4. Valtionosuudet'!AG297</f>
        <v>3311.9890046548753</v>
      </c>
      <c r="I297" s="41">
        <f>'2. Toimintakate'!J297+'3. Verotulot'!AK297+'4. Valtionosuudet'!AN297</f>
        <v>5045.5386822490982</v>
      </c>
      <c r="J297" s="41">
        <f>'2. Toimintakate'!K297+'3. Verotulot'!AP297+'4. Valtionosuudet'!AU297</f>
        <v>1621.0025296757849</v>
      </c>
      <c r="K297" s="41">
        <f>'2. Toimintakate'!L297+'3. Verotulot'!AU297+'4. Valtionosuudet'!BC297</f>
        <v>6778.2608910929866</v>
      </c>
      <c r="L297" s="41">
        <f>'2. Toimintakate'!M297+'3. Verotulot'!AZ297+'4. Valtionosuudet'!BK297</f>
        <v>3536.3961135224399</v>
      </c>
      <c r="M297" s="41">
        <f>'2. Toimintakate'!N297+'3. Verotulot'!BE297+'4. Valtionosuudet'!BQ297</f>
        <v>3679.1819896598208</v>
      </c>
      <c r="N297" s="41">
        <f>'2. Toimintakate'!O297+'3. Verotulot'!BJ297+'4. Valtionosuudet'!BY297</f>
        <v>3910.4754199031086</v>
      </c>
      <c r="O297" s="41">
        <f>'2. Toimintakate'!P297+'3. Verotulot'!BO297+'4. Valtionosuudet'!CE297</f>
        <v>3773.6939647883391</v>
      </c>
      <c r="P297" s="41">
        <f>'2. Toimintakate'!Q297+'3. Verotulot'!BT297+'4. Valtionosuudet'!CK297</f>
        <v>4585.09228342592</v>
      </c>
      <c r="T297" s="34">
        <v>931</v>
      </c>
      <c r="U297" s="88" t="s">
        <v>611</v>
      </c>
      <c r="V297" s="41" t="e">
        <f>C297/'1. Väestöennuste'!E297*1000</f>
        <v>#REF!</v>
      </c>
      <c r="W297" s="41">
        <f>D297/'1. Väestöennuste'!F297*1000</f>
        <v>620.5539579234146</v>
      </c>
      <c r="X297" s="41">
        <f>E297/'1. Väestöennuste'!G297*1000</f>
        <v>829.3557947278116</v>
      </c>
      <c r="Y297" s="41">
        <f>F297/'1. Väestöennuste'!H297*1000</f>
        <v>474.13793103448279</v>
      </c>
      <c r="Z297" s="41">
        <f>G297/'1. Väestöennuste'!I297*1000</f>
        <v>275.58290155440415</v>
      </c>
      <c r="AA297" s="41">
        <f>H297/'1. Väestöennuste'!J297*1000</f>
        <v>543.2161726512835</v>
      </c>
      <c r="AB297" s="41">
        <f>I297/'1. Väestöennuste'!K297*1000</f>
        <v>831.2254830723391</v>
      </c>
      <c r="AC297" s="41">
        <f>J297/'1. Väestöennuste'!L297*1000</f>
        <v>272.39161984133506</v>
      </c>
      <c r="AD297" s="41">
        <f>K297/'1. Väestöennuste'!M297*1000</f>
        <v>1153.3539035380275</v>
      </c>
      <c r="AE297" s="41">
        <f>L297/'1. Väestöennuste'!N297*1000</f>
        <v>622.16680392724129</v>
      </c>
      <c r="AF297" s="41">
        <f>M297/'1. Väestöennuste'!O297*1000</f>
        <v>657.34893508304822</v>
      </c>
      <c r="AG297" s="41">
        <f>N297/'1. Väestöennuste'!P297*1000</f>
        <v>709.19031916995084</v>
      </c>
      <c r="AH297" s="41">
        <f>O297/'1. Väestöennuste'!Q297*1000</f>
        <v>694.45969171666161</v>
      </c>
      <c r="AI297" s="41">
        <f>P297/'1. Väestöennuste'!R297*1000</f>
        <v>855.42766481826857</v>
      </c>
    </row>
    <row r="298" spans="1:35" x14ac:dyDescent="0.2">
      <c r="A298" s="34">
        <v>934</v>
      </c>
      <c r="B298" s="88" t="s">
        <v>612</v>
      </c>
      <c r="C298" s="41" t="e">
        <f>'2. Toimintakate'!D298+'3. Verotulot'!G298+'4. Valtionosuudet'!#REF!</f>
        <v>#REF!</v>
      </c>
      <c r="D298" s="41">
        <f>'2. Toimintakate'!E298+'3. Verotulot'!L298+'4. Valtionosuudet'!H298</f>
        <v>2419</v>
      </c>
      <c r="E298" s="41">
        <f>'2. Toimintakate'!F298+'3. Verotulot'!Q298+'4. Valtionosuudet'!N298</f>
        <v>1861</v>
      </c>
      <c r="F298" s="41">
        <f>'2. Toimintakate'!G298+'3. Verotulot'!V298+'4. Valtionosuudet'!T298</f>
        <v>379</v>
      </c>
      <c r="G298" s="41">
        <f>'2. Toimintakate'!H298+'3. Verotulot'!AA298+'4. Valtionosuudet'!Z298</f>
        <v>-199</v>
      </c>
      <c r="H298" s="41">
        <f>'2. Toimintakate'!I298+'3. Verotulot'!AF298+'4. Valtionosuudet'!AG298</f>
        <v>2253.1033308771275</v>
      </c>
      <c r="I298" s="41">
        <f>'2. Toimintakate'!J298+'3. Verotulot'!AK298+'4. Valtionosuudet'!AN298</f>
        <v>2061.8977338625318</v>
      </c>
      <c r="J298" s="41">
        <f>'2. Toimintakate'!K298+'3. Verotulot'!AP298+'4. Valtionosuudet'!AU298</f>
        <v>1836.8328355989579</v>
      </c>
      <c r="K298" s="41">
        <f>'2. Toimintakate'!L298+'3. Verotulot'!AU298+'4. Valtionosuudet'!BC298</f>
        <v>1690.6654527952601</v>
      </c>
      <c r="L298" s="41">
        <f>'2. Toimintakate'!M298+'3. Verotulot'!AZ298+'4. Valtionosuudet'!BK298</f>
        <v>1054.154089043669</v>
      </c>
      <c r="M298" s="41">
        <f>'2. Toimintakate'!N298+'3. Verotulot'!BE298+'4. Valtionosuudet'!BQ298</f>
        <v>612.57679594841102</v>
      </c>
      <c r="N298" s="41">
        <f>'2. Toimintakate'!O298+'3. Verotulot'!BJ298+'4. Valtionosuudet'!BY298</f>
        <v>390.27757423725416</v>
      </c>
      <c r="O298" s="41">
        <f>'2. Toimintakate'!P298+'3. Verotulot'!BO298+'4. Valtionosuudet'!CE298</f>
        <v>271.02809727012709</v>
      </c>
      <c r="P298" s="41">
        <f>'2. Toimintakate'!Q298+'3. Verotulot'!BT298+'4. Valtionosuudet'!CK298</f>
        <v>518.2296052326169</v>
      </c>
      <c r="T298" s="34">
        <v>934</v>
      </c>
      <c r="U298" s="88" t="s">
        <v>612</v>
      </c>
      <c r="V298" s="41" t="e">
        <f>C298/'1. Väestöennuste'!E298*1000</f>
        <v>#REF!</v>
      </c>
      <c r="W298" s="41">
        <f>D298/'1. Väestöennuste'!F298*1000</f>
        <v>799.66942148760336</v>
      </c>
      <c r="X298" s="41">
        <f>E298/'1. Väestöennuste'!G298*1000</f>
        <v>625.75655682582374</v>
      </c>
      <c r="Y298" s="41">
        <f>F298/'1. Väestöennuste'!H298*1000</f>
        <v>130.64460530851429</v>
      </c>
      <c r="Z298" s="41">
        <f>G298/'1. Väestöennuste'!I298*1000</f>
        <v>-70.392642377078175</v>
      </c>
      <c r="AA298" s="41">
        <f>H298/'1. Väestöennuste'!J298*1000</f>
        <v>809.30435735528999</v>
      </c>
      <c r="AB298" s="41">
        <f>I298/'1. Väestöennuste'!K298*1000</f>
        <v>748.14866976144117</v>
      </c>
      <c r="AC298" s="41">
        <f>J298/'1. Väestöennuste'!L298*1000</f>
        <v>687.69480928452185</v>
      </c>
      <c r="AD298" s="41">
        <f>K298/'1. Väestöennuste'!M298*1000</f>
        <v>636.54572770905884</v>
      </c>
      <c r="AE298" s="41">
        <f>L298/'1. Väestöennuste'!N298*1000</f>
        <v>412.58477066288418</v>
      </c>
      <c r="AF298" s="41">
        <f>M298/'1. Väestöennuste'!O298*1000</f>
        <v>244.83485049896521</v>
      </c>
      <c r="AG298" s="41">
        <f>N298/'1. Väestöennuste'!P298*1000</f>
        <v>159.03731631509947</v>
      </c>
      <c r="AH298" s="41">
        <f>O298/'1. Väestöennuste'!Q298*1000</f>
        <v>112.50647458286721</v>
      </c>
      <c r="AI298" s="41">
        <f>P298/'1. Väestöennuste'!R298*1000</f>
        <v>218.84696166917945</v>
      </c>
    </row>
    <row r="299" spans="1:35" x14ac:dyDescent="0.2">
      <c r="A299" s="34">
        <v>935</v>
      </c>
      <c r="B299" s="88" t="s">
        <v>613</v>
      </c>
      <c r="C299" s="41" t="e">
        <f>'2. Toimintakate'!D299+'3. Verotulot'!G299+'4. Valtionosuudet'!#REF!</f>
        <v>#REF!</v>
      </c>
      <c r="D299" s="41">
        <f>'2. Toimintakate'!E299+'3. Verotulot'!L299+'4. Valtionosuudet'!H299</f>
        <v>2179</v>
      </c>
      <c r="E299" s="41">
        <f>'2. Toimintakate'!F299+'3. Verotulot'!Q299+'4. Valtionosuudet'!N299</f>
        <v>1894</v>
      </c>
      <c r="F299" s="41">
        <f>'2. Toimintakate'!G299+'3. Verotulot'!V299+'4. Valtionosuudet'!T299</f>
        <v>788</v>
      </c>
      <c r="G299" s="41">
        <f>'2. Toimintakate'!H299+'3. Verotulot'!AA299+'4. Valtionosuudet'!Z299</f>
        <v>977</v>
      </c>
      <c r="H299" s="41">
        <f>'2. Toimintakate'!I299+'3. Verotulot'!AF299+'4. Valtionosuudet'!AG299</f>
        <v>2391.9086757959994</v>
      </c>
      <c r="I299" s="41">
        <f>'2. Toimintakate'!J299+'3. Verotulot'!AK299+'4. Valtionosuudet'!AN299</f>
        <v>-636.85095633539459</v>
      </c>
      <c r="J299" s="41">
        <f>'2. Toimintakate'!K299+'3. Verotulot'!AP299+'4. Valtionosuudet'!AU299</f>
        <v>-1412.8376297845443</v>
      </c>
      <c r="K299" s="41">
        <f>'2. Toimintakate'!L299+'3. Verotulot'!AU299+'4. Valtionosuudet'!BC299</f>
        <v>221.12056829459925</v>
      </c>
      <c r="L299" s="41">
        <f>'2. Toimintakate'!M299+'3. Verotulot'!AZ299+'4. Valtionosuudet'!BK299</f>
        <v>419.97820090050709</v>
      </c>
      <c r="M299" s="41">
        <f>'2. Toimintakate'!N299+'3. Verotulot'!BE299+'4. Valtionosuudet'!BQ299</f>
        <v>-546.82530358038093</v>
      </c>
      <c r="N299" s="41">
        <f>'2. Toimintakate'!O299+'3. Verotulot'!BJ299+'4. Valtionosuudet'!BY299</f>
        <v>-742.27955705346358</v>
      </c>
      <c r="O299" s="41">
        <f>'2. Toimintakate'!P299+'3. Verotulot'!BO299+'4. Valtionosuudet'!CE299</f>
        <v>-945.96223437981325</v>
      </c>
      <c r="P299" s="41">
        <f>'2. Toimintakate'!Q299+'3. Verotulot'!BT299+'4. Valtionosuudet'!CK299</f>
        <v>-821.27711278091556</v>
      </c>
      <c r="T299" s="34">
        <v>935</v>
      </c>
      <c r="U299" s="88" t="s">
        <v>613</v>
      </c>
      <c r="V299" s="41" t="e">
        <f>C299/'1. Väestöennuste'!E299*1000</f>
        <v>#REF!</v>
      </c>
      <c r="W299" s="41">
        <f>D299/'1. Väestöennuste'!F299*1000</f>
        <v>666.97275788184879</v>
      </c>
      <c r="X299" s="41">
        <f>E299/'1. Väestöennuste'!G299*1000</f>
        <v>590.5830994699096</v>
      </c>
      <c r="Y299" s="41">
        <f>F299/'1. Väestöennuste'!H299*1000</f>
        <v>250.15873015873012</v>
      </c>
      <c r="Z299" s="41">
        <f>G299/'1. Väestöennuste'!I299*1000</f>
        <v>314.24895464779672</v>
      </c>
      <c r="AA299" s="41">
        <f>H299/'1. Väestöennuste'!J299*1000</f>
        <v>774.83274240233209</v>
      </c>
      <c r="AB299" s="41">
        <f>I299/'1. Väestöennuste'!K299*1000</f>
        <v>-209.49044616295876</v>
      </c>
      <c r="AC299" s="41">
        <f>J299/'1. Väestöennuste'!L299*1000</f>
        <v>-473.31243878879206</v>
      </c>
      <c r="AD299" s="41">
        <f>K299/'1. Väestöennuste'!M299*1000</f>
        <v>75.545120701947127</v>
      </c>
      <c r="AE299" s="41">
        <f>L299/'1. Väestöennuste'!N299*1000</f>
        <v>144.22328327627304</v>
      </c>
      <c r="AF299" s="41">
        <f>M299/'1. Väestöennuste'!O299*1000</f>
        <v>-190.13397203768463</v>
      </c>
      <c r="AG299" s="41">
        <f>N299/'1. Väestöennuste'!P299*1000</f>
        <v>-261.18211015252064</v>
      </c>
      <c r="AH299" s="41">
        <f>O299/'1. Väestöennuste'!Q299*1000</f>
        <v>-336.76120839437993</v>
      </c>
      <c r="AI299" s="41">
        <f>P299/'1. Väestöennuste'!R299*1000</f>
        <v>-295.84910402770731</v>
      </c>
    </row>
    <row r="300" spans="1:35" x14ac:dyDescent="0.2">
      <c r="A300" s="34">
        <v>936</v>
      </c>
      <c r="B300" s="88" t="s">
        <v>614</v>
      </c>
      <c r="C300" s="41" t="e">
        <f>'2. Toimintakate'!D300+'3. Verotulot'!G300+'4. Valtionosuudet'!#REF!</f>
        <v>#REF!</v>
      </c>
      <c r="D300" s="41">
        <f>'2. Toimintakate'!E300+'3. Verotulot'!L300+'4. Valtionosuudet'!H300</f>
        <v>5858</v>
      </c>
      <c r="E300" s="41">
        <f>'2. Toimintakate'!F300+'3. Verotulot'!Q300+'4. Valtionosuudet'!N300</f>
        <v>5588</v>
      </c>
      <c r="F300" s="41">
        <f>'2. Toimintakate'!G300+'3. Verotulot'!V300+'4. Valtionosuudet'!T300</f>
        <v>2560</v>
      </c>
      <c r="G300" s="41">
        <f>'2. Toimintakate'!H300+'3. Verotulot'!AA300+'4. Valtionosuudet'!Z300</f>
        <v>2224</v>
      </c>
      <c r="H300" s="41">
        <f>'2. Toimintakate'!I300+'3. Verotulot'!AF300+'4. Valtionosuudet'!AG300</f>
        <v>6293.101501571502</v>
      </c>
      <c r="I300" s="41">
        <f>'2. Toimintakate'!J300+'3. Verotulot'!AK300+'4. Valtionosuudet'!AN300</f>
        <v>6993.1241519452778</v>
      </c>
      <c r="J300" s="41">
        <f>'2. Toimintakate'!K300+'3. Verotulot'!AP300+'4. Valtionosuudet'!AU300</f>
        <v>6276.6665895533333</v>
      </c>
      <c r="K300" s="41">
        <f>'2. Toimintakate'!L300+'3. Verotulot'!AU300+'4. Valtionosuudet'!BC300</f>
        <v>6088.1561622426298</v>
      </c>
      <c r="L300" s="41">
        <f>'2. Toimintakate'!M300+'3. Verotulot'!AZ300+'4. Valtionosuudet'!BK300</f>
        <v>3303.6937548535361</v>
      </c>
      <c r="M300" s="41">
        <f>'2. Toimintakate'!N300+'3. Verotulot'!BE300+'4. Valtionosuudet'!BQ300</f>
        <v>4381.3109358666406</v>
      </c>
      <c r="N300" s="41">
        <f>'2. Toimintakate'!O300+'3. Verotulot'!BJ300+'4. Valtionosuudet'!BY300</f>
        <v>4166.7958245323871</v>
      </c>
      <c r="O300" s="41">
        <f>'2. Toimintakate'!P300+'3. Verotulot'!BO300+'4. Valtionosuudet'!CE300</f>
        <v>3921.6797265874584</v>
      </c>
      <c r="P300" s="41">
        <f>'2. Toimintakate'!Q300+'3. Verotulot'!BT300+'4. Valtionosuudet'!CK300</f>
        <v>4854.759552750802</v>
      </c>
      <c r="T300" s="34">
        <v>936</v>
      </c>
      <c r="U300" s="88" t="s">
        <v>614</v>
      </c>
      <c r="V300" s="41" t="e">
        <f>C300/'1. Väestöennuste'!E300*1000</f>
        <v>#REF!</v>
      </c>
      <c r="W300" s="41">
        <f>D300/'1. Väestöennuste'!F300*1000</f>
        <v>846.89894462917448</v>
      </c>
      <c r="X300" s="41">
        <f>E300/'1. Väestöennuste'!G300*1000</f>
        <v>816.48158971361772</v>
      </c>
      <c r="Y300" s="41">
        <f>F300/'1. Väestöennuste'!H300*1000</f>
        <v>379.87832022555273</v>
      </c>
      <c r="Z300" s="41">
        <f>G300/'1. Väestöennuste'!I300*1000</f>
        <v>339.85330073349633</v>
      </c>
      <c r="AA300" s="41">
        <f>H300/'1. Väestöennuste'!J300*1000</f>
        <v>966.68225830591427</v>
      </c>
      <c r="AB300" s="41">
        <f>I300/'1. Väestöennuste'!K300*1000</f>
        <v>1081.689737346524</v>
      </c>
      <c r="AC300" s="41">
        <f>J300/'1. Väestöennuste'!L300*1000</f>
        <v>981.49594832733908</v>
      </c>
      <c r="AD300" s="41">
        <f>K300/'1. Väestöennuste'!M300*1000</f>
        <v>970.22408960041901</v>
      </c>
      <c r="AE300" s="41">
        <f>L300/'1. Väestöennuste'!N300*1000</f>
        <v>538.85071845596747</v>
      </c>
      <c r="AF300" s="41">
        <f>M300/'1. Väestöennuste'!O300*1000</f>
        <v>724.42310447530429</v>
      </c>
      <c r="AG300" s="41">
        <f>N300/'1. Väestöennuste'!P300*1000</f>
        <v>698.18964888277264</v>
      </c>
      <c r="AH300" s="41">
        <f>O300/'1. Väestöennuste'!Q300*1000</f>
        <v>665.36812463309434</v>
      </c>
      <c r="AI300" s="41">
        <f>P300/'1. Väestöennuste'!R300*1000</f>
        <v>834.00782558852461</v>
      </c>
    </row>
    <row r="301" spans="1:35" x14ac:dyDescent="0.2">
      <c r="A301" s="34">
        <v>946</v>
      </c>
      <c r="B301" s="88" t="s">
        <v>615</v>
      </c>
      <c r="C301" s="41" t="e">
        <f>'2. Toimintakate'!D301+'3. Verotulot'!G301+'4. Valtionosuudet'!#REF!</f>
        <v>#REF!</v>
      </c>
      <c r="D301" s="41">
        <f>'2. Toimintakate'!E301+'3. Verotulot'!L301+'4. Valtionosuudet'!H301</f>
        <v>3022</v>
      </c>
      <c r="E301" s="41">
        <f>'2. Toimintakate'!F301+'3. Verotulot'!Q301+'4. Valtionosuudet'!N301</f>
        <v>3266</v>
      </c>
      <c r="F301" s="41">
        <f>'2. Toimintakate'!G301+'3. Verotulot'!V301+'4. Valtionosuudet'!T301</f>
        <v>187</v>
      </c>
      <c r="G301" s="41">
        <f>'2. Toimintakate'!H301+'3. Verotulot'!AA301+'4. Valtionosuudet'!Z301</f>
        <v>-1574</v>
      </c>
      <c r="H301" s="41">
        <f>'2. Toimintakate'!I301+'3. Verotulot'!AF301+'4. Valtionosuudet'!AG301</f>
        <v>3775.161389406956</v>
      </c>
      <c r="I301" s="41">
        <f>'2. Toimintakate'!J301+'3. Verotulot'!AK301+'4. Valtionosuudet'!AN301</f>
        <v>3823.4493325651893</v>
      </c>
      <c r="J301" s="41">
        <f>'2. Toimintakate'!K301+'3. Verotulot'!AP301+'4. Valtionosuudet'!AU301</f>
        <v>2599.1996949200293</v>
      </c>
      <c r="K301" s="41">
        <f>'2. Toimintakate'!L301+'3. Verotulot'!AU301+'4. Valtionosuudet'!BC301</f>
        <v>3309.6659861962544</v>
      </c>
      <c r="L301" s="41">
        <f>'2. Toimintakate'!M301+'3. Verotulot'!AZ301+'4. Valtionosuudet'!BK301</f>
        <v>2582.8771212186239</v>
      </c>
      <c r="M301" s="41">
        <f>'2. Toimintakate'!N301+'3. Verotulot'!BE301+'4. Valtionosuudet'!BQ301</f>
        <v>2356.8480161107491</v>
      </c>
      <c r="N301" s="41">
        <f>'2. Toimintakate'!O301+'3. Verotulot'!BJ301+'4. Valtionosuudet'!BY301</f>
        <v>2967.3926862298795</v>
      </c>
      <c r="O301" s="41">
        <f>'2. Toimintakate'!P301+'3. Verotulot'!BO301+'4. Valtionosuudet'!CE301</f>
        <v>3121.6355294350706</v>
      </c>
      <c r="P301" s="41">
        <f>'2. Toimintakate'!Q301+'3. Verotulot'!BT301+'4. Valtionosuudet'!CK301</f>
        <v>3766.5224924185331</v>
      </c>
      <c r="T301" s="34">
        <v>946</v>
      </c>
      <c r="U301" s="88" t="s">
        <v>615</v>
      </c>
      <c r="V301" s="41" t="e">
        <f>C301/'1. Väestöennuste'!E301*1000</f>
        <v>#REF!</v>
      </c>
      <c r="W301" s="41">
        <f>D301/'1. Väestöennuste'!F301*1000</f>
        <v>452.12447636146021</v>
      </c>
      <c r="X301" s="41">
        <f>E301/'1. Väestöennuste'!G301*1000</f>
        <v>493.65175332527207</v>
      </c>
      <c r="Y301" s="41">
        <f>F301/'1. Väestöennuste'!H301*1000</f>
        <v>28.277634961439588</v>
      </c>
      <c r="Z301" s="41">
        <f>G301/'1. Väestöennuste'!I301*1000</f>
        <v>-243.61553939018728</v>
      </c>
      <c r="AA301" s="41">
        <f>H301/'1. Väestöennuste'!J301*1000</f>
        <v>590.97704906182776</v>
      </c>
      <c r="AB301" s="41">
        <f>I301/'1. Väestöennuste'!K301*1000</f>
        <v>599.66269331323542</v>
      </c>
      <c r="AC301" s="41">
        <f>J301/'1. Väestöennuste'!L301*1000</f>
        <v>413.42447827581185</v>
      </c>
      <c r="AD301" s="41">
        <f>K301/'1. Väestöennuste'!M301*1000</f>
        <v>526.09537215009607</v>
      </c>
      <c r="AE301" s="41">
        <f>L301/'1. Väestöennuste'!N301*1000</f>
        <v>419.0941296801272</v>
      </c>
      <c r="AF301" s="41">
        <f>M301/'1. Väestöennuste'!O301*1000</f>
        <v>385.86247807969045</v>
      </c>
      <c r="AG301" s="41">
        <f>N301/'1. Väestöennuste'!P301*1000</f>
        <v>490.07311085547144</v>
      </c>
      <c r="AH301" s="41">
        <f>O301/'1. Väestöennuste'!Q301*1000</f>
        <v>520.35931479164367</v>
      </c>
      <c r="AI301" s="41">
        <f>P301/'1. Väestöennuste'!R301*1000</f>
        <v>633.9879637129327</v>
      </c>
    </row>
    <row r="302" spans="1:35" x14ac:dyDescent="0.2">
      <c r="A302" s="34">
        <v>976</v>
      </c>
      <c r="B302" s="88" t="s">
        <v>616</v>
      </c>
      <c r="C302" s="41" t="e">
        <f>'2. Toimintakate'!D302+'3. Verotulot'!G302+'4. Valtionosuudet'!#REF!</f>
        <v>#REF!</v>
      </c>
      <c r="D302" s="41">
        <f>'2. Toimintakate'!E302+'3. Verotulot'!L302+'4. Valtionosuudet'!H302</f>
        <v>660</v>
      </c>
      <c r="E302" s="41">
        <f>'2. Toimintakate'!F302+'3. Verotulot'!Q302+'4. Valtionosuudet'!N302</f>
        <v>1667</v>
      </c>
      <c r="F302" s="41">
        <f>'2. Toimintakate'!G302+'3. Verotulot'!V302+'4. Valtionosuudet'!T302</f>
        <v>850</v>
      </c>
      <c r="G302" s="41">
        <f>'2. Toimintakate'!H302+'3. Verotulot'!AA302+'4. Valtionosuudet'!Z302</f>
        <v>1169</v>
      </c>
      <c r="H302" s="41">
        <f>'2. Toimintakate'!I302+'3. Verotulot'!AF302+'4. Valtionosuudet'!AG302</f>
        <v>2065.4149488860785</v>
      </c>
      <c r="I302" s="41">
        <f>'2. Toimintakate'!J302+'3. Verotulot'!AK302+'4. Valtionosuudet'!AN302</f>
        <v>2372.6811624725269</v>
      </c>
      <c r="J302" s="41">
        <f>'2. Toimintakate'!K302+'3. Verotulot'!AP302+'4. Valtionosuudet'!AU302</f>
        <v>-96.221289278561017</v>
      </c>
      <c r="K302" s="41">
        <f>'2. Toimintakate'!L302+'3. Verotulot'!AU302+'4. Valtionosuudet'!BC302</f>
        <v>2894.9626638002228</v>
      </c>
      <c r="L302" s="41">
        <f>'2. Toimintakate'!M302+'3. Verotulot'!AZ302+'4. Valtionosuudet'!BK302</f>
        <v>1056.2630068458752</v>
      </c>
      <c r="M302" s="41">
        <f>'2. Toimintakate'!N302+'3. Verotulot'!BE302+'4. Valtionosuudet'!BQ302</f>
        <v>900.89873365271706</v>
      </c>
      <c r="N302" s="41">
        <f>'2. Toimintakate'!O302+'3. Verotulot'!BJ302+'4. Valtionosuudet'!BY302</f>
        <v>737.40481068657209</v>
      </c>
      <c r="O302" s="41">
        <f>'2. Toimintakate'!P302+'3. Verotulot'!BO302+'4. Valtionosuudet'!CE302</f>
        <v>485.01890835203812</v>
      </c>
      <c r="P302" s="41">
        <f>'2. Toimintakate'!Q302+'3. Verotulot'!BT302+'4. Valtionosuudet'!CK302</f>
        <v>935.64028521879663</v>
      </c>
      <c r="T302" s="34">
        <v>976</v>
      </c>
      <c r="U302" s="88" t="s">
        <v>616</v>
      </c>
      <c r="V302" s="41" t="e">
        <f>C302/'1. Väestöennuste'!E302*1000</f>
        <v>#REF!</v>
      </c>
      <c r="W302" s="41">
        <f>D302/'1. Väestöennuste'!F302*1000</f>
        <v>157.14285714285714</v>
      </c>
      <c r="X302" s="41">
        <f>E302/'1. Väestöennuste'!G302*1000</f>
        <v>404.80815930063136</v>
      </c>
      <c r="Y302" s="41">
        <f>F302/'1. Väestöennuste'!H302*1000</f>
        <v>211.33764296369964</v>
      </c>
      <c r="Z302" s="41">
        <f>G302/'1. Väestöennuste'!I302*1000</f>
        <v>298.36651352730985</v>
      </c>
      <c r="AA302" s="41">
        <f>H302/'1. Väestöennuste'!J302*1000</f>
        <v>530.95499971364495</v>
      </c>
      <c r="AB302" s="41">
        <f>I302/'1. Väestöennuste'!K302*1000</f>
        <v>619.49899803460232</v>
      </c>
      <c r="AC302" s="41">
        <f>J302/'1. Väestöennuste'!L302*1000</f>
        <v>-25.401607518099528</v>
      </c>
      <c r="AD302" s="41">
        <f>K302/'1. Väestöennuste'!M302*1000</f>
        <v>768.91438613551736</v>
      </c>
      <c r="AE302" s="41">
        <f>L302/'1. Väestöennuste'!N302*1000</f>
        <v>293.81446643835199</v>
      </c>
      <c r="AF302" s="41">
        <f>M302/'1. Väestöennuste'!O302*1000</f>
        <v>254.63502929698052</v>
      </c>
      <c r="AG302" s="41">
        <f>N302/'1. Väestöennuste'!P302*1000</f>
        <v>211.77622363198509</v>
      </c>
      <c r="AH302" s="41">
        <f>O302/'1. Väestöennuste'!Q302*1000</f>
        <v>141.40492954869916</v>
      </c>
      <c r="AI302" s="41">
        <f>P302/'1. Väestöennuste'!R302*1000</f>
        <v>276.98054624594334</v>
      </c>
    </row>
    <row r="303" spans="1:35" x14ac:dyDescent="0.2">
      <c r="A303" s="34">
        <v>977</v>
      </c>
      <c r="B303" s="88" t="s">
        <v>617</v>
      </c>
      <c r="C303" s="41" t="e">
        <f>'2. Toimintakate'!D303+'3. Verotulot'!G303+'4. Valtionosuudet'!#REF!</f>
        <v>#REF!</v>
      </c>
      <c r="D303" s="41">
        <f>'2. Toimintakate'!E303+'3. Verotulot'!L303+'4. Valtionosuudet'!H303</f>
        <v>6009</v>
      </c>
      <c r="E303" s="41">
        <f>'2. Toimintakate'!F303+'3. Verotulot'!Q303+'4. Valtionosuudet'!N303</f>
        <v>8492</v>
      </c>
      <c r="F303" s="41">
        <f>'2. Toimintakate'!G303+'3. Verotulot'!V303+'4. Valtionosuudet'!T303</f>
        <v>1127</v>
      </c>
      <c r="G303" s="41">
        <f>'2. Toimintakate'!H303+'3. Verotulot'!AA303+'4. Valtionosuudet'!Z303</f>
        <v>137</v>
      </c>
      <c r="H303" s="41">
        <f>'2. Toimintakate'!I303+'3. Verotulot'!AF303+'4. Valtionosuudet'!AG303</f>
        <v>11756.91396649932</v>
      </c>
      <c r="I303" s="41">
        <f>'2. Toimintakate'!J303+'3. Verotulot'!AK303+'4. Valtionosuudet'!AN303</f>
        <v>9712.4824388952256</v>
      </c>
      <c r="J303" s="41">
        <f>'2. Toimintakate'!K303+'3. Verotulot'!AP303+'4. Valtionosuudet'!AU303</f>
        <v>9654.9586570531756</v>
      </c>
      <c r="K303" s="41">
        <f>'2. Toimintakate'!L303+'3. Verotulot'!AU303+'4. Valtionosuudet'!BC303</f>
        <v>10880.840728451665</v>
      </c>
      <c r="L303" s="41">
        <f>'2. Toimintakate'!M303+'3. Verotulot'!AZ303+'4. Valtionosuudet'!BK303</f>
        <v>8401.605733816712</v>
      </c>
      <c r="M303" s="41">
        <f>'2. Toimintakate'!N303+'3. Verotulot'!BE303+'4. Valtionosuudet'!BQ303</f>
        <v>6780.3630590059256</v>
      </c>
      <c r="N303" s="41">
        <f>'2. Toimintakate'!O303+'3. Verotulot'!BJ303+'4. Valtionosuudet'!BY303</f>
        <v>7987.7575581140991</v>
      </c>
      <c r="O303" s="41">
        <f>'2. Toimintakate'!P303+'3. Verotulot'!BO303+'4. Valtionosuudet'!CE303</f>
        <v>9025.1385407821836</v>
      </c>
      <c r="P303" s="41">
        <f>'2. Toimintakate'!Q303+'3. Verotulot'!BT303+'4. Valtionosuudet'!CK303</f>
        <v>10350.796348986718</v>
      </c>
      <c r="T303" s="34">
        <v>977</v>
      </c>
      <c r="U303" s="88" t="s">
        <v>617</v>
      </c>
      <c r="V303" s="41" t="e">
        <f>C303/'1. Väestöennuste'!E303*1000</f>
        <v>#REF!</v>
      </c>
      <c r="W303" s="41">
        <f>D303/'1. Väestöennuste'!F303*1000</f>
        <v>395.35495756299753</v>
      </c>
      <c r="X303" s="41">
        <f>E303/'1. Väestöennuste'!G303*1000</f>
        <v>556.81594649531178</v>
      </c>
      <c r="Y303" s="41">
        <f>F303/'1. Väestöennuste'!H303*1000</f>
        <v>74.086247699184852</v>
      </c>
      <c r="Z303" s="41">
        <f>G303/'1. Väestöennuste'!I303*1000</f>
        <v>8.9806620780072102</v>
      </c>
      <c r="AA303" s="41">
        <f>H303/'1. Väestöennuste'!J303*1000</f>
        <v>768.22490633163352</v>
      </c>
      <c r="AB303" s="41">
        <f>I303/'1. Väestöennuste'!K303*1000</f>
        <v>632.44660017550473</v>
      </c>
      <c r="AC303" s="41">
        <f>J303/'1. Väestöennuste'!L303*1000</f>
        <v>631.33189413804848</v>
      </c>
      <c r="AD303" s="41">
        <f>K303/'1. Väestöennuste'!M303*1000</f>
        <v>707.97324018814925</v>
      </c>
      <c r="AE303" s="41">
        <f>L303/'1. Väestöennuste'!N303*1000</f>
        <v>543.23068238825249</v>
      </c>
      <c r="AF303" s="41">
        <f>M303/'1. Väestöennuste'!O303*1000</f>
        <v>437.83824480213906</v>
      </c>
      <c r="AG303" s="41">
        <f>N303/'1. Väestöennuste'!P303*1000</f>
        <v>515.40570125913666</v>
      </c>
      <c r="AH303" s="41">
        <f>O303/'1. Väestöennuste'!Q303*1000</f>
        <v>582.30457066792587</v>
      </c>
      <c r="AI303" s="41">
        <f>P303/'1. Väestöennuste'!R303*1000</f>
        <v>668.22442537034976</v>
      </c>
    </row>
    <row r="304" spans="1:35" x14ac:dyDescent="0.2">
      <c r="A304" s="34">
        <v>980</v>
      </c>
      <c r="B304" s="88" t="s">
        <v>618</v>
      </c>
      <c r="C304" s="41" t="e">
        <f>'2. Toimintakate'!D304+'3. Verotulot'!G304+'4. Valtionosuudet'!#REF!</f>
        <v>#REF!</v>
      </c>
      <c r="D304" s="41">
        <f>'2. Toimintakate'!E304+'3. Verotulot'!L304+'4. Valtionosuudet'!H304</f>
        <v>10377</v>
      </c>
      <c r="E304" s="41">
        <f>'2. Toimintakate'!F304+'3. Verotulot'!Q304+'4. Valtionosuudet'!N304</f>
        <v>16807</v>
      </c>
      <c r="F304" s="41">
        <f>'2. Toimintakate'!G304+'3. Verotulot'!V304+'4. Valtionosuudet'!T304</f>
        <v>10962</v>
      </c>
      <c r="G304" s="41">
        <f>'2. Toimintakate'!H304+'3. Verotulot'!AA304+'4. Valtionosuudet'!Z304</f>
        <v>2956</v>
      </c>
      <c r="H304" s="41">
        <f>'2. Toimintakate'!I304+'3. Verotulot'!AF304+'4. Valtionosuudet'!AG304</f>
        <v>16150.102375953451</v>
      </c>
      <c r="I304" s="41">
        <f>'2. Toimintakate'!J304+'3. Verotulot'!AK304+'4. Valtionosuudet'!AN304</f>
        <v>8494.3376216367178</v>
      </c>
      <c r="J304" s="41">
        <f>'2. Toimintakate'!K304+'3. Verotulot'!AP304+'4. Valtionosuudet'!AU304</f>
        <v>9289.4458316886521</v>
      </c>
      <c r="K304" s="41">
        <f>'2. Toimintakate'!L304+'3. Verotulot'!AU304+'4. Valtionosuudet'!BC304</f>
        <v>17911.037024312307</v>
      </c>
      <c r="L304" s="41">
        <f>'2. Toimintakate'!M304+'3. Verotulot'!AZ304+'4. Valtionosuudet'!BK304</f>
        <v>11381.925061493792</v>
      </c>
      <c r="M304" s="41">
        <f>'2. Toimintakate'!N304+'3. Verotulot'!BE304+'4. Valtionosuudet'!BQ304</f>
        <v>11014.633822247371</v>
      </c>
      <c r="N304" s="41">
        <f>'2. Toimintakate'!O304+'3. Verotulot'!BJ304+'4. Valtionosuudet'!BY304</f>
        <v>12646.637948285956</v>
      </c>
      <c r="O304" s="41">
        <f>'2. Toimintakate'!P304+'3. Verotulot'!BO304+'4. Valtionosuudet'!CE304</f>
        <v>12818.025383042943</v>
      </c>
      <c r="P304" s="41">
        <f>'2. Toimintakate'!Q304+'3. Verotulot'!BT304+'4. Valtionosuudet'!CK304</f>
        <v>14902.585991704138</v>
      </c>
      <c r="T304" s="34">
        <v>980</v>
      </c>
      <c r="U304" s="88" t="s">
        <v>618</v>
      </c>
      <c r="V304" s="41" t="e">
        <f>C304/'1. Väestöennuste'!E304*1000</f>
        <v>#REF!</v>
      </c>
      <c r="W304" s="41">
        <f>D304/'1. Väestöennuste'!F304*1000</f>
        <v>316.38159699990854</v>
      </c>
      <c r="X304" s="41">
        <f>E304/'1. Väestöennuste'!G304*1000</f>
        <v>511.19289494494802</v>
      </c>
      <c r="Y304" s="41">
        <f>F304/'1. Väestöennuste'!H304*1000</f>
        <v>332.35303034896765</v>
      </c>
      <c r="Z304" s="41">
        <f>G304/'1. Väestöennuste'!I304*1000</f>
        <v>88.891561917363319</v>
      </c>
      <c r="AA304" s="41">
        <f>H304/'1. Väestöennuste'!J304*1000</f>
        <v>484.23190141381178</v>
      </c>
      <c r="AB304" s="41">
        <f>I304/'1. Väestöennuste'!K304*1000</f>
        <v>253.31278506655286</v>
      </c>
      <c r="AC304" s="41">
        <f>J304/'1. Väestöennuste'!L304*1000</f>
        <v>276.41401588028248</v>
      </c>
      <c r="AD304" s="41">
        <f>K304/'1. Väestöennuste'!M304*1000</f>
        <v>531.84776032046523</v>
      </c>
      <c r="AE304" s="41">
        <f>L304/'1. Väestöennuste'!N304*1000</f>
        <v>335.87880489549946</v>
      </c>
      <c r="AF304" s="41">
        <f>M304/'1. Väestöennuste'!O304*1000</f>
        <v>323.94076296239547</v>
      </c>
      <c r="AG304" s="41">
        <f>N304/'1. Väestöennuste'!P304*1000</f>
        <v>370.78216102632683</v>
      </c>
      <c r="AH304" s="41">
        <f>O304/'1. Väestöennuste'!Q304*1000</f>
        <v>374.75223316111982</v>
      </c>
      <c r="AI304" s="41">
        <f>P304/'1. Väestöennuste'!R304*1000</f>
        <v>434.65513596523766</v>
      </c>
    </row>
    <row r="305" spans="1:35" x14ac:dyDescent="0.2">
      <c r="A305" s="34">
        <v>981</v>
      </c>
      <c r="B305" s="88" t="s">
        <v>619</v>
      </c>
      <c r="C305" s="41" t="e">
        <f>'2. Toimintakate'!D305+'3. Verotulot'!G305+'4. Valtionosuudet'!#REF!</f>
        <v>#REF!</v>
      </c>
      <c r="D305" s="41">
        <f>'2. Toimintakate'!E305+'3. Verotulot'!L305+'4. Valtionosuudet'!H305</f>
        <v>501</v>
      </c>
      <c r="E305" s="41">
        <f>'2. Toimintakate'!F305+'3. Verotulot'!Q305+'4. Valtionosuudet'!N305</f>
        <v>850</v>
      </c>
      <c r="F305" s="41">
        <f>'2. Toimintakate'!G305+'3. Verotulot'!V305+'4. Valtionosuudet'!T305</f>
        <v>-365</v>
      </c>
      <c r="G305" s="41">
        <f>'2. Toimintakate'!H305+'3. Verotulot'!AA305+'4. Valtionosuudet'!Z305</f>
        <v>153</v>
      </c>
      <c r="H305" s="41">
        <f>'2. Toimintakate'!I305+'3. Verotulot'!AF305+'4. Valtionosuudet'!AG305</f>
        <v>1966.4954909403623</v>
      </c>
      <c r="I305" s="41">
        <f>'2. Toimintakate'!J305+'3. Verotulot'!AK305+'4. Valtionosuudet'!AN305</f>
        <v>1372.0643931182049</v>
      </c>
      <c r="J305" s="41">
        <f>'2. Toimintakate'!K305+'3. Verotulot'!AP305+'4. Valtionosuudet'!AU305</f>
        <v>1802.9246733573564</v>
      </c>
      <c r="K305" s="41">
        <f>'2. Toimintakate'!L305+'3. Verotulot'!AU305+'4. Valtionosuudet'!BC305</f>
        <v>1545.9032400507094</v>
      </c>
      <c r="L305" s="41">
        <f>'2. Toimintakate'!M305+'3. Verotulot'!AZ305+'4. Valtionosuudet'!BK305</f>
        <v>800.06442788189361</v>
      </c>
      <c r="M305" s="41">
        <f>'2. Toimintakate'!N305+'3. Verotulot'!BE305+'4. Valtionosuudet'!BQ305</f>
        <v>752.50229155972465</v>
      </c>
      <c r="N305" s="41">
        <f>'2. Toimintakate'!O305+'3. Verotulot'!BJ305+'4. Valtionosuudet'!BY305</f>
        <v>337.75734452991901</v>
      </c>
      <c r="O305" s="41">
        <f>'2. Toimintakate'!P305+'3. Verotulot'!BO305+'4. Valtionosuudet'!CE305</f>
        <v>341.26058842977409</v>
      </c>
      <c r="P305" s="41">
        <f>'2. Toimintakate'!Q305+'3. Verotulot'!BT305+'4. Valtionosuudet'!CK305</f>
        <v>506.67880296567864</v>
      </c>
      <c r="T305" s="34">
        <v>981</v>
      </c>
      <c r="U305" s="88" t="s">
        <v>619</v>
      </c>
      <c r="V305" s="41" t="e">
        <f>C305/'1. Väestöennuste'!E305*1000</f>
        <v>#REF!</v>
      </c>
      <c r="W305" s="41">
        <f>D305/'1. Väestöennuste'!F305*1000</f>
        <v>210.32745591939548</v>
      </c>
      <c r="X305" s="41">
        <f>E305/'1. Väestöennuste'!G305*1000</f>
        <v>358.34738617200674</v>
      </c>
      <c r="Y305" s="41">
        <f>F305/'1. Väestöennuste'!H305*1000</f>
        <v>-154.85787017394995</v>
      </c>
      <c r="Z305" s="41">
        <f>G305/'1. Väestöennuste'!I305*1000</f>
        <v>65.300896286811778</v>
      </c>
      <c r="AA305" s="41">
        <f>H305/'1. Väestöennuste'!J305*1000</f>
        <v>849.82519055331124</v>
      </c>
      <c r="AB305" s="41">
        <f>I305/'1. Väestöennuste'!K305*1000</f>
        <v>601.25521170824049</v>
      </c>
      <c r="AC305" s="41">
        <f>J305/'1. Väestöennuste'!L305*1000</f>
        <v>805.95649233677079</v>
      </c>
      <c r="AD305" s="41">
        <f>K305/'1. Väestöennuste'!M305*1000</f>
        <v>700.45457183992278</v>
      </c>
      <c r="AE305" s="41">
        <f>L305/'1. Väestöennuste'!N305*1000</f>
        <v>356.69390453940866</v>
      </c>
      <c r="AF305" s="41">
        <f>M305/'1. Väestöennuste'!O305*1000</f>
        <v>338.0513439172168</v>
      </c>
      <c r="AG305" s="41">
        <f>N305/'1. Väestöennuste'!P305*1000</f>
        <v>152.90056339063784</v>
      </c>
      <c r="AH305" s="41">
        <f>O305/'1. Väestöennuste'!Q305*1000</f>
        <v>155.47179427324559</v>
      </c>
      <c r="AI305" s="41">
        <f>P305/'1. Väestöennuste'!R305*1000</f>
        <v>232.4214692503113</v>
      </c>
    </row>
    <row r="306" spans="1:35" x14ac:dyDescent="0.2">
      <c r="A306" s="34">
        <v>989</v>
      </c>
      <c r="B306" s="88" t="s">
        <v>620</v>
      </c>
      <c r="C306" s="41" t="e">
        <f>'2. Toimintakate'!D306+'3. Verotulot'!G306+'4. Valtionosuudet'!#REF!</f>
        <v>#REF!</v>
      </c>
      <c r="D306" s="41">
        <f>'2. Toimintakate'!E306+'3. Verotulot'!L306+'4. Valtionosuudet'!H306</f>
        <v>2605</v>
      </c>
      <c r="E306" s="41">
        <f>'2. Toimintakate'!F306+'3. Verotulot'!Q306+'4. Valtionosuudet'!N306</f>
        <v>3468</v>
      </c>
      <c r="F306" s="41">
        <f>'2. Toimintakate'!G306+'3. Verotulot'!V306+'4. Valtionosuudet'!T306</f>
        <v>1441</v>
      </c>
      <c r="G306" s="41">
        <f>'2. Toimintakate'!H306+'3. Verotulot'!AA306+'4. Valtionosuudet'!Z306</f>
        <v>472</v>
      </c>
      <c r="H306" s="41">
        <f>'2. Toimintakate'!I306+'3. Verotulot'!AF306+'4. Valtionosuudet'!AG306</f>
        <v>2855.8897194471028</v>
      </c>
      <c r="I306" s="41">
        <f>'2. Toimintakate'!J306+'3. Verotulot'!AK306+'4. Valtionosuudet'!AN306</f>
        <v>2610.8017571049859</v>
      </c>
      <c r="J306" s="41">
        <f>'2. Toimintakate'!K306+'3. Verotulot'!AP306+'4. Valtionosuudet'!AU306</f>
        <v>3049.5991052955469</v>
      </c>
      <c r="K306" s="41">
        <f>'2. Toimintakate'!L306+'3. Verotulot'!AU306+'4. Valtionosuudet'!BC306</f>
        <v>-5301.4490659640924</v>
      </c>
      <c r="L306" s="41">
        <f>'2. Toimintakate'!M306+'3. Verotulot'!AZ306+'4. Valtionosuudet'!BK306</f>
        <v>1984.5296171875384</v>
      </c>
      <c r="M306" s="41">
        <f>'2. Toimintakate'!N306+'3. Verotulot'!BE306+'4. Valtionosuudet'!BQ306</f>
        <v>-6377.7868282016625</v>
      </c>
      <c r="N306" s="41">
        <f>'2. Toimintakate'!O306+'3. Verotulot'!BJ306+'4. Valtionosuudet'!BY306</f>
        <v>-6697.4099346435205</v>
      </c>
      <c r="O306" s="41">
        <f>'2. Toimintakate'!P306+'3. Verotulot'!BO306+'4. Valtionosuudet'!CE306</f>
        <v>-6906.8556041543416</v>
      </c>
      <c r="P306" s="41">
        <f>'2. Toimintakate'!Q306+'3. Verotulot'!BT306+'4. Valtionosuudet'!CK306</f>
        <v>-6198.0446719001775</v>
      </c>
      <c r="T306" s="34">
        <v>989</v>
      </c>
      <c r="U306" s="88" t="s">
        <v>620</v>
      </c>
      <c r="V306" s="41" t="e">
        <f>C306/'1. Väestöennuste'!E306*1000</f>
        <v>#REF!</v>
      </c>
      <c r="W306" s="41">
        <f>D306/'1. Väestöennuste'!F306*1000</f>
        <v>435.25480367585629</v>
      </c>
      <c r="X306" s="41">
        <f>E306/'1. Väestöennuste'!G306*1000</f>
        <v>587.1994581781239</v>
      </c>
      <c r="Y306" s="41">
        <f>F306/'1. Väestöennuste'!H306*1000</f>
        <v>252.67403121164301</v>
      </c>
      <c r="Z306" s="41">
        <f>G306/'1. Väestöennuste'!I306*1000</f>
        <v>84.045584045584036</v>
      </c>
      <c r="AA306" s="41">
        <f>H306/'1. Väestöennuste'!J306*1000</f>
        <v>517.18394050110521</v>
      </c>
      <c r="AB306" s="41">
        <f>I306/'1. Väestöennuste'!K306*1000</f>
        <v>476.07617744438107</v>
      </c>
      <c r="AC306" s="41">
        <f>J306/'1. Väestöennuste'!L306*1000</f>
        <v>564.11378196366013</v>
      </c>
      <c r="AD306" s="41">
        <f>K306/'1. Väestöennuste'!M306*1000</f>
        <v>-997.26280398120628</v>
      </c>
      <c r="AE306" s="41">
        <f>L306/'1. Väestöennuste'!N306*1000</f>
        <v>384.22645056873927</v>
      </c>
      <c r="AF306" s="41">
        <f>M306/'1. Väestöennuste'!O306*1000</f>
        <v>-1253.7422504819467</v>
      </c>
      <c r="AG306" s="41">
        <f>N306/'1. Väestöennuste'!P306*1000</f>
        <v>-1336.8083701883274</v>
      </c>
      <c r="AH306" s="41">
        <f>O306/'1. Väestöennuste'!Q306*1000</f>
        <v>-1399.8491293381317</v>
      </c>
      <c r="AI306" s="41">
        <f>P306/'1. Väestöennuste'!R306*1000</f>
        <v>-1274.5310861402793</v>
      </c>
    </row>
    <row r="307" spans="1:35" x14ac:dyDescent="0.2">
      <c r="A307" s="34">
        <v>992</v>
      </c>
      <c r="B307" s="88" t="s">
        <v>621</v>
      </c>
      <c r="C307" s="41" t="e">
        <f>'2. Toimintakate'!D307+'3. Verotulot'!G307+'4. Valtionosuudet'!#REF!</f>
        <v>#REF!</v>
      </c>
      <c r="D307" s="41">
        <f>'2. Toimintakate'!E307+'3. Verotulot'!L307+'4. Valtionosuudet'!H307</f>
        <v>10295</v>
      </c>
      <c r="E307" s="41">
        <f>'2. Toimintakate'!F307+'3. Verotulot'!Q307+'4. Valtionosuudet'!N307</f>
        <v>14482</v>
      </c>
      <c r="F307" s="41">
        <f>'2. Toimintakate'!G307+'3. Verotulot'!V307+'4. Valtionosuudet'!T307</f>
        <v>7712</v>
      </c>
      <c r="G307" s="41">
        <f>'2. Toimintakate'!H307+'3. Verotulot'!AA307+'4. Valtionosuudet'!Z307</f>
        <v>4474</v>
      </c>
      <c r="H307" s="41">
        <f>'2. Toimintakate'!I307+'3. Verotulot'!AF307+'4. Valtionosuudet'!AG307</f>
        <v>9358.3949333650526</v>
      </c>
      <c r="I307" s="41">
        <f>'2. Toimintakate'!J307+'3. Verotulot'!AK307+'4. Valtionosuudet'!AN307</f>
        <v>9932.9934497103095</v>
      </c>
      <c r="J307" s="41">
        <f>'2. Toimintakate'!K307+'3. Verotulot'!AP307+'4. Valtionosuudet'!AU307</f>
        <v>-124.81320510313526</v>
      </c>
      <c r="K307" s="41">
        <f>'2. Toimintakate'!L307+'3. Verotulot'!AU307+'4. Valtionosuudet'!BC307</f>
        <v>11583.894607534663</v>
      </c>
      <c r="L307" s="41">
        <f>'2. Toimintakate'!M307+'3. Verotulot'!AZ307+'4. Valtionosuudet'!BK307</f>
        <v>9199.0095024005332</v>
      </c>
      <c r="M307" s="41">
        <f>'2. Toimintakate'!N307+'3. Verotulot'!BE307+'4. Valtionosuudet'!BQ307</f>
        <v>3660.59195616547</v>
      </c>
      <c r="N307" s="41">
        <f>'2. Toimintakate'!O307+'3. Verotulot'!BJ307+'4. Valtionosuudet'!BY307</f>
        <v>3189.7602934877905</v>
      </c>
      <c r="O307" s="41">
        <f>'2. Toimintakate'!P307+'3. Verotulot'!BO307+'4. Valtionosuudet'!CE307</f>
        <v>3576.6679011116539</v>
      </c>
      <c r="P307" s="41">
        <f>'2. Toimintakate'!Q307+'3. Verotulot'!BT307+'4. Valtionosuudet'!CK307</f>
        <v>6050.0351999773247</v>
      </c>
      <c r="T307" s="34">
        <v>992</v>
      </c>
      <c r="U307" s="88" t="s">
        <v>621</v>
      </c>
      <c r="V307" s="41" t="e">
        <f>C307/'1. Väestöennuste'!E307*1000</f>
        <v>#REF!</v>
      </c>
      <c r="W307" s="41">
        <f>D307/'1. Väestöennuste'!F307*1000</f>
        <v>531.38226489109115</v>
      </c>
      <c r="X307" s="41">
        <f>E307/'1. Väestöennuste'!G307*1000</f>
        <v>756.47722524028416</v>
      </c>
      <c r="Y307" s="41">
        <f>F307/'1. Väestöennuste'!H307*1000</f>
        <v>409.10296535992785</v>
      </c>
      <c r="Z307" s="41">
        <f>G307/'1. Väestöennuste'!I307*1000</f>
        <v>238.42259525712765</v>
      </c>
      <c r="AA307" s="41">
        <f>H307/'1. Väestöennuste'!J307*1000</f>
        <v>503.76244460166077</v>
      </c>
      <c r="AB307" s="41">
        <f>I307/'1. Väestöennuste'!K307*1000</f>
        <v>542.25316353915878</v>
      </c>
      <c r="AC307" s="41">
        <f>J307/'1. Väestöennuste'!L307*1000</f>
        <v>-6.8881459769942204</v>
      </c>
      <c r="AD307" s="41">
        <f>K307/'1. Väestöennuste'!M307*1000</f>
        <v>644.58820363556083</v>
      </c>
      <c r="AE307" s="41">
        <f>L307/'1. Väestöennuste'!N307*1000</f>
        <v>517.61250857531695</v>
      </c>
      <c r="AF307" s="41">
        <f>M307/'1. Väestöennuste'!O307*1000</f>
        <v>208.24848994000851</v>
      </c>
      <c r="AG307" s="41">
        <f>N307/'1. Väestöennuste'!P307*1000</f>
        <v>183.42497374857911</v>
      </c>
      <c r="AH307" s="41">
        <f>O307/'1. Väestöennuste'!Q307*1000</f>
        <v>207.86121352424328</v>
      </c>
      <c r="AI307" s="41">
        <f>P307/'1. Väestöennuste'!R307*1000</f>
        <v>355.23663906859986</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N307"/>
  <sheetViews>
    <sheetView zoomScaleNormal="100" workbookViewId="0">
      <selection activeCell="AQ52" sqref="AQ52"/>
    </sheetView>
  </sheetViews>
  <sheetFormatPr defaultColWidth="9.140625" defaultRowHeight="11.25" x14ac:dyDescent="0.2"/>
  <cols>
    <col min="1" max="1" width="9.140625" style="41"/>
    <col min="2" max="2" width="27.28515625" style="41" bestFit="1" customWidth="1"/>
    <col min="3" max="3" width="0" style="41" hidden="1" customWidth="1"/>
    <col min="4" max="12" width="9.140625" style="41"/>
    <col min="13" max="14" width="9.7109375" style="41" bestFit="1" customWidth="1"/>
    <col min="15" max="16" width="9.7109375" style="41" customWidth="1"/>
    <col min="17" max="17" width="9.140625" style="4"/>
    <col min="18" max="18" width="9.140625" style="117"/>
    <col min="19" max="20" width="9.140625" style="4"/>
    <col min="21" max="21" width="20.5703125" style="4" bestFit="1" customWidth="1"/>
    <col min="22" max="22" width="0" style="4" hidden="1" customWidth="1"/>
    <col min="23" max="16384" width="9.140625" style="4"/>
  </cols>
  <sheetData>
    <row r="1" spans="1:66" x14ac:dyDescent="0.2">
      <c r="A1" s="43" t="s">
        <v>808</v>
      </c>
      <c r="B1" s="43"/>
      <c r="C1" s="4"/>
      <c r="D1" s="4"/>
      <c r="E1" s="4"/>
      <c r="F1" s="4"/>
      <c r="G1" s="4"/>
      <c r="H1" s="4"/>
      <c r="I1" s="4"/>
      <c r="J1" s="4"/>
      <c r="K1" s="4"/>
      <c r="L1" s="4"/>
      <c r="M1" s="4"/>
      <c r="N1" s="4"/>
      <c r="O1" s="4"/>
      <c r="P1" s="4"/>
    </row>
    <row r="2" spans="1:66" x14ac:dyDescent="0.2">
      <c r="A2" s="43"/>
      <c r="B2" s="43"/>
      <c r="C2" s="4"/>
      <c r="D2" s="4"/>
      <c r="E2" s="4"/>
      <c r="F2" s="4"/>
      <c r="G2" s="4"/>
      <c r="H2" s="4"/>
      <c r="I2" s="4"/>
      <c r="J2" s="4"/>
      <c r="K2" s="4"/>
      <c r="L2" s="4"/>
      <c r="M2" s="4"/>
      <c r="N2" s="4"/>
      <c r="O2" s="4"/>
      <c r="P2" s="4"/>
    </row>
    <row r="3" spans="1:66" x14ac:dyDescent="0.2">
      <c r="A3" s="43"/>
      <c r="B3" s="43"/>
      <c r="C3" s="4"/>
      <c r="D3" s="4"/>
      <c r="E3" s="4"/>
      <c r="F3" s="4"/>
      <c r="G3" s="4"/>
      <c r="H3" s="4"/>
      <c r="I3" s="4"/>
      <c r="J3" s="4"/>
      <c r="K3" s="4"/>
      <c r="L3" s="4"/>
      <c r="M3" s="4"/>
      <c r="N3" s="4"/>
      <c r="O3" s="4"/>
      <c r="P3" s="4"/>
    </row>
    <row r="4" spans="1:66" x14ac:dyDescent="0.2">
      <c r="A4" s="43"/>
      <c r="B4" s="43"/>
      <c r="C4" s="4"/>
      <c r="D4" s="4"/>
      <c r="E4" s="4"/>
      <c r="F4" s="4"/>
      <c r="G4" s="4"/>
      <c r="H4" s="4"/>
      <c r="I4" s="4"/>
      <c r="J4" s="4"/>
      <c r="K4" s="4"/>
      <c r="L4" s="4"/>
      <c r="M4" s="4"/>
      <c r="N4" s="4"/>
      <c r="O4" s="4"/>
      <c r="P4" s="4"/>
    </row>
    <row r="5" spans="1:66" x14ac:dyDescent="0.2">
      <c r="A5" s="43"/>
      <c r="B5" s="43"/>
      <c r="C5" s="4"/>
      <c r="D5" s="4"/>
      <c r="E5" s="4"/>
      <c r="F5" s="4"/>
      <c r="G5" s="4"/>
      <c r="H5" s="4"/>
      <c r="I5" s="4"/>
      <c r="J5" s="4"/>
      <c r="K5" s="4"/>
      <c r="L5" s="4"/>
      <c r="M5" s="4"/>
      <c r="N5" s="4"/>
      <c r="O5" s="4"/>
      <c r="P5" s="4"/>
      <c r="AV5" s="4">
        <v>293</v>
      </c>
      <c r="AW5" s="4">
        <v>293</v>
      </c>
      <c r="AX5" s="4">
        <v>293</v>
      </c>
      <c r="AY5" s="4">
        <v>293</v>
      </c>
      <c r="AZ5" s="4">
        <v>293</v>
      </c>
      <c r="BA5" s="4">
        <v>293</v>
      </c>
      <c r="BB5" s="4">
        <v>293</v>
      </c>
      <c r="BC5" s="4">
        <v>293</v>
      </c>
    </row>
    <row r="6" spans="1:66" x14ac:dyDescent="0.2">
      <c r="A6" s="43"/>
      <c r="B6" s="43"/>
      <c r="C6" s="4"/>
      <c r="D6" s="4"/>
      <c r="E6" s="4"/>
      <c r="F6" s="4"/>
      <c r="G6" s="4"/>
      <c r="H6" s="4"/>
      <c r="I6" s="4"/>
      <c r="J6" s="4"/>
      <c r="K6" s="4"/>
      <c r="L6" s="4"/>
      <c r="M6" s="4"/>
      <c r="N6" s="4"/>
      <c r="O6" s="4"/>
      <c r="P6" s="4"/>
      <c r="AV6" s="283">
        <f>AV7/AV5</f>
        <v>0.22866894197952217</v>
      </c>
      <c r="AW6" s="283">
        <f>AW7/AW5</f>
        <v>0.30716723549488056</v>
      </c>
      <c r="AX6" s="283">
        <f>AX7/AX5</f>
        <v>0.19795221843003413</v>
      </c>
      <c r="AY6" s="283">
        <f>AY7/AY5</f>
        <v>0.51535836177474403</v>
      </c>
      <c r="AZ6" s="283" t="e">
        <f t="shared" ref="AZ6:BA6" si="0">AZ7/AZ5</f>
        <v>#DIV/0!</v>
      </c>
      <c r="BA6" s="283" t="e">
        <f t="shared" si="0"/>
        <v>#DIV/0!</v>
      </c>
      <c r="BB6" s="283" t="e">
        <f t="shared" ref="BB6:BC6" si="1">BB7/BB5</f>
        <v>#DIV/0!</v>
      </c>
      <c r="BC6" s="283" t="e">
        <f t="shared" si="1"/>
        <v>#DIV/0!</v>
      </c>
    </row>
    <row r="7" spans="1:66" x14ac:dyDescent="0.2">
      <c r="A7" s="43"/>
      <c r="B7" s="118" t="s">
        <v>683</v>
      </c>
      <c r="C7" s="119">
        <f t="shared" ref="C7:L7" si="2">COUNTIF(C15:C307,"&lt;0")</f>
        <v>0</v>
      </c>
      <c r="D7" s="119">
        <f t="shared" si="2"/>
        <v>12</v>
      </c>
      <c r="E7" s="119">
        <f t="shared" si="2"/>
        <v>4</v>
      </c>
      <c r="F7" s="119">
        <f t="shared" si="2"/>
        <v>42</v>
      </c>
      <c r="G7" s="119">
        <f t="shared" si="2"/>
        <v>65</v>
      </c>
      <c r="H7" s="119">
        <f t="shared" si="2"/>
        <v>2</v>
      </c>
      <c r="I7" s="119">
        <f t="shared" si="2"/>
        <v>8</v>
      </c>
      <c r="J7" s="119">
        <f t="shared" si="2"/>
        <v>13</v>
      </c>
      <c r="K7" s="119">
        <f t="shared" si="2"/>
        <v>15</v>
      </c>
      <c r="L7" s="119">
        <f t="shared" si="2"/>
        <v>15</v>
      </c>
      <c r="M7" s="119">
        <f t="shared" ref="M7:N7" si="3">COUNTIF(M15:M307,"&lt;0")</f>
        <v>51</v>
      </c>
      <c r="N7" s="119">
        <f t="shared" si="3"/>
        <v>57</v>
      </c>
      <c r="O7" s="119">
        <f t="shared" ref="O7:P7" si="4">COUNTIF(O15:O307,"&lt;0")</f>
        <v>66</v>
      </c>
      <c r="P7" s="119">
        <f t="shared" si="4"/>
        <v>49</v>
      </c>
      <c r="R7" s="123" t="s">
        <v>319</v>
      </c>
      <c r="AV7" s="4">
        <f>SUM(AV15:AV307)</f>
        <v>67</v>
      </c>
      <c r="AW7" s="4">
        <f>SUM(AW15:AW307)</f>
        <v>90</v>
      </c>
      <c r="AX7" s="4">
        <f>SUM(AX15:AX307)</f>
        <v>58</v>
      </c>
      <c r="AY7" s="4">
        <f>SUM(AY15:AY307)</f>
        <v>151</v>
      </c>
      <c r="AZ7" s="4" t="e">
        <f t="shared" ref="AZ7:BM7" si="5">SUM(AZ15:AZ307)</f>
        <v>#DIV/0!</v>
      </c>
      <c r="BA7" s="4" t="e">
        <f t="shared" si="5"/>
        <v>#DIV/0!</v>
      </c>
      <c r="BB7" s="4" t="e">
        <f>SUM(BB15:BB307)</f>
        <v>#DIV/0!</v>
      </c>
      <c r="BC7" s="4" t="e">
        <f>SUM(BC15:BC307)</f>
        <v>#DIV/0!</v>
      </c>
      <c r="BE7" s="4">
        <f t="shared" si="5"/>
        <v>-65</v>
      </c>
      <c r="BF7" s="4">
        <f t="shared" si="5"/>
        <v>-2</v>
      </c>
      <c r="BG7" s="4">
        <f t="shared" si="5"/>
        <v>-8</v>
      </c>
      <c r="BH7" s="4">
        <f t="shared" si="5"/>
        <v>-13</v>
      </c>
      <c r="BI7" s="4">
        <f t="shared" si="5"/>
        <v>-15</v>
      </c>
      <c r="BJ7" s="4">
        <f t="shared" si="5"/>
        <v>-15</v>
      </c>
      <c r="BK7" s="4">
        <f t="shared" si="5"/>
        <v>-51</v>
      </c>
      <c r="BL7" s="4">
        <f t="shared" si="5"/>
        <v>-57</v>
      </c>
      <c r="BM7" s="4">
        <f t="shared" si="5"/>
        <v>-66</v>
      </c>
      <c r="BN7" s="4">
        <f t="shared" ref="BN7" si="6">SUM(BN15:BN307)</f>
        <v>-49</v>
      </c>
    </row>
    <row r="8" spans="1:66" x14ac:dyDescent="0.2">
      <c r="A8" s="43" t="s">
        <v>622</v>
      </c>
      <c r="B8" s="43"/>
      <c r="C8" s="4"/>
      <c r="D8" s="4"/>
      <c r="E8" s="4"/>
      <c r="F8" s="4"/>
      <c r="G8" s="4"/>
      <c r="H8" s="4"/>
      <c r="I8" s="4"/>
      <c r="J8" s="4"/>
      <c r="K8" s="4"/>
      <c r="L8" s="4"/>
      <c r="M8" s="4"/>
      <c r="N8" s="4"/>
      <c r="O8" s="4"/>
      <c r="P8" s="4"/>
    </row>
    <row r="9" spans="1:66" s="120" customFormat="1" x14ac:dyDescent="0.2">
      <c r="A9" s="116" t="s">
        <v>311</v>
      </c>
      <c r="B9" s="116"/>
      <c r="C9" s="108">
        <v>2015</v>
      </c>
      <c r="D9" s="108">
        <v>2016</v>
      </c>
      <c r="E9" s="108">
        <v>2017</v>
      </c>
      <c r="F9" s="108">
        <v>2018</v>
      </c>
      <c r="G9" s="108">
        <v>2019</v>
      </c>
      <c r="H9" s="108">
        <v>2020</v>
      </c>
      <c r="I9" s="108">
        <v>2021</v>
      </c>
      <c r="J9" s="108">
        <v>2022</v>
      </c>
      <c r="K9" s="108">
        <v>2023</v>
      </c>
      <c r="L9" s="108">
        <v>2024</v>
      </c>
      <c r="M9" s="108">
        <v>2025</v>
      </c>
      <c r="N9" s="108">
        <v>2026</v>
      </c>
      <c r="O9" s="108">
        <v>2027</v>
      </c>
      <c r="P9" s="108">
        <v>2028</v>
      </c>
      <c r="R9" s="107"/>
    </row>
    <row r="10" spans="1:66" x14ac:dyDescent="0.2">
      <c r="A10" s="43" t="s">
        <v>623</v>
      </c>
      <c r="B10" s="43"/>
      <c r="C10" s="4"/>
      <c r="D10" s="4"/>
      <c r="E10" s="4"/>
      <c r="F10" s="4"/>
      <c r="G10" s="4"/>
      <c r="H10" s="4"/>
      <c r="I10" s="4"/>
      <c r="J10" s="4"/>
      <c r="K10" s="4"/>
      <c r="L10" s="4"/>
      <c r="M10" s="4"/>
      <c r="N10" s="4"/>
      <c r="O10" s="4"/>
      <c r="P10" s="4"/>
    </row>
    <row r="11" spans="1:66" ht="12" thickBot="1" x14ac:dyDescent="0.25">
      <c r="A11" s="43" t="s">
        <v>624</v>
      </c>
      <c r="B11" s="43"/>
      <c r="C11" s="4"/>
      <c r="D11" s="4"/>
      <c r="E11" s="4"/>
      <c r="F11" s="4"/>
      <c r="G11" s="4"/>
      <c r="H11" s="4"/>
      <c r="I11" s="41">
        <f t="shared" ref="I11:P11" si="7">I13-H13</f>
        <v>-345178.6769750677</v>
      </c>
      <c r="J11" s="41">
        <f t="shared" si="7"/>
        <v>-226473.13974507526</v>
      </c>
      <c r="K11" s="41">
        <f t="shared" si="7"/>
        <v>757676.60870512296</v>
      </c>
      <c r="L11" s="41">
        <f t="shared" si="7"/>
        <v>-1515565.8946221569</v>
      </c>
      <c r="M11" s="41">
        <f t="shared" si="7"/>
        <v>-604194.92805110896</v>
      </c>
      <c r="N11" s="41">
        <f t="shared" si="7"/>
        <v>78380.131963395048</v>
      </c>
      <c r="O11" s="41">
        <f t="shared" si="7"/>
        <v>71008.634083225857</v>
      </c>
      <c r="P11" s="41">
        <f t="shared" si="7"/>
        <v>389488.49725162145</v>
      </c>
      <c r="AK11" s="4" t="s">
        <v>313</v>
      </c>
    </row>
    <row r="12" spans="1:66" ht="12" thickBot="1" x14ac:dyDescent="0.25">
      <c r="A12" s="83" t="s">
        <v>326</v>
      </c>
      <c r="B12" s="84" t="s">
        <v>327</v>
      </c>
      <c r="C12" s="67" t="s">
        <v>643</v>
      </c>
      <c r="D12" s="67" t="s">
        <v>643</v>
      </c>
      <c r="E12" s="67" t="s">
        <v>643</v>
      </c>
      <c r="F12" s="67" t="s">
        <v>643</v>
      </c>
      <c r="G12" s="67" t="s">
        <v>643</v>
      </c>
      <c r="H12" s="67" t="s">
        <v>643</v>
      </c>
      <c r="I12" s="67" t="s">
        <v>643</v>
      </c>
      <c r="J12" s="67" t="s">
        <v>643</v>
      </c>
      <c r="K12" s="67" t="s">
        <v>643</v>
      </c>
      <c r="L12" s="67" t="s">
        <v>643</v>
      </c>
      <c r="M12" s="67" t="s">
        <v>643</v>
      </c>
      <c r="N12" s="67" t="s">
        <v>643</v>
      </c>
      <c r="O12" s="67" t="s">
        <v>643</v>
      </c>
      <c r="P12" s="67" t="s">
        <v>643</v>
      </c>
      <c r="T12" s="94" t="s">
        <v>326</v>
      </c>
      <c r="U12" s="94" t="s">
        <v>327</v>
      </c>
      <c r="V12" s="77">
        <v>2015</v>
      </c>
      <c r="W12" s="77">
        <v>2016</v>
      </c>
      <c r="X12" s="77">
        <v>2017</v>
      </c>
      <c r="Y12" s="77">
        <v>2018</v>
      </c>
      <c r="Z12" s="77">
        <v>2019</v>
      </c>
      <c r="AA12" s="77">
        <v>2020</v>
      </c>
      <c r="AB12" s="77">
        <v>2021</v>
      </c>
      <c r="AC12" s="77">
        <v>2022</v>
      </c>
      <c r="AD12" s="77">
        <v>2023</v>
      </c>
      <c r="AE12" s="77">
        <v>2024</v>
      </c>
      <c r="AF12" s="77">
        <v>2025</v>
      </c>
      <c r="AG12" s="77">
        <v>2026</v>
      </c>
      <c r="AH12" s="77">
        <v>2027</v>
      </c>
      <c r="AI12" s="77">
        <v>2028</v>
      </c>
      <c r="AK12" s="77">
        <v>2019</v>
      </c>
      <c r="AL12" s="77">
        <v>2020</v>
      </c>
      <c r="AM12" s="77">
        <v>2021</v>
      </c>
      <c r="AN12" s="77">
        <v>2022</v>
      </c>
      <c r="AO12" s="77">
        <v>2023</v>
      </c>
      <c r="AP12" s="77">
        <v>2024</v>
      </c>
      <c r="AQ12" s="77">
        <v>2025</v>
      </c>
      <c r="AR12" s="77">
        <v>2026</v>
      </c>
      <c r="AS12" s="77">
        <v>2027</v>
      </c>
      <c r="AT12" s="77">
        <v>2028</v>
      </c>
      <c r="AV12" s="77">
        <v>2021</v>
      </c>
      <c r="AW12" s="77">
        <v>2022</v>
      </c>
      <c r="AX12" s="77">
        <v>2023</v>
      </c>
      <c r="AY12" s="77">
        <v>2024</v>
      </c>
      <c r="AZ12" s="77">
        <v>2025</v>
      </c>
      <c r="BA12" s="77">
        <v>2026</v>
      </c>
      <c r="BB12" s="77">
        <v>2027</v>
      </c>
      <c r="BC12" s="77">
        <v>2028</v>
      </c>
      <c r="BE12" s="77">
        <v>2019</v>
      </c>
      <c r="BF12" s="77">
        <v>2020</v>
      </c>
      <c r="BG12" s="77">
        <v>2021</v>
      </c>
      <c r="BH12" s="77">
        <v>2022</v>
      </c>
      <c r="BI12" s="77">
        <v>2023</v>
      </c>
      <c r="BJ12" s="77">
        <v>2024</v>
      </c>
      <c r="BK12" s="77">
        <v>2025</v>
      </c>
      <c r="BL12" s="77">
        <v>2026</v>
      </c>
      <c r="BM12" s="77">
        <v>2027</v>
      </c>
      <c r="BN12" s="77">
        <v>2028</v>
      </c>
    </row>
    <row r="13" spans="1:66" x14ac:dyDescent="0.2">
      <c r="A13" s="39"/>
      <c r="B13" s="86" t="s">
        <v>312</v>
      </c>
      <c r="C13" s="41" t="e">
        <f t="shared" ref="C13:L13" si="8">SUM(C15:C307)</f>
        <v>#REF!</v>
      </c>
      <c r="D13" s="41">
        <f t="shared" si="8"/>
        <v>2676789</v>
      </c>
      <c r="E13" s="41">
        <f t="shared" si="8"/>
        <v>3264266</v>
      </c>
      <c r="F13" s="41">
        <f t="shared" si="8"/>
        <v>2065203</v>
      </c>
      <c r="G13" s="41">
        <f t="shared" si="8"/>
        <v>1747617</v>
      </c>
      <c r="H13" s="41">
        <f t="shared" si="8"/>
        <v>4040649.4407711672</v>
      </c>
      <c r="I13" s="41">
        <f t="shared" si="8"/>
        <v>3695470.7637960995</v>
      </c>
      <c r="J13" s="41">
        <f t="shared" si="8"/>
        <v>3468997.6240510242</v>
      </c>
      <c r="K13" s="41">
        <f t="shared" si="8"/>
        <v>4226674.2327561472</v>
      </c>
      <c r="L13" s="41">
        <f t="shared" si="8"/>
        <v>2711108.3381339903</v>
      </c>
      <c r="M13" s="41">
        <f t="shared" ref="M13:N13" si="9">SUM(M15:M307)</f>
        <v>2106913.4100828813</v>
      </c>
      <c r="N13" s="41">
        <f t="shared" si="9"/>
        <v>2185293.5420462764</v>
      </c>
      <c r="O13" s="41">
        <f t="shared" ref="O13:P13" si="10">SUM(O15:O307)</f>
        <v>2256302.1761295022</v>
      </c>
      <c r="P13" s="41">
        <f t="shared" si="10"/>
        <v>2645790.6733811237</v>
      </c>
      <c r="S13" s="8"/>
      <c r="T13" s="39"/>
      <c r="U13" s="86" t="s">
        <v>312</v>
      </c>
      <c r="V13" s="41" t="e">
        <f>C13/'1. Väestöennuste'!E13*1000</f>
        <v>#REF!</v>
      </c>
      <c r="W13" s="41">
        <f>D13/'1. Väestöennuste'!F13*1000</f>
        <v>488.99313364448437</v>
      </c>
      <c r="X13" s="41">
        <f>E13/'1. Väestöennuste'!G13*1000</f>
        <v>595.27346885034956</v>
      </c>
      <c r="Y13" s="41">
        <f>F13/'1. Väestöennuste'!H13*1000</f>
        <v>376.30358610309889</v>
      </c>
      <c r="Z13" s="41">
        <f>G13/'1. Väestöennuste'!I13*1000</f>
        <v>318.01405828284265</v>
      </c>
      <c r="AA13" s="41">
        <f>H13/'1. Väestöennuste'!J13*1000</f>
        <v>734.17444102168429</v>
      </c>
      <c r="AB13" s="41">
        <f>I13/'1. Väestöennuste'!K13*1000</f>
        <v>669.72449173953396</v>
      </c>
      <c r="AC13" s="41">
        <f>J13/'1. Väestöennuste'!L13*1000</f>
        <v>626.89582336940998</v>
      </c>
      <c r="AD13" s="41">
        <f>K13/'1. Väestöennuste'!M13*1000</f>
        <v>758.37773831998345</v>
      </c>
      <c r="AE13" s="41">
        <f>L13/'1. Väestöennuste'!N13*1000</f>
        <v>489.49750027425756</v>
      </c>
      <c r="AF13" s="41">
        <f>M13/'1. Väestöennuste'!O13*1000</f>
        <v>379.97368210403363</v>
      </c>
      <c r="AG13" s="41">
        <f>N13/'1. Väestöennuste'!P13*1000</f>
        <v>393.70487271731866</v>
      </c>
      <c r="AH13" s="41">
        <f>O13/'1. Väestöennuste'!Q13*1000</f>
        <v>406.12405178495197</v>
      </c>
      <c r="AI13" s="41">
        <f>P13/'1. Väestöennuste'!R13*1000</f>
        <v>475.85889314686023</v>
      </c>
    </row>
    <row r="14" spans="1:66" x14ac:dyDescent="0.2">
      <c r="A14" s="39"/>
      <c r="B14" s="86"/>
      <c r="C14" s="4"/>
      <c r="D14" s="4"/>
      <c r="E14" s="4"/>
      <c r="F14" s="4"/>
      <c r="G14" s="4"/>
      <c r="H14" s="4"/>
      <c r="I14" s="4"/>
      <c r="J14" s="4"/>
      <c r="K14" s="4"/>
      <c r="L14" s="4"/>
      <c r="M14" s="4"/>
      <c r="N14" s="4"/>
      <c r="O14" s="4"/>
      <c r="P14" s="4"/>
      <c r="T14" s="39"/>
      <c r="U14" s="86"/>
      <c r="V14" s="41"/>
      <c r="W14" s="41"/>
      <c r="X14" s="41"/>
      <c r="Y14" s="41"/>
      <c r="Z14" s="41"/>
      <c r="AA14" s="41"/>
      <c r="AB14" s="41"/>
      <c r="AC14" s="41"/>
      <c r="AD14" s="41"/>
      <c r="AE14" s="41"/>
      <c r="AF14" s="41"/>
      <c r="AG14" s="41"/>
      <c r="AH14" s="41"/>
      <c r="AI14" s="41"/>
    </row>
    <row r="15" spans="1:66" x14ac:dyDescent="0.2">
      <c r="A15" s="34">
        <v>5</v>
      </c>
      <c r="B15" s="88" t="s">
        <v>328</v>
      </c>
      <c r="C15" s="41" t="e">
        <f>'2. Toimintakate'!D15+'3. Verotulot'!G15+'4. Valtionosuudet'!#REF!+'5. Rahoitustuotot ja -kulut'!C15</f>
        <v>#REF!</v>
      </c>
      <c r="D15" s="41">
        <f>'2. Toimintakate'!E15+'4. Valtionosuudet'!H15+'3. Verotulot'!L15+'5. Rahoitustuotot ja -kulut'!D15</f>
        <v>10054</v>
      </c>
      <c r="E15" s="41">
        <f>'2. Toimintakate'!F15+'4. Valtionosuudet'!N15+'3. Verotulot'!Q15+'5. Rahoitustuotot ja -kulut'!E15</f>
        <v>6626</v>
      </c>
      <c r="F15" s="41">
        <f>'2. Toimintakate'!G15+'4. Valtionosuudet'!T15+'3. Verotulot'!V15+'5. Rahoitustuotot ja -kulut'!F15</f>
        <v>2660</v>
      </c>
      <c r="G15" s="41">
        <f>'2. Toimintakate'!H15+'3. Verotulot'!AA15+'4. Valtionosuudet'!Z15+'5. Rahoitustuotot ja -kulut'!G15</f>
        <v>1283</v>
      </c>
      <c r="H15" s="41">
        <f>Käyttökate!H15+'5. Rahoitustuotot ja -kulut'!H15</f>
        <v>5787.5106073551069</v>
      </c>
      <c r="I15" s="41">
        <f>Käyttökate!I15+'5. Rahoitustuotot ja -kulut'!I15</f>
        <v>4857.3442533510452</v>
      </c>
      <c r="J15" s="41">
        <f>Käyttökate!J15+'5. Rahoitustuotot ja -kulut'!J15</f>
        <v>4581.8804213060102</v>
      </c>
      <c r="K15" s="41">
        <f>Käyttökate!K15+'5. Rahoitustuotot ja -kulut'!K15</f>
        <v>7610.5715998974065</v>
      </c>
      <c r="L15" s="41">
        <f>Käyttökate!L15+'5. Rahoitustuotot ja -kulut'!L15</f>
        <v>5532.1566623431991</v>
      </c>
      <c r="M15" s="41">
        <f>Käyttökate!M15+'5. Rahoitustuotot ja -kulut'!M15</f>
        <v>5426.7267193792504</v>
      </c>
      <c r="N15" s="41">
        <f>Käyttökate!N15+'5. Rahoitustuotot ja -kulut'!N15</f>
        <v>5273.1848079562169</v>
      </c>
      <c r="O15" s="41">
        <f>Käyttökate!O15+'5. Rahoitustuotot ja -kulut'!O15</f>
        <v>5492.7360302584575</v>
      </c>
      <c r="P15" s="41">
        <f>Käyttökate!P15+'5. Rahoitustuotot ja -kulut'!P15</f>
        <v>6606.5585333122626</v>
      </c>
      <c r="T15" s="34">
        <v>5</v>
      </c>
      <c r="U15" s="88" t="s">
        <v>328</v>
      </c>
      <c r="V15" s="41" t="e">
        <f>C15/'1. Väestöennuste'!E15*1000</f>
        <v>#REF!</v>
      </c>
      <c r="W15" s="41">
        <f>D15/'1. Väestöennuste'!F15*1000</f>
        <v>1015.6581472876047</v>
      </c>
      <c r="X15" s="41">
        <f>E15/'1. Väestöennuste'!G15*1000</f>
        <v>673.99043840911395</v>
      </c>
      <c r="Y15" s="41">
        <f>F15/'1. Väestöennuste'!H15*1000</f>
        <v>274.22680412371136</v>
      </c>
      <c r="Z15" s="41">
        <f>G15/'1. Väestöennuste'!I15*1000</f>
        <v>134.17695042878057</v>
      </c>
      <c r="AA15" s="41">
        <f>H15/'1. Väestöennuste'!J15*1000</f>
        <v>614.4506430995973</v>
      </c>
      <c r="AB15" s="41">
        <f>I15/'1. Väestöennuste'!K15*1000</f>
        <v>521.6780424606427</v>
      </c>
      <c r="AC15" s="41">
        <f>J15/'1. Väestöennuste'!L15*1000</f>
        <v>498.9524579446815</v>
      </c>
      <c r="AD15" s="41">
        <f>K15/'1. Väestöennuste'!M15*1000</f>
        <v>835.13350157987566</v>
      </c>
      <c r="AE15" s="41">
        <f>L15/'1. Väestöennuste'!N15*1000</f>
        <v>618.04900707666172</v>
      </c>
      <c r="AF15" s="41">
        <f>M15/'1. Väestöennuste'!O15*1000</f>
        <v>613.81367711562609</v>
      </c>
      <c r="AG15" s="41">
        <f>N15/'1. Väestöennuste'!P15*1000</f>
        <v>604.03033309922307</v>
      </c>
      <c r="AH15" s="41">
        <f>O15/'1. Väestöennuste'!Q15*1000</f>
        <v>637.1344426700449</v>
      </c>
      <c r="AI15" s="41">
        <f>P15/'1. Väestöennuste'!R15*1000</f>
        <v>776.14644423311347</v>
      </c>
      <c r="AK15" s="41">
        <f>'6. Poistot'!Z15</f>
        <v>339.46873039113154</v>
      </c>
      <c r="AL15" s="41">
        <f>'6. Poistot'!AA15</f>
        <v>380.50748487100543</v>
      </c>
      <c r="AM15" s="41">
        <f>'6. Poistot'!AB15</f>
        <v>411.05315540758249</v>
      </c>
      <c r="AN15" s="41">
        <f>'6. Poistot'!AC15</f>
        <v>419.05067189371664</v>
      </c>
      <c r="AO15" s="41">
        <f>'6. Poistot'!AD15</f>
        <v>446.23072643476354</v>
      </c>
      <c r="AP15" s="41">
        <f>'6. Poistot'!AE15</f>
        <v>473.38956541168585</v>
      </c>
      <c r="AQ15" s="41">
        <f>'6. Poistot'!AF15</f>
        <v>484.89989820156092</v>
      </c>
      <c r="AR15" s="41">
        <f>'6. Poistot'!AG15</f>
        <v>496.79266895761742</v>
      </c>
      <c r="AS15" s="41">
        <f>'6. Poistot'!AH15</f>
        <v>519.30624279613551</v>
      </c>
      <c r="AT15" s="41">
        <f>'6. Poistot'!AI15</f>
        <v>542.39640957365691</v>
      </c>
      <c r="AV15" s="4">
        <f>IF(AM15&gt;AB15,1,0)</f>
        <v>0</v>
      </c>
      <c r="AW15" s="4">
        <f t="shared" ref="AW15:AW78" si="11">IF(AN15&gt;AC15,1,0)</f>
        <v>0</v>
      </c>
      <c r="AX15" s="4">
        <f t="shared" ref="AX15:AX78" si="12">IF(AO15&gt;AD15,1,0)</f>
        <v>0</v>
      </c>
      <c r="AY15" s="4">
        <f t="shared" ref="AY15:AY78" si="13">IF(AP15&gt;AE15,1,0)</f>
        <v>0</v>
      </c>
      <c r="AZ15" s="4">
        <f t="shared" ref="AZ15:AZ78" si="14">IF(AQ15&gt;AF15,1,0)</f>
        <v>0</v>
      </c>
      <c r="BA15" s="4">
        <f t="shared" ref="BA15:BA78" si="15">IF(AR15&gt;AG15,1,0)</f>
        <v>0</v>
      </c>
      <c r="BB15" s="4">
        <f t="shared" ref="BB15:BB78" si="16">IF(AS15&gt;AH15,1,0)</f>
        <v>0</v>
      </c>
      <c r="BC15" s="4">
        <f t="shared" ref="BC15:BC78" si="17">IF(AT15&gt;AI15,1,0)</f>
        <v>0</v>
      </c>
      <c r="BE15" s="405">
        <f t="shared" ref="BE15:BN15" si="18">IF(G15&lt;0,-1,0)</f>
        <v>0</v>
      </c>
      <c r="BF15" s="405">
        <f t="shared" si="18"/>
        <v>0</v>
      </c>
      <c r="BG15" s="405">
        <f t="shared" si="18"/>
        <v>0</v>
      </c>
      <c r="BH15" s="405">
        <f t="shared" si="18"/>
        <v>0</v>
      </c>
      <c r="BI15" s="405">
        <f t="shared" si="18"/>
        <v>0</v>
      </c>
      <c r="BJ15" s="405">
        <f t="shared" si="18"/>
        <v>0</v>
      </c>
      <c r="BK15" s="405">
        <f t="shared" si="18"/>
        <v>0</v>
      </c>
      <c r="BL15" s="405">
        <f t="shared" si="18"/>
        <v>0</v>
      </c>
      <c r="BM15" s="405">
        <f t="shared" si="18"/>
        <v>0</v>
      </c>
      <c r="BN15" s="405">
        <f t="shared" si="18"/>
        <v>0</v>
      </c>
    </row>
    <row r="16" spans="1:66" x14ac:dyDescent="0.2">
      <c r="A16" s="34">
        <v>9</v>
      </c>
      <c r="B16" s="88" t="s">
        <v>329</v>
      </c>
      <c r="C16" s="41" t="e">
        <f>'2. Toimintakate'!D16+'3. Verotulot'!G16+'4. Valtionosuudet'!#REF!+'5. Rahoitustuotot ja -kulut'!C16</f>
        <v>#REF!</v>
      </c>
      <c r="D16" s="41">
        <f>'2. Toimintakate'!E16+'4. Valtionosuudet'!H16+'3. Verotulot'!L16+'5. Rahoitustuotot ja -kulut'!D16</f>
        <v>1357</v>
      </c>
      <c r="E16" s="41">
        <f>'2. Toimintakate'!F16+'4. Valtionosuudet'!N16+'3. Verotulot'!Q16+'5. Rahoitustuotot ja -kulut'!E16</f>
        <v>721</v>
      </c>
      <c r="F16" s="41">
        <f>'2. Toimintakate'!G16+'4. Valtionosuudet'!T16+'3. Verotulot'!V16+'5. Rahoitustuotot ja -kulut'!F16</f>
        <v>1116</v>
      </c>
      <c r="G16" s="41">
        <f>'2. Toimintakate'!H16+'3. Verotulot'!AA16+'4. Valtionosuudet'!Z16+'5. Rahoitustuotot ja -kulut'!G16</f>
        <v>1460</v>
      </c>
      <c r="H16" s="41">
        <f>Käyttökate!H16+'5. Rahoitustuotot ja -kulut'!H16</f>
        <v>1971.3207278548052</v>
      </c>
      <c r="I16" s="41">
        <f>Käyttökate!I16+'5. Rahoitustuotot ja -kulut'!I16</f>
        <v>1382.403211428016</v>
      </c>
      <c r="J16" s="41">
        <f>Käyttökate!J16+'5. Rahoitustuotot ja -kulut'!J16</f>
        <v>2812.9725725995022</v>
      </c>
      <c r="K16" s="41">
        <f>Käyttökate!K16+'5. Rahoitustuotot ja -kulut'!K16</f>
        <v>1524.6566633074035</v>
      </c>
      <c r="L16" s="41">
        <f>Käyttökate!L16+'5. Rahoitustuotot ja -kulut'!L16</f>
        <v>956.6480850455406</v>
      </c>
      <c r="M16" s="41">
        <f>Käyttökate!M16+'5. Rahoitustuotot ja -kulut'!M16</f>
        <v>808.97119591528792</v>
      </c>
      <c r="N16" s="41">
        <f>Käyttökate!N16+'5. Rahoitustuotot ja -kulut'!N16</f>
        <v>498.89503411720671</v>
      </c>
      <c r="O16" s="41">
        <f>Käyttökate!O16+'5. Rahoitustuotot ja -kulut'!O16</f>
        <v>395.73303422329758</v>
      </c>
      <c r="P16" s="41">
        <f>Käyttökate!P16+'5. Rahoitustuotot ja -kulut'!P16</f>
        <v>489.99227623187733</v>
      </c>
      <c r="T16" s="34">
        <v>9</v>
      </c>
      <c r="U16" s="88" t="s">
        <v>329</v>
      </c>
      <c r="V16" s="41" t="e">
        <f>C16/'1. Väestöennuste'!E16*1000</f>
        <v>#REF!</v>
      </c>
      <c r="W16" s="41">
        <f>D16/'1. Väestöennuste'!F16*1000</f>
        <v>514.20992800303145</v>
      </c>
      <c r="X16" s="41">
        <f>E16/'1. Väestöennuste'!G16*1000</f>
        <v>276.24521072796938</v>
      </c>
      <c r="Y16" s="41">
        <f>F16/'1. Väestöennuste'!H16*1000</f>
        <v>433.73493975903614</v>
      </c>
      <c r="Z16" s="41">
        <f>G16/'1. Väestöennuste'!I16*1000</f>
        <v>579.59507741167124</v>
      </c>
      <c r="AA16" s="41">
        <f>H16/'1. Väestöennuste'!J16*1000</f>
        <v>783.20251404640646</v>
      </c>
      <c r="AB16" s="41">
        <f>I16/'1. Väestöennuste'!K16*1000</f>
        <v>554.95913746608426</v>
      </c>
      <c r="AC16" s="41">
        <f>J16/'1. Väestöennuste'!L16*1000</f>
        <v>1149.5596945645698</v>
      </c>
      <c r="AD16" s="41">
        <f>K16/'1. Väestöennuste'!M16*1000</f>
        <v>625.62850361403514</v>
      </c>
      <c r="AE16" s="41">
        <f>L16/'1. Väestöennuste'!N16*1000</f>
        <v>395.1458426458243</v>
      </c>
      <c r="AF16" s="41">
        <f>M16/'1. Väestöennuste'!O16*1000</f>
        <v>337.49319812903127</v>
      </c>
      <c r="AG16" s="41">
        <f>N16/'1. Väestöennuste'!P16*1000</f>
        <v>210.06106699671861</v>
      </c>
      <c r="AH16" s="41">
        <f>O16/'1. Väestöennuste'!Q16*1000</f>
        <v>168.253841081334</v>
      </c>
      <c r="AI16" s="41">
        <f>P16/'1. Väestöennuste'!R16*1000</f>
        <v>210.38740928805379</v>
      </c>
      <c r="AK16" s="41">
        <f>'6. Poistot'!Z16</f>
        <v>295.75228265184592</v>
      </c>
      <c r="AL16" s="41">
        <f>'6. Poistot'!AA16</f>
        <v>280.09535160905841</v>
      </c>
      <c r="AM16" s="41">
        <f>'6. Poistot'!AB16</f>
        <v>296.3366037735849</v>
      </c>
      <c r="AN16" s="41">
        <f>'6. Poistot'!AC16</f>
        <v>333.26749897834077</v>
      </c>
      <c r="AO16" s="41">
        <f>'6. Poistot'!AD16</f>
        <v>355.151965531391</v>
      </c>
      <c r="AP16" s="41">
        <f>'6. Poistot'!AE16</f>
        <v>359.82529533250721</v>
      </c>
      <c r="AQ16" s="41">
        <f>'6. Poistot'!AF16</f>
        <v>363.4280350438047</v>
      </c>
      <c r="AR16" s="41">
        <f>'6. Poistot'!AG16</f>
        <v>366.79452631578948</v>
      </c>
      <c r="AS16" s="41">
        <f>'6. Poistot'!AH16</f>
        <v>382.33222922784324</v>
      </c>
      <c r="AT16" s="41">
        <f>'6. Poistot'!AI16</f>
        <v>398.17681678307196</v>
      </c>
      <c r="AV16" s="4">
        <f t="shared" ref="AV16:AV78" si="19">IF(AM16&gt;AB16,1,0)</f>
        <v>0</v>
      </c>
      <c r="AW16" s="4">
        <f t="shared" si="11"/>
        <v>0</v>
      </c>
      <c r="AX16" s="4">
        <f t="shared" si="12"/>
        <v>0</v>
      </c>
      <c r="AY16" s="4">
        <f t="shared" si="13"/>
        <v>0</v>
      </c>
      <c r="AZ16" s="4">
        <f t="shared" si="14"/>
        <v>1</v>
      </c>
      <c r="BA16" s="4">
        <f t="shared" si="15"/>
        <v>1</v>
      </c>
      <c r="BB16" s="4">
        <f t="shared" si="16"/>
        <v>1</v>
      </c>
      <c r="BC16" s="4">
        <f t="shared" si="17"/>
        <v>1</v>
      </c>
      <c r="BE16" s="405">
        <f t="shared" ref="BE16:BE79" si="20">IF(G16&lt;0,-1,0)</f>
        <v>0</v>
      </c>
      <c r="BF16" s="405">
        <f t="shared" ref="BF16:BF79" si="21">IF(H16&lt;0,-1,0)</f>
        <v>0</v>
      </c>
      <c r="BG16" s="405">
        <f t="shared" ref="BG16:BG79" si="22">IF(I16&lt;0,-1,0)</f>
        <v>0</v>
      </c>
      <c r="BH16" s="405">
        <f t="shared" ref="BH16:BH79" si="23">IF(J16&lt;0,-1,0)</f>
        <v>0</v>
      </c>
      <c r="BI16" s="405">
        <f t="shared" ref="BI16:BI79" si="24">IF(K16&lt;0,-1,0)</f>
        <v>0</v>
      </c>
      <c r="BJ16" s="405">
        <f t="shared" ref="BJ16:BJ79" si="25">IF(L16&lt;0,-1,0)</f>
        <v>0</v>
      </c>
      <c r="BK16" s="405">
        <f t="shared" ref="BK16:BK79" si="26">IF(M16&lt;0,-1,0)</f>
        <v>0</v>
      </c>
      <c r="BL16" s="405">
        <f t="shared" ref="BL16:BL79" si="27">IF(N16&lt;0,-1,0)</f>
        <v>0</v>
      </c>
      <c r="BM16" s="405">
        <f t="shared" ref="BM16:BN79" si="28">IF(O16&lt;0,-1,0)</f>
        <v>0</v>
      </c>
      <c r="BN16" s="405">
        <f t="shared" si="28"/>
        <v>0</v>
      </c>
    </row>
    <row r="17" spans="1:66" x14ac:dyDescent="0.2">
      <c r="A17" s="34">
        <v>10</v>
      </c>
      <c r="B17" s="88" t="s">
        <v>330</v>
      </c>
      <c r="C17" s="41" t="e">
        <f>'2. Toimintakate'!D17+'3. Verotulot'!G17+'4. Valtionosuudet'!#REF!+'5. Rahoitustuotot ja -kulut'!C17</f>
        <v>#REF!</v>
      </c>
      <c r="D17" s="41">
        <f>'2. Toimintakate'!E17+'4. Valtionosuudet'!H17+'3. Verotulot'!L17+'5. Rahoitustuotot ja -kulut'!D17</f>
        <v>4667</v>
      </c>
      <c r="E17" s="41">
        <f>'2. Toimintakate'!F17+'4. Valtionosuudet'!N17+'3. Verotulot'!Q17+'5. Rahoitustuotot ja -kulut'!E17</f>
        <v>5463</v>
      </c>
      <c r="F17" s="41">
        <f>'2. Toimintakate'!G17+'4. Valtionosuudet'!T17+'3. Verotulot'!V17+'5. Rahoitustuotot ja -kulut'!F17</f>
        <v>2900</v>
      </c>
      <c r="G17" s="41">
        <f>'2. Toimintakate'!H17+'3. Verotulot'!AA17+'4. Valtionosuudet'!Z17+'5. Rahoitustuotot ja -kulut'!G17</f>
        <v>1076</v>
      </c>
      <c r="H17" s="41">
        <f>Käyttökate!H17+'5. Rahoitustuotot ja -kulut'!H17</f>
        <v>5165.7838108954456</v>
      </c>
      <c r="I17" s="41">
        <f>Käyttökate!I17+'5. Rahoitustuotot ja -kulut'!I17</f>
        <v>3327.9647706183441</v>
      </c>
      <c r="J17" s="41">
        <f>Käyttökate!J17+'5. Rahoitustuotot ja -kulut'!J17</f>
        <v>2238.2184396380771</v>
      </c>
      <c r="K17" s="41">
        <f>Käyttökate!K17+'5. Rahoitustuotot ja -kulut'!K17</f>
        <v>4950.9498155629381</v>
      </c>
      <c r="L17" s="41">
        <f>Käyttökate!L17+'5. Rahoitustuotot ja -kulut'!L17</f>
        <v>3928.6972195712533</v>
      </c>
      <c r="M17" s="41">
        <f>Käyttökate!M17+'5. Rahoitustuotot ja -kulut'!M17</f>
        <v>2376.1789591116394</v>
      </c>
      <c r="N17" s="41">
        <f>Käyttökate!N17+'5. Rahoitustuotot ja -kulut'!N17</f>
        <v>2198.7122812706139</v>
      </c>
      <c r="O17" s="41">
        <f>Käyttökate!O17+'5. Rahoitustuotot ja -kulut'!O17</f>
        <v>2673.3351380770232</v>
      </c>
      <c r="P17" s="41">
        <f>Käyttökate!P17+'5. Rahoitustuotot ja -kulut'!P17</f>
        <v>3976.4424845070366</v>
      </c>
      <c r="T17" s="34">
        <v>10</v>
      </c>
      <c r="U17" s="88" t="s">
        <v>330</v>
      </c>
      <c r="V17" s="41" t="e">
        <f>C17/'1. Väestöennuste'!E17*1000</f>
        <v>#REF!</v>
      </c>
      <c r="W17" s="41">
        <f>D17/'1. Väestöennuste'!F17*1000</f>
        <v>391.95431258923327</v>
      </c>
      <c r="X17" s="41">
        <f>E17/'1. Väestöennuste'!G17*1000</f>
        <v>466.40484931272948</v>
      </c>
      <c r="Y17" s="41">
        <f>F17/'1. Väestöennuste'!H17*1000</f>
        <v>251.21275121275121</v>
      </c>
      <c r="Z17" s="41">
        <f>G17/'1. Väestöennuste'!I17*1000</f>
        <v>93.826299267527034</v>
      </c>
      <c r="AA17" s="41">
        <f>H17/'1. Väestöennuste'!J17*1000</f>
        <v>455.8580842653941</v>
      </c>
      <c r="AB17" s="41">
        <f>I17/'1. Väestöennuste'!K17*1000</f>
        <v>297.21932398127569</v>
      </c>
      <c r="AC17" s="41">
        <f>J17/'1. Väestöennuste'!L17*1000</f>
        <v>201.60497564745785</v>
      </c>
      <c r="AD17" s="41">
        <f>K17/'1. Väestöennuste'!M17*1000</f>
        <v>452.84458205094103</v>
      </c>
      <c r="AE17" s="41">
        <f>L17/'1. Väestöennuste'!N17*1000</f>
        <v>363.2637281156961</v>
      </c>
      <c r="AF17" s="41">
        <f>M17/'1. Väestöennuste'!O17*1000</f>
        <v>222.36374313228893</v>
      </c>
      <c r="AG17" s="41">
        <f>N17/'1. Väestöennuste'!P17*1000</f>
        <v>208.17196376354988</v>
      </c>
      <c r="AH17" s="41">
        <f>O17/'1. Väestöennuste'!Q17*1000</f>
        <v>255.9930228935194</v>
      </c>
      <c r="AI17" s="41">
        <f>P17/'1. Väestöennuste'!R17*1000</f>
        <v>385.12760140503985</v>
      </c>
      <c r="AK17" s="41">
        <f>'6. Poistot'!Z17</f>
        <v>318.53854202999651</v>
      </c>
      <c r="AL17" s="41">
        <f>'6. Poistot'!AA17</f>
        <v>355.80656547829153</v>
      </c>
      <c r="AM17" s="41">
        <f>'6. Poistot'!AB17</f>
        <v>385.95030275966775</v>
      </c>
      <c r="AN17" s="41">
        <f>'6. Poistot'!AC17</f>
        <v>399.9269951360115</v>
      </c>
      <c r="AO17" s="41">
        <f>'6. Poistot'!AD17</f>
        <v>439.04337327357541</v>
      </c>
      <c r="AP17" s="41">
        <f>'6. Poistot'!AE17</f>
        <v>516.87471104946837</v>
      </c>
      <c r="AQ17" s="41">
        <f>'6. Poistot'!AF17</f>
        <v>498.78345498783455</v>
      </c>
      <c r="AR17" s="41">
        <f>'6. Poistot'!AG17</f>
        <v>481.44290854004925</v>
      </c>
      <c r="AS17" s="41">
        <f>'6. Poistot'!AH17</f>
        <v>502.64046173589503</v>
      </c>
      <c r="AT17" s="41">
        <f>'6. Poistot'!AI17</f>
        <v>524.2759015802327</v>
      </c>
      <c r="AV17" s="4">
        <f t="shared" si="19"/>
        <v>1</v>
      </c>
      <c r="AW17" s="4">
        <f t="shared" si="11"/>
        <v>1</v>
      </c>
      <c r="AX17" s="4">
        <f t="shared" si="12"/>
        <v>0</v>
      </c>
      <c r="AY17" s="4">
        <f t="shared" si="13"/>
        <v>1</v>
      </c>
      <c r="AZ17" s="4">
        <f t="shared" si="14"/>
        <v>1</v>
      </c>
      <c r="BA17" s="4">
        <f t="shared" si="15"/>
        <v>1</v>
      </c>
      <c r="BB17" s="4">
        <f t="shared" si="16"/>
        <v>1</v>
      </c>
      <c r="BC17" s="4">
        <f t="shared" si="17"/>
        <v>1</v>
      </c>
      <c r="BE17" s="405">
        <f t="shared" si="20"/>
        <v>0</v>
      </c>
      <c r="BF17" s="405">
        <f t="shared" si="21"/>
        <v>0</v>
      </c>
      <c r="BG17" s="405">
        <f t="shared" si="22"/>
        <v>0</v>
      </c>
      <c r="BH17" s="405">
        <f t="shared" si="23"/>
        <v>0</v>
      </c>
      <c r="BI17" s="405">
        <f t="shared" si="24"/>
        <v>0</v>
      </c>
      <c r="BJ17" s="405">
        <f t="shared" si="25"/>
        <v>0</v>
      </c>
      <c r="BK17" s="405">
        <f t="shared" si="26"/>
        <v>0</v>
      </c>
      <c r="BL17" s="405">
        <f t="shared" si="27"/>
        <v>0</v>
      </c>
      <c r="BM17" s="405">
        <f t="shared" si="28"/>
        <v>0</v>
      </c>
      <c r="BN17" s="405">
        <f t="shared" si="28"/>
        <v>0</v>
      </c>
    </row>
    <row r="18" spans="1:66" x14ac:dyDescent="0.2">
      <c r="A18" s="34">
        <v>16</v>
      </c>
      <c r="B18" s="88" t="s">
        <v>331</v>
      </c>
      <c r="C18" s="41" t="e">
        <f>'2. Toimintakate'!D18+'3. Verotulot'!G18+'4. Valtionosuudet'!#REF!+'5. Rahoitustuotot ja -kulut'!C18</f>
        <v>#REF!</v>
      </c>
      <c r="D18" s="41">
        <f>'2. Toimintakate'!E18+'4. Valtionosuudet'!H18+'3. Verotulot'!L18+'5. Rahoitustuotot ja -kulut'!D18</f>
        <v>5428</v>
      </c>
      <c r="E18" s="41">
        <f>'2. Toimintakate'!F18+'4. Valtionosuudet'!N18+'3. Verotulot'!Q18+'5. Rahoitustuotot ja -kulut'!E18</f>
        <v>4763</v>
      </c>
      <c r="F18" s="41">
        <f>'2. Toimintakate'!G18+'4. Valtionosuudet'!T18+'3. Verotulot'!V18+'5. Rahoitustuotot ja -kulut'!F18</f>
        <v>2955</v>
      </c>
      <c r="G18" s="41">
        <f>'2. Toimintakate'!H18+'3. Verotulot'!AA18+'4. Valtionosuudet'!Z18+'5. Rahoitustuotot ja -kulut'!G18</f>
        <v>2364</v>
      </c>
      <c r="H18" s="41">
        <f>Käyttökate!H18+'5. Rahoitustuotot ja -kulut'!H18</f>
        <v>8641.317470642196</v>
      </c>
      <c r="I18" s="41">
        <f>Käyttökate!I18+'5. Rahoitustuotot ja -kulut'!I18</f>
        <v>5510.7657784769535</v>
      </c>
      <c r="J18" s="41">
        <f>Käyttökate!J18+'5. Rahoitustuotot ja -kulut'!J18</f>
        <v>4555.5703771633634</v>
      </c>
      <c r="K18" s="41">
        <f>Käyttökate!K18+'5. Rahoitustuotot ja -kulut'!K18</f>
        <v>6876.3390561206606</v>
      </c>
      <c r="L18" s="41">
        <f>Käyttökate!L18+'5. Rahoitustuotot ja -kulut'!L18</f>
        <v>2538.8109119960827</v>
      </c>
      <c r="M18" s="41">
        <f>Käyttökate!M18+'5. Rahoitustuotot ja -kulut'!M18</f>
        <v>3102.3199741900717</v>
      </c>
      <c r="N18" s="41">
        <f>Käyttökate!N18+'5. Rahoitustuotot ja -kulut'!N18</f>
        <v>2119.3625774193388</v>
      </c>
      <c r="O18" s="41">
        <f>Käyttökate!O18+'5. Rahoitustuotot ja -kulut'!O18</f>
        <v>1678.6368438334457</v>
      </c>
      <c r="P18" s="41">
        <f>Käyttökate!P18+'5. Rahoitustuotot ja -kulut'!P18</f>
        <v>2606.6518106418566</v>
      </c>
      <c r="T18" s="34">
        <v>16</v>
      </c>
      <c r="U18" s="88" t="s">
        <v>331</v>
      </c>
      <c r="V18" s="41" t="e">
        <f>C18/'1. Väestöennuste'!E18*1000</f>
        <v>#REF!</v>
      </c>
      <c r="W18" s="41">
        <f>D18/'1. Väestöennuste'!F18*1000</f>
        <v>652.16868917457646</v>
      </c>
      <c r="X18" s="41">
        <f>E18/'1. Väestöennuste'!G18*1000</f>
        <v>577.47332686711923</v>
      </c>
      <c r="Y18" s="41">
        <f>F18/'1. Väestöennuste'!H18*1000</f>
        <v>362.62118051294641</v>
      </c>
      <c r="Z18" s="41">
        <f>G18/'1. Väestöennuste'!I18*1000</f>
        <v>292.46566868736858</v>
      </c>
      <c r="AA18" s="41">
        <f>H18/'1. Väestöennuste'!J18*1000</f>
        <v>1072.2567900039951</v>
      </c>
      <c r="AB18" s="41">
        <f>I18/'1. Väestöennuste'!K18*1000</f>
        <v>686.01590669450445</v>
      </c>
      <c r="AC18" s="41">
        <f>J18/'1. Väestöennuste'!L18*1000</f>
        <v>568.45150700815611</v>
      </c>
      <c r="AD18" s="41">
        <f>K18/'1. Väestöennuste'!M18*1000</f>
        <v>862.99435945289417</v>
      </c>
      <c r="AE18" s="41">
        <f>L18/'1. Väestöennuste'!N18*1000</f>
        <v>321.93899467360927</v>
      </c>
      <c r="AF18" s="41">
        <f>M18/'1. Väestöennuste'!O18*1000</f>
        <v>395.8555536799887</v>
      </c>
      <c r="AG18" s="41">
        <f>N18/'1. Väestöennuste'!P18*1000</f>
        <v>272.02702829153367</v>
      </c>
      <c r="AH18" s="41">
        <f>O18/'1. Väestöennuste'!Q18*1000</f>
        <v>216.79411647080533</v>
      </c>
      <c r="AI18" s="41">
        <f>P18/'1. Väestöennuste'!R18*1000</f>
        <v>338.5701793274265</v>
      </c>
      <c r="AK18" s="41">
        <f>'6. Poistot'!Z18</f>
        <v>274.03191884201414</v>
      </c>
      <c r="AL18" s="41">
        <f>'6. Poistot'!AA18</f>
        <v>311.32894900111671</v>
      </c>
      <c r="AM18" s="41">
        <f>'6. Poistot'!AB18</f>
        <v>297.27619818249724</v>
      </c>
      <c r="AN18" s="41">
        <f>'6. Poistot'!AC18</f>
        <v>287.77618043424008</v>
      </c>
      <c r="AO18" s="41">
        <f>'6. Poistot'!AD18</f>
        <v>370.99843875502006</v>
      </c>
      <c r="AP18" s="41">
        <f>'6. Poistot'!AE18</f>
        <v>311.93253867613493</v>
      </c>
      <c r="AQ18" s="41">
        <f>'6. Poistot'!AF18</f>
        <v>313.88286334056397</v>
      </c>
      <c r="AR18" s="41">
        <f>'6. Poistot'!AG18</f>
        <v>315.73610576305992</v>
      </c>
      <c r="AS18" s="41">
        <f>'6. Poistot'!AH18</f>
        <v>327.94420395468359</v>
      </c>
      <c r="AT18" s="41">
        <f>'6. Poistot'!AI18</f>
        <v>340.12780133033255</v>
      </c>
      <c r="AV18" s="4">
        <f t="shared" si="19"/>
        <v>0</v>
      </c>
      <c r="AW18" s="4">
        <f t="shared" si="11"/>
        <v>0</v>
      </c>
      <c r="AX18" s="4">
        <f t="shared" si="12"/>
        <v>0</v>
      </c>
      <c r="AY18" s="4">
        <f t="shared" si="13"/>
        <v>0</v>
      </c>
      <c r="AZ18" s="4">
        <f t="shared" si="14"/>
        <v>0</v>
      </c>
      <c r="BA18" s="4">
        <f t="shared" si="15"/>
        <v>1</v>
      </c>
      <c r="BB18" s="4">
        <f t="shared" si="16"/>
        <v>1</v>
      </c>
      <c r="BC18" s="4">
        <f t="shared" si="17"/>
        <v>1</v>
      </c>
      <c r="BE18" s="405">
        <f t="shared" si="20"/>
        <v>0</v>
      </c>
      <c r="BF18" s="405">
        <f t="shared" si="21"/>
        <v>0</v>
      </c>
      <c r="BG18" s="405">
        <f t="shared" si="22"/>
        <v>0</v>
      </c>
      <c r="BH18" s="405">
        <f t="shared" si="23"/>
        <v>0</v>
      </c>
      <c r="BI18" s="405">
        <f t="shared" si="24"/>
        <v>0</v>
      </c>
      <c r="BJ18" s="405">
        <f t="shared" si="25"/>
        <v>0</v>
      </c>
      <c r="BK18" s="405">
        <f t="shared" si="26"/>
        <v>0</v>
      </c>
      <c r="BL18" s="405">
        <f t="shared" si="27"/>
        <v>0</v>
      </c>
      <c r="BM18" s="405">
        <f t="shared" si="28"/>
        <v>0</v>
      </c>
      <c r="BN18" s="405">
        <f t="shared" si="28"/>
        <v>0</v>
      </c>
    </row>
    <row r="19" spans="1:66" x14ac:dyDescent="0.2">
      <c r="A19" s="34">
        <v>18</v>
      </c>
      <c r="B19" s="88" t="s">
        <v>332</v>
      </c>
      <c r="C19" s="41" t="e">
        <f>'2. Toimintakate'!D19+'3. Verotulot'!G19+'4. Valtionosuudet'!#REF!+'5. Rahoitustuotot ja -kulut'!C19</f>
        <v>#REF!</v>
      </c>
      <c r="D19" s="41">
        <f>'2. Toimintakate'!E19+'4. Valtionosuudet'!H19+'3. Verotulot'!L19+'5. Rahoitustuotot ja -kulut'!D19</f>
        <v>983</v>
      </c>
      <c r="E19" s="41">
        <f>'2. Toimintakate'!F19+'4. Valtionosuudet'!N19+'3. Verotulot'!Q19+'5. Rahoitustuotot ja -kulut'!E19</f>
        <v>829</v>
      </c>
      <c r="F19" s="41">
        <f>'2. Toimintakate'!G19+'4. Valtionosuudet'!T19+'3. Verotulot'!V19+'5. Rahoitustuotot ja -kulut'!F19</f>
        <v>-198</v>
      </c>
      <c r="G19" s="41">
        <f>'2. Toimintakate'!H19+'3. Verotulot'!AA19+'4. Valtionosuudet'!Z19+'5. Rahoitustuotot ja -kulut'!G19</f>
        <v>2230</v>
      </c>
      <c r="H19" s="41">
        <f>Käyttökate!H19+'5. Rahoitustuotot ja -kulut'!H19</f>
        <v>4044.6578954179313</v>
      </c>
      <c r="I19" s="41">
        <f>Käyttökate!I19+'5. Rahoitustuotot ja -kulut'!I19</f>
        <v>2818.2225650998084</v>
      </c>
      <c r="J19" s="41">
        <f>Käyttökate!J19+'5. Rahoitustuotot ja -kulut'!J19</f>
        <v>2419.6753066594292</v>
      </c>
      <c r="K19" s="41">
        <f>Käyttökate!K19+'5. Rahoitustuotot ja -kulut'!K19</f>
        <v>2110.5439511848958</v>
      </c>
      <c r="L19" s="41">
        <f>Käyttökate!L19+'5. Rahoitustuotot ja -kulut'!L19</f>
        <v>965.57617672378956</v>
      </c>
      <c r="M19" s="41">
        <f>Käyttökate!M19+'5. Rahoitustuotot ja -kulut'!M19</f>
        <v>471.38261588998648</v>
      </c>
      <c r="N19" s="41">
        <f>Käyttökate!N19+'5. Rahoitustuotot ja -kulut'!N19</f>
        <v>700.50355239927421</v>
      </c>
      <c r="O19" s="41">
        <f>Käyttökate!O19+'5. Rahoitustuotot ja -kulut'!O19</f>
        <v>523.85214616825533</v>
      </c>
      <c r="P19" s="41">
        <f>Käyttökate!P19+'5. Rahoitustuotot ja -kulut'!P19</f>
        <v>538.11038394734851</v>
      </c>
      <c r="T19" s="34">
        <v>18</v>
      </c>
      <c r="U19" s="88" t="s">
        <v>332</v>
      </c>
      <c r="V19" s="41" t="e">
        <f>C19/'1. Väestöennuste'!E19*1000</f>
        <v>#REF!</v>
      </c>
      <c r="W19" s="41">
        <f>D19/'1. Väestöennuste'!F19*1000</f>
        <v>194.80776852952832</v>
      </c>
      <c r="X19" s="41">
        <f>E19/'1. Väestöennuste'!G19*1000</f>
        <v>166.13226452905809</v>
      </c>
      <c r="Y19" s="41">
        <f>F19/'1. Väestöennuste'!H19*1000</f>
        <v>-39.93545784590561</v>
      </c>
      <c r="Z19" s="41">
        <f>G19/'1. Väestöennuste'!I19*1000</f>
        <v>451.14303054825007</v>
      </c>
      <c r="AA19" s="41">
        <f>H19/'1. Väestöennuste'!J19*1000</f>
        <v>829.16316019227781</v>
      </c>
      <c r="AB19" s="41">
        <f>I19/'1. Väestöennuste'!K19*1000</f>
        <v>581.43646897045767</v>
      </c>
      <c r="AC19" s="41">
        <f>J19/'1. Väestöennuste'!L19*1000</f>
        <v>508.01497095516044</v>
      </c>
      <c r="AD19" s="41">
        <f>K19/'1. Väestöennuste'!M19*1000</f>
        <v>449.05190450742464</v>
      </c>
      <c r="AE19" s="41">
        <f>L19/'1. Väestöennuste'!N19*1000</f>
        <v>203.96623927414228</v>
      </c>
      <c r="AF19" s="41">
        <f>M19/'1. Väestöennuste'!O19*1000</f>
        <v>100.10248797833648</v>
      </c>
      <c r="AG19" s="41">
        <f>N19/'1. Väestöennuste'!P19*1000</f>
        <v>149.48859419532101</v>
      </c>
      <c r="AH19" s="41">
        <f>O19/'1. Väestöennuste'!Q19*1000</f>
        <v>112.29413637047274</v>
      </c>
      <c r="AI19" s="41">
        <f>P19/'1. Väestöennuste'!R19*1000</f>
        <v>115.92209908387515</v>
      </c>
      <c r="AK19" s="41">
        <f>'6. Poistot'!Z19</f>
        <v>257.73821565850699</v>
      </c>
      <c r="AL19" s="41">
        <f>'6. Poistot'!AA19</f>
        <v>281.87781877818782</v>
      </c>
      <c r="AM19" s="41">
        <f>'6. Poistot'!AB19</f>
        <v>312.08002888384567</v>
      </c>
      <c r="AN19" s="41">
        <f>'6. Poistot'!AC19</f>
        <v>320.8439869829939</v>
      </c>
      <c r="AO19" s="41">
        <f>'6. Poistot'!AD19</f>
        <v>321.96041489361698</v>
      </c>
      <c r="AP19" s="41">
        <f>'6. Poistot'!AE19</f>
        <v>316.85678073510775</v>
      </c>
      <c r="AQ19" s="41">
        <f>'6. Poistot'!AF19</f>
        <v>350.39286472711831</v>
      </c>
      <c r="AR19" s="41">
        <f>'6. Poistot'!AG19</f>
        <v>362.78275714895432</v>
      </c>
      <c r="AS19" s="41">
        <f>'6. Poistot'!AH19</f>
        <v>376.17422915447122</v>
      </c>
      <c r="AT19" s="41">
        <f>'6. Poistot'!AI19</f>
        <v>389.85470874864632</v>
      </c>
      <c r="AV19" s="4">
        <f t="shared" si="19"/>
        <v>0</v>
      </c>
      <c r="AW19" s="4">
        <f t="shared" si="11"/>
        <v>0</v>
      </c>
      <c r="AX19" s="4">
        <f t="shared" si="12"/>
        <v>0</v>
      </c>
      <c r="AY19" s="4">
        <f t="shared" si="13"/>
        <v>1</v>
      </c>
      <c r="AZ19" s="4">
        <f t="shared" si="14"/>
        <v>1</v>
      </c>
      <c r="BA19" s="4">
        <f t="shared" si="15"/>
        <v>1</v>
      </c>
      <c r="BB19" s="4">
        <f t="shared" si="16"/>
        <v>1</v>
      </c>
      <c r="BC19" s="4">
        <f t="shared" si="17"/>
        <v>1</v>
      </c>
      <c r="BE19" s="405">
        <f t="shared" si="20"/>
        <v>0</v>
      </c>
      <c r="BF19" s="405">
        <f t="shared" si="21"/>
        <v>0</v>
      </c>
      <c r="BG19" s="405">
        <f t="shared" si="22"/>
        <v>0</v>
      </c>
      <c r="BH19" s="405">
        <f t="shared" si="23"/>
        <v>0</v>
      </c>
      <c r="BI19" s="405">
        <f t="shared" si="24"/>
        <v>0</v>
      </c>
      <c r="BJ19" s="405">
        <f t="shared" si="25"/>
        <v>0</v>
      </c>
      <c r="BK19" s="405">
        <f t="shared" si="26"/>
        <v>0</v>
      </c>
      <c r="BL19" s="405">
        <f t="shared" si="27"/>
        <v>0</v>
      </c>
      <c r="BM19" s="405">
        <f t="shared" si="28"/>
        <v>0</v>
      </c>
      <c r="BN19" s="405">
        <f t="shared" si="28"/>
        <v>0</v>
      </c>
    </row>
    <row r="20" spans="1:66" x14ac:dyDescent="0.2">
      <c r="A20" s="34">
        <v>19</v>
      </c>
      <c r="B20" s="88" t="s">
        <v>333</v>
      </c>
      <c r="C20" s="41" t="e">
        <f>'2. Toimintakate'!D20+'3. Verotulot'!G20+'4. Valtionosuudet'!#REF!+'5. Rahoitustuotot ja -kulut'!C20</f>
        <v>#REF!</v>
      </c>
      <c r="D20" s="41">
        <f>'2. Toimintakate'!E20+'4. Valtionosuudet'!H20+'3. Verotulot'!L20+'5. Rahoitustuotot ja -kulut'!D20</f>
        <v>1715</v>
      </c>
      <c r="E20" s="41">
        <f>'2. Toimintakate'!F20+'4. Valtionosuudet'!N20+'3. Verotulot'!Q20+'5. Rahoitustuotot ja -kulut'!E20</f>
        <v>2797</v>
      </c>
      <c r="F20" s="41">
        <f>'2. Toimintakate'!G20+'4. Valtionosuudet'!T20+'3. Verotulot'!V20+'5. Rahoitustuotot ja -kulut'!F20</f>
        <v>819</v>
      </c>
      <c r="G20" s="41">
        <f>'2. Toimintakate'!H20+'3. Verotulot'!AA20+'4. Valtionosuudet'!Z20+'5. Rahoitustuotot ja -kulut'!G20</f>
        <v>610</v>
      </c>
      <c r="H20" s="41">
        <f>Käyttökate!H20+'5. Rahoitustuotot ja -kulut'!H20</f>
        <v>3126.5150236475156</v>
      </c>
      <c r="I20" s="41">
        <f>Käyttökate!I20+'5. Rahoitustuotot ja -kulut'!I20</f>
        <v>2532.101471289282</v>
      </c>
      <c r="J20" s="41">
        <f>Käyttökate!J20+'5. Rahoitustuotot ja -kulut'!J20</f>
        <v>2162.1656480620754</v>
      </c>
      <c r="K20" s="41">
        <f>Käyttökate!K20+'5. Rahoitustuotot ja -kulut'!K20</f>
        <v>1400.8753893866763</v>
      </c>
      <c r="L20" s="41">
        <f>Käyttökate!L20+'5. Rahoitustuotot ja -kulut'!L20</f>
        <v>175.63103564059656</v>
      </c>
      <c r="M20" s="41">
        <f>Käyttökate!M20+'5. Rahoitustuotot ja -kulut'!M20</f>
        <v>-545.81105138960811</v>
      </c>
      <c r="N20" s="41">
        <f>Käyttökate!N20+'5. Rahoitustuotot ja -kulut'!N20</f>
        <v>-443.76038038033857</v>
      </c>
      <c r="O20" s="41">
        <f>Käyttökate!O20+'5. Rahoitustuotot ja -kulut'!O20</f>
        <v>-116.47670214349279</v>
      </c>
      <c r="P20" s="41">
        <f>Käyttökate!P20+'5. Rahoitustuotot ja -kulut'!P20</f>
        <v>-166.02826811135856</v>
      </c>
      <c r="T20" s="34">
        <v>19</v>
      </c>
      <c r="U20" s="88" t="s">
        <v>333</v>
      </c>
      <c r="V20" s="41" t="e">
        <f>C20/'1. Väestöennuste'!E20*1000</f>
        <v>#REF!</v>
      </c>
      <c r="W20" s="41">
        <f>D20/'1. Väestöennuste'!F20*1000</f>
        <v>430.47188755020085</v>
      </c>
      <c r="X20" s="41">
        <f>E20/'1. Väestöennuste'!G20*1000</f>
        <v>700.82686043598096</v>
      </c>
      <c r="Y20" s="41">
        <f>F20/'1. Väestöennuste'!H20*1000</f>
        <v>205.57228915662651</v>
      </c>
      <c r="Z20" s="41">
        <f>G20/'1. Väestöennuste'!I20*1000</f>
        <v>154.78304998731286</v>
      </c>
      <c r="AA20" s="41">
        <f>H20/'1. Väestöennuste'!J20*1000</f>
        <v>789.72342097689204</v>
      </c>
      <c r="AB20" s="41">
        <f>I20/'1. Väestöennuste'!K20*1000</f>
        <v>640.22793205797268</v>
      </c>
      <c r="AC20" s="41">
        <f>J20/'1. Väestöennuste'!L20*1000</f>
        <v>545.31289988955245</v>
      </c>
      <c r="AD20" s="41">
        <f>K20/'1. Väestöennuste'!M20*1000</f>
        <v>353.66710158714369</v>
      </c>
      <c r="AE20" s="41">
        <f>L20/'1. Väestöennuste'!N20*1000</f>
        <v>44.328883301513521</v>
      </c>
      <c r="AF20" s="41">
        <f>M20/'1. Väestöennuste'!O20*1000</f>
        <v>-137.58786271479912</v>
      </c>
      <c r="AG20" s="41">
        <f>N20/'1. Väestöennuste'!P20*1000</f>
        <v>-111.69402979620905</v>
      </c>
      <c r="AH20" s="41">
        <f>O20/'1. Väestöennuste'!Q20*1000</f>
        <v>-29.250804154568755</v>
      </c>
      <c r="AI20" s="41">
        <f>P20/'1. Väestöennuste'!R20*1000</f>
        <v>-41.631962916589409</v>
      </c>
      <c r="AK20" s="41">
        <f>'6. Poistot'!Z20</f>
        <v>214.92007104795738</v>
      </c>
      <c r="AL20" s="41">
        <f>'6. Poistot'!AA20</f>
        <v>225.5620106087396</v>
      </c>
      <c r="AM20" s="41">
        <f>'6. Poistot'!AB20</f>
        <v>223.9365486725664</v>
      </c>
      <c r="AN20" s="41">
        <f>'6. Poistot'!AC20</f>
        <v>225.65787894073139</v>
      </c>
      <c r="AO20" s="41">
        <f>'6. Poistot'!AD20</f>
        <v>233.37757889421866</v>
      </c>
      <c r="AP20" s="41">
        <f>'6. Poistot'!AE20</f>
        <v>251.04745078243312</v>
      </c>
      <c r="AQ20" s="41">
        <f>'6. Poistot'!AF20</f>
        <v>261.32089740357958</v>
      </c>
      <c r="AR20" s="41">
        <f>'6. Poistot'!AG20</f>
        <v>249.46891517744777</v>
      </c>
      <c r="AS20" s="41">
        <f>'6. Poistot'!AH20</f>
        <v>256.9363286825448</v>
      </c>
      <c r="AT20" s="41">
        <f>'6. Poistot'!AI20</f>
        <v>264.5689372186024</v>
      </c>
      <c r="AV20" s="4">
        <f t="shared" si="19"/>
        <v>0</v>
      </c>
      <c r="AW20" s="4">
        <f t="shared" si="11"/>
        <v>0</v>
      </c>
      <c r="AX20" s="4">
        <f t="shared" si="12"/>
        <v>0</v>
      </c>
      <c r="AY20" s="4">
        <f t="shared" si="13"/>
        <v>1</v>
      </c>
      <c r="AZ20" s="4">
        <f t="shared" si="14"/>
        <v>1</v>
      </c>
      <c r="BA20" s="4">
        <f t="shared" si="15"/>
        <v>1</v>
      </c>
      <c r="BB20" s="4">
        <f t="shared" si="16"/>
        <v>1</v>
      </c>
      <c r="BC20" s="4">
        <f t="shared" si="17"/>
        <v>1</v>
      </c>
      <c r="BE20" s="405">
        <f t="shared" si="20"/>
        <v>0</v>
      </c>
      <c r="BF20" s="405">
        <f t="shared" si="21"/>
        <v>0</v>
      </c>
      <c r="BG20" s="405">
        <f t="shared" si="22"/>
        <v>0</v>
      </c>
      <c r="BH20" s="405">
        <f t="shared" si="23"/>
        <v>0</v>
      </c>
      <c r="BI20" s="405">
        <f t="shared" si="24"/>
        <v>0</v>
      </c>
      <c r="BJ20" s="405">
        <f t="shared" si="25"/>
        <v>0</v>
      </c>
      <c r="BK20" s="405">
        <f t="shared" si="26"/>
        <v>-1</v>
      </c>
      <c r="BL20" s="405">
        <f t="shared" si="27"/>
        <v>-1</v>
      </c>
      <c r="BM20" s="405">
        <f t="shared" si="28"/>
        <v>-1</v>
      </c>
      <c r="BN20" s="405">
        <f t="shared" si="28"/>
        <v>-1</v>
      </c>
    </row>
    <row r="21" spans="1:66" x14ac:dyDescent="0.2">
      <c r="A21" s="34">
        <v>20</v>
      </c>
      <c r="B21" s="88" t="s">
        <v>334</v>
      </c>
      <c r="C21" s="41" t="e">
        <f>'2. Toimintakate'!D21+'3. Verotulot'!G21+'4. Valtionosuudet'!#REF!+'5. Rahoitustuotot ja -kulut'!C21</f>
        <v>#REF!</v>
      </c>
      <c r="D21" s="41">
        <f>'2. Toimintakate'!E21+'4. Valtionosuudet'!H21+'3. Verotulot'!L21+'5. Rahoitustuotot ja -kulut'!D21</f>
        <v>4767</v>
      </c>
      <c r="E21" s="41">
        <f>'2. Toimintakate'!F21+'4. Valtionosuudet'!N21+'3. Verotulot'!Q21+'5. Rahoitustuotot ja -kulut'!E21</f>
        <v>6208</v>
      </c>
      <c r="F21" s="41">
        <f>'2. Toimintakate'!G21+'4. Valtionosuudet'!T21+'3. Verotulot'!V21+'5. Rahoitustuotot ja -kulut'!F21</f>
        <v>2228</v>
      </c>
      <c r="G21" s="41">
        <f>'2. Toimintakate'!H21+'3. Verotulot'!AA21+'4. Valtionosuudet'!Z21+'5. Rahoitustuotot ja -kulut'!G21</f>
        <v>6057</v>
      </c>
      <c r="H21" s="41">
        <f>Käyttökate!H21+'5. Rahoitustuotot ja -kulut'!H21</f>
        <v>17676.921762975522</v>
      </c>
      <c r="I21" s="41">
        <f>Käyttökate!I21+'5. Rahoitustuotot ja -kulut'!I21</f>
        <v>3469.5295508084773</v>
      </c>
      <c r="J21" s="41">
        <f>Käyttökate!J21+'5. Rahoitustuotot ja -kulut'!J21</f>
        <v>3156.3314930465485</v>
      </c>
      <c r="K21" s="41">
        <f>Käyttökate!K21+'5. Rahoitustuotot ja -kulut'!K21</f>
        <v>6539.7738002740798</v>
      </c>
      <c r="L21" s="41">
        <f>Käyttökate!L21+'5. Rahoitustuotot ja -kulut'!L21</f>
        <v>7061.4495796789324</v>
      </c>
      <c r="M21" s="41">
        <f>Käyttökate!M21+'5. Rahoitustuotot ja -kulut'!M21</f>
        <v>-460.53020022125474</v>
      </c>
      <c r="N21" s="41">
        <f>Käyttökate!N21+'5. Rahoitustuotot ja -kulut'!N21</f>
        <v>84.802000193837557</v>
      </c>
      <c r="O21" s="41">
        <f>Käyttökate!O21+'5. Rahoitustuotot ja -kulut'!O21</f>
        <v>875.10107367095361</v>
      </c>
      <c r="P21" s="41">
        <f>Käyttökate!P21+'5. Rahoitustuotot ja -kulut'!P21</f>
        <v>2657.8407338752481</v>
      </c>
      <c r="T21" s="34">
        <v>20</v>
      </c>
      <c r="U21" s="88" t="s">
        <v>334</v>
      </c>
      <c r="V21" s="41" t="e">
        <f>C21/'1. Väestöennuste'!E21*1000</f>
        <v>#REF!</v>
      </c>
      <c r="W21" s="41">
        <f>D21/'1. Väestöennuste'!F21*1000</f>
        <v>281.68764403474563</v>
      </c>
      <c r="X21" s="41">
        <f>E21/'1. Väestöennuste'!G21*1000</f>
        <v>370.20692945315761</v>
      </c>
      <c r="Y21" s="41">
        <f>F21/'1. Väestöennuste'!H21*1000</f>
        <v>134.12798747817712</v>
      </c>
      <c r="Z21" s="41">
        <f>G21/'1. Väestöennuste'!I21*1000</f>
        <v>367.64795144157813</v>
      </c>
      <c r="AA21" s="41">
        <f>H21/'1. Väestöennuste'!J21*1000</f>
        <v>1078.4529170261437</v>
      </c>
      <c r="AB21" s="41">
        <f>I21/'1. Väestöennuste'!K21*1000</f>
        <v>210.69591005091866</v>
      </c>
      <c r="AC21" s="41">
        <f>J21/'1. Väestöennuste'!L21*1000</f>
        <v>191.60635543292349</v>
      </c>
      <c r="AD21" s="41">
        <f>K21/'1. Väestöennuste'!M21*1000</f>
        <v>398.64515698104725</v>
      </c>
      <c r="AE21" s="41">
        <f>L21/'1. Väestöennuste'!N21*1000</f>
        <v>443.94879791769978</v>
      </c>
      <c r="AF21" s="41">
        <f>M21/'1. Väestöennuste'!O21*1000</f>
        <v>-29.156707832937936</v>
      </c>
      <c r="AG21" s="41">
        <f>N21/'1. Väestöennuste'!P21*1000</f>
        <v>5.4041549957836832</v>
      </c>
      <c r="AH21" s="41">
        <f>O21/'1. Väestöennuste'!Q21*1000</f>
        <v>56.114207994290069</v>
      </c>
      <c r="AI21" s="41">
        <f>P21/'1. Väestöennuste'!R21*1000</f>
        <v>171.45147296318206</v>
      </c>
      <c r="AK21" s="41">
        <f>'6. Poistot'!Z21</f>
        <v>366.79817905918054</v>
      </c>
      <c r="AL21" s="41">
        <f>'6. Poistot'!AA21</f>
        <v>253.492770422793</v>
      </c>
      <c r="AM21" s="41">
        <f>'6. Poistot'!AB21</f>
        <v>264.1094376632052</v>
      </c>
      <c r="AN21" s="41">
        <f>'6. Poistot'!AC21</f>
        <v>283.05684635464098</v>
      </c>
      <c r="AO21" s="41">
        <f>'6. Poistot'!AD21</f>
        <v>366.27161292288935</v>
      </c>
      <c r="AP21" s="41">
        <f>'6. Poistot'!AE21</f>
        <v>396.34729033069283</v>
      </c>
      <c r="AQ21" s="41">
        <f>'6. Poistot'!AF21</f>
        <v>417.34726179170622</v>
      </c>
      <c r="AR21" s="41">
        <f>'6. Poistot'!AG21</f>
        <v>410.02421616110126</v>
      </c>
      <c r="AS21" s="41">
        <f>'6. Poistot'!AH21</f>
        <v>425.88681385059249</v>
      </c>
      <c r="AT21" s="41">
        <f>'6. Poistot'!AI21</f>
        <v>441.83393910463042</v>
      </c>
      <c r="AV21" s="4">
        <f t="shared" si="19"/>
        <v>1</v>
      </c>
      <c r="AW21" s="4">
        <f t="shared" si="11"/>
        <v>1</v>
      </c>
      <c r="AX21" s="4">
        <f t="shared" si="12"/>
        <v>0</v>
      </c>
      <c r="AY21" s="4">
        <f t="shared" si="13"/>
        <v>0</v>
      </c>
      <c r="AZ21" s="4">
        <f t="shared" si="14"/>
        <v>1</v>
      </c>
      <c r="BA21" s="4">
        <f t="shared" si="15"/>
        <v>1</v>
      </c>
      <c r="BB21" s="4">
        <f t="shared" si="16"/>
        <v>1</v>
      </c>
      <c r="BC21" s="4">
        <f t="shared" si="17"/>
        <v>1</v>
      </c>
      <c r="BE21" s="405">
        <f t="shared" si="20"/>
        <v>0</v>
      </c>
      <c r="BF21" s="405">
        <f t="shared" si="21"/>
        <v>0</v>
      </c>
      <c r="BG21" s="405">
        <f t="shared" si="22"/>
        <v>0</v>
      </c>
      <c r="BH21" s="405">
        <f t="shared" si="23"/>
        <v>0</v>
      </c>
      <c r="BI21" s="405">
        <f t="shared" si="24"/>
        <v>0</v>
      </c>
      <c r="BJ21" s="405">
        <f t="shared" si="25"/>
        <v>0</v>
      </c>
      <c r="BK21" s="405">
        <f t="shared" si="26"/>
        <v>-1</v>
      </c>
      <c r="BL21" s="405">
        <f t="shared" si="27"/>
        <v>0</v>
      </c>
      <c r="BM21" s="405">
        <f t="shared" si="28"/>
        <v>0</v>
      </c>
      <c r="BN21" s="405">
        <f t="shared" si="28"/>
        <v>0</v>
      </c>
    </row>
    <row r="22" spans="1:66" x14ac:dyDescent="0.2">
      <c r="A22" s="34">
        <v>46</v>
      </c>
      <c r="B22" s="88" t="s">
        <v>335</v>
      </c>
      <c r="C22" s="41" t="e">
        <f>'2. Toimintakate'!D22+'3. Verotulot'!G22+'4. Valtionosuudet'!#REF!+'5. Rahoitustuotot ja -kulut'!C22</f>
        <v>#REF!</v>
      </c>
      <c r="D22" s="41">
        <f>'2. Toimintakate'!E22+'4. Valtionosuudet'!H22+'3. Verotulot'!L22+'5. Rahoitustuotot ja -kulut'!D22</f>
        <v>1100</v>
      </c>
      <c r="E22" s="41">
        <f>'2. Toimintakate'!F22+'4. Valtionosuudet'!N22+'3. Verotulot'!Q22+'5. Rahoitustuotot ja -kulut'!E22</f>
        <v>646</v>
      </c>
      <c r="F22" s="41">
        <f>'2. Toimintakate'!G22+'4. Valtionosuudet'!T22+'3. Verotulot'!V22+'5. Rahoitustuotot ja -kulut'!F22</f>
        <v>339</v>
      </c>
      <c r="G22" s="41">
        <f>'2. Toimintakate'!H22+'3. Verotulot'!AA22+'4. Valtionosuudet'!Z22+'5. Rahoitustuotot ja -kulut'!G22</f>
        <v>817</v>
      </c>
      <c r="H22" s="41">
        <f>Käyttökate!H22+'5. Rahoitustuotot ja -kulut'!H22</f>
        <v>1501.0428015374991</v>
      </c>
      <c r="I22" s="41">
        <f>Käyttökate!I22+'5. Rahoitustuotot ja -kulut'!I22</f>
        <v>1819.0030051985366</v>
      </c>
      <c r="J22" s="41">
        <f>Käyttökate!J22+'5. Rahoitustuotot ja -kulut'!J22</f>
        <v>1325.6643549782</v>
      </c>
      <c r="K22" s="41">
        <f>Käyttökate!K22+'5. Rahoitustuotot ja -kulut'!K22</f>
        <v>1182.1226226008439</v>
      </c>
      <c r="L22" s="41">
        <f>Käyttökate!L22+'5. Rahoitustuotot ja -kulut'!L22</f>
        <v>392.18503525592973</v>
      </c>
      <c r="M22" s="41">
        <f>Käyttökate!M22+'5. Rahoitustuotot ja -kulut'!M22</f>
        <v>668.82028832569154</v>
      </c>
      <c r="N22" s="41">
        <f>Käyttökate!N22+'5. Rahoitustuotot ja -kulut'!N22</f>
        <v>546.19904954597428</v>
      </c>
      <c r="O22" s="41">
        <f>Käyttökate!O22+'5. Rahoitustuotot ja -kulut'!O22</f>
        <v>509.15173630435459</v>
      </c>
      <c r="P22" s="41">
        <f>Käyttökate!P22+'5. Rahoitustuotot ja -kulut'!P22</f>
        <v>568.01930170720141</v>
      </c>
      <c r="T22" s="34">
        <v>46</v>
      </c>
      <c r="U22" s="88" t="s">
        <v>335</v>
      </c>
      <c r="V22" s="41" t="e">
        <f>C22/'1. Väestöennuste'!E22*1000</f>
        <v>#REF!</v>
      </c>
      <c r="W22" s="41">
        <f>D22/'1. Väestöennuste'!F22*1000</f>
        <v>757.05437026841014</v>
      </c>
      <c r="X22" s="41">
        <f>E22/'1. Väestöennuste'!G22*1000</f>
        <v>456.21468926553672</v>
      </c>
      <c r="Y22" s="41">
        <f>F22/'1. Väestöennuste'!H22*1000</f>
        <v>241.28113879003561</v>
      </c>
      <c r="Z22" s="41">
        <f>G22/'1. Väestöennuste'!I22*1000</f>
        <v>600.29390154298312</v>
      </c>
      <c r="AA22" s="41">
        <f>H22/'1. Väestöennuste'!J22*1000</f>
        <v>1096.4520098886042</v>
      </c>
      <c r="AB22" s="41">
        <f>I22/'1. Väestöennuste'!K22*1000</f>
        <v>1335.5381829651517</v>
      </c>
      <c r="AC22" s="41">
        <f>J22/'1. Väestöennuste'!L22*1000</f>
        <v>988.56402310082024</v>
      </c>
      <c r="AD22" s="41">
        <f>K22/'1. Väestöennuste'!M22*1000</f>
        <v>895.54744136427564</v>
      </c>
      <c r="AE22" s="41">
        <f>L22/'1. Väestöennuste'!N22*1000</f>
        <v>298.46654129066189</v>
      </c>
      <c r="AF22" s="41">
        <f>M22/'1. Väestöennuste'!O22*1000</f>
        <v>514.47714486591656</v>
      </c>
      <c r="AG22" s="41">
        <f>N22/'1. Väestöennuste'!P22*1000</f>
        <v>424.39708589430791</v>
      </c>
      <c r="AH22" s="41">
        <f>O22/'1. Väestöennuste'!Q22*1000</f>
        <v>399.64814466589843</v>
      </c>
      <c r="AI22" s="41">
        <f>P22/'1. Väestöennuste'!R22*1000</f>
        <v>451.16703868721322</v>
      </c>
      <c r="AK22" s="41">
        <f>'6. Poistot'!Z22</f>
        <v>481.26377663482731</v>
      </c>
      <c r="AL22" s="41">
        <f>'6. Poistot'!AA22</f>
        <v>418.55368882395908</v>
      </c>
      <c r="AM22" s="41">
        <f>'6. Poistot'!AB22</f>
        <v>417.5357268722467</v>
      </c>
      <c r="AN22" s="41">
        <f>'6. Poistot'!AC22</f>
        <v>406.77587621178225</v>
      </c>
      <c r="AO22" s="41">
        <f>'6. Poistot'!AD22</f>
        <v>417.02090909090907</v>
      </c>
      <c r="AP22" s="41">
        <f>'6. Poistot'!AE22</f>
        <v>482.76864535768641</v>
      </c>
      <c r="AQ22" s="41">
        <f>'6. Poistot'!AF22</f>
        <v>487.96769230769229</v>
      </c>
      <c r="AR22" s="41">
        <f>'6. Poistot'!AG22</f>
        <v>492.89665889665883</v>
      </c>
      <c r="AS22" s="41">
        <f>'6. Poistot'!AH22</f>
        <v>513.99247353607882</v>
      </c>
      <c r="AT22" s="41">
        <f>'6. Poistot'!AI22</f>
        <v>536.37396550431197</v>
      </c>
      <c r="AV22" s="4">
        <f t="shared" si="19"/>
        <v>0</v>
      </c>
      <c r="AW22" s="4">
        <f t="shared" si="11"/>
        <v>0</v>
      </c>
      <c r="AX22" s="4">
        <f t="shared" si="12"/>
        <v>0</v>
      </c>
      <c r="AY22" s="4">
        <f t="shared" si="13"/>
        <v>1</v>
      </c>
      <c r="AZ22" s="4">
        <f t="shared" si="14"/>
        <v>0</v>
      </c>
      <c r="BA22" s="4">
        <f t="shared" si="15"/>
        <v>1</v>
      </c>
      <c r="BB22" s="4">
        <f t="shared" si="16"/>
        <v>1</v>
      </c>
      <c r="BC22" s="4">
        <f t="shared" si="17"/>
        <v>1</v>
      </c>
      <c r="BE22" s="405">
        <f t="shared" si="20"/>
        <v>0</v>
      </c>
      <c r="BF22" s="405">
        <f t="shared" si="21"/>
        <v>0</v>
      </c>
      <c r="BG22" s="405">
        <f t="shared" si="22"/>
        <v>0</v>
      </c>
      <c r="BH22" s="405">
        <f t="shared" si="23"/>
        <v>0</v>
      </c>
      <c r="BI22" s="405">
        <f t="shared" si="24"/>
        <v>0</v>
      </c>
      <c r="BJ22" s="405">
        <f t="shared" si="25"/>
        <v>0</v>
      </c>
      <c r="BK22" s="405">
        <f t="shared" si="26"/>
        <v>0</v>
      </c>
      <c r="BL22" s="405">
        <f t="shared" si="27"/>
        <v>0</v>
      </c>
      <c r="BM22" s="405">
        <f t="shared" si="28"/>
        <v>0</v>
      </c>
      <c r="BN22" s="405">
        <f t="shared" si="28"/>
        <v>0</v>
      </c>
    </row>
    <row r="23" spans="1:66" x14ac:dyDescent="0.2">
      <c r="A23" s="34">
        <v>47</v>
      </c>
      <c r="B23" s="88" t="s">
        <v>336</v>
      </c>
      <c r="C23" s="41" t="e">
        <f>'2. Toimintakate'!D23+'3. Verotulot'!G23+'4. Valtionosuudet'!#REF!+'5. Rahoitustuotot ja -kulut'!C23</f>
        <v>#REF!</v>
      </c>
      <c r="D23" s="41">
        <f>'2. Toimintakate'!E23+'4. Valtionosuudet'!H23+'3. Verotulot'!L23+'5. Rahoitustuotot ja -kulut'!D23</f>
        <v>601</v>
      </c>
      <c r="E23" s="41">
        <f>'2. Toimintakate'!F23+'4. Valtionosuudet'!N23+'3. Verotulot'!Q23+'5. Rahoitustuotot ja -kulut'!E23</f>
        <v>1149</v>
      </c>
      <c r="F23" s="41">
        <f>'2. Toimintakate'!G23+'4. Valtionosuudet'!T23+'3. Verotulot'!V23+'5. Rahoitustuotot ja -kulut'!F23</f>
        <v>535</v>
      </c>
      <c r="G23" s="41">
        <f>'2. Toimintakate'!H23+'3. Verotulot'!AA23+'4. Valtionosuudet'!Z23+'5. Rahoitustuotot ja -kulut'!G23</f>
        <v>397</v>
      </c>
      <c r="H23" s="41">
        <f>Käyttökate!H23+'5. Rahoitustuotot ja -kulut'!H23</f>
        <v>1101.8942633730439</v>
      </c>
      <c r="I23" s="41">
        <f>Käyttökate!I23+'5. Rahoitustuotot ja -kulut'!I23</f>
        <v>1829.0048479590491</v>
      </c>
      <c r="J23" s="41">
        <f>Käyttökate!J23+'5. Rahoitustuotot ja -kulut'!J23</f>
        <v>2807.7221895750231</v>
      </c>
      <c r="K23" s="41">
        <f>Käyttökate!K23+'5. Rahoitustuotot ja -kulut'!K23</f>
        <v>1571.3285865202301</v>
      </c>
      <c r="L23" s="41">
        <f>Käyttökate!L23+'5. Rahoitustuotot ja -kulut'!L23</f>
        <v>552.41528643555182</v>
      </c>
      <c r="M23" s="41">
        <f>Käyttökate!M23+'5. Rahoitustuotot ja -kulut'!M23</f>
        <v>-95.291628526043155</v>
      </c>
      <c r="N23" s="41">
        <f>Käyttökate!N23+'5. Rahoitustuotot ja -kulut'!N23</f>
        <v>-171.88896642715198</v>
      </c>
      <c r="O23" s="41">
        <f>Käyttökate!O23+'5. Rahoitustuotot ja -kulut'!O23</f>
        <v>-242.35414116728029</v>
      </c>
      <c r="P23" s="41">
        <f>Käyttökate!P23+'5. Rahoitustuotot ja -kulut'!P23</f>
        <v>-169.64358873282444</v>
      </c>
      <c r="T23" s="34">
        <v>47</v>
      </c>
      <c r="U23" s="88" t="s">
        <v>336</v>
      </c>
      <c r="V23" s="41" t="e">
        <f>C23/'1. Väestöennuste'!E23*1000</f>
        <v>#REF!</v>
      </c>
      <c r="W23" s="41">
        <f>D23/'1. Väestöennuste'!F23*1000</f>
        <v>321.04700854700855</v>
      </c>
      <c r="X23" s="41">
        <f>E23/'1. Väestöennuste'!G23*1000</f>
        <v>606.97305863708391</v>
      </c>
      <c r="Y23" s="41">
        <f>F23/'1. Väestöennuste'!H23*1000</f>
        <v>288.87688984881208</v>
      </c>
      <c r="Z23" s="41">
        <f>G23/'1. Väestöennuste'!I23*1000</f>
        <v>215.99564744287269</v>
      </c>
      <c r="AA23" s="41">
        <f>H23/'1. Väestöennuste'!J23*1000</f>
        <v>609.45479168863051</v>
      </c>
      <c r="AB23" s="41">
        <f>I23/'1. Väestöennuste'!K23*1000</f>
        <v>1022.3615695690604</v>
      </c>
      <c r="AC23" s="41">
        <f>J23/'1. Väestöennuste'!L23*1000</f>
        <v>1550.3711703893005</v>
      </c>
      <c r="AD23" s="41">
        <f>K23/'1. Väestöennuste'!M23*1000</f>
        <v>887.25498956534727</v>
      </c>
      <c r="AE23" s="41">
        <f>L23/'1. Väestöennuste'!N23*1000</f>
        <v>311.39531366152869</v>
      </c>
      <c r="AF23" s="41">
        <f>M23/'1. Väestöennuste'!O23*1000</f>
        <v>-53.897979935544775</v>
      </c>
      <c r="AG23" s="41">
        <f>N23/'1. Väestöennuste'!P23*1000</f>
        <v>-97.608725966582611</v>
      </c>
      <c r="AH23" s="41">
        <f>O23/'1. Väestöennuste'!Q23*1000</f>
        <v>-138.25107881761568</v>
      </c>
      <c r="AI23" s="41">
        <f>P23/'1. Väestöennuste'!R23*1000</f>
        <v>-97.216956293882205</v>
      </c>
      <c r="AK23" s="41">
        <f>'6. Poistot'!Z23</f>
        <v>199.12948857453756</v>
      </c>
      <c r="AL23" s="41">
        <f>'6. Poistot'!AA23</f>
        <v>282.07964601769913</v>
      </c>
      <c r="AM23" s="41">
        <f>'6. Poistot'!AB23</f>
        <v>259.74954723309111</v>
      </c>
      <c r="AN23" s="41">
        <f>'6. Poistot'!AC23</f>
        <v>486.75763666482601</v>
      </c>
      <c r="AO23" s="41">
        <f>'6. Poistot'!AD23</f>
        <v>265.60390739695089</v>
      </c>
      <c r="AP23" s="41">
        <f>'6. Poistot'!AE23</f>
        <v>257.06595264937994</v>
      </c>
      <c r="AQ23" s="41">
        <f>'6. Poistot'!AF23</f>
        <v>357.9287330316742</v>
      </c>
      <c r="AR23" s="41">
        <f>'6. Poistot'!AG23</f>
        <v>331.73764906303239</v>
      </c>
      <c r="AS23" s="41">
        <f>'6. Poistot'!AH23</f>
        <v>344.00437735890955</v>
      </c>
      <c r="AT23" s="41">
        <f>'6. Poistot'!AI23</f>
        <v>356.38357995434774</v>
      </c>
      <c r="AV23" s="4">
        <f t="shared" si="19"/>
        <v>0</v>
      </c>
      <c r="AW23" s="4">
        <f t="shared" si="11"/>
        <v>0</v>
      </c>
      <c r="AX23" s="4">
        <f t="shared" si="12"/>
        <v>0</v>
      </c>
      <c r="AY23" s="4">
        <f t="shared" si="13"/>
        <v>0</v>
      </c>
      <c r="AZ23" s="4">
        <f t="shared" si="14"/>
        <v>1</v>
      </c>
      <c r="BA23" s="4">
        <f t="shared" si="15"/>
        <v>1</v>
      </c>
      <c r="BB23" s="4">
        <f t="shared" si="16"/>
        <v>1</v>
      </c>
      <c r="BC23" s="4">
        <f t="shared" si="17"/>
        <v>1</v>
      </c>
      <c r="BE23" s="405">
        <f t="shared" si="20"/>
        <v>0</v>
      </c>
      <c r="BF23" s="405">
        <f t="shared" si="21"/>
        <v>0</v>
      </c>
      <c r="BG23" s="405">
        <f t="shared" si="22"/>
        <v>0</v>
      </c>
      <c r="BH23" s="405">
        <f t="shared" si="23"/>
        <v>0</v>
      </c>
      <c r="BI23" s="405">
        <f t="shared" si="24"/>
        <v>0</v>
      </c>
      <c r="BJ23" s="405">
        <f t="shared" si="25"/>
        <v>0</v>
      </c>
      <c r="BK23" s="405">
        <f t="shared" si="26"/>
        <v>-1</v>
      </c>
      <c r="BL23" s="405">
        <f t="shared" si="27"/>
        <v>-1</v>
      </c>
      <c r="BM23" s="405">
        <f t="shared" si="28"/>
        <v>-1</v>
      </c>
      <c r="BN23" s="405">
        <f t="shared" si="28"/>
        <v>-1</v>
      </c>
    </row>
    <row r="24" spans="1:66" x14ac:dyDescent="0.2">
      <c r="A24" s="34">
        <v>49</v>
      </c>
      <c r="B24" s="88" t="s">
        <v>337</v>
      </c>
      <c r="C24" s="41" t="e">
        <f>'2. Toimintakate'!D24+'3. Verotulot'!G24+'4. Valtionosuudet'!#REF!+'5. Rahoitustuotot ja -kulut'!C24</f>
        <v>#REF!</v>
      </c>
      <c r="D24" s="41">
        <f>'2. Toimintakate'!E24+'4. Valtionosuudet'!H24+'3. Verotulot'!L24+'5. Rahoitustuotot ja -kulut'!D24</f>
        <v>198971</v>
      </c>
      <c r="E24" s="41">
        <f>'2. Toimintakate'!F24+'4. Valtionosuudet'!N24+'3. Verotulot'!Q24+'5. Rahoitustuotot ja -kulut'!E24</f>
        <v>230923</v>
      </c>
      <c r="F24" s="41">
        <f>'2. Toimintakate'!G24+'4. Valtionosuudet'!T24+'3. Verotulot'!V24+'5. Rahoitustuotot ja -kulut'!F24</f>
        <v>195529</v>
      </c>
      <c r="G24" s="41">
        <f>'2. Toimintakate'!H24+'3. Verotulot'!AA24+'4. Valtionosuudet'!Z24+'5. Rahoitustuotot ja -kulut'!G24</f>
        <v>171412</v>
      </c>
      <c r="H24" s="41">
        <f>Käyttökate!H24+'5. Rahoitustuotot ja -kulut'!H24</f>
        <v>302088.73535618803</v>
      </c>
      <c r="I24" s="41">
        <f>Käyttökate!I24+'5. Rahoitustuotot ja -kulut'!I24</f>
        <v>381080.31804439065</v>
      </c>
      <c r="J24" s="41">
        <f>Käyttökate!J24+'5. Rahoitustuotot ja -kulut'!J24</f>
        <v>345588.3317464873</v>
      </c>
      <c r="K24" s="41">
        <f>Käyttökate!K24+'5. Rahoitustuotot ja -kulut'!K24</f>
        <v>451924.28497938684</v>
      </c>
      <c r="L24" s="41">
        <f>Käyttökate!L24+'5. Rahoitustuotot ja -kulut'!L24</f>
        <v>285684.88796915096</v>
      </c>
      <c r="M24" s="41">
        <f>Käyttökate!M24+'5. Rahoitustuotot ja -kulut'!M24</f>
        <v>322633.86286003381</v>
      </c>
      <c r="N24" s="41">
        <f>Käyttökate!N24+'5. Rahoitustuotot ja -kulut'!N24</f>
        <v>315718.07393400528</v>
      </c>
      <c r="O24" s="41">
        <f>Käyttökate!O24+'5. Rahoitustuotot ja -kulut'!O24</f>
        <v>313516.02124008344</v>
      </c>
      <c r="P24" s="41">
        <f>Käyttökate!P24+'5. Rahoitustuotot ja -kulut'!P24</f>
        <v>321447.63508602371</v>
      </c>
      <c r="T24" s="34">
        <v>49</v>
      </c>
      <c r="U24" s="88" t="s">
        <v>337</v>
      </c>
      <c r="V24" s="41" t="e">
        <f>C24/'1. Väestöennuste'!E24*1000</f>
        <v>#REF!</v>
      </c>
      <c r="W24" s="41">
        <f>D24/'1. Väestöennuste'!F24*1000</f>
        <v>724.62971123485431</v>
      </c>
      <c r="X24" s="41">
        <f>E24/'1. Väestöennuste'!G24*1000</f>
        <v>827.55049382893026</v>
      </c>
      <c r="Y24" s="41">
        <f>F24/'1. Väestöennuste'!H24*1000</f>
        <v>689.37566988210074</v>
      </c>
      <c r="Z24" s="41">
        <f>G24/'1. Väestöennuste'!I24*1000</f>
        <v>591.62464492926188</v>
      </c>
      <c r="AA24" s="41">
        <f>H24/'1. Väestöennuste'!J24*1000</f>
        <v>1031.7379177180974</v>
      </c>
      <c r="AB24" s="41">
        <f>I24/'1. Väestöennuste'!K24*1000</f>
        <v>1282.5287011980893</v>
      </c>
      <c r="AC24" s="41">
        <f>J24/'1. Väestöennuste'!L24*1000</f>
        <v>1132.0594998148788</v>
      </c>
      <c r="AD24" s="41">
        <f>K24/'1. Väestöennuste'!M24*1000</f>
        <v>1439.1393173113738</v>
      </c>
      <c r="AE24" s="41">
        <f>L24/'1. Väestöennuste'!N24*1000</f>
        <v>919.08854527048425</v>
      </c>
      <c r="AF24" s="41">
        <f>M24/'1. Väestöennuste'!O24*1000</f>
        <v>1025.0577856501693</v>
      </c>
      <c r="AG24" s="41">
        <f>N24/'1. Väestöennuste'!P24*1000</f>
        <v>991.36514165946119</v>
      </c>
      <c r="AH24" s="41">
        <f>O24/'1. Väestöennuste'!Q24*1000</f>
        <v>973.62502675416977</v>
      </c>
      <c r="AI24" s="41">
        <f>P24/'1. Väestöennuste'!R24*1000</f>
        <v>987.92669123114092</v>
      </c>
      <c r="AK24" s="41">
        <f>'6. Poistot'!Z24</f>
        <v>617.61426978818281</v>
      </c>
      <c r="AL24" s="41">
        <f>'6. Poistot'!AA24</f>
        <v>597.60379240153554</v>
      </c>
      <c r="AM24" s="41">
        <f>'6. Poistot'!AB24</f>
        <v>640.00087452714615</v>
      </c>
      <c r="AN24" s="41">
        <f>'6. Poistot'!AC24</f>
        <v>641.1652999272784</v>
      </c>
      <c r="AO24" s="41">
        <f>'6. Poistot'!AD24</f>
        <v>613.48413812320075</v>
      </c>
      <c r="AP24" s="41">
        <f>'6. Poistot'!AE24</f>
        <v>653.4979183811347</v>
      </c>
      <c r="AQ24" s="41">
        <f>'6. Poistot'!AF24</f>
        <v>674.51555007672835</v>
      </c>
      <c r="AR24" s="41">
        <f>'6. Poistot'!AG24</f>
        <v>693.06199454890282</v>
      </c>
      <c r="AS24" s="41">
        <f>'6. Poistot'!AH24</f>
        <v>707.55734036490173</v>
      </c>
      <c r="AT24" s="41">
        <f>'6. Poistot'!AI24</f>
        <v>722.12331563214013</v>
      </c>
      <c r="AV24" s="4">
        <f t="shared" si="19"/>
        <v>0</v>
      </c>
      <c r="AW24" s="4">
        <f t="shared" si="11"/>
        <v>0</v>
      </c>
      <c r="AX24" s="4">
        <f t="shared" si="12"/>
        <v>0</v>
      </c>
      <c r="AY24" s="4">
        <f t="shared" si="13"/>
        <v>0</v>
      </c>
      <c r="AZ24" s="4">
        <f t="shared" si="14"/>
        <v>0</v>
      </c>
      <c r="BA24" s="4">
        <f t="shared" si="15"/>
        <v>0</v>
      </c>
      <c r="BB24" s="4">
        <f t="shared" si="16"/>
        <v>0</v>
      </c>
      <c r="BC24" s="4">
        <f t="shared" si="17"/>
        <v>0</v>
      </c>
      <c r="BE24" s="405">
        <f t="shared" si="20"/>
        <v>0</v>
      </c>
      <c r="BF24" s="405">
        <f t="shared" si="21"/>
        <v>0</v>
      </c>
      <c r="BG24" s="405">
        <f t="shared" si="22"/>
        <v>0</v>
      </c>
      <c r="BH24" s="405">
        <f t="shared" si="23"/>
        <v>0</v>
      </c>
      <c r="BI24" s="405">
        <f t="shared" si="24"/>
        <v>0</v>
      </c>
      <c r="BJ24" s="405">
        <f t="shared" si="25"/>
        <v>0</v>
      </c>
      <c r="BK24" s="405">
        <f t="shared" si="26"/>
        <v>0</v>
      </c>
      <c r="BL24" s="405">
        <f t="shared" si="27"/>
        <v>0</v>
      </c>
      <c r="BM24" s="405">
        <f t="shared" si="28"/>
        <v>0</v>
      </c>
      <c r="BN24" s="405">
        <f t="shared" si="28"/>
        <v>0</v>
      </c>
    </row>
    <row r="25" spans="1:66" x14ac:dyDescent="0.2">
      <c r="A25" s="34">
        <v>50</v>
      </c>
      <c r="B25" s="88" t="s">
        <v>338</v>
      </c>
      <c r="C25" s="41" t="e">
        <f>'2. Toimintakate'!D25+'3. Verotulot'!G25+'4. Valtionosuudet'!#REF!+'5. Rahoitustuotot ja -kulut'!C25</f>
        <v>#REF!</v>
      </c>
      <c r="D25" s="41">
        <f>'2. Toimintakate'!E25+'4. Valtionosuudet'!H25+'3. Verotulot'!L25+'5. Rahoitustuotot ja -kulut'!D25</f>
        <v>3655</v>
      </c>
      <c r="E25" s="41">
        <f>'2. Toimintakate'!F25+'4. Valtionosuudet'!N25+'3. Verotulot'!Q25+'5. Rahoitustuotot ja -kulut'!E25</f>
        <v>5125</v>
      </c>
      <c r="F25" s="41">
        <f>'2. Toimintakate'!G25+'4. Valtionosuudet'!T25+'3. Verotulot'!V25+'5. Rahoitustuotot ja -kulut'!F25</f>
        <v>-414</v>
      </c>
      <c r="G25" s="41">
        <f>'2. Toimintakate'!H25+'3. Verotulot'!AA25+'4. Valtionosuudet'!Z25+'5. Rahoitustuotot ja -kulut'!G25</f>
        <v>-523</v>
      </c>
      <c r="H25" s="41">
        <f>Käyttökate!H25+'5. Rahoitustuotot ja -kulut'!H25</f>
        <v>7869.9432678130106</v>
      </c>
      <c r="I25" s="41">
        <f>Käyttökate!I25+'5. Rahoitustuotot ja -kulut'!I25</f>
        <v>6643.5190952772273</v>
      </c>
      <c r="J25" s="41">
        <f>Käyttökate!J25+'5. Rahoitustuotot ja -kulut'!J25</f>
        <v>1089.7166650675163</v>
      </c>
      <c r="K25" s="41">
        <f>Käyttökate!K25+'5. Rahoitustuotot ja -kulut'!K25</f>
        <v>4801.8672418967299</v>
      </c>
      <c r="L25" s="41">
        <f>Käyttökate!L25+'5. Rahoitustuotot ja -kulut'!L25</f>
        <v>3261.2051499093232</v>
      </c>
      <c r="M25" s="41">
        <f>Käyttökate!M25+'5. Rahoitustuotot ja -kulut'!M25</f>
        <v>1736.6183942970017</v>
      </c>
      <c r="N25" s="41">
        <f>Käyttökate!N25+'5. Rahoitustuotot ja -kulut'!N25</f>
        <v>2801.3898878359632</v>
      </c>
      <c r="O25" s="41">
        <f>Käyttökate!O25+'5. Rahoitustuotot ja -kulut'!O25</f>
        <v>2796.1870310542863</v>
      </c>
      <c r="P25" s="41">
        <f>Käyttökate!P25+'5. Rahoitustuotot ja -kulut'!P25</f>
        <v>4169.1953076989284</v>
      </c>
      <c r="T25" s="34">
        <v>50</v>
      </c>
      <c r="U25" s="88" t="s">
        <v>338</v>
      </c>
      <c r="V25" s="41" t="e">
        <f>C25/'1. Väestöennuste'!E25*1000</f>
        <v>#REF!</v>
      </c>
      <c r="W25" s="41">
        <f>D25/'1. Väestöennuste'!F25*1000</f>
        <v>304.48183938687106</v>
      </c>
      <c r="X25" s="41">
        <f>E25/'1. Väestöennuste'!G25*1000</f>
        <v>430.31066330814446</v>
      </c>
      <c r="Y25" s="41">
        <f>F25/'1. Väestöennuste'!H25*1000</f>
        <v>-35.240040858018389</v>
      </c>
      <c r="Z25" s="41">
        <f>G25/'1. Väestöennuste'!I25*1000</f>
        <v>-44.962173314993123</v>
      </c>
      <c r="AA25" s="41">
        <f>H25/'1. Väestöennuste'!J25*1000</f>
        <v>685.35602785099798</v>
      </c>
      <c r="AB25" s="41">
        <f>I25/'1. Väestöennuste'!K25*1000</f>
        <v>581.89709164204498</v>
      </c>
      <c r="AC25" s="41">
        <f>J25/'1. Väestöennuste'!L25*1000</f>
        <v>96.640356958807757</v>
      </c>
      <c r="AD25" s="41">
        <f>K25/'1. Väestöennuste'!M25*1000</f>
        <v>429.35150589205386</v>
      </c>
      <c r="AE25" s="41">
        <f>L25/'1. Väestöennuste'!N25*1000</f>
        <v>296.98617156081627</v>
      </c>
      <c r="AF25" s="41">
        <f>M25/'1. Väestöennuste'!O25*1000</f>
        <v>159.83602340515432</v>
      </c>
      <c r="AG25" s="41">
        <f>N25/'1. Väestöennuste'!P25*1000</f>
        <v>260.49747887632168</v>
      </c>
      <c r="AH25" s="41">
        <f>O25/'1. Väestöennuste'!Q25*1000</f>
        <v>262.55277286894705</v>
      </c>
      <c r="AI25" s="41">
        <f>P25/'1. Väestöennuste'!R25*1000</f>
        <v>395.22185114218678</v>
      </c>
      <c r="AK25" s="41">
        <f>'6. Poistot'!Z25</f>
        <v>320.32324621733147</v>
      </c>
      <c r="AL25" s="41">
        <f>'6. Poistot'!AA25</f>
        <v>346.33806496560135</v>
      </c>
      <c r="AM25" s="41">
        <f>'6. Poistot'!AB25</f>
        <v>332.67568100201453</v>
      </c>
      <c r="AN25" s="41">
        <f>'6. Poistot'!AC25</f>
        <v>341.18961599858108</v>
      </c>
      <c r="AO25" s="41">
        <f>'6. Poistot'!AD25</f>
        <v>370.37330829756792</v>
      </c>
      <c r="AP25" s="41">
        <f>'6. Poistot'!AE25</f>
        <v>383.22238411802203</v>
      </c>
      <c r="AQ25" s="41">
        <f>'6. Poistot'!AF25</f>
        <v>377.63460653474459</v>
      </c>
      <c r="AR25" s="41">
        <f>'6. Poistot'!AG25</f>
        <v>379.65408220197139</v>
      </c>
      <c r="AS25" s="41">
        <f>'6. Poistot'!AH25</f>
        <v>395.73117515184191</v>
      </c>
      <c r="AT25" s="41">
        <f>'6. Poistot'!AI25</f>
        <v>412.00815534498361</v>
      </c>
      <c r="AV25" s="4">
        <f t="shared" si="19"/>
        <v>0</v>
      </c>
      <c r="AW25" s="4">
        <f t="shared" si="11"/>
        <v>1</v>
      </c>
      <c r="AX25" s="4">
        <f t="shared" si="12"/>
        <v>0</v>
      </c>
      <c r="AY25" s="4">
        <f t="shared" si="13"/>
        <v>1</v>
      </c>
      <c r="AZ25" s="4">
        <f t="shared" si="14"/>
        <v>1</v>
      </c>
      <c r="BA25" s="4">
        <f t="shared" si="15"/>
        <v>1</v>
      </c>
      <c r="BB25" s="4">
        <f t="shared" si="16"/>
        <v>1</v>
      </c>
      <c r="BC25" s="4">
        <f t="shared" si="17"/>
        <v>1</v>
      </c>
      <c r="BE25" s="405">
        <f t="shared" si="20"/>
        <v>-1</v>
      </c>
      <c r="BF25" s="405">
        <f t="shared" si="21"/>
        <v>0</v>
      </c>
      <c r="BG25" s="405">
        <f t="shared" si="22"/>
        <v>0</v>
      </c>
      <c r="BH25" s="405">
        <f t="shared" si="23"/>
        <v>0</v>
      </c>
      <c r="BI25" s="405">
        <f t="shared" si="24"/>
        <v>0</v>
      </c>
      <c r="BJ25" s="405">
        <f t="shared" si="25"/>
        <v>0</v>
      </c>
      <c r="BK25" s="405">
        <f t="shared" si="26"/>
        <v>0</v>
      </c>
      <c r="BL25" s="405">
        <f t="shared" si="27"/>
        <v>0</v>
      </c>
      <c r="BM25" s="405">
        <f t="shared" si="28"/>
        <v>0</v>
      </c>
      <c r="BN25" s="405">
        <f t="shared" si="28"/>
        <v>0</v>
      </c>
    </row>
    <row r="26" spans="1:66" x14ac:dyDescent="0.2">
      <c r="A26" s="34">
        <v>51</v>
      </c>
      <c r="B26" s="88" t="s">
        <v>339</v>
      </c>
      <c r="C26" s="41" t="e">
        <f>'2. Toimintakate'!D26+'3. Verotulot'!G26+'4. Valtionosuudet'!#REF!+'5. Rahoitustuotot ja -kulut'!C26</f>
        <v>#REF!</v>
      </c>
      <c r="D26" s="41">
        <f>'2. Toimintakate'!E26+'4. Valtionosuudet'!H26+'3. Verotulot'!L26+'5. Rahoitustuotot ja -kulut'!D26</f>
        <v>8411</v>
      </c>
      <c r="E26" s="41">
        <f>'2. Toimintakate'!F26+'4. Valtionosuudet'!N26+'3. Verotulot'!Q26+'5. Rahoitustuotot ja -kulut'!E26</f>
        <v>9583</v>
      </c>
      <c r="F26" s="41">
        <f>'2. Toimintakate'!G26+'4. Valtionosuudet'!T26+'3. Verotulot'!V26+'5. Rahoitustuotot ja -kulut'!F26</f>
        <v>5052</v>
      </c>
      <c r="G26" s="41">
        <f>'2. Toimintakate'!H26+'3. Verotulot'!AA26+'4. Valtionosuudet'!Z26+'5. Rahoitustuotot ja -kulut'!G26</f>
        <v>3330</v>
      </c>
      <c r="H26" s="41">
        <f>Käyttökate!H26+'5. Rahoitustuotot ja -kulut'!H26</f>
        <v>3893.3763069211636</v>
      </c>
      <c r="I26" s="41">
        <f>Käyttökate!I26+'5. Rahoitustuotot ja -kulut'!I26</f>
        <v>7822.5570449683983</v>
      </c>
      <c r="J26" s="41">
        <f>Käyttökate!J26+'5. Rahoitustuotot ja -kulut'!J26</f>
        <v>5711.580386286767</v>
      </c>
      <c r="K26" s="41">
        <f>Käyttökate!K26+'5. Rahoitustuotot ja -kulut'!K26</f>
        <v>7650.0302105225592</v>
      </c>
      <c r="L26" s="41">
        <f>Käyttökate!L26+'5. Rahoitustuotot ja -kulut'!L26</f>
        <v>3102.5082354964206</v>
      </c>
      <c r="M26" s="41">
        <f>Käyttökate!M26+'5. Rahoitustuotot ja -kulut'!M26</f>
        <v>6155.7419187362011</v>
      </c>
      <c r="N26" s="41">
        <f>Käyttökate!N26+'5. Rahoitustuotot ja -kulut'!N26</f>
        <v>7222.2720398998808</v>
      </c>
      <c r="O26" s="41">
        <f>Käyttökate!O26+'5. Rahoitustuotot ja -kulut'!O26</f>
        <v>7655.1738076772217</v>
      </c>
      <c r="P26" s="41">
        <f>Käyttökate!P26+'5. Rahoitustuotot ja -kulut'!P26</f>
        <v>8851.2795061266534</v>
      </c>
      <c r="T26" s="34">
        <v>51</v>
      </c>
      <c r="U26" s="88" t="s">
        <v>339</v>
      </c>
      <c r="V26" s="41" t="e">
        <f>C26/'1. Väestöennuste'!E26*1000</f>
        <v>#REF!</v>
      </c>
      <c r="W26" s="41">
        <f>D26/'1. Väestöennuste'!F26*1000</f>
        <v>893.07708643024</v>
      </c>
      <c r="X26" s="41">
        <f>E26/'1. Väestöennuste'!G26*1000</f>
        <v>1006.5119210166999</v>
      </c>
      <c r="Y26" s="41">
        <f>F26/'1. Väestöennuste'!H26*1000</f>
        <v>534.37698328749741</v>
      </c>
      <c r="Z26" s="41">
        <f>G26/'1. Väestöennuste'!I26*1000</f>
        <v>354.17996171027437</v>
      </c>
      <c r="AA26" s="41">
        <f>H26/'1. Väestöennuste'!J26*1000</f>
        <v>411.9103160094333</v>
      </c>
      <c r="AB26" s="41">
        <f>I26/'1. Väestöennuste'!K26*1000</f>
        <v>838.07124972877637</v>
      </c>
      <c r="AC26" s="41">
        <f>J26/'1. Väestöennuste'!L26*1000</f>
        <v>620.08255197989001</v>
      </c>
      <c r="AD26" s="41">
        <f>K26/'1. Väestöennuste'!M26*1000</f>
        <v>836.70898069808152</v>
      </c>
      <c r="AE26" s="41">
        <f>L26/'1. Väestöennuste'!N26*1000</f>
        <v>324.49620703863832</v>
      </c>
      <c r="AF26" s="41">
        <f>M26/'1. Väestöennuste'!O26*1000</f>
        <v>643.36767545319833</v>
      </c>
      <c r="AG26" s="41">
        <f>N26/'1. Väestöennuste'!P26*1000</f>
        <v>755.07287400939686</v>
      </c>
      <c r="AH26" s="41">
        <f>O26/'1. Väestöennuste'!Q26*1000</f>
        <v>800.83416755698522</v>
      </c>
      <c r="AI26" s="41">
        <f>P26/'1. Väestöennuste'!R26*1000</f>
        <v>927.02969272378027</v>
      </c>
      <c r="AK26" s="41">
        <f>'6. Poistot'!Z26</f>
        <v>522.76111465645602</v>
      </c>
      <c r="AL26" s="41">
        <f>'6. Poistot'!AA26</f>
        <v>498.83622513753699</v>
      </c>
      <c r="AM26" s="41">
        <f>'6. Poistot'!AB26</f>
        <v>498.98149346475253</v>
      </c>
      <c r="AN26" s="41">
        <f>'6. Poistot'!AC26</f>
        <v>472.73724134187387</v>
      </c>
      <c r="AO26" s="41">
        <f>'6. Poistot'!AD26</f>
        <v>458.47435415071635</v>
      </c>
      <c r="AP26" s="41">
        <f>'6. Poistot'!AE26</f>
        <v>564.06233657567191</v>
      </c>
      <c r="AQ26" s="41">
        <f>'6. Poistot'!AF26</f>
        <v>596.48829431438116</v>
      </c>
      <c r="AR26" s="41">
        <f>'6. Poistot'!AG26</f>
        <v>678.07631991636174</v>
      </c>
      <c r="AS26" s="41">
        <f>'6. Poistot'!AH26</f>
        <v>700.3947098868681</v>
      </c>
      <c r="AT26" s="41">
        <f>'6. Poistot'!AI26</f>
        <v>723.11961286312783</v>
      </c>
      <c r="AV26" s="4">
        <f t="shared" si="19"/>
        <v>0</v>
      </c>
      <c r="AW26" s="4">
        <f t="shared" si="11"/>
        <v>0</v>
      </c>
      <c r="AX26" s="4">
        <f t="shared" si="12"/>
        <v>0</v>
      </c>
      <c r="AY26" s="4">
        <f t="shared" si="13"/>
        <v>1</v>
      </c>
      <c r="AZ26" s="4">
        <f t="shared" si="14"/>
        <v>0</v>
      </c>
      <c r="BA26" s="4">
        <f t="shared" si="15"/>
        <v>0</v>
      </c>
      <c r="BB26" s="4">
        <f t="shared" si="16"/>
        <v>0</v>
      </c>
      <c r="BC26" s="4">
        <f t="shared" si="17"/>
        <v>0</v>
      </c>
      <c r="BE26" s="405">
        <f t="shared" si="20"/>
        <v>0</v>
      </c>
      <c r="BF26" s="405">
        <f t="shared" si="21"/>
        <v>0</v>
      </c>
      <c r="BG26" s="405">
        <f t="shared" si="22"/>
        <v>0</v>
      </c>
      <c r="BH26" s="405">
        <f t="shared" si="23"/>
        <v>0</v>
      </c>
      <c r="BI26" s="405">
        <f t="shared" si="24"/>
        <v>0</v>
      </c>
      <c r="BJ26" s="405">
        <f t="shared" si="25"/>
        <v>0</v>
      </c>
      <c r="BK26" s="405">
        <f t="shared" si="26"/>
        <v>0</v>
      </c>
      <c r="BL26" s="405">
        <f t="shared" si="27"/>
        <v>0</v>
      </c>
      <c r="BM26" s="405">
        <f t="shared" si="28"/>
        <v>0</v>
      </c>
      <c r="BN26" s="405">
        <f t="shared" si="28"/>
        <v>0</v>
      </c>
    </row>
    <row r="27" spans="1:66" x14ac:dyDescent="0.2">
      <c r="A27" s="34">
        <v>52</v>
      </c>
      <c r="B27" s="88" t="s">
        <v>340</v>
      </c>
      <c r="C27" s="41" t="e">
        <f>'2. Toimintakate'!D27+'3. Verotulot'!G27+'4. Valtionosuudet'!#REF!+'5. Rahoitustuotot ja -kulut'!C27</f>
        <v>#REF!</v>
      </c>
      <c r="D27" s="41">
        <f>'2. Toimintakate'!E27+'4. Valtionosuudet'!H27+'3. Verotulot'!L27+'5. Rahoitustuotot ja -kulut'!D27</f>
        <v>501</v>
      </c>
      <c r="E27" s="41">
        <f>'2. Toimintakate'!F27+'4. Valtionosuudet'!N27+'3. Verotulot'!Q27+'5. Rahoitustuotot ja -kulut'!E27</f>
        <v>717</v>
      </c>
      <c r="F27" s="41">
        <f>'2. Toimintakate'!G27+'4. Valtionosuudet'!T27+'3. Verotulot'!V27+'5. Rahoitustuotot ja -kulut'!F27</f>
        <v>-456</v>
      </c>
      <c r="G27" s="41">
        <f>'2. Toimintakate'!H27+'3. Verotulot'!AA27+'4. Valtionosuudet'!Z27+'5. Rahoitustuotot ja -kulut'!G27</f>
        <v>-270</v>
      </c>
      <c r="H27" s="41">
        <f>Käyttökate!H27+'5. Rahoitustuotot ja -kulut'!H27</f>
        <v>295.42631129772963</v>
      </c>
      <c r="I27" s="41">
        <f>Käyttökate!I27+'5. Rahoitustuotot ja -kulut'!I27</f>
        <v>1418.7367730857122</v>
      </c>
      <c r="J27" s="41">
        <f>Käyttökate!J27+'5. Rahoitustuotot ja -kulut'!J27</f>
        <v>1264.5587246866023</v>
      </c>
      <c r="K27" s="41">
        <f>Käyttökate!K27+'5. Rahoitustuotot ja -kulut'!K27</f>
        <v>2217.3023620157342</v>
      </c>
      <c r="L27" s="41">
        <f>Käyttökate!L27+'5. Rahoitustuotot ja -kulut'!L27</f>
        <v>1130.9356525584872</v>
      </c>
      <c r="M27" s="41">
        <f>Käyttökate!M27+'5. Rahoitustuotot ja -kulut'!M27</f>
        <v>104.0818527811025</v>
      </c>
      <c r="N27" s="41">
        <f>Käyttökate!N27+'5. Rahoitustuotot ja -kulut'!N27</f>
        <v>48.626973080039079</v>
      </c>
      <c r="O27" s="41">
        <f>Käyttökate!O27+'5. Rahoitustuotot ja -kulut'!O27</f>
        <v>-114.08911818663904</v>
      </c>
      <c r="P27" s="41">
        <f>Käyttökate!P27+'5. Rahoitustuotot ja -kulut'!P27</f>
        <v>-43.486617121586448</v>
      </c>
      <c r="T27" s="34">
        <v>52</v>
      </c>
      <c r="U27" s="88" t="s">
        <v>340</v>
      </c>
      <c r="V27" s="41" t="e">
        <f>C27/'1. Väestöennuste'!E27*1000</f>
        <v>#REF!</v>
      </c>
      <c r="W27" s="41">
        <f>D27/'1. Väestöennuste'!F27*1000</f>
        <v>197.63313609467457</v>
      </c>
      <c r="X27" s="41">
        <f>E27/'1. Väestöennuste'!G27*1000</f>
        <v>286.91476590636256</v>
      </c>
      <c r="Y27" s="41">
        <f>F27/'1. Väestöennuste'!H27*1000</f>
        <v>-184.39142741609382</v>
      </c>
      <c r="Z27" s="41">
        <f>G27/'1. Väestöennuste'!I27*1000</f>
        <v>-111.34020618556701</v>
      </c>
      <c r="AA27" s="41">
        <f>H27/'1. Väestöennuste'!J27*1000</f>
        <v>122.68534522330965</v>
      </c>
      <c r="AB27" s="41">
        <f>I27/'1. Väestöennuste'!K27*1000</f>
        <v>590.15672757309153</v>
      </c>
      <c r="AC27" s="41">
        <f>J27/'1. Väestöennuste'!L27*1000</f>
        <v>539.02758938047839</v>
      </c>
      <c r="AD27" s="41">
        <f>K27/'1. Väestöennuste'!M27*1000</f>
        <v>967.40940751122787</v>
      </c>
      <c r="AE27" s="41">
        <f>L27/'1. Väestöennuste'!N27*1000</f>
        <v>492.99723302462388</v>
      </c>
      <c r="AF27" s="41">
        <f>M27/'1. Väestöennuste'!O27*1000</f>
        <v>45.871244063949973</v>
      </c>
      <c r="AG27" s="41">
        <f>N27/'1. Väestöennuste'!P27*1000</f>
        <v>21.669774099839159</v>
      </c>
      <c r="AH27" s="41">
        <f>O27/'1. Väestöennuste'!Q27*1000</f>
        <v>-51.414654432915299</v>
      </c>
      <c r="AI27" s="41">
        <f>P27/'1. Väestöennuste'!R27*1000</f>
        <v>-19.811670670426626</v>
      </c>
      <c r="AK27" s="41">
        <f>'6. Poistot'!Z27</f>
        <v>255.25773195876289</v>
      </c>
      <c r="AL27" s="41">
        <f>'6. Poistot'!AA27</f>
        <v>308.97009966777409</v>
      </c>
      <c r="AM27" s="41">
        <f>'6. Poistot'!AB27</f>
        <v>349.42812396006656</v>
      </c>
      <c r="AN27" s="41">
        <f>'6. Poistot'!AC27</f>
        <v>335.18387894288151</v>
      </c>
      <c r="AO27" s="41">
        <f>'6. Poistot'!AD27</f>
        <v>410.47027050610819</v>
      </c>
      <c r="AP27" s="41">
        <f>'6. Poistot'!AE27</f>
        <v>361.29032258064512</v>
      </c>
      <c r="AQ27" s="41">
        <f>'6. Poistot'!AF27</f>
        <v>368.88497135301895</v>
      </c>
      <c r="AR27" s="41">
        <f>'6. Poistot'!AG27</f>
        <v>376.55971479500892</v>
      </c>
      <c r="AS27" s="41">
        <f>'6. Poistot'!AH27</f>
        <v>393.08925543030483</v>
      </c>
      <c r="AT27" s="41">
        <f>'6. Poistot'!AI27</f>
        <v>409.80870870145458</v>
      </c>
      <c r="AV27" s="4">
        <f t="shared" si="19"/>
        <v>0</v>
      </c>
      <c r="AW27" s="4">
        <f t="shared" si="11"/>
        <v>0</v>
      </c>
      <c r="AX27" s="4">
        <f t="shared" si="12"/>
        <v>0</v>
      </c>
      <c r="AY27" s="4">
        <f t="shared" si="13"/>
        <v>0</v>
      </c>
      <c r="AZ27" s="4">
        <f t="shared" si="14"/>
        <v>1</v>
      </c>
      <c r="BA27" s="4">
        <f t="shared" si="15"/>
        <v>1</v>
      </c>
      <c r="BB27" s="4">
        <f t="shared" si="16"/>
        <v>1</v>
      </c>
      <c r="BC27" s="4">
        <f t="shared" si="17"/>
        <v>1</v>
      </c>
      <c r="BE27" s="405">
        <f t="shared" si="20"/>
        <v>-1</v>
      </c>
      <c r="BF27" s="405">
        <f t="shared" si="21"/>
        <v>0</v>
      </c>
      <c r="BG27" s="405">
        <f t="shared" si="22"/>
        <v>0</v>
      </c>
      <c r="BH27" s="405">
        <f t="shared" si="23"/>
        <v>0</v>
      </c>
      <c r="BI27" s="405">
        <f t="shared" si="24"/>
        <v>0</v>
      </c>
      <c r="BJ27" s="405">
        <f t="shared" si="25"/>
        <v>0</v>
      </c>
      <c r="BK27" s="405">
        <f t="shared" si="26"/>
        <v>0</v>
      </c>
      <c r="BL27" s="405">
        <f t="shared" si="27"/>
        <v>0</v>
      </c>
      <c r="BM27" s="405">
        <f t="shared" si="28"/>
        <v>-1</v>
      </c>
      <c r="BN27" s="405">
        <f t="shared" si="28"/>
        <v>-1</v>
      </c>
    </row>
    <row r="28" spans="1:66" x14ac:dyDescent="0.2">
      <c r="A28" s="34">
        <v>61</v>
      </c>
      <c r="B28" s="88" t="s">
        <v>341</v>
      </c>
      <c r="C28" s="41" t="e">
        <f>'2. Toimintakate'!D28+'3. Verotulot'!G28+'4. Valtionosuudet'!#REF!+'5. Rahoitustuotot ja -kulut'!C28</f>
        <v>#REF!</v>
      </c>
      <c r="D28" s="41">
        <f>'2. Toimintakate'!E28+'4. Valtionosuudet'!H28+'3. Verotulot'!L28+'5. Rahoitustuotot ja -kulut'!D28</f>
        <v>9104</v>
      </c>
      <c r="E28" s="41">
        <f>'2. Toimintakate'!F28+'4. Valtionosuudet'!N28+'3. Verotulot'!Q28+'5. Rahoitustuotot ja -kulut'!E28</f>
        <v>7231</v>
      </c>
      <c r="F28" s="41">
        <f>'2. Toimintakate'!G28+'4. Valtionosuudet'!T28+'3. Verotulot'!V28+'5. Rahoitustuotot ja -kulut'!F28</f>
        <v>5553</v>
      </c>
      <c r="G28" s="41">
        <f>'2. Toimintakate'!H28+'3. Verotulot'!AA28+'4. Valtionosuudet'!Z28+'5. Rahoitustuotot ja -kulut'!G28</f>
        <v>5520</v>
      </c>
      <c r="H28" s="41">
        <f>Käyttökate!H28+'5. Rahoitustuotot ja -kulut'!H28</f>
        <v>10935.846166671014</v>
      </c>
      <c r="I28" s="41">
        <f>Käyttökate!I28+'5. Rahoitustuotot ja -kulut'!I28</f>
        <v>8069.6388649519722</v>
      </c>
      <c r="J28" s="41">
        <f>Käyttökate!J28+'5. Rahoitustuotot ja -kulut'!J28</f>
        <v>8359.809409074418</v>
      </c>
      <c r="K28" s="41">
        <f>Käyttökate!K28+'5. Rahoitustuotot ja -kulut'!K28</f>
        <v>12722.611082088837</v>
      </c>
      <c r="L28" s="41">
        <f>Käyttökate!L28+'5. Rahoitustuotot ja -kulut'!L28</f>
        <v>6147.8988539666716</v>
      </c>
      <c r="M28" s="41">
        <f>Käyttökate!M28+'5. Rahoitustuotot ja -kulut'!M28</f>
        <v>5620.8736183686797</v>
      </c>
      <c r="N28" s="41">
        <f>Käyttökate!N28+'5. Rahoitustuotot ja -kulut'!N28</f>
        <v>6276.1353819387987</v>
      </c>
      <c r="O28" s="41">
        <f>Käyttökate!O28+'5. Rahoitustuotot ja -kulut'!O28</f>
        <v>5502.0052453850249</v>
      </c>
      <c r="P28" s="41">
        <f>Käyttökate!P28+'5. Rahoitustuotot ja -kulut'!P28</f>
        <v>7747.7346984104206</v>
      </c>
      <c r="T28" s="34">
        <v>61</v>
      </c>
      <c r="U28" s="88" t="s">
        <v>341</v>
      </c>
      <c r="V28" s="41" t="e">
        <f>C28/'1. Väestöennuste'!E28*1000</f>
        <v>#REF!</v>
      </c>
      <c r="W28" s="41">
        <f>D28/'1. Väestöennuste'!F28*1000</f>
        <v>525.2711747057466</v>
      </c>
      <c r="X28" s="41">
        <f>E28/'1. Väestöennuste'!G28*1000</f>
        <v>420.77393075356417</v>
      </c>
      <c r="Y28" s="41">
        <f>F28/'1. Väestöennuste'!H28*1000</f>
        <v>326.10993657505281</v>
      </c>
      <c r="Z28" s="41">
        <f>G28/'1. Väestöennuste'!I28*1000</f>
        <v>326.60789302408142</v>
      </c>
      <c r="AA28" s="41">
        <f>H28/'1. Väestöennuste'!J28*1000</f>
        <v>650.94322420660797</v>
      </c>
      <c r="AB28" s="41">
        <f>I28/'1. Väestöennuste'!K28*1000</f>
        <v>486.9147930339692</v>
      </c>
      <c r="AC28" s="41">
        <f>J28/'1. Väestöennuste'!L28*1000</f>
        <v>507.91721301867778</v>
      </c>
      <c r="AD28" s="41">
        <f>K28/'1. Väestöennuste'!M28*1000</f>
        <v>772.5187371479044</v>
      </c>
      <c r="AE28" s="41">
        <f>L28/'1. Väestöennuste'!N28*1000</f>
        <v>377.49593847271717</v>
      </c>
      <c r="AF28" s="41">
        <f>M28/'1. Väestöennuste'!O28*1000</f>
        <v>347.78329528329908</v>
      </c>
      <c r="AG28" s="41">
        <f>N28/'1. Väestöennuste'!P28*1000</f>
        <v>391.18270892164043</v>
      </c>
      <c r="AH28" s="41">
        <f>O28/'1. Väestöennuste'!Q28*1000</f>
        <v>345.53823057118785</v>
      </c>
      <c r="AI28" s="41">
        <f>P28/'1. Väestöennuste'!R28*1000</f>
        <v>490.26986638046071</v>
      </c>
      <c r="AK28" s="41">
        <f>'6. Poistot'!Z28</f>
        <v>358.44032897461688</v>
      </c>
      <c r="AL28" s="41">
        <f>'6. Poistot'!AA28</f>
        <v>451.36904761904759</v>
      </c>
      <c r="AM28" s="41">
        <f>'6. Poistot'!AB28</f>
        <v>369.4192451577868</v>
      </c>
      <c r="AN28" s="41">
        <f>'6. Poistot'!AC28</f>
        <v>377.62686675982741</v>
      </c>
      <c r="AO28" s="41">
        <f>'6. Poistot'!AD28</f>
        <v>440.25363835084096</v>
      </c>
      <c r="AP28" s="41">
        <f>'6. Poistot'!AE28</f>
        <v>471.37031806459532</v>
      </c>
      <c r="AQ28" s="41">
        <f>'6. Poistot'!AF28</f>
        <v>484.16037619106544</v>
      </c>
      <c r="AR28" s="41">
        <f>'6. Poistot'!AG28</f>
        <v>498.44178509099976</v>
      </c>
      <c r="AS28" s="41">
        <f>'6. Poistot'!AH28</f>
        <v>518.43458680590959</v>
      </c>
      <c r="AT28" s="41">
        <f>'6. Poistot'!AI28</f>
        <v>538.69947803714467</v>
      </c>
      <c r="AV28" s="4">
        <f t="shared" si="19"/>
        <v>0</v>
      </c>
      <c r="AW28" s="4">
        <f t="shared" si="11"/>
        <v>0</v>
      </c>
      <c r="AX28" s="4">
        <f t="shared" si="12"/>
        <v>0</v>
      </c>
      <c r="AY28" s="4">
        <f t="shared" si="13"/>
        <v>1</v>
      </c>
      <c r="AZ28" s="4">
        <f t="shared" si="14"/>
        <v>1</v>
      </c>
      <c r="BA28" s="4">
        <f t="shared" si="15"/>
        <v>1</v>
      </c>
      <c r="BB28" s="4">
        <f t="shared" si="16"/>
        <v>1</v>
      </c>
      <c r="BC28" s="4">
        <f t="shared" si="17"/>
        <v>1</v>
      </c>
      <c r="BE28" s="405">
        <f t="shared" si="20"/>
        <v>0</v>
      </c>
      <c r="BF28" s="405">
        <f t="shared" si="21"/>
        <v>0</v>
      </c>
      <c r="BG28" s="405">
        <f t="shared" si="22"/>
        <v>0</v>
      </c>
      <c r="BH28" s="405">
        <f t="shared" si="23"/>
        <v>0</v>
      </c>
      <c r="BI28" s="405">
        <f t="shared" si="24"/>
        <v>0</v>
      </c>
      <c r="BJ28" s="405">
        <f t="shared" si="25"/>
        <v>0</v>
      </c>
      <c r="BK28" s="405">
        <f t="shared" si="26"/>
        <v>0</v>
      </c>
      <c r="BL28" s="405">
        <f t="shared" si="27"/>
        <v>0</v>
      </c>
      <c r="BM28" s="405">
        <f t="shared" si="28"/>
        <v>0</v>
      </c>
      <c r="BN28" s="405">
        <f t="shared" si="28"/>
        <v>0</v>
      </c>
    </row>
    <row r="29" spans="1:66" x14ac:dyDescent="0.2">
      <c r="A29" s="34">
        <v>69</v>
      </c>
      <c r="B29" s="88" t="s">
        <v>342</v>
      </c>
      <c r="C29" s="41" t="e">
        <f>'2. Toimintakate'!D29+'3. Verotulot'!G29+'4. Valtionosuudet'!#REF!+'5. Rahoitustuotot ja -kulut'!C29</f>
        <v>#REF!</v>
      </c>
      <c r="D29" s="41">
        <f>'2. Toimintakate'!E29+'4. Valtionosuudet'!H29+'3. Verotulot'!L29+'5. Rahoitustuotot ja -kulut'!D29</f>
        <v>1163</v>
      </c>
      <c r="E29" s="41">
        <f>'2. Toimintakate'!F29+'4. Valtionosuudet'!N29+'3. Verotulot'!Q29+'5. Rahoitustuotot ja -kulut'!E29</f>
        <v>2291</v>
      </c>
      <c r="F29" s="41">
        <f>'2. Toimintakate'!G29+'4. Valtionosuudet'!T29+'3. Verotulot'!V29+'5. Rahoitustuotot ja -kulut'!F29</f>
        <v>33</v>
      </c>
      <c r="G29" s="41">
        <f>'2. Toimintakate'!H29+'3. Verotulot'!AA29+'4. Valtionosuudet'!Z29+'5. Rahoitustuotot ja -kulut'!G29</f>
        <v>-164</v>
      </c>
      <c r="H29" s="41">
        <f>Käyttökate!H29+'5. Rahoitustuotot ja -kulut'!H29</f>
        <v>3675.1070312777738</v>
      </c>
      <c r="I29" s="41">
        <f>Käyttökate!I29+'5. Rahoitustuotot ja -kulut'!I29</f>
        <v>3482.6668403326989</v>
      </c>
      <c r="J29" s="41">
        <f>Käyttökate!J29+'5. Rahoitustuotot ja -kulut'!J29</f>
        <v>1915.684283840149</v>
      </c>
      <c r="K29" s="41">
        <f>Käyttökate!K29+'5. Rahoitustuotot ja -kulut'!K29</f>
        <v>2294.9622804295755</v>
      </c>
      <c r="L29" s="41">
        <f>Käyttökate!L29+'5. Rahoitustuotot ja -kulut'!L29</f>
        <v>2832.309447218538</v>
      </c>
      <c r="M29" s="41">
        <f>Käyttökate!M29+'5. Rahoitustuotot ja -kulut'!M29</f>
        <v>-24.136035516699849</v>
      </c>
      <c r="N29" s="41">
        <f>Käyttökate!N29+'5. Rahoitustuotot ja -kulut'!N29</f>
        <v>1017.0832445879296</v>
      </c>
      <c r="O29" s="41">
        <f>Käyttökate!O29+'5. Rahoitustuotot ja -kulut'!O29</f>
        <v>917.89828470120869</v>
      </c>
      <c r="P29" s="41">
        <f>Käyttökate!P29+'5. Rahoitustuotot ja -kulut'!P29</f>
        <v>1703.37743590076</v>
      </c>
      <c r="T29" s="34">
        <v>69</v>
      </c>
      <c r="U29" s="88" t="s">
        <v>342</v>
      </c>
      <c r="V29" s="41" t="e">
        <f>C29/'1. Väestöennuste'!E29*1000</f>
        <v>#REF!</v>
      </c>
      <c r="W29" s="41">
        <f>D29/'1. Väestöennuste'!F29*1000</f>
        <v>158.61974904528094</v>
      </c>
      <c r="X29" s="41">
        <f>E29/'1. Väestöennuste'!G29*1000</f>
        <v>315.95641980416497</v>
      </c>
      <c r="Y29" s="41">
        <f>F29/'1. Väestöennuste'!H29*1000</f>
        <v>4.6173219532671048</v>
      </c>
      <c r="Z29" s="41">
        <f>G29/'1. Väestöennuste'!I29*1000</f>
        <v>-23.395149786019971</v>
      </c>
      <c r="AA29" s="41">
        <f>H29/'1. Väestöennuste'!J29*1000</f>
        <v>532.93315418761222</v>
      </c>
      <c r="AB29" s="41">
        <f>I29/'1. Väestöennuste'!K29*1000</f>
        <v>512.00629819651556</v>
      </c>
      <c r="AC29" s="41">
        <f>J29/'1. Väestöennuste'!L29*1000</f>
        <v>286.47888198596519</v>
      </c>
      <c r="AD29" s="41">
        <f>K29/'1. Väestöennuste'!M29*1000</f>
        <v>349.94850265775779</v>
      </c>
      <c r="AE29" s="41">
        <f>L29/'1. Väestöennuste'!N29*1000</f>
        <v>438.03115484357227</v>
      </c>
      <c r="AF29" s="41">
        <f>M29/'1. Väestöennuste'!O29*1000</f>
        <v>-3.7896114800910423</v>
      </c>
      <c r="AG29" s="41">
        <f>N29/'1. Väestöennuste'!P29*1000</f>
        <v>162.11081360980708</v>
      </c>
      <c r="AH29" s="41">
        <f>O29/'1. Väestöennuste'!Q29*1000</f>
        <v>148.43115858687077</v>
      </c>
      <c r="AI29" s="41">
        <f>P29/'1. Väestöennuste'!R29*1000</f>
        <v>279.47127742424283</v>
      </c>
      <c r="AK29" s="41">
        <f>'6. Poistot'!Z29</f>
        <v>301.56918687589155</v>
      </c>
      <c r="AL29" s="41">
        <f>'6. Poistot'!AA29</f>
        <v>345.70765661252898</v>
      </c>
      <c r="AM29" s="41">
        <f>'6. Poistot'!AB29</f>
        <v>891.22565127903556</v>
      </c>
      <c r="AN29" s="41">
        <f>'6. Poistot'!AC29</f>
        <v>345.44831314490801</v>
      </c>
      <c r="AO29" s="41">
        <f>'6. Poistot'!AD29</f>
        <v>350.94498322659354</v>
      </c>
      <c r="AP29" s="41">
        <f>'6. Poistot'!AE29</f>
        <v>406.63841633158057</v>
      </c>
      <c r="AQ29" s="41">
        <f>'6. Poistot'!AF29</f>
        <v>350.1334589417491</v>
      </c>
      <c r="AR29" s="41">
        <f>'6. Poistot'!AG29</f>
        <v>398.46987567739876</v>
      </c>
      <c r="AS29" s="41">
        <f>'6. Poistot'!AH29</f>
        <v>417.31336537497339</v>
      </c>
      <c r="AT29" s="41">
        <f>'6. Poistot'!AI29</f>
        <v>436.64178883636936</v>
      </c>
      <c r="AV29" s="4">
        <f t="shared" si="19"/>
        <v>1</v>
      </c>
      <c r="AW29" s="4">
        <f t="shared" si="11"/>
        <v>1</v>
      </c>
      <c r="AX29" s="4">
        <f t="shared" si="12"/>
        <v>1</v>
      </c>
      <c r="AY29" s="4">
        <f t="shared" si="13"/>
        <v>0</v>
      </c>
      <c r="AZ29" s="4">
        <f t="shared" si="14"/>
        <v>1</v>
      </c>
      <c r="BA29" s="4">
        <f t="shared" si="15"/>
        <v>1</v>
      </c>
      <c r="BB29" s="4">
        <f t="shared" si="16"/>
        <v>1</v>
      </c>
      <c r="BC29" s="4">
        <f t="shared" si="17"/>
        <v>1</v>
      </c>
      <c r="BE29" s="405">
        <f t="shared" si="20"/>
        <v>-1</v>
      </c>
      <c r="BF29" s="405">
        <f t="shared" si="21"/>
        <v>0</v>
      </c>
      <c r="BG29" s="405">
        <f t="shared" si="22"/>
        <v>0</v>
      </c>
      <c r="BH29" s="405">
        <f t="shared" si="23"/>
        <v>0</v>
      </c>
      <c r="BI29" s="405">
        <f t="shared" si="24"/>
        <v>0</v>
      </c>
      <c r="BJ29" s="405">
        <f t="shared" si="25"/>
        <v>0</v>
      </c>
      <c r="BK29" s="405">
        <f t="shared" si="26"/>
        <v>-1</v>
      </c>
      <c r="BL29" s="405">
        <f t="shared" si="27"/>
        <v>0</v>
      </c>
      <c r="BM29" s="405">
        <f t="shared" si="28"/>
        <v>0</v>
      </c>
      <c r="BN29" s="405">
        <f t="shared" si="28"/>
        <v>0</v>
      </c>
    </row>
    <row r="30" spans="1:66" x14ac:dyDescent="0.2">
      <c r="A30" s="34">
        <v>71</v>
      </c>
      <c r="B30" s="88" t="s">
        <v>343</v>
      </c>
      <c r="C30" s="41" t="e">
        <f>'2. Toimintakate'!D30+'3. Verotulot'!G30+'4. Valtionosuudet'!#REF!+'5. Rahoitustuotot ja -kulut'!C30</f>
        <v>#REF!</v>
      </c>
      <c r="D30" s="41">
        <f>'2. Toimintakate'!E30+'4. Valtionosuudet'!H30+'3. Verotulot'!L30+'5. Rahoitustuotot ja -kulut'!D30</f>
        <v>854</v>
      </c>
      <c r="E30" s="41">
        <f>'2. Toimintakate'!F30+'4. Valtionosuudet'!N30+'3. Verotulot'!Q30+'5. Rahoitustuotot ja -kulut'!E30</f>
        <v>3382</v>
      </c>
      <c r="F30" s="41">
        <f>'2. Toimintakate'!G30+'4. Valtionosuudet'!T30+'3. Verotulot'!V30+'5. Rahoitustuotot ja -kulut'!F30</f>
        <v>304</v>
      </c>
      <c r="G30" s="41">
        <f>'2. Toimintakate'!H30+'3. Verotulot'!AA30+'4. Valtionosuudet'!Z30+'5. Rahoitustuotot ja -kulut'!G30</f>
        <v>991</v>
      </c>
      <c r="H30" s="41">
        <f>Käyttökate!H30+'5. Rahoitustuotot ja -kulut'!H30</f>
        <v>3258.7356550714831</v>
      </c>
      <c r="I30" s="41">
        <f>Käyttökate!I30+'5. Rahoitustuotot ja -kulut'!I30</f>
        <v>-485.52425547252039</v>
      </c>
      <c r="J30" s="41">
        <f>Käyttökate!J30+'5. Rahoitustuotot ja -kulut'!J30</f>
        <v>725.13793623410356</v>
      </c>
      <c r="K30" s="41">
        <f>Käyttökate!K30+'5. Rahoitustuotot ja -kulut'!K30</f>
        <v>2877.872024450618</v>
      </c>
      <c r="L30" s="41">
        <f>Käyttökate!L30+'5. Rahoitustuotot ja -kulut'!L30</f>
        <v>1680.7560552885614</v>
      </c>
      <c r="M30" s="41">
        <f>Käyttökate!M30+'5. Rahoitustuotot ja -kulut'!M30</f>
        <v>-64.386338505674985</v>
      </c>
      <c r="N30" s="41">
        <f>Käyttökate!N30+'5. Rahoitustuotot ja -kulut'!N30</f>
        <v>351.47749903882033</v>
      </c>
      <c r="O30" s="41">
        <f>Käyttökate!O30+'5. Rahoitustuotot ja -kulut'!O30</f>
        <v>669.94843081265594</v>
      </c>
      <c r="P30" s="41">
        <f>Käyttökate!P30+'5. Rahoitustuotot ja -kulut'!P30</f>
        <v>1587.2254967098595</v>
      </c>
      <c r="T30" s="34">
        <v>71</v>
      </c>
      <c r="U30" s="88" t="s">
        <v>343</v>
      </c>
      <c r="V30" s="41" t="e">
        <f>C30/'1. Väestöennuste'!E30*1000</f>
        <v>#REF!</v>
      </c>
      <c r="W30" s="41">
        <f>D30/'1. Väestöennuste'!F30*1000</f>
        <v>120.3155818540434</v>
      </c>
      <c r="X30" s="41">
        <f>E30/'1. Väestöennuste'!G30*1000</f>
        <v>485.22238163558109</v>
      </c>
      <c r="Y30" s="41">
        <f>F30/'1. Väestöennuste'!H30*1000</f>
        <v>44.353662095126936</v>
      </c>
      <c r="Z30" s="41">
        <f>G30/'1. Väestöennuste'!I30*1000</f>
        <v>146.64101805267831</v>
      </c>
      <c r="AA30" s="41">
        <f>H30/'1. Väestöennuste'!J30*1000</f>
        <v>488.78590896527419</v>
      </c>
      <c r="AB30" s="41">
        <f>I30/'1. Väestöennuste'!K30*1000</f>
        <v>-73.419666637308396</v>
      </c>
      <c r="AC30" s="41">
        <f>J30/'1. Väestöennuste'!L30*1000</f>
        <v>110.01941074709507</v>
      </c>
      <c r="AD30" s="41">
        <f>K30/'1. Väestöennuste'!M30*1000</f>
        <v>444.59632696595361</v>
      </c>
      <c r="AE30" s="41">
        <f>L30/'1. Väestöennuste'!N30*1000</f>
        <v>266.91377724131513</v>
      </c>
      <c r="AF30" s="41">
        <f>M30/'1. Väestöennuste'!O30*1000</f>
        <v>-10.361496380057126</v>
      </c>
      <c r="AG30" s="41">
        <f>N30/'1. Väestöennuste'!P30*1000</f>
        <v>57.29054589059826</v>
      </c>
      <c r="AH30" s="41">
        <f>O30/'1. Väestöennuste'!Q30*1000</f>
        <v>110.55254633872211</v>
      </c>
      <c r="AI30" s="41">
        <f>P30/'1. Väestöennuste'!R30*1000</f>
        <v>264.97921480965937</v>
      </c>
      <c r="AK30" s="41">
        <f>'6. Poistot'!Z30</f>
        <v>231.57738976028412</v>
      </c>
      <c r="AL30" s="41">
        <f>'6. Poistot'!AA30</f>
        <v>203.98980050997451</v>
      </c>
      <c r="AM30" s="41">
        <f>'6. Poistot'!AB30</f>
        <v>176.53538182368064</v>
      </c>
      <c r="AN30" s="41">
        <f>'6. Poistot'!AC30</f>
        <v>220.96048247610381</v>
      </c>
      <c r="AO30" s="41">
        <f>'6. Poistot'!AD30</f>
        <v>228.50374942067049</v>
      </c>
      <c r="AP30" s="41">
        <f>'6. Poistot'!AE30</f>
        <v>252.85929807845008</v>
      </c>
      <c r="AQ30" s="41">
        <f>'6. Poistot'!AF30</f>
        <v>238.00096556163501</v>
      </c>
      <c r="AR30" s="41">
        <f>'6. Poistot'!AG30</f>
        <v>239.28916055419722</v>
      </c>
      <c r="AS30" s="41">
        <f>'6. Poistot'!AH30</f>
        <v>250.06720237222029</v>
      </c>
      <c r="AT30" s="41">
        <f>'6. Poistot'!AI30</f>
        <v>260.89741114379137</v>
      </c>
      <c r="AV30" s="4">
        <f t="shared" si="19"/>
        <v>1</v>
      </c>
      <c r="AW30" s="4">
        <f t="shared" si="11"/>
        <v>1</v>
      </c>
      <c r="AX30" s="4">
        <f t="shared" si="12"/>
        <v>0</v>
      </c>
      <c r="AY30" s="4">
        <f t="shared" si="13"/>
        <v>0</v>
      </c>
      <c r="AZ30" s="4">
        <f t="shared" si="14"/>
        <v>1</v>
      </c>
      <c r="BA30" s="4">
        <f t="shared" si="15"/>
        <v>1</v>
      </c>
      <c r="BB30" s="4">
        <f t="shared" si="16"/>
        <v>1</v>
      </c>
      <c r="BC30" s="4">
        <f t="shared" si="17"/>
        <v>0</v>
      </c>
      <c r="BE30" s="405">
        <f t="shared" si="20"/>
        <v>0</v>
      </c>
      <c r="BF30" s="405">
        <f t="shared" si="21"/>
        <v>0</v>
      </c>
      <c r="BG30" s="405">
        <f t="shared" si="22"/>
        <v>-1</v>
      </c>
      <c r="BH30" s="405">
        <f t="shared" si="23"/>
        <v>0</v>
      </c>
      <c r="BI30" s="405">
        <f t="shared" si="24"/>
        <v>0</v>
      </c>
      <c r="BJ30" s="405">
        <f t="shared" si="25"/>
        <v>0</v>
      </c>
      <c r="BK30" s="405">
        <f t="shared" si="26"/>
        <v>-1</v>
      </c>
      <c r="BL30" s="405">
        <f t="shared" si="27"/>
        <v>0</v>
      </c>
      <c r="BM30" s="405">
        <f t="shared" si="28"/>
        <v>0</v>
      </c>
      <c r="BN30" s="405">
        <f t="shared" si="28"/>
        <v>0</v>
      </c>
    </row>
    <row r="31" spans="1:66" x14ac:dyDescent="0.2">
      <c r="A31" s="34">
        <v>72</v>
      </c>
      <c r="B31" s="88" t="s">
        <v>344</v>
      </c>
      <c r="C31" s="41" t="e">
        <f>'2. Toimintakate'!D31+'3. Verotulot'!G31+'4. Valtionosuudet'!#REF!+'5. Rahoitustuotot ja -kulut'!C31</f>
        <v>#REF!</v>
      </c>
      <c r="D31" s="41">
        <f>'2. Toimintakate'!E31+'4. Valtionosuudet'!H31+'3. Verotulot'!L31+'5. Rahoitustuotot ja -kulut'!D31</f>
        <v>330</v>
      </c>
      <c r="E31" s="41">
        <f>'2. Toimintakate'!F31+'4. Valtionosuudet'!N31+'3. Verotulot'!Q31+'5. Rahoitustuotot ja -kulut'!E31</f>
        <v>872</v>
      </c>
      <c r="F31" s="41">
        <f>'2. Toimintakate'!G31+'4. Valtionosuudet'!T31+'3. Verotulot'!V31+'5. Rahoitustuotot ja -kulut'!F31</f>
        <v>68</v>
      </c>
      <c r="G31" s="41">
        <f>'2. Toimintakate'!H31+'3. Verotulot'!AA31+'4. Valtionosuudet'!Z31+'5. Rahoitustuotot ja -kulut'!G31</f>
        <v>-66</v>
      </c>
      <c r="H31" s="41">
        <f>Käyttökate!H31+'5. Rahoitustuotot ja -kulut'!H31</f>
        <v>506.13037070252358</v>
      </c>
      <c r="I31" s="41">
        <f>Käyttökate!I31+'5. Rahoitustuotot ja -kulut'!I31</f>
        <v>342.75000533558301</v>
      </c>
      <c r="J31" s="41">
        <f>Käyttökate!J31+'5. Rahoitustuotot ja -kulut'!J31</f>
        <v>899.55644849812222</v>
      </c>
      <c r="K31" s="41">
        <f>Käyttökate!K31+'5. Rahoitustuotot ja -kulut'!K31</f>
        <v>730.44499678401519</v>
      </c>
      <c r="L31" s="41">
        <f>Käyttökate!L31+'5. Rahoitustuotot ja -kulut'!L31</f>
        <v>372.25434087861208</v>
      </c>
      <c r="M31" s="41">
        <f>Käyttökate!M31+'5. Rahoitustuotot ja -kulut'!M31</f>
        <v>372.19896162042005</v>
      </c>
      <c r="N31" s="41">
        <f>Käyttökate!N31+'5. Rahoitustuotot ja -kulut'!N31</f>
        <v>233.40741077555936</v>
      </c>
      <c r="O31" s="41">
        <f>Käyttökate!O31+'5. Rahoitustuotot ja -kulut'!O31</f>
        <v>171.33581270758862</v>
      </c>
      <c r="P31" s="41">
        <f>Käyttökate!P31+'5. Rahoitustuotot ja -kulut'!P31</f>
        <v>215.735866219646</v>
      </c>
      <c r="T31" s="34">
        <v>72</v>
      </c>
      <c r="U31" s="88" t="s">
        <v>344</v>
      </c>
      <c r="V31" s="41" t="e">
        <f>C31/'1. Väestöennuste'!E31*1000</f>
        <v>#REF!</v>
      </c>
      <c r="W31" s="41">
        <f>D31/'1. Väestöennuste'!F31*1000</f>
        <v>331.99195171026156</v>
      </c>
      <c r="X31" s="41">
        <f>E31/'1. Väestöennuste'!G31*1000</f>
        <v>901.75801447776632</v>
      </c>
      <c r="Y31" s="41">
        <f>F31/'1. Väestöennuste'!H31*1000</f>
        <v>69.815195071868573</v>
      </c>
      <c r="Z31" s="41">
        <f>G31/'1. Väestöennuste'!I31*1000</f>
        <v>-68.821689259645467</v>
      </c>
      <c r="AA31" s="41">
        <f>H31/'1. Väestöennuste'!J31*1000</f>
        <v>533.33021148843375</v>
      </c>
      <c r="AB31" s="41">
        <f>I31/'1. Väestöennuste'!K31*1000</f>
        <v>360.78947930061366</v>
      </c>
      <c r="AC31" s="41">
        <f>J31/'1. Väestöennuste'!L31*1000</f>
        <v>937.03796718554395</v>
      </c>
      <c r="AD31" s="41">
        <f>K31/'1. Väestöennuste'!M31*1000</f>
        <v>770.51159998313835</v>
      </c>
      <c r="AE31" s="41">
        <f>L31/'1. Väestöennuste'!N31*1000</f>
        <v>402.00252794666528</v>
      </c>
      <c r="AF31" s="41">
        <f>M31/'1. Väestöennuste'!O31*1000</f>
        <v>404.56408871784788</v>
      </c>
      <c r="AG31" s="41">
        <f>N31/'1. Väestöennuste'!P31*1000</f>
        <v>255.36915839776736</v>
      </c>
      <c r="AH31" s="41">
        <f>O31/'1. Väestöennuste'!Q31*1000</f>
        <v>188.6958289731152</v>
      </c>
      <c r="AI31" s="41">
        <f>P31/'1. Väestöennuste'!R31*1000</f>
        <v>239.44047305177136</v>
      </c>
      <c r="AK31" s="41">
        <f>'6. Poistot'!Z31</f>
        <v>382.6903023983316</v>
      </c>
      <c r="AL31" s="41">
        <f>'6. Poistot'!AA31</f>
        <v>536.35405690200207</v>
      </c>
      <c r="AM31" s="41">
        <f>'6. Poistot'!AB31</f>
        <v>536.68010526315788</v>
      </c>
      <c r="AN31" s="41">
        <f>'6. Poistot'!AC31</f>
        <v>540.02978125000004</v>
      </c>
      <c r="AO31" s="41">
        <f>'6. Poistot'!AD31</f>
        <v>764.73742616033746</v>
      </c>
      <c r="AP31" s="41">
        <f>'6. Poistot'!AE31</f>
        <v>501.66954643628515</v>
      </c>
      <c r="AQ31" s="41">
        <f>'6. Poistot'!AF31</f>
        <v>480.91195652173917</v>
      </c>
      <c r="AR31" s="41">
        <f>'6. Poistot'!AG31</f>
        <v>485.34245076586433</v>
      </c>
      <c r="AS31" s="41">
        <f>'6. Poistot'!AH31</f>
        <v>504.31326595311276</v>
      </c>
      <c r="AT31" s="41">
        <f>'6. Poistot'!AI31</f>
        <v>524.11752604978096</v>
      </c>
      <c r="AV31" s="4">
        <f t="shared" si="19"/>
        <v>1</v>
      </c>
      <c r="AW31" s="4">
        <f t="shared" si="11"/>
        <v>0</v>
      </c>
      <c r="AX31" s="4">
        <f t="shared" si="12"/>
        <v>0</v>
      </c>
      <c r="AY31" s="4">
        <f t="shared" si="13"/>
        <v>1</v>
      </c>
      <c r="AZ31" s="4">
        <f t="shared" si="14"/>
        <v>1</v>
      </c>
      <c r="BA31" s="4">
        <f t="shared" si="15"/>
        <v>1</v>
      </c>
      <c r="BB31" s="4">
        <f t="shared" si="16"/>
        <v>1</v>
      </c>
      <c r="BC31" s="4">
        <f t="shared" si="17"/>
        <v>1</v>
      </c>
      <c r="BE31" s="405">
        <f t="shared" si="20"/>
        <v>-1</v>
      </c>
      <c r="BF31" s="405">
        <f t="shared" si="21"/>
        <v>0</v>
      </c>
      <c r="BG31" s="405">
        <f t="shared" si="22"/>
        <v>0</v>
      </c>
      <c r="BH31" s="405">
        <f t="shared" si="23"/>
        <v>0</v>
      </c>
      <c r="BI31" s="405">
        <f t="shared" si="24"/>
        <v>0</v>
      </c>
      <c r="BJ31" s="405">
        <f t="shared" si="25"/>
        <v>0</v>
      </c>
      <c r="BK31" s="405">
        <f t="shared" si="26"/>
        <v>0</v>
      </c>
      <c r="BL31" s="405">
        <f t="shared" si="27"/>
        <v>0</v>
      </c>
      <c r="BM31" s="405">
        <f t="shared" si="28"/>
        <v>0</v>
      </c>
      <c r="BN31" s="405">
        <f t="shared" si="28"/>
        <v>0</v>
      </c>
    </row>
    <row r="32" spans="1:66" x14ac:dyDescent="0.2">
      <c r="A32" s="34">
        <v>74</v>
      </c>
      <c r="B32" s="88" t="s">
        <v>345</v>
      </c>
      <c r="C32" s="41" t="e">
        <f>'2. Toimintakate'!D32+'3. Verotulot'!G32+'4. Valtionosuudet'!#REF!+'5. Rahoitustuotot ja -kulut'!C32</f>
        <v>#REF!</v>
      </c>
      <c r="D32" s="41">
        <f>'2. Toimintakate'!E32+'4. Valtionosuudet'!H32+'3. Verotulot'!L32+'5. Rahoitustuotot ja -kulut'!D32</f>
        <v>-3</v>
      </c>
      <c r="E32" s="41">
        <f>'2. Toimintakate'!F32+'4. Valtionosuudet'!N32+'3. Verotulot'!Q32+'5. Rahoitustuotot ja -kulut'!E32</f>
        <v>432</v>
      </c>
      <c r="F32" s="41">
        <f>'2. Toimintakate'!G32+'4. Valtionosuudet'!T32+'3. Verotulot'!V32+'5. Rahoitustuotot ja -kulut'!F32</f>
        <v>38</v>
      </c>
      <c r="G32" s="41">
        <f>'2. Toimintakate'!H32+'3. Verotulot'!AA32+'4. Valtionosuudet'!Z32+'5. Rahoitustuotot ja -kulut'!G32</f>
        <v>-198</v>
      </c>
      <c r="H32" s="41">
        <f>Käyttökate!H32+'5. Rahoitustuotot ja -kulut'!H32</f>
        <v>1001.2744732944211</v>
      </c>
      <c r="I32" s="41">
        <f>Käyttökate!I32+'5. Rahoitustuotot ja -kulut'!I32</f>
        <v>258.16785351312404</v>
      </c>
      <c r="J32" s="41">
        <f>Käyttökate!J32+'5. Rahoitustuotot ja -kulut'!J32</f>
        <v>782.01544336693235</v>
      </c>
      <c r="K32" s="41">
        <f>Käyttökate!K32+'5. Rahoitustuotot ja -kulut'!K32</f>
        <v>190.91160186622142</v>
      </c>
      <c r="L32" s="41">
        <f>Käyttökate!L32+'5. Rahoitustuotot ja -kulut'!L32</f>
        <v>258.76390282723401</v>
      </c>
      <c r="M32" s="41">
        <f>Käyttökate!M32+'5. Rahoitustuotot ja -kulut'!M32</f>
        <v>-42.524765110598537</v>
      </c>
      <c r="N32" s="41">
        <f>Käyttökate!N32+'5. Rahoitustuotot ja -kulut'!N32</f>
        <v>-157.41024571049184</v>
      </c>
      <c r="O32" s="41">
        <f>Käyttökate!O32+'5. Rahoitustuotot ja -kulut'!O32</f>
        <v>-303.55822134036077</v>
      </c>
      <c r="P32" s="41">
        <f>Käyttökate!P32+'5. Rahoitustuotot ja -kulut'!P32</f>
        <v>-244.48000371898243</v>
      </c>
      <c r="T32" s="34">
        <v>74</v>
      </c>
      <c r="U32" s="88" t="s">
        <v>345</v>
      </c>
      <c r="V32" s="41" t="e">
        <f>C32/'1. Väestöennuste'!E32*1000</f>
        <v>#REF!</v>
      </c>
      <c r="W32" s="41">
        <f>D32/'1. Väestöennuste'!F32*1000</f>
        <v>-2.4610336341263332</v>
      </c>
      <c r="X32" s="41">
        <f>E32/'1. Väestöennuste'!G32*1000</f>
        <v>368.91545687446626</v>
      </c>
      <c r="Y32" s="41">
        <f>F32/'1. Väestöennuste'!H32*1000</f>
        <v>32.618025751072963</v>
      </c>
      <c r="Z32" s="41">
        <f>G32/'1. Väestöennuste'!I32*1000</f>
        <v>-175.68766637089618</v>
      </c>
      <c r="AA32" s="41">
        <f>H32/'1. Väestöennuste'!J32*1000</f>
        <v>907.77377451896746</v>
      </c>
      <c r="AB32" s="41">
        <f>I32/'1. Väestöennuste'!K32*1000</f>
        <v>238.38213620787076</v>
      </c>
      <c r="AC32" s="41">
        <f>J32/'1. Väestöennuste'!L32*1000</f>
        <v>743.36068761115234</v>
      </c>
      <c r="AD32" s="41">
        <f>K32/'1. Väestöennuste'!M32*1000</f>
        <v>188.46160105253841</v>
      </c>
      <c r="AE32" s="41">
        <f>L32/'1. Väestöennuste'!N32*1000</f>
        <v>258.50539742980419</v>
      </c>
      <c r="AF32" s="41">
        <f>M32/'1. Väestöennuste'!O32*1000</f>
        <v>-43.436940868844268</v>
      </c>
      <c r="AG32" s="41">
        <f>N32/'1. Väestöennuste'!P32*1000</f>
        <v>-164.1399850995744</v>
      </c>
      <c r="AH32" s="41">
        <f>O32/'1. Väestöennuste'!Q32*1000</f>
        <v>-322.93427802166042</v>
      </c>
      <c r="AI32" s="41">
        <f>P32/'1. Väestöennuste'!R32*1000</f>
        <v>-265.16269383837579</v>
      </c>
      <c r="AK32" s="41">
        <f>'6. Poistot'!Z32</f>
        <v>109.13930789707186</v>
      </c>
      <c r="AL32" s="41">
        <f>'6. Poistot'!AA32</f>
        <v>446.05621033544878</v>
      </c>
      <c r="AM32" s="41">
        <f>'6. Poistot'!AB32</f>
        <v>142.75510618651893</v>
      </c>
      <c r="AN32" s="41">
        <f>'6. Poistot'!AC32</f>
        <v>162.44943916349808</v>
      </c>
      <c r="AO32" s="41">
        <f>'6. Poistot'!AD32</f>
        <v>153.60185587364265</v>
      </c>
      <c r="AP32" s="41">
        <f>'6. Poistot'!AE32</f>
        <v>166.66133866133868</v>
      </c>
      <c r="AQ32" s="41">
        <f>'6. Poistot'!AF32</f>
        <v>171.60367722165475</v>
      </c>
      <c r="AR32" s="41">
        <f>'6. Poistot'!AG32</f>
        <v>176.22523461939522</v>
      </c>
      <c r="AS32" s="41">
        <f>'6. Poistot'!AH32</f>
        <v>185.58831017018008</v>
      </c>
      <c r="AT32" s="41">
        <f>'6. Poistot'!AI32</f>
        <v>195.1258385248791</v>
      </c>
      <c r="AV32" s="4">
        <f t="shared" si="19"/>
        <v>0</v>
      </c>
      <c r="AW32" s="4">
        <f t="shared" si="11"/>
        <v>0</v>
      </c>
      <c r="AX32" s="4">
        <f t="shared" si="12"/>
        <v>0</v>
      </c>
      <c r="AY32" s="4">
        <f t="shared" si="13"/>
        <v>0</v>
      </c>
      <c r="AZ32" s="4">
        <f t="shared" si="14"/>
        <v>1</v>
      </c>
      <c r="BA32" s="4">
        <f t="shared" si="15"/>
        <v>1</v>
      </c>
      <c r="BB32" s="4">
        <f t="shared" si="16"/>
        <v>1</v>
      </c>
      <c r="BC32" s="4">
        <f t="shared" si="17"/>
        <v>1</v>
      </c>
      <c r="BE32" s="405">
        <f t="shared" si="20"/>
        <v>-1</v>
      </c>
      <c r="BF32" s="405">
        <f t="shared" si="21"/>
        <v>0</v>
      </c>
      <c r="BG32" s="405">
        <f t="shared" si="22"/>
        <v>0</v>
      </c>
      <c r="BH32" s="405">
        <f t="shared" si="23"/>
        <v>0</v>
      </c>
      <c r="BI32" s="405">
        <f t="shared" si="24"/>
        <v>0</v>
      </c>
      <c r="BJ32" s="405">
        <f t="shared" si="25"/>
        <v>0</v>
      </c>
      <c r="BK32" s="405">
        <f t="shared" si="26"/>
        <v>-1</v>
      </c>
      <c r="BL32" s="405">
        <f t="shared" si="27"/>
        <v>-1</v>
      </c>
      <c r="BM32" s="405">
        <f t="shared" si="28"/>
        <v>-1</v>
      </c>
      <c r="BN32" s="405">
        <f t="shared" si="28"/>
        <v>-1</v>
      </c>
    </row>
    <row r="33" spans="1:66" x14ac:dyDescent="0.2">
      <c r="A33" s="34">
        <v>75</v>
      </c>
      <c r="B33" s="88" t="s">
        <v>346</v>
      </c>
      <c r="C33" s="41" t="e">
        <f>'2. Toimintakate'!D33+'3. Verotulot'!G33+'4. Valtionosuudet'!#REF!+'5. Rahoitustuotot ja -kulut'!C33</f>
        <v>#REF!</v>
      </c>
      <c r="D33" s="41">
        <f>'2. Toimintakate'!E33+'4. Valtionosuudet'!H33+'3. Verotulot'!L33+'5. Rahoitustuotot ja -kulut'!D33</f>
        <v>11176</v>
      </c>
      <c r="E33" s="41">
        <f>'2. Toimintakate'!F33+'4. Valtionosuudet'!N33+'3. Verotulot'!Q33+'5. Rahoitustuotot ja -kulut'!E33</f>
        <v>15784</v>
      </c>
      <c r="F33" s="41">
        <f>'2. Toimintakate'!G33+'4. Valtionosuudet'!T33+'3. Verotulot'!V33+'5. Rahoitustuotot ja -kulut'!F33</f>
        <v>9370</v>
      </c>
      <c r="G33" s="41">
        <f>'2. Toimintakate'!H33+'3. Verotulot'!AA33+'4. Valtionosuudet'!Z33+'5. Rahoitustuotot ja -kulut'!G33</f>
        <v>10072</v>
      </c>
      <c r="H33" s="41">
        <f>Käyttökate!H33+'5. Rahoitustuotot ja -kulut'!H33</f>
        <v>20138.062336427291</v>
      </c>
      <c r="I33" s="41">
        <f>Käyttökate!I33+'5. Rahoitustuotot ja -kulut'!I33</f>
        <v>14385.869853350534</v>
      </c>
      <c r="J33" s="41">
        <f>Käyttökate!J33+'5. Rahoitustuotot ja -kulut'!J33</f>
        <v>11916.42122661443</v>
      </c>
      <c r="K33" s="41">
        <f>Käyttökate!K33+'5. Rahoitustuotot ja -kulut'!K33</f>
        <v>13940.671675231761</v>
      </c>
      <c r="L33" s="41">
        <f>Käyttökate!L33+'5. Rahoitustuotot ja -kulut'!L33</f>
        <v>5904.6272283139533</v>
      </c>
      <c r="M33" s="41">
        <f>Käyttökate!M33+'5. Rahoitustuotot ja -kulut'!M33</f>
        <v>-554.69411324132238</v>
      </c>
      <c r="N33" s="41">
        <f>Käyttökate!N33+'5. Rahoitustuotot ja -kulut'!N33</f>
        <v>2977.5354741894498</v>
      </c>
      <c r="O33" s="41">
        <f>Käyttökate!O33+'5. Rahoitustuotot ja -kulut'!O33</f>
        <v>3211.11062939558</v>
      </c>
      <c r="P33" s="41">
        <f>Käyttökate!P33+'5. Rahoitustuotot ja -kulut'!P33</f>
        <v>5604.2591761411004</v>
      </c>
      <c r="T33" s="34">
        <v>75</v>
      </c>
      <c r="U33" s="88" t="s">
        <v>346</v>
      </c>
      <c r="V33" s="41" t="e">
        <f>C33/'1. Väestöennuste'!E33*1000</f>
        <v>#REF!</v>
      </c>
      <c r="W33" s="41">
        <f>D33/'1. Väestöennuste'!F33*1000</f>
        <v>541.57782515991471</v>
      </c>
      <c r="X33" s="41">
        <f>E33/'1. Väestöennuste'!G33*1000</f>
        <v>770.21421948958175</v>
      </c>
      <c r="Y33" s="41">
        <f>F33/'1. Väestöennuste'!H33*1000</f>
        <v>461.89490288869172</v>
      </c>
      <c r="Z33" s="41">
        <f>G33/'1. Väestöennuste'!I33*1000</f>
        <v>500.820446521804</v>
      </c>
      <c r="AA33" s="41">
        <f>H33/'1. Väestöennuste'!J33*1000</f>
        <v>1013.1338902463798</v>
      </c>
      <c r="AB33" s="41">
        <f>I33/'1. Väestöennuste'!K33*1000</f>
        <v>730.17307143186133</v>
      </c>
      <c r="AC33" s="41">
        <f>J33/'1. Väestöennuste'!L33*1000</f>
        <v>609.56679250163324</v>
      </c>
      <c r="AD33" s="41">
        <f>K33/'1. Väestöennuste'!M33*1000</f>
        <v>713.6619061754767</v>
      </c>
      <c r="AE33" s="41">
        <f>L33/'1. Väestöennuste'!N33*1000</f>
        <v>309.17516118514783</v>
      </c>
      <c r="AF33" s="41">
        <f>M33/'1. Väestöennuste'!O33*1000</f>
        <v>-29.327171050085777</v>
      </c>
      <c r="AG33" s="41">
        <f>N33/'1. Väestöennuste'!P33*1000</f>
        <v>158.9375186393429</v>
      </c>
      <c r="AH33" s="41">
        <f>O33/'1. Väestöennuste'!Q33*1000</f>
        <v>173.03107174240651</v>
      </c>
      <c r="AI33" s="41">
        <f>P33/'1. Väestöennuste'!R33*1000</f>
        <v>304.96050368074765</v>
      </c>
      <c r="AK33" s="41">
        <f>'6. Poistot'!Z33</f>
        <v>553.92571229675298</v>
      </c>
      <c r="AL33" s="41">
        <f>'6. Poistot'!AA33</f>
        <v>489.4098707048347</v>
      </c>
      <c r="AM33" s="41">
        <f>'6. Poistot'!AB33</f>
        <v>504.03718911785597</v>
      </c>
      <c r="AN33" s="41">
        <f>'6. Poistot'!AC33</f>
        <v>555.84798250549909</v>
      </c>
      <c r="AO33" s="41">
        <f>'6. Poistot'!AD33</f>
        <v>519.64563683833308</v>
      </c>
      <c r="AP33" s="41">
        <f>'6. Poistot'!AE33</f>
        <v>585.27070897476176</v>
      </c>
      <c r="AQ33" s="41">
        <f>'6. Poistot'!AF33</f>
        <v>590.56783335095702</v>
      </c>
      <c r="AR33" s="41">
        <f>'6. Poistot'!AG33</f>
        <v>599.1779651969681</v>
      </c>
      <c r="AS33" s="41">
        <f>'6. Poistot'!AH33</f>
        <v>624.37707043539024</v>
      </c>
      <c r="AT33" s="41">
        <f>'6. Poistot'!AI33</f>
        <v>650.23558503999243</v>
      </c>
      <c r="AV33" s="4">
        <f t="shared" si="19"/>
        <v>0</v>
      </c>
      <c r="AW33" s="4">
        <f t="shared" si="11"/>
        <v>0</v>
      </c>
      <c r="AX33" s="4">
        <f t="shared" si="12"/>
        <v>0</v>
      </c>
      <c r="AY33" s="4">
        <f t="shared" si="13"/>
        <v>1</v>
      </c>
      <c r="AZ33" s="4">
        <f t="shared" si="14"/>
        <v>1</v>
      </c>
      <c r="BA33" s="4">
        <f t="shared" si="15"/>
        <v>1</v>
      </c>
      <c r="BB33" s="4">
        <f t="shared" si="16"/>
        <v>1</v>
      </c>
      <c r="BC33" s="4">
        <f t="shared" si="17"/>
        <v>1</v>
      </c>
      <c r="BE33" s="405">
        <f t="shared" si="20"/>
        <v>0</v>
      </c>
      <c r="BF33" s="405">
        <f t="shared" si="21"/>
        <v>0</v>
      </c>
      <c r="BG33" s="405">
        <f t="shared" si="22"/>
        <v>0</v>
      </c>
      <c r="BH33" s="405">
        <f t="shared" si="23"/>
        <v>0</v>
      </c>
      <c r="BI33" s="405">
        <f t="shared" si="24"/>
        <v>0</v>
      </c>
      <c r="BJ33" s="405">
        <f t="shared" si="25"/>
        <v>0</v>
      </c>
      <c r="BK33" s="405">
        <f t="shared" si="26"/>
        <v>-1</v>
      </c>
      <c r="BL33" s="405">
        <f t="shared" si="27"/>
        <v>0</v>
      </c>
      <c r="BM33" s="405">
        <f t="shared" si="28"/>
        <v>0</v>
      </c>
      <c r="BN33" s="405">
        <f t="shared" si="28"/>
        <v>0</v>
      </c>
    </row>
    <row r="34" spans="1:66" x14ac:dyDescent="0.2">
      <c r="A34" s="34">
        <v>77</v>
      </c>
      <c r="B34" s="88" t="s">
        <v>347</v>
      </c>
      <c r="C34" s="41" t="e">
        <f>'2. Toimintakate'!D34+'3. Verotulot'!G34+'4. Valtionosuudet'!#REF!+'5. Rahoitustuotot ja -kulut'!C34</f>
        <v>#REF!</v>
      </c>
      <c r="D34" s="41">
        <f>'2. Toimintakate'!E34+'4. Valtionosuudet'!H34+'3. Verotulot'!L34+'5. Rahoitustuotot ja -kulut'!D34</f>
        <v>3165</v>
      </c>
      <c r="E34" s="41">
        <f>'2. Toimintakate'!F34+'4. Valtionosuudet'!N34+'3. Verotulot'!Q34+'5. Rahoitustuotot ja -kulut'!E34</f>
        <v>2288</v>
      </c>
      <c r="F34" s="41">
        <f>'2. Toimintakate'!G34+'4. Valtionosuudet'!T34+'3. Verotulot'!V34+'5. Rahoitustuotot ja -kulut'!F34</f>
        <v>1153</v>
      </c>
      <c r="G34" s="41">
        <f>'2. Toimintakate'!H34+'3. Verotulot'!AA34+'4. Valtionosuudet'!Z34+'5. Rahoitustuotot ja -kulut'!G34</f>
        <v>154</v>
      </c>
      <c r="H34" s="41">
        <f>Käyttökate!H34+'5. Rahoitustuotot ja -kulut'!H34</f>
        <v>4427.526464676328</v>
      </c>
      <c r="I34" s="41">
        <f>Käyttökate!I34+'5. Rahoitustuotot ja -kulut'!I34</f>
        <v>2971.5778781706999</v>
      </c>
      <c r="J34" s="41">
        <f>Käyttökate!J34+'5. Rahoitustuotot ja -kulut'!J34</f>
        <v>1771.4304769212199</v>
      </c>
      <c r="K34" s="41">
        <f>Käyttökate!K34+'5. Rahoitustuotot ja -kulut'!K34</f>
        <v>3129.556709531566</v>
      </c>
      <c r="L34" s="41">
        <f>Käyttökate!L34+'5. Rahoitustuotot ja -kulut'!L34</f>
        <v>1455.2261192992842</v>
      </c>
      <c r="M34" s="41">
        <f>Käyttökate!M34+'5. Rahoitustuotot ja -kulut'!M34</f>
        <v>562.38086774977091</v>
      </c>
      <c r="N34" s="41">
        <f>Käyttökate!N34+'5. Rahoitustuotot ja -kulut'!N34</f>
        <v>342.38964207753179</v>
      </c>
      <c r="O34" s="41">
        <f>Käyttökate!O34+'5. Rahoitustuotot ja -kulut'!O34</f>
        <v>174.53143857242179</v>
      </c>
      <c r="P34" s="41">
        <f>Käyttökate!P34+'5. Rahoitustuotot ja -kulut'!P34</f>
        <v>603.1829682862267</v>
      </c>
      <c r="T34" s="34">
        <v>77</v>
      </c>
      <c r="U34" s="88" t="s">
        <v>347</v>
      </c>
      <c r="V34" s="41" t="e">
        <f>C34/'1. Väestöennuste'!E34*1000</f>
        <v>#REF!</v>
      </c>
      <c r="W34" s="41">
        <f>D34/'1. Väestöennuste'!F34*1000</f>
        <v>613.49098662531503</v>
      </c>
      <c r="X34" s="41">
        <f>E34/'1. Väestöennuste'!G34*1000</f>
        <v>455.86770272962741</v>
      </c>
      <c r="Y34" s="41">
        <f>F34/'1. Väestöennuste'!H34*1000</f>
        <v>233.44806641020449</v>
      </c>
      <c r="Z34" s="41">
        <f>G34/'1. Väestöennuste'!I34*1000</f>
        <v>31.589743589743591</v>
      </c>
      <c r="AA34" s="41">
        <f>H34/'1. Väestöennuste'!J34*1000</f>
        <v>925.87337195238979</v>
      </c>
      <c r="AB34" s="41">
        <f>I34/'1. Väestöennuste'!K34*1000</f>
        <v>634.54577795658759</v>
      </c>
      <c r="AC34" s="41">
        <f>J34/'1. Väestöennuste'!L34*1000</f>
        <v>385.00988413849598</v>
      </c>
      <c r="AD34" s="41">
        <f>K34/'1. Väestöennuste'!M34*1000</f>
        <v>687.96586272401987</v>
      </c>
      <c r="AE34" s="41">
        <f>L34/'1. Väestöennuste'!N34*1000</f>
        <v>325.48112710786944</v>
      </c>
      <c r="AF34" s="41">
        <f>M34/'1. Väestöennuste'!O34*1000</f>
        <v>127.69774472065643</v>
      </c>
      <c r="AG34" s="41">
        <f>N34/'1. Väestöennuste'!P34*1000</f>
        <v>78.891622598509628</v>
      </c>
      <c r="AH34" s="41">
        <f>O34/'1. Väestöennuste'!Q34*1000</f>
        <v>40.787903382197193</v>
      </c>
      <c r="AI34" s="41">
        <f>P34/'1. Väestöennuste'!R34*1000</f>
        <v>143.03603706099756</v>
      </c>
      <c r="AK34" s="41">
        <f>'6. Poistot'!Z34</f>
        <v>339.28205128205133</v>
      </c>
      <c r="AL34" s="41">
        <f>'6. Poistot'!AA34</f>
        <v>557.71643663739019</v>
      </c>
      <c r="AM34" s="41">
        <f>'6. Poistot'!AB34</f>
        <v>366.11936579115951</v>
      </c>
      <c r="AN34" s="41">
        <f>'6. Poistot'!AC34</f>
        <v>368.33706585524885</v>
      </c>
      <c r="AO34" s="41">
        <f>'6. Poistot'!AD34</f>
        <v>368.06585843042427</v>
      </c>
      <c r="AP34" s="41">
        <f>'6. Poistot'!AE34</f>
        <v>377.99150078282264</v>
      </c>
      <c r="AQ34" s="41">
        <f>'6. Poistot'!AF34</f>
        <v>397.36603088101725</v>
      </c>
      <c r="AR34" s="41">
        <f>'6. Poistot'!AG34</f>
        <v>394.00921658986175</v>
      </c>
      <c r="AS34" s="41">
        <f>'6. Poistot'!AH34</f>
        <v>412.5205520943033</v>
      </c>
      <c r="AT34" s="41">
        <f>'6. Poistot'!AI34</f>
        <v>431.66964306925468</v>
      </c>
      <c r="AV34" s="4">
        <f t="shared" si="19"/>
        <v>0</v>
      </c>
      <c r="AW34" s="4">
        <f t="shared" si="11"/>
        <v>0</v>
      </c>
      <c r="AX34" s="4">
        <f t="shared" si="12"/>
        <v>0</v>
      </c>
      <c r="AY34" s="4">
        <f t="shared" si="13"/>
        <v>1</v>
      </c>
      <c r="AZ34" s="4">
        <f t="shared" si="14"/>
        <v>1</v>
      </c>
      <c r="BA34" s="4">
        <f t="shared" si="15"/>
        <v>1</v>
      </c>
      <c r="BB34" s="4">
        <f t="shared" si="16"/>
        <v>1</v>
      </c>
      <c r="BC34" s="4">
        <f t="shared" si="17"/>
        <v>1</v>
      </c>
      <c r="BE34" s="405">
        <f t="shared" si="20"/>
        <v>0</v>
      </c>
      <c r="BF34" s="405">
        <f t="shared" si="21"/>
        <v>0</v>
      </c>
      <c r="BG34" s="405">
        <f t="shared" si="22"/>
        <v>0</v>
      </c>
      <c r="BH34" s="405">
        <f t="shared" si="23"/>
        <v>0</v>
      </c>
      <c r="BI34" s="405">
        <f t="shared" si="24"/>
        <v>0</v>
      </c>
      <c r="BJ34" s="405">
        <f t="shared" si="25"/>
        <v>0</v>
      </c>
      <c r="BK34" s="405">
        <f t="shared" si="26"/>
        <v>0</v>
      </c>
      <c r="BL34" s="405">
        <f t="shared" si="27"/>
        <v>0</v>
      </c>
      <c r="BM34" s="405">
        <f t="shared" si="28"/>
        <v>0</v>
      </c>
      <c r="BN34" s="405">
        <f t="shared" si="28"/>
        <v>0</v>
      </c>
    </row>
    <row r="35" spans="1:66" x14ac:dyDescent="0.2">
      <c r="A35" s="34">
        <v>78</v>
      </c>
      <c r="B35" s="88" t="s">
        <v>348</v>
      </c>
      <c r="C35" s="41" t="e">
        <f>'2. Toimintakate'!D35+'3. Verotulot'!G35+'4. Valtionosuudet'!#REF!+'5. Rahoitustuotot ja -kulut'!C35</f>
        <v>#REF!</v>
      </c>
      <c r="D35" s="41">
        <f>'2. Toimintakate'!E35+'4. Valtionosuudet'!H35+'3. Verotulot'!L35+'5. Rahoitustuotot ja -kulut'!D35</f>
        <v>4113</v>
      </c>
      <c r="E35" s="41">
        <f>'2. Toimintakate'!F35+'4. Valtionosuudet'!N35+'3. Verotulot'!Q35+'5. Rahoitustuotot ja -kulut'!E35</f>
        <v>6964</v>
      </c>
      <c r="F35" s="41">
        <f>'2. Toimintakate'!G35+'4. Valtionosuudet'!T35+'3. Verotulot'!V35+'5. Rahoitustuotot ja -kulut'!F35</f>
        <v>3747</v>
      </c>
      <c r="G35" s="41">
        <f>'2. Toimintakate'!H35+'3. Verotulot'!AA35+'4. Valtionosuudet'!Z35+'5. Rahoitustuotot ja -kulut'!G35</f>
        <v>3255</v>
      </c>
      <c r="H35" s="41">
        <f>Käyttökate!H35+'5. Rahoitustuotot ja -kulut'!H35</f>
        <v>8069.6448742478751</v>
      </c>
      <c r="I35" s="41">
        <f>Käyttökate!I35+'5. Rahoitustuotot ja -kulut'!I35</f>
        <v>7078.9740702765257</v>
      </c>
      <c r="J35" s="41">
        <f>Käyttökate!J35+'5. Rahoitustuotot ja -kulut'!J35</f>
        <v>5586.0208873556539</v>
      </c>
      <c r="K35" s="41">
        <f>Käyttökate!K35+'5. Rahoitustuotot ja -kulut'!K35</f>
        <v>8097.9625013667064</v>
      </c>
      <c r="L35" s="41">
        <f>Käyttökate!L35+'5. Rahoitustuotot ja -kulut'!L35</f>
        <v>3362.528161859293</v>
      </c>
      <c r="M35" s="41">
        <f>Käyttökate!M35+'5. Rahoitustuotot ja -kulut'!M35</f>
        <v>2910.9988314144057</v>
      </c>
      <c r="N35" s="41">
        <f>Käyttökate!N35+'5. Rahoitustuotot ja -kulut'!N35</f>
        <v>3720.8252023727873</v>
      </c>
      <c r="O35" s="41">
        <f>Käyttökate!O35+'5. Rahoitustuotot ja -kulut'!O35</f>
        <v>3974.4706388086361</v>
      </c>
      <c r="P35" s="41">
        <f>Käyttökate!P35+'5. Rahoitustuotot ja -kulut'!P35</f>
        <v>4837.0450884524626</v>
      </c>
      <c r="T35" s="34">
        <v>78</v>
      </c>
      <c r="U35" s="88" t="s">
        <v>348</v>
      </c>
      <c r="V35" s="41" t="e">
        <f>C35/'1. Väestöennuste'!E35*1000</f>
        <v>#REF!</v>
      </c>
      <c r="W35" s="41">
        <f>D35/'1. Väestöennuste'!F35*1000</f>
        <v>474.77779060371694</v>
      </c>
      <c r="X35" s="41">
        <f>E35/'1. Väestöennuste'!G35*1000</f>
        <v>817.65880004696487</v>
      </c>
      <c r="Y35" s="41">
        <f>F35/'1. Väestöennuste'!H35*1000</f>
        <v>447.18940207662013</v>
      </c>
      <c r="Z35" s="41">
        <f>G35/'1. Väestöennuste'!I35*1000</f>
        <v>396.99963410171972</v>
      </c>
      <c r="AA35" s="41">
        <f>H35/'1. Väestöennuste'!J35*1000</f>
        <v>1003.4375620800639</v>
      </c>
      <c r="AB35" s="41">
        <f>I35/'1. Väestöennuste'!K35*1000</f>
        <v>887.20066051842662</v>
      </c>
      <c r="AC35" s="41">
        <f>J35/'1. Väestöennuste'!L35*1000</f>
        <v>713.23045037738177</v>
      </c>
      <c r="AD35" s="41">
        <f>K35/'1. Väestöennuste'!M35*1000</f>
        <v>1048.8230153304892</v>
      </c>
      <c r="AE35" s="41">
        <f>L35/'1. Väestöennuste'!N35*1000</f>
        <v>450.31848960215518</v>
      </c>
      <c r="AF35" s="41">
        <f>M35/'1. Väestöennuste'!O35*1000</f>
        <v>396.16206197800841</v>
      </c>
      <c r="AG35" s="41">
        <f>N35/'1. Väestöennuste'!P35*1000</f>
        <v>514.21022697246917</v>
      </c>
      <c r="AH35" s="41">
        <f>O35/'1. Väestöennuste'!Q35*1000</f>
        <v>557.74216093301095</v>
      </c>
      <c r="AI35" s="41">
        <f>P35/'1. Väestöennuste'!R35*1000</f>
        <v>688.64537136282206</v>
      </c>
      <c r="AK35" s="41">
        <f>'6. Poistot'!Z35</f>
        <v>431.15014026100744</v>
      </c>
      <c r="AL35" s="41">
        <f>'6. Poistot'!AA35</f>
        <v>442.30290972394926</v>
      </c>
      <c r="AM35" s="41">
        <f>'6. Poistot'!AB35</f>
        <v>444.53218072440154</v>
      </c>
      <c r="AN35" s="41">
        <f>'6. Poistot'!AC35</f>
        <v>429.85542773237995</v>
      </c>
      <c r="AO35" s="41">
        <f>'6. Poistot'!AD35</f>
        <v>405.39669731900011</v>
      </c>
      <c r="AP35" s="41">
        <f>'6. Poistot'!AE35</f>
        <v>458.01526717557249</v>
      </c>
      <c r="AQ35" s="41">
        <f>'6. Poistot'!AF35</f>
        <v>462.71094175285793</v>
      </c>
      <c r="AR35" s="41">
        <f>'6. Poistot'!AG35</f>
        <v>469.87285793255944</v>
      </c>
      <c r="AS35" s="41">
        <f>'6. Poistot'!AH35</f>
        <v>492.52112798361162</v>
      </c>
      <c r="AT35" s="41">
        <f>'6. Poistot'!AI35</f>
        <v>515.29201537904794</v>
      </c>
      <c r="AV35" s="4">
        <f t="shared" si="19"/>
        <v>0</v>
      </c>
      <c r="AW35" s="4">
        <f t="shared" si="11"/>
        <v>0</v>
      </c>
      <c r="AX35" s="4">
        <f t="shared" si="12"/>
        <v>0</v>
      </c>
      <c r="AY35" s="4">
        <f t="shared" si="13"/>
        <v>1</v>
      </c>
      <c r="AZ35" s="4">
        <f t="shared" si="14"/>
        <v>1</v>
      </c>
      <c r="BA35" s="4">
        <f t="shared" si="15"/>
        <v>0</v>
      </c>
      <c r="BB35" s="4">
        <f t="shared" si="16"/>
        <v>0</v>
      </c>
      <c r="BC35" s="4">
        <f t="shared" si="17"/>
        <v>0</v>
      </c>
      <c r="BE35" s="405">
        <f t="shared" si="20"/>
        <v>0</v>
      </c>
      <c r="BF35" s="405">
        <f t="shared" si="21"/>
        <v>0</v>
      </c>
      <c r="BG35" s="405">
        <f t="shared" si="22"/>
        <v>0</v>
      </c>
      <c r="BH35" s="405">
        <f t="shared" si="23"/>
        <v>0</v>
      </c>
      <c r="BI35" s="405">
        <f t="shared" si="24"/>
        <v>0</v>
      </c>
      <c r="BJ35" s="405">
        <f t="shared" si="25"/>
        <v>0</v>
      </c>
      <c r="BK35" s="405">
        <f t="shared" si="26"/>
        <v>0</v>
      </c>
      <c r="BL35" s="405">
        <f t="shared" si="27"/>
        <v>0</v>
      </c>
      <c r="BM35" s="405">
        <f t="shared" si="28"/>
        <v>0</v>
      </c>
      <c r="BN35" s="405">
        <f t="shared" si="28"/>
        <v>0</v>
      </c>
    </row>
    <row r="36" spans="1:66" x14ac:dyDescent="0.2">
      <c r="A36" s="34">
        <v>79</v>
      </c>
      <c r="B36" s="88" t="s">
        <v>349</v>
      </c>
      <c r="C36" s="41" t="e">
        <f>'2. Toimintakate'!D36+'3. Verotulot'!G36+'4. Valtionosuudet'!#REF!+'5. Rahoitustuotot ja -kulut'!C36</f>
        <v>#REF!</v>
      </c>
      <c r="D36" s="41">
        <f>'2. Toimintakate'!E36+'4. Valtionosuudet'!H36+'3. Verotulot'!L36+'5. Rahoitustuotot ja -kulut'!D36</f>
        <v>-781</v>
      </c>
      <c r="E36" s="41">
        <f>'2. Toimintakate'!F36+'4. Valtionosuudet'!N36+'3. Verotulot'!Q36+'5. Rahoitustuotot ja -kulut'!E36</f>
        <v>2602</v>
      </c>
      <c r="F36" s="41">
        <f>'2. Toimintakate'!G36+'4. Valtionosuudet'!T36+'3. Verotulot'!V36+'5. Rahoitustuotot ja -kulut'!F36</f>
        <v>-191</v>
      </c>
      <c r="G36" s="41">
        <f>'2. Toimintakate'!H36+'3. Verotulot'!AA36+'4. Valtionosuudet'!Z36+'5. Rahoitustuotot ja -kulut'!G36</f>
        <v>-1264</v>
      </c>
      <c r="H36" s="41">
        <f>Käyttökate!H36+'5. Rahoitustuotot ja -kulut'!H36</f>
        <v>3762.2768598229995</v>
      </c>
      <c r="I36" s="41">
        <f>Käyttökate!I36+'5. Rahoitustuotot ja -kulut'!I36</f>
        <v>6877.6876410542172</v>
      </c>
      <c r="J36" s="41">
        <f>Käyttökate!J36+'5. Rahoitustuotot ja -kulut'!J36</f>
        <v>5796.7932866696729</v>
      </c>
      <c r="K36" s="41">
        <f>Käyttökate!K36+'5. Rahoitustuotot ja -kulut'!K36</f>
        <v>3526.9741949690401</v>
      </c>
      <c r="L36" s="41">
        <f>Käyttökate!L36+'5. Rahoitustuotot ja -kulut'!L36</f>
        <v>1912.8136682773895</v>
      </c>
      <c r="M36" s="41">
        <f>Käyttökate!M36+'5. Rahoitustuotot ja -kulut'!M36</f>
        <v>376.60126015342053</v>
      </c>
      <c r="N36" s="41">
        <f>Käyttökate!N36+'5. Rahoitustuotot ja -kulut'!N36</f>
        <v>518.91024012562548</v>
      </c>
      <c r="O36" s="41">
        <f>Käyttökate!O36+'5. Rahoitustuotot ja -kulut'!O36</f>
        <v>974.66323729331134</v>
      </c>
      <c r="P36" s="41">
        <f>Käyttökate!P36+'5. Rahoitustuotot ja -kulut'!P36</f>
        <v>1859.4605227913926</v>
      </c>
      <c r="T36" s="34">
        <v>79</v>
      </c>
      <c r="U36" s="88" t="s">
        <v>349</v>
      </c>
      <c r="V36" s="41" t="e">
        <f>C36/'1. Väestöennuste'!E36*1000</f>
        <v>#REF!</v>
      </c>
      <c r="W36" s="41">
        <f>D36/'1. Väestöennuste'!F36*1000</f>
        <v>-107.87292817679558</v>
      </c>
      <c r="X36" s="41">
        <f>E36/'1. Väestöennuste'!G36*1000</f>
        <v>363.86519367920573</v>
      </c>
      <c r="Y36" s="41">
        <f>F36/'1. Väestöennuste'!H36*1000</f>
        <v>-27.215730977486462</v>
      </c>
      <c r="Z36" s="41">
        <f>G36/'1. Väestöennuste'!I36*1000</f>
        <v>-182.36906651276871</v>
      </c>
      <c r="AA36" s="41">
        <f>H36/'1. Väestöennuste'!J36*1000</f>
        <v>547.71827919973794</v>
      </c>
      <c r="AB36" s="41">
        <f>I36/'1. Väestöennuste'!K36*1000</f>
        <v>1013.6606692784402</v>
      </c>
      <c r="AC36" s="41">
        <f>J36/'1. Väestöennuste'!L36*1000</f>
        <v>858.40267831625533</v>
      </c>
      <c r="AD36" s="41">
        <f>K36/'1. Väestöennuste'!M36*1000</f>
        <v>526.17845665657774</v>
      </c>
      <c r="AE36" s="41">
        <f>L36/'1. Väestöennuste'!N36*1000</f>
        <v>291.7653551368806</v>
      </c>
      <c r="AF36" s="41">
        <f>M36/'1. Väestöennuste'!O36*1000</f>
        <v>58.054764938094728</v>
      </c>
      <c r="AG36" s="41">
        <f>N36/'1. Väestöennuste'!P36*1000</f>
        <v>80.801968253756698</v>
      </c>
      <c r="AH36" s="41">
        <f>O36/'1. Väestöennuste'!Q36*1000</f>
        <v>153.2730362153344</v>
      </c>
      <c r="AI36" s="41">
        <f>P36/'1. Väestöennuste'!R36*1000</f>
        <v>295.15246393514167</v>
      </c>
      <c r="AK36" s="41">
        <f>'6. Poistot'!Z36</f>
        <v>344.68330688212376</v>
      </c>
      <c r="AL36" s="41">
        <f>'6. Poistot'!AA36</f>
        <v>364.68190420730815</v>
      </c>
      <c r="AM36" s="41">
        <f>'6. Poistot'!AB36</f>
        <v>410.54988356669122</v>
      </c>
      <c r="AN36" s="41">
        <f>'6. Poistot'!AC36</f>
        <v>392.10214571301645</v>
      </c>
      <c r="AO36" s="41">
        <f>'6. Poistot'!AD36</f>
        <v>434.87624944054903</v>
      </c>
      <c r="AP36" s="41">
        <f>'6. Poistot'!AE36</f>
        <v>464.6156192800488</v>
      </c>
      <c r="AQ36" s="41">
        <f>'6. Poistot'!AF36</f>
        <v>469.55757669184521</v>
      </c>
      <c r="AR36" s="41">
        <f>'6. Poistot'!AG36</f>
        <v>474.31018374338214</v>
      </c>
      <c r="AS36" s="41">
        <f>'6. Poistot'!AH36</f>
        <v>494.46515470492608</v>
      </c>
      <c r="AT36" s="41">
        <f>'6. Poistot'!AI36</f>
        <v>514.69648214876986</v>
      </c>
      <c r="AV36" s="4">
        <f t="shared" si="19"/>
        <v>0</v>
      </c>
      <c r="AW36" s="4">
        <f t="shared" si="11"/>
        <v>0</v>
      </c>
      <c r="AX36" s="4">
        <f t="shared" si="12"/>
        <v>0</v>
      </c>
      <c r="AY36" s="4">
        <f t="shared" si="13"/>
        <v>1</v>
      </c>
      <c r="AZ36" s="4">
        <f t="shared" si="14"/>
        <v>1</v>
      </c>
      <c r="BA36" s="4">
        <f t="shared" si="15"/>
        <v>1</v>
      </c>
      <c r="BB36" s="4">
        <f t="shared" si="16"/>
        <v>1</v>
      </c>
      <c r="BC36" s="4">
        <f t="shared" si="17"/>
        <v>1</v>
      </c>
      <c r="BE36" s="405">
        <f t="shared" si="20"/>
        <v>-1</v>
      </c>
      <c r="BF36" s="405">
        <f t="shared" si="21"/>
        <v>0</v>
      </c>
      <c r="BG36" s="405">
        <f t="shared" si="22"/>
        <v>0</v>
      </c>
      <c r="BH36" s="405">
        <f t="shared" si="23"/>
        <v>0</v>
      </c>
      <c r="BI36" s="405">
        <f t="shared" si="24"/>
        <v>0</v>
      </c>
      <c r="BJ36" s="405">
        <f t="shared" si="25"/>
        <v>0</v>
      </c>
      <c r="BK36" s="405">
        <f t="shared" si="26"/>
        <v>0</v>
      </c>
      <c r="BL36" s="405">
        <f t="shared" si="27"/>
        <v>0</v>
      </c>
      <c r="BM36" s="405">
        <f t="shared" si="28"/>
        <v>0</v>
      </c>
      <c r="BN36" s="405">
        <f t="shared" si="28"/>
        <v>0</v>
      </c>
    </row>
    <row r="37" spans="1:66" x14ac:dyDescent="0.2">
      <c r="A37" s="34">
        <v>81</v>
      </c>
      <c r="B37" s="88" t="s">
        <v>350</v>
      </c>
      <c r="C37" s="41" t="e">
        <f>'2. Toimintakate'!D37+'3. Verotulot'!G37+'4. Valtionosuudet'!#REF!+'5. Rahoitustuotot ja -kulut'!C37</f>
        <v>#REF!</v>
      </c>
      <c r="D37" s="41">
        <f>'2. Toimintakate'!E37+'4. Valtionosuudet'!H37+'3. Verotulot'!L37+'5. Rahoitustuotot ja -kulut'!D37</f>
        <v>1637</v>
      </c>
      <c r="E37" s="41">
        <f>'2. Toimintakate'!F37+'4. Valtionosuudet'!N37+'3. Verotulot'!Q37+'5. Rahoitustuotot ja -kulut'!E37</f>
        <v>1353</v>
      </c>
      <c r="F37" s="41">
        <f>'2. Toimintakate'!G37+'4. Valtionosuudet'!T37+'3. Verotulot'!V37+'5. Rahoitustuotot ja -kulut'!F37</f>
        <v>115</v>
      </c>
      <c r="G37" s="41">
        <f>'2. Toimintakate'!H37+'3. Verotulot'!AA37+'4. Valtionosuudet'!Z37+'5. Rahoitustuotot ja -kulut'!G37</f>
        <v>-322</v>
      </c>
      <c r="H37" s="41">
        <f>Käyttökate!H37+'5. Rahoitustuotot ja -kulut'!H37</f>
        <v>3324.2048168497131</v>
      </c>
      <c r="I37" s="41">
        <f>Käyttökate!I37+'5. Rahoitustuotot ja -kulut'!I37</f>
        <v>1550.6822300359595</v>
      </c>
      <c r="J37" s="41">
        <f>Käyttökate!J37+'5. Rahoitustuotot ja -kulut'!J37</f>
        <v>1036.7665776437366</v>
      </c>
      <c r="K37" s="41">
        <f>Käyttökate!K37+'5. Rahoitustuotot ja -kulut'!K37</f>
        <v>790.12083521348347</v>
      </c>
      <c r="L37" s="41">
        <f>Käyttökate!L37+'5. Rahoitustuotot ja -kulut'!L37</f>
        <v>578.37570079948182</v>
      </c>
      <c r="M37" s="41">
        <f>Käyttökate!M37+'5. Rahoitustuotot ja -kulut'!M37</f>
        <v>-361.74005758994343</v>
      </c>
      <c r="N37" s="41">
        <f>Käyttökate!N37+'5. Rahoitustuotot ja -kulut'!N37</f>
        <v>-834.21510034209757</v>
      </c>
      <c r="O37" s="41">
        <f>Käyttökate!O37+'5. Rahoitustuotot ja -kulut'!O37</f>
        <v>-875.09893386608383</v>
      </c>
      <c r="P37" s="41">
        <f>Käyttökate!P37+'5. Rahoitustuotot ja -kulut'!P37</f>
        <v>-572.80301754886</v>
      </c>
      <c r="T37" s="34">
        <v>81</v>
      </c>
      <c r="U37" s="88" t="s">
        <v>350</v>
      </c>
      <c r="V37" s="41" t="e">
        <f>C37/'1. Väestöennuste'!E37*1000</f>
        <v>#REF!</v>
      </c>
      <c r="W37" s="41">
        <f>D37/'1. Väestöennuste'!F37*1000</f>
        <v>559.84952120383036</v>
      </c>
      <c r="X37" s="41">
        <f>E37/'1. Väestöennuste'!G37*1000</f>
        <v>469.46564885496184</v>
      </c>
      <c r="Y37" s="41">
        <f>F37/'1. Väestöennuste'!H37*1000</f>
        <v>41.366906474820141</v>
      </c>
      <c r="Z37" s="41">
        <f>G37/'1. Väestöennuste'!I37*1000</f>
        <v>-119.39191694475343</v>
      </c>
      <c r="AA37" s="41">
        <f>H37/'1. Väestöennuste'!J37*1000</f>
        <v>1252.0545449528108</v>
      </c>
      <c r="AB37" s="41">
        <f>I37/'1. Väestöennuste'!K37*1000</f>
        <v>591.63763068903449</v>
      </c>
      <c r="AC37" s="41">
        <f>J37/'1. Väestöennuste'!L37*1000</f>
        <v>402.78421819880987</v>
      </c>
      <c r="AD37" s="41">
        <f>K37/'1. Väestöennuste'!M37*1000</f>
        <v>312.17733512978407</v>
      </c>
      <c r="AE37" s="41">
        <f>L37/'1. Väestöennuste'!N37*1000</f>
        <v>238.60383696348259</v>
      </c>
      <c r="AF37" s="41">
        <f>M37/'1. Väestöennuste'!O37*1000</f>
        <v>-152.11945230863896</v>
      </c>
      <c r="AG37" s="41">
        <f>N37/'1. Väestöennuste'!P37*1000</f>
        <v>-356.95982042879655</v>
      </c>
      <c r="AH37" s="41">
        <f>O37/'1. Väestöennuste'!Q37*1000</f>
        <v>-380.6432944176093</v>
      </c>
      <c r="AI37" s="41">
        <f>P37/'1. Väestöennuste'!R37*1000</f>
        <v>-252.89316448073291</v>
      </c>
      <c r="AK37" s="41">
        <f>'6. Poistot'!Z37</f>
        <v>278.08676307007784</v>
      </c>
      <c r="AL37" s="41">
        <f>'6. Poistot'!AA37</f>
        <v>226.74199623352166</v>
      </c>
      <c r="AM37" s="41">
        <f>'6. Poistot'!AB37</f>
        <v>379.24212514307516</v>
      </c>
      <c r="AN37" s="41">
        <f>'6. Poistot'!AC37</f>
        <v>489.05694250194256</v>
      </c>
      <c r="AO37" s="41">
        <f>'6. Poistot'!AD37</f>
        <v>287.96079020150137</v>
      </c>
      <c r="AP37" s="41">
        <f>'6. Poistot'!AE37</f>
        <v>324.13366336633663</v>
      </c>
      <c r="AQ37" s="41">
        <f>'6. Poistot'!AF37</f>
        <v>330.40370058873003</v>
      </c>
      <c r="AR37" s="41">
        <f>'6. Poistot'!AG37</f>
        <v>336.2002567394095</v>
      </c>
      <c r="AS37" s="41">
        <f>'6. Poistot'!AH37</f>
        <v>352.78454275892494</v>
      </c>
      <c r="AT37" s="41">
        <f>'6. Poistot'!AI37</f>
        <v>369.27299232032533</v>
      </c>
      <c r="AV37" s="4">
        <f t="shared" si="19"/>
        <v>0</v>
      </c>
      <c r="AW37" s="4">
        <f t="shared" si="11"/>
        <v>1</v>
      </c>
      <c r="AX37" s="4">
        <f t="shared" si="12"/>
        <v>0</v>
      </c>
      <c r="AY37" s="4">
        <f t="shared" si="13"/>
        <v>1</v>
      </c>
      <c r="AZ37" s="4">
        <f t="shared" si="14"/>
        <v>1</v>
      </c>
      <c r="BA37" s="4">
        <f t="shared" si="15"/>
        <v>1</v>
      </c>
      <c r="BB37" s="4">
        <f t="shared" si="16"/>
        <v>1</v>
      </c>
      <c r="BC37" s="4">
        <f t="shared" si="17"/>
        <v>1</v>
      </c>
      <c r="BE37" s="405">
        <f t="shared" si="20"/>
        <v>-1</v>
      </c>
      <c r="BF37" s="405">
        <f t="shared" si="21"/>
        <v>0</v>
      </c>
      <c r="BG37" s="405">
        <f t="shared" si="22"/>
        <v>0</v>
      </c>
      <c r="BH37" s="405">
        <f t="shared" si="23"/>
        <v>0</v>
      </c>
      <c r="BI37" s="405">
        <f t="shared" si="24"/>
        <v>0</v>
      </c>
      <c r="BJ37" s="405">
        <f t="shared" si="25"/>
        <v>0</v>
      </c>
      <c r="BK37" s="405">
        <f t="shared" si="26"/>
        <v>-1</v>
      </c>
      <c r="BL37" s="405">
        <f t="shared" si="27"/>
        <v>-1</v>
      </c>
      <c r="BM37" s="405">
        <f t="shared" si="28"/>
        <v>-1</v>
      </c>
      <c r="BN37" s="405">
        <f t="shared" si="28"/>
        <v>-1</v>
      </c>
    </row>
    <row r="38" spans="1:66" x14ac:dyDescent="0.2">
      <c r="A38" s="34">
        <v>82</v>
      </c>
      <c r="B38" s="88" t="s">
        <v>351</v>
      </c>
      <c r="C38" s="41" t="e">
        <f>'2. Toimintakate'!D38+'3. Verotulot'!G38+'4. Valtionosuudet'!#REF!+'5. Rahoitustuotot ja -kulut'!C38</f>
        <v>#REF!</v>
      </c>
      <c r="D38" s="41">
        <f>'2. Toimintakate'!E38+'4. Valtionosuudet'!H38+'3. Verotulot'!L38+'5. Rahoitustuotot ja -kulut'!D38</f>
        <v>1620</v>
      </c>
      <c r="E38" s="41">
        <f>'2. Toimintakate'!F38+'4. Valtionosuudet'!N38+'3. Verotulot'!Q38+'5. Rahoitustuotot ja -kulut'!E38</f>
        <v>2753</v>
      </c>
      <c r="F38" s="41">
        <f>'2. Toimintakate'!G38+'4. Valtionosuudet'!T38+'3. Verotulot'!V38+'5. Rahoitustuotot ja -kulut'!F38</f>
        <v>1328</v>
      </c>
      <c r="G38" s="41">
        <f>'2. Toimintakate'!H38+'3. Verotulot'!AA38+'4. Valtionosuudet'!Z38+'5. Rahoitustuotot ja -kulut'!G38</f>
        <v>415</v>
      </c>
      <c r="H38" s="41">
        <f>Käyttökate!H38+'5. Rahoitustuotot ja -kulut'!H38</f>
        <v>5131.4443970609937</v>
      </c>
      <c r="I38" s="41">
        <f>Käyttökate!I38+'5. Rahoitustuotot ja -kulut'!I38</f>
        <v>1880.9193235848268</v>
      </c>
      <c r="J38" s="41">
        <f>Käyttökate!J38+'5. Rahoitustuotot ja -kulut'!J38</f>
        <v>2818.1053369827241</v>
      </c>
      <c r="K38" s="41">
        <f>Käyttökate!K38+'5. Rahoitustuotot ja -kulut'!K38</f>
        <v>5286.9433770954092</v>
      </c>
      <c r="L38" s="41">
        <f>Käyttökate!L38+'5. Rahoitustuotot ja -kulut'!L38</f>
        <v>2800.7508661501297</v>
      </c>
      <c r="M38" s="41">
        <f>Käyttökate!M38+'5. Rahoitustuotot ja -kulut'!M38</f>
        <v>175.80316875408062</v>
      </c>
      <c r="N38" s="41">
        <f>Käyttökate!N38+'5. Rahoitustuotot ja -kulut'!N38</f>
        <v>907.58922965954207</v>
      </c>
      <c r="O38" s="41">
        <f>Käyttökate!O38+'5. Rahoitustuotot ja -kulut'!O38</f>
        <v>1068.7536620392739</v>
      </c>
      <c r="P38" s="41">
        <f>Käyttökate!P38+'5. Rahoitustuotot ja -kulut'!P38</f>
        <v>2030.2729549346477</v>
      </c>
      <c r="T38" s="34">
        <v>82</v>
      </c>
      <c r="U38" s="88" t="s">
        <v>351</v>
      </c>
      <c r="V38" s="41" t="e">
        <f>C38/'1. Väestöennuste'!E38*1000</f>
        <v>#REF!</v>
      </c>
      <c r="W38" s="41">
        <f>D38/'1. Väestöennuste'!F38*1000</f>
        <v>167.320801487296</v>
      </c>
      <c r="X38" s="41">
        <f>E38/'1. Väestöennuste'!G38*1000</f>
        <v>286.47242455775233</v>
      </c>
      <c r="Y38" s="41">
        <f>F38/'1. Väestöennuste'!H38*1000</f>
        <v>140.15831134564644</v>
      </c>
      <c r="Z38" s="41">
        <f>G38/'1. Väestöennuste'!I38*1000</f>
        <v>44.045850137974952</v>
      </c>
      <c r="AA38" s="41">
        <f>H38/'1. Väestöennuste'!J38*1000</f>
        <v>546.53790574725679</v>
      </c>
      <c r="AB38" s="41">
        <f>I38/'1. Väestöennuste'!K38*1000</f>
        <v>199.9914219654255</v>
      </c>
      <c r="AC38" s="41">
        <f>J38/'1. Väestöennuste'!L38*1000</f>
        <v>301.11180008363328</v>
      </c>
      <c r="AD38" s="41">
        <f>K38/'1. Väestöennuste'!M38*1000</f>
        <v>564.18134426372944</v>
      </c>
      <c r="AE38" s="41">
        <f>L38/'1. Väestöennuste'!N38*1000</f>
        <v>305.19242303041619</v>
      </c>
      <c r="AF38" s="41">
        <f>M38/'1. Väestöennuste'!O38*1000</f>
        <v>19.272436828993712</v>
      </c>
      <c r="AG38" s="41">
        <f>N38/'1. Väestöennuste'!P38*1000</f>
        <v>100.10911423555504</v>
      </c>
      <c r="AH38" s="41">
        <f>O38/'1. Väestöennuste'!Q38*1000</f>
        <v>118.63177511813453</v>
      </c>
      <c r="AI38" s="41">
        <f>P38/'1. Väestöennuste'!R38*1000</f>
        <v>226.7954596665156</v>
      </c>
      <c r="AK38" s="41">
        <f>'6. Poistot'!Z38</f>
        <v>222.13967310549776</v>
      </c>
      <c r="AL38" s="41">
        <f>'6. Poistot'!AA38</f>
        <v>223.66599211843646</v>
      </c>
      <c r="AM38" s="41">
        <f>'6. Poistot'!AB38</f>
        <v>235.96776289207867</v>
      </c>
      <c r="AN38" s="41">
        <f>'6. Poistot'!AC38</f>
        <v>212.18739395234533</v>
      </c>
      <c r="AO38" s="41">
        <f>'6. Poistot'!AD38</f>
        <v>231.43462490662682</v>
      </c>
      <c r="AP38" s="41">
        <f>'6. Poistot'!AE38</f>
        <v>229.9226326686281</v>
      </c>
      <c r="AQ38" s="41">
        <f>'6. Poistot'!AF38</f>
        <v>236.79017759263317</v>
      </c>
      <c r="AR38" s="41">
        <f>'6. Poistot'!AG38</f>
        <v>254.79814692256787</v>
      </c>
      <c r="AS38" s="41">
        <f>'6. Poistot'!AH38</f>
        <v>264.68367707475232</v>
      </c>
      <c r="AT38" s="41">
        <f>'6. Poistot'!AI38</f>
        <v>274.69509534549684</v>
      </c>
      <c r="AV38" s="4">
        <f t="shared" si="19"/>
        <v>1</v>
      </c>
      <c r="AW38" s="4">
        <f t="shared" si="11"/>
        <v>0</v>
      </c>
      <c r="AX38" s="4">
        <f t="shared" si="12"/>
        <v>0</v>
      </c>
      <c r="AY38" s="4">
        <f t="shared" si="13"/>
        <v>0</v>
      </c>
      <c r="AZ38" s="4">
        <f t="shared" si="14"/>
        <v>1</v>
      </c>
      <c r="BA38" s="4">
        <f t="shared" si="15"/>
        <v>1</v>
      </c>
      <c r="BB38" s="4">
        <f t="shared" si="16"/>
        <v>1</v>
      </c>
      <c r="BC38" s="4">
        <f t="shared" si="17"/>
        <v>1</v>
      </c>
      <c r="BE38" s="405">
        <f t="shared" si="20"/>
        <v>0</v>
      </c>
      <c r="BF38" s="405">
        <f t="shared" si="21"/>
        <v>0</v>
      </c>
      <c r="BG38" s="405">
        <f t="shared" si="22"/>
        <v>0</v>
      </c>
      <c r="BH38" s="405">
        <f t="shared" si="23"/>
        <v>0</v>
      </c>
      <c r="BI38" s="405">
        <f t="shared" si="24"/>
        <v>0</v>
      </c>
      <c r="BJ38" s="405">
        <f t="shared" si="25"/>
        <v>0</v>
      </c>
      <c r="BK38" s="405">
        <f t="shared" si="26"/>
        <v>0</v>
      </c>
      <c r="BL38" s="405">
        <f t="shared" si="27"/>
        <v>0</v>
      </c>
      <c r="BM38" s="405">
        <f t="shared" si="28"/>
        <v>0</v>
      </c>
      <c r="BN38" s="405">
        <f t="shared" si="28"/>
        <v>0</v>
      </c>
    </row>
    <row r="39" spans="1:66" x14ac:dyDescent="0.2">
      <c r="A39" s="34">
        <v>86</v>
      </c>
      <c r="B39" s="88" t="s">
        <v>352</v>
      </c>
      <c r="C39" s="41" t="e">
        <f>'2. Toimintakate'!D39+'3. Verotulot'!G39+'4. Valtionosuudet'!#REF!+'5. Rahoitustuotot ja -kulut'!C39</f>
        <v>#REF!</v>
      </c>
      <c r="D39" s="41">
        <f>'2. Toimintakate'!E39+'4. Valtionosuudet'!H39+'3. Verotulot'!L39+'5. Rahoitustuotot ja -kulut'!D39</f>
        <v>4203</v>
      </c>
      <c r="E39" s="41">
        <f>'2. Toimintakate'!F39+'4. Valtionosuudet'!N39+'3. Verotulot'!Q39+'5. Rahoitustuotot ja -kulut'!E39</f>
        <v>2999</v>
      </c>
      <c r="F39" s="41">
        <f>'2. Toimintakate'!G39+'4. Valtionosuudet'!T39+'3. Verotulot'!V39+'5. Rahoitustuotot ja -kulut'!F39</f>
        <v>1553</v>
      </c>
      <c r="G39" s="41">
        <f>'2. Toimintakate'!H39+'3. Verotulot'!AA39+'4. Valtionosuudet'!Z39+'5. Rahoitustuotot ja -kulut'!G39</f>
        <v>2203</v>
      </c>
      <c r="H39" s="41">
        <f>Käyttökate!H39+'5. Rahoitustuotot ja -kulut'!H39</f>
        <v>5135.1697212661093</v>
      </c>
      <c r="I39" s="41">
        <f>Käyttökate!I39+'5. Rahoitustuotot ja -kulut'!I39</f>
        <v>4205.5378429415978</v>
      </c>
      <c r="J39" s="41">
        <f>Käyttökate!J39+'5. Rahoitustuotot ja -kulut'!J39</f>
        <v>3065.3649348634344</v>
      </c>
      <c r="K39" s="41">
        <f>Käyttökate!K39+'5. Rahoitustuotot ja -kulut'!K39</f>
        <v>4853.3213898469048</v>
      </c>
      <c r="L39" s="41">
        <f>Käyttökate!L39+'5. Rahoitustuotot ja -kulut'!L39</f>
        <v>2918.8821214795244</v>
      </c>
      <c r="M39" s="41">
        <f>Käyttökate!M39+'5. Rahoitustuotot ja -kulut'!M39</f>
        <v>979.10969491561627</v>
      </c>
      <c r="N39" s="41">
        <f>Käyttökate!N39+'5. Rahoitustuotot ja -kulut'!N39</f>
        <v>1335.9095946122616</v>
      </c>
      <c r="O39" s="41">
        <f>Käyttökate!O39+'5. Rahoitustuotot ja -kulut'!O39</f>
        <v>1704.6353699992383</v>
      </c>
      <c r="P39" s="41">
        <f>Käyttökate!P39+'5. Rahoitustuotot ja -kulut'!P39</f>
        <v>2697.9393303789375</v>
      </c>
      <c r="T39" s="34">
        <v>86</v>
      </c>
      <c r="U39" s="88" t="s">
        <v>352</v>
      </c>
      <c r="V39" s="41" t="e">
        <f>C39/'1. Väestöennuste'!E39*1000</f>
        <v>#REF!</v>
      </c>
      <c r="W39" s="41">
        <f>D39/'1. Väestöennuste'!F39*1000</f>
        <v>486.40203680129611</v>
      </c>
      <c r="X39" s="41">
        <f>E39/'1. Väestöennuste'!G39*1000</f>
        <v>352.65757290686736</v>
      </c>
      <c r="Y39" s="41">
        <f>F39/'1. Väestöennuste'!H39*1000</f>
        <v>184.50754425567303</v>
      </c>
      <c r="Z39" s="41">
        <f>G39/'1. Väestöennuste'!I39*1000</f>
        <v>266.70702179176754</v>
      </c>
      <c r="AA39" s="41">
        <f>H39/'1. Väestöennuste'!J39*1000</f>
        <v>628.15531758606846</v>
      </c>
      <c r="AB39" s="41">
        <f>I39/'1. Väestöennuste'!K39*1000</f>
        <v>516.46049894898658</v>
      </c>
      <c r="AC39" s="41">
        <f>J39/'1. Väestöennuste'!L39*1000</f>
        <v>381.69156205496631</v>
      </c>
      <c r="AD39" s="41">
        <f>K39/'1. Väestöennuste'!M39*1000</f>
        <v>606.81687795035066</v>
      </c>
      <c r="AE39" s="41">
        <f>L39/'1. Väestöennuste'!N39*1000</f>
        <v>373.78436694577084</v>
      </c>
      <c r="AF39" s="41">
        <f>M39/'1. Väestöennuste'!O39*1000</f>
        <v>126.64722479829469</v>
      </c>
      <c r="AG39" s="41">
        <f>N39/'1. Väestöennuste'!P39*1000</f>
        <v>174.42350105918024</v>
      </c>
      <c r="AH39" s="41">
        <f>O39/'1. Väestöennuste'!Q39*1000</f>
        <v>224.53047550042655</v>
      </c>
      <c r="AI39" s="41">
        <f>P39/'1. Väestöennuste'!R39*1000</f>
        <v>358.53014357195184</v>
      </c>
      <c r="AK39" s="41">
        <f>'6. Poistot'!Z39</f>
        <v>266.10169491525426</v>
      </c>
      <c r="AL39" s="41">
        <f>'6. Poistot'!AA39</f>
        <v>251.25382262996942</v>
      </c>
      <c r="AM39" s="41">
        <f>'6. Poistot'!AB39</f>
        <v>279.86067174260103</v>
      </c>
      <c r="AN39" s="41">
        <f>'6. Poistot'!AC39</f>
        <v>295.88795044203709</v>
      </c>
      <c r="AO39" s="41">
        <f>'6. Poistot'!AD39</f>
        <v>448.7034946236559</v>
      </c>
      <c r="AP39" s="41">
        <f>'6. Poistot'!AE39</f>
        <v>354.71891407350495</v>
      </c>
      <c r="AQ39" s="41">
        <f>'6. Poistot'!AF39</f>
        <v>358.29776225585306</v>
      </c>
      <c r="AR39" s="41">
        <f>'6. Poistot'!AG39</f>
        <v>361.66601383992685</v>
      </c>
      <c r="AS39" s="41">
        <f>'6. Poistot'!AH39</f>
        <v>376.63036926219041</v>
      </c>
      <c r="AT39" s="41">
        <f>'6. Poistot'!AI39</f>
        <v>391.8611995849966</v>
      </c>
      <c r="AV39" s="4">
        <f t="shared" si="19"/>
        <v>0</v>
      </c>
      <c r="AW39" s="4">
        <f t="shared" si="11"/>
        <v>0</v>
      </c>
      <c r="AX39" s="4">
        <f t="shared" si="12"/>
        <v>0</v>
      </c>
      <c r="AY39" s="4">
        <f t="shared" si="13"/>
        <v>0</v>
      </c>
      <c r="AZ39" s="4">
        <f t="shared" si="14"/>
        <v>1</v>
      </c>
      <c r="BA39" s="4">
        <f t="shared" si="15"/>
        <v>1</v>
      </c>
      <c r="BB39" s="4">
        <f t="shared" si="16"/>
        <v>1</v>
      </c>
      <c r="BC39" s="4">
        <f t="shared" si="17"/>
        <v>1</v>
      </c>
      <c r="BE39" s="405">
        <f t="shared" si="20"/>
        <v>0</v>
      </c>
      <c r="BF39" s="405">
        <f t="shared" si="21"/>
        <v>0</v>
      </c>
      <c r="BG39" s="405">
        <f t="shared" si="22"/>
        <v>0</v>
      </c>
      <c r="BH39" s="405">
        <f t="shared" si="23"/>
        <v>0</v>
      </c>
      <c r="BI39" s="405">
        <f t="shared" si="24"/>
        <v>0</v>
      </c>
      <c r="BJ39" s="405">
        <f t="shared" si="25"/>
        <v>0</v>
      </c>
      <c r="BK39" s="405">
        <f t="shared" si="26"/>
        <v>0</v>
      </c>
      <c r="BL39" s="405">
        <f t="shared" si="27"/>
        <v>0</v>
      </c>
      <c r="BM39" s="405">
        <f t="shared" si="28"/>
        <v>0</v>
      </c>
      <c r="BN39" s="405">
        <f t="shared" si="28"/>
        <v>0</v>
      </c>
    </row>
    <row r="40" spans="1:66" x14ac:dyDescent="0.2">
      <c r="A40" s="34">
        <v>90</v>
      </c>
      <c r="B40" s="88" t="s">
        <v>353</v>
      </c>
      <c r="C40" s="41" t="e">
        <f>'2. Toimintakate'!D40+'3. Verotulot'!G40+'4. Valtionosuudet'!#REF!+'5. Rahoitustuotot ja -kulut'!C40</f>
        <v>#REF!</v>
      </c>
      <c r="D40" s="41">
        <f>'2. Toimintakate'!E40+'4. Valtionosuudet'!H40+'3. Verotulot'!L40+'5. Rahoitustuotot ja -kulut'!D40</f>
        <v>1374</v>
      </c>
      <c r="E40" s="41">
        <f>'2. Toimintakate'!F40+'4. Valtionosuudet'!N40+'3. Verotulot'!Q40+'5. Rahoitustuotot ja -kulut'!E40</f>
        <v>2350</v>
      </c>
      <c r="F40" s="41">
        <f>'2. Toimintakate'!G40+'4. Valtionosuudet'!T40+'3. Verotulot'!V40+'5. Rahoitustuotot ja -kulut'!F40</f>
        <v>1812</v>
      </c>
      <c r="G40" s="41">
        <f>'2. Toimintakate'!H40+'3. Verotulot'!AA40+'4. Valtionosuudet'!Z40+'5. Rahoitustuotot ja -kulut'!G40</f>
        <v>1686</v>
      </c>
      <c r="H40" s="41">
        <f>Käyttökate!H40+'5. Rahoitustuotot ja -kulut'!H40</f>
        <v>2573.8558283061466</v>
      </c>
      <c r="I40" s="41">
        <f>Käyttökate!I40+'5. Rahoitustuotot ja -kulut'!I40</f>
        <v>3097.1779765085089</v>
      </c>
      <c r="J40" s="41">
        <f>Käyttökate!J40+'5. Rahoitustuotot ja -kulut'!J40</f>
        <v>1609.2317096198733</v>
      </c>
      <c r="K40" s="41">
        <f>Käyttökate!K40+'5. Rahoitustuotot ja -kulut'!K40</f>
        <v>2021.346870063285</v>
      </c>
      <c r="L40" s="41">
        <f>Käyttökate!L40+'5. Rahoitustuotot ja -kulut'!L40</f>
        <v>228.37541934301555</v>
      </c>
      <c r="M40" s="41">
        <f>Käyttökate!M40+'5. Rahoitustuotot ja -kulut'!M40</f>
        <v>219.64603792215803</v>
      </c>
      <c r="N40" s="41">
        <f>Käyttökate!N40+'5. Rahoitustuotot ja -kulut'!N40</f>
        <v>352.32895331846112</v>
      </c>
      <c r="O40" s="41">
        <f>Käyttökate!O40+'5. Rahoitustuotot ja -kulut'!O40</f>
        <v>92.309516840044807</v>
      </c>
      <c r="P40" s="41">
        <f>Käyttökate!P40+'5. Rahoitustuotot ja -kulut'!P40</f>
        <v>463.4504532768774</v>
      </c>
      <c r="T40" s="34">
        <v>90</v>
      </c>
      <c r="U40" s="88" t="s">
        <v>353</v>
      </c>
      <c r="V40" s="41" t="e">
        <f>C40/'1. Väestöennuste'!E40*1000</f>
        <v>#REF!</v>
      </c>
      <c r="W40" s="41">
        <f>D40/'1. Väestöennuste'!F40*1000</f>
        <v>391.00739897552643</v>
      </c>
      <c r="X40" s="41">
        <f>E40/'1. Väestöennuste'!G40*1000</f>
        <v>680.1736613603473</v>
      </c>
      <c r="Y40" s="41">
        <f>F40/'1. Väestöennuste'!H40*1000</f>
        <v>544.30759987984379</v>
      </c>
      <c r="Z40" s="41">
        <f>G40/'1. Väestöennuste'!I40*1000</f>
        <v>518.1315304240934</v>
      </c>
      <c r="AA40" s="41">
        <f>H40/'1. Väestöennuste'!J40*1000</f>
        <v>805.33661711706714</v>
      </c>
      <c r="AB40" s="41">
        <f>I40/'1. Väestöennuste'!K40*1000</f>
        <v>987.62052822337648</v>
      </c>
      <c r="AC40" s="41">
        <f>J40/'1. Väestöennuste'!L40*1000</f>
        <v>525.72091134265713</v>
      </c>
      <c r="AD40" s="41">
        <f>K40/'1. Väestöennuste'!M40*1000</f>
        <v>673.5577707641736</v>
      </c>
      <c r="AE40" s="41">
        <f>L40/'1. Väestöennuste'!N40*1000</f>
        <v>77.310568497974117</v>
      </c>
      <c r="AF40" s="41">
        <f>M40/'1. Väestöennuste'!O40*1000</f>
        <v>75.661742308700667</v>
      </c>
      <c r="AG40" s="41">
        <f>N40/'1. Väestöennuste'!P40*1000</f>
        <v>123.40768942853279</v>
      </c>
      <c r="AH40" s="41">
        <f>O40/'1. Väestöennuste'!Q40*1000</f>
        <v>32.897190605860587</v>
      </c>
      <c r="AI40" s="41">
        <f>P40/'1. Väestöennuste'!R40*1000</f>
        <v>168.03859799741747</v>
      </c>
      <c r="AK40" s="41">
        <f>'6. Poistot'!Z40</f>
        <v>442.53226797787335</v>
      </c>
      <c r="AL40" s="41">
        <f>'6. Poistot'!AA40</f>
        <v>432.41551939924904</v>
      </c>
      <c r="AM40" s="41">
        <f>'6. Poistot'!AB40</f>
        <v>431.10878826530609</v>
      </c>
      <c r="AN40" s="41">
        <f>'6. Poistot'!AC40</f>
        <v>431.34052270499842</v>
      </c>
      <c r="AO40" s="41">
        <f>'6. Poistot'!AD40</f>
        <v>444.35110629790069</v>
      </c>
      <c r="AP40" s="41">
        <f>'6. Poistot'!AE40</f>
        <v>468.9289099526066</v>
      </c>
      <c r="AQ40" s="41">
        <f>'6. Poistot'!AF40</f>
        <v>465.03616947984841</v>
      </c>
      <c r="AR40" s="41">
        <f>'6. Poistot'!AG40</f>
        <v>472.85464098073555</v>
      </c>
      <c r="AS40" s="41">
        <f>'6. Poistot'!AH40</f>
        <v>496.63562359179303</v>
      </c>
      <c r="AT40" s="41">
        <f>'6. Poistot'!AI40</f>
        <v>521.07292226147297</v>
      </c>
      <c r="AV40" s="4">
        <f t="shared" si="19"/>
        <v>0</v>
      </c>
      <c r="AW40" s="4">
        <f t="shared" si="11"/>
        <v>0</v>
      </c>
      <c r="AX40" s="4">
        <f t="shared" si="12"/>
        <v>0</v>
      </c>
      <c r="AY40" s="4">
        <f t="shared" si="13"/>
        <v>1</v>
      </c>
      <c r="AZ40" s="4">
        <f t="shared" si="14"/>
        <v>1</v>
      </c>
      <c r="BA40" s="4">
        <f t="shared" si="15"/>
        <v>1</v>
      </c>
      <c r="BB40" s="4">
        <f t="shared" si="16"/>
        <v>1</v>
      </c>
      <c r="BC40" s="4">
        <f t="shared" si="17"/>
        <v>1</v>
      </c>
      <c r="BE40" s="405">
        <f t="shared" si="20"/>
        <v>0</v>
      </c>
      <c r="BF40" s="405">
        <f t="shared" si="21"/>
        <v>0</v>
      </c>
      <c r="BG40" s="405">
        <f t="shared" si="22"/>
        <v>0</v>
      </c>
      <c r="BH40" s="405">
        <f t="shared" si="23"/>
        <v>0</v>
      </c>
      <c r="BI40" s="405">
        <f t="shared" si="24"/>
        <v>0</v>
      </c>
      <c r="BJ40" s="405">
        <f t="shared" si="25"/>
        <v>0</v>
      </c>
      <c r="BK40" s="405">
        <f t="shared" si="26"/>
        <v>0</v>
      </c>
      <c r="BL40" s="405">
        <f t="shared" si="27"/>
        <v>0</v>
      </c>
      <c r="BM40" s="405">
        <f t="shared" si="28"/>
        <v>0</v>
      </c>
      <c r="BN40" s="405">
        <f t="shared" si="28"/>
        <v>0</v>
      </c>
    </row>
    <row r="41" spans="1:66" x14ac:dyDescent="0.2">
      <c r="A41" s="34">
        <v>91</v>
      </c>
      <c r="B41" s="88" t="s">
        <v>354</v>
      </c>
      <c r="C41" s="41" t="e">
        <f>'2. Toimintakate'!D41+'3. Verotulot'!G41+'4. Valtionosuudet'!#REF!+'5. Rahoitustuotot ja -kulut'!C41</f>
        <v>#REF!</v>
      </c>
      <c r="D41" s="41">
        <f>'2. Toimintakate'!E41+'4. Valtionosuudet'!H41+'3. Verotulot'!L41+'5. Rahoitustuotot ja -kulut'!D41</f>
        <v>569378</v>
      </c>
      <c r="E41" s="41">
        <f>'2. Toimintakate'!F41+'4. Valtionosuudet'!N41+'3. Verotulot'!Q41+'5. Rahoitustuotot ja -kulut'!E41</f>
        <v>837900</v>
      </c>
      <c r="F41" s="41">
        <f>'2. Toimintakate'!G41+'4. Valtionosuudet'!T41+'3. Verotulot'!V41+'5. Rahoitustuotot ja -kulut'!F41</f>
        <v>751996</v>
      </c>
      <c r="G41" s="41">
        <f>'2. Toimintakate'!H41+'3. Verotulot'!AA41+'4. Valtionosuudet'!Z41+'5. Rahoitustuotot ja -kulut'!G41</f>
        <v>741412</v>
      </c>
      <c r="H41" s="41">
        <f>Käyttökate!H41+'5. Rahoitustuotot ja -kulut'!H41</f>
        <v>854441.75837718847</v>
      </c>
      <c r="I41" s="41">
        <f>Käyttökate!I41+'5. Rahoitustuotot ja -kulut'!I41</f>
        <v>748536.43821335584</v>
      </c>
      <c r="J41" s="41">
        <f>Käyttökate!J41+'5. Rahoitustuotot ja -kulut'!J41</f>
        <v>724397.28557386645</v>
      </c>
      <c r="K41" s="41">
        <f>Käyttökate!K41+'5. Rahoitustuotot ja -kulut'!K41</f>
        <v>811293.23487175489</v>
      </c>
      <c r="L41" s="41">
        <f>Käyttökate!L41+'5. Rahoitustuotot ja -kulut'!L41</f>
        <v>685050.284323378</v>
      </c>
      <c r="M41" s="41">
        <f>Käyttökate!M41+'5. Rahoitustuotot ja -kulut'!M41</f>
        <v>606981.32569922402</v>
      </c>
      <c r="N41" s="41">
        <f>Käyttökate!N41+'5. Rahoitustuotot ja -kulut'!N41</f>
        <v>625522.57873280789</v>
      </c>
      <c r="O41" s="41">
        <f>Käyttökate!O41+'5. Rahoitustuotot ja -kulut'!O41</f>
        <v>656749.2226997246</v>
      </c>
      <c r="P41" s="41">
        <f>Käyttökate!P41+'5. Rahoitustuotot ja -kulut'!P41</f>
        <v>689844.54631458898</v>
      </c>
      <c r="T41" s="34">
        <v>91</v>
      </c>
      <c r="U41" s="88" t="s">
        <v>354</v>
      </c>
      <c r="V41" s="41" t="e">
        <f>C41/'1. Väestöennuste'!E41*1000</f>
        <v>#REF!</v>
      </c>
      <c r="W41" s="41">
        <f>D41/'1. Väestöennuste'!F41*1000</f>
        <v>896.40275763916111</v>
      </c>
      <c r="X41" s="41">
        <f>E41/'1. Väestöennuste'!G41*1000</f>
        <v>1302.5594149908593</v>
      </c>
      <c r="Y41" s="41">
        <f>F41/'1. Väestöennuste'!H41*1000</f>
        <v>1160.4124424034246</v>
      </c>
      <c r="Z41" s="41">
        <f>G41/'1. Väestöennuste'!I41*1000</f>
        <v>1133.9435790375248</v>
      </c>
      <c r="AA41" s="41">
        <f>H41/'1. Väestöennuste'!J41*1000</f>
        <v>1300.6785580849851</v>
      </c>
      <c r="AB41" s="41">
        <f>I41/'1. Väestöennuste'!K41*1000</f>
        <v>1136.8038280606872</v>
      </c>
      <c r="AC41" s="41">
        <f>J41/'1. Väestöennuste'!L41*1000</f>
        <v>1090.9137650428393</v>
      </c>
      <c r="AD41" s="41">
        <f>K41/'1. Väestöennuste'!M41*1000</f>
        <v>1202.8068715667232</v>
      </c>
      <c r="AE41" s="41">
        <f>L41/'1. Väestöennuste'!N41*1000</f>
        <v>1010.5134127671993</v>
      </c>
      <c r="AF41" s="41">
        <f>M41/'1. Väestöennuste'!O41*1000</f>
        <v>889.27305287780848</v>
      </c>
      <c r="AG41" s="41">
        <f>N41/'1. Väestöennuste'!P41*1000</f>
        <v>910.4429770815467</v>
      </c>
      <c r="AH41" s="41">
        <f>O41/'1. Väestöennuste'!Q41*1000</f>
        <v>949.88042079676461</v>
      </c>
      <c r="AI41" s="41">
        <f>P41/'1. Väestöennuste'!R41*1000</f>
        <v>991.72734048581003</v>
      </c>
      <c r="AK41" s="41">
        <f>'6. Poistot'!Z41</f>
        <v>557.38221416718284</v>
      </c>
      <c r="AL41" s="41">
        <f>'6. Poistot'!AA41</f>
        <v>572.25994032758933</v>
      </c>
      <c r="AM41" s="41">
        <f>'6. Poistot'!AB41</f>
        <v>620.38045729637611</v>
      </c>
      <c r="AN41" s="41">
        <f>'6. Poistot'!AC41</f>
        <v>582.74904612456112</v>
      </c>
      <c r="AO41" s="41">
        <f>'6. Poistot'!AD41</f>
        <v>540.93803822090422</v>
      </c>
      <c r="AP41" s="41">
        <f>'6. Poistot'!AE41</f>
        <v>550.17312001510504</v>
      </c>
      <c r="AQ41" s="41">
        <f>'6. Poistot'!AF41</f>
        <v>556.97518541254306</v>
      </c>
      <c r="AR41" s="41">
        <f>'6. Poistot'!AG41</f>
        <v>562.90515778258737</v>
      </c>
      <c r="AS41" s="41">
        <f>'6. Poistot'!AH41</f>
        <v>577.41306087966768</v>
      </c>
      <c r="AT41" s="41">
        <f>'6. Poistot'!AI41</f>
        <v>591.86889697461902</v>
      </c>
      <c r="AV41" s="4">
        <f t="shared" si="19"/>
        <v>0</v>
      </c>
      <c r="AW41" s="4">
        <f t="shared" si="11"/>
        <v>0</v>
      </c>
      <c r="AX41" s="4">
        <f t="shared" si="12"/>
        <v>0</v>
      </c>
      <c r="AY41" s="4">
        <f t="shared" si="13"/>
        <v>0</v>
      </c>
      <c r="AZ41" s="4">
        <f t="shared" si="14"/>
        <v>0</v>
      </c>
      <c r="BA41" s="4">
        <f t="shared" si="15"/>
        <v>0</v>
      </c>
      <c r="BB41" s="4">
        <f t="shared" si="16"/>
        <v>0</v>
      </c>
      <c r="BC41" s="4">
        <f t="shared" si="17"/>
        <v>0</v>
      </c>
      <c r="BE41" s="405">
        <f t="shared" si="20"/>
        <v>0</v>
      </c>
      <c r="BF41" s="405">
        <f t="shared" si="21"/>
        <v>0</v>
      </c>
      <c r="BG41" s="405">
        <f t="shared" si="22"/>
        <v>0</v>
      </c>
      <c r="BH41" s="405">
        <f t="shared" si="23"/>
        <v>0</v>
      </c>
      <c r="BI41" s="405">
        <f t="shared" si="24"/>
        <v>0</v>
      </c>
      <c r="BJ41" s="405">
        <f t="shared" si="25"/>
        <v>0</v>
      </c>
      <c r="BK41" s="405">
        <f t="shared" si="26"/>
        <v>0</v>
      </c>
      <c r="BL41" s="405">
        <f t="shared" si="27"/>
        <v>0</v>
      </c>
      <c r="BM41" s="405">
        <f t="shared" si="28"/>
        <v>0</v>
      </c>
      <c r="BN41" s="405">
        <f t="shared" si="28"/>
        <v>0</v>
      </c>
    </row>
    <row r="42" spans="1:66" x14ac:dyDescent="0.2">
      <c r="A42" s="34">
        <v>92</v>
      </c>
      <c r="B42" s="88" t="s">
        <v>355</v>
      </c>
      <c r="C42" s="41" t="e">
        <f>'2. Toimintakate'!D42+'3. Verotulot'!G42+'4. Valtionosuudet'!#REF!+'5. Rahoitustuotot ja -kulut'!C42</f>
        <v>#REF!</v>
      </c>
      <c r="D42" s="41">
        <f>'2. Toimintakate'!E42+'4. Valtionosuudet'!H42+'3. Verotulot'!L42+'5. Rahoitustuotot ja -kulut'!D42</f>
        <v>178843</v>
      </c>
      <c r="E42" s="41">
        <f>'2. Toimintakate'!F42+'4. Valtionosuudet'!N42+'3. Verotulot'!Q42+'5. Rahoitustuotot ja -kulut'!E42</f>
        <v>164005</v>
      </c>
      <c r="F42" s="41">
        <f>'2. Toimintakate'!G42+'4. Valtionosuudet'!T42+'3. Verotulot'!V42+'5. Rahoitustuotot ja -kulut'!F42</f>
        <v>112649</v>
      </c>
      <c r="G42" s="41">
        <f>'2. Toimintakate'!H42+'3. Verotulot'!AA42+'4. Valtionosuudet'!Z42+'5. Rahoitustuotot ja -kulut'!G42</f>
        <v>49142</v>
      </c>
      <c r="H42" s="41">
        <f>Käyttökate!H42+'5. Rahoitustuotot ja -kulut'!H42</f>
        <v>163052.90156372456</v>
      </c>
      <c r="I42" s="41">
        <f>Käyttökate!I42+'5. Rahoitustuotot ja -kulut'!I42</f>
        <v>159927.27066997247</v>
      </c>
      <c r="J42" s="41">
        <f>Käyttökate!J42+'5. Rahoitustuotot ja -kulut'!J42</f>
        <v>120510.54921059773</v>
      </c>
      <c r="K42" s="41">
        <f>Käyttökate!K42+'5. Rahoitustuotot ja -kulut'!K42</f>
        <v>160891.11674532839</v>
      </c>
      <c r="L42" s="41">
        <f>Käyttökate!L42+'5. Rahoitustuotot ja -kulut'!L42</f>
        <v>98426.109412529826</v>
      </c>
      <c r="M42" s="41">
        <f>Käyttökate!M42+'5. Rahoitustuotot ja -kulut'!M42</f>
        <v>58772.37419060868</v>
      </c>
      <c r="N42" s="41">
        <f>Käyttökate!N42+'5. Rahoitustuotot ja -kulut'!N42</f>
        <v>64086.922394738969</v>
      </c>
      <c r="O42" s="41">
        <f>Käyttökate!O42+'5. Rahoitustuotot ja -kulut'!O42</f>
        <v>62818.318632812574</v>
      </c>
      <c r="P42" s="41">
        <f>Käyttökate!P42+'5. Rahoitustuotot ja -kulut'!P42</f>
        <v>73341.070606483758</v>
      </c>
      <c r="T42" s="34">
        <v>92</v>
      </c>
      <c r="U42" s="88" t="s">
        <v>355</v>
      </c>
      <c r="V42" s="41" t="e">
        <f>C42/'1. Väestöennuste'!E42*1000</f>
        <v>#REF!</v>
      </c>
      <c r="W42" s="41">
        <f>D42/'1. Väestöennuste'!F42*1000</f>
        <v>815.36511641690333</v>
      </c>
      <c r="X42" s="41">
        <f>E42/'1. Väestöennuste'!G42*1000</f>
        <v>735.35939594757588</v>
      </c>
      <c r="Y42" s="41">
        <f>F42/'1. Väestöennuste'!H42*1000</f>
        <v>493.71510216246065</v>
      </c>
      <c r="Z42" s="41">
        <f>G42/'1. Väestöennuste'!I42*1000</f>
        <v>210.21067265533097</v>
      </c>
      <c r="AA42" s="41">
        <f>H42/'1. Väestöennuste'!J42*1000</f>
        <v>687.31700984999668</v>
      </c>
      <c r="AB42" s="41">
        <f>I42/'1. Väestöennuste'!K42*1000</f>
        <v>668.57549839875458</v>
      </c>
      <c r="AC42" s="41">
        <f>J42/'1. Väestöennuste'!L42*1000</f>
        <v>496.29785647168359</v>
      </c>
      <c r="AD42" s="41">
        <f>K42/'1. Väestöennuste'!M42*1000</f>
        <v>650.21486461661232</v>
      </c>
      <c r="AE42" s="41">
        <f>L42/'1. Väestöennuste'!N42*1000</f>
        <v>390.96455802746283</v>
      </c>
      <c r="AF42" s="41">
        <f>M42/'1. Väestöennuste'!O42*1000</f>
        <v>230.54408949397157</v>
      </c>
      <c r="AG42" s="41">
        <f>N42/'1. Väestöennuste'!P42*1000</f>
        <v>248.43358916259234</v>
      </c>
      <c r="AH42" s="41">
        <f>O42/'1. Väestöennuste'!Q42*1000</f>
        <v>240.81330769807664</v>
      </c>
      <c r="AI42" s="41">
        <f>P42/'1. Väestöennuste'!R42*1000</f>
        <v>278.2033145938297</v>
      </c>
      <c r="AK42" s="41">
        <f>'6. Poistot'!Z42</f>
        <v>492.58475029408623</v>
      </c>
      <c r="AL42" s="41">
        <f>'6. Poistot'!AA42</f>
        <v>453.30079121194109</v>
      </c>
      <c r="AM42" s="41">
        <f>'6. Poistot'!AB42</f>
        <v>439.98633855338079</v>
      </c>
      <c r="AN42" s="41">
        <f>'6. Poistot'!AC42</f>
        <v>447.84735168994195</v>
      </c>
      <c r="AO42" s="41">
        <f>'6. Poistot'!AD42</f>
        <v>452.00057427367108</v>
      </c>
      <c r="AP42" s="41">
        <f>'6. Poistot'!AE42</f>
        <v>459.91845701325116</v>
      </c>
      <c r="AQ42" s="41">
        <f>'6. Poistot'!AF42</f>
        <v>475.35379325223886</v>
      </c>
      <c r="AR42" s="41">
        <f>'6. Poistot'!AG42</f>
        <v>514.55508067017092</v>
      </c>
      <c r="AS42" s="41">
        <f>'6. Poistot'!AH42</f>
        <v>525.26312673225232</v>
      </c>
      <c r="AT42" s="41">
        <f>'6. Poistot'!AI42</f>
        <v>536.00029254732942</v>
      </c>
      <c r="AV42" s="4">
        <f t="shared" si="19"/>
        <v>0</v>
      </c>
      <c r="AW42" s="4">
        <f t="shared" si="11"/>
        <v>0</v>
      </c>
      <c r="AX42" s="4">
        <f t="shared" si="12"/>
        <v>0</v>
      </c>
      <c r="AY42" s="4">
        <f t="shared" si="13"/>
        <v>1</v>
      </c>
      <c r="AZ42" s="4">
        <f t="shared" si="14"/>
        <v>1</v>
      </c>
      <c r="BA42" s="4">
        <f t="shared" si="15"/>
        <v>1</v>
      </c>
      <c r="BB42" s="4">
        <f t="shared" si="16"/>
        <v>1</v>
      </c>
      <c r="BC42" s="4">
        <f t="shared" si="17"/>
        <v>1</v>
      </c>
      <c r="BE42" s="405">
        <f t="shared" si="20"/>
        <v>0</v>
      </c>
      <c r="BF42" s="405">
        <f t="shared" si="21"/>
        <v>0</v>
      </c>
      <c r="BG42" s="405">
        <f t="shared" si="22"/>
        <v>0</v>
      </c>
      <c r="BH42" s="405">
        <f t="shared" si="23"/>
        <v>0</v>
      </c>
      <c r="BI42" s="405">
        <f t="shared" si="24"/>
        <v>0</v>
      </c>
      <c r="BJ42" s="405">
        <f t="shared" si="25"/>
        <v>0</v>
      </c>
      <c r="BK42" s="405">
        <f t="shared" si="26"/>
        <v>0</v>
      </c>
      <c r="BL42" s="405">
        <f t="shared" si="27"/>
        <v>0</v>
      </c>
      <c r="BM42" s="405">
        <f t="shared" si="28"/>
        <v>0</v>
      </c>
      <c r="BN42" s="405">
        <f t="shared" si="28"/>
        <v>0</v>
      </c>
    </row>
    <row r="43" spans="1:66" x14ac:dyDescent="0.2">
      <c r="A43" s="34">
        <v>97</v>
      </c>
      <c r="B43" s="88" t="s">
        <v>356</v>
      </c>
      <c r="C43" s="41" t="e">
        <f>'2. Toimintakate'!D43+'3. Verotulot'!G43+'4. Valtionosuudet'!#REF!+'5. Rahoitustuotot ja -kulut'!C43</f>
        <v>#REF!</v>
      </c>
      <c r="D43" s="41">
        <f>'2. Toimintakate'!E43+'4. Valtionosuudet'!H43+'3. Verotulot'!L43+'5. Rahoitustuotot ja -kulut'!D43</f>
        <v>908</v>
      </c>
      <c r="E43" s="41">
        <f>'2. Toimintakate'!F43+'4. Valtionosuudet'!N43+'3. Verotulot'!Q43+'5. Rahoitustuotot ja -kulut'!E43</f>
        <v>1207</v>
      </c>
      <c r="F43" s="41">
        <f>'2. Toimintakate'!G43+'4. Valtionosuudet'!T43+'3. Verotulot'!V43+'5. Rahoitustuotot ja -kulut'!F43</f>
        <v>1735</v>
      </c>
      <c r="G43" s="41">
        <f>'2. Toimintakate'!H43+'3. Verotulot'!AA43+'4. Valtionosuudet'!Z43+'5. Rahoitustuotot ja -kulut'!G43</f>
        <v>695</v>
      </c>
      <c r="H43" s="41">
        <f>Käyttökate!H43+'5. Rahoitustuotot ja -kulut'!H43</f>
        <v>1127.6093743221018</v>
      </c>
      <c r="I43" s="41">
        <f>Käyttökate!I43+'5. Rahoitustuotot ja -kulut'!I43</f>
        <v>678.84192929263838</v>
      </c>
      <c r="J43" s="41">
        <f>Käyttökate!J43+'5. Rahoitustuotot ja -kulut'!J43</f>
        <v>656.80766155527544</v>
      </c>
      <c r="K43" s="41">
        <f>Käyttökate!K43+'5. Rahoitustuotot ja -kulut'!K43</f>
        <v>1655.7559954542216</v>
      </c>
      <c r="L43" s="41">
        <f>Käyttökate!L43+'5. Rahoitustuotot ja -kulut'!L43</f>
        <v>309.10785654547561</v>
      </c>
      <c r="M43" s="41">
        <f>Käyttökate!M43+'5. Rahoitustuotot ja -kulut'!M43</f>
        <v>418.40943284172204</v>
      </c>
      <c r="N43" s="41">
        <f>Käyttökate!N43+'5. Rahoitustuotot ja -kulut'!N43</f>
        <v>597.60341547532414</v>
      </c>
      <c r="O43" s="41">
        <f>Käyttökate!O43+'5. Rahoitustuotot ja -kulut'!O43</f>
        <v>504.60600662269604</v>
      </c>
      <c r="P43" s="41">
        <f>Käyttökate!P43+'5. Rahoitustuotot ja -kulut'!P43</f>
        <v>699.09197163151612</v>
      </c>
      <c r="T43" s="34">
        <v>97</v>
      </c>
      <c r="U43" s="88" t="s">
        <v>356</v>
      </c>
      <c r="V43" s="41" t="e">
        <f>C43/'1. Väestöennuste'!E43*1000</f>
        <v>#REF!</v>
      </c>
      <c r="W43" s="41">
        <f>D43/'1. Väestöennuste'!F43*1000</f>
        <v>399.29639401934918</v>
      </c>
      <c r="X43" s="41">
        <f>E43/'1. Väestöennuste'!G43*1000</f>
        <v>539.80322003577817</v>
      </c>
      <c r="Y43" s="41">
        <f>F43/'1. Väestöennuste'!H43*1000</f>
        <v>806.22676579925644</v>
      </c>
      <c r="Z43" s="41">
        <f>G43/'1. Väestöennuste'!I43*1000</f>
        <v>325.37453183520597</v>
      </c>
      <c r="AA43" s="41">
        <f>H43/'1. Väestöennuste'!J43*1000</f>
        <v>523.00991387852594</v>
      </c>
      <c r="AB43" s="41">
        <f>I43/'1. Väestöennuste'!K43*1000</f>
        <v>318.55557451555063</v>
      </c>
      <c r="AC43" s="41">
        <f>J43/'1. Väestöennuste'!L43*1000</f>
        <v>314.1117463200743</v>
      </c>
      <c r="AD43" s="41">
        <f>K43/'1. Väestöennuste'!M43*1000</f>
        <v>802.98544881388057</v>
      </c>
      <c r="AE43" s="41">
        <f>L43/'1. Väestöennuste'!N43*1000</f>
        <v>147.26434328035998</v>
      </c>
      <c r="AF43" s="41">
        <f>M43/'1. Väestöennuste'!O43*1000</f>
        <v>200.57978563840942</v>
      </c>
      <c r="AG43" s="41">
        <f>N43/'1. Väestöennuste'!P43*1000</f>
        <v>288.14050890806368</v>
      </c>
      <c r="AH43" s="41">
        <f>O43/'1. Väestöennuste'!Q43*1000</f>
        <v>244.47965437146127</v>
      </c>
      <c r="AI43" s="41">
        <f>P43/'1. Väestöennuste'!R43*1000</f>
        <v>340.68809533699618</v>
      </c>
      <c r="AK43" s="41">
        <f>'6. Poistot'!Z43</f>
        <v>311.79775280898878</v>
      </c>
      <c r="AL43" s="41">
        <f>'6. Poistot'!AA43</f>
        <v>383.11688311688312</v>
      </c>
      <c r="AM43" s="41">
        <f>'6. Poistot'!AB43</f>
        <v>288.30838573439701</v>
      </c>
      <c r="AN43" s="41">
        <f>'6. Poistot'!AC43</f>
        <v>289.20633189861303</v>
      </c>
      <c r="AO43" s="41">
        <f>'6. Poistot'!AD43</f>
        <v>256.46196411251208</v>
      </c>
      <c r="AP43" s="41">
        <f>'6. Poistot'!AE43</f>
        <v>225.2548832777513</v>
      </c>
      <c r="AQ43" s="41">
        <f>'6. Poistot'!AF43</f>
        <v>217.08389261744964</v>
      </c>
      <c r="AR43" s="41">
        <f>'6. Poistot'!AG43</f>
        <v>218.33992285438765</v>
      </c>
      <c r="AS43" s="41">
        <f>'6. Poistot'!AH43</f>
        <v>226.47693453219409</v>
      </c>
      <c r="AT43" s="41">
        <f>'6. Poistot'!AI43</f>
        <v>234.92192287957951</v>
      </c>
      <c r="AV43" s="4">
        <f t="shared" si="19"/>
        <v>0</v>
      </c>
      <c r="AW43" s="4">
        <f t="shared" si="11"/>
        <v>0</v>
      </c>
      <c r="AX43" s="4">
        <f t="shared" si="12"/>
        <v>0</v>
      </c>
      <c r="AY43" s="4">
        <f t="shared" si="13"/>
        <v>1</v>
      </c>
      <c r="AZ43" s="4">
        <f t="shared" si="14"/>
        <v>1</v>
      </c>
      <c r="BA43" s="4">
        <f t="shared" si="15"/>
        <v>0</v>
      </c>
      <c r="BB43" s="4">
        <f t="shared" si="16"/>
        <v>0</v>
      </c>
      <c r="BC43" s="4">
        <f t="shared" si="17"/>
        <v>0</v>
      </c>
      <c r="BE43" s="405">
        <f t="shared" si="20"/>
        <v>0</v>
      </c>
      <c r="BF43" s="405">
        <f t="shared" si="21"/>
        <v>0</v>
      </c>
      <c r="BG43" s="405">
        <f t="shared" si="22"/>
        <v>0</v>
      </c>
      <c r="BH43" s="405">
        <f t="shared" si="23"/>
        <v>0</v>
      </c>
      <c r="BI43" s="405">
        <f t="shared" si="24"/>
        <v>0</v>
      </c>
      <c r="BJ43" s="405">
        <f t="shared" si="25"/>
        <v>0</v>
      </c>
      <c r="BK43" s="405">
        <f t="shared" si="26"/>
        <v>0</v>
      </c>
      <c r="BL43" s="405">
        <f t="shared" si="27"/>
        <v>0</v>
      </c>
      <c r="BM43" s="405">
        <f t="shared" si="28"/>
        <v>0</v>
      </c>
      <c r="BN43" s="405">
        <f t="shared" si="28"/>
        <v>0</v>
      </c>
    </row>
    <row r="44" spans="1:66" x14ac:dyDescent="0.2">
      <c r="A44" s="34">
        <v>98</v>
      </c>
      <c r="B44" s="88" t="s">
        <v>357</v>
      </c>
      <c r="C44" s="41" t="e">
        <f>'2. Toimintakate'!D44+'3. Verotulot'!G44+'4. Valtionosuudet'!#REF!+'5. Rahoitustuotot ja -kulut'!C44</f>
        <v>#REF!</v>
      </c>
      <c r="D44" s="41">
        <f>'2. Toimintakate'!E44+'4. Valtionosuudet'!H44+'3. Verotulot'!L44+'5. Rahoitustuotot ja -kulut'!D44</f>
        <v>12716</v>
      </c>
      <c r="E44" s="41">
        <f>'2. Toimintakate'!F44+'4. Valtionosuudet'!N44+'3. Verotulot'!Q44+'5. Rahoitustuotot ja -kulut'!E44</f>
        <v>15977</v>
      </c>
      <c r="F44" s="41">
        <f>'2. Toimintakate'!G44+'4. Valtionosuudet'!T44+'3. Verotulot'!V44+'5. Rahoitustuotot ja -kulut'!F44</f>
        <v>8905</v>
      </c>
      <c r="G44" s="41">
        <f>'2. Toimintakate'!H44+'3. Verotulot'!AA44+'4. Valtionosuudet'!Z44+'5. Rahoitustuotot ja -kulut'!G44</f>
        <v>7547</v>
      </c>
      <c r="H44" s="41">
        <f>Käyttökate!H44+'5. Rahoitustuotot ja -kulut'!H44</f>
        <v>23681.621834731457</v>
      </c>
      <c r="I44" s="41">
        <f>Käyttökate!I44+'5. Rahoitustuotot ja -kulut'!I44</f>
        <v>17308.311726701802</v>
      </c>
      <c r="J44" s="41">
        <f>Käyttökate!J44+'5. Rahoitustuotot ja -kulut'!J44</f>
        <v>18256.982470066465</v>
      </c>
      <c r="K44" s="41">
        <f>Käyttökate!K44+'5. Rahoitustuotot ja -kulut'!K44</f>
        <v>20778.881885981242</v>
      </c>
      <c r="L44" s="41">
        <f>Käyttökate!L44+'5. Rahoitustuotot ja -kulut'!L44</f>
        <v>9944.2099102145694</v>
      </c>
      <c r="M44" s="41">
        <f>Käyttökate!M44+'5. Rahoitustuotot ja -kulut'!M44</f>
        <v>9461.4073361995215</v>
      </c>
      <c r="N44" s="41">
        <f>Käyttökate!N44+'5. Rahoitustuotot ja -kulut'!N44</f>
        <v>9263.605925742715</v>
      </c>
      <c r="O44" s="41">
        <f>Käyttökate!O44+'5. Rahoitustuotot ja -kulut'!O44</f>
        <v>9191.7891470753348</v>
      </c>
      <c r="P44" s="41">
        <f>Käyttökate!P44+'5. Rahoitustuotot ja -kulut'!P44</f>
        <v>11587.468920970874</v>
      </c>
      <c r="T44" s="34">
        <v>98</v>
      </c>
      <c r="U44" s="88" t="s">
        <v>357</v>
      </c>
      <c r="V44" s="41" t="e">
        <f>C44/'1. Väestöennuste'!E44*1000</f>
        <v>#REF!</v>
      </c>
      <c r="W44" s="41">
        <f>D44/'1. Väestöennuste'!F44*1000</f>
        <v>534.48783153293266</v>
      </c>
      <c r="X44" s="41">
        <f>E44/'1. Väestöennuste'!G44*1000</f>
        <v>671.81061306870743</v>
      </c>
      <c r="Y44" s="41">
        <f>F44/'1. Väestöennuste'!H44*1000</f>
        <v>377.29853402254048</v>
      </c>
      <c r="Z44" s="41">
        <f>G44/'1. Väestöennuste'!I44*1000</f>
        <v>322.3835967535241</v>
      </c>
      <c r="AA44" s="41">
        <f>H44/'1. Väestöennuste'!J44*1000</f>
        <v>1018.5205726519916</v>
      </c>
      <c r="AB44" s="41">
        <f>I44/'1. Väestöennuste'!K44*1000</f>
        <v>749.60206698578611</v>
      </c>
      <c r="AC44" s="41">
        <f>J44/'1. Väestöennuste'!L44*1000</f>
        <v>795.75393235699187</v>
      </c>
      <c r="AD44" s="41">
        <f>K44/'1. Väestöennuste'!M44*1000</f>
        <v>907.96949469002584</v>
      </c>
      <c r="AE44" s="41">
        <f>L44/'1. Väestöennuste'!N44*1000</f>
        <v>437.39652123222209</v>
      </c>
      <c r="AF44" s="41">
        <f>M44/'1. Väestöennuste'!O44*1000</f>
        <v>418.70192221089178</v>
      </c>
      <c r="AG44" s="41">
        <f>N44/'1. Väestöennuste'!P44*1000</f>
        <v>412.43069879981812</v>
      </c>
      <c r="AH44" s="41">
        <f>O44/'1. Väestöennuste'!Q44*1000</f>
        <v>411.57879134354255</v>
      </c>
      <c r="AI44" s="41">
        <f>P44/'1. Väestöennuste'!R44*1000</f>
        <v>521.934548937925</v>
      </c>
      <c r="AK44" s="41">
        <f>'6. Poistot'!Z44</f>
        <v>384.10935497650576</v>
      </c>
      <c r="AL44" s="41">
        <f>'6. Poistot'!AA44</f>
        <v>369.96258225452664</v>
      </c>
      <c r="AM44" s="41">
        <f>'6. Poistot'!AB44</f>
        <v>388.20584711996537</v>
      </c>
      <c r="AN44" s="41">
        <f>'6. Poistot'!AC44</f>
        <v>421.64032428191604</v>
      </c>
      <c r="AO44" s="41">
        <f>'6. Poistot'!AD44</f>
        <v>442.73680445706793</v>
      </c>
      <c r="AP44" s="41">
        <f>'6. Poistot'!AE44</f>
        <v>367.627006817682</v>
      </c>
      <c r="AQ44" s="41">
        <f>'6. Poistot'!AF44</f>
        <v>395.86228260388543</v>
      </c>
      <c r="AR44" s="41">
        <f>'6. Poistot'!AG44</f>
        <v>423.47179555674279</v>
      </c>
      <c r="AS44" s="41">
        <f>'6. Poistot'!AH44</f>
        <v>439.64109278513581</v>
      </c>
      <c r="AT44" s="41">
        <f>'6. Poistot'!AI44</f>
        <v>456.07896267469363</v>
      </c>
      <c r="AV44" s="4">
        <f t="shared" si="19"/>
        <v>0</v>
      </c>
      <c r="AW44" s="4">
        <f t="shared" si="11"/>
        <v>0</v>
      </c>
      <c r="AX44" s="4">
        <f t="shared" si="12"/>
        <v>0</v>
      </c>
      <c r="AY44" s="4">
        <f t="shared" si="13"/>
        <v>0</v>
      </c>
      <c r="AZ44" s="4">
        <f t="shared" si="14"/>
        <v>0</v>
      </c>
      <c r="BA44" s="4">
        <f t="shared" si="15"/>
        <v>1</v>
      </c>
      <c r="BB44" s="4">
        <f t="shared" si="16"/>
        <v>1</v>
      </c>
      <c r="BC44" s="4">
        <f t="shared" si="17"/>
        <v>0</v>
      </c>
      <c r="BE44" s="405">
        <f t="shared" si="20"/>
        <v>0</v>
      </c>
      <c r="BF44" s="405">
        <f t="shared" si="21"/>
        <v>0</v>
      </c>
      <c r="BG44" s="405">
        <f t="shared" si="22"/>
        <v>0</v>
      </c>
      <c r="BH44" s="405">
        <f t="shared" si="23"/>
        <v>0</v>
      </c>
      <c r="BI44" s="405">
        <f t="shared" si="24"/>
        <v>0</v>
      </c>
      <c r="BJ44" s="405">
        <f t="shared" si="25"/>
        <v>0</v>
      </c>
      <c r="BK44" s="405">
        <f t="shared" si="26"/>
        <v>0</v>
      </c>
      <c r="BL44" s="405">
        <f t="shared" si="27"/>
        <v>0</v>
      </c>
      <c r="BM44" s="405">
        <f t="shared" si="28"/>
        <v>0</v>
      </c>
      <c r="BN44" s="405">
        <f t="shared" si="28"/>
        <v>0</v>
      </c>
    </row>
    <row r="45" spans="1:66" x14ac:dyDescent="0.2">
      <c r="A45" s="34">
        <v>102</v>
      </c>
      <c r="B45" s="88" t="s">
        <v>359</v>
      </c>
      <c r="C45" s="41" t="e">
        <f>'2. Toimintakate'!D45+'3. Verotulot'!G45+'4. Valtionosuudet'!#REF!+'5. Rahoitustuotot ja -kulut'!C45</f>
        <v>#REF!</v>
      </c>
      <c r="D45" s="41">
        <f>'2. Toimintakate'!E45+'4. Valtionosuudet'!H45+'3. Verotulot'!L45+'5. Rahoitustuotot ja -kulut'!D45</f>
        <v>1756</v>
      </c>
      <c r="E45" s="41">
        <f>'2. Toimintakate'!F45+'4. Valtionosuudet'!N45+'3. Verotulot'!Q45+'5. Rahoitustuotot ja -kulut'!E45</f>
        <v>3511</v>
      </c>
      <c r="F45" s="41">
        <f>'2. Toimintakate'!G45+'4. Valtionosuudet'!T45+'3. Verotulot'!V45+'5. Rahoitustuotot ja -kulut'!F45</f>
        <v>109</v>
      </c>
      <c r="G45" s="41">
        <f>'2. Toimintakate'!H45+'3. Verotulot'!AA45+'4. Valtionosuudet'!Z45+'5. Rahoitustuotot ja -kulut'!G45</f>
        <v>547</v>
      </c>
      <c r="H45" s="41">
        <f>Käyttökate!H45+'5. Rahoitustuotot ja -kulut'!H45</f>
        <v>8218.3943215564868</v>
      </c>
      <c r="I45" s="41">
        <f>Käyttökate!I45+'5. Rahoitustuotot ja -kulut'!I45</f>
        <v>4722.5502815710915</v>
      </c>
      <c r="J45" s="41">
        <f>Käyttökate!J45+'5. Rahoitustuotot ja -kulut'!J45</f>
        <v>2461.1843886875304</v>
      </c>
      <c r="K45" s="41">
        <f>Käyttökate!K45+'5. Rahoitustuotot ja -kulut'!K45</f>
        <v>6934.5328804260644</v>
      </c>
      <c r="L45" s="41">
        <f>Käyttökate!L45+'5. Rahoitustuotot ja -kulut'!L45</f>
        <v>3034.822295637518</v>
      </c>
      <c r="M45" s="41">
        <f>Käyttökate!M45+'5. Rahoitustuotot ja -kulut'!M45</f>
        <v>2683.8337468093791</v>
      </c>
      <c r="N45" s="41">
        <f>Käyttökate!N45+'5. Rahoitustuotot ja -kulut'!N45</f>
        <v>3119.2538198343223</v>
      </c>
      <c r="O45" s="41">
        <f>Käyttökate!O45+'5. Rahoitustuotot ja -kulut'!O45</f>
        <v>3246.9012447403188</v>
      </c>
      <c r="P45" s="41">
        <f>Käyttökate!P45+'5. Rahoitustuotot ja -kulut'!P45</f>
        <v>4317.317011677349</v>
      </c>
      <c r="T45" s="34">
        <v>102</v>
      </c>
      <c r="U45" s="88" t="s">
        <v>359</v>
      </c>
      <c r="V45" s="41" t="e">
        <f>C45/'1. Väestöennuste'!E45*1000</f>
        <v>#REF!</v>
      </c>
      <c r="W45" s="41">
        <f>D45/'1. Väestöennuste'!F45*1000</f>
        <v>168.79746227049887</v>
      </c>
      <c r="X45" s="41">
        <f>E45/'1. Väestöennuste'!G45*1000</f>
        <v>343.97962182815718</v>
      </c>
      <c r="Y45" s="41">
        <f>F45/'1. Väestöennuste'!H45*1000</f>
        <v>10.801704489148745</v>
      </c>
      <c r="Z45" s="41">
        <f>G45/'1. Väestöennuste'!I45*1000</f>
        <v>54.460374352847474</v>
      </c>
      <c r="AA45" s="41">
        <f>H45/'1. Väestöennuste'!J45*1000</f>
        <v>827.04984618662445</v>
      </c>
      <c r="AB45" s="41">
        <f>I45/'1. Väestöennuste'!K45*1000</f>
        <v>478.47520583293732</v>
      </c>
      <c r="AC45" s="41">
        <f>J45/'1. Väestöennuste'!L45*1000</f>
        <v>252.55868534505188</v>
      </c>
      <c r="AD45" s="41">
        <f>K45/'1. Väestöennuste'!M45*1000</f>
        <v>718.90243421377409</v>
      </c>
      <c r="AE45" s="41">
        <f>L45/'1. Väestöennuste'!N45*1000</f>
        <v>318.34913412750632</v>
      </c>
      <c r="AF45" s="41">
        <f>M45/'1. Väestöennuste'!O45*1000</f>
        <v>284.2141000539425</v>
      </c>
      <c r="AG45" s="41">
        <f>N45/'1. Väestöennuste'!P45*1000</f>
        <v>333.43172846972982</v>
      </c>
      <c r="AH45" s="41">
        <f>O45/'1. Väestöennuste'!Q45*1000</f>
        <v>350.14571818616616</v>
      </c>
      <c r="AI45" s="41">
        <f>P45/'1. Väestöennuste'!R45*1000</f>
        <v>469.63091609674194</v>
      </c>
      <c r="AK45" s="41">
        <f>'6. Poistot'!Z45</f>
        <v>443.6479490242931</v>
      </c>
      <c r="AL45" s="41">
        <f>'6. Poistot'!AA45</f>
        <v>387.94404749924524</v>
      </c>
      <c r="AM45" s="41">
        <f>'6. Poistot'!AB45</f>
        <v>388.26619351570417</v>
      </c>
      <c r="AN45" s="41">
        <f>'6. Poistot'!AC45</f>
        <v>372.72220625962029</v>
      </c>
      <c r="AO45" s="41">
        <f>'6. Poistot'!AD45</f>
        <v>399.82974289861085</v>
      </c>
      <c r="AP45" s="41">
        <f>'6. Poistot'!AE45</f>
        <v>477.22018252386448</v>
      </c>
      <c r="AQ45" s="41">
        <f>'6. Poistot'!AF45</f>
        <v>489.97882029016199</v>
      </c>
      <c r="AR45" s="41">
        <f>'6. Poistot'!AG45</f>
        <v>517.53500801710322</v>
      </c>
      <c r="AS45" s="41">
        <f>'6. Poistot'!AH45</f>
        <v>538.95813422059052</v>
      </c>
      <c r="AT45" s="41">
        <f>'6. Poistot'!AI45</f>
        <v>560.64152695040491</v>
      </c>
      <c r="AV45" s="4">
        <f t="shared" si="19"/>
        <v>0</v>
      </c>
      <c r="AW45" s="4">
        <f t="shared" si="11"/>
        <v>1</v>
      </c>
      <c r="AX45" s="4">
        <f t="shared" si="12"/>
        <v>0</v>
      </c>
      <c r="AY45" s="4">
        <f t="shared" si="13"/>
        <v>1</v>
      </c>
      <c r="AZ45" s="4">
        <f t="shared" si="14"/>
        <v>1</v>
      </c>
      <c r="BA45" s="4">
        <f t="shared" si="15"/>
        <v>1</v>
      </c>
      <c r="BB45" s="4">
        <f t="shared" si="16"/>
        <v>1</v>
      </c>
      <c r="BC45" s="4">
        <f t="shared" si="17"/>
        <v>1</v>
      </c>
      <c r="BE45" s="405">
        <f t="shared" si="20"/>
        <v>0</v>
      </c>
      <c r="BF45" s="405">
        <f t="shared" si="21"/>
        <v>0</v>
      </c>
      <c r="BG45" s="405">
        <f t="shared" si="22"/>
        <v>0</v>
      </c>
      <c r="BH45" s="405">
        <f t="shared" si="23"/>
        <v>0</v>
      </c>
      <c r="BI45" s="405">
        <f t="shared" si="24"/>
        <v>0</v>
      </c>
      <c r="BJ45" s="405">
        <f t="shared" si="25"/>
        <v>0</v>
      </c>
      <c r="BK45" s="405">
        <f t="shared" si="26"/>
        <v>0</v>
      </c>
      <c r="BL45" s="405">
        <f t="shared" si="27"/>
        <v>0</v>
      </c>
      <c r="BM45" s="405">
        <f t="shared" si="28"/>
        <v>0</v>
      </c>
      <c r="BN45" s="405">
        <f t="shared" si="28"/>
        <v>0</v>
      </c>
    </row>
    <row r="46" spans="1:66" x14ac:dyDescent="0.2">
      <c r="A46" s="34">
        <v>103</v>
      </c>
      <c r="B46" s="88" t="s">
        <v>360</v>
      </c>
      <c r="C46" s="41" t="e">
        <f>'2. Toimintakate'!D46+'3. Verotulot'!G46+'4. Valtionosuudet'!#REF!+'5. Rahoitustuotot ja -kulut'!C46</f>
        <v>#REF!</v>
      </c>
      <c r="D46" s="41">
        <f>'2. Toimintakate'!E46+'4. Valtionosuudet'!H46+'3. Verotulot'!L46+'5. Rahoitustuotot ja -kulut'!D46</f>
        <v>23</v>
      </c>
      <c r="E46" s="41">
        <f>'2. Toimintakate'!F46+'4. Valtionosuudet'!N46+'3. Verotulot'!Q46+'5. Rahoitustuotot ja -kulut'!E46</f>
        <v>401</v>
      </c>
      <c r="F46" s="41">
        <f>'2. Toimintakate'!G46+'4. Valtionosuudet'!T46+'3. Verotulot'!V46+'5. Rahoitustuotot ja -kulut'!F46</f>
        <v>-226</v>
      </c>
      <c r="G46" s="41">
        <f>'2. Toimintakate'!H46+'3. Verotulot'!AA46+'4. Valtionosuudet'!Z46+'5. Rahoitustuotot ja -kulut'!G46</f>
        <v>278</v>
      </c>
      <c r="H46" s="41">
        <f>Käyttökate!H46+'5. Rahoitustuotot ja -kulut'!H46</f>
        <v>895.00785388590975</v>
      </c>
      <c r="I46" s="41">
        <f>Käyttökate!I46+'5. Rahoitustuotot ja -kulut'!I46</f>
        <v>745.29887470988285</v>
      </c>
      <c r="J46" s="41">
        <f>Käyttökate!J46+'5. Rahoitustuotot ja -kulut'!J46</f>
        <v>156.1907039155096</v>
      </c>
      <c r="K46" s="41">
        <f>Käyttökate!K46+'5. Rahoitustuotot ja -kulut'!K46</f>
        <v>335.70383474168227</v>
      </c>
      <c r="L46" s="41">
        <f>Käyttökate!L46+'5. Rahoitustuotot ja -kulut'!L46</f>
        <v>0.38287531105497408</v>
      </c>
      <c r="M46" s="41">
        <f>Käyttökate!M46+'5. Rahoitustuotot ja -kulut'!M46</f>
        <v>-951.51368727373119</v>
      </c>
      <c r="N46" s="41">
        <f>Käyttökate!N46+'5. Rahoitustuotot ja -kulut'!N46</f>
        <v>-1003.9640318559696</v>
      </c>
      <c r="O46" s="41">
        <f>Käyttökate!O46+'5. Rahoitustuotot ja -kulut'!O46</f>
        <v>-1101.8822048772604</v>
      </c>
      <c r="P46" s="41">
        <f>Käyttökate!P46+'5. Rahoitustuotot ja -kulut'!P46</f>
        <v>-955.27514687594851</v>
      </c>
      <c r="T46" s="34">
        <v>103</v>
      </c>
      <c r="U46" s="88" t="s">
        <v>360</v>
      </c>
      <c r="V46" s="41" t="e">
        <f>C46/'1. Väestöennuste'!E46*1000</f>
        <v>#REF!</v>
      </c>
      <c r="W46" s="41">
        <f>D46/'1. Väestöennuste'!F46*1000</f>
        <v>9.8081023454157776</v>
      </c>
      <c r="X46" s="41">
        <f>E46/'1. Väestöennuste'!G46*1000</f>
        <v>175.10917030567686</v>
      </c>
      <c r="Y46" s="41">
        <f>F46/'1. Väestöennuste'!H46*1000</f>
        <v>-101.11856823266218</v>
      </c>
      <c r="Z46" s="41">
        <f>G46/'1. Väestöennuste'!I46*1000</f>
        <v>127.28937728937728</v>
      </c>
      <c r="AA46" s="41">
        <f>H46/'1. Väestöennuste'!J46*1000</f>
        <v>411.68714530170644</v>
      </c>
      <c r="AB46" s="41">
        <f>I46/'1. Väestöennuste'!K46*1000</f>
        <v>344.08996985682495</v>
      </c>
      <c r="AC46" s="41">
        <f>J46/'1. Väestöennuste'!L46*1000</f>
        <v>72.277049475016014</v>
      </c>
      <c r="AD46" s="41">
        <f>K46/'1. Väestöennuste'!M46*1000</f>
        <v>157.97827517255635</v>
      </c>
      <c r="AE46" s="41">
        <f>L46/'1. Väestöennuste'!N46*1000</f>
        <v>0.18372135847167664</v>
      </c>
      <c r="AF46" s="41">
        <f>M46/'1. Väestöennuste'!O46*1000</f>
        <v>-461.00469344657517</v>
      </c>
      <c r="AG46" s="41">
        <f>N46/'1. Väestöennuste'!P46*1000</f>
        <v>-491.65721442505856</v>
      </c>
      <c r="AH46" s="41">
        <f>O46/'1. Väestöennuste'!Q46*1000</f>
        <v>-545.21633096351331</v>
      </c>
      <c r="AI46" s="41">
        <f>P46/'1. Väestöennuste'!R46*1000</f>
        <v>-476.92219015274515</v>
      </c>
      <c r="AK46" s="41">
        <f>'6. Poistot'!Z46</f>
        <v>173.07692307692307</v>
      </c>
      <c r="AL46" s="41">
        <f>'6. Poistot'!AA46</f>
        <v>163.29346826126957</v>
      </c>
      <c r="AM46" s="41">
        <f>'6. Poistot'!AB46</f>
        <v>155.77716528162512</v>
      </c>
      <c r="AN46" s="41">
        <f>'6. Poistot'!AC46</f>
        <v>157.53042110134197</v>
      </c>
      <c r="AO46" s="41">
        <f>'6. Poistot'!AD46</f>
        <v>167.96503529411765</v>
      </c>
      <c r="AP46" s="41">
        <f>'6. Poistot'!AE46</f>
        <v>148.81957773512474</v>
      </c>
      <c r="AQ46" s="41">
        <f>'6. Poistot'!AF46</f>
        <v>150.19379844961239</v>
      </c>
      <c r="AR46" s="41">
        <f>'6. Poistot'!AG46</f>
        <v>151.81194906953965</v>
      </c>
      <c r="AS46" s="41">
        <f>'6. Poistot'!AH46</f>
        <v>158.33872616693498</v>
      </c>
      <c r="AT46" s="41">
        <f>'6. Poistot'!AI46</f>
        <v>164.7554324347235</v>
      </c>
      <c r="AV46" s="4">
        <f t="shared" si="19"/>
        <v>0</v>
      </c>
      <c r="AW46" s="4">
        <f t="shared" si="11"/>
        <v>1</v>
      </c>
      <c r="AX46" s="4">
        <f t="shared" si="12"/>
        <v>1</v>
      </c>
      <c r="AY46" s="4">
        <f t="shared" si="13"/>
        <v>1</v>
      </c>
      <c r="AZ46" s="4">
        <f t="shared" si="14"/>
        <v>1</v>
      </c>
      <c r="BA46" s="4">
        <f t="shared" si="15"/>
        <v>1</v>
      </c>
      <c r="BB46" s="4">
        <f t="shared" si="16"/>
        <v>1</v>
      </c>
      <c r="BC46" s="4">
        <f t="shared" si="17"/>
        <v>1</v>
      </c>
      <c r="BE46" s="405">
        <f t="shared" si="20"/>
        <v>0</v>
      </c>
      <c r="BF46" s="405">
        <f t="shared" si="21"/>
        <v>0</v>
      </c>
      <c r="BG46" s="405">
        <f t="shared" si="22"/>
        <v>0</v>
      </c>
      <c r="BH46" s="405">
        <f t="shared" si="23"/>
        <v>0</v>
      </c>
      <c r="BI46" s="405">
        <f t="shared" si="24"/>
        <v>0</v>
      </c>
      <c r="BJ46" s="405">
        <f t="shared" si="25"/>
        <v>0</v>
      </c>
      <c r="BK46" s="405">
        <f t="shared" si="26"/>
        <v>-1</v>
      </c>
      <c r="BL46" s="405">
        <f t="shared" si="27"/>
        <v>-1</v>
      </c>
      <c r="BM46" s="405">
        <f t="shared" si="28"/>
        <v>-1</v>
      </c>
      <c r="BN46" s="405">
        <f t="shared" si="28"/>
        <v>-1</v>
      </c>
    </row>
    <row r="47" spans="1:66" x14ac:dyDescent="0.2">
      <c r="A47" s="34">
        <v>105</v>
      </c>
      <c r="B47" s="88" t="s">
        <v>361</v>
      </c>
      <c r="C47" s="41" t="e">
        <f>'2. Toimintakate'!D47+'3. Verotulot'!G47+'4. Valtionosuudet'!#REF!+'5. Rahoitustuotot ja -kulut'!C47</f>
        <v>#REF!</v>
      </c>
      <c r="D47" s="41">
        <f>'2. Toimintakate'!E47+'4. Valtionosuudet'!H47+'3. Verotulot'!L47+'5. Rahoitustuotot ja -kulut'!D47</f>
        <v>301</v>
      </c>
      <c r="E47" s="41">
        <f>'2. Toimintakate'!F47+'4. Valtionosuudet'!N47+'3. Verotulot'!Q47+'5. Rahoitustuotot ja -kulut'!E47</f>
        <v>1805</v>
      </c>
      <c r="F47" s="41">
        <f>'2. Toimintakate'!G47+'4. Valtionosuudet'!T47+'3. Verotulot'!V47+'5. Rahoitustuotot ja -kulut'!F47</f>
        <v>873</v>
      </c>
      <c r="G47" s="41">
        <f>'2. Toimintakate'!H47+'3. Verotulot'!AA47+'4. Valtionosuudet'!Z47+'5. Rahoitustuotot ja -kulut'!G47</f>
        <v>991</v>
      </c>
      <c r="H47" s="41">
        <f>Käyttökate!H47+'5. Rahoitustuotot ja -kulut'!H47</f>
        <v>862.73910758949023</v>
      </c>
      <c r="I47" s="41">
        <f>Käyttökate!I47+'5. Rahoitustuotot ja -kulut'!I47</f>
        <v>60.435377835241951</v>
      </c>
      <c r="J47" s="41">
        <f>Käyttökate!J47+'5. Rahoitustuotot ja -kulut'!J47</f>
        <v>2321.3584492061027</v>
      </c>
      <c r="K47" s="41">
        <f>Käyttökate!K47+'5. Rahoitustuotot ja -kulut'!K47</f>
        <v>1359.6016228642031</v>
      </c>
      <c r="L47" s="41">
        <f>Käyttökate!L47+'5. Rahoitustuotot ja -kulut'!L47</f>
        <v>1536.3666990180586</v>
      </c>
      <c r="M47" s="41">
        <f>Käyttökate!M47+'5. Rahoitustuotot ja -kulut'!M47</f>
        <v>1315.5409887821693</v>
      </c>
      <c r="N47" s="41">
        <f>Käyttökate!N47+'5. Rahoitustuotot ja -kulut'!N47</f>
        <v>1128.746923257348</v>
      </c>
      <c r="O47" s="41">
        <f>Käyttökate!O47+'5. Rahoitustuotot ja -kulut'!O47</f>
        <v>1061.0049590222079</v>
      </c>
      <c r="P47" s="41">
        <f>Käyttökate!P47+'5. Rahoitustuotot ja -kulut'!P47</f>
        <v>1365.8708125902858</v>
      </c>
      <c r="T47" s="34">
        <v>105</v>
      </c>
      <c r="U47" s="88" t="s">
        <v>361</v>
      </c>
      <c r="V47" s="41" t="e">
        <f>C47/'1. Väestöennuste'!E47*1000</f>
        <v>#REF!</v>
      </c>
      <c r="W47" s="41">
        <f>D47/'1. Väestöennuste'!F47*1000</f>
        <v>125.10390689941811</v>
      </c>
      <c r="X47" s="41">
        <f>E47/'1. Väestöennuste'!G47*1000</f>
        <v>776.01031814273438</v>
      </c>
      <c r="Y47" s="41">
        <f>F47/'1. Väestöennuste'!H47*1000</f>
        <v>381.72278093572368</v>
      </c>
      <c r="Z47" s="41">
        <f>G47/'1. Väestöennuste'!I47*1000</f>
        <v>436.37164244826067</v>
      </c>
      <c r="AA47" s="41">
        <f>H47/'1. Väestöennuste'!J47*1000</f>
        <v>392.33247275556624</v>
      </c>
      <c r="AB47" s="41">
        <f>I47/'1. Väestöennuste'!K47*1000</f>
        <v>28.254033583563324</v>
      </c>
      <c r="AC47" s="41">
        <f>J47/'1. Väestöennuste'!L47*1000</f>
        <v>1108.5761457526755</v>
      </c>
      <c r="AD47" s="41">
        <f>K47/'1. Väestöennuste'!M47*1000</f>
        <v>659.04101932341405</v>
      </c>
      <c r="AE47" s="41">
        <f>L47/'1. Väestöennuste'!N47*1000</f>
        <v>752.38330020472995</v>
      </c>
      <c r="AF47" s="41">
        <f>M47/'1. Väestöennuste'!O47*1000</f>
        <v>654.82378734801864</v>
      </c>
      <c r="AG47" s="41">
        <f>N47/'1. Väestöennuste'!P47*1000</f>
        <v>571.22820002902233</v>
      </c>
      <c r="AH47" s="41">
        <f>O47/'1. Väestöennuste'!Q47*1000</f>
        <v>545.50383497285759</v>
      </c>
      <c r="AI47" s="41">
        <f>P47/'1. Väestöennuste'!R47*1000</f>
        <v>712.87620698866692</v>
      </c>
      <c r="AK47" s="41">
        <f>'6. Poistot'!Z47</f>
        <v>214.88331131660064</v>
      </c>
      <c r="AL47" s="41">
        <f>'6. Poistot'!AA47</f>
        <v>216.91678035470667</v>
      </c>
      <c r="AM47" s="41">
        <f>'6. Poistot'!AB47</f>
        <v>225.68313230481533</v>
      </c>
      <c r="AN47" s="41">
        <f>'6. Poistot'!AC47</f>
        <v>246.86633237822346</v>
      </c>
      <c r="AO47" s="41">
        <f>'6. Poistot'!AD47</f>
        <v>278.9115026660204</v>
      </c>
      <c r="AP47" s="41">
        <f>'6. Poistot'!AE47</f>
        <v>253.09843290891283</v>
      </c>
      <c r="AQ47" s="41">
        <f>'6. Poistot'!AF47</f>
        <v>255.50074664011944</v>
      </c>
      <c r="AR47" s="41">
        <f>'6. Poistot'!AG47</f>
        <v>253.85374493927125</v>
      </c>
      <c r="AS47" s="41">
        <f>'6. Poistot'!AH47</f>
        <v>266.22122387445887</v>
      </c>
      <c r="AT47" s="41">
        <f>'6. Poistot'!AI47</f>
        <v>278.69810066369769</v>
      </c>
      <c r="AV47" s="4">
        <f t="shared" si="19"/>
        <v>1</v>
      </c>
      <c r="AW47" s="4">
        <f t="shared" si="11"/>
        <v>0</v>
      </c>
      <c r="AX47" s="4">
        <f t="shared" si="12"/>
        <v>0</v>
      </c>
      <c r="AY47" s="4">
        <f t="shared" si="13"/>
        <v>0</v>
      </c>
      <c r="AZ47" s="4">
        <f t="shared" si="14"/>
        <v>0</v>
      </c>
      <c r="BA47" s="4">
        <f t="shared" si="15"/>
        <v>0</v>
      </c>
      <c r="BB47" s="4">
        <f t="shared" si="16"/>
        <v>0</v>
      </c>
      <c r="BC47" s="4">
        <f t="shared" si="17"/>
        <v>0</v>
      </c>
      <c r="BE47" s="405">
        <f t="shared" si="20"/>
        <v>0</v>
      </c>
      <c r="BF47" s="405">
        <f t="shared" si="21"/>
        <v>0</v>
      </c>
      <c r="BG47" s="405">
        <f t="shared" si="22"/>
        <v>0</v>
      </c>
      <c r="BH47" s="405">
        <f t="shared" si="23"/>
        <v>0</v>
      </c>
      <c r="BI47" s="405">
        <f t="shared" si="24"/>
        <v>0</v>
      </c>
      <c r="BJ47" s="405">
        <f t="shared" si="25"/>
        <v>0</v>
      </c>
      <c r="BK47" s="405">
        <f t="shared" si="26"/>
        <v>0</v>
      </c>
      <c r="BL47" s="405">
        <f t="shared" si="27"/>
        <v>0</v>
      </c>
      <c r="BM47" s="405">
        <f t="shared" si="28"/>
        <v>0</v>
      </c>
      <c r="BN47" s="405">
        <f t="shared" si="28"/>
        <v>0</v>
      </c>
    </row>
    <row r="48" spans="1:66" x14ac:dyDescent="0.2">
      <c r="A48" s="34">
        <v>106</v>
      </c>
      <c r="B48" s="88" t="s">
        <v>362</v>
      </c>
      <c r="C48" s="41" t="e">
        <f>'2. Toimintakate'!D48+'3. Verotulot'!G48+'4. Valtionosuudet'!#REF!+'5. Rahoitustuotot ja -kulut'!C48</f>
        <v>#REF!</v>
      </c>
      <c r="D48" s="41">
        <f>'2. Toimintakate'!E48+'4. Valtionosuudet'!H48+'3. Verotulot'!L48+'5. Rahoitustuotot ja -kulut'!D48</f>
        <v>28761</v>
      </c>
      <c r="E48" s="41">
        <f>'2. Toimintakate'!F48+'4. Valtionosuudet'!N48+'3. Verotulot'!Q48+'5. Rahoitustuotot ja -kulut'!E48</f>
        <v>26746</v>
      </c>
      <c r="F48" s="41">
        <f>'2. Toimintakate'!G48+'4. Valtionosuudet'!T48+'3. Verotulot'!V48+'5. Rahoitustuotot ja -kulut'!F48</f>
        <v>16909</v>
      </c>
      <c r="G48" s="41">
        <f>'2. Toimintakate'!H48+'3. Verotulot'!AA48+'4. Valtionosuudet'!Z48+'5. Rahoitustuotot ja -kulut'!G48</f>
        <v>-91</v>
      </c>
      <c r="H48" s="41">
        <f>Käyttökate!H48+'5. Rahoitustuotot ja -kulut'!H48</f>
        <v>21113.12307478828</v>
      </c>
      <c r="I48" s="41">
        <f>Käyttökate!I48+'5. Rahoitustuotot ja -kulut'!I48</f>
        <v>41274.494000353072</v>
      </c>
      <c r="J48" s="41">
        <f>Käyttökate!J48+'5. Rahoitustuotot ja -kulut'!J48</f>
        <v>35496.37964188269</v>
      </c>
      <c r="K48" s="41">
        <f>Käyttökate!K48+'5. Rahoitustuotot ja -kulut'!K48</f>
        <v>46807.925646013457</v>
      </c>
      <c r="L48" s="41">
        <f>Käyttökate!L48+'5. Rahoitustuotot ja -kulut'!L48</f>
        <v>22256.198904004479</v>
      </c>
      <c r="M48" s="41">
        <f>Käyttökate!M48+'5. Rahoitustuotot ja -kulut'!M48</f>
        <v>21716.822567462536</v>
      </c>
      <c r="N48" s="41">
        <f>Käyttökate!N48+'5. Rahoitustuotot ja -kulut'!N48</f>
        <v>21490.212191997234</v>
      </c>
      <c r="O48" s="41">
        <f>Käyttökate!O48+'5. Rahoitustuotot ja -kulut'!O48</f>
        <v>22461.822694014711</v>
      </c>
      <c r="P48" s="41">
        <f>Käyttökate!P48+'5. Rahoitustuotot ja -kulut'!P48</f>
        <v>26051.233812936112</v>
      </c>
      <c r="T48" s="34">
        <v>106</v>
      </c>
      <c r="U48" s="88" t="s">
        <v>362</v>
      </c>
      <c r="V48" s="41" t="e">
        <f>C48/'1. Väestöennuste'!E48*1000</f>
        <v>#REF!</v>
      </c>
      <c r="W48" s="41">
        <f>D48/'1. Väestöennuste'!F48*1000</f>
        <v>617.24182333247495</v>
      </c>
      <c r="X48" s="41">
        <f>E48/'1. Väestöennuste'!G48*1000</f>
        <v>572.24159695329377</v>
      </c>
      <c r="Y48" s="41">
        <f>F48/'1. Väestöennuste'!H48*1000</f>
        <v>363.60313091346978</v>
      </c>
      <c r="Z48" s="41">
        <f>G48/'1. Väestöennuste'!I48*1000</f>
        <v>-1.9582526361093178</v>
      </c>
      <c r="AA48" s="41">
        <f>H48/'1. Väestöennuste'!J48*1000</f>
        <v>453.3047723030806</v>
      </c>
      <c r="AB48" s="41">
        <f>I48/'1. Väestöennuste'!K48*1000</f>
        <v>880.42862628739488</v>
      </c>
      <c r="AC48" s="41">
        <f>J48/'1. Väestöennuste'!L48*1000</f>
        <v>758.51827343382456</v>
      </c>
      <c r="AD48" s="41">
        <f>K48/'1. Väestöennuste'!M48*1000</f>
        <v>998.01551450957243</v>
      </c>
      <c r="AE48" s="41">
        <f>L48/'1. Väestöennuste'!N48*1000</f>
        <v>474.54581884870953</v>
      </c>
      <c r="AF48" s="41">
        <f>M48/'1. Väestöennuste'!O48*1000</f>
        <v>462.22724320419161</v>
      </c>
      <c r="AG48" s="41">
        <f>N48/'1. Väestöennuste'!P48*1000</f>
        <v>456.57797637454814</v>
      </c>
      <c r="AH48" s="41">
        <f>O48/'1. Väestöennuste'!Q48*1000</f>
        <v>476.38062170504787</v>
      </c>
      <c r="AI48" s="41">
        <f>P48/'1. Väestöennuste'!R48*1000</f>
        <v>551.51227481023193</v>
      </c>
      <c r="AK48" s="41">
        <f>'6. Poistot'!Z48</f>
        <v>414.99892403701313</v>
      </c>
      <c r="AL48" s="41">
        <f>'6. Poistot'!AA48</f>
        <v>412.44417725867402</v>
      </c>
      <c r="AM48" s="41">
        <f>'6. Poistot'!AB48</f>
        <v>467.86049658703064</v>
      </c>
      <c r="AN48" s="41">
        <f>'6. Poistot'!AC48</f>
        <v>443.77715644165221</v>
      </c>
      <c r="AO48" s="41">
        <f>'6. Poistot'!AD48</f>
        <v>433.15896420118969</v>
      </c>
      <c r="AP48" s="41">
        <f>'6. Poistot'!AE48</f>
        <v>466.95095948827293</v>
      </c>
      <c r="AQ48" s="41">
        <f>'6. Poistot'!AF48</f>
        <v>501.24513121767444</v>
      </c>
      <c r="AR48" s="41">
        <f>'6. Poistot'!AG48</f>
        <v>512.02515509475654</v>
      </c>
      <c r="AS48" s="41">
        <f>'6. Poistot'!AH48</f>
        <v>527.6159319686958</v>
      </c>
      <c r="AT48" s="41">
        <f>'6. Poistot'!AI48</f>
        <v>543.12891897095324</v>
      </c>
      <c r="AV48" s="4">
        <f t="shared" si="19"/>
        <v>0</v>
      </c>
      <c r="AW48" s="4">
        <f t="shared" si="11"/>
        <v>0</v>
      </c>
      <c r="AX48" s="4">
        <f t="shared" si="12"/>
        <v>0</v>
      </c>
      <c r="AY48" s="4">
        <f t="shared" si="13"/>
        <v>0</v>
      </c>
      <c r="AZ48" s="4">
        <f t="shared" si="14"/>
        <v>1</v>
      </c>
      <c r="BA48" s="4">
        <f t="shared" si="15"/>
        <v>1</v>
      </c>
      <c r="BB48" s="4">
        <f t="shared" si="16"/>
        <v>1</v>
      </c>
      <c r="BC48" s="4">
        <f t="shared" si="17"/>
        <v>0</v>
      </c>
      <c r="BE48" s="405">
        <f t="shared" si="20"/>
        <v>-1</v>
      </c>
      <c r="BF48" s="405">
        <f t="shared" si="21"/>
        <v>0</v>
      </c>
      <c r="BG48" s="405">
        <f t="shared" si="22"/>
        <v>0</v>
      </c>
      <c r="BH48" s="405">
        <f t="shared" si="23"/>
        <v>0</v>
      </c>
      <c r="BI48" s="405">
        <f t="shared" si="24"/>
        <v>0</v>
      </c>
      <c r="BJ48" s="405">
        <f t="shared" si="25"/>
        <v>0</v>
      </c>
      <c r="BK48" s="405">
        <f t="shared" si="26"/>
        <v>0</v>
      </c>
      <c r="BL48" s="405">
        <f t="shared" si="27"/>
        <v>0</v>
      </c>
      <c r="BM48" s="405">
        <f t="shared" si="28"/>
        <v>0</v>
      </c>
      <c r="BN48" s="405">
        <f t="shared" si="28"/>
        <v>0</v>
      </c>
    </row>
    <row r="49" spans="1:66" x14ac:dyDescent="0.2">
      <c r="A49" s="34">
        <v>108</v>
      </c>
      <c r="B49" s="88" t="s">
        <v>363</v>
      </c>
      <c r="C49" s="41" t="e">
        <f>'2. Toimintakate'!D49+'3. Verotulot'!G49+'4. Valtionosuudet'!#REF!+'5. Rahoitustuotot ja -kulut'!C49</f>
        <v>#REF!</v>
      </c>
      <c r="D49" s="41">
        <f>'2. Toimintakate'!E49+'4. Valtionosuudet'!H49+'3. Verotulot'!L49+'5. Rahoitustuotot ja -kulut'!D49</f>
        <v>3303</v>
      </c>
      <c r="E49" s="41">
        <f>'2. Toimintakate'!F49+'4. Valtionosuudet'!N49+'3. Verotulot'!Q49+'5. Rahoitustuotot ja -kulut'!E49</f>
        <v>5452</v>
      </c>
      <c r="F49" s="41">
        <f>'2. Toimintakate'!G49+'4. Valtionosuudet'!T49+'3. Verotulot'!V49+'5. Rahoitustuotot ja -kulut'!F49</f>
        <v>5774</v>
      </c>
      <c r="G49" s="41">
        <f>'2. Toimintakate'!H49+'3. Verotulot'!AA49+'4. Valtionosuudet'!Z49+'5. Rahoitustuotot ja -kulut'!G49</f>
        <v>3772</v>
      </c>
      <c r="H49" s="41">
        <f>Käyttökate!H49+'5. Rahoitustuotot ja -kulut'!H49</f>
        <v>7272.5645114138242</v>
      </c>
      <c r="I49" s="41">
        <f>Käyttökate!I49+'5. Rahoitustuotot ja -kulut'!I49</f>
        <v>4736.0607323641098</v>
      </c>
      <c r="J49" s="41">
        <f>Käyttökate!J49+'5. Rahoitustuotot ja -kulut'!J49</f>
        <v>6701.3061620507779</v>
      </c>
      <c r="K49" s="41">
        <f>Käyttökate!K49+'5. Rahoitustuotot ja -kulut'!K49</f>
        <v>7292.4782241386038</v>
      </c>
      <c r="L49" s="41">
        <f>Käyttökate!L49+'5. Rahoitustuotot ja -kulut'!L49</f>
        <v>5706.4000594655281</v>
      </c>
      <c r="M49" s="41">
        <f>Käyttökate!M49+'5. Rahoitustuotot ja -kulut'!M49</f>
        <v>4097.8813677733197</v>
      </c>
      <c r="N49" s="41">
        <f>Käyttökate!N49+'5. Rahoitustuotot ja -kulut'!N49</f>
        <v>4988.3781695415382</v>
      </c>
      <c r="O49" s="41">
        <f>Käyttökate!O49+'5. Rahoitustuotot ja -kulut'!O49</f>
        <v>5188.7886937158873</v>
      </c>
      <c r="P49" s="41">
        <f>Käyttökate!P49+'5. Rahoitustuotot ja -kulut'!P49</f>
        <v>6636.2439461604081</v>
      </c>
      <c r="T49" s="34">
        <v>108</v>
      </c>
      <c r="U49" s="88" t="s">
        <v>363</v>
      </c>
      <c r="V49" s="41" t="e">
        <f>C49/'1. Väestöennuste'!E49*1000</f>
        <v>#REF!</v>
      </c>
      <c r="W49" s="41">
        <f>D49/'1. Väestöennuste'!F49*1000</f>
        <v>309.24070779889524</v>
      </c>
      <c r="X49" s="41">
        <f>E49/'1. Väestöennuste'!G49*1000</f>
        <v>514.38814982545523</v>
      </c>
      <c r="Y49" s="41">
        <f>F49/'1. Väestöennuste'!H49*1000</f>
        <v>549.3815413891532</v>
      </c>
      <c r="Z49" s="41">
        <f>G49/'1. Väestöennuste'!I49*1000</f>
        <v>362.55286428296807</v>
      </c>
      <c r="AA49" s="41">
        <f>H49/'1. Väestöennuste'!J49*1000</f>
        <v>703.07081510187788</v>
      </c>
      <c r="AB49" s="41">
        <f>I49/'1. Väestöennuste'!K49*1000</f>
        <v>458.16588297998544</v>
      </c>
      <c r="AC49" s="41">
        <f>J49/'1. Väestöennuste'!L49*1000</f>
        <v>653.33978376238451</v>
      </c>
      <c r="AD49" s="41">
        <f>K49/'1. Väestöennuste'!M49*1000</f>
        <v>706.7039659015993</v>
      </c>
      <c r="AE49" s="41">
        <f>L49/'1. Väestöennuste'!N49*1000</f>
        <v>567.51865335311072</v>
      </c>
      <c r="AF49" s="41">
        <f>M49/'1. Väestöennuste'!O49*1000</f>
        <v>409.99313334400392</v>
      </c>
      <c r="AG49" s="41">
        <f>N49/'1. Väestöennuste'!P49*1000</f>
        <v>501.74795509369727</v>
      </c>
      <c r="AH49" s="41">
        <f>O49/'1. Väestöennuste'!Q49*1000</f>
        <v>524.4379112306334</v>
      </c>
      <c r="AI49" s="41">
        <f>P49/'1. Väestöennuste'!R49*1000</f>
        <v>673.93560944048011</v>
      </c>
      <c r="AK49" s="41">
        <f>'6. Poistot'!Z49</f>
        <v>546.61668589004228</v>
      </c>
      <c r="AL49" s="41">
        <f>'6. Poistot'!AA49</f>
        <v>514.21113689095137</v>
      </c>
      <c r="AM49" s="41">
        <f>'6. Poistot'!AB49</f>
        <v>511.77342459127397</v>
      </c>
      <c r="AN49" s="41">
        <f>'6. Poistot'!AC49</f>
        <v>499.24644437944818</v>
      </c>
      <c r="AO49" s="41">
        <f>'6. Poistot'!AD49</f>
        <v>489.13931097974603</v>
      </c>
      <c r="AP49" s="41">
        <f>'6. Poistot'!AE49</f>
        <v>507.21034311287917</v>
      </c>
      <c r="AQ49" s="41">
        <f>'6. Poistot'!AF49</f>
        <v>510.25512756378191</v>
      </c>
      <c r="AR49" s="41">
        <f>'6. Poistot'!AG49</f>
        <v>512.97525648762826</v>
      </c>
      <c r="AS49" s="41">
        <f>'6. Poistot'!AH49</f>
        <v>532.09605185130624</v>
      </c>
      <c r="AT49" s="41">
        <f>'6. Poistot'!AI49</f>
        <v>551.34728079959871</v>
      </c>
      <c r="AV49" s="4">
        <f t="shared" si="19"/>
        <v>1</v>
      </c>
      <c r="AW49" s="4">
        <f t="shared" si="11"/>
        <v>0</v>
      </c>
      <c r="AX49" s="4">
        <f t="shared" si="12"/>
        <v>0</v>
      </c>
      <c r="AY49" s="4">
        <f t="shared" si="13"/>
        <v>0</v>
      </c>
      <c r="AZ49" s="4">
        <f t="shared" si="14"/>
        <v>1</v>
      </c>
      <c r="BA49" s="4">
        <f t="shared" si="15"/>
        <v>1</v>
      </c>
      <c r="BB49" s="4">
        <f t="shared" si="16"/>
        <v>1</v>
      </c>
      <c r="BC49" s="4">
        <f t="shared" si="17"/>
        <v>0</v>
      </c>
      <c r="BE49" s="405">
        <f t="shared" si="20"/>
        <v>0</v>
      </c>
      <c r="BF49" s="405">
        <f t="shared" si="21"/>
        <v>0</v>
      </c>
      <c r="BG49" s="405">
        <f t="shared" si="22"/>
        <v>0</v>
      </c>
      <c r="BH49" s="405">
        <f t="shared" si="23"/>
        <v>0</v>
      </c>
      <c r="BI49" s="405">
        <f t="shared" si="24"/>
        <v>0</v>
      </c>
      <c r="BJ49" s="405">
        <f t="shared" si="25"/>
        <v>0</v>
      </c>
      <c r="BK49" s="405">
        <f t="shared" si="26"/>
        <v>0</v>
      </c>
      <c r="BL49" s="405">
        <f t="shared" si="27"/>
        <v>0</v>
      </c>
      <c r="BM49" s="405">
        <f t="shared" si="28"/>
        <v>0</v>
      </c>
      <c r="BN49" s="405">
        <f t="shared" si="28"/>
        <v>0</v>
      </c>
    </row>
    <row r="50" spans="1:66" x14ac:dyDescent="0.2">
      <c r="A50" s="34">
        <v>109</v>
      </c>
      <c r="B50" s="88" t="s">
        <v>364</v>
      </c>
      <c r="C50" s="41" t="e">
        <f>'2. Toimintakate'!D50+'3. Verotulot'!G50+'4. Valtionosuudet'!#REF!+'5. Rahoitustuotot ja -kulut'!C50</f>
        <v>#REF!</v>
      </c>
      <c r="D50" s="41">
        <f>'2. Toimintakate'!E50+'4. Valtionosuudet'!H50+'3. Verotulot'!L50+'5. Rahoitustuotot ja -kulut'!D50</f>
        <v>13723</v>
      </c>
      <c r="E50" s="41">
        <f>'2. Toimintakate'!F50+'4. Valtionosuudet'!N50+'3. Verotulot'!Q50+'5. Rahoitustuotot ja -kulut'!E50</f>
        <v>23432</v>
      </c>
      <c r="F50" s="41">
        <f>'2. Toimintakate'!G50+'4. Valtionosuudet'!T50+'3. Verotulot'!V50+'5. Rahoitustuotot ja -kulut'!F50</f>
        <v>13711</v>
      </c>
      <c r="G50" s="41">
        <f>'2. Toimintakate'!H50+'3. Verotulot'!AA50+'4. Valtionosuudet'!Z50+'5. Rahoitustuotot ja -kulut'!G50</f>
        <v>6752</v>
      </c>
      <c r="H50" s="41">
        <f>Käyttökate!H50+'5. Rahoitustuotot ja -kulut'!H50</f>
        <v>33132.895743801186</v>
      </c>
      <c r="I50" s="41">
        <f>Käyttökate!I50+'5. Rahoitustuotot ja -kulut'!I50</f>
        <v>33133.666306208812</v>
      </c>
      <c r="J50" s="41">
        <f>Käyttökate!J50+'5. Rahoitustuotot ja -kulut'!J50</f>
        <v>29051.364500828087</v>
      </c>
      <c r="K50" s="41">
        <f>Käyttökate!K50+'5. Rahoitustuotot ja -kulut'!K50</f>
        <v>54569.92602387091</v>
      </c>
      <c r="L50" s="41">
        <f>Käyttökate!L50+'5. Rahoitustuotot ja -kulut'!L50</f>
        <v>37356.944973263555</v>
      </c>
      <c r="M50" s="41">
        <f>Käyttökate!M50+'5. Rahoitustuotot ja -kulut'!M50</f>
        <v>31286.827029708027</v>
      </c>
      <c r="N50" s="41">
        <f>Käyttökate!N50+'5. Rahoitustuotot ja -kulut'!N50</f>
        <v>30332.230908690035</v>
      </c>
      <c r="O50" s="41">
        <f>Käyttökate!O50+'5. Rahoitustuotot ja -kulut'!O50</f>
        <v>31562.307514434371</v>
      </c>
      <c r="P50" s="41">
        <f>Käyttökate!P50+'5. Rahoitustuotot ja -kulut'!P50</f>
        <v>37687.921065097398</v>
      </c>
      <c r="T50" s="34">
        <v>109</v>
      </c>
      <c r="U50" s="88" t="s">
        <v>364</v>
      </c>
      <c r="V50" s="41" t="e">
        <f>C50/'1. Väestöennuste'!E50*1000</f>
        <v>#REF!</v>
      </c>
      <c r="W50" s="41">
        <f>D50/'1. Väestöennuste'!F50*1000</f>
        <v>202.25497420781136</v>
      </c>
      <c r="X50" s="41">
        <f>E50/'1. Väestöennuste'!G50*1000</f>
        <v>346.30959770624577</v>
      </c>
      <c r="Y50" s="41">
        <f>F50/'1. Väestöennuste'!H50*1000</f>
        <v>203.02967482082568</v>
      </c>
      <c r="Z50" s="41">
        <f>G50/'1. Väestöennuste'!I50*1000</f>
        <v>99.832921798530307</v>
      </c>
      <c r="AA50" s="41">
        <f>H50/'1. Väestöennuste'!J50*1000</f>
        <v>488.34005046281669</v>
      </c>
      <c r="AB50" s="41">
        <f>I50/'1. Väestöennuste'!K50*1000</f>
        <v>487.46768925289916</v>
      </c>
      <c r="AC50" s="41">
        <f>J50/'1. Väestöennuste'!L50*1000</f>
        <v>426.95596168346617</v>
      </c>
      <c r="AD50" s="41">
        <f>K50/'1. Väestöennuste'!M50*1000</f>
        <v>798.75182634217288</v>
      </c>
      <c r="AE50" s="41">
        <f>L50/'1. Väestöennuste'!N50*1000</f>
        <v>548.84220925973045</v>
      </c>
      <c r="AF50" s="41">
        <f>M50/'1. Väestöennuste'!O50*1000</f>
        <v>459.49224599365584</v>
      </c>
      <c r="AG50" s="41">
        <f>N50/'1. Väestöennuste'!P50*1000</f>
        <v>445.3483520340929</v>
      </c>
      <c r="AH50" s="41">
        <f>O50/'1. Väestöennuste'!Q50*1000</f>
        <v>463.33393297760375</v>
      </c>
      <c r="AI50" s="41">
        <f>P50/'1. Väestöennuste'!R50*1000</f>
        <v>553.26591795383661</v>
      </c>
      <c r="AK50" s="41">
        <f>'6. Poistot'!Z50</f>
        <v>271.61296999985211</v>
      </c>
      <c r="AL50" s="41">
        <f>'6. Poistot'!AA50</f>
        <v>292.32991392524468</v>
      </c>
      <c r="AM50" s="41">
        <f>'6. Poistot'!AB50</f>
        <v>324.00541525062158</v>
      </c>
      <c r="AN50" s="41">
        <f>'6. Poistot'!AC50</f>
        <v>293.71315080169899</v>
      </c>
      <c r="AO50" s="41">
        <f>'6. Poistot'!AD50</f>
        <v>346.62416882565611</v>
      </c>
      <c r="AP50" s="41">
        <f>'6. Poistot'!AE50</f>
        <v>312.21626386542277</v>
      </c>
      <c r="AQ50" s="41">
        <f>'6. Poistot'!AF50</f>
        <v>309.1055955353209</v>
      </c>
      <c r="AR50" s="41">
        <f>'6. Poistot'!AG50</f>
        <v>317.41766873687766</v>
      </c>
      <c r="AS50" s="41">
        <f>'6. Poistot'!AH50</f>
        <v>327.6066649625422</v>
      </c>
      <c r="AT50" s="41">
        <f>'6. Poistot'!AI50</f>
        <v>337.8518773689683</v>
      </c>
      <c r="AV50" s="4">
        <f t="shared" si="19"/>
        <v>0</v>
      </c>
      <c r="AW50" s="4">
        <f t="shared" si="11"/>
        <v>0</v>
      </c>
      <c r="AX50" s="4">
        <f t="shared" si="12"/>
        <v>0</v>
      </c>
      <c r="AY50" s="4">
        <f t="shared" si="13"/>
        <v>0</v>
      </c>
      <c r="AZ50" s="4">
        <f t="shared" si="14"/>
        <v>0</v>
      </c>
      <c r="BA50" s="4">
        <f t="shared" si="15"/>
        <v>0</v>
      </c>
      <c r="BB50" s="4">
        <f t="shared" si="16"/>
        <v>0</v>
      </c>
      <c r="BC50" s="4">
        <f t="shared" si="17"/>
        <v>0</v>
      </c>
      <c r="BE50" s="405">
        <f t="shared" si="20"/>
        <v>0</v>
      </c>
      <c r="BF50" s="405">
        <f t="shared" si="21"/>
        <v>0</v>
      </c>
      <c r="BG50" s="405">
        <f t="shared" si="22"/>
        <v>0</v>
      </c>
      <c r="BH50" s="405">
        <f t="shared" si="23"/>
        <v>0</v>
      </c>
      <c r="BI50" s="405">
        <f t="shared" si="24"/>
        <v>0</v>
      </c>
      <c r="BJ50" s="405">
        <f t="shared" si="25"/>
        <v>0</v>
      </c>
      <c r="BK50" s="405">
        <f t="shared" si="26"/>
        <v>0</v>
      </c>
      <c r="BL50" s="405">
        <f t="shared" si="27"/>
        <v>0</v>
      </c>
      <c r="BM50" s="405">
        <f t="shared" si="28"/>
        <v>0</v>
      </c>
      <c r="BN50" s="405">
        <f t="shared" si="28"/>
        <v>0</v>
      </c>
    </row>
    <row r="51" spans="1:66" x14ac:dyDescent="0.2">
      <c r="A51" s="34">
        <v>111</v>
      </c>
      <c r="B51" s="88" t="s">
        <v>365</v>
      </c>
      <c r="C51" s="41" t="e">
        <f>'2. Toimintakate'!D51+'3. Verotulot'!G51+'4. Valtionosuudet'!#REF!+'5. Rahoitustuotot ja -kulut'!C51</f>
        <v>#REF!</v>
      </c>
      <c r="D51" s="41">
        <f>'2. Toimintakate'!E51+'4. Valtionosuudet'!H51+'3. Verotulot'!L51+'5. Rahoitustuotot ja -kulut'!D51</f>
        <v>6458</v>
      </c>
      <c r="E51" s="41">
        <f>'2. Toimintakate'!F51+'4. Valtionosuudet'!N51+'3. Verotulot'!Q51+'5. Rahoitustuotot ja -kulut'!E51</f>
        <v>10130</v>
      </c>
      <c r="F51" s="41">
        <f>'2. Toimintakate'!G51+'4. Valtionosuudet'!T51+'3. Verotulot'!V51+'5. Rahoitustuotot ja -kulut'!F51</f>
        <v>11549</v>
      </c>
      <c r="G51" s="41">
        <f>'2. Toimintakate'!H51+'3. Verotulot'!AA51+'4. Valtionosuudet'!Z51+'5. Rahoitustuotot ja -kulut'!G51</f>
        <v>8422</v>
      </c>
      <c r="H51" s="41">
        <f>Käyttökate!H51+'5. Rahoitustuotot ja -kulut'!H51</f>
        <v>20525.202937110545</v>
      </c>
      <c r="I51" s="41">
        <f>Käyttökate!I51+'5. Rahoitustuotot ja -kulut'!I51</f>
        <v>15518.650658332805</v>
      </c>
      <c r="J51" s="41">
        <f>Käyttökate!J51+'5. Rahoitustuotot ja -kulut'!J51</f>
        <v>9092.2598711302599</v>
      </c>
      <c r="K51" s="41">
        <f>Käyttökate!K51+'5. Rahoitustuotot ja -kulut'!K51</f>
        <v>14291.72931803633</v>
      </c>
      <c r="L51" s="41">
        <f>Käyttökate!L51+'5. Rahoitustuotot ja -kulut'!L51</f>
        <v>11075.129156302421</v>
      </c>
      <c r="M51" s="41">
        <f>Käyttökate!M51+'5. Rahoitustuotot ja -kulut'!M51</f>
        <v>7489.4622627701983</v>
      </c>
      <c r="N51" s="41">
        <f>Käyttökate!N51+'5. Rahoitustuotot ja -kulut'!N51</f>
        <v>5951.8395039074458</v>
      </c>
      <c r="O51" s="41">
        <f>Käyttökate!O51+'5. Rahoitustuotot ja -kulut'!O51</f>
        <v>5420.5977436937392</v>
      </c>
      <c r="P51" s="41">
        <f>Käyttökate!P51+'5. Rahoitustuotot ja -kulut'!P51</f>
        <v>7701.852092743733</v>
      </c>
      <c r="T51" s="34">
        <v>111</v>
      </c>
      <c r="U51" s="88" t="s">
        <v>365</v>
      </c>
      <c r="V51" s="41" t="e">
        <f>C51/'1. Väestöennuste'!E51*1000</f>
        <v>#REF!</v>
      </c>
      <c r="W51" s="41">
        <f>D51/'1. Väestöennuste'!F51*1000</f>
        <v>333.74677002583979</v>
      </c>
      <c r="X51" s="41">
        <f>E51/'1. Väestöennuste'!G51*1000</f>
        <v>529.5901296528649</v>
      </c>
      <c r="Y51" s="41">
        <f>F51/'1. Väestöennuste'!H51*1000</f>
        <v>611.41405050558524</v>
      </c>
      <c r="Z51" s="41">
        <f>G51/'1. Väestöennuste'!I51*1000</f>
        <v>451.17051481223547</v>
      </c>
      <c r="AA51" s="41">
        <f>H51/'1. Väestöennuste'!J51*1000</f>
        <v>1109.6503723366247</v>
      </c>
      <c r="AB51" s="41">
        <f>I51/'1. Väestöennuste'!K51*1000</f>
        <v>845.97964775037099</v>
      </c>
      <c r="AC51" s="41">
        <f>J51/'1. Väestöennuste'!L51*1000</f>
        <v>501.47591810326287</v>
      </c>
      <c r="AD51" s="41">
        <f>K51/'1. Väestöennuste'!M51*1000</f>
        <v>796.06357255257228</v>
      </c>
      <c r="AE51" s="41">
        <f>L51/'1. Väestöennuste'!N51*1000</f>
        <v>627.66387964309558</v>
      </c>
      <c r="AF51" s="41">
        <f>M51/'1. Väestöennuste'!O51*1000</f>
        <v>428.90059917364556</v>
      </c>
      <c r="AG51" s="41">
        <f>N51/'1. Väestöennuste'!P51*1000</f>
        <v>344.23594585930863</v>
      </c>
      <c r="AH51" s="41">
        <f>O51/'1. Väestöennuste'!Q51*1000</f>
        <v>316.49429226915044</v>
      </c>
      <c r="AI51" s="41">
        <f>P51/'1. Väestöennuste'!R51*1000</f>
        <v>453.90453163270467</v>
      </c>
      <c r="AK51" s="41">
        <f>'6. Poistot'!Z51</f>
        <v>341.08319494294744</v>
      </c>
      <c r="AL51" s="41">
        <f>'6. Poistot'!AA51</f>
        <v>405.52522030599556</v>
      </c>
      <c r="AM51" s="41">
        <f>'6. Poistot'!AB51</f>
        <v>575.65488770170077</v>
      </c>
      <c r="AN51" s="41">
        <f>'6. Poistot'!AC51</f>
        <v>496.21764436600296</v>
      </c>
      <c r="AO51" s="41">
        <f>'6. Poistot'!AD51</f>
        <v>584.80568317272878</v>
      </c>
      <c r="AP51" s="41">
        <f>'6. Poistot'!AE51</f>
        <v>525.4519693964296</v>
      </c>
      <c r="AQ51" s="41">
        <f>'6. Poistot'!AF51</f>
        <v>529.61287366853742</v>
      </c>
      <c r="AR51" s="41">
        <f>'6. Poistot'!AG51</f>
        <v>518.9878542510121</v>
      </c>
      <c r="AS51" s="41">
        <f>'6. Poistot'!AH51</f>
        <v>540.83234390319456</v>
      </c>
      <c r="AT51" s="41">
        <f>'6. Poistot'!AI51</f>
        <v>562.96387954149145</v>
      </c>
      <c r="AV51" s="4">
        <f t="shared" si="19"/>
        <v>0</v>
      </c>
      <c r="AW51" s="4">
        <f t="shared" si="11"/>
        <v>0</v>
      </c>
      <c r="AX51" s="4">
        <f t="shared" si="12"/>
        <v>0</v>
      </c>
      <c r="AY51" s="4">
        <f t="shared" si="13"/>
        <v>0</v>
      </c>
      <c r="AZ51" s="4">
        <f t="shared" si="14"/>
        <v>1</v>
      </c>
      <c r="BA51" s="4">
        <f t="shared" si="15"/>
        <v>1</v>
      </c>
      <c r="BB51" s="4">
        <f t="shared" si="16"/>
        <v>1</v>
      </c>
      <c r="BC51" s="4">
        <f t="shared" si="17"/>
        <v>1</v>
      </c>
      <c r="BE51" s="405">
        <f t="shared" si="20"/>
        <v>0</v>
      </c>
      <c r="BF51" s="405">
        <f t="shared" si="21"/>
        <v>0</v>
      </c>
      <c r="BG51" s="405">
        <f t="shared" si="22"/>
        <v>0</v>
      </c>
      <c r="BH51" s="405">
        <f t="shared" si="23"/>
        <v>0</v>
      </c>
      <c r="BI51" s="405">
        <f t="shared" si="24"/>
        <v>0</v>
      </c>
      <c r="BJ51" s="405">
        <f t="shared" si="25"/>
        <v>0</v>
      </c>
      <c r="BK51" s="405">
        <f t="shared" si="26"/>
        <v>0</v>
      </c>
      <c r="BL51" s="405">
        <f t="shared" si="27"/>
        <v>0</v>
      </c>
      <c r="BM51" s="405">
        <f t="shared" si="28"/>
        <v>0</v>
      </c>
      <c r="BN51" s="405">
        <f t="shared" si="28"/>
        <v>0</v>
      </c>
    </row>
    <row r="52" spans="1:66" x14ac:dyDescent="0.2">
      <c r="A52" s="34">
        <v>139</v>
      </c>
      <c r="B52" s="88" t="s">
        <v>366</v>
      </c>
      <c r="C52" s="41" t="e">
        <f>'2. Toimintakate'!D52+'3. Verotulot'!G52+'4. Valtionosuudet'!#REF!+'5. Rahoitustuotot ja -kulut'!C52</f>
        <v>#REF!</v>
      </c>
      <c r="D52" s="41">
        <f>'2. Toimintakate'!E52+'4. Valtionosuudet'!H52+'3. Verotulot'!L52+'5. Rahoitustuotot ja -kulut'!D52</f>
        <v>3148</v>
      </c>
      <c r="E52" s="41">
        <f>'2. Toimintakate'!F52+'4. Valtionosuudet'!N52+'3. Verotulot'!Q52+'5. Rahoitustuotot ja -kulut'!E52</f>
        <v>3834</v>
      </c>
      <c r="F52" s="41">
        <f>'2. Toimintakate'!G52+'4. Valtionosuudet'!T52+'3. Verotulot'!V52+'5. Rahoitustuotot ja -kulut'!F52</f>
        <v>1215</v>
      </c>
      <c r="G52" s="41">
        <f>'2. Toimintakate'!H52+'3. Verotulot'!AA52+'4. Valtionosuudet'!Z52+'5. Rahoitustuotot ja -kulut'!G52</f>
        <v>291</v>
      </c>
      <c r="H52" s="41">
        <f>Käyttökate!H52+'5. Rahoitustuotot ja -kulut'!H52</f>
        <v>5009.1554161694658</v>
      </c>
      <c r="I52" s="41">
        <f>Käyttökate!I52+'5. Rahoitustuotot ja -kulut'!I52</f>
        <v>2707.7945070496398</v>
      </c>
      <c r="J52" s="41">
        <f>Käyttökate!J52+'5. Rahoitustuotot ja -kulut'!J52</f>
        <v>4944.5671465043661</v>
      </c>
      <c r="K52" s="41">
        <f>Käyttökate!K52+'5. Rahoitustuotot ja -kulut'!K52</f>
        <v>5971.1035885716037</v>
      </c>
      <c r="L52" s="41">
        <f>Käyttökate!L52+'5. Rahoitustuotot ja -kulut'!L52</f>
        <v>2444.8548815414752</v>
      </c>
      <c r="M52" s="41">
        <f>Käyttökate!M52+'5. Rahoitustuotot ja -kulut'!M52</f>
        <v>2633.5540823375359</v>
      </c>
      <c r="N52" s="41">
        <f>Käyttökate!N52+'5. Rahoitustuotot ja -kulut'!N52</f>
        <v>2753.2929385923835</v>
      </c>
      <c r="O52" s="41">
        <f>Käyttökate!O52+'5. Rahoitustuotot ja -kulut'!O52</f>
        <v>2867.881809227848</v>
      </c>
      <c r="P52" s="41">
        <f>Käyttökate!P52+'5. Rahoitustuotot ja -kulut'!P52</f>
        <v>4109.125863125978</v>
      </c>
      <c r="T52" s="34">
        <v>139</v>
      </c>
      <c r="U52" s="88" t="s">
        <v>366</v>
      </c>
      <c r="V52" s="41" t="e">
        <f>C52/'1. Väestöennuste'!E52*1000</f>
        <v>#REF!</v>
      </c>
      <c r="W52" s="41">
        <f>D52/'1. Väestöennuste'!F52*1000</f>
        <v>326.96302451184044</v>
      </c>
      <c r="X52" s="41">
        <f>E52/'1. Väestöennuste'!G52*1000</f>
        <v>384.70800722456352</v>
      </c>
      <c r="Y52" s="41">
        <f>F52/'1. Väestöennuste'!H52*1000</f>
        <v>123.20016223889678</v>
      </c>
      <c r="Z52" s="41">
        <f>G52/'1. Väestöennuste'!I52*1000</f>
        <v>29.56115400243803</v>
      </c>
      <c r="AA52" s="41">
        <f>H52/'1. Väestöennuste'!J52*1000</f>
        <v>508.64697564677761</v>
      </c>
      <c r="AB52" s="41">
        <f>I52/'1. Väestöennuste'!K52*1000</f>
        <v>273.18346519871267</v>
      </c>
      <c r="AC52" s="41">
        <f>J52/'1. Väestöennuste'!L52*1000</f>
        <v>501.83366959346046</v>
      </c>
      <c r="AD52" s="41">
        <f>K52/'1. Väestöennuste'!M52*1000</f>
        <v>611.41752903661722</v>
      </c>
      <c r="AE52" s="41">
        <f>L52/'1. Väestöennuste'!N52*1000</f>
        <v>252.4633293619863</v>
      </c>
      <c r="AF52" s="41">
        <f>M52/'1. Väestöennuste'!O52*1000</f>
        <v>273.16192120501358</v>
      </c>
      <c r="AG52" s="41">
        <f>N52/'1. Väestöennuste'!P52*1000</f>
        <v>286.89100120791744</v>
      </c>
      <c r="AH52" s="41">
        <f>O52/'1. Väestöennuste'!Q52*1000</f>
        <v>300.27031821043329</v>
      </c>
      <c r="AI52" s="41">
        <f>P52/'1. Väestöennuste'!R52*1000</f>
        <v>432.22108584474364</v>
      </c>
      <c r="AK52" s="41">
        <f>'6. Poistot'!Z52</f>
        <v>341.52783421373425</v>
      </c>
      <c r="AL52" s="41">
        <f>'6. Poistot'!AA52</f>
        <v>376.92932575142163</v>
      </c>
      <c r="AM52" s="41">
        <f>'6. Poistot'!AB52</f>
        <v>392.71857041969332</v>
      </c>
      <c r="AN52" s="41">
        <f>'6. Poistot'!AC52</f>
        <v>418.31624276869991</v>
      </c>
      <c r="AO52" s="41">
        <f>'6. Poistot'!AD52</f>
        <v>513.24397091951664</v>
      </c>
      <c r="AP52" s="41">
        <f>'6. Poistot'!AE52</f>
        <v>414.12649731515899</v>
      </c>
      <c r="AQ52" s="41">
        <f>'6. Poistot'!AF52</f>
        <v>52.691629499014624</v>
      </c>
      <c r="AR52" s="41">
        <f>'6. Poistot'!AG52</f>
        <v>58.351568198395334</v>
      </c>
      <c r="AS52" s="41">
        <f>'6. Poistot'!AH52</f>
        <v>60.524463483536714</v>
      </c>
      <c r="AT52" s="41">
        <f>'6. Poistot'!AI52</f>
        <v>62.705196325078177</v>
      </c>
      <c r="AV52" s="4">
        <f t="shared" si="19"/>
        <v>1</v>
      </c>
      <c r="AW52" s="4">
        <f t="shared" si="11"/>
        <v>0</v>
      </c>
      <c r="AX52" s="4">
        <f t="shared" si="12"/>
        <v>0</v>
      </c>
      <c r="AY52" s="4">
        <f t="shared" si="13"/>
        <v>1</v>
      </c>
      <c r="AZ52" s="4">
        <f t="shared" si="14"/>
        <v>0</v>
      </c>
      <c r="BA52" s="4">
        <f t="shared" si="15"/>
        <v>0</v>
      </c>
      <c r="BB52" s="4">
        <f t="shared" si="16"/>
        <v>0</v>
      </c>
      <c r="BC52" s="4">
        <f t="shared" si="17"/>
        <v>0</v>
      </c>
      <c r="BE52" s="405">
        <f t="shared" si="20"/>
        <v>0</v>
      </c>
      <c r="BF52" s="405">
        <f t="shared" si="21"/>
        <v>0</v>
      </c>
      <c r="BG52" s="405">
        <f t="shared" si="22"/>
        <v>0</v>
      </c>
      <c r="BH52" s="405">
        <f t="shared" si="23"/>
        <v>0</v>
      </c>
      <c r="BI52" s="405">
        <f t="shared" si="24"/>
        <v>0</v>
      </c>
      <c r="BJ52" s="405">
        <f t="shared" si="25"/>
        <v>0</v>
      </c>
      <c r="BK52" s="405">
        <f t="shared" si="26"/>
        <v>0</v>
      </c>
      <c r="BL52" s="405">
        <f t="shared" si="27"/>
        <v>0</v>
      </c>
      <c r="BM52" s="405">
        <f t="shared" si="28"/>
        <v>0</v>
      </c>
      <c r="BN52" s="405">
        <f t="shared" si="28"/>
        <v>0</v>
      </c>
    </row>
    <row r="53" spans="1:66" x14ac:dyDescent="0.2">
      <c r="A53" s="34">
        <v>140</v>
      </c>
      <c r="B53" s="88" t="s">
        <v>367</v>
      </c>
      <c r="C53" s="41" t="e">
        <f>'2. Toimintakate'!D53+'3. Verotulot'!G53+'4. Valtionosuudet'!#REF!+'5. Rahoitustuotot ja -kulut'!C53</f>
        <v>#REF!</v>
      </c>
      <c r="D53" s="41">
        <f>'2. Toimintakate'!E53+'4. Valtionosuudet'!H53+'3. Verotulot'!L53+'5. Rahoitustuotot ja -kulut'!D53</f>
        <v>7853</v>
      </c>
      <c r="E53" s="41">
        <f>'2. Toimintakate'!F53+'4. Valtionosuudet'!N53+'3. Verotulot'!Q53+'5. Rahoitustuotot ja -kulut'!E53</f>
        <v>11740</v>
      </c>
      <c r="F53" s="41">
        <f>'2. Toimintakate'!G53+'4. Valtionosuudet'!T53+'3. Verotulot'!V53+'5. Rahoitustuotot ja -kulut'!F53</f>
        <v>11564</v>
      </c>
      <c r="G53" s="41">
        <f>'2. Toimintakate'!H53+'3. Verotulot'!AA53+'4. Valtionosuudet'!Z53+'5. Rahoitustuotot ja -kulut'!G53</f>
        <v>7899</v>
      </c>
      <c r="H53" s="41">
        <f>Käyttökate!H53+'5. Rahoitustuotot ja -kulut'!H53</f>
        <v>13657.483968701439</v>
      </c>
      <c r="I53" s="41">
        <f>Käyttökate!I53+'5. Rahoitustuotot ja -kulut'!I53</f>
        <v>13241.790154944034</v>
      </c>
      <c r="J53" s="41">
        <f>Käyttökate!J53+'5. Rahoitustuotot ja -kulut'!J53</f>
        <v>13777.080412873092</v>
      </c>
      <c r="K53" s="41">
        <f>Käyttökate!K53+'5. Rahoitustuotot ja -kulut'!K53</f>
        <v>15006.701018049273</v>
      </c>
      <c r="L53" s="41">
        <f>Käyttökate!L53+'5. Rahoitustuotot ja -kulut'!L53</f>
        <v>9116.7846588741941</v>
      </c>
      <c r="M53" s="41">
        <f>Käyttökate!M53+'5. Rahoitustuotot ja -kulut'!M53</f>
        <v>5136.1452946588388</v>
      </c>
      <c r="N53" s="41">
        <f>Käyttökate!N53+'5. Rahoitustuotot ja -kulut'!N53</f>
        <v>4551.4764579874181</v>
      </c>
      <c r="O53" s="41">
        <f>Käyttökate!O53+'5. Rahoitustuotot ja -kulut'!O53</f>
        <v>3660.8310538769547</v>
      </c>
      <c r="P53" s="41">
        <f>Käyttökate!P53+'5. Rahoitustuotot ja -kulut'!P53</f>
        <v>5968.9317581416126</v>
      </c>
      <c r="T53" s="34">
        <v>140</v>
      </c>
      <c r="U53" s="88" t="s">
        <v>367</v>
      </c>
      <c r="V53" s="41" t="e">
        <f>C53/'1. Väestöennuste'!E53*1000</f>
        <v>#REF!</v>
      </c>
      <c r="W53" s="41">
        <f>D53/'1. Väestöennuste'!F53*1000</f>
        <v>360.77548582716958</v>
      </c>
      <c r="X53" s="41">
        <f>E53/'1. Väestöennuste'!G53*1000</f>
        <v>542.53893433153098</v>
      </c>
      <c r="Y53" s="41">
        <f>F53/'1. Väestöennuste'!H53*1000</f>
        <v>538.56184798807749</v>
      </c>
      <c r="Z53" s="41">
        <f>G53/'1. Väestöennuste'!I53*1000</f>
        <v>369.66491950580303</v>
      </c>
      <c r="AA53" s="41">
        <f>H53/'1. Väestöennuste'!J53*1000</f>
        <v>646.53872224490817</v>
      </c>
      <c r="AB53" s="41">
        <f>I53/'1. Väestöennuste'!K53*1000</f>
        <v>631.82508612195988</v>
      </c>
      <c r="AC53" s="41">
        <f>J53/'1. Väestöennuste'!L53*1000</f>
        <v>662.32779255194907</v>
      </c>
      <c r="AD53" s="41">
        <f>K53/'1. Väestöennuste'!M53*1000</f>
        <v>727.8446511809716</v>
      </c>
      <c r="AE53" s="41">
        <f>L53/'1. Väestöennuste'!N53*1000</f>
        <v>445.63420954512634</v>
      </c>
      <c r="AF53" s="41">
        <f>M53/'1. Väestöennuste'!O53*1000</f>
        <v>253.0619479039633</v>
      </c>
      <c r="AG53" s="41">
        <f>N53/'1. Väestöennuste'!P53*1000</f>
        <v>226.03677284403147</v>
      </c>
      <c r="AH53" s="41">
        <f>O53/'1. Väestöennuste'!Q53*1000</f>
        <v>183.25229283060293</v>
      </c>
      <c r="AI53" s="41">
        <f>P53/'1. Väestöennuste'!R53*1000</f>
        <v>301.14180708045069</v>
      </c>
      <c r="AK53" s="41">
        <f>'6. Poistot'!Z53</f>
        <v>345.00187195806814</v>
      </c>
      <c r="AL53" s="41">
        <f>'6. Poistot'!AA53</f>
        <v>412.89528498390456</v>
      </c>
      <c r="AM53" s="41">
        <f>'6. Poistot'!AB53</f>
        <v>412.20817587556058</v>
      </c>
      <c r="AN53" s="41">
        <f>'6. Poistot'!AC53</f>
        <v>410.36437527041966</v>
      </c>
      <c r="AO53" s="41">
        <f>'6. Poistot'!AD53</f>
        <v>481.12942622950817</v>
      </c>
      <c r="AP53" s="41">
        <f>'6. Poistot'!AE53</f>
        <v>519.29807410304034</v>
      </c>
      <c r="AQ53" s="41">
        <f>'6. Poistot'!AF53</f>
        <v>549.14761529365398</v>
      </c>
      <c r="AR53" s="41">
        <f>'6. Poistot'!AG53</f>
        <v>568.0274135876042</v>
      </c>
      <c r="AS53" s="41">
        <f>'6. Poistot'!AH53</f>
        <v>591.02247336526261</v>
      </c>
      <c r="AT53" s="41">
        <f>'6. Poistot'!AI53</f>
        <v>614.29352206426017</v>
      </c>
      <c r="AV53" s="4">
        <f t="shared" si="19"/>
        <v>0</v>
      </c>
      <c r="AW53" s="4">
        <f t="shared" si="11"/>
        <v>0</v>
      </c>
      <c r="AX53" s="4">
        <f t="shared" si="12"/>
        <v>0</v>
      </c>
      <c r="AY53" s="4">
        <f t="shared" si="13"/>
        <v>1</v>
      </c>
      <c r="AZ53" s="4">
        <f t="shared" si="14"/>
        <v>1</v>
      </c>
      <c r="BA53" s="4">
        <f t="shared" si="15"/>
        <v>1</v>
      </c>
      <c r="BB53" s="4">
        <f t="shared" si="16"/>
        <v>1</v>
      </c>
      <c r="BC53" s="4">
        <f t="shared" si="17"/>
        <v>1</v>
      </c>
      <c r="BE53" s="405">
        <f t="shared" si="20"/>
        <v>0</v>
      </c>
      <c r="BF53" s="405">
        <f t="shared" si="21"/>
        <v>0</v>
      </c>
      <c r="BG53" s="405">
        <f t="shared" si="22"/>
        <v>0</v>
      </c>
      <c r="BH53" s="405">
        <f t="shared" si="23"/>
        <v>0</v>
      </c>
      <c r="BI53" s="405">
        <f t="shared" si="24"/>
        <v>0</v>
      </c>
      <c r="BJ53" s="405">
        <f t="shared" si="25"/>
        <v>0</v>
      </c>
      <c r="BK53" s="405">
        <f t="shared" si="26"/>
        <v>0</v>
      </c>
      <c r="BL53" s="405">
        <f t="shared" si="27"/>
        <v>0</v>
      </c>
      <c r="BM53" s="405">
        <f t="shared" si="28"/>
        <v>0</v>
      </c>
      <c r="BN53" s="405">
        <f t="shared" si="28"/>
        <v>0</v>
      </c>
    </row>
    <row r="54" spans="1:66" x14ac:dyDescent="0.2">
      <c r="A54" s="34">
        <v>142</v>
      </c>
      <c r="B54" s="88" t="s">
        <v>368</v>
      </c>
      <c r="C54" s="41" t="e">
        <f>'2. Toimintakate'!D54+'3. Verotulot'!G54+'4. Valtionosuudet'!#REF!+'5. Rahoitustuotot ja -kulut'!C54</f>
        <v>#REF!</v>
      </c>
      <c r="D54" s="41">
        <f>'2. Toimintakate'!E54+'4. Valtionosuudet'!H54+'3. Verotulot'!L54+'5. Rahoitustuotot ja -kulut'!D54</f>
        <v>973</v>
      </c>
      <c r="E54" s="41">
        <f>'2. Toimintakate'!F54+'4. Valtionosuudet'!N54+'3. Verotulot'!Q54+'5. Rahoitustuotot ja -kulut'!E54</f>
        <v>1280</v>
      </c>
      <c r="F54" s="41">
        <f>'2. Toimintakate'!G54+'4. Valtionosuudet'!T54+'3. Verotulot'!V54+'5. Rahoitustuotot ja -kulut'!F54</f>
        <v>498</v>
      </c>
      <c r="G54" s="41">
        <f>'2. Toimintakate'!H54+'3. Verotulot'!AA54+'4. Valtionosuudet'!Z54+'5. Rahoitustuotot ja -kulut'!G54</f>
        <v>-1375</v>
      </c>
      <c r="H54" s="41">
        <f>Käyttökate!H54+'5. Rahoitustuotot ja -kulut'!H54</f>
        <v>6256.8031979625193</v>
      </c>
      <c r="I54" s="41">
        <f>Käyttökate!I54+'5. Rahoitustuotot ja -kulut'!I54</f>
        <v>4350.3417562440272</v>
      </c>
      <c r="J54" s="41">
        <f>Käyttökate!J54+'5. Rahoitustuotot ja -kulut'!J54</f>
        <v>4554.3133135120352</v>
      </c>
      <c r="K54" s="41">
        <f>Käyttökate!K54+'5. Rahoitustuotot ja -kulut'!K54</f>
        <v>3324.0288911594448</v>
      </c>
      <c r="L54" s="41">
        <f>Käyttökate!L54+'5. Rahoitustuotot ja -kulut'!L54</f>
        <v>1762.2012970240667</v>
      </c>
      <c r="M54" s="41">
        <f>Käyttökate!M54+'5. Rahoitustuotot ja -kulut'!M54</f>
        <v>1121.7649427348097</v>
      </c>
      <c r="N54" s="41">
        <f>Käyttökate!N54+'5. Rahoitustuotot ja -kulut'!N54</f>
        <v>1278.541149672863</v>
      </c>
      <c r="O54" s="41">
        <f>Käyttökate!O54+'5. Rahoitustuotot ja -kulut'!O54</f>
        <v>976.41214120221832</v>
      </c>
      <c r="P54" s="41">
        <f>Käyttökate!P54+'5. Rahoitustuotot ja -kulut'!P54</f>
        <v>1834.3781387025731</v>
      </c>
      <c r="T54" s="34">
        <v>142</v>
      </c>
      <c r="U54" s="88" t="s">
        <v>368</v>
      </c>
      <c r="V54" s="41" t="e">
        <f>C54/'1. Väestöennuste'!E54*1000</f>
        <v>#REF!</v>
      </c>
      <c r="W54" s="41">
        <f>D54/'1. Väestöennuste'!F54*1000</f>
        <v>141.23965742488022</v>
      </c>
      <c r="X54" s="41">
        <f>E54/'1. Väestöennuste'!G54*1000</f>
        <v>187.68328445747801</v>
      </c>
      <c r="Y54" s="41">
        <f>F54/'1. Väestöennuste'!H54*1000</f>
        <v>73.614190687361415</v>
      </c>
      <c r="Z54" s="41">
        <f>G54/'1. Väestöennuste'!I54*1000</f>
        <v>-204.88749813738639</v>
      </c>
      <c r="AA54" s="41">
        <f>H54/'1. Väestöennuste'!J54*1000</f>
        <v>944.42312422075759</v>
      </c>
      <c r="AB54" s="41">
        <f>I54/'1. Väestöennuste'!K54*1000</f>
        <v>663.26296024455371</v>
      </c>
      <c r="AC54" s="41">
        <f>J54/'1. Väestöennuste'!L54*1000</f>
        <v>700.23267427921826</v>
      </c>
      <c r="AD54" s="41">
        <f>K54/'1. Väestöennuste'!M54*1000</f>
        <v>515.83316126000079</v>
      </c>
      <c r="AE54" s="41">
        <f>L54/'1. Väestöennuste'!N54*1000</f>
        <v>274.9572939653716</v>
      </c>
      <c r="AF54" s="41">
        <f>M54/'1. Väestöennuste'!O54*1000</f>
        <v>176.51690680327454</v>
      </c>
      <c r="AG54" s="41">
        <f>N54/'1. Väestöennuste'!P54*1000</f>
        <v>202.78210145485534</v>
      </c>
      <c r="AH54" s="41">
        <f>O54/'1. Väestöennuste'!Q54*1000</f>
        <v>156.07610952720881</v>
      </c>
      <c r="AI54" s="41">
        <f>P54/'1. Väestöennuste'!R54*1000</f>
        <v>295.48616924977017</v>
      </c>
      <c r="AK54" s="41">
        <f>'6. Poistot'!Z54</f>
        <v>251.67635225748768</v>
      </c>
      <c r="AL54" s="41">
        <f>'6. Poistot'!AA54</f>
        <v>243.9245283018868</v>
      </c>
      <c r="AM54" s="41">
        <f>'6. Poistot'!AB54</f>
        <v>253.44234944351274</v>
      </c>
      <c r="AN54" s="41">
        <f>'6. Poistot'!AC54</f>
        <v>247.32537207872076</v>
      </c>
      <c r="AO54" s="41">
        <f>'6. Poistot'!AD54</f>
        <v>381.18735412787089</v>
      </c>
      <c r="AP54" s="41">
        <f>'6. Poistot'!AE54</f>
        <v>241.84740209080979</v>
      </c>
      <c r="AQ54" s="41">
        <f>'6. Poistot'!AF54</f>
        <v>251.77025963808026</v>
      </c>
      <c r="AR54" s="41">
        <f>'6. Poistot'!AG54</f>
        <v>253.76685170499601</v>
      </c>
      <c r="AS54" s="41">
        <f>'6. Poistot'!AH54</f>
        <v>264.00673672417759</v>
      </c>
      <c r="AT54" s="41">
        <f>'6. Poistot'!AI54</f>
        <v>274.36409308841968</v>
      </c>
      <c r="AV54" s="4">
        <f t="shared" si="19"/>
        <v>0</v>
      </c>
      <c r="AW54" s="4">
        <f t="shared" si="11"/>
        <v>0</v>
      </c>
      <c r="AX54" s="4">
        <f t="shared" si="12"/>
        <v>0</v>
      </c>
      <c r="AY54" s="4">
        <f t="shared" si="13"/>
        <v>0</v>
      </c>
      <c r="AZ54" s="4">
        <f t="shared" si="14"/>
        <v>1</v>
      </c>
      <c r="BA54" s="4">
        <f t="shared" si="15"/>
        <v>1</v>
      </c>
      <c r="BB54" s="4">
        <f t="shared" si="16"/>
        <v>1</v>
      </c>
      <c r="BC54" s="4">
        <f t="shared" si="17"/>
        <v>0</v>
      </c>
      <c r="BE54" s="405">
        <f t="shared" si="20"/>
        <v>-1</v>
      </c>
      <c r="BF54" s="405">
        <f t="shared" si="21"/>
        <v>0</v>
      </c>
      <c r="BG54" s="405">
        <f t="shared" si="22"/>
        <v>0</v>
      </c>
      <c r="BH54" s="405">
        <f t="shared" si="23"/>
        <v>0</v>
      </c>
      <c r="BI54" s="405">
        <f t="shared" si="24"/>
        <v>0</v>
      </c>
      <c r="BJ54" s="405">
        <f t="shared" si="25"/>
        <v>0</v>
      </c>
      <c r="BK54" s="405">
        <f t="shared" si="26"/>
        <v>0</v>
      </c>
      <c r="BL54" s="405">
        <f t="shared" si="27"/>
        <v>0</v>
      </c>
      <c r="BM54" s="405">
        <f t="shared" si="28"/>
        <v>0</v>
      </c>
      <c r="BN54" s="405">
        <f t="shared" si="28"/>
        <v>0</v>
      </c>
    </row>
    <row r="55" spans="1:66" x14ac:dyDescent="0.2">
      <c r="A55" s="34">
        <v>143</v>
      </c>
      <c r="B55" s="88" t="s">
        <v>369</v>
      </c>
      <c r="C55" s="41" t="e">
        <f>'2. Toimintakate'!D55+'3. Verotulot'!G55+'4. Valtionosuudet'!#REF!+'5. Rahoitustuotot ja -kulut'!C55</f>
        <v>#REF!</v>
      </c>
      <c r="D55" s="41">
        <f>'2. Toimintakate'!E55+'4. Valtionosuudet'!H55+'3. Verotulot'!L55+'5. Rahoitustuotot ja -kulut'!D55</f>
        <v>3083</v>
      </c>
      <c r="E55" s="41">
        <f>'2. Toimintakate'!F55+'4. Valtionosuudet'!N55+'3. Verotulot'!Q55+'5. Rahoitustuotot ja -kulut'!E55</f>
        <v>1922</v>
      </c>
      <c r="F55" s="41">
        <f>'2. Toimintakate'!G55+'4. Valtionosuudet'!T55+'3. Verotulot'!V55+'5. Rahoitustuotot ja -kulut'!F55</f>
        <v>735</v>
      </c>
      <c r="G55" s="41">
        <f>'2. Toimintakate'!H55+'3. Verotulot'!AA55+'4. Valtionosuudet'!Z55+'5. Rahoitustuotot ja -kulut'!G55</f>
        <v>-85</v>
      </c>
      <c r="H55" s="41">
        <f>Käyttökate!H55+'5. Rahoitustuotot ja -kulut'!H55</f>
        <v>5904.58445588635</v>
      </c>
      <c r="I55" s="41">
        <f>Käyttökate!I55+'5. Rahoitustuotot ja -kulut'!I55</f>
        <v>3202.537424097532</v>
      </c>
      <c r="J55" s="41">
        <f>Käyttökate!J55+'5. Rahoitustuotot ja -kulut'!J55</f>
        <v>2156.1051756865486</v>
      </c>
      <c r="K55" s="41">
        <f>Käyttökate!K55+'5. Rahoitustuotot ja -kulut'!K55</f>
        <v>2326.0877820592068</v>
      </c>
      <c r="L55" s="41">
        <f>Käyttökate!L55+'5. Rahoitustuotot ja -kulut'!L55</f>
        <v>2311.3299643545174</v>
      </c>
      <c r="M55" s="41">
        <f>Käyttökate!M55+'5. Rahoitustuotot ja -kulut'!M55</f>
        <v>895.74873453761438</v>
      </c>
      <c r="N55" s="41">
        <f>Käyttökate!N55+'5. Rahoitustuotot ja -kulut'!N55</f>
        <v>800.09772491705689</v>
      </c>
      <c r="O55" s="41">
        <f>Käyttökate!O55+'5. Rahoitustuotot ja -kulut'!O55</f>
        <v>1243.3064691215368</v>
      </c>
      <c r="P55" s="41">
        <f>Käyttökate!P55+'5. Rahoitustuotot ja -kulut'!P55</f>
        <v>2033.6522866530954</v>
      </c>
      <c r="T55" s="34">
        <v>143</v>
      </c>
      <c r="U55" s="88" t="s">
        <v>369</v>
      </c>
      <c r="V55" s="41" t="e">
        <f>C55/'1. Väestöennuste'!E55*1000</f>
        <v>#REF!</v>
      </c>
      <c r="W55" s="41">
        <f>D55/'1. Väestöennuste'!F55*1000</f>
        <v>432.51964085297419</v>
      </c>
      <c r="X55" s="41">
        <f>E55/'1. Väestöennuste'!G55*1000</f>
        <v>269.98173900828772</v>
      </c>
      <c r="Y55" s="41">
        <f>F55/'1. Väestöennuste'!H55*1000</f>
        <v>104.95501927745252</v>
      </c>
      <c r="Z55" s="41">
        <f>G55/'1. Väestöennuste'!I55*1000</f>
        <v>-12.244309997118986</v>
      </c>
      <c r="AA55" s="41">
        <f>H55/'1. Väestöennuste'!J55*1000</f>
        <v>859.97443284100643</v>
      </c>
      <c r="AB55" s="41">
        <f>I55/'1. Väestöennuste'!K55*1000</f>
        <v>465.68815240621376</v>
      </c>
      <c r="AC55" s="41">
        <f>J55/'1. Väestöennuste'!L55*1000</f>
        <v>316.88788590337282</v>
      </c>
      <c r="AD55" s="41">
        <f>K55/'1. Väestöennuste'!M55*1000</f>
        <v>339.57485869477472</v>
      </c>
      <c r="AE55" s="41">
        <f>L55/'1. Väestöennuste'!N55*1000</f>
        <v>348.09186210158396</v>
      </c>
      <c r="AF55" s="41">
        <f>M55/'1. Väestöennuste'!O55*1000</f>
        <v>135.9254528888641</v>
      </c>
      <c r="AG55" s="41">
        <f>N55/'1. Väestöennuste'!P55*1000</f>
        <v>122.28300854608848</v>
      </c>
      <c r="AH55" s="41">
        <f>O55/'1. Väestöennuste'!Q55*1000</f>
        <v>191.36624120694734</v>
      </c>
      <c r="AI55" s="41">
        <f>P55/'1. Väestöennuste'!R55*1000</f>
        <v>315.14834753650945</v>
      </c>
      <c r="AK55" s="41">
        <f>'6. Poistot'!Z55</f>
        <v>314.75079227888216</v>
      </c>
      <c r="AL55" s="41">
        <f>'6. Poistot'!AA55</f>
        <v>318.3804252840082</v>
      </c>
      <c r="AM55" s="41">
        <f>'6. Poistot'!AB55</f>
        <v>299.39452668314669</v>
      </c>
      <c r="AN55" s="41">
        <f>'6. Poistot'!AC55</f>
        <v>300.12060258671369</v>
      </c>
      <c r="AO55" s="41">
        <f>'6. Poistot'!AD55</f>
        <v>525.66251970802909</v>
      </c>
      <c r="AP55" s="41">
        <f>'6. Poistot'!AE55</f>
        <v>297.59984939759039</v>
      </c>
      <c r="AQ55" s="41">
        <f>'6. Poistot'!AF55</f>
        <v>299.85781487101673</v>
      </c>
      <c r="AR55" s="41">
        <f>'6. Poistot'!AG55</f>
        <v>302.01176830200217</v>
      </c>
      <c r="AS55" s="41">
        <f>'6. Poistot'!AH55</f>
        <v>313.96387898850685</v>
      </c>
      <c r="AT55" s="41">
        <f>'6. Poistot'!AI55</f>
        <v>325.98537789813389</v>
      </c>
      <c r="AV55" s="4">
        <f t="shared" si="19"/>
        <v>0</v>
      </c>
      <c r="AW55" s="4">
        <f t="shared" si="11"/>
        <v>0</v>
      </c>
      <c r="AX55" s="4">
        <f t="shared" si="12"/>
        <v>1</v>
      </c>
      <c r="AY55" s="4">
        <f t="shared" si="13"/>
        <v>0</v>
      </c>
      <c r="AZ55" s="4">
        <f t="shared" si="14"/>
        <v>1</v>
      </c>
      <c r="BA55" s="4">
        <f t="shared" si="15"/>
        <v>1</v>
      </c>
      <c r="BB55" s="4">
        <f t="shared" si="16"/>
        <v>1</v>
      </c>
      <c r="BC55" s="4">
        <f t="shared" si="17"/>
        <v>1</v>
      </c>
      <c r="BE55" s="405">
        <f t="shared" si="20"/>
        <v>-1</v>
      </c>
      <c r="BF55" s="405">
        <f t="shared" si="21"/>
        <v>0</v>
      </c>
      <c r="BG55" s="405">
        <f t="shared" si="22"/>
        <v>0</v>
      </c>
      <c r="BH55" s="405">
        <f t="shared" si="23"/>
        <v>0</v>
      </c>
      <c r="BI55" s="405">
        <f t="shared" si="24"/>
        <v>0</v>
      </c>
      <c r="BJ55" s="405">
        <f t="shared" si="25"/>
        <v>0</v>
      </c>
      <c r="BK55" s="405">
        <f t="shared" si="26"/>
        <v>0</v>
      </c>
      <c r="BL55" s="405">
        <f t="shared" si="27"/>
        <v>0</v>
      </c>
      <c r="BM55" s="405">
        <f t="shared" si="28"/>
        <v>0</v>
      </c>
      <c r="BN55" s="405">
        <f t="shared" si="28"/>
        <v>0</v>
      </c>
    </row>
    <row r="56" spans="1:66" x14ac:dyDescent="0.2">
      <c r="A56" s="34">
        <v>145</v>
      </c>
      <c r="B56" s="88" t="s">
        <v>370</v>
      </c>
      <c r="C56" s="41" t="e">
        <f>'2. Toimintakate'!D56+'3. Verotulot'!G56+'4. Valtionosuudet'!#REF!+'5. Rahoitustuotot ja -kulut'!C56</f>
        <v>#REF!</v>
      </c>
      <c r="D56" s="41">
        <f>'2. Toimintakate'!E56+'4. Valtionosuudet'!H56+'3. Verotulot'!L56+'5. Rahoitustuotot ja -kulut'!D56</f>
        <v>4210</v>
      </c>
      <c r="E56" s="41">
        <f>'2. Toimintakate'!F56+'4. Valtionosuudet'!N56+'3. Verotulot'!Q56+'5. Rahoitustuotot ja -kulut'!E56</f>
        <v>4357</v>
      </c>
      <c r="F56" s="41">
        <f>'2. Toimintakate'!G56+'4. Valtionosuudet'!T56+'3. Verotulot'!V56+'5. Rahoitustuotot ja -kulut'!F56</f>
        <v>2248</v>
      </c>
      <c r="G56" s="41">
        <f>'2. Toimintakate'!H56+'3. Verotulot'!AA56+'4. Valtionosuudet'!Z56+'5. Rahoitustuotot ja -kulut'!G56</f>
        <v>-737</v>
      </c>
      <c r="H56" s="41">
        <f>Käyttökate!H56+'5. Rahoitustuotot ja -kulut'!H56</f>
        <v>5544.7884225065573</v>
      </c>
      <c r="I56" s="41">
        <f>Käyttökate!I56+'5. Rahoitustuotot ja -kulut'!I56</f>
        <v>3293.2409350278122</v>
      </c>
      <c r="J56" s="41">
        <f>Käyttökate!J56+'5. Rahoitustuotot ja -kulut'!J56</f>
        <v>1855.8557418559067</v>
      </c>
      <c r="K56" s="41">
        <f>Käyttökate!K56+'5. Rahoitustuotot ja -kulut'!K56</f>
        <v>5931.1907581069408</v>
      </c>
      <c r="L56" s="41">
        <f>Käyttökate!L56+'5. Rahoitustuotot ja -kulut'!L56</f>
        <v>4289.6362352486758</v>
      </c>
      <c r="M56" s="41">
        <f>Käyttökate!M56+'5. Rahoitustuotot ja -kulut'!M56</f>
        <v>477.95470792973356</v>
      </c>
      <c r="N56" s="41">
        <f>Käyttökate!N56+'5. Rahoitustuotot ja -kulut'!N56</f>
        <v>654.01286577724204</v>
      </c>
      <c r="O56" s="41">
        <f>Käyttökate!O56+'5. Rahoitustuotot ja -kulut'!O56</f>
        <v>541.55395540684208</v>
      </c>
      <c r="P56" s="41">
        <f>Käyttökate!P56+'5. Rahoitustuotot ja -kulut'!P56</f>
        <v>911.23983691044236</v>
      </c>
      <c r="T56" s="34">
        <v>145</v>
      </c>
      <c r="U56" s="88" t="s">
        <v>370</v>
      </c>
      <c r="V56" s="41" t="e">
        <f>C56/'1. Väestöennuste'!E56*1000</f>
        <v>#REF!</v>
      </c>
      <c r="W56" s="41">
        <f>D56/'1. Väestöennuste'!F56*1000</f>
        <v>346.0179173173338</v>
      </c>
      <c r="X56" s="41">
        <f>E56/'1. Väestöennuste'!G56*1000</f>
        <v>356.98484227775504</v>
      </c>
      <c r="Y56" s="41">
        <f>F56/'1. Väestöennuste'!H56*1000</f>
        <v>184.45884959382948</v>
      </c>
      <c r="Z56" s="41">
        <f>G56/'1. Väestöennuste'!I56*1000</f>
        <v>-60.07009536229522</v>
      </c>
      <c r="AA56" s="41">
        <f>H56/'1. Väestöennuste'!J56*1000</f>
        <v>451.01581442220248</v>
      </c>
      <c r="AB56" s="41">
        <f>I56/'1. Väestöennuste'!K56*1000</f>
        <v>266.3141626255711</v>
      </c>
      <c r="AC56" s="41">
        <f>J56/'1. Väestöennuste'!L56*1000</f>
        <v>150.04088785317379</v>
      </c>
      <c r="AD56" s="41">
        <f>K56/'1. Väestöennuste'!M56*1000</f>
        <v>480.53072657432881</v>
      </c>
      <c r="AE56" s="41">
        <f>L56/'1. Väestöennuste'!N56*1000</f>
        <v>344.90924139653254</v>
      </c>
      <c r="AF56" s="41">
        <f>M56/'1. Väestöennuste'!O56*1000</f>
        <v>38.371444117672887</v>
      </c>
      <c r="AG56" s="41">
        <f>N56/'1. Väestöennuste'!P56*1000</f>
        <v>52.451108010044273</v>
      </c>
      <c r="AH56" s="41">
        <f>O56/'1. Väestöennuste'!Q56*1000</f>
        <v>43.404180123975486</v>
      </c>
      <c r="AI56" s="41">
        <f>P56/'1. Väestöennuste'!R56*1000</f>
        <v>73.033568719278861</v>
      </c>
      <c r="AK56" s="41">
        <f>'6. Poistot'!Z56</f>
        <v>255.52204743662892</v>
      </c>
      <c r="AL56" s="41">
        <f>'6. Poistot'!AA56</f>
        <v>261.0216365706849</v>
      </c>
      <c r="AM56" s="41">
        <f>'6. Poistot'!AB56</f>
        <v>263.97178634966843</v>
      </c>
      <c r="AN56" s="41">
        <f>'6. Poistot'!AC56</f>
        <v>320.94525669011239</v>
      </c>
      <c r="AO56" s="41">
        <f>'6. Poistot'!AD56</f>
        <v>435.36740095600749</v>
      </c>
      <c r="AP56" s="41">
        <f>'6. Poistot'!AE56</f>
        <v>327.08916941384575</v>
      </c>
      <c r="AQ56" s="41">
        <f>'6. Poistot'!AF56</f>
        <v>329.15863840719334</v>
      </c>
      <c r="AR56" s="41">
        <f>'6. Poistot'!AG56</f>
        <v>332.8254070093833</v>
      </c>
      <c r="AS56" s="41">
        <f>'6. Poistot'!AH56</f>
        <v>343.34417836458016</v>
      </c>
      <c r="AT56" s="41">
        <f>'6. Poistot'!AI56</f>
        <v>354.07635063795249</v>
      </c>
      <c r="AV56" s="4">
        <f t="shared" si="19"/>
        <v>0</v>
      </c>
      <c r="AW56" s="4">
        <f t="shared" si="11"/>
        <v>1</v>
      </c>
      <c r="AX56" s="4">
        <f t="shared" si="12"/>
        <v>0</v>
      </c>
      <c r="AY56" s="4">
        <f t="shared" si="13"/>
        <v>0</v>
      </c>
      <c r="AZ56" s="4">
        <f t="shared" si="14"/>
        <v>1</v>
      </c>
      <c r="BA56" s="4">
        <f t="shared" si="15"/>
        <v>1</v>
      </c>
      <c r="BB56" s="4">
        <f t="shared" si="16"/>
        <v>1</v>
      </c>
      <c r="BC56" s="4">
        <f t="shared" si="17"/>
        <v>1</v>
      </c>
      <c r="BE56" s="405">
        <f t="shared" si="20"/>
        <v>-1</v>
      </c>
      <c r="BF56" s="405">
        <f t="shared" si="21"/>
        <v>0</v>
      </c>
      <c r="BG56" s="405">
        <f t="shared" si="22"/>
        <v>0</v>
      </c>
      <c r="BH56" s="405">
        <f t="shared" si="23"/>
        <v>0</v>
      </c>
      <c r="BI56" s="405">
        <f t="shared" si="24"/>
        <v>0</v>
      </c>
      <c r="BJ56" s="405">
        <f t="shared" si="25"/>
        <v>0</v>
      </c>
      <c r="BK56" s="405">
        <f t="shared" si="26"/>
        <v>0</v>
      </c>
      <c r="BL56" s="405">
        <f t="shared" si="27"/>
        <v>0</v>
      </c>
      <c r="BM56" s="405">
        <f t="shared" si="28"/>
        <v>0</v>
      </c>
      <c r="BN56" s="405">
        <f t="shared" si="28"/>
        <v>0</v>
      </c>
    </row>
    <row r="57" spans="1:66" x14ac:dyDescent="0.2">
      <c r="A57" s="34">
        <v>146</v>
      </c>
      <c r="B57" s="88" t="s">
        <v>371</v>
      </c>
      <c r="C57" s="41" t="e">
        <f>'2. Toimintakate'!D57+'3. Verotulot'!G57+'4. Valtionosuudet'!#REF!+'5. Rahoitustuotot ja -kulut'!C57</f>
        <v>#REF!</v>
      </c>
      <c r="D57" s="41">
        <f>'2. Toimintakate'!E57+'4. Valtionosuudet'!H57+'3. Verotulot'!L57+'5. Rahoitustuotot ja -kulut'!D57</f>
        <v>2689</v>
      </c>
      <c r="E57" s="41">
        <f>'2. Toimintakate'!F57+'4. Valtionosuudet'!N57+'3. Verotulot'!Q57+'5. Rahoitustuotot ja -kulut'!E57</f>
        <v>2707</v>
      </c>
      <c r="F57" s="41">
        <f>'2. Toimintakate'!G57+'4. Valtionosuudet'!T57+'3. Verotulot'!V57+'5. Rahoitustuotot ja -kulut'!F57</f>
        <v>995</v>
      </c>
      <c r="G57" s="41">
        <f>'2. Toimintakate'!H57+'3. Verotulot'!AA57+'4. Valtionosuudet'!Z57+'5. Rahoitustuotot ja -kulut'!G57</f>
        <v>806</v>
      </c>
      <c r="H57" s="41">
        <f>Käyttökate!H57+'5. Rahoitustuotot ja -kulut'!H57</f>
        <v>4432.1651969566119</v>
      </c>
      <c r="I57" s="41">
        <f>Käyttökate!I57+'5. Rahoitustuotot ja -kulut'!I57</f>
        <v>4043.7725588258431</v>
      </c>
      <c r="J57" s="41">
        <f>Käyttökate!J57+'5. Rahoitustuotot ja -kulut'!J57</f>
        <v>2267.1178026844987</v>
      </c>
      <c r="K57" s="41">
        <f>Käyttökate!K57+'5. Rahoitustuotot ja -kulut'!K57</f>
        <v>3243.8095491271347</v>
      </c>
      <c r="L57" s="41">
        <f>Käyttökate!L57+'5. Rahoitustuotot ja -kulut'!L57</f>
        <v>992.05906657758419</v>
      </c>
      <c r="M57" s="41">
        <f>Käyttökate!M57+'5. Rahoitustuotot ja -kulut'!M57</f>
        <v>96.922359814862645</v>
      </c>
      <c r="N57" s="41">
        <f>Käyttökate!N57+'5. Rahoitustuotot ja -kulut'!N57</f>
        <v>-7.3041741472463428</v>
      </c>
      <c r="O57" s="41">
        <f>Käyttökate!O57+'5. Rahoitustuotot ja -kulut'!O57</f>
        <v>-173.22999872969893</v>
      </c>
      <c r="P57" s="41">
        <f>Käyttökate!P57+'5. Rahoitustuotot ja -kulut'!P57</f>
        <v>436.5542053972369</v>
      </c>
      <c r="T57" s="34">
        <v>146</v>
      </c>
      <c r="U57" s="88" t="s">
        <v>371</v>
      </c>
      <c r="V57" s="41" t="e">
        <f>C57/'1. Väestöennuste'!E57*1000</f>
        <v>#REF!</v>
      </c>
      <c r="W57" s="41">
        <f>D57/'1. Väestöennuste'!F57*1000</f>
        <v>513.46190567118572</v>
      </c>
      <c r="X57" s="41">
        <f>E57/'1. Väestöennuste'!G57*1000</f>
        <v>527.88611544461787</v>
      </c>
      <c r="Y57" s="41">
        <f>F57/'1. Väestöennuste'!H57*1000</f>
        <v>200.08043434546551</v>
      </c>
      <c r="Z57" s="41">
        <f>G57/'1. Väestöennuste'!I57*1000</f>
        <v>165.94605723697757</v>
      </c>
      <c r="AA57" s="41">
        <f>H57/'1. Väestöennuste'!J57*1000</f>
        <v>933.28389070469814</v>
      </c>
      <c r="AB57" s="41">
        <f>I57/'1. Väestöennuste'!K57*1000</f>
        <v>870.939599144054</v>
      </c>
      <c r="AC57" s="41">
        <f>J57/'1. Väestöennuste'!L57*1000</f>
        <v>504.70120273475038</v>
      </c>
      <c r="AD57" s="41">
        <f>K57/'1. Väestöennuste'!M57*1000</f>
        <v>736.22549912100203</v>
      </c>
      <c r="AE57" s="41">
        <f>L57/'1. Väestöennuste'!N57*1000</f>
        <v>227.95474875404048</v>
      </c>
      <c r="AF57" s="41">
        <f>M57/'1. Väestöennuste'!O57*1000</f>
        <v>22.698444921513499</v>
      </c>
      <c r="AG57" s="41">
        <f>N57/'1. Väestöennuste'!P57*1000</f>
        <v>-1.7428237049024917</v>
      </c>
      <c r="AH57" s="41">
        <f>O57/'1. Väestöennuste'!Q57*1000</f>
        <v>-42.097205037593909</v>
      </c>
      <c r="AI57" s="41">
        <f>P57/'1. Väestöennuste'!R57*1000</f>
        <v>108.00450405671373</v>
      </c>
      <c r="AK57" s="41">
        <f>'6. Poistot'!Z57</f>
        <v>391.80564134239245</v>
      </c>
      <c r="AL57" s="41">
        <f>'6. Poistot'!AA57</f>
        <v>355.65382185723308</v>
      </c>
      <c r="AM57" s="41">
        <f>'6. Poistot'!AB57</f>
        <v>797.57856773637741</v>
      </c>
      <c r="AN57" s="41">
        <f>'6. Poistot'!AC57</f>
        <v>249.89011353517364</v>
      </c>
      <c r="AO57" s="41">
        <f>'6. Poistot'!AD57</f>
        <v>310.69101906491147</v>
      </c>
      <c r="AP57" s="41">
        <f>'6. Poistot'!AE57</f>
        <v>237.64177389705884</v>
      </c>
      <c r="AQ57" s="41">
        <f>'6. Poistot'!AF57</f>
        <v>190.88103044496486</v>
      </c>
      <c r="AR57" s="41">
        <f>'6. Poistot'!AG57</f>
        <v>215.95371033166307</v>
      </c>
      <c r="AS57" s="41">
        <f>'6. Poistot'!AH57</f>
        <v>227.03889155491012</v>
      </c>
      <c r="AT57" s="41">
        <f>'6. Poistot'!AI57</f>
        <v>238.36419532333258</v>
      </c>
      <c r="AV57" s="4">
        <f t="shared" si="19"/>
        <v>0</v>
      </c>
      <c r="AW57" s="4">
        <f t="shared" si="11"/>
        <v>0</v>
      </c>
      <c r="AX57" s="4">
        <f t="shared" si="12"/>
        <v>0</v>
      </c>
      <c r="AY57" s="4">
        <f t="shared" si="13"/>
        <v>1</v>
      </c>
      <c r="AZ57" s="4">
        <f t="shared" si="14"/>
        <v>1</v>
      </c>
      <c r="BA57" s="4">
        <f t="shared" si="15"/>
        <v>1</v>
      </c>
      <c r="BB57" s="4">
        <f t="shared" si="16"/>
        <v>1</v>
      </c>
      <c r="BC57" s="4">
        <f t="shared" si="17"/>
        <v>1</v>
      </c>
      <c r="BE57" s="405">
        <f t="shared" si="20"/>
        <v>0</v>
      </c>
      <c r="BF57" s="405">
        <f t="shared" si="21"/>
        <v>0</v>
      </c>
      <c r="BG57" s="405">
        <f t="shared" si="22"/>
        <v>0</v>
      </c>
      <c r="BH57" s="405">
        <f t="shared" si="23"/>
        <v>0</v>
      </c>
      <c r="BI57" s="405">
        <f t="shared" si="24"/>
        <v>0</v>
      </c>
      <c r="BJ57" s="405">
        <f t="shared" si="25"/>
        <v>0</v>
      </c>
      <c r="BK57" s="405">
        <f t="shared" si="26"/>
        <v>0</v>
      </c>
      <c r="BL57" s="405">
        <f t="shared" si="27"/>
        <v>-1</v>
      </c>
      <c r="BM57" s="405">
        <f t="shared" si="28"/>
        <v>-1</v>
      </c>
      <c r="BN57" s="405">
        <f t="shared" si="28"/>
        <v>0</v>
      </c>
    </row>
    <row r="58" spans="1:66" x14ac:dyDescent="0.2">
      <c r="A58" s="34">
        <v>148</v>
      </c>
      <c r="B58" s="88" t="s">
        <v>372</v>
      </c>
      <c r="C58" s="41" t="e">
        <f>'2. Toimintakate'!D58+'3. Verotulot'!G58+'4. Valtionosuudet'!#REF!+'5. Rahoitustuotot ja -kulut'!C58</f>
        <v>#REF!</v>
      </c>
      <c r="D58" s="41">
        <f>'2. Toimintakate'!E58+'4. Valtionosuudet'!H58+'3. Verotulot'!L58+'5. Rahoitustuotot ja -kulut'!D58</f>
        <v>3590</v>
      </c>
      <c r="E58" s="41">
        <f>'2. Toimintakate'!F58+'4. Valtionosuudet'!N58+'3. Verotulot'!Q58+'5. Rahoitustuotot ja -kulut'!E58</f>
        <v>4919</v>
      </c>
      <c r="F58" s="41">
        <f>'2. Toimintakate'!G58+'4. Valtionosuudet'!T58+'3. Verotulot'!V58+'5. Rahoitustuotot ja -kulut'!F58</f>
        <v>3597</v>
      </c>
      <c r="G58" s="41">
        <f>'2. Toimintakate'!H58+'3. Verotulot'!AA58+'4. Valtionosuudet'!Z58+'5. Rahoitustuotot ja -kulut'!G58</f>
        <v>2328</v>
      </c>
      <c r="H58" s="41">
        <f>Käyttökate!H58+'5. Rahoitustuotot ja -kulut'!H58</f>
        <v>6091.5056375093845</v>
      </c>
      <c r="I58" s="41">
        <f>Käyttökate!I58+'5. Rahoitustuotot ja -kulut'!I58</f>
        <v>6354.3844472873498</v>
      </c>
      <c r="J58" s="41">
        <f>Käyttökate!J58+'5. Rahoitustuotot ja -kulut'!J58</f>
        <v>5628.7336871501075</v>
      </c>
      <c r="K58" s="41">
        <f>Käyttökate!K58+'5. Rahoitustuotot ja -kulut'!K58</f>
        <v>4837.8572790783437</v>
      </c>
      <c r="L58" s="41">
        <f>Käyttökate!L58+'5. Rahoitustuotot ja -kulut'!L58</f>
        <v>3475.6899405281856</v>
      </c>
      <c r="M58" s="41">
        <f>Käyttökate!M58+'5. Rahoitustuotot ja -kulut'!M58</f>
        <v>2822.0898214726567</v>
      </c>
      <c r="N58" s="41">
        <f>Käyttökate!N58+'5. Rahoitustuotot ja -kulut'!N58</f>
        <v>2673.4700666289773</v>
      </c>
      <c r="O58" s="41">
        <f>Käyttökate!O58+'5. Rahoitustuotot ja -kulut'!O58</f>
        <v>2640.7997199425972</v>
      </c>
      <c r="P58" s="41">
        <f>Käyttökate!P58+'5. Rahoitustuotot ja -kulut'!P58</f>
        <v>3032.6892079927616</v>
      </c>
      <c r="T58" s="34">
        <v>148</v>
      </c>
      <c r="U58" s="88" t="s">
        <v>372</v>
      </c>
      <c r="V58" s="41" t="e">
        <f>C58/'1. Väestöennuste'!E58*1000</f>
        <v>#REF!</v>
      </c>
      <c r="W58" s="41">
        <f>D58/'1. Väestöennuste'!F58*1000</f>
        <v>526.00732600732601</v>
      </c>
      <c r="X58" s="41">
        <f>E58/'1. Väestöennuste'!G58*1000</f>
        <v>716.11588295239483</v>
      </c>
      <c r="Y58" s="41">
        <f>F58/'1. Väestöennuste'!H58*1000</f>
        <v>519.04761904761904</v>
      </c>
      <c r="Z58" s="41">
        <f>G58/'1. Väestöennuste'!I58*1000</f>
        <v>337.0493702041407</v>
      </c>
      <c r="AA58" s="41">
        <f>H58/'1. Väestöennuste'!J58*1000</f>
        <v>887.71577346391496</v>
      </c>
      <c r="AB58" s="41">
        <f>I58/'1. Väestöennuste'!K58*1000</f>
        <v>906.73294053757843</v>
      </c>
      <c r="AC58" s="41">
        <f>J58/'1. Väestöennuste'!L58*1000</f>
        <v>798.74183158082974</v>
      </c>
      <c r="AD58" s="41">
        <f>K58/'1. Väestöennuste'!M58*1000</f>
        <v>678.80697054557925</v>
      </c>
      <c r="AE58" s="41">
        <f>L58/'1. Väestöennuste'!N58*1000</f>
        <v>504.30788458040996</v>
      </c>
      <c r="AF58" s="41">
        <f>M58/'1. Väestöennuste'!O58*1000</f>
        <v>408.99852485110966</v>
      </c>
      <c r="AG58" s="41">
        <f>N58/'1. Väestöennuste'!P58*1000</f>
        <v>387.12280142325181</v>
      </c>
      <c r="AH58" s="41">
        <f>O58/'1. Väestöennuste'!Q58*1000</f>
        <v>382.00487775822324</v>
      </c>
      <c r="AI58" s="41">
        <f>P58/'1. Väestöennuste'!R58*1000</f>
        <v>438.24988554808692</v>
      </c>
      <c r="AK58" s="41">
        <f>'6. Poistot'!Z58</f>
        <v>297.66903141740266</v>
      </c>
      <c r="AL58" s="41">
        <f>'6. Poistot'!AA58</f>
        <v>308.51063829787233</v>
      </c>
      <c r="AM58" s="41">
        <f>'6. Poistot'!AB58</f>
        <v>526.50895119863014</v>
      </c>
      <c r="AN58" s="41">
        <f>'6. Poistot'!AC58</f>
        <v>302.10391939832556</v>
      </c>
      <c r="AO58" s="41">
        <f>'6. Poistot'!AD58</f>
        <v>367.08358355549325</v>
      </c>
      <c r="AP58" s="41">
        <f>'6. Poistot'!AE58</f>
        <v>260.11423534532793</v>
      </c>
      <c r="AQ58" s="41">
        <f>'6. Poistot'!AF58</f>
        <v>246.37681159420291</v>
      </c>
      <c r="AR58" s="41">
        <f>'6. Poistot'!AG58</f>
        <v>246.16275702287865</v>
      </c>
      <c r="AS58" s="41">
        <f>'6. Poistot'!AH58</f>
        <v>253.84822493933291</v>
      </c>
      <c r="AT58" s="41">
        <f>'6. Poistot'!AI58</f>
        <v>261.51814422127399</v>
      </c>
      <c r="AV58" s="4">
        <f t="shared" si="19"/>
        <v>0</v>
      </c>
      <c r="AW58" s="4">
        <f t="shared" si="11"/>
        <v>0</v>
      </c>
      <c r="AX58" s="4">
        <f t="shared" si="12"/>
        <v>0</v>
      </c>
      <c r="AY58" s="4">
        <f t="shared" si="13"/>
        <v>0</v>
      </c>
      <c r="AZ58" s="4">
        <f t="shared" si="14"/>
        <v>0</v>
      </c>
      <c r="BA58" s="4">
        <f t="shared" si="15"/>
        <v>0</v>
      </c>
      <c r="BB58" s="4">
        <f t="shared" si="16"/>
        <v>0</v>
      </c>
      <c r="BC58" s="4">
        <f t="shared" si="17"/>
        <v>0</v>
      </c>
      <c r="BE58" s="405">
        <f t="shared" si="20"/>
        <v>0</v>
      </c>
      <c r="BF58" s="405">
        <f t="shared" si="21"/>
        <v>0</v>
      </c>
      <c r="BG58" s="405">
        <f t="shared" si="22"/>
        <v>0</v>
      </c>
      <c r="BH58" s="405">
        <f t="shared" si="23"/>
        <v>0</v>
      </c>
      <c r="BI58" s="405">
        <f t="shared" si="24"/>
        <v>0</v>
      </c>
      <c r="BJ58" s="405">
        <f t="shared" si="25"/>
        <v>0</v>
      </c>
      <c r="BK58" s="405">
        <f t="shared" si="26"/>
        <v>0</v>
      </c>
      <c r="BL58" s="405">
        <f t="shared" si="27"/>
        <v>0</v>
      </c>
      <c r="BM58" s="405">
        <f t="shared" si="28"/>
        <v>0</v>
      </c>
      <c r="BN58" s="405">
        <f t="shared" si="28"/>
        <v>0</v>
      </c>
    </row>
    <row r="59" spans="1:66" x14ac:dyDescent="0.2">
      <c r="A59" s="34">
        <v>149</v>
      </c>
      <c r="B59" s="88" t="s">
        <v>373</v>
      </c>
      <c r="C59" s="41" t="e">
        <f>'2. Toimintakate'!D59+'3. Verotulot'!G59+'4. Valtionosuudet'!#REF!+'5. Rahoitustuotot ja -kulut'!C59</f>
        <v>#REF!</v>
      </c>
      <c r="D59" s="41">
        <f>'2. Toimintakate'!E59+'4. Valtionosuudet'!H59+'3. Verotulot'!L59+'5. Rahoitustuotot ja -kulut'!D59</f>
        <v>1810</v>
      </c>
      <c r="E59" s="41">
        <f>'2. Toimintakate'!F59+'4. Valtionosuudet'!N59+'3. Verotulot'!Q59+'5. Rahoitustuotot ja -kulut'!E59</f>
        <v>2006</v>
      </c>
      <c r="F59" s="41">
        <f>'2. Toimintakate'!G59+'4. Valtionosuudet'!T59+'3. Verotulot'!V59+'5. Rahoitustuotot ja -kulut'!F59</f>
        <v>2773</v>
      </c>
      <c r="G59" s="41">
        <f>'2. Toimintakate'!H59+'3. Verotulot'!AA59+'4. Valtionosuudet'!Z59+'5. Rahoitustuotot ja -kulut'!G59</f>
        <v>581</v>
      </c>
      <c r="H59" s="41">
        <f>Käyttökate!H59+'5. Rahoitustuotot ja -kulut'!H59</f>
        <v>5038.2601452154431</v>
      </c>
      <c r="I59" s="41">
        <f>Käyttökate!I59+'5. Rahoitustuotot ja -kulut'!I59</f>
        <v>3956.1383797293147</v>
      </c>
      <c r="J59" s="41">
        <f>Käyttökate!J59+'5. Rahoitustuotot ja -kulut'!J59</f>
        <v>3124.7050762885801</v>
      </c>
      <c r="K59" s="41">
        <f>Käyttökate!K59+'5. Rahoitustuotot ja -kulut'!K59</f>
        <v>2259.8629254856223</v>
      </c>
      <c r="L59" s="41">
        <f>Käyttökate!L59+'5. Rahoitustuotot ja -kulut'!L59</f>
        <v>754.3799436186481</v>
      </c>
      <c r="M59" s="41">
        <f>Käyttökate!M59+'5. Rahoitustuotot ja -kulut'!M59</f>
        <v>688.16950468643199</v>
      </c>
      <c r="N59" s="41">
        <f>Käyttökate!N59+'5. Rahoitustuotot ja -kulut'!N59</f>
        <v>528.78445658898067</v>
      </c>
      <c r="O59" s="41">
        <f>Käyttökate!O59+'5. Rahoitustuotot ja -kulut'!O59</f>
        <v>837.13807599570612</v>
      </c>
      <c r="P59" s="41">
        <f>Käyttökate!P59+'5. Rahoitustuotot ja -kulut'!P59</f>
        <v>959.85010039678343</v>
      </c>
      <c r="T59" s="34">
        <v>149</v>
      </c>
      <c r="U59" s="88" t="s">
        <v>373</v>
      </c>
      <c r="V59" s="41" t="e">
        <f>C59/'1. Väestöennuste'!E59*1000</f>
        <v>#REF!</v>
      </c>
      <c r="W59" s="41">
        <f>D59/'1. Väestöennuste'!F59*1000</f>
        <v>324.08236347358996</v>
      </c>
      <c r="X59" s="41">
        <f>E59/'1. Väestöennuste'!G59*1000</f>
        <v>365.99160737091773</v>
      </c>
      <c r="Y59" s="41">
        <f>F59/'1. Väestöennuste'!H59*1000</f>
        <v>513.23338885804185</v>
      </c>
      <c r="Z59" s="41">
        <f>G59/'1. Väestöennuste'!I59*1000</f>
        <v>107.87226141849239</v>
      </c>
      <c r="AA59" s="41">
        <f>H59/'1. Väestöennuste'!J59*1000</f>
        <v>946.86339883770779</v>
      </c>
      <c r="AB59" s="41">
        <f>I59/'1. Väestöennuste'!K59*1000</f>
        <v>739.05069675496259</v>
      </c>
      <c r="AC59" s="41">
        <f>J59/'1. Väestöennuste'!L59*1000</f>
        <v>580.36869916206911</v>
      </c>
      <c r="AD59" s="41">
        <f>K59/'1. Väestöennuste'!M59*1000</f>
        <v>420.12696142138361</v>
      </c>
      <c r="AE59" s="41">
        <f>L59/'1. Väestöennuste'!N59*1000</f>
        <v>145.52082245730094</v>
      </c>
      <c r="AF59" s="41">
        <f>M59/'1. Väestöennuste'!O59*1000</f>
        <v>133.34034192722959</v>
      </c>
      <c r="AG59" s="41">
        <f>N59/'1. Väestöennuste'!P59*1000</f>
        <v>102.93643305216676</v>
      </c>
      <c r="AH59" s="41">
        <f>O59/'1. Väestöennuste'!Q59*1000</f>
        <v>163.6313674737502</v>
      </c>
      <c r="AI59" s="41">
        <f>P59/'1. Väestöennuste'!R59*1000</f>
        <v>188.3536303761349</v>
      </c>
      <c r="AK59" s="41">
        <f>'6. Poistot'!Z59</f>
        <v>290.19680653546231</v>
      </c>
      <c r="AL59" s="41">
        <f>'6. Poistot'!AA59</f>
        <v>307.27306897199776</v>
      </c>
      <c r="AM59" s="41">
        <f>'6. Poistot'!AB59</f>
        <v>357.18932934802916</v>
      </c>
      <c r="AN59" s="41">
        <f>'6. Poistot'!AC59</f>
        <v>414.74807578008915</v>
      </c>
      <c r="AO59" s="41">
        <f>'6. Poistot'!AD59</f>
        <v>477.85482431678747</v>
      </c>
      <c r="AP59" s="41">
        <f>'6. Poistot'!AE59</f>
        <v>679.3076774691358</v>
      </c>
      <c r="AQ59" s="41">
        <f>'6. Poistot'!AF59</f>
        <v>740.73997287347413</v>
      </c>
      <c r="AR59" s="41">
        <f>'6. Poistot'!AG59</f>
        <v>741.83394977613398</v>
      </c>
      <c r="AS59" s="41">
        <f>'6. Poistot'!AH59</f>
        <v>768.91352677727889</v>
      </c>
      <c r="AT59" s="41">
        <f>'6. Poistot'!AI59</f>
        <v>796.06008751670288</v>
      </c>
      <c r="AV59" s="4">
        <f t="shared" si="19"/>
        <v>0</v>
      </c>
      <c r="AW59" s="4">
        <f t="shared" si="11"/>
        <v>0</v>
      </c>
      <c r="AX59" s="4">
        <f t="shared" si="12"/>
        <v>1</v>
      </c>
      <c r="AY59" s="4">
        <f t="shared" si="13"/>
        <v>1</v>
      </c>
      <c r="AZ59" s="4">
        <f t="shared" si="14"/>
        <v>1</v>
      </c>
      <c r="BA59" s="4">
        <f t="shared" si="15"/>
        <v>1</v>
      </c>
      <c r="BB59" s="4">
        <f t="shared" si="16"/>
        <v>1</v>
      </c>
      <c r="BC59" s="4">
        <f t="shared" si="17"/>
        <v>1</v>
      </c>
      <c r="BE59" s="405">
        <f t="shared" si="20"/>
        <v>0</v>
      </c>
      <c r="BF59" s="405">
        <f t="shared" si="21"/>
        <v>0</v>
      </c>
      <c r="BG59" s="405">
        <f t="shared" si="22"/>
        <v>0</v>
      </c>
      <c r="BH59" s="405">
        <f t="shared" si="23"/>
        <v>0</v>
      </c>
      <c r="BI59" s="405">
        <f t="shared" si="24"/>
        <v>0</v>
      </c>
      <c r="BJ59" s="405">
        <f t="shared" si="25"/>
        <v>0</v>
      </c>
      <c r="BK59" s="405">
        <f t="shared" si="26"/>
        <v>0</v>
      </c>
      <c r="BL59" s="405">
        <f t="shared" si="27"/>
        <v>0</v>
      </c>
      <c r="BM59" s="405">
        <f t="shared" si="28"/>
        <v>0</v>
      </c>
      <c r="BN59" s="405">
        <f t="shared" si="28"/>
        <v>0</v>
      </c>
    </row>
    <row r="60" spans="1:66" x14ac:dyDescent="0.2">
      <c r="A60" s="34">
        <v>151</v>
      </c>
      <c r="B60" s="88" t="s">
        <v>374</v>
      </c>
      <c r="C60" s="41" t="e">
        <f>'2. Toimintakate'!D60+'3. Verotulot'!G60+'4. Valtionosuudet'!#REF!+'5. Rahoitustuotot ja -kulut'!C60</f>
        <v>#REF!</v>
      </c>
      <c r="D60" s="41">
        <f>'2. Toimintakate'!E60+'4. Valtionosuudet'!H60+'3. Verotulot'!L60+'5. Rahoitustuotot ja -kulut'!D60</f>
        <v>1105</v>
      </c>
      <c r="E60" s="41">
        <f>'2. Toimintakate'!F60+'4. Valtionosuudet'!N60+'3. Verotulot'!Q60+'5. Rahoitustuotot ja -kulut'!E60</f>
        <v>1069</v>
      </c>
      <c r="F60" s="41">
        <f>'2. Toimintakate'!G60+'4. Valtionosuudet'!T60+'3. Verotulot'!V60+'5. Rahoitustuotot ja -kulut'!F60</f>
        <v>101</v>
      </c>
      <c r="G60" s="41">
        <f>'2. Toimintakate'!H60+'3. Verotulot'!AA60+'4. Valtionosuudet'!Z60+'5. Rahoitustuotot ja -kulut'!G60</f>
        <v>74</v>
      </c>
      <c r="H60" s="41">
        <f>Käyttökate!H60+'5. Rahoitustuotot ja -kulut'!H60</f>
        <v>1794.0990020439276</v>
      </c>
      <c r="I60" s="41">
        <f>Käyttökate!I60+'5. Rahoitustuotot ja -kulut'!I60</f>
        <v>633.54981720069975</v>
      </c>
      <c r="J60" s="41">
        <f>Käyttökate!J60+'5. Rahoitustuotot ja -kulut'!J60</f>
        <v>1526.1043202253209</v>
      </c>
      <c r="K60" s="41">
        <f>Käyttökate!K60+'5. Rahoitustuotot ja -kulut'!K60</f>
        <v>1476.0851085820682</v>
      </c>
      <c r="L60" s="41">
        <f>Käyttökate!L60+'5. Rahoitustuotot ja -kulut'!L60</f>
        <v>688.98985853436523</v>
      </c>
      <c r="M60" s="41">
        <f>Käyttökate!M60+'5. Rahoitustuotot ja -kulut'!M60</f>
        <v>726.94600523350562</v>
      </c>
      <c r="N60" s="41">
        <f>Käyttökate!N60+'5. Rahoitustuotot ja -kulut'!N60</f>
        <v>666.90845736566496</v>
      </c>
      <c r="O60" s="41">
        <f>Käyttökate!O60+'5. Rahoitustuotot ja -kulut'!O60</f>
        <v>745.84102119257057</v>
      </c>
      <c r="P60" s="41">
        <f>Käyttökate!P60+'5. Rahoitustuotot ja -kulut'!P60</f>
        <v>857.26473625936944</v>
      </c>
      <c r="T60" s="34">
        <v>151</v>
      </c>
      <c r="U60" s="88" t="s">
        <v>374</v>
      </c>
      <c r="V60" s="41" t="e">
        <f>C60/'1. Väestöennuste'!E60*1000</f>
        <v>#REF!</v>
      </c>
      <c r="W60" s="41">
        <f>D60/'1. Väestöennuste'!F60*1000</f>
        <v>531.50553150553151</v>
      </c>
      <c r="X60" s="41">
        <f>E60/'1. Väestöennuste'!G60*1000</f>
        <v>526.08267716535431</v>
      </c>
      <c r="Y60" s="41">
        <f>F60/'1. Väestöennuste'!H60*1000</f>
        <v>51.113360323886639</v>
      </c>
      <c r="Z60" s="41">
        <f>G60/'1. Väestöennuste'!I60*1000</f>
        <v>37.929267042542286</v>
      </c>
      <c r="AA60" s="41">
        <f>H60/'1. Väestöennuste'!J60*1000</f>
        <v>931.99948158126108</v>
      </c>
      <c r="AB60" s="41">
        <f>I60/'1. Väestöennuste'!K60*1000</f>
        <v>335.03427667937586</v>
      </c>
      <c r="AC60" s="41">
        <f>J60/'1. Väestöennuste'!L60*1000</f>
        <v>824.03041048883415</v>
      </c>
      <c r="AD60" s="41">
        <f>K60/'1. Väestöennuste'!M60*1000</f>
        <v>813.71836195262858</v>
      </c>
      <c r="AE60" s="41">
        <f>L60/'1. Väestöennuste'!N60*1000</f>
        <v>383.62464283650627</v>
      </c>
      <c r="AF60" s="41">
        <f>M60/'1. Väestöennuste'!O60*1000</f>
        <v>410.70395775904274</v>
      </c>
      <c r="AG60" s="41">
        <f>N60/'1. Väestöennuste'!P60*1000</f>
        <v>382.18249705768767</v>
      </c>
      <c r="AH60" s="41">
        <f>O60/'1. Väestöennuste'!Q60*1000</f>
        <v>432.37160648844667</v>
      </c>
      <c r="AI60" s="41">
        <f>P60/'1. Väestöennuste'!R60*1000</f>
        <v>503.08963395502906</v>
      </c>
      <c r="AK60" s="41">
        <f>'6. Poistot'!Z60</f>
        <v>252.69092772936958</v>
      </c>
      <c r="AL60" s="41">
        <f>'6. Poistot'!AA60</f>
        <v>260.25974025974023</v>
      </c>
      <c r="AM60" s="41">
        <f>'6. Poistot'!AB60</f>
        <v>256.83676361713378</v>
      </c>
      <c r="AN60" s="41">
        <f>'6. Poistot'!AC60</f>
        <v>277.13714902807777</v>
      </c>
      <c r="AO60" s="41">
        <f>'6. Poistot'!AD60</f>
        <v>767.07089305402428</v>
      </c>
      <c r="AP60" s="41">
        <f>'6. Poistot'!AE60</f>
        <v>311.93429844098</v>
      </c>
      <c r="AQ60" s="41">
        <f>'6. Poistot'!AF60</f>
        <v>311.71299435028249</v>
      </c>
      <c r="AR60" s="41">
        <f>'6. Poistot'!AG60</f>
        <v>316.1787965616046</v>
      </c>
      <c r="AS60" s="41">
        <f>'6. Poistot'!AH60</f>
        <v>330.1648536969555</v>
      </c>
      <c r="AT60" s="41">
        <f>'6. Poistot'!AI60</f>
        <v>344.6811885296342</v>
      </c>
      <c r="AV60" s="4">
        <f t="shared" si="19"/>
        <v>0</v>
      </c>
      <c r="AW60" s="4">
        <f t="shared" si="11"/>
        <v>0</v>
      </c>
      <c r="AX60" s="4">
        <f t="shared" si="12"/>
        <v>0</v>
      </c>
      <c r="AY60" s="4">
        <f t="shared" si="13"/>
        <v>0</v>
      </c>
      <c r="AZ60" s="4">
        <f t="shared" si="14"/>
        <v>0</v>
      </c>
      <c r="BA60" s="4">
        <f t="shared" si="15"/>
        <v>0</v>
      </c>
      <c r="BB60" s="4">
        <f t="shared" si="16"/>
        <v>0</v>
      </c>
      <c r="BC60" s="4">
        <f t="shared" si="17"/>
        <v>0</v>
      </c>
      <c r="BE60" s="405">
        <f t="shared" si="20"/>
        <v>0</v>
      </c>
      <c r="BF60" s="405">
        <f t="shared" si="21"/>
        <v>0</v>
      </c>
      <c r="BG60" s="405">
        <f t="shared" si="22"/>
        <v>0</v>
      </c>
      <c r="BH60" s="405">
        <f t="shared" si="23"/>
        <v>0</v>
      </c>
      <c r="BI60" s="405">
        <f t="shared" si="24"/>
        <v>0</v>
      </c>
      <c r="BJ60" s="405">
        <f t="shared" si="25"/>
        <v>0</v>
      </c>
      <c r="BK60" s="405">
        <f t="shared" si="26"/>
        <v>0</v>
      </c>
      <c r="BL60" s="405">
        <f t="shared" si="27"/>
        <v>0</v>
      </c>
      <c r="BM60" s="405">
        <f t="shared" si="28"/>
        <v>0</v>
      </c>
      <c r="BN60" s="405">
        <f t="shared" si="28"/>
        <v>0</v>
      </c>
    </row>
    <row r="61" spans="1:66" x14ac:dyDescent="0.2">
      <c r="A61" s="34">
        <v>152</v>
      </c>
      <c r="B61" s="88" t="s">
        <v>375</v>
      </c>
      <c r="C61" s="41" t="e">
        <f>'2. Toimintakate'!D61+'3. Verotulot'!G61+'4. Valtionosuudet'!#REF!+'5. Rahoitustuotot ja -kulut'!C61</f>
        <v>#REF!</v>
      </c>
      <c r="D61" s="41">
        <f>'2. Toimintakate'!E61+'4. Valtionosuudet'!H61+'3. Verotulot'!L61+'5. Rahoitustuotot ja -kulut'!D61</f>
        <v>2943</v>
      </c>
      <c r="E61" s="41">
        <f>'2. Toimintakate'!F61+'4. Valtionosuudet'!N61+'3. Verotulot'!Q61+'5. Rahoitustuotot ja -kulut'!E61</f>
        <v>2602</v>
      </c>
      <c r="F61" s="41">
        <f>'2. Toimintakate'!G61+'4. Valtionosuudet'!T61+'3. Verotulot'!V61+'5. Rahoitustuotot ja -kulut'!F61</f>
        <v>2507</v>
      </c>
      <c r="G61" s="41">
        <f>'2. Toimintakate'!H61+'3. Verotulot'!AA61+'4. Valtionosuudet'!Z61+'5. Rahoitustuotot ja -kulut'!G61</f>
        <v>1167</v>
      </c>
      <c r="H61" s="41">
        <f>Käyttökate!H61+'5. Rahoitustuotot ja -kulut'!H61</f>
        <v>2804.3897659165741</v>
      </c>
      <c r="I61" s="41">
        <f>Käyttökate!I61+'5. Rahoitustuotot ja -kulut'!I61</f>
        <v>1026.0033730123482</v>
      </c>
      <c r="J61" s="41">
        <f>Käyttökate!J61+'5. Rahoitustuotot ja -kulut'!J61</f>
        <v>3453.7171519837707</v>
      </c>
      <c r="K61" s="41">
        <f>Käyttökate!K61+'5. Rahoitustuotot ja -kulut'!K61</f>
        <v>3145.7246069224584</v>
      </c>
      <c r="L61" s="41">
        <f>Käyttökate!L61+'5. Rahoitustuotot ja -kulut'!L61</f>
        <v>2144.1593294483027</v>
      </c>
      <c r="M61" s="41">
        <f>Käyttökate!M61+'5. Rahoitustuotot ja -kulut'!M61</f>
        <v>1564.7739151690903</v>
      </c>
      <c r="N61" s="41">
        <f>Käyttökate!N61+'5. Rahoitustuotot ja -kulut'!N61</f>
        <v>1253.0222855620341</v>
      </c>
      <c r="O61" s="41">
        <f>Käyttökate!O61+'5. Rahoitustuotot ja -kulut'!O61</f>
        <v>1313.8609667866726</v>
      </c>
      <c r="P61" s="41">
        <f>Käyttökate!P61+'5. Rahoitustuotot ja -kulut'!P61</f>
        <v>1820.9951980866606</v>
      </c>
      <c r="T61" s="34">
        <v>152</v>
      </c>
      <c r="U61" s="88" t="s">
        <v>375</v>
      </c>
      <c r="V61" s="41" t="e">
        <f>C61/'1. Väestöennuste'!E61*1000</f>
        <v>#REF!</v>
      </c>
      <c r="W61" s="41">
        <f>D61/'1. Väestöennuste'!F61*1000</f>
        <v>624.57555178268251</v>
      </c>
      <c r="X61" s="41">
        <f>E61/'1. Väestöennuste'!G61*1000</f>
        <v>556.81575005349885</v>
      </c>
      <c r="Y61" s="41">
        <f>F61/'1. Väestöennuste'!H61*1000</f>
        <v>544.88154748967622</v>
      </c>
      <c r="Z61" s="41">
        <f>G61/'1. Väestöennuste'!I61*1000</f>
        <v>258.07164971251655</v>
      </c>
      <c r="AA61" s="41">
        <f>H61/'1. Väestöennuste'!J61*1000</f>
        <v>627.23993869751143</v>
      </c>
      <c r="AB61" s="41">
        <f>I61/'1. Väestöennuste'!K61*1000</f>
        <v>229.01861004739916</v>
      </c>
      <c r="AC61" s="41">
        <f>J61/'1. Väestöennuste'!L61*1000</f>
        <v>783.86680707756943</v>
      </c>
      <c r="AD61" s="41">
        <f>K61/'1. Väestöennuste'!M61*1000</f>
        <v>721.99325382659129</v>
      </c>
      <c r="AE61" s="41">
        <f>L61/'1. Väestöennuste'!N61*1000</f>
        <v>502.49808517654151</v>
      </c>
      <c r="AF61" s="41">
        <f>M61/'1. Väestöennuste'!O61*1000</f>
        <v>370.79950596423936</v>
      </c>
      <c r="AG61" s="41">
        <f>N61/'1. Väestöennuste'!P61*1000</f>
        <v>300.19700181169964</v>
      </c>
      <c r="AH61" s="41">
        <f>O61/'1. Väestöennuste'!Q61*1000</f>
        <v>318.35739442371516</v>
      </c>
      <c r="AI61" s="41">
        <f>P61/'1. Väestöennuste'!R61*1000</f>
        <v>445.6669598841558</v>
      </c>
      <c r="AK61" s="41">
        <f>'6. Poistot'!Z61</f>
        <v>279.74347633790359</v>
      </c>
      <c r="AL61" s="41">
        <f>'6. Poistot'!AA61</f>
        <v>324.9832252292552</v>
      </c>
      <c r="AM61" s="41">
        <f>'6. Poistot'!AB61</f>
        <v>363.09863839285708</v>
      </c>
      <c r="AN61" s="41">
        <f>'6. Poistot'!AC61</f>
        <v>397.36449387199269</v>
      </c>
      <c r="AO61" s="41">
        <f>'6. Poistot'!AD61</f>
        <v>415.73870323617166</v>
      </c>
      <c r="AP61" s="41">
        <f>'6. Poistot'!AE61</f>
        <v>458.25662057651749</v>
      </c>
      <c r="AQ61" s="41">
        <f>'6. Poistot'!AF61</f>
        <v>472.62772511848345</v>
      </c>
      <c r="AR61" s="41">
        <f>'6. Poistot'!AG61</f>
        <v>487.3933876377576</v>
      </c>
      <c r="AS61" s="41">
        <f>'6. Poistot'!AH61</f>
        <v>508.84952701056585</v>
      </c>
      <c r="AT61" s="41">
        <f>'6. Poistot'!AI61</f>
        <v>530.02055701057532</v>
      </c>
      <c r="AV61" s="4">
        <f t="shared" si="19"/>
        <v>1</v>
      </c>
      <c r="AW61" s="4">
        <f t="shared" si="11"/>
        <v>0</v>
      </c>
      <c r="AX61" s="4">
        <f t="shared" si="12"/>
        <v>0</v>
      </c>
      <c r="AY61" s="4">
        <f t="shared" si="13"/>
        <v>0</v>
      </c>
      <c r="AZ61" s="4">
        <f t="shared" si="14"/>
        <v>1</v>
      </c>
      <c r="BA61" s="4">
        <f t="shared" si="15"/>
        <v>1</v>
      </c>
      <c r="BB61" s="4">
        <f t="shared" si="16"/>
        <v>1</v>
      </c>
      <c r="BC61" s="4">
        <f t="shared" si="17"/>
        <v>1</v>
      </c>
      <c r="BE61" s="405">
        <f t="shared" si="20"/>
        <v>0</v>
      </c>
      <c r="BF61" s="405">
        <f t="shared" si="21"/>
        <v>0</v>
      </c>
      <c r="BG61" s="405">
        <f t="shared" si="22"/>
        <v>0</v>
      </c>
      <c r="BH61" s="405">
        <f t="shared" si="23"/>
        <v>0</v>
      </c>
      <c r="BI61" s="405">
        <f t="shared" si="24"/>
        <v>0</v>
      </c>
      <c r="BJ61" s="405">
        <f t="shared" si="25"/>
        <v>0</v>
      </c>
      <c r="BK61" s="405">
        <f t="shared" si="26"/>
        <v>0</v>
      </c>
      <c r="BL61" s="405">
        <f t="shared" si="27"/>
        <v>0</v>
      </c>
      <c r="BM61" s="405">
        <f t="shared" si="28"/>
        <v>0</v>
      </c>
      <c r="BN61" s="405">
        <f t="shared" si="28"/>
        <v>0</v>
      </c>
    </row>
    <row r="62" spans="1:66" x14ac:dyDescent="0.2">
      <c r="A62" s="34">
        <v>153</v>
      </c>
      <c r="B62" s="88" t="s">
        <v>376</v>
      </c>
      <c r="C62" s="41" t="e">
        <f>'2. Toimintakate'!D62+'3. Verotulot'!G62+'4. Valtionosuudet'!#REF!+'5. Rahoitustuotot ja -kulut'!C62</f>
        <v>#REF!</v>
      </c>
      <c r="D62" s="41">
        <f>'2. Toimintakate'!E62+'4. Valtionosuudet'!H62+'3. Verotulot'!L62+'5. Rahoitustuotot ja -kulut'!D62</f>
        <v>14287</v>
      </c>
      <c r="E62" s="41">
        <f>'2. Toimintakate'!F62+'4. Valtionosuudet'!N62+'3. Verotulot'!Q62+'5. Rahoitustuotot ja -kulut'!E62</f>
        <v>15951</v>
      </c>
      <c r="F62" s="41">
        <f>'2. Toimintakate'!G62+'4. Valtionosuudet'!T62+'3. Verotulot'!V62+'5. Rahoitustuotot ja -kulut'!F62</f>
        <v>8093</v>
      </c>
      <c r="G62" s="41">
        <f>'2. Toimintakate'!H62+'3. Verotulot'!AA62+'4. Valtionosuudet'!Z62+'5. Rahoitustuotot ja -kulut'!G62</f>
        <v>13625</v>
      </c>
      <c r="H62" s="41">
        <f>Käyttökate!H62+'5. Rahoitustuotot ja -kulut'!H62</f>
        <v>13084.281741824292</v>
      </c>
      <c r="I62" s="41">
        <f>Käyttökate!I62+'5. Rahoitustuotot ja -kulut'!I62</f>
        <v>12365.56559200296</v>
      </c>
      <c r="J62" s="41">
        <f>Käyttökate!J62+'5. Rahoitustuotot ja -kulut'!J62</f>
        <v>9211.3167866246658</v>
      </c>
      <c r="K62" s="41">
        <f>Käyttökate!K62+'5. Rahoitustuotot ja -kulut'!K62</f>
        <v>17806.240005301621</v>
      </c>
      <c r="L62" s="41">
        <f>Käyttökate!L62+'5. Rahoitustuotot ja -kulut'!L62</f>
        <v>11958.482139648255</v>
      </c>
      <c r="M62" s="41">
        <f>Käyttökate!M62+'5. Rahoitustuotot ja -kulut'!M62</f>
        <v>9219.9970299373344</v>
      </c>
      <c r="N62" s="41">
        <f>Käyttökate!N62+'5. Rahoitustuotot ja -kulut'!N62</f>
        <v>7842.4738596452817</v>
      </c>
      <c r="O62" s="41">
        <f>Käyttökate!O62+'5. Rahoitustuotot ja -kulut'!O62</f>
        <v>7328.0286809444915</v>
      </c>
      <c r="P62" s="41">
        <f>Käyttökate!P62+'5. Rahoitustuotot ja -kulut'!P62</f>
        <v>10621.236599897089</v>
      </c>
      <c r="T62" s="34">
        <v>153</v>
      </c>
      <c r="U62" s="88" t="s">
        <v>376</v>
      </c>
      <c r="V62" s="41" t="e">
        <f>C62/'1. Väestöennuste'!E62*1000</f>
        <v>#REF!</v>
      </c>
      <c r="W62" s="41">
        <f>D62/'1. Väestöennuste'!F62*1000</f>
        <v>519.20630882727039</v>
      </c>
      <c r="X62" s="41">
        <f>E62/'1. Väestöennuste'!G62*1000</f>
        <v>584.94994315889835</v>
      </c>
      <c r="Y62" s="41">
        <f>F62/'1. Väestöennuste'!H62*1000</f>
        <v>300.49754938363287</v>
      </c>
      <c r="Z62" s="41">
        <f>G62/'1. Väestöennuste'!I62*1000</f>
        <v>513.99577486041949</v>
      </c>
      <c r="AA62" s="41">
        <f>H62/'1. Väestöennuste'!J62*1000</f>
        <v>501.79412240936881</v>
      </c>
      <c r="AB62" s="41">
        <f>I62/'1. Väestöennuste'!K62*1000</f>
        <v>481.99437115583555</v>
      </c>
      <c r="AC62" s="41">
        <f>J62/'1. Väestöennuste'!L62*1000</f>
        <v>365.41243996448213</v>
      </c>
      <c r="AD62" s="41">
        <f>K62/'1. Väestöennuste'!M62*1000</f>
        <v>714.56479013209287</v>
      </c>
      <c r="AE62" s="41">
        <f>L62/'1. Väestöennuste'!N62*1000</f>
        <v>483.79651022122562</v>
      </c>
      <c r="AF62" s="41">
        <f>M62/'1. Väestöennuste'!O62*1000</f>
        <v>377.97716680758145</v>
      </c>
      <c r="AG62" s="41">
        <f>N62/'1. Väestöennuste'!P62*1000</f>
        <v>325.72471070504139</v>
      </c>
      <c r="AH62" s="41">
        <f>O62/'1. Väestöennuste'!Q62*1000</f>
        <v>308.22412958757064</v>
      </c>
      <c r="AI62" s="41">
        <f>P62/'1. Väestöennuste'!R62*1000</f>
        <v>452.1406751478051</v>
      </c>
      <c r="AK62" s="41">
        <f>'6. Poistot'!Z62</f>
        <v>438.01871133242793</v>
      </c>
      <c r="AL62" s="41">
        <f>'6. Poistot'!AA62</f>
        <v>324.18024928092041</v>
      </c>
      <c r="AM62" s="41">
        <f>'6. Poistot'!AB62</f>
        <v>363.01932371857339</v>
      </c>
      <c r="AN62" s="41">
        <f>'6. Poistot'!AC62</f>
        <v>375.50679070136465</v>
      </c>
      <c r="AO62" s="41">
        <f>'6. Poistot'!AD62</f>
        <v>508.36292989285283</v>
      </c>
      <c r="AP62" s="41">
        <f>'6. Poistot'!AE62</f>
        <v>461.31835099927184</v>
      </c>
      <c r="AQ62" s="41">
        <f>'6. Poistot'!AF62</f>
        <v>461.85725413028331</v>
      </c>
      <c r="AR62" s="41">
        <f>'6. Poistot'!AG62</f>
        <v>502.27561573285715</v>
      </c>
      <c r="AS62" s="41">
        <f>'6. Poistot'!AH62</f>
        <v>525.06818986381472</v>
      </c>
      <c r="AT62" s="41">
        <f>'6. Poistot'!AI62</f>
        <v>548.02700728042191</v>
      </c>
      <c r="AV62" s="4">
        <f t="shared" si="19"/>
        <v>0</v>
      </c>
      <c r="AW62" s="4">
        <f t="shared" si="11"/>
        <v>1</v>
      </c>
      <c r="AX62" s="4">
        <f t="shared" si="12"/>
        <v>0</v>
      </c>
      <c r="AY62" s="4">
        <f t="shared" si="13"/>
        <v>0</v>
      </c>
      <c r="AZ62" s="4">
        <f t="shared" si="14"/>
        <v>1</v>
      </c>
      <c r="BA62" s="4">
        <f t="shared" si="15"/>
        <v>1</v>
      </c>
      <c r="BB62" s="4">
        <f t="shared" si="16"/>
        <v>1</v>
      </c>
      <c r="BC62" s="4">
        <f t="shared" si="17"/>
        <v>1</v>
      </c>
      <c r="BE62" s="405">
        <f t="shared" si="20"/>
        <v>0</v>
      </c>
      <c r="BF62" s="405">
        <f t="shared" si="21"/>
        <v>0</v>
      </c>
      <c r="BG62" s="405">
        <f t="shared" si="22"/>
        <v>0</v>
      </c>
      <c r="BH62" s="405">
        <f t="shared" si="23"/>
        <v>0</v>
      </c>
      <c r="BI62" s="405">
        <f t="shared" si="24"/>
        <v>0</v>
      </c>
      <c r="BJ62" s="405">
        <f t="shared" si="25"/>
        <v>0</v>
      </c>
      <c r="BK62" s="405">
        <f t="shared" si="26"/>
        <v>0</v>
      </c>
      <c r="BL62" s="405">
        <f t="shared" si="27"/>
        <v>0</v>
      </c>
      <c r="BM62" s="405">
        <f t="shared" si="28"/>
        <v>0</v>
      </c>
      <c r="BN62" s="405">
        <f t="shared" si="28"/>
        <v>0</v>
      </c>
    </row>
    <row r="63" spans="1:66" x14ac:dyDescent="0.2">
      <c r="A63" s="34">
        <v>165</v>
      </c>
      <c r="B63" s="88" t="s">
        <v>377</v>
      </c>
      <c r="C63" s="41" t="e">
        <f>'2. Toimintakate'!D63+'3. Verotulot'!G63+'4. Valtionosuudet'!#REF!+'5. Rahoitustuotot ja -kulut'!C63</f>
        <v>#REF!</v>
      </c>
      <c r="D63" s="41">
        <f>'2. Toimintakate'!E63+'4. Valtionosuudet'!H63+'3. Verotulot'!L63+'5. Rahoitustuotot ja -kulut'!D63</f>
        <v>5708</v>
      </c>
      <c r="E63" s="41">
        <f>'2. Toimintakate'!F63+'4. Valtionosuudet'!N63+'3. Verotulot'!Q63+'5. Rahoitustuotot ja -kulut'!E63</f>
        <v>9018</v>
      </c>
      <c r="F63" s="41">
        <f>'2. Toimintakate'!G63+'4. Valtionosuudet'!T63+'3. Verotulot'!V63+'5. Rahoitustuotot ja -kulut'!F63</f>
        <v>4646</v>
      </c>
      <c r="G63" s="41">
        <f>'2. Toimintakate'!H63+'3. Verotulot'!AA63+'4. Valtionosuudet'!Z63+'5. Rahoitustuotot ja -kulut'!G63</f>
        <v>1342</v>
      </c>
      <c r="H63" s="41">
        <f>Käyttökate!H63+'5. Rahoitustuotot ja -kulut'!H63</f>
        <v>10065.342793307613</v>
      </c>
      <c r="I63" s="41">
        <f>Käyttökate!I63+'5. Rahoitustuotot ja -kulut'!I63</f>
        <v>7784.4402401316011</v>
      </c>
      <c r="J63" s="41">
        <f>Käyttökate!J63+'5. Rahoitustuotot ja -kulut'!J63</f>
        <v>6787.6485860402872</v>
      </c>
      <c r="K63" s="41">
        <f>Käyttökate!K63+'5. Rahoitustuotot ja -kulut'!K63</f>
        <v>12611.901459979803</v>
      </c>
      <c r="L63" s="41">
        <f>Käyttökate!L63+'5. Rahoitustuotot ja -kulut'!L63</f>
        <v>5213.4647182860463</v>
      </c>
      <c r="M63" s="41">
        <f>Käyttökate!M63+'5. Rahoitustuotot ja -kulut'!M63</f>
        <v>5073.0417213696583</v>
      </c>
      <c r="N63" s="41">
        <f>Käyttökate!N63+'5. Rahoitustuotot ja -kulut'!N63</f>
        <v>5252.7747994936617</v>
      </c>
      <c r="O63" s="41">
        <f>Käyttökate!O63+'5. Rahoitustuotot ja -kulut'!O63</f>
        <v>5181.7920652516314</v>
      </c>
      <c r="P63" s="41">
        <f>Käyttökate!P63+'5. Rahoitustuotot ja -kulut'!P63</f>
        <v>6607.5787347812566</v>
      </c>
      <c r="T63" s="34">
        <v>165</v>
      </c>
      <c r="U63" s="88" t="s">
        <v>377</v>
      </c>
      <c r="V63" s="41" t="e">
        <f>C63/'1. Väestöennuste'!E63*1000</f>
        <v>#REF!</v>
      </c>
      <c r="W63" s="41">
        <f>D63/'1. Väestöennuste'!F63*1000</f>
        <v>341.61230474594527</v>
      </c>
      <c r="X63" s="41">
        <f>E63/'1. Väestöennuste'!G63*1000</f>
        <v>543.02402601312701</v>
      </c>
      <c r="Y63" s="41">
        <f>F63/'1. Väestöennuste'!H63*1000</f>
        <v>282.48312762205876</v>
      </c>
      <c r="Z63" s="41">
        <f>G63/'1. Väestöennuste'!I63*1000</f>
        <v>81.764455005178817</v>
      </c>
      <c r="AA63" s="41">
        <f>H63/'1. Väestöennuste'!J63*1000</f>
        <v>619.90163166272168</v>
      </c>
      <c r="AB63" s="41">
        <f>I63/'1. Väestöennuste'!K63*1000</f>
        <v>476.40393146460224</v>
      </c>
      <c r="AC63" s="41">
        <f>J63/'1. Väestöennuste'!L63*1000</f>
        <v>416.93173132925597</v>
      </c>
      <c r="AD63" s="41">
        <f>K63/'1. Väestöennuste'!M63*1000</f>
        <v>782.2304447050675</v>
      </c>
      <c r="AE63" s="41">
        <f>L63/'1. Väestöennuste'!N63*1000</f>
        <v>330.44715207492214</v>
      </c>
      <c r="AF63" s="41">
        <f>M63/'1. Väestöennuste'!O63*1000</f>
        <v>323.70097762695627</v>
      </c>
      <c r="AG63" s="41">
        <f>N63/'1. Väestöennuste'!P63*1000</f>
        <v>337.40845320488575</v>
      </c>
      <c r="AH63" s="41">
        <f>O63/'1. Väestöennuste'!Q63*1000</f>
        <v>335.02243908008222</v>
      </c>
      <c r="AI63" s="41">
        <f>P63/'1. Väestöennuste'!R63*1000</f>
        <v>430.04091993369713</v>
      </c>
      <c r="AK63" s="41">
        <f>'6. Poistot'!Z63</f>
        <v>371.1082678364711</v>
      </c>
      <c r="AL63" s="41">
        <f>'6. Poistot'!AA63</f>
        <v>398.28786105807723</v>
      </c>
      <c r="AM63" s="41">
        <f>'6. Poistot'!AB63</f>
        <v>377.04924908200735</v>
      </c>
      <c r="AN63" s="41">
        <f>'6. Poistot'!AC63</f>
        <v>387.33404484029484</v>
      </c>
      <c r="AO63" s="41">
        <f>'6. Poistot'!AD63</f>
        <v>476.68729144700114</v>
      </c>
      <c r="AP63" s="41">
        <f>'6. Poistot'!AE63</f>
        <v>398.99176015719087</v>
      </c>
      <c r="AQ63" s="41">
        <f>'6. Poistot'!AF63</f>
        <v>432.56004338948446</v>
      </c>
      <c r="AR63" s="41">
        <f>'6. Poistot'!AG63</f>
        <v>469.70182425488184</v>
      </c>
      <c r="AS63" s="41">
        <f>'6. Poistot'!AH63</f>
        <v>488.02351736610893</v>
      </c>
      <c r="AT63" s="41">
        <f>'6. Poistot'!AI63</f>
        <v>506.61903587394806</v>
      </c>
      <c r="AV63" s="4">
        <f t="shared" si="19"/>
        <v>0</v>
      </c>
      <c r="AW63" s="4">
        <f t="shared" si="11"/>
        <v>0</v>
      </c>
      <c r="AX63" s="4">
        <f t="shared" si="12"/>
        <v>0</v>
      </c>
      <c r="AY63" s="4">
        <f t="shared" si="13"/>
        <v>1</v>
      </c>
      <c r="AZ63" s="4">
        <f t="shared" si="14"/>
        <v>1</v>
      </c>
      <c r="BA63" s="4">
        <f t="shared" si="15"/>
        <v>1</v>
      </c>
      <c r="BB63" s="4">
        <f t="shared" si="16"/>
        <v>1</v>
      </c>
      <c r="BC63" s="4">
        <f t="shared" si="17"/>
        <v>1</v>
      </c>
      <c r="BE63" s="405">
        <f t="shared" si="20"/>
        <v>0</v>
      </c>
      <c r="BF63" s="405">
        <f t="shared" si="21"/>
        <v>0</v>
      </c>
      <c r="BG63" s="405">
        <f t="shared" si="22"/>
        <v>0</v>
      </c>
      <c r="BH63" s="405">
        <f t="shared" si="23"/>
        <v>0</v>
      </c>
      <c r="BI63" s="405">
        <f t="shared" si="24"/>
        <v>0</v>
      </c>
      <c r="BJ63" s="405">
        <f t="shared" si="25"/>
        <v>0</v>
      </c>
      <c r="BK63" s="405">
        <f t="shared" si="26"/>
        <v>0</v>
      </c>
      <c r="BL63" s="405">
        <f t="shared" si="27"/>
        <v>0</v>
      </c>
      <c r="BM63" s="405">
        <f t="shared" si="28"/>
        <v>0</v>
      </c>
      <c r="BN63" s="405">
        <f t="shared" si="28"/>
        <v>0</v>
      </c>
    </row>
    <row r="64" spans="1:66" x14ac:dyDescent="0.2">
      <c r="A64" s="34">
        <v>167</v>
      </c>
      <c r="B64" s="88" t="s">
        <v>378</v>
      </c>
      <c r="C64" s="41" t="e">
        <f>'2. Toimintakate'!D64+'3. Verotulot'!G64+'4. Valtionosuudet'!#REF!+'5. Rahoitustuotot ja -kulut'!C64</f>
        <v>#REF!</v>
      </c>
      <c r="D64" s="41">
        <f>'2. Toimintakate'!E64+'4. Valtionosuudet'!H64+'3. Verotulot'!L64+'5. Rahoitustuotot ja -kulut'!D64</f>
        <v>28669</v>
      </c>
      <c r="E64" s="41">
        <f>'2. Toimintakate'!F64+'4. Valtionosuudet'!N64+'3. Verotulot'!Q64+'5. Rahoitustuotot ja -kulut'!E64</f>
        <v>41439</v>
      </c>
      <c r="F64" s="41">
        <f>'2. Toimintakate'!G64+'4. Valtionosuudet'!T64+'3. Verotulot'!V64+'5. Rahoitustuotot ja -kulut'!F64</f>
        <v>28475</v>
      </c>
      <c r="G64" s="41">
        <f>'2. Toimintakate'!H64+'3. Verotulot'!AA64+'4. Valtionosuudet'!Z64+'5. Rahoitustuotot ja -kulut'!G64</f>
        <v>29685</v>
      </c>
      <c r="H64" s="41">
        <f>Käyttökate!H64+'5. Rahoitustuotot ja -kulut'!H64</f>
        <v>51820.221651173808</v>
      </c>
      <c r="I64" s="41">
        <f>Käyttökate!I64+'5. Rahoitustuotot ja -kulut'!I64</f>
        <v>49107.892303955043</v>
      </c>
      <c r="J64" s="41">
        <f>Käyttökate!J64+'5. Rahoitustuotot ja -kulut'!J64</f>
        <v>25049.812922881436</v>
      </c>
      <c r="K64" s="41">
        <f>Käyttökate!K64+'5. Rahoitustuotot ja -kulut'!K64</f>
        <v>58255.969065889891</v>
      </c>
      <c r="L64" s="41">
        <f>Käyttökate!L64+'5. Rahoitustuotot ja -kulut'!L64</f>
        <v>26341.036295409467</v>
      </c>
      <c r="M64" s="41">
        <f>Käyttökate!M64+'5. Rahoitustuotot ja -kulut'!M64</f>
        <v>12760.598125562181</v>
      </c>
      <c r="N64" s="41">
        <f>Käyttökate!N64+'5. Rahoitustuotot ja -kulut'!N64</f>
        <v>16326.263803361588</v>
      </c>
      <c r="O64" s="41">
        <f>Käyttökate!O64+'5. Rahoitustuotot ja -kulut'!O64</f>
        <v>16070.137134456199</v>
      </c>
      <c r="P64" s="41">
        <f>Käyttökate!P64+'5. Rahoitustuotot ja -kulut'!P64</f>
        <v>22358.998723454133</v>
      </c>
      <c r="T64" s="34">
        <v>167</v>
      </c>
      <c r="U64" s="88" t="s">
        <v>378</v>
      </c>
      <c r="V64" s="41" t="e">
        <f>C64/'1. Väestöennuste'!E64*1000</f>
        <v>#REF!</v>
      </c>
      <c r="W64" s="41">
        <f>D64/'1. Väestöennuste'!F64*1000</f>
        <v>377.97964349752135</v>
      </c>
      <c r="X64" s="41">
        <f>E64/'1. Väestöennuste'!G64*1000</f>
        <v>544.76974246388056</v>
      </c>
      <c r="Y64" s="41">
        <f>F64/'1. Väestöennuste'!H64*1000</f>
        <v>371.97423939595825</v>
      </c>
      <c r="Z64" s="41">
        <f>G64/'1. Väestöennuste'!I64*1000</f>
        <v>386.2719583604424</v>
      </c>
      <c r="AA64" s="41">
        <f>H64/'1. Väestöennuste'!J64*1000</f>
        <v>673.55847990087489</v>
      </c>
      <c r="AB64" s="41">
        <f>I64/'1. Väestöennuste'!K64*1000</f>
        <v>635.61036362401524</v>
      </c>
      <c r="AC64" s="41">
        <f>J64/'1. Väestöennuste'!L64*1000</f>
        <v>323.16918352897494</v>
      </c>
      <c r="AD64" s="41">
        <f>K64/'1. Väestöennuste'!M64*1000</f>
        <v>746.27820278611739</v>
      </c>
      <c r="AE64" s="41">
        <f>L64/'1. Väestöennuste'!N64*1000</f>
        <v>338.41713725537625</v>
      </c>
      <c r="AF64" s="41">
        <f>M64/'1. Väestöennuste'!O64*1000</f>
        <v>163.61209500291284</v>
      </c>
      <c r="AG64" s="41">
        <f>N64/'1. Väestöennuste'!P64*1000</f>
        <v>208.93071335980125</v>
      </c>
      <c r="AH64" s="41">
        <f>O64/'1. Väestöennuste'!Q64*1000</f>
        <v>205.28521415467412</v>
      </c>
      <c r="AI64" s="41">
        <f>P64/'1. Väestöennuste'!R64*1000</f>
        <v>285.1513017746762</v>
      </c>
      <c r="AK64" s="41">
        <f>'6. Poistot'!Z64</f>
        <v>461.01496421600518</v>
      </c>
      <c r="AL64" s="41">
        <f>'6. Poistot'!AA64</f>
        <v>445.71391434327677</v>
      </c>
      <c r="AM64" s="41">
        <f>'6. Poistot'!AB64</f>
        <v>457.70496227074466</v>
      </c>
      <c r="AN64" s="41">
        <f>'6. Poistot'!AC64</f>
        <v>425.3494108085095</v>
      </c>
      <c r="AO64" s="41">
        <f>'6. Poistot'!AD64</f>
        <v>479.51040724039859</v>
      </c>
      <c r="AP64" s="41">
        <f>'6. Poistot'!AE64</f>
        <v>474.61328948044604</v>
      </c>
      <c r="AQ64" s="41">
        <f>'6. Poistot'!AF64</f>
        <v>472.02954111266394</v>
      </c>
      <c r="AR64" s="41">
        <f>'6. Poistot'!AG64</f>
        <v>464.28297202528728</v>
      </c>
      <c r="AS64" s="41">
        <f>'6. Poistot'!AH64</f>
        <v>478.40656647327432</v>
      </c>
      <c r="AT64" s="41">
        <f>'6. Poistot'!AI64</f>
        <v>492.54882189133821</v>
      </c>
      <c r="AV64" s="4">
        <f t="shared" si="19"/>
        <v>0</v>
      </c>
      <c r="AW64" s="4">
        <f t="shared" si="11"/>
        <v>1</v>
      </c>
      <c r="AX64" s="4">
        <f t="shared" si="12"/>
        <v>0</v>
      </c>
      <c r="AY64" s="4">
        <f t="shared" si="13"/>
        <v>1</v>
      </c>
      <c r="AZ64" s="4">
        <f t="shared" si="14"/>
        <v>1</v>
      </c>
      <c r="BA64" s="4">
        <f t="shared" si="15"/>
        <v>1</v>
      </c>
      <c r="BB64" s="4">
        <f t="shared" si="16"/>
        <v>1</v>
      </c>
      <c r="BC64" s="4">
        <f t="shared" si="17"/>
        <v>1</v>
      </c>
      <c r="BE64" s="405">
        <f t="shared" si="20"/>
        <v>0</v>
      </c>
      <c r="BF64" s="405">
        <f t="shared" si="21"/>
        <v>0</v>
      </c>
      <c r="BG64" s="405">
        <f t="shared" si="22"/>
        <v>0</v>
      </c>
      <c r="BH64" s="405">
        <f t="shared" si="23"/>
        <v>0</v>
      </c>
      <c r="BI64" s="405">
        <f t="shared" si="24"/>
        <v>0</v>
      </c>
      <c r="BJ64" s="405">
        <f t="shared" si="25"/>
        <v>0</v>
      </c>
      <c r="BK64" s="405">
        <f t="shared" si="26"/>
        <v>0</v>
      </c>
      <c r="BL64" s="405">
        <f t="shared" si="27"/>
        <v>0</v>
      </c>
      <c r="BM64" s="405">
        <f t="shared" si="28"/>
        <v>0</v>
      </c>
      <c r="BN64" s="405">
        <f t="shared" si="28"/>
        <v>0</v>
      </c>
    </row>
    <row r="65" spans="1:66" x14ac:dyDescent="0.2">
      <c r="A65" s="34">
        <v>169</v>
      </c>
      <c r="B65" s="88" t="s">
        <v>379</v>
      </c>
      <c r="C65" s="41" t="e">
        <f>'2. Toimintakate'!D65+'3. Verotulot'!G65+'4. Valtionosuudet'!#REF!+'5. Rahoitustuotot ja -kulut'!C65</f>
        <v>#REF!</v>
      </c>
      <c r="D65" s="41">
        <f>'2. Toimintakate'!E65+'4. Valtionosuudet'!H65+'3. Verotulot'!L65+'5. Rahoitustuotot ja -kulut'!D65</f>
        <v>862</v>
      </c>
      <c r="E65" s="41">
        <f>'2. Toimintakate'!F65+'4. Valtionosuudet'!N65+'3. Verotulot'!Q65+'5. Rahoitustuotot ja -kulut'!E65</f>
        <v>1969</v>
      </c>
      <c r="F65" s="41">
        <f>'2. Toimintakate'!G65+'4. Valtionosuudet'!T65+'3. Verotulot'!V65+'5. Rahoitustuotot ja -kulut'!F65</f>
        <v>1520</v>
      </c>
      <c r="G65" s="41">
        <f>'2. Toimintakate'!H65+'3. Verotulot'!AA65+'4. Valtionosuudet'!Z65+'5. Rahoitustuotot ja -kulut'!G65</f>
        <v>1563</v>
      </c>
      <c r="H65" s="41">
        <f>Käyttökate!H65+'5. Rahoitustuotot ja -kulut'!H65</f>
        <v>3806.9324682094993</v>
      </c>
      <c r="I65" s="41">
        <f>Käyttökate!I65+'5. Rahoitustuotot ja -kulut'!I65</f>
        <v>2484.7472019161955</v>
      </c>
      <c r="J65" s="41">
        <f>Käyttökate!J65+'5. Rahoitustuotot ja -kulut'!J65</f>
        <v>1165.4807930715847</v>
      </c>
      <c r="K65" s="41">
        <f>Käyttökate!K65+'5. Rahoitustuotot ja -kulut'!K65</f>
        <v>1651.9898959957152</v>
      </c>
      <c r="L65" s="41">
        <f>Käyttökate!L65+'5. Rahoitustuotot ja -kulut'!L65</f>
        <v>1035.5894245294562</v>
      </c>
      <c r="M65" s="41">
        <f>Käyttökate!M65+'5. Rahoitustuotot ja -kulut'!M65</f>
        <v>391.05791613704315</v>
      </c>
      <c r="N65" s="41">
        <f>Käyttökate!N65+'5. Rahoitustuotot ja -kulut'!N65</f>
        <v>-323.88865255525133</v>
      </c>
      <c r="O65" s="41">
        <f>Käyttökate!O65+'5. Rahoitustuotot ja -kulut'!O65</f>
        <v>-657.27666519620027</v>
      </c>
      <c r="P65" s="41">
        <f>Käyttökate!P65+'5. Rahoitustuotot ja -kulut'!P65</f>
        <v>-649.77246271584772</v>
      </c>
      <c r="T65" s="34">
        <v>169</v>
      </c>
      <c r="U65" s="88" t="s">
        <v>379</v>
      </c>
      <c r="V65" s="41" t="e">
        <f>C65/'1. Väestöennuste'!E65*1000</f>
        <v>#REF!</v>
      </c>
      <c r="W65" s="41">
        <f>D65/'1. Väestöennuste'!F65*1000</f>
        <v>161.39299756599888</v>
      </c>
      <c r="X65" s="41">
        <f>E65/'1. Väestöennuste'!G65*1000</f>
        <v>372.49337873628451</v>
      </c>
      <c r="Y65" s="41">
        <f>F65/'1. Väestöennuste'!H65*1000</f>
        <v>292.58902791145329</v>
      </c>
      <c r="Z65" s="41">
        <f>G65/'1. Väestöennuste'!I65*1000</f>
        <v>304.50029222676801</v>
      </c>
      <c r="AA65" s="41">
        <f>H65/'1. Väestöennuste'!J65*1000</f>
        <v>752.20953728699851</v>
      </c>
      <c r="AB65" s="41">
        <f>I65/'1. Väestöennuste'!K65*1000</f>
        <v>492.41918389143791</v>
      </c>
      <c r="AC65" s="41">
        <f>J65/'1. Väestöennuste'!L65*1000</f>
        <v>233.56328518468629</v>
      </c>
      <c r="AD65" s="41">
        <f>K65/'1. Väestöennuste'!M65*1000</f>
        <v>336.04351016999902</v>
      </c>
      <c r="AE65" s="41">
        <f>L65/'1. Väestöennuste'!N65*1000</f>
        <v>214.89716217668735</v>
      </c>
      <c r="AF65" s="41">
        <f>M65/'1. Väestöennuste'!O65*1000</f>
        <v>82.086044529186225</v>
      </c>
      <c r="AG65" s="41">
        <f>N65/'1. Väestöennuste'!P65*1000</f>
        <v>-68.722396043974399</v>
      </c>
      <c r="AH65" s="41">
        <f>O65/'1. Väestöennuste'!Q65*1000</f>
        <v>-140.95575063182505</v>
      </c>
      <c r="AI65" s="41">
        <f>P65/'1. Väestöennuste'!R65*1000</f>
        <v>-140.70430115111472</v>
      </c>
      <c r="AK65" s="41">
        <f>'6. Poistot'!Z65</f>
        <v>303.91583869082405</v>
      </c>
      <c r="AL65" s="41">
        <f>'6. Poistot'!AA65</f>
        <v>281.16972930250938</v>
      </c>
      <c r="AM65" s="41">
        <f>'6. Poistot'!AB65</f>
        <v>291.04948474038844</v>
      </c>
      <c r="AN65" s="41">
        <f>'6. Poistot'!AC65</f>
        <v>307.5895991983968</v>
      </c>
      <c r="AO65" s="41">
        <f>'6. Poistot'!AD65</f>
        <v>311.70730471928397</v>
      </c>
      <c r="AP65" s="41">
        <f>'6. Poistot'!AE65</f>
        <v>318.00788545341356</v>
      </c>
      <c r="AQ65" s="41">
        <f>'6. Poistot'!AF65</f>
        <v>321.67926112510497</v>
      </c>
      <c r="AR65" s="41">
        <f>'6. Poistot'!AG65</f>
        <v>325.16019520475282</v>
      </c>
      <c r="AS65" s="41">
        <f>'6. Poistot'!AH65</f>
        <v>339.25102329610002</v>
      </c>
      <c r="AT65" s="41">
        <f>'6. Poistot'!AI65</f>
        <v>353.26440954080306</v>
      </c>
      <c r="AV65" s="4">
        <f t="shared" si="19"/>
        <v>0</v>
      </c>
      <c r="AW65" s="4">
        <f t="shared" si="11"/>
        <v>1</v>
      </c>
      <c r="AX65" s="4">
        <f t="shared" si="12"/>
        <v>0</v>
      </c>
      <c r="AY65" s="4">
        <f t="shared" si="13"/>
        <v>1</v>
      </c>
      <c r="AZ65" s="4">
        <f t="shared" si="14"/>
        <v>1</v>
      </c>
      <c r="BA65" s="4">
        <f t="shared" si="15"/>
        <v>1</v>
      </c>
      <c r="BB65" s="4">
        <f t="shared" si="16"/>
        <v>1</v>
      </c>
      <c r="BC65" s="4">
        <f t="shared" si="17"/>
        <v>1</v>
      </c>
      <c r="BE65" s="405">
        <f t="shared" si="20"/>
        <v>0</v>
      </c>
      <c r="BF65" s="405">
        <f t="shared" si="21"/>
        <v>0</v>
      </c>
      <c r="BG65" s="405">
        <f t="shared" si="22"/>
        <v>0</v>
      </c>
      <c r="BH65" s="405">
        <f t="shared" si="23"/>
        <v>0</v>
      </c>
      <c r="BI65" s="405">
        <f t="shared" si="24"/>
        <v>0</v>
      </c>
      <c r="BJ65" s="405">
        <f t="shared" si="25"/>
        <v>0</v>
      </c>
      <c r="BK65" s="405">
        <f t="shared" si="26"/>
        <v>0</v>
      </c>
      <c r="BL65" s="405">
        <f t="shared" si="27"/>
        <v>-1</v>
      </c>
      <c r="BM65" s="405">
        <f t="shared" si="28"/>
        <v>-1</v>
      </c>
      <c r="BN65" s="405">
        <f t="shared" si="28"/>
        <v>-1</v>
      </c>
    </row>
    <row r="66" spans="1:66" x14ac:dyDescent="0.2">
      <c r="A66" s="34">
        <v>171</v>
      </c>
      <c r="B66" s="88" t="s">
        <v>380</v>
      </c>
      <c r="C66" s="41" t="e">
        <f>'2. Toimintakate'!D66+'3. Verotulot'!G66+'4. Valtionosuudet'!#REF!+'5. Rahoitustuotot ja -kulut'!C66</f>
        <v>#REF!</v>
      </c>
      <c r="D66" s="41">
        <f>'2. Toimintakate'!E66+'4. Valtionosuudet'!H66+'3. Verotulot'!L66+'5. Rahoitustuotot ja -kulut'!D66</f>
        <v>544</v>
      </c>
      <c r="E66" s="41">
        <f>'2. Toimintakate'!F66+'4. Valtionosuudet'!N66+'3. Verotulot'!Q66+'5. Rahoitustuotot ja -kulut'!E66</f>
        <v>1789</v>
      </c>
      <c r="F66" s="41">
        <f>'2. Toimintakate'!G66+'4. Valtionosuudet'!T66+'3. Verotulot'!V66+'5. Rahoitustuotot ja -kulut'!F66</f>
        <v>-930</v>
      </c>
      <c r="G66" s="41">
        <f>'2. Toimintakate'!H66+'3. Verotulot'!AA66+'4. Valtionosuudet'!Z66+'5. Rahoitustuotot ja -kulut'!G66</f>
        <v>786</v>
      </c>
      <c r="H66" s="41">
        <f>Käyttökate!H66+'5. Rahoitustuotot ja -kulut'!H66</f>
        <v>3070.5325558688401</v>
      </c>
      <c r="I66" s="41">
        <f>Käyttökate!I66+'5. Rahoitustuotot ja -kulut'!I66</f>
        <v>2293.0482616942891</v>
      </c>
      <c r="J66" s="41">
        <f>Käyttökate!J66+'5. Rahoitustuotot ja -kulut'!J66</f>
        <v>1942.1410807773707</v>
      </c>
      <c r="K66" s="41">
        <f>Käyttökate!K66+'5. Rahoitustuotot ja -kulut'!K66</f>
        <v>2237.0181534689414</v>
      </c>
      <c r="L66" s="41">
        <f>Käyttökate!L66+'5. Rahoitustuotot ja -kulut'!L66</f>
        <v>1610.083711623317</v>
      </c>
      <c r="M66" s="41">
        <f>Käyttökate!M66+'5. Rahoitustuotot ja -kulut'!M66</f>
        <v>657.67228198447083</v>
      </c>
      <c r="N66" s="41">
        <f>Käyttökate!N66+'5. Rahoitustuotot ja -kulut'!N66</f>
        <v>852.78031323432742</v>
      </c>
      <c r="O66" s="41">
        <f>Käyttökate!O66+'5. Rahoitustuotot ja -kulut'!O66</f>
        <v>591.04900904178237</v>
      </c>
      <c r="P66" s="41">
        <f>Käyttökate!P66+'5. Rahoitustuotot ja -kulut'!P66</f>
        <v>952.22303470357758</v>
      </c>
      <c r="T66" s="34">
        <v>171</v>
      </c>
      <c r="U66" s="88" t="s">
        <v>380</v>
      </c>
      <c r="V66" s="41" t="e">
        <f>C66/'1. Väestöennuste'!E66*1000</f>
        <v>#REF!</v>
      </c>
      <c r="W66" s="41">
        <f>D66/'1. Väestöennuste'!F66*1000</f>
        <v>107.95792816034927</v>
      </c>
      <c r="X66" s="41">
        <f>E66/'1. Väestöennuste'!G66*1000</f>
        <v>363.83973967866586</v>
      </c>
      <c r="Y66" s="41">
        <f>F66/'1. Väestöennuste'!H66*1000</f>
        <v>-193.26683291770576</v>
      </c>
      <c r="Z66" s="41">
        <f>G66/'1. Väestöennuste'!I66*1000</f>
        <v>164.88357457520453</v>
      </c>
      <c r="AA66" s="41">
        <f>H66/'1. Väestöennuste'!J66*1000</f>
        <v>654.83739728488808</v>
      </c>
      <c r="AB66" s="41">
        <f>I66/'1. Väestöennuste'!K66*1000</f>
        <v>495.90144067783069</v>
      </c>
      <c r="AC66" s="41">
        <f>J66/'1. Väestöennuste'!L66*1000</f>
        <v>427.78437902585262</v>
      </c>
      <c r="AD66" s="41">
        <f>K66/'1. Väestöennuste'!M66*1000</f>
        <v>487.36778942678461</v>
      </c>
      <c r="AE66" s="41">
        <f>L66/'1. Väestöennuste'!N66*1000</f>
        <v>365.84496969400521</v>
      </c>
      <c r="AF66" s="41">
        <f>M66/'1. Väestöennuste'!O66*1000</f>
        <v>151.88736304491243</v>
      </c>
      <c r="AG66" s="41">
        <f>N66/'1. Väestöennuste'!P66*1000</f>
        <v>200.13619179402193</v>
      </c>
      <c r="AH66" s="41">
        <f>O66/'1. Väestöennuste'!Q66*1000</f>
        <v>140.89368511127111</v>
      </c>
      <c r="AI66" s="41">
        <f>P66/'1. Väestöennuste'!R66*1000</f>
        <v>230.73007867787194</v>
      </c>
      <c r="AK66" s="41">
        <f>'6. Poistot'!Z66</f>
        <v>220.26431718061673</v>
      </c>
      <c r="AL66" s="41">
        <f>'6. Poistot'!AA66</f>
        <v>245.4681168692685</v>
      </c>
      <c r="AM66" s="41">
        <f>'6. Poistot'!AB66</f>
        <v>286.95312067474049</v>
      </c>
      <c r="AN66" s="41">
        <f>'6. Poistot'!AC66</f>
        <v>271.92897797356829</v>
      </c>
      <c r="AO66" s="41">
        <f>'6. Poistot'!AD66</f>
        <v>420.0318496732026</v>
      </c>
      <c r="AP66" s="41">
        <f>'6. Poistot'!AE66</f>
        <v>260.84662576687117</v>
      </c>
      <c r="AQ66" s="41">
        <f>'6. Poistot'!AF66</f>
        <v>279.13625866050813</v>
      </c>
      <c r="AR66" s="41">
        <f>'6. Poistot'!AG66</f>
        <v>282.35508096690921</v>
      </c>
      <c r="AS66" s="41">
        <f>'6. Poistot'!AH66</f>
        <v>296.05127970459682</v>
      </c>
      <c r="AT66" s="41">
        <f>'6. Poistot'!AI66</f>
        <v>310.33565222233278</v>
      </c>
      <c r="AV66" s="4">
        <f t="shared" si="19"/>
        <v>0</v>
      </c>
      <c r="AW66" s="4">
        <f t="shared" si="11"/>
        <v>0</v>
      </c>
      <c r="AX66" s="4">
        <f t="shared" si="12"/>
        <v>0</v>
      </c>
      <c r="AY66" s="4">
        <f t="shared" si="13"/>
        <v>0</v>
      </c>
      <c r="AZ66" s="4">
        <f t="shared" si="14"/>
        <v>1</v>
      </c>
      <c r="BA66" s="4">
        <f t="shared" si="15"/>
        <v>1</v>
      </c>
      <c r="BB66" s="4">
        <f t="shared" si="16"/>
        <v>1</v>
      </c>
      <c r="BC66" s="4">
        <f t="shared" si="17"/>
        <v>1</v>
      </c>
      <c r="BE66" s="405">
        <f t="shared" si="20"/>
        <v>0</v>
      </c>
      <c r="BF66" s="405">
        <f t="shared" si="21"/>
        <v>0</v>
      </c>
      <c r="BG66" s="405">
        <f t="shared" si="22"/>
        <v>0</v>
      </c>
      <c r="BH66" s="405">
        <f t="shared" si="23"/>
        <v>0</v>
      </c>
      <c r="BI66" s="405">
        <f t="shared" si="24"/>
        <v>0</v>
      </c>
      <c r="BJ66" s="405">
        <f t="shared" si="25"/>
        <v>0</v>
      </c>
      <c r="BK66" s="405">
        <f t="shared" si="26"/>
        <v>0</v>
      </c>
      <c r="BL66" s="405">
        <f t="shared" si="27"/>
        <v>0</v>
      </c>
      <c r="BM66" s="405">
        <f t="shared" si="28"/>
        <v>0</v>
      </c>
      <c r="BN66" s="405">
        <f t="shared" si="28"/>
        <v>0</v>
      </c>
    </row>
    <row r="67" spans="1:66" x14ac:dyDescent="0.2">
      <c r="A67" s="34">
        <v>172</v>
      </c>
      <c r="B67" s="88" t="s">
        <v>381</v>
      </c>
      <c r="C67" s="41" t="e">
        <f>'2. Toimintakate'!D67+'3. Verotulot'!G67+'4. Valtionosuudet'!#REF!+'5. Rahoitustuotot ja -kulut'!C67</f>
        <v>#REF!</v>
      </c>
      <c r="D67" s="41">
        <f>'2. Toimintakate'!E67+'4. Valtionosuudet'!H67+'3. Verotulot'!L67+'5. Rahoitustuotot ja -kulut'!D67</f>
        <v>3038</v>
      </c>
      <c r="E67" s="41">
        <f>'2. Toimintakate'!F67+'4. Valtionosuudet'!N67+'3. Verotulot'!Q67+'5. Rahoitustuotot ja -kulut'!E67</f>
        <v>1573</v>
      </c>
      <c r="F67" s="41">
        <f>'2. Toimintakate'!G67+'4. Valtionosuudet'!T67+'3. Verotulot'!V67+'5. Rahoitustuotot ja -kulut'!F67</f>
        <v>1218</v>
      </c>
      <c r="G67" s="41">
        <f>'2. Toimintakate'!H67+'3. Verotulot'!AA67+'4. Valtionosuudet'!Z67+'5. Rahoitustuotot ja -kulut'!G67</f>
        <v>781</v>
      </c>
      <c r="H67" s="41">
        <f>Käyttökate!H67+'5. Rahoitustuotot ja -kulut'!H67</f>
        <v>695.93370626150499</v>
      </c>
      <c r="I67" s="41">
        <f>Käyttökate!I67+'5. Rahoitustuotot ja -kulut'!I67</f>
        <v>2816.9072882666314</v>
      </c>
      <c r="J67" s="41">
        <f>Käyttökate!J67+'5. Rahoitustuotot ja -kulut'!J67</f>
        <v>15.626712873268197</v>
      </c>
      <c r="K67" s="41">
        <f>Käyttökate!K67+'5. Rahoitustuotot ja -kulut'!K67</f>
        <v>1584.5706962626891</v>
      </c>
      <c r="L67" s="41">
        <f>Käyttökate!L67+'5. Rahoitustuotot ja -kulut'!L67</f>
        <v>2009.1920613727684</v>
      </c>
      <c r="M67" s="41">
        <f>Käyttökate!M67+'5. Rahoitustuotot ja -kulut'!M67</f>
        <v>1819.3105524638736</v>
      </c>
      <c r="N67" s="41">
        <f>Käyttökate!N67+'5. Rahoitustuotot ja -kulut'!N67</f>
        <v>1400.1324700411428</v>
      </c>
      <c r="O67" s="41">
        <f>Käyttökate!O67+'5. Rahoitustuotot ja -kulut'!O67</f>
        <v>1306.9043781411217</v>
      </c>
      <c r="P67" s="41">
        <f>Käyttökate!P67+'5. Rahoitustuotot ja -kulut'!P67</f>
        <v>1598.5844125313201</v>
      </c>
      <c r="T67" s="34">
        <v>172</v>
      </c>
      <c r="U67" s="88" t="s">
        <v>381</v>
      </c>
      <c r="V67" s="41" t="e">
        <f>C67/'1. Väestöennuste'!E67*1000</f>
        <v>#REF!</v>
      </c>
      <c r="W67" s="41">
        <f>D67/'1. Väestöennuste'!F67*1000</f>
        <v>650.117697410657</v>
      </c>
      <c r="X67" s="41">
        <f>E67/'1. Väestöennuste'!G67*1000</f>
        <v>344.42741405736808</v>
      </c>
      <c r="Y67" s="41">
        <f>F67/'1. Väestöennuste'!H67*1000</f>
        <v>272.66621893888515</v>
      </c>
      <c r="Z67" s="41">
        <f>G67/'1. Väestöennuste'!I67*1000</f>
        <v>178.43271647246974</v>
      </c>
      <c r="AA67" s="41">
        <f>H67/'1. Väestöennuste'!J67*1000</f>
        <v>161.95804195054805</v>
      </c>
      <c r="AB67" s="41">
        <f>I67/'1. Väestöennuste'!K67*1000</f>
        <v>660.78050393305921</v>
      </c>
      <c r="AC67" s="41">
        <f>J67/'1. Väestöennuste'!L67*1000</f>
        <v>3.7465147142815143</v>
      </c>
      <c r="AD67" s="41">
        <f>K67/'1. Väestöennuste'!M67*1000</f>
        <v>388.47038398202727</v>
      </c>
      <c r="AE67" s="41">
        <f>L67/'1. Väestöennuste'!N67*1000</f>
        <v>499.30220213040968</v>
      </c>
      <c r="AF67" s="41">
        <f>M67/'1. Väestöennuste'!O67*1000</f>
        <v>458.49560293948429</v>
      </c>
      <c r="AG67" s="41">
        <f>N67/'1. Väestöennuste'!P67*1000</f>
        <v>358.09014579057362</v>
      </c>
      <c r="AH67" s="41">
        <f>O67/'1. Väestöennuste'!Q67*1000</f>
        <v>338.66400055483848</v>
      </c>
      <c r="AI67" s="41">
        <f>P67/'1. Väestöennuste'!R67*1000</f>
        <v>419.46586526668068</v>
      </c>
      <c r="AK67" s="41">
        <f>'6. Poistot'!Z67</f>
        <v>315.28444139821801</v>
      </c>
      <c r="AL67" s="41">
        <f>'6. Poistot'!AA67</f>
        <v>257.62159646264837</v>
      </c>
      <c r="AM67" s="41">
        <f>'6. Poistot'!AB67</f>
        <v>290.83519352568618</v>
      </c>
      <c r="AN67" s="41">
        <f>'6. Poistot'!AC67</f>
        <v>313.73528410453127</v>
      </c>
      <c r="AO67" s="41">
        <f>'6. Poistot'!AD67</f>
        <v>344.57794557489581</v>
      </c>
      <c r="AP67" s="41">
        <f>'6. Poistot'!AE67</f>
        <v>350.52087475149108</v>
      </c>
      <c r="AQ67" s="41">
        <f>'6. Poistot'!AF67</f>
        <v>345.26209677419354</v>
      </c>
      <c r="AR67" s="41">
        <f>'6. Poistot'!AG67</f>
        <v>340.153452685422</v>
      </c>
      <c r="AS67" s="41">
        <f>'6. Poistot'!AH67</f>
        <v>355.7694306780877</v>
      </c>
      <c r="AT67" s="41">
        <f>'6. Poistot'!AI67</f>
        <v>371.51101180096583</v>
      </c>
      <c r="AV67" s="4">
        <f t="shared" si="19"/>
        <v>0</v>
      </c>
      <c r="AW67" s="4">
        <f t="shared" si="11"/>
        <v>1</v>
      </c>
      <c r="AX67" s="4">
        <f t="shared" si="12"/>
        <v>0</v>
      </c>
      <c r="AY67" s="4">
        <f t="shared" si="13"/>
        <v>0</v>
      </c>
      <c r="AZ67" s="4">
        <f t="shared" si="14"/>
        <v>0</v>
      </c>
      <c r="BA67" s="4">
        <f t="shared" si="15"/>
        <v>0</v>
      </c>
      <c r="BB67" s="4">
        <f t="shared" si="16"/>
        <v>1</v>
      </c>
      <c r="BC67" s="4">
        <f t="shared" si="17"/>
        <v>0</v>
      </c>
      <c r="BE67" s="405">
        <f t="shared" si="20"/>
        <v>0</v>
      </c>
      <c r="BF67" s="405">
        <f t="shared" si="21"/>
        <v>0</v>
      </c>
      <c r="BG67" s="405">
        <f t="shared" si="22"/>
        <v>0</v>
      </c>
      <c r="BH67" s="405">
        <f t="shared" si="23"/>
        <v>0</v>
      </c>
      <c r="BI67" s="405">
        <f t="shared" si="24"/>
        <v>0</v>
      </c>
      <c r="BJ67" s="405">
        <f t="shared" si="25"/>
        <v>0</v>
      </c>
      <c r="BK67" s="405">
        <f t="shared" si="26"/>
        <v>0</v>
      </c>
      <c r="BL67" s="405">
        <f t="shared" si="27"/>
        <v>0</v>
      </c>
      <c r="BM67" s="405">
        <f t="shared" si="28"/>
        <v>0</v>
      </c>
      <c r="BN67" s="405">
        <f t="shared" si="28"/>
        <v>0</v>
      </c>
    </row>
    <row r="68" spans="1:66" x14ac:dyDescent="0.2">
      <c r="A68" s="34">
        <v>176</v>
      </c>
      <c r="B68" s="88" t="s">
        <v>382</v>
      </c>
      <c r="C68" s="41" t="e">
        <f>'2. Toimintakate'!D68+'3. Verotulot'!G68+'4. Valtionosuudet'!#REF!+'5. Rahoitustuotot ja -kulut'!C68</f>
        <v>#REF!</v>
      </c>
      <c r="D68" s="41">
        <f>'2. Toimintakate'!E68+'4. Valtionosuudet'!H68+'3. Verotulot'!L68+'5. Rahoitustuotot ja -kulut'!D68</f>
        <v>1834</v>
      </c>
      <c r="E68" s="41">
        <f>'2. Toimintakate'!F68+'4. Valtionosuudet'!N68+'3. Verotulot'!Q68+'5. Rahoitustuotot ja -kulut'!E68</f>
        <v>3853</v>
      </c>
      <c r="F68" s="41">
        <f>'2. Toimintakate'!G68+'4. Valtionosuudet'!T68+'3. Verotulot'!V68+'5. Rahoitustuotot ja -kulut'!F68</f>
        <v>2186</v>
      </c>
      <c r="G68" s="41">
        <f>'2. Toimintakate'!H68+'3. Verotulot'!AA68+'4. Valtionosuudet'!Z68+'5. Rahoitustuotot ja -kulut'!G68</f>
        <v>1799</v>
      </c>
      <c r="H68" s="41">
        <f>Käyttökate!H68+'5. Rahoitustuotot ja -kulut'!H68</f>
        <v>3301.1987217031747</v>
      </c>
      <c r="I68" s="41">
        <f>Käyttökate!I68+'5. Rahoitustuotot ja -kulut'!I68</f>
        <v>1883.3746420898851</v>
      </c>
      <c r="J68" s="41">
        <f>Käyttökate!J68+'5. Rahoitustuotot ja -kulut'!J68</f>
        <v>2400.1769119984087</v>
      </c>
      <c r="K68" s="41">
        <f>Käyttökate!K68+'5. Rahoitustuotot ja -kulut'!K68</f>
        <v>2905.3208025116851</v>
      </c>
      <c r="L68" s="41">
        <f>Käyttökate!L68+'5. Rahoitustuotot ja -kulut'!L68</f>
        <v>825.26240849572537</v>
      </c>
      <c r="M68" s="41">
        <f>Käyttökate!M68+'5. Rahoitustuotot ja -kulut'!M68</f>
        <v>375.7806317543197</v>
      </c>
      <c r="N68" s="41">
        <f>Käyttökate!N68+'5. Rahoitustuotot ja -kulut'!N68</f>
        <v>151.66075518842052</v>
      </c>
      <c r="O68" s="41">
        <f>Käyttökate!O68+'5. Rahoitustuotot ja -kulut'!O68</f>
        <v>46.897248464972165</v>
      </c>
      <c r="P68" s="41">
        <f>Käyttökate!P68+'5. Rahoitustuotot ja -kulut'!P68</f>
        <v>544.99262606655907</v>
      </c>
      <c r="T68" s="34">
        <v>176</v>
      </c>
      <c r="U68" s="88" t="s">
        <v>382</v>
      </c>
      <c r="V68" s="41" t="e">
        <f>C68/'1. Väestöennuste'!E68*1000</f>
        <v>#REF!</v>
      </c>
      <c r="W68" s="41">
        <f>D68/'1. Väestöennuste'!F68*1000</f>
        <v>371.40542729850142</v>
      </c>
      <c r="X68" s="41">
        <f>E68/'1. Väestöennuste'!G68*1000</f>
        <v>799.87544114594141</v>
      </c>
      <c r="Y68" s="41">
        <f>F68/'1. Väestöennuste'!H68*1000</f>
        <v>464.21745593544279</v>
      </c>
      <c r="Z68" s="41">
        <f>G68/'1. Väestöennuste'!I68*1000</f>
        <v>390.57750759878417</v>
      </c>
      <c r="AA68" s="41">
        <f>H68/'1. Väestöennuste'!J68*1000</f>
        <v>729.22436971574439</v>
      </c>
      <c r="AB68" s="41">
        <f>I68/'1. Väestöennuste'!K68*1000</f>
        <v>423.80167463768794</v>
      </c>
      <c r="AC68" s="41">
        <f>J68/'1. Väestöennuste'!L68*1000</f>
        <v>551.51123897022262</v>
      </c>
      <c r="AD68" s="41">
        <f>K68/'1. Väestöennuste'!M68*1000</f>
        <v>682.16031991352077</v>
      </c>
      <c r="AE68" s="41">
        <f>L68/'1. Väestöennuste'!N68*1000</f>
        <v>197.95212484905861</v>
      </c>
      <c r="AF68" s="41">
        <f>M68/'1. Väestöennuste'!O68*1000</f>
        <v>91.967849181184462</v>
      </c>
      <c r="AG68" s="41">
        <f>N68/'1. Väestöennuste'!P68*1000</f>
        <v>37.867853979630588</v>
      </c>
      <c r="AH68" s="41">
        <f>O68/'1. Väestöennuste'!Q68*1000</f>
        <v>11.921008760796179</v>
      </c>
      <c r="AI68" s="41">
        <f>P68/'1. Väestöennuste'!R68*1000</f>
        <v>141.00714775331411</v>
      </c>
      <c r="AK68" s="41">
        <f>'6. Poistot'!Z68</f>
        <v>396.00521059487625</v>
      </c>
      <c r="AL68" s="41">
        <f>'6. Poistot'!AA68</f>
        <v>604.15286061409324</v>
      </c>
      <c r="AM68" s="41">
        <f>'6. Poistot'!AB68</f>
        <v>580.54161791179115</v>
      </c>
      <c r="AN68" s="41">
        <f>'6. Poistot'!AC68</f>
        <v>462.42739200367646</v>
      </c>
      <c r="AO68" s="41">
        <f>'6. Poistot'!AD68</f>
        <v>419.69977694294437</v>
      </c>
      <c r="AP68" s="41">
        <f>'6. Poistot'!AE68</f>
        <v>431.92132405852726</v>
      </c>
      <c r="AQ68" s="41">
        <f>'6. Poistot'!AF68</f>
        <v>440.69505628976998</v>
      </c>
      <c r="AR68" s="41">
        <f>'6. Poistot'!AG68</f>
        <v>449.60799001248444</v>
      </c>
      <c r="AS68" s="41">
        <f>'6. Poistot'!AH68</f>
        <v>472.49144742663043</v>
      </c>
      <c r="AT68" s="41">
        <f>'6. Poistot'!AI68</f>
        <v>495.95930358414688</v>
      </c>
      <c r="AV68" s="4">
        <f t="shared" si="19"/>
        <v>1</v>
      </c>
      <c r="AW68" s="4">
        <f t="shared" si="11"/>
        <v>0</v>
      </c>
      <c r="AX68" s="4">
        <f t="shared" si="12"/>
        <v>0</v>
      </c>
      <c r="AY68" s="4">
        <f t="shared" si="13"/>
        <v>1</v>
      </c>
      <c r="AZ68" s="4">
        <f t="shared" si="14"/>
        <v>1</v>
      </c>
      <c r="BA68" s="4">
        <f t="shared" si="15"/>
        <v>1</v>
      </c>
      <c r="BB68" s="4">
        <f t="shared" si="16"/>
        <v>1</v>
      </c>
      <c r="BC68" s="4">
        <f t="shared" si="17"/>
        <v>1</v>
      </c>
      <c r="BE68" s="405">
        <f t="shared" si="20"/>
        <v>0</v>
      </c>
      <c r="BF68" s="405">
        <f t="shared" si="21"/>
        <v>0</v>
      </c>
      <c r="BG68" s="405">
        <f t="shared" si="22"/>
        <v>0</v>
      </c>
      <c r="BH68" s="405">
        <f t="shared" si="23"/>
        <v>0</v>
      </c>
      <c r="BI68" s="405">
        <f t="shared" si="24"/>
        <v>0</v>
      </c>
      <c r="BJ68" s="405">
        <f t="shared" si="25"/>
        <v>0</v>
      </c>
      <c r="BK68" s="405">
        <f t="shared" si="26"/>
        <v>0</v>
      </c>
      <c r="BL68" s="405">
        <f t="shared" si="27"/>
        <v>0</v>
      </c>
      <c r="BM68" s="405">
        <f t="shared" si="28"/>
        <v>0</v>
      </c>
      <c r="BN68" s="405">
        <f t="shared" si="28"/>
        <v>0</v>
      </c>
    </row>
    <row r="69" spans="1:66" x14ac:dyDescent="0.2">
      <c r="A69" s="34">
        <v>177</v>
      </c>
      <c r="B69" s="88" t="s">
        <v>383</v>
      </c>
      <c r="C69" s="41" t="e">
        <f>'2. Toimintakate'!D69+'3. Verotulot'!G69+'4. Valtionosuudet'!#REF!+'5. Rahoitustuotot ja -kulut'!C69</f>
        <v>#REF!</v>
      </c>
      <c r="D69" s="41">
        <f>'2. Toimintakate'!E69+'4. Valtionosuudet'!H69+'3. Verotulot'!L69+'5. Rahoitustuotot ja -kulut'!D69</f>
        <v>563</v>
      </c>
      <c r="E69" s="41">
        <f>'2. Toimintakate'!F69+'4. Valtionosuudet'!N69+'3. Verotulot'!Q69+'5. Rahoitustuotot ja -kulut'!E69</f>
        <v>986</v>
      </c>
      <c r="F69" s="41">
        <f>'2. Toimintakate'!G69+'4. Valtionosuudet'!T69+'3. Verotulot'!V69+'5. Rahoitustuotot ja -kulut'!F69</f>
        <v>353</v>
      </c>
      <c r="G69" s="41">
        <f>'2. Toimintakate'!H69+'3. Verotulot'!AA69+'4. Valtionosuudet'!Z69+'5. Rahoitustuotot ja -kulut'!G69</f>
        <v>799</v>
      </c>
      <c r="H69" s="41">
        <f>Käyttökate!H69+'5. Rahoitustuotot ja -kulut'!H69</f>
        <v>1186.3624689544595</v>
      </c>
      <c r="I69" s="41">
        <f>Käyttökate!I69+'5. Rahoitustuotot ja -kulut'!I69</f>
        <v>1267.1391161246095</v>
      </c>
      <c r="J69" s="41">
        <f>Käyttökate!J69+'5. Rahoitustuotot ja -kulut'!J69</f>
        <v>1284.7683360836513</v>
      </c>
      <c r="K69" s="41">
        <f>Käyttökate!K69+'5. Rahoitustuotot ja -kulut'!K69</f>
        <v>733.10534727694403</v>
      </c>
      <c r="L69" s="41">
        <f>Käyttökate!L69+'5. Rahoitustuotot ja -kulut'!L69</f>
        <v>1083.1435022721005</v>
      </c>
      <c r="M69" s="41">
        <f>Käyttökate!M69+'5. Rahoitustuotot ja -kulut'!M69</f>
        <v>909.72323868970057</v>
      </c>
      <c r="N69" s="41">
        <f>Käyttökate!N69+'5. Rahoitustuotot ja -kulut'!N69</f>
        <v>338.35615177363587</v>
      </c>
      <c r="O69" s="41">
        <f>Käyttökate!O69+'5. Rahoitustuotot ja -kulut'!O69</f>
        <v>333.30014783611779</v>
      </c>
      <c r="P69" s="41">
        <f>Käyttökate!P69+'5. Rahoitustuotot ja -kulut'!P69</f>
        <v>362.78089870399685</v>
      </c>
      <c r="T69" s="34">
        <v>177</v>
      </c>
      <c r="U69" s="88" t="s">
        <v>383</v>
      </c>
      <c r="V69" s="41" t="e">
        <f>C69/'1. Väestöennuste'!E69*1000</f>
        <v>#REF!</v>
      </c>
      <c r="W69" s="41">
        <f>D69/'1. Väestöennuste'!F69*1000</f>
        <v>287.68523249872254</v>
      </c>
      <c r="X69" s="41">
        <f>E69/'1. Väestöennuste'!G69*1000</f>
        <v>517.85714285714289</v>
      </c>
      <c r="Y69" s="41">
        <f>F69/'1. Väestöennuste'!H69*1000</f>
        <v>187.3673036093418</v>
      </c>
      <c r="Z69" s="41">
        <f>G69/'1. Väestöennuste'!I69*1000</f>
        <v>433.29718004338395</v>
      </c>
      <c r="AA69" s="41">
        <f>H69/'1. Väestöennuste'!J69*1000</f>
        <v>659.09026053025525</v>
      </c>
      <c r="AB69" s="41">
        <f>I69/'1. Väestöennuste'!K69*1000</f>
        <v>709.4843875277769</v>
      </c>
      <c r="AC69" s="41">
        <f>J69/'1. Väestöennuste'!L69*1000</f>
        <v>726.67892312423726</v>
      </c>
      <c r="AD69" s="41">
        <f>K69/'1. Väestöennuste'!M69*1000</f>
        <v>429.21858739867918</v>
      </c>
      <c r="AE69" s="41">
        <f>L69/'1. Väestöennuste'!N69*1000</f>
        <v>647.03912919480308</v>
      </c>
      <c r="AF69" s="41">
        <f>M69/'1. Väestöennuste'!O69*1000</f>
        <v>552.35169319350359</v>
      </c>
      <c r="AG69" s="41">
        <f>N69/'1. Väestöennuste'!P69*1000</f>
        <v>208.60428592702581</v>
      </c>
      <c r="AH69" s="41">
        <f>O69/'1. Väestöennuste'!Q69*1000</f>
        <v>208.31259239757361</v>
      </c>
      <c r="AI69" s="41">
        <f>P69/'1. Väestöennuste'!R69*1000</f>
        <v>229.89917535107531</v>
      </c>
      <c r="AK69" s="41">
        <f>'6. Poistot'!Z69</f>
        <v>280.36876355748376</v>
      </c>
      <c r="AL69" s="41">
        <f>'6. Poistot'!AA69</f>
        <v>310</v>
      </c>
      <c r="AM69" s="41">
        <f>'6. Poistot'!AB69</f>
        <v>315.17418253079506</v>
      </c>
      <c r="AN69" s="41">
        <f>'6. Poistot'!AC69</f>
        <v>355.1496153846154</v>
      </c>
      <c r="AO69" s="41">
        <f>'6. Poistot'!AD69</f>
        <v>394.38138758782202</v>
      </c>
      <c r="AP69" s="41">
        <f>'6. Poistot'!AE69</f>
        <v>395.25089605734763</v>
      </c>
      <c r="AQ69" s="41">
        <f>'6. Poistot'!AF69</f>
        <v>401.73041894353366</v>
      </c>
      <c r="AR69" s="41">
        <f>'6. Poistot'!AG69</f>
        <v>407.92231812577063</v>
      </c>
      <c r="AS69" s="41">
        <f>'6. Poistot'!AH69</f>
        <v>426.87439015774288</v>
      </c>
      <c r="AT69" s="41">
        <f>'6. Poistot'!AI69</f>
        <v>446.35491033255835</v>
      </c>
      <c r="AV69" s="4">
        <f t="shared" si="19"/>
        <v>0</v>
      </c>
      <c r="AW69" s="4">
        <f t="shared" si="11"/>
        <v>0</v>
      </c>
      <c r="AX69" s="4">
        <f t="shared" si="12"/>
        <v>0</v>
      </c>
      <c r="AY69" s="4">
        <f t="shared" si="13"/>
        <v>0</v>
      </c>
      <c r="AZ69" s="4">
        <f t="shared" si="14"/>
        <v>0</v>
      </c>
      <c r="BA69" s="4">
        <f t="shared" si="15"/>
        <v>1</v>
      </c>
      <c r="BB69" s="4">
        <f t="shared" si="16"/>
        <v>1</v>
      </c>
      <c r="BC69" s="4">
        <f t="shared" si="17"/>
        <v>1</v>
      </c>
      <c r="BE69" s="405">
        <f t="shared" si="20"/>
        <v>0</v>
      </c>
      <c r="BF69" s="405">
        <f t="shared" si="21"/>
        <v>0</v>
      </c>
      <c r="BG69" s="405">
        <f t="shared" si="22"/>
        <v>0</v>
      </c>
      <c r="BH69" s="405">
        <f t="shared" si="23"/>
        <v>0</v>
      </c>
      <c r="BI69" s="405">
        <f t="shared" si="24"/>
        <v>0</v>
      </c>
      <c r="BJ69" s="405">
        <f t="shared" si="25"/>
        <v>0</v>
      </c>
      <c r="BK69" s="405">
        <f t="shared" si="26"/>
        <v>0</v>
      </c>
      <c r="BL69" s="405">
        <f t="shared" si="27"/>
        <v>0</v>
      </c>
      <c r="BM69" s="405">
        <f t="shared" si="28"/>
        <v>0</v>
      </c>
      <c r="BN69" s="405">
        <f t="shared" si="28"/>
        <v>0</v>
      </c>
    </row>
    <row r="70" spans="1:66" x14ac:dyDescent="0.2">
      <c r="A70" s="34">
        <v>178</v>
      </c>
      <c r="B70" s="88" t="s">
        <v>384</v>
      </c>
      <c r="C70" s="41" t="e">
        <f>'2. Toimintakate'!D70+'3. Verotulot'!G70+'4. Valtionosuudet'!#REF!+'5. Rahoitustuotot ja -kulut'!C70</f>
        <v>#REF!</v>
      </c>
      <c r="D70" s="41">
        <f>'2. Toimintakate'!E70+'4. Valtionosuudet'!H70+'3. Verotulot'!L70+'5. Rahoitustuotot ja -kulut'!D70</f>
        <v>3432</v>
      </c>
      <c r="E70" s="41">
        <f>'2. Toimintakate'!F70+'4. Valtionosuudet'!N70+'3. Verotulot'!Q70+'5. Rahoitustuotot ja -kulut'!E70</f>
        <v>4022</v>
      </c>
      <c r="F70" s="41">
        <f>'2. Toimintakate'!G70+'4. Valtionosuudet'!T70+'3. Verotulot'!V70+'5. Rahoitustuotot ja -kulut'!F70</f>
        <v>1708</v>
      </c>
      <c r="G70" s="41">
        <f>'2. Toimintakate'!H70+'3. Verotulot'!AA70+'4. Valtionosuudet'!Z70+'5. Rahoitustuotot ja -kulut'!G70</f>
        <v>1035</v>
      </c>
      <c r="H70" s="41">
        <f>Käyttökate!H70+'5. Rahoitustuotot ja -kulut'!H70</f>
        <v>5429.9066038484125</v>
      </c>
      <c r="I70" s="41">
        <f>Käyttökate!I70+'5. Rahoitustuotot ja -kulut'!I70</f>
        <v>3305.3135599937791</v>
      </c>
      <c r="J70" s="41">
        <f>Käyttökate!J70+'5. Rahoitustuotot ja -kulut'!J70</f>
        <v>1420.1111443945115</v>
      </c>
      <c r="K70" s="41">
        <f>Käyttökate!K70+'5. Rahoitustuotot ja -kulut'!K70</f>
        <v>1385.539075800378</v>
      </c>
      <c r="L70" s="41">
        <f>Käyttökate!L70+'5. Rahoitustuotot ja -kulut'!L70</f>
        <v>1475.5741509264762</v>
      </c>
      <c r="M70" s="41">
        <f>Käyttökate!M70+'5. Rahoitustuotot ja -kulut'!M70</f>
        <v>345.58375101770821</v>
      </c>
      <c r="N70" s="41">
        <f>Käyttökate!N70+'5. Rahoitustuotot ja -kulut'!N70</f>
        <v>494.054314533568</v>
      </c>
      <c r="O70" s="41">
        <f>Käyttökate!O70+'5. Rahoitustuotot ja -kulut'!O70</f>
        <v>423.87442449794037</v>
      </c>
      <c r="P70" s="41">
        <f>Käyttökate!P70+'5. Rahoitustuotot ja -kulut'!P70</f>
        <v>1586.5433959985321</v>
      </c>
      <c r="T70" s="34">
        <v>178</v>
      </c>
      <c r="U70" s="88" t="s">
        <v>384</v>
      </c>
      <c r="V70" s="41" t="e">
        <f>C70/'1. Väestöennuste'!E70*1000</f>
        <v>#REF!</v>
      </c>
      <c r="W70" s="41">
        <f>D70/'1. Väestöennuste'!F70*1000</f>
        <v>534.49618439495407</v>
      </c>
      <c r="X70" s="41">
        <f>E70/'1. Väestöennuste'!G70*1000</f>
        <v>634.98579096937169</v>
      </c>
      <c r="Y70" s="41">
        <f>F70/'1. Väestöennuste'!H70*1000</f>
        <v>274.37751004016064</v>
      </c>
      <c r="Z70" s="41">
        <f>G70/'1. Väestöennuste'!I70*1000</f>
        <v>169.22825376062787</v>
      </c>
      <c r="AA70" s="41">
        <f>H70/'1. Väestöennuste'!J70*1000</f>
        <v>915.35849694005594</v>
      </c>
      <c r="AB70" s="41">
        <f>I70/'1. Väestöennuste'!K70*1000</f>
        <v>561.45975199486656</v>
      </c>
      <c r="AC70" s="41">
        <f>J70/'1. Väestöennuste'!L70*1000</f>
        <v>246.16244485950969</v>
      </c>
      <c r="AD70" s="41">
        <f>K70/'1. Väestöennuste'!M70*1000</f>
        <v>241.63569511691279</v>
      </c>
      <c r="AE70" s="41">
        <f>L70/'1. Väestöennuste'!N70*1000</f>
        <v>267.21733989976025</v>
      </c>
      <c r="AF70" s="41">
        <f>M70/'1. Väestöennuste'!O70*1000</f>
        <v>63.608273701032253</v>
      </c>
      <c r="AG70" s="41">
        <f>N70/'1. Väestöennuste'!P70*1000</f>
        <v>92.398413041624835</v>
      </c>
      <c r="AH70" s="41">
        <f>O70/'1. Väestöennuste'!Q70*1000</f>
        <v>80.446844657039364</v>
      </c>
      <c r="AI70" s="41">
        <f>P70/'1. Väestöennuste'!R70*1000</f>
        <v>305.51577045995225</v>
      </c>
      <c r="AK70" s="41">
        <f>'6. Poistot'!Z70</f>
        <v>296.10856769130152</v>
      </c>
      <c r="AL70" s="41">
        <f>'6. Poistot'!AA70</f>
        <v>352.15778826702632</v>
      </c>
      <c r="AM70" s="41">
        <f>'6. Poistot'!AB70</f>
        <v>323.91555970783082</v>
      </c>
      <c r="AN70" s="41">
        <f>'6. Poistot'!AC70</f>
        <v>404.43098110591092</v>
      </c>
      <c r="AO70" s="41">
        <f>'6. Poistot'!AD70</f>
        <v>391.79884025113353</v>
      </c>
      <c r="AP70" s="41">
        <f>'6. Poistot'!AE70</f>
        <v>408.03386454183266</v>
      </c>
      <c r="AQ70" s="41">
        <f>'6. Poistot'!AF70</f>
        <v>340.62101969445979</v>
      </c>
      <c r="AR70" s="41">
        <f>'6. Poistot'!AG70</f>
        <v>383.12754815784558</v>
      </c>
      <c r="AS70" s="41">
        <f>'6. Poistot'!AH70</f>
        <v>401.34433038679578</v>
      </c>
      <c r="AT70" s="41">
        <f>'6. Poistot'!AI70</f>
        <v>419.94676557212665</v>
      </c>
      <c r="AV70" s="4">
        <f t="shared" si="19"/>
        <v>0</v>
      </c>
      <c r="AW70" s="4">
        <f t="shared" si="11"/>
        <v>1</v>
      </c>
      <c r="AX70" s="4">
        <f t="shared" si="12"/>
        <v>1</v>
      </c>
      <c r="AY70" s="4">
        <f t="shared" si="13"/>
        <v>1</v>
      </c>
      <c r="AZ70" s="4">
        <f t="shared" si="14"/>
        <v>1</v>
      </c>
      <c r="BA70" s="4">
        <f t="shared" si="15"/>
        <v>1</v>
      </c>
      <c r="BB70" s="4">
        <f t="shared" si="16"/>
        <v>1</v>
      </c>
      <c r="BC70" s="4">
        <f t="shared" si="17"/>
        <v>1</v>
      </c>
      <c r="BE70" s="405">
        <f t="shared" si="20"/>
        <v>0</v>
      </c>
      <c r="BF70" s="405">
        <f t="shared" si="21"/>
        <v>0</v>
      </c>
      <c r="BG70" s="405">
        <f t="shared" si="22"/>
        <v>0</v>
      </c>
      <c r="BH70" s="405">
        <f t="shared" si="23"/>
        <v>0</v>
      </c>
      <c r="BI70" s="405">
        <f t="shared" si="24"/>
        <v>0</v>
      </c>
      <c r="BJ70" s="405">
        <f t="shared" si="25"/>
        <v>0</v>
      </c>
      <c r="BK70" s="405">
        <f t="shared" si="26"/>
        <v>0</v>
      </c>
      <c r="BL70" s="405">
        <f t="shared" si="27"/>
        <v>0</v>
      </c>
      <c r="BM70" s="405">
        <f t="shared" si="28"/>
        <v>0</v>
      </c>
      <c r="BN70" s="405">
        <f t="shared" si="28"/>
        <v>0</v>
      </c>
    </row>
    <row r="71" spans="1:66" x14ac:dyDescent="0.2">
      <c r="A71" s="34">
        <v>179</v>
      </c>
      <c r="B71" s="88" t="s">
        <v>385</v>
      </c>
      <c r="C71" s="41" t="e">
        <f>'2. Toimintakate'!D71+'3. Verotulot'!G71+'4. Valtionosuudet'!#REF!+'5. Rahoitustuotot ja -kulut'!C71</f>
        <v>#REF!</v>
      </c>
      <c r="D71" s="41">
        <f>'2. Toimintakate'!E71+'4. Valtionosuudet'!H71+'3. Verotulot'!L71+'5. Rahoitustuotot ja -kulut'!D71</f>
        <v>59283</v>
      </c>
      <c r="E71" s="41">
        <f>'2. Toimintakate'!F71+'4. Valtionosuudet'!N71+'3. Verotulot'!Q71+'5. Rahoitustuotot ja -kulut'!E71</f>
        <v>67099</v>
      </c>
      <c r="F71" s="41">
        <f>'2. Toimintakate'!G71+'4. Valtionosuudet'!T71+'3. Verotulot'!V71+'5. Rahoitustuotot ja -kulut'!F71</f>
        <v>49052</v>
      </c>
      <c r="G71" s="41">
        <f>'2. Toimintakate'!H71+'3. Verotulot'!AA71+'4. Valtionosuudet'!Z71+'5. Rahoitustuotot ja -kulut'!G71</f>
        <v>22207</v>
      </c>
      <c r="H71" s="41">
        <f>Käyttökate!H71+'5. Rahoitustuotot ja -kulut'!H71</f>
        <v>71780.89944109894</v>
      </c>
      <c r="I71" s="41">
        <f>Käyttökate!I71+'5. Rahoitustuotot ja -kulut'!I71</f>
        <v>36170.749527762506</v>
      </c>
      <c r="J71" s="41">
        <f>Käyttökate!J71+'5. Rahoitustuotot ja -kulut'!J71</f>
        <v>13680.545172140446</v>
      </c>
      <c r="K71" s="41">
        <f>Käyttökate!K71+'5. Rahoitustuotot ja -kulut'!K71</f>
        <v>66157.369848086993</v>
      </c>
      <c r="L71" s="41">
        <f>Käyttökate!L71+'5. Rahoitustuotot ja -kulut'!L71</f>
        <v>51970.673634094972</v>
      </c>
      <c r="M71" s="41">
        <f>Käyttökate!M71+'5. Rahoitustuotot ja -kulut'!M71</f>
        <v>10454.832756236705</v>
      </c>
      <c r="N71" s="41">
        <f>Käyttökate!N71+'5. Rahoitustuotot ja -kulut'!N71</f>
        <v>17424.177222428989</v>
      </c>
      <c r="O71" s="41">
        <f>Käyttökate!O71+'5. Rahoitustuotot ja -kulut'!O71</f>
        <v>17500.115277859481</v>
      </c>
      <c r="P71" s="41">
        <f>Käyttökate!P71+'5. Rahoitustuotot ja -kulut'!P71</f>
        <v>25638.525810424631</v>
      </c>
      <c r="T71" s="34">
        <v>179</v>
      </c>
      <c r="U71" s="88" t="s">
        <v>385</v>
      </c>
      <c r="V71" s="41" t="e">
        <f>C71/'1. Väestöennuste'!E71*1000</f>
        <v>#REF!</v>
      </c>
      <c r="W71" s="41">
        <f>D71/'1. Väestöennuste'!F71*1000</f>
        <v>426.95714800144043</v>
      </c>
      <c r="X71" s="41">
        <f>E71/'1. Väestöennuste'!G71*1000</f>
        <v>478.63583188290011</v>
      </c>
      <c r="Y71" s="41">
        <f>F71/'1. Väestöennuste'!H71*1000</f>
        <v>347.13562860479107</v>
      </c>
      <c r="Z71" s="41">
        <f>G71/'1. Väestöennuste'!I71*1000</f>
        <v>155.94803370786516</v>
      </c>
      <c r="AA71" s="41">
        <f>H71/'1. Väestöennuste'!J71*1000</f>
        <v>500.49434835517314</v>
      </c>
      <c r="AB71" s="41">
        <f>I71/'1. Väestöennuste'!K71*1000</f>
        <v>250.36338643042305</v>
      </c>
      <c r="AC71" s="41">
        <f>J71/'1. Väestöennuste'!L71*1000</f>
        <v>93.774943429780905</v>
      </c>
      <c r="AD71" s="41">
        <f>K71/'1. Väestöennuste'!M71*1000</f>
        <v>447.77773914750315</v>
      </c>
      <c r="AE71" s="41">
        <f>L71/'1. Väestöennuste'!N71*1000</f>
        <v>352.18357514955898</v>
      </c>
      <c r="AF71" s="41">
        <f>M71/'1. Väestöennuste'!O71*1000</f>
        <v>70.448931330476498</v>
      </c>
      <c r="AG71" s="41">
        <f>N71/'1. Väestöennuste'!P71*1000</f>
        <v>116.80360128995468</v>
      </c>
      <c r="AH71" s="41">
        <f>O71/'1. Väestöennuste'!Q71*1000</f>
        <v>116.74838072970246</v>
      </c>
      <c r="AI71" s="41">
        <f>P71/'1. Väestöennuste'!R71*1000</f>
        <v>170.27984757898233</v>
      </c>
      <c r="AK71" s="41">
        <f>'6. Poistot'!Z71</f>
        <v>377.64044943820227</v>
      </c>
      <c r="AL71" s="41">
        <f>'6. Poistot'!AA71</f>
        <v>368.36563938083947</v>
      </c>
      <c r="AM71" s="41">
        <f>'6. Poistot'!AB71</f>
        <v>372.78133907373694</v>
      </c>
      <c r="AN71" s="41">
        <f>'6. Poistot'!AC71</f>
        <v>425.13327911328628</v>
      </c>
      <c r="AO71" s="41">
        <f>'6. Poistot'!AD71</f>
        <v>385.1058281104057</v>
      </c>
      <c r="AP71" s="41">
        <f>'6. Poistot'!AE71</f>
        <v>394.80303861974562</v>
      </c>
      <c r="AQ71" s="41">
        <f>'6. Poistot'!AF71</f>
        <v>405.65217684278622</v>
      </c>
      <c r="AR71" s="41">
        <f>'6. Poistot'!AG71</f>
        <v>412.93782470253058</v>
      </c>
      <c r="AS71" s="41">
        <f>'6. Poistot'!AH71</f>
        <v>424.21149717429756</v>
      </c>
      <c r="AT71" s="41">
        <f>'6. Poistot'!AI71</f>
        <v>435.52181527743141</v>
      </c>
      <c r="AV71" s="4">
        <f t="shared" si="19"/>
        <v>1</v>
      </c>
      <c r="AW71" s="4">
        <f t="shared" si="11"/>
        <v>1</v>
      </c>
      <c r="AX71" s="4">
        <f t="shared" si="12"/>
        <v>0</v>
      </c>
      <c r="AY71" s="4">
        <f t="shared" si="13"/>
        <v>1</v>
      </c>
      <c r="AZ71" s="4">
        <f t="shared" si="14"/>
        <v>1</v>
      </c>
      <c r="BA71" s="4">
        <f t="shared" si="15"/>
        <v>1</v>
      </c>
      <c r="BB71" s="4">
        <f t="shared" si="16"/>
        <v>1</v>
      </c>
      <c r="BC71" s="4">
        <f t="shared" si="17"/>
        <v>1</v>
      </c>
      <c r="BE71" s="405">
        <f t="shared" si="20"/>
        <v>0</v>
      </c>
      <c r="BF71" s="405">
        <f t="shared" si="21"/>
        <v>0</v>
      </c>
      <c r="BG71" s="405">
        <f t="shared" si="22"/>
        <v>0</v>
      </c>
      <c r="BH71" s="405">
        <f t="shared" si="23"/>
        <v>0</v>
      </c>
      <c r="BI71" s="405">
        <f t="shared" si="24"/>
        <v>0</v>
      </c>
      <c r="BJ71" s="405">
        <f t="shared" si="25"/>
        <v>0</v>
      </c>
      <c r="BK71" s="405">
        <f t="shared" si="26"/>
        <v>0</v>
      </c>
      <c r="BL71" s="405">
        <f t="shared" si="27"/>
        <v>0</v>
      </c>
      <c r="BM71" s="405">
        <f t="shared" si="28"/>
        <v>0</v>
      </c>
      <c r="BN71" s="405">
        <f t="shared" si="28"/>
        <v>0</v>
      </c>
    </row>
    <row r="72" spans="1:66" x14ac:dyDescent="0.2">
      <c r="A72" s="34">
        <v>181</v>
      </c>
      <c r="B72" s="88" t="s">
        <v>386</v>
      </c>
      <c r="C72" s="41" t="e">
        <f>'2. Toimintakate'!D72+'3. Verotulot'!G72+'4. Valtionosuudet'!#REF!+'5. Rahoitustuotot ja -kulut'!C72</f>
        <v>#REF!</v>
      </c>
      <c r="D72" s="41">
        <f>'2. Toimintakate'!E72+'4. Valtionosuudet'!H72+'3. Verotulot'!L72+'5. Rahoitustuotot ja -kulut'!D72</f>
        <v>-435</v>
      </c>
      <c r="E72" s="41">
        <f>'2. Toimintakate'!F72+'4. Valtionosuudet'!N72+'3. Verotulot'!Q72+'5. Rahoitustuotot ja -kulut'!E72</f>
        <v>306</v>
      </c>
      <c r="F72" s="41">
        <f>'2. Toimintakate'!G72+'4. Valtionosuudet'!T72+'3. Verotulot'!V72+'5. Rahoitustuotot ja -kulut'!F72</f>
        <v>682</v>
      </c>
      <c r="G72" s="41">
        <f>'2. Toimintakate'!H72+'3. Verotulot'!AA72+'4. Valtionosuudet'!Z72+'5. Rahoitustuotot ja -kulut'!G72</f>
        <v>659</v>
      </c>
      <c r="H72" s="41">
        <f>Käyttökate!H72+'5. Rahoitustuotot ja -kulut'!H72</f>
        <v>1360.6040582359565</v>
      </c>
      <c r="I72" s="41">
        <f>Käyttökate!I72+'5. Rahoitustuotot ja -kulut'!I72</f>
        <v>1364.5653600521596</v>
      </c>
      <c r="J72" s="41">
        <f>Käyttökate!J72+'5. Rahoitustuotot ja -kulut'!J72</f>
        <v>600.11479938372941</v>
      </c>
      <c r="K72" s="41">
        <f>Käyttökate!K72+'5. Rahoitustuotot ja -kulut'!K72</f>
        <v>1336.213289505748</v>
      </c>
      <c r="L72" s="41">
        <f>Käyttökate!L72+'5. Rahoitustuotot ja -kulut'!L72</f>
        <v>607.34642964736156</v>
      </c>
      <c r="M72" s="41">
        <f>Käyttökate!M72+'5. Rahoitustuotot ja -kulut'!M72</f>
        <v>909.90315764786726</v>
      </c>
      <c r="N72" s="41">
        <f>Käyttökate!N72+'5. Rahoitustuotot ja -kulut'!N72</f>
        <v>915.19861006455437</v>
      </c>
      <c r="O72" s="41">
        <f>Käyttökate!O72+'5. Rahoitustuotot ja -kulut'!O72</f>
        <v>859.24802831836053</v>
      </c>
      <c r="P72" s="41">
        <f>Käyttökate!P72+'5. Rahoitustuotot ja -kulut'!P72</f>
        <v>1027.738910683642</v>
      </c>
      <c r="T72" s="34">
        <v>181</v>
      </c>
      <c r="U72" s="88" t="s">
        <v>386</v>
      </c>
      <c r="V72" s="41" t="e">
        <f>C72/'1. Väestöennuste'!E72*1000</f>
        <v>#REF!</v>
      </c>
      <c r="W72" s="41">
        <f>D72/'1. Väestöennuste'!F72*1000</f>
        <v>-227.15404699738903</v>
      </c>
      <c r="X72" s="41">
        <f>E72/'1. Väestöennuste'!G72*1000</f>
        <v>163.89930369576859</v>
      </c>
      <c r="Y72" s="41">
        <f>F72/'1. Väestöennuste'!H72*1000</f>
        <v>377.00386954118295</v>
      </c>
      <c r="Z72" s="41">
        <f>G72/'1. Väestöennuste'!I72*1000</f>
        <v>378.95342150661298</v>
      </c>
      <c r="AA72" s="41">
        <f>H72/'1. Väestöennuste'!J72*1000</f>
        <v>797.07326200114619</v>
      </c>
      <c r="AB72" s="41">
        <f>I72/'1. Väestöennuste'!K72*1000</f>
        <v>809.8310742149315</v>
      </c>
      <c r="AC72" s="41">
        <f>J72/'1. Väestöennuste'!L72*1000</f>
        <v>356.57445002004124</v>
      </c>
      <c r="AD72" s="41">
        <f>K72/'1. Väestöennuste'!M72*1000</f>
        <v>794.41931599628299</v>
      </c>
      <c r="AE72" s="41">
        <f>L72/'1. Väestöennuste'!N72*1000</f>
        <v>388.32891921186803</v>
      </c>
      <c r="AF72" s="41">
        <f>M72/'1. Väestöennuste'!O72*1000</f>
        <v>592.77078674128154</v>
      </c>
      <c r="AG72" s="41">
        <f>N72/'1. Väestöennuste'!P72*1000</f>
        <v>607.29834775351992</v>
      </c>
      <c r="AH72" s="41">
        <f>O72/'1. Väestöennuste'!Q72*1000</f>
        <v>581.35861185274723</v>
      </c>
      <c r="AI72" s="41">
        <f>P72/'1. Väestöennuste'!R72*1000</f>
        <v>707.32203075267853</v>
      </c>
      <c r="AK72" s="41">
        <f>'6. Poistot'!Z72</f>
        <v>207.59056929269696</v>
      </c>
      <c r="AL72" s="41">
        <f>'6. Poistot'!AA72</f>
        <v>200.93731693028704</v>
      </c>
      <c r="AM72" s="41">
        <f>'6. Poistot'!AB72</f>
        <v>359.59413056379822</v>
      </c>
      <c r="AN72" s="41">
        <f>'6. Poistot'!AC72</f>
        <v>429.24866310160434</v>
      </c>
      <c r="AO72" s="41">
        <f>'6. Poistot'!AD72</f>
        <v>544.11567776456593</v>
      </c>
      <c r="AP72" s="41">
        <f>'6. Poistot'!AE72</f>
        <v>603.0102301790281</v>
      </c>
      <c r="AQ72" s="41">
        <f>'6. Poistot'!AF72</f>
        <v>504.89837133550486</v>
      </c>
      <c r="AR72" s="41">
        <f>'6. Poistot'!AG72</f>
        <v>405.26211015262112</v>
      </c>
      <c r="AS72" s="41">
        <f>'6. Poistot'!AH72</f>
        <v>426.54669972223797</v>
      </c>
      <c r="AT72" s="41">
        <f>'6. Poistot'!AI72</f>
        <v>447.44806908391973</v>
      </c>
      <c r="AV72" s="4">
        <f t="shared" si="19"/>
        <v>0</v>
      </c>
      <c r="AW72" s="4">
        <f t="shared" si="11"/>
        <v>1</v>
      </c>
      <c r="AX72" s="4">
        <f t="shared" si="12"/>
        <v>0</v>
      </c>
      <c r="AY72" s="4">
        <f t="shared" si="13"/>
        <v>1</v>
      </c>
      <c r="AZ72" s="4">
        <f t="shared" si="14"/>
        <v>0</v>
      </c>
      <c r="BA72" s="4">
        <f t="shared" si="15"/>
        <v>0</v>
      </c>
      <c r="BB72" s="4">
        <f t="shared" si="16"/>
        <v>0</v>
      </c>
      <c r="BC72" s="4">
        <f t="shared" si="17"/>
        <v>0</v>
      </c>
      <c r="BE72" s="405">
        <f t="shared" si="20"/>
        <v>0</v>
      </c>
      <c r="BF72" s="405">
        <f t="shared" si="21"/>
        <v>0</v>
      </c>
      <c r="BG72" s="405">
        <f t="shared" si="22"/>
        <v>0</v>
      </c>
      <c r="BH72" s="405">
        <f t="shared" si="23"/>
        <v>0</v>
      </c>
      <c r="BI72" s="405">
        <f t="shared" si="24"/>
        <v>0</v>
      </c>
      <c r="BJ72" s="405">
        <f t="shared" si="25"/>
        <v>0</v>
      </c>
      <c r="BK72" s="405">
        <f t="shared" si="26"/>
        <v>0</v>
      </c>
      <c r="BL72" s="405">
        <f t="shared" si="27"/>
        <v>0</v>
      </c>
      <c r="BM72" s="405">
        <f t="shared" si="28"/>
        <v>0</v>
      </c>
      <c r="BN72" s="405">
        <f t="shared" si="28"/>
        <v>0</v>
      </c>
    </row>
    <row r="73" spans="1:66" x14ac:dyDescent="0.2">
      <c r="A73" s="34">
        <v>182</v>
      </c>
      <c r="B73" s="88" t="s">
        <v>387</v>
      </c>
      <c r="C73" s="41" t="e">
        <f>'2. Toimintakate'!D73+'3. Verotulot'!G73+'4. Valtionosuudet'!#REF!+'5. Rahoitustuotot ja -kulut'!C73</f>
        <v>#REF!</v>
      </c>
      <c r="D73" s="41">
        <f>'2. Toimintakate'!E73+'4. Valtionosuudet'!H73+'3. Verotulot'!L73+'5. Rahoitustuotot ja -kulut'!D73</f>
        <v>7136</v>
      </c>
      <c r="E73" s="41">
        <f>'2. Toimintakate'!F73+'4. Valtionosuudet'!N73+'3. Verotulot'!Q73+'5. Rahoitustuotot ja -kulut'!E73</f>
        <v>5019</v>
      </c>
      <c r="F73" s="41">
        <f>'2. Toimintakate'!G73+'4. Valtionosuudet'!T73+'3. Verotulot'!V73+'5. Rahoitustuotot ja -kulut'!F73</f>
        <v>5319</v>
      </c>
      <c r="G73" s="41">
        <f>'2. Toimintakate'!H73+'3. Verotulot'!AA73+'4. Valtionosuudet'!Z73+'5. Rahoitustuotot ja -kulut'!G73</f>
        <v>5495</v>
      </c>
      <c r="H73" s="41">
        <f>Käyttökate!H73+'5. Rahoitustuotot ja -kulut'!H73</f>
        <v>12583.718509105733</v>
      </c>
      <c r="I73" s="41">
        <f>Käyttökate!I73+'5. Rahoitustuotot ja -kulut'!I73</f>
        <v>9089.7383328229098</v>
      </c>
      <c r="J73" s="41">
        <f>Käyttökate!J73+'5. Rahoitustuotot ja -kulut'!J73</f>
        <v>952.55209798416945</v>
      </c>
      <c r="K73" s="41">
        <f>Käyttökate!K73+'5. Rahoitustuotot ja -kulut'!K73</f>
        <v>9061.3180248705212</v>
      </c>
      <c r="L73" s="41">
        <f>Käyttökate!L73+'5. Rahoitustuotot ja -kulut'!L73</f>
        <v>7538.7771628903956</v>
      </c>
      <c r="M73" s="41">
        <f>Käyttökate!M73+'5. Rahoitustuotot ja -kulut'!M73</f>
        <v>6098.4902324476589</v>
      </c>
      <c r="N73" s="41">
        <f>Käyttökate!N73+'5. Rahoitustuotot ja -kulut'!N73</f>
        <v>7323.2533718944469</v>
      </c>
      <c r="O73" s="41">
        <f>Käyttökate!O73+'5. Rahoitustuotot ja -kulut'!O73</f>
        <v>8103.8268987954425</v>
      </c>
      <c r="P73" s="41">
        <f>Käyttökate!P73+'5. Rahoitustuotot ja -kulut'!P73</f>
        <v>11105.555067146255</v>
      </c>
      <c r="T73" s="34">
        <v>182</v>
      </c>
      <c r="U73" s="88" t="s">
        <v>387</v>
      </c>
      <c r="V73" s="41" t="e">
        <f>C73/'1. Väestöennuste'!E73*1000</f>
        <v>#REF!</v>
      </c>
      <c r="W73" s="41">
        <f>D73/'1. Väestöennuste'!F73*1000</f>
        <v>335.66959875817298</v>
      </c>
      <c r="X73" s="41">
        <f>E73/'1. Väestöennuste'!G73*1000</f>
        <v>240.40810461273171</v>
      </c>
      <c r="Y73" s="41">
        <f>F73/'1. Väestöennuste'!H73*1000</f>
        <v>258.11617411559178</v>
      </c>
      <c r="Z73" s="41">
        <f>G73/'1. Väestöennuste'!I73*1000</f>
        <v>272.27232187097411</v>
      </c>
      <c r="AA73" s="41">
        <f>H73/'1. Väestöennuste'!J73*1000</f>
        <v>632.76102524793737</v>
      </c>
      <c r="AB73" s="41">
        <f>I73/'1. Väestöennuste'!K73*1000</f>
        <v>459.84410041093287</v>
      </c>
      <c r="AC73" s="41">
        <f>J73/'1. Väestöennuste'!L73*1000</f>
        <v>49.235131957624922</v>
      </c>
      <c r="AD73" s="41">
        <f>K73/'1. Väestöennuste'!M73*1000</f>
        <v>472.38650948131175</v>
      </c>
      <c r="AE73" s="41">
        <f>L73/'1. Väestöennuste'!N73*1000</f>
        <v>404.74482781544054</v>
      </c>
      <c r="AF73" s="41">
        <f>M73/'1. Väestöennuste'!O73*1000</f>
        <v>332.12559810737713</v>
      </c>
      <c r="AG73" s="41">
        <f>N73/'1. Väestöennuste'!P73*1000</f>
        <v>404.51023927830573</v>
      </c>
      <c r="AH73" s="41">
        <f>O73/'1. Väestöennuste'!Q73*1000</f>
        <v>453.76711455263131</v>
      </c>
      <c r="AI73" s="41">
        <f>P73/'1. Väestöennuste'!R73*1000</f>
        <v>630.31699115422305</v>
      </c>
      <c r="AK73" s="41">
        <f>'6. Poistot'!Z73</f>
        <v>401.84322663759787</v>
      </c>
      <c r="AL73" s="41">
        <f>'6. Poistot'!AA73</f>
        <v>424.09614320913158</v>
      </c>
      <c r="AM73" s="41">
        <f>'6. Poistot'!AB73</f>
        <v>432.57199726817419</v>
      </c>
      <c r="AN73" s="41">
        <f>'6. Poistot'!AC73</f>
        <v>446.11479195740952</v>
      </c>
      <c r="AO73" s="41">
        <f>'6. Poistot'!AD73</f>
        <v>431.42809925972261</v>
      </c>
      <c r="AP73" s="41">
        <f>'6. Poistot'!AE73</f>
        <v>426.25899280575538</v>
      </c>
      <c r="AQ73" s="41">
        <f>'6. Poistot'!AF73</f>
        <v>424.97004683585664</v>
      </c>
      <c r="AR73" s="41">
        <f>'6. Poistot'!AG73</f>
        <v>435.0198851082634</v>
      </c>
      <c r="AS73" s="41">
        <f>'6. Poistot'!AH73</f>
        <v>455.21679780293903</v>
      </c>
      <c r="AT73" s="41">
        <f>'6. Poistot'!AI73</f>
        <v>475.84048946735766</v>
      </c>
      <c r="AV73" s="4">
        <f t="shared" si="19"/>
        <v>0</v>
      </c>
      <c r="AW73" s="4">
        <f t="shared" si="11"/>
        <v>1</v>
      </c>
      <c r="AX73" s="4">
        <f t="shared" si="12"/>
        <v>0</v>
      </c>
      <c r="AY73" s="4">
        <f t="shared" si="13"/>
        <v>1</v>
      </c>
      <c r="AZ73" s="4">
        <f t="shared" si="14"/>
        <v>1</v>
      </c>
      <c r="BA73" s="4">
        <f t="shared" si="15"/>
        <v>1</v>
      </c>
      <c r="BB73" s="4">
        <f t="shared" si="16"/>
        <v>1</v>
      </c>
      <c r="BC73" s="4">
        <f t="shared" si="17"/>
        <v>0</v>
      </c>
      <c r="BE73" s="405">
        <f t="shared" si="20"/>
        <v>0</v>
      </c>
      <c r="BF73" s="405">
        <f t="shared" si="21"/>
        <v>0</v>
      </c>
      <c r="BG73" s="405">
        <f t="shared" si="22"/>
        <v>0</v>
      </c>
      <c r="BH73" s="405">
        <f t="shared" si="23"/>
        <v>0</v>
      </c>
      <c r="BI73" s="405">
        <f t="shared" si="24"/>
        <v>0</v>
      </c>
      <c r="BJ73" s="405">
        <f t="shared" si="25"/>
        <v>0</v>
      </c>
      <c r="BK73" s="405">
        <f t="shared" si="26"/>
        <v>0</v>
      </c>
      <c r="BL73" s="405">
        <f t="shared" si="27"/>
        <v>0</v>
      </c>
      <c r="BM73" s="405">
        <f t="shared" si="28"/>
        <v>0</v>
      </c>
      <c r="BN73" s="405">
        <f t="shared" si="28"/>
        <v>0</v>
      </c>
    </row>
    <row r="74" spans="1:66" x14ac:dyDescent="0.2">
      <c r="A74" s="34">
        <v>186</v>
      </c>
      <c r="B74" s="88" t="s">
        <v>388</v>
      </c>
      <c r="C74" s="41" t="e">
        <f>'2. Toimintakate'!D74+'3. Verotulot'!G74+'4. Valtionosuudet'!#REF!+'5. Rahoitustuotot ja -kulut'!C74</f>
        <v>#REF!</v>
      </c>
      <c r="D74" s="41">
        <f>'2. Toimintakate'!E74+'4. Valtionosuudet'!H74+'3. Verotulot'!L74+'5. Rahoitustuotot ja -kulut'!D74</f>
        <v>15833</v>
      </c>
      <c r="E74" s="41">
        <f>'2. Toimintakate'!F74+'4. Valtionosuudet'!N74+'3. Verotulot'!Q74+'5. Rahoitustuotot ja -kulut'!E74</f>
        <v>15858</v>
      </c>
      <c r="F74" s="41">
        <f>'2. Toimintakate'!G74+'4. Valtionosuudet'!T74+'3. Verotulot'!V74+'5. Rahoitustuotot ja -kulut'!F74</f>
        <v>10242</v>
      </c>
      <c r="G74" s="41">
        <f>'2. Toimintakate'!H74+'3. Verotulot'!AA74+'4. Valtionosuudet'!Z74+'5. Rahoitustuotot ja -kulut'!G74</f>
        <v>-8847</v>
      </c>
      <c r="H74" s="41">
        <f>Käyttökate!H74+'5. Rahoitustuotot ja -kulut'!H74</f>
        <v>22310.169164760562</v>
      </c>
      <c r="I74" s="41">
        <f>Käyttökate!I74+'5. Rahoitustuotot ja -kulut'!I74</f>
        <v>25563.787693213621</v>
      </c>
      <c r="J74" s="41">
        <f>Käyttökate!J74+'5. Rahoitustuotot ja -kulut'!J74</f>
        <v>17621.859930442188</v>
      </c>
      <c r="K74" s="41">
        <f>Käyttökate!K74+'5. Rahoitustuotot ja -kulut'!K74</f>
        <v>34204.909380715893</v>
      </c>
      <c r="L74" s="41">
        <f>Käyttökate!L74+'5. Rahoitustuotot ja -kulut'!L74</f>
        <v>25056.686212699798</v>
      </c>
      <c r="M74" s="41">
        <f>Käyttökate!M74+'5. Rahoitustuotot ja -kulut'!M74</f>
        <v>12738.105926822915</v>
      </c>
      <c r="N74" s="41">
        <f>Käyttökate!N74+'5. Rahoitustuotot ja -kulut'!N74</f>
        <v>13302.381873608803</v>
      </c>
      <c r="O74" s="41">
        <f>Käyttökate!O74+'5. Rahoitustuotot ja -kulut'!O74</f>
        <v>14450.225739476466</v>
      </c>
      <c r="P74" s="41">
        <f>Käyttökate!P74+'5. Rahoitustuotot ja -kulut'!P74</f>
        <v>17458.188974306493</v>
      </c>
      <c r="T74" s="34">
        <v>186</v>
      </c>
      <c r="U74" s="88" t="s">
        <v>388</v>
      </c>
      <c r="V74" s="41" t="e">
        <f>C74/'1. Väestöennuste'!E74*1000</f>
        <v>#REF!</v>
      </c>
      <c r="W74" s="41">
        <f>D74/'1. Väestöennuste'!F74*1000</f>
        <v>381.25165546967179</v>
      </c>
      <c r="X74" s="41">
        <f>E74/'1. Väestöennuste'!G74*1000</f>
        <v>372.49835572676875</v>
      </c>
      <c r="Y74" s="41">
        <f>F74/'1. Väestöennuste'!H74*1000</f>
        <v>235.9364201796821</v>
      </c>
      <c r="Z74" s="41">
        <f>G74/'1. Väestöennuste'!I74*1000</f>
        <v>-202.39756583011143</v>
      </c>
      <c r="AA74" s="41">
        <f>H74/'1. Väestöennuste'!J74*1000</f>
        <v>501.85961454865736</v>
      </c>
      <c r="AB74" s="41">
        <f>I74/'1. Väestöennuste'!K74*1000</f>
        <v>565.24538303660779</v>
      </c>
      <c r="AC74" s="41">
        <f>J74/'1. Väestöennuste'!L74*1000</f>
        <v>386.19022420429957</v>
      </c>
      <c r="AD74" s="41">
        <f>K74/'1. Väestöennuste'!M74*1000</f>
        <v>735.74767435396632</v>
      </c>
      <c r="AE74" s="41">
        <f>L74/'1. Väestöennuste'!N74*1000</f>
        <v>531.31226065945293</v>
      </c>
      <c r="AF74" s="41">
        <f>M74/'1. Väestöennuste'!O74*1000</f>
        <v>266.68284155391848</v>
      </c>
      <c r="AG74" s="41">
        <f>N74/'1. Väestöennuste'!P74*1000</f>
        <v>275.1837375591395</v>
      </c>
      <c r="AH74" s="41">
        <f>O74/'1. Väestöennuste'!Q74*1000</f>
        <v>295.55399123530361</v>
      </c>
      <c r="AI74" s="41">
        <f>P74/'1. Väestöennuste'!R74*1000</f>
        <v>353.30450832368342</v>
      </c>
      <c r="AK74" s="41">
        <f>'6. Poistot'!Z74</f>
        <v>541.831575575942</v>
      </c>
      <c r="AL74" s="41">
        <f>'6. Poistot'!AA74</f>
        <v>449.80317174671012</v>
      </c>
      <c r="AM74" s="41">
        <f>'6. Poistot'!AB74</f>
        <v>489.91678702516242</v>
      </c>
      <c r="AN74" s="41">
        <f>'6. Poistot'!AC74</f>
        <v>471.24022989261448</v>
      </c>
      <c r="AO74" s="41">
        <f>'6. Poistot'!AD74</f>
        <v>526.05362314476235</v>
      </c>
      <c r="AP74" s="41">
        <f>'6. Poistot'!AE74</f>
        <v>605.03556700593731</v>
      </c>
      <c r="AQ74" s="41">
        <f>'6. Poistot'!AF74</f>
        <v>630.13010049199204</v>
      </c>
      <c r="AR74" s="41">
        <f>'6. Poistot'!AG74</f>
        <v>659.52290546131564</v>
      </c>
      <c r="AS74" s="41">
        <f>'6. Poistot'!AH74</f>
        <v>673.11689716563183</v>
      </c>
      <c r="AT74" s="41">
        <f>'6. Poistot'!AI74</f>
        <v>686.8240867455404</v>
      </c>
      <c r="AV74" s="4">
        <f t="shared" si="19"/>
        <v>0</v>
      </c>
      <c r="AW74" s="4">
        <f t="shared" si="11"/>
        <v>1</v>
      </c>
      <c r="AX74" s="4">
        <f t="shared" si="12"/>
        <v>0</v>
      </c>
      <c r="AY74" s="4">
        <f t="shared" si="13"/>
        <v>1</v>
      </c>
      <c r="AZ74" s="4">
        <f t="shared" si="14"/>
        <v>1</v>
      </c>
      <c r="BA74" s="4">
        <f t="shared" si="15"/>
        <v>1</v>
      </c>
      <c r="BB74" s="4">
        <f t="shared" si="16"/>
        <v>1</v>
      </c>
      <c r="BC74" s="4">
        <f t="shared" si="17"/>
        <v>1</v>
      </c>
      <c r="BE74" s="405">
        <f t="shared" si="20"/>
        <v>-1</v>
      </c>
      <c r="BF74" s="405">
        <f t="shared" si="21"/>
        <v>0</v>
      </c>
      <c r="BG74" s="405">
        <f t="shared" si="22"/>
        <v>0</v>
      </c>
      <c r="BH74" s="405">
        <f t="shared" si="23"/>
        <v>0</v>
      </c>
      <c r="BI74" s="405">
        <f t="shared" si="24"/>
        <v>0</v>
      </c>
      <c r="BJ74" s="405">
        <f t="shared" si="25"/>
        <v>0</v>
      </c>
      <c r="BK74" s="405">
        <f t="shared" si="26"/>
        <v>0</v>
      </c>
      <c r="BL74" s="405">
        <f t="shared" si="27"/>
        <v>0</v>
      </c>
      <c r="BM74" s="405">
        <f t="shared" si="28"/>
        <v>0</v>
      </c>
      <c r="BN74" s="405">
        <f t="shared" si="28"/>
        <v>0</v>
      </c>
    </row>
    <row r="75" spans="1:66" x14ac:dyDescent="0.2">
      <c r="A75" s="34">
        <v>202</v>
      </c>
      <c r="B75" s="88" t="s">
        <v>389</v>
      </c>
      <c r="C75" s="41" t="e">
        <f>'2. Toimintakate'!D75+'3. Verotulot'!G75+'4. Valtionosuudet'!#REF!+'5. Rahoitustuotot ja -kulut'!C75</f>
        <v>#REF!</v>
      </c>
      <c r="D75" s="41">
        <f>'2. Toimintakate'!E75+'4. Valtionosuudet'!H75+'3. Verotulot'!L75+'5. Rahoitustuotot ja -kulut'!D75</f>
        <v>13303</v>
      </c>
      <c r="E75" s="41">
        <f>'2. Toimintakate'!F75+'4. Valtionosuudet'!N75+'3. Verotulot'!Q75+'5. Rahoitustuotot ja -kulut'!E75</f>
        <v>13156</v>
      </c>
      <c r="F75" s="41">
        <f>'2. Toimintakate'!G75+'4. Valtionosuudet'!T75+'3. Verotulot'!V75+'5. Rahoitustuotot ja -kulut'!F75</f>
        <v>4881</v>
      </c>
      <c r="G75" s="41">
        <f>'2. Toimintakate'!H75+'3. Verotulot'!AA75+'4. Valtionosuudet'!Z75+'5. Rahoitustuotot ja -kulut'!G75</f>
        <v>1924</v>
      </c>
      <c r="H75" s="41">
        <f>Käyttökate!H75+'5. Rahoitustuotot ja -kulut'!H75</f>
        <v>18177.779728415524</v>
      </c>
      <c r="I75" s="41">
        <f>Käyttökate!I75+'5. Rahoitustuotot ja -kulut'!I75</f>
        <v>18210.275019089349</v>
      </c>
      <c r="J75" s="41">
        <f>Käyttökate!J75+'5. Rahoitustuotot ja -kulut'!J75</f>
        <v>21478.791388266283</v>
      </c>
      <c r="K75" s="41">
        <f>Käyttökate!K75+'5. Rahoitustuotot ja -kulut'!K75</f>
        <v>20996.169376070698</v>
      </c>
      <c r="L75" s="41">
        <f>Käyttökate!L75+'5. Rahoitustuotot ja -kulut'!L75</f>
        <v>13229.064528659448</v>
      </c>
      <c r="M75" s="41">
        <f>Käyttökate!M75+'5. Rahoitustuotot ja -kulut'!M75</f>
        <v>9569.9480501526377</v>
      </c>
      <c r="N75" s="41">
        <f>Käyttökate!N75+'5. Rahoitustuotot ja -kulut'!N75</f>
        <v>8537.6336457313155</v>
      </c>
      <c r="O75" s="41">
        <f>Käyttökate!O75+'5. Rahoitustuotot ja -kulut'!O75</f>
        <v>7726.7963223263723</v>
      </c>
      <c r="P75" s="41">
        <f>Käyttökate!P75+'5. Rahoitustuotot ja -kulut'!P75</f>
        <v>7929.6684884885717</v>
      </c>
      <c r="T75" s="34">
        <v>202</v>
      </c>
      <c r="U75" s="88" t="s">
        <v>389</v>
      </c>
      <c r="V75" s="41" t="e">
        <f>C75/'1. Väestöennuste'!E75*1000</f>
        <v>#REF!</v>
      </c>
      <c r="W75" s="41">
        <f>D75/'1. Väestöennuste'!F75*1000</f>
        <v>406.34736391960411</v>
      </c>
      <c r="X75" s="41">
        <f>E75/'1. Väestöennuste'!G75*1000</f>
        <v>397.4742439348621</v>
      </c>
      <c r="Y75" s="41">
        <f>F75/'1. Väestöennuste'!H75*1000</f>
        <v>145.88439237252675</v>
      </c>
      <c r="Z75" s="41">
        <f>G75/'1. Väestöennuste'!I75*1000</f>
        <v>56.693284615611283</v>
      </c>
      <c r="AA75" s="41">
        <f>H75/'1. Väestöennuste'!J75*1000</f>
        <v>524.35398876209433</v>
      </c>
      <c r="AB75" s="41">
        <f>I75/'1. Väestöennuste'!K75*1000</f>
        <v>513.00884635573004</v>
      </c>
      <c r="AC75" s="41">
        <f>J75/'1. Väestöennuste'!L75*1000</f>
        <v>599.1628930000636</v>
      </c>
      <c r="AD75" s="41">
        <f>K75/'1. Väestöennuste'!M75*1000</f>
        <v>577.78610793006681</v>
      </c>
      <c r="AE75" s="41">
        <f>L75/'1. Väestöennuste'!N75*1000</f>
        <v>362.0334563547645</v>
      </c>
      <c r="AF75" s="41">
        <f>M75/'1. Väestöennuste'!O75*1000</f>
        <v>259.01126042418093</v>
      </c>
      <c r="AG75" s="41">
        <f>N75/'1. Väestöennuste'!P75*1000</f>
        <v>228.67640674250208</v>
      </c>
      <c r="AH75" s="41">
        <f>O75/'1. Väestöennuste'!Q75*1000</f>
        <v>204.94937328788023</v>
      </c>
      <c r="AI75" s="41">
        <f>P75/'1. Väestöennuste'!R75*1000</f>
        <v>208.42318478916499</v>
      </c>
      <c r="AK75" s="41">
        <f>'6. Poistot'!Z75</f>
        <v>343.87246957597898</v>
      </c>
      <c r="AL75" s="41">
        <f>'6. Poistot'!AA75</f>
        <v>276.86272247382237</v>
      </c>
      <c r="AM75" s="41">
        <f>'6. Poistot'!AB75</f>
        <v>292.21022959686729</v>
      </c>
      <c r="AN75" s="41">
        <f>'6. Poistot'!AC75</f>
        <v>334.76631750725284</v>
      </c>
      <c r="AO75" s="41">
        <f>'6. Poistot'!AD75</f>
        <v>298.33717906381571</v>
      </c>
      <c r="AP75" s="41">
        <f>'6. Poistot'!AE75</f>
        <v>344.81814947593114</v>
      </c>
      <c r="AQ75" s="41">
        <f>'6. Poistot'!AF75</f>
        <v>362.67186315903433</v>
      </c>
      <c r="AR75" s="41">
        <f>'6. Poistot'!AG75</f>
        <v>380.34016338556313</v>
      </c>
      <c r="AS75" s="41">
        <f>'6. Poistot'!AH75</f>
        <v>388.80088157873234</v>
      </c>
      <c r="AT75" s="41">
        <f>'6. Poistot'!AI75</f>
        <v>397.31809054301561</v>
      </c>
      <c r="AV75" s="4">
        <f t="shared" si="19"/>
        <v>0</v>
      </c>
      <c r="AW75" s="4">
        <f t="shared" si="11"/>
        <v>0</v>
      </c>
      <c r="AX75" s="4">
        <f t="shared" si="12"/>
        <v>0</v>
      </c>
      <c r="AY75" s="4">
        <f t="shared" si="13"/>
        <v>0</v>
      </c>
      <c r="AZ75" s="4">
        <f t="shared" si="14"/>
        <v>1</v>
      </c>
      <c r="BA75" s="4">
        <f t="shared" si="15"/>
        <v>1</v>
      </c>
      <c r="BB75" s="4">
        <f t="shared" si="16"/>
        <v>1</v>
      </c>
      <c r="BC75" s="4">
        <f t="shared" si="17"/>
        <v>1</v>
      </c>
      <c r="BE75" s="405">
        <f t="shared" si="20"/>
        <v>0</v>
      </c>
      <c r="BF75" s="405">
        <f t="shared" si="21"/>
        <v>0</v>
      </c>
      <c r="BG75" s="405">
        <f t="shared" si="22"/>
        <v>0</v>
      </c>
      <c r="BH75" s="405">
        <f t="shared" si="23"/>
        <v>0</v>
      </c>
      <c r="BI75" s="405">
        <f t="shared" si="24"/>
        <v>0</v>
      </c>
      <c r="BJ75" s="405">
        <f t="shared" si="25"/>
        <v>0</v>
      </c>
      <c r="BK75" s="405">
        <f t="shared" si="26"/>
        <v>0</v>
      </c>
      <c r="BL75" s="405">
        <f t="shared" si="27"/>
        <v>0</v>
      </c>
      <c r="BM75" s="405">
        <f t="shared" si="28"/>
        <v>0</v>
      </c>
      <c r="BN75" s="405">
        <f t="shared" si="28"/>
        <v>0</v>
      </c>
    </row>
    <row r="76" spans="1:66" x14ac:dyDescent="0.2">
      <c r="A76" s="34">
        <v>204</v>
      </c>
      <c r="B76" s="88" t="s">
        <v>390</v>
      </c>
      <c r="C76" s="41" t="e">
        <f>'2. Toimintakate'!D76+'3. Verotulot'!G76+'4. Valtionosuudet'!#REF!+'5. Rahoitustuotot ja -kulut'!C76</f>
        <v>#REF!</v>
      </c>
      <c r="D76" s="41">
        <f>'2. Toimintakate'!E76+'4. Valtionosuudet'!H76+'3. Verotulot'!L76+'5. Rahoitustuotot ja -kulut'!D76</f>
        <v>732</v>
      </c>
      <c r="E76" s="41">
        <f>'2. Toimintakate'!F76+'4. Valtionosuudet'!N76+'3. Verotulot'!Q76+'5. Rahoitustuotot ja -kulut'!E76</f>
        <v>188</v>
      </c>
      <c r="F76" s="41">
        <f>'2. Toimintakate'!G76+'4. Valtionosuudet'!T76+'3. Verotulot'!V76+'5. Rahoitustuotot ja -kulut'!F76</f>
        <v>486</v>
      </c>
      <c r="G76" s="41">
        <f>'2. Toimintakate'!H76+'3. Verotulot'!AA76+'4. Valtionosuudet'!Z76+'5. Rahoitustuotot ja -kulut'!G76</f>
        <v>643</v>
      </c>
      <c r="H76" s="41">
        <f>Käyttökate!H76+'5. Rahoitustuotot ja -kulut'!H76</f>
        <v>2095.93346599084</v>
      </c>
      <c r="I76" s="41">
        <f>Käyttökate!I76+'5. Rahoitustuotot ja -kulut'!I76</f>
        <v>1106.2519417139063</v>
      </c>
      <c r="J76" s="41">
        <f>Käyttökate!J76+'5. Rahoitustuotot ja -kulut'!J76</f>
        <v>539.35611473910387</v>
      </c>
      <c r="K76" s="41">
        <f>Käyttökate!K76+'5. Rahoitustuotot ja -kulut'!K76</f>
        <v>6.0986330337848642</v>
      </c>
      <c r="L76" s="41">
        <f>Käyttökate!L76+'5. Rahoitustuotot ja -kulut'!L76</f>
        <v>-119.46104256301791</v>
      </c>
      <c r="M76" s="41">
        <f>Käyttökate!M76+'5. Rahoitustuotot ja -kulut'!M76</f>
        <v>-1602.9540078038269</v>
      </c>
      <c r="N76" s="41">
        <f>Käyttökate!N76+'5. Rahoitustuotot ja -kulut'!N76</f>
        <v>-1162.4569496522672</v>
      </c>
      <c r="O76" s="41">
        <f>Käyttökate!O76+'5. Rahoitustuotot ja -kulut'!O76</f>
        <v>-1053.5737954064798</v>
      </c>
      <c r="P76" s="41">
        <f>Käyttökate!P76+'5. Rahoitustuotot ja -kulut'!P76</f>
        <v>-728.9711763423652</v>
      </c>
      <c r="T76" s="34">
        <v>204</v>
      </c>
      <c r="U76" s="88" t="s">
        <v>390</v>
      </c>
      <c r="V76" s="41" t="e">
        <f>C76/'1. Väestöennuste'!E76*1000</f>
        <v>#REF!</v>
      </c>
      <c r="W76" s="41">
        <f>D76/'1. Väestöennuste'!F76*1000</f>
        <v>232.08623969562461</v>
      </c>
      <c r="X76" s="41">
        <f>E76/'1. Väestöennuste'!G76*1000</f>
        <v>61.679790026246721</v>
      </c>
      <c r="Y76" s="41">
        <f>F76/'1. Väestöennuste'!H76*1000</f>
        <v>162.5418060200669</v>
      </c>
      <c r="Z76" s="41">
        <f>G76/'1. Väestöennuste'!I76*1000</f>
        <v>222.26062910473556</v>
      </c>
      <c r="AA76" s="41">
        <f>H76/'1. Väestöennuste'!J76*1000</f>
        <v>746.68096401526191</v>
      </c>
      <c r="AB76" s="41">
        <f>I76/'1. Väestöennuste'!K76*1000</f>
        <v>398.21884150968549</v>
      </c>
      <c r="AC76" s="41">
        <f>J76/'1. Väestöennuste'!L76*1000</f>
        <v>200.57869644444176</v>
      </c>
      <c r="AD76" s="41">
        <f>K76/'1. Väestöennuste'!M76*1000</f>
        <v>2.3206366186395986</v>
      </c>
      <c r="AE76" s="41">
        <f>L76/'1. Väestöennuste'!N76*1000</f>
        <v>-46.428699013998411</v>
      </c>
      <c r="AF76" s="41">
        <f>M76/'1. Väestöennuste'!O76*1000</f>
        <v>-633.82918458039819</v>
      </c>
      <c r="AG76" s="41">
        <f>N76/'1. Väestöennuste'!P76*1000</f>
        <v>-467.03774594305634</v>
      </c>
      <c r="AH76" s="41">
        <f>O76/'1. Väestöennuste'!Q76*1000</f>
        <v>-429.85466968848624</v>
      </c>
      <c r="AI76" s="41">
        <f>P76/'1. Väestöennuste'!R76*1000</f>
        <v>-302.10160644109624</v>
      </c>
      <c r="AK76" s="41">
        <f>'6. Poistot'!Z76</f>
        <v>275.49256826823364</v>
      </c>
      <c r="AL76" s="41">
        <f>'6. Poistot'!AA76</f>
        <v>299.25187032418955</v>
      </c>
      <c r="AM76" s="41">
        <f>'6. Poistot'!AB76</f>
        <v>254.21650107991363</v>
      </c>
      <c r="AN76" s="41">
        <f>'6. Poistot'!AC76</f>
        <v>252.02978430643358</v>
      </c>
      <c r="AO76" s="41">
        <f>'6. Poistot'!AD76</f>
        <v>267.61850076103497</v>
      </c>
      <c r="AP76" s="41">
        <f>'6. Poistot'!AE76</f>
        <v>328.42596191216478</v>
      </c>
      <c r="AQ76" s="41">
        <f>'6. Poistot'!AF76</f>
        <v>340.82277580071178</v>
      </c>
      <c r="AR76" s="41">
        <f>'6. Poistot'!AG76</f>
        <v>353.22603455202886</v>
      </c>
      <c r="AS76" s="41">
        <f>'6. Poistot'!AH76</f>
        <v>370.27642122183954</v>
      </c>
      <c r="AT76" s="41">
        <f>'6. Poistot'!AI76</f>
        <v>387.86382794424264</v>
      </c>
      <c r="AV76" s="4">
        <f t="shared" si="19"/>
        <v>0</v>
      </c>
      <c r="AW76" s="4">
        <f t="shared" si="11"/>
        <v>1</v>
      </c>
      <c r="AX76" s="4">
        <f t="shared" si="12"/>
        <v>1</v>
      </c>
      <c r="AY76" s="4">
        <f t="shared" si="13"/>
        <v>1</v>
      </c>
      <c r="AZ76" s="4">
        <f t="shared" si="14"/>
        <v>1</v>
      </c>
      <c r="BA76" s="4">
        <f t="shared" si="15"/>
        <v>1</v>
      </c>
      <c r="BB76" s="4">
        <f t="shared" si="16"/>
        <v>1</v>
      </c>
      <c r="BC76" s="4">
        <f t="shared" si="17"/>
        <v>1</v>
      </c>
      <c r="BE76" s="405">
        <f t="shared" si="20"/>
        <v>0</v>
      </c>
      <c r="BF76" s="405">
        <f t="shared" si="21"/>
        <v>0</v>
      </c>
      <c r="BG76" s="405">
        <f t="shared" si="22"/>
        <v>0</v>
      </c>
      <c r="BH76" s="405">
        <f t="shared" si="23"/>
        <v>0</v>
      </c>
      <c r="BI76" s="405">
        <f t="shared" si="24"/>
        <v>0</v>
      </c>
      <c r="BJ76" s="405">
        <f t="shared" si="25"/>
        <v>-1</v>
      </c>
      <c r="BK76" s="405">
        <f t="shared" si="26"/>
        <v>-1</v>
      </c>
      <c r="BL76" s="405">
        <f t="shared" si="27"/>
        <v>-1</v>
      </c>
      <c r="BM76" s="405">
        <f t="shared" si="28"/>
        <v>-1</v>
      </c>
      <c r="BN76" s="405">
        <f t="shared" si="28"/>
        <v>-1</v>
      </c>
    </row>
    <row r="77" spans="1:66" x14ac:dyDescent="0.2">
      <c r="A77" s="34">
        <v>205</v>
      </c>
      <c r="B77" s="88" t="s">
        <v>391</v>
      </c>
      <c r="C77" s="41" t="e">
        <f>'2. Toimintakate'!D77+'3. Verotulot'!G77+'4. Valtionosuudet'!#REF!+'5. Rahoitustuotot ja -kulut'!C77</f>
        <v>#REF!</v>
      </c>
      <c r="D77" s="41">
        <f>'2. Toimintakate'!E77+'4. Valtionosuudet'!H77+'3. Verotulot'!L77+'5. Rahoitustuotot ja -kulut'!D77</f>
        <v>15178</v>
      </c>
      <c r="E77" s="41">
        <f>'2. Toimintakate'!F77+'4. Valtionosuudet'!N77+'3. Verotulot'!Q77+'5. Rahoitustuotot ja -kulut'!E77</f>
        <v>12890</v>
      </c>
      <c r="F77" s="41">
        <f>'2. Toimintakate'!G77+'4. Valtionosuudet'!T77+'3. Verotulot'!V77+'5. Rahoitustuotot ja -kulut'!F77</f>
        <v>1562</v>
      </c>
      <c r="G77" s="41">
        <f>'2. Toimintakate'!H77+'3. Verotulot'!AA77+'4. Valtionosuudet'!Z77+'5. Rahoitustuotot ja -kulut'!G77</f>
        <v>40935</v>
      </c>
      <c r="H77" s="41">
        <f>Käyttökate!H77+'5. Rahoitustuotot ja -kulut'!H77</f>
        <v>6921.3887057481625</v>
      </c>
      <c r="I77" s="41">
        <f>Käyttökate!I77+'5. Rahoitustuotot ja -kulut'!I77</f>
        <v>26661.467518379537</v>
      </c>
      <c r="J77" s="41">
        <f>Käyttökate!J77+'5. Rahoitustuotot ja -kulut'!J77</f>
        <v>13138.748637991828</v>
      </c>
      <c r="K77" s="41">
        <f>Käyttökate!K77+'5. Rahoitustuotot ja -kulut'!K77</f>
        <v>20955.595477503586</v>
      </c>
      <c r="L77" s="41">
        <f>Käyttökate!L77+'5. Rahoitustuotot ja -kulut'!L77</f>
        <v>15011.699123386952</v>
      </c>
      <c r="M77" s="41">
        <f>Käyttökate!M77+'5. Rahoitustuotot ja -kulut'!M77</f>
        <v>6430.8201899575561</v>
      </c>
      <c r="N77" s="41">
        <f>Käyttökate!N77+'5. Rahoitustuotot ja -kulut'!N77</f>
        <v>4244.34242756821</v>
      </c>
      <c r="O77" s="41">
        <f>Käyttökate!O77+'5. Rahoitustuotot ja -kulut'!O77</f>
        <v>3232.8094396048236</v>
      </c>
      <c r="P77" s="41">
        <f>Käyttökate!P77+'5. Rahoitustuotot ja -kulut'!P77</f>
        <v>5582.2007349179312</v>
      </c>
      <c r="T77" s="34">
        <v>205</v>
      </c>
      <c r="U77" s="88" t="s">
        <v>391</v>
      </c>
      <c r="V77" s="41" t="e">
        <f>C77/'1. Väestöennuste'!E77*1000</f>
        <v>#REF!</v>
      </c>
      <c r="W77" s="41">
        <f>D77/'1. Väestöennuste'!F77*1000</f>
        <v>404.52013539084783</v>
      </c>
      <c r="X77" s="41">
        <f>E77/'1. Väestöennuste'!G77*1000</f>
        <v>346.14248502913614</v>
      </c>
      <c r="Y77" s="41">
        <f>F77/'1. Väestöennuste'!H77*1000</f>
        <v>42.247045141048872</v>
      </c>
      <c r="Z77" s="41">
        <f>G77/'1. Väestöennuste'!I77*1000</f>
        <v>1115.1216322972568</v>
      </c>
      <c r="AA77" s="41">
        <f>H77/'1. Väestöennuste'!J77*1000</f>
        <v>189.2796430045714</v>
      </c>
      <c r="AB77" s="41">
        <f>I77/'1. Väestöennuste'!K77*1000</f>
        <v>730.59127828294572</v>
      </c>
      <c r="AC77" s="41">
        <f>J77/'1. Väestöennuste'!L77*1000</f>
        <v>361.97891390450525</v>
      </c>
      <c r="AD77" s="41">
        <f>K77/'1. Väestöennuste'!M77*1000</f>
        <v>573.92149309844672</v>
      </c>
      <c r="AE77" s="41">
        <f>L77/'1. Väestöennuste'!N77*1000</f>
        <v>418.30465414737796</v>
      </c>
      <c r="AF77" s="41">
        <f>M77/'1. Väestöennuste'!O77*1000</f>
        <v>180.12492829414475</v>
      </c>
      <c r="AG77" s="41">
        <f>N77/'1. Väestöennuste'!P77*1000</f>
        <v>119.52527253078597</v>
      </c>
      <c r="AH77" s="41">
        <f>O77/'1. Väestöennuste'!Q77*1000</f>
        <v>91.526554729617615</v>
      </c>
      <c r="AI77" s="41">
        <f>P77/'1. Väestöennuste'!R77*1000</f>
        <v>158.92386433930054</v>
      </c>
      <c r="AK77" s="41">
        <f>'6. Poistot'!Z77</f>
        <v>485.46677926394074</v>
      </c>
      <c r="AL77" s="41">
        <f>'6. Poistot'!AA77</f>
        <v>427.95416632482841</v>
      </c>
      <c r="AM77" s="41">
        <f>'6. Poistot'!AB77</f>
        <v>481.77744909982738</v>
      </c>
      <c r="AN77" s="41">
        <f>'6. Poistot'!AC77</f>
        <v>445.80123674132847</v>
      </c>
      <c r="AO77" s="41">
        <f>'6. Poistot'!AD77</f>
        <v>501.19748144496481</v>
      </c>
      <c r="AP77" s="41">
        <f>'6. Poistot'!AE77</f>
        <v>463.59132833616621</v>
      </c>
      <c r="AQ77" s="41">
        <f>'6. Poistot'!AF77</f>
        <v>477.88986611394319</v>
      </c>
      <c r="AR77" s="41">
        <f>'6. Poistot'!AG77</f>
        <v>482.7548296254576</v>
      </c>
      <c r="AS77" s="41">
        <f>'6. Poistot'!AH77</f>
        <v>500.99809588110787</v>
      </c>
      <c r="AT77" s="41">
        <f>'6. Poistot'!AI77</f>
        <v>519.54116695325877</v>
      </c>
      <c r="AV77" s="4">
        <f t="shared" si="19"/>
        <v>0</v>
      </c>
      <c r="AW77" s="4">
        <f t="shared" si="11"/>
        <v>1</v>
      </c>
      <c r="AX77" s="4">
        <f t="shared" si="12"/>
        <v>0</v>
      </c>
      <c r="AY77" s="4">
        <f t="shared" si="13"/>
        <v>1</v>
      </c>
      <c r="AZ77" s="4">
        <f t="shared" si="14"/>
        <v>1</v>
      </c>
      <c r="BA77" s="4">
        <f t="shared" si="15"/>
        <v>1</v>
      </c>
      <c r="BB77" s="4">
        <f t="shared" si="16"/>
        <v>1</v>
      </c>
      <c r="BC77" s="4">
        <f t="shared" si="17"/>
        <v>1</v>
      </c>
      <c r="BE77" s="405">
        <f t="shared" si="20"/>
        <v>0</v>
      </c>
      <c r="BF77" s="405">
        <f t="shared" si="21"/>
        <v>0</v>
      </c>
      <c r="BG77" s="405">
        <f t="shared" si="22"/>
        <v>0</v>
      </c>
      <c r="BH77" s="405">
        <f t="shared" si="23"/>
        <v>0</v>
      </c>
      <c r="BI77" s="405">
        <f t="shared" si="24"/>
        <v>0</v>
      </c>
      <c r="BJ77" s="405">
        <f t="shared" si="25"/>
        <v>0</v>
      </c>
      <c r="BK77" s="405">
        <f t="shared" si="26"/>
        <v>0</v>
      </c>
      <c r="BL77" s="405">
        <f t="shared" si="27"/>
        <v>0</v>
      </c>
      <c r="BM77" s="405">
        <f t="shared" si="28"/>
        <v>0</v>
      </c>
      <c r="BN77" s="405">
        <f t="shared" si="28"/>
        <v>0</v>
      </c>
    </row>
    <row r="78" spans="1:66" x14ac:dyDescent="0.2">
      <c r="A78" s="34">
        <v>208</v>
      </c>
      <c r="B78" s="88" t="s">
        <v>392</v>
      </c>
      <c r="C78" s="41" t="e">
        <f>'2. Toimintakate'!D78+'3. Verotulot'!G78+'4. Valtionosuudet'!#REF!+'5. Rahoitustuotot ja -kulut'!C78</f>
        <v>#REF!</v>
      </c>
      <c r="D78" s="41">
        <f>'2. Toimintakate'!E78+'4. Valtionosuudet'!H78+'3. Verotulot'!L78+'5. Rahoitustuotot ja -kulut'!D78</f>
        <v>5865</v>
      </c>
      <c r="E78" s="41">
        <f>'2. Toimintakate'!F78+'4. Valtionosuudet'!N78+'3. Verotulot'!Q78+'5. Rahoitustuotot ja -kulut'!E78</f>
        <v>4778</v>
      </c>
      <c r="F78" s="41">
        <f>'2. Toimintakate'!G78+'4. Valtionosuudet'!T78+'3. Verotulot'!V78+'5. Rahoitustuotot ja -kulut'!F78</f>
        <v>6119</v>
      </c>
      <c r="G78" s="41">
        <f>'2. Toimintakate'!H78+'3. Verotulot'!AA78+'4. Valtionosuudet'!Z78+'5. Rahoitustuotot ja -kulut'!G78</f>
        <v>5827</v>
      </c>
      <c r="H78" s="41">
        <f>Käyttökate!H78+'5. Rahoitustuotot ja -kulut'!H78</f>
        <v>9157.8040246725795</v>
      </c>
      <c r="I78" s="41">
        <f>Käyttökate!I78+'5. Rahoitustuotot ja -kulut'!I78</f>
        <v>6478.0914632595332</v>
      </c>
      <c r="J78" s="41">
        <f>Käyttökate!J78+'5. Rahoitustuotot ja -kulut'!J78</f>
        <v>9416.1070009766663</v>
      </c>
      <c r="K78" s="41">
        <f>Käyttökate!K78+'5. Rahoitustuotot ja -kulut'!K78</f>
        <v>12987.781856929409</v>
      </c>
      <c r="L78" s="41">
        <f>Käyttökate!L78+'5. Rahoitustuotot ja -kulut'!L78</f>
        <v>7024.2815088182269</v>
      </c>
      <c r="M78" s="41">
        <f>Käyttökate!M78+'5. Rahoitustuotot ja -kulut'!M78</f>
        <v>6081.0510280349245</v>
      </c>
      <c r="N78" s="41">
        <f>Käyttökate!N78+'5. Rahoitustuotot ja -kulut'!N78</f>
        <v>5516.4283453976277</v>
      </c>
      <c r="O78" s="41">
        <f>Käyttökate!O78+'5. Rahoitustuotot ja -kulut'!O78</f>
        <v>5690.6630817859386</v>
      </c>
      <c r="P78" s="41">
        <f>Käyttökate!P78+'5. Rahoitustuotot ja -kulut'!P78</f>
        <v>7128.3341946939499</v>
      </c>
      <c r="T78" s="34">
        <v>208</v>
      </c>
      <c r="U78" s="88" t="s">
        <v>392</v>
      </c>
      <c r="V78" s="41" t="e">
        <f>C78/'1. Väestöennuste'!E78*1000</f>
        <v>#REF!</v>
      </c>
      <c r="W78" s="41">
        <f>D78/'1. Väestöennuste'!F78*1000</f>
        <v>465.99396154457332</v>
      </c>
      <c r="X78" s="41">
        <f>E78/'1. Väestöennuste'!G78*1000</f>
        <v>381.75135826142537</v>
      </c>
      <c r="Y78" s="41">
        <f>F78/'1. Väestöennuste'!H78*1000</f>
        <v>493.98563009606846</v>
      </c>
      <c r="Z78" s="41">
        <f>G78/'1. Väestöennuste'!I78*1000</f>
        <v>470.94479915946016</v>
      </c>
      <c r="AA78" s="41">
        <f>H78/'1. Väestöennuste'!J78*1000</f>
        <v>738.53258263488544</v>
      </c>
      <c r="AB78" s="41">
        <f>I78/'1. Väestöennuste'!K78*1000</f>
        <v>521.92164544469335</v>
      </c>
      <c r="AC78" s="41">
        <f>J78/'1. Väestöennuste'!L78*1000</f>
        <v>763.36497778489388</v>
      </c>
      <c r="AD78" s="41">
        <f>K78/'1. Väestöennuste'!M78*1000</f>
        <v>1049.7722160466708</v>
      </c>
      <c r="AE78" s="41">
        <f>L78/'1. Väestöennuste'!N78*1000</f>
        <v>575.00667230011686</v>
      </c>
      <c r="AF78" s="41">
        <f>M78/'1. Väestöennuste'!O78*1000</f>
        <v>500.1275621379163</v>
      </c>
      <c r="AG78" s="41">
        <f>N78/'1. Väestöennuste'!P78*1000</f>
        <v>455.90316904112626</v>
      </c>
      <c r="AH78" s="41">
        <f>O78/'1. Väestöennuste'!Q78*1000</f>
        <v>472.72496110532802</v>
      </c>
      <c r="AI78" s="41">
        <f>P78/'1. Väestöennuste'!R78*1000</f>
        <v>595.31770458442884</v>
      </c>
      <c r="AK78" s="41">
        <f>'6. Poistot'!Z78</f>
        <v>474.09682372908753</v>
      </c>
      <c r="AL78" s="41">
        <f>'6. Poistot'!AA78</f>
        <v>452.74193548387098</v>
      </c>
      <c r="AM78" s="41">
        <f>'6. Poistot'!AB78</f>
        <v>438.43321543667423</v>
      </c>
      <c r="AN78" s="41">
        <f>'6. Poistot'!AC78</f>
        <v>433.01050749898661</v>
      </c>
      <c r="AO78" s="41">
        <f>'6. Poistot'!AD78</f>
        <v>568.76743129647605</v>
      </c>
      <c r="AP78" s="41">
        <f>'6. Poistot'!AE78</f>
        <v>399.48428290766213</v>
      </c>
      <c r="AQ78" s="41">
        <f>'6. Poistot'!AF78</f>
        <v>405.6748087836171</v>
      </c>
      <c r="AR78" s="41">
        <f>'6. Poistot'!AG78</f>
        <v>458.25619834710739</v>
      </c>
      <c r="AS78" s="41">
        <f>'6. Poistot'!AH78</f>
        <v>475.47878650490094</v>
      </c>
      <c r="AT78" s="41">
        <f>'6. Poistot'!AI78</f>
        <v>492.96202304092157</v>
      </c>
      <c r="AV78" s="4">
        <f t="shared" si="19"/>
        <v>0</v>
      </c>
      <c r="AW78" s="4">
        <f t="shared" si="11"/>
        <v>0</v>
      </c>
      <c r="AX78" s="4">
        <f t="shared" si="12"/>
        <v>0</v>
      </c>
      <c r="AY78" s="4">
        <f t="shared" si="13"/>
        <v>0</v>
      </c>
      <c r="AZ78" s="4">
        <f t="shared" si="14"/>
        <v>0</v>
      </c>
      <c r="BA78" s="4">
        <f t="shared" si="15"/>
        <v>1</v>
      </c>
      <c r="BB78" s="4">
        <f t="shared" si="16"/>
        <v>1</v>
      </c>
      <c r="BC78" s="4">
        <f t="shared" si="17"/>
        <v>0</v>
      </c>
      <c r="BE78" s="405">
        <f t="shared" si="20"/>
        <v>0</v>
      </c>
      <c r="BF78" s="405">
        <f t="shared" si="21"/>
        <v>0</v>
      </c>
      <c r="BG78" s="405">
        <f t="shared" si="22"/>
        <v>0</v>
      </c>
      <c r="BH78" s="405">
        <f t="shared" si="23"/>
        <v>0</v>
      </c>
      <c r="BI78" s="405">
        <f t="shared" si="24"/>
        <v>0</v>
      </c>
      <c r="BJ78" s="405">
        <f t="shared" si="25"/>
        <v>0</v>
      </c>
      <c r="BK78" s="405">
        <f t="shared" si="26"/>
        <v>0</v>
      </c>
      <c r="BL78" s="405">
        <f t="shared" si="27"/>
        <v>0</v>
      </c>
      <c r="BM78" s="405">
        <f t="shared" si="28"/>
        <v>0</v>
      </c>
      <c r="BN78" s="405">
        <f t="shared" si="28"/>
        <v>0</v>
      </c>
    </row>
    <row r="79" spans="1:66" x14ac:dyDescent="0.2">
      <c r="A79" s="34">
        <v>211</v>
      </c>
      <c r="B79" s="88" t="s">
        <v>393</v>
      </c>
      <c r="C79" s="41" t="e">
        <f>'2. Toimintakate'!D79+'3. Verotulot'!G79+'4. Valtionosuudet'!#REF!+'5. Rahoitustuotot ja -kulut'!C79</f>
        <v>#REF!</v>
      </c>
      <c r="D79" s="41">
        <f>'2. Toimintakate'!E79+'4. Valtionosuudet'!H79+'3. Verotulot'!L79+'5. Rahoitustuotot ja -kulut'!D79</f>
        <v>21642</v>
      </c>
      <c r="E79" s="41">
        <f>'2. Toimintakate'!F79+'4. Valtionosuudet'!N79+'3. Verotulot'!Q79+'5. Rahoitustuotot ja -kulut'!E79</f>
        <v>25130</v>
      </c>
      <c r="F79" s="41">
        <f>'2. Toimintakate'!G79+'4. Valtionosuudet'!T79+'3. Verotulot'!V79+'5. Rahoitustuotot ja -kulut'!F79</f>
        <v>8005</v>
      </c>
      <c r="G79" s="41">
        <f>'2. Toimintakate'!H79+'3. Verotulot'!AA79+'4. Valtionosuudet'!Z79+'5. Rahoitustuotot ja -kulut'!G79</f>
        <v>13755</v>
      </c>
      <c r="H79" s="41">
        <f>Käyttökate!H79+'5. Rahoitustuotot ja -kulut'!H79</f>
        <v>31427.404546604746</v>
      </c>
      <c r="I79" s="41">
        <f>Käyttökate!I79+'5. Rahoitustuotot ja -kulut'!I79</f>
        <v>17934.115268737016</v>
      </c>
      <c r="J79" s="41">
        <f>Käyttökate!J79+'5. Rahoitustuotot ja -kulut'!J79</f>
        <v>14529.343592812696</v>
      </c>
      <c r="K79" s="41">
        <f>Käyttökate!K79+'5. Rahoitustuotot ja -kulut'!K79</f>
        <v>19951.611730804601</v>
      </c>
      <c r="L79" s="41">
        <f>Käyttökate!L79+'5. Rahoitustuotot ja -kulut'!L79</f>
        <v>7774.3903328200831</v>
      </c>
      <c r="M79" s="41">
        <f>Käyttökate!M79+'5. Rahoitustuotot ja -kulut'!M79</f>
        <v>11145.037971641952</v>
      </c>
      <c r="N79" s="41">
        <f>Käyttökate!N79+'5. Rahoitustuotot ja -kulut'!N79</f>
        <v>13527.895715721788</v>
      </c>
      <c r="O79" s="41">
        <f>Käyttökate!O79+'5. Rahoitustuotot ja -kulut'!O79</f>
        <v>13804.143659733494</v>
      </c>
      <c r="P79" s="41">
        <f>Käyttökate!P79+'5. Rahoitustuotot ja -kulut'!P79</f>
        <v>14974.151788258314</v>
      </c>
      <c r="T79" s="34">
        <v>211</v>
      </c>
      <c r="U79" s="88" t="s">
        <v>393</v>
      </c>
      <c r="V79" s="41" t="e">
        <f>C79/'1. Väestöennuste'!E79*1000</f>
        <v>#REF!</v>
      </c>
      <c r="W79" s="41">
        <f>D79/'1. Väestöennuste'!F79*1000</f>
        <v>693.8762423853799</v>
      </c>
      <c r="X79" s="41">
        <f>E79/'1. Väestöennuste'!G79*1000</f>
        <v>799.37653083945668</v>
      </c>
      <c r="Y79" s="41">
        <f>F79/'1. Väestöennuste'!H79*1000</f>
        <v>252.71498926632151</v>
      </c>
      <c r="Z79" s="41">
        <f>G79/'1. Väestöennuste'!I79*1000</f>
        <v>431.62419982427514</v>
      </c>
      <c r="AA79" s="41">
        <f>H79/'1. Väestöennuste'!J79*1000</f>
        <v>975.58218621111143</v>
      </c>
      <c r="AB79" s="41">
        <f>I79/'1. Väestöennuste'!K79*1000</f>
        <v>549.75523477214813</v>
      </c>
      <c r="AC79" s="41">
        <f>J79/'1. Väestöennuste'!L79*1000</f>
        <v>440.83083809620121</v>
      </c>
      <c r="AD79" s="41">
        <f>K79/'1. Väestöennuste'!M79*1000</f>
        <v>596.05089865875777</v>
      </c>
      <c r="AE79" s="41">
        <f>L79/'1. Väestöennuste'!N79*1000</f>
        <v>233.97810012399805</v>
      </c>
      <c r="AF79" s="41">
        <f>M79/'1. Väestöennuste'!O79*1000</f>
        <v>333.12523827241608</v>
      </c>
      <c r="AG79" s="41">
        <f>N79/'1. Väestöennuste'!P79*1000</f>
        <v>401.75504026258579</v>
      </c>
      <c r="AH79" s="41">
        <f>O79/'1. Väestöennuste'!Q79*1000</f>
        <v>407.46631028199698</v>
      </c>
      <c r="AI79" s="41">
        <f>P79/'1. Väestöennuste'!R79*1000</f>
        <v>439.44686099070617</v>
      </c>
      <c r="AK79" s="41">
        <f>'6. Poistot'!Z79</f>
        <v>418.44483494414459</v>
      </c>
      <c r="AL79" s="41">
        <f>'6. Poistot'!AA79</f>
        <v>394.54895387098776</v>
      </c>
      <c r="AM79" s="41">
        <f>'6. Poistot'!AB79</f>
        <v>438.75978235546557</v>
      </c>
      <c r="AN79" s="41">
        <f>'6. Poistot'!AC79</f>
        <v>444.93061318607965</v>
      </c>
      <c r="AO79" s="41">
        <f>'6. Poistot'!AD79</f>
        <v>503.67078869536641</v>
      </c>
      <c r="AP79" s="41">
        <f>'6. Poistot'!AE79</f>
        <v>586.37334095765493</v>
      </c>
      <c r="AQ79" s="41">
        <f>'6. Poistot'!AF79</f>
        <v>617.98203610712574</v>
      </c>
      <c r="AR79" s="41">
        <f>'6. Poistot'!AG79</f>
        <v>694.27663934426232</v>
      </c>
      <c r="AS79" s="41">
        <f>'6. Poistot'!AH79</f>
        <v>712.32054082055959</v>
      </c>
      <c r="AT79" s="41">
        <f>'6. Poistot'!AI79</f>
        <v>730.33918015664983</v>
      </c>
      <c r="AV79" s="4">
        <f t="shared" ref="AV79:AV142" si="29">IF(AM79&gt;AB79,1,0)</f>
        <v>0</v>
      </c>
      <c r="AW79" s="4">
        <f t="shared" ref="AW79:AW142" si="30">IF(AN79&gt;AC79,1,0)</f>
        <v>1</v>
      </c>
      <c r="AX79" s="4">
        <f t="shared" ref="AX79:AX142" si="31">IF(AO79&gt;AD79,1,0)</f>
        <v>0</v>
      </c>
      <c r="AY79" s="4">
        <f t="shared" ref="AY79:AY142" si="32">IF(AP79&gt;AE79,1,0)</f>
        <v>1</v>
      </c>
      <c r="AZ79" s="4">
        <f t="shared" ref="AZ79:AZ142" si="33">IF(AQ79&gt;AF79,1,0)</f>
        <v>1</v>
      </c>
      <c r="BA79" s="4">
        <f t="shared" ref="BA79:BA142" si="34">IF(AR79&gt;AG79,1,0)</f>
        <v>1</v>
      </c>
      <c r="BB79" s="4">
        <f t="shared" ref="BB79:BB142" si="35">IF(AS79&gt;AH79,1,0)</f>
        <v>1</v>
      </c>
      <c r="BC79" s="4">
        <f t="shared" ref="BC79:BC142" si="36">IF(AT79&gt;AI79,1,0)</f>
        <v>1</v>
      </c>
      <c r="BE79" s="405">
        <f t="shared" si="20"/>
        <v>0</v>
      </c>
      <c r="BF79" s="405">
        <f t="shared" si="21"/>
        <v>0</v>
      </c>
      <c r="BG79" s="405">
        <f t="shared" si="22"/>
        <v>0</v>
      </c>
      <c r="BH79" s="405">
        <f t="shared" si="23"/>
        <v>0</v>
      </c>
      <c r="BI79" s="405">
        <f t="shared" si="24"/>
        <v>0</v>
      </c>
      <c r="BJ79" s="405">
        <f t="shared" si="25"/>
        <v>0</v>
      </c>
      <c r="BK79" s="405">
        <f t="shared" si="26"/>
        <v>0</v>
      </c>
      <c r="BL79" s="405">
        <f t="shared" si="27"/>
        <v>0</v>
      </c>
      <c r="BM79" s="405">
        <f t="shared" si="28"/>
        <v>0</v>
      </c>
      <c r="BN79" s="405">
        <f t="shared" si="28"/>
        <v>0</v>
      </c>
    </row>
    <row r="80" spans="1:66" x14ac:dyDescent="0.2">
      <c r="A80" s="34">
        <v>213</v>
      </c>
      <c r="B80" s="88" t="s">
        <v>394</v>
      </c>
      <c r="C80" s="41" t="e">
        <f>'2. Toimintakate'!D80+'3. Verotulot'!G80+'4. Valtionosuudet'!#REF!+'5. Rahoitustuotot ja -kulut'!C80</f>
        <v>#REF!</v>
      </c>
      <c r="D80" s="41">
        <f>'2. Toimintakate'!E80+'4. Valtionosuudet'!H80+'3. Verotulot'!L80+'5. Rahoitustuotot ja -kulut'!D80</f>
        <v>2141</v>
      </c>
      <c r="E80" s="41">
        <f>'2. Toimintakate'!F80+'4. Valtionosuudet'!N80+'3. Verotulot'!Q80+'5. Rahoitustuotot ja -kulut'!E80</f>
        <v>2960</v>
      </c>
      <c r="F80" s="41">
        <f>'2. Toimintakate'!G80+'4. Valtionosuudet'!T80+'3. Verotulot'!V80+'5. Rahoitustuotot ja -kulut'!F80</f>
        <v>887</v>
      </c>
      <c r="G80" s="41">
        <f>'2. Toimintakate'!H80+'3. Verotulot'!AA80+'4. Valtionosuudet'!Z80+'5. Rahoitustuotot ja -kulut'!G80</f>
        <v>843</v>
      </c>
      <c r="H80" s="41">
        <f>Käyttökate!H80+'5. Rahoitustuotot ja -kulut'!H80</f>
        <v>4020.2527294825377</v>
      </c>
      <c r="I80" s="41">
        <f>Käyttökate!I80+'5. Rahoitustuotot ja -kulut'!I80</f>
        <v>2401.1897136226316</v>
      </c>
      <c r="J80" s="41">
        <f>Käyttökate!J80+'5. Rahoitustuotot ja -kulut'!J80</f>
        <v>1446.4951086185679</v>
      </c>
      <c r="K80" s="41">
        <f>Käyttökate!K80+'5. Rahoitustuotot ja -kulut'!K80</f>
        <v>1709.6554853090968</v>
      </c>
      <c r="L80" s="41">
        <f>Käyttökate!L80+'5. Rahoitustuotot ja -kulut'!L80</f>
        <v>1507.6265421132493</v>
      </c>
      <c r="M80" s="41">
        <f>Käyttökate!M80+'5. Rahoitustuotot ja -kulut'!M80</f>
        <v>765.97268128024598</v>
      </c>
      <c r="N80" s="41">
        <f>Käyttökate!N80+'5. Rahoitustuotot ja -kulut'!N80</f>
        <v>912.01238149042001</v>
      </c>
      <c r="O80" s="41">
        <f>Käyttökate!O80+'5. Rahoitustuotot ja -kulut'!O80</f>
        <v>1047.8935073208361</v>
      </c>
      <c r="P80" s="41">
        <f>Käyttökate!P80+'5. Rahoitustuotot ja -kulut'!P80</f>
        <v>1892.4738045920474</v>
      </c>
      <c r="T80" s="34">
        <v>213</v>
      </c>
      <c r="U80" s="88" t="s">
        <v>394</v>
      </c>
      <c r="V80" s="41" t="e">
        <f>C80/'1. Väestöennuste'!E80*1000</f>
        <v>#REF!</v>
      </c>
      <c r="W80" s="41">
        <f>D80/'1. Väestöennuste'!F80*1000</f>
        <v>382.11672318400861</v>
      </c>
      <c r="X80" s="41">
        <f>E80/'1. Väestöennuste'!G80*1000</f>
        <v>533.42944674716159</v>
      </c>
      <c r="Y80" s="41">
        <f>F80/'1. Väestöennuste'!H80*1000</f>
        <v>162.69258987527513</v>
      </c>
      <c r="Z80" s="41">
        <f>G80/'1. Väestöennuste'!I80*1000</f>
        <v>157.39357729648992</v>
      </c>
      <c r="AA80" s="41">
        <f>H80/'1. Väestöennuste'!J80*1000</f>
        <v>756.82468552005605</v>
      </c>
      <c r="AB80" s="41">
        <f>I80/'1. Väestöennuste'!K80*1000</f>
        <v>459.11849208845729</v>
      </c>
      <c r="AC80" s="41">
        <f>J80/'1. Väestöennuste'!L80*1000</f>
        <v>280.65485227368407</v>
      </c>
      <c r="AD80" s="41">
        <f>K80/'1. Väestöennuste'!M80*1000</f>
        <v>334.30885516407835</v>
      </c>
      <c r="AE80" s="41">
        <f>L80/'1. Väestöennuste'!N80*1000</f>
        <v>297.53829526608433</v>
      </c>
      <c r="AF80" s="41">
        <f>M80/'1. Väestöennuste'!O80*1000</f>
        <v>152.85824811020674</v>
      </c>
      <c r="AG80" s="41">
        <f>N80/'1. Väestöennuste'!P80*1000</f>
        <v>183.98474510599556</v>
      </c>
      <c r="AH80" s="41">
        <f>O80/'1. Väestöennuste'!Q80*1000</f>
        <v>213.68138403769089</v>
      </c>
      <c r="AI80" s="41">
        <f>P80/'1. Väestöennuste'!R80*1000</f>
        <v>389.95957234536314</v>
      </c>
      <c r="AK80" s="41">
        <f>'6. Poistot'!Z80</f>
        <v>312.17326362957431</v>
      </c>
      <c r="AL80" s="41">
        <f>'6. Poistot'!AA80</f>
        <v>305.53463855421688</v>
      </c>
      <c r="AM80" s="41">
        <f>'6. Poistot'!AB80</f>
        <v>299.36549904397708</v>
      </c>
      <c r="AN80" s="41">
        <f>'6. Poistot'!AC80</f>
        <v>292.32561311602632</v>
      </c>
      <c r="AO80" s="41">
        <f>'6. Poistot'!AD80</f>
        <v>327.03604419241299</v>
      </c>
      <c r="AP80" s="41">
        <f>'6. Poistot'!AE80</f>
        <v>285.50542727452137</v>
      </c>
      <c r="AQ80" s="41">
        <f>'6. Poistot'!AF80</f>
        <v>288.69606864897224</v>
      </c>
      <c r="AR80" s="41">
        <f>'6. Poistot'!AG80</f>
        <v>291.84103288279198</v>
      </c>
      <c r="AS80" s="41">
        <f>'6. Poistot'!AH80</f>
        <v>304.51351860007878</v>
      </c>
      <c r="AT80" s="41">
        <f>'6. Poistot'!AI80</f>
        <v>317.33208127541167</v>
      </c>
      <c r="AV80" s="4">
        <f t="shared" si="29"/>
        <v>0</v>
      </c>
      <c r="AW80" s="4">
        <f t="shared" si="30"/>
        <v>1</v>
      </c>
      <c r="AX80" s="4">
        <f t="shared" si="31"/>
        <v>0</v>
      </c>
      <c r="AY80" s="4">
        <f t="shared" si="32"/>
        <v>0</v>
      </c>
      <c r="AZ80" s="4">
        <f t="shared" si="33"/>
        <v>1</v>
      </c>
      <c r="BA80" s="4">
        <f t="shared" si="34"/>
        <v>1</v>
      </c>
      <c r="BB80" s="4">
        <f t="shared" si="35"/>
        <v>1</v>
      </c>
      <c r="BC80" s="4">
        <f t="shared" si="36"/>
        <v>0</v>
      </c>
      <c r="BE80" s="405">
        <f t="shared" ref="BE80:BE143" si="37">IF(G80&lt;0,-1,0)</f>
        <v>0</v>
      </c>
      <c r="BF80" s="405">
        <f t="shared" ref="BF80:BF143" si="38">IF(H80&lt;0,-1,0)</f>
        <v>0</v>
      </c>
      <c r="BG80" s="405">
        <f t="shared" ref="BG80:BG143" si="39">IF(I80&lt;0,-1,0)</f>
        <v>0</v>
      </c>
      <c r="BH80" s="405">
        <f t="shared" ref="BH80:BH143" si="40">IF(J80&lt;0,-1,0)</f>
        <v>0</v>
      </c>
      <c r="BI80" s="405">
        <f t="shared" ref="BI80:BI143" si="41">IF(K80&lt;0,-1,0)</f>
        <v>0</v>
      </c>
      <c r="BJ80" s="405">
        <f t="shared" ref="BJ80:BJ143" si="42">IF(L80&lt;0,-1,0)</f>
        <v>0</v>
      </c>
      <c r="BK80" s="405">
        <f t="shared" ref="BK80:BK143" si="43">IF(M80&lt;0,-1,0)</f>
        <v>0</v>
      </c>
      <c r="BL80" s="405">
        <f t="shared" ref="BL80:BL143" si="44">IF(N80&lt;0,-1,0)</f>
        <v>0</v>
      </c>
      <c r="BM80" s="405">
        <f t="shared" ref="BM80:BN143" si="45">IF(O80&lt;0,-1,0)</f>
        <v>0</v>
      </c>
      <c r="BN80" s="405">
        <f t="shared" si="45"/>
        <v>0</v>
      </c>
    </row>
    <row r="81" spans="1:66" x14ac:dyDescent="0.2">
      <c r="A81" s="34">
        <v>214</v>
      </c>
      <c r="B81" s="88" t="s">
        <v>395</v>
      </c>
      <c r="C81" s="41" t="e">
        <f>'2. Toimintakate'!D81+'3. Verotulot'!G81+'4. Valtionosuudet'!#REF!+'5. Rahoitustuotot ja -kulut'!C81</f>
        <v>#REF!</v>
      </c>
      <c r="D81" s="41">
        <f>'2. Toimintakate'!E81+'4. Valtionosuudet'!H81+'3. Verotulot'!L81+'5. Rahoitustuotot ja -kulut'!D81</f>
        <v>4755</v>
      </c>
      <c r="E81" s="41">
        <f>'2. Toimintakate'!F81+'4. Valtionosuudet'!N81+'3. Verotulot'!Q81+'5. Rahoitustuotot ja -kulut'!E81</f>
        <v>4249</v>
      </c>
      <c r="F81" s="41">
        <f>'2. Toimintakate'!G81+'4. Valtionosuudet'!T81+'3. Verotulot'!V81+'5. Rahoitustuotot ja -kulut'!F81</f>
        <v>574</v>
      </c>
      <c r="G81" s="41">
        <f>'2. Toimintakate'!H81+'3. Verotulot'!AA81+'4. Valtionosuudet'!Z81+'5. Rahoitustuotot ja -kulut'!G81</f>
        <v>869</v>
      </c>
      <c r="H81" s="41">
        <f>Käyttökate!H81+'5. Rahoitustuotot ja -kulut'!H81</f>
        <v>8036.8232592137356</v>
      </c>
      <c r="I81" s="41">
        <f>Käyttökate!I81+'5. Rahoitustuotot ja -kulut'!I81</f>
        <v>9738.8629282354395</v>
      </c>
      <c r="J81" s="41">
        <f>Käyttökate!J81+'5. Rahoitustuotot ja -kulut'!J81</f>
        <v>5506.7801928161625</v>
      </c>
      <c r="K81" s="41">
        <f>Käyttökate!K81+'5. Rahoitustuotot ja -kulut'!K81</f>
        <v>9206.0909840480945</v>
      </c>
      <c r="L81" s="41">
        <f>Käyttökate!L81+'5. Rahoitustuotot ja -kulut'!L81</f>
        <v>4713.8521082843745</v>
      </c>
      <c r="M81" s="41">
        <f>Käyttökate!M81+'5. Rahoitustuotot ja -kulut'!M81</f>
        <v>3938.4773326621871</v>
      </c>
      <c r="N81" s="41">
        <f>Käyttökate!N81+'5. Rahoitustuotot ja -kulut'!N81</f>
        <v>4436.9548792099449</v>
      </c>
      <c r="O81" s="41">
        <f>Käyttökate!O81+'5. Rahoitustuotot ja -kulut'!O81</f>
        <v>4751.8494864387985</v>
      </c>
      <c r="P81" s="41">
        <f>Käyttökate!P81+'5. Rahoitustuotot ja -kulut'!P81</f>
        <v>6593.5713735421505</v>
      </c>
      <c r="T81" s="34">
        <v>214</v>
      </c>
      <c r="U81" s="88" t="s">
        <v>395</v>
      </c>
      <c r="V81" s="41" t="e">
        <f>C81/'1. Väestöennuste'!E81*1000</f>
        <v>#REF!</v>
      </c>
      <c r="W81" s="41">
        <f>D81/'1. Väestöennuste'!F81*1000</f>
        <v>354.95670349358016</v>
      </c>
      <c r="X81" s="41">
        <f>E81/'1. Väestöennuste'!G81*1000</f>
        <v>319.66596448991874</v>
      </c>
      <c r="Y81" s="41">
        <f>F81/'1. Väestöennuste'!H81*1000</f>
        <v>43.693385095531703</v>
      </c>
      <c r="Z81" s="41">
        <f>G81/'1. Väestöennuste'!I81*1000</f>
        <v>67.333023399969008</v>
      </c>
      <c r="AA81" s="41">
        <f>H81/'1. Väestöennuste'!J81*1000</f>
        <v>629.94382028638779</v>
      </c>
      <c r="AB81" s="41">
        <f>I81/'1. Väestöennuste'!K81*1000</f>
        <v>769.1409673223377</v>
      </c>
      <c r="AC81" s="41">
        <f>J81/'1. Väestöennuste'!L81*1000</f>
        <v>439.55780593998742</v>
      </c>
      <c r="AD81" s="41">
        <f>K81/'1. Väestöennuste'!M81*1000</f>
        <v>742.78610489334312</v>
      </c>
      <c r="AE81" s="41">
        <f>L81/'1. Väestöennuste'!N81*1000</f>
        <v>388.38692496369572</v>
      </c>
      <c r="AF81" s="41">
        <f>M81/'1. Väestöennuste'!O81*1000</f>
        <v>328.26115458094574</v>
      </c>
      <c r="AG81" s="41">
        <f>N81/'1. Väestöennuste'!P81*1000</f>
        <v>373.92169890527094</v>
      </c>
      <c r="AH81" s="41">
        <f>O81/'1. Väestöennuste'!Q81*1000</f>
        <v>404.7227226334042</v>
      </c>
      <c r="AI81" s="41">
        <f>P81/'1. Väestöennuste'!R81*1000</f>
        <v>567.48182920579654</v>
      </c>
      <c r="AK81" s="41">
        <f>'6. Poistot'!Z81</f>
        <v>305.98171393150477</v>
      </c>
      <c r="AL81" s="41">
        <f>'6. Poistot'!AA81</f>
        <v>314.46935256309769</v>
      </c>
      <c r="AM81" s="41">
        <f>'6. Poistot'!AB81</f>
        <v>419.37084741746958</v>
      </c>
      <c r="AN81" s="41">
        <f>'6. Poistot'!AC81</f>
        <v>306.89442049808429</v>
      </c>
      <c r="AO81" s="41">
        <f>'6. Poistot'!AD81</f>
        <v>361.92253509762787</v>
      </c>
      <c r="AP81" s="41">
        <f>'6. Poistot'!AE81</f>
        <v>385.59775891900802</v>
      </c>
      <c r="AQ81" s="41">
        <f>'6. Poistot'!AF81</f>
        <v>390.06501000166696</v>
      </c>
      <c r="AR81" s="41">
        <f>'6. Poistot'!AG81</f>
        <v>394.40419265127264</v>
      </c>
      <c r="AS81" s="41">
        <f>'6. Poistot'!AH81</f>
        <v>411.46466474817578</v>
      </c>
      <c r="AT81" s="41">
        <f>'6. Poistot'!AI81</f>
        <v>428.78157394067159</v>
      </c>
      <c r="AV81" s="4">
        <f t="shared" si="29"/>
        <v>0</v>
      </c>
      <c r="AW81" s="4">
        <f t="shared" si="30"/>
        <v>0</v>
      </c>
      <c r="AX81" s="4">
        <f t="shared" si="31"/>
        <v>0</v>
      </c>
      <c r="AY81" s="4">
        <f t="shared" si="32"/>
        <v>0</v>
      </c>
      <c r="AZ81" s="4">
        <f t="shared" si="33"/>
        <v>1</v>
      </c>
      <c r="BA81" s="4">
        <f t="shared" si="34"/>
        <v>1</v>
      </c>
      <c r="BB81" s="4">
        <f t="shared" si="35"/>
        <v>1</v>
      </c>
      <c r="BC81" s="4">
        <f t="shared" si="36"/>
        <v>0</v>
      </c>
      <c r="BE81" s="405">
        <f t="shared" si="37"/>
        <v>0</v>
      </c>
      <c r="BF81" s="405">
        <f t="shared" si="38"/>
        <v>0</v>
      </c>
      <c r="BG81" s="405">
        <f t="shared" si="39"/>
        <v>0</v>
      </c>
      <c r="BH81" s="405">
        <f t="shared" si="40"/>
        <v>0</v>
      </c>
      <c r="BI81" s="405">
        <f t="shared" si="41"/>
        <v>0</v>
      </c>
      <c r="BJ81" s="405">
        <f t="shared" si="42"/>
        <v>0</v>
      </c>
      <c r="BK81" s="405">
        <f t="shared" si="43"/>
        <v>0</v>
      </c>
      <c r="BL81" s="405">
        <f t="shared" si="44"/>
        <v>0</v>
      </c>
      <c r="BM81" s="405">
        <f t="shared" si="45"/>
        <v>0</v>
      </c>
      <c r="BN81" s="405">
        <f t="shared" si="45"/>
        <v>0</v>
      </c>
    </row>
    <row r="82" spans="1:66" x14ac:dyDescent="0.2">
      <c r="A82" s="34">
        <v>216</v>
      </c>
      <c r="B82" s="88" t="s">
        <v>396</v>
      </c>
      <c r="C82" s="41" t="e">
        <f>'2. Toimintakate'!D82+'3. Verotulot'!G82+'4. Valtionosuudet'!#REF!+'5. Rahoitustuotot ja -kulut'!C82</f>
        <v>#REF!</v>
      </c>
      <c r="D82" s="41">
        <f>'2. Toimintakate'!E82+'4. Valtionosuudet'!H82+'3. Verotulot'!L82+'5. Rahoitustuotot ja -kulut'!D82</f>
        <v>1949</v>
      </c>
      <c r="E82" s="41">
        <f>'2. Toimintakate'!F82+'4. Valtionosuudet'!N82+'3. Verotulot'!Q82+'5. Rahoitustuotot ja -kulut'!E82</f>
        <v>1402</v>
      </c>
      <c r="F82" s="41">
        <f>'2. Toimintakate'!G82+'4. Valtionosuudet'!T82+'3. Verotulot'!V82+'5. Rahoitustuotot ja -kulut'!F82</f>
        <v>1057</v>
      </c>
      <c r="G82" s="41">
        <f>'2. Toimintakate'!H82+'3. Verotulot'!AA82+'4. Valtionosuudet'!Z82+'5. Rahoitustuotot ja -kulut'!G82</f>
        <v>-1825</v>
      </c>
      <c r="H82" s="41">
        <f>Käyttökate!H82+'5. Rahoitustuotot ja -kulut'!H82</f>
        <v>567.2612447382935</v>
      </c>
      <c r="I82" s="41">
        <f>Käyttökate!I82+'5. Rahoitustuotot ja -kulut'!I82</f>
        <v>806.77107587746661</v>
      </c>
      <c r="J82" s="41">
        <f>Käyttökate!J82+'5. Rahoitustuotot ja -kulut'!J82</f>
        <v>-71.257675513919125</v>
      </c>
      <c r="K82" s="41">
        <f>Käyttökate!K82+'5. Rahoitustuotot ja -kulut'!K82</f>
        <v>175.7434924248997</v>
      </c>
      <c r="L82" s="41">
        <f>Käyttökate!L82+'5. Rahoitustuotot ja -kulut'!L82</f>
        <v>743.56685420068936</v>
      </c>
      <c r="M82" s="41">
        <f>Käyttökate!M82+'5. Rahoitustuotot ja -kulut'!M82</f>
        <v>10.264433672824453</v>
      </c>
      <c r="N82" s="41">
        <f>Käyttökate!N82+'5. Rahoitustuotot ja -kulut'!N82</f>
        <v>-114.41908301455123</v>
      </c>
      <c r="O82" s="41">
        <f>Käyttökate!O82+'5. Rahoitustuotot ja -kulut'!O82</f>
        <v>-147.73548256453671</v>
      </c>
      <c r="P82" s="41">
        <f>Käyttökate!P82+'5. Rahoitustuotot ja -kulut'!P82</f>
        <v>-60.146768971592195</v>
      </c>
      <c r="T82" s="34">
        <v>216</v>
      </c>
      <c r="U82" s="88" t="s">
        <v>396</v>
      </c>
      <c r="V82" s="41" t="e">
        <f>C82/'1. Väestöennuste'!E82*1000</f>
        <v>#REF!</v>
      </c>
      <c r="W82" s="41">
        <f>D82/'1. Väestöennuste'!F82*1000</f>
        <v>1368.6797752808989</v>
      </c>
      <c r="X82" s="41">
        <f>E82/'1. Väestöennuste'!G82*1000</f>
        <v>995.73863636363637</v>
      </c>
      <c r="Y82" s="41">
        <f>F82/'1. Väestöennuste'!H82*1000</f>
        <v>781.22690317812271</v>
      </c>
      <c r="Z82" s="41">
        <f>G82/'1. Väestöennuste'!I82*1000</f>
        <v>-1362.9574309185959</v>
      </c>
      <c r="AA82" s="41">
        <f>H82/'1. Väestöennuste'!J82*1000</f>
        <v>428.76889247036547</v>
      </c>
      <c r="AB82" s="41">
        <f>I82/'1. Väestöennuste'!K82*1000</f>
        <v>615.38602278982955</v>
      </c>
      <c r="AC82" s="41">
        <f>J82/'1. Väestöennuste'!L82*1000</f>
        <v>-56.152620578344461</v>
      </c>
      <c r="AD82" s="41">
        <f>K82/'1. Väestöennuste'!M82*1000</f>
        <v>144.4071425019718</v>
      </c>
      <c r="AE82" s="41">
        <f>L82/'1. Väestöennuste'!N82*1000</f>
        <v>598.68506779443589</v>
      </c>
      <c r="AF82" s="41">
        <f>M82/'1. Väestöennuste'!O82*1000</f>
        <v>8.3859752228957944</v>
      </c>
      <c r="AG82" s="41">
        <f>N82/'1. Väestöennuste'!P82*1000</f>
        <v>-94.561225631860523</v>
      </c>
      <c r="AH82" s="41">
        <f>O82/'1. Väestöennuste'!Q82*1000</f>
        <v>-123.73155993679791</v>
      </c>
      <c r="AI82" s="41">
        <f>P82/'1. Väestöennuste'!R82*1000</f>
        <v>-51.015071222724508</v>
      </c>
      <c r="AK82" s="41">
        <f>'6. Poistot'!Z82</f>
        <v>854.36893203883494</v>
      </c>
      <c r="AL82" s="41">
        <f>'6. Poistot'!AA82</f>
        <v>814.81481481481478</v>
      </c>
      <c r="AM82" s="41">
        <f>'6. Poistot'!AB82</f>
        <v>505.57618611746756</v>
      </c>
      <c r="AN82" s="41">
        <f>'6. Poistot'!AC82</f>
        <v>892.69458628841608</v>
      </c>
      <c r="AO82" s="41">
        <f>'6. Poistot'!AD82</f>
        <v>1195.758619556286</v>
      </c>
      <c r="AP82" s="41">
        <f>'6. Poistot'!AE82</f>
        <v>818.32045088566827</v>
      </c>
      <c r="AQ82" s="41">
        <f>'6. Poistot'!AF82</f>
        <v>830.35457516339875</v>
      </c>
      <c r="AR82" s="41">
        <f>'6. Poistot'!AG82</f>
        <v>839.9619834710744</v>
      </c>
      <c r="AS82" s="41">
        <f>'6. Poistot'!AH82</f>
        <v>878.68343745859988</v>
      </c>
      <c r="AT82" s="41">
        <f>'6. Poistot'!AI82</f>
        <v>917.67773422488256</v>
      </c>
      <c r="AV82" s="4">
        <f t="shared" si="29"/>
        <v>0</v>
      </c>
      <c r="AW82" s="4">
        <f t="shared" si="30"/>
        <v>1</v>
      </c>
      <c r="AX82" s="4">
        <f t="shared" si="31"/>
        <v>1</v>
      </c>
      <c r="AY82" s="4">
        <f t="shared" si="32"/>
        <v>1</v>
      </c>
      <c r="AZ82" s="4">
        <f t="shared" si="33"/>
        <v>1</v>
      </c>
      <c r="BA82" s="4">
        <f t="shared" si="34"/>
        <v>1</v>
      </c>
      <c r="BB82" s="4">
        <f t="shared" si="35"/>
        <v>1</v>
      </c>
      <c r="BC82" s="4">
        <f t="shared" si="36"/>
        <v>1</v>
      </c>
      <c r="BE82" s="405">
        <f t="shared" si="37"/>
        <v>-1</v>
      </c>
      <c r="BF82" s="405">
        <f t="shared" si="38"/>
        <v>0</v>
      </c>
      <c r="BG82" s="405">
        <f t="shared" si="39"/>
        <v>0</v>
      </c>
      <c r="BH82" s="405">
        <f t="shared" si="40"/>
        <v>-1</v>
      </c>
      <c r="BI82" s="405">
        <f t="shared" si="41"/>
        <v>0</v>
      </c>
      <c r="BJ82" s="405">
        <f t="shared" si="42"/>
        <v>0</v>
      </c>
      <c r="BK82" s="405">
        <f t="shared" si="43"/>
        <v>0</v>
      </c>
      <c r="BL82" s="405">
        <f t="shared" si="44"/>
        <v>-1</v>
      </c>
      <c r="BM82" s="405">
        <f t="shared" si="45"/>
        <v>-1</v>
      </c>
      <c r="BN82" s="405">
        <f t="shared" si="45"/>
        <v>-1</v>
      </c>
    </row>
    <row r="83" spans="1:66" x14ac:dyDescent="0.2">
      <c r="A83" s="34">
        <v>217</v>
      </c>
      <c r="B83" s="88" t="s">
        <v>397</v>
      </c>
      <c r="C83" s="41" t="e">
        <f>'2. Toimintakate'!D83+'3. Verotulot'!G83+'4. Valtionosuudet'!#REF!+'5. Rahoitustuotot ja -kulut'!C83</f>
        <v>#REF!</v>
      </c>
      <c r="D83" s="41">
        <f>'2. Toimintakate'!E83+'4. Valtionosuudet'!H83+'3. Verotulot'!L83+'5. Rahoitustuotot ja -kulut'!D83</f>
        <v>663</v>
      </c>
      <c r="E83" s="41">
        <f>'2. Toimintakate'!F83+'4. Valtionosuudet'!N83+'3. Verotulot'!Q83+'5. Rahoitustuotot ja -kulut'!E83</f>
        <v>751</v>
      </c>
      <c r="F83" s="41">
        <f>'2. Toimintakate'!G83+'4. Valtionosuudet'!T83+'3. Verotulot'!V83+'5. Rahoitustuotot ja -kulut'!F83</f>
        <v>151</v>
      </c>
      <c r="G83" s="41">
        <f>'2. Toimintakate'!H83+'3. Verotulot'!AA83+'4. Valtionosuudet'!Z83+'5. Rahoitustuotot ja -kulut'!G83</f>
        <v>85</v>
      </c>
      <c r="H83" s="41">
        <f>Käyttökate!H83+'5. Rahoitustuotot ja -kulut'!H83</f>
        <v>2488.9221499128653</v>
      </c>
      <c r="I83" s="41">
        <f>Käyttökate!I83+'5. Rahoitustuotot ja -kulut'!I83</f>
        <v>1244.7383683630492</v>
      </c>
      <c r="J83" s="41">
        <f>Käyttökate!J83+'5. Rahoitustuotot ja -kulut'!J83</f>
        <v>1271.8473452085377</v>
      </c>
      <c r="K83" s="41">
        <f>Käyttökate!K83+'5. Rahoitustuotot ja -kulut'!K83</f>
        <v>1907.7282845411639</v>
      </c>
      <c r="L83" s="41">
        <f>Käyttökate!L83+'5. Rahoitustuotot ja -kulut'!L83</f>
        <v>272.41558285609437</v>
      </c>
      <c r="M83" s="41">
        <f>Käyttökate!M83+'5. Rahoitustuotot ja -kulut'!M83</f>
        <v>-3.3574301662791868</v>
      </c>
      <c r="N83" s="41">
        <f>Käyttökate!N83+'5. Rahoitustuotot ja -kulut'!N83</f>
        <v>-108.28307128953293</v>
      </c>
      <c r="O83" s="41">
        <f>Käyttökate!O83+'5. Rahoitustuotot ja -kulut'!O83</f>
        <v>13.069637569720044</v>
      </c>
      <c r="P83" s="41">
        <f>Käyttökate!P83+'5. Rahoitustuotot ja -kulut'!P83</f>
        <v>373.2404229077174</v>
      </c>
      <c r="T83" s="34">
        <v>217</v>
      </c>
      <c r="U83" s="88" t="s">
        <v>397</v>
      </c>
      <c r="V83" s="41" t="e">
        <f>C83/'1. Väestöennuste'!E83*1000</f>
        <v>#REF!</v>
      </c>
      <c r="W83" s="41">
        <f>D83/'1. Väestöennuste'!F83*1000</f>
        <v>118.85980638221585</v>
      </c>
      <c r="X83" s="41">
        <f>E83/'1. Väestöennuste'!G83*1000</f>
        <v>136.05072463768116</v>
      </c>
      <c r="Y83" s="41">
        <f>F83/'1. Väestöennuste'!H83*1000</f>
        <v>27.444565612504544</v>
      </c>
      <c r="Z83" s="41">
        <f>G83/'1. Väestöennuste'!I83*1000</f>
        <v>15.556368960468522</v>
      </c>
      <c r="AA83" s="41">
        <f>H83/'1. Väestöennuste'!J83*1000</f>
        <v>458.70293953425454</v>
      </c>
      <c r="AB83" s="41">
        <f>I83/'1. Väestöennuste'!K83*1000</f>
        <v>230.93476221948964</v>
      </c>
      <c r="AC83" s="41">
        <f>J83/'1. Väestöennuste'!L83*1000</f>
        <v>237.63963849187925</v>
      </c>
      <c r="AD83" s="41">
        <f>K83/'1. Väestöennuste'!M83*1000</f>
        <v>363.65388573030197</v>
      </c>
      <c r="AE83" s="41">
        <f>L83/'1. Väestöennuste'!N83*1000</f>
        <v>51.603633804905165</v>
      </c>
      <c r="AF83" s="41">
        <f>M83/'1. Väestöennuste'!O83*1000</f>
        <v>-0.64012014609708034</v>
      </c>
      <c r="AG83" s="41">
        <f>N83/'1. Väestöennuste'!P83*1000</f>
        <v>-20.767754370834854</v>
      </c>
      <c r="AH83" s="41">
        <f>O83/'1. Väestöennuste'!Q83*1000</f>
        <v>2.520662983552564</v>
      </c>
      <c r="AI83" s="41">
        <f>P83/'1. Väestöennuste'!R83*1000</f>
        <v>72.403573793931599</v>
      </c>
      <c r="AK83" s="41">
        <f>'6. Poistot'!Z83</f>
        <v>212.11566617862371</v>
      </c>
      <c r="AL83" s="41">
        <f>'6. Poistot'!AA83</f>
        <v>226.68632510136379</v>
      </c>
      <c r="AM83" s="41">
        <f>'6. Poistot'!AB83</f>
        <v>216.16979777365489</v>
      </c>
      <c r="AN83" s="41">
        <f>'6. Poistot'!AC83</f>
        <v>230.36864162929746</v>
      </c>
      <c r="AO83" s="41">
        <f>'6. Poistot'!AD83</f>
        <v>285.19432520015249</v>
      </c>
      <c r="AP83" s="41">
        <f>'6. Poistot'!AE83</f>
        <v>238.82678158742186</v>
      </c>
      <c r="AQ83" s="41">
        <f>'6. Poistot'!AF83</f>
        <v>240.37494375595804</v>
      </c>
      <c r="AR83" s="41">
        <f>'6. Poistot'!AG83</f>
        <v>241.80410049865745</v>
      </c>
      <c r="AS83" s="41">
        <f>'6. Poistot'!AH83</f>
        <v>251.00229582964394</v>
      </c>
      <c r="AT83" s="41">
        <f>'6. Poistot'!AI83</f>
        <v>260.35445737214496</v>
      </c>
      <c r="AV83" s="4">
        <f t="shared" si="29"/>
        <v>0</v>
      </c>
      <c r="AW83" s="4">
        <f t="shared" si="30"/>
        <v>0</v>
      </c>
      <c r="AX83" s="4">
        <f t="shared" si="31"/>
        <v>0</v>
      </c>
      <c r="AY83" s="4">
        <f t="shared" si="32"/>
        <v>1</v>
      </c>
      <c r="AZ83" s="4">
        <f t="shared" si="33"/>
        <v>1</v>
      </c>
      <c r="BA83" s="4">
        <f t="shared" si="34"/>
        <v>1</v>
      </c>
      <c r="BB83" s="4">
        <f t="shared" si="35"/>
        <v>1</v>
      </c>
      <c r="BC83" s="4">
        <f t="shared" si="36"/>
        <v>1</v>
      </c>
      <c r="BE83" s="405">
        <f t="shared" si="37"/>
        <v>0</v>
      </c>
      <c r="BF83" s="405">
        <f t="shared" si="38"/>
        <v>0</v>
      </c>
      <c r="BG83" s="405">
        <f t="shared" si="39"/>
        <v>0</v>
      </c>
      <c r="BH83" s="405">
        <f t="shared" si="40"/>
        <v>0</v>
      </c>
      <c r="BI83" s="405">
        <f t="shared" si="41"/>
        <v>0</v>
      </c>
      <c r="BJ83" s="405">
        <f t="shared" si="42"/>
        <v>0</v>
      </c>
      <c r="BK83" s="405">
        <f t="shared" si="43"/>
        <v>-1</v>
      </c>
      <c r="BL83" s="405">
        <f t="shared" si="44"/>
        <v>-1</v>
      </c>
      <c r="BM83" s="405">
        <f t="shared" si="45"/>
        <v>0</v>
      </c>
      <c r="BN83" s="405">
        <f t="shared" si="45"/>
        <v>0</v>
      </c>
    </row>
    <row r="84" spans="1:66" x14ac:dyDescent="0.2">
      <c r="A84" s="34">
        <v>218</v>
      </c>
      <c r="B84" s="88" t="s">
        <v>398</v>
      </c>
      <c r="C84" s="41" t="e">
        <f>'2. Toimintakate'!D84+'3. Verotulot'!G84+'4. Valtionosuudet'!#REF!+'5. Rahoitustuotot ja -kulut'!C84</f>
        <v>#REF!</v>
      </c>
      <c r="D84" s="41">
        <f>'2. Toimintakate'!E84+'4. Valtionosuudet'!H84+'3. Verotulot'!L84+'5. Rahoitustuotot ja -kulut'!D84</f>
        <v>690</v>
      </c>
      <c r="E84" s="41">
        <f>'2. Toimintakate'!F84+'4. Valtionosuudet'!N84+'3. Verotulot'!Q84+'5. Rahoitustuotot ja -kulut'!E84</f>
        <v>725</v>
      </c>
      <c r="F84" s="41">
        <f>'2. Toimintakate'!G84+'4. Valtionosuudet'!T84+'3. Verotulot'!V84+'5. Rahoitustuotot ja -kulut'!F84</f>
        <v>25</v>
      </c>
      <c r="G84" s="41">
        <f>'2. Toimintakate'!H84+'3. Verotulot'!AA84+'4. Valtionosuudet'!Z84+'5. Rahoitustuotot ja -kulut'!G84</f>
        <v>-461</v>
      </c>
      <c r="H84" s="41">
        <f>Käyttökate!H84+'5. Rahoitustuotot ja -kulut'!H84</f>
        <v>1819.3714463133019</v>
      </c>
      <c r="I84" s="41">
        <f>Käyttökate!I84+'5. Rahoitustuotot ja -kulut'!I84</f>
        <v>775.739840610844</v>
      </c>
      <c r="J84" s="41">
        <f>Käyttökate!J84+'5. Rahoitustuotot ja -kulut'!J84</f>
        <v>726.62369427467331</v>
      </c>
      <c r="K84" s="41">
        <f>Käyttökate!K84+'5. Rahoitustuotot ja -kulut'!K84</f>
        <v>800.13990771842612</v>
      </c>
      <c r="L84" s="41">
        <f>Käyttökate!L84+'5. Rahoitustuotot ja -kulut'!L84</f>
        <v>406.26889086875576</v>
      </c>
      <c r="M84" s="41">
        <f>Käyttökate!M84+'5. Rahoitustuotot ja -kulut'!M84</f>
        <v>185.68140558286132</v>
      </c>
      <c r="N84" s="41">
        <f>Käyttökate!N84+'5. Rahoitustuotot ja -kulut'!N84</f>
        <v>269.67162237732828</v>
      </c>
      <c r="O84" s="41">
        <f>Käyttökate!O84+'5. Rahoitustuotot ja -kulut'!O84</f>
        <v>270.34150928668072</v>
      </c>
      <c r="P84" s="41">
        <f>Käyttökate!P84+'5. Rahoitustuotot ja -kulut'!P84</f>
        <v>418.69680833566065</v>
      </c>
      <c r="T84" s="34">
        <v>218</v>
      </c>
      <c r="U84" s="88" t="s">
        <v>398</v>
      </c>
      <c r="V84" s="41" t="e">
        <f>C84/'1. Väestöennuste'!E84*1000</f>
        <v>#REF!</v>
      </c>
      <c r="W84" s="41">
        <f>D84/'1. Väestöennuste'!F84*1000</f>
        <v>511.4899925871016</v>
      </c>
      <c r="X84" s="41">
        <f>E84/'1. Väestöennuste'!G84*1000</f>
        <v>545.52294958615494</v>
      </c>
      <c r="Y84" s="41">
        <f>F84/'1. Väestöennuste'!H84*1000</f>
        <v>19.623233908948194</v>
      </c>
      <c r="Z84" s="41">
        <f>G84/'1. Väestöennuste'!I84*1000</f>
        <v>-370.28112449799193</v>
      </c>
      <c r="AA84" s="41">
        <f>H84/'1. Väestöennuste'!J84*1000</f>
        <v>1507.349996945569</v>
      </c>
      <c r="AB84" s="41">
        <f>I84/'1. Väestöennuste'!K84*1000</f>
        <v>650.78845688829188</v>
      </c>
      <c r="AC84" s="41">
        <f>J84/'1. Väestöennuste'!L84*1000</f>
        <v>605.51974522889441</v>
      </c>
      <c r="AD84" s="41">
        <f>K84/'1. Väestöennuste'!M84*1000</f>
        <v>673.51844084042602</v>
      </c>
      <c r="AE84" s="41">
        <f>L84/'1. Väestöennuste'!N84*1000</f>
        <v>366.99990141712351</v>
      </c>
      <c r="AF84" s="41">
        <f>M84/'1. Väestöennuste'!O84*1000</f>
        <v>170.6630566018946</v>
      </c>
      <c r="AG84" s="41">
        <f>N84/'1. Väestöennuste'!P84*1000</f>
        <v>251.79423191160438</v>
      </c>
      <c r="AH84" s="41">
        <f>O84/'1. Väestöennuste'!Q84*1000</f>
        <v>256.9786209949437</v>
      </c>
      <c r="AI84" s="41">
        <f>P84/'1. Väestöennuste'!R84*1000</f>
        <v>402.98056625183892</v>
      </c>
      <c r="AK84" s="41">
        <f>'6. Poistot'!Z84</f>
        <v>217.67068273092369</v>
      </c>
      <c r="AL84" s="41">
        <f>'6. Poistot'!AA84</f>
        <v>272.57663628831813</v>
      </c>
      <c r="AM84" s="41">
        <f>'6. Poistot'!AB84</f>
        <v>252.33117449664434</v>
      </c>
      <c r="AN84" s="41">
        <f>'6. Poistot'!AC84</f>
        <v>258.02940000000001</v>
      </c>
      <c r="AO84" s="41">
        <f>'6. Poistot'!AD84</f>
        <v>248.95997474747475</v>
      </c>
      <c r="AP84" s="41">
        <f>'6. Poistot'!AE84</f>
        <v>234.72448057813909</v>
      </c>
      <c r="AQ84" s="41">
        <f>'6. Poistot'!AF84</f>
        <v>238.8235294117647</v>
      </c>
      <c r="AR84" s="41">
        <f>'6. Poistot'!AG84</f>
        <v>242.61437908496731</v>
      </c>
      <c r="AS84" s="41">
        <f>'6. Poistot'!AH84</f>
        <v>254.96586115903446</v>
      </c>
      <c r="AT84" s="41">
        <f>'6. Poistot'!AI84</f>
        <v>266.22538198133634</v>
      </c>
      <c r="AV84" s="4">
        <f t="shared" si="29"/>
        <v>0</v>
      </c>
      <c r="AW84" s="4">
        <f t="shared" si="30"/>
        <v>0</v>
      </c>
      <c r="AX84" s="4">
        <f t="shared" si="31"/>
        <v>0</v>
      </c>
      <c r="AY84" s="4">
        <f t="shared" si="32"/>
        <v>0</v>
      </c>
      <c r="AZ84" s="4">
        <f t="shared" si="33"/>
        <v>1</v>
      </c>
      <c r="BA84" s="4">
        <f t="shared" si="34"/>
        <v>0</v>
      </c>
      <c r="BB84" s="4">
        <f t="shared" si="35"/>
        <v>0</v>
      </c>
      <c r="BC84" s="4">
        <f t="shared" si="36"/>
        <v>0</v>
      </c>
      <c r="BE84" s="405">
        <f t="shared" si="37"/>
        <v>-1</v>
      </c>
      <c r="BF84" s="405">
        <f t="shared" si="38"/>
        <v>0</v>
      </c>
      <c r="BG84" s="405">
        <f t="shared" si="39"/>
        <v>0</v>
      </c>
      <c r="BH84" s="405">
        <f t="shared" si="40"/>
        <v>0</v>
      </c>
      <c r="BI84" s="405">
        <f t="shared" si="41"/>
        <v>0</v>
      </c>
      <c r="BJ84" s="405">
        <f t="shared" si="42"/>
        <v>0</v>
      </c>
      <c r="BK84" s="405">
        <f t="shared" si="43"/>
        <v>0</v>
      </c>
      <c r="BL84" s="405">
        <f t="shared" si="44"/>
        <v>0</v>
      </c>
      <c r="BM84" s="405">
        <f t="shared" si="45"/>
        <v>0</v>
      </c>
      <c r="BN84" s="405">
        <f t="shared" si="45"/>
        <v>0</v>
      </c>
    </row>
    <row r="85" spans="1:66" x14ac:dyDescent="0.2">
      <c r="A85" s="34">
        <v>224</v>
      </c>
      <c r="B85" s="88" t="s">
        <v>399</v>
      </c>
      <c r="C85" s="41" t="e">
        <f>'2. Toimintakate'!D85+'3. Verotulot'!G85+'4. Valtionosuudet'!#REF!+'5. Rahoitustuotot ja -kulut'!C85</f>
        <v>#REF!</v>
      </c>
      <c r="D85" s="41">
        <f>'2. Toimintakate'!E85+'4. Valtionosuudet'!H85+'3. Verotulot'!L85+'5. Rahoitustuotot ja -kulut'!D85</f>
        <v>3453</v>
      </c>
      <c r="E85" s="41">
        <f>'2. Toimintakate'!F85+'4. Valtionosuudet'!N85+'3. Verotulot'!Q85+'5. Rahoitustuotot ja -kulut'!E85</f>
        <v>2987</v>
      </c>
      <c r="F85" s="41">
        <f>'2. Toimintakate'!G85+'4. Valtionosuudet'!T85+'3. Verotulot'!V85+'5. Rahoitustuotot ja -kulut'!F85</f>
        <v>2062</v>
      </c>
      <c r="G85" s="41">
        <f>'2. Toimintakate'!H85+'3. Verotulot'!AA85+'4. Valtionosuudet'!Z85+'5. Rahoitustuotot ja -kulut'!G85</f>
        <v>-604</v>
      </c>
      <c r="H85" s="41">
        <f>Käyttökate!H85+'5. Rahoitustuotot ja -kulut'!H85</f>
        <v>4522.2253273974311</v>
      </c>
      <c r="I85" s="41">
        <f>Käyttökate!I85+'5. Rahoitustuotot ja -kulut'!I85</f>
        <v>3417.6156033058296</v>
      </c>
      <c r="J85" s="41">
        <f>Käyttökate!J85+'5. Rahoitustuotot ja -kulut'!J85</f>
        <v>5341.4794657252087</v>
      </c>
      <c r="K85" s="41">
        <f>Käyttökate!K85+'5. Rahoitustuotot ja -kulut'!K85</f>
        <v>5816.8418481226581</v>
      </c>
      <c r="L85" s="41">
        <f>Käyttökate!L85+'5. Rahoitustuotot ja -kulut'!L85</f>
        <v>3468.7027544136317</v>
      </c>
      <c r="M85" s="41">
        <f>Käyttökate!M85+'5. Rahoitustuotot ja -kulut'!M85</f>
        <v>2796.9599153107329</v>
      </c>
      <c r="N85" s="41">
        <f>Käyttökate!N85+'5. Rahoitustuotot ja -kulut'!N85</f>
        <v>3187.4064531717822</v>
      </c>
      <c r="O85" s="41">
        <f>Käyttökate!O85+'5. Rahoitustuotot ja -kulut'!O85</f>
        <v>3085.9614361973781</v>
      </c>
      <c r="P85" s="41">
        <f>Käyttökate!P85+'5. Rahoitustuotot ja -kulut'!P85</f>
        <v>4136.2479141293215</v>
      </c>
      <c r="T85" s="34">
        <v>224</v>
      </c>
      <c r="U85" s="88" t="s">
        <v>399</v>
      </c>
      <c r="V85" s="41" t="e">
        <f>C85/'1. Väestöennuste'!E85*1000</f>
        <v>#REF!</v>
      </c>
      <c r="W85" s="41">
        <f>D85/'1. Väestöennuste'!F85*1000</f>
        <v>387.49859723936709</v>
      </c>
      <c r="X85" s="41">
        <f>E85/'1. Väestöennuste'!G85*1000</f>
        <v>335.61797752808985</v>
      </c>
      <c r="Y85" s="41">
        <f>F85/'1. Väestöennuste'!H85*1000</f>
        <v>234.90544543176122</v>
      </c>
      <c r="Z85" s="41">
        <f>G85/'1. Väestöennuste'!I85*1000</f>
        <v>-69.313747991737443</v>
      </c>
      <c r="AA85" s="41">
        <f>H85/'1. Väestöennuste'!J85*1000</f>
        <v>520.0351112462547</v>
      </c>
      <c r="AB85" s="41">
        <f>I85/'1. Väestöennuste'!K85*1000</f>
        <v>392.06327903015136</v>
      </c>
      <c r="AC85" s="41">
        <f>J85/'1. Väestöennuste'!L85*1000</f>
        <v>620.88567543010674</v>
      </c>
      <c r="AD85" s="41">
        <f>K85/'1. Väestöennuste'!M85*1000</f>
        <v>677.87458898993805</v>
      </c>
      <c r="AE85" s="41">
        <f>L85/'1. Väestöennuste'!N85*1000</f>
        <v>409.57642630932008</v>
      </c>
      <c r="AF85" s="41">
        <f>M85/'1. Väestöennuste'!O85*1000</f>
        <v>332.0227819694602</v>
      </c>
      <c r="AG85" s="41">
        <f>N85/'1. Väestöennuste'!P85*1000</f>
        <v>380.08662689861461</v>
      </c>
      <c r="AH85" s="41">
        <f>O85/'1. Väestöennuste'!Q85*1000</f>
        <v>369.62048583032436</v>
      </c>
      <c r="AI85" s="41">
        <f>P85/'1. Väestöennuste'!R85*1000</f>
        <v>497.44412677442227</v>
      </c>
      <c r="AK85" s="41">
        <f>'6. Poistot'!Z85</f>
        <v>332.45352306633004</v>
      </c>
      <c r="AL85" s="41">
        <f>'6. Poistot'!AA85</f>
        <v>337.51149954001841</v>
      </c>
      <c r="AM85" s="41">
        <f>'6. Poistot'!AB85</f>
        <v>329.20841573935985</v>
      </c>
      <c r="AN85" s="41">
        <f>'6. Poistot'!AC85</f>
        <v>336.29985237707774</v>
      </c>
      <c r="AO85" s="41">
        <f>'6. Poistot'!AD85</f>
        <v>336.63035893252533</v>
      </c>
      <c r="AP85" s="41">
        <f>'6. Poistot'!AE85</f>
        <v>366.72570551422842</v>
      </c>
      <c r="AQ85" s="41">
        <f>'6. Poistot'!AF85</f>
        <v>382.39553656220329</v>
      </c>
      <c r="AR85" s="41">
        <f>'6. Poistot'!AG85</f>
        <v>392.78082518483188</v>
      </c>
      <c r="AS85" s="41">
        <f>'6. Poistot'!AH85</f>
        <v>407.25126465694467</v>
      </c>
      <c r="AT85" s="41">
        <f>'6. Poistot'!AI85</f>
        <v>421.69833039587036</v>
      </c>
      <c r="AV85" s="4">
        <f t="shared" si="29"/>
        <v>0</v>
      </c>
      <c r="AW85" s="4">
        <f t="shared" si="30"/>
        <v>0</v>
      </c>
      <c r="AX85" s="4">
        <f t="shared" si="31"/>
        <v>0</v>
      </c>
      <c r="AY85" s="4">
        <f t="shared" si="32"/>
        <v>0</v>
      </c>
      <c r="AZ85" s="4">
        <f t="shared" si="33"/>
        <v>1</v>
      </c>
      <c r="BA85" s="4">
        <f t="shared" si="34"/>
        <v>1</v>
      </c>
      <c r="BB85" s="4">
        <f t="shared" si="35"/>
        <v>1</v>
      </c>
      <c r="BC85" s="4">
        <f t="shared" si="36"/>
        <v>0</v>
      </c>
      <c r="BE85" s="405">
        <f t="shared" si="37"/>
        <v>-1</v>
      </c>
      <c r="BF85" s="405">
        <f t="shared" si="38"/>
        <v>0</v>
      </c>
      <c r="BG85" s="405">
        <f t="shared" si="39"/>
        <v>0</v>
      </c>
      <c r="BH85" s="405">
        <f t="shared" si="40"/>
        <v>0</v>
      </c>
      <c r="BI85" s="405">
        <f t="shared" si="41"/>
        <v>0</v>
      </c>
      <c r="BJ85" s="405">
        <f t="shared" si="42"/>
        <v>0</v>
      </c>
      <c r="BK85" s="405">
        <f t="shared" si="43"/>
        <v>0</v>
      </c>
      <c r="BL85" s="405">
        <f t="shared" si="44"/>
        <v>0</v>
      </c>
      <c r="BM85" s="405">
        <f t="shared" si="45"/>
        <v>0</v>
      </c>
      <c r="BN85" s="405">
        <f t="shared" si="45"/>
        <v>0</v>
      </c>
    </row>
    <row r="86" spans="1:66" x14ac:dyDescent="0.2">
      <c r="A86" s="34">
        <v>226</v>
      </c>
      <c r="B86" s="88" t="s">
        <v>400</v>
      </c>
      <c r="C86" s="41" t="e">
        <f>'2. Toimintakate'!D86+'3. Verotulot'!G86+'4. Valtionosuudet'!#REF!+'5. Rahoitustuotot ja -kulut'!C86</f>
        <v>#REF!</v>
      </c>
      <c r="D86" s="41">
        <f>'2. Toimintakate'!E86+'4. Valtionosuudet'!H86+'3. Verotulot'!L86+'5. Rahoitustuotot ja -kulut'!D86</f>
        <v>2021</v>
      </c>
      <c r="E86" s="41">
        <f>'2. Toimintakate'!F86+'4. Valtionosuudet'!N86+'3. Verotulot'!Q86+'5. Rahoitustuotot ja -kulut'!E86</f>
        <v>2737</v>
      </c>
      <c r="F86" s="41">
        <f>'2. Toimintakate'!G86+'4. Valtionosuudet'!T86+'3. Verotulot'!V86+'5. Rahoitustuotot ja -kulut'!F86</f>
        <v>1808</v>
      </c>
      <c r="G86" s="41">
        <f>'2. Toimintakate'!H86+'3. Verotulot'!AA86+'4. Valtionosuudet'!Z86+'5. Rahoitustuotot ja -kulut'!G86</f>
        <v>-3005</v>
      </c>
      <c r="H86" s="41">
        <f>Käyttökate!H86+'5. Rahoitustuotot ja -kulut'!H86</f>
        <v>4253.5038239565656</v>
      </c>
      <c r="I86" s="41">
        <f>Käyttökate!I86+'5. Rahoitustuotot ja -kulut'!I86</f>
        <v>3854.995711203791</v>
      </c>
      <c r="J86" s="41">
        <f>Käyttökate!J86+'5. Rahoitustuotot ja -kulut'!J86</f>
        <v>2690.5885932481006</v>
      </c>
      <c r="K86" s="41">
        <f>Käyttökate!K86+'5. Rahoitustuotot ja -kulut'!K86</f>
        <v>2382.1960247086909</v>
      </c>
      <c r="L86" s="41">
        <f>Käyttökate!L86+'5. Rahoitustuotot ja -kulut'!L86</f>
        <v>1406.0925288457527</v>
      </c>
      <c r="M86" s="41">
        <f>Käyttökate!M86+'5. Rahoitustuotot ja -kulut'!M86</f>
        <v>-183.80166960980614</v>
      </c>
      <c r="N86" s="41">
        <f>Käyttökate!N86+'5. Rahoitustuotot ja -kulut'!N86</f>
        <v>-267.02533427266644</v>
      </c>
      <c r="O86" s="41">
        <f>Käyttökate!O86+'5. Rahoitustuotot ja -kulut'!O86</f>
        <v>-569.39445733400817</v>
      </c>
      <c r="P86" s="41">
        <f>Käyttökate!P86+'5. Rahoitustuotot ja -kulut'!P86</f>
        <v>-203.79050280439833</v>
      </c>
      <c r="T86" s="34">
        <v>226</v>
      </c>
      <c r="U86" s="88" t="s">
        <v>400</v>
      </c>
      <c r="V86" s="41" t="e">
        <f>C86/'1. Väestöennuste'!E86*1000</f>
        <v>#REF!</v>
      </c>
      <c r="W86" s="41">
        <f>D86/'1. Väestöennuste'!F86*1000</f>
        <v>477.55198487712664</v>
      </c>
      <c r="X86" s="41">
        <f>E86/'1. Väestöennuste'!G86*1000</f>
        <v>660.154365653642</v>
      </c>
      <c r="Y86" s="41">
        <f>F86/'1. Väestöennuste'!H86*1000</f>
        <v>448.52393946911434</v>
      </c>
      <c r="Z86" s="41">
        <f>G86/'1. Väestöennuste'!I86*1000</f>
        <v>-760.9521397822233</v>
      </c>
      <c r="AA86" s="41">
        <f>H86/'1. Väestöennuste'!J86*1000</f>
        <v>1102.5152472671243</v>
      </c>
      <c r="AB86" s="41">
        <f>I86/'1. Väestöennuste'!K86*1000</f>
        <v>1021.4615027037073</v>
      </c>
      <c r="AC86" s="41">
        <f>J86/'1. Väestöennuste'!L86*1000</f>
        <v>734.13058478802191</v>
      </c>
      <c r="AD86" s="41">
        <f>K86/'1. Väestöennuste'!M86*1000</f>
        <v>657.15752405756984</v>
      </c>
      <c r="AE86" s="41">
        <f>L86/'1. Väestöennuste'!N86*1000</f>
        <v>394.52652324516066</v>
      </c>
      <c r="AF86" s="41">
        <f>M86/'1. Väestöennuste'!O86*1000</f>
        <v>-52.529771251730821</v>
      </c>
      <c r="AG86" s="41">
        <f>N86/'1. Väestöennuste'!P86*1000</f>
        <v>-77.714008810438429</v>
      </c>
      <c r="AH86" s="41">
        <f>O86/'1. Väestöennuste'!Q86*1000</f>
        <v>-168.70946883970612</v>
      </c>
      <c r="AI86" s="41">
        <f>P86/'1. Väestöennuste'!R86*1000</f>
        <v>-61.438198011576226</v>
      </c>
      <c r="AK86" s="41">
        <f>'6. Poistot'!Z86</f>
        <v>478.6021777665232</v>
      </c>
      <c r="AL86" s="41">
        <f>'6. Poistot'!AA86</f>
        <v>452.04769310523585</v>
      </c>
      <c r="AM86" s="41">
        <f>'6. Poistot'!AB86</f>
        <v>534.23869104398511</v>
      </c>
      <c r="AN86" s="41">
        <f>'6. Poistot'!AC86</f>
        <v>469.07840109140517</v>
      </c>
      <c r="AO86" s="41">
        <f>'6. Poistot'!AD86</f>
        <v>548.28596965517238</v>
      </c>
      <c r="AP86" s="41">
        <f>'6. Poistot'!AE86</f>
        <v>500.9848484848485</v>
      </c>
      <c r="AQ86" s="41">
        <f>'6. Poistot'!AF86</f>
        <v>482.99514146899116</v>
      </c>
      <c r="AR86" s="41">
        <f>'6. Poistot'!AG86</f>
        <v>500.29103608847493</v>
      </c>
      <c r="AS86" s="41">
        <f>'6. Poistot'!AH86</f>
        <v>525.76765614128806</v>
      </c>
      <c r="AT86" s="41">
        <f>'6. Poistot'!AI86</f>
        <v>551.68274915697759</v>
      </c>
      <c r="AV86" s="4">
        <f t="shared" si="29"/>
        <v>0</v>
      </c>
      <c r="AW86" s="4">
        <f t="shared" si="30"/>
        <v>0</v>
      </c>
      <c r="AX86" s="4">
        <f t="shared" si="31"/>
        <v>0</v>
      </c>
      <c r="AY86" s="4">
        <f t="shared" si="32"/>
        <v>1</v>
      </c>
      <c r="AZ86" s="4">
        <f t="shared" si="33"/>
        <v>1</v>
      </c>
      <c r="BA86" s="4">
        <f t="shared" si="34"/>
        <v>1</v>
      </c>
      <c r="BB86" s="4">
        <f t="shared" si="35"/>
        <v>1</v>
      </c>
      <c r="BC86" s="4">
        <f t="shared" si="36"/>
        <v>1</v>
      </c>
      <c r="BE86" s="405">
        <f t="shared" si="37"/>
        <v>-1</v>
      </c>
      <c r="BF86" s="405">
        <f t="shared" si="38"/>
        <v>0</v>
      </c>
      <c r="BG86" s="405">
        <f t="shared" si="39"/>
        <v>0</v>
      </c>
      <c r="BH86" s="405">
        <f t="shared" si="40"/>
        <v>0</v>
      </c>
      <c r="BI86" s="405">
        <f t="shared" si="41"/>
        <v>0</v>
      </c>
      <c r="BJ86" s="405">
        <f t="shared" si="42"/>
        <v>0</v>
      </c>
      <c r="BK86" s="405">
        <f t="shared" si="43"/>
        <v>-1</v>
      </c>
      <c r="BL86" s="405">
        <f t="shared" si="44"/>
        <v>-1</v>
      </c>
      <c r="BM86" s="405">
        <f t="shared" si="45"/>
        <v>-1</v>
      </c>
      <c r="BN86" s="405">
        <f t="shared" si="45"/>
        <v>-1</v>
      </c>
    </row>
    <row r="87" spans="1:66" x14ac:dyDescent="0.2">
      <c r="A87" s="34">
        <v>230</v>
      </c>
      <c r="B87" s="88" t="s">
        <v>401</v>
      </c>
      <c r="C87" s="41" t="e">
        <f>'2. Toimintakate'!D87+'3. Verotulot'!G87+'4. Valtionosuudet'!#REF!+'5. Rahoitustuotot ja -kulut'!C87</f>
        <v>#REF!</v>
      </c>
      <c r="D87" s="41">
        <f>'2. Toimintakate'!E87+'4. Valtionosuudet'!H87+'3. Verotulot'!L87+'5. Rahoitustuotot ja -kulut'!D87</f>
        <v>111</v>
      </c>
      <c r="E87" s="41">
        <f>'2. Toimintakate'!F87+'4. Valtionosuudet'!N87+'3. Verotulot'!Q87+'5. Rahoitustuotot ja -kulut'!E87</f>
        <v>1017</v>
      </c>
      <c r="F87" s="41">
        <f>'2. Toimintakate'!G87+'4. Valtionosuudet'!T87+'3. Verotulot'!V87+'5. Rahoitustuotot ja -kulut'!F87</f>
        <v>-179</v>
      </c>
      <c r="G87" s="41">
        <f>'2. Toimintakate'!H87+'3. Verotulot'!AA87+'4. Valtionosuudet'!Z87+'5. Rahoitustuotot ja -kulut'!G87</f>
        <v>-577</v>
      </c>
      <c r="H87" s="41">
        <f>Käyttökate!H87+'5. Rahoitustuotot ja -kulut'!H87</f>
        <v>1592.2549690884971</v>
      </c>
      <c r="I87" s="41">
        <f>Käyttökate!I87+'5. Rahoitustuotot ja -kulut'!I87</f>
        <v>1459.4517569169695</v>
      </c>
      <c r="J87" s="41">
        <f>Käyttökate!J87+'5. Rahoitustuotot ja -kulut'!J87</f>
        <v>441.4424096389277</v>
      </c>
      <c r="K87" s="41">
        <f>Käyttökate!K87+'5. Rahoitustuotot ja -kulut'!K87</f>
        <v>342.89316264024819</v>
      </c>
      <c r="L87" s="41">
        <f>Käyttökate!L87+'5. Rahoitustuotot ja -kulut'!L87</f>
        <v>775.86294910292918</v>
      </c>
      <c r="M87" s="41">
        <f>Käyttökate!M87+'5. Rahoitustuotot ja -kulut'!M87</f>
        <v>367.68106604309423</v>
      </c>
      <c r="N87" s="41">
        <f>Käyttökate!N87+'5. Rahoitustuotot ja -kulut'!N87</f>
        <v>299.97985815173439</v>
      </c>
      <c r="O87" s="41">
        <f>Käyttökate!O87+'5. Rahoitustuotot ja -kulut'!O87</f>
        <v>153.72517420372299</v>
      </c>
      <c r="P87" s="41">
        <f>Käyttökate!P87+'5. Rahoitustuotot ja -kulut'!P87</f>
        <v>436.45484324130172</v>
      </c>
      <c r="T87" s="34">
        <v>230</v>
      </c>
      <c r="U87" s="88" t="s">
        <v>401</v>
      </c>
      <c r="V87" s="41" t="e">
        <f>C87/'1. Väestöennuste'!E87*1000</f>
        <v>#REF!</v>
      </c>
      <c r="W87" s="41">
        <f>D87/'1. Väestöennuste'!F87*1000</f>
        <v>45.324622294814212</v>
      </c>
      <c r="X87" s="41">
        <f>E87/'1. Väestöennuste'!G87*1000</f>
        <v>423.22097378277152</v>
      </c>
      <c r="Y87" s="41">
        <f>F87/'1. Väestöennuste'!H87*1000</f>
        <v>-74.895397489539747</v>
      </c>
      <c r="Z87" s="41">
        <f>G87/'1. Väestöennuste'!I87*1000</f>
        <v>-246.37062339880444</v>
      </c>
      <c r="AA87" s="41">
        <f>H87/'1. Väestöennuste'!J87*1000</f>
        <v>685.72565421554566</v>
      </c>
      <c r="AB87" s="41">
        <f>I87/'1. Väestöennuste'!K87*1000</f>
        <v>637.31517769299978</v>
      </c>
      <c r="AC87" s="41">
        <f>J87/'1. Väestöennuste'!L87*1000</f>
        <v>197.07250430309273</v>
      </c>
      <c r="AD87" s="41">
        <f>K87/'1. Väestöennuste'!M87*1000</f>
        <v>154.7351816968629</v>
      </c>
      <c r="AE87" s="41">
        <f>L87/'1. Väestöennuste'!N87*1000</f>
        <v>351.22813449657275</v>
      </c>
      <c r="AF87" s="41">
        <f>M87/'1. Väestöennuste'!O87*1000</f>
        <v>168.4292560893698</v>
      </c>
      <c r="AG87" s="41">
        <f>N87/'1. Väestöennuste'!P87*1000</f>
        <v>138.81529761764662</v>
      </c>
      <c r="AH87" s="41">
        <f>O87/'1. Väestöennuste'!Q87*1000</f>
        <v>71.834193553141574</v>
      </c>
      <c r="AI87" s="41">
        <f>P87/'1. Väestöennuste'!R87*1000</f>
        <v>205.87492605721781</v>
      </c>
      <c r="AK87" s="41">
        <f>'6. Poistot'!Z87</f>
        <v>385.56789069171651</v>
      </c>
      <c r="AL87" s="41">
        <f>'6. Poistot'!AA87</f>
        <v>361.75710594315245</v>
      </c>
      <c r="AM87" s="41">
        <f>'6. Poistot'!AB87</f>
        <v>353.68325327510917</v>
      </c>
      <c r="AN87" s="41">
        <f>'6. Poistot'!AC87</f>
        <v>360.97020089285712</v>
      </c>
      <c r="AO87" s="41">
        <f>'6. Poistot'!AD87</f>
        <v>370.8648555956679</v>
      </c>
      <c r="AP87" s="41">
        <f>'6. Poistot'!AE87</f>
        <v>390.67451335445901</v>
      </c>
      <c r="AQ87" s="41">
        <f>'6. Poistot'!AF87</f>
        <v>406.77966101694921</v>
      </c>
      <c r="AR87" s="41">
        <f>'6. Poistot'!AG87</f>
        <v>415.08560851457662</v>
      </c>
      <c r="AS87" s="41">
        <f>'6. Poistot'!AH87</f>
        <v>432.68360164047021</v>
      </c>
      <c r="AT87" s="41">
        <f>'6. Poistot'!AI87</f>
        <v>450.4178372741568</v>
      </c>
      <c r="AV87" s="4">
        <f t="shared" si="29"/>
        <v>0</v>
      </c>
      <c r="AW87" s="4">
        <f t="shared" si="30"/>
        <v>1</v>
      </c>
      <c r="AX87" s="4">
        <f t="shared" si="31"/>
        <v>1</v>
      </c>
      <c r="AY87" s="4">
        <f t="shared" si="32"/>
        <v>1</v>
      </c>
      <c r="AZ87" s="4">
        <f t="shared" si="33"/>
        <v>1</v>
      </c>
      <c r="BA87" s="4">
        <f t="shared" si="34"/>
        <v>1</v>
      </c>
      <c r="BB87" s="4">
        <f t="shared" si="35"/>
        <v>1</v>
      </c>
      <c r="BC87" s="4">
        <f t="shared" si="36"/>
        <v>1</v>
      </c>
      <c r="BE87" s="405">
        <f t="shared" si="37"/>
        <v>-1</v>
      </c>
      <c r="BF87" s="405">
        <f t="shared" si="38"/>
        <v>0</v>
      </c>
      <c r="BG87" s="405">
        <f t="shared" si="39"/>
        <v>0</v>
      </c>
      <c r="BH87" s="405">
        <f t="shared" si="40"/>
        <v>0</v>
      </c>
      <c r="BI87" s="405">
        <f t="shared" si="41"/>
        <v>0</v>
      </c>
      <c r="BJ87" s="405">
        <f t="shared" si="42"/>
        <v>0</v>
      </c>
      <c r="BK87" s="405">
        <f t="shared" si="43"/>
        <v>0</v>
      </c>
      <c r="BL87" s="405">
        <f t="shared" si="44"/>
        <v>0</v>
      </c>
      <c r="BM87" s="405">
        <f t="shared" si="45"/>
        <v>0</v>
      </c>
      <c r="BN87" s="405">
        <f t="shared" si="45"/>
        <v>0</v>
      </c>
    </row>
    <row r="88" spans="1:66" x14ac:dyDescent="0.2">
      <c r="A88" s="34">
        <v>231</v>
      </c>
      <c r="B88" s="88" t="s">
        <v>402</v>
      </c>
      <c r="C88" s="41" t="e">
        <f>'2. Toimintakate'!D88+'3. Verotulot'!G88+'4. Valtionosuudet'!#REF!+'5. Rahoitustuotot ja -kulut'!C88</f>
        <v>#REF!</v>
      </c>
      <c r="D88" s="41">
        <f>'2. Toimintakate'!E88+'4. Valtionosuudet'!H88+'3. Verotulot'!L88+'5. Rahoitustuotot ja -kulut'!D88</f>
        <v>-214</v>
      </c>
      <c r="E88" s="41">
        <f>'2. Toimintakate'!F88+'4. Valtionosuudet'!N88+'3. Verotulot'!Q88+'5. Rahoitustuotot ja -kulut'!E88</f>
        <v>617</v>
      </c>
      <c r="F88" s="41">
        <f>'2. Toimintakate'!G88+'4. Valtionosuudet'!T88+'3. Verotulot'!V88+'5. Rahoitustuotot ja -kulut'!F88</f>
        <v>231</v>
      </c>
      <c r="G88" s="41">
        <f>'2. Toimintakate'!H88+'3. Verotulot'!AA88+'4. Valtionosuudet'!Z88+'5. Rahoitustuotot ja -kulut'!G88</f>
        <v>-505</v>
      </c>
      <c r="H88" s="41">
        <f>Käyttökate!H88+'5. Rahoitustuotot ja -kulut'!H88</f>
        <v>54.469671750691759</v>
      </c>
      <c r="I88" s="41">
        <f>Käyttökate!I88+'5. Rahoitustuotot ja -kulut'!I88</f>
        <v>-640.26394392502425</v>
      </c>
      <c r="J88" s="41">
        <f>Käyttökate!J88+'5. Rahoitustuotot ja -kulut'!J88</f>
        <v>716.13477474499359</v>
      </c>
      <c r="K88" s="41">
        <f>Käyttökate!K88+'5. Rahoitustuotot ja -kulut'!K88</f>
        <v>-464.894720104116</v>
      </c>
      <c r="L88" s="41">
        <f>Käyttökate!L88+'5. Rahoitustuotot ja -kulut'!L88</f>
        <v>-131.16866907521103</v>
      </c>
      <c r="M88" s="41">
        <f>Käyttökate!M88+'5. Rahoitustuotot ja -kulut'!M88</f>
        <v>-320.36992099235567</v>
      </c>
      <c r="N88" s="41">
        <f>Käyttökate!N88+'5. Rahoitustuotot ja -kulut'!N88</f>
        <v>-411.55855337574076</v>
      </c>
      <c r="O88" s="41">
        <f>Käyttökate!O88+'5. Rahoitustuotot ja -kulut'!O88</f>
        <v>-537.44617915347806</v>
      </c>
      <c r="P88" s="41">
        <f>Käyttökate!P88+'5. Rahoitustuotot ja -kulut'!P88</f>
        <v>-469.91415892031534</v>
      </c>
      <c r="T88" s="34">
        <v>231</v>
      </c>
      <c r="U88" s="88" t="s">
        <v>402</v>
      </c>
      <c r="V88" s="41" t="e">
        <f>C88/'1. Väestöennuste'!E88*1000</f>
        <v>#REF!</v>
      </c>
      <c r="W88" s="41">
        <f>D88/'1. Väestöennuste'!F88*1000</f>
        <v>-165.12345679012347</v>
      </c>
      <c r="X88" s="41">
        <f>E88/'1. Väestöennuste'!G88*1000</f>
        <v>484.30141287284147</v>
      </c>
      <c r="Y88" s="41">
        <f>F88/'1. Väestöennuste'!H88*1000</f>
        <v>183.04278922345483</v>
      </c>
      <c r="Z88" s="41">
        <f>G88/'1. Väestöennuste'!I88*1000</f>
        <v>-405.29695024077046</v>
      </c>
      <c r="AA88" s="41">
        <f>H88/'1. Väestöennuste'!J88*1000</f>
        <v>42.621026408991987</v>
      </c>
      <c r="AB88" s="41">
        <f>I88/'1. Väestöennuste'!K88*1000</f>
        <v>-496.71368807216777</v>
      </c>
      <c r="AC88" s="41">
        <f>J88/'1. Väestöennuste'!L88*1000</f>
        <v>570.17099900079108</v>
      </c>
      <c r="AD88" s="41">
        <f>K88/'1. Väestöennuste'!M88*1000</f>
        <v>-384.84662260274507</v>
      </c>
      <c r="AE88" s="41">
        <f>L88/'1. Väestöennuste'!N88*1000</f>
        <v>-100.74398546483182</v>
      </c>
      <c r="AF88" s="41">
        <f>M88/'1. Väestöennuste'!O88*1000</f>
        <v>-245.30621821773022</v>
      </c>
      <c r="AG88" s="41">
        <f>N88/'1. Väestöennuste'!P88*1000</f>
        <v>-313.92719555739188</v>
      </c>
      <c r="AH88" s="41">
        <f>O88/'1. Väestöennuste'!Q88*1000</f>
        <v>-409.01535704222073</v>
      </c>
      <c r="AI88" s="41">
        <f>P88/'1. Väestöennuste'!R88*1000</f>
        <v>-356.80649880054318</v>
      </c>
      <c r="AK88" s="41">
        <f>'6. Poistot'!Z88</f>
        <v>766.45264847512044</v>
      </c>
      <c r="AL88" s="41">
        <f>'6. Poistot'!AA88</f>
        <v>828.63849765258215</v>
      </c>
      <c r="AM88" s="41">
        <f>'6. Poistot'!AB88</f>
        <v>530.3899844840962</v>
      </c>
      <c r="AN88" s="41">
        <f>'6. Poistot'!AC88</f>
        <v>524.23609872611462</v>
      </c>
      <c r="AO88" s="41">
        <f>'6. Poistot'!AD88</f>
        <v>550.99365894039727</v>
      </c>
      <c r="AP88" s="41">
        <f>'6. Poistot'!AE88</f>
        <v>527.72657450076815</v>
      </c>
      <c r="AQ88" s="41">
        <f>'6. Poistot'!AF88</f>
        <v>526.11026033690655</v>
      </c>
      <c r="AR88" s="41">
        <f>'6. Poistot'!AG88</f>
        <v>520.67124332570563</v>
      </c>
      <c r="AS88" s="41">
        <f>'6. Poistot'!AH88</f>
        <v>536.2442953483876</v>
      </c>
      <c r="AT88" s="41">
        <f>'6. Poistot'!AI88</f>
        <v>551.74639952586369</v>
      </c>
      <c r="AV88" s="4">
        <f t="shared" si="29"/>
        <v>1</v>
      </c>
      <c r="AW88" s="4">
        <f t="shared" si="30"/>
        <v>0</v>
      </c>
      <c r="AX88" s="4">
        <f t="shared" si="31"/>
        <v>1</v>
      </c>
      <c r="AY88" s="4">
        <f t="shared" si="32"/>
        <v>1</v>
      </c>
      <c r="AZ88" s="4">
        <f t="shared" si="33"/>
        <v>1</v>
      </c>
      <c r="BA88" s="4">
        <f t="shared" si="34"/>
        <v>1</v>
      </c>
      <c r="BB88" s="4">
        <f t="shared" si="35"/>
        <v>1</v>
      </c>
      <c r="BC88" s="4">
        <f t="shared" si="36"/>
        <v>1</v>
      </c>
      <c r="BE88" s="405">
        <f t="shared" si="37"/>
        <v>-1</v>
      </c>
      <c r="BF88" s="405">
        <f t="shared" si="38"/>
        <v>0</v>
      </c>
      <c r="BG88" s="405">
        <f t="shared" si="39"/>
        <v>-1</v>
      </c>
      <c r="BH88" s="405">
        <f t="shared" si="40"/>
        <v>0</v>
      </c>
      <c r="BI88" s="405">
        <f t="shared" si="41"/>
        <v>-1</v>
      </c>
      <c r="BJ88" s="405">
        <f t="shared" si="42"/>
        <v>-1</v>
      </c>
      <c r="BK88" s="405">
        <f t="shared" si="43"/>
        <v>-1</v>
      </c>
      <c r="BL88" s="405">
        <f t="shared" si="44"/>
        <v>-1</v>
      </c>
      <c r="BM88" s="405">
        <f t="shared" si="45"/>
        <v>-1</v>
      </c>
      <c r="BN88" s="405">
        <f t="shared" si="45"/>
        <v>-1</v>
      </c>
    </row>
    <row r="89" spans="1:66" x14ac:dyDescent="0.2">
      <c r="A89" s="34">
        <v>232</v>
      </c>
      <c r="B89" s="88" t="s">
        <v>403</v>
      </c>
      <c r="C89" s="41" t="e">
        <f>'2. Toimintakate'!D89+'3. Verotulot'!G89+'4. Valtionosuudet'!#REF!+'5. Rahoitustuotot ja -kulut'!C89</f>
        <v>#REF!</v>
      </c>
      <c r="D89" s="41">
        <f>'2. Toimintakate'!E89+'4. Valtionosuudet'!H89+'3. Verotulot'!L89+'5. Rahoitustuotot ja -kulut'!D89</f>
        <v>3409</v>
      </c>
      <c r="E89" s="41">
        <f>'2. Toimintakate'!F89+'4. Valtionosuudet'!N89+'3. Verotulot'!Q89+'5. Rahoitustuotot ja -kulut'!E89</f>
        <v>5534</v>
      </c>
      <c r="F89" s="41">
        <f>'2. Toimintakate'!G89+'4. Valtionosuudet'!T89+'3. Verotulot'!V89+'5. Rahoitustuotot ja -kulut'!F89</f>
        <v>1912</v>
      </c>
      <c r="G89" s="41">
        <f>'2. Toimintakate'!H89+'3. Verotulot'!AA89+'4. Valtionosuudet'!Z89+'5. Rahoitustuotot ja -kulut'!G89</f>
        <v>10788</v>
      </c>
      <c r="H89" s="41">
        <f>Käyttökate!H89+'5. Rahoitustuotot ja -kulut'!H89</f>
        <v>5564.3170449253594</v>
      </c>
      <c r="I89" s="41">
        <f>Käyttökate!I89+'5. Rahoitustuotot ja -kulut'!I89</f>
        <v>7208.8369188855359</v>
      </c>
      <c r="J89" s="41">
        <f>Käyttökate!J89+'5. Rahoitustuotot ja -kulut'!J89</f>
        <v>7515.8270923432547</v>
      </c>
      <c r="K89" s="41">
        <f>Käyttökate!K89+'5. Rahoitustuotot ja -kulut'!K89</f>
        <v>8903.1530858312162</v>
      </c>
      <c r="L89" s="41">
        <f>Käyttökate!L89+'5. Rahoitustuotot ja -kulut'!L89</f>
        <v>6007.9403610068848</v>
      </c>
      <c r="M89" s="41">
        <f>Käyttökate!M89+'5. Rahoitustuotot ja -kulut'!M89</f>
        <v>2635.9973698525519</v>
      </c>
      <c r="N89" s="41">
        <f>Käyttökate!N89+'5. Rahoitustuotot ja -kulut'!N89</f>
        <v>3880.2698938783597</v>
      </c>
      <c r="O89" s="41">
        <f>Käyttökate!O89+'5. Rahoitustuotot ja -kulut'!O89</f>
        <v>3753.7436051866612</v>
      </c>
      <c r="P89" s="41">
        <f>Käyttökate!P89+'5. Rahoitustuotot ja -kulut'!P89</f>
        <v>5108.1589972582206</v>
      </c>
      <c r="T89" s="34">
        <v>232</v>
      </c>
      <c r="U89" s="88" t="s">
        <v>403</v>
      </c>
      <c r="V89" s="41" t="e">
        <f>C89/'1. Väestöennuste'!E89*1000</f>
        <v>#REF!</v>
      </c>
      <c r="W89" s="41">
        <f>D89/'1. Väestöennuste'!F89*1000</f>
        <v>247.53122277083938</v>
      </c>
      <c r="X89" s="41">
        <f>E89/'1. Väestöennuste'!G89*1000</f>
        <v>406.61278471711978</v>
      </c>
      <c r="Y89" s="41">
        <f>F89/'1. Väestöennuste'!H89*1000</f>
        <v>142.95327102803736</v>
      </c>
      <c r="Z89" s="41">
        <f>G89/'1. Väestöennuste'!I89*1000</f>
        <v>818.26456310679612</v>
      </c>
      <c r="AA89" s="41">
        <f>H89/'1. Väestöennuste'!J89*1000</f>
        <v>427.79403743563921</v>
      </c>
      <c r="AB89" s="41">
        <f>I89/'1. Väestöennuste'!K89*1000</f>
        <v>559.25810076691505</v>
      </c>
      <c r="AC89" s="41">
        <f>J89/'1. Väestöennuste'!L89*1000</f>
        <v>589.47663469358861</v>
      </c>
      <c r="AD89" s="41">
        <f>K89/'1. Väestöennuste'!M89*1000</f>
        <v>705.59146345151498</v>
      </c>
      <c r="AE89" s="41">
        <f>L89/'1. Väestöennuste'!N89*1000</f>
        <v>485.0589666564577</v>
      </c>
      <c r="AF89" s="41">
        <f>M89/'1. Väestöennuste'!O89*1000</f>
        <v>215.16589420068172</v>
      </c>
      <c r="AG89" s="41">
        <f>N89/'1. Väestöennuste'!P89*1000</f>
        <v>320.154281673132</v>
      </c>
      <c r="AH89" s="41">
        <f>O89/'1. Väestöennuste'!Q89*1000</f>
        <v>313.09897449217294</v>
      </c>
      <c r="AI89" s="41">
        <f>P89/'1. Väestöennuste'!R89*1000</f>
        <v>430.88646117741206</v>
      </c>
      <c r="AK89" s="41">
        <f>'6. Poistot'!Z89</f>
        <v>374.69660194174759</v>
      </c>
      <c r="AL89" s="41">
        <f>'6. Poistot'!AA89</f>
        <v>365.49550242177287</v>
      </c>
      <c r="AM89" s="41">
        <f>'6. Poistot'!AB89</f>
        <v>432.83118774243599</v>
      </c>
      <c r="AN89" s="41">
        <f>'6. Poistot'!AC89</f>
        <v>405.98153333333329</v>
      </c>
      <c r="AO89" s="41">
        <f>'6. Poistot'!AD89</f>
        <v>424.86851878269141</v>
      </c>
      <c r="AP89" s="41">
        <f>'6. Poistot'!AE89</f>
        <v>456.16018084934603</v>
      </c>
      <c r="AQ89" s="41">
        <f>'6. Poistot'!AF89</f>
        <v>457.10554240470162</v>
      </c>
      <c r="AR89" s="41">
        <f>'6. Poistot'!AG89</f>
        <v>462.04620462046205</v>
      </c>
      <c r="AS89" s="41">
        <f>'6. Poistot'!AH89</f>
        <v>482.16627803091097</v>
      </c>
      <c r="AT89" s="41">
        <f>'6. Poistot'!AI89</f>
        <v>502.85812017082941</v>
      </c>
      <c r="AV89" s="4">
        <f t="shared" si="29"/>
        <v>0</v>
      </c>
      <c r="AW89" s="4">
        <f t="shared" si="30"/>
        <v>0</v>
      </c>
      <c r="AX89" s="4">
        <f t="shared" si="31"/>
        <v>0</v>
      </c>
      <c r="AY89" s="4">
        <f t="shared" si="32"/>
        <v>0</v>
      </c>
      <c r="AZ89" s="4">
        <f t="shared" si="33"/>
        <v>1</v>
      </c>
      <c r="BA89" s="4">
        <f t="shared" si="34"/>
        <v>1</v>
      </c>
      <c r="BB89" s="4">
        <f t="shared" si="35"/>
        <v>1</v>
      </c>
      <c r="BC89" s="4">
        <f t="shared" si="36"/>
        <v>1</v>
      </c>
      <c r="BE89" s="405">
        <f t="shared" si="37"/>
        <v>0</v>
      </c>
      <c r="BF89" s="405">
        <f t="shared" si="38"/>
        <v>0</v>
      </c>
      <c r="BG89" s="405">
        <f t="shared" si="39"/>
        <v>0</v>
      </c>
      <c r="BH89" s="405">
        <f t="shared" si="40"/>
        <v>0</v>
      </c>
      <c r="BI89" s="405">
        <f t="shared" si="41"/>
        <v>0</v>
      </c>
      <c r="BJ89" s="405">
        <f t="shared" si="42"/>
        <v>0</v>
      </c>
      <c r="BK89" s="405">
        <f t="shared" si="43"/>
        <v>0</v>
      </c>
      <c r="BL89" s="405">
        <f t="shared" si="44"/>
        <v>0</v>
      </c>
      <c r="BM89" s="405">
        <f t="shared" si="45"/>
        <v>0</v>
      </c>
      <c r="BN89" s="405">
        <f t="shared" si="45"/>
        <v>0</v>
      </c>
    </row>
    <row r="90" spans="1:66" x14ac:dyDescent="0.2">
      <c r="A90" s="34">
        <v>233</v>
      </c>
      <c r="B90" s="88" t="s">
        <v>404</v>
      </c>
      <c r="C90" s="41" t="e">
        <f>'2. Toimintakate'!D90+'3. Verotulot'!G90+'4. Valtionosuudet'!#REF!+'5. Rahoitustuotot ja -kulut'!C90</f>
        <v>#REF!</v>
      </c>
      <c r="D90" s="41">
        <f>'2. Toimintakate'!E90+'4. Valtionosuudet'!H90+'3. Verotulot'!L90+'5. Rahoitustuotot ja -kulut'!D90</f>
        <v>5725</v>
      </c>
      <c r="E90" s="41">
        <f>'2. Toimintakate'!F90+'4. Valtionosuudet'!N90+'3. Verotulot'!Q90+'5. Rahoitustuotot ja -kulut'!E90</f>
        <v>8649</v>
      </c>
      <c r="F90" s="41">
        <f>'2. Toimintakate'!G90+'4. Valtionosuudet'!T90+'3. Verotulot'!V90+'5. Rahoitustuotot ja -kulut'!F90</f>
        <v>555</v>
      </c>
      <c r="G90" s="41">
        <f>'2. Toimintakate'!H90+'3. Verotulot'!AA90+'4. Valtionosuudet'!Z90+'5. Rahoitustuotot ja -kulut'!G90</f>
        <v>-639</v>
      </c>
      <c r="H90" s="41">
        <f>Käyttökate!H90+'5. Rahoitustuotot ja -kulut'!H90</f>
        <v>10322.245150105744</v>
      </c>
      <c r="I90" s="41">
        <f>Käyttökate!I90+'5. Rahoitustuotot ja -kulut'!I90</f>
        <v>8678.7942934630737</v>
      </c>
      <c r="J90" s="41">
        <f>Käyttökate!J90+'5. Rahoitustuotot ja -kulut'!J90</f>
        <v>8388.9222342669618</v>
      </c>
      <c r="K90" s="41">
        <f>Käyttökate!K90+'5. Rahoitustuotot ja -kulut'!K90</f>
        <v>10196.104828881409</v>
      </c>
      <c r="L90" s="41">
        <f>Käyttökate!L90+'5. Rahoitustuotot ja -kulut'!L90</f>
        <v>6342.3006366037116</v>
      </c>
      <c r="M90" s="41">
        <f>Käyttökate!M90+'5. Rahoitustuotot ja -kulut'!M90</f>
        <v>4918.6413652450938</v>
      </c>
      <c r="N90" s="41">
        <f>Käyttökate!N90+'5. Rahoitustuotot ja -kulut'!N90</f>
        <v>6458.7227964231497</v>
      </c>
      <c r="O90" s="41">
        <f>Käyttökate!O90+'5. Rahoitustuotot ja -kulut'!O90</f>
        <v>6321.9497577424763</v>
      </c>
      <c r="P90" s="41">
        <f>Käyttökate!P90+'5. Rahoitustuotot ja -kulut'!P90</f>
        <v>8702.1993799382071</v>
      </c>
      <c r="T90" s="34">
        <v>233</v>
      </c>
      <c r="U90" s="88" t="s">
        <v>404</v>
      </c>
      <c r="V90" s="41" t="e">
        <f>C90/'1. Väestöennuste'!E90*1000</f>
        <v>#REF!</v>
      </c>
      <c r="W90" s="41">
        <f>D90/'1. Väestöennuste'!F90*1000</f>
        <v>344.90029519850594</v>
      </c>
      <c r="X90" s="41">
        <f>E90/'1. Väestöennuste'!G90*1000</f>
        <v>531.33063029856237</v>
      </c>
      <c r="Y90" s="41">
        <f>F90/'1. Väestöennuste'!H90*1000</f>
        <v>34.639870178504552</v>
      </c>
      <c r="Z90" s="41">
        <f>G90/'1. Väestöennuste'!I90*1000</f>
        <v>-40.633346051125521</v>
      </c>
      <c r="AA90" s="41">
        <f>H90/'1. Väestöennuste'!J90*1000</f>
        <v>665.35033841083828</v>
      </c>
      <c r="AB90" s="41">
        <f>I90/'1. Väestöennuste'!K90*1000</f>
        <v>566.79691049262487</v>
      </c>
      <c r="AC90" s="41">
        <f>J90/'1. Väestöennuste'!L90*1000</f>
        <v>554.96971647704163</v>
      </c>
      <c r="AD90" s="41">
        <f>K90/'1. Väestöennuste'!M90*1000</f>
        <v>672.34453207262834</v>
      </c>
      <c r="AE90" s="41">
        <f>L90/'1. Väestöennuste'!N90*1000</f>
        <v>433.95830561777024</v>
      </c>
      <c r="AF90" s="41">
        <f>M90/'1. Väestöennuste'!O90*1000</f>
        <v>341.28791043887691</v>
      </c>
      <c r="AG90" s="41">
        <f>N90/'1. Väestöennuste'!P90*1000</f>
        <v>454.35967614654589</v>
      </c>
      <c r="AH90" s="41">
        <f>O90/'1. Väestöennuste'!Q90*1000</f>
        <v>450.73076841169802</v>
      </c>
      <c r="AI90" s="41">
        <f>P90/'1. Väestöennuste'!R90*1000</f>
        <v>628.68078167448391</v>
      </c>
      <c r="AK90" s="41">
        <f>'6. Poistot'!Z90</f>
        <v>509.22039933867478</v>
      </c>
      <c r="AL90" s="41">
        <f>'6. Poistot'!AA90</f>
        <v>401.63723088823002</v>
      </c>
      <c r="AM90" s="41">
        <f>'6. Poistot'!AB90</f>
        <v>407.508473092999</v>
      </c>
      <c r="AN90" s="41">
        <f>'6. Poistot'!AC90</f>
        <v>424.08977705742262</v>
      </c>
      <c r="AO90" s="41">
        <f>'6. Poistot'!AD90</f>
        <v>560.96653148697646</v>
      </c>
      <c r="AP90" s="41">
        <f>'6. Poistot'!AE90</f>
        <v>394.30858706808067</v>
      </c>
      <c r="AQ90" s="41">
        <f>'6. Poistot'!AF90</f>
        <v>438.80099916736054</v>
      </c>
      <c r="AR90" s="41">
        <f>'6. Poistot'!AG90</f>
        <v>453.1129088990503</v>
      </c>
      <c r="AS90" s="41">
        <f>'6. Poistot'!AH90</f>
        <v>474.0358976008892</v>
      </c>
      <c r="AT90" s="41">
        <f>'6. Poistot'!AI90</f>
        <v>495.35146651496478</v>
      </c>
      <c r="AV90" s="4">
        <f t="shared" si="29"/>
        <v>0</v>
      </c>
      <c r="AW90" s="4">
        <f t="shared" si="30"/>
        <v>0</v>
      </c>
      <c r="AX90" s="4">
        <f t="shared" si="31"/>
        <v>0</v>
      </c>
      <c r="AY90" s="4">
        <f t="shared" si="32"/>
        <v>0</v>
      </c>
      <c r="AZ90" s="4">
        <f t="shared" si="33"/>
        <v>1</v>
      </c>
      <c r="BA90" s="4">
        <f t="shared" si="34"/>
        <v>0</v>
      </c>
      <c r="BB90" s="4">
        <f t="shared" si="35"/>
        <v>1</v>
      </c>
      <c r="BC90" s="4">
        <f t="shared" si="36"/>
        <v>0</v>
      </c>
      <c r="BE90" s="405">
        <f t="shared" si="37"/>
        <v>-1</v>
      </c>
      <c r="BF90" s="405">
        <f t="shared" si="38"/>
        <v>0</v>
      </c>
      <c r="BG90" s="405">
        <f t="shared" si="39"/>
        <v>0</v>
      </c>
      <c r="BH90" s="405">
        <f t="shared" si="40"/>
        <v>0</v>
      </c>
      <c r="BI90" s="405">
        <f t="shared" si="41"/>
        <v>0</v>
      </c>
      <c r="BJ90" s="405">
        <f t="shared" si="42"/>
        <v>0</v>
      </c>
      <c r="BK90" s="405">
        <f t="shared" si="43"/>
        <v>0</v>
      </c>
      <c r="BL90" s="405">
        <f t="shared" si="44"/>
        <v>0</v>
      </c>
      <c r="BM90" s="405">
        <f t="shared" si="45"/>
        <v>0</v>
      </c>
      <c r="BN90" s="405">
        <f t="shared" si="45"/>
        <v>0</v>
      </c>
    </row>
    <row r="91" spans="1:66" x14ac:dyDescent="0.2">
      <c r="A91" s="34">
        <v>235</v>
      </c>
      <c r="B91" s="88" t="s">
        <v>405</v>
      </c>
      <c r="C91" s="41" t="e">
        <f>'2. Toimintakate'!D91+'3. Verotulot'!G91+'4. Valtionosuudet'!#REF!+'5. Rahoitustuotot ja -kulut'!C91</f>
        <v>#REF!</v>
      </c>
      <c r="D91" s="41">
        <f>'2. Toimintakate'!E91+'4. Valtionosuudet'!H91+'3. Verotulot'!L91+'5. Rahoitustuotot ja -kulut'!D91</f>
        <v>13916</v>
      </c>
      <c r="E91" s="41">
        <f>'2. Toimintakate'!F91+'4. Valtionosuudet'!N91+'3. Verotulot'!Q91+'5. Rahoitustuotot ja -kulut'!E91</f>
        <v>13553</v>
      </c>
      <c r="F91" s="41">
        <f>'2. Toimintakate'!G91+'4. Valtionosuudet'!T91+'3. Verotulot'!V91+'5. Rahoitustuotot ja -kulut'!F91</f>
        <v>10473</v>
      </c>
      <c r="G91" s="41">
        <f>'2. Toimintakate'!H91+'3. Verotulot'!AA91+'4. Valtionosuudet'!Z91+'5. Rahoitustuotot ja -kulut'!G91</f>
        <v>6279</v>
      </c>
      <c r="H91" s="41">
        <f>Käyttökate!H91+'5. Rahoitustuotot ja -kulut'!H91</f>
        <v>10309.312800978158</v>
      </c>
      <c r="I91" s="41">
        <f>Käyttökate!I91+'5. Rahoitustuotot ja -kulut'!I91</f>
        <v>7717.7349868064312</v>
      </c>
      <c r="J91" s="41">
        <f>Käyttökate!J91+'5. Rahoitustuotot ja -kulut'!J91</f>
        <v>20680.30021574569</v>
      </c>
      <c r="K91" s="41">
        <f>Käyttökate!K91+'5. Rahoitustuotot ja -kulut'!K91</f>
        <v>11653.252184766072</v>
      </c>
      <c r="L91" s="41">
        <f>Käyttökate!L91+'5. Rahoitustuotot ja -kulut'!L91</f>
        <v>9781.3012691060612</v>
      </c>
      <c r="M91" s="41">
        <f>Käyttökate!M91+'5. Rahoitustuotot ja -kulut'!M91</f>
        <v>8609.6936059252985</v>
      </c>
      <c r="N91" s="41">
        <f>Käyttökate!N91+'5. Rahoitustuotot ja -kulut'!N91</f>
        <v>6923.7992206099589</v>
      </c>
      <c r="O91" s="41">
        <f>Käyttökate!O91+'5. Rahoitustuotot ja -kulut'!O91</f>
        <v>5366.2526186566492</v>
      </c>
      <c r="P91" s="41">
        <f>Käyttökate!P91+'5. Rahoitustuotot ja -kulut'!P91</f>
        <v>4397.6978363109693</v>
      </c>
      <c r="T91" s="34">
        <v>235</v>
      </c>
      <c r="U91" s="88" t="s">
        <v>405</v>
      </c>
      <c r="V91" s="41" t="e">
        <f>C91/'1. Väestöennuste'!E91*1000</f>
        <v>#REF!</v>
      </c>
      <c r="W91" s="41">
        <f>D91/'1. Väestöennuste'!F91*1000</f>
        <v>1480.8981589869109</v>
      </c>
      <c r="X91" s="41">
        <f>E91/'1. Väestöennuste'!G91*1000</f>
        <v>1408.2502078137989</v>
      </c>
      <c r="Y91" s="41">
        <f>F91/'1. Väestöennuste'!H91*1000</f>
        <v>1089.235569422777</v>
      </c>
      <c r="Z91" s="41">
        <f>G91/'1. Väestöennuste'!I91*1000</f>
        <v>640.91048280085738</v>
      </c>
      <c r="AA91" s="41">
        <f>H91/'1. Väestöennuste'!J91*1000</f>
        <v>1012.9016310648614</v>
      </c>
      <c r="AB91" s="41">
        <f>I91/'1. Väestöennuste'!K91*1000</f>
        <v>742.37543158969129</v>
      </c>
      <c r="AC91" s="41">
        <f>J91/'1. Väestöennuste'!L91*1000</f>
        <v>2010.9198965135834</v>
      </c>
      <c r="AD91" s="41">
        <f>K91/'1. Väestöennuste'!M91*1000</f>
        <v>1134.6886255857908</v>
      </c>
      <c r="AE91" s="41">
        <f>L91/'1. Väestöennuste'!N91*1000</f>
        <v>915.93794073471872</v>
      </c>
      <c r="AF91" s="41">
        <f>M91/'1. Väestöennuste'!O91*1000</f>
        <v>796.97247115850212</v>
      </c>
      <c r="AG91" s="41">
        <f>N91/'1. Väestöennuste'!P91*1000</f>
        <v>633.8153808687257</v>
      </c>
      <c r="AH91" s="41">
        <f>O91/'1. Väestöennuste'!Q91*1000</f>
        <v>486.16167953040849</v>
      </c>
      <c r="AI91" s="41">
        <f>P91/'1. Väestöennuste'!R91*1000</f>
        <v>394.51851047913959</v>
      </c>
      <c r="AK91" s="41">
        <f>'6. Poistot'!Z91</f>
        <v>796.0600183729714</v>
      </c>
      <c r="AL91" s="41">
        <f>'6. Poistot'!AA91</f>
        <v>834.54509726861863</v>
      </c>
      <c r="AM91" s="41">
        <f>'6. Poistot'!AB91</f>
        <v>824.62437860715659</v>
      </c>
      <c r="AN91" s="41">
        <f>'6. Poistot'!AC91</f>
        <v>823.54925904317395</v>
      </c>
      <c r="AO91" s="41">
        <f>'6. Poistot'!AD91</f>
        <v>874.49296007789678</v>
      </c>
      <c r="AP91" s="41">
        <f>'6. Poistot'!AE91</f>
        <v>1039.8913755969661</v>
      </c>
      <c r="AQ91" s="41">
        <f>'6. Poistot'!AF91</f>
        <v>1015.1809682495602</v>
      </c>
      <c r="AR91" s="41">
        <f>'6. Poistot'!AG91</f>
        <v>1017.301354815086</v>
      </c>
      <c r="AS91" s="41">
        <f>'6. Poistot'!AH91</f>
        <v>1039.2802901788114</v>
      </c>
      <c r="AT91" s="41">
        <f>'6. Poistot'!AI91</f>
        <v>1061.2856989313213</v>
      </c>
      <c r="AV91" s="4">
        <f t="shared" si="29"/>
        <v>1</v>
      </c>
      <c r="AW91" s="4">
        <f t="shared" si="30"/>
        <v>0</v>
      </c>
      <c r="AX91" s="4">
        <f t="shared" si="31"/>
        <v>0</v>
      </c>
      <c r="AY91" s="4">
        <f t="shared" si="32"/>
        <v>1</v>
      </c>
      <c r="AZ91" s="4">
        <f t="shared" si="33"/>
        <v>1</v>
      </c>
      <c r="BA91" s="4">
        <f t="shared" si="34"/>
        <v>1</v>
      </c>
      <c r="BB91" s="4">
        <f t="shared" si="35"/>
        <v>1</v>
      </c>
      <c r="BC91" s="4">
        <f t="shared" si="36"/>
        <v>1</v>
      </c>
      <c r="BE91" s="405">
        <f t="shared" si="37"/>
        <v>0</v>
      </c>
      <c r="BF91" s="405">
        <f t="shared" si="38"/>
        <v>0</v>
      </c>
      <c r="BG91" s="405">
        <f t="shared" si="39"/>
        <v>0</v>
      </c>
      <c r="BH91" s="405">
        <f t="shared" si="40"/>
        <v>0</v>
      </c>
      <c r="BI91" s="405">
        <f t="shared" si="41"/>
        <v>0</v>
      </c>
      <c r="BJ91" s="405">
        <f t="shared" si="42"/>
        <v>0</v>
      </c>
      <c r="BK91" s="405">
        <f t="shared" si="43"/>
        <v>0</v>
      </c>
      <c r="BL91" s="405">
        <f t="shared" si="44"/>
        <v>0</v>
      </c>
      <c r="BM91" s="405">
        <f t="shared" si="45"/>
        <v>0</v>
      </c>
      <c r="BN91" s="405">
        <f t="shared" si="45"/>
        <v>0</v>
      </c>
    </row>
    <row r="92" spans="1:66" x14ac:dyDescent="0.2">
      <c r="A92" s="34">
        <v>236</v>
      </c>
      <c r="B92" s="88" t="s">
        <v>406</v>
      </c>
      <c r="C92" s="41" t="e">
        <f>'2. Toimintakate'!D92+'3. Verotulot'!G92+'4. Valtionosuudet'!#REF!+'5. Rahoitustuotot ja -kulut'!C92</f>
        <v>#REF!</v>
      </c>
      <c r="D92" s="41">
        <f>'2. Toimintakate'!E92+'4. Valtionosuudet'!H92+'3. Verotulot'!L92+'5. Rahoitustuotot ja -kulut'!D92</f>
        <v>1906</v>
      </c>
      <c r="E92" s="41">
        <f>'2. Toimintakate'!F92+'4. Valtionosuudet'!N92+'3. Verotulot'!Q92+'5. Rahoitustuotot ja -kulut'!E92</f>
        <v>1273</v>
      </c>
      <c r="F92" s="41">
        <f>'2. Toimintakate'!G92+'4. Valtionosuudet'!T92+'3. Verotulot'!V92+'5. Rahoitustuotot ja -kulut'!F92</f>
        <v>1054</v>
      </c>
      <c r="G92" s="41">
        <f>'2. Toimintakate'!H92+'3. Verotulot'!AA92+'4. Valtionosuudet'!Z92+'5. Rahoitustuotot ja -kulut'!G92</f>
        <v>-289</v>
      </c>
      <c r="H92" s="41">
        <f>Käyttökate!H92+'5. Rahoitustuotot ja -kulut'!H92</f>
        <v>3451.3369044947758</v>
      </c>
      <c r="I92" s="41">
        <f>Käyttökate!I92+'5. Rahoitustuotot ja -kulut'!I92</f>
        <v>2420.8957096638887</v>
      </c>
      <c r="J92" s="41">
        <f>Käyttökate!J92+'5. Rahoitustuotot ja -kulut'!J92</f>
        <v>3998.2524423158247</v>
      </c>
      <c r="K92" s="41">
        <f>Käyttökate!K92+'5. Rahoitustuotot ja -kulut'!K92</f>
        <v>1794.1260961010721</v>
      </c>
      <c r="L92" s="41">
        <f>Käyttökate!L92+'5. Rahoitustuotot ja -kulut'!L92</f>
        <v>1668.0835913976243</v>
      </c>
      <c r="M92" s="41">
        <f>Käyttökate!M92+'5. Rahoitustuotot ja -kulut'!M92</f>
        <v>784.8406113451656</v>
      </c>
      <c r="N92" s="41">
        <f>Käyttökate!N92+'5. Rahoitustuotot ja -kulut'!N92</f>
        <v>1135.017405167986</v>
      </c>
      <c r="O92" s="41">
        <f>Käyttökate!O92+'5. Rahoitustuotot ja -kulut'!O92</f>
        <v>1362.4650498048245</v>
      </c>
      <c r="P92" s="41">
        <f>Käyttökate!P92+'5. Rahoitustuotot ja -kulut'!P92</f>
        <v>1652.5750698696334</v>
      </c>
      <c r="T92" s="34">
        <v>236</v>
      </c>
      <c r="U92" s="88" t="s">
        <v>406</v>
      </c>
      <c r="V92" s="41" t="e">
        <f>C92/'1. Väestöennuste'!E92*1000</f>
        <v>#REF!</v>
      </c>
      <c r="W92" s="41">
        <f>D92/'1. Väestöennuste'!F92*1000</f>
        <v>443.4620753838995</v>
      </c>
      <c r="X92" s="41">
        <f>E92/'1. Väestöennuste'!G92*1000</f>
        <v>295.4281735901601</v>
      </c>
      <c r="Y92" s="41">
        <f>F92/'1. Väestöennuste'!H92*1000</f>
        <v>246.66510648256497</v>
      </c>
      <c r="Z92" s="41">
        <f>G92/'1. Väestöennuste'!I92*1000</f>
        <v>-67.824454353438156</v>
      </c>
      <c r="AA92" s="41">
        <f>H92/'1. Väestöennuste'!J92*1000</f>
        <v>816.30484969129031</v>
      </c>
      <c r="AB92" s="41">
        <f>I92/'1. Väestöennuste'!K92*1000</f>
        <v>576.95321965297626</v>
      </c>
      <c r="AC92" s="41">
        <f>J92/'1. Väestöennuste'!L92*1000</f>
        <v>952.41839978938185</v>
      </c>
      <c r="AD92" s="41">
        <f>K92/'1. Väestöennuste'!M92*1000</f>
        <v>433.67805078585258</v>
      </c>
      <c r="AE92" s="41">
        <f>L92/'1. Väestöennuste'!N92*1000</f>
        <v>404.8746581062195</v>
      </c>
      <c r="AF92" s="41">
        <f>M92/'1. Väestöennuste'!O92*1000</f>
        <v>191.93949898389965</v>
      </c>
      <c r="AG92" s="41">
        <f>N92/'1. Väestöennuste'!P92*1000</f>
        <v>279.69871985411186</v>
      </c>
      <c r="AH92" s="41">
        <f>O92/'1. Väestöennuste'!Q92*1000</f>
        <v>338.33251795500979</v>
      </c>
      <c r="AI92" s="41">
        <f>P92/'1. Väestöennuste'!R92*1000</f>
        <v>413.55732479220052</v>
      </c>
      <c r="AK92" s="41">
        <f>'6. Poistot'!Z92</f>
        <v>341.70382539310026</v>
      </c>
      <c r="AL92" s="41">
        <f>'6. Poistot'!AA92</f>
        <v>374.88174077578049</v>
      </c>
      <c r="AM92" s="41">
        <f>'6. Poistot'!AB92</f>
        <v>363.41210200190653</v>
      </c>
      <c r="AN92" s="41">
        <f>'6. Poistot'!AC92</f>
        <v>399.15681515007145</v>
      </c>
      <c r="AO92" s="41">
        <f>'6. Poistot'!AD92</f>
        <v>418.32427121102251</v>
      </c>
      <c r="AP92" s="41">
        <f>'6. Poistot'!AE92</f>
        <v>394.30873786407767</v>
      </c>
      <c r="AQ92" s="41">
        <f>'6. Poistot'!AF92</f>
        <v>391.29371484470533</v>
      </c>
      <c r="AR92" s="41">
        <f>'6. Poistot'!AG92</f>
        <v>394.28289797930017</v>
      </c>
      <c r="AS92" s="41">
        <f>'6. Poistot'!AH92</f>
        <v>410.13810403438163</v>
      </c>
      <c r="AT92" s="41">
        <f>'6. Poistot'!AI92</f>
        <v>426.23931178501232</v>
      </c>
      <c r="AV92" s="4">
        <f t="shared" si="29"/>
        <v>0</v>
      </c>
      <c r="AW92" s="4">
        <f t="shared" si="30"/>
        <v>0</v>
      </c>
      <c r="AX92" s="4">
        <f t="shared" si="31"/>
        <v>0</v>
      </c>
      <c r="AY92" s="4">
        <f t="shared" si="32"/>
        <v>0</v>
      </c>
      <c r="AZ92" s="4">
        <f t="shared" si="33"/>
        <v>1</v>
      </c>
      <c r="BA92" s="4">
        <f t="shared" si="34"/>
        <v>1</v>
      </c>
      <c r="BB92" s="4">
        <f t="shared" si="35"/>
        <v>1</v>
      </c>
      <c r="BC92" s="4">
        <f t="shared" si="36"/>
        <v>1</v>
      </c>
      <c r="BE92" s="405">
        <f t="shared" si="37"/>
        <v>-1</v>
      </c>
      <c r="BF92" s="405">
        <f t="shared" si="38"/>
        <v>0</v>
      </c>
      <c r="BG92" s="405">
        <f t="shared" si="39"/>
        <v>0</v>
      </c>
      <c r="BH92" s="405">
        <f t="shared" si="40"/>
        <v>0</v>
      </c>
      <c r="BI92" s="405">
        <f t="shared" si="41"/>
        <v>0</v>
      </c>
      <c r="BJ92" s="405">
        <f t="shared" si="42"/>
        <v>0</v>
      </c>
      <c r="BK92" s="405">
        <f t="shared" si="43"/>
        <v>0</v>
      </c>
      <c r="BL92" s="405">
        <f t="shared" si="44"/>
        <v>0</v>
      </c>
      <c r="BM92" s="405">
        <f t="shared" si="45"/>
        <v>0</v>
      </c>
      <c r="BN92" s="405">
        <f t="shared" si="45"/>
        <v>0</v>
      </c>
    </row>
    <row r="93" spans="1:66" x14ac:dyDescent="0.2">
      <c r="A93" s="34">
        <v>239</v>
      </c>
      <c r="B93" s="88" t="s">
        <v>407</v>
      </c>
      <c r="C93" s="41" t="e">
        <f>'2. Toimintakate'!D93+'3. Verotulot'!G93+'4. Valtionosuudet'!#REF!+'5. Rahoitustuotot ja -kulut'!C93</f>
        <v>#REF!</v>
      </c>
      <c r="D93" s="41">
        <f>'2. Toimintakate'!E93+'4. Valtionosuudet'!H93+'3. Verotulot'!L93+'5. Rahoitustuotot ja -kulut'!D93</f>
        <v>609</v>
      </c>
      <c r="E93" s="41">
        <f>'2. Toimintakate'!F93+'4. Valtionosuudet'!N93+'3. Verotulot'!Q93+'5. Rahoitustuotot ja -kulut'!E93</f>
        <v>-124</v>
      </c>
      <c r="F93" s="41">
        <f>'2. Toimintakate'!G93+'4. Valtionosuudet'!T93+'3. Verotulot'!V93+'5. Rahoitustuotot ja -kulut'!F93</f>
        <v>42</v>
      </c>
      <c r="G93" s="41">
        <f>'2. Toimintakate'!H93+'3. Verotulot'!AA93+'4. Valtionosuudet'!Z93+'5. Rahoitustuotot ja -kulut'!G93</f>
        <v>1211</v>
      </c>
      <c r="H93" s="41">
        <f>Käyttökate!H93+'5. Rahoitustuotot ja -kulut'!H93</f>
        <v>1173.6626847208499</v>
      </c>
      <c r="I93" s="41">
        <f>Käyttökate!I93+'5. Rahoitustuotot ja -kulut'!I93</f>
        <v>1396.4617336703509</v>
      </c>
      <c r="J93" s="41">
        <f>Käyttökate!J93+'5. Rahoitustuotot ja -kulut'!J93</f>
        <v>1229.3303263153152</v>
      </c>
      <c r="K93" s="41">
        <f>Käyttökate!K93+'5. Rahoitustuotot ja -kulut'!K93</f>
        <v>-49.685303269909653</v>
      </c>
      <c r="L93" s="41">
        <f>Käyttökate!L93+'5. Rahoitustuotot ja -kulut'!L93</f>
        <v>3484.896551465692</v>
      </c>
      <c r="M93" s="41">
        <f>Käyttökate!M93+'5. Rahoitustuotot ja -kulut'!M93</f>
        <v>2326.2930281549279</v>
      </c>
      <c r="N93" s="41">
        <f>Käyttökate!N93+'5. Rahoitustuotot ja -kulut'!N93</f>
        <v>2097.9186896449492</v>
      </c>
      <c r="O93" s="41">
        <f>Käyttökate!O93+'5. Rahoitustuotot ja -kulut'!O93</f>
        <v>2266.0454562027057</v>
      </c>
      <c r="P93" s="41">
        <f>Käyttökate!P93+'5. Rahoitustuotot ja -kulut'!P93</f>
        <v>2327.2251113037291</v>
      </c>
      <c r="T93" s="34">
        <v>239</v>
      </c>
      <c r="U93" s="88" t="s">
        <v>407</v>
      </c>
      <c r="V93" s="41" t="e">
        <f>C93/'1. Väestöennuste'!E93*1000</f>
        <v>#REF!</v>
      </c>
      <c r="W93" s="41">
        <f>D93/'1. Väestöennuste'!F93*1000</f>
        <v>259.59079283887473</v>
      </c>
      <c r="X93" s="41">
        <f>E93/'1. Väestöennuste'!G93*1000</f>
        <v>-53.702901689042875</v>
      </c>
      <c r="Y93" s="41">
        <f>F93/'1. Väestöennuste'!H93*1000</f>
        <v>18.71657754010695</v>
      </c>
      <c r="Z93" s="41">
        <f>G93/'1. Väestöennuste'!I93*1000</f>
        <v>549.95458673932785</v>
      </c>
      <c r="AA93" s="41">
        <f>H93/'1. Väestöennuste'!J93*1000</f>
        <v>544.62305555491878</v>
      </c>
      <c r="AB93" s="41">
        <f>I93/'1. Väestöennuste'!K93*1000</f>
        <v>666.56884662069263</v>
      </c>
      <c r="AC93" s="41">
        <f>J93/'1. Väestöennuste'!L93*1000</f>
        <v>605.87990454180147</v>
      </c>
      <c r="AD93" s="41">
        <f>K93/'1. Väestöennuste'!M93*1000</f>
        <v>-24.415382442216046</v>
      </c>
      <c r="AE93" s="41">
        <f>L93/'1. Väestöennuste'!N93*1000</f>
        <v>1738.1030181873775</v>
      </c>
      <c r="AF93" s="41">
        <f>M93/'1. Väestöennuste'!O93*1000</f>
        <v>1180.2602882571932</v>
      </c>
      <c r="AG93" s="41">
        <f>N93/'1. Väestöennuste'!P93*1000</f>
        <v>1079.7316982217958</v>
      </c>
      <c r="AH93" s="41">
        <f>O93/'1. Väestöennuste'!Q93*1000</f>
        <v>1183.9317952992192</v>
      </c>
      <c r="AI93" s="41">
        <f>P93/'1. Väestöennuste'!R93*1000</f>
        <v>1231.9878831676704</v>
      </c>
      <c r="AK93" s="41">
        <f>'6. Poistot'!Z93</f>
        <v>260.67211625794732</v>
      </c>
      <c r="AL93" s="41">
        <f>'6. Poistot'!AA93</f>
        <v>265.42923433874711</v>
      </c>
      <c r="AM93" s="41">
        <f>'6. Poistot'!AB93</f>
        <v>363.55067780429596</v>
      </c>
      <c r="AN93" s="41">
        <f>'6. Poistot'!AC93</f>
        <v>381.12876293740754</v>
      </c>
      <c r="AO93" s="41">
        <f>'6. Poistot'!AD93</f>
        <v>351.65753316953311</v>
      </c>
      <c r="AP93" s="41">
        <f>'6. Poistot'!AE93</f>
        <v>344.05486284289276</v>
      </c>
      <c r="AQ93" s="41">
        <f>'6. Poistot'!AF93</f>
        <v>350.07610350076101</v>
      </c>
      <c r="AR93" s="41">
        <f>'6. Poistot'!AG93</f>
        <v>355.12094698919196</v>
      </c>
      <c r="AS93" s="41">
        <f>'6. Poistot'!AH93</f>
        <v>372.13363375556878</v>
      </c>
      <c r="AT93" s="41">
        <f>'6. Poistot'!AI93</f>
        <v>388.84465326432883</v>
      </c>
      <c r="AV93" s="4">
        <f t="shared" si="29"/>
        <v>0</v>
      </c>
      <c r="AW93" s="4">
        <f t="shared" si="30"/>
        <v>0</v>
      </c>
      <c r="AX93" s="4">
        <f t="shared" si="31"/>
        <v>1</v>
      </c>
      <c r="AY93" s="4">
        <f t="shared" si="32"/>
        <v>0</v>
      </c>
      <c r="AZ93" s="4">
        <f t="shared" si="33"/>
        <v>0</v>
      </c>
      <c r="BA93" s="4">
        <f t="shared" si="34"/>
        <v>0</v>
      </c>
      <c r="BB93" s="4">
        <f t="shared" si="35"/>
        <v>0</v>
      </c>
      <c r="BC93" s="4">
        <f t="shared" si="36"/>
        <v>0</v>
      </c>
      <c r="BE93" s="405">
        <f t="shared" si="37"/>
        <v>0</v>
      </c>
      <c r="BF93" s="405">
        <f t="shared" si="38"/>
        <v>0</v>
      </c>
      <c r="BG93" s="405">
        <f t="shared" si="39"/>
        <v>0</v>
      </c>
      <c r="BH93" s="405">
        <f t="shared" si="40"/>
        <v>0</v>
      </c>
      <c r="BI93" s="405">
        <f t="shared" si="41"/>
        <v>-1</v>
      </c>
      <c r="BJ93" s="405">
        <f t="shared" si="42"/>
        <v>0</v>
      </c>
      <c r="BK93" s="405">
        <f t="shared" si="43"/>
        <v>0</v>
      </c>
      <c r="BL93" s="405">
        <f t="shared" si="44"/>
        <v>0</v>
      </c>
      <c r="BM93" s="405">
        <f t="shared" si="45"/>
        <v>0</v>
      </c>
      <c r="BN93" s="405">
        <f t="shared" si="45"/>
        <v>0</v>
      </c>
    </row>
    <row r="94" spans="1:66" x14ac:dyDescent="0.2">
      <c r="A94" s="34">
        <v>240</v>
      </c>
      <c r="B94" s="88" t="s">
        <v>408</v>
      </c>
      <c r="C94" s="41" t="e">
        <f>'2. Toimintakate'!D94+'3. Verotulot'!G94+'4. Valtionosuudet'!#REF!+'5. Rahoitustuotot ja -kulut'!C94</f>
        <v>#REF!</v>
      </c>
      <c r="D94" s="41">
        <f>'2. Toimintakate'!E94+'4. Valtionosuudet'!H94+'3. Verotulot'!L94+'5. Rahoitustuotot ja -kulut'!D94</f>
        <v>2514</v>
      </c>
      <c r="E94" s="41">
        <f>'2. Toimintakate'!F94+'4. Valtionosuudet'!N94+'3. Verotulot'!Q94+'5. Rahoitustuotot ja -kulut'!E94</f>
        <v>6775</v>
      </c>
      <c r="F94" s="41">
        <f>'2. Toimintakate'!G94+'4. Valtionosuudet'!T94+'3. Verotulot'!V94+'5. Rahoitustuotot ja -kulut'!F94</f>
        <v>-3955</v>
      </c>
      <c r="G94" s="41">
        <f>'2. Toimintakate'!H94+'3. Verotulot'!AA94+'4. Valtionosuudet'!Z94+'5. Rahoitustuotot ja -kulut'!G94</f>
        <v>-7870</v>
      </c>
      <c r="H94" s="41">
        <f>Käyttökate!H94+'5. Rahoitustuotot ja -kulut'!H94</f>
        <v>7019.0637529057058</v>
      </c>
      <c r="I94" s="41">
        <f>Käyttökate!I94+'5. Rahoitustuotot ja -kulut'!I94</f>
        <v>2331.0869890627173</v>
      </c>
      <c r="J94" s="41">
        <f>Käyttökate!J94+'5. Rahoitustuotot ja -kulut'!J94</f>
        <v>481.24088204221766</v>
      </c>
      <c r="K94" s="41">
        <f>Käyttökate!K94+'5. Rahoitustuotot ja -kulut'!K94</f>
        <v>13047.832897883423</v>
      </c>
      <c r="L94" s="41">
        <f>Käyttökate!L94+'5. Rahoitustuotot ja -kulut'!L94</f>
        <v>8135.5463204818761</v>
      </c>
      <c r="M94" s="41">
        <f>Käyttökate!M94+'5. Rahoitustuotot ja -kulut'!M94</f>
        <v>8042.445290283571</v>
      </c>
      <c r="N94" s="41">
        <f>Käyttökate!N94+'5. Rahoitustuotot ja -kulut'!N94</f>
        <v>5862.0706672290244</v>
      </c>
      <c r="O94" s="41">
        <f>Käyttökate!O94+'5. Rahoitustuotot ja -kulut'!O94</f>
        <v>7018.3458774201426</v>
      </c>
      <c r="P94" s="41">
        <f>Käyttökate!P94+'5. Rahoitustuotot ja -kulut'!P94</f>
        <v>9663.0231193812797</v>
      </c>
      <c r="T94" s="34">
        <v>240</v>
      </c>
      <c r="U94" s="88" t="s">
        <v>408</v>
      </c>
      <c r="V94" s="41" t="e">
        <f>C94/'1. Väestöennuste'!E94*1000</f>
        <v>#REF!</v>
      </c>
      <c r="W94" s="41">
        <f>D94/'1. Väestöennuste'!F94*1000</f>
        <v>116.37811313767243</v>
      </c>
      <c r="X94" s="41">
        <f>E94/'1. Väestöennuste'!G94*1000</f>
        <v>318.73353406097107</v>
      </c>
      <c r="Y94" s="41">
        <f>F94/'1. Väestöennuste'!H94*1000</f>
        <v>-188.14518814518817</v>
      </c>
      <c r="Z94" s="41">
        <f>G94/'1. Väestöennuste'!I94*1000</f>
        <v>-380.0647124160912</v>
      </c>
      <c r="AA94" s="41">
        <f>H94/'1. Väestöennuste'!J94*1000</f>
        <v>343.44883069460809</v>
      </c>
      <c r="AB94" s="41">
        <f>I94/'1. Väestöennuste'!K94*1000</f>
        <v>116.65934286171141</v>
      </c>
      <c r="AC94" s="41">
        <f>J94/'1. Väestöennuste'!L94*1000</f>
        <v>24.680285247562317</v>
      </c>
      <c r="AD94" s="41">
        <f>K94/'1. Väestöennuste'!M94*1000</f>
        <v>673.57559743345325</v>
      </c>
      <c r="AE94" s="41">
        <f>L94/'1. Väestöennuste'!N94*1000</f>
        <v>420.61556821848183</v>
      </c>
      <c r="AF94" s="41">
        <f>M94/'1. Väestöennuste'!O94*1000</f>
        <v>421.20274904596056</v>
      </c>
      <c r="AG94" s="41">
        <f>N94/'1. Väestöennuste'!P94*1000</f>
        <v>310.90271372203784</v>
      </c>
      <c r="AH94" s="41">
        <f>O94/'1. Väestöennuste'!Q94*1000</f>
        <v>376.84417297144233</v>
      </c>
      <c r="AI94" s="41">
        <f>P94/'1. Väestöennuste'!R94*1000</f>
        <v>525.07868931050803</v>
      </c>
      <c r="AK94" s="41">
        <f>'6. Poistot'!Z94</f>
        <v>245.66571690732601</v>
      </c>
      <c r="AL94" s="41">
        <f>'6. Poistot'!AA94</f>
        <v>249.25380437441893</v>
      </c>
      <c r="AM94" s="41">
        <f>'6. Poistot'!AB94</f>
        <v>464.78725853267946</v>
      </c>
      <c r="AN94" s="41">
        <f>'6. Poistot'!AC94</f>
        <v>255.19976870608753</v>
      </c>
      <c r="AO94" s="41">
        <f>'6. Poistot'!AD94</f>
        <v>281.27760053688507</v>
      </c>
      <c r="AP94" s="41">
        <f>'6. Poistot'!AE94</f>
        <v>253.33471202564368</v>
      </c>
      <c r="AQ94" s="41">
        <f>'6. Poistot'!AF94</f>
        <v>256.62511783806428</v>
      </c>
      <c r="AR94" s="41">
        <f>'6. Poistot'!AG94</f>
        <v>254.57438345266507</v>
      </c>
      <c r="AS94" s="41">
        <f>'6. Poistot'!AH94</f>
        <v>266.04802592565318</v>
      </c>
      <c r="AT94" s="41">
        <f>'6. Poistot'!AI94</f>
        <v>277.65890722592667</v>
      </c>
      <c r="AV94" s="4">
        <f t="shared" si="29"/>
        <v>1</v>
      </c>
      <c r="AW94" s="4">
        <f t="shared" si="30"/>
        <v>1</v>
      </c>
      <c r="AX94" s="4">
        <f t="shared" si="31"/>
        <v>0</v>
      </c>
      <c r="AY94" s="4">
        <f t="shared" si="32"/>
        <v>0</v>
      </c>
      <c r="AZ94" s="4">
        <f t="shared" si="33"/>
        <v>0</v>
      </c>
      <c r="BA94" s="4">
        <f t="shared" si="34"/>
        <v>0</v>
      </c>
      <c r="BB94" s="4">
        <f t="shared" si="35"/>
        <v>0</v>
      </c>
      <c r="BC94" s="4">
        <f t="shared" si="36"/>
        <v>0</v>
      </c>
      <c r="BE94" s="405">
        <f t="shared" si="37"/>
        <v>-1</v>
      </c>
      <c r="BF94" s="405">
        <f t="shared" si="38"/>
        <v>0</v>
      </c>
      <c r="BG94" s="405">
        <f t="shared" si="39"/>
        <v>0</v>
      </c>
      <c r="BH94" s="405">
        <f t="shared" si="40"/>
        <v>0</v>
      </c>
      <c r="BI94" s="405">
        <f t="shared" si="41"/>
        <v>0</v>
      </c>
      <c r="BJ94" s="405">
        <f t="shared" si="42"/>
        <v>0</v>
      </c>
      <c r="BK94" s="405">
        <f t="shared" si="43"/>
        <v>0</v>
      </c>
      <c r="BL94" s="405">
        <f t="shared" si="44"/>
        <v>0</v>
      </c>
      <c r="BM94" s="405">
        <f t="shared" si="45"/>
        <v>0</v>
      </c>
      <c r="BN94" s="405">
        <f t="shared" si="45"/>
        <v>0</v>
      </c>
    </row>
    <row r="95" spans="1:66" x14ac:dyDescent="0.2">
      <c r="A95" s="34">
        <v>241</v>
      </c>
      <c r="B95" s="88" t="s">
        <v>409</v>
      </c>
      <c r="C95" s="41" t="e">
        <f>'2. Toimintakate'!D95+'3. Verotulot'!G95+'4. Valtionosuudet'!#REF!+'5. Rahoitustuotot ja -kulut'!C95</f>
        <v>#REF!</v>
      </c>
      <c r="D95" s="41">
        <f>'2. Toimintakate'!E95+'4. Valtionosuudet'!H95+'3. Verotulot'!L95+'5. Rahoitustuotot ja -kulut'!D95</f>
        <v>3235</v>
      </c>
      <c r="E95" s="41">
        <f>'2. Toimintakate'!F95+'4. Valtionosuudet'!N95+'3. Verotulot'!Q95+'5. Rahoitustuotot ja -kulut'!E95</f>
        <v>2551</v>
      </c>
      <c r="F95" s="41">
        <f>'2. Toimintakate'!G95+'4. Valtionosuudet'!T95+'3. Verotulot'!V95+'5. Rahoitustuotot ja -kulut'!F95</f>
        <v>175</v>
      </c>
      <c r="G95" s="41">
        <f>'2. Toimintakate'!H95+'3. Verotulot'!AA95+'4. Valtionosuudet'!Z95+'5. Rahoitustuotot ja -kulut'!G95</f>
        <v>739</v>
      </c>
      <c r="H95" s="41">
        <f>Käyttökate!H95+'5. Rahoitustuotot ja -kulut'!H95</f>
        <v>4483.984532433853</v>
      </c>
      <c r="I95" s="41">
        <f>Käyttökate!I95+'5. Rahoitustuotot ja -kulut'!I95</f>
        <v>3612.5619516734878</v>
      </c>
      <c r="J95" s="41">
        <f>Käyttökate!J95+'5. Rahoitustuotot ja -kulut'!J95</f>
        <v>41649.379055695747</v>
      </c>
      <c r="K95" s="41">
        <f>Käyttökate!K95+'5. Rahoitustuotot ja -kulut'!K95</f>
        <v>5461.4859404724248</v>
      </c>
      <c r="L95" s="41">
        <f>Käyttökate!L95+'5. Rahoitustuotot ja -kulut'!L95</f>
        <v>2212.0539590452258</v>
      </c>
      <c r="M95" s="41">
        <f>Käyttökate!M95+'5. Rahoitustuotot ja -kulut'!M95</f>
        <v>1416.410058596332</v>
      </c>
      <c r="N95" s="41">
        <f>Käyttökate!N95+'5. Rahoitustuotot ja -kulut'!N95</f>
        <v>1423.4594763473483</v>
      </c>
      <c r="O95" s="41">
        <f>Käyttökate!O95+'5. Rahoitustuotot ja -kulut'!O95</f>
        <v>1497.3814828175648</v>
      </c>
      <c r="P95" s="41">
        <f>Käyttökate!P95+'5. Rahoitustuotot ja -kulut'!P95</f>
        <v>2525.9890706813385</v>
      </c>
      <c r="T95" s="34">
        <v>241</v>
      </c>
      <c r="U95" s="88" t="s">
        <v>409</v>
      </c>
      <c r="V95" s="41" t="e">
        <f>C95/'1. Väestöennuste'!E95*1000</f>
        <v>#REF!</v>
      </c>
      <c r="W95" s="41">
        <f>D95/'1. Väestöennuste'!F95*1000</f>
        <v>389.00913900913901</v>
      </c>
      <c r="X95" s="41">
        <f>E95/'1. Väestöennuste'!G95*1000</f>
        <v>307.49758919961431</v>
      </c>
      <c r="Y95" s="41">
        <f>F95/'1. Väestöennuste'!H95*1000</f>
        <v>21.480299496747271</v>
      </c>
      <c r="Z95" s="41">
        <f>G95/'1. Väestöennuste'!I95*1000</f>
        <v>91.471716796633245</v>
      </c>
      <c r="AA95" s="41">
        <f>H95/'1. Väestöennuste'!J95*1000</f>
        <v>561.62130917257684</v>
      </c>
      <c r="AB95" s="41">
        <f>I95/'1. Väestöennuste'!K95*1000</f>
        <v>457.05490279269833</v>
      </c>
      <c r="AC95" s="41">
        <f>J95/'1. Väestöennuste'!L95*1000</f>
        <v>5359.5906647401553</v>
      </c>
      <c r="AD95" s="41">
        <f>K95/'1. Väestöennuste'!M95*1000</f>
        <v>710.1138916229911</v>
      </c>
      <c r="AE95" s="41">
        <f>L95/'1. Väestöennuste'!N95*1000</f>
        <v>286.83272290524189</v>
      </c>
      <c r="AF95" s="41">
        <f>M95/'1. Väestöennuste'!O95*1000</f>
        <v>185.27273493738807</v>
      </c>
      <c r="AG95" s="41">
        <f>N95/'1. Väestöennuste'!P95*1000</f>
        <v>187.84104992707157</v>
      </c>
      <c r="AH95" s="41">
        <f>O95/'1. Väestöennuste'!Q95*1000</f>
        <v>199.49127135858842</v>
      </c>
      <c r="AI95" s="41">
        <f>P95/'1. Väestöennuste'!R95*1000</f>
        <v>339.60595196038429</v>
      </c>
      <c r="AK95" s="41">
        <f>'6. Poistot'!Z95</f>
        <v>208.9367495977225</v>
      </c>
      <c r="AL95" s="41">
        <f>'6. Poistot'!AA95</f>
        <v>210.92184368737475</v>
      </c>
      <c r="AM95" s="41">
        <f>'6. Poistot'!AB95</f>
        <v>320.66272773279354</v>
      </c>
      <c r="AN95" s="41">
        <f>'6. Poistot'!AC95</f>
        <v>488.40310127396737</v>
      </c>
      <c r="AO95" s="41">
        <f>'6. Poistot'!AD95</f>
        <v>250.46829020933558</v>
      </c>
      <c r="AP95" s="41">
        <f>'6. Poistot'!AE95</f>
        <v>240.66390041493776</v>
      </c>
      <c r="AQ95" s="41">
        <f>'6. Poistot'!AF95</f>
        <v>243.20470896010463</v>
      </c>
      <c r="AR95" s="41">
        <f>'6. Poistot'!AG95</f>
        <v>242.04275534441805</v>
      </c>
      <c r="AS95" s="41">
        <f>'6. Poistot'!AH95</f>
        <v>252.24925684958595</v>
      </c>
      <c r="AT95" s="41">
        <f>'6. Poistot'!AI95</f>
        <v>262.51221347485671</v>
      </c>
      <c r="AV95" s="4">
        <f t="shared" si="29"/>
        <v>0</v>
      </c>
      <c r="AW95" s="4">
        <f t="shared" si="30"/>
        <v>0</v>
      </c>
      <c r="AX95" s="4">
        <f t="shared" si="31"/>
        <v>0</v>
      </c>
      <c r="AY95" s="4">
        <f t="shared" si="32"/>
        <v>0</v>
      </c>
      <c r="AZ95" s="4">
        <f t="shared" si="33"/>
        <v>1</v>
      </c>
      <c r="BA95" s="4">
        <f t="shared" si="34"/>
        <v>1</v>
      </c>
      <c r="BB95" s="4">
        <f t="shared" si="35"/>
        <v>1</v>
      </c>
      <c r="BC95" s="4">
        <f t="shared" si="36"/>
        <v>0</v>
      </c>
      <c r="BE95" s="405">
        <f t="shared" si="37"/>
        <v>0</v>
      </c>
      <c r="BF95" s="405">
        <f t="shared" si="38"/>
        <v>0</v>
      </c>
      <c r="BG95" s="405">
        <f t="shared" si="39"/>
        <v>0</v>
      </c>
      <c r="BH95" s="405">
        <f t="shared" si="40"/>
        <v>0</v>
      </c>
      <c r="BI95" s="405">
        <f t="shared" si="41"/>
        <v>0</v>
      </c>
      <c r="BJ95" s="405">
        <f t="shared" si="42"/>
        <v>0</v>
      </c>
      <c r="BK95" s="405">
        <f t="shared" si="43"/>
        <v>0</v>
      </c>
      <c r="BL95" s="405">
        <f t="shared" si="44"/>
        <v>0</v>
      </c>
      <c r="BM95" s="405">
        <f t="shared" si="45"/>
        <v>0</v>
      </c>
      <c r="BN95" s="405">
        <f t="shared" si="45"/>
        <v>0</v>
      </c>
    </row>
    <row r="96" spans="1:66" x14ac:dyDescent="0.2">
      <c r="A96" s="34">
        <v>244</v>
      </c>
      <c r="B96" s="88" t="s">
        <v>410</v>
      </c>
      <c r="C96" s="41" t="e">
        <f>'2. Toimintakate'!D96+'3. Verotulot'!G96+'4. Valtionosuudet'!#REF!+'5. Rahoitustuotot ja -kulut'!C96</f>
        <v>#REF!</v>
      </c>
      <c r="D96" s="41">
        <f>'2. Toimintakate'!E96+'4. Valtionosuudet'!H96+'3. Verotulot'!L96+'5. Rahoitustuotot ja -kulut'!D96</f>
        <v>9685</v>
      </c>
      <c r="E96" s="41">
        <f>'2. Toimintakate'!F96+'4. Valtionosuudet'!N96+'3. Verotulot'!Q96+'5. Rahoitustuotot ja -kulut'!E96</f>
        <v>7445</v>
      </c>
      <c r="F96" s="41">
        <f>'2. Toimintakate'!G96+'4. Valtionosuudet'!T96+'3. Verotulot'!V96+'5. Rahoitustuotot ja -kulut'!F96</f>
        <v>6618</v>
      </c>
      <c r="G96" s="41">
        <f>'2. Toimintakate'!H96+'3. Verotulot'!AA96+'4. Valtionosuudet'!Z96+'5. Rahoitustuotot ja -kulut'!G96</f>
        <v>1701</v>
      </c>
      <c r="H96" s="41">
        <f>Käyttökate!H96+'5. Rahoitustuotot ja -kulut'!H96</f>
        <v>7038.1784479610287</v>
      </c>
      <c r="I96" s="41">
        <f>Käyttökate!I96+'5. Rahoitustuotot ja -kulut'!I96</f>
        <v>6695.5584097029805</v>
      </c>
      <c r="J96" s="41">
        <f>Käyttökate!J96+'5. Rahoitustuotot ja -kulut'!J96</f>
        <v>10114.757576732529</v>
      </c>
      <c r="K96" s="41">
        <f>Käyttökate!K96+'5. Rahoitustuotot ja -kulut'!K96</f>
        <v>8502.3410804095856</v>
      </c>
      <c r="L96" s="41">
        <f>Käyttökate!L96+'5. Rahoitustuotot ja -kulut'!L96</f>
        <v>4026.5951521351053</v>
      </c>
      <c r="M96" s="41">
        <f>Käyttökate!M96+'5. Rahoitustuotot ja -kulut'!M96</f>
        <v>3459.5213334069012</v>
      </c>
      <c r="N96" s="41">
        <f>Käyttökate!N96+'5. Rahoitustuotot ja -kulut'!N96</f>
        <v>2747.9244128021382</v>
      </c>
      <c r="O96" s="41">
        <f>Käyttökate!O96+'5. Rahoitustuotot ja -kulut'!O96</f>
        <v>3323.1247443453367</v>
      </c>
      <c r="P96" s="41">
        <f>Käyttökate!P96+'5. Rahoitustuotot ja -kulut'!P96</f>
        <v>2364.8268913116508</v>
      </c>
      <c r="T96" s="34">
        <v>244</v>
      </c>
      <c r="U96" s="88" t="s">
        <v>410</v>
      </c>
      <c r="V96" s="41" t="e">
        <f>C96/'1. Väestöennuste'!E96*1000</f>
        <v>#REF!</v>
      </c>
      <c r="W96" s="41">
        <f>D96/'1. Väestöennuste'!F96*1000</f>
        <v>559.92368618835644</v>
      </c>
      <c r="X96" s="41">
        <f>E96/'1. Väestöennuste'!G96*1000</f>
        <v>424.57941260336469</v>
      </c>
      <c r="Y96" s="41">
        <f>F96/'1. Väestöennuste'!H96*1000</f>
        <v>369.24621994085811</v>
      </c>
      <c r="Z96" s="41">
        <f>G96/'1. Väestöennuste'!I96*1000</f>
        <v>92.67229637700899</v>
      </c>
      <c r="AA96" s="41">
        <f>H96/'1. Väestöennuste'!J96*1000</f>
        <v>374.450864437169</v>
      </c>
      <c r="AB96" s="41">
        <f>I96/'1. Väestöennuste'!K96*1000</f>
        <v>350.25938531612161</v>
      </c>
      <c r="AC96" s="41">
        <f>J96/'1. Väestöennuste'!L96*1000</f>
        <v>524.08070345764406</v>
      </c>
      <c r="AD96" s="41">
        <f>K96/'1. Väestöennuste'!M96*1000</f>
        <v>435.70467768830514</v>
      </c>
      <c r="AE96" s="41">
        <f>L96/'1. Väestöennuste'!N96*1000</f>
        <v>199.76162882051423</v>
      </c>
      <c r="AF96" s="41">
        <f>M96/'1. Väestöennuste'!O96*1000</f>
        <v>169.22767369793578</v>
      </c>
      <c r="AG96" s="41">
        <f>N96/'1. Väestöennuste'!P96*1000</f>
        <v>132.68587217779518</v>
      </c>
      <c r="AH96" s="41">
        <f>O96/'1. Väestöennuste'!Q96*1000</f>
        <v>158.50065555400823</v>
      </c>
      <c r="AI96" s="41">
        <f>P96/'1. Väestöennuste'!R96*1000</f>
        <v>111.5326553464911</v>
      </c>
      <c r="AK96" s="41">
        <f>'6. Poistot'!Z96</f>
        <v>285.53527649141927</v>
      </c>
      <c r="AL96" s="41">
        <f>'6. Poistot'!AA96</f>
        <v>357.73568844434988</v>
      </c>
      <c r="AM96" s="41">
        <f>'6. Poistot'!AB96</f>
        <v>372.80733678593845</v>
      </c>
      <c r="AN96" s="41">
        <f>'6. Poistot'!AC96</f>
        <v>368.9723725388601</v>
      </c>
      <c r="AO96" s="41">
        <f>'6. Poistot'!AD96</f>
        <v>340.64362201496363</v>
      </c>
      <c r="AP96" s="41">
        <f>'6. Poistot'!AE96</f>
        <v>305.23887483256436</v>
      </c>
      <c r="AQ96" s="41">
        <f>'6. Poistot'!AF96</f>
        <v>325.02568116225603</v>
      </c>
      <c r="AR96" s="41">
        <f>'6. Poistot'!AG96</f>
        <v>346.49927571221633</v>
      </c>
      <c r="AS96" s="41">
        <f>'6. Poistot'!AH96</f>
        <v>353.31218449322</v>
      </c>
      <c r="AT96" s="41">
        <f>'6. Poistot'!AI96</f>
        <v>360.28328633541003</v>
      </c>
      <c r="AV96" s="4">
        <f t="shared" si="29"/>
        <v>1</v>
      </c>
      <c r="AW96" s="4">
        <f t="shared" si="30"/>
        <v>0</v>
      </c>
      <c r="AX96" s="4">
        <f t="shared" si="31"/>
        <v>0</v>
      </c>
      <c r="AY96" s="4">
        <f t="shared" si="32"/>
        <v>1</v>
      </c>
      <c r="AZ96" s="4">
        <f t="shared" si="33"/>
        <v>1</v>
      </c>
      <c r="BA96" s="4">
        <f t="shared" si="34"/>
        <v>1</v>
      </c>
      <c r="BB96" s="4">
        <f t="shared" si="35"/>
        <v>1</v>
      </c>
      <c r="BC96" s="4">
        <f t="shared" si="36"/>
        <v>1</v>
      </c>
      <c r="BE96" s="405">
        <f t="shared" si="37"/>
        <v>0</v>
      </c>
      <c r="BF96" s="405">
        <f t="shared" si="38"/>
        <v>0</v>
      </c>
      <c r="BG96" s="405">
        <f t="shared" si="39"/>
        <v>0</v>
      </c>
      <c r="BH96" s="405">
        <f t="shared" si="40"/>
        <v>0</v>
      </c>
      <c r="BI96" s="405">
        <f t="shared" si="41"/>
        <v>0</v>
      </c>
      <c r="BJ96" s="405">
        <f t="shared" si="42"/>
        <v>0</v>
      </c>
      <c r="BK96" s="405">
        <f t="shared" si="43"/>
        <v>0</v>
      </c>
      <c r="BL96" s="405">
        <f t="shared" si="44"/>
        <v>0</v>
      </c>
      <c r="BM96" s="405">
        <f t="shared" si="45"/>
        <v>0</v>
      </c>
      <c r="BN96" s="405">
        <f t="shared" si="45"/>
        <v>0</v>
      </c>
    </row>
    <row r="97" spans="1:66" x14ac:dyDescent="0.2">
      <c r="A97" s="34">
        <v>245</v>
      </c>
      <c r="B97" s="88" t="s">
        <v>411</v>
      </c>
      <c r="C97" s="41" t="e">
        <f>'2. Toimintakate'!D97+'3. Verotulot'!G97+'4. Valtionosuudet'!#REF!+'5. Rahoitustuotot ja -kulut'!C97</f>
        <v>#REF!</v>
      </c>
      <c r="D97" s="41">
        <f>'2. Toimintakate'!E97+'4. Valtionosuudet'!H97+'3. Verotulot'!L97+'5. Rahoitustuotot ja -kulut'!D97</f>
        <v>26100</v>
      </c>
      <c r="E97" s="41">
        <f>'2. Toimintakate'!F97+'4. Valtionosuudet'!N97+'3. Verotulot'!Q97+'5. Rahoitustuotot ja -kulut'!E97</f>
        <v>21050</v>
      </c>
      <c r="F97" s="41">
        <f>'2. Toimintakate'!G97+'4. Valtionosuudet'!T97+'3. Verotulot'!V97+'5. Rahoitustuotot ja -kulut'!F97</f>
        <v>13917</v>
      </c>
      <c r="G97" s="41">
        <f>'2. Toimintakate'!H97+'3. Verotulot'!AA97+'4. Valtionosuudet'!Z97+'5. Rahoitustuotot ja -kulut'!G97</f>
        <v>9223</v>
      </c>
      <c r="H97" s="41">
        <f>Käyttökate!H97+'5. Rahoitustuotot ja -kulut'!H97</f>
        <v>16787.582055914965</v>
      </c>
      <c r="I97" s="41">
        <f>Käyttökate!I97+'5. Rahoitustuotot ja -kulut'!I97</f>
        <v>11256.780171237648</v>
      </c>
      <c r="J97" s="41">
        <f>Käyttökate!J97+'5. Rahoitustuotot ja -kulut'!J97</f>
        <v>6215.2124908345195</v>
      </c>
      <c r="K97" s="41">
        <f>Käyttökate!K97+'5. Rahoitustuotot ja -kulut'!K97</f>
        <v>27369.752668809517</v>
      </c>
      <c r="L97" s="41">
        <f>Käyttökate!L97+'5. Rahoitustuotot ja -kulut'!L97</f>
        <v>21284.158345176922</v>
      </c>
      <c r="M97" s="41">
        <f>Käyttökate!M97+'5. Rahoitustuotot ja -kulut'!M97</f>
        <v>14936.453551737701</v>
      </c>
      <c r="N97" s="41">
        <f>Käyttökate!N97+'5. Rahoitustuotot ja -kulut'!N97</f>
        <v>15307.498412860978</v>
      </c>
      <c r="O97" s="41">
        <f>Käyttökate!O97+'5. Rahoitustuotot ja -kulut'!O97</f>
        <v>15593.198922608493</v>
      </c>
      <c r="P97" s="41">
        <f>Käyttökate!P97+'5. Rahoitustuotot ja -kulut'!P97</f>
        <v>17750.112753635567</v>
      </c>
      <c r="T97" s="34">
        <v>245</v>
      </c>
      <c r="U97" s="88" t="s">
        <v>411</v>
      </c>
      <c r="V97" s="41" t="e">
        <f>C97/'1. Väestöennuste'!E97*1000</f>
        <v>#REF!</v>
      </c>
      <c r="W97" s="41">
        <f>D97/'1. Väestöennuste'!F97*1000</f>
        <v>734.98352623130859</v>
      </c>
      <c r="X97" s="41">
        <f>E97/'1. Väestöennuste'!G97*1000</f>
        <v>592.05715250042192</v>
      </c>
      <c r="Y97" s="41">
        <f>F97/'1. Väestöennuste'!H97*1000</f>
        <v>383.87488277155626</v>
      </c>
      <c r="Z97" s="41">
        <f>G97/'1. Väestöennuste'!I97*1000</f>
        <v>250.92501904450975</v>
      </c>
      <c r="AA97" s="41">
        <f>H97/'1. Väestöennuste'!J97*1000</f>
        <v>452.43449820549699</v>
      </c>
      <c r="AB97" s="41">
        <f>I97/'1. Väestöennuste'!K97*1000</f>
        <v>302.34153876336609</v>
      </c>
      <c r="AC97" s="41">
        <f>J97/'1. Väestöennuste'!L97*1000</f>
        <v>164.96476512460239</v>
      </c>
      <c r="AD97" s="41">
        <f>K97/'1. Väestöennuste'!M97*1000</f>
        <v>716.27941348851164</v>
      </c>
      <c r="AE97" s="41">
        <f>L97/'1. Väestöennuste'!N97*1000</f>
        <v>551.41735136083639</v>
      </c>
      <c r="AF97" s="41">
        <f>M97/'1. Väestöennuste'!O97*1000</f>
        <v>383.82252477804707</v>
      </c>
      <c r="AG97" s="41">
        <f>N97/'1. Väestöennuste'!P97*1000</f>
        <v>390.31818075529037</v>
      </c>
      <c r="AH97" s="41">
        <f>O97/'1. Väestöennuste'!Q97*1000</f>
        <v>394.77452397803722</v>
      </c>
      <c r="AI97" s="41">
        <f>P97/'1. Väestöennuste'!R97*1000</f>
        <v>446.3528240409276</v>
      </c>
      <c r="AK97" s="41">
        <f>'6. Poistot'!Z97</f>
        <v>597.26303188595068</v>
      </c>
      <c r="AL97" s="41">
        <f>'6. Poistot'!AA97</f>
        <v>441.96199973049454</v>
      </c>
      <c r="AM97" s="41">
        <f>'6. Poistot'!AB97</f>
        <v>461.45738746239789</v>
      </c>
      <c r="AN97" s="41">
        <f>'6. Poistot'!AC97</f>
        <v>490.30188687758783</v>
      </c>
      <c r="AO97" s="41">
        <f>'6. Poistot'!AD97</f>
        <v>518.19511344900684</v>
      </c>
      <c r="AP97" s="41">
        <f>'6. Poistot'!AE97</f>
        <v>504.22086064405812</v>
      </c>
      <c r="AQ97" s="41">
        <f>'6. Poistot'!AF97</f>
        <v>504.77373763330337</v>
      </c>
      <c r="AR97" s="41">
        <f>'6. Poistot'!AG97</f>
        <v>525.88724565250641</v>
      </c>
      <c r="AS97" s="41">
        <f>'6. Poistot'!AH97</f>
        <v>538.99377062405597</v>
      </c>
      <c r="AT97" s="41">
        <f>'6. Poistot'!AI97</f>
        <v>552.09555389542015</v>
      </c>
      <c r="AV97" s="4">
        <f t="shared" si="29"/>
        <v>1</v>
      </c>
      <c r="AW97" s="4">
        <f t="shared" si="30"/>
        <v>1</v>
      </c>
      <c r="AX97" s="4">
        <f t="shared" si="31"/>
        <v>0</v>
      </c>
      <c r="AY97" s="4">
        <f t="shared" si="32"/>
        <v>0</v>
      </c>
      <c r="AZ97" s="4">
        <f t="shared" si="33"/>
        <v>1</v>
      </c>
      <c r="BA97" s="4">
        <f t="shared" si="34"/>
        <v>1</v>
      </c>
      <c r="BB97" s="4">
        <f t="shared" si="35"/>
        <v>1</v>
      </c>
      <c r="BC97" s="4">
        <f t="shared" si="36"/>
        <v>1</v>
      </c>
      <c r="BE97" s="405">
        <f t="shared" si="37"/>
        <v>0</v>
      </c>
      <c r="BF97" s="405">
        <f t="shared" si="38"/>
        <v>0</v>
      </c>
      <c r="BG97" s="405">
        <f t="shared" si="39"/>
        <v>0</v>
      </c>
      <c r="BH97" s="405">
        <f t="shared" si="40"/>
        <v>0</v>
      </c>
      <c r="BI97" s="405">
        <f t="shared" si="41"/>
        <v>0</v>
      </c>
      <c r="BJ97" s="405">
        <f t="shared" si="42"/>
        <v>0</v>
      </c>
      <c r="BK97" s="405">
        <f t="shared" si="43"/>
        <v>0</v>
      </c>
      <c r="BL97" s="405">
        <f t="shared" si="44"/>
        <v>0</v>
      </c>
      <c r="BM97" s="405">
        <f t="shared" si="45"/>
        <v>0</v>
      </c>
      <c r="BN97" s="405">
        <f t="shared" si="45"/>
        <v>0</v>
      </c>
    </row>
    <row r="98" spans="1:66" x14ac:dyDescent="0.2">
      <c r="A98" s="34">
        <v>249</v>
      </c>
      <c r="B98" s="88" t="s">
        <v>412</v>
      </c>
      <c r="C98" s="41" t="e">
        <f>'2. Toimintakate'!D98+'3. Verotulot'!G98+'4. Valtionosuudet'!#REF!+'5. Rahoitustuotot ja -kulut'!C98</f>
        <v>#REF!</v>
      </c>
      <c r="D98" s="41">
        <f>'2. Toimintakate'!E98+'4. Valtionosuudet'!H98+'3. Verotulot'!L98+'5. Rahoitustuotot ja -kulut'!D98</f>
        <v>3799</v>
      </c>
      <c r="E98" s="41">
        <f>'2. Toimintakate'!F98+'4. Valtionosuudet'!N98+'3. Verotulot'!Q98+'5. Rahoitustuotot ja -kulut'!E98</f>
        <v>6709</v>
      </c>
      <c r="F98" s="41">
        <f>'2. Toimintakate'!G98+'4. Valtionosuudet'!T98+'3. Verotulot'!V98+'5. Rahoitustuotot ja -kulut'!F98</f>
        <v>5028</v>
      </c>
      <c r="G98" s="41">
        <f>'2. Toimintakate'!H98+'3. Verotulot'!AA98+'4. Valtionosuudet'!Z98+'5. Rahoitustuotot ja -kulut'!G98</f>
        <v>1881</v>
      </c>
      <c r="H98" s="41">
        <f>Käyttökate!H98+'5. Rahoitustuotot ja -kulut'!H98</f>
        <v>7244.5217047125916</v>
      </c>
      <c r="I98" s="41">
        <f>Käyttökate!I98+'5. Rahoitustuotot ja -kulut'!I98</f>
        <v>3295.5880349414574</v>
      </c>
      <c r="J98" s="41">
        <f>Käyttökate!J98+'5. Rahoitustuotot ja -kulut'!J98</f>
        <v>3113.8450827990246</v>
      </c>
      <c r="K98" s="41">
        <f>Käyttökate!K98+'5. Rahoitustuotot ja -kulut'!K98</f>
        <v>5908.5808711579803</v>
      </c>
      <c r="L98" s="41">
        <f>Käyttökate!L98+'5. Rahoitustuotot ja -kulut'!L98</f>
        <v>4400.5089809100309</v>
      </c>
      <c r="M98" s="41">
        <f>Käyttökate!M98+'5. Rahoitustuotot ja -kulut'!M98</f>
        <v>3782.1908458700964</v>
      </c>
      <c r="N98" s="41">
        <f>Käyttökate!N98+'5. Rahoitustuotot ja -kulut'!N98</f>
        <v>4137.708351239814</v>
      </c>
      <c r="O98" s="41">
        <f>Käyttökate!O98+'5. Rahoitustuotot ja -kulut'!O98</f>
        <v>4037.4198190377883</v>
      </c>
      <c r="P98" s="41">
        <f>Käyttökate!P98+'5. Rahoitustuotot ja -kulut'!P98</f>
        <v>5394.3971935622239</v>
      </c>
      <c r="T98" s="34">
        <v>249</v>
      </c>
      <c r="U98" s="88" t="s">
        <v>412</v>
      </c>
      <c r="V98" s="41" t="e">
        <f>C98/'1. Väestöennuste'!E98*1000</f>
        <v>#REF!</v>
      </c>
      <c r="W98" s="41">
        <f>D98/'1. Väestöennuste'!F98*1000</f>
        <v>380.20416333066453</v>
      </c>
      <c r="X98" s="41">
        <f>E98/'1. Väestöennuste'!G98*1000</f>
        <v>676.37866720435522</v>
      </c>
      <c r="Y98" s="41">
        <f>F98/'1. Väestöennuste'!H98*1000</f>
        <v>515.05838967424711</v>
      </c>
      <c r="Z98" s="41">
        <f>G98/'1. Väestöennuste'!I98*1000</f>
        <v>195.83550234252994</v>
      </c>
      <c r="AA98" s="41">
        <f>H98/'1. Väestöennuste'!J98*1000</f>
        <v>763.70669457227405</v>
      </c>
      <c r="AB98" s="41">
        <f>I98/'1. Väestöennuste'!K98*1000</f>
        <v>348.99799162781505</v>
      </c>
      <c r="AC98" s="41">
        <f>J98/'1. Väestöennuste'!L98*1000</f>
        <v>336.63190084313777</v>
      </c>
      <c r="AD98" s="41">
        <f>K98/'1. Väestöennuste'!M98*1000</f>
        <v>643.35593109298566</v>
      </c>
      <c r="AE98" s="41">
        <f>L98/'1. Väestöennuste'!N98*1000</f>
        <v>489.7617118430752</v>
      </c>
      <c r="AF98" s="41">
        <f>M98/'1. Väestöennuste'!O98*1000</f>
        <v>425.92239255293879</v>
      </c>
      <c r="AG98" s="41">
        <f>N98/'1. Väestöennuste'!P98*1000</f>
        <v>471.47998532814654</v>
      </c>
      <c r="AH98" s="41">
        <f>O98/'1. Väestöennuste'!Q98*1000</f>
        <v>465.19412594052176</v>
      </c>
      <c r="AI98" s="41">
        <f>P98/'1. Väestöennuste'!R98*1000</f>
        <v>628.49786712830291</v>
      </c>
      <c r="AK98" s="41">
        <f>'6. Poistot'!Z98</f>
        <v>523.78969286829783</v>
      </c>
      <c r="AL98" s="41">
        <f>'6. Poistot'!AA98</f>
        <v>519.18616909129241</v>
      </c>
      <c r="AM98" s="41">
        <f>'6. Poistot'!AB98</f>
        <v>529.06333368632852</v>
      </c>
      <c r="AN98" s="41">
        <f>'6. Poistot'!AC98</f>
        <v>549.24172432432442</v>
      </c>
      <c r="AO98" s="41">
        <f>'6. Poistot'!AD98</f>
        <v>590.4326720383275</v>
      </c>
      <c r="AP98" s="41">
        <f>'6. Poistot'!AE98</f>
        <v>501.78631051752922</v>
      </c>
      <c r="AQ98" s="41">
        <f>'6. Poistot'!AF98</f>
        <v>496.45833333333331</v>
      </c>
      <c r="AR98" s="41">
        <f>'6. Poistot'!AG98</f>
        <v>490.9469006381039</v>
      </c>
      <c r="AS98" s="41">
        <f>'6. Poistot'!AH98</f>
        <v>512.4520269334779</v>
      </c>
      <c r="AT98" s="41">
        <f>'6. Poistot'!AI98</f>
        <v>534.381018701073</v>
      </c>
      <c r="AV98" s="4">
        <f t="shared" si="29"/>
        <v>1</v>
      </c>
      <c r="AW98" s="4">
        <f t="shared" si="30"/>
        <v>1</v>
      </c>
      <c r="AX98" s="4">
        <f t="shared" si="31"/>
        <v>0</v>
      </c>
      <c r="AY98" s="4">
        <f t="shared" si="32"/>
        <v>1</v>
      </c>
      <c r="AZ98" s="4">
        <f t="shared" si="33"/>
        <v>1</v>
      </c>
      <c r="BA98" s="4">
        <f t="shared" si="34"/>
        <v>1</v>
      </c>
      <c r="BB98" s="4">
        <f t="shared" si="35"/>
        <v>1</v>
      </c>
      <c r="BC98" s="4">
        <f t="shared" si="36"/>
        <v>0</v>
      </c>
      <c r="BE98" s="405">
        <f t="shared" si="37"/>
        <v>0</v>
      </c>
      <c r="BF98" s="405">
        <f t="shared" si="38"/>
        <v>0</v>
      </c>
      <c r="BG98" s="405">
        <f t="shared" si="39"/>
        <v>0</v>
      </c>
      <c r="BH98" s="405">
        <f t="shared" si="40"/>
        <v>0</v>
      </c>
      <c r="BI98" s="405">
        <f t="shared" si="41"/>
        <v>0</v>
      </c>
      <c r="BJ98" s="405">
        <f t="shared" si="42"/>
        <v>0</v>
      </c>
      <c r="BK98" s="405">
        <f t="shared" si="43"/>
        <v>0</v>
      </c>
      <c r="BL98" s="405">
        <f t="shared" si="44"/>
        <v>0</v>
      </c>
      <c r="BM98" s="405">
        <f t="shared" si="45"/>
        <v>0</v>
      </c>
      <c r="BN98" s="405">
        <f t="shared" si="45"/>
        <v>0</v>
      </c>
    </row>
    <row r="99" spans="1:66" x14ac:dyDescent="0.2">
      <c r="A99" s="34">
        <v>250</v>
      </c>
      <c r="B99" s="88" t="s">
        <v>413</v>
      </c>
      <c r="C99" s="41" t="e">
        <f>'2. Toimintakate'!D99+'3. Verotulot'!G99+'4. Valtionosuudet'!#REF!+'5. Rahoitustuotot ja -kulut'!C99</f>
        <v>#REF!</v>
      </c>
      <c r="D99" s="41">
        <f>'2. Toimintakate'!E99+'4. Valtionosuudet'!H99+'3. Verotulot'!L99+'5. Rahoitustuotot ja -kulut'!D99</f>
        <v>522</v>
      </c>
      <c r="E99" s="41">
        <f>'2. Toimintakate'!F99+'4. Valtionosuudet'!N99+'3. Verotulot'!Q99+'5. Rahoitustuotot ja -kulut'!E99</f>
        <v>546</v>
      </c>
      <c r="F99" s="41">
        <f>'2. Toimintakate'!G99+'4. Valtionosuudet'!T99+'3. Verotulot'!V99+'5. Rahoitustuotot ja -kulut'!F99</f>
        <v>681</v>
      </c>
      <c r="G99" s="41">
        <f>'2. Toimintakate'!H99+'3. Verotulot'!AA99+'4. Valtionosuudet'!Z99+'5. Rahoitustuotot ja -kulut'!G99</f>
        <v>313</v>
      </c>
      <c r="H99" s="41">
        <f>Käyttökate!H99+'5. Rahoitustuotot ja -kulut'!H99</f>
        <v>1224.5789289333725</v>
      </c>
      <c r="I99" s="41">
        <f>Käyttökate!I99+'5. Rahoitustuotot ja -kulut'!I99</f>
        <v>1017.1144002725459</v>
      </c>
      <c r="J99" s="41">
        <f>Käyttökate!J99+'5. Rahoitustuotot ja -kulut'!J99</f>
        <v>490.74947957272894</v>
      </c>
      <c r="K99" s="41">
        <f>Käyttökate!K99+'5. Rahoitustuotot ja -kulut'!K99</f>
        <v>-137.26093780073026</v>
      </c>
      <c r="L99" s="41">
        <f>Käyttökate!L99+'5. Rahoitustuotot ja -kulut'!L99</f>
        <v>19.689424743601819</v>
      </c>
      <c r="M99" s="41">
        <f>Käyttökate!M99+'5. Rahoitustuotot ja -kulut'!M99</f>
        <v>-931.68335041491957</v>
      </c>
      <c r="N99" s="41">
        <f>Käyttökate!N99+'5. Rahoitustuotot ja -kulut'!N99</f>
        <v>-1007.0155535775294</v>
      </c>
      <c r="O99" s="41">
        <f>Käyttökate!O99+'5. Rahoitustuotot ja -kulut'!O99</f>
        <v>-1075.2941644466084</v>
      </c>
      <c r="P99" s="41">
        <f>Käyttökate!P99+'5. Rahoitustuotot ja -kulut'!P99</f>
        <v>-922.42331172617787</v>
      </c>
      <c r="T99" s="34">
        <v>250</v>
      </c>
      <c r="U99" s="88" t="s">
        <v>413</v>
      </c>
      <c r="V99" s="41" t="e">
        <f>C99/'1. Väestöennuste'!E99*1000</f>
        <v>#REF!</v>
      </c>
      <c r="W99" s="41">
        <f>D99/'1. Väestöennuste'!F99*1000</f>
        <v>261.78535606820463</v>
      </c>
      <c r="X99" s="41">
        <f>E99/'1. Väestöennuste'!G99*1000</f>
        <v>277.58007117437722</v>
      </c>
      <c r="Y99" s="41">
        <f>F99/'1. Väestöennuste'!H99*1000</f>
        <v>356.54450261780107</v>
      </c>
      <c r="Z99" s="41">
        <f>G99/'1. Väestöennuste'!I99*1000</f>
        <v>167.82841823056299</v>
      </c>
      <c r="AA99" s="41">
        <f>H99/'1. Väestöennuste'!J99*1000</f>
        <v>672.10698624224619</v>
      </c>
      <c r="AB99" s="41">
        <f>I99/'1. Väestöennuste'!K99*1000</f>
        <v>562.56327448702757</v>
      </c>
      <c r="AC99" s="41">
        <f>J99/'1. Väestöennuste'!L99*1000</f>
        <v>277.10303759047372</v>
      </c>
      <c r="AD99" s="41">
        <f>K99/'1. Väestöennuste'!M99*1000</f>
        <v>-78.479667124488429</v>
      </c>
      <c r="AE99" s="41">
        <f>L99/'1. Väestöennuste'!N99*1000</f>
        <v>11.790074696767556</v>
      </c>
      <c r="AF99" s="41">
        <f>M99/'1. Väestöennuste'!O99*1000</f>
        <v>-568.79325422156262</v>
      </c>
      <c r="AG99" s="41">
        <f>N99/'1. Väestöennuste'!P99*1000</f>
        <v>-626.64315717332261</v>
      </c>
      <c r="AH99" s="41">
        <f>O99/'1. Väestöennuste'!Q99*1000</f>
        <v>-681.42849457959971</v>
      </c>
      <c r="AI99" s="41">
        <f>P99/'1. Väestöennuste'!R99*1000</f>
        <v>-596.26587700463983</v>
      </c>
      <c r="AK99" s="41">
        <f>'6. Poistot'!Z99</f>
        <v>321.17962466487938</v>
      </c>
      <c r="AL99" s="41">
        <f>'6. Poistot'!AA99</f>
        <v>322.72228320526892</v>
      </c>
      <c r="AM99" s="41">
        <f>'6. Poistot'!AB99</f>
        <v>219.74450221238939</v>
      </c>
      <c r="AN99" s="41">
        <f>'6. Poistot'!AC99</f>
        <v>232.04578769057034</v>
      </c>
      <c r="AO99" s="41">
        <f>'6. Poistot'!AD99</f>
        <v>233.56170383076042</v>
      </c>
      <c r="AP99" s="41">
        <f>'6. Poistot'!AE99</f>
        <v>265.92455089820362</v>
      </c>
      <c r="AQ99" s="41">
        <f>'6. Poistot'!AF99</f>
        <v>271.11965811965808</v>
      </c>
      <c r="AR99" s="41">
        <f>'6. Poistot'!AG99</f>
        <v>276.34971997510888</v>
      </c>
      <c r="AS99" s="41">
        <f>'6. Poistot'!AH99</f>
        <v>290.50905466328061</v>
      </c>
      <c r="AT99" s="41">
        <f>'6. Poistot'!AI99</f>
        <v>305.59313284894216</v>
      </c>
      <c r="AV99" s="4">
        <f t="shared" si="29"/>
        <v>0</v>
      </c>
      <c r="AW99" s="4">
        <f t="shared" si="30"/>
        <v>0</v>
      </c>
      <c r="AX99" s="4">
        <f t="shared" si="31"/>
        <v>1</v>
      </c>
      <c r="AY99" s="4">
        <f t="shared" si="32"/>
        <v>1</v>
      </c>
      <c r="AZ99" s="4">
        <f t="shared" si="33"/>
        <v>1</v>
      </c>
      <c r="BA99" s="4">
        <f t="shared" si="34"/>
        <v>1</v>
      </c>
      <c r="BB99" s="4">
        <f t="shared" si="35"/>
        <v>1</v>
      </c>
      <c r="BC99" s="4">
        <f t="shared" si="36"/>
        <v>1</v>
      </c>
      <c r="BE99" s="405">
        <f t="shared" si="37"/>
        <v>0</v>
      </c>
      <c r="BF99" s="405">
        <f t="shared" si="38"/>
        <v>0</v>
      </c>
      <c r="BG99" s="405">
        <f t="shared" si="39"/>
        <v>0</v>
      </c>
      <c r="BH99" s="405">
        <f t="shared" si="40"/>
        <v>0</v>
      </c>
      <c r="BI99" s="405">
        <f t="shared" si="41"/>
        <v>-1</v>
      </c>
      <c r="BJ99" s="405">
        <f t="shared" si="42"/>
        <v>0</v>
      </c>
      <c r="BK99" s="405">
        <f t="shared" si="43"/>
        <v>-1</v>
      </c>
      <c r="BL99" s="405">
        <f t="shared" si="44"/>
        <v>-1</v>
      </c>
      <c r="BM99" s="405">
        <f t="shared" si="45"/>
        <v>-1</v>
      </c>
      <c r="BN99" s="405">
        <f t="shared" si="45"/>
        <v>-1</v>
      </c>
    </row>
    <row r="100" spans="1:66" x14ac:dyDescent="0.2">
      <c r="A100" s="34">
        <v>256</v>
      </c>
      <c r="B100" s="88" t="s">
        <v>414</v>
      </c>
      <c r="C100" s="41" t="e">
        <f>'2. Toimintakate'!D100+'3. Verotulot'!G100+'4. Valtionosuudet'!#REF!+'5. Rahoitustuotot ja -kulut'!C100</f>
        <v>#REF!</v>
      </c>
      <c r="D100" s="41">
        <f>'2. Toimintakate'!E100+'4. Valtionosuudet'!H100+'3. Verotulot'!L100+'5. Rahoitustuotot ja -kulut'!D100</f>
        <v>937</v>
      </c>
      <c r="E100" s="41">
        <f>'2. Toimintakate'!F100+'4. Valtionosuudet'!N100+'3. Verotulot'!Q100+'5. Rahoitustuotot ja -kulut'!E100</f>
        <v>1265</v>
      </c>
      <c r="F100" s="41">
        <f>'2. Toimintakate'!G100+'4. Valtionosuudet'!T100+'3. Verotulot'!V100+'5. Rahoitustuotot ja -kulut'!F100</f>
        <v>-215</v>
      </c>
      <c r="G100" s="41">
        <f>'2. Toimintakate'!H100+'3. Verotulot'!AA100+'4. Valtionosuudet'!Z100+'5. Rahoitustuotot ja -kulut'!G100</f>
        <v>-244</v>
      </c>
      <c r="H100" s="41">
        <f>Käyttökate!H100+'5. Rahoitustuotot ja -kulut'!H100</f>
        <v>506.60784876036087</v>
      </c>
      <c r="I100" s="41">
        <f>Käyttökate!I100+'5. Rahoitustuotot ja -kulut'!I100</f>
        <v>1435.1137184147831</v>
      </c>
      <c r="J100" s="41">
        <f>Käyttökate!J100+'5. Rahoitustuotot ja -kulut'!J100</f>
        <v>575.64086423207095</v>
      </c>
      <c r="K100" s="41">
        <f>Käyttökate!K100+'5. Rahoitustuotot ja -kulut'!K100</f>
        <v>363.93112310438505</v>
      </c>
      <c r="L100" s="41">
        <f>Käyttökate!L100+'5. Rahoitustuotot ja -kulut'!L100</f>
        <v>874.12798058405087</v>
      </c>
      <c r="M100" s="41">
        <f>Käyttökate!M100+'5. Rahoitustuotot ja -kulut'!M100</f>
        <v>-53.755452766406052</v>
      </c>
      <c r="N100" s="41">
        <f>Käyttökate!N100+'5. Rahoitustuotot ja -kulut'!N100</f>
        <v>-172.91762468478146</v>
      </c>
      <c r="O100" s="41">
        <f>Käyttökate!O100+'5. Rahoitustuotot ja -kulut'!O100</f>
        <v>-165.49872008914713</v>
      </c>
      <c r="P100" s="41">
        <f>Käyttökate!P100+'5. Rahoitustuotot ja -kulut'!P100</f>
        <v>-18.475941168901173</v>
      </c>
      <c r="T100" s="34">
        <v>256</v>
      </c>
      <c r="U100" s="88" t="s">
        <v>414</v>
      </c>
      <c r="V100" s="41" t="e">
        <f>C100/'1. Väestöennuste'!E100*1000</f>
        <v>#REF!</v>
      </c>
      <c r="W100" s="41">
        <f>D100/'1. Väestöennuste'!F100*1000</f>
        <v>551.50088287227788</v>
      </c>
      <c r="X100" s="41">
        <f>E100/'1. Väestöennuste'!G100*1000</f>
        <v>763.8888888888888</v>
      </c>
      <c r="Y100" s="41">
        <f>F100/'1. Väestöennuste'!H100*1000</f>
        <v>-133.12693498452015</v>
      </c>
      <c r="Z100" s="41">
        <f>G100/'1. Väestöennuste'!I100*1000</f>
        <v>-150.61728395061729</v>
      </c>
      <c r="AA100" s="41">
        <f>H100/'1. Väestöennuste'!J100*1000</f>
        <v>317.22470179108382</v>
      </c>
      <c r="AB100" s="41">
        <f>I100/'1. Väestöennuste'!K100*1000</f>
        <v>907.72531209031195</v>
      </c>
      <c r="AC100" s="41">
        <f>J100/'1. Väestöennuste'!L100*1000</f>
        <v>370.42526655860422</v>
      </c>
      <c r="AD100" s="41">
        <f>K100/'1. Väestöennuste'!M100*1000</f>
        <v>238.95674530819767</v>
      </c>
      <c r="AE100" s="41">
        <f>L100/'1. Väestöennuste'!N100*1000</f>
        <v>584.31014744923186</v>
      </c>
      <c r="AF100" s="41">
        <f>M100/'1. Väestöennuste'!O100*1000</f>
        <v>-36.469099570153361</v>
      </c>
      <c r="AG100" s="41">
        <f>N100/'1. Väestöennuste'!P100*1000</f>
        <v>-119.25353426536653</v>
      </c>
      <c r="AH100" s="41">
        <f>O100/'1. Väestöennuste'!Q100*1000</f>
        <v>-115.89546224730191</v>
      </c>
      <c r="AI100" s="41">
        <f>P100/'1. Väestöennuste'!R100*1000</f>
        <v>-13.112804236267689</v>
      </c>
      <c r="AK100" s="41">
        <f>'6. Poistot'!Z100</f>
        <v>572.22222222222217</v>
      </c>
      <c r="AL100" s="41">
        <f>'6. Poistot'!AA100</f>
        <v>559.79962429555417</v>
      </c>
      <c r="AM100" s="41">
        <f>'6. Poistot'!AB100</f>
        <v>538.43896268184699</v>
      </c>
      <c r="AN100" s="41">
        <f>'6. Poistot'!AC100</f>
        <v>577.64003217503216</v>
      </c>
      <c r="AO100" s="41">
        <f>'6. Poistot'!AD100</f>
        <v>766.08583059750492</v>
      </c>
      <c r="AP100" s="41">
        <f>'6. Poistot'!AE100</f>
        <v>633.54946524064167</v>
      </c>
      <c r="AQ100" s="41">
        <f>'6. Poistot'!AF100</f>
        <v>643.00542740841252</v>
      </c>
      <c r="AR100" s="41">
        <f>'6. Poistot'!AG100</f>
        <v>653.648275862069</v>
      </c>
      <c r="AS100" s="41">
        <f>'6. Poistot'!AH100</f>
        <v>685.13425416614155</v>
      </c>
      <c r="AT100" s="41">
        <f>'6. Poistot'!AI100</f>
        <v>716.07766493860913</v>
      </c>
      <c r="AV100" s="4">
        <f t="shared" si="29"/>
        <v>0</v>
      </c>
      <c r="AW100" s="4">
        <f t="shared" si="30"/>
        <v>1</v>
      </c>
      <c r="AX100" s="4">
        <f t="shared" si="31"/>
        <v>1</v>
      </c>
      <c r="AY100" s="4">
        <f t="shared" si="32"/>
        <v>1</v>
      </c>
      <c r="AZ100" s="4">
        <f t="shared" si="33"/>
        <v>1</v>
      </c>
      <c r="BA100" s="4">
        <f t="shared" si="34"/>
        <v>1</v>
      </c>
      <c r="BB100" s="4">
        <f t="shared" si="35"/>
        <v>1</v>
      </c>
      <c r="BC100" s="4">
        <f t="shared" si="36"/>
        <v>1</v>
      </c>
      <c r="BE100" s="405">
        <f t="shared" si="37"/>
        <v>-1</v>
      </c>
      <c r="BF100" s="405">
        <f t="shared" si="38"/>
        <v>0</v>
      </c>
      <c r="BG100" s="405">
        <f t="shared" si="39"/>
        <v>0</v>
      </c>
      <c r="BH100" s="405">
        <f t="shared" si="40"/>
        <v>0</v>
      </c>
      <c r="BI100" s="405">
        <f t="shared" si="41"/>
        <v>0</v>
      </c>
      <c r="BJ100" s="405">
        <f t="shared" si="42"/>
        <v>0</v>
      </c>
      <c r="BK100" s="405">
        <f t="shared" si="43"/>
        <v>-1</v>
      </c>
      <c r="BL100" s="405">
        <f t="shared" si="44"/>
        <v>-1</v>
      </c>
      <c r="BM100" s="405">
        <f t="shared" si="45"/>
        <v>-1</v>
      </c>
      <c r="BN100" s="405">
        <f t="shared" si="45"/>
        <v>-1</v>
      </c>
    </row>
    <row r="101" spans="1:66" x14ac:dyDescent="0.2">
      <c r="A101" s="34">
        <v>257</v>
      </c>
      <c r="B101" s="88" t="s">
        <v>415</v>
      </c>
      <c r="C101" s="41" t="e">
        <f>'2. Toimintakate'!D101+'3. Verotulot'!G101+'4. Valtionosuudet'!#REF!+'5. Rahoitustuotot ja -kulut'!C101</f>
        <v>#REF!</v>
      </c>
      <c r="D101" s="41">
        <f>'2. Toimintakate'!E101+'4. Valtionosuudet'!H101+'3. Verotulot'!L101+'5. Rahoitustuotot ja -kulut'!D101</f>
        <v>17538</v>
      </c>
      <c r="E101" s="41">
        <f>'2. Toimintakate'!F101+'4. Valtionosuudet'!N101+'3. Verotulot'!Q101+'5. Rahoitustuotot ja -kulut'!E101</f>
        <v>15849</v>
      </c>
      <c r="F101" s="41">
        <f>'2. Toimintakate'!G101+'4. Valtionosuudet'!T101+'3. Verotulot'!V101+'5. Rahoitustuotot ja -kulut'!F101</f>
        <v>11366</v>
      </c>
      <c r="G101" s="41">
        <f>'2. Toimintakate'!H101+'3. Verotulot'!AA101+'4. Valtionosuudet'!Z101+'5. Rahoitustuotot ja -kulut'!G101</f>
        <v>-2645</v>
      </c>
      <c r="H101" s="41">
        <f>Käyttökate!H101+'5. Rahoitustuotot ja -kulut'!H101</f>
        <v>25447.138681185606</v>
      </c>
      <c r="I101" s="41">
        <f>Käyttökate!I101+'5. Rahoitustuotot ja -kulut'!I101</f>
        <v>21433.521632552634</v>
      </c>
      <c r="J101" s="41">
        <f>Käyttökate!J101+'5. Rahoitustuotot ja -kulut'!J101</f>
        <v>38197.274090106774</v>
      </c>
      <c r="K101" s="41">
        <f>Käyttökate!K101+'5. Rahoitustuotot ja -kulut'!K101</f>
        <v>42247.582400698629</v>
      </c>
      <c r="L101" s="41">
        <f>Käyttökate!L101+'5. Rahoitustuotot ja -kulut'!L101</f>
        <v>24947.559170676504</v>
      </c>
      <c r="M101" s="41">
        <f>Käyttökate!M101+'5. Rahoitustuotot ja -kulut'!M101</f>
        <v>25377.108169110586</v>
      </c>
      <c r="N101" s="41">
        <f>Käyttökate!N101+'5. Rahoitustuotot ja -kulut'!N101</f>
        <v>23534.262587163241</v>
      </c>
      <c r="O101" s="41">
        <f>Käyttökate!O101+'5. Rahoitustuotot ja -kulut'!O101</f>
        <v>23575.132570696034</v>
      </c>
      <c r="P101" s="41">
        <f>Käyttökate!P101+'5. Rahoitustuotot ja -kulut'!P101</f>
        <v>25188.23117005128</v>
      </c>
      <c r="T101" s="34">
        <v>257</v>
      </c>
      <c r="U101" s="88" t="s">
        <v>415</v>
      </c>
      <c r="V101" s="41" t="e">
        <f>C101/'1. Väestöennuste'!E101*1000</f>
        <v>#REF!</v>
      </c>
      <c r="W101" s="41">
        <f>D101/'1. Väestöennuste'!F101*1000</f>
        <v>449.31212051341174</v>
      </c>
      <c r="X101" s="41">
        <f>E101/'1. Väestöennuste'!G101*1000</f>
        <v>404.62088332907837</v>
      </c>
      <c r="Y101" s="41">
        <f>F101/'1. Väestöennuste'!H101*1000</f>
        <v>289.49111099791145</v>
      </c>
      <c r="Z101" s="41">
        <f>G101/'1. Väestöennuste'!I101*1000</f>
        <v>-66.816551306017288</v>
      </c>
      <c r="AA101" s="41">
        <f>H101/'1. Väestöennuste'!J101*1000</f>
        <v>634.87696924269267</v>
      </c>
      <c r="AB101" s="41">
        <f>I101/'1. Väestöennuste'!K101*1000</f>
        <v>530.09971143750488</v>
      </c>
      <c r="AC101" s="41">
        <f>J101/'1. Väestöennuste'!L101*1000</f>
        <v>938.00093536925431</v>
      </c>
      <c r="AD101" s="41">
        <f>K101/'1. Väestöennuste'!M101*1000</f>
        <v>1026.57293095929</v>
      </c>
      <c r="AE101" s="41">
        <f>L101/'1. Väestöennuste'!N101*1000</f>
        <v>601.68244388193102</v>
      </c>
      <c r="AF101" s="41">
        <f>M101/'1. Väestöennuste'!O101*1000</f>
        <v>607.67482026557286</v>
      </c>
      <c r="AG101" s="41">
        <f>N101/'1. Väestöennuste'!P101*1000</f>
        <v>559.79312069558864</v>
      </c>
      <c r="AH101" s="41">
        <f>O101/'1. Väestöennuste'!Q101*1000</f>
        <v>557.26586858990743</v>
      </c>
      <c r="AI101" s="41">
        <f>P101/'1. Väestöennuste'!R101*1000</f>
        <v>591.81483447407913</v>
      </c>
      <c r="AK101" s="41">
        <f>'6. Poistot'!Z101</f>
        <v>444.65214974991159</v>
      </c>
      <c r="AL101" s="41">
        <f>'6. Poistot'!AA101</f>
        <v>456.63889027493639</v>
      </c>
      <c r="AM101" s="41">
        <f>'6. Poistot'!AB101</f>
        <v>517.62696708134433</v>
      </c>
      <c r="AN101" s="41">
        <f>'6. Poistot'!AC101</f>
        <v>478.41428490742112</v>
      </c>
      <c r="AO101" s="41">
        <f>'6. Poistot'!AD101</f>
        <v>452.24938936676875</v>
      </c>
      <c r="AP101" s="41">
        <f>'6. Poistot'!AE101</f>
        <v>424.3551600221885</v>
      </c>
      <c r="AQ101" s="41">
        <f>'6. Poistot'!AF101</f>
        <v>422.9054859797418</v>
      </c>
      <c r="AR101" s="41">
        <f>'6. Poistot'!AG101</f>
        <v>484.9778073785115</v>
      </c>
      <c r="AS101" s="41">
        <f>'6. Poistot'!AH101</f>
        <v>497.50215978102926</v>
      </c>
      <c r="AT101" s="41">
        <f>'6. Poistot'!AI101</f>
        <v>509.96700592262602</v>
      </c>
      <c r="AV101" s="4">
        <f t="shared" si="29"/>
        <v>0</v>
      </c>
      <c r="AW101" s="4">
        <f t="shared" si="30"/>
        <v>0</v>
      </c>
      <c r="AX101" s="4">
        <f t="shared" si="31"/>
        <v>0</v>
      </c>
      <c r="AY101" s="4">
        <f t="shared" si="32"/>
        <v>0</v>
      </c>
      <c r="AZ101" s="4">
        <f t="shared" si="33"/>
        <v>0</v>
      </c>
      <c r="BA101" s="4">
        <f t="shared" si="34"/>
        <v>0</v>
      </c>
      <c r="BB101" s="4">
        <f t="shared" si="35"/>
        <v>0</v>
      </c>
      <c r="BC101" s="4">
        <f t="shared" si="36"/>
        <v>0</v>
      </c>
      <c r="BE101" s="405">
        <f t="shared" si="37"/>
        <v>-1</v>
      </c>
      <c r="BF101" s="405">
        <f t="shared" si="38"/>
        <v>0</v>
      </c>
      <c r="BG101" s="405">
        <f t="shared" si="39"/>
        <v>0</v>
      </c>
      <c r="BH101" s="405">
        <f t="shared" si="40"/>
        <v>0</v>
      </c>
      <c r="BI101" s="405">
        <f t="shared" si="41"/>
        <v>0</v>
      </c>
      <c r="BJ101" s="405">
        <f t="shared" si="42"/>
        <v>0</v>
      </c>
      <c r="BK101" s="405">
        <f t="shared" si="43"/>
        <v>0</v>
      </c>
      <c r="BL101" s="405">
        <f t="shared" si="44"/>
        <v>0</v>
      </c>
      <c r="BM101" s="405">
        <f t="shared" si="45"/>
        <v>0</v>
      </c>
      <c r="BN101" s="405">
        <f t="shared" si="45"/>
        <v>0</v>
      </c>
    </row>
    <row r="102" spans="1:66" x14ac:dyDescent="0.2">
      <c r="A102" s="34">
        <v>260</v>
      </c>
      <c r="B102" s="88" t="s">
        <v>416</v>
      </c>
      <c r="C102" s="41" t="e">
        <f>'2. Toimintakate'!D102+'3. Verotulot'!G102+'4. Valtionosuudet'!#REF!+'5. Rahoitustuotot ja -kulut'!C102</f>
        <v>#REF!</v>
      </c>
      <c r="D102" s="41">
        <f>'2. Toimintakate'!E102+'4. Valtionosuudet'!H102+'3. Verotulot'!L102+'5. Rahoitustuotot ja -kulut'!D102</f>
        <v>9150</v>
      </c>
      <c r="E102" s="41">
        <f>'2. Toimintakate'!F102+'4. Valtionosuudet'!N102+'3. Verotulot'!Q102+'5. Rahoitustuotot ja -kulut'!E102</f>
        <v>9827</v>
      </c>
      <c r="F102" s="41">
        <f>'2. Toimintakate'!G102+'4. Valtionosuudet'!T102+'3. Verotulot'!V102+'5. Rahoitustuotot ja -kulut'!F102</f>
        <v>5635</v>
      </c>
      <c r="G102" s="41">
        <f>'2. Toimintakate'!H102+'3. Verotulot'!AA102+'4. Valtionosuudet'!Z102+'5. Rahoitustuotot ja -kulut'!G102</f>
        <v>4023</v>
      </c>
      <c r="H102" s="41">
        <f>Käyttökate!H102+'5. Rahoitustuotot ja -kulut'!H102</f>
        <v>6828.6066954614871</v>
      </c>
      <c r="I102" s="41">
        <f>Käyttökate!I102+'5. Rahoitustuotot ja -kulut'!I102</f>
        <v>5709.8824445661303</v>
      </c>
      <c r="J102" s="41">
        <f>Käyttökate!J102+'5. Rahoitustuotot ja -kulut'!J102</f>
        <v>5046.2482349692227</v>
      </c>
      <c r="K102" s="41">
        <f>Käyttökate!K102+'5. Rahoitustuotot ja -kulut'!K102</f>
        <v>9676.7094890918106</v>
      </c>
      <c r="L102" s="41">
        <f>Käyttökate!L102+'5. Rahoitustuotot ja -kulut'!L102</f>
        <v>4644.2798537738581</v>
      </c>
      <c r="M102" s="41">
        <f>Käyttökate!M102+'5. Rahoitustuotot ja -kulut'!M102</f>
        <v>4868.8121998951938</v>
      </c>
      <c r="N102" s="41">
        <f>Käyttökate!N102+'5. Rahoitustuotot ja -kulut'!N102</f>
        <v>4825.82475815406</v>
      </c>
      <c r="O102" s="41">
        <f>Käyttökate!O102+'5. Rahoitustuotot ja -kulut'!O102</f>
        <v>4728.307847155289</v>
      </c>
      <c r="P102" s="41">
        <f>Käyttökate!P102+'5. Rahoitustuotot ja -kulut'!P102</f>
        <v>6568.4183070967138</v>
      </c>
      <c r="T102" s="34">
        <v>260</v>
      </c>
      <c r="U102" s="88" t="s">
        <v>416</v>
      </c>
      <c r="V102" s="41" t="e">
        <f>C102/'1. Väestöennuste'!E102*1000</f>
        <v>#REF!</v>
      </c>
      <c r="W102" s="41">
        <f>D102/'1. Väestöennuste'!F102*1000</f>
        <v>853.62440526168484</v>
      </c>
      <c r="X102" s="41">
        <f>E102/'1. Väestöennuste'!G102*1000</f>
        <v>937.15430097272554</v>
      </c>
      <c r="Y102" s="41">
        <f>F102/'1. Väestöennuste'!H102*1000</f>
        <v>544.02394284610932</v>
      </c>
      <c r="Z102" s="41">
        <f>G102/'1. Väestöennuste'!I102*1000</f>
        <v>396.90213101815311</v>
      </c>
      <c r="AA102" s="41">
        <f>H102/'1. Väestöennuste'!J102*1000</f>
        <v>687.46669641210985</v>
      </c>
      <c r="AB102" s="41">
        <f>I102/'1. Väestöennuste'!K102*1000</f>
        <v>578.09886044002531</v>
      </c>
      <c r="AC102" s="41">
        <f>J102/'1. Väestöennuste'!L102*1000</f>
        <v>518.78772848455048</v>
      </c>
      <c r="AD102" s="41">
        <f>K102/'1. Väestöennuste'!M102*1000</f>
        <v>998.73149851293329</v>
      </c>
      <c r="AE102" s="41">
        <f>L102/'1. Väestöennuste'!N102*1000</f>
        <v>502.51891947347525</v>
      </c>
      <c r="AF102" s="41">
        <f>M102/'1. Väestöennuste'!O102*1000</f>
        <v>535.50508137870588</v>
      </c>
      <c r="AG102" s="41">
        <f>N102/'1. Väestöennuste'!P102*1000</f>
        <v>539.31881517144166</v>
      </c>
      <c r="AH102" s="41">
        <f>O102/'1. Väestöennuste'!Q102*1000</f>
        <v>536.5151307336082</v>
      </c>
      <c r="AI102" s="41">
        <f>P102/'1. Väestöennuste'!R102*1000</f>
        <v>756.38165673614856</v>
      </c>
      <c r="AK102" s="41">
        <f>'6. Poistot'!Z102</f>
        <v>283.24782951854775</v>
      </c>
      <c r="AL102" s="41">
        <f>'6. Poistot'!AA102</f>
        <v>295.17769052652778</v>
      </c>
      <c r="AM102" s="41">
        <f>'6. Poistot'!AB102</f>
        <v>294.85759238635211</v>
      </c>
      <c r="AN102" s="41">
        <f>'6. Poistot'!AC102</f>
        <v>344.36031972859053</v>
      </c>
      <c r="AO102" s="41">
        <f>'6. Poistot'!AD102</f>
        <v>348.39106099700695</v>
      </c>
      <c r="AP102" s="41">
        <f>'6. Poistot'!AE102</f>
        <v>362.36106903267688</v>
      </c>
      <c r="AQ102" s="41">
        <f>'6. Poistot'!AF102</f>
        <v>357.34062912450503</v>
      </c>
      <c r="AR102" s="41">
        <f>'6. Poistot'!AG102</f>
        <v>363.0913053196245</v>
      </c>
      <c r="AS102" s="41">
        <f>'6. Poistot'!AH102</f>
        <v>380.54833051943717</v>
      </c>
      <c r="AT102" s="41">
        <f>'6. Poistot'!AI102</f>
        <v>398.27313147577149</v>
      </c>
      <c r="AV102" s="4">
        <f t="shared" si="29"/>
        <v>0</v>
      </c>
      <c r="AW102" s="4">
        <f t="shared" si="30"/>
        <v>0</v>
      </c>
      <c r="AX102" s="4">
        <f t="shared" si="31"/>
        <v>0</v>
      </c>
      <c r="AY102" s="4">
        <f t="shared" si="32"/>
        <v>0</v>
      </c>
      <c r="AZ102" s="4">
        <f t="shared" si="33"/>
        <v>0</v>
      </c>
      <c r="BA102" s="4">
        <f t="shared" si="34"/>
        <v>0</v>
      </c>
      <c r="BB102" s="4">
        <f t="shared" si="35"/>
        <v>0</v>
      </c>
      <c r="BC102" s="4">
        <f t="shared" si="36"/>
        <v>0</v>
      </c>
      <c r="BE102" s="405">
        <f t="shared" si="37"/>
        <v>0</v>
      </c>
      <c r="BF102" s="405">
        <f t="shared" si="38"/>
        <v>0</v>
      </c>
      <c r="BG102" s="405">
        <f t="shared" si="39"/>
        <v>0</v>
      </c>
      <c r="BH102" s="405">
        <f t="shared" si="40"/>
        <v>0</v>
      </c>
      <c r="BI102" s="405">
        <f t="shared" si="41"/>
        <v>0</v>
      </c>
      <c r="BJ102" s="405">
        <f t="shared" si="42"/>
        <v>0</v>
      </c>
      <c r="BK102" s="405">
        <f t="shared" si="43"/>
        <v>0</v>
      </c>
      <c r="BL102" s="405">
        <f t="shared" si="44"/>
        <v>0</v>
      </c>
      <c r="BM102" s="405">
        <f t="shared" si="45"/>
        <v>0</v>
      </c>
      <c r="BN102" s="405">
        <f t="shared" si="45"/>
        <v>0</v>
      </c>
    </row>
    <row r="103" spans="1:66" x14ac:dyDescent="0.2">
      <c r="A103" s="34">
        <v>261</v>
      </c>
      <c r="B103" s="88" t="s">
        <v>417</v>
      </c>
      <c r="C103" s="41" t="e">
        <f>'2. Toimintakate'!D103+'3. Verotulot'!G103+'4. Valtionosuudet'!#REF!+'5. Rahoitustuotot ja -kulut'!C103</f>
        <v>#REF!</v>
      </c>
      <c r="D103" s="41">
        <f>'2. Toimintakate'!E103+'4. Valtionosuudet'!H103+'3. Verotulot'!L103+'5. Rahoitustuotot ja -kulut'!D103</f>
        <v>7578</v>
      </c>
      <c r="E103" s="41">
        <f>'2. Toimintakate'!F103+'4. Valtionosuudet'!N103+'3. Verotulot'!Q103+'5. Rahoitustuotot ja -kulut'!E103</f>
        <v>6497</v>
      </c>
      <c r="F103" s="41">
        <f>'2. Toimintakate'!G103+'4. Valtionosuudet'!T103+'3. Verotulot'!V103+'5. Rahoitustuotot ja -kulut'!F103</f>
        <v>4169</v>
      </c>
      <c r="G103" s="41">
        <f>'2. Toimintakate'!H103+'3. Verotulot'!AA103+'4. Valtionosuudet'!Z103+'5. Rahoitustuotot ja -kulut'!G103</f>
        <v>6175</v>
      </c>
      <c r="H103" s="41">
        <f>Käyttökate!H103+'5. Rahoitustuotot ja -kulut'!H103</f>
        <v>8413.4184455986724</v>
      </c>
      <c r="I103" s="41">
        <f>Käyttökate!I103+'5. Rahoitustuotot ja -kulut'!I103</f>
        <v>11799.657375016372</v>
      </c>
      <c r="J103" s="41">
        <f>Käyttökate!J103+'5. Rahoitustuotot ja -kulut'!J103</f>
        <v>11966.299534942769</v>
      </c>
      <c r="K103" s="41">
        <f>Käyttökate!K103+'5. Rahoitustuotot ja -kulut'!K103</f>
        <v>14728.540897340339</v>
      </c>
      <c r="L103" s="41">
        <f>Käyttökate!L103+'5. Rahoitustuotot ja -kulut'!L103</f>
        <v>12572.646628511848</v>
      </c>
      <c r="M103" s="41">
        <f>Käyttökate!M103+'5. Rahoitustuotot ja -kulut'!M103</f>
        <v>11571.121390952641</v>
      </c>
      <c r="N103" s="41">
        <f>Käyttökate!N103+'5. Rahoitustuotot ja -kulut'!N103</f>
        <v>10940.001433602551</v>
      </c>
      <c r="O103" s="41">
        <f>Käyttökate!O103+'5. Rahoitustuotot ja -kulut'!O103</f>
        <v>11584.262785499423</v>
      </c>
      <c r="P103" s="41">
        <f>Käyttökate!P103+'5. Rahoitustuotot ja -kulut'!P103</f>
        <v>12248.350397356886</v>
      </c>
      <c r="T103" s="34">
        <v>261</v>
      </c>
      <c r="U103" s="88" t="s">
        <v>417</v>
      </c>
      <c r="V103" s="41" t="e">
        <f>C103/'1. Väestöennuste'!E103*1000</f>
        <v>#REF!</v>
      </c>
      <c r="W103" s="41">
        <f>D103/'1. Väestöennuste'!F103*1000</f>
        <v>1187.2160426131913</v>
      </c>
      <c r="X103" s="41">
        <f>E103/'1. Väestöennuste'!G103*1000</f>
        <v>1011.8361625914966</v>
      </c>
      <c r="Y103" s="41">
        <f>F103/'1. Väestöennuste'!H103*1000</f>
        <v>647.76258545680548</v>
      </c>
      <c r="Z103" s="41">
        <f>G103/'1. Väestöennuste'!I103*1000</f>
        <v>956.91926235859296</v>
      </c>
      <c r="AA103" s="41">
        <f>H103/'1. Väestöennuste'!J103*1000</f>
        <v>1307.2433880669162</v>
      </c>
      <c r="AB103" s="41">
        <f>I103/'1. Väestöennuste'!K103*1000</f>
        <v>1808.9310708288167</v>
      </c>
      <c r="AC103" s="41">
        <f>J103/'1. Väestöennuste'!L103*1000</f>
        <v>1802.9681384575515</v>
      </c>
      <c r="AD103" s="41">
        <f>K103/'1. Väestöennuste'!M103*1000</f>
        <v>2158.9769711727263</v>
      </c>
      <c r="AE103" s="41">
        <f>L103/'1. Väestöennuste'!N103*1000</f>
        <v>1962.9424868870958</v>
      </c>
      <c r="AF103" s="41">
        <f>M103/'1. Väestöennuste'!O103*1000</f>
        <v>1809.967369146354</v>
      </c>
      <c r="AG103" s="41">
        <f>N103/'1. Väestöennuste'!P103*1000</f>
        <v>1715.0025762035666</v>
      </c>
      <c r="AH103" s="41">
        <f>O103/'1. Väestöennuste'!Q103*1000</f>
        <v>1819.994153259925</v>
      </c>
      <c r="AI103" s="41">
        <f>P103/'1. Väestöennuste'!R103*1000</f>
        <v>1927.9632295540509</v>
      </c>
      <c r="AK103" s="41">
        <f>'6. Poistot'!Z103</f>
        <v>433.75174337517439</v>
      </c>
      <c r="AL103" s="41">
        <f>'6. Poistot'!AA103</f>
        <v>430.85767557489123</v>
      </c>
      <c r="AM103" s="41">
        <f>'6. Poistot'!AB103</f>
        <v>450.91166487812359</v>
      </c>
      <c r="AN103" s="41">
        <f>'6. Poistot'!AC103</f>
        <v>491.69375621515741</v>
      </c>
      <c r="AO103" s="41">
        <f>'6. Poistot'!AD103</f>
        <v>484.00927147464091</v>
      </c>
      <c r="AP103" s="41">
        <f>'6. Poistot'!AE103</f>
        <v>672.11366120218577</v>
      </c>
      <c r="AQ103" s="41">
        <f>'6. Poistot'!AF103</f>
        <v>722.74644142030343</v>
      </c>
      <c r="AR103" s="41">
        <f>'6. Poistot'!AG103</f>
        <v>724.24486596645227</v>
      </c>
      <c r="AS103" s="41">
        <f>'6. Poistot'!AH103</f>
        <v>749.25799502695725</v>
      </c>
      <c r="AT103" s="41">
        <f>'6. Poistot'!AI103</f>
        <v>774.13761635340234</v>
      </c>
      <c r="AV103" s="4">
        <f t="shared" si="29"/>
        <v>0</v>
      </c>
      <c r="AW103" s="4">
        <f t="shared" si="30"/>
        <v>0</v>
      </c>
      <c r="AX103" s="4">
        <f t="shared" si="31"/>
        <v>0</v>
      </c>
      <c r="AY103" s="4">
        <f t="shared" si="32"/>
        <v>0</v>
      </c>
      <c r="AZ103" s="4">
        <f t="shared" si="33"/>
        <v>0</v>
      </c>
      <c r="BA103" s="4">
        <f t="shared" si="34"/>
        <v>0</v>
      </c>
      <c r="BB103" s="4">
        <f t="shared" si="35"/>
        <v>0</v>
      </c>
      <c r="BC103" s="4">
        <f t="shared" si="36"/>
        <v>0</v>
      </c>
      <c r="BE103" s="405">
        <f t="shared" si="37"/>
        <v>0</v>
      </c>
      <c r="BF103" s="405">
        <f t="shared" si="38"/>
        <v>0</v>
      </c>
      <c r="BG103" s="405">
        <f t="shared" si="39"/>
        <v>0</v>
      </c>
      <c r="BH103" s="405">
        <f t="shared" si="40"/>
        <v>0</v>
      </c>
      <c r="BI103" s="405">
        <f t="shared" si="41"/>
        <v>0</v>
      </c>
      <c r="BJ103" s="405">
        <f t="shared" si="42"/>
        <v>0</v>
      </c>
      <c r="BK103" s="405">
        <f t="shared" si="43"/>
        <v>0</v>
      </c>
      <c r="BL103" s="405">
        <f t="shared" si="44"/>
        <v>0</v>
      </c>
      <c r="BM103" s="405">
        <f t="shared" si="45"/>
        <v>0</v>
      </c>
      <c r="BN103" s="405">
        <f t="shared" si="45"/>
        <v>0</v>
      </c>
    </row>
    <row r="104" spans="1:66" x14ac:dyDescent="0.2">
      <c r="A104" s="34">
        <v>263</v>
      </c>
      <c r="B104" s="88" t="s">
        <v>418</v>
      </c>
      <c r="C104" s="41" t="e">
        <f>'2. Toimintakate'!D104+'3. Verotulot'!G104+'4. Valtionosuudet'!#REF!+'5. Rahoitustuotot ja -kulut'!C104</f>
        <v>#REF!</v>
      </c>
      <c r="D104" s="41">
        <f>'2. Toimintakate'!E104+'4. Valtionosuudet'!H104+'3. Verotulot'!L104+'5. Rahoitustuotot ja -kulut'!D104</f>
        <v>2892</v>
      </c>
      <c r="E104" s="41">
        <f>'2. Toimintakate'!F104+'4. Valtionosuudet'!N104+'3. Verotulot'!Q104+'5. Rahoitustuotot ja -kulut'!E104</f>
        <v>4236</v>
      </c>
      <c r="F104" s="41">
        <f>'2. Toimintakate'!G104+'4. Valtionosuudet'!T104+'3. Verotulot'!V104+'5. Rahoitustuotot ja -kulut'!F104</f>
        <v>2051</v>
      </c>
      <c r="G104" s="41">
        <f>'2. Toimintakate'!H104+'3. Verotulot'!AA104+'4. Valtionosuudet'!Z104+'5. Rahoitustuotot ja -kulut'!G104</f>
        <v>359</v>
      </c>
      <c r="H104" s="41">
        <f>Käyttökate!H104+'5. Rahoitustuotot ja -kulut'!H104</f>
        <v>7390.1303291700096</v>
      </c>
      <c r="I104" s="41">
        <f>Käyttökate!I104+'5. Rahoitustuotot ja -kulut'!I104</f>
        <v>7305.7139678515487</v>
      </c>
      <c r="J104" s="41">
        <f>Käyttökate!J104+'5. Rahoitustuotot ja -kulut'!J104</f>
        <v>5948.7909038687194</v>
      </c>
      <c r="K104" s="41">
        <f>Käyttökate!K104+'5. Rahoitustuotot ja -kulut'!K104</f>
        <v>4412.3105554447993</v>
      </c>
      <c r="L104" s="41">
        <f>Käyttökate!L104+'5. Rahoitustuotot ja -kulut'!L104</f>
        <v>3861.1263444441975</v>
      </c>
      <c r="M104" s="41">
        <f>Käyttökate!M104+'5. Rahoitustuotot ja -kulut'!M104</f>
        <v>1864.87500718091</v>
      </c>
      <c r="N104" s="41">
        <f>Käyttökate!N104+'5. Rahoitustuotot ja -kulut'!N104</f>
        <v>1980.8516354495987</v>
      </c>
      <c r="O104" s="41">
        <f>Käyttökate!O104+'5. Rahoitustuotot ja -kulut'!O104</f>
        <v>1904.1820840712248</v>
      </c>
      <c r="P104" s="41">
        <f>Käyttökate!P104+'5. Rahoitustuotot ja -kulut'!P104</f>
        <v>3175.7389931984167</v>
      </c>
      <c r="T104" s="34">
        <v>263</v>
      </c>
      <c r="U104" s="88" t="s">
        <v>418</v>
      </c>
      <c r="V104" s="41" t="e">
        <f>C104/'1. Väestöennuste'!E104*1000</f>
        <v>#REF!</v>
      </c>
      <c r="W104" s="41">
        <f>D104/'1. Väestöennuste'!F104*1000</f>
        <v>342.49171009000474</v>
      </c>
      <c r="X104" s="41">
        <f>E104/'1. Väestöennuste'!G104*1000</f>
        <v>511.40890981528429</v>
      </c>
      <c r="Y104" s="41">
        <f>F104/'1. Väestöennuste'!H104*1000</f>
        <v>251.56384153072486</v>
      </c>
      <c r="Z104" s="41">
        <f>G104/'1. Väestöennuste'!I104*1000</f>
        <v>44.88622155538885</v>
      </c>
      <c r="AA104" s="41">
        <f>H104/'1. Väestöennuste'!J104*1000</f>
        <v>940.93841726126936</v>
      </c>
      <c r="AB104" s="41">
        <f>I104/'1. Väestöennuste'!K104*1000</f>
        <v>941.57932308951524</v>
      </c>
      <c r="AC104" s="41">
        <f>J104/'1. Väestöennuste'!L104*1000</f>
        <v>783.0447418545109</v>
      </c>
      <c r="AD104" s="41">
        <f>K104/'1. Väestöennuste'!M104*1000</f>
        <v>590.27565959127753</v>
      </c>
      <c r="AE104" s="41">
        <f>L104/'1. Väestöennuste'!N104*1000</f>
        <v>526.68481031840099</v>
      </c>
      <c r="AF104" s="41">
        <f>M104/'1. Väestöennuste'!O104*1000</f>
        <v>258.47193446720854</v>
      </c>
      <c r="AG104" s="41">
        <f>N104/'1. Väestöennuste'!P104*1000</f>
        <v>278.91462059273425</v>
      </c>
      <c r="AH104" s="41">
        <f>O104/'1. Väestöennuste'!Q104*1000</f>
        <v>272.25937719062409</v>
      </c>
      <c r="AI104" s="41">
        <f>P104/'1. Väestöennuste'!R104*1000</f>
        <v>460.85314079210804</v>
      </c>
      <c r="AK104" s="41">
        <f>'6. Poistot'!Z104</f>
        <v>454.98874718679673</v>
      </c>
      <c r="AL104" s="41">
        <f>'6. Poistot'!AA104</f>
        <v>405.14387573211104</v>
      </c>
      <c r="AM104" s="41">
        <f>'6. Poistot'!AB104</f>
        <v>476.33741203763373</v>
      </c>
      <c r="AN104" s="41">
        <f>'6. Poistot'!AC104</f>
        <v>543.08616295906279</v>
      </c>
      <c r="AO104" s="41">
        <f>'6. Poistot'!AD104</f>
        <v>525.02322809364546</v>
      </c>
      <c r="AP104" s="41">
        <f>'6. Poistot'!AE104</f>
        <v>473.37143636611648</v>
      </c>
      <c r="AQ104" s="41">
        <f>'6. Poistot'!AF104</f>
        <v>480.37505197505197</v>
      </c>
      <c r="AR104" s="41">
        <f>'6. Poistot'!AG104</f>
        <v>487.45606871303858</v>
      </c>
      <c r="AS104" s="41">
        <f>'6. Poistot'!AH104</f>
        <v>510.95457019677724</v>
      </c>
      <c r="AT104" s="41">
        <f>'6. Poistot'!AI104</f>
        <v>534.80184703417785</v>
      </c>
      <c r="AV104" s="4">
        <f t="shared" si="29"/>
        <v>0</v>
      </c>
      <c r="AW104" s="4">
        <f t="shared" si="30"/>
        <v>0</v>
      </c>
      <c r="AX104" s="4">
        <f t="shared" si="31"/>
        <v>0</v>
      </c>
      <c r="AY104" s="4">
        <f t="shared" si="32"/>
        <v>0</v>
      </c>
      <c r="AZ104" s="4">
        <f t="shared" si="33"/>
        <v>1</v>
      </c>
      <c r="BA104" s="4">
        <f t="shared" si="34"/>
        <v>1</v>
      </c>
      <c r="BB104" s="4">
        <f t="shared" si="35"/>
        <v>1</v>
      </c>
      <c r="BC104" s="4">
        <f t="shared" si="36"/>
        <v>1</v>
      </c>
      <c r="BE104" s="405">
        <f t="shared" si="37"/>
        <v>0</v>
      </c>
      <c r="BF104" s="405">
        <f t="shared" si="38"/>
        <v>0</v>
      </c>
      <c r="BG104" s="405">
        <f t="shared" si="39"/>
        <v>0</v>
      </c>
      <c r="BH104" s="405">
        <f t="shared" si="40"/>
        <v>0</v>
      </c>
      <c r="BI104" s="405">
        <f t="shared" si="41"/>
        <v>0</v>
      </c>
      <c r="BJ104" s="405">
        <f t="shared" si="42"/>
        <v>0</v>
      </c>
      <c r="BK104" s="405">
        <f t="shared" si="43"/>
        <v>0</v>
      </c>
      <c r="BL104" s="405">
        <f t="shared" si="44"/>
        <v>0</v>
      </c>
      <c r="BM104" s="405">
        <f t="shared" si="45"/>
        <v>0</v>
      </c>
      <c r="BN104" s="405">
        <f t="shared" si="45"/>
        <v>0</v>
      </c>
    </row>
    <row r="105" spans="1:66" x14ac:dyDescent="0.2">
      <c r="A105" s="34">
        <v>265</v>
      </c>
      <c r="B105" s="88" t="s">
        <v>419</v>
      </c>
      <c r="C105" s="41" t="e">
        <f>'2. Toimintakate'!D105+'3. Verotulot'!G105+'4. Valtionosuudet'!#REF!+'5. Rahoitustuotot ja -kulut'!C105</f>
        <v>#REF!</v>
      </c>
      <c r="D105" s="41">
        <f>'2. Toimintakate'!E105+'4. Valtionosuudet'!H105+'3. Verotulot'!L105+'5. Rahoitustuotot ja -kulut'!D105</f>
        <v>392</v>
      </c>
      <c r="E105" s="41">
        <f>'2. Toimintakate'!F105+'4. Valtionosuudet'!N105+'3. Verotulot'!Q105+'5. Rahoitustuotot ja -kulut'!E105</f>
        <v>902</v>
      </c>
      <c r="F105" s="41">
        <f>'2. Toimintakate'!G105+'4. Valtionosuudet'!T105+'3. Verotulot'!V105+'5. Rahoitustuotot ja -kulut'!F105</f>
        <v>39</v>
      </c>
      <c r="G105" s="41">
        <f>'2. Toimintakate'!H105+'3. Verotulot'!AA105+'4. Valtionosuudet'!Z105+'5. Rahoitustuotot ja -kulut'!G105</f>
        <v>-1680</v>
      </c>
      <c r="H105" s="41">
        <f>Käyttökate!H105+'5. Rahoitustuotot ja -kulut'!H105</f>
        <v>1347.8387575779561</v>
      </c>
      <c r="I105" s="41">
        <f>Käyttökate!I105+'5. Rahoitustuotot ja -kulut'!I105</f>
        <v>1690.8914058060061</v>
      </c>
      <c r="J105" s="41">
        <f>Käyttökate!J105+'5. Rahoitustuotot ja -kulut'!J105</f>
        <v>1944.8538547221901</v>
      </c>
      <c r="K105" s="41">
        <f>Käyttökate!K105+'5. Rahoitustuotot ja -kulut'!K105</f>
        <v>1293.1892629496131</v>
      </c>
      <c r="L105" s="41">
        <f>Käyttökate!L105+'5. Rahoitustuotot ja -kulut'!L105</f>
        <v>1172.6155810235343</v>
      </c>
      <c r="M105" s="41">
        <f>Käyttökate!M105+'5. Rahoitustuotot ja -kulut'!M105</f>
        <v>1294.8228293326918</v>
      </c>
      <c r="N105" s="41">
        <f>Käyttökate!N105+'5. Rahoitustuotot ja -kulut'!N105</f>
        <v>1095.784637019098</v>
      </c>
      <c r="O105" s="41">
        <f>Käyttökate!O105+'5. Rahoitustuotot ja -kulut'!O105</f>
        <v>1042.9418241410026</v>
      </c>
      <c r="P105" s="41">
        <f>Käyttökate!P105+'5. Rahoitustuotot ja -kulut'!P105</f>
        <v>1157.1136769765412</v>
      </c>
      <c r="T105" s="34">
        <v>265</v>
      </c>
      <c r="U105" s="88" t="s">
        <v>419</v>
      </c>
      <c r="V105" s="41" t="e">
        <f>C105/'1. Väestöennuste'!E105*1000</f>
        <v>#REF!</v>
      </c>
      <c r="W105" s="41">
        <f>D105/'1. Väestöennuste'!F105*1000</f>
        <v>337.63996554694234</v>
      </c>
      <c r="X105" s="41">
        <f>E105/'1. Väestöennuste'!G105*1000</f>
        <v>796.81978798586567</v>
      </c>
      <c r="Y105" s="41">
        <f>F105/'1. Väestöennuste'!H105*1000</f>
        <v>35.358114233907529</v>
      </c>
      <c r="Z105" s="41">
        <f>G105/'1. Väestöennuste'!I105*1000</f>
        <v>-1532.8467153284671</v>
      </c>
      <c r="AA105" s="41">
        <f>H105/'1. Väestöennuste'!J105*1000</f>
        <v>1217.5598532772865</v>
      </c>
      <c r="AB105" s="41">
        <f>I105/'1. Väestöennuste'!K105*1000</f>
        <v>1554.1281303364028</v>
      </c>
      <c r="AC105" s="41">
        <f>J105/'1. Väestöennuste'!L105*1000</f>
        <v>1827.8701642125848</v>
      </c>
      <c r="AD105" s="41">
        <f>K105/'1. Väestöennuste'!M105*1000</f>
        <v>1249.4582250720898</v>
      </c>
      <c r="AE105" s="41">
        <f>L105/'1. Väestöennuste'!N105*1000</f>
        <v>1119.9766771953527</v>
      </c>
      <c r="AF105" s="41">
        <f>M105/'1. Väestöennuste'!O105*1000</f>
        <v>1254.6732842371046</v>
      </c>
      <c r="AG105" s="41">
        <f>N105/'1. Väestöennuste'!P105*1000</f>
        <v>1077.4676863511288</v>
      </c>
      <c r="AH105" s="41">
        <f>O105/'1. Väestöennuste'!Q105*1000</f>
        <v>1039.8223570697933</v>
      </c>
      <c r="AI105" s="41">
        <f>P105/'1. Väestöennuste'!R105*1000</f>
        <v>1169.9834954262299</v>
      </c>
      <c r="AK105" s="41">
        <f>'6. Poistot'!Z105</f>
        <v>565.69343065693431</v>
      </c>
      <c r="AL105" s="41">
        <f>'6. Poistot'!AA105</f>
        <v>527.55194218608847</v>
      </c>
      <c r="AM105" s="41">
        <f>'6. Poistot'!AB105</f>
        <v>512.26912683823537</v>
      </c>
      <c r="AN105" s="41">
        <f>'6. Poistot'!AC105</f>
        <v>494.45217105263151</v>
      </c>
      <c r="AO105" s="41">
        <f>'6. Poistot'!AD105</f>
        <v>617.70085990338168</v>
      </c>
      <c r="AP105" s="41">
        <f>'6. Poistot'!AE105</f>
        <v>628.29035339064001</v>
      </c>
      <c r="AQ105" s="41">
        <f>'6. Poistot'!AF105</f>
        <v>629.84496124031011</v>
      </c>
      <c r="AR105" s="41">
        <f>'6. Poistot'!AG105</f>
        <v>58.997050147492622</v>
      </c>
      <c r="AS105" s="41">
        <f>'6. Poistot'!AH105</f>
        <v>61.750728250739833</v>
      </c>
      <c r="AT105" s="41">
        <f>'6. Poistot'!AI105</f>
        <v>64.582366906960672</v>
      </c>
      <c r="AV105" s="4">
        <f t="shared" si="29"/>
        <v>0</v>
      </c>
      <c r="AW105" s="4">
        <f t="shared" si="30"/>
        <v>0</v>
      </c>
      <c r="AX105" s="4">
        <f t="shared" si="31"/>
        <v>0</v>
      </c>
      <c r="AY105" s="4">
        <f t="shared" si="32"/>
        <v>0</v>
      </c>
      <c r="AZ105" s="4">
        <f t="shared" si="33"/>
        <v>0</v>
      </c>
      <c r="BA105" s="4">
        <f t="shared" si="34"/>
        <v>0</v>
      </c>
      <c r="BB105" s="4">
        <f t="shared" si="35"/>
        <v>0</v>
      </c>
      <c r="BC105" s="4">
        <f t="shared" si="36"/>
        <v>0</v>
      </c>
      <c r="BE105" s="405">
        <f t="shared" si="37"/>
        <v>-1</v>
      </c>
      <c r="BF105" s="405">
        <f t="shared" si="38"/>
        <v>0</v>
      </c>
      <c r="BG105" s="405">
        <f t="shared" si="39"/>
        <v>0</v>
      </c>
      <c r="BH105" s="405">
        <f t="shared" si="40"/>
        <v>0</v>
      </c>
      <c r="BI105" s="405">
        <f t="shared" si="41"/>
        <v>0</v>
      </c>
      <c r="BJ105" s="405">
        <f t="shared" si="42"/>
        <v>0</v>
      </c>
      <c r="BK105" s="405">
        <f t="shared" si="43"/>
        <v>0</v>
      </c>
      <c r="BL105" s="405">
        <f t="shared" si="44"/>
        <v>0</v>
      </c>
      <c r="BM105" s="405">
        <f t="shared" si="45"/>
        <v>0</v>
      </c>
      <c r="BN105" s="405">
        <f t="shared" si="45"/>
        <v>0</v>
      </c>
    </row>
    <row r="106" spans="1:66" x14ac:dyDescent="0.2">
      <c r="A106" s="34">
        <v>271</v>
      </c>
      <c r="B106" s="88" t="s">
        <v>420</v>
      </c>
      <c r="C106" s="41" t="e">
        <f>'2. Toimintakate'!D106+'3. Verotulot'!G106+'4. Valtionosuudet'!#REF!+'5. Rahoitustuotot ja -kulut'!C106</f>
        <v>#REF!</v>
      </c>
      <c r="D106" s="41">
        <f>'2. Toimintakate'!E106+'4. Valtionosuudet'!H106+'3. Verotulot'!L106+'5. Rahoitustuotot ja -kulut'!D106</f>
        <v>1890</v>
      </c>
      <c r="E106" s="41">
        <f>'2. Toimintakate'!F106+'4. Valtionosuudet'!N106+'3. Verotulot'!Q106+'5. Rahoitustuotot ja -kulut'!E106</f>
        <v>2340</v>
      </c>
      <c r="F106" s="41">
        <f>'2. Toimintakate'!G106+'4. Valtionosuudet'!T106+'3. Verotulot'!V106+'5. Rahoitustuotot ja -kulut'!F106</f>
        <v>1786</v>
      </c>
      <c r="G106" s="41">
        <f>'2. Toimintakate'!H106+'3. Verotulot'!AA106+'4. Valtionosuudet'!Z106+'5. Rahoitustuotot ja -kulut'!G106</f>
        <v>427</v>
      </c>
      <c r="H106" s="41">
        <f>Käyttökate!H106+'5. Rahoitustuotot ja -kulut'!H106</f>
        <v>5615.5780597239609</v>
      </c>
      <c r="I106" s="41">
        <f>Käyttökate!I106+'5. Rahoitustuotot ja -kulut'!I106</f>
        <v>3011.6130565261774</v>
      </c>
      <c r="J106" s="41">
        <f>Käyttökate!J106+'5. Rahoitustuotot ja -kulut'!J106</f>
        <v>2281.9604799419603</v>
      </c>
      <c r="K106" s="41">
        <f>Käyttökate!K106+'5. Rahoitustuotot ja -kulut'!K106</f>
        <v>3993.8946452185573</v>
      </c>
      <c r="L106" s="41">
        <f>Käyttökate!L106+'5. Rahoitustuotot ja -kulut'!L106</f>
        <v>1771.4016586939647</v>
      </c>
      <c r="M106" s="41">
        <f>Käyttökate!M106+'5. Rahoitustuotot ja -kulut'!M106</f>
        <v>842.27690809174237</v>
      </c>
      <c r="N106" s="41">
        <f>Käyttökate!N106+'5. Rahoitustuotot ja -kulut'!N106</f>
        <v>800.1034088513602</v>
      </c>
      <c r="O106" s="41">
        <f>Käyttökate!O106+'5. Rahoitustuotot ja -kulut'!O106</f>
        <v>1068.0775183073727</v>
      </c>
      <c r="P106" s="41">
        <f>Käyttökate!P106+'5. Rahoitustuotot ja -kulut'!P106</f>
        <v>1939.2537188750398</v>
      </c>
      <c r="T106" s="34">
        <v>271</v>
      </c>
      <c r="U106" s="88" t="s">
        <v>420</v>
      </c>
      <c r="V106" s="41" t="e">
        <f>C106/'1. Väestöennuste'!E106*1000</f>
        <v>#REF!</v>
      </c>
      <c r="W106" s="41">
        <f>D106/'1. Väestöennuste'!F106*1000</f>
        <v>252.06721792477992</v>
      </c>
      <c r="X106" s="41">
        <f>E106/'1. Väestöennuste'!G106*1000</f>
        <v>317.0302127083051</v>
      </c>
      <c r="Y106" s="41">
        <f>F106/'1. Väestöennuste'!H106*1000</f>
        <v>247.16302241904233</v>
      </c>
      <c r="Z106" s="41">
        <f>G106/'1. Väestöennuste'!I106*1000</f>
        <v>60.115444178516121</v>
      </c>
      <c r="AA106" s="41">
        <f>H106/'1. Väestöennuste'!J106*1000</f>
        <v>800.73835159332111</v>
      </c>
      <c r="AB106" s="41">
        <f>I106/'1. Väestöennuste'!K106*1000</f>
        <v>433.26327960382355</v>
      </c>
      <c r="AC106" s="41">
        <f>J106/'1. Väestöennuste'!L106*1000</f>
        <v>330.57518179660445</v>
      </c>
      <c r="AD106" s="41">
        <f>K106/'1. Väestöennuste'!M106*1000</f>
        <v>590.28889228769685</v>
      </c>
      <c r="AE106" s="41">
        <f>L106/'1. Väestöennuste'!N106*1000</f>
        <v>267.0186401407845</v>
      </c>
      <c r="AF106" s="41">
        <f>M106/'1. Väestöennuste'!O106*1000</f>
        <v>128.59189436515152</v>
      </c>
      <c r="AG106" s="41">
        <f>N106/'1. Väestöennuste'!P106*1000</f>
        <v>123.6062735750595</v>
      </c>
      <c r="AH106" s="41">
        <f>O106/'1. Väestöennuste'!Q106*1000</f>
        <v>166.83497630543152</v>
      </c>
      <c r="AI106" s="41">
        <f>P106/'1. Väestöennuste'!R106*1000</f>
        <v>306.16572764051779</v>
      </c>
      <c r="AK106" s="41">
        <f>'6. Poistot'!Z106</f>
        <v>233.42249753625231</v>
      </c>
      <c r="AL106" s="41">
        <f>'6. Poistot'!AA106</f>
        <v>265.93469271353206</v>
      </c>
      <c r="AM106" s="41">
        <f>'6. Poistot'!AB106</f>
        <v>307.09643360667525</v>
      </c>
      <c r="AN106" s="41">
        <f>'6. Poistot'!AC106</f>
        <v>269.79991887585106</v>
      </c>
      <c r="AO106" s="41">
        <f>'6. Poistot'!AD106</f>
        <v>317.47412799290572</v>
      </c>
      <c r="AP106" s="41">
        <f>'6. Poistot'!AE106</f>
        <v>346.69882423876999</v>
      </c>
      <c r="AQ106" s="41">
        <f>'6. Poistot'!AF106</f>
        <v>358.77862595419845</v>
      </c>
      <c r="AR106" s="41">
        <f>'6. Poistot'!AG106</f>
        <v>370.77089448478296</v>
      </c>
      <c r="AS106" s="41">
        <f>'6. Poistot'!AH106</f>
        <v>386.9789468009501</v>
      </c>
      <c r="AT106" s="41">
        <f>'6. Poistot'!AI106</f>
        <v>403.35939924839982</v>
      </c>
      <c r="AV106" s="4">
        <f t="shared" si="29"/>
        <v>0</v>
      </c>
      <c r="AW106" s="4">
        <f t="shared" si="30"/>
        <v>0</v>
      </c>
      <c r="AX106" s="4">
        <f t="shared" si="31"/>
        <v>0</v>
      </c>
      <c r="AY106" s="4">
        <f t="shared" si="32"/>
        <v>1</v>
      </c>
      <c r="AZ106" s="4">
        <f t="shared" si="33"/>
        <v>1</v>
      </c>
      <c r="BA106" s="4">
        <f t="shared" si="34"/>
        <v>1</v>
      </c>
      <c r="BB106" s="4">
        <f t="shared" si="35"/>
        <v>1</v>
      </c>
      <c r="BC106" s="4">
        <f t="shared" si="36"/>
        <v>1</v>
      </c>
      <c r="BE106" s="405">
        <f t="shared" si="37"/>
        <v>0</v>
      </c>
      <c r="BF106" s="405">
        <f t="shared" si="38"/>
        <v>0</v>
      </c>
      <c r="BG106" s="405">
        <f t="shared" si="39"/>
        <v>0</v>
      </c>
      <c r="BH106" s="405">
        <f t="shared" si="40"/>
        <v>0</v>
      </c>
      <c r="BI106" s="405">
        <f t="shared" si="41"/>
        <v>0</v>
      </c>
      <c r="BJ106" s="405">
        <f t="shared" si="42"/>
        <v>0</v>
      </c>
      <c r="BK106" s="405">
        <f t="shared" si="43"/>
        <v>0</v>
      </c>
      <c r="BL106" s="405">
        <f t="shared" si="44"/>
        <v>0</v>
      </c>
      <c r="BM106" s="405">
        <f t="shared" si="45"/>
        <v>0</v>
      </c>
      <c r="BN106" s="405">
        <f t="shared" si="45"/>
        <v>0</v>
      </c>
    </row>
    <row r="107" spans="1:66" x14ac:dyDescent="0.2">
      <c r="A107" s="34">
        <v>272</v>
      </c>
      <c r="B107" s="88" t="s">
        <v>421</v>
      </c>
      <c r="C107" s="41" t="e">
        <f>'2. Toimintakate'!D107+'3. Verotulot'!G107+'4. Valtionosuudet'!#REF!+'5. Rahoitustuotot ja -kulut'!C107</f>
        <v>#REF!</v>
      </c>
      <c r="D107" s="41">
        <f>'2. Toimintakate'!E107+'4. Valtionosuudet'!H107+'3. Verotulot'!L107+'5. Rahoitustuotot ja -kulut'!D107</f>
        <v>10306</v>
      </c>
      <c r="E107" s="41">
        <f>'2. Toimintakate'!F107+'4. Valtionosuudet'!N107+'3. Verotulot'!Q107+'5. Rahoitustuotot ja -kulut'!E107</f>
        <v>20261</v>
      </c>
      <c r="F107" s="41">
        <f>'2. Toimintakate'!G107+'4. Valtionosuudet'!T107+'3. Verotulot'!V107+'5. Rahoitustuotot ja -kulut'!F107</f>
        <v>11376</v>
      </c>
      <c r="G107" s="41">
        <f>'2. Toimintakate'!H107+'3. Verotulot'!AA107+'4. Valtionosuudet'!Z107+'5. Rahoitustuotot ja -kulut'!G107</f>
        <v>11815</v>
      </c>
      <c r="H107" s="41">
        <f>Käyttökate!H107+'5. Rahoitustuotot ja -kulut'!H107</f>
        <v>29674.647559847726</v>
      </c>
      <c r="I107" s="41">
        <f>Käyttökate!I107+'5. Rahoitustuotot ja -kulut'!I107</f>
        <v>21236.943099495522</v>
      </c>
      <c r="J107" s="41">
        <f>Käyttökate!J107+'5. Rahoitustuotot ja -kulut'!J107</f>
        <v>24117.815067110372</v>
      </c>
      <c r="K107" s="41">
        <f>Käyttökate!K107+'5. Rahoitustuotot ja -kulut'!K107</f>
        <v>26252.639662033576</v>
      </c>
      <c r="L107" s="41">
        <f>Käyttökate!L107+'5. Rahoitustuotot ja -kulut'!L107</f>
        <v>13454.239089448489</v>
      </c>
      <c r="M107" s="41">
        <f>Käyttökate!M107+'5. Rahoitustuotot ja -kulut'!M107</f>
        <v>8352.9871640527526</v>
      </c>
      <c r="N107" s="41">
        <f>Käyttökate!N107+'5. Rahoitustuotot ja -kulut'!N107</f>
        <v>11075.619782301605</v>
      </c>
      <c r="O107" s="41">
        <f>Käyttökate!O107+'5. Rahoitustuotot ja -kulut'!O107</f>
        <v>12801.573865713946</v>
      </c>
      <c r="P107" s="41">
        <f>Käyttökate!P107+'5. Rahoitustuotot ja -kulut'!P107</f>
        <v>16990.540555764012</v>
      </c>
      <c r="T107" s="34">
        <v>272</v>
      </c>
      <c r="U107" s="88" t="s">
        <v>421</v>
      </c>
      <c r="V107" s="41" t="e">
        <f>C107/'1. Väestöennuste'!E107*1000</f>
        <v>#REF!</v>
      </c>
      <c r="W107" s="41">
        <f>D107/'1. Väestöennuste'!F107*1000</f>
        <v>215.95457117113344</v>
      </c>
      <c r="X107" s="41">
        <f>E107/'1. Väestöennuste'!G107*1000</f>
        <v>424.55419818536132</v>
      </c>
      <c r="Y107" s="41">
        <f>F107/'1. Väestöennuste'!H107*1000</f>
        <v>238.70575151604172</v>
      </c>
      <c r="Z107" s="41">
        <f>G107/'1. Väestöennuste'!I107*1000</f>
        <v>247.79262179903944</v>
      </c>
      <c r="AA107" s="41">
        <f>H107/'1. Väestöennuste'!J107*1000</f>
        <v>621.17239303038866</v>
      </c>
      <c r="AB107" s="41">
        <f>I107/'1. Väestöennuste'!K107*1000</f>
        <v>443.27669330387863</v>
      </c>
      <c r="AC107" s="41">
        <f>J107/'1. Väestöennuste'!L107*1000</f>
        <v>502.39168160459877</v>
      </c>
      <c r="AD107" s="41">
        <f>K107/'1. Väestöennuste'!M107*1000</f>
        <v>543.58918442972515</v>
      </c>
      <c r="AE107" s="41">
        <f>L107/'1. Väestöennuste'!N107*1000</f>
        <v>280.96393704733089</v>
      </c>
      <c r="AF107" s="41">
        <f>M107/'1. Väestöennuste'!O107*1000</f>
        <v>174.48586154856184</v>
      </c>
      <c r="AG107" s="41">
        <f>N107/'1. Väestöennuste'!P107*1000</f>
        <v>231.49927434110748</v>
      </c>
      <c r="AH107" s="41">
        <f>O107/'1. Väestöennuste'!Q107*1000</f>
        <v>267.79854539911605</v>
      </c>
      <c r="AI107" s="41">
        <f>P107/'1. Väestöennuste'!R107*1000</f>
        <v>355.8377430628301</v>
      </c>
      <c r="AK107" s="41">
        <f>'6. Poistot'!Z107</f>
        <v>315.82810763197085</v>
      </c>
      <c r="AL107" s="41">
        <f>'6. Poistot'!AA107</f>
        <v>308.10935275893831</v>
      </c>
      <c r="AM107" s="41">
        <f>'6. Poistot'!AB107</f>
        <v>304.93786637166295</v>
      </c>
      <c r="AN107" s="41">
        <f>'6. Poistot'!AC107</f>
        <v>318.29445236012168</v>
      </c>
      <c r="AO107" s="41">
        <f>'6. Poistot'!AD107</f>
        <v>370.56867998757633</v>
      </c>
      <c r="AP107" s="41">
        <f>'6. Poistot'!AE107</f>
        <v>336.43570145762851</v>
      </c>
      <c r="AQ107" s="41">
        <f>'6. Poistot'!AF107</f>
        <v>336.54328208556149</v>
      </c>
      <c r="AR107" s="41">
        <f>'6. Poistot'!AG107</f>
        <v>336.74727755366513</v>
      </c>
      <c r="AS107" s="41">
        <f>'6. Poistot'!AH107</f>
        <v>347.90375108822059</v>
      </c>
      <c r="AT107" s="41">
        <f>'6. Poistot'!AI107</f>
        <v>359.19171539206695</v>
      </c>
      <c r="AV107" s="4">
        <f t="shared" si="29"/>
        <v>0</v>
      </c>
      <c r="AW107" s="4">
        <f t="shared" si="30"/>
        <v>0</v>
      </c>
      <c r="AX107" s="4">
        <f t="shared" si="31"/>
        <v>0</v>
      </c>
      <c r="AY107" s="4">
        <f t="shared" si="32"/>
        <v>1</v>
      </c>
      <c r="AZ107" s="4">
        <f t="shared" si="33"/>
        <v>1</v>
      </c>
      <c r="BA107" s="4">
        <f t="shared" si="34"/>
        <v>1</v>
      </c>
      <c r="BB107" s="4">
        <f t="shared" si="35"/>
        <v>1</v>
      </c>
      <c r="BC107" s="4">
        <f t="shared" si="36"/>
        <v>1</v>
      </c>
      <c r="BE107" s="405">
        <f t="shared" si="37"/>
        <v>0</v>
      </c>
      <c r="BF107" s="405">
        <f t="shared" si="38"/>
        <v>0</v>
      </c>
      <c r="BG107" s="405">
        <f t="shared" si="39"/>
        <v>0</v>
      </c>
      <c r="BH107" s="405">
        <f t="shared" si="40"/>
        <v>0</v>
      </c>
      <c r="BI107" s="405">
        <f t="shared" si="41"/>
        <v>0</v>
      </c>
      <c r="BJ107" s="405">
        <f t="shared" si="42"/>
        <v>0</v>
      </c>
      <c r="BK107" s="405">
        <f t="shared" si="43"/>
        <v>0</v>
      </c>
      <c r="BL107" s="405">
        <f t="shared" si="44"/>
        <v>0</v>
      </c>
      <c r="BM107" s="405">
        <f t="shared" si="45"/>
        <v>0</v>
      </c>
      <c r="BN107" s="405">
        <f t="shared" si="45"/>
        <v>0</v>
      </c>
    </row>
    <row r="108" spans="1:66" x14ac:dyDescent="0.2">
      <c r="A108" s="34">
        <v>273</v>
      </c>
      <c r="B108" s="88" t="s">
        <v>422</v>
      </c>
      <c r="C108" s="41" t="e">
        <f>'2. Toimintakate'!D108+'3. Verotulot'!G108+'4. Valtionosuudet'!#REF!+'5. Rahoitustuotot ja -kulut'!C108</f>
        <v>#REF!</v>
      </c>
      <c r="D108" s="41">
        <f>'2. Toimintakate'!E108+'4. Valtionosuudet'!H108+'3. Verotulot'!L108+'5. Rahoitustuotot ja -kulut'!D108</f>
        <v>3451</v>
      </c>
      <c r="E108" s="41">
        <f>'2. Toimintakate'!F108+'4. Valtionosuudet'!N108+'3. Verotulot'!Q108+'5. Rahoitustuotot ja -kulut'!E108</f>
        <v>4012</v>
      </c>
      <c r="F108" s="41">
        <f>'2. Toimintakate'!G108+'4. Valtionosuudet'!T108+'3. Verotulot'!V108+'5. Rahoitustuotot ja -kulut'!F108</f>
        <v>2701</v>
      </c>
      <c r="G108" s="41">
        <f>'2. Toimintakate'!H108+'3. Verotulot'!AA108+'4. Valtionosuudet'!Z108+'5. Rahoitustuotot ja -kulut'!G108</f>
        <v>2643</v>
      </c>
      <c r="H108" s="41">
        <f>Käyttökate!H108+'5. Rahoitustuotot ja -kulut'!H108</f>
        <v>2678.2505391636259</v>
      </c>
      <c r="I108" s="41">
        <f>Käyttökate!I108+'5. Rahoitustuotot ja -kulut'!I108</f>
        <v>2076.4234470158735</v>
      </c>
      <c r="J108" s="41">
        <f>Käyttökate!J108+'5. Rahoitustuotot ja -kulut'!J108</f>
        <v>4044.5818544489143</v>
      </c>
      <c r="K108" s="41">
        <f>Käyttökate!K108+'5. Rahoitustuotot ja -kulut'!K108</f>
        <v>4148.3971168798935</v>
      </c>
      <c r="L108" s="41">
        <f>Käyttökate!L108+'5. Rahoitustuotot ja -kulut'!L108</f>
        <v>3483.0013312314932</v>
      </c>
      <c r="M108" s="41">
        <f>Käyttökate!M108+'5. Rahoitustuotot ja -kulut'!M108</f>
        <v>2943.042818930182</v>
      </c>
      <c r="N108" s="41">
        <f>Käyttökate!N108+'5. Rahoitustuotot ja -kulut'!N108</f>
        <v>2502.7944796982156</v>
      </c>
      <c r="O108" s="41">
        <f>Käyttökate!O108+'5. Rahoitustuotot ja -kulut'!O108</f>
        <v>2353.7413379992954</v>
      </c>
      <c r="P108" s="41">
        <f>Käyttökate!P108+'5. Rahoitustuotot ja -kulut'!P108</f>
        <v>2659.3340887828253</v>
      </c>
      <c r="T108" s="34">
        <v>273</v>
      </c>
      <c r="U108" s="88" t="s">
        <v>422</v>
      </c>
      <c r="V108" s="41" t="e">
        <f>C108/'1. Väestöennuste'!E108*1000</f>
        <v>#REF!</v>
      </c>
      <c r="W108" s="41">
        <f>D108/'1. Väestöennuste'!F108*1000</f>
        <v>901.75071857852106</v>
      </c>
      <c r="X108" s="41">
        <f>E108/'1. Väestöennuste'!G108*1000</f>
        <v>1040.9963674104824</v>
      </c>
      <c r="Y108" s="41">
        <f>F108/'1. Väestöennuste'!H108*1000</f>
        <v>704.48617631716229</v>
      </c>
      <c r="Z108" s="41">
        <f>G108/'1. Väestöennuste'!I108*1000</f>
        <v>687.20748829953197</v>
      </c>
      <c r="AA108" s="41">
        <f>H108/'1. Väestöennuste'!J108*1000</f>
        <v>682.35682526461801</v>
      </c>
      <c r="AB108" s="41">
        <f>I108/'1. Väestöennuste'!K108*1000</f>
        <v>520.53733943742134</v>
      </c>
      <c r="AC108" s="41">
        <f>J108/'1. Väestöennuste'!L108*1000</f>
        <v>1011.3983131905262</v>
      </c>
      <c r="AD108" s="41">
        <f>K108/'1. Väestöennuste'!M108*1000</f>
        <v>1034.2550777561439</v>
      </c>
      <c r="AE108" s="41">
        <f>L108/'1. Väestöennuste'!N108*1000</f>
        <v>877.77251291116249</v>
      </c>
      <c r="AF108" s="41">
        <f>M108/'1. Väestöennuste'!O108*1000</f>
        <v>740.57443858333716</v>
      </c>
      <c r="AG108" s="41">
        <f>N108/'1. Väestöennuste'!P108*1000</f>
        <v>629.15899439371935</v>
      </c>
      <c r="AH108" s="41">
        <f>O108/'1. Väestöennuste'!Q108*1000</f>
        <v>591.83840533047407</v>
      </c>
      <c r="AI108" s="41">
        <f>P108/'1. Väestöennuste'!R108*1000</f>
        <v>668.67842312869629</v>
      </c>
      <c r="AK108" s="41">
        <f>'6. Poistot'!Z108</f>
        <v>403.27613104524181</v>
      </c>
      <c r="AL108" s="41">
        <f>'6. Poistot'!AA108</f>
        <v>408.91719745222935</v>
      </c>
      <c r="AM108" s="41">
        <f>'6. Poistot'!AB108</f>
        <v>398.70640260716971</v>
      </c>
      <c r="AN108" s="41">
        <f>'6. Poistot'!AC108</f>
        <v>586.06690922730672</v>
      </c>
      <c r="AO108" s="41">
        <f>'6. Poistot'!AD108</f>
        <v>372.23680628272257</v>
      </c>
      <c r="AP108" s="41">
        <f>'6. Poistot'!AE108</f>
        <v>378.02419354838713</v>
      </c>
      <c r="AQ108" s="41">
        <f>'6. Poistot'!AF108</f>
        <v>415.19879214896832</v>
      </c>
      <c r="AR108" s="41">
        <f>'6. Poistot'!AG108</f>
        <v>356.96329813976871</v>
      </c>
      <c r="AS108" s="41">
        <f>'6. Poistot'!AH108</f>
        <v>368.57385055066095</v>
      </c>
      <c r="AT108" s="41">
        <f>'6. Poistot'!AI108</f>
        <v>380.09464603468871</v>
      </c>
      <c r="AV108" s="4">
        <f t="shared" si="29"/>
        <v>0</v>
      </c>
      <c r="AW108" s="4">
        <f t="shared" si="30"/>
        <v>0</v>
      </c>
      <c r="AX108" s="4">
        <f t="shared" si="31"/>
        <v>0</v>
      </c>
      <c r="AY108" s="4">
        <f t="shared" si="32"/>
        <v>0</v>
      </c>
      <c r="AZ108" s="4">
        <f t="shared" si="33"/>
        <v>0</v>
      </c>
      <c r="BA108" s="4">
        <f t="shared" si="34"/>
        <v>0</v>
      </c>
      <c r="BB108" s="4">
        <f t="shared" si="35"/>
        <v>0</v>
      </c>
      <c r="BC108" s="4">
        <f t="shared" si="36"/>
        <v>0</v>
      </c>
      <c r="BE108" s="405">
        <f t="shared" si="37"/>
        <v>0</v>
      </c>
      <c r="BF108" s="405">
        <f t="shared" si="38"/>
        <v>0</v>
      </c>
      <c r="BG108" s="405">
        <f t="shared" si="39"/>
        <v>0</v>
      </c>
      <c r="BH108" s="405">
        <f t="shared" si="40"/>
        <v>0</v>
      </c>
      <c r="BI108" s="405">
        <f t="shared" si="41"/>
        <v>0</v>
      </c>
      <c r="BJ108" s="405">
        <f t="shared" si="42"/>
        <v>0</v>
      </c>
      <c r="BK108" s="405">
        <f t="shared" si="43"/>
        <v>0</v>
      </c>
      <c r="BL108" s="405">
        <f t="shared" si="44"/>
        <v>0</v>
      </c>
      <c r="BM108" s="405">
        <f t="shared" si="45"/>
        <v>0</v>
      </c>
      <c r="BN108" s="405">
        <f t="shared" si="45"/>
        <v>0</v>
      </c>
    </row>
    <row r="109" spans="1:66" x14ac:dyDescent="0.2">
      <c r="A109" s="34">
        <v>275</v>
      </c>
      <c r="B109" s="88" t="s">
        <v>423</v>
      </c>
      <c r="C109" s="41" t="e">
        <f>'2. Toimintakate'!D109+'3. Verotulot'!G109+'4. Valtionosuudet'!#REF!+'5. Rahoitustuotot ja -kulut'!C109</f>
        <v>#REF!</v>
      </c>
      <c r="D109" s="41">
        <f>'2. Toimintakate'!E109+'4. Valtionosuudet'!H109+'3. Verotulot'!L109+'5. Rahoitustuotot ja -kulut'!D109</f>
        <v>593</v>
      </c>
      <c r="E109" s="41">
        <f>'2. Toimintakate'!F109+'4. Valtionosuudet'!N109+'3. Verotulot'!Q109+'5. Rahoitustuotot ja -kulut'!E109</f>
        <v>-122</v>
      </c>
      <c r="F109" s="41">
        <f>'2. Toimintakate'!G109+'4. Valtionosuudet'!T109+'3. Verotulot'!V109+'5. Rahoitustuotot ja -kulut'!F109</f>
        <v>-29</v>
      </c>
      <c r="G109" s="41">
        <f>'2. Toimintakate'!H109+'3. Verotulot'!AA109+'4. Valtionosuudet'!Z109+'5. Rahoitustuotot ja -kulut'!G109</f>
        <v>-4317</v>
      </c>
      <c r="H109" s="41">
        <f>Käyttökate!H109+'5. Rahoitustuotot ja -kulut'!H109</f>
        <v>2315.855847511295</v>
      </c>
      <c r="I109" s="41">
        <f>Käyttökate!I109+'5. Rahoitustuotot ja -kulut'!I109</f>
        <v>3236.0129272482645</v>
      </c>
      <c r="J109" s="41">
        <f>Käyttökate!J109+'5. Rahoitustuotot ja -kulut'!J109</f>
        <v>1352.4844052593239</v>
      </c>
      <c r="K109" s="41">
        <f>Käyttökate!K109+'5. Rahoitustuotot ja -kulut'!K109</f>
        <v>1666.8498739624374</v>
      </c>
      <c r="L109" s="41">
        <f>Käyttökate!L109+'5. Rahoitustuotot ja -kulut'!L109</f>
        <v>1323.6204426226459</v>
      </c>
      <c r="M109" s="41">
        <f>Käyttökate!M109+'5. Rahoitustuotot ja -kulut'!M109</f>
        <v>1319.5246166889528</v>
      </c>
      <c r="N109" s="41">
        <f>Käyttökate!N109+'5. Rahoitustuotot ja -kulut'!N109</f>
        <v>874.17278462481818</v>
      </c>
      <c r="O109" s="41">
        <f>Käyttökate!O109+'5. Rahoitustuotot ja -kulut'!O109</f>
        <v>732.84057843415076</v>
      </c>
      <c r="P109" s="41">
        <f>Käyttökate!P109+'5. Rahoitustuotot ja -kulut'!P109</f>
        <v>909.89128029666722</v>
      </c>
      <c r="T109" s="34">
        <v>275</v>
      </c>
      <c r="U109" s="88" t="s">
        <v>423</v>
      </c>
      <c r="V109" s="41" t="e">
        <f>C109/'1. Väestöennuste'!E109*1000</f>
        <v>#REF!</v>
      </c>
      <c r="W109" s="41">
        <f>D109/'1. Väestöennuste'!F109*1000</f>
        <v>215.40138031238649</v>
      </c>
      <c r="X109" s="41">
        <f>E109/'1. Väestöennuste'!G109*1000</f>
        <v>-44.395924308588064</v>
      </c>
      <c r="Y109" s="41">
        <f>F109/'1. Väestöennuste'!H109*1000</f>
        <v>-10.748702742772425</v>
      </c>
      <c r="Z109" s="41">
        <f>G109/'1. Väestöennuste'!I109*1000</f>
        <v>-1643.3193757137419</v>
      </c>
      <c r="AA109" s="41">
        <f>H109/'1. Väestöennuste'!J109*1000</f>
        <v>893.11833687284798</v>
      </c>
      <c r="AB109" s="41">
        <f>I109/'1. Väestöennuste'!K109*1000</f>
        <v>1251.3584405445727</v>
      </c>
      <c r="AC109" s="41">
        <f>J109/'1. Väestöennuste'!L109*1000</f>
        <v>536.48726904376201</v>
      </c>
      <c r="AD109" s="41">
        <f>K109/'1. Väestöennuste'!M109*1000</f>
        <v>667.00675228588932</v>
      </c>
      <c r="AE109" s="41">
        <f>L109/'1. Väestöennuste'!N109*1000</f>
        <v>540.25324188679429</v>
      </c>
      <c r="AF109" s="41">
        <f>M109/'1. Väestöennuste'!O109*1000</f>
        <v>545.48351247993082</v>
      </c>
      <c r="AG109" s="41">
        <f>N109/'1. Väestöennuste'!P109*1000</f>
        <v>365.7626713911373</v>
      </c>
      <c r="AH109" s="41">
        <f>O109/'1. Väestöennuste'!Q109*1000</f>
        <v>310.52566882802995</v>
      </c>
      <c r="AI109" s="41">
        <f>P109/'1. Väestöennuste'!R109*1000</f>
        <v>390.34374959101979</v>
      </c>
      <c r="AK109" s="41">
        <f>'6. Poistot'!Z109</f>
        <v>468.9760182717929</v>
      </c>
      <c r="AL109" s="41">
        <f>'6. Poistot'!AA109</f>
        <v>450.82915541843425</v>
      </c>
      <c r="AM109" s="41">
        <f>'6. Poistot'!AB109</f>
        <v>430.70139597834498</v>
      </c>
      <c r="AN109" s="41">
        <f>'6. Poistot'!AC109</f>
        <v>387.06099563665214</v>
      </c>
      <c r="AO109" s="41">
        <f>'6. Poistot'!AD109</f>
        <v>379.28476590636257</v>
      </c>
      <c r="AP109" s="41">
        <f>'6. Poistot'!AE109</f>
        <v>369.31346938775511</v>
      </c>
      <c r="AQ109" s="41">
        <f>'6. Poistot'!AF109</f>
        <v>374.12153782554776</v>
      </c>
      <c r="AR109" s="41">
        <f>'6. Poistot'!AG109</f>
        <v>378.6610878661088</v>
      </c>
      <c r="AS109" s="41">
        <f>'6. Poistot'!AH109</f>
        <v>395.84789755734681</v>
      </c>
      <c r="AT109" s="41">
        <f>'6. Poistot'!AI109</f>
        <v>413.29990410582451</v>
      </c>
      <c r="AV109" s="4">
        <f t="shared" si="29"/>
        <v>0</v>
      </c>
      <c r="AW109" s="4">
        <f t="shared" si="30"/>
        <v>0</v>
      </c>
      <c r="AX109" s="4">
        <f t="shared" si="31"/>
        <v>0</v>
      </c>
      <c r="AY109" s="4">
        <f t="shared" si="32"/>
        <v>0</v>
      </c>
      <c r="AZ109" s="4">
        <f t="shared" si="33"/>
        <v>0</v>
      </c>
      <c r="BA109" s="4">
        <f t="shared" si="34"/>
        <v>1</v>
      </c>
      <c r="BB109" s="4">
        <f t="shared" si="35"/>
        <v>1</v>
      </c>
      <c r="BC109" s="4">
        <f t="shared" si="36"/>
        <v>1</v>
      </c>
      <c r="BE109" s="405">
        <f t="shared" si="37"/>
        <v>-1</v>
      </c>
      <c r="BF109" s="405">
        <f t="shared" si="38"/>
        <v>0</v>
      </c>
      <c r="BG109" s="405">
        <f t="shared" si="39"/>
        <v>0</v>
      </c>
      <c r="BH109" s="405">
        <f t="shared" si="40"/>
        <v>0</v>
      </c>
      <c r="BI109" s="405">
        <f t="shared" si="41"/>
        <v>0</v>
      </c>
      <c r="BJ109" s="405">
        <f t="shared" si="42"/>
        <v>0</v>
      </c>
      <c r="BK109" s="405">
        <f t="shared" si="43"/>
        <v>0</v>
      </c>
      <c r="BL109" s="405">
        <f t="shared" si="44"/>
        <v>0</v>
      </c>
      <c r="BM109" s="405">
        <f t="shared" si="45"/>
        <v>0</v>
      </c>
      <c r="BN109" s="405">
        <f t="shared" si="45"/>
        <v>0</v>
      </c>
    </row>
    <row r="110" spans="1:66" x14ac:dyDescent="0.2">
      <c r="A110" s="34">
        <v>276</v>
      </c>
      <c r="B110" s="88" t="s">
        <v>424</v>
      </c>
      <c r="C110" s="41" t="e">
        <f>'2. Toimintakate'!D110+'3. Verotulot'!G110+'4. Valtionosuudet'!#REF!+'5. Rahoitustuotot ja -kulut'!C110</f>
        <v>#REF!</v>
      </c>
      <c r="D110" s="41">
        <f>'2. Toimintakate'!E110+'4. Valtionosuudet'!H110+'3. Verotulot'!L110+'5. Rahoitustuotot ja -kulut'!D110</f>
        <v>7360</v>
      </c>
      <c r="E110" s="41">
        <f>'2. Toimintakate'!F110+'4. Valtionosuudet'!N110+'3. Verotulot'!Q110+'5. Rahoitustuotot ja -kulut'!E110</f>
        <v>4919</v>
      </c>
      <c r="F110" s="41">
        <f>'2. Toimintakate'!G110+'4. Valtionosuudet'!T110+'3. Verotulot'!V110+'5. Rahoitustuotot ja -kulut'!F110</f>
        <v>90</v>
      </c>
      <c r="G110" s="41">
        <f>'2. Toimintakate'!H110+'3. Verotulot'!AA110+'4. Valtionosuudet'!Z110+'5. Rahoitustuotot ja -kulut'!G110</f>
        <v>5174</v>
      </c>
      <c r="H110" s="41">
        <f>Käyttökate!H110+'5. Rahoitustuotot ja -kulut'!H110</f>
        <v>10624.942550972708</v>
      </c>
      <c r="I110" s="41">
        <f>Käyttökate!I110+'5. Rahoitustuotot ja -kulut'!I110</f>
        <v>5778.8261989986422</v>
      </c>
      <c r="J110" s="41">
        <f>Käyttökate!J110+'5. Rahoitustuotot ja -kulut'!J110</f>
        <v>5675.5388239001095</v>
      </c>
      <c r="K110" s="41">
        <f>Käyttökate!K110+'5. Rahoitustuotot ja -kulut'!K110</f>
        <v>8357.5033119683303</v>
      </c>
      <c r="L110" s="41">
        <f>Käyttökate!L110+'5. Rahoitustuotot ja -kulut'!L110</f>
        <v>5474.965447248429</v>
      </c>
      <c r="M110" s="41">
        <f>Käyttökate!M110+'5. Rahoitustuotot ja -kulut'!M110</f>
        <v>2219.726320252521</v>
      </c>
      <c r="N110" s="41">
        <f>Käyttökate!N110+'5. Rahoitustuotot ja -kulut'!N110</f>
        <v>1980.9690789600027</v>
      </c>
      <c r="O110" s="41">
        <f>Käyttökate!O110+'5. Rahoitustuotot ja -kulut'!O110</f>
        <v>2291.449572109615</v>
      </c>
      <c r="P110" s="41">
        <f>Käyttökate!P110+'5. Rahoitustuotot ja -kulut'!P110</f>
        <v>3214.1143700470311</v>
      </c>
      <c r="T110" s="34">
        <v>276</v>
      </c>
      <c r="U110" s="88" t="s">
        <v>424</v>
      </c>
      <c r="V110" s="41" t="e">
        <f>C110/'1. Väestöennuste'!E110*1000</f>
        <v>#REF!</v>
      </c>
      <c r="W110" s="41">
        <f>D110/'1. Väestöennuste'!F110*1000</f>
        <v>497.09577198433067</v>
      </c>
      <c r="X110" s="41">
        <f>E110/'1. Väestöennuste'!G110*1000</f>
        <v>331.69251517194874</v>
      </c>
      <c r="Y110" s="41">
        <f>F110/'1. Väestöennuste'!H110*1000</f>
        <v>6.0610142097110913</v>
      </c>
      <c r="Z110" s="41">
        <f>G110/'1. Väestöennuste'!I110*1000</f>
        <v>349.09925106268128</v>
      </c>
      <c r="AA110" s="41">
        <f>H110/'1. Väestöennuste'!J110*1000</f>
        <v>715.14724042355169</v>
      </c>
      <c r="AB110" s="41">
        <f>I110/'1. Väestöennuste'!K110*1000</f>
        <v>384.35824403050492</v>
      </c>
      <c r="AC110" s="41">
        <f>J110/'1. Väestöennuste'!L110*1000</f>
        <v>374.45001147325388</v>
      </c>
      <c r="AD110" s="41">
        <f>K110/'1. Väestöennuste'!M110*1000</f>
        <v>552.16063107613184</v>
      </c>
      <c r="AE110" s="41">
        <f>L110/'1. Väestöennuste'!N110*1000</f>
        <v>366.24292241945471</v>
      </c>
      <c r="AF110" s="41">
        <f>M110/'1. Väestöennuste'!O110*1000</f>
        <v>148.51641377308451</v>
      </c>
      <c r="AG110" s="41">
        <f>N110/'1. Väestöennuste'!P110*1000</f>
        <v>132.6660245754087</v>
      </c>
      <c r="AH110" s="41">
        <f>O110/'1. Väestöennuste'!Q110*1000</f>
        <v>153.6751104627198</v>
      </c>
      <c r="AI110" s="41">
        <f>P110/'1. Väestöennuste'!R110*1000</f>
        <v>215.97328114816767</v>
      </c>
      <c r="AK110" s="41">
        <f>'6. Poistot'!Z110</f>
        <v>346.40037784225086</v>
      </c>
      <c r="AL110" s="41">
        <f>'6. Poistot'!AA110</f>
        <v>318.43575418994413</v>
      </c>
      <c r="AM110" s="41">
        <f>'6. Poistot'!AB110</f>
        <v>398.26220751579649</v>
      </c>
      <c r="AN110" s="41">
        <f>'6. Poistot'!AC110</f>
        <v>375.39416573200504</v>
      </c>
      <c r="AO110" s="41">
        <f>'6. Poistot'!AD110</f>
        <v>459.66102669133193</v>
      </c>
      <c r="AP110" s="41">
        <f>'6. Poistot'!AE110</f>
        <v>470.60004013646403</v>
      </c>
      <c r="AQ110" s="41">
        <f>'6. Poistot'!AF110</f>
        <v>457.31299344306171</v>
      </c>
      <c r="AR110" s="41">
        <f>'6. Poistot'!AG110</f>
        <v>434.30216983659255</v>
      </c>
      <c r="AS110" s="41">
        <f>'6. Poistot'!AH110</f>
        <v>448.94689951955598</v>
      </c>
      <c r="AT110" s="41">
        <f>'6. Poistot'!AI110</f>
        <v>463.88216889344164</v>
      </c>
      <c r="AV110" s="4">
        <f t="shared" si="29"/>
        <v>1</v>
      </c>
      <c r="AW110" s="4">
        <f t="shared" si="30"/>
        <v>1</v>
      </c>
      <c r="AX110" s="4">
        <f t="shared" si="31"/>
        <v>0</v>
      </c>
      <c r="AY110" s="4">
        <f t="shared" si="32"/>
        <v>1</v>
      </c>
      <c r="AZ110" s="4">
        <f t="shared" si="33"/>
        <v>1</v>
      </c>
      <c r="BA110" s="4">
        <f t="shared" si="34"/>
        <v>1</v>
      </c>
      <c r="BB110" s="4">
        <f t="shared" si="35"/>
        <v>1</v>
      </c>
      <c r="BC110" s="4">
        <f t="shared" si="36"/>
        <v>1</v>
      </c>
      <c r="BE110" s="405">
        <f t="shared" si="37"/>
        <v>0</v>
      </c>
      <c r="BF110" s="405">
        <f t="shared" si="38"/>
        <v>0</v>
      </c>
      <c r="BG110" s="405">
        <f t="shared" si="39"/>
        <v>0</v>
      </c>
      <c r="BH110" s="405">
        <f t="shared" si="40"/>
        <v>0</v>
      </c>
      <c r="BI110" s="405">
        <f t="shared" si="41"/>
        <v>0</v>
      </c>
      <c r="BJ110" s="405">
        <f t="shared" si="42"/>
        <v>0</v>
      </c>
      <c r="BK110" s="405">
        <f t="shared" si="43"/>
        <v>0</v>
      </c>
      <c r="BL110" s="405">
        <f t="shared" si="44"/>
        <v>0</v>
      </c>
      <c r="BM110" s="405">
        <f t="shared" si="45"/>
        <v>0</v>
      </c>
      <c r="BN110" s="405">
        <f t="shared" si="45"/>
        <v>0</v>
      </c>
    </row>
    <row r="111" spans="1:66" x14ac:dyDescent="0.2">
      <c r="A111" s="34">
        <v>280</v>
      </c>
      <c r="B111" s="88" t="s">
        <v>425</v>
      </c>
      <c r="C111" s="41" t="e">
        <f>'2. Toimintakate'!D111+'3. Verotulot'!G111+'4. Valtionosuudet'!#REF!+'5. Rahoitustuotot ja -kulut'!C111</f>
        <v>#REF!</v>
      </c>
      <c r="D111" s="41">
        <f>'2. Toimintakate'!E111+'4. Valtionosuudet'!H111+'3. Verotulot'!L111+'5. Rahoitustuotot ja -kulut'!D111</f>
        <v>1961</v>
      </c>
      <c r="E111" s="41">
        <f>'2. Toimintakate'!F111+'4. Valtionosuudet'!N111+'3. Verotulot'!Q111+'5. Rahoitustuotot ja -kulut'!E111</f>
        <v>1492</v>
      </c>
      <c r="F111" s="41">
        <f>'2. Toimintakate'!G111+'4. Valtionosuudet'!T111+'3. Verotulot'!V111+'5. Rahoitustuotot ja -kulut'!F111</f>
        <v>501</v>
      </c>
      <c r="G111" s="41">
        <f>'2. Toimintakate'!H111+'3. Verotulot'!AA111+'4. Valtionosuudet'!Z111+'5. Rahoitustuotot ja -kulut'!G111</f>
        <v>595</v>
      </c>
      <c r="H111" s="41">
        <f>Käyttökate!H111+'5. Rahoitustuotot ja -kulut'!H111</f>
        <v>473.218763015273</v>
      </c>
      <c r="I111" s="41">
        <f>Käyttökate!I111+'5. Rahoitustuotot ja -kulut'!I111</f>
        <v>1026.066544594418</v>
      </c>
      <c r="J111" s="41">
        <f>Käyttökate!J111+'5. Rahoitustuotot ja -kulut'!J111</f>
        <v>1203.5695500330728</v>
      </c>
      <c r="K111" s="41">
        <f>Käyttökate!K111+'5. Rahoitustuotot ja -kulut'!K111</f>
        <v>1757.1435947600492</v>
      </c>
      <c r="L111" s="41">
        <f>Käyttökate!L111+'5. Rahoitustuotot ja -kulut'!L111</f>
        <v>1515.4290132597571</v>
      </c>
      <c r="M111" s="41">
        <f>Käyttökate!M111+'5. Rahoitustuotot ja -kulut'!M111</f>
        <v>1378.0920496629328</v>
      </c>
      <c r="N111" s="41">
        <f>Käyttökate!N111+'5. Rahoitustuotot ja -kulut'!N111</f>
        <v>1507.331706970394</v>
      </c>
      <c r="O111" s="41">
        <f>Käyttökate!O111+'5. Rahoitustuotot ja -kulut'!O111</f>
        <v>1309.4584385228077</v>
      </c>
      <c r="P111" s="41">
        <f>Käyttökate!P111+'5. Rahoitustuotot ja -kulut'!P111</f>
        <v>1373.3534443324763</v>
      </c>
      <c r="T111" s="34">
        <v>280</v>
      </c>
      <c r="U111" s="88" t="s">
        <v>425</v>
      </c>
      <c r="V111" s="41" t="e">
        <f>C111/'1. Väestöennuste'!E111*1000</f>
        <v>#REF!</v>
      </c>
      <c r="W111" s="41">
        <f>D111/'1. Väestöennuste'!F111*1000</f>
        <v>903.27038231229847</v>
      </c>
      <c r="X111" s="41">
        <f>E111/'1. Väestöennuste'!G111*1000</f>
        <v>692.66480965645314</v>
      </c>
      <c r="Y111" s="41">
        <f>F111/'1. Väestöennuste'!H111*1000</f>
        <v>236.0980207351555</v>
      </c>
      <c r="Z111" s="41">
        <f>G111/'1. Väestöennuste'!I111*1000</f>
        <v>286.47087144920556</v>
      </c>
      <c r="AA111" s="41">
        <f>H111/'1. Väestöennuste'!J111*1000</f>
        <v>228.82918907895214</v>
      </c>
      <c r="AB111" s="41">
        <f>I111/'1. Väestöennuste'!K111*1000</f>
        <v>500.52026565581366</v>
      </c>
      <c r="AC111" s="41">
        <f>J111/'1. Väestöennuste'!L111*1000</f>
        <v>594.6489871704905</v>
      </c>
      <c r="AD111" s="41">
        <f>K111/'1. Väestöennuste'!M111*1000</f>
        <v>872.03156067496229</v>
      </c>
      <c r="AE111" s="41">
        <f>L111/'1. Väestöennuste'!N111*1000</f>
        <v>752.07395198995391</v>
      </c>
      <c r="AF111" s="41">
        <f>M111/'1. Väestöennuste'!O111*1000</f>
        <v>687.32770556754747</v>
      </c>
      <c r="AG111" s="41">
        <f>N111/'1. Väestöennuste'!P111*1000</f>
        <v>755.55474033603707</v>
      </c>
      <c r="AH111" s="41">
        <f>O111/'1. Väestöennuste'!Q111*1000</f>
        <v>660.67529693380811</v>
      </c>
      <c r="AI111" s="41">
        <f>P111/'1. Väestöennuste'!R111*1000</f>
        <v>696.78003263951109</v>
      </c>
      <c r="AK111" s="41">
        <f>'6. Poistot'!Z111</f>
        <v>614.82908040442953</v>
      </c>
      <c r="AL111" s="41">
        <f>'6. Poistot'!AA111</f>
        <v>628.62669245647976</v>
      </c>
      <c r="AM111" s="41">
        <f>'6. Poistot'!AB111</f>
        <v>701.45838536585359</v>
      </c>
      <c r="AN111" s="41">
        <f>'6. Poistot'!AC111</f>
        <v>488.22197134387358</v>
      </c>
      <c r="AO111" s="41">
        <f>'6. Poistot'!AD111</f>
        <v>460.98060545905713</v>
      </c>
      <c r="AP111" s="41">
        <f>'6. Poistot'!AE111</f>
        <v>545.90570719602977</v>
      </c>
      <c r="AQ111" s="41">
        <f>'6. Poistot'!AF111</f>
        <v>548.62842892768083</v>
      </c>
      <c r="AR111" s="41">
        <f>'6. Poistot'!AG111</f>
        <v>551.37844611528817</v>
      </c>
      <c r="AS111" s="41">
        <f>'6. Poistot'!AH111</f>
        <v>572.90261082274856</v>
      </c>
      <c r="AT111" s="41">
        <f>'6. Poistot'!AI111</f>
        <v>594.10753389212334</v>
      </c>
      <c r="AV111" s="4">
        <f t="shared" si="29"/>
        <v>1</v>
      </c>
      <c r="AW111" s="4">
        <f t="shared" si="30"/>
        <v>0</v>
      </c>
      <c r="AX111" s="4">
        <f t="shared" si="31"/>
        <v>0</v>
      </c>
      <c r="AY111" s="4">
        <f t="shared" si="32"/>
        <v>0</v>
      </c>
      <c r="AZ111" s="4">
        <f t="shared" si="33"/>
        <v>0</v>
      </c>
      <c r="BA111" s="4">
        <f t="shared" si="34"/>
        <v>0</v>
      </c>
      <c r="BB111" s="4">
        <f t="shared" si="35"/>
        <v>0</v>
      </c>
      <c r="BC111" s="4">
        <f t="shared" si="36"/>
        <v>0</v>
      </c>
      <c r="BE111" s="405">
        <f t="shared" si="37"/>
        <v>0</v>
      </c>
      <c r="BF111" s="405">
        <f t="shared" si="38"/>
        <v>0</v>
      </c>
      <c r="BG111" s="405">
        <f t="shared" si="39"/>
        <v>0</v>
      </c>
      <c r="BH111" s="405">
        <f t="shared" si="40"/>
        <v>0</v>
      </c>
      <c r="BI111" s="405">
        <f t="shared" si="41"/>
        <v>0</v>
      </c>
      <c r="BJ111" s="405">
        <f t="shared" si="42"/>
        <v>0</v>
      </c>
      <c r="BK111" s="405">
        <f t="shared" si="43"/>
        <v>0</v>
      </c>
      <c r="BL111" s="405">
        <f t="shared" si="44"/>
        <v>0</v>
      </c>
      <c r="BM111" s="405">
        <f t="shared" si="45"/>
        <v>0</v>
      </c>
      <c r="BN111" s="405">
        <f t="shared" si="45"/>
        <v>0</v>
      </c>
    </row>
    <row r="112" spans="1:66" x14ac:dyDescent="0.2">
      <c r="A112" s="34">
        <v>284</v>
      </c>
      <c r="B112" s="88" t="s">
        <v>426</v>
      </c>
      <c r="C112" s="41" t="e">
        <f>'2. Toimintakate'!D112+'3. Verotulot'!G112+'4. Valtionosuudet'!#REF!+'5. Rahoitustuotot ja -kulut'!C112</f>
        <v>#REF!</v>
      </c>
      <c r="D112" s="41">
        <f>'2. Toimintakate'!E112+'4. Valtionosuudet'!H112+'3. Verotulot'!L112+'5. Rahoitustuotot ja -kulut'!D112</f>
        <v>871</v>
      </c>
      <c r="E112" s="41">
        <f>'2. Toimintakate'!F112+'4. Valtionosuudet'!N112+'3. Verotulot'!Q112+'5. Rahoitustuotot ja -kulut'!E112</f>
        <v>1533</v>
      </c>
      <c r="F112" s="41">
        <f>'2. Toimintakate'!G112+'4. Valtionosuudet'!T112+'3. Verotulot'!V112+'5. Rahoitustuotot ja -kulut'!F112</f>
        <v>-61</v>
      </c>
      <c r="G112" s="41">
        <f>'2. Toimintakate'!H112+'3. Verotulot'!AA112+'4. Valtionosuudet'!Z112+'5. Rahoitustuotot ja -kulut'!G112</f>
        <v>517</v>
      </c>
      <c r="H112" s="41">
        <f>Käyttökate!H112+'5. Rahoitustuotot ja -kulut'!H112</f>
        <v>2097.690503294154</v>
      </c>
      <c r="I112" s="41">
        <f>Käyttökate!I112+'5. Rahoitustuotot ja -kulut'!I112</f>
        <v>1744.0814371878021</v>
      </c>
      <c r="J112" s="41">
        <f>Käyttökate!J112+'5. Rahoitustuotot ja -kulut'!J112</f>
        <v>581.22898791537102</v>
      </c>
      <c r="K112" s="41">
        <f>Käyttökate!K112+'5. Rahoitustuotot ja -kulut'!K112</f>
        <v>4472.045364398623</v>
      </c>
      <c r="L112" s="41">
        <f>Käyttökate!L112+'5. Rahoitustuotot ja -kulut'!L112</f>
        <v>2098.193557980464</v>
      </c>
      <c r="M112" s="41">
        <f>Käyttökate!M112+'5. Rahoitustuotot ja -kulut'!M112</f>
        <v>2998.9954707056554</v>
      </c>
      <c r="N112" s="41">
        <f>Käyttökate!N112+'5. Rahoitustuotot ja -kulut'!N112</f>
        <v>2670.8427406656961</v>
      </c>
      <c r="O112" s="41">
        <f>Käyttökate!O112+'5. Rahoitustuotot ja -kulut'!O112</f>
        <v>2601.5732804787767</v>
      </c>
      <c r="P112" s="41">
        <f>Käyttökate!P112+'5. Rahoitustuotot ja -kulut'!P112</f>
        <v>2931.5087923212386</v>
      </c>
      <c r="T112" s="34">
        <v>284</v>
      </c>
      <c r="U112" s="88" t="s">
        <v>426</v>
      </c>
      <c r="V112" s="41" t="e">
        <f>C112/'1. Väestöennuste'!E112*1000</f>
        <v>#REF!</v>
      </c>
      <c r="W112" s="41">
        <f>D112/'1. Väestöennuste'!F112*1000</f>
        <v>360.51324503311258</v>
      </c>
      <c r="X112" s="41">
        <f>E112/'1. Väestöennuste'!G112*1000</f>
        <v>649.85163204747778</v>
      </c>
      <c r="Y112" s="41">
        <f>F112/'1. Väestöennuste'!H112*1000</f>
        <v>-26.068376068376068</v>
      </c>
      <c r="Z112" s="41">
        <f>G112/'1. Väestöennuste'!I112*1000</f>
        <v>224.00346620450605</v>
      </c>
      <c r="AA112" s="41">
        <f>H112/'1. Väestöennuste'!J112*1000</f>
        <v>915.2227326763325</v>
      </c>
      <c r="AB112" s="41">
        <f>I112/'1. Väestöennuste'!K112*1000</f>
        <v>767.97949678018585</v>
      </c>
      <c r="AC112" s="41">
        <f>J112/'1. Väestöennuste'!L112*1000</f>
        <v>260.99191195122182</v>
      </c>
      <c r="AD112" s="41">
        <f>K112/'1. Väestöennuste'!M112*1000</f>
        <v>2026.3005729037711</v>
      </c>
      <c r="AE112" s="41">
        <f>L112/'1. Väestöennuste'!N112*1000</f>
        <v>954.59215558710832</v>
      </c>
      <c r="AF112" s="41">
        <f>M112/'1. Väestöennuste'!O112*1000</f>
        <v>1377.5817504389781</v>
      </c>
      <c r="AG112" s="41">
        <f>N112/'1. Väestöennuste'!P112*1000</f>
        <v>1238.2210202437163</v>
      </c>
      <c r="AH112" s="41">
        <f>O112/'1. Väestöennuste'!Q112*1000</f>
        <v>1216.2567931177077</v>
      </c>
      <c r="AI112" s="41">
        <f>P112/'1. Väestöennuste'!R112*1000</f>
        <v>1384.092914221548</v>
      </c>
      <c r="AK112" s="41">
        <f>'6. Poistot'!Z112</f>
        <v>353.98613518197573</v>
      </c>
      <c r="AL112" s="41">
        <f>'6. Poistot'!AA112</f>
        <v>344.24083769633506</v>
      </c>
      <c r="AM112" s="41">
        <f>'6. Poistot'!AB112</f>
        <v>336.23529722589166</v>
      </c>
      <c r="AN112" s="41">
        <f>'6. Poistot'!AC112</f>
        <v>327.08463852716665</v>
      </c>
      <c r="AO112" s="41">
        <f>'6. Poistot'!AD112</f>
        <v>313.08811508835521</v>
      </c>
      <c r="AP112" s="41">
        <f>'6. Poistot'!AE112</f>
        <v>286.22429481346677</v>
      </c>
      <c r="AQ112" s="41">
        <f>'6. Poistot'!AF112</f>
        <v>333.45062011943043</v>
      </c>
      <c r="AR112" s="41">
        <f>'6. Poistot'!AG112</f>
        <v>394.30598052851184</v>
      </c>
      <c r="AS112" s="41">
        <f>'6. Poistot'!AH112</f>
        <v>410.45399881590953</v>
      </c>
      <c r="AT112" s="41">
        <f>'6. Poistot'!AI112</f>
        <v>427.48073981797023</v>
      </c>
      <c r="AV112" s="4">
        <f t="shared" si="29"/>
        <v>0</v>
      </c>
      <c r="AW112" s="4">
        <f t="shared" si="30"/>
        <v>1</v>
      </c>
      <c r="AX112" s="4">
        <f t="shared" si="31"/>
        <v>0</v>
      </c>
      <c r="AY112" s="4">
        <f t="shared" si="32"/>
        <v>0</v>
      </c>
      <c r="AZ112" s="4">
        <f t="shared" si="33"/>
        <v>0</v>
      </c>
      <c r="BA112" s="4">
        <f t="shared" si="34"/>
        <v>0</v>
      </c>
      <c r="BB112" s="4">
        <f t="shared" si="35"/>
        <v>0</v>
      </c>
      <c r="BC112" s="4">
        <f t="shared" si="36"/>
        <v>0</v>
      </c>
      <c r="BE112" s="405">
        <f t="shared" si="37"/>
        <v>0</v>
      </c>
      <c r="BF112" s="405">
        <f t="shared" si="38"/>
        <v>0</v>
      </c>
      <c r="BG112" s="405">
        <f t="shared" si="39"/>
        <v>0</v>
      </c>
      <c r="BH112" s="405">
        <f t="shared" si="40"/>
        <v>0</v>
      </c>
      <c r="BI112" s="405">
        <f t="shared" si="41"/>
        <v>0</v>
      </c>
      <c r="BJ112" s="405">
        <f t="shared" si="42"/>
        <v>0</v>
      </c>
      <c r="BK112" s="405">
        <f t="shared" si="43"/>
        <v>0</v>
      </c>
      <c r="BL112" s="405">
        <f t="shared" si="44"/>
        <v>0</v>
      </c>
      <c r="BM112" s="405">
        <f t="shared" si="45"/>
        <v>0</v>
      </c>
      <c r="BN112" s="405">
        <f t="shared" si="45"/>
        <v>0</v>
      </c>
    </row>
    <row r="113" spans="1:66" x14ac:dyDescent="0.2">
      <c r="A113" s="34">
        <v>285</v>
      </c>
      <c r="B113" s="88" t="s">
        <v>427</v>
      </c>
      <c r="C113" s="41" t="e">
        <f>'2. Toimintakate'!D113+'3. Verotulot'!G113+'4. Valtionosuudet'!#REF!+'5. Rahoitustuotot ja -kulut'!C113</f>
        <v>#REF!</v>
      </c>
      <c r="D113" s="41">
        <f>'2. Toimintakate'!E113+'4. Valtionosuudet'!H113+'3. Verotulot'!L113+'5. Rahoitustuotot ja -kulut'!D113</f>
        <v>14707</v>
      </c>
      <c r="E113" s="41">
        <f>'2. Toimintakate'!F113+'4. Valtionosuudet'!N113+'3. Verotulot'!Q113+'5. Rahoitustuotot ja -kulut'!E113</f>
        <v>28889</v>
      </c>
      <c r="F113" s="41">
        <f>'2. Toimintakate'!G113+'4. Valtionosuudet'!T113+'3. Verotulot'!V113+'5. Rahoitustuotot ja -kulut'!F113</f>
        <v>11937</v>
      </c>
      <c r="G113" s="41">
        <f>'2. Toimintakate'!H113+'3. Verotulot'!AA113+'4. Valtionosuudet'!Z113+'5. Rahoitustuotot ja -kulut'!G113</f>
        <v>20932</v>
      </c>
      <c r="H113" s="41">
        <f>Käyttökate!H113+'5. Rahoitustuotot ja -kulut'!H113</f>
        <v>38621.984790299583</v>
      </c>
      <c r="I113" s="41">
        <f>Käyttökate!I113+'5. Rahoitustuotot ja -kulut'!I113</f>
        <v>26451.539471706819</v>
      </c>
      <c r="J113" s="41">
        <f>Käyttökate!J113+'5. Rahoitustuotot ja -kulut'!J113</f>
        <v>13090.656095038106</v>
      </c>
      <c r="K113" s="41">
        <f>Käyttökate!K113+'5. Rahoitustuotot ja -kulut'!K113</f>
        <v>44536.06703626633</v>
      </c>
      <c r="L113" s="41">
        <f>Käyttökate!L113+'5. Rahoitustuotot ja -kulut'!L113</f>
        <v>6798.878598895586</v>
      </c>
      <c r="M113" s="41">
        <f>Käyttökate!M113+'5. Rahoitustuotot ja -kulut'!M113</f>
        <v>9479.1915841140908</v>
      </c>
      <c r="N113" s="41">
        <f>Käyttökate!N113+'5. Rahoitustuotot ja -kulut'!N113</f>
        <v>14642.566499477323</v>
      </c>
      <c r="O113" s="41">
        <f>Käyttökate!O113+'5. Rahoitustuotot ja -kulut'!O113</f>
        <v>16281.686869354906</v>
      </c>
      <c r="P113" s="41">
        <f>Käyttökate!P113+'5. Rahoitustuotot ja -kulut'!P113</f>
        <v>21946.088398783817</v>
      </c>
      <c r="T113" s="34">
        <v>285</v>
      </c>
      <c r="U113" s="88" t="s">
        <v>427</v>
      </c>
      <c r="V113" s="41" t="e">
        <f>C113/'1. Väestöennuste'!E113*1000</f>
        <v>#REF!</v>
      </c>
      <c r="W113" s="41">
        <f>D113/'1. Väestöennuste'!F113*1000</f>
        <v>271.41196227877532</v>
      </c>
      <c r="X113" s="41">
        <f>E113/'1. Väestöennuste'!G113*1000</f>
        <v>539.58796391415603</v>
      </c>
      <c r="Y113" s="41">
        <f>F113/'1. Väestöennuste'!H113*1000</f>
        <v>225.72471304578031</v>
      </c>
      <c r="Z113" s="41">
        <f>G113/'1. Väestöennuste'!I113*1000</f>
        <v>401.56543759352337</v>
      </c>
      <c r="AA113" s="41">
        <f>H113/'1. Väestöennuste'!J113*1000</f>
        <v>747.50299586396966</v>
      </c>
      <c r="AB113" s="41">
        <f>I113/'1. Väestöennuste'!K113*1000</f>
        <v>516.21825240933663</v>
      </c>
      <c r="AC113" s="41">
        <f>J113/'1. Väestöennuste'!L113*1000</f>
        <v>258.62172975557831</v>
      </c>
      <c r="AD113" s="41">
        <f>K113/'1. Väestöennuste'!M113*1000</f>
        <v>881.90231754982824</v>
      </c>
      <c r="AE113" s="41">
        <f>L113/'1. Väestöennuste'!N113*1000</f>
        <v>136.47159916689588</v>
      </c>
      <c r="AF113" s="41">
        <f>M113/'1. Väestöennuste'!O113*1000</f>
        <v>191.93309273738743</v>
      </c>
      <c r="AG113" s="41">
        <f>N113/'1. Väestöennuste'!P113*1000</f>
        <v>298.98653366025491</v>
      </c>
      <c r="AH113" s="41">
        <f>O113/'1. Väestöennuste'!Q113*1000</f>
        <v>335.22105969435671</v>
      </c>
      <c r="AI113" s="41">
        <f>P113/'1. Väestöennuste'!R113*1000</f>
        <v>455.54931808580835</v>
      </c>
      <c r="AK113" s="41">
        <f>'6. Poistot'!Z113</f>
        <v>415.28220082108737</v>
      </c>
      <c r="AL113" s="41">
        <f>'6. Poistot'!AA113</f>
        <v>696.48525199349695</v>
      </c>
      <c r="AM113" s="41">
        <f>'6. Poistot'!AB113</f>
        <v>412.15825100993339</v>
      </c>
      <c r="AN113" s="41">
        <f>'6. Poistot'!AC113</f>
        <v>374.70600746784675</v>
      </c>
      <c r="AO113" s="41">
        <f>'6. Poistot'!AD113</f>
        <v>324.02955267326735</v>
      </c>
      <c r="AP113" s="41">
        <f>'6. Poistot'!AE113</f>
        <v>328.35481984784917</v>
      </c>
      <c r="AQ113" s="41">
        <f>'6. Poistot'!AF113</f>
        <v>345.81262877622095</v>
      </c>
      <c r="AR113" s="41">
        <f>'6. Poistot'!AG113</f>
        <v>355.46807816392374</v>
      </c>
      <c r="AS113" s="41">
        <f>'6. Poistot'!AH113</f>
        <v>369.9898805618127</v>
      </c>
      <c r="AT113" s="41">
        <f>'6. Poistot'!AI113</f>
        <v>384.6834112667251</v>
      </c>
      <c r="AV113" s="4">
        <f t="shared" si="29"/>
        <v>0</v>
      </c>
      <c r="AW113" s="4">
        <f t="shared" si="30"/>
        <v>1</v>
      </c>
      <c r="AX113" s="4">
        <f t="shared" si="31"/>
        <v>0</v>
      </c>
      <c r="AY113" s="4">
        <f t="shared" si="32"/>
        <v>1</v>
      </c>
      <c r="AZ113" s="4">
        <f t="shared" si="33"/>
        <v>1</v>
      </c>
      <c r="BA113" s="4">
        <f t="shared" si="34"/>
        <v>1</v>
      </c>
      <c r="BB113" s="4">
        <f t="shared" si="35"/>
        <v>1</v>
      </c>
      <c r="BC113" s="4">
        <f t="shared" si="36"/>
        <v>0</v>
      </c>
      <c r="BE113" s="405">
        <f t="shared" si="37"/>
        <v>0</v>
      </c>
      <c r="BF113" s="405">
        <f t="shared" si="38"/>
        <v>0</v>
      </c>
      <c r="BG113" s="405">
        <f t="shared" si="39"/>
        <v>0</v>
      </c>
      <c r="BH113" s="405">
        <f t="shared" si="40"/>
        <v>0</v>
      </c>
      <c r="BI113" s="405">
        <f t="shared" si="41"/>
        <v>0</v>
      </c>
      <c r="BJ113" s="405">
        <f t="shared" si="42"/>
        <v>0</v>
      </c>
      <c r="BK113" s="405">
        <f t="shared" si="43"/>
        <v>0</v>
      </c>
      <c r="BL113" s="405">
        <f t="shared" si="44"/>
        <v>0</v>
      </c>
      <c r="BM113" s="405">
        <f t="shared" si="45"/>
        <v>0</v>
      </c>
      <c r="BN113" s="405">
        <f t="shared" si="45"/>
        <v>0</v>
      </c>
    </row>
    <row r="114" spans="1:66" x14ac:dyDescent="0.2">
      <c r="A114" s="34">
        <v>286</v>
      </c>
      <c r="B114" s="88" t="s">
        <v>428</v>
      </c>
      <c r="C114" s="41" t="e">
        <f>'2. Toimintakate'!D114+'3. Verotulot'!G114+'4. Valtionosuudet'!#REF!+'5. Rahoitustuotot ja -kulut'!C114</f>
        <v>#REF!</v>
      </c>
      <c r="D114" s="41">
        <f>'2. Toimintakate'!E114+'4. Valtionosuudet'!H114+'3. Verotulot'!L114+'5. Rahoitustuotot ja -kulut'!D114</f>
        <v>24599</v>
      </c>
      <c r="E114" s="41">
        <f>'2. Toimintakate'!F114+'4. Valtionosuudet'!N114+'3. Verotulot'!Q114+'5. Rahoitustuotot ja -kulut'!E114</f>
        <v>22675</v>
      </c>
      <c r="F114" s="41">
        <f>'2. Toimintakate'!G114+'4. Valtionosuudet'!T114+'3. Verotulot'!V114+'5. Rahoitustuotot ja -kulut'!F114</f>
        <v>-5749</v>
      </c>
      <c r="G114" s="41">
        <f>'2. Toimintakate'!H114+'3. Verotulot'!AA114+'4. Valtionosuudet'!Z114+'5. Rahoitustuotot ja -kulut'!G114</f>
        <v>-5186</v>
      </c>
      <c r="H114" s="41">
        <f>Käyttökate!H114+'5. Rahoitustuotot ja -kulut'!H114</f>
        <v>56540.030822256143</v>
      </c>
      <c r="I114" s="41">
        <f>Käyttökate!I114+'5. Rahoitustuotot ja -kulut'!I114</f>
        <v>27692.538771116633</v>
      </c>
      <c r="J114" s="41">
        <f>Käyttökate!J114+'5. Rahoitustuotot ja -kulut'!J114</f>
        <v>5569.2077242160285</v>
      </c>
      <c r="K114" s="41">
        <f>Käyttökate!K114+'5. Rahoitustuotot ja -kulut'!K114</f>
        <v>47793.481567572286</v>
      </c>
      <c r="L114" s="41">
        <f>Käyttökate!L114+'5. Rahoitustuotot ja -kulut'!L114</f>
        <v>19685.461501437334</v>
      </c>
      <c r="M114" s="41">
        <f>Käyttökate!M114+'5. Rahoitustuotot ja -kulut'!M114</f>
        <v>5167.1583660807546</v>
      </c>
      <c r="N114" s="41">
        <f>Käyttökate!N114+'5. Rahoitustuotot ja -kulut'!N114</f>
        <v>10360.003067463385</v>
      </c>
      <c r="O114" s="41">
        <f>Käyttökate!O114+'5. Rahoitustuotot ja -kulut'!O114</f>
        <v>13312.751181033527</v>
      </c>
      <c r="P114" s="41">
        <f>Käyttökate!P114+'5. Rahoitustuotot ja -kulut'!P114</f>
        <v>22321.375897363279</v>
      </c>
      <c r="T114" s="34">
        <v>286</v>
      </c>
      <c r="U114" s="88" t="s">
        <v>428</v>
      </c>
      <c r="V114" s="41" t="e">
        <f>C114/'1. Väestöennuste'!E114*1000</f>
        <v>#REF!</v>
      </c>
      <c r="W114" s="41">
        <f>D114/'1. Väestöennuste'!F114*1000</f>
        <v>288.36189717018732</v>
      </c>
      <c r="X114" s="41">
        <f>E114/'1. Väestöennuste'!G114*1000</f>
        <v>269.3120813340301</v>
      </c>
      <c r="Y114" s="41">
        <f>F114/'1. Väestöennuste'!H114*1000</f>
        <v>-69.117664739050454</v>
      </c>
      <c r="Z114" s="41">
        <f>G114/'1. Väestöennuste'!I114*1000</f>
        <v>-63.156869192454309</v>
      </c>
      <c r="AA114" s="41">
        <f>H114/'1. Väestöennuste'!J114*1000</f>
        <v>696.4172936831776</v>
      </c>
      <c r="AB114" s="41">
        <f>I114/'1. Väestöennuste'!K114*1000</f>
        <v>344.20338045487648</v>
      </c>
      <c r="AC114" s="41">
        <f>J114/'1. Väestöennuste'!L114*1000</f>
        <v>70.115546264160798</v>
      </c>
      <c r="AD114" s="41">
        <f>K114/'1. Väestöennuste'!M114*1000</f>
        <v>605.901135491535</v>
      </c>
      <c r="AE114" s="41">
        <f>L114/'1. Väestöennuste'!N114*1000</f>
        <v>252.64979595253007</v>
      </c>
      <c r="AF114" s="41">
        <f>M114/'1. Väestöennuste'!O114*1000</f>
        <v>66.979821972658684</v>
      </c>
      <c r="AG114" s="41">
        <f>N114/'1. Väestöennuste'!P114*1000</f>
        <v>135.61811034628928</v>
      </c>
      <c r="AH114" s="41">
        <f>O114/'1. Väestöennuste'!Q114*1000</f>
        <v>175.95727119091617</v>
      </c>
      <c r="AI114" s="41">
        <f>P114/'1. Väestöennuste'!R114*1000</f>
        <v>297.80894302171095</v>
      </c>
      <c r="AK114" s="41">
        <f>'6. Poistot'!Z114</f>
        <v>274.92601658689853</v>
      </c>
      <c r="AL114" s="41">
        <f>'6. Poistot'!AA114</f>
        <v>285.9201596314681</v>
      </c>
      <c r="AM114" s="41">
        <f>'6. Poistot'!AB114</f>
        <v>331.37759862778734</v>
      </c>
      <c r="AN114" s="41">
        <f>'6. Poistot'!AC114</f>
        <v>315.51715280313238</v>
      </c>
      <c r="AO114" s="41">
        <f>'6. Poistot'!AD114</f>
        <v>353.2844680527383</v>
      </c>
      <c r="AP114" s="41">
        <f>'6. Poistot'!AE114</f>
        <v>354.23045330869138</v>
      </c>
      <c r="AQ114" s="41">
        <f>'6. Poistot'!AF114</f>
        <v>361.43755266057423</v>
      </c>
      <c r="AR114" s="41">
        <f>'6. Poistot'!AG114</f>
        <v>371.27017580605047</v>
      </c>
      <c r="AS114" s="41">
        <f>'6. Poistot'!AH114</f>
        <v>386.95764247419237</v>
      </c>
      <c r="AT114" s="41">
        <f>'6. Poistot'!AI114</f>
        <v>402.81722360857384</v>
      </c>
      <c r="AV114" s="4">
        <f t="shared" si="29"/>
        <v>0</v>
      </c>
      <c r="AW114" s="4">
        <f t="shared" si="30"/>
        <v>1</v>
      </c>
      <c r="AX114" s="4">
        <f t="shared" si="31"/>
        <v>0</v>
      </c>
      <c r="AY114" s="4">
        <f t="shared" si="32"/>
        <v>1</v>
      </c>
      <c r="AZ114" s="4">
        <f t="shared" si="33"/>
        <v>1</v>
      </c>
      <c r="BA114" s="4">
        <f t="shared" si="34"/>
        <v>1</v>
      </c>
      <c r="BB114" s="4">
        <f t="shared" si="35"/>
        <v>1</v>
      </c>
      <c r="BC114" s="4">
        <f t="shared" si="36"/>
        <v>1</v>
      </c>
      <c r="BE114" s="405">
        <f t="shared" si="37"/>
        <v>-1</v>
      </c>
      <c r="BF114" s="405">
        <f t="shared" si="38"/>
        <v>0</v>
      </c>
      <c r="BG114" s="405">
        <f t="shared" si="39"/>
        <v>0</v>
      </c>
      <c r="BH114" s="405">
        <f t="shared" si="40"/>
        <v>0</v>
      </c>
      <c r="BI114" s="405">
        <f t="shared" si="41"/>
        <v>0</v>
      </c>
      <c r="BJ114" s="405">
        <f t="shared" si="42"/>
        <v>0</v>
      </c>
      <c r="BK114" s="405">
        <f t="shared" si="43"/>
        <v>0</v>
      </c>
      <c r="BL114" s="405">
        <f t="shared" si="44"/>
        <v>0</v>
      </c>
      <c r="BM114" s="405">
        <f t="shared" si="45"/>
        <v>0</v>
      </c>
      <c r="BN114" s="405">
        <f t="shared" si="45"/>
        <v>0</v>
      </c>
    </row>
    <row r="115" spans="1:66" x14ac:dyDescent="0.2">
      <c r="A115" s="34">
        <v>287</v>
      </c>
      <c r="B115" s="88" t="s">
        <v>429</v>
      </c>
      <c r="C115" s="41" t="e">
        <f>'2. Toimintakate'!D115+'3. Verotulot'!G115+'4. Valtionosuudet'!#REF!+'5. Rahoitustuotot ja -kulut'!C115</f>
        <v>#REF!</v>
      </c>
      <c r="D115" s="41">
        <f>'2. Toimintakate'!E115+'4. Valtionosuudet'!H115+'3. Verotulot'!L115+'5. Rahoitustuotot ja -kulut'!D115</f>
        <v>8092</v>
      </c>
      <c r="E115" s="41">
        <f>'2. Toimintakate'!F115+'4. Valtionosuudet'!N115+'3. Verotulot'!Q115+'5. Rahoitustuotot ja -kulut'!E115</f>
        <v>5549</v>
      </c>
      <c r="F115" s="41">
        <f>'2. Toimintakate'!G115+'4. Valtionosuudet'!T115+'3. Verotulot'!V115+'5. Rahoitustuotot ja -kulut'!F115</f>
        <v>2828</v>
      </c>
      <c r="G115" s="41">
        <f>'2. Toimintakate'!H115+'3. Verotulot'!AA115+'4. Valtionosuudet'!Z115+'5. Rahoitustuotot ja -kulut'!G115</f>
        <v>905</v>
      </c>
      <c r="H115" s="41">
        <f>Käyttökate!H115+'5. Rahoitustuotot ja -kulut'!H115</f>
        <v>3548.8489743163736</v>
      </c>
      <c r="I115" s="41">
        <f>Käyttökate!I115+'5. Rahoitustuotot ja -kulut'!I115</f>
        <v>3740.176238319043</v>
      </c>
      <c r="J115" s="41">
        <f>Käyttökate!J115+'5. Rahoitustuotot ja -kulut'!J115</f>
        <v>2220.9194142310598</v>
      </c>
      <c r="K115" s="41">
        <f>Käyttökate!K115+'5. Rahoitustuotot ja -kulut'!K115</f>
        <v>5454.6326132007798</v>
      </c>
      <c r="L115" s="41">
        <f>Käyttökate!L115+'5. Rahoitustuotot ja -kulut'!L115</f>
        <v>4185.18269981709</v>
      </c>
      <c r="M115" s="41">
        <f>Käyttökate!M115+'5. Rahoitustuotot ja -kulut'!M115</f>
        <v>3640.935779179551</v>
      </c>
      <c r="N115" s="41">
        <f>Käyttökate!N115+'5. Rahoitustuotot ja -kulut'!N115</f>
        <v>3853.4239040590119</v>
      </c>
      <c r="O115" s="41">
        <f>Käyttökate!O115+'5. Rahoitustuotot ja -kulut'!O115</f>
        <v>3710.9737808543632</v>
      </c>
      <c r="P115" s="41">
        <f>Käyttökate!P115+'5. Rahoitustuotot ja -kulut'!P115</f>
        <v>4292.0990463704529</v>
      </c>
      <c r="T115" s="34">
        <v>287</v>
      </c>
      <c r="U115" s="88" t="s">
        <v>429</v>
      </c>
      <c r="V115" s="41" t="e">
        <f>C115/'1. Väestöennuste'!E115*1000</f>
        <v>#REF!</v>
      </c>
      <c r="W115" s="41">
        <f>D115/'1. Väestöennuste'!F115*1000</f>
        <v>1202.9136316337149</v>
      </c>
      <c r="X115" s="41">
        <f>E115/'1. Väestöennuste'!G115*1000</f>
        <v>835.94456161494429</v>
      </c>
      <c r="Y115" s="41">
        <f>F115/'1. Väestöennuste'!H115*1000</f>
        <v>428.74469375379016</v>
      </c>
      <c r="Z115" s="41">
        <f>G115/'1. Väestöennuste'!I115*1000</f>
        <v>139.53129818069687</v>
      </c>
      <c r="AA115" s="41">
        <f>H115/'1. Väestöennuste'!J115*1000</f>
        <v>554.1613014235437</v>
      </c>
      <c r="AB115" s="41">
        <f>I115/'1. Väestöennuste'!K115*1000</f>
        <v>586.23452011270274</v>
      </c>
      <c r="AC115" s="41">
        <f>J115/'1. Väestöennuste'!L115*1000</f>
        <v>355.802533519875</v>
      </c>
      <c r="AD115" s="41">
        <f>K115/'1. Väestöennuste'!M115*1000</f>
        <v>879.92137654472981</v>
      </c>
      <c r="AE115" s="41">
        <f>L115/'1. Väestöennuste'!N115*1000</f>
        <v>685.08474379065149</v>
      </c>
      <c r="AF115" s="41">
        <f>M115/'1. Väestöennuste'!O115*1000</f>
        <v>602.10613183058558</v>
      </c>
      <c r="AG115" s="41">
        <f>N115/'1. Väestöennuste'!P115*1000</f>
        <v>643.52436607531922</v>
      </c>
      <c r="AH115" s="41">
        <f>O115/'1. Väestöennuste'!Q115*1000</f>
        <v>625.69107753403534</v>
      </c>
      <c r="AI115" s="41">
        <f>P115/'1. Väestöennuste'!R115*1000</f>
        <v>730.69442396500733</v>
      </c>
      <c r="AK115" s="41">
        <f>'6. Poistot'!Z115</f>
        <v>477.18162195497996</v>
      </c>
      <c r="AL115" s="41">
        <f>'6. Poistot'!AA115</f>
        <v>561.21174266083699</v>
      </c>
      <c r="AM115" s="41">
        <f>'6. Poistot'!AB115</f>
        <v>484.14997021943577</v>
      </c>
      <c r="AN115" s="41">
        <f>'6. Poistot'!AC115</f>
        <v>464.49984460108936</v>
      </c>
      <c r="AO115" s="41">
        <f>'6. Poistot'!AD115</f>
        <v>565.86281819648332</v>
      </c>
      <c r="AP115" s="41">
        <f>'6. Poistot'!AE115</f>
        <v>500.90031101653301</v>
      </c>
      <c r="AQ115" s="41">
        <f>'6. Poistot'!AF115</f>
        <v>506.03605093434754</v>
      </c>
      <c r="AR115" s="41">
        <f>'6. Poistot'!AG115</f>
        <v>511.0220440881763</v>
      </c>
      <c r="AS115" s="41">
        <f>'6. Poistot'!AH115</f>
        <v>532.58050956164129</v>
      </c>
      <c r="AT115" s="41">
        <f>'6. Poistot'!AI115</f>
        <v>554.55737221998447</v>
      </c>
      <c r="AV115" s="4">
        <f t="shared" si="29"/>
        <v>0</v>
      </c>
      <c r="AW115" s="4">
        <f t="shared" si="30"/>
        <v>1</v>
      </c>
      <c r="AX115" s="4">
        <f t="shared" si="31"/>
        <v>0</v>
      </c>
      <c r="AY115" s="4">
        <f t="shared" si="32"/>
        <v>0</v>
      </c>
      <c r="AZ115" s="4">
        <f t="shared" si="33"/>
        <v>0</v>
      </c>
      <c r="BA115" s="4">
        <f t="shared" si="34"/>
        <v>0</v>
      </c>
      <c r="BB115" s="4">
        <f t="shared" si="35"/>
        <v>0</v>
      </c>
      <c r="BC115" s="4">
        <f t="shared" si="36"/>
        <v>0</v>
      </c>
      <c r="BE115" s="405">
        <f t="shared" si="37"/>
        <v>0</v>
      </c>
      <c r="BF115" s="405">
        <f t="shared" si="38"/>
        <v>0</v>
      </c>
      <c r="BG115" s="405">
        <f t="shared" si="39"/>
        <v>0</v>
      </c>
      <c r="BH115" s="405">
        <f t="shared" si="40"/>
        <v>0</v>
      </c>
      <c r="BI115" s="405">
        <f t="shared" si="41"/>
        <v>0</v>
      </c>
      <c r="BJ115" s="405">
        <f t="shared" si="42"/>
        <v>0</v>
      </c>
      <c r="BK115" s="405">
        <f t="shared" si="43"/>
        <v>0</v>
      </c>
      <c r="BL115" s="405">
        <f t="shared" si="44"/>
        <v>0</v>
      </c>
      <c r="BM115" s="405">
        <f t="shared" si="45"/>
        <v>0</v>
      </c>
      <c r="BN115" s="405">
        <f t="shared" si="45"/>
        <v>0</v>
      </c>
    </row>
    <row r="116" spans="1:66" x14ac:dyDescent="0.2">
      <c r="A116" s="34">
        <v>288</v>
      </c>
      <c r="B116" s="88" t="s">
        <v>430</v>
      </c>
      <c r="C116" s="41" t="e">
        <f>'2. Toimintakate'!D116+'3. Verotulot'!G116+'4. Valtionosuudet'!#REF!+'5. Rahoitustuotot ja -kulut'!C116</f>
        <v>#REF!</v>
      </c>
      <c r="D116" s="41">
        <f>'2. Toimintakate'!E116+'4. Valtionosuudet'!H116+'3. Verotulot'!L116+'5. Rahoitustuotot ja -kulut'!D116</f>
        <v>1073</v>
      </c>
      <c r="E116" s="41">
        <f>'2. Toimintakate'!F116+'4. Valtionosuudet'!N116+'3. Verotulot'!Q116+'5. Rahoitustuotot ja -kulut'!E116</f>
        <v>1920</v>
      </c>
      <c r="F116" s="41">
        <f>'2. Toimintakate'!G116+'4. Valtionosuudet'!T116+'3. Verotulot'!V116+'5. Rahoitustuotot ja -kulut'!F116</f>
        <v>1419</v>
      </c>
      <c r="G116" s="41">
        <f>'2. Toimintakate'!H116+'3. Verotulot'!AA116+'4. Valtionosuudet'!Z116+'5. Rahoitustuotot ja -kulut'!G116</f>
        <v>1755</v>
      </c>
      <c r="H116" s="41">
        <f>Käyttökate!H116+'5. Rahoitustuotot ja -kulut'!H116</f>
        <v>4796.2142681834557</v>
      </c>
      <c r="I116" s="41">
        <f>Käyttökate!I116+'5. Rahoitustuotot ja -kulut'!I116</f>
        <v>4252.5906466632123</v>
      </c>
      <c r="J116" s="41">
        <f>Käyttökate!J116+'5. Rahoitustuotot ja -kulut'!J116</f>
        <v>4790.6791596024377</v>
      </c>
      <c r="K116" s="41">
        <f>Käyttökate!K116+'5. Rahoitustuotot ja -kulut'!K116</f>
        <v>4992.4320696642553</v>
      </c>
      <c r="L116" s="41">
        <f>Käyttökate!L116+'5. Rahoitustuotot ja -kulut'!L116</f>
        <v>3915.0909728723655</v>
      </c>
      <c r="M116" s="41">
        <f>Käyttökate!M116+'5. Rahoitustuotot ja -kulut'!M116</f>
        <v>4210.2673662367806</v>
      </c>
      <c r="N116" s="41">
        <f>Käyttökate!N116+'5. Rahoitustuotot ja -kulut'!N116</f>
        <v>4205.644353610307</v>
      </c>
      <c r="O116" s="41">
        <f>Käyttökate!O116+'5. Rahoitustuotot ja -kulut'!O116</f>
        <v>4527.8741327764164</v>
      </c>
      <c r="P116" s="41">
        <f>Käyttökate!P116+'5. Rahoitustuotot ja -kulut'!P116</f>
        <v>5079.0360687825814</v>
      </c>
      <c r="T116" s="34">
        <v>288</v>
      </c>
      <c r="U116" s="88" t="s">
        <v>430</v>
      </c>
      <c r="V116" s="41" t="e">
        <f>C116/'1. Väestöennuste'!E116*1000</f>
        <v>#REF!</v>
      </c>
      <c r="W116" s="41">
        <f>D116/'1. Väestöennuste'!F116*1000</f>
        <v>162.08459214501511</v>
      </c>
      <c r="X116" s="41">
        <f>E116/'1. Väestöennuste'!G116*1000</f>
        <v>293.98254478640331</v>
      </c>
      <c r="Y116" s="41">
        <f>F116/'1. Väestöennuste'!H116*1000</f>
        <v>218.00583807036412</v>
      </c>
      <c r="Z116" s="41">
        <f>G116/'1. Väestöennuste'!I116*1000</f>
        <v>273.02426882389545</v>
      </c>
      <c r="AA116" s="41">
        <f>H116/'1. Väestöennuste'!J116*1000</f>
        <v>747.53963032784532</v>
      </c>
      <c r="AB116" s="41">
        <f>I116/'1. Väestöennuste'!K116*1000</f>
        <v>660.13515160869485</v>
      </c>
      <c r="AC116" s="41">
        <f>J116/'1. Väestöennuste'!L116*1000</f>
        <v>747.95927550389354</v>
      </c>
      <c r="AD116" s="41">
        <f>K116/'1. Väestöennuste'!M116*1000</f>
        <v>783.98744812566827</v>
      </c>
      <c r="AE116" s="41">
        <f>L116/'1. Väestöennuste'!N116*1000</f>
        <v>629.03132597563717</v>
      </c>
      <c r="AF116" s="41">
        <f>M116/'1. Väestöennuste'!O116*1000</f>
        <v>681.6039122934726</v>
      </c>
      <c r="AG116" s="41">
        <f>N116/'1. Väestöennuste'!P116*1000</f>
        <v>685.9638482482967</v>
      </c>
      <c r="AH116" s="41">
        <f>O116/'1. Väestöennuste'!Q116*1000</f>
        <v>744.22651755036429</v>
      </c>
      <c r="AI116" s="41">
        <f>P116/'1. Väestöennuste'!R116*1000</f>
        <v>841.45726785662373</v>
      </c>
      <c r="AK116" s="41">
        <f>'6. Poistot'!Z116</f>
        <v>185.43870566272557</v>
      </c>
      <c r="AL116" s="41">
        <f>'6. Poistot'!AA116</f>
        <v>235.50498753117208</v>
      </c>
      <c r="AM116" s="41">
        <f>'6. Poistot'!AB116</f>
        <v>211.07926109903758</v>
      </c>
      <c r="AN116" s="41">
        <f>'6. Poistot'!AC116</f>
        <v>232.2387743950039</v>
      </c>
      <c r="AO116" s="41">
        <f>'6. Poistot'!AD116</f>
        <v>235.80212939698495</v>
      </c>
      <c r="AP116" s="41">
        <f>'6. Poistot'!AE116</f>
        <v>245.01928020565552</v>
      </c>
      <c r="AQ116" s="41">
        <f>'6. Poistot'!AF116</f>
        <v>283.30904970050187</v>
      </c>
      <c r="AR116" s="41">
        <f>'6. Poistot'!AG116</f>
        <v>285.43467623552436</v>
      </c>
      <c r="AS116" s="41">
        <f>'6. Poistot'!AH116</f>
        <v>296.92079159026707</v>
      </c>
      <c r="AT116" s="41">
        <f>'6. Poistot'!AI116</f>
        <v>308.63687741391152</v>
      </c>
      <c r="AV116" s="4">
        <f t="shared" si="29"/>
        <v>0</v>
      </c>
      <c r="AW116" s="4">
        <f t="shared" si="30"/>
        <v>0</v>
      </c>
      <c r="AX116" s="4">
        <f t="shared" si="31"/>
        <v>0</v>
      </c>
      <c r="AY116" s="4">
        <f t="shared" si="32"/>
        <v>0</v>
      </c>
      <c r="AZ116" s="4">
        <f t="shared" si="33"/>
        <v>0</v>
      </c>
      <c r="BA116" s="4">
        <f t="shared" si="34"/>
        <v>0</v>
      </c>
      <c r="BB116" s="4">
        <f t="shared" si="35"/>
        <v>0</v>
      </c>
      <c r="BC116" s="4">
        <f t="shared" si="36"/>
        <v>0</v>
      </c>
      <c r="BE116" s="405">
        <f t="shared" si="37"/>
        <v>0</v>
      </c>
      <c r="BF116" s="405">
        <f t="shared" si="38"/>
        <v>0</v>
      </c>
      <c r="BG116" s="405">
        <f t="shared" si="39"/>
        <v>0</v>
      </c>
      <c r="BH116" s="405">
        <f t="shared" si="40"/>
        <v>0</v>
      </c>
      <c r="BI116" s="405">
        <f t="shared" si="41"/>
        <v>0</v>
      </c>
      <c r="BJ116" s="405">
        <f t="shared" si="42"/>
        <v>0</v>
      </c>
      <c r="BK116" s="405">
        <f t="shared" si="43"/>
        <v>0</v>
      </c>
      <c r="BL116" s="405">
        <f t="shared" si="44"/>
        <v>0</v>
      </c>
      <c r="BM116" s="405">
        <f t="shared" si="45"/>
        <v>0</v>
      </c>
      <c r="BN116" s="405">
        <f t="shared" si="45"/>
        <v>0</v>
      </c>
    </row>
    <row r="117" spans="1:66" x14ac:dyDescent="0.2">
      <c r="A117" s="34">
        <v>290</v>
      </c>
      <c r="B117" s="88" t="s">
        <v>431</v>
      </c>
      <c r="C117" s="41" t="e">
        <f>'2. Toimintakate'!D117+'3. Verotulot'!G117+'4. Valtionosuudet'!#REF!+'5. Rahoitustuotot ja -kulut'!C117</f>
        <v>#REF!</v>
      </c>
      <c r="D117" s="41">
        <f>'2. Toimintakate'!E117+'4. Valtionosuudet'!H117+'3. Verotulot'!L117+'5. Rahoitustuotot ja -kulut'!D117</f>
        <v>2219</v>
      </c>
      <c r="E117" s="41">
        <f>'2. Toimintakate'!F117+'4. Valtionosuudet'!N117+'3. Verotulot'!Q117+'5. Rahoitustuotot ja -kulut'!E117</f>
        <v>2863</v>
      </c>
      <c r="F117" s="41">
        <f>'2. Toimintakate'!G117+'4. Valtionosuudet'!T117+'3. Verotulot'!V117+'5. Rahoitustuotot ja -kulut'!F117</f>
        <v>-601</v>
      </c>
      <c r="G117" s="41">
        <f>'2. Toimintakate'!H117+'3. Verotulot'!AA117+'4. Valtionosuudet'!Z117+'5. Rahoitustuotot ja -kulut'!G117</f>
        <v>1314</v>
      </c>
      <c r="H117" s="41">
        <f>Käyttökate!H117+'5. Rahoitustuotot ja -kulut'!H117</f>
        <v>2473.9647152747712</v>
      </c>
      <c r="I117" s="41">
        <f>Käyttökate!I117+'5. Rahoitustuotot ja -kulut'!I117</f>
        <v>8151.3711155013734</v>
      </c>
      <c r="J117" s="41">
        <f>Käyttökate!J117+'5. Rahoitustuotot ja -kulut'!J117</f>
        <v>4049.6218447838751</v>
      </c>
      <c r="K117" s="41">
        <f>Käyttökate!K117+'5. Rahoitustuotot ja -kulut'!K117</f>
        <v>4671.4961889530477</v>
      </c>
      <c r="L117" s="41">
        <f>Käyttökate!L117+'5. Rahoitustuotot ja -kulut'!L117</f>
        <v>3524.6609708681126</v>
      </c>
      <c r="M117" s="41">
        <f>Käyttökate!M117+'5. Rahoitustuotot ja -kulut'!M117</f>
        <v>1925.5323685295914</v>
      </c>
      <c r="N117" s="41">
        <f>Käyttökate!N117+'5. Rahoitustuotot ja -kulut'!N117</f>
        <v>2234.6763814345022</v>
      </c>
      <c r="O117" s="41">
        <f>Käyttökate!O117+'5. Rahoitustuotot ja -kulut'!O117</f>
        <v>1860.9648328450558</v>
      </c>
      <c r="P117" s="41">
        <f>Käyttökate!P117+'5. Rahoitustuotot ja -kulut'!P117</f>
        <v>3114.9132684893611</v>
      </c>
      <c r="T117" s="34">
        <v>290</v>
      </c>
      <c r="U117" s="88" t="s">
        <v>431</v>
      </c>
      <c r="V117" s="41" t="e">
        <f>C117/'1. Väestöennuste'!E117*1000</f>
        <v>#REF!</v>
      </c>
      <c r="W117" s="41">
        <f>D117/'1. Väestöennuste'!F117*1000</f>
        <v>256.62079333873015</v>
      </c>
      <c r="X117" s="41">
        <f>E117/'1. Väestöennuste'!G117*1000</f>
        <v>336.86316037180848</v>
      </c>
      <c r="Y117" s="41">
        <f>F117/'1. Väestöennuste'!H117*1000</f>
        <v>-72.157521911393914</v>
      </c>
      <c r="Z117" s="41">
        <f>G117/'1. Väestöennuste'!I117*1000</f>
        <v>160.43956043956047</v>
      </c>
      <c r="AA117" s="41">
        <f>H117/'1. Väestöennuste'!J117*1000</f>
        <v>307.63052913140649</v>
      </c>
      <c r="AB117" s="41">
        <f>I117/'1. Väestöennuste'!K117*1000</f>
        <v>1028.1749641147039</v>
      </c>
      <c r="AC117" s="41">
        <f>J117/'1. Väestöennuste'!L117*1000</f>
        <v>522.19495097148615</v>
      </c>
      <c r="AD117" s="41">
        <f>K117/'1. Väestöennuste'!M117*1000</f>
        <v>616.12980598167348</v>
      </c>
      <c r="AE117" s="41">
        <f>L117/'1. Väestöennuste'!N117*1000</f>
        <v>471.40042408293601</v>
      </c>
      <c r="AF117" s="41">
        <f>M117/'1. Väestöennuste'!O117*1000</f>
        <v>262.08416612625444</v>
      </c>
      <c r="AG117" s="41">
        <f>N117/'1. Väestöennuste'!P117*1000</f>
        <v>309.64062372654871</v>
      </c>
      <c r="AH117" s="41">
        <f>O117/'1. Väestöennuste'!Q117*1000</f>
        <v>262.47740942807559</v>
      </c>
      <c r="AI117" s="41">
        <f>P117/'1. Väestöennuste'!R117*1000</f>
        <v>447.09534498196655</v>
      </c>
      <c r="AK117" s="41">
        <f>'6. Poistot'!Z117</f>
        <v>358.85225885225884</v>
      </c>
      <c r="AL117" s="41">
        <f>'6. Poistot'!AA117</f>
        <v>324.42178562546633</v>
      </c>
      <c r="AM117" s="41">
        <f>'6. Poistot'!AB117</f>
        <v>294.91939202825421</v>
      </c>
      <c r="AN117" s="41">
        <f>'6. Poistot'!AC117</f>
        <v>300.62912959381038</v>
      </c>
      <c r="AO117" s="41">
        <f>'6. Poistot'!AD117</f>
        <v>437.83315220258504</v>
      </c>
      <c r="AP117" s="41">
        <f>'6. Poistot'!AE117</f>
        <v>382.89420890731577</v>
      </c>
      <c r="AQ117" s="41">
        <f>'6. Poistot'!AF117</f>
        <v>389.66925275622702</v>
      </c>
      <c r="AR117" s="41">
        <f>'6. Poistot'!AG117</f>
        <v>335.72121380074827</v>
      </c>
      <c r="AS117" s="41">
        <f>'6. Poistot'!AH117</f>
        <v>352.76137046815631</v>
      </c>
      <c r="AT117" s="41">
        <f>'6. Poistot'!AI117</f>
        <v>370.21045403164294</v>
      </c>
      <c r="AV117" s="4">
        <f t="shared" si="29"/>
        <v>0</v>
      </c>
      <c r="AW117" s="4">
        <f t="shared" si="30"/>
        <v>0</v>
      </c>
      <c r="AX117" s="4">
        <f t="shared" si="31"/>
        <v>0</v>
      </c>
      <c r="AY117" s="4">
        <f t="shared" si="32"/>
        <v>0</v>
      </c>
      <c r="AZ117" s="4">
        <f t="shared" si="33"/>
        <v>1</v>
      </c>
      <c r="BA117" s="4">
        <f t="shared" si="34"/>
        <v>1</v>
      </c>
      <c r="BB117" s="4">
        <f t="shared" si="35"/>
        <v>1</v>
      </c>
      <c r="BC117" s="4">
        <f t="shared" si="36"/>
        <v>0</v>
      </c>
      <c r="BE117" s="405">
        <f t="shared" si="37"/>
        <v>0</v>
      </c>
      <c r="BF117" s="405">
        <f t="shared" si="38"/>
        <v>0</v>
      </c>
      <c r="BG117" s="405">
        <f t="shared" si="39"/>
        <v>0</v>
      </c>
      <c r="BH117" s="405">
        <f t="shared" si="40"/>
        <v>0</v>
      </c>
      <c r="BI117" s="405">
        <f t="shared" si="41"/>
        <v>0</v>
      </c>
      <c r="BJ117" s="405">
        <f t="shared" si="42"/>
        <v>0</v>
      </c>
      <c r="BK117" s="405">
        <f t="shared" si="43"/>
        <v>0</v>
      </c>
      <c r="BL117" s="405">
        <f t="shared" si="44"/>
        <v>0</v>
      </c>
      <c r="BM117" s="405">
        <f t="shared" si="45"/>
        <v>0</v>
      </c>
      <c r="BN117" s="405">
        <f t="shared" si="45"/>
        <v>0</v>
      </c>
    </row>
    <row r="118" spans="1:66" x14ac:dyDescent="0.2">
      <c r="A118" s="34">
        <v>291</v>
      </c>
      <c r="B118" s="88" t="s">
        <v>432</v>
      </c>
      <c r="C118" s="41" t="e">
        <f>'2. Toimintakate'!D118+'3. Verotulot'!G118+'4. Valtionosuudet'!#REF!+'5. Rahoitustuotot ja -kulut'!C118</f>
        <v>#REF!</v>
      </c>
      <c r="D118" s="41">
        <f>'2. Toimintakate'!E118+'4. Valtionosuudet'!H118+'3. Verotulot'!L118+'5. Rahoitustuotot ja -kulut'!D118</f>
        <v>1840</v>
      </c>
      <c r="E118" s="41">
        <f>'2. Toimintakate'!F118+'4. Valtionosuudet'!N118+'3. Verotulot'!Q118+'5. Rahoitustuotot ja -kulut'!E118</f>
        <v>2372</v>
      </c>
      <c r="F118" s="41">
        <f>'2. Toimintakate'!G118+'4. Valtionosuudet'!T118+'3. Verotulot'!V118+'5. Rahoitustuotot ja -kulut'!F118</f>
        <v>1243</v>
      </c>
      <c r="G118" s="41">
        <f>'2. Toimintakate'!H118+'3. Verotulot'!AA118+'4. Valtionosuudet'!Z118+'5. Rahoitustuotot ja -kulut'!G118</f>
        <v>940</v>
      </c>
      <c r="H118" s="41">
        <f>Käyttökate!H118+'5. Rahoitustuotot ja -kulut'!H118</f>
        <v>2181.1663616522274</v>
      </c>
      <c r="I118" s="41">
        <f>Käyttökate!I118+'5. Rahoitustuotot ja -kulut'!I118</f>
        <v>1429.1657624945201</v>
      </c>
      <c r="J118" s="41">
        <f>Käyttökate!J118+'5. Rahoitustuotot ja -kulut'!J118</f>
        <v>935.68987265809676</v>
      </c>
      <c r="K118" s="41">
        <f>Käyttökate!K118+'5. Rahoitustuotot ja -kulut'!K118</f>
        <v>1434.3716088158703</v>
      </c>
      <c r="L118" s="41">
        <f>Käyttökate!L118+'5. Rahoitustuotot ja -kulut'!L118</f>
        <v>2022.7521028257829</v>
      </c>
      <c r="M118" s="41">
        <f>Käyttökate!M118+'5. Rahoitustuotot ja -kulut'!M118</f>
        <v>1213.3541701126287</v>
      </c>
      <c r="N118" s="41">
        <f>Käyttökate!N118+'5. Rahoitustuotot ja -kulut'!N118</f>
        <v>1014.80955193196</v>
      </c>
      <c r="O118" s="41">
        <f>Käyttökate!O118+'5. Rahoitustuotot ja -kulut'!O118</f>
        <v>817.14828805284674</v>
      </c>
      <c r="P118" s="41">
        <f>Käyttökate!P118+'5. Rahoitustuotot ja -kulut'!P118</f>
        <v>976.62315500226646</v>
      </c>
      <c r="T118" s="34">
        <v>291</v>
      </c>
      <c r="U118" s="88" t="s">
        <v>432</v>
      </c>
      <c r="V118" s="41" t="e">
        <f>C118/'1. Väestöennuste'!E118*1000</f>
        <v>#REF!</v>
      </c>
      <c r="W118" s="41">
        <f>D118/'1. Väestöennuste'!F118*1000</f>
        <v>804.89938757655284</v>
      </c>
      <c r="X118" s="41">
        <f>E118/'1. Väestöennuste'!G118*1000</f>
        <v>1053.2859680284191</v>
      </c>
      <c r="Y118" s="41">
        <f>F118/'1. Väestöennuste'!H118*1000</f>
        <v>555.40661304736375</v>
      </c>
      <c r="Z118" s="41">
        <f>G118/'1. Väestöennuste'!I118*1000</f>
        <v>426.11060743427015</v>
      </c>
      <c r="AA118" s="41">
        <f>H118/'1. Väestöennuste'!J118*1000</f>
        <v>1009.331958191683</v>
      </c>
      <c r="AB118" s="41">
        <f>I118/'1. Väestöennuste'!K118*1000</f>
        <v>662.26402339875813</v>
      </c>
      <c r="AC118" s="41">
        <f>J118/'1. Väestöennuste'!L118*1000</f>
        <v>441.57143589339159</v>
      </c>
      <c r="AD118" s="41">
        <f>K118/'1. Väestöennuste'!M118*1000</f>
        <v>685.64608452001448</v>
      </c>
      <c r="AE118" s="41">
        <f>L118/'1. Väestöennuste'!N118*1000</f>
        <v>990.57399746610326</v>
      </c>
      <c r="AF118" s="41">
        <f>M118/'1. Väestöennuste'!O118*1000</f>
        <v>602.1608784678059</v>
      </c>
      <c r="AG118" s="41">
        <f>N118/'1. Väestöennuste'!P118*1000</f>
        <v>510.21093611461032</v>
      </c>
      <c r="AH118" s="41">
        <f>O118/'1. Väestöennuste'!Q118*1000</f>
        <v>415.4287178712998</v>
      </c>
      <c r="AI118" s="41">
        <f>P118/'1. Väestöennuste'!R118*1000</f>
        <v>501.86184738040419</v>
      </c>
      <c r="AK118" s="41">
        <f>'6. Poistot'!Z118</f>
        <v>545.33091568449686</v>
      </c>
      <c r="AL118" s="41">
        <f>'6. Poistot'!AA118</f>
        <v>558.07496529384548</v>
      </c>
      <c r="AM118" s="41">
        <f>'6. Poistot'!AB118</f>
        <v>567.81390176088973</v>
      </c>
      <c r="AN118" s="41">
        <f>'6. Poistot'!AC118</f>
        <v>531.12801793298729</v>
      </c>
      <c r="AO118" s="41">
        <f>'6. Poistot'!AD118</f>
        <v>572.32193594646265</v>
      </c>
      <c r="AP118" s="41">
        <f>'6. Poistot'!AE118</f>
        <v>633.55533790401569</v>
      </c>
      <c r="AQ118" s="41">
        <f>'6. Poistot'!AF118</f>
        <v>642.04466501240699</v>
      </c>
      <c r="AR118" s="41">
        <f>'6. Poistot'!AG118</f>
        <v>650.43740573152343</v>
      </c>
      <c r="AS118" s="41">
        <f>'6. Poistot'!AH118</f>
        <v>678.93421970009126</v>
      </c>
      <c r="AT118" s="41">
        <f>'6. Poistot'!AI118</f>
        <v>707.71182954787218</v>
      </c>
      <c r="AV118" s="4">
        <f t="shared" si="29"/>
        <v>0</v>
      </c>
      <c r="AW118" s="4">
        <f t="shared" si="30"/>
        <v>1</v>
      </c>
      <c r="AX118" s="4">
        <f t="shared" si="31"/>
        <v>0</v>
      </c>
      <c r="AY118" s="4">
        <f t="shared" si="32"/>
        <v>0</v>
      </c>
      <c r="AZ118" s="4">
        <f t="shared" si="33"/>
        <v>1</v>
      </c>
      <c r="BA118" s="4">
        <f t="shared" si="34"/>
        <v>1</v>
      </c>
      <c r="BB118" s="4">
        <f t="shared" si="35"/>
        <v>1</v>
      </c>
      <c r="BC118" s="4">
        <f t="shared" si="36"/>
        <v>1</v>
      </c>
      <c r="BE118" s="405">
        <f t="shared" si="37"/>
        <v>0</v>
      </c>
      <c r="BF118" s="405">
        <f t="shared" si="38"/>
        <v>0</v>
      </c>
      <c r="BG118" s="405">
        <f t="shared" si="39"/>
        <v>0</v>
      </c>
      <c r="BH118" s="405">
        <f t="shared" si="40"/>
        <v>0</v>
      </c>
      <c r="BI118" s="405">
        <f t="shared" si="41"/>
        <v>0</v>
      </c>
      <c r="BJ118" s="405">
        <f t="shared" si="42"/>
        <v>0</v>
      </c>
      <c r="BK118" s="405">
        <f t="shared" si="43"/>
        <v>0</v>
      </c>
      <c r="BL118" s="405">
        <f t="shared" si="44"/>
        <v>0</v>
      </c>
      <c r="BM118" s="405">
        <f t="shared" si="45"/>
        <v>0</v>
      </c>
      <c r="BN118" s="405">
        <f t="shared" si="45"/>
        <v>0</v>
      </c>
    </row>
    <row r="119" spans="1:66" x14ac:dyDescent="0.2">
      <c r="A119" s="34">
        <v>297</v>
      </c>
      <c r="B119" s="88" t="s">
        <v>433</v>
      </c>
      <c r="C119" s="41" t="e">
        <f>'2. Toimintakate'!D119+'3. Verotulot'!G119+'4. Valtionosuudet'!#REF!+'5. Rahoitustuotot ja -kulut'!C119</f>
        <v>#REF!</v>
      </c>
      <c r="D119" s="41">
        <f>'2. Toimintakate'!E119+'4. Valtionosuudet'!H119+'3. Verotulot'!L119+'5. Rahoitustuotot ja -kulut'!D119</f>
        <v>44204</v>
      </c>
      <c r="E119" s="41">
        <f>'2. Toimintakate'!F119+'4. Valtionosuudet'!N119+'3. Verotulot'!Q119+'5. Rahoitustuotot ja -kulut'!E119</f>
        <v>57522</v>
      </c>
      <c r="F119" s="41">
        <f>'2. Toimintakate'!G119+'4. Valtionosuudet'!T119+'3. Verotulot'!V119+'5. Rahoitustuotot ja -kulut'!F119</f>
        <v>31585</v>
      </c>
      <c r="G119" s="41">
        <f>'2. Toimintakate'!H119+'3. Verotulot'!AA119+'4. Valtionosuudet'!Z119+'5. Rahoitustuotot ja -kulut'!G119</f>
        <v>16486</v>
      </c>
      <c r="H119" s="41">
        <f>Käyttökate!H119+'5. Rahoitustuotot ja -kulut'!H119</f>
        <v>57287.871973257512</v>
      </c>
      <c r="I119" s="41">
        <f>Käyttökate!I119+'5. Rahoitustuotot ja -kulut'!I119</f>
        <v>61391.911556251143</v>
      </c>
      <c r="J119" s="41">
        <f>Käyttökate!J119+'5. Rahoitustuotot ja -kulut'!J119</f>
        <v>44433.927130216318</v>
      </c>
      <c r="K119" s="41">
        <f>Käyttökate!K119+'5. Rahoitustuotot ja -kulut'!K119</f>
        <v>56151.273639503255</v>
      </c>
      <c r="L119" s="41">
        <f>Käyttökate!L119+'5. Rahoitustuotot ja -kulut'!L119</f>
        <v>43572.12726787768</v>
      </c>
      <c r="M119" s="41">
        <f>Käyttökate!M119+'5. Rahoitustuotot ja -kulut'!M119</f>
        <v>19014.310351526707</v>
      </c>
      <c r="N119" s="41">
        <f>Käyttökate!N119+'5. Rahoitustuotot ja -kulut'!N119</f>
        <v>25047.542572967817</v>
      </c>
      <c r="O119" s="41">
        <f>Käyttökate!O119+'5. Rahoitustuotot ja -kulut'!O119</f>
        <v>28976.828242480351</v>
      </c>
      <c r="P119" s="41">
        <f>Käyttökate!P119+'5. Rahoitustuotot ja -kulut'!P119</f>
        <v>36578.499653738858</v>
      </c>
      <c r="T119" s="34">
        <v>297</v>
      </c>
      <c r="U119" s="88" t="s">
        <v>433</v>
      </c>
      <c r="V119" s="41" t="e">
        <f>C119/'1. Väestöennuste'!E119*1000</f>
        <v>#REF!</v>
      </c>
      <c r="W119" s="41">
        <f>D119/'1. Väestöennuste'!F119*1000</f>
        <v>375.43740445048411</v>
      </c>
      <c r="X119" s="41">
        <f>E119/'1. Väestöennuste'!G119*1000</f>
        <v>486.61269446488848</v>
      </c>
      <c r="Y119" s="41">
        <f>F119/'1. Väestöennuste'!H119*1000</f>
        <v>266.17171172385895</v>
      </c>
      <c r="Z119" s="41">
        <f>G119/'1. Väestöennuste'!I119*1000</f>
        <v>138.21029157794135</v>
      </c>
      <c r="AA119" s="41">
        <f>H119/'1. Väestöennuste'!J119*1000</f>
        <v>476.56494445767834</v>
      </c>
      <c r="AB119" s="41">
        <f>I119/'1. Väestöennuste'!K119*1000</f>
        <v>505.10446143546852</v>
      </c>
      <c r="AC119" s="41">
        <f>J119/'1. Väestöennuste'!L119*1000</f>
        <v>362.4478125374514</v>
      </c>
      <c r="AD119" s="41">
        <f>K119/'1. Väestöennuste'!M119*1000</f>
        <v>452.75617548240422</v>
      </c>
      <c r="AE119" s="41">
        <f>L119/'1. Väestöennuste'!N119*1000</f>
        <v>354.89991502918133</v>
      </c>
      <c r="AF119" s="41">
        <f>M119/'1. Väestöennuste'!O119*1000</f>
        <v>154.2305256237718</v>
      </c>
      <c r="AG119" s="41">
        <f>N119/'1. Väestöennuste'!P119*1000</f>
        <v>202.37331296986983</v>
      </c>
      <c r="AH119" s="41">
        <f>O119/'1. Väestöennuste'!Q119*1000</f>
        <v>233.2608431674812</v>
      </c>
      <c r="AI119" s="41">
        <f>P119/'1. Väestöennuste'!R119*1000</f>
        <v>293.44730209736667</v>
      </c>
      <c r="AK119" s="41">
        <f>'6. Poistot'!Z119</f>
        <v>458.12444459348433</v>
      </c>
      <c r="AL119" s="41">
        <f>'6. Poistot'!AA119</f>
        <v>384.03626986107645</v>
      </c>
      <c r="AM119" s="41">
        <f>'6. Poistot'!AB119</f>
        <v>401.29434710349426</v>
      </c>
      <c r="AN119" s="41">
        <f>'6. Poistot'!AC119</f>
        <v>399.40427663670323</v>
      </c>
      <c r="AO119" s="41">
        <f>'6. Poistot'!AD119</f>
        <v>438.4855192265826</v>
      </c>
      <c r="AP119" s="41">
        <f>'6. Poistot'!AE119</f>
        <v>472.62020151010404</v>
      </c>
      <c r="AQ119" s="41">
        <f>'6. Poistot'!AF119</f>
        <v>485.7849697854565</v>
      </c>
      <c r="AR119" s="41">
        <f>'6. Poistot'!AG119</f>
        <v>500.93319005566826</v>
      </c>
      <c r="AS119" s="41">
        <f>'6. Poistot'!AH119</f>
        <v>515.19833460797042</v>
      </c>
      <c r="AT119" s="41">
        <f>'6. Poistot'!AI119</f>
        <v>529.48653627608473</v>
      </c>
      <c r="AV119" s="4">
        <f t="shared" si="29"/>
        <v>0</v>
      </c>
      <c r="AW119" s="4">
        <f t="shared" si="30"/>
        <v>1</v>
      </c>
      <c r="AX119" s="4">
        <f t="shared" si="31"/>
        <v>0</v>
      </c>
      <c r="AY119" s="4">
        <f t="shared" si="32"/>
        <v>1</v>
      </c>
      <c r="AZ119" s="4">
        <f t="shared" si="33"/>
        <v>1</v>
      </c>
      <c r="BA119" s="4">
        <f t="shared" si="34"/>
        <v>1</v>
      </c>
      <c r="BB119" s="4">
        <f t="shared" si="35"/>
        <v>1</v>
      </c>
      <c r="BC119" s="4">
        <f t="shared" si="36"/>
        <v>1</v>
      </c>
      <c r="BE119" s="405">
        <f t="shared" si="37"/>
        <v>0</v>
      </c>
      <c r="BF119" s="405">
        <f t="shared" si="38"/>
        <v>0</v>
      </c>
      <c r="BG119" s="405">
        <f t="shared" si="39"/>
        <v>0</v>
      </c>
      <c r="BH119" s="405">
        <f t="shared" si="40"/>
        <v>0</v>
      </c>
      <c r="BI119" s="405">
        <f t="shared" si="41"/>
        <v>0</v>
      </c>
      <c r="BJ119" s="405">
        <f t="shared" si="42"/>
        <v>0</v>
      </c>
      <c r="BK119" s="405">
        <f t="shared" si="43"/>
        <v>0</v>
      </c>
      <c r="BL119" s="405">
        <f t="shared" si="44"/>
        <v>0</v>
      </c>
      <c r="BM119" s="405">
        <f t="shared" si="45"/>
        <v>0</v>
      </c>
      <c r="BN119" s="405">
        <f t="shared" si="45"/>
        <v>0</v>
      </c>
    </row>
    <row r="120" spans="1:66" x14ac:dyDescent="0.2">
      <c r="A120" s="34">
        <v>300</v>
      </c>
      <c r="B120" s="88" t="s">
        <v>434</v>
      </c>
      <c r="C120" s="41" t="e">
        <f>'2. Toimintakate'!D120+'3. Verotulot'!G120+'4. Valtionosuudet'!#REF!+'5. Rahoitustuotot ja -kulut'!C120</f>
        <v>#REF!</v>
      </c>
      <c r="D120" s="41">
        <f>'2. Toimintakate'!E120+'4. Valtionosuudet'!H120+'3. Verotulot'!L120+'5. Rahoitustuotot ja -kulut'!D120</f>
        <v>2181</v>
      </c>
      <c r="E120" s="41">
        <f>'2. Toimintakate'!F120+'4. Valtionosuudet'!N120+'3. Verotulot'!Q120+'5. Rahoitustuotot ja -kulut'!E120</f>
        <v>2176</v>
      </c>
      <c r="F120" s="41">
        <f>'2. Toimintakate'!G120+'4. Valtionosuudet'!T120+'3. Verotulot'!V120+'5. Rahoitustuotot ja -kulut'!F120</f>
        <v>1456</v>
      </c>
      <c r="G120" s="41">
        <f>'2. Toimintakate'!H120+'3. Verotulot'!AA120+'4. Valtionosuudet'!Z120+'5. Rahoitustuotot ja -kulut'!G120</f>
        <v>934</v>
      </c>
      <c r="H120" s="41">
        <f>Käyttökate!H120+'5. Rahoitustuotot ja -kulut'!H120</f>
        <v>2655.4892056585486</v>
      </c>
      <c r="I120" s="41">
        <f>Käyttökate!I120+'5. Rahoitustuotot ja -kulut'!I120</f>
        <v>1431.5179945741272</v>
      </c>
      <c r="J120" s="41">
        <f>Käyttökate!J120+'5. Rahoitustuotot ja -kulut'!J120</f>
        <v>2769.2376822679562</v>
      </c>
      <c r="K120" s="41">
        <f>Käyttökate!K120+'5. Rahoitustuotot ja -kulut'!K120</f>
        <v>2406.3310300083326</v>
      </c>
      <c r="L120" s="41">
        <f>Käyttökate!L120+'5. Rahoitustuotot ja -kulut'!L120</f>
        <v>2010.5554717406396</v>
      </c>
      <c r="M120" s="41">
        <f>Käyttökate!M120+'5. Rahoitustuotot ja -kulut'!M120</f>
        <v>1149.6279814870113</v>
      </c>
      <c r="N120" s="41">
        <f>Käyttökate!N120+'5. Rahoitustuotot ja -kulut'!N120</f>
        <v>1004.2668988152245</v>
      </c>
      <c r="O120" s="41">
        <f>Käyttökate!O120+'5. Rahoitustuotot ja -kulut'!O120</f>
        <v>608.1920641076415</v>
      </c>
      <c r="P120" s="41">
        <f>Käyttökate!P120+'5. Rahoitustuotot ja -kulut'!P120</f>
        <v>817.84867517233465</v>
      </c>
      <c r="T120" s="34">
        <v>300</v>
      </c>
      <c r="U120" s="88" t="s">
        <v>434</v>
      </c>
      <c r="V120" s="41" t="e">
        <f>C120/'1. Väestöennuste'!E120*1000</f>
        <v>#REF!</v>
      </c>
      <c r="W120" s="41">
        <f>D120/'1. Väestöennuste'!F120*1000</f>
        <v>591.05691056910575</v>
      </c>
      <c r="X120" s="41">
        <f>E120/'1. Väestöennuste'!G120*1000</f>
        <v>598.29529832279354</v>
      </c>
      <c r="Y120" s="41">
        <f>F120/'1. Väestöennuste'!H120*1000</f>
        <v>407.61478163493842</v>
      </c>
      <c r="Z120" s="41">
        <f>G120/'1. Väestöennuste'!I120*1000</f>
        <v>263.0245001408054</v>
      </c>
      <c r="AA120" s="41">
        <f>H120/'1. Väestöennuste'!J120*1000</f>
        <v>751.4117729650676</v>
      </c>
      <c r="AB120" s="41">
        <f>I120/'1. Väestöennuste'!K120*1000</f>
        <v>405.75906875683876</v>
      </c>
      <c r="AC120" s="41">
        <f>J120/'1. Väestöennuste'!L120*1000</f>
        <v>805.71361136687699</v>
      </c>
      <c r="AD120" s="41">
        <f>K120/'1. Väestöennuste'!M120*1000</f>
        <v>711.72168885191729</v>
      </c>
      <c r="AE120" s="41">
        <f>L120/'1. Väestöennuste'!N120*1000</f>
        <v>593.60952811946845</v>
      </c>
      <c r="AF120" s="41">
        <f>M120/'1. Väestöennuste'!O120*1000</f>
        <v>342.76326222033731</v>
      </c>
      <c r="AG120" s="41">
        <f>N120/'1. Väestöennuste'!P120*1000</f>
        <v>302.58116866984767</v>
      </c>
      <c r="AH120" s="41">
        <f>O120/'1. Väestöennuste'!Q120*1000</f>
        <v>185.0295296950537</v>
      </c>
      <c r="AI120" s="41">
        <f>P120/'1. Väestöennuste'!R120*1000</f>
        <v>251.10490487329895</v>
      </c>
      <c r="AK120" s="41">
        <f>'6. Poistot'!Z120</f>
        <v>357.08251196845958</v>
      </c>
      <c r="AL120" s="41">
        <f>'6. Poistot'!AA120</f>
        <v>347.76457272212792</v>
      </c>
      <c r="AM120" s="41">
        <f>'6. Poistot'!AB120</f>
        <v>300.65346655328796</v>
      </c>
      <c r="AN120" s="41">
        <f>'6. Poistot'!AC120</f>
        <v>338.67682281059064</v>
      </c>
      <c r="AO120" s="41">
        <f>'6. Poistot'!AD120</f>
        <v>344.28418219461696</v>
      </c>
      <c r="AP120" s="41">
        <f>'6. Poistot'!AE120</f>
        <v>364.77708886920578</v>
      </c>
      <c r="AQ120" s="41">
        <f>'6. Poistot'!AF120</f>
        <v>372.68932617769826</v>
      </c>
      <c r="AR120" s="41">
        <f>'6. Poistot'!AG120</f>
        <v>385.65833082253693</v>
      </c>
      <c r="AS120" s="41">
        <f>'6. Poistot'!AH120</f>
        <v>401.97776573080739</v>
      </c>
      <c r="AT120" s="41">
        <f>'6. Poistot'!AI120</f>
        <v>418.36101686040143</v>
      </c>
      <c r="AV120" s="4">
        <f t="shared" si="29"/>
        <v>0</v>
      </c>
      <c r="AW120" s="4">
        <f t="shared" si="30"/>
        <v>0</v>
      </c>
      <c r="AX120" s="4">
        <f t="shared" si="31"/>
        <v>0</v>
      </c>
      <c r="AY120" s="4">
        <f t="shared" si="32"/>
        <v>0</v>
      </c>
      <c r="AZ120" s="4">
        <f t="shared" si="33"/>
        <v>1</v>
      </c>
      <c r="BA120" s="4">
        <f t="shared" si="34"/>
        <v>1</v>
      </c>
      <c r="BB120" s="4">
        <f t="shared" si="35"/>
        <v>1</v>
      </c>
      <c r="BC120" s="4">
        <f t="shared" si="36"/>
        <v>1</v>
      </c>
      <c r="BE120" s="405">
        <f t="shared" si="37"/>
        <v>0</v>
      </c>
      <c r="BF120" s="405">
        <f t="shared" si="38"/>
        <v>0</v>
      </c>
      <c r="BG120" s="405">
        <f t="shared" si="39"/>
        <v>0</v>
      </c>
      <c r="BH120" s="405">
        <f t="shared" si="40"/>
        <v>0</v>
      </c>
      <c r="BI120" s="405">
        <f t="shared" si="41"/>
        <v>0</v>
      </c>
      <c r="BJ120" s="405">
        <f t="shared" si="42"/>
        <v>0</v>
      </c>
      <c r="BK120" s="405">
        <f t="shared" si="43"/>
        <v>0</v>
      </c>
      <c r="BL120" s="405">
        <f t="shared" si="44"/>
        <v>0</v>
      </c>
      <c r="BM120" s="405">
        <f t="shared" si="45"/>
        <v>0</v>
      </c>
      <c r="BN120" s="405">
        <f t="shared" si="45"/>
        <v>0</v>
      </c>
    </row>
    <row r="121" spans="1:66" x14ac:dyDescent="0.2">
      <c r="A121" s="34">
        <v>301</v>
      </c>
      <c r="B121" s="88" t="s">
        <v>435</v>
      </c>
      <c r="C121" s="41" t="e">
        <f>'2. Toimintakate'!D121+'3. Verotulot'!G121+'4. Valtionosuudet'!#REF!+'5. Rahoitustuotot ja -kulut'!C121</f>
        <v>#REF!</v>
      </c>
      <c r="D121" s="41">
        <f>'2. Toimintakate'!E121+'4. Valtionosuudet'!H121+'3. Verotulot'!L121+'5. Rahoitustuotot ja -kulut'!D121</f>
        <v>2857</v>
      </c>
      <c r="E121" s="41">
        <f>'2. Toimintakate'!F121+'4. Valtionosuudet'!N121+'3. Verotulot'!Q121+'5. Rahoitustuotot ja -kulut'!E121</f>
        <v>10206</v>
      </c>
      <c r="F121" s="41">
        <f>'2. Toimintakate'!G121+'4. Valtionosuudet'!T121+'3. Verotulot'!V121+'5. Rahoitustuotot ja -kulut'!F121</f>
        <v>8171</v>
      </c>
      <c r="G121" s="41">
        <f>'2. Toimintakate'!H121+'3. Verotulot'!AA121+'4. Valtionosuudet'!Z121+'5. Rahoitustuotot ja -kulut'!G121</f>
        <v>3632</v>
      </c>
      <c r="H121" s="41">
        <f>Käyttökate!H121+'5. Rahoitustuotot ja -kulut'!H121</f>
        <v>11218.76185993143</v>
      </c>
      <c r="I121" s="41">
        <f>Käyttökate!I121+'5. Rahoitustuotot ja -kulut'!I121</f>
        <v>2195.0729612905288</v>
      </c>
      <c r="J121" s="41">
        <f>Käyttökate!J121+'5. Rahoitustuotot ja -kulut'!J121</f>
        <v>10954.866530679323</v>
      </c>
      <c r="K121" s="41">
        <f>Käyttökate!K121+'5. Rahoitustuotot ja -kulut'!K121</f>
        <v>14938.251585606091</v>
      </c>
      <c r="L121" s="41">
        <f>Käyttökate!L121+'5. Rahoitustuotot ja -kulut'!L121</f>
        <v>3025.813255191536</v>
      </c>
      <c r="M121" s="41">
        <f>Käyttökate!M121+'5. Rahoitustuotot ja -kulut'!M121</f>
        <v>2436.4481610054681</v>
      </c>
      <c r="N121" s="41">
        <f>Käyttökate!N121+'5. Rahoitustuotot ja -kulut'!N121</f>
        <v>2150.7322905412457</v>
      </c>
      <c r="O121" s="41">
        <f>Käyttökate!O121+'5. Rahoitustuotot ja -kulut'!O121</f>
        <v>2931.279583253955</v>
      </c>
      <c r="P121" s="41">
        <f>Käyttökate!P121+'5. Rahoitustuotot ja -kulut'!P121</f>
        <v>5590.8200185519654</v>
      </c>
      <c r="T121" s="34">
        <v>301</v>
      </c>
      <c r="U121" s="88" t="s">
        <v>435</v>
      </c>
      <c r="V121" s="41" t="e">
        <f>C121/'1. Väestöennuste'!E121*1000</f>
        <v>#REF!</v>
      </c>
      <c r="W121" s="41">
        <f>D121/'1. Väestöennuste'!F121*1000</f>
        <v>132.87754057950792</v>
      </c>
      <c r="X121" s="41">
        <f>E121/'1. Väestöennuste'!G121*1000</f>
        <v>481.34697920105646</v>
      </c>
      <c r="Y121" s="41">
        <f>F121/'1. Väestöennuste'!H121*1000</f>
        <v>389.98663612065678</v>
      </c>
      <c r="Z121" s="41">
        <f>G121/'1. Väestöennuste'!I121*1000</f>
        <v>175.64561369571524</v>
      </c>
      <c r="AA121" s="41">
        <f>H121/'1. Väestöennuste'!J121*1000</f>
        <v>548.43380230403932</v>
      </c>
      <c r="AB121" s="41">
        <f>I121/'1. Väestöennuste'!K121*1000</f>
        <v>108.68311933903694</v>
      </c>
      <c r="AC121" s="41">
        <f>J121/'1. Väestöennuste'!L121*1000</f>
        <v>550.77257570031793</v>
      </c>
      <c r="AD121" s="41">
        <f>K121/'1. Väestöennuste'!M121*1000</f>
        <v>756.02265223979407</v>
      </c>
      <c r="AE121" s="41">
        <f>L121/'1. Väestöennuste'!N121*1000</f>
        <v>155.20970788363866</v>
      </c>
      <c r="AF121" s="41">
        <f>M121/'1. Väestöennuste'!O121*1000</f>
        <v>126.44393383182667</v>
      </c>
      <c r="AG121" s="41">
        <f>N121/'1. Väestöennuste'!P121*1000</f>
        <v>112.9052596220928</v>
      </c>
      <c r="AH121" s="41">
        <f>O121/'1. Väestöennuste'!Q121*1000</f>
        <v>155.63765441509798</v>
      </c>
      <c r="AI121" s="41">
        <f>P121/'1. Väestöennuste'!R121*1000</f>
        <v>300.22661467898001</v>
      </c>
      <c r="AK121" s="41">
        <f>'6. Poistot'!Z121</f>
        <v>722.12012767192175</v>
      </c>
      <c r="AL121" s="41">
        <f>'6. Poistot'!AA121</f>
        <v>349.53070003910835</v>
      </c>
      <c r="AM121" s="41">
        <f>'6. Poistot'!AB121</f>
        <v>349.3252933604</v>
      </c>
      <c r="AN121" s="41">
        <f>'6. Poistot'!AC121</f>
        <v>347.32937757667173</v>
      </c>
      <c r="AO121" s="41">
        <f>'6. Poistot'!AD121</f>
        <v>406.39166000303658</v>
      </c>
      <c r="AP121" s="41">
        <f>'6. Poistot'!AE121</f>
        <v>412.47755834829439</v>
      </c>
      <c r="AQ121" s="41">
        <f>'6. Poistot'!AF121</f>
        <v>428.38652758316465</v>
      </c>
      <c r="AR121" s="41">
        <f>'6. Poistot'!AG121</f>
        <v>443.30831014751431</v>
      </c>
      <c r="AS121" s="41">
        <f>'6. Poistot'!AH121</f>
        <v>462.83613116876171</v>
      </c>
      <c r="AT121" s="41">
        <f>'6. Poistot'!AI121</f>
        <v>482.73715975002233</v>
      </c>
      <c r="AV121" s="4">
        <f t="shared" si="29"/>
        <v>1</v>
      </c>
      <c r="AW121" s="4">
        <f t="shared" si="30"/>
        <v>0</v>
      </c>
      <c r="AX121" s="4">
        <f t="shared" si="31"/>
        <v>0</v>
      </c>
      <c r="AY121" s="4">
        <f t="shared" si="32"/>
        <v>1</v>
      </c>
      <c r="AZ121" s="4">
        <f t="shared" si="33"/>
        <v>1</v>
      </c>
      <c r="BA121" s="4">
        <f t="shared" si="34"/>
        <v>1</v>
      </c>
      <c r="BB121" s="4">
        <f t="shared" si="35"/>
        <v>1</v>
      </c>
      <c r="BC121" s="4">
        <f t="shared" si="36"/>
        <v>1</v>
      </c>
      <c r="BE121" s="405">
        <f t="shared" si="37"/>
        <v>0</v>
      </c>
      <c r="BF121" s="405">
        <f t="shared" si="38"/>
        <v>0</v>
      </c>
      <c r="BG121" s="405">
        <f t="shared" si="39"/>
        <v>0</v>
      </c>
      <c r="BH121" s="405">
        <f t="shared" si="40"/>
        <v>0</v>
      </c>
      <c r="BI121" s="405">
        <f t="shared" si="41"/>
        <v>0</v>
      </c>
      <c r="BJ121" s="405">
        <f t="shared" si="42"/>
        <v>0</v>
      </c>
      <c r="BK121" s="405">
        <f t="shared" si="43"/>
        <v>0</v>
      </c>
      <c r="BL121" s="405">
        <f t="shared" si="44"/>
        <v>0</v>
      </c>
      <c r="BM121" s="405">
        <f t="shared" si="45"/>
        <v>0</v>
      </c>
      <c r="BN121" s="405">
        <f t="shared" si="45"/>
        <v>0</v>
      </c>
    </row>
    <row r="122" spans="1:66" x14ac:dyDescent="0.2">
      <c r="A122" s="34">
        <v>304</v>
      </c>
      <c r="B122" s="88" t="s">
        <v>436</v>
      </c>
      <c r="C122" s="41" t="e">
        <f>'2. Toimintakate'!D122+'3. Verotulot'!G122+'4. Valtionosuudet'!#REF!+'5. Rahoitustuotot ja -kulut'!C122</f>
        <v>#REF!</v>
      </c>
      <c r="D122" s="41">
        <f>'2. Toimintakate'!E122+'4. Valtionosuudet'!H122+'3. Verotulot'!L122+'5. Rahoitustuotot ja -kulut'!D122</f>
        <v>746</v>
      </c>
      <c r="E122" s="41">
        <f>'2. Toimintakate'!F122+'4. Valtionosuudet'!N122+'3. Verotulot'!Q122+'5. Rahoitustuotot ja -kulut'!E122</f>
        <v>928</v>
      </c>
      <c r="F122" s="41">
        <f>'2. Toimintakate'!G122+'4. Valtionosuudet'!T122+'3. Verotulot'!V122+'5. Rahoitustuotot ja -kulut'!F122</f>
        <v>671</v>
      </c>
      <c r="G122" s="41">
        <f>'2. Toimintakate'!H122+'3. Verotulot'!AA122+'4. Valtionosuudet'!Z122+'5. Rahoitustuotot ja -kulut'!G122</f>
        <v>403</v>
      </c>
      <c r="H122" s="41">
        <f>Käyttökate!H122+'5. Rahoitustuotot ja -kulut'!H122</f>
        <v>940.6841086969489</v>
      </c>
      <c r="I122" s="41">
        <f>Käyttökate!I122+'5. Rahoitustuotot ja -kulut'!I122</f>
        <v>117.43096171372716</v>
      </c>
      <c r="J122" s="41">
        <f>Käyttökate!J122+'5. Rahoitustuotot ja -kulut'!J122</f>
        <v>550.11463365155259</v>
      </c>
      <c r="K122" s="41">
        <f>Käyttökate!K122+'5. Rahoitustuotot ja -kulut'!K122</f>
        <v>117.71419007724265</v>
      </c>
      <c r="L122" s="41">
        <f>Käyttökate!L122+'5. Rahoitustuotot ja -kulut'!L122</f>
        <v>436.33524932523176</v>
      </c>
      <c r="M122" s="41">
        <f>Käyttökate!M122+'5. Rahoitustuotot ja -kulut'!M122</f>
        <v>117.29245769307357</v>
      </c>
      <c r="N122" s="41">
        <f>Käyttökate!N122+'5. Rahoitustuotot ja -kulut'!N122</f>
        <v>127.14167590019707</v>
      </c>
      <c r="O122" s="41">
        <f>Käyttökate!O122+'5. Rahoitustuotot ja -kulut'!O122</f>
        <v>67.747505687240206</v>
      </c>
      <c r="P122" s="41">
        <f>Käyttökate!P122+'5. Rahoitustuotot ja -kulut'!P122</f>
        <v>68.495959422344896</v>
      </c>
      <c r="T122" s="34">
        <v>304</v>
      </c>
      <c r="U122" s="88" t="s">
        <v>436</v>
      </c>
      <c r="V122" s="41" t="e">
        <f>C122/'1. Väestöennuste'!E122*1000</f>
        <v>#REF!</v>
      </c>
      <c r="W122" s="41">
        <f>D122/'1. Väestöennuste'!F122*1000</f>
        <v>821.58590308370037</v>
      </c>
      <c r="X122" s="41">
        <f>E122/'1. Väestöennuste'!G122*1000</f>
        <v>1005.4171180931744</v>
      </c>
      <c r="Y122" s="41">
        <f>F122/'1. Väestöennuste'!H122*1000</f>
        <v>724.62203023758093</v>
      </c>
      <c r="Z122" s="41">
        <f>G122/'1. Väestöennuste'!I122*1000</f>
        <v>424.65753424657532</v>
      </c>
      <c r="AA122" s="41">
        <f>H122/'1. Väestöennuste'!J122*1000</f>
        <v>977.84210883258731</v>
      </c>
      <c r="AB122" s="41">
        <f>I122/'1. Väestöennuste'!K122*1000</f>
        <v>120.93816860322056</v>
      </c>
      <c r="AC122" s="41">
        <f>J122/'1. Väestöennuste'!L122*1000</f>
        <v>579.06803542268688</v>
      </c>
      <c r="AD122" s="41">
        <f>K122/'1. Väestöennuste'!M122*1000</f>
        <v>124.04024244177307</v>
      </c>
      <c r="AE122" s="41">
        <f>L122/'1. Väestöennuste'!N122*1000</f>
        <v>425.69292617095783</v>
      </c>
      <c r="AF122" s="41">
        <f>M122/'1. Väestöennuste'!O122*1000</f>
        <v>113.10748089978165</v>
      </c>
      <c r="AG122" s="41">
        <f>N122/'1. Väestöennuste'!P122*1000</f>
        <v>121.08731038114007</v>
      </c>
      <c r="AH122" s="41">
        <f>O122/'1. Väestöennuste'!Q122*1000</f>
        <v>63.672467751165613</v>
      </c>
      <c r="AI122" s="41">
        <f>P122/'1. Väestöennuste'!R122*1000</f>
        <v>63.717171555669665</v>
      </c>
      <c r="AK122" s="41">
        <f>'6. Poistot'!Z122</f>
        <v>413.0663856691254</v>
      </c>
      <c r="AL122" s="41">
        <f>'6. Poistot'!AA122</f>
        <v>428.27442827442832</v>
      </c>
      <c r="AM122" s="41">
        <f>'6. Poistot'!AB122</f>
        <v>521.72903192584965</v>
      </c>
      <c r="AN122" s="41">
        <f>'6. Poistot'!AC122</f>
        <v>544.5726842105264</v>
      </c>
      <c r="AO122" s="41">
        <f>'6. Poistot'!AD122</f>
        <v>527.43909378292938</v>
      </c>
      <c r="AP122" s="41">
        <f>'6. Poistot'!AE122</f>
        <v>494.28097560975607</v>
      </c>
      <c r="AQ122" s="41">
        <f>'6. Poistot'!AF122</f>
        <v>488.56123432979746</v>
      </c>
      <c r="AR122" s="41">
        <f>'6. Poistot'!AG122</f>
        <v>482.51238095238091</v>
      </c>
      <c r="AS122" s="41">
        <f>'6. Poistot'!AH122</f>
        <v>491.52758859456168</v>
      </c>
      <c r="AT122" s="41">
        <f>'6. Poistot'!AI122</f>
        <v>501.70484514346737</v>
      </c>
      <c r="AV122" s="4">
        <f t="shared" si="29"/>
        <v>1</v>
      </c>
      <c r="AW122" s="4">
        <f t="shared" si="30"/>
        <v>0</v>
      </c>
      <c r="AX122" s="4">
        <f t="shared" si="31"/>
        <v>1</v>
      </c>
      <c r="AY122" s="4">
        <f t="shared" si="32"/>
        <v>1</v>
      </c>
      <c r="AZ122" s="4">
        <f t="shared" si="33"/>
        <v>1</v>
      </c>
      <c r="BA122" s="4">
        <f t="shared" si="34"/>
        <v>1</v>
      </c>
      <c r="BB122" s="4">
        <f t="shared" si="35"/>
        <v>1</v>
      </c>
      <c r="BC122" s="4">
        <f t="shared" si="36"/>
        <v>1</v>
      </c>
      <c r="BE122" s="405">
        <f t="shared" si="37"/>
        <v>0</v>
      </c>
      <c r="BF122" s="405">
        <f t="shared" si="38"/>
        <v>0</v>
      </c>
      <c r="BG122" s="405">
        <f t="shared" si="39"/>
        <v>0</v>
      </c>
      <c r="BH122" s="405">
        <f t="shared" si="40"/>
        <v>0</v>
      </c>
      <c r="BI122" s="405">
        <f t="shared" si="41"/>
        <v>0</v>
      </c>
      <c r="BJ122" s="405">
        <f t="shared" si="42"/>
        <v>0</v>
      </c>
      <c r="BK122" s="405">
        <f t="shared" si="43"/>
        <v>0</v>
      </c>
      <c r="BL122" s="405">
        <f t="shared" si="44"/>
        <v>0</v>
      </c>
      <c r="BM122" s="405">
        <f t="shared" si="45"/>
        <v>0</v>
      </c>
      <c r="BN122" s="405">
        <f t="shared" si="45"/>
        <v>0</v>
      </c>
    </row>
    <row r="123" spans="1:66" x14ac:dyDescent="0.2">
      <c r="A123" s="34">
        <v>305</v>
      </c>
      <c r="B123" s="88" t="s">
        <v>437</v>
      </c>
      <c r="C123" s="41" t="e">
        <f>'2. Toimintakate'!D123+'3. Verotulot'!G123+'4. Valtionosuudet'!#REF!+'5. Rahoitustuotot ja -kulut'!C123</f>
        <v>#REF!</v>
      </c>
      <c r="D123" s="41">
        <f>'2. Toimintakate'!E123+'4. Valtionosuudet'!H123+'3. Verotulot'!L123+'5. Rahoitustuotot ja -kulut'!D123</f>
        <v>7814</v>
      </c>
      <c r="E123" s="41">
        <f>'2. Toimintakate'!F123+'4. Valtionosuudet'!N123+'3. Verotulot'!Q123+'5. Rahoitustuotot ja -kulut'!E123</f>
        <v>8054</v>
      </c>
      <c r="F123" s="41">
        <f>'2. Toimintakate'!G123+'4. Valtionosuudet'!T123+'3. Verotulot'!V123+'5. Rahoitustuotot ja -kulut'!F123</f>
        <v>3087</v>
      </c>
      <c r="G123" s="41">
        <f>'2. Toimintakate'!H123+'3. Verotulot'!AA123+'4. Valtionosuudet'!Z123+'5. Rahoitustuotot ja -kulut'!G123</f>
        <v>3292</v>
      </c>
      <c r="H123" s="41">
        <f>Käyttökate!H123+'5. Rahoitustuotot ja -kulut'!H123</f>
        <v>8618.3154999061371</v>
      </c>
      <c r="I123" s="41">
        <f>Käyttökate!I123+'5. Rahoitustuotot ja -kulut'!I123</f>
        <v>9462.0525942529766</v>
      </c>
      <c r="J123" s="41">
        <f>Käyttökate!J123+'5. Rahoitustuotot ja -kulut'!J123</f>
        <v>8847.3032124046385</v>
      </c>
      <c r="K123" s="41">
        <f>Käyttökate!K123+'5. Rahoitustuotot ja -kulut'!K123</f>
        <v>8421.3224989427363</v>
      </c>
      <c r="L123" s="41">
        <f>Käyttökate!L123+'5. Rahoitustuotot ja -kulut'!L123</f>
        <v>2138.5504007254422</v>
      </c>
      <c r="M123" s="41">
        <f>Käyttökate!M123+'5. Rahoitustuotot ja -kulut'!M123</f>
        <v>2070.4445128740663</v>
      </c>
      <c r="N123" s="41">
        <f>Käyttökate!N123+'5. Rahoitustuotot ja -kulut'!N123</f>
        <v>1565.5698056311358</v>
      </c>
      <c r="O123" s="41">
        <f>Käyttökate!O123+'5. Rahoitustuotot ja -kulut'!O123</f>
        <v>1411.8556936825587</v>
      </c>
      <c r="P123" s="41">
        <f>Käyttökate!P123+'5. Rahoitustuotot ja -kulut'!P123</f>
        <v>3233.0711783171114</v>
      </c>
      <c r="T123" s="34">
        <v>305</v>
      </c>
      <c r="U123" s="88" t="s">
        <v>437</v>
      </c>
      <c r="V123" s="41" t="e">
        <f>C123/'1. Väestöennuste'!E123*1000</f>
        <v>#REF!</v>
      </c>
      <c r="W123" s="41">
        <f>D123/'1. Väestöennuste'!F123*1000</f>
        <v>503.05800553659952</v>
      </c>
      <c r="X123" s="41">
        <f>E123/'1. Väestöennuste'!G123*1000</f>
        <v>523.4628883400494</v>
      </c>
      <c r="Y123" s="41">
        <f>F123/'1. Väestöennuste'!H123*1000</f>
        <v>202.99861905701323</v>
      </c>
      <c r="Z123" s="41">
        <f>G123/'1. Väestöennuste'!I123*1000</f>
        <v>217.52345711642658</v>
      </c>
      <c r="AA123" s="41">
        <f>H123/'1. Väestöennuste'!J123*1000</f>
        <v>566.50992571525262</v>
      </c>
      <c r="AB123" s="41">
        <f>I123/'1. Väestöennuste'!K123*1000</f>
        <v>623.94016447431432</v>
      </c>
      <c r="AC123" s="41">
        <f>J123/'1. Väestöennuste'!L123*1000</f>
        <v>584.13463702658385</v>
      </c>
      <c r="AD123" s="41">
        <f>K123/'1. Väestöennuste'!M123*1000</f>
        <v>560.71126565968007</v>
      </c>
      <c r="AE123" s="41">
        <f>L123/'1. Väestöennuste'!N123*1000</f>
        <v>144.73134818120209</v>
      </c>
      <c r="AF123" s="41">
        <f>M123/'1. Väestöennuste'!O123*1000</f>
        <v>141.10573930853039</v>
      </c>
      <c r="AG123" s="41">
        <f>N123/'1. Väestöennuste'!P123*1000</f>
        <v>107.42210824970054</v>
      </c>
      <c r="AH123" s="41">
        <f>O123/'1. Väestöennuste'!Q123*1000</f>
        <v>97.544265143191836</v>
      </c>
      <c r="AI123" s="41">
        <f>P123/'1. Väestöennuste'!R123*1000</f>
        <v>224.92494631397742</v>
      </c>
      <c r="AK123" s="41">
        <f>'6. Poistot'!Z123</f>
        <v>397.9780626404123</v>
      </c>
      <c r="AL123" s="41">
        <f>'6. Poistot'!AA123</f>
        <v>521.19897456123056</v>
      </c>
      <c r="AM123" s="41">
        <f>'6. Poistot'!AB123</f>
        <v>539.61791493570718</v>
      </c>
      <c r="AN123" s="41">
        <f>'6. Poistot'!AC123</f>
        <v>452.63688168493331</v>
      </c>
      <c r="AO123" s="41">
        <f>'6. Poistot'!AD123</f>
        <v>452.59402823090755</v>
      </c>
      <c r="AP123" s="41">
        <f>'6. Poistot'!AE123</f>
        <v>385.76069301570112</v>
      </c>
      <c r="AQ123" s="41">
        <f>'6. Poistot'!AF123</f>
        <v>408.91433244735225</v>
      </c>
      <c r="AR123" s="41">
        <f>'6. Poistot'!AG123</f>
        <v>411.69205434335117</v>
      </c>
      <c r="AS123" s="41">
        <f>'6. Poistot'!AH123</f>
        <v>427.91198311104091</v>
      </c>
      <c r="AT123" s="41">
        <f>'6. Poistot'!AI123</f>
        <v>444.35759615266522</v>
      </c>
      <c r="AV123" s="4">
        <f t="shared" si="29"/>
        <v>0</v>
      </c>
      <c r="AW123" s="4">
        <f t="shared" si="30"/>
        <v>0</v>
      </c>
      <c r="AX123" s="4">
        <f t="shared" si="31"/>
        <v>0</v>
      </c>
      <c r="AY123" s="4">
        <f t="shared" si="32"/>
        <v>1</v>
      </c>
      <c r="AZ123" s="4">
        <f t="shared" si="33"/>
        <v>1</v>
      </c>
      <c r="BA123" s="4">
        <f t="shared" si="34"/>
        <v>1</v>
      </c>
      <c r="BB123" s="4">
        <f t="shared" si="35"/>
        <v>1</v>
      </c>
      <c r="BC123" s="4">
        <f t="shared" si="36"/>
        <v>1</v>
      </c>
      <c r="BE123" s="405">
        <f t="shared" si="37"/>
        <v>0</v>
      </c>
      <c r="BF123" s="405">
        <f t="shared" si="38"/>
        <v>0</v>
      </c>
      <c r="BG123" s="405">
        <f t="shared" si="39"/>
        <v>0</v>
      </c>
      <c r="BH123" s="405">
        <f t="shared" si="40"/>
        <v>0</v>
      </c>
      <c r="BI123" s="405">
        <f t="shared" si="41"/>
        <v>0</v>
      </c>
      <c r="BJ123" s="405">
        <f t="shared" si="42"/>
        <v>0</v>
      </c>
      <c r="BK123" s="405">
        <f t="shared" si="43"/>
        <v>0</v>
      </c>
      <c r="BL123" s="405">
        <f t="shared" si="44"/>
        <v>0</v>
      </c>
      <c r="BM123" s="405">
        <f t="shared" si="45"/>
        <v>0</v>
      </c>
      <c r="BN123" s="405">
        <f t="shared" si="45"/>
        <v>0</v>
      </c>
    </row>
    <row r="124" spans="1:66" x14ac:dyDescent="0.2">
      <c r="A124" s="34">
        <v>309</v>
      </c>
      <c r="B124" s="88" t="s">
        <v>438</v>
      </c>
      <c r="C124" s="41" t="e">
        <f>'2. Toimintakate'!D124+'3. Verotulot'!G124+'4. Valtionosuudet'!#REF!+'5. Rahoitustuotot ja -kulut'!C124</f>
        <v>#REF!</v>
      </c>
      <c r="D124" s="41">
        <f>'2. Toimintakate'!E124+'4. Valtionosuudet'!H124+'3. Verotulot'!L124+'5. Rahoitustuotot ja -kulut'!D124</f>
        <v>3049</v>
      </c>
      <c r="E124" s="41">
        <f>'2. Toimintakate'!F124+'4. Valtionosuudet'!N124+'3. Verotulot'!Q124+'5. Rahoitustuotot ja -kulut'!E124</f>
        <v>4156</v>
      </c>
      <c r="F124" s="41">
        <f>'2. Toimintakate'!G124+'4. Valtionosuudet'!T124+'3. Verotulot'!V124+'5. Rahoitustuotot ja -kulut'!F124</f>
        <v>2490</v>
      </c>
      <c r="G124" s="41">
        <f>'2. Toimintakate'!H124+'3. Verotulot'!AA124+'4. Valtionosuudet'!Z124+'5. Rahoitustuotot ja -kulut'!G124</f>
        <v>1054</v>
      </c>
      <c r="H124" s="41">
        <f>Käyttökate!H124+'5. Rahoitustuotot ja -kulut'!H124</f>
        <v>32130.822853882099</v>
      </c>
      <c r="I124" s="41">
        <f>Käyttökate!I124+'5. Rahoitustuotot ja -kulut'!I124</f>
        <v>1290.3793795818592</v>
      </c>
      <c r="J124" s="41">
        <f>Käyttökate!J124+'5. Rahoitustuotot ja -kulut'!J124</f>
        <v>-4516.4901201939465</v>
      </c>
      <c r="K124" s="41">
        <f>Käyttökate!K124+'5. Rahoitustuotot ja -kulut'!K124</f>
        <v>3815.7670052190924</v>
      </c>
      <c r="L124" s="41">
        <f>Käyttökate!L124+'5. Rahoitustuotot ja -kulut'!L124</f>
        <v>1464.1108736667884</v>
      </c>
      <c r="M124" s="41">
        <f>Käyttökate!M124+'5. Rahoitustuotot ja -kulut'!M124</f>
        <v>557.08635517358766</v>
      </c>
      <c r="N124" s="41">
        <f>Käyttökate!N124+'5. Rahoitustuotot ja -kulut'!N124</f>
        <v>990.16392997674097</v>
      </c>
      <c r="O124" s="41">
        <f>Käyttökate!O124+'5. Rahoitustuotot ja -kulut'!O124</f>
        <v>972.72701907693249</v>
      </c>
      <c r="P124" s="41">
        <f>Käyttökate!P124+'5. Rahoitustuotot ja -kulut'!P124</f>
        <v>2214.8085394586515</v>
      </c>
      <c r="T124" s="34">
        <v>309</v>
      </c>
      <c r="U124" s="88" t="s">
        <v>438</v>
      </c>
      <c r="V124" s="41" t="e">
        <f>C124/'1. Väestöennuste'!E124*1000</f>
        <v>#REF!</v>
      </c>
      <c r="W124" s="41">
        <f>D124/'1. Väestöennuste'!F124*1000</f>
        <v>429.98166690170638</v>
      </c>
      <c r="X124" s="41">
        <f>E124/'1. Väestöennuste'!G124*1000</f>
        <v>593.45994573754103</v>
      </c>
      <c r="Y124" s="41">
        <f>F124/'1. Väestöennuste'!H124*1000</f>
        <v>366.01499338527123</v>
      </c>
      <c r="Z124" s="41">
        <f>G124/'1. Väestöennuste'!I124*1000</f>
        <v>157.59569377990431</v>
      </c>
      <c r="AA124" s="41">
        <f>H124/'1. Väestöennuste'!J124*1000</f>
        <v>4903.9717420454972</v>
      </c>
      <c r="AB124" s="41">
        <f>I124/'1. Väestöennuste'!K124*1000</f>
        <v>198.33682440545022</v>
      </c>
      <c r="AC124" s="41">
        <f>J124/'1. Väestöennuste'!L124*1000</f>
        <v>-699.47190958555768</v>
      </c>
      <c r="AD124" s="41">
        <f>K124/'1. Väestöennuste'!M124*1000</f>
        <v>595.3763465781077</v>
      </c>
      <c r="AE124" s="41">
        <f>L124/'1. Väestöennuste'!N124*1000</f>
        <v>238.29929584420384</v>
      </c>
      <c r="AF124" s="41">
        <f>M124/'1. Väestöennuste'!O124*1000</f>
        <v>92.095611700047556</v>
      </c>
      <c r="AG124" s="41">
        <f>N124/'1. Väestöennuste'!P124*1000</f>
        <v>166.33024189093581</v>
      </c>
      <c r="AH124" s="41">
        <f>O124/'1. Väestöennuste'!Q124*1000</f>
        <v>165.90943528516672</v>
      </c>
      <c r="AI124" s="41">
        <f>P124/'1. Väestöennuste'!R124*1000</f>
        <v>383.71596317717456</v>
      </c>
      <c r="AK124" s="41">
        <f>'6. Poistot'!Z124</f>
        <v>332.38636363636363</v>
      </c>
      <c r="AL124" s="41">
        <f>'6. Poistot'!AA124</f>
        <v>285.56166056166057</v>
      </c>
      <c r="AM124" s="41">
        <f>'6. Poistot'!AB124</f>
        <v>365.80179065478023</v>
      </c>
      <c r="AN124" s="41">
        <f>'6. Poistot'!AC124</f>
        <v>365.14252439213254</v>
      </c>
      <c r="AO124" s="41">
        <f>'6. Poistot'!AD124</f>
        <v>376.48590575752843</v>
      </c>
      <c r="AP124" s="41">
        <f>'6. Poistot'!AE124</f>
        <v>343.30501302083331</v>
      </c>
      <c r="AQ124" s="41">
        <f>'6. Poistot'!AF124</f>
        <v>412.94147793023637</v>
      </c>
      <c r="AR124" s="41">
        <f>'6. Poistot'!AG124</f>
        <v>436.04703510834872</v>
      </c>
      <c r="AS124" s="41">
        <f>'6. Poistot'!AH124</f>
        <v>457.02619473160797</v>
      </c>
      <c r="AT124" s="41">
        <f>'6. Poistot'!AI124</f>
        <v>478.74240461241067</v>
      </c>
      <c r="AV124" s="4">
        <f t="shared" si="29"/>
        <v>1</v>
      </c>
      <c r="AW124" s="4">
        <f t="shared" si="30"/>
        <v>1</v>
      </c>
      <c r="AX124" s="4">
        <f t="shared" si="31"/>
        <v>0</v>
      </c>
      <c r="AY124" s="4">
        <f t="shared" si="32"/>
        <v>1</v>
      </c>
      <c r="AZ124" s="4">
        <f t="shared" si="33"/>
        <v>1</v>
      </c>
      <c r="BA124" s="4">
        <f t="shared" si="34"/>
        <v>1</v>
      </c>
      <c r="BB124" s="4">
        <f t="shared" si="35"/>
        <v>1</v>
      </c>
      <c r="BC124" s="4">
        <f t="shared" si="36"/>
        <v>1</v>
      </c>
      <c r="BE124" s="405">
        <f t="shared" si="37"/>
        <v>0</v>
      </c>
      <c r="BF124" s="405">
        <f t="shared" si="38"/>
        <v>0</v>
      </c>
      <c r="BG124" s="405">
        <f t="shared" si="39"/>
        <v>0</v>
      </c>
      <c r="BH124" s="405">
        <f t="shared" si="40"/>
        <v>-1</v>
      </c>
      <c r="BI124" s="405">
        <f t="shared" si="41"/>
        <v>0</v>
      </c>
      <c r="BJ124" s="405">
        <f t="shared" si="42"/>
        <v>0</v>
      </c>
      <c r="BK124" s="405">
        <f t="shared" si="43"/>
        <v>0</v>
      </c>
      <c r="BL124" s="405">
        <f t="shared" si="44"/>
        <v>0</v>
      </c>
      <c r="BM124" s="405">
        <f t="shared" si="45"/>
        <v>0</v>
      </c>
      <c r="BN124" s="405">
        <f t="shared" si="45"/>
        <v>0</v>
      </c>
    </row>
    <row r="125" spans="1:66" x14ac:dyDescent="0.2">
      <c r="A125" s="34">
        <v>312</v>
      </c>
      <c r="B125" s="88" t="s">
        <v>439</v>
      </c>
      <c r="C125" s="41" t="e">
        <f>'2. Toimintakate'!D125+'3. Verotulot'!G125+'4. Valtionosuudet'!#REF!+'5. Rahoitustuotot ja -kulut'!C125</f>
        <v>#REF!</v>
      </c>
      <c r="D125" s="41">
        <f>'2. Toimintakate'!E125+'4. Valtionosuudet'!H125+'3. Verotulot'!L125+'5. Rahoitustuotot ja -kulut'!D125</f>
        <v>-869</v>
      </c>
      <c r="E125" s="41">
        <f>'2. Toimintakate'!F125+'4. Valtionosuudet'!N125+'3. Verotulot'!Q125+'5. Rahoitustuotot ja -kulut'!E125</f>
        <v>578</v>
      </c>
      <c r="F125" s="41">
        <f>'2. Toimintakate'!G125+'4. Valtionosuudet'!T125+'3. Verotulot'!V125+'5. Rahoitustuotot ja -kulut'!F125</f>
        <v>85</v>
      </c>
      <c r="G125" s="41">
        <f>'2. Toimintakate'!H125+'3. Verotulot'!AA125+'4. Valtionosuudet'!Z125+'5. Rahoitustuotot ja -kulut'!G125</f>
        <v>-1515</v>
      </c>
      <c r="H125" s="41">
        <f>Käyttökate!H125+'5. Rahoitustuotot ja -kulut'!H125</f>
        <v>1339.109940335301</v>
      </c>
      <c r="I125" s="41">
        <f>Käyttökate!I125+'5. Rahoitustuotot ja -kulut'!I125</f>
        <v>1142.5139888126537</v>
      </c>
      <c r="J125" s="41">
        <f>Käyttökate!J125+'5. Rahoitustuotot ja -kulut'!J125</f>
        <v>839.19580730706343</v>
      </c>
      <c r="K125" s="41">
        <f>Käyttökate!K125+'5. Rahoitustuotot ja -kulut'!K125</f>
        <v>725.96951702440072</v>
      </c>
      <c r="L125" s="41">
        <f>Käyttökate!L125+'5. Rahoitustuotot ja -kulut'!L125</f>
        <v>227.82297724165161</v>
      </c>
      <c r="M125" s="41">
        <f>Käyttökate!M125+'5. Rahoitustuotot ja -kulut'!M125</f>
        <v>165.96554007954785</v>
      </c>
      <c r="N125" s="41">
        <f>Käyttökate!N125+'5. Rahoitustuotot ja -kulut'!N125</f>
        <v>119.55212489008488</v>
      </c>
      <c r="O125" s="41">
        <f>Käyttökate!O125+'5. Rahoitustuotot ja -kulut'!O125</f>
        <v>141.32309268942637</v>
      </c>
      <c r="P125" s="41">
        <f>Käyttökate!P125+'5. Rahoitustuotot ja -kulut'!P125</f>
        <v>193.18281510082301</v>
      </c>
      <c r="T125" s="34">
        <v>312</v>
      </c>
      <c r="U125" s="88" t="s">
        <v>439</v>
      </c>
      <c r="V125" s="41" t="e">
        <f>C125/'1. Väestöennuste'!E125*1000</f>
        <v>#REF!</v>
      </c>
      <c r="W125" s="41">
        <f>D125/'1. Väestöennuste'!F125*1000</f>
        <v>-632</v>
      </c>
      <c r="X125" s="41">
        <f>E125/'1. Väestöennuste'!G125*1000</f>
        <v>427.51479289940829</v>
      </c>
      <c r="Y125" s="41">
        <f>F125/'1. Väestöennuste'!H125*1000</f>
        <v>63.291139240506332</v>
      </c>
      <c r="Z125" s="41">
        <f>G125/'1. Väestöennuste'!I125*1000</f>
        <v>-1153.8461538461538</v>
      </c>
      <c r="AA125" s="41">
        <f>H125/'1. Väestöennuste'!J125*1000</f>
        <v>1039.6816306951096</v>
      </c>
      <c r="AB125" s="41">
        <f>I125/'1. Väestöennuste'!K125*1000</f>
        <v>927.36525065962155</v>
      </c>
      <c r="AC125" s="41">
        <f>J125/'1. Väestöennuste'!L125*1000</f>
        <v>701.66873520657475</v>
      </c>
      <c r="AD125" s="41">
        <f>K125/'1. Väestöennuste'!M125*1000</f>
        <v>618.37267208211301</v>
      </c>
      <c r="AE125" s="41">
        <f>L125/'1. Väestöennuste'!N125*1000</f>
        <v>190.01082338753261</v>
      </c>
      <c r="AF125" s="41">
        <f>M125/'1. Väestöennuste'!O125*1000</f>
        <v>140.76805774346721</v>
      </c>
      <c r="AG125" s="41">
        <f>N125/'1. Väestöennuste'!P125*1000</f>
        <v>102.97340645140817</v>
      </c>
      <c r="AH125" s="41">
        <f>O125/'1. Väestöennuste'!Q125*1000</f>
        <v>123.64225082189535</v>
      </c>
      <c r="AI125" s="41">
        <f>P125/'1. Väestöennuste'!R125*1000</f>
        <v>171.87083194023401</v>
      </c>
      <c r="AK125" s="41">
        <f>'6. Poistot'!Z125</f>
        <v>2027.4181264280276</v>
      </c>
      <c r="AL125" s="41">
        <f>'6. Poistot'!AA125</f>
        <v>277.17391304347825</v>
      </c>
      <c r="AM125" s="41">
        <f>'6. Poistot'!AB125</f>
        <v>293.931112012987</v>
      </c>
      <c r="AN125" s="41">
        <f>'6. Poistot'!AC125</f>
        <v>315.01680602006689</v>
      </c>
      <c r="AO125" s="41">
        <f>'6. Poistot'!AD125</f>
        <v>438.33683986371381</v>
      </c>
      <c r="AP125" s="41">
        <f>'6. Poistot'!AE125</f>
        <v>287.94662218515424</v>
      </c>
      <c r="AQ125" s="41">
        <f>'6. Poistot'!AF125</f>
        <v>296.86174724342663</v>
      </c>
      <c r="AR125" s="41">
        <f>'6. Poistot'!AG125</f>
        <v>301.46425495262702</v>
      </c>
      <c r="AS125" s="41">
        <f>'6. Poistot'!AH125</f>
        <v>316.09205529924492</v>
      </c>
      <c r="AT125" s="41">
        <f>'6. Poistot'!AI125</f>
        <v>331.48259645380244</v>
      </c>
      <c r="AV125" s="4">
        <f t="shared" si="29"/>
        <v>0</v>
      </c>
      <c r="AW125" s="4">
        <f t="shared" si="30"/>
        <v>0</v>
      </c>
      <c r="AX125" s="4">
        <f t="shared" si="31"/>
        <v>0</v>
      </c>
      <c r="AY125" s="4">
        <f t="shared" si="32"/>
        <v>1</v>
      </c>
      <c r="AZ125" s="4">
        <f t="shared" si="33"/>
        <v>1</v>
      </c>
      <c r="BA125" s="4">
        <f t="shared" si="34"/>
        <v>1</v>
      </c>
      <c r="BB125" s="4">
        <f t="shared" si="35"/>
        <v>1</v>
      </c>
      <c r="BC125" s="4">
        <f t="shared" si="36"/>
        <v>1</v>
      </c>
      <c r="BE125" s="405">
        <f t="shared" si="37"/>
        <v>-1</v>
      </c>
      <c r="BF125" s="405">
        <f t="shared" si="38"/>
        <v>0</v>
      </c>
      <c r="BG125" s="405">
        <f t="shared" si="39"/>
        <v>0</v>
      </c>
      <c r="BH125" s="405">
        <f t="shared" si="40"/>
        <v>0</v>
      </c>
      <c r="BI125" s="405">
        <f t="shared" si="41"/>
        <v>0</v>
      </c>
      <c r="BJ125" s="405">
        <f t="shared" si="42"/>
        <v>0</v>
      </c>
      <c r="BK125" s="405">
        <f t="shared" si="43"/>
        <v>0</v>
      </c>
      <c r="BL125" s="405">
        <f t="shared" si="44"/>
        <v>0</v>
      </c>
      <c r="BM125" s="405">
        <f t="shared" si="45"/>
        <v>0</v>
      </c>
      <c r="BN125" s="405">
        <f t="shared" si="45"/>
        <v>0</v>
      </c>
    </row>
    <row r="126" spans="1:66" x14ac:dyDescent="0.2">
      <c r="A126" s="34">
        <v>316</v>
      </c>
      <c r="B126" s="88" t="s">
        <v>440</v>
      </c>
      <c r="C126" s="41" t="e">
        <f>'2. Toimintakate'!D126+'3. Verotulot'!G126+'4. Valtionosuudet'!#REF!+'5. Rahoitustuotot ja -kulut'!C126</f>
        <v>#REF!</v>
      </c>
      <c r="D126" s="41">
        <f>'2. Toimintakate'!E126+'4. Valtionosuudet'!H126+'3. Verotulot'!L126+'5. Rahoitustuotot ja -kulut'!D126</f>
        <v>897</v>
      </c>
      <c r="E126" s="41">
        <f>'2. Toimintakate'!F126+'4. Valtionosuudet'!N126+'3. Verotulot'!Q126+'5. Rahoitustuotot ja -kulut'!E126</f>
        <v>2390</v>
      </c>
      <c r="F126" s="41">
        <f>'2. Toimintakate'!G126+'4. Valtionosuudet'!T126+'3. Verotulot'!V126+'5. Rahoitustuotot ja -kulut'!F126</f>
        <v>230</v>
      </c>
      <c r="G126" s="41">
        <f>'2. Toimintakate'!H126+'3. Verotulot'!AA126+'4. Valtionosuudet'!Z126+'5. Rahoitustuotot ja -kulut'!G126</f>
        <v>254</v>
      </c>
      <c r="H126" s="41">
        <f>Käyttökate!H126+'5. Rahoitustuotot ja -kulut'!H126</f>
        <v>4524.4064914306709</v>
      </c>
      <c r="I126" s="41">
        <f>Käyttökate!I126+'5. Rahoitustuotot ja -kulut'!I126</f>
        <v>1439.5185109498116</v>
      </c>
      <c r="J126" s="41">
        <f>Käyttökate!J126+'5. Rahoitustuotot ja -kulut'!J126</f>
        <v>1169.3838964585786</v>
      </c>
      <c r="K126" s="41">
        <f>Käyttökate!K126+'5. Rahoitustuotot ja -kulut'!K126</f>
        <v>1629.0218757388229</v>
      </c>
      <c r="L126" s="41">
        <f>Käyttökate!L126+'5. Rahoitustuotot ja -kulut'!L126</f>
        <v>2340.2656127688324</v>
      </c>
      <c r="M126" s="41">
        <f>Käyttökate!M126+'5. Rahoitustuotot ja -kulut'!M126</f>
        <v>250.70123654657056</v>
      </c>
      <c r="N126" s="41">
        <f>Käyttökate!N126+'5. Rahoitustuotot ja -kulut'!N126</f>
        <v>-840.90476913291923</v>
      </c>
      <c r="O126" s="41">
        <f>Käyttökate!O126+'5. Rahoitustuotot ja -kulut'!O126</f>
        <v>-786.08343662788548</v>
      </c>
      <c r="P126" s="41">
        <f>Käyttökate!P126+'5. Rahoitustuotot ja -kulut'!P126</f>
        <v>-551.85054286886793</v>
      </c>
      <c r="T126" s="34">
        <v>316</v>
      </c>
      <c r="U126" s="88" t="s">
        <v>440</v>
      </c>
      <c r="V126" s="41" t="e">
        <f>C126/'1. Väestöennuste'!E126*1000</f>
        <v>#REF!</v>
      </c>
      <c r="W126" s="41">
        <f>D126/'1. Väestöennuste'!F126*1000</f>
        <v>197.57709251101321</v>
      </c>
      <c r="X126" s="41">
        <f>E126/'1. Väestöennuste'!G126*1000</f>
        <v>530.16858917480033</v>
      </c>
      <c r="Y126" s="41">
        <f>F126/'1. Väestöennuste'!H126*1000</f>
        <v>51.673781172770163</v>
      </c>
      <c r="Z126" s="41">
        <f>G126/'1. Väestöennuste'!I126*1000</f>
        <v>58.150183150183153</v>
      </c>
      <c r="AA126" s="41">
        <f>H126/'1. Väestöennuste'!J126*1000</f>
        <v>1045.8637289483752</v>
      </c>
      <c r="AB126" s="41">
        <f>I126/'1. Väestöennuste'!K126*1000</f>
        <v>339.10918985861287</v>
      </c>
      <c r="AC126" s="41">
        <f>J126/'1. Väestöennuste'!L126*1000</f>
        <v>278.55738362519736</v>
      </c>
      <c r="AD126" s="41">
        <f>K126/'1. Väestöennuste'!M126*1000</f>
        <v>395.97031495839155</v>
      </c>
      <c r="AE126" s="41">
        <f>L126/'1. Väestöennuste'!N126*1000</f>
        <v>566.51309919361711</v>
      </c>
      <c r="AF126" s="41">
        <f>M126/'1. Väestöennuste'!O126*1000</f>
        <v>61.281162685546462</v>
      </c>
      <c r="AG126" s="41">
        <f>N126/'1. Väestöennuste'!P126*1000</f>
        <v>-207.37478893536849</v>
      </c>
      <c r="AH126" s="41">
        <f>O126/'1. Väestöennuste'!Q126*1000</f>
        <v>-195.34876655762562</v>
      </c>
      <c r="AI126" s="41">
        <f>P126/'1. Väestöennuste'!R126*1000</f>
        <v>-138.20449358098372</v>
      </c>
      <c r="AK126" s="41">
        <f>'6. Poistot'!Z126</f>
        <v>218.86446886446888</v>
      </c>
      <c r="AL126" s="41">
        <f>'6. Poistot'!AA126</f>
        <v>247.57281553398059</v>
      </c>
      <c r="AM126" s="41">
        <f>'6. Poistot'!AB126</f>
        <v>254.81124852767962</v>
      </c>
      <c r="AN126" s="41">
        <f>'6. Poistot'!AC126</f>
        <v>302.15446403049071</v>
      </c>
      <c r="AO126" s="41">
        <f>'6. Poistot'!AD126</f>
        <v>355.25380651434125</v>
      </c>
      <c r="AP126" s="41">
        <f>'6. Poistot'!AE126</f>
        <v>374.00145243282498</v>
      </c>
      <c r="AQ126" s="41">
        <f>'6. Poistot'!AF126</f>
        <v>383.0212661940846</v>
      </c>
      <c r="AR126" s="41">
        <f>'6. Poistot'!AG126</f>
        <v>388.51048088779288</v>
      </c>
      <c r="AS126" s="41">
        <f>'6. Poistot'!AH126</f>
        <v>404.13586372547439</v>
      </c>
      <c r="AT126" s="41">
        <f>'6. Poistot'!AI126</f>
        <v>420.00386457866716</v>
      </c>
      <c r="AV126" s="4">
        <f t="shared" si="29"/>
        <v>0</v>
      </c>
      <c r="AW126" s="4">
        <f t="shared" si="30"/>
        <v>1</v>
      </c>
      <c r="AX126" s="4">
        <f t="shared" si="31"/>
        <v>0</v>
      </c>
      <c r="AY126" s="4">
        <f t="shared" si="32"/>
        <v>0</v>
      </c>
      <c r="AZ126" s="4">
        <f t="shared" si="33"/>
        <v>1</v>
      </c>
      <c r="BA126" s="4">
        <f t="shared" si="34"/>
        <v>1</v>
      </c>
      <c r="BB126" s="4">
        <f t="shared" si="35"/>
        <v>1</v>
      </c>
      <c r="BC126" s="4">
        <f t="shared" si="36"/>
        <v>1</v>
      </c>
      <c r="BE126" s="405">
        <f t="shared" si="37"/>
        <v>0</v>
      </c>
      <c r="BF126" s="405">
        <f t="shared" si="38"/>
        <v>0</v>
      </c>
      <c r="BG126" s="405">
        <f t="shared" si="39"/>
        <v>0</v>
      </c>
      <c r="BH126" s="405">
        <f t="shared" si="40"/>
        <v>0</v>
      </c>
      <c r="BI126" s="405">
        <f t="shared" si="41"/>
        <v>0</v>
      </c>
      <c r="BJ126" s="405">
        <f t="shared" si="42"/>
        <v>0</v>
      </c>
      <c r="BK126" s="405">
        <f t="shared" si="43"/>
        <v>0</v>
      </c>
      <c r="BL126" s="405">
        <f t="shared" si="44"/>
        <v>-1</v>
      </c>
      <c r="BM126" s="405">
        <f t="shared" si="45"/>
        <v>-1</v>
      </c>
      <c r="BN126" s="405">
        <f t="shared" si="45"/>
        <v>-1</v>
      </c>
    </row>
    <row r="127" spans="1:66" x14ac:dyDescent="0.2">
      <c r="A127" s="34">
        <v>317</v>
      </c>
      <c r="B127" s="88" t="s">
        <v>441</v>
      </c>
      <c r="C127" s="41" t="e">
        <f>'2. Toimintakate'!D127+'3. Verotulot'!G127+'4. Valtionosuudet'!#REF!+'5. Rahoitustuotot ja -kulut'!C127</f>
        <v>#REF!</v>
      </c>
      <c r="D127" s="41">
        <f>'2. Toimintakate'!E127+'4. Valtionosuudet'!H127+'3. Verotulot'!L127+'5. Rahoitustuotot ja -kulut'!D127</f>
        <v>1439</v>
      </c>
      <c r="E127" s="41">
        <f>'2. Toimintakate'!F127+'4. Valtionosuudet'!N127+'3. Verotulot'!Q127+'5. Rahoitustuotot ja -kulut'!E127</f>
        <v>1143</v>
      </c>
      <c r="F127" s="41">
        <f>'2. Toimintakate'!G127+'4. Valtionosuudet'!T127+'3. Verotulot'!V127+'5. Rahoitustuotot ja -kulut'!F127</f>
        <v>1044</v>
      </c>
      <c r="G127" s="41">
        <f>'2. Toimintakate'!H127+'3. Verotulot'!AA127+'4. Valtionosuudet'!Z127+'5. Rahoitustuotot ja -kulut'!G127</f>
        <v>1462</v>
      </c>
      <c r="H127" s="41">
        <f>Käyttökate!H127+'5. Rahoitustuotot ja -kulut'!H127</f>
        <v>2106.620233685213</v>
      </c>
      <c r="I127" s="41">
        <f>Käyttökate!I127+'5. Rahoitustuotot ja -kulut'!I127</f>
        <v>2118.5622467036146</v>
      </c>
      <c r="J127" s="41">
        <f>Käyttökate!J127+'5. Rahoitustuotot ja -kulut'!J127</f>
        <v>1745.2622862476919</v>
      </c>
      <c r="K127" s="41">
        <f>Käyttökate!K127+'5. Rahoitustuotot ja -kulut'!K127</f>
        <v>1524.4952199334502</v>
      </c>
      <c r="L127" s="41">
        <f>Käyttökate!L127+'5. Rahoitustuotot ja -kulut'!L127</f>
        <v>745.38863331303583</v>
      </c>
      <c r="M127" s="41">
        <f>Käyttökate!M127+'5. Rahoitustuotot ja -kulut'!M127</f>
        <v>300.01527425797212</v>
      </c>
      <c r="N127" s="41">
        <f>Käyttökate!N127+'5. Rahoitustuotot ja -kulut'!N127</f>
        <v>10.652465019173178</v>
      </c>
      <c r="O127" s="41">
        <f>Käyttökate!O127+'5. Rahoitustuotot ja -kulut'!O127</f>
        <v>-213.8008545452509</v>
      </c>
      <c r="P127" s="41">
        <f>Käyttökate!P127+'5. Rahoitustuotot ja -kulut'!P127</f>
        <v>-200.73599344980551</v>
      </c>
      <c r="T127" s="34">
        <v>317</v>
      </c>
      <c r="U127" s="88" t="s">
        <v>441</v>
      </c>
      <c r="V127" s="41" t="e">
        <f>C127/'1. Väestöennuste'!E127*1000</f>
        <v>#REF!</v>
      </c>
      <c r="W127" s="41">
        <f>D127/'1. Väestöennuste'!F127*1000</f>
        <v>541.99623352165725</v>
      </c>
      <c r="X127" s="41">
        <f>E127/'1. Väestöennuste'!G127*1000</f>
        <v>437.76330907698201</v>
      </c>
      <c r="Y127" s="41">
        <f>F127/'1. Väestöennuste'!H127*1000</f>
        <v>399.54075774971301</v>
      </c>
      <c r="Z127" s="41">
        <f>G127/'1. Väestöennuste'!I127*1000</f>
        <v>567.54658385093171</v>
      </c>
      <c r="AA127" s="41">
        <f>H127/'1. Väestöennuste'!J127*1000</f>
        <v>830.03161295713664</v>
      </c>
      <c r="AB127" s="41">
        <f>I127/'1. Väestöennuste'!K127*1000</f>
        <v>836.38462167533146</v>
      </c>
      <c r="AC127" s="41">
        <f>J127/'1. Väestöennuste'!L127*1000</f>
        <v>705.44150616317381</v>
      </c>
      <c r="AD127" s="41">
        <f>K127/'1. Väestöennuste'!M127*1000</f>
        <v>624.79312292354518</v>
      </c>
      <c r="AE127" s="41">
        <f>L127/'1. Väestöennuste'!N127*1000</f>
        <v>308.01183194753543</v>
      </c>
      <c r="AF127" s="41">
        <f>M127/'1. Väestöennuste'!O127*1000</f>
        <v>125.3196634327369</v>
      </c>
      <c r="AG127" s="41">
        <f>N127/'1. Väestöennuste'!P127*1000</f>
        <v>4.4966082816265001</v>
      </c>
      <c r="AH127" s="41">
        <f>O127/'1. Väestöennuste'!Q127*1000</f>
        <v>-91.32885713167488</v>
      </c>
      <c r="AI127" s="41">
        <f>P127/'1. Väestöennuste'!R127*1000</f>
        <v>-86.67357230129771</v>
      </c>
      <c r="AK127" s="41">
        <f>'6. Poistot'!Z127</f>
        <v>247.67080745341616</v>
      </c>
      <c r="AL127" s="41">
        <f>'6. Poistot'!AA127</f>
        <v>283.29393223010248</v>
      </c>
      <c r="AM127" s="41">
        <f>'6. Poistot'!AB127</f>
        <v>318.69728780102645</v>
      </c>
      <c r="AN127" s="41">
        <f>'6. Poistot'!AC127</f>
        <v>325.94182700080836</v>
      </c>
      <c r="AO127" s="41">
        <f>'6. Poistot'!AD127</f>
        <v>372.53234836065582</v>
      </c>
      <c r="AP127" s="41">
        <f>'6. Poistot'!AE127</f>
        <v>342.40082644628103</v>
      </c>
      <c r="AQ127" s="41">
        <f>'6. Poistot'!AF127</f>
        <v>340.68922305764409</v>
      </c>
      <c r="AR127" s="41">
        <f>'6. Poistot'!AG127</f>
        <v>324.92612916842552</v>
      </c>
      <c r="AS127" s="41">
        <f>'6. Poistot'!AH127</f>
        <v>339.42204855631502</v>
      </c>
      <c r="AT127" s="41">
        <f>'6. Poistot'!AI127</f>
        <v>353.81003080339673</v>
      </c>
      <c r="AV127" s="4">
        <f t="shared" si="29"/>
        <v>0</v>
      </c>
      <c r="AW127" s="4">
        <f t="shared" si="30"/>
        <v>0</v>
      </c>
      <c r="AX127" s="4">
        <f t="shared" si="31"/>
        <v>0</v>
      </c>
      <c r="AY127" s="4">
        <f t="shared" si="32"/>
        <v>1</v>
      </c>
      <c r="AZ127" s="4">
        <f t="shared" si="33"/>
        <v>1</v>
      </c>
      <c r="BA127" s="4">
        <f t="shared" si="34"/>
        <v>1</v>
      </c>
      <c r="BB127" s="4">
        <f t="shared" si="35"/>
        <v>1</v>
      </c>
      <c r="BC127" s="4">
        <f t="shared" si="36"/>
        <v>1</v>
      </c>
      <c r="BE127" s="405">
        <f t="shared" si="37"/>
        <v>0</v>
      </c>
      <c r="BF127" s="405">
        <f t="shared" si="38"/>
        <v>0</v>
      </c>
      <c r="BG127" s="405">
        <f t="shared" si="39"/>
        <v>0</v>
      </c>
      <c r="BH127" s="405">
        <f t="shared" si="40"/>
        <v>0</v>
      </c>
      <c r="BI127" s="405">
        <f t="shared" si="41"/>
        <v>0</v>
      </c>
      <c r="BJ127" s="405">
        <f t="shared" si="42"/>
        <v>0</v>
      </c>
      <c r="BK127" s="405">
        <f t="shared" si="43"/>
        <v>0</v>
      </c>
      <c r="BL127" s="405">
        <f t="shared" si="44"/>
        <v>0</v>
      </c>
      <c r="BM127" s="405">
        <f t="shared" si="45"/>
        <v>-1</v>
      </c>
      <c r="BN127" s="405">
        <f t="shared" si="45"/>
        <v>-1</v>
      </c>
    </row>
    <row r="128" spans="1:66" x14ac:dyDescent="0.2">
      <c r="A128" s="34">
        <v>320</v>
      </c>
      <c r="B128" s="88" t="s">
        <v>442</v>
      </c>
      <c r="C128" s="41" t="e">
        <f>'2. Toimintakate'!D128+'3. Verotulot'!G128+'4. Valtionosuudet'!#REF!+'5. Rahoitustuotot ja -kulut'!C128</f>
        <v>#REF!</v>
      </c>
      <c r="D128" s="41">
        <f>'2. Toimintakate'!E128+'4. Valtionosuudet'!H128+'3. Verotulot'!L128+'5. Rahoitustuotot ja -kulut'!D128</f>
        <v>2368</v>
      </c>
      <c r="E128" s="41">
        <f>'2. Toimintakate'!F128+'4. Valtionosuudet'!N128+'3. Verotulot'!Q128+'5. Rahoitustuotot ja -kulut'!E128</f>
        <v>527</v>
      </c>
      <c r="F128" s="41">
        <f>'2. Toimintakate'!G128+'4. Valtionosuudet'!T128+'3. Verotulot'!V128+'5. Rahoitustuotot ja -kulut'!F128</f>
        <v>1181</v>
      </c>
      <c r="G128" s="41">
        <f>'2. Toimintakate'!H128+'3. Verotulot'!AA128+'4. Valtionosuudet'!Z128+'5. Rahoitustuotot ja -kulut'!G128</f>
        <v>2092</v>
      </c>
      <c r="H128" s="41">
        <f>Käyttökate!H128+'5. Rahoitustuotot ja -kulut'!H128</f>
        <v>5060.4755028888394</v>
      </c>
      <c r="I128" s="41">
        <f>Käyttökate!I128+'5. Rahoitustuotot ja -kulut'!I128</f>
        <v>7154.2077900418572</v>
      </c>
      <c r="J128" s="41">
        <f>Käyttökate!J128+'5. Rahoitustuotot ja -kulut'!J128</f>
        <v>11715.479789648416</v>
      </c>
      <c r="K128" s="41">
        <f>Käyttökate!K128+'5. Rahoitustuotot ja -kulut'!K128</f>
        <v>8491.0012781307396</v>
      </c>
      <c r="L128" s="41">
        <f>Käyttökate!L128+'5. Rahoitustuotot ja -kulut'!L128</f>
        <v>4970.6830957576831</v>
      </c>
      <c r="M128" s="41">
        <f>Käyttökate!M128+'5. Rahoitustuotot ja -kulut'!M128</f>
        <v>5946.5865670973435</v>
      </c>
      <c r="N128" s="41">
        <f>Käyttökate!N128+'5. Rahoitustuotot ja -kulut'!N128</f>
        <v>5290.8070948483237</v>
      </c>
      <c r="O128" s="41">
        <f>Käyttökate!O128+'5. Rahoitustuotot ja -kulut'!O128</f>
        <v>5388.7519779856393</v>
      </c>
      <c r="P128" s="41">
        <f>Käyttökate!P128+'5. Rahoitustuotot ja -kulut'!P128</f>
        <v>6517.175102191527</v>
      </c>
      <c r="T128" s="34">
        <v>320</v>
      </c>
      <c r="U128" s="88" t="s">
        <v>442</v>
      </c>
      <c r="V128" s="41" t="e">
        <f>C128/'1. Väestöennuste'!E128*1000</f>
        <v>#REF!</v>
      </c>
      <c r="W128" s="41">
        <f>D128/'1. Väestöennuste'!F128*1000</f>
        <v>309.0980289779402</v>
      </c>
      <c r="X128" s="41">
        <f>E128/'1. Väestöennuste'!G128*1000</f>
        <v>69.949561985664985</v>
      </c>
      <c r="Y128" s="41">
        <f>F128/'1. Väestöennuste'!H128*1000</f>
        <v>160.24423337856172</v>
      </c>
      <c r="Z128" s="41">
        <f>G128/'1. Väestöennuste'!I128*1000</f>
        <v>287.5996700577399</v>
      </c>
      <c r="AA128" s="41">
        <f>H128/'1. Väestöennuste'!J128*1000</f>
        <v>703.72347418840764</v>
      </c>
      <c r="AB128" s="41">
        <f>I128/'1. Väestöennuste'!K128*1000</f>
        <v>1006.9257973317181</v>
      </c>
      <c r="AC128" s="41">
        <f>J128/'1. Väestöennuste'!L128*1000</f>
        <v>1674.5968824540332</v>
      </c>
      <c r="AD128" s="41">
        <f>K128/'1. Väestöennuste'!M128*1000</f>
        <v>1207.8237948976871</v>
      </c>
      <c r="AE128" s="41">
        <f>L128/'1. Väestöennuste'!N128*1000</f>
        <v>737.16195992253938</v>
      </c>
      <c r="AF128" s="41">
        <f>M128/'1. Väestöennuste'!O128*1000</f>
        <v>894.08909443652738</v>
      </c>
      <c r="AG128" s="41">
        <f>N128/'1. Väestöennuste'!P128*1000</f>
        <v>806.52547177565918</v>
      </c>
      <c r="AH128" s="41">
        <f>O128/'1. Väestöennuste'!Q128*1000</f>
        <v>832.2396877197898</v>
      </c>
      <c r="AI128" s="41">
        <f>P128/'1. Väestöennuste'!R128*1000</f>
        <v>1019.1047853309658</v>
      </c>
      <c r="AK128" s="41">
        <f>'6. Poistot'!Z128</f>
        <v>336.67858124828155</v>
      </c>
      <c r="AL128" s="41">
        <f>'6. Poistot'!AA128</f>
        <v>359.33806146572107</v>
      </c>
      <c r="AM128" s="41">
        <f>'6. Poistot'!AB128</f>
        <v>413.02660661505979</v>
      </c>
      <c r="AN128" s="41">
        <f>'6. Poistot'!AC128</f>
        <v>373.58941823899374</v>
      </c>
      <c r="AO128" s="41">
        <f>'6. Poistot'!AD128</f>
        <v>382.30642247510667</v>
      </c>
      <c r="AP128" s="41">
        <f>'6. Poistot'!AE128</f>
        <v>426.15156458549609</v>
      </c>
      <c r="AQ128" s="41">
        <f>'6. Poistot'!AF128</f>
        <v>396.3313787400391</v>
      </c>
      <c r="AR128" s="41">
        <f>'6. Poistot'!AG128</f>
        <v>396.14329268292681</v>
      </c>
      <c r="AS128" s="41">
        <f>'6. Poistot'!AH128</f>
        <v>414.29351958227329</v>
      </c>
      <c r="AT128" s="41">
        <f>'6. Poistot'!AI128</f>
        <v>432.58812800475988</v>
      </c>
      <c r="AV128" s="4">
        <f t="shared" si="29"/>
        <v>0</v>
      </c>
      <c r="AW128" s="4">
        <f t="shared" si="30"/>
        <v>0</v>
      </c>
      <c r="AX128" s="4">
        <f t="shared" si="31"/>
        <v>0</v>
      </c>
      <c r="AY128" s="4">
        <f t="shared" si="32"/>
        <v>0</v>
      </c>
      <c r="AZ128" s="4">
        <f t="shared" si="33"/>
        <v>0</v>
      </c>
      <c r="BA128" s="4">
        <f t="shared" si="34"/>
        <v>0</v>
      </c>
      <c r="BB128" s="4">
        <f t="shared" si="35"/>
        <v>0</v>
      </c>
      <c r="BC128" s="4">
        <f t="shared" si="36"/>
        <v>0</v>
      </c>
      <c r="BE128" s="405">
        <f t="shared" si="37"/>
        <v>0</v>
      </c>
      <c r="BF128" s="405">
        <f t="shared" si="38"/>
        <v>0</v>
      </c>
      <c r="BG128" s="405">
        <f t="shared" si="39"/>
        <v>0</v>
      </c>
      <c r="BH128" s="405">
        <f t="shared" si="40"/>
        <v>0</v>
      </c>
      <c r="BI128" s="405">
        <f t="shared" si="41"/>
        <v>0</v>
      </c>
      <c r="BJ128" s="405">
        <f t="shared" si="42"/>
        <v>0</v>
      </c>
      <c r="BK128" s="405">
        <f t="shared" si="43"/>
        <v>0</v>
      </c>
      <c r="BL128" s="405">
        <f t="shared" si="44"/>
        <v>0</v>
      </c>
      <c r="BM128" s="405">
        <f t="shared" si="45"/>
        <v>0</v>
      </c>
      <c r="BN128" s="405">
        <f t="shared" si="45"/>
        <v>0</v>
      </c>
    </row>
    <row r="129" spans="1:66" x14ac:dyDescent="0.2">
      <c r="A129" s="34">
        <v>322</v>
      </c>
      <c r="B129" s="88" t="s">
        <v>443</v>
      </c>
      <c r="C129" s="41" t="e">
        <f>'2. Toimintakate'!D129+'3. Verotulot'!G129+'4. Valtionosuudet'!#REF!+'5. Rahoitustuotot ja -kulut'!C129</f>
        <v>#REF!</v>
      </c>
      <c r="D129" s="41">
        <f>'2. Toimintakate'!E129+'4. Valtionosuudet'!H129+'3. Verotulot'!L129+'5. Rahoitustuotot ja -kulut'!D129</f>
        <v>4074</v>
      </c>
      <c r="E129" s="41">
        <f>'2. Toimintakate'!F129+'4. Valtionosuudet'!N129+'3. Verotulot'!Q129+'5. Rahoitustuotot ja -kulut'!E129</f>
        <v>5215</v>
      </c>
      <c r="F129" s="41">
        <f>'2. Toimintakate'!G129+'4. Valtionosuudet'!T129+'3. Verotulot'!V129+'5. Rahoitustuotot ja -kulut'!F129</f>
        <v>561</v>
      </c>
      <c r="G129" s="41">
        <f>'2. Toimintakate'!H129+'3. Verotulot'!AA129+'4. Valtionosuudet'!Z129+'5. Rahoitustuotot ja -kulut'!G129</f>
        <v>1094</v>
      </c>
      <c r="H129" s="41">
        <f>Käyttökate!H129+'5. Rahoitustuotot ja -kulut'!H129</f>
        <v>6732.6166194393045</v>
      </c>
      <c r="I129" s="41">
        <f>Käyttökate!I129+'5. Rahoitustuotot ja -kulut'!I129</f>
        <v>5809.4480050494485</v>
      </c>
      <c r="J129" s="41">
        <f>Käyttökate!J129+'5. Rahoitustuotot ja -kulut'!J129</f>
        <v>6067.8191010168512</v>
      </c>
      <c r="K129" s="41">
        <f>Käyttökate!K129+'5. Rahoitustuotot ja -kulut'!K129</f>
        <v>6373.4545626417403</v>
      </c>
      <c r="L129" s="41">
        <f>Käyttökate!L129+'5. Rahoitustuotot ja -kulut'!L129</f>
        <v>4547.2683192158984</v>
      </c>
      <c r="M129" s="41">
        <f>Käyttökate!M129+'5. Rahoitustuotot ja -kulut'!M129</f>
        <v>4073.698565873894</v>
      </c>
      <c r="N129" s="41">
        <f>Käyttökate!N129+'5. Rahoitustuotot ja -kulut'!N129</f>
        <v>4268.5177370999172</v>
      </c>
      <c r="O129" s="41">
        <f>Käyttökate!O129+'5. Rahoitustuotot ja -kulut'!O129</f>
        <v>4096.3712697630981</v>
      </c>
      <c r="P129" s="41">
        <f>Käyttökate!P129+'5. Rahoitustuotot ja -kulut'!P129</f>
        <v>5164.873592768181</v>
      </c>
      <c r="T129" s="34">
        <v>322</v>
      </c>
      <c r="U129" s="88" t="s">
        <v>443</v>
      </c>
      <c r="V129" s="41" t="e">
        <f>C129/'1. Väestöennuste'!E129*1000</f>
        <v>#REF!</v>
      </c>
      <c r="W129" s="41">
        <f>D129/'1. Väestöennuste'!F129*1000</f>
        <v>592.8405122235157</v>
      </c>
      <c r="X129" s="41">
        <f>E129/'1. Väestöennuste'!G129*1000</f>
        <v>767.70204622405413</v>
      </c>
      <c r="Y129" s="41">
        <f>F129/'1. Väestöennuste'!H129*1000</f>
        <v>83.432480666270081</v>
      </c>
      <c r="Z129" s="41">
        <f>G129/'1. Väestöennuste'!I129*1000</f>
        <v>164.75903614457832</v>
      </c>
      <c r="AA129" s="41">
        <f>H129/'1. Väestöennuste'!J129*1000</f>
        <v>1018.7042849809811</v>
      </c>
      <c r="AB129" s="41">
        <f>I129/'1. Väestöennuste'!K129*1000</f>
        <v>878.35621485476997</v>
      </c>
      <c r="AC129" s="41">
        <f>J129/'1. Väestöennuste'!L129*1000</f>
        <v>926.52604993386035</v>
      </c>
      <c r="AD129" s="41">
        <f>K129/'1. Väestöennuste'!M129*1000</f>
        <v>986.29751820515946</v>
      </c>
      <c r="AE129" s="41">
        <f>L129/'1. Väestöennuste'!N129*1000</f>
        <v>714.41764638113091</v>
      </c>
      <c r="AF129" s="41">
        <f>M129/'1. Väestöennuste'!O129*1000</f>
        <v>644.57255789143892</v>
      </c>
      <c r="AG129" s="41">
        <f>N129/'1. Väestöennuste'!P129*1000</f>
        <v>679.91681062438943</v>
      </c>
      <c r="AH129" s="41">
        <f>O129/'1. Väestöennuste'!Q129*1000</f>
        <v>656.6802292021639</v>
      </c>
      <c r="AI129" s="41">
        <f>P129/'1. Väestöennuste'!R129*1000</f>
        <v>833.04412786583555</v>
      </c>
      <c r="AK129" s="41">
        <f>'6. Poistot'!Z129</f>
        <v>553.16265060240971</v>
      </c>
      <c r="AL129" s="41">
        <f>'6. Poistot'!AA129</f>
        <v>544.40913905280672</v>
      </c>
      <c r="AM129" s="41">
        <f>'6. Poistot'!AB129</f>
        <v>510.23465981251894</v>
      </c>
      <c r="AN129" s="41">
        <f>'6. Poistot'!AC129</f>
        <v>510.19501755993281</v>
      </c>
      <c r="AO129" s="41">
        <f>'6. Poistot'!AD129</f>
        <v>502.75092076756425</v>
      </c>
      <c r="AP129" s="41">
        <f>'6. Poistot'!AE129</f>
        <v>531.81461115475258</v>
      </c>
      <c r="AQ129" s="41">
        <f>'6. Poistot'!AF129</f>
        <v>535.60126582278474</v>
      </c>
      <c r="AR129" s="41">
        <f>'6. Poistot'!AG129</f>
        <v>557.50238929595412</v>
      </c>
      <c r="AS129" s="41">
        <f>'6. Poistot'!AH129</f>
        <v>579.18117859415997</v>
      </c>
      <c r="AT129" s="41">
        <f>'6. Poistot'!AI129</f>
        <v>600.94586840979673</v>
      </c>
      <c r="AV129" s="4">
        <f t="shared" si="29"/>
        <v>0</v>
      </c>
      <c r="AW129" s="4">
        <f t="shared" si="30"/>
        <v>0</v>
      </c>
      <c r="AX129" s="4">
        <f t="shared" si="31"/>
        <v>0</v>
      </c>
      <c r="AY129" s="4">
        <f t="shared" si="32"/>
        <v>0</v>
      </c>
      <c r="AZ129" s="4">
        <f t="shared" si="33"/>
        <v>0</v>
      </c>
      <c r="BA129" s="4">
        <f t="shared" si="34"/>
        <v>0</v>
      </c>
      <c r="BB129" s="4">
        <f t="shared" si="35"/>
        <v>0</v>
      </c>
      <c r="BC129" s="4">
        <f t="shared" si="36"/>
        <v>0</v>
      </c>
      <c r="BE129" s="405">
        <f t="shared" si="37"/>
        <v>0</v>
      </c>
      <c r="BF129" s="405">
        <f t="shared" si="38"/>
        <v>0</v>
      </c>
      <c r="BG129" s="405">
        <f t="shared" si="39"/>
        <v>0</v>
      </c>
      <c r="BH129" s="405">
        <f t="shared" si="40"/>
        <v>0</v>
      </c>
      <c r="BI129" s="405">
        <f t="shared" si="41"/>
        <v>0</v>
      </c>
      <c r="BJ129" s="405">
        <f t="shared" si="42"/>
        <v>0</v>
      </c>
      <c r="BK129" s="405">
        <f t="shared" si="43"/>
        <v>0</v>
      </c>
      <c r="BL129" s="405">
        <f t="shared" si="44"/>
        <v>0</v>
      </c>
      <c r="BM129" s="405">
        <f t="shared" si="45"/>
        <v>0</v>
      </c>
      <c r="BN129" s="405">
        <f t="shared" si="45"/>
        <v>0</v>
      </c>
    </row>
    <row r="130" spans="1:66" x14ac:dyDescent="0.2">
      <c r="A130" s="34">
        <v>398</v>
      </c>
      <c r="B130" s="88" t="s">
        <v>444</v>
      </c>
      <c r="C130" s="41" t="e">
        <f>'2. Toimintakate'!D130+'3. Verotulot'!G130+'4. Valtionosuudet'!#REF!+'5. Rahoitustuotot ja -kulut'!C130</f>
        <v>#REF!</v>
      </c>
      <c r="D130" s="41">
        <f>'2. Toimintakate'!E130+'4. Valtionosuudet'!H130+'3. Verotulot'!L130+'5. Rahoitustuotot ja -kulut'!D130</f>
        <v>38709</v>
      </c>
      <c r="E130" s="41">
        <f>'2. Toimintakate'!F130+'4. Valtionosuudet'!N130+'3. Verotulot'!Q130+'5. Rahoitustuotot ja -kulut'!E130</f>
        <v>60684</v>
      </c>
      <c r="F130" s="41">
        <f>'2. Toimintakate'!G130+'4. Valtionosuudet'!T130+'3. Verotulot'!V130+'5. Rahoitustuotot ja -kulut'!F130</f>
        <v>45668</v>
      </c>
      <c r="G130" s="41">
        <f>'2. Toimintakate'!H130+'3. Verotulot'!AA130+'4. Valtionosuudet'!Z130+'5. Rahoitustuotot ja -kulut'!G130</f>
        <v>26443</v>
      </c>
      <c r="H130" s="41">
        <f>Käyttökate!H130+'5. Rahoitustuotot ja -kulut'!H130</f>
        <v>92972.076121145743</v>
      </c>
      <c r="I130" s="41">
        <f>Käyttökate!I130+'5. Rahoitustuotot ja -kulut'!I130</f>
        <v>79166.385112462784</v>
      </c>
      <c r="J130" s="41">
        <f>Käyttökate!J130+'5. Rahoitustuotot ja -kulut'!J130</f>
        <v>103916.58606904282</v>
      </c>
      <c r="K130" s="41">
        <f>Käyttökate!K130+'5. Rahoitustuotot ja -kulut'!K130</f>
        <v>94308.86520993321</v>
      </c>
      <c r="L130" s="41">
        <f>Käyttökate!L130+'5. Rahoitustuotot ja -kulut'!L130</f>
        <v>4972.8846265602679</v>
      </c>
      <c r="M130" s="41">
        <f>Käyttökate!M130+'5. Rahoitustuotot ja -kulut'!M130</f>
        <v>36798.756908522992</v>
      </c>
      <c r="N130" s="41">
        <f>Käyttökate!N130+'5. Rahoitustuotot ja -kulut'!N130</f>
        <v>42141.131516574758</v>
      </c>
      <c r="O130" s="41">
        <f>Käyttökate!O130+'5. Rahoitustuotot ja -kulut'!O130</f>
        <v>41973.515740398419</v>
      </c>
      <c r="P130" s="41">
        <f>Käyttökate!P130+'5. Rahoitustuotot ja -kulut'!P130</f>
        <v>49789.970925728587</v>
      </c>
      <c r="T130" s="34">
        <v>398</v>
      </c>
      <c r="U130" s="88" t="s">
        <v>444</v>
      </c>
      <c r="V130" s="41" t="e">
        <f>C130/'1. Väestöennuste'!E130*1000</f>
        <v>#REF!</v>
      </c>
      <c r="W130" s="41">
        <f>D130/'1. Väestöennuste'!F130*1000</f>
        <v>324.05485048387641</v>
      </c>
      <c r="X130" s="41">
        <f>E130/'1. Väestöennuste'!G130*1000</f>
        <v>507.50587507213163</v>
      </c>
      <c r="Y130" s="41">
        <f>F130/'1. Väestöennuste'!H130*1000</f>
        <v>380.72212820234932</v>
      </c>
      <c r="Z130" s="41">
        <f>G130/'1. Väestöennuste'!I130*1000</f>
        <v>220.68384200028376</v>
      </c>
      <c r="AA130" s="41">
        <f>H130/'1. Väestöennuste'!J130*1000</f>
        <v>774.87061709182683</v>
      </c>
      <c r="AB130" s="41">
        <f>I130/'1. Väestöennuste'!K130*1000</f>
        <v>659.57147235590969</v>
      </c>
      <c r="AC130" s="41">
        <f>J130/'1. Väestöennuste'!L130*1000</f>
        <v>864.71051440851113</v>
      </c>
      <c r="AD130" s="41">
        <f>K130/'1. Väestöennuste'!M130*1000</f>
        <v>781.39465594469618</v>
      </c>
      <c r="AE130" s="41">
        <f>L130/'1. Väestöennuste'!N130*1000</f>
        <v>41.167626631347623</v>
      </c>
      <c r="AF130" s="41">
        <f>M130/'1. Väestöennuste'!O130*1000</f>
        <v>304.36847122895392</v>
      </c>
      <c r="AG130" s="41">
        <f>N130/'1. Väestöennuste'!P130*1000</f>
        <v>348.36882386580436</v>
      </c>
      <c r="AH130" s="41">
        <f>O130/'1. Väestöennuste'!Q130*1000</f>
        <v>346.89716059405123</v>
      </c>
      <c r="AI130" s="41">
        <f>P130/'1. Väestöennuste'!R130*1000</f>
        <v>411.51457059746582</v>
      </c>
      <c r="AK130" s="41">
        <f>'6. Poistot'!Z130</f>
        <v>399.98163958505461</v>
      </c>
      <c r="AL130" s="41">
        <f>'6. Poistot'!AA130</f>
        <v>390.32704360581408</v>
      </c>
      <c r="AM130" s="41">
        <f>'6. Poistot'!AB130</f>
        <v>435.47313737742343</v>
      </c>
      <c r="AN130" s="41">
        <f>'6. Poistot'!AC130</f>
        <v>437.29707410027049</v>
      </c>
      <c r="AO130" s="41">
        <f>'6. Poistot'!AD130</f>
        <v>443.30058636374935</v>
      </c>
      <c r="AP130" s="41">
        <f>'6. Poistot'!AE130</f>
        <v>456.69310242060993</v>
      </c>
      <c r="AQ130" s="41">
        <f>'6. Poistot'!AF130</f>
        <v>485.78766273510774</v>
      </c>
      <c r="AR130" s="41">
        <f>'6. Poistot'!AG130</f>
        <v>492.47067382013279</v>
      </c>
      <c r="AS130" s="41">
        <f>'6. Poistot'!AH130</f>
        <v>508.23485729528238</v>
      </c>
      <c r="AT130" s="41">
        <f>'6. Poistot'!AI130</f>
        <v>524.14280329537962</v>
      </c>
      <c r="AV130" s="4">
        <f t="shared" si="29"/>
        <v>0</v>
      </c>
      <c r="AW130" s="4">
        <f t="shared" si="30"/>
        <v>0</v>
      </c>
      <c r="AX130" s="4">
        <f t="shared" si="31"/>
        <v>0</v>
      </c>
      <c r="AY130" s="4">
        <f t="shared" si="32"/>
        <v>1</v>
      </c>
      <c r="AZ130" s="4">
        <f t="shared" si="33"/>
        <v>1</v>
      </c>
      <c r="BA130" s="4">
        <f t="shared" si="34"/>
        <v>1</v>
      </c>
      <c r="BB130" s="4">
        <f t="shared" si="35"/>
        <v>1</v>
      </c>
      <c r="BC130" s="4">
        <f t="shared" si="36"/>
        <v>1</v>
      </c>
      <c r="BE130" s="405">
        <f t="shared" si="37"/>
        <v>0</v>
      </c>
      <c r="BF130" s="405">
        <f t="shared" si="38"/>
        <v>0</v>
      </c>
      <c r="BG130" s="405">
        <f t="shared" si="39"/>
        <v>0</v>
      </c>
      <c r="BH130" s="405">
        <f t="shared" si="40"/>
        <v>0</v>
      </c>
      <c r="BI130" s="405">
        <f t="shared" si="41"/>
        <v>0</v>
      </c>
      <c r="BJ130" s="405">
        <f t="shared" si="42"/>
        <v>0</v>
      </c>
      <c r="BK130" s="405">
        <f t="shared" si="43"/>
        <v>0</v>
      </c>
      <c r="BL130" s="405">
        <f t="shared" si="44"/>
        <v>0</v>
      </c>
      <c r="BM130" s="405">
        <f t="shared" si="45"/>
        <v>0</v>
      </c>
      <c r="BN130" s="405">
        <f t="shared" si="45"/>
        <v>0</v>
      </c>
    </row>
    <row r="131" spans="1:66" x14ac:dyDescent="0.2">
      <c r="A131" s="34">
        <v>399</v>
      </c>
      <c r="B131" s="88" t="s">
        <v>445</v>
      </c>
      <c r="C131" s="41" t="e">
        <f>'2. Toimintakate'!D131+'3. Verotulot'!G131+'4. Valtionosuudet'!#REF!+'5. Rahoitustuotot ja -kulut'!C131</f>
        <v>#REF!</v>
      </c>
      <c r="D131" s="41">
        <f>'2. Toimintakate'!E131+'4. Valtionosuudet'!H131+'3. Verotulot'!L131+'5. Rahoitustuotot ja -kulut'!D131</f>
        <v>-68</v>
      </c>
      <c r="E131" s="41">
        <f>'2. Toimintakate'!F131+'4. Valtionosuudet'!N131+'3. Verotulot'!Q131+'5. Rahoitustuotot ja -kulut'!E131</f>
        <v>1666</v>
      </c>
      <c r="F131" s="41">
        <f>'2. Toimintakate'!G131+'4. Valtionosuudet'!T131+'3. Verotulot'!V131+'5. Rahoitustuotot ja -kulut'!F131</f>
        <v>421</v>
      </c>
      <c r="G131" s="41">
        <f>'2. Toimintakate'!H131+'3. Verotulot'!AA131+'4. Valtionosuudet'!Z131+'5. Rahoitustuotot ja -kulut'!G131</f>
        <v>1133</v>
      </c>
      <c r="H131" s="41">
        <f>Käyttökate!H131+'5. Rahoitustuotot ja -kulut'!H131</f>
        <v>3949.8633645300579</v>
      </c>
      <c r="I131" s="41">
        <f>Käyttökate!I131+'5. Rahoitustuotot ja -kulut'!I131</f>
        <v>3556.584861980823</v>
      </c>
      <c r="J131" s="41">
        <f>Käyttökate!J131+'5. Rahoitustuotot ja -kulut'!J131</f>
        <v>2197.0773068450249</v>
      </c>
      <c r="K131" s="41">
        <f>Käyttökate!K131+'5. Rahoitustuotot ja -kulut'!K131</f>
        <v>2898.6715261776308</v>
      </c>
      <c r="L131" s="41">
        <f>Käyttökate!L131+'5. Rahoitustuotot ja -kulut'!L131</f>
        <v>901.42384705619463</v>
      </c>
      <c r="M131" s="41">
        <f>Käyttökate!M131+'5. Rahoitustuotot ja -kulut'!M131</f>
        <v>397.77234044071429</v>
      </c>
      <c r="N131" s="41">
        <f>Käyttökate!N131+'5. Rahoitustuotot ja -kulut'!N131</f>
        <v>1003.0025642589853</v>
      </c>
      <c r="O131" s="41">
        <f>Käyttökate!O131+'5. Rahoitustuotot ja -kulut'!O131</f>
        <v>1311.1347918560527</v>
      </c>
      <c r="P131" s="41">
        <f>Käyttökate!P131+'5. Rahoitustuotot ja -kulut'!P131</f>
        <v>1842.6206052381051</v>
      </c>
      <c r="T131" s="34">
        <v>399</v>
      </c>
      <c r="U131" s="88" t="s">
        <v>445</v>
      </c>
      <c r="V131" s="41" t="e">
        <f>C131/'1. Väestöennuste'!E131*1000</f>
        <v>#REF!</v>
      </c>
      <c r="W131" s="41">
        <f>D131/'1. Väestöennuste'!F131*1000</f>
        <v>-8.354834746283327</v>
      </c>
      <c r="X131" s="41">
        <f>E131/'1. Väestöennuste'!G131*1000</f>
        <v>206.93081604769594</v>
      </c>
      <c r="Y131" s="41">
        <f>F131/'1. Väestöennuste'!H131*1000</f>
        <v>52.246214941672868</v>
      </c>
      <c r="Z131" s="41">
        <f>G131/'1. Väestöennuste'!I131*1000</f>
        <v>141.3246850442809</v>
      </c>
      <c r="AA131" s="41">
        <f>H131/'1. Väestöennuste'!J131*1000</f>
        <v>493.97991052151804</v>
      </c>
      <c r="AB131" s="41">
        <f>I131/'1. Väestöennuste'!K131*1000</f>
        <v>449.29065967418182</v>
      </c>
      <c r="AC131" s="41">
        <f>J131/'1. Väestöennuste'!L131*1000</f>
        <v>281.06400241077455</v>
      </c>
      <c r="AD131" s="41">
        <f>K131/'1. Väestöennuste'!M131*1000</f>
        <v>377.33292452195144</v>
      </c>
      <c r="AE131" s="41">
        <f>L131/'1. Väestöennuste'!N131*1000</f>
        <v>114.29236047371556</v>
      </c>
      <c r="AF131" s="41">
        <f>M131/'1. Väestöennuste'!O131*1000</f>
        <v>50.658729042373189</v>
      </c>
      <c r="AG131" s="41">
        <f>N131/'1. Väestöennuste'!P131*1000</f>
        <v>128.32683780181492</v>
      </c>
      <c r="AH131" s="41">
        <f>O131/'1. Väestöennuste'!Q131*1000</f>
        <v>168.61301335597386</v>
      </c>
      <c r="AI131" s="41">
        <f>P131/'1. Väestöennuste'!R131*1000</f>
        <v>238.37265268280791</v>
      </c>
      <c r="AK131" s="41">
        <f>'6. Poistot'!Z131</f>
        <v>255.08294873394038</v>
      </c>
      <c r="AL131" s="41">
        <f>'6. Poistot'!AA131</f>
        <v>257.1285642821411</v>
      </c>
      <c r="AM131" s="41">
        <f>'6. Poistot'!AB131</f>
        <v>273.10178246589186</v>
      </c>
      <c r="AN131" s="41">
        <f>'6. Poistot'!AC131</f>
        <v>277.04214660355638</v>
      </c>
      <c r="AO131" s="41">
        <f>'6. Poistot'!AD131</f>
        <v>285.3605272064566</v>
      </c>
      <c r="AP131" s="41">
        <f>'6. Poistot'!AE131</f>
        <v>272.60048180550274</v>
      </c>
      <c r="AQ131" s="41">
        <f>'6. Poistot'!AF131</f>
        <v>273.81558838512484</v>
      </c>
      <c r="AR131" s="41">
        <f>'6. Poistot'!AG131</f>
        <v>275.07676560900717</v>
      </c>
      <c r="AS131" s="41">
        <f>'6. Poistot'!AH131</f>
        <v>285.41314715429507</v>
      </c>
      <c r="AT131" s="41">
        <f>'6. Poistot'!AI131</f>
        <v>296.08606268351832</v>
      </c>
      <c r="AV131" s="4">
        <f t="shared" si="29"/>
        <v>0</v>
      </c>
      <c r="AW131" s="4">
        <f t="shared" si="30"/>
        <v>0</v>
      </c>
      <c r="AX131" s="4">
        <f t="shared" si="31"/>
        <v>0</v>
      </c>
      <c r="AY131" s="4">
        <f t="shared" si="32"/>
        <v>1</v>
      </c>
      <c r="AZ131" s="4">
        <f t="shared" si="33"/>
        <v>1</v>
      </c>
      <c r="BA131" s="4">
        <f t="shared" si="34"/>
        <v>1</v>
      </c>
      <c r="BB131" s="4">
        <f t="shared" si="35"/>
        <v>1</v>
      </c>
      <c r="BC131" s="4">
        <f t="shared" si="36"/>
        <v>1</v>
      </c>
      <c r="BE131" s="405">
        <f t="shared" si="37"/>
        <v>0</v>
      </c>
      <c r="BF131" s="405">
        <f t="shared" si="38"/>
        <v>0</v>
      </c>
      <c r="BG131" s="405">
        <f t="shared" si="39"/>
        <v>0</v>
      </c>
      <c r="BH131" s="405">
        <f t="shared" si="40"/>
        <v>0</v>
      </c>
      <c r="BI131" s="405">
        <f t="shared" si="41"/>
        <v>0</v>
      </c>
      <c r="BJ131" s="405">
        <f t="shared" si="42"/>
        <v>0</v>
      </c>
      <c r="BK131" s="405">
        <f t="shared" si="43"/>
        <v>0</v>
      </c>
      <c r="BL131" s="405">
        <f t="shared" si="44"/>
        <v>0</v>
      </c>
      <c r="BM131" s="405">
        <f t="shared" si="45"/>
        <v>0</v>
      </c>
      <c r="BN131" s="405">
        <f t="shared" si="45"/>
        <v>0</v>
      </c>
    </row>
    <row r="132" spans="1:66" x14ac:dyDescent="0.2">
      <c r="A132" s="34">
        <v>400</v>
      </c>
      <c r="B132" s="88" t="s">
        <v>446</v>
      </c>
      <c r="C132" s="41" t="e">
        <f>'2. Toimintakate'!D132+'3. Verotulot'!G132+'4. Valtionosuudet'!#REF!+'5. Rahoitustuotot ja -kulut'!C132</f>
        <v>#REF!</v>
      </c>
      <c r="D132" s="41">
        <f>'2. Toimintakate'!E132+'4. Valtionosuudet'!H132+'3. Verotulot'!L132+'5. Rahoitustuotot ja -kulut'!D132</f>
        <v>3248</v>
      </c>
      <c r="E132" s="41">
        <f>'2. Toimintakate'!F132+'4. Valtionosuudet'!N132+'3. Verotulot'!Q132+'5. Rahoitustuotot ja -kulut'!E132</f>
        <v>3950</v>
      </c>
      <c r="F132" s="41">
        <f>'2. Toimintakate'!G132+'4. Valtionosuudet'!T132+'3. Verotulot'!V132+'5. Rahoitustuotot ja -kulut'!F132</f>
        <v>1674</v>
      </c>
      <c r="G132" s="41">
        <f>'2. Toimintakate'!H132+'3. Verotulot'!AA132+'4. Valtionosuudet'!Z132+'5. Rahoitustuotot ja -kulut'!G132</f>
        <v>116</v>
      </c>
      <c r="H132" s="41">
        <f>Käyttökate!H132+'5. Rahoitustuotot ja -kulut'!H132</f>
        <v>5842.0846484991198</v>
      </c>
      <c r="I132" s="41">
        <f>Käyttökate!I132+'5. Rahoitustuotot ja -kulut'!I132</f>
        <v>4967.6309866408574</v>
      </c>
      <c r="J132" s="41">
        <f>Käyttökate!J132+'5. Rahoitustuotot ja -kulut'!J132</f>
        <v>5196.3925955363829</v>
      </c>
      <c r="K132" s="41">
        <f>Käyttökate!K132+'5. Rahoitustuotot ja -kulut'!K132</f>
        <v>7020.5723390047115</v>
      </c>
      <c r="L132" s="41">
        <f>Käyttökate!L132+'5. Rahoitustuotot ja -kulut'!L132</f>
        <v>3623.8396565269186</v>
      </c>
      <c r="M132" s="41">
        <f>Käyttökate!M132+'5. Rahoitustuotot ja -kulut'!M132</f>
        <v>5006.1902321431216</v>
      </c>
      <c r="N132" s="41">
        <f>Käyttökate!N132+'5. Rahoitustuotot ja -kulut'!N132</f>
        <v>4745.6343948926988</v>
      </c>
      <c r="O132" s="41">
        <f>Käyttökate!O132+'5. Rahoitustuotot ja -kulut'!O132</f>
        <v>4758.5785310543224</v>
      </c>
      <c r="P132" s="41">
        <f>Käyttökate!P132+'5. Rahoitustuotot ja -kulut'!P132</f>
        <v>5644.180512685919</v>
      </c>
      <c r="T132" s="34">
        <v>400</v>
      </c>
      <c r="U132" s="88" t="s">
        <v>446</v>
      </c>
      <c r="V132" s="41" t="e">
        <f>C132/'1. Väestöennuste'!E132*1000</f>
        <v>#REF!</v>
      </c>
      <c r="W132" s="41">
        <f>D132/'1. Väestöennuste'!F132*1000</f>
        <v>381.22065727699527</v>
      </c>
      <c r="X132" s="41">
        <f>E132/'1. Väestöennuste'!G132*1000</f>
        <v>458.76887340301977</v>
      </c>
      <c r="Y132" s="41">
        <f>F132/'1. Väestöennuste'!H132*1000</f>
        <v>193.59315369492307</v>
      </c>
      <c r="Z132" s="41">
        <f>G132/'1. Väestöennuste'!I132*1000</f>
        <v>13.50721937587331</v>
      </c>
      <c r="AA132" s="41">
        <f>H132/'1. Väestöennuste'!J132*1000</f>
        <v>689.90135197202642</v>
      </c>
      <c r="AB132" s="41">
        <f>I132/'1. Väestöennuste'!K132*1000</f>
        <v>587.46818668884316</v>
      </c>
      <c r="AC132" s="41">
        <f>J132/'1. Väestöennuste'!L132*1000</f>
        <v>621.1322729543848</v>
      </c>
      <c r="AD132" s="41">
        <f>K132/'1. Väestöennuste'!M132*1000</f>
        <v>831.72282182261711</v>
      </c>
      <c r="AE132" s="41">
        <f>L132/'1. Väestöennuste'!N132*1000</f>
        <v>432.54233188433022</v>
      </c>
      <c r="AF132" s="41">
        <f>M132/'1. Väestöennuste'!O132*1000</f>
        <v>599.47194732883747</v>
      </c>
      <c r="AG132" s="41">
        <f>N132/'1. Väestöennuste'!P132*1000</f>
        <v>570.11465580162167</v>
      </c>
      <c r="AH132" s="41">
        <f>O132/'1. Väestöennuste'!Q132*1000</f>
        <v>573.73746455923822</v>
      </c>
      <c r="AI132" s="41">
        <f>P132/'1. Väestöennuste'!R132*1000</f>
        <v>682.90145344052257</v>
      </c>
      <c r="AK132" s="41">
        <f>'6. Poistot'!Z132</f>
        <v>324.40614811364691</v>
      </c>
      <c r="AL132" s="41">
        <f>'6. Poistot'!AA132</f>
        <v>355.45583372697217</v>
      </c>
      <c r="AM132" s="41">
        <f>'6. Poistot'!AB132</f>
        <v>417.24275780510879</v>
      </c>
      <c r="AN132" s="41">
        <f>'6. Poistot'!AC132</f>
        <v>406.07935692087023</v>
      </c>
      <c r="AO132" s="41">
        <f>'6. Poistot'!AD132</f>
        <v>430.03800023693873</v>
      </c>
      <c r="AP132" s="41">
        <f>'6. Poistot'!AE132</f>
        <v>457.80038195273329</v>
      </c>
      <c r="AQ132" s="41">
        <f>'6. Poistot'!AF132</f>
        <v>468.46612980481376</v>
      </c>
      <c r="AR132" s="41">
        <f>'6. Poistot'!AG132</f>
        <v>479.38537722248918</v>
      </c>
      <c r="AS132" s="41">
        <f>'6. Poistot'!AH132</f>
        <v>496.64330970458883</v>
      </c>
      <c r="AT132" s="41">
        <f>'6. Poistot'!AI132</f>
        <v>513.96434862428544</v>
      </c>
      <c r="AV132" s="4">
        <f t="shared" si="29"/>
        <v>0</v>
      </c>
      <c r="AW132" s="4">
        <f t="shared" si="30"/>
        <v>0</v>
      </c>
      <c r="AX132" s="4">
        <f t="shared" si="31"/>
        <v>0</v>
      </c>
      <c r="AY132" s="4">
        <f t="shared" si="32"/>
        <v>1</v>
      </c>
      <c r="AZ132" s="4">
        <f t="shared" si="33"/>
        <v>0</v>
      </c>
      <c r="BA132" s="4">
        <f t="shared" si="34"/>
        <v>0</v>
      </c>
      <c r="BB132" s="4">
        <f t="shared" si="35"/>
        <v>0</v>
      </c>
      <c r="BC132" s="4">
        <f t="shared" si="36"/>
        <v>0</v>
      </c>
      <c r="BE132" s="405">
        <f t="shared" si="37"/>
        <v>0</v>
      </c>
      <c r="BF132" s="405">
        <f t="shared" si="38"/>
        <v>0</v>
      </c>
      <c r="BG132" s="405">
        <f t="shared" si="39"/>
        <v>0</v>
      </c>
      <c r="BH132" s="405">
        <f t="shared" si="40"/>
        <v>0</v>
      </c>
      <c r="BI132" s="405">
        <f t="shared" si="41"/>
        <v>0</v>
      </c>
      <c r="BJ132" s="405">
        <f t="shared" si="42"/>
        <v>0</v>
      </c>
      <c r="BK132" s="405">
        <f t="shared" si="43"/>
        <v>0</v>
      </c>
      <c r="BL132" s="405">
        <f t="shared" si="44"/>
        <v>0</v>
      </c>
      <c r="BM132" s="405">
        <f t="shared" si="45"/>
        <v>0</v>
      </c>
      <c r="BN132" s="405">
        <f t="shared" si="45"/>
        <v>0</v>
      </c>
    </row>
    <row r="133" spans="1:66" x14ac:dyDescent="0.2">
      <c r="A133" s="34">
        <v>402</v>
      </c>
      <c r="B133" s="88" t="s">
        <v>447</v>
      </c>
      <c r="C133" s="41" t="e">
        <f>'2. Toimintakate'!D133+'3. Verotulot'!G133+'4. Valtionosuudet'!#REF!+'5. Rahoitustuotot ja -kulut'!C133</f>
        <v>#REF!</v>
      </c>
      <c r="D133" s="41">
        <f>'2. Toimintakate'!E133+'4. Valtionosuudet'!H133+'3. Verotulot'!L133+'5. Rahoitustuotot ja -kulut'!D133</f>
        <v>1390</v>
      </c>
      <c r="E133" s="41">
        <f>'2. Toimintakate'!F133+'4. Valtionosuudet'!N133+'3. Verotulot'!Q133+'5. Rahoitustuotot ja -kulut'!E133</f>
        <v>4070</v>
      </c>
      <c r="F133" s="41">
        <f>'2. Toimintakate'!G133+'4. Valtionosuudet'!T133+'3. Verotulot'!V133+'5. Rahoitustuotot ja -kulut'!F133</f>
        <v>3310</v>
      </c>
      <c r="G133" s="41">
        <f>'2. Toimintakate'!H133+'3. Verotulot'!AA133+'4. Valtionosuudet'!Z133+'5. Rahoitustuotot ja -kulut'!G133</f>
        <v>2140</v>
      </c>
      <c r="H133" s="41">
        <f>Käyttökate!H133+'5. Rahoitustuotot ja -kulut'!H133</f>
        <v>4622.690440280865</v>
      </c>
      <c r="I133" s="41">
        <f>Käyttökate!I133+'5. Rahoitustuotot ja -kulut'!I133</f>
        <v>2006.7990505087173</v>
      </c>
      <c r="J133" s="41">
        <f>Käyttökate!J133+'5. Rahoitustuotot ja -kulut'!J133</f>
        <v>963.74250641466506</v>
      </c>
      <c r="K133" s="41">
        <f>Käyttökate!K133+'5. Rahoitustuotot ja -kulut'!K133</f>
        <v>4738.3015844980318</v>
      </c>
      <c r="L133" s="41">
        <f>Käyttökate!L133+'5. Rahoitustuotot ja -kulut'!L133</f>
        <v>2355.4301747598702</v>
      </c>
      <c r="M133" s="41">
        <f>Käyttökate!M133+'5. Rahoitustuotot ja -kulut'!M133</f>
        <v>8052.1202772242077</v>
      </c>
      <c r="N133" s="41">
        <f>Käyttökate!N133+'5. Rahoitustuotot ja -kulut'!N133</f>
        <v>2095.3094545050162</v>
      </c>
      <c r="O133" s="41">
        <f>Käyttökate!O133+'5. Rahoitustuotot ja -kulut'!O133</f>
        <v>2226.8533681710524</v>
      </c>
      <c r="P133" s="41">
        <f>Käyttökate!P133+'5. Rahoitustuotot ja -kulut'!P133</f>
        <v>3222.9584006527302</v>
      </c>
      <c r="T133" s="34">
        <v>402</v>
      </c>
      <c r="U133" s="88" t="s">
        <v>447</v>
      </c>
      <c r="V133" s="41" t="e">
        <f>C133/'1. Väestöennuste'!E133*1000</f>
        <v>#REF!</v>
      </c>
      <c r="W133" s="41">
        <f>D133/'1. Väestöennuste'!F133*1000</f>
        <v>140.65978546852864</v>
      </c>
      <c r="X133" s="41">
        <f>E133/'1. Väestöennuste'!G133*1000</f>
        <v>419.93396615765585</v>
      </c>
      <c r="Y133" s="41">
        <f>F133/'1. Väestöennuste'!H133*1000</f>
        <v>344.18217739419777</v>
      </c>
      <c r="Z133" s="41">
        <f>G133/'1. Väestöennuste'!I133*1000</f>
        <v>225.61939905113337</v>
      </c>
      <c r="AA133" s="41">
        <f>H133/'1. Väestöennuste'!J133*1000</f>
        <v>493.98273565728414</v>
      </c>
      <c r="AB133" s="41">
        <f>I133/'1. Väestöennuste'!K133*1000</f>
        <v>217.02163409848788</v>
      </c>
      <c r="AC133" s="41">
        <f>J133/'1. Väestöennuste'!L133*1000</f>
        <v>105.91740921141501</v>
      </c>
      <c r="AD133" s="41">
        <f>K133/'1. Väestöennuste'!M133*1000</f>
        <v>527.94446623933504</v>
      </c>
      <c r="AE133" s="41">
        <f>L133/'1. Väestöennuste'!N133*1000</f>
        <v>263.52989200714592</v>
      </c>
      <c r="AF133" s="41">
        <f>M133/'1. Väestöennuste'!O133*1000</f>
        <v>910.87333452762527</v>
      </c>
      <c r="AG133" s="41">
        <f>N133/'1. Väestöennuste'!P133*1000</f>
        <v>239.62825417486459</v>
      </c>
      <c r="AH133" s="41">
        <f>O133/'1. Väestöennuste'!Q133*1000</f>
        <v>257.38018587275224</v>
      </c>
      <c r="AI133" s="41">
        <f>P133/'1. Väestöennuste'!R133*1000</f>
        <v>376.51383185195448</v>
      </c>
      <c r="AK133" s="41">
        <f>'6. Poistot'!Z133</f>
        <v>283.18397469688983</v>
      </c>
      <c r="AL133" s="41">
        <f>'6. Poistot'!AA133</f>
        <v>286.27911946997222</v>
      </c>
      <c r="AM133" s="41">
        <f>'6. Poistot'!AB133</f>
        <v>345.58473558992102</v>
      </c>
      <c r="AN133" s="41">
        <f>'6. Poistot'!AC133</f>
        <v>359.74727882184851</v>
      </c>
      <c r="AO133" s="41">
        <f>'6. Poistot'!AD133</f>
        <v>376.89995988857942</v>
      </c>
      <c r="AP133" s="41">
        <f>'6. Poistot'!AE133</f>
        <v>405.23607070933093</v>
      </c>
      <c r="AQ133" s="41">
        <f>'6. Poistot'!AF133</f>
        <v>418.55203619909503</v>
      </c>
      <c r="AR133" s="41">
        <f>'6. Poistot'!AG133</f>
        <v>428.86550777676121</v>
      </c>
      <c r="AS133" s="41">
        <f>'6. Poistot'!AH133</f>
        <v>447.41086190687162</v>
      </c>
      <c r="AT133" s="41">
        <f>'6. Poistot'!AI133</f>
        <v>466.35485449024611</v>
      </c>
      <c r="AV133" s="4">
        <f t="shared" si="29"/>
        <v>1</v>
      </c>
      <c r="AW133" s="4">
        <f t="shared" si="30"/>
        <v>1</v>
      </c>
      <c r="AX133" s="4">
        <f t="shared" si="31"/>
        <v>0</v>
      </c>
      <c r="AY133" s="4">
        <f t="shared" si="32"/>
        <v>1</v>
      </c>
      <c r="AZ133" s="4">
        <f t="shared" si="33"/>
        <v>0</v>
      </c>
      <c r="BA133" s="4">
        <f t="shared" si="34"/>
        <v>1</v>
      </c>
      <c r="BB133" s="4">
        <f t="shared" si="35"/>
        <v>1</v>
      </c>
      <c r="BC133" s="4">
        <f t="shared" si="36"/>
        <v>1</v>
      </c>
      <c r="BE133" s="405">
        <f t="shared" si="37"/>
        <v>0</v>
      </c>
      <c r="BF133" s="405">
        <f t="shared" si="38"/>
        <v>0</v>
      </c>
      <c r="BG133" s="405">
        <f t="shared" si="39"/>
        <v>0</v>
      </c>
      <c r="BH133" s="405">
        <f t="shared" si="40"/>
        <v>0</v>
      </c>
      <c r="BI133" s="405">
        <f t="shared" si="41"/>
        <v>0</v>
      </c>
      <c r="BJ133" s="405">
        <f t="shared" si="42"/>
        <v>0</v>
      </c>
      <c r="BK133" s="405">
        <f t="shared" si="43"/>
        <v>0</v>
      </c>
      <c r="BL133" s="405">
        <f t="shared" si="44"/>
        <v>0</v>
      </c>
      <c r="BM133" s="405">
        <f t="shared" si="45"/>
        <v>0</v>
      </c>
      <c r="BN133" s="405">
        <f t="shared" si="45"/>
        <v>0</v>
      </c>
    </row>
    <row r="134" spans="1:66" x14ac:dyDescent="0.2">
      <c r="A134" s="34">
        <v>403</v>
      </c>
      <c r="B134" s="88" t="s">
        <v>448</v>
      </c>
      <c r="C134" s="41" t="e">
        <f>'2. Toimintakate'!D134+'3. Verotulot'!G134+'4. Valtionosuudet'!#REF!+'5. Rahoitustuotot ja -kulut'!C134</f>
        <v>#REF!</v>
      </c>
      <c r="D134" s="41">
        <f>'2. Toimintakate'!E134+'4. Valtionosuudet'!H134+'3. Verotulot'!L134+'5. Rahoitustuotot ja -kulut'!D134</f>
        <v>2140</v>
      </c>
      <c r="E134" s="41">
        <f>'2. Toimintakate'!F134+'4. Valtionosuudet'!N134+'3. Verotulot'!Q134+'5. Rahoitustuotot ja -kulut'!E134</f>
        <v>1324</v>
      </c>
      <c r="F134" s="41">
        <f>'2. Toimintakate'!G134+'4. Valtionosuudet'!T134+'3. Verotulot'!V134+'5. Rahoitustuotot ja -kulut'!F134</f>
        <v>1841</v>
      </c>
      <c r="G134" s="41">
        <f>'2. Toimintakate'!H134+'3. Verotulot'!AA134+'4. Valtionosuudet'!Z134+'5. Rahoitustuotot ja -kulut'!G134</f>
        <v>476</v>
      </c>
      <c r="H134" s="41">
        <f>Käyttökate!H134+'5. Rahoitustuotot ja -kulut'!H134</f>
        <v>1204.1868516834129</v>
      </c>
      <c r="I134" s="41">
        <f>Käyttökate!I134+'5. Rahoitustuotot ja -kulut'!I134</f>
        <v>1466.2268948039239</v>
      </c>
      <c r="J134" s="41">
        <f>Käyttökate!J134+'5. Rahoitustuotot ja -kulut'!J134</f>
        <v>1237.9500971879156</v>
      </c>
      <c r="K134" s="41">
        <f>Käyttökate!K134+'5. Rahoitustuotot ja -kulut'!K134</f>
        <v>1681.8772967720313</v>
      </c>
      <c r="L134" s="41">
        <f>Käyttökate!L134+'5. Rahoitustuotot ja -kulut'!L134</f>
        <v>1276.8245848507329</v>
      </c>
      <c r="M134" s="41">
        <f>Käyttökate!M134+'5. Rahoitustuotot ja -kulut'!M134</f>
        <v>207.18271745760467</v>
      </c>
      <c r="N134" s="41">
        <f>Käyttökate!N134+'5. Rahoitustuotot ja -kulut'!N134</f>
        <v>36.970090375666587</v>
      </c>
      <c r="O134" s="41">
        <f>Käyttökate!O134+'5. Rahoitustuotot ja -kulut'!O134</f>
        <v>-35.579166787645931</v>
      </c>
      <c r="P134" s="41">
        <f>Käyttökate!P134+'5. Rahoitustuotot ja -kulut'!P134</f>
        <v>270.28266398924956</v>
      </c>
      <c r="T134" s="34">
        <v>403</v>
      </c>
      <c r="U134" s="88" t="s">
        <v>448</v>
      </c>
      <c r="V134" s="41" t="e">
        <f>C134/'1. Väestöennuste'!E134*1000</f>
        <v>#REF!</v>
      </c>
      <c r="W134" s="41">
        <f>D134/'1. Väestöennuste'!F134*1000</f>
        <v>673.80352644836273</v>
      </c>
      <c r="X134" s="41">
        <f>E134/'1. Väestöennuste'!G134*1000</f>
        <v>421.656050955414</v>
      </c>
      <c r="Y134" s="41">
        <f>F134/'1. Väestöennuste'!H134*1000</f>
        <v>598.11565951916839</v>
      </c>
      <c r="Z134" s="41">
        <f>G134/'1. Väestöennuste'!I134*1000</f>
        <v>158.87850467289718</v>
      </c>
      <c r="AA134" s="41">
        <f>H134/'1. Väestöennuste'!J134*1000</f>
        <v>411.68781254133773</v>
      </c>
      <c r="AB134" s="41">
        <f>I134/'1. Väestöennuste'!K134*1000</f>
        <v>511.5934734137906</v>
      </c>
      <c r="AC134" s="41">
        <f>J134/'1. Väestöennuste'!L134*1000</f>
        <v>438.98939616592753</v>
      </c>
      <c r="AD134" s="41">
        <f>K134/'1. Väestöennuste'!M134*1000</f>
        <v>603.03954706777745</v>
      </c>
      <c r="AE134" s="41">
        <f>L134/'1. Väestöennuste'!N134*1000</f>
        <v>470.97919028060971</v>
      </c>
      <c r="AF134" s="41">
        <f>M134/'1. Väestöennuste'!O134*1000</f>
        <v>77.771290336938691</v>
      </c>
      <c r="AG134" s="41">
        <f>N134/'1. Väestöennuste'!P134*1000</f>
        <v>14.121501289406641</v>
      </c>
      <c r="AH134" s="41">
        <f>O134/'1. Väestöennuste'!Q134*1000</f>
        <v>-13.817152150542109</v>
      </c>
      <c r="AI134" s="41">
        <f>P134/'1. Väestöennuste'!R134*1000</f>
        <v>106.83109248586939</v>
      </c>
      <c r="AK134" s="41">
        <f>'6. Poistot'!Z134</f>
        <v>302.40320427236315</v>
      </c>
      <c r="AL134" s="41">
        <f>'6. Poistot'!AA134</f>
        <v>314.87179487179492</v>
      </c>
      <c r="AM134" s="41">
        <f>'6. Poistot'!AB134</f>
        <v>375.72296929518495</v>
      </c>
      <c r="AN134" s="41">
        <f>'6. Poistot'!AC134</f>
        <v>363.54572340425534</v>
      </c>
      <c r="AO134" s="41">
        <f>'6. Poistot'!AD134</f>
        <v>396.16417712441734</v>
      </c>
      <c r="AP134" s="41">
        <f>'6. Poistot'!AE134</f>
        <v>394.99889339727042</v>
      </c>
      <c r="AQ134" s="41">
        <f>'6. Poistot'!AF134</f>
        <v>478.22822822822826</v>
      </c>
      <c r="AR134" s="41">
        <f>'6. Poistot'!AG134</f>
        <v>506.49350649350646</v>
      </c>
      <c r="AS134" s="41">
        <f>'6. Poistot'!AH134</f>
        <v>531.56705538810661</v>
      </c>
      <c r="AT134" s="41">
        <f>'6. Poistot'!AI134</f>
        <v>557.93293883349747</v>
      </c>
      <c r="AV134" s="4">
        <f t="shared" si="29"/>
        <v>0</v>
      </c>
      <c r="AW134" s="4">
        <f t="shared" si="30"/>
        <v>0</v>
      </c>
      <c r="AX134" s="4">
        <f t="shared" si="31"/>
        <v>0</v>
      </c>
      <c r="AY134" s="4">
        <f t="shared" si="32"/>
        <v>0</v>
      </c>
      <c r="AZ134" s="4">
        <f t="shared" si="33"/>
        <v>1</v>
      </c>
      <c r="BA134" s="4">
        <f t="shared" si="34"/>
        <v>1</v>
      </c>
      <c r="BB134" s="4">
        <f t="shared" si="35"/>
        <v>1</v>
      </c>
      <c r="BC134" s="4">
        <f t="shared" si="36"/>
        <v>1</v>
      </c>
      <c r="BE134" s="405">
        <f t="shared" si="37"/>
        <v>0</v>
      </c>
      <c r="BF134" s="405">
        <f t="shared" si="38"/>
        <v>0</v>
      </c>
      <c r="BG134" s="405">
        <f t="shared" si="39"/>
        <v>0</v>
      </c>
      <c r="BH134" s="405">
        <f t="shared" si="40"/>
        <v>0</v>
      </c>
      <c r="BI134" s="405">
        <f t="shared" si="41"/>
        <v>0</v>
      </c>
      <c r="BJ134" s="405">
        <f t="shared" si="42"/>
        <v>0</v>
      </c>
      <c r="BK134" s="405">
        <f t="shared" si="43"/>
        <v>0</v>
      </c>
      <c r="BL134" s="405">
        <f t="shared" si="44"/>
        <v>0</v>
      </c>
      <c r="BM134" s="405">
        <f t="shared" si="45"/>
        <v>-1</v>
      </c>
      <c r="BN134" s="405">
        <f t="shared" si="45"/>
        <v>0</v>
      </c>
    </row>
    <row r="135" spans="1:66" x14ac:dyDescent="0.2">
      <c r="A135" s="34">
        <v>405</v>
      </c>
      <c r="B135" s="88" t="s">
        <v>449</v>
      </c>
      <c r="C135" s="41" t="e">
        <f>'2. Toimintakate'!D135+'3. Verotulot'!G135+'4. Valtionosuudet'!#REF!+'5. Rahoitustuotot ja -kulut'!C135</f>
        <v>#REF!</v>
      </c>
      <c r="D135" s="41">
        <f>'2. Toimintakate'!E135+'4. Valtionosuudet'!H135+'3. Verotulot'!L135+'5. Rahoitustuotot ja -kulut'!D135</f>
        <v>26856</v>
      </c>
      <c r="E135" s="41">
        <f>'2. Toimintakate'!F135+'4. Valtionosuudet'!N135+'3. Verotulot'!Q135+'5. Rahoitustuotot ja -kulut'!E135</f>
        <v>33209</v>
      </c>
      <c r="F135" s="41">
        <f>'2. Toimintakate'!G135+'4. Valtionosuudet'!T135+'3. Verotulot'!V135+'5. Rahoitustuotot ja -kulut'!F135</f>
        <v>18993</v>
      </c>
      <c r="G135" s="41">
        <f>'2. Toimintakate'!H135+'3. Verotulot'!AA135+'4. Valtionosuudet'!Z135+'5. Rahoitustuotot ja -kulut'!G135</f>
        <v>26444</v>
      </c>
      <c r="H135" s="41">
        <f>Käyttökate!H135+'5. Rahoitustuotot ja -kulut'!H135</f>
        <v>36413.390094509756</v>
      </c>
      <c r="I135" s="41">
        <f>Käyttökate!I135+'5. Rahoitustuotot ja -kulut'!I135</f>
        <v>56528.664249438501</v>
      </c>
      <c r="J135" s="41">
        <f>Käyttökate!J135+'5. Rahoitustuotot ja -kulut'!J135</f>
        <v>36080.193966601015</v>
      </c>
      <c r="K135" s="41">
        <f>Käyttökate!K135+'5. Rahoitustuotot ja -kulut'!K135</f>
        <v>63169.511808166397</v>
      </c>
      <c r="L135" s="41">
        <f>Käyttökate!L135+'5. Rahoitustuotot ja -kulut'!L135</f>
        <v>45461.151744111172</v>
      </c>
      <c r="M135" s="41">
        <f>Käyttökate!M135+'5. Rahoitustuotot ja -kulut'!M135</f>
        <v>31874.826628691611</v>
      </c>
      <c r="N135" s="41">
        <f>Käyttökate!N135+'5. Rahoitustuotot ja -kulut'!N135</f>
        <v>28660.68477429331</v>
      </c>
      <c r="O135" s="41">
        <f>Käyttökate!O135+'5. Rahoitustuotot ja -kulut'!O135</f>
        <v>30637.130881772813</v>
      </c>
      <c r="P135" s="41">
        <f>Käyttökate!P135+'5. Rahoitustuotot ja -kulut'!P135</f>
        <v>35782.392562852889</v>
      </c>
      <c r="T135" s="34">
        <v>405</v>
      </c>
      <c r="U135" s="88" t="s">
        <v>449</v>
      </c>
      <c r="V135" s="41" t="e">
        <f>C135/'1. Väestöennuste'!E135*1000</f>
        <v>#REF!</v>
      </c>
      <c r="W135" s="41">
        <f>D135/'1. Väestöennuste'!F135*1000</f>
        <v>368.53661214183774</v>
      </c>
      <c r="X135" s="41">
        <f>E135/'1. Väestöennuste'!G135*1000</f>
        <v>455.48560534364759</v>
      </c>
      <c r="Y135" s="41">
        <f>F135/'1. Väestöennuste'!H135*1000</f>
        <v>261.25531300292988</v>
      </c>
      <c r="Z135" s="41">
        <f>G135/'1. Väestöennuste'!I135*1000</f>
        <v>364.07192224027312</v>
      </c>
      <c r="AA135" s="41">
        <f>H135/'1. Väestöennuste'!J135*1000</f>
        <v>501.13388145811774</v>
      </c>
      <c r="AB135" s="41">
        <f>I135/'1. Väestöennuste'!K135*1000</f>
        <v>778.26726119225839</v>
      </c>
      <c r="AC135" s="41">
        <f>J135/'1. Väestöennuste'!L135*1000</f>
        <v>496.6303367735859</v>
      </c>
      <c r="AD135" s="41">
        <f>K135/'1. Väestöennuste'!M135*1000</f>
        <v>865.47804855820675</v>
      </c>
      <c r="AE135" s="41">
        <f>L135/'1. Väestöennuste'!N135*1000</f>
        <v>626.75644172541388</v>
      </c>
      <c r="AF135" s="41">
        <f>M135/'1. Väestöennuste'!O135*1000</f>
        <v>439.85905981690189</v>
      </c>
      <c r="AG135" s="41">
        <f>N135/'1. Väestöennuste'!P135*1000</f>
        <v>395.93690544287387</v>
      </c>
      <c r="AH135" s="41">
        <f>O135/'1. Väestöennuste'!Q135*1000</f>
        <v>423.72077839392591</v>
      </c>
      <c r="AI135" s="41">
        <f>P135/'1. Väestöennuste'!R135*1000</f>
        <v>495.48433973791333</v>
      </c>
      <c r="AK135" s="41">
        <f>'6. Poistot'!Z135</f>
        <v>361.35969380730785</v>
      </c>
      <c r="AL135" s="41">
        <f>'6. Poistot'!AA135</f>
        <v>367.97776003963554</v>
      </c>
      <c r="AM135" s="41">
        <f>'6. Poistot'!AB135</f>
        <v>418.3456231241567</v>
      </c>
      <c r="AN135" s="41">
        <f>'6. Poistot'!AC135</f>
        <v>273.04380977288366</v>
      </c>
      <c r="AO135" s="41">
        <f>'6. Poistot'!AD135</f>
        <v>472.78712884309749</v>
      </c>
      <c r="AP135" s="41">
        <f>'6. Poistot'!AE135</f>
        <v>275.73275980919294</v>
      </c>
      <c r="AQ135" s="41">
        <f>'6. Poistot'!AF135</f>
        <v>289.79107443490744</v>
      </c>
      <c r="AR135" s="41">
        <f>'6. Poistot'!AG135</f>
        <v>345.3658806139224</v>
      </c>
      <c r="AS135" s="41">
        <f>'6. Poistot'!AH135</f>
        <v>356.91388582792831</v>
      </c>
      <c r="AT135" s="41">
        <f>'6. Poistot'!AI135</f>
        <v>368.51872868682869</v>
      </c>
      <c r="AV135" s="4">
        <f t="shared" si="29"/>
        <v>0</v>
      </c>
      <c r="AW135" s="4">
        <f t="shared" si="30"/>
        <v>0</v>
      </c>
      <c r="AX135" s="4">
        <f t="shared" si="31"/>
        <v>0</v>
      </c>
      <c r="AY135" s="4">
        <f t="shared" si="32"/>
        <v>0</v>
      </c>
      <c r="AZ135" s="4">
        <f t="shared" si="33"/>
        <v>0</v>
      </c>
      <c r="BA135" s="4">
        <f t="shared" si="34"/>
        <v>0</v>
      </c>
      <c r="BB135" s="4">
        <f t="shared" si="35"/>
        <v>0</v>
      </c>
      <c r="BC135" s="4">
        <f t="shared" si="36"/>
        <v>0</v>
      </c>
      <c r="BE135" s="405">
        <f t="shared" si="37"/>
        <v>0</v>
      </c>
      <c r="BF135" s="405">
        <f t="shared" si="38"/>
        <v>0</v>
      </c>
      <c r="BG135" s="405">
        <f t="shared" si="39"/>
        <v>0</v>
      </c>
      <c r="BH135" s="405">
        <f t="shared" si="40"/>
        <v>0</v>
      </c>
      <c r="BI135" s="405">
        <f t="shared" si="41"/>
        <v>0</v>
      </c>
      <c r="BJ135" s="405">
        <f t="shared" si="42"/>
        <v>0</v>
      </c>
      <c r="BK135" s="405">
        <f t="shared" si="43"/>
        <v>0</v>
      </c>
      <c r="BL135" s="405">
        <f t="shared" si="44"/>
        <v>0</v>
      </c>
      <c r="BM135" s="405">
        <f t="shared" si="45"/>
        <v>0</v>
      </c>
      <c r="BN135" s="405">
        <f t="shared" si="45"/>
        <v>0</v>
      </c>
    </row>
    <row r="136" spans="1:66" x14ac:dyDescent="0.2">
      <c r="A136" s="34">
        <v>407</v>
      </c>
      <c r="B136" s="88" t="s">
        <v>450</v>
      </c>
      <c r="C136" s="41" t="e">
        <f>'2. Toimintakate'!D136+'3. Verotulot'!G136+'4. Valtionosuudet'!#REF!+'5. Rahoitustuotot ja -kulut'!C136</f>
        <v>#REF!</v>
      </c>
      <c r="D136" s="41">
        <f>'2. Toimintakate'!E136+'4. Valtionosuudet'!H136+'3. Verotulot'!L136+'5. Rahoitustuotot ja -kulut'!D136</f>
        <v>-243</v>
      </c>
      <c r="E136" s="41">
        <f>'2. Toimintakate'!F136+'4. Valtionosuudet'!N136+'3. Verotulot'!Q136+'5. Rahoitustuotot ja -kulut'!E136</f>
        <v>-230</v>
      </c>
      <c r="F136" s="41">
        <f>'2. Toimintakate'!G136+'4. Valtionosuudet'!T136+'3. Verotulot'!V136+'5. Rahoitustuotot ja -kulut'!F136</f>
        <v>-16</v>
      </c>
      <c r="G136" s="41">
        <f>'2. Toimintakate'!H136+'3. Verotulot'!AA136+'4. Valtionosuudet'!Z136+'5. Rahoitustuotot ja -kulut'!G136</f>
        <v>174</v>
      </c>
      <c r="H136" s="41">
        <f>Käyttökate!H136+'5. Rahoitustuotot ja -kulut'!H136</f>
        <v>2970.1099713894255</v>
      </c>
      <c r="I136" s="41">
        <f>Käyttökate!I136+'5. Rahoitustuotot ja -kulut'!I136</f>
        <v>1736.7124436324798</v>
      </c>
      <c r="J136" s="41">
        <f>Käyttökate!J136+'5. Rahoitustuotot ja -kulut'!J136</f>
        <v>1155.6122977699436</v>
      </c>
      <c r="K136" s="41">
        <f>Käyttökate!K136+'5. Rahoitustuotot ja -kulut'!K136</f>
        <v>809.00162909352139</v>
      </c>
      <c r="L136" s="41">
        <f>Käyttökate!L136+'5. Rahoitustuotot ja -kulut'!L136</f>
        <v>764.02655406245503</v>
      </c>
      <c r="M136" s="41">
        <f>Käyttökate!M136+'5. Rahoitustuotot ja -kulut'!M136</f>
        <v>-104.93742570271843</v>
      </c>
      <c r="N136" s="41">
        <f>Käyttökate!N136+'5. Rahoitustuotot ja -kulut'!N136</f>
        <v>-144.98023331803233</v>
      </c>
      <c r="O136" s="41">
        <f>Käyttökate!O136+'5. Rahoitustuotot ja -kulut'!O136</f>
        <v>-140.87889645335974</v>
      </c>
      <c r="P136" s="41">
        <f>Käyttökate!P136+'5. Rahoitustuotot ja -kulut'!P136</f>
        <v>-31.789747316021419</v>
      </c>
      <c r="T136" s="34">
        <v>407</v>
      </c>
      <c r="U136" s="88" t="s">
        <v>450</v>
      </c>
      <c r="V136" s="41" t="e">
        <f>C136/'1. Väestöennuste'!E136*1000</f>
        <v>#REF!</v>
      </c>
      <c r="W136" s="41">
        <f>D136/'1. Väestöennuste'!F136*1000</f>
        <v>-88.718510405257391</v>
      </c>
      <c r="X136" s="41">
        <f>E136/'1. Väestöennuste'!G136*1000</f>
        <v>-84.99630450849962</v>
      </c>
      <c r="Y136" s="41">
        <f>F136/'1. Väestöennuste'!H136*1000</f>
        <v>-6.0037523452157595</v>
      </c>
      <c r="Z136" s="41">
        <f>G136/'1. Väestöennuste'!I136*1000</f>
        <v>66.76899462778205</v>
      </c>
      <c r="AA136" s="41">
        <f>H136/'1. Väestöennuste'!J136*1000</f>
        <v>1133.1972420409863</v>
      </c>
      <c r="AB136" s="41">
        <f>I136/'1. Väestöennuste'!K136*1000</f>
        <v>673.14435799708519</v>
      </c>
      <c r="AC136" s="41">
        <f>J136/'1. Väestöennuste'!L136*1000</f>
        <v>458.94054716836519</v>
      </c>
      <c r="AD136" s="41">
        <f>K136/'1. Väestöennuste'!M136*1000</f>
        <v>330.33957905002916</v>
      </c>
      <c r="AE136" s="41">
        <f>L136/'1. Väestöennuste'!N136*1000</f>
        <v>302.34529246634548</v>
      </c>
      <c r="AF136" s="41">
        <f>M136/'1. Väestöennuste'!O136*1000</f>
        <v>-41.841078828835101</v>
      </c>
      <c r="AG136" s="41">
        <f>N136/'1. Väestöennuste'!P136*1000</f>
        <v>-58.20161915617517</v>
      </c>
      <c r="AH136" s="41">
        <f>O136/'1. Väestöennuste'!Q136*1000</f>
        <v>-56.943773829167235</v>
      </c>
      <c r="AI136" s="41">
        <f>P136/'1. Väestöennuste'!R136*1000</f>
        <v>-12.93317628804777</v>
      </c>
      <c r="AK136" s="41">
        <f>'6. Poistot'!Z136</f>
        <v>224.09823484267073</v>
      </c>
      <c r="AL136" s="41">
        <f>'6. Poistot'!AA136</f>
        <v>228.92025944296071</v>
      </c>
      <c r="AM136" s="41">
        <f>'6. Poistot'!AB136</f>
        <v>218.78374418604653</v>
      </c>
      <c r="AN136" s="41">
        <f>'6. Poistot'!AC136</f>
        <v>252.98072279586975</v>
      </c>
      <c r="AO136" s="41">
        <f>'6. Poistot'!AD136</f>
        <v>244.01033074724378</v>
      </c>
      <c r="AP136" s="41">
        <f>'6. Poistot'!AE136</f>
        <v>237.4356944994064</v>
      </c>
      <c r="AQ136" s="41">
        <f>'6. Poistot'!AF136</f>
        <v>259.17065390749599</v>
      </c>
      <c r="AR136" s="41">
        <f>'6. Poistot'!AG136</f>
        <v>321.15616218386191</v>
      </c>
      <c r="AS136" s="41">
        <f>'6. Poistot'!AH136</f>
        <v>333.79671482345492</v>
      </c>
      <c r="AT136" s="41">
        <f>'6. Poistot'!AI136</f>
        <v>346.47117369668621</v>
      </c>
      <c r="AV136" s="4">
        <f t="shared" si="29"/>
        <v>0</v>
      </c>
      <c r="AW136" s="4">
        <f t="shared" si="30"/>
        <v>0</v>
      </c>
      <c r="AX136" s="4">
        <f t="shared" si="31"/>
        <v>0</v>
      </c>
      <c r="AY136" s="4">
        <f t="shared" si="32"/>
        <v>0</v>
      </c>
      <c r="AZ136" s="4">
        <f t="shared" si="33"/>
        <v>1</v>
      </c>
      <c r="BA136" s="4">
        <f t="shared" si="34"/>
        <v>1</v>
      </c>
      <c r="BB136" s="4">
        <f t="shared" si="35"/>
        <v>1</v>
      </c>
      <c r="BC136" s="4">
        <f t="shared" si="36"/>
        <v>1</v>
      </c>
      <c r="BE136" s="405">
        <f t="shared" si="37"/>
        <v>0</v>
      </c>
      <c r="BF136" s="405">
        <f t="shared" si="38"/>
        <v>0</v>
      </c>
      <c r="BG136" s="405">
        <f t="shared" si="39"/>
        <v>0</v>
      </c>
      <c r="BH136" s="405">
        <f t="shared" si="40"/>
        <v>0</v>
      </c>
      <c r="BI136" s="405">
        <f t="shared" si="41"/>
        <v>0</v>
      </c>
      <c r="BJ136" s="405">
        <f t="shared" si="42"/>
        <v>0</v>
      </c>
      <c r="BK136" s="405">
        <f t="shared" si="43"/>
        <v>-1</v>
      </c>
      <c r="BL136" s="405">
        <f t="shared" si="44"/>
        <v>-1</v>
      </c>
      <c r="BM136" s="405">
        <f t="shared" si="45"/>
        <v>-1</v>
      </c>
      <c r="BN136" s="405">
        <f t="shared" si="45"/>
        <v>-1</v>
      </c>
    </row>
    <row r="137" spans="1:66" x14ac:dyDescent="0.2">
      <c r="A137" s="34">
        <v>408</v>
      </c>
      <c r="B137" s="88" t="s">
        <v>451</v>
      </c>
      <c r="C137" s="41" t="e">
        <f>'2. Toimintakate'!D137+'3. Verotulot'!G137+'4. Valtionosuudet'!#REF!+'5. Rahoitustuotot ja -kulut'!C137</f>
        <v>#REF!</v>
      </c>
      <c r="D137" s="41">
        <f>'2. Toimintakate'!E137+'4. Valtionosuudet'!H137+'3. Verotulot'!L137+'5. Rahoitustuotot ja -kulut'!D137</f>
        <v>7867</v>
      </c>
      <c r="E137" s="41">
        <f>'2. Toimintakate'!F137+'4. Valtionosuudet'!N137+'3. Verotulot'!Q137+'5. Rahoitustuotot ja -kulut'!E137</f>
        <v>7799</v>
      </c>
      <c r="F137" s="41">
        <f>'2. Toimintakate'!G137+'4. Valtionosuudet'!T137+'3. Verotulot'!V137+'5. Rahoitustuotot ja -kulut'!F137</f>
        <v>4079</v>
      </c>
      <c r="G137" s="41">
        <f>'2. Toimintakate'!H137+'3. Verotulot'!AA137+'4. Valtionosuudet'!Z137+'5. Rahoitustuotot ja -kulut'!G137</f>
        <v>3769</v>
      </c>
      <c r="H137" s="41">
        <f>Käyttökate!H137+'5. Rahoitustuotot ja -kulut'!H137</f>
        <v>9258.7435107509955</v>
      </c>
      <c r="I137" s="41">
        <f>Käyttökate!I137+'5. Rahoitustuotot ja -kulut'!I137</f>
        <v>7780.5833831973368</v>
      </c>
      <c r="J137" s="41">
        <f>Käyttökate!J137+'5. Rahoitustuotot ja -kulut'!J137</f>
        <v>7918.9135921690431</v>
      </c>
      <c r="K137" s="41">
        <f>Käyttökate!K137+'5. Rahoitustuotot ja -kulut'!K137</f>
        <v>11301.983759933571</v>
      </c>
      <c r="L137" s="41">
        <f>Käyttökate!L137+'5. Rahoitustuotot ja -kulut'!L137</f>
        <v>5258.7343741784953</v>
      </c>
      <c r="M137" s="41">
        <f>Käyttökate!M137+'5. Rahoitustuotot ja -kulut'!M137</f>
        <v>4925.1314539720797</v>
      </c>
      <c r="N137" s="41">
        <f>Käyttökate!N137+'5. Rahoitustuotot ja -kulut'!N137</f>
        <v>5990.6759083852812</v>
      </c>
      <c r="O137" s="41">
        <f>Käyttökate!O137+'5. Rahoitustuotot ja -kulut'!O137</f>
        <v>6051.6826935721965</v>
      </c>
      <c r="P137" s="41">
        <f>Käyttökate!P137+'5. Rahoitustuotot ja -kulut'!P137</f>
        <v>8145.3294437486184</v>
      </c>
      <c r="T137" s="34">
        <v>408</v>
      </c>
      <c r="U137" s="88" t="s">
        <v>451</v>
      </c>
      <c r="V137" s="41" t="e">
        <f>C137/'1. Väestöennuste'!E137*1000</f>
        <v>#REF!</v>
      </c>
      <c r="W137" s="41">
        <f>D137/'1. Väestöennuste'!F137*1000</f>
        <v>539.75986277873062</v>
      </c>
      <c r="X137" s="41">
        <f>E137/'1. Väestöennuste'!G137*1000</f>
        <v>538.08472471367463</v>
      </c>
      <c r="Y137" s="41">
        <f>F137/'1. Väestöennuste'!H137*1000</f>
        <v>282.73376308310804</v>
      </c>
      <c r="Z137" s="41">
        <f>G137/'1. Väestöennuste'!I137*1000</f>
        <v>263.97254517439416</v>
      </c>
      <c r="AA137" s="41">
        <f>H137/'1. Väestöennuste'!J137*1000</f>
        <v>651.06135368476168</v>
      </c>
      <c r="AB137" s="41">
        <f>I137/'1. Väestöennuste'!K137*1000</f>
        <v>547.81267219582742</v>
      </c>
      <c r="AC137" s="41">
        <f>J137/'1. Väestöennuste'!L137*1000</f>
        <v>561.66491184970869</v>
      </c>
      <c r="AD137" s="41">
        <f>K137/'1. Väestöennuste'!M137*1000</f>
        <v>805.90300627022054</v>
      </c>
      <c r="AE137" s="41">
        <f>L137/'1. Väestöennuste'!N137*1000</f>
        <v>378.9259528879158</v>
      </c>
      <c r="AF137" s="41">
        <f>M137/'1. Väestöennuste'!O137*1000</f>
        <v>357.23010473432072</v>
      </c>
      <c r="AG137" s="41">
        <f>N137/'1. Väestöennuste'!P137*1000</f>
        <v>437.27561375075049</v>
      </c>
      <c r="AH137" s="41">
        <f>O137/'1. Väestöennuste'!Q137*1000</f>
        <v>444.71507154410619</v>
      </c>
      <c r="AI137" s="41">
        <f>P137/'1. Väestöennuste'!R137*1000</f>
        <v>602.55433079957231</v>
      </c>
      <c r="AK137" s="41">
        <f>'6. Poistot'!Z137</f>
        <v>377.22370079843114</v>
      </c>
      <c r="AL137" s="41">
        <f>'6. Poistot'!AA137</f>
        <v>431.33394276070601</v>
      </c>
      <c r="AM137" s="41">
        <f>'6. Poistot'!AB137</f>
        <v>457.57986974582832</v>
      </c>
      <c r="AN137" s="41">
        <f>'6. Poistot'!AC137</f>
        <v>462.7826150790836</v>
      </c>
      <c r="AO137" s="41">
        <f>'6. Poistot'!AD137</f>
        <v>473.67020678836286</v>
      </c>
      <c r="AP137" s="41">
        <f>'6. Poistot'!AE137</f>
        <v>482.77849834270069</v>
      </c>
      <c r="AQ137" s="41">
        <f>'6. Poistot'!AF137</f>
        <v>493.21824907521579</v>
      </c>
      <c r="AR137" s="41">
        <f>'6. Poistot'!AG137</f>
        <v>496.35036496350364</v>
      </c>
      <c r="AS137" s="41">
        <f>'6. Poistot'!AH137</f>
        <v>515.82974103633398</v>
      </c>
      <c r="AT137" s="41">
        <f>'6. Poistot'!AI137</f>
        <v>535.49506081113077</v>
      </c>
      <c r="AV137" s="4">
        <f t="shared" si="29"/>
        <v>0</v>
      </c>
      <c r="AW137" s="4">
        <f t="shared" si="30"/>
        <v>0</v>
      </c>
      <c r="AX137" s="4">
        <f t="shared" si="31"/>
        <v>0</v>
      </c>
      <c r="AY137" s="4">
        <f t="shared" si="32"/>
        <v>1</v>
      </c>
      <c r="AZ137" s="4">
        <f t="shared" si="33"/>
        <v>1</v>
      </c>
      <c r="BA137" s="4">
        <f t="shared" si="34"/>
        <v>1</v>
      </c>
      <c r="BB137" s="4">
        <f t="shared" si="35"/>
        <v>1</v>
      </c>
      <c r="BC137" s="4">
        <f t="shared" si="36"/>
        <v>0</v>
      </c>
      <c r="BE137" s="405">
        <f t="shared" si="37"/>
        <v>0</v>
      </c>
      <c r="BF137" s="405">
        <f t="shared" si="38"/>
        <v>0</v>
      </c>
      <c r="BG137" s="405">
        <f t="shared" si="39"/>
        <v>0</v>
      </c>
      <c r="BH137" s="405">
        <f t="shared" si="40"/>
        <v>0</v>
      </c>
      <c r="BI137" s="405">
        <f t="shared" si="41"/>
        <v>0</v>
      </c>
      <c r="BJ137" s="405">
        <f t="shared" si="42"/>
        <v>0</v>
      </c>
      <c r="BK137" s="405">
        <f t="shared" si="43"/>
        <v>0</v>
      </c>
      <c r="BL137" s="405">
        <f t="shared" si="44"/>
        <v>0</v>
      </c>
      <c r="BM137" s="405">
        <f t="shared" si="45"/>
        <v>0</v>
      </c>
      <c r="BN137" s="405">
        <f t="shared" si="45"/>
        <v>0</v>
      </c>
    </row>
    <row r="138" spans="1:66" x14ac:dyDescent="0.2">
      <c r="A138" s="34">
        <v>410</v>
      </c>
      <c r="B138" s="88" t="s">
        <v>452</v>
      </c>
      <c r="C138" s="41" t="e">
        <f>'2. Toimintakate'!D138+'3. Verotulot'!G138+'4. Valtionosuudet'!#REF!+'5. Rahoitustuotot ja -kulut'!C138</f>
        <v>#REF!</v>
      </c>
      <c r="D138" s="41">
        <f>'2. Toimintakate'!E138+'4. Valtionosuudet'!H138+'3. Verotulot'!L138+'5. Rahoitustuotot ja -kulut'!D138</f>
        <v>4617</v>
      </c>
      <c r="E138" s="41">
        <f>'2. Toimintakate'!F138+'4. Valtionosuudet'!N138+'3. Verotulot'!Q138+'5. Rahoitustuotot ja -kulut'!E138</f>
        <v>7850</v>
      </c>
      <c r="F138" s="41">
        <f>'2. Toimintakate'!G138+'4. Valtionosuudet'!T138+'3. Verotulot'!V138+'5. Rahoitustuotot ja -kulut'!F138</f>
        <v>1799</v>
      </c>
      <c r="G138" s="41">
        <f>'2. Toimintakate'!H138+'3. Verotulot'!AA138+'4. Valtionosuudet'!Z138+'5. Rahoitustuotot ja -kulut'!G138</f>
        <v>3160</v>
      </c>
      <c r="H138" s="41">
        <f>Käyttökate!H138+'5. Rahoitustuotot ja -kulut'!H138</f>
        <v>12781.306222963562</v>
      </c>
      <c r="I138" s="41">
        <f>Käyttökate!I138+'5. Rahoitustuotot ja -kulut'!I138</f>
        <v>4601.4656684859965</v>
      </c>
      <c r="J138" s="41">
        <f>Käyttökate!J138+'5. Rahoitustuotot ja -kulut'!J138</f>
        <v>2146.0141953522852</v>
      </c>
      <c r="K138" s="41">
        <f>Käyttökate!K138+'5. Rahoitustuotot ja -kulut'!K138</f>
        <v>10078.628813794832</v>
      </c>
      <c r="L138" s="41">
        <f>Käyttökate!L138+'5. Rahoitustuotot ja -kulut'!L138</f>
        <v>3728.0870062898557</v>
      </c>
      <c r="M138" s="41">
        <f>Käyttökate!M138+'5. Rahoitustuotot ja -kulut'!M138</f>
        <v>3330.4745889726946</v>
      </c>
      <c r="N138" s="41">
        <f>Käyttökate!N138+'5. Rahoitustuotot ja -kulut'!N138</f>
        <v>5083.2314895996496</v>
      </c>
      <c r="O138" s="41">
        <f>Käyttökate!O138+'5. Rahoitustuotot ja -kulut'!O138</f>
        <v>5778.4582254990837</v>
      </c>
      <c r="P138" s="41">
        <f>Käyttökate!P138+'5. Rahoitustuotot ja -kulut'!P138</f>
        <v>7478.8372264103518</v>
      </c>
      <c r="T138" s="34">
        <v>410</v>
      </c>
      <c r="U138" s="88" t="s">
        <v>452</v>
      </c>
      <c r="V138" s="41" t="e">
        <f>C138/'1. Väestöennuste'!E138*1000</f>
        <v>#REF!</v>
      </c>
      <c r="W138" s="41">
        <f>D138/'1. Väestöennuste'!F138*1000</f>
        <v>243.384290985767</v>
      </c>
      <c r="X138" s="41">
        <f>E138/'1. Väestöennuste'!G138*1000</f>
        <v>413.63684265992202</v>
      </c>
      <c r="Y138" s="41">
        <f>F138/'1. Väestöennuste'!H138*1000</f>
        <v>95.049400327574361</v>
      </c>
      <c r="Z138" s="41">
        <f>G138/'1. Väestöennuste'!I138*1000</f>
        <v>167.16923239697402</v>
      </c>
      <c r="AA138" s="41">
        <f>H138/'1. Väestöennuste'!J138*1000</f>
        <v>679.02599070092776</v>
      </c>
      <c r="AB138" s="41">
        <f>I138/'1. Väestöennuste'!K138*1000</f>
        <v>244.91514096689357</v>
      </c>
      <c r="AC138" s="41">
        <f>J138/'1. Väestöennuste'!L138*1000</f>
        <v>114.30168816789801</v>
      </c>
      <c r="AD138" s="41">
        <f>K138/'1. Väestöennuste'!M138*1000</f>
        <v>537.18307290240023</v>
      </c>
      <c r="AE138" s="41">
        <f>L138/'1. Väestöennuste'!N138*1000</f>
        <v>198.86312510214199</v>
      </c>
      <c r="AF138" s="41">
        <f>M138/'1. Väestöennuste'!O138*1000</f>
        <v>177.97651840820257</v>
      </c>
      <c r="AG138" s="41">
        <f>N138/'1. Väestöennuste'!P138*1000</f>
        <v>272.20903339400502</v>
      </c>
      <c r="AH138" s="41">
        <f>O138/'1. Väestöennuste'!Q138*1000</f>
        <v>310.10294222920913</v>
      </c>
      <c r="AI138" s="41">
        <f>P138/'1. Väestöennuste'!R138*1000</f>
        <v>402.30431556806627</v>
      </c>
      <c r="AK138" s="41">
        <f>'6. Poistot'!Z138</f>
        <v>376.02496958154791</v>
      </c>
      <c r="AL138" s="41">
        <f>'6. Poistot'!AA138</f>
        <v>460.34107209265261</v>
      </c>
      <c r="AM138" s="41">
        <f>'6. Poistot'!AB138</f>
        <v>360.73286140089419</v>
      </c>
      <c r="AN138" s="41">
        <f>'6. Poistot'!AC138</f>
        <v>368.427303861518</v>
      </c>
      <c r="AO138" s="41">
        <f>'6. Poistot'!AD138</f>
        <v>391.6647985289415</v>
      </c>
      <c r="AP138" s="41">
        <f>'6. Poistot'!AE138</f>
        <v>414.73302395049876</v>
      </c>
      <c r="AQ138" s="41">
        <f>'6. Poistot'!AF138</f>
        <v>424.83834767274089</v>
      </c>
      <c r="AR138" s="41">
        <f>'6. Poistot'!AG138</f>
        <v>425.72560779693691</v>
      </c>
      <c r="AS138" s="41">
        <f>'6. Poistot'!AH138</f>
        <v>440.40557087596312</v>
      </c>
      <c r="AT138" s="41">
        <f>'6. Poistot'!AI138</f>
        <v>455.24662804762738</v>
      </c>
      <c r="AV138" s="4">
        <f t="shared" si="29"/>
        <v>1</v>
      </c>
      <c r="AW138" s="4">
        <f t="shared" si="30"/>
        <v>1</v>
      </c>
      <c r="AX138" s="4">
        <f t="shared" si="31"/>
        <v>0</v>
      </c>
      <c r="AY138" s="4">
        <f t="shared" si="32"/>
        <v>1</v>
      </c>
      <c r="AZ138" s="4">
        <f t="shared" si="33"/>
        <v>1</v>
      </c>
      <c r="BA138" s="4">
        <f t="shared" si="34"/>
        <v>1</v>
      </c>
      <c r="BB138" s="4">
        <f t="shared" si="35"/>
        <v>1</v>
      </c>
      <c r="BC138" s="4">
        <f t="shared" si="36"/>
        <v>1</v>
      </c>
      <c r="BE138" s="405">
        <f t="shared" si="37"/>
        <v>0</v>
      </c>
      <c r="BF138" s="405">
        <f t="shared" si="38"/>
        <v>0</v>
      </c>
      <c r="BG138" s="405">
        <f t="shared" si="39"/>
        <v>0</v>
      </c>
      <c r="BH138" s="405">
        <f t="shared" si="40"/>
        <v>0</v>
      </c>
      <c r="BI138" s="405">
        <f t="shared" si="41"/>
        <v>0</v>
      </c>
      <c r="BJ138" s="405">
        <f t="shared" si="42"/>
        <v>0</v>
      </c>
      <c r="BK138" s="405">
        <f t="shared" si="43"/>
        <v>0</v>
      </c>
      <c r="BL138" s="405">
        <f t="shared" si="44"/>
        <v>0</v>
      </c>
      <c r="BM138" s="405">
        <f t="shared" si="45"/>
        <v>0</v>
      </c>
      <c r="BN138" s="405">
        <f t="shared" si="45"/>
        <v>0</v>
      </c>
    </row>
    <row r="139" spans="1:66" x14ac:dyDescent="0.2">
      <c r="A139" s="34">
        <v>416</v>
      </c>
      <c r="B139" s="88" t="s">
        <v>453</v>
      </c>
      <c r="C139" s="41" t="e">
        <f>'2. Toimintakate'!D139+'3. Verotulot'!G139+'4. Valtionosuudet'!#REF!+'5. Rahoitustuotot ja -kulut'!C139</f>
        <v>#REF!</v>
      </c>
      <c r="D139" s="41">
        <f>'2. Toimintakate'!E139+'4. Valtionosuudet'!H139+'3. Verotulot'!L139+'5. Rahoitustuotot ja -kulut'!D139</f>
        <v>893</v>
      </c>
      <c r="E139" s="41">
        <f>'2. Toimintakate'!F139+'4. Valtionosuudet'!N139+'3. Verotulot'!Q139+'5. Rahoitustuotot ja -kulut'!E139</f>
        <v>30</v>
      </c>
      <c r="F139" s="41">
        <f>'2. Toimintakate'!G139+'4. Valtionosuudet'!T139+'3. Verotulot'!V139+'5. Rahoitustuotot ja -kulut'!F139</f>
        <v>-1110</v>
      </c>
      <c r="G139" s="41">
        <f>'2. Toimintakate'!H139+'3. Verotulot'!AA139+'4. Valtionosuudet'!Z139+'5. Rahoitustuotot ja -kulut'!G139</f>
        <v>-103</v>
      </c>
      <c r="H139" s="41">
        <f>Käyttökate!H139+'5. Rahoitustuotot ja -kulut'!H139</f>
        <v>1264.6947077886525</v>
      </c>
      <c r="I139" s="41">
        <f>Käyttökate!I139+'5. Rahoitustuotot ja -kulut'!I139</f>
        <v>1032.1908467062494</v>
      </c>
      <c r="J139" s="41">
        <f>Käyttökate!J139+'5. Rahoitustuotot ja -kulut'!J139</f>
        <v>577.103432520296</v>
      </c>
      <c r="K139" s="41">
        <f>Käyttökate!K139+'5. Rahoitustuotot ja -kulut'!K139</f>
        <v>1595.346852679075</v>
      </c>
      <c r="L139" s="41">
        <f>Käyttökate!L139+'5. Rahoitustuotot ja -kulut'!L139</f>
        <v>889.12754092218518</v>
      </c>
      <c r="M139" s="41">
        <f>Käyttökate!M139+'5. Rahoitustuotot ja -kulut'!M139</f>
        <v>-444.79528795521321</v>
      </c>
      <c r="N139" s="41">
        <f>Käyttökate!N139+'5. Rahoitustuotot ja -kulut'!N139</f>
        <v>-321.37656014835011</v>
      </c>
      <c r="O139" s="41">
        <f>Käyttökate!O139+'5. Rahoitustuotot ja -kulut'!O139</f>
        <v>-351.56025343882163</v>
      </c>
      <c r="P139" s="41">
        <f>Käyttökate!P139+'5. Rahoitustuotot ja -kulut'!P139</f>
        <v>-382.5431033803311</v>
      </c>
      <c r="T139" s="34">
        <v>416</v>
      </c>
      <c r="U139" s="88" t="s">
        <v>453</v>
      </c>
      <c r="V139" s="41" t="e">
        <f>C139/'1. Väestöennuste'!E139*1000</f>
        <v>#REF!</v>
      </c>
      <c r="W139" s="41">
        <f>D139/'1. Väestöennuste'!F139*1000</f>
        <v>290.31209362808841</v>
      </c>
      <c r="X139" s="41">
        <f>E139/'1. Väestöennuste'!G139*1000</f>
        <v>9.7943192948090108</v>
      </c>
      <c r="Y139" s="41">
        <f>F139/'1. Väestöennuste'!H139*1000</f>
        <v>-364.77160696680903</v>
      </c>
      <c r="Z139" s="41">
        <f>G139/'1. Väestöennuste'!I139*1000</f>
        <v>-34.668461797374626</v>
      </c>
      <c r="AA139" s="41">
        <f>H139/'1. Väestöennuste'!J139*1000</f>
        <v>426.68512408524037</v>
      </c>
      <c r="AB139" s="41">
        <f>I139/'1. Väestöennuste'!K139*1000</f>
        <v>353.85356417766525</v>
      </c>
      <c r="AC139" s="41">
        <f>J139/'1. Väestöennuste'!L139*1000</f>
        <v>199.9665393348219</v>
      </c>
      <c r="AD139" s="41">
        <f>K139/'1. Väestöennuste'!M139*1000</f>
        <v>557.42377801505074</v>
      </c>
      <c r="AE139" s="41">
        <f>L139/'1. Väestöennuste'!N139*1000</f>
        <v>308.29665080519595</v>
      </c>
      <c r="AF139" s="41">
        <f>M139/'1. Väestöennuste'!O139*1000</f>
        <v>-155.1972393423633</v>
      </c>
      <c r="AG139" s="41">
        <f>N139/'1. Väestöennuste'!P139*1000</f>
        <v>-112.92219260307452</v>
      </c>
      <c r="AH139" s="41">
        <f>O139/'1. Väestöennuste'!Q139*1000</f>
        <v>-124.49017473046092</v>
      </c>
      <c r="AI139" s="41">
        <f>P139/'1. Väestöennuste'!R139*1000</f>
        <v>-136.52501905079626</v>
      </c>
      <c r="AK139" s="41">
        <f>'6. Poistot'!Z139</f>
        <v>194.88387748232918</v>
      </c>
      <c r="AL139" s="41">
        <f>'6. Poistot'!AA139</f>
        <v>192.30769230769232</v>
      </c>
      <c r="AM139" s="41">
        <f>'6. Poistot'!AB139</f>
        <v>192.06151525539937</v>
      </c>
      <c r="AN139" s="41">
        <f>'6. Poistot'!AC139</f>
        <v>193.77720027720028</v>
      </c>
      <c r="AO139" s="41">
        <f>'6. Poistot'!AD139</f>
        <v>220.13112858141162</v>
      </c>
      <c r="AP139" s="41">
        <f>'6. Poistot'!AE139</f>
        <v>230.13176144244107</v>
      </c>
      <c r="AQ139" s="41">
        <f>'6. Poistot'!AF139</f>
        <v>220.6559665038381</v>
      </c>
      <c r="AR139" s="41">
        <f>'6. Poistot'!AG139</f>
        <v>213.59803232607166</v>
      </c>
      <c r="AS139" s="41">
        <f>'6. Poistot'!AH139</f>
        <v>222.2077579481564</v>
      </c>
      <c r="AT139" s="41">
        <f>'6. Poistot'!AI139</f>
        <v>230.95268268778986</v>
      </c>
      <c r="AV139" s="4">
        <f t="shared" si="29"/>
        <v>0</v>
      </c>
      <c r="AW139" s="4">
        <f t="shared" si="30"/>
        <v>0</v>
      </c>
      <c r="AX139" s="4">
        <f t="shared" si="31"/>
        <v>0</v>
      </c>
      <c r="AY139" s="4">
        <f t="shared" si="32"/>
        <v>0</v>
      </c>
      <c r="AZ139" s="4">
        <f t="shared" si="33"/>
        <v>1</v>
      </c>
      <c r="BA139" s="4">
        <f t="shared" si="34"/>
        <v>1</v>
      </c>
      <c r="BB139" s="4">
        <f t="shared" si="35"/>
        <v>1</v>
      </c>
      <c r="BC139" s="4">
        <f t="shared" si="36"/>
        <v>1</v>
      </c>
      <c r="BE139" s="405">
        <f t="shared" si="37"/>
        <v>-1</v>
      </c>
      <c r="BF139" s="405">
        <f t="shared" si="38"/>
        <v>0</v>
      </c>
      <c r="BG139" s="405">
        <f t="shared" si="39"/>
        <v>0</v>
      </c>
      <c r="BH139" s="405">
        <f t="shared" si="40"/>
        <v>0</v>
      </c>
      <c r="BI139" s="405">
        <f t="shared" si="41"/>
        <v>0</v>
      </c>
      <c r="BJ139" s="405">
        <f t="shared" si="42"/>
        <v>0</v>
      </c>
      <c r="BK139" s="405">
        <f t="shared" si="43"/>
        <v>-1</v>
      </c>
      <c r="BL139" s="405">
        <f t="shared" si="44"/>
        <v>-1</v>
      </c>
      <c r="BM139" s="405">
        <f t="shared" si="45"/>
        <v>-1</v>
      </c>
      <c r="BN139" s="405">
        <f t="shared" si="45"/>
        <v>-1</v>
      </c>
    </row>
    <row r="140" spans="1:66" x14ac:dyDescent="0.2">
      <c r="A140" s="34">
        <v>418</v>
      </c>
      <c r="B140" s="88" t="s">
        <v>454</v>
      </c>
      <c r="C140" s="41" t="e">
        <f>'2. Toimintakate'!D140+'3. Verotulot'!G140+'4. Valtionosuudet'!#REF!+'5. Rahoitustuotot ja -kulut'!C140</f>
        <v>#REF!</v>
      </c>
      <c r="D140" s="41">
        <f>'2. Toimintakate'!E140+'4. Valtionosuudet'!H140+'3. Verotulot'!L140+'5. Rahoitustuotot ja -kulut'!D140</f>
        <v>13462</v>
      </c>
      <c r="E140" s="41">
        <f>'2. Toimintakate'!F140+'4. Valtionosuudet'!N140+'3. Verotulot'!Q140+'5. Rahoitustuotot ja -kulut'!E140</f>
        <v>14539</v>
      </c>
      <c r="F140" s="41">
        <f>'2. Toimintakate'!G140+'4. Valtionosuudet'!T140+'3. Verotulot'!V140+'5. Rahoitustuotot ja -kulut'!F140</f>
        <v>6174</v>
      </c>
      <c r="G140" s="41">
        <f>'2. Toimintakate'!H140+'3. Verotulot'!AA140+'4. Valtionosuudet'!Z140+'5. Rahoitustuotot ja -kulut'!G140</f>
        <v>8062</v>
      </c>
      <c r="H140" s="41">
        <f>Käyttökate!H140+'5. Rahoitustuotot ja -kulut'!H140</f>
        <v>14783.099781871853</v>
      </c>
      <c r="I140" s="41">
        <f>Käyttökate!I140+'5. Rahoitustuotot ja -kulut'!I140</f>
        <v>12995.36003581853</v>
      </c>
      <c r="J140" s="41">
        <f>Käyttökate!J140+'5. Rahoitustuotot ja -kulut'!J140</f>
        <v>8926.9777981299576</v>
      </c>
      <c r="K140" s="41">
        <f>Käyttökate!K140+'5. Rahoitustuotot ja -kulut'!K140</f>
        <v>13119.936193737951</v>
      </c>
      <c r="L140" s="41">
        <f>Käyttökate!L140+'5. Rahoitustuotot ja -kulut'!L140</f>
        <v>7345.7058921256539</v>
      </c>
      <c r="M140" s="41">
        <f>Käyttökate!M140+'5. Rahoitustuotot ja -kulut'!M140</f>
        <v>3331.1007712457758</v>
      </c>
      <c r="N140" s="41">
        <f>Käyttökate!N140+'5. Rahoitustuotot ja -kulut'!N140</f>
        <v>4761.4566708450402</v>
      </c>
      <c r="O140" s="41">
        <f>Käyttökate!O140+'5. Rahoitustuotot ja -kulut'!O140</f>
        <v>5070.6132754479704</v>
      </c>
      <c r="P140" s="41">
        <f>Käyttökate!P140+'5. Rahoitustuotot ja -kulut'!P140</f>
        <v>5786.9381148616758</v>
      </c>
      <c r="T140" s="34">
        <v>418</v>
      </c>
      <c r="U140" s="88" t="s">
        <v>454</v>
      </c>
      <c r="V140" s="41" t="e">
        <f>C140/'1. Väestöennuste'!E140*1000</f>
        <v>#REF!</v>
      </c>
      <c r="W140" s="41">
        <f>D140/'1. Väestöennuste'!F140*1000</f>
        <v>591.86634425148384</v>
      </c>
      <c r="X140" s="41">
        <f>E140/'1. Väestöennuste'!G140*1000</f>
        <v>636.86539051206807</v>
      </c>
      <c r="Y140" s="41">
        <f>F140/'1. Väestöennuste'!H140*1000</f>
        <v>266.05188313367233</v>
      </c>
      <c r="Z140" s="41">
        <f>G140/'1. Väestöennuste'!I140*1000</f>
        <v>342.72839348722528</v>
      </c>
      <c r="AA140" s="41">
        <f>H140/'1. Väestöennuste'!J140*1000</f>
        <v>620.40875364578869</v>
      </c>
      <c r="AB140" s="41">
        <f>I140/'1. Väestöennuste'!K140*1000</f>
        <v>537.79837923433752</v>
      </c>
      <c r="AC140" s="41">
        <f>J140/'1. Väestöennuste'!L140*1000</f>
        <v>363.18054508258575</v>
      </c>
      <c r="AD140" s="41">
        <f>K140/'1. Väestöennuste'!M140*1000</f>
        <v>530.93505700853666</v>
      </c>
      <c r="AE140" s="41">
        <f>L140/'1. Väestöennuste'!N140*1000</f>
        <v>297.60182684947756</v>
      </c>
      <c r="AF140" s="41">
        <f>M140/'1. Väestöennuste'!O140*1000</f>
        <v>134.01596279553328</v>
      </c>
      <c r="AG140" s="41">
        <f>N140/'1. Väestöennuste'!P140*1000</f>
        <v>190.34406039756308</v>
      </c>
      <c r="AH140" s="41">
        <f>O140/'1. Väestöennuste'!Q140*1000</f>
        <v>201.55874211742142</v>
      </c>
      <c r="AI140" s="41">
        <f>P140/'1. Väestöennuste'!R140*1000</f>
        <v>228.83222408405535</v>
      </c>
      <c r="AK140" s="41">
        <f>'6. Poistot'!Z140</f>
        <v>460.31543595629807</v>
      </c>
      <c r="AL140" s="41">
        <f>'6. Poistot'!AA140</f>
        <v>356.89105254322646</v>
      </c>
      <c r="AM140" s="41">
        <f>'6. Poistot'!AB140</f>
        <v>419.18808351266341</v>
      </c>
      <c r="AN140" s="41">
        <f>'6. Poistot'!AC140</f>
        <v>418.32893572009766</v>
      </c>
      <c r="AO140" s="41">
        <f>'6. Poistot'!AD140</f>
        <v>407.78010723969084</v>
      </c>
      <c r="AP140" s="41">
        <f>'6. Poistot'!AE140</f>
        <v>459.02037839808776</v>
      </c>
      <c r="AQ140" s="41">
        <f>'6. Poistot'!AF140</f>
        <v>472.68265207595749</v>
      </c>
      <c r="AR140" s="41">
        <f>'6. Poistot'!AG140</f>
        <v>499.60823505896462</v>
      </c>
      <c r="AS140" s="41">
        <f>'6. Poistot'!AH140</f>
        <v>512.81770659501603</v>
      </c>
      <c r="AT140" s="41">
        <f>'6. Poistot'!AI140</f>
        <v>526.08683971772837</v>
      </c>
      <c r="AV140" s="4">
        <f t="shared" si="29"/>
        <v>0</v>
      </c>
      <c r="AW140" s="4">
        <f t="shared" si="30"/>
        <v>1</v>
      </c>
      <c r="AX140" s="4">
        <f t="shared" si="31"/>
        <v>0</v>
      </c>
      <c r="AY140" s="4">
        <f t="shared" si="32"/>
        <v>1</v>
      </c>
      <c r="AZ140" s="4">
        <f t="shared" si="33"/>
        <v>1</v>
      </c>
      <c r="BA140" s="4">
        <f t="shared" si="34"/>
        <v>1</v>
      </c>
      <c r="BB140" s="4">
        <f t="shared" si="35"/>
        <v>1</v>
      </c>
      <c r="BC140" s="4">
        <f t="shared" si="36"/>
        <v>1</v>
      </c>
      <c r="BE140" s="405">
        <f t="shared" si="37"/>
        <v>0</v>
      </c>
      <c r="BF140" s="405">
        <f t="shared" si="38"/>
        <v>0</v>
      </c>
      <c r="BG140" s="405">
        <f t="shared" si="39"/>
        <v>0</v>
      </c>
      <c r="BH140" s="405">
        <f t="shared" si="40"/>
        <v>0</v>
      </c>
      <c r="BI140" s="405">
        <f t="shared" si="41"/>
        <v>0</v>
      </c>
      <c r="BJ140" s="405">
        <f t="shared" si="42"/>
        <v>0</v>
      </c>
      <c r="BK140" s="405">
        <f t="shared" si="43"/>
        <v>0</v>
      </c>
      <c r="BL140" s="405">
        <f t="shared" si="44"/>
        <v>0</v>
      </c>
      <c r="BM140" s="405">
        <f t="shared" si="45"/>
        <v>0</v>
      </c>
      <c r="BN140" s="405">
        <f t="shared" si="45"/>
        <v>0</v>
      </c>
    </row>
    <row r="141" spans="1:66" x14ac:dyDescent="0.2">
      <c r="A141" s="34">
        <v>420</v>
      </c>
      <c r="B141" s="88" t="s">
        <v>455</v>
      </c>
      <c r="C141" s="41" t="e">
        <f>'2. Toimintakate'!D141+'3. Verotulot'!G141+'4. Valtionosuudet'!#REF!+'5. Rahoitustuotot ja -kulut'!C141</f>
        <v>#REF!</v>
      </c>
      <c r="D141" s="41">
        <f>'2. Toimintakate'!E141+'4. Valtionosuudet'!H141+'3. Verotulot'!L141+'5. Rahoitustuotot ja -kulut'!D141</f>
        <v>4415</v>
      </c>
      <c r="E141" s="41">
        <f>'2. Toimintakate'!F141+'4. Valtionosuudet'!N141+'3. Verotulot'!Q141+'5. Rahoitustuotot ja -kulut'!E141</f>
        <v>4801</v>
      </c>
      <c r="F141" s="41">
        <f>'2. Toimintakate'!G141+'4. Valtionosuudet'!T141+'3. Verotulot'!V141+'5. Rahoitustuotot ja -kulut'!F141</f>
        <v>1946</v>
      </c>
      <c r="G141" s="41">
        <f>'2. Toimintakate'!H141+'3. Verotulot'!AA141+'4. Valtionosuudet'!Z141+'5. Rahoitustuotot ja -kulut'!G141</f>
        <v>635</v>
      </c>
      <c r="H141" s="41">
        <f>Käyttökate!H141+'5. Rahoitustuotot ja -kulut'!H141</f>
        <v>6087.3393713628247</v>
      </c>
      <c r="I141" s="41">
        <f>Käyttökate!I141+'5. Rahoitustuotot ja -kulut'!I141</f>
        <v>3990.2555530186573</v>
      </c>
      <c r="J141" s="41">
        <f>Käyttökate!J141+'5. Rahoitustuotot ja -kulut'!J141</f>
        <v>4923.9946928934169</v>
      </c>
      <c r="K141" s="41">
        <f>Käyttökate!K141+'5. Rahoitustuotot ja -kulut'!K141</f>
        <v>7246.7072110969384</v>
      </c>
      <c r="L141" s="41">
        <f>Käyttökate!L141+'5. Rahoitustuotot ja -kulut'!L141</f>
        <v>3234.4210861452002</v>
      </c>
      <c r="M141" s="41">
        <f>Käyttökate!M141+'5. Rahoitustuotot ja -kulut'!M141</f>
        <v>3786.9911057851523</v>
      </c>
      <c r="N141" s="41">
        <f>Käyttökate!N141+'5. Rahoitustuotot ja -kulut'!N141</f>
        <v>3913.8707350187633</v>
      </c>
      <c r="O141" s="41">
        <f>Käyttökate!O141+'5. Rahoitustuotot ja -kulut'!O141</f>
        <v>4382.1931549282908</v>
      </c>
      <c r="P141" s="41">
        <f>Käyttökate!P141+'5. Rahoitustuotot ja -kulut'!P141</f>
        <v>5230.0492043444883</v>
      </c>
      <c r="T141" s="34">
        <v>420</v>
      </c>
      <c r="U141" s="88" t="s">
        <v>455</v>
      </c>
      <c r="V141" s="41" t="e">
        <f>C141/'1. Väestöennuste'!E141*1000</f>
        <v>#REF!</v>
      </c>
      <c r="W141" s="41">
        <f>D141/'1. Väestöennuste'!F141*1000</f>
        <v>447.54181449569188</v>
      </c>
      <c r="X141" s="41">
        <f>E141/'1. Väestöennuste'!G141*1000</f>
        <v>490.79942751993457</v>
      </c>
      <c r="Y141" s="41">
        <f>F141/'1. Väestöennuste'!H141*1000</f>
        <v>201.65803108808288</v>
      </c>
      <c r="Z141" s="41">
        <f>G141/'1. Väestöennuste'!I141*1000</f>
        <v>67.16733657711022</v>
      </c>
      <c r="AA141" s="41">
        <f>H141/'1. Väestöennuste'!J141*1000</f>
        <v>647.45153917919856</v>
      </c>
      <c r="AB141" s="41">
        <f>I141/'1. Väestöennuste'!K141*1000</f>
        <v>429.98443459252775</v>
      </c>
      <c r="AC141" s="41">
        <f>J141/'1. Väestöennuste'!L141*1000</f>
        <v>536.55820996986131</v>
      </c>
      <c r="AD141" s="41">
        <f>K141/'1. Väestöennuste'!M141*1000</f>
        <v>800.82961775853005</v>
      </c>
      <c r="AE141" s="41">
        <f>L141/'1. Väestöennuste'!N141*1000</f>
        <v>359.85993392803738</v>
      </c>
      <c r="AF141" s="41">
        <f>M141/'1. Väestöennuste'!O141*1000</f>
        <v>425.93533975763722</v>
      </c>
      <c r="AG141" s="41">
        <f>N141/'1. Väestöennuste'!P141*1000</f>
        <v>445.01088516415729</v>
      </c>
      <c r="AH141" s="41">
        <f>O141/'1. Väestöennuste'!Q141*1000</f>
        <v>503.52673272759864</v>
      </c>
      <c r="AI141" s="41">
        <f>P141/'1. Väestöennuste'!R141*1000</f>
        <v>607.36838977406671</v>
      </c>
      <c r="AK141" s="41">
        <f>'6. Poistot'!Z141</f>
        <v>412.73535011635289</v>
      </c>
      <c r="AL141" s="41">
        <f>'6. Poistot'!AA141</f>
        <v>500.85088279089553</v>
      </c>
      <c r="AM141" s="41">
        <f>'6. Poistot'!AB141</f>
        <v>386.14699676724132</v>
      </c>
      <c r="AN141" s="41">
        <f>'6. Poistot'!AC141</f>
        <v>359.38494606080417</v>
      </c>
      <c r="AO141" s="41">
        <f>'6. Poistot'!AD141</f>
        <v>410.82530003315281</v>
      </c>
      <c r="AP141" s="41">
        <f>'6. Poistot'!AE141</f>
        <v>357.90698709390296</v>
      </c>
      <c r="AQ141" s="41">
        <f>'6. Poistot'!AF141</f>
        <v>359.91676976718031</v>
      </c>
      <c r="AR141" s="41">
        <f>'6. Poistot'!AG141</f>
        <v>369.58726549175668</v>
      </c>
      <c r="AS141" s="41">
        <f>'6. Poistot'!AH141</f>
        <v>385.54548838556752</v>
      </c>
      <c r="AT141" s="41">
        <f>'6. Poistot'!AI141</f>
        <v>401.84470686786523</v>
      </c>
      <c r="AV141" s="4">
        <f t="shared" si="29"/>
        <v>0</v>
      </c>
      <c r="AW141" s="4">
        <f t="shared" si="30"/>
        <v>0</v>
      </c>
      <c r="AX141" s="4">
        <f t="shared" si="31"/>
        <v>0</v>
      </c>
      <c r="AY141" s="4">
        <f t="shared" si="32"/>
        <v>0</v>
      </c>
      <c r="AZ141" s="4">
        <f t="shared" si="33"/>
        <v>0</v>
      </c>
      <c r="BA141" s="4">
        <f t="shared" si="34"/>
        <v>0</v>
      </c>
      <c r="BB141" s="4">
        <f t="shared" si="35"/>
        <v>0</v>
      </c>
      <c r="BC141" s="4">
        <f t="shared" si="36"/>
        <v>0</v>
      </c>
      <c r="BE141" s="405">
        <f t="shared" si="37"/>
        <v>0</v>
      </c>
      <c r="BF141" s="405">
        <f t="shared" si="38"/>
        <v>0</v>
      </c>
      <c r="BG141" s="405">
        <f t="shared" si="39"/>
        <v>0</v>
      </c>
      <c r="BH141" s="405">
        <f t="shared" si="40"/>
        <v>0</v>
      </c>
      <c r="BI141" s="405">
        <f t="shared" si="41"/>
        <v>0</v>
      </c>
      <c r="BJ141" s="405">
        <f t="shared" si="42"/>
        <v>0</v>
      </c>
      <c r="BK141" s="405">
        <f t="shared" si="43"/>
        <v>0</v>
      </c>
      <c r="BL141" s="405">
        <f t="shared" si="44"/>
        <v>0</v>
      </c>
      <c r="BM141" s="405">
        <f t="shared" si="45"/>
        <v>0</v>
      </c>
      <c r="BN141" s="405">
        <f t="shared" si="45"/>
        <v>0</v>
      </c>
    </row>
    <row r="142" spans="1:66" x14ac:dyDescent="0.2">
      <c r="A142" s="34">
        <v>421</v>
      </c>
      <c r="B142" s="88" t="s">
        <v>456</v>
      </c>
      <c r="C142" s="41" t="e">
        <f>'2. Toimintakate'!D142+'3. Verotulot'!G142+'4. Valtionosuudet'!#REF!+'5. Rahoitustuotot ja -kulut'!C142</f>
        <v>#REF!</v>
      </c>
      <c r="D142" s="41">
        <f>'2. Toimintakate'!E142+'4. Valtionosuudet'!H142+'3. Verotulot'!L142+'5. Rahoitustuotot ja -kulut'!D142</f>
        <v>47</v>
      </c>
      <c r="E142" s="41">
        <f>'2. Toimintakate'!F142+'4. Valtionosuudet'!N142+'3. Verotulot'!Q142+'5. Rahoitustuotot ja -kulut'!E142</f>
        <v>176</v>
      </c>
      <c r="F142" s="41">
        <f>'2. Toimintakate'!G142+'4. Valtionosuudet'!T142+'3. Verotulot'!V142+'5. Rahoitustuotot ja -kulut'!F142</f>
        <v>-255</v>
      </c>
      <c r="G142" s="41">
        <f>'2. Toimintakate'!H142+'3. Verotulot'!AA142+'4. Valtionosuudet'!Z142+'5. Rahoitustuotot ja -kulut'!G142</f>
        <v>-166</v>
      </c>
      <c r="H142" s="41">
        <f>Käyttökate!H142+'5. Rahoitustuotot ja -kulut'!H142</f>
        <v>220.81050032979829</v>
      </c>
      <c r="I142" s="41">
        <f>Käyttökate!I142+'5. Rahoitustuotot ja -kulut'!I142</f>
        <v>-49.916853919503765</v>
      </c>
      <c r="J142" s="41">
        <f>Käyttökate!J142+'5. Rahoitustuotot ja -kulut'!J142</f>
        <v>-835.11307435729043</v>
      </c>
      <c r="K142" s="41">
        <f>Käyttökate!K142+'5. Rahoitustuotot ja -kulut'!K142</f>
        <v>-500.41750596851585</v>
      </c>
      <c r="L142" s="41">
        <f>Käyttökate!L142+'5. Rahoitustuotot ja -kulut'!L142</f>
        <v>272.77583397951895</v>
      </c>
      <c r="M142" s="41">
        <f>Käyttökate!M142+'5. Rahoitustuotot ja -kulut'!M142</f>
        <v>27.28481032492175</v>
      </c>
      <c r="N142" s="41">
        <f>Käyttökate!N142+'5. Rahoitustuotot ja -kulut'!N142</f>
        <v>-216.13953071611041</v>
      </c>
      <c r="O142" s="41">
        <f>Käyttökate!O142+'5. Rahoitustuotot ja -kulut'!O142</f>
        <v>-253.76304487136892</v>
      </c>
      <c r="P142" s="41">
        <f>Käyttökate!P142+'5. Rahoitustuotot ja -kulut'!P142</f>
        <v>-167.72961557994205</v>
      </c>
      <c r="T142" s="34">
        <v>421</v>
      </c>
      <c r="U142" s="88" t="s">
        <v>456</v>
      </c>
      <c r="V142" s="41" t="e">
        <f>C142/'1. Väestöennuste'!E142*1000</f>
        <v>#REF!</v>
      </c>
      <c r="W142" s="41">
        <f>D142/'1. Väestöennuste'!F142*1000</f>
        <v>57.953144266337851</v>
      </c>
      <c r="X142" s="41">
        <f>E142/'1. Väestöennuste'!G142*1000</f>
        <v>223.06717363751585</v>
      </c>
      <c r="Y142" s="41">
        <f>F142/'1. Väestöennuste'!H142*1000</f>
        <v>-345.99728629579374</v>
      </c>
      <c r="Z142" s="41">
        <f>G142/'1. Väestöennuste'!I142*1000</f>
        <v>-230.87621696801114</v>
      </c>
      <c r="AA142" s="41">
        <f>H142/'1. Väestöennuste'!J142*1000</f>
        <v>305.83171790830789</v>
      </c>
      <c r="AB142" s="41">
        <f>I142/'1. Väestöennuste'!K142*1000</f>
        <v>-69.425387926987156</v>
      </c>
      <c r="AC142" s="41">
        <f>J142/'1. Väestöennuste'!L142*1000</f>
        <v>-1201.6015458378279</v>
      </c>
      <c r="AD142" s="41">
        <f>K142/'1. Väestöennuste'!M142*1000</f>
        <v>-733.75000875148953</v>
      </c>
      <c r="AE142" s="41">
        <f>L142/'1. Väestöennuste'!N142*1000</f>
        <v>402.32423890784509</v>
      </c>
      <c r="AF142" s="41">
        <f>M142/'1. Väestöennuste'!O142*1000</f>
        <v>40.78446984293236</v>
      </c>
      <c r="AG142" s="41">
        <f>N142/'1. Väestöennuste'!P142*1000</f>
        <v>-327.48413744865212</v>
      </c>
      <c r="AH142" s="41">
        <f>O142/'1. Väestöennuste'!Q142*1000</f>
        <v>-388.01688818252126</v>
      </c>
      <c r="AI142" s="41">
        <f>P142/'1. Väestöennuste'!R142*1000</f>
        <v>-259.24206426575279</v>
      </c>
      <c r="AK142" s="41">
        <f>'6. Poistot'!Z142</f>
        <v>698.19193324061189</v>
      </c>
      <c r="AL142" s="41">
        <f>'6. Poistot'!AA142</f>
        <v>455.6786703601108</v>
      </c>
      <c r="AM142" s="41">
        <f>'6. Poistot'!AB142</f>
        <v>605.20484005563287</v>
      </c>
      <c r="AN142" s="41">
        <f>'6. Poistot'!AC142</f>
        <v>812.68201438848916</v>
      </c>
      <c r="AO142" s="41">
        <f>'6. Poistot'!AD142</f>
        <v>848.91912023460407</v>
      </c>
      <c r="AP142" s="41">
        <f>'6. Poistot'!AE142</f>
        <v>749.33480825958702</v>
      </c>
      <c r="AQ142" s="41">
        <f>'6. Poistot'!AF142</f>
        <v>759.46038863976082</v>
      </c>
      <c r="AR142" s="41">
        <f>'6. Poistot'!AG142</f>
        <v>769.81666666666672</v>
      </c>
      <c r="AS142" s="41">
        <f>'6. Poistot'!AH142</f>
        <v>801.94625391652312</v>
      </c>
      <c r="AT142" s="41">
        <f>'6. Poistot'!AI142</f>
        <v>835.96089663494922</v>
      </c>
      <c r="AV142" s="4">
        <f t="shared" si="29"/>
        <v>1</v>
      </c>
      <c r="AW142" s="4">
        <f t="shared" si="30"/>
        <v>1</v>
      </c>
      <c r="AX142" s="4">
        <f t="shared" si="31"/>
        <v>1</v>
      </c>
      <c r="AY142" s="4">
        <f t="shared" si="32"/>
        <v>1</v>
      </c>
      <c r="AZ142" s="4">
        <f t="shared" si="33"/>
        <v>1</v>
      </c>
      <c r="BA142" s="4">
        <f t="shared" si="34"/>
        <v>1</v>
      </c>
      <c r="BB142" s="4">
        <f t="shared" si="35"/>
        <v>1</v>
      </c>
      <c r="BC142" s="4">
        <f t="shared" si="36"/>
        <v>1</v>
      </c>
      <c r="BE142" s="405">
        <f t="shared" si="37"/>
        <v>-1</v>
      </c>
      <c r="BF142" s="405">
        <f t="shared" si="38"/>
        <v>0</v>
      </c>
      <c r="BG142" s="405">
        <f t="shared" si="39"/>
        <v>-1</v>
      </c>
      <c r="BH142" s="405">
        <f t="shared" si="40"/>
        <v>-1</v>
      </c>
      <c r="BI142" s="405">
        <f t="shared" si="41"/>
        <v>-1</v>
      </c>
      <c r="BJ142" s="405">
        <f t="shared" si="42"/>
        <v>0</v>
      </c>
      <c r="BK142" s="405">
        <f t="shared" si="43"/>
        <v>0</v>
      </c>
      <c r="BL142" s="405">
        <f t="shared" si="44"/>
        <v>-1</v>
      </c>
      <c r="BM142" s="405">
        <f t="shared" si="45"/>
        <v>-1</v>
      </c>
      <c r="BN142" s="405">
        <f t="shared" si="45"/>
        <v>-1</v>
      </c>
    </row>
    <row r="143" spans="1:66" x14ac:dyDescent="0.2">
      <c r="A143" s="34">
        <v>422</v>
      </c>
      <c r="B143" s="88" t="s">
        <v>457</v>
      </c>
      <c r="C143" s="41" t="e">
        <f>'2. Toimintakate'!D143+'3. Verotulot'!G143+'4. Valtionosuudet'!#REF!+'5. Rahoitustuotot ja -kulut'!C143</f>
        <v>#REF!</v>
      </c>
      <c r="D143" s="41">
        <f>'2. Toimintakate'!E143+'4. Valtionosuudet'!H143+'3. Verotulot'!L143+'5. Rahoitustuotot ja -kulut'!D143</f>
        <v>6153</v>
      </c>
      <c r="E143" s="41">
        <f>'2. Toimintakate'!F143+'4. Valtionosuudet'!N143+'3. Verotulot'!Q143+'5. Rahoitustuotot ja -kulut'!E143</f>
        <v>9334</v>
      </c>
      <c r="F143" s="41">
        <f>'2. Toimintakate'!G143+'4. Valtionosuudet'!T143+'3. Verotulot'!V143+'5. Rahoitustuotot ja -kulut'!F143</f>
        <v>6025</v>
      </c>
      <c r="G143" s="41">
        <f>'2. Toimintakate'!H143+'3. Verotulot'!AA143+'4. Valtionosuudet'!Z143+'5. Rahoitustuotot ja -kulut'!G143</f>
        <v>5483</v>
      </c>
      <c r="H143" s="41">
        <f>Käyttökate!H143+'5. Rahoitustuotot ja -kulut'!H143</f>
        <v>10358.262674529615</v>
      </c>
      <c r="I143" s="41">
        <f>Käyttökate!I143+'5. Rahoitustuotot ja -kulut'!I143</f>
        <v>8642.873440073532</v>
      </c>
      <c r="J143" s="41">
        <f>Käyttökate!J143+'5. Rahoitustuotot ja -kulut'!J143</f>
        <v>5791.0611861842635</v>
      </c>
      <c r="K143" s="41">
        <f>Käyttökate!K143+'5. Rahoitustuotot ja -kulut'!K143</f>
        <v>9939.3332231670938</v>
      </c>
      <c r="L143" s="41">
        <f>Käyttökate!L143+'5. Rahoitustuotot ja -kulut'!L143</f>
        <v>7188.9590400920997</v>
      </c>
      <c r="M143" s="41">
        <f>Käyttökate!M143+'5. Rahoitustuotot ja -kulut'!M143</f>
        <v>4555.2720107218547</v>
      </c>
      <c r="N143" s="41">
        <f>Käyttökate!N143+'5. Rahoitustuotot ja -kulut'!N143</f>
        <v>3775.6016189172178</v>
      </c>
      <c r="O143" s="41">
        <f>Käyttökate!O143+'5. Rahoitustuotot ja -kulut'!O143</f>
        <v>3922.1049759494304</v>
      </c>
      <c r="P143" s="41">
        <f>Käyttökate!P143+'5. Rahoitustuotot ja -kulut'!P143</f>
        <v>5852.5440648228114</v>
      </c>
      <c r="T143" s="34">
        <v>422</v>
      </c>
      <c r="U143" s="88" t="s">
        <v>457</v>
      </c>
      <c r="V143" s="41" t="e">
        <f>C143/'1. Väestöennuste'!E143*1000</f>
        <v>#REF!</v>
      </c>
      <c r="W143" s="41">
        <f>D143/'1. Väestöennuste'!F143*1000</f>
        <v>531.34715025906735</v>
      </c>
      <c r="X143" s="41">
        <f>E143/'1. Väestöennuste'!G143*1000</f>
        <v>826.23705408515536</v>
      </c>
      <c r="Y143" s="41">
        <f>F143/'1. Väestöennuste'!H143*1000</f>
        <v>542.89061092088662</v>
      </c>
      <c r="Z143" s="41">
        <f>G143/'1. Väestöennuste'!I143*1000</f>
        <v>503.76699742741636</v>
      </c>
      <c r="AA143" s="41">
        <f>H143/'1. Väestöennuste'!J143*1000</f>
        <v>966.34599072018045</v>
      </c>
      <c r="AB143" s="41">
        <f>I143/'1. Väestöennuste'!K143*1000</f>
        <v>819.77363559456819</v>
      </c>
      <c r="AC143" s="41">
        <f>J143/'1. Väestöennuste'!L143*1000</f>
        <v>558.33601872196914</v>
      </c>
      <c r="AD143" s="41">
        <f>K143/'1. Väestöennuste'!M143*1000</f>
        <v>971.77681102533188</v>
      </c>
      <c r="AE143" s="41">
        <f>L143/'1. Väestöennuste'!N143*1000</f>
        <v>720.62540498116482</v>
      </c>
      <c r="AF143" s="41">
        <f>M143/'1. Väestöennuste'!O143*1000</f>
        <v>464.30251867514573</v>
      </c>
      <c r="AG143" s="41">
        <f>N143/'1. Väestöennuste'!P143*1000</f>
        <v>391.25405377380497</v>
      </c>
      <c r="AH143" s="41">
        <f>O143/'1. Väestöennuste'!Q143*1000</f>
        <v>413.07056092147764</v>
      </c>
      <c r="AI143" s="41">
        <f>P143/'1. Väestöennuste'!R143*1000</f>
        <v>626.1414426899338</v>
      </c>
      <c r="AK143" s="41">
        <f>'6. Poistot'!Z143</f>
        <v>417.95295847115034</v>
      </c>
      <c r="AL143" s="41">
        <f>'6. Poistot'!AA143</f>
        <v>395.83916410112886</v>
      </c>
      <c r="AM143" s="41">
        <f>'6. Poistot'!AB143</f>
        <v>379.59147965474727</v>
      </c>
      <c r="AN143" s="41">
        <f>'6. Poistot'!AC143</f>
        <v>356.21278152718861</v>
      </c>
      <c r="AO143" s="41">
        <f>'6. Poistot'!AD143</f>
        <v>559.17886879155253</v>
      </c>
      <c r="AP143" s="41">
        <f>'6. Poistot'!AE143</f>
        <v>394.48676824378509</v>
      </c>
      <c r="AQ143" s="41">
        <f>'6. Poistot'!AF143</f>
        <v>419.02945673223928</v>
      </c>
      <c r="AR143" s="41">
        <f>'6. Poistot'!AG143</f>
        <v>461.91689119170979</v>
      </c>
      <c r="AS143" s="41">
        <f>'6. Poistot'!AH143</f>
        <v>484.60507094829723</v>
      </c>
      <c r="AT143" s="41">
        <f>'6. Poistot'!AI143</f>
        <v>507.66580692288056</v>
      </c>
      <c r="AV143" s="4">
        <f t="shared" ref="AV143:AV206" si="46">IF(AM143&gt;AB143,1,0)</f>
        <v>0</v>
      </c>
      <c r="AW143" s="4">
        <f t="shared" ref="AW143:AW206" si="47">IF(AN143&gt;AC143,1,0)</f>
        <v>0</v>
      </c>
      <c r="AX143" s="4">
        <f t="shared" ref="AX143:AX206" si="48">IF(AO143&gt;AD143,1,0)</f>
        <v>0</v>
      </c>
      <c r="AY143" s="4">
        <f t="shared" ref="AY143:AY206" si="49">IF(AP143&gt;AE143,1,0)</f>
        <v>0</v>
      </c>
      <c r="AZ143" s="4">
        <f t="shared" ref="AZ143:AZ206" si="50">IF(AQ143&gt;AF143,1,0)</f>
        <v>0</v>
      </c>
      <c r="BA143" s="4">
        <f t="shared" ref="BA143:BA206" si="51">IF(AR143&gt;AG143,1,0)</f>
        <v>1</v>
      </c>
      <c r="BB143" s="4">
        <f t="shared" ref="BB143:BB206" si="52">IF(AS143&gt;AH143,1,0)</f>
        <v>1</v>
      </c>
      <c r="BC143" s="4">
        <f t="shared" ref="BC143:BC206" si="53">IF(AT143&gt;AI143,1,0)</f>
        <v>0</v>
      </c>
      <c r="BE143" s="405">
        <f t="shared" si="37"/>
        <v>0</v>
      </c>
      <c r="BF143" s="405">
        <f t="shared" si="38"/>
        <v>0</v>
      </c>
      <c r="BG143" s="405">
        <f t="shared" si="39"/>
        <v>0</v>
      </c>
      <c r="BH143" s="405">
        <f t="shared" si="40"/>
        <v>0</v>
      </c>
      <c r="BI143" s="405">
        <f t="shared" si="41"/>
        <v>0</v>
      </c>
      <c r="BJ143" s="405">
        <f t="shared" si="42"/>
        <v>0</v>
      </c>
      <c r="BK143" s="405">
        <f t="shared" si="43"/>
        <v>0</v>
      </c>
      <c r="BL143" s="405">
        <f t="shared" si="44"/>
        <v>0</v>
      </c>
      <c r="BM143" s="405">
        <f t="shared" si="45"/>
        <v>0</v>
      </c>
      <c r="BN143" s="405">
        <f t="shared" si="45"/>
        <v>0</v>
      </c>
    </row>
    <row r="144" spans="1:66" x14ac:dyDescent="0.2">
      <c r="A144" s="34">
        <v>423</v>
      </c>
      <c r="B144" s="88" t="s">
        <v>458</v>
      </c>
      <c r="C144" s="41" t="e">
        <f>'2. Toimintakate'!D144+'3. Verotulot'!G144+'4. Valtionosuudet'!#REF!+'5. Rahoitustuotot ja -kulut'!C144</f>
        <v>#REF!</v>
      </c>
      <c r="D144" s="41">
        <f>'2. Toimintakate'!E144+'4. Valtionosuudet'!H144+'3. Verotulot'!L144+'5. Rahoitustuotot ja -kulut'!D144</f>
        <v>7471</v>
      </c>
      <c r="E144" s="41">
        <f>'2. Toimintakate'!F144+'4. Valtionosuudet'!N144+'3. Verotulot'!Q144+'5. Rahoitustuotot ja -kulut'!E144</f>
        <v>7775</v>
      </c>
      <c r="F144" s="41">
        <f>'2. Toimintakate'!G144+'4. Valtionosuudet'!T144+'3. Verotulot'!V144+'5. Rahoitustuotot ja -kulut'!F144</f>
        <v>2961</v>
      </c>
      <c r="G144" s="41">
        <f>'2. Toimintakate'!H144+'3. Verotulot'!AA144+'4. Valtionosuudet'!Z144+'5. Rahoitustuotot ja -kulut'!G144</f>
        <v>5363</v>
      </c>
      <c r="H144" s="41">
        <f>Käyttökate!H144+'5. Rahoitustuotot ja -kulut'!H144</f>
        <v>14251.759436620247</v>
      </c>
      <c r="I144" s="41">
        <f>Käyttökate!I144+'5. Rahoitustuotot ja -kulut'!I144</f>
        <v>10889.290928954795</v>
      </c>
      <c r="J144" s="41">
        <f>Käyttökate!J144+'5. Rahoitustuotot ja -kulut'!J144</f>
        <v>13559.317184943269</v>
      </c>
      <c r="K144" s="41">
        <f>Käyttökate!K144+'5. Rahoitustuotot ja -kulut'!K144</f>
        <v>15204.754149112363</v>
      </c>
      <c r="L144" s="41">
        <f>Käyttökate!L144+'5. Rahoitustuotot ja -kulut'!L144</f>
        <v>8514.3725547485938</v>
      </c>
      <c r="M144" s="41">
        <f>Käyttökate!M144+'5. Rahoitustuotot ja -kulut'!M144</f>
        <v>6961.7269313621982</v>
      </c>
      <c r="N144" s="41">
        <f>Käyttökate!N144+'5. Rahoitustuotot ja -kulut'!N144</f>
        <v>7316.7862944687731</v>
      </c>
      <c r="O144" s="41">
        <f>Käyttökate!O144+'5. Rahoitustuotot ja -kulut'!O144</f>
        <v>7372.4638755766555</v>
      </c>
      <c r="P144" s="41">
        <f>Käyttökate!P144+'5. Rahoitustuotot ja -kulut'!P144</f>
        <v>8501.8522438593591</v>
      </c>
      <c r="T144" s="34">
        <v>423</v>
      </c>
      <c r="U144" s="88" t="s">
        <v>458</v>
      </c>
      <c r="V144" s="41" t="e">
        <f>C144/'1. Väestöennuste'!E144*1000</f>
        <v>#REF!</v>
      </c>
      <c r="W144" s="41">
        <f>D144/'1. Väestöennuste'!F144*1000</f>
        <v>384.74611185497992</v>
      </c>
      <c r="X144" s="41">
        <f>E144/'1. Väestöennuste'!G144*1000</f>
        <v>396.76464584609107</v>
      </c>
      <c r="Y144" s="41">
        <f>F144/'1. Väestöennuste'!H144*1000</f>
        <v>149.31168372749735</v>
      </c>
      <c r="Z144" s="41">
        <f>G144/'1. Väestöennuste'!I144*1000</f>
        <v>268.23046914074223</v>
      </c>
      <c r="AA144" s="41">
        <f>H144/'1. Väestöennuste'!J144*1000</f>
        <v>707.42377824978882</v>
      </c>
      <c r="AB144" s="41">
        <f>I144/'1. Väestöennuste'!K144*1000</f>
        <v>536.6561987558423</v>
      </c>
      <c r="AC144" s="41">
        <f>J144/'1. Väestöennuste'!L144*1000</f>
        <v>661.52691539948626</v>
      </c>
      <c r="AD144" s="41">
        <f>K144/'1. Väestöennuste'!M144*1000</f>
        <v>736.77153409470191</v>
      </c>
      <c r="AE144" s="41">
        <f>L144/'1. Väestöennuste'!N144*1000</f>
        <v>410.31143341277982</v>
      </c>
      <c r="AF144" s="41">
        <f>M144/'1. Väestöennuste'!O144*1000</f>
        <v>333.22453242208496</v>
      </c>
      <c r="AG144" s="41">
        <f>N144/'1. Väestöennuste'!P144*1000</f>
        <v>347.95445570043626</v>
      </c>
      <c r="AH144" s="41">
        <f>O144/'1. Väestöennuste'!Q144*1000</f>
        <v>348.46452122591364</v>
      </c>
      <c r="AI144" s="41">
        <f>P144/'1. Väestöennuste'!R144*1000</f>
        <v>399.61702673839528</v>
      </c>
      <c r="AK144" s="41">
        <f>'6. Poistot'!Z144</f>
        <v>391.11733520056021</v>
      </c>
      <c r="AL144" s="41">
        <f>'6. Poistot'!AA144</f>
        <v>358.63198649856048</v>
      </c>
      <c r="AM144" s="41">
        <f>'6. Poistot'!AB144</f>
        <v>365.23247153910603</v>
      </c>
      <c r="AN144" s="41">
        <f>'6. Poistot'!AC144</f>
        <v>351.96661218714934</v>
      </c>
      <c r="AO144" s="41">
        <f>'6. Poistot'!AD144</f>
        <v>407.24770218539516</v>
      </c>
      <c r="AP144" s="41">
        <f>'6. Poistot'!AE144</f>
        <v>377.07262300612024</v>
      </c>
      <c r="AQ144" s="41">
        <f>'6. Poistot'!AF144</f>
        <v>382.92169251388094</v>
      </c>
      <c r="AR144" s="41">
        <f>'6. Poistot'!AG144</f>
        <v>428.00076089024157</v>
      </c>
      <c r="AS144" s="41">
        <f>'6. Poistot'!AH144</f>
        <v>439.11693838085779</v>
      </c>
      <c r="AT144" s="41">
        <f>'6. Poistot'!AI144</f>
        <v>450.3310989728609</v>
      </c>
      <c r="AV144" s="4">
        <f t="shared" si="46"/>
        <v>0</v>
      </c>
      <c r="AW144" s="4">
        <f t="shared" si="47"/>
        <v>0</v>
      </c>
      <c r="AX144" s="4">
        <f t="shared" si="48"/>
        <v>0</v>
      </c>
      <c r="AY144" s="4">
        <f t="shared" si="49"/>
        <v>0</v>
      </c>
      <c r="AZ144" s="4">
        <f t="shared" si="50"/>
        <v>1</v>
      </c>
      <c r="BA144" s="4">
        <f t="shared" si="51"/>
        <v>1</v>
      </c>
      <c r="BB144" s="4">
        <f t="shared" si="52"/>
        <v>1</v>
      </c>
      <c r="BC144" s="4">
        <f t="shared" si="53"/>
        <v>1</v>
      </c>
      <c r="BE144" s="405">
        <f t="shared" ref="BE144:BE207" si="54">IF(G144&lt;0,-1,0)</f>
        <v>0</v>
      </c>
      <c r="BF144" s="405">
        <f t="shared" ref="BF144:BF207" si="55">IF(H144&lt;0,-1,0)</f>
        <v>0</v>
      </c>
      <c r="BG144" s="405">
        <f t="shared" ref="BG144:BG207" si="56">IF(I144&lt;0,-1,0)</f>
        <v>0</v>
      </c>
      <c r="BH144" s="405">
        <f t="shared" ref="BH144:BH207" si="57">IF(J144&lt;0,-1,0)</f>
        <v>0</v>
      </c>
      <c r="BI144" s="405">
        <f t="shared" ref="BI144:BI207" si="58">IF(K144&lt;0,-1,0)</f>
        <v>0</v>
      </c>
      <c r="BJ144" s="405">
        <f t="shared" ref="BJ144:BJ207" si="59">IF(L144&lt;0,-1,0)</f>
        <v>0</v>
      </c>
      <c r="BK144" s="405">
        <f t="shared" ref="BK144:BK207" si="60">IF(M144&lt;0,-1,0)</f>
        <v>0</v>
      </c>
      <c r="BL144" s="405">
        <f t="shared" ref="BL144:BL207" si="61">IF(N144&lt;0,-1,0)</f>
        <v>0</v>
      </c>
      <c r="BM144" s="405">
        <f t="shared" ref="BM144:BN207" si="62">IF(O144&lt;0,-1,0)</f>
        <v>0</v>
      </c>
      <c r="BN144" s="405">
        <f t="shared" si="62"/>
        <v>0</v>
      </c>
    </row>
    <row r="145" spans="1:66" x14ac:dyDescent="0.2">
      <c r="A145" s="34">
        <v>425</v>
      </c>
      <c r="B145" s="88" t="s">
        <v>459</v>
      </c>
      <c r="C145" s="41" t="e">
        <f>'2. Toimintakate'!D145+'3. Verotulot'!G145+'4. Valtionosuudet'!#REF!+'5. Rahoitustuotot ja -kulut'!C145</f>
        <v>#REF!</v>
      </c>
      <c r="D145" s="41">
        <f>'2. Toimintakate'!E145+'4. Valtionosuudet'!H145+'3. Verotulot'!L145+'5. Rahoitustuotot ja -kulut'!D145</f>
        <v>4424</v>
      </c>
      <c r="E145" s="41">
        <f>'2. Toimintakate'!F145+'4. Valtionosuudet'!N145+'3. Verotulot'!Q145+'5. Rahoitustuotot ja -kulut'!E145</f>
        <v>5882</v>
      </c>
      <c r="F145" s="41">
        <f>'2. Toimintakate'!G145+'4. Valtionosuudet'!T145+'3. Verotulot'!V145+'5. Rahoitustuotot ja -kulut'!F145</f>
        <v>5442</v>
      </c>
      <c r="G145" s="41">
        <f>'2. Toimintakate'!H145+'3. Verotulot'!AA145+'4. Valtionosuudet'!Z145+'5. Rahoitustuotot ja -kulut'!G145</f>
        <v>4149</v>
      </c>
      <c r="H145" s="41">
        <f>Käyttökate!H145+'5. Rahoitustuotot ja -kulut'!H145</f>
        <v>7409.3502367172186</v>
      </c>
      <c r="I145" s="41">
        <f>Käyttökate!I145+'5. Rahoitustuotot ja -kulut'!I145</f>
        <v>4742.0418894878076</v>
      </c>
      <c r="J145" s="41">
        <f>Käyttökate!J145+'5. Rahoitustuotot ja -kulut'!J145</f>
        <v>4415.4401728894918</v>
      </c>
      <c r="K145" s="41">
        <f>Käyttökate!K145+'5. Rahoitustuotot ja -kulut'!K145</f>
        <v>3254.8899241186718</v>
      </c>
      <c r="L145" s="41">
        <f>Käyttökate!L145+'5. Rahoitustuotot ja -kulut'!L145</f>
        <v>2802.6411901810134</v>
      </c>
      <c r="M145" s="41">
        <f>Käyttökate!M145+'5. Rahoitustuotot ja -kulut'!M145</f>
        <v>770.46183168674179</v>
      </c>
      <c r="N145" s="41">
        <f>Käyttökate!N145+'5. Rahoitustuotot ja -kulut'!N145</f>
        <v>755.95405922762075</v>
      </c>
      <c r="O145" s="41">
        <f>Käyttökate!O145+'5. Rahoitustuotot ja -kulut'!O145</f>
        <v>928.31837644617622</v>
      </c>
      <c r="P145" s="41">
        <f>Käyttökate!P145+'5. Rahoitustuotot ja -kulut'!P145</f>
        <v>1281.8401942089295</v>
      </c>
      <c r="T145" s="34">
        <v>425</v>
      </c>
      <c r="U145" s="88" t="s">
        <v>459</v>
      </c>
      <c r="V145" s="41" t="e">
        <f>C145/'1. Väestöennuste'!E145*1000</f>
        <v>#REF!</v>
      </c>
      <c r="W145" s="41">
        <f>D145/'1. Väestöennuste'!F145*1000</f>
        <v>442.40000000000003</v>
      </c>
      <c r="X145" s="41">
        <f>E145/'1. Väestöennuste'!G145*1000</f>
        <v>580.47962104016585</v>
      </c>
      <c r="Y145" s="41">
        <f>F145/'1. Väestöennuste'!H145*1000</f>
        <v>535.57720696781803</v>
      </c>
      <c r="Z145" s="41">
        <f>G145/'1. Väestöennuste'!I145*1000</f>
        <v>407.12393288195466</v>
      </c>
      <c r="AA145" s="41">
        <f>H145/'1. Väestöennuste'!J145*1000</f>
        <v>723.71070880222874</v>
      </c>
      <c r="AB145" s="41">
        <f>I145/'1. Väestöennuste'!K145*1000</f>
        <v>464.08709037852884</v>
      </c>
      <c r="AC145" s="41">
        <f>J145/'1. Väestöennuste'!L145*1000</f>
        <v>430.4386988584024</v>
      </c>
      <c r="AD145" s="41">
        <f>K145/'1. Väestöennuste'!M145*1000</f>
        <v>317.36446218005773</v>
      </c>
      <c r="AE145" s="41">
        <f>L145/'1. Väestöennuste'!N145*1000</f>
        <v>268.55511596215155</v>
      </c>
      <c r="AF145" s="41">
        <f>M145/'1. Väestöennuste'!O145*1000</f>
        <v>73.629762202479142</v>
      </c>
      <c r="AG145" s="41">
        <f>N145/'1. Väestöennuste'!P145*1000</f>
        <v>72.07112777458488</v>
      </c>
      <c r="AH145" s="41">
        <f>O145/'1. Väestöennuste'!Q145*1000</f>
        <v>88.310347835442954</v>
      </c>
      <c r="AI145" s="41">
        <f>P145/'1. Väestöennuste'!R145*1000</f>
        <v>121.73221217558684</v>
      </c>
      <c r="AK145" s="41">
        <f>'6. Poistot'!Z145</f>
        <v>473.94760082425671</v>
      </c>
      <c r="AL145" s="41">
        <f>'6. Poistot'!AA145</f>
        <v>441.883180308654</v>
      </c>
      <c r="AM145" s="41">
        <f>'6. Poistot'!AB145</f>
        <v>383.64241240947342</v>
      </c>
      <c r="AN145" s="41">
        <f>'6. Poistot'!AC145</f>
        <v>408.67895203743421</v>
      </c>
      <c r="AO145" s="41">
        <f>'6. Poistot'!AD145</f>
        <v>406.14741517160689</v>
      </c>
      <c r="AP145" s="41">
        <f>'6. Poistot'!AE145</f>
        <v>382.6178612495209</v>
      </c>
      <c r="AQ145" s="41">
        <f>'6. Poistot'!AF145</f>
        <v>382.26299694189601</v>
      </c>
      <c r="AR145" s="41">
        <f>'6. Poistot'!AG145</f>
        <v>386.11879111450094</v>
      </c>
      <c r="AS145" s="41">
        <f>'6. Poistot'!AH145</f>
        <v>397.70535382379313</v>
      </c>
      <c r="AT145" s="41">
        <f>'6. Poistot'!AI145</f>
        <v>409.43564660887245</v>
      </c>
      <c r="AV145" s="4">
        <f t="shared" si="46"/>
        <v>0</v>
      </c>
      <c r="AW145" s="4">
        <f t="shared" si="47"/>
        <v>0</v>
      </c>
      <c r="AX145" s="4">
        <f t="shared" si="48"/>
        <v>1</v>
      </c>
      <c r="AY145" s="4">
        <f t="shared" si="49"/>
        <v>1</v>
      </c>
      <c r="AZ145" s="4">
        <f t="shared" si="50"/>
        <v>1</v>
      </c>
      <c r="BA145" s="4">
        <f t="shared" si="51"/>
        <v>1</v>
      </c>
      <c r="BB145" s="4">
        <f t="shared" si="52"/>
        <v>1</v>
      </c>
      <c r="BC145" s="4">
        <f t="shared" si="53"/>
        <v>1</v>
      </c>
      <c r="BE145" s="405">
        <f t="shared" si="54"/>
        <v>0</v>
      </c>
      <c r="BF145" s="405">
        <f t="shared" si="55"/>
        <v>0</v>
      </c>
      <c r="BG145" s="405">
        <f t="shared" si="56"/>
        <v>0</v>
      </c>
      <c r="BH145" s="405">
        <f t="shared" si="57"/>
        <v>0</v>
      </c>
      <c r="BI145" s="405">
        <f t="shared" si="58"/>
        <v>0</v>
      </c>
      <c r="BJ145" s="405">
        <f t="shared" si="59"/>
        <v>0</v>
      </c>
      <c r="BK145" s="405">
        <f t="shared" si="60"/>
        <v>0</v>
      </c>
      <c r="BL145" s="405">
        <f t="shared" si="61"/>
        <v>0</v>
      </c>
      <c r="BM145" s="405">
        <f t="shared" si="62"/>
        <v>0</v>
      </c>
      <c r="BN145" s="405">
        <f t="shared" si="62"/>
        <v>0</v>
      </c>
    </row>
    <row r="146" spans="1:66" x14ac:dyDescent="0.2">
      <c r="A146" s="34">
        <v>426</v>
      </c>
      <c r="B146" s="88" t="s">
        <v>460</v>
      </c>
      <c r="C146" s="41" t="e">
        <f>'2. Toimintakate'!D146+'3. Verotulot'!G146+'4. Valtionosuudet'!#REF!+'5. Rahoitustuotot ja -kulut'!C146</f>
        <v>#REF!</v>
      </c>
      <c r="D146" s="41">
        <f>'2. Toimintakate'!E146+'4. Valtionosuudet'!H146+'3. Verotulot'!L146+'5. Rahoitustuotot ja -kulut'!D146</f>
        <v>4364</v>
      </c>
      <c r="E146" s="41">
        <f>'2. Toimintakate'!F146+'4. Valtionosuudet'!N146+'3. Verotulot'!Q146+'5. Rahoitustuotot ja -kulut'!E146</f>
        <v>5672</v>
      </c>
      <c r="F146" s="41">
        <f>'2. Toimintakate'!G146+'4. Valtionosuudet'!T146+'3. Verotulot'!V146+'5. Rahoitustuotot ja -kulut'!F146</f>
        <v>3878</v>
      </c>
      <c r="G146" s="41">
        <f>'2. Toimintakate'!H146+'3. Verotulot'!AA146+'4. Valtionosuudet'!Z146+'5. Rahoitustuotot ja -kulut'!G146</f>
        <v>2297</v>
      </c>
      <c r="H146" s="41">
        <f>Käyttökate!H146+'5. Rahoitustuotot ja -kulut'!H146</f>
        <v>4917.4305620588966</v>
      </c>
      <c r="I146" s="41">
        <f>Käyttökate!I146+'5. Rahoitustuotot ja -kulut'!I146</f>
        <v>2357.107873327318</v>
      </c>
      <c r="J146" s="41">
        <f>Käyttökate!J146+'5. Rahoitustuotot ja -kulut'!J146</f>
        <v>42.17360388429087</v>
      </c>
      <c r="K146" s="41">
        <f>Käyttökate!K146+'5. Rahoitustuotot ja -kulut'!K146</f>
        <v>6058.8926010486957</v>
      </c>
      <c r="L146" s="41">
        <f>Käyttökate!L146+'5. Rahoitustuotot ja -kulut'!L146</f>
        <v>2296.7412900400159</v>
      </c>
      <c r="M146" s="41">
        <f>Käyttökate!M146+'5. Rahoitustuotot ja -kulut'!M146</f>
        <v>-360.01899258205231</v>
      </c>
      <c r="N146" s="41">
        <f>Käyttökate!N146+'5. Rahoitustuotot ja -kulut'!N146</f>
        <v>-140.16324591098419</v>
      </c>
      <c r="O146" s="41">
        <f>Käyttökate!O146+'5. Rahoitustuotot ja -kulut'!O146</f>
        <v>253.39025611937996</v>
      </c>
      <c r="P146" s="41">
        <f>Käyttökate!P146+'5. Rahoitustuotot ja -kulut'!P146</f>
        <v>1512.1109386639491</v>
      </c>
      <c r="T146" s="34">
        <v>426</v>
      </c>
      <c r="U146" s="88" t="s">
        <v>460</v>
      </c>
      <c r="V146" s="41" t="e">
        <f>C146/'1. Väestöennuste'!E146*1000</f>
        <v>#REF!</v>
      </c>
      <c r="W146" s="41">
        <f>D146/'1. Väestöennuste'!F146*1000</f>
        <v>354.76790504837004</v>
      </c>
      <c r="X146" s="41">
        <f>E146/'1. Väestöennuste'!G146*1000</f>
        <v>466.83127572016457</v>
      </c>
      <c r="Y146" s="41">
        <f>F146/'1. Väestöennuste'!H146*1000</f>
        <v>319.30835734870317</v>
      </c>
      <c r="Z146" s="41">
        <f>G146/'1. Väestöennuste'!I146*1000</f>
        <v>190.08606421714663</v>
      </c>
      <c r="AA146" s="41">
        <f>H146/'1. Väestöennuste'!J146*1000</f>
        <v>409.99087560937943</v>
      </c>
      <c r="AB146" s="41">
        <f>I146/'1. Väestöennuste'!K146*1000</f>
        <v>196.77000361693948</v>
      </c>
      <c r="AC146" s="41">
        <f>J146/'1. Väestöennuste'!L146*1000</f>
        <v>3.525631490076147</v>
      </c>
      <c r="AD146" s="41">
        <f>K146/'1. Väestöennuste'!M146*1000</f>
        <v>506.21543997399078</v>
      </c>
      <c r="AE146" s="41">
        <f>L146/'1. Väestöennuste'!N146*1000</f>
        <v>195.53390856802451</v>
      </c>
      <c r="AF146" s="41">
        <f>M146/'1. Väestöennuste'!O146*1000</f>
        <v>-30.823543885449684</v>
      </c>
      <c r="AG146" s="41">
        <f>N146/'1. Väestöennuste'!P146*1000</f>
        <v>-12.06951226306589</v>
      </c>
      <c r="AH146" s="41">
        <f>O146/'1. Väestöennuste'!Q146*1000</f>
        <v>21.951854467589012</v>
      </c>
      <c r="AI146" s="41">
        <f>P146/'1. Väestöennuste'!R146*1000</f>
        <v>131.843311418951</v>
      </c>
      <c r="AK146" s="41">
        <f>'6. Poistot'!Z146</f>
        <v>244.20721615359153</v>
      </c>
      <c r="AL146" s="41">
        <f>'6. Poistot'!AA146</f>
        <v>256.12806403201597</v>
      </c>
      <c r="AM146" s="41">
        <f>'6. Poistot'!AB146</f>
        <v>274.26864178979883</v>
      </c>
      <c r="AN146" s="41">
        <f>'6. Poistot'!AC146</f>
        <v>317.27478097308148</v>
      </c>
      <c r="AO146" s="41">
        <f>'6. Poistot'!AD146</f>
        <v>340.45610326677252</v>
      </c>
      <c r="AP146" s="41">
        <f>'6. Poistot'!AE146</f>
        <v>354.91009705431634</v>
      </c>
      <c r="AQ146" s="41">
        <f>'6. Poistot'!AF146</f>
        <v>359.58904109589042</v>
      </c>
      <c r="AR146" s="41">
        <f>'6. Poistot'!AG146</f>
        <v>370.27469215534313</v>
      </c>
      <c r="AS146" s="41">
        <f>'6. Poistot'!AH146</f>
        <v>384.54000385892721</v>
      </c>
      <c r="AT146" s="41">
        <f>'6. Poistot'!AI146</f>
        <v>399.11853946178337</v>
      </c>
      <c r="AV146" s="4">
        <f t="shared" si="46"/>
        <v>1</v>
      </c>
      <c r="AW146" s="4">
        <f t="shared" si="47"/>
        <v>1</v>
      </c>
      <c r="AX146" s="4">
        <f t="shared" si="48"/>
        <v>0</v>
      </c>
      <c r="AY146" s="4">
        <f t="shared" si="49"/>
        <v>1</v>
      </c>
      <c r="AZ146" s="4">
        <f t="shared" si="50"/>
        <v>1</v>
      </c>
      <c r="BA146" s="4">
        <f t="shared" si="51"/>
        <v>1</v>
      </c>
      <c r="BB146" s="4">
        <f t="shared" si="52"/>
        <v>1</v>
      </c>
      <c r="BC146" s="4">
        <f t="shared" si="53"/>
        <v>1</v>
      </c>
      <c r="BE146" s="405">
        <f t="shared" si="54"/>
        <v>0</v>
      </c>
      <c r="BF146" s="405">
        <f t="shared" si="55"/>
        <v>0</v>
      </c>
      <c r="BG146" s="405">
        <f t="shared" si="56"/>
        <v>0</v>
      </c>
      <c r="BH146" s="405">
        <f t="shared" si="57"/>
        <v>0</v>
      </c>
      <c r="BI146" s="405">
        <f t="shared" si="58"/>
        <v>0</v>
      </c>
      <c r="BJ146" s="405">
        <f t="shared" si="59"/>
        <v>0</v>
      </c>
      <c r="BK146" s="405">
        <f t="shared" si="60"/>
        <v>-1</v>
      </c>
      <c r="BL146" s="405">
        <f t="shared" si="61"/>
        <v>-1</v>
      </c>
      <c r="BM146" s="405">
        <f t="shared" si="62"/>
        <v>0</v>
      </c>
      <c r="BN146" s="405">
        <f t="shared" si="62"/>
        <v>0</v>
      </c>
    </row>
    <row r="147" spans="1:66" x14ac:dyDescent="0.2">
      <c r="A147" s="34">
        <v>430</v>
      </c>
      <c r="B147" s="88" t="s">
        <v>461</v>
      </c>
      <c r="C147" s="41" t="e">
        <f>'2. Toimintakate'!D147+'3. Verotulot'!G147+'4. Valtionosuudet'!#REF!+'5. Rahoitustuotot ja -kulut'!C147</f>
        <v>#REF!</v>
      </c>
      <c r="D147" s="41">
        <f>'2. Toimintakate'!E147+'4. Valtionosuudet'!H147+'3. Verotulot'!L147+'5. Rahoitustuotot ja -kulut'!D147</f>
        <v>2428</v>
      </c>
      <c r="E147" s="41">
        <f>'2. Toimintakate'!F147+'4. Valtionosuudet'!N147+'3. Verotulot'!Q147+'5. Rahoitustuotot ja -kulut'!E147</f>
        <v>3315</v>
      </c>
      <c r="F147" s="41">
        <f>'2. Toimintakate'!G147+'4. Valtionosuudet'!T147+'3. Verotulot'!V147+'5. Rahoitustuotot ja -kulut'!F147</f>
        <v>-410</v>
      </c>
      <c r="G147" s="41">
        <f>'2. Toimintakate'!H147+'3. Verotulot'!AA147+'4. Valtionosuudet'!Z147+'5. Rahoitustuotot ja -kulut'!G147</f>
        <v>1513</v>
      </c>
      <c r="H147" s="41">
        <f>Käyttökate!H147+'5. Rahoitustuotot ja -kulut'!H147</f>
        <v>12772.264361125031</v>
      </c>
      <c r="I147" s="41">
        <f>Käyttökate!I147+'5. Rahoitustuotot ja -kulut'!I147</f>
        <v>7514.6753041948332</v>
      </c>
      <c r="J147" s="41">
        <f>Käyttökate!J147+'5. Rahoitustuotot ja -kulut'!J147</f>
        <v>6145.1114153534254</v>
      </c>
      <c r="K147" s="41">
        <f>Käyttökate!K147+'5. Rahoitustuotot ja -kulut'!K147</f>
        <v>7950.9885782850924</v>
      </c>
      <c r="L147" s="41">
        <f>Käyttökate!L147+'5. Rahoitustuotot ja -kulut'!L147</f>
        <v>6342.686693328149</v>
      </c>
      <c r="M147" s="41">
        <f>Käyttökate!M147+'5. Rahoitustuotot ja -kulut'!M147</f>
        <v>4067.7649196455363</v>
      </c>
      <c r="N147" s="41">
        <f>Käyttökate!N147+'5. Rahoitustuotot ja -kulut'!N147</f>
        <v>4507.9666956393412</v>
      </c>
      <c r="O147" s="41">
        <f>Käyttökate!O147+'5. Rahoitustuotot ja -kulut'!O147</f>
        <v>4858.1880127209033</v>
      </c>
      <c r="P147" s="41">
        <f>Käyttökate!P147+'5. Rahoitustuotot ja -kulut'!P147</f>
        <v>6965.2186633983401</v>
      </c>
      <c r="T147" s="34">
        <v>430</v>
      </c>
      <c r="U147" s="88" t="s">
        <v>461</v>
      </c>
      <c r="V147" s="41" t="e">
        <f>C147/'1. Väestöennuste'!E147*1000</f>
        <v>#REF!</v>
      </c>
      <c r="W147" s="41">
        <f>D147/'1. Väestöennuste'!F147*1000</f>
        <v>149.25923649105553</v>
      </c>
      <c r="X147" s="41">
        <f>E147/'1. Väestöennuste'!G147*1000</f>
        <v>205.26315789473685</v>
      </c>
      <c r="Y147" s="41">
        <f>F147/'1. Väestöennuste'!H147*1000</f>
        <v>-25.573852295409182</v>
      </c>
      <c r="Z147" s="41">
        <f>G147/'1. Väestöennuste'!I147*1000</f>
        <v>95.30708661417323</v>
      </c>
      <c r="AA147" s="41">
        <f>H147/'1. Väestöennuste'!J147*1000</f>
        <v>809.90896392676166</v>
      </c>
      <c r="AB147" s="41">
        <f>I147/'1. Väestöennuste'!K147*1000</f>
        <v>480.8468968642714</v>
      </c>
      <c r="AC147" s="41">
        <f>J147/'1. Väestöennuste'!L147*1000</f>
        <v>399.24060650684936</v>
      </c>
      <c r="AD147" s="41">
        <f>K147/'1. Väestöennuste'!M147*1000</f>
        <v>515.62831246985036</v>
      </c>
      <c r="AE147" s="41">
        <f>L147/'1. Väestöennuste'!N147*1000</f>
        <v>416.56946626350646</v>
      </c>
      <c r="AF147" s="41">
        <f>M147/'1. Väestöennuste'!O147*1000</f>
        <v>269.31706300619277</v>
      </c>
      <c r="AG147" s="41">
        <f>N147/'1. Väestöennuste'!P147*1000</f>
        <v>300.79179926865555</v>
      </c>
      <c r="AH147" s="41">
        <f>O147/'1. Väestöennuste'!Q147*1000</f>
        <v>326.62283264225516</v>
      </c>
      <c r="AI147" s="41">
        <f>P147/'1. Väestöennuste'!R147*1000</f>
        <v>471.73848041979954</v>
      </c>
      <c r="AK147" s="41">
        <f>'6. Poistot'!Z147</f>
        <v>249.44881889763778</v>
      </c>
      <c r="AL147" s="41">
        <f>'6. Poistot'!AA147</f>
        <v>262.58719086873811</v>
      </c>
      <c r="AM147" s="41">
        <f>'6. Poistot'!AB147</f>
        <v>282.42638917327872</v>
      </c>
      <c r="AN147" s="41">
        <f>'6. Poistot'!AC147</f>
        <v>283.21374350311851</v>
      </c>
      <c r="AO147" s="41">
        <f>'6. Poistot'!AD147</f>
        <v>287.17005382619982</v>
      </c>
      <c r="AP147" s="41">
        <f>'6. Poistot'!AE147</f>
        <v>292.13286483646397</v>
      </c>
      <c r="AQ147" s="41">
        <f>'6. Poistot'!AF147</f>
        <v>291.87705243644069</v>
      </c>
      <c r="AR147" s="41">
        <f>'6. Poistot'!AG147</f>
        <v>305.56722492827117</v>
      </c>
      <c r="AS147" s="41">
        <f>'6. Poistot'!AH147</f>
        <v>317.82310530638648</v>
      </c>
      <c r="AT147" s="41">
        <f>'6. Poistot'!AI147</f>
        <v>330.17715791766904</v>
      </c>
      <c r="AV147" s="4">
        <f t="shared" si="46"/>
        <v>0</v>
      </c>
      <c r="AW147" s="4">
        <f t="shared" si="47"/>
        <v>0</v>
      </c>
      <c r="AX147" s="4">
        <f t="shared" si="48"/>
        <v>0</v>
      </c>
      <c r="AY147" s="4">
        <f t="shared" si="49"/>
        <v>0</v>
      </c>
      <c r="AZ147" s="4">
        <f t="shared" si="50"/>
        <v>1</v>
      </c>
      <c r="BA147" s="4">
        <f t="shared" si="51"/>
        <v>1</v>
      </c>
      <c r="BB147" s="4">
        <f t="shared" si="52"/>
        <v>0</v>
      </c>
      <c r="BC147" s="4">
        <f t="shared" si="53"/>
        <v>0</v>
      </c>
      <c r="BE147" s="405">
        <f t="shared" si="54"/>
        <v>0</v>
      </c>
      <c r="BF147" s="405">
        <f t="shared" si="55"/>
        <v>0</v>
      </c>
      <c r="BG147" s="405">
        <f t="shared" si="56"/>
        <v>0</v>
      </c>
      <c r="BH147" s="405">
        <f t="shared" si="57"/>
        <v>0</v>
      </c>
      <c r="BI147" s="405">
        <f t="shared" si="58"/>
        <v>0</v>
      </c>
      <c r="BJ147" s="405">
        <f t="shared" si="59"/>
        <v>0</v>
      </c>
      <c r="BK147" s="405">
        <f t="shared" si="60"/>
        <v>0</v>
      </c>
      <c r="BL147" s="405">
        <f t="shared" si="61"/>
        <v>0</v>
      </c>
      <c r="BM147" s="405">
        <f t="shared" si="62"/>
        <v>0</v>
      </c>
      <c r="BN147" s="405">
        <f t="shared" si="62"/>
        <v>0</v>
      </c>
    </row>
    <row r="148" spans="1:66" x14ac:dyDescent="0.2">
      <c r="A148" s="34">
        <v>433</v>
      </c>
      <c r="B148" s="88" t="s">
        <v>462</v>
      </c>
      <c r="C148" s="41" t="e">
        <f>'2. Toimintakate'!D148+'3. Verotulot'!G148+'4. Valtionosuudet'!#REF!+'5. Rahoitustuotot ja -kulut'!C148</f>
        <v>#REF!</v>
      </c>
      <c r="D148" s="41">
        <f>'2. Toimintakate'!E148+'4. Valtionosuudet'!H148+'3. Verotulot'!L148+'5. Rahoitustuotot ja -kulut'!D148</f>
        <v>3484</v>
      </c>
      <c r="E148" s="41">
        <f>'2. Toimintakate'!F148+'4. Valtionosuudet'!N148+'3. Verotulot'!Q148+'5. Rahoitustuotot ja -kulut'!E148</f>
        <v>3331</v>
      </c>
      <c r="F148" s="41">
        <f>'2. Toimintakate'!G148+'4. Valtionosuudet'!T148+'3. Verotulot'!V148+'5. Rahoitustuotot ja -kulut'!F148</f>
        <v>1266</v>
      </c>
      <c r="G148" s="41">
        <f>'2. Toimintakate'!H148+'3. Verotulot'!AA148+'4. Valtionosuudet'!Z148+'5. Rahoitustuotot ja -kulut'!G148</f>
        <v>2953</v>
      </c>
      <c r="H148" s="41">
        <f>Käyttökate!H148+'5. Rahoitustuotot ja -kulut'!H148</f>
        <v>6157.3480897596892</v>
      </c>
      <c r="I148" s="41">
        <f>Käyttökate!I148+'5. Rahoitustuotot ja -kulut'!I148</f>
        <v>4483.8504029439027</v>
      </c>
      <c r="J148" s="41">
        <f>Käyttökate!J148+'5. Rahoitustuotot ja -kulut'!J148</f>
        <v>2281.8162989662751</v>
      </c>
      <c r="K148" s="41">
        <f>Käyttökate!K148+'5. Rahoitustuotot ja -kulut'!K148</f>
        <v>3357.5263314176768</v>
      </c>
      <c r="L148" s="41">
        <f>Käyttökate!L148+'5. Rahoitustuotot ja -kulut'!L148</f>
        <v>1122.5636138630725</v>
      </c>
      <c r="M148" s="41">
        <f>Käyttökate!M148+'5. Rahoitustuotot ja -kulut'!M148</f>
        <v>510.66624399202919</v>
      </c>
      <c r="N148" s="41">
        <f>Käyttökate!N148+'5. Rahoitustuotot ja -kulut'!N148</f>
        <v>979.10715617955066</v>
      </c>
      <c r="O148" s="41">
        <f>Käyttökate!O148+'5. Rahoitustuotot ja -kulut'!O148</f>
        <v>780.39098615326259</v>
      </c>
      <c r="P148" s="41">
        <f>Käyttökate!P148+'5. Rahoitustuotot ja -kulut'!P148</f>
        <v>1647.6539412049835</v>
      </c>
      <c r="T148" s="34">
        <v>433</v>
      </c>
      <c r="U148" s="88" t="s">
        <v>462</v>
      </c>
      <c r="V148" s="41" t="e">
        <f>C148/'1. Väestöennuste'!E148*1000</f>
        <v>#REF!</v>
      </c>
      <c r="W148" s="41">
        <f>D148/'1. Väestöennuste'!F148*1000</f>
        <v>430.22968634230676</v>
      </c>
      <c r="X148" s="41">
        <f>E148/'1. Väestöennuste'!G148*1000</f>
        <v>414.9227703039362</v>
      </c>
      <c r="Y148" s="41">
        <f>F148/'1. Väestöennuste'!H148*1000</f>
        <v>161.04821269558582</v>
      </c>
      <c r="Z148" s="41">
        <f>G148/'1. Väestöennuste'!I148*1000</f>
        <v>377.23556463975473</v>
      </c>
      <c r="AA148" s="41">
        <f>H148/'1. Väestöennuste'!J148*1000</f>
        <v>784.07590599257469</v>
      </c>
      <c r="AB148" s="41">
        <f>I148/'1. Väestöennuste'!K148*1000</f>
        <v>574.92632426514979</v>
      </c>
      <c r="AC148" s="41">
        <f>J148/'1. Väestöennuste'!L148*1000</f>
        <v>294.46590514469932</v>
      </c>
      <c r="AD148" s="41">
        <f>K148/'1. Väestöennuste'!M148*1000</f>
        <v>436.49588291961476</v>
      </c>
      <c r="AE148" s="41">
        <f>L148/'1. Väestöennuste'!N148*1000</f>
        <v>146.79790948909016</v>
      </c>
      <c r="AF148" s="41">
        <f>M148/'1. Väestöennuste'!O148*1000</f>
        <v>67.166413782984236</v>
      </c>
      <c r="AG148" s="41">
        <f>N148/'1. Väestöennuste'!P148*1000</f>
        <v>129.56294246123471</v>
      </c>
      <c r="AH148" s="41">
        <f>O148/'1. Väestöennuste'!Q148*1000</f>
        <v>103.84444260189788</v>
      </c>
      <c r="AI148" s="41">
        <f>P148/'1. Väestöennuste'!R148*1000</f>
        <v>220.53994662093206</v>
      </c>
      <c r="AK148" s="41">
        <f>'6. Poistot'!Z148</f>
        <v>268.26775677056719</v>
      </c>
      <c r="AL148" s="41">
        <f>'6. Poistot'!AA148</f>
        <v>514.58041512797661</v>
      </c>
      <c r="AM148" s="41">
        <f>'6. Poistot'!AB148</f>
        <v>292.83629183228624</v>
      </c>
      <c r="AN148" s="41">
        <f>'6. Poistot'!AC148</f>
        <v>273.37026067879725</v>
      </c>
      <c r="AO148" s="41">
        <f>'6. Poistot'!AD148</f>
        <v>301.2430031201248</v>
      </c>
      <c r="AP148" s="41">
        <f>'6. Poistot'!AE148</f>
        <v>323.65633581796783</v>
      </c>
      <c r="AQ148" s="41">
        <f>'6. Poistot'!AF148</f>
        <v>321.18900434039193</v>
      </c>
      <c r="AR148" s="41">
        <f>'6. Poistot'!AG148</f>
        <v>316.75267963477563</v>
      </c>
      <c r="AS148" s="41">
        <f>'6. Poistot'!AH148</f>
        <v>328.80052421476455</v>
      </c>
      <c r="AT148" s="41">
        <f>'6. Poistot'!AI148</f>
        <v>341.07507414642089</v>
      </c>
      <c r="AV148" s="4">
        <f t="shared" si="46"/>
        <v>0</v>
      </c>
      <c r="AW148" s="4">
        <f t="shared" si="47"/>
        <v>0</v>
      </c>
      <c r="AX148" s="4">
        <f t="shared" si="48"/>
        <v>0</v>
      </c>
      <c r="AY148" s="4">
        <f t="shared" si="49"/>
        <v>1</v>
      </c>
      <c r="AZ148" s="4">
        <f t="shared" si="50"/>
        <v>1</v>
      </c>
      <c r="BA148" s="4">
        <f t="shared" si="51"/>
        <v>1</v>
      </c>
      <c r="BB148" s="4">
        <f t="shared" si="52"/>
        <v>1</v>
      </c>
      <c r="BC148" s="4">
        <f t="shared" si="53"/>
        <v>1</v>
      </c>
      <c r="BE148" s="405">
        <f t="shared" si="54"/>
        <v>0</v>
      </c>
      <c r="BF148" s="405">
        <f t="shared" si="55"/>
        <v>0</v>
      </c>
      <c r="BG148" s="405">
        <f t="shared" si="56"/>
        <v>0</v>
      </c>
      <c r="BH148" s="405">
        <f t="shared" si="57"/>
        <v>0</v>
      </c>
      <c r="BI148" s="405">
        <f t="shared" si="58"/>
        <v>0</v>
      </c>
      <c r="BJ148" s="405">
        <f t="shared" si="59"/>
        <v>0</v>
      </c>
      <c r="BK148" s="405">
        <f t="shared" si="60"/>
        <v>0</v>
      </c>
      <c r="BL148" s="405">
        <f t="shared" si="61"/>
        <v>0</v>
      </c>
      <c r="BM148" s="405">
        <f t="shared" si="62"/>
        <v>0</v>
      </c>
      <c r="BN148" s="405">
        <f t="shared" si="62"/>
        <v>0</v>
      </c>
    </row>
    <row r="149" spans="1:66" x14ac:dyDescent="0.2">
      <c r="A149" s="34">
        <v>434</v>
      </c>
      <c r="B149" s="88" t="s">
        <v>463</v>
      </c>
      <c r="C149" s="41" t="e">
        <f>'2. Toimintakate'!D149+'3. Verotulot'!G149+'4. Valtionosuudet'!#REF!+'5. Rahoitustuotot ja -kulut'!C149</f>
        <v>#REF!</v>
      </c>
      <c r="D149" s="41">
        <f>'2. Toimintakate'!E149+'4. Valtionosuudet'!H149+'3. Verotulot'!L149+'5. Rahoitustuotot ja -kulut'!D149</f>
        <v>7657</v>
      </c>
      <c r="E149" s="41">
        <f>'2. Toimintakate'!F149+'4. Valtionosuudet'!N149+'3. Verotulot'!Q149+'5. Rahoitustuotot ja -kulut'!E149</f>
        <v>8268</v>
      </c>
      <c r="F149" s="41">
        <f>'2. Toimintakate'!G149+'4. Valtionosuudet'!T149+'3. Verotulot'!V149+'5. Rahoitustuotot ja -kulut'!F149</f>
        <v>-1792</v>
      </c>
      <c r="G149" s="41">
        <f>'2. Toimintakate'!H149+'3. Verotulot'!AA149+'4. Valtionosuudet'!Z149+'5. Rahoitustuotot ja -kulut'!G149</f>
        <v>-1760</v>
      </c>
      <c r="H149" s="41">
        <f>Käyttökate!H149+'5. Rahoitustuotot ja -kulut'!H149</f>
        <v>10721.440049607249</v>
      </c>
      <c r="I149" s="41">
        <f>Käyttökate!I149+'5. Rahoitustuotot ja -kulut'!I149</f>
        <v>11792.869327833532</v>
      </c>
      <c r="J149" s="41">
        <f>Käyttökate!J149+'5. Rahoitustuotot ja -kulut'!J149</f>
        <v>10164.767994059135</v>
      </c>
      <c r="K149" s="41">
        <f>Käyttökate!K149+'5. Rahoitustuotot ja -kulut'!K149</f>
        <v>9521.3250737384096</v>
      </c>
      <c r="L149" s="41">
        <f>Käyttökate!L149+'5. Rahoitustuotot ja -kulut'!L149</f>
        <v>8020.053670270353</v>
      </c>
      <c r="M149" s="41">
        <f>Käyttökate!M149+'5. Rahoitustuotot ja -kulut'!M149</f>
        <v>5982.4821397562837</v>
      </c>
      <c r="N149" s="41">
        <f>Käyttökate!N149+'5. Rahoitustuotot ja -kulut'!N149</f>
        <v>5481.2514831796279</v>
      </c>
      <c r="O149" s="41">
        <f>Käyttökate!O149+'5. Rahoitustuotot ja -kulut'!O149</f>
        <v>6140.0516956234569</v>
      </c>
      <c r="P149" s="41">
        <f>Käyttökate!P149+'5. Rahoitustuotot ja -kulut'!P149</f>
        <v>7358.9546864500726</v>
      </c>
      <c r="T149" s="34">
        <v>434</v>
      </c>
      <c r="U149" s="88" t="s">
        <v>463</v>
      </c>
      <c r="V149" s="41" t="e">
        <f>C149/'1. Väestöennuste'!E149*1000</f>
        <v>#REF!</v>
      </c>
      <c r="W149" s="41">
        <f>D149/'1. Väestöennuste'!F149*1000</f>
        <v>503.48500789058392</v>
      </c>
      <c r="X149" s="41">
        <f>E149/'1. Väestöennuste'!G149*1000</f>
        <v>548.09413324494528</v>
      </c>
      <c r="Y149" s="41">
        <f>F149/'1. Väestöennuste'!H149*1000</f>
        <v>-120.34114565845141</v>
      </c>
      <c r="Z149" s="41">
        <f>G149/'1. Väestöennuste'!I149*1000</f>
        <v>-119.14432710533441</v>
      </c>
      <c r="AA149" s="41">
        <f>H149/'1. Väestöennuste'!J149*1000</f>
        <v>727.12377413409627</v>
      </c>
      <c r="AB149" s="41">
        <f>I149/'1. Väestöennuste'!K149*1000</f>
        <v>805.35882864396183</v>
      </c>
      <c r="AC149" s="41">
        <f>J149/'1. Väestöennuste'!L149*1000</f>
        <v>697.74629283766717</v>
      </c>
      <c r="AD149" s="41">
        <f>K149/'1. Väestöennuste'!M149*1000</f>
        <v>658.55063450950399</v>
      </c>
      <c r="AE149" s="41">
        <f>L149/'1. Väestöennuste'!N149*1000</f>
        <v>559.8641305598851</v>
      </c>
      <c r="AF149" s="41">
        <f>M149/'1. Väestöennuste'!O149*1000</f>
        <v>420.17714143533385</v>
      </c>
      <c r="AG149" s="41">
        <f>N149/'1. Väestöennuste'!P149*1000</f>
        <v>387.2854859873969</v>
      </c>
      <c r="AH149" s="41">
        <f>O149/'1. Väestöennuste'!Q149*1000</f>
        <v>436.1451694575548</v>
      </c>
      <c r="AI149" s="41">
        <f>P149/'1. Väestöennuste'!R149*1000</f>
        <v>525.33942650271797</v>
      </c>
      <c r="AK149" s="41">
        <f>'6. Poistot'!Z149</f>
        <v>482.8053073382074</v>
      </c>
      <c r="AL149" s="41">
        <f>'6. Poistot'!AA149</f>
        <v>426.92438114615123</v>
      </c>
      <c r="AM149" s="41">
        <f>'6. Poistot'!AB149</f>
        <v>471.33347742948854</v>
      </c>
      <c r="AN149" s="41">
        <f>'6. Poistot'!AC149</f>
        <v>495.42027045579351</v>
      </c>
      <c r="AO149" s="41">
        <f>'6. Poistot'!AD149</f>
        <v>499.87544196984368</v>
      </c>
      <c r="AP149" s="41">
        <f>'6. Poistot'!AE149</f>
        <v>553.53849912739975</v>
      </c>
      <c r="AQ149" s="41">
        <f>'6. Poistot'!AF149</f>
        <v>559.07641522685765</v>
      </c>
      <c r="AR149" s="41">
        <f>'6. Poistot'!AG149</f>
        <v>5580.4004098071082</v>
      </c>
      <c r="AS149" s="41">
        <f>'6. Poistot'!AH149</f>
        <v>5791.1481351029561</v>
      </c>
      <c r="AT149" s="41">
        <f>'6. Poistot'!AI149</f>
        <v>6002.0102721272715</v>
      </c>
      <c r="AV149" s="4">
        <f t="shared" si="46"/>
        <v>0</v>
      </c>
      <c r="AW149" s="4">
        <f t="shared" si="47"/>
        <v>0</v>
      </c>
      <c r="AX149" s="4">
        <f t="shared" si="48"/>
        <v>0</v>
      </c>
      <c r="AY149" s="4">
        <f t="shared" si="49"/>
        <v>0</v>
      </c>
      <c r="AZ149" s="4">
        <f t="shared" si="50"/>
        <v>1</v>
      </c>
      <c r="BA149" s="4">
        <f t="shared" si="51"/>
        <v>1</v>
      </c>
      <c r="BB149" s="4">
        <f t="shared" si="52"/>
        <v>1</v>
      </c>
      <c r="BC149" s="4">
        <f t="shared" si="53"/>
        <v>1</v>
      </c>
      <c r="BE149" s="405">
        <f t="shared" si="54"/>
        <v>-1</v>
      </c>
      <c r="BF149" s="405">
        <f t="shared" si="55"/>
        <v>0</v>
      </c>
      <c r="BG149" s="405">
        <f t="shared" si="56"/>
        <v>0</v>
      </c>
      <c r="BH149" s="405">
        <f t="shared" si="57"/>
        <v>0</v>
      </c>
      <c r="BI149" s="405">
        <f t="shared" si="58"/>
        <v>0</v>
      </c>
      <c r="BJ149" s="405">
        <f t="shared" si="59"/>
        <v>0</v>
      </c>
      <c r="BK149" s="405">
        <f t="shared" si="60"/>
        <v>0</v>
      </c>
      <c r="BL149" s="405">
        <f t="shared" si="61"/>
        <v>0</v>
      </c>
      <c r="BM149" s="405">
        <f t="shared" si="62"/>
        <v>0</v>
      </c>
      <c r="BN149" s="405">
        <f t="shared" si="62"/>
        <v>0</v>
      </c>
    </row>
    <row r="150" spans="1:66" x14ac:dyDescent="0.2">
      <c r="A150" s="34">
        <v>435</v>
      </c>
      <c r="B150" s="88" t="s">
        <v>464</v>
      </c>
      <c r="C150" s="41" t="e">
        <f>'2. Toimintakate'!D150+'3. Verotulot'!G150+'4. Valtionosuudet'!#REF!+'5. Rahoitustuotot ja -kulut'!C150</f>
        <v>#REF!</v>
      </c>
      <c r="D150" s="41">
        <f>'2. Toimintakate'!E150+'4. Valtionosuudet'!H150+'3. Verotulot'!L150+'5. Rahoitustuotot ja -kulut'!D150</f>
        <v>238</v>
      </c>
      <c r="E150" s="41">
        <f>'2. Toimintakate'!F150+'4. Valtionosuudet'!N150+'3. Verotulot'!Q150+'5. Rahoitustuotot ja -kulut'!E150</f>
        <v>634</v>
      </c>
      <c r="F150" s="41">
        <f>'2. Toimintakate'!G150+'4. Valtionosuudet'!T150+'3. Verotulot'!V150+'5. Rahoitustuotot ja -kulut'!F150</f>
        <v>462</v>
      </c>
      <c r="G150" s="41">
        <f>'2. Toimintakate'!H150+'3. Verotulot'!AA150+'4. Valtionosuudet'!Z150+'5. Rahoitustuotot ja -kulut'!G150</f>
        <v>57</v>
      </c>
      <c r="H150" s="41">
        <f>Käyttökate!H150+'5. Rahoitustuotot ja -kulut'!H150</f>
        <v>884.93725968993112</v>
      </c>
      <c r="I150" s="41">
        <f>Käyttökate!I150+'5. Rahoitustuotot ja -kulut'!I150</f>
        <v>516.90303035774116</v>
      </c>
      <c r="J150" s="41">
        <f>Käyttökate!J150+'5. Rahoitustuotot ja -kulut'!J150</f>
        <v>234.54658556238272</v>
      </c>
      <c r="K150" s="41">
        <f>Käyttökate!K150+'5. Rahoitustuotot ja -kulut'!K150</f>
        <v>-86.487617096402943</v>
      </c>
      <c r="L150" s="41">
        <f>Käyttökate!L150+'5. Rahoitustuotot ja -kulut'!L150</f>
        <v>-57.433560197518617</v>
      </c>
      <c r="M150" s="41">
        <f>Käyttökate!M150+'5. Rahoitustuotot ja -kulut'!M150</f>
        <v>-103.37125621028981</v>
      </c>
      <c r="N150" s="41">
        <f>Käyttökate!N150+'5. Rahoitustuotot ja -kulut'!N150</f>
        <v>-175.60585528571954</v>
      </c>
      <c r="O150" s="41">
        <f>Käyttökate!O150+'5. Rahoitustuotot ja -kulut'!O150</f>
        <v>-224.71360696679176</v>
      </c>
      <c r="P150" s="41">
        <f>Käyttökate!P150+'5. Rahoitustuotot ja -kulut'!P150</f>
        <v>-229.47604688770949</v>
      </c>
      <c r="T150" s="34">
        <v>435</v>
      </c>
      <c r="U150" s="88" t="s">
        <v>464</v>
      </c>
      <c r="V150" s="41" t="e">
        <f>C150/'1. Väestöennuste'!E150*1000</f>
        <v>#REF!</v>
      </c>
      <c r="W150" s="41">
        <f>D150/'1. Väestöennuste'!F150*1000</f>
        <v>314.81481481481484</v>
      </c>
      <c r="X150" s="41">
        <f>E150/'1. Väestöennuste'!G150*1000</f>
        <v>863.76021798365116</v>
      </c>
      <c r="Y150" s="41">
        <f>F150/'1. Väestöennuste'!H150*1000</f>
        <v>653.46534653465346</v>
      </c>
      <c r="Z150" s="41">
        <f>G150/'1. Väestöennuste'!I150*1000</f>
        <v>82.608695652173907</v>
      </c>
      <c r="AA150" s="41">
        <f>H150/'1. Väestöennuste'!J150*1000</f>
        <v>1266.0046633618472</v>
      </c>
      <c r="AB150" s="41">
        <f>I150/'1. Väestöennuste'!K150*1000</f>
        <v>735.28169325425483</v>
      </c>
      <c r="AC150" s="41">
        <f>J150/'1. Väestöennuste'!L150*1000</f>
        <v>338.94015254679584</v>
      </c>
      <c r="AD150" s="41">
        <f>K150/'1. Väestöennuste'!M150*1000</f>
        <v>-123.20173375555974</v>
      </c>
      <c r="AE150" s="41">
        <f>L150/'1. Väestöennuste'!N150*1000</f>
        <v>-83.600524304976148</v>
      </c>
      <c r="AF150" s="41">
        <f>M150/'1. Väestöennuste'!O150*1000</f>
        <v>-151.34883778958977</v>
      </c>
      <c r="AG150" s="41">
        <f>N150/'1. Väestöennuste'!P150*1000</f>
        <v>-257.10959778289833</v>
      </c>
      <c r="AH150" s="41">
        <f>O150/'1. Väestöennuste'!Q150*1000</f>
        <v>-330.46118671587021</v>
      </c>
      <c r="AI150" s="41">
        <f>P150/'1. Väestöennuste'!R150*1000</f>
        <v>-337.96177744876218</v>
      </c>
      <c r="AK150" s="41">
        <f>'6. Poistot'!Z150</f>
        <v>359.42028985507244</v>
      </c>
      <c r="AL150" s="41">
        <f>'6. Poistot'!AA150</f>
        <v>333.33333333333331</v>
      </c>
      <c r="AM150" s="41">
        <f>'6. Poistot'!AB150</f>
        <v>315.49485064011378</v>
      </c>
      <c r="AN150" s="41">
        <f>'6. Poistot'!AC150</f>
        <v>308.71583815028896</v>
      </c>
      <c r="AO150" s="41">
        <f>'6. Poistot'!AD150</f>
        <v>267.10877492877495</v>
      </c>
      <c r="AP150" s="41">
        <f>'6. Poistot'!AE150</f>
        <v>275.83988355167395</v>
      </c>
      <c r="AQ150" s="41">
        <f>'6. Poistot'!AF150</f>
        <v>277.45534407027822</v>
      </c>
      <c r="AR150" s="41">
        <f>'6. Poistot'!AG150</f>
        <v>277.45534407027822</v>
      </c>
      <c r="AS150" s="41">
        <f>'6. Poistot'!AH150</f>
        <v>287.67137658055429</v>
      </c>
      <c r="AT150" s="41">
        <f>'6. Poistot'!AI150</f>
        <v>297.10025353395264</v>
      </c>
      <c r="AV150" s="4">
        <f t="shared" si="46"/>
        <v>0</v>
      </c>
      <c r="AW150" s="4">
        <f t="shared" si="47"/>
        <v>0</v>
      </c>
      <c r="AX150" s="4">
        <f t="shared" si="48"/>
        <v>1</v>
      </c>
      <c r="AY150" s="4">
        <f t="shared" si="49"/>
        <v>1</v>
      </c>
      <c r="AZ150" s="4">
        <f t="shared" si="50"/>
        <v>1</v>
      </c>
      <c r="BA150" s="4">
        <f t="shared" si="51"/>
        <v>1</v>
      </c>
      <c r="BB150" s="4">
        <f t="shared" si="52"/>
        <v>1</v>
      </c>
      <c r="BC150" s="4">
        <f t="shared" si="53"/>
        <v>1</v>
      </c>
      <c r="BE150" s="405">
        <f t="shared" si="54"/>
        <v>0</v>
      </c>
      <c r="BF150" s="405">
        <f t="shared" si="55"/>
        <v>0</v>
      </c>
      <c r="BG150" s="405">
        <f t="shared" si="56"/>
        <v>0</v>
      </c>
      <c r="BH150" s="405">
        <f t="shared" si="57"/>
        <v>0</v>
      </c>
      <c r="BI150" s="405">
        <f t="shared" si="58"/>
        <v>-1</v>
      </c>
      <c r="BJ150" s="405">
        <f t="shared" si="59"/>
        <v>-1</v>
      </c>
      <c r="BK150" s="405">
        <f t="shared" si="60"/>
        <v>-1</v>
      </c>
      <c r="BL150" s="405">
        <f t="shared" si="61"/>
        <v>-1</v>
      </c>
      <c r="BM150" s="405">
        <f t="shared" si="62"/>
        <v>-1</v>
      </c>
      <c r="BN150" s="405">
        <f t="shared" si="62"/>
        <v>-1</v>
      </c>
    </row>
    <row r="151" spans="1:66" x14ac:dyDescent="0.2">
      <c r="A151" s="34">
        <v>436</v>
      </c>
      <c r="B151" s="88" t="s">
        <v>465</v>
      </c>
      <c r="C151" s="41" t="e">
        <f>'2. Toimintakate'!D151+'3. Verotulot'!G151+'4. Valtionosuudet'!#REF!+'5. Rahoitustuotot ja -kulut'!C151</f>
        <v>#REF!</v>
      </c>
      <c r="D151" s="41">
        <f>'2. Toimintakate'!E151+'4. Valtionosuudet'!H151+'3. Verotulot'!L151+'5. Rahoitustuotot ja -kulut'!D151</f>
        <v>532</v>
      </c>
      <c r="E151" s="41">
        <f>'2. Toimintakate'!F151+'4. Valtionosuudet'!N151+'3. Verotulot'!Q151+'5. Rahoitustuotot ja -kulut'!E151</f>
        <v>541</v>
      </c>
      <c r="F151" s="41">
        <f>'2. Toimintakate'!G151+'4. Valtionosuudet'!T151+'3. Verotulot'!V151+'5. Rahoitustuotot ja -kulut'!F151</f>
        <v>951</v>
      </c>
      <c r="G151" s="41">
        <f>'2. Toimintakate'!H151+'3. Verotulot'!AA151+'4. Valtionosuudet'!Z151+'5. Rahoitustuotot ja -kulut'!G151</f>
        <v>883</v>
      </c>
      <c r="H151" s="41">
        <f>Käyttökate!H151+'5. Rahoitustuotot ja -kulut'!H151</f>
        <v>1332.6514014942622</v>
      </c>
      <c r="I151" s="41">
        <f>Käyttökate!I151+'5. Rahoitustuotot ja -kulut'!I151</f>
        <v>1142.3219625459067</v>
      </c>
      <c r="J151" s="41">
        <f>Käyttökate!J151+'5. Rahoitustuotot ja -kulut'!J151</f>
        <v>-243.78840378914671</v>
      </c>
      <c r="K151" s="41">
        <f>Käyttökate!K151+'5. Rahoitustuotot ja -kulut'!K151</f>
        <v>1269.7318775798519</v>
      </c>
      <c r="L151" s="41">
        <f>Käyttökate!L151+'5. Rahoitustuotot ja -kulut'!L151</f>
        <v>88.24110306145667</v>
      </c>
      <c r="M151" s="41">
        <f>Käyttökate!M151+'5. Rahoitustuotot ja -kulut'!M151</f>
        <v>-653.11384484835526</v>
      </c>
      <c r="N151" s="41">
        <f>Käyttökate!N151+'5. Rahoitustuotot ja -kulut'!N151</f>
        <v>-205.29409052727624</v>
      </c>
      <c r="O151" s="41">
        <f>Käyttökate!O151+'5. Rahoitustuotot ja -kulut'!O151</f>
        <v>-282.87123639654351</v>
      </c>
      <c r="P151" s="41">
        <f>Käyttökate!P151+'5. Rahoitustuotot ja -kulut'!P151</f>
        <v>-284.73422337107104</v>
      </c>
      <c r="T151" s="34">
        <v>436</v>
      </c>
      <c r="U151" s="88" t="s">
        <v>465</v>
      </c>
      <c r="V151" s="41" t="e">
        <f>C151/'1. Väestöennuste'!E151*1000</f>
        <v>#REF!</v>
      </c>
      <c r="W151" s="41">
        <f>D151/'1. Väestöennuste'!F151*1000</f>
        <v>252.73159144893108</v>
      </c>
      <c r="X151" s="41">
        <f>E151/'1. Väestöennuste'!G151*1000</f>
        <v>259.97116770783282</v>
      </c>
      <c r="Y151" s="41">
        <f>F151/'1. Väestöennuste'!H151*1000</f>
        <v>463.45029239766086</v>
      </c>
      <c r="Z151" s="41">
        <f>G151/'1. Väestöennuste'!I151*1000</f>
        <v>437.12871287128712</v>
      </c>
      <c r="AA151" s="41">
        <f>H151/'1. Väestöennuste'!J151*1000</f>
        <v>654.54391036063964</v>
      </c>
      <c r="AB151" s="41">
        <f>I151/'1. Väestöennuste'!K151*1000</f>
        <v>566.06638381858613</v>
      </c>
      <c r="AC151" s="41">
        <f>J151/'1. Väestöennuste'!L151*1000</f>
        <v>-122.62998178528507</v>
      </c>
      <c r="AD151" s="41">
        <f>K151/'1. Väestöennuste'!M151*1000</f>
        <v>624.56068744704965</v>
      </c>
      <c r="AE151" s="41">
        <f>L151/'1. Väestöennuste'!N151*1000</f>
        <v>43.727008454636604</v>
      </c>
      <c r="AF151" s="41">
        <f>M151/'1. Väestöennuste'!O151*1000</f>
        <v>-325.09399942675719</v>
      </c>
      <c r="AG151" s="41">
        <f>N151/'1. Väestöennuste'!P151*1000</f>
        <v>-102.44216094175461</v>
      </c>
      <c r="AH151" s="41">
        <f>O151/'1. Väestöennuste'!Q151*1000</f>
        <v>-141.64809033377242</v>
      </c>
      <c r="AI151" s="41">
        <f>P151/'1. Väestöennuste'!R151*1000</f>
        <v>-142.93886715415212</v>
      </c>
      <c r="AK151" s="41">
        <f>'6. Poistot'!Z151</f>
        <v>285.6435643564356</v>
      </c>
      <c r="AL151" s="41">
        <f>'6. Poistot'!AA151</f>
        <v>581.53241650294694</v>
      </c>
      <c r="AM151" s="41">
        <f>'6. Poistot'!AB151</f>
        <v>398.92480673934591</v>
      </c>
      <c r="AN151" s="41">
        <f>'6. Poistot'!AC151</f>
        <v>338.95255030181085</v>
      </c>
      <c r="AO151" s="41">
        <f>'6. Poistot'!AD151</f>
        <v>357.9137284800787</v>
      </c>
      <c r="AP151" s="41">
        <f>'6. Poistot'!AE151</f>
        <v>434.76660059464814</v>
      </c>
      <c r="AQ151" s="41">
        <f>'6. Poistot'!AF151</f>
        <v>469.8854902936784</v>
      </c>
      <c r="AR151" s="41">
        <f>'6. Poistot'!AG151</f>
        <v>472.05622255489021</v>
      </c>
      <c r="AS151" s="41">
        <f>'6. Poistot'!AH151</f>
        <v>488.99581863697529</v>
      </c>
      <c r="AT151" s="41">
        <f>'6. Poistot'!AI151</f>
        <v>505.54650082132491</v>
      </c>
      <c r="AV151" s="4">
        <f t="shared" si="46"/>
        <v>0</v>
      </c>
      <c r="AW151" s="4">
        <f t="shared" si="47"/>
        <v>1</v>
      </c>
      <c r="AX151" s="4">
        <f t="shared" si="48"/>
        <v>0</v>
      </c>
      <c r="AY151" s="4">
        <f t="shared" si="49"/>
        <v>1</v>
      </c>
      <c r="AZ151" s="4">
        <f t="shared" si="50"/>
        <v>1</v>
      </c>
      <c r="BA151" s="4">
        <f t="shared" si="51"/>
        <v>1</v>
      </c>
      <c r="BB151" s="4">
        <f t="shared" si="52"/>
        <v>1</v>
      </c>
      <c r="BC151" s="4">
        <f t="shared" si="53"/>
        <v>1</v>
      </c>
      <c r="BE151" s="405">
        <f t="shared" si="54"/>
        <v>0</v>
      </c>
      <c r="BF151" s="405">
        <f t="shared" si="55"/>
        <v>0</v>
      </c>
      <c r="BG151" s="405">
        <f t="shared" si="56"/>
        <v>0</v>
      </c>
      <c r="BH151" s="405">
        <f t="shared" si="57"/>
        <v>-1</v>
      </c>
      <c r="BI151" s="405">
        <f t="shared" si="58"/>
        <v>0</v>
      </c>
      <c r="BJ151" s="405">
        <f t="shared" si="59"/>
        <v>0</v>
      </c>
      <c r="BK151" s="405">
        <f t="shared" si="60"/>
        <v>-1</v>
      </c>
      <c r="BL151" s="405">
        <f t="shared" si="61"/>
        <v>-1</v>
      </c>
      <c r="BM151" s="405">
        <f t="shared" si="62"/>
        <v>-1</v>
      </c>
      <c r="BN151" s="405">
        <f t="shared" si="62"/>
        <v>-1</v>
      </c>
    </row>
    <row r="152" spans="1:66" x14ac:dyDescent="0.2">
      <c r="A152" s="34">
        <v>440</v>
      </c>
      <c r="B152" s="88" t="s">
        <v>466</v>
      </c>
      <c r="C152" s="41" t="e">
        <f>'2. Toimintakate'!D152+'3. Verotulot'!G152+'4. Valtionosuudet'!#REF!+'5. Rahoitustuotot ja -kulut'!C152</f>
        <v>#REF!</v>
      </c>
      <c r="D152" s="41">
        <f>'2. Toimintakate'!E152+'4. Valtionosuudet'!H152+'3. Verotulot'!L152+'5. Rahoitustuotot ja -kulut'!D152</f>
        <v>3114</v>
      </c>
      <c r="E152" s="41">
        <f>'2. Toimintakate'!F152+'4. Valtionosuudet'!N152+'3. Verotulot'!Q152+'5. Rahoitustuotot ja -kulut'!E152</f>
        <v>2470</v>
      </c>
      <c r="F152" s="41">
        <f>'2. Toimintakate'!G152+'4. Valtionosuudet'!T152+'3. Verotulot'!V152+'5. Rahoitustuotot ja -kulut'!F152</f>
        <v>1428</v>
      </c>
      <c r="G152" s="41">
        <f>'2. Toimintakate'!H152+'3. Verotulot'!AA152+'4. Valtionosuudet'!Z152+'5. Rahoitustuotot ja -kulut'!G152</f>
        <v>350</v>
      </c>
      <c r="H152" s="41">
        <f>Käyttökate!H152+'5. Rahoitustuotot ja -kulut'!H152</f>
        <v>3068.5336583003373</v>
      </c>
      <c r="I152" s="41">
        <f>Käyttökate!I152+'5. Rahoitustuotot ja -kulut'!I152</f>
        <v>3280.8906649936243</v>
      </c>
      <c r="J152" s="41">
        <f>Käyttökate!J152+'5. Rahoitustuotot ja -kulut'!J152</f>
        <v>2944.9329441811306</v>
      </c>
      <c r="K152" s="41">
        <f>Käyttökate!K152+'5. Rahoitustuotot ja -kulut'!K152</f>
        <v>1441.2738038885775</v>
      </c>
      <c r="L152" s="41">
        <f>Käyttökate!L152+'5. Rahoitustuotot ja -kulut'!L152</f>
        <v>1871.0922769938734</v>
      </c>
      <c r="M152" s="41">
        <f>Käyttökate!M152+'5. Rahoitustuotot ja -kulut'!M152</f>
        <v>2485.5337174955657</v>
      </c>
      <c r="N152" s="41">
        <f>Käyttökate!N152+'5. Rahoitustuotot ja -kulut'!N152</f>
        <v>2314.2762846544392</v>
      </c>
      <c r="O152" s="41">
        <f>Käyttökate!O152+'5. Rahoitustuotot ja -kulut'!O152</f>
        <v>2572.2671477488484</v>
      </c>
      <c r="P152" s="41">
        <f>Käyttökate!P152+'5. Rahoitustuotot ja -kulut'!P152</f>
        <v>3241.5235083479261</v>
      </c>
      <c r="T152" s="34">
        <v>440</v>
      </c>
      <c r="U152" s="88" t="s">
        <v>466</v>
      </c>
      <c r="V152" s="41" t="e">
        <f>C152/'1. Väestöennuste'!E152*1000</f>
        <v>#REF!</v>
      </c>
      <c r="W152" s="41">
        <f>D152/'1. Väestöennuste'!F152*1000</f>
        <v>601.62287480680061</v>
      </c>
      <c r="X152" s="41">
        <f>E152/'1. Väestöennuste'!G152*1000</f>
        <v>469.22492401215806</v>
      </c>
      <c r="Y152" s="41">
        <f>F152/'1. Väestöennuste'!H152*1000</f>
        <v>267.41573033707868</v>
      </c>
      <c r="Z152" s="41">
        <f>G152/'1. Väestöennuste'!I152*1000</f>
        <v>64.611408528705923</v>
      </c>
      <c r="AA152" s="41">
        <f>H152/'1. Väestöennuste'!J152*1000</f>
        <v>554.48746987718425</v>
      </c>
      <c r="AB152" s="41">
        <f>I152/'1. Väestöennuste'!K152*1000</f>
        <v>583.58069459153762</v>
      </c>
      <c r="AC152" s="41">
        <f>J152/'1. Väestöennuste'!L152*1000</f>
        <v>513.77057644471927</v>
      </c>
      <c r="AD152" s="41">
        <f>K152/'1. Väestöennuste'!M152*1000</f>
        <v>246.66674719982501</v>
      </c>
      <c r="AE152" s="41">
        <f>L152/'1. Väestöennuste'!N152*1000</f>
        <v>319.02681619673882</v>
      </c>
      <c r="AF152" s="41">
        <f>M152/'1. Väestöennuste'!O152*1000</f>
        <v>418.65145991166679</v>
      </c>
      <c r="AG152" s="41">
        <f>N152/'1. Väestöennuste'!P152*1000</f>
        <v>385.26324032868973</v>
      </c>
      <c r="AH152" s="41">
        <f>O152/'1. Väestöennuste'!Q152*1000</f>
        <v>423.41846053478986</v>
      </c>
      <c r="AI152" s="41">
        <f>P152/'1. Väestöennuste'!R152*1000</f>
        <v>528.02142178659813</v>
      </c>
      <c r="AK152" s="41">
        <f>'6. Poistot'!Z152</f>
        <v>308.28872069411113</v>
      </c>
      <c r="AL152" s="41">
        <f>'6. Poistot'!AA152</f>
        <v>279.72533429707266</v>
      </c>
      <c r="AM152" s="41">
        <f>'6. Poistot'!AB152</f>
        <v>278.20891675560301</v>
      </c>
      <c r="AN152" s="41">
        <f>'6. Poistot'!AC152</f>
        <v>245.37046406140965</v>
      </c>
      <c r="AO152" s="41">
        <f>'6. Poistot'!AD152</f>
        <v>245.03148553825088</v>
      </c>
      <c r="AP152" s="41">
        <f>'6. Poistot'!AE152</f>
        <v>289.22813299232735</v>
      </c>
      <c r="AQ152" s="41">
        <f>'6. Poistot'!AF152</f>
        <v>314.29262253663472</v>
      </c>
      <c r="AR152" s="41">
        <f>'6. Poistot'!AG152</f>
        <v>324.60851007158317</v>
      </c>
      <c r="AS152" s="41">
        <f>'6. Poistot'!AH152</f>
        <v>331.33172180584285</v>
      </c>
      <c r="AT152" s="41">
        <f>'6. Poistot'!AI152</f>
        <v>338.12625833865297</v>
      </c>
      <c r="AV152" s="4">
        <f t="shared" si="46"/>
        <v>0</v>
      </c>
      <c r="AW152" s="4">
        <f t="shared" si="47"/>
        <v>0</v>
      </c>
      <c r="AX152" s="4">
        <f t="shared" si="48"/>
        <v>0</v>
      </c>
      <c r="AY152" s="4">
        <f t="shared" si="49"/>
        <v>0</v>
      </c>
      <c r="AZ152" s="4">
        <f t="shared" si="50"/>
        <v>0</v>
      </c>
      <c r="BA152" s="4">
        <f t="shared" si="51"/>
        <v>0</v>
      </c>
      <c r="BB152" s="4">
        <f t="shared" si="52"/>
        <v>0</v>
      </c>
      <c r="BC152" s="4">
        <f t="shared" si="53"/>
        <v>0</v>
      </c>
      <c r="BE152" s="405">
        <f t="shared" si="54"/>
        <v>0</v>
      </c>
      <c r="BF152" s="405">
        <f t="shared" si="55"/>
        <v>0</v>
      </c>
      <c r="BG152" s="405">
        <f t="shared" si="56"/>
        <v>0</v>
      </c>
      <c r="BH152" s="405">
        <f t="shared" si="57"/>
        <v>0</v>
      </c>
      <c r="BI152" s="405">
        <f t="shared" si="58"/>
        <v>0</v>
      </c>
      <c r="BJ152" s="405">
        <f t="shared" si="59"/>
        <v>0</v>
      </c>
      <c r="BK152" s="405">
        <f t="shared" si="60"/>
        <v>0</v>
      </c>
      <c r="BL152" s="405">
        <f t="shared" si="61"/>
        <v>0</v>
      </c>
      <c r="BM152" s="405">
        <f t="shared" si="62"/>
        <v>0</v>
      </c>
      <c r="BN152" s="405">
        <f t="shared" si="62"/>
        <v>0</v>
      </c>
    </row>
    <row r="153" spans="1:66" x14ac:dyDescent="0.2">
      <c r="A153" s="34">
        <v>441</v>
      </c>
      <c r="B153" s="88" t="s">
        <v>467</v>
      </c>
      <c r="C153" s="41" t="e">
        <f>'2. Toimintakate'!D153+'3. Verotulot'!G153+'4. Valtionosuudet'!#REF!+'5. Rahoitustuotot ja -kulut'!C153</f>
        <v>#REF!</v>
      </c>
      <c r="D153" s="41">
        <f>'2. Toimintakate'!E153+'4. Valtionosuudet'!H153+'3. Verotulot'!L153+'5. Rahoitustuotot ja -kulut'!D153</f>
        <v>31</v>
      </c>
      <c r="E153" s="41">
        <f>'2. Toimintakate'!F153+'4. Valtionosuudet'!N153+'3. Verotulot'!Q153+'5. Rahoitustuotot ja -kulut'!E153</f>
        <v>2761</v>
      </c>
      <c r="F153" s="41">
        <f>'2. Toimintakate'!G153+'4. Valtionosuudet'!T153+'3. Verotulot'!V153+'5. Rahoitustuotot ja -kulut'!F153</f>
        <v>-839</v>
      </c>
      <c r="G153" s="41">
        <f>'2. Toimintakate'!H153+'3. Verotulot'!AA153+'4. Valtionosuudet'!Z153+'5. Rahoitustuotot ja -kulut'!G153</f>
        <v>798</v>
      </c>
      <c r="H153" s="41">
        <f>Käyttökate!H153+'5. Rahoitustuotot ja -kulut'!H153</f>
        <v>1636.939110943973</v>
      </c>
      <c r="I153" s="41">
        <f>Käyttökate!I153+'5. Rahoitustuotot ja -kulut'!I153</f>
        <v>2564.3102038711995</v>
      </c>
      <c r="J153" s="41">
        <f>Käyttökate!J153+'5. Rahoitustuotot ja -kulut'!J153</f>
        <v>33.268566334051627</v>
      </c>
      <c r="K153" s="41">
        <f>Käyttökate!K153+'5. Rahoitustuotot ja -kulut'!K153</f>
        <v>981.61891872578315</v>
      </c>
      <c r="L153" s="41">
        <f>Käyttökate!L153+'5. Rahoitustuotot ja -kulut'!L153</f>
        <v>503.95722972847761</v>
      </c>
      <c r="M153" s="41">
        <f>Käyttökate!M153+'5. Rahoitustuotot ja -kulut'!M153</f>
        <v>203.1192115176824</v>
      </c>
      <c r="N153" s="41">
        <f>Käyttökate!N153+'5. Rahoitustuotot ja -kulut'!N153</f>
        <v>233.98672362026127</v>
      </c>
      <c r="O153" s="41">
        <f>Käyttökate!O153+'5. Rahoitustuotot ja -kulut'!O153</f>
        <v>178.43060602047615</v>
      </c>
      <c r="P153" s="41">
        <f>Käyttökate!P153+'5. Rahoitustuotot ja -kulut'!P153</f>
        <v>531.4576470249699</v>
      </c>
      <c r="T153" s="34">
        <v>441</v>
      </c>
      <c r="U153" s="88" t="s">
        <v>467</v>
      </c>
      <c r="V153" s="41" t="e">
        <f>C153/'1. Väestöennuste'!E153*1000</f>
        <v>#REF!</v>
      </c>
      <c r="W153" s="41">
        <f>D153/'1. Väestöennuste'!F153*1000</f>
        <v>6.4168909128544822</v>
      </c>
      <c r="X153" s="41">
        <f>E153/'1. Väestöennuste'!G153*1000</f>
        <v>581.63050347587955</v>
      </c>
      <c r="Y153" s="41">
        <f>F153/'1. Väestöennuste'!H153*1000</f>
        <v>-179.96567996567998</v>
      </c>
      <c r="Z153" s="41">
        <f>G153/'1. Väestöennuste'!I153*1000</f>
        <v>172.13114754098359</v>
      </c>
      <c r="AA153" s="41">
        <f>H153/'1. Väestöennuste'!J153*1000</f>
        <v>360.32117784370968</v>
      </c>
      <c r="AB153" s="41">
        <f>I153/'1. Väestöennuste'!K153*1000</f>
        <v>573.28643055470593</v>
      </c>
      <c r="AC153" s="41">
        <f>J153/'1. Väestöennuste'!L153*1000</f>
        <v>7.5251224460646062</v>
      </c>
      <c r="AD153" s="41">
        <f>K153/'1. Väestöennuste'!M153*1000</f>
        <v>223.29820717147024</v>
      </c>
      <c r="AE153" s="41">
        <f>L153/'1. Väestöennuste'!N153*1000</f>
        <v>117.30847991817448</v>
      </c>
      <c r="AF153" s="41">
        <f>M153/'1. Väestöennuste'!O153*1000</f>
        <v>47.849048649630717</v>
      </c>
      <c r="AG153" s="41">
        <f>N153/'1. Väestöennuste'!P153*1000</f>
        <v>55.73766641740383</v>
      </c>
      <c r="AH153" s="41">
        <f>O153/'1. Väestöennuste'!Q153*1000</f>
        <v>42.995326751921965</v>
      </c>
      <c r="AI153" s="41">
        <f>P153/'1. Väestöennuste'!R153*1000</f>
        <v>129.52903900194246</v>
      </c>
      <c r="AK153" s="41">
        <f>'6. Poistot'!Z153</f>
        <v>474.76272648835203</v>
      </c>
      <c r="AL153" s="41">
        <f>'6. Poistot'!AA153</f>
        <v>503.41184239489326</v>
      </c>
      <c r="AM153" s="41">
        <f>'6. Poistot'!AB153</f>
        <v>426.8926268723452</v>
      </c>
      <c r="AN153" s="41">
        <f>'6. Poistot'!AC153</f>
        <v>407.3901945261253</v>
      </c>
      <c r="AO153" s="41">
        <f>'6. Poistot'!AD153</f>
        <v>396.15882620564145</v>
      </c>
      <c r="AP153" s="41">
        <f>'6. Poistot'!AE153</f>
        <v>391.92458100558662</v>
      </c>
      <c r="AQ153" s="41">
        <f>'6. Poistot'!AF153</f>
        <v>375.87043580683155</v>
      </c>
      <c r="AR153" s="41">
        <f>'6. Poistot'!AG153</f>
        <v>366.07908527870416</v>
      </c>
      <c r="AS153" s="41">
        <f>'6. Poistot'!AH153</f>
        <v>382.26190655929389</v>
      </c>
      <c r="AT153" s="41">
        <f>'6. Poistot'!AI153</f>
        <v>398.72625504317318</v>
      </c>
      <c r="AV153" s="4">
        <f t="shared" si="46"/>
        <v>0</v>
      </c>
      <c r="AW153" s="4">
        <f t="shared" si="47"/>
        <v>1</v>
      </c>
      <c r="AX153" s="4">
        <f t="shared" si="48"/>
        <v>1</v>
      </c>
      <c r="AY153" s="4">
        <f t="shared" si="49"/>
        <v>1</v>
      </c>
      <c r="AZ153" s="4">
        <f t="shared" si="50"/>
        <v>1</v>
      </c>
      <c r="BA153" s="4">
        <f t="shared" si="51"/>
        <v>1</v>
      </c>
      <c r="BB153" s="4">
        <f t="shared" si="52"/>
        <v>1</v>
      </c>
      <c r="BC153" s="4">
        <f t="shared" si="53"/>
        <v>1</v>
      </c>
      <c r="BE153" s="405">
        <f t="shared" si="54"/>
        <v>0</v>
      </c>
      <c r="BF153" s="405">
        <f t="shared" si="55"/>
        <v>0</v>
      </c>
      <c r="BG153" s="405">
        <f t="shared" si="56"/>
        <v>0</v>
      </c>
      <c r="BH153" s="405">
        <f t="shared" si="57"/>
        <v>0</v>
      </c>
      <c r="BI153" s="405">
        <f t="shared" si="58"/>
        <v>0</v>
      </c>
      <c r="BJ153" s="405">
        <f t="shared" si="59"/>
        <v>0</v>
      </c>
      <c r="BK153" s="405">
        <f t="shared" si="60"/>
        <v>0</v>
      </c>
      <c r="BL153" s="405">
        <f t="shared" si="61"/>
        <v>0</v>
      </c>
      <c r="BM153" s="405">
        <f t="shared" si="62"/>
        <v>0</v>
      </c>
      <c r="BN153" s="405">
        <f t="shared" si="62"/>
        <v>0</v>
      </c>
    </row>
    <row r="154" spans="1:66" x14ac:dyDescent="0.2">
      <c r="A154" s="34">
        <v>444</v>
      </c>
      <c r="B154" s="88" t="s">
        <v>468</v>
      </c>
      <c r="C154" s="41" t="e">
        <f>'2. Toimintakate'!D154+'3. Verotulot'!G154+'4. Valtionosuudet'!#REF!+'5. Rahoitustuotot ja -kulut'!C154</f>
        <v>#REF!</v>
      </c>
      <c r="D154" s="41">
        <f>'2. Toimintakate'!E154+'4. Valtionosuudet'!H154+'3. Verotulot'!L154+'5. Rahoitustuotot ja -kulut'!D154</f>
        <v>18555</v>
      </c>
      <c r="E154" s="41">
        <f>'2. Toimintakate'!F154+'4. Valtionosuudet'!N154+'3. Verotulot'!Q154+'5. Rahoitustuotot ja -kulut'!E154</f>
        <v>15353</v>
      </c>
      <c r="F154" s="41">
        <f>'2. Toimintakate'!G154+'4. Valtionosuudet'!T154+'3. Verotulot'!V154+'5. Rahoitustuotot ja -kulut'!F154</f>
        <v>5936</v>
      </c>
      <c r="G154" s="41">
        <f>'2. Toimintakate'!H154+'3. Verotulot'!AA154+'4. Valtionosuudet'!Z154+'5. Rahoitustuotot ja -kulut'!G154</f>
        <v>6402</v>
      </c>
      <c r="H154" s="41">
        <f>Käyttökate!H154+'5. Rahoitustuotot ja -kulut'!H154</f>
        <v>33704.836167540489</v>
      </c>
      <c r="I154" s="41">
        <f>Käyttökate!I154+'5. Rahoitustuotot ja -kulut'!I154</f>
        <v>32141.711929447174</v>
      </c>
      <c r="J154" s="41">
        <f>Käyttökate!J154+'5. Rahoitustuotot ja -kulut'!J154</f>
        <v>27129.365584985215</v>
      </c>
      <c r="K154" s="41">
        <f>Käyttökate!K154+'5. Rahoitustuotot ja -kulut'!K154</f>
        <v>32289.50000923745</v>
      </c>
      <c r="L154" s="41">
        <f>Käyttökate!L154+'5. Rahoitustuotot ja -kulut'!L154</f>
        <v>21149.012984315581</v>
      </c>
      <c r="M154" s="41">
        <f>Käyttökate!M154+'5. Rahoitustuotot ja -kulut'!M154</f>
        <v>17958.822655681193</v>
      </c>
      <c r="N154" s="41">
        <f>Käyttökate!N154+'5. Rahoitustuotot ja -kulut'!N154</f>
        <v>17885.440016786433</v>
      </c>
      <c r="O154" s="41">
        <f>Käyttökate!O154+'5. Rahoitustuotot ja -kulut'!O154</f>
        <v>18347.21501955044</v>
      </c>
      <c r="P154" s="41">
        <f>Käyttökate!P154+'5. Rahoitustuotot ja -kulut'!P154</f>
        <v>22644.175684776023</v>
      </c>
      <c r="T154" s="34">
        <v>444</v>
      </c>
      <c r="U154" s="88" t="s">
        <v>468</v>
      </c>
      <c r="V154" s="41" t="e">
        <f>C154/'1. Väestöennuste'!E154*1000</f>
        <v>#REF!</v>
      </c>
      <c r="W154" s="41">
        <f>D154/'1. Väestöennuste'!F154*1000</f>
        <v>393.53962968461684</v>
      </c>
      <c r="X154" s="41">
        <f>E154/'1. Väestöennuste'!G154*1000</f>
        <v>328.16073527840115</v>
      </c>
      <c r="Y154" s="41">
        <f>F154/'1. Väestöennuste'!H154*1000</f>
        <v>128.21842059789182</v>
      </c>
      <c r="Z154" s="41">
        <f>G154/'1. Väestöennuste'!I154*1000</f>
        <v>139.2798868704449</v>
      </c>
      <c r="AA154" s="41">
        <f>H154/'1. Väestöennuste'!J154*1000</f>
        <v>734.53419708713966</v>
      </c>
      <c r="AB154" s="41">
        <f>I154/'1. Väestöennuste'!K154*1000</f>
        <v>698.9151937341735</v>
      </c>
      <c r="AC154" s="41">
        <f>J154/'1. Väestöennuste'!L154*1000</f>
        <v>592.2019948262473</v>
      </c>
      <c r="AD154" s="41">
        <f>K154/'1. Väestöennuste'!M154*1000</f>
        <v>707.40497336482531</v>
      </c>
      <c r="AE154" s="41">
        <f>L154/'1. Väestöennuste'!N154*1000</f>
        <v>471.05626176171194</v>
      </c>
      <c r="AF154" s="41">
        <f>M154/'1. Väestöennuste'!O154*1000</f>
        <v>402.04219157986955</v>
      </c>
      <c r="AG154" s="41">
        <f>N154/'1. Väestöennuste'!P154*1000</f>
        <v>402.36305182755018</v>
      </c>
      <c r="AH154" s="41">
        <f>O154/'1. Väestöennuste'!Q154*1000</f>
        <v>414.69192910856952</v>
      </c>
      <c r="AI154" s="41">
        <f>P154/'1. Väestöennuste'!R154*1000</f>
        <v>514.09121358494394</v>
      </c>
      <c r="AK154" s="41">
        <f>'6. Poistot'!Z154</f>
        <v>346.32872838028931</v>
      </c>
      <c r="AL154" s="41">
        <f>'6. Poistot'!AA154</f>
        <v>421.69724970579261</v>
      </c>
      <c r="AM154" s="41">
        <f>'6. Poistot'!AB154</f>
        <v>343.31049730364441</v>
      </c>
      <c r="AN154" s="41">
        <f>'6. Poistot'!AC154</f>
        <v>374.87252581257775</v>
      </c>
      <c r="AO154" s="41">
        <f>'6. Poistot'!AD154</f>
        <v>387.52838492715523</v>
      </c>
      <c r="AP154" s="41">
        <f>'6. Poistot'!AE154</f>
        <v>389.79219101498984</v>
      </c>
      <c r="AQ154" s="41">
        <f>'6. Poistot'!AF154</f>
        <v>402.96402426738905</v>
      </c>
      <c r="AR154" s="41">
        <f>'6. Poistot'!AG154</f>
        <v>438.12287687566084</v>
      </c>
      <c r="AS154" s="41">
        <f>'6. Poistot'!AH154</f>
        <v>454.38571035011483</v>
      </c>
      <c r="AT154" s="41">
        <f>'6. Poistot'!AI154</f>
        <v>470.67391572729719</v>
      </c>
      <c r="AV154" s="4">
        <f t="shared" si="46"/>
        <v>0</v>
      </c>
      <c r="AW154" s="4">
        <f t="shared" si="47"/>
        <v>0</v>
      </c>
      <c r="AX154" s="4">
        <f t="shared" si="48"/>
        <v>0</v>
      </c>
      <c r="AY154" s="4">
        <f t="shared" si="49"/>
        <v>0</v>
      </c>
      <c r="AZ154" s="4">
        <f t="shared" si="50"/>
        <v>1</v>
      </c>
      <c r="BA154" s="4">
        <f t="shared" si="51"/>
        <v>1</v>
      </c>
      <c r="BB154" s="4">
        <f t="shared" si="52"/>
        <v>1</v>
      </c>
      <c r="BC154" s="4">
        <f t="shared" si="53"/>
        <v>0</v>
      </c>
      <c r="BE154" s="405">
        <f t="shared" si="54"/>
        <v>0</v>
      </c>
      <c r="BF154" s="405">
        <f t="shared" si="55"/>
        <v>0</v>
      </c>
      <c r="BG154" s="405">
        <f t="shared" si="56"/>
        <v>0</v>
      </c>
      <c r="BH154" s="405">
        <f t="shared" si="57"/>
        <v>0</v>
      </c>
      <c r="BI154" s="405">
        <f t="shared" si="58"/>
        <v>0</v>
      </c>
      <c r="BJ154" s="405">
        <f t="shared" si="59"/>
        <v>0</v>
      </c>
      <c r="BK154" s="405">
        <f t="shared" si="60"/>
        <v>0</v>
      </c>
      <c r="BL154" s="405">
        <f t="shared" si="61"/>
        <v>0</v>
      </c>
      <c r="BM154" s="405">
        <f t="shared" si="62"/>
        <v>0</v>
      </c>
      <c r="BN154" s="405">
        <f t="shared" si="62"/>
        <v>0</v>
      </c>
    </row>
    <row r="155" spans="1:66" x14ac:dyDescent="0.2">
      <c r="A155" s="34">
        <v>445</v>
      </c>
      <c r="B155" s="88" t="s">
        <v>469</v>
      </c>
      <c r="C155" s="41" t="e">
        <f>'2. Toimintakate'!D155+'3. Verotulot'!G155+'4. Valtionosuudet'!#REF!+'5. Rahoitustuotot ja -kulut'!C155</f>
        <v>#REF!</v>
      </c>
      <c r="D155" s="41">
        <f>'2. Toimintakate'!E155+'4. Valtionosuudet'!H155+'3. Verotulot'!L155+'5. Rahoitustuotot ja -kulut'!D155</f>
        <v>6723</v>
      </c>
      <c r="E155" s="41">
        <f>'2. Toimintakate'!F155+'4. Valtionosuudet'!N155+'3. Verotulot'!Q155+'5. Rahoitustuotot ja -kulut'!E155</f>
        <v>4668</v>
      </c>
      <c r="F155" s="41">
        <f>'2. Toimintakate'!G155+'4. Valtionosuudet'!T155+'3. Verotulot'!V155+'5. Rahoitustuotot ja -kulut'!F155</f>
        <v>3006</v>
      </c>
      <c r="G155" s="41">
        <f>'2. Toimintakate'!H155+'3. Verotulot'!AA155+'4. Valtionosuudet'!Z155+'5. Rahoitustuotot ja -kulut'!G155</f>
        <v>-417</v>
      </c>
      <c r="H155" s="41">
        <f>Käyttökate!H155+'5. Rahoitustuotot ja -kulut'!H155</f>
        <v>6142.4939520658299</v>
      </c>
      <c r="I155" s="41">
        <f>Käyttökate!I155+'5. Rahoitustuotot ja -kulut'!I155</f>
        <v>7579.4265894333403</v>
      </c>
      <c r="J155" s="41">
        <f>Käyttökate!J155+'5. Rahoitustuotot ja -kulut'!J155</f>
        <v>5921.8261600651767</v>
      </c>
      <c r="K155" s="41">
        <f>Käyttökate!K155+'5. Rahoitustuotot ja -kulut'!K155</f>
        <v>10288.941023736928</v>
      </c>
      <c r="L155" s="41">
        <f>Käyttökate!L155+'5. Rahoitustuotot ja -kulut'!L155</f>
        <v>3523.9665211088609</v>
      </c>
      <c r="M155" s="41">
        <f>Käyttökate!M155+'5. Rahoitustuotot ja -kulut'!M155</f>
        <v>3159.9958261743886</v>
      </c>
      <c r="N155" s="41">
        <f>Käyttökate!N155+'5. Rahoitustuotot ja -kulut'!N155</f>
        <v>4084.3723231465119</v>
      </c>
      <c r="O155" s="41">
        <f>Käyttökate!O155+'5. Rahoitustuotot ja -kulut'!O155</f>
        <v>4723.8806257831793</v>
      </c>
      <c r="P155" s="41">
        <f>Käyttökate!P155+'5. Rahoitustuotot ja -kulut'!P155</f>
        <v>6298.5241476304618</v>
      </c>
      <c r="T155" s="34">
        <v>445</v>
      </c>
      <c r="U155" s="88" t="s">
        <v>469</v>
      </c>
      <c r="V155" s="41" t="e">
        <f>C155/'1. Väestöennuste'!E155*1000</f>
        <v>#REF!</v>
      </c>
      <c r="W155" s="41">
        <f>D155/'1. Väestöennuste'!F155*1000</f>
        <v>436.6151448240031</v>
      </c>
      <c r="X155" s="41">
        <f>E155/'1. Väestöennuste'!G155*1000</f>
        <v>305.39744847890086</v>
      </c>
      <c r="Y155" s="41">
        <f>F155/'1. Väestöennuste'!H155*1000</f>
        <v>197.54222251429323</v>
      </c>
      <c r="Z155" s="41">
        <f>G155/'1. Väestöennuste'!I155*1000</f>
        <v>-27.557494052339411</v>
      </c>
      <c r="AA155" s="41">
        <f>H155/'1. Väestöennuste'!J155*1000</f>
        <v>406.65302562501353</v>
      </c>
      <c r="AB155" s="41">
        <f>I155/'1. Väestöennuste'!K155*1000</f>
        <v>502.41459561403559</v>
      </c>
      <c r="AC155" s="41">
        <f>J155/'1. Väestöennuste'!L155*1000</f>
        <v>395.02542592656772</v>
      </c>
      <c r="AD155" s="41">
        <f>K155/'1. Väestöennuste'!M155*1000</f>
        <v>685.97513325801242</v>
      </c>
      <c r="AE155" s="41">
        <f>L155/'1. Väestöennuste'!N155*1000</f>
        <v>238.0093557415143</v>
      </c>
      <c r="AF155" s="41">
        <f>M155/'1. Väestöennuste'!O155*1000</f>
        <v>214.36780585946602</v>
      </c>
      <c r="AG155" s="41">
        <f>N155/'1. Väestöennuste'!P155*1000</f>
        <v>278.24595157343907</v>
      </c>
      <c r="AH155" s="41">
        <f>O155/'1. Väestöennuste'!Q155*1000</f>
        <v>323.08875082300659</v>
      </c>
      <c r="AI155" s="41">
        <f>P155/'1. Väestöennuste'!R155*1000</f>
        <v>432.50182981737709</v>
      </c>
      <c r="AK155" s="41">
        <f>'6. Poistot'!Z155</f>
        <v>330.22733280465241</v>
      </c>
      <c r="AL155" s="41">
        <f>'6. Poistot'!AA155</f>
        <v>323.13803376365439</v>
      </c>
      <c r="AM155" s="41">
        <f>'6. Poistot'!AB155</f>
        <v>341.29334349728225</v>
      </c>
      <c r="AN155" s="41">
        <f>'6. Poistot'!AC155</f>
        <v>321.74181775732103</v>
      </c>
      <c r="AO155" s="41">
        <f>'6. Poistot'!AD155</f>
        <v>498.06330955397027</v>
      </c>
      <c r="AP155" s="41">
        <f>'6. Poistot'!AE155</f>
        <v>357.96298797784681</v>
      </c>
      <c r="AQ155" s="41">
        <f>'6. Poistot'!AF155</f>
        <v>373.10901567057863</v>
      </c>
      <c r="AR155" s="41">
        <f>'6. Poistot'!AG155</f>
        <v>395.12228353430066</v>
      </c>
      <c r="AS155" s="41">
        <f>'6. Poistot'!AH155</f>
        <v>409.48941764796513</v>
      </c>
      <c r="AT155" s="41">
        <f>'6. Poistot'!AI155</f>
        <v>423.97099161311519</v>
      </c>
      <c r="AV155" s="4">
        <f t="shared" si="46"/>
        <v>0</v>
      </c>
      <c r="AW155" s="4">
        <f t="shared" si="47"/>
        <v>0</v>
      </c>
      <c r="AX155" s="4">
        <f t="shared" si="48"/>
        <v>0</v>
      </c>
      <c r="AY155" s="4">
        <f t="shared" si="49"/>
        <v>1</v>
      </c>
      <c r="AZ155" s="4">
        <f t="shared" si="50"/>
        <v>1</v>
      </c>
      <c r="BA155" s="4">
        <f t="shared" si="51"/>
        <v>1</v>
      </c>
      <c r="BB155" s="4">
        <f t="shared" si="52"/>
        <v>1</v>
      </c>
      <c r="BC155" s="4">
        <f t="shared" si="53"/>
        <v>0</v>
      </c>
      <c r="BE155" s="405">
        <f t="shared" si="54"/>
        <v>-1</v>
      </c>
      <c r="BF155" s="405">
        <f t="shared" si="55"/>
        <v>0</v>
      </c>
      <c r="BG155" s="405">
        <f t="shared" si="56"/>
        <v>0</v>
      </c>
      <c r="BH155" s="405">
        <f t="shared" si="57"/>
        <v>0</v>
      </c>
      <c r="BI155" s="405">
        <f t="shared" si="58"/>
        <v>0</v>
      </c>
      <c r="BJ155" s="405">
        <f t="shared" si="59"/>
        <v>0</v>
      </c>
      <c r="BK155" s="405">
        <f t="shared" si="60"/>
        <v>0</v>
      </c>
      <c r="BL155" s="405">
        <f t="shared" si="61"/>
        <v>0</v>
      </c>
      <c r="BM155" s="405">
        <f t="shared" si="62"/>
        <v>0</v>
      </c>
      <c r="BN155" s="405">
        <f t="shared" si="62"/>
        <v>0</v>
      </c>
    </row>
    <row r="156" spans="1:66" x14ac:dyDescent="0.2">
      <c r="A156" s="34">
        <v>475</v>
      </c>
      <c r="B156" s="88" t="s">
        <v>470</v>
      </c>
      <c r="C156" s="41" t="e">
        <f>'2. Toimintakate'!D156+'3. Verotulot'!G156+'4. Valtionosuudet'!#REF!+'5. Rahoitustuotot ja -kulut'!C156</f>
        <v>#REF!</v>
      </c>
      <c r="D156" s="41">
        <f>'2. Toimintakate'!E156+'4. Valtionosuudet'!H156+'3. Verotulot'!L156+'5. Rahoitustuotot ja -kulut'!D156</f>
        <v>2441</v>
      </c>
      <c r="E156" s="41">
        <f>'2. Toimintakate'!F156+'4. Valtionosuudet'!N156+'3. Verotulot'!Q156+'5. Rahoitustuotot ja -kulut'!E156</f>
        <v>2482</v>
      </c>
      <c r="F156" s="41">
        <f>'2. Toimintakate'!G156+'4. Valtionosuudet'!T156+'3. Verotulot'!V156+'5. Rahoitustuotot ja -kulut'!F156</f>
        <v>1655</v>
      </c>
      <c r="G156" s="41">
        <f>'2. Toimintakate'!H156+'3. Verotulot'!AA156+'4. Valtionosuudet'!Z156+'5. Rahoitustuotot ja -kulut'!G156</f>
        <v>734</v>
      </c>
      <c r="H156" s="41">
        <f>Käyttökate!H156+'5. Rahoitustuotot ja -kulut'!H156</f>
        <v>4013.4624034336412</v>
      </c>
      <c r="I156" s="41">
        <f>Käyttökate!I156+'5. Rahoitustuotot ja -kulut'!I156</f>
        <v>2469.2892764192302</v>
      </c>
      <c r="J156" s="41">
        <f>Käyttökate!J156+'5. Rahoitustuotot ja -kulut'!J156</f>
        <v>2983.7305509067978</v>
      </c>
      <c r="K156" s="41">
        <f>Käyttökate!K156+'5. Rahoitustuotot ja -kulut'!K156</f>
        <v>3892.7615723117929</v>
      </c>
      <c r="L156" s="41">
        <f>Käyttökate!L156+'5. Rahoitustuotot ja -kulut'!L156</f>
        <v>2723.3039570236151</v>
      </c>
      <c r="M156" s="41">
        <f>Käyttökate!M156+'5. Rahoitustuotot ja -kulut'!M156</f>
        <v>2936.4053298590006</v>
      </c>
      <c r="N156" s="41">
        <f>Käyttökate!N156+'5. Rahoitustuotot ja -kulut'!N156</f>
        <v>2904.8567094425371</v>
      </c>
      <c r="O156" s="41">
        <f>Käyttökate!O156+'5. Rahoitustuotot ja -kulut'!O156</f>
        <v>2622.1858152039072</v>
      </c>
      <c r="P156" s="41">
        <f>Käyttökate!P156+'5. Rahoitustuotot ja -kulut'!P156</f>
        <v>3233.6569556819554</v>
      </c>
      <c r="T156" s="34">
        <v>475</v>
      </c>
      <c r="U156" s="88" t="s">
        <v>470</v>
      </c>
      <c r="V156" s="41" t="e">
        <f>C156/'1. Väestöennuste'!E156*1000</f>
        <v>#REF!</v>
      </c>
      <c r="W156" s="41">
        <f>D156/'1. Väestöennuste'!F156*1000</f>
        <v>442.4506072140656</v>
      </c>
      <c r="X156" s="41">
        <f>E156/'1. Väestöennuste'!G156*1000</f>
        <v>453.16779258718276</v>
      </c>
      <c r="Y156" s="41">
        <f>F156/'1. Väestöennuste'!H156*1000</f>
        <v>302.17272229322623</v>
      </c>
      <c r="Z156" s="41">
        <f>G156/'1. Väestöennuste'!I156*1000</f>
        <v>134.06392694063925</v>
      </c>
      <c r="AA156" s="41">
        <f>H156/'1. Väestöennuste'!J156*1000</f>
        <v>736.28002264421968</v>
      </c>
      <c r="AB156" s="41">
        <f>I156/'1. Väestöennuste'!K156*1000</f>
        <v>450.02538298145254</v>
      </c>
      <c r="AC156" s="41">
        <f>J156/'1. Väestöennuste'!L156*1000</f>
        <v>544.57575304011641</v>
      </c>
      <c r="AD156" s="41">
        <f>K156/'1. Väestöennuste'!M156*1000</f>
        <v>713.48269287239611</v>
      </c>
      <c r="AE156" s="41">
        <f>L156/'1. Väestöennuste'!N156*1000</f>
        <v>504.31554759696576</v>
      </c>
      <c r="AF156" s="41">
        <f>M156/'1. Väestöennuste'!O156*1000</f>
        <v>544.98985335170755</v>
      </c>
      <c r="AG156" s="41">
        <f>N156/'1. Väestöennuste'!P156*1000</f>
        <v>540.33792958380525</v>
      </c>
      <c r="AH156" s="41">
        <f>O156/'1. Väestöennuste'!Q156*1000</f>
        <v>489.03129712866598</v>
      </c>
      <c r="AI156" s="41">
        <f>P156/'1. Väestöennuste'!R156*1000</f>
        <v>605.44035867477169</v>
      </c>
      <c r="AK156" s="41">
        <f>'6. Poistot'!Z156</f>
        <v>363.28767123287668</v>
      </c>
      <c r="AL156" s="41">
        <f>'6. Poistot'!AA156</f>
        <v>386.35112823335169</v>
      </c>
      <c r="AM156" s="41">
        <f>'6. Poistot'!AB156</f>
        <v>427.85897940586841</v>
      </c>
      <c r="AN156" s="41">
        <f>'6. Poistot'!AC156</f>
        <v>419.41663442233983</v>
      </c>
      <c r="AO156" s="41">
        <f>'6. Poistot'!AD156</f>
        <v>432.4590524193548</v>
      </c>
      <c r="AP156" s="41">
        <f>'6. Poistot'!AE156</f>
        <v>462.96296296296299</v>
      </c>
      <c r="AQ156" s="41">
        <f>'6. Poistot'!AF156</f>
        <v>463.9940608760208</v>
      </c>
      <c r="AR156" s="41">
        <f>'6. Poistot'!AG156</f>
        <v>483.63095238095241</v>
      </c>
      <c r="AS156" s="41">
        <f>'6. Poistot'!AH156</f>
        <v>500.53944154009503</v>
      </c>
      <c r="AT156" s="41">
        <f>'6. Poistot'!AI156</f>
        <v>518.21474837595542</v>
      </c>
      <c r="AV156" s="4">
        <f t="shared" si="46"/>
        <v>0</v>
      </c>
      <c r="AW156" s="4">
        <f t="shared" si="47"/>
        <v>0</v>
      </c>
      <c r="AX156" s="4">
        <f t="shared" si="48"/>
        <v>0</v>
      </c>
      <c r="AY156" s="4">
        <f t="shared" si="49"/>
        <v>0</v>
      </c>
      <c r="AZ156" s="4">
        <f t="shared" si="50"/>
        <v>0</v>
      </c>
      <c r="BA156" s="4">
        <f t="shared" si="51"/>
        <v>0</v>
      </c>
      <c r="BB156" s="4">
        <f t="shared" si="52"/>
        <v>1</v>
      </c>
      <c r="BC156" s="4">
        <f t="shared" si="53"/>
        <v>0</v>
      </c>
      <c r="BE156" s="405">
        <f t="shared" si="54"/>
        <v>0</v>
      </c>
      <c r="BF156" s="405">
        <f t="shared" si="55"/>
        <v>0</v>
      </c>
      <c r="BG156" s="405">
        <f t="shared" si="56"/>
        <v>0</v>
      </c>
      <c r="BH156" s="405">
        <f t="shared" si="57"/>
        <v>0</v>
      </c>
      <c r="BI156" s="405">
        <f t="shared" si="58"/>
        <v>0</v>
      </c>
      <c r="BJ156" s="405">
        <f t="shared" si="59"/>
        <v>0</v>
      </c>
      <c r="BK156" s="405">
        <f t="shared" si="60"/>
        <v>0</v>
      </c>
      <c r="BL156" s="405">
        <f t="shared" si="61"/>
        <v>0</v>
      </c>
      <c r="BM156" s="405">
        <f t="shared" si="62"/>
        <v>0</v>
      </c>
      <c r="BN156" s="405">
        <f t="shared" si="62"/>
        <v>0</v>
      </c>
    </row>
    <row r="157" spans="1:66" x14ac:dyDescent="0.2">
      <c r="A157" s="34">
        <v>480</v>
      </c>
      <c r="B157" s="88" t="s">
        <v>471</v>
      </c>
      <c r="C157" s="41" t="e">
        <f>'2. Toimintakate'!D157+'3. Verotulot'!G157+'4. Valtionosuudet'!#REF!+'5. Rahoitustuotot ja -kulut'!C157</f>
        <v>#REF!</v>
      </c>
      <c r="D157" s="41">
        <f>'2. Toimintakate'!E157+'4. Valtionosuudet'!H157+'3. Verotulot'!L157+'5. Rahoitustuotot ja -kulut'!D157</f>
        <v>886</v>
      </c>
      <c r="E157" s="41">
        <f>'2. Toimintakate'!F157+'4. Valtionosuudet'!N157+'3. Verotulot'!Q157+'5. Rahoitustuotot ja -kulut'!E157</f>
        <v>1117</v>
      </c>
      <c r="F157" s="41">
        <f>'2. Toimintakate'!G157+'4. Valtionosuudet'!T157+'3. Verotulot'!V157+'5. Rahoitustuotot ja -kulut'!F157</f>
        <v>408</v>
      </c>
      <c r="G157" s="41">
        <f>'2. Toimintakate'!H157+'3. Verotulot'!AA157+'4. Valtionosuudet'!Z157+'5. Rahoitustuotot ja -kulut'!G157</f>
        <v>386</v>
      </c>
      <c r="H157" s="41">
        <f>Käyttökate!H157+'5. Rahoitustuotot ja -kulut'!H157</f>
        <v>1157.1635999651126</v>
      </c>
      <c r="I157" s="41">
        <f>Käyttökate!I157+'5. Rahoitustuotot ja -kulut'!I157</f>
        <v>765.97199584149064</v>
      </c>
      <c r="J157" s="41">
        <f>Käyttökate!J157+'5. Rahoitustuotot ja -kulut'!J157</f>
        <v>616.51130739114171</v>
      </c>
      <c r="K157" s="41">
        <f>Käyttökate!K157+'5. Rahoitustuotot ja -kulut'!K157</f>
        <v>575.80194528893605</v>
      </c>
      <c r="L157" s="41">
        <f>Käyttökate!L157+'5. Rahoitustuotot ja -kulut'!L157</f>
        <v>343.67347944493116</v>
      </c>
      <c r="M157" s="41">
        <f>Käyttökate!M157+'5. Rahoitustuotot ja -kulut'!M157</f>
        <v>240.9356311891097</v>
      </c>
      <c r="N157" s="41">
        <f>Käyttökate!N157+'5. Rahoitustuotot ja -kulut'!N157</f>
        <v>201.9865212481327</v>
      </c>
      <c r="O157" s="41">
        <f>Käyttökate!O157+'5. Rahoitustuotot ja -kulut'!O157</f>
        <v>130.0291978958451</v>
      </c>
      <c r="P157" s="41">
        <f>Käyttökate!P157+'5. Rahoitustuotot ja -kulut'!P157</f>
        <v>329.58107531992528</v>
      </c>
      <c r="T157" s="34">
        <v>480</v>
      </c>
      <c r="U157" s="88" t="s">
        <v>471</v>
      </c>
      <c r="V157" s="41" t="e">
        <f>C157/'1. Väestöennuste'!E157*1000</f>
        <v>#REF!</v>
      </c>
      <c r="W157" s="41">
        <f>D157/'1. Väestöennuste'!F157*1000</f>
        <v>438.39683325086594</v>
      </c>
      <c r="X157" s="41">
        <f>E157/'1. Väestöennuste'!G157*1000</f>
        <v>561.87122736418519</v>
      </c>
      <c r="Y157" s="41">
        <f>F157/'1. Väestöennuste'!H157*1000</f>
        <v>202.18037661050545</v>
      </c>
      <c r="Z157" s="41">
        <f>G157/'1. Väestöennuste'!I157*1000</f>
        <v>191.75360158966717</v>
      </c>
      <c r="AA157" s="41">
        <f>H157/'1. Väestöennuste'!J157*1000</f>
        <v>578.8712356003565</v>
      </c>
      <c r="AB157" s="41">
        <f>I157/'1. Väestöennuste'!K157*1000</f>
        <v>384.91055067411588</v>
      </c>
      <c r="AC157" s="41">
        <f>J157/'1. Väestöennuste'!L157*1000</f>
        <v>311.68417967196245</v>
      </c>
      <c r="AD157" s="41">
        <f>K157/'1. Väestöennuste'!M157*1000</f>
        <v>298.34297683364565</v>
      </c>
      <c r="AE157" s="41">
        <f>L157/'1. Väestöennuste'!N157*1000</f>
        <v>173.48484575715858</v>
      </c>
      <c r="AF157" s="41">
        <f>M157/'1. Väestöennuste'!O157*1000</f>
        <v>121.86931269049555</v>
      </c>
      <c r="AG157" s="41">
        <f>N157/'1. Väestöennuste'!P157*1000</f>
        <v>102.32346567787877</v>
      </c>
      <c r="AH157" s="41">
        <f>O157/'1. Väestöennuste'!Q157*1000</f>
        <v>66.038190906980745</v>
      </c>
      <c r="AI157" s="41">
        <f>P157/'1. Väestöennuste'!R157*1000</f>
        <v>168.06786094845754</v>
      </c>
      <c r="AK157" s="41">
        <f>'6. Poistot'!Z157</f>
        <v>219.57277694982614</v>
      </c>
      <c r="AL157" s="41">
        <f>'6. Poistot'!AA157</f>
        <v>232.11605802901451</v>
      </c>
      <c r="AM157" s="41">
        <f>'6. Poistot'!AB157</f>
        <v>230.4084673366834</v>
      </c>
      <c r="AN157" s="41">
        <f>'6. Poistot'!AC157</f>
        <v>257.08127401415572</v>
      </c>
      <c r="AO157" s="41">
        <f>'6. Poistot'!AD157</f>
        <v>263.59834715025903</v>
      </c>
      <c r="AP157" s="41">
        <f>'6. Poistot'!AE157</f>
        <v>275.85562847046947</v>
      </c>
      <c r="AQ157" s="41">
        <f>'6. Poistot'!AF157</f>
        <v>273.14112291350528</v>
      </c>
      <c r="AR157" s="41">
        <f>'6. Poistot'!AG157</f>
        <v>273.5562310030395</v>
      </c>
      <c r="AS157" s="41">
        <f>'6. Poistot'!AH157</f>
        <v>283.09996136080679</v>
      </c>
      <c r="AT157" s="41">
        <f>'6. Poistot'!AI157</f>
        <v>293.14005499176795</v>
      </c>
      <c r="AV157" s="4">
        <f t="shared" si="46"/>
        <v>0</v>
      </c>
      <c r="AW157" s="4">
        <f t="shared" si="47"/>
        <v>0</v>
      </c>
      <c r="AX157" s="4">
        <f t="shared" si="48"/>
        <v>0</v>
      </c>
      <c r="AY157" s="4">
        <f t="shared" si="49"/>
        <v>1</v>
      </c>
      <c r="AZ157" s="4">
        <f t="shared" si="50"/>
        <v>1</v>
      </c>
      <c r="BA157" s="4">
        <f t="shared" si="51"/>
        <v>1</v>
      </c>
      <c r="BB157" s="4">
        <f t="shared" si="52"/>
        <v>1</v>
      </c>
      <c r="BC157" s="4">
        <f t="shared" si="53"/>
        <v>1</v>
      </c>
      <c r="BE157" s="405">
        <f t="shared" si="54"/>
        <v>0</v>
      </c>
      <c r="BF157" s="405">
        <f t="shared" si="55"/>
        <v>0</v>
      </c>
      <c r="BG157" s="405">
        <f t="shared" si="56"/>
        <v>0</v>
      </c>
      <c r="BH157" s="405">
        <f t="shared" si="57"/>
        <v>0</v>
      </c>
      <c r="BI157" s="405">
        <f t="shared" si="58"/>
        <v>0</v>
      </c>
      <c r="BJ157" s="405">
        <f t="shared" si="59"/>
        <v>0</v>
      </c>
      <c r="BK157" s="405">
        <f t="shared" si="60"/>
        <v>0</v>
      </c>
      <c r="BL157" s="405">
        <f t="shared" si="61"/>
        <v>0</v>
      </c>
      <c r="BM157" s="405">
        <f t="shared" si="62"/>
        <v>0</v>
      </c>
      <c r="BN157" s="405">
        <f t="shared" si="62"/>
        <v>0</v>
      </c>
    </row>
    <row r="158" spans="1:66" x14ac:dyDescent="0.2">
      <c r="A158" s="34">
        <v>481</v>
      </c>
      <c r="B158" s="88" t="s">
        <v>472</v>
      </c>
      <c r="C158" s="41" t="e">
        <f>'2. Toimintakate'!D158+'3. Verotulot'!G158+'4. Valtionosuudet'!#REF!+'5. Rahoitustuotot ja -kulut'!C158</f>
        <v>#REF!</v>
      </c>
      <c r="D158" s="41">
        <f>'2. Toimintakate'!E158+'4. Valtionosuudet'!H158+'3. Verotulot'!L158+'5. Rahoitustuotot ja -kulut'!D158</f>
        <v>1277</v>
      </c>
      <c r="E158" s="41">
        <f>'2. Toimintakate'!F158+'4. Valtionosuudet'!N158+'3. Verotulot'!Q158+'5. Rahoitustuotot ja -kulut'!E158</f>
        <v>4567</v>
      </c>
      <c r="F158" s="41">
        <f>'2. Toimintakate'!G158+'4. Valtionosuudet'!T158+'3. Verotulot'!V158+'5. Rahoitustuotot ja -kulut'!F158</f>
        <v>1391</v>
      </c>
      <c r="G158" s="41">
        <f>'2. Toimintakate'!H158+'3. Verotulot'!AA158+'4. Valtionosuudet'!Z158+'5. Rahoitustuotot ja -kulut'!G158</f>
        <v>841</v>
      </c>
      <c r="H158" s="41">
        <f>Käyttökate!H158+'5. Rahoitustuotot ja -kulut'!H158</f>
        <v>6404.4801029844875</v>
      </c>
      <c r="I158" s="41">
        <f>Käyttökate!I158+'5. Rahoitustuotot ja -kulut'!I158</f>
        <v>3545.7518602593836</v>
      </c>
      <c r="J158" s="41">
        <f>Käyttökate!J158+'5. Rahoitustuotot ja -kulut'!J158</f>
        <v>4841.5564302905159</v>
      </c>
      <c r="K158" s="41">
        <f>Käyttökate!K158+'5. Rahoitustuotot ja -kulut'!K158</f>
        <v>2348.4104636469074</v>
      </c>
      <c r="L158" s="41">
        <f>Käyttökate!L158+'5. Rahoitustuotot ja -kulut'!L158</f>
        <v>1468.4920850709605</v>
      </c>
      <c r="M158" s="41">
        <f>Käyttökate!M158+'5. Rahoitustuotot ja -kulut'!M158</f>
        <v>-1490.6058230696704</v>
      </c>
      <c r="N158" s="41">
        <f>Käyttökate!N158+'5. Rahoitustuotot ja -kulut'!N158</f>
        <v>-509.81129900984581</v>
      </c>
      <c r="O158" s="41">
        <f>Käyttökate!O158+'5. Rahoitustuotot ja -kulut'!O158</f>
        <v>-165.95254546196986</v>
      </c>
      <c r="P158" s="41">
        <f>Käyttökate!P158+'5. Rahoitustuotot ja -kulut'!P158</f>
        <v>-84.690245484922571</v>
      </c>
      <c r="T158" s="34">
        <v>481</v>
      </c>
      <c r="U158" s="88" t="s">
        <v>472</v>
      </c>
      <c r="V158" s="41" t="e">
        <f>C158/'1. Väestöennuste'!E158*1000</f>
        <v>#REF!</v>
      </c>
      <c r="W158" s="41">
        <f>D158/'1. Väestöennuste'!F158*1000</f>
        <v>131.98966408268734</v>
      </c>
      <c r="X158" s="41">
        <f>E158/'1. Väestöennuste'!G158*1000</f>
        <v>472.970173985087</v>
      </c>
      <c r="Y158" s="41">
        <f>F158/'1. Väestöennuste'!H158*1000</f>
        <v>145.59346870420768</v>
      </c>
      <c r="Z158" s="41">
        <f>G158/'1. Väestöennuste'!I158*1000</f>
        <v>88.2106146423327</v>
      </c>
      <c r="AA158" s="41">
        <f>H158/'1. Väestöennuste'!J158*1000</f>
        <v>671.11810782610155</v>
      </c>
      <c r="AB158" s="41">
        <f>I158/'1. Väestöennuste'!K158*1000</f>
        <v>368.88804205778024</v>
      </c>
      <c r="AC158" s="41">
        <f>J158/'1. Väestöennuste'!L158*1000</f>
        <v>502.13196746427258</v>
      </c>
      <c r="AD158" s="41">
        <f>K158/'1. Väestöennuste'!M158*1000</f>
        <v>244.1428904924532</v>
      </c>
      <c r="AE158" s="41">
        <f>L158/'1. Väestöennuste'!N158*1000</f>
        <v>155.00233112423055</v>
      </c>
      <c r="AF158" s="41">
        <f>M158/'1. Väestöennuste'!O158*1000</f>
        <v>-157.63597959704637</v>
      </c>
      <c r="AG158" s="41">
        <f>N158/'1. Väestöennuste'!P158*1000</f>
        <v>-53.99399481146429</v>
      </c>
      <c r="AH158" s="41">
        <f>O158/'1. Väestöennuste'!Q158*1000</f>
        <v>-17.596495118435993</v>
      </c>
      <c r="AI158" s="41">
        <f>P158/'1. Väestöennuste'!R158*1000</f>
        <v>-8.9885635199450835</v>
      </c>
      <c r="AK158" s="41">
        <f>'6. Poistot'!Z158</f>
        <v>245.54226977134465</v>
      </c>
      <c r="AL158" s="41">
        <f>'6. Poistot'!AA158</f>
        <v>336.58178769778897</v>
      </c>
      <c r="AM158" s="41">
        <f>'6. Poistot'!AB158</f>
        <v>343.27640449438201</v>
      </c>
      <c r="AN158" s="41">
        <f>'6. Poistot'!AC158</f>
        <v>346.57110143123833</v>
      </c>
      <c r="AO158" s="41">
        <f>'6. Poistot'!AD158</f>
        <v>314.25376754340368</v>
      </c>
      <c r="AP158" s="41">
        <f>'6. Poistot'!AE158</f>
        <v>310.41872493139118</v>
      </c>
      <c r="AQ158" s="41">
        <f>'6. Poistot'!AF158</f>
        <v>310.91370558375638</v>
      </c>
      <c r="AR158" s="41">
        <f>'6. Poistot'!AG158</f>
        <v>311.37470874814659</v>
      </c>
      <c r="AS158" s="41">
        <f>'6. Poistot'!AH158</f>
        <v>321.79652649126399</v>
      </c>
      <c r="AT158" s="41">
        <f>'6. Poistot'!AI158</f>
        <v>332.17215906158157</v>
      </c>
      <c r="AV158" s="4">
        <f t="shared" si="46"/>
        <v>0</v>
      </c>
      <c r="AW158" s="4">
        <f t="shared" si="47"/>
        <v>0</v>
      </c>
      <c r="AX158" s="4">
        <f t="shared" si="48"/>
        <v>1</v>
      </c>
      <c r="AY158" s="4">
        <f t="shared" si="49"/>
        <v>1</v>
      </c>
      <c r="AZ158" s="4">
        <f t="shared" si="50"/>
        <v>1</v>
      </c>
      <c r="BA158" s="4">
        <f t="shared" si="51"/>
        <v>1</v>
      </c>
      <c r="BB158" s="4">
        <f t="shared" si="52"/>
        <v>1</v>
      </c>
      <c r="BC158" s="4">
        <f t="shared" si="53"/>
        <v>1</v>
      </c>
      <c r="BE158" s="405">
        <f t="shared" si="54"/>
        <v>0</v>
      </c>
      <c r="BF158" s="405">
        <f t="shared" si="55"/>
        <v>0</v>
      </c>
      <c r="BG158" s="405">
        <f t="shared" si="56"/>
        <v>0</v>
      </c>
      <c r="BH158" s="405">
        <f t="shared" si="57"/>
        <v>0</v>
      </c>
      <c r="BI158" s="405">
        <f t="shared" si="58"/>
        <v>0</v>
      </c>
      <c r="BJ158" s="405">
        <f t="shared" si="59"/>
        <v>0</v>
      </c>
      <c r="BK158" s="405">
        <f t="shared" si="60"/>
        <v>-1</v>
      </c>
      <c r="BL158" s="405">
        <f t="shared" si="61"/>
        <v>-1</v>
      </c>
      <c r="BM158" s="405">
        <f t="shared" si="62"/>
        <v>-1</v>
      </c>
      <c r="BN158" s="405">
        <f t="shared" si="62"/>
        <v>-1</v>
      </c>
    </row>
    <row r="159" spans="1:66" x14ac:dyDescent="0.2">
      <c r="A159" s="34">
        <v>483</v>
      </c>
      <c r="B159" s="88" t="s">
        <v>473</v>
      </c>
      <c r="C159" s="41" t="e">
        <f>'2. Toimintakate'!D159+'3. Verotulot'!G159+'4. Valtionosuudet'!#REF!+'5. Rahoitustuotot ja -kulut'!C159</f>
        <v>#REF!</v>
      </c>
      <c r="D159" s="41">
        <f>'2. Toimintakate'!E159+'4. Valtionosuudet'!H159+'3. Verotulot'!L159+'5. Rahoitustuotot ja -kulut'!D159</f>
        <v>230</v>
      </c>
      <c r="E159" s="41">
        <f>'2. Toimintakate'!F159+'4. Valtionosuudet'!N159+'3. Verotulot'!Q159+'5. Rahoitustuotot ja -kulut'!E159</f>
        <v>362</v>
      </c>
      <c r="F159" s="41">
        <f>'2. Toimintakate'!G159+'4. Valtionosuudet'!T159+'3. Verotulot'!V159+'5. Rahoitustuotot ja -kulut'!F159</f>
        <v>59</v>
      </c>
      <c r="G159" s="41">
        <f>'2. Toimintakate'!H159+'3. Verotulot'!AA159+'4. Valtionosuudet'!Z159+'5. Rahoitustuotot ja -kulut'!G159</f>
        <v>-392</v>
      </c>
      <c r="H159" s="41">
        <f>Käyttökate!H159+'5. Rahoitustuotot ja -kulut'!H159</f>
        <v>675.3059741257739</v>
      </c>
      <c r="I159" s="41">
        <f>Käyttökate!I159+'5. Rahoitustuotot ja -kulut'!I159</f>
        <v>202.50837378272431</v>
      </c>
      <c r="J159" s="41">
        <f>Käyttökate!J159+'5. Rahoitustuotot ja -kulut'!J159</f>
        <v>-414.18713728568633</v>
      </c>
      <c r="K159" s="41">
        <f>Käyttökate!K159+'5. Rahoitustuotot ja -kulut'!K159</f>
        <v>-327.39132696327493</v>
      </c>
      <c r="L159" s="41">
        <f>Käyttökate!L159+'5. Rahoitustuotot ja -kulut'!L159</f>
        <v>-272.78767336485112</v>
      </c>
      <c r="M159" s="41">
        <f>Käyttökate!M159+'5. Rahoitustuotot ja -kulut'!M159</f>
        <v>-995.85233134804798</v>
      </c>
      <c r="N159" s="41">
        <f>Käyttökate!N159+'5. Rahoitustuotot ja -kulut'!N159</f>
        <v>-956.61658903146713</v>
      </c>
      <c r="O159" s="41">
        <f>Käyttökate!O159+'5. Rahoitustuotot ja -kulut'!O159</f>
        <v>-1038.8828697187857</v>
      </c>
      <c r="P159" s="41">
        <f>Käyttökate!P159+'5. Rahoitustuotot ja -kulut'!P159</f>
        <v>-893.60479038728249</v>
      </c>
      <c r="T159" s="34">
        <v>483</v>
      </c>
      <c r="U159" s="88" t="s">
        <v>473</v>
      </c>
      <c r="V159" s="41" t="e">
        <f>C159/'1. Väestöennuste'!E159*1000</f>
        <v>#REF!</v>
      </c>
      <c r="W159" s="41">
        <f>D159/'1. Väestöennuste'!F159*1000</f>
        <v>203.35985853227231</v>
      </c>
      <c r="X159" s="41">
        <f>E159/'1. Väestöennuste'!G159*1000</f>
        <v>323.50312779267205</v>
      </c>
      <c r="Y159" s="41">
        <f>F159/'1. Väestöennuste'!H159*1000</f>
        <v>53.44202898550725</v>
      </c>
      <c r="Z159" s="41">
        <f>G159/'1. Väestöennuste'!I159*1000</f>
        <v>-359.96326905417811</v>
      </c>
      <c r="AA159" s="41">
        <f>H159/'1. Väestöennuste'!J159*1000</f>
        <v>626.44338972706305</v>
      </c>
      <c r="AB159" s="41">
        <f>I159/'1. Väestöennuste'!K159*1000</f>
        <v>188.20480834825679</v>
      </c>
      <c r="AC159" s="41">
        <f>J159/'1. Väestöennuste'!L159*1000</f>
        <v>-388.17913522557296</v>
      </c>
      <c r="AD159" s="41">
        <f>K159/'1. Väestöennuste'!M159*1000</f>
        <v>-310.32353266661136</v>
      </c>
      <c r="AE159" s="41">
        <f>L159/'1. Väestöennuste'!N159*1000</f>
        <v>-267.43889545573643</v>
      </c>
      <c r="AF159" s="41">
        <f>M159/'1. Väestöennuste'!O159*1000</f>
        <v>-989.91285422271164</v>
      </c>
      <c r="AG159" s="41">
        <f>N159/'1. Väestöennuste'!P159*1000</f>
        <v>-963.36010980006756</v>
      </c>
      <c r="AH159" s="41">
        <f>O159/'1. Väestöennuste'!Q159*1000</f>
        <v>-1061.1673847995769</v>
      </c>
      <c r="AI159" s="41">
        <f>P159/'1. Väestöennuste'!R159*1000</f>
        <v>-922.19276613754641</v>
      </c>
      <c r="AK159" s="41">
        <f>'6. Poistot'!Z159</f>
        <v>366.39118457300276</v>
      </c>
      <c r="AL159" s="41">
        <f>'6. Poistot'!AA159</f>
        <v>368.27458256029684</v>
      </c>
      <c r="AM159" s="41">
        <f>'6. Poistot'!AB159</f>
        <v>361.7707992565056</v>
      </c>
      <c r="AN159" s="41">
        <f>'6. Poistot'!AC159</f>
        <v>360.02284910965324</v>
      </c>
      <c r="AO159" s="41">
        <f>'6. Poistot'!AD159</f>
        <v>324.68183886255929</v>
      </c>
      <c r="AP159" s="41">
        <f>'6. Poistot'!AE159</f>
        <v>309.02941176470591</v>
      </c>
      <c r="AQ159" s="41">
        <f>'6. Poistot'!AF159</f>
        <v>313.33001988071567</v>
      </c>
      <c r="AR159" s="41">
        <f>'6. Poistot'!AG159</f>
        <v>317.43202416918427</v>
      </c>
      <c r="AS159" s="41">
        <f>'6. Poistot'!AH159</f>
        <v>332.3602382204877</v>
      </c>
      <c r="AT159" s="41">
        <f>'6. Poistot'!AI159</f>
        <v>346.28621923190394</v>
      </c>
      <c r="AV159" s="4">
        <f t="shared" si="46"/>
        <v>1</v>
      </c>
      <c r="AW159" s="4">
        <f t="shared" si="47"/>
        <v>1</v>
      </c>
      <c r="AX159" s="4">
        <f t="shared" si="48"/>
        <v>1</v>
      </c>
      <c r="AY159" s="4">
        <f t="shared" si="49"/>
        <v>1</v>
      </c>
      <c r="AZ159" s="4">
        <f t="shared" si="50"/>
        <v>1</v>
      </c>
      <c r="BA159" s="4">
        <f t="shared" si="51"/>
        <v>1</v>
      </c>
      <c r="BB159" s="4">
        <f t="shared" si="52"/>
        <v>1</v>
      </c>
      <c r="BC159" s="4">
        <f t="shared" si="53"/>
        <v>1</v>
      </c>
      <c r="BE159" s="405">
        <f t="shared" si="54"/>
        <v>-1</v>
      </c>
      <c r="BF159" s="405">
        <f t="shared" si="55"/>
        <v>0</v>
      </c>
      <c r="BG159" s="405">
        <f t="shared" si="56"/>
        <v>0</v>
      </c>
      <c r="BH159" s="405">
        <f t="shared" si="57"/>
        <v>-1</v>
      </c>
      <c r="BI159" s="405">
        <f t="shared" si="58"/>
        <v>-1</v>
      </c>
      <c r="BJ159" s="405">
        <f t="shared" si="59"/>
        <v>-1</v>
      </c>
      <c r="BK159" s="405">
        <f t="shared" si="60"/>
        <v>-1</v>
      </c>
      <c r="BL159" s="405">
        <f t="shared" si="61"/>
        <v>-1</v>
      </c>
      <c r="BM159" s="405">
        <f t="shared" si="62"/>
        <v>-1</v>
      </c>
      <c r="BN159" s="405">
        <f t="shared" si="62"/>
        <v>-1</v>
      </c>
    </row>
    <row r="160" spans="1:66" x14ac:dyDescent="0.2">
      <c r="A160" s="34">
        <v>484</v>
      </c>
      <c r="B160" s="88" t="s">
        <v>474</v>
      </c>
      <c r="C160" s="41" t="e">
        <f>'2. Toimintakate'!D160+'3. Verotulot'!G160+'4. Valtionosuudet'!#REF!+'5. Rahoitustuotot ja -kulut'!C160</f>
        <v>#REF!</v>
      </c>
      <c r="D160" s="41">
        <f>'2. Toimintakate'!E160+'4. Valtionosuudet'!H160+'3. Verotulot'!L160+'5. Rahoitustuotot ja -kulut'!D160</f>
        <v>1354</v>
      </c>
      <c r="E160" s="41">
        <f>'2. Toimintakate'!F160+'4. Valtionosuudet'!N160+'3. Verotulot'!Q160+'5. Rahoitustuotot ja -kulut'!E160</f>
        <v>1036</v>
      </c>
      <c r="F160" s="41">
        <f>'2. Toimintakate'!G160+'4. Valtionosuudet'!T160+'3. Verotulot'!V160+'5. Rahoitustuotot ja -kulut'!F160</f>
        <v>-366</v>
      </c>
      <c r="G160" s="41">
        <f>'2. Toimintakate'!H160+'3. Verotulot'!AA160+'4. Valtionosuudet'!Z160+'5. Rahoitustuotot ja -kulut'!G160</f>
        <v>335</v>
      </c>
      <c r="H160" s="41">
        <f>Käyttökate!H160+'5. Rahoitustuotot ja -kulut'!H160</f>
        <v>2401.2024869220568</v>
      </c>
      <c r="I160" s="41">
        <f>Käyttökate!I160+'5. Rahoitustuotot ja -kulut'!I160</f>
        <v>2996.5612154801647</v>
      </c>
      <c r="J160" s="41">
        <f>Käyttökate!J160+'5. Rahoitustuotot ja -kulut'!J160</f>
        <v>938.72089677597774</v>
      </c>
      <c r="K160" s="41">
        <f>Käyttökate!K160+'5. Rahoitustuotot ja -kulut'!K160</f>
        <v>-819.42947642793126</v>
      </c>
      <c r="L160" s="41">
        <f>Käyttökate!L160+'5. Rahoitustuotot ja -kulut'!L160</f>
        <v>2167.724703531444</v>
      </c>
      <c r="M160" s="41">
        <f>Käyttökate!M160+'5. Rahoitustuotot ja -kulut'!M160</f>
        <v>168.85720284933768</v>
      </c>
      <c r="N160" s="41">
        <f>Käyttökate!N160+'5. Rahoitustuotot ja -kulut'!N160</f>
        <v>-788.0362863505095</v>
      </c>
      <c r="O160" s="41">
        <f>Käyttökate!O160+'5. Rahoitustuotot ja -kulut'!O160</f>
        <v>-500.20020689754114</v>
      </c>
      <c r="P160" s="41">
        <f>Käyttökate!P160+'5. Rahoitustuotot ja -kulut'!P160</f>
        <v>-469.08012000848373</v>
      </c>
      <c r="T160" s="34">
        <v>484</v>
      </c>
      <c r="U160" s="88" t="s">
        <v>474</v>
      </c>
      <c r="V160" s="41" t="e">
        <f>C160/'1. Väestöennuste'!E160*1000</f>
        <v>#REF!</v>
      </c>
      <c r="W160" s="41">
        <f>D160/'1. Väestöennuste'!F160*1000</f>
        <v>427.26412117387184</v>
      </c>
      <c r="X160" s="41">
        <f>E160/'1. Väestöennuste'!G160*1000</f>
        <v>328.26362484157164</v>
      </c>
      <c r="Y160" s="41">
        <f>F160/'1. Väestöennuste'!H160*1000</f>
        <v>-117.49598715890851</v>
      </c>
      <c r="Z160" s="41">
        <f>G160/'1. Väestöennuste'!I160*1000</f>
        <v>109.22725790674927</v>
      </c>
      <c r="AA160" s="41">
        <f>H160/'1. Väestöennuste'!J160*1000</f>
        <v>783.17106553230815</v>
      </c>
      <c r="AB160" s="41">
        <f>I160/'1. Väestöennuste'!K160*1000</f>
        <v>980.87110163016848</v>
      </c>
      <c r="AC160" s="41">
        <f>J160/'1. Väestöennuste'!L160*1000</f>
        <v>316.38722506773769</v>
      </c>
      <c r="AD160" s="41">
        <f>K160/'1. Väestöennuste'!M160*1000</f>
        <v>-276.27426717057693</v>
      </c>
      <c r="AE160" s="41">
        <f>L160/'1. Väestöennuste'!N160*1000</f>
        <v>727.18037689749883</v>
      </c>
      <c r="AF160" s="41">
        <f>M160/'1. Väestöennuste'!O160*1000</f>
        <v>56.950152731648458</v>
      </c>
      <c r="AG160" s="41">
        <f>N160/'1. Väestöennuste'!P160*1000</f>
        <v>-267.13094452559642</v>
      </c>
      <c r="AH160" s="41">
        <f>O160/'1. Väestöennuste'!Q160*1000</f>
        <v>-170.54217759888891</v>
      </c>
      <c r="AI160" s="41">
        <f>P160/'1. Väestöennuste'!R160*1000</f>
        <v>-160.69891058872344</v>
      </c>
      <c r="AK160" s="41">
        <f>'6. Poistot'!Z160</f>
        <v>431.04010433648517</v>
      </c>
      <c r="AL160" s="41">
        <f>'6. Poistot'!AA160</f>
        <v>436.07305936073061</v>
      </c>
      <c r="AM160" s="41">
        <f>'6. Poistot'!AB160</f>
        <v>402.41350245499183</v>
      </c>
      <c r="AN160" s="41">
        <f>'6. Poistot'!AC160</f>
        <v>423.81593528816978</v>
      </c>
      <c r="AO160" s="41">
        <f>'6. Poistot'!AD160</f>
        <v>462.56851989211054</v>
      </c>
      <c r="AP160" s="41">
        <f>'6. Poistot'!AE160</f>
        <v>475.73364642737334</v>
      </c>
      <c r="AQ160" s="41">
        <f>'6. Poistot'!AF160</f>
        <v>438.44856661045532</v>
      </c>
      <c r="AR160" s="41">
        <f>'6. Poistot'!AG160</f>
        <v>440.67796610169489</v>
      </c>
      <c r="AS160" s="41">
        <f>'6. Poistot'!AH160</f>
        <v>457.53366613330877</v>
      </c>
      <c r="AT160" s="41">
        <f>'6. Poistot'!AI160</f>
        <v>474.09814509694718</v>
      </c>
      <c r="AV160" s="4">
        <f t="shared" si="46"/>
        <v>0</v>
      </c>
      <c r="AW160" s="4">
        <f t="shared" si="47"/>
        <v>1</v>
      </c>
      <c r="AX160" s="4">
        <f t="shared" si="48"/>
        <v>1</v>
      </c>
      <c r="AY160" s="4">
        <f t="shared" si="49"/>
        <v>0</v>
      </c>
      <c r="AZ160" s="4">
        <f t="shared" si="50"/>
        <v>1</v>
      </c>
      <c r="BA160" s="4">
        <f t="shared" si="51"/>
        <v>1</v>
      </c>
      <c r="BB160" s="4">
        <f t="shared" si="52"/>
        <v>1</v>
      </c>
      <c r="BC160" s="4">
        <f t="shared" si="53"/>
        <v>1</v>
      </c>
      <c r="BE160" s="405">
        <f t="shared" si="54"/>
        <v>0</v>
      </c>
      <c r="BF160" s="405">
        <f t="shared" si="55"/>
        <v>0</v>
      </c>
      <c r="BG160" s="405">
        <f t="shared" si="56"/>
        <v>0</v>
      </c>
      <c r="BH160" s="405">
        <f t="shared" si="57"/>
        <v>0</v>
      </c>
      <c r="BI160" s="405">
        <f t="shared" si="58"/>
        <v>-1</v>
      </c>
      <c r="BJ160" s="405">
        <f t="shared" si="59"/>
        <v>0</v>
      </c>
      <c r="BK160" s="405">
        <f t="shared" si="60"/>
        <v>0</v>
      </c>
      <c r="BL160" s="405">
        <f t="shared" si="61"/>
        <v>-1</v>
      </c>
      <c r="BM160" s="405">
        <f t="shared" si="62"/>
        <v>-1</v>
      </c>
      <c r="BN160" s="405">
        <f t="shared" si="62"/>
        <v>-1</v>
      </c>
    </row>
    <row r="161" spans="1:66" x14ac:dyDescent="0.2">
      <c r="A161" s="34">
        <v>489</v>
      </c>
      <c r="B161" s="88" t="s">
        <v>475</v>
      </c>
      <c r="C161" s="41" t="e">
        <f>'2. Toimintakate'!D161+'3. Verotulot'!G161+'4. Valtionosuudet'!#REF!+'5. Rahoitustuotot ja -kulut'!C161</f>
        <v>#REF!</v>
      </c>
      <c r="D161" s="41">
        <f>'2. Toimintakate'!E161+'4. Valtionosuudet'!H161+'3. Verotulot'!L161+'5. Rahoitustuotot ja -kulut'!D161</f>
        <v>1519</v>
      </c>
      <c r="E161" s="41">
        <f>'2. Toimintakate'!F161+'4. Valtionosuudet'!N161+'3. Verotulot'!Q161+'5. Rahoitustuotot ja -kulut'!E161</f>
        <v>1500</v>
      </c>
      <c r="F161" s="41">
        <f>'2. Toimintakate'!G161+'4. Valtionosuudet'!T161+'3. Verotulot'!V161+'5. Rahoitustuotot ja -kulut'!F161</f>
        <v>471</v>
      </c>
      <c r="G161" s="41">
        <f>'2. Toimintakate'!H161+'3. Verotulot'!AA161+'4. Valtionosuudet'!Z161+'5. Rahoitustuotot ja -kulut'!G161</f>
        <v>1177</v>
      </c>
      <c r="H161" s="41">
        <f>Käyttökate!H161+'5. Rahoitustuotot ja -kulut'!H161</f>
        <v>1986.9854964863907</v>
      </c>
      <c r="I161" s="41">
        <f>Käyttökate!I161+'5. Rahoitustuotot ja -kulut'!I161</f>
        <v>796.09791969090941</v>
      </c>
      <c r="J161" s="41">
        <f>Käyttökate!J161+'5. Rahoitustuotot ja -kulut'!J161</f>
        <v>121.36177991329431</v>
      </c>
      <c r="K161" s="41">
        <f>Käyttökate!K161+'5. Rahoitustuotot ja -kulut'!K161</f>
        <v>594.56115657757641</v>
      </c>
      <c r="L161" s="41">
        <f>Käyttökate!L161+'5. Rahoitustuotot ja -kulut'!L161</f>
        <v>-220.02185669435403</v>
      </c>
      <c r="M161" s="41">
        <f>Käyttökate!M161+'5. Rahoitustuotot ja -kulut'!M161</f>
        <v>-635.62924663213425</v>
      </c>
      <c r="N161" s="41">
        <f>Käyttökate!N161+'5. Rahoitustuotot ja -kulut'!N161</f>
        <v>-748.88277042382742</v>
      </c>
      <c r="O161" s="41">
        <f>Käyttökate!O161+'5. Rahoitustuotot ja -kulut'!O161</f>
        <v>-900.95878140562536</v>
      </c>
      <c r="P161" s="41">
        <f>Käyttökate!P161+'5. Rahoitustuotot ja -kulut'!P161</f>
        <v>-765.76028951516128</v>
      </c>
      <c r="T161" s="34">
        <v>489</v>
      </c>
      <c r="U161" s="88" t="s">
        <v>475</v>
      </c>
      <c r="V161" s="41" t="e">
        <f>C161/'1. Väestöennuste'!E161*1000</f>
        <v>#REF!</v>
      </c>
      <c r="W161" s="41">
        <f>D161/'1. Väestöennuste'!F161*1000</f>
        <v>746.80432645034409</v>
      </c>
      <c r="X161" s="41">
        <f>E161/'1. Väestöennuste'!G161*1000</f>
        <v>753.01204819277109</v>
      </c>
      <c r="Y161" s="41">
        <f>F161/'1. Väestöennuste'!H161*1000</f>
        <v>242.78350515463919</v>
      </c>
      <c r="Z161" s="41">
        <f>G161/'1. Väestöennuste'!I161*1000</f>
        <v>633.81798599892306</v>
      </c>
      <c r="AA161" s="41">
        <f>H161/'1. Väestöennuste'!J161*1000</f>
        <v>1063.6967325944274</v>
      </c>
      <c r="AB161" s="41">
        <f>I161/'1. Väestöennuste'!K161*1000</f>
        <v>433.84082816943294</v>
      </c>
      <c r="AC161" s="41">
        <f>J161/'1. Väestöennuste'!L161*1000</f>
        <v>67.762021168785211</v>
      </c>
      <c r="AD161" s="41">
        <f>K161/'1. Väestöennuste'!M161*1000</f>
        <v>339.36139074062584</v>
      </c>
      <c r="AE161" s="41">
        <f>L161/'1. Väestöennuste'!N161*1000</f>
        <v>-127.25382110720301</v>
      </c>
      <c r="AF161" s="41">
        <f>M161/'1. Väestöennuste'!O161*1000</f>
        <v>-373.46019191077215</v>
      </c>
      <c r="AG161" s="41">
        <f>N161/'1. Väestöennuste'!P161*1000</f>
        <v>-447.09419129780741</v>
      </c>
      <c r="AH161" s="41">
        <f>O161/'1. Väestöennuste'!Q161*1000</f>
        <v>-546.36675646187109</v>
      </c>
      <c r="AI161" s="41">
        <f>P161/'1. Väestöennuste'!R161*1000</f>
        <v>-471.23710124009926</v>
      </c>
      <c r="AK161" s="41">
        <f>'6. Poistot'!Z161</f>
        <v>491.65320409262256</v>
      </c>
      <c r="AL161" s="41">
        <f>'6. Poistot'!AA161</f>
        <v>514.98929336188439</v>
      </c>
      <c r="AM161" s="41">
        <f>'6. Poistot'!AB161</f>
        <v>525.24111171662128</v>
      </c>
      <c r="AN161" s="41">
        <f>'6. Poistot'!AC161</f>
        <v>542.4912674483528</v>
      </c>
      <c r="AO161" s="41">
        <f>'6. Poistot'!AD161</f>
        <v>578.16730593607303</v>
      </c>
      <c r="AP161" s="41">
        <f>'6. Poistot'!AE161</f>
        <v>628.86061307113937</v>
      </c>
      <c r="AQ161" s="41">
        <f>'6. Poistot'!AF161</f>
        <v>638.83666274970619</v>
      </c>
      <c r="AR161" s="41">
        <f>'6. Poistot'!AG161</f>
        <v>649.1343283582089</v>
      </c>
      <c r="AS161" s="41">
        <f>'6. Poistot'!AH161</f>
        <v>680.64474962108852</v>
      </c>
      <c r="AT161" s="41">
        <f>'6. Poistot'!AI161</f>
        <v>712.28700569252328</v>
      </c>
      <c r="AV161" s="4">
        <f t="shared" si="46"/>
        <v>1</v>
      </c>
      <c r="AW161" s="4">
        <f t="shared" si="47"/>
        <v>1</v>
      </c>
      <c r="AX161" s="4">
        <f t="shared" si="48"/>
        <v>1</v>
      </c>
      <c r="AY161" s="4">
        <f t="shared" si="49"/>
        <v>1</v>
      </c>
      <c r="AZ161" s="4">
        <f t="shared" si="50"/>
        <v>1</v>
      </c>
      <c r="BA161" s="4">
        <f t="shared" si="51"/>
        <v>1</v>
      </c>
      <c r="BB161" s="4">
        <f t="shared" si="52"/>
        <v>1</v>
      </c>
      <c r="BC161" s="4">
        <f t="shared" si="53"/>
        <v>1</v>
      </c>
      <c r="BE161" s="405">
        <f t="shared" si="54"/>
        <v>0</v>
      </c>
      <c r="BF161" s="405">
        <f t="shared" si="55"/>
        <v>0</v>
      </c>
      <c r="BG161" s="405">
        <f t="shared" si="56"/>
        <v>0</v>
      </c>
      <c r="BH161" s="405">
        <f t="shared" si="57"/>
        <v>0</v>
      </c>
      <c r="BI161" s="405">
        <f t="shared" si="58"/>
        <v>0</v>
      </c>
      <c r="BJ161" s="405">
        <f t="shared" si="59"/>
        <v>-1</v>
      </c>
      <c r="BK161" s="405">
        <f t="shared" si="60"/>
        <v>-1</v>
      </c>
      <c r="BL161" s="405">
        <f t="shared" si="61"/>
        <v>-1</v>
      </c>
      <c r="BM161" s="405">
        <f t="shared" si="62"/>
        <v>-1</v>
      </c>
      <c r="BN161" s="405">
        <f t="shared" si="62"/>
        <v>-1</v>
      </c>
    </row>
    <row r="162" spans="1:66" x14ac:dyDescent="0.2">
      <c r="A162" s="34">
        <v>491</v>
      </c>
      <c r="B162" s="88" t="s">
        <v>476</v>
      </c>
      <c r="C162" s="41" t="e">
        <f>'2. Toimintakate'!D162+'3. Verotulot'!G162+'4. Valtionosuudet'!#REF!+'5. Rahoitustuotot ja -kulut'!C162</f>
        <v>#REF!</v>
      </c>
      <c r="D162" s="41">
        <f>'2. Toimintakate'!E162+'4. Valtionosuudet'!H162+'3. Verotulot'!L162+'5. Rahoitustuotot ja -kulut'!D162</f>
        <v>19066</v>
      </c>
      <c r="E162" s="41">
        <f>'2. Toimintakate'!F162+'4. Valtionosuudet'!N162+'3. Verotulot'!Q162+'5. Rahoitustuotot ja -kulut'!E162</f>
        <v>26663</v>
      </c>
      <c r="F162" s="41">
        <f>'2. Toimintakate'!G162+'4. Valtionosuudet'!T162+'3. Verotulot'!V162+'5. Rahoitustuotot ja -kulut'!F162</f>
        <v>3642</v>
      </c>
      <c r="G162" s="41">
        <f>'2. Toimintakate'!H162+'3. Verotulot'!AA162+'4. Valtionosuudet'!Z162+'5. Rahoitustuotot ja -kulut'!G162</f>
        <v>3132</v>
      </c>
      <c r="H162" s="41">
        <f>Käyttökate!H162+'5. Rahoitustuotot ja -kulut'!H162</f>
        <v>34771.61883728212</v>
      </c>
      <c r="I162" s="41">
        <f>Käyttökate!I162+'5. Rahoitustuotot ja -kulut'!I162</f>
        <v>17917.261183321163</v>
      </c>
      <c r="J162" s="41">
        <f>Käyttökate!J162+'5. Rahoitustuotot ja -kulut'!J162</f>
        <v>24970.313536279715</v>
      </c>
      <c r="K162" s="41">
        <f>Käyttökate!K162+'5. Rahoitustuotot ja -kulut'!K162</f>
        <v>38141.006248008489</v>
      </c>
      <c r="L162" s="41">
        <f>Käyttökate!L162+'5. Rahoitustuotot ja -kulut'!L162</f>
        <v>15491.171573861189</v>
      </c>
      <c r="M162" s="41">
        <f>Käyttökate!M162+'5. Rahoitustuotot ja -kulut'!M162</f>
        <v>17544.147246872591</v>
      </c>
      <c r="N162" s="41">
        <f>Käyttökate!N162+'5. Rahoitustuotot ja -kulut'!N162</f>
        <v>19631.855983191796</v>
      </c>
      <c r="O162" s="41">
        <f>Käyttökate!O162+'5. Rahoitustuotot ja -kulut'!O162</f>
        <v>20908.754632923185</v>
      </c>
      <c r="P162" s="41">
        <f>Käyttökate!P162+'5. Rahoitustuotot ja -kulut'!P162</f>
        <v>27851.987463696878</v>
      </c>
      <c r="T162" s="34">
        <v>491</v>
      </c>
      <c r="U162" s="88" t="s">
        <v>476</v>
      </c>
      <c r="V162" s="41" t="e">
        <f>C162/'1. Väestöennuste'!E162*1000</f>
        <v>#REF!</v>
      </c>
      <c r="W162" s="41">
        <f>D162/'1. Väestöennuste'!F162*1000</f>
        <v>349.72577361190088</v>
      </c>
      <c r="X162" s="41">
        <f>E162/'1. Väestöennuste'!G162*1000</f>
        <v>491.3842354545622</v>
      </c>
      <c r="Y162" s="41">
        <f>F162/'1. Väestöennuste'!H162*1000</f>
        <v>67.672525920695691</v>
      </c>
      <c r="Z162" s="41">
        <f>G162/'1. Väestöennuste'!I162*1000</f>
        <v>58.945308088982571</v>
      </c>
      <c r="AA162" s="41">
        <f>H162/'1. Väestöennuste'!J162*1000</f>
        <v>661.27111114394609</v>
      </c>
      <c r="AB162" s="41">
        <f>I162/'1. Väestöennuste'!K162*1000</f>
        <v>343.75621010938113</v>
      </c>
      <c r="AC162" s="41">
        <f>J162/'1. Väestöennuste'!L162*1000</f>
        <v>480.38309996690487</v>
      </c>
      <c r="AD162" s="41">
        <f>K162/'1. Väestöennuste'!M162*1000</f>
        <v>734.62520942253298</v>
      </c>
      <c r="AE162" s="41">
        <f>L162/'1. Väestöennuste'!N162*1000</f>
        <v>303.85570542272154</v>
      </c>
      <c r="AF162" s="41">
        <f>M162/'1. Väestöennuste'!O162*1000</f>
        <v>346.80452373828956</v>
      </c>
      <c r="AG162" s="41">
        <f>N162/'1. Väestöennuste'!P162*1000</f>
        <v>391.12736802326606</v>
      </c>
      <c r="AH162" s="41">
        <f>O162/'1. Väestöennuste'!Q162*1000</f>
        <v>419.76179223310481</v>
      </c>
      <c r="AI162" s="41">
        <f>P162/'1. Väestöennuste'!R162*1000</f>
        <v>563.45183111199208</v>
      </c>
      <c r="AK162" s="41">
        <f>'6. Poistot'!Z162</f>
        <v>404.14800316181731</v>
      </c>
      <c r="AL162" s="41">
        <f>'6. Poistot'!AA162</f>
        <v>388.39548903638058</v>
      </c>
      <c r="AM162" s="41">
        <f>'6. Poistot'!AB162</f>
        <v>415.64122098154326</v>
      </c>
      <c r="AN162" s="41">
        <f>'6. Poistot'!AC162</f>
        <v>430.50953270488651</v>
      </c>
      <c r="AO162" s="41">
        <f>'6. Poistot'!AD162</f>
        <v>451.5484279358231</v>
      </c>
      <c r="AP162" s="41">
        <f>'6. Poistot'!AE162</f>
        <v>425.64042210976419</v>
      </c>
      <c r="AQ162" s="41">
        <f>'6. Poistot'!AF162</f>
        <v>415.11820985213882</v>
      </c>
      <c r="AR162" s="41">
        <f>'6. Poistot'!AG162</f>
        <v>418.38503376964911</v>
      </c>
      <c r="AS162" s="41">
        <f>'6. Poistot'!AH162</f>
        <v>435.19690735825856</v>
      </c>
      <c r="AT162" s="41">
        <f>'6. Poistot'!AI162</f>
        <v>452.25033490814337</v>
      </c>
      <c r="AV162" s="4">
        <f t="shared" si="46"/>
        <v>1</v>
      </c>
      <c r="AW162" s="4">
        <f t="shared" si="47"/>
        <v>0</v>
      </c>
      <c r="AX162" s="4">
        <f t="shared" si="48"/>
        <v>0</v>
      </c>
      <c r="AY162" s="4">
        <f t="shared" si="49"/>
        <v>1</v>
      </c>
      <c r="AZ162" s="4">
        <f t="shared" si="50"/>
        <v>1</v>
      </c>
      <c r="BA162" s="4">
        <f t="shared" si="51"/>
        <v>1</v>
      </c>
      <c r="BB162" s="4">
        <f t="shared" si="52"/>
        <v>1</v>
      </c>
      <c r="BC162" s="4">
        <f t="shared" si="53"/>
        <v>0</v>
      </c>
      <c r="BE162" s="405">
        <f t="shared" si="54"/>
        <v>0</v>
      </c>
      <c r="BF162" s="405">
        <f t="shared" si="55"/>
        <v>0</v>
      </c>
      <c r="BG162" s="405">
        <f t="shared" si="56"/>
        <v>0</v>
      </c>
      <c r="BH162" s="405">
        <f t="shared" si="57"/>
        <v>0</v>
      </c>
      <c r="BI162" s="405">
        <f t="shared" si="58"/>
        <v>0</v>
      </c>
      <c r="BJ162" s="405">
        <f t="shared" si="59"/>
        <v>0</v>
      </c>
      <c r="BK162" s="405">
        <f t="shared" si="60"/>
        <v>0</v>
      </c>
      <c r="BL162" s="405">
        <f t="shared" si="61"/>
        <v>0</v>
      </c>
      <c r="BM162" s="405">
        <f t="shared" si="62"/>
        <v>0</v>
      </c>
      <c r="BN162" s="405">
        <f t="shared" si="62"/>
        <v>0</v>
      </c>
    </row>
    <row r="163" spans="1:66" x14ac:dyDescent="0.2">
      <c r="A163" s="34">
        <v>494</v>
      </c>
      <c r="B163" s="88" t="s">
        <v>477</v>
      </c>
      <c r="C163" s="41" t="e">
        <f>'2. Toimintakate'!D163+'3. Verotulot'!G163+'4. Valtionosuudet'!#REF!+'5. Rahoitustuotot ja -kulut'!C163</f>
        <v>#REF!</v>
      </c>
      <c r="D163" s="41">
        <f>'2. Toimintakate'!E163+'4. Valtionosuudet'!H163+'3. Verotulot'!L163+'5. Rahoitustuotot ja -kulut'!D163</f>
        <v>4756</v>
      </c>
      <c r="E163" s="41">
        <f>'2. Toimintakate'!F163+'4. Valtionosuudet'!N163+'3. Verotulot'!Q163+'5. Rahoitustuotot ja -kulut'!E163</f>
        <v>4287</v>
      </c>
      <c r="F163" s="41">
        <f>'2. Toimintakate'!G163+'4. Valtionosuudet'!T163+'3. Verotulot'!V163+'5. Rahoitustuotot ja -kulut'!F163</f>
        <v>1978</v>
      </c>
      <c r="G163" s="41">
        <f>'2. Toimintakate'!H163+'3. Verotulot'!AA163+'4. Valtionosuudet'!Z163+'5. Rahoitustuotot ja -kulut'!G163</f>
        <v>1470</v>
      </c>
      <c r="H163" s="41">
        <f>Käyttökate!H163+'5. Rahoitustuotot ja -kulut'!H163</f>
        <v>5202.660357549692</v>
      </c>
      <c r="I163" s="41">
        <f>Käyttökate!I163+'5. Rahoitustuotot ja -kulut'!I163</f>
        <v>4644.5241959794803</v>
      </c>
      <c r="J163" s="41">
        <f>Käyttökate!J163+'5. Rahoitustuotot ja -kulut'!J163</f>
        <v>4228.9389284259832</v>
      </c>
      <c r="K163" s="41">
        <f>Käyttökate!K163+'5. Rahoitustuotot ja -kulut'!K163</f>
        <v>6945.3792160880357</v>
      </c>
      <c r="L163" s="41">
        <f>Käyttökate!L163+'5. Rahoitustuotot ja -kulut'!L163</f>
        <v>3633.6782376889178</v>
      </c>
      <c r="M163" s="41">
        <f>Käyttökate!M163+'5. Rahoitustuotot ja -kulut'!M163</f>
        <v>2500.0736277283318</v>
      </c>
      <c r="N163" s="41">
        <f>Käyttökate!N163+'5. Rahoitustuotot ja -kulut'!N163</f>
        <v>2547.1518609187356</v>
      </c>
      <c r="O163" s="41">
        <f>Käyttökate!O163+'5. Rahoitustuotot ja -kulut'!O163</f>
        <v>2690.017390429598</v>
      </c>
      <c r="P163" s="41">
        <f>Käyttökate!P163+'5. Rahoitustuotot ja -kulut'!P163</f>
        <v>3716.0476960865872</v>
      </c>
      <c r="T163" s="34">
        <v>494</v>
      </c>
      <c r="U163" s="88" t="s">
        <v>477</v>
      </c>
      <c r="V163" s="41" t="e">
        <f>C163/'1. Väestöennuste'!E163*1000</f>
        <v>#REF!</v>
      </c>
      <c r="W163" s="41">
        <f>D163/'1. Väestöennuste'!F163*1000</f>
        <v>528.73818788215681</v>
      </c>
      <c r="X163" s="41">
        <f>E163/'1. Väestöennuste'!G163*1000</f>
        <v>475.32985918616254</v>
      </c>
      <c r="Y163" s="41">
        <f>F163/'1. Väestöennuste'!H163*1000</f>
        <v>220.26726057906458</v>
      </c>
      <c r="Z163" s="41">
        <f>G163/'1. Väestöennuste'!I163*1000</f>
        <v>165.02020655590479</v>
      </c>
      <c r="AA163" s="41">
        <f>H163/'1. Väestöennuste'!J163*1000</f>
        <v>584.37160030885002</v>
      </c>
      <c r="AB163" s="41">
        <f>I163/'1. Väestöennuste'!K163*1000</f>
        <v>521.3294641350858</v>
      </c>
      <c r="AC163" s="41">
        <f>J163/'1. Väestöennuste'!L163*1000</f>
        <v>476.12462603309876</v>
      </c>
      <c r="AD163" s="41">
        <f>K163/'1. Väestöennuste'!M163*1000</f>
        <v>786.83348998391705</v>
      </c>
      <c r="AE163" s="41">
        <f>L163/'1. Väestöennuste'!N163*1000</f>
        <v>413.8585692128608</v>
      </c>
      <c r="AF163" s="41">
        <f>M163/'1. Väestöennuste'!O163*1000</f>
        <v>285.72270031180938</v>
      </c>
      <c r="AG163" s="41">
        <f>N163/'1. Väestöennuste'!P163*1000</f>
        <v>292.10457120627706</v>
      </c>
      <c r="AH163" s="41">
        <f>O163/'1. Väestöennuste'!Q163*1000</f>
        <v>309.51759181102267</v>
      </c>
      <c r="AI163" s="41">
        <f>P163/'1. Väestöennuste'!R163*1000</f>
        <v>429.00573725312711</v>
      </c>
      <c r="AK163" s="41">
        <f>'6. Poistot'!Z163</f>
        <v>383.81230354737318</v>
      </c>
      <c r="AL163" s="41">
        <f>'6. Poistot'!AA163</f>
        <v>958.32865326294507</v>
      </c>
      <c r="AM163" s="41">
        <f>'6. Poistot'!AB163</f>
        <v>391.01728925805367</v>
      </c>
      <c r="AN163" s="41">
        <f>'6. Poistot'!AC163</f>
        <v>446.17042670569691</v>
      </c>
      <c r="AO163" s="41">
        <f>'6. Poistot'!AD163</f>
        <v>451.73885465050409</v>
      </c>
      <c r="AP163" s="41">
        <f>'6. Poistot'!AE163</f>
        <v>429.66104783599093</v>
      </c>
      <c r="AQ163" s="41">
        <f>'6. Poistot'!AF163</f>
        <v>452.61988571428566</v>
      </c>
      <c r="AR163" s="41">
        <f>'6. Poistot'!AG163</f>
        <v>491.10366972477067</v>
      </c>
      <c r="AS163" s="41">
        <f>'6. Poistot'!AH163</f>
        <v>508.64137053749403</v>
      </c>
      <c r="AT163" s="41">
        <f>'6. Poistot'!AI163</f>
        <v>526.29650227230672</v>
      </c>
      <c r="AV163" s="4">
        <f t="shared" si="46"/>
        <v>0</v>
      </c>
      <c r="AW163" s="4">
        <f t="shared" si="47"/>
        <v>0</v>
      </c>
      <c r="AX163" s="4">
        <f t="shared" si="48"/>
        <v>0</v>
      </c>
      <c r="AY163" s="4">
        <f t="shared" si="49"/>
        <v>1</v>
      </c>
      <c r="AZ163" s="4">
        <f t="shared" si="50"/>
        <v>1</v>
      </c>
      <c r="BA163" s="4">
        <f t="shared" si="51"/>
        <v>1</v>
      </c>
      <c r="BB163" s="4">
        <f t="shared" si="52"/>
        <v>1</v>
      </c>
      <c r="BC163" s="4">
        <f t="shared" si="53"/>
        <v>1</v>
      </c>
      <c r="BE163" s="405">
        <f t="shared" si="54"/>
        <v>0</v>
      </c>
      <c r="BF163" s="405">
        <f t="shared" si="55"/>
        <v>0</v>
      </c>
      <c r="BG163" s="405">
        <f t="shared" si="56"/>
        <v>0</v>
      </c>
      <c r="BH163" s="405">
        <f t="shared" si="57"/>
        <v>0</v>
      </c>
      <c r="BI163" s="405">
        <f t="shared" si="58"/>
        <v>0</v>
      </c>
      <c r="BJ163" s="405">
        <f t="shared" si="59"/>
        <v>0</v>
      </c>
      <c r="BK163" s="405">
        <f t="shared" si="60"/>
        <v>0</v>
      </c>
      <c r="BL163" s="405">
        <f t="shared" si="61"/>
        <v>0</v>
      </c>
      <c r="BM163" s="405">
        <f t="shared" si="62"/>
        <v>0</v>
      </c>
      <c r="BN163" s="405">
        <f t="shared" si="62"/>
        <v>0</v>
      </c>
    </row>
    <row r="164" spans="1:66" x14ac:dyDescent="0.2">
      <c r="A164" s="34">
        <v>495</v>
      </c>
      <c r="B164" s="88" t="s">
        <v>478</v>
      </c>
      <c r="C164" s="41" t="e">
        <f>'2. Toimintakate'!D164+'3. Verotulot'!G164+'4. Valtionosuudet'!#REF!+'5. Rahoitustuotot ja -kulut'!C164</f>
        <v>#REF!</v>
      </c>
      <c r="D164" s="41">
        <f>'2. Toimintakate'!E164+'4. Valtionosuudet'!H164+'3. Verotulot'!L164+'5. Rahoitustuotot ja -kulut'!D164</f>
        <v>812</v>
      </c>
      <c r="E164" s="41">
        <f>'2. Toimintakate'!F164+'4. Valtionosuudet'!N164+'3. Verotulot'!Q164+'5. Rahoitustuotot ja -kulut'!E164</f>
        <v>479</v>
      </c>
      <c r="F164" s="41">
        <f>'2. Toimintakate'!G164+'4. Valtionosuudet'!T164+'3. Verotulot'!V164+'5. Rahoitustuotot ja -kulut'!F164</f>
        <v>467</v>
      </c>
      <c r="G164" s="41">
        <f>'2. Toimintakate'!H164+'3. Verotulot'!AA164+'4. Valtionosuudet'!Z164+'5. Rahoitustuotot ja -kulut'!G164</f>
        <v>-1375</v>
      </c>
      <c r="H164" s="41">
        <f>Käyttökate!H164+'5. Rahoitustuotot ja -kulut'!H164</f>
        <v>1530.3613632931047</v>
      </c>
      <c r="I164" s="41">
        <f>Käyttökate!I164+'5. Rahoitustuotot ja -kulut'!I164</f>
        <v>1044.1693375369816</v>
      </c>
      <c r="J164" s="41">
        <f>Käyttökate!J164+'5. Rahoitustuotot ja -kulut'!J164</f>
        <v>306.63628461232963</v>
      </c>
      <c r="K164" s="41">
        <f>Käyttökate!K164+'5. Rahoitustuotot ja -kulut'!K164</f>
        <v>-16.915112737686979</v>
      </c>
      <c r="L164" s="41">
        <f>Käyttökate!L164+'5. Rahoitustuotot ja -kulut'!L164</f>
        <v>564.4278141460278</v>
      </c>
      <c r="M164" s="41">
        <f>Käyttökate!M164+'5. Rahoitustuotot ja -kulut'!M164</f>
        <v>-282.46044136912519</v>
      </c>
      <c r="N164" s="41">
        <f>Käyttökate!N164+'5. Rahoitustuotot ja -kulut'!N164</f>
        <v>-465.57327477106003</v>
      </c>
      <c r="O164" s="41">
        <f>Käyttökate!O164+'5. Rahoitustuotot ja -kulut'!O164</f>
        <v>-517.79543349186861</v>
      </c>
      <c r="P164" s="41">
        <f>Käyttökate!P164+'5. Rahoitustuotot ja -kulut'!P164</f>
        <v>-422.47326464926323</v>
      </c>
      <c r="T164" s="34">
        <v>495</v>
      </c>
      <c r="U164" s="88" t="s">
        <v>478</v>
      </c>
      <c r="V164" s="41" t="e">
        <f>C164/'1. Väestöennuste'!E164*1000</f>
        <v>#REF!</v>
      </c>
      <c r="W164" s="41">
        <f>D164/'1. Väestöennuste'!F164*1000</f>
        <v>488.2742032471437</v>
      </c>
      <c r="X164" s="41">
        <f>E164/'1. Väestöennuste'!G164*1000</f>
        <v>292.7872860635697</v>
      </c>
      <c r="Y164" s="41">
        <f>F164/'1. Väestöennuste'!H164*1000</f>
        <v>294.82323232323233</v>
      </c>
      <c r="Z164" s="41">
        <f>G164/'1. Väestöennuste'!I164*1000</f>
        <v>-878.03320561941257</v>
      </c>
      <c r="AA164" s="41">
        <f>H164/'1. Väestöennuste'!J164*1000</f>
        <v>982.26018183126098</v>
      </c>
      <c r="AB164" s="41">
        <f>I164/'1. Väestöennuste'!K164*1000</f>
        <v>701.7267053339931</v>
      </c>
      <c r="AC164" s="41">
        <f>J164/'1. Väestöennuste'!L164*1000</f>
        <v>207.60750481538906</v>
      </c>
      <c r="AD164" s="41">
        <f>K164/'1. Väestöennuste'!M164*1000</f>
        <v>-11.828750166214672</v>
      </c>
      <c r="AE164" s="41">
        <f>L164/'1. Väestöennuste'!N164*1000</f>
        <v>387.39040092383516</v>
      </c>
      <c r="AF164" s="41">
        <f>M164/'1. Väestöennuste'!O164*1000</f>
        <v>-196.97380848614029</v>
      </c>
      <c r="AG164" s="41">
        <f>N164/'1. Väestöennuste'!P164*1000</f>
        <v>-329.49276346147207</v>
      </c>
      <c r="AH164" s="41">
        <f>O164/'1. Väestöennuste'!Q164*1000</f>
        <v>-372.78288948298677</v>
      </c>
      <c r="AI164" s="41">
        <f>P164/'1. Väestöennuste'!R164*1000</f>
        <v>-309.0514006212606</v>
      </c>
      <c r="AK164" s="41">
        <f>'6. Poistot'!Z164</f>
        <v>385.05747126436779</v>
      </c>
      <c r="AL164" s="41">
        <f>'6. Poistot'!AA164</f>
        <v>323.4916559691913</v>
      </c>
      <c r="AM164" s="41">
        <f>'6. Poistot'!AB164</f>
        <v>354.49143145161287</v>
      </c>
      <c r="AN164" s="41">
        <f>'6. Poistot'!AC164</f>
        <v>266.73802979011515</v>
      </c>
      <c r="AO164" s="41">
        <f>'6. Poistot'!AD164</f>
        <v>274.67634265734262</v>
      </c>
      <c r="AP164" s="41">
        <f>'6. Poistot'!AE164</f>
        <v>274.07687028140015</v>
      </c>
      <c r="AQ164" s="41">
        <f>'6. Poistot'!AF164</f>
        <v>281.95955369595538</v>
      </c>
      <c r="AR164" s="41">
        <f>'6. Poistot'!AG164</f>
        <v>289.68860580325543</v>
      </c>
      <c r="AS164" s="41">
        <f>'6. Poistot'!AH164</f>
        <v>304.20272224214017</v>
      </c>
      <c r="AT164" s="41">
        <f>'6. Poistot'!AI164</f>
        <v>318.76017731431261</v>
      </c>
      <c r="AV164" s="4">
        <f t="shared" si="46"/>
        <v>0</v>
      </c>
      <c r="AW164" s="4">
        <f t="shared" si="47"/>
        <v>1</v>
      </c>
      <c r="AX164" s="4">
        <f t="shared" si="48"/>
        <v>1</v>
      </c>
      <c r="AY164" s="4">
        <f t="shared" si="49"/>
        <v>0</v>
      </c>
      <c r="AZ164" s="4">
        <f t="shared" si="50"/>
        <v>1</v>
      </c>
      <c r="BA164" s="4">
        <f t="shared" si="51"/>
        <v>1</v>
      </c>
      <c r="BB164" s="4">
        <f t="shared" si="52"/>
        <v>1</v>
      </c>
      <c r="BC164" s="4">
        <f t="shared" si="53"/>
        <v>1</v>
      </c>
      <c r="BE164" s="405">
        <f t="shared" si="54"/>
        <v>-1</v>
      </c>
      <c r="BF164" s="405">
        <f t="shared" si="55"/>
        <v>0</v>
      </c>
      <c r="BG164" s="405">
        <f t="shared" si="56"/>
        <v>0</v>
      </c>
      <c r="BH164" s="405">
        <f t="shared" si="57"/>
        <v>0</v>
      </c>
      <c r="BI164" s="405">
        <f t="shared" si="58"/>
        <v>-1</v>
      </c>
      <c r="BJ164" s="405">
        <f t="shared" si="59"/>
        <v>0</v>
      </c>
      <c r="BK164" s="405">
        <f t="shared" si="60"/>
        <v>-1</v>
      </c>
      <c r="BL164" s="405">
        <f t="shared" si="61"/>
        <v>-1</v>
      </c>
      <c r="BM164" s="405">
        <f t="shared" si="62"/>
        <v>-1</v>
      </c>
      <c r="BN164" s="405">
        <f t="shared" si="62"/>
        <v>-1</v>
      </c>
    </row>
    <row r="165" spans="1:66" x14ac:dyDescent="0.2">
      <c r="A165" s="34">
        <v>498</v>
      </c>
      <c r="B165" s="88" t="s">
        <v>479</v>
      </c>
      <c r="C165" s="41" t="e">
        <f>'2. Toimintakate'!D165+'3. Verotulot'!G165+'4. Valtionosuudet'!#REF!+'5. Rahoitustuotot ja -kulut'!C165</f>
        <v>#REF!</v>
      </c>
      <c r="D165" s="41">
        <f>'2. Toimintakate'!E165+'4. Valtionosuudet'!H165+'3. Verotulot'!L165+'5. Rahoitustuotot ja -kulut'!D165</f>
        <v>934</v>
      </c>
      <c r="E165" s="41">
        <f>'2. Toimintakate'!F165+'4. Valtionosuudet'!N165+'3. Verotulot'!Q165+'5. Rahoitustuotot ja -kulut'!E165</f>
        <v>1526</v>
      </c>
      <c r="F165" s="41">
        <f>'2. Toimintakate'!G165+'4. Valtionosuudet'!T165+'3. Verotulot'!V165+'5. Rahoitustuotot ja -kulut'!F165</f>
        <v>869</v>
      </c>
      <c r="G165" s="41">
        <f>'2. Toimintakate'!H165+'3. Verotulot'!AA165+'4. Valtionosuudet'!Z165+'5. Rahoitustuotot ja -kulut'!G165</f>
        <v>279</v>
      </c>
      <c r="H165" s="41">
        <f>Käyttökate!H165+'5. Rahoitustuotot ja -kulut'!H165</f>
        <v>2565.1444098640477</v>
      </c>
      <c r="I165" s="41">
        <f>Käyttökate!I165+'5. Rahoitustuotot ja -kulut'!I165</f>
        <v>1902.3399970899543</v>
      </c>
      <c r="J165" s="41">
        <f>Käyttökate!J165+'5. Rahoitustuotot ja -kulut'!J165</f>
        <v>2419.5217595890877</v>
      </c>
      <c r="K165" s="41">
        <f>Käyttökate!K165+'5. Rahoitustuotot ja -kulut'!K165</f>
        <v>1978.4467088013826</v>
      </c>
      <c r="L165" s="41">
        <f>Käyttökate!L165+'5. Rahoitustuotot ja -kulut'!L165</f>
        <v>1023.2186383931912</v>
      </c>
      <c r="M165" s="41">
        <f>Käyttökate!M165+'5. Rahoitustuotot ja -kulut'!M165</f>
        <v>1032.8936656032702</v>
      </c>
      <c r="N165" s="41">
        <f>Käyttökate!N165+'5. Rahoitustuotot ja -kulut'!N165</f>
        <v>852.93872708742583</v>
      </c>
      <c r="O165" s="41">
        <f>Käyttökate!O165+'5. Rahoitustuotot ja -kulut'!O165</f>
        <v>681.2848594305309</v>
      </c>
      <c r="P165" s="41">
        <f>Käyttökate!P165+'5. Rahoitustuotot ja -kulut'!P165</f>
        <v>756.74769017895824</v>
      </c>
      <c r="T165" s="34">
        <v>498</v>
      </c>
      <c r="U165" s="88" t="s">
        <v>479</v>
      </c>
      <c r="V165" s="41" t="e">
        <f>C165/'1. Väestöennuste'!E165*1000</f>
        <v>#REF!</v>
      </c>
      <c r="W165" s="41">
        <f>D165/'1. Väestöennuste'!F165*1000</f>
        <v>397.44680851063828</v>
      </c>
      <c r="X165" s="41">
        <f>E165/'1. Väestöennuste'!G165*1000</f>
        <v>654.37392795883363</v>
      </c>
      <c r="Y165" s="41">
        <f>F165/'1. Väestöennuste'!H165*1000</f>
        <v>377.99043062200957</v>
      </c>
      <c r="Z165" s="41">
        <f>G165/'1. Väestöennuste'!I165*1000</f>
        <v>120.88388214904678</v>
      </c>
      <c r="AA165" s="41">
        <f>H165/'1. Väestöennuste'!J165*1000</f>
        <v>1116.7367914079443</v>
      </c>
      <c r="AB165" s="41">
        <f>I165/'1. Väestöennuste'!K165*1000</f>
        <v>819.62085182677913</v>
      </c>
      <c r="AC165" s="41">
        <f>J165/'1. Väestöennuste'!L165*1000</f>
        <v>1060.728522397671</v>
      </c>
      <c r="AD165" s="41">
        <f>K165/'1. Väestöennuste'!M165*1000</f>
        <v>850.9448209898419</v>
      </c>
      <c r="AE165" s="41">
        <f>L165/'1. Väestöennuste'!N165*1000</f>
        <v>453.75549374420899</v>
      </c>
      <c r="AF165" s="41">
        <f>M165/'1. Väestöennuste'!O165*1000</f>
        <v>460.08626530212484</v>
      </c>
      <c r="AG165" s="41">
        <f>N165/'1. Väestöennuste'!P165*1000</f>
        <v>381.45739136289171</v>
      </c>
      <c r="AH165" s="41">
        <f>O165/'1. Väestöennuste'!Q165*1000</f>
        <v>305.92045775955586</v>
      </c>
      <c r="AI165" s="41">
        <f>P165/'1. Väestöennuste'!R165*1000</f>
        <v>341.33860630534878</v>
      </c>
      <c r="AK165" s="41">
        <f>'6. Poistot'!Z165</f>
        <v>465.33795493934144</v>
      </c>
      <c r="AL165" s="41">
        <f>'6. Poistot'!AA165</f>
        <v>461.90683500217676</v>
      </c>
      <c r="AM165" s="41">
        <f>'6. Poistot'!AB165</f>
        <v>345.89325290822921</v>
      </c>
      <c r="AN165" s="41">
        <f>'6. Poistot'!AC165</f>
        <v>376.51777290661994</v>
      </c>
      <c r="AO165" s="41">
        <f>'6. Poistot'!AD165</f>
        <v>387.16215053763443</v>
      </c>
      <c r="AP165" s="41">
        <f>'6. Poistot'!AE165</f>
        <v>399.11308203991132</v>
      </c>
      <c r="AQ165" s="41">
        <f>'6. Poistot'!AF165</f>
        <v>445.43429844098</v>
      </c>
      <c r="AR165" s="41">
        <f>'6. Poistot'!AG165</f>
        <v>447.2271914132379</v>
      </c>
      <c r="AS165" s="41">
        <f>'6. Poistot'!AH165</f>
        <v>463.52327821802157</v>
      </c>
      <c r="AT165" s="41">
        <f>'6. Poistot'!AI165</f>
        <v>480.16810157107273</v>
      </c>
      <c r="AV165" s="4">
        <f t="shared" si="46"/>
        <v>0</v>
      </c>
      <c r="AW165" s="4">
        <f t="shared" si="47"/>
        <v>0</v>
      </c>
      <c r="AX165" s="4">
        <f t="shared" si="48"/>
        <v>0</v>
      </c>
      <c r="AY165" s="4">
        <f t="shared" si="49"/>
        <v>0</v>
      </c>
      <c r="AZ165" s="4">
        <f t="shared" si="50"/>
        <v>0</v>
      </c>
      <c r="BA165" s="4">
        <f t="shared" si="51"/>
        <v>1</v>
      </c>
      <c r="BB165" s="4">
        <f t="shared" si="52"/>
        <v>1</v>
      </c>
      <c r="BC165" s="4">
        <f t="shared" si="53"/>
        <v>1</v>
      </c>
      <c r="BE165" s="405">
        <f t="shared" si="54"/>
        <v>0</v>
      </c>
      <c r="BF165" s="405">
        <f t="shared" si="55"/>
        <v>0</v>
      </c>
      <c r="BG165" s="405">
        <f t="shared" si="56"/>
        <v>0</v>
      </c>
      <c r="BH165" s="405">
        <f t="shared" si="57"/>
        <v>0</v>
      </c>
      <c r="BI165" s="405">
        <f t="shared" si="58"/>
        <v>0</v>
      </c>
      <c r="BJ165" s="405">
        <f t="shared" si="59"/>
        <v>0</v>
      </c>
      <c r="BK165" s="405">
        <f t="shared" si="60"/>
        <v>0</v>
      </c>
      <c r="BL165" s="405">
        <f t="shared" si="61"/>
        <v>0</v>
      </c>
      <c r="BM165" s="405">
        <f t="shared" si="62"/>
        <v>0</v>
      </c>
      <c r="BN165" s="405">
        <f t="shared" si="62"/>
        <v>0</v>
      </c>
    </row>
    <row r="166" spans="1:66" x14ac:dyDescent="0.2">
      <c r="A166" s="34">
        <v>499</v>
      </c>
      <c r="B166" s="88" t="s">
        <v>480</v>
      </c>
      <c r="C166" s="41" t="e">
        <f>'2. Toimintakate'!D166+'3. Verotulot'!G166+'4. Valtionosuudet'!#REF!+'5. Rahoitustuotot ja -kulut'!C166</f>
        <v>#REF!</v>
      </c>
      <c r="D166" s="41">
        <f>'2. Toimintakate'!E166+'4. Valtionosuudet'!H166+'3. Verotulot'!L166+'5. Rahoitustuotot ja -kulut'!D166</f>
        <v>10189</v>
      </c>
      <c r="E166" s="41">
        <f>'2. Toimintakate'!F166+'4. Valtionosuudet'!N166+'3. Verotulot'!Q166+'5. Rahoitustuotot ja -kulut'!E166</f>
        <v>11658</v>
      </c>
      <c r="F166" s="41">
        <f>'2. Toimintakate'!G166+'4. Valtionosuudet'!T166+'3. Verotulot'!V166+'5. Rahoitustuotot ja -kulut'!F166</f>
        <v>4851</v>
      </c>
      <c r="G166" s="41">
        <f>'2. Toimintakate'!H166+'3. Verotulot'!AA166+'4. Valtionosuudet'!Z166+'5. Rahoitustuotot ja -kulut'!G166</f>
        <v>6485</v>
      </c>
      <c r="H166" s="41">
        <f>Käyttökate!H166+'5. Rahoitustuotot ja -kulut'!H166</f>
        <v>15348.470112503899</v>
      </c>
      <c r="I166" s="41">
        <f>Käyttökate!I166+'5. Rahoitustuotot ja -kulut'!I166</f>
        <v>11924.25201796581</v>
      </c>
      <c r="J166" s="41">
        <f>Käyttökate!J166+'5. Rahoitustuotot ja -kulut'!J166</f>
        <v>10933.480622604582</v>
      </c>
      <c r="K166" s="41">
        <f>Käyttökate!K166+'5. Rahoitustuotot ja -kulut'!K166</f>
        <v>14466.915705918502</v>
      </c>
      <c r="L166" s="41">
        <f>Käyttökate!L166+'5. Rahoitustuotot ja -kulut'!L166</f>
        <v>7374.5556330156323</v>
      </c>
      <c r="M166" s="41">
        <f>Käyttökate!M166+'5. Rahoitustuotot ja -kulut'!M166</f>
        <v>3832.2074770050021</v>
      </c>
      <c r="N166" s="41">
        <f>Käyttökate!N166+'5. Rahoitustuotot ja -kulut'!N166</f>
        <v>4859.1936888767232</v>
      </c>
      <c r="O166" s="41">
        <f>Käyttökate!O166+'5. Rahoitustuotot ja -kulut'!O166</f>
        <v>5499.1756366885202</v>
      </c>
      <c r="P166" s="41">
        <f>Käyttökate!P166+'5. Rahoitustuotot ja -kulut'!P166</f>
        <v>6861.0617210787759</v>
      </c>
      <c r="T166" s="34">
        <v>499</v>
      </c>
      <c r="U166" s="88" t="s">
        <v>480</v>
      </c>
      <c r="V166" s="41" t="e">
        <f>C166/'1. Väestöennuste'!E166*1000</f>
        <v>#REF!</v>
      </c>
      <c r="W166" s="41">
        <f>D166/'1. Väestöennuste'!F166*1000</f>
        <v>525.74819401444779</v>
      </c>
      <c r="X166" s="41">
        <f>E166/'1. Väestöennuste'!G166*1000</f>
        <v>601.42385472554679</v>
      </c>
      <c r="Y166" s="41">
        <f>F166/'1. Väestöennuste'!H166*1000</f>
        <v>249.48570253034356</v>
      </c>
      <c r="Z166" s="41">
        <f>G166/'1. Väestöennuste'!I166*1000</f>
        <v>333.45331139448786</v>
      </c>
      <c r="AA166" s="41">
        <f>H166/'1. Väestöennuste'!J166*1000</f>
        <v>789.00273029886898</v>
      </c>
      <c r="AB166" s="41">
        <f>I166/'1. Väestöennuste'!K166*1000</f>
        <v>610.37326054288542</v>
      </c>
      <c r="AC166" s="41">
        <f>J166/'1. Väestöennuste'!L166*1000</f>
        <v>556.07164187796673</v>
      </c>
      <c r="AD166" s="41">
        <f>K166/'1. Väestöennuste'!M166*1000</f>
        <v>732.02022496172151</v>
      </c>
      <c r="AE166" s="41">
        <f>L166/'1. Väestöennuste'!N166*1000</f>
        <v>377.73680443659441</v>
      </c>
      <c r="AF166" s="41">
        <f>M166/'1. Väestöennuste'!O166*1000</f>
        <v>196.32210435476446</v>
      </c>
      <c r="AG166" s="41">
        <f>N166/'1. Väestöennuste'!P166*1000</f>
        <v>249.03616691660122</v>
      </c>
      <c r="AH166" s="41">
        <f>O166/'1. Väestöennuste'!Q166*1000</f>
        <v>282.02346975170622</v>
      </c>
      <c r="AI166" s="41">
        <f>P166/'1. Väestöennuste'!R166*1000</f>
        <v>352.17440309407533</v>
      </c>
      <c r="AK166" s="41">
        <f>'6. Poistot'!Z166</f>
        <v>423.5911147675854</v>
      </c>
      <c r="AL166" s="41">
        <f>'6. Poistot'!AA166</f>
        <v>458.18125738960566</v>
      </c>
      <c r="AM166" s="41">
        <f>'6. Poistot'!AB166</f>
        <v>484.73009520884517</v>
      </c>
      <c r="AN166" s="41">
        <f>'6. Poistot'!AC166</f>
        <v>480.03613416742957</v>
      </c>
      <c r="AO166" s="41">
        <f>'6. Poistot'!AD166</f>
        <v>484.25618883772711</v>
      </c>
      <c r="AP166" s="41">
        <f>'6. Poistot'!AE166</f>
        <v>496.8498693848282</v>
      </c>
      <c r="AQ166" s="41">
        <f>'6. Poistot'!AF166</f>
        <v>507.17213114754099</v>
      </c>
      <c r="AR166" s="41">
        <f>'6. Poistot'!AG166</f>
        <v>517.63017630176296</v>
      </c>
      <c r="AS166" s="41">
        <f>'6. Poistot'!AH166</f>
        <v>534.68844761139007</v>
      </c>
      <c r="AT166" s="41">
        <f>'6. Poistot'!AI166</f>
        <v>551.8827676803711</v>
      </c>
      <c r="AV166" s="4">
        <f t="shared" si="46"/>
        <v>0</v>
      </c>
      <c r="AW166" s="4">
        <f t="shared" si="47"/>
        <v>0</v>
      </c>
      <c r="AX166" s="4">
        <f t="shared" si="48"/>
        <v>0</v>
      </c>
      <c r="AY166" s="4">
        <f t="shared" si="49"/>
        <v>1</v>
      </c>
      <c r="AZ166" s="4">
        <f t="shared" si="50"/>
        <v>1</v>
      </c>
      <c r="BA166" s="4">
        <f t="shared" si="51"/>
        <v>1</v>
      </c>
      <c r="BB166" s="4">
        <f t="shared" si="52"/>
        <v>1</v>
      </c>
      <c r="BC166" s="4">
        <f t="shared" si="53"/>
        <v>1</v>
      </c>
      <c r="BE166" s="405">
        <f t="shared" si="54"/>
        <v>0</v>
      </c>
      <c r="BF166" s="405">
        <f t="shared" si="55"/>
        <v>0</v>
      </c>
      <c r="BG166" s="405">
        <f t="shared" si="56"/>
        <v>0</v>
      </c>
      <c r="BH166" s="405">
        <f t="shared" si="57"/>
        <v>0</v>
      </c>
      <c r="BI166" s="405">
        <f t="shared" si="58"/>
        <v>0</v>
      </c>
      <c r="BJ166" s="405">
        <f t="shared" si="59"/>
        <v>0</v>
      </c>
      <c r="BK166" s="405">
        <f t="shared" si="60"/>
        <v>0</v>
      </c>
      <c r="BL166" s="405">
        <f t="shared" si="61"/>
        <v>0</v>
      </c>
      <c r="BM166" s="405">
        <f t="shared" si="62"/>
        <v>0</v>
      </c>
      <c r="BN166" s="405">
        <f t="shared" si="62"/>
        <v>0</v>
      </c>
    </row>
    <row r="167" spans="1:66" x14ac:dyDescent="0.2">
      <c r="A167" s="34">
        <v>500</v>
      </c>
      <c r="B167" s="88" t="s">
        <v>481</v>
      </c>
      <c r="C167" s="41" t="e">
        <f>'2. Toimintakate'!D167+'3. Verotulot'!G167+'4. Valtionosuudet'!#REF!+'5. Rahoitustuotot ja -kulut'!C167</f>
        <v>#REF!</v>
      </c>
      <c r="D167" s="41">
        <f>'2. Toimintakate'!E167+'4. Valtionosuudet'!H167+'3. Verotulot'!L167+'5. Rahoitustuotot ja -kulut'!D167</f>
        <v>3916</v>
      </c>
      <c r="E167" s="41">
        <f>'2. Toimintakate'!F167+'4. Valtionosuudet'!N167+'3. Verotulot'!Q167+'5. Rahoitustuotot ja -kulut'!E167</f>
        <v>5249</v>
      </c>
      <c r="F167" s="41">
        <f>'2. Toimintakate'!G167+'4. Valtionosuudet'!T167+'3. Verotulot'!V167+'5. Rahoitustuotot ja -kulut'!F167</f>
        <v>4087</v>
      </c>
      <c r="G167" s="41">
        <f>'2. Toimintakate'!H167+'3. Verotulot'!AA167+'4. Valtionosuudet'!Z167+'5. Rahoitustuotot ja -kulut'!G167</f>
        <v>2614</v>
      </c>
      <c r="H167" s="41">
        <f>Käyttökate!H167+'5. Rahoitustuotot ja -kulut'!H167</f>
        <v>9619.9738849026253</v>
      </c>
      <c r="I167" s="41">
        <f>Käyttökate!I167+'5. Rahoitustuotot ja -kulut'!I167</f>
        <v>6656.3855032444708</v>
      </c>
      <c r="J167" s="41">
        <f>Käyttökate!J167+'5. Rahoitustuotot ja -kulut'!J167</f>
        <v>5898.42427977015</v>
      </c>
      <c r="K167" s="41">
        <f>Käyttökate!K167+'5. Rahoitustuotot ja -kulut'!K167</f>
        <v>6202.2852546687172</v>
      </c>
      <c r="L167" s="41">
        <f>Käyttökate!L167+'5. Rahoitustuotot ja -kulut'!L167</f>
        <v>5757.2067885419692</v>
      </c>
      <c r="M167" s="41">
        <f>Käyttökate!M167+'5. Rahoitustuotot ja -kulut'!M167</f>
        <v>1747.130997930421</v>
      </c>
      <c r="N167" s="41">
        <f>Käyttökate!N167+'5. Rahoitustuotot ja -kulut'!N167</f>
        <v>1401.8526328958492</v>
      </c>
      <c r="O167" s="41">
        <f>Käyttökate!O167+'5. Rahoitustuotot ja -kulut'!O167</f>
        <v>1244.011801384926</v>
      </c>
      <c r="P167" s="41">
        <f>Käyttökate!P167+'5. Rahoitustuotot ja -kulut'!P167</f>
        <v>1613.1203636468836</v>
      </c>
      <c r="T167" s="34">
        <v>500</v>
      </c>
      <c r="U167" s="88" t="s">
        <v>481</v>
      </c>
      <c r="V167" s="41" t="e">
        <f>C167/'1. Väestöennuste'!E167*1000</f>
        <v>#REF!</v>
      </c>
      <c r="W167" s="41">
        <f>D167/'1. Väestöennuste'!F167*1000</f>
        <v>393.92415249974852</v>
      </c>
      <c r="X167" s="41">
        <f>E167/'1. Väestöennuste'!G167*1000</f>
        <v>519.85738338120234</v>
      </c>
      <c r="Y167" s="41">
        <f>F167/'1. Väestöennuste'!H167*1000</f>
        <v>401.86823992133725</v>
      </c>
      <c r="Z167" s="41">
        <f>G167/'1. Väestöennuste'!I167*1000</f>
        <v>257.18221172766624</v>
      </c>
      <c r="AA167" s="41">
        <f>H167/'1. Väestöennuste'!J167*1000</f>
        <v>936.98002190538864</v>
      </c>
      <c r="AB167" s="41">
        <f>I167/'1. Väestöennuste'!K167*1000</f>
        <v>638.44096520664402</v>
      </c>
      <c r="AC167" s="41">
        <f>J167/'1. Väestöennuste'!L167*1000</f>
        <v>562.50469957754626</v>
      </c>
      <c r="AD167" s="41">
        <f>K167/'1. Väestöennuste'!M167*1000</f>
        <v>587.83861763517359</v>
      </c>
      <c r="AE167" s="41">
        <f>L167/'1. Väestöennuste'!N167*1000</f>
        <v>541.65084095794236</v>
      </c>
      <c r="AF167" s="41">
        <f>M167/'1. Väestöennuste'!O167*1000</f>
        <v>163.2832708346188</v>
      </c>
      <c r="AG167" s="41">
        <f>N167/'1. Väestöennuste'!P167*1000</f>
        <v>130.24738761459159</v>
      </c>
      <c r="AH167" s="41">
        <f>O167/'1. Väestöennuste'!Q167*1000</f>
        <v>114.9839912547302</v>
      </c>
      <c r="AI167" s="41">
        <f>P167/'1. Väestöennuste'!R167*1000</f>
        <v>148.41479102464658</v>
      </c>
      <c r="AK167" s="41">
        <f>'6. Poistot'!Z167</f>
        <v>375.34435261707989</v>
      </c>
      <c r="AL167" s="41">
        <f>'6. Poistot'!AA167</f>
        <v>396.31830135385218</v>
      </c>
      <c r="AM167" s="41">
        <f>'6. Poistot'!AB167</f>
        <v>389.89007193554573</v>
      </c>
      <c r="AN167" s="41">
        <f>'6. Poistot'!AC167</f>
        <v>398.89855521647917</v>
      </c>
      <c r="AO167" s="41">
        <f>'6. Poistot'!AD167</f>
        <v>435.78653492559954</v>
      </c>
      <c r="AP167" s="41">
        <f>'6. Poistot'!AE167</f>
        <v>501.14883808448587</v>
      </c>
      <c r="AQ167" s="41">
        <f>'6. Poistot'!AF167</f>
        <v>562.77158878504679</v>
      </c>
      <c r="AR167" s="41">
        <f>'6. Poistot'!AG167</f>
        <v>565.56071727213612</v>
      </c>
      <c r="AS167" s="41">
        <f>'6. Poistot'!AH167</f>
        <v>580.78744891440476</v>
      </c>
      <c r="AT167" s="41">
        <f>'6. Poistot'!AI167</f>
        <v>596.18629309135076</v>
      </c>
      <c r="AV167" s="4">
        <f t="shared" si="46"/>
        <v>0</v>
      </c>
      <c r="AW167" s="4">
        <f t="shared" si="47"/>
        <v>0</v>
      </c>
      <c r="AX167" s="4">
        <f t="shared" si="48"/>
        <v>0</v>
      </c>
      <c r="AY167" s="4">
        <f t="shared" si="49"/>
        <v>0</v>
      </c>
      <c r="AZ167" s="4">
        <f t="shared" si="50"/>
        <v>1</v>
      </c>
      <c r="BA167" s="4">
        <f t="shared" si="51"/>
        <v>1</v>
      </c>
      <c r="BB167" s="4">
        <f t="shared" si="52"/>
        <v>1</v>
      </c>
      <c r="BC167" s="4">
        <f t="shared" si="53"/>
        <v>1</v>
      </c>
      <c r="BE167" s="405">
        <f t="shared" si="54"/>
        <v>0</v>
      </c>
      <c r="BF167" s="405">
        <f t="shared" si="55"/>
        <v>0</v>
      </c>
      <c r="BG167" s="405">
        <f t="shared" si="56"/>
        <v>0</v>
      </c>
      <c r="BH167" s="405">
        <f t="shared" si="57"/>
        <v>0</v>
      </c>
      <c r="BI167" s="405">
        <f t="shared" si="58"/>
        <v>0</v>
      </c>
      <c r="BJ167" s="405">
        <f t="shared" si="59"/>
        <v>0</v>
      </c>
      <c r="BK167" s="405">
        <f t="shared" si="60"/>
        <v>0</v>
      </c>
      <c r="BL167" s="405">
        <f t="shared" si="61"/>
        <v>0</v>
      </c>
      <c r="BM167" s="405">
        <f t="shared" si="62"/>
        <v>0</v>
      </c>
      <c r="BN167" s="405">
        <f t="shared" si="62"/>
        <v>0</v>
      </c>
    </row>
    <row r="168" spans="1:66" x14ac:dyDescent="0.2">
      <c r="A168" s="34">
        <v>503</v>
      </c>
      <c r="B168" s="88" t="s">
        <v>482</v>
      </c>
      <c r="C168" s="41" t="e">
        <f>'2. Toimintakate'!D168+'3. Verotulot'!G168+'4. Valtionosuudet'!#REF!+'5. Rahoitustuotot ja -kulut'!C168</f>
        <v>#REF!</v>
      </c>
      <c r="D168" s="41">
        <f>'2. Toimintakate'!E168+'4. Valtionosuudet'!H168+'3. Verotulot'!L168+'5. Rahoitustuotot ja -kulut'!D168</f>
        <v>1978</v>
      </c>
      <c r="E168" s="41">
        <f>'2. Toimintakate'!F168+'4. Valtionosuudet'!N168+'3. Verotulot'!Q168+'5. Rahoitustuotot ja -kulut'!E168</f>
        <v>2486</v>
      </c>
      <c r="F168" s="41">
        <f>'2. Toimintakate'!G168+'4. Valtionosuudet'!T168+'3. Verotulot'!V168+'5. Rahoitustuotot ja -kulut'!F168</f>
        <v>-1793</v>
      </c>
      <c r="G168" s="41">
        <f>'2. Toimintakate'!H168+'3. Verotulot'!AA168+'4. Valtionosuudet'!Z168+'5. Rahoitustuotot ja -kulut'!G168</f>
        <v>-4128</v>
      </c>
      <c r="H168" s="41">
        <f>Käyttökate!H168+'5. Rahoitustuotot ja -kulut'!H168</f>
        <v>3579.4894533346996</v>
      </c>
      <c r="I168" s="41">
        <f>Käyttökate!I168+'5. Rahoitustuotot ja -kulut'!I168</f>
        <v>269.87082202476398</v>
      </c>
      <c r="J168" s="41">
        <f>Käyttökate!J168+'5. Rahoitustuotot ja -kulut'!J168</f>
        <v>2631.7377376961444</v>
      </c>
      <c r="K168" s="41">
        <f>Käyttökate!K168+'5. Rahoitustuotot ja -kulut'!K168</f>
        <v>1694.6289050180696</v>
      </c>
      <c r="L168" s="41">
        <f>Käyttökate!L168+'5. Rahoitustuotot ja -kulut'!L168</f>
        <v>606.74527327238775</v>
      </c>
      <c r="M168" s="41">
        <f>Käyttökate!M168+'5. Rahoitustuotot ja -kulut'!M168</f>
        <v>805.9281210656145</v>
      </c>
      <c r="N168" s="41">
        <f>Käyttökate!N168+'5. Rahoitustuotot ja -kulut'!N168</f>
        <v>802.60474583676023</v>
      </c>
      <c r="O168" s="41">
        <f>Käyttökate!O168+'5. Rahoitustuotot ja -kulut'!O168</f>
        <v>812.05331747295236</v>
      </c>
      <c r="P168" s="41">
        <f>Käyttökate!P168+'5. Rahoitustuotot ja -kulut'!P168</f>
        <v>1564.6814828583847</v>
      </c>
      <c r="T168" s="34">
        <v>503</v>
      </c>
      <c r="U168" s="88" t="s">
        <v>482</v>
      </c>
      <c r="V168" s="41" t="e">
        <f>C168/'1. Väestöennuste'!E168*1000</f>
        <v>#REF!</v>
      </c>
      <c r="W168" s="41">
        <f>D168/'1. Väestöennuste'!F168*1000</f>
        <v>252.23157357816882</v>
      </c>
      <c r="X168" s="41">
        <f>E168/'1. Väestöennuste'!G168*1000</f>
        <v>317.17274815003827</v>
      </c>
      <c r="Y168" s="41">
        <f>F168/'1. Väestöennuste'!H168*1000</f>
        <v>-230.87818696883852</v>
      </c>
      <c r="Z168" s="41">
        <f>G168/'1. Väestöennuste'!I168*1000</f>
        <v>-539.32584269662925</v>
      </c>
      <c r="AA168" s="41">
        <f>H168/'1. Väestöennuste'!J168*1000</f>
        <v>468.21313974292997</v>
      </c>
      <c r="AB168" s="41">
        <f>I168/'1. Väestöennuste'!K168*1000</f>
        <v>35.537374509450089</v>
      </c>
      <c r="AC168" s="41">
        <f>J168/'1. Väestöennuste'!L168*1000</f>
        <v>349.0831327359258</v>
      </c>
      <c r="AD168" s="41">
        <f>K168/'1. Väestöennuste'!M168*1000</f>
        <v>225.49952162582431</v>
      </c>
      <c r="AE168" s="41">
        <f>L168/'1. Väestöennuste'!N168*1000</f>
        <v>81.322245445970751</v>
      </c>
      <c r="AF168" s="41">
        <f>M168/'1. Väestöennuste'!O168*1000</f>
        <v>108.58638117294726</v>
      </c>
      <c r="AG168" s="41">
        <f>N168/'1. Väestöennuste'!P168*1000</f>
        <v>108.68039889461885</v>
      </c>
      <c r="AH168" s="41">
        <f>O168/'1. Väestöennuste'!Q168*1000</f>
        <v>110.46841483783872</v>
      </c>
      <c r="AI168" s="41">
        <f>P168/'1. Väestöennuste'!R168*1000</f>
        <v>213.87117042897549</v>
      </c>
      <c r="AK168" s="41">
        <f>'6. Poistot'!Z168</f>
        <v>324.01358766657955</v>
      </c>
      <c r="AL168" s="41">
        <f>'6. Poistot'!AA168</f>
        <v>181.03335513407455</v>
      </c>
      <c r="AM168" s="41">
        <f>'6. Poistot'!AB168</f>
        <v>221.07704240189625</v>
      </c>
      <c r="AN168" s="41">
        <f>'6. Poistot'!AC168</f>
        <v>231.64709245257993</v>
      </c>
      <c r="AO168" s="41">
        <f>'6. Poistot'!AD168</f>
        <v>273.36109780439119</v>
      </c>
      <c r="AP168" s="41">
        <f>'6. Poistot'!AE168</f>
        <v>281.46361077603535</v>
      </c>
      <c r="AQ168" s="41">
        <f>'6. Poistot'!AF168</f>
        <v>282.94260307194821</v>
      </c>
      <c r="AR168" s="41">
        <f>'6. Poistot'!AG168</f>
        <v>284.36018957345971</v>
      </c>
      <c r="AS168" s="41">
        <f>'6. Poistot'!AH168</f>
        <v>294.89311865626746</v>
      </c>
      <c r="AT168" s="41">
        <f>'6. Poistot'!AI168</f>
        <v>305.56569580159152</v>
      </c>
      <c r="AV168" s="4">
        <f t="shared" si="46"/>
        <v>1</v>
      </c>
      <c r="AW168" s="4">
        <f t="shared" si="47"/>
        <v>0</v>
      </c>
      <c r="AX168" s="4">
        <f t="shared" si="48"/>
        <v>1</v>
      </c>
      <c r="AY168" s="4">
        <f t="shared" si="49"/>
        <v>1</v>
      </c>
      <c r="AZ168" s="4">
        <f t="shared" si="50"/>
        <v>1</v>
      </c>
      <c r="BA168" s="4">
        <f t="shared" si="51"/>
        <v>1</v>
      </c>
      <c r="BB168" s="4">
        <f t="shared" si="52"/>
        <v>1</v>
      </c>
      <c r="BC168" s="4">
        <f t="shared" si="53"/>
        <v>1</v>
      </c>
      <c r="BE168" s="405">
        <f t="shared" si="54"/>
        <v>-1</v>
      </c>
      <c r="BF168" s="405">
        <f t="shared" si="55"/>
        <v>0</v>
      </c>
      <c r="BG168" s="405">
        <f t="shared" si="56"/>
        <v>0</v>
      </c>
      <c r="BH168" s="405">
        <f t="shared" si="57"/>
        <v>0</v>
      </c>
      <c r="BI168" s="405">
        <f t="shared" si="58"/>
        <v>0</v>
      </c>
      <c r="BJ168" s="405">
        <f t="shared" si="59"/>
        <v>0</v>
      </c>
      <c r="BK168" s="405">
        <f t="shared" si="60"/>
        <v>0</v>
      </c>
      <c r="BL168" s="405">
        <f t="shared" si="61"/>
        <v>0</v>
      </c>
      <c r="BM168" s="405">
        <f t="shared" si="62"/>
        <v>0</v>
      </c>
      <c r="BN168" s="405">
        <f t="shared" si="62"/>
        <v>0</v>
      </c>
    </row>
    <row r="169" spans="1:66" x14ac:dyDescent="0.2">
      <c r="A169" s="34">
        <v>504</v>
      </c>
      <c r="B169" s="88" t="s">
        <v>483</v>
      </c>
      <c r="C169" s="41" t="e">
        <f>'2. Toimintakate'!D169+'3. Verotulot'!G169+'4. Valtionosuudet'!#REF!+'5. Rahoitustuotot ja -kulut'!C169</f>
        <v>#REF!</v>
      </c>
      <c r="D169" s="41">
        <f>'2. Toimintakate'!E169+'4. Valtionosuudet'!H169+'3. Verotulot'!L169+'5. Rahoitustuotot ja -kulut'!D169</f>
        <v>249</v>
      </c>
      <c r="E169" s="41">
        <f>'2. Toimintakate'!F169+'4. Valtionosuudet'!N169+'3. Verotulot'!Q169+'5. Rahoitustuotot ja -kulut'!E169</f>
        <v>164</v>
      </c>
      <c r="F169" s="41">
        <f>'2. Toimintakate'!G169+'4. Valtionosuudet'!T169+'3. Verotulot'!V169+'5. Rahoitustuotot ja -kulut'!F169</f>
        <v>657</v>
      </c>
      <c r="G169" s="41">
        <f>'2. Toimintakate'!H169+'3. Verotulot'!AA169+'4. Valtionosuudet'!Z169+'5. Rahoitustuotot ja -kulut'!G169</f>
        <v>831</v>
      </c>
      <c r="H169" s="41">
        <f>Käyttökate!H169+'5. Rahoitustuotot ja -kulut'!H169</f>
        <v>1503.2288991224295</v>
      </c>
      <c r="I169" s="41">
        <f>Käyttökate!I169+'5. Rahoitustuotot ja -kulut'!I169</f>
        <v>542.47745992485602</v>
      </c>
      <c r="J169" s="41">
        <f>Käyttökate!J169+'5. Rahoitustuotot ja -kulut'!J169</f>
        <v>-119.09772722098695</v>
      </c>
      <c r="K169" s="41">
        <f>Käyttökate!K169+'5. Rahoitustuotot ja -kulut'!K169</f>
        <v>341.35297186721886</v>
      </c>
      <c r="L169" s="41">
        <f>Käyttökate!L169+'5. Rahoitustuotot ja -kulut'!L169</f>
        <v>1003.906553262125</v>
      </c>
      <c r="M169" s="41">
        <f>Käyttökate!M169+'5. Rahoitustuotot ja -kulut'!M169</f>
        <v>-329.41432443258185</v>
      </c>
      <c r="N169" s="41">
        <f>Käyttökate!N169+'5. Rahoitustuotot ja -kulut'!N169</f>
        <v>-355.0983563877607</v>
      </c>
      <c r="O169" s="41">
        <f>Käyttökate!O169+'5. Rahoitustuotot ja -kulut'!O169</f>
        <v>-430.52662842690978</v>
      </c>
      <c r="P169" s="41">
        <f>Käyttökate!P169+'5. Rahoitustuotot ja -kulut'!P169</f>
        <v>-264.62593504131416</v>
      </c>
      <c r="T169" s="34">
        <v>504</v>
      </c>
      <c r="U169" s="88" t="s">
        <v>483</v>
      </c>
      <c r="V169" s="41" t="e">
        <f>C169/'1. Väestöennuste'!E169*1000</f>
        <v>#REF!</v>
      </c>
      <c r="W169" s="41">
        <f>D169/'1. Väestöennuste'!F169*1000</f>
        <v>125.37764350453173</v>
      </c>
      <c r="X169" s="41">
        <f>E169/'1. Väestöennuste'!G169*1000</f>
        <v>83.291010665312342</v>
      </c>
      <c r="Y169" s="41">
        <f>F169/'1. Väestöennuste'!H169*1000</f>
        <v>341.83142559833504</v>
      </c>
      <c r="Z169" s="41">
        <f>G169/'1. Väestöennuste'!I169*1000</f>
        <v>441.55154091392137</v>
      </c>
      <c r="AA169" s="41">
        <f>H169/'1. Väestöennuste'!J169*1000</f>
        <v>803.43607649515207</v>
      </c>
      <c r="AB169" s="41">
        <f>I169/'1. Väestöennuste'!K169*1000</f>
        <v>298.72106824055948</v>
      </c>
      <c r="AC169" s="41">
        <f>J169/'1. Väestöennuste'!L169*1000</f>
        <v>-67.515718379244305</v>
      </c>
      <c r="AD169" s="41">
        <f>K169/'1. Väestöennuste'!M169*1000</f>
        <v>199.03963374181856</v>
      </c>
      <c r="AE169" s="41">
        <f>L169/'1. Väestöennuste'!N169*1000</f>
        <v>560.84164986710891</v>
      </c>
      <c r="AF169" s="41">
        <f>M169/'1. Väestöennuste'!O169*1000</f>
        <v>-185.79488123665078</v>
      </c>
      <c r="AG169" s="41">
        <f>N169/'1. Väestöennuste'!P169*1000</f>
        <v>-202.2200207219594</v>
      </c>
      <c r="AH169" s="41">
        <f>O169/'1. Väestöennuste'!Q169*1000</f>
        <v>-246.72013090367324</v>
      </c>
      <c r="AI169" s="41">
        <f>P169/'1. Väestöennuste'!R169*1000</f>
        <v>-152.61011248057332</v>
      </c>
      <c r="AK169" s="41">
        <f>'6. Poistot'!Z169</f>
        <v>256.64187035069074</v>
      </c>
      <c r="AL169" s="41">
        <f>'6. Poistot'!AA169</f>
        <v>289.15018706574023</v>
      </c>
      <c r="AM169" s="41">
        <f>'6. Poistot'!AB169</f>
        <v>336.03582048458151</v>
      </c>
      <c r="AN169" s="41">
        <f>'6. Poistot'!AC169</f>
        <v>566.77125850340133</v>
      </c>
      <c r="AO169" s="41">
        <f>'6. Poistot'!AD169</f>
        <v>476.82734693877552</v>
      </c>
      <c r="AP169" s="41">
        <f>'6. Poistot'!AE169</f>
        <v>558.96480446927376</v>
      </c>
      <c r="AQ169" s="41">
        <f>'6. Poistot'!AF169</f>
        <v>537.89734912577558</v>
      </c>
      <c r="AR169" s="41">
        <f>'6. Poistot'!AG169</f>
        <v>534.51138952164013</v>
      </c>
      <c r="AS169" s="41">
        <f>'6. Poistot'!AH169</f>
        <v>555.23624745667348</v>
      </c>
      <c r="AT169" s="41">
        <f>'6. Poistot'!AI169</f>
        <v>576.22405053275111</v>
      </c>
      <c r="AV169" s="4">
        <f t="shared" si="46"/>
        <v>1</v>
      </c>
      <c r="AW169" s="4">
        <f t="shared" si="47"/>
        <v>1</v>
      </c>
      <c r="AX169" s="4">
        <f t="shared" si="48"/>
        <v>1</v>
      </c>
      <c r="AY169" s="4">
        <f t="shared" si="49"/>
        <v>0</v>
      </c>
      <c r="AZ169" s="4">
        <f t="shared" si="50"/>
        <v>1</v>
      </c>
      <c r="BA169" s="4">
        <f t="shared" si="51"/>
        <v>1</v>
      </c>
      <c r="BB169" s="4">
        <f t="shared" si="52"/>
        <v>1</v>
      </c>
      <c r="BC169" s="4">
        <f t="shared" si="53"/>
        <v>1</v>
      </c>
      <c r="BE169" s="405">
        <f t="shared" si="54"/>
        <v>0</v>
      </c>
      <c r="BF169" s="405">
        <f t="shared" si="55"/>
        <v>0</v>
      </c>
      <c r="BG169" s="405">
        <f t="shared" si="56"/>
        <v>0</v>
      </c>
      <c r="BH169" s="405">
        <f t="shared" si="57"/>
        <v>-1</v>
      </c>
      <c r="BI169" s="405">
        <f t="shared" si="58"/>
        <v>0</v>
      </c>
      <c r="BJ169" s="405">
        <f t="shared" si="59"/>
        <v>0</v>
      </c>
      <c r="BK169" s="405">
        <f t="shared" si="60"/>
        <v>-1</v>
      </c>
      <c r="BL169" s="405">
        <f t="shared" si="61"/>
        <v>-1</v>
      </c>
      <c r="BM169" s="405">
        <f t="shared" si="62"/>
        <v>-1</v>
      </c>
      <c r="BN169" s="405">
        <f t="shared" si="62"/>
        <v>-1</v>
      </c>
    </row>
    <row r="170" spans="1:66" x14ac:dyDescent="0.2">
      <c r="A170" s="34">
        <v>505</v>
      </c>
      <c r="B170" s="88" t="s">
        <v>484</v>
      </c>
      <c r="C170" s="41" t="e">
        <f>'2. Toimintakate'!D170+'3. Verotulot'!G170+'4. Valtionosuudet'!#REF!+'5. Rahoitustuotot ja -kulut'!C170</f>
        <v>#REF!</v>
      </c>
      <c r="D170" s="41">
        <f>'2. Toimintakate'!E170+'4. Valtionosuudet'!H170+'3. Verotulot'!L170+'5. Rahoitustuotot ja -kulut'!D170</f>
        <v>13419</v>
      </c>
      <c r="E170" s="41">
        <f>'2. Toimintakate'!F170+'4. Valtionosuudet'!N170+'3. Verotulot'!Q170+'5. Rahoitustuotot ja -kulut'!E170</f>
        <v>11436</v>
      </c>
      <c r="F170" s="41">
        <f>'2. Toimintakate'!G170+'4. Valtionosuudet'!T170+'3. Verotulot'!V170+'5. Rahoitustuotot ja -kulut'!F170</f>
        <v>3635</v>
      </c>
      <c r="G170" s="41">
        <f>'2. Toimintakate'!H170+'3. Verotulot'!AA170+'4. Valtionosuudet'!Z170+'5. Rahoitustuotot ja -kulut'!G170</f>
        <v>-1276</v>
      </c>
      <c r="H170" s="41">
        <f>Käyttökate!H170+'5. Rahoitustuotot ja -kulut'!H170</f>
        <v>13867.958443381242</v>
      </c>
      <c r="I170" s="41">
        <f>Käyttökate!I170+'5. Rahoitustuotot ja -kulut'!I170</f>
        <v>15437.745421973694</v>
      </c>
      <c r="J170" s="41">
        <f>Käyttökate!J170+'5. Rahoitustuotot ja -kulut'!J170</f>
        <v>11679.166533189438</v>
      </c>
      <c r="K170" s="41">
        <f>Käyttökate!K170+'5. Rahoitustuotot ja -kulut'!K170</f>
        <v>13716.04747958374</v>
      </c>
      <c r="L170" s="41">
        <f>Käyttökate!L170+'5. Rahoitustuotot ja -kulut'!L170</f>
        <v>10988.534813673208</v>
      </c>
      <c r="M170" s="41">
        <f>Käyttökate!M170+'5. Rahoitustuotot ja -kulut'!M170</f>
        <v>9735.9509029463679</v>
      </c>
      <c r="N170" s="41">
        <f>Käyttökate!N170+'5. Rahoitustuotot ja -kulut'!N170</f>
        <v>9140.579940846701</v>
      </c>
      <c r="O170" s="41">
        <f>Käyttökate!O170+'5. Rahoitustuotot ja -kulut'!O170</f>
        <v>9655.4151377036815</v>
      </c>
      <c r="P170" s="41">
        <f>Käyttökate!P170+'5. Rahoitustuotot ja -kulut'!P170</f>
        <v>11039.739361991527</v>
      </c>
      <c r="T170" s="34">
        <v>505</v>
      </c>
      <c r="U170" s="88" t="s">
        <v>484</v>
      </c>
      <c r="V170" s="41" t="e">
        <f>C170/'1. Väestöennuste'!E170*1000</f>
        <v>#REF!</v>
      </c>
      <c r="W170" s="41">
        <f>D170/'1. Väestöennuste'!F170*1000</f>
        <v>643.50453172205437</v>
      </c>
      <c r="X170" s="41">
        <f>E170/'1. Väestöennuste'!G170*1000</f>
        <v>549.72840455703511</v>
      </c>
      <c r="Y170" s="41">
        <f>F170/'1. Väestöennuste'!H170*1000</f>
        <v>175.72271101227884</v>
      </c>
      <c r="Z170" s="41">
        <f>G170/'1. Väestöennuste'!I170*1000</f>
        <v>-61.580039573379665</v>
      </c>
      <c r="AA170" s="41">
        <f>H170/'1. Väestöennuste'!J170*1000</f>
        <v>667.27413960358183</v>
      </c>
      <c r="AB170" s="41">
        <f>I170/'1. Väestöennuste'!K170*1000</f>
        <v>740.8813851309543</v>
      </c>
      <c r="AC170" s="41">
        <f>J170/'1. Väestöennuste'!L170*1000</f>
        <v>558.49113108212691</v>
      </c>
      <c r="AD170" s="41">
        <f>K170/'1. Väestöennuste'!M170*1000</f>
        <v>654.48525454901653</v>
      </c>
      <c r="AE170" s="41">
        <f>L170/'1. Väestöennuste'!N170*1000</f>
        <v>526.01889964926795</v>
      </c>
      <c r="AF170" s="41">
        <f>M170/'1. Väestöennuste'!O170*1000</f>
        <v>465.23395149550191</v>
      </c>
      <c r="AG170" s="41">
        <f>N170/'1. Väestöennuste'!P170*1000</f>
        <v>435.88840919631383</v>
      </c>
      <c r="AH170" s="41">
        <f>O170/'1. Väestöennuste'!Q170*1000</f>
        <v>459.54096129187957</v>
      </c>
      <c r="AI170" s="41">
        <f>P170/'1. Väestöennuste'!R170*1000</f>
        <v>524.50301035687608</v>
      </c>
      <c r="AK170" s="41">
        <f>'6. Poistot'!Z170</f>
        <v>339.65542203561603</v>
      </c>
      <c r="AL170" s="41">
        <f>'6. Poistot'!AA170</f>
        <v>620.55526151181255</v>
      </c>
      <c r="AM170" s="41">
        <f>'6. Poistot'!AB170</f>
        <v>420.91376877669524</v>
      </c>
      <c r="AN170" s="41">
        <f>'6. Poistot'!AC170</f>
        <v>366.42726855394034</v>
      </c>
      <c r="AO170" s="41">
        <f>'6. Poistot'!AD170</f>
        <v>392.96671374719665</v>
      </c>
      <c r="AP170" s="41">
        <f>'6. Poistot'!AE170</f>
        <v>433.77482048827193</v>
      </c>
      <c r="AQ170" s="41">
        <f>'6. Poistot'!AF170</f>
        <v>433.00788455105851</v>
      </c>
      <c r="AR170" s="41">
        <f>'6. Poistot'!AG170</f>
        <v>432.11998092513113</v>
      </c>
      <c r="AS170" s="41">
        <f>'6. Poistot'!AH170</f>
        <v>445.19248261316739</v>
      </c>
      <c r="AT170" s="41">
        <f>'6. Poistot'!AI170</f>
        <v>458.30114520954584</v>
      </c>
      <c r="AV170" s="4">
        <f t="shared" si="46"/>
        <v>0</v>
      </c>
      <c r="AW170" s="4">
        <f t="shared" si="47"/>
        <v>0</v>
      </c>
      <c r="AX170" s="4">
        <f t="shared" si="48"/>
        <v>0</v>
      </c>
      <c r="AY170" s="4">
        <f t="shared" si="49"/>
        <v>0</v>
      </c>
      <c r="AZ170" s="4">
        <f t="shared" si="50"/>
        <v>0</v>
      </c>
      <c r="BA170" s="4">
        <f t="shared" si="51"/>
        <v>0</v>
      </c>
      <c r="BB170" s="4">
        <f t="shared" si="52"/>
        <v>0</v>
      </c>
      <c r="BC170" s="4">
        <f t="shared" si="53"/>
        <v>0</v>
      </c>
      <c r="BE170" s="405">
        <f t="shared" si="54"/>
        <v>-1</v>
      </c>
      <c r="BF170" s="405">
        <f t="shared" si="55"/>
        <v>0</v>
      </c>
      <c r="BG170" s="405">
        <f t="shared" si="56"/>
        <v>0</v>
      </c>
      <c r="BH170" s="405">
        <f t="shared" si="57"/>
        <v>0</v>
      </c>
      <c r="BI170" s="405">
        <f t="shared" si="58"/>
        <v>0</v>
      </c>
      <c r="BJ170" s="405">
        <f t="shared" si="59"/>
        <v>0</v>
      </c>
      <c r="BK170" s="405">
        <f t="shared" si="60"/>
        <v>0</v>
      </c>
      <c r="BL170" s="405">
        <f t="shared" si="61"/>
        <v>0</v>
      </c>
      <c r="BM170" s="405">
        <f t="shared" si="62"/>
        <v>0</v>
      </c>
      <c r="BN170" s="405">
        <f t="shared" si="62"/>
        <v>0</v>
      </c>
    </row>
    <row r="171" spans="1:66" x14ac:dyDescent="0.2">
      <c r="A171" s="34">
        <v>507</v>
      </c>
      <c r="B171" s="88" t="s">
        <v>485</v>
      </c>
      <c r="C171" s="41" t="e">
        <f>'2. Toimintakate'!D171+'3. Verotulot'!G171+'4. Valtionosuudet'!#REF!+'5. Rahoitustuotot ja -kulut'!C171</f>
        <v>#REF!</v>
      </c>
      <c r="D171" s="41">
        <f>'2. Toimintakate'!E171+'4. Valtionosuudet'!H171+'3. Verotulot'!L171+'5. Rahoitustuotot ja -kulut'!D171</f>
        <v>2779</v>
      </c>
      <c r="E171" s="41">
        <f>'2. Toimintakate'!F171+'4. Valtionosuudet'!N171+'3. Verotulot'!Q171+'5. Rahoitustuotot ja -kulut'!E171</f>
        <v>3303</v>
      </c>
      <c r="F171" s="41">
        <f>'2. Toimintakate'!G171+'4. Valtionosuudet'!T171+'3. Verotulot'!V171+'5. Rahoitustuotot ja -kulut'!F171</f>
        <v>1934</v>
      </c>
      <c r="G171" s="41">
        <f>'2. Toimintakate'!H171+'3. Verotulot'!AA171+'4. Valtionosuudet'!Z171+'5. Rahoitustuotot ja -kulut'!G171</f>
        <v>-533</v>
      </c>
      <c r="H171" s="41">
        <f>Käyttökate!H171+'5. Rahoitustuotot ja -kulut'!H171</f>
        <v>4370.281311741066</v>
      </c>
      <c r="I171" s="41">
        <f>Käyttökate!I171+'5. Rahoitustuotot ja -kulut'!I171</f>
        <v>1095.8406880395939</v>
      </c>
      <c r="J171" s="41">
        <f>Käyttökate!J171+'5. Rahoitustuotot ja -kulut'!J171</f>
        <v>2894.479787562756</v>
      </c>
      <c r="K171" s="41">
        <f>Käyttökate!K171+'5. Rahoitustuotot ja -kulut'!K171</f>
        <v>2266.3179570056964</v>
      </c>
      <c r="L171" s="41">
        <f>Käyttökate!L171+'5. Rahoitustuotot ja -kulut'!L171</f>
        <v>1325.5170129286412</v>
      </c>
      <c r="M171" s="41">
        <f>Käyttökate!M171+'5. Rahoitustuotot ja -kulut'!M171</f>
        <v>-319.81110595488315</v>
      </c>
      <c r="N171" s="41">
        <f>Käyttökate!N171+'5. Rahoitustuotot ja -kulut'!N171</f>
        <v>-849.3123625048197</v>
      </c>
      <c r="O171" s="41">
        <f>Käyttökate!O171+'5. Rahoitustuotot ja -kulut'!O171</f>
        <v>-724.62176870052815</v>
      </c>
      <c r="P171" s="41">
        <f>Käyttökate!P171+'5. Rahoitustuotot ja -kulut'!P171</f>
        <v>423.97804563029274</v>
      </c>
      <c r="T171" s="34">
        <v>507</v>
      </c>
      <c r="U171" s="88" t="s">
        <v>485</v>
      </c>
      <c r="V171" s="41" t="e">
        <f>C171/'1. Väestöennuste'!E171*1000</f>
        <v>#REF!</v>
      </c>
      <c r="W171" s="41">
        <f>D171/'1. Väestöennuste'!F171*1000</f>
        <v>455.79793340987374</v>
      </c>
      <c r="X171" s="41">
        <f>E171/'1. Väestöennuste'!G171*1000</f>
        <v>545.58969276511391</v>
      </c>
      <c r="Y171" s="41">
        <f>F171/'1. Väestöennuste'!H171*1000</f>
        <v>326.46860229574611</v>
      </c>
      <c r="Z171" s="41">
        <f>G171/'1. Väestöennuste'!I171*1000</f>
        <v>-92.039371438438963</v>
      </c>
      <c r="AA171" s="41">
        <f>H171/'1. Väestöennuste'!J171*1000</f>
        <v>769.95794780497999</v>
      </c>
      <c r="AB171" s="41">
        <f>I171/'1. Väestöennuste'!K171*1000</f>
        <v>194.47039716762981</v>
      </c>
      <c r="AC171" s="41">
        <f>J171/'1. Väestöennuste'!L171*1000</f>
        <v>520.21563399761976</v>
      </c>
      <c r="AD171" s="41">
        <f>K171/'1. Väestöennuste'!M171*1000</f>
        <v>410.41614578154588</v>
      </c>
      <c r="AE171" s="41">
        <f>L171/'1. Väestöennuste'!N171*1000</f>
        <v>246.37862693840916</v>
      </c>
      <c r="AF171" s="41">
        <f>M171/'1. Väestöennuste'!O171*1000</f>
        <v>-46.762846315964779</v>
      </c>
      <c r="AG171" s="41">
        <f>N171/'1. Väestöennuste'!P171*1000</f>
        <v>-125.65651168883262</v>
      </c>
      <c r="AH171" s="41">
        <f>O171/'1. Väestöennuste'!Q171*1000</f>
        <v>-108.41139567632078</v>
      </c>
      <c r="AI171" s="41">
        <f>P171/'1. Väestöennuste'!R171*1000</f>
        <v>64.103121504428898</v>
      </c>
      <c r="AK171" s="41">
        <f>'6. Poistot'!Z171</f>
        <v>325.85045760663098</v>
      </c>
      <c r="AL171" s="41">
        <f>'6. Poistot'!AA171</f>
        <v>227.62508809020437</v>
      </c>
      <c r="AM171" s="41">
        <f>'6. Poistot'!AB171</f>
        <v>252.74948181011536</v>
      </c>
      <c r="AN171" s="41">
        <f>'6. Poistot'!AC171</f>
        <v>263.79473220704529</v>
      </c>
      <c r="AO171" s="41">
        <f>'6. Poistot'!AD171</f>
        <v>364.85673125679102</v>
      </c>
      <c r="AP171" s="41">
        <f>'6. Poistot'!AE171</f>
        <v>299.4052044609665</v>
      </c>
      <c r="AQ171" s="41">
        <f>'6. Poistot'!AF171</f>
        <v>287.13262172832282</v>
      </c>
      <c r="AR171" s="41">
        <f>'6. Poistot'!AG171</f>
        <v>286.89451102234057</v>
      </c>
      <c r="AS171" s="41">
        <f>'6. Poistot'!AH171</f>
        <v>299.47461196407176</v>
      </c>
      <c r="AT171" s="41">
        <f>'6. Poistot'!AI171</f>
        <v>312.10411441422906</v>
      </c>
      <c r="AV171" s="4">
        <f t="shared" si="46"/>
        <v>1</v>
      </c>
      <c r="AW171" s="4">
        <f t="shared" si="47"/>
        <v>0</v>
      </c>
      <c r="AX171" s="4">
        <f t="shared" si="48"/>
        <v>0</v>
      </c>
      <c r="AY171" s="4">
        <f t="shared" si="49"/>
        <v>1</v>
      </c>
      <c r="AZ171" s="4">
        <f t="shared" si="50"/>
        <v>1</v>
      </c>
      <c r="BA171" s="4">
        <f t="shared" si="51"/>
        <v>1</v>
      </c>
      <c r="BB171" s="4">
        <f t="shared" si="52"/>
        <v>1</v>
      </c>
      <c r="BC171" s="4">
        <f t="shared" si="53"/>
        <v>1</v>
      </c>
      <c r="BE171" s="405">
        <f t="shared" si="54"/>
        <v>-1</v>
      </c>
      <c r="BF171" s="405">
        <f t="shared" si="55"/>
        <v>0</v>
      </c>
      <c r="BG171" s="405">
        <f t="shared" si="56"/>
        <v>0</v>
      </c>
      <c r="BH171" s="405">
        <f t="shared" si="57"/>
        <v>0</v>
      </c>
      <c r="BI171" s="405">
        <f t="shared" si="58"/>
        <v>0</v>
      </c>
      <c r="BJ171" s="405">
        <f t="shared" si="59"/>
        <v>0</v>
      </c>
      <c r="BK171" s="405">
        <f t="shared" si="60"/>
        <v>-1</v>
      </c>
      <c r="BL171" s="405">
        <f t="shared" si="61"/>
        <v>-1</v>
      </c>
      <c r="BM171" s="405">
        <f t="shared" si="62"/>
        <v>-1</v>
      </c>
      <c r="BN171" s="405">
        <f t="shared" si="62"/>
        <v>0</v>
      </c>
    </row>
    <row r="172" spans="1:66" x14ac:dyDescent="0.2">
      <c r="A172" s="34">
        <v>508</v>
      </c>
      <c r="B172" s="88" t="s">
        <v>486</v>
      </c>
      <c r="C172" s="41" t="e">
        <f>'2. Toimintakate'!D172+'3. Verotulot'!G172+'4. Valtionosuudet'!#REF!+'5. Rahoitustuotot ja -kulut'!C172</f>
        <v>#REF!</v>
      </c>
      <c r="D172" s="41">
        <f>'2. Toimintakate'!E172+'4. Valtionosuudet'!H172+'3. Verotulot'!L172+'5. Rahoitustuotot ja -kulut'!D172</f>
        <v>2649</v>
      </c>
      <c r="E172" s="41">
        <f>'2. Toimintakate'!F172+'4. Valtionosuudet'!N172+'3. Verotulot'!Q172+'5. Rahoitustuotot ja -kulut'!E172</f>
        <v>6210</v>
      </c>
      <c r="F172" s="41">
        <f>'2. Toimintakate'!G172+'4. Valtionosuudet'!T172+'3. Verotulot'!V172+'5. Rahoitustuotot ja -kulut'!F172</f>
        <v>1699</v>
      </c>
      <c r="G172" s="41">
        <f>'2. Toimintakate'!H172+'3. Verotulot'!AA172+'4. Valtionosuudet'!Z172+'5. Rahoitustuotot ja -kulut'!G172</f>
        <v>762</v>
      </c>
      <c r="H172" s="41">
        <f>Käyttökate!H172+'5. Rahoitustuotot ja -kulut'!H172</f>
        <v>2953.8845412438895</v>
      </c>
      <c r="I172" s="41">
        <f>Käyttökate!I172+'5. Rahoitustuotot ja -kulut'!I172</f>
        <v>2761.8666097387904</v>
      </c>
      <c r="J172" s="41">
        <f>Käyttökate!J172+'5. Rahoitustuotot ja -kulut'!J172</f>
        <v>2193.8380380040626</v>
      </c>
      <c r="K172" s="41">
        <f>Käyttökate!K172+'5. Rahoitustuotot ja -kulut'!K172</f>
        <v>6025.1433143294307</v>
      </c>
      <c r="L172" s="41">
        <f>Käyttökate!L172+'5. Rahoitustuotot ja -kulut'!L172</f>
        <v>6165.8571687709455</v>
      </c>
      <c r="M172" s="41">
        <f>Käyttökate!M172+'5. Rahoitustuotot ja -kulut'!M172</f>
        <v>5086.6527526729678</v>
      </c>
      <c r="N172" s="41">
        <f>Käyttökate!N172+'5. Rahoitustuotot ja -kulut'!N172</f>
        <v>3439.2966963451445</v>
      </c>
      <c r="O172" s="41">
        <f>Käyttökate!O172+'5. Rahoitustuotot ja -kulut'!O172</f>
        <v>4028.5533130223434</v>
      </c>
      <c r="P172" s="41">
        <f>Käyttökate!P172+'5. Rahoitustuotot ja -kulut'!P172</f>
        <v>5617.905694236837</v>
      </c>
      <c r="T172" s="34">
        <v>508</v>
      </c>
      <c r="U172" s="88" t="s">
        <v>486</v>
      </c>
      <c r="V172" s="41" t="e">
        <f>C172/'1. Väestöennuste'!E172*1000</f>
        <v>#REF!</v>
      </c>
      <c r="W172" s="41">
        <f>D172/'1. Väestöennuste'!F172*1000</f>
        <v>253.54134762633996</v>
      </c>
      <c r="X172" s="41">
        <f>E172/'1. Väestöennuste'!G172*1000</f>
        <v>605.4992199687988</v>
      </c>
      <c r="Y172" s="41">
        <f>F172/'1. Väestöennuste'!H172*1000</f>
        <v>170.18932184714015</v>
      </c>
      <c r="Z172" s="41">
        <f>G172/'1. Väestöennuste'!I172*1000</f>
        <v>77.32115677321157</v>
      </c>
      <c r="AA172" s="41">
        <f>H172/'1. Väestöennuste'!J172*1000</f>
        <v>305.37419014203346</v>
      </c>
      <c r="AB172" s="41">
        <f>I172/'1. Väestöennuste'!K172*1000</f>
        <v>288.80755095041206</v>
      </c>
      <c r="AC172" s="41">
        <f>J172/'1. Väestöennuste'!L172*1000</f>
        <v>234.3844057696648</v>
      </c>
      <c r="AD172" s="41">
        <f>K172/'1. Väestöennuste'!M172*1000</f>
        <v>649.89141563255646</v>
      </c>
      <c r="AE172" s="41">
        <f>L172/'1. Väestöennuste'!N172*1000</f>
        <v>688.23051331297529</v>
      </c>
      <c r="AF172" s="41">
        <f>M172/'1. Väestöennuste'!O172*1000</f>
        <v>577.17607541960365</v>
      </c>
      <c r="AG172" s="41">
        <f>N172/'1. Väestöennuste'!P172*1000</f>
        <v>396.41501802041779</v>
      </c>
      <c r="AH172" s="41">
        <f>O172/'1. Väestöennuste'!Q172*1000</f>
        <v>471.39636239437669</v>
      </c>
      <c r="AI172" s="41">
        <f>P172/'1. Väestöennuste'!R172*1000</f>
        <v>666.81373225363052</v>
      </c>
      <c r="AK172" s="41">
        <f>'6. Poistot'!Z172</f>
        <v>271.53729071537293</v>
      </c>
      <c r="AL172" s="41">
        <f>'6. Poistot'!AA172</f>
        <v>283.26268996174917</v>
      </c>
      <c r="AM172" s="41">
        <f>'6. Poistot'!AB172</f>
        <v>286.15255254627209</v>
      </c>
      <c r="AN172" s="41">
        <f>'6. Poistot'!AC172</f>
        <v>281.24277029914532</v>
      </c>
      <c r="AO172" s="41">
        <f>'6. Poistot'!AD172</f>
        <v>418.81685578686222</v>
      </c>
      <c r="AP172" s="41">
        <f>'6. Poistot'!AE172</f>
        <v>287.20504520593818</v>
      </c>
      <c r="AQ172" s="41">
        <f>'6. Poistot'!AF172</f>
        <v>297.80211051855213</v>
      </c>
      <c r="AR172" s="41">
        <f>'6. Poistot'!AG172</f>
        <v>308.5546334716459</v>
      </c>
      <c r="AS172" s="41">
        <f>'6. Poistot'!AH172</f>
        <v>323.35567974378063</v>
      </c>
      <c r="AT172" s="41">
        <f>'6. Poistot'!AI172</f>
        <v>338.25225853776823</v>
      </c>
      <c r="AV172" s="4">
        <f t="shared" si="46"/>
        <v>0</v>
      </c>
      <c r="AW172" s="4">
        <f t="shared" si="47"/>
        <v>1</v>
      </c>
      <c r="AX172" s="4">
        <f t="shared" si="48"/>
        <v>0</v>
      </c>
      <c r="AY172" s="4">
        <f t="shared" si="49"/>
        <v>0</v>
      </c>
      <c r="AZ172" s="4">
        <f t="shared" si="50"/>
        <v>0</v>
      </c>
      <c r="BA172" s="4">
        <f t="shared" si="51"/>
        <v>0</v>
      </c>
      <c r="BB172" s="4">
        <f t="shared" si="52"/>
        <v>0</v>
      </c>
      <c r="BC172" s="4">
        <f t="shared" si="53"/>
        <v>0</v>
      </c>
      <c r="BE172" s="405">
        <f t="shared" si="54"/>
        <v>0</v>
      </c>
      <c r="BF172" s="405">
        <f t="shared" si="55"/>
        <v>0</v>
      </c>
      <c r="BG172" s="405">
        <f t="shared" si="56"/>
        <v>0</v>
      </c>
      <c r="BH172" s="405">
        <f t="shared" si="57"/>
        <v>0</v>
      </c>
      <c r="BI172" s="405">
        <f t="shared" si="58"/>
        <v>0</v>
      </c>
      <c r="BJ172" s="405">
        <f t="shared" si="59"/>
        <v>0</v>
      </c>
      <c r="BK172" s="405">
        <f t="shared" si="60"/>
        <v>0</v>
      </c>
      <c r="BL172" s="405">
        <f t="shared" si="61"/>
        <v>0</v>
      </c>
      <c r="BM172" s="405">
        <f t="shared" si="62"/>
        <v>0</v>
      </c>
      <c r="BN172" s="405">
        <f t="shared" si="62"/>
        <v>0</v>
      </c>
    </row>
    <row r="173" spans="1:66" x14ac:dyDescent="0.2">
      <c r="A173" s="34">
        <v>529</v>
      </c>
      <c r="B173" s="88" t="s">
        <v>487</v>
      </c>
      <c r="C173" s="41" t="e">
        <f>'2. Toimintakate'!D173+'3. Verotulot'!G173+'4. Valtionosuudet'!#REF!+'5. Rahoitustuotot ja -kulut'!C173</f>
        <v>#REF!</v>
      </c>
      <c r="D173" s="41">
        <f>'2. Toimintakate'!E173+'4. Valtionosuudet'!H173+'3. Verotulot'!L173+'5. Rahoitustuotot ja -kulut'!D173</f>
        <v>10534</v>
      </c>
      <c r="E173" s="41">
        <f>'2. Toimintakate'!F173+'4. Valtionosuudet'!N173+'3. Verotulot'!Q173+'5. Rahoitustuotot ja -kulut'!E173</f>
        <v>14812</v>
      </c>
      <c r="F173" s="41">
        <f>'2. Toimintakate'!G173+'4. Valtionosuudet'!T173+'3. Verotulot'!V173+'5. Rahoitustuotot ja -kulut'!F173</f>
        <v>11724</v>
      </c>
      <c r="G173" s="41">
        <f>'2. Toimintakate'!H173+'3. Verotulot'!AA173+'4. Valtionosuudet'!Z173+'5. Rahoitustuotot ja -kulut'!G173</f>
        <v>10837</v>
      </c>
      <c r="H173" s="41">
        <f>Käyttökate!H173+'5. Rahoitustuotot ja -kulut'!H173</f>
        <v>18948.038296624392</v>
      </c>
      <c r="I173" s="41">
        <f>Käyttökate!I173+'5. Rahoitustuotot ja -kulut'!I173</f>
        <v>18574.398193833473</v>
      </c>
      <c r="J173" s="41">
        <f>Käyttökate!J173+'5. Rahoitustuotot ja -kulut'!J173</f>
        <v>22813.222698753321</v>
      </c>
      <c r="K173" s="41">
        <f>Käyttökate!K173+'5. Rahoitustuotot ja -kulut'!K173</f>
        <v>21706.718830576774</v>
      </c>
      <c r="L173" s="41">
        <f>Käyttökate!L173+'5. Rahoitustuotot ja -kulut'!L173</f>
        <v>14933.12885436286</v>
      </c>
      <c r="M173" s="41">
        <f>Käyttökate!M173+'5. Rahoitustuotot ja -kulut'!M173</f>
        <v>14973.388602805719</v>
      </c>
      <c r="N173" s="41">
        <f>Käyttökate!N173+'5. Rahoitustuotot ja -kulut'!N173</f>
        <v>13362.800302400599</v>
      </c>
      <c r="O173" s="41">
        <f>Käyttökate!O173+'5. Rahoitustuotot ja -kulut'!O173</f>
        <v>13439.808360914694</v>
      </c>
      <c r="P173" s="41">
        <f>Käyttökate!P173+'5. Rahoitustuotot ja -kulut'!P173</f>
        <v>14744.308610944654</v>
      </c>
      <c r="T173" s="34">
        <v>529</v>
      </c>
      <c r="U173" s="88" t="s">
        <v>487</v>
      </c>
      <c r="V173" s="41" t="e">
        <f>C173/'1. Väestöennuste'!E173*1000</f>
        <v>#REF!</v>
      </c>
      <c r="W173" s="41">
        <f>D173/'1. Väestöennuste'!F173*1000</f>
        <v>552.443885043004</v>
      </c>
      <c r="X173" s="41">
        <f>E173/'1. Väestöennuste'!G173*1000</f>
        <v>772.78656023373503</v>
      </c>
      <c r="Y173" s="41">
        <f>F173/'1. Väestöennuste'!H173*1000</f>
        <v>609.19719407638354</v>
      </c>
      <c r="Z173" s="41">
        <f>G173/'1. Väestöennuste'!I173*1000</f>
        <v>561.09557833695771</v>
      </c>
      <c r="AA173" s="41">
        <f>H173/'1. Väestöennuste'!J173*1000</f>
        <v>975.34556527638813</v>
      </c>
      <c r="AB173" s="41">
        <f>I173/'1. Väestöennuste'!K173*1000</f>
        <v>948.68983062635846</v>
      </c>
      <c r="AC173" s="41">
        <f>J173/'1. Väestöennuste'!L173*1000</f>
        <v>1149.2807404913513</v>
      </c>
      <c r="AD173" s="41">
        <f>K173/'1. Väestöennuste'!M173*1000</f>
        <v>1085.3902110393908</v>
      </c>
      <c r="AE173" s="41">
        <f>L173/'1. Väestöennuste'!N173*1000</f>
        <v>757.06610161535411</v>
      </c>
      <c r="AF173" s="41">
        <f>M173/'1. Väestöennuste'!O173*1000</f>
        <v>756.23174761645043</v>
      </c>
      <c r="AG173" s="41">
        <f>N173/'1. Väestöennuste'!P173*1000</f>
        <v>672.40981746090677</v>
      </c>
      <c r="AH173" s="41">
        <f>O173/'1. Väestöennuste'!Q173*1000</f>
        <v>673.94485813432425</v>
      </c>
      <c r="AI173" s="41">
        <f>P173/'1. Väestöennuste'!R173*1000</f>
        <v>736.92066228231977</v>
      </c>
      <c r="AK173" s="41">
        <f>'6. Poistot'!Z173</f>
        <v>461.27161644403026</v>
      </c>
      <c r="AL173" s="41">
        <f>'6. Poistot'!AA173</f>
        <v>452.10274360426212</v>
      </c>
      <c r="AM173" s="41">
        <f>'6. Poistot'!AB173</f>
        <v>507.41338883497622</v>
      </c>
      <c r="AN173" s="41">
        <f>'6. Poistot'!AC173</f>
        <v>708.88129521410588</v>
      </c>
      <c r="AO173" s="41">
        <f>'6. Poistot'!AD173</f>
        <v>567.73036951847598</v>
      </c>
      <c r="AP173" s="41">
        <f>'6. Poistot'!AE173</f>
        <v>552.59822560202792</v>
      </c>
      <c r="AQ173" s="41">
        <f>'6. Poistot'!AF173</f>
        <v>575.75757575757575</v>
      </c>
      <c r="AR173" s="41">
        <f>'6. Poistot'!AG173</f>
        <v>598.80239520958082</v>
      </c>
      <c r="AS173" s="41">
        <f>'6. Poistot'!AH173</f>
        <v>615.98482865506253</v>
      </c>
      <c r="AT173" s="41">
        <f>'6. Poistot'!AI173</f>
        <v>633.1436878287941</v>
      </c>
      <c r="AV173" s="4">
        <f t="shared" si="46"/>
        <v>0</v>
      </c>
      <c r="AW173" s="4">
        <f t="shared" si="47"/>
        <v>0</v>
      </c>
      <c r="AX173" s="4">
        <f t="shared" si="48"/>
        <v>0</v>
      </c>
      <c r="AY173" s="4">
        <f t="shared" si="49"/>
        <v>0</v>
      </c>
      <c r="AZ173" s="4">
        <f t="shared" si="50"/>
        <v>0</v>
      </c>
      <c r="BA173" s="4">
        <f t="shared" si="51"/>
        <v>0</v>
      </c>
      <c r="BB173" s="4">
        <f t="shared" si="52"/>
        <v>0</v>
      </c>
      <c r="BC173" s="4">
        <f t="shared" si="53"/>
        <v>0</v>
      </c>
      <c r="BE173" s="405">
        <f t="shared" si="54"/>
        <v>0</v>
      </c>
      <c r="BF173" s="405">
        <f t="shared" si="55"/>
        <v>0</v>
      </c>
      <c r="BG173" s="405">
        <f t="shared" si="56"/>
        <v>0</v>
      </c>
      <c r="BH173" s="405">
        <f t="shared" si="57"/>
        <v>0</v>
      </c>
      <c r="BI173" s="405">
        <f t="shared" si="58"/>
        <v>0</v>
      </c>
      <c r="BJ173" s="405">
        <f t="shared" si="59"/>
        <v>0</v>
      </c>
      <c r="BK173" s="405">
        <f t="shared" si="60"/>
        <v>0</v>
      </c>
      <c r="BL173" s="405">
        <f t="shared" si="61"/>
        <v>0</v>
      </c>
      <c r="BM173" s="405">
        <f t="shared" si="62"/>
        <v>0</v>
      </c>
      <c r="BN173" s="405">
        <f t="shared" si="62"/>
        <v>0</v>
      </c>
    </row>
    <row r="174" spans="1:66" x14ac:dyDescent="0.2">
      <c r="A174" s="34">
        <v>531</v>
      </c>
      <c r="B174" s="88" t="s">
        <v>488</v>
      </c>
      <c r="C174" s="41" t="e">
        <f>'2. Toimintakate'!D174+'3. Verotulot'!G174+'4. Valtionosuudet'!#REF!+'5. Rahoitustuotot ja -kulut'!C174</f>
        <v>#REF!</v>
      </c>
      <c r="D174" s="41">
        <f>'2. Toimintakate'!E174+'4. Valtionosuudet'!H174+'3. Verotulot'!L174+'5. Rahoitustuotot ja -kulut'!D174</f>
        <v>2445</v>
      </c>
      <c r="E174" s="41">
        <f>'2. Toimintakate'!F174+'4. Valtionosuudet'!N174+'3. Verotulot'!Q174+'5. Rahoitustuotot ja -kulut'!E174</f>
        <v>1457</v>
      </c>
      <c r="F174" s="41">
        <f>'2. Toimintakate'!G174+'4. Valtionosuudet'!T174+'3. Verotulot'!V174+'5. Rahoitustuotot ja -kulut'!F174</f>
        <v>2038</v>
      </c>
      <c r="G174" s="41">
        <f>'2. Toimintakate'!H174+'3. Verotulot'!AA174+'4. Valtionosuudet'!Z174+'5. Rahoitustuotot ja -kulut'!G174</f>
        <v>571</v>
      </c>
      <c r="H174" s="41">
        <f>Käyttökate!H174+'5. Rahoitustuotot ja -kulut'!H174</f>
        <v>2694.3903907251879</v>
      </c>
      <c r="I174" s="41">
        <f>Käyttökate!I174+'5. Rahoitustuotot ja -kulut'!I174</f>
        <v>1034.3090329055328</v>
      </c>
      <c r="J174" s="41">
        <f>Käyttökate!J174+'5. Rahoitustuotot ja -kulut'!J174</f>
        <v>2043.0569820709125</v>
      </c>
      <c r="K174" s="41">
        <f>Käyttökate!K174+'5. Rahoitustuotot ja -kulut'!K174</f>
        <v>3021.8485482299739</v>
      </c>
      <c r="L174" s="41">
        <f>Käyttökate!L174+'5. Rahoitustuotot ja -kulut'!L174</f>
        <v>509.01859558818262</v>
      </c>
      <c r="M174" s="41">
        <f>Käyttökate!M174+'5. Rahoitustuotot ja -kulut'!M174</f>
        <v>-503.98194134018968</v>
      </c>
      <c r="N174" s="41">
        <f>Käyttökate!N174+'5. Rahoitustuotot ja -kulut'!N174</f>
        <v>-507.70416312238467</v>
      </c>
      <c r="O174" s="41">
        <f>Käyttökate!O174+'5. Rahoitustuotot ja -kulut'!O174</f>
        <v>-761.9535133574127</v>
      </c>
      <c r="P174" s="41">
        <f>Käyttökate!P174+'5. Rahoitustuotot ja -kulut'!P174</f>
        <v>-90.061600895989585</v>
      </c>
      <c r="T174" s="34">
        <v>531</v>
      </c>
      <c r="U174" s="88" t="s">
        <v>488</v>
      </c>
      <c r="V174" s="41" t="e">
        <f>C174/'1. Väestöennuste'!E174*1000</f>
        <v>#REF!</v>
      </c>
      <c r="W174" s="41">
        <f>D174/'1. Väestöennuste'!F174*1000</f>
        <v>440.69935111751983</v>
      </c>
      <c r="X174" s="41">
        <f>E174/'1. Väestöennuste'!G174*1000</f>
        <v>263.90146712552075</v>
      </c>
      <c r="Y174" s="41">
        <f>F174/'1. Väestöennuste'!H174*1000</f>
        <v>374.83906566121021</v>
      </c>
      <c r="Z174" s="41">
        <f>G174/'1. Väestöennuste'!I174*1000</f>
        <v>107.14955901670108</v>
      </c>
      <c r="AA174" s="41">
        <f>H174/'1. Väestöennuste'!J174*1000</f>
        <v>512.63135287769933</v>
      </c>
      <c r="AB174" s="41">
        <f>I174/'1. Väestöennuste'!K174*1000</f>
        <v>200.09847802389879</v>
      </c>
      <c r="AC174" s="41">
        <f>J174/'1. Väestöennuste'!L174*1000</f>
        <v>402.81091917801905</v>
      </c>
      <c r="AD174" s="41">
        <f>K174/'1. Väestöennuste'!M174*1000</f>
        <v>608.50756106121094</v>
      </c>
      <c r="AE174" s="41">
        <f>L174/'1. Väestöennuste'!N174*1000</f>
        <v>102.27418034723381</v>
      </c>
      <c r="AF174" s="41">
        <f>M174/'1. Väestöennuste'!O174*1000</f>
        <v>-102.70673351134903</v>
      </c>
      <c r="AG174" s="41">
        <f>N174/'1. Väestöennuste'!P174*1000</f>
        <v>-104.89755436412906</v>
      </c>
      <c r="AH174" s="41">
        <f>O174/'1. Väestöennuste'!Q174*1000</f>
        <v>-159.538005309341</v>
      </c>
      <c r="AI174" s="41">
        <f>P174/'1. Väestöennuste'!R174*1000</f>
        <v>-19.109187544237127</v>
      </c>
      <c r="AK174" s="41">
        <f>'6. Poistot'!Z174</f>
        <v>275.28617001313563</v>
      </c>
      <c r="AL174" s="41">
        <f>'6. Poistot'!AA174</f>
        <v>280.82191780821921</v>
      </c>
      <c r="AM174" s="41">
        <f>'6. Poistot'!AB174</f>
        <v>264.72757980266977</v>
      </c>
      <c r="AN174" s="41">
        <f>'6. Poistot'!AC174</f>
        <v>235.04601340694006</v>
      </c>
      <c r="AO174" s="41">
        <f>'6. Poistot'!AD174</f>
        <v>237.91649013290379</v>
      </c>
      <c r="AP174" s="41">
        <f>'6. Poistot'!AE174</f>
        <v>236.94996986136226</v>
      </c>
      <c r="AQ174" s="41">
        <f>'6. Poistot'!AF174</f>
        <v>244.54860403505197</v>
      </c>
      <c r="AR174" s="41">
        <f>'6. Poistot'!AG174</f>
        <v>247.93388429752068</v>
      </c>
      <c r="AS174" s="41">
        <f>'6. Poistot'!AH174</f>
        <v>259.36340215867699</v>
      </c>
      <c r="AT174" s="41">
        <f>'6. Poistot'!AI174</f>
        <v>271.04587681300279</v>
      </c>
      <c r="AV174" s="4">
        <f t="shared" si="46"/>
        <v>1</v>
      </c>
      <c r="AW174" s="4">
        <f t="shared" si="47"/>
        <v>0</v>
      </c>
      <c r="AX174" s="4">
        <f t="shared" si="48"/>
        <v>0</v>
      </c>
      <c r="AY174" s="4">
        <f t="shared" si="49"/>
        <v>1</v>
      </c>
      <c r="AZ174" s="4">
        <f t="shared" si="50"/>
        <v>1</v>
      </c>
      <c r="BA174" s="4">
        <f t="shared" si="51"/>
        <v>1</v>
      </c>
      <c r="BB174" s="4">
        <f t="shared" si="52"/>
        <v>1</v>
      </c>
      <c r="BC174" s="4">
        <f t="shared" si="53"/>
        <v>1</v>
      </c>
      <c r="BE174" s="405">
        <f t="shared" si="54"/>
        <v>0</v>
      </c>
      <c r="BF174" s="405">
        <f t="shared" si="55"/>
        <v>0</v>
      </c>
      <c r="BG174" s="405">
        <f t="shared" si="56"/>
        <v>0</v>
      </c>
      <c r="BH174" s="405">
        <f t="shared" si="57"/>
        <v>0</v>
      </c>
      <c r="BI174" s="405">
        <f t="shared" si="58"/>
        <v>0</v>
      </c>
      <c r="BJ174" s="405">
        <f t="shared" si="59"/>
        <v>0</v>
      </c>
      <c r="BK174" s="405">
        <f t="shared" si="60"/>
        <v>-1</v>
      </c>
      <c r="BL174" s="405">
        <f t="shared" si="61"/>
        <v>-1</v>
      </c>
      <c r="BM174" s="405">
        <f t="shared" si="62"/>
        <v>-1</v>
      </c>
      <c r="BN174" s="405">
        <f t="shared" si="62"/>
        <v>-1</v>
      </c>
    </row>
    <row r="175" spans="1:66" x14ac:dyDescent="0.2">
      <c r="A175" s="34">
        <v>535</v>
      </c>
      <c r="B175" s="88" t="s">
        <v>489</v>
      </c>
      <c r="C175" s="41" t="e">
        <f>'2. Toimintakate'!D175+'3. Verotulot'!G175+'4. Valtionosuudet'!#REF!+'5. Rahoitustuotot ja -kulut'!C175</f>
        <v>#REF!</v>
      </c>
      <c r="D175" s="41">
        <f>'2. Toimintakate'!E175+'4. Valtionosuudet'!H175+'3. Verotulot'!L175+'5. Rahoitustuotot ja -kulut'!D175</f>
        <v>3421</v>
      </c>
      <c r="E175" s="41">
        <f>'2. Toimintakate'!F175+'4. Valtionosuudet'!N175+'3. Verotulot'!Q175+'5. Rahoitustuotot ja -kulut'!E175</f>
        <v>4666</v>
      </c>
      <c r="F175" s="41">
        <f>'2. Toimintakate'!G175+'4. Valtionosuudet'!T175+'3. Verotulot'!V175+'5. Rahoitustuotot ja -kulut'!F175</f>
        <v>1869</v>
      </c>
      <c r="G175" s="41">
        <f>'2. Toimintakate'!H175+'3. Verotulot'!AA175+'4. Valtionosuudet'!Z175+'5. Rahoitustuotot ja -kulut'!G175</f>
        <v>1718</v>
      </c>
      <c r="H175" s="41">
        <f>Käyttökate!H175+'5. Rahoitustuotot ja -kulut'!H175</f>
        <v>6193.0968402872895</v>
      </c>
      <c r="I175" s="41">
        <f>Käyttökate!I175+'5. Rahoitustuotot ja -kulut'!I175</f>
        <v>5186.4503106041466</v>
      </c>
      <c r="J175" s="41">
        <f>Käyttökate!J175+'5. Rahoitustuotot ja -kulut'!J175</f>
        <v>2033.6885339728519</v>
      </c>
      <c r="K175" s="41">
        <f>Käyttökate!K175+'5. Rahoitustuotot ja -kulut'!K175</f>
        <v>3647.3252114705338</v>
      </c>
      <c r="L175" s="41">
        <f>Käyttökate!L175+'5. Rahoitustuotot ja -kulut'!L175</f>
        <v>2059.8616717689706</v>
      </c>
      <c r="M175" s="41">
        <f>Käyttökate!M175+'5. Rahoitustuotot ja -kulut'!M175</f>
        <v>1709.3537533842964</v>
      </c>
      <c r="N175" s="41">
        <f>Käyttökate!N175+'5. Rahoitustuotot ja -kulut'!N175</f>
        <v>2651.4814167588011</v>
      </c>
      <c r="O175" s="41">
        <f>Käyttökate!O175+'5. Rahoitustuotot ja -kulut'!O175</f>
        <v>2960.5350197830339</v>
      </c>
      <c r="P175" s="41">
        <f>Käyttökate!P175+'5. Rahoitustuotot ja -kulut'!P175</f>
        <v>4416.4844561527079</v>
      </c>
      <c r="T175" s="34">
        <v>535</v>
      </c>
      <c r="U175" s="88" t="s">
        <v>489</v>
      </c>
      <c r="V175" s="41" t="e">
        <f>C175/'1. Väestöennuste'!E175*1000</f>
        <v>#REF!</v>
      </c>
      <c r="W175" s="41">
        <f>D175/'1. Väestöennuste'!F175*1000</f>
        <v>314.17026356873913</v>
      </c>
      <c r="X175" s="41">
        <f>E175/'1. Väestöennuste'!G175*1000</f>
        <v>431.43781784558485</v>
      </c>
      <c r="Y175" s="41">
        <f>F175/'1. Väestöennuste'!H175*1000</f>
        <v>174.07096954456551</v>
      </c>
      <c r="Z175" s="41">
        <f>G175/'1. Väestöennuste'!I175*1000</f>
        <v>161.48134223141273</v>
      </c>
      <c r="AA175" s="41">
        <f>H175/'1. Väestöennuste'!J175*1000</f>
        <v>589.8187466940276</v>
      </c>
      <c r="AB175" s="41">
        <f>I175/'1. Väestöennuste'!K175*1000</f>
        <v>498.88902564487751</v>
      </c>
      <c r="AC175" s="41">
        <f>J175/'1. Väestöennuste'!L175*1000</f>
        <v>195.19037661703157</v>
      </c>
      <c r="AD175" s="41">
        <f>K175/'1. Väestöennuste'!M175*1000</f>
        <v>348.89278854701871</v>
      </c>
      <c r="AE175" s="41">
        <f>L175/'1. Väestöennuste'!N175*1000</f>
        <v>204.69657873089244</v>
      </c>
      <c r="AF175" s="41">
        <f>M175/'1. Väestöennuste'!O175*1000</f>
        <v>171.67357169672556</v>
      </c>
      <c r="AG175" s="41">
        <f>N175/'1. Väestöennuste'!P175*1000</f>
        <v>269.26794117587093</v>
      </c>
      <c r="AH175" s="41">
        <f>O175/'1. Väestöennuste'!Q175*1000</f>
        <v>304.05001743689371</v>
      </c>
      <c r="AI175" s="41">
        <f>P175/'1. Väestöennuste'!R175*1000</f>
        <v>458.6649139217684</v>
      </c>
      <c r="AK175" s="41">
        <f>'6. Poistot'!Z175</f>
        <v>215.62176896324843</v>
      </c>
      <c r="AL175" s="41">
        <f>'6. Poistot'!AA175</f>
        <v>223.42857142857142</v>
      </c>
      <c r="AM175" s="41">
        <f>'6. Poistot'!AB175</f>
        <v>272.4297922277799</v>
      </c>
      <c r="AN175" s="41">
        <f>'6. Poistot'!AC175</f>
        <v>263.22820232267975</v>
      </c>
      <c r="AO175" s="41">
        <f>'6. Poistot'!AD175</f>
        <v>280.4644882341687</v>
      </c>
      <c r="AP175" s="41">
        <f>'6. Poistot'!AE175</f>
        <v>284.68120838716089</v>
      </c>
      <c r="AQ175" s="41">
        <f>'6. Poistot'!AF175</f>
        <v>290.91202169328113</v>
      </c>
      <c r="AR175" s="41">
        <f>'6. Poistot'!AG175</f>
        <v>296.25347821671579</v>
      </c>
      <c r="AS175" s="41">
        <f>'6. Poistot'!AH175</f>
        <v>309.26729248273068</v>
      </c>
      <c r="AT175" s="41">
        <f>'6. Poistot'!AI175</f>
        <v>322.51150210911794</v>
      </c>
      <c r="AV175" s="4">
        <f t="shared" si="46"/>
        <v>0</v>
      </c>
      <c r="AW175" s="4">
        <f t="shared" si="47"/>
        <v>1</v>
      </c>
      <c r="AX175" s="4">
        <f t="shared" si="48"/>
        <v>0</v>
      </c>
      <c r="AY175" s="4">
        <f t="shared" si="49"/>
        <v>1</v>
      </c>
      <c r="AZ175" s="4">
        <f t="shared" si="50"/>
        <v>1</v>
      </c>
      <c r="BA175" s="4">
        <f t="shared" si="51"/>
        <v>1</v>
      </c>
      <c r="BB175" s="4">
        <f t="shared" si="52"/>
        <v>1</v>
      </c>
      <c r="BC175" s="4">
        <f t="shared" si="53"/>
        <v>0</v>
      </c>
      <c r="BE175" s="405">
        <f t="shared" si="54"/>
        <v>0</v>
      </c>
      <c r="BF175" s="405">
        <f t="shared" si="55"/>
        <v>0</v>
      </c>
      <c r="BG175" s="405">
        <f t="shared" si="56"/>
        <v>0</v>
      </c>
      <c r="BH175" s="405">
        <f t="shared" si="57"/>
        <v>0</v>
      </c>
      <c r="BI175" s="405">
        <f t="shared" si="58"/>
        <v>0</v>
      </c>
      <c r="BJ175" s="405">
        <f t="shared" si="59"/>
        <v>0</v>
      </c>
      <c r="BK175" s="405">
        <f t="shared" si="60"/>
        <v>0</v>
      </c>
      <c r="BL175" s="405">
        <f t="shared" si="61"/>
        <v>0</v>
      </c>
      <c r="BM175" s="405">
        <f t="shared" si="62"/>
        <v>0</v>
      </c>
      <c r="BN175" s="405">
        <f t="shared" si="62"/>
        <v>0</v>
      </c>
    </row>
    <row r="176" spans="1:66" x14ac:dyDescent="0.2">
      <c r="A176" s="34">
        <v>536</v>
      </c>
      <c r="B176" s="88" t="s">
        <v>490</v>
      </c>
      <c r="C176" s="41" t="e">
        <f>'2. Toimintakate'!D176+'3. Verotulot'!G176+'4. Valtionosuudet'!#REF!+'5. Rahoitustuotot ja -kulut'!C176</f>
        <v>#REF!</v>
      </c>
      <c r="D176" s="41">
        <f>'2. Toimintakate'!E176+'4. Valtionosuudet'!H176+'3. Verotulot'!L176+'5. Rahoitustuotot ja -kulut'!D176</f>
        <v>11773</v>
      </c>
      <c r="E176" s="41">
        <f>'2. Toimintakate'!F176+'4. Valtionosuudet'!N176+'3. Verotulot'!Q176+'5. Rahoitustuotot ja -kulut'!E176</f>
        <v>9501</v>
      </c>
      <c r="F176" s="41">
        <f>'2. Toimintakate'!G176+'4. Valtionosuudet'!T176+'3. Verotulot'!V176+'5. Rahoitustuotot ja -kulut'!F176</f>
        <v>12318</v>
      </c>
      <c r="G176" s="41">
        <f>'2. Toimintakate'!H176+'3. Verotulot'!AA176+'4. Valtionosuudet'!Z176+'5. Rahoitustuotot ja -kulut'!G176</f>
        <v>7586</v>
      </c>
      <c r="H176" s="41">
        <f>Käyttökate!H176+'5. Rahoitustuotot ja -kulut'!H176</f>
        <v>25533.293919266667</v>
      </c>
      <c r="I176" s="41">
        <f>Käyttökate!I176+'5. Rahoitustuotot ja -kulut'!I176</f>
        <v>20998.930974081042</v>
      </c>
      <c r="J176" s="41">
        <f>Käyttökate!J176+'5. Rahoitustuotot ja -kulut'!J176</f>
        <v>23856.11066839458</v>
      </c>
      <c r="K176" s="41">
        <f>Käyttökate!K176+'5. Rahoitustuotot ja -kulut'!K176</f>
        <v>25040.065496802643</v>
      </c>
      <c r="L176" s="41">
        <f>Käyttökate!L176+'5. Rahoitustuotot ja -kulut'!L176</f>
        <v>16389.589136459002</v>
      </c>
      <c r="M176" s="41">
        <f>Käyttökate!M176+'5. Rahoitustuotot ja -kulut'!M176</f>
        <v>13570.894961094977</v>
      </c>
      <c r="N176" s="41">
        <f>Käyttökate!N176+'5. Rahoitustuotot ja -kulut'!N176</f>
        <v>15321.376518755493</v>
      </c>
      <c r="O176" s="41">
        <f>Käyttökate!O176+'5. Rahoitustuotot ja -kulut'!O176</f>
        <v>15761.46613423795</v>
      </c>
      <c r="P176" s="41">
        <f>Käyttökate!P176+'5. Rahoitustuotot ja -kulut'!P176</f>
        <v>17692.600948504274</v>
      </c>
      <c r="T176" s="34">
        <v>536</v>
      </c>
      <c r="U176" s="88" t="s">
        <v>490</v>
      </c>
      <c r="V176" s="41" t="e">
        <f>C176/'1. Väestöennuste'!E176*1000</f>
        <v>#REF!</v>
      </c>
      <c r="W176" s="41">
        <f>D176/'1. Väestöennuste'!F176*1000</f>
        <v>354.50165612767239</v>
      </c>
      <c r="X176" s="41">
        <f>E176/'1. Väestöennuste'!G176*1000</f>
        <v>285.12694316067461</v>
      </c>
      <c r="Y176" s="41">
        <f>F176/'1. Väestöennuste'!H176*1000</f>
        <v>367.40537477257135</v>
      </c>
      <c r="Z176" s="41">
        <f>G176/'1. Väestöennuste'!I176*1000</f>
        <v>223.58454419523122</v>
      </c>
      <c r="AA176" s="41">
        <f>H176/'1. Väestöennuste'!J176*1000</f>
        <v>740.61068335267043</v>
      </c>
      <c r="AB176" s="41">
        <f>I176/'1. Väestöennuste'!K176*1000</f>
        <v>601.96453887401219</v>
      </c>
      <c r="AC176" s="41">
        <f>J176/'1. Väestöennuste'!L176*1000</f>
        <v>674.93098705354441</v>
      </c>
      <c r="AD176" s="41">
        <f>K176/'1. Väestöennuste'!M176*1000</f>
        <v>702.4452407440358</v>
      </c>
      <c r="AE176" s="41">
        <f>L176/'1. Väestöennuste'!N176*1000</f>
        <v>461.54855354714169</v>
      </c>
      <c r="AF176" s="41">
        <f>M176/'1. Väestöennuste'!O176*1000</f>
        <v>379.80730909000522</v>
      </c>
      <c r="AG176" s="41">
        <f>N176/'1. Väestöennuste'!P176*1000</f>
        <v>426.28057756261455</v>
      </c>
      <c r="AH176" s="41">
        <f>O176/'1. Väestöennuste'!Q176*1000</f>
        <v>436.13453981122746</v>
      </c>
      <c r="AI176" s="41">
        <f>P176/'1. Väestöennuste'!R176*1000</f>
        <v>487.10426046209665</v>
      </c>
      <c r="AK176" s="41">
        <f>'6. Poistot'!Z176</f>
        <v>395.67921247310562</v>
      </c>
      <c r="AL176" s="41">
        <f>'6. Poistot'!AA176</f>
        <v>342.26708434853231</v>
      </c>
      <c r="AM176" s="41">
        <f>'6. Poistot'!AB176</f>
        <v>365.67403480105492</v>
      </c>
      <c r="AN176" s="41">
        <f>'6. Poistot'!AC176</f>
        <v>385.44158065976347</v>
      </c>
      <c r="AO176" s="41">
        <f>'6. Poistot'!AD176</f>
        <v>405.64731842791821</v>
      </c>
      <c r="AP176" s="41">
        <f>'6. Poistot'!AE176</f>
        <v>430.37234581807945</v>
      </c>
      <c r="AQ176" s="41">
        <f>'6. Poistot'!AF176</f>
        <v>461.52027651059302</v>
      </c>
      <c r="AR176" s="41">
        <f>'6. Poistot'!AG176</f>
        <v>537.83273051026652</v>
      </c>
      <c r="AS176" s="41">
        <f>'6. Poistot'!AH176</f>
        <v>552.1602053306782</v>
      </c>
      <c r="AT176" s="41">
        <f>'6. Poistot'!AI176</f>
        <v>566.55061177497828</v>
      </c>
      <c r="AV176" s="4">
        <f t="shared" si="46"/>
        <v>0</v>
      </c>
      <c r="AW176" s="4">
        <f t="shared" si="47"/>
        <v>0</v>
      </c>
      <c r="AX176" s="4">
        <f t="shared" si="48"/>
        <v>0</v>
      </c>
      <c r="AY176" s="4">
        <f t="shared" si="49"/>
        <v>0</v>
      </c>
      <c r="AZ176" s="4">
        <f t="shared" si="50"/>
        <v>1</v>
      </c>
      <c r="BA176" s="4">
        <f t="shared" si="51"/>
        <v>1</v>
      </c>
      <c r="BB176" s="4">
        <f t="shared" si="52"/>
        <v>1</v>
      </c>
      <c r="BC176" s="4">
        <f t="shared" si="53"/>
        <v>1</v>
      </c>
      <c r="BE176" s="405">
        <f t="shared" si="54"/>
        <v>0</v>
      </c>
      <c r="BF176" s="405">
        <f t="shared" si="55"/>
        <v>0</v>
      </c>
      <c r="BG176" s="405">
        <f t="shared" si="56"/>
        <v>0</v>
      </c>
      <c r="BH176" s="405">
        <f t="shared" si="57"/>
        <v>0</v>
      </c>
      <c r="BI176" s="405">
        <f t="shared" si="58"/>
        <v>0</v>
      </c>
      <c r="BJ176" s="405">
        <f t="shared" si="59"/>
        <v>0</v>
      </c>
      <c r="BK176" s="405">
        <f t="shared" si="60"/>
        <v>0</v>
      </c>
      <c r="BL176" s="405">
        <f t="shared" si="61"/>
        <v>0</v>
      </c>
      <c r="BM176" s="405">
        <f t="shared" si="62"/>
        <v>0</v>
      </c>
      <c r="BN176" s="405">
        <f t="shared" si="62"/>
        <v>0</v>
      </c>
    </row>
    <row r="177" spans="1:66" x14ac:dyDescent="0.2">
      <c r="A177" s="34">
        <v>538</v>
      </c>
      <c r="B177" s="88" t="s">
        <v>491</v>
      </c>
      <c r="C177" s="41" t="e">
        <f>'2. Toimintakate'!D177+'3. Verotulot'!G177+'4. Valtionosuudet'!#REF!+'5. Rahoitustuotot ja -kulut'!C177</f>
        <v>#REF!</v>
      </c>
      <c r="D177" s="41">
        <f>'2. Toimintakate'!E177+'4. Valtionosuudet'!H177+'3. Verotulot'!L177+'5. Rahoitustuotot ja -kulut'!D177</f>
        <v>269</v>
      </c>
      <c r="E177" s="41">
        <f>'2. Toimintakate'!F177+'4. Valtionosuudet'!N177+'3. Verotulot'!Q177+'5. Rahoitustuotot ja -kulut'!E177</f>
        <v>1023</v>
      </c>
      <c r="F177" s="41">
        <f>'2. Toimintakate'!G177+'4. Valtionosuudet'!T177+'3. Verotulot'!V177+'5. Rahoitustuotot ja -kulut'!F177</f>
        <v>715</v>
      </c>
      <c r="G177" s="41">
        <f>'2. Toimintakate'!H177+'3. Verotulot'!AA177+'4. Valtionosuudet'!Z177+'5. Rahoitustuotot ja -kulut'!G177</f>
        <v>-529</v>
      </c>
      <c r="H177" s="41">
        <f>Käyttökate!H177+'5. Rahoitustuotot ja -kulut'!H177</f>
        <v>4024.2740148460889</v>
      </c>
      <c r="I177" s="41">
        <f>Käyttökate!I177+'5. Rahoitustuotot ja -kulut'!I177</f>
        <v>1542.0152852597353</v>
      </c>
      <c r="J177" s="41">
        <f>Käyttökate!J177+'5. Rahoitustuotot ja -kulut'!J177</f>
        <v>1305.8482114618196</v>
      </c>
      <c r="K177" s="41">
        <f>Käyttökate!K177+'5. Rahoitustuotot ja -kulut'!K177</f>
        <v>1336.071431032158</v>
      </c>
      <c r="L177" s="41">
        <f>Käyttökate!L177+'5. Rahoitustuotot ja -kulut'!L177</f>
        <v>1106.1259706488809</v>
      </c>
      <c r="M177" s="41">
        <f>Käyttökate!M177+'5. Rahoitustuotot ja -kulut'!M177</f>
        <v>-63.394600550529844</v>
      </c>
      <c r="N177" s="41">
        <f>Käyttökate!N177+'5. Rahoitustuotot ja -kulut'!N177</f>
        <v>-355.95567950517523</v>
      </c>
      <c r="O177" s="41">
        <f>Käyttökate!O177+'5. Rahoitustuotot ja -kulut'!O177</f>
        <v>-597.77670170405895</v>
      </c>
      <c r="P177" s="41">
        <f>Käyttökate!P177+'5. Rahoitustuotot ja -kulut'!P177</f>
        <v>-505.79731934895358</v>
      </c>
      <c r="T177" s="34">
        <v>538</v>
      </c>
      <c r="U177" s="88" t="s">
        <v>491</v>
      </c>
      <c r="V177" s="41" t="e">
        <f>C177/'1. Väestöennuste'!E177*1000</f>
        <v>#REF!</v>
      </c>
      <c r="W177" s="41">
        <f>D177/'1. Väestöennuste'!F177*1000</f>
        <v>55.867082035306332</v>
      </c>
      <c r="X177" s="41">
        <f>E177/'1. Väestöennuste'!G177*1000</f>
        <v>212.54934552254312</v>
      </c>
      <c r="Y177" s="41">
        <f>F177/'1. Väestöennuste'!H177*1000</f>
        <v>151.0669765476442</v>
      </c>
      <c r="Z177" s="41">
        <f>G177/'1. Väestöennuste'!I177*1000</f>
        <v>-112.19512195121952</v>
      </c>
      <c r="AA177" s="41">
        <f>H177/'1. Väestöennuste'!J177*1000</f>
        <v>857.50564987131656</v>
      </c>
      <c r="AB177" s="41">
        <f>I177/'1. Väestöennuste'!K177*1000</f>
        <v>328.85802628699832</v>
      </c>
      <c r="AC177" s="41">
        <f>J177/'1. Väestöennuste'!L177*1000</f>
        <v>281.19039867825575</v>
      </c>
      <c r="AD177" s="41">
        <f>K177/'1. Väestöennuste'!M177*1000</f>
        <v>284.57325474593353</v>
      </c>
      <c r="AE177" s="41">
        <f>L177/'1. Väestöennuste'!N177*1000</f>
        <v>239.78451564033836</v>
      </c>
      <c r="AF177" s="41">
        <f>M177/'1. Väestöennuste'!O177*1000</f>
        <v>-13.790428660110907</v>
      </c>
      <c r="AG177" s="41">
        <f>N177/'1. Väestöennuste'!P177*1000</f>
        <v>-77.702615041513909</v>
      </c>
      <c r="AH177" s="41">
        <f>O177/'1. Väestöennuste'!Q177*1000</f>
        <v>-130.89045362471182</v>
      </c>
      <c r="AI177" s="41">
        <f>P177/'1. Väestöennuste'!R177*1000</f>
        <v>-111.06660503929591</v>
      </c>
      <c r="AK177" s="41">
        <f>'6. Poistot'!Z177</f>
        <v>223.54188759278898</v>
      </c>
      <c r="AL177" s="41">
        <f>'6. Poistot'!AA177</f>
        <v>175.58065203494567</v>
      </c>
      <c r="AM177" s="41">
        <f>'6. Poistot'!AB177</f>
        <v>346.62257837492007</v>
      </c>
      <c r="AN177" s="41">
        <f>'6. Poistot'!AC177</f>
        <v>326.10241602067185</v>
      </c>
      <c r="AO177" s="41">
        <f>'6. Poistot'!AD177</f>
        <v>446.99857294994666</v>
      </c>
      <c r="AP177" s="41">
        <f>'6. Poistot'!AE177</f>
        <v>393.94407110340342</v>
      </c>
      <c r="AQ177" s="41">
        <f>'6. Poistot'!AF177</f>
        <v>350.73243419621491</v>
      </c>
      <c r="AR177" s="41">
        <f>'6. Poistot'!AG177</f>
        <v>364.69526304300376</v>
      </c>
      <c r="AS177" s="41">
        <f>'6. Poistot'!AH177</f>
        <v>377.6166794328264</v>
      </c>
      <c r="AT177" s="41">
        <f>'6. Poistot'!AI177</f>
        <v>390.53178523044261</v>
      </c>
      <c r="AV177" s="4">
        <f t="shared" si="46"/>
        <v>1</v>
      </c>
      <c r="AW177" s="4">
        <f t="shared" si="47"/>
        <v>1</v>
      </c>
      <c r="AX177" s="4">
        <f t="shared" si="48"/>
        <v>1</v>
      </c>
      <c r="AY177" s="4">
        <f t="shared" si="49"/>
        <v>1</v>
      </c>
      <c r="AZ177" s="4">
        <f t="shared" si="50"/>
        <v>1</v>
      </c>
      <c r="BA177" s="4">
        <f t="shared" si="51"/>
        <v>1</v>
      </c>
      <c r="BB177" s="4">
        <f t="shared" si="52"/>
        <v>1</v>
      </c>
      <c r="BC177" s="4">
        <f t="shared" si="53"/>
        <v>1</v>
      </c>
      <c r="BE177" s="405">
        <f t="shared" si="54"/>
        <v>-1</v>
      </c>
      <c r="BF177" s="405">
        <f t="shared" si="55"/>
        <v>0</v>
      </c>
      <c r="BG177" s="405">
        <f t="shared" si="56"/>
        <v>0</v>
      </c>
      <c r="BH177" s="405">
        <f t="shared" si="57"/>
        <v>0</v>
      </c>
      <c r="BI177" s="405">
        <f t="shared" si="58"/>
        <v>0</v>
      </c>
      <c r="BJ177" s="405">
        <f t="shared" si="59"/>
        <v>0</v>
      </c>
      <c r="BK177" s="405">
        <f t="shared" si="60"/>
        <v>-1</v>
      </c>
      <c r="BL177" s="405">
        <f t="shared" si="61"/>
        <v>-1</v>
      </c>
      <c r="BM177" s="405">
        <f t="shared" si="62"/>
        <v>-1</v>
      </c>
      <c r="BN177" s="405">
        <f t="shared" si="62"/>
        <v>-1</v>
      </c>
    </row>
    <row r="178" spans="1:66" x14ac:dyDescent="0.2">
      <c r="A178" s="34">
        <v>541</v>
      </c>
      <c r="B178" s="88" t="s">
        <v>492</v>
      </c>
      <c r="C178" s="41" t="e">
        <f>'2. Toimintakate'!D178+'3. Verotulot'!G178+'4. Valtionosuudet'!#REF!+'5. Rahoitustuotot ja -kulut'!C178</f>
        <v>#REF!</v>
      </c>
      <c r="D178" s="41">
        <f>'2. Toimintakate'!E178+'4. Valtionosuudet'!H178+'3. Verotulot'!L178+'5. Rahoitustuotot ja -kulut'!D178</f>
        <v>4459</v>
      </c>
      <c r="E178" s="41">
        <f>'2. Toimintakate'!F178+'4. Valtionosuudet'!N178+'3. Verotulot'!Q178+'5. Rahoitustuotot ja -kulut'!E178</f>
        <v>7169</v>
      </c>
      <c r="F178" s="41">
        <f>'2. Toimintakate'!G178+'4. Valtionosuudet'!T178+'3. Verotulot'!V178+'5. Rahoitustuotot ja -kulut'!F178</f>
        <v>6812</v>
      </c>
      <c r="G178" s="41">
        <f>'2. Toimintakate'!H178+'3. Verotulot'!AA178+'4. Valtionosuudet'!Z178+'5. Rahoitustuotot ja -kulut'!G178</f>
        <v>3673</v>
      </c>
      <c r="H178" s="41">
        <f>Käyttökate!H178+'5. Rahoitustuotot ja -kulut'!H178</f>
        <v>7997.628149554941</v>
      </c>
      <c r="I178" s="41">
        <f>Käyttökate!I178+'5. Rahoitustuotot ja -kulut'!I178</f>
        <v>4863.7903216252935</v>
      </c>
      <c r="J178" s="41">
        <f>Käyttökate!J178+'5. Rahoitustuotot ja -kulut'!J178</f>
        <v>3834.7830698449307</v>
      </c>
      <c r="K178" s="41">
        <f>Käyttökate!K178+'5. Rahoitustuotot ja -kulut'!K178</f>
        <v>6767.1599399167644</v>
      </c>
      <c r="L178" s="41">
        <f>Käyttökate!L178+'5. Rahoitustuotot ja -kulut'!L178</f>
        <v>4024.8251817607597</v>
      </c>
      <c r="M178" s="41">
        <f>Käyttökate!M178+'5. Rahoitustuotot ja -kulut'!M178</f>
        <v>2299.7705929695439</v>
      </c>
      <c r="N178" s="41">
        <f>Käyttökate!N178+'5. Rahoitustuotot ja -kulut'!N178</f>
        <v>2063.4082224375761</v>
      </c>
      <c r="O178" s="41">
        <f>Käyttökate!O178+'5. Rahoitustuotot ja -kulut'!O178</f>
        <v>1553.183145962807</v>
      </c>
      <c r="P178" s="41">
        <f>Käyttökate!P178+'5. Rahoitustuotot ja -kulut'!P178</f>
        <v>3137.3082884208493</v>
      </c>
      <c r="T178" s="34">
        <v>541</v>
      </c>
      <c r="U178" s="88" t="s">
        <v>492</v>
      </c>
      <c r="V178" s="41" t="e">
        <f>C178/'1. Väestöennuste'!E178*1000</f>
        <v>#REF!</v>
      </c>
      <c r="W178" s="41">
        <f>D178/'1. Väestöennuste'!F178*1000</f>
        <v>440.17769002961501</v>
      </c>
      <c r="X178" s="41">
        <f>E178/'1. Väestöennuste'!G178*1000</f>
        <v>718.12080536912742</v>
      </c>
      <c r="Y178" s="41">
        <f>F178/'1. Väestöennuste'!H178*1000</f>
        <v>696.23875715453801</v>
      </c>
      <c r="Z178" s="41">
        <f>G178/'1. Väestöennuste'!I178*1000</f>
        <v>384.52680067001677</v>
      </c>
      <c r="AA178" s="41">
        <f>H178/'1. Väestöennuste'!J178*1000</f>
        <v>841.76698763866341</v>
      </c>
      <c r="AB178" s="41">
        <f>I178/'1. Väestöennuste'!K178*1000</f>
        <v>516.16155381781732</v>
      </c>
      <c r="AC178" s="41">
        <f>J178/'1. Väestöennuste'!L178*1000</f>
        <v>414.88510979605434</v>
      </c>
      <c r="AD178" s="41">
        <f>K178/'1. Väestöennuste'!M178*1000</f>
        <v>741.2004315352425</v>
      </c>
      <c r="AE178" s="41">
        <f>L178/'1. Väestöennuste'!N178*1000</f>
        <v>452.94003846058519</v>
      </c>
      <c r="AF178" s="41">
        <f>M178/'1. Väestöennuste'!O178*1000</f>
        <v>262.95113114218435</v>
      </c>
      <c r="AG178" s="41">
        <f>N178/'1. Väestöennuste'!P178*1000</f>
        <v>239.54123780329419</v>
      </c>
      <c r="AH178" s="41">
        <f>O178/'1. Väestöennuste'!Q178*1000</f>
        <v>182.94265559043663</v>
      </c>
      <c r="AI178" s="41">
        <f>P178/'1. Väestöennuste'!R178*1000</f>
        <v>374.73820931926053</v>
      </c>
      <c r="AK178" s="41">
        <f>'6. Poistot'!Z178</f>
        <v>542.0854271356784</v>
      </c>
      <c r="AL178" s="41">
        <f>'6. Poistot'!AA178</f>
        <v>558.99379012735506</v>
      </c>
      <c r="AM178" s="41">
        <f>'6. Poistot'!AB178</f>
        <v>478.10567547490189</v>
      </c>
      <c r="AN178" s="41">
        <f>'6. Poistot'!AC178</f>
        <v>509.53889105268848</v>
      </c>
      <c r="AO178" s="41">
        <f>'6. Poistot'!AD178</f>
        <v>645.74519824753565</v>
      </c>
      <c r="AP178" s="41">
        <f>'6. Poistot'!AE178</f>
        <v>524.18410983569652</v>
      </c>
      <c r="AQ178" s="41">
        <f>'6. Poistot'!AF178</f>
        <v>530.83695403613069</v>
      </c>
      <c r="AR178" s="41">
        <f>'6. Poistot'!AG178</f>
        <v>503.6684467146506</v>
      </c>
      <c r="AS178" s="41">
        <f>'6. Poistot'!AH178</f>
        <v>527.51363313197066</v>
      </c>
      <c r="AT178" s="41">
        <f>'6. Poistot'!AI178</f>
        <v>551.67002993082417</v>
      </c>
      <c r="AV178" s="4">
        <f t="shared" si="46"/>
        <v>0</v>
      </c>
      <c r="AW178" s="4">
        <f t="shared" si="47"/>
        <v>1</v>
      </c>
      <c r="AX178" s="4">
        <f t="shared" si="48"/>
        <v>0</v>
      </c>
      <c r="AY178" s="4">
        <f t="shared" si="49"/>
        <v>1</v>
      </c>
      <c r="AZ178" s="4">
        <f t="shared" si="50"/>
        <v>1</v>
      </c>
      <c r="BA178" s="4">
        <f t="shared" si="51"/>
        <v>1</v>
      </c>
      <c r="BB178" s="4">
        <f t="shared" si="52"/>
        <v>1</v>
      </c>
      <c r="BC178" s="4">
        <f t="shared" si="53"/>
        <v>1</v>
      </c>
      <c r="BE178" s="405">
        <f t="shared" si="54"/>
        <v>0</v>
      </c>
      <c r="BF178" s="405">
        <f t="shared" si="55"/>
        <v>0</v>
      </c>
      <c r="BG178" s="405">
        <f t="shared" si="56"/>
        <v>0</v>
      </c>
      <c r="BH178" s="405">
        <f t="shared" si="57"/>
        <v>0</v>
      </c>
      <c r="BI178" s="405">
        <f t="shared" si="58"/>
        <v>0</v>
      </c>
      <c r="BJ178" s="405">
        <f t="shared" si="59"/>
        <v>0</v>
      </c>
      <c r="BK178" s="405">
        <f t="shared" si="60"/>
        <v>0</v>
      </c>
      <c r="BL178" s="405">
        <f t="shared" si="61"/>
        <v>0</v>
      </c>
      <c r="BM178" s="405">
        <f t="shared" si="62"/>
        <v>0</v>
      </c>
      <c r="BN178" s="405">
        <f t="shared" si="62"/>
        <v>0</v>
      </c>
    </row>
    <row r="179" spans="1:66" x14ac:dyDescent="0.2">
      <c r="A179" s="34">
        <v>543</v>
      </c>
      <c r="B179" s="88" t="s">
        <v>493</v>
      </c>
      <c r="C179" s="41" t="e">
        <f>'2. Toimintakate'!D179+'3. Verotulot'!G179+'4. Valtionosuudet'!#REF!+'5. Rahoitustuotot ja -kulut'!C179</f>
        <v>#REF!</v>
      </c>
      <c r="D179" s="41">
        <f>'2. Toimintakate'!E179+'4. Valtionosuudet'!H179+'3. Verotulot'!L179+'5. Rahoitustuotot ja -kulut'!D179</f>
        <v>20682</v>
      </c>
      <c r="E179" s="41">
        <f>'2. Toimintakate'!F179+'4. Valtionosuudet'!N179+'3. Verotulot'!Q179+'5. Rahoitustuotot ja -kulut'!E179</f>
        <v>20512</v>
      </c>
      <c r="F179" s="41">
        <f>'2. Toimintakate'!G179+'4. Valtionosuudet'!T179+'3. Verotulot'!V179+'5. Rahoitustuotot ja -kulut'!F179</f>
        <v>6748</v>
      </c>
      <c r="G179" s="41">
        <f>'2. Toimintakate'!H179+'3. Verotulot'!AA179+'4. Valtionosuudet'!Z179+'5. Rahoitustuotot ja -kulut'!G179</f>
        <v>2283</v>
      </c>
      <c r="H179" s="41">
        <f>Käyttökate!H179+'5. Rahoitustuotot ja -kulut'!H179</f>
        <v>28303.453792031592</v>
      </c>
      <c r="I179" s="41">
        <f>Käyttökate!I179+'5. Rahoitustuotot ja -kulut'!I179</f>
        <v>35922.577557399323</v>
      </c>
      <c r="J179" s="41">
        <f>Käyttökate!J179+'5. Rahoitustuotot ja -kulut'!J179</f>
        <v>29152.952995996053</v>
      </c>
      <c r="K179" s="41">
        <f>Käyttökate!K179+'5. Rahoitustuotot ja -kulut'!K179</f>
        <v>49208.618727795249</v>
      </c>
      <c r="L179" s="41">
        <f>Käyttökate!L179+'5. Rahoitustuotot ja -kulut'!L179</f>
        <v>28837.927631814931</v>
      </c>
      <c r="M179" s="41">
        <f>Käyttökate!M179+'5. Rahoitustuotot ja -kulut'!M179</f>
        <v>38684.667107031106</v>
      </c>
      <c r="N179" s="41">
        <f>Käyttökate!N179+'5. Rahoitustuotot ja -kulut'!N179</f>
        <v>38116.101021735594</v>
      </c>
      <c r="O179" s="41">
        <f>Käyttökate!O179+'5. Rahoitustuotot ja -kulut'!O179</f>
        <v>38675.162233132956</v>
      </c>
      <c r="P179" s="41">
        <f>Käyttökate!P179+'5. Rahoitustuotot ja -kulut'!P179</f>
        <v>42326.068892239382</v>
      </c>
      <c r="T179" s="34">
        <v>543</v>
      </c>
      <c r="U179" s="88" t="s">
        <v>493</v>
      </c>
      <c r="V179" s="41" t="e">
        <f>C179/'1. Väestöennuste'!E179*1000</f>
        <v>#REF!</v>
      </c>
      <c r="W179" s="41">
        <f>D179/'1. Väestöennuste'!F179*1000</f>
        <v>492.31135443941918</v>
      </c>
      <c r="X179" s="41">
        <f>E179/'1. Väestöennuste'!G179*1000</f>
        <v>486.53905453165396</v>
      </c>
      <c r="Y179" s="41">
        <f>F179/'1. Väestöennuste'!H179*1000</f>
        <v>158.16242821985233</v>
      </c>
      <c r="Z179" s="41">
        <f>G179/'1. Väestöennuste'!I179*1000</f>
        <v>53.101667713348682</v>
      </c>
      <c r="AA179" s="41">
        <f>H179/'1. Väestöennuste'!J179*1000</f>
        <v>648.2251286451135</v>
      </c>
      <c r="AB179" s="41">
        <f>I179/'1. Väestöennuste'!K179*1000</f>
        <v>814.0725079293702</v>
      </c>
      <c r="AC179" s="41">
        <f>J179/'1. Väestöennuste'!L179*1000</f>
        <v>655.74144127032378</v>
      </c>
      <c r="AD179" s="41">
        <f>K179/'1. Väestöennuste'!M179*1000</f>
        <v>1098.7745612994361</v>
      </c>
      <c r="AE179" s="41">
        <f>L179/'1. Väestöennuste'!N179*1000</f>
        <v>638.74208451791742</v>
      </c>
      <c r="AF179" s="41">
        <f>M179/'1. Väestöennuste'!O179*1000</f>
        <v>850.43675490307567</v>
      </c>
      <c r="AG179" s="41">
        <f>N179/'1. Väestöennuste'!P179*1000</f>
        <v>831.86601967995625</v>
      </c>
      <c r="AH179" s="41">
        <f>O179/'1. Väestöennuste'!Q179*1000</f>
        <v>838.17698047620297</v>
      </c>
      <c r="AI179" s="41">
        <f>P179/'1. Väestöennuste'!R179*1000</f>
        <v>911.23746242630375</v>
      </c>
      <c r="AK179" s="41">
        <f>'6. Poistot'!Z179</f>
        <v>419.44037401437447</v>
      </c>
      <c r="AL179" s="41">
        <f>'6. Poistot'!AA179</f>
        <v>417.56177999679363</v>
      </c>
      <c r="AM179" s="41">
        <f>'6. Poistot'!AB179</f>
        <v>432.14735785346841</v>
      </c>
      <c r="AN179" s="41">
        <f>'6. Poistot'!AC179</f>
        <v>441.2676919789464</v>
      </c>
      <c r="AO179" s="41">
        <f>'6. Poistot'!AD179</f>
        <v>575.20485542034157</v>
      </c>
      <c r="AP179" s="41">
        <f>'6. Poistot'!AE179</f>
        <v>541.68511340480211</v>
      </c>
      <c r="AQ179" s="41">
        <f>'6. Poistot'!AF179</f>
        <v>558.95225114315861</v>
      </c>
      <c r="AR179" s="41">
        <f>'6. Poistot'!AG179</f>
        <v>598.33304233958972</v>
      </c>
      <c r="AS179" s="41">
        <f>'6. Poistot'!AH179</f>
        <v>613.32889195197606</v>
      </c>
      <c r="AT179" s="41">
        <f>'6. Poistot'!AI179</f>
        <v>628.31973702116625</v>
      </c>
      <c r="AV179" s="4">
        <f t="shared" si="46"/>
        <v>0</v>
      </c>
      <c r="AW179" s="4">
        <f t="shared" si="47"/>
        <v>0</v>
      </c>
      <c r="AX179" s="4">
        <f t="shared" si="48"/>
        <v>0</v>
      </c>
      <c r="AY179" s="4">
        <f t="shared" si="49"/>
        <v>0</v>
      </c>
      <c r="AZ179" s="4">
        <f t="shared" si="50"/>
        <v>0</v>
      </c>
      <c r="BA179" s="4">
        <f t="shared" si="51"/>
        <v>0</v>
      </c>
      <c r="BB179" s="4">
        <f t="shared" si="52"/>
        <v>0</v>
      </c>
      <c r="BC179" s="4">
        <f t="shared" si="53"/>
        <v>0</v>
      </c>
      <c r="BE179" s="405">
        <f t="shared" si="54"/>
        <v>0</v>
      </c>
      <c r="BF179" s="405">
        <f t="shared" si="55"/>
        <v>0</v>
      </c>
      <c r="BG179" s="405">
        <f t="shared" si="56"/>
        <v>0</v>
      </c>
      <c r="BH179" s="405">
        <f t="shared" si="57"/>
        <v>0</v>
      </c>
      <c r="BI179" s="405">
        <f t="shared" si="58"/>
        <v>0</v>
      </c>
      <c r="BJ179" s="405">
        <f t="shared" si="59"/>
        <v>0</v>
      </c>
      <c r="BK179" s="405">
        <f t="shared" si="60"/>
        <v>0</v>
      </c>
      <c r="BL179" s="405">
        <f t="shared" si="61"/>
        <v>0</v>
      </c>
      <c r="BM179" s="405">
        <f t="shared" si="62"/>
        <v>0</v>
      </c>
      <c r="BN179" s="405">
        <f t="shared" si="62"/>
        <v>0</v>
      </c>
    </row>
    <row r="180" spans="1:66" x14ac:dyDescent="0.2">
      <c r="A180" s="34">
        <v>545</v>
      </c>
      <c r="B180" s="88" t="s">
        <v>494</v>
      </c>
      <c r="C180" s="41" t="e">
        <f>'2. Toimintakate'!D180+'3. Verotulot'!G180+'4. Valtionosuudet'!#REF!+'5. Rahoitustuotot ja -kulut'!C180</f>
        <v>#REF!</v>
      </c>
      <c r="D180" s="41">
        <f>'2. Toimintakate'!E180+'4. Valtionosuudet'!H180+'3. Verotulot'!L180+'5. Rahoitustuotot ja -kulut'!D180</f>
        <v>6751</v>
      </c>
      <c r="E180" s="41">
        <f>'2. Toimintakate'!F180+'4. Valtionosuudet'!N180+'3. Verotulot'!Q180+'5. Rahoitustuotot ja -kulut'!E180</f>
        <v>8622</v>
      </c>
      <c r="F180" s="41">
        <f>'2. Toimintakate'!G180+'4. Valtionosuudet'!T180+'3. Verotulot'!V180+'5. Rahoitustuotot ja -kulut'!F180</f>
        <v>4702</v>
      </c>
      <c r="G180" s="41">
        <f>'2. Toimintakate'!H180+'3. Verotulot'!AA180+'4. Valtionosuudet'!Z180+'5. Rahoitustuotot ja -kulut'!G180</f>
        <v>4835</v>
      </c>
      <c r="H180" s="41">
        <f>Käyttökate!H180+'5. Rahoitustuotot ja -kulut'!H180</f>
        <v>8946.5952772706514</v>
      </c>
      <c r="I180" s="41">
        <f>Käyttökate!I180+'5. Rahoitustuotot ja -kulut'!I180</f>
        <v>11299.544043433098</v>
      </c>
      <c r="J180" s="41">
        <f>Käyttökate!J180+'5. Rahoitustuotot ja -kulut'!J180</f>
        <v>9835.4614462137979</v>
      </c>
      <c r="K180" s="41">
        <f>Käyttökate!K180+'5. Rahoitustuotot ja -kulut'!K180</f>
        <v>10689.880355391426</v>
      </c>
      <c r="L180" s="41">
        <f>Käyttökate!L180+'5. Rahoitustuotot ja -kulut'!L180</f>
        <v>9660.9137404003413</v>
      </c>
      <c r="M180" s="41">
        <f>Käyttökate!M180+'5. Rahoitustuotot ja -kulut'!M180</f>
        <v>10056.206585024174</v>
      </c>
      <c r="N180" s="41">
        <f>Käyttökate!N180+'5. Rahoitustuotot ja -kulut'!N180</f>
        <v>9351.8970221742602</v>
      </c>
      <c r="O180" s="41">
        <f>Käyttökate!O180+'5. Rahoitustuotot ja -kulut'!O180</f>
        <v>9851.2026025656105</v>
      </c>
      <c r="P180" s="41">
        <f>Käyttökate!P180+'5. Rahoitustuotot ja -kulut'!P180</f>
        <v>10448.595783824587</v>
      </c>
      <c r="T180" s="34">
        <v>545</v>
      </c>
      <c r="U180" s="88" t="s">
        <v>494</v>
      </c>
      <c r="V180" s="41" t="e">
        <f>C180/'1. Väestöennuste'!E180*1000</f>
        <v>#REF!</v>
      </c>
      <c r="W180" s="41">
        <f>D180/'1. Väestöennuste'!F180*1000</f>
        <v>715.22407034643493</v>
      </c>
      <c r="X180" s="41">
        <f>E180/'1. Väestöennuste'!G180*1000</f>
        <v>906.91069738087731</v>
      </c>
      <c r="Y180" s="41">
        <f>F180/'1. Väestöennuste'!H180*1000</f>
        <v>496.46288670678911</v>
      </c>
      <c r="Z180" s="41">
        <f>G180/'1. Väestöennuste'!I180*1000</f>
        <v>510.07490241586663</v>
      </c>
      <c r="AA180" s="41">
        <f>H180/'1. Väestöennuste'!J180*1000</f>
        <v>936.03214869958686</v>
      </c>
      <c r="AB180" s="41">
        <f>I180/'1. Väestöennuste'!K180*1000</f>
        <v>1181.7134536114934</v>
      </c>
      <c r="AC180" s="41">
        <f>J180/'1. Väestöennuste'!L180*1000</f>
        <v>1026.2376300306551</v>
      </c>
      <c r="AD180" s="41">
        <f>K180/'1. Väestöennuste'!M180*1000</f>
        <v>1111.0986753343132</v>
      </c>
      <c r="AE180" s="41">
        <f>L180/'1. Väestöennuste'!N180*1000</f>
        <v>1005.0888202663692</v>
      </c>
      <c r="AF180" s="41">
        <f>M180/'1. Väestöennuste'!O180*1000</f>
        <v>1045.126437853271</v>
      </c>
      <c r="AG180" s="41">
        <f>N180/'1. Väestöennuste'!P180*1000</f>
        <v>971.32291464211266</v>
      </c>
      <c r="AH180" s="41">
        <f>O180/'1. Väestöennuste'!Q180*1000</f>
        <v>1022.5454227284212</v>
      </c>
      <c r="AI180" s="41">
        <f>P180/'1. Väestöennuste'!R180*1000</f>
        <v>1084.104148560343</v>
      </c>
      <c r="AK180" s="41">
        <f>'6. Poistot'!Z180</f>
        <v>333.47399514716739</v>
      </c>
      <c r="AL180" s="41">
        <f>'6. Poistot'!AA180</f>
        <v>376.02008788449467</v>
      </c>
      <c r="AM180" s="41">
        <f>'6. Poistot'!AB180</f>
        <v>383.62096005019873</v>
      </c>
      <c r="AN180" s="41">
        <f>'6. Poistot'!AC180</f>
        <v>424.61043927378967</v>
      </c>
      <c r="AO180" s="41">
        <f>'6. Poistot'!AD180</f>
        <v>501.26195301943665</v>
      </c>
      <c r="AP180" s="41">
        <f>'6. Poistot'!AE180</f>
        <v>555.89305035372445</v>
      </c>
      <c r="AQ180" s="41">
        <f>'6. Poistot'!AF180</f>
        <v>602.7852837247973</v>
      </c>
      <c r="AR180" s="41">
        <f>'6. Poistot'!AG180</f>
        <v>643.95513086830078</v>
      </c>
      <c r="AS180" s="41">
        <f>'6. Poistot'!AH180</f>
        <v>664.31921441431518</v>
      </c>
      <c r="AT180" s="41">
        <f>'6. Poistot'!AI180</f>
        <v>684.80002317234107</v>
      </c>
      <c r="AV180" s="4">
        <f t="shared" si="46"/>
        <v>0</v>
      </c>
      <c r="AW180" s="4">
        <f t="shared" si="47"/>
        <v>0</v>
      </c>
      <c r="AX180" s="4">
        <f t="shared" si="48"/>
        <v>0</v>
      </c>
      <c r="AY180" s="4">
        <f t="shared" si="49"/>
        <v>0</v>
      </c>
      <c r="AZ180" s="4">
        <f t="shared" si="50"/>
        <v>0</v>
      </c>
      <c r="BA180" s="4">
        <f t="shared" si="51"/>
        <v>0</v>
      </c>
      <c r="BB180" s="4">
        <f t="shared" si="52"/>
        <v>0</v>
      </c>
      <c r="BC180" s="4">
        <f t="shared" si="53"/>
        <v>0</v>
      </c>
      <c r="BE180" s="405">
        <f t="shared" si="54"/>
        <v>0</v>
      </c>
      <c r="BF180" s="405">
        <f t="shared" si="55"/>
        <v>0</v>
      </c>
      <c r="BG180" s="405">
        <f t="shared" si="56"/>
        <v>0</v>
      </c>
      <c r="BH180" s="405">
        <f t="shared" si="57"/>
        <v>0</v>
      </c>
      <c r="BI180" s="405">
        <f t="shared" si="58"/>
        <v>0</v>
      </c>
      <c r="BJ180" s="405">
        <f t="shared" si="59"/>
        <v>0</v>
      </c>
      <c r="BK180" s="405">
        <f t="shared" si="60"/>
        <v>0</v>
      </c>
      <c r="BL180" s="405">
        <f t="shared" si="61"/>
        <v>0</v>
      </c>
      <c r="BM180" s="405">
        <f t="shared" si="62"/>
        <v>0</v>
      </c>
      <c r="BN180" s="405">
        <f t="shared" si="62"/>
        <v>0</v>
      </c>
    </row>
    <row r="181" spans="1:66" x14ac:dyDescent="0.2">
      <c r="A181" s="34">
        <v>560</v>
      </c>
      <c r="B181" s="88" t="s">
        <v>495</v>
      </c>
      <c r="C181" s="41" t="e">
        <f>'2. Toimintakate'!D181+'3. Verotulot'!G181+'4. Valtionosuudet'!#REF!+'5. Rahoitustuotot ja -kulut'!C181</f>
        <v>#REF!</v>
      </c>
      <c r="D181" s="41">
        <f>'2. Toimintakate'!E181+'4. Valtionosuudet'!H181+'3. Verotulot'!L181+'5. Rahoitustuotot ja -kulut'!D181</f>
        <v>5918</v>
      </c>
      <c r="E181" s="41">
        <f>'2. Toimintakate'!F181+'4. Valtionosuudet'!N181+'3. Verotulot'!Q181+'5. Rahoitustuotot ja -kulut'!E181</f>
        <v>5487</v>
      </c>
      <c r="F181" s="41">
        <f>'2. Toimintakate'!G181+'4. Valtionosuudet'!T181+'3. Verotulot'!V181+'5. Rahoitustuotot ja -kulut'!F181</f>
        <v>2494</v>
      </c>
      <c r="G181" s="41">
        <f>'2. Toimintakate'!H181+'3. Verotulot'!AA181+'4. Valtionosuudet'!Z181+'5. Rahoitustuotot ja -kulut'!G181</f>
        <v>975</v>
      </c>
      <c r="H181" s="41">
        <f>Käyttökate!H181+'5. Rahoitustuotot ja -kulut'!H181</f>
        <v>12201.490264428699</v>
      </c>
      <c r="I181" s="41">
        <f>Käyttökate!I181+'5. Rahoitustuotot ja -kulut'!I181</f>
        <v>8896.8498874593352</v>
      </c>
      <c r="J181" s="41">
        <f>Käyttökate!J181+'5. Rahoitustuotot ja -kulut'!J181</f>
        <v>5484.378710500524</v>
      </c>
      <c r="K181" s="41">
        <f>Käyttökate!K181+'5. Rahoitustuotot ja -kulut'!K181</f>
        <v>8695.6119545960573</v>
      </c>
      <c r="L181" s="41">
        <f>Käyttökate!L181+'5. Rahoitustuotot ja -kulut'!L181</f>
        <v>5170.279797091378</v>
      </c>
      <c r="M181" s="41">
        <f>Käyttökate!M181+'5. Rahoitustuotot ja -kulut'!M181</f>
        <v>3030.2799748722391</v>
      </c>
      <c r="N181" s="41">
        <f>Käyttökate!N181+'5. Rahoitustuotot ja -kulut'!N181</f>
        <v>2456.8943574991754</v>
      </c>
      <c r="O181" s="41">
        <f>Käyttökate!O181+'5. Rahoitustuotot ja -kulut'!O181</f>
        <v>2936.4935786416886</v>
      </c>
      <c r="P181" s="41">
        <f>Käyttökate!P181+'5. Rahoitustuotot ja -kulut'!P181</f>
        <v>4454.5109467086977</v>
      </c>
      <c r="T181" s="34">
        <v>560</v>
      </c>
      <c r="U181" s="88" t="s">
        <v>495</v>
      </c>
      <c r="V181" s="41" t="e">
        <f>C181/'1. Väestöennuste'!E181*1000</f>
        <v>#REF!</v>
      </c>
      <c r="W181" s="41">
        <f>D181/'1. Väestöennuste'!F181*1000</f>
        <v>363.53584372504457</v>
      </c>
      <c r="X181" s="41">
        <f>E181/'1. Väestöennuste'!G181*1000</f>
        <v>338.26521176253004</v>
      </c>
      <c r="Y181" s="41">
        <f>F181/'1. Väestöennuste'!H181*1000</f>
        <v>154.99347461313778</v>
      </c>
      <c r="Z181" s="41">
        <f>G181/'1. Väestöennuste'!I181*1000</f>
        <v>60.926076360682373</v>
      </c>
      <c r="AA181" s="41">
        <f>H181/'1. Väestöennuste'!J181*1000</f>
        <v>768.2590520355559</v>
      </c>
      <c r="AB181" s="41">
        <f>I181/'1. Väestöennuste'!K181*1000</f>
        <v>562.80679956093968</v>
      </c>
      <c r="AC181" s="41">
        <f>J181/'1. Väestöennuste'!L181*1000</f>
        <v>348.54647032097387</v>
      </c>
      <c r="AD181" s="41">
        <f>K181/'1. Väestöennuste'!M181*1000</f>
        <v>554.95640784964303</v>
      </c>
      <c r="AE181" s="41">
        <f>L181/'1. Väestöennuste'!N181*1000</f>
        <v>333.07220235079416</v>
      </c>
      <c r="AF181" s="41">
        <f>M181/'1. Väestöennuste'!O181*1000</f>
        <v>196.35067549227233</v>
      </c>
      <c r="AG181" s="41">
        <f>N181/'1. Väestöennuste'!P181*1000</f>
        <v>160.07912154672761</v>
      </c>
      <c r="AH181" s="41">
        <f>O181/'1. Väestöennuste'!Q181*1000</f>
        <v>192.3551407468681</v>
      </c>
      <c r="AI181" s="41">
        <f>P181/'1. Väestöennuste'!R181*1000</f>
        <v>293.36873990441899</v>
      </c>
      <c r="AK181" s="41">
        <f>'6. Poistot'!Z181</f>
        <v>290.82047116165722</v>
      </c>
      <c r="AL181" s="41">
        <f>'6. Poistot'!AA181</f>
        <v>384.33446669185241</v>
      </c>
      <c r="AM181" s="41">
        <f>'6. Poistot'!AB181</f>
        <v>343.1938290738866</v>
      </c>
      <c r="AN181" s="41">
        <f>'6. Poistot'!AC181</f>
        <v>390.43791293295197</v>
      </c>
      <c r="AO181" s="41">
        <f>'6. Poistot'!AD181</f>
        <v>534.50100261663158</v>
      </c>
      <c r="AP181" s="41">
        <f>'6. Poistot'!AE181</f>
        <v>435.48283192681822</v>
      </c>
      <c r="AQ181" s="41">
        <f>'6. Poistot'!AF181</f>
        <v>424.4152141514935</v>
      </c>
      <c r="AR181" s="41">
        <f>'6. Poistot'!AG181</f>
        <v>404.93875423507944</v>
      </c>
      <c r="AS181" s="41">
        <f>'6. Poistot'!AH181</f>
        <v>420.24992183783479</v>
      </c>
      <c r="AT181" s="41">
        <f>'6. Poistot'!AI181</f>
        <v>435.72646295790105</v>
      </c>
      <c r="AV181" s="4">
        <f t="shared" si="46"/>
        <v>0</v>
      </c>
      <c r="AW181" s="4">
        <f t="shared" si="47"/>
        <v>1</v>
      </c>
      <c r="AX181" s="4">
        <f t="shared" si="48"/>
        <v>0</v>
      </c>
      <c r="AY181" s="4">
        <f t="shared" si="49"/>
        <v>1</v>
      </c>
      <c r="AZ181" s="4">
        <f t="shared" si="50"/>
        <v>1</v>
      </c>
      <c r="BA181" s="4">
        <f t="shared" si="51"/>
        <v>1</v>
      </c>
      <c r="BB181" s="4">
        <f t="shared" si="52"/>
        <v>1</v>
      </c>
      <c r="BC181" s="4">
        <f t="shared" si="53"/>
        <v>1</v>
      </c>
      <c r="BE181" s="405">
        <f t="shared" si="54"/>
        <v>0</v>
      </c>
      <c r="BF181" s="405">
        <f t="shared" si="55"/>
        <v>0</v>
      </c>
      <c r="BG181" s="405">
        <f t="shared" si="56"/>
        <v>0</v>
      </c>
      <c r="BH181" s="405">
        <f t="shared" si="57"/>
        <v>0</v>
      </c>
      <c r="BI181" s="405">
        <f t="shared" si="58"/>
        <v>0</v>
      </c>
      <c r="BJ181" s="405">
        <f t="shared" si="59"/>
        <v>0</v>
      </c>
      <c r="BK181" s="405">
        <f t="shared" si="60"/>
        <v>0</v>
      </c>
      <c r="BL181" s="405">
        <f t="shared" si="61"/>
        <v>0</v>
      </c>
      <c r="BM181" s="405">
        <f t="shared" si="62"/>
        <v>0</v>
      </c>
      <c r="BN181" s="405">
        <f t="shared" si="62"/>
        <v>0</v>
      </c>
    </row>
    <row r="182" spans="1:66" x14ac:dyDescent="0.2">
      <c r="A182" s="34">
        <v>561</v>
      </c>
      <c r="B182" s="88" t="s">
        <v>496</v>
      </c>
      <c r="C182" s="41" t="e">
        <f>'2. Toimintakate'!D182+'3. Verotulot'!G182+'4. Valtionosuudet'!#REF!+'5. Rahoitustuotot ja -kulut'!C182</f>
        <v>#REF!</v>
      </c>
      <c r="D182" s="41">
        <f>'2. Toimintakate'!E182+'4. Valtionosuudet'!H182+'3. Verotulot'!L182+'5. Rahoitustuotot ja -kulut'!D182</f>
        <v>464</v>
      </c>
      <c r="E182" s="41">
        <f>'2. Toimintakate'!F182+'4. Valtionosuudet'!N182+'3. Verotulot'!Q182+'5. Rahoitustuotot ja -kulut'!E182</f>
        <v>11</v>
      </c>
      <c r="F182" s="41">
        <f>'2. Toimintakate'!G182+'4. Valtionosuudet'!T182+'3. Verotulot'!V182+'5. Rahoitustuotot ja -kulut'!F182</f>
        <v>-875</v>
      </c>
      <c r="G182" s="41">
        <f>'2. Toimintakate'!H182+'3. Verotulot'!AA182+'4. Valtionosuudet'!Z182+'5. Rahoitustuotot ja -kulut'!G182</f>
        <v>447</v>
      </c>
      <c r="H182" s="41">
        <f>Käyttökate!H182+'5. Rahoitustuotot ja -kulut'!H182</f>
        <v>1150.7431825936847</v>
      </c>
      <c r="I182" s="41">
        <f>Käyttökate!I182+'5. Rahoitustuotot ja -kulut'!I182</f>
        <v>977.21101226430449</v>
      </c>
      <c r="J182" s="41">
        <f>Käyttökate!J182+'5. Rahoitustuotot ja -kulut'!J182</f>
        <v>516.05276560770176</v>
      </c>
      <c r="K182" s="41">
        <f>Käyttökate!K182+'5. Rahoitustuotot ja -kulut'!K182</f>
        <v>539.22532121047323</v>
      </c>
      <c r="L182" s="41">
        <f>Käyttökate!L182+'5. Rahoitustuotot ja -kulut'!L182</f>
        <v>675.32868875098984</v>
      </c>
      <c r="M182" s="41">
        <f>Käyttökate!M182+'5. Rahoitustuotot ja -kulut'!M182</f>
        <v>336.01010356404981</v>
      </c>
      <c r="N182" s="41">
        <f>Käyttökate!N182+'5. Rahoitustuotot ja -kulut'!N182</f>
        <v>35.809405922374708</v>
      </c>
      <c r="O182" s="41">
        <f>Käyttökate!O182+'5. Rahoitustuotot ja -kulut'!O182</f>
        <v>112.30529725918495</v>
      </c>
      <c r="P182" s="41">
        <f>Käyttökate!P182+'5. Rahoitustuotot ja -kulut'!P182</f>
        <v>96.917362789906463</v>
      </c>
      <c r="T182" s="34">
        <v>561</v>
      </c>
      <c r="U182" s="88" t="s">
        <v>496</v>
      </c>
      <c r="V182" s="41" t="e">
        <f>C182/'1. Väestöennuste'!E182*1000</f>
        <v>#REF!</v>
      </c>
      <c r="W182" s="41">
        <f>D182/'1. Väestöennuste'!F182*1000</f>
        <v>340.42553191489361</v>
      </c>
      <c r="X182" s="41">
        <f>E182/'1. Väestöennuste'!G182*1000</f>
        <v>7.9594790159189577</v>
      </c>
      <c r="Y182" s="41">
        <f>F182/'1. Väestöennuste'!H182*1000</f>
        <v>-641.49560117302053</v>
      </c>
      <c r="Z182" s="41">
        <f>G182/'1. Väestöennuste'!I182*1000</f>
        <v>336.34311512415348</v>
      </c>
      <c r="AA182" s="41">
        <f>H182/'1. Väestöennuste'!J182*1000</f>
        <v>862.62607390830931</v>
      </c>
      <c r="AB182" s="41">
        <f>I182/'1. Väestöennuste'!K182*1000</f>
        <v>730.89828890374304</v>
      </c>
      <c r="AC182" s="41">
        <f>J182/'1. Väestöennuste'!L182*1000</f>
        <v>391.83960942118586</v>
      </c>
      <c r="AD182" s="41">
        <f>K182/'1. Väestöennuste'!M182*1000</f>
        <v>410.05727848705186</v>
      </c>
      <c r="AE182" s="41">
        <f>L182/'1. Väestöennuste'!N182*1000</f>
        <v>515.51808301602273</v>
      </c>
      <c r="AF182" s="41">
        <f>M182/'1. Väestöennuste'!O182*1000</f>
        <v>257.47900656249027</v>
      </c>
      <c r="AG182" s="41">
        <f>N182/'1. Väestöennuste'!P182*1000</f>
        <v>27.524524152478637</v>
      </c>
      <c r="AH182" s="41">
        <f>O182/'1. Väestöennuste'!Q182*1000</f>
        <v>86.521800661929859</v>
      </c>
      <c r="AI182" s="41">
        <f>P182/'1. Väestöennuste'!R182*1000</f>
        <v>74.839662386028152</v>
      </c>
      <c r="AK182" s="41">
        <f>'6. Poistot'!Z182</f>
        <v>333.33333333333331</v>
      </c>
      <c r="AL182" s="41">
        <f>'6. Poistot'!AA182</f>
        <v>314.84257871064472</v>
      </c>
      <c r="AM182" s="41">
        <f>'6. Poistot'!AB182</f>
        <v>329.7082797307404</v>
      </c>
      <c r="AN182" s="41">
        <f>'6. Poistot'!AC182</f>
        <v>343.77601366742601</v>
      </c>
      <c r="AO182" s="41">
        <f>'6. Poistot'!AD182</f>
        <v>369.30584790874519</v>
      </c>
      <c r="AP182" s="41">
        <f>'6. Poistot'!AE182</f>
        <v>398.16793893129773</v>
      </c>
      <c r="AQ182" s="41">
        <f>'6. Poistot'!AF182</f>
        <v>394.63601532567048</v>
      </c>
      <c r="AR182" s="41">
        <f>'6. Poistot'!AG182</f>
        <v>395.84934665641811</v>
      </c>
      <c r="AS182" s="41">
        <f>'6. Poistot'!AH182</f>
        <v>409.56638320850544</v>
      </c>
      <c r="AT182" s="41">
        <f>'6. Poistot'!AI182</f>
        <v>423.34697359789982</v>
      </c>
      <c r="AV182" s="4">
        <f t="shared" si="46"/>
        <v>0</v>
      </c>
      <c r="AW182" s="4">
        <f t="shared" si="47"/>
        <v>0</v>
      </c>
      <c r="AX182" s="4">
        <f t="shared" si="48"/>
        <v>0</v>
      </c>
      <c r="AY182" s="4">
        <f t="shared" si="49"/>
        <v>0</v>
      </c>
      <c r="AZ182" s="4">
        <f t="shared" si="50"/>
        <v>1</v>
      </c>
      <c r="BA182" s="4">
        <f t="shared" si="51"/>
        <v>1</v>
      </c>
      <c r="BB182" s="4">
        <f t="shared" si="52"/>
        <v>1</v>
      </c>
      <c r="BC182" s="4">
        <f t="shared" si="53"/>
        <v>1</v>
      </c>
      <c r="BE182" s="405">
        <f t="shared" si="54"/>
        <v>0</v>
      </c>
      <c r="BF182" s="405">
        <f t="shared" si="55"/>
        <v>0</v>
      </c>
      <c r="BG182" s="405">
        <f t="shared" si="56"/>
        <v>0</v>
      </c>
      <c r="BH182" s="405">
        <f t="shared" si="57"/>
        <v>0</v>
      </c>
      <c r="BI182" s="405">
        <f t="shared" si="58"/>
        <v>0</v>
      </c>
      <c r="BJ182" s="405">
        <f t="shared" si="59"/>
        <v>0</v>
      </c>
      <c r="BK182" s="405">
        <f t="shared" si="60"/>
        <v>0</v>
      </c>
      <c r="BL182" s="405">
        <f t="shared" si="61"/>
        <v>0</v>
      </c>
      <c r="BM182" s="405">
        <f t="shared" si="62"/>
        <v>0</v>
      </c>
      <c r="BN182" s="405">
        <f t="shared" si="62"/>
        <v>0</v>
      </c>
    </row>
    <row r="183" spans="1:66" x14ac:dyDescent="0.2">
      <c r="A183" s="34">
        <v>562</v>
      </c>
      <c r="B183" s="88" t="s">
        <v>497</v>
      </c>
      <c r="C183" s="41" t="e">
        <f>'2. Toimintakate'!D183+'3. Verotulot'!G183+'4. Valtionosuudet'!#REF!+'5. Rahoitustuotot ja -kulut'!C183</f>
        <v>#REF!</v>
      </c>
      <c r="D183" s="41">
        <f>'2. Toimintakate'!E183+'4. Valtionosuudet'!H183+'3. Verotulot'!L183+'5. Rahoitustuotot ja -kulut'!D183</f>
        <v>3090</v>
      </c>
      <c r="E183" s="41">
        <f>'2. Toimintakate'!F183+'4. Valtionosuudet'!N183+'3. Verotulot'!Q183+'5. Rahoitustuotot ja -kulut'!E183</f>
        <v>4734</v>
      </c>
      <c r="F183" s="41">
        <f>'2. Toimintakate'!G183+'4. Valtionosuudet'!T183+'3. Verotulot'!V183+'5. Rahoitustuotot ja -kulut'!F183</f>
        <v>1513</v>
      </c>
      <c r="G183" s="41">
        <f>'2. Toimintakate'!H183+'3. Verotulot'!AA183+'4. Valtionosuudet'!Z183+'5. Rahoitustuotot ja -kulut'!G183</f>
        <v>729</v>
      </c>
      <c r="H183" s="41">
        <f>Käyttökate!H183+'5. Rahoitustuotot ja -kulut'!H183</f>
        <v>5133.5307824693155</v>
      </c>
      <c r="I183" s="41">
        <f>Käyttökate!I183+'5. Rahoitustuotot ja -kulut'!I183</f>
        <v>2404.6042815170372</v>
      </c>
      <c r="J183" s="41">
        <f>Käyttökate!J183+'5. Rahoitustuotot ja -kulut'!J183</f>
        <v>4082.2445583333993</v>
      </c>
      <c r="K183" s="41">
        <f>Käyttökate!K183+'5. Rahoitustuotot ja -kulut'!K183</f>
        <v>4653.9115509019257</v>
      </c>
      <c r="L183" s="41">
        <f>Käyttökate!L183+'5. Rahoitustuotot ja -kulut'!L183</f>
        <v>1358.3841027951476</v>
      </c>
      <c r="M183" s="41">
        <f>Käyttökate!M183+'5. Rahoitustuotot ja -kulut'!M183</f>
        <v>1913.1900296706326</v>
      </c>
      <c r="N183" s="41">
        <f>Käyttökate!N183+'5. Rahoitustuotot ja -kulut'!N183</f>
        <v>2382.7114505248855</v>
      </c>
      <c r="O183" s="41">
        <f>Käyttökate!O183+'5. Rahoitustuotot ja -kulut'!O183</f>
        <v>2233.8415741368844</v>
      </c>
      <c r="P183" s="41">
        <f>Käyttökate!P183+'5. Rahoitustuotot ja -kulut'!P183</f>
        <v>3317.885814051645</v>
      </c>
      <c r="T183" s="34">
        <v>562</v>
      </c>
      <c r="U183" s="88" t="s">
        <v>497</v>
      </c>
      <c r="V183" s="41" t="e">
        <f>C183/'1. Väestöennuste'!E183*1000</f>
        <v>#REF!</v>
      </c>
      <c r="W183" s="41">
        <f>D183/'1. Väestöennuste'!F183*1000</f>
        <v>331.82989690721649</v>
      </c>
      <c r="X183" s="41">
        <f>E183/'1. Väestöennuste'!G183*1000</f>
        <v>509.85460420032314</v>
      </c>
      <c r="Y183" s="41">
        <f>F183/'1. Väestöennuste'!H183*1000</f>
        <v>164.08198676933085</v>
      </c>
      <c r="Z183" s="41">
        <f>G183/'1. Väestöennuste'!I183*1000</f>
        <v>79.602533304214887</v>
      </c>
      <c r="AA183" s="41">
        <f>H183/'1. Väestöennuste'!J183*1000</f>
        <v>569.88574405742838</v>
      </c>
      <c r="AB183" s="41">
        <f>I183/'1. Väestöennuste'!K183*1000</f>
        <v>267.8329562839204</v>
      </c>
      <c r="AC183" s="41">
        <f>J183/'1. Väestöennuste'!L183*1000</f>
        <v>456.8824351800111</v>
      </c>
      <c r="AD183" s="41">
        <f>K183/'1. Väestöennuste'!M183*1000</f>
        <v>526.5201437834512</v>
      </c>
      <c r="AE183" s="41">
        <f>L183/'1. Väestöennuste'!N183*1000</f>
        <v>156.44179463263245</v>
      </c>
      <c r="AF183" s="41">
        <f>M183/'1. Väestöennuste'!O183*1000</f>
        <v>222.12818177994109</v>
      </c>
      <c r="AG183" s="41">
        <f>N183/'1. Väestöennuste'!P183*1000</f>
        <v>278.84276776183566</v>
      </c>
      <c r="AH183" s="41">
        <f>O183/'1. Väestöennuste'!Q183*1000</f>
        <v>263.4247139312364</v>
      </c>
      <c r="AI183" s="41">
        <f>P183/'1. Väestöennuste'!R183*1000</f>
        <v>394.09500107514486</v>
      </c>
      <c r="AK183" s="41">
        <f>'6. Poistot'!Z183</f>
        <v>342.86962218825073</v>
      </c>
      <c r="AL183" s="41">
        <f>'6. Poistot'!AA183</f>
        <v>325.26642984014211</v>
      </c>
      <c r="AM183" s="41">
        <f>'6. Poistot'!AB183</f>
        <v>325.89409222543998</v>
      </c>
      <c r="AN183" s="41">
        <f>'6. Poistot'!AC183</f>
        <v>303.58988360380522</v>
      </c>
      <c r="AO183" s="41">
        <f>'6. Poistot'!AD183</f>
        <v>355.2545344495984</v>
      </c>
      <c r="AP183" s="41">
        <f>'6. Poistot'!AE183</f>
        <v>400.64033168259823</v>
      </c>
      <c r="AQ183" s="41">
        <f>'6. Poistot'!AF183</f>
        <v>412.03610820852202</v>
      </c>
      <c r="AR183" s="41">
        <f>'6. Poistot'!AG183</f>
        <v>404.94815681685196</v>
      </c>
      <c r="AS183" s="41">
        <f>'6. Poistot'!AH183</f>
        <v>421.21847140975888</v>
      </c>
      <c r="AT183" s="41">
        <f>'6. Poistot'!AI183</f>
        <v>437.53216238383538</v>
      </c>
      <c r="AV183" s="4">
        <f t="shared" si="46"/>
        <v>1</v>
      </c>
      <c r="AW183" s="4">
        <f t="shared" si="47"/>
        <v>0</v>
      </c>
      <c r="AX183" s="4">
        <f t="shared" si="48"/>
        <v>0</v>
      </c>
      <c r="AY183" s="4">
        <f t="shared" si="49"/>
        <v>1</v>
      </c>
      <c r="AZ183" s="4">
        <f t="shared" si="50"/>
        <v>1</v>
      </c>
      <c r="BA183" s="4">
        <f t="shared" si="51"/>
        <v>1</v>
      </c>
      <c r="BB183" s="4">
        <f t="shared" si="52"/>
        <v>1</v>
      </c>
      <c r="BC183" s="4">
        <f t="shared" si="53"/>
        <v>1</v>
      </c>
      <c r="BE183" s="405">
        <f t="shared" si="54"/>
        <v>0</v>
      </c>
      <c r="BF183" s="405">
        <f t="shared" si="55"/>
        <v>0</v>
      </c>
      <c r="BG183" s="405">
        <f t="shared" si="56"/>
        <v>0</v>
      </c>
      <c r="BH183" s="405">
        <f t="shared" si="57"/>
        <v>0</v>
      </c>
      <c r="BI183" s="405">
        <f t="shared" si="58"/>
        <v>0</v>
      </c>
      <c r="BJ183" s="405">
        <f t="shared" si="59"/>
        <v>0</v>
      </c>
      <c r="BK183" s="405">
        <f t="shared" si="60"/>
        <v>0</v>
      </c>
      <c r="BL183" s="405">
        <f t="shared" si="61"/>
        <v>0</v>
      </c>
      <c r="BM183" s="405">
        <f t="shared" si="62"/>
        <v>0</v>
      </c>
      <c r="BN183" s="405">
        <f t="shared" si="62"/>
        <v>0</v>
      </c>
    </row>
    <row r="184" spans="1:66" x14ac:dyDescent="0.2">
      <c r="A184" s="34">
        <v>563</v>
      </c>
      <c r="B184" s="88" t="s">
        <v>498</v>
      </c>
      <c r="C184" s="41" t="e">
        <f>'2. Toimintakate'!D184+'3. Verotulot'!G184+'4. Valtionosuudet'!#REF!+'5. Rahoitustuotot ja -kulut'!C184</f>
        <v>#REF!</v>
      </c>
      <c r="D184" s="41">
        <f>'2. Toimintakate'!E184+'4. Valtionosuudet'!H184+'3. Verotulot'!L184+'5. Rahoitustuotot ja -kulut'!D184</f>
        <v>2922</v>
      </c>
      <c r="E184" s="41">
        <f>'2. Toimintakate'!F184+'4. Valtionosuudet'!N184+'3. Verotulot'!Q184+'5. Rahoitustuotot ja -kulut'!E184</f>
        <v>2963</v>
      </c>
      <c r="F184" s="41">
        <f>'2. Toimintakate'!G184+'4. Valtionosuudet'!T184+'3. Verotulot'!V184+'5. Rahoitustuotot ja -kulut'!F184</f>
        <v>-20</v>
      </c>
      <c r="G184" s="41">
        <f>'2. Toimintakate'!H184+'3. Verotulot'!AA184+'4. Valtionosuudet'!Z184+'5. Rahoitustuotot ja -kulut'!G184</f>
        <v>897</v>
      </c>
      <c r="H184" s="41">
        <f>Käyttökate!H184+'5. Rahoitustuotot ja -kulut'!H184</f>
        <v>4712.5390686318788</v>
      </c>
      <c r="I184" s="41">
        <f>Käyttökate!I184+'5. Rahoitustuotot ja -kulut'!I184</f>
        <v>2465.387012298308</v>
      </c>
      <c r="J184" s="41">
        <f>Käyttökate!J184+'5. Rahoitustuotot ja -kulut'!J184</f>
        <v>-1411.2116530816647</v>
      </c>
      <c r="K184" s="41">
        <f>Käyttökate!K184+'5. Rahoitustuotot ja -kulut'!K184</f>
        <v>2881.8269580812394</v>
      </c>
      <c r="L184" s="41">
        <f>Käyttökate!L184+'5. Rahoitustuotot ja -kulut'!L184</f>
        <v>2010.0935058931084</v>
      </c>
      <c r="M184" s="41">
        <f>Käyttökate!M184+'5. Rahoitustuotot ja -kulut'!M184</f>
        <v>-832.8800124462623</v>
      </c>
      <c r="N184" s="41">
        <f>Käyttökate!N184+'5. Rahoitustuotot ja -kulut'!N184</f>
        <v>-570.36335287577185</v>
      </c>
      <c r="O184" s="41">
        <f>Käyttökate!O184+'5. Rahoitustuotot ja -kulut'!O184</f>
        <v>-367.44636610661337</v>
      </c>
      <c r="P184" s="41">
        <f>Käyttökate!P184+'5. Rahoitustuotot ja -kulut'!P184</f>
        <v>612.30380650133668</v>
      </c>
      <c r="T184" s="34">
        <v>563</v>
      </c>
      <c r="U184" s="88" t="s">
        <v>498</v>
      </c>
      <c r="V184" s="41" t="e">
        <f>C184/'1. Väestöennuste'!E184*1000</f>
        <v>#REF!</v>
      </c>
      <c r="W184" s="41">
        <f>D184/'1. Väestöennuste'!F184*1000</f>
        <v>388.87410167686988</v>
      </c>
      <c r="X184" s="41">
        <f>E184/'1. Väestöennuste'!G184*1000</f>
        <v>396.54710920770879</v>
      </c>
      <c r="Y184" s="41">
        <f>F184/'1. Väestöennuste'!H184*1000</f>
        <v>-2.6917900403768504</v>
      </c>
      <c r="Z184" s="41">
        <f>G184/'1. Väestöennuste'!I184*1000</f>
        <v>123.07903402854006</v>
      </c>
      <c r="AA184" s="41">
        <f>H184/'1. Väestöennuste'!J184*1000</f>
        <v>658.6357887675581</v>
      </c>
      <c r="AB184" s="41">
        <f>I184/'1. Väestöennuste'!K184*1000</f>
        <v>347.13982150074742</v>
      </c>
      <c r="AC184" s="41">
        <f>J184/'1. Väestöennuste'!L184*1000</f>
        <v>-200.88422107924055</v>
      </c>
      <c r="AD184" s="41">
        <f>K184/'1. Väestöennuste'!M184*1000</f>
        <v>412.98752623692167</v>
      </c>
      <c r="AE184" s="41">
        <f>L184/'1. Väestöennuste'!N184*1000</f>
        <v>294.64871091954097</v>
      </c>
      <c r="AF184" s="41">
        <f>M184/'1. Väestöennuste'!O184*1000</f>
        <v>-123.53604456337322</v>
      </c>
      <c r="AG184" s="41">
        <f>N184/'1. Väestöennuste'!P184*1000</f>
        <v>-85.601583802457128</v>
      </c>
      <c r="AH184" s="41">
        <f>O184/'1. Väestöennuste'!Q184*1000</f>
        <v>-55.79203858284442</v>
      </c>
      <c r="AI184" s="41">
        <f>P184/'1. Väestöennuste'!R184*1000</f>
        <v>94.012560494601047</v>
      </c>
      <c r="AK184" s="41">
        <f>'6. Poistot'!Z184</f>
        <v>325.19209659714596</v>
      </c>
      <c r="AL184" s="41">
        <f>'6. Poistot'!AA184</f>
        <v>330.95737246680648</v>
      </c>
      <c r="AM184" s="41">
        <f>'6. Poistot'!AB184</f>
        <v>359.60270768797523</v>
      </c>
      <c r="AN184" s="41">
        <f>'6. Poistot'!AC184</f>
        <v>383.49040996441278</v>
      </c>
      <c r="AO184" s="41">
        <f>'6. Poistot'!AD184</f>
        <v>399.73510891372882</v>
      </c>
      <c r="AP184" s="41">
        <f>'6. Poistot'!AE184</f>
        <v>423.92084432717672</v>
      </c>
      <c r="AQ184" s="41">
        <f>'6. Poistot'!AF184</f>
        <v>415.30703055473157</v>
      </c>
      <c r="AR184" s="41">
        <f>'6. Poistot'!AG184</f>
        <v>435.23938165991297</v>
      </c>
      <c r="AS184" s="41">
        <f>'6. Poistot'!AH184</f>
        <v>454.53574061880494</v>
      </c>
      <c r="AT184" s="41">
        <f>'6. Poistot'!AI184</f>
        <v>473.99735535558091</v>
      </c>
      <c r="AV184" s="4">
        <f t="shared" si="46"/>
        <v>1</v>
      </c>
      <c r="AW184" s="4">
        <f t="shared" si="47"/>
        <v>1</v>
      </c>
      <c r="AX184" s="4">
        <f t="shared" si="48"/>
        <v>0</v>
      </c>
      <c r="AY184" s="4">
        <f t="shared" si="49"/>
        <v>1</v>
      </c>
      <c r="AZ184" s="4">
        <f t="shared" si="50"/>
        <v>1</v>
      </c>
      <c r="BA184" s="4">
        <f t="shared" si="51"/>
        <v>1</v>
      </c>
      <c r="BB184" s="4">
        <f t="shared" si="52"/>
        <v>1</v>
      </c>
      <c r="BC184" s="4">
        <f t="shared" si="53"/>
        <v>1</v>
      </c>
      <c r="BE184" s="405">
        <f t="shared" si="54"/>
        <v>0</v>
      </c>
      <c r="BF184" s="405">
        <f t="shared" si="55"/>
        <v>0</v>
      </c>
      <c r="BG184" s="405">
        <f t="shared" si="56"/>
        <v>0</v>
      </c>
      <c r="BH184" s="405">
        <f t="shared" si="57"/>
        <v>-1</v>
      </c>
      <c r="BI184" s="405">
        <f t="shared" si="58"/>
        <v>0</v>
      </c>
      <c r="BJ184" s="405">
        <f t="shared" si="59"/>
        <v>0</v>
      </c>
      <c r="BK184" s="405">
        <f t="shared" si="60"/>
        <v>-1</v>
      </c>
      <c r="BL184" s="405">
        <f t="shared" si="61"/>
        <v>-1</v>
      </c>
      <c r="BM184" s="405">
        <f t="shared" si="62"/>
        <v>-1</v>
      </c>
      <c r="BN184" s="405">
        <f t="shared" si="62"/>
        <v>0</v>
      </c>
    </row>
    <row r="185" spans="1:66" x14ac:dyDescent="0.2">
      <c r="A185" s="34">
        <v>564</v>
      </c>
      <c r="B185" s="88" t="s">
        <v>499</v>
      </c>
      <c r="C185" s="41" t="e">
        <f>'2. Toimintakate'!D185+'3. Verotulot'!G185+'4. Valtionosuudet'!#REF!+'5. Rahoitustuotot ja -kulut'!C185</f>
        <v>#REF!</v>
      </c>
      <c r="D185" s="41">
        <f>'2. Toimintakate'!E185+'4. Valtionosuudet'!H185+'3. Verotulot'!L185+'5. Rahoitustuotot ja -kulut'!D185</f>
        <v>76266</v>
      </c>
      <c r="E185" s="41">
        <f>'2. Toimintakate'!F185+'4. Valtionosuudet'!N185+'3. Verotulot'!Q185+'5. Rahoitustuotot ja -kulut'!E185</f>
        <v>119163</v>
      </c>
      <c r="F185" s="41">
        <f>'2. Toimintakate'!G185+'4. Valtionosuudet'!T185+'3. Verotulot'!V185+'5. Rahoitustuotot ja -kulut'!F185</f>
        <v>57897</v>
      </c>
      <c r="G185" s="41">
        <f>'2. Toimintakate'!H185+'3. Verotulot'!AA185+'4. Valtionosuudet'!Z185+'5. Rahoitustuotot ja -kulut'!G185</f>
        <v>42886</v>
      </c>
      <c r="H185" s="41">
        <f>Käyttökate!H185+'5. Rahoitustuotot ja -kulut'!H185</f>
        <v>95556.374998799816</v>
      </c>
      <c r="I185" s="41">
        <f>Käyttökate!I185+'5. Rahoitustuotot ja -kulut'!I185</f>
        <v>122475.52796061995</v>
      </c>
      <c r="J185" s="41">
        <f>Käyttökate!J185+'5. Rahoitustuotot ja -kulut'!J185</f>
        <v>250473.3946528541</v>
      </c>
      <c r="K185" s="41">
        <f>Käyttökate!K185+'5. Rahoitustuotot ja -kulut'!K185</f>
        <v>98705.686221787124</v>
      </c>
      <c r="L185" s="41">
        <f>Käyttökate!L185+'5. Rahoitustuotot ja -kulut'!L185</f>
        <v>65407.56247775448</v>
      </c>
      <c r="M185" s="41">
        <f>Käyttökate!M185+'5. Rahoitustuotot ja -kulut'!M185</f>
        <v>16132.175583728538</v>
      </c>
      <c r="N185" s="41">
        <f>Käyttökate!N185+'5. Rahoitustuotot ja -kulut'!N185</f>
        <v>24295.60344961796</v>
      </c>
      <c r="O185" s="41">
        <f>Käyttökate!O185+'5. Rahoitustuotot ja -kulut'!O185</f>
        <v>27744.898824602096</v>
      </c>
      <c r="P185" s="41">
        <f>Käyttökate!P185+'5. Rahoitustuotot ja -kulut'!P185</f>
        <v>36433.028236121732</v>
      </c>
      <c r="T185" s="34">
        <v>564</v>
      </c>
      <c r="U185" s="88" t="s">
        <v>499</v>
      </c>
      <c r="V185" s="41" t="e">
        <f>C185/'1. Väestöennuste'!E185*1000</f>
        <v>#REF!</v>
      </c>
      <c r="W185" s="41">
        <f>D185/'1. Väestöennuste'!F185*1000</f>
        <v>380.32973280272881</v>
      </c>
      <c r="X185" s="41">
        <f>E185/'1. Väestöennuste'!G185*1000</f>
        <v>590.47123532035084</v>
      </c>
      <c r="Y185" s="41">
        <f>F185/'1. Väestöennuste'!H185*1000</f>
        <v>284.41250300883735</v>
      </c>
      <c r="Z185" s="41">
        <f>G185/'1. Väestöennuste'!I185*1000</f>
        <v>208.70216897254841</v>
      </c>
      <c r="AA185" s="41">
        <f>H185/'1. Väestöennuste'!J185*1000</f>
        <v>460.89691645950506</v>
      </c>
      <c r="AB185" s="41">
        <f>I185/'1. Väestöennuste'!K185*1000</f>
        <v>584.46644473478977</v>
      </c>
      <c r="AC185" s="41">
        <f>J185/'1. Väestöennuste'!L185*1000</f>
        <v>1182.3259820855242</v>
      </c>
      <c r="AD185" s="41">
        <f>K185/'1. Väestöennuste'!M185*1000</f>
        <v>459.88122153530503</v>
      </c>
      <c r="AE185" s="41">
        <f>L185/'1. Väestöennuste'!N185*1000</f>
        <v>304.36986657555775</v>
      </c>
      <c r="AF185" s="41">
        <f>M185/'1. Väestöennuste'!O185*1000</f>
        <v>74.513168917134507</v>
      </c>
      <c r="AG185" s="41">
        <f>N185/'1. Väestöennuste'!P185*1000</f>
        <v>111.43852090019155</v>
      </c>
      <c r="AH185" s="41">
        <f>O185/'1. Väestöennuste'!Q185*1000</f>
        <v>126.4200323722221</v>
      </c>
      <c r="AI185" s="41">
        <f>P185/'1. Väestöennuste'!R185*1000</f>
        <v>164.96954106744366</v>
      </c>
      <c r="AK185" s="41">
        <f>'6. Poistot'!Z185</f>
        <v>424.59207062178513</v>
      </c>
      <c r="AL185" s="41">
        <f>'6. Poistot'!AA185</f>
        <v>400.12154712121435</v>
      </c>
      <c r="AM185" s="41">
        <f>'6. Poistot'!AB185</f>
        <v>453.17421978420532</v>
      </c>
      <c r="AN185" s="41">
        <f>'6. Poistot'!AC185</f>
        <v>420.25110012839394</v>
      </c>
      <c r="AO185" s="41">
        <f>'6. Poistot'!AD185</f>
        <v>410.38114115723124</v>
      </c>
      <c r="AP185" s="41">
        <f>'6. Poistot'!AE185</f>
        <v>423.9702645478024</v>
      </c>
      <c r="AQ185" s="41">
        <f>'6. Poistot'!AF185</f>
        <v>431.80485540482493</v>
      </c>
      <c r="AR185" s="41">
        <f>'6. Poistot'!AG185</f>
        <v>440.22478419213093</v>
      </c>
      <c r="AS185" s="41">
        <f>'6. Poistot'!AH185</f>
        <v>451.43097890110914</v>
      </c>
      <c r="AT185" s="41">
        <f>'6. Poistot'!AI185</f>
        <v>462.63057877635481</v>
      </c>
      <c r="AV185" s="4">
        <f t="shared" si="46"/>
        <v>0</v>
      </c>
      <c r="AW185" s="4">
        <f t="shared" si="47"/>
        <v>0</v>
      </c>
      <c r="AX185" s="4">
        <f t="shared" si="48"/>
        <v>0</v>
      </c>
      <c r="AY185" s="4">
        <f t="shared" si="49"/>
        <v>1</v>
      </c>
      <c r="AZ185" s="4">
        <f t="shared" si="50"/>
        <v>1</v>
      </c>
      <c r="BA185" s="4">
        <f t="shared" si="51"/>
        <v>1</v>
      </c>
      <c r="BB185" s="4">
        <f t="shared" si="52"/>
        <v>1</v>
      </c>
      <c r="BC185" s="4">
        <f t="shared" si="53"/>
        <v>1</v>
      </c>
      <c r="BE185" s="405">
        <f t="shared" si="54"/>
        <v>0</v>
      </c>
      <c r="BF185" s="405">
        <f t="shared" si="55"/>
        <v>0</v>
      </c>
      <c r="BG185" s="405">
        <f t="shared" si="56"/>
        <v>0</v>
      </c>
      <c r="BH185" s="405">
        <f t="shared" si="57"/>
        <v>0</v>
      </c>
      <c r="BI185" s="405">
        <f t="shared" si="58"/>
        <v>0</v>
      </c>
      <c r="BJ185" s="405">
        <f t="shared" si="59"/>
        <v>0</v>
      </c>
      <c r="BK185" s="405">
        <f t="shared" si="60"/>
        <v>0</v>
      </c>
      <c r="BL185" s="405">
        <f t="shared" si="61"/>
        <v>0</v>
      </c>
      <c r="BM185" s="405">
        <f t="shared" si="62"/>
        <v>0</v>
      </c>
      <c r="BN185" s="405">
        <f t="shared" si="62"/>
        <v>0</v>
      </c>
    </row>
    <row r="186" spans="1:66" x14ac:dyDescent="0.2">
      <c r="A186" s="34">
        <v>576</v>
      </c>
      <c r="B186" s="88" t="s">
        <v>500</v>
      </c>
      <c r="C186" s="41" t="e">
        <f>'2. Toimintakate'!D186+'3. Verotulot'!G186+'4. Valtionosuudet'!#REF!+'5. Rahoitustuotot ja -kulut'!C186</f>
        <v>#REF!</v>
      </c>
      <c r="D186" s="41">
        <f>'2. Toimintakate'!E186+'4. Valtionosuudet'!H186+'3. Verotulot'!L186+'5. Rahoitustuotot ja -kulut'!D186</f>
        <v>1044</v>
      </c>
      <c r="E186" s="41">
        <f>'2. Toimintakate'!F186+'4. Valtionosuudet'!N186+'3. Verotulot'!Q186+'5. Rahoitustuotot ja -kulut'!E186</f>
        <v>2078</v>
      </c>
      <c r="F186" s="41">
        <f>'2. Toimintakate'!G186+'4. Valtionosuudet'!T186+'3. Verotulot'!V186+'5. Rahoitustuotot ja -kulut'!F186</f>
        <v>1128</v>
      </c>
      <c r="G186" s="41">
        <f>'2. Toimintakate'!H186+'3. Verotulot'!AA186+'4. Valtionosuudet'!Z186+'5. Rahoitustuotot ja -kulut'!G186</f>
        <v>923</v>
      </c>
      <c r="H186" s="41">
        <f>Käyttökate!H186+'5. Rahoitustuotot ja -kulut'!H186</f>
        <v>3448.4762212534388</v>
      </c>
      <c r="I186" s="41">
        <f>Käyttökate!I186+'5. Rahoitustuotot ja -kulut'!I186</f>
        <v>2264.7569707483308</v>
      </c>
      <c r="J186" s="41">
        <f>Käyttökate!J186+'5. Rahoitustuotot ja -kulut'!J186</f>
        <v>2722.9382212124574</v>
      </c>
      <c r="K186" s="41">
        <f>Käyttökate!K186+'5. Rahoitustuotot ja -kulut'!K186</f>
        <v>1337.1440086967832</v>
      </c>
      <c r="L186" s="41">
        <f>Käyttökate!L186+'5. Rahoitustuotot ja -kulut'!L186</f>
        <v>1183.4908518348916</v>
      </c>
      <c r="M186" s="41">
        <f>Käyttökate!M186+'5. Rahoitustuotot ja -kulut'!M186</f>
        <v>514.93941191380281</v>
      </c>
      <c r="N186" s="41">
        <f>Käyttökate!N186+'5. Rahoitustuotot ja -kulut'!N186</f>
        <v>441.9544941037725</v>
      </c>
      <c r="O186" s="41">
        <f>Käyttökate!O186+'5. Rahoitustuotot ja -kulut'!O186</f>
        <v>323.51560215348513</v>
      </c>
      <c r="P186" s="41">
        <f>Käyttökate!P186+'5. Rahoitustuotot ja -kulut'!P186</f>
        <v>624.81953843498172</v>
      </c>
      <c r="T186" s="34">
        <v>576</v>
      </c>
      <c r="U186" s="88" t="s">
        <v>500</v>
      </c>
      <c r="V186" s="41" t="e">
        <f>C186/'1. Väestöennuste'!E186*1000</f>
        <v>#REF!</v>
      </c>
      <c r="W186" s="41">
        <f>D186/'1. Väestöennuste'!F186*1000</f>
        <v>339.73315977871789</v>
      </c>
      <c r="X186" s="41">
        <f>E186/'1. Väestöennuste'!G186*1000</f>
        <v>686.48827221671627</v>
      </c>
      <c r="Y186" s="41">
        <f>F186/'1. Väestöennuste'!H186*1000</f>
        <v>380.69524130948361</v>
      </c>
      <c r="Z186" s="41">
        <f>G186/'1. Väestöennuste'!I186*1000</f>
        <v>318.7154696132597</v>
      </c>
      <c r="AA186" s="41">
        <f>H186/'1. Väestöennuste'!J186*1000</f>
        <v>1205.3394691553437</v>
      </c>
      <c r="AB186" s="41">
        <f>I186/'1. Väestöennuste'!K186*1000</f>
        <v>805.10379336947415</v>
      </c>
      <c r="AC186" s="41">
        <f>J186/'1. Väestöennuste'!L186*1000</f>
        <v>990.15935316816626</v>
      </c>
      <c r="AD186" s="41">
        <f>K186/'1. Väestöennuste'!M186*1000</f>
        <v>490.51504354247368</v>
      </c>
      <c r="AE186" s="41">
        <f>L186/'1. Väestöennuste'!N186*1000</f>
        <v>441.60106411749689</v>
      </c>
      <c r="AF186" s="41">
        <f>M186/'1. Väestöennuste'!O186*1000</f>
        <v>194.90515212483072</v>
      </c>
      <c r="AG186" s="41">
        <f>N186/'1. Väestöennuste'!P186*1000</f>
        <v>169.59113357780987</v>
      </c>
      <c r="AH186" s="41">
        <f>O186/'1. Väestöennuste'!Q186*1000</f>
        <v>125.78367113277028</v>
      </c>
      <c r="AI186" s="41">
        <f>P186/'1. Väestöennuste'!R186*1000</f>
        <v>246.08882963173758</v>
      </c>
      <c r="AK186" s="41">
        <f>'6. Poistot'!Z186</f>
        <v>522.09944751381227</v>
      </c>
      <c r="AL186" s="41">
        <f>'6. Poistot'!AA186</f>
        <v>515.20447396015379</v>
      </c>
      <c r="AM186" s="41">
        <f>'6. Poistot'!AB186</f>
        <v>509.21250266619268</v>
      </c>
      <c r="AN186" s="41">
        <f>'6. Poistot'!AC186</f>
        <v>447.43573090909092</v>
      </c>
      <c r="AO186" s="41">
        <f>'6. Poistot'!AD186</f>
        <v>401.58958547322078</v>
      </c>
      <c r="AP186" s="41">
        <f>'6. Poistot'!AE186</f>
        <v>418.76940298507458</v>
      </c>
      <c r="AQ186" s="41">
        <f>'6. Poistot'!AF186</f>
        <v>424.79258137774411</v>
      </c>
      <c r="AR186" s="41">
        <f>'6. Poistot'!AG186</f>
        <v>430.66078280890252</v>
      </c>
      <c r="AS186" s="41">
        <f>'6. Poistot'!AH186</f>
        <v>450.43335092478998</v>
      </c>
      <c r="AT186" s="41">
        <f>'6. Poistot'!AI186</f>
        <v>470.55027851796763</v>
      </c>
      <c r="AV186" s="4">
        <f t="shared" si="46"/>
        <v>0</v>
      </c>
      <c r="AW186" s="4">
        <f t="shared" si="47"/>
        <v>0</v>
      </c>
      <c r="AX186" s="4">
        <f t="shared" si="48"/>
        <v>0</v>
      </c>
      <c r="AY186" s="4">
        <f t="shared" si="49"/>
        <v>0</v>
      </c>
      <c r="AZ186" s="4">
        <f t="shared" si="50"/>
        <v>1</v>
      </c>
      <c r="BA186" s="4">
        <f t="shared" si="51"/>
        <v>1</v>
      </c>
      <c r="BB186" s="4">
        <f t="shared" si="52"/>
        <v>1</v>
      </c>
      <c r="BC186" s="4">
        <f t="shared" si="53"/>
        <v>1</v>
      </c>
      <c r="BE186" s="405">
        <f t="shared" si="54"/>
        <v>0</v>
      </c>
      <c r="BF186" s="405">
        <f t="shared" si="55"/>
        <v>0</v>
      </c>
      <c r="BG186" s="405">
        <f t="shared" si="56"/>
        <v>0</v>
      </c>
      <c r="BH186" s="405">
        <f t="shared" si="57"/>
        <v>0</v>
      </c>
      <c r="BI186" s="405">
        <f t="shared" si="58"/>
        <v>0</v>
      </c>
      <c r="BJ186" s="405">
        <f t="shared" si="59"/>
        <v>0</v>
      </c>
      <c r="BK186" s="405">
        <f t="shared" si="60"/>
        <v>0</v>
      </c>
      <c r="BL186" s="405">
        <f t="shared" si="61"/>
        <v>0</v>
      </c>
      <c r="BM186" s="405">
        <f t="shared" si="62"/>
        <v>0</v>
      </c>
      <c r="BN186" s="405">
        <f t="shared" si="62"/>
        <v>0</v>
      </c>
    </row>
    <row r="187" spans="1:66" x14ac:dyDescent="0.2">
      <c r="A187" s="34">
        <v>577</v>
      </c>
      <c r="B187" s="88" t="s">
        <v>501</v>
      </c>
      <c r="C187" s="41" t="e">
        <f>'2. Toimintakate'!D187+'3. Verotulot'!G187+'4. Valtionosuudet'!#REF!+'5. Rahoitustuotot ja -kulut'!C187</f>
        <v>#REF!</v>
      </c>
      <c r="D187" s="41">
        <f>'2. Toimintakate'!E187+'4. Valtionosuudet'!H187+'3. Verotulot'!L187+'5. Rahoitustuotot ja -kulut'!D187</f>
        <v>2829</v>
      </c>
      <c r="E187" s="41">
        <f>'2. Toimintakate'!F187+'4. Valtionosuudet'!N187+'3. Verotulot'!Q187+'5. Rahoitustuotot ja -kulut'!E187</f>
        <v>5321</v>
      </c>
      <c r="F187" s="41">
        <f>'2. Toimintakate'!G187+'4. Valtionosuudet'!T187+'3. Verotulot'!V187+'5. Rahoitustuotot ja -kulut'!F187</f>
        <v>528</v>
      </c>
      <c r="G187" s="41">
        <f>'2. Toimintakate'!H187+'3. Verotulot'!AA187+'4. Valtionosuudet'!Z187+'5. Rahoitustuotot ja -kulut'!G187</f>
        <v>110</v>
      </c>
      <c r="H187" s="41">
        <f>Käyttökate!H187+'5. Rahoitustuotot ja -kulut'!H187</f>
        <v>4267.7374185103799</v>
      </c>
      <c r="I187" s="41">
        <f>Käyttökate!I187+'5. Rahoitustuotot ja -kulut'!I187</f>
        <v>2050.1514514269747</v>
      </c>
      <c r="J187" s="41">
        <f>Käyttökate!J187+'5. Rahoitustuotot ja -kulut'!J187</f>
        <v>3499.7875548924235</v>
      </c>
      <c r="K187" s="41">
        <f>Käyttökate!K187+'5. Rahoitustuotot ja -kulut'!K187</f>
        <v>5427.1953330323076</v>
      </c>
      <c r="L187" s="41">
        <f>Käyttökate!L187+'5. Rahoitustuotot ja -kulut'!L187</f>
        <v>1896.278974087234</v>
      </c>
      <c r="M187" s="41">
        <f>Käyttökate!M187+'5. Rahoitustuotot ja -kulut'!M187</f>
        <v>1923.4783941307378</v>
      </c>
      <c r="N187" s="41">
        <f>Käyttökate!N187+'5. Rahoitustuotot ja -kulut'!N187</f>
        <v>2672.591136401983</v>
      </c>
      <c r="O187" s="41">
        <f>Käyttökate!O187+'5. Rahoitustuotot ja -kulut'!O187</f>
        <v>2778.9712343073675</v>
      </c>
      <c r="P187" s="41">
        <f>Käyttökate!P187+'5. Rahoitustuotot ja -kulut'!P187</f>
        <v>3039.234445161545</v>
      </c>
      <c r="T187" s="34">
        <v>577</v>
      </c>
      <c r="U187" s="88" t="s">
        <v>501</v>
      </c>
      <c r="V187" s="41" t="e">
        <f>C187/'1. Väestöennuste'!E187*1000</f>
        <v>#REF!</v>
      </c>
      <c r="W187" s="41">
        <f>D187/'1. Väestöennuste'!F187*1000</f>
        <v>264.07168860263232</v>
      </c>
      <c r="X187" s="41">
        <f>E187/'1. Väestöennuste'!G187*1000</f>
        <v>495.89934762348554</v>
      </c>
      <c r="Y187" s="41">
        <f>F187/'1. Väestöennuste'!H187*1000</f>
        <v>48.744460856720828</v>
      </c>
      <c r="Z187" s="41">
        <f>G187/'1. Väestöennuste'!I187*1000</f>
        <v>10.138248847926269</v>
      </c>
      <c r="AA187" s="41">
        <f>H187/'1. Väestöennuste'!J187*1000</f>
        <v>390.74687955597693</v>
      </c>
      <c r="AB187" s="41">
        <f>I187/'1. Väestöennuste'!K187*1000</f>
        <v>185.68530490236162</v>
      </c>
      <c r="AC187" s="41">
        <f>J187/'1. Väestöennuste'!L187*1000</f>
        <v>314.22046641160205</v>
      </c>
      <c r="AD187" s="41">
        <f>K187/'1. Väestöennuste'!M187*1000</f>
        <v>483.01845256606515</v>
      </c>
      <c r="AE187" s="41">
        <f>L187/'1. Väestöennuste'!N187*1000</f>
        <v>170.4826911882796</v>
      </c>
      <c r="AF187" s="41">
        <f>M187/'1. Väestöennuste'!O187*1000</f>
        <v>172.15415681828853</v>
      </c>
      <c r="AG187" s="41">
        <f>N187/'1. Väestöennuste'!P187*1000</f>
        <v>238.19885351176319</v>
      </c>
      <c r="AH187" s="41">
        <f>O187/'1. Väestöennuste'!Q187*1000</f>
        <v>246.73454979200633</v>
      </c>
      <c r="AI187" s="41">
        <f>P187/'1. Väestöennuste'!R187*1000</f>
        <v>268.95880045677387</v>
      </c>
      <c r="AK187" s="41">
        <f>'6. Poistot'!Z187</f>
        <v>200.18433179723502</v>
      </c>
      <c r="AL187" s="41">
        <f>'6. Poistot'!AA187</f>
        <v>230.91008972715622</v>
      </c>
      <c r="AM187" s="41">
        <f>'6. Poistot'!AB187</f>
        <v>225.97047912326781</v>
      </c>
      <c r="AN187" s="41">
        <f>'6. Poistot'!AC187</f>
        <v>232.85432303824749</v>
      </c>
      <c r="AO187" s="41">
        <f>'6. Poistot'!AD187</f>
        <v>256.59359469562122</v>
      </c>
      <c r="AP187" s="41">
        <f>'6. Poistot'!AE187</f>
        <v>242.74026791333273</v>
      </c>
      <c r="AQ187" s="41">
        <f>'6. Poistot'!AF187</f>
        <v>241.6539872907903</v>
      </c>
      <c r="AR187" s="41">
        <f>'6. Poistot'!AG187</f>
        <v>240.64171122994651</v>
      </c>
      <c r="AS187" s="41">
        <f>'6. Poistot'!AH187</f>
        <v>247.45797030961046</v>
      </c>
      <c r="AT187" s="41">
        <f>'6. Poistot'!AI187</f>
        <v>254.3573663003792</v>
      </c>
      <c r="AV187" s="4">
        <f t="shared" si="46"/>
        <v>1</v>
      </c>
      <c r="AW187" s="4">
        <f t="shared" si="47"/>
        <v>0</v>
      </c>
      <c r="AX187" s="4">
        <f t="shared" si="48"/>
        <v>0</v>
      </c>
      <c r="AY187" s="4">
        <f t="shared" si="49"/>
        <v>1</v>
      </c>
      <c r="AZ187" s="4">
        <f t="shared" si="50"/>
        <v>1</v>
      </c>
      <c r="BA187" s="4">
        <f t="shared" si="51"/>
        <v>1</v>
      </c>
      <c r="BB187" s="4">
        <f t="shared" si="52"/>
        <v>1</v>
      </c>
      <c r="BC187" s="4">
        <f t="shared" si="53"/>
        <v>0</v>
      </c>
      <c r="BE187" s="405">
        <f t="shared" si="54"/>
        <v>0</v>
      </c>
      <c r="BF187" s="405">
        <f t="shared" si="55"/>
        <v>0</v>
      </c>
      <c r="BG187" s="405">
        <f t="shared" si="56"/>
        <v>0</v>
      </c>
      <c r="BH187" s="405">
        <f t="shared" si="57"/>
        <v>0</v>
      </c>
      <c r="BI187" s="405">
        <f t="shared" si="58"/>
        <v>0</v>
      </c>
      <c r="BJ187" s="405">
        <f t="shared" si="59"/>
        <v>0</v>
      </c>
      <c r="BK187" s="405">
        <f t="shared" si="60"/>
        <v>0</v>
      </c>
      <c r="BL187" s="405">
        <f t="shared" si="61"/>
        <v>0</v>
      </c>
      <c r="BM187" s="405">
        <f t="shared" si="62"/>
        <v>0</v>
      </c>
      <c r="BN187" s="405">
        <f t="shared" si="62"/>
        <v>0</v>
      </c>
    </row>
    <row r="188" spans="1:66" x14ac:dyDescent="0.2">
      <c r="A188" s="34">
        <v>578</v>
      </c>
      <c r="B188" s="88" t="s">
        <v>502</v>
      </c>
      <c r="C188" s="41" t="e">
        <f>'2. Toimintakate'!D188+'3. Verotulot'!G188+'4. Valtionosuudet'!#REF!+'5. Rahoitustuotot ja -kulut'!C188</f>
        <v>#REF!</v>
      </c>
      <c r="D188" s="41">
        <f>'2. Toimintakate'!E188+'4. Valtionosuudet'!H188+'3. Verotulot'!L188+'5. Rahoitustuotot ja -kulut'!D188</f>
        <v>1643</v>
      </c>
      <c r="E188" s="41">
        <f>'2. Toimintakate'!F188+'4. Valtionosuudet'!N188+'3. Verotulot'!Q188+'5. Rahoitustuotot ja -kulut'!E188</f>
        <v>1276</v>
      </c>
      <c r="F188" s="41">
        <f>'2. Toimintakate'!G188+'4. Valtionosuudet'!T188+'3. Verotulot'!V188+'5. Rahoitustuotot ja -kulut'!F188</f>
        <v>312</v>
      </c>
      <c r="G188" s="41">
        <f>'2. Toimintakate'!H188+'3. Verotulot'!AA188+'4. Valtionosuudet'!Z188+'5. Rahoitustuotot ja -kulut'!G188</f>
        <v>810</v>
      </c>
      <c r="H188" s="41">
        <f>Käyttökate!H188+'5. Rahoitustuotot ja -kulut'!H188</f>
        <v>451.8816978333507</v>
      </c>
      <c r="I188" s="41">
        <f>Käyttökate!I188+'5. Rahoitustuotot ja -kulut'!I188</f>
        <v>1505.9494865186668</v>
      </c>
      <c r="J188" s="41">
        <f>Käyttökate!J188+'5. Rahoitustuotot ja -kulut'!J188</f>
        <v>1399.0662559676784</v>
      </c>
      <c r="K188" s="41">
        <f>Käyttökate!K188+'5. Rahoitustuotot ja -kulut'!K188</f>
        <v>832.17638134545916</v>
      </c>
      <c r="L188" s="41">
        <f>Käyttökate!L188+'5. Rahoitustuotot ja -kulut'!L188</f>
        <v>1259.099353221545</v>
      </c>
      <c r="M188" s="41">
        <f>Käyttökate!M188+'5. Rahoitustuotot ja -kulut'!M188</f>
        <v>129.36819862087697</v>
      </c>
      <c r="N188" s="41">
        <f>Käyttökate!N188+'5. Rahoitustuotot ja -kulut'!N188</f>
        <v>-44.206195104705955</v>
      </c>
      <c r="O188" s="41">
        <f>Käyttökate!O188+'5. Rahoitustuotot ja -kulut'!O188</f>
        <v>-78.809535868573732</v>
      </c>
      <c r="P188" s="41">
        <f>Käyttökate!P188+'5. Rahoitustuotot ja -kulut'!P188</f>
        <v>66.353116385530143</v>
      </c>
      <c r="T188" s="34">
        <v>578</v>
      </c>
      <c r="U188" s="88" t="s">
        <v>502</v>
      </c>
      <c r="V188" s="41" t="e">
        <f>C188/'1. Väestöennuste'!E188*1000</f>
        <v>#REF!</v>
      </c>
      <c r="W188" s="41">
        <f>D188/'1. Väestöennuste'!F188*1000</f>
        <v>470.63878544829561</v>
      </c>
      <c r="X188" s="41">
        <f>E188/'1. Väestöennuste'!G188*1000</f>
        <v>371.47016011644837</v>
      </c>
      <c r="Y188" s="41">
        <f>F188/'1. Väestöennuste'!H188*1000</f>
        <v>93.525179856115116</v>
      </c>
      <c r="Z188" s="41">
        <f>G188/'1. Väestöennuste'!I188*1000</f>
        <v>247.47937671860677</v>
      </c>
      <c r="AA188" s="41">
        <f>H188/'1. Väestöennuste'!J188*1000</f>
        <v>139.68522344153035</v>
      </c>
      <c r="AB188" s="41">
        <f>I188/'1. Väestöennuste'!K188*1000</f>
        <v>473.12267876803861</v>
      </c>
      <c r="AC188" s="41">
        <f>J188/'1. Väestöennuste'!L188*1000</f>
        <v>451.31169547344467</v>
      </c>
      <c r="AD188" s="41">
        <f>K188/'1. Väestöennuste'!M188*1000</f>
        <v>274.0126379142111</v>
      </c>
      <c r="AE188" s="41">
        <f>L188/'1. Väestöennuste'!N188*1000</f>
        <v>412.54893618006059</v>
      </c>
      <c r="AF188" s="41">
        <f>M188/'1. Väestöennuste'!O188*1000</f>
        <v>42.950929156997667</v>
      </c>
      <c r="AG188" s="41">
        <f>N188/'1. Väestöennuste'!P188*1000</f>
        <v>-14.86422162229521</v>
      </c>
      <c r="AH188" s="41">
        <f>O188/'1. Väestöennuste'!Q188*1000</f>
        <v>-26.824212344647286</v>
      </c>
      <c r="AI188" s="41">
        <f>P188/'1. Väestöennuste'!R188*1000</f>
        <v>22.856740057020371</v>
      </c>
      <c r="AK188" s="41">
        <f>'6. Poistot'!Z188</f>
        <v>409.71585701191566</v>
      </c>
      <c r="AL188" s="41">
        <f>'6. Poistot'!AA188</f>
        <v>396.59969088098916</v>
      </c>
      <c r="AM188" s="41">
        <f>'6. Poistot'!AB188</f>
        <v>494.81486647816519</v>
      </c>
      <c r="AN188" s="41">
        <f>'6. Poistot'!AC188</f>
        <v>455.17141935483869</v>
      </c>
      <c r="AO188" s="41">
        <f>'6. Poistot'!AD188</f>
        <v>471.34116891669407</v>
      </c>
      <c r="AP188" s="41">
        <f>'6. Poistot'!AE188</f>
        <v>484.11959370904322</v>
      </c>
      <c r="AQ188" s="41">
        <f>'6. Poistot'!AF188</f>
        <v>500.13313413014617</v>
      </c>
      <c r="AR188" s="41">
        <f>'6. Poistot'!AG188</f>
        <v>491.9519166106254</v>
      </c>
      <c r="AS188" s="41">
        <f>'6. Poistot'!AH188</f>
        <v>514.04790796376892</v>
      </c>
      <c r="AT188" s="41">
        <f>'6. Poistot'!AI188</f>
        <v>536.50723637447675</v>
      </c>
      <c r="AV188" s="4">
        <f t="shared" si="46"/>
        <v>1</v>
      </c>
      <c r="AW188" s="4">
        <f t="shared" si="47"/>
        <v>1</v>
      </c>
      <c r="AX188" s="4">
        <f t="shared" si="48"/>
        <v>1</v>
      </c>
      <c r="AY188" s="4">
        <f t="shared" si="49"/>
        <v>1</v>
      </c>
      <c r="AZ188" s="4">
        <f t="shared" si="50"/>
        <v>1</v>
      </c>
      <c r="BA188" s="4">
        <f t="shared" si="51"/>
        <v>1</v>
      </c>
      <c r="BB188" s="4">
        <f t="shared" si="52"/>
        <v>1</v>
      </c>
      <c r="BC188" s="4">
        <f t="shared" si="53"/>
        <v>1</v>
      </c>
      <c r="BE188" s="405">
        <f t="shared" si="54"/>
        <v>0</v>
      </c>
      <c r="BF188" s="405">
        <f t="shared" si="55"/>
        <v>0</v>
      </c>
      <c r="BG188" s="405">
        <f t="shared" si="56"/>
        <v>0</v>
      </c>
      <c r="BH188" s="405">
        <f t="shared" si="57"/>
        <v>0</v>
      </c>
      <c r="BI188" s="405">
        <f t="shared" si="58"/>
        <v>0</v>
      </c>
      <c r="BJ188" s="405">
        <f t="shared" si="59"/>
        <v>0</v>
      </c>
      <c r="BK188" s="405">
        <f t="shared" si="60"/>
        <v>0</v>
      </c>
      <c r="BL188" s="405">
        <f t="shared" si="61"/>
        <v>-1</v>
      </c>
      <c r="BM188" s="405">
        <f t="shared" si="62"/>
        <v>-1</v>
      </c>
      <c r="BN188" s="405">
        <f t="shared" si="62"/>
        <v>0</v>
      </c>
    </row>
    <row r="189" spans="1:66" x14ac:dyDescent="0.2">
      <c r="A189" s="34">
        <v>580</v>
      </c>
      <c r="B189" s="88" t="s">
        <v>503</v>
      </c>
      <c r="C189" s="41" t="e">
        <f>'2. Toimintakate'!D189+'3. Verotulot'!G189+'4. Valtionosuudet'!#REF!+'5. Rahoitustuotot ja -kulut'!C189</f>
        <v>#REF!</v>
      </c>
      <c r="D189" s="41">
        <f>'2. Toimintakate'!E189+'4. Valtionosuudet'!H189+'3. Verotulot'!L189+'5. Rahoitustuotot ja -kulut'!D189</f>
        <v>3229</v>
      </c>
      <c r="E189" s="41">
        <f>'2. Toimintakate'!F189+'4. Valtionosuudet'!N189+'3. Verotulot'!Q189+'5. Rahoitustuotot ja -kulut'!E189</f>
        <v>3162</v>
      </c>
      <c r="F189" s="41">
        <f>'2. Toimintakate'!G189+'4. Valtionosuudet'!T189+'3. Verotulot'!V189+'5. Rahoitustuotot ja -kulut'!F189</f>
        <v>3440</v>
      </c>
      <c r="G189" s="41">
        <f>'2. Toimintakate'!H189+'3. Verotulot'!AA189+'4. Valtionosuudet'!Z189+'5. Rahoitustuotot ja -kulut'!G189</f>
        <v>-192</v>
      </c>
      <c r="H189" s="41">
        <f>Käyttökate!H189+'5. Rahoitustuotot ja -kulut'!H189</f>
        <v>393.84258541340387</v>
      </c>
      <c r="I189" s="41">
        <f>Käyttökate!I189+'5. Rahoitustuotot ja -kulut'!I189</f>
        <v>2136.0417362714311</v>
      </c>
      <c r="J189" s="41">
        <f>Käyttökate!J189+'5. Rahoitustuotot ja -kulut'!J189</f>
        <v>1129.7376685636038</v>
      </c>
      <c r="K189" s="41">
        <f>Käyttökate!K189+'5. Rahoitustuotot ja -kulut'!K189</f>
        <v>1725.8141962798331</v>
      </c>
      <c r="L189" s="41">
        <f>Käyttökate!L189+'5. Rahoitustuotot ja -kulut'!L189</f>
        <v>1190.9124063762206</v>
      </c>
      <c r="M189" s="41">
        <f>Käyttökate!M189+'5. Rahoitustuotot ja -kulut'!M189</f>
        <v>634.4495858235066</v>
      </c>
      <c r="N189" s="41">
        <f>Käyttökate!N189+'5. Rahoitustuotot ja -kulut'!N189</f>
        <v>443.28915810482323</v>
      </c>
      <c r="O189" s="41">
        <f>Käyttökate!O189+'5. Rahoitustuotot ja -kulut'!O189</f>
        <v>296.09212840847852</v>
      </c>
      <c r="P189" s="41">
        <f>Käyttökate!P189+'5. Rahoitustuotot ja -kulut'!P189</f>
        <v>878.79181846856841</v>
      </c>
      <c r="T189" s="34">
        <v>580</v>
      </c>
      <c r="U189" s="88" t="s">
        <v>503</v>
      </c>
      <c r="V189" s="41" t="e">
        <f>C189/'1. Väestöennuste'!E189*1000</f>
        <v>#REF!</v>
      </c>
      <c r="W189" s="41">
        <f>D189/'1. Väestöennuste'!F189*1000</f>
        <v>629.92586812329296</v>
      </c>
      <c r="X189" s="41">
        <f>E189/'1. Väestöennuste'!G189*1000</f>
        <v>636.34534111491246</v>
      </c>
      <c r="Y189" s="41">
        <f>F189/'1. Väestöennuste'!H189*1000</f>
        <v>710.45022717885172</v>
      </c>
      <c r="Z189" s="41">
        <f>G189/'1. Väestöennuste'!I189*1000</f>
        <v>-40.557667934093786</v>
      </c>
      <c r="AA189" s="41">
        <f>H189/'1. Väestöennuste'!J189*1000</f>
        <v>84.606355620494924</v>
      </c>
      <c r="AB189" s="41">
        <f>I189/'1. Väestöennuste'!K189*1000</f>
        <v>467.71222602834052</v>
      </c>
      <c r="AC189" s="41">
        <f>J189/'1. Väestöennuste'!L189*1000</f>
        <v>254.56008755376379</v>
      </c>
      <c r="AD189" s="41">
        <f>K189/'1. Väestöennuste'!M189*1000</f>
        <v>395.28497395323706</v>
      </c>
      <c r="AE189" s="41">
        <f>L189/'1. Väestöennuste'!N189*1000</f>
        <v>277.27879077444015</v>
      </c>
      <c r="AF189" s="41">
        <f>M189/'1. Väestöennuste'!O189*1000</f>
        <v>150.37913861661687</v>
      </c>
      <c r="AG189" s="41">
        <f>N189/'1. Väestöennuste'!P189*1000</f>
        <v>106.97132193649209</v>
      </c>
      <c r="AH189" s="41">
        <f>O189/'1. Väestöennuste'!Q189*1000</f>
        <v>72.749908699871867</v>
      </c>
      <c r="AI189" s="41">
        <f>P189/'1. Väestöennuste'!R189*1000</f>
        <v>219.58816053687366</v>
      </c>
      <c r="AK189" s="41">
        <f>'6. Poistot'!Z189</f>
        <v>319.18039712716518</v>
      </c>
      <c r="AL189" s="41">
        <f>'6. Poistot'!AA189</f>
        <v>347.58324382384529</v>
      </c>
      <c r="AM189" s="41">
        <f>'6. Poistot'!AB189</f>
        <v>433.59850010948111</v>
      </c>
      <c r="AN189" s="41">
        <f>'6. Poistot'!AC189</f>
        <v>432.90504281207751</v>
      </c>
      <c r="AO189" s="41">
        <f>'6. Poistot'!AD189</f>
        <v>436.55504809894643</v>
      </c>
      <c r="AP189" s="41">
        <f>'6. Poistot'!AE189</f>
        <v>627.08707799767171</v>
      </c>
      <c r="AQ189" s="41">
        <f>'6. Poistot'!AF189</f>
        <v>609.15548708224696</v>
      </c>
      <c r="AR189" s="41">
        <f>'6. Poistot'!AG189</f>
        <v>578.0875965250965</v>
      </c>
      <c r="AS189" s="41">
        <f>'6. Poistot'!AH189</f>
        <v>607.59019267552253</v>
      </c>
      <c r="AT189" s="41">
        <f>'6. Poistot'!AI189</f>
        <v>637.22867775581028</v>
      </c>
      <c r="AV189" s="4">
        <f t="shared" si="46"/>
        <v>0</v>
      </c>
      <c r="AW189" s="4">
        <f t="shared" si="47"/>
        <v>1</v>
      </c>
      <c r="AX189" s="4">
        <f t="shared" si="48"/>
        <v>1</v>
      </c>
      <c r="AY189" s="4">
        <f t="shared" si="49"/>
        <v>1</v>
      </c>
      <c r="AZ189" s="4">
        <f t="shared" si="50"/>
        <v>1</v>
      </c>
      <c r="BA189" s="4">
        <f t="shared" si="51"/>
        <v>1</v>
      </c>
      <c r="BB189" s="4">
        <f t="shared" si="52"/>
        <v>1</v>
      </c>
      <c r="BC189" s="4">
        <f t="shared" si="53"/>
        <v>1</v>
      </c>
      <c r="BE189" s="405">
        <f t="shared" si="54"/>
        <v>-1</v>
      </c>
      <c r="BF189" s="405">
        <f t="shared" si="55"/>
        <v>0</v>
      </c>
      <c r="BG189" s="405">
        <f t="shared" si="56"/>
        <v>0</v>
      </c>
      <c r="BH189" s="405">
        <f t="shared" si="57"/>
        <v>0</v>
      </c>
      <c r="BI189" s="405">
        <f t="shared" si="58"/>
        <v>0</v>
      </c>
      <c r="BJ189" s="405">
        <f t="shared" si="59"/>
        <v>0</v>
      </c>
      <c r="BK189" s="405">
        <f t="shared" si="60"/>
        <v>0</v>
      </c>
      <c r="BL189" s="405">
        <f t="shared" si="61"/>
        <v>0</v>
      </c>
      <c r="BM189" s="405">
        <f t="shared" si="62"/>
        <v>0</v>
      </c>
      <c r="BN189" s="405">
        <f t="shared" si="62"/>
        <v>0</v>
      </c>
    </row>
    <row r="190" spans="1:66" x14ac:dyDescent="0.2">
      <c r="A190" s="34">
        <v>581</v>
      </c>
      <c r="B190" s="88" t="s">
        <v>504</v>
      </c>
      <c r="C190" s="41" t="e">
        <f>'2. Toimintakate'!D190+'3. Verotulot'!G190+'4. Valtionosuudet'!#REF!+'5. Rahoitustuotot ja -kulut'!C190</f>
        <v>#REF!</v>
      </c>
      <c r="D190" s="41">
        <f>'2. Toimintakate'!E190+'4. Valtionosuudet'!H190+'3. Verotulot'!L190+'5. Rahoitustuotot ja -kulut'!D190</f>
        <v>2674</v>
      </c>
      <c r="E190" s="41">
        <f>'2. Toimintakate'!F190+'4. Valtionosuudet'!N190+'3. Verotulot'!Q190+'5. Rahoitustuotot ja -kulut'!E190</f>
        <v>3509</v>
      </c>
      <c r="F190" s="41">
        <f>'2. Toimintakate'!G190+'4. Valtionosuudet'!T190+'3. Verotulot'!V190+'5. Rahoitustuotot ja -kulut'!F190</f>
        <v>3663</v>
      </c>
      <c r="G190" s="41">
        <f>'2. Toimintakate'!H190+'3. Verotulot'!AA190+'4. Valtionosuudet'!Z190+'5. Rahoitustuotot ja -kulut'!G190</f>
        <v>1539</v>
      </c>
      <c r="H190" s="41">
        <f>Käyttökate!H190+'5. Rahoitustuotot ja -kulut'!H190</f>
        <v>2543.7320210732178</v>
      </c>
      <c r="I190" s="41">
        <f>Käyttökate!I190+'5. Rahoitustuotot ja -kulut'!I190</f>
        <v>1838.1634318064885</v>
      </c>
      <c r="J190" s="41">
        <f>Käyttökate!J190+'5. Rahoitustuotot ja -kulut'!J190</f>
        <v>340.62674116284643</v>
      </c>
      <c r="K190" s="41">
        <f>Käyttökate!K190+'5. Rahoitustuotot ja -kulut'!K190</f>
        <v>4651.4781391228289</v>
      </c>
      <c r="L190" s="41">
        <f>Käyttökate!L190+'5. Rahoitustuotot ja -kulut'!L190</f>
        <v>55.337004479975349</v>
      </c>
      <c r="M190" s="41">
        <f>Käyttökate!M190+'5. Rahoitustuotot ja -kulut'!M190</f>
        <v>725.61393366122547</v>
      </c>
      <c r="N190" s="41">
        <f>Käyttökate!N190+'5. Rahoitustuotot ja -kulut'!N190</f>
        <v>951.80979683451415</v>
      </c>
      <c r="O190" s="41">
        <f>Käyttökate!O190+'5. Rahoitustuotot ja -kulut'!O190</f>
        <v>956.06677857776799</v>
      </c>
      <c r="P190" s="41">
        <f>Käyttökate!P190+'5. Rahoitustuotot ja -kulut'!P190</f>
        <v>1827.0462603634651</v>
      </c>
      <c r="T190" s="34">
        <v>581</v>
      </c>
      <c r="U190" s="88" t="s">
        <v>504</v>
      </c>
      <c r="V190" s="41" t="e">
        <f>C190/'1. Väestöennuste'!E190*1000</f>
        <v>#REF!</v>
      </c>
      <c r="W190" s="41">
        <f>D190/'1. Väestöennuste'!F190*1000</f>
        <v>399.58158995815899</v>
      </c>
      <c r="X190" s="41">
        <f>E190/'1. Väestöennuste'!G190*1000</f>
        <v>534.74550441938425</v>
      </c>
      <c r="Y190" s="41">
        <f>F190/'1. Väestöennuste'!H190*1000</f>
        <v>566.23898593291074</v>
      </c>
      <c r="Z190" s="41">
        <f>G190/'1. Väestöennuste'!I190*1000</f>
        <v>240.31855090568394</v>
      </c>
      <c r="AA190" s="41">
        <f>H190/'1. Väestöennuste'!J190*1000</f>
        <v>400.46159021933528</v>
      </c>
      <c r="AB190" s="41">
        <f>I190/'1. Väestöennuste'!K190*1000</f>
        <v>292.42179952378115</v>
      </c>
      <c r="AC190" s="41">
        <f>J190/'1. Väestöennuste'!L190*1000</f>
        <v>54.587618776097187</v>
      </c>
      <c r="AD190" s="41">
        <f>K190/'1. Väestöennuste'!M190*1000</f>
        <v>759.67305881476875</v>
      </c>
      <c r="AE190" s="41">
        <f>L190/'1. Väestöennuste'!N190*1000</f>
        <v>9.1526636586131893</v>
      </c>
      <c r="AF190" s="41">
        <f>M190/'1. Väestöennuste'!O190*1000</f>
        <v>121.31983508798285</v>
      </c>
      <c r="AG190" s="41">
        <f>N190/'1. Väestöennuste'!P190*1000</f>
        <v>160.83301737656541</v>
      </c>
      <c r="AH190" s="41">
        <f>O190/'1. Väestöennuste'!Q190*1000</f>
        <v>163.29065389885022</v>
      </c>
      <c r="AI190" s="41">
        <f>P190/'1. Väestöennuste'!R190*1000</f>
        <v>315.33418370097775</v>
      </c>
      <c r="AK190" s="41">
        <f>'6. Poistot'!Z190</f>
        <v>308.24484697064338</v>
      </c>
      <c r="AL190" s="41">
        <f>'6. Poistot'!AA190</f>
        <v>332.33627204030228</v>
      </c>
      <c r="AM190" s="41">
        <f>'6. Poistot'!AB190</f>
        <v>358.32082882596251</v>
      </c>
      <c r="AN190" s="41">
        <f>'6. Poistot'!AC190</f>
        <v>307.28396955128204</v>
      </c>
      <c r="AO190" s="41">
        <f>'6. Poistot'!AD190</f>
        <v>364.33970439327123</v>
      </c>
      <c r="AP190" s="41">
        <f>'6. Poistot'!AE190</f>
        <v>294.4095269599735</v>
      </c>
      <c r="AQ190" s="41">
        <f>'6. Poistot'!AF190</f>
        <v>300.95301788998495</v>
      </c>
      <c r="AR190" s="41">
        <f>'6. Poistot'!AG190</f>
        <v>304.15680973301789</v>
      </c>
      <c r="AS190" s="41">
        <f>'6. Poistot'!AH190</f>
        <v>317.34917387954937</v>
      </c>
      <c r="AT190" s="41">
        <f>'6. Poistot'!AI190</f>
        <v>330.71432967371817</v>
      </c>
      <c r="AV190" s="4">
        <f t="shared" si="46"/>
        <v>1</v>
      </c>
      <c r="AW190" s="4">
        <f t="shared" si="47"/>
        <v>1</v>
      </c>
      <c r="AX190" s="4">
        <f t="shared" si="48"/>
        <v>0</v>
      </c>
      <c r="AY190" s="4">
        <f t="shared" si="49"/>
        <v>1</v>
      </c>
      <c r="AZ190" s="4">
        <f t="shared" si="50"/>
        <v>1</v>
      </c>
      <c r="BA190" s="4">
        <f t="shared" si="51"/>
        <v>1</v>
      </c>
      <c r="BB190" s="4">
        <f t="shared" si="52"/>
        <v>1</v>
      </c>
      <c r="BC190" s="4">
        <f t="shared" si="53"/>
        <v>1</v>
      </c>
      <c r="BE190" s="405">
        <f t="shared" si="54"/>
        <v>0</v>
      </c>
      <c r="BF190" s="405">
        <f t="shared" si="55"/>
        <v>0</v>
      </c>
      <c r="BG190" s="405">
        <f t="shared" si="56"/>
        <v>0</v>
      </c>
      <c r="BH190" s="405">
        <f t="shared" si="57"/>
        <v>0</v>
      </c>
      <c r="BI190" s="405">
        <f t="shared" si="58"/>
        <v>0</v>
      </c>
      <c r="BJ190" s="405">
        <f t="shared" si="59"/>
        <v>0</v>
      </c>
      <c r="BK190" s="405">
        <f t="shared" si="60"/>
        <v>0</v>
      </c>
      <c r="BL190" s="405">
        <f t="shared" si="61"/>
        <v>0</v>
      </c>
      <c r="BM190" s="405">
        <f t="shared" si="62"/>
        <v>0</v>
      </c>
      <c r="BN190" s="405">
        <f t="shared" si="62"/>
        <v>0</v>
      </c>
    </row>
    <row r="191" spans="1:66" x14ac:dyDescent="0.2">
      <c r="A191" s="34">
        <v>583</v>
      </c>
      <c r="B191" s="88" t="s">
        <v>505</v>
      </c>
      <c r="C191" s="41" t="e">
        <f>'2. Toimintakate'!D191+'3. Verotulot'!G191+'4. Valtionosuudet'!#REF!+'5. Rahoitustuotot ja -kulut'!C191</f>
        <v>#REF!</v>
      </c>
      <c r="D191" s="41">
        <f>'2. Toimintakate'!E191+'4. Valtionosuudet'!H191+'3. Verotulot'!L191+'5. Rahoitustuotot ja -kulut'!D191</f>
        <v>726</v>
      </c>
      <c r="E191" s="41">
        <f>'2. Toimintakate'!F191+'4. Valtionosuudet'!N191+'3. Verotulot'!Q191+'5. Rahoitustuotot ja -kulut'!E191</f>
        <v>767</v>
      </c>
      <c r="F191" s="41">
        <f>'2. Toimintakate'!G191+'4. Valtionosuudet'!T191+'3. Verotulot'!V191+'5. Rahoitustuotot ja -kulut'!F191</f>
        <v>345</v>
      </c>
      <c r="G191" s="41">
        <f>'2. Toimintakate'!H191+'3. Verotulot'!AA191+'4. Valtionosuudet'!Z191+'5. Rahoitustuotot ja -kulut'!G191</f>
        <v>-290</v>
      </c>
      <c r="H191" s="41">
        <f>Käyttökate!H191+'5. Rahoitustuotot ja -kulut'!H191</f>
        <v>625.32092759242278</v>
      </c>
      <c r="I191" s="41">
        <f>Käyttökate!I191+'5. Rahoitustuotot ja -kulut'!I191</f>
        <v>1215.1898290676038</v>
      </c>
      <c r="J191" s="41">
        <f>Käyttökate!J191+'5. Rahoitustuotot ja -kulut'!J191</f>
        <v>2375.9155580879674</v>
      </c>
      <c r="K191" s="41">
        <f>Käyttökate!K191+'5. Rahoitustuotot ja -kulut'!K191</f>
        <v>967.69044906497879</v>
      </c>
      <c r="L191" s="41">
        <f>Käyttökate!L191+'5. Rahoitustuotot ja -kulut'!L191</f>
        <v>1169.4359060928675</v>
      </c>
      <c r="M191" s="41">
        <f>Käyttökate!M191+'5. Rahoitustuotot ja -kulut'!M191</f>
        <v>684.61835919743453</v>
      </c>
      <c r="N191" s="41">
        <f>Käyttökate!N191+'5. Rahoitustuotot ja -kulut'!N191</f>
        <v>716.04870173403242</v>
      </c>
      <c r="O191" s="41">
        <f>Käyttökate!O191+'5. Rahoitustuotot ja -kulut'!O191</f>
        <v>671.26391240016198</v>
      </c>
      <c r="P191" s="41">
        <f>Käyttökate!P191+'5. Rahoitustuotot ja -kulut'!P191</f>
        <v>788.53827702532726</v>
      </c>
      <c r="T191" s="34">
        <v>583</v>
      </c>
      <c r="U191" s="88" t="s">
        <v>505</v>
      </c>
      <c r="V191" s="41" t="e">
        <f>C191/'1. Väestöennuste'!E191*1000</f>
        <v>#REF!</v>
      </c>
      <c r="W191" s="41">
        <f>D191/'1. Väestöennuste'!F191*1000</f>
        <v>763.4069400630915</v>
      </c>
      <c r="X191" s="41">
        <f>E191/'1. Väestöennuste'!G191*1000</f>
        <v>800.62630480167013</v>
      </c>
      <c r="Y191" s="41">
        <f>F191/'1. Väestöennuste'!H191*1000</f>
        <v>361.63522012578613</v>
      </c>
      <c r="Z191" s="41">
        <f>G191/'1. Väestöennuste'!I191*1000</f>
        <v>-308.83919062832797</v>
      </c>
      <c r="AA191" s="41">
        <f>H191/'1. Väestöennuste'!J191*1000</f>
        <v>671.66587281678073</v>
      </c>
      <c r="AB191" s="41">
        <f>I191/'1. Väestöennuste'!K191*1000</f>
        <v>1315.1405076489218</v>
      </c>
      <c r="AC191" s="41">
        <f>J191/'1. Väestöennuste'!L191*1000</f>
        <v>2508.8865449714544</v>
      </c>
      <c r="AD191" s="41">
        <f>K191/'1. Väestöennuste'!M191*1000</f>
        <v>1061.0640888870382</v>
      </c>
      <c r="AE191" s="41">
        <f>L191/'1. Väestöennuste'!N191*1000</f>
        <v>1276.6767533764928</v>
      </c>
      <c r="AF191" s="41">
        <f>M191/'1. Väestöennuste'!O191*1000</f>
        <v>750.67802543578341</v>
      </c>
      <c r="AG191" s="41">
        <f>N191/'1. Väestöennuste'!P191*1000</f>
        <v>786.86670520223345</v>
      </c>
      <c r="AH191" s="41">
        <f>O191/'1. Väestöennuste'!Q191*1000</f>
        <v>740.09251642796244</v>
      </c>
      <c r="AI191" s="41">
        <f>P191/'1. Väestöennuste'!R191*1000</f>
        <v>875.18121756418122</v>
      </c>
      <c r="AK191" s="41">
        <f>'6. Poistot'!Z191</f>
        <v>267.30564430244942</v>
      </c>
      <c r="AL191" s="41">
        <f>'6. Poistot'!AA191</f>
        <v>267.45435016111708</v>
      </c>
      <c r="AM191" s="41">
        <f>'6. Poistot'!AB191</f>
        <v>295.17253246753245</v>
      </c>
      <c r="AN191" s="41">
        <f>'6. Poistot'!AC191</f>
        <v>320.93064413938754</v>
      </c>
      <c r="AO191" s="41">
        <f>'6. Poistot'!AD191</f>
        <v>579.35130482456145</v>
      </c>
      <c r="AP191" s="41">
        <f>'6. Poistot'!AE191</f>
        <v>561.93339519650658</v>
      </c>
      <c r="AQ191" s="41">
        <f>'6. Poistot'!AF191</f>
        <v>564.39801535087724</v>
      </c>
      <c r="AR191" s="41">
        <f>'6. Poistot'!AG191</f>
        <v>565.63845054945057</v>
      </c>
      <c r="AS191" s="41">
        <f>'6. Poistot'!AH191</f>
        <v>585.82081084493677</v>
      </c>
      <c r="AT191" s="41">
        <f>'6. Poistot'!AI191</f>
        <v>608.1553394813709</v>
      </c>
      <c r="AV191" s="4">
        <f t="shared" si="46"/>
        <v>0</v>
      </c>
      <c r="AW191" s="4">
        <f t="shared" si="47"/>
        <v>0</v>
      </c>
      <c r="AX191" s="4">
        <f t="shared" si="48"/>
        <v>0</v>
      </c>
      <c r="AY191" s="4">
        <f t="shared" si="49"/>
        <v>0</v>
      </c>
      <c r="AZ191" s="4">
        <f t="shared" si="50"/>
        <v>0</v>
      </c>
      <c r="BA191" s="4">
        <f t="shared" si="51"/>
        <v>0</v>
      </c>
      <c r="BB191" s="4">
        <f t="shared" si="52"/>
        <v>0</v>
      </c>
      <c r="BC191" s="4">
        <f t="shared" si="53"/>
        <v>0</v>
      </c>
      <c r="BE191" s="405">
        <f t="shared" si="54"/>
        <v>-1</v>
      </c>
      <c r="BF191" s="405">
        <f t="shared" si="55"/>
        <v>0</v>
      </c>
      <c r="BG191" s="405">
        <f t="shared" si="56"/>
        <v>0</v>
      </c>
      <c r="BH191" s="405">
        <f t="shared" si="57"/>
        <v>0</v>
      </c>
      <c r="BI191" s="405">
        <f t="shared" si="58"/>
        <v>0</v>
      </c>
      <c r="BJ191" s="405">
        <f t="shared" si="59"/>
        <v>0</v>
      </c>
      <c r="BK191" s="405">
        <f t="shared" si="60"/>
        <v>0</v>
      </c>
      <c r="BL191" s="405">
        <f t="shared" si="61"/>
        <v>0</v>
      </c>
      <c r="BM191" s="405">
        <f t="shared" si="62"/>
        <v>0</v>
      </c>
      <c r="BN191" s="405">
        <f t="shared" si="62"/>
        <v>0</v>
      </c>
    </row>
    <row r="192" spans="1:66" x14ac:dyDescent="0.2">
      <c r="A192" s="34">
        <v>584</v>
      </c>
      <c r="B192" s="88" t="s">
        <v>506</v>
      </c>
      <c r="C192" s="41" t="e">
        <f>'2. Toimintakate'!D192+'3. Verotulot'!G192+'4. Valtionosuudet'!#REF!+'5. Rahoitustuotot ja -kulut'!C192</f>
        <v>#REF!</v>
      </c>
      <c r="D192" s="41">
        <f>'2. Toimintakate'!E192+'4. Valtionosuudet'!H192+'3. Verotulot'!L192+'5. Rahoitustuotot ja -kulut'!D192</f>
        <v>1658</v>
      </c>
      <c r="E192" s="41">
        <f>'2. Toimintakate'!F192+'4. Valtionosuudet'!N192+'3. Verotulot'!Q192+'5. Rahoitustuotot ja -kulut'!E192</f>
        <v>1506</v>
      </c>
      <c r="F192" s="41">
        <f>'2. Toimintakate'!G192+'4. Valtionosuudet'!T192+'3. Verotulot'!V192+'5. Rahoitustuotot ja -kulut'!F192</f>
        <v>-56</v>
      </c>
      <c r="G192" s="41">
        <f>'2. Toimintakate'!H192+'3. Verotulot'!AA192+'4. Valtionosuudet'!Z192+'5. Rahoitustuotot ja -kulut'!G192</f>
        <v>1107</v>
      </c>
      <c r="H192" s="41">
        <f>Käyttökate!H192+'5. Rahoitustuotot ja -kulut'!H192</f>
        <v>2760.9511732844294</v>
      </c>
      <c r="I192" s="41">
        <f>Käyttökate!I192+'5. Rahoitustuotot ja -kulut'!I192</f>
        <v>2837.9425857933361</v>
      </c>
      <c r="J192" s="41">
        <f>Käyttökate!J192+'5. Rahoitustuotot ja -kulut'!J192</f>
        <v>446.64210028860828</v>
      </c>
      <c r="K192" s="41">
        <f>Käyttökate!K192+'5. Rahoitustuotot ja -kulut'!K192</f>
        <v>1361.2898351408007</v>
      </c>
      <c r="L192" s="41">
        <f>Käyttökate!L192+'5. Rahoitustuotot ja -kulut'!L192</f>
        <v>763.72679177279906</v>
      </c>
      <c r="M192" s="41">
        <f>Käyttökate!M192+'5. Rahoitustuotot ja -kulut'!M192</f>
        <v>-402.42377638076442</v>
      </c>
      <c r="N192" s="41">
        <f>Käyttökate!N192+'5. Rahoitustuotot ja -kulut'!N192</f>
        <v>-543.20186218604817</v>
      </c>
      <c r="O192" s="41">
        <f>Käyttökate!O192+'5. Rahoitustuotot ja -kulut'!O192</f>
        <v>-911.66014089370481</v>
      </c>
      <c r="P192" s="41">
        <f>Käyttökate!P192+'5. Rahoitustuotot ja -kulut'!P192</f>
        <v>-720.93133259437434</v>
      </c>
      <c r="T192" s="34">
        <v>584</v>
      </c>
      <c r="U192" s="88" t="s">
        <v>506</v>
      </c>
      <c r="V192" s="41" t="e">
        <f>C192/'1. Väestöennuste'!E192*1000</f>
        <v>#REF!</v>
      </c>
      <c r="W192" s="41">
        <f>D192/'1. Väestöennuste'!F192*1000</f>
        <v>570.34743722050223</v>
      </c>
      <c r="X192" s="41">
        <f>E192/'1. Väestöennuste'!G192*1000</f>
        <v>526.57342657342656</v>
      </c>
      <c r="Y192" s="41">
        <f>F192/'1. Väestöennuste'!H192*1000</f>
        <v>-19.823008849557521</v>
      </c>
      <c r="Z192" s="41">
        <f>G192/'1. Väestöennuste'!I192*1000</f>
        <v>401.23233055454875</v>
      </c>
      <c r="AA192" s="41">
        <f>H192/'1. Väestöennuste'!J192*1000</f>
        <v>1020.3071593807944</v>
      </c>
      <c r="AB192" s="41">
        <f>I192/'1. Väestöennuste'!K192*1000</f>
        <v>1060.5166613577489</v>
      </c>
      <c r="AC192" s="41">
        <f>J192/'1. Väestöennuste'!L192*1000</f>
        <v>168.35359980724022</v>
      </c>
      <c r="AD192" s="41">
        <f>K192/'1. Väestöennuste'!M192*1000</f>
        <v>528.04105319658674</v>
      </c>
      <c r="AE192" s="41">
        <f>L192/'1. Väestöennuste'!N192*1000</f>
        <v>305.24651949352483</v>
      </c>
      <c r="AF192" s="41">
        <f>M192/'1. Väestöennuste'!O192*1000</f>
        <v>-164.32167267487318</v>
      </c>
      <c r="AG192" s="41">
        <f>N192/'1. Väestöennuste'!P192*1000</f>
        <v>-226.52287830944462</v>
      </c>
      <c r="AH192" s="41">
        <f>O192/'1. Väestöennuste'!Q192*1000</f>
        <v>-388.10563682150058</v>
      </c>
      <c r="AI192" s="41">
        <f>P192/'1. Väestöennuste'!R192*1000</f>
        <v>-313.17607845107489</v>
      </c>
      <c r="AK192" s="41">
        <f>'6. Poistot'!Z192</f>
        <v>540.41319318593696</v>
      </c>
      <c r="AL192" s="41">
        <f>'6. Poistot'!AA192</f>
        <v>542.12860310421286</v>
      </c>
      <c r="AM192" s="41">
        <f>'6. Poistot'!AB192</f>
        <v>627.17190956651723</v>
      </c>
      <c r="AN192" s="41">
        <f>'6. Poistot'!AC192</f>
        <v>504.5105390124387</v>
      </c>
      <c r="AO192" s="41">
        <f>'6. Poistot'!AD192</f>
        <v>549.20839410395661</v>
      </c>
      <c r="AP192" s="41">
        <f>'6. Poistot'!AE192</f>
        <v>467.13109512390082</v>
      </c>
      <c r="AQ192" s="41">
        <f>'6. Poistot'!AF192</f>
        <v>558.90649244589633</v>
      </c>
      <c r="AR192" s="41">
        <f>'6. Poistot'!AG192</f>
        <v>570.79316096747289</v>
      </c>
      <c r="AS192" s="41">
        <f>'6. Poistot'!AH192</f>
        <v>601.50146482790524</v>
      </c>
      <c r="AT192" s="41">
        <f>'6. Poistot'!AI192</f>
        <v>632.96780267658517</v>
      </c>
      <c r="AV192" s="4">
        <f t="shared" si="46"/>
        <v>0</v>
      </c>
      <c r="AW192" s="4">
        <f t="shared" si="47"/>
        <v>1</v>
      </c>
      <c r="AX192" s="4">
        <f t="shared" si="48"/>
        <v>1</v>
      </c>
      <c r="AY192" s="4">
        <f t="shared" si="49"/>
        <v>1</v>
      </c>
      <c r="AZ192" s="4">
        <f t="shared" si="50"/>
        <v>1</v>
      </c>
      <c r="BA192" s="4">
        <f t="shared" si="51"/>
        <v>1</v>
      </c>
      <c r="BB192" s="4">
        <f t="shared" si="52"/>
        <v>1</v>
      </c>
      <c r="BC192" s="4">
        <f t="shared" si="53"/>
        <v>1</v>
      </c>
      <c r="BE192" s="405">
        <f t="shared" si="54"/>
        <v>0</v>
      </c>
      <c r="BF192" s="405">
        <f t="shared" si="55"/>
        <v>0</v>
      </c>
      <c r="BG192" s="405">
        <f t="shared" si="56"/>
        <v>0</v>
      </c>
      <c r="BH192" s="405">
        <f t="shared" si="57"/>
        <v>0</v>
      </c>
      <c r="BI192" s="405">
        <f t="shared" si="58"/>
        <v>0</v>
      </c>
      <c r="BJ192" s="405">
        <f t="shared" si="59"/>
        <v>0</v>
      </c>
      <c r="BK192" s="405">
        <f t="shared" si="60"/>
        <v>-1</v>
      </c>
      <c r="BL192" s="405">
        <f t="shared" si="61"/>
        <v>-1</v>
      </c>
      <c r="BM192" s="405">
        <f t="shared" si="62"/>
        <v>-1</v>
      </c>
      <c r="BN192" s="405">
        <f t="shared" si="62"/>
        <v>-1</v>
      </c>
    </row>
    <row r="193" spans="1:66" x14ac:dyDescent="0.2">
      <c r="A193" s="34">
        <v>588</v>
      </c>
      <c r="B193" s="88" t="s">
        <v>507</v>
      </c>
      <c r="C193" s="41" t="e">
        <f>'2. Toimintakate'!D193+'3. Verotulot'!G193+'4. Valtionosuudet'!#REF!+'5. Rahoitustuotot ja -kulut'!C193</f>
        <v>#REF!</v>
      </c>
      <c r="D193" s="41">
        <f>'2. Toimintakate'!E193+'4. Valtionosuudet'!H193+'3. Verotulot'!L193+'5. Rahoitustuotot ja -kulut'!D193</f>
        <v>706</v>
      </c>
      <c r="E193" s="41">
        <f>'2. Toimintakate'!F193+'4. Valtionosuudet'!N193+'3. Verotulot'!Q193+'5. Rahoitustuotot ja -kulut'!E193</f>
        <v>811</v>
      </c>
      <c r="F193" s="41">
        <f>'2. Toimintakate'!G193+'4. Valtionosuudet'!T193+'3. Verotulot'!V193+'5. Rahoitustuotot ja -kulut'!F193</f>
        <v>-637</v>
      </c>
      <c r="G193" s="41">
        <f>'2. Toimintakate'!H193+'3. Verotulot'!AA193+'4. Valtionosuudet'!Z193+'5. Rahoitustuotot ja -kulut'!G193</f>
        <v>-511</v>
      </c>
      <c r="H193" s="41">
        <f>Käyttökate!H193+'5. Rahoitustuotot ja -kulut'!H193</f>
        <v>187.41841659351394</v>
      </c>
      <c r="I193" s="41">
        <f>Käyttökate!I193+'5. Rahoitustuotot ja -kulut'!I193</f>
        <v>-340.10520197598487</v>
      </c>
      <c r="J193" s="41">
        <f>Käyttökate!J193+'5. Rahoitustuotot ja -kulut'!J193</f>
        <v>-663.40393335783097</v>
      </c>
      <c r="K193" s="41">
        <f>Käyttökate!K193+'5. Rahoitustuotot ja -kulut'!K193</f>
        <v>-43.698678689648062</v>
      </c>
      <c r="L193" s="41">
        <f>Käyttökate!L193+'5. Rahoitustuotot ja -kulut'!L193</f>
        <v>-712.7096089319167</v>
      </c>
      <c r="T193" s="34">
        <v>588</v>
      </c>
      <c r="U193" s="88" t="s">
        <v>507</v>
      </c>
      <c r="V193" s="41" t="e">
        <f>C193/'1. Väestöennuste'!E193*1000</f>
        <v>#REF!</v>
      </c>
      <c r="W193" s="41">
        <f>D193/'1. Väestöennuste'!F193*1000</f>
        <v>393.09576837416483</v>
      </c>
      <c r="X193" s="41">
        <f>E193/'1. Väestöennuste'!G193*1000</f>
        <v>466.35997699827487</v>
      </c>
      <c r="Y193" s="41">
        <f>F193/'1. Väestöennuste'!H193*1000</f>
        <v>-371.86223000583772</v>
      </c>
      <c r="Z193" s="41">
        <f>G193/'1. Väestöennuste'!I193*1000</f>
        <v>-302.36686390532549</v>
      </c>
      <c r="AA193" s="41">
        <f>H193/'1. Väestöennuste'!J193*1000</f>
        <v>113.3122228497666</v>
      </c>
      <c r="AB193" s="41">
        <f>I193/'1. Väestöennuste'!K193*1000</f>
        <v>-206.8766435377037</v>
      </c>
      <c r="AC193" s="41">
        <f>J193/'1. Väestöennuste'!L193*1000</f>
        <v>-414.62745834864432</v>
      </c>
      <c r="AD193" s="41">
        <f>K193/'1. Väestöennuste'!M193*1000</f>
        <v>-27.710005510239736</v>
      </c>
      <c r="AE193" s="41">
        <f>L193/'1. Väestöennuste'!N193*1000</f>
        <v>-461.59948765020516</v>
      </c>
      <c r="AF193" s="41" t="e">
        <f>M193/'1. Väestöennuste'!O193*1000</f>
        <v>#DIV/0!</v>
      </c>
      <c r="AG193" s="41" t="e">
        <f>N193/'1. Väestöennuste'!P193*1000</f>
        <v>#DIV/0!</v>
      </c>
      <c r="AH193" s="41" t="e">
        <f>O193/'1. Väestöennuste'!Q193*1000</f>
        <v>#DIV/0!</v>
      </c>
      <c r="AI193" s="41" t="e">
        <f>P193/'1. Väestöennuste'!R193*1000</f>
        <v>#DIV/0!</v>
      </c>
      <c r="AK193" s="41">
        <f>'6. Poistot'!Z193</f>
        <v>408.87573964497045</v>
      </c>
      <c r="AL193" s="41">
        <f>'6. Poistot'!AA193</f>
        <v>390.56831922611849</v>
      </c>
      <c r="AM193" s="41">
        <f>'6. Poistot'!AB193</f>
        <v>377.05925790754264</v>
      </c>
      <c r="AN193" s="41">
        <f>'6. Poistot'!AC193</f>
        <v>302.25887500000005</v>
      </c>
      <c r="AO193" s="41">
        <f>'6. Poistot'!AD193</f>
        <v>262.44850982878887</v>
      </c>
      <c r="AP193" s="41">
        <f>'6. Poistot'!AE193</f>
        <v>243.34196891191712</v>
      </c>
      <c r="AQ193" s="41" t="e">
        <f>'6. Poistot'!AF193</f>
        <v>#DIV/0!</v>
      </c>
      <c r="AR193" s="41" t="e">
        <f>'6. Poistot'!AG193</f>
        <v>#DIV/0!</v>
      </c>
      <c r="AS193" s="41" t="e">
        <f>'6. Poistot'!AH193</f>
        <v>#DIV/0!</v>
      </c>
      <c r="AT193" s="41" t="e">
        <f>'6. Poistot'!AI193</f>
        <v>#DIV/0!</v>
      </c>
      <c r="AV193" s="4">
        <f t="shared" si="46"/>
        <v>1</v>
      </c>
      <c r="AW193" s="4">
        <f t="shared" si="47"/>
        <v>1</v>
      </c>
      <c r="AX193" s="4">
        <f t="shared" si="48"/>
        <v>1</v>
      </c>
      <c r="AY193" s="4">
        <f t="shared" si="49"/>
        <v>1</v>
      </c>
      <c r="AZ193" s="4" t="e">
        <f t="shared" si="50"/>
        <v>#DIV/0!</v>
      </c>
      <c r="BA193" s="4" t="e">
        <f t="shared" si="51"/>
        <v>#DIV/0!</v>
      </c>
      <c r="BB193" s="4" t="e">
        <f t="shared" si="52"/>
        <v>#DIV/0!</v>
      </c>
      <c r="BC193" s="4" t="e">
        <f t="shared" si="53"/>
        <v>#DIV/0!</v>
      </c>
      <c r="BE193" s="405">
        <f t="shared" si="54"/>
        <v>-1</v>
      </c>
      <c r="BF193" s="405">
        <f t="shared" si="55"/>
        <v>0</v>
      </c>
      <c r="BG193" s="405">
        <f t="shared" si="56"/>
        <v>-1</v>
      </c>
      <c r="BH193" s="405">
        <f t="shared" si="57"/>
        <v>-1</v>
      </c>
      <c r="BI193" s="405">
        <f t="shared" si="58"/>
        <v>-1</v>
      </c>
      <c r="BJ193" s="405">
        <f t="shared" si="59"/>
        <v>-1</v>
      </c>
      <c r="BK193" s="405">
        <f t="shared" si="60"/>
        <v>0</v>
      </c>
      <c r="BL193" s="405">
        <f t="shared" si="61"/>
        <v>0</v>
      </c>
      <c r="BM193" s="405">
        <f t="shared" si="62"/>
        <v>0</v>
      </c>
      <c r="BN193" s="405">
        <f t="shared" si="62"/>
        <v>0</v>
      </c>
    </row>
    <row r="194" spans="1:66" x14ac:dyDescent="0.2">
      <c r="A194" s="34">
        <v>592</v>
      </c>
      <c r="B194" s="88" t="s">
        <v>508</v>
      </c>
      <c r="C194" s="41" t="e">
        <f>'2. Toimintakate'!D194+'3. Verotulot'!G194+'4. Valtionosuudet'!#REF!+'5. Rahoitustuotot ja -kulut'!C194</f>
        <v>#REF!</v>
      </c>
      <c r="D194" s="41">
        <f>'2. Toimintakate'!E194+'4. Valtionosuudet'!H194+'3. Verotulot'!L194+'5. Rahoitustuotot ja -kulut'!D194</f>
        <v>489</v>
      </c>
      <c r="E194" s="41">
        <f>'2. Toimintakate'!F194+'4. Valtionosuudet'!N194+'3. Verotulot'!Q194+'5. Rahoitustuotot ja -kulut'!E194</f>
        <v>764</v>
      </c>
      <c r="F194" s="41">
        <f>'2. Toimintakate'!G194+'4. Valtionosuudet'!T194+'3. Verotulot'!V194+'5. Rahoitustuotot ja -kulut'!F194</f>
        <v>579</v>
      </c>
      <c r="G194" s="41">
        <f>'2. Toimintakate'!H194+'3. Verotulot'!AA194+'4. Valtionosuudet'!Z194+'5. Rahoitustuotot ja -kulut'!G194</f>
        <v>-2835</v>
      </c>
      <c r="H194" s="41">
        <f>Käyttökate!H194+'5. Rahoitustuotot ja -kulut'!H194</f>
        <v>1648.3264786414584</v>
      </c>
      <c r="I194" s="41">
        <f>Käyttökate!I194+'5. Rahoitustuotot ja -kulut'!I194</f>
        <v>479.26072494966598</v>
      </c>
      <c r="J194" s="41">
        <f>Käyttökate!J194+'5. Rahoitustuotot ja -kulut'!J194</f>
        <v>-806.6320260790967</v>
      </c>
      <c r="K194" s="41">
        <f>Käyttökate!K194+'5. Rahoitustuotot ja -kulut'!K194</f>
        <v>1303.69361292176</v>
      </c>
      <c r="L194" s="41">
        <f>Käyttökate!L194+'5. Rahoitustuotot ja -kulut'!L194</f>
        <v>-806.90794486650282</v>
      </c>
      <c r="M194" s="41">
        <f>Käyttökate!M194+'5. Rahoitustuotot ja -kulut'!M194</f>
        <v>-1646.1045107567529</v>
      </c>
      <c r="N194" s="41">
        <f>Käyttökate!N194+'5. Rahoitustuotot ja -kulut'!N194</f>
        <v>-1255.6486440276917</v>
      </c>
      <c r="O194" s="41">
        <f>Käyttökate!O194+'5. Rahoitustuotot ja -kulut'!O194</f>
        <v>-1722.5317032261603</v>
      </c>
      <c r="P194" s="41">
        <f>Käyttökate!P194+'5. Rahoitustuotot ja -kulut'!P194</f>
        <v>-1562.0012508465945</v>
      </c>
      <c r="T194" s="34">
        <v>592</v>
      </c>
      <c r="U194" s="88" t="s">
        <v>508</v>
      </c>
      <c r="V194" s="41" t="e">
        <f>C194/'1. Väestöennuste'!E194*1000</f>
        <v>#REF!</v>
      </c>
      <c r="W194" s="41">
        <f>D194/'1. Väestöennuste'!F194*1000</f>
        <v>122.83345892991711</v>
      </c>
      <c r="X194" s="41">
        <f>E194/'1. Väestöennuste'!G194*1000</f>
        <v>194.89795918367346</v>
      </c>
      <c r="Y194" s="41">
        <f>F194/'1. Väestöennuste'!H194*1000</f>
        <v>148.46153846153845</v>
      </c>
      <c r="Z194" s="41">
        <f>G194/'1. Väestöennuste'!I194*1000</f>
        <v>-738.08903931267901</v>
      </c>
      <c r="AA194" s="41">
        <f>H194/'1. Väestöennuste'!J194*1000</f>
        <v>436.99005266210457</v>
      </c>
      <c r="AB194" s="41">
        <f>I194/'1. Väestöennuste'!K194*1000</f>
        <v>130.30471042677161</v>
      </c>
      <c r="AC194" s="41">
        <f>J194/'1. Väestöennuste'!L194*1000</f>
        <v>-220.93454562560851</v>
      </c>
      <c r="AD194" s="41">
        <f>K194/'1. Väestöennuste'!M194*1000</f>
        <v>362.53993685254727</v>
      </c>
      <c r="AE194" s="41">
        <f>L194/'1. Väestöennuste'!N194*1000</f>
        <v>-223.21104975560243</v>
      </c>
      <c r="AF194" s="41">
        <f>M194/'1. Väestöennuste'!O194*1000</f>
        <v>-459.93420250258532</v>
      </c>
      <c r="AG194" s="41">
        <f>N194/'1. Väestöennuste'!P194*1000</f>
        <v>-354.10283249511895</v>
      </c>
      <c r="AH194" s="41">
        <f>O194/'1. Väestöennuste'!Q194*1000</f>
        <v>-491.0295619230788</v>
      </c>
      <c r="AI194" s="41">
        <f>P194/'1. Väestöennuste'!R194*1000</f>
        <v>-449.6261516541723</v>
      </c>
      <c r="AK194" s="41">
        <f>'6. Poistot'!Z194</f>
        <v>264.77479822962766</v>
      </c>
      <c r="AL194" s="41">
        <f>'6. Poistot'!AA194</f>
        <v>251.06044538706257</v>
      </c>
      <c r="AM194" s="41">
        <f>'6. Poistot'!AB194</f>
        <v>260.05398586188142</v>
      </c>
      <c r="AN194" s="41">
        <f>'6. Poistot'!AC194</f>
        <v>275.38817310325936</v>
      </c>
      <c r="AO194" s="41">
        <f>'6. Poistot'!AD194</f>
        <v>311.13088987764183</v>
      </c>
      <c r="AP194" s="41">
        <f>'6. Poistot'!AE194</f>
        <v>305.52697095435684</v>
      </c>
      <c r="AQ194" s="41">
        <f>'6. Poistot'!AF194</f>
        <v>307.34842134674489</v>
      </c>
      <c r="AR194" s="41">
        <f>'6. Poistot'!AG194</f>
        <v>282.0078962210942</v>
      </c>
      <c r="AS194" s="41">
        <f>'6. Poistot'!AH194</f>
        <v>294.26064441035749</v>
      </c>
      <c r="AT194" s="41">
        <f>'6. Poistot'!AI194</f>
        <v>306.42852077808527</v>
      </c>
      <c r="AV194" s="4">
        <f t="shared" si="46"/>
        <v>1</v>
      </c>
      <c r="AW194" s="4">
        <f t="shared" si="47"/>
        <v>1</v>
      </c>
      <c r="AX194" s="4">
        <f t="shared" si="48"/>
        <v>0</v>
      </c>
      <c r="AY194" s="4">
        <f t="shared" si="49"/>
        <v>1</v>
      </c>
      <c r="AZ194" s="4">
        <f t="shared" si="50"/>
        <v>1</v>
      </c>
      <c r="BA194" s="4">
        <f t="shared" si="51"/>
        <v>1</v>
      </c>
      <c r="BB194" s="4">
        <f t="shared" si="52"/>
        <v>1</v>
      </c>
      <c r="BC194" s="4">
        <f t="shared" si="53"/>
        <v>1</v>
      </c>
      <c r="BE194" s="405">
        <f t="shared" si="54"/>
        <v>-1</v>
      </c>
      <c r="BF194" s="405">
        <f t="shared" si="55"/>
        <v>0</v>
      </c>
      <c r="BG194" s="405">
        <f t="shared" si="56"/>
        <v>0</v>
      </c>
      <c r="BH194" s="405">
        <f t="shared" si="57"/>
        <v>-1</v>
      </c>
      <c r="BI194" s="405">
        <f t="shared" si="58"/>
        <v>0</v>
      </c>
      <c r="BJ194" s="405">
        <f t="shared" si="59"/>
        <v>-1</v>
      </c>
      <c r="BK194" s="405">
        <f t="shared" si="60"/>
        <v>-1</v>
      </c>
      <c r="BL194" s="405">
        <f t="shared" si="61"/>
        <v>-1</v>
      </c>
      <c r="BM194" s="405">
        <f t="shared" si="62"/>
        <v>-1</v>
      </c>
      <c r="BN194" s="405">
        <f t="shared" si="62"/>
        <v>-1</v>
      </c>
    </row>
    <row r="195" spans="1:66" x14ac:dyDescent="0.2">
      <c r="A195" s="34">
        <v>593</v>
      </c>
      <c r="B195" s="88" t="s">
        <v>509</v>
      </c>
      <c r="C195" s="41" t="e">
        <f>'2. Toimintakate'!D195+'3. Verotulot'!G195+'4. Valtionosuudet'!#REF!+'5. Rahoitustuotot ja -kulut'!C195</f>
        <v>#REF!</v>
      </c>
      <c r="D195" s="41">
        <f>'2. Toimintakate'!E195+'4. Valtionosuudet'!H195+'3. Verotulot'!L195+'5. Rahoitustuotot ja -kulut'!D195</f>
        <v>8791</v>
      </c>
      <c r="E195" s="41">
        <f>'2. Toimintakate'!F195+'4. Valtionosuudet'!N195+'3. Verotulot'!Q195+'5. Rahoitustuotot ja -kulut'!E195</f>
        <v>10525</v>
      </c>
      <c r="F195" s="41">
        <f>'2. Toimintakate'!G195+'4. Valtionosuudet'!T195+'3. Verotulot'!V195+'5. Rahoitustuotot ja -kulut'!F195</f>
        <v>5728</v>
      </c>
      <c r="G195" s="41">
        <f>'2. Toimintakate'!H195+'3. Verotulot'!AA195+'4. Valtionosuudet'!Z195+'5. Rahoitustuotot ja -kulut'!G195</f>
        <v>1799</v>
      </c>
      <c r="H195" s="41">
        <f>Käyttökate!H195+'5. Rahoitustuotot ja -kulut'!H195</f>
        <v>11046.567076017527</v>
      </c>
      <c r="I195" s="41">
        <f>Käyttökate!I195+'5. Rahoitustuotot ja -kulut'!I195</f>
        <v>11006.6018906842</v>
      </c>
      <c r="J195" s="41">
        <f>Käyttökate!J195+'5. Rahoitustuotot ja -kulut'!J195</f>
        <v>3815.2529917818183</v>
      </c>
      <c r="K195" s="41">
        <f>Käyttökate!K195+'5. Rahoitustuotot ja -kulut'!K195</f>
        <v>8939.7650578693738</v>
      </c>
      <c r="L195" s="41">
        <f>Käyttökate!L195+'5. Rahoitustuotot ja -kulut'!L195</f>
        <v>3693.1860436820348</v>
      </c>
      <c r="M195" s="41">
        <f>Käyttökate!M195+'5. Rahoitustuotot ja -kulut'!M195</f>
        <v>2371.9617280478124</v>
      </c>
      <c r="N195" s="41">
        <f>Käyttökate!N195+'5. Rahoitustuotot ja -kulut'!N195</f>
        <v>4393.4045174376497</v>
      </c>
      <c r="O195" s="41">
        <f>Käyttökate!O195+'5. Rahoitustuotot ja -kulut'!O195</f>
        <v>4597.1151271791714</v>
      </c>
      <c r="P195" s="41">
        <f>Käyttökate!P195+'5. Rahoitustuotot ja -kulut'!P195</f>
        <v>7894.5482263091781</v>
      </c>
      <c r="T195" s="34">
        <v>593</v>
      </c>
      <c r="U195" s="88" t="s">
        <v>509</v>
      </c>
      <c r="V195" s="41" t="e">
        <f>C195/'1. Väestöennuste'!E195*1000</f>
        <v>#REF!</v>
      </c>
      <c r="W195" s="41">
        <f>D195/'1. Väestöennuste'!F195*1000</f>
        <v>475.83220568335588</v>
      </c>
      <c r="X195" s="41">
        <f>E195/'1. Väestöennuste'!G195*1000</f>
        <v>577.661909989023</v>
      </c>
      <c r="Y195" s="41">
        <f>F195/'1. Väestöennuste'!H195*1000</f>
        <v>319.41114147103104</v>
      </c>
      <c r="Z195" s="41">
        <f>G195/'1. Väestöennuste'!I195*1000</f>
        <v>101.74188440221694</v>
      </c>
      <c r="AA195" s="41">
        <f>H195/'1. Väestöennuste'!J195*1000</f>
        <v>635.77364466287918</v>
      </c>
      <c r="AB195" s="41">
        <f>I195/'1. Väestöennuste'!K195*1000</f>
        <v>637.95292938527791</v>
      </c>
      <c r="AC195" s="41">
        <f>J195/'1. Väestöennuste'!L195*1000</f>
        <v>223.41470936240665</v>
      </c>
      <c r="AD195" s="41">
        <f>K195/'1. Väestöennuste'!M195*1000</f>
        <v>524.32639635597502</v>
      </c>
      <c r="AE195" s="41">
        <f>L195/'1. Väestöennuste'!N195*1000</f>
        <v>227.10527878994188</v>
      </c>
      <c r="AF195" s="41">
        <f>M195/'1. Väestöennuste'!O195*1000</f>
        <v>148.14575779450456</v>
      </c>
      <c r="AG195" s="41">
        <f>N195/'1. Väestöennuste'!P195*1000</f>
        <v>278.55722276424353</v>
      </c>
      <c r="AH195" s="41">
        <f>O195/'1. Väestöennuste'!Q195*1000</f>
        <v>295.82465425863393</v>
      </c>
      <c r="AI195" s="41">
        <f>P195/'1. Väestöennuste'!R195*1000</f>
        <v>515.41086546380996</v>
      </c>
      <c r="AK195" s="41">
        <f>'6. Poistot'!Z195</f>
        <v>274.51645741431963</v>
      </c>
      <c r="AL195" s="41">
        <f>'6. Poistot'!AA195</f>
        <v>334.10071942446046</v>
      </c>
      <c r="AM195" s="41">
        <f>'6. Poistot'!AB195</f>
        <v>378.82427983539094</v>
      </c>
      <c r="AN195" s="41">
        <f>'6. Poistot'!AC195</f>
        <v>369.35653744802948</v>
      </c>
      <c r="AO195" s="41">
        <f>'6. Poistot'!AD195</f>
        <v>367.64519941348976</v>
      </c>
      <c r="AP195" s="41">
        <f>'6. Poistot'!AE195</f>
        <v>375.12636822039116</v>
      </c>
      <c r="AQ195" s="41">
        <f>'6. Poistot'!AF195</f>
        <v>384.61095496845923</v>
      </c>
      <c r="AR195" s="41">
        <f>'6. Poistot'!AG195</f>
        <v>388.71316256657366</v>
      </c>
      <c r="AS195" s="41">
        <f>'6. Poistot'!AH195</f>
        <v>407.24594367034285</v>
      </c>
      <c r="AT195" s="41">
        <f>'6. Poistot'!AI195</f>
        <v>426.08996078045675</v>
      </c>
      <c r="AV195" s="4">
        <f t="shared" si="46"/>
        <v>0</v>
      </c>
      <c r="AW195" s="4">
        <f t="shared" si="47"/>
        <v>1</v>
      </c>
      <c r="AX195" s="4">
        <f t="shared" si="48"/>
        <v>0</v>
      </c>
      <c r="AY195" s="4">
        <f t="shared" si="49"/>
        <v>1</v>
      </c>
      <c r="AZ195" s="4">
        <f t="shared" si="50"/>
        <v>1</v>
      </c>
      <c r="BA195" s="4">
        <f t="shared" si="51"/>
        <v>1</v>
      </c>
      <c r="BB195" s="4">
        <f t="shared" si="52"/>
        <v>1</v>
      </c>
      <c r="BC195" s="4">
        <f t="shared" si="53"/>
        <v>0</v>
      </c>
      <c r="BE195" s="405">
        <f t="shared" si="54"/>
        <v>0</v>
      </c>
      <c r="BF195" s="405">
        <f t="shared" si="55"/>
        <v>0</v>
      </c>
      <c r="BG195" s="405">
        <f t="shared" si="56"/>
        <v>0</v>
      </c>
      <c r="BH195" s="405">
        <f t="shared" si="57"/>
        <v>0</v>
      </c>
      <c r="BI195" s="405">
        <f t="shared" si="58"/>
        <v>0</v>
      </c>
      <c r="BJ195" s="405">
        <f t="shared" si="59"/>
        <v>0</v>
      </c>
      <c r="BK195" s="405">
        <f t="shared" si="60"/>
        <v>0</v>
      </c>
      <c r="BL195" s="405">
        <f t="shared" si="61"/>
        <v>0</v>
      </c>
      <c r="BM195" s="405">
        <f t="shared" si="62"/>
        <v>0</v>
      </c>
      <c r="BN195" s="405">
        <f t="shared" si="62"/>
        <v>0</v>
      </c>
    </row>
    <row r="196" spans="1:66" x14ac:dyDescent="0.2">
      <c r="A196" s="34">
        <v>595</v>
      </c>
      <c r="B196" s="88" t="s">
        <v>510</v>
      </c>
      <c r="C196" s="41" t="e">
        <f>'2. Toimintakate'!D196+'3. Verotulot'!G196+'4. Valtionosuudet'!#REF!+'5. Rahoitustuotot ja -kulut'!C196</f>
        <v>#REF!</v>
      </c>
      <c r="D196" s="41">
        <f>'2. Toimintakate'!E196+'4. Valtionosuudet'!H196+'3. Verotulot'!L196+'5. Rahoitustuotot ja -kulut'!D196</f>
        <v>1187</v>
      </c>
      <c r="E196" s="41">
        <f>'2. Toimintakate'!F196+'4. Valtionosuudet'!N196+'3. Verotulot'!Q196+'5. Rahoitustuotot ja -kulut'!E196</f>
        <v>2706</v>
      </c>
      <c r="F196" s="41">
        <f>'2. Toimintakate'!G196+'4. Valtionosuudet'!T196+'3. Verotulot'!V196+'5. Rahoitustuotot ja -kulut'!F196</f>
        <v>2179</v>
      </c>
      <c r="G196" s="41">
        <f>'2. Toimintakate'!H196+'3. Verotulot'!AA196+'4. Valtionosuudet'!Z196+'5. Rahoitustuotot ja -kulut'!G196</f>
        <v>1217</v>
      </c>
      <c r="H196" s="41">
        <f>Käyttökate!H196+'5. Rahoitustuotot ja -kulut'!H196</f>
        <v>3983.797493249629</v>
      </c>
      <c r="I196" s="41">
        <f>Käyttökate!I196+'5. Rahoitustuotot ja -kulut'!I196</f>
        <v>4413.5995945293826</v>
      </c>
      <c r="J196" s="41">
        <f>Käyttökate!J196+'5. Rahoitustuotot ja -kulut'!J196</f>
        <v>3977.6170575830538</v>
      </c>
      <c r="K196" s="41">
        <f>Käyttökate!K196+'5. Rahoitustuotot ja -kulut'!K196</f>
        <v>2526.3938521016271</v>
      </c>
      <c r="L196" s="41">
        <f>Käyttökate!L196+'5. Rahoitustuotot ja -kulut'!L196</f>
        <v>2026.2670338614173</v>
      </c>
      <c r="M196" s="41">
        <f>Käyttökate!M196+'5. Rahoitustuotot ja -kulut'!M196</f>
        <v>928.32572210375406</v>
      </c>
      <c r="N196" s="41">
        <f>Käyttökate!N196+'5. Rahoitustuotot ja -kulut'!N196</f>
        <v>697.30027702306563</v>
      </c>
      <c r="O196" s="41">
        <f>Käyttökate!O196+'5. Rahoitustuotot ja -kulut'!O196</f>
        <v>343.13453873391381</v>
      </c>
      <c r="P196" s="41">
        <f>Käyttökate!P196+'5. Rahoitustuotot ja -kulut'!P196</f>
        <v>704.50613223295795</v>
      </c>
      <c r="T196" s="34">
        <v>595</v>
      </c>
      <c r="U196" s="88" t="s">
        <v>510</v>
      </c>
      <c r="V196" s="41" t="e">
        <f>C196/'1. Väestöennuste'!E196*1000</f>
        <v>#REF!</v>
      </c>
      <c r="W196" s="41">
        <f>D196/'1. Väestöennuste'!F196*1000</f>
        <v>252.71449861613797</v>
      </c>
      <c r="X196" s="41">
        <f>E196/'1. Väestöennuste'!G196*1000</f>
        <v>585.20761245674737</v>
      </c>
      <c r="Y196" s="41">
        <f>F196/'1. Väestöennuste'!H196*1000</f>
        <v>484.43752779012897</v>
      </c>
      <c r="Z196" s="41">
        <f>G196/'1. Väestöennuste'!I196*1000</f>
        <v>277.15782281940329</v>
      </c>
      <c r="AA196" s="41">
        <f>H196/'1. Väestöennuste'!J196*1000</f>
        <v>921.96192854654691</v>
      </c>
      <c r="AB196" s="41">
        <f>I196/'1. Väestöennuste'!K196*1000</f>
        <v>1033.8720062144255</v>
      </c>
      <c r="AC196" s="41">
        <f>J196/'1. Väestöennuste'!L196*1000</f>
        <v>960.77706704904688</v>
      </c>
      <c r="AD196" s="41">
        <f>K196/'1. Väestöennuste'!M196*1000</f>
        <v>620.27838254397921</v>
      </c>
      <c r="AE196" s="41">
        <f>L196/'1. Väestöennuste'!N196*1000</f>
        <v>504.92574977857396</v>
      </c>
      <c r="AF196" s="41">
        <f>M196/'1. Väestöennuste'!O196*1000</f>
        <v>235.43639921474869</v>
      </c>
      <c r="AG196" s="41">
        <f>N196/'1. Väestöennuste'!P196*1000</f>
        <v>180.04138317146027</v>
      </c>
      <c r="AH196" s="41">
        <f>O196/'1. Väestöennuste'!Q196*1000</f>
        <v>90.085203133083169</v>
      </c>
      <c r="AI196" s="41">
        <f>P196/'1. Väestöennuste'!R196*1000</f>
        <v>188.01871690231064</v>
      </c>
      <c r="AK196" s="41">
        <f>'6. Poistot'!Z196</f>
        <v>346.84582099749491</v>
      </c>
      <c r="AL196" s="41">
        <f>'6. Poistot'!AA196</f>
        <v>344.82758620689657</v>
      </c>
      <c r="AM196" s="41">
        <f>'6. Poistot'!AB196</f>
        <v>436.86533614429612</v>
      </c>
      <c r="AN196" s="41">
        <f>'6. Poistot'!AC196</f>
        <v>587.94147826086964</v>
      </c>
      <c r="AO196" s="41">
        <f>'6. Poistot'!AD196</f>
        <v>414.40157377854166</v>
      </c>
      <c r="AP196" s="41">
        <f>'6. Poistot'!AE196</f>
        <v>426.4532768502367</v>
      </c>
      <c r="AQ196" s="41">
        <f>'6. Poistot'!AF196</f>
        <v>376.53335024093332</v>
      </c>
      <c r="AR196" s="41">
        <f>'6. Poistot'!AG196</f>
        <v>426.30518977536792</v>
      </c>
      <c r="AS196" s="41">
        <f>'6. Poistot'!AH196</f>
        <v>447.4545312743162</v>
      </c>
      <c r="AT196" s="41">
        <f>'6. Poistot'!AI196</f>
        <v>469.07622611362171</v>
      </c>
      <c r="AV196" s="4">
        <f t="shared" si="46"/>
        <v>0</v>
      </c>
      <c r="AW196" s="4">
        <f t="shared" si="47"/>
        <v>0</v>
      </c>
      <c r="AX196" s="4">
        <f t="shared" si="48"/>
        <v>0</v>
      </c>
      <c r="AY196" s="4">
        <f t="shared" si="49"/>
        <v>0</v>
      </c>
      <c r="AZ196" s="4">
        <f t="shared" si="50"/>
        <v>1</v>
      </c>
      <c r="BA196" s="4">
        <f t="shared" si="51"/>
        <v>1</v>
      </c>
      <c r="BB196" s="4">
        <f t="shared" si="52"/>
        <v>1</v>
      </c>
      <c r="BC196" s="4">
        <f t="shared" si="53"/>
        <v>1</v>
      </c>
      <c r="BE196" s="405">
        <f t="shared" si="54"/>
        <v>0</v>
      </c>
      <c r="BF196" s="405">
        <f t="shared" si="55"/>
        <v>0</v>
      </c>
      <c r="BG196" s="405">
        <f t="shared" si="56"/>
        <v>0</v>
      </c>
      <c r="BH196" s="405">
        <f t="shared" si="57"/>
        <v>0</v>
      </c>
      <c r="BI196" s="405">
        <f t="shared" si="58"/>
        <v>0</v>
      </c>
      <c r="BJ196" s="405">
        <f t="shared" si="59"/>
        <v>0</v>
      </c>
      <c r="BK196" s="405">
        <f t="shared" si="60"/>
        <v>0</v>
      </c>
      <c r="BL196" s="405">
        <f t="shared" si="61"/>
        <v>0</v>
      </c>
      <c r="BM196" s="405">
        <f t="shared" si="62"/>
        <v>0</v>
      </c>
      <c r="BN196" s="405">
        <f t="shared" si="62"/>
        <v>0</v>
      </c>
    </row>
    <row r="197" spans="1:66" x14ac:dyDescent="0.2">
      <c r="A197" s="34">
        <v>598</v>
      </c>
      <c r="B197" s="88" t="s">
        <v>511</v>
      </c>
      <c r="C197" s="41" t="e">
        <f>'2. Toimintakate'!D197+'3. Verotulot'!G197+'4. Valtionosuudet'!#REF!+'5. Rahoitustuotot ja -kulut'!C197</f>
        <v>#REF!</v>
      </c>
      <c r="D197" s="41">
        <f>'2. Toimintakate'!E197+'4. Valtionosuudet'!H197+'3. Verotulot'!L197+'5. Rahoitustuotot ja -kulut'!D197</f>
        <v>1903</v>
      </c>
      <c r="E197" s="41">
        <f>'2. Toimintakate'!F197+'4. Valtionosuudet'!N197+'3. Verotulot'!Q197+'5. Rahoitustuotot ja -kulut'!E197</f>
        <v>4299</v>
      </c>
      <c r="F197" s="41">
        <f>'2. Toimintakate'!G197+'4. Valtionosuudet'!T197+'3. Verotulot'!V197+'5. Rahoitustuotot ja -kulut'!F197</f>
        <v>4860</v>
      </c>
      <c r="G197" s="41">
        <f>'2. Toimintakate'!H197+'3. Verotulot'!AA197+'4. Valtionosuudet'!Z197+'5. Rahoitustuotot ja -kulut'!G197</f>
        <v>-597</v>
      </c>
      <c r="H197" s="41">
        <f>Käyttökate!H197+'5. Rahoitustuotot ja -kulut'!H197</f>
        <v>6804.3712488695528</v>
      </c>
      <c r="I197" s="41">
        <f>Käyttökate!I197+'5. Rahoitustuotot ja -kulut'!I197</f>
        <v>5792.092650888635</v>
      </c>
      <c r="J197" s="41">
        <f>Käyttökate!J197+'5. Rahoitustuotot ja -kulut'!J197</f>
        <v>6179.5158648864208</v>
      </c>
      <c r="K197" s="41">
        <f>Käyttökate!K197+'5. Rahoitustuotot ja -kulut'!K197</f>
        <v>11551.601363822241</v>
      </c>
      <c r="L197" s="41">
        <f>Käyttökate!L197+'5. Rahoitustuotot ja -kulut'!L197</f>
        <v>6503.1075237854675</v>
      </c>
      <c r="M197" s="41">
        <f>Käyttökate!M197+'5. Rahoitustuotot ja -kulut'!M197</f>
        <v>3068.0367048730732</v>
      </c>
      <c r="N197" s="41">
        <f>Käyttökate!N197+'5. Rahoitustuotot ja -kulut'!N197</f>
        <v>4218.2779646486761</v>
      </c>
      <c r="O197" s="41">
        <f>Käyttökate!O197+'5. Rahoitustuotot ja -kulut'!O197</f>
        <v>4947.7252581307948</v>
      </c>
      <c r="P197" s="41">
        <f>Käyttökate!P197+'5. Rahoitustuotot ja -kulut'!P197</f>
        <v>6391.0702224727356</v>
      </c>
      <c r="T197" s="34">
        <v>598</v>
      </c>
      <c r="U197" s="88" t="s">
        <v>511</v>
      </c>
      <c r="V197" s="41" t="e">
        <f>C197/'1. Väestöennuste'!E197*1000</f>
        <v>#REF!</v>
      </c>
      <c r="W197" s="41">
        <f>D197/'1. Väestöennuste'!F197*1000</f>
        <v>98.209217113072199</v>
      </c>
      <c r="X197" s="41">
        <f>E197/'1. Väestöennuste'!G197*1000</f>
        <v>221.8380721399453</v>
      </c>
      <c r="Y197" s="41">
        <f>F197/'1. Väestöennuste'!H197*1000</f>
        <v>252.10084033613444</v>
      </c>
      <c r="Z197" s="41">
        <f>G197/'1. Väestöennuste'!I197*1000</f>
        <v>-31.0807996668055</v>
      </c>
      <c r="AA197" s="41">
        <f>H197/'1. Väestöennuste'!J197*1000</f>
        <v>356.8850964475796</v>
      </c>
      <c r="AB197" s="41">
        <f>I197/'1. Väestöennuste'!K197*1000</f>
        <v>303.29856264798843</v>
      </c>
      <c r="AC197" s="41">
        <f>J197/'1. Väestöennuste'!L197*1000</f>
        <v>321.73248632719429</v>
      </c>
      <c r="AD197" s="41">
        <f>K197/'1. Väestöennuste'!M197*1000</f>
        <v>593.1502625839405</v>
      </c>
      <c r="AE197" s="41">
        <f>L197/'1. Väestöennuste'!N197*1000</f>
        <v>346.555157142844</v>
      </c>
      <c r="AF197" s="41">
        <f>M197/'1. Väestöennuste'!O197*1000</f>
        <v>164.20663160314027</v>
      </c>
      <c r="AG197" s="41">
        <f>N197/'1. Väestöennuste'!P197*1000</f>
        <v>226.78913788433741</v>
      </c>
      <c r="AH197" s="41">
        <f>O197/'1. Väestöennuste'!Q197*1000</f>
        <v>267.15579147574488</v>
      </c>
      <c r="AI197" s="41">
        <f>P197/'1. Väestöennuste'!R197*1000</f>
        <v>346.56852787119658</v>
      </c>
      <c r="AK197" s="41">
        <f>'6. Poistot'!Z197</f>
        <v>391.29529362765516</v>
      </c>
      <c r="AL197" s="41">
        <f>'6. Poistot'!AA197</f>
        <v>356.76072589950695</v>
      </c>
      <c r="AM197" s="41">
        <f>'6. Poistot'!AB197</f>
        <v>354.24637377598572</v>
      </c>
      <c r="AN197" s="41">
        <f>'6. Poistot'!AC197</f>
        <v>359.38090279585566</v>
      </c>
      <c r="AO197" s="41">
        <f>'6. Poistot'!AD197</f>
        <v>359.10848883183564</v>
      </c>
      <c r="AP197" s="41">
        <f>'6. Poistot'!AE197</f>
        <v>365.04130029309886</v>
      </c>
      <c r="AQ197" s="41">
        <f>'6. Poistot'!AF197</f>
        <v>366.62384928280881</v>
      </c>
      <c r="AR197" s="41">
        <f>'6. Poistot'!AG197</f>
        <v>368.27956989247315</v>
      </c>
      <c r="AS197" s="41">
        <f>'6. Poistot'!AH197</f>
        <v>381.80477500280824</v>
      </c>
      <c r="AT197" s="41">
        <f>'6. Poistot'!AI197</f>
        <v>395.42589155165217</v>
      </c>
      <c r="AV197" s="4">
        <f t="shared" si="46"/>
        <v>1</v>
      </c>
      <c r="AW197" s="4">
        <f t="shared" si="47"/>
        <v>1</v>
      </c>
      <c r="AX197" s="4">
        <f t="shared" si="48"/>
        <v>0</v>
      </c>
      <c r="AY197" s="4">
        <f t="shared" si="49"/>
        <v>1</v>
      </c>
      <c r="AZ197" s="4">
        <f t="shared" si="50"/>
        <v>1</v>
      </c>
      <c r="BA197" s="4">
        <f t="shared" si="51"/>
        <v>1</v>
      </c>
      <c r="BB197" s="4">
        <f t="shared" si="52"/>
        <v>1</v>
      </c>
      <c r="BC197" s="4">
        <f t="shared" si="53"/>
        <v>1</v>
      </c>
      <c r="BE197" s="405">
        <f t="shared" si="54"/>
        <v>-1</v>
      </c>
      <c r="BF197" s="405">
        <f t="shared" si="55"/>
        <v>0</v>
      </c>
      <c r="BG197" s="405">
        <f t="shared" si="56"/>
        <v>0</v>
      </c>
      <c r="BH197" s="405">
        <f t="shared" si="57"/>
        <v>0</v>
      </c>
      <c r="BI197" s="405">
        <f t="shared" si="58"/>
        <v>0</v>
      </c>
      <c r="BJ197" s="405">
        <f t="shared" si="59"/>
        <v>0</v>
      </c>
      <c r="BK197" s="405">
        <f t="shared" si="60"/>
        <v>0</v>
      </c>
      <c r="BL197" s="405">
        <f t="shared" si="61"/>
        <v>0</v>
      </c>
      <c r="BM197" s="405">
        <f t="shared" si="62"/>
        <v>0</v>
      </c>
      <c r="BN197" s="405">
        <f t="shared" si="62"/>
        <v>0</v>
      </c>
    </row>
    <row r="198" spans="1:66" x14ac:dyDescent="0.2">
      <c r="A198" s="34">
        <v>599</v>
      </c>
      <c r="B198" s="88" t="s">
        <v>512</v>
      </c>
      <c r="C198" s="41" t="e">
        <f>'2. Toimintakate'!D198+'3. Verotulot'!G198+'4. Valtionosuudet'!#REF!+'5. Rahoitustuotot ja -kulut'!C198</f>
        <v>#REF!</v>
      </c>
      <c r="D198" s="41">
        <f>'2. Toimintakate'!E198+'4. Valtionosuudet'!H198+'3. Verotulot'!L198+'5. Rahoitustuotot ja -kulut'!D198</f>
        <v>1173</v>
      </c>
      <c r="E198" s="41">
        <f>'2. Toimintakate'!F198+'4. Valtionosuudet'!N198+'3. Verotulot'!Q198+'5. Rahoitustuotot ja -kulut'!E198</f>
        <v>2199</v>
      </c>
      <c r="F198" s="41">
        <f>'2. Toimintakate'!G198+'4. Valtionosuudet'!T198+'3. Verotulot'!V198+'5. Rahoitustuotot ja -kulut'!F198</f>
        <v>62</v>
      </c>
      <c r="G198" s="41">
        <f>'2. Toimintakate'!H198+'3. Verotulot'!AA198+'4. Valtionosuudet'!Z198+'5. Rahoitustuotot ja -kulut'!G198</f>
        <v>-1710</v>
      </c>
      <c r="H198" s="41">
        <f>Käyttökate!H198+'5. Rahoitustuotot ja -kulut'!H198</f>
        <v>6669.1615216316532</v>
      </c>
      <c r="I198" s="41">
        <f>Käyttökate!I198+'5. Rahoitustuotot ja -kulut'!I198</f>
        <v>4756.8215429745314</v>
      </c>
      <c r="J198" s="41">
        <f>Käyttökate!J198+'5. Rahoitustuotot ja -kulut'!J198</f>
        <v>5024.7609202018666</v>
      </c>
      <c r="K198" s="41">
        <f>Käyttökate!K198+'5. Rahoitustuotot ja -kulut'!K198</f>
        <v>4892.4860836694634</v>
      </c>
      <c r="L198" s="41">
        <f>Käyttökate!L198+'5. Rahoitustuotot ja -kulut'!L198</f>
        <v>3575.1598418400145</v>
      </c>
      <c r="M198" s="41">
        <f>Käyttökate!M198+'5. Rahoitustuotot ja -kulut'!M198</f>
        <v>3266.1851054651788</v>
      </c>
      <c r="N198" s="41">
        <f>Käyttökate!N198+'5. Rahoitustuotot ja -kulut'!N198</f>
        <v>3784.5981609965538</v>
      </c>
      <c r="O198" s="41">
        <f>Käyttökate!O198+'5. Rahoitustuotot ja -kulut'!O198</f>
        <v>4612.4255901779152</v>
      </c>
      <c r="P198" s="41">
        <f>Käyttökate!P198+'5. Rahoitustuotot ja -kulut'!P198</f>
        <v>5124.1490916073872</v>
      </c>
      <c r="T198" s="34">
        <v>599</v>
      </c>
      <c r="U198" s="88" t="s">
        <v>512</v>
      </c>
      <c r="V198" s="41" t="e">
        <f>C198/'1. Väestöennuste'!E198*1000</f>
        <v>#REF!</v>
      </c>
      <c r="W198" s="41">
        <f>D198/'1. Väestöennuste'!F198*1000</f>
        <v>105.99078341013825</v>
      </c>
      <c r="X198" s="41">
        <f>E198/'1. Väestöennuste'!G198*1000</f>
        <v>198.39408155900398</v>
      </c>
      <c r="Y198" s="41">
        <f>F198/'1. Väestöennuste'!H198*1000</f>
        <v>5.6281771968046481</v>
      </c>
      <c r="Z198" s="41">
        <f>G198/'1. Väestöennuste'!I198*1000</f>
        <v>-154.31820232830972</v>
      </c>
      <c r="AA198" s="41">
        <f>H198/'1. Väestöennuste'!J198*1000</f>
        <v>596.84638639982575</v>
      </c>
      <c r="AB198" s="41">
        <f>I198/'1. Väestöennuste'!K198*1000</f>
        <v>425.78066084627028</v>
      </c>
      <c r="AC198" s="41">
        <f>J198/'1. Väestöennuste'!L198*1000</f>
        <v>448.39915404264377</v>
      </c>
      <c r="AD198" s="41">
        <f>K198/'1. Väestöennuste'!M198*1000</f>
        <v>435.856221262313</v>
      </c>
      <c r="AE198" s="41">
        <f>L198/'1. Väestöennuste'!N198*1000</f>
        <v>317.22802500798707</v>
      </c>
      <c r="AF198" s="41">
        <f>M198/'1. Väestöennuste'!O198*1000</f>
        <v>289.27332437031077</v>
      </c>
      <c r="AG198" s="41">
        <f>N198/'1. Väestöennuste'!P198*1000</f>
        <v>334.65365293098893</v>
      </c>
      <c r="AH198" s="41">
        <f>O198/'1. Väestöennuste'!Q198*1000</f>
        <v>407.38611465976993</v>
      </c>
      <c r="AI198" s="41">
        <f>P198/'1. Väestöennuste'!R198*1000</f>
        <v>452.18400031833636</v>
      </c>
      <c r="AK198" s="41">
        <f>'6. Poistot'!Z198</f>
        <v>207.29176067141955</v>
      </c>
      <c r="AL198" s="41">
        <f>'6. Poistot'!AA198</f>
        <v>204.76105244317165</v>
      </c>
      <c r="AM198" s="41">
        <f>'6. Poistot'!AB198</f>
        <v>249.35880415324027</v>
      </c>
      <c r="AN198" s="41">
        <f>'6. Poistot'!AC198</f>
        <v>217.65673389255753</v>
      </c>
      <c r="AO198" s="41">
        <f>'6. Poistot'!AD198</f>
        <v>244.78103340757241</v>
      </c>
      <c r="AP198" s="41">
        <f>'6. Poistot'!AE198</f>
        <v>261.93478260869568</v>
      </c>
      <c r="AQ198" s="41">
        <f>'6. Poistot'!AF198</f>
        <v>265.87547604286601</v>
      </c>
      <c r="AR198" s="41">
        <f>'6. Poistot'!AG198</f>
        <v>265.45229463259352</v>
      </c>
      <c r="AS198" s="41">
        <f>'6. Poistot'!AH198</f>
        <v>273.70283999786125</v>
      </c>
      <c r="AT198" s="41">
        <f>'6. Poistot'!AI198</f>
        <v>282.00909891559928</v>
      </c>
      <c r="AV198" s="4">
        <f t="shared" si="46"/>
        <v>0</v>
      </c>
      <c r="AW198" s="4">
        <f t="shared" si="47"/>
        <v>0</v>
      </c>
      <c r="AX198" s="4">
        <f t="shared" si="48"/>
        <v>0</v>
      </c>
      <c r="AY198" s="4">
        <f t="shared" si="49"/>
        <v>0</v>
      </c>
      <c r="AZ198" s="4">
        <f t="shared" si="50"/>
        <v>0</v>
      </c>
      <c r="BA198" s="4">
        <f t="shared" si="51"/>
        <v>0</v>
      </c>
      <c r="BB198" s="4">
        <f t="shared" si="52"/>
        <v>0</v>
      </c>
      <c r="BC198" s="4">
        <f t="shared" si="53"/>
        <v>0</v>
      </c>
      <c r="BE198" s="405">
        <f t="shared" si="54"/>
        <v>-1</v>
      </c>
      <c r="BF198" s="405">
        <f t="shared" si="55"/>
        <v>0</v>
      </c>
      <c r="BG198" s="405">
        <f t="shared" si="56"/>
        <v>0</v>
      </c>
      <c r="BH198" s="405">
        <f t="shared" si="57"/>
        <v>0</v>
      </c>
      <c r="BI198" s="405">
        <f t="shared" si="58"/>
        <v>0</v>
      </c>
      <c r="BJ198" s="405">
        <f t="shared" si="59"/>
        <v>0</v>
      </c>
      <c r="BK198" s="405">
        <f t="shared" si="60"/>
        <v>0</v>
      </c>
      <c r="BL198" s="405">
        <f t="shared" si="61"/>
        <v>0</v>
      </c>
      <c r="BM198" s="405">
        <f t="shared" si="62"/>
        <v>0</v>
      </c>
      <c r="BN198" s="405">
        <f t="shared" si="62"/>
        <v>0</v>
      </c>
    </row>
    <row r="199" spans="1:66" x14ac:dyDescent="0.2">
      <c r="A199" s="34">
        <v>601</v>
      </c>
      <c r="B199" s="88" t="s">
        <v>513</v>
      </c>
      <c r="C199" s="41" t="e">
        <f>'2. Toimintakate'!D199+'3. Verotulot'!G199+'4. Valtionosuudet'!#REF!+'5. Rahoitustuotot ja -kulut'!C199</f>
        <v>#REF!</v>
      </c>
      <c r="D199" s="41">
        <f>'2. Toimintakate'!E199+'4. Valtionosuudet'!H199+'3. Verotulot'!L199+'5. Rahoitustuotot ja -kulut'!D199</f>
        <v>2356</v>
      </c>
      <c r="E199" s="41">
        <f>'2. Toimintakate'!F199+'4. Valtionosuudet'!N199+'3. Verotulot'!Q199+'5. Rahoitustuotot ja -kulut'!E199</f>
        <v>1931</v>
      </c>
      <c r="F199" s="41">
        <f>'2. Toimintakate'!G199+'4. Valtionosuudet'!T199+'3. Verotulot'!V199+'5. Rahoitustuotot ja -kulut'!F199</f>
        <v>865</v>
      </c>
      <c r="G199" s="41">
        <f>'2. Toimintakate'!H199+'3. Verotulot'!AA199+'4. Valtionosuudet'!Z199+'5. Rahoitustuotot ja -kulut'!G199</f>
        <v>281</v>
      </c>
      <c r="H199" s="41">
        <f>Käyttökate!H199+'5. Rahoitustuotot ja -kulut'!H199</f>
        <v>2419.8749571643857</v>
      </c>
      <c r="I199" s="41">
        <f>Käyttökate!I199+'5. Rahoitustuotot ja -kulut'!I199</f>
        <v>3377.6824118769473</v>
      </c>
      <c r="J199" s="41">
        <f>Käyttökate!J199+'5. Rahoitustuotot ja -kulut'!J199</f>
        <v>2100.5441532395957</v>
      </c>
      <c r="K199" s="41">
        <f>Käyttökate!K199+'5. Rahoitustuotot ja -kulut'!K199</f>
        <v>3054.797617569272</v>
      </c>
      <c r="L199" s="41">
        <f>Käyttökate!L199+'5. Rahoitustuotot ja -kulut'!L199</f>
        <v>1043.0315286978484</v>
      </c>
      <c r="M199" s="41">
        <f>Käyttökate!M199+'5. Rahoitustuotot ja -kulut'!M199</f>
        <v>972.29800161004459</v>
      </c>
      <c r="N199" s="41">
        <f>Käyttökate!N199+'5. Rahoitustuotot ja -kulut'!N199</f>
        <v>606.28433034438967</v>
      </c>
      <c r="O199" s="41">
        <f>Käyttökate!O199+'5. Rahoitustuotot ja -kulut'!O199</f>
        <v>341.23942389793962</v>
      </c>
      <c r="P199" s="41">
        <f>Käyttökate!P199+'5. Rahoitustuotot ja -kulut'!P199</f>
        <v>453.95614863312818</v>
      </c>
      <c r="T199" s="34">
        <v>601</v>
      </c>
      <c r="U199" s="88" t="s">
        <v>513</v>
      </c>
      <c r="V199" s="41" t="e">
        <f>C199/'1. Väestöennuste'!E199*1000</f>
        <v>#REF!</v>
      </c>
      <c r="W199" s="41">
        <f>D199/'1. Väestöennuste'!F199*1000</f>
        <v>560.68538791051878</v>
      </c>
      <c r="X199" s="41">
        <f>E199/'1. Väestöennuste'!G199*1000</f>
        <v>467.89435425248365</v>
      </c>
      <c r="Y199" s="41">
        <f>F199/'1. Väestöennuste'!H199*1000</f>
        <v>213.42215642733777</v>
      </c>
      <c r="Z199" s="41">
        <f>G199/'1. Väestöennuste'!I199*1000</f>
        <v>69.692460317460316</v>
      </c>
      <c r="AA199" s="41">
        <f>H199/'1. Väestöennuste'!J199*1000</f>
        <v>615.58762583678094</v>
      </c>
      <c r="AB199" s="41">
        <f>I199/'1. Väestöennuste'!K199*1000</f>
        <v>872.1100985997798</v>
      </c>
      <c r="AC199" s="41">
        <f>J199/'1. Väestöennuste'!L199*1000</f>
        <v>554.81884660316848</v>
      </c>
      <c r="AD199" s="41">
        <f>K199/'1. Väestöennuste'!M199*1000</f>
        <v>817.0092585101022</v>
      </c>
      <c r="AE199" s="41">
        <f>L199/'1. Väestöennuste'!N199*1000</f>
        <v>283.2016097469043</v>
      </c>
      <c r="AF199" s="41">
        <f>M199/'1. Väestöennuste'!O199*1000</f>
        <v>267.99834664003436</v>
      </c>
      <c r="AG199" s="41">
        <f>N199/'1. Väestöennuste'!P199*1000</f>
        <v>169.6849511179372</v>
      </c>
      <c r="AH199" s="41">
        <f>O199/'1. Väestöennuste'!Q199*1000</f>
        <v>96.860466618773657</v>
      </c>
      <c r="AI199" s="41">
        <f>P199/'1. Väestöennuste'!R199*1000</f>
        <v>130.71009174578984</v>
      </c>
      <c r="AK199" s="41">
        <f>'6. Poistot'!Z199</f>
        <v>426.83531746031747</v>
      </c>
      <c r="AL199" s="41">
        <f>'6. Poistot'!AA199</f>
        <v>440.60035614347493</v>
      </c>
      <c r="AM199" s="41">
        <f>'6. Poistot'!AB199</f>
        <v>444.76930544797312</v>
      </c>
      <c r="AN199" s="41">
        <f>'6. Poistot'!AC199</f>
        <v>452.972411516112</v>
      </c>
      <c r="AO199" s="41">
        <f>'6. Poistot'!AD199</f>
        <v>453.07121957742714</v>
      </c>
      <c r="AP199" s="41">
        <f>'6. Poistot'!AE199</f>
        <v>490.64512625576975</v>
      </c>
      <c r="AQ199" s="41">
        <f>'6. Poistot'!AF199</f>
        <v>498.08324145534732</v>
      </c>
      <c r="AR199" s="41">
        <f>'6. Poistot'!AG199</f>
        <v>505.75034984606771</v>
      </c>
      <c r="AS199" s="41">
        <f>'6. Poistot'!AH199</f>
        <v>529.47850176002544</v>
      </c>
      <c r="AT199" s="41">
        <f>'6. Poistot'!AI199</f>
        <v>553.88987140833262</v>
      </c>
      <c r="AV199" s="4">
        <f t="shared" si="46"/>
        <v>0</v>
      </c>
      <c r="AW199" s="4">
        <f t="shared" si="47"/>
        <v>0</v>
      </c>
      <c r="AX199" s="4">
        <f t="shared" si="48"/>
        <v>0</v>
      </c>
      <c r="AY199" s="4">
        <f t="shared" si="49"/>
        <v>1</v>
      </c>
      <c r="AZ199" s="4">
        <f t="shared" si="50"/>
        <v>1</v>
      </c>
      <c r="BA199" s="4">
        <f t="shared" si="51"/>
        <v>1</v>
      </c>
      <c r="BB199" s="4">
        <f t="shared" si="52"/>
        <v>1</v>
      </c>
      <c r="BC199" s="4">
        <f t="shared" si="53"/>
        <v>1</v>
      </c>
      <c r="BE199" s="405">
        <f t="shared" si="54"/>
        <v>0</v>
      </c>
      <c r="BF199" s="405">
        <f t="shared" si="55"/>
        <v>0</v>
      </c>
      <c r="BG199" s="405">
        <f t="shared" si="56"/>
        <v>0</v>
      </c>
      <c r="BH199" s="405">
        <f t="shared" si="57"/>
        <v>0</v>
      </c>
      <c r="BI199" s="405">
        <f t="shared" si="58"/>
        <v>0</v>
      </c>
      <c r="BJ199" s="405">
        <f t="shared" si="59"/>
        <v>0</v>
      </c>
      <c r="BK199" s="405">
        <f t="shared" si="60"/>
        <v>0</v>
      </c>
      <c r="BL199" s="405">
        <f t="shared" si="61"/>
        <v>0</v>
      </c>
      <c r="BM199" s="405">
        <f t="shared" si="62"/>
        <v>0</v>
      </c>
      <c r="BN199" s="405">
        <f t="shared" si="62"/>
        <v>0</v>
      </c>
    </row>
    <row r="200" spans="1:66" x14ac:dyDescent="0.2">
      <c r="A200" s="34">
        <v>604</v>
      </c>
      <c r="B200" s="88" t="s">
        <v>514</v>
      </c>
      <c r="C200" s="41" t="e">
        <f>'2. Toimintakate'!D200+'3. Verotulot'!G200+'4. Valtionosuudet'!#REF!+'5. Rahoitustuotot ja -kulut'!C200</f>
        <v>#REF!</v>
      </c>
      <c r="D200" s="41">
        <f>'2. Toimintakate'!E200+'4. Valtionosuudet'!H200+'3. Verotulot'!L200+'5. Rahoitustuotot ja -kulut'!D200</f>
        <v>16122</v>
      </c>
      <c r="E200" s="41">
        <f>'2. Toimintakate'!F200+'4. Valtionosuudet'!N200+'3. Verotulot'!Q200+'5. Rahoitustuotot ja -kulut'!E200</f>
        <v>10461</v>
      </c>
      <c r="F200" s="41">
        <f>'2. Toimintakate'!G200+'4. Valtionosuudet'!T200+'3. Verotulot'!V200+'5. Rahoitustuotot ja -kulut'!F200</f>
        <v>6751</v>
      </c>
      <c r="G200" s="41">
        <f>'2. Toimintakate'!H200+'3. Verotulot'!AA200+'4. Valtionosuudet'!Z200+'5. Rahoitustuotot ja -kulut'!G200</f>
        <v>6773</v>
      </c>
      <c r="H200" s="41">
        <f>Käyttökate!H200+'5. Rahoitustuotot ja -kulut'!H200</f>
        <v>14266.014101546494</v>
      </c>
      <c r="I200" s="41">
        <f>Käyttökate!I200+'5. Rahoitustuotot ja -kulut'!I200</f>
        <v>10877.872268131347</v>
      </c>
      <c r="J200" s="41">
        <f>Käyttökate!J200+'5. Rahoitustuotot ja -kulut'!J200</f>
        <v>14233.565917100143</v>
      </c>
      <c r="K200" s="41">
        <f>Käyttökate!K200+'5. Rahoitustuotot ja -kulut'!K200</f>
        <v>18438.642239092522</v>
      </c>
      <c r="L200" s="41">
        <f>Käyttökate!L200+'5. Rahoitustuotot ja -kulut'!L200</f>
        <v>11572.380778794017</v>
      </c>
      <c r="M200" s="41">
        <f>Käyttökate!M200+'5. Rahoitustuotot ja -kulut'!M200</f>
        <v>9707.2849182561549</v>
      </c>
      <c r="N200" s="41">
        <f>Käyttökate!N200+'5. Rahoitustuotot ja -kulut'!N200</f>
        <v>10180.200708886394</v>
      </c>
      <c r="O200" s="41">
        <f>Käyttökate!O200+'5. Rahoitustuotot ja -kulut'!O200</f>
        <v>9832.6867962380893</v>
      </c>
      <c r="P200" s="41">
        <f>Käyttökate!P200+'5. Rahoitustuotot ja -kulut'!P200</f>
        <v>11127.627250040696</v>
      </c>
      <c r="T200" s="34">
        <v>604</v>
      </c>
      <c r="U200" s="88" t="s">
        <v>514</v>
      </c>
      <c r="V200" s="41" t="e">
        <f>C200/'1. Väestöennuste'!E200*1000</f>
        <v>#REF!</v>
      </c>
      <c r="W200" s="41">
        <f>D200/'1. Väestöennuste'!F200*1000</f>
        <v>841.30877211292602</v>
      </c>
      <c r="X200" s="41">
        <f>E200/'1. Väestöennuste'!G200*1000</f>
        <v>543.79581015750898</v>
      </c>
      <c r="Y200" s="41">
        <f>F200/'1. Väestöennuste'!H200*1000</f>
        <v>348.56464270962414</v>
      </c>
      <c r="Z200" s="41">
        <f>G200/'1. Väestöennuste'!I200*1000</f>
        <v>345.15619426183559</v>
      </c>
      <c r="AA200" s="41">
        <f>H200/'1. Väestöennuste'!J200*1000</f>
        <v>720.39661170259524</v>
      </c>
      <c r="AB200" s="41">
        <f>I200/'1. Väestöennuste'!K200*1000</f>
        <v>538.34862259385068</v>
      </c>
      <c r="AC200" s="41">
        <f>J200/'1. Väestöennuste'!L200*1000</f>
        <v>697.55285062975463</v>
      </c>
      <c r="AD200" s="41">
        <f>K200/'1. Väestöennuste'!M200*1000</f>
        <v>888.05289404674284</v>
      </c>
      <c r="AE200" s="41">
        <f>L200/'1. Väestöennuste'!N200*1000</f>
        <v>565.14043945861295</v>
      </c>
      <c r="AF200" s="41">
        <f>M200/'1. Väestöennuste'!O200*1000</f>
        <v>470.51936010160222</v>
      </c>
      <c r="AG200" s="41">
        <f>N200/'1. Väestöennuste'!P200*1000</f>
        <v>489.95094373310201</v>
      </c>
      <c r="AH200" s="41">
        <f>O200/'1. Väestöennuste'!Q200*1000</f>
        <v>470.08112043974228</v>
      </c>
      <c r="AI200" s="41">
        <f>P200/'1. Väestöennuste'!R200*1000</f>
        <v>528.65348710345836</v>
      </c>
      <c r="AK200" s="41">
        <f>'6. Poistot'!Z200</f>
        <v>404.67818376395047</v>
      </c>
      <c r="AL200" s="41">
        <f>'6. Poistot'!AA200</f>
        <v>554.25945563803464</v>
      </c>
      <c r="AM200" s="41">
        <f>'6. Poistot'!AB200</f>
        <v>704.67401316440657</v>
      </c>
      <c r="AN200" s="41">
        <f>'6. Poistot'!AC200</f>
        <v>487.22620387160003</v>
      </c>
      <c r="AO200" s="41">
        <f>'6. Poistot'!AD200</f>
        <v>504.84106487501799</v>
      </c>
      <c r="AP200" s="41">
        <f>'6. Poistot'!AE200</f>
        <v>559.03345216584455</v>
      </c>
      <c r="AQ200" s="41">
        <f>'6. Poistot'!AF200</f>
        <v>575.44035674470467</v>
      </c>
      <c r="AR200" s="41">
        <f>'6. Poistot'!AG200</f>
        <v>570.29723746270099</v>
      </c>
      <c r="AS200" s="41">
        <f>'6. Poistot'!AH200</f>
        <v>584.78655596221756</v>
      </c>
      <c r="AT200" s="41">
        <f>'6. Poistot'!AI200</f>
        <v>599.28380360698407</v>
      </c>
      <c r="AV200" s="4">
        <f t="shared" si="46"/>
        <v>1</v>
      </c>
      <c r="AW200" s="4">
        <f t="shared" si="47"/>
        <v>0</v>
      </c>
      <c r="AX200" s="4">
        <f t="shared" si="48"/>
        <v>0</v>
      </c>
      <c r="AY200" s="4">
        <f t="shared" si="49"/>
        <v>0</v>
      </c>
      <c r="AZ200" s="4">
        <f t="shared" si="50"/>
        <v>1</v>
      </c>
      <c r="BA200" s="4">
        <f t="shared" si="51"/>
        <v>1</v>
      </c>
      <c r="BB200" s="4">
        <f t="shared" si="52"/>
        <v>1</v>
      </c>
      <c r="BC200" s="4">
        <f t="shared" si="53"/>
        <v>1</v>
      </c>
      <c r="BE200" s="405">
        <f t="shared" si="54"/>
        <v>0</v>
      </c>
      <c r="BF200" s="405">
        <f t="shared" si="55"/>
        <v>0</v>
      </c>
      <c r="BG200" s="405">
        <f t="shared" si="56"/>
        <v>0</v>
      </c>
      <c r="BH200" s="405">
        <f t="shared" si="57"/>
        <v>0</v>
      </c>
      <c r="BI200" s="405">
        <f t="shared" si="58"/>
        <v>0</v>
      </c>
      <c r="BJ200" s="405">
        <f t="shared" si="59"/>
        <v>0</v>
      </c>
      <c r="BK200" s="405">
        <f t="shared" si="60"/>
        <v>0</v>
      </c>
      <c r="BL200" s="405">
        <f t="shared" si="61"/>
        <v>0</v>
      </c>
      <c r="BM200" s="405">
        <f t="shared" si="62"/>
        <v>0</v>
      </c>
      <c r="BN200" s="405">
        <f t="shared" si="62"/>
        <v>0</v>
      </c>
    </row>
    <row r="201" spans="1:66" x14ac:dyDescent="0.2">
      <c r="A201" s="34">
        <v>607</v>
      </c>
      <c r="B201" s="88" t="s">
        <v>515</v>
      </c>
      <c r="C201" s="41" t="e">
        <f>'2. Toimintakate'!D201+'3. Verotulot'!G201+'4. Valtionosuudet'!#REF!+'5. Rahoitustuotot ja -kulut'!C201</f>
        <v>#REF!</v>
      </c>
      <c r="D201" s="41">
        <f>'2. Toimintakate'!E201+'4. Valtionosuudet'!H201+'3. Verotulot'!L201+'5. Rahoitustuotot ja -kulut'!D201</f>
        <v>2140</v>
      </c>
      <c r="E201" s="41">
        <f>'2. Toimintakate'!F201+'4. Valtionosuudet'!N201+'3. Verotulot'!Q201+'5. Rahoitustuotot ja -kulut'!E201</f>
        <v>2526</v>
      </c>
      <c r="F201" s="41">
        <f>'2. Toimintakate'!G201+'4. Valtionosuudet'!T201+'3. Verotulot'!V201+'5. Rahoitustuotot ja -kulut'!F201</f>
        <v>881</v>
      </c>
      <c r="G201" s="41">
        <f>'2. Toimintakate'!H201+'3. Verotulot'!AA201+'4. Valtionosuudet'!Z201+'5. Rahoitustuotot ja -kulut'!G201</f>
        <v>1074</v>
      </c>
      <c r="H201" s="41">
        <f>Käyttökate!H201+'5. Rahoitustuotot ja -kulut'!H201</f>
        <v>1758.810480871598</v>
      </c>
      <c r="I201" s="41">
        <f>Käyttökate!I201+'5. Rahoitustuotot ja -kulut'!I201</f>
        <v>-52.734461397483045</v>
      </c>
      <c r="J201" s="41">
        <f>Käyttökate!J201+'5. Rahoitustuotot ja -kulut'!J201</f>
        <v>-607.81364669900586</v>
      </c>
      <c r="K201" s="41">
        <f>Käyttökate!K201+'5. Rahoitustuotot ja -kulut'!K201</f>
        <v>101.70843834670892</v>
      </c>
      <c r="L201" s="41">
        <f>Käyttökate!L201+'5. Rahoitustuotot ja -kulut'!L201</f>
        <v>-718.59393055172177</v>
      </c>
      <c r="M201" s="41">
        <f>Käyttökate!M201+'5. Rahoitustuotot ja -kulut'!M201</f>
        <v>-1886.9123767949877</v>
      </c>
      <c r="N201" s="41">
        <f>Käyttökate!N201+'5. Rahoitustuotot ja -kulut'!N201</f>
        <v>-1690.8345535544486</v>
      </c>
      <c r="O201" s="41">
        <f>Käyttökate!O201+'5. Rahoitustuotot ja -kulut'!O201</f>
        <v>-1840.0322865967075</v>
      </c>
      <c r="P201" s="41">
        <f>Käyttökate!P201+'5. Rahoitustuotot ja -kulut'!P201</f>
        <v>-1438.3910204886436</v>
      </c>
      <c r="T201" s="34">
        <v>607</v>
      </c>
      <c r="U201" s="88" t="s">
        <v>515</v>
      </c>
      <c r="V201" s="41" t="e">
        <f>C201/'1. Väestöennuste'!E201*1000</f>
        <v>#REF!</v>
      </c>
      <c r="W201" s="41">
        <f>D201/'1. Väestöennuste'!F201*1000</f>
        <v>474.08063801506421</v>
      </c>
      <c r="X201" s="41">
        <f>E201/'1. Väestöennuste'!G201*1000</f>
        <v>572.27004984141377</v>
      </c>
      <c r="Y201" s="41">
        <f>F201/'1. Väestöennuste'!H201*1000</f>
        <v>204.5507313675412</v>
      </c>
      <c r="Z201" s="41">
        <f>G201/'1. Väestöennuste'!I201*1000</f>
        <v>252.94394724446539</v>
      </c>
      <c r="AA201" s="41">
        <f>H201/'1. Väestöennuste'!J201*1000</f>
        <v>418.6647181317777</v>
      </c>
      <c r="AB201" s="41">
        <f>I201/'1. Väestöennuste'!K201*1000</f>
        <v>-12.67350670451407</v>
      </c>
      <c r="AC201" s="41">
        <f>J201/'1. Väestöennuste'!L201*1000</f>
        <v>-148.8280231878075</v>
      </c>
      <c r="AD201" s="41">
        <f>K201/'1. Väestöennuste'!M201*1000</f>
        <v>25.026682664052391</v>
      </c>
      <c r="AE201" s="41">
        <f>L201/'1. Väestöennuste'!N201*1000</f>
        <v>-181.96858205918505</v>
      </c>
      <c r="AF201" s="41">
        <f>M201/'1. Väestöennuste'!O201*1000</f>
        <v>-484.81818519912326</v>
      </c>
      <c r="AG201" s="41">
        <f>N201/'1. Väestöennuste'!P201*1000</f>
        <v>-440.32149832147098</v>
      </c>
      <c r="AH201" s="41">
        <f>O201/'1. Väestöennuste'!Q201*1000</f>
        <v>-486.00958441540081</v>
      </c>
      <c r="AI201" s="41">
        <f>P201/'1. Väestöennuste'!R201*1000</f>
        <v>-385.52426172303501</v>
      </c>
      <c r="AK201" s="41">
        <f>'6. Poistot'!Z201</f>
        <v>593.49976448422046</v>
      </c>
      <c r="AL201" s="41">
        <f>'6. Poistot'!AA201</f>
        <v>369.19781004522736</v>
      </c>
      <c r="AM201" s="41">
        <f>'6. Poistot'!AB201</f>
        <v>382.68065128574864</v>
      </c>
      <c r="AN201" s="41">
        <f>'6. Poistot'!AC201</f>
        <v>379.93678011753184</v>
      </c>
      <c r="AO201" s="41">
        <f>'6. Poistot'!AD201</f>
        <v>869.70070127952749</v>
      </c>
      <c r="AP201" s="41">
        <f>'6. Poistot'!AE201</f>
        <v>470.49886047100529</v>
      </c>
      <c r="AQ201" s="41">
        <f>'6. Poistot'!AF201</f>
        <v>477.38951695786233</v>
      </c>
      <c r="AR201" s="41">
        <f>'6. Poistot'!AG201</f>
        <v>483.85416666666663</v>
      </c>
      <c r="AS201" s="41">
        <f>'6. Poistot'!AH201</f>
        <v>506.59029604307204</v>
      </c>
      <c r="AT201" s="41">
        <f>'6. Poistot'!AI201</f>
        <v>530.12643303086065</v>
      </c>
      <c r="AV201" s="4">
        <f t="shared" si="46"/>
        <v>1</v>
      </c>
      <c r="AW201" s="4">
        <f t="shared" si="47"/>
        <v>1</v>
      </c>
      <c r="AX201" s="4">
        <f t="shared" si="48"/>
        <v>1</v>
      </c>
      <c r="AY201" s="4">
        <f t="shared" si="49"/>
        <v>1</v>
      </c>
      <c r="AZ201" s="4">
        <f t="shared" si="50"/>
        <v>1</v>
      </c>
      <c r="BA201" s="4">
        <f t="shared" si="51"/>
        <v>1</v>
      </c>
      <c r="BB201" s="4">
        <f t="shared" si="52"/>
        <v>1</v>
      </c>
      <c r="BC201" s="4">
        <f t="shared" si="53"/>
        <v>1</v>
      </c>
      <c r="BE201" s="405">
        <f t="shared" si="54"/>
        <v>0</v>
      </c>
      <c r="BF201" s="405">
        <f t="shared" si="55"/>
        <v>0</v>
      </c>
      <c r="BG201" s="405">
        <f t="shared" si="56"/>
        <v>-1</v>
      </c>
      <c r="BH201" s="405">
        <f t="shared" si="57"/>
        <v>-1</v>
      </c>
      <c r="BI201" s="405">
        <f t="shared" si="58"/>
        <v>0</v>
      </c>
      <c r="BJ201" s="405">
        <f t="shared" si="59"/>
        <v>-1</v>
      </c>
      <c r="BK201" s="405">
        <f t="shared" si="60"/>
        <v>-1</v>
      </c>
      <c r="BL201" s="405">
        <f t="shared" si="61"/>
        <v>-1</v>
      </c>
      <c r="BM201" s="405">
        <f t="shared" si="62"/>
        <v>-1</v>
      </c>
      <c r="BN201" s="405">
        <f t="shared" si="62"/>
        <v>-1</v>
      </c>
    </row>
    <row r="202" spans="1:66" x14ac:dyDescent="0.2">
      <c r="A202" s="34">
        <v>608</v>
      </c>
      <c r="B202" s="88" t="s">
        <v>516</v>
      </c>
      <c r="C202" s="41" t="e">
        <f>'2. Toimintakate'!D202+'3. Verotulot'!G202+'4. Valtionosuudet'!#REF!+'5. Rahoitustuotot ja -kulut'!C202</f>
        <v>#REF!</v>
      </c>
      <c r="D202" s="41">
        <f>'2. Toimintakate'!E202+'4. Valtionosuudet'!H202+'3. Verotulot'!L202+'5. Rahoitustuotot ja -kulut'!D202</f>
        <v>326</v>
      </c>
      <c r="E202" s="41">
        <f>'2. Toimintakate'!F202+'4. Valtionosuudet'!N202+'3. Verotulot'!Q202+'5. Rahoitustuotot ja -kulut'!E202</f>
        <v>132</v>
      </c>
      <c r="F202" s="41">
        <f>'2. Toimintakate'!G202+'4. Valtionosuudet'!T202+'3. Verotulot'!V202+'5. Rahoitustuotot ja -kulut'!F202</f>
        <v>-206</v>
      </c>
      <c r="G202" s="41">
        <f>'2. Toimintakate'!H202+'3. Verotulot'!AA202+'4. Valtionosuudet'!Z202+'5. Rahoitustuotot ja -kulut'!G202</f>
        <v>618</v>
      </c>
      <c r="H202" s="41">
        <f>Käyttökate!H202+'5. Rahoitustuotot ja -kulut'!H202</f>
        <v>614.61784343642285</v>
      </c>
      <c r="I202" s="41">
        <f>Käyttökate!I202+'5. Rahoitustuotot ja -kulut'!I202</f>
        <v>417.47776350405269</v>
      </c>
      <c r="J202" s="41">
        <f>Käyttökate!J202+'5. Rahoitustuotot ja -kulut'!J202</f>
        <v>622.15620127881675</v>
      </c>
      <c r="K202" s="41">
        <f>Käyttökate!K202+'5. Rahoitustuotot ja -kulut'!K202</f>
        <v>757.62875061633042</v>
      </c>
      <c r="L202" s="41">
        <f>Käyttökate!L202+'5. Rahoitustuotot ja -kulut'!L202</f>
        <v>-126.82064571210206</v>
      </c>
      <c r="M202" s="41">
        <f>Käyttökate!M202+'5. Rahoitustuotot ja -kulut'!M202</f>
        <v>-276.00130939202023</v>
      </c>
      <c r="N202" s="41">
        <f>Käyttökate!N202+'5. Rahoitustuotot ja -kulut'!N202</f>
        <v>-170.96117366105048</v>
      </c>
      <c r="O202" s="41">
        <f>Käyttökate!O202+'5. Rahoitustuotot ja -kulut'!O202</f>
        <v>-189.64904327754817</v>
      </c>
      <c r="P202" s="41">
        <f>Käyttökate!P202+'5. Rahoitustuotot ja -kulut'!P202</f>
        <v>66.747738888100713</v>
      </c>
      <c r="T202" s="34">
        <v>608</v>
      </c>
      <c r="U202" s="88" t="s">
        <v>516</v>
      </c>
      <c r="V202" s="41" t="e">
        <f>C202/'1. Väestöennuste'!E202*1000</f>
        <v>#REF!</v>
      </c>
      <c r="W202" s="41">
        <f>D202/'1. Väestöennuste'!F202*1000</f>
        <v>145.99193909538738</v>
      </c>
      <c r="X202" s="41">
        <f>E202/'1. Väestöennuste'!G202*1000</f>
        <v>60.94182825484765</v>
      </c>
      <c r="Y202" s="41">
        <f>F202/'1. Väestöennuste'!H202*1000</f>
        <v>-95.992544268406334</v>
      </c>
      <c r="Z202" s="41">
        <f>G202/'1. Väestöennuste'!I202*1000</f>
        <v>295.83532790808999</v>
      </c>
      <c r="AA202" s="41">
        <f>H202/'1. Väestöennuste'!J202*1000</f>
        <v>297.92430607679245</v>
      </c>
      <c r="AB202" s="41">
        <f>I202/'1. Väestöennuste'!K202*1000</f>
        <v>207.39084128368239</v>
      </c>
      <c r="AC202" s="41">
        <f>J202/'1. Väestöennuste'!L202*1000</f>
        <v>314.22030367617009</v>
      </c>
      <c r="AD202" s="41">
        <f>K202/'1. Väestöennuste'!M202*1000</f>
        <v>389.92730345668059</v>
      </c>
      <c r="AE202" s="41">
        <f>L202/'1. Väestöennuste'!N202*1000</f>
        <v>-65.103000878902506</v>
      </c>
      <c r="AF202" s="41">
        <f>M202/'1. Väestöennuste'!O202*1000</f>
        <v>-143.52642194072814</v>
      </c>
      <c r="AG202" s="41">
        <f>N202/'1. Väestöennuste'!P202*1000</f>
        <v>-90.121862762809954</v>
      </c>
      <c r="AH202" s="41">
        <f>O202/'1. Väestöennuste'!Q202*1000</f>
        <v>-101.36239619323793</v>
      </c>
      <c r="AI202" s="41">
        <f>P202/'1. Väestöennuste'!R202*1000</f>
        <v>36.138461769410242</v>
      </c>
      <c r="AK202" s="41">
        <f>'6. Poistot'!Z202</f>
        <v>250.35902345619914</v>
      </c>
      <c r="AL202" s="41">
        <f>'6. Poistot'!AA202</f>
        <v>259.81580222976248</v>
      </c>
      <c r="AM202" s="41">
        <f>'6. Poistot'!AB202</f>
        <v>268.61593641331348</v>
      </c>
      <c r="AN202" s="41">
        <f>'6. Poistot'!AC202</f>
        <v>250.89579292929292</v>
      </c>
      <c r="AO202" s="41">
        <f>'6. Poistot'!AD202</f>
        <v>299.57136387030368</v>
      </c>
      <c r="AP202" s="41">
        <f>'6. Poistot'!AE202</f>
        <v>348.60857802874744</v>
      </c>
      <c r="AQ202" s="41">
        <f>'6. Poistot'!AF202</f>
        <v>338.5478263130525</v>
      </c>
      <c r="AR202" s="41">
        <f>'6. Poistot'!AG202</f>
        <v>330.00570374275168</v>
      </c>
      <c r="AS202" s="41">
        <f>'6. Poistot'!AH202</f>
        <v>345.3876114353348</v>
      </c>
      <c r="AT202" s="41">
        <f>'6. Poistot'!AI202</f>
        <v>360.81192311371029</v>
      </c>
      <c r="AV202" s="4">
        <f t="shared" si="46"/>
        <v>1</v>
      </c>
      <c r="AW202" s="4">
        <f t="shared" si="47"/>
        <v>0</v>
      </c>
      <c r="AX202" s="4">
        <f t="shared" si="48"/>
        <v>0</v>
      </c>
      <c r="AY202" s="4">
        <f t="shared" si="49"/>
        <v>1</v>
      </c>
      <c r="AZ202" s="4">
        <f t="shared" si="50"/>
        <v>1</v>
      </c>
      <c r="BA202" s="4">
        <f t="shared" si="51"/>
        <v>1</v>
      </c>
      <c r="BB202" s="4">
        <f t="shared" si="52"/>
        <v>1</v>
      </c>
      <c r="BC202" s="4">
        <f t="shared" si="53"/>
        <v>1</v>
      </c>
      <c r="BE202" s="405">
        <f t="shared" si="54"/>
        <v>0</v>
      </c>
      <c r="BF202" s="405">
        <f t="shared" si="55"/>
        <v>0</v>
      </c>
      <c r="BG202" s="405">
        <f t="shared" si="56"/>
        <v>0</v>
      </c>
      <c r="BH202" s="405">
        <f t="shared" si="57"/>
        <v>0</v>
      </c>
      <c r="BI202" s="405">
        <f t="shared" si="58"/>
        <v>0</v>
      </c>
      <c r="BJ202" s="405">
        <f t="shared" si="59"/>
        <v>-1</v>
      </c>
      <c r="BK202" s="405">
        <f t="shared" si="60"/>
        <v>-1</v>
      </c>
      <c r="BL202" s="405">
        <f t="shared" si="61"/>
        <v>-1</v>
      </c>
      <c r="BM202" s="405">
        <f t="shared" si="62"/>
        <v>-1</v>
      </c>
      <c r="BN202" s="405">
        <f t="shared" si="62"/>
        <v>0</v>
      </c>
    </row>
    <row r="203" spans="1:66" x14ac:dyDescent="0.2">
      <c r="A203" s="34">
        <v>609</v>
      </c>
      <c r="B203" s="88" t="s">
        <v>517</v>
      </c>
      <c r="C203" s="41" t="e">
        <f>'2. Toimintakate'!D203+'3. Verotulot'!G203+'4. Valtionosuudet'!#REF!+'5. Rahoitustuotot ja -kulut'!C203</f>
        <v>#REF!</v>
      </c>
      <c r="D203" s="41">
        <f>'2. Toimintakate'!E203+'4. Valtionosuudet'!H203+'3. Verotulot'!L203+'5. Rahoitustuotot ja -kulut'!D203</f>
        <v>37957</v>
      </c>
      <c r="E203" s="41">
        <f>'2. Toimintakate'!F203+'4. Valtionosuudet'!N203+'3. Verotulot'!Q203+'5. Rahoitustuotot ja -kulut'!E203</f>
        <v>40910</v>
      </c>
      <c r="F203" s="41">
        <f>'2. Toimintakate'!G203+'4. Valtionosuudet'!T203+'3. Verotulot'!V203+'5. Rahoitustuotot ja -kulut'!F203</f>
        <v>12130</v>
      </c>
      <c r="G203" s="41">
        <f>'2. Toimintakate'!H203+'3. Verotulot'!AA203+'4. Valtionosuudet'!Z203+'5. Rahoitustuotot ja -kulut'!G203</f>
        <v>1291</v>
      </c>
      <c r="H203" s="41">
        <f>Käyttökate!H203+'5. Rahoitustuotot ja -kulut'!H203</f>
        <v>32265.572860926972</v>
      </c>
      <c r="I203" s="41">
        <f>Käyttökate!I203+'5. Rahoitustuotot ja -kulut'!I203</f>
        <v>20882.055771890358</v>
      </c>
      <c r="J203" s="41">
        <f>Käyttökate!J203+'5. Rahoitustuotot ja -kulut'!J203</f>
        <v>23190.349351694756</v>
      </c>
      <c r="K203" s="41">
        <f>Käyttökate!K203+'5. Rahoitustuotot ja -kulut'!K203</f>
        <v>46179.742681886855</v>
      </c>
      <c r="L203" s="41">
        <f>Käyttökate!L203+'5. Rahoitustuotot ja -kulut'!L203</f>
        <v>15227.742931676466</v>
      </c>
      <c r="M203" s="41">
        <f>Käyttökate!M203+'5. Rahoitustuotot ja -kulut'!M203</f>
        <v>10695.60446286894</v>
      </c>
      <c r="N203" s="41">
        <f>Käyttökate!N203+'5. Rahoitustuotot ja -kulut'!N203</f>
        <v>27239.902774426468</v>
      </c>
      <c r="O203" s="41">
        <f>Käyttökate!O203+'5. Rahoitustuotot ja -kulut'!O203</f>
        <v>30286.863593681981</v>
      </c>
      <c r="P203" s="41">
        <f>Käyttökate!P203+'5. Rahoitustuotot ja -kulut'!P203</f>
        <v>38964.993721911727</v>
      </c>
      <c r="T203" s="34">
        <v>609</v>
      </c>
      <c r="U203" s="88" t="s">
        <v>517</v>
      </c>
      <c r="V203" s="41" t="e">
        <f>C203/'1. Väestöennuste'!E203*1000</f>
        <v>#REF!</v>
      </c>
      <c r="W203" s="41">
        <f>D203/'1. Väestöennuste'!F203*1000</f>
        <v>446.24319589931696</v>
      </c>
      <c r="X203" s="41">
        <f>E203/'1. Väestöennuste'!G203*1000</f>
        <v>483.64405877971797</v>
      </c>
      <c r="Y203" s="41">
        <f>F203/'1. Väestöennuste'!H203*1000</f>
        <v>143.71527078421383</v>
      </c>
      <c r="Z203" s="41">
        <f>G203/'1. Väestöennuste'!I203*1000</f>
        <v>15.381132794814974</v>
      </c>
      <c r="AA203" s="41">
        <f>H203/'1. Väestöennuste'!J203*1000</f>
        <v>385.56441925489906</v>
      </c>
      <c r="AB203" s="41">
        <f>I203/'1. Väestöennuste'!K203*1000</f>
        <v>250.13842231727028</v>
      </c>
      <c r="AC203" s="41">
        <f>J203/'1. Väestöennuste'!L203*1000</f>
        <v>278.71341087308161</v>
      </c>
      <c r="AD203" s="41">
        <f>K203/'1. Väestöennuste'!M203*1000</f>
        <v>555.6727875470707</v>
      </c>
      <c r="AE203" s="41">
        <f>L203/'1. Väestöennuste'!N203*1000</f>
        <v>185.14648475538883</v>
      </c>
      <c r="AF203" s="41">
        <f>M203/'1. Väestöennuste'!O203*1000</f>
        <v>130.63493249223123</v>
      </c>
      <c r="AG203" s="41">
        <f>N203/'1. Väestöennuste'!P203*1000</f>
        <v>334.25244216732892</v>
      </c>
      <c r="AH203" s="41">
        <f>O203/'1. Väestöennuste'!Q203*1000</f>
        <v>373.37718321517309</v>
      </c>
      <c r="AI203" s="41">
        <f>P203/'1. Väestöennuste'!R203*1000</f>
        <v>482.61631868798355</v>
      </c>
      <c r="AK203" s="41">
        <f>'6. Poistot'!Z203</f>
        <v>359.73502990444871</v>
      </c>
      <c r="AL203" s="41">
        <f>'6. Poistot'!AA203</f>
        <v>335.32096936092921</v>
      </c>
      <c r="AM203" s="41">
        <f>'6. Poistot'!AB203</f>
        <v>348.71017620564908</v>
      </c>
      <c r="AN203" s="41">
        <f>'6. Poistot'!AC203</f>
        <v>355.11051595457008</v>
      </c>
      <c r="AO203" s="41">
        <f>'6. Poistot'!AD203</f>
        <v>380.36128306018816</v>
      </c>
      <c r="AP203" s="41">
        <f>'6. Poistot'!AE203</f>
        <v>364.20780697168288</v>
      </c>
      <c r="AQ203" s="41">
        <f>'6. Poistot'!AF203</f>
        <v>365.86705791826466</v>
      </c>
      <c r="AR203" s="41">
        <f>'6. Poistot'!AG203</f>
        <v>339.69026934167738</v>
      </c>
      <c r="AS203" s="41">
        <f>'6. Poistot'!AH203</f>
        <v>352.28918455269445</v>
      </c>
      <c r="AT203" s="41">
        <f>'6. Poistot'!AI203</f>
        <v>365.00638478458114</v>
      </c>
      <c r="AV203" s="4">
        <f t="shared" si="46"/>
        <v>1</v>
      </c>
      <c r="AW203" s="4">
        <f t="shared" si="47"/>
        <v>1</v>
      </c>
      <c r="AX203" s="4">
        <f t="shared" si="48"/>
        <v>0</v>
      </c>
      <c r="AY203" s="4">
        <f t="shared" si="49"/>
        <v>1</v>
      </c>
      <c r="AZ203" s="4">
        <f t="shared" si="50"/>
        <v>1</v>
      </c>
      <c r="BA203" s="4">
        <f t="shared" si="51"/>
        <v>1</v>
      </c>
      <c r="BB203" s="4">
        <f t="shared" si="52"/>
        <v>0</v>
      </c>
      <c r="BC203" s="4">
        <f t="shared" si="53"/>
        <v>0</v>
      </c>
      <c r="BE203" s="405">
        <f t="shared" si="54"/>
        <v>0</v>
      </c>
      <c r="BF203" s="405">
        <f t="shared" si="55"/>
        <v>0</v>
      </c>
      <c r="BG203" s="405">
        <f t="shared" si="56"/>
        <v>0</v>
      </c>
      <c r="BH203" s="405">
        <f t="shared" si="57"/>
        <v>0</v>
      </c>
      <c r="BI203" s="405">
        <f t="shared" si="58"/>
        <v>0</v>
      </c>
      <c r="BJ203" s="405">
        <f t="shared" si="59"/>
        <v>0</v>
      </c>
      <c r="BK203" s="405">
        <f t="shared" si="60"/>
        <v>0</v>
      </c>
      <c r="BL203" s="405">
        <f t="shared" si="61"/>
        <v>0</v>
      </c>
      <c r="BM203" s="405">
        <f t="shared" si="62"/>
        <v>0</v>
      </c>
      <c r="BN203" s="405">
        <f t="shared" si="62"/>
        <v>0</v>
      </c>
    </row>
    <row r="204" spans="1:66" x14ac:dyDescent="0.2">
      <c r="A204" s="34">
        <v>611</v>
      </c>
      <c r="B204" s="88" t="s">
        <v>518</v>
      </c>
      <c r="C204" s="41" t="e">
        <f>'2. Toimintakate'!D204+'3. Verotulot'!G204+'4. Valtionosuudet'!#REF!+'5. Rahoitustuotot ja -kulut'!C204</f>
        <v>#REF!</v>
      </c>
      <c r="D204" s="41">
        <f>'2. Toimintakate'!E204+'4. Valtionosuudet'!H204+'3. Verotulot'!L204+'5. Rahoitustuotot ja -kulut'!D204</f>
        <v>3330</v>
      </c>
      <c r="E204" s="41">
        <f>'2. Toimintakate'!F204+'4. Valtionosuudet'!N204+'3. Verotulot'!Q204+'5. Rahoitustuotot ja -kulut'!E204</f>
        <v>3538</v>
      </c>
      <c r="F204" s="41">
        <f>'2. Toimintakate'!G204+'4. Valtionosuudet'!T204+'3. Verotulot'!V204+'5. Rahoitustuotot ja -kulut'!F204</f>
        <v>2629</v>
      </c>
      <c r="G204" s="41">
        <f>'2. Toimintakate'!H204+'3. Verotulot'!AA204+'4. Valtionosuudet'!Z204+'5. Rahoitustuotot ja -kulut'!G204</f>
        <v>1020</v>
      </c>
      <c r="H204" s="41">
        <f>Käyttökate!H204+'5. Rahoitustuotot ja -kulut'!H204</f>
        <v>3080.9065539462945</v>
      </c>
      <c r="I204" s="41">
        <f>Käyttökate!I204+'5. Rahoitustuotot ja -kulut'!I204</f>
        <v>2913.5730314366128</v>
      </c>
      <c r="J204" s="41">
        <f>Käyttökate!J204+'5. Rahoitustuotot ja -kulut'!J204</f>
        <v>939.13241341556966</v>
      </c>
      <c r="K204" s="41">
        <f>Käyttökate!K204+'5. Rahoitustuotot ja -kulut'!K204</f>
        <v>2811.2925405282026</v>
      </c>
      <c r="L204" s="41">
        <f>Käyttökate!L204+'5. Rahoitustuotot ja -kulut'!L204</f>
        <v>2115.2626779840857</v>
      </c>
      <c r="M204" s="41">
        <f>Käyttökate!M204+'5. Rahoitustuotot ja -kulut'!M204</f>
        <v>399.76546163716284</v>
      </c>
      <c r="N204" s="41">
        <f>Käyttökate!N204+'5. Rahoitustuotot ja -kulut'!N204</f>
        <v>136.44522404385225</v>
      </c>
      <c r="O204" s="41">
        <f>Käyttökate!O204+'5. Rahoitustuotot ja -kulut'!O204</f>
        <v>-126.61857431526325</v>
      </c>
      <c r="P204" s="41">
        <f>Käyttökate!P204+'5. Rahoitustuotot ja -kulut'!P204</f>
        <v>30.401797820125694</v>
      </c>
      <c r="T204" s="34">
        <v>611</v>
      </c>
      <c r="U204" s="88" t="s">
        <v>518</v>
      </c>
      <c r="V204" s="41" t="e">
        <f>C204/'1. Väestöennuste'!E204*1000</f>
        <v>#REF!</v>
      </c>
      <c r="W204" s="41">
        <f>D204/'1. Väestöennuste'!F204*1000</f>
        <v>651.91855912294443</v>
      </c>
      <c r="X204" s="41">
        <f>E204/'1. Väestöennuste'!G204*1000</f>
        <v>690.88068736574894</v>
      </c>
      <c r="Y204" s="41">
        <f>F204/'1. Väestöennuste'!H204*1000</f>
        <v>518.7450670876085</v>
      </c>
      <c r="Z204" s="41">
        <f>G204/'1. Väestöennuste'!I204*1000</f>
        <v>202.58192651439921</v>
      </c>
      <c r="AA204" s="41">
        <f>H204/'1. Väestöennuste'!J204*1000</f>
        <v>607.67387651800675</v>
      </c>
      <c r="AB204" s="41">
        <f>I204/'1. Väestöennuste'!K204*1000</f>
        <v>575.12298291287266</v>
      </c>
      <c r="AC204" s="41">
        <f>J204/'1. Väestöennuste'!L204*1000</f>
        <v>187.41417150580116</v>
      </c>
      <c r="AD204" s="41">
        <f>K204/'1. Väestöennuste'!M204*1000</f>
        <v>565.31118852366831</v>
      </c>
      <c r="AE204" s="41">
        <f>L204/'1. Väestöennuste'!N204*1000</f>
        <v>417.87093599053452</v>
      </c>
      <c r="AF204" s="41">
        <f>M204/'1. Väestöennuste'!O204*1000</f>
        <v>78.895887435792943</v>
      </c>
      <c r="AG204" s="41">
        <f>N204/'1. Väestöennuste'!P204*1000</f>
        <v>26.885758432286156</v>
      </c>
      <c r="AH204" s="41">
        <f>O204/'1. Väestöennuste'!Q204*1000</f>
        <v>-24.890618107973904</v>
      </c>
      <c r="AI204" s="41">
        <f>P204/'1. Väestöennuste'!R204*1000</f>
        <v>5.9646454424417685</v>
      </c>
      <c r="AK204" s="41">
        <f>'6. Poistot'!Z204</f>
        <v>331.0824230387289</v>
      </c>
      <c r="AL204" s="41">
        <f>'6. Poistot'!AA204</f>
        <v>355.81854043392502</v>
      </c>
      <c r="AM204" s="41">
        <f>'6. Poistot'!AB204</f>
        <v>317.48553888669562</v>
      </c>
      <c r="AN204" s="41">
        <f>'6. Poistot'!AC204</f>
        <v>332.26418678906407</v>
      </c>
      <c r="AO204" s="41">
        <f>'6. Poistot'!AD204</f>
        <v>369.83048461693141</v>
      </c>
      <c r="AP204" s="41">
        <f>'6. Poistot'!AE204</f>
        <v>378.69279928881861</v>
      </c>
      <c r="AQ204" s="41">
        <f>'6. Poistot'!AF204</f>
        <v>419.95289323070858</v>
      </c>
      <c r="AR204" s="41">
        <f>'6. Poistot'!AG204</f>
        <v>436.34158423645317</v>
      </c>
      <c r="AS204" s="41">
        <f>'6. Poistot'!AH204</f>
        <v>449.35820853527753</v>
      </c>
      <c r="AT204" s="41">
        <f>'6. Poistot'!AI204</f>
        <v>462.49497226562949</v>
      </c>
      <c r="AV204" s="4">
        <f t="shared" si="46"/>
        <v>0</v>
      </c>
      <c r="AW204" s="4">
        <f t="shared" si="47"/>
        <v>1</v>
      </c>
      <c r="AX204" s="4">
        <f t="shared" si="48"/>
        <v>0</v>
      </c>
      <c r="AY204" s="4">
        <f t="shared" si="49"/>
        <v>0</v>
      </c>
      <c r="AZ204" s="4">
        <f t="shared" si="50"/>
        <v>1</v>
      </c>
      <c r="BA204" s="4">
        <f t="shared" si="51"/>
        <v>1</v>
      </c>
      <c r="BB204" s="4">
        <f t="shared" si="52"/>
        <v>1</v>
      </c>
      <c r="BC204" s="4">
        <f t="shared" si="53"/>
        <v>1</v>
      </c>
      <c r="BE204" s="405">
        <f t="shared" si="54"/>
        <v>0</v>
      </c>
      <c r="BF204" s="405">
        <f t="shared" si="55"/>
        <v>0</v>
      </c>
      <c r="BG204" s="405">
        <f t="shared" si="56"/>
        <v>0</v>
      </c>
      <c r="BH204" s="405">
        <f t="shared" si="57"/>
        <v>0</v>
      </c>
      <c r="BI204" s="405">
        <f t="shared" si="58"/>
        <v>0</v>
      </c>
      <c r="BJ204" s="405">
        <f t="shared" si="59"/>
        <v>0</v>
      </c>
      <c r="BK204" s="405">
        <f t="shared" si="60"/>
        <v>0</v>
      </c>
      <c r="BL204" s="405">
        <f t="shared" si="61"/>
        <v>0</v>
      </c>
      <c r="BM204" s="405">
        <f t="shared" si="62"/>
        <v>-1</v>
      </c>
      <c r="BN204" s="405">
        <f t="shared" si="62"/>
        <v>0</v>
      </c>
    </row>
    <row r="205" spans="1:66" x14ac:dyDescent="0.2">
      <c r="A205" s="34">
        <v>614</v>
      </c>
      <c r="B205" s="88" t="s">
        <v>519</v>
      </c>
      <c r="C205" s="41" t="e">
        <f>'2. Toimintakate'!D205+'3. Verotulot'!G205+'4. Valtionosuudet'!#REF!+'5. Rahoitustuotot ja -kulut'!C205</f>
        <v>#REF!</v>
      </c>
      <c r="D205" s="41">
        <f>'2. Toimintakate'!E205+'4. Valtionosuudet'!H205+'3. Verotulot'!L205+'5. Rahoitustuotot ja -kulut'!D205</f>
        <v>1010</v>
      </c>
      <c r="E205" s="41">
        <f>'2. Toimintakate'!F205+'4. Valtionosuudet'!N205+'3. Verotulot'!Q205+'5. Rahoitustuotot ja -kulut'!E205</f>
        <v>3949</v>
      </c>
      <c r="F205" s="41">
        <f>'2. Toimintakate'!G205+'4. Valtionosuudet'!T205+'3. Verotulot'!V205+'5. Rahoitustuotot ja -kulut'!F205</f>
        <v>1910</v>
      </c>
      <c r="G205" s="41">
        <f>'2. Toimintakate'!H205+'3. Verotulot'!AA205+'4. Valtionosuudet'!Z205+'5. Rahoitustuotot ja -kulut'!G205</f>
        <v>1354</v>
      </c>
      <c r="H205" s="41">
        <f>Käyttökate!H205+'5. Rahoitustuotot ja -kulut'!H205</f>
        <v>1850.3349318095607</v>
      </c>
      <c r="I205" s="41">
        <f>Käyttökate!I205+'5. Rahoitustuotot ja -kulut'!I205</f>
        <v>1986.5564770117087</v>
      </c>
      <c r="J205" s="41">
        <f>Käyttökate!J205+'5. Rahoitustuotot ja -kulut'!J205</f>
        <v>1043.3533470750278</v>
      </c>
      <c r="K205" s="41">
        <f>Käyttökate!K205+'5. Rahoitustuotot ja -kulut'!K205</f>
        <v>949.88881403747337</v>
      </c>
      <c r="L205" s="41">
        <f>Käyttökate!L205+'5. Rahoitustuotot ja -kulut'!L205</f>
        <v>637.76158037307664</v>
      </c>
      <c r="M205" s="41">
        <f>Käyttökate!M205+'5. Rahoitustuotot ja -kulut'!M205</f>
        <v>-133.81823324550561</v>
      </c>
      <c r="N205" s="41">
        <f>Käyttökate!N205+'5. Rahoitustuotot ja -kulut'!N205</f>
        <v>22.394005805132281</v>
      </c>
      <c r="O205" s="41">
        <f>Käyttökate!O205+'5. Rahoitustuotot ja -kulut'!O205</f>
        <v>-5.7758196956110623</v>
      </c>
      <c r="P205" s="41">
        <f>Käyttökate!P205+'5. Rahoitustuotot ja -kulut'!P205</f>
        <v>321.90813093312903</v>
      </c>
      <c r="T205" s="34">
        <v>614</v>
      </c>
      <c r="U205" s="88" t="s">
        <v>519</v>
      </c>
      <c r="V205" s="41" t="e">
        <f>C205/'1. Väestöennuste'!E205*1000</f>
        <v>#REF!</v>
      </c>
      <c r="W205" s="41">
        <f>D205/'1. Väestöennuste'!F205*1000</f>
        <v>294.97663551401871</v>
      </c>
      <c r="X205" s="41">
        <f>E205/'1. Väestöennuste'!G205*1000</f>
        <v>1193.0513595166162</v>
      </c>
      <c r="Y205" s="41">
        <f>F205/'1. Väestöennuste'!H205*1000</f>
        <v>590.05251776336104</v>
      </c>
      <c r="Z205" s="41">
        <f>G205/'1. Väestöennuste'!I205*1000</f>
        <v>425.38485705309461</v>
      </c>
      <c r="AA205" s="41">
        <f>H205/'1. Väestöennuste'!J205*1000</f>
        <v>593.62686294820674</v>
      </c>
      <c r="AB205" s="41">
        <f>I205/'1. Väestöennuste'!K205*1000</f>
        <v>647.93101011471254</v>
      </c>
      <c r="AC205" s="41">
        <f>J205/'1. Väestöennuste'!L205*1000</f>
        <v>347.90041583028602</v>
      </c>
      <c r="AD205" s="41">
        <f>K205/'1. Väestöennuste'!M205*1000</f>
        <v>324.97051455267649</v>
      </c>
      <c r="AE205" s="41">
        <f>L205/'1. Väestöennuste'!N205*1000</f>
        <v>223.30587548076915</v>
      </c>
      <c r="AF205" s="41">
        <f>M205/'1. Väestöennuste'!O205*1000</f>
        <v>-47.724048946328679</v>
      </c>
      <c r="AG205" s="41">
        <f>N205/'1. Väestöennuste'!P205*1000</f>
        <v>8.1225991313501194</v>
      </c>
      <c r="AH205" s="41">
        <f>O205/'1. Väestöennuste'!Q205*1000</f>
        <v>-2.1312987806682884</v>
      </c>
      <c r="AI205" s="41">
        <f>P205/'1. Väestöennuste'!R205*1000</f>
        <v>120.7004615422306</v>
      </c>
      <c r="AK205" s="41">
        <f>'6. Poistot'!Z205</f>
        <v>349.04178448005024</v>
      </c>
      <c r="AL205" s="41">
        <f>'6. Poistot'!AA205</f>
        <v>384.34392043631698</v>
      </c>
      <c r="AM205" s="41">
        <f>'6. Poistot'!AB205</f>
        <v>394.24466731898241</v>
      </c>
      <c r="AN205" s="41">
        <f>'6. Poistot'!AC205</f>
        <v>425.16984661553852</v>
      </c>
      <c r="AO205" s="41">
        <f>'6. Poistot'!AD205</f>
        <v>440.77595620937393</v>
      </c>
      <c r="AP205" s="41">
        <f>'6. Poistot'!AE205</f>
        <v>409.50203081232496</v>
      </c>
      <c r="AQ205" s="41">
        <f>'6. Poistot'!AF205</f>
        <v>417.09621968616267</v>
      </c>
      <c r="AR205" s="41">
        <f>'6. Poistot'!AG205</f>
        <v>424.20667392092861</v>
      </c>
      <c r="AS205" s="41">
        <f>'6. Poistot'!AH205</f>
        <v>445.48874722858807</v>
      </c>
      <c r="AT205" s="41">
        <f>'6. Poistot'!AI205</f>
        <v>466.82085113571321</v>
      </c>
      <c r="AV205" s="4">
        <f t="shared" si="46"/>
        <v>0</v>
      </c>
      <c r="AW205" s="4">
        <f t="shared" si="47"/>
        <v>1</v>
      </c>
      <c r="AX205" s="4">
        <f t="shared" si="48"/>
        <v>1</v>
      </c>
      <c r="AY205" s="4">
        <f t="shared" si="49"/>
        <v>1</v>
      </c>
      <c r="AZ205" s="4">
        <f t="shared" si="50"/>
        <v>1</v>
      </c>
      <c r="BA205" s="4">
        <f t="shared" si="51"/>
        <v>1</v>
      </c>
      <c r="BB205" s="4">
        <f t="shared" si="52"/>
        <v>1</v>
      </c>
      <c r="BC205" s="4">
        <f t="shared" si="53"/>
        <v>1</v>
      </c>
      <c r="BE205" s="405">
        <f t="shared" si="54"/>
        <v>0</v>
      </c>
      <c r="BF205" s="405">
        <f t="shared" si="55"/>
        <v>0</v>
      </c>
      <c r="BG205" s="405">
        <f t="shared" si="56"/>
        <v>0</v>
      </c>
      <c r="BH205" s="405">
        <f t="shared" si="57"/>
        <v>0</v>
      </c>
      <c r="BI205" s="405">
        <f t="shared" si="58"/>
        <v>0</v>
      </c>
      <c r="BJ205" s="405">
        <f t="shared" si="59"/>
        <v>0</v>
      </c>
      <c r="BK205" s="405">
        <f t="shared" si="60"/>
        <v>-1</v>
      </c>
      <c r="BL205" s="405">
        <f t="shared" si="61"/>
        <v>0</v>
      </c>
      <c r="BM205" s="405">
        <f t="shared" si="62"/>
        <v>-1</v>
      </c>
      <c r="BN205" s="405">
        <f t="shared" si="62"/>
        <v>0</v>
      </c>
    </row>
    <row r="206" spans="1:66" x14ac:dyDescent="0.2">
      <c r="A206" s="34">
        <v>615</v>
      </c>
      <c r="B206" s="88" t="s">
        <v>520</v>
      </c>
      <c r="C206" s="41" t="e">
        <f>'2. Toimintakate'!D206+'3. Verotulot'!G206+'4. Valtionosuudet'!#REF!+'5. Rahoitustuotot ja -kulut'!C206</f>
        <v>#REF!</v>
      </c>
      <c r="D206" s="41">
        <f>'2. Toimintakate'!E206+'4. Valtionosuudet'!H206+'3. Verotulot'!L206+'5. Rahoitustuotot ja -kulut'!D206</f>
        <v>4196</v>
      </c>
      <c r="E206" s="41">
        <f>'2. Toimintakate'!F206+'4. Valtionosuudet'!N206+'3. Verotulot'!Q206+'5. Rahoitustuotot ja -kulut'!E206</f>
        <v>4616</v>
      </c>
      <c r="F206" s="41">
        <f>'2. Toimintakate'!G206+'4. Valtionosuudet'!T206+'3. Verotulot'!V206+'5. Rahoitustuotot ja -kulut'!F206</f>
        <v>-990</v>
      </c>
      <c r="G206" s="41">
        <f>'2. Toimintakate'!H206+'3. Verotulot'!AA206+'4. Valtionosuudet'!Z206+'5. Rahoitustuotot ja -kulut'!G206</f>
        <v>-384</v>
      </c>
      <c r="H206" s="41">
        <f>Käyttökate!H206+'5. Rahoitustuotot ja -kulut'!H206</f>
        <v>3861.4637581113639</v>
      </c>
      <c r="I206" s="41">
        <f>Käyttökate!I206+'5. Rahoitustuotot ja -kulut'!I206</f>
        <v>5502.0138672673429</v>
      </c>
      <c r="J206" s="41">
        <f>Käyttökate!J206+'5. Rahoitustuotot ja -kulut'!J206</f>
        <v>4349.8177714245458</v>
      </c>
      <c r="K206" s="41">
        <f>Käyttökate!K206+'5. Rahoitustuotot ja -kulut'!K206</f>
        <v>497.52835555547233</v>
      </c>
      <c r="L206" s="41">
        <f>Käyttökate!L206+'5. Rahoitustuotot ja -kulut'!L206</f>
        <v>4624.655338131075</v>
      </c>
      <c r="M206" s="41">
        <f>Käyttökate!M206+'5. Rahoitustuotot ja -kulut'!M206</f>
        <v>-475.06035801636972</v>
      </c>
      <c r="N206" s="41">
        <f>Käyttökate!N206+'5. Rahoitustuotot ja -kulut'!N206</f>
        <v>-733.11633811701176</v>
      </c>
      <c r="O206" s="41">
        <f>Käyttökate!O206+'5. Rahoitustuotot ja -kulut'!O206</f>
        <v>-766.76205328453216</v>
      </c>
      <c r="P206" s="41">
        <f>Käyttökate!P206+'5. Rahoitustuotot ja -kulut'!P206</f>
        <v>259.98071508221983</v>
      </c>
      <c r="T206" s="34">
        <v>615</v>
      </c>
      <c r="U206" s="88" t="s">
        <v>520</v>
      </c>
      <c r="V206" s="41" t="e">
        <f>C206/'1. Väestöennuste'!E206*1000</f>
        <v>#REF!</v>
      </c>
      <c r="W206" s="41">
        <f>D206/'1. Väestöennuste'!F206*1000</f>
        <v>512.51984854036891</v>
      </c>
      <c r="X206" s="41">
        <f>E206/'1. Väestöennuste'!G206*1000</f>
        <v>569.66555596692581</v>
      </c>
      <c r="Y206" s="41">
        <f>F206/'1. Väestöennuste'!H206*1000</f>
        <v>-123.90488110137672</v>
      </c>
      <c r="Z206" s="41">
        <f>G206/'1. Väestöennuste'!I206*1000</f>
        <v>-48.774291883652985</v>
      </c>
      <c r="AA206" s="41">
        <f>H206/'1. Väestöennuste'!J206*1000</f>
        <v>496.39590668612465</v>
      </c>
      <c r="AB206" s="41">
        <f>I206/'1. Väestöennuste'!K206*1000</f>
        <v>714.36170699394222</v>
      </c>
      <c r="AC206" s="41">
        <f>J206/'1. Väestöennuste'!L206*1000</f>
        <v>572.11860731613115</v>
      </c>
      <c r="AD206" s="41">
        <f>K206/'1. Väestöennuste'!M206*1000</f>
        <v>66.523379536765916</v>
      </c>
      <c r="AE206" s="41">
        <f>L206/'1. Väestöennuste'!N206*1000</f>
        <v>624.86898231739974</v>
      </c>
      <c r="AF206" s="41">
        <f>M206/'1. Väestöennuste'!O206*1000</f>
        <v>-64.952195517687954</v>
      </c>
      <c r="AG206" s="41">
        <f>N206/'1. Väestöennuste'!P206*1000</f>
        <v>-101.4272742275888</v>
      </c>
      <c r="AH206" s="41">
        <f>O206/'1. Väestöennuste'!Q206*1000</f>
        <v>-107.25444863400925</v>
      </c>
      <c r="AI206" s="41">
        <f>P206/'1. Väestöennuste'!R206*1000</f>
        <v>36.767177921400055</v>
      </c>
      <c r="AK206" s="41">
        <f>'6. Poistot'!Z206</f>
        <v>463.10174012447607</v>
      </c>
      <c r="AL206" s="41">
        <f>'6. Poistot'!AA206</f>
        <v>474.09692762565879</v>
      </c>
      <c r="AM206" s="41">
        <f>'6. Poistot'!AB206</f>
        <v>838.99797065697226</v>
      </c>
      <c r="AN206" s="41">
        <f>'6. Poistot'!AC206</f>
        <v>479.6043167170854</v>
      </c>
      <c r="AO206" s="41">
        <f>'6. Poistot'!AD206</f>
        <v>648.89083701029551</v>
      </c>
      <c r="AP206" s="41">
        <f>'6. Poistot'!AE206</f>
        <v>672.71557897581408</v>
      </c>
      <c r="AQ206" s="41">
        <f>'6. Poistot'!AF206</f>
        <v>605.90716434235708</v>
      </c>
      <c r="AR206" s="41">
        <f>'6. Poistot'!AG206</f>
        <v>543.86552296624234</v>
      </c>
      <c r="AS206" s="41">
        <f>'6. Poistot'!AH206</f>
        <v>567.61797745779222</v>
      </c>
      <c r="AT206" s="41">
        <f>'6. Poistot'!AI206</f>
        <v>591.81754231247533</v>
      </c>
      <c r="AV206" s="4">
        <f t="shared" si="46"/>
        <v>1</v>
      </c>
      <c r="AW206" s="4">
        <f t="shared" si="47"/>
        <v>0</v>
      </c>
      <c r="AX206" s="4">
        <f t="shared" si="48"/>
        <v>1</v>
      </c>
      <c r="AY206" s="4">
        <f t="shared" si="49"/>
        <v>1</v>
      </c>
      <c r="AZ206" s="4">
        <f t="shared" si="50"/>
        <v>1</v>
      </c>
      <c r="BA206" s="4">
        <f t="shared" si="51"/>
        <v>1</v>
      </c>
      <c r="BB206" s="4">
        <f t="shared" si="52"/>
        <v>1</v>
      </c>
      <c r="BC206" s="4">
        <f t="shared" si="53"/>
        <v>1</v>
      </c>
      <c r="BE206" s="405">
        <f t="shared" si="54"/>
        <v>-1</v>
      </c>
      <c r="BF206" s="405">
        <f t="shared" si="55"/>
        <v>0</v>
      </c>
      <c r="BG206" s="405">
        <f t="shared" si="56"/>
        <v>0</v>
      </c>
      <c r="BH206" s="405">
        <f t="shared" si="57"/>
        <v>0</v>
      </c>
      <c r="BI206" s="405">
        <f t="shared" si="58"/>
        <v>0</v>
      </c>
      <c r="BJ206" s="405">
        <f t="shared" si="59"/>
        <v>0</v>
      </c>
      <c r="BK206" s="405">
        <f t="shared" si="60"/>
        <v>-1</v>
      </c>
      <c r="BL206" s="405">
        <f t="shared" si="61"/>
        <v>-1</v>
      </c>
      <c r="BM206" s="405">
        <f t="shared" si="62"/>
        <v>-1</v>
      </c>
      <c r="BN206" s="405">
        <f t="shared" si="62"/>
        <v>0</v>
      </c>
    </row>
    <row r="207" spans="1:66" x14ac:dyDescent="0.2">
      <c r="A207" s="34">
        <v>616</v>
      </c>
      <c r="B207" s="88" t="s">
        <v>521</v>
      </c>
      <c r="C207" s="41" t="e">
        <f>'2. Toimintakate'!D207+'3. Verotulot'!G207+'4. Valtionosuudet'!#REF!+'5. Rahoitustuotot ja -kulut'!C207</f>
        <v>#REF!</v>
      </c>
      <c r="D207" s="41">
        <f>'2. Toimintakate'!E207+'4. Valtionosuudet'!H207+'3. Verotulot'!L207+'5. Rahoitustuotot ja -kulut'!D207</f>
        <v>290</v>
      </c>
      <c r="E207" s="41">
        <f>'2. Toimintakate'!F207+'4. Valtionosuudet'!N207+'3. Verotulot'!Q207+'5. Rahoitustuotot ja -kulut'!E207</f>
        <v>821</v>
      </c>
      <c r="F207" s="41">
        <f>'2. Toimintakate'!G207+'4. Valtionosuudet'!T207+'3. Verotulot'!V207+'5. Rahoitustuotot ja -kulut'!F207</f>
        <v>-843</v>
      </c>
      <c r="G207" s="41">
        <f>'2. Toimintakate'!H207+'3. Verotulot'!AA207+'4. Valtionosuudet'!Z207+'5. Rahoitustuotot ja -kulut'!G207</f>
        <v>-747</v>
      </c>
      <c r="H207" s="41">
        <f>Käyttökate!H207+'5. Rahoitustuotot ja -kulut'!H207</f>
        <v>680.10617217742038</v>
      </c>
      <c r="I207" s="41">
        <f>Käyttökate!I207+'5. Rahoitustuotot ja -kulut'!I207</f>
        <v>-59.710594784094525</v>
      </c>
      <c r="J207" s="41">
        <f>Käyttökate!J207+'5. Rahoitustuotot ja -kulut'!J207</f>
        <v>-237.80752490497656</v>
      </c>
      <c r="K207" s="41">
        <f>Käyttökate!K207+'5. Rahoitustuotot ja -kulut'!K207</f>
        <v>218.23629601921419</v>
      </c>
      <c r="L207" s="41">
        <f>Käyttökate!L207+'5. Rahoitustuotot ja -kulut'!L207</f>
        <v>-208.99863737927529</v>
      </c>
      <c r="M207" s="41">
        <f>Käyttökate!M207+'5. Rahoitustuotot ja -kulut'!M207</f>
        <v>-960.30439716731155</v>
      </c>
      <c r="N207" s="41">
        <f>Käyttökate!N207+'5. Rahoitustuotot ja -kulut'!N207</f>
        <v>-968.76003165081454</v>
      </c>
      <c r="O207" s="41">
        <f>Käyttökate!O207+'5. Rahoitustuotot ja -kulut'!O207</f>
        <v>-958.3062623228509</v>
      </c>
      <c r="P207" s="41">
        <f>Käyttökate!P207+'5. Rahoitustuotot ja -kulut'!P207</f>
        <v>-886.87921526631339</v>
      </c>
      <c r="T207" s="34">
        <v>616</v>
      </c>
      <c r="U207" s="88" t="s">
        <v>521</v>
      </c>
      <c r="V207" s="41" t="e">
        <f>C207/'1. Väestöennuste'!E207*1000</f>
        <v>#REF!</v>
      </c>
      <c r="W207" s="41">
        <f>D207/'1. Väestöennuste'!F207*1000</f>
        <v>145.87525150905435</v>
      </c>
      <c r="X207" s="41">
        <f>E207/'1. Väestöennuste'!G207*1000</f>
        <v>423.1958762886598</v>
      </c>
      <c r="Y207" s="41">
        <f>F207/'1. Väestöennuste'!H207*1000</f>
        <v>-443.91785150078988</v>
      </c>
      <c r="Z207" s="41">
        <f>G207/'1. Väestöennuste'!I207*1000</f>
        <v>-401.61290322580646</v>
      </c>
      <c r="AA207" s="41">
        <f>H207/'1. Väestöennuste'!J207*1000</f>
        <v>371.03446381746886</v>
      </c>
      <c r="AB207" s="41">
        <f>I207/'1. Väestöennuste'!K207*1000</f>
        <v>-32.310927913471069</v>
      </c>
      <c r="AC207" s="41">
        <f>J207/'1. Väestöennuste'!L207*1000</f>
        <v>-131.60350022411541</v>
      </c>
      <c r="AD207" s="41">
        <f>K207/'1. Väestöennuste'!M207*1000</f>
        <v>122.53582033644818</v>
      </c>
      <c r="AE207" s="41">
        <f>L207/'1. Väestöennuste'!N207*1000</f>
        <v>-119.83866822206151</v>
      </c>
      <c r="AF207" s="41">
        <f>M207/'1. Väestöennuste'!O207*1000</f>
        <v>-555.73171132367577</v>
      </c>
      <c r="AG207" s="41">
        <f>N207/'1. Väestöennuste'!P207*1000</f>
        <v>-564.21667539360203</v>
      </c>
      <c r="AH207" s="41">
        <f>O207/'1. Väestöennuste'!Q207*1000</f>
        <v>-561.72700018924434</v>
      </c>
      <c r="AI207" s="41">
        <f>P207/'1. Väestöennuste'!R207*1000</f>
        <v>-522.61591942623068</v>
      </c>
      <c r="AK207" s="41">
        <f>'6. Poistot'!Z207</f>
        <v>187.09677419354838</v>
      </c>
      <c r="AL207" s="41">
        <f>'6. Poistot'!AA207</f>
        <v>205.67375886524823</v>
      </c>
      <c r="AM207" s="41">
        <f>'6. Poistot'!AB207</f>
        <v>208.42892857142854</v>
      </c>
      <c r="AN207" s="41">
        <f>'6. Poistot'!AC207</f>
        <v>213.65543442169343</v>
      </c>
      <c r="AO207" s="41">
        <f>'6. Poistot'!AD207</f>
        <v>214.84778214486244</v>
      </c>
      <c r="AP207" s="41">
        <f>'6. Poistot'!AE207</f>
        <v>245.44552752293581</v>
      </c>
      <c r="AQ207" s="41">
        <f>'6. Poistot'!AF207</f>
        <v>270.83391203703707</v>
      </c>
      <c r="AR207" s="41">
        <f>'6. Poistot'!AG207</f>
        <v>259.62667443214912</v>
      </c>
      <c r="AS207" s="41">
        <f>'6. Poistot'!AH207</f>
        <v>269.73192089246982</v>
      </c>
      <c r="AT207" s="41">
        <f>'6. Poistot'!AI207</f>
        <v>279.63837011497174</v>
      </c>
      <c r="AV207" s="4">
        <f t="shared" ref="AV207:AV270" si="63">IF(AM207&gt;AB207,1,0)</f>
        <v>1</v>
      </c>
      <c r="AW207" s="4">
        <f t="shared" ref="AW207:AW270" si="64">IF(AN207&gt;AC207,1,0)</f>
        <v>1</v>
      </c>
      <c r="AX207" s="4">
        <f t="shared" ref="AX207:AX270" si="65">IF(AO207&gt;AD207,1,0)</f>
        <v>1</v>
      </c>
      <c r="AY207" s="4">
        <f t="shared" ref="AY207:AY270" si="66">IF(AP207&gt;AE207,1,0)</f>
        <v>1</v>
      </c>
      <c r="AZ207" s="4">
        <f t="shared" ref="AZ207:AZ270" si="67">IF(AQ207&gt;AF207,1,0)</f>
        <v>1</v>
      </c>
      <c r="BA207" s="4">
        <f t="shared" ref="BA207:BA270" si="68">IF(AR207&gt;AG207,1,0)</f>
        <v>1</v>
      </c>
      <c r="BB207" s="4">
        <f t="shared" ref="BB207:BB270" si="69">IF(AS207&gt;AH207,1,0)</f>
        <v>1</v>
      </c>
      <c r="BC207" s="4">
        <f t="shared" ref="BC207:BC270" si="70">IF(AT207&gt;AI207,1,0)</f>
        <v>1</v>
      </c>
      <c r="BE207" s="405">
        <f t="shared" si="54"/>
        <v>-1</v>
      </c>
      <c r="BF207" s="405">
        <f t="shared" si="55"/>
        <v>0</v>
      </c>
      <c r="BG207" s="405">
        <f t="shared" si="56"/>
        <v>-1</v>
      </c>
      <c r="BH207" s="405">
        <f t="shared" si="57"/>
        <v>-1</v>
      </c>
      <c r="BI207" s="405">
        <f t="shared" si="58"/>
        <v>0</v>
      </c>
      <c r="BJ207" s="405">
        <f t="shared" si="59"/>
        <v>-1</v>
      </c>
      <c r="BK207" s="405">
        <f t="shared" si="60"/>
        <v>-1</v>
      </c>
      <c r="BL207" s="405">
        <f t="shared" si="61"/>
        <v>-1</v>
      </c>
      <c r="BM207" s="405">
        <f t="shared" si="62"/>
        <v>-1</v>
      </c>
      <c r="BN207" s="405">
        <f t="shared" si="62"/>
        <v>-1</v>
      </c>
    </row>
    <row r="208" spans="1:66" x14ac:dyDescent="0.2">
      <c r="A208" s="34">
        <v>619</v>
      </c>
      <c r="B208" s="88" t="s">
        <v>522</v>
      </c>
      <c r="C208" s="41" t="e">
        <f>'2. Toimintakate'!D208+'3. Verotulot'!G208+'4. Valtionosuudet'!#REF!+'5. Rahoitustuotot ja -kulut'!C208</f>
        <v>#REF!</v>
      </c>
      <c r="D208" s="41">
        <f>'2. Toimintakate'!E208+'4. Valtionosuudet'!H208+'3. Verotulot'!L208+'5. Rahoitustuotot ja -kulut'!D208</f>
        <v>1152</v>
      </c>
      <c r="E208" s="41">
        <f>'2. Toimintakate'!F208+'4. Valtionosuudet'!N208+'3. Verotulot'!Q208+'5. Rahoitustuotot ja -kulut'!E208</f>
        <v>1538</v>
      </c>
      <c r="F208" s="41">
        <f>'2. Toimintakate'!G208+'4. Valtionosuudet'!T208+'3. Verotulot'!V208+'5. Rahoitustuotot ja -kulut'!F208</f>
        <v>1027</v>
      </c>
      <c r="G208" s="41">
        <f>'2. Toimintakate'!H208+'3. Verotulot'!AA208+'4. Valtionosuudet'!Z208+'5. Rahoitustuotot ja -kulut'!G208</f>
        <v>559</v>
      </c>
      <c r="H208" s="41">
        <f>Käyttökate!H208+'5. Rahoitustuotot ja -kulut'!H208</f>
        <v>2109.4147729348169</v>
      </c>
      <c r="I208" s="41">
        <f>Käyttökate!I208+'5. Rahoitustuotot ja -kulut'!I208</f>
        <v>873.78789119071996</v>
      </c>
      <c r="J208" s="41">
        <f>Käyttökate!J208+'5. Rahoitustuotot ja -kulut'!J208</f>
        <v>1708.9050581229999</v>
      </c>
      <c r="K208" s="41">
        <f>Käyttökate!K208+'5. Rahoitustuotot ja -kulut'!K208</f>
        <v>2004.9112245751799</v>
      </c>
      <c r="L208" s="41">
        <f>Käyttökate!L208+'5. Rahoitustuotot ja -kulut'!L208</f>
        <v>715.00531251567975</v>
      </c>
      <c r="M208" s="41">
        <f>Käyttökate!M208+'5. Rahoitustuotot ja -kulut'!M208</f>
        <v>393.72287202497625</v>
      </c>
      <c r="N208" s="41">
        <f>Käyttökate!N208+'5. Rahoitustuotot ja -kulut'!N208</f>
        <v>434.03978541883527</v>
      </c>
      <c r="O208" s="41">
        <f>Käyttökate!O208+'5. Rahoitustuotot ja -kulut'!O208</f>
        <v>246.16953572556028</v>
      </c>
      <c r="P208" s="41">
        <f>Käyttökate!P208+'5. Rahoitustuotot ja -kulut'!P208</f>
        <v>491.84172900007889</v>
      </c>
      <c r="T208" s="34">
        <v>619</v>
      </c>
      <c r="U208" s="88" t="s">
        <v>522</v>
      </c>
      <c r="V208" s="41" t="e">
        <f>C208/'1. Väestöennuste'!E208*1000</f>
        <v>#REF!</v>
      </c>
      <c r="W208" s="41">
        <f>D208/'1. Väestöennuste'!F208*1000</f>
        <v>383.61638361638364</v>
      </c>
      <c r="X208" s="41">
        <f>E208/'1. Väestöennuste'!G208*1000</f>
        <v>521.53272295693455</v>
      </c>
      <c r="Y208" s="41">
        <f>F208/'1. Väestöennuste'!H208*1000</f>
        <v>354.6270718232044</v>
      </c>
      <c r="Z208" s="41">
        <f>G208/'1. Väestöennuste'!I208*1000</f>
        <v>197.66619519094766</v>
      </c>
      <c r="AA208" s="41">
        <f>H208/'1. Väestöennuste'!J208*1000</f>
        <v>757.42002618844413</v>
      </c>
      <c r="AB208" s="41">
        <f>I208/'1. Väestöennuste'!K208*1000</f>
        <v>321.1274866559059</v>
      </c>
      <c r="AC208" s="41">
        <f>J208/'1. Väestöennuste'!L208*1000</f>
        <v>638.84301238242995</v>
      </c>
      <c r="AD208" s="41">
        <f>K208/'1. Väestöennuste'!M208*1000</f>
        <v>756.57027342459617</v>
      </c>
      <c r="AE208" s="41">
        <f>L208/'1. Väestöennuste'!N208*1000</f>
        <v>278.97202985395234</v>
      </c>
      <c r="AF208" s="41">
        <f>M208/'1. Väestöennuste'!O208*1000</f>
        <v>156.48762799084906</v>
      </c>
      <c r="AG208" s="41">
        <f>N208/'1. Väestöennuste'!P208*1000</f>
        <v>175.44049531885014</v>
      </c>
      <c r="AH208" s="41">
        <f>O208/'1. Väestöennuste'!Q208*1000</f>
        <v>101.05481762133016</v>
      </c>
      <c r="AI208" s="41">
        <f>P208/'1. Väestöennuste'!R208*1000</f>
        <v>204.93405375003289</v>
      </c>
      <c r="AK208" s="41">
        <f>'6. Poistot'!Z208</f>
        <v>328.14710042432813</v>
      </c>
      <c r="AL208" s="41">
        <f>'6. Poistot'!AA208</f>
        <v>410.77199281867144</v>
      </c>
      <c r="AM208" s="41">
        <f>'6. Poistot'!AB208</f>
        <v>413.78063579566339</v>
      </c>
      <c r="AN208" s="41">
        <f>'6. Poistot'!AC208</f>
        <v>399.3607401869159</v>
      </c>
      <c r="AO208" s="41">
        <f>'6. Poistot'!AD208</f>
        <v>451.42509811320753</v>
      </c>
      <c r="AP208" s="41">
        <f>'6. Poistot'!AE208</f>
        <v>476.18025751072963</v>
      </c>
      <c r="AQ208" s="41">
        <f>'6. Poistot'!AF208</f>
        <v>439.54689984101753</v>
      </c>
      <c r="AR208" s="41">
        <f>'6. Poistot'!AG208</f>
        <v>419.24009700889246</v>
      </c>
      <c r="AS208" s="41">
        <f>'6. Poistot'!AH208</f>
        <v>439.51832859669105</v>
      </c>
      <c r="AT208" s="41">
        <f>'6. Poistot'!AI208</f>
        <v>460.05554038461611</v>
      </c>
      <c r="AV208" s="4">
        <f t="shared" si="63"/>
        <v>1</v>
      </c>
      <c r="AW208" s="4">
        <f t="shared" si="64"/>
        <v>0</v>
      </c>
      <c r="AX208" s="4">
        <f t="shared" si="65"/>
        <v>0</v>
      </c>
      <c r="AY208" s="4">
        <f t="shared" si="66"/>
        <v>1</v>
      </c>
      <c r="AZ208" s="4">
        <f t="shared" si="67"/>
        <v>1</v>
      </c>
      <c r="BA208" s="4">
        <f t="shared" si="68"/>
        <v>1</v>
      </c>
      <c r="BB208" s="4">
        <f t="shared" si="69"/>
        <v>1</v>
      </c>
      <c r="BC208" s="4">
        <f t="shared" si="70"/>
        <v>1</v>
      </c>
      <c r="BE208" s="405">
        <f t="shared" ref="BE208:BE271" si="71">IF(G208&lt;0,-1,0)</f>
        <v>0</v>
      </c>
      <c r="BF208" s="405">
        <f t="shared" ref="BF208:BF271" si="72">IF(H208&lt;0,-1,0)</f>
        <v>0</v>
      </c>
      <c r="BG208" s="405">
        <f t="shared" ref="BG208:BG271" si="73">IF(I208&lt;0,-1,0)</f>
        <v>0</v>
      </c>
      <c r="BH208" s="405">
        <f t="shared" ref="BH208:BH271" si="74">IF(J208&lt;0,-1,0)</f>
        <v>0</v>
      </c>
      <c r="BI208" s="405">
        <f t="shared" ref="BI208:BI271" si="75">IF(K208&lt;0,-1,0)</f>
        <v>0</v>
      </c>
      <c r="BJ208" s="405">
        <f t="shared" ref="BJ208:BJ271" si="76">IF(L208&lt;0,-1,0)</f>
        <v>0</v>
      </c>
      <c r="BK208" s="405">
        <f t="shared" ref="BK208:BK271" si="77">IF(M208&lt;0,-1,0)</f>
        <v>0</v>
      </c>
      <c r="BL208" s="405">
        <f t="shared" ref="BL208:BL271" si="78">IF(N208&lt;0,-1,0)</f>
        <v>0</v>
      </c>
      <c r="BM208" s="405">
        <f t="shared" ref="BM208:BN271" si="79">IF(O208&lt;0,-1,0)</f>
        <v>0</v>
      </c>
      <c r="BN208" s="405">
        <f t="shared" si="79"/>
        <v>0</v>
      </c>
    </row>
    <row r="209" spans="1:66" x14ac:dyDescent="0.2">
      <c r="A209" s="34">
        <v>620</v>
      </c>
      <c r="B209" s="88" t="s">
        <v>523</v>
      </c>
      <c r="C209" s="41" t="e">
        <f>'2. Toimintakate'!D209+'3. Verotulot'!G209+'4. Valtionosuudet'!#REF!+'5. Rahoitustuotot ja -kulut'!C209</f>
        <v>#REF!</v>
      </c>
      <c r="D209" s="41">
        <f>'2. Toimintakate'!E209+'4. Valtionosuudet'!H209+'3. Verotulot'!L209+'5. Rahoitustuotot ja -kulut'!D209</f>
        <v>1487</v>
      </c>
      <c r="E209" s="41">
        <f>'2. Toimintakate'!F209+'4. Valtionosuudet'!N209+'3. Verotulot'!Q209+'5. Rahoitustuotot ja -kulut'!E209</f>
        <v>2266</v>
      </c>
      <c r="F209" s="41">
        <f>'2. Toimintakate'!G209+'4. Valtionosuudet'!T209+'3. Verotulot'!V209+'5. Rahoitustuotot ja -kulut'!F209</f>
        <v>117</v>
      </c>
      <c r="G209" s="41">
        <f>'2. Toimintakate'!H209+'3. Verotulot'!AA209+'4. Valtionosuudet'!Z209+'5. Rahoitustuotot ja -kulut'!G209</f>
        <v>1382</v>
      </c>
      <c r="H209" s="41">
        <f>Käyttökate!H209+'5. Rahoitustuotot ja -kulut'!H209</f>
        <v>2421.4031489030967</v>
      </c>
      <c r="I209" s="41">
        <f>Käyttökate!I209+'5. Rahoitustuotot ja -kulut'!I209</f>
        <v>1646.6452647077281</v>
      </c>
      <c r="J209" s="41">
        <f>Käyttökate!J209+'5. Rahoitustuotot ja -kulut'!J209</f>
        <v>2080.1324080719805</v>
      </c>
      <c r="K209" s="41">
        <f>Käyttökate!K209+'5. Rahoitustuotot ja -kulut'!K209</f>
        <v>967.63923627616066</v>
      </c>
      <c r="L209" s="41">
        <f>Käyttökate!L209+'5. Rahoitustuotot ja -kulut'!L209</f>
        <v>962.93889751900701</v>
      </c>
      <c r="M209" s="41">
        <f>Käyttökate!M209+'5. Rahoitustuotot ja -kulut'!M209</f>
        <v>143.7537999017693</v>
      </c>
      <c r="N209" s="41">
        <f>Käyttökate!N209+'5. Rahoitustuotot ja -kulut'!N209</f>
        <v>-58.265768400277253</v>
      </c>
      <c r="O209" s="41">
        <f>Käyttökate!O209+'5. Rahoitustuotot ja -kulut'!O209</f>
        <v>-265.305162711332</v>
      </c>
      <c r="P209" s="41">
        <f>Käyttökate!P209+'5. Rahoitustuotot ja -kulut'!P209</f>
        <v>14.218867524904603</v>
      </c>
      <c r="T209" s="34">
        <v>620</v>
      </c>
      <c r="U209" s="88" t="s">
        <v>523</v>
      </c>
      <c r="V209" s="41" t="e">
        <f>C209/'1. Väestöennuste'!E209*1000</f>
        <v>#REF!</v>
      </c>
      <c r="W209" s="41">
        <f>D209/'1. Väestöennuste'!F209*1000</f>
        <v>543.69287020109687</v>
      </c>
      <c r="X209" s="41">
        <f>E209/'1. Väestöennuste'!G209*1000</f>
        <v>849.00711877107528</v>
      </c>
      <c r="Y209" s="41">
        <f>F209/'1. Väestöennuste'!H209*1000</f>
        <v>45.051983057373896</v>
      </c>
      <c r="Z209" s="41">
        <f>G209/'1. Väestöennuste'!I209*1000</f>
        <v>546.67721518987344</v>
      </c>
      <c r="AA209" s="41">
        <f>H209/'1. Väestöennuste'!J209*1000</f>
        <v>972.06067800204607</v>
      </c>
      <c r="AB209" s="41">
        <f>I209/'1. Väestöennuste'!K209*1000</f>
        <v>673.19920879302038</v>
      </c>
      <c r="AC209" s="41">
        <f>J209/'1. Väestöennuste'!L209*1000</f>
        <v>874.0052134756221</v>
      </c>
      <c r="AD209" s="41">
        <f>K209/'1. Väestöennuste'!M209*1000</f>
        <v>410.19043504712192</v>
      </c>
      <c r="AE209" s="41">
        <f>L209/'1. Väestöennuste'!N209*1000</f>
        <v>421.78663929873284</v>
      </c>
      <c r="AF209" s="41">
        <f>M209/'1. Väestöennuste'!O209*1000</f>
        <v>64.233154558431309</v>
      </c>
      <c r="AG209" s="41">
        <f>N209/'1. Väestöennuste'!P209*1000</f>
        <v>-26.532681420891279</v>
      </c>
      <c r="AH209" s="41">
        <f>O209/'1. Väestöennuste'!Q209*1000</f>
        <v>-122.99729379292165</v>
      </c>
      <c r="AI209" s="41">
        <f>P209/'1. Väestöennuste'!R209*1000</f>
        <v>6.7101781618237863</v>
      </c>
      <c r="AK209" s="41">
        <f>'6. Poistot'!Z209</f>
        <v>409.01898734177217</v>
      </c>
      <c r="AL209" s="41">
        <f>'6. Poistot'!AA209</f>
        <v>451.62585307105581</v>
      </c>
      <c r="AM209" s="41">
        <f>'6. Poistot'!AB209</f>
        <v>501.99603843008987</v>
      </c>
      <c r="AN209" s="41">
        <f>'6. Poistot'!AC209</f>
        <v>399.11316806722687</v>
      </c>
      <c r="AO209" s="41">
        <f>'6. Poistot'!AD209</f>
        <v>411.88998728274692</v>
      </c>
      <c r="AP209" s="41">
        <f>'6. Poistot'!AE209</f>
        <v>436.92203241349102</v>
      </c>
      <c r="AQ209" s="41">
        <f>'6. Poistot'!AF209</f>
        <v>439.34226988382483</v>
      </c>
      <c r="AR209" s="41">
        <f>'6. Poistot'!AG209</f>
        <v>425.81329690346087</v>
      </c>
      <c r="AS209" s="41">
        <f>'6. Poistot'!AH209</f>
        <v>447.50014063902427</v>
      </c>
      <c r="AT209" s="41">
        <f>'6. Poistot'!AI209</f>
        <v>469.76385404282712</v>
      </c>
      <c r="AV209" s="4">
        <f t="shared" si="63"/>
        <v>0</v>
      </c>
      <c r="AW209" s="4">
        <f t="shared" si="64"/>
        <v>0</v>
      </c>
      <c r="AX209" s="4">
        <f t="shared" si="65"/>
        <v>1</v>
      </c>
      <c r="AY209" s="4">
        <f t="shared" si="66"/>
        <v>1</v>
      </c>
      <c r="AZ209" s="4">
        <f t="shared" si="67"/>
        <v>1</v>
      </c>
      <c r="BA209" s="4">
        <f t="shared" si="68"/>
        <v>1</v>
      </c>
      <c r="BB209" s="4">
        <f t="shared" si="69"/>
        <v>1</v>
      </c>
      <c r="BC209" s="4">
        <f t="shared" si="70"/>
        <v>1</v>
      </c>
      <c r="BE209" s="405">
        <f t="shared" si="71"/>
        <v>0</v>
      </c>
      <c r="BF209" s="405">
        <f t="shared" si="72"/>
        <v>0</v>
      </c>
      <c r="BG209" s="405">
        <f t="shared" si="73"/>
        <v>0</v>
      </c>
      <c r="BH209" s="405">
        <f t="shared" si="74"/>
        <v>0</v>
      </c>
      <c r="BI209" s="405">
        <f t="shared" si="75"/>
        <v>0</v>
      </c>
      <c r="BJ209" s="405">
        <f t="shared" si="76"/>
        <v>0</v>
      </c>
      <c r="BK209" s="405">
        <f t="shared" si="77"/>
        <v>0</v>
      </c>
      <c r="BL209" s="405">
        <f t="shared" si="78"/>
        <v>-1</v>
      </c>
      <c r="BM209" s="405">
        <f t="shared" si="79"/>
        <v>-1</v>
      </c>
      <c r="BN209" s="405">
        <f t="shared" si="79"/>
        <v>0</v>
      </c>
    </row>
    <row r="210" spans="1:66" x14ac:dyDescent="0.2">
      <c r="A210" s="34">
        <v>623</v>
      </c>
      <c r="B210" s="88" t="s">
        <v>524</v>
      </c>
      <c r="C210" s="41" t="e">
        <f>'2. Toimintakate'!D210+'3. Verotulot'!G210+'4. Valtionosuudet'!#REF!+'5. Rahoitustuotot ja -kulut'!C210</f>
        <v>#REF!</v>
      </c>
      <c r="D210" s="41">
        <f>'2. Toimintakate'!E210+'4. Valtionosuudet'!H210+'3. Verotulot'!L210+'5. Rahoitustuotot ja -kulut'!D210</f>
        <v>2416</v>
      </c>
      <c r="E210" s="41">
        <f>'2. Toimintakate'!F210+'4. Valtionosuudet'!N210+'3. Verotulot'!Q210+'5. Rahoitustuotot ja -kulut'!E210</f>
        <v>2338</v>
      </c>
      <c r="F210" s="41">
        <f>'2. Toimintakate'!G210+'4. Valtionosuudet'!T210+'3. Verotulot'!V210+'5. Rahoitustuotot ja -kulut'!F210</f>
        <v>2334</v>
      </c>
      <c r="G210" s="41">
        <f>'2. Toimintakate'!H210+'3. Verotulot'!AA210+'4. Valtionosuudet'!Z210+'5. Rahoitustuotot ja -kulut'!G210</f>
        <v>2219</v>
      </c>
      <c r="H210" s="41">
        <f>Käyttökate!H210+'5. Rahoitustuotot ja -kulut'!H210</f>
        <v>2406.0752507944962</v>
      </c>
      <c r="I210" s="41">
        <f>Käyttökate!I210+'5. Rahoitustuotot ja -kulut'!I210</f>
        <v>2269.2219735266417</v>
      </c>
      <c r="J210" s="41">
        <f>Käyttökate!J210+'5. Rahoitustuotot ja -kulut'!J210</f>
        <v>1321.8809744459845</v>
      </c>
      <c r="K210" s="41">
        <f>Käyttökate!K210+'5. Rahoitustuotot ja -kulut'!K210</f>
        <v>2467.9032920357035</v>
      </c>
      <c r="L210" s="41">
        <f>Käyttökate!L210+'5. Rahoitustuotot ja -kulut'!L210</f>
        <v>1043.7579694099695</v>
      </c>
      <c r="M210" s="41">
        <f>Käyttökate!M210+'5. Rahoitustuotot ja -kulut'!M210</f>
        <v>1297.1315960263676</v>
      </c>
      <c r="N210" s="41">
        <f>Käyttökate!N210+'5. Rahoitustuotot ja -kulut'!N210</f>
        <v>1236.3487174139441</v>
      </c>
      <c r="O210" s="41">
        <f>Käyttökate!O210+'5. Rahoitustuotot ja -kulut'!O210</f>
        <v>1144.0673369959584</v>
      </c>
      <c r="P210" s="41">
        <f>Käyttökate!P210+'5. Rahoitustuotot ja -kulut'!P210</f>
        <v>1192.2552906638136</v>
      </c>
      <c r="T210" s="34">
        <v>623</v>
      </c>
      <c r="U210" s="88" t="s">
        <v>524</v>
      </c>
      <c r="V210" s="41" t="e">
        <f>C210/'1. Väestöennuste'!E210*1000</f>
        <v>#REF!</v>
      </c>
      <c r="W210" s="41">
        <f>D210/'1. Väestöennuste'!F210*1000</f>
        <v>1081.4682184422559</v>
      </c>
      <c r="X210" s="41">
        <f>E210/'1. Väestöennuste'!G210*1000</f>
        <v>1058.876811594203</v>
      </c>
      <c r="Y210" s="41">
        <f>F210/'1. Väestöennuste'!H210*1000</f>
        <v>1062.3577605826126</v>
      </c>
      <c r="Z210" s="41">
        <f>G210/'1. Väestöennuste'!I210*1000</f>
        <v>1031.6132031613204</v>
      </c>
      <c r="AA210" s="41">
        <f>H210/'1. Väestöennuste'!J210*1000</f>
        <v>1125.9126115088891</v>
      </c>
      <c r="AB210" s="41">
        <f>I210/'1. Väestöennuste'!K210*1000</f>
        <v>1071.9045694504684</v>
      </c>
      <c r="AC210" s="41">
        <f>J210/'1. Väestöennuste'!L210*1000</f>
        <v>627.37587776268845</v>
      </c>
      <c r="AD210" s="41">
        <f>K210/'1. Väestöennuste'!M210*1000</f>
        <v>1170.7321119713963</v>
      </c>
      <c r="AE210" s="41">
        <f>L210/'1. Väestöennuste'!N210*1000</f>
        <v>509.15022898047289</v>
      </c>
      <c r="AF210" s="41">
        <f>M210/'1. Väestöennuste'!O210*1000</f>
        <v>638.03816823726891</v>
      </c>
      <c r="AG210" s="41">
        <f>N210/'1. Väestöennuste'!P210*1000</f>
        <v>613.26821300294841</v>
      </c>
      <c r="AH210" s="41">
        <f>O210/'1. Väestöennuste'!Q210*1000</f>
        <v>572.03366849797919</v>
      </c>
      <c r="AI210" s="41">
        <f>P210/'1. Väestöennuste'!R210*1000</f>
        <v>601.23816977499428</v>
      </c>
      <c r="AK210" s="41">
        <f>'6. Poistot'!Z210</f>
        <v>403.99814039981402</v>
      </c>
      <c r="AL210" s="41">
        <f>'6. Poistot'!AA210</f>
        <v>313.52363125877395</v>
      </c>
      <c r="AM210" s="41">
        <f>'6. Poistot'!AB210</f>
        <v>336.05920170051962</v>
      </c>
      <c r="AN210" s="41">
        <f>'6. Poistot'!AC210</f>
        <v>341.55820598006642</v>
      </c>
      <c r="AO210" s="41">
        <f>'6. Poistot'!AD210</f>
        <v>384.00346299810252</v>
      </c>
      <c r="AP210" s="41">
        <f>'6. Poistot'!AE210</f>
        <v>419.90926829268295</v>
      </c>
      <c r="AQ210" s="41">
        <f>'6. Poistot'!AF210</f>
        <v>432.8578455484506</v>
      </c>
      <c r="AR210" s="41">
        <f>'6. Poistot'!AG210</f>
        <v>441.46825396825398</v>
      </c>
      <c r="AS210" s="41">
        <f>'6. Poistot'!AH210</f>
        <v>459.35852156323273</v>
      </c>
      <c r="AT210" s="41">
        <f>'6. Poistot'!AI210</f>
        <v>477.77815746491717</v>
      </c>
      <c r="AV210" s="4">
        <f t="shared" si="63"/>
        <v>0</v>
      </c>
      <c r="AW210" s="4">
        <f t="shared" si="64"/>
        <v>0</v>
      </c>
      <c r="AX210" s="4">
        <f t="shared" si="65"/>
        <v>0</v>
      </c>
      <c r="AY210" s="4">
        <f t="shared" si="66"/>
        <v>0</v>
      </c>
      <c r="AZ210" s="4">
        <f t="shared" si="67"/>
        <v>0</v>
      </c>
      <c r="BA210" s="4">
        <f t="shared" si="68"/>
        <v>0</v>
      </c>
      <c r="BB210" s="4">
        <f t="shared" si="69"/>
        <v>0</v>
      </c>
      <c r="BC210" s="4">
        <f t="shared" si="70"/>
        <v>0</v>
      </c>
      <c r="BE210" s="405">
        <f t="shared" si="71"/>
        <v>0</v>
      </c>
      <c r="BF210" s="405">
        <f t="shared" si="72"/>
        <v>0</v>
      </c>
      <c r="BG210" s="405">
        <f t="shared" si="73"/>
        <v>0</v>
      </c>
      <c r="BH210" s="405">
        <f t="shared" si="74"/>
        <v>0</v>
      </c>
      <c r="BI210" s="405">
        <f t="shared" si="75"/>
        <v>0</v>
      </c>
      <c r="BJ210" s="405">
        <f t="shared" si="76"/>
        <v>0</v>
      </c>
      <c r="BK210" s="405">
        <f t="shared" si="77"/>
        <v>0</v>
      </c>
      <c r="BL210" s="405">
        <f t="shared" si="78"/>
        <v>0</v>
      </c>
      <c r="BM210" s="405">
        <f t="shared" si="79"/>
        <v>0</v>
      </c>
      <c r="BN210" s="405">
        <f t="shared" si="79"/>
        <v>0</v>
      </c>
    </row>
    <row r="211" spans="1:66" x14ac:dyDescent="0.2">
      <c r="A211" s="34">
        <v>624</v>
      </c>
      <c r="B211" s="88" t="s">
        <v>525</v>
      </c>
      <c r="C211" s="41" t="e">
        <f>'2. Toimintakate'!D211+'3. Verotulot'!G211+'4. Valtionosuudet'!#REF!+'5. Rahoitustuotot ja -kulut'!C211</f>
        <v>#REF!</v>
      </c>
      <c r="D211" s="41">
        <f>'2. Toimintakate'!E211+'4. Valtionosuudet'!H211+'3. Verotulot'!L211+'5. Rahoitustuotot ja -kulut'!D211</f>
        <v>1923</v>
      </c>
      <c r="E211" s="41">
        <f>'2. Toimintakate'!F211+'4. Valtionosuudet'!N211+'3. Verotulot'!Q211+'5. Rahoitustuotot ja -kulut'!E211</f>
        <v>3246</v>
      </c>
      <c r="F211" s="41">
        <f>'2. Toimintakate'!G211+'4. Valtionosuudet'!T211+'3. Verotulot'!V211+'5. Rahoitustuotot ja -kulut'!F211</f>
        <v>358</v>
      </c>
      <c r="G211" s="41">
        <f>'2. Toimintakate'!H211+'3. Verotulot'!AA211+'4. Valtionosuudet'!Z211+'5. Rahoitustuotot ja -kulut'!G211</f>
        <v>737</v>
      </c>
      <c r="H211" s="41">
        <f>Käyttökate!H211+'5. Rahoitustuotot ja -kulut'!H211</f>
        <v>2684.5151978611502</v>
      </c>
      <c r="I211" s="41">
        <f>Käyttökate!I211+'5. Rahoitustuotot ja -kulut'!I211</f>
        <v>2539.1479722917898</v>
      </c>
      <c r="J211" s="41">
        <f>Käyttökate!J211+'5. Rahoitustuotot ja -kulut'!J211</f>
        <v>2632.6484192291796</v>
      </c>
      <c r="K211" s="41">
        <f>Käyttökate!K211+'5. Rahoitustuotot ja -kulut'!K211</f>
        <v>4595.9373191767818</v>
      </c>
      <c r="L211" s="41">
        <f>Käyttökate!L211+'5. Rahoitustuotot ja -kulut'!L211</f>
        <v>1855.4580422872687</v>
      </c>
      <c r="M211" s="41">
        <f>Käyttökate!M211+'5. Rahoitustuotot ja -kulut'!M211</f>
        <v>1295.0697519546256</v>
      </c>
      <c r="N211" s="41">
        <f>Käyttökate!N211+'5. Rahoitustuotot ja -kulut'!N211</f>
        <v>1185.3399985917476</v>
      </c>
      <c r="O211" s="41">
        <f>Käyttökate!O211+'5. Rahoitustuotot ja -kulut'!O211</f>
        <v>1273.9578350028564</v>
      </c>
      <c r="P211" s="41">
        <f>Käyttökate!P211+'5. Rahoitustuotot ja -kulut'!P211</f>
        <v>1856.8124514785961</v>
      </c>
      <c r="T211" s="34">
        <v>624</v>
      </c>
      <c r="U211" s="88" t="s">
        <v>525</v>
      </c>
      <c r="V211" s="41" t="e">
        <f>C211/'1. Väestöennuste'!E211*1000</f>
        <v>#REF!</v>
      </c>
      <c r="W211" s="41">
        <f>D211/'1. Väestöennuste'!F211*1000</f>
        <v>360.11235955056179</v>
      </c>
      <c r="X211" s="41">
        <f>E211/'1. Väestöennuste'!G211*1000</f>
        <v>616.64133738601822</v>
      </c>
      <c r="Y211" s="41">
        <f>F211/'1. Väestöennuste'!H211*1000</f>
        <v>69.018700597647964</v>
      </c>
      <c r="Z211" s="41">
        <f>G211/'1. Väestöennuste'!I211*1000</f>
        <v>143.38521400778208</v>
      </c>
      <c r="AA211" s="41">
        <f>H211/'1. Väestöennuste'!J211*1000</f>
        <v>523.80784348510247</v>
      </c>
      <c r="AB211" s="41">
        <f>I211/'1. Väestöennuste'!K211*1000</f>
        <v>496.02421806833161</v>
      </c>
      <c r="AC211" s="41">
        <f>J211/'1. Väestöennuste'!L211*1000</f>
        <v>514.49060371881558</v>
      </c>
      <c r="AD211" s="41">
        <f>K211/'1. Väestöennuste'!M211*1000</f>
        <v>907.39137594803196</v>
      </c>
      <c r="AE211" s="41">
        <f>L211/'1. Väestöennuste'!N211*1000</f>
        <v>372.05896175802462</v>
      </c>
      <c r="AF211" s="41">
        <f>M211/'1. Väestöennuste'!O211*1000</f>
        <v>261.84184228763155</v>
      </c>
      <c r="AG211" s="41">
        <f>N211/'1. Väestöennuste'!P211*1000</f>
        <v>241.56103496876864</v>
      </c>
      <c r="AH211" s="41">
        <f>O211/'1. Väestöennuste'!Q211*1000</f>
        <v>261.70045912137562</v>
      </c>
      <c r="AI211" s="41">
        <f>P211/'1. Väestöennuste'!R211*1000</f>
        <v>384.83159616136709</v>
      </c>
      <c r="AK211" s="41">
        <f>'6. Poistot'!Z211</f>
        <v>298.0544747081712</v>
      </c>
      <c r="AL211" s="41">
        <f>'6. Poistot'!AA211</f>
        <v>305.95121951219511</v>
      </c>
      <c r="AM211" s="41">
        <f>'6. Poistot'!AB211</f>
        <v>300.34455557726119</v>
      </c>
      <c r="AN211" s="41">
        <f>'6. Poistot'!AC211</f>
        <v>292.25777408637879</v>
      </c>
      <c r="AO211" s="41">
        <f>'6. Poistot'!AD211</f>
        <v>308.13376307996049</v>
      </c>
      <c r="AP211" s="41">
        <f>'6. Poistot'!AE211</f>
        <v>314.8258331662322</v>
      </c>
      <c r="AQ211" s="41">
        <f>'6. Poistot'!AF211</f>
        <v>317.42826122118885</v>
      </c>
      <c r="AR211" s="41">
        <f>'6. Poistot'!AG211</f>
        <v>319.95118402282452</v>
      </c>
      <c r="AS211" s="41">
        <f>'6. Poistot'!AH211</f>
        <v>332.92083598422875</v>
      </c>
      <c r="AT211" s="41">
        <f>'6. Poistot'!AI211</f>
        <v>346.38690137667373</v>
      </c>
      <c r="AV211" s="4">
        <f t="shared" si="63"/>
        <v>0</v>
      </c>
      <c r="AW211" s="4">
        <f t="shared" si="64"/>
        <v>0</v>
      </c>
      <c r="AX211" s="4">
        <f t="shared" si="65"/>
        <v>0</v>
      </c>
      <c r="AY211" s="4">
        <f t="shared" si="66"/>
        <v>0</v>
      </c>
      <c r="AZ211" s="4">
        <f t="shared" si="67"/>
        <v>1</v>
      </c>
      <c r="BA211" s="4">
        <f t="shared" si="68"/>
        <v>1</v>
      </c>
      <c r="BB211" s="4">
        <f t="shared" si="69"/>
        <v>1</v>
      </c>
      <c r="BC211" s="4">
        <f t="shared" si="70"/>
        <v>0</v>
      </c>
      <c r="BE211" s="405">
        <f t="shared" si="71"/>
        <v>0</v>
      </c>
      <c r="BF211" s="405">
        <f t="shared" si="72"/>
        <v>0</v>
      </c>
      <c r="BG211" s="405">
        <f t="shared" si="73"/>
        <v>0</v>
      </c>
      <c r="BH211" s="405">
        <f t="shared" si="74"/>
        <v>0</v>
      </c>
      <c r="BI211" s="405">
        <f t="shared" si="75"/>
        <v>0</v>
      </c>
      <c r="BJ211" s="405">
        <f t="shared" si="76"/>
        <v>0</v>
      </c>
      <c r="BK211" s="405">
        <f t="shared" si="77"/>
        <v>0</v>
      </c>
      <c r="BL211" s="405">
        <f t="shared" si="78"/>
        <v>0</v>
      </c>
      <c r="BM211" s="405">
        <f t="shared" si="79"/>
        <v>0</v>
      </c>
      <c r="BN211" s="405">
        <f t="shared" si="79"/>
        <v>0</v>
      </c>
    </row>
    <row r="212" spans="1:66" x14ac:dyDescent="0.2">
      <c r="A212" s="34">
        <v>625</v>
      </c>
      <c r="B212" s="88" t="s">
        <v>526</v>
      </c>
      <c r="C212" s="41" t="e">
        <f>'2. Toimintakate'!D212+'3. Verotulot'!G212+'4. Valtionosuudet'!#REF!+'5. Rahoitustuotot ja -kulut'!C212</f>
        <v>#REF!</v>
      </c>
      <c r="D212" s="41">
        <f>'2. Toimintakate'!E212+'4. Valtionosuudet'!H212+'3. Verotulot'!L212+'5. Rahoitustuotot ja -kulut'!D212</f>
        <v>1364</v>
      </c>
      <c r="E212" s="41">
        <f>'2. Toimintakate'!F212+'4. Valtionosuudet'!N212+'3. Verotulot'!Q212+'5. Rahoitustuotot ja -kulut'!E212</f>
        <v>1822</v>
      </c>
      <c r="F212" s="41">
        <f>'2. Toimintakate'!G212+'4. Valtionosuudet'!T212+'3. Verotulot'!V212+'5. Rahoitustuotot ja -kulut'!F212</f>
        <v>678</v>
      </c>
      <c r="G212" s="41">
        <f>'2. Toimintakate'!H212+'3. Verotulot'!AA212+'4. Valtionosuudet'!Z212+'5. Rahoitustuotot ja -kulut'!G212</f>
        <v>45</v>
      </c>
      <c r="H212" s="41">
        <f>Käyttökate!H212+'5. Rahoitustuotot ja -kulut'!H212</f>
        <v>3022.869630893254</v>
      </c>
      <c r="I212" s="41">
        <f>Käyttökate!I212+'5. Rahoitustuotot ja -kulut'!I212</f>
        <v>3335.329755100659</v>
      </c>
      <c r="J212" s="41">
        <f>Käyttökate!J212+'5. Rahoitustuotot ja -kulut'!J212</f>
        <v>3601.3795395823831</v>
      </c>
      <c r="K212" s="41">
        <f>Käyttökate!K212+'5. Rahoitustuotot ja -kulut'!K212</f>
        <v>5131.2526652282968</v>
      </c>
      <c r="L212" s="41">
        <f>Käyttökate!L212+'5. Rahoitustuotot ja -kulut'!L212</f>
        <v>4009.4360548538734</v>
      </c>
      <c r="M212" s="41">
        <f>Käyttökate!M212+'5. Rahoitustuotot ja -kulut'!M212</f>
        <v>3258.068652881564</v>
      </c>
      <c r="N212" s="41">
        <f>Käyttökate!N212+'5. Rahoitustuotot ja -kulut'!N212</f>
        <v>3034.6188745245872</v>
      </c>
      <c r="O212" s="41">
        <f>Käyttökate!O212+'5. Rahoitustuotot ja -kulut'!O212</f>
        <v>2704.6675209512478</v>
      </c>
      <c r="P212" s="41">
        <f>Käyttökate!P212+'5. Rahoitustuotot ja -kulut'!P212</f>
        <v>2962.6018034050257</v>
      </c>
      <c r="T212" s="34">
        <v>625</v>
      </c>
      <c r="U212" s="88" t="s">
        <v>526</v>
      </c>
      <c r="V212" s="41" t="e">
        <f>C212/'1. Väestöennuste'!E212*1000</f>
        <v>#REF!</v>
      </c>
      <c r="W212" s="41">
        <f>D212/'1. Väestöennuste'!F212*1000</f>
        <v>427.85445420326221</v>
      </c>
      <c r="X212" s="41">
        <f>E212/'1. Väestöennuste'!G212*1000</f>
        <v>571.33897773596743</v>
      </c>
      <c r="Y212" s="41">
        <f>F212/'1. Väestöennuste'!H212*1000</f>
        <v>215.51176096630641</v>
      </c>
      <c r="Z212" s="41">
        <f>G212/'1. Väestöennuste'!I212*1000</f>
        <v>14.624634384140396</v>
      </c>
      <c r="AA212" s="41">
        <f>H212/'1. Väestöennuste'!J212*1000</f>
        <v>990.77995112856581</v>
      </c>
      <c r="AB212" s="41">
        <f>I212/'1. Väestöennuste'!K212*1000</f>
        <v>1094.2682923558593</v>
      </c>
      <c r="AC212" s="41">
        <f>J212/'1. Väestöennuste'!L212*1000</f>
        <v>1204.0720627156079</v>
      </c>
      <c r="AD212" s="41">
        <f>K212/'1. Väestöennuste'!M212*1000</f>
        <v>1721.896867526274</v>
      </c>
      <c r="AE212" s="41">
        <f>L212/'1. Väestöennuste'!N212*1000</f>
        <v>1376.86677707894</v>
      </c>
      <c r="AF212" s="41">
        <f>M212/'1. Väestöennuste'!O212*1000</f>
        <v>1131.6667776594527</v>
      </c>
      <c r="AG212" s="41">
        <f>N212/'1. Väestöennuste'!P212*1000</f>
        <v>1065.9005530469221</v>
      </c>
      <c r="AH212" s="41">
        <f>O212/'1. Väestöennuste'!Q212*1000</f>
        <v>961.14695129752931</v>
      </c>
      <c r="AI212" s="41">
        <f>P212/'1. Väestöennuste'!R212*1000</f>
        <v>1065.3009001815985</v>
      </c>
      <c r="AK212" s="41">
        <f>'6. Poistot'!Z212</f>
        <v>322.06694832629182</v>
      </c>
      <c r="AL212" s="41">
        <f>'6. Poistot'!AA212</f>
        <v>377.58112094395278</v>
      </c>
      <c r="AM212" s="41">
        <f>'6. Poistot'!AB212</f>
        <v>381.3155052493438</v>
      </c>
      <c r="AN212" s="41">
        <f>'6. Poistot'!AC212</f>
        <v>476.19822133065861</v>
      </c>
      <c r="AO212" s="41">
        <f>'6. Poistot'!AD212</f>
        <v>632.15127181208049</v>
      </c>
      <c r="AP212" s="41">
        <f>'6. Poistot'!AE212</f>
        <v>461.37362637362639</v>
      </c>
      <c r="AQ212" s="41">
        <f>'6. Poistot'!AF212</f>
        <v>432.11184439041335</v>
      </c>
      <c r="AR212" s="41">
        <f>'6. Poistot'!AG212</f>
        <v>399.82788900597114</v>
      </c>
      <c r="AS212" s="41">
        <f>'6. Poistot'!AH212</f>
        <v>417.56897589152425</v>
      </c>
      <c r="AT212" s="41">
        <f>'6. Poistot'!AI212</f>
        <v>435.73110259528892</v>
      </c>
      <c r="AV212" s="4">
        <f t="shared" si="63"/>
        <v>0</v>
      </c>
      <c r="AW212" s="4">
        <f t="shared" si="64"/>
        <v>0</v>
      </c>
      <c r="AX212" s="4">
        <f t="shared" si="65"/>
        <v>0</v>
      </c>
      <c r="AY212" s="4">
        <f t="shared" si="66"/>
        <v>0</v>
      </c>
      <c r="AZ212" s="4">
        <f t="shared" si="67"/>
        <v>0</v>
      </c>
      <c r="BA212" s="4">
        <f t="shared" si="68"/>
        <v>0</v>
      </c>
      <c r="BB212" s="4">
        <f t="shared" si="69"/>
        <v>0</v>
      </c>
      <c r="BC212" s="4">
        <f t="shared" si="70"/>
        <v>0</v>
      </c>
      <c r="BE212" s="405">
        <f t="shared" si="71"/>
        <v>0</v>
      </c>
      <c r="BF212" s="405">
        <f t="shared" si="72"/>
        <v>0</v>
      </c>
      <c r="BG212" s="405">
        <f t="shared" si="73"/>
        <v>0</v>
      </c>
      <c r="BH212" s="405">
        <f t="shared" si="74"/>
        <v>0</v>
      </c>
      <c r="BI212" s="405">
        <f t="shared" si="75"/>
        <v>0</v>
      </c>
      <c r="BJ212" s="405">
        <f t="shared" si="76"/>
        <v>0</v>
      </c>
      <c r="BK212" s="405">
        <f t="shared" si="77"/>
        <v>0</v>
      </c>
      <c r="BL212" s="405">
        <f t="shared" si="78"/>
        <v>0</v>
      </c>
      <c r="BM212" s="405">
        <f t="shared" si="79"/>
        <v>0</v>
      </c>
      <c r="BN212" s="405">
        <f t="shared" si="79"/>
        <v>0</v>
      </c>
    </row>
    <row r="213" spans="1:66" x14ac:dyDescent="0.2">
      <c r="A213" s="34">
        <v>626</v>
      </c>
      <c r="B213" s="88" t="s">
        <v>527</v>
      </c>
      <c r="C213" s="41" t="e">
        <f>'2. Toimintakate'!D213+'3. Verotulot'!G213+'4. Valtionosuudet'!#REF!+'5. Rahoitustuotot ja -kulut'!C213</f>
        <v>#REF!</v>
      </c>
      <c r="D213" s="41">
        <f>'2. Toimintakate'!E213+'4. Valtionosuudet'!H213+'3. Verotulot'!L213+'5. Rahoitustuotot ja -kulut'!D213</f>
        <v>-2785</v>
      </c>
      <c r="E213" s="41">
        <f>'2. Toimintakate'!F213+'4. Valtionosuudet'!N213+'3. Verotulot'!Q213+'5. Rahoitustuotot ja -kulut'!E213</f>
        <v>2</v>
      </c>
      <c r="F213" s="41">
        <f>'2. Toimintakate'!G213+'4. Valtionosuudet'!T213+'3. Verotulot'!V213+'5. Rahoitustuotot ja -kulut'!F213</f>
        <v>-523</v>
      </c>
      <c r="G213" s="41">
        <f>'2. Toimintakate'!H213+'3. Verotulot'!AA213+'4. Valtionosuudet'!Z213+'5. Rahoitustuotot ja -kulut'!G213</f>
        <v>-1715</v>
      </c>
      <c r="H213" s="41">
        <f>Käyttökate!H213+'5. Rahoitustuotot ja -kulut'!H213</f>
        <v>2171.261955174592</v>
      </c>
      <c r="I213" s="41">
        <f>Käyttökate!I213+'5. Rahoitustuotot ja -kulut'!I213</f>
        <v>3441.8205387169064</v>
      </c>
      <c r="J213" s="41">
        <f>Käyttökate!J213+'5. Rahoitustuotot ja -kulut'!J213</f>
        <v>53.795821359031947</v>
      </c>
      <c r="K213" s="41">
        <f>Käyttökate!K213+'5. Rahoitustuotot ja -kulut'!K213</f>
        <v>-1553.3008723158989</v>
      </c>
      <c r="L213" s="41">
        <f>Käyttökate!L213+'5. Rahoitustuotot ja -kulut'!L213</f>
        <v>-1591.8766714368599</v>
      </c>
      <c r="M213" s="41">
        <f>Käyttökate!M213+'5. Rahoitustuotot ja -kulut'!M213</f>
        <v>-1999.1029290554588</v>
      </c>
      <c r="N213" s="41">
        <f>Käyttökate!N213+'5. Rahoitustuotot ja -kulut'!N213</f>
        <v>-2115.8769371499384</v>
      </c>
      <c r="O213" s="41">
        <f>Käyttökate!O213+'5. Rahoitustuotot ja -kulut'!O213</f>
        <v>-2391.4593689786916</v>
      </c>
      <c r="P213" s="41">
        <f>Käyttökate!P213+'5. Rahoitustuotot ja -kulut'!P213</f>
        <v>-1773.4580231935531</v>
      </c>
      <c r="T213" s="34">
        <v>626</v>
      </c>
      <c r="U213" s="88" t="s">
        <v>527</v>
      </c>
      <c r="V213" s="41" t="e">
        <f>C213/'1. Väestöennuste'!E213*1000</f>
        <v>#REF!</v>
      </c>
      <c r="W213" s="41">
        <f>D213/'1. Väestöennuste'!F213*1000</f>
        <v>-511.3845023870731</v>
      </c>
      <c r="X213" s="41">
        <f>E213/'1. Väestöennuste'!G213*1000</f>
        <v>0.37474236462432076</v>
      </c>
      <c r="Y213" s="41">
        <f>F213/'1. Väestöennuste'!H213*1000</f>
        <v>-99.657012195121951</v>
      </c>
      <c r="Z213" s="41">
        <f>G213/'1. Väestöennuste'!I213*1000</f>
        <v>-334.24283765347883</v>
      </c>
      <c r="AA213" s="41">
        <f>H213/'1. Väestöennuste'!J213*1000</f>
        <v>431.40511726099584</v>
      </c>
      <c r="AB213" s="41">
        <f>I213/'1. Väestöennuste'!K213*1000</f>
        <v>693.35627290832122</v>
      </c>
      <c r="AC213" s="41">
        <f>J213/'1. Väestöennuste'!L213*1000</f>
        <v>11.126333269706711</v>
      </c>
      <c r="AD213" s="41">
        <f>K213/'1. Väestöennuste'!M213*1000</f>
        <v>-326.59816491082819</v>
      </c>
      <c r="AE213" s="41">
        <f>L213/'1. Väestöennuste'!N213*1000</f>
        <v>-338.98566257173337</v>
      </c>
      <c r="AF213" s="41">
        <f>M213/'1. Väestöennuste'!O213*1000</f>
        <v>-432.79994134129873</v>
      </c>
      <c r="AG213" s="41">
        <f>N213/'1. Väestöennuste'!P213*1000</f>
        <v>-465.64193159109556</v>
      </c>
      <c r="AH213" s="41">
        <f>O213/'1. Väestöennuste'!Q213*1000</f>
        <v>-534.76282848360722</v>
      </c>
      <c r="AI213" s="41">
        <f>P213/'1. Väestöennuste'!R213*1000</f>
        <v>-403.15026669551105</v>
      </c>
      <c r="AK213" s="41">
        <f>'6. Poistot'!Z213</f>
        <v>363.0871175209511</v>
      </c>
      <c r="AL213" s="41">
        <f>'6. Poistot'!AA213</f>
        <v>365.38843632028613</v>
      </c>
      <c r="AM213" s="41">
        <f>'6. Poistot'!AB213</f>
        <v>359.68426873489125</v>
      </c>
      <c r="AN213" s="41">
        <f>'6. Poistot'!AC213</f>
        <v>295.98110858324713</v>
      </c>
      <c r="AO213" s="41">
        <f>'6. Poistot'!AD213</f>
        <v>284.17010723296886</v>
      </c>
      <c r="AP213" s="41">
        <f>'6. Poistot'!AE213</f>
        <v>292.73850085178879</v>
      </c>
      <c r="AQ213" s="41">
        <f>'6. Poistot'!AF213</f>
        <v>286.20913617666162</v>
      </c>
      <c r="AR213" s="41">
        <f>'6. Poistot'!AG213</f>
        <v>264.52464788732397</v>
      </c>
      <c r="AS213" s="41">
        <f>'6. Poistot'!AH213</f>
        <v>277.45620335219684</v>
      </c>
      <c r="AT213" s="41">
        <f>'6. Poistot'!AI213</f>
        <v>290.8770817872354</v>
      </c>
      <c r="AV213" s="4">
        <f t="shared" si="63"/>
        <v>0</v>
      </c>
      <c r="AW213" s="4">
        <f t="shared" si="64"/>
        <v>1</v>
      </c>
      <c r="AX213" s="4">
        <f t="shared" si="65"/>
        <v>1</v>
      </c>
      <c r="AY213" s="4">
        <f t="shared" si="66"/>
        <v>1</v>
      </c>
      <c r="AZ213" s="4">
        <f t="shared" si="67"/>
        <v>1</v>
      </c>
      <c r="BA213" s="4">
        <f t="shared" si="68"/>
        <v>1</v>
      </c>
      <c r="BB213" s="4">
        <f t="shared" si="69"/>
        <v>1</v>
      </c>
      <c r="BC213" s="4">
        <f t="shared" si="70"/>
        <v>1</v>
      </c>
      <c r="BE213" s="405">
        <f t="shared" si="71"/>
        <v>-1</v>
      </c>
      <c r="BF213" s="405">
        <f t="shared" si="72"/>
        <v>0</v>
      </c>
      <c r="BG213" s="405">
        <f t="shared" si="73"/>
        <v>0</v>
      </c>
      <c r="BH213" s="405">
        <f t="shared" si="74"/>
        <v>0</v>
      </c>
      <c r="BI213" s="405">
        <f t="shared" si="75"/>
        <v>-1</v>
      </c>
      <c r="BJ213" s="405">
        <f t="shared" si="76"/>
        <v>-1</v>
      </c>
      <c r="BK213" s="405">
        <f t="shared" si="77"/>
        <v>-1</v>
      </c>
      <c r="BL213" s="405">
        <f t="shared" si="78"/>
        <v>-1</v>
      </c>
      <c r="BM213" s="405">
        <f t="shared" si="79"/>
        <v>-1</v>
      </c>
      <c r="BN213" s="405">
        <f t="shared" si="79"/>
        <v>-1</v>
      </c>
    </row>
    <row r="214" spans="1:66" x14ac:dyDescent="0.2">
      <c r="A214" s="34">
        <v>630</v>
      </c>
      <c r="B214" s="88" t="s">
        <v>528</v>
      </c>
      <c r="C214" s="41" t="e">
        <f>'2. Toimintakate'!D214+'3. Verotulot'!G214+'4. Valtionosuudet'!#REF!+'5. Rahoitustuotot ja -kulut'!C214</f>
        <v>#REF!</v>
      </c>
      <c r="D214" s="41">
        <f>'2. Toimintakate'!E214+'4. Valtionosuudet'!H214+'3. Verotulot'!L214+'5. Rahoitustuotot ja -kulut'!D214</f>
        <v>679</v>
      </c>
      <c r="E214" s="41">
        <f>'2. Toimintakate'!F214+'4. Valtionosuudet'!N214+'3. Verotulot'!Q214+'5. Rahoitustuotot ja -kulut'!E214</f>
        <v>1308</v>
      </c>
      <c r="F214" s="41">
        <f>'2. Toimintakate'!G214+'4. Valtionosuudet'!T214+'3. Verotulot'!V214+'5. Rahoitustuotot ja -kulut'!F214</f>
        <v>856</v>
      </c>
      <c r="G214" s="41">
        <f>'2. Toimintakate'!H214+'3. Verotulot'!AA214+'4. Valtionosuudet'!Z214+'5. Rahoitustuotot ja -kulut'!G214</f>
        <v>399</v>
      </c>
      <c r="H214" s="41">
        <f>Käyttökate!H214+'5. Rahoitustuotot ja -kulut'!H214</f>
        <v>478.59980795443153</v>
      </c>
      <c r="I214" s="41">
        <f>Käyttökate!I214+'5. Rahoitustuotot ja -kulut'!I214</f>
        <v>546.50113751898311</v>
      </c>
      <c r="J214" s="41">
        <f>Käyttökate!J214+'5. Rahoitustuotot ja -kulut'!J214</f>
        <v>1670.0663701412616</v>
      </c>
      <c r="K214" s="41">
        <f>Käyttökate!K214+'5. Rahoitustuotot ja -kulut'!K214</f>
        <v>1241.4456027619515</v>
      </c>
      <c r="L214" s="41">
        <f>Käyttökate!L214+'5. Rahoitustuotot ja -kulut'!L214</f>
        <v>1138.3243686309668</v>
      </c>
      <c r="M214" s="41">
        <f>Käyttökate!M214+'5. Rahoitustuotot ja -kulut'!M214</f>
        <v>1136.1661959921851</v>
      </c>
      <c r="N214" s="41">
        <f>Käyttökate!N214+'5. Rahoitustuotot ja -kulut'!N214</f>
        <v>1161.6266039484083</v>
      </c>
      <c r="O214" s="41">
        <f>Käyttökate!O214+'5. Rahoitustuotot ja -kulut'!O214</f>
        <v>1251.746232681114</v>
      </c>
      <c r="P214" s="41">
        <f>Käyttökate!P214+'5. Rahoitustuotot ja -kulut'!P214</f>
        <v>1633.4310442773531</v>
      </c>
      <c r="T214" s="34">
        <v>630</v>
      </c>
      <c r="U214" s="88" t="s">
        <v>528</v>
      </c>
      <c r="V214" s="41" t="e">
        <f>C214/'1. Väestöennuste'!E214*1000</f>
        <v>#REF!</v>
      </c>
      <c r="W214" s="41">
        <f>D214/'1. Väestöennuste'!F214*1000</f>
        <v>430.01899936668781</v>
      </c>
      <c r="X214" s="41">
        <f>E214/'1. Väestöennuste'!G214*1000</f>
        <v>828.37238758708042</v>
      </c>
      <c r="Y214" s="41">
        <f>F214/'1. Väestöennuste'!H214*1000</f>
        <v>549.77520873474623</v>
      </c>
      <c r="Z214" s="41">
        <f>G214/'1. Väestöennuste'!I214*1000</f>
        <v>252.85171102661596</v>
      </c>
      <c r="AA214" s="41">
        <f>H214/'1. Väestöennuste'!J214*1000</f>
        <v>300.43930191740839</v>
      </c>
      <c r="AB214" s="41">
        <f>I214/'1. Väestöennuste'!K214*1000</f>
        <v>335.071206326783</v>
      </c>
      <c r="AC214" s="41">
        <f>J214/'1. Väestöennuste'!L214*1000</f>
        <v>1021.4473211873159</v>
      </c>
      <c r="AD214" s="41">
        <f>K214/'1. Väestöennuste'!M214*1000</f>
        <v>754.21968576060237</v>
      </c>
      <c r="AE214" s="41">
        <f>L214/'1. Väestöennuste'!N214*1000</f>
        <v>712.34315934353367</v>
      </c>
      <c r="AF214" s="41">
        <f>M214/'1. Väestöennuste'!O214*1000</f>
        <v>710.54796497322388</v>
      </c>
      <c r="AG214" s="41">
        <f>N214/'1. Väestöennuste'!P214*1000</f>
        <v>727.38046584120741</v>
      </c>
      <c r="AH214" s="41">
        <f>O214/'1. Väestöennuste'!Q214*1000</f>
        <v>784.79387628909967</v>
      </c>
      <c r="AI214" s="41">
        <f>P214/'1. Väestöennuste'!R214*1000</f>
        <v>1022.8121755024126</v>
      </c>
      <c r="AK214" s="41">
        <f>'6. Poistot'!Z214</f>
        <v>294.04309252217996</v>
      </c>
      <c r="AL214" s="41">
        <f>'6. Poistot'!AA214</f>
        <v>305.71249215317016</v>
      </c>
      <c r="AM214" s="41">
        <f>'6. Poistot'!AB214</f>
        <v>840.9424402207236</v>
      </c>
      <c r="AN214" s="41">
        <f>'6. Poistot'!AC214</f>
        <v>310.22925382262997</v>
      </c>
      <c r="AO214" s="41">
        <f>'6. Poistot'!AD214</f>
        <v>543.23988456865129</v>
      </c>
      <c r="AP214" s="41">
        <f>'6. Poistot'!AE214</f>
        <v>499.12015018773468</v>
      </c>
      <c r="AQ214" s="41">
        <f>'6. Poistot'!AF214</f>
        <v>457.66353971232019</v>
      </c>
      <c r="AR214" s="41">
        <f>'6. Poistot'!AG214</f>
        <v>458.23669380087659</v>
      </c>
      <c r="AS214" s="41">
        <f>'6. Poistot'!AH214</f>
        <v>473.61544646410476</v>
      </c>
      <c r="AT214" s="41">
        <f>'6. Poistot'!AI214</f>
        <v>487.80793626831195</v>
      </c>
      <c r="AV214" s="4">
        <f t="shared" si="63"/>
        <v>1</v>
      </c>
      <c r="AW214" s="4">
        <f t="shared" si="64"/>
        <v>0</v>
      </c>
      <c r="AX214" s="4">
        <f t="shared" si="65"/>
        <v>0</v>
      </c>
      <c r="AY214" s="4">
        <f t="shared" si="66"/>
        <v>0</v>
      </c>
      <c r="AZ214" s="4">
        <f t="shared" si="67"/>
        <v>0</v>
      </c>
      <c r="BA214" s="4">
        <f t="shared" si="68"/>
        <v>0</v>
      </c>
      <c r="BB214" s="4">
        <f t="shared" si="69"/>
        <v>0</v>
      </c>
      <c r="BC214" s="4">
        <f t="shared" si="70"/>
        <v>0</v>
      </c>
      <c r="BE214" s="405">
        <f t="shared" si="71"/>
        <v>0</v>
      </c>
      <c r="BF214" s="405">
        <f t="shared" si="72"/>
        <v>0</v>
      </c>
      <c r="BG214" s="405">
        <f t="shared" si="73"/>
        <v>0</v>
      </c>
      <c r="BH214" s="405">
        <f t="shared" si="74"/>
        <v>0</v>
      </c>
      <c r="BI214" s="405">
        <f t="shared" si="75"/>
        <v>0</v>
      </c>
      <c r="BJ214" s="405">
        <f t="shared" si="76"/>
        <v>0</v>
      </c>
      <c r="BK214" s="405">
        <f t="shared" si="77"/>
        <v>0</v>
      </c>
      <c r="BL214" s="405">
        <f t="shared" si="78"/>
        <v>0</v>
      </c>
      <c r="BM214" s="405">
        <f t="shared" si="79"/>
        <v>0</v>
      </c>
      <c r="BN214" s="405">
        <f t="shared" si="79"/>
        <v>0</v>
      </c>
    </row>
    <row r="215" spans="1:66" x14ac:dyDescent="0.2">
      <c r="A215" s="34">
        <v>631</v>
      </c>
      <c r="B215" s="88" t="s">
        <v>529</v>
      </c>
      <c r="C215" s="41" t="e">
        <f>'2. Toimintakate'!D215+'3. Verotulot'!G215+'4. Valtionosuudet'!#REF!+'5. Rahoitustuotot ja -kulut'!C215</f>
        <v>#REF!</v>
      </c>
      <c r="D215" s="41">
        <f>'2. Toimintakate'!E215+'4. Valtionosuudet'!H215+'3. Verotulot'!L215+'5. Rahoitustuotot ja -kulut'!D215</f>
        <v>-274</v>
      </c>
      <c r="E215" s="41">
        <f>'2. Toimintakate'!F215+'4. Valtionosuudet'!N215+'3. Verotulot'!Q215+'5. Rahoitustuotot ja -kulut'!E215</f>
        <v>985</v>
      </c>
      <c r="F215" s="41">
        <f>'2. Toimintakate'!G215+'4. Valtionosuudet'!T215+'3. Verotulot'!V215+'5. Rahoitustuotot ja -kulut'!F215</f>
        <v>1232</v>
      </c>
      <c r="G215" s="41">
        <f>'2. Toimintakate'!H215+'3. Verotulot'!AA215+'4. Valtionosuudet'!Z215+'5. Rahoitustuotot ja -kulut'!G215</f>
        <v>1088</v>
      </c>
      <c r="H215" s="41">
        <f>Käyttökate!H215+'5. Rahoitustuotot ja -kulut'!H215</f>
        <v>1584.8898156634446</v>
      </c>
      <c r="I215" s="41">
        <f>Käyttökate!I215+'5. Rahoitustuotot ja -kulut'!I215</f>
        <v>331.42530544225741</v>
      </c>
      <c r="J215" s="41">
        <f>Käyttökate!J215+'5. Rahoitustuotot ja -kulut'!J215</f>
        <v>541.45923116224071</v>
      </c>
      <c r="K215" s="41">
        <f>Käyttökate!K215+'5. Rahoitustuotot ja -kulut'!K215</f>
        <v>1186.2960079963107</v>
      </c>
      <c r="L215" s="41">
        <f>Käyttökate!L215+'5. Rahoitustuotot ja -kulut'!L215</f>
        <v>101.06101087565196</v>
      </c>
      <c r="M215" s="41">
        <f>Käyttökate!M215+'5. Rahoitustuotot ja -kulut'!M215</f>
        <v>-155.98347461549656</v>
      </c>
      <c r="N215" s="41">
        <f>Käyttökate!N215+'5. Rahoitustuotot ja -kulut'!N215</f>
        <v>-193.61002157352189</v>
      </c>
      <c r="O215" s="41">
        <f>Käyttökate!O215+'5. Rahoitustuotot ja -kulut'!O215</f>
        <v>-238.96988189666317</v>
      </c>
      <c r="P215" s="41">
        <f>Käyttökate!P215+'5. Rahoitustuotot ja -kulut'!P215</f>
        <v>-32.671085306995579</v>
      </c>
      <c r="T215" s="34">
        <v>631</v>
      </c>
      <c r="U215" s="88" t="s">
        <v>529</v>
      </c>
      <c r="V215" s="41" t="e">
        <f>C215/'1. Väestöennuste'!E215*1000</f>
        <v>#REF!</v>
      </c>
      <c r="W215" s="41">
        <f>D215/'1. Väestöennuste'!F215*1000</f>
        <v>-132.04819277108433</v>
      </c>
      <c r="X215" s="41">
        <f>E215/'1. Väestöennuste'!G215*1000</f>
        <v>474.24169475204621</v>
      </c>
      <c r="Y215" s="41">
        <f>F215/'1. Väestöennuste'!H215*1000</f>
        <v>607.49506903353051</v>
      </c>
      <c r="Z215" s="41">
        <f>G215/'1. Väestöennuste'!I215*1000</f>
        <v>542.91417165668668</v>
      </c>
      <c r="AA215" s="41">
        <f>H215/'1. Väestöennuste'!J215*1000</f>
        <v>794.8293960197816</v>
      </c>
      <c r="AB215" s="41">
        <f>I215/'1. Väestöennuste'!K215*1000</f>
        <v>166.96488939156546</v>
      </c>
      <c r="AC215" s="41">
        <f>J215/'1. Väestöennuste'!L215*1000</f>
        <v>275.83251714836507</v>
      </c>
      <c r="AD215" s="41">
        <f>K215/'1. Väestöennuste'!M215*1000</f>
        <v>614.66114403953918</v>
      </c>
      <c r="AE215" s="41">
        <f>L215/'1. Väestöennuste'!N215*1000</f>
        <v>53.106153902076699</v>
      </c>
      <c r="AF215" s="41">
        <f>M215/'1. Väestöennuste'!O215*1000</f>
        <v>-82.837745414496311</v>
      </c>
      <c r="AG215" s="41">
        <f>N215/'1. Väestöennuste'!P215*1000</f>
        <v>-103.92379043130536</v>
      </c>
      <c r="AH215" s="41">
        <f>O215/'1. Väestöennuste'!Q215*1000</f>
        <v>-129.73392068222756</v>
      </c>
      <c r="AI215" s="41">
        <f>P215/'1. Väestöennuste'!R215*1000</f>
        <v>-17.941287922567589</v>
      </c>
      <c r="AK215" s="41">
        <f>'6. Poistot'!Z215</f>
        <v>244.0119760479042</v>
      </c>
      <c r="AL215" s="41">
        <f>'6. Poistot'!AA215</f>
        <v>268.80641925777331</v>
      </c>
      <c r="AM215" s="41">
        <f>'6. Poistot'!AB215</f>
        <v>285.32027707808567</v>
      </c>
      <c r="AN215" s="41">
        <f>'6. Poistot'!AC215</f>
        <v>561.84219561895065</v>
      </c>
      <c r="AO215" s="41">
        <f>'6. Poistot'!AD215</f>
        <v>359.55312435233162</v>
      </c>
      <c r="AP215" s="41">
        <f>'6. Poistot'!AE215</f>
        <v>292.91697320021018</v>
      </c>
      <c r="AQ215" s="41">
        <f>'6. Poistot'!AF215</f>
        <v>309.44768985661182</v>
      </c>
      <c r="AR215" s="41">
        <f>'6. Poistot'!AG215</f>
        <v>251.31454643048846</v>
      </c>
      <c r="AS215" s="41">
        <f>'6. Poistot'!AH215</f>
        <v>262.38114462465569</v>
      </c>
      <c r="AT215" s="41">
        <f>'6. Poistot'!AI215</f>
        <v>273.70298561078062</v>
      </c>
      <c r="AV215" s="4">
        <f t="shared" si="63"/>
        <v>1</v>
      </c>
      <c r="AW215" s="4">
        <f t="shared" si="64"/>
        <v>1</v>
      </c>
      <c r="AX215" s="4">
        <f t="shared" si="65"/>
        <v>0</v>
      </c>
      <c r="AY215" s="4">
        <f t="shared" si="66"/>
        <v>1</v>
      </c>
      <c r="AZ215" s="4">
        <f t="shared" si="67"/>
        <v>1</v>
      </c>
      <c r="BA215" s="4">
        <f t="shared" si="68"/>
        <v>1</v>
      </c>
      <c r="BB215" s="4">
        <f t="shared" si="69"/>
        <v>1</v>
      </c>
      <c r="BC215" s="4">
        <f t="shared" si="70"/>
        <v>1</v>
      </c>
      <c r="BE215" s="405">
        <f t="shared" si="71"/>
        <v>0</v>
      </c>
      <c r="BF215" s="405">
        <f t="shared" si="72"/>
        <v>0</v>
      </c>
      <c r="BG215" s="405">
        <f t="shared" si="73"/>
        <v>0</v>
      </c>
      <c r="BH215" s="405">
        <f t="shared" si="74"/>
        <v>0</v>
      </c>
      <c r="BI215" s="405">
        <f t="shared" si="75"/>
        <v>0</v>
      </c>
      <c r="BJ215" s="405">
        <f t="shared" si="76"/>
        <v>0</v>
      </c>
      <c r="BK215" s="405">
        <f t="shared" si="77"/>
        <v>-1</v>
      </c>
      <c r="BL215" s="405">
        <f t="shared" si="78"/>
        <v>-1</v>
      </c>
      <c r="BM215" s="405">
        <f t="shared" si="79"/>
        <v>-1</v>
      </c>
      <c r="BN215" s="405">
        <f t="shared" si="79"/>
        <v>-1</v>
      </c>
    </row>
    <row r="216" spans="1:66" x14ac:dyDescent="0.2">
      <c r="A216" s="34">
        <v>635</v>
      </c>
      <c r="B216" s="88" t="s">
        <v>530</v>
      </c>
      <c r="C216" s="41" t="e">
        <f>'2. Toimintakate'!D216+'3. Verotulot'!G216+'4. Valtionosuudet'!#REF!+'5. Rahoitustuotot ja -kulut'!C216</f>
        <v>#REF!</v>
      </c>
      <c r="D216" s="41">
        <f>'2. Toimintakate'!E216+'4. Valtionosuudet'!H216+'3. Verotulot'!L216+'5. Rahoitustuotot ja -kulut'!D216</f>
        <v>2246</v>
      </c>
      <c r="E216" s="41">
        <f>'2. Toimintakate'!F216+'4. Valtionosuudet'!N216+'3. Verotulot'!Q216+'5. Rahoitustuotot ja -kulut'!E216</f>
        <v>1836</v>
      </c>
      <c r="F216" s="41">
        <f>'2. Toimintakate'!G216+'4. Valtionosuudet'!T216+'3. Verotulot'!V216+'5. Rahoitustuotot ja -kulut'!F216</f>
        <v>247</v>
      </c>
      <c r="G216" s="41">
        <f>'2. Toimintakate'!H216+'3. Verotulot'!AA216+'4. Valtionosuudet'!Z216+'5. Rahoitustuotot ja -kulut'!G216</f>
        <v>1876</v>
      </c>
      <c r="H216" s="41">
        <f>Käyttökate!H216+'5. Rahoitustuotot ja -kulut'!H216</f>
        <v>4658.086740311137</v>
      </c>
      <c r="I216" s="41">
        <f>Käyttökate!I216+'5. Rahoitustuotot ja -kulut'!I216</f>
        <v>3811.1002963318442</v>
      </c>
      <c r="J216" s="41">
        <f>Käyttökate!J216+'5. Rahoitustuotot ja -kulut'!J216</f>
        <v>3017.8986498280674</v>
      </c>
      <c r="K216" s="41">
        <f>Käyttökate!K216+'5. Rahoitustuotot ja -kulut'!K216</f>
        <v>4043.8211577451348</v>
      </c>
      <c r="L216" s="41">
        <f>Käyttökate!L216+'5. Rahoitustuotot ja -kulut'!L216</f>
        <v>2598.1965534824376</v>
      </c>
      <c r="M216" s="41">
        <f>Käyttökate!M216+'5. Rahoitustuotot ja -kulut'!M216</f>
        <v>2813.3950041967246</v>
      </c>
      <c r="N216" s="41">
        <f>Käyttökate!N216+'5. Rahoitustuotot ja -kulut'!N216</f>
        <v>2789.0553362040155</v>
      </c>
      <c r="O216" s="41">
        <f>Käyttökate!O216+'5. Rahoitustuotot ja -kulut'!O216</f>
        <v>3014.0034910655231</v>
      </c>
      <c r="P216" s="41">
        <f>Käyttökate!P216+'5. Rahoitustuotot ja -kulut'!P216</f>
        <v>3809.0442122305672</v>
      </c>
      <c r="T216" s="34">
        <v>635</v>
      </c>
      <c r="U216" s="88" t="s">
        <v>530</v>
      </c>
      <c r="V216" s="41" t="e">
        <f>C216/'1. Väestöennuste'!E216*1000</f>
        <v>#REF!</v>
      </c>
      <c r="W216" s="41">
        <f>D216/'1. Väestöennuste'!F216*1000</f>
        <v>338.91655349328505</v>
      </c>
      <c r="X216" s="41">
        <f>E216/'1. Väestöennuste'!G216*1000</f>
        <v>279.57971676564642</v>
      </c>
      <c r="Y216" s="41">
        <f>F216/'1. Väestöennuste'!H216*1000</f>
        <v>38.005847053392827</v>
      </c>
      <c r="Z216" s="41">
        <f>G216/'1. Väestöennuste'!I216*1000</f>
        <v>291.53069153069157</v>
      </c>
      <c r="AA216" s="41">
        <f>H216/'1. Väestöennuste'!J216*1000</f>
        <v>726.12419958084752</v>
      </c>
      <c r="AB216" s="41">
        <f>I216/'1. Väestöennuste'!K216*1000</f>
        <v>591.87766676997114</v>
      </c>
      <c r="AC216" s="41">
        <f>J216/'1. Väestöennuste'!L216*1000</f>
        <v>475.4842681310962</v>
      </c>
      <c r="AD216" s="41">
        <f>K216/'1. Väestöennuste'!M216*1000</f>
        <v>638.12863464496377</v>
      </c>
      <c r="AE216" s="41">
        <f>L216/'1. Väestöennuste'!N216*1000</f>
        <v>419.33449862531268</v>
      </c>
      <c r="AF216" s="41">
        <f>M216/'1. Väestöennuste'!O216*1000</f>
        <v>457.6858637053399</v>
      </c>
      <c r="AG216" s="41">
        <f>N216/'1. Väestöennuste'!P216*1000</f>
        <v>456.92256490891469</v>
      </c>
      <c r="AH216" s="41">
        <f>O216/'1. Väestöennuste'!Q216*1000</f>
        <v>497.1142159105267</v>
      </c>
      <c r="AI216" s="41">
        <f>P216/'1. Väestöennuste'!R216*1000</f>
        <v>632.20650825403607</v>
      </c>
      <c r="AK216" s="41">
        <f>'6. Poistot'!Z216</f>
        <v>396.42579642579648</v>
      </c>
      <c r="AL216" s="41">
        <f>'6. Poistot'!AA216</f>
        <v>412.47077162899456</v>
      </c>
      <c r="AM216" s="41">
        <f>'6. Poistot'!AB216</f>
        <v>404.87730237614539</v>
      </c>
      <c r="AN216" s="41">
        <f>'6. Poistot'!AC216</f>
        <v>414.79552386954464</v>
      </c>
      <c r="AO216" s="41">
        <f>'6. Poistot'!AD216</f>
        <v>408.03100520751144</v>
      </c>
      <c r="AP216" s="41">
        <f>'6. Poistot'!AE216</f>
        <v>426.43479180116213</v>
      </c>
      <c r="AQ216" s="41">
        <f>'6. Poistot'!AF216</f>
        <v>426.29451927769651</v>
      </c>
      <c r="AR216" s="41">
        <f>'6. Poistot'!AG216</f>
        <v>450.62640399737876</v>
      </c>
      <c r="AS216" s="41">
        <f>'6. Poistot'!AH216</f>
        <v>468.31207767585704</v>
      </c>
      <c r="AT216" s="41">
        <f>'6. Poistot'!AI216</f>
        <v>485.99646205766692</v>
      </c>
      <c r="AV216" s="4">
        <f t="shared" si="63"/>
        <v>0</v>
      </c>
      <c r="AW216" s="4">
        <f t="shared" si="64"/>
        <v>0</v>
      </c>
      <c r="AX216" s="4">
        <f t="shared" si="65"/>
        <v>0</v>
      </c>
      <c r="AY216" s="4">
        <f t="shared" si="66"/>
        <v>1</v>
      </c>
      <c r="AZ216" s="4">
        <f t="shared" si="67"/>
        <v>0</v>
      </c>
      <c r="BA216" s="4">
        <f t="shared" si="68"/>
        <v>0</v>
      </c>
      <c r="BB216" s="4">
        <f t="shared" si="69"/>
        <v>0</v>
      </c>
      <c r="BC216" s="4">
        <f t="shared" si="70"/>
        <v>0</v>
      </c>
      <c r="BE216" s="405">
        <f t="shared" si="71"/>
        <v>0</v>
      </c>
      <c r="BF216" s="405">
        <f t="shared" si="72"/>
        <v>0</v>
      </c>
      <c r="BG216" s="405">
        <f t="shared" si="73"/>
        <v>0</v>
      </c>
      <c r="BH216" s="405">
        <f t="shared" si="74"/>
        <v>0</v>
      </c>
      <c r="BI216" s="405">
        <f t="shared" si="75"/>
        <v>0</v>
      </c>
      <c r="BJ216" s="405">
        <f t="shared" si="76"/>
        <v>0</v>
      </c>
      <c r="BK216" s="405">
        <f t="shared" si="77"/>
        <v>0</v>
      </c>
      <c r="BL216" s="405">
        <f t="shared" si="78"/>
        <v>0</v>
      </c>
      <c r="BM216" s="405">
        <f t="shared" si="79"/>
        <v>0</v>
      </c>
      <c r="BN216" s="405">
        <f t="shared" si="79"/>
        <v>0</v>
      </c>
    </row>
    <row r="217" spans="1:66" x14ac:dyDescent="0.2">
      <c r="A217" s="34">
        <v>636</v>
      </c>
      <c r="B217" s="88" t="s">
        <v>531</v>
      </c>
      <c r="C217" s="41" t="e">
        <f>'2. Toimintakate'!D217+'3. Verotulot'!G217+'4. Valtionosuudet'!#REF!+'5. Rahoitustuotot ja -kulut'!C217</f>
        <v>#REF!</v>
      </c>
      <c r="D217" s="41">
        <f>'2. Toimintakate'!E217+'4. Valtionosuudet'!H217+'3. Verotulot'!L217+'5. Rahoitustuotot ja -kulut'!D217</f>
        <v>2679</v>
      </c>
      <c r="E217" s="41">
        <f>'2. Toimintakate'!F217+'4. Valtionosuudet'!N217+'3. Verotulot'!Q217+'5. Rahoitustuotot ja -kulut'!E217</f>
        <v>4116</v>
      </c>
      <c r="F217" s="41">
        <f>'2. Toimintakate'!G217+'4. Valtionosuudet'!T217+'3. Verotulot'!V217+'5. Rahoitustuotot ja -kulut'!F217</f>
        <v>2542</v>
      </c>
      <c r="G217" s="41">
        <f>'2. Toimintakate'!H217+'3. Verotulot'!AA217+'4. Valtionosuudet'!Z217+'5. Rahoitustuotot ja -kulut'!G217</f>
        <v>-233</v>
      </c>
      <c r="H217" s="41">
        <f>Käyttökate!H217+'5. Rahoitustuotot ja -kulut'!H217</f>
        <v>5732.279531331511</v>
      </c>
      <c r="I217" s="41">
        <f>Käyttökate!I217+'5. Rahoitustuotot ja -kulut'!I217</f>
        <v>5104.362128209802</v>
      </c>
      <c r="J217" s="41">
        <f>Käyttökate!J217+'5. Rahoitustuotot ja -kulut'!J217</f>
        <v>4433.0663501866547</v>
      </c>
      <c r="K217" s="41">
        <f>Käyttökate!K217+'5. Rahoitustuotot ja -kulut'!K217</f>
        <v>4845.4527547105108</v>
      </c>
      <c r="L217" s="41">
        <f>Käyttökate!L217+'5. Rahoitustuotot ja -kulut'!L217</f>
        <v>4055.160746040965</v>
      </c>
      <c r="M217" s="41">
        <f>Käyttökate!M217+'5. Rahoitustuotot ja -kulut'!M217</f>
        <v>4759.7044602188435</v>
      </c>
      <c r="N217" s="41">
        <f>Käyttökate!N217+'5. Rahoitustuotot ja -kulut'!N217</f>
        <v>4536.2066905194297</v>
      </c>
      <c r="O217" s="41">
        <f>Käyttökate!O217+'5. Rahoitustuotot ja -kulut'!O217</f>
        <v>4898.382562360739</v>
      </c>
      <c r="P217" s="41">
        <f>Käyttökate!P217+'5. Rahoitustuotot ja -kulut'!P217</f>
        <v>5710.0971962519416</v>
      </c>
      <c r="T217" s="34">
        <v>636</v>
      </c>
      <c r="U217" s="88" t="s">
        <v>531</v>
      </c>
      <c r="V217" s="41" t="e">
        <f>C217/'1. Väestöennuste'!E217*1000</f>
        <v>#REF!</v>
      </c>
      <c r="W217" s="41">
        <f>D217/'1. Väestöennuste'!F217*1000</f>
        <v>315.06527108079501</v>
      </c>
      <c r="X217" s="41">
        <f>E217/'1. Väestöennuste'!G217*1000</f>
        <v>488.72001899786272</v>
      </c>
      <c r="Y217" s="41">
        <f>F217/'1. Väestöennuste'!H217*1000</f>
        <v>305.05220208808356</v>
      </c>
      <c r="Z217" s="41">
        <f>G217/'1. Väestöennuste'!I217*1000</f>
        <v>-28.153697438376028</v>
      </c>
      <c r="AA217" s="41">
        <f>H217/'1. Väestöennuste'!J217*1000</f>
        <v>696.5949120587569</v>
      </c>
      <c r="AB217" s="41">
        <f>I217/'1. Väestöennuste'!K217*1000</f>
        <v>620.81757823033342</v>
      </c>
      <c r="AC217" s="41">
        <f>J217/'1. Väestöennuste'!L217*1000</f>
        <v>543.66769072684019</v>
      </c>
      <c r="AD217" s="41">
        <f>K217/'1. Väestöennuste'!M217*1000</f>
        <v>595.99664879588079</v>
      </c>
      <c r="AE217" s="41">
        <f>L217/'1. Väestöennuste'!N217*1000</f>
        <v>507.46599249667935</v>
      </c>
      <c r="AF217" s="41">
        <f>M217/'1. Väestöennuste'!O217*1000</f>
        <v>599.15715763077083</v>
      </c>
      <c r="AG217" s="41">
        <f>N217/'1. Väestöennuste'!P217*1000</f>
        <v>574.34878330202957</v>
      </c>
      <c r="AH217" s="41">
        <f>O217/'1. Väestöennuste'!Q217*1000</f>
        <v>623.67997992879282</v>
      </c>
      <c r="AI217" s="41">
        <f>P217/'1. Väestöennuste'!R217*1000</f>
        <v>731.59477210146599</v>
      </c>
      <c r="AK217" s="41">
        <f>'6. Poistot'!Z217</f>
        <v>342.79845335911068</v>
      </c>
      <c r="AL217" s="41">
        <f>'6. Poistot'!AA217</f>
        <v>358.73131607728766</v>
      </c>
      <c r="AM217" s="41">
        <f>'6. Poistot'!AB217</f>
        <v>348.8882838725371</v>
      </c>
      <c r="AN217" s="41">
        <f>'6. Poistot'!AC217</f>
        <v>352.64580573951434</v>
      </c>
      <c r="AO217" s="41">
        <f>'6. Poistot'!AD217</f>
        <v>404.18734194341937</v>
      </c>
      <c r="AP217" s="41">
        <f>'6. Poistot'!AE217</f>
        <v>360.26304592666753</v>
      </c>
      <c r="AQ217" s="41">
        <f>'6. Poistot'!AF217</f>
        <v>362.39451158106749</v>
      </c>
      <c r="AR217" s="41">
        <f>'6. Poistot'!AG217</f>
        <v>364.50519118764248</v>
      </c>
      <c r="AS217" s="41">
        <f>'6. Poistot'!AH217</f>
        <v>378.37437507104983</v>
      </c>
      <c r="AT217" s="41">
        <f>'6. Poistot'!AI217</f>
        <v>392.65120866317113</v>
      </c>
      <c r="AV217" s="4">
        <f t="shared" si="63"/>
        <v>0</v>
      </c>
      <c r="AW217" s="4">
        <f t="shared" si="64"/>
        <v>0</v>
      </c>
      <c r="AX217" s="4">
        <f t="shared" si="65"/>
        <v>0</v>
      </c>
      <c r="AY217" s="4">
        <f t="shared" si="66"/>
        <v>0</v>
      </c>
      <c r="AZ217" s="4">
        <f t="shared" si="67"/>
        <v>0</v>
      </c>
      <c r="BA217" s="4">
        <f t="shared" si="68"/>
        <v>0</v>
      </c>
      <c r="BB217" s="4">
        <f t="shared" si="69"/>
        <v>0</v>
      </c>
      <c r="BC217" s="4">
        <f t="shared" si="70"/>
        <v>0</v>
      </c>
      <c r="BE217" s="405">
        <f t="shared" si="71"/>
        <v>-1</v>
      </c>
      <c r="BF217" s="405">
        <f t="shared" si="72"/>
        <v>0</v>
      </c>
      <c r="BG217" s="405">
        <f t="shared" si="73"/>
        <v>0</v>
      </c>
      <c r="BH217" s="405">
        <f t="shared" si="74"/>
        <v>0</v>
      </c>
      <c r="BI217" s="405">
        <f t="shared" si="75"/>
        <v>0</v>
      </c>
      <c r="BJ217" s="405">
        <f t="shared" si="76"/>
        <v>0</v>
      </c>
      <c r="BK217" s="405">
        <f t="shared" si="77"/>
        <v>0</v>
      </c>
      <c r="BL217" s="405">
        <f t="shared" si="78"/>
        <v>0</v>
      </c>
      <c r="BM217" s="405">
        <f t="shared" si="79"/>
        <v>0</v>
      </c>
      <c r="BN217" s="405">
        <f t="shared" si="79"/>
        <v>0</v>
      </c>
    </row>
    <row r="218" spans="1:66" x14ac:dyDescent="0.2">
      <c r="A218" s="34">
        <v>638</v>
      </c>
      <c r="B218" s="88" t="s">
        <v>532</v>
      </c>
      <c r="C218" s="41" t="e">
        <f>'2. Toimintakate'!D218+'3. Verotulot'!G218+'4. Valtionosuudet'!#REF!+'5. Rahoitustuotot ja -kulut'!C218</f>
        <v>#REF!</v>
      </c>
      <c r="D218" s="41">
        <f>'2. Toimintakate'!E218+'4. Valtionosuudet'!H218+'3. Verotulot'!L218+'5. Rahoitustuotot ja -kulut'!D218</f>
        <v>36083</v>
      </c>
      <c r="E218" s="41">
        <f>'2. Toimintakate'!F218+'4. Valtionosuudet'!N218+'3. Verotulot'!Q218+'5. Rahoitustuotot ja -kulut'!E218</f>
        <v>28633</v>
      </c>
      <c r="F218" s="41">
        <f>'2. Toimintakate'!G218+'4. Valtionosuudet'!T218+'3. Verotulot'!V218+'5. Rahoitustuotot ja -kulut'!F218</f>
        <v>29156</v>
      </c>
      <c r="G218" s="41">
        <f>'2. Toimintakate'!H218+'3. Verotulot'!AA218+'4. Valtionosuudet'!Z218+'5. Rahoitustuotot ja -kulut'!G218</f>
        <v>25307</v>
      </c>
      <c r="H218" s="41">
        <f>Käyttökate!H218+'5. Rahoitustuotot ja -kulut'!H218</f>
        <v>56115.433589323191</v>
      </c>
      <c r="I218" s="41">
        <f>Käyttökate!I218+'5. Rahoitustuotot ja -kulut'!I218</f>
        <v>79521.215398628337</v>
      </c>
      <c r="J218" s="41">
        <f>Käyttökate!J218+'5. Rahoitustuotot ja -kulut'!J218</f>
        <v>78648.501853355745</v>
      </c>
      <c r="K218" s="41">
        <f>Käyttökate!K218+'5. Rahoitustuotot ja -kulut'!K218</f>
        <v>48719.897709337885</v>
      </c>
      <c r="L218" s="41">
        <f>Käyttökate!L218+'5. Rahoitustuotot ja -kulut'!L218</f>
        <v>33968.203968932539</v>
      </c>
      <c r="M218" s="41">
        <f>Käyttökate!M218+'5. Rahoitustuotot ja -kulut'!M218</f>
        <v>25921.933600982513</v>
      </c>
      <c r="N218" s="41">
        <f>Käyttökate!N218+'5. Rahoitustuotot ja -kulut'!N218</f>
        <v>22242.902807089435</v>
      </c>
      <c r="O218" s="41">
        <f>Käyttökate!O218+'5. Rahoitustuotot ja -kulut'!O218</f>
        <v>22279.701849865</v>
      </c>
      <c r="P218" s="41">
        <f>Käyttökate!P218+'5. Rahoitustuotot ja -kulut'!P218</f>
        <v>24660.868917611228</v>
      </c>
      <c r="T218" s="34">
        <v>638</v>
      </c>
      <c r="U218" s="88" t="s">
        <v>532</v>
      </c>
      <c r="V218" s="41" t="e">
        <f>C218/'1. Väestöennuste'!E218*1000</f>
        <v>#REF!</v>
      </c>
      <c r="W218" s="41">
        <f>D218/'1. Väestöennuste'!F218*1000</f>
        <v>719.58758774728778</v>
      </c>
      <c r="X218" s="41">
        <f>E218/'1. Väestöennuste'!G218*1000</f>
        <v>570.84471381008393</v>
      </c>
      <c r="Y218" s="41">
        <f>F218/'1. Väestöennuste'!H218*1000</f>
        <v>580.08037881500945</v>
      </c>
      <c r="Z218" s="41">
        <f>G218/'1. Väestöennuste'!I218*1000</f>
        <v>502.32235013894399</v>
      </c>
      <c r="AA218" s="41">
        <f>H218/'1. Väestöennuste'!J218*1000</f>
        <v>1108.5843969521957</v>
      </c>
      <c r="AB218" s="41">
        <f>I218/'1. Väestöennuste'!K218*1000</f>
        <v>1554.6973625804676</v>
      </c>
      <c r="AC218" s="41">
        <f>J218/'1. Väestöennuste'!L218*1000</f>
        <v>1535.1440867691238</v>
      </c>
      <c r="AD218" s="41">
        <f>K218/'1. Väestöennuste'!M218*1000</f>
        <v>949.90929262293832</v>
      </c>
      <c r="AE218" s="41">
        <f>L218/'1. Väestöennuste'!N218*1000</f>
        <v>661.55501828638137</v>
      </c>
      <c r="AF218" s="41">
        <f>M218/'1. Väestöennuste'!O218*1000</f>
        <v>503.4753836185082</v>
      </c>
      <c r="AG218" s="41">
        <f>N218/'1. Väestöennuste'!P218*1000</f>
        <v>430.89699355074458</v>
      </c>
      <c r="AH218" s="41">
        <f>O218/'1. Väestöennuste'!Q218*1000</f>
        <v>430.60884905034789</v>
      </c>
      <c r="AI218" s="41">
        <f>P218/'1. Väestöennuste'!R218*1000</f>
        <v>475.6286315572379</v>
      </c>
      <c r="AK218" s="41">
        <f>'6. Poistot'!Z218</f>
        <v>527.33227471218731</v>
      </c>
      <c r="AL218" s="41">
        <f>'6. Poistot'!AA218</f>
        <v>559.53298168671836</v>
      </c>
      <c r="AM218" s="41">
        <f>'6. Poistot'!AB218</f>
        <v>545.00508279731764</v>
      </c>
      <c r="AN218" s="41">
        <f>'6. Poistot'!AC218</f>
        <v>667.16953212835722</v>
      </c>
      <c r="AO218" s="41">
        <f>'6. Poistot'!AD218</f>
        <v>529.72737916512312</v>
      </c>
      <c r="AP218" s="41">
        <f>'6. Poistot'!AE218</f>
        <v>571.7680052973941</v>
      </c>
      <c r="AQ218" s="41">
        <f>'6. Poistot'!AF218</f>
        <v>592.49116264615623</v>
      </c>
      <c r="AR218" s="41">
        <f>'6. Poistot'!AG218</f>
        <v>651.04610616040293</v>
      </c>
      <c r="AS218" s="41">
        <f>'6. Poistot'!AH218</f>
        <v>670.49429664205047</v>
      </c>
      <c r="AT218" s="41">
        <f>'6. Poistot'!AI218</f>
        <v>689.99883925474717</v>
      </c>
      <c r="AV218" s="4">
        <f t="shared" si="63"/>
        <v>0</v>
      </c>
      <c r="AW218" s="4">
        <f t="shared" si="64"/>
        <v>0</v>
      </c>
      <c r="AX218" s="4">
        <f t="shared" si="65"/>
        <v>0</v>
      </c>
      <c r="AY218" s="4">
        <f t="shared" si="66"/>
        <v>0</v>
      </c>
      <c r="AZ218" s="4">
        <f t="shared" si="67"/>
        <v>1</v>
      </c>
      <c r="BA218" s="4">
        <f t="shared" si="68"/>
        <v>1</v>
      </c>
      <c r="BB218" s="4">
        <f t="shared" si="69"/>
        <v>1</v>
      </c>
      <c r="BC218" s="4">
        <f t="shared" si="70"/>
        <v>1</v>
      </c>
      <c r="BE218" s="405">
        <f t="shared" si="71"/>
        <v>0</v>
      </c>
      <c r="BF218" s="405">
        <f t="shared" si="72"/>
        <v>0</v>
      </c>
      <c r="BG218" s="405">
        <f t="shared" si="73"/>
        <v>0</v>
      </c>
      <c r="BH218" s="405">
        <f t="shared" si="74"/>
        <v>0</v>
      </c>
      <c r="BI218" s="405">
        <f t="shared" si="75"/>
        <v>0</v>
      </c>
      <c r="BJ218" s="405">
        <f t="shared" si="76"/>
        <v>0</v>
      </c>
      <c r="BK218" s="405">
        <f t="shared" si="77"/>
        <v>0</v>
      </c>
      <c r="BL218" s="405">
        <f t="shared" si="78"/>
        <v>0</v>
      </c>
      <c r="BM218" s="405">
        <f t="shared" si="79"/>
        <v>0</v>
      </c>
      <c r="BN218" s="405">
        <f t="shared" si="79"/>
        <v>0</v>
      </c>
    </row>
    <row r="219" spans="1:66" x14ac:dyDescent="0.2">
      <c r="A219" s="34">
        <v>678</v>
      </c>
      <c r="B219" s="88" t="s">
        <v>533</v>
      </c>
      <c r="C219" s="41" t="e">
        <f>'2. Toimintakate'!D219+'3. Verotulot'!G219+'4. Valtionosuudet'!#REF!+'5. Rahoitustuotot ja -kulut'!C219</f>
        <v>#REF!</v>
      </c>
      <c r="D219" s="41">
        <f>'2. Toimintakate'!E219+'4. Valtionosuudet'!H219+'3. Verotulot'!L219+'5. Rahoitustuotot ja -kulut'!D219</f>
        <v>10944</v>
      </c>
      <c r="E219" s="41">
        <f>'2. Toimintakate'!F219+'4. Valtionosuudet'!N219+'3. Verotulot'!Q219+'5. Rahoitustuotot ja -kulut'!E219</f>
        <v>11926</v>
      </c>
      <c r="F219" s="41">
        <f>'2. Toimintakate'!G219+'4. Valtionosuudet'!T219+'3. Verotulot'!V219+'5. Rahoitustuotot ja -kulut'!F219</f>
        <v>5449</v>
      </c>
      <c r="G219" s="41">
        <f>'2. Toimintakate'!H219+'3. Verotulot'!AA219+'4. Valtionosuudet'!Z219+'5. Rahoitustuotot ja -kulut'!G219</f>
        <v>1652</v>
      </c>
      <c r="H219" s="41">
        <f>Käyttökate!H219+'5. Rahoitustuotot ja -kulut'!H219</f>
        <v>18277.655374554641</v>
      </c>
      <c r="I219" s="41">
        <f>Käyttökate!I219+'5. Rahoitustuotot ja -kulut'!I219</f>
        <v>13242.517779210906</v>
      </c>
      <c r="J219" s="41">
        <f>Käyttökate!J219+'5. Rahoitustuotot ja -kulut'!J219</f>
        <v>2769.9002769603812</v>
      </c>
      <c r="K219" s="41">
        <f>Käyttökate!K219+'5. Rahoitustuotot ja -kulut'!K219</f>
        <v>23126.006709941448</v>
      </c>
      <c r="L219" s="41">
        <f>Käyttökate!L219+'5. Rahoitustuotot ja -kulut'!L219</f>
        <v>16891.725406703452</v>
      </c>
      <c r="M219" s="41">
        <f>Käyttökate!M219+'5. Rahoitustuotot ja -kulut'!M219</f>
        <v>11846.785067193636</v>
      </c>
      <c r="N219" s="41">
        <f>Käyttökate!N219+'5. Rahoitustuotot ja -kulut'!N219</f>
        <v>10288.425165520563</v>
      </c>
      <c r="O219" s="41">
        <f>Käyttökate!O219+'5. Rahoitustuotot ja -kulut'!O219</f>
        <v>11128.428633150708</v>
      </c>
      <c r="P219" s="41">
        <f>Käyttökate!P219+'5. Rahoitustuotot ja -kulut'!P219</f>
        <v>12811.543979251821</v>
      </c>
      <c r="T219" s="34">
        <v>678</v>
      </c>
      <c r="U219" s="88" t="s">
        <v>533</v>
      </c>
      <c r="V219" s="41" t="e">
        <f>C219/'1. Väestöennuste'!E219*1000</f>
        <v>#REF!</v>
      </c>
      <c r="W219" s="41">
        <f>D219/'1. Väestöennuste'!F219*1000</f>
        <v>437.58496601359457</v>
      </c>
      <c r="X219" s="41">
        <f>E219/'1. Väestöennuste'!G219*1000</f>
        <v>477.02091916323349</v>
      </c>
      <c r="Y219" s="41">
        <f>F219/'1. Väestöennuste'!H219*1000</f>
        <v>219.62032969247511</v>
      </c>
      <c r="Z219" s="41">
        <f>G219/'1. Väestöennuste'!I219*1000</f>
        <v>66.939503221362287</v>
      </c>
      <c r="AA219" s="41">
        <f>H219/'1. Väestöennuste'!J219*1000</f>
        <v>750.52992955917705</v>
      </c>
      <c r="AB219" s="41">
        <f>I219/'1. Väestöennuste'!K219*1000</f>
        <v>545.8581112617851</v>
      </c>
      <c r="AC219" s="41">
        <f>J219/'1. Väestöennuste'!L219*1000</f>
        <v>115.0625296789092</v>
      </c>
      <c r="AD219" s="41">
        <f>K219/'1. Väestöennuste'!M219*1000</f>
        <v>971.80345043246825</v>
      </c>
      <c r="AE219" s="41">
        <f>L219/'1. Väestöennuste'!N219*1000</f>
        <v>714.29826652162774</v>
      </c>
      <c r="AF219" s="41">
        <f>M219/'1. Väestöennuste'!O219*1000</f>
        <v>504.93500414259807</v>
      </c>
      <c r="AG219" s="41">
        <f>N219/'1. Väestöennuste'!P219*1000</f>
        <v>442.09458428672065</v>
      </c>
      <c r="AH219" s="41">
        <f>O219/'1. Väestöennuste'!Q219*1000</f>
        <v>482.16761842074123</v>
      </c>
      <c r="AI219" s="41">
        <f>P219/'1. Väestöennuste'!R219*1000</f>
        <v>559.84722859866372</v>
      </c>
      <c r="AK219" s="41">
        <f>'6. Poistot'!Z219</f>
        <v>331.86109647878766</v>
      </c>
      <c r="AL219" s="41">
        <f>'6. Poistot'!AA219</f>
        <v>412.310598283579</v>
      </c>
      <c r="AM219" s="41">
        <f>'6. Poistot'!AB219</f>
        <v>369.72168713932399</v>
      </c>
      <c r="AN219" s="41">
        <f>'6. Poistot'!AC219</f>
        <v>344.99121214638808</v>
      </c>
      <c r="AO219" s="41">
        <f>'6. Poistot'!AD219</f>
        <v>342.62499138546877</v>
      </c>
      <c r="AP219" s="41">
        <f>'6. Poistot'!AE219</f>
        <v>351.93669654939106</v>
      </c>
      <c r="AQ219" s="41">
        <f>'6. Poistot'!AF219</f>
        <v>354.72674963771203</v>
      </c>
      <c r="AR219" s="41">
        <f>'6. Poistot'!AG219</f>
        <v>357.62285149535921</v>
      </c>
      <c r="AS219" s="41">
        <f>'6. Poistot'!AH219</f>
        <v>372.23305086398449</v>
      </c>
      <c r="AT219" s="41">
        <f>'6. Poistot'!AI219</f>
        <v>387.15603163264825</v>
      </c>
      <c r="AV219" s="4">
        <f t="shared" si="63"/>
        <v>0</v>
      </c>
      <c r="AW219" s="4">
        <f t="shared" si="64"/>
        <v>1</v>
      </c>
      <c r="AX219" s="4">
        <f t="shared" si="65"/>
        <v>0</v>
      </c>
      <c r="AY219" s="4">
        <f t="shared" si="66"/>
        <v>0</v>
      </c>
      <c r="AZ219" s="4">
        <f t="shared" si="67"/>
        <v>0</v>
      </c>
      <c r="BA219" s="4">
        <f t="shared" si="68"/>
        <v>0</v>
      </c>
      <c r="BB219" s="4">
        <f t="shared" si="69"/>
        <v>0</v>
      </c>
      <c r="BC219" s="4">
        <f t="shared" si="70"/>
        <v>0</v>
      </c>
      <c r="BE219" s="405">
        <f t="shared" si="71"/>
        <v>0</v>
      </c>
      <c r="BF219" s="405">
        <f t="shared" si="72"/>
        <v>0</v>
      </c>
      <c r="BG219" s="405">
        <f t="shared" si="73"/>
        <v>0</v>
      </c>
      <c r="BH219" s="405">
        <f t="shared" si="74"/>
        <v>0</v>
      </c>
      <c r="BI219" s="405">
        <f t="shared" si="75"/>
        <v>0</v>
      </c>
      <c r="BJ219" s="405">
        <f t="shared" si="76"/>
        <v>0</v>
      </c>
      <c r="BK219" s="405">
        <f t="shared" si="77"/>
        <v>0</v>
      </c>
      <c r="BL219" s="405">
        <f t="shared" si="78"/>
        <v>0</v>
      </c>
      <c r="BM219" s="405">
        <f t="shared" si="79"/>
        <v>0</v>
      </c>
      <c r="BN219" s="405">
        <f t="shared" si="79"/>
        <v>0</v>
      </c>
    </row>
    <row r="220" spans="1:66" x14ac:dyDescent="0.2">
      <c r="A220" s="34">
        <v>680</v>
      </c>
      <c r="B220" s="88" t="s">
        <v>534</v>
      </c>
      <c r="C220" s="41" t="e">
        <f>'2. Toimintakate'!D220+'3. Verotulot'!G220+'4. Valtionosuudet'!#REF!+'5. Rahoitustuotot ja -kulut'!C220</f>
        <v>#REF!</v>
      </c>
      <c r="D220" s="41">
        <f>'2. Toimintakate'!E220+'4. Valtionosuudet'!H220+'3. Verotulot'!L220+'5. Rahoitustuotot ja -kulut'!D220</f>
        <v>8582</v>
      </c>
      <c r="E220" s="41">
        <f>'2. Toimintakate'!F220+'4. Valtionosuudet'!N220+'3. Verotulot'!Q220+'5. Rahoitustuotot ja -kulut'!E220</f>
        <v>9334</v>
      </c>
      <c r="F220" s="41">
        <f>'2. Toimintakate'!G220+'4. Valtionosuudet'!T220+'3. Verotulot'!V220+'5. Rahoitustuotot ja -kulut'!F220</f>
        <v>3946</v>
      </c>
      <c r="G220" s="41">
        <f>'2. Toimintakate'!H220+'3. Verotulot'!AA220+'4. Valtionosuudet'!Z220+'5. Rahoitustuotot ja -kulut'!G220</f>
        <v>759</v>
      </c>
      <c r="H220" s="41">
        <f>Käyttökate!H220+'5. Rahoitustuotot ja -kulut'!H220</f>
        <v>13736.872834833935</v>
      </c>
      <c r="I220" s="41">
        <f>Käyttökate!I220+'5. Rahoitustuotot ja -kulut'!I220</f>
        <v>15731.58573206107</v>
      </c>
      <c r="J220" s="41">
        <f>Käyttökate!J220+'5. Rahoitustuotot ja -kulut'!J220</f>
        <v>13703.933342783543</v>
      </c>
      <c r="K220" s="41">
        <f>Käyttökate!K220+'5. Rahoitustuotot ja -kulut'!K220</f>
        <v>19970.540926855825</v>
      </c>
      <c r="L220" s="41">
        <f>Käyttökate!L220+'5. Rahoitustuotot ja -kulut'!L220</f>
        <v>9307.0949642246233</v>
      </c>
      <c r="M220" s="41">
        <f>Käyttökate!M220+'5. Rahoitustuotot ja -kulut'!M220</f>
        <v>8588.6204550022539</v>
      </c>
      <c r="N220" s="41">
        <f>Käyttökate!N220+'5. Rahoitustuotot ja -kulut'!N220</f>
        <v>8187.8962142554828</v>
      </c>
      <c r="O220" s="41">
        <f>Käyttökate!O220+'5. Rahoitustuotot ja -kulut'!O220</f>
        <v>8439.9817797307132</v>
      </c>
      <c r="P220" s="41">
        <f>Käyttökate!P220+'5. Rahoitustuotot ja -kulut'!P220</f>
        <v>9681.6655587833229</v>
      </c>
      <c r="T220" s="34">
        <v>680</v>
      </c>
      <c r="U220" s="88" t="s">
        <v>534</v>
      </c>
      <c r="V220" s="41" t="e">
        <f>C220/'1. Väestöennuste'!E220*1000</f>
        <v>#REF!</v>
      </c>
      <c r="W220" s="41">
        <f>D220/'1. Väestöennuste'!F220*1000</f>
        <v>353.41597002017869</v>
      </c>
      <c r="X220" s="41">
        <f>E220/'1. Väestöennuste'!G220*1000</f>
        <v>385.16134356688946</v>
      </c>
      <c r="Y220" s="41">
        <f>F220/'1. Väestöennuste'!H220*1000</f>
        <v>163.20622053106129</v>
      </c>
      <c r="Z220" s="41">
        <f>G220/'1. Väestöennuste'!I220*1000</f>
        <v>31.551380113069502</v>
      </c>
      <c r="AA220" s="41">
        <f>H220/'1. Väestöennuste'!J220*1000</f>
        <v>562.82512536706417</v>
      </c>
      <c r="AB220" s="41">
        <f>I220/'1. Väestöennuste'!K220*1000</f>
        <v>634.08245594764492</v>
      </c>
      <c r="AC220" s="41">
        <f>J220/'1. Väestöennuste'!L220*1000</f>
        <v>549.43201598843484</v>
      </c>
      <c r="AD220" s="41">
        <f>K220/'1. Väestöennuste'!M220*1000</f>
        <v>788.38344032433872</v>
      </c>
      <c r="AE220" s="41">
        <f>L220/'1. Väestöennuste'!N220*1000</f>
        <v>379.15407032324208</v>
      </c>
      <c r="AF220" s="41">
        <f>M220/'1. Väestöennuste'!O220*1000</f>
        <v>349.21608746044785</v>
      </c>
      <c r="AG220" s="41">
        <f>N220/'1. Väestöennuste'!P220*1000</f>
        <v>332.341446371534</v>
      </c>
      <c r="AH220" s="41">
        <f>O220/'1. Väestöennuste'!Q220*1000</f>
        <v>341.99042828845228</v>
      </c>
      <c r="AI220" s="41">
        <f>P220/'1. Väestöennuste'!R220*1000</f>
        <v>391.58977345022339</v>
      </c>
      <c r="AK220" s="41">
        <f>'6. Poistot'!Z220</f>
        <v>334.76055869637509</v>
      </c>
      <c r="AL220" s="41">
        <f>'6. Poistot'!AA220</f>
        <v>334.90392100626872</v>
      </c>
      <c r="AM220" s="41">
        <f>'6. Poistot'!AB220</f>
        <v>319.53433293027007</v>
      </c>
      <c r="AN220" s="41">
        <f>'6. Poistot'!AC220</f>
        <v>327.58178854943469</v>
      </c>
      <c r="AO220" s="41">
        <f>'6. Poistot'!AD220</f>
        <v>440.58910425960283</v>
      </c>
      <c r="AP220" s="41">
        <f>'6. Poistot'!AE220</f>
        <v>339.47077035890334</v>
      </c>
      <c r="AQ220" s="41">
        <f>'6. Poistot'!AF220</f>
        <v>420.7326990322843</v>
      </c>
      <c r="AR220" s="41">
        <f>'6. Poistot'!AG220</f>
        <v>496.52960993627471</v>
      </c>
      <c r="AS220" s="41">
        <f>'6. Poistot'!AH220</f>
        <v>511.67851794871098</v>
      </c>
      <c r="AT220" s="41">
        <f>'6. Poistot'!AI220</f>
        <v>526.71203239413023</v>
      </c>
      <c r="AV220" s="4">
        <f t="shared" si="63"/>
        <v>0</v>
      </c>
      <c r="AW220" s="4">
        <f t="shared" si="64"/>
        <v>0</v>
      </c>
      <c r="AX220" s="4">
        <f t="shared" si="65"/>
        <v>0</v>
      </c>
      <c r="AY220" s="4">
        <f t="shared" si="66"/>
        <v>0</v>
      </c>
      <c r="AZ220" s="4">
        <f t="shared" si="67"/>
        <v>1</v>
      </c>
      <c r="BA220" s="4">
        <f t="shared" si="68"/>
        <v>1</v>
      </c>
      <c r="BB220" s="4">
        <f t="shared" si="69"/>
        <v>1</v>
      </c>
      <c r="BC220" s="4">
        <f t="shared" si="70"/>
        <v>1</v>
      </c>
      <c r="BE220" s="405">
        <f t="shared" si="71"/>
        <v>0</v>
      </c>
      <c r="BF220" s="405">
        <f t="shared" si="72"/>
        <v>0</v>
      </c>
      <c r="BG220" s="405">
        <f t="shared" si="73"/>
        <v>0</v>
      </c>
      <c r="BH220" s="405">
        <f t="shared" si="74"/>
        <v>0</v>
      </c>
      <c r="BI220" s="405">
        <f t="shared" si="75"/>
        <v>0</v>
      </c>
      <c r="BJ220" s="405">
        <f t="shared" si="76"/>
        <v>0</v>
      </c>
      <c r="BK220" s="405">
        <f t="shared" si="77"/>
        <v>0</v>
      </c>
      <c r="BL220" s="405">
        <f t="shared" si="78"/>
        <v>0</v>
      </c>
      <c r="BM220" s="405">
        <f t="shared" si="79"/>
        <v>0</v>
      </c>
      <c r="BN220" s="405">
        <f t="shared" si="79"/>
        <v>0</v>
      </c>
    </row>
    <row r="221" spans="1:66" x14ac:dyDescent="0.2">
      <c r="A221" s="34">
        <v>681</v>
      </c>
      <c r="B221" s="88" t="s">
        <v>535</v>
      </c>
      <c r="C221" s="41" t="e">
        <f>'2. Toimintakate'!D221+'3. Verotulot'!G221+'4. Valtionosuudet'!#REF!+'5. Rahoitustuotot ja -kulut'!C221</f>
        <v>#REF!</v>
      </c>
      <c r="D221" s="41">
        <f>'2. Toimintakate'!E221+'4. Valtionosuudet'!H221+'3. Verotulot'!L221+'5. Rahoitustuotot ja -kulut'!D221</f>
        <v>2330</v>
      </c>
      <c r="E221" s="41">
        <f>'2. Toimintakate'!F221+'4. Valtionosuudet'!N221+'3. Verotulot'!Q221+'5. Rahoitustuotot ja -kulut'!E221</f>
        <v>2805</v>
      </c>
      <c r="F221" s="41">
        <f>'2. Toimintakate'!G221+'4. Valtionosuudet'!T221+'3. Verotulot'!V221+'5. Rahoitustuotot ja -kulut'!F221</f>
        <v>283</v>
      </c>
      <c r="G221" s="41">
        <f>'2. Toimintakate'!H221+'3. Verotulot'!AA221+'4. Valtionosuudet'!Z221+'5. Rahoitustuotot ja -kulut'!G221</f>
        <v>2393</v>
      </c>
      <c r="H221" s="41">
        <f>Käyttökate!H221+'5. Rahoitustuotot ja -kulut'!H221</f>
        <v>2761.8767412570687</v>
      </c>
      <c r="I221" s="41">
        <f>Käyttökate!I221+'5. Rahoitustuotot ja -kulut'!I221</f>
        <v>1668.3699979256958</v>
      </c>
      <c r="J221" s="41">
        <f>Käyttökate!J221+'5. Rahoitustuotot ja -kulut'!J221</f>
        <v>2113.5990246976444</v>
      </c>
      <c r="K221" s="41">
        <f>Käyttökate!K221+'5. Rahoitustuotot ja -kulut'!K221</f>
        <v>1755.5368068575517</v>
      </c>
      <c r="L221" s="41">
        <f>Käyttökate!L221+'5. Rahoitustuotot ja -kulut'!L221</f>
        <v>1284.6636085249665</v>
      </c>
      <c r="M221" s="41">
        <f>Käyttökate!M221+'5. Rahoitustuotot ja -kulut'!M221</f>
        <v>665.066823132845</v>
      </c>
      <c r="N221" s="41">
        <f>Käyttökate!N221+'5. Rahoitustuotot ja -kulut'!N221</f>
        <v>689.12452700444373</v>
      </c>
      <c r="O221" s="41">
        <f>Käyttökate!O221+'5. Rahoitustuotot ja -kulut'!O221</f>
        <v>796.80363142575629</v>
      </c>
      <c r="P221" s="41">
        <f>Käyttökate!P221+'5. Rahoitustuotot ja -kulut'!P221</f>
        <v>1132.7519931904869</v>
      </c>
      <c r="T221" s="34">
        <v>681</v>
      </c>
      <c r="U221" s="88" t="s">
        <v>535</v>
      </c>
      <c r="V221" s="41" t="e">
        <f>C221/'1. Väestöennuste'!E221*1000</f>
        <v>#REF!</v>
      </c>
      <c r="W221" s="41">
        <f>D221/'1. Väestöennuste'!F221*1000</f>
        <v>638.53110441216779</v>
      </c>
      <c r="X221" s="41">
        <f>E221/'1. Väestöennuste'!G221*1000</f>
        <v>789.47368421052636</v>
      </c>
      <c r="Y221" s="41">
        <f>F221/'1. Väestöennuste'!H221*1000</f>
        <v>80.53500284575982</v>
      </c>
      <c r="Z221" s="41">
        <f>G221/'1. Väestöennuste'!I221*1000</f>
        <v>697.46429612357917</v>
      </c>
      <c r="AA221" s="41">
        <f>H221/'1. Väestöennuste'!J221*1000</f>
        <v>821.00973283503833</v>
      </c>
      <c r="AB221" s="41">
        <f>I221/'1. Väestöennuste'!K221*1000</f>
        <v>501.01201138909778</v>
      </c>
      <c r="AC221" s="41">
        <f>J221/'1. Väestöennuste'!L221*1000</f>
        <v>638.93561810690585</v>
      </c>
      <c r="AD221" s="41">
        <f>K221/'1. Väestöennuste'!M221*1000</f>
        <v>532.46490957159585</v>
      </c>
      <c r="AE221" s="41">
        <f>L221/'1. Väestöennuste'!N221*1000</f>
        <v>413.60708580971232</v>
      </c>
      <c r="AF221" s="41">
        <f>M221/'1. Väestöennuste'!O221*1000</f>
        <v>217.91180312347478</v>
      </c>
      <c r="AG221" s="41">
        <f>N221/'1. Väestöennuste'!P221*1000</f>
        <v>229.32596572527245</v>
      </c>
      <c r="AH221" s="41">
        <f>O221/'1. Väestöennuste'!Q221*1000</f>
        <v>269.28138946460166</v>
      </c>
      <c r="AI221" s="41">
        <f>P221/'1. Väestöennuste'!R221*1000</f>
        <v>388.72751996928173</v>
      </c>
      <c r="AK221" s="41">
        <f>'6. Poistot'!Z221</f>
        <v>301.07840279801809</v>
      </c>
      <c r="AL221" s="41">
        <f>'6. Poistot'!AA221</f>
        <v>330.85612366230674</v>
      </c>
      <c r="AM221" s="41">
        <f>'6. Poistot'!AB221</f>
        <v>331.16440540540543</v>
      </c>
      <c r="AN221" s="41">
        <f>'6. Poistot'!AC221</f>
        <v>316.36286577992746</v>
      </c>
      <c r="AO221" s="41">
        <f>'6. Poistot'!AD221</f>
        <v>481.57562026084321</v>
      </c>
      <c r="AP221" s="41">
        <f>'6. Poistot'!AE221</f>
        <v>288.20186735350933</v>
      </c>
      <c r="AQ221" s="41">
        <f>'6. Poistot'!AF221</f>
        <v>293.28800786369595</v>
      </c>
      <c r="AR221" s="41">
        <f>'6. Poistot'!AG221</f>
        <v>297.87520798668885</v>
      </c>
      <c r="AS221" s="41">
        <f>'6. Poistot'!AH221</f>
        <v>312.26667301743532</v>
      </c>
      <c r="AT221" s="41">
        <f>'6. Poistot'!AI221</f>
        <v>327.00040182470218</v>
      </c>
      <c r="AV221" s="4">
        <f t="shared" si="63"/>
        <v>0</v>
      </c>
      <c r="AW221" s="4">
        <f t="shared" si="64"/>
        <v>0</v>
      </c>
      <c r="AX221" s="4">
        <f t="shared" si="65"/>
        <v>0</v>
      </c>
      <c r="AY221" s="4">
        <f t="shared" si="66"/>
        <v>0</v>
      </c>
      <c r="AZ221" s="4">
        <f t="shared" si="67"/>
        <v>1</v>
      </c>
      <c r="BA221" s="4">
        <f t="shared" si="68"/>
        <v>1</v>
      </c>
      <c r="BB221" s="4">
        <f t="shared" si="69"/>
        <v>1</v>
      </c>
      <c r="BC221" s="4">
        <f t="shared" si="70"/>
        <v>0</v>
      </c>
      <c r="BE221" s="405">
        <f t="shared" si="71"/>
        <v>0</v>
      </c>
      <c r="BF221" s="405">
        <f t="shared" si="72"/>
        <v>0</v>
      </c>
      <c r="BG221" s="405">
        <f t="shared" si="73"/>
        <v>0</v>
      </c>
      <c r="BH221" s="405">
        <f t="shared" si="74"/>
        <v>0</v>
      </c>
      <c r="BI221" s="405">
        <f t="shared" si="75"/>
        <v>0</v>
      </c>
      <c r="BJ221" s="405">
        <f t="shared" si="76"/>
        <v>0</v>
      </c>
      <c r="BK221" s="405">
        <f t="shared" si="77"/>
        <v>0</v>
      </c>
      <c r="BL221" s="405">
        <f t="shared" si="78"/>
        <v>0</v>
      </c>
      <c r="BM221" s="405">
        <f t="shared" si="79"/>
        <v>0</v>
      </c>
      <c r="BN221" s="405">
        <f t="shared" si="79"/>
        <v>0</v>
      </c>
    </row>
    <row r="222" spans="1:66" x14ac:dyDescent="0.2">
      <c r="A222" s="34">
        <v>683</v>
      </c>
      <c r="B222" s="88" t="s">
        <v>536</v>
      </c>
      <c r="C222" s="41" t="e">
        <f>'2. Toimintakate'!D222+'3. Verotulot'!G222+'4. Valtionosuudet'!#REF!+'5. Rahoitustuotot ja -kulut'!C222</f>
        <v>#REF!</v>
      </c>
      <c r="D222" s="41">
        <f>'2. Toimintakate'!E222+'4. Valtionosuudet'!H222+'3. Verotulot'!L222+'5. Rahoitustuotot ja -kulut'!D222</f>
        <v>4019</v>
      </c>
      <c r="E222" s="41">
        <f>'2. Toimintakate'!F222+'4. Valtionosuudet'!N222+'3. Verotulot'!Q222+'5. Rahoitustuotot ja -kulut'!E222</f>
        <v>3911</v>
      </c>
      <c r="F222" s="41">
        <f>'2. Toimintakate'!G222+'4. Valtionosuudet'!T222+'3. Verotulot'!V222+'5. Rahoitustuotot ja -kulut'!F222</f>
        <v>1645</v>
      </c>
      <c r="G222" s="41">
        <f>'2. Toimintakate'!H222+'3. Verotulot'!AA222+'4. Valtionosuudet'!Z222+'5. Rahoitustuotot ja -kulut'!G222</f>
        <v>1115</v>
      </c>
      <c r="H222" s="41">
        <f>Käyttökate!H222+'5. Rahoitustuotot ja -kulut'!H222</f>
        <v>2148.172577254365</v>
      </c>
      <c r="I222" s="41">
        <f>Käyttökate!I222+'5. Rahoitustuotot ja -kulut'!I222</f>
        <v>2217.7339023025802</v>
      </c>
      <c r="J222" s="41">
        <f>Käyttökate!J222+'5. Rahoitustuotot ja -kulut'!J222</f>
        <v>1594.8985670879474</v>
      </c>
      <c r="K222" s="41">
        <f>Käyttökate!K222+'5. Rahoitustuotot ja -kulut'!K222</f>
        <v>-306.94176724138538</v>
      </c>
      <c r="L222" s="41">
        <f>Käyttökate!L222+'5. Rahoitustuotot ja -kulut'!L222</f>
        <v>114.88679823498387</v>
      </c>
      <c r="M222" s="41">
        <f>Käyttökate!M222+'5. Rahoitustuotot ja -kulut'!M222</f>
        <v>-1300.8387606591969</v>
      </c>
      <c r="N222" s="41">
        <f>Käyttökate!N222+'5. Rahoitustuotot ja -kulut'!N222</f>
        <v>-1523.0071068186899</v>
      </c>
      <c r="O222" s="41">
        <f>Käyttökate!O222+'5. Rahoitustuotot ja -kulut'!O222</f>
        <v>-1961.0982162756977</v>
      </c>
      <c r="P222" s="41">
        <f>Käyttökate!P222+'5. Rahoitustuotot ja -kulut'!P222</f>
        <v>-1624.9376621810945</v>
      </c>
      <c r="T222" s="34">
        <v>683</v>
      </c>
      <c r="U222" s="88" t="s">
        <v>536</v>
      </c>
      <c r="V222" s="41" t="e">
        <f>C222/'1. Väestöennuste'!E222*1000</f>
        <v>#REF!</v>
      </c>
      <c r="W222" s="41">
        <f>D222/'1. Väestöennuste'!F222*1000</f>
        <v>999.00571712652254</v>
      </c>
      <c r="X222" s="41">
        <f>E222/'1. Väestöennuste'!G222*1000</f>
        <v>984.6424974823766</v>
      </c>
      <c r="Y222" s="41">
        <f>F222/'1. Väestöennuste'!H222*1000</f>
        <v>422.2279260780287</v>
      </c>
      <c r="Z222" s="41">
        <f>G222/'1. Väestöennuste'!I222*1000</f>
        <v>294.73962463653186</v>
      </c>
      <c r="AA222" s="41">
        <f>H222/'1. Väestöennuste'!J222*1000</f>
        <v>578.71028482068016</v>
      </c>
      <c r="AB222" s="41">
        <f>I222/'1. Väestöennuste'!K222*1000</f>
        <v>604.28716683994014</v>
      </c>
      <c r="AC222" s="41">
        <f>J222/'1. Väestöennuste'!L222*1000</f>
        <v>440.82326342950455</v>
      </c>
      <c r="AD222" s="41">
        <f>K222/'1. Väestöennuste'!M222*1000</f>
        <v>-85.285292370487738</v>
      </c>
      <c r="AE222" s="41">
        <f>L222/'1. Väestöennuste'!N222*1000</f>
        <v>33.27158941065273</v>
      </c>
      <c r="AF222" s="41">
        <f>M222/'1. Väestöennuste'!O222*1000</f>
        <v>-383.2760049084257</v>
      </c>
      <c r="AG222" s="41">
        <f>N222/'1. Väestöennuste'!P222*1000</f>
        <v>-456.40009194446804</v>
      </c>
      <c r="AH222" s="41">
        <f>O222/'1. Väestöennuste'!Q222*1000</f>
        <v>-597.16754454192983</v>
      </c>
      <c r="AI222" s="41">
        <f>P222/'1. Väestöennuste'!R222*1000</f>
        <v>-502.76536577385355</v>
      </c>
      <c r="AK222" s="41">
        <f>'6. Poistot'!Z222</f>
        <v>593.18001586042828</v>
      </c>
      <c r="AL222" s="41">
        <f>'6. Poistot'!AA222</f>
        <v>203.93318965517241</v>
      </c>
      <c r="AM222" s="41">
        <f>'6. Poistot'!AB222</f>
        <v>267.09620163487739</v>
      </c>
      <c r="AN222" s="41">
        <f>'6. Poistot'!AC222</f>
        <v>218.10226920950802</v>
      </c>
      <c r="AO222" s="41">
        <f>'6. Poistot'!AD222</f>
        <v>222.3723228674632</v>
      </c>
      <c r="AP222" s="41">
        <f>'6. Poistot'!AE222</f>
        <v>216.40139009556907</v>
      </c>
      <c r="AQ222" s="41">
        <f>'6. Poistot'!AF222</f>
        <v>326.23276370064821</v>
      </c>
      <c r="AR222" s="41">
        <f>'6. Poistot'!AG222</f>
        <v>331.80521426430926</v>
      </c>
      <c r="AS222" s="41">
        <f>'6. Poistot'!AH222</f>
        <v>348.0390954197706</v>
      </c>
      <c r="AT222" s="41">
        <f>'6. Poistot'!AI222</f>
        <v>364.69269143473196</v>
      </c>
      <c r="AV222" s="4">
        <f t="shared" si="63"/>
        <v>0</v>
      </c>
      <c r="AW222" s="4">
        <f t="shared" si="64"/>
        <v>0</v>
      </c>
      <c r="AX222" s="4">
        <f t="shared" si="65"/>
        <v>1</v>
      </c>
      <c r="AY222" s="4">
        <f t="shared" si="66"/>
        <v>1</v>
      </c>
      <c r="AZ222" s="4">
        <f t="shared" si="67"/>
        <v>1</v>
      </c>
      <c r="BA222" s="4">
        <f t="shared" si="68"/>
        <v>1</v>
      </c>
      <c r="BB222" s="4">
        <f t="shared" si="69"/>
        <v>1</v>
      </c>
      <c r="BC222" s="4">
        <f t="shared" si="70"/>
        <v>1</v>
      </c>
      <c r="BE222" s="405">
        <f t="shared" si="71"/>
        <v>0</v>
      </c>
      <c r="BF222" s="405">
        <f t="shared" si="72"/>
        <v>0</v>
      </c>
      <c r="BG222" s="405">
        <f t="shared" si="73"/>
        <v>0</v>
      </c>
      <c r="BH222" s="405">
        <f t="shared" si="74"/>
        <v>0</v>
      </c>
      <c r="BI222" s="405">
        <f t="shared" si="75"/>
        <v>-1</v>
      </c>
      <c r="BJ222" s="405">
        <f t="shared" si="76"/>
        <v>0</v>
      </c>
      <c r="BK222" s="405">
        <f t="shared" si="77"/>
        <v>-1</v>
      </c>
      <c r="BL222" s="405">
        <f t="shared" si="78"/>
        <v>-1</v>
      </c>
      <c r="BM222" s="405">
        <f t="shared" si="79"/>
        <v>-1</v>
      </c>
      <c r="BN222" s="405">
        <f t="shared" si="79"/>
        <v>-1</v>
      </c>
    </row>
    <row r="223" spans="1:66" x14ac:dyDescent="0.2">
      <c r="A223" s="34">
        <v>684</v>
      </c>
      <c r="B223" s="88" t="s">
        <v>537</v>
      </c>
      <c r="C223" s="41" t="e">
        <f>'2. Toimintakate'!D223+'3. Verotulot'!G223+'4. Valtionosuudet'!#REF!+'5. Rahoitustuotot ja -kulut'!C223</f>
        <v>#REF!</v>
      </c>
      <c r="D223" s="41">
        <f>'2. Toimintakate'!E223+'4. Valtionosuudet'!H223+'3. Verotulot'!L223+'5. Rahoitustuotot ja -kulut'!D223</f>
        <v>28392</v>
      </c>
      <c r="E223" s="41">
        <f>'2. Toimintakate'!F223+'4. Valtionosuudet'!N223+'3. Verotulot'!Q223+'5. Rahoitustuotot ja -kulut'!E223</f>
        <v>30922</v>
      </c>
      <c r="F223" s="41">
        <f>'2. Toimintakate'!G223+'4. Valtionosuudet'!T223+'3. Verotulot'!V223+'5. Rahoitustuotot ja -kulut'!F223</f>
        <v>6179</v>
      </c>
      <c r="G223" s="41">
        <f>'2. Toimintakate'!H223+'3. Verotulot'!AA223+'4. Valtionosuudet'!Z223+'5. Rahoitustuotot ja -kulut'!G223</f>
        <v>2730</v>
      </c>
      <c r="H223" s="41">
        <f>Käyttökate!H223+'5. Rahoitustuotot ja -kulut'!H223</f>
        <v>37358.399845386914</v>
      </c>
      <c r="I223" s="41">
        <f>Käyttökate!I223+'5. Rahoitustuotot ja -kulut'!I223</f>
        <v>37754.729133626286</v>
      </c>
      <c r="J223" s="41">
        <f>Käyttökate!J223+'5. Rahoitustuotot ja -kulut'!J223</f>
        <v>23989.35861119011</v>
      </c>
      <c r="K223" s="41">
        <f>Käyttökate!K223+'5. Rahoitustuotot ja -kulut'!K223</f>
        <v>32428.838819420962</v>
      </c>
      <c r="L223" s="41">
        <f>Käyttökate!L223+'5. Rahoitustuotot ja -kulut'!L223</f>
        <v>17563.964355626696</v>
      </c>
      <c r="M223" s="41">
        <f>Käyttökate!M223+'5. Rahoitustuotot ja -kulut'!M223</f>
        <v>16342.887488775999</v>
      </c>
      <c r="N223" s="41">
        <f>Käyttökate!N223+'5. Rahoitustuotot ja -kulut'!N223</f>
        <v>18447.707516478957</v>
      </c>
      <c r="O223" s="41">
        <f>Käyttökate!O223+'5. Rahoitustuotot ja -kulut'!O223</f>
        <v>19744.179557062045</v>
      </c>
      <c r="P223" s="41">
        <f>Käyttökate!P223+'5. Rahoitustuotot ja -kulut'!P223</f>
        <v>22388.418933222918</v>
      </c>
      <c r="T223" s="34">
        <v>684</v>
      </c>
      <c r="U223" s="88" t="s">
        <v>537</v>
      </c>
      <c r="V223" s="41" t="e">
        <f>C223/'1. Väestöennuste'!E223*1000</f>
        <v>#REF!</v>
      </c>
      <c r="W223" s="41">
        <f>D223/'1. Väestöennuste'!F223*1000</f>
        <v>716.71631241480281</v>
      </c>
      <c r="X223" s="41">
        <f>E223/'1. Väestöennuste'!G223*1000</f>
        <v>780.46441191317513</v>
      </c>
      <c r="Y223" s="41">
        <f>F223/'1. Väestöennuste'!H223*1000</f>
        <v>156.98678861788616</v>
      </c>
      <c r="Z223" s="41">
        <f>G223/'1. Väestöennuste'!I223*1000</f>
        <v>69.633975258257877</v>
      </c>
      <c r="AA223" s="41">
        <f>H223/'1. Väestöennuste'!J223*1000</f>
        <v>956.92622554782054</v>
      </c>
      <c r="AB223" s="41">
        <f>I223/'1. Väestöennuste'!K223*1000</f>
        <v>969.08876340835968</v>
      </c>
      <c r="AC223" s="41">
        <f>J223/'1. Väestöennuste'!L223*1000</f>
        <v>620.40909848682622</v>
      </c>
      <c r="AD223" s="41">
        <f>K223/'1. Väestöennuste'!M223*1000</f>
        <v>835.10606766123203</v>
      </c>
      <c r="AE223" s="41">
        <f>L223/'1. Väestöennuste'!N223*1000</f>
        <v>456.51516233369802</v>
      </c>
      <c r="AF223" s="41">
        <f>M223/'1. Väestöennuste'!O223*1000</f>
        <v>426.58472733094931</v>
      </c>
      <c r="AG223" s="41">
        <f>N223/'1. Väestöennuste'!P223*1000</f>
        <v>483.59523727891991</v>
      </c>
      <c r="AH223" s="41">
        <f>O223/'1. Väestöennuste'!Q223*1000</f>
        <v>519.84359435144017</v>
      </c>
      <c r="AI223" s="41">
        <f>P223/'1. Väestöennuste'!R223*1000</f>
        <v>592.00430835112695</v>
      </c>
      <c r="AK223" s="41">
        <f>'6. Poistot'!Z223</f>
        <v>461.90536921311059</v>
      </c>
      <c r="AL223" s="41">
        <f>'6. Poistot'!AA223</f>
        <v>472.87397540983608</v>
      </c>
      <c r="AM223" s="41">
        <f>'6. Poistot'!AB223</f>
        <v>463.31605020662755</v>
      </c>
      <c r="AN223" s="41">
        <f>'6. Poistot'!AC223</f>
        <v>457.78218196394857</v>
      </c>
      <c r="AO223" s="41">
        <f>'6. Poistot'!AD223</f>
        <v>498.34402734857855</v>
      </c>
      <c r="AP223" s="41">
        <f>'6. Poistot'!AE223</f>
        <v>551.92454644695124</v>
      </c>
      <c r="AQ223" s="41">
        <f>'6. Poistot'!AF223</f>
        <v>596.90564067761215</v>
      </c>
      <c r="AR223" s="41">
        <f>'6. Poistot'!AG223</f>
        <v>661.44650955514192</v>
      </c>
      <c r="AS223" s="41">
        <f>'6. Poistot'!AH223</f>
        <v>685.77316971837786</v>
      </c>
      <c r="AT223" s="41">
        <f>'6. Poistot'!AI223</f>
        <v>710.25706060995878</v>
      </c>
      <c r="AV223" s="4">
        <f t="shared" si="63"/>
        <v>0</v>
      </c>
      <c r="AW223" s="4">
        <f t="shared" si="64"/>
        <v>0</v>
      </c>
      <c r="AX223" s="4">
        <f t="shared" si="65"/>
        <v>0</v>
      </c>
      <c r="AY223" s="4">
        <f t="shared" si="66"/>
        <v>1</v>
      </c>
      <c r="AZ223" s="4">
        <f t="shared" si="67"/>
        <v>1</v>
      </c>
      <c r="BA223" s="4">
        <f t="shared" si="68"/>
        <v>1</v>
      </c>
      <c r="BB223" s="4">
        <f t="shared" si="69"/>
        <v>1</v>
      </c>
      <c r="BC223" s="4">
        <f t="shared" si="70"/>
        <v>1</v>
      </c>
      <c r="BE223" s="405">
        <f t="shared" si="71"/>
        <v>0</v>
      </c>
      <c r="BF223" s="405">
        <f t="shared" si="72"/>
        <v>0</v>
      </c>
      <c r="BG223" s="405">
        <f t="shared" si="73"/>
        <v>0</v>
      </c>
      <c r="BH223" s="405">
        <f t="shared" si="74"/>
        <v>0</v>
      </c>
      <c r="BI223" s="405">
        <f t="shared" si="75"/>
        <v>0</v>
      </c>
      <c r="BJ223" s="405">
        <f t="shared" si="76"/>
        <v>0</v>
      </c>
      <c r="BK223" s="405">
        <f t="shared" si="77"/>
        <v>0</v>
      </c>
      <c r="BL223" s="405">
        <f t="shared" si="78"/>
        <v>0</v>
      </c>
      <c r="BM223" s="405">
        <f t="shared" si="79"/>
        <v>0</v>
      </c>
      <c r="BN223" s="405">
        <f t="shared" si="79"/>
        <v>0</v>
      </c>
    </row>
    <row r="224" spans="1:66" x14ac:dyDescent="0.2">
      <c r="A224" s="34">
        <v>686</v>
      </c>
      <c r="B224" s="88" t="s">
        <v>538</v>
      </c>
      <c r="C224" s="41" t="e">
        <f>'2. Toimintakate'!D224+'3. Verotulot'!G224+'4. Valtionosuudet'!#REF!+'5. Rahoitustuotot ja -kulut'!C224</f>
        <v>#REF!</v>
      </c>
      <c r="D224" s="41">
        <f>'2. Toimintakate'!E224+'4. Valtionosuudet'!H224+'3. Verotulot'!L224+'5. Rahoitustuotot ja -kulut'!D224</f>
        <v>2266</v>
      </c>
      <c r="E224" s="41">
        <f>'2. Toimintakate'!F224+'4. Valtionosuudet'!N224+'3. Verotulot'!Q224+'5. Rahoitustuotot ja -kulut'!E224</f>
        <v>1823</v>
      </c>
      <c r="F224" s="41">
        <f>'2. Toimintakate'!G224+'4. Valtionosuudet'!T224+'3. Verotulot'!V224+'5. Rahoitustuotot ja -kulut'!F224</f>
        <v>676</v>
      </c>
      <c r="G224" s="41">
        <f>'2. Toimintakate'!H224+'3. Verotulot'!AA224+'4. Valtionosuudet'!Z224+'5. Rahoitustuotot ja -kulut'!G224</f>
        <v>-167</v>
      </c>
      <c r="H224" s="41">
        <f>Käyttökate!H224+'5. Rahoitustuotot ja -kulut'!H224</f>
        <v>943.72369210740362</v>
      </c>
      <c r="I224" s="41">
        <f>Käyttökate!I224+'5. Rahoitustuotot ja -kulut'!I224</f>
        <v>941.15662213981091</v>
      </c>
      <c r="J224" s="41">
        <f>Käyttökate!J224+'5. Rahoitustuotot ja -kulut'!J224</f>
        <v>1517.4468199022415</v>
      </c>
      <c r="K224" s="41">
        <f>Käyttökate!K224+'5. Rahoitustuotot ja -kulut'!K224</f>
        <v>573.77666108475194</v>
      </c>
      <c r="L224" s="41">
        <f>Käyttökate!L224+'5. Rahoitustuotot ja -kulut'!L224</f>
        <v>1271.9621201095395</v>
      </c>
      <c r="M224" s="41">
        <f>Käyttökate!M224+'5. Rahoitustuotot ja -kulut'!M224</f>
        <v>229.40007504205158</v>
      </c>
      <c r="N224" s="41">
        <f>Käyttökate!N224+'5. Rahoitustuotot ja -kulut'!N224</f>
        <v>76.689908707769234</v>
      </c>
      <c r="O224" s="41">
        <f>Käyttökate!O224+'5. Rahoitustuotot ja -kulut'!O224</f>
        <v>-75.190305002401374</v>
      </c>
      <c r="P224" s="41">
        <f>Käyttökate!P224+'5. Rahoitustuotot ja -kulut'!P224</f>
        <v>212.09164282562881</v>
      </c>
      <c r="T224" s="34">
        <v>686</v>
      </c>
      <c r="U224" s="88" t="s">
        <v>538</v>
      </c>
      <c r="V224" s="41" t="e">
        <f>C224/'1. Väestöennuste'!E224*1000</f>
        <v>#REF!</v>
      </c>
      <c r="W224" s="41">
        <f>D224/'1. Väestöennuste'!F224*1000</f>
        <v>689.17274939172751</v>
      </c>
      <c r="X224" s="41">
        <f>E224/'1. Väestöennuste'!G224*1000</f>
        <v>560.06144393241163</v>
      </c>
      <c r="Y224" s="41">
        <f>F224/'1. Väestöennuste'!H224*1000</f>
        <v>211.51439299123905</v>
      </c>
      <c r="Z224" s="41">
        <f>G224/'1. Väestöennuste'!I224*1000</f>
        <v>-53.508490868311434</v>
      </c>
      <c r="AA224" s="41">
        <f>H224/'1. Väestöennuste'!J224*1000</f>
        <v>309.11355784716795</v>
      </c>
      <c r="AB224" s="41">
        <f>I224/'1. Väestöennuste'!K224*1000</f>
        <v>310.30551339921232</v>
      </c>
      <c r="AC224" s="41">
        <f>J224/'1. Väestöennuste'!L224*1000</f>
        <v>511.95911602639723</v>
      </c>
      <c r="AD224" s="41">
        <f>K224/'1. Väestöennuste'!M224*1000</f>
        <v>195.62791035961538</v>
      </c>
      <c r="AE224" s="41">
        <f>L224/'1. Väestöennuste'!N224*1000</f>
        <v>443.65612839537476</v>
      </c>
      <c r="AF224" s="41">
        <f>M224/'1. Väestöennuste'!O224*1000</f>
        <v>81.347544341153039</v>
      </c>
      <c r="AG224" s="41">
        <f>N224/'1. Väestöennuste'!P224*1000</f>
        <v>27.586298096319869</v>
      </c>
      <c r="AH224" s="41">
        <f>O224/'1. Väestöennuste'!Q224*1000</f>
        <v>-27.421701313786059</v>
      </c>
      <c r="AI224" s="41">
        <f>P224/'1. Väestöennuste'!R224*1000</f>
        <v>78.43625844143078</v>
      </c>
      <c r="AK224" s="41">
        <f>'6. Poistot'!Z224</f>
        <v>315.92438321050946</v>
      </c>
      <c r="AL224" s="41">
        <f>'6. Poistot'!AA224</f>
        <v>373.07566328201767</v>
      </c>
      <c r="AM224" s="41">
        <f>'6. Poistot'!AB224</f>
        <v>332.7092449719749</v>
      </c>
      <c r="AN224" s="41">
        <f>'6. Poistot'!AC224</f>
        <v>360.07059716599196</v>
      </c>
      <c r="AO224" s="41">
        <f>'6. Poistot'!AD224</f>
        <v>378.32386293897031</v>
      </c>
      <c r="AP224" s="41">
        <f>'6. Poistot'!AE224</f>
        <v>348.76645273805372</v>
      </c>
      <c r="AQ224" s="41">
        <f>'6. Poistot'!AF224</f>
        <v>354.57922695035467</v>
      </c>
      <c r="AR224" s="41">
        <f>'6. Poistot'!AG224</f>
        <v>359.68108633093527</v>
      </c>
      <c r="AS224" s="41">
        <f>'6. Poistot'!AH224</f>
        <v>376.43215425666153</v>
      </c>
      <c r="AT224" s="41">
        <f>'6. Poistot'!AI224</f>
        <v>393.65403622172028</v>
      </c>
      <c r="AV224" s="4">
        <f t="shared" si="63"/>
        <v>1</v>
      </c>
      <c r="AW224" s="4">
        <f t="shared" si="64"/>
        <v>0</v>
      </c>
      <c r="AX224" s="4">
        <f t="shared" si="65"/>
        <v>1</v>
      </c>
      <c r="AY224" s="4">
        <f t="shared" si="66"/>
        <v>0</v>
      </c>
      <c r="AZ224" s="4">
        <f t="shared" si="67"/>
        <v>1</v>
      </c>
      <c r="BA224" s="4">
        <f t="shared" si="68"/>
        <v>1</v>
      </c>
      <c r="BB224" s="4">
        <f t="shared" si="69"/>
        <v>1</v>
      </c>
      <c r="BC224" s="4">
        <f t="shared" si="70"/>
        <v>1</v>
      </c>
      <c r="BE224" s="405">
        <f t="shared" si="71"/>
        <v>-1</v>
      </c>
      <c r="BF224" s="405">
        <f t="shared" si="72"/>
        <v>0</v>
      </c>
      <c r="BG224" s="405">
        <f t="shared" si="73"/>
        <v>0</v>
      </c>
      <c r="BH224" s="405">
        <f t="shared" si="74"/>
        <v>0</v>
      </c>
      <c r="BI224" s="405">
        <f t="shared" si="75"/>
        <v>0</v>
      </c>
      <c r="BJ224" s="405">
        <f t="shared" si="76"/>
        <v>0</v>
      </c>
      <c r="BK224" s="405">
        <f t="shared" si="77"/>
        <v>0</v>
      </c>
      <c r="BL224" s="405">
        <f t="shared" si="78"/>
        <v>0</v>
      </c>
      <c r="BM224" s="405">
        <f t="shared" si="79"/>
        <v>-1</v>
      </c>
      <c r="BN224" s="405">
        <f t="shared" si="79"/>
        <v>0</v>
      </c>
    </row>
    <row r="225" spans="1:66" x14ac:dyDescent="0.2">
      <c r="A225" s="34">
        <v>687</v>
      </c>
      <c r="B225" s="88" t="s">
        <v>539</v>
      </c>
      <c r="C225" s="41" t="e">
        <f>'2. Toimintakate'!D225+'3. Verotulot'!G225+'4. Valtionosuudet'!#REF!+'5. Rahoitustuotot ja -kulut'!C225</f>
        <v>#REF!</v>
      </c>
      <c r="D225" s="41">
        <f>'2. Toimintakate'!E225+'4. Valtionosuudet'!H225+'3. Verotulot'!L225+'5. Rahoitustuotot ja -kulut'!D225</f>
        <v>918</v>
      </c>
      <c r="E225" s="41">
        <f>'2. Toimintakate'!F225+'4. Valtionosuudet'!N225+'3. Verotulot'!Q225+'5. Rahoitustuotot ja -kulut'!E225</f>
        <v>1748</v>
      </c>
      <c r="F225" s="41">
        <f>'2. Toimintakate'!G225+'4. Valtionosuudet'!T225+'3. Verotulot'!V225+'5. Rahoitustuotot ja -kulut'!F225</f>
        <v>1411</v>
      </c>
      <c r="G225" s="41">
        <f>'2. Toimintakate'!H225+'3. Verotulot'!AA225+'4. Valtionosuudet'!Z225+'5. Rahoitustuotot ja -kulut'!G225</f>
        <v>521</v>
      </c>
      <c r="H225" s="41">
        <f>Käyttökate!H225+'5. Rahoitustuotot ja -kulut'!H225</f>
        <v>2532.0007618505333</v>
      </c>
      <c r="I225" s="41">
        <f>Käyttökate!I225+'5. Rahoitustuotot ja -kulut'!I225</f>
        <v>2814.9531476989669</v>
      </c>
      <c r="J225" s="41">
        <f>Käyttökate!J225+'5. Rahoitustuotot ja -kulut'!J225</f>
        <v>2014.739803817625</v>
      </c>
      <c r="K225" s="41">
        <f>Käyttökate!K225+'5. Rahoitustuotot ja -kulut'!K225</f>
        <v>689.89696928932267</v>
      </c>
      <c r="L225" s="41">
        <f>Käyttökate!L225+'5. Rahoitustuotot ja -kulut'!L225</f>
        <v>917.00033458540884</v>
      </c>
      <c r="M225" s="41">
        <f>Käyttökate!M225+'5. Rahoitustuotot ja -kulut'!M225</f>
        <v>893.10993049533226</v>
      </c>
      <c r="N225" s="41">
        <f>Käyttökate!N225+'5. Rahoitustuotot ja -kulut'!N225</f>
        <v>820.35017941289289</v>
      </c>
      <c r="O225" s="41">
        <f>Käyttökate!O225+'5. Rahoitustuotot ja -kulut'!O225</f>
        <v>807.47210426702668</v>
      </c>
      <c r="P225" s="41">
        <f>Käyttökate!P225+'5. Rahoitustuotot ja -kulut'!P225</f>
        <v>1006.0138242277453</v>
      </c>
      <c r="T225" s="34">
        <v>687</v>
      </c>
      <c r="U225" s="88" t="s">
        <v>539</v>
      </c>
      <c r="V225" s="41" t="e">
        <f>C225/'1. Väestöennuste'!E225*1000</f>
        <v>#REF!</v>
      </c>
      <c r="W225" s="41">
        <f>D225/'1. Väestöennuste'!F225*1000</f>
        <v>532.79164248403947</v>
      </c>
      <c r="X225" s="41">
        <f>E225/'1. Väestöennuste'!G225*1000</f>
        <v>1029.4464075382803</v>
      </c>
      <c r="Y225" s="41">
        <f>F225/'1. Väestöennuste'!H225*1000</f>
        <v>854.63355542095701</v>
      </c>
      <c r="Z225" s="41">
        <f>G225/'1. Väestöennuste'!I225*1000</f>
        <v>325.21847690387017</v>
      </c>
      <c r="AA225" s="41">
        <f>H225/'1. Väestöennuste'!J225*1000</f>
        <v>1622.0376437223147</v>
      </c>
      <c r="AB225" s="41">
        <f>I225/'1. Väestöennuste'!K225*1000</f>
        <v>1860.5110031057284</v>
      </c>
      <c r="AC225" s="41">
        <f>J225/'1. Väestöennuste'!L225*1000</f>
        <v>1364.0756965589878</v>
      </c>
      <c r="AD225" s="41">
        <f>K225/'1. Väestöennuste'!M225*1000</f>
        <v>484.47820877059178</v>
      </c>
      <c r="AE225" s="41">
        <f>L225/'1. Väestöennuste'!N225*1000</f>
        <v>639.02462340446607</v>
      </c>
      <c r="AF225" s="41">
        <f>M225/'1. Väestöennuste'!O225*1000</f>
        <v>634.31103018134399</v>
      </c>
      <c r="AG225" s="41">
        <f>N225/'1. Väestöennuste'!P225*1000</f>
        <v>594.02619798181968</v>
      </c>
      <c r="AH225" s="41">
        <f>O225/'1. Väestöennuste'!Q225*1000</f>
        <v>595.92037215278731</v>
      </c>
      <c r="AI225" s="41">
        <f>P225/'1. Väestöennuste'!R225*1000</f>
        <v>755.83307605390326</v>
      </c>
      <c r="AK225" s="41">
        <f>'6. Poistot'!Z225</f>
        <v>549.31335830212231</v>
      </c>
      <c r="AL225" s="41">
        <f>'6. Poistot'!AA225</f>
        <v>587.44394618834087</v>
      </c>
      <c r="AM225" s="41">
        <f>'6. Poistot'!AB225</f>
        <v>1037.5852941176472</v>
      </c>
      <c r="AN225" s="41">
        <f>'6. Poistot'!AC225</f>
        <v>588.41292484766427</v>
      </c>
      <c r="AO225" s="41">
        <f>'6. Poistot'!AD225</f>
        <v>517.84884831460681</v>
      </c>
      <c r="AP225" s="41">
        <f>'6. Poistot'!AE225</f>
        <v>528.89477351916378</v>
      </c>
      <c r="AQ225" s="41">
        <f>'6. Poistot'!AF225</f>
        <v>567.47159090909099</v>
      </c>
      <c r="AR225" s="41">
        <f>'6. Poistot'!AG225</f>
        <v>579.06227371469947</v>
      </c>
      <c r="AS225" s="41">
        <f>'6. Poistot'!AH225</f>
        <v>609.21616869073137</v>
      </c>
      <c r="AT225" s="41">
        <f>'6. Poistot'!AI225</f>
        <v>639.58739079780753</v>
      </c>
      <c r="AV225" s="4">
        <f t="shared" si="63"/>
        <v>0</v>
      </c>
      <c r="AW225" s="4">
        <f t="shared" si="64"/>
        <v>0</v>
      </c>
      <c r="AX225" s="4">
        <f t="shared" si="65"/>
        <v>1</v>
      </c>
      <c r="AY225" s="4">
        <f t="shared" si="66"/>
        <v>0</v>
      </c>
      <c r="AZ225" s="4">
        <f t="shared" si="67"/>
        <v>0</v>
      </c>
      <c r="BA225" s="4">
        <f t="shared" si="68"/>
        <v>0</v>
      </c>
      <c r="BB225" s="4">
        <f t="shared" si="69"/>
        <v>1</v>
      </c>
      <c r="BC225" s="4">
        <f t="shared" si="70"/>
        <v>0</v>
      </c>
      <c r="BE225" s="405">
        <f t="shared" si="71"/>
        <v>0</v>
      </c>
      <c r="BF225" s="405">
        <f t="shared" si="72"/>
        <v>0</v>
      </c>
      <c r="BG225" s="405">
        <f t="shared" si="73"/>
        <v>0</v>
      </c>
      <c r="BH225" s="405">
        <f t="shared" si="74"/>
        <v>0</v>
      </c>
      <c r="BI225" s="405">
        <f t="shared" si="75"/>
        <v>0</v>
      </c>
      <c r="BJ225" s="405">
        <f t="shared" si="76"/>
        <v>0</v>
      </c>
      <c r="BK225" s="405">
        <f t="shared" si="77"/>
        <v>0</v>
      </c>
      <c r="BL225" s="405">
        <f t="shared" si="78"/>
        <v>0</v>
      </c>
      <c r="BM225" s="405">
        <f t="shared" si="79"/>
        <v>0</v>
      </c>
      <c r="BN225" s="405">
        <f t="shared" si="79"/>
        <v>0</v>
      </c>
    </row>
    <row r="226" spans="1:66" x14ac:dyDescent="0.2">
      <c r="A226" s="34">
        <v>689</v>
      </c>
      <c r="B226" s="88" t="s">
        <v>540</v>
      </c>
      <c r="C226" s="41" t="e">
        <f>'2. Toimintakate'!D226+'3. Verotulot'!G226+'4. Valtionosuudet'!#REF!+'5. Rahoitustuotot ja -kulut'!C226</f>
        <v>#REF!</v>
      </c>
      <c r="D226" s="41">
        <f>'2. Toimintakate'!E226+'4. Valtionosuudet'!H226+'3. Verotulot'!L226+'5. Rahoitustuotot ja -kulut'!D226</f>
        <v>3436</v>
      </c>
      <c r="E226" s="41">
        <f>'2. Toimintakate'!F226+'4. Valtionosuudet'!N226+'3. Verotulot'!Q226+'5. Rahoitustuotot ja -kulut'!E226</f>
        <v>2347</v>
      </c>
      <c r="F226" s="41">
        <f>'2. Toimintakate'!G226+'4. Valtionosuudet'!T226+'3. Verotulot'!V226+'5. Rahoitustuotot ja -kulut'!F226</f>
        <v>1639</v>
      </c>
      <c r="G226" s="41">
        <f>'2. Toimintakate'!H226+'3. Verotulot'!AA226+'4. Valtionosuudet'!Z226+'5. Rahoitustuotot ja -kulut'!G226</f>
        <v>584</v>
      </c>
      <c r="H226" s="41">
        <f>Käyttökate!H226+'5. Rahoitustuotot ja -kulut'!H226</f>
        <v>353.65142720147924</v>
      </c>
      <c r="I226" s="41">
        <f>Käyttökate!I226+'5. Rahoitustuotot ja -kulut'!I226</f>
        <v>1862.8708876001331</v>
      </c>
      <c r="J226" s="41">
        <f>Käyttökate!J226+'5. Rahoitustuotot ja -kulut'!J226</f>
        <v>2110.771042349681</v>
      </c>
      <c r="K226" s="41">
        <f>Käyttökate!K226+'5. Rahoitustuotot ja -kulut'!K226</f>
        <v>3682.7131134759202</v>
      </c>
      <c r="L226" s="41">
        <f>Käyttökate!L226+'5. Rahoitustuotot ja -kulut'!L226</f>
        <v>961.89861048590592</v>
      </c>
      <c r="M226" s="41">
        <f>Käyttökate!M226+'5. Rahoitustuotot ja -kulut'!M226</f>
        <v>597.04641193150997</v>
      </c>
      <c r="N226" s="41">
        <f>Käyttökate!N226+'5. Rahoitustuotot ja -kulut'!N226</f>
        <v>1101.9302617962392</v>
      </c>
      <c r="O226" s="41">
        <f>Käyttökate!O226+'5. Rahoitustuotot ja -kulut'!O226</f>
        <v>773.52408530092828</v>
      </c>
      <c r="P226" s="41">
        <f>Käyttökate!P226+'5. Rahoitustuotot ja -kulut'!P226</f>
        <v>1269.1793398454447</v>
      </c>
      <c r="T226" s="34">
        <v>689</v>
      </c>
      <c r="U226" s="88" t="s">
        <v>540</v>
      </c>
      <c r="V226" s="41" t="e">
        <f>C226/'1. Väestöennuste'!E226*1000</f>
        <v>#REF!</v>
      </c>
      <c r="W226" s="41">
        <f>D226/'1. Väestöennuste'!F226*1000</f>
        <v>989.34638640944422</v>
      </c>
      <c r="X226" s="41">
        <f>E226/'1. Väestöennuste'!G226*1000</f>
        <v>683.06169965075674</v>
      </c>
      <c r="Y226" s="41">
        <f>F226/'1. Väestöennuste'!H226*1000</f>
        <v>491.45427286356824</v>
      </c>
      <c r="Z226" s="41">
        <f>G226/'1. Väestöennuste'!I226*1000</f>
        <v>181.02913825170489</v>
      </c>
      <c r="AA226" s="41">
        <f>H226/'1. Väestöennuste'!J226*1000</f>
        <v>112.41304106849307</v>
      </c>
      <c r="AB226" s="41">
        <f>I226/'1. Väestöennuste'!K226*1000</f>
        <v>602.48088214752033</v>
      </c>
      <c r="AC226" s="41">
        <f>J226/'1. Väestöennuste'!L226*1000</f>
        <v>682.43486658573579</v>
      </c>
      <c r="AD226" s="41">
        <f>K226/'1. Väestöennuste'!M226*1000</f>
        <v>1214.6151429669922</v>
      </c>
      <c r="AE226" s="41">
        <f>L226/'1. Väestöennuste'!N226*1000</f>
        <v>336.44582388454216</v>
      </c>
      <c r="AF226" s="41">
        <f>M226/'1. Väestöennuste'!O226*1000</f>
        <v>213.30704249071454</v>
      </c>
      <c r="AG226" s="41">
        <f>N226/'1. Väestöennuste'!P226*1000</f>
        <v>401.87099263174298</v>
      </c>
      <c r="AH226" s="41">
        <f>O226/'1. Väestöennuste'!Q226*1000</f>
        <v>287.66235972515</v>
      </c>
      <c r="AI226" s="41">
        <f>P226/'1. Väestöennuste'!R226*1000</f>
        <v>480.93192112370014</v>
      </c>
      <c r="AK226" s="41">
        <f>'6. Poistot'!Z226</f>
        <v>530.06819590824546</v>
      </c>
      <c r="AL226" s="41">
        <f>'6. Poistot'!AA226</f>
        <v>522.8862047043865</v>
      </c>
      <c r="AM226" s="41">
        <f>'6. Poistot'!AB226</f>
        <v>517.38027166882284</v>
      </c>
      <c r="AN226" s="41">
        <f>'6. Poistot'!AC226</f>
        <v>500.22630455868091</v>
      </c>
      <c r="AO226" s="41">
        <f>'6. Poistot'!AD226</f>
        <v>505.71507915567281</v>
      </c>
      <c r="AP226" s="41">
        <f>'6. Poistot'!AE226</f>
        <v>549.1081217208814</v>
      </c>
      <c r="AQ226" s="41">
        <f>'6. Poistot'!AF226</f>
        <v>586.85244730260797</v>
      </c>
      <c r="AR226" s="41">
        <f>'6. Poistot'!AG226</f>
        <v>616.30196936542666</v>
      </c>
      <c r="AS226" s="41">
        <f>'6. Poistot'!AH226</f>
        <v>648.72699478082313</v>
      </c>
      <c r="AT226" s="41">
        <f>'6. Poistot'!AI226</f>
        <v>681.68009773825963</v>
      </c>
      <c r="AV226" s="4">
        <f t="shared" si="63"/>
        <v>0</v>
      </c>
      <c r="AW226" s="4">
        <f t="shared" si="64"/>
        <v>0</v>
      </c>
      <c r="AX226" s="4">
        <f t="shared" si="65"/>
        <v>0</v>
      </c>
      <c r="AY226" s="4">
        <f t="shared" si="66"/>
        <v>1</v>
      </c>
      <c r="AZ226" s="4">
        <f t="shared" si="67"/>
        <v>1</v>
      </c>
      <c r="BA226" s="4">
        <f t="shared" si="68"/>
        <v>1</v>
      </c>
      <c r="BB226" s="4">
        <f t="shared" si="69"/>
        <v>1</v>
      </c>
      <c r="BC226" s="4">
        <f t="shared" si="70"/>
        <v>1</v>
      </c>
      <c r="BE226" s="405">
        <f t="shared" si="71"/>
        <v>0</v>
      </c>
      <c r="BF226" s="405">
        <f t="shared" si="72"/>
        <v>0</v>
      </c>
      <c r="BG226" s="405">
        <f t="shared" si="73"/>
        <v>0</v>
      </c>
      <c r="BH226" s="405">
        <f t="shared" si="74"/>
        <v>0</v>
      </c>
      <c r="BI226" s="405">
        <f t="shared" si="75"/>
        <v>0</v>
      </c>
      <c r="BJ226" s="405">
        <f t="shared" si="76"/>
        <v>0</v>
      </c>
      <c r="BK226" s="405">
        <f t="shared" si="77"/>
        <v>0</v>
      </c>
      <c r="BL226" s="405">
        <f t="shared" si="78"/>
        <v>0</v>
      </c>
      <c r="BM226" s="405">
        <f t="shared" si="79"/>
        <v>0</v>
      </c>
      <c r="BN226" s="405">
        <f t="shared" si="79"/>
        <v>0</v>
      </c>
    </row>
    <row r="227" spans="1:66" x14ac:dyDescent="0.2">
      <c r="A227" s="34">
        <v>691</v>
      </c>
      <c r="B227" s="88" t="s">
        <v>541</v>
      </c>
      <c r="C227" s="41" t="e">
        <f>'2. Toimintakate'!D227+'3. Verotulot'!G227+'4. Valtionosuudet'!#REF!+'5. Rahoitustuotot ja -kulut'!C227</f>
        <v>#REF!</v>
      </c>
      <c r="D227" s="41">
        <f>'2. Toimintakate'!E227+'4. Valtionosuudet'!H227+'3. Verotulot'!L227+'5. Rahoitustuotot ja -kulut'!D227</f>
        <v>53</v>
      </c>
      <c r="E227" s="41">
        <f>'2. Toimintakate'!F227+'4. Valtionosuudet'!N227+'3. Verotulot'!Q227+'5. Rahoitustuotot ja -kulut'!E227</f>
        <v>809</v>
      </c>
      <c r="F227" s="41">
        <f>'2. Toimintakate'!G227+'4. Valtionosuudet'!T227+'3. Verotulot'!V227+'5. Rahoitustuotot ja -kulut'!F227</f>
        <v>-906</v>
      </c>
      <c r="G227" s="41">
        <f>'2. Toimintakate'!H227+'3. Verotulot'!AA227+'4. Valtionosuudet'!Z227+'5. Rahoitustuotot ja -kulut'!G227</f>
        <v>549</v>
      </c>
      <c r="H227" s="41">
        <f>Käyttökate!H227+'5. Rahoitustuotot ja -kulut'!H227</f>
        <v>2371.7336689757412</v>
      </c>
      <c r="I227" s="41">
        <f>Käyttökate!I227+'5. Rahoitustuotot ja -kulut'!I227</f>
        <v>2181.0141120734729</v>
      </c>
      <c r="J227" s="41">
        <f>Käyttökate!J227+'5. Rahoitustuotot ja -kulut'!J227</f>
        <v>1609.9722710098958</v>
      </c>
      <c r="K227" s="41">
        <f>Käyttökate!K227+'5. Rahoitustuotot ja -kulut'!K227</f>
        <v>1453.8984155327448</v>
      </c>
      <c r="L227" s="41">
        <f>Käyttökate!L227+'5. Rahoitustuotot ja -kulut'!L227</f>
        <v>1679.4596718495966</v>
      </c>
      <c r="M227" s="41">
        <f>Käyttökate!M227+'5. Rahoitustuotot ja -kulut'!M227</f>
        <v>412.93944967721592</v>
      </c>
      <c r="N227" s="41">
        <f>Käyttökate!N227+'5. Rahoitustuotot ja -kulut'!N227</f>
        <v>590.90954333344757</v>
      </c>
      <c r="O227" s="41">
        <f>Käyttökate!O227+'5. Rahoitustuotot ja -kulut'!O227</f>
        <v>463.16029347863014</v>
      </c>
      <c r="P227" s="41">
        <f>Käyttökate!P227+'5. Rahoitustuotot ja -kulut'!P227</f>
        <v>731.98712846026365</v>
      </c>
      <c r="T227" s="34">
        <v>691</v>
      </c>
      <c r="U227" s="88" t="s">
        <v>541</v>
      </c>
      <c r="V227" s="41" t="e">
        <f>C227/'1. Väestöennuste'!E227*1000</f>
        <v>#REF!</v>
      </c>
      <c r="W227" s="41">
        <f>D227/'1. Väestöennuste'!F227*1000</f>
        <v>18.57042747021724</v>
      </c>
      <c r="X227" s="41">
        <f>E227/'1. Väestöennuste'!G227*1000</f>
        <v>287.59331674368997</v>
      </c>
      <c r="Y227" s="41">
        <f>F227/'1. Väestöennuste'!H227*1000</f>
        <v>-330.29529711994167</v>
      </c>
      <c r="Z227" s="41">
        <f>G227/'1. Väestöennuste'!I227*1000</f>
        <v>201.98675496688742</v>
      </c>
      <c r="AA227" s="41">
        <f>H227/'1. Väestöennuste'!J227*1000</f>
        <v>875.17847563680482</v>
      </c>
      <c r="AB227" s="41">
        <f>I227/'1. Väestöennuste'!K227*1000</f>
        <v>810.785915268949</v>
      </c>
      <c r="AC227" s="41">
        <f>J227/'1. Väestöennuste'!L227*1000</f>
        <v>610.76338050451284</v>
      </c>
      <c r="AD227" s="41">
        <f>K227/'1. Väestöennuste'!M227*1000</f>
        <v>559.6221768794245</v>
      </c>
      <c r="AE227" s="41">
        <f>L227/'1. Väestöennuste'!N227*1000</f>
        <v>651.45836766857906</v>
      </c>
      <c r="AF227" s="41">
        <f>M227/'1. Väestöennuste'!O227*1000</f>
        <v>162.19145706096461</v>
      </c>
      <c r="AG227" s="41">
        <f>N227/'1. Väestöennuste'!P227*1000</f>
        <v>234.95409277671871</v>
      </c>
      <c r="AH227" s="41">
        <f>O227/'1. Väestöennuste'!Q227*1000</f>
        <v>186.30743905013281</v>
      </c>
      <c r="AI227" s="41">
        <f>P227/'1. Väestöennuste'!R227*1000</f>
        <v>298.16176312027034</v>
      </c>
      <c r="AK227" s="41">
        <f>'6. Poistot'!Z227</f>
        <v>428.9919058130979</v>
      </c>
      <c r="AL227" s="41">
        <f>'6. Poistot'!AA227</f>
        <v>469.37269372693731</v>
      </c>
      <c r="AM227" s="41">
        <f>'6. Poistot'!AB227</f>
        <v>389.36497026022306</v>
      </c>
      <c r="AN227" s="41">
        <f>'6. Poistot'!AC227</f>
        <v>407.11227996965101</v>
      </c>
      <c r="AO227" s="41">
        <f>'6. Poistot'!AD227</f>
        <v>458.92830638953041</v>
      </c>
      <c r="AP227" s="41">
        <f>'6. Poistot'!AE227</f>
        <v>425.52754072924751</v>
      </c>
      <c r="AQ227" s="41">
        <f>'6. Poistot'!AF227</f>
        <v>399.43055773762762</v>
      </c>
      <c r="AR227" s="41">
        <f>'6. Poistot'!AG227</f>
        <v>412.44103777335982</v>
      </c>
      <c r="AS227" s="41">
        <f>'6. Poistot'!AH227</f>
        <v>430.71550158559268</v>
      </c>
      <c r="AT227" s="41">
        <f>'6. Poistot'!AI227</f>
        <v>449.78748019697224</v>
      </c>
      <c r="AV227" s="4">
        <f t="shared" si="63"/>
        <v>0</v>
      </c>
      <c r="AW227" s="4">
        <f t="shared" si="64"/>
        <v>0</v>
      </c>
      <c r="AX227" s="4">
        <f t="shared" si="65"/>
        <v>0</v>
      </c>
      <c r="AY227" s="4">
        <f t="shared" si="66"/>
        <v>0</v>
      </c>
      <c r="AZ227" s="4">
        <f t="shared" si="67"/>
        <v>1</v>
      </c>
      <c r="BA227" s="4">
        <f t="shared" si="68"/>
        <v>1</v>
      </c>
      <c r="BB227" s="4">
        <f t="shared" si="69"/>
        <v>1</v>
      </c>
      <c r="BC227" s="4">
        <f t="shared" si="70"/>
        <v>1</v>
      </c>
      <c r="BE227" s="405">
        <f t="shared" si="71"/>
        <v>0</v>
      </c>
      <c r="BF227" s="405">
        <f t="shared" si="72"/>
        <v>0</v>
      </c>
      <c r="BG227" s="405">
        <f t="shared" si="73"/>
        <v>0</v>
      </c>
      <c r="BH227" s="405">
        <f t="shared" si="74"/>
        <v>0</v>
      </c>
      <c r="BI227" s="405">
        <f t="shared" si="75"/>
        <v>0</v>
      </c>
      <c r="BJ227" s="405">
        <f t="shared" si="76"/>
        <v>0</v>
      </c>
      <c r="BK227" s="405">
        <f t="shared" si="77"/>
        <v>0</v>
      </c>
      <c r="BL227" s="405">
        <f t="shared" si="78"/>
        <v>0</v>
      </c>
      <c r="BM227" s="405">
        <f t="shared" si="79"/>
        <v>0</v>
      </c>
      <c r="BN227" s="405">
        <f t="shared" si="79"/>
        <v>0</v>
      </c>
    </row>
    <row r="228" spans="1:66" x14ac:dyDescent="0.2">
      <c r="A228" s="34">
        <v>694</v>
      </c>
      <c r="B228" s="88" t="s">
        <v>542</v>
      </c>
      <c r="C228" s="41" t="e">
        <f>'2. Toimintakate'!D228+'3. Verotulot'!G228+'4. Valtionosuudet'!#REF!+'5. Rahoitustuotot ja -kulut'!C228</f>
        <v>#REF!</v>
      </c>
      <c r="D228" s="41">
        <f>'2. Toimintakate'!E228+'4. Valtionosuudet'!H228+'3. Verotulot'!L228+'5. Rahoitustuotot ja -kulut'!D228</f>
        <v>8693</v>
      </c>
      <c r="E228" s="41">
        <f>'2. Toimintakate'!F228+'4. Valtionosuudet'!N228+'3. Verotulot'!Q228+'5. Rahoitustuotot ja -kulut'!E228</f>
        <v>19143</v>
      </c>
      <c r="F228" s="41">
        <f>'2. Toimintakate'!G228+'4. Valtionosuudet'!T228+'3. Verotulot'!V228+'5. Rahoitustuotot ja -kulut'!F228</f>
        <v>15230</v>
      </c>
      <c r="G228" s="41">
        <f>'2. Toimintakate'!H228+'3. Verotulot'!AA228+'4. Valtionosuudet'!Z228+'5. Rahoitustuotot ja -kulut'!G228</f>
        <v>13172</v>
      </c>
      <c r="H228" s="41">
        <f>Käyttökate!H228+'5. Rahoitustuotot ja -kulut'!H228</f>
        <v>23463.089861405642</v>
      </c>
      <c r="I228" s="41">
        <f>Käyttökate!I228+'5. Rahoitustuotot ja -kulut'!I228</f>
        <v>17252.663740184802</v>
      </c>
      <c r="J228" s="41">
        <f>Käyttökate!J228+'5. Rahoitustuotot ja -kulut'!J228</f>
        <v>17086.927022659318</v>
      </c>
      <c r="K228" s="41">
        <f>Käyttökate!K228+'5. Rahoitustuotot ja -kulut'!K228</f>
        <v>22796.483048961109</v>
      </c>
      <c r="L228" s="41">
        <f>Käyttökate!L228+'5. Rahoitustuotot ja -kulut'!L228</f>
        <v>15405.435106795654</v>
      </c>
      <c r="M228" s="41">
        <f>Käyttökate!M228+'5. Rahoitustuotot ja -kulut'!M228</f>
        <v>9651.4616195135368</v>
      </c>
      <c r="N228" s="41">
        <f>Käyttökate!N228+'5. Rahoitustuotot ja -kulut'!N228</f>
        <v>9338.0723519407438</v>
      </c>
      <c r="O228" s="41">
        <f>Käyttökate!O228+'5. Rahoitustuotot ja -kulut'!O228</f>
        <v>10075.294707895915</v>
      </c>
      <c r="P228" s="41">
        <f>Käyttökate!P228+'5. Rahoitustuotot ja -kulut'!P228</f>
        <v>11501.048675948508</v>
      </c>
      <c r="T228" s="34">
        <v>694</v>
      </c>
      <c r="U228" s="88" t="s">
        <v>542</v>
      </c>
      <c r="V228" s="41" t="e">
        <f>C228/'1. Väestöennuste'!E228*1000</f>
        <v>#REF!</v>
      </c>
      <c r="W228" s="41">
        <f>D228/'1. Väestöennuste'!F228*1000</f>
        <v>298.11385459533608</v>
      </c>
      <c r="X228" s="41">
        <f>E228/'1. Väestöennuste'!G228*1000</f>
        <v>659.62578822232172</v>
      </c>
      <c r="Y228" s="41">
        <f>F228/'1. Väestöennuste'!H228*1000</f>
        <v>529.99721603563478</v>
      </c>
      <c r="Z228" s="41">
        <f>G228/'1. Väestöennuste'!I228*1000</f>
        <v>457.47230229569686</v>
      </c>
      <c r="AA228" s="41">
        <f>H228/'1. Väestöennuste'!J228*1000</f>
        <v>817.24450927919338</v>
      </c>
      <c r="AB228" s="41">
        <f>I228/'1. Väestöennuste'!K228*1000</f>
        <v>604.91089864257219</v>
      </c>
      <c r="AC228" s="41">
        <f>J228/'1. Väestöennuste'!L228*1000</f>
        <v>602.73473571058298</v>
      </c>
      <c r="AD228" s="41">
        <f>K228/'1. Väestöennuste'!M228*1000</f>
        <v>800.35400235091493</v>
      </c>
      <c r="AE228" s="41">
        <f>L228/'1. Väestöennuste'!N228*1000</f>
        <v>544.4578585190194</v>
      </c>
      <c r="AF228" s="41">
        <f>M228/'1. Väestöennuste'!O228*1000</f>
        <v>342.21400629413665</v>
      </c>
      <c r="AG228" s="41">
        <f>N228/'1. Väestöennuste'!P228*1000</f>
        <v>332.19752230312145</v>
      </c>
      <c r="AH228" s="41">
        <f>O228/'1. Väestöennuste'!Q228*1000</f>
        <v>359.61361701452387</v>
      </c>
      <c r="AI228" s="41">
        <f>P228/'1. Väestöennuste'!R228*1000</f>
        <v>411.84017317011057</v>
      </c>
      <c r="AK228" s="41">
        <f>'6. Poistot'!Z228</f>
        <v>-32.368978571180499</v>
      </c>
      <c r="AL228" s="41">
        <f>'6. Poistot'!AA228</f>
        <v>310.62347614071751</v>
      </c>
      <c r="AM228" s="41">
        <f>'6. Poistot'!AB228</f>
        <v>305.15596087093724</v>
      </c>
      <c r="AN228" s="41">
        <f>'6. Poistot'!AC228</f>
        <v>327.36626053829059</v>
      </c>
      <c r="AO228" s="41">
        <f>'6. Poistot'!AD228</f>
        <v>415.00574658568269</v>
      </c>
      <c r="AP228" s="41">
        <f>'6. Poistot'!AE228</f>
        <v>361.04258702951051</v>
      </c>
      <c r="AQ228" s="41">
        <f>'6. Poistot'!AF228</f>
        <v>230.41520405630607</v>
      </c>
      <c r="AR228" s="41">
        <f>'6. Poistot'!AG228</f>
        <v>231.17751689790109</v>
      </c>
      <c r="AS228" s="41">
        <f>'6. Poistot'!AH228</f>
        <v>239.42890344076901</v>
      </c>
      <c r="AT228" s="41">
        <f>'6. Poistot'!AI228</f>
        <v>247.7175096827348</v>
      </c>
      <c r="AV228" s="4">
        <f t="shared" si="63"/>
        <v>0</v>
      </c>
      <c r="AW228" s="4">
        <f t="shared" si="64"/>
        <v>0</v>
      </c>
      <c r="AX228" s="4">
        <f t="shared" si="65"/>
        <v>0</v>
      </c>
      <c r="AY228" s="4">
        <f t="shared" si="66"/>
        <v>0</v>
      </c>
      <c r="AZ228" s="4">
        <f t="shared" si="67"/>
        <v>0</v>
      </c>
      <c r="BA228" s="4">
        <f t="shared" si="68"/>
        <v>0</v>
      </c>
      <c r="BB228" s="4">
        <f t="shared" si="69"/>
        <v>0</v>
      </c>
      <c r="BC228" s="4">
        <f t="shared" si="70"/>
        <v>0</v>
      </c>
      <c r="BE228" s="405">
        <f t="shared" si="71"/>
        <v>0</v>
      </c>
      <c r="BF228" s="405">
        <f t="shared" si="72"/>
        <v>0</v>
      </c>
      <c r="BG228" s="405">
        <f t="shared" si="73"/>
        <v>0</v>
      </c>
      <c r="BH228" s="405">
        <f t="shared" si="74"/>
        <v>0</v>
      </c>
      <c r="BI228" s="405">
        <f t="shared" si="75"/>
        <v>0</v>
      </c>
      <c r="BJ228" s="405">
        <f t="shared" si="76"/>
        <v>0</v>
      </c>
      <c r="BK228" s="405">
        <f t="shared" si="77"/>
        <v>0</v>
      </c>
      <c r="BL228" s="405">
        <f t="shared" si="78"/>
        <v>0</v>
      </c>
      <c r="BM228" s="405">
        <f t="shared" si="79"/>
        <v>0</v>
      </c>
      <c r="BN228" s="405">
        <f t="shared" si="79"/>
        <v>0</v>
      </c>
    </row>
    <row r="229" spans="1:66" x14ac:dyDescent="0.2">
      <c r="A229" s="89">
        <v>697</v>
      </c>
      <c r="B229" s="90" t="s">
        <v>543</v>
      </c>
      <c r="C229" s="41" t="e">
        <f>'2. Toimintakate'!D229+'3. Verotulot'!G229+'4. Valtionosuudet'!#REF!+'5. Rahoitustuotot ja -kulut'!C229</f>
        <v>#REF!</v>
      </c>
      <c r="D229" s="41">
        <f>'2. Toimintakate'!E229+'4. Valtionosuudet'!H229+'3. Verotulot'!L229+'5. Rahoitustuotot ja -kulut'!D229</f>
        <v>383</v>
      </c>
      <c r="E229" s="41">
        <f>'2. Toimintakate'!F229+'4. Valtionosuudet'!N229+'3. Verotulot'!Q229+'5. Rahoitustuotot ja -kulut'!E229</f>
        <v>464</v>
      </c>
      <c r="F229" s="41">
        <f>'2. Toimintakate'!G229+'4. Valtionosuudet'!T229+'3. Verotulot'!V229+'5. Rahoitustuotot ja -kulut'!F229</f>
        <v>-55</v>
      </c>
      <c r="G229" s="41">
        <f>'2. Toimintakate'!H229+'3. Verotulot'!AA229+'4. Valtionosuudet'!Z229+'5. Rahoitustuotot ja -kulut'!G229</f>
        <v>352</v>
      </c>
      <c r="H229" s="41">
        <f>Käyttökate!H229+'5. Rahoitustuotot ja -kulut'!H229</f>
        <v>292.33239035044789</v>
      </c>
      <c r="I229" s="41">
        <f>Käyttökate!I229+'5. Rahoitustuotot ja -kulut'!I229</f>
        <v>446.43383957649434</v>
      </c>
      <c r="J229" s="41">
        <f>Käyttökate!J229+'5. Rahoitustuotot ja -kulut'!J229</f>
        <v>742.75918859913133</v>
      </c>
      <c r="K229" s="41">
        <f>Käyttökate!K229+'5. Rahoitustuotot ja -kulut'!K229</f>
        <v>229.43387981902305</v>
      </c>
      <c r="L229" s="41">
        <f>Käyttökate!L229+'5. Rahoitustuotot ja -kulut'!L229</f>
        <v>8.9349975606164662</v>
      </c>
      <c r="M229" s="41">
        <f>Käyttökate!M229+'5. Rahoitustuotot ja -kulut'!M229</f>
        <v>-220.67169112693296</v>
      </c>
      <c r="N229" s="41">
        <f>Käyttökate!N229+'5. Rahoitustuotot ja -kulut'!N229</f>
        <v>-253.00550727269911</v>
      </c>
      <c r="O229" s="41">
        <f>Käyttökate!O229+'5. Rahoitustuotot ja -kulut'!O229</f>
        <v>-308.89799775686816</v>
      </c>
      <c r="P229" s="41">
        <f>Käyttökate!P229+'5. Rahoitustuotot ja -kulut'!P229</f>
        <v>-173.76984201741911</v>
      </c>
      <c r="T229" s="89">
        <v>697</v>
      </c>
      <c r="U229" s="90" t="s">
        <v>543</v>
      </c>
      <c r="V229" s="41" t="e">
        <f>C229/'1. Väestöennuste'!E229*1000</f>
        <v>#REF!</v>
      </c>
      <c r="W229" s="41">
        <f>D229/'1. Väestöennuste'!F229*1000</f>
        <v>284.75836431226764</v>
      </c>
      <c r="X229" s="41">
        <f>E229/'1. Väestöennuste'!G229*1000</f>
        <v>352.31586940015188</v>
      </c>
      <c r="Y229" s="41">
        <f>F229/'1. Väestöennuste'!H229*1000</f>
        <v>-42.701863354037265</v>
      </c>
      <c r="Z229" s="41">
        <f>G229/'1. Väestöennuste'!I229*1000</f>
        <v>276.72955974842768</v>
      </c>
      <c r="AA229" s="41">
        <f>H229/'1. Väestöennuste'!J229*1000</f>
        <v>236.70638894773109</v>
      </c>
      <c r="AB229" s="41">
        <f>I229/'1. Väestöennuste'!K229*1000</f>
        <v>368.95358642685483</v>
      </c>
      <c r="AC229" s="41">
        <f>J229/'1. Väestöennuste'!L229*1000</f>
        <v>632.67392555292281</v>
      </c>
      <c r="AD229" s="41">
        <f>K229/'1. Väestöennuste'!M229*1000</f>
        <v>197.10814417441844</v>
      </c>
      <c r="AE229" s="41">
        <f>L229/'1. Väestöennuste'!N229*1000</f>
        <v>7.6107304604910277</v>
      </c>
      <c r="AF229" s="41">
        <f>M229/'1. Väestöennuste'!O229*1000</f>
        <v>-189.25530971435072</v>
      </c>
      <c r="AG229" s="41">
        <f>N229/'1. Väestöennuste'!P229*1000</f>
        <v>-218.86289556461861</v>
      </c>
      <c r="AH229" s="41">
        <f>O229/'1. Väestöennuste'!Q229*1000</f>
        <v>-269.77991070468835</v>
      </c>
      <c r="AI229" s="41">
        <f>P229/'1. Väestöennuste'!R229*1000</f>
        <v>-152.83187512525868</v>
      </c>
      <c r="AK229" s="41">
        <f>'6. Poistot'!Z229</f>
        <v>367.92452830188677</v>
      </c>
      <c r="AL229" s="41">
        <f>'6. Poistot'!AA229</f>
        <v>308.502024291498</v>
      </c>
      <c r="AM229" s="41">
        <f>'6. Poistot'!AB229</f>
        <v>439.78285123966941</v>
      </c>
      <c r="AN229" s="41">
        <f>'6. Poistot'!AC229</f>
        <v>543.34718057921634</v>
      </c>
      <c r="AO229" s="41">
        <f>'6. Poistot'!AD229</f>
        <v>256.3229209621993</v>
      </c>
      <c r="AP229" s="41">
        <f>'6. Poistot'!AE229</f>
        <v>228.39962521294714</v>
      </c>
      <c r="AQ229" s="41">
        <f>'6. Poistot'!AF229</f>
        <v>216.41509433962264</v>
      </c>
      <c r="AR229" s="41">
        <f>'6. Poistot'!AG229</f>
        <v>189.85726643598616</v>
      </c>
      <c r="AS229" s="41">
        <f>'6. Poistot'!AH229</f>
        <v>197.86607432430301</v>
      </c>
      <c r="AT229" s="41">
        <f>'6. Poistot'!AI229</f>
        <v>205.48664045967803</v>
      </c>
      <c r="AV229" s="4">
        <f t="shared" si="63"/>
        <v>1</v>
      </c>
      <c r="AW229" s="4">
        <f t="shared" si="64"/>
        <v>0</v>
      </c>
      <c r="AX229" s="4">
        <f t="shared" si="65"/>
        <v>1</v>
      </c>
      <c r="AY229" s="4">
        <f t="shared" si="66"/>
        <v>1</v>
      </c>
      <c r="AZ229" s="4">
        <f t="shared" si="67"/>
        <v>1</v>
      </c>
      <c r="BA229" s="4">
        <f t="shared" si="68"/>
        <v>1</v>
      </c>
      <c r="BB229" s="4">
        <f t="shared" si="69"/>
        <v>1</v>
      </c>
      <c r="BC229" s="4">
        <f t="shared" si="70"/>
        <v>1</v>
      </c>
      <c r="BE229" s="405">
        <f t="shared" si="71"/>
        <v>0</v>
      </c>
      <c r="BF229" s="405">
        <f t="shared" si="72"/>
        <v>0</v>
      </c>
      <c r="BG229" s="405">
        <f t="shared" si="73"/>
        <v>0</v>
      </c>
      <c r="BH229" s="405">
        <f t="shared" si="74"/>
        <v>0</v>
      </c>
      <c r="BI229" s="405">
        <f t="shared" si="75"/>
        <v>0</v>
      </c>
      <c r="BJ229" s="405">
        <f t="shared" si="76"/>
        <v>0</v>
      </c>
      <c r="BK229" s="405">
        <f t="shared" si="77"/>
        <v>-1</v>
      </c>
      <c r="BL229" s="405">
        <f t="shared" si="78"/>
        <v>-1</v>
      </c>
      <c r="BM229" s="405">
        <f t="shared" si="79"/>
        <v>-1</v>
      </c>
      <c r="BN229" s="405">
        <f t="shared" si="79"/>
        <v>-1</v>
      </c>
    </row>
    <row r="230" spans="1:66" x14ac:dyDescent="0.2">
      <c r="A230" s="34">
        <v>698</v>
      </c>
      <c r="B230" s="88" t="s">
        <v>544</v>
      </c>
      <c r="C230" s="41" t="e">
        <f>'2. Toimintakate'!D230+'3. Verotulot'!G230+'4. Valtionosuudet'!#REF!+'5. Rahoitustuotot ja -kulut'!C230</f>
        <v>#REF!</v>
      </c>
      <c r="D230" s="41">
        <f>'2. Toimintakate'!E230+'4. Valtionosuudet'!H230+'3. Verotulot'!L230+'5. Rahoitustuotot ja -kulut'!D230</f>
        <v>19296</v>
      </c>
      <c r="E230" s="41">
        <f>'2. Toimintakate'!F230+'4. Valtionosuudet'!N230+'3. Verotulot'!Q230+'5. Rahoitustuotot ja -kulut'!E230</f>
        <v>16706</v>
      </c>
      <c r="F230" s="41">
        <f>'2. Toimintakate'!G230+'4. Valtionosuudet'!T230+'3. Verotulot'!V230+'5. Rahoitustuotot ja -kulut'!F230</f>
        <v>-6549</v>
      </c>
      <c r="G230" s="41">
        <f>'2. Toimintakate'!H230+'3. Verotulot'!AA230+'4. Valtionosuudet'!Z230+'5. Rahoitustuotot ja -kulut'!G230</f>
        <v>-12356</v>
      </c>
      <c r="H230" s="41">
        <f>Käyttökate!H230+'5. Rahoitustuotot ja -kulut'!H230</f>
        <v>29670.373838072759</v>
      </c>
      <c r="I230" s="41">
        <f>Käyttökate!I230+'5. Rahoitustuotot ja -kulut'!I230</f>
        <v>24550.834685775124</v>
      </c>
      <c r="J230" s="41">
        <f>Käyttökate!J230+'5. Rahoitustuotot ja -kulut'!J230</f>
        <v>11451.225901409351</v>
      </c>
      <c r="K230" s="41">
        <f>Käyttökate!K230+'5. Rahoitustuotot ja -kulut'!K230</f>
        <v>43822.861552494542</v>
      </c>
      <c r="L230" s="41">
        <f>Käyttökate!L230+'5. Rahoitustuotot ja -kulut'!L230</f>
        <v>16746.701063566437</v>
      </c>
      <c r="M230" s="41">
        <f>Käyttökate!M230+'5. Rahoitustuotot ja -kulut'!M230</f>
        <v>6128.4132830271119</v>
      </c>
      <c r="N230" s="41">
        <f>Käyttökate!N230+'5. Rahoitustuotot ja -kulut'!N230</f>
        <v>9494.6940545524412</v>
      </c>
      <c r="O230" s="41">
        <f>Käyttökate!O230+'5. Rahoitustuotot ja -kulut'!O230</f>
        <v>10784.525539320137</v>
      </c>
      <c r="P230" s="41">
        <f>Käyttökate!P230+'5. Rahoitustuotot ja -kulut'!P230</f>
        <v>15136.572850405941</v>
      </c>
      <c r="T230" s="34">
        <v>698</v>
      </c>
      <c r="U230" s="88" t="s">
        <v>544</v>
      </c>
      <c r="V230" s="41" t="e">
        <f>C230/'1. Väestöennuste'!E230*1000</f>
        <v>#REF!</v>
      </c>
      <c r="W230" s="41">
        <f>D230/'1. Väestöennuste'!F230*1000</f>
        <v>310.07054361973934</v>
      </c>
      <c r="X230" s="41">
        <f>E230/'1. Väestöennuste'!G230*1000</f>
        <v>267.63857737904516</v>
      </c>
      <c r="Y230" s="41">
        <f>F230/'1. Väestöennuste'!H230*1000</f>
        <v>-104.08124344426432</v>
      </c>
      <c r="Z230" s="41">
        <f>G230/'1. Väestöennuste'!I230*1000</f>
        <v>-195.99631991370833</v>
      </c>
      <c r="AA230" s="41">
        <f>H230/'1. Väestöennuste'!J230*1000</f>
        <v>467.04404102242722</v>
      </c>
      <c r="AB230" s="41">
        <f>I230/'1. Väestöennuste'!K230*1000</f>
        <v>382.53092374221131</v>
      </c>
      <c r="AC230" s="41">
        <f>J230/'1. Väestöennuste'!L230*1000</f>
        <v>177.44209965769505</v>
      </c>
      <c r="AD230" s="41">
        <f>K230/'1. Väestöennuste'!M230*1000</f>
        <v>671.24439470169023</v>
      </c>
      <c r="AE230" s="41">
        <f>L230/'1. Väestöennuste'!N230*1000</f>
        <v>257.82798428966231</v>
      </c>
      <c r="AF230" s="41">
        <f>M230/'1. Väestöennuste'!O230*1000</f>
        <v>93.917724595453265</v>
      </c>
      <c r="AG230" s="41">
        <f>N230/'1. Väestöennuste'!P230*1000</f>
        <v>144.87311261485613</v>
      </c>
      <c r="AH230" s="41">
        <f>O230/'1. Väestöennuste'!Q230*1000</f>
        <v>163.89358285948964</v>
      </c>
      <c r="AI230" s="41">
        <f>P230/'1. Väestöennuste'!R230*1000</f>
        <v>229.18922007155746</v>
      </c>
      <c r="AK230" s="41">
        <f>'6. Poistot'!Z230</f>
        <v>304.78093969099967</v>
      </c>
      <c r="AL230" s="41">
        <f>'6. Poistot'!AA230</f>
        <v>257.4297947361793</v>
      </c>
      <c r="AM230" s="41">
        <f>'6. Poistot'!AB230</f>
        <v>234.49444016827672</v>
      </c>
      <c r="AN230" s="41">
        <f>'6. Poistot'!AC230</f>
        <v>227.3311390718215</v>
      </c>
      <c r="AO230" s="41">
        <f>'6. Poistot'!AD230</f>
        <v>309.76070321355269</v>
      </c>
      <c r="AP230" s="41">
        <f>'6. Poistot'!AE230</f>
        <v>225.60928671500932</v>
      </c>
      <c r="AQ230" s="41">
        <f>'6. Poistot'!AF230</f>
        <v>217.84439029623158</v>
      </c>
      <c r="AR230" s="41">
        <f>'6. Poistot'!AG230</f>
        <v>266.53239342061096</v>
      </c>
      <c r="AS230" s="41">
        <f>'6. Poistot'!AH230</f>
        <v>274.02857720818395</v>
      </c>
      <c r="AT230" s="41">
        <f>'6. Poistot'!AI230</f>
        <v>281.558610546088</v>
      </c>
      <c r="AV230" s="4">
        <f t="shared" si="63"/>
        <v>0</v>
      </c>
      <c r="AW230" s="4">
        <f t="shared" si="64"/>
        <v>1</v>
      </c>
      <c r="AX230" s="4">
        <f t="shared" si="65"/>
        <v>0</v>
      </c>
      <c r="AY230" s="4">
        <f t="shared" si="66"/>
        <v>0</v>
      </c>
      <c r="AZ230" s="4">
        <f t="shared" si="67"/>
        <v>1</v>
      </c>
      <c r="BA230" s="4">
        <f t="shared" si="68"/>
        <v>1</v>
      </c>
      <c r="BB230" s="4">
        <f t="shared" si="69"/>
        <v>1</v>
      </c>
      <c r="BC230" s="4">
        <f t="shared" si="70"/>
        <v>1</v>
      </c>
      <c r="BE230" s="405">
        <f t="shared" si="71"/>
        <v>-1</v>
      </c>
      <c r="BF230" s="405">
        <f t="shared" si="72"/>
        <v>0</v>
      </c>
      <c r="BG230" s="405">
        <f t="shared" si="73"/>
        <v>0</v>
      </c>
      <c r="BH230" s="405">
        <f t="shared" si="74"/>
        <v>0</v>
      </c>
      <c r="BI230" s="405">
        <f t="shared" si="75"/>
        <v>0</v>
      </c>
      <c r="BJ230" s="405">
        <f t="shared" si="76"/>
        <v>0</v>
      </c>
      <c r="BK230" s="405">
        <f t="shared" si="77"/>
        <v>0</v>
      </c>
      <c r="BL230" s="405">
        <f t="shared" si="78"/>
        <v>0</v>
      </c>
      <c r="BM230" s="405">
        <f t="shared" si="79"/>
        <v>0</v>
      </c>
      <c r="BN230" s="405">
        <f t="shared" si="79"/>
        <v>0</v>
      </c>
    </row>
    <row r="231" spans="1:66" x14ac:dyDescent="0.2">
      <c r="A231" s="34">
        <v>700</v>
      </c>
      <c r="B231" s="88" t="s">
        <v>545</v>
      </c>
      <c r="C231" s="41" t="e">
        <f>'2. Toimintakate'!D231+'3. Verotulot'!G231+'4. Valtionosuudet'!#REF!+'5. Rahoitustuotot ja -kulut'!C231</f>
        <v>#REF!</v>
      </c>
      <c r="D231" s="41">
        <f>'2. Toimintakate'!E231+'4. Valtionosuudet'!H231+'3. Verotulot'!L231+'5. Rahoitustuotot ja -kulut'!D231</f>
        <v>2388</v>
      </c>
      <c r="E231" s="41">
        <f>'2. Toimintakate'!F231+'4. Valtionosuudet'!N231+'3. Verotulot'!Q231+'5. Rahoitustuotot ja -kulut'!E231</f>
        <v>2306</v>
      </c>
      <c r="F231" s="41">
        <f>'2. Toimintakate'!G231+'4. Valtionosuudet'!T231+'3. Verotulot'!V231+'5. Rahoitustuotot ja -kulut'!F231</f>
        <v>2080</v>
      </c>
      <c r="G231" s="41">
        <f>'2. Toimintakate'!H231+'3. Verotulot'!AA231+'4. Valtionosuudet'!Z231+'5. Rahoitustuotot ja -kulut'!G231</f>
        <v>2813</v>
      </c>
      <c r="H231" s="41">
        <f>Käyttökate!H231+'5. Rahoitustuotot ja -kulut'!H231</f>
        <v>3866.776653564666</v>
      </c>
      <c r="I231" s="41">
        <f>Käyttökate!I231+'5. Rahoitustuotot ja -kulut'!I231</f>
        <v>3260.5057593239681</v>
      </c>
      <c r="J231" s="41">
        <f>Käyttökate!J231+'5. Rahoitustuotot ja -kulut'!J231</f>
        <v>1768.5687587352409</v>
      </c>
      <c r="K231" s="41">
        <f>Käyttökate!K231+'5. Rahoitustuotot ja -kulut'!K231</f>
        <v>2210.5188004848978</v>
      </c>
      <c r="L231" s="41">
        <f>Käyttökate!L231+'5. Rahoitustuotot ja -kulut'!L231</f>
        <v>1958.5801953458533</v>
      </c>
      <c r="M231" s="41">
        <f>Käyttökate!M231+'5. Rahoitustuotot ja -kulut'!M231</f>
        <v>1389.5916648630762</v>
      </c>
      <c r="N231" s="41">
        <f>Käyttökate!N231+'5. Rahoitustuotot ja -kulut'!N231</f>
        <v>1101.1944689794855</v>
      </c>
      <c r="O231" s="41">
        <f>Käyttökate!O231+'5. Rahoitustuotot ja -kulut'!O231</f>
        <v>791.28647843647605</v>
      </c>
      <c r="P231" s="41">
        <f>Käyttökate!P231+'5. Rahoitustuotot ja -kulut'!P231</f>
        <v>1192.124642910014</v>
      </c>
      <c r="T231" s="34">
        <v>700</v>
      </c>
      <c r="U231" s="88" t="s">
        <v>545</v>
      </c>
      <c r="V231" s="41" t="e">
        <f>C231/'1. Väestöennuste'!E231*1000</f>
        <v>#REF!</v>
      </c>
      <c r="W231" s="41">
        <f>D231/'1. Väestöennuste'!F231*1000</f>
        <v>455.2907530981887</v>
      </c>
      <c r="X231" s="41">
        <f>E231/'1. Väestöennuste'!G231*1000</f>
        <v>441.93177462629359</v>
      </c>
      <c r="Y231" s="41">
        <f>F231/'1. Väestöennuste'!H231*1000</f>
        <v>407.9231221808198</v>
      </c>
      <c r="Z231" s="41">
        <f>G231/'1. Väestöennuste'!I231*1000</f>
        <v>563.27593111734075</v>
      </c>
      <c r="AA231" s="41">
        <f>H231/'1. Väestöennuste'!J231*1000</f>
        <v>785.61086013097645</v>
      </c>
      <c r="AB231" s="41">
        <f>I231/'1. Väestöennuste'!K231*1000</f>
        <v>663.64863816893308</v>
      </c>
      <c r="AC231" s="41">
        <f>J231/'1. Väestöennuste'!L231*1000</f>
        <v>365.25583617002081</v>
      </c>
      <c r="AD231" s="41">
        <f>K231/'1. Väestöennuste'!M231*1000</f>
        <v>464.58991182952877</v>
      </c>
      <c r="AE231" s="41">
        <f>L231/'1. Väestöennuste'!N231*1000</f>
        <v>422.28982219617359</v>
      </c>
      <c r="AF231" s="41">
        <f>M231/'1. Väestöennuste'!O231*1000</f>
        <v>303.80228790185311</v>
      </c>
      <c r="AG231" s="41">
        <f>N231/'1. Väestöennuste'!P231*1000</f>
        <v>244.05905784119801</v>
      </c>
      <c r="AH231" s="41">
        <f>O231/'1. Väestöennuste'!Q231*1000</f>
        <v>177.77723622477558</v>
      </c>
      <c r="AI231" s="41">
        <f>P231/'1. Väestöennuste'!R231*1000</f>
        <v>271.61645999316789</v>
      </c>
      <c r="AK231" s="41">
        <f>'6. Poistot'!Z231</f>
        <v>410.49259110933116</v>
      </c>
      <c r="AL231" s="41">
        <f>'6. Poistot'!AA231</f>
        <v>378.50467289719626</v>
      </c>
      <c r="AM231" s="41">
        <f>'6. Poistot'!AB231</f>
        <v>370.175646244657</v>
      </c>
      <c r="AN231" s="41">
        <f>'6. Poistot'!AC231</f>
        <v>381.06723874432055</v>
      </c>
      <c r="AO231" s="41">
        <f>'6. Poistot'!AD231</f>
        <v>798.52596679276996</v>
      </c>
      <c r="AP231" s="41">
        <f>'6. Poistot'!AE231</f>
        <v>376.03643811987922</v>
      </c>
      <c r="AQ231" s="41">
        <f>'6. Poistot'!AF231</f>
        <v>401.21403585483165</v>
      </c>
      <c r="AR231" s="41">
        <f>'6. Poistot'!AG231</f>
        <v>471.14627659574467</v>
      </c>
      <c r="AS231" s="41">
        <f>'6. Poistot'!AH231</f>
        <v>493.01374388352508</v>
      </c>
      <c r="AT231" s="41">
        <f>'6. Poistot'!AI231</f>
        <v>515.60636774917759</v>
      </c>
      <c r="AV231" s="4">
        <f t="shared" si="63"/>
        <v>0</v>
      </c>
      <c r="AW231" s="4">
        <f t="shared" si="64"/>
        <v>1</v>
      </c>
      <c r="AX231" s="4">
        <f t="shared" si="65"/>
        <v>1</v>
      </c>
      <c r="AY231" s="4">
        <f t="shared" si="66"/>
        <v>0</v>
      </c>
      <c r="AZ231" s="4">
        <f t="shared" si="67"/>
        <v>1</v>
      </c>
      <c r="BA231" s="4">
        <f t="shared" si="68"/>
        <v>1</v>
      </c>
      <c r="BB231" s="4">
        <f t="shared" si="69"/>
        <v>1</v>
      </c>
      <c r="BC231" s="4">
        <f t="shared" si="70"/>
        <v>1</v>
      </c>
      <c r="BE231" s="405">
        <f t="shared" si="71"/>
        <v>0</v>
      </c>
      <c r="BF231" s="405">
        <f t="shared" si="72"/>
        <v>0</v>
      </c>
      <c r="BG231" s="405">
        <f t="shared" si="73"/>
        <v>0</v>
      </c>
      <c r="BH231" s="405">
        <f t="shared" si="74"/>
        <v>0</v>
      </c>
      <c r="BI231" s="405">
        <f t="shared" si="75"/>
        <v>0</v>
      </c>
      <c r="BJ231" s="405">
        <f t="shared" si="76"/>
        <v>0</v>
      </c>
      <c r="BK231" s="405">
        <f t="shared" si="77"/>
        <v>0</v>
      </c>
      <c r="BL231" s="405">
        <f t="shared" si="78"/>
        <v>0</v>
      </c>
      <c r="BM231" s="405">
        <f t="shared" si="79"/>
        <v>0</v>
      </c>
      <c r="BN231" s="405">
        <f t="shared" si="79"/>
        <v>0</v>
      </c>
    </row>
    <row r="232" spans="1:66" x14ac:dyDescent="0.2">
      <c r="A232" s="34">
        <v>702</v>
      </c>
      <c r="B232" s="88" t="s">
        <v>546</v>
      </c>
      <c r="C232" s="41" t="e">
        <f>'2. Toimintakate'!D232+'3. Verotulot'!G232+'4. Valtionosuudet'!#REF!+'5. Rahoitustuotot ja -kulut'!C232</f>
        <v>#REF!</v>
      </c>
      <c r="D232" s="41">
        <f>'2. Toimintakate'!E232+'4. Valtionosuudet'!H232+'3. Verotulot'!L232+'5. Rahoitustuotot ja -kulut'!D232</f>
        <v>3061</v>
      </c>
      <c r="E232" s="41">
        <f>'2. Toimintakate'!F232+'4. Valtionosuudet'!N232+'3. Verotulot'!Q232+'5. Rahoitustuotot ja -kulut'!E232</f>
        <v>2842</v>
      </c>
      <c r="F232" s="41">
        <f>'2. Toimintakate'!G232+'4. Valtionosuudet'!T232+'3. Verotulot'!V232+'5. Rahoitustuotot ja -kulut'!F232</f>
        <v>1393</v>
      </c>
      <c r="G232" s="41">
        <f>'2. Toimintakate'!H232+'3. Verotulot'!AA232+'4. Valtionosuudet'!Z232+'5. Rahoitustuotot ja -kulut'!G232</f>
        <v>399</v>
      </c>
      <c r="H232" s="41">
        <f>Käyttökate!H232+'5. Rahoitustuotot ja -kulut'!H232</f>
        <v>3417.223499187663</v>
      </c>
      <c r="I232" s="41">
        <f>Käyttökate!I232+'5. Rahoitustuotot ja -kulut'!I232</f>
        <v>357.91500345922327</v>
      </c>
      <c r="J232" s="41">
        <f>Käyttökate!J232+'5. Rahoitustuotot ja -kulut'!J232</f>
        <v>1071.1237195450667</v>
      </c>
      <c r="K232" s="41">
        <f>Käyttökate!K232+'5. Rahoitustuotot ja -kulut'!K232</f>
        <v>1731.0989543041121</v>
      </c>
      <c r="L232" s="41">
        <f>Käyttökate!L232+'5. Rahoitustuotot ja -kulut'!L232</f>
        <v>1337.0533455333143</v>
      </c>
      <c r="M232" s="41">
        <f>Käyttökate!M232+'5. Rahoitustuotot ja -kulut'!M232</f>
        <v>730.08870587031834</v>
      </c>
      <c r="N232" s="41">
        <f>Käyttökate!N232+'5. Rahoitustuotot ja -kulut'!N232</f>
        <v>420.72507654050332</v>
      </c>
      <c r="O232" s="41">
        <f>Käyttökate!O232+'5. Rahoitustuotot ja -kulut'!O232</f>
        <v>50.242190942399873</v>
      </c>
      <c r="P232" s="41">
        <f>Käyttökate!P232+'5. Rahoitustuotot ja -kulut'!P232</f>
        <v>466.17164191722179</v>
      </c>
      <c r="T232" s="34">
        <v>702</v>
      </c>
      <c r="U232" s="88" t="s">
        <v>546</v>
      </c>
      <c r="V232" s="41" t="e">
        <f>C232/'1. Väestöennuste'!E232*1000</f>
        <v>#REF!</v>
      </c>
      <c r="W232" s="41">
        <f>D232/'1. Väestöennuste'!F232*1000</f>
        <v>670.53669222343922</v>
      </c>
      <c r="X232" s="41">
        <f>E232/'1. Väestöennuste'!G232*1000</f>
        <v>637.36263736263732</v>
      </c>
      <c r="Y232" s="41">
        <f>F232/'1. Väestöennuste'!H232*1000</f>
        <v>316.7348794906776</v>
      </c>
      <c r="Z232" s="41">
        <f>G232/'1. Väestöennuste'!I232*1000</f>
        <v>93.159000700443613</v>
      </c>
      <c r="AA232" s="41">
        <f>H232/'1. Väestöennuste'!J232*1000</f>
        <v>810.72918130193671</v>
      </c>
      <c r="AB232" s="41">
        <f>I232/'1. Väestöennuste'!K232*1000</f>
        <v>86.140795056371431</v>
      </c>
      <c r="AC232" s="41">
        <f>J232/'1. Väestöennuste'!L232*1000</f>
        <v>260.36065132354565</v>
      </c>
      <c r="AD232" s="41">
        <f>K232/'1. Väestöennuste'!M232*1000</f>
        <v>419.76211307083224</v>
      </c>
      <c r="AE232" s="41">
        <f>L232/'1. Väestöennuste'!N232*1000</f>
        <v>342.57067525834339</v>
      </c>
      <c r="AF232" s="41">
        <f>M232/'1. Väestöennuste'!O232*1000</f>
        <v>190.02829408389337</v>
      </c>
      <c r="AG232" s="41">
        <f>N232/'1. Väestöennuste'!P232*1000</f>
        <v>111.06786603497976</v>
      </c>
      <c r="AH232" s="41">
        <f>O232/'1. Väestöennuste'!Q232*1000</f>
        <v>13.440928556019227</v>
      </c>
      <c r="AI232" s="41">
        <f>P232/'1. Väestöennuste'!R232*1000</f>
        <v>126.26534179773071</v>
      </c>
      <c r="AK232" s="41">
        <f>'6. Poistot'!Z232</f>
        <v>286.2479570394583</v>
      </c>
      <c r="AL232" s="41">
        <f>'6. Poistot'!AA232</f>
        <v>302.96559905100827</v>
      </c>
      <c r="AM232" s="41">
        <f>'6. Poistot'!AB232</f>
        <v>330.34342719614915</v>
      </c>
      <c r="AN232" s="41">
        <f>'6. Poistot'!AC232</f>
        <v>323.17949927078263</v>
      </c>
      <c r="AO232" s="41">
        <f>'6. Poistot'!AD232</f>
        <v>322.79513094083416</v>
      </c>
      <c r="AP232" s="41">
        <f>'6. Poistot'!AE232</f>
        <v>359.97950294645142</v>
      </c>
      <c r="AQ232" s="41">
        <f>'6. Poistot'!AF232</f>
        <v>390.42165538781887</v>
      </c>
      <c r="AR232" s="41">
        <f>'6. Poistot'!AG232</f>
        <v>395.98732840549098</v>
      </c>
      <c r="AS232" s="41">
        <f>'6. Poistot'!AH232</f>
        <v>414.2320788890587</v>
      </c>
      <c r="AT232" s="41">
        <f>'6. Poistot'!AI232</f>
        <v>432.50244360092159</v>
      </c>
      <c r="AV232" s="4">
        <f t="shared" si="63"/>
        <v>1</v>
      </c>
      <c r="AW232" s="4">
        <f t="shared" si="64"/>
        <v>1</v>
      </c>
      <c r="AX232" s="4">
        <f t="shared" si="65"/>
        <v>0</v>
      </c>
      <c r="AY232" s="4">
        <f t="shared" si="66"/>
        <v>1</v>
      </c>
      <c r="AZ232" s="4">
        <f t="shared" si="67"/>
        <v>1</v>
      </c>
      <c r="BA232" s="4">
        <f t="shared" si="68"/>
        <v>1</v>
      </c>
      <c r="BB232" s="4">
        <f t="shared" si="69"/>
        <v>1</v>
      </c>
      <c r="BC232" s="4">
        <f t="shared" si="70"/>
        <v>1</v>
      </c>
      <c r="BE232" s="405">
        <f t="shared" si="71"/>
        <v>0</v>
      </c>
      <c r="BF232" s="405">
        <f t="shared" si="72"/>
        <v>0</v>
      </c>
      <c r="BG232" s="405">
        <f t="shared" si="73"/>
        <v>0</v>
      </c>
      <c r="BH232" s="405">
        <f t="shared" si="74"/>
        <v>0</v>
      </c>
      <c r="BI232" s="405">
        <f t="shared" si="75"/>
        <v>0</v>
      </c>
      <c r="BJ232" s="405">
        <f t="shared" si="76"/>
        <v>0</v>
      </c>
      <c r="BK232" s="405">
        <f t="shared" si="77"/>
        <v>0</v>
      </c>
      <c r="BL232" s="405">
        <f t="shared" si="78"/>
        <v>0</v>
      </c>
      <c r="BM232" s="405">
        <f t="shared" si="79"/>
        <v>0</v>
      </c>
      <c r="BN232" s="405">
        <f t="shared" si="79"/>
        <v>0</v>
      </c>
    </row>
    <row r="233" spans="1:66" x14ac:dyDescent="0.2">
      <c r="A233" s="34">
        <v>704</v>
      </c>
      <c r="B233" s="88" t="s">
        <v>547</v>
      </c>
      <c r="C233" s="41" t="e">
        <f>'2. Toimintakate'!D233+'3. Verotulot'!G233+'4. Valtionosuudet'!#REF!+'5. Rahoitustuotot ja -kulut'!C233</f>
        <v>#REF!</v>
      </c>
      <c r="D233" s="41">
        <f>'2. Toimintakate'!E233+'4. Valtionosuudet'!H233+'3. Verotulot'!L233+'5. Rahoitustuotot ja -kulut'!D233</f>
        <v>3782</v>
      </c>
      <c r="E233" s="41">
        <f>'2. Toimintakate'!F233+'4. Valtionosuudet'!N233+'3. Verotulot'!Q233+'5. Rahoitustuotot ja -kulut'!E233</f>
        <v>4286</v>
      </c>
      <c r="F233" s="41">
        <f>'2. Toimintakate'!G233+'4. Valtionosuudet'!T233+'3. Verotulot'!V233+'5. Rahoitustuotot ja -kulut'!F233</f>
        <v>2536</v>
      </c>
      <c r="G233" s="41">
        <f>'2. Toimintakate'!H233+'3. Verotulot'!AA233+'4. Valtionosuudet'!Z233+'5. Rahoitustuotot ja -kulut'!G233</f>
        <v>-28</v>
      </c>
      <c r="H233" s="41">
        <f>Käyttökate!H233+'5. Rahoitustuotot ja -kulut'!H233</f>
        <v>3981.9192252957127</v>
      </c>
      <c r="I233" s="41">
        <f>Käyttökate!I233+'5. Rahoitustuotot ja -kulut'!I233</f>
        <v>2483.4977367945407</v>
      </c>
      <c r="J233" s="41">
        <f>Käyttökate!J233+'5. Rahoitustuotot ja -kulut'!J233</f>
        <v>2177.3300640138559</v>
      </c>
      <c r="K233" s="41">
        <f>Käyttökate!K233+'5. Rahoitustuotot ja -kulut'!K233</f>
        <v>2301.0021101922061</v>
      </c>
      <c r="L233" s="41">
        <f>Käyttökate!L233+'5. Rahoitustuotot ja -kulut'!L233</f>
        <v>2145.4666377018575</v>
      </c>
      <c r="M233" s="41">
        <f>Käyttökate!M233+'5. Rahoitustuotot ja -kulut'!M233</f>
        <v>274.04029392620669</v>
      </c>
      <c r="N233" s="41">
        <f>Käyttökate!N233+'5. Rahoitustuotot ja -kulut'!N233</f>
        <v>923.24697755318448</v>
      </c>
      <c r="O233" s="41">
        <f>Käyttökate!O233+'5. Rahoitustuotot ja -kulut'!O233</f>
        <v>982.92731373663696</v>
      </c>
      <c r="P233" s="41">
        <f>Käyttökate!P233+'5. Rahoitustuotot ja -kulut'!P233</f>
        <v>1265.107176791724</v>
      </c>
      <c r="T233" s="34">
        <v>704</v>
      </c>
      <c r="U233" s="88" t="s">
        <v>547</v>
      </c>
      <c r="V233" s="41" t="e">
        <f>C233/'1. Väestöennuste'!E233*1000</f>
        <v>#REF!</v>
      </c>
      <c r="W233" s="41">
        <f>D233/'1. Väestöennuste'!F233*1000</f>
        <v>616.26201727228295</v>
      </c>
      <c r="X233" s="41">
        <f>E233/'1. Väestöennuste'!G233*1000</f>
        <v>684.33657991377936</v>
      </c>
      <c r="Y233" s="41">
        <f>F233/'1. Väestöennuste'!H233*1000</f>
        <v>405.69508878579433</v>
      </c>
      <c r="Z233" s="41">
        <f>G233/'1. Väestöennuste'!I233*1000</f>
        <v>-4.425478109688636</v>
      </c>
      <c r="AA233" s="41">
        <f>H233/'1. Väestöennuste'!J233*1000</f>
        <v>626.67913523697086</v>
      </c>
      <c r="AB233" s="41">
        <f>I233/'1. Väestöennuste'!K233*1000</f>
        <v>389.3239907186927</v>
      </c>
      <c r="AC233" s="41">
        <f>J233/'1. Väestöennuste'!L233*1000</f>
        <v>338.72589670408462</v>
      </c>
      <c r="AD233" s="41">
        <f>K233/'1. Väestöennuste'!M233*1000</f>
        <v>357.52052675453791</v>
      </c>
      <c r="AE233" s="41">
        <f>L233/'1. Väestöennuste'!N233*1000</f>
        <v>326.30671295845741</v>
      </c>
      <c r="AF233" s="41">
        <f>M233/'1. Väestöennuste'!O233*1000</f>
        <v>41.302229679910575</v>
      </c>
      <c r="AG233" s="41">
        <f>N233/'1. Väestöennuste'!P233*1000</f>
        <v>137.98340719670969</v>
      </c>
      <c r="AH233" s="41">
        <f>O233/'1. Väestöennuste'!Q233*1000</f>
        <v>145.68360956523446</v>
      </c>
      <c r="AI233" s="41">
        <f>P233/'1. Väestöennuste'!R233*1000</f>
        <v>186.12728803762306</v>
      </c>
      <c r="AK233" s="41">
        <f>'6. Poistot'!Z233</f>
        <v>266.63505610874034</v>
      </c>
      <c r="AL233" s="41">
        <f>'6. Poistot'!AA233</f>
        <v>269.75133774000631</v>
      </c>
      <c r="AM233" s="41">
        <f>'6. Poistot'!AB233</f>
        <v>262.62959711553538</v>
      </c>
      <c r="AN233" s="41">
        <f>'6. Poistot'!AC233</f>
        <v>274.63259023024273</v>
      </c>
      <c r="AO233" s="41">
        <f>'6. Poistot'!AD233</f>
        <v>359.09549409571167</v>
      </c>
      <c r="AP233" s="41">
        <f>'6. Poistot'!AE233</f>
        <v>336.95193916349808</v>
      </c>
      <c r="AQ233" s="41">
        <f>'6. Poistot'!AF233</f>
        <v>338.24114544084398</v>
      </c>
      <c r="AR233" s="41">
        <f>'6. Poistot'!AG233</f>
        <v>360.81751606635783</v>
      </c>
      <c r="AS233" s="41">
        <f>'6. Poistot'!AH233</f>
        <v>369.36836630299393</v>
      </c>
      <c r="AT233" s="41">
        <f>'6. Poistot'!AI233</f>
        <v>378.11192215574499</v>
      </c>
      <c r="AV233" s="4">
        <f t="shared" si="63"/>
        <v>0</v>
      </c>
      <c r="AW233" s="4">
        <f t="shared" si="64"/>
        <v>0</v>
      </c>
      <c r="AX233" s="4">
        <f t="shared" si="65"/>
        <v>1</v>
      </c>
      <c r="AY233" s="4">
        <f t="shared" si="66"/>
        <v>1</v>
      </c>
      <c r="AZ233" s="4">
        <f t="shared" si="67"/>
        <v>1</v>
      </c>
      <c r="BA233" s="4">
        <f t="shared" si="68"/>
        <v>1</v>
      </c>
      <c r="BB233" s="4">
        <f t="shared" si="69"/>
        <v>1</v>
      </c>
      <c r="BC233" s="4">
        <f t="shared" si="70"/>
        <v>1</v>
      </c>
      <c r="BE233" s="405">
        <f t="shared" si="71"/>
        <v>-1</v>
      </c>
      <c r="BF233" s="405">
        <f t="shared" si="72"/>
        <v>0</v>
      </c>
      <c r="BG233" s="405">
        <f t="shared" si="73"/>
        <v>0</v>
      </c>
      <c r="BH233" s="405">
        <f t="shared" si="74"/>
        <v>0</v>
      </c>
      <c r="BI233" s="405">
        <f t="shared" si="75"/>
        <v>0</v>
      </c>
      <c r="BJ233" s="405">
        <f t="shared" si="76"/>
        <v>0</v>
      </c>
      <c r="BK233" s="405">
        <f t="shared" si="77"/>
        <v>0</v>
      </c>
      <c r="BL233" s="405">
        <f t="shared" si="78"/>
        <v>0</v>
      </c>
      <c r="BM233" s="405">
        <f t="shared" si="79"/>
        <v>0</v>
      </c>
      <c r="BN233" s="405">
        <f t="shared" si="79"/>
        <v>0</v>
      </c>
    </row>
    <row r="234" spans="1:66" x14ac:dyDescent="0.2">
      <c r="A234" s="34">
        <v>707</v>
      </c>
      <c r="B234" s="88" t="s">
        <v>548</v>
      </c>
      <c r="C234" s="41" t="e">
        <f>'2. Toimintakate'!D234+'3. Verotulot'!G234+'4. Valtionosuudet'!#REF!+'5. Rahoitustuotot ja -kulut'!C234</f>
        <v>#REF!</v>
      </c>
      <c r="D234" s="41">
        <f>'2. Toimintakate'!E234+'4. Valtionosuudet'!H234+'3. Verotulot'!L234+'5. Rahoitustuotot ja -kulut'!D234</f>
        <v>1100</v>
      </c>
      <c r="E234" s="41">
        <f>'2. Toimintakate'!F234+'4. Valtionosuudet'!N234+'3. Verotulot'!Q234+'5. Rahoitustuotot ja -kulut'!E234</f>
        <v>1505</v>
      </c>
      <c r="F234" s="41">
        <f>'2. Toimintakate'!G234+'4. Valtionosuudet'!T234+'3. Verotulot'!V234+'5. Rahoitustuotot ja -kulut'!F234</f>
        <v>480</v>
      </c>
      <c r="G234" s="41">
        <f>'2. Toimintakate'!H234+'3. Verotulot'!AA234+'4. Valtionosuudet'!Z234+'5. Rahoitustuotot ja -kulut'!G234</f>
        <v>-178</v>
      </c>
      <c r="H234" s="41">
        <f>Käyttökate!H234+'5. Rahoitustuotot ja -kulut'!H234</f>
        <v>-1175.8006569229237</v>
      </c>
      <c r="I234" s="41">
        <f>Käyttökate!I234+'5. Rahoitustuotot ja -kulut'!I234</f>
        <v>284.76862385869509</v>
      </c>
      <c r="J234" s="41">
        <f>Käyttökate!J234+'5. Rahoitustuotot ja -kulut'!J234</f>
        <v>1906.93537263844</v>
      </c>
      <c r="K234" s="41">
        <f>Käyttökate!K234+'5. Rahoitustuotot ja -kulut'!K234</f>
        <v>930.3951954705235</v>
      </c>
      <c r="L234" s="41">
        <f>Käyttökate!L234+'5. Rahoitustuotot ja -kulut'!L234</f>
        <v>767.79051233886048</v>
      </c>
      <c r="M234" s="41">
        <f>Käyttökate!M234+'5. Rahoitustuotot ja -kulut'!M234</f>
        <v>-585.12375175077398</v>
      </c>
      <c r="N234" s="41">
        <f>Käyttökate!N234+'5. Rahoitustuotot ja -kulut'!N234</f>
        <v>-680.58182139670191</v>
      </c>
      <c r="O234" s="41">
        <f>Käyttökate!O234+'5. Rahoitustuotot ja -kulut'!O234</f>
        <v>-811.29752832584597</v>
      </c>
      <c r="P234" s="41">
        <f>Käyttökate!P234+'5. Rahoitustuotot ja -kulut'!P234</f>
        <v>-541.64481981327117</v>
      </c>
      <c r="T234" s="34">
        <v>707</v>
      </c>
      <c r="U234" s="88" t="s">
        <v>548</v>
      </c>
      <c r="V234" s="41" t="e">
        <f>C234/'1. Väestöennuste'!E234*1000</f>
        <v>#REF!</v>
      </c>
      <c r="W234" s="41">
        <f>D234/'1. Väestöennuste'!F234*1000</f>
        <v>485.00881834215164</v>
      </c>
      <c r="X234" s="41">
        <f>E234/'1. Väestöennuste'!G234*1000</f>
        <v>671.875</v>
      </c>
      <c r="Y234" s="41">
        <f>F234/'1. Väestöennuste'!H234*1000</f>
        <v>220.08253094910592</v>
      </c>
      <c r="Z234" s="41">
        <f>G234/'1. Väestöennuste'!I234*1000</f>
        <v>-83.72530573847601</v>
      </c>
      <c r="AA234" s="41">
        <f>H234/'1. Väestöennuste'!J234*1000</f>
        <v>-569.11938863645878</v>
      </c>
      <c r="AB234" s="41">
        <f>I234/'1. Väestöennuste'!K234*1000</f>
        <v>140.14203930053893</v>
      </c>
      <c r="AC234" s="41">
        <f>J234/'1. Väestöennuste'!L234*1000</f>
        <v>972.92621052981633</v>
      </c>
      <c r="AD234" s="41">
        <f>K234/'1. Väestöennuste'!M234*1000</f>
        <v>489.16676943770955</v>
      </c>
      <c r="AE234" s="41">
        <f>L234/'1. Väestöennuste'!N234*1000</f>
        <v>402.82818066047241</v>
      </c>
      <c r="AF234" s="41">
        <f>M234/'1. Väestöennuste'!O234*1000</f>
        <v>-311.8996544513721</v>
      </c>
      <c r="AG234" s="41">
        <f>N234/'1. Väestöennuste'!P234*1000</f>
        <v>-368.47960010649803</v>
      </c>
      <c r="AH234" s="41">
        <f>O234/'1. Väestöennuste'!Q234*1000</f>
        <v>-446.01293475857398</v>
      </c>
      <c r="AI234" s="41">
        <f>P234/'1. Väestöennuste'!R234*1000</f>
        <v>-302.08857769842228</v>
      </c>
      <c r="AK234" s="41">
        <f>'6. Poistot'!Z234</f>
        <v>187.67638758231419</v>
      </c>
      <c r="AL234" s="41">
        <f>'6. Poistot'!AA234</f>
        <v>197.48305905130687</v>
      </c>
      <c r="AM234" s="41">
        <f>'6. Poistot'!AB234</f>
        <v>152.07399114173228</v>
      </c>
      <c r="AN234" s="41">
        <f>'6. Poistot'!AC234</f>
        <v>152.851137755102</v>
      </c>
      <c r="AO234" s="41">
        <f>'6. Poistot'!AD234</f>
        <v>152.98240799158779</v>
      </c>
      <c r="AP234" s="41">
        <f>'6. Poistot'!AE234</f>
        <v>149.30745015739768</v>
      </c>
      <c r="AQ234" s="41">
        <f>'6. Poistot'!AF234</f>
        <v>151.69509594882729</v>
      </c>
      <c r="AR234" s="41">
        <f>'6. Poistot'!AG234</f>
        <v>154.07688142934487</v>
      </c>
      <c r="AS234" s="41">
        <f>'6. Poistot'!AH234</f>
        <v>161.49662188319888</v>
      </c>
      <c r="AT234" s="41">
        <f>'6. Poistot'!AI234</f>
        <v>168.95968232631208</v>
      </c>
      <c r="AV234" s="4">
        <f t="shared" si="63"/>
        <v>1</v>
      </c>
      <c r="AW234" s="4">
        <f t="shared" si="64"/>
        <v>0</v>
      </c>
      <c r="AX234" s="4">
        <f t="shared" si="65"/>
        <v>0</v>
      </c>
      <c r="AY234" s="4">
        <f t="shared" si="66"/>
        <v>0</v>
      </c>
      <c r="AZ234" s="4">
        <f t="shared" si="67"/>
        <v>1</v>
      </c>
      <c r="BA234" s="4">
        <f t="shared" si="68"/>
        <v>1</v>
      </c>
      <c r="BB234" s="4">
        <f t="shared" si="69"/>
        <v>1</v>
      </c>
      <c r="BC234" s="4">
        <f t="shared" si="70"/>
        <v>1</v>
      </c>
      <c r="BE234" s="405">
        <f t="shared" si="71"/>
        <v>-1</v>
      </c>
      <c r="BF234" s="405">
        <f t="shared" si="72"/>
        <v>-1</v>
      </c>
      <c r="BG234" s="405">
        <f t="shared" si="73"/>
        <v>0</v>
      </c>
      <c r="BH234" s="405">
        <f t="shared" si="74"/>
        <v>0</v>
      </c>
      <c r="BI234" s="405">
        <f t="shared" si="75"/>
        <v>0</v>
      </c>
      <c r="BJ234" s="405">
        <f t="shared" si="76"/>
        <v>0</v>
      </c>
      <c r="BK234" s="405">
        <f t="shared" si="77"/>
        <v>-1</v>
      </c>
      <c r="BL234" s="405">
        <f t="shared" si="78"/>
        <v>-1</v>
      </c>
      <c r="BM234" s="405">
        <f t="shared" si="79"/>
        <v>-1</v>
      </c>
      <c r="BN234" s="405">
        <f t="shared" si="79"/>
        <v>-1</v>
      </c>
    </row>
    <row r="235" spans="1:66" x14ac:dyDescent="0.2">
      <c r="A235" s="34">
        <v>710</v>
      </c>
      <c r="B235" s="88" t="s">
        <v>549</v>
      </c>
      <c r="C235" s="41" t="e">
        <f>'2. Toimintakate'!D235+'3. Verotulot'!G235+'4. Valtionosuudet'!#REF!+'5. Rahoitustuotot ja -kulut'!C235</f>
        <v>#REF!</v>
      </c>
      <c r="D235" s="41">
        <f>'2. Toimintakate'!E235+'4. Valtionosuudet'!H235+'3. Verotulot'!L235+'5. Rahoitustuotot ja -kulut'!D235</f>
        <v>8506</v>
      </c>
      <c r="E235" s="41">
        <f>'2. Toimintakate'!F235+'4. Valtionosuudet'!N235+'3. Verotulot'!Q235+'5. Rahoitustuotot ja -kulut'!E235</f>
        <v>15722</v>
      </c>
      <c r="F235" s="41">
        <f>'2. Toimintakate'!G235+'4. Valtionosuudet'!T235+'3. Verotulot'!V235+'5. Rahoitustuotot ja -kulut'!F235</f>
        <v>3738</v>
      </c>
      <c r="G235" s="41">
        <f>'2. Toimintakate'!H235+'3. Verotulot'!AA235+'4. Valtionosuudet'!Z235+'5. Rahoitustuotot ja -kulut'!G235</f>
        <v>506</v>
      </c>
      <c r="H235" s="41">
        <f>Käyttökate!H235+'5. Rahoitustuotot ja -kulut'!H235</f>
        <v>17345.813513946967</v>
      </c>
      <c r="I235" s="41">
        <f>Käyttökate!I235+'5. Rahoitustuotot ja -kulut'!I235</f>
        <v>14393.967646406698</v>
      </c>
      <c r="J235" s="41">
        <f>Käyttökate!J235+'5. Rahoitustuotot ja -kulut'!J235</f>
        <v>11650.41272987398</v>
      </c>
      <c r="K235" s="41">
        <f>Käyttökate!K235+'5. Rahoitustuotot ja -kulut'!K235</f>
        <v>20212.226668286705</v>
      </c>
      <c r="L235" s="41">
        <f>Käyttökate!L235+'5. Rahoitustuotot ja -kulut'!L235</f>
        <v>9305.77374204031</v>
      </c>
      <c r="M235" s="41">
        <f>Käyttökate!M235+'5. Rahoitustuotot ja -kulut'!M235</f>
        <v>9038.6569442233649</v>
      </c>
      <c r="N235" s="41">
        <f>Käyttökate!N235+'5. Rahoitustuotot ja -kulut'!N235</f>
        <v>9135.4371590509854</v>
      </c>
      <c r="O235" s="41">
        <f>Käyttökate!O235+'5. Rahoitustuotot ja -kulut'!O235</f>
        <v>10295.638654784469</v>
      </c>
      <c r="P235" s="41">
        <f>Käyttökate!P235+'5. Rahoitustuotot ja -kulut'!P235</f>
        <v>13034.495894758449</v>
      </c>
      <c r="T235" s="34">
        <v>710</v>
      </c>
      <c r="U235" s="88" t="s">
        <v>549</v>
      </c>
      <c r="V235" s="41" t="e">
        <f>C235/'1. Väestöennuste'!E235*1000</f>
        <v>#REF!</v>
      </c>
      <c r="W235" s="41">
        <f>D235/'1. Väestöennuste'!F235*1000</f>
        <v>302.95259465042562</v>
      </c>
      <c r="X235" s="41">
        <f>E235/'1. Väestöennuste'!G235*1000</f>
        <v>564.50396754156043</v>
      </c>
      <c r="Y235" s="41">
        <f>F235/'1. Väestöennuste'!H235*1000</f>
        <v>135.47405044940564</v>
      </c>
      <c r="Z235" s="41">
        <f>G235/'1. Väestöennuste'!I235*1000</f>
        <v>18.375944218477631</v>
      </c>
      <c r="AA235" s="41">
        <f>H235/'1. Väestöennuste'!J235*1000</f>
        <v>630.11528312797759</v>
      </c>
      <c r="AB235" s="41">
        <f>I235/'1. Väestöennuste'!K235*1000</f>
        <v>523.72171614054355</v>
      </c>
      <c r="AC235" s="41">
        <f>J235/'1. Väestöennuste'!L235*1000</f>
        <v>426.66127334190219</v>
      </c>
      <c r="AD235" s="41">
        <f>K235/'1. Väestöennuste'!M235*1000</f>
        <v>742.85077247553033</v>
      </c>
      <c r="AE235" s="41">
        <f>L235/'1. Väestöennuste'!N235*1000</f>
        <v>346.4547186165417</v>
      </c>
      <c r="AF235" s="41">
        <f>M235/'1. Väestöennuste'!O235*1000</f>
        <v>338.41240571430473</v>
      </c>
      <c r="AG235" s="41">
        <f>N235/'1. Väestöennuste'!P235*1000</f>
        <v>343.90291970527727</v>
      </c>
      <c r="AH235" s="41">
        <f>O235/'1. Väestöennuste'!Q235*1000</f>
        <v>389.58787054090396</v>
      </c>
      <c r="AI235" s="41">
        <f>P235/'1. Väestöennuste'!R235*1000</f>
        <v>495.66474863134385</v>
      </c>
      <c r="AK235" s="41">
        <f>'6. Poistot'!Z235</f>
        <v>242.59151656013944</v>
      </c>
      <c r="AL235" s="41">
        <f>'6. Poistot'!AA235</f>
        <v>259.98982853821559</v>
      </c>
      <c r="AM235" s="41">
        <f>'6. Poistot'!AB235</f>
        <v>269.06702772522198</v>
      </c>
      <c r="AN235" s="41">
        <f>'6. Poistot'!AC235</f>
        <v>268.07728960667981</v>
      </c>
      <c r="AO235" s="41">
        <f>'6. Poistot'!AD235</f>
        <v>286.5234113712375</v>
      </c>
      <c r="AP235" s="41">
        <f>'6. Poistot'!AE235</f>
        <v>304.30007446016384</v>
      </c>
      <c r="AQ235" s="41">
        <f>'6. Poistot'!AF235</f>
        <v>309.63345688719158</v>
      </c>
      <c r="AR235" s="41">
        <f>'6. Poistot'!AG235</f>
        <v>332.08854088239724</v>
      </c>
      <c r="AS235" s="41">
        <f>'6. Poistot'!AH235</f>
        <v>344.58094941394324</v>
      </c>
      <c r="AT235" s="41">
        <f>'6. Poistot'!AI235</f>
        <v>357.10847246167077</v>
      </c>
      <c r="AV235" s="4">
        <f t="shared" si="63"/>
        <v>0</v>
      </c>
      <c r="AW235" s="4">
        <f t="shared" si="64"/>
        <v>0</v>
      </c>
      <c r="AX235" s="4">
        <f t="shared" si="65"/>
        <v>0</v>
      </c>
      <c r="AY235" s="4">
        <f t="shared" si="66"/>
        <v>0</v>
      </c>
      <c r="AZ235" s="4">
        <f t="shared" si="67"/>
        <v>0</v>
      </c>
      <c r="BA235" s="4">
        <f t="shared" si="68"/>
        <v>0</v>
      </c>
      <c r="BB235" s="4">
        <f t="shared" si="69"/>
        <v>0</v>
      </c>
      <c r="BC235" s="4">
        <f t="shared" si="70"/>
        <v>0</v>
      </c>
      <c r="BE235" s="405">
        <f t="shared" si="71"/>
        <v>0</v>
      </c>
      <c r="BF235" s="405">
        <f t="shared" si="72"/>
        <v>0</v>
      </c>
      <c r="BG235" s="405">
        <f t="shared" si="73"/>
        <v>0</v>
      </c>
      <c r="BH235" s="405">
        <f t="shared" si="74"/>
        <v>0</v>
      </c>
      <c r="BI235" s="405">
        <f t="shared" si="75"/>
        <v>0</v>
      </c>
      <c r="BJ235" s="405">
        <f t="shared" si="76"/>
        <v>0</v>
      </c>
      <c r="BK235" s="405">
        <f t="shared" si="77"/>
        <v>0</v>
      </c>
      <c r="BL235" s="405">
        <f t="shared" si="78"/>
        <v>0</v>
      </c>
      <c r="BM235" s="405">
        <f t="shared" si="79"/>
        <v>0</v>
      </c>
      <c r="BN235" s="405">
        <f t="shared" si="79"/>
        <v>0</v>
      </c>
    </row>
    <row r="236" spans="1:66" x14ac:dyDescent="0.2">
      <c r="A236" s="34">
        <v>729</v>
      </c>
      <c r="B236" s="88" t="s">
        <v>550</v>
      </c>
      <c r="C236" s="41" t="e">
        <f>'2. Toimintakate'!D236+'3. Verotulot'!G236+'4. Valtionosuudet'!#REF!+'5. Rahoitustuotot ja -kulut'!C236</f>
        <v>#REF!</v>
      </c>
      <c r="D236" s="41">
        <f>'2. Toimintakate'!E236+'4. Valtionosuudet'!H236+'3. Verotulot'!L236+'5. Rahoitustuotot ja -kulut'!D236</f>
        <v>3820</v>
      </c>
      <c r="E236" s="41">
        <f>'2. Toimintakate'!F236+'4. Valtionosuudet'!N236+'3. Verotulot'!Q236+'5. Rahoitustuotot ja -kulut'!E236</f>
        <v>4761</v>
      </c>
      <c r="F236" s="41">
        <f>'2. Toimintakate'!G236+'4. Valtionosuudet'!T236+'3. Verotulot'!V236+'5. Rahoitustuotot ja -kulut'!F236</f>
        <v>2605</v>
      </c>
      <c r="G236" s="41">
        <f>'2. Toimintakate'!H236+'3. Verotulot'!AA236+'4. Valtionosuudet'!Z236+'5. Rahoitustuotot ja -kulut'!G236</f>
        <v>1229</v>
      </c>
      <c r="H236" s="41">
        <f>Käyttökate!H236+'5. Rahoitustuotot ja -kulut'!H236</f>
        <v>5667.9916243962725</v>
      </c>
      <c r="I236" s="41">
        <f>Käyttökate!I236+'5. Rahoitustuotot ja -kulut'!I236</f>
        <v>5246.2428696407505</v>
      </c>
      <c r="J236" s="41">
        <f>Käyttökate!J236+'5. Rahoitustuotot ja -kulut'!J236</f>
        <v>4535.2473929802245</v>
      </c>
      <c r="K236" s="41">
        <f>Käyttökate!K236+'5. Rahoitustuotot ja -kulut'!K236</f>
        <v>4910.4615296647789</v>
      </c>
      <c r="L236" s="41">
        <f>Käyttökate!L236+'5. Rahoitustuotot ja -kulut'!L236</f>
        <v>3205.1299804209029</v>
      </c>
      <c r="M236" s="41">
        <f>Käyttökate!M236+'5. Rahoitustuotot ja -kulut'!M236</f>
        <v>1063.3650784804322</v>
      </c>
      <c r="N236" s="41">
        <f>Käyttökate!N236+'5. Rahoitustuotot ja -kulut'!N236</f>
        <v>1249.1187844314227</v>
      </c>
      <c r="O236" s="41">
        <f>Käyttökate!O236+'5. Rahoitustuotot ja -kulut'!O236</f>
        <v>1313.1911917079574</v>
      </c>
      <c r="P236" s="41">
        <f>Käyttökate!P236+'5. Rahoitustuotot ja -kulut'!P236</f>
        <v>2545.6714733338176</v>
      </c>
      <c r="T236" s="34">
        <v>729</v>
      </c>
      <c r="U236" s="88" t="s">
        <v>550</v>
      </c>
      <c r="V236" s="41" t="e">
        <f>C236/'1. Väestöennuste'!E236*1000</f>
        <v>#REF!</v>
      </c>
      <c r="W236" s="41">
        <f>D236/'1. Väestöennuste'!F236*1000</f>
        <v>394.22084623323013</v>
      </c>
      <c r="X236" s="41">
        <f>E236/'1. Väestöennuste'!G236*1000</f>
        <v>496.5064135989154</v>
      </c>
      <c r="Y236" s="41">
        <f>F236/'1. Väestöennuste'!H236*1000</f>
        <v>276.68613913967073</v>
      </c>
      <c r="Z236" s="41">
        <f>G236/'1. Väestöennuste'!I236*1000</f>
        <v>132.02277365989903</v>
      </c>
      <c r="AA236" s="41">
        <f>H236/'1. Väestöennuste'!J236*1000</f>
        <v>615.55078457822242</v>
      </c>
      <c r="AB236" s="41">
        <f>I236/'1. Väestöennuste'!K236*1000</f>
        <v>575.43521658887255</v>
      </c>
      <c r="AC236" s="41">
        <f>J236/'1. Väestöennuste'!L236*1000</f>
        <v>505.32004378609741</v>
      </c>
      <c r="AD236" s="41">
        <f>K236/'1. Väestöennuste'!M236*1000</f>
        <v>555.04256015200394</v>
      </c>
      <c r="AE236" s="41">
        <f>L236/'1. Väestöennuste'!N236*1000</f>
        <v>367.72946081010821</v>
      </c>
      <c r="AF236" s="41">
        <f>M236/'1. Väestöennuste'!O236*1000</f>
        <v>123.61835369453989</v>
      </c>
      <c r="AG236" s="41">
        <f>N236/'1. Väestöennuste'!P236*1000</f>
        <v>147.14557479460746</v>
      </c>
      <c r="AH236" s="41">
        <f>O236/'1. Väestöennuste'!Q236*1000</f>
        <v>156.66800187401068</v>
      </c>
      <c r="AI236" s="41">
        <f>P236/'1. Väestöennuste'!R236*1000</f>
        <v>307.52252637518939</v>
      </c>
      <c r="AK236" s="41">
        <f>'6. Poistot'!Z236</f>
        <v>382.21076377699006</v>
      </c>
      <c r="AL236" s="41">
        <f>'6. Poistot'!AA236</f>
        <v>358.05821025195485</v>
      </c>
      <c r="AM236" s="41">
        <f>'6. Poistot'!AB236</f>
        <v>360.48968520346608</v>
      </c>
      <c r="AN236" s="41">
        <f>'6. Poistot'!AC236</f>
        <v>333.01583064066853</v>
      </c>
      <c r="AO236" s="41">
        <f>'6. Poistot'!AD236</f>
        <v>455.12881541765569</v>
      </c>
      <c r="AP236" s="41">
        <f>'6. Poistot'!AE236</f>
        <v>359.68334098210187</v>
      </c>
      <c r="AQ236" s="41">
        <f>'6. Poistot'!AF236</f>
        <v>366.1939083933969</v>
      </c>
      <c r="AR236" s="41">
        <f>'6. Poistot'!AG236</f>
        <v>371.06844151254563</v>
      </c>
      <c r="AS236" s="41">
        <f>'6. Poistot'!AH236</f>
        <v>387.93115877634602</v>
      </c>
      <c r="AT236" s="41">
        <f>'6. Poistot'!AI236</f>
        <v>405.08310530643456</v>
      </c>
      <c r="AV236" s="4">
        <f t="shared" si="63"/>
        <v>0</v>
      </c>
      <c r="AW236" s="4">
        <f t="shared" si="64"/>
        <v>0</v>
      </c>
      <c r="AX236" s="4">
        <f t="shared" si="65"/>
        <v>0</v>
      </c>
      <c r="AY236" s="4">
        <f t="shared" si="66"/>
        <v>0</v>
      </c>
      <c r="AZ236" s="4">
        <f t="shared" si="67"/>
        <v>1</v>
      </c>
      <c r="BA236" s="4">
        <f t="shared" si="68"/>
        <v>1</v>
      </c>
      <c r="BB236" s="4">
        <f t="shared" si="69"/>
        <v>1</v>
      </c>
      <c r="BC236" s="4">
        <f t="shared" si="70"/>
        <v>1</v>
      </c>
      <c r="BE236" s="405">
        <f t="shared" si="71"/>
        <v>0</v>
      </c>
      <c r="BF236" s="405">
        <f t="shared" si="72"/>
        <v>0</v>
      </c>
      <c r="BG236" s="405">
        <f t="shared" si="73"/>
        <v>0</v>
      </c>
      <c r="BH236" s="405">
        <f t="shared" si="74"/>
        <v>0</v>
      </c>
      <c r="BI236" s="405">
        <f t="shared" si="75"/>
        <v>0</v>
      </c>
      <c r="BJ236" s="405">
        <f t="shared" si="76"/>
        <v>0</v>
      </c>
      <c r="BK236" s="405">
        <f t="shared" si="77"/>
        <v>0</v>
      </c>
      <c r="BL236" s="405">
        <f t="shared" si="78"/>
        <v>0</v>
      </c>
      <c r="BM236" s="405">
        <f t="shared" si="79"/>
        <v>0</v>
      </c>
      <c r="BN236" s="405">
        <f t="shared" si="79"/>
        <v>0</v>
      </c>
    </row>
    <row r="237" spans="1:66" x14ac:dyDescent="0.2">
      <c r="A237" s="34">
        <v>732</v>
      </c>
      <c r="B237" s="88" t="s">
        <v>551</v>
      </c>
      <c r="C237" s="41" t="e">
        <f>'2. Toimintakate'!D237+'3. Verotulot'!G237+'4. Valtionosuudet'!#REF!+'5. Rahoitustuotot ja -kulut'!C237</f>
        <v>#REF!</v>
      </c>
      <c r="D237" s="41">
        <f>'2. Toimintakate'!E237+'4. Valtionosuudet'!H237+'3. Verotulot'!L237+'5. Rahoitustuotot ja -kulut'!D237</f>
        <v>1551</v>
      </c>
      <c r="E237" s="41">
        <f>'2. Toimintakate'!F237+'4. Valtionosuudet'!N237+'3. Verotulot'!Q237+'5. Rahoitustuotot ja -kulut'!E237</f>
        <v>1589</v>
      </c>
      <c r="F237" s="41">
        <f>'2. Toimintakate'!G237+'4. Valtionosuudet'!T237+'3. Verotulot'!V237+'5. Rahoitustuotot ja -kulut'!F237</f>
        <v>2815</v>
      </c>
      <c r="G237" s="41">
        <f>'2. Toimintakate'!H237+'3. Verotulot'!AA237+'4. Valtionosuudet'!Z237+'5. Rahoitustuotot ja -kulut'!G237</f>
        <v>1676</v>
      </c>
      <c r="H237" s="41">
        <f>Käyttökate!H237+'5. Rahoitustuotot ja -kulut'!H237</f>
        <v>2437.7540100534679</v>
      </c>
      <c r="I237" s="41">
        <f>Käyttökate!I237+'5. Rahoitustuotot ja -kulut'!I237</f>
        <v>2308.8616850376116</v>
      </c>
      <c r="J237" s="41">
        <f>Käyttökate!J237+'5. Rahoitustuotot ja -kulut'!J237</f>
        <v>4533.349659476974</v>
      </c>
      <c r="K237" s="41">
        <f>Käyttökate!K237+'5. Rahoitustuotot ja -kulut'!K237</f>
        <v>1160.5543964176145</v>
      </c>
      <c r="L237" s="41">
        <f>Käyttökate!L237+'5. Rahoitustuotot ja -kulut'!L237</f>
        <v>660.86071033082737</v>
      </c>
      <c r="M237" s="41">
        <f>Käyttökate!M237+'5. Rahoitustuotot ja -kulut'!M237</f>
        <v>344.29071601525686</v>
      </c>
      <c r="N237" s="41">
        <f>Käyttökate!N237+'5. Rahoitustuotot ja -kulut'!N237</f>
        <v>475.24125297940702</v>
      </c>
      <c r="O237" s="41">
        <f>Käyttökate!O237+'5. Rahoitustuotot ja -kulut'!O237</f>
        <v>124.63964912312605</v>
      </c>
      <c r="P237" s="41">
        <f>Käyttökate!P237+'5. Rahoitustuotot ja -kulut'!P237</f>
        <v>501.54185596813653</v>
      </c>
      <c r="T237" s="34">
        <v>732</v>
      </c>
      <c r="U237" s="88" t="s">
        <v>551</v>
      </c>
      <c r="V237" s="41" t="e">
        <f>C237/'1. Väestöennuste'!E237*1000</f>
        <v>#REF!</v>
      </c>
      <c r="W237" s="41">
        <f>D237/'1. Väestöennuste'!F237*1000</f>
        <v>424.58253490281959</v>
      </c>
      <c r="X237" s="41">
        <f>E237/'1. Väestöennuste'!G237*1000</f>
        <v>444.47552447552448</v>
      </c>
      <c r="Y237" s="41">
        <f>F237/'1. Väestöennuste'!H237*1000</f>
        <v>806.35920939558866</v>
      </c>
      <c r="Z237" s="41">
        <f>G237/'1. Väestöennuste'!I237*1000</f>
        <v>492.94117647058823</v>
      </c>
      <c r="AA237" s="41">
        <f>H237/'1. Väestöennuste'!J237*1000</f>
        <v>715.51335780847319</v>
      </c>
      <c r="AB237" s="41">
        <f>I237/'1. Väestöennuste'!K237*1000</f>
        <v>675.89627782131492</v>
      </c>
      <c r="AC237" s="41">
        <f>J237/'1. Väestöennuste'!L237*1000</f>
        <v>1358.9177636321865</v>
      </c>
      <c r="AD237" s="41">
        <f>K237/'1. Väestöennuste'!M237*1000</f>
        <v>347.05574055550676</v>
      </c>
      <c r="AE237" s="41">
        <f>L237/'1. Väestöennuste'!N237*1000</f>
        <v>208.2106837841296</v>
      </c>
      <c r="AF237" s="41">
        <f>M237/'1. Väestöennuste'!O237*1000</f>
        <v>110.10256348425227</v>
      </c>
      <c r="AG237" s="41">
        <f>N237/'1. Väestöennuste'!P237*1000</f>
        <v>154.2490272571915</v>
      </c>
      <c r="AH237" s="41">
        <f>O237/'1. Väestöennuste'!Q237*1000</f>
        <v>41.026875945729444</v>
      </c>
      <c r="AI237" s="41">
        <f>P237/'1. Väestöennuste'!R237*1000</f>
        <v>167.3479666226682</v>
      </c>
      <c r="AK237" s="41">
        <f>'6. Poistot'!Z237</f>
        <v>364.70588235294116</v>
      </c>
      <c r="AL237" s="41">
        <f>'6. Poistot'!AA237</f>
        <v>374.52304079835631</v>
      </c>
      <c r="AM237" s="41">
        <f>'6. Poistot'!AB237</f>
        <v>381.09362997658081</v>
      </c>
      <c r="AN237" s="41">
        <f>'6. Poistot'!AC237</f>
        <v>422.16864508393286</v>
      </c>
      <c r="AO237" s="41">
        <f>'6. Poistot'!AD237</f>
        <v>459.64952153110045</v>
      </c>
      <c r="AP237" s="41">
        <f>'6. Poistot'!AE237</f>
        <v>479.75015752993073</v>
      </c>
      <c r="AQ237" s="41">
        <f>'6. Poistot'!AF237</f>
        <v>522.06427886152858</v>
      </c>
      <c r="AR237" s="41">
        <f>'6. Poistot'!AG237</f>
        <v>552.05095748133715</v>
      </c>
      <c r="AS237" s="41">
        <f>'6. Poistot'!AH237</f>
        <v>577.92949916246937</v>
      </c>
      <c r="AT237" s="41">
        <f>'6. Poistot'!AI237</f>
        <v>604.1476933303851</v>
      </c>
      <c r="AV237" s="4">
        <f t="shared" si="63"/>
        <v>0</v>
      </c>
      <c r="AW237" s="4">
        <f t="shared" si="64"/>
        <v>0</v>
      </c>
      <c r="AX237" s="4">
        <f t="shared" si="65"/>
        <v>1</v>
      </c>
      <c r="AY237" s="4">
        <f t="shared" si="66"/>
        <v>1</v>
      </c>
      <c r="AZ237" s="4">
        <f t="shared" si="67"/>
        <v>1</v>
      </c>
      <c r="BA237" s="4">
        <f t="shared" si="68"/>
        <v>1</v>
      </c>
      <c r="BB237" s="4">
        <f t="shared" si="69"/>
        <v>1</v>
      </c>
      <c r="BC237" s="4">
        <f t="shared" si="70"/>
        <v>1</v>
      </c>
      <c r="BE237" s="405">
        <f t="shared" si="71"/>
        <v>0</v>
      </c>
      <c r="BF237" s="405">
        <f t="shared" si="72"/>
        <v>0</v>
      </c>
      <c r="BG237" s="405">
        <f t="shared" si="73"/>
        <v>0</v>
      </c>
      <c r="BH237" s="405">
        <f t="shared" si="74"/>
        <v>0</v>
      </c>
      <c r="BI237" s="405">
        <f t="shared" si="75"/>
        <v>0</v>
      </c>
      <c r="BJ237" s="405">
        <f t="shared" si="76"/>
        <v>0</v>
      </c>
      <c r="BK237" s="405">
        <f t="shared" si="77"/>
        <v>0</v>
      </c>
      <c r="BL237" s="405">
        <f t="shared" si="78"/>
        <v>0</v>
      </c>
      <c r="BM237" s="405">
        <f t="shared" si="79"/>
        <v>0</v>
      </c>
      <c r="BN237" s="405">
        <f t="shared" si="79"/>
        <v>0</v>
      </c>
    </row>
    <row r="238" spans="1:66" x14ac:dyDescent="0.2">
      <c r="A238" s="34">
        <v>734</v>
      </c>
      <c r="B238" s="88" t="s">
        <v>552</v>
      </c>
      <c r="C238" s="41" t="e">
        <f>'2. Toimintakate'!D238+'3. Verotulot'!G238+'4. Valtionosuudet'!#REF!+'5. Rahoitustuotot ja -kulut'!C238</f>
        <v>#REF!</v>
      </c>
      <c r="D238" s="41">
        <f>'2. Toimintakate'!E238+'4. Valtionosuudet'!H238+'3. Verotulot'!L238+'5. Rahoitustuotot ja -kulut'!D238</f>
        <v>23246</v>
      </c>
      <c r="E238" s="41">
        <f>'2. Toimintakate'!F238+'4. Valtionosuudet'!N238+'3. Verotulot'!Q238+'5. Rahoitustuotot ja -kulut'!E238</f>
        <v>22345</v>
      </c>
      <c r="F238" s="41">
        <f>'2. Toimintakate'!G238+'4. Valtionosuudet'!T238+'3. Verotulot'!V238+'5. Rahoitustuotot ja -kulut'!F238</f>
        <v>2013</v>
      </c>
      <c r="G238" s="41">
        <f>'2. Toimintakate'!H238+'3. Verotulot'!AA238+'4. Valtionosuudet'!Z238+'5. Rahoitustuotot ja -kulut'!G238</f>
        <v>-2881</v>
      </c>
      <c r="H238" s="41">
        <f>Käyttökate!H238+'5. Rahoitustuotot ja -kulut'!H238</f>
        <v>30328.305314844096</v>
      </c>
      <c r="I238" s="41">
        <f>Käyttökate!I238+'5. Rahoitustuotot ja -kulut'!I238</f>
        <v>22051.936045128594</v>
      </c>
      <c r="J238" s="41">
        <f>Käyttökate!J238+'5. Rahoitustuotot ja -kulut'!J238</f>
        <v>24742.952964204189</v>
      </c>
      <c r="K238" s="41">
        <f>Käyttökate!K238+'5. Rahoitustuotot ja -kulut'!K238</f>
        <v>32798.831852120027</v>
      </c>
      <c r="L238" s="41">
        <f>Käyttökate!L238+'5. Rahoitustuotot ja -kulut'!L238</f>
        <v>19033.103827477109</v>
      </c>
      <c r="M238" s="41">
        <f>Käyttökate!M238+'5. Rahoitustuotot ja -kulut'!M238</f>
        <v>17943.679977132168</v>
      </c>
      <c r="N238" s="41">
        <f>Käyttökate!N238+'5. Rahoitustuotot ja -kulut'!N238</f>
        <v>20314.092301873476</v>
      </c>
      <c r="O238" s="41">
        <f>Käyttökate!O238+'5. Rahoitustuotot ja -kulut'!O238</f>
        <v>21826.162966593365</v>
      </c>
      <c r="P238" s="41">
        <f>Käyttökate!P238+'5. Rahoitustuotot ja -kulut'!P238</f>
        <v>27332.273323280311</v>
      </c>
      <c r="T238" s="34">
        <v>734</v>
      </c>
      <c r="U238" s="88" t="s">
        <v>552</v>
      </c>
      <c r="V238" s="41" t="e">
        <f>C238/'1. Väestöennuste'!E238*1000</f>
        <v>#REF!</v>
      </c>
      <c r="W238" s="41">
        <f>D238/'1. Väestöennuste'!F238*1000</f>
        <v>434.13140103835957</v>
      </c>
      <c r="X238" s="41">
        <f>E238/'1. Väestöennuste'!G238*1000</f>
        <v>421.73108863053</v>
      </c>
      <c r="Y238" s="41">
        <f>F238/'1. Väestöennuste'!H238*1000</f>
        <v>38.474035282200269</v>
      </c>
      <c r="Z238" s="41">
        <f>G238/'1. Väestöennuste'!I238*1000</f>
        <v>-55.582351011903611</v>
      </c>
      <c r="AA238" s="41">
        <f>H238/'1. Väestöennuste'!J238*1000</f>
        <v>588.19101886746239</v>
      </c>
      <c r="AB238" s="41">
        <f>I238/'1. Väestöennuste'!K238*1000</f>
        <v>429.02599309588703</v>
      </c>
      <c r="AC238" s="41">
        <f>J238/'1. Väestöennuste'!L238*1000</f>
        <v>485.7941406201125</v>
      </c>
      <c r="AD238" s="41">
        <f>K238/'1. Väestöennuste'!M238*1000</f>
        <v>641.85580923913938</v>
      </c>
      <c r="AE238" s="41">
        <f>L238/'1. Väestöennuste'!N238*1000</f>
        <v>381.87644364031843</v>
      </c>
      <c r="AF238" s="41">
        <f>M238/'1. Väestöennuste'!O238*1000</f>
        <v>362.90914928266659</v>
      </c>
      <c r="AG238" s="41">
        <f>N238/'1. Väestöennuste'!P238*1000</f>
        <v>414.10849662365661</v>
      </c>
      <c r="AH238" s="41">
        <f>O238/'1. Väestöennuste'!Q238*1000</f>
        <v>448.35075217422332</v>
      </c>
      <c r="AI238" s="41">
        <f>P238/'1. Väestöennuste'!R238*1000</f>
        <v>565.66305849211096</v>
      </c>
      <c r="AK238" s="41">
        <f>'6. Poistot'!Z238</f>
        <v>311.8476646152065</v>
      </c>
      <c r="AL238" s="41">
        <f>'6. Poistot'!AA238</f>
        <v>315.54245374500601</v>
      </c>
      <c r="AM238" s="41">
        <f>'6. Poistot'!AB238</f>
        <v>314.35004844357979</v>
      </c>
      <c r="AN238" s="41">
        <f>'6. Poistot'!AC238</f>
        <v>313.98596568040364</v>
      </c>
      <c r="AO238" s="41">
        <f>'6. Poistot'!AD238</f>
        <v>345.97928434442269</v>
      </c>
      <c r="AP238" s="41">
        <f>'6. Poistot'!AE238</f>
        <v>322.2700186593367</v>
      </c>
      <c r="AQ238" s="41">
        <f>'6. Poistot'!AF238</f>
        <v>324.8523582234447</v>
      </c>
      <c r="AR238" s="41">
        <f>'6. Poistot'!AG238</f>
        <v>300.92753032310668</v>
      </c>
      <c r="AS238" s="41">
        <f>'6. Poistot'!AH238</f>
        <v>313.02388446852427</v>
      </c>
      <c r="AT238" s="41">
        <f>'6. Poistot'!AI238</f>
        <v>325.22675220150364</v>
      </c>
      <c r="AV238" s="4">
        <f t="shared" si="63"/>
        <v>0</v>
      </c>
      <c r="AW238" s="4">
        <f t="shared" si="64"/>
        <v>0</v>
      </c>
      <c r="AX238" s="4">
        <f t="shared" si="65"/>
        <v>0</v>
      </c>
      <c r="AY238" s="4">
        <f t="shared" si="66"/>
        <v>0</v>
      </c>
      <c r="AZ238" s="4">
        <f t="shared" si="67"/>
        <v>0</v>
      </c>
      <c r="BA238" s="4">
        <f t="shared" si="68"/>
        <v>0</v>
      </c>
      <c r="BB238" s="4">
        <f t="shared" si="69"/>
        <v>0</v>
      </c>
      <c r="BC238" s="4">
        <f t="shared" si="70"/>
        <v>0</v>
      </c>
      <c r="BE238" s="405">
        <f t="shared" si="71"/>
        <v>-1</v>
      </c>
      <c r="BF238" s="405">
        <f t="shared" si="72"/>
        <v>0</v>
      </c>
      <c r="BG238" s="405">
        <f t="shared" si="73"/>
        <v>0</v>
      </c>
      <c r="BH238" s="405">
        <f t="shared" si="74"/>
        <v>0</v>
      </c>
      <c r="BI238" s="405">
        <f t="shared" si="75"/>
        <v>0</v>
      </c>
      <c r="BJ238" s="405">
        <f t="shared" si="76"/>
        <v>0</v>
      </c>
      <c r="BK238" s="405">
        <f t="shared" si="77"/>
        <v>0</v>
      </c>
      <c r="BL238" s="405">
        <f t="shared" si="78"/>
        <v>0</v>
      </c>
      <c r="BM238" s="405">
        <f t="shared" si="79"/>
        <v>0</v>
      </c>
      <c r="BN238" s="405">
        <f t="shared" si="79"/>
        <v>0</v>
      </c>
    </row>
    <row r="239" spans="1:66" x14ac:dyDescent="0.2">
      <c r="A239" s="34">
        <v>738</v>
      </c>
      <c r="B239" s="88" t="s">
        <v>553</v>
      </c>
      <c r="C239" s="41" t="e">
        <f>'2. Toimintakate'!D239+'3. Verotulot'!G239+'4. Valtionosuudet'!#REF!+'5. Rahoitustuotot ja -kulut'!C239</f>
        <v>#REF!</v>
      </c>
      <c r="D239" s="41">
        <f>'2. Toimintakate'!E239+'4. Valtionosuudet'!H239+'3. Verotulot'!L239+'5. Rahoitustuotot ja -kulut'!D239</f>
        <v>599</v>
      </c>
      <c r="E239" s="41">
        <f>'2. Toimintakate'!F239+'4. Valtionosuudet'!N239+'3. Verotulot'!Q239+'5. Rahoitustuotot ja -kulut'!E239</f>
        <v>708</v>
      </c>
      <c r="F239" s="41">
        <f>'2. Toimintakate'!G239+'4. Valtionosuudet'!T239+'3. Verotulot'!V239+'5. Rahoitustuotot ja -kulut'!F239</f>
        <v>229</v>
      </c>
      <c r="G239" s="41">
        <f>'2. Toimintakate'!H239+'3. Verotulot'!AA239+'4. Valtionosuudet'!Z239+'5. Rahoitustuotot ja -kulut'!G239</f>
        <v>-294</v>
      </c>
      <c r="H239" s="41">
        <f>Käyttökate!H239+'5. Rahoitustuotot ja -kulut'!H239</f>
        <v>2224.3217456568727</v>
      </c>
      <c r="I239" s="41">
        <f>Käyttökate!I239+'5. Rahoitustuotot ja -kulut'!I239</f>
        <v>1230.6322680781921</v>
      </c>
      <c r="J239" s="41">
        <f>Käyttökate!J239+'5. Rahoitustuotot ja -kulut'!J239</f>
        <v>1208.2477396190754</v>
      </c>
      <c r="K239" s="41">
        <f>Käyttökate!K239+'5. Rahoitustuotot ja -kulut'!K239</f>
        <v>1118.6010815308296</v>
      </c>
      <c r="L239" s="41">
        <f>Käyttökate!L239+'5. Rahoitustuotot ja -kulut'!L239</f>
        <v>934.57744563498295</v>
      </c>
      <c r="M239" s="41">
        <f>Käyttökate!M239+'5. Rahoitustuotot ja -kulut'!M239</f>
        <v>628.403615694466</v>
      </c>
      <c r="N239" s="41">
        <f>Käyttökate!N239+'5. Rahoitustuotot ja -kulut'!N239</f>
        <v>459.37480177664861</v>
      </c>
      <c r="O239" s="41">
        <f>Käyttökate!O239+'5. Rahoitustuotot ja -kulut'!O239</f>
        <v>537.28852829539005</v>
      </c>
      <c r="P239" s="41">
        <f>Käyttökate!P239+'5. Rahoitustuotot ja -kulut'!P239</f>
        <v>526.89308453148078</v>
      </c>
      <c r="T239" s="34">
        <v>738</v>
      </c>
      <c r="U239" s="88" t="s">
        <v>553</v>
      </c>
      <c r="V239" s="41" t="e">
        <f>C239/'1. Väestöennuste'!E239*1000</f>
        <v>#REF!</v>
      </c>
      <c r="W239" s="41">
        <f>D239/'1. Väestöennuste'!F239*1000</f>
        <v>196.58680669510994</v>
      </c>
      <c r="X239" s="41">
        <f>E239/'1. Väestöennuste'!G239*1000</f>
        <v>235.45061523112736</v>
      </c>
      <c r="Y239" s="41">
        <f>F239/'1. Väestöennuste'!H239*1000</f>
        <v>76.486305945223776</v>
      </c>
      <c r="Z239" s="41">
        <f>G239/'1. Väestöennuste'!I239*1000</f>
        <v>-99.830220713073004</v>
      </c>
      <c r="AA239" s="41">
        <f>H239/'1. Väestöennuste'!J239*1000</f>
        <v>754.0073714091094</v>
      </c>
      <c r="AB239" s="41">
        <f>I239/'1. Väestöennuste'!K239*1000</f>
        <v>415.89464957018998</v>
      </c>
      <c r="AC239" s="41">
        <f>J239/'1. Väestöennuste'!L239*1000</f>
        <v>414.20902969457507</v>
      </c>
      <c r="AD239" s="41">
        <f>K239/'1. Väestöennuste'!M239*1000</f>
        <v>376.12679271379608</v>
      </c>
      <c r="AE239" s="41">
        <f>L239/'1. Väestöennuste'!N239*1000</f>
        <v>322.26808470171824</v>
      </c>
      <c r="AF239" s="41">
        <f>M239/'1. Väestöennuste'!O239*1000</f>
        <v>217.14015746180581</v>
      </c>
      <c r="AG239" s="41">
        <f>N239/'1. Väestöennuste'!P239*1000</f>
        <v>158.9532186078369</v>
      </c>
      <c r="AH239" s="41">
        <f>O239/'1. Väestöennuste'!Q239*1000</f>
        <v>186.49376199076366</v>
      </c>
      <c r="AI239" s="41">
        <f>P239/'1. Väestöennuste'!R239*1000</f>
        <v>183.20343690246202</v>
      </c>
      <c r="AK239" s="41">
        <f>'6. Poistot'!Z239</f>
        <v>143.29371816638371</v>
      </c>
      <c r="AL239" s="41">
        <f>'6. Poistot'!AA239</f>
        <v>129.15254237288136</v>
      </c>
      <c r="AM239" s="41">
        <f>'6. Poistot'!AB239</f>
        <v>181.66815816154104</v>
      </c>
      <c r="AN239" s="41">
        <f>'6. Poistot'!AC239</f>
        <v>233.23785053136785</v>
      </c>
      <c r="AO239" s="41">
        <f>'6. Poistot'!AD239</f>
        <v>235.00866509751179</v>
      </c>
      <c r="AP239" s="41">
        <f>'6. Poistot'!AE239</f>
        <v>301.56275862068964</v>
      </c>
      <c r="AQ239" s="41">
        <f>'6. Poistot'!AF239</f>
        <v>259.09882515549413</v>
      </c>
      <c r="AR239" s="41">
        <f>'6. Poistot'!AG239</f>
        <v>283.93321799307955</v>
      </c>
      <c r="AS239" s="41">
        <f>'6. Poistot'!AH239</f>
        <v>294.01030694209425</v>
      </c>
      <c r="AT239" s="41">
        <f>'6. Poistot'!AI239</f>
        <v>303.727534283848</v>
      </c>
      <c r="AV239" s="4">
        <f t="shared" si="63"/>
        <v>0</v>
      </c>
      <c r="AW239" s="4">
        <f t="shared" si="64"/>
        <v>0</v>
      </c>
      <c r="AX239" s="4">
        <f t="shared" si="65"/>
        <v>0</v>
      </c>
      <c r="AY239" s="4">
        <f t="shared" si="66"/>
        <v>0</v>
      </c>
      <c r="AZ239" s="4">
        <f t="shared" si="67"/>
        <v>1</v>
      </c>
      <c r="BA239" s="4">
        <f t="shared" si="68"/>
        <v>1</v>
      </c>
      <c r="BB239" s="4">
        <f t="shared" si="69"/>
        <v>1</v>
      </c>
      <c r="BC239" s="4">
        <f t="shared" si="70"/>
        <v>1</v>
      </c>
      <c r="BE239" s="405">
        <f t="shared" si="71"/>
        <v>-1</v>
      </c>
      <c r="BF239" s="405">
        <f t="shared" si="72"/>
        <v>0</v>
      </c>
      <c r="BG239" s="405">
        <f t="shared" si="73"/>
        <v>0</v>
      </c>
      <c r="BH239" s="405">
        <f t="shared" si="74"/>
        <v>0</v>
      </c>
      <c r="BI239" s="405">
        <f t="shared" si="75"/>
        <v>0</v>
      </c>
      <c r="BJ239" s="405">
        <f t="shared" si="76"/>
        <v>0</v>
      </c>
      <c r="BK239" s="405">
        <f t="shared" si="77"/>
        <v>0</v>
      </c>
      <c r="BL239" s="405">
        <f t="shared" si="78"/>
        <v>0</v>
      </c>
      <c r="BM239" s="405">
        <f t="shared" si="79"/>
        <v>0</v>
      </c>
      <c r="BN239" s="405">
        <f t="shared" si="79"/>
        <v>0</v>
      </c>
    </row>
    <row r="240" spans="1:66" x14ac:dyDescent="0.2">
      <c r="A240" s="34">
        <v>739</v>
      </c>
      <c r="B240" s="88" t="s">
        <v>554</v>
      </c>
      <c r="C240" s="41" t="e">
        <f>'2. Toimintakate'!D240+'3. Verotulot'!G240+'4. Valtionosuudet'!#REF!+'5. Rahoitustuotot ja -kulut'!C240</f>
        <v>#REF!</v>
      </c>
      <c r="D240" s="41">
        <f>'2. Toimintakate'!E240+'4. Valtionosuudet'!H240+'3. Verotulot'!L240+'5. Rahoitustuotot ja -kulut'!D240</f>
        <v>-29</v>
      </c>
      <c r="E240" s="41">
        <f>'2. Toimintakate'!F240+'4. Valtionosuudet'!N240+'3. Verotulot'!Q240+'5. Rahoitustuotot ja -kulut'!E240</f>
        <v>1614</v>
      </c>
      <c r="F240" s="41">
        <f>'2. Toimintakate'!G240+'4. Valtionosuudet'!T240+'3. Verotulot'!V240+'5. Rahoitustuotot ja -kulut'!F240</f>
        <v>1149</v>
      </c>
      <c r="G240" s="41">
        <f>'2. Toimintakate'!H240+'3. Verotulot'!AA240+'4. Valtionosuudet'!Z240+'5. Rahoitustuotot ja -kulut'!G240</f>
        <v>3841</v>
      </c>
      <c r="H240" s="41">
        <f>Käyttökate!H240+'5. Rahoitustuotot ja -kulut'!H240</f>
        <v>2190.0556701952446</v>
      </c>
      <c r="I240" s="41">
        <f>Käyttökate!I240+'5. Rahoitustuotot ja -kulut'!I240</f>
        <v>2273.3053940543541</v>
      </c>
      <c r="J240" s="41">
        <f>Käyttökate!J240+'5. Rahoitustuotot ja -kulut'!J240</f>
        <v>1624.5767557130137</v>
      </c>
      <c r="K240" s="41">
        <f>Käyttökate!K240+'5. Rahoitustuotot ja -kulut'!K240</f>
        <v>2341.9727692272413</v>
      </c>
      <c r="L240" s="41">
        <f>Käyttökate!L240+'5. Rahoitustuotot ja -kulut'!L240</f>
        <v>919.1166649985264</v>
      </c>
      <c r="M240" s="41">
        <f>Käyttökate!M240+'5. Rahoitustuotot ja -kulut'!M240</f>
        <v>873.26327194391274</v>
      </c>
      <c r="N240" s="41">
        <f>Käyttökate!N240+'5. Rahoitustuotot ja -kulut'!N240</f>
        <v>141.79090564969482</v>
      </c>
      <c r="O240" s="41">
        <f>Käyttökate!O240+'5. Rahoitustuotot ja -kulut'!O240</f>
        <v>34.498503710737779</v>
      </c>
      <c r="P240" s="41">
        <f>Käyttökate!P240+'5. Rahoitustuotot ja -kulut'!P240</f>
        <v>371.13554823874182</v>
      </c>
      <c r="T240" s="34">
        <v>739</v>
      </c>
      <c r="U240" s="88" t="s">
        <v>554</v>
      </c>
      <c r="V240" s="41" t="e">
        <f>C240/'1. Väestöennuste'!E240*1000</f>
        <v>#REF!</v>
      </c>
      <c r="W240" s="41">
        <f>D240/'1. Väestöennuste'!F240*1000</f>
        <v>-8.2059988681380869</v>
      </c>
      <c r="X240" s="41">
        <f>E240/'1. Väestöennuste'!G240*1000</f>
        <v>463.79310344827587</v>
      </c>
      <c r="Y240" s="41">
        <f>F240/'1. Väestöennuste'!H240*1000</f>
        <v>335.0831146106737</v>
      </c>
      <c r="Z240" s="41">
        <f>G240/'1. Väestöennuste'!I240*1000</f>
        <v>1135.3827963346141</v>
      </c>
      <c r="AA240" s="41">
        <f>H240/'1. Väestöennuste'!J240*1000</f>
        <v>658.46532477307414</v>
      </c>
      <c r="AB240" s="41">
        <f>I240/'1. Väestöennuste'!K240*1000</f>
        <v>697.11910274589206</v>
      </c>
      <c r="AC240" s="41">
        <f>J240/'1. Väestöennuste'!L240*1000</f>
        <v>498.94863504699435</v>
      </c>
      <c r="AD240" s="41">
        <f>K240/'1. Väestöennuste'!M240*1000</f>
        <v>728.22536356568446</v>
      </c>
      <c r="AE240" s="41">
        <f>L240/'1. Väestöennuste'!N240*1000</f>
        <v>295.53590514422075</v>
      </c>
      <c r="AF240" s="41">
        <f>M240/'1. Väestöennuste'!O240*1000</f>
        <v>285.10064379494378</v>
      </c>
      <c r="AG240" s="41">
        <f>N240/'1. Väestöennuste'!P240*1000</f>
        <v>46.98174474807648</v>
      </c>
      <c r="AH240" s="41">
        <f>O240/'1. Väestöennuste'!Q240*1000</f>
        <v>11.596135701088329</v>
      </c>
      <c r="AI240" s="41">
        <f>P240/'1. Väestöennuste'!R240*1000</f>
        <v>126.53786165657752</v>
      </c>
      <c r="AK240" s="41">
        <f>'6. Poistot'!Z240</f>
        <v>352.05438959503397</v>
      </c>
      <c r="AL240" s="41">
        <f>'6. Poistot'!AA240</f>
        <v>354.78051713770293</v>
      </c>
      <c r="AM240" s="41">
        <f>'6. Poistot'!AB240</f>
        <v>608.59422263109479</v>
      </c>
      <c r="AN240" s="41">
        <f>'6. Poistot'!AC240</f>
        <v>317.7197512285012</v>
      </c>
      <c r="AO240" s="41">
        <f>'6. Poistot'!AD240</f>
        <v>469.03497823383088</v>
      </c>
      <c r="AP240" s="41">
        <f>'6. Poistot'!AE240</f>
        <v>348.23376205787781</v>
      </c>
      <c r="AQ240" s="41">
        <f>'6. Poistot'!AF240</f>
        <v>360.8465556643813</v>
      </c>
      <c r="AR240" s="41">
        <f>'6. Poistot'!AG240</f>
        <v>404.46951623591787</v>
      </c>
      <c r="AS240" s="41">
        <f>'6. Poistot'!AH240</f>
        <v>423.55501412784514</v>
      </c>
      <c r="AT240" s="41">
        <f>'6. Poistot'!AI240</f>
        <v>443.04921038550242</v>
      </c>
      <c r="AV240" s="4">
        <f t="shared" si="63"/>
        <v>0</v>
      </c>
      <c r="AW240" s="4">
        <f t="shared" si="64"/>
        <v>0</v>
      </c>
      <c r="AX240" s="4">
        <f t="shared" si="65"/>
        <v>0</v>
      </c>
      <c r="AY240" s="4">
        <f t="shared" si="66"/>
        <v>1</v>
      </c>
      <c r="AZ240" s="4">
        <f t="shared" si="67"/>
        <v>1</v>
      </c>
      <c r="BA240" s="4">
        <f t="shared" si="68"/>
        <v>1</v>
      </c>
      <c r="BB240" s="4">
        <f t="shared" si="69"/>
        <v>1</v>
      </c>
      <c r="BC240" s="4">
        <f t="shared" si="70"/>
        <v>1</v>
      </c>
      <c r="BE240" s="405">
        <f t="shared" si="71"/>
        <v>0</v>
      </c>
      <c r="BF240" s="405">
        <f t="shared" si="72"/>
        <v>0</v>
      </c>
      <c r="BG240" s="405">
        <f t="shared" si="73"/>
        <v>0</v>
      </c>
      <c r="BH240" s="405">
        <f t="shared" si="74"/>
        <v>0</v>
      </c>
      <c r="BI240" s="405">
        <f t="shared" si="75"/>
        <v>0</v>
      </c>
      <c r="BJ240" s="405">
        <f t="shared" si="76"/>
        <v>0</v>
      </c>
      <c r="BK240" s="405">
        <f t="shared" si="77"/>
        <v>0</v>
      </c>
      <c r="BL240" s="405">
        <f t="shared" si="78"/>
        <v>0</v>
      </c>
      <c r="BM240" s="405">
        <f t="shared" si="79"/>
        <v>0</v>
      </c>
      <c r="BN240" s="405">
        <f t="shared" si="79"/>
        <v>0</v>
      </c>
    </row>
    <row r="241" spans="1:66" x14ac:dyDescent="0.2">
      <c r="A241" s="34">
        <v>740</v>
      </c>
      <c r="B241" s="88" t="s">
        <v>555</v>
      </c>
      <c r="C241" s="41" t="e">
        <f>'2. Toimintakate'!D241+'3. Verotulot'!G241+'4. Valtionosuudet'!#REF!+'5. Rahoitustuotot ja -kulut'!C241</f>
        <v>#REF!</v>
      </c>
      <c r="D241" s="41">
        <f>'2. Toimintakate'!E241+'4. Valtionosuudet'!H241+'3. Verotulot'!L241+'5. Rahoitustuotot ja -kulut'!D241</f>
        <v>14409</v>
      </c>
      <c r="E241" s="41">
        <f>'2. Toimintakate'!F241+'4. Valtionosuudet'!N241+'3. Verotulot'!Q241+'5. Rahoitustuotot ja -kulut'!E241</f>
        <v>12484</v>
      </c>
      <c r="F241" s="41">
        <f>'2. Toimintakate'!G241+'4. Valtionosuudet'!T241+'3. Verotulot'!V241+'5. Rahoitustuotot ja -kulut'!F241</f>
        <v>3883</v>
      </c>
      <c r="G241" s="41">
        <f>'2. Toimintakate'!H241+'3. Verotulot'!AA241+'4. Valtionosuudet'!Z241+'5. Rahoitustuotot ja -kulut'!G241</f>
        <v>5950</v>
      </c>
      <c r="H241" s="41">
        <f>Käyttökate!H241+'5. Rahoitustuotot ja -kulut'!H241</f>
        <v>32712.769715809074</v>
      </c>
      <c r="I241" s="41">
        <f>Käyttökate!I241+'5. Rahoitustuotot ja -kulut'!I241</f>
        <v>19360.485383134426</v>
      </c>
      <c r="J241" s="41">
        <f>Käyttökate!J241+'5. Rahoitustuotot ja -kulut'!J241</f>
        <v>15699.555278589718</v>
      </c>
      <c r="K241" s="41">
        <f>Käyttökate!K241+'5. Rahoitustuotot ja -kulut'!K241</f>
        <v>22879.272073082557</v>
      </c>
      <c r="L241" s="41">
        <f>Käyttökate!L241+'5. Rahoitustuotot ja -kulut'!L241</f>
        <v>7372.5636049903806</v>
      </c>
      <c r="M241" s="41">
        <f>Käyttökate!M241+'5. Rahoitustuotot ja -kulut'!M241</f>
        <v>6351.1223044904182</v>
      </c>
      <c r="N241" s="41">
        <f>Käyttökate!N241+'5. Rahoitustuotot ja -kulut'!N241</f>
        <v>8357.7156628231678</v>
      </c>
      <c r="O241" s="41">
        <f>Käyttökate!O241+'5. Rahoitustuotot ja -kulut'!O241</f>
        <v>9245.1613788087598</v>
      </c>
      <c r="P241" s="41">
        <f>Käyttökate!P241+'5. Rahoitustuotot ja -kulut'!P241</f>
        <v>14109.235792477313</v>
      </c>
      <c r="T241" s="34">
        <v>740</v>
      </c>
      <c r="U241" s="88" t="s">
        <v>555</v>
      </c>
      <c r="V241" s="41" t="e">
        <f>C241/'1. Väestöennuste'!E241*1000</f>
        <v>#REF!</v>
      </c>
      <c r="W241" s="41">
        <f>D241/'1. Väestöennuste'!F241*1000</f>
        <v>408.85874808467173</v>
      </c>
      <c r="X241" s="41">
        <f>E241/'1. Väestöennuste'!G241*1000</f>
        <v>360.14308792984076</v>
      </c>
      <c r="Y241" s="41">
        <f>F241/'1. Väestöennuste'!H241*1000</f>
        <v>115.52765463687484</v>
      </c>
      <c r="Z241" s="41">
        <f>G241/'1. Väestöennuste'!I241*1000</f>
        <v>180.4451992478923</v>
      </c>
      <c r="AA241" s="41">
        <f>H241/'1. Väestöennuste'!J241*1000</f>
        <v>1001.5543970304659</v>
      </c>
      <c r="AB241" s="41">
        <f>I241/'1. Väestöennuste'!K241*1000</f>
        <v>594.84700227776534</v>
      </c>
      <c r="AC241" s="41">
        <f>J241/'1. Väestöennuste'!L241*1000</f>
        <v>489.31136913167268</v>
      </c>
      <c r="AD241" s="41">
        <f>K241/'1. Väestöennuste'!M241*1000</f>
        <v>718.50240470692324</v>
      </c>
      <c r="AE241" s="41">
        <f>L241/'1. Väestöennuste'!N241*1000</f>
        <v>240.50902345502644</v>
      </c>
      <c r="AF241" s="41">
        <f>M241/'1. Väestöennuste'!O241*1000</f>
        <v>210.25332884730088</v>
      </c>
      <c r="AG241" s="41">
        <f>N241/'1. Väestöennuste'!P241*1000</f>
        <v>280.69574014519458</v>
      </c>
      <c r="AH241" s="41">
        <f>O241/'1. Väestöennuste'!Q241*1000</f>
        <v>314.91114445155529</v>
      </c>
      <c r="AI241" s="41">
        <f>P241/'1. Väestöennuste'!R241*1000</f>
        <v>487.28149861776251</v>
      </c>
      <c r="AK241" s="41">
        <f>'6. Poistot'!Z241</f>
        <v>291.95729969066537</v>
      </c>
      <c r="AL241" s="41">
        <f>'6. Poistot'!AA241</f>
        <v>306.10495376890577</v>
      </c>
      <c r="AM241" s="41">
        <f>'6. Poistot'!AB241</f>
        <v>282.82926997879986</v>
      </c>
      <c r="AN241" s="41">
        <f>'6. Poistot'!AC241</f>
        <v>307.91383076203834</v>
      </c>
      <c r="AO241" s="41">
        <f>'6. Poistot'!AD241</f>
        <v>333.25007568382375</v>
      </c>
      <c r="AP241" s="41">
        <f>'6. Poistot'!AE241</f>
        <v>391.46604032100214</v>
      </c>
      <c r="AQ241" s="41">
        <f>'6. Poistot'!AF241</f>
        <v>397.25891349687157</v>
      </c>
      <c r="AR241" s="41">
        <f>'6. Poistot'!AG241</f>
        <v>403.02267002518892</v>
      </c>
      <c r="AS241" s="41">
        <f>'6. Poistot'!AH241</f>
        <v>421.93596590702401</v>
      </c>
      <c r="AT241" s="41">
        <f>'6. Poistot'!AI241</f>
        <v>441.18087287849494</v>
      </c>
      <c r="AV241" s="4">
        <f t="shared" si="63"/>
        <v>0</v>
      </c>
      <c r="AW241" s="4">
        <f t="shared" si="64"/>
        <v>0</v>
      </c>
      <c r="AX241" s="4">
        <f t="shared" si="65"/>
        <v>0</v>
      </c>
      <c r="AY241" s="4">
        <f t="shared" si="66"/>
        <v>1</v>
      </c>
      <c r="AZ241" s="4">
        <f t="shared" si="67"/>
        <v>1</v>
      </c>
      <c r="BA241" s="4">
        <f t="shared" si="68"/>
        <v>1</v>
      </c>
      <c r="BB241" s="4">
        <f t="shared" si="69"/>
        <v>1</v>
      </c>
      <c r="BC241" s="4">
        <f t="shared" si="70"/>
        <v>0</v>
      </c>
      <c r="BE241" s="405">
        <f t="shared" si="71"/>
        <v>0</v>
      </c>
      <c r="BF241" s="405">
        <f t="shared" si="72"/>
        <v>0</v>
      </c>
      <c r="BG241" s="405">
        <f t="shared" si="73"/>
        <v>0</v>
      </c>
      <c r="BH241" s="405">
        <f t="shared" si="74"/>
        <v>0</v>
      </c>
      <c r="BI241" s="405">
        <f t="shared" si="75"/>
        <v>0</v>
      </c>
      <c r="BJ241" s="405">
        <f t="shared" si="76"/>
        <v>0</v>
      </c>
      <c r="BK241" s="405">
        <f t="shared" si="77"/>
        <v>0</v>
      </c>
      <c r="BL241" s="405">
        <f t="shared" si="78"/>
        <v>0</v>
      </c>
      <c r="BM241" s="405">
        <f t="shared" si="79"/>
        <v>0</v>
      </c>
      <c r="BN241" s="405">
        <f t="shared" si="79"/>
        <v>0</v>
      </c>
    </row>
    <row r="242" spans="1:66" x14ac:dyDescent="0.2">
      <c r="A242" s="34">
        <v>742</v>
      </c>
      <c r="B242" s="88" t="s">
        <v>556</v>
      </c>
      <c r="C242" s="41" t="e">
        <f>'2. Toimintakate'!D242+'3. Verotulot'!G242+'4. Valtionosuudet'!#REF!+'5. Rahoitustuotot ja -kulut'!C242</f>
        <v>#REF!</v>
      </c>
      <c r="D242" s="41">
        <f>'2. Toimintakate'!E242+'4. Valtionosuudet'!H242+'3. Verotulot'!L242+'5. Rahoitustuotot ja -kulut'!D242</f>
        <v>1000</v>
      </c>
      <c r="E242" s="41">
        <f>'2. Toimintakate'!F242+'4. Valtionosuudet'!N242+'3. Verotulot'!Q242+'5. Rahoitustuotot ja -kulut'!E242</f>
        <v>614</v>
      </c>
      <c r="F242" s="41">
        <f>'2. Toimintakate'!G242+'4. Valtionosuudet'!T242+'3. Verotulot'!V242+'5. Rahoitustuotot ja -kulut'!F242</f>
        <v>-14</v>
      </c>
      <c r="G242" s="41">
        <f>'2. Toimintakate'!H242+'3. Verotulot'!AA242+'4. Valtionosuudet'!Z242+'5. Rahoitustuotot ja -kulut'!G242</f>
        <v>105</v>
      </c>
      <c r="H242" s="41">
        <f>Käyttökate!H242+'5. Rahoitustuotot ja -kulut'!H242</f>
        <v>215.01928340649829</v>
      </c>
      <c r="I242" s="41">
        <f>Käyttökate!I242+'5. Rahoitustuotot ja -kulut'!I242</f>
        <v>1115.081450437727</v>
      </c>
      <c r="J242" s="41">
        <f>Käyttökate!J242+'5. Rahoitustuotot ja -kulut'!J242</f>
        <v>844.24672886122028</v>
      </c>
      <c r="K242" s="41">
        <f>Käyttökate!K242+'5. Rahoitustuotot ja -kulut'!K242</f>
        <v>327.32596206387348</v>
      </c>
      <c r="L242" s="41">
        <f>Käyttökate!L242+'5. Rahoitustuotot ja -kulut'!L242</f>
        <v>38.202437007062109</v>
      </c>
      <c r="M242" s="41">
        <f>Käyttökate!M242+'5. Rahoitustuotot ja -kulut'!M242</f>
        <v>10.672874407376657</v>
      </c>
      <c r="N242" s="41">
        <f>Käyttökate!N242+'5. Rahoitustuotot ja -kulut'!N242</f>
        <v>23.330327132448264</v>
      </c>
      <c r="O242" s="41">
        <f>Käyttökate!O242+'5. Rahoitustuotot ja -kulut'!O242</f>
        <v>-5.1420276960966902</v>
      </c>
      <c r="P242" s="41">
        <f>Käyttökate!P242+'5. Rahoitustuotot ja -kulut'!P242</f>
        <v>45.668355408711022</v>
      </c>
      <c r="T242" s="34">
        <v>742</v>
      </c>
      <c r="U242" s="88" t="s">
        <v>556</v>
      </c>
      <c r="V242" s="41" t="e">
        <f>C242/'1. Väestöennuste'!E242*1000</f>
        <v>#REF!</v>
      </c>
      <c r="W242" s="41">
        <f>D242/'1. Väestöennuste'!F242*1000</f>
        <v>957.85440613026822</v>
      </c>
      <c r="X242" s="41">
        <f>E242/'1. Väestöennuste'!G242*1000</f>
        <v>606.71936758893287</v>
      </c>
      <c r="Y242" s="41">
        <f>F242/'1. Väestöennuste'!H242*1000</f>
        <v>-13.793103448275861</v>
      </c>
      <c r="Z242" s="41">
        <f>G242/'1. Väestöennuste'!I242*1000</f>
        <v>104.4776119402985</v>
      </c>
      <c r="AA242" s="41">
        <f>H242/'1. Väestöennuste'!J242*1000</f>
        <v>213.10137106689623</v>
      </c>
      <c r="AB242" s="41">
        <f>I242/'1. Väestöennuste'!K242*1000</f>
        <v>1105.1352333376879</v>
      </c>
      <c r="AC242" s="41">
        <f>J242/'1. Väestöennuste'!L242*1000</f>
        <v>854.50073771378561</v>
      </c>
      <c r="AD242" s="41">
        <f>K242/'1. Väestöennuste'!M242*1000</f>
        <v>334.68912276469683</v>
      </c>
      <c r="AE242" s="41">
        <f>L242/'1. Väestöennuste'!N242*1000</f>
        <v>39.101777898732969</v>
      </c>
      <c r="AF242" s="41">
        <f>M242/'1. Väestöennuste'!O242*1000</f>
        <v>10.980323464379277</v>
      </c>
      <c r="AG242" s="41">
        <f>N242/'1. Väestöennuste'!P242*1000</f>
        <v>24.126501688157461</v>
      </c>
      <c r="AH242" s="41">
        <f>O242/'1. Väestöennuste'!Q242*1000</f>
        <v>-5.3340536266563179</v>
      </c>
      <c r="AI242" s="41">
        <f>P242/'1. Väestöennuste'!R242*1000</f>
        <v>47.571203550740648</v>
      </c>
      <c r="AK242" s="41">
        <f>'6. Poistot'!Z242</f>
        <v>287.56218905472633</v>
      </c>
      <c r="AL242" s="41">
        <f>'6. Poistot'!AA242</f>
        <v>774.03369672943506</v>
      </c>
      <c r="AM242" s="41">
        <f>'6. Poistot'!AB242</f>
        <v>246.71124876114965</v>
      </c>
      <c r="AN242" s="41">
        <f>'6. Poistot'!AC242</f>
        <v>213.81093117408909</v>
      </c>
      <c r="AO242" s="41">
        <f>'6. Poistot'!AD242</f>
        <v>216.77928425357874</v>
      </c>
      <c r="AP242" s="41">
        <f>'6. Poistot'!AE242</f>
        <v>297.7891504605937</v>
      </c>
      <c r="AQ242" s="41">
        <f>'6. Poistot'!AF242</f>
        <v>299.3374485596708</v>
      </c>
      <c r="AR242" s="41">
        <f>'6. Poistot'!AG242</f>
        <v>300.88521199586347</v>
      </c>
      <c r="AS242" s="41">
        <f>'6. Poistot'!AH242</f>
        <v>311.56025455721004</v>
      </c>
      <c r="AT242" s="41">
        <f>'6. Poistot'!AI242</f>
        <v>322.63767790239672</v>
      </c>
      <c r="AV242" s="4">
        <f t="shared" si="63"/>
        <v>0</v>
      </c>
      <c r="AW242" s="4">
        <f t="shared" si="64"/>
        <v>0</v>
      </c>
      <c r="AX242" s="4">
        <f t="shared" si="65"/>
        <v>0</v>
      </c>
      <c r="AY242" s="4">
        <f t="shared" si="66"/>
        <v>1</v>
      </c>
      <c r="AZ242" s="4">
        <f t="shared" si="67"/>
        <v>1</v>
      </c>
      <c r="BA242" s="4">
        <f t="shared" si="68"/>
        <v>1</v>
      </c>
      <c r="BB242" s="4">
        <f t="shared" si="69"/>
        <v>1</v>
      </c>
      <c r="BC242" s="4">
        <f t="shared" si="70"/>
        <v>1</v>
      </c>
      <c r="BE242" s="405">
        <f t="shared" si="71"/>
        <v>0</v>
      </c>
      <c r="BF242" s="405">
        <f t="shared" si="72"/>
        <v>0</v>
      </c>
      <c r="BG242" s="405">
        <f t="shared" si="73"/>
        <v>0</v>
      </c>
      <c r="BH242" s="405">
        <f t="shared" si="74"/>
        <v>0</v>
      </c>
      <c r="BI242" s="405">
        <f t="shared" si="75"/>
        <v>0</v>
      </c>
      <c r="BJ242" s="405">
        <f t="shared" si="76"/>
        <v>0</v>
      </c>
      <c r="BK242" s="405">
        <f t="shared" si="77"/>
        <v>0</v>
      </c>
      <c r="BL242" s="405">
        <f t="shared" si="78"/>
        <v>0</v>
      </c>
      <c r="BM242" s="405">
        <f t="shared" si="79"/>
        <v>-1</v>
      </c>
      <c r="BN242" s="405">
        <f t="shared" si="79"/>
        <v>0</v>
      </c>
    </row>
    <row r="243" spans="1:66" x14ac:dyDescent="0.2">
      <c r="A243" s="34">
        <v>743</v>
      </c>
      <c r="B243" s="88" t="s">
        <v>557</v>
      </c>
      <c r="C243" s="41" t="e">
        <f>'2. Toimintakate'!D243+'3. Verotulot'!G243+'4. Valtionosuudet'!#REF!+'5. Rahoitustuotot ja -kulut'!C243</f>
        <v>#REF!</v>
      </c>
      <c r="D243" s="41">
        <f>'2. Toimintakate'!E243+'4. Valtionosuudet'!H243+'3. Verotulot'!L243+'5. Rahoitustuotot ja -kulut'!D243</f>
        <v>26696</v>
      </c>
      <c r="E243" s="41">
        <f>'2. Toimintakate'!F243+'4. Valtionosuudet'!N243+'3. Verotulot'!Q243+'5. Rahoitustuotot ja -kulut'!E243</f>
        <v>29177</v>
      </c>
      <c r="F243" s="41">
        <f>'2. Toimintakate'!G243+'4. Valtionosuudet'!T243+'3. Verotulot'!V243+'5. Rahoitustuotot ja -kulut'!F243</f>
        <v>14474</v>
      </c>
      <c r="G243" s="41">
        <f>'2. Toimintakate'!H243+'3. Verotulot'!AA243+'4. Valtionosuudet'!Z243+'5. Rahoitustuotot ja -kulut'!G243</f>
        <v>-249</v>
      </c>
      <c r="H243" s="41">
        <f>Käyttökate!H243+'5. Rahoitustuotot ja -kulut'!H243</f>
        <v>38031.734185364796</v>
      </c>
      <c r="I243" s="41">
        <f>Käyttökate!I243+'5. Rahoitustuotot ja -kulut'!I243</f>
        <v>17515.754226762201</v>
      </c>
      <c r="J243" s="41">
        <f>Käyttökate!J243+'5. Rahoitustuotot ja -kulut'!J243</f>
        <v>41510.759395760761</v>
      </c>
      <c r="K243" s="41">
        <f>Käyttökate!K243+'5. Rahoitustuotot ja -kulut'!K243</f>
        <v>7679.4857532999422</v>
      </c>
      <c r="L243" s="41">
        <f>Käyttökate!L243+'5. Rahoitustuotot ja -kulut'!L243</f>
        <v>20912.854467540554</v>
      </c>
      <c r="M243" s="41">
        <f>Käyttökate!M243+'5. Rahoitustuotot ja -kulut'!M243</f>
        <v>-7041.1242579552127</v>
      </c>
      <c r="N243" s="41">
        <f>Käyttökate!N243+'5. Rahoitustuotot ja -kulut'!N243</f>
        <v>-5053.3041088901446</v>
      </c>
      <c r="O243" s="41">
        <f>Käyttökate!O243+'5. Rahoitustuotot ja -kulut'!O243</f>
        <v>-4035.6786289774464</v>
      </c>
      <c r="P243" s="41">
        <f>Käyttökate!P243+'5. Rahoitustuotot ja -kulut'!P243</f>
        <v>-1536.2932088720627</v>
      </c>
      <c r="T243" s="34">
        <v>743</v>
      </c>
      <c r="U243" s="88" t="s">
        <v>557</v>
      </c>
      <c r="V243" s="41" t="e">
        <f>C243/'1. Väestöennuste'!E243*1000</f>
        <v>#REF!</v>
      </c>
      <c r="W243" s="41">
        <f>D243/'1. Väestöennuste'!F243*1000</f>
        <v>430.21981563849675</v>
      </c>
      <c r="X243" s="41">
        <f>E243/'1. Väestöennuste'!G243*1000</f>
        <v>465.52109260322931</v>
      </c>
      <c r="Y243" s="41">
        <f>F243/'1. Väestöennuste'!H243*1000</f>
        <v>228.70054354695992</v>
      </c>
      <c r="Z243" s="41">
        <f>G243/'1. Väestöennuste'!I243*1000</f>
        <v>-3.9039839450620089</v>
      </c>
      <c r="AA243" s="41">
        <f>H243/'1. Väestöennuste'!J243*1000</f>
        <v>593.04123164454688</v>
      </c>
      <c r="AB243" s="41">
        <f>I243/'1. Väestöennuste'!K243*1000</f>
        <v>270.5720808632322</v>
      </c>
      <c r="AC243" s="41">
        <f>J243/'1. Väestöennuste'!L243*1000</f>
        <v>635.4692741570467</v>
      </c>
      <c r="AD243" s="41">
        <f>K243/'1. Väestöennuste'!M243*1000</f>
        <v>116.07445213573068</v>
      </c>
      <c r="AE243" s="41">
        <f>L243/'1. Väestöennuste'!N243*1000</f>
        <v>316.42993595915499</v>
      </c>
      <c r="AF243" s="41">
        <f>M243/'1. Väestöennuste'!O243*1000</f>
        <v>-105.90545623757558</v>
      </c>
      <c r="AG243" s="41">
        <f>N243/'1. Väestöennuste'!P243*1000</f>
        <v>-75.586031095507366</v>
      </c>
      <c r="AH243" s="41">
        <f>O243/'1. Väestöennuste'!Q243*1000</f>
        <v>-60.05295421233663</v>
      </c>
      <c r="AI243" s="41">
        <f>P243/'1. Väestöennuste'!R243*1000</f>
        <v>-22.754505730079725</v>
      </c>
      <c r="AK243" s="41">
        <f>'6. Poistot'!Z243</f>
        <v>348.0190025242627</v>
      </c>
      <c r="AL243" s="41">
        <f>'6. Poistot'!AA243</f>
        <v>388.80399189147045</v>
      </c>
      <c r="AM243" s="41">
        <f>'6. Poistot'!AB243</f>
        <v>356.8462694636678</v>
      </c>
      <c r="AN243" s="41">
        <f>'6. Poistot'!AC243</f>
        <v>386.22736738974021</v>
      </c>
      <c r="AO243" s="41">
        <f>'6. Poistot'!AD243</f>
        <v>317.54589480048367</v>
      </c>
      <c r="AP243" s="41">
        <f>'6. Poistot'!AE243</f>
        <v>328.34014223029203</v>
      </c>
      <c r="AQ243" s="41">
        <f>'6. Poistot'!AF243</f>
        <v>335.41400315860722</v>
      </c>
      <c r="AR243" s="41">
        <f>'6. Poistot'!AG243</f>
        <v>336.54924837334534</v>
      </c>
      <c r="AS243" s="41">
        <f>'6. Poistot'!AH243</f>
        <v>345.61460467410973</v>
      </c>
      <c r="AT243" s="41">
        <f>'6. Poistot'!AI243</f>
        <v>354.76013576958115</v>
      </c>
      <c r="AV243" s="4">
        <f t="shared" si="63"/>
        <v>1</v>
      </c>
      <c r="AW243" s="4">
        <f t="shared" si="64"/>
        <v>0</v>
      </c>
      <c r="AX243" s="4">
        <f t="shared" si="65"/>
        <v>1</v>
      </c>
      <c r="AY243" s="4">
        <f t="shared" si="66"/>
        <v>1</v>
      </c>
      <c r="AZ243" s="4">
        <f t="shared" si="67"/>
        <v>1</v>
      </c>
      <c r="BA243" s="4">
        <f t="shared" si="68"/>
        <v>1</v>
      </c>
      <c r="BB243" s="4">
        <f t="shared" si="69"/>
        <v>1</v>
      </c>
      <c r="BC243" s="4">
        <f t="shared" si="70"/>
        <v>1</v>
      </c>
      <c r="BE243" s="405">
        <f t="shared" si="71"/>
        <v>-1</v>
      </c>
      <c r="BF243" s="405">
        <f t="shared" si="72"/>
        <v>0</v>
      </c>
      <c r="BG243" s="405">
        <f t="shared" si="73"/>
        <v>0</v>
      </c>
      <c r="BH243" s="405">
        <f t="shared" si="74"/>
        <v>0</v>
      </c>
      <c r="BI243" s="405">
        <f t="shared" si="75"/>
        <v>0</v>
      </c>
      <c r="BJ243" s="405">
        <f t="shared" si="76"/>
        <v>0</v>
      </c>
      <c r="BK243" s="405">
        <f t="shared" si="77"/>
        <v>-1</v>
      </c>
      <c r="BL243" s="405">
        <f t="shared" si="78"/>
        <v>-1</v>
      </c>
      <c r="BM243" s="405">
        <f t="shared" si="79"/>
        <v>-1</v>
      </c>
      <c r="BN243" s="405">
        <f t="shared" si="79"/>
        <v>-1</v>
      </c>
    </row>
    <row r="244" spans="1:66" x14ac:dyDescent="0.2">
      <c r="A244" s="34">
        <v>746</v>
      </c>
      <c r="B244" s="88" t="s">
        <v>558</v>
      </c>
      <c r="C244" s="41" t="e">
        <f>'2. Toimintakate'!D244+'3. Verotulot'!G244+'4. Valtionosuudet'!#REF!+'5. Rahoitustuotot ja -kulut'!C244</f>
        <v>#REF!</v>
      </c>
      <c r="D244" s="41">
        <f>'2. Toimintakate'!E244+'4. Valtionosuudet'!H244+'3. Verotulot'!L244+'5. Rahoitustuotot ja -kulut'!D244</f>
        <v>867</v>
      </c>
      <c r="E244" s="41">
        <f>'2. Toimintakate'!F244+'4. Valtionosuudet'!N244+'3. Verotulot'!Q244+'5. Rahoitustuotot ja -kulut'!E244</f>
        <v>3035</v>
      </c>
      <c r="F244" s="41">
        <f>'2. Toimintakate'!G244+'4. Valtionosuudet'!T244+'3. Verotulot'!V244+'5. Rahoitustuotot ja -kulut'!F244</f>
        <v>1379</v>
      </c>
      <c r="G244" s="41">
        <f>'2. Toimintakate'!H244+'3. Verotulot'!AA244+'4. Valtionosuudet'!Z244+'5. Rahoitustuotot ja -kulut'!G244</f>
        <v>66</v>
      </c>
      <c r="H244" s="41">
        <f>Käyttökate!H244+'5. Rahoitustuotot ja -kulut'!H244</f>
        <v>4195.6781913846244</v>
      </c>
      <c r="I244" s="41">
        <f>Käyttökate!I244+'5. Rahoitustuotot ja -kulut'!I244</f>
        <v>3078.3294484028002</v>
      </c>
      <c r="J244" s="41">
        <f>Käyttökate!J244+'5. Rahoitustuotot ja -kulut'!J244</f>
        <v>4698.327532974753</v>
      </c>
      <c r="K244" s="41">
        <f>Käyttökate!K244+'5. Rahoitustuotot ja -kulut'!K244</f>
        <v>2464.8243578981528</v>
      </c>
      <c r="L244" s="41">
        <f>Käyttökate!L244+'5. Rahoitustuotot ja -kulut'!L244</f>
        <v>555.20381120331842</v>
      </c>
      <c r="M244" s="41">
        <f>Käyttökate!M244+'5. Rahoitustuotot ja -kulut'!M244</f>
        <v>1190.251972824713</v>
      </c>
      <c r="N244" s="41">
        <f>Käyttökate!N244+'5. Rahoitustuotot ja -kulut'!N244</f>
        <v>1302.5026291351182</v>
      </c>
      <c r="O244" s="41">
        <f>Käyttökate!O244+'5. Rahoitustuotot ja -kulut'!O244</f>
        <v>1102.1954638359225</v>
      </c>
      <c r="P244" s="41">
        <f>Käyttökate!P244+'5. Rahoitustuotot ja -kulut'!P244</f>
        <v>1284.477863909003</v>
      </c>
      <c r="T244" s="34">
        <v>746</v>
      </c>
      <c r="U244" s="88" t="s">
        <v>558</v>
      </c>
      <c r="V244" s="41" t="e">
        <f>C244/'1. Väestöennuste'!E244*1000</f>
        <v>#REF!</v>
      </c>
      <c r="W244" s="41">
        <f>D244/'1. Väestöennuste'!F244*1000</f>
        <v>171.03965279147761</v>
      </c>
      <c r="X244" s="41">
        <f>E244/'1. Väestöennuste'!G244*1000</f>
        <v>602.78053624627603</v>
      </c>
      <c r="Y244" s="41">
        <f>F244/'1. Väestöennuste'!H244*1000</f>
        <v>276.90763052208831</v>
      </c>
      <c r="Z244" s="41">
        <f>G244/'1. Väestöennuste'!I244*1000</f>
        <v>13.441955193482688</v>
      </c>
      <c r="AA244" s="41">
        <f>H244/'1. Väestöennuste'!J244*1000</f>
        <v>867.95163247509811</v>
      </c>
      <c r="AB244" s="41">
        <f>I244/'1. Väestöennuste'!K244*1000</f>
        <v>643.86727638627906</v>
      </c>
      <c r="AC244" s="41">
        <f>J244/'1. Väestöennuste'!L244*1000</f>
        <v>992.25502280353817</v>
      </c>
      <c r="AD244" s="41">
        <f>K244/'1. Väestöennuste'!M244*1000</f>
        <v>522.98416250756475</v>
      </c>
      <c r="AE244" s="41">
        <f>L244/'1. Väestöennuste'!N244*1000</f>
        <v>121.46222078392439</v>
      </c>
      <c r="AF244" s="41">
        <f>M244/'1. Väestöennuste'!O244*1000</f>
        <v>264.38293487887893</v>
      </c>
      <c r="AG244" s="41">
        <f>N244/'1. Väestöennuste'!P244*1000</f>
        <v>293.95229725459677</v>
      </c>
      <c r="AH244" s="41">
        <f>O244/'1. Väestöennuste'!Q244*1000</f>
        <v>252.56541334462017</v>
      </c>
      <c r="AI244" s="41">
        <f>P244/'1. Väestöennuste'!R244*1000</f>
        <v>298.7852672502915</v>
      </c>
      <c r="AK244" s="41">
        <f>'6. Poistot'!Z244</f>
        <v>188.18737270875764</v>
      </c>
      <c r="AL244" s="41">
        <f>'6. Poistot'!AA244</f>
        <v>237.89822093504344</v>
      </c>
      <c r="AM244" s="41">
        <f>'6. Poistot'!AB244</f>
        <v>241.74816565572058</v>
      </c>
      <c r="AN244" s="41">
        <f>'6. Poistot'!AC244</f>
        <v>243.28610348468845</v>
      </c>
      <c r="AO244" s="41">
        <f>'6. Poistot'!AD244</f>
        <v>274.09737110120943</v>
      </c>
      <c r="AP244" s="41">
        <f>'6. Poistot'!AE244</f>
        <v>316.71209800918837</v>
      </c>
      <c r="AQ244" s="41">
        <f>'6. Poistot'!AF244</f>
        <v>331.9635717458907</v>
      </c>
      <c r="AR244" s="41">
        <f>'6. Poistot'!AG244</f>
        <v>327.14060031595574</v>
      </c>
      <c r="AS244" s="41">
        <f>'6. Poistot'!AH244</f>
        <v>342.88084249951061</v>
      </c>
      <c r="AT244" s="41">
        <f>'6. Poistot'!AI244</f>
        <v>358.94486935001828</v>
      </c>
      <c r="AV244" s="4">
        <f t="shared" si="63"/>
        <v>0</v>
      </c>
      <c r="AW244" s="4">
        <f t="shared" si="64"/>
        <v>0</v>
      </c>
      <c r="AX244" s="4">
        <f t="shared" si="65"/>
        <v>0</v>
      </c>
      <c r="AY244" s="4">
        <f t="shared" si="66"/>
        <v>1</v>
      </c>
      <c r="AZ244" s="4">
        <f t="shared" si="67"/>
        <v>1</v>
      </c>
      <c r="BA244" s="4">
        <f t="shared" si="68"/>
        <v>1</v>
      </c>
      <c r="BB244" s="4">
        <f t="shared" si="69"/>
        <v>1</v>
      </c>
      <c r="BC244" s="4">
        <f t="shared" si="70"/>
        <v>1</v>
      </c>
      <c r="BE244" s="405">
        <f t="shared" si="71"/>
        <v>0</v>
      </c>
      <c r="BF244" s="405">
        <f t="shared" si="72"/>
        <v>0</v>
      </c>
      <c r="BG244" s="405">
        <f t="shared" si="73"/>
        <v>0</v>
      </c>
      <c r="BH244" s="405">
        <f t="shared" si="74"/>
        <v>0</v>
      </c>
      <c r="BI244" s="405">
        <f t="shared" si="75"/>
        <v>0</v>
      </c>
      <c r="BJ244" s="405">
        <f t="shared" si="76"/>
        <v>0</v>
      </c>
      <c r="BK244" s="405">
        <f t="shared" si="77"/>
        <v>0</v>
      </c>
      <c r="BL244" s="405">
        <f t="shared" si="78"/>
        <v>0</v>
      </c>
      <c r="BM244" s="405">
        <f t="shared" si="79"/>
        <v>0</v>
      </c>
      <c r="BN244" s="405">
        <f t="shared" si="79"/>
        <v>0</v>
      </c>
    </row>
    <row r="245" spans="1:66" x14ac:dyDescent="0.2">
      <c r="A245" s="34">
        <v>747</v>
      </c>
      <c r="B245" s="88" t="s">
        <v>559</v>
      </c>
      <c r="C245" s="41" t="e">
        <f>'2. Toimintakate'!D245+'3. Verotulot'!G245+'4. Valtionosuudet'!#REF!+'5. Rahoitustuotot ja -kulut'!C245</f>
        <v>#REF!</v>
      </c>
      <c r="D245" s="41">
        <f>'2. Toimintakate'!E245+'4. Valtionosuudet'!H245+'3. Verotulot'!L245+'5. Rahoitustuotot ja -kulut'!D245</f>
        <v>833</v>
      </c>
      <c r="E245" s="41">
        <f>'2. Toimintakate'!F245+'4. Valtionosuudet'!N245+'3. Verotulot'!Q245+'5. Rahoitustuotot ja -kulut'!E245</f>
        <v>887</v>
      </c>
      <c r="F245" s="41">
        <f>'2. Toimintakate'!G245+'4. Valtionosuudet'!T245+'3. Verotulot'!V245+'5. Rahoitustuotot ja -kulut'!F245</f>
        <v>885</v>
      </c>
      <c r="G245" s="41">
        <f>'2. Toimintakate'!H245+'3. Verotulot'!AA245+'4. Valtionosuudet'!Z245+'5. Rahoitustuotot ja -kulut'!G245</f>
        <v>1596</v>
      </c>
      <c r="H245" s="41">
        <f>Käyttökate!H245+'5. Rahoitustuotot ja -kulut'!H245</f>
        <v>1487.6713316021669</v>
      </c>
      <c r="I245" s="41">
        <f>Käyttökate!I245+'5. Rahoitustuotot ja -kulut'!I245</f>
        <v>1109.8208383556332</v>
      </c>
      <c r="J245" s="41">
        <f>Käyttökate!J245+'5. Rahoitustuotot ja -kulut'!J245</f>
        <v>777.89646937546058</v>
      </c>
      <c r="K245" s="41">
        <f>Käyttökate!K245+'5. Rahoitustuotot ja -kulut'!K245</f>
        <v>1409.7341947496416</v>
      </c>
      <c r="L245" s="41">
        <f>Käyttökate!L245+'5. Rahoitustuotot ja -kulut'!L245</f>
        <v>-95.989255882245601</v>
      </c>
      <c r="M245" s="41">
        <f>Käyttökate!M245+'5. Rahoitustuotot ja -kulut'!M245</f>
        <v>614.71838737206201</v>
      </c>
      <c r="N245" s="41">
        <f>Käyttökate!N245+'5. Rahoitustuotot ja -kulut'!N245</f>
        <v>741.59664442230439</v>
      </c>
      <c r="O245" s="41">
        <f>Käyttökate!O245+'5. Rahoitustuotot ja -kulut'!O245</f>
        <v>694.92488930123136</v>
      </c>
      <c r="P245" s="41">
        <f>Käyttökate!P245+'5. Rahoitustuotot ja -kulut'!P245</f>
        <v>801.16737169254588</v>
      </c>
      <c r="T245" s="34">
        <v>747</v>
      </c>
      <c r="U245" s="88" t="s">
        <v>559</v>
      </c>
      <c r="V245" s="41" t="e">
        <f>C245/'1. Väestöennuste'!E245*1000</f>
        <v>#REF!</v>
      </c>
      <c r="W245" s="41">
        <f>D245/'1. Väestöennuste'!F245*1000</f>
        <v>557.56358768406972</v>
      </c>
      <c r="X245" s="41">
        <f>E245/'1. Väestöennuste'!G245*1000</f>
        <v>600.94850948509486</v>
      </c>
      <c r="Y245" s="41">
        <f>F245/'1. Väestöennuste'!H245*1000</f>
        <v>606.99588477366251</v>
      </c>
      <c r="Z245" s="41">
        <f>G245/'1. Väestöennuste'!I245*1000</f>
        <v>1110.6471816283924</v>
      </c>
      <c r="AA245" s="41">
        <f>H245/'1. Väestöennuste'!J245*1000</f>
        <v>1074.1309253445247</v>
      </c>
      <c r="AB245" s="41">
        <f>I245/'1. Väestöennuste'!K245*1000</f>
        <v>820.87340115061625</v>
      </c>
      <c r="AC245" s="41">
        <f>J245/'1. Väestöennuste'!L245*1000</f>
        <v>594.72207138796682</v>
      </c>
      <c r="AD245" s="41">
        <f>K245/'1. Väestöennuste'!M245*1000</f>
        <v>1098.7795750192063</v>
      </c>
      <c r="AE245" s="41">
        <f>L245/'1. Väestöennuste'!N245*1000</f>
        <v>-74.295089692140564</v>
      </c>
      <c r="AF245" s="41">
        <f>M245/'1. Väestöennuste'!O245*1000</f>
        <v>482.13206852710744</v>
      </c>
      <c r="AG245" s="41">
        <f>N245/'1. Väestöennuste'!P245*1000</f>
        <v>589.50448682218155</v>
      </c>
      <c r="AH245" s="41">
        <f>O245/'1. Väestöennuste'!Q245*1000</f>
        <v>559.07070740243864</v>
      </c>
      <c r="AI245" s="41">
        <f>P245/'1. Väestöennuste'!R245*1000</f>
        <v>654.01418097350688</v>
      </c>
      <c r="AK245" s="41">
        <f>'6. Poistot'!Z245</f>
        <v>373.69519832985389</v>
      </c>
      <c r="AL245" s="41">
        <f>'6. Poistot'!AA245</f>
        <v>397.11191335740068</v>
      </c>
      <c r="AM245" s="41">
        <f>'6. Poistot'!AB245</f>
        <v>377.93738165680475</v>
      </c>
      <c r="AN245" s="41">
        <f>'6. Poistot'!AC245</f>
        <v>362.30061162079511</v>
      </c>
      <c r="AO245" s="41">
        <f>'6. Poistot'!AD245</f>
        <v>557.22472330475443</v>
      </c>
      <c r="AP245" s="41">
        <f>'6. Poistot'!AE245</f>
        <v>403.86808049535597</v>
      </c>
      <c r="AQ245" s="41">
        <f>'6. Poistot'!AF245</f>
        <v>408.97435294117639</v>
      </c>
      <c r="AR245" s="41">
        <f>'6. Poistot'!AG245</f>
        <v>414.50103338632744</v>
      </c>
      <c r="AS245" s="41">
        <f>'6. Poistot'!AH245</f>
        <v>433.03888564009083</v>
      </c>
      <c r="AT245" s="41">
        <f>'6. Poistot'!AI245</f>
        <v>453.13662832756398</v>
      </c>
      <c r="AV245" s="4">
        <f t="shared" si="63"/>
        <v>0</v>
      </c>
      <c r="AW245" s="4">
        <f t="shared" si="64"/>
        <v>0</v>
      </c>
      <c r="AX245" s="4">
        <f t="shared" si="65"/>
        <v>0</v>
      </c>
      <c r="AY245" s="4">
        <f t="shared" si="66"/>
        <v>1</v>
      </c>
      <c r="AZ245" s="4">
        <f t="shared" si="67"/>
        <v>0</v>
      </c>
      <c r="BA245" s="4">
        <f t="shared" si="68"/>
        <v>0</v>
      </c>
      <c r="BB245" s="4">
        <f t="shared" si="69"/>
        <v>0</v>
      </c>
      <c r="BC245" s="4">
        <f t="shared" si="70"/>
        <v>0</v>
      </c>
      <c r="BE245" s="405">
        <f t="shared" si="71"/>
        <v>0</v>
      </c>
      <c r="BF245" s="405">
        <f t="shared" si="72"/>
        <v>0</v>
      </c>
      <c r="BG245" s="405">
        <f t="shared" si="73"/>
        <v>0</v>
      </c>
      <c r="BH245" s="405">
        <f t="shared" si="74"/>
        <v>0</v>
      </c>
      <c r="BI245" s="405">
        <f t="shared" si="75"/>
        <v>0</v>
      </c>
      <c r="BJ245" s="405">
        <f t="shared" si="76"/>
        <v>-1</v>
      </c>
      <c r="BK245" s="405">
        <f t="shared" si="77"/>
        <v>0</v>
      </c>
      <c r="BL245" s="405">
        <f t="shared" si="78"/>
        <v>0</v>
      </c>
      <c r="BM245" s="405">
        <f t="shared" si="79"/>
        <v>0</v>
      </c>
      <c r="BN245" s="405">
        <f t="shared" si="79"/>
        <v>0</v>
      </c>
    </row>
    <row r="246" spans="1:66" x14ac:dyDescent="0.2">
      <c r="A246" s="34">
        <v>748</v>
      </c>
      <c r="B246" s="88" t="s">
        <v>560</v>
      </c>
      <c r="C246" s="41" t="e">
        <f>'2. Toimintakate'!D246+'3. Verotulot'!G246+'4. Valtionosuudet'!#REF!+'5. Rahoitustuotot ja -kulut'!C246</f>
        <v>#REF!</v>
      </c>
      <c r="D246" s="41">
        <f>'2. Toimintakate'!E246+'4. Valtionosuudet'!H246+'3. Verotulot'!L246+'5. Rahoitustuotot ja -kulut'!D246</f>
        <v>2264</v>
      </c>
      <c r="E246" s="41">
        <f>'2. Toimintakate'!F246+'4. Valtionosuudet'!N246+'3. Verotulot'!Q246+'5. Rahoitustuotot ja -kulut'!E246</f>
        <v>2474</v>
      </c>
      <c r="F246" s="41">
        <f>'2. Toimintakate'!G246+'4. Valtionosuudet'!T246+'3. Verotulot'!V246+'5. Rahoitustuotot ja -kulut'!F246</f>
        <v>1399</v>
      </c>
      <c r="G246" s="41">
        <f>'2. Toimintakate'!H246+'3. Verotulot'!AA246+'4. Valtionosuudet'!Z246+'5. Rahoitustuotot ja -kulut'!G246</f>
        <v>2578</v>
      </c>
      <c r="H246" s="41">
        <f>Käyttökate!H246+'5. Rahoitustuotot ja -kulut'!H246</f>
        <v>4273.3297541980792</v>
      </c>
      <c r="I246" s="41">
        <f>Käyttökate!I246+'5. Rahoitustuotot ja -kulut'!I246</f>
        <v>2102.9365081397</v>
      </c>
      <c r="J246" s="41">
        <f>Käyttökate!J246+'5. Rahoitustuotot ja -kulut'!J246</f>
        <v>3148.8794991736067</v>
      </c>
      <c r="K246" s="41">
        <f>Käyttökate!K246+'5. Rahoitustuotot ja -kulut'!K246</f>
        <v>350.47185630985621</v>
      </c>
      <c r="L246" s="41">
        <f>Käyttökate!L246+'5. Rahoitustuotot ja -kulut'!L246</f>
        <v>161.08839077905685</v>
      </c>
      <c r="M246" s="41">
        <f>Käyttökate!M246+'5. Rahoitustuotot ja -kulut'!M246</f>
        <v>-1581.521496521498</v>
      </c>
      <c r="N246" s="41">
        <f>Käyttökate!N246+'5. Rahoitustuotot ja -kulut'!N246</f>
        <v>-1702.0537956992218</v>
      </c>
      <c r="O246" s="41">
        <f>Käyttökate!O246+'5. Rahoitustuotot ja -kulut'!O246</f>
        <v>-1887.5365303473666</v>
      </c>
      <c r="P246" s="41">
        <f>Käyttökate!P246+'5. Rahoitustuotot ja -kulut'!P246</f>
        <v>-1781.0692002077265</v>
      </c>
      <c r="T246" s="34">
        <v>748</v>
      </c>
      <c r="U246" s="88" t="s">
        <v>560</v>
      </c>
      <c r="V246" s="41" t="e">
        <f>C246/'1. Väestöennuste'!E246*1000</f>
        <v>#REF!</v>
      </c>
      <c r="W246" s="41">
        <f>D246/'1. Väestöennuste'!F246*1000</f>
        <v>421.91576593365636</v>
      </c>
      <c r="X246" s="41">
        <f>E246/'1. Väestöennuste'!G246*1000</f>
        <v>463.03574770728056</v>
      </c>
      <c r="Y246" s="41">
        <f>F246/'1. Väestöennuste'!H246*1000</f>
        <v>266.52695751571724</v>
      </c>
      <c r="Z246" s="41">
        <f>G246/'1. Väestöennuste'!I246*1000</f>
        <v>501.0689990281827</v>
      </c>
      <c r="AA246" s="41">
        <f>H246/'1. Väestöennuste'!J246*1000</f>
        <v>848.89347520820002</v>
      </c>
      <c r="AB246" s="41">
        <f>I246/'1. Väestöennuste'!K246*1000</f>
        <v>418.24512890606604</v>
      </c>
      <c r="AC246" s="41">
        <f>J246/'1. Väestöennuste'!L246*1000</f>
        <v>643.02215625354427</v>
      </c>
      <c r="AD246" s="41">
        <f>K246/'1. Väestöennuste'!M246*1000</f>
        <v>72.456451583596476</v>
      </c>
      <c r="AE246" s="41">
        <f>L246/'1. Väestöennuste'!N246*1000</f>
        <v>34.583166762356555</v>
      </c>
      <c r="AF246" s="41">
        <f>M246/'1. Väestöennuste'!O246*1000</f>
        <v>-345.76333548786573</v>
      </c>
      <c r="AG246" s="41">
        <f>N246/'1. Väestöennuste'!P246*1000</f>
        <v>-378.40235564678119</v>
      </c>
      <c r="AH246" s="41">
        <f>O246/'1. Väestöennuste'!Q246*1000</f>
        <v>-426.56192776211674</v>
      </c>
      <c r="AI246" s="41">
        <f>P246/'1. Väestöennuste'!R246*1000</f>
        <v>-409.06504368574332</v>
      </c>
      <c r="AK246" s="41">
        <f>'6. Poistot'!Z246</f>
        <v>250.53449951409135</v>
      </c>
      <c r="AL246" s="41">
        <f>'6. Poistot'!AA246</f>
        <v>369.48748510131105</v>
      </c>
      <c r="AM246" s="41">
        <f>'6. Poistot'!AB246</f>
        <v>187.51214797136038</v>
      </c>
      <c r="AN246" s="41">
        <f>'6. Poistot'!AC246</f>
        <v>177.13369818256075</v>
      </c>
      <c r="AO246" s="41">
        <f>'6. Poistot'!AD246</f>
        <v>190.96862724829438</v>
      </c>
      <c r="AP246" s="41">
        <f>'6. Poistot'!AE246</f>
        <v>257.70030055817944</v>
      </c>
      <c r="AQ246" s="41">
        <f>'6. Poistot'!AF246</f>
        <v>262.4328815041539</v>
      </c>
      <c r="AR246" s="41">
        <f>'6. Poistot'!AG246</f>
        <v>266.8670520231214</v>
      </c>
      <c r="AS246" s="41">
        <f>'6. Poistot'!AH246</f>
        <v>280.02248197133986</v>
      </c>
      <c r="AT246" s="41">
        <f>'6. Poistot'!AI246</f>
        <v>293.48437424123961</v>
      </c>
      <c r="AV246" s="4">
        <f t="shared" si="63"/>
        <v>0</v>
      </c>
      <c r="AW246" s="4">
        <f t="shared" si="64"/>
        <v>0</v>
      </c>
      <c r="AX246" s="4">
        <f t="shared" si="65"/>
        <v>1</v>
      </c>
      <c r="AY246" s="4">
        <f t="shared" si="66"/>
        <v>1</v>
      </c>
      <c r="AZ246" s="4">
        <f t="shared" si="67"/>
        <v>1</v>
      </c>
      <c r="BA246" s="4">
        <f t="shared" si="68"/>
        <v>1</v>
      </c>
      <c r="BB246" s="4">
        <f t="shared" si="69"/>
        <v>1</v>
      </c>
      <c r="BC246" s="4">
        <f t="shared" si="70"/>
        <v>1</v>
      </c>
      <c r="BE246" s="405">
        <f t="shared" si="71"/>
        <v>0</v>
      </c>
      <c r="BF246" s="405">
        <f t="shared" si="72"/>
        <v>0</v>
      </c>
      <c r="BG246" s="405">
        <f t="shared" si="73"/>
        <v>0</v>
      </c>
      <c r="BH246" s="405">
        <f t="shared" si="74"/>
        <v>0</v>
      </c>
      <c r="BI246" s="405">
        <f t="shared" si="75"/>
        <v>0</v>
      </c>
      <c r="BJ246" s="405">
        <f t="shared" si="76"/>
        <v>0</v>
      </c>
      <c r="BK246" s="405">
        <f t="shared" si="77"/>
        <v>-1</v>
      </c>
      <c r="BL246" s="405">
        <f t="shared" si="78"/>
        <v>-1</v>
      </c>
      <c r="BM246" s="405">
        <f t="shared" si="79"/>
        <v>-1</v>
      </c>
      <c r="BN246" s="405">
        <f t="shared" si="79"/>
        <v>-1</v>
      </c>
    </row>
    <row r="247" spans="1:66" x14ac:dyDescent="0.2">
      <c r="A247" s="34">
        <v>749</v>
      </c>
      <c r="B247" s="88" t="s">
        <v>561</v>
      </c>
      <c r="C247" s="41" t="e">
        <f>'2. Toimintakate'!D247+'3. Verotulot'!G247+'4. Valtionosuudet'!#REF!+'5. Rahoitustuotot ja -kulut'!C247</f>
        <v>#REF!</v>
      </c>
      <c r="D247" s="41">
        <f>'2. Toimintakate'!E247+'4. Valtionosuudet'!H247+'3. Verotulot'!L247+'5. Rahoitustuotot ja -kulut'!D247</f>
        <v>7202</v>
      </c>
      <c r="E247" s="41">
        <f>'2. Toimintakate'!F247+'4. Valtionosuudet'!N247+'3. Verotulot'!Q247+'5. Rahoitustuotot ja -kulut'!E247</f>
        <v>8178</v>
      </c>
      <c r="F247" s="41">
        <f>'2. Toimintakate'!G247+'4. Valtionosuudet'!T247+'3. Verotulot'!V247+'5. Rahoitustuotot ja -kulut'!F247</f>
        <v>3285</v>
      </c>
      <c r="G247" s="41">
        <f>'2. Toimintakate'!H247+'3. Verotulot'!AA247+'4. Valtionosuudet'!Z247+'5. Rahoitustuotot ja -kulut'!G247</f>
        <v>-2348</v>
      </c>
      <c r="H247" s="41">
        <f>Käyttökate!H247+'5. Rahoitustuotot ja -kulut'!H247</f>
        <v>9519.7622350998136</v>
      </c>
      <c r="I247" s="41">
        <f>Käyttökate!I247+'5. Rahoitustuotot ja -kulut'!I247</f>
        <v>7356.5719230471523</v>
      </c>
      <c r="J247" s="41">
        <f>Käyttökate!J247+'5. Rahoitustuotot ja -kulut'!J247</f>
        <v>4550.4322459989598</v>
      </c>
      <c r="K247" s="41">
        <f>Käyttökate!K247+'5. Rahoitustuotot ja -kulut'!K247</f>
        <v>8298.8844614215177</v>
      </c>
      <c r="L247" s="41">
        <f>Käyttökate!L247+'5. Rahoitustuotot ja -kulut'!L247</f>
        <v>8759.7370800188728</v>
      </c>
      <c r="M247" s="41">
        <f>Käyttökate!M247+'5. Rahoitustuotot ja -kulut'!M247</f>
        <v>5176.6208119970597</v>
      </c>
      <c r="N247" s="41">
        <f>Käyttökate!N247+'5. Rahoitustuotot ja -kulut'!N247</f>
        <v>3582.0268848232076</v>
      </c>
      <c r="O247" s="41">
        <f>Käyttökate!O247+'5. Rahoitustuotot ja -kulut'!O247</f>
        <v>4130.3305685712612</v>
      </c>
      <c r="P247" s="41">
        <f>Käyttökate!P247+'5. Rahoitustuotot ja -kulut'!P247</f>
        <v>6442.5970739506374</v>
      </c>
      <c r="T247" s="34">
        <v>749</v>
      </c>
      <c r="U247" s="88" t="s">
        <v>561</v>
      </c>
      <c r="V247" s="41" t="e">
        <f>C247/'1. Väestöennuste'!E247*1000</f>
        <v>#REF!</v>
      </c>
      <c r="W247" s="41">
        <f>D247/'1. Väestöennuste'!F247*1000</f>
        <v>330.85262771040055</v>
      </c>
      <c r="X247" s="41">
        <f>E247/'1. Väestöennuste'!G247*1000</f>
        <v>377.61462806482893</v>
      </c>
      <c r="Y247" s="41">
        <f>F247/'1. Väestöennuste'!H247*1000</f>
        <v>151.56408600166097</v>
      </c>
      <c r="Z247" s="41">
        <f>G247/'1. Väestöennuste'!I247*1000</f>
        <v>-109.6018298090837</v>
      </c>
      <c r="AA247" s="41">
        <f>H247/'1. Väestöennuste'!J247*1000</f>
        <v>447.96773022915693</v>
      </c>
      <c r="AB247" s="41">
        <f>I247/'1. Väestöennuste'!K247*1000</f>
        <v>345.49250566135123</v>
      </c>
      <c r="AC247" s="41">
        <f>J247/'1. Väestöennuste'!L247*1000</f>
        <v>214.31952929535416</v>
      </c>
      <c r="AD247" s="41">
        <f>K247/'1. Väestöennuste'!M247*1000</f>
        <v>389.80199443032024</v>
      </c>
      <c r="AE247" s="41">
        <f>L247/'1. Väestöennuste'!N247*1000</f>
        <v>420.25221070902285</v>
      </c>
      <c r="AF247" s="41">
        <f>M247/'1. Väestöennuste'!O247*1000</f>
        <v>249.58395506470566</v>
      </c>
      <c r="AG247" s="41">
        <f>N247/'1. Väestöennuste'!P247*1000</f>
        <v>173.65719129409064</v>
      </c>
      <c r="AH247" s="41">
        <f>O247/'1. Väestöennuste'!Q247*1000</f>
        <v>201.40094443979234</v>
      </c>
      <c r="AI247" s="41">
        <f>P247/'1. Väestöennuste'!R247*1000</f>
        <v>316.01496414139586</v>
      </c>
      <c r="AK247" s="41">
        <f>'6. Poistot'!Z247</f>
        <v>346.35671941371419</v>
      </c>
      <c r="AL247" s="41">
        <f>'6. Poistot'!AA247</f>
        <v>313.16173356547927</v>
      </c>
      <c r="AM247" s="41">
        <f>'6. Poistot'!AB247</f>
        <v>320.75990090640124</v>
      </c>
      <c r="AN247" s="41">
        <f>'6. Poistot'!AC247</f>
        <v>317.43418048229086</v>
      </c>
      <c r="AO247" s="41">
        <f>'6. Poistot'!AD247</f>
        <v>402.09781258806953</v>
      </c>
      <c r="AP247" s="41">
        <f>'6. Poistot'!AE247</f>
        <v>348.10089234312028</v>
      </c>
      <c r="AQ247" s="41">
        <f>'6. Poistot'!AF247</f>
        <v>349.62701509088276</v>
      </c>
      <c r="AR247" s="41">
        <f>'6. Poistot'!AG247</f>
        <v>370.97833907015081</v>
      </c>
      <c r="AS247" s="41">
        <f>'6. Poistot'!AH247</f>
        <v>385.17055441474491</v>
      </c>
      <c r="AT247" s="41">
        <f>'6. Poistot'!AI247</f>
        <v>399.56762936553577</v>
      </c>
      <c r="AV247" s="4">
        <f t="shared" si="63"/>
        <v>0</v>
      </c>
      <c r="AW247" s="4">
        <f t="shared" si="64"/>
        <v>1</v>
      </c>
      <c r="AX247" s="4">
        <f t="shared" si="65"/>
        <v>1</v>
      </c>
      <c r="AY247" s="4">
        <f t="shared" si="66"/>
        <v>0</v>
      </c>
      <c r="AZ247" s="4">
        <f t="shared" si="67"/>
        <v>1</v>
      </c>
      <c r="BA247" s="4">
        <f t="shared" si="68"/>
        <v>1</v>
      </c>
      <c r="BB247" s="4">
        <f t="shared" si="69"/>
        <v>1</v>
      </c>
      <c r="BC247" s="4">
        <f t="shared" si="70"/>
        <v>1</v>
      </c>
      <c r="BE247" s="405">
        <f t="shared" si="71"/>
        <v>-1</v>
      </c>
      <c r="BF247" s="405">
        <f t="shared" si="72"/>
        <v>0</v>
      </c>
      <c r="BG247" s="405">
        <f t="shared" si="73"/>
        <v>0</v>
      </c>
      <c r="BH247" s="405">
        <f t="shared" si="74"/>
        <v>0</v>
      </c>
      <c r="BI247" s="405">
        <f t="shared" si="75"/>
        <v>0</v>
      </c>
      <c r="BJ247" s="405">
        <f t="shared" si="76"/>
        <v>0</v>
      </c>
      <c r="BK247" s="405">
        <f t="shared" si="77"/>
        <v>0</v>
      </c>
      <c r="BL247" s="405">
        <f t="shared" si="78"/>
        <v>0</v>
      </c>
      <c r="BM247" s="405">
        <f t="shared" si="79"/>
        <v>0</v>
      </c>
      <c r="BN247" s="405">
        <f t="shared" si="79"/>
        <v>0</v>
      </c>
    </row>
    <row r="248" spans="1:66" x14ac:dyDescent="0.2">
      <c r="A248" s="34">
        <v>751</v>
      </c>
      <c r="B248" s="88" t="s">
        <v>562</v>
      </c>
      <c r="C248" s="41" t="e">
        <f>'2. Toimintakate'!D248+'3. Verotulot'!G248+'4. Valtionosuudet'!#REF!+'5. Rahoitustuotot ja -kulut'!C248</f>
        <v>#REF!</v>
      </c>
      <c r="D248" s="41">
        <f>'2. Toimintakate'!E248+'4. Valtionosuudet'!H248+'3. Verotulot'!L248+'5. Rahoitustuotot ja -kulut'!D248</f>
        <v>1526</v>
      </c>
      <c r="E248" s="41">
        <f>'2. Toimintakate'!F248+'4. Valtionosuudet'!N248+'3. Verotulot'!Q248+'5. Rahoitustuotot ja -kulut'!E248</f>
        <v>1881</v>
      </c>
      <c r="F248" s="41">
        <f>'2. Toimintakate'!G248+'4. Valtionosuudet'!T248+'3. Verotulot'!V248+'5. Rahoitustuotot ja -kulut'!F248</f>
        <v>331</v>
      </c>
      <c r="G248" s="41">
        <f>'2. Toimintakate'!H248+'3. Verotulot'!AA248+'4. Valtionosuudet'!Z248+'5. Rahoitustuotot ja -kulut'!G248</f>
        <v>-738</v>
      </c>
      <c r="H248" s="41">
        <f>Käyttökate!H248+'5. Rahoitustuotot ja -kulut'!H248</f>
        <v>2333.7708072868409</v>
      </c>
      <c r="I248" s="41">
        <f>Käyttökate!I248+'5. Rahoitustuotot ja -kulut'!I248</f>
        <v>1908.6217283533153</v>
      </c>
      <c r="J248" s="41">
        <f>Käyttökate!J248+'5. Rahoitustuotot ja -kulut'!J248</f>
        <v>2815.1521090112301</v>
      </c>
      <c r="K248" s="41">
        <f>Käyttökate!K248+'5. Rahoitustuotot ja -kulut'!K248</f>
        <v>3595.8288633544748</v>
      </c>
      <c r="L248" s="41">
        <f>Käyttökate!L248+'5. Rahoitustuotot ja -kulut'!L248</f>
        <v>1600.598164519457</v>
      </c>
      <c r="M248" s="41">
        <f>Käyttökate!M248+'5. Rahoitustuotot ja -kulut'!M248</f>
        <v>2271.796370758208</v>
      </c>
      <c r="N248" s="41">
        <f>Käyttökate!N248+'5. Rahoitustuotot ja -kulut'!N248</f>
        <v>2017.9050834245886</v>
      </c>
      <c r="O248" s="41">
        <f>Käyttökate!O248+'5. Rahoitustuotot ja -kulut'!O248</f>
        <v>1818.0180514788356</v>
      </c>
      <c r="P248" s="41">
        <f>Käyttökate!P248+'5. Rahoitustuotot ja -kulut'!P248</f>
        <v>2093.5812346085299</v>
      </c>
      <c r="T248" s="34">
        <v>751</v>
      </c>
      <c r="U248" s="88" t="s">
        <v>562</v>
      </c>
      <c r="V248" s="41" t="e">
        <f>C248/'1. Väestöennuste'!E248*1000</f>
        <v>#REF!</v>
      </c>
      <c r="W248" s="41">
        <f>D248/'1. Väestöennuste'!F248*1000</f>
        <v>481.38801261829656</v>
      </c>
      <c r="X248" s="41">
        <f>E248/'1. Väestöennuste'!G248*1000</f>
        <v>604.82315112540198</v>
      </c>
      <c r="Y248" s="41">
        <f>F248/'1. Väestöennuste'!H248*1000</f>
        <v>108.70279146141215</v>
      </c>
      <c r="Z248" s="41">
        <f>G248/'1. Väestöennuste'!I248*1000</f>
        <v>-246.98795180722891</v>
      </c>
      <c r="AA248" s="41">
        <f>H248/'1. Väestöennuste'!J248*1000</f>
        <v>791.10874823282745</v>
      </c>
      <c r="AB248" s="41">
        <f>I248/'1. Väestöennuste'!K248*1000</f>
        <v>657.23888717400666</v>
      </c>
      <c r="AC248" s="41">
        <f>J248/'1. Väestöennuste'!L248*1000</f>
        <v>978.50264477275982</v>
      </c>
      <c r="AD248" s="41">
        <f>K248/'1. Väestöennuste'!M248*1000</f>
        <v>1271.5094990645243</v>
      </c>
      <c r="AE248" s="41">
        <f>L248/'1. Väestöennuste'!N248*1000</f>
        <v>578.87817884971321</v>
      </c>
      <c r="AF248" s="41">
        <f>M248/'1. Väestöennuste'!O248*1000</f>
        <v>835.21925395522351</v>
      </c>
      <c r="AG248" s="41">
        <f>N248/'1. Väestöennuste'!P248*1000</f>
        <v>753.51198036765823</v>
      </c>
      <c r="AH248" s="41">
        <f>O248/'1. Väestöennuste'!Q248*1000</f>
        <v>688.38245038956291</v>
      </c>
      <c r="AI248" s="41">
        <f>P248/'1. Väestöennuste'!R248*1000</f>
        <v>805.22355177251143</v>
      </c>
      <c r="AK248" s="41">
        <f>'6. Poistot'!Z248</f>
        <v>305.89022757697455</v>
      </c>
      <c r="AL248" s="41">
        <f>'6. Poistot'!AA248</f>
        <v>315.93220338983053</v>
      </c>
      <c r="AM248" s="41">
        <f>'6. Poistot'!AB248</f>
        <v>476.2856198347107</v>
      </c>
      <c r="AN248" s="41">
        <f>'6. Poistot'!AC248</f>
        <v>389.22071254779286</v>
      </c>
      <c r="AO248" s="41">
        <f>'6. Poistot'!AD248</f>
        <v>431.38461103253184</v>
      </c>
      <c r="AP248" s="41">
        <f>'6. Poistot'!AE248</f>
        <v>345.49728752260393</v>
      </c>
      <c r="AQ248" s="41">
        <f>'6. Poistot'!AF248</f>
        <v>367.64705882352945</v>
      </c>
      <c r="AR248" s="41">
        <f>'6. Poistot'!AG248</f>
        <v>373.41299477221804</v>
      </c>
      <c r="AS248" s="41">
        <f>'6. Poistot'!AH248</f>
        <v>390.86192373780165</v>
      </c>
      <c r="AT248" s="41">
        <f>'6. Poistot'!AI248</f>
        <v>409.43564660887239</v>
      </c>
      <c r="AV248" s="4">
        <f t="shared" si="63"/>
        <v>0</v>
      </c>
      <c r="AW248" s="4">
        <f t="shared" si="64"/>
        <v>0</v>
      </c>
      <c r="AX248" s="4">
        <f t="shared" si="65"/>
        <v>0</v>
      </c>
      <c r="AY248" s="4">
        <f t="shared" si="66"/>
        <v>0</v>
      </c>
      <c r="AZ248" s="4">
        <f t="shared" si="67"/>
        <v>0</v>
      </c>
      <c r="BA248" s="4">
        <f t="shared" si="68"/>
        <v>0</v>
      </c>
      <c r="BB248" s="4">
        <f t="shared" si="69"/>
        <v>0</v>
      </c>
      <c r="BC248" s="4">
        <f t="shared" si="70"/>
        <v>0</v>
      </c>
      <c r="BE248" s="405">
        <f t="shared" si="71"/>
        <v>-1</v>
      </c>
      <c r="BF248" s="405">
        <f t="shared" si="72"/>
        <v>0</v>
      </c>
      <c r="BG248" s="405">
        <f t="shared" si="73"/>
        <v>0</v>
      </c>
      <c r="BH248" s="405">
        <f t="shared" si="74"/>
        <v>0</v>
      </c>
      <c r="BI248" s="405">
        <f t="shared" si="75"/>
        <v>0</v>
      </c>
      <c r="BJ248" s="405">
        <f t="shared" si="76"/>
        <v>0</v>
      </c>
      <c r="BK248" s="405">
        <f t="shared" si="77"/>
        <v>0</v>
      </c>
      <c r="BL248" s="405">
        <f t="shared" si="78"/>
        <v>0</v>
      </c>
      <c r="BM248" s="405">
        <f t="shared" si="79"/>
        <v>0</v>
      </c>
      <c r="BN248" s="405">
        <f t="shared" si="79"/>
        <v>0</v>
      </c>
    </row>
    <row r="249" spans="1:66" x14ac:dyDescent="0.2">
      <c r="A249" s="34">
        <v>753</v>
      </c>
      <c r="B249" s="88" t="s">
        <v>563</v>
      </c>
      <c r="C249" s="41" t="e">
        <f>'2. Toimintakate'!D249+'3. Verotulot'!G249+'4. Valtionosuudet'!#REF!+'5. Rahoitustuotot ja -kulut'!C249</f>
        <v>#REF!</v>
      </c>
      <c r="D249" s="41">
        <f>'2. Toimintakate'!E249+'4. Valtionosuudet'!H249+'3. Verotulot'!L249+'5. Rahoitustuotot ja -kulut'!D249</f>
        <v>4433</v>
      </c>
      <c r="E249" s="41">
        <f>'2. Toimintakate'!F249+'4. Valtionosuudet'!N249+'3. Verotulot'!Q249+'5. Rahoitustuotot ja -kulut'!E249</f>
        <v>10316</v>
      </c>
      <c r="F249" s="41">
        <f>'2. Toimintakate'!G249+'4. Valtionosuudet'!T249+'3. Verotulot'!V249+'5. Rahoitustuotot ja -kulut'!F249</f>
        <v>7355</v>
      </c>
      <c r="G249" s="41">
        <f>'2. Toimintakate'!H249+'3. Verotulot'!AA249+'4. Valtionosuudet'!Z249+'5. Rahoitustuotot ja -kulut'!G249</f>
        <v>5395</v>
      </c>
      <c r="H249" s="41">
        <f>Käyttökate!H249+'5. Rahoitustuotot ja -kulut'!H249</f>
        <v>15998.077040655855</v>
      </c>
      <c r="I249" s="41">
        <f>Käyttökate!I249+'5. Rahoitustuotot ja -kulut'!I249</f>
        <v>18399.009885845073</v>
      </c>
      <c r="J249" s="41">
        <f>Käyttökate!J249+'5. Rahoitustuotot ja -kulut'!J249</f>
        <v>23400.713398813001</v>
      </c>
      <c r="K249" s="41">
        <f>Käyttökate!K249+'5. Rahoitustuotot ja -kulut'!K249</f>
        <v>18725.699027246133</v>
      </c>
      <c r="L249" s="41">
        <f>Käyttökate!L249+'5. Rahoitustuotot ja -kulut'!L249</f>
        <v>11409.602945024952</v>
      </c>
      <c r="M249" s="41">
        <f>Käyttökate!M249+'5. Rahoitustuotot ja -kulut'!M249</f>
        <v>10521.160637637508</v>
      </c>
      <c r="N249" s="41">
        <f>Käyttökate!N249+'5. Rahoitustuotot ja -kulut'!N249</f>
        <v>9469.8614418859815</v>
      </c>
      <c r="O249" s="41">
        <f>Käyttökate!O249+'5. Rahoitustuotot ja -kulut'!O249</f>
        <v>9019.2271583992151</v>
      </c>
      <c r="P249" s="41">
        <f>Käyttökate!P249+'5. Rahoitustuotot ja -kulut'!P249</f>
        <v>9754.1629415680181</v>
      </c>
      <c r="T249" s="34">
        <v>753</v>
      </c>
      <c r="U249" s="88" t="s">
        <v>563</v>
      </c>
      <c r="V249" s="41" t="e">
        <f>C249/'1. Väestöennuste'!E249*1000</f>
        <v>#REF!</v>
      </c>
      <c r="W249" s="41">
        <f>D249/'1. Väestöennuste'!F249*1000</f>
        <v>222.51781949603452</v>
      </c>
      <c r="X249" s="41">
        <f>E249/'1. Väestöennuste'!G249*1000</f>
        <v>507.92712949286067</v>
      </c>
      <c r="Y249" s="41">
        <f>F249/'1. Väestöennuste'!H249*1000</f>
        <v>355.89857737346364</v>
      </c>
      <c r="Z249" s="41">
        <f>G249/'1. Väestöennuste'!I249*1000</f>
        <v>254.84175720358999</v>
      </c>
      <c r="AA249" s="41">
        <f>H249/'1. Väestöennuste'!J249*1000</f>
        <v>737.68050171327786</v>
      </c>
      <c r="AB249" s="41">
        <f>I249/'1. Väestöennuste'!K249*1000</f>
        <v>829.15772356219338</v>
      </c>
      <c r="AC249" s="41">
        <f>J249/'1. Väestöennuste'!L249*1000</f>
        <v>1048.419059086604</v>
      </c>
      <c r="AD249" s="41">
        <f>K249/'1. Väestöennuste'!M249*1000</f>
        <v>828.75410609631035</v>
      </c>
      <c r="AE249" s="41">
        <f>L249/'1. Väestöennuste'!N249*1000</f>
        <v>490.94677043997211</v>
      </c>
      <c r="AF249" s="41">
        <f>M249/'1. Väestöennuste'!O249*1000</f>
        <v>445.73634289262441</v>
      </c>
      <c r="AG249" s="41">
        <f>N249/'1. Väestöennuste'!P249*1000</f>
        <v>395.2362872239558</v>
      </c>
      <c r="AH249" s="41">
        <f>O249/'1. Väestöennuste'!Q249*1000</f>
        <v>371.13106569003435</v>
      </c>
      <c r="AI249" s="41">
        <f>P249/'1. Väestöennuste'!R249*1000</f>
        <v>396.01164961097879</v>
      </c>
      <c r="AK249" s="41">
        <f>'6. Poistot'!Z249</f>
        <v>659.84884270193663</v>
      </c>
      <c r="AL249" s="41">
        <f>'6. Poistot'!AA249</f>
        <v>422.83395582607091</v>
      </c>
      <c r="AM249" s="41">
        <f>'6. Poistot'!AB249</f>
        <v>665.60738981523207</v>
      </c>
      <c r="AN249" s="41">
        <f>'6. Poistot'!AC249</f>
        <v>437.38837948028674</v>
      </c>
      <c r="AO249" s="41">
        <f>'6. Poistot'!AD249</f>
        <v>659.8599349413588</v>
      </c>
      <c r="AP249" s="41">
        <f>'6. Poistot'!AE249</f>
        <v>453.95869191049917</v>
      </c>
      <c r="AQ249" s="41">
        <f>'6. Poistot'!AF249</f>
        <v>467.54787324182342</v>
      </c>
      <c r="AR249" s="41">
        <f>'6. Poistot'!AG249</f>
        <v>491.36393989983304</v>
      </c>
      <c r="AS249" s="41">
        <f>'6. Poistot'!AH249</f>
        <v>500.08041350882149</v>
      </c>
      <c r="AT249" s="41">
        <f>'6. Poistot'!AI249</f>
        <v>508.82336966354427</v>
      </c>
      <c r="AV249" s="4">
        <f t="shared" si="63"/>
        <v>0</v>
      </c>
      <c r="AW249" s="4">
        <f t="shared" si="64"/>
        <v>0</v>
      </c>
      <c r="AX249" s="4">
        <f t="shared" si="65"/>
        <v>0</v>
      </c>
      <c r="AY249" s="4">
        <f t="shared" si="66"/>
        <v>0</v>
      </c>
      <c r="AZ249" s="4">
        <f t="shared" si="67"/>
        <v>1</v>
      </c>
      <c r="BA249" s="4">
        <f t="shared" si="68"/>
        <v>1</v>
      </c>
      <c r="BB249" s="4">
        <f t="shared" si="69"/>
        <v>1</v>
      </c>
      <c r="BC249" s="4">
        <f t="shared" si="70"/>
        <v>1</v>
      </c>
      <c r="BE249" s="405">
        <f t="shared" si="71"/>
        <v>0</v>
      </c>
      <c r="BF249" s="405">
        <f t="shared" si="72"/>
        <v>0</v>
      </c>
      <c r="BG249" s="405">
        <f t="shared" si="73"/>
        <v>0</v>
      </c>
      <c r="BH249" s="405">
        <f t="shared" si="74"/>
        <v>0</v>
      </c>
      <c r="BI249" s="405">
        <f t="shared" si="75"/>
        <v>0</v>
      </c>
      <c r="BJ249" s="405">
        <f t="shared" si="76"/>
        <v>0</v>
      </c>
      <c r="BK249" s="405">
        <f t="shared" si="77"/>
        <v>0</v>
      </c>
      <c r="BL249" s="405">
        <f t="shared" si="78"/>
        <v>0</v>
      </c>
      <c r="BM249" s="405">
        <f t="shared" si="79"/>
        <v>0</v>
      </c>
      <c r="BN249" s="405">
        <f t="shared" si="79"/>
        <v>0</v>
      </c>
    </row>
    <row r="250" spans="1:66" x14ac:dyDescent="0.2">
      <c r="A250" s="34">
        <v>755</v>
      </c>
      <c r="B250" s="88" t="s">
        <v>564</v>
      </c>
      <c r="C250" s="41" t="e">
        <f>'2. Toimintakate'!D250+'3. Verotulot'!G250+'4. Valtionosuudet'!#REF!+'5. Rahoitustuotot ja -kulut'!C250</f>
        <v>#REF!</v>
      </c>
      <c r="D250" s="41">
        <f>'2. Toimintakate'!E250+'4. Valtionosuudet'!H250+'3. Verotulot'!L250+'5. Rahoitustuotot ja -kulut'!D250</f>
        <v>4270</v>
      </c>
      <c r="E250" s="41">
        <f>'2. Toimintakate'!F250+'4. Valtionosuudet'!N250+'3. Verotulot'!Q250+'5. Rahoitustuotot ja -kulut'!E250</f>
        <v>3540</v>
      </c>
      <c r="F250" s="41">
        <f>'2. Toimintakate'!G250+'4. Valtionosuudet'!T250+'3. Verotulot'!V250+'5. Rahoitustuotot ja -kulut'!F250</f>
        <v>2719</v>
      </c>
      <c r="G250" s="41">
        <f>'2. Toimintakate'!H250+'3. Verotulot'!AA250+'4. Valtionosuudet'!Z250+'5. Rahoitustuotot ja -kulut'!G250</f>
        <v>786</v>
      </c>
      <c r="H250" s="41">
        <f>Käyttökate!H250+'5. Rahoitustuotot ja -kulut'!H250</f>
        <v>3778.5592085550261</v>
      </c>
      <c r="I250" s="41">
        <f>Käyttökate!I250+'5. Rahoitustuotot ja -kulut'!I250</f>
        <v>3408.9309602458925</v>
      </c>
      <c r="J250" s="41">
        <f>Käyttökate!J250+'5. Rahoitustuotot ja -kulut'!J250</f>
        <v>4802.494668942215</v>
      </c>
      <c r="K250" s="41">
        <f>Käyttökate!K250+'5. Rahoitustuotot ja -kulut'!K250</f>
        <v>3727.3917753952155</v>
      </c>
      <c r="L250" s="41">
        <f>Käyttökate!L250+'5. Rahoitustuotot ja -kulut'!L250</f>
        <v>1838.3675973829252</v>
      </c>
      <c r="M250" s="41">
        <f>Käyttökate!M250+'5. Rahoitustuotot ja -kulut'!M250</f>
        <v>1493.9871468974607</v>
      </c>
      <c r="N250" s="41">
        <f>Käyttökate!N250+'5. Rahoitustuotot ja -kulut'!N250</f>
        <v>1606.1945214114673</v>
      </c>
      <c r="O250" s="41">
        <f>Käyttökate!O250+'5. Rahoitustuotot ja -kulut'!O250</f>
        <v>1334.8360458663205</v>
      </c>
      <c r="P250" s="41">
        <f>Käyttökate!P250+'5. Rahoitustuotot ja -kulut'!P250</f>
        <v>1474.6785715360566</v>
      </c>
      <c r="T250" s="34">
        <v>755</v>
      </c>
      <c r="U250" s="88" t="s">
        <v>564</v>
      </c>
      <c r="V250" s="41" t="e">
        <f>C250/'1. Väestöennuste'!E250*1000</f>
        <v>#REF!</v>
      </c>
      <c r="W250" s="41">
        <f>D250/'1. Väestöennuste'!F250*1000</f>
        <v>691.16218841048885</v>
      </c>
      <c r="X250" s="41">
        <f>E250/'1. Väestöennuste'!G250*1000</f>
        <v>575.98438008460789</v>
      </c>
      <c r="Y250" s="41">
        <f>F250/'1. Väestöennuste'!H250*1000</f>
        <v>443.26703619171832</v>
      </c>
      <c r="Z250" s="41">
        <f>G250/'1. Väestöennuste'!I250*1000</f>
        <v>127.90886899918632</v>
      </c>
      <c r="AA250" s="41">
        <f>H250/'1. Väestöennuste'!J250*1000</f>
        <v>614.49978997479695</v>
      </c>
      <c r="AB250" s="41">
        <f>I250/'1. Väestöennuste'!K250*1000</f>
        <v>550.00499519940183</v>
      </c>
      <c r="AC250" s="41">
        <f>J250/'1. Väestöennuste'!L250*1000</f>
        <v>772.47782997301181</v>
      </c>
      <c r="AD250" s="41">
        <f>K250/'1. Väestöennuste'!M250*1000</f>
        <v>605.29259100279569</v>
      </c>
      <c r="AE250" s="41">
        <f>L250/'1. Väestöennuste'!N250*1000</f>
        <v>296.94194756629383</v>
      </c>
      <c r="AF250" s="41">
        <f>M250/'1. Väestöennuste'!O250*1000</f>
        <v>240.96566885442914</v>
      </c>
      <c r="AG250" s="41">
        <f>N250/'1. Väestöennuste'!P250*1000</f>
        <v>258.77147114732838</v>
      </c>
      <c r="AH250" s="41">
        <f>O250/'1. Väestöennuste'!Q250*1000</f>
        <v>214.88023919290413</v>
      </c>
      <c r="AI250" s="41">
        <f>P250/'1. Väestöennuste'!R250*1000</f>
        <v>237.20099268715725</v>
      </c>
      <c r="AK250" s="41">
        <f>'6. Poistot'!Z250</f>
        <v>369.08055329536211</v>
      </c>
      <c r="AL250" s="41">
        <f>'6. Poistot'!AA250</f>
        <v>308.34281997072691</v>
      </c>
      <c r="AM250" s="41">
        <f>'6. Poistot'!AB250</f>
        <v>265.45517586318169</v>
      </c>
      <c r="AN250" s="41">
        <f>'6. Poistot'!AC250</f>
        <v>660.98123210551705</v>
      </c>
      <c r="AO250" s="41">
        <f>'6. Poistot'!AD250</f>
        <v>501.73839233517367</v>
      </c>
      <c r="AP250" s="41">
        <f>'6. Poistot'!AE250</f>
        <v>323.04958811177517</v>
      </c>
      <c r="AQ250" s="41">
        <f>'6. Poistot'!AF250</f>
        <v>338.70967741935482</v>
      </c>
      <c r="AR250" s="41">
        <f>'6. Poistot'!AG250</f>
        <v>362.49395843402613</v>
      </c>
      <c r="AS250" s="41">
        <f>'6. Poistot'!AH250</f>
        <v>373.8891285143194</v>
      </c>
      <c r="AT250" s="41">
        <f>'6. Poistot'!AI250</f>
        <v>385.26596954510273</v>
      </c>
      <c r="AV250" s="4">
        <f t="shared" si="63"/>
        <v>0</v>
      </c>
      <c r="AW250" s="4">
        <f t="shared" si="64"/>
        <v>0</v>
      </c>
      <c r="AX250" s="4">
        <f t="shared" si="65"/>
        <v>0</v>
      </c>
      <c r="AY250" s="4">
        <f t="shared" si="66"/>
        <v>1</v>
      </c>
      <c r="AZ250" s="4">
        <f t="shared" si="67"/>
        <v>1</v>
      </c>
      <c r="BA250" s="4">
        <f t="shared" si="68"/>
        <v>1</v>
      </c>
      <c r="BB250" s="4">
        <f t="shared" si="69"/>
        <v>1</v>
      </c>
      <c r="BC250" s="4">
        <f t="shared" si="70"/>
        <v>1</v>
      </c>
      <c r="BE250" s="405">
        <f t="shared" si="71"/>
        <v>0</v>
      </c>
      <c r="BF250" s="405">
        <f t="shared" si="72"/>
        <v>0</v>
      </c>
      <c r="BG250" s="405">
        <f t="shared" si="73"/>
        <v>0</v>
      </c>
      <c r="BH250" s="405">
        <f t="shared" si="74"/>
        <v>0</v>
      </c>
      <c r="BI250" s="405">
        <f t="shared" si="75"/>
        <v>0</v>
      </c>
      <c r="BJ250" s="405">
        <f t="shared" si="76"/>
        <v>0</v>
      </c>
      <c r="BK250" s="405">
        <f t="shared" si="77"/>
        <v>0</v>
      </c>
      <c r="BL250" s="405">
        <f t="shared" si="78"/>
        <v>0</v>
      </c>
      <c r="BM250" s="405">
        <f t="shared" si="79"/>
        <v>0</v>
      </c>
      <c r="BN250" s="405">
        <f t="shared" si="79"/>
        <v>0</v>
      </c>
    </row>
    <row r="251" spans="1:66" x14ac:dyDescent="0.2">
      <c r="A251" s="34">
        <v>758</v>
      </c>
      <c r="B251" s="88" t="s">
        <v>565</v>
      </c>
      <c r="C251" s="41" t="e">
        <f>'2. Toimintakate'!D251+'3. Verotulot'!G251+'4. Valtionosuudet'!#REF!+'5. Rahoitustuotot ja -kulut'!C251</f>
        <v>#REF!</v>
      </c>
      <c r="D251" s="41">
        <f>'2. Toimintakate'!E251+'4. Valtionosuudet'!H251+'3. Verotulot'!L251+'5. Rahoitustuotot ja -kulut'!D251</f>
        <v>3113</v>
      </c>
      <c r="E251" s="41">
        <f>'2. Toimintakate'!F251+'4. Valtionosuudet'!N251+'3. Verotulot'!Q251+'5. Rahoitustuotot ja -kulut'!E251</f>
        <v>4581</v>
      </c>
      <c r="F251" s="41">
        <f>'2. Toimintakate'!G251+'4. Valtionosuudet'!T251+'3. Verotulot'!V251+'5. Rahoitustuotot ja -kulut'!F251</f>
        <v>1864</v>
      </c>
      <c r="G251" s="41">
        <f>'2. Toimintakate'!H251+'3. Verotulot'!AA251+'4. Valtionosuudet'!Z251+'5. Rahoitustuotot ja -kulut'!G251</f>
        <v>207</v>
      </c>
      <c r="H251" s="41">
        <f>Käyttökate!H251+'5. Rahoitustuotot ja -kulut'!H251</f>
        <v>10010.496228273652</v>
      </c>
      <c r="I251" s="41">
        <f>Käyttökate!I251+'5. Rahoitustuotot ja -kulut'!I251</f>
        <v>9294.0441867221525</v>
      </c>
      <c r="J251" s="41">
        <f>Käyttökate!J251+'5. Rahoitustuotot ja -kulut'!J251</f>
        <v>9667.0428813090984</v>
      </c>
      <c r="K251" s="41">
        <f>Käyttökate!K251+'5. Rahoitustuotot ja -kulut'!K251</f>
        <v>10337.713903115924</v>
      </c>
      <c r="L251" s="41">
        <f>Käyttökate!L251+'5. Rahoitustuotot ja -kulut'!L251</f>
        <v>11353.541918566894</v>
      </c>
      <c r="M251" s="41">
        <f>Käyttökate!M251+'5. Rahoitustuotot ja -kulut'!M251</f>
        <v>11075.853710213287</v>
      </c>
      <c r="N251" s="41">
        <f>Käyttökate!N251+'5. Rahoitustuotot ja -kulut'!N251</f>
        <v>10844.248751295876</v>
      </c>
      <c r="O251" s="41">
        <f>Käyttökate!O251+'5. Rahoitustuotot ja -kulut'!O251</f>
        <v>11646.686004749627</v>
      </c>
      <c r="P251" s="41">
        <f>Käyttökate!P251+'5. Rahoitustuotot ja -kulut'!P251</f>
        <v>12551.225419106311</v>
      </c>
      <c r="T251" s="34">
        <v>758</v>
      </c>
      <c r="U251" s="88" t="s">
        <v>565</v>
      </c>
      <c r="V251" s="41" t="e">
        <f>C251/'1. Väestöennuste'!E251*1000</f>
        <v>#REF!</v>
      </c>
      <c r="W251" s="41">
        <f>D251/'1. Väestöennuste'!F251*1000</f>
        <v>359.75962094071423</v>
      </c>
      <c r="X251" s="41">
        <f>E251/'1. Väestöennuste'!G251*1000</f>
        <v>536.10298420128731</v>
      </c>
      <c r="Y251" s="41">
        <f>F251/'1. Väestöennuste'!H251*1000</f>
        <v>220.74846044528658</v>
      </c>
      <c r="Z251" s="41">
        <f>G251/'1. Väestöennuste'!I251*1000</f>
        <v>24.930747922437675</v>
      </c>
      <c r="AA251" s="41">
        <f>H251/'1. Väestöennuste'!J251*1000</f>
        <v>1211.0447892903039</v>
      </c>
      <c r="AB251" s="41">
        <f>I251/'1. Väestöennuste'!K251*1000</f>
        <v>1135.2197614171432</v>
      </c>
      <c r="AC251" s="41">
        <f>J251/'1. Väestöennuste'!L251*1000</f>
        <v>1188.473430207659</v>
      </c>
      <c r="AD251" s="41">
        <f>K251/'1. Väestöennuste'!M251*1000</f>
        <v>1272.1774431597248</v>
      </c>
      <c r="AE251" s="41">
        <f>L251/'1. Väestöennuste'!N251*1000</f>
        <v>1440.987678457532</v>
      </c>
      <c r="AF251" s="41">
        <f>M251/'1. Väestöennuste'!O251*1000</f>
        <v>1420.3454360365845</v>
      </c>
      <c r="AG251" s="41">
        <f>N251/'1. Väestöennuste'!P251*1000</f>
        <v>1405.2415124136162</v>
      </c>
      <c r="AH251" s="41">
        <f>O251/'1. Väestöennuste'!Q251*1000</f>
        <v>1525.4336613948428</v>
      </c>
      <c r="AI251" s="41">
        <f>P251/'1. Väestöennuste'!R251*1000</f>
        <v>1660.8740795429815</v>
      </c>
      <c r="AK251" s="41">
        <f>'6. Poistot'!Z251</f>
        <v>527.15885824400823</v>
      </c>
      <c r="AL251" s="41">
        <f>'6. Poistot'!AA251</f>
        <v>351.19767723203483</v>
      </c>
      <c r="AM251" s="41">
        <f>'6. Poistot'!AB251</f>
        <v>513.65356540857465</v>
      </c>
      <c r="AN251" s="41">
        <f>'6. Poistot'!AC251</f>
        <v>368.55743545611011</v>
      </c>
      <c r="AO251" s="41">
        <f>'6. Poistot'!AD251</f>
        <v>358.24929485601768</v>
      </c>
      <c r="AP251" s="41">
        <f>'6. Poistot'!AE251</f>
        <v>380.75897956593474</v>
      </c>
      <c r="AQ251" s="41">
        <f>'6. Poistot'!AF251</f>
        <v>384.71402923826622</v>
      </c>
      <c r="AR251" s="41">
        <f>'6. Poistot'!AG251</f>
        <v>388.7521057405728</v>
      </c>
      <c r="AS251" s="41">
        <f>'6. Poistot'!AH251</f>
        <v>405.60563481003311</v>
      </c>
      <c r="AT251" s="41">
        <f>'6. Poistot'!AI251</f>
        <v>422.60130257366745</v>
      </c>
      <c r="AV251" s="4">
        <f t="shared" si="63"/>
        <v>0</v>
      </c>
      <c r="AW251" s="4">
        <f t="shared" si="64"/>
        <v>0</v>
      </c>
      <c r="AX251" s="4">
        <f t="shared" si="65"/>
        <v>0</v>
      </c>
      <c r="AY251" s="4">
        <f t="shared" si="66"/>
        <v>0</v>
      </c>
      <c r="AZ251" s="4">
        <f t="shared" si="67"/>
        <v>0</v>
      </c>
      <c r="BA251" s="4">
        <f t="shared" si="68"/>
        <v>0</v>
      </c>
      <c r="BB251" s="4">
        <f t="shared" si="69"/>
        <v>0</v>
      </c>
      <c r="BC251" s="4">
        <f t="shared" si="70"/>
        <v>0</v>
      </c>
      <c r="BE251" s="405">
        <f t="shared" si="71"/>
        <v>0</v>
      </c>
      <c r="BF251" s="405">
        <f t="shared" si="72"/>
        <v>0</v>
      </c>
      <c r="BG251" s="405">
        <f t="shared" si="73"/>
        <v>0</v>
      </c>
      <c r="BH251" s="405">
        <f t="shared" si="74"/>
        <v>0</v>
      </c>
      <c r="BI251" s="405">
        <f t="shared" si="75"/>
        <v>0</v>
      </c>
      <c r="BJ251" s="405">
        <f t="shared" si="76"/>
        <v>0</v>
      </c>
      <c r="BK251" s="405">
        <f t="shared" si="77"/>
        <v>0</v>
      </c>
      <c r="BL251" s="405">
        <f t="shared" si="78"/>
        <v>0</v>
      </c>
      <c r="BM251" s="405">
        <f t="shared" si="79"/>
        <v>0</v>
      </c>
      <c r="BN251" s="405">
        <f t="shared" si="79"/>
        <v>0</v>
      </c>
    </row>
    <row r="252" spans="1:66" x14ac:dyDescent="0.2">
      <c r="A252" s="34">
        <v>759</v>
      </c>
      <c r="B252" s="88" t="s">
        <v>566</v>
      </c>
      <c r="C252" s="41" t="e">
        <f>'2. Toimintakate'!D252+'3. Verotulot'!G252+'4. Valtionosuudet'!#REF!+'5. Rahoitustuotot ja -kulut'!C252</f>
        <v>#REF!</v>
      </c>
      <c r="D252" s="41">
        <f>'2. Toimintakate'!E252+'4. Valtionosuudet'!H252+'3. Verotulot'!L252+'5. Rahoitustuotot ja -kulut'!D252</f>
        <v>869</v>
      </c>
      <c r="E252" s="41">
        <f>'2. Toimintakate'!F252+'4. Valtionosuudet'!N252+'3. Verotulot'!Q252+'5. Rahoitustuotot ja -kulut'!E252</f>
        <v>1439</v>
      </c>
      <c r="F252" s="41">
        <f>'2. Toimintakate'!G252+'4. Valtionosuudet'!T252+'3. Verotulot'!V252+'5. Rahoitustuotot ja -kulut'!F252</f>
        <v>851</v>
      </c>
      <c r="G252" s="41">
        <f>'2. Toimintakate'!H252+'3. Verotulot'!AA252+'4. Valtionosuudet'!Z252+'5. Rahoitustuotot ja -kulut'!G252</f>
        <v>424</v>
      </c>
      <c r="H252" s="41">
        <f>Käyttökate!H252+'5. Rahoitustuotot ja -kulut'!H252</f>
        <v>575.61084184400534</v>
      </c>
      <c r="I252" s="41">
        <f>Käyttökate!I252+'5. Rahoitustuotot ja -kulut'!I252</f>
        <v>18.04052907467505</v>
      </c>
      <c r="J252" s="41">
        <f>Käyttökate!J252+'5. Rahoitustuotot ja -kulut'!J252</f>
        <v>1234.6120950293493</v>
      </c>
      <c r="K252" s="41">
        <f>Käyttökate!K252+'5. Rahoitustuotot ja -kulut'!K252</f>
        <v>1710.4602361922196</v>
      </c>
      <c r="L252" s="41">
        <f>Käyttökate!L252+'5. Rahoitustuotot ja -kulut'!L252</f>
        <v>995.25703126767689</v>
      </c>
      <c r="M252" s="41">
        <f>Käyttökate!M252+'5. Rahoitustuotot ja -kulut'!M252</f>
        <v>722.95392752057887</v>
      </c>
      <c r="N252" s="41">
        <f>Käyttökate!N252+'5. Rahoitustuotot ja -kulut'!N252</f>
        <v>734.55728044817715</v>
      </c>
      <c r="O252" s="41">
        <f>Käyttökate!O252+'5. Rahoitustuotot ja -kulut'!O252</f>
        <v>727.11240471783685</v>
      </c>
      <c r="P252" s="41">
        <f>Käyttökate!P252+'5. Rahoitustuotot ja -kulut'!P252</f>
        <v>993.59090888422622</v>
      </c>
      <c r="T252" s="34">
        <v>759</v>
      </c>
      <c r="U252" s="88" t="s">
        <v>566</v>
      </c>
      <c r="V252" s="41" t="e">
        <f>C252/'1. Väestöennuste'!E252*1000</f>
        <v>#REF!</v>
      </c>
      <c r="W252" s="41">
        <f>D252/'1. Väestöennuste'!F252*1000</f>
        <v>397.52973467520587</v>
      </c>
      <c r="X252" s="41">
        <f>E252/'1. Väestöennuste'!G252*1000</f>
        <v>680.70009460737936</v>
      </c>
      <c r="Y252" s="41">
        <f>F252/'1. Väestöennuste'!H252*1000</f>
        <v>408.15347721822542</v>
      </c>
      <c r="Z252" s="41">
        <f>G252/'1. Väestöennuste'!I252*1000</f>
        <v>206.62768031189083</v>
      </c>
      <c r="AA252" s="41">
        <f>H252/'1. Väestöennuste'!J252*1000</f>
        <v>286.80161526856267</v>
      </c>
      <c r="AB252" s="41">
        <f>I252/'1. Väestöennuste'!K252*1000</f>
        <v>9.0338152602278665</v>
      </c>
      <c r="AC252" s="41">
        <f>J252/'1. Väestöennuste'!L252*1000</f>
        <v>635.74258240440224</v>
      </c>
      <c r="AD252" s="41">
        <f>K252/'1. Väestöennuste'!M252*1000</f>
        <v>913.21956016669492</v>
      </c>
      <c r="AE252" s="41">
        <f>L252/'1. Väestöennuste'!N252*1000</f>
        <v>535.66040434212971</v>
      </c>
      <c r="AF252" s="41">
        <f>M252/'1. Väestöennuste'!O252*1000</f>
        <v>395.48901943138884</v>
      </c>
      <c r="AG252" s="41">
        <f>N252/'1. Väestöennuste'!P252*1000</f>
        <v>409.22411167029367</v>
      </c>
      <c r="AH252" s="41">
        <f>O252/'1. Väestöennuste'!Q252*1000</f>
        <v>411.72842849254636</v>
      </c>
      <c r="AI252" s="41">
        <f>P252/'1. Väestöennuste'!R252*1000</f>
        <v>572.0154915856225</v>
      </c>
      <c r="AK252" s="41">
        <f>'6. Poistot'!Z252</f>
        <v>238.79142300194931</v>
      </c>
      <c r="AL252" s="41">
        <f>'6. Poistot'!AA252</f>
        <v>244.14549078226207</v>
      </c>
      <c r="AM252" s="41">
        <f>'6. Poistot'!AB252</f>
        <v>294.76011016524785</v>
      </c>
      <c r="AN252" s="41">
        <f>'6. Poistot'!AC252</f>
        <v>279.38952111225541</v>
      </c>
      <c r="AO252" s="41">
        <f>'6. Poistot'!AD252</f>
        <v>283.21614522156966</v>
      </c>
      <c r="AP252" s="41">
        <f>'6. Poistot'!AE252</f>
        <v>266.36706135629714</v>
      </c>
      <c r="AQ252" s="41">
        <f>'6. Poistot'!AF252</f>
        <v>273.52297592997809</v>
      </c>
      <c r="AR252" s="41">
        <f>'6. Poistot'!AG252</f>
        <v>278.55153203342621</v>
      </c>
      <c r="AS252" s="41">
        <f>'6. Poistot'!AH252</f>
        <v>292.26113833282392</v>
      </c>
      <c r="AT252" s="41">
        <f>'6. Poistot'!AI252</f>
        <v>306.42852077808527</v>
      </c>
      <c r="AV252" s="4">
        <f t="shared" si="63"/>
        <v>1</v>
      </c>
      <c r="AW252" s="4">
        <f t="shared" si="64"/>
        <v>0</v>
      </c>
      <c r="AX252" s="4">
        <f t="shared" si="65"/>
        <v>0</v>
      </c>
      <c r="AY252" s="4">
        <f t="shared" si="66"/>
        <v>0</v>
      </c>
      <c r="AZ252" s="4">
        <f t="shared" si="67"/>
        <v>0</v>
      </c>
      <c r="BA252" s="4">
        <f t="shared" si="68"/>
        <v>0</v>
      </c>
      <c r="BB252" s="4">
        <f t="shared" si="69"/>
        <v>0</v>
      </c>
      <c r="BC252" s="4">
        <f t="shared" si="70"/>
        <v>0</v>
      </c>
      <c r="BE252" s="405">
        <f t="shared" si="71"/>
        <v>0</v>
      </c>
      <c r="BF252" s="405">
        <f t="shared" si="72"/>
        <v>0</v>
      </c>
      <c r="BG252" s="405">
        <f t="shared" si="73"/>
        <v>0</v>
      </c>
      <c r="BH252" s="405">
        <f t="shared" si="74"/>
        <v>0</v>
      </c>
      <c r="BI252" s="405">
        <f t="shared" si="75"/>
        <v>0</v>
      </c>
      <c r="BJ252" s="405">
        <f t="shared" si="76"/>
        <v>0</v>
      </c>
      <c r="BK252" s="405">
        <f t="shared" si="77"/>
        <v>0</v>
      </c>
      <c r="BL252" s="405">
        <f t="shared" si="78"/>
        <v>0</v>
      </c>
      <c r="BM252" s="405">
        <f t="shared" si="79"/>
        <v>0</v>
      </c>
      <c r="BN252" s="405">
        <f t="shared" si="79"/>
        <v>0</v>
      </c>
    </row>
    <row r="253" spans="1:66" x14ac:dyDescent="0.2">
      <c r="A253" s="34">
        <v>761</v>
      </c>
      <c r="B253" s="88" t="s">
        <v>567</v>
      </c>
      <c r="C253" s="41" t="e">
        <f>'2. Toimintakate'!D253+'3. Verotulot'!G253+'4. Valtionosuudet'!#REF!+'5. Rahoitustuotot ja -kulut'!C253</f>
        <v>#REF!</v>
      </c>
      <c r="D253" s="41">
        <f>'2. Toimintakate'!E253+'4. Valtionosuudet'!H253+'3. Verotulot'!L253+'5. Rahoitustuotot ja -kulut'!D253</f>
        <v>3067</v>
      </c>
      <c r="E253" s="41">
        <f>'2. Toimintakate'!F253+'4. Valtionosuudet'!N253+'3. Verotulot'!Q253+'5. Rahoitustuotot ja -kulut'!E253</f>
        <v>5133</v>
      </c>
      <c r="F253" s="41">
        <f>'2. Toimintakate'!G253+'4. Valtionosuudet'!T253+'3. Verotulot'!V253+'5. Rahoitustuotot ja -kulut'!F253</f>
        <v>2364</v>
      </c>
      <c r="G253" s="41">
        <f>'2. Toimintakate'!H253+'3. Verotulot'!AA253+'4. Valtionosuudet'!Z253+'5. Rahoitustuotot ja -kulut'!G253</f>
        <v>1137</v>
      </c>
      <c r="H253" s="41">
        <f>Käyttökate!H253+'5. Rahoitustuotot ja -kulut'!H253</f>
        <v>6051.5026016050797</v>
      </c>
      <c r="I253" s="41">
        <f>Käyttökate!I253+'5. Rahoitustuotot ja -kulut'!I253</f>
        <v>4319.3477328651443</v>
      </c>
      <c r="J253" s="41">
        <f>Käyttökate!J253+'5. Rahoitustuotot ja -kulut'!J253</f>
        <v>3099.0547282355901</v>
      </c>
      <c r="K253" s="41">
        <f>Käyttökate!K253+'5. Rahoitustuotot ja -kulut'!K253</f>
        <v>5264.9554859967766</v>
      </c>
      <c r="L253" s="41">
        <f>Käyttökate!L253+'5. Rahoitustuotot ja -kulut'!L253</f>
        <v>2947.961598409282</v>
      </c>
      <c r="M253" s="41">
        <f>Käyttökate!M253+'5. Rahoitustuotot ja -kulut'!M253</f>
        <v>2161.7997840198536</v>
      </c>
      <c r="N253" s="41">
        <f>Käyttökate!N253+'5. Rahoitustuotot ja -kulut'!N253</f>
        <v>1816.9563181833241</v>
      </c>
      <c r="O253" s="41">
        <f>Käyttökate!O253+'5. Rahoitustuotot ja -kulut'!O253</f>
        <v>1771.3370954681775</v>
      </c>
      <c r="P253" s="41">
        <f>Käyttökate!P253+'5. Rahoitustuotot ja -kulut'!P253</f>
        <v>2984.5703828313799</v>
      </c>
      <c r="T253" s="34">
        <v>761</v>
      </c>
      <c r="U253" s="88" t="s">
        <v>567</v>
      </c>
      <c r="V253" s="41" t="e">
        <f>C253/'1. Väestöennuste'!E253*1000</f>
        <v>#REF!</v>
      </c>
      <c r="W253" s="41">
        <f>D253/'1. Väestöennuste'!F253*1000</f>
        <v>339.75850227096487</v>
      </c>
      <c r="X253" s="41">
        <f>E253/'1. Väestöennuste'!G253*1000</f>
        <v>575.5129498822738</v>
      </c>
      <c r="Y253" s="41">
        <f>F253/'1. Väestöennuste'!H253*1000</f>
        <v>267.78432260987768</v>
      </c>
      <c r="Z253" s="41">
        <f>G253/'1. Väestöennuste'!I253*1000</f>
        <v>130.52462403857194</v>
      </c>
      <c r="AA253" s="41">
        <f>H253/'1. Väestöennuste'!J253*1000</f>
        <v>699.91933860803601</v>
      </c>
      <c r="AB253" s="41">
        <f>I253/'1. Väestöennuste'!K253*1000</f>
        <v>504.41991508409956</v>
      </c>
      <c r="AC253" s="41">
        <f>J253/'1. Väestöennuste'!L253*1000</f>
        <v>367.79666843527059</v>
      </c>
      <c r="AD253" s="41">
        <f>K253/'1. Väestöennuste'!M253*1000</f>
        <v>626.0351350769057</v>
      </c>
      <c r="AE253" s="41">
        <f>L253/'1. Väestöennuste'!N253*1000</f>
        <v>355.73326878355039</v>
      </c>
      <c r="AF253" s="41">
        <f>M253/'1. Väestöennuste'!O253*1000</f>
        <v>263.24887774231047</v>
      </c>
      <c r="AG253" s="41">
        <f>N253/'1. Väestöennuste'!P253*1000</f>
        <v>223.18588848830905</v>
      </c>
      <c r="AH253" s="41">
        <f>O253/'1. Väestöennuste'!Q253*1000</f>
        <v>219.38779978550627</v>
      </c>
      <c r="AI253" s="41">
        <f>P253/'1. Väestöennuste'!R253*1000</f>
        <v>372.41956361759173</v>
      </c>
      <c r="AK253" s="41">
        <f>'6. Poistot'!Z253</f>
        <v>376.87980714039719</v>
      </c>
      <c r="AL253" s="41">
        <f>'6. Poistot'!AA253</f>
        <v>365.83391163543837</v>
      </c>
      <c r="AM253" s="41">
        <f>'6. Poistot'!AB253</f>
        <v>354.84258904589512</v>
      </c>
      <c r="AN253" s="41">
        <f>'6. Poistot'!AC253</f>
        <v>362.18396748160455</v>
      </c>
      <c r="AO253" s="41">
        <f>'6. Poistot'!AD253</f>
        <v>340.61813079667064</v>
      </c>
      <c r="AP253" s="41">
        <f>'6. Poistot'!AE253</f>
        <v>314.08229757451431</v>
      </c>
      <c r="AQ253" s="41">
        <f>'6. Poistot'!AF253</f>
        <v>310.92303945445695</v>
      </c>
      <c r="AR253" s="41">
        <f>'6. Poistot'!AG253</f>
        <v>301.42488637759493</v>
      </c>
      <c r="AS253" s="41">
        <f>'6. Poistot'!AH253</f>
        <v>313.73276853821727</v>
      </c>
      <c r="AT253" s="41">
        <f>'6. Poistot'!AI253</f>
        <v>325.96166038871121</v>
      </c>
      <c r="AV253" s="4">
        <f t="shared" si="63"/>
        <v>0</v>
      </c>
      <c r="AW253" s="4">
        <f t="shared" si="64"/>
        <v>0</v>
      </c>
      <c r="AX253" s="4">
        <f t="shared" si="65"/>
        <v>0</v>
      </c>
      <c r="AY253" s="4">
        <f t="shared" si="66"/>
        <v>0</v>
      </c>
      <c r="AZ253" s="4">
        <f t="shared" si="67"/>
        <v>1</v>
      </c>
      <c r="BA253" s="4">
        <f t="shared" si="68"/>
        <v>1</v>
      </c>
      <c r="BB253" s="4">
        <f t="shared" si="69"/>
        <v>1</v>
      </c>
      <c r="BC253" s="4">
        <f t="shared" si="70"/>
        <v>0</v>
      </c>
      <c r="BE253" s="405">
        <f t="shared" si="71"/>
        <v>0</v>
      </c>
      <c r="BF253" s="405">
        <f t="shared" si="72"/>
        <v>0</v>
      </c>
      <c r="BG253" s="405">
        <f t="shared" si="73"/>
        <v>0</v>
      </c>
      <c r="BH253" s="405">
        <f t="shared" si="74"/>
        <v>0</v>
      </c>
      <c r="BI253" s="405">
        <f t="shared" si="75"/>
        <v>0</v>
      </c>
      <c r="BJ253" s="405">
        <f t="shared" si="76"/>
        <v>0</v>
      </c>
      <c r="BK253" s="405">
        <f t="shared" si="77"/>
        <v>0</v>
      </c>
      <c r="BL253" s="405">
        <f t="shared" si="78"/>
        <v>0</v>
      </c>
      <c r="BM253" s="405">
        <f t="shared" si="79"/>
        <v>0</v>
      </c>
      <c r="BN253" s="405">
        <f t="shared" si="79"/>
        <v>0</v>
      </c>
    </row>
    <row r="254" spans="1:66" x14ac:dyDescent="0.2">
      <c r="A254" s="34">
        <v>762</v>
      </c>
      <c r="B254" s="88" t="s">
        <v>568</v>
      </c>
      <c r="C254" s="41" t="e">
        <f>'2. Toimintakate'!D254+'3. Verotulot'!G254+'4. Valtionosuudet'!#REF!+'5. Rahoitustuotot ja -kulut'!C254</f>
        <v>#REF!</v>
      </c>
      <c r="D254" s="41">
        <f>'2. Toimintakate'!E254+'4. Valtionosuudet'!H254+'3. Verotulot'!L254+'5. Rahoitustuotot ja -kulut'!D254</f>
        <v>628</v>
      </c>
      <c r="E254" s="41">
        <f>'2. Toimintakate'!F254+'4. Valtionosuudet'!N254+'3. Verotulot'!Q254+'5. Rahoitustuotot ja -kulut'!E254</f>
        <v>2958</v>
      </c>
      <c r="F254" s="41">
        <f>'2. Toimintakate'!G254+'4. Valtionosuudet'!T254+'3. Verotulot'!V254+'5. Rahoitustuotot ja -kulut'!F254</f>
        <v>1976</v>
      </c>
      <c r="G254" s="41">
        <f>'2. Toimintakate'!H254+'3. Verotulot'!AA254+'4. Valtionosuudet'!Z254+'5. Rahoitustuotot ja -kulut'!G254</f>
        <v>1993</v>
      </c>
      <c r="H254" s="41">
        <f>Käyttökate!H254+'5. Rahoitustuotot ja -kulut'!H254</f>
        <v>4629.542990471371</v>
      </c>
      <c r="I254" s="41">
        <f>Käyttökate!I254+'5. Rahoitustuotot ja -kulut'!I254</f>
        <v>6459.7780923798109</v>
      </c>
      <c r="J254" s="41">
        <f>Käyttökate!J254+'5. Rahoitustuotot ja -kulut'!J254</f>
        <v>2518.9758696801355</v>
      </c>
      <c r="K254" s="41">
        <f>Käyttökate!K254+'5. Rahoitustuotot ja -kulut'!K254</f>
        <v>2608.9486867137466</v>
      </c>
      <c r="L254" s="41">
        <f>Käyttökate!L254+'5. Rahoitustuotot ja -kulut'!L254</f>
        <v>2867.8951188830015</v>
      </c>
      <c r="M254" s="41">
        <f>Käyttökate!M254+'5. Rahoitustuotot ja -kulut'!M254</f>
        <v>1111.966172256346</v>
      </c>
      <c r="N254" s="41">
        <f>Käyttökate!N254+'5. Rahoitustuotot ja -kulut'!N254</f>
        <v>947.61042468523101</v>
      </c>
      <c r="O254" s="41">
        <f>Käyttökate!O254+'5. Rahoitustuotot ja -kulut'!O254</f>
        <v>820.68626359867619</v>
      </c>
      <c r="P254" s="41">
        <f>Käyttökate!P254+'5. Rahoitustuotot ja -kulut'!P254</f>
        <v>1286.8502985524624</v>
      </c>
      <c r="T254" s="34">
        <v>762</v>
      </c>
      <c r="U254" s="88" t="s">
        <v>568</v>
      </c>
      <c r="V254" s="41" t="e">
        <f>C254/'1. Väestöennuste'!E254*1000</f>
        <v>#REF!</v>
      </c>
      <c r="W254" s="41">
        <f>D254/'1. Väestöennuste'!F254*1000</f>
        <v>149.55941890926411</v>
      </c>
      <c r="X254" s="41">
        <f>E254/'1. Väestöennuste'!G254*1000</f>
        <v>725.88957055214723</v>
      </c>
      <c r="Y254" s="41">
        <f>F254/'1. Väestöennuste'!H254*1000</f>
        <v>498.10940257121251</v>
      </c>
      <c r="Z254" s="41">
        <f>G254/'1. Väestöennuste'!I254*1000</f>
        <v>511.41904028740061</v>
      </c>
      <c r="AA254" s="41">
        <f>H254/'1. Väestöennuste'!J254*1000</f>
        <v>1205.2962745304271</v>
      </c>
      <c r="AB254" s="41">
        <f>I254/'1. Väestöennuste'!K254*1000</f>
        <v>1710.2933789726794</v>
      </c>
      <c r="AC254" s="41">
        <f>J254/'1. Väestöennuste'!L254*1000</f>
        <v>685.99560721136584</v>
      </c>
      <c r="AD254" s="41">
        <f>K254/'1. Väestöennuste'!M254*1000</f>
        <v>717.33535515912752</v>
      </c>
      <c r="AE254" s="41">
        <f>L254/'1. Väestöennuste'!N254*1000</f>
        <v>806.49469034955041</v>
      </c>
      <c r="AF254" s="41">
        <f>M254/'1. Väestöennuste'!O254*1000</f>
        <v>317.97717250681899</v>
      </c>
      <c r="AG254" s="41">
        <f>N254/'1. Väestöennuste'!P254*1000</f>
        <v>275.30808387136284</v>
      </c>
      <c r="AH254" s="41">
        <f>O254/'1. Väestöennuste'!Q254*1000</f>
        <v>242.0189512234374</v>
      </c>
      <c r="AI254" s="41">
        <f>P254/'1. Väestöennuste'!R254*1000</f>
        <v>385.16920040480767</v>
      </c>
      <c r="AK254" s="41">
        <f>'6. Poistot'!Z254</f>
        <v>328.20118039517575</v>
      </c>
      <c r="AL254" s="41">
        <f>'6. Poistot'!AA254</f>
        <v>344.18120281176778</v>
      </c>
      <c r="AM254" s="41">
        <f>'6. Poistot'!AB254</f>
        <v>346.46988615303155</v>
      </c>
      <c r="AN254" s="41">
        <f>'6. Poistot'!AC254</f>
        <v>356.73445533769058</v>
      </c>
      <c r="AO254" s="41">
        <f>'6. Poistot'!AD254</f>
        <v>337.29992301347261</v>
      </c>
      <c r="AP254" s="41">
        <f>'6. Poistot'!AE254</f>
        <v>374.26321709786282</v>
      </c>
      <c r="AQ254" s="41">
        <f>'6. Poistot'!AF254</f>
        <v>387.91821561338293</v>
      </c>
      <c r="AR254" s="41">
        <f>'6. Poistot'!AG254</f>
        <v>372.51685066821614</v>
      </c>
      <c r="AS254" s="41">
        <f>'6. Poistot'!AH254</f>
        <v>390.31996423045911</v>
      </c>
      <c r="AT254" s="41">
        <f>'6. Poistot'!AI254</f>
        <v>408.5444469952032</v>
      </c>
      <c r="AV254" s="4">
        <f t="shared" si="63"/>
        <v>0</v>
      </c>
      <c r="AW254" s="4">
        <f t="shared" si="64"/>
        <v>0</v>
      </c>
      <c r="AX254" s="4">
        <f t="shared" si="65"/>
        <v>0</v>
      </c>
      <c r="AY254" s="4">
        <f t="shared" si="66"/>
        <v>0</v>
      </c>
      <c r="AZ254" s="4">
        <f t="shared" si="67"/>
        <v>1</v>
      </c>
      <c r="BA254" s="4">
        <f t="shared" si="68"/>
        <v>1</v>
      </c>
      <c r="BB254" s="4">
        <f t="shared" si="69"/>
        <v>1</v>
      </c>
      <c r="BC254" s="4">
        <f t="shared" si="70"/>
        <v>1</v>
      </c>
      <c r="BE254" s="405">
        <f t="shared" si="71"/>
        <v>0</v>
      </c>
      <c r="BF254" s="405">
        <f t="shared" si="72"/>
        <v>0</v>
      </c>
      <c r="BG254" s="405">
        <f t="shared" si="73"/>
        <v>0</v>
      </c>
      <c r="BH254" s="405">
        <f t="shared" si="74"/>
        <v>0</v>
      </c>
      <c r="BI254" s="405">
        <f t="shared" si="75"/>
        <v>0</v>
      </c>
      <c r="BJ254" s="405">
        <f t="shared" si="76"/>
        <v>0</v>
      </c>
      <c r="BK254" s="405">
        <f t="shared" si="77"/>
        <v>0</v>
      </c>
      <c r="BL254" s="405">
        <f t="shared" si="78"/>
        <v>0</v>
      </c>
      <c r="BM254" s="405">
        <f t="shared" si="79"/>
        <v>0</v>
      </c>
      <c r="BN254" s="405">
        <f t="shared" si="79"/>
        <v>0</v>
      </c>
    </row>
    <row r="255" spans="1:66" x14ac:dyDescent="0.2">
      <c r="A255" s="34">
        <v>765</v>
      </c>
      <c r="B255" s="88" t="s">
        <v>569</v>
      </c>
      <c r="C255" s="41" t="e">
        <f>'2. Toimintakate'!D255+'3. Verotulot'!G255+'4. Valtionosuudet'!#REF!+'5. Rahoitustuotot ja -kulut'!C255</f>
        <v>#REF!</v>
      </c>
      <c r="D255" s="41">
        <f>'2. Toimintakate'!E255+'4. Valtionosuudet'!H255+'3. Verotulot'!L255+'5. Rahoitustuotot ja -kulut'!D255</f>
        <v>1255</v>
      </c>
      <c r="E255" s="41">
        <f>'2. Toimintakate'!F255+'4. Valtionosuudet'!N255+'3. Verotulot'!Q255+'5. Rahoitustuotot ja -kulut'!E255</f>
        <v>3224</v>
      </c>
      <c r="F255" s="41">
        <f>'2. Toimintakate'!G255+'4. Valtionosuudet'!T255+'3. Verotulot'!V255+'5. Rahoitustuotot ja -kulut'!F255</f>
        <v>-760</v>
      </c>
      <c r="G255" s="41">
        <f>'2. Toimintakate'!H255+'3. Verotulot'!AA255+'4. Valtionosuudet'!Z255+'5. Rahoitustuotot ja -kulut'!G255</f>
        <v>14618</v>
      </c>
      <c r="H255" s="41">
        <f>Käyttökate!H255+'5. Rahoitustuotot ja -kulut'!H255</f>
        <v>-2148.5984059806979</v>
      </c>
      <c r="I255" s="41">
        <f>Käyttökate!I255+'5. Rahoitustuotot ja -kulut'!I255</f>
        <v>-395.52516471114177</v>
      </c>
      <c r="J255" s="41">
        <f>Käyttökate!J255+'5. Rahoitustuotot ja -kulut'!J255</f>
        <v>2175.5801234225246</v>
      </c>
      <c r="K255" s="41">
        <f>Käyttökate!K255+'5. Rahoitustuotot ja -kulut'!K255</f>
        <v>-2917.7094821129185</v>
      </c>
      <c r="L255" s="41">
        <f>Käyttökate!L255+'5. Rahoitustuotot ja -kulut'!L255</f>
        <v>-86.183539364122225</v>
      </c>
      <c r="M255" s="41">
        <f>Käyttökate!M255+'5. Rahoitustuotot ja -kulut'!M255</f>
        <v>-3033.910675594424</v>
      </c>
      <c r="N255" s="41">
        <f>Käyttökate!N255+'5. Rahoitustuotot ja -kulut'!N255</f>
        <v>-3456.9296971723415</v>
      </c>
      <c r="O255" s="41">
        <f>Käyttökate!O255+'5. Rahoitustuotot ja -kulut'!O255</f>
        <v>-3464.0925171813133</v>
      </c>
      <c r="P255" s="41">
        <f>Käyttökate!P255+'5. Rahoitustuotot ja -kulut'!P255</f>
        <v>-2772.7603026206707</v>
      </c>
      <c r="T255" s="34">
        <v>765</v>
      </c>
      <c r="U255" s="88" t="s">
        <v>569</v>
      </c>
      <c r="V255" s="41" t="e">
        <f>C255/'1. Väestöennuste'!E255*1000</f>
        <v>#REF!</v>
      </c>
      <c r="W255" s="41">
        <f>D255/'1. Väestöennuste'!F255*1000</f>
        <v>119.8548371693248</v>
      </c>
      <c r="X255" s="41">
        <f>E255/'1. Väestöennuste'!G255*1000</f>
        <v>309.31593591096612</v>
      </c>
      <c r="Y255" s="41">
        <f>F255/'1. Väestöennuste'!H255*1000</f>
        <v>-73.154297814996639</v>
      </c>
      <c r="Z255" s="41">
        <f>G255/'1. Väestöennuste'!I255*1000</f>
        <v>1414.2801857585139</v>
      </c>
      <c r="AA255" s="41">
        <f>H255/'1. Väestöennuste'!J255*1000</f>
        <v>-208.58153635381981</v>
      </c>
      <c r="AB255" s="41">
        <f>I255/'1. Väestöennuste'!K255*1000</f>
        <v>-38.222377726240993</v>
      </c>
      <c r="AC255" s="41">
        <f>J255/'1. Väestöennuste'!L255*1000</f>
        <v>210.11977239931664</v>
      </c>
      <c r="AD255" s="41">
        <f>K255/'1. Väestöennuste'!M255*1000</f>
        <v>-283.98963228663797</v>
      </c>
      <c r="AE255" s="41">
        <f>L255/'1. Väestöennuste'!N255*1000</f>
        <v>-8.5347137417431398</v>
      </c>
      <c r="AF255" s="41">
        <f>M255/'1. Väestöennuste'!O255*1000</f>
        <v>-301.97180009897721</v>
      </c>
      <c r="AG255" s="41">
        <f>N255/'1. Väestöennuste'!P255*1000</f>
        <v>-345.72754247148129</v>
      </c>
      <c r="AH255" s="41">
        <f>O255/'1. Väestöennuste'!Q255*1000</f>
        <v>-348.18499519361876</v>
      </c>
      <c r="AI255" s="41">
        <f>P255/'1. Väestöennuste'!R255*1000</f>
        <v>-280.07679824451219</v>
      </c>
      <c r="AK255" s="41">
        <f>'6. Poistot'!Z255</f>
        <v>269.05959752321985</v>
      </c>
      <c r="AL255" s="41">
        <f>'6. Poistot'!AA255</f>
        <v>277.83710319386466</v>
      </c>
      <c r="AM255" s="41">
        <f>'6. Poistot'!AB255</f>
        <v>296.24652203324314</v>
      </c>
      <c r="AN255" s="41">
        <f>'6. Poistot'!AC255</f>
        <v>334.06123913463392</v>
      </c>
      <c r="AO255" s="41">
        <f>'6. Poistot'!AD255</f>
        <v>392.60169846213745</v>
      </c>
      <c r="AP255" s="41">
        <f>'6. Poistot'!AE255</f>
        <v>407.25529807882748</v>
      </c>
      <c r="AQ255" s="41">
        <f>'6. Poistot'!AF255</f>
        <v>463.78501045088086</v>
      </c>
      <c r="AR255" s="41">
        <f>'6. Poistot'!AG255</f>
        <v>509.91579157915788</v>
      </c>
      <c r="AS255" s="41">
        <f>'6. Poistot'!AH255</f>
        <v>529.01424393651075</v>
      </c>
      <c r="AT255" s="41">
        <f>'6. Poistot'!AI255</f>
        <v>548.25024503522116</v>
      </c>
      <c r="AV255" s="4">
        <f t="shared" si="63"/>
        <v>1</v>
      </c>
      <c r="AW255" s="4">
        <f t="shared" si="64"/>
        <v>1</v>
      </c>
      <c r="AX255" s="4">
        <f t="shared" si="65"/>
        <v>1</v>
      </c>
      <c r="AY255" s="4">
        <f t="shared" si="66"/>
        <v>1</v>
      </c>
      <c r="AZ255" s="4">
        <f t="shared" si="67"/>
        <v>1</v>
      </c>
      <c r="BA255" s="4">
        <f t="shared" si="68"/>
        <v>1</v>
      </c>
      <c r="BB255" s="4">
        <f t="shared" si="69"/>
        <v>1</v>
      </c>
      <c r="BC255" s="4">
        <f t="shared" si="70"/>
        <v>1</v>
      </c>
      <c r="BE255" s="405">
        <f t="shared" si="71"/>
        <v>0</v>
      </c>
      <c r="BF255" s="405">
        <f t="shared" si="72"/>
        <v>-1</v>
      </c>
      <c r="BG255" s="405">
        <f t="shared" si="73"/>
        <v>-1</v>
      </c>
      <c r="BH255" s="405">
        <f t="shared" si="74"/>
        <v>0</v>
      </c>
      <c r="BI255" s="405">
        <f t="shared" si="75"/>
        <v>-1</v>
      </c>
      <c r="BJ255" s="405">
        <f t="shared" si="76"/>
        <v>-1</v>
      </c>
      <c r="BK255" s="405">
        <f t="shared" si="77"/>
        <v>-1</v>
      </c>
      <c r="BL255" s="405">
        <f t="shared" si="78"/>
        <v>-1</v>
      </c>
      <c r="BM255" s="405">
        <f t="shared" si="79"/>
        <v>-1</v>
      </c>
      <c r="BN255" s="405">
        <f t="shared" si="79"/>
        <v>-1</v>
      </c>
    </row>
    <row r="256" spans="1:66" x14ac:dyDescent="0.2">
      <c r="A256" s="34">
        <v>768</v>
      </c>
      <c r="B256" s="88" t="s">
        <v>570</v>
      </c>
      <c r="C256" s="41" t="e">
        <f>'2. Toimintakate'!D256+'3. Verotulot'!G256+'4. Valtionosuudet'!#REF!+'5. Rahoitustuotot ja -kulut'!C256</f>
        <v>#REF!</v>
      </c>
      <c r="D256" s="41">
        <f>'2. Toimintakate'!E256+'4. Valtionosuudet'!H256+'3. Verotulot'!L256+'5. Rahoitustuotot ja -kulut'!D256</f>
        <v>416</v>
      </c>
      <c r="E256" s="41">
        <f>'2. Toimintakate'!F256+'4. Valtionosuudet'!N256+'3. Verotulot'!Q256+'5. Rahoitustuotot ja -kulut'!E256</f>
        <v>2671</v>
      </c>
      <c r="F256" s="41">
        <f>'2. Toimintakate'!G256+'4. Valtionosuudet'!T256+'3. Verotulot'!V256+'5. Rahoitustuotot ja -kulut'!F256</f>
        <v>1297</v>
      </c>
      <c r="G256" s="41">
        <f>'2. Toimintakate'!H256+'3. Verotulot'!AA256+'4. Valtionosuudet'!Z256+'5. Rahoitustuotot ja -kulut'!G256</f>
        <v>1432</v>
      </c>
      <c r="H256" s="41">
        <f>Käyttökate!H256+'5. Rahoitustuotot ja -kulut'!H256</f>
        <v>2306.5635101786429</v>
      </c>
      <c r="I256" s="41">
        <f>Käyttökate!I256+'5. Rahoitustuotot ja -kulut'!I256</f>
        <v>1222.8818952886588</v>
      </c>
      <c r="J256" s="41">
        <f>Käyttökate!J256+'5. Rahoitustuotot ja -kulut'!J256</f>
        <v>1449.4084117260827</v>
      </c>
      <c r="K256" s="41">
        <f>Käyttökate!K256+'5. Rahoitustuotot ja -kulut'!K256</f>
        <v>574.5000072316783</v>
      </c>
      <c r="L256" s="41">
        <f>Käyttökate!L256+'5. Rahoitustuotot ja -kulut'!L256</f>
        <v>852.0723390869498</v>
      </c>
      <c r="M256" s="41">
        <f>Käyttökate!M256+'5. Rahoitustuotot ja -kulut'!M256</f>
        <v>426.01871639466117</v>
      </c>
      <c r="N256" s="41">
        <f>Käyttökate!N256+'5. Rahoitustuotot ja -kulut'!N256</f>
        <v>-134.14873290403284</v>
      </c>
      <c r="O256" s="41">
        <f>Käyttökate!O256+'5. Rahoitustuotot ja -kulut'!O256</f>
        <v>-167.0656593893228</v>
      </c>
      <c r="P256" s="41">
        <f>Käyttökate!P256+'5. Rahoitustuotot ja -kulut'!P256</f>
        <v>131.97191571127803</v>
      </c>
      <c r="T256" s="34">
        <v>768</v>
      </c>
      <c r="U256" s="88" t="s">
        <v>570</v>
      </c>
      <c r="V256" s="41" t="e">
        <f>C256/'1. Väestöennuste'!E256*1000</f>
        <v>#REF!</v>
      </c>
      <c r="W256" s="41">
        <f>D256/'1. Väestöennuste'!F256*1000</f>
        <v>156.33220593761743</v>
      </c>
      <c r="X256" s="41">
        <f>E256/'1. Väestöennuste'!G256*1000</f>
        <v>1032.0710973724886</v>
      </c>
      <c r="Y256" s="41">
        <f>F256/'1. Väestöennuste'!H256*1000</f>
        <v>512.6482213438735</v>
      </c>
      <c r="Z256" s="41">
        <f>G256/'1. Väestöennuste'!I256*1000</f>
        <v>574.63884430176574</v>
      </c>
      <c r="AA256" s="41">
        <f>H256/'1. Väestöennuste'!J256*1000</f>
        <v>929.31648274723716</v>
      </c>
      <c r="AB256" s="41">
        <f>I256/'1. Väestöennuste'!K256*1000</f>
        <v>503.24357830809009</v>
      </c>
      <c r="AC256" s="41">
        <f>J256/'1. Väestöennuste'!L256*1000</f>
        <v>610.27722598992955</v>
      </c>
      <c r="AD256" s="41">
        <f>K256/'1. Väestöennuste'!M256*1000</f>
        <v>242.60980035121548</v>
      </c>
      <c r="AE256" s="41">
        <f>L256/'1. Väestöennuste'!N256*1000</f>
        <v>371.59718233185771</v>
      </c>
      <c r="AF256" s="41">
        <f>M256/'1. Väestöennuste'!O256*1000</f>
        <v>189.00564170126938</v>
      </c>
      <c r="AG256" s="41">
        <f>N256/'1. Väestöennuste'!P256*1000</f>
        <v>-60.481845312909307</v>
      </c>
      <c r="AH256" s="41">
        <f>O256/'1. Väestöennuste'!Q256*1000</f>
        <v>-76.46025601342005</v>
      </c>
      <c r="AI256" s="41">
        <f>P256/'1. Väestöennuste'!R256*1000</f>
        <v>61.183085633415864</v>
      </c>
      <c r="AK256" s="41">
        <f>'6. Poistot'!Z256</f>
        <v>224.71910112359549</v>
      </c>
      <c r="AL256" s="41">
        <f>'6. Poistot'!AA256</f>
        <v>620.06446414182119</v>
      </c>
      <c r="AM256" s="41">
        <f>'6. Poistot'!AB256</f>
        <v>403.82641975308644</v>
      </c>
      <c r="AN256" s="41">
        <f>'6. Poistot'!AC256</f>
        <v>231.21261052631579</v>
      </c>
      <c r="AO256" s="41">
        <f>'6. Poistot'!AD256</f>
        <v>244.38187500000001</v>
      </c>
      <c r="AP256" s="41">
        <f>'6. Poistot'!AE256</f>
        <v>258.53726995202794</v>
      </c>
      <c r="AQ256" s="41">
        <f>'6. Poistot'!AF256</f>
        <v>287.14885536823425</v>
      </c>
      <c r="AR256" s="41">
        <f>'6. Poistot'!AG256</f>
        <v>318.41006311992788</v>
      </c>
      <c r="AS256" s="41">
        <f>'6. Poistot'!AH256</f>
        <v>333.64809670182063</v>
      </c>
      <c r="AT256" s="41">
        <f>'6. Poistot'!AI256</f>
        <v>348.54365442139834</v>
      </c>
      <c r="AV256" s="4">
        <f t="shared" si="63"/>
        <v>0</v>
      </c>
      <c r="AW256" s="4">
        <f t="shared" si="64"/>
        <v>0</v>
      </c>
      <c r="AX256" s="4">
        <f t="shared" si="65"/>
        <v>1</v>
      </c>
      <c r="AY256" s="4">
        <f t="shared" si="66"/>
        <v>0</v>
      </c>
      <c r="AZ256" s="4">
        <f t="shared" si="67"/>
        <v>1</v>
      </c>
      <c r="BA256" s="4">
        <f t="shared" si="68"/>
        <v>1</v>
      </c>
      <c r="BB256" s="4">
        <f t="shared" si="69"/>
        <v>1</v>
      </c>
      <c r="BC256" s="4">
        <f t="shared" si="70"/>
        <v>1</v>
      </c>
      <c r="BE256" s="405">
        <f t="shared" si="71"/>
        <v>0</v>
      </c>
      <c r="BF256" s="405">
        <f t="shared" si="72"/>
        <v>0</v>
      </c>
      <c r="BG256" s="405">
        <f t="shared" si="73"/>
        <v>0</v>
      </c>
      <c r="BH256" s="405">
        <f t="shared" si="74"/>
        <v>0</v>
      </c>
      <c r="BI256" s="405">
        <f t="shared" si="75"/>
        <v>0</v>
      </c>
      <c r="BJ256" s="405">
        <f t="shared" si="76"/>
        <v>0</v>
      </c>
      <c r="BK256" s="405">
        <f t="shared" si="77"/>
        <v>0</v>
      </c>
      <c r="BL256" s="405">
        <f t="shared" si="78"/>
        <v>-1</v>
      </c>
      <c r="BM256" s="405">
        <f t="shared" si="79"/>
        <v>-1</v>
      </c>
      <c r="BN256" s="405">
        <f t="shared" si="79"/>
        <v>0</v>
      </c>
    </row>
    <row r="257" spans="1:66" x14ac:dyDescent="0.2">
      <c r="A257" s="34">
        <v>777</v>
      </c>
      <c r="B257" s="88" t="s">
        <v>571</v>
      </c>
      <c r="C257" s="41" t="e">
        <f>'2. Toimintakate'!D257+'3. Verotulot'!G257+'4. Valtionosuudet'!#REF!+'5. Rahoitustuotot ja -kulut'!C257</f>
        <v>#REF!</v>
      </c>
      <c r="D257" s="41">
        <f>'2. Toimintakate'!E257+'4. Valtionosuudet'!H257+'3. Verotulot'!L257+'5. Rahoitustuotot ja -kulut'!D257</f>
        <v>3759</v>
      </c>
      <c r="E257" s="41">
        <f>'2. Toimintakate'!F257+'4. Valtionosuudet'!N257+'3. Verotulot'!Q257+'5. Rahoitustuotot ja -kulut'!E257</f>
        <v>3540</v>
      </c>
      <c r="F257" s="41">
        <f>'2. Toimintakate'!G257+'4. Valtionosuudet'!T257+'3. Verotulot'!V257+'5. Rahoitustuotot ja -kulut'!F257</f>
        <v>-884</v>
      </c>
      <c r="G257" s="41">
        <f>'2. Toimintakate'!H257+'3. Verotulot'!AA257+'4. Valtionosuudet'!Z257+'5. Rahoitustuotot ja -kulut'!G257</f>
        <v>1578</v>
      </c>
      <c r="H257" s="41">
        <f>Käyttökate!H257+'5. Rahoitustuotot ja -kulut'!H257</f>
        <v>3895.0830550519095</v>
      </c>
      <c r="I257" s="41">
        <f>Käyttökate!I257+'5. Rahoitustuotot ja -kulut'!I257</f>
        <v>5543.2371381202911</v>
      </c>
      <c r="J257" s="41">
        <f>Käyttökate!J257+'5. Rahoitustuotot ja -kulut'!J257</f>
        <v>8211.493759636709</v>
      </c>
      <c r="K257" s="41">
        <f>Käyttökate!K257+'5. Rahoitustuotot ja -kulut'!K257</f>
        <v>5815.3839088425275</v>
      </c>
      <c r="L257" s="41">
        <f>Käyttökate!L257+'5. Rahoitustuotot ja -kulut'!L257</f>
        <v>4959.8987177011204</v>
      </c>
      <c r="M257" s="41">
        <f>Käyttökate!M257+'5. Rahoitustuotot ja -kulut'!M257</f>
        <v>3863.0085578709536</v>
      </c>
      <c r="N257" s="41">
        <f>Käyttökate!N257+'5. Rahoitustuotot ja -kulut'!N257</f>
        <v>4408.1452687687379</v>
      </c>
      <c r="O257" s="41">
        <f>Käyttökate!O257+'5. Rahoitustuotot ja -kulut'!O257</f>
        <v>4330.9916291588106</v>
      </c>
      <c r="P257" s="41">
        <f>Käyttökate!P257+'5. Rahoitustuotot ja -kulut'!P257</f>
        <v>5668.1022937142834</v>
      </c>
      <c r="T257" s="34">
        <v>777</v>
      </c>
      <c r="U257" s="88" t="s">
        <v>571</v>
      </c>
      <c r="V257" s="41" t="e">
        <f>C257/'1. Väestöennuste'!E257*1000</f>
        <v>#REF!</v>
      </c>
      <c r="W257" s="41">
        <f>D257/'1. Väestöennuste'!F257*1000</f>
        <v>459.14254305606448</v>
      </c>
      <c r="X257" s="41">
        <f>E257/'1. Väestöennuste'!G257*1000</f>
        <v>439.69693205812945</v>
      </c>
      <c r="Y257" s="41">
        <f>F257/'1. Väestöennuste'!H257*1000</f>
        <v>-112.43958280335792</v>
      </c>
      <c r="Z257" s="41">
        <f>G257/'1. Väestöennuste'!I257*1000</f>
        <v>204.21897243432122</v>
      </c>
      <c r="AA257" s="41">
        <f>H257/'1. Väestöennuste'!J257*1000</f>
        <v>512.91586187146549</v>
      </c>
      <c r="AB257" s="41">
        <f>I257/'1. Väestöennuste'!K257*1000</f>
        <v>738.31075361218575</v>
      </c>
      <c r="AC257" s="41">
        <f>J257/'1. Väestöennuste'!L257*1000</f>
        <v>1114.6319749744414</v>
      </c>
      <c r="AD257" s="41">
        <f>K257/'1. Väestöennuste'!M257*1000</f>
        <v>810.84549760771438</v>
      </c>
      <c r="AE257" s="41">
        <f>L257/'1. Väestöennuste'!N257*1000</f>
        <v>705.23229314675393</v>
      </c>
      <c r="AF257" s="41">
        <f>M257/'1. Väestöennuste'!O257*1000</f>
        <v>559.12701662627785</v>
      </c>
      <c r="AG257" s="41">
        <f>N257/'1. Väestöennuste'!P257*1000</f>
        <v>649.11578099966698</v>
      </c>
      <c r="AH257" s="41">
        <f>O257/'1. Väestöennuste'!Q257*1000</f>
        <v>648.54621580694982</v>
      </c>
      <c r="AI257" s="41">
        <f>P257/'1. Väestöennuste'!R257*1000</f>
        <v>862.59356166706493</v>
      </c>
      <c r="AK257" s="41">
        <f>'6. Poistot'!Z257</f>
        <v>512.22984340623793</v>
      </c>
      <c r="AL257" s="41">
        <f>'6. Poistot'!AA257</f>
        <v>494.20595206742161</v>
      </c>
      <c r="AM257" s="41">
        <f>'6. Poistot'!AB257</f>
        <v>470.43131193393714</v>
      </c>
      <c r="AN257" s="41">
        <f>'6. Poistot'!AC257</f>
        <v>442.82756753088091</v>
      </c>
      <c r="AO257" s="41">
        <f>'6. Poistot'!AD257</f>
        <v>770.36344813162304</v>
      </c>
      <c r="AP257" s="41">
        <f>'6. Poistot'!AE257</f>
        <v>641.62476894639553</v>
      </c>
      <c r="AQ257" s="41">
        <f>'6. Poistot'!AF257</f>
        <v>642.35142567665366</v>
      </c>
      <c r="AR257" s="41">
        <f>'6. Poistot'!AG257</f>
        <v>653.51288470033876</v>
      </c>
      <c r="AS257" s="41">
        <f>'6. Poistot'!AH257</f>
        <v>686.014407478777</v>
      </c>
      <c r="AT257" s="41">
        <f>'6. Poistot'!AI257</f>
        <v>718.97769384972537</v>
      </c>
      <c r="AV257" s="4">
        <f t="shared" si="63"/>
        <v>0</v>
      </c>
      <c r="AW257" s="4">
        <f t="shared" si="64"/>
        <v>0</v>
      </c>
      <c r="AX257" s="4">
        <f t="shared" si="65"/>
        <v>0</v>
      </c>
      <c r="AY257" s="4">
        <f t="shared" si="66"/>
        <v>0</v>
      </c>
      <c r="AZ257" s="4">
        <f t="shared" si="67"/>
        <v>1</v>
      </c>
      <c r="BA257" s="4">
        <f t="shared" si="68"/>
        <v>1</v>
      </c>
      <c r="BB257" s="4">
        <f t="shared" si="69"/>
        <v>1</v>
      </c>
      <c r="BC257" s="4">
        <f t="shared" si="70"/>
        <v>0</v>
      </c>
      <c r="BE257" s="405">
        <f t="shared" si="71"/>
        <v>0</v>
      </c>
      <c r="BF257" s="405">
        <f t="shared" si="72"/>
        <v>0</v>
      </c>
      <c r="BG257" s="405">
        <f t="shared" si="73"/>
        <v>0</v>
      </c>
      <c r="BH257" s="405">
        <f t="shared" si="74"/>
        <v>0</v>
      </c>
      <c r="BI257" s="405">
        <f t="shared" si="75"/>
        <v>0</v>
      </c>
      <c r="BJ257" s="405">
        <f t="shared" si="76"/>
        <v>0</v>
      </c>
      <c r="BK257" s="405">
        <f t="shared" si="77"/>
        <v>0</v>
      </c>
      <c r="BL257" s="405">
        <f t="shared" si="78"/>
        <v>0</v>
      </c>
      <c r="BM257" s="405">
        <f t="shared" si="79"/>
        <v>0</v>
      </c>
      <c r="BN257" s="405">
        <f t="shared" si="79"/>
        <v>0</v>
      </c>
    </row>
    <row r="258" spans="1:66" x14ac:dyDescent="0.2">
      <c r="A258" s="34">
        <v>778</v>
      </c>
      <c r="B258" s="88" t="s">
        <v>572</v>
      </c>
      <c r="C258" s="41" t="e">
        <f>'2. Toimintakate'!D258+'3. Verotulot'!G258+'4. Valtionosuudet'!#REF!+'5. Rahoitustuotot ja -kulut'!C258</f>
        <v>#REF!</v>
      </c>
      <c r="D258" s="41">
        <f>'2. Toimintakate'!E258+'4. Valtionosuudet'!H258+'3. Verotulot'!L258+'5. Rahoitustuotot ja -kulut'!D258</f>
        <v>5497</v>
      </c>
      <c r="E258" s="41">
        <f>'2. Toimintakate'!F258+'4. Valtionosuudet'!N258+'3. Verotulot'!Q258+'5. Rahoitustuotot ja -kulut'!E258</f>
        <v>5804</v>
      </c>
      <c r="F258" s="41">
        <f>'2. Toimintakate'!G258+'4. Valtionosuudet'!T258+'3. Verotulot'!V258+'5. Rahoitustuotot ja -kulut'!F258</f>
        <v>2932</v>
      </c>
      <c r="G258" s="41">
        <f>'2. Toimintakate'!H258+'3. Verotulot'!AA258+'4. Valtionosuudet'!Z258+'5. Rahoitustuotot ja -kulut'!G258</f>
        <v>2446</v>
      </c>
      <c r="H258" s="41">
        <f>Käyttökate!H258+'5. Rahoitustuotot ja -kulut'!H258</f>
        <v>3023.1255365205507</v>
      </c>
      <c r="I258" s="41">
        <f>Käyttökate!I258+'5. Rahoitustuotot ja -kulut'!I258</f>
        <v>2706.3297781459278</v>
      </c>
      <c r="J258" s="41">
        <f>Käyttökate!J258+'5. Rahoitustuotot ja -kulut'!J258</f>
        <v>3447.0341350865724</v>
      </c>
      <c r="K258" s="41">
        <f>Käyttökate!K258+'5. Rahoitustuotot ja -kulut'!K258</f>
        <v>2624.7340668571983</v>
      </c>
      <c r="L258" s="41">
        <f>Käyttökate!L258+'5. Rahoitustuotot ja -kulut'!L258</f>
        <v>3745.587388188158</v>
      </c>
      <c r="M258" s="41">
        <f>Käyttökate!M258+'5. Rahoitustuotot ja -kulut'!M258</f>
        <v>2030.8900293839552</v>
      </c>
      <c r="N258" s="41">
        <f>Käyttökate!N258+'5. Rahoitustuotot ja -kulut'!N258</f>
        <v>1108.3212699212463</v>
      </c>
      <c r="O258" s="41">
        <f>Käyttökate!O258+'5. Rahoitustuotot ja -kulut'!O258</f>
        <v>1133.4798498660864</v>
      </c>
      <c r="P258" s="41">
        <f>Käyttökate!P258+'5. Rahoitustuotot ja -kulut'!P258</f>
        <v>2078.578301677228</v>
      </c>
      <c r="T258" s="34">
        <v>778</v>
      </c>
      <c r="U258" s="88" t="s">
        <v>572</v>
      </c>
      <c r="V258" s="41" t="e">
        <f>C258/'1. Väestöennuste'!E258*1000</f>
        <v>#REF!</v>
      </c>
      <c r="W258" s="41">
        <f>D258/'1. Väestöennuste'!F258*1000</f>
        <v>751.77789934354485</v>
      </c>
      <c r="X258" s="41">
        <f>E258/'1. Väestöennuste'!G258*1000</f>
        <v>798.78887971373524</v>
      </c>
      <c r="Y258" s="41">
        <f>F258/'1. Väestöennuste'!H258*1000</f>
        <v>410.35689293212033</v>
      </c>
      <c r="Z258" s="41">
        <f>G258/'1. Väestöennuste'!I258*1000</f>
        <v>346.26274065685163</v>
      </c>
      <c r="AA258" s="41">
        <f>H258/'1. Väestöennuste'!J258*1000</f>
        <v>436.174511112473</v>
      </c>
      <c r="AB258" s="41">
        <f>I258/'1. Väestöennuste'!K258*1000</f>
        <v>392.73396867594369</v>
      </c>
      <c r="AC258" s="41">
        <f>J258/'1. Väestöennuste'!L258*1000</f>
        <v>509.6900983419448</v>
      </c>
      <c r="AD258" s="41">
        <f>K258/'1. Väestöennuste'!M258*1000</f>
        <v>391.28414830906354</v>
      </c>
      <c r="AE258" s="41">
        <f>L258/'1. Väestöennuste'!N258*1000</f>
        <v>570.62574469655056</v>
      </c>
      <c r="AF258" s="41">
        <f>M258/'1. Väestöennuste'!O258*1000</f>
        <v>313.02250761158371</v>
      </c>
      <c r="AG258" s="41">
        <f>N258/'1. Väestöennuste'!P258*1000</f>
        <v>172.74334007500721</v>
      </c>
      <c r="AH258" s="41">
        <f>O258/'1. Väestöennuste'!Q258*1000</f>
        <v>178.52887854246126</v>
      </c>
      <c r="AI258" s="41">
        <f>P258/'1. Väestöennuste'!R258*1000</f>
        <v>330.9311099629403</v>
      </c>
      <c r="AK258" s="41">
        <f>'6. Poistot'!Z258</f>
        <v>321.77236693091731</v>
      </c>
      <c r="AL258" s="41">
        <f>'6. Poistot'!AA258</f>
        <v>334.2951954984851</v>
      </c>
      <c r="AM258" s="41">
        <f>'6. Poistot'!AB258</f>
        <v>509.6911986649252</v>
      </c>
      <c r="AN258" s="41">
        <f>'6. Poistot'!AC258</f>
        <v>348.74443885849479</v>
      </c>
      <c r="AO258" s="41">
        <f>'6. Poistot'!AD258</f>
        <v>426.43061121049499</v>
      </c>
      <c r="AP258" s="41">
        <f>'6. Poistot'!AE258</f>
        <v>365.63071297989029</v>
      </c>
      <c r="AQ258" s="41">
        <f>'6. Poistot'!AF258</f>
        <v>385.32675709001234</v>
      </c>
      <c r="AR258" s="41">
        <f>'6. Poistot'!AG258</f>
        <v>327.30673316708231</v>
      </c>
      <c r="AS258" s="41">
        <f>'6. Poistot'!AH258</f>
        <v>341.43318872928364</v>
      </c>
      <c r="AT258" s="41">
        <f>'6. Poistot'!AI258</f>
        <v>355.91762943551089</v>
      </c>
      <c r="AV258" s="4">
        <f t="shared" si="63"/>
        <v>1</v>
      </c>
      <c r="AW258" s="4">
        <f t="shared" si="64"/>
        <v>0</v>
      </c>
      <c r="AX258" s="4">
        <f t="shared" si="65"/>
        <v>1</v>
      </c>
      <c r="AY258" s="4">
        <f t="shared" si="66"/>
        <v>0</v>
      </c>
      <c r="AZ258" s="4">
        <f t="shared" si="67"/>
        <v>1</v>
      </c>
      <c r="BA258" s="4">
        <f t="shared" si="68"/>
        <v>1</v>
      </c>
      <c r="BB258" s="4">
        <f t="shared" si="69"/>
        <v>1</v>
      </c>
      <c r="BC258" s="4">
        <f t="shared" si="70"/>
        <v>1</v>
      </c>
      <c r="BE258" s="405">
        <f t="shared" si="71"/>
        <v>0</v>
      </c>
      <c r="BF258" s="405">
        <f t="shared" si="72"/>
        <v>0</v>
      </c>
      <c r="BG258" s="405">
        <f t="shared" si="73"/>
        <v>0</v>
      </c>
      <c r="BH258" s="405">
        <f t="shared" si="74"/>
        <v>0</v>
      </c>
      <c r="BI258" s="405">
        <f t="shared" si="75"/>
        <v>0</v>
      </c>
      <c r="BJ258" s="405">
        <f t="shared" si="76"/>
        <v>0</v>
      </c>
      <c r="BK258" s="405">
        <f t="shared" si="77"/>
        <v>0</v>
      </c>
      <c r="BL258" s="405">
        <f t="shared" si="78"/>
        <v>0</v>
      </c>
      <c r="BM258" s="405">
        <f t="shared" si="79"/>
        <v>0</v>
      </c>
      <c r="BN258" s="405">
        <f t="shared" si="79"/>
        <v>0</v>
      </c>
    </row>
    <row r="259" spans="1:66" x14ac:dyDescent="0.2">
      <c r="A259" s="34">
        <v>781</v>
      </c>
      <c r="B259" s="88" t="s">
        <v>573</v>
      </c>
      <c r="C259" s="41" t="e">
        <f>'2. Toimintakate'!D259+'3. Verotulot'!G259+'4. Valtionosuudet'!#REF!+'5. Rahoitustuotot ja -kulut'!C259</f>
        <v>#REF!</v>
      </c>
      <c r="D259" s="41">
        <f>'2. Toimintakate'!E259+'4. Valtionosuudet'!H259+'3. Verotulot'!L259+'5. Rahoitustuotot ja -kulut'!D259</f>
        <v>1752</v>
      </c>
      <c r="E259" s="41">
        <f>'2. Toimintakate'!F259+'4. Valtionosuudet'!N259+'3. Verotulot'!Q259+'5. Rahoitustuotot ja -kulut'!E259</f>
        <v>2065</v>
      </c>
      <c r="F259" s="41">
        <f>'2. Toimintakate'!G259+'4. Valtionosuudet'!T259+'3. Verotulot'!V259+'5. Rahoitustuotot ja -kulut'!F259</f>
        <v>741</v>
      </c>
      <c r="G259" s="41">
        <f>'2. Toimintakate'!H259+'3. Verotulot'!AA259+'4. Valtionosuudet'!Z259+'5. Rahoitustuotot ja -kulut'!G259</f>
        <v>724</v>
      </c>
      <c r="H259" s="41">
        <f>Käyttökate!H259+'5. Rahoitustuotot ja -kulut'!H259</f>
        <v>2544.4337372809277</v>
      </c>
      <c r="I259" s="41">
        <f>Käyttökate!I259+'5. Rahoitustuotot ja -kulut'!I259</f>
        <v>3996.7379225320738</v>
      </c>
      <c r="J259" s="41">
        <f>Käyttökate!J259+'5. Rahoitustuotot ja -kulut'!J259</f>
        <v>2360.9665875663454</v>
      </c>
      <c r="K259" s="41">
        <f>Käyttökate!K259+'5. Rahoitustuotot ja -kulut'!K259</f>
        <v>2699.365338954593</v>
      </c>
      <c r="L259" s="41">
        <f>Käyttökate!L259+'5. Rahoitustuotot ja -kulut'!L259</f>
        <v>1916.5414771012481</v>
      </c>
      <c r="M259" s="41">
        <f>Käyttökate!M259+'5. Rahoitustuotot ja -kulut'!M259</f>
        <v>1668.8315291968599</v>
      </c>
      <c r="N259" s="41">
        <f>Käyttökate!N259+'5. Rahoitustuotot ja -kulut'!N259</f>
        <v>1436.7649581155017</v>
      </c>
      <c r="O259" s="41">
        <f>Käyttökate!O259+'5. Rahoitustuotot ja -kulut'!O259</f>
        <v>1324.5575886379161</v>
      </c>
      <c r="P259" s="41">
        <f>Käyttökate!P259+'5. Rahoitustuotot ja -kulut'!P259</f>
        <v>1854.9583341820896</v>
      </c>
      <c r="T259" s="34">
        <v>781</v>
      </c>
      <c r="U259" s="88" t="s">
        <v>573</v>
      </c>
      <c r="V259" s="41" t="e">
        <f>C259/'1. Väestöennuste'!E259*1000</f>
        <v>#REF!</v>
      </c>
      <c r="W259" s="41">
        <f>D259/'1. Väestöennuste'!F259*1000</f>
        <v>443.20769036175056</v>
      </c>
      <c r="X259" s="41">
        <f>E259/'1. Väestöennuste'!G259*1000</f>
        <v>535.11272350349839</v>
      </c>
      <c r="Y259" s="41">
        <f>F259/'1. Väestöennuste'!H259*1000</f>
        <v>197.44204636290968</v>
      </c>
      <c r="Z259" s="41">
        <f>G259/'1. Väestöennuste'!I259*1000</f>
        <v>197.97648345638501</v>
      </c>
      <c r="AA259" s="41">
        <f>H259/'1. Väestöennuste'!J259*1000</f>
        <v>700.75288826244218</v>
      </c>
      <c r="AB259" s="41">
        <f>I259/'1. Väestöennuste'!K259*1000</f>
        <v>1115.1612507064938</v>
      </c>
      <c r="AC259" s="41">
        <f>J259/'1. Väestöennuste'!L259*1000</f>
        <v>673.791834351126</v>
      </c>
      <c r="AD259" s="41">
        <f>K259/'1. Väestöennuste'!M259*1000</f>
        <v>772.129673614014</v>
      </c>
      <c r="AE259" s="41">
        <f>L259/'1. Väestöennuste'!N259*1000</f>
        <v>575.36519876951309</v>
      </c>
      <c r="AF259" s="41">
        <f>M259/'1. Väestöennuste'!O259*1000</f>
        <v>510.34603339353515</v>
      </c>
      <c r="AG259" s="41">
        <f>N259/'1. Väestöennuste'!P259*1000</f>
        <v>446.47761283887559</v>
      </c>
      <c r="AH259" s="41">
        <f>O259/'1. Väestöennuste'!Q259*1000</f>
        <v>417.97336340735751</v>
      </c>
      <c r="AI259" s="41">
        <f>P259/'1. Väestöennuste'!R259*1000</f>
        <v>593.77667547442047</v>
      </c>
      <c r="AK259" s="41">
        <f>'6. Poistot'!Z259</f>
        <v>326.49712879409356</v>
      </c>
      <c r="AL259" s="41">
        <f>'6. Poistot'!AA259</f>
        <v>305.7009088405398</v>
      </c>
      <c r="AM259" s="41">
        <f>'6. Poistot'!AB259</f>
        <v>308.77566964285711</v>
      </c>
      <c r="AN259" s="41">
        <f>'6. Poistot'!AC259</f>
        <v>339.55989726027389</v>
      </c>
      <c r="AO259" s="41">
        <f>'6. Poistot'!AD259</f>
        <v>550.99851258581236</v>
      </c>
      <c r="AP259" s="41">
        <f>'6. Poistot'!AE259</f>
        <v>0</v>
      </c>
      <c r="AQ259" s="41">
        <f>'6. Poistot'!AF259</f>
        <v>0</v>
      </c>
      <c r="AR259" s="41">
        <f>'6. Poistot'!AG259</f>
        <v>0</v>
      </c>
      <c r="AS259" s="41">
        <f>'6. Poistot'!AH259</f>
        <v>0</v>
      </c>
      <c r="AT259" s="41">
        <f>'6. Poistot'!AI259</f>
        <v>0</v>
      </c>
      <c r="AV259" s="4">
        <f t="shared" si="63"/>
        <v>0</v>
      </c>
      <c r="AW259" s="4">
        <f t="shared" si="64"/>
        <v>0</v>
      </c>
      <c r="AX259" s="4">
        <f t="shared" si="65"/>
        <v>0</v>
      </c>
      <c r="AY259" s="4">
        <f t="shared" si="66"/>
        <v>0</v>
      </c>
      <c r="AZ259" s="4">
        <f t="shared" si="67"/>
        <v>0</v>
      </c>
      <c r="BA259" s="4">
        <f t="shared" si="68"/>
        <v>0</v>
      </c>
      <c r="BB259" s="4">
        <f t="shared" si="69"/>
        <v>0</v>
      </c>
      <c r="BC259" s="4">
        <f t="shared" si="70"/>
        <v>0</v>
      </c>
      <c r="BE259" s="405">
        <f t="shared" si="71"/>
        <v>0</v>
      </c>
      <c r="BF259" s="405">
        <f t="shared" si="72"/>
        <v>0</v>
      </c>
      <c r="BG259" s="405">
        <f t="shared" si="73"/>
        <v>0</v>
      </c>
      <c r="BH259" s="405">
        <f t="shared" si="74"/>
        <v>0</v>
      </c>
      <c r="BI259" s="405">
        <f t="shared" si="75"/>
        <v>0</v>
      </c>
      <c r="BJ259" s="405">
        <f t="shared" si="76"/>
        <v>0</v>
      </c>
      <c r="BK259" s="405">
        <f t="shared" si="77"/>
        <v>0</v>
      </c>
      <c r="BL259" s="405">
        <f t="shared" si="78"/>
        <v>0</v>
      </c>
      <c r="BM259" s="405">
        <f t="shared" si="79"/>
        <v>0</v>
      </c>
      <c r="BN259" s="405">
        <f t="shared" si="79"/>
        <v>0</v>
      </c>
    </row>
    <row r="260" spans="1:66" x14ac:dyDescent="0.2">
      <c r="A260" s="34">
        <v>783</v>
      </c>
      <c r="B260" s="88" t="s">
        <v>574</v>
      </c>
      <c r="C260" s="41" t="e">
        <f>'2. Toimintakate'!D260+'3. Verotulot'!G260+'4. Valtionosuudet'!#REF!+'5. Rahoitustuotot ja -kulut'!C260</f>
        <v>#REF!</v>
      </c>
      <c r="D260" s="41">
        <f>'2. Toimintakate'!E260+'4. Valtionosuudet'!H260+'3. Verotulot'!L260+'5. Rahoitustuotot ja -kulut'!D260</f>
        <v>4820</v>
      </c>
      <c r="E260" s="41">
        <f>'2. Toimintakate'!F260+'4. Valtionosuudet'!N260+'3. Verotulot'!Q260+'5. Rahoitustuotot ja -kulut'!E260</f>
        <v>4943</v>
      </c>
      <c r="F260" s="41">
        <f>'2. Toimintakate'!G260+'4. Valtionosuudet'!T260+'3. Verotulot'!V260+'5. Rahoitustuotot ja -kulut'!F260</f>
        <v>2555</v>
      </c>
      <c r="G260" s="41">
        <f>'2. Toimintakate'!H260+'3. Verotulot'!AA260+'4. Valtionosuudet'!Z260+'5. Rahoitustuotot ja -kulut'!G260</f>
        <v>579</v>
      </c>
      <c r="H260" s="41">
        <f>Käyttökate!H260+'5. Rahoitustuotot ja -kulut'!H260</f>
        <v>4036.3758697130979</v>
      </c>
      <c r="I260" s="41">
        <f>Käyttökate!I260+'5. Rahoitustuotot ja -kulut'!I260</f>
        <v>4997.4173444541475</v>
      </c>
      <c r="J260" s="41">
        <f>Käyttökate!J260+'5. Rahoitustuotot ja -kulut'!J260</f>
        <v>3229.9126871326298</v>
      </c>
      <c r="K260" s="41">
        <f>Käyttökate!K260+'5. Rahoitustuotot ja -kulut'!K260</f>
        <v>6516.6721951209538</v>
      </c>
      <c r="L260" s="41">
        <f>Käyttökate!L260+'5. Rahoitustuotot ja -kulut'!L260</f>
        <v>2079.5530725010817</v>
      </c>
      <c r="M260" s="41">
        <f>Käyttökate!M260+'5. Rahoitustuotot ja -kulut'!M260</f>
        <v>4855.8020490586814</v>
      </c>
      <c r="N260" s="41">
        <f>Käyttökate!N260+'5. Rahoitustuotot ja -kulut'!N260</f>
        <v>5065.5293489342494</v>
      </c>
      <c r="O260" s="41">
        <f>Käyttökate!O260+'5. Rahoitustuotot ja -kulut'!O260</f>
        <v>5222.3887941231069</v>
      </c>
      <c r="P260" s="41">
        <f>Käyttökate!P260+'5. Rahoitustuotot ja -kulut'!P260</f>
        <v>6068.5772196705166</v>
      </c>
      <c r="T260" s="34">
        <v>783</v>
      </c>
      <c r="U260" s="88" t="s">
        <v>574</v>
      </c>
      <c r="V260" s="41" t="e">
        <f>C260/'1. Väestöennuste'!E260*1000</f>
        <v>#REF!</v>
      </c>
      <c r="W260" s="41">
        <f>D260/'1. Väestöennuste'!F260*1000</f>
        <v>689.75386376645679</v>
      </c>
      <c r="X260" s="41">
        <f>E260/'1. Väestöennuste'!G260*1000</f>
        <v>716.06547877734317</v>
      </c>
      <c r="Y260" s="41">
        <f>F260/'1. Väestöennuste'!H260*1000</f>
        <v>375.1284686536485</v>
      </c>
      <c r="Z260" s="41">
        <f>G260/'1. Väestöennuste'!I260*1000</f>
        <v>86.147894658532948</v>
      </c>
      <c r="AA260" s="41">
        <f>H260/'1. Väestöennuste'!J260*1000</f>
        <v>607.33913176543751</v>
      </c>
      <c r="AB260" s="41">
        <f>I260/'1. Väestöennuste'!K260*1000</f>
        <v>758.56365277081773</v>
      </c>
      <c r="AC260" s="41">
        <f>J260/'1. Väestöennuste'!L260*1000</f>
        <v>503.18004161592609</v>
      </c>
      <c r="AD260" s="41">
        <f>K260/'1. Väestöennuste'!M260*1000</f>
        <v>1021.9024925703237</v>
      </c>
      <c r="AE260" s="41">
        <f>L260/'1. Väestöennuste'!N260*1000</f>
        <v>328.73112116678499</v>
      </c>
      <c r="AF260" s="41">
        <f>M260/'1. Väestöennuste'!O260*1000</f>
        <v>776.18319198508334</v>
      </c>
      <c r="AG260" s="41">
        <f>N260/'1. Väestöennuste'!P260*1000</f>
        <v>819.00231995703302</v>
      </c>
      <c r="AH260" s="41">
        <f>O260/'1. Väestöennuste'!Q260*1000</f>
        <v>853.61045997435542</v>
      </c>
      <c r="AI260" s="41">
        <f>P260/'1. Väestöennuste'!R260*1000</f>
        <v>1002.7391308113873</v>
      </c>
      <c r="AK260" s="41">
        <f>'6. Poistot'!Z260</f>
        <v>335.9619104299955</v>
      </c>
      <c r="AL260" s="41">
        <f>'6. Poistot'!AA260</f>
        <v>350.28588624736682</v>
      </c>
      <c r="AM260" s="41">
        <f>'6. Poistot'!AB260</f>
        <v>344.35333181542194</v>
      </c>
      <c r="AN260" s="41">
        <f>'6. Poistot'!AC260</f>
        <v>348.21469231967592</v>
      </c>
      <c r="AO260" s="41">
        <f>'6. Poistot'!AD260</f>
        <v>361.66016308609062</v>
      </c>
      <c r="AP260" s="41">
        <f>'6. Poistot'!AE260</f>
        <v>393.0414163768574</v>
      </c>
      <c r="AQ260" s="41">
        <f>'6. Poistot'!AF260</f>
        <v>397.37851662404097</v>
      </c>
      <c r="AR260" s="41">
        <f>'6. Poistot'!AG260</f>
        <v>401.9401778496362</v>
      </c>
      <c r="AS260" s="41">
        <f>'6. Poistot'!AH260</f>
        <v>419.45310930215004</v>
      </c>
      <c r="AT260" s="41">
        <f>'6. Poistot'!AI260</f>
        <v>437.28160036700399</v>
      </c>
      <c r="AV260" s="4">
        <f t="shared" si="63"/>
        <v>0</v>
      </c>
      <c r="AW260" s="4">
        <f t="shared" si="64"/>
        <v>0</v>
      </c>
      <c r="AX260" s="4">
        <f t="shared" si="65"/>
        <v>0</v>
      </c>
      <c r="AY260" s="4">
        <f t="shared" si="66"/>
        <v>1</v>
      </c>
      <c r="AZ260" s="4">
        <f t="shared" si="67"/>
        <v>0</v>
      </c>
      <c r="BA260" s="4">
        <f t="shared" si="68"/>
        <v>0</v>
      </c>
      <c r="BB260" s="4">
        <f t="shared" si="69"/>
        <v>0</v>
      </c>
      <c r="BC260" s="4">
        <f t="shared" si="70"/>
        <v>0</v>
      </c>
      <c r="BE260" s="405">
        <f t="shared" si="71"/>
        <v>0</v>
      </c>
      <c r="BF260" s="405">
        <f t="shared" si="72"/>
        <v>0</v>
      </c>
      <c r="BG260" s="405">
        <f t="shared" si="73"/>
        <v>0</v>
      </c>
      <c r="BH260" s="405">
        <f t="shared" si="74"/>
        <v>0</v>
      </c>
      <c r="BI260" s="405">
        <f t="shared" si="75"/>
        <v>0</v>
      </c>
      <c r="BJ260" s="405">
        <f t="shared" si="76"/>
        <v>0</v>
      </c>
      <c r="BK260" s="405">
        <f t="shared" si="77"/>
        <v>0</v>
      </c>
      <c r="BL260" s="405">
        <f t="shared" si="78"/>
        <v>0</v>
      </c>
      <c r="BM260" s="405">
        <f t="shared" si="79"/>
        <v>0</v>
      </c>
      <c r="BN260" s="405">
        <f t="shared" si="79"/>
        <v>0</v>
      </c>
    </row>
    <row r="261" spans="1:66" x14ac:dyDescent="0.2">
      <c r="A261" s="34">
        <v>785</v>
      </c>
      <c r="B261" s="88" t="s">
        <v>575</v>
      </c>
      <c r="C261" s="41" t="e">
        <f>'2. Toimintakate'!D261+'3. Verotulot'!G261+'4. Valtionosuudet'!#REF!+'5. Rahoitustuotot ja -kulut'!C261</f>
        <v>#REF!</v>
      </c>
      <c r="D261" s="41">
        <f>'2. Toimintakate'!E261+'4. Valtionosuudet'!H261+'3. Verotulot'!L261+'5. Rahoitustuotot ja -kulut'!D261</f>
        <v>1491</v>
      </c>
      <c r="E261" s="41">
        <f>'2. Toimintakate'!F261+'4. Valtionosuudet'!N261+'3. Verotulot'!Q261+'5. Rahoitustuotot ja -kulut'!E261</f>
        <v>2077</v>
      </c>
      <c r="F261" s="41">
        <f>'2. Toimintakate'!G261+'4. Valtionosuudet'!T261+'3. Verotulot'!V261+'5. Rahoitustuotot ja -kulut'!F261</f>
        <v>818</v>
      </c>
      <c r="G261" s="41">
        <f>'2. Toimintakate'!H261+'3. Verotulot'!AA261+'4. Valtionosuudet'!Z261+'5. Rahoitustuotot ja -kulut'!G261</f>
        <v>706</v>
      </c>
      <c r="H261" s="41">
        <f>Käyttökate!H261+'5. Rahoitustuotot ja -kulut'!H261</f>
        <v>706.10722823981087</v>
      </c>
      <c r="I261" s="41">
        <f>Käyttökate!I261+'5. Rahoitustuotot ja -kulut'!I261</f>
        <v>1920.6736342362999</v>
      </c>
      <c r="J261" s="41">
        <f>Käyttökate!J261+'5. Rahoitustuotot ja -kulut'!J261</f>
        <v>2786.541477220369</v>
      </c>
      <c r="K261" s="41">
        <f>Käyttökate!K261+'5. Rahoitustuotot ja -kulut'!K261</f>
        <v>2797.6421604237671</v>
      </c>
      <c r="L261" s="41">
        <f>Käyttökate!L261+'5. Rahoitustuotot ja -kulut'!L261</f>
        <v>2083.9341006038949</v>
      </c>
      <c r="M261" s="41">
        <f>Käyttökate!M261+'5. Rahoitustuotot ja -kulut'!M261</f>
        <v>1856.8649096586514</v>
      </c>
      <c r="N261" s="41">
        <f>Käyttökate!N261+'5. Rahoitustuotot ja -kulut'!N261</f>
        <v>1519.7315465754</v>
      </c>
      <c r="O261" s="41">
        <f>Käyttökate!O261+'5. Rahoitustuotot ja -kulut'!O261</f>
        <v>1354.097256279525</v>
      </c>
      <c r="P261" s="41">
        <f>Käyttökate!P261+'5. Rahoitustuotot ja -kulut'!P261</f>
        <v>1575.8683130403024</v>
      </c>
      <c r="T261" s="34">
        <v>785</v>
      </c>
      <c r="U261" s="88" t="s">
        <v>575</v>
      </c>
      <c r="V261" s="41" t="e">
        <f>C261/'1. Väestöennuste'!E261*1000</f>
        <v>#REF!</v>
      </c>
      <c r="W261" s="41">
        <f>D261/'1. Väestöennuste'!F261*1000</f>
        <v>490.46052631578948</v>
      </c>
      <c r="X261" s="41">
        <f>E261/'1. Väestöennuste'!G261*1000</f>
        <v>706.2223733424006</v>
      </c>
      <c r="Y261" s="41">
        <f>F261/'1. Väestöennuste'!H261*1000</f>
        <v>285.1167654234925</v>
      </c>
      <c r="Z261" s="41">
        <f>G261/'1. Väestöennuste'!I261*1000</f>
        <v>252.86532951289396</v>
      </c>
      <c r="AA261" s="41">
        <f>H261/'1. Väestöennuste'!J261*1000</f>
        <v>257.98583421257251</v>
      </c>
      <c r="AB261" s="41">
        <f>I261/'1. Väestöennuste'!K261*1000</f>
        <v>718.54606593202391</v>
      </c>
      <c r="AC261" s="41">
        <f>J261/'1. Väestöennuste'!L261*1000</f>
        <v>1061.1353683245884</v>
      </c>
      <c r="AD261" s="41">
        <f>K261/'1. Väestöennuste'!M261*1000</f>
        <v>1080.5879337287629</v>
      </c>
      <c r="AE261" s="41">
        <f>L261/'1. Väestöennuste'!N261*1000</f>
        <v>835.57902991334993</v>
      </c>
      <c r="AF261" s="41">
        <f>M261/'1. Väestöennuste'!O261*1000</f>
        <v>758.83322830349459</v>
      </c>
      <c r="AG261" s="41">
        <f>N261/'1. Väestöennuste'!P261*1000</f>
        <v>632.43093906591764</v>
      </c>
      <c r="AH261" s="41">
        <f>O261/'1. Väestöennuste'!Q261*1000</f>
        <v>573.28418978811396</v>
      </c>
      <c r="AI261" s="41">
        <f>P261/'1. Väestöennuste'!R261*1000</f>
        <v>677.79282281303335</v>
      </c>
      <c r="AK261" s="41">
        <f>'6. Poistot'!Z261</f>
        <v>447.34957020057311</v>
      </c>
      <c r="AL261" s="41">
        <f>'6. Poistot'!AA261</f>
        <v>321.51991231275116</v>
      </c>
      <c r="AM261" s="41">
        <f>'6. Poistot'!AB261</f>
        <v>443.51337822671155</v>
      </c>
      <c r="AN261" s="41">
        <f>'6. Poistot'!AC261</f>
        <v>437.30088728103578</v>
      </c>
      <c r="AO261" s="41">
        <f>'6. Poistot'!AD261</f>
        <v>721.44112012359983</v>
      </c>
      <c r="AP261" s="41">
        <f>'6. Poistot'!AE261</f>
        <v>314.71932638331998</v>
      </c>
      <c r="AQ261" s="41">
        <f>'6. Poistot'!AF261</f>
        <v>0</v>
      </c>
      <c r="AR261" s="41">
        <f>'6. Poistot'!AG261</f>
        <v>0</v>
      </c>
      <c r="AS261" s="41">
        <f>'6. Poistot'!AH261</f>
        <v>0</v>
      </c>
      <c r="AT261" s="41">
        <f>'6. Poistot'!AI261</f>
        <v>0</v>
      </c>
      <c r="AV261" s="4">
        <f t="shared" si="63"/>
        <v>0</v>
      </c>
      <c r="AW261" s="4">
        <f t="shared" si="64"/>
        <v>0</v>
      </c>
      <c r="AX261" s="4">
        <f t="shared" si="65"/>
        <v>0</v>
      </c>
      <c r="AY261" s="4">
        <f t="shared" si="66"/>
        <v>0</v>
      </c>
      <c r="AZ261" s="4">
        <f t="shared" si="67"/>
        <v>0</v>
      </c>
      <c r="BA261" s="4">
        <f t="shared" si="68"/>
        <v>0</v>
      </c>
      <c r="BB261" s="4">
        <f t="shared" si="69"/>
        <v>0</v>
      </c>
      <c r="BC261" s="4">
        <f t="shared" si="70"/>
        <v>0</v>
      </c>
      <c r="BE261" s="405">
        <f t="shared" si="71"/>
        <v>0</v>
      </c>
      <c r="BF261" s="405">
        <f t="shared" si="72"/>
        <v>0</v>
      </c>
      <c r="BG261" s="405">
        <f t="shared" si="73"/>
        <v>0</v>
      </c>
      <c r="BH261" s="405">
        <f t="shared" si="74"/>
        <v>0</v>
      </c>
      <c r="BI261" s="405">
        <f t="shared" si="75"/>
        <v>0</v>
      </c>
      <c r="BJ261" s="405">
        <f t="shared" si="76"/>
        <v>0</v>
      </c>
      <c r="BK261" s="405">
        <f t="shared" si="77"/>
        <v>0</v>
      </c>
      <c r="BL261" s="405">
        <f t="shared" si="78"/>
        <v>0</v>
      </c>
      <c r="BM261" s="405">
        <f t="shared" si="79"/>
        <v>0</v>
      </c>
      <c r="BN261" s="405">
        <f t="shared" si="79"/>
        <v>0</v>
      </c>
    </row>
    <row r="262" spans="1:66" x14ac:dyDescent="0.2">
      <c r="A262" s="34">
        <v>790</v>
      </c>
      <c r="B262" s="88" t="s">
        <v>576</v>
      </c>
      <c r="C262" s="41" t="e">
        <f>'2. Toimintakate'!D262+'3. Verotulot'!G262+'4. Valtionosuudet'!#REF!+'5. Rahoitustuotot ja -kulut'!C262</f>
        <v>#REF!</v>
      </c>
      <c r="D262" s="41">
        <f>'2. Toimintakate'!E262+'4. Valtionosuudet'!H262+'3. Verotulot'!L262+'5. Rahoitustuotot ja -kulut'!D262</f>
        <v>7751</v>
      </c>
      <c r="E262" s="41">
        <f>'2. Toimintakate'!F262+'4. Valtionosuudet'!N262+'3. Verotulot'!Q262+'5. Rahoitustuotot ja -kulut'!E262</f>
        <v>13988</v>
      </c>
      <c r="F262" s="41">
        <f>'2. Toimintakate'!G262+'4. Valtionosuudet'!T262+'3. Verotulot'!V262+'5. Rahoitustuotot ja -kulut'!F262</f>
        <v>7772</v>
      </c>
      <c r="G262" s="41">
        <f>'2. Toimintakate'!H262+'3. Verotulot'!AA262+'4. Valtionosuudet'!Z262+'5. Rahoitustuotot ja -kulut'!G262</f>
        <v>2219</v>
      </c>
      <c r="H262" s="41">
        <f>Käyttökate!H262+'5. Rahoitustuotot ja -kulut'!H262</f>
        <v>15144.130583299178</v>
      </c>
      <c r="I262" s="41">
        <f>Käyttökate!I262+'5. Rahoitustuotot ja -kulut'!I262</f>
        <v>13237.436021472446</v>
      </c>
      <c r="J262" s="41">
        <f>Käyttökate!J262+'5. Rahoitustuotot ja -kulut'!J262</f>
        <v>19033.448913231769</v>
      </c>
      <c r="K262" s="41">
        <f>Käyttökate!K262+'5. Rahoitustuotot ja -kulut'!K262</f>
        <v>18341.902678508362</v>
      </c>
      <c r="L262" s="41">
        <f>Käyttökate!L262+'5. Rahoitustuotot ja -kulut'!L262</f>
        <v>12735.367668834722</v>
      </c>
      <c r="M262" s="41">
        <f>Käyttökate!M262+'5. Rahoitustuotot ja -kulut'!M262</f>
        <v>9874.944539203505</v>
      </c>
      <c r="N262" s="41">
        <f>Käyttökate!N262+'5. Rahoitustuotot ja -kulut'!N262</f>
        <v>10000.354672888916</v>
      </c>
      <c r="O262" s="41">
        <f>Käyttökate!O262+'5. Rahoitustuotot ja -kulut'!O262</f>
        <v>10154.08009562525</v>
      </c>
      <c r="P262" s="41">
        <f>Käyttökate!P262+'5. Rahoitustuotot ja -kulut'!P262</f>
        <v>13246.122664238592</v>
      </c>
      <c r="T262" s="34">
        <v>790</v>
      </c>
      <c r="U262" s="88" t="s">
        <v>576</v>
      </c>
      <c r="V262" s="41" t="e">
        <f>C262/'1. Väestöennuste'!E262*1000</f>
        <v>#REF!</v>
      </c>
      <c r="W262" s="41">
        <f>D262/'1. Väestöennuste'!F262*1000</f>
        <v>309.27300295267736</v>
      </c>
      <c r="X262" s="41">
        <f>E262/'1. Väestöennuste'!G262*1000</f>
        <v>563.57775987107175</v>
      </c>
      <c r="Y262" s="41">
        <f>F262/'1. Väestöennuste'!H262*1000</f>
        <v>315.28132732952008</v>
      </c>
      <c r="Z262" s="41">
        <f>G262/'1. Väestöennuste'!I262*1000</f>
        <v>91.403385920830416</v>
      </c>
      <c r="AA262" s="41">
        <f>H262/'1. Väestöennuste'!J262*1000</f>
        <v>629.64121833108175</v>
      </c>
      <c r="AB262" s="41">
        <f>I262/'1. Väestöennuste'!K262*1000</f>
        <v>551.60580137813338</v>
      </c>
      <c r="AC262" s="41">
        <f>J262/'1. Väestöennuste'!L262*1000</f>
        <v>801.94863542730968</v>
      </c>
      <c r="AD262" s="41">
        <f>K262/'1. Väestöennuste'!M262*1000</f>
        <v>780.00861911581387</v>
      </c>
      <c r="AE262" s="41">
        <f>L262/'1. Väestöennuste'!N262*1000</f>
        <v>553.71163777542279</v>
      </c>
      <c r="AF262" s="41">
        <f>M262/'1. Väestöennuste'!O262*1000</f>
        <v>433.66319174403867</v>
      </c>
      <c r="AG262" s="41">
        <f>N262/'1. Väestöennuste'!P262*1000</f>
        <v>443.31743385446032</v>
      </c>
      <c r="AH262" s="41">
        <f>O262/'1. Väestöennuste'!Q262*1000</f>
        <v>454.30093041140219</v>
      </c>
      <c r="AI262" s="41">
        <f>P262/'1. Väestöennuste'!R262*1000</f>
        <v>597.96508957378978</v>
      </c>
      <c r="AK262" s="41">
        <f>'6. Poistot'!Z262</f>
        <v>317.79050129752437</v>
      </c>
      <c r="AL262" s="41">
        <f>'6. Poistot'!AA262</f>
        <v>437.13620488940632</v>
      </c>
      <c r="AM262" s="41">
        <f>'6. Poistot'!AB262</f>
        <v>389.1683161096758</v>
      </c>
      <c r="AN262" s="41">
        <f>'6. Poistot'!AC262</f>
        <v>505.71357251200811</v>
      </c>
      <c r="AO262" s="41">
        <f>'6. Poistot'!AD262</f>
        <v>373.38562406974273</v>
      </c>
      <c r="AP262" s="41">
        <f>'6. Poistot'!AE262</f>
        <v>393.43478260869563</v>
      </c>
      <c r="AQ262" s="41">
        <f>'6. Poistot'!AF262</f>
        <v>409.7316762548856</v>
      </c>
      <c r="AR262" s="41">
        <f>'6. Poistot'!AG262</f>
        <v>440.28725950882171</v>
      </c>
      <c r="AS262" s="41">
        <f>'6. Poistot'!AH262</f>
        <v>458.70293475706308</v>
      </c>
      <c r="AT262" s="41">
        <f>'6. Poistot'!AI262</f>
        <v>477.2904744271504</v>
      </c>
      <c r="AV262" s="4">
        <f t="shared" si="63"/>
        <v>0</v>
      </c>
      <c r="AW262" s="4">
        <f t="shared" si="64"/>
        <v>0</v>
      </c>
      <c r="AX262" s="4">
        <f t="shared" si="65"/>
        <v>0</v>
      </c>
      <c r="AY262" s="4">
        <f t="shared" si="66"/>
        <v>0</v>
      </c>
      <c r="AZ262" s="4">
        <f t="shared" si="67"/>
        <v>0</v>
      </c>
      <c r="BA262" s="4">
        <f t="shared" si="68"/>
        <v>0</v>
      </c>
      <c r="BB262" s="4">
        <f t="shared" si="69"/>
        <v>1</v>
      </c>
      <c r="BC262" s="4">
        <f t="shared" si="70"/>
        <v>0</v>
      </c>
      <c r="BE262" s="405">
        <f t="shared" si="71"/>
        <v>0</v>
      </c>
      <c r="BF262" s="405">
        <f t="shared" si="72"/>
        <v>0</v>
      </c>
      <c r="BG262" s="405">
        <f t="shared" si="73"/>
        <v>0</v>
      </c>
      <c r="BH262" s="405">
        <f t="shared" si="74"/>
        <v>0</v>
      </c>
      <c r="BI262" s="405">
        <f t="shared" si="75"/>
        <v>0</v>
      </c>
      <c r="BJ262" s="405">
        <f t="shared" si="76"/>
        <v>0</v>
      </c>
      <c r="BK262" s="405">
        <f t="shared" si="77"/>
        <v>0</v>
      </c>
      <c r="BL262" s="405">
        <f t="shared" si="78"/>
        <v>0</v>
      </c>
      <c r="BM262" s="405">
        <f t="shared" si="79"/>
        <v>0</v>
      </c>
      <c r="BN262" s="405">
        <f t="shared" si="79"/>
        <v>0</v>
      </c>
    </row>
    <row r="263" spans="1:66" x14ac:dyDescent="0.2">
      <c r="A263" s="34">
        <v>791</v>
      </c>
      <c r="B263" s="88" t="s">
        <v>577</v>
      </c>
      <c r="C263" s="41" t="e">
        <f>'2. Toimintakate'!D263+'3. Verotulot'!G263+'4. Valtionosuudet'!#REF!+'5. Rahoitustuotot ja -kulut'!C263</f>
        <v>#REF!</v>
      </c>
      <c r="D263" s="41">
        <f>'2. Toimintakate'!E263+'4. Valtionosuudet'!H263+'3. Verotulot'!L263+'5. Rahoitustuotot ja -kulut'!D263</f>
        <v>-271</v>
      </c>
      <c r="E263" s="41">
        <f>'2. Toimintakate'!F263+'4. Valtionosuudet'!N263+'3. Verotulot'!Q263+'5. Rahoitustuotot ja -kulut'!E263</f>
        <v>1795</v>
      </c>
      <c r="F263" s="41">
        <f>'2. Toimintakate'!G263+'4. Valtionosuudet'!T263+'3. Verotulot'!V263+'5. Rahoitustuotot ja -kulut'!F263</f>
        <v>1136</v>
      </c>
      <c r="G263" s="41">
        <f>'2. Toimintakate'!H263+'3. Verotulot'!AA263+'4. Valtionosuudet'!Z263+'5. Rahoitustuotot ja -kulut'!G263</f>
        <v>792</v>
      </c>
      <c r="H263" s="41">
        <f>Käyttökate!H263+'5. Rahoitustuotot ja -kulut'!H263</f>
        <v>123.02970718168581</v>
      </c>
      <c r="I263" s="41">
        <f>Käyttökate!I263+'5. Rahoitustuotot ja -kulut'!I263</f>
        <v>2964.303958116227</v>
      </c>
      <c r="J263" s="41">
        <f>Käyttökate!J263+'5. Rahoitustuotot ja -kulut'!J263</f>
        <v>2292.6496194583938</v>
      </c>
      <c r="K263" s="41">
        <f>Käyttökate!K263+'5. Rahoitustuotot ja -kulut'!K263</f>
        <v>3222.0506260460093</v>
      </c>
      <c r="L263" s="41">
        <f>Käyttökate!L263+'5. Rahoitustuotot ja -kulut'!L263</f>
        <v>1765.7882886450836</v>
      </c>
      <c r="M263" s="41">
        <f>Käyttökate!M263+'5. Rahoitustuotot ja -kulut'!M263</f>
        <v>797.65931641507109</v>
      </c>
      <c r="N263" s="41">
        <f>Käyttökate!N263+'5. Rahoitustuotot ja -kulut'!N263</f>
        <v>415.77814220068757</v>
      </c>
      <c r="O263" s="41">
        <f>Käyttökate!O263+'5. Rahoitustuotot ja -kulut'!O263</f>
        <v>380.51732893326533</v>
      </c>
      <c r="P263" s="41">
        <f>Käyttökate!P263+'5. Rahoitustuotot ja -kulut'!P263</f>
        <v>694.8082359471116</v>
      </c>
      <c r="T263" s="34">
        <v>791</v>
      </c>
      <c r="U263" s="88" t="s">
        <v>577</v>
      </c>
      <c r="V263" s="41" t="e">
        <f>C263/'1. Väestöennuste'!E263*1000</f>
        <v>#REF!</v>
      </c>
      <c r="W263" s="41">
        <f>D263/'1. Väestöennuste'!F263*1000</f>
        <v>-48.540211355901846</v>
      </c>
      <c r="X263" s="41">
        <f>E263/'1. Väestöennuste'!G263*1000</f>
        <v>329.53919588764455</v>
      </c>
      <c r="Y263" s="41">
        <f>F263/'1. Väestöennuste'!H263*1000</f>
        <v>214.29918883229578</v>
      </c>
      <c r="Z263" s="41">
        <f>G263/'1. Väestöennuste'!I263*1000</f>
        <v>151.40508506977633</v>
      </c>
      <c r="AA263" s="41">
        <f>H263/'1. Väestöennuste'!J263*1000</f>
        <v>23.645917198094523</v>
      </c>
      <c r="AB263" s="41">
        <f>I263/'1. Väestöennuste'!K263*1000</f>
        <v>577.72441202810899</v>
      </c>
      <c r="AC263" s="41">
        <f>J263/'1. Väestöennuste'!L263*1000</f>
        <v>455.88578633095915</v>
      </c>
      <c r="AD263" s="41">
        <f>K263/'1. Väestöennuste'!M263*1000</f>
        <v>653.42742365564982</v>
      </c>
      <c r="AE263" s="41">
        <f>L263/'1. Väestöennuste'!N263*1000</f>
        <v>365.05856701366213</v>
      </c>
      <c r="AF263" s="41">
        <f>M263/'1. Väestöennuste'!O263*1000</f>
        <v>167.68116805025667</v>
      </c>
      <c r="AG263" s="41">
        <f>N263/'1. Väestöennuste'!P263*1000</f>
        <v>88.860470656270053</v>
      </c>
      <c r="AH263" s="41">
        <f>O263/'1. Väestöennuste'!Q263*1000</f>
        <v>82.613401852641204</v>
      </c>
      <c r="AI263" s="41">
        <f>P263/'1. Väestöennuste'!R263*1000</f>
        <v>153.14265725085113</v>
      </c>
      <c r="AK263" s="41">
        <f>'6. Poistot'!Z263</f>
        <v>231.6956604855668</v>
      </c>
      <c r="AL263" s="41">
        <f>'6. Poistot'!AA263</f>
        <v>215.06822986738419</v>
      </c>
      <c r="AM263" s="41">
        <f>'6. Poistot'!AB263</f>
        <v>229.43329955174428</v>
      </c>
      <c r="AN263" s="41">
        <f>'6. Poistot'!AC263</f>
        <v>246.28551998409225</v>
      </c>
      <c r="AO263" s="41">
        <f>'6. Poistot'!AD263</f>
        <v>368.26215372135471</v>
      </c>
      <c r="AP263" s="41">
        <f>'6. Poistot'!AE263</f>
        <v>266.06553648955969</v>
      </c>
      <c r="AQ263" s="41">
        <f>'6. Poistot'!AF263</f>
        <v>270.54004624763508</v>
      </c>
      <c r="AR263" s="41">
        <f>'6. Poistot'!AG263</f>
        <v>275.05001068604406</v>
      </c>
      <c r="AS263" s="41">
        <f>'6. Poistot'!AH263</f>
        <v>288.42476279230141</v>
      </c>
      <c r="AT263" s="41">
        <f>'6. Poistot'!AI263</f>
        <v>301.96383399662341</v>
      </c>
      <c r="AV263" s="4">
        <f t="shared" si="63"/>
        <v>0</v>
      </c>
      <c r="AW263" s="4">
        <f t="shared" si="64"/>
        <v>0</v>
      </c>
      <c r="AX263" s="4">
        <f t="shared" si="65"/>
        <v>0</v>
      </c>
      <c r="AY263" s="4">
        <f t="shared" si="66"/>
        <v>0</v>
      </c>
      <c r="AZ263" s="4">
        <f t="shared" si="67"/>
        <v>1</v>
      </c>
      <c r="BA263" s="4">
        <f t="shared" si="68"/>
        <v>1</v>
      </c>
      <c r="BB263" s="4">
        <f t="shared" si="69"/>
        <v>1</v>
      </c>
      <c r="BC263" s="4">
        <f t="shared" si="70"/>
        <v>1</v>
      </c>
      <c r="BE263" s="405">
        <f t="shared" si="71"/>
        <v>0</v>
      </c>
      <c r="BF263" s="405">
        <f t="shared" si="72"/>
        <v>0</v>
      </c>
      <c r="BG263" s="405">
        <f t="shared" si="73"/>
        <v>0</v>
      </c>
      <c r="BH263" s="405">
        <f t="shared" si="74"/>
        <v>0</v>
      </c>
      <c r="BI263" s="405">
        <f t="shared" si="75"/>
        <v>0</v>
      </c>
      <c r="BJ263" s="405">
        <f t="shared" si="76"/>
        <v>0</v>
      </c>
      <c r="BK263" s="405">
        <f t="shared" si="77"/>
        <v>0</v>
      </c>
      <c r="BL263" s="405">
        <f t="shared" si="78"/>
        <v>0</v>
      </c>
      <c r="BM263" s="405">
        <f t="shared" si="79"/>
        <v>0</v>
      </c>
      <c r="BN263" s="405">
        <f t="shared" si="79"/>
        <v>0</v>
      </c>
    </row>
    <row r="264" spans="1:66" x14ac:dyDescent="0.2">
      <c r="A264" s="34">
        <v>831</v>
      </c>
      <c r="B264" s="88" t="s">
        <v>578</v>
      </c>
      <c r="C264" s="41" t="e">
        <f>'2. Toimintakate'!D264+'3. Verotulot'!G264+'4. Valtionosuudet'!#REF!+'5. Rahoitustuotot ja -kulut'!C264</f>
        <v>#REF!</v>
      </c>
      <c r="D264" s="41">
        <f>'2. Toimintakate'!E264+'4. Valtionosuudet'!H264+'3. Verotulot'!L264+'5. Rahoitustuotot ja -kulut'!D264</f>
        <v>252</v>
      </c>
      <c r="E264" s="41">
        <f>'2. Toimintakate'!F264+'4. Valtionosuudet'!N264+'3. Verotulot'!Q264+'5. Rahoitustuotot ja -kulut'!E264</f>
        <v>179</v>
      </c>
      <c r="F264" s="41">
        <f>'2. Toimintakate'!G264+'4. Valtionosuudet'!T264+'3. Verotulot'!V264+'5. Rahoitustuotot ja -kulut'!F264</f>
        <v>976</v>
      </c>
      <c r="G264" s="41">
        <f>'2. Toimintakate'!H264+'3. Verotulot'!AA264+'4. Valtionosuudet'!Z264+'5. Rahoitustuotot ja -kulut'!G264</f>
        <v>1675</v>
      </c>
      <c r="H264" s="41">
        <f>Käyttökate!H264+'5. Rahoitustuotot ja -kulut'!H264</f>
        <v>2792.267934773663</v>
      </c>
      <c r="I264" s="41">
        <f>Käyttökate!I264+'5. Rahoitustuotot ja -kulut'!I264</f>
        <v>3540.8976942892759</v>
      </c>
      <c r="J264" s="41">
        <f>Käyttökate!J264+'5. Rahoitustuotot ja -kulut'!J264</f>
        <v>1108.5337815944961</v>
      </c>
      <c r="K264" s="41">
        <f>Käyttökate!K264+'5. Rahoitustuotot ja -kulut'!K264</f>
        <v>2623.7008386607695</v>
      </c>
      <c r="L264" s="41">
        <f>Käyttökate!L264+'5. Rahoitustuotot ja -kulut'!L264</f>
        <v>1618.6572372583064</v>
      </c>
      <c r="M264" s="41">
        <f>Käyttökate!M264+'5. Rahoitustuotot ja -kulut'!M264</f>
        <v>1046.6498544888259</v>
      </c>
      <c r="N264" s="41">
        <f>Käyttökate!N264+'5. Rahoitustuotot ja -kulut'!N264</f>
        <v>483.82678825095024</v>
      </c>
      <c r="O264" s="41">
        <f>Käyttökate!O264+'5. Rahoitustuotot ja -kulut'!O264</f>
        <v>357.02987177972352</v>
      </c>
      <c r="P264" s="41">
        <f>Käyttökate!P264+'5. Rahoitustuotot ja -kulut'!P264</f>
        <v>550.97330384970269</v>
      </c>
      <c r="T264" s="34">
        <v>831</v>
      </c>
      <c r="U264" s="88" t="s">
        <v>578</v>
      </c>
      <c r="V264" s="41" t="e">
        <f>C264/'1. Väestöennuste'!E264*1000</f>
        <v>#REF!</v>
      </c>
      <c r="W264" s="41">
        <f>D264/'1. Väestöennuste'!F264*1000</f>
        <v>52.152317880794705</v>
      </c>
      <c r="X264" s="41">
        <f>E264/'1. Väestöennuste'!G264*1000</f>
        <v>37.494763301214917</v>
      </c>
      <c r="Y264" s="41">
        <f>F264/'1. Väestöennuste'!H264*1000</f>
        <v>206.99893955461295</v>
      </c>
      <c r="Z264" s="41">
        <f>G264/'1. Väestöennuste'!I264*1000</f>
        <v>358.59558980946264</v>
      </c>
      <c r="AA264" s="41">
        <f>H264/'1. Väestöennuste'!J264*1000</f>
        <v>603.3422503832461</v>
      </c>
      <c r="AB264" s="41">
        <f>I264/'1. Väestöennuste'!K264*1000</f>
        <v>770.59797481812325</v>
      </c>
      <c r="AC264" s="41">
        <f>J264/'1. Väestöennuste'!L264*1000</f>
        <v>243.15283649802501</v>
      </c>
      <c r="AD264" s="41">
        <f>K264/'1. Väestöennuste'!M264*1000</f>
        <v>567.28666781854474</v>
      </c>
      <c r="AE264" s="41">
        <f>L264/'1. Väestöennuste'!N264*1000</f>
        <v>359.62169234799075</v>
      </c>
      <c r="AF264" s="41">
        <f>M264/'1. Väestöennuste'!O264*1000</f>
        <v>234.20224982967684</v>
      </c>
      <c r="AG264" s="41">
        <f>N264/'1. Väestöennuste'!P264*1000</f>
        <v>109.06825704484902</v>
      </c>
      <c r="AH264" s="41">
        <f>O264/'1. Väestöennuste'!Q264*1000</f>
        <v>81.032653604113364</v>
      </c>
      <c r="AI264" s="41">
        <f>P264/'1. Väestöennuste'!R264*1000</f>
        <v>125.93675516564635</v>
      </c>
      <c r="AK264" s="41">
        <f>'6. Poistot'!Z264</f>
        <v>356.66880753585957</v>
      </c>
      <c r="AL264" s="41">
        <f>'6. Poistot'!AA264</f>
        <v>351.33967156439064</v>
      </c>
      <c r="AM264" s="41">
        <f>'6. Poistot'!AB264</f>
        <v>356.41105767138197</v>
      </c>
      <c r="AN264" s="41">
        <f>'6. Poistot'!AC264</f>
        <v>335.16056591357756</v>
      </c>
      <c r="AO264" s="41">
        <f>'6. Poistot'!AD264</f>
        <v>322.62852540540536</v>
      </c>
      <c r="AP264" s="41">
        <f>'6. Poistot'!AE264</f>
        <v>328.08931348589203</v>
      </c>
      <c r="AQ264" s="41">
        <f>'6. Poistot'!AF264</f>
        <v>330.43857686283286</v>
      </c>
      <c r="AR264" s="41">
        <f>'6. Poistot'!AG264</f>
        <v>332.89675383228132</v>
      </c>
      <c r="AS264" s="41">
        <f>'6. Poistot'!AH264</f>
        <v>345.97791038169231</v>
      </c>
      <c r="AT264" s="41">
        <f>'6. Poistot'!AI264</f>
        <v>359.32053629336514</v>
      </c>
      <c r="AV264" s="4">
        <f t="shared" si="63"/>
        <v>0</v>
      </c>
      <c r="AW264" s="4">
        <f t="shared" si="64"/>
        <v>1</v>
      </c>
      <c r="AX264" s="4">
        <f t="shared" si="65"/>
        <v>0</v>
      </c>
      <c r="AY264" s="4">
        <f t="shared" si="66"/>
        <v>0</v>
      </c>
      <c r="AZ264" s="4">
        <f t="shared" si="67"/>
        <v>1</v>
      </c>
      <c r="BA264" s="4">
        <f t="shared" si="68"/>
        <v>1</v>
      </c>
      <c r="BB264" s="4">
        <f t="shared" si="69"/>
        <v>1</v>
      </c>
      <c r="BC264" s="4">
        <f t="shared" si="70"/>
        <v>1</v>
      </c>
      <c r="BE264" s="405">
        <f t="shared" si="71"/>
        <v>0</v>
      </c>
      <c r="BF264" s="405">
        <f t="shared" si="72"/>
        <v>0</v>
      </c>
      <c r="BG264" s="405">
        <f t="shared" si="73"/>
        <v>0</v>
      </c>
      <c r="BH264" s="405">
        <f t="shared" si="74"/>
        <v>0</v>
      </c>
      <c r="BI264" s="405">
        <f t="shared" si="75"/>
        <v>0</v>
      </c>
      <c r="BJ264" s="405">
        <f t="shared" si="76"/>
        <v>0</v>
      </c>
      <c r="BK264" s="405">
        <f t="shared" si="77"/>
        <v>0</v>
      </c>
      <c r="BL264" s="405">
        <f t="shared" si="78"/>
        <v>0</v>
      </c>
      <c r="BM264" s="405">
        <f t="shared" si="79"/>
        <v>0</v>
      </c>
      <c r="BN264" s="405">
        <f t="shared" si="79"/>
        <v>0</v>
      </c>
    </row>
    <row r="265" spans="1:66" x14ac:dyDescent="0.2">
      <c r="A265" s="34">
        <v>832</v>
      </c>
      <c r="B265" s="88" t="s">
        <v>579</v>
      </c>
      <c r="C265" s="41" t="e">
        <f>'2. Toimintakate'!D265+'3. Verotulot'!G265+'4. Valtionosuudet'!#REF!+'5. Rahoitustuotot ja -kulut'!C265</f>
        <v>#REF!</v>
      </c>
      <c r="D265" s="41">
        <f>'2. Toimintakate'!E265+'4. Valtionosuudet'!H265+'3. Verotulot'!L265+'5. Rahoitustuotot ja -kulut'!D265</f>
        <v>3714</v>
      </c>
      <c r="E265" s="41">
        <f>'2. Toimintakate'!F265+'4. Valtionosuudet'!N265+'3. Verotulot'!Q265+'5. Rahoitustuotot ja -kulut'!E265</f>
        <v>2449</v>
      </c>
      <c r="F265" s="41">
        <f>'2. Toimintakate'!G265+'4. Valtionosuudet'!T265+'3. Verotulot'!V265+'5. Rahoitustuotot ja -kulut'!F265</f>
        <v>1011</v>
      </c>
      <c r="G265" s="41">
        <f>'2. Toimintakate'!H265+'3. Verotulot'!AA265+'4. Valtionosuudet'!Z265+'5. Rahoitustuotot ja -kulut'!G265</f>
        <v>1945</v>
      </c>
      <c r="H265" s="41">
        <f>Käyttökate!H265+'5. Rahoitustuotot ja -kulut'!H265</f>
        <v>4125.5788516948742</v>
      </c>
      <c r="I265" s="41">
        <f>Käyttökate!I265+'5. Rahoitustuotot ja -kulut'!I265</f>
        <v>3811.0749200697919</v>
      </c>
      <c r="J265" s="41">
        <f>Käyttökate!J265+'5. Rahoitustuotot ja -kulut'!J265</f>
        <v>4210.4682817861303</v>
      </c>
      <c r="K265" s="41">
        <f>Käyttökate!K265+'5. Rahoitustuotot ja -kulut'!K265</f>
        <v>2977.9856459746452</v>
      </c>
      <c r="L265" s="41">
        <f>Käyttökate!L265+'5. Rahoitustuotot ja -kulut'!L265</f>
        <v>1751.2016427645178</v>
      </c>
      <c r="M265" s="41">
        <f>Käyttökate!M265+'5. Rahoitustuotot ja -kulut'!M265</f>
        <v>1453.868410398183</v>
      </c>
      <c r="N265" s="41">
        <f>Käyttökate!N265+'5. Rahoitustuotot ja -kulut'!N265</f>
        <v>560.93638355475332</v>
      </c>
      <c r="O265" s="41">
        <f>Käyttökate!O265+'5. Rahoitustuotot ja -kulut'!O265</f>
        <v>67.778628970507782</v>
      </c>
      <c r="P265" s="41">
        <f>Käyttökate!P265+'5. Rahoitustuotot ja -kulut'!P265</f>
        <v>342.26300020299652</v>
      </c>
      <c r="T265" s="34">
        <v>832</v>
      </c>
      <c r="U265" s="88" t="s">
        <v>579</v>
      </c>
      <c r="V265" s="41" t="e">
        <f>C265/'1. Väestöennuste'!E265*1000</f>
        <v>#REF!</v>
      </c>
      <c r="W265" s="41">
        <f>D265/'1. Väestöennuste'!F265*1000</f>
        <v>898.62085652068708</v>
      </c>
      <c r="X265" s="41">
        <f>E265/'1. Väestöennuste'!G265*1000</f>
        <v>603.49926071956622</v>
      </c>
      <c r="Y265" s="41">
        <f>F265/'1. Väestöennuste'!H265*1000</f>
        <v>251.24254473161034</v>
      </c>
      <c r="Z265" s="41">
        <f>G265/'1. Väestöennuste'!I265*1000</f>
        <v>489.18511066398389</v>
      </c>
      <c r="AA265" s="41">
        <f>H265/'1. Väestöennuste'!J265*1000</f>
        <v>1053.5186035993038</v>
      </c>
      <c r="AB265" s="41">
        <f>I265/'1. Väestöennuste'!K265*1000</f>
        <v>973.95219015328178</v>
      </c>
      <c r="AC265" s="41">
        <f>J265/'1. Väestöennuste'!L265*1000</f>
        <v>1100.7760213819947</v>
      </c>
      <c r="AD265" s="41">
        <f>K265/'1. Väestöennuste'!M265*1000</f>
        <v>798.17358509103326</v>
      </c>
      <c r="AE265" s="41">
        <f>L265/'1. Väestöennuste'!N265*1000</f>
        <v>475.48239010711865</v>
      </c>
      <c r="AF265" s="41">
        <f>M265/'1. Väestöennuste'!O265*1000</f>
        <v>400.51471360831488</v>
      </c>
      <c r="AG265" s="41">
        <f>N265/'1. Väestöennuste'!P265*1000</f>
        <v>156.77372374364262</v>
      </c>
      <c r="AH265" s="41">
        <f>O265/'1. Väestöennuste'!Q265*1000</f>
        <v>19.217076543948902</v>
      </c>
      <c r="AI265" s="41">
        <f>P265/'1. Väestöennuste'!R265*1000</f>
        <v>98.464614557824078</v>
      </c>
      <c r="AK265" s="41">
        <f>'6. Poistot'!Z265</f>
        <v>680.83501006036215</v>
      </c>
      <c r="AL265" s="41">
        <f>'6. Poistot'!AA265</f>
        <v>626.91521961184878</v>
      </c>
      <c r="AM265" s="41">
        <f>'6. Poistot'!AB265</f>
        <v>435.1705238947099</v>
      </c>
      <c r="AN265" s="41">
        <f>'6. Poistot'!AC265</f>
        <v>477.53222483660136</v>
      </c>
      <c r="AO265" s="41">
        <f>'6. Poistot'!AD265</f>
        <v>636.34070222460468</v>
      </c>
      <c r="AP265" s="41">
        <f>'6. Poistot'!AE265</f>
        <v>552.42248167254945</v>
      </c>
      <c r="AQ265" s="41">
        <f>'6. Poistot'!AF265</f>
        <v>601.30220385674932</v>
      </c>
      <c r="AR265" s="41">
        <f>'6. Poistot'!AG265</f>
        <v>650.97344885410848</v>
      </c>
      <c r="AS265" s="41">
        <f>'6. Poistot'!AH265</f>
        <v>681.69470143975377</v>
      </c>
      <c r="AT265" s="41">
        <f>'6. Poistot'!AI265</f>
        <v>713.31744072382708</v>
      </c>
      <c r="AV265" s="4">
        <f t="shared" si="63"/>
        <v>0</v>
      </c>
      <c r="AW265" s="4">
        <f t="shared" si="64"/>
        <v>0</v>
      </c>
      <c r="AX265" s="4">
        <f t="shared" si="65"/>
        <v>0</v>
      </c>
      <c r="AY265" s="4">
        <f t="shared" si="66"/>
        <v>1</v>
      </c>
      <c r="AZ265" s="4">
        <f t="shared" si="67"/>
        <v>1</v>
      </c>
      <c r="BA265" s="4">
        <f t="shared" si="68"/>
        <v>1</v>
      </c>
      <c r="BB265" s="4">
        <f t="shared" si="69"/>
        <v>1</v>
      </c>
      <c r="BC265" s="4">
        <f t="shared" si="70"/>
        <v>1</v>
      </c>
      <c r="BE265" s="405">
        <f t="shared" si="71"/>
        <v>0</v>
      </c>
      <c r="BF265" s="405">
        <f t="shared" si="72"/>
        <v>0</v>
      </c>
      <c r="BG265" s="405">
        <f t="shared" si="73"/>
        <v>0</v>
      </c>
      <c r="BH265" s="405">
        <f t="shared" si="74"/>
        <v>0</v>
      </c>
      <c r="BI265" s="405">
        <f t="shared" si="75"/>
        <v>0</v>
      </c>
      <c r="BJ265" s="405">
        <f t="shared" si="76"/>
        <v>0</v>
      </c>
      <c r="BK265" s="405">
        <f t="shared" si="77"/>
        <v>0</v>
      </c>
      <c r="BL265" s="405">
        <f t="shared" si="78"/>
        <v>0</v>
      </c>
      <c r="BM265" s="405">
        <f t="shared" si="79"/>
        <v>0</v>
      </c>
      <c r="BN265" s="405">
        <f t="shared" si="79"/>
        <v>0</v>
      </c>
    </row>
    <row r="266" spans="1:66" x14ac:dyDescent="0.2">
      <c r="A266" s="34">
        <v>833</v>
      </c>
      <c r="B266" s="88" t="s">
        <v>580</v>
      </c>
      <c r="C266" s="41" t="e">
        <f>'2. Toimintakate'!D266+'3. Verotulot'!G266+'4. Valtionosuudet'!#REF!+'5. Rahoitustuotot ja -kulut'!C266</f>
        <v>#REF!</v>
      </c>
      <c r="D266" s="41">
        <f>'2. Toimintakate'!E266+'4. Valtionosuudet'!H266+'3. Verotulot'!L266+'5. Rahoitustuotot ja -kulut'!D266</f>
        <v>692</v>
      </c>
      <c r="E266" s="41">
        <f>'2. Toimintakate'!F266+'4. Valtionosuudet'!N266+'3. Verotulot'!Q266+'5. Rahoitustuotot ja -kulut'!E266</f>
        <v>1492</v>
      </c>
      <c r="F266" s="41">
        <f>'2. Toimintakate'!G266+'4. Valtionosuudet'!T266+'3. Verotulot'!V266+'5. Rahoitustuotot ja -kulut'!F266</f>
        <v>1044</v>
      </c>
      <c r="G266" s="41">
        <f>'2. Toimintakate'!H266+'3. Verotulot'!AA266+'4. Valtionosuudet'!Z266+'5. Rahoitustuotot ja -kulut'!G266</f>
        <v>831</v>
      </c>
      <c r="H266" s="41">
        <f>Käyttökate!H266+'5. Rahoitustuotot ja -kulut'!H266</f>
        <v>2494.0166105415374</v>
      </c>
      <c r="I266" s="41">
        <f>Käyttökate!I266+'5. Rahoitustuotot ja -kulut'!I266</f>
        <v>1343.0252774902187</v>
      </c>
      <c r="J266" s="41">
        <f>Käyttökate!J266+'5. Rahoitustuotot ja -kulut'!J266</f>
        <v>444.91036401623393</v>
      </c>
      <c r="K266" s="41">
        <f>Käyttökate!K266+'5. Rahoitustuotot ja -kulut'!K266</f>
        <v>725.06874390510029</v>
      </c>
      <c r="L266" s="41">
        <f>Käyttökate!L266+'5. Rahoitustuotot ja -kulut'!L266</f>
        <v>256.50643186830644</v>
      </c>
      <c r="M266" s="41">
        <f>Käyttökate!M266+'5. Rahoitustuotot ja -kulut'!M266</f>
        <v>228.91727027386727</v>
      </c>
      <c r="N266" s="41">
        <f>Käyttökate!N266+'5. Rahoitustuotot ja -kulut'!N266</f>
        <v>86.903910292561079</v>
      </c>
      <c r="O266" s="41">
        <f>Käyttökate!O266+'5. Rahoitustuotot ja -kulut'!O266</f>
        <v>-24.795746982189911</v>
      </c>
      <c r="P266" s="41">
        <f>Käyttökate!P266+'5. Rahoitustuotot ja -kulut'!P266</f>
        <v>58.018857223152935</v>
      </c>
      <c r="T266" s="34">
        <v>833</v>
      </c>
      <c r="U266" s="88" t="s">
        <v>580</v>
      </c>
      <c r="V266" s="41" t="e">
        <f>C266/'1. Väestöennuste'!E266*1000</f>
        <v>#REF!</v>
      </c>
      <c r="W266" s="41">
        <f>D266/'1. Väestöennuste'!F266*1000</f>
        <v>426.63378545006162</v>
      </c>
      <c r="X266" s="41">
        <f>E266/'1. Väestöennuste'!G266*1000</f>
        <v>902.05562273276905</v>
      </c>
      <c r="Y266" s="41">
        <f>F266/'1. Väestöennuste'!H266*1000</f>
        <v>628.15884476534302</v>
      </c>
      <c r="Z266" s="41">
        <f>G266/'1. Väestöennuste'!I266*1000</f>
        <v>507.01647345942649</v>
      </c>
      <c r="AA266" s="41">
        <f>H266/'1. Väestöennuste'!J266*1000</f>
        <v>1503.3252625325722</v>
      </c>
      <c r="AB266" s="41">
        <f>I266/'1. Väestöennuste'!K266*1000</f>
        <v>800.84989713191339</v>
      </c>
      <c r="AC266" s="41">
        <f>J266/'1. Väestöennuste'!L266*1000</f>
        <v>263.10488705868357</v>
      </c>
      <c r="AD266" s="41">
        <f>K266/'1. Väestöennuste'!M266*1000</f>
        <v>425.26026035489758</v>
      </c>
      <c r="AE266" s="41">
        <f>L266/'1. Väestöennuste'!N266*1000</f>
        <v>152.50085128912391</v>
      </c>
      <c r="AF266" s="41">
        <f>M266/'1. Väestöennuste'!O266*1000</f>
        <v>135.85594675006959</v>
      </c>
      <c r="AG266" s="41">
        <f>N266/'1. Väestöennuste'!P266*1000</f>
        <v>51.483359178057512</v>
      </c>
      <c r="AH266" s="41">
        <f>O266/'1. Väestöennuste'!Q266*1000</f>
        <v>-14.646040745534501</v>
      </c>
      <c r="AI266" s="41">
        <f>P266/'1. Väestöennuste'!R266*1000</f>
        <v>34.229414290945684</v>
      </c>
      <c r="AK266" s="41">
        <f>'6. Poistot'!Z266</f>
        <v>278.21842586943256</v>
      </c>
      <c r="AL266" s="41">
        <f>'6. Poistot'!AA266</f>
        <v>283.90596745027125</v>
      </c>
      <c r="AM266" s="41">
        <f>'6. Poistot'!AB266</f>
        <v>338.22894454382822</v>
      </c>
      <c r="AN266" s="41">
        <f>'6. Poistot'!AC266</f>
        <v>359.83256652868124</v>
      </c>
      <c r="AO266" s="41">
        <f>'6. Poistot'!AD266</f>
        <v>342.82929032258056</v>
      </c>
      <c r="AP266" s="41">
        <f>'6. Poistot'!AE266</f>
        <v>332.93700356718193</v>
      </c>
      <c r="AQ266" s="41">
        <f>'6. Poistot'!AF266</f>
        <v>332.34421364985161</v>
      </c>
      <c r="AR266" s="41">
        <f>'6. Poistot'!AG266</f>
        <v>331.75355450236964</v>
      </c>
      <c r="AS266" s="41">
        <f>'6. Poistot'!AH266</f>
        <v>341.44663362744188</v>
      </c>
      <c r="AT266" s="41">
        <f>'6. Poistot'!AI266</f>
        <v>351.70401266225264</v>
      </c>
      <c r="AV266" s="4">
        <f t="shared" si="63"/>
        <v>0</v>
      </c>
      <c r="AW266" s="4">
        <f t="shared" si="64"/>
        <v>1</v>
      </c>
      <c r="AX266" s="4">
        <f t="shared" si="65"/>
        <v>0</v>
      </c>
      <c r="AY266" s="4">
        <f t="shared" si="66"/>
        <v>1</v>
      </c>
      <c r="AZ266" s="4">
        <f t="shared" si="67"/>
        <v>1</v>
      </c>
      <c r="BA266" s="4">
        <f t="shared" si="68"/>
        <v>1</v>
      </c>
      <c r="BB266" s="4">
        <f t="shared" si="69"/>
        <v>1</v>
      </c>
      <c r="BC266" s="4">
        <f t="shared" si="70"/>
        <v>1</v>
      </c>
      <c r="BE266" s="405">
        <f t="shared" si="71"/>
        <v>0</v>
      </c>
      <c r="BF266" s="405">
        <f t="shared" si="72"/>
        <v>0</v>
      </c>
      <c r="BG266" s="405">
        <f t="shared" si="73"/>
        <v>0</v>
      </c>
      <c r="BH266" s="405">
        <f t="shared" si="74"/>
        <v>0</v>
      </c>
      <c r="BI266" s="405">
        <f t="shared" si="75"/>
        <v>0</v>
      </c>
      <c r="BJ266" s="405">
        <f t="shared" si="76"/>
        <v>0</v>
      </c>
      <c r="BK266" s="405">
        <f t="shared" si="77"/>
        <v>0</v>
      </c>
      <c r="BL266" s="405">
        <f t="shared" si="78"/>
        <v>0</v>
      </c>
      <c r="BM266" s="405">
        <f t="shared" si="79"/>
        <v>-1</v>
      </c>
      <c r="BN266" s="405">
        <f t="shared" si="79"/>
        <v>0</v>
      </c>
    </row>
    <row r="267" spans="1:66" x14ac:dyDescent="0.2">
      <c r="A267" s="34">
        <v>834</v>
      </c>
      <c r="B267" s="88" t="s">
        <v>581</v>
      </c>
      <c r="C267" s="41" t="e">
        <f>'2. Toimintakate'!D267+'3. Verotulot'!G267+'4. Valtionosuudet'!#REF!+'5. Rahoitustuotot ja -kulut'!C267</f>
        <v>#REF!</v>
      </c>
      <c r="D267" s="41">
        <f>'2. Toimintakate'!E267+'4. Valtionosuudet'!H267+'3. Verotulot'!L267+'5. Rahoitustuotot ja -kulut'!D267</f>
        <v>1955</v>
      </c>
      <c r="E267" s="41">
        <f>'2. Toimintakate'!F267+'4. Valtionosuudet'!N267+'3. Verotulot'!Q267+'5. Rahoitustuotot ja -kulut'!E267</f>
        <v>2320</v>
      </c>
      <c r="F267" s="41">
        <f>'2. Toimintakate'!G267+'4. Valtionosuudet'!T267+'3. Verotulot'!V267+'5. Rahoitustuotot ja -kulut'!F267</f>
        <v>859</v>
      </c>
      <c r="G267" s="41">
        <f>'2. Toimintakate'!H267+'3. Verotulot'!AA267+'4. Valtionosuudet'!Z267+'5. Rahoitustuotot ja -kulut'!G267</f>
        <v>-606</v>
      </c>
      <c r="H267" s="41">
        <f>Käyttökate!H267+'5. Rahoitustuotot ja -kulut'!H267</f>
        <v>3230.1237956303521</v>
      </c>
      <c r="I267" s="41">
        <f>Käyttökate!I267+'5. Rahoitustuotot ja -kulut'!I267</f>
        <v>3122.5301036267806</v>
      </c>
      <c r="J267" s="41">
        <f>Käyttökate!J267+'5. Rahoitustuotot ja -kulut'!J267</f>
        <v>5214.2794886586544</v>
      </c>
      <c r="K267" s="41">
        <f>Käyttökate!K267+'5. Rahoitustuotot ja -kulut'!K267</f>
        <v>3853.5192413031968</v>
      </c>
      <c r="L267" s="41">
        <f>Käyttökate!L267+'5. Rahoitustuotot ja -kulut'!L267</f>
        <v>2229.8404187451738</v>
      </c>
      <c r="M267" s="41">
        <f>Käyttökate!M267+'5. Rahoitustuotot ja -kulut'!M267</f>
        <v>1882.99121607902</v>
      </c>
      <c r="N267" s="41">
        <f>Käyttökate!N267+'5. Rahoitustuotot ja -kulut'!N267</f>
        <v>2242.1811497679464</v>
      </c>
      <c r="O267" s="41">
        <f>Käyttökate!O267+'5. Rahoitustuotot ja -kulut'!O267</f>
        <v>1882.0770021278804</v>
      </c>
      <c r="P267" s="41">
        <f>Käyttökate!P267+'5. Rahoitustuotot ja -kulut'!P267</f>
        <v>2525.0283370911548</v>
      </c>
      <c r="T267" s="34">
        <v>834</v>
      </c>
      <c r="U267" s="88" t="s">
        <v>581</v>
      </c>
      <c r="V267" s="41" t="e">
        <f>C267/'1. Väestöennuste'!E267*1000</f>
        <v>#REF!</v>
      </c>
      <c r="W267" s="41">
        <f>D267/'1. Väestöennuste'!F267*1000</f>
        <v>313.25108155744272</v>
      </c>
      <c r="X267" s="41">
        <f>E267/'1. Väestöennuste'!G267*1000</f>
        <v>376.92932575142163</v>
      </c>
      <c r="Y267" s="41">
        <f>F267/'1. Väestöennuste'!H267*1000</f>
        <v>141.25966123992765</v>
      </c>
      <c r="Z267" s="41">
        <f>G267/'1. Väestöennuste'!I267*1000</f>
        <v>-100.74812967581047</v>
      </c>
      <c r="AA267" s="41">
        <f>H267/'1. Väestöennuste'!J267*1000</f>
        <v>536.92217347578992</v>
      </c>
      <c r="AB267" s="41">
        <f>I267/'1. Väestöennuste'!K267*1000</f>
        <v>523.29983301940354</v>
      </c>
      <c r="AC267" s="41">
        <f>J267/'1. Väestöennuste'!L267*1000</f>
        <v>886.93306491897511</v>
      </c>
      <c r="AD267" s="41">
        <f>K267/'1. Väestöennuste'!M267*1000</f>
        <v>659.39754300191601</v>
      </c>
      <c r="AE267" s="41">
        <f>L267/'1. Väestöennuste'!N267*1000</f>
        <v>384.78695750563827</v>
      </c>
      <c r="AF267" s="41">
        <f>M267/'1. Väestöennuste'!O267*1000</f>
        <v>327.8188050276845</v>
      </c>
      <c r="AG267" s="41">
        <f>N267/'1. Väestöennuste'!P267*1000</f>
        <v>393.71047405934092</v>
      </c>
      <c r="AH267" s="41">
        <f>O267/'1. Väestöennuste'!Q267*1000</f>
        <v>333.22893097165024</v>
      </c>
      <c r="AI267" s="41">
        <f>P267/'1. Väestöennuste'!R267*1000</f>
        <v>450.41532948468688</v>
      </c>
      <c r="AK267" s="41">
        <f>'6. Poistot'!Z267</f>
        <v>354.61346633416457</v>
      </c>
      <c r="AL267" s="41">
        <f>'6. Poistot'!AA267</f>
        <v>342.91888297872339</v>
      </c>
      <c r="AM267" s="41">
        <f>'6. Poistot'!AB267</f>
        <v>478.07242835595781</v>
      </c>
      <c r="AN267" s="41">
        <f>'6. Poistot'!AC267</f>
        <v>419.1484504167376</v>
      </c>
      <c r="AO267" s="41">
        <f>'6. Poistot'!AD267</f>
        <v>428.30744353182757</v>
      </c>
      <c r="AP267" s="41">
        <f>'6. Poistot'!AE267</f>
        <v>337.99775668679894</v>
      </c>
      <c r="AQ267" s="41">
        <f>'6. Poistot'!AF267</f>
        <v>391.69428969359325</v>
      </c>
      <c r="AR267" s="41">
        <f>'6. Poistot'!AG267</f>
        <v>492.8539069359087</v>
      </c>
      <c r="AS267" s="41">
        <f>'6. Poistot'!AH267</f>
        <v>512.99013129804177</v>
      </c>
      <c r="AT267" s="41">
        <f>'6. Poistot'!AI267</f>
        <v>532.9884985984088</v>
      </c>
      <c r="AV267" s="4">
        <f t="shared" si="63"/>
        <v>0</v>
      </c>
      <c r="AW267" s="4">
        <f t="shared" si="64"/>
        <v>0</v>
      </c>
      <c r="AX267" s="4">
        <f t="shared" si="65"/>
        <v>0</v>
      </c>
      <c r="AY267" s="4">
        <f t="shared" si="66"/>
        <v>0</v>
      </c>
      <c r="AZ267" s="4">
        <f t="shared" si="67"/>
        <v>1</v>
      </c>
      <c r="BA267" s="4">
        <f t="shared" si="68"/>
        <v>1</v>
      </c>
      <c r="BB267" s="4">
        <f t="shared" si="69"/>
        <v>1</v>
      </c>
      <c r="BC267" s="4">
        <f t="shared" si="70"/>
        <v>1</v>
      </c>
      <c r="BE267" s="405">
        <f t="shared" si="71"/>
        <v>-1</v>
      </c>
      <c r="BF267" s="405">
        <f t="shared" si="72"/>
        <v>0</v>
      </c>
      <c r="BG267" s="405">
        <f t="shared" si="73"/>
        <v>0</v>
      </c>
      <c r="BH267" s="405">
        <f t="shared" si="74"/>
        <v>0</v>
      </c>
      <c r="BI267" s="405">
        <f t="shared" si="75"/>
        <v>0</v>
      </c>
      <c r="BJ267" s="405">
        <f t="shared" si="76"/>
        <v>0</v>
      </c>
      <c r="BK267" s="405">
        <f t="shared" si="77"/>
        <v>0</v>
      </c>
      <c r="BL267" s="405">
        <f t="shared" si="78"/>
        <v>0</v>
      </c>
      <c r="BM267" s="405">
        <f t="shared" si="79"/>
        <v>0</v>
      </c>
      <c r="BN267" s="405">
        <f t="shared" si="79"/>
        <v>0</v>
      </c>
    </row>
    <row r="268" spans="1:66" x14ac:dyDescent="0.2">
      <c r="A268" s="34">
        <v>837</v>
      </c>
      <c r="B268" s="88" t="s">
        <v>582</v>
      </c>
      <c r="C268" s="41" t="e">
        <f>'2. Toimintakate'!D268+'3. Verotulot'!G268+'4. Valtionosuudet'!#REF!+'5. Rahoitustuotot ja -kulut'!C268</f>
        <v>#REF!</v>
      </c>
      <c r="D268" s="41">
        <f>'2. Toimintakate'!E268+'4. Valtionosuudet'!H268+'3. Verotulot'!L268+'5. Rahoitustuotot ja -kulut'!D268</f>
        <v>74425</v>
      </c>
      <c r="E268" s="41">
        <f>'2. Toimintakate'!F268+'4. Valtionosuudet'!N268+'3. Verotulot'!Q268+'5. Rahoitustuotot ja -kulut'!E268</f>
        <v>85107</v>
      </c>
      <c r="F268" s="41">
        <f>'2. Toimintakate'!G268+'4. Valtionosuudet'!T268+'3. Verotulot'!V268+'5. Rahoitustuotot ja -kulut'!F268</f>
        <v>47997</v>
      </c>
      <c r="G268" s="41">
        <f>'2. Toimintakate'!H268+'3. Verotulot'!AA268+'4. Valtionosuudet'!Z268+'5. Rahoitustuotot ja -kulut'!G268</f>
        <v>90350</v>
      </c>
      <c r="H268" s="41">
        <f>Käyttökate!H268+'5. Rahoitustuotot ja -kulut'!H268</f>
        <v>162750.45728534868</v>
      </c>
      <c r="I268" s="41">
        <f>Käyttökate!I268+'5. Rahoitustuotot ja -kulut'!I268</f>
        <v>175088.63470292641</v>
      </c>
      <c r="J268" s="41">
        <f>Käyttökate!J268+'5. Rahoitustuotot ja -kulut'!J268</f>
        <v>136308.06714721755</v>
      </c>
      <c r="K268" s="41">
        <f>Käyttökate!K268+'5. Rahoitustuotot ja -kulut'!K268</f>
        <v>186335.06022601065</v>
      </c>
      <c r="L268" s="41">
        <f>Käyttökate!L268+'5. Rahoitustuotot ja -kulut'!L268</f>
        <v>126007.75970411731</v>
      </c>
      <c r="M268" s="41">
        <f>Käyttökate!M268+'5. Rahoitustuotot ja -kulut'!M268</f>
        <v>113763.69185996245</v>
      </c>
      <c r="N268" s="41">
        <f>Käyttökate!N268+'5. Rahoitustuotot ja -kulut'!N268</f>
        <v>126033.39813830715</v>
      </c>
      <c r="O268" s="41">
        <f>Käyttökate!O268+'5. Rahoitustuotot ja -kulut'!O268</f>
        <v>131664.45417511082</v>
      </c>
      <c r="P268" s="41">
        <f>Käyttökate!P268+'5. Rahoitustuotot ja -kulut'!P268</f>
        <v>143636.59942936138</v>
      </c>
      <c r="T268" s="34">
        <v>837</v>
      </c>
      <c r="U268" s="88" t="s">
        <v>582</v>
      </c>
      <c r="V268" s="41" t="e">
        <f>C268/'1. Väestöennuste'!E268*1000</f>
        <v>#REF!</v>
      </c>
      <c r="W268" s="41">
        <f>D268/'1. Väestöennuste'!F268*1000</f>
        <v>326.0336262561658</v>
      </c>
      <c r="X268" s="41">
        <f>E268/'1. Väestöennuste'!G268*1000</f>
        <v>367.0731023536465</v>
      </c>
      <c r="Y268" s="41">
        <f>F268/'1. Väestöennuste'!H268*1000</f>
        <v>204.0350452093403</v>
      </c>
      <c r="Z268" s="41">
        <f>G268/'1. Väestöennuste'!I268*1000</f>
        <v>379.39867304946665</v>
      </c>
      <c r="AA268" s="41">
        <f>H268/'1. Väestöennuste'!J268*1000</f>
        <v>675.28788254940139</v>
      </c>
      <c r="AB268" s="41">
        <f>I268/'1. Väestöennuste'!K268*1000</f>
        <v>716.92115281085898</v>
      </c>
      <c r="AC268" s="41">
        <f>J268/'1. Väestöennuste'!L268*1000</f>
        <v>547.4021707938972</v>
      </c>
      <c r="AD268" s="41">
        <f>K268/'1. Väestöennuste'!M268*1000</f>
        <v>730.58247491084364</v>
      </c>
      <c r="AE268" s="41">
        <f>L268/'1. Väestöennuste'!N268*1000</f>
        <v>496.4003722935725</v>
      </c>
      <c r="AF268" s="41">
        <f>M268/'1. Väestöennuste'!O268*1000</f>
        <v>443.37450936513466</v>
      </c>
      <c r="AG268" s="41">
        <f>N268/'1. Väestöennuste'!P268*1000</f>
        <v>486.25684587160492</v>
      </c>
      <c r="AH268" s="41">
        <f>O268/'1. Väestöennuste'!Q268*1000</f>
        <v>503.1563881239498</v>
      </c>
      <c r="AI268" s="41">
        <f>P268/'1. Väestöennuste'!R268*1000</f>
        <v>543.95028224190298</v>
      </c>
      <c r="AK268" s="41">
        <f>'6. Poistot'!Z268</f>
        <v>468.26656588561349</v>
      </c>
      <c r="AL268" s="41">
        <f>'6. Poistot'!AA268</f>
        <v>431.78885435813601</v>
      </c>
      <c r="AM268" s="41">
        <f>'6. Poistot'!AB268</f>
        <v>436.93666874127337</v>
      </c>
      <c r="AN268" s="41">
        <f>'6. Poistot'!AC268</f>
        <v>485.74317747551294</v>
      </c>
      <c r="AO268" s="41">
        <f>'6. Poistot'!AD268</f>
        <v>520.22500321505584</v>
      </c>
      <c r="AP268" s="41">
        <f>'6. Poistot'!AE268</f>
        <v>507.15599799876298</v>
      </c>
      <c r="AQ268" s="41">
        <f>'6. Poistot'!AF268</f>
        <v>494.54763704956622</v>
      </c>
      <c r="AR268" s="41">
        <f>'6. Poistot'!AG268</f>
        <v>483.24208788113788</v>
      </c>
      <c r="AS268" s="41">
        <f>'6. Poistot'!AH268</f>
        <v>494.09548294947916</v>
      </c>
      <c r="AT268" s="41">
        <f>'6. Poistot'!AI268</f>
        <v>504.93765624566089</v>
      </c>
      <c r="AV268" s="4">
        <f t="shared" si="63"/>
        <v>0</v>
      </c>
      <c r="AW268" s="4">
        <f t="shared" si="64"/>
        <v>0</v>
      </c>
      <c r="AX268" s="4">
        <f t="shared" si="65"/>
        <v>0</v>
      </c>
      <c r="AY268" s="4">
        <f t="shared" si="66"/>
        <v>1</v>
      </c>
      <c r="AZ268" s="4">
        <f t="shared" si="67"/>
        <v>1</v>
      </c>
      <c r="BA268" s="4">
        <f t="shared" si="68"/>
        <v>0</v>
      </c>
      <c r="BB268" s="4">
        <f t="shared" si="69"/>
        <v>0</v>
      </c>
      <c r="BC268" s="4">
        <f t="shared" si="70"/>
        <v>0</v>
      </c>
      <c r="BE268" s="405">
        <f t="shared" si="71"/>
        <v>0</v>
      </c>
      <c r="BF268" s="405">
        <f t="shared" si="72"/>
        <v>0</v>
      </c>
      <c r="BG268" s="405">
        <f t="shared" si="73"/>
        <v>0</v>
      </c>
      <c r="BH268" s="405">
        <f t="shared" si="74"/>
        <v>0</v>
      </c>
      <c r="BI268" s="405">
        <f t="shared" si="75"/>
        <v>0</v>
      </c>
      <c r="BJ268" s="405">
        <f t="shared" si="76"/>
        <v>0</v>
      </c>
      <c r="BK268" s="405">
        <f t="shared" si="77"/>
        <v>0</v>
      </c>
      <c r="BL268" s="405">
        <f t="shared" si="78"/>
        <v>0</v>
      </c>
      <c r="BM268" s="405">
        <f t="shared" si="79"/>
        <v>0</v>
      </c>
      <c r="BN268" s="405">
        <f t="shared" si="79"/>
        <v>0</v>
      </c>
    </row>
    <row r="269" spans="1:66" x14ac:dyDescent="0.2">
      <c r="A269" s="34">
        <v>844</v>
      </c>
      <c r="B269" s="88" t="s">
        <v>583</v>
      </c>
      <c r="C269" s="41" t="e">
        <f>'2. Toimintakate'!D269+'3. Verotulot'!G269+'4. Valtionosuudet'!#REF!+'5. Rahoitustuotot ja -kulut'!C269</f>
        <v>#REF!</v>
      </c>
      <c r="D269" s="41">
        <f>'2. Toimintakate'!E269+'4. Valtionosuudet'!H269+'3. Verotulot'!L269+'5. Rahoitustuotot ja -kulut'!D269</f>
        <v>409</v>
      </c>
      <c r="E269" s="41">
        <f>'2. Toimintakate'!F269+'4. Valtionosuudet'!N269+'3. Verotulot'!Q269+'5. Rahoitustuotot ja -kulut'!E269</f>
        <v>394</v>
      </c>
      <c r="F269" s="41">
        <f>'2. Toimintakate'!G269+'4. Valtionosuudet'!T269+'3. Verotulot'!V269+'5. Rahoitustuotot ja -kulut'!F269</f>
        <v>14</v>
      </c>
      <c r="G269" s="41">
        <f>'2. Toimintakate'!H269+'3. Verotulot'!AA269+'4. Valtionosuudet'!Z269+'5. Rahoitustuotot ja -kulut'!G269</f>
        <v>-508</v>
      </c>
      <c r="H269" s="41">
        <f>Käyttökate!H269+'5. Rahoitustuotot ja -kulut'!H269</f>
        <v>242.18304989609896</v>
      </c>
      <c r="I269" s="41">
        <f>Käyttökate!I269+'5. Rahoitustuotot ja -kulut'!I269</f>
        <v>409.2060266738406</v>
      </c>
      <c r="J269" s="41">
        <f>Käyttökate!J269+'5. Rahoitustuotot ja -kulut'!J269</f>
        <v>345.10799351457155</v>
      </c>
      <c r="K269" s="41">
        <f>Käyttökate!K269+'5. Rahoitustuotot ja -kulut'!K269</f>
        <v>226.41311226398972</v>
      </c>
      <c r="L269" s="41">
        <f>Käyttökate!L269+'5. Rahoitustuotot ja -kulut'!L269</f>
        <v>577.15810178804509</v>
      </c>
      <c r="M269" s="41">
        <f>Käyttökate!M269+'5. Rahoitustuotot ja -kulut'!M269</f>
        <v>271.84196850957409</v>
      </c>
      <c r="N269" s="41">
        <f>Käyttökate!N269+'5. Rahoitustuotot ja -kulut'!N269</f>
        <v>348.15380918721911</v>
      </c>
      <c r="O269" s="41">
        <f>Käyttökate!O269+'5. Rahoitustuotot ja -kulut'!O269</f>
        <v>509.57132293095987</v>
      </c>
      <c r="P269" s="41">
        <f>Käyttökate!P269+'5. Rahoitustuotot ja -kulut'!P269</f>
        <v>691.67229915407222</v>
      </c>
      <c r="T269" s="34">
        <v>844</v>
      </c>
      <c r="U269" s="88" t="s">
        <v>583</v>
      </c>
      <c r="V269" s="41" t="e">
        <f>C269/'1. Väestöennuste'!E269*1000</f>
        <v>#REF!</v>
      </c>
      <c r="W269" s="41">
        <f>D269/'1. Väestöennuste'!F269*1000</f>
        <v>253.87957790192428</v>
      </c>
      <c r="X269" s="41">
        <f>E269/'1. Väestöennuste'!G269*1000</f>
        <v>248.58044164037855</v>
      </c>
      <c r="Y269" s="41">
        <f>F269/'1. Väestöennuste'!H269*1000</f>
        <v>8.934269304403319</v>
      </c>
      <c r="Z269" s="41">
        <f>G269/'1. Väestöennuste'!I269*1000</f>
        <v>-334.21052631578948</v>
      </c>
      <c r="AA269" s="41">
        <f>H269/'1. Väestöennuste'!J269*1000</f>
        <v>161.1331003966061</v>
      </c>
      <c r="AB269" s="41">
        <f>I269/'1. Väestöennuste'!K269*1000</f>
        <v>276.67750282206936</v>
      </c>
      <c r="AC269" s="41">
        <f>J269/'1. Väestöennuste'!L269*1000</f>
        <v>239.49201493030642</v>
      </c>
      <c r="AD269" s="41">
        <f>K269/'1. Väestöennuste'!M269*1000</f>
        <v>160.34922964871791</v>
      </c>
      <c r="AE269" s="41">
        <f>L269/'1. Väestöennuste'!N269*1000</f>
        <v>402.48124253001748</v>
      </c>
      <c r="AF269" s="41">
        <f>M269/'1. Väestöennuste'!O269*1000</f>
        <v>191.16875422614211</v>
      </c>
      <c r="AG269" s="41">
        <f>N269/'1. Väestöennuste'!P269*1000</f>
        <v>246.56785353202488</v>
      </c>
      <c r="AH269" s="41">
        <f>O269/'1. Väestöennuste'!Q269*1000</f>
        <v>363.46028739726091</v>
      </c>
      <c r="AI269" s="41">
        <f>P269/'1. Väestöennuste'!R269*1000</f>
        <v>497.24823806906704</v>
      </c>
      <c r="AK269" s="41">
        <f>'6. Poistot'!Z269</f>
        <v>171.71052631578948</v>
      </c>
      <c r="AL269" s="41">
        <f>'6. Poistot'!AA269</f>
        <v>207.58483033932134</v>
      </c>
      <c r="AM269" s="41">
        <f>'6. Poistot'!AB269</f>
        <v>231.10850574712643</v>
      </c>
      <c r="AN269" s="41">
        <f>'6. Poistot'!AC269</f>
        <v>229.60489937543372</v>
      </c>
      <c r="AO269" s="41">
        <f>'6. Poistot'!AD269</f>
        <v>210.86883144475917</v>
      </c>
      <c r="AP269" s="41">
        <f>'6. Poistot'!AE269</f>
        <v>288.85285913528594</v>
      </c>
      <c r="AQ269" s="41">
        <f>'6. Poistot'!AF269</f>
        <v>291.29043600562585</v>
      </c>
      <c r="AR269" s="41">
        <f>'6. Poistot'!AG269</f>
        <v>202.13881019830029</v>
      </c>
      <c r="AS269" s="41">
        <f>'6. Poistot'!AH269</f>
        <v>210.14940009389139</v>
      </c>
      <c r="AT269" s="41">
        <f>'6. Poistot'!AI269</f>
        <v>218.43200421514837</v>
      </c>
      <c r="AV269" s="4">
        <f t="shared" si="63"/>
        <v>0</v>
      </c>
      <c r="AW269" s="4">
        <f t="shared" si="64"/>
        <v>0</v>
      </c>
      <c r="AX269" s="4">
        <f t="shared" si="65"/>
        <v>1</v>
      </c>
      <c r="AY269" s="4">
        <f t="shared" si="66"/>
        <v>0</v>
      </c>
      <c r="AZ269" s="4">
        <f t="shared" si="67"/>
        <v>1</v>
      </c>
      <c r="BA269" s="4">
        <f t="shared" si="68"/>
        <v>0</v>
      </c>
      <c r="BB269" s="4">
        <f t="shared" si="69"/>
        <v>0</v>
      </c>
      <c r="BC269" s="4">
        <f t="shared" si="70"/>
        <v>0</v>
      </c>
      <c r="BE269" s="405">
        <f t="shared" si="71"/>
        <v>-1</v>
      </c>
      <c r="BF269" s="405">
        <f t="shared" si="72"/>
        <v>0</v>
      </c>
      <c r="BG269" s="405">
        <f t="shared" si="73"/>
        <v>0</v>
      </c>
      <c r="BH269" s="405">
        <f t="shared" si="74"/>
        <v>0</v>
      </c>
      <c r="BI269" s="405">
        <f t="shared" si="75"/>
        <v>0</v>
      </c>
      <c r="BJ269" s="405">
        <f t="shared" si="76"/>
        <v>0</v>
      </c>
      <c r="BK269" s="405">
        <f t="shared" si="77"/>
        <v>0</v>
      </c>
      <c r="BL269" s="405">
        <f t="shared" si="78"/>
        <v>0</v>
      </c>
      <c r="BM269" s="405">
        <f t="shared" si="79"/>
        <v>0</v>
      </c>
      <c r="BN269" s="405">
        <f t="shared" si="79"/>
        <v>0</v>
      </c>
    </row>
    <row r="270" spans="1:66" x14ac:dyDescent="0.2">
      <c r="A270" s="34">
        <v>845</v>
      </c>
      <c r="B270" s="88" t="s">
        <v>584</v>
      </c>
      <c r="C270" s="41" t="e">
        <f>'2. Toimintakate'!D270+'3. Verotulot'!G270+'4. Valtionosuudet'!#REF!+'5. Rahoitustuotot ja -kulut'!C270</f>
        <v>#REF!</v>
      </c>
      <c r="D270" s="41">
        <f>'2. Toimintakate'!E270+'4. Valtionosuudet'!H270+'3. Verotulot'!L270+'5. Rahoitustuotot ja -kulut'!D270</f>
        <v>3412</v>
      </c>
      <c r="E270" s="41">
        <f>'2. Toimintakate'!F270+'4. Valtionosuudet'!N270+'3. Verotulot'!Q270+'5. Rahoitustuotot ja -kulut'!E270</f>
        <v>1986</v>
      </c>
      <c r="F270" s="41">
        <f>'2. Toimintakate'!G270+'4. Valtionosuudet'!T270+'3. Verotulot'!V270+'5. Rahoitustuotot ja -kulut'!F270</f>
        <v>1459</v>
      </c>
      <c r="G270" s="41">
        <f>'2. Toimintakate'!H270+'3. Verotulot'!AA270+'4. Valtionosuudet'!Z270+'5. Rahoitustuotot ja -kulut'!G270</f>
        <v>369</v>
      </c>
      <c r="H270" s="41">
        <f>Käyttökate!H270+'5. Rahoitustuotot ja -kulut'!H270</f>
        <v>1803.8071516460623</v>
      </c>
      <c r="I270" s="41">
        <f>Käyttökate!I270+'5. Rahoitustuotot ja -kulut'!I270</f>
        <v>3621.934691200599</v>
      </c>
      <c r="J270" s="41">
        <f>Käyttökate!J270+'5. Rahoitustuotot ja -kulut'!J270</f>
        <v>2865.9877570812869</v>
      </c>
      <c r="K270" s="41">
        <f>Käyttökate!K270+'5. Rahoitustuotot ja -kulut'!K270</f>
        <v>3063.094700967803</v>
      </c>
      <c r="L270" s="41">
        <f>Käyttökate!L270+'5. Rahoitustuotot ja -kulut'!L270</f>
        <v>1461.5453106781354</v>
      </c>
      <c r="M270" s="41">
        <f>Käyttökate!M270+'5. Rahoitustuotot ja -kulut'!M270</f>
        <v>1306.4288460230023</v>
      </c>
      <c r="N270" s="41">
        <f>Käyttökate!N270+'5. Rahoitustuotot ja -kulut'!N270</f>
        <v>1090.5194637018246</v>
      </c>
      <c r="O270" s="41">
        <f>Käyttökate!O270+'5. Rahoitustuotot ja -kulut'!O270</f>
        <v>926.98113297235739</v>
      </c>
      <c r="P270" s="41">
        <f>Käyttökate!P270+'5. Rahoitustuotot ja -kulut'!P270</f>
        <v>1136.9557897870982</v>
      </c>
      <c r="T270" s="34">
        <v>845</v>
      </c>
      <c r="U270" s="88" t="s">
        <v>584</v>
      </c>
      <c r="V270" s="41" t="e">
        <f>C270/'1. Väestöennuste'!E270*1000</f>
        <v>#REF!</v>
      </c>
      <c r="W270" s="41">
        <f>D270/'1. Väestöennuste'!F270*1000</f>
        <v>1101.0003226847368</v>
      </c>
      <c r="X270" s="41">
        <f>E270/'1. Väestöennuste'!G270*1000</f>
        <v>647.32724902216432</v>
      </c>
      <c r="Y270" s="41">
        <f>F270/'1. Väestöennuste'!H270*1000</f>
        <v>476.48595689092099</v>
      </c>
      <c r="Z270" s="41">
        <f>G270/'1. Väestöennuste'!I270*1000</f>
        <v>122.95901366211264</v>
      </c>
      <c r="AA270" s="41">
        <f>H270/'1. Väestöennuste'!J270*1000</f>
        <v>616.6862056909614</v>
      </c>
      <c r="AB270" s="41">
        <f>I270/'1. Väestöennuste'!K270*1000</f>
        <v>1256.7434736990281</v>
      </c>
      <c r="AC270" s="41">
        <f>J270/'1. Väestöennuste'!L270*1000</f>
        <v>1001.0435756483713</v>
      </c>
      <c r="AD270" s="41">
        <f>K270/'1. Väestöennuste'!M270*1000</f>
        <v>1081.983292464784</v>
      </c>
      <c r="AE270" s="41">
        <f>L270/'1. Väestöennuste'!N270*1000</f>
        <v>537.72822320755529</v>
      </c>
      <c r="AF270" s="41">
        <f>M270/'1. Väestöennuste'!O270*1000</f>
        <v>488.20210987406665</v>
      </c>
      <c r="AG270" s="41">
        <f>N270/'1. Väestöennuste'!P270*1000</f>
        <v>413.5454924921595</v>
      </c>
      <c r="AH270" s="41">
        <f>O270/'1. Väestöennuste'!Q270*1000</f>
        <v>356.80567089005291</v>
      </c>
      <c r="AI270" s="41">
        <f>P270/'1. Väestöennuste'!R270*1000</f>
        <v>443.94993744127225</v>
      </c>
      <c r="AK270" s="41">
        <f>'6. Poistot'!Z270</f>
        <v>441.51949350216597</v>
      </c>
      <c r="AL270" s="41">
        <f>'6. Poistot'!AA270</f>
        <v>393.50427350427356</v>
      </c>
      <c r="AM270" s="41">
        <f>'6. Poistot'!AB270</f>
        <v>654.85230742539909</v>
      </c>
      <c r="AN270" s="41">
        <f>'6. Poistot'!AC270</f>
        <v>381.48926650366747</v>
      </c>
      <c r="AO270" s="41">
        <f>'6. Poistot'!AD270</f>
        <v>378.86317555634048</v>
      </c>
      <c r="AP270" s="41">
        <f>'6. Poistot'!AE270</f>
        <v>507.13760117733631</v>
      </c>
      <c r="AQ270" s="41">
        <f>'6. Poistot'!AF270</f>
        <v>-499.66367713004485</v>
      </c>
      <c r="AR270" s="41">
        <f>'6. Poistot'!AG270</f>
        <v>-507.81190747061055</v>
      </c>
      <c r="AS270" s="41">
        <f>'6. Poistot'!AH270</f>
        <v>-532.0661496097473</v>
      </c>
      <c r="AT270" s="41">
        <f>'6. Poistot'!AI270</f>
        <v>-556.62464403445802</v>
      </c>
      <c r="AV270" s="4">
        <f t="shared" si="63"/>
        <v>0</v>
      </c>
      <c r="AW270" s="4">
        <f t="shared" si="64"/>
        <v>0</v>
      </c>
      <c r="AX270" s="4">
        <f t="shared" si="65"/>
        <v>0</v>
      </c>
      <c r="AY270" s="4">
        <f t="shared" si="66"/>
        <v>0</v>
      </c>
      <c r="AZ270" s="4">
        <f t="shared" si="67"/>
        <v>0</v>
      </c>
      <c r="BA270" s="4">
        <f t="shared" si="68"/>
        <v>0</v>
      </c>
      <c r="BB270" s="4">
        <f t="shared" si="69"/>
        <v>0</v>
      </c>
      <c r="BC270" s="4">
        <f t="shared" si="70"/>
        <v>0</v>
      </c>
      <c r="BE270" s="405">
        <f t="shared" si="71"/>
        <v>0</v>
      </c>
      <c r="BF270" s="405">
        <f t="shared" si="72"/>
        <v>0</v>
      </c>
      <c r="BG270" s="405">
        <f t="shared" si="73"/>
        <v>0</v>
      </c>
      <c r="BH270" s="405">
        <f t="shared" si="74"/>
        <v>0</v>
      </c>
      <c r="BI270" s="405">
        <f t="shared" si="75"/>
        <v>0</v>
      </c>
      <c r="BJ270" s="405">
        <f t="shared" si="76"/>
        <v>0</v>
      </c>
      <c r="BK270" s="405">
        <f t="shared" si="77"/>
        <v>0</v>
      </c>
      <c r="BL270" s="405">
        <f t="shared" si="78"/>
        <v>0</v>
      </c>
      <c r="BM270" s="405">
        <f t="shared" si="79"/>
        <v>0</v>
      </c>
      <c r="BN270" s="405">
        <f t="shared" si="79"/>
        <v>0</v>
      </c>
    </row>
    <row r="271" spans="1:66" x14ac:dyDescent="0.2">
      <c r="A271" s="34">
        <v>846</v>
      </c>
      <c r="B271" s="88" t="s">
        <v>585</v>
      </c>
      <c r="C271" s="41" t="e">
        <f>'2. Toimintakate'!D271+'3. Verotulot'!G271+'4. Valtionosuudet'!#REF!+'5. Rahoitustuotot ja -kulut'!C271</f>
        <v>#REF!</v>
      </c>
      <c r="D271" s="41">
        <f>'2. Toimintakate'!E271+'4. Valtionosuudet'!H271+'3. Verotulot'!L271+'5. Rahoitustuotot ja -kulut'!D271</f>
        <v>482</v>
      </c>
      <c r="E271" s="41">
        <f>'2. Toimintakate'!F271+'4. Valtionosuudet'!N271+'3. Verotulot'!Q271+'5. Rahoitustuotot ja -kulut'!E271</f>
        <v>2142</v>
      </c>
      <c r="F271" s="41">
        <f>'2. Toimintakate'!G271+'4. Valtionosuudet'!T271+'3. Verotulot'!V271+'5. Rahoitustuotot ja -kulut'!F271</f>
        <v>1400</v>
      </c>
      <c r="G271" s="41">
        <f>'2. Toimintakate'!H271+'3. Verotulot'!AA271+'4. Valtionosuudet'!Z271+'5. Rahoitustuotot ja -kulut'!G271</f>
        <v>2087</v>
      </c>
      <c r="H271" s="41">
        <f>Käyttökate!H271+'5. Rahoitustuotot ja -kulut'!H271</f>
        <v>4572.6035700283683</v>
      </c>
      <c r="I271" s="41">
        <f>Käyttökate!I271+'5. Rahoitustuotot ja -kulut'!I271</f>
        <v>2983.0867736527871</v>
      </c>
      <c r="J271" s="41">
        <f>Käyttökate!J271+'5. Rahoitustuotot ja -kulut'!J271</f>
        <v>4119.3793803077633</v>
      </c>
      <c r="K271" s="41">
        <f>Käyttökate!K271+'5. Rahoitustuotot ja -kulut'!K271</f>
        <v>5516.8868708322507</v>
      </c>
      <c r="L271" s="41">
        <f>Käyttökate!L271+'5. Rahoitustuotot ja -kulut'!L271</f>
        <v>3937.8579940463906</v>
      </c>
      <c r="M271" s="41">
        <f>Käyttökate!M271+'5. Rahoitustuotot ja -kulut'!M271</f>
        <v>2755.0543767216677</v>
      </c>
      <c r="N271" s="41">
        <f>Käyttökate!N271+'5. Rahoitustuotot ja -kulut'!N271</f>
        <v>2812.112650570024</v>
      </c>
      <c r="O271" s="41">
        <f>Käyttökate!O271+'5. Rahoitustuotot ja -kulut'!O271</f>
        <v>2392.9095455352635</v>
      </c>
      <c r="P271" s="41">
        <f>Käyttökate!P271+'5. Rahoitustuotot ja -kulut'!P271</f>
        <v>2922.891950979681</v>
      </c>
      <c r="T271" s="34">
        <v>846</v>
      </c>
      <c r="U271" s="88" t="s">
        <v>585</v>
      </c>
      <c r="V271" s="41" t="e">
        <f>C271/'1. Väestöennuste'!E271*1000</f>
        <v>#REF!</v>
      </c>
      <c r="W271" s="41">
        <f>D271/'1. Väestöennuste'!F271*1000</f>
        <v>89.875069923550257</v>
      </c>
      <c r="X271" s="41">
        <f>E271/'1. Väestöennuste'!G271*1000</f>
        <v>406.52875308407664</v>
      </c>
      <c r="Y271" s="41">
        <f>F271/'1. Väestöennuste'!H271*1000</f>
        <v>271.42303218301669</v>
      </c>
      <c r="Z271" s="41">
        <f>G271/'1. Väestöennuste'!I271*1000</f>
        <v>411.15051221434203</v>
      </c>
      <c r="AA271" s="41">
        <f>H271/'1. Väestöennuste'!J271*1000</f>
        <v>915.61945735449899</v>
      </c>
      <c r="AB271" s="41">
        <f>I271/'1. Väestöennuste'!K271*1000</f>
        <v>602.40039855670182</v>
      </c>
      <c r="AC271" s="41">
        <f>J271/'1. Väestöennuste'!L271*1000</f>
        <v>847.2602592159119</v>
      </c>
      <c r="AD271" s="41">
        <f>K271/'1. Väestöennuste'!M271*1000</f>
        <v>1159.4970304397332</v>
      </c>
      <c r="AE271" s="41">
        <f>L271/'1. Väestöennuste'!N271*1000</f>
        <v>850.14205398238141</v>
      </c>
      <c r="AF271" s="41">
        <f>M271/'1. Väestöennuste'!O271*1000</f>
        <v>604.97461061081856</v>
      </c>
      <c r="AG271" s="41">
        <f>N271/'1. Väestöennuste'!P271*1000</f>
        <v>627.84386036392596</v>
      </c>
      <c r="AH271" s="41">
        <f>O271/'1. Väestöennuste'!Q271*1000</f>
        <v>542.97924790906814</v>
      </c>
      <c r="AI271" s="41">
        <f>P271/'1. Väestöennuste'!R271*1000</f>
        <v>674.40977179964955</v>
      </c>
      <c r="AK271" s="41">
        <f>'6. Poistot'!Z271</f>
        <v>294.32624113475174</v>
      </c>
      <c r="AL271" s="41">
        <f>'6. Poistot'!AA271</f>
        <v>274.32919503404088</v>
      </c>
      <c r="AM271" s="41">
        <f>'6. Poistot'!AB271</f>
        <v>223.33984248788366</v>
      </c>
      <c r="AN271" s="41">
        <f>'6. Poistot'!AC271</f>
        <v>231.75995680789799</v>
      </c>
      <c r="AO271" s="41">
        <f>'6. Poistot'!AD271</f>
        <v>274.4170617906683</v>
      </c>
      <c r="AP271" s="41">
        <f>'6. Poistot'!AE271</f>
        <v>259.06735751295332</v>
      </c>
      <c r="AQ271" s="41">
        <f>'6. Poistot'!AF271</f>
        <v>263.50461133069831</v>
      </c>
      <c r="AR271" s="41">
        <f>'6. Poistot'!AG271</f>
        <v>267.9169457468185</v>
      </c>
      <c r="AS271" s="41">
        <f>'6. Poistot'!AH271</f>
        <v>281.08001105283438</v>
      </c>
      <c r="AT271" s="41">
        <f>'6. Poistot'!AI271</f>
        <v>294.74831966305544</v>
      </c>
      <c r="AV271" s="4">
        <f t="shared" ref="AV271:AV307" si="80">IF(AM271&gt;AB271,1,0)</f>
        <v>0</v>
      </c>
      <c r="AW271" s="4">
        <f t="shared" ref="AW271:AW307" si="81">IF(AN271&gt;AC271,1,0)</f>
        <v>0</v>
      </c>
      <c r="AX271" s="4">
        <f t="shared" ref="AX271:AX307" si="82">IF(AO271&gt;AD271,1,0)</f>
        <v>0</v>
      </c>
      <c r="AY271" s="4">
        <f t="shared" ref="AY271:AY307" si="83">IF(AP271&gt;AE271,1,0)</f>
        <v>0</v>
      </c>
      <c r="AZ271" s="4">
        <f t="shared" ref="AZ271:AZ307" si="84">IF(AQ271&gt;AF271,1,0)</f>
        <v>0</v>
      </c>
      <c r="BA271" s="4">
        <f t="shared" ref="BA271:BA307" si="85">IF(AR271&gt;AG271,1,0)</f>
        <v>0</v>
      </c>
      <c r="BB271" s="4">
        <f t="shared" ref="BB271:BB307" si="86">IF(AS271&gt;AH271,1,0)</f>
        <v>0</v>
      </c>
      <c r="BC271" s="4">
        <f t="shared" ref="BC271:BC307" si="87">IF(AT271&gt;AI271,1,0)</f>
        <v>0</v>
      </c>
      <c r="BE271" s="405">
        <f t="shared" si="71"/>
        <v>0</v>
      </c>
      <c r="BF271" s="405">
        <f t="shared" si="72"/>
        <v>0</v>
      </c>
      <c r="BG271" s="405">
        <f t="shared" si="73"/>
        <v>0</v>
      </c>
      <c r="BH271" s="405">
        <f t="shared" si="74"/>
        <v>0</v>
      </c>
      <c r="BI271" s="405">
        <f t="shared" si="75"/>
        <v>0</v>
      </c>
      <c r="BJ271" s="405">
        <f t="shared" si="76"/>
        <v>0</v>
      </c>
      <c r="BK271" s="405">
        <f t="shared" si="77"/>
        <v>0</v>
      </c>
      <c r="BL271" s="405">
        <f t="shared" si="78"/>
        <v>0</v>
      </c>
      <c r="BM271" s="405">
        <f t="shared" si="79"/>
        <v>0</v>
      </c>
      <c r="BN271" s="405">
        <f t="shared" si="79"/>
        <v>0</v>
      </c>
    </row>
    <row r="272" spans="1:66" x14ac:dyDescent="0.2">
      <c r="A272" s="34">
        <v>848</v>
      </c>
      <c r="B272" s="88" t="s">
        <v>586</v>
      </c>
      <c r="C272" s="41" t="e">
        <f>'2. Toimintakate'!D272+'3. Verotulot'!G272+'4. Valtionosuudet'!#REF!+'5. Rahoitustuotot ja -kulut'!C272</f>
        <v>#REF!</v>
      </c>
      <c r="D272" s="41">
        <f>'2. Toimintakate'!E272+'4. Valtionosuudet'!H272+'3. Verotulot'!L272+'5. Rahoitustuotot ja -kulut'!D272</f>
        <v>1543</v>
      </c>
      <c r="E272" s="41">
        <f>'2. Toimintakate'!F272+'4. Valtionosuudet'!N272+'3. Verotulot'!Q272+'5. Rahoitustuotot ja -kulut'!E272</f>
        <v>2210</v>
      </c>
      <c r="F272" s="41">
        <f>'2. Toimintakate'!G272+'4. Valtionosuudet'!T272+'3. Verotulot'!V272+'5. Rahoitustuotot ja -kulut'!F272</f>
        <v>446</v>
      </c>
      <c r="G272" s="41">
        <f>'2. Toimintakate'!H272+'3. Verotulot'!AA272+'4. Valtionosuudet'!Z272+'5. Rahoitustuotot ja -kulut'!G272</f>
        <v>282</v>
      </c>
      <c r="H272" s="41">
        <f>Käyttökate!H272+'5. Rahoitustuotot ja -kulut'!H272</f>
        <v>1707.690433072843</v>
      </c>
      <c r="I272" s="41">
        <f>Käyttökate!I272+'5. Rahoitustuotot ja -kulut'!I272</f>
        <v>1516.7256848383886</v>
      </c>
      <c r="J272" s="41">
        <f>Käyttökate!J272+'5. Rahoitustuotot ja -kulut'!J272</f>
        <v>1509.3118642343859</v>
      </c>
      <c r="K272" s="41">
        <f>Käyttökate!K272+'5. Rahoitustuotot ja -kulut'!K272</f>
        <v>1739.6126474872035</v>
      </c>
      <c r="L272" s="41">
        <f>Käyttökate!L272+'5. Rahoitustuotot ja -kulut'!L272</f>
        <v>614.09406734959066</v>
      </c>
      <c r="M272" s="41">
        <f>Käyttökate!M272+'5. Rahoitustuotot ja -kulut'!M272</f>
        <v>-1018.5727915831649</v>
      </c>
      <c r="N272" s="41">
        <f>Käyttökate!N272+'5. Rahoitustuotot ja -kulut'!N272</f>
        <v>-1441.7868549726254</v>
      </c>
      <c r="O272" s="41">
        <f>Käyttökate!O272+'5. Rahoitustuotot ja -kulut'!O272</f>
        <v>-1822.6389534442769</v>
      </c>
      <c r="P272" s="41">
        <f>Käyttökate!P272+'5. Rahoitustuotot ja -kulut'!P272</f>
        <v>-1520.0450651511874</v>
      </c>
      <c r="T272" s="34">
        <v>848</v>
      </c>
      <c r="U272" s="88" t="s">
        <v>586</v>
      </c>
      <c r="V272" s="41" t="e">
        <f>C272/'1. Väestöennuste'!E272*1000</f>
        <v>#REF!</v>
      </c>
      <c r="W272" s="41">
        <f>D272/'1. Väestöennuste'!F272*1000</f>
        <v>331.61401246507626</v>
      </c>
      <c r="X272" s="41">
        <f>E272/'1. Väestöennuste'!G272*1000</f>
        <v>483.48282651498573</v>
      </c>
      <c r="Y272" s="41">
        <f>F272/'1. Väestöennuste'!H272*1000</f>
        <v>99.509147701918792</v>
      </c>
      <c r="Z272" s="41">
        <f>G272/'1. Väestöennuste'!I272*1000</f>
        <v>64.664067874340745</v>
      </c>
      <c r="AA272" s="41">
        <f>H272/'1. Väestöennuste'!J272*1000</f>
        <v>396.49185815482775</v>
      </c>
      <c r="AB272" s="41">
        <f>I272/'1. Väestöennuste'!K272*1000</f>
        <v>357.63397426040763</v>
      </c>
      <c r="AC272" s="41">
        <f>J272/'1. Väestöennuste'!L272*1000</f>
        <v>362.81535197941969</v>
      </c>
      <c r="AD272" s="41">
        <f>K272/'1. Väestöennuste'!M272*1000</f>
        <v>427.8437401591745</v>
      </c>
      <c r="AE272" s="41">
        <f>L272/'1. Väestöennuste'!N272*1000</f>
        <v>153.60031699589561</v>
      </c>
      <c r="AF272" s="41">
        <f>M272/'1. Väestöennuste'!O272*1000</f>
        <v>-258.58664422014851</v>
      </c>
      <c r="AG272" s="41">
        <f>N272/'1. Väestöennuste'!P272*1000</f>
        <v>-371.30745685620019</v>
      </c>
      <c r="AH272" s="41">
        <f>O272/'1. Väestöennuste'!Q272*1000</f>
        <v>-476.00912860910859</v>
      </c>
      <c r="AI272" s="41">
        <f>P272/'1. Väestöennuste'!R272*1000</f>
        <v>-402.44772707206442</v>
      </c>
      <c r="AK272" s="41">
        <f>'6. Poistot'!Z272</f>
        <v>219.90369181380419</v>
      </c>
      <c r="AL272" s="41">
        <f>'6. Poistot'!AA272</f>
        <v>364.05850940329697</v>
      </c>
      <c r="AM272" s="41">
        <f>'6. Poistot'!AB272</f>
        <v>439.39935392596084</v>
      </c>
      <c r="AN272" s="41">
        <f>'6. Poistot'!AC272</f>
        <v>381.8307475961538</v>
      </c>
      <c r="AO272" s="41">
        <f>'6. Poistot'!AD272</f>
        <v>319.44763403836697</v>
      </c>
      <c r="AP272" s="41">
        <f>'6. Poistot'!AE272</f>
        <v>237.61880940470235</v>
      </c>
      <c r="AQ272" s="41">
        <f>'6. Poistot'!AF272</f>
        <v>241.17796395024118</v>
      </c>
      <c r="AR272" s="41">
        <f>'6. Poistot'!AG272</f>
        <v>244.65619366469224</v>
      </c>
      <c r="AS272" s="41">
        <f>'6. Poistot'!AH272</f>
        <v>256.11204585060267</v>
      </c>
      <c r="AT272" s="41">
        <f>'6. Poistot'!AI272</f>
        <v>267.75378531212993</v>
      </c>
      <c r="AV272" s="4">
        <f t="shared" si="80"/>
        <v>1</v>
      </c>
      <c r="AW272" s="4">
        <f t="shared" si="81"/>
        <v>1</v>
      </c>
      <c r="AX272" s="4">
        <f t="shared" si="82"/>
        <v>0</v>
      </c>
      <c r="AY272" s="4">
        <f t="shared" si="83"/>
        <v>1</v>
      </c>
      <c r="AZ272" s="4">
        <f t="shared" si="84"/>
        <v>1</v>
      </c>
      <c r="BA272" s="4">
        <f t="shared" si="85"/>
        <v>1</v>
      </c>
      <c r="BB272" s="4">
        <f t="shared" si="86"/>
        <v>1</v>
      </c>
      <c r="BC272" s="4">
        <f t="shared" si="87"/>
        <v>1</v>
      </c>
      <c r="BE272" s="405">
        <f t="shared" ref="BE272:BE307" si="88">IF(G272&lt;0,-1,0)</f>
        <v>0</v>
      </c>
      <c r="BF272" s="405">
        <f t="shared" ref="BF272:BF307" si="89">IF(H272&lt;0,-1,0)</f>
        <v>0</v>
      </c>
      <c r="BG272" s="405">
        <f t="shared" ref="BG272:BG307" si="90">IF(I272&lt;0,-1,0)</f>
        <v>0</v>
      </c>
      <c r="BH272" s="405">
        <f t="shared" ref="BH272:BH307" si="91">IF(J272&lt;0,-1,0)</f>
        <v>0</v>
      </c>
      <c r="BI272" s="405">
        <f t="shared" ref="BI272:BI307" si="92">IF(K272&lt;0,-1,0)</f>
        <v>0</v>
      </c>
      <c r="BJ272" s="405">
        <f t="shared" ref="BJ272:BJ307" si="93">IF(L272&lt;0,-1,0)</f>
        <v>0</v>
      </c>
      <c r="BK272" s="405">
        <f t="shared" ref="BK272:BK307" si="94">IF(M272&lt;0,-1,0)</f>
        <v>-1</v>
      </c>
      <c r="BL272" s="405">
        <f t="shared" ref="BL272:BL307" si="95">IF(N272&lt;0,-1,0)</f>
        <v>-1</v>
      </c>
      <c r="BM272" s="405">
        <f t="shared" ref="BM272:BN307" si="96">IF(O272&lt;0,-1,0)</f>
        <v>-1</v>
      </c>
      <c r="BN272" s="405">
        <f t="shared" si="96"/>
        <v>-1</v>
      </c>
    </row>
    <row r="273" spans="1:66" x14ac:dyDescent="0.2">
      <c r="A273" s="34">
        <v>849</v>
      </c>
      <c r="B273" s="88" t="s">
        <v>587</v>
      </c>
      <c r="C273" s="41" t="e">
        <f>'2. Toimintakate'!D273+'3. Verotulot'!G273+'4. Valtionosuudet'!#REF!+'5. Rahoitustuotot ja -kulut'!C273</f>
        <v>#REF!</v>
      </c>
      <c r="D273" s="41">
        <f>'2. Toimintakate'!E273+'4. Valtionosuudet'!H273+'3. Verotulot'!L273+'5. Rahoitustuotot ja -kulut'!D273</f>
        <v>754</v>
      </c>
      <c r="E273" s="41">
        <f>'2. Toimintakate'!F273+'4. Valtionosuudet'!N273+'3. Verotulot'!Q273+'5. Rahoitustuotot ja -kulut'!E273</f>
        <v>1729</v>
      </c>
      <c r="F273" s="41">
        <f>'2. Toimintakate'!G273+'4. Valtionosuudet'!T273+'3. Verotulot'!V273+'5. Rahoitustuotot ja -kulut'!F273</f>
        <v>629</v>
      </c>
      <c r="G273" s="41">
        <f>'2. Toimintakate'!H273+'3. Verotulot'!AA273+'4. Valtionosuudet'!Z273+'5. Rahoitustuotot ja -kulut'!G273</f>
        <v>214</v>
      </c>
      <c r="H273" s="41">
        <f>Käyttökate!H273+'5. Rahoitustuotot ja -kulut'!H273</f>
        <v>2300.5654346872125</v>
      </c>
      <c r="I273" s="41">
        <f>Käyttökate!I273+'5. Rahoitustuotot ja -kulut'!I273</f>
        <v>2543.9587041048567</v>
      </c>
      <c r="J273" s="41">
        <f>Käyttökate!J273+'5. Rahoitustuotot ja -kulut'!J273</f>
        <v>1935.8060684005254</v>
      </c>
      <c r="K273" s="41">
        <f>Käyttökate!K273+'5. Rahoitustuotot ja -kulut'!K273</f>
        <v>1155.77867753648</v>
      </c>
      <c r="L273" s="41">
        <f>Käyttökate!L273+'5. Rahoitustuotot ja -kulut'!L273</f>
        <v>872.74992721649744</v>
      </c>
      <c r="M273" s="41">
        <f>Käyttökate!M273+'5. Rahoitustuotot ja -kulut'!M273</f>
        <v>672.49849903603445</v>
      </c>
      <c r="N273" s="41">
        <f>Käyttökate!N273+'5. Rahoitustuotot ja -kulut'!N273</f>
        <v>239.33181861848243</v>
      </c>
      <c r="O273" s="41">
        <f>Käyttökate!O273+'5. Rahoitustuotot ja -kulut'!O273</f>
        <v>-120.69096430351098</v>
      </c>
      <c r="P273" s="41">
        <f>Käyttökate!P273+'5. Rahoitustuotot ja -kulut'!P273</f>
        <v>175.56243143758257</v>
      </c>
      <c r="T273" s="34">
        <v>849</v>
      </c>
      <c r="U273" s="88" t="s">
        <v>587</v>
      </c>
      <c r="V273" s="41" t="e">
        <f>C273/'1. Väestöennuste'!E273*1000</f>
        <v>#REF!</v>
      </c>
      <c r="W273" s="41">
        <f>D273/'1. Väestöennuste'!F273*1000</f>
        <v>233.29207920792081</v>
      </c>
      <c r="X273" s="41">
        <f>E273/'1. Väestöennuste'!G273*1000</f>
        <v>541.66666666666663</v>
      </c>
      <c r="Y273" s="41">
        <f>F273/'1. Väestöennuste'!H273*1000</f>
        <v>202.12082262210799</v>
      </c>
      <c r="Z273" s="41">
        <f>G273/'1. Väestöennuste'!I273*1000</f>
        <v>70.55720408836136</v>
      </c>
      <c r="AA273" s="41">
        <f>H273/'1. Väestöennuste'!J273*1000</f>
        <v>775.64579726473778</v>
      </c>
      <c r="AB273" s="41">
        <f>I273/'1. Väestöennuste'!K273*1000</f>
        <v>865.88111099552646</v>
      </c>
      <c r="AC273" s="41">
        <f>J273/'1. Väestöennuste'!L273*1000</f>
        <v>666.82951029987089</v>
      </c>
      <c r="AD273" s="41">
        <f>K273/'1. Väestöennuste'!M273*1000</f>
        <v>405.67872149402598</v>
      </c>
      <c r="AE273" s="41">
        <f>L273/'1. Väestöennuste'!N273*1000</f>
        <v>323.36047692348922</v>
      </c>
      <c r="AF273" s="41">
        <f>M273/'1. Väestöennuste'!O273*1000</f>
        <v>255.02408002883371</v>
      </c>
      <c r="AG273" s="41">
        <f>N273/'1. Väestöennuste'!P273*1000</f>
        <v>92.800239867577517</v>
      </c>
      <c r="AH273" s="41">
        <f>O273/'1. Väestöennuste'!Q273*1000</f>
        <v>-47.817339264465524</v>
      </c>
      <c r="AI273" s="41">
        <f>P273/'1. Väestöennuste'!R273*1000</f>
        <v>71.049142629535638</v>
      </c>
      <c r="AK273" s="41">
        <f>'6. Poistot'!Z273</f>
        <v>318.16683151994721</v>
      </c>
      <c r="AL273" s="41">
        <f>'6. Poistot'!AA273</f>
        <v>320.29669588671612</v>
      </c>
      <c r="AM273" s="41">
        <f>'6. Poistot'!AB273</f>
        <v>324.15107556160655</v>
      </c>
      <c r="AN273" s="41">
        <f>'6. Poistot'!AC273</f>
        <v>361.93617292456082</v>
      </c>
      <c r="AO273" s="41">
        <f>'6. Poistot'!AD273</f>
        <v>445.96058266058265</v>
      </c>
      <c r="AP273" s="41">
        <f>'6. Poistot'!AE273</f>
        <v>346.14746202297147</v>
      </c>
      <c r="AQ273" s="41">
        <f>'6. Poistot'!AF273</f>
        <v>353.90671217292373</v>
      </c>
      <c r="AR273" s="41">
        <f>'6. Poistot'!AG273</f>
        <v>361.09034509499804</v>
      </c>
      <c r="AS273" s="41">
        <f>'6. Poistot'!AH273</f>
        <v>380.86374572446414</v>
      </c>
      <c r="AT273" s="41">
        <f>'6. Poistot'!AI273</f>
        <v>401.1931155067158</v>
      </c>
      <c r="AV273" s="4">
        <f t="shared" si="80"/>
        <v>0</v>
      </c>
      <c r="AW273" s="4">
        <f t="shared" si="81"/>
        <v>0</v>
      </c>
      <c r="AX273" s="4">
        <f t="shared" si="82"/>
        <v>1</v>
      </c>
      <c r="AY273" s="4">
        <f t="shared" si="83"/>
        <v>1</v>
      </c>
      <c r="AZ273" s="4">
        <f t="shared" si="84"/>
        <v>1</v>
      </c>
      <c r="BA273" s="4">
        <f t="shared" si="85"/>
        <v>1</v>
      </c>
      <c r="BB273" s="4">
        <f t="shared" si="86"/>
        <v>1</v>
      </c>
      <c r="BC273" s="4">
        <f t="shared" si="87"/>
        <v>1</v>
      </c>
      <c r="BE273" s="405">
        <f t="shared" si="88"/>
        <v>0</v>
      </c>
      <c r="BF273" s="405">
        <f t="shared" si="89"/>
        <v>0</v>
      </c>
      <c r="BG273" s="405">
        <f t="shared" si="90"/>
        <v>0</v>
      </c>
      <c r="BH273" s="405">
        <f t="shared" si="91"/>
        <v>0</v>
      </c>
      <c r="BI273" s="405">
        <f t="shared" si="92"/>
        <v>0</v>
      </c>
      <c r="BJ273" s="405">
        <f t="shared" si="93"/>
        <v>0</v>
      </c>
      <c r="BK273" s="405">
        <f t="shared" si="94"/>
        <v>0</v>
      </c>
      <c r="BL273" s="405">
        <f t="shared" si="95"/>
        <v>0</v>
      </c>
      <c r="BM273" s="405">
        <f t="shared" si="96"/>
        <v>-1</v>
      </c>
      <c r="BN273" s="405">
        <f t="shared" si="96"/>
        <v>0</v>
      </c>
    </row>
    <row r="274" spans="1:66" x14ac:dyDescent="0.2">
      <c r="A274" s="34">
        <v>850</v>
      </c>
      <c r="B274" s="88" t="s">
        <v>588</v>
      </c>
      <c r="C274" s="41" t="e">
        <f>'2. Toimintakate'!D274+'3. Verotulot'!G274+'4. Valtionosuudet'!#REF!+'5. Rahoitustuotot ja -kulut'!C274</f>
        <v>#REF!</v>
      </c>
      <c r="D274" s="41">
        <f>'2. Toimintakate'!E274+'4. Valtionosuudet'!H274+'3. Verotulot'!L274+'5. Rahoitustuotot ja -kulut'!D274</f>
        <v>742</v>
      </c>
      <c r="E274" s="41">
        <f>'2. Toimintakate'!F274+'4. Valtionosuudet'!N274+'3. Verotulot'!Q274+'5. Rahoitustuotot ja -kulut'!E274</f>
        <v>1425</v>
      </c>
      <c r="F274" s="41">
        <f>'2. Toimintakate'!G274+'4. Valtionosuudet'!T274+'3. Verotulot'!V274+'5. Rahoitustuotot ja -kulut'!F274</f>
        <v>165</v>
      </c>
      <c r="G274" s="41">
        <f>'2. Toimintakate'!H274+'3. Verotulot'!AA274+'4. Valtionosuudet'!Z274+'5. Rahoitustuotot ja -kulut'!G274</f>
        <v>-3151</v>
      </c>
      <c r="H274" s="41">
        <f>Käyttökate!H274+'5. Rahoitustuotot ja -kulut'!H274</f>
        <v>2332.8344974315996</v>
      </c>
      <c r="I274" s="41">
        <f>Käyttökate!I274+'5. Rahoitustuotot ja -kulut'!I274</f>
        <v>1041.0888129275595</v>
      </c>
      <c r="J274" s="41">
        <f>Käyttökate!J274+'5. Rahoitustuotot ja -kulut'!J274</f>
        <v>1193.6411171885056</v>
      </c>
      <c r="K274" s="41">
        <f>Käyttökate!K274+'5. Rahoitustuotot ja -kulut'!K274</f>
        <v>3530.5832363249292</v>
      </c>
      <c r="L274" s="41">
        <f>Käyttökate!L274+'5. Rahoitustuotot ja -kulut'!L274</f>
        <v>1806.1151631891944</v>
      </c>
      <c r="M274" s="41">
        <f>Käyttökate!M274+'5. Rahoitustuotot ja -kulut'!M274</f>
        <v>-22.934755840120488</v>
      </c>
      <c r="N274" s="41">
        <f>Käyttökate!N274+'5. Rahoitustuotot ja -kulut'!N274</f>
        <v>-11.130065270873274</v>
      </c>
      <c r="O274" s="41">
        <f>Käyttökate!O274+'5. Rahoitustuotot ja -kulut'!O274</f>
        <v>-214.54587671708788</v>
      </c>
      <c r="P274" s="41">
        <f>Käyttökate!P274+'5. Rahoitustuotot ja -kulut'!P274</f>
        <v>-276.04748839674858</v>
      </c>
      <c r="T274" s="34">
        <v>850</v>
      </c>
      <c r="U274" s="88" t="s">
        <v>588</v>
      </c>
      <c r="V274" s="41" t="e">
        <f>C274/'1. Väestöennuste'!E274*1000</f>
        <v>#REF!</v>
      </c>
      <c r="W274" s="41">
        <f>D274/'1. Väestöennuste'!F274*1000</f>
        <v>305.0986842105263</v>
      </c>
      <c r="X274" s="41">
        <f>E274/'1. Väestöennuste'!G274*1000</f>
        <v>597.734899328859</v>
      </c>
      <c r="Y274" s="41">
        <f>F274/'1. Väestöennuste'!H274*1000</f>
        <v>68.578553615960104</v>
      </c>
      <c r="Z274" s="41">
        <f>G274/'1. Väestöennuste'!I274*1000</f>
        <v>-1319.5142378559462</v>
      </c>
      <c r="AA274" s="41">
        <f>H274/'1. Väestöennuste'!J274*1000</f>
        <v>971.60953662290694</v>
      </c>
      <c r="AB274" s="41">
        <f>I274/'1. Väestöennuste'!K274*1000</f>
        <v>436.14948174594031</v>
      </c>
      <c r="AC274" s="41">
        <f>J274/'1. Väestöennuste'!L274*1000</f>
        <v>495.9040785992961</v>
      </c>
      <c r="AD274" s="41">
        <f>K274/'1. Väestöennuste'!M274*1000</f>
        <v>1490.9557585831628</v>
      </c>
      <c r="AE274" s="41">
        <f>L274/'1. Väestöennuste'!N274*1000</f>
        <v>755.69672099966294</v>
      </c>
      <c r="AF274" s="41">
        <f>M274/'1. Väestöennuste'!O274*1000</f>
        <v>-9.6243205371886216</v>
      </c>
      <c r="AG274" s="41">
        <f>N274/'1. Väestöennuste'!P274*1000</f>
        <v>-4.6824001980956131</v>
      </c>
      <c r="AH274" s="41">
        <f>O274/'1. Väestöennuste'!Q274*1000</f>
        <v>-90.602143883905342</v>
      </c>
      <c r="AI274" s="41">
        <f>P274/'1. Väestöennuste'!R274*1000</f>
        <v>-117.21761715360873</v>
      </c>
      <c r="AK274" s="41">
        <f>'6. Poistot'!Z274</f>
        <v>366.41541038525963</v>
      </c>
      <c r="AL274" s="41">
        <f>'6. Poistot'!AA274</f>
        <v>338.60891295293629</v>
      </c>
      <c r="AM274" s="41">
        <f>'6. Poistot'!AB274</f>
        <v>386.95819438625881</v>
      </c>
      <c r="AN274" s="41">
        <f>'6. Poistot'!AC274</f>
        <v>379.2311798919817</v>
      </c>
      <c r="AO274" s="41">
        <f>'6. Poistot'!AD274</f>
        <v>352.33096706081079</v>
      </c>
      <c r="AP274" s="41">
        <f>'6. Poistot'!AE274</f>
        <v>342.26150627615067</v>
      </c>
      <c r="AQ274" s="41">
        <f>'6. Poistot'!AF274</f>
        <v>372.22198908938316</v>
      </c>
      <c r="AR274" s="41">
        <f>'6. Poistot'!AG274</f>
        <v>385.22885990744629</v>
      </c>
      <c r="AS274" s="41">
        <f>'6. Poistot'!AH274</f>
        <v>399.17015758020324</v>
      </c>
      <c r="AT274" s="41">
        <f>'6. Poistot'!AI274</f>
        <v>413.91968845003936</v>
      </c>
      <c r="AV274" s="4">
        <f t="shared" si="80"/>
        <v>0</v>
      </c>
      <c r="AW274" s="4">
        <f t="shared" si="81"/>
        <v>0</v>
      </c>
      <c r="AX274" s="4">
        <f t="shared" si="82"/>
        <v>0</v>
      </c>
      <c r="AY274" s="4">
        <f t="shared" si="83"/>
        <v>0</v>
      </c>
      <c r="AZ274" s="4">
        <f t="shared" si="84"/>
        <v>1</v>
      </c>
      <c r="BA274" s="4">
        <f t="shared" si="85"/>
        <v>1</v>
      </c>
      <c r="BB274" s="4">
        <f t="shared" si="86"/>
        <v>1</v>
      </c>
      <c r="BC274" s="4">
        <f t="shared" si="87"/>
        <v>1</v>
      </c>
      <c r="BE274" s="405">
        <f t="shared" si="88"/>
        <v>-1</v>
      </c>
      <c r="BF274" s="405">
        <f t="shared" si="89"/>
        <v>0</v>
      </c>
      <c r="BG274" s="405">
        <f t="shared" si="90"/>
        <v>0</v>
      </c>
      <c r="BH274" s="405">
        <f t="shared" si="91"/>
        <v>0</v>
      </c>
      <c r="BI274" s="405">
        <f t="shared" si="92"/>
        <v>0</v>
      </c>
      <c r="BJ274" s="405">
        <f t="shared" si="93"/>
        <v>0</v>
      </c>
      <c r="BK274" s="405">
        <f t="shared" si="94"/>
        <v>-1</v>
      </c>
      <c r="BL274" s="405">
        <f t="shared" si="95"/>
        <v>-1</v>
      </c>
      <c r="BM274" s="405">
        <f t="shared" si="96"/>
        <v>-1</v>
      </c>
      <c r="BN274" s="405">
        <f t="shared" si="96"/>
        <v>-1</v>
      </c>
    </row>
    <row r="275" spans="1:66" x14ac:dyDescent="0.2">
      <c r="A275" s="34">
        <v>851</v>
      </c>
      <c r="B275" s="88" t="s">
        <v>589</v>
      </c>
      <c r="C275" s="41" t="e">
        <f>'2. Toimintakate'!D275+'3. Verotulot'!G275+'4. Valtionosuudet'!#REF!+'5. Rahoitustuotot ja -kulut'!C275</f>
        <v>#REF!</v>
      </c>
      <c r="D275" s="41">
        <f>'2. Toimintakate'!E275+'4. Valtionosuudet'!H275+'3. Verotulot'!L275+'5. Rahoitustuotot ja -kulut'!D275</f>
        <v>6265</v>
      </c>
      <c r="E275" s="41">
        <f>'2. Toimintakate'!F275+'4. Valtionosuudet'!N275+'3. Verotulot'!Q275+'5. Rahoitustuotot ja -kulut'!E275</f>
        <v>7489</v>
      </c>
      <c r="F275" s="41">
        <f>'2. Toimintakate'!G275+'4. Valtionosuudet'!T275+'3. Verotulot'!V275+'5. Rahoitustuotot ja -kulut'!F275</f>
        <v>4921</v>
      </c>
      <c r="G275" s="41">
        <f>'2. Toimintakate'!H275+'3. Verotulot'!AA275+'4. Valtionosuudet'!Z275+'5. Rahoitustuotot ja -kulut'!G275</f>
        <v>-24</v>
      </c>
      <c r="H275" s="41">
        <f>Käyttökate!H275+'5. Rahoitustuotot ja -kulut'!H275</f>
        <v>12326.729541113898</v>
      </c>
      <c r="I275" s="41">
        <f>Käyttökate!I275+'5. Rahoitustuotot ja -kulut'!I275</f>
        <v>6558.513485368072</v>
      </c>
      <c r="J275" s="41">
        <f>Käyttökate!J275+'5. Rahoitustuotot ja -kulut'!J275</f>
        <v>6210.9924963352023</v>
      </c>
      <c r="K275" s="41">
        <f>Käyttökate!K275+'5. Rahoitustuotot ja -kulut'!K275</f>
        <v>14638.168227006754</v>
      </c>
      <c r="L275" s="41">
        <f>Käyttökate!L275+'5. Rahoitustuotot ja -kulut'!L275</f>
        <v>4118.545712277144</v>
      </c>
      <c r="M275" s="41">
        <f>Käyttökate!M275+'5. Rahoitustuotot ja -kulut'!M275</f>
        <v>5116.1361877438012</v>
      </c>
      <c r="N275" s="41">
        <f>Käyttökate!N275+'5. Rahoitustuotot ja -kulut'!N275</f>
        <v>3888.6663951359787</v>
      </c>
      <c r="O275" s="41">
        <f>Käyttökate!O275+'5. Rahoitustuotot ja -kulut'!O275</f>
        <v>4519.3138399000318</v>
      </c>
      <c r="P275" s="41">
        <f>Käyttökate!P275+'5. Rahoitustuotot ja -kulut'!P275</f>
        <v>6705.3010713373878</v>
      </c>
      <c r="T275" s="34">
        <v>851</v>
      </c>
      <c r="U275" s="88" t="s">
        <v>589</v>
      </c>
      <c r="V275" s="41" t="e">
        <f>C275/'1. Väestöennuste'!E275*1000</f>
        <v>#REF!</v>
      </c>
      <c r="W275" s="41">
        <f>D275/'1. Väestöennuste'!F275*1000</f>
        <v>283.26626576841346</v>
      </c>
      <c r="X275" s="41">
        <f>E275/'1. Väestöennuste'!G275*1000</f>
        <v>341.52681503101059</v>
      </c>
      <c r="Y275" s="41">
        <f>F275/'1. Väestöennuste'!H275*1000</f>
        <v>224.95999999999998</v>
      </c>
      <c r="Z275" s="41">
        <f>G275/'1. Väestöennuste'!I275*1000</f>
        <v>-1.1110082399777796</v>
      </c>
      <c r="AA275" s="41">
        <f>H275/'1. Väestöennuste'!J275*1000</f>
        <v>574.21761499575621</v>
      </c>
      <c r="AB275" s="41">
        <f>I275/'1. Väestöennuste'!K275*1000</f>
        <v>307.43512330042995</v>
      </c>
      <c r="AC275" s="41">
        <f>J275/'1. Väestöennuste'!L275*1000</f>
        <v>292.59869488553272</v>
      </c>
      <c r="AD275" s="41">
        <f>K275/'1. Väestöennuste'!M275*1000</f>
        <v>696.45866528721831</v>
      </c>
      <c r="AE275" s="41">
        <f>L275/'1. Väestöennuste'!N275*1000</f>
        <v>197.17281272870281</v>
      </c>
      <c r="AF275" s="41">
        <f>M275/'1. Väestöennuste'!O275*1000</f>
        <v>246.58454731751499</v>
      </c>
      <c r="AG275" s="41">
        <f>N275/'1. Väestöennuste'!P275*1000</f>
        <v>188.66031414399276</v>
      </c>
      <c r="AH275" s="41">
        <f>O275/'1. Väestöennuste'!Q275*1000</f>
        <v>220.71272904376011</v>
      </c>
      <c r="AI275" s="41">
        <f>P275/'1. Väestöennuste'!R275*1000</f>
        <v>329.66081963310654</v>
      </c>
      <c r="AK275" s="41">
        <f>'6. Poistot'!Z275</f>
        <v>268.30848995463384</v>
      </c>
      <c r="AL275" s="41">
        <f>'6. Poistot'!AA275</f>
        <v>264.17291656961851</v>
      </c>
      <c r="AM275" s="41">
        <f>'6. Poistot'!AB275</f>
        <v>376.38376365255709</v>
      </c>
      <c r="AN275" s="41">
        <f>'6. Poistot'!AC275</f>
        <v>288.22358411457105</v>
      </c>
      <c r="AO275" s="41">
        <f>'6. Poistot'!AD275</f>
        <v>299.31807022552096</v>
      </c>
      <c r="AP275" s="41">
        <f>'6. Poistot'!AE275</f>
        <v>287.24626579854464</v>
      </c>
      <c r="AQ275" s="41">
        <f>'6. Poistot'!AF275</f>
        <v>289.18449971081549</v>
      </c>
      <c r="AR275" s="41">
        <f>'6. Poistot'!AG275</f>
        <v>291.09256743644477</v>
      </c>
      <c r="AS275" s="41">
        <f>'6. Poistot'!AH275</f>
        <v>302.48085776270784</v>
      </c>
      <c r="AT275" s="41">
        <f>'6. Poistot'!AI275</f>
        <v>314.02143987701129</v>
      </c>
      <c r="AV275" s="4">
        <f t="shared" si="80"/>
        <v>1</v>
      </c>
      <c r="AW275" s="4">
        <f t="shared" si="81"/>
        <v>0</v>
      </c>
      <c r="AX275" s="4">
        <f t="shared" si="82"/>
        <v>0</v>
      </c>
      <c r="AY275" s="4">
        <f t="shared" si="83"/>
        <v>1</v>
      </c>
      <c r="AZ275" s="4">
        <f t="shared" si="84"/>
        <v>1</v>
      </c>
      <c r="BA275" s="4">
        <f t="shared" si="85"/>
        <v>1</v>
      </c>
      <c r="BB275" s="4">
        <f t="shared" si="86"/>
        <v>1</v>
      </c>
      <c r="BC275" s="4">
        <f t="shared" si="87"/>
        <v>0</v>
      </c>
      <c r="BE275" s="405">
        <f t="shared" si="88"/>
        <v>-1</v>
      </c>
      <c r="BF275" s="405">
        <f t="shared" si="89"/>
        <v>0</v>
      </c>
      <c r="BG275" s="405">
        <f t="shared" si="90"/>
        <v>0</v>
      </c>
      <c r="BH275" s="405">
        <f t="shared" si="91"/>
        <v>0</v>
      </c>
      <c r="BI275" s="405">
        <f t="shared" si="92"/>
        <v>0</v>
      </c>
      <c r="BJ275" s="405">
        <f t="shared" si="93"/>
        <v>0</v>
      </c>
      <c r="BK275" s="405">
        <f t="shared" si="94"/>
        <v>0</v>
      </c>
      <c r="BL275" s="405">
        <f t="shared" si="95"/>
        <v>0</v>
      </c>
      <c r="BM275" s="405">
        <f t="shared" si="96"/>
        <v>0</v>
      </c>
      <c r="BN275" s="405">
        <f t="shared" si="96"/>
        <v>0</v>
      </c>
    </row>
    <row r="276" spans="1:66" x14ac:dyDescent="0.2">
      <c r="A276" s="34">
        <v>853</v>
      </c>
      <c r="B276" s="88" t="s">
        <v>590</v>
      </c>
      <c r="C276" s="41" t="e">
        <f>'2. Toimintakate'!D276+'3. Verotulot'!G276+'4. Valtionosuudet'!#REF!+'5. Rahoitustuotot ja -kulut'!C276</f>
        <v>#REF!</v>
      </c>
      <c r="D276" s="41">
        <f>'2. Toimintakate'!E276+'4. Valtionosuudet'!H276+'3. Verotulot'!L276+'5. Rahoitustuotot ja -kulut'!D276</f>
        <v>69133</v>
      </c>
      <c r="E276" s="41">
        <f>'2. Toimintakate'!F276+'4. Valtionosuudet'!N276+'3. Verotulot'!Q276+'5. Rahoitustuotot ja -kulut'!E276</f>
        <v>39074</v>
      </c>
      <c r="F276" s="41">
        <f>'2. Toimintakate'!G276+'4. Valtionosuudet'!T276+'3. Verotulot'!V276+'5. Rahoitustuotot ja -kulut'!F276</f>
        <v>6240</v>
      </c>
      <c r="G276" s="41">
        <f>'2. Toimintakate'!H276+'3. Verotulot'!AA276+'4. Valtionosuudet'!Z276+'5. Rahoitustuotot ja -kulut'!G276</f>
        <v>11727</v>
      </c>
      <c r="H276" s="41">
        <f>Käyttökate!H276+'5. Rahoitustuotot ja -kulut'!H276</f>
        <v>59907.993312221894</v>
      </c>
      <c r="I276" s="41">
        <f>Käyttökate!I276+'5. Rahoitustuotot ja -kulut'!I276</f>
        <v>90107.263487035234</v>
      </c>
      <c r="J276" s="41">
        <f>Käyttökate!J276+'5. Rahoitustuotot ja -kulut'!J276</f>
        <v>73306.380409332021</v>
      </c>
      <c r="K276" s="41">
        <f>Käyttökate!K276+'5. Rahoitustuotot ja -kulut'!K276</f>
        <v>95874.932390684378</v>
      </c>
      <c r="L276" s="41">
        <f>Käyttökate!L276+'5. Rahoitustuotot ja -kulut'!L276</f>
        <v>35497.837451887855</v>
      </c>
      <c r="M276" s="41">
        <f>Käyttökate!M276+'5. Rahoitustuotot ja -kulut'!M276</f>
        <v>-26228.047841865817</v>
      </c>
      <c r="N276" s="41">
        <f>Käyttökate!N276+'5. Rahoitustuotot ja -kulut'!N276</f>
        <v>-31985.228759173053</v>
      </c>
      <c r="O276" s="41">
        <f>Käyttökate!O276+'5. Rahoitustuotot ja -kulut'!O276</f>
        <v>-32456.120660895383</v>
      </c>
      <c r="P276" s="41">
        <f>Käyttökate!P276+'5. Rahoitustuotot ja -kulut'!P276</f>
        <v>-26190.664572139143</v>
      </c>
      <c r="T276" s="34">
        <v>853</v>
      </c>
      <c r="U276" s="88" t="s">
        <v>590</v>
      </c>
      <c r="V276" s="41" t="e">
        <f>C276/'1. Väestöennuste'!E276*1000</f>
        <v>#REF!</v>
      </c>
      <c r="W276" s="41">
        <f>D276/'1. Väestöennuste'!F276*1000</f>
        <v>368.50493592887148</v>
      </c>
      <c r="X276" s="41">
        <f>E276/'1. Väestöennuste'!G276*1000</f>
        <v>206.01152534151601</v>
      </c>
      <c r="Y276" s="41">
        <f>F276/'1. Väestöennuste'!H276*1000</f>
        <v>32.613638145412928</v>
      </c>
      <c r="Z276" s="41">
        <f>G276/'1. Väestöennuste'!I276*1000</f>
        <v>60.773623822306988</v>
      </c>
      <c r="AA276" s="41">
        <f>H276/'1. Väestöennuste'!J276*1000</f>
        <v>308.18295760720349</v>
      </c>
      <c r="AB276" s="41">
        <f>I276/'1. Väestöennuste'!K276*1000</f>
        <v>461.76411181393189</v>
      </c>
      <c r="AC276" s="41">
        <f>J276/'1. Väestöennuste'!L276*1000</f>
        <v>370.42132596933811</v>
      </c>
      <c r="AD276" s="41">
        <f>K276/'1. Väestöennuste'!M276*1000</f>
        <v>474.9504980639561</v>
      </c>
      <c r="AE276" s="41">
        <f>L276/'1. Väestöennuste'!N276*1000</f>
        <v>177.47232738833736</v>
      </c>
      <c r="AF276" s="41">
        <f>M276/'1. Väestöennuste'!O276*1000</f>
        <v>-130.3295891647245</v>
      </c>
      <c r="AG276" s="41">
        <f>N276/'1. Väestöennuste'!P276*1000</f>
        <v>-157.99856134742666</v>
      </c>
      <c r="AH276" s="41">
        <f>O276/'1. Väestöennuste'!Q276*1000</f>
        <v>-159.40728695707563</v>
      </c>
      <c r="AI276" s="41">
        <f>P276/'1. Väestöennuste'!R276*1000</f>
        <v>-127.91970700897781</v>
      </c>
      <c r="AK276" s="41">
        <f>'6. Poistot'!Z276</f>
        <v>299.17289414496116</v>
      </c>
      <c r="AL276" s="41">
        <f>'6. Poistot'!AA276</f>
        <v>289.6944817404098</v>
      </c>
      <c r="AM276" s="41">
        <f>'6. Poistot'!AB276</f>
        <v>293.6072533655842</v>
      </c>
      <c r="AN276" s="41">
        <f>'6. Poistot'!AC276</f>
        <v>305.73165108640728</v>
      </c>
      <c r="AO276" s="41">
        <f>'6. Poistot'!AD276</f>
        <v>327.58560692152594</v>
      </c>
      <c r="AP276" s="41">
        <f>'6. Poistot'!AE276</f>
        <v>289.47997360250776</v>
      </c>
      <c r="AQ276" s="41">
        <f>'6. Poistot'!AF276</f>
        <v>292.26439705034687</v>
      </c>
      <c r="AR276" s="41">
        <f>'6. Poistot'!AG276</f>
        <v>309.56723770005931</v>
      </c>
      <c r="AS276" s="41">
        <f>'6. Poistot'!AH276</f>
        <v>317.72738476081372</v>
      </c>
      <c r="AT276" s="41">
        <f>'6. Poistot'!AI276</f>
        <v>325.83764401445205</v>
      </c>
      <c r="AV276" s="4">
        <f t="shared" si="80"/>
        <v>0</v>
      </c>
      <c r="AW276" s="4">
        <f t="shared" si="81"/>
        <v>0</v>
      </c>
      <c r="AX276" s="4">
        <f t="shared" si="82"/>
        <v>0</v>
      </c>
      <c r="AY276" s="4">
        <f t="shared" si="83"/>
        <v>1</v>
      </c>
      <c r="AZ276" s="4">
        <f t="shared" si="84"/>
        <v>1</v>
      </c>
      <c r="BA276" s="4">
        <f t="shared" si="85"/>
        <v>1</v>
      </c>
      <c r="BB276" s="4">
        <f t="shared" si="86"/>
        <v>1</v>
      </c>
      <c r="BC276" s="4">
        <f t="shared" si="87"/>
        <v>1</v>
      </c>
      <c r="BE276" s="405">
        <f t="shared" si="88"/>
        <v>0</v>
      </c>
      <c r="BF276" s="405">
        <f t="shared" si="89"/>
        <v>0</v>
      </c>
      <c r="BG276" s="405">
        <f t="shared" si="90"/>
        <v>0</v>
      </c>
      <c r="BH276" s="405">
        <f t="shared" si="91"/>
        <v>0</v>
      </c>
      <c r="BI276" s="405">
        <f t="shared" si="92"/>
        <v>0</v>
      </c>
      <c r="BJ276" s="405">
        <f t="shared" si="93"/>
        <v>0</v>
      </c>
      <c r="BK276" s="405">
        <f t="shared" si="94"/>
        <v>-1</v>
      </c>
      <c r="BL276" s="405">
        <f t="shared" si="95"/>
        <v>-1</v>
      </c>
      <c r="BM276" s="405">
        <f t="shared" si="96"/>
        <v>-1</v>
      </c>
      <c r="BN276" s="405">
        <f t="shared" si="96"/>
        <v>-1</v>
      </c>
    </row>
    <row r="277" spans="1:66" x14ac:dyDescent="0.2">
      <c r="A277" s="34">
        <v>854</v>
      </c>
      <c r="B277" s="88" t="s">
        <v>591</v>
      </c>
      <c r="C277" s="41" t="e">
        <f>'2. Toimintakate'!D277+'3. Verotulot'!G277+'4. Valtionosuudet'!#REF!+'5. Rahoitustuotot ja -kulut'!C277</f>
        <v>#REF!</v>
      </c>
      <c r="D277" s="41">
        <f>'2. Toimintakate'!E277+'4. Valtionosuudet'!H277+'3. Verotulot'!L277+'5. Rahoitustuotot ja -kulut'!D277</f>
        <v>656</v>
      </c>
      <c r="E277" s="41">
        <f>'2. Toimintakate'!F277+'4. Valtionosuudet'!N277+'3. Verotulot'!Q277+'5. Rahoitustuotot ja -kulut'!E277</f>
        <v>-687</v>
      </c>
      <c r="F277" s="41">
        <f>'2. Toimintakate'!G277+'4. Valtionosuudet'!T277+'3. Verotulot'!V277+'5. Rahoitustuotot ja -kulut'!F277</f>
        <v>578</v>
      </c>
      <c r="G277" s="41">
        <f>'2. Toimintakate'!H277+'3. Verotulot'!AA277+'4. Valtionosuudet'!Z277+'5. Rahoitustuotot ja -kulut'!G277</f>
        <v>-903</v>
      </c>
      <c r="H277" s="41">
        <f>Käyttökate!H277+'5. Rahoitustuotot ja -kulut'!H277</f>
        <v>2035.4906058852175</v>
      </c>
      <c r="I277" s="41">
        <f>Käyttökate!I277+'5. Rahoitustuotot ja -kulut'!I277</f>
        <v>1820.9767773320991</v>
      </c>
      <c r="J277" s="41">
        <f>Käyttökate!J277+'5. Rahoitustuotot ja -kulut'!J277</f>
        <v>1741.3933928917804</v>
      </c>
      <c r="K277" s="41">
        <f>Käyttökate!K277+'5. Rahoitustuotot ja -kulut'!K277</f>
        <v>2021.7781326856264</v>
      </c>
      <c r="L277" s="41">
        <f>Käyttökate!L277+'5. Rahoitustuotot ja -kulut'!L277</f>
        <v>882.29998897173368</v>
      </c>
      <c r="M277" s="41">
        <f>Käyttökate!M277+'5. Rahoitustuotot ja -kulut'!M277</f>
        <v>-175.80217388451291</v>
      </c>
      <c r="N277" s="41">
        <f>Käyttökate!N277+'5. Rahoitustuotot ja -kulut'!N277</f>
        <v>-340.07159332122609</v>
      </c>
      <c r="O277" s="41">
        <f>Käyttökate!O277+'5. Rahoitustuotot ja -kulut'!O277</f>
        <v>-321.69648962425117</v>
      </c>
      <c r="P277" s="41">
        <f>Käyttökate!P277+'5. Rahoitustuotot ja -kulut'!P277</f>
        <v>72.765413399646263</v>
      </c>
      <c r="T277" s="34">
        <v>854</v>
      </c>
      <c r="U277" s="88" t="s">
        <v>591</v>
      </c>
      <c r="V277" s="41" t="e">
        <f>C277/'1. Väestöennuste'!E277*1000</f>
        <v>#REF!</v>
      </c>
      <c r="W277" s="41">
        <f>D277/'1. Väestöennuste'!F277*1000</f>
        <v>184.01122019635343</v>
      </c>
      <c r="X277" s="41">
        <f>E277/'1. Väestöennuste'!G277*1000</f>
        <v>-195.72649572649573</v>
      </c>
      <c r="Y277" s="41">
        <f>F277/'1. Väestöennuste'!H277*1000</f>
        <v>168.12100058173357</v>
      </c>
      <c r="Z277" s="41">
        <f>G277/'1. Väestöennuste'!I277*1000</f>
        <v>-267.71420100800475</v>
      </c>
      <c r="AA277" s="41">
        <f>H277/'1. Väestöennuste'!J277*1000</f>
        <v>616.06858531634907</v>
      </c>
      <c r="AB277" s="41">
        <f>I277/'1. Väestöennuste'!K277*1000</f>
        <v>552.4808183653214</v>
      </c>
      <c r="AC277" s="41">
        <f>J277/'1. Väestöennuste'!L277*1000</f>
        <v>533.84224184297375</v>
      </c>
      <c r="AD277" s="41">
        <f>K277/'1. Väestöennuste'!M277*1000</f>
        <v>621.51187601771483</v>
      </c>
      <c r="AE277" s="41">
        <f>L277/'1. Väestöennuste'!N277*1000</f>
        <v>287.95691546074858</v>
      </c>
      <c r="AF277" s="41">
        <f>M277/'1. Väestöennuste'!O277*1000</f>
        <v>-58.328524845558363</v>
      </c>
      <c r="AG277" s="41">
        <f>N277/'1. Väestöennuste'!P277*1000</f>
        <v>-114.5793778036476</v>
      </c>
      <c r="AH277" s="41">
        <f>O277/'1. Väestöennuste'!Q277*1000</f>
        <v>-110.05695847562475</v>
      </c>
      <c r="AI277" s="41">
        <f>P277/'1. Väestöennuste'!R277*1000</f>
        <v>25.256998750311094</v>
      </c>
      <c r="AK277" s="41">
        <f>'6. Poistot'!Z277</f>
        <v>343.61102875778238</v>
      </c>
      <c r="AL277" s="41">
        <f>'6. Poistot'!AA277</f>
        <v>319.91525423728814</v>
      </c>
      <c r="AM277" s="41">
        <f>'6. Poistot'!AB277</f>
        <v>327.4436013349515</v>
      </c>
      <c r="AN277" s="41">
        <f>'6. Poistot'!AC277</f>
        <v>316.42015328019625</v>
      </c>
      <c r="AO277" s="41">
        <f>'6. Poistot'!AD277</f>
        <v>328.9020719335997</v>
      </c>
      <c r="AP277" s="41">
        <f>'6. Poistot'!AE277</f>
        <v>375.3263707571802</v>
      </c>
      <c r="AQ277" s="41">
        <f>'6. Poistot'!AF277</f>
        <v>381.55275381552758</v>
      </c>
      <c r="AR277" s="41">
        <f>'6. Poistot'!AG277</f>
        <v>387.46630727762806</v>
      </c>
      <c r="AS277" s="41">
        <f>'6. Poistot'!AH277</f>
        <v>406.12599783792831</v>
      </c>
      <c r="AT277" s="41">
        <f>'6. Poistot'!AI277</f>
        <v>424.92626982316159</v>
      </c>
      <c r="AV277" s="4">
        <f t="shared" si="80"/>
        <v>0</v>
      </c>
      <c r="AW277" s="4">
        <f t="shared" si="81"/>
        <v>0</v>
      </c>
      <c r="AX277" s="4">
        <f t="shared" si="82"/>
        <v>0</v>
      </c>
      <c r="AY277" s="4">
        <f t="shared" si="83"/>
        <v>1</v>
      </c>
      <c r="AZ277" s="4">
        <f t="shared" si="84"/>
        <v>1</v>
      </c>
      <c r="BA277" s="4">
        <f t="shared" si="85"/>
        <v>1</v>
      </c>
      <c r="BB277" s="4">
        <f t="shared" si="86"/>
        <v>1</v>
      </c>
      <c r="BC277" s="4">
        <f t="shared" si="87"/>
        <v>1</v>
      </c>
      <c r="BE277" s="405">
        <f t="shared" si="88"/>
        <v>-1</v>
      </c>
      <c r="BF277" s="405">
        <f t="shared" si="89"/>
        <v>0</v>
      </c>
      <c r="BG277" s="405">
        <f t="shared" si="90"/>
        <v>0</v>
      </c>
      <c r="BH277" s="405">
        <f t="shared" si="91"/>
        <v>0</v>
      </c>
      <c r="BI277" s="405">
        <f t="shared" si="92"/>
        <v>0</v>
      </c>
      <c r="BJ277" s="405">
        <f t="shared" si="93"/>
        <v>0</v>
      </c>
      <c r="BK277" s="405">
        <f t="shared" si="94"/>
        <v>-1</v>
      </c>
      <c r="BL277" s="405">
        <f t="shared" si="95"/>
        <v>-1</v>
      </c>
      <c r="BM277" s="405">
        <f t="shared" si="96"/>
        <v>-1</v>
      </c>
      <c r="BN277" s="405">
        <f t="shared" si="96"/>
        <v>0</v>
      </c>
    </row>
    <row r="278" spans="1:66" x14ac:dyDescent="0.2">
      <c r="A278" s="34">
        <v>857</v>
      </c>
      <c r="B278" s="88" t="s">
        <v>592</v>
      </c>
      <c r="C278" s="41" t="e">
        <f>'2. Toimintakate'!D278+'3. Verotulot'!G278+'4. Valtionosuudet'!#REF!+'5. Rahoitustuotot ja -kulut'!C278</f>
        <v>#REF!</v>
      </c>
      <c r="D278" s="41">
        <f>'2. Toimintakate'!E278+'4. Valtionosuudet'!H278+'3. Verotulot'!L278+'5. Rahoitustuotot ja -kulut'!D278</f>
        <v>1181</v>
      </c>
      <c r="E278" s="41">
        <f>'2. Toimintakate'!F278+'4. Valtionosuudet'!N278+'3. Verotulot'!Q278+'5. Rahoitustuotot ja -kulut'!E278</f>
        <v>1339</v>
      </c>
      <c r="F278" s="41">
        <f>'2. Toimintakate'!G278+'4. Valtionosuudet'!T278+'3. Verotulot'!V278+'5. Rahoitustuotot ja -kulut'!F278</f>
        <v>-17</v>
      </c>
      <c r="G278" s="41">
        <f>'2. Toimintakate'!H278+'3. Verotulot'!AA278+'4. Valtionosuudet'!Z278+'5. Rahoitustuotot ja -kulut'!G278</f>
        <v>-192</v>
      </c>
      <c r="H278" s="41">
        <f>Käyttökate!H278+'5. Rahoitustuotot ja -kulut'!H278</f>
        <v>710.2163406265754</v>
      </c>
      <c r="I278" s="41">
        <f>Käyttökate!I278+'5. Rahoitustuotot ja -kulut'!I278</f>
        <v>565.68271513407888</v>
      </c>
      <c r="J278" s="41">
        <f>Käyttökate!J278+'5. Rahoitustuotot ja -kulut'!J278</f>
        <v>753.82646198141595</v>
      </c>
      <c r="K278" s="41">
        <f>Käyttökate!K278+'5. Rahoitustuotot ja -kulut'!K278</f>
        <v>-146.94430714317696</v>
      </c>
      <c r="L278" s="41">
        <f>Käyttökate!L278+'5. Rahoitustuotot ja -kulut'!L278</f>
        <v>-423.96365691335143</v>
      </c>
      <c r="M278" s="41">
        <f>Käyttökate!M278+'5. Rahoitustuotot ja -kulut'!M278</f>
        <v>-639.157960566003</v>
      </c>
      <c r="N278" s="41">
        <f>Käyttökate!N278+'5. Rahoitustuotot ja -kulut'!N278</f>
        <v>-855.34357148545689</v>
      </c>
      <c r="O278" s="41">
        <f>Käyttökate!O278+'5. Rahoitustuotot ja -kulut'!O278</f>
        <v>-849.36554772024226</v>
      </c>
      <c r="P278" s="41">
        <f>Käyttökate!P278+'5. Rahoitustuotot ja -kulut'!P278</f>
        <v>-631.40744907710371</v>
      </c>
      <c r="T278" s="34">
        <v>857</v>
      </c>
      <c r="U278" s="88" t="s">
        <v>592</v>
      </c>
      <c r="V278" s="41" t="e">
        <f>C278/'1. Väestöennuste'!E278*1000</f>
        <v>#REF!</v>
      </c>
      <c r="W278" s="41">
        <f>D278/'1. Väestöennuste'!F278*1000</f>
        <v>446.84071131290199</v>
      </c>
      <c r="X278" s="41">
        <f>E278/'1. Väestöennuste'!G278*1000</f>
        <v>515.59491721216784</v>
      </c>
      <c r="Y278" s="41">
        <f>F278/'1. Väestöennuste'!H278*1000</f>
        <v>-6.6640533124264989</v>
      </c>
      <c r="Z278" s="41">
        <f>G278/'1. Väestöennuste'!I278*1000</f>
        <v>-77.513120710536938</v>
      </c>
      <c r="AA278" s="41">
        <f>H278/'1. Väestöennuste'!J278*1000</f>
        <v>291.90971665703881</v>
      </c>
      <c r="AB278" s="41">
        <f>I278/'1. Väestöennuste'!K278*1000</f>
        <v>233.75318807193344</v>
      </c>
      <c r="AC278" s="41">
        <f>J278/'1. Väestöennuste'!L278*1000</f>
        <v>314.88156306658976</v>
      </c>
      <c r="AD278" s="41">
        <f>K278/'1. Väestöennuste'!M278*1000</f>
        <v>-63.529748008290952</v>
      </c>
      <c r="AE278" s="41">
        <f>L278/'1. Väestöennuste'!N278*1000</f>
        <v>-188.93211092395339</v>
      </c>
      <c r="AF278" s="41">
        <f>M278/'1. Väestöennuste'!O278*1000</f>
        <v>-289.60487565292385</v>
      </c>
      <c r="AG278" s="41">
        <f>N278/'1. Väestöennuste'!P278*1000</f>
        <v>-393.44230519110249</v>
      </c>
      <c r="AH278" s="41">
        <f>O278/'1. Väestöennuste'!Q278*1000</f>
        <v>-396.52920061635962</v>
      </c>
      <c r="AI278" s="41">
        <f>P278/'1. Väestöennuste'!R278*1000</f>
        <v>-298.82037343923508</v>
      </c>
      <c r="AK278" s="41">
        <f>'6. Poistot'!Z278</f>
        <v>424.30359305611626</v>
      </c>
      <c r="AL278" s="41">
        <f>'6. Poistot'!AA278</f>
        <v>436.49815043156599</v>
      </c>
      <c r="AM278" s="41">
        <f>'6. Poistot'!AB278</f>
        <v>433.30491322314055</v>
      </c>
      <c r="AN278" s="41">
        <f>'6. Poistot'!AC278</f>
        <v>412.24584795321641</v>
      </c>
      <c r="AO278" s="41">
        <f>'6. Poistot'!AD278</f>
        <v>401.52309987029832</v>
      </c>
      <c r="AP278" s="41">
        <f>'6. Poistot'!AE278</f>
        <v>387.83734402852048</v>
      </c>
      <c r="AQ278" s="41">
        <f>'6. Poistot'!AF278</f>
        <v>387.1354780244676</v>
      </c>
      <c r="AR278" s="41">
        <f>'6. Poistot'!AG278</f>
        <v>367.16329346826126</v>
      </c>
      <c r="AS278" s="41">
        <f>'6. Poistot'!AH278</f>
        <v>384.67246149514017</v>
      </c>
      <c r="AT278" s="41">
        <f>'6. Poistot'!AI278</f>
        <v>402.14094890921939</v>
      </c>
      <c r="AV278" s="4">
        <f t="shared" si="80"/>
        <v>1</v>
      </c>
      <c r="AW278" s="4">
        <f t="shared" si="81"/>
        <v>1</v>
      </c>
      <c r="AX278" s="4">
        <f t="shared" si="82"/>
        <v>1</v>
      </c>
      <c r="AY278" s="4">
        <f t="shared" si="83"/>
        <v>1</v>
      </c>
      <c r="AZ278" s="4">
        <f t="shared" si="84"/>
        <v>1</v>
      </c>
      <c r="BA278" s="4">
        <f t="shared" si="85"/>
        <v>1</v>
      </c>
      <c r="BB278" s="4">
        <f t="shared" si="86"/>
        <v>1</v>
      </c>
      <c r="BC278" s="4">
        <f t="shared" si="87"/>
        <v>1</v>
      </c>
      <c r="BE278" s="405">
        <f t="shared" si="88"/>
        <v>-1</v>
      </c>
      <c r="BF278" s="405">
        <f t="shared" si="89"/>
        <v>0</v>
      </c>
      <c r="BG278" s="405">
        <f t="shared" si="90"/>
        <v>0</v>
      </c>
      <c r="BH278" s="405">
        <f t="shared" si="91"/>
        <v>0</v>
      </c>
      <c r="BI278" s="405">
        <f t="shared" si="92"/>
        <v>-1</v>
      </c>
      <c r="BJ278" s="405">
        <f t="shared" si="93"/>
        <v>-1</v>
      </c>
      <c r="BK278" s="405">
        <f t="shared" si="94"/>
        <v>-1</v>
      </c>
      <c r="BL278" s="405">
        <f t="shared" si="95"/>
        <v>-1</v>
      </c>
      <c r="BM278" s="405">
        <f t="shared" si="96"/>
        <v>-1</v>
      </c>
      <c r="BN278" s="405">
        <f t="shared" si="96"/>
        <v>-1</v>
      </c>
    </row>
    <row r="279" spans="1:66" x14ac:dyDescent="0.2">
      <c r="A279" s="34">
        <v>858</v>
      </c>
      <c r="B279" s="88" t="s">
        <v>593</v>
      </c>
      <c r="C279" s="41" t="e">
        <f>'2. Toimintakate'!D279+'3. Verotulot'!G279+'4. Valtionosuudet'!#REF!+'5. Rahoitustuotot ja -kulut'!C279</f>
        <v>#REF!</v>
      </c>
      <c r="D279" s="41">
        <f>'2. Toimintakate'!E279+'4. Valtionosuudet'!H279+'3. Verotulot'!L279+'5. Rahoitustuotot ja -kulut'!D279</f>
        <v>15389</v>
      </c>
      <c r="E279" s="41">
        <f>'2. Toimintakate'!F279+'4. Valtionosuudet'!N279+'3. Verotulot'!Q279+'5. Rahoitustuotot ja -kulut'!E279</f>
        <v>18927</v>
      </c>
      <c r="F279" s="41">
        <f>'2. Toimintakate'!G279+'4. Valtionosuudet'!T279+'3. Verotulot'!V279+'5. Rahoitustuotot ja -kulut'!F279</f>
        <v>11725</v>
      </c>
      <c r="G279" s="41">
        <f>'2. Toimintakate'!H279+'3. Verotulot'!AA279+'4. Valtionosuudet'!Z279+'5. Rahoitustuotot ja -kulut'!G279</f>
        <v>5455</v>
      </c>
      <c r="H279" s="41">
        <f>Käyttökate!H279+'5. Rahoitustuotot ja -kulut'!H279</f>
        <v>21589.730533962473</v>
      </c>
      <c r="I279" s="41">
        <f>Käyttökate!I279+'5. Rahoitustuotot ja -kulut'!I279</f>
        <v>29651.433407817251</v>
      </c>
      <c r="J279" s="41">
        <f>Käyttökate!J279+'5. Rahoitustuotot ja -kulut'!J279</f>
        <v>26021.358758431943</v>
      </c>
      <c r="K279" s="41">
        <f>Käyttökate!K279+'5. Rahoitustuotot ja -kulut'!K279</f>
        <v>37973.858205006909</v>
      </c>
      <c r="L279" s="41">
        <f>Käyttökate!L279+'5. Rahoitustuotot ja -kulut'!L279</f>
        <v>26525.224056706073</v>
      </c>
      <c r="M279" s="41">
        <f>Käyttökate!M279+'5. Rahoitustuotot ja -kulut'!M279</f>
        <v>20807.707405942438</v>
      </c>
      <c r="N279" s="41">
        <f>Käyttökate!N279+'5. Rahoitustuotot ja -kulut'!N279</f>
        <v>18813.853579977313</v>
      </c>
      <c r="O279" s="41">
        <f>Käyttökate!O279+'5. Rahoitustuotot ja -kulut'!O279</f>
        <v>18618.080915284303</v>
      </c>
      <c r="P279" s="41">
        <f>Käyttökate!P279+'5. Rahoitustuotot ja -kulut'!P279</f>
        <v>19710.055383045197</v>
      </c>
      <c r="T279" s="34">
        <v>858</v>
      </c>
      <c r="U279" s="88" t="s">
        <v>593</v>
      </c>
      <c r="V279" s="41" t="e">
        <f>C279/'1. Väestöennuste'!E279*1000</f>
        <v>#REF!</v>
      </c>
      <c r="W279" s="41">
        <f>D279/'1. Väestöennuste'!F279*1000</f>
        <v>398.80273660205245</v>
      </c>
      <c r="X279" s="41">
        <f>E279/'1. Väestöennuste'!G279*1000</f>
        <v>489.7531439217513</v>
      </c>
      <c r="Y279" s="41">
        <f>F279/'1. Väestöennuste'!H279*1000</f>
        <v>303.25367266708048</v>
      </c>
      <c r="Z279" s="41">
        <f>G279/'1. Väestöennuste'!I279*1000</f>
        <v>141.32490479027953</v>
      </c>
      <c r="AA279" s="41">
        <f>H279/'1. Väestöennuste'!J279*1000</f>
        <v>556.68026026770679</v>
      </c>
      <c r="AB279" s="41">
        <f>I279/'1. Väestöennuste'!K279*1000</f>
        <v>746.5490056855142</v>
      </c>
      <c r="AC279" s="41">
        <f>J279/'1. Väestöennuste'!L279*1000</f>
        <v>644.34822599128222</v>
      </c>
      <c r="AD279" s="41">
        <f>K279/'1. Väestöennuste'!M279*1000</f>
        <v>918.61866091748288</v>
      </c>
      <c r="AE279" s="41">
        <f>L279/'1. Väestöennuste'!N279*1000</f>
        <v>675.75023709540858</v>
      </c>
      <c r="AF279" s="41">
        <f>M279/'1. Väestöennuste'!O279*1000</f>
        <v>528.66453431089303</v>
      </c>
      <c r="AG279" s="41">
        <f>N279/'1. Väestöennuste'!P279*1000</f>
        <v>476.7225029767468</v>
      </c>
      <c r="AH279" s="41">
        <f>O279/'1. Väestöennuste'!Q279*1000</f>
        <v>470.51000544059394</v>
      </c>
      <c r="AI279" s="41">
        <f>P279/'1. Väestöennuste'!R279*1000</f>
        <v>496.90050378271559</v>
      </c>
      <c r="AK279" s="41">
        <f>'6. Poistot'!Z279</f>
        <v>657.65952485815694</v>
      </c>
      <c r="AL279" s="41">
        <f>'6. Poistot'!AA279</f>
        <v>430.36897609777481</v>
      </c>
      <c r="AM279" s="41">
        <f>'6. Poistot'!AB279</f>
        <v>476.83568986353799</v>
      </c>
      <c r="AN279" s="41">
        <f>'6. Poistot'!AC279</f>
        <v>485.39304873217117</v>
      </c>
      <c r="AO279" s="41">
        <f>'6. Poistot'!AD279</f>
        <v>584.58852581160193</v>
      </c>
      <c r="AP279" s="41">
        <f>'6. Poistot'!AE279</f>
        <v>567.4343617048379</v>
      </c>
      <c r="AQ279" s="41">
        <f>'6. Poistot'!AF279</f>
        <v>596.4074290505348</v>
      </c>
      <c r="AR279" s="41">
        <f>'6. Poistot'!AG279</f>
        <v>644.79918915494738</v>
      </c>
      <c r="AS279" s="41">
        <f>'6. Poistot'!AH279</f>
        <v>663.83830096115173</v>
      </c>
      <c r="AT279" s="41">
        <f>'6. Poistot'!AI279</f>
        <v>682.93155695218934</v>
      </c>
      <c r="AV279" s="4">
        <f t="shared" si="80"/>
        <v>0</v>
      </c>
      <c r="AW279" s="4">
        <f t="shared" si="81"/>
        <v>0</v>
      </c>
      <c r="AX279" s="4">
        <f t="shared" si="82"/>
        <v>0</v>
      </c>
      <c r="AY279" s="4">
        <f t="shared" si="83"/>
        <v>0</v>
      </c>
      <c r="AZ279" s="4">
        <f t="shared" si="84"/>
        <v>1</v>
      </c>
      <c r="BA279" s="4">
        <f t="shared" si="85"/>
        <v>1</v>
      </c>
      <c r="BB279" s="4">
        <f t="shared" si="86"/>
        <v>1</v>
      </c>
      <c r="BC279" s="4">
        <f t="shared" si="87"/>
        <v>1</v>
      </c>
      <c r="BE279" s="405">
        <f t="shared" si="88"/>
        <v>0</v>
      </c>
      <c r="BF279" s="405">
        <f t="shared" si="89"/>
        <v>0</v>
      </c>
      <c r="BG279" s="405">
        <f t="shared" si="90"/>
        <v>0</v>
      </c>
      <c r="BH279" s="405">
        <f t="shared" si="91"/>
        <v>0</v>
      </c>
      <c r="BI279" s="405">
        <f t="shared" si="92"/>
        <v>0</v>
      </c>
      <c r="BJ279" s="405">
        <f t="shared" si="93"/>
        <v>0</v>
      </c>
      <c r="BK279" s="405">
        <f t="shared" si="94"/>
        <v>0</v>
      </c>
      <c r="BL279" s="405">
        <f t="shared" si="95"/>
        <v>0</v>
      </c>
      <c r="BM279" s="405">
        <f t="shared" si="96"/>
        <v>0</v>
      </c>
      <c r="BN279" s="405">
        <f t="shared" si="96"/>
        <v>0</v>
      </c>
    </row>
    <row r="280" spans="1:66" x14ac:dyDescent="0.2">
      <c r="A280" s="34">
        <v>859</v>
      </c>
      <c r="B280" s="88" t="s">
        <v>594</v>
      </c>
      <c r="C280" s="41" t="e">
        <f>'2. Toimintakate'!D280+'3. Verotulot'!G280+'4. Valtionosuudet'!#REF!+'5. Rahoitustuotot ja -kulut'!C280</f>
        <v>#REF!</v>
      </c>
      <c r="D280" s="41">
        <f>'2. Toimintakate'!E280+'4. Valtionosuudet'!H280+'3. Verotulot'!L280+'5. Rahoitustuotot ja -kulut'!D280</f>
        <v>1001</v>
      </c>
      <c r="E280" s="41">
        <f>'2. Toimintakate'!F280+'4. Valtionosuudet'!N280+'3. Verotulot'!Q280+'5. Rahoitustuotot ja -kulut'!E280</f>
        <v>1360</v>
      </c>
      <c r="F280" s="41">
        <f>'2. Toimintakate'!G280+'4. Valtionosuudet'!T280+'3. Verotulot'!V280+'5. Rahoitustuotot ja -kulut'!F280</f>
        <v>-288</v>
      </c>
      <c r="G280" s="41">
        <f>'2. Toimintakate'!H280+'3. Verotulot'!AA280+'4. Valtionosuudet'!Z280+'5. Rahoitustuotot ja -kulut'!G280</f>
        <v>1926</v>
      </c>
      <c r="H280" s="41">
        <f>Käyttökate!H280+'5. Rahoitustuotot ja -kulut'!H280</f>
        <v>3240.8760832433727</v>
      </c>
      <c r="I280" s="41">
        <f>Käyttökate!I280+'5. Rahoitustuotot ja -kulut'!I280</f>
        <v>2295.9976899385119</v>
      </c>
      <c r="J280" s="41">
        <f>Käyttökate!J280+'5. Rahoitustuotot ja -kulut'!J280</f>
        <v>2194.1763400167056</v>
      </c>
      <c r="K280" s="41">
        <f>Käyttökate!K280+'5. Rahoitustuotot ja -kulut'!K280</f>
        <v>2755.4268289749893</v>
      </c>
      <c r="L280" s="41">
        <f>Käyttökate!L280+'5. Rahoitustuotot ja -kulut'!L280</f>
        <v>2086.333659261265</v>
      </c>
      <c r="M280" s="41">
        <f>Käyttökate!M280+'5. Rahoitustuotot ja -kulut'!M280</f>
        <v>1142.5472021361984</v>
      </c>
      <c r="N280" s="41">
        <f>Käyttökate!N280+'5. Rahoitustuotot ja -kulut'!N280</f>
        <v>1280.9609721686975</v>
      </c>
      <c r="O280" s="41">
        <f>Käyttökate!O280+'5. Rahoitustuotot ja -kulut'!O280</f>
        <v>1361.8623014100672</v>
      </c>
      <c r="P280" s="41">
        <f>Käyttökate!P280+'5. Rahoitustuotot ja -kulut'!P280</f>
        <v>1776.8408098231473</v>
      </c>
      <c r="T280" s="34">
        <v>859</v>
      </c>
      <c r="U280" s="88" t="s">
        <v>594</v>
      </c>
      <c r="V280" s="41" t="e">
        <f>C280/'1. Väestöennuste'!E280*1000</f>
        <v>#REF!</v>
      </c>
      <c r="W280" s="41">
        <f>D280/'1. Väestöennuste'!F280*1000</f>
        <v>148.29629629629628</v>
      </c>
      <c r="X280" s="41">
        <f>E280/'1. Väestöennuste'!G280*1000</f>
        <v>202.08023774145616</v>
      </c>
      <c r="Y280" s="41">
        <f>F280/'1. Väestöennuste'!H280*1000</f>
        <v>-42.616158626812663</v>
      </c>
      <c r="Z280" s="41">
        <f>G280/'1. Väestöennuste'!I280*1000</f>
        <v>290.19135151423836</v>
      </c>
      <c r="AA280" s="41">
        <f>H280/'1. Väestöennuste'!J280*1000</f>
        <v>490.81873137109994</v>
      </c>
      <c r="AB280" s="41">
        <f>I280/'1. Väestöennuste'!K280*1000</f>
        <v>348.24779158782223</v>
      </c>
      <c r="AC280" s="41">
        <f>J280/'1. Väestöennuste'!L280*1000</f>
        <v>334.37615666210081</v>
      </c>
      <c r="AD280" s="41">
        <f>K280/'1. Väestöennuste'!M280*1000</f>
        <v>422.28763662451945</v>
      </c>
      <c r="AE280" s="41">
        <f>L280/'1. Väestöennuste'!N280*1000</f>
        <v>322.31324876583733</v>
      </c>
      <c r="AF280" s="41">
        <f>M280/'1. Väestöennuste'!O280*1000</f>
        <v>177.69007809272136</v>
      </c>
      <c r="AG280" s="41">
        <f>N280/'1. Väestöennuste'!P280*1000</f>
        <v>200.68321669570696</v>
      </c>
      <c r="AH280" s="41">
        <f>O280/'1. Väestöennuste'!Q280*1000</f>
        <v>214.90647016097003</v>
      </c>
      <c r="AI280" s="41">
        <f>P280/'1. Väestöennuste'!R280*1000</f>
        <v>282.57646466653108</v>
      </c>
      <c r="AK280" s="41">
        <f>'6. Poistot'!Z280</f>
        <v>302.69700165737532</v>
      </c>
      <c r="AL280" s="41">
        <f>'6. Poistot'!AA280</f>
        <v>308.3446918067545</v>
      </c>
      <c r="AM280" s="41">
        <f>'6. Poistot'!AB280</f>
        <v>321.77669649628393</v>
      </c>
      <c r="AN280" s="41">
        <f>'6. Poistot'!AC280</f>
        <v>304.27750380981405</v>
      </c>
      <c r="AO280" s="41">
        <f>'6. Poistot'!AD280</f>
        <v>323.85315402298852</v>
      </c>
      <c r="AP280" s="41">
        <f>'6. Poistot'!AE280</f>
        <v>386.41464545033216</v>
      </c>
      <c r="AQ280" s="41">
        <f>'6. Poistot'!AF280</f>
        <v>451.01088646967344</v>
      </c>
      <c r="AR280" s="41">
        <f>'6. Poistot'!AG280</f>
        <v>501.33166222779255</v>
      </c>
      <c r="AS280" s="41">
        <f>'6. Poistot'!AH280</f>
        <v>521.26436640254212</v>
      </c>
      <c r="AT280" s="41">
        <f>'6. Poistot'!AI280</f>
        <v>541.74691154354628</v>
      </c>
      <c r="AV280" s="4">
        <f t="shared" si="80"/>
        <v>0</v>
      </c>
      <c r="AW280" s="4">
        <f t="shared" si="81"/>
        <v>0</v>
      </c>
      <c r="AX280" s="4">
        <f t="shared" si="82"/>
        <v>0</v>
      </c>
      <c r="AY280" s="4">
        <f t="shared" si="83"/>
        <v>1</v>
      </c>
      <c r="AZ280" s="4">
        <f t="shared" si="84"/>
        <v>1</v>
      </c>
      <c r="BA280" s="4">
        <f t="shared" si="85"/>
        <v>1</v>
      </c>
      <c r="BB280" s="4">
        <f t="shared" si="86"/>
        <v>1</v>
      </c>
      <c r="BC280" s="4">
        <f t="shared" si="87"/>
        <v>1</v>
      </c>
      <c r="BE280" s="405">
        <f t="shared" si="88"/>
        <v>0</v>
      </c>
      <c r="BF280" s="405">
        <f t="shared" si="89"/>
        <v>0</v>
      </c>
      <c r="BG280" s="405">
        <f t="shared" si="90"/>
        <v>0</v>
      </c>
      <c r="BH280" s="405">
        <f t="shared" si="91"/>
        <v>0</v>
      </c>
      <c r="BI280" s="405">
        <f t="shared" si="92"/>
        <v>0</v>
      </c>
      <c r="BJ280" s="405">
        <f t="shared" si="93"/>
        <v>0</v>
      </c>
      <c r="BK280" s="405">
        <f t="shared" si="94"/>
        <v>0</v>
      </c>
      <c r="BL280" s="405">
        <f t="shared" si="95"/>
        <v>0</v>
      </c>
      <c r="BM280" s="405">
        <f t="shared" si="96"/>
        <v>0</v>
      </c>
      <c r="BN280" s="405">
        <f t="shared" si="96"/>
        <v>0</v>
      </c>
    </row>
    <row r="281" spans="1:66" x14ac:dyDescent="0.2">
      <c r="A281" s="34">
        <v>886</v>
      </c>
      <c r="B281" s="88" t="s">
        <v>595</v>
      </c>
      <c r="C281" s="41" t="e">
        <f>'2. Toimintakate'!D281+'3. Verotulot'!G281+'4. Valtionosuudet'!#REF!+'5. Rahoitustuotot ja -kulut'!C281</f>
        <v>#REF!</v>
      </c>
      <c r="D281" s="41">
        <f>'2. Toimintakate'!E281+'4. Valtionosuudet'!H281+'3. Verotulot'!L281+'5. Rahoitustuotot ja -kulut'!D281</f>
        <v>1327</v>
      </c>
      <c r="E281" s="41">
        <f>'2. Toimintakate'!F281+'4. Valtionosuudet'!N281+'3. Verotulot'!Q281+'5. Rahoitustuotot ja -kulut'!E281</f>
        <v>2470</v>
      </c>
      <c r="F281" s="41">
        <f>'2. Toimintakate'!G281+'4. Valtionosuudet'!T281+'3. Verotulot'!V281+'5. Rahoitustuotot ja -kulut'!F281</f>
        <v>2536</v>
      </c>
      <c r="G281" s="41">
        <f>'2. Toimintakate'!H281+'3. Verotulot'!AA281+'4. Valtionosuudet'!Z281+'5. Rahoitustuotot ja -kulut'!G281</f>
        <v>2654</v>
      </c>
      <c r="H281" s="41">
        <f>Käyttökate!H281+'5. Rahoitustuotot ja -kulut'!H281</f>
        <v>7243.7310143490431</v>
      </c>
      <c r="I281" s="41">
        <f>Käyttökate!I281+'5. Rahoitustuotot ja -kulut'!I281</f>
        <v>3941.7102168678139</v>
      </c>
      <c r="J281" s="41">
        <f>Käyttökate!J281+'5. Rahoitustuotot ja -kulut'!J281</f>
        <v>3667.5428846125978</v>
      </c>
      <c r="K281" s="41">
        <f>Käyttökate!K281+'5. Rahoitustuotot ja -kulut'!K281</f>
        <v>8297.7717041203305</v>
      </c>
      <c r="L281" s="41">
        <f>Käyttökate!L281+'5. Rahoitustuotot ja -kulut'!L281</f>
        <v>2286.0916399639191</v>
      </c>
      <c r="M281" s="41">
        <f>Käyttökate!M281+'5. Rahoitustuotot ja -kulut'!M281</f>
        <v>3314.7394571792138</v>
      </c>
      <c r="N281" s="41">
        <f>Käyttökate!N281+'5. Rahoitustuotot ja -kulut'!N281</f>
        <v>3867.1044907934393</v>
      </c>
      <c r="O281" s="41">
        <f>Käyttökate!O281+'5. Rahoitustuotot ja -kulut'!O281</f>
        <v>4063.7709844029173</v>
      </c>
      <c r="P281" s="41">
        <f>Käyttökate!P281+'5. Rahoitustuotot ja -kulut'!P281</f>
        <v>5456.4512352255488</v>
      </c>
      <c r="T281" s="34">
        <v>886</v>
      </c>
      <c r="U281" s="88" t="s">
        <v>595</v>
      </c>
      <c r="V281" s="41" t="e">
        <f>C281/'1. Väestöennuste'!E281*1000</f>
        <v>#REF!</v>
      </c>
      <c r="W281" s="41">
        <f>D281/'1. Väestöennuste'!F281*1000</f>
        <v>99.684495192307693</v>
      </c>
      <c r="X281" s="41">
        <f>E281/'1. Väestöennuste'!G281*1000</f>
        <v>186.59817179119136</v>
      </c>
      <c r="Y281" s="41">
        <f>F281/'1. Väestöennuste'!H281*1000</f>
        <v>194.76230704246984</v>
      </c>
      <c r="Z281" s="41">
        <f>G281/'1. Väestöennuste'!I281*1000</f>
        <v>206.19998446119183</v>
      </c>
      <c r="AA281" s="41">
        <f>H281/'1. Väestöennuste'!J281*1000</f>
        <v>568.80494812320717</v>
      </c>
      <c r="AB281" s="41">
        <f>I281/'1. Väestöennuste'!K281*1000</f>
        <v>311.13033521728738</v>
      </c>
      <c r="AC281" s="41">
        <f>J281/'1. Väestöennuste'!L281*1000</f>
        <v>291.097935122835</v>
      </c>
      <c r="AD281" s="41">
        <f>K281/'1. Väestöennuste'!M281*1000</f>
        <v>662.07386133570026</v>
      </c>
      <c r="AE281" s="41">
        <f>L281/'1. Väestöennuste'!N281*1000</f>
        <v>186.10319439628125</v>
      </c>
      <c r="AF281" s="41">
        <f>M281/'1. Väestöennuste'!O281*1000</f>
        <v>272.43687492226627</v>
      </c>
      <c r="AG281" s="41">
        <f>N281/'1. Väestöennuste'!P281*1000</f>
        <v>320.97480833278883</v>
      </c>
      <c r="AH281" s="41">
        <f>O281/'1. Väestöennuste'!Q281*1000</f>
        <v>340.7202971747227</v>
      </c>
      <c r="AI281" s="41">
        <f>P281/'1. Väestöennuste'!R281*1000</f>
        <v>462.37193756677812</v>
      </c>
      <c r="AK281" s="41">
        <f>'6. Poistot'!Z281</f>
        <v>229.04203247610909</v>
      </c>
      <c r="AL281" s="41">
        <f>'6. Poistot'!AA281</f>
        <v>240.04711425206125</v>
      </c>
      <c r="AM281" s="41">
        <f>'6. Poistot'!AB281</f>
        <v>254.59965506354092</v>
      </c>
      <c r="AN281" s="41">
        <f>'6. Poistot'!AC281</f>
        <v>244.13596714024922</v>
      </c>
      <c r="AO281" s="41">
        <f>'6. Poistot'!AD281</f>
        <v>269.08072927471471</v>
      </c>
      <c r="AP281" s="41">
        <f>'6. Poistot'!AE281</f>
        <v>252.88362585477043</v>
      </c>
      <c r="AQ281" s="41">
        <f>'6. Poistot'!AF281</f>
        <v>254.99379880003286</v>
      </c>
      <c r="AR281" s="41">
        <f>'6. Poistot'!AG281</f>
        <v>256.72369189907039</v>
      </c>
      <c r="AS281" s="41">
        <f>'6. Poistot'!AH281</f>
        <v>267.69573728554144</v>
      </c>
      <c r="AT281" s="41">
        <f>'6. Poistot'!AI281</f>
        <v>279.01085308103603</v>
      </c>
      <c r="AV281" s="4">
        <f t="shared" si="80"/>
        <v>0</v>
      </c>
      <c r="AW281" s="4">
        <f t="shared" si="81"/>
        <v>0</v>
      </c>
      <c r="AX281" s="4">
        <f t="shared" si="82"/>
        <v>0</v>
      </c>
      <c r="AY281" s="4">
        <f t="shared" si="83"/>
        <v>1</v>
      </c>
      <c r="AZ281" s="4">
        <f t="shared" si="84"/>
        <v>0</v>
      </c>
      <c r="BA281" s="4">
        <f t="shared" si="85"/>
        <v>0</v>
      </c>
      <c r="BB281" s="4">
        <f t="shared" si="86"/>
        <v>0</v>
      </c>
      <c r="BC281" s="4">
        <f t="shared" si="87"/>
        <v>0</v>
      </c>
      <c r="BE281" s="405">
        <f t="shared" si="88"/>
        <v>0</v>
      </c>
      <c r="BF281" s="405">
        <f t="shared" si="89"/>
        <v>0</v>
      </c>
      <c r="BG281" s="405">
        <f t="shared" si="90"/>
        <v>0</v>
      </c>
      <c r="BH281" s="405">
        <f t="shared" si="91"/>
        <v>0</v>
      </c>
      <c r="BI281" s="405">
        <f t="shared" si="92"/>
        <v>0</v>
      </c>
      <c r="BJ281" s="405">
        <f t="shared" si="93"/>
        <v>0</v>
      </c>
      <c r="BK281" s="405">
        <f t="shared" si="94"/>
        <v>0</v>
      </c>
      <c r="BL281" s="405">
        <f t="shared" si="95"/>
        <v>0</v>
      </c>
      <c r="BM281" s="405">
        <f t="shared" si="96"/>
        <v>0</v>
      </c>
      <c r="BN281" s="405">
        <f t="shared" si="96"/>
        <v>0</v>
      </c>
    </row>
    <row r="282" spans="1:66" x14ac:dyDescent="0.2">
      <c r="A282" s="34">
        <v>887</v>
      </c>
      <c r="B282" s="88" t="s">
        <v>596</v>
      </c>
      <c r="C282" s="41" t="e">
        <f>'2. Toimintakate'!D282+'3. Verotulot'!G282+'4. Valtionosuudet'!#REF!+'5. Rahoitustuotot ja -kulut'!C282</f>
        <v>#REF!</v>
      </c>
      <c r="D282" s="41">
        <f>'2. Toimintakate'!E282+'4. Valtionosuudet'!H282+'3. Verotulot'!L282+'5. Rahoitustuotot ja -kulut'!D282</f>
        <v>1392</v>
      </c>
      <c r="E282" s="41">
        <f>'2. Toimintakate'!F282+'4. Valtionosuudet'!N282+'3. Verotulot'!Q282+'5. Rahoitustuotot ja -kulut'!E282</f>
        <v>170</v>
      </c>
      <c r="F282" s="41">
        <f>'2. Toimintakate'!G282+'4. Valtionosuudet'!T282+'3. Verotulot'!V282+'5. Rahoitustuotot ja -kulut'!F282</f>
        <v>2111</v>
      </c>
      <c r="G282" s="41">
        <f>'2. Toimintakate'!H282+'3. Verotulot'!AA282+'4. Valtionosuudet'!Z282+'5. Rahoitustuotot ja -kulut'!G282</f>
        <v>348</v>
      </c>
      <c r="H282" s="41">
        <f>Käyttökate!H282+'5. Rahoitustuotot ja -kulut'!H282</f>
        <v>1436.1898579197532</v>
      </c>
      <c r="I282" s="41">
        <f>Käyttökate!I282+'5. Rahoitustuotot ja -kulut'!I282</f>
        <v>2013.893273876886</v>
      </c>
      <c r="J282" s="41">
        <f>Käyttökate!J282+'5. Rahoitustuotot ja -kulut'!J282</f>
        <v>674.27633893254358</v>
      </c>
      <c r="K282" s="41">
        <f>Käyttökate!K282+'5. Rahoitustuotot ja -kulut'!K282</f>
        <v>952.23147570996048</v>
      </c>
      <c r="L282" s="41">
        <f>Käyttökate!L282+'5. Rahoitustuotot ja -kulut'!L282</f>
        <v>1134.0577829791225</v>
      </c>
      <c r="M282" s="41">
        <f>Käyttökate!M282+'5. Rahoitustuotot ja -kulut'!M282</f>
        <v>218.67929961678354</v>
      </c>
      <c r="N282" s="41">
        <f>Käyttökate!N282+'5. Rahoitustuotot ja -kulut'!N282</f>
        <v>264.17899404847344</v>
      </c>
      <c r="O282" s="41">
        <f>Käyttökate!O282+'5. Rahoitustuotot ja -kulut'!O282</f>
        <v>211.43038591445728</v>
      </c>
      <c r="P282" s="41">
        <f>Käyttökate!P282+'5. Rahoitustuotot ja -kulut'!P282</f>
        <v>629.80593471407894</v>
      </c>
      <c r="T282" s="34">
        <v>887</v>
      </c>
      <c r="U282" s="88" t="s">
        <v>596</v>
      </c>
      <c r="V282" s="41" t="e">
        <f>C282/'1. Väestöennuste'!E282*1000</f>
        <v>#REF!</v>
      </c>
      <c r="W282" s="41">
        <f>D282/'1. Väestöennuste'!F282*1000</f>
        <v>286.53766982297242</v>
      </c>
      <c r="X282" s="41">
        <f>E282/'1. Väestöennuste'!G282*1000</f>
        <v>35.203975978463447</v>
      </c>
      <c r="Y282" s="41">
        <f>F282/'1. Väestöennuste'!H282*1000</f>
        <v>440.52587646076796</v>
      </c>
      <c r="Z282" s="41">
        <f>G282/'1. Väestöennuste'!I282*1000</f>
        <v>74.232081911262796</v>
      </c>
      <c r="AA282" s="41">
        <f>H282/'1. Väestöennuste'!J282*1000</f>
        <v>309.25707534878404</v>
      </c>
      <c r="AB282" s="41">
        <f>I282/'1. Väestöennuste'!K282*1000</f>
        <v>431.33289224178327</v>
      </c>
      <c r="AC282" s="41">
        <f>J282/'1. Väestöennuste'!L282*1000</f>
        <v>147.57634907694103</v>
      </c>
      <c r="AD282" s="41">
        <f>K282/'1. Väestöennuste'!M282*1000</f>
        <v>208.45697804508768</v>
      </c>
      <c r="AE282" s="41">
        <f>L282/'1. Väestöennuste'!N282*1000</f>
        <v>255.53352478123537</v>
      </c>
      <c r="AF282" s="41">
        <f>M282/'1. Väestöennuste'!O282*1000</f>
        <v>49.813052304506499</v>
      </c>
      <c r="AG282" s="41">
        <f>N282/'1. Väestöennuste'!P282*1000</f>
        <v>60.786699044747685</v>
      </c>
      <c r="AH282" s="41">
        <f>O282/'1. Väestöennuste'!Q282*1000</f>
        <v>49.10134368659017</v>
      </c>
      <c r="AI282" s="41">
        <f>P282/'1. Väestöennuste'!R282*1000</f>
        <v>147.63383373513335</v>
      </c>
      <c r="AK282" s="41">
        <f>'6. Poistot'!Z282</f>
        <v>303.5409556313993</v>
      </c>
      <c r="AL282" s="41">
        <f>'6. Poistot'!AA282</f>
        <v>294.57364341085275</v>
      </c>
      <c r="AM282" s="41">
        <f>'6. Poistot'!AB282</f>
        <v>354.69905333047762</v>
      </c>
      <c r="AN282" s="41">
        <f>'6. Poistot'!AC282</f>
        <v>301.70212081418254</v>
      </c>
      <c r="AO282" s="41">
        <f>'6. Poistot'!AD282</f>
        <v>281.93352451838882</v>
      </c>
      <c r="AP282" s="41">
        <f>'6. Poistot'!AE282</f>
        <v>270.67327625056333</v>
      </c>
      <c r="AQ282" s="41">
        <f>'6. Poistot'!AF282</f>
        <v>273.63280182232347</v>
      </c>
      <c r="AR282" s="41">
        <f>'6. Poistot'!AG282</f>
        <v>276.40312931431203</v>
      </c>
      <c r="AS282" s="41">
        <f>'6. Poistot'!AH282</f>
        <v>287.97210336806768</v>
      </c>
      <c r="AT282" s="41">
        <f>'6. Poistot'!AI282</f>
        <v>299.75802958410657</v>
      </c>
      <c r="AV282" s="4">
        <f t="shared" si="80"/>
        <v>0</v>
      </c>
      <c r="AW282" s="4">
        <f t="shared" si="81"/>
        <v>1</v>
      </c>
      <c r="AX282" s="4">
        <f t="shared" si="82"/>
        <v>1</v>
      </c>
      <c r="AY282" s="4">
        <f t="shared" si="83"/>
        <v>1</v>
      </c>
      <c r="AZ282" s="4">
        <f t="shared" si="84"/>
        <v>1</v>
      </c>
      <c r="BA282" s="4">
        <f t="shared" si="85"/>
        <v>1</v>
      </c>
      <c r="BB282" s="4">
        <f t="shared" si="86"/>
        <v>1</v>
      </c>
      <c r="BC282" s="4">
        <f t="shared" si="87"/>
        <v>1</v>
      </c>
      <c r="BE282" s="405">
        <f t="shared" si="88"/>
        <v>0</v>
      </c>
      <c r="BF282" s="405">
        <f t="shared" si="89"/>
        <v>0</v>
      </c>
      <c r="BG282" s="405">
        <f t="shared" si="90"/>
        <v>0</v>
      </c>
      <c r="BH282" s="405">
        <f t="shared" si="91"/>
        <v>0</v>
      </c>
      <c r="BI282" s="405">
        <f t="shared" si="92"/>
        <v>0</v>
      </c>
      <c r="BJ282" s="405">
        <f t="shared" si="93"/>
        <v>0</v>
      </c>
      <c r="BK282" s="405">
        <f t="shared" si="94"/>
        <v>0</v>
      </c>
      <c r="BL282" s="405">
        <f t="shared" si="95"/>
        <v>0</v>
      </c>
      <c r="BM282" s="405">
        <f t="shared" si="96"/>
        <v>0</v>
      </c>
      <c r="BN282" s="405">
        <f t="shared" si="96"/>
        <v>0</v>
      </c>
    </row>
    <row r="283" spans="1:66" x14ac:dyDescent="0.2">
      <c r="A283" s="34">
        <v>889</v>
      </c>
      <c r="B283" s="88" t="s">
        <v>597</v>
      </c>
      <c r="C283" s="41" t="e">
        <f>'2. Toimintakate'!D283+'3. Verotulot'!G283+'4. Valtionosuudet'!#REF!+'5. Rahoitustuotot ja -kulut'!C283</f>
        <v>#REF!</v>
      </c>
      <c r="D283" s="41">
        <f>'2. Toimintakate'!E283+'4. Valtionosuudet'!H283+'3. Verotulot'!L283+'5. Rahoitustuotot ja -kulut'!D283</f>
        <v>2482</v>
      </c>
      <c r="E283" s="41">
        <f>'2. Toimintakate'!F283+'4. Valtionosuudet'!N283+'3. Verotulot'!Q283+'5. Rahoitustuotot ja -kulut'!E283</f>
        <v>2500</v>
      </c>
      <c r="F283" s="41">
        <f>'2. Toimintakate'!G283+'4. Valtionosuudet'!T283+'3. Verotulot'!V283+'5. Rahoitustuotot ja -kulut'!F283</f>
        <v>1567</v>
      </c>
      <c r="G283" s="41">
        <f>'2. Toimintakate'!H283+'3. Verotulot'!AA283+'4. Valtionosuudet'!Z283+'5. Rahoitustuotot ja -kulut'!G283</f>
        <v>1321</v>
      </c>
      <c r="H283" s="41">
        <f>Käyttökate!H283+'5. Rahoitustuotot ja -kulut'!H283</f>
        <v>1846.1989130087568</v>
      </c>
      <c r="I283" s="41">
        <f>Käyttökate!I283+'5. Rahoitustuotot ja -kulut'!I283</f>
        <v>2281.2480659276339</v>
      </c>
      <c r="J283" s="41">
        <f>Käyttökate!J283+'5. Rahoitustuotot ja -kulut'!J283</f>
        <v>2759.6419687324196</v>
      </c>
      <c r="K283" s="41">
        <f>Käyttökate!K283+'5. Rahoitustuotot ja -kulut'!K283</f>
        <v>2149.9130978051849</v>
      </c>
      <c r="L283" s="41">
        <f>Käyttökate!L283+'5. Rahoitustuotot ja -kulut'!L283</f>
        <v>972.12019343945019</v>
      </c>
      <c r="M283" s="41">
        <f>Käyttökate!M283+'5. Rahoitustuotot ja -kulut'!M283</f>
        <v>665.27003308697226</v>
      </c>
      <c r="N283" s="41">
        <f>Käyttökate!N283+'5. Rahoitustuotot ja -kulut'!N283</f>
        <v>406.27550408500639</v>
      </c>
      <c r="O283" s="41">
        <f>Käyttökate!O283+'5. Rahoitustuotot ja -kulut'!O283</f>
        <v>209.97564266145332</v>
      </c>
      <c r="P283" s="41">
        <f>Käyttökate!P283+'5. Rahoitustuotot ja -kulut'!P283</f>
        <v>432.43209969097961</v>
      </c>
      <c r="T283" s="34">
        <v>889</v>
      </c>
      <c r="U283" s="88" t="s">
        <v>597</v>
      </c>
      <c r="V283" s="41" t="e">
        <f>C283/'1. Väestöennuste'!E283*1000</f>
        <v>#REF!</v>
      </c>
      <c r="W283" s="41">
        <f>D283/'1. Väestöennuste'!F283*1000</f>
        <v>878.89518413597739</v>
      </c>
      <c r="X283" s="41">
        <f>E283/'1. Väestöennuste'!G283*1000</f>
        <v>903.17919075144505</v>
      </c>
      <c r="Y283" s="41">
        <f>F283/'1. Väestöennuste'!H283*1000</f>
        <v>579.94078460399703</v>
      </c>
      <c r="Z283" s="41">
        <f>G283/'1. Väestöennuste'!I283*1000</f>
        <v>493.64723467862484</v>
      </c>
      <c r="AA283" s="41">
        <f>H283/'1. Väestöennuste'!J283*1000</f>
        <v>704.92512906023558</v>
      </c>
      <c r="AB283" s="41">
        <f>I283/'1. Väestöennuste'!K283*1000</f>
        <v>888.33647427088545</v>
      </c>
      <c r="AC283" s="41">
        <f>J283/'1. Väestöennuste'!L283*1000</f>
        <v>1093.7938837623542</v>
      </c>
      <c r="AD283" s="41">
        <f>K283/'1. Väestöennuste'!M283*1000</f>
        <v>863.07229939991362</v>
      </c>
      <c r="AE283" s="41">
        <f>L283/'1. Väestöennuste'!N283*1000</f>
        <v>399.55618308238803</v>
      </c>
      <c r="AF283" s="41">
        <f>M283/'1. Väestöennuste'!O283*1000</f>
        <v>277.54277558905812</v>
      </c>
      <c r="AG283" s="41">
        <f>N283/'1. Väestöennuste'!P283*1000</f>
        <v>171.93207959585544</v>
      </c>
      <c r="AH283" s="41">
        <f>O283/'1. Väestöennuste'!Q283*1000</f>
        <v>90.041013148136074</v>
      </c>
      <c r="AI283" s="41">
        <f>P283/'1. Väestöennuste'!R283*1000</f>
        <v>187.68754326865434</v>
      </c>
      <c r="AK283" s="41">
        <f>'6. Poistot'!Z283</f>
        <v>430.86696562032881</v>
      </c>
      <c r="AL283" s="41">
        <f>'6. Poistot'!AA283</f>
        <v>424.97136311569301</v>
      </c>
      <c r="AM283" s="41">
        <f>'6. Poistot'!AB283</f>
        <v>473.56192367601238</v>
      </c>
      <c r="AN283" s="41">
        <f>'6. Poistot'!AC283</f>
        <v>511.16725326991673</v>
      </c>
      <c r="AO283" s="41">
        <f>'6. Poistot'!AD283</f>
        <v>487.63341228422325</v>
      </c>
      <c r="AP283" s="41">
        <f>'6. Poistot'!AE283</f>
        <v>486.54459515002054</v>
      </c>
      <c r="AQ283" s="41">
        <f>'6. Poistot'!AF283</f>
        <v>529.31289111389231</v>
      </c>
      <c r="AR283" s="41">
        <f>'6. Poistot'!AG283</f>
        <v>568.55691917054594</v>
      </c>
      <c r="AS283" s="41">
        <f>'6. Poistot'!AH283</f>
        <v>594.70404313238691</v>
      </c>
      <c r="AT283" s="41">
        <f>'6. Poistot'!AI283</f>
        <v>620.74637897979699</v>
      </c>
      <c r="AV283" s="4">
        <f t="shared" si="80"/>
        <v>0</v>
      </c>
      <c r="AW283" s="4">
        <f t="shared" si="81"/>
        <v>0</v>
      </c>
      <c r="AX283" s="4">
        <f t="shared" si="82"/>
        <v>0</v>
      </c>
      <c r="AY283" s="4">
        <f t="shared" si="83"/>
        <v>1</v>
      </c>
      <c r="AZ283" s="4">
        <f t="shared" si="84"/>
        <v>1</v>
      </c>
      <c r="BA283" s="4">
        <f t="shared" si="85"/>
        <v>1</v>
      </c>
      <c r="BB283" s="4">
        <f t="shared" si="86"/>
        <v>1</v>
      </c>
      <c r="BC283" s="4">
        <f t="shared" si="87"/>
        <v>1</v>
      </c>
      <c r="BE283" s="405">
        <f t="shared" si="88"/>
        <v>0</v>
      </c>
      <c r="BF283" s="405">
        <f t="shared" si="89"/>
        <v>0</v>
      </c>
      <c r="BG283" s="405">
        <f t="shared" si="90"/>
        <v>0</v>
      </c>
      <c r="BH283" s="405">
        <f t="shared" si="91"/>
        <v>0</v>
      </c>
      <c r="BI283" s="405">
        <f t="shared" si="92"/>
        <v>0</v>
      </c>
      <c r="BJ283" s="405">
        <f t="shared" si="93"/>
        <v>0</v>
      </c>
      <c r="BK283" s="405">
        <f t="shared" si="94"/>
        <v>0</v>
      </c>
      <c r="BL283" s="405">
        <f t="shared" si="95"/>
        <v>0</v>
      </c>
      <c r="BM283" s="405">
        <f t="shared" si="96"/>
        <v>0</v>
      </c>
      <c r="BN283" s="405">
        <f t="shared" si="96"/>
        <v>0</v>
      </c>
    </row>
    <row r="284" spans="1:66" x14ac:dyDescent="0.2">
      <c r="A284" s="34">
        <v>890</v>
      </c>
      <c r="B284" s="88" t="s">
        <v>598</v>
      </c>
      <c r="C284" s="41" t="e">
        <f>'2. Toimintakate'!D284+'3. Verotulot'!G284+'4. Valtionosuudet'!#REF!+'5. Rahoitustuotot ja -kulut'!C284</f>
        <v>#REF!</v>
      </c>
      <c r="D284" s="41">
        <f>'2. Toimintakate'!E284+'4. Valtionosuudet'!H284+'3. Verotulot'!L284+'5. Rahoitustuotot ja -kulut'!D284</f>
        <v>1205</v>
      </c>
      <c r="E284" s="41">
        <f>'2. Toimintakate'!F284+'4. Valtionosuudet'!N284+'3. Verotulot'!Q284+'5. Rahoitustuotot ja -kulut'!E284</f>
        <v>1975</v>
      </c>
      <c r="F284" s="41">
        <f>'2. Toimintakate'!G284+'4. Valtionosuudet'!T284+'3. Verotulot'!V284+'5. Rahoitustuotot ja -kulut'!F284</f>
        <v>1283</v>
      </c>
      <c r="G284" s="41">
        <f>'2. Toimintakate'!H284+'3. Verotulot'!AA284+'4. Valtionosuudet'!Z284+'5. Rahoitustuotot ja -kulut'!G284</f>
        <v>958</v>
      </c>
      <c r="H284" s="41">
        <f>Käyttökate!H284+'5. Rahoitustuotot ja -kulut'!H284</f>
        <v>1250.5808521309164</v>
      </c>
      <c r="I284" s="41">
        <f>Käyttökate!I284+'5. Rahoitustuotot ja -kulut'!I284</f>
        <v>139.36811704944898</v>
      </c>
      <c r="J284" s="41">
        <f>Käyttökate!J284+'5. Rahoitustuotot ja -kulut'!J284</f>
        <v>953.90814557347403</v>
      </c>
      <c r="K284" s="41">
        <f>Käyttökate!K284+'5. Rahoitustuotot ja -kulut'!K284</f>
        <v>1474.1799762152209</v>
      </c>
      <c r="L284" s="41">
        <f>Käyttökate!L284+'5. Rahoitustuotot ja -kulut'!L284</f>
        <v>917.73211112512251</v>
      </c>
      <c r="M284" s="41">
        <f>Käyttökate!M284+'5. Rahoitustuotot ja -kulut'!M284</f>
        <v>433.33433872220121</v>
      </c>
      <c r="N284" s="41">
        <f>Käyttökate!N284+'5. Rahoitustuotot ja -kulut'!N284</f>
        <v>293.07084276986114</v>
      </c>
      <c r="O284" s="41">
        <f>Käyttökate!O284+'5. Rahoitustuotot ja -kulut'!O284</f>
        <v>208.2869172734469</v>
      </c>
      <c r="P284" s="41">
        <f>Käyttökate!P284+'5. Rahoitustuotot ja -kulut'!P284</f>
        <v>246.32888439959481</v>
      </c>
      <c r="T284" s="34">
        <v>890</v>
      </c>
      <c r="U284" s="88" t="s">
        <v>598</v>
      </c>
      <c r="V284" s="41" t="e">
        <f>C284/'1. Väestöennuste'!E284*1000</f>
        <v>#REF!</v>
      </c>
      <c r="W284" s="41">
        <f>D284/'1. Väestöennuste'!F284*1000</f>
        <v>970.99113618049955</v>
      </c>
      <c r="X284" s="41">
        <f>E284/'1. Väestöennuste'!G284*1000</f>
        <v>1590.1771336553945</v>
      </c>
      <c r="Y284" s="41">
        <f>F284/'1. Väestöennuste'!H284*1000</f>
        <v>1041.396103896104</v>
      </c>
      <c r="Z284" s="41">
        <f>G284/'1. Väestöennuste'!I284*1000</f>
        <v>790.42904290429044</v>
      </c>
      <c r="AA284" s="41">
        <f>H284/'1. Väestöennuste'!J284*1000</f>
        <v>1025.9071797628519</v>
      </c>
      <c r="AB284" s="41">
        <f>I284/'1. Väestöennuste'!K284*1000</f>
        <v>118.51030361347703</v>
      </c>
      <c r="AC284" s="41">
        <f>J284/'1. Väestöennuste'!L284*1000</f>
        <v>808.39673353684236</v>
      </c>
      <c r="AD284" s="41">
        <f>K284/'1. Väestöennuste'!M284*1000</f>
        <v>1294.2756595392632</v>
      </c>
      <c r="AE284" s="41">
        <f>L284/'1. Väestöennuste'!N284*1000</f>
        <v>766.05351512948459</v>
      </c>
      <c r="AF284" s="41">
        <f>M284/'1. Väestöennuste'!O284*1000</f>
        <v>362.62287759180015</v>
      </c>
      <c r="AG284" s="41">
        <f>N284/'1. Väestöennuste'!P284*1000</f>
        <v>245.65871145839156</v>
      </c>
      <c r="AH284" s="41">
        <f>O284/'1. Väestöennuste'!Q284*1000</f>
        <v>174.73734670591185</v>
      </c>
      <c r="AI284" s="41">
        <f>P284/'1. Väestöennuste'!R284*1000</f>
        <v>206.65174865737819</v>
      </c>
      <c r="AK284" s="41">
        <f>'6. Poistot'!Z284</f>
        <v>536.30363036303629</v>
      </c>
      <c r="AL284" s="41">
        <f>'6. Poistot'!AA284</f>
        <v>529.12223133716168</v>
      </c>
      <c r="AM284" s="41">
        <f>'6. Poistot'!AB284</f>
        <v>648.47212585034003</v>
      </c>
      <c r="AN284" s="41">
        <f>'6. Poistot'!AC284</f>
        <v>577.77728813559327</v>
      </c>
      <c r="AO284" s="41">
        <f>'6. Poistot'!AD284</f>
        <v>686.46007023704999</v>
      </c>
      <c r="AP284" s="41">
        <f>'6. Poistot'!AE284</f>
        <v>601.00166944908187</v>
      </c>
      <c r="AQ284" s="41">
        <f>'6. Poistot'!AF284</f>
        <v>581.58995815899584</v>
      </c>
      <c r="AR284" s="41">
        <f>'6. Poistot'!AG284</f>
        <v>553.22715842414084</v>
      </c>
      <c r="AS284" s="41">
        <f>'6. Poistot'!AH284</f>
        <v>571.55686643490992</v>
      </c>
      <c r="AT284" s="41">
        <f>'6. Poistot'!AI284</f>
        <v>589.42245770203454</v>
      </c>
      <c r="AV284" s="4">
        <f t="shared" si="80"/>
        <v>1</v>
      </c>
      <c r="AW284" s="4">
        <f t="shared" si="81"/>
        <v>0</v>
      </c>
      <c r="AX284" s="4">
        <f t="shared" si="82"/>
        <v>0</v>
      </c>
      <c r="AY284" s="4">
        <f t="shared" si="83"/>
        <v>0</v>
      </c>
      <c r="AZ284" s="4">
        <f t="shared" si="84"/>
        <v>1</v>
      </c>
      <c r="BA284" s="4">
        <f t="shared" si="85"/>
        <v>1</v>
      </c>
      <c r="BB284" s="4">
        <f t="shared" si="86"/>
        <v>1</v>
      </c>
      <c r="BC284" s="4">
        <f t="shared" si="87"/>
        <v>1</v>
      </c>
      <c r="BE284" s="405">
        <f t="shared" si="88"/>
        <v>0</v>
      </c>
      <c r="BF284" s="405">
        <f t="shared" si="89"/>
        <v>0</v>
      </c>
      <c r="BG284" s="405">
        <f t="shared" si="90"/>
        <v>0</v>
      </c>
      <c r="BH284" s="405">
        <f t="shared" si="91"/>
        <v>0</v>
      </c>
      <c r="BI284" s="405">
        <f t="shared" si="92"/>
        <v>0</v>
      </c>
      <c r="BJ284" s="405">
        <f t="shared" si="93"/>
        <v>0</v>
      </c>
      <c r="BK284" s="405">
        <f t="shared" si="94"/>
        <v>0</v>
      </c>
      <c r="BL284" s="405">
        <f t="shared" si="95"/>
        <v>0</v>
      </c>
      <c r="BM284" s="405">
        <f t="shared" si="96"/>
        <v>0</v>
      </c>
      <c r="BN284" s="405">
        <f t="shared" si="96"/>
        <v>0</v>
      </c>
    </row>
    <row r="285" spans="1:66" x14ac:dyDescent="0.2">
      <c r="A285" s="34">
        <v>892</v>
      </c>
      <c r="B285" s="88" t="s">
        <v>599</v>
      </c>
      <c r="C285" s="41" t="e">
        <f>'2. Toimintakate'!D285+'3. Verotulot'!G285+'4. Valtionosuudet'!#REF!+'5. Rahoitustuotot ja -kulut'!C285</f>
        <v>#REF!</v>
      </c>
      <c r="D285" s="41">
        <f>'2. Toimintakate'!E285+'4. Valtionosuudet'!H285+'3. Verotulot'!L285+'5. Rahoitustuotot ja -kulut'!D285</f>
        <v>1287</v>
      </c>
      <c r="E285" s="41">
        <f>'2. Toimintakate'!F285+'4. Valtionosuudet'!N285+'3. Verotulot'!Q285+'5. Rahoitustuotot ja -kulut'!E285</f>
        <v>1606</v>
      </c>
      <c r="F285" s="41">
        <f>'2. Toimintakate'!G285+'4. Valtionosuudet'!T285+'3. Verotulot'!V285+'5. Rahoitustuotot ja -kulut'!F285</f>
        <v>-365</v>
      </c>
      <c r="G285" s="41">
        <f>'2. Toimintakate'!H285+'3. Verotulot'!AA285+'4. Valtionosuudet'!Z285+'5. Rahoitustuotot ja -kulut'!G285</f>
        <v>19</v>
      </c>
      <c r="H285" s="41">
        <f>Käyttökate!H285+'5. Rahoitustuotot ja -kulut'!H285</f>
        <v>2267.3828668450587</v>
      </c>
      <c r="I285" s="41">
        <f>Käyttökate!I285+'5. Rahoitustuotot ja -kulut'!I285</f>
        <v>2249.8188244102803</v>
      </c>
      <c r="J285" s="41">
        <f>Käyttökate!J285+'5. Rahoitustuotot ja -kulut'!J285</f>
        <v>573.24643833811683</v>
      </c>
      <c r="K285" s="41">
        <f>Käyttökate!K285+'5. Rahoitustuotot ja -kulut'!K285</f>
        <v>587.11960837141157</v>
      </c>
      <c r="L285" s="41">
        <f>Käyttökate!L285+'5. Rahoitustuotot ja -kulut'!L285</f>
        <v>895.63150181561559</v>
      </c>
      <c r="M285" s="41">
        <f>Käyttökate!M285+'5. Rahoitustuotot ja -kulut'!M285</f>
        <v>209.82065822558434</v>
      </c>
      <c r="N285" s="41">
        <f>Käyttökate!N285+'5. Rahoitustuotot ja -kulut'!N285</f>
        <v>185.49762639889286</v>
      </c>
      <c r="O285" s="41">
        <f>Käyttökate!O285+'5. Rahoitustuotot ja -kulut'!O285</f>
        <v>-169.69760792166863</v>
      </c>
      <c r="P285" s="41">
        <f>Käyttökate!P285+'5. Rahoitustuotot ja -kulut'!P285</f>
        <v>-123.65238451359775</v>
      </c>
      <c r="T285" s="34">
        <v>892</v>
      </c>
      <c r="U285" s="88" t="s">
        <v>599</v>
      </c>
      <c r="V285" s="41" t="e">
        <f>C285/'1. Väestöennuste'!E285*1000</f>
        <v>#REF!</v>
      </c>
      <c r="W285" s="41">
        <f>D285/'1. Väestöennuste'!F285*1000</f>
        <v>346.24697336561746</v>
      </c>
      <c r="X285" s="41">
        <f>E285/'1. Väestöennuste'!G285*1000</f>
        <v>428.60955431011479</v>
      </c>
      <c r="Y285" s="41">
        <f>F285/'1. Väestöennuste'!H285*1000</f>
        <v>-96.484271742003699</v>
      </c>
      <c r="Z285" s="41">
        <f>G285/'1. Väestöennuste'!I285*1000</f>
        <v>5.1616408584623743</v>
      </c>
      <c r="AA285" s="41">
        <f>H285/'1. Väestöennuste'!J285*1000</f>
        <v>621.88230028663156</v>
      </c>
      <c r="AB285" s="41">
        <f>I285/'1. Väestöennuste'!K285*1000</f>
        <v>619.1025933985361</v>
      </c>
      <c r="AC285" s="41">
        <f>J285/'1. Väestöennuste'!L285*1000</f>
        <v>159.58976568433098</v>
      </c>
      <c r="AD285" s="41">
        <f>K285/'1. Väestöennuste'!M285*1000</f>
        <v>162.41206317328121</v>
      </c>
      <c r="AE285" s="41">
        <f>L285/'1. Väestöennuste'!N285*1000</f>
        <v>244.57441338493052</v>
      </c>
      <c r="AF285" s="41">
        <f>M285/'1. Väestöennuste'!O285*1000</f>
        <v>57.406472838737166</v>
      </c>
      <c r="AG285" s="41">
        <f>N285/'1. Väestöennuste'!P285*1000</f>
        <v>50.946889974977438</v>
      </c>
      <c r="AH285" s="41">
        <f>O285/'1. Väestöennuste'!Q285*1000</f>
        <v>-46.813133219770663</v>
      </c>
      <c r="AI285" s="41">
        <f>P285/'1. Väestöennuste'!R285*1000</f>
        <v>-34.309762628634232</v>
      </c>
      <c r="AK285" s="41">
        <f>'6. Poistot'!Z285</f>
        <v>368.10649280086932</v>
      </c>
      <c r="AL285" s="41">
        <f>'6. Poistot'!AA285</f>
        <v>481.34942402633027</v>
      </c>
      <c r="AM285" s="41">
        <f>'6. Poistot'!AB285</f>
        <v>364.02525041276834</v>
      </c>
      <c r="AN285" s="41">
        <f>'6. Poistot'!AC285</f>
        <v>318.27955456570152</v>
      </c>
      <c r="AO285" s="41">
        <f>'6. Poistot'!AD285</f>
        <v>310.61590318118954</v>
      </c>
      <c r="AP285" s="41">
        <f>'6. Poistot'!AE285</f>
        <v>302.68350628072091</v>
      </c>
      <c r="AQ285" s="41">
        <f>'6. Poistot'!AF285</f>
        <v>335.15731874145007</v>
      </c>
      <c r="AR285" s="41">
        <f>'6. Poistot'!AG285</f>
        <v>336.44603131007966</v>
      </c>
      <c r="AS285" s="41">
        <f>'6. Poistot'!AH285</f>
        <v>348.8348323378288</v>
      </c>
      <c r="AT285" s="41">
        <f>'6. Poistot'!AI285</f>
        <v>361.83477648425605</v>
      </c>
      <c r="AV285" s="4">
        <f t="shared" si="80"/>
        <v>0</v>
      </c>
      <c r="AW285" s="4">
        <f t="shared" si="81"/>
        <v>1</v>
      </c>
      <c r="AX285" s="4">
        <f t="shared" si="82"/>
        <v>1</v>
      </c>
      <c r="AY285" s="4">
        <f t="shared" si="83"/>
        <v>1</v>
      </c>
      <c r="AZ285" s="4">
        <f t="shared" si="84"/>
        <v>1</v>
      </c>
      <c r="BA285" s="4">
        <f t="shared" si="85"/>
        <v>1</v>
      </c>
      <c r="BB285" s="4">
        <f t="shared" si="86"/>
        <v>1</v>
      </c>
      <c r="BC285" s="4">
        <f t="shared" si="87"/>
        <v>1</v>
      </c>
      <c r="BE285" s="405">
        <f t="shared" si="88"/>
        <v>0</v>
      </c>
      <c r="BF285" s="405">
        <f t="shared" si="89"/>
        <v>0</v>
      </c>
      <c r="BG285" s="405">
        <f t="shared" si="90"/>
        <v>0</v>
      </c>
      <c r="BH285" s="405">
        <f t="shared" si="91"/>
        <v>0</v>
      </c>
      <c r="BI285" s="405">
        <f t="shared" si="92"/>
        <v>0</v>
      </c>
      <c r="BJ285" s="405">
        <f t="shared" si="93"/>
        <v>0</v>
      </c>
      <c r="BK285" s="405">
        <f t="shared" si="94"/>
        <v>0</v>
      </c>
      <c r="BL285" s="405">
        <f t="shared" si="95"/>
        <v>0</v>
      </c>
      <c r="BM285" s="405">
        <f t="shared" si="96"/>
        <v>-1</v>
      </c>
      <c r="BN285" s="405">
        <f t="shared" si="96"/>
        <v>-1</v>
      </c>
    </row>
    <row r="286" spans="1:66" x14ac:dyDescent="0.2">
      <c r="A286" s="34">
        <v>893</v>
      </c>
      <c r="B286" s="88" t="s">
        <v>600</v>
      </c>
      <c r="C286" s="41" t="e">
        <f>'2. Toimintakate'!D286+'3. Verotulot'!G286+'4. Valtionosuudet'!#REF!+'5. Rahoitustuotot ja -kulut'!C286</f>
        <v>#REF!</v>
      </c>
      <c r="D286" s="41">
        <f>'2. Toimintakate'!E286+'4. Valtionosuudet'!H286+'3. Verotulot'!L286+'5. Rahoitustuotot ja -kulut'!D286</f>
        <v>1622</v>
      </c>
      <c r="E286" s="41">
        <f>'2. Toimintakate'!F286+'4. Valtionosuudet'!N286+'3. Verotulot'!Q286+'5. Rahoitustuotot ja -kulut'!E286</f>
        <v>605</v>
      </c>
      <c r="F286" s="41">
        <f>'2. Toimintakate'!G286+'4. Valtionosuudet'!T286+'3. Verotulot'!V286+'5. Rahoitustuotot ja -kulut'!F286</f>
        <v>-356</v>
      </c>
      <c r="G286" s="41">
        <f>'2. Toimintakate'!H286+'3. Verotulot'!AA286+'4. Valtionosuudet'!Z286+'5. Rahoitustuotot ja -kulut'!G286</f>
        <v>612</v>
      </c>
      <c r="H286" s="41">
        <f>Käyttökate!H286+'5. Rahoitustuotot ja -kulut'!H286</f>
        <v>6104.6993740443577</v>
      </c>
      <c r="I286" s="41">
        <f>Käyttökate!I286+'5. Rahoitustuotot ja -kulut'!I286</f>
        <v>5054.5142912427737</v>
      </c>
      <c r="J286" s="41">
        <f>Käyttökate!J286+'5. Rahoitustuotot ja -kulut'!J286</f>
        <v>6449.0464217941199</v>
      </c>
      <c r="K286" s="41">
        <f>Käyttökate!K286+'5. Rahoitustuotot ja -kulut'!K286</f>
        <v>5835.1554900365782</v>
      </c>
      <c r="L286" s="41">
        <f>Käyttökate!L286+'5. Rahoitustuotot ja -kulut'!L286</f>
        <v>5007.2607018656117</v>
      </c>
      <c r="M286" s="41">
        <f>Käyttökate!M286+'5. Rahoitustuotot ja -kulut'!M286</f>
        <v>5431.630525784256</v>
      </c>
      <c r="N286" s="41">
        <f>Käyttökate!N286+'5. Rahoitustuotot ja -kulut'!N286</f>
        <v>5558.8566249829473</v>
      </c>
      <c r="O286" s="41">
        <f>Käyttökate!O286+'5. Rahoitustuotot ja -kulut'!O286</f>
        <v>5943.4375319280471</v>
      </c>
      <c r="P286" s="41">
        <f>Käyttökate!P286+'5. Rahoitustuotot ja -kulut'!P286</f>
        <v>6645.4209423930479</v>
      </c>
      <c r="T286" s="34">
        <v>893</v>
      </c>
      <c r="U286" s="88" t="s">
        <v>600</v>
      </c>
      <c r="V286" s="41" t="e">
        <f>C286/'1. Väestöennuste'!E286*1000</f>
        <v>#REF!</v>
      </c>
      <c r="W286" s="41">
        <f>D286/'1. Väestöennuste'!F286*1000</f>
        <v>215.80627993613624</v>
      </c>
      <c r="X286" s="41">
        <f>E286/'1. Väestöennuste'!G286*1000</f>
        <v>80.44143066081638</v>
      </c>
      <c r="Y286" s="41">
        <f>F286/'1. Väestöennuste'!H286*1000</f>
        <v>-47.753185781354794</v>
      </c>
      <c r="Z286" s="41">
        <f>G286/'1. Väestöennuste'!I286*1000</f>
        <v>81.9935691318328</v>
      </c>
      <c r="AA286" s="41">
        <f>H286/'1. Väestöennuste'!J286*1000</f>
        <v>816.24540366952237</v>
      </c>
      <c r="AB286" s="41">
        <f>I286/'1. Väestöennuste'!K286*1000</f>
        <v>674.20492080069005</v>
      </c>
      <c r="AC286" s="41">
        <f>J286/'1. Väestöennuste'!L286*1000</f>
        <v>867.50691710978208</v>
      </c>
      <c r="AD286" s="41">
        <f>K286/'1. Väestöennuste'!M286*1000</f>
        <v>778.02073200487712</v>
      </c>
      <c r="AE286" s="41">
        <f>L286/'1. Väestöennuste'!N286*1000</f>
        <v>673.56210678848697</v>
      </c>
      <c r="AF286" s="41">
        <f>M286/'1. Väestöennuste'!O286*1000</f>
        <v>732.22304203077056</v>
      </c>
      <c r="AG286" s="41">
        <f>N286/'1. Väestöennuste'!P286*1000</f>
        <v>751.70474982866085</v>
      </c>
      <c r="AH286" s="41">
        <f>O286/'1. Väestöennuste'!Q286*1000</f>
        <v>806.43657149634282</v>
      </c>
      <c r="AI286" s="41">
        <f>P286/'1. Väestöennuste'!R286*1000</f>
        <v>905.6174628499657</v>
      </c>
      <c r="AK286" s="41">
        <f>'6. Poistot'!Z286</f>
        <v>295.41800643086816</v>
      </c>
      <c r="AL286" s="41">
        <f>'6. Poistot'!AA286</f>
        <v>372.91081695413823</v>
      </c>
      <c r="AM286" s="41">
        <f>'6. Poistot'!AB286</f>
        <v>406.54702814459114</v>
      </c>
      <c r="AN286" s="41">
        <f>'6. Poistot'!AC286</f>
        <v>410.59001748722085</v>
      </c>
      <c r="AO286" s="41">
        <f>'6. Poistot'!AD286</f>
        <v>330.20027333333331</v>
      </c>
      <c r="AP286" s="41">
        <f>'6. Poistot'!AE286</f>
        <v>423.72881355932202</v>
      </c>
      <c r="AQ286" s="41">
        <f>'6. Poistot'!AF286</f>
        <v>444.86384470207599</v>
      </c>
      <c r="AR286" s="41">
        <f>'6. Poistot'!AG286</f>
        <v>473.29276538201486</v>
      </c>
      <c r="AS286" s="41">
        <f>'6. Poistot'!AH286</f>
        <v>490.22146432433783</v>
      </c>
      <c r="AT286" s="41">
        <f>'6. Poistot'!AI286</f>
        <v>507.74930282648398</v>
      </c>
      <c r="AV286" s="4">
        <f t="shared" si="80"/>
        <v>0</v>
      </c>
      <c r="AW286" s="4">
        <f t="shared" si="81"/>
        <v>0</v>
      </c>
      <c r="AX286" s="4">
        <f t="shared" si="82"/>
        <v>0</v>
      </c>
      <c r="AY286" s="4">
        <f t="shared" si="83"/>
        <v>0</v>
      </c>
      <c r="AZ286" s="4">
        <f t="shared" si="84"/>
        <v>0</v>
      </c>
      <c r="BA286" s="4">
        <f t="shared" si="85"/>
        <v>0</v>
      </c>
      <c r="BB286" s="4">
        <f t="shared" si="86"/>
        <v>0</v>
      </c>
      <c r="BC286" s="4">
        <f t="shared" si="87"/>
        <v>0</v>
      </c>
      <c r="BE286" s="405">
        <f t="shared" si="88"/>
        <v>0</v>
      </c>
      <c r="BF286" s="405">
        <f t="shared" si="89"/>
        <v>0</v>
      </c>
      <c r="BG286" s="405">
        <f t="shared" si="90"/>
        <v>0</v>
      </c>
      <c r="BH286" s="405">
        <f t="shared" si="91"/>
        <v>0</v>
      </c>
      <c r="BI286" s="405">
        <f t="shared" si="92"/>
        <v>0</v>
      </c>
      <c r="BJ286" s="405">
        <f t="shared" si="93"/>
        <v>0</v>
      </c>
      <c r="BK286" s="405">
        <f t="shared" si="94"/>
        <v>0</v>
      </c>
      <c r="BL286" s="405">
        <f t="shared" si="95"/>
        <v>0</v>
      </c>
      <c r="BM286" s="405">
        <f t="shared" si="96"/>
        <v>0</v>
      </c>
      <c r="BN286" s="405">
        <f t="shared" si="96"/>
        <v>0</v>
      </c>
    </row>
    <row r="287" spans="1:66" x14ac:dyDescent="0.2">
      <c r="A287" s="34">
        <v>895</v>
      </c>
      <c r="B287" s="88" t="s">
        <v>601</v>
      </c>
      <c r="C287" s="41" t="e">
        <f>'2. Toimintakate'!D287+'3. Verotulot'!G287+'4. Valtionosuudet'!#REF!+'5. Rahoitustuotot ja -kulut'!C287</f>
        <v>#REF!</v>
      </c>
      <c r="D287" s="41">
        <f>'2. Toimintakate'!E287+'4. Valtionosuudet'!H287+'3. Verotulot'!L287+'5. Rahoitustuotot ja -kulut'!D287</f>
        <v>8793</v>
      </c>
      <c r="E287" s="41">
        <f>'2. Toimintakate'!F287+'4. Valtionosuudet'!N287+'3. Verotulot'!Q287+'5. Rahoitustuotot ja -kulut'!E287</f>
        <v>7335</v>
      </c>
      <c r="F287" s="41">
        <f>'2. Toimintakate'!G287+'4. Valtionosuudet'!T287+'3. Verotulot'!V287+'5. Rahoitustuotot ja -kulut'!F287</f>
        <v>6606</v>
      </c>
      <c r="G287" s="41">
        <f>'2. Toimintakate'!H287+'3. Verotulot'!AA287+'4. Valtionosuudet'!Z287+'5. Rahoitustuotot ja -kulut'!G287</f>
        <v>3619</v>
      </c>
      <c r="H287" s="41">
        <f>Käyttökate!H287+'5. Rahoitustuotot ja -kulut'!H287</f>
        <v>12944.034132462933</v>
      </c>
      <c r="I287" s="41">
        <f>Käyttökate!I287+'5. Rahoitustuotot ja -kulut'!I287</f>
        <v>9454.0947714716949</v>
      </c>
      <c r="J287" s="41">
        <f>Käyttökate!J287+'5. Rahoitustuotot ja -kulut'!J287</f>
        <v>8134.2956343539663</v>
      </c>
      <c r="K287" s="41">
        <f>Käyttökate!K287+'5. Rahoitustuotot ja -kulut'!K287</f>
        <v>11680.841884674821</v>
      </c>
      <c r="L287" s="41">
        <f>Käyttökate!L287+'5. Rahoitustuotot ja -kulut'!L287</f>
        <v>9724.1518607860598</v>
      </c>
      <c r="M287" s="41">
        <f>Käyttökate!M287+'5. Rahoitustuotot ja -kulut'!M287</f>
        <v>10873.22633015352</v>
      </c>
      <c r="N287" s="41">
        <f>Käyttökate!N287+'5. Rahoitustuotot ja -kulut'!N287</f>
        <v>9083.4884609054516</v>
      </c>
      <c r="O287" s="41">
        <f>Käyttökate!O287+'5. Rahoitustuotot ja -kulut'!O287</f>
        <v>9931.7437517023118</v>
      </c>
      <c r="P287" s="41">
        <f>Käyttökate!P287+'5. Rahoitustuotot ja -kulut'!P287</f>
        <v>11115.761801168765</v>
      </c>
      <c r="T287" s="34">
        <v>895</v>
      </c>
      <c r="U287" s="88" t="s">
        <v>601</v>
      </c>
      <c r="V287" s="41" t="e">
        <f>C287/'1. Väestöennuste'!E287*1000</f>
        <v>#REF!</v>
      </c>
      <c r="W287" s="41">
        <f>D287/'1. Väestöennuste'!F287*1000</f>
        <v>570.8257595429759</v>
      </c>
      <c r="X287" s="41">
        <f>E287/'1. Väestöennuste'!G287*1000</f>
        <v>465.65515490096493</v>
      </c>
      <c r="Y287" s="41">
        <f>F287/'1. Väestöennuste'!H287*1000</f>
        <v>420.76433121019107</v>
      </c>
      <c r="Z287" s="41">
        <f>G287/'1. Väestöennuste'!I287*1000</f>
        <v>233.15294420822059</v>
      </c>
      <c r="AA287" s="41">
        <f>H287/'1. Väestöennuste'!J287*1000</f>
        <v>841.72415999889017</v>
      </c>
      <c r="AB287" s="41">
        <f>I287/'1. Väestöennuste'!K287*1000</f>
        <v>611.40107168542295</v>
      </c>
      <c r="AC287" s="41">
        <f>J287/'1. Väestöennuste'!L287*1000</f>
        <v>538.98062777325515</v>
      </c>
      <c r="AD287" s="41">
        <f>K287/'1. Väestöennuste'!M287*1000</f>
        <v>781.9548724511194</v>
      </c>
      <c r="AE287" s="41">
        <f>L287/'1. Väestöennuste'!N287*1000</f>
        <v>646.16598184504346</v>
      </c>
      <c r="AF287" s="41">
        <f>M287/'1. Väestöennuste'!O287*1000</f>
        <v>726.77136088186091</v>
      </c>
      <c r="AG287" s="41">
        <f>N287/'1. Väestöennuste'!P287*1000</f>
        <v>610.61363679117039</v>
      </c>
      <c r="AH287" s="41">
        <f>O287/'1. Väestöennuste'!Q287*1000</f>
        <v>671.51749504410498</v>
      </c>
      <c r="AI287" s="41">
        <f>P287/'1. Väestöennuste'!R287*1000</f>
        <v>755.76297261141985</v>
      </c>
      <c r="AK287" s="41">
        <f>'6. Poistot'!Z287</f>
        <v>427.00682901687924</v>
      </c>
      <c r="AL287" s="41">
        <f>'6. Poistot'!AA287</f>
        <v>491.61139289894658</v>
      </c>
      <c r="AM287" s="41">
        <f>'6. Poistot'!AB287</f>
        <v>480.99521696954019</v>
      </c>
      <c r="AN287" s="41">
        <f>'6. Poistot'!AC287</f>
        <v>621.70072554996011</v>
      </c>
      <c r="AO287" s="41">
        <f>'6. Poistot'!AD287</f>
        <v>464.62059244878833</v>
      </c>
      <c r="AP287" s="41">
        <f>'6. Poistot'!AE287</f>
        <v>521.40035882782911</v>
      </c>
      <c r="AQ287" s="41">
        <f>'6. Poistot'!AF287</f>
        <v>880.01249916449433</v>
      </c>
      <c r="AR287" s="41">
        <f>'6. Poistot'!AG287</f>
        <v>695.20906157569243</v>
      </c>
      <c r="AS287" s="41">
        <f>'6. Poistot'!AH287</f>
        <v>721.81380904352977</v>
      </c>
      <c r="AT287" s="41">
        <f>'6. Poistot'!AI287</f>
        <v>748.52614029831454</v>
      </c>
      <c r="AV287" s="4">
        <f t="shared" si="80"/>
        <v>0</v>
      </c>
      <c r="AW287" s="4">
        <f t="shared" si="81"/>
        <v>1</v>
      </c>
      <c r="AX287" s="4">
        <f t="shared" si="82"/>
        <v>0</v>
      </c>
      <c r="AY287" s="4">
        <f t="shared" si="83"/>
        <v>0</v>
      </c>
      <c r="AZ287" s="4">
        <f t="shared" si="84"/>
        <v>1</v>
      </c>
      <c r="BA287" s="4">
        <f t="shared" si="85"/>
        <v>1</v>
      </c>
      <c r="BB287" s="4">
        <f t="shared" si="86"/>
        <v>1</v>
      </c>
      <c r="BC287" s="4">
        <f t="shared" si="87"/>
        <v>0</v>
      </c>
      <c r="BE287" s="405">
        <f t="shared" si="88"/>
        <v>0</v>
      </c>
      <c r="BF287" s="405">
        <f t="shared" si="89"/>
        <v>0</v>
      </c>
      <c r="BG287" s="405">
        <f t="shared" si="90"/>
        <v>0</v>
      </c>
      <c r="BH287" s="405">
        <f t="shared" si="91"/>
        <v>0</v>
      </c>
      <c r="BI287" s="405">
        <f t="shared" si="92"/>
        <v>0</v>
      </c>
      <c r="BJ287" s="405">
        <f t="shared" si="93"/>
        <v>0</v>
      </c>
      <c r="BK287" s="405">
        <f t="shared" si="94"/>
        <v>0</v>
      </c>
      <c r="BL287" s="405">
        <f t="shared" si="95"/>
        <v>0</v>
      </c>
      <c r="BM287" s="405">
        <f t="shared" si="96"/>
        <v>0</v>
      </c>
      <c r="BN287" s="405">
        <f t="shared" si="96"/>
        <v>0</v>
      </c>
    </row>
    <row r="288" spans="1:66" x14ac:dyDescent="0.2">
      <c r="A288" s="34">
        <v>905</v>
      </c>
      <c r="B288" s="88" t="s">
        <v>602</v>
      </c>
      <c r="C288" s="41" t="e">
        <f>'2. Toimintakate'!D288+'3. Verotulot'!G288+'4. Valtionosuudet'!#REF!+'5. Rahoitustuotot ja -kulut'!C288</f>
        <v>#REF!</v>
      </c>
      <c r="D288" s="41">
        <f>'2. Toimintakate'!E288+'4. Valtionosuudet'!H288+'3. Verotulot'!L288+'5. Rahoitustuotot ja -kulut'!D288</f>
        <v>26142</v>
      </c>
      <c r="E288" s="41">
        <f>'2. Toimintakate'!F288+'4. Valtionosuudet'!N288+'3. Verotulot'!Q288+'5. Rahoitustuotot ja -kulut'!E288</f>
        <v>31965</v>
      </c>
      <c r="F288" s="41">
        <f>'2. Toimintakate'!G288+'4. Valtionosuudet'!T288+'3. Verotulot'!V288+'5. Rahoitustuotot ja -kulut'!F288</f>
        <v>21319</v>
      </c>
      <c r="G288" s="41">
        <f>'2. Toimintakate'!H288+'3. Verotulot'!AA288+'4. Valtionosuudet'!Z288+'5. Rahoitustuotot ja -kulut'!G288</f>
        <v>35347</v>
      </c>
      <c r="H288" s="41">
        <f>Käyttökate!H288+'5. Rahoitustuotot ja -kulut'!H288</f>
        <v>60516.249795587966</v>
      </c>
      <c r="I288" s="41">
        <f>Käyttökate!I288+'5. Rahoitustuotot ja -kulut'!I288</f>
        <v>48317.045883817416</v>
      </c>
      <c r="J288" s="41">
        <f>Käyttökate!J288+'5. Rahoitustuotot ja -kulut'!J288</f>
        <v>40339.032111994762</v>
      </c>
      <c r="K288" s="41">
        <f>Käyttökate!K288+'5. Rahoitustuotot ja -kulut'!K288</f>
        <v>47480.60897063493</v>
      </c>
      <c r="L288" s="41">
        <f>Käyttökate!L288+'5. Rahoitustuotot ja -kulut'!L288</f>
        <v>30504.498688407119</v>
      </c>
      <c r="M288" s="41">
        <f>Käyttökate!M288+'5. Rahoitustuotot ja -kulut'!M288</f>
        <v>17262.490390975086</v>
      </c>
      <c r="N288" s="41">
        <f>Käyttökate!N288+'5. Rahoitustuotot ja -kulut'!N288</f>
        <v>22360.557528508747</v>
      </c>
      <c r="O288" s="41">
        <f>Käyttökate!O288+'5. Rahoitustuotot ja -kulut'!O288</f>
        <v>24377.12733000243</v>
      </c>
      <c r="P288" s="41">
        <f>Käyttökate!P288+'5. Rahoitustuotot ja -kulut'!P288</f>
        <v>27631.011842507549</v>
      </c>
      <c r="T288" s="34">
        <v>905</v>
      </c>
      <c r="U288" s="88" t="s">
        <v>602</v>
      </c>
      <c r="V288" s="41" t="e">
        <f>C288/'1. Väestöennuste'!E288*1000</f>
        <v>#REF!</v>
      </c>
      <c r="W288" s="41">
        <f>D288/'1. Väestöennuste'!F288*1000</f>
        <v>386.60159716060338</v>
      </c>
      <c r="X288" s="41">
        <f>E288/'1. Väestöennuste'!G288*1000</f>
        <v>474.31445868945872</v>
      </c>
      <c r="Y288" s="41">
        <f>F288/'1. Väestöennuste'!H288*1000</f>
        <v>315.59391283751773</v>
      </c>
      <c r="Z288" s="41">
        <f>G288/'1. Väestöennuste'!I288*1000</f>
        <v>522.60630433496954</v>
      </c>
      <c r="AA288" s="41">
        <f>H288/'1. Väestöennuste'!J288*1000</f>
        <v>895.86016188639655</v>
      </c>
      <c r="AB288" s="41">
        <f>I288/'1. Väestöennuste'!K288*1000</f>
        <v>714.59063645370725</v>
      </c>
      <c r="AC288" s="41">
        <f>J288/'1. Väestöennuste'!L288*1000</f>
        <v>593.32576501727897</v>
      </c>
      <c r="AD288" s="41">
        <f>K288/'1. Väestöennuste'!M288*1000</f>
        <v>688.56385188576678</v>
      </c>
      <c r="AE288" s="41">
        <f>L288/'1. Väestöennuste'!N288*1000</f>
        <v>450.73656764346998</v>
      </c>
      <c r="AF288" s="41">
        <f>M288/'1. Väestöennuste'!O288*1000</f>
        <v>255.07928172848298</v>
      </c>
      <c r="AG288" s="41">
        <f>N288/'1. Väestöennuste'!P288*1000</f>
        <v>330.38648830538932</v>
      </c>
      <c r="AH288" s="41">
        <f>O288/'1. Väestöennuste'!Q288*1000</f>
        <v>360.1129707651076</v>
      </c>
      <c r="AI288" s="41">
        <f>P288/'1. Väestöennuste'!R288*1000</f>
        <v>408.08477222389268</v>
      </c>
      <c r="AK288" s="41">
        <f>'6. Poistot'!Z288</f>
        <v>426.22272162753563</v>
      </c>
      <c r="AL288" s="41">
        <f>'6. Poistot'!AA288</f>
        <v>433.27263845094814</v>
      </c>
      <c r="AM288" s="41">
        <f>'6. Poistot'!AB288</f>
        <v>473.57797855505436</v>
      </c>
      <c r="AN288" s="41">
        <f>'6. Poistot'!AC288</f>
        <v>470.27929163970111</v>
      </c>
      <c r="AO288" s="41">
        <f>'6. Poistot'!AD288</f>
        <v>488.28453028017873</v>
      </c>
      <c r="AP288" s="41">
        <f>'6. Poistot'!AE288</f>
        <v>496.8866823292995</v>
      </c>
      <c r="AQ288" s="41">
        <f>'6. Poistot'!AF288</f>
        <v>495.01292944218693</v>
      </c>
      <c r="AR288" s="41">
        <f>'6. Poistot'!AG288</f>
        <v>502.36406619385343</v>
      </c>
      <c r="AS288" s="41">
        <f>'6. Poistot'!AH288</f>
        <v>518.47392758648846</v>
      </c>
      <c r="AT288" s="41">
        <f>'6. Poistot'!AI288</f>
        <v>534.55391691243892</v>
      </c>
      <c r="AV288" s="4">
        <f t="shared" si="80"/>
        <v>0</v>
      </c>
      <c r="AW288" s="4">
        <f t="shared" si="81"/>
        <v>0</v>
      </c>
      <c r="AX288" s="4">
        <f t="shared" si="82"/>
        <v>0</v>
      </c>
      <c r="AY288" s="4">
        <f t="shared" si="83"/>
        <v>1</v>
      </c>
      <c r="AZ288" s="4">
        <f t="shared" si="84"/>
        <v>1</v>
      </c>
      <c r="BA288" s="4">
        <f t="shared" si="85"/>
        <v>1</v>
      </c>
      <c r="BB288" s="4">
        <f t="shared" si="86"/>
        <v>1</v>
      </c>
      <c r="BC288" s="4">
        <f t="shared" si="87"/>
        <v>1</v>
      </c>
      <c r="BE288" s="405">
        <f t="shared" si="88"/>
        <v>0</v>
      </c>
      <c r="BF288" s="405">
        <f t="shared" si="89"/>
        <v>0</v>
      </c>
      <c r="BG288" s="405">
        <f t="shared" si="90"/>
        <v>0</v>
      </c>
      <c r="BH288" s="405">
        <f t="shared" si="91"/>
        <v>0</v>
      </c>
      <c r="BI288" s="405">
        <f t="shared" si="92"/>
        <v>0</v>
      </c>
      <c r="BJ288" s="405">
        <f t="shared" si="93"/>
        <v>0</v>
      </c>
      <c r="BK288" s="405">
        <f t="shared" si="94"/>
        <v>0</v>
      </c>
      <c r="BL288" s="405">
        <f t="shared" si="95"/>
        <v>0</v>
      </c>
      <c r="BM288" s="405">
        <f t="shared" si="96"/>
        <v>0</v>
      </c>
      <c r="BN288" s="405">
        <f t="shared" si="96"/>
        <v>0</v>
      </c>
    </row>
    <row r="289" spans="1:66" x14ac:dyDescent="0.2">
      <c r="A289" s="34">
        <v>908</v>
      </c>
      <c r="B289" s="88" t="s">
        <v>603</v>
      </c>
      <c r="C289" s="41" t="e">
        <f>'2. Toimintakate'!D289+'3. Verotulot'!G289+'4. Valtionosuudet'!#REF!+'5. Rahoitustuotot ja -kulut'!C289</f>
        <v>#REF!</v>
      </c>
      <c r="D289" s="41">
        <f>'2. Toimintakate'!E289+'4. Valtionosuudet'!H289+'3. Verotulot'!L289+'5. Rahoitustuotot ja -kulut'!D289</f>
        <v>8682</v>
      </c>
      <c r="E289" s="41">
        <f>'2. Toimintakate'!F289+'4. Valtionosuudet'!N289+'3. Verotulot'!Q289+'5. Rahoitustuotot ja -kulut'!E289</f>
        <v>9392</v>
      </c>
      <c r="F289" s="41">
        <f>'2. Toimintakate'!G289+'4. Valtionosuudet'!T289+'3. Verotulot'!V289+'5. Rahoitustuotot ja -kulut'!F289</f>
        <v>2228</v>
      </c>
      <c r="G289" s="41">
        <f>'2. Toimintakate'!H289+'3. Verotulot'!AA289+'4. Valtionosuudet'!Z289+'5. Rahoitustuotot ja -kulut'!G289</f>
        <v>3496</v>
      </c>
      <c r="H289" s="41">
        <f>Käyttökate!H289+'5. Rahoitustuotot ja -kulut'!H289</f>
        <v>14282.55418364166</v>
      </c>
      <c r="I289" s="41">
        <f>Käyttökate!I289+'5. Rahoitustuotot ja -kulut'!I289</f>
        <v>10278.464864098743</v>
      </c>
      <c r="J289" s="41">
        <f>Käyttökate!J289+'5. Rahoitustuotot ja -kulut'!J289</f>
        <v>3384.0622714571309</v>
      </c>
      <c r="K289" s="41">
        <f>Käyttökate!K289+'5. Rahoitustuotot ja -kulut'!K289</f>
        <v>9413.5340593625406</v>
      </c>
      <c r="L289" s="41">
        <f>Käyttökate!L289+'5. Rahoitustuotot ja -kulut'!L289</f>
        <v>7467.942064756824</v>
      </c>
      <c r="M289" s="41">
        <f>Käyttökate!M289+'5. Rahoitustuotot ja -kulut'!M289</f>
        <v>5550.369651245428</v>
      </c>
      <c r="N289" s="41">
        <f>Käyttökate!N289+'5. Rahoitustuotot ja -kulut'!N289</f>
        <v>6825.8268168944523</v>
      </c>
      <c r="O289" s="41">
        <f>Käyttökate!O289+'5. Rahoitustuotot ja -kulut'!O289</f>
        <v>7811.9071532589551</v>
      </c>
      <c r="P289" s="41">
        <f>Käyttökate!P289+'5. Rahoitustuotot ja -kulut'!P289</f>
        <v>9673.1349690758307</v>
      </c>
      <c r="T289" s="34">
        <v>908</v>
      </c>
      <c r="U289" s="88" t="s">
        <v>603</v>
      </c>
      <c r="V289" s="41" t="e">
        <f>C289/'1. Väestöennuste'!E289*1000</f>
        <v>#REF!</v>
      </c>
      <c r="W289" s="41">
        <f>D289/'1. Väestöennuste'!F289*1000</f>
        <v>406.7272556919329</v>
      </c>
      <c r="X289" s="41">
        <f>E289/'1. Väestöennuste'!G289*1000</f>
        <v>444.36033308099928</v>
      </c>
      <c r="Y289" s="41">
        <f>F289/'1. Väestöennuste'!H289*1000</f>
        <v>105.40757912664995</v>
      </c>
      <c r="Z289" s="41">
        <f>G289/'1. Väestöennuste'!I289*1000</f>
        <v>166.69845508296777</v>
      </c>
      <c r="AA289" s="41">
        <f>H289/'1. Väestöennuste'!J289*1000</f>
        <v>687.81864597359311</v>
      </c>
      <c r="AB289" s="41">
        <f>I289/'1. Väestöennuste'!K289*1000</f>
        <v>496.66416352252929</v>
      </c>
      <c r="AC289" s="41">
        <f>J289/'1. Väestöennuste'!L289*1000</f>
        <v>163.45757964822155</v>
      </c>
      <c r="AD289" s="41">
        <f>K289/'1. Väestöennuste'!M289*1000</f>
        <v>454.8919522258887</v>
      </c>
      <c r="AE289" s="41">
        <f>L289/'1. Väestöennuste'!N289*1000</f>
        <v>368.69622635185505</v>
      </c>
      <c r="AF289" s="41">
        <f>M289/'1. Väestöennuste'!O289*1000</f>
        <v>275.61672714497109</v>
      </c>
      <c r="AG289" s="41">
        <f>N289/'1. Väestöennuste'!P289*1000</f>
        <v>340.9163328785562</v>
      </c>
      <c r="AH289" s="41">
        <f>O289/'1. Väestöennuste'!Q289*1000</f>
        <v>392.47925810183659</v>
      </c>
      <c r="AI289" s="41">
        <f>P289/'1. Väestöennuste'!R289*1000</f>
        <v>488.96198600191224</v>
      </c>
      <c r="AK289" s="41">
        <f>'6. Poistot'!Z289</f>
        <v>367.29925615105856</v>
      </c>
      <c r="AL289" s="41">
        <f>'6. Poistot'!AA289</f>
        <v>414.01396580784979</v>
      </c>
      <c r="AM289" s="41">
        <f>'6. Poistot'!AB289</f>
        <v>443.48919739067406</v>
      </c>
      <c r="AN289" s="41">
        <f>'6. Poistot'!AC289</f>
        <v>443.27902236390861</v>
      </c>
      <c r="AO289" s="41">
        <f>'6. Poistot'!AD289</f>
        <v>459.64457282304039</v>
      </c>
      <c r="AP289" s="41">
        <f>'6. Poistot'!AE289</f>
        <v>454.2088373241175</v>
      </c>
      <c r="AQ289" s="41">
        <f>'6. Poistot'!AF289</f>
        <v>491.60790545237859</v>
      </c>
      <c r="AR289" s="41">
        <f>'6. Poistot'!AG289</f>
        <v>494.4560982918789</v>
      </c>
      <c r="AS289" s="41">
        <f>'6. Poistot'!AH289</f>
        <v>513.43633299116698</v>
      </c>
      <c r="AT289" s="41">
        <f>'6. Poistot'!AI289</f>
        <v>532.72372965234672</v>
      </c>
      <c r="AV289" s="4">
        <f t="shared" si="80"/>
        <v>0</v>
      </c>
      <c r="AW289" s="4">
        <f t="shared" si="81"/>
        <v>1</v>
      </c>
      <c r="AX289" s="4">
        <f t="shared" si="82"/>
        <v>1</v>
      </c>
      <c r="AY289" s="4">
        <f t="shared" si="83"/>
        <v>1</v>
      </c>
      <c r="AZ289" s="4">
        <f t="shared" si="84"/>
        <v>1</v>
      </c>
      <c r="BA289" s="4">
        <f t="shared" si="85"/>
        <v>1</v>
      </c>
      <c r="BB289" s="4">
        <f t="shared" si="86"/>
        <v>1</v>
      </c>
      <c r="BC289" s="4">
        <f t="shared" si="87"/>
        <v>1</v>
      </c>
      <c r="BE289" s="405">
        <f t="shared" si="88"/>
        <v>0</v>
      </c>
      <c r="BF289" s="405">
        <f t="shared" si="89"/>
        <v>0</v>
      </c>
      <c r="BG289" s="405">
        <f t="shared" si="90"/>
        <v>0</v>
      </c>
      <c r="BH289" s="405">
        <f t="shared" si="91"/>
        <v>0</v>
      </c>
      <c r="BI289" s="405">
        <f t="shared" si="92"/>
        <v>0</v>
      </c>
      <c r="BJ289" s="405">
        <f t="shared" si="93"/>
        <v>0</v>
      </c>
      <c r="BK289" s="405">
        <f t="shared" si="94"/>
        <v>0</v>
      </c>
      <c r="BL289" s="405">
        <f t="shared" si="95"/>
        <v>0</v>
      </c>
      <c r="BM289" s="405">
        <f t="shared" si="96"/>
        <v>0</v>
      </c>
      <c r="BN289" s="405">
        <f t="shared" si="96"/>
        <v>0</v>
      </c>
    </row>
    <row r="290" spans="1:66" x14ac:dyDescent="0.2">
      <c r="A290" s="34">
        <v>915</v>
      </c>
      <c r="B290" s="88" t="s">
        <v>604</v>
      </c>
      <c r="C290" s="41" t="e">
        <f>'2. Toimintakate'!D290+'3. Verotulot'!G290+'4. Valtionosuudet'!#REF!+'5. Rahoitustuotot ja -kulut'!C290</f>
        <v>#REF!</v>
      </c>
      <c r="D290" s="41">
        <f>'2. Toimintakate'!E290+'4. Valtionosuudet'!H290+'3. Verotulot'!L290+'5. Rahoitustuotot ja -kulut'!D290</f>
        <v>9173</v>
      </c>
      <c r="E290" s="41">
        <f>'2. Toimintakate'!F290+'4. Valtionosuudet'!N290+'3. Verotulot'!Q290+'5. Rahoitustuotot ja -kulut'!E290</f>
        <v>6580</v>
      </c>
      <c r="F290" s="41">
        <f>'2. Toimintakate'!G290+'4. Valtionosuudet'!T290+'3. Verotulot'!V290+'5. Rahoitustuotot ja -kulut'!F290</f>
        <v>4562</v>
      </c>
      <c r="G290" s="41">
        <f>'2. Toimintakate'!H290+'3. Verotulot'!AA290+'4. Valtionosuudet'!Z290+'5. Rahoitustuotot ja -kulut'!G290</f>
        <v>2629</v>
      </c>
      <c r="H290" s="41">
        <f>Käyttökate!H290+'5. Rahoitustuotot ja -kulut'!H290</f>
        <v>10346.102914966061</v>
      </c>
      <c r="I290" s="41">
        <f>Käyttökate!I290+'5. Rahoitustuotot ja -kulut'!I290</f>
        <v>7443.1314373671194</v>
      </c>
      <c r="J290" s="41">
        <f>Käyttökate!J290+'5. Rahoitustuotot ja -kulut'!J290</f>
        <v>5429.4867803005691</v>
      </c>
      <c r="K290" s="41">
        <f>Käyttökate!K290+'5. Rahoitustuotot ja -kulut'!K290</f>
        <v>8329.5943038647656</v>
      </c>
      <c r="L290" s="41">
        <f>Käyttökate!L290+'5. Rahoitustuotot ja -kulut'!L290</f>
        <v>5079.2771416411069</v>
      </c>
      <c r="M290" s="41">
        <f>Käyttökate!M290+'5. Rahoitustuotot ja -kulut'!M290</f>
        <v>606.85347388748596</v>
      </c>
      <c r="N290" s="41">
        <f>Käyttökate!N290+'5. Rahoitustuotot ja -kulut'!N290</f>
        <v>1877.1223338574564</v>
      </c>
      <c r="O290" s="41">
        <f>Käyttökate!O290+'5. Rahoitustuotot ja -kulut'!O290</f>
        <v>2162.305004600672</v>
      </c>
      <c r="P290" s="41">
        <f>Käyttökate!P290+'5. Rahoitustuotot ja -kulut'!P290</f>
        <v>4649.7533896824971</v>
      </c>
      <c r="T290" s="34">
        <v>915</v>
      </c>
      <c r="U290" s="88" t="s">
        <v>604</v>
      </c>
      <c r="V290" s="41" t="e">
        <f>C290/'1. Väestöennuste'!E290*1000</f>
        <v>#REF!</v>
      </c>
      <c r="W290" s="41">
        <f>D290/'1. Väestöennuste'!F290*1000</f>
        <v>427.28712502329046</v>
      </c>
      <c r="X290" s="41">
        <f>E290/'1. Väestöennuste'!G290*1000</f>
        <v>311.03757976837625</v>
      </c>
      <c r="Y290" s="41">
        <f>F290/'1. Väestöennuste'!H290*1000</f>
        <v>219.02155648374864</v>
      </c>
      <c r="Z290" s="41">
        <f>G290/'1. Väestöennuste'!I290*1000</f>
        <v>128.45695299521157</v>
      </c>
      <c r="AA290" s="41">
        <f>H290/'1. Väestöennuste'!J290*1000</f>
        <v>510.21318251139468</v>
      </c>
      <c r="AB290" s="41">
        <f>I290/'1. Väestöennuste'!K290*1000</f>
        <v>372.65966241261299</v>
      </c>
      <c r="AC290" s="41">
        <f>J290/'1. Väestöennuste'!L290*1000</f>
        <v>274.78550434235382</v>
      </c>
      <c r="AD290" s="41">
        <f>K290/'1. Väestöennuste'!M290*1000</f>
        <v>422.2433367397357</v>
      </c>
      <c r="AE290" s="41">
        <f>L290/'1. Väestöennuste'!N290*1000</f>
        <v>263.80373645170391</v>
      </c>
      <c r="AF290" s="41">
        <f>M290/'1. Väestöennuste'!O290*1000</f>
        <v>31.904393769385731</v>
      </c>
      <c r="AG290" s="41">
        <f>N290/'1. Väestöennuste'!P290*1000</f>
        <v>99.862868216069387</v>
      </c>
      <c r="AH290" s="41">
        <f>O290/'1. Väestöennuste'!Q290*1000</f>
        <v>116.36556907763814</v>
      </c>
      <c r="AI290" s="41">
        <f>P290/'1. Väestöennuste'!R290*1000</f>
        <v>253.11667880688603</v>
      </c>
      <c r="AK290" s="41">
        <f>'6. Poistot'!Z290</f>
        <v>439.4605687481677</v>
      </c>
      <c r="AL290" s="41">
        <f>'6. Poistot'!AA290</f>
        <v>430.17062826708747</v>
      </c>
      <c r="AM290" s="41">
        <f>'6. Poistot'!AB290</f>
        <v>522.04877835077355</v>
      </c>
      <c r="AN290" s="41">
        <f>'6. Poistot'!AC290</f>
        <v>372.82998835973478</v>
      </c>
      <c r="AO290" s="41">
        <f>'6. Poistot'!AD290</f>
        <v>386.89646727834946</v>
      </c>
      <c r="AP290" s="41">
        <f>'6. Poistot'!AE290</f>
        <v>390.80159966760152</v>
      </c>
      <c r="AQ290" s="41">
        <f>'6. Poistot'!AF290</f>
        <v>394.30103569738714</v>
      </c>
      <c r="AR290" s="41">
        <f>'6. Poistot'!AG290</f>
        <v>404.31983827206471</v>
      </c>
      <c r="AS290" s="41">
        <f>'6. Poistot'!AH290</f>
        <v>422.19482232782588</v>
      </c>
      <c r="AT290" s="41">
        <f>'6. Poistot'!AI290</f>
        <v>440.41635149653348</v>
      </c>
      <c r="AV290" s="4">
        <f t="shared" si="80"/>
        <v>1</v>
      </c>
      <c r="AW290" s="4">
        <f t="shared" si="81"/>
        <v>1</v>
      </c>
      <c r="AX290" s="4">
        <f t="shared" si="82"/>
        <v>0</v>
      </c>
      <c r="AY290" s="4">
        <f t="shared" si="83"/>
        <v>1</v>
      </c>
      <c r="AZ290" s="4">
        <f t="shared" si="84"/>
        <v>1</v>
      </c>
      <c r="BA290" s="4">
        <f t="shared" si="85"/>
        <v>1</v>
      </c>
      <c r="BB290" s="4">
        <f t="shared" si="86"/>
        <v>1</v>
      </c>
      <c r="BC290" s="4">
        <f t="shared" si="87"/>
        <v>1</v>
      </c>
      <c r="BE290" s="405">
        <f t="shared" si="88"/>
        <v>0</v>
      </c>
      <c r="BF290" s="405">
        <f t="shared" si="89"/>
        <v>0</v>
      </c>
      <c r="BG290" s="405">
        <f t="shared" si="90"/>
        <v>0</v>
      </c>
      <c r="BH290" s="405">
        <f t="shared" si="91"/>
        <v>0</v>
      </c>
      <c r="BI290" s="405">
        <f t="shared" si="92"/>
        <v>0</v>
      </c>
      <c r="BJ290" s="405">
        <f t="shared" si="93"/>
        <v>0</v>
      </c>
      <c r="BK290" s="405">
        <f t="shared" si="94"/>
        <v>0</v>
      </c>
      <c r="BL290" s="405">
        <f t="shared" si="95"/>
        <v>0</v>
      </c>
      <c r="BM290" s="405">
        <f t="shared" si="96"/>
        <v>0</v>
      </c>
      <c r="BN290" s="405">
        <f t="shared" si="96"/>
        <v>0</v>
      </c>
    </row>
    <row r="291" spans="1:66" x14ac:dyDescent="0.2">
      <c r="A291" s="34">
        <v>918</v>
      </c>
      <c r="B291" s="88" t="s">
        <v>605</v>
      </c>
      <c r="C291" s="41" t="e">
        <f>'2. Toimintakate'!D291+'3. Verotulot'!G291+'4. Valtionosuudet'!#REF!+'5. Rahoitustuotot ja -kulut'!C291</f>
        <v>#REF!</v>
      </c>
      <c r="D291" s="41">
        <f>'2. Toimintakate'!E291+'4. Valtionosuudet'!H291+'3. Verotulot'!L291+'5. Rahoitustuotot ja -kulut'!D291</f>
        <v>-404</v>
      </c>
      <c r="E291" s="41">
        <f>'2. Toimintakate'!F291+'4. Valtionosuudet'!N291+'3. Verotulot'!Q291+'5. Rahoitustuotot ja -kulut'!E291</f>
        <v>727</v>
      </c>
      <c r="F291" s="41">
        <f>'2. Toimintakate'!G291+'4. Valtionosuudet'!T291+'3. Verotulot'!V291+'5. Rahoitustuotot ja -kulut'!F291</f>
        <v>-981</v>
      </c>
      <c r="G291" s="41">
        <f>'2. Toimintakate'!H291+'3. Verotulot'!AA291+'4. Valtionosuudet'!Z291+'5. Rahoitustuotot ja -kulut'!G291</f>
        <v>705</v>
      </c>
      <c r="H291" s="41">
        <f>Käyttökate!H291+'5. Rahoitustuotot ja -kulut'!H291</f>
        <v>2498.9018750257228</v>
      </c>
      <c r="I291" s="41">
        <f>Käyttökate!I291+'5. Rahoitustuotot ja -kulut'!I291</f>
        <v>1419.7492175602501</v>
      </c>
      <c r="J291" s="41">
        <f>Käyttökate!J291+'5. Rahoitustuotot ja -kulut'!J291</f>
        <v>1211.4819695476358</v>
      </c>
      <c r="K291" s="41">
        <f>Käyttökate!K291+'5. Rahoitustuotot ja -kulut'!K291</f>
        <v>1649.5547241045742</v>
      </c>
      <c r="L291" s="41">
        <f>Käyttökate!L291+'5. Rahoitustuotot ja -kulut'!L291</f>
        <v>938.68505002400934</v>
      </c>
      <c r="M291" s="41">
        <f>Käyttökate!M291+'5. Rahoitustuotot ja -kulut'!M291</f>
        <v>1534.8121000295948</v>
      </c>
      <c r="N291" s="41">
        <f>Käyttökate!N291+'5. Rahoitustuotot ja -kulut'!N291</f>
        <v>1549.3807235100626</v>
      </c>
      <c r="O291" s="41">
        <f>Käyttökate!O291+'5. Rahoitustuotot ja -kulut'!O291</f>
        <v>1446.0156608670627</v>
      </c>
      <c r="P291" s="41">
        <f>Käyttökate!P291+'5. Rahoitustuotot ja -kulut'!P291</f>
        <v>1737.7081524726102</v>
      </c>
      <c r="T291" s="34">
        <v>918</v>
      </c>
      <c r="U291" s="88" t="s">
        <v>605</v>
      </c>
      <c r="V291" s="41" t="e">
        <f>C291/'1. Väestöennuste'!E291*1000</f>
        <v>#REF!</v>
      </c>
      <c r="W291" s="41">
        <f>D291/'1. Väestöennuste'!F291*1000</f>
        <v>-177.42643829600351</v>
      </c>
      <c r="X291" s="41">
        <f>E291/'1. Väestöennuste'!G291*1000</f>
        <v>313.90328151986188</v>
      </c>
      <c r="Y291" s="41">
        <f>F291/'1. Väestöennuste'!H291*1000</f>
        <v>-429.32166301969363</v>
      </c>
      <c r="Z291" s="41">
        <f>G291/'1. Väestöennuste'!I291*1000</f>
        <v>307.45747928477977</v>
      </c>
      <c r="AA291" s="41">
        <f>H291/'1. Väestöennuste'!J291*1000</f>
        <v>1090.2713241822526</v>
      </c>
      <c r="AB291" s="41">
        <f>I291/'1. Väestöennuste'!K291*1000</f>
        <v>625.16478096003971</v>
      </c>
      <c r="AC291" s="41">
        <f>J291/'1. Väestöennuste'!L291*1000</f>
        <v>543.75312816321173</v>
      </c>
      <c r="AD291" s="41">
        <f>K291/'1. Väestöennuste'!M291*1000</f>
        <v>734.76825127152529</v>
      </c>
      <c r="AE291" s="41">
        <f>L291/'1. Väestöennuste'!N291*1000</f>
        <v>404.25712748665347</v>
      </c>
      <c r="AF291" s="41">
        <f>M291/'1. Väestöennuste'!O291*1000</f>
        <v>659.85042993533739</v>
      </c>
      <c r="AG291" s="41">
        <f>N291/'1. Väestöennuste'!P291*1000</f>
        <v>664.68499507081196</v>
      </c>
      <c r="AH291" s="41">
        <f>O291/'1. Väestöennuste'!Q291*1000</f>
        <v>618.7486781630563</v>
      </c>
      <c r="AI291" s="41">
        <f>P291/'1. Väestöennuste'!R291*1000</f>
        <v>741.97615391657132</v>
      </c>
      <c r="AK291" s="41">
        <f>'6. Poistot'!Z291</f>
        <v>277.80200610553857</v>
      </c>
      <c r="AL291" s="41">
        <f>'6. Poistot'!AA291</f>
        <v>320.68062827225128</v>
      </c>
      <c r="AM291" s="41">
        <f>'6. Poistot'!AB291</f>
        <v>315.68169969176574</v>
      </c>
      <c r="AN291" s="41">
        <f>'6. Poistot'!AC291</f>
        <v>329.08621184919207</v>
      </c>
      <c r="AO291" s="41">
        <f>'6. Poistot'!AD291</f>
        <v>425.98998218262807</v>
      </c>
      <c r="AP291" s="41">
        <f>'6. Poistot'!AE291</f>
        <v>280.42506459948322</v>
      </c>
      <c r="AQ291" s="41">
        <f>'6. Poistot'!AF291</f>
        <v>279.94282029234739</v>
      </c>
      <c r="AR291" s="41">
        <f>'6. Poistot'!AG291</f>
        <v>279.34234234234236</v>
      </c>
      <c r="AS291" s="41">
        <f>'6. Poistot'!AH291</f>
        <v>287.61537478697289</v>
      </c>
      <c r="AT291" s="41">
        <f>'6. Poistot'!AI291</f>
        <v>295.97235770892888</v>
      </c>
      <c r="AV291" s="4">
        <f t="shared" si="80"/>
        <v>0</v>
      </c>
      <c r="AW291" s="4">
        <f t="shared" si="81"/>
        <v>0</v>
      </c>
      <c r="AX291" s="4">
        <f t="shared" si="82"/>
        <v>0</v>
      </c>
      <c r="AY291" s="4">
        <f t="shared" si="83"/>
        <v>0</v>
      </c>
      <c r="AZ291" s="4">
        <f t="shared" si="84"/>
        <v>0</v>
      </c>
      <c r="BA291" s="4">
        <f t="shared" si="85"/>
        <v>0</v>
      </c>
      <c r="BB291" s="4">
        <f t="shared" si="86"/>
        <v>0</v>
      </c>
      <c r="BC291" s="4">
        <f t="shared" si="87"/>
        <v>0</v>
      </c>
      <c r="BE291" s="405">
        <f t="shared" si="88"/>
        <v>0</v>
      </c>
      <c r="BF291" s="405">
        <f t="shared" si="89"/>
        <v>0</v>
      </c>
      <c r="BG291" s="405">
        <f t="shared" si="90"/>
        <v>0</v>
      </c>
      <c r="BH291" s="405">
        <f t="shared" si="91"/>
        <v>0</v>
      </c>
      <c r="BI291" s="405">
        <f t="shared" si="92"/>
        <v>0</v>
      </c>
      <c r="BJ291" s="405">
        <f t="shared" si="93"/>
        <v>0</v>
      </c>
      <c r="BK291" s="405">
        <f t="shared" si="94"/>
        <v>0</v>
      </c>
      <c r="BL291" s="405">
        <f t="shared" si="95"/>
        <v>0</v>
      </c>
      <c r="BM291" s="405">
        <f t="shared" si="96"/>
        <v>0</v>
      </c>
      <c r="BN291" s="405">
        <f t="shared" si="96"/>
        <v>0</v>
      </c>
    </row>
    <row r="292" spans="1:66" x14ac:dyDescent="0.2">
      <c r="A292" s="34">
        <v>921</v>
      </c>
      <c r="B292" s="88" t="s">
        <v>606</v>
      </c>
      <c r="C292" s="41" t="e">
        <f>'2. Toimintakate'!D292+'3. Verotulot'!G292+'4. Valtionosuudet'!#REF!+'5. Rahoitustuotot ja -kulut'!C292</f>
        <v>#REF!</v>
      </c>
      <c r="D292" s="41">
        <f>'2. Toimintakate'!E292+'4. Valtionosuudet'!H292+'3. Verotulot'!L292+'5. Rahoitustuotot ja -kulut'!D292</f>
        <v>214</v>
      </c>
      <c r="E292" s="41">
        <f>'2. Toimintakate'!F292+'4. Valtionosuudet'!N292+'3. Verotulot'!Q292+'5. Rahoitustuotot ja -kulut'!E292</f>
        <v>934</v>
      </c>
      <c r="F292" s="41">
        <f>'2. Toimintakate'!G292+'4. Valtionosuudet'!T292+'3. Verotulot'!V292+'5. Rahoitustuotot ja -kulut'!F292</f>
        <v>553</v>
      </c>
      <c r="G292" s="41">
        <f>'2. Toimintakate'!H292+'3. Verotulot'!AA292+'4. Valtionosuudet'!Z292+'5. Rahoitustuotot ja -kulut'!G292</f>
        <v>157</v>
      </c>
      <c r="H292" s="41">
        <f>Käyttökate!H292+'5. Rahoitustuotot ja -kulut'!H292</f>
        <v>1462.0553700539349</v>
      </c>
      <c r="I292" s="41">
        <f>Käyttökate!I292+'5. Rahoitustuotot ja -kulut'!I292</f>
        <v>2400.1989931958328</v>
      </c>
      <c r="J292" s="41">
        <f>Käyttökate!J292+'5. Rahoitustuotot ja -kulut'!J292</f>
        <v>996.82832269204914</v>
      </c>
      <c r="K292" s="41">
        <f>Käyttökate!K292+'5. Rahoitustuotot ja -kulut'!K292</f>
        <v>862.21559473590423</v>
      </c>
      <c r="L292" s="41">
        <f>Käyttökate!L292+'5. Rahoitustuotot ja -kulut'!L292</f>
        <v>1111.3080346701281</v>
      </c>
      <c r="M292" s="41">
        <f>Käyttökate!M292+'5. Rahoitustuotot ja -kulut'!M292</f>
        <v>128.10694545637907</v>
      </c>
      <c r="N292" s="41">
        <f>Käyttökate!N292+'5. Rahoitustuotot ja -kulut'!N292</f>
        <v>-44.593767780902823</v>
      </c>
      <c r="O292" s="41">
        <f>Käyttökate!O292+'5. Rahoitustuotot ja -kulut'!O292</f>
        <v>-240.00253926029927</v>
      </c>
      <c r="P292" s="41">
        <f>Käyttökate!P292+'5. Rahoitustuotot ja -kulut'!P292</f>
        <v>-39.642177764175386</v>
      </c>
      <c r="T292" s="34">
        <v>921</v>
      </c>
      <c r="U292" s="88" t="s">
        <v>606</v>
      </c>
      <c r="V292" s="41" t="e">
        <f>C292/'1. Väestöennuste'!E292*1000</f>
        <v>#REF!</v>
      </c>
      <c r="W292" s="41">
        <f>D292/'1. Väestöennuste'!F292*1000</f>
        <v>99.627560521415276</v>
      </c>
      <c r="X292" s="41">
        <f>E292/'1. Väestöennuste'!G292*1000</f>
        <v>446.03629417383002</v>
      </c>
      <c r="Y292" s="41">
        <f>F292/'1. Väestöennuste'!H292*1000</f>
        <v>268.70748299319729</v>
      </c>
      <c r="Z292" s="41">
        <f>G292/'1. Väestöennuste'!I292*1000</f>
        <v>77.954319761668316</v>
      </c>
      <c r="AA292" s="41">
        <f>H292/'1. Väestöennuste'!J292*1000</f>
        <v>741.40738846548425</v>
      </c>
      <c r="AB292" s="41">
        <f>I292/'1. Väestöennuste'!K292*1000</f>
        <v>1236.5785642430876</v>
      </c>
      <c r="AC292" s="41">
        <f>J292/'1. Väestöennuste'!L292*1000</f>
        <v>526.30851250900173</v>
      </c>
      <c r="AD292" s="41">
        <f>K292/'1. Väestöennuste'!M292*1000</f>
        <v>454.99503679994945</v>
      </c>
      <c r="AE292" s="41">
        <f>L292/'1. Väestöennuste'!N292*1000</f>
        <v>612.96637323228242</v>
      </c>
      <c r="AF292" s="41">
        <f>M292/'1. Väestöennuste'!O292*1000</f>
        <v>71.970194076617446</v>
      </c>
      <c r="AG292" s="41">
        <f>N292/'1. Väestöennuste'!P292*1000</f>
        <v>-25.511308799143492</v>
      </c>
      <c r="AH292" s="41">
        <f>O292/'1. Väestöennuste'!Q292*1000</f>
        <v>-139.69880050075628</v>
      </c>
      <c r="AI292" s="41">
        <f>P292/'1. Väestöennuste'!R292*1000</f>
        <v>-23.470797965763996</v>
      </c>
      <c r="AK292" s="41">
        <f>'6. Poistot'!Z292</f>
        <v>311.32075471698113</v>
      </c>
      <c r="AL292" s="41">
        <f>'6. Poistot'!AA292</f>
        <v>318.45841784989858</v>
      </c>
      <c r="AM292" s="41">
        <f>'6. Poistot'!AB292</f>
        <v>373.55184956208143</v>
      </c>
      <c r="AN292" s="41">
        <f>'6. Poistot'!AC292</f>
        <v>431.88269271383319</v>
      </c>
      <c r="AO292" s="41">
        <f>'6. Poistot'!AD292</f>
        <v>481.45024802110817</v>
      </c>
      <c r="AP292" s="41">
        <f>'6. Poistot'!AE292</f>
        <v>426.13348041919477</v>
      </c>
      <c r="AQ292" s="41">
        <f>'6. Poistot'!AF292</f>
        <v>426.67415730337075</v>
      </c>
      <c r="AR292" s="41">
        <f>'6. Poistot'!AG292</f>
        <v>464.60526315789474</v>
      </c>
      <c r="AS292" s="41">
        <f>'6. Poistot'!AH292</f>
        <v>487.97116599802246</v>
      </c>
      <c r="AT292" s="41">
        <f>'6. Poistot'!AI292</f>
        <v>511.86437322037028</v>
      </c>
      <c r="AV292" s="4">
        <f t="shared" si="80"/>
        <v>0</v>
      </c>
      <c r="AW292" s="4">
        <f t="shared" si="81"/>
        <v>0</v>
      </c>
      <c r="AX292" s="4">
        <f t="shared" si="82"/>
        <v>1</v>
      </c>
      <c r="AY292" s="4">
        <f t="shared" si="83"/>
        <v>0</v>
      </c>
      <c r="AZ292" s="4">
        <f t="shared" si="84"/>
        <v>1</v>
      </c>
      <c r="BA292" s="4">
        <f t="shared" si="85"/>
        <v>1</v>
      </c>
      <c r="BB292" s="4">
        <f t="shared" si="86"/>
        <v>1</v>
      </c>
      <c r="BC292" s="4">
        <f t="shared" si="87"/>
        <v>1</v>
      </c>
      <c r="BE292" s="405">
        <f t="shared" si="88"/>
        <v>0</v>
      </c>
      <c r="BF292" s="405">
        <f t="shared" si="89"/>
        <v>0</v>
      </c>
      <c r="BG292" s="405">
        <f t="shared" si="90"/>
        <v>0</v>
      </c>
      <c r="BH292" s="405">
        <f t="shared" si="91"/>
        <v>0</v>
      </c>
      <c r="BI292" s="405">
        <f t="shared" si="92"/>
        <v>0</v>
      </c>
      <c r="BJ292" s="405">
        <f t="shared" si="93"/>
        <v>0</v>
      </c>
      <c r="BK292" s="405">
        <f t="shared" si="94"/>
        <v>0</v>
      </c>
      <c r="BL292" s="405">
        <f t="shared" si="95"/>
        <v>-1</v>
      </c>
      <c r="BM292" s="405">
        <f t="shared" si="96"/>
        <v>-1</v>
      </c>
      <c r="BN292" s="405">
        <f t="shared" si="96"/>
        <v>-1</v>
      </c>
    </row>
    <row r="293" spans="1:66" x14ac:dyDescent="0.2">
      <c r="A293" s="34">
        <v>922</v>
      </c>
      <c r="B293" s="88" t="s">
        <v>607</v>
      </c>
      <c r="C293" s="41" t="e">
        <f>'2. Toimintakate'!D293+'3. Verotulot'!G293+'4. Valtionosuudet'!#REF!+'5. Rahoitustuotot ja -kulut'!C293</f>
        <v>#REF!</v>
      </c>
      <c r="D293" s="41">
        <f>'2. Toimintakate'!E293+'4. Valtionosuudet'!H293+'3. Verotulot'!L293+'5. Rahoitustuotot ja -kulut'!D293</f>
        <v>2846</v>
      </c>
      <c r="E293" s="41">
        <f>'2. Toimintakate'!F293+'4. Valtionosuudet'!N293+'3. Verotulot'!Q293+'5. Rahoitustuotot ja -kulut'!E293</f>
        <v>1968</v>
      </c>
      <c r="F293" s="41">
        <f>'2. Toimintakate'!G293+'4. Valtionosuudet'!T293+'3. Verotulot'!V293+'5. Rahoitustuotot ja -kulut'!F293</f>
        <v>-138</v>
      </c>
      <c r="G293" s="41">
        <f>'2. Toimintakate'!H293+'3. Verotulot'!AA293+'4. Valtionosuudet'!Z293+'5. Rahoitustuotot ja -kulut'!G293</f>
        <v>1541</v>
      </c>
      <c r="H293" s="41">
        <f>Käyttökate!H293+'5. Rahoitustuotot ja -kulut'!H293</f>
        <v>3080.5798445422242</v>
      </c>
      <c r="I293" s="41">
        <f>Käyttökate!I293+'5. Rahoitustuotot ja -kulut'!I293</f>
        <v>1868.7244482680201</v>
      </c>
      <c r="J293" s="41">
        <f>Käyttökate!J293+'5. Rahoitustuotot ja -kulut'!J293</f>
        <v>2721.448383891639</v>
      </c>
      <c r="K293" s="41">
        <f>Käyttökate!K293+'5. Rahoitustuotot ja -kulut'!K293</f>
        <v>1937.0967789843253</v>
      </c>
      <c r="L293" s="41">
        <f>Käyttökate!L293+'5. Rahoitustuotot ja -kulut'!L293</f>
        <v>1013.0479344985516</v>
      </c>
      <c r="M293" s="41">
        <f>Käyttökate!M293+'5. Rahoitustuotot ja -kulut'!M293</f>
        <v>915.55537792517657</v>
      </c>
      <c r="N293" s="41">
        <f>Käyttökate!N293+'5. Rahoitustuotot ja -kulut'!N293</f>
        <v>-296.6796740009932</v>
      </c>
      <c r="O293" s="41">
        <f>Käyttökate!O293+'5. Rahoitustuotot ja -kulut'!O293</f>
        <v>-331.34341451443373</v>
      </c>
      <c r="P293" s="41">
        <f>Käyttökate!P293+'5. Rahoitustuotot ja -kulut'!P293</f>
        <v>-276.79517087631058</v>
      </c>
      <c r="T293" s="34">
        <v>922</v>
      </c>
      <c r="U293" s="88" t="s">
        <v>607</v>
      </c>
      <c r="V293" s="41" t="e">
        <f>C293/'1. Väestöennuste'!E293*1000</f>
        <v>#REF!</v>
      </c>
      <c r="W293" s="41">
        <f>D293/'1. Väestöennuste'!F293*1000</f>
        <v>637.83056925145672</v>
      </c>
      <c r="X293" s="41">
        <f>E293/'1. Väestöennuste'!G293*1000</f>
        <v>441.25560538116594</v>
      </c>
      <c r="Y293" s="41">
        <f>F293/'1. Väestöennuste'!H293*1000</f>
        <v>-31.413612565445025</v>
      </c>
      <c r="Z293" s="41">
        <f>G293/'1. Väestöennuste'!I293*1000</f>
        <v>353.84615384615387</v>
      </c>
      <c r="AA293" s="41">
        <f>H293/'1. Väestöennuste'!J293*1000</f>
        <v>705.42245123476619</v>
      </c>
      <c r="AB293" s="41">
        <f>I293/'1. Väestöennuste'!K293*1000</f>
        <v>420.50505136544109</v>
      </c>
      <c r="AC293" s="41">
        <f>J293/'1. Väestöennuste'!L293*1000</f>
        <v>604.63194487705823</v>
      </c>
      <c r="AD293" s="41">
        <f>K293/'1. Väestöennuste'!M293*1000</f>
        <v>433.45195322987814</v>
      </c>
      <c r="AE293" s="41">
        <f>L293/'1. Väestöennuste'!N293*1000</f>
        <v>235.53776668183019</v>
      </c>
      <c r="AF293" s="41">
        <f>M293/'1. Väestöennuste'!O293*1000</f>
        <v>213.41617201053069</v>
      </c>
      <c r="AG293" s="41">
        <f>N293/'1. Väestöennuste'!P293*1000</f>
        <v>-69.252958450278527</v>
      </c>
      <c r="AH293" s="41">
        <f>O293/'1. Väestöennuste'!Q293*1000</f>
        <v>-77.452878568123822</v>
      </c>
      <c r="AI293" s="41">
        <f>P293/'1. Väestöennuste'!R293*1000</f>
        <v>-64.792877077788049</v>
      </c>
      <c r="AK293" s="41">
        <f>'6. Poistot'!Z293</f>
        <v>359.58668197474168</v>
      </c>
      <c r="AL293" s="41">
        <f>'6. Poistot'!AA293</f>
        <v>348.52301351041905</v>
      </c>
      <c r="AM293" s="41">
        <f>'6. Poistot'!AB293</f>
        <v>333.51095634563455</v>
      </c>
      <c r="AN293" s="41">
        <f>'6. Poistot'!AC293</f>
        <v>301.38571872917134</v>
      </c>
      <c r="AO293" s="41">
        <f>'6. Poistot'!AD293</f>
        <v>310.80873573506381</v>
      </c>
      <c r="AP293" s="41">
        <f>'6. Poistot'!AE293</f>
        <v>369.31341548477099</v>
      </c>
      <c r="AQ293" s="41">
        <f>'6. Poistot'!AF293</f>
        <v>482.20093240093234</v>
      </c>
      <c r="AR293" s="41">
        <f>'6. Poistot'!AG293</f>
        <v>490.62955182072824</v>
      </c>
      <c r="AS293" s="41">
        <f>'6. Poistot'!AH293</f>
        <v>507.1706951464937</v>
      </c>
      <c r="AT293" s="41">
        <f>'6. Poistot'!AI293</f>
        <v>523.75830235800572</v>
      </c>
      <c r="AV293" s="4">
        <f t="shared" si="80"/>
        <v>0</v>
      </c>
      <c r="AW293" s="4">
        <f t="shared" si="81"/>
        <v>0</v>
      </c>
      <c r="AX293" s="4">
        <f t="shared" si="82"/>
        <v>0</v>
      </c>
      <c r="AY293" s="4">
        <f t="shared" si="83"/>
        <v>1</v>
      </c>
      <c r="AZ293" s="4">
        <f t="shared" si="84"/>
        <v>1</v>
      </c>
      <c r="BA293" s="4">
        <f t="shared" si="85"/>
        <v>1</v>
      </c>
      <c r="BB293" s="4">
        <f t="shared" si="86"/>
        <v>1</v>
      </c>
      <c r="BC293" s="4">
        <f t="shared" si="87"/>
        <v>1</v>
      </c>
      <c r="BE293" s="405">
        <f t="shared" si="88"/>
        <v>0</v>
      </c>
      <c r="BF293" s="405">
        <f t="shared" si="89"/>
        <v>0</v>
      </c>
      <c r="BG293" s="405">
        <f t="shared" si="90"/>
        <v>0</v>
      </c>
      <c r="BH293" s="405">
        <f t="shared" si="91"/>
        <v>0</v>
      </c>
      <c r="BI293" s="405">
        <f t="shared" si="92"/>
        <v>0</v>
      </c>
      <c r="BJ293" s="405">
        <f t="shared" si="93"/>
        <v>0</v>
      </c>
      <c r="BK293" s="405">
        <f t="shared" si="94"/>
        <v>0</v>
      </c>
      <c r="BL293" s="405">
        <f t="shared" si="95"/>
        <v>-1</v>
      </c>
      <c r="BM293" s="405">
        <f t="shared" si="96"/>
        <v>-1</v>
      </c>
      <c r="BN293" s="405">
        <f t="shared" si="96"/>
        <v>-1</v>
      </c>
    </row>
    <row r="294" spans="1:66" x14ac:dyDescent="0.2">
      <c r="A294" s="34">
        <v>924</v>
      </c>
      <c r="B294" s="88" t="s">
        <v>608</v>
      </c>
      <c r="C294" s="41" t="e">
        <f>'2. Toimintakate'!D294+'3. Verotulot'!G294+'4. Valtionosuudet'!#REF!+'5. Rahoitustuotot ja -kulut'!C294</f>
        <v>#REF!</v>
      </c>
      <c r="D294" s="41">
        <f>'2. Toimintakate'!E294+'4. Valtionosuudet'!H294+'3. Verotulot'!L294+'5. Rahoitustuotot ja -kulut'!D294</f>
        <v>964</v>
      </c>
      <c r="E294" s="41">
        <f>'2. Toimintakate'!F294+'4. Valtionosuudet'!N294+'3. Verotulot'!Q294+'5. Rahoitustuotot ja -kulut'!E294</f>
        <v>814</v>
      </c>
      <c r="F294" s="41">
        <f>'2. Toimintakate'!G294+'4. Valtionosuudet'!T294+'3. Verotulot'!V294+'5. Rahoitustuotot ja -kulut'!F294</f>
        <v>1756</v>
      </c>
      <c r="G294" s="41">
        <f>'2. Toimintakate'!H294+'3. Verotulot'!AA294+'4. Valtionosuudet'!Z294+'5. Rahoitustuotot ja -kulut'!G294</f>
        <v>349</v>
      </c>
      <c r="H294" s="41">
        <f>Käyttökate!H294+'5. Rahoitustuotot ja -kulut'!H294</f>
        <v>1065.5860429398545</v>
      </c>
      <c r="I294" s="41">
        <f>Käyttökate!I294+'5. Rahoitustuotot ja -kulut'!I294</f>
        <v>1828.0694627832181</v>
      </c>
      <c r="J294" s="41">
        <f>Käyttökate!J294+'5. Rahoitustuotot ja -kulut'!J294</f>
        <v>2503.213347765125</v>
      </c>
      <c r="K294" s="41">
        <f>Käyttökate!K294+'5. Rahoitustuotot ja -kulut'!K294</f>
        <v>727.63487264446815</v>
      </c>
      <c r="L294" s="41">
        <f>Käyttökate!L294+'5. Rahoitustuotot ja -kulut'!L294</f>
        <v>737.79107194155984</v>
      </c>
      <c r="M294" s="41">
        <f>Käyttökate!M294+'5. Rahoitustuotot ja -kulut'!M294</f>
        <v>392.99377081456913</v>
      </c>
      <c r="N294" s="41">
        <f>Käyttökate!N294+'5. Rahoitustuotot ja -kulut'!N294</f>
        <v>471.06207175458394</v>
      </c>
      <c r="O294" s="41">
        <f>Käyttökate!O294+'5. Rahoitustuotot ja -kulut'!O294</f>
        <v>151.5921187316016</v>
      </c>
      <c r="P294" s="41">
        <f>Käyttökate!P294+'5. Rahoitustuotot ja -kulut'!P294</f>
        <v>381.60932074997595</v>
      </c>
      <c r="T294" s="34">
        <v>924</v>
      </c>
      <c r="U294" s="88" t="s">
        <v>608</v>
      </c>
      <c r="V294" s="41" t="e">
        <f>C294/'1. Väestöennuste'!E294*1000</f>
        <v>#REF!</v>
      </c>
      <c r="W294" s="41">
        <f>D294/'1. Väestöennuste'!F294*1000</f>
        <v>295.79625652040505</v>
      </c>
      <c r="X294" s="41">
        <f>E294/'1. Väestöennuste'!G294*1000</f>
        <v>253.10945273631842</v>
      </c>
      <c r="Y294" s="41">
        <f>F294/'1. Väestöennuste'!H294*1000</f>
        <v>554.64308275426413</v>
      </c>
      <c r="Z294" s="41">
        <f>G294/'1. Väestöennuste'!I294*1000</f>
        <v>112.07450224791266</v>
      </c>
      <c r="AA294" s="41">
        <f>H294/'1. Väestöennuste'!J294*1000</f>
        <v>347.66265675036033</v>
      </c>
      <c r="AB294" s="41">
        <f>I294/'1. Väestöennuste'!K294*1000</f>
        <v>608.54509413555854</v>
      </c>
      <c r="AC294" s="41">
        <f>J294/'1. Väestöennuste'!L294*1000</f>
        <v>849.69903182794474</v>
      </c>
      <c r="AD294" s="41">
        <f>K294/'1. Väestöennuste'!M294*1000</f>
        <v>247.83204109144012</v>
      </c>
      <c r="AE294" s="41">
        <f>L294/'1. Väestöennuste'!N294*1000</f>
        <v>255.55631172205051</v>
      </c>
      <c r="AF294" s="41">
        <f>M294/'1. Väestöennuste'!O294*1000</f>
        <v>138.23206852429445</v>
      </c>
      <c r="AG294" s="41">
        <f>N294/'1. Väestöennuste'!P294*1000</f>
        <v>168.17639120120811</v>
      </c>
      <c r="AH294" s="41">
        <f>O294/'1. Väestöennuste'!Q294*1000</f>
        <v>54.964510054967946</v>
      </c>
      <c r="AI294" s="41">
        <f>P294/'1. Väestöennuste'!R294*1000</f>
        <v>140.50416817009423</v>
      </c>
      <c r="AK294" s="41">
        <f>'6. Poistot'!Z294</f>
        <v>334.61785484906869</v>
      </c>
      <c r="AL294" s="41">
        <f>'6. Poistot'!AA294</f>
        <v>353.67047308319735</v>
      </c>
      <c r="AM294" s="41">
        <f>'6. Poistot'!AB294</f>
        <v>339.53108189081229</v>
      </c>
      <c r="AN294" s="41">
        <f>'6. Poistot'!AC294</f>
        <v>357.14184317718951</v>
      </c>
      <c r="AO294" s="41">
        <f>'6. Poistot'!AD294</f>
        <v>329.15341280653956</v>
      </c>
      <c r="AP294" s="41">
        <f>'6. Poistot'!AE294</f>
        <v>351.55871146518882</v>
      </c>
      <c r="AQ294" s="41">
        <f>'6. Poistot'!AF294</f>
        <v>357.51319029194514</v>
      </c>
      <c r="AR294" s="41">
        <f>'6. Poistot'!AG294</f>
        <v>362.3527311674402</v>
      </c>
      <c r="AS294" s="41">
        <f>'6. Poistot'!AH294</f>
        <v>379.87625902225449</v>
      </c>
      <c r="AT294" s="41">
        <f>'6. Poistot'!AI294</f>
        <v>397.80833754298794</v>
      </c>
      <c r="AV294" s="4">
        <f t="shared" si="80"/>
        <v>0</v>
      </c>
      <c r="AW294" s="4">
        <f t="shared" si="81"/>
        <v>0</v>
      </c>
      <c r="AX294" s="4">
        <f t="shared" si="82"/>
        <v>1</v>
      </c>
      <c r="AY294" s="4">
        <f t="shared" si="83"/>
        <v>1</v>
      </c>
      <c r="AZ294" s="4">
        <f t="shared" si="84"/>
        <v>1</v>
      </c>
      <c r="BA294" s="4">
        <f t="shared" si="85"/>
        <v>1</v>
      </c>
      <c r="BB294" s="4">
        <f t="shared" si="86"/>
        <v>1</v>
      </c>
      <c r="BC294" s="4">
        <f t="shared" si="87"/>
        <v>1</v>
      </c>
      <c r="BE294" s="405">
        <f t="shared" si="88"/>
        <v>0</v>
      </c>
      <c r="BF294" s="405">
        <f t="shared" si="89"/>
        <v>0</v>
      </c>
      <c r="BG294" s="405">
        <f t="shared" si="90"/>
        <v>0</v>
      </c>
      <c r="BH294" s="405">
        <f t="shared" si="91"/>
        <v>0</v>
      </c>
      <c r="BI294" s="405">
        <f t="shared" si="92"/>
        <v>0</v>
      </c>
      <c r="BJ294" s="405">
        <f t="shared" si="93"/>
        <v>0</v>
      </c>
      <c r="BK294" s="405">
        <f t="shared" si="94"/>
        <v>0</v>
      </c>
      <c r="BL294" s="405">
        <f t="shared" si="95"/>
        <v>0</v>
      </c>
      <c r="BM294" s="405">
        <f t="shared" si="96"/>
        <v>0</v>
      </c>
      <c r="BN294" s="405">
        <f t="shared" si="96"/>
        <v>0</v>
      </c>
    </row>
    <row r="295" spans="1:66" x14ac:dyDescent="0.2">
      <c r="A295" s="34">
        <v>925</v>
      </c>
      <c r="B295" s="88" t="s">
        <v>609</v>
      </c>
      <c r="C295" s="41" t="e">
        <f>'2. Toimintakate'!D295+'3. Verotulot'!G295+'4. Valtionosuudet'!#REF!+'5. Rahoitustuotot ja -kulut'!C295</f>
        <v>#REF!</v>
      </c>
      <c r="D295" s="41">
        <f>'2. Toimintakate'!E295+'4. Valtionosuudet'!H295+'3. Verotulot'!L295+'5. Rahoitustuotot ja -kulut'!D295</f>
        <v>1133</v>
      </c>
      <c r="E295" s="41">
        <f>'2. Toimintakate'!F295+'4. Valtionosuudet'!N295+'3. Verotulot'!Q295+'5. Rahoitustuotot ja -kulut'!E295</f>
        <v>3638</v>
      </c>
      <c r="F295" s="41">
        <f>'2. Toimintakate'!G295+'4. Valtionosuudet'!T295+'3. Verotulot'!V295+'5. Rahoitustuotot ja -kulut'!F295</f>
        <v>3580</v>
      </c>
      <c r="G295" s="41">
        <f>'2. Toimintakate'!H295+'3. Verotulot'!AA295+'4. Valtionosuudet'!Z295+'5. Rahoitustuotot ja -kulut'!G295</f>
        <v>4433</v>
      </c>
      <c r="H295" s="41">
        <f>Käyttökate!H295+'5. Rahoitustuotot ja -kulut'!H295</f>
        <v>4331.768188670967</v>
      </c>
      <c r="I295" s="41">
        <f>Käyttökate!I295+'5. Rahoitustuotot ja -kulut'!I295</f>
        <v>5408.1770366144292</v>
      </c>
      <c r="J295" s="41">
        <f>Käyttökate!J295+'5. Rahoitustuotot ja -kulut'!J295</f>
        <v>4488.5565665471759</v>
      </c>
      <c r="K295" s="41">
        <f>Käyttökate!K295+'5. Rahoitustuotot ja -kulut'!K295</f>
        <v>3193.042095429651</v>
      </c>
      <c r="L295" s="41">
        <f>Käyttökate!L295+'5. Rahoitustuotot ja -kulut'!L295</f>
        <v>1738.2054398420082</v>
      </c>
      <c r="M295" s="41">
        <f>Käyttökate!M295+'5. Rahoitustuotot ja -kulut'!M295</f>
        <v>1405.257007493527</v>
      </c>
      <c r="N295" s="41">
        <f>Käyttökate!N295+'5. Rahoitustuotot ja -kulut'!N295</f>
        <v>1452.5206278771388</v>
      </c>
      <c r="O295" s="41">
        <f>Käyttökate!O295+'5. Rahoitustuotot ja -kulut'!O295</f>
        <v>1450.3048981623713</v>
      </c>
      <c r="P295" s="41">
        <f>Käyttökate!P295+'5. Rahoitustuotot ja -kulut'!P295</f>
        <v>1704.7560098425402</v>
      </c>
      <c r="T295" s="34">
        <v>925</v>
      </c>
      <c r="U295" s="88" t="s">
        <v>609</v>
      </c>
      <c r="V295" s="41" t="e">
        <f>C295/'1. Väestöennuste'!E295*1000</f>
        <v>#REF!</v>
      </c>
      <c r="W295" s="41">
        <f>D295/'1. Väestöennuste'!F295*1000</f>
        <v>304.4880408492341</v>
      </c>
      <c r="X295" s="41">
        <f>E295/'1. Väestöennuste'!G295*1000</f>
        <v>987.24559023066479</v>
      </c>
      <c r="Y295" s="41">
        <f>F295/'1. Väestöennuste'!H295*1000</f>
        <v>973.88465723612626</v>
      </c>
      <c r="Z295" s="41">
        <f>G295/'1. Väestöennuste'!I295*1000</f>
        <v>1238.6141380273818</v>
      </c>
      <c r="AA295" s="41">
        <f>H295/'1. Väestöennuste'!J295*1000</f>
        <v>1229.9171461303142</v>
      </c>
      <c r="AB295" s="41">
        <f>I295/'1. Väestöennuste'!K295*1000</f>
        <v>1549.6209273966845</v>
      </c>
      <c r="AC295" s="41">
        <f>J295/'1. Väestöennuste'!L295*1000</f>
        <v>1309.7626397861618</v>
      </c>
      <c r="AD295" s="41">
        <f>K295/'1. Väestöennuste'!M295*1000</f>
        <v>942.73460154403631</v>
      </c>
      <c r="AE295" s="41">
        <f>L295/'1. Väestöennuste'!N295*1000</f>
        <v>519.48757915182557</v>
      </c>
      <c r="AF295" s="41">
        <f>M295/'1. Väestöennuste'!O295*1000</f>
        <v>424.67724614491596</v>
      </c>
      <c r="AG295" s="41">
        <f>N295/'1. Väestöennuste'!P295*1000</f>
        <v>444.0601124662607</v>
      </c>
      <c r="AH295" s="41">
        <f>O295/'1. Väestöennuste'!Q295*1000</f>
        <v>448.17827508107888</v>
      </c>
      <c r="AI295" s="41">
        <f>P295/'1. Väestöennuste'!R295*1000</f>
        <v>532.56982500547952</v>
      </c>
      <c r="AK295" s="41">
        <f>'6. Poistot'!Z295</f>
        <v>367.97988264878455</v>
      </c>
      <c r="AL295" s="41">
        <f>'6. Poistot'!AA295</f>
        <v>283.07779670641679</v>
      </c>
      <c r="AM295" s="41">
        <f>'6. Poistot'!AB295</f>
        <v>304.47053581661885</v>
      </c>
      <c r="AN295" s="41">
        <f>'6. Poistot'!AC295</f>
        <v>309.20310767435075</v>
      </c>
      <c r="AO295" s="41">
        <f>'6. Poistot'!AD295</f>
        <v>326.98703572483026</v>
      </c>
      <c r="AP295" s="41">
        <f>'6. Poistot'!AE295</f>
        <v>373.05917513448895</v>
      </c>
      <c r="AQ295" s="41">
        <f>'6. Poistot'!AF295</f>
        <v>415.80840132970684</v>
      </c>
      <c r="AR295" s="41">
        <f>'6. Poistot'!AG295</f>
        <v>455.29501681442986</v>
      </c>
      <c r="AS295" s="41">
        <f>'6. Poistot'!AH295</f>
        <v>475.06900279751369</v>
      </c>
      <c r="AT295" s="41">
        <f>'6. Poistot'!AI295</f>
        <v>495.27540959247369</v>
      </c>
      <c r="AV295" s="4">
        <f t="shared" si="80"/>
        <v>0</v>
      </c>
      <c r="AW295" s="4">
        <f t="shared" si="81"/>
        <v>0</v>
      </c>
      <c r="AX295" s="4">
        <f t="shared" si="82"/>
        <v>0</v>
      </c>
      <c r="AY295" s="4">
        <f t="shared" si="83"/>
        <v>0</v>
      </c>
      <c r="AZ295" s="4">
        <f t="shared" si="84"/>
        <v>0</v>
      </c>
      <c r="BA295" s="4">
        <f t="shared" si="85"/>
        <v>1</v>
      </c>
      <c r="BB295" s="4">
        <f t="shared" si="86"/>
        <v>1</v>
      </c>
      <c r="BC295" s="4">
        <f t="shared" si="87"/>
        <v>0</v>
      </c>
      <c r="BE295" s="405">
        <f t="shared" si="88"/>
        <v>0</v>
      </c>
      <c r="BF295" s="405">
        <f t="shared" si="89"/>
        <v>0</v>
      </c>
      <c r="BG295" s="405">
        <f t="shared" si="90"/>
        <v>0</v>
      </c>
      <c r="BH295" s="405">
        <f t="shared" si="91"/>
        <v>0</v>
      </c>
      <c r="BI295" s="405">
        <f t="shared" si="92"/>
        <v>0</v>
      </c>
      <c r="BJ295" s="405">
        <f t="shared" si="93"/>
        <v>0</v>
      </c>
      <c r="BK295" s="405">
        <f t="shared" si="94"/>
        <v>0</v>
      </c>
      <c r="BL295" s="405">
        <f t="shared" si="95"/>
        <v>0</v>
      </c>
      <c r="BM295" s="405">
        <f t="shared" si="96"/>
        <v>0</v>
      </c>
      <c r="BN295" s="405">
        <f t="shared" si="96"/>
        <v>0</v>
      </c>
    </row>
    <row r="296" spans="1:66" x14ac:dyDescent="0.2">
      <c r="A296" s="34">
        <v>927</v>
      </c>
      <c r="B296" s="88" t="s">
        <v>610</v>
      </c>
      <c r="C296" s="41" t="e">
        <f>'2. Toimintakate'!D296+'3. Verotulot'!G296+'4. Valtionosuudet'!#REF!+'5. Rahoitustuotot ja -kulut'!C296</f>
        <v>#REF!</v>
      </c>
      <c r="D296" s="41">
        <f>'2. Toimintakate'!E296+'4. Valtionosuudet'!H296+'3. Verotulot'!L296+'5. Rahoitustuotot ja -kulut'!D296</f>
        <v>15899</v>
      </c>
      <c r="E296" s="41">
        <f>'2. Toimintakate'!F296+'4. Valtionosuudet'!N296+'3. Verotulot'!Q296+'5. Rahoitustuotot ja -kulut'!E296</f>
        <v>15223</v>
      </c>
      <c r="F296" s="41">
        <f>'2. Toimintakate'!G296+'4. Valtionosuudet'!T296+'3. Verotulot'!V296+'5. Rahoitustuotot ja -kulut'!F296</f>
        <v>4652</v>
      </c>
      <c r="G296" s="41">
        <f>'2. Toimintakate'!H296+'3. Verotulot'!AA296+'4. Valtionosuudet'!Z296+'5. Rahoitustuotot ja -kulut'!G296</f>
        <v>-193</v>
      </c>
      <c r="H296" s="41">
        <f>Käyttökate!H296+'5. Rahoitustuotot ja -kulut'!H296</f>
        <v>20079.91744226234</v>
      </c>
      <c r="I296" s="41">
        <f>Käyttökate!I296+'5. Rahoitustuotot ja -kulut'!I296</f>
        <v>18237.600348634183</v>
      </c>
      <c r="J296" s="41">
        <f>Käyttökate!J296+'5. Rahoitustuotot ja -kulut'!J296</f>
        <v>19630.860315181511</v>
      </c>
      <c r="K296" s="41">
        <f>Käyttökate!K296+'5. Rahoitustuotot ja -kulut'!K296</f>
        <v>36134.002827866359</v>
      </c>
      <c r="L296" s="41">
        <f>Käyttökate!L296+'5. Rahoitustuotot ja -kulut'!L296</f>
        <v>16238.40434696961</v>
      </c>
      <c r="M296" s="41">
        <f>Käyttökate!M296+'5. Rahoitustuotot ja -kulut'!M296</f>
        <v>27403.316658423806</v>
      </c>
      <c r="N296" s="41">
        <f>Käyttökate!N296+'5. Rahoitustuotot ja -kulut'!N296</f>
        <v>26975.834484514115</v>
      </c>
      <c r="O296" s="41">
        <f>Käyttökate!O296+'5. Rahoitustuotot ja -kulut'!O296</f>
        <v>28172.639348326356</v>
      </c>
      <c r="P296" s="41">
        <f>Käyttökate!P296+'5. Rahoitustuotot ja -kulut'!P296</f>
        <v>29817.153897294982</v>
      </c>
      <c r="T296" s="34">
        <v>927</v>
      </c>
      <c r="U296" s="88" t="s">
        <v>610</v>
      </c>
      <c r="V296" s="41" t="e">
        <f>C296/'1. Väestöennuste'!E296*1000</f>
        <v>#REF!</v>
      </c>
      <c r="W296" s="41">
        <f>D296/'1. Väestöennuste'!F296*1000</f>
        <v>548.86595090965579</v>
      </c>
      <c r="X296" s="41">
        <f>E296/'1. Väestöennuste'!G296*1000</f>
        <v>523.95539340538312</v>
      </c>
      <c r="Y296" s="41">
        <f>F296/'1. Väestöennuste'!H296*1000</f>
        <v>159.25507514292562</v>
      </c>
      <c r="Z296" s="41">
        <f>G296/'1. Väestöennuste'!I296*1000</f>
        <v>-6.6191096783044108</v>
      </c>
      <c r="AA296" s="41">
        <f>H296/'1. Väestöennuste'!J296*1000</f>
        <v>688.61170926825582</v>
      </c>
      <c r="AB296" s="41">
        <f>I296/'1. Väestöennuste'!K296*1000</f>
        <v>623.74227397086713</v>
      </c>
      <c r="AC296" s="41">
        <f>J296/'1. Väestöennuste'!L296*1000</f>
        <v>678.96310708613817</v>
      </c>
      <c r="AD296" s="41">
        <f>K296/'1. Väestöennuste'!M296*1000</f>
        <v>1254.1738512327361</v>
      </c>
      <c r="AE296" s="41">
        <f>L296/'1. Väestöennuste'!N296*1000</f>
        <v>553.64488056493724</v>
      </c>
      <c r="AF296" s="41">
        <f>M296/'1. Väestöennuste'!O296*1000</f>
        <v>932.75185194948119</v>
      </c>
      <c r="AG296" s="41">
        <f>N296/'1. Väestöennuste'!P296*1000</f>
        <v>916.8593054351885</v>
      </c>
      <c r="AH296" s="41">
        <f>O296/'1. Väestöennuste'!Q296*1000</f>
        <v>956.23648592513598</v>
      </c>
      <c r="AI296" s="41">
        <f>P296/'1. Väestöennuste'!R296*1000</f>
        <v>1010.922322335819</v>
      </c>
      <c r="AK296" s="41">
        <f>'6. Poistot'!Z296</f>
        <v>360.38137046436657</v>
      </c>
      <c r="AL296" s="41">
        <f>'6. Poistot'!AA296</f>
        <v>400.10288065843616</v>
      </c>
      <c r="AM296" s="41">
        <f>'6. Poistot'!AB296</f>
        <v>403.88428571428574</v>
      </c>
      <c r="AN296" s="41">
        <f>'6. Poistot'!AC296</f>
        <v>383.22578909141214</v>
      </c>
      <c r="AO296" s="41">
        <f>'6. Poistot'!AD296</f>
        <v>352.01148519662627</v>
      </c>
      <c r="AP296" s="41">
        <f>'6. Poistot'!AE296</f>
        <v>468.59082850323904</v>
      </c>
      <c r="AQ296" s="41">
        <f>'6. Poistot'!AF296</f>
        <v>523.84819088464553</v>
      </c>
      <c r="AR296" s="41">
        <f>'6. Poistot'!AG296</f>
        <v>561.90530895248457</v>
      </c>
      <c r="AS296" s="41">
        <f>'6. Poistot'!AH296</f>
        <v>579.24843321349499</v>
      </c>
      <c r="AT296" s="41">
        <f>'6. Poistot'!AI296</f>
        <v>596.6861053965747</v>
      </c>
      <c r="AV296" s="4">
        <f t="shared" si="80"/>
        <v>0</v>
      </c>
      <c r="AW296" s="4">
        <f t="shared" si="81"/>
        <v>0</v>
      </c>
      <c r="AX296" s="4">
        <f t="shared" si="82"/>
        <v>0</v>
      </c>
      <c r="AY296" s="4">
        <f t="shared" si="83"/>
        <v>0</v>
      </c>
      <c r="AZ296" s="4">
        <f t="shared" si="84"/>
        <v>0</v>
      </c>
      <c r="BA296" s="4">
        <f t="shared" si="85"/>
        <v>0</v>
      </c>
      <c r="BB296" s="4">
        <f t="shared" si="86"/>
        <v>0</v>
      </c>
      <c r="BC296" s="4">
        <f t="shared" si="87"/>
        <v>0</v>
      </c>
      <c r="BE296" s="405">
        <f t="shared" si="88"/>
        <v>-1</v>
      </c>
      <c r="BF296" s="405">
        <f t="shared" si="89"/>
        <v>0</v>
      </c>
      <c r="BG296" s="405">
        <f t="shared" si="90"/>
        <v>0</v>
      </c>
      <c r="BH296" s="405">
        <f t="shared" si="91"/>
        <v>0</v>
      </c>
      <c r="BI296" s="405">
        <f t="shared" si="92"/>
        <v>0</v>
      </c>
      <c r="BJ296" s="405">
        <f t="shared" si="93"/>
        <v>0</v>
      </c>
      <c r="BK296" s="405">
        <f t="shared" si="94"/>
        <v>0</v>
      </c>
      <c r="BL296" s="405">
        <f t="shared" si="95"/>
        <v>0</v>
      </c>
      <c r="BM296" s="405">
        <f t="shared" si="96"/>
        <v>0</v>
      </c>
      <c r="BN296" s="405">
        <f t="shared" si="96"/>
        <v>0</v>
      </c>
    </row>
    <row r="297" spans="1:66" x14ac:dyDescent="0.2">
      <c r="A297" s="34">
        <v>931</v>
      </c>
      <c r="B297" s="88" t="s">
        <v>611</v>
      </c>
      <c r="C297" s="41" t="e">
        <f>'2. Toimintakate'!D297+'3. Verotulot'!G297+'4. Valtionosuudet'!#REF!+'5. Rahoitustuotot ja -kulut'!C297</f>
        <v>#REF!</v>
      </c>
      <c r="D297" s="41">
        <f>'2. Toimintakate'!E297+'4. Valtionosuudet'!H297+'3. Verotulot'!L297+'5. Rahoitustuotot ja -kulut'!D297</f>
        <v>3535</v>
      </c>
      <c r="E297" s="41">
        <f>'2. Toimintakate'!F297+'4. Valtionosuudet'!N297+'3. Verotulot'!Q297+'5. Rahoitustuotot ja -kulut'!E297</f>
        <v>5200</v>
      </c>
      <c r="F297" s="41">
        <f>'2. Toimintakate'!G297+'4. Valtionosuudet'!T297+'3. Verotulot'!V297+'5. Rahoitustuotot ja -kulut'!F297</f>
        <v>2849</v>
      </c>
      <c r="G297" s="41">
        <f>'2. Toimintakate'!H297+'3. Verotulot'!AA297+'4. Valtionosuudet'!Z297+'5. Rahoitustuotot ja -kulut'!G297</f>
        <v>1642</v>
      </c>
      <c r="H297" s="41">
        <f>Käyttökate!H297+'5. Rahoitustuotot ja -kulut'!H297</f>
        <v>3310.9890046548753</v>
      </c>
      <c r="I297" s="41">
        <f>Käyttökate!I297+'5. Rahoitustuotot ja -kulut'!I297</f>
        <v>5176.1762822490982</v>
      </c>
      <c r="J297" s="41">
        <f>Käyttökate!J297+'5. Rahoitustuotot ja -kulut'!J297</f>
        <v>1865.254659675785</v>
      </c>
      <c r="K297" s="41">
        <f>Käyttökate!K297+'5. Rahoitustuotot ja -kulut'!K297</f>
        <v>6479.2100710929863</v>
      </c>
      <c r="L297" s="41">
        <f>Käyttökate!L297+'5. Rahoitustuotot ja -kulut'!L297</f>
        <v>3536.3961135224399</v>
      </c>
      <c r="M297" s="41">
        <f>Käyttökate!M297+'5. Rahoitustuotot ja -kulut'!M297</f>
        <v>3679.1819896598208</v>
      </c>
      <c r="N297" s="41">
        <f>Käyttökate!N297+'5. Rahoitustuotot ja -kulut'!N297</f>
        <v>3910.4754199031086</v>
      </c>
      <c r="O297" s="41">
        <f>Käyttökate!O297+'5. Rahoitustuotot ja -kulut'!O297</f>
        <v>3773.6939647883391</v>
      </c>
      <c r="P297" s="41">
        <f>Käyttökate!P297+'5. Rahoitustuotot ja -kulut'!P297</f>
        <v>4585.09228342592</v>
      </c>
      <c r="T297" s="34">
        <v>931</v>
      </c>
      <c r="U297" s="88" t="s">
        <v>611</v>
      </c>
      <c r="V297" s="41" t="e">
        <f>C297/'1. Väestöennuste'!E297*1000</f>
        <v>#REF!</v>
      </c>
      <c r="W297" s="41">
        <f>D297/'1. Väestöennuste'!F297*1000</f>
        <v>535.03859542909038</v>
      </c>
      <c r="X297" s="41">
        <f>E297/'1. Väestöennuste'!G297*1000</f>
        <v>811.10591171424119</v>
      </c>
      <c r="Y297" s="41">
        <f>F297/'1. Väestöennuste'!H297*1000</f>
        <v>454.82120051085565</v>
      </c>
      <c r="Z297" s="41">
        <f>G297/'1. Väestöennuste'!I297*1000</f>
        <v>265.86787564766837</v>
      </c>
      <c r="AA297" s="41">
        <f>H297/'1. Väestöennuste'!J297*1000</f>
        <v>543.05215756189534</v>
      </c>
      <c r="AB297" s="41">
        <f>I297/'1. Väestöennuste'!K297*1000</f>
        <v>852.74732821237194</v>
      </c>
      <c r="AC297" s="41">
        <f>J297/'1. Väestöennuste'!L297*1000</f>
        <v>313.43549986149975</v>
      </c>
      <c r="AD297" s="41">
        <f>K297/'1. Väestöennuste'!M297*1000</f>
        <v>1102.4689588383505</v>
      </c>
      <c r="AE297" s="41">
        <f>L297/'1. Väestöennuste'!N297*1000</f>
        <v>622.16680392724129</v>
      </c>
      <c r="AF297" s="41">
        <f>M297/'1. Väestöennuste'!O297*1000</f>
        <v>657.34893508304822</v>
      </c>
      <c r="AG297" s="41">
        <f>N297/'1. Väestöennuste'!P297*1000</f>
        <v>709.19031916995084</v>
      </c>
      <c r="AH297" s="41">
        <f>O297/'1. Väestöennuste'!Q297*1000</f>
        <v>694.45969171666161</v>
      </c>
      <c r="AI297" s="41">
        <f>P297/'1. Väestöennuste'!R297*1000</f>
        <v>855.42766481826857</v>
      </c>
      <c r="AK297" s="41">
        <f>'6. Poistot'!Z297</f>
        <v>429.72797927461136</v>
      </c>
      <c r="AL297" s="41">
        <f>'6. Poistot'!AA297</f>
        <v>416.76234213547644</v>
      </c>
      <c r="AM297" s="41">
        <f>'6. Poistot'!AB297</f>
        <v>435.5580411861614</v>
      </c>
      <c r="AN297" s="41">
        <f>'6. Poistot'!AC297</f>
        <v>477.60570156276253</v>
      </c>
      <c r="AO297" s="41">
        <f>'6. Poistot'!AD297</f>
        <v>479.71376722817763</v>
      </c>
      <c r="AP297" s="41">
        <f>'6. Poistot'!AE297</f>
        <v>493.17241379310343</v>
      </c>
      <c r="AQ297" s="41">
        <f>'6. Poistot'!AF297</f>
        <v>553.86814364838312</v>
      </c>
      <c r="AR297" s="41">
        <f>'6. Poistot'!AG297</f>
        <v>607.54443235400799</v>
      </c>
      <c r="AS297" s="41">
        <f>'6. Poistot'!AH297</f>
        <v>636.38061114862705</v>
      </c>
      <c r="AT297" s="41">
        <f>'6. Poistot'!AI297</f>
        <v>665.33292573941776</v>
      </c>
      <c r="AV297" s="4">
        <f t="shared" si="80"/>
        <v>0</v>
      </c>
      <c r="AW297" s="4">
        <f t="shared" si="81"/>
        <v>1</v>
      </c>
      <c r="AX297" s="4">
        <f t="shared" si="82"/>
        <v>0</v>
      </c>
      <c r="AY297" s="4">
        <f t="shared" si="83"/>
        <v>0</v>
      </c>
      <c r="AZ297" s="4">
        <f t="shared" si="84"/>
        <v>0</v>
      </c>
      <c r="BA297" s="4">
        <f t="shared" si="85"/>
        <v>0</v>
      </c>
      <c r="BB297" s="4">
        <f t="shared" si="86"/>
        <v>0</v>
      </c>
      <c r="BC297" s="4">
        <f t="shared" si="87"/>
        <v>0</v>
      </c>
      <c r="BE297" s="405">
        <f t="shared" si="88"/>
        <v>0</v>
      </c>
      <c r="BF297" s="405">
        <f t="shared" si="89"/>
        <v>0</v>
      </c>
      <c r="BG297" s="405">
        <f t="shared" si="90"/>
        <v>0</v>
      </c>
      <c r="BH297" s="405">
        <f t="shared" si="91"/>
        <v>0</v>
      </c>
      <c r="BI297" s="405">
        <f t="shared" si="92"/>
        <v>0</v>
      </c>
      <c r="BJ297" s="405">
        <f t="shared" si="93"/>
        <v>0</v>
      </c>
      <c r="BK297" s="405">
        <f t="shared" si="94"/>
        <v>0</v>
      </c>
      <c r="BL297" s="405">
        <f t="shared" si="95"/>
        <v>0</v>
      </c>
      <c r="BM297" s="405">
        <f t="shared" si="96"/>
        <v>0</v>
      </c>
      <c r="BN297" s="405">
        <f t="shared" si="96"/>
        <v>0</v>
      </c>
    </row>
    <row r="298" spans="1:66" x14ac:dyDescent="0.2">
      <c r="A298" s="34">
        <v>934</v>
      </c>
      <c r="B298" s="88" t="s">
        <v>612</v>
      </c>
      <c r="C298" s="41" t="e">
        <f>'2. Toimintakate'!D298+'3. Verotulot'!G298+'4. Valtionosuudet'!#REF!+'5. Rahoitustuotot ja -kulut'!C298</f>
        <v>#REF!</v>
      </c>
      <c r="D298" s="41">
        <f>'2. Toimintakate'!E298+'4. Valtionosuudet'!H298+'3. Verotulot'!L298+'5. Rahoitustuotot ja -kulut'!D298</f>
        <v>2352</v>
      </c>
      <c r="E298" s="41">
        <f>'2. Toimintakate'!F298+'4. Valtionosuudet'!N298+'3. Verotulot'!Q298+'5. Rahoitustuotot ja -kulut'!E298</f>
        <v>1826</v>
      </c>
      <c r="F298" s="41">
        <f>'2. Toimintakate'!G298+'4. Valtionosuudet'!T298+'3. Verotulot'!V298+'5. Rahoitustuotot ja -kulut'!F298</f>
        <v>354</v>
      </c>
      <c r="G298" s="41">
        <f>'2. Toimintakate'!H298+'3. Verotulot'!AA298+'4. Valtionosuudet'!Z298+'5. Rahoitustuotot ja -kulut'!G298</f>
        <v>-214</v>
      </c>
      <c r="H298" s="41">
        <f>Käyttökate!H298+'5. Rahoitustuotot ja -kulut'!H298</f>
        <v>2223.1033308771275</v>
      </c>
      <c r="I298" s="41">
        <f>Käyttökate!I298+'5. Rahoitustuotot ja -kulut'!I298</f>
        <v>2043.6852338625317</v>
      </c>
      <c r="J298" s="41">
        <f>Käyttökate!J298+'5. Rahoitustuotot ja -kulut'!J298</f>
        <v>1832.727065598958</v>
      </c>
      <c r="K298" s="41">
        <f>Käyttökate!K298+'5. Rahoitustuotot ja -kulut'!K298</f>
        <v>1465.39495279526</v>
      </c>
      <c r="L298" s="41">
        <f>Käyttökate!L298+'5. Rahoitustuotot ja -kulut'!L298</f>
        <v>805.05408904366902</v>
      </c>
      <c r="M298" s="41">
        <f>Käyttökate!M298+'5. Rahoitustuotot ja -kulut'!M298</f>
        <v>281.57679594841102</v>
      </c>
      <c r="N298" s="41">
        <f>Käyttökate!N298+'5. Rahoitustuotot ja -kulut'!N298</f>
        <v>62.152574237254157</v>
      </c>
      <c r="O298" s="41">
        <f>Käyttökate!O298+'5. Rahoitustuotot ja -kulut'!O298</f>
        <v>-68.598711306593543</v>
      </c>
      <c r="P298" s="41">
        <f>Käyttökate!P298+'5. Rahoitustuotot ja -kulut'!P298</f>
        <v>168.39525145348625</v>
      </c>
      <c r="T298" s="34">
        <v>934</v>
      </c>
      <c r="U298" s="88" t="s">
        <v>612</v>
      </c>
      <c r="V298" s="41" t="e">
        <f>C298/'1. Väestöennuste'!E298*1000</f>
        <v>#REF!</v>
      </c>
      <c r="W298" s="41">
        <f>D298/'1. Väestöennuste'!F298*1000</f>
        <v>777.52066115702473</v>
      </c>
      <c r="X298" s="41">
        <f>E298/'1. Väestöennuste'!G298*1000</f>
        <v>613.98789509078676</v>
      </c>
      <c r="Y298" s="41">
        <f>F298/'1. Väestöennuste'!H298*1000</f>
        <v>122.02688728024819</v>
      </c>
      <c r="Z298" s="41">
        <f>G298/'1. Väestöennuste'!I298*1000</f>
        <v>-75.698620445702161</v>
      </c>
      <c r="AA298" s="41">
        <f>H298/'1. Väestöennuste'!J298*1000</f>
        <v>798.52849528632453</v>
      </c>
      <c r="AB298" s="41">
        <f>I298/'1. Väestöennuste'!K298*1000</f>
        <v>741.54036061775469</v>
      </c>
      <c r="AC298" s="41">
        <f>J298/'1. Väestöennuste'!L298*1000</f>
        <v>686.15764342903708</v>
      </c>
      <c r="AD298" s="41">
        <f>K298/'1. Väestöennuste'!M298*1000</f>
        <v>551.73002740785398</v>
      </c>
      <c r="AE298" s="41">
        <f>L298/'1. Väestöennuste'!N298*1000</f>
        <v>315.08966303079023</v>
      </c>
      <c r="AF298" s="41">
        <f>M298/'1. Väestöennuste'!O298*1000</f>
        <v>112.54068583069984</v>
      </c>
      <c r="AG298" s="41">
        <f>N298/'1. Väestöennuste'!P298*1000</f>
        <v>25.327047366444237</v>
      </c>
      <c r="AH298" s="41">
        <f>O298/'1. Väestöennuste'!Q298*1000</f>
        <v>-28.476011335240159</v>
      </c>
      <c r="AI298" s="41">
        <f>P298/'1. Väestöennuste'!R298*1000</f>
        <v>71.112859566506017</v>
      </c>
      <c r="AK298" s="41">
        <f>'6. Poistot'!Z298</f>
        <v>332.50795896710292</v>
      </c>
      <c r="AL298" s="41">
        <f>'6. Poistot'!AA298</f>
        <v>352.01149425287355</v>
      </c>
      <c r="AM298" s="41">
        <f>'6. Poistot'!AB298</f>
        <v>387.415148766328</v>
      </c>
      <c r="AN298" s="41">
        <f>'6. Poistot'!AC298</f>
        <v>388.98808685885439</v>
      </c>
      <c r="AO298" s="41">
        <f>'6. Poistot'!AD298</f>
        <v>376.86884036144579</v>
      </c>
      <c r="AP298" s="41">
        <f>'6. Poistot'!AE298</f>
        <v>346.62661448140898</v>
      </c>
      <c r="AQ298" s="41">
        <f>'6. Poistot'!AF298</f>
        <v>423.66107114308556</v>
      </c>
      <c r="AR298" s="41">
        <f>'6. Poistot'!AG298</f>
        <v>431.94784026079867</v>
      </c>
      <c r="AS298" s="41">
        <f>'6. Poistot'!AH298</f>
        <v>454.21433002367218</v>
      </c>
      <c r="AT298" s="41">
        <f>'6. Poistot'!AI298</f>
        <v>476.52223059715061</v>
      </c>
      <c r="AV298" s="4">
        <f t="shared" si="80"/>
        <v>0</v>
      </c>
      <c r="AW298" s="4">
        <f t="shared" si="81"/>
        <v>0</v>
      </c>
      <c r="AX298" s="4">
        <f t="shared" si="82"/>
        <v>0</v>
      </c>
      <c r="AY298" s="4">
        <f t="shared" si="83"/>
        <v>1</v>
      </c>
      <c r="AZ298" s="4">
        <f t="shared" si="84"/>
        <v>1</v>
      </c>
      <c r="BA298" s="4">
        <f t="shared" si="85"/>
        <v>1</v>
      </c>
      <c r="BB298" s="4">
        <f t="shared" si="86"/>
        <v>1</v>
      </c>
      <c r="BC298" s="4">
        <f t="shared" si="87"/>
        <v>1</v>
      </c>
      <c r="BE298" s="405">
        <f t="shared" si="88"/>
        <v>-1</v>
      </c>
      <c r="BF298" s="405">
        <f t="shared" si="89"/>
        <v>0</v>
      </c>
      <c r="BG298" s="405">
        <f t="shared" si="90"/>
        <v>0</v>
      </c>
      <c r="BH298" s="405">
        <f t="shared" si="91"/>
        <v>0</v>
      </c>
      <c r="BI298" s="405">
        <f t="shared" si="92"/>
        <v>0</v>
      </c>
      <c r="BJ298" s="405">
        <f t="shared" si="93"/>
        <v>0</v>
      </c>
      <c r="BK298" s="405">
        <f t="shared" si="94"/>
        <v>0</v>
      </c>
      <c r="BL298" s="405">
        <f t="shared" si="95"/>
        <v>0</v>
      </c>
      <c r="BM298" s="405">
        <f t="shared" si="96"/>
        <v>-1</v>
      </c>
      <c r="BN298" s="405">
        <f t="shared" si="96"/>
        <v>0</v>
      </c>
    </row>
    <row r="299" spans="1:66" x14ac:dyDescent="0.2">
      <c r="A299" s="34">
        <v>935</v>
      </c>
      <c r="B299" s="88" t="s">
        <v>613</v>
      </c>
      <c r="C299" s="41" t="e">
        <f>'2. Toimintakate'!D299+'3. Verotulot'!G299+'4. Valtionosuudet'!#REF!+'5. Rahoitustuotot ja -kulut'!C299</f>
        <v>#REF!</v>
      </c>
      <c r="D299" s="41">
        <f>'2. Toimintakate'!E299+'4. Valtionosuudet'!H299+'3. Verotulot'!L299+'5. Rahoitustuotot ja -kulut'!D299</f>
        <v>2260</v>
      </c>
      <c r="E299" s="41">
        <f>'2. Toimintakate'!F299+'4. Valtionosuudet'!N299+'3. Verotulot'!Q299+'5. Rahoitustuotot ja -kulut'!E299</f>
        <v>2152</v>
      </c>
      <c r="F299" s="41">
        <f>'2. Toimintakate'!G299+'4. Valtionosuudet'!T299+'3. Verotulot'!V299+'5. Rahoitustuotot ja -kulut'!F299</f>
        <v>1065</v>
      </c>
      <c r="G299" s="41">
        <f>'2. Toimintakate'!H299+'3. Verotulot'!AA299+'4. Valtionosuudet'!Z299+'5. Rahoitustuotot ja -kulut'!G299</f>
        <v>1142</v>
      </c>
      <c r="H299" s="41">
        <f>Käyttökate!H299+'5. Rahoitustuotot ja -kulut'!H299</f>
        <v>2562.9086757959994</v>
      </c>
      <c r="I299" s="41">
        <f>Käyttökate!I299+'5. Rahoitustuotot ja -kulut'!I299</f>
        <v>-504.31697633539454</v>
      </c>
      <c r="J299" s="41">
        <f>Käyttökate!J299+'5. Rahoitustuotot ja -kulut'!J299</f>
        <v>-1477.8320497845443</v>
      </c>
      <c r="K299" s="41">
        <f>Käyttökate!K299+'5. Rahoitustuotot ja -kulut'!K299</f>
        <v>-218.16237170540074</v>
      </c>
      <c r="L299" s="41">
        <f>Käyttökate!L299+'5. Rahoitustuotot ja -kulut'!L299</f>
        <v>-63.02179909949291</v>
      </c>
      <c r="M299" s="41">
        <f>Käyttökate!M299+'5. Rahoitustuotot ja -kulut'!M299</f>
        <v>-929.82530358038093</v>
      </c>
      <c r="N299" s="41">
        <f>Käyttökate!N299+'5. Rahoitustuotot ja -kulut'!N299</f>
        <v>-1125.2795570534636</v>
      </c>
      <c r="O299" s="41">
        <f>Käyttökate!O299+'5. Rahoitustuotot ja -kulut'!O299</f>
        <v>-1342.3875835146978</v>
      </c>
      <c r="P299" s="41">
        <f>Käyttökate!P299+'5. Rahoitustuotot ja -kulut'!P299</f>
        <v>-1229.617097534918</v>
      </c>
      <c r="T299" s="34">
        <v>935</v>
      </c>
      <c r="U299" s="88" t="s">
        <v>613</v>
      </c>
      <c r="V299" s="41" t="e">
        <f>C299/'1. Väestöennuste'!E299*1000</f>
        <v>#REF!</v>
      </c>
      <c r="W299" s="41">
        <f>D299/'1. Väestöennuste'!F299*1000</f>
        <v>691.76614631160078</v>
      </c>
      <c r="X299" s="41">
        <f>E299/'1. Väestöennuste'!G299*1000</f>
        <v>671.03211724352968</v>
      </c>
      <c r="Y299" s="41">
        <f>F299/'1. Väestöennuste'!H299*1000</f>
        <v>338.09523809523813</v>
      </c>
      <c r="Z299" s="41">
        <f>G299/'1. Väestöennuste'!I299*1000</f>
        <v>367.32068189128336</v>
      </c>
      <c r="AA299" s="41">
        <f>H299/'1. Väestöennuste'!J299*1000</f>
        <v>830.22632840816311</v>
      </c>
      <c r="AB299" s="41">
        <f>I299/'1. Väestöennuste'!K299*1000</f>
        <v>-165.89374221559029</v>
      </c>
      <c r="AC299" s="41">
        <f>J299/'1. Väestöennuste'!L299*1000</f>
        <v>-495.08611383066813</v>
      </c>
      <c r="AD299" s="41">
        <f>K299/'1. Väestöennuste'!M299*1000</f>
        <v>-74.534462489033388</v>
      </c>
      <c r="AE299" s="41">
        <f>L299/'1. Väestöennuste'!N299*1000</f>
        <v>-21.642101339111576</v>
      </c>
      <c r="AF299" s="41">
        <f>M299/'1. Väestöennuste'!O299*1000</f>
        <v>-323.30504296953438</v>
      </c>
      <c r="AG299" s="41">
        <f>N299/'1. Väestöennuste'!P299*1000</f>
        <v>-395.94636068031792</v>
      </c>
      <c r="AH299" s="41">
        <f>O299/'1. Väestöennuste'!Q299*1000</f>
        <v>-477.88806817895966</v>
      </c>
      <c r="AI299" s="41">
        <f>P299/'1. Väestöennuste'!R299*1000</f>
        <v>-442.94564032237685</v>
      </c>
      <c r="AK299" s="41">
        <f>'6. Poistot'!Z299</f>
        <v>459.63332261177226</v>
      </c>
      <c r="AL299" s="41">
        <f>'6. Poistot'!AA299</f>
        <v>447.35989633948822</v>
      </c>
      <c r="AM299" s="41">
        <f>'6. Poistot'!AB299</f>
        <v>448.21620394736846</v>
      </c>
      <c r="AN299" s="41">
        <f>'6. Poistot'!AC299</f>
        <v>472.59264321608043</v>
      </c>
      <c r="AO299" s="41">
        <f>'6. Poistot'!AD299</f>
        <v>516.52749231294843</v>
      </c>
      <c r="AP299" s="41">
        <f>'6. Poistot'!AE299</f>
        <v>516.20879120879124</v>
      </c>
      <c r="AQ299" s="41">
        <f>'6. Poistot'!AF299</f>
        <v>522.67037552155773</v>
      </c>
      <c r="AR299" s="41">
        <f>'6. Poistot'!AG299</f>
        <v>548.07037297677698</v>
      </c>
      <c r="AS299" s="41">
        <f>'6. Poistot'!AH299</f>
        <v>572.40105673436199</v>
      </c>
      <c r="AT299" s="41">
        <f>'6. Poistot'!AI299</f>
        <v>597.31020775707714</v>
      </c>
      <c r="AV299" s="4">
        <f t="shared" si="80"/>
        <v>1</v>
      </c>
      <c r="AW299" s="4">
        <f t="shared" si="81"/>
        <v>1</v>
      </c>
      <c r="AX299" s="4">
        <f t="shared" si="82"/>
        <v>1</v>
      </c>
      <c r="AY299" s="4">
        <f t="shared" si="83"/>
        <v>1</v>
      </c>
      <c r="AZ299" s="4">
        <f t="shared" si="84"/>
        <v>1</v>
      </c>
      <c r="BA299" s="4">
        <f t="shared" si="85"/>
        <v>1</v>
      </c>
      <c r="BB299" s="4">
        <f t="shared" si="86"/>
        <v>1</v>
      </c>
      <c r="BC299" s="4">
        <f t="shared" si="87"/>
        <v>1</v>
      </c>
      <c r="BE299" s="405">
        <f t="shared" si="88"/>
        <v>0</v>
      </c>
      <c r="BF299" s="405">
        <f t="shared" si="89"/>
        <v>0</v>
      </c>
      <c r="BG299" s="405">
        <f t="shared" si="90"/>
        <v>-1</v>
      </c>
      <c r="BH299" s="405">
        <f t="shared" si="91"/>
        <v>-1</v>
      </c>
      <c r="BI299" s="405">
        <f t="shared" si="92"/>
        <v>-1</v>
      </c>
      <c r="BJ299" s="405">
        <f t="shared" si="93"/>
        <v>-1</v>
      </c>
      <c r="BK299" s="405">
        <f t="shared" si="94"/>
        <v>-1</v>
      </c>
      <c r="BL299" s="405">
        <f t="shared" si="95"/>
        <v>-1</v>
      </c>
      <c r="BM299" s="405">
        <f t="shared" si="96"/>
        <v>-1</v>
      </c>
      <c r="BN299" s="405">
        <f t="shared" si="96"/>
        <v>-1</v>
      </c>
    </row>
    <row r="300" spans="1:66" x14ac:dyDescent="0.2">
      <c r="A300" s="34">
        <v>936</v>
      </c>
      <c r="B300" s="88" t="s">
        <v>614</v>
      </c>
      <c r="C300" s="41" t="e">
        <f>'2. Toimintakate'!D300+'3. Verotulot'!G300+'4. Valtionosuudet'!#REF!+'5. Rahoitustuotot ja -kulut'!C300</f>
        <v>#REF!</v>
      </c>
      <c r="D300" s="41">
        <f>'2. Toimintakate'!E300+'4. Valtionosuudet'!H300+'3. Verotulot'!L300+'5. Rahoitustuotot ja -kulut'!D300</f>
        <v>6016</v>
      </c>
      <c r="E300" s="41">
        <f>'2. Toimintakate'!F300+'4. Valtionosuudet'!N300+'3. Verotulot'!Q300+'5. Rahoitustuotot ja -kulut'!E300</f>
        <v>5990</v>
      </c>
      <c r="F300" s="41">
        <f>'2. Toimintakate'!G300+'4. Valtionosuudet'!T300+'3. Verotulot'!V300+'5. Rahoitustuotot ja -kulut'!F300</f>
        <v>3050</v>
      </c>
      <c r="G300" s="41">
        <f>'2. Toimintakate'!H300+'3. Verotulot'!AA300+'4. Valtionosuudet'!Z300+'5. Rahoitustuotot ja -kulut'!G300</f>
        <v>2919</v>
      </c>
      <c r="H300" s="41">
        <f>Käyttökate!H300+'5. Rahoitustuotot ja -kulut'!H300</f>
        <v>6635.101501571502</v>
      </c>
      <c r="I300" s="41">
        <f>Käyttökate!I300+'5. Rahoitustuotot ja -kulut'!I300</f>
        <v>6119.2635719452783</v>
      </c>
      <c r="J300" s="41">
        <f>Käyttökate!J300+'5. Rahoitustuotot ja -kulut'!J300</f>
        <v>9617.3247595533321</v>
      </c>
      <c r="K300" s="41">
        <f>Käyttökate!K300+'5. Rahoitustuotot ja -kulut'!K300</f>
        <v>6297.5236822426295</v>
      </c>
      <c r="L300" s="41">
        <f>Käyttökate!L300+'5. Rahoitustuotot ja -kulut'!L300</f>
        <v>3417.1937548535361</v>
      </c>
      <c r="M300" s="41">
        <f>Käyttökate!M300+'5. Rahoitustuotot ja -kulut'!M300</f>
        <v>4484.8109358666406</v>
      </c>
      <c r="N300" s="41">
        <f>Käyttökate!N300+'5. Rahoitustuotot ja -kulut'!N300</f>
        <v>4210.2958245323871</v>
      </c>
      <c r="O300" s="41">
        <f>Käyttökate!O300+'5. Rahoitustuotot ja -kulut'!O300</f>
        <v>3966.7045377816294</v>
      </c>
      <c r="P300" s="41">
        <f>Käyttökate!P300+'5. Rahoitustuotot ja -kulut'!P300</f>
        <v>4901.1375927946638</v>
      </c>
      <c r="T300" s="34">
        <v>936</v>
      </c>
      <c r="U300" s="88" t="s">
        <v>614</v>
      </c>
      <c r="V300" s="41" t="e">
        <f>C300/'1. Väestöennuste'!E300*1000</f>
        <v>#REF!</v>
      </c>
      <c r="W300" s="41">
        <f>D300/'1. Väestöennuste'!F300*1000</f>
        <v>869.74121729073295</v>
      </c>
      <c r="X300" s="41">
        <f>E300/'1. Väestöennuste'!G300*1000</f>
        <v>875.21917007597892</v>
      </c>
      <c r="Y300" s="41">
        <f>F300/'1. Väestöennuste'!H300*1000</f>
        <v>452.58940495622494</v>
      </c>
      <c r="Z300" s="41">
        <f>G300/'1. Väestöennuste'!I300*1000</f>
        <v>446.05745721271393</v>
      </c>
      <c r="AA300" s="41">
        <f>H300/'1. Väestöennuste'!J300*1000</f>
        <v>1019.2168205178957</v>
      </c>
      <c r="AB300" s="41">
        <f>I300/'1. Väestöennuste'!K300*1000</f>
        <v>946.52182087320625</v>
      </c>
      <c r="AC300" s="41">
        <f>J300/'1. Väestöennuste'!L300*1000</f>
        <v>1503.8819014156893</v>
      </c>
      <c r="AD300" s="41">
        <f>K300/'1. Väestöennuste'!M300*1000</f>
        <v>1003.5894314330884</v>
      </c>
      <c r="AE300" s="41">
        <f>L300/'1. Väestöennuste'!N300*1000</f>
        <v>557.36319602895708</v>
      </c>
      <c r="AF300" s="41">
        <f>M300/'1. Väestöennuste'!O300*1000</f>
        <v>741.53619971339958</v>
      </c>
      <c r="AG300" s="41">
        <f>N300/'1. Väestöennuste'!P300*1000</f>
        <v>705.4785228774108</v>
      </c>
      <c r="AH300" s="41">
        <f>O300/'1. Väestöennuste'!Q300*1000</f>
        <v>673.00721713295377</v>
      </c>
      <c r="AI300" s="41">
        <f>P300/'1. Väestöennuste'!R300*1000</f>
        <v>841.97519202794433</v>
      </c>
      <c r="AK300" s="41">
        <f>'6. Poistot'!Z300</f>
        <v>598.56356968215164</v>
      </c>
      <c r="AL300" s="41">
        <f>'6. Poistot'!AA300</f>
        <v>592.16589861751152</v>
      </c>
      <c r="AM300" s="41">
        <f>'6. Poistot'!AB300</f>
        <v>666.13437277648882</v>
      </c>
      <c r="AN300" s="41">
        <f>'6. Poistot'!AC300</f>
        <v>645.23912900703669</v>
      </c>
      <c r="AO300" s="41">
        <f>'6. Poistot'!AD300</f>
        <v>673.29314422310756</v>
      </c>
      <c r="AP300" s="41">
        <f>'6. Poistot'!AE300</f>
        <v>573.04420159843414</v>
      </c>
      <c r="AQ300" s="41">
        <f>'6. Poistot'!AF300</f>
        <v>581.73511904761904</v>
      </c>
      <c r="AR300" s="41">
        <f>'6. Poistot'!AG300</f>
        <v>589.53317694369969</v>
      </c>
      <c r="AS300" s="41">
        <f>'6. Poistot'!AH300</f>
        <v>616.19575214773909</v>
      </c>
      <c r="AT300" s="41">
        <f>'6. Poistot'!AI300</f>
        <v>643.42579046857065</v>
      </c>
      <c r="AV300" s="4">
        <f t="shared" si="80"/>
        <v>0</v>
      </c>
      <c r="AW300" s="4">
        <f t="shared" si="81"/>
        <v>0</v>
      </c>
      <c r="AX300" s="4">
        <f t="shared" si="82"/>
        <v>0</v>
      </c>
      <c r="AY300" s="4">
        <f t="shared" si="83"/>
        <v>1</v>
      </c>
      <c r="AZ300" s="4">
        <f t="shared" si="84"/>
        <v>0</v>
      </c>
      <c r="BA300" s="4">
        <f t="shared" si="85"/>
        <v>0</v>
      </c>
      <c r="BB300" s="4">
        <f t="shared" si="86"/>
        <v>0</v>
      </c>
      <c r="BC300" s="4">
        <f t="shared" si="87"/>
        <v>0</v>
      </c>
      <c r="BE300" s="405">
        <f t="shared" si="88"/>
        <v>0</v>
      </c>
      <c r="BF300" s="405">
        <f t="shared" si="89"/>
        <v>0</v>
      </c>
      <c r="BG300" s="405">
        <f t="shared" si="90"/>
        <v>0</v>
      </c>
      <c r="BH300" s="405">
        <f t="shared" si="91"/>
        <v>0</v>
      </c>
      <c r="BI300" s="405">
        <f t="shared" si="92"/>
        <v>0</v>
      </c>
      <c r="BJ300" s="405">
        <f t="shared" si="93"/>
        <v>0</v>
      </c>
      <c r="BK300" s="405">
        <f t="shared" si="94"/>
        <v>0</v>
      </c>
      <c r="BL300" s="405">
        <f t="shared" si="95"/>
        <v>0</v>
      </c>
      <c r="BM300" s="405">
        <f t="shared" si="96"/>
        <v>0</v>
      </c>
      <c r="BN300" s="405">
        <f t="shared" si="96"/>
        <v>0</v>
      </c>
    </row>
    <row r="301" spans="1:66" x14ac:dyDescent="0.2">
      <c r="A301" s="34">
        <v>946</v>
      </c>
      <c r="B301" s="88" t="s">
        <v>615</v>
      </c>
      <c r="C301" s="41" t="e">
        <f>'2. Toimintakate'!D301+'3. Verotulot'!G301+'4. Valtionosuudet'!#REF!+'5. Rahoitustuotot ja -kulut'!C301</f>
        <v>#REF!</v>
      </c>
      <c r="D301" s="41">
        <f>'2. Toimintakate'!E301+'4. Valtionosuudet'!H301+'3. Verotulot'!L301+'5. Rahoitustuotot ja -kulut'!D301</f>
        <v>3036</v>
      </c>
      <c r="E301" s="41">
        <f>'2. Toimintakate'!F301+'4. Valtionosuudet'!N301+'3. Verotulot'!Q301+'5. Rahoitustuotot ja -kulut'!E301</f>
        <v>3282</v>
      </c>
      <c r="F301" s="41">
        <f>'2. Toimintakate'!G301+'4. Valtionosuudet'!T301+'3. Verotulot'!V301+'5. Rahoitustuotot ja -kulut'!F301</f>
        <v>195</v>
      </c>
      <c r="G301" s="41">
        <f>'2. Toimintakate'!H301+'3. Verotulot'!AA301+'4. Valtionosuudet'!Z301+'5. Rahoitustuotot ja -kulut'!G301</f>
        <v>-1500</v>
      </c>
      <c r="H301" s="41">
        <f>Käyttökate!H301+'5. Rahoitustuotot ja -kulut'!H301</f>
        <v>3772.161389406956</v>
      </c>
      <c r="I301" s="41">
        <f>Käyttökate!I301+'5. Rahoitustuotot ja -kulut'!I301</f>
        <v>3915.0919425651891</v>
      </c>
      <c r="J301" s="41">
        <f>Käyttökate!J301+'5. Rahoitustuotot ja -kulut'!J301</f>
        <v>2515.1460449200295</v>
      </c>
      <c r="K301" s="41">
        <f>Käyttökate!K301+'5. Rahoitustuotot ja -kulut'!K301</f>
        <v>3043.9053661962544</v>
      </c>
      <c r="L301" s="41">
        <f>Käyttökate!L301+'5. Rahoitustuotot ja -kulut'!L301</f>
        <v>2196.9771212186238</v>
      </c>
      <c r="M301" s="41">
        <f>Käyttökate!M301+'5. Rahoitustuotot ja -kulut'!M301</f>
        <v>1992.5480161107491</v>
      </c>
      <c r="N301" s="41">
        <f>Käyttökate!N301+'5. Rahoitustuotot ja -kulut'!N301</f>
        <v>2373.3926862298795</v>
      </c>
      <c r="O301" s="41">
        <f>Käyttökate!O301+'5. Rahoitustuotot ja -kulut'!O301</f>
        <v>2506.8139696801845</v>
      </c>
      <c r="P301" s="41">
        <f>Käyttökate!P301+'5. Rahoitustuotot ja -kulut'!P301</f>
        <v>3133.2223594057982</v>
      </c>
      <c r="T301" s="34">
        <v>946</v>
      </c>
      <c r="U301" s="88" t="s">
        <v>615</v>
      </c>
      <c r="V301" s="41" t="e">
        <f>C301/'1. Väestöennuste'!E301*1000</f>
        <v>#REF!</v>
      </c>
      <c r="W301" s="41">
        <f>D301/'1. Väestöennuste'!F301*1000</f>
        <v>454.2190305206463</v>
      </c>
      <c r="X301" s="41">
        <f>E301/'1. Väestöennuste'!G301*1000</f>
        <v>496.07013301088273</v>
      </c>
      <c r="Y301" s="41">
        <f>F301/'1. Väestöennuste'!H301*1000</f>
        <v>29.48737335551187</v>
      </c>
      <c r="Z301" s="41">
        <f>G301/'1. Väestöennuste'!I301*1000</f>
        <v>-232.16220399318991</v>
      </c>
      <c r="AA301" s="41">
        <f>H301/'1. Väestöennuste'!J301*1000</f>
        <v>590.50741850453289</v>
      </c>
      <c r="AB301" s="41">
        <f>I301/'1. Väestöennuste'!K301*1000</f>
        <v>614.03575008864323</v>
      </c>
      <c r="AC301" s="41">
        <f>J301/'1. Väestöennuste'!L301*1000</f>
        <v>400.05504134245734</v>
      </c>
      <c r="AD301" s="41">
        <f>K301/'1. Väestöennuste'!M301*1000</f>
        <v>483.85079736071441</v>
      </c>
      <c r="AE301" s="41">
        <f>L301/'1. Väestöennuste'!N301*1000</f>
        <v>356.47852039893297</v>
      </c>
      <c r="AF301" s="41">
        <f>M301/'1. Väestöennuste'!O301*1000</f>
        <v>326.21938705153065</v>
      </c>
      <c r="AG301" s="41">
        <f>N301/'1. Väestöennuste'!P301*1000</f>
        <v>391.97236766802303</v>
      </c>
      <c r="AH301" s="41">
        <f>O301/'1. Väestöennuste'!Q301*1000</f>
        <v>417.87197360896562</v>
      </c>
      <c r="AI301" s="41">
        <f>P301/'1. Väestöennuste'!R301*1000</f>
        <v>527.3897255353977</v>
      </c>
      <c r="AK301" s="41">
        <f>'6. Poistot'!Z301</f>
        <v>262.18851570964245</v>
      </c>
      <c r="AL301" s="41">
        <f>'6. Poistot'!AA301</f>
        <v>257.20100187852222</v>
      </c>
      <c r="AM301" s="41">
        <f>'6. Poistot'!AB301</f>
        <v>257.68506900878299</v>
      </c>
      <c r="AN301" s="41">
        <f>'6. Poistot'!AC301</f>
        <v>309.53465563861937</v>
      </c>
      <c r="AO301" s="41">
        <f>'6. Poistot'!AD301</f>
        <v>325.3246828803052</v>
      </c>
      <c r="AP301" s="41">
        <f>'6. Poistot'!AE301</f>
        <v>321.53172156417327</v>
      </c>
      <c r="AQ301" s="41">
        <f>'6. Poistot'!AF301</f>
        <v>276.86640471512771</v>
      </c>
      <c r="AR301" s="41">
        <f>'6. Poistot'!AG301</f>
        <v>288.96779521056982</v>
      </c>
      <c r="AS301" s="41">
        <f>'6. Poistot'!AH301</f>
        <v>301.07624873028965</v>
      </c>
      <c r="AT301" s="41">
        <f>'6. Poistot'!AI301</f>
        <v>313.51840300724029</v>
      </c>
      <c r="AV301" s="4">
        <f t="shared" si="80"/>
        <v>0</v>
      </c>
      <c r="AW301" s="4">
        <f t="shared" si="81"/>
        <v>0</v>
      </c>
      <c r="AX301" s="4">
        <f t="shared" si="82"/>
        <v>0</v>
      </c>
      <c r="AY301" s="4">
        <f t="shared" si="83"/>
        <v>0</v>
      </c>
      <c r="AZ301" s="4">
        <f t="shared" si="84"/>
        <v>0</v>
      </c>
      <c r="BA301" s="4">
        <f t="shared" si="85"/>
        <v>0</v>
      </c>
      <c r="BB301" s="4">
        <f t="shared" si="86"/>
        <v>0</v>
      </c>
      <c r="BC301" s="4">
        <f t="shared" si="87"/>
        <v>0</v>
      </c>
      <c r="BE301" s="405">
        <f t="shared" si="88"/>
        <v>-1</v>
      </c>
      <c r="BF301" s="405">
        <f t="shared" si="89"/>
        <v>0</v>
      </c>
      <c r="BG301" s="405">
        <f t="shared" si="90"/>
        <v>0</v>
      </c>
      <c r="BH301" s="405">
        <f t="shared" si="91"/>
        <v>0</v>
      </c>
      <c r="BI301" s="405">
        <f t="shared" si="92"/>
        <v>0</v>
      </c>
      <c r="BJ301" s="405">
        <f t="shared" si="93"/>
        <v>0</v>
      </c>
      <c r="BK301" s="405">
        <f t="shared" si="94"/>
        <v>0</v>
      </c>
      <c r="BL301" s="405">
        <f t="shared" si="95"/>
        <v>0</v>
      </c>
      <c r="BM301" s="405">
        <f t="shared" si="96"/>
        <v>0</v>
      </c>
      <c r="BN301" s="405">
        <f t="shared" si="96"/>
        <v>0</v>
      </c>
    </row>
    <row r="302" spans="1:66" x14ac:dyDescent="0.2">
      <c r="A302" s="34">
        <v>976</v>
      </c>
      <c r="B302" s="88" t="s">
        <v>616</v>
      </c>
      <c r="C302" s="41" t="e">
        <f>'2. Toimintakate'!D302+'3. Verotulot'!G302+'4. Valtionosuudet'!#REF!+'5. Rahoitustuotot ja -kulut'!C302</f>
        <v>#REF!</v>
      </c>
      <c r="D302" s="41">
        <f>'2. Toimintakate'!E302+'4. Valtionosuudet'!H302+'3. Verotulot'!L302+'5. Rahoitustuotot ja -kulut'!D302</f>
        <v>831</v>
      </c>
      <c r="E302" s="41">
        <f>'2. Toimintakate'!F302+'4. Valtionosuudet'!N302+'3. Verotulot'!Q302+'5. Rahoitustuotot ja -kulut'!E302</f>
        <v>1966</v>
      </c>
      <c r="F302" s="41">
        <f>'2. Toimintakate'!G302+'4. Valtionosuudet'!T302+'3. Verotulot'!V302+'5. Rahoitustuotot ja -kulut'!F302</f>
        <v>697</v>
      </c>
      <c r="G302" s="41">
        <f>'2. Toimintakate'!H302+'3. Verotulot'!AA302+'4. Valtionosuudet'!Z302+'5. Rahoitustuotot ja -kulut'!G302</f>
        <v>1689</v>
      </c>
      <c r="H302" s="41">
        <f>Käyttökate!H302+'5. Rahoitustuotot ja -kulut'!H302</f>
        <v>2125.4149488860785</v>
      </c>
      <c r="I302" s="41">
        <f>Käyttökate!I302+'5. Rahoitustuotot ja -kulut'!I302</f>
        <v>2403.6239924725269</v>
      </c>
      <c r="J302" s="41">
        <f>Käyttökate!J302+'5. Rahoitustuotot ja -kulut'!J302</f>
        <v>-259.79857927856102</v>
      </c>
      <c r="K302" s="41">
        <f>Käyttökate!K302+'5. Rahoitustuotot ja -kulut'!K302</f>
        <v>2992.3436638002227</v>
      </c>
      <c r="L302" s="41">
        <f>Käyttökate!L302+'5. Rahoitustuotot ja -kulut'!L302</f>
        <v>976.76300684587522</v>
      </c>
      <c r="M302" s="41">
        <f>Käyttökate!M302+'5. Rahoitustuotot ja -kulut'!M302</f>
        <v>821.39873365271706</v>
      </c>
      <c r="N302" s="41">
        <f>Käyttökate!N302+'5. Rahoitustuotot ja -kulut'!N302</f>
        <v>657.90481068657209</v>
      </c>
      <c r="O302" s="41">
        <f>Käyttökate!O302+'5. Rahoitustuotot ja -kulut'!O302</f>
        <v>402.73218444544978</v>
      </c>
      <c r="P302" s="41">
        <f>Käyttökate!P302+'5. Rahoitustuotot ja -kulut'!P302</f>
        <v>850.88041893173863</v>
      </c>
      <c r="T302" s="34">
        <v>976</v>
      </c>
      <c r="U302" s="88" t="s">
        <v>616</v>
      </c>
      <c r="V302" s="41" t="e">
        <f>C302/'1. Väestöennuste'!E302*1000</f>
        <v>#REF!</v>
      </c>
      <c r="W302" s="41">
        <f>D302/'1. Väestöennuste'!F302*1000</f>
        <v>197.85714285714286</v>
      </c>
      <c r="X302" s="41">
        <f>E302/'1. Väestöennuste'!G302*1000</f>
        <v>477.41622146673143</v>
      </c>
      <c r="Y302" s="41">
        <f>F302/'1. Väestöennuste'!H302*1000</f>
        <v>173.29686723023372</v>
      </c>
      <c r="Z302" s="41">
        <f>G302/'1. Väestöennuste'!I302*1000</f>
        <v>431.08728943338434</v>
      </c>
      <c r="AA302" s="41">
        <f>H302/'1. Väestöennuste'!J302*1000</f>
        <v>546.37916423806644</v>
      </c>
      <c r="AB302" s="41">
        <f>I302/'1. Väestöennuste'!K302*1000</f>
        <v>627.57806591971973</v>
      </c>
      <c r="AC302" s="41">
        <f>J302/'1. Väestöennuste'!L302*1000</f>
        <v>-68.584630221373018</v>
      </c>
      <c r="AD302" s="41">
        <f>K302/'1. Väestöennuste'!M302*1000</f>
        <v>794.77919357243627</v>
      </c>
      <c r="AE302" s="41">
        <f>L302/'1. Väestöennuste'!N302*1000</f>
        <v>271.70041915045209</v>
      </c>
      <c r="AF302" s="41">
        <f>M302/'1. Väestöennuste'!O302*1000</f>
        <v>232.16470708103932</v>
      </c>
      <c r="AG302" s="41">
        <f>N302/'1. Väestöennuste'!P302*1000</f>
        <v>188.94451771584494</v>
      </c>
      <c r="AH302" s="41">
        <f>O302/'1. Väestöennuste'!Q302*1000</f>
        <v>117.41463103365884</v>
      </c>
      <c r="AI302" s="41">
        <f>P302/'1. Väestöennuste'!R302*1000</f>
        <v>251.88881555113636</v>
      </c>
      <c r="AK302" s="41">
        <f>'6. Poistot'!Z302</f>
        <v>382.84839203675347</v>
      </c>
      <c r="AL302" s="41">
        <f>'6. Poistot'!AA302</f>
        <v>351.67095115681235</v>
      </c>
      <c r="AM302" s="41">
        <f>'6. Poistot'!AB302</f>
        <v>358.35855352480417</v>
      </c>
      <c r="AN302" s="41">
        <f>'6. Poistot'!AC302</f>
        <v>399.66618532206974</v>
      </c>
      <c r="AO302" s="41">
        <f>'6. Poistot'!AD302</f>
        <v>383.71792031872508</v>
      </c>
      <c r="AP302" s="41">
        <f>'6. Poistot'!AE302</f>
        <v>411.5438108484006</v>
      </c>
      <c r="AQ302" s="41">
        <f>'6. Poistot'!AF302</f>
        <v>418.17410966647822</v>
      </c>
      <c r="AR302" s="41">
        <f>'6. Poistot'!AG302</f>
        <v>424.89948305571511</v>
      </c>
      <c r="AS302" s="41">
        <f>'6. Poistot'!AH302</f>
        <v>445.25890696943873</v>
      </c>
      <c r="AT302" s="41">
        <f>'6. Poistot'!AI302</f>
        <v>466.24514559216976</v>
      </c>
      <c r="AV302" s="4">
        <f t="shared" si="80"/>
        <v>0</v>
      </c>
      <c r="AW302" s="4">
        <f t="shared" si="81"/>
        <v>1</v>
      </c>
      <c r="AX302" s="4">
        <f t="shared" si="82"/>
        <v>0</v>
      </c>
      <c r="AY302" s="4">
        <f t="shared" si="83"/>
        <v>1</v>
      </c>
      <c r="AZ302" s="4">
        <f t="shared" si="84"/>
        <v>1</v>
      </c>
      <c r="BA302" s="4">
        <f t="shared" si="85"/>
        <v>1</v>
      </c>
      <c r="BB302" s="4">
        <f t="shared" si="86"/>
        <v>1</v>
      </c>
      <c r="BC302" s="4">
        <f t="shared" si="87"/>
        <v>1</v>
      </c>
      <c r="BE302" s="405">
        <f t="shared" si="88"/>
        <v>0</v>
      </c>
      <c r="BF302" s="405">
        <f t="shared" si="89"/>
        <v>0</v>
      </c>
      <c r="BG302" s="405">
        <f t="shared" si="90"/>
        <v>0</v>
      </c>
      <c r="BH302" s="405">
        <f t="shared" si="91"/>
        <v>-1</v>
      </c>
      <c r="BI302" s="405">
        <f t="shared" si="92"/>
        <v>0</v>
      </c>
      <c r="BJ302" s="405">
        <f t="shared" si="93"/>
        <v>0</v>
      </c>
      <c r="BK302" s="405">
        <f t="shared" si="94"/>
        <v>0</v>
      </c>
      <c r="BL302" s="405">
        <f t="shared" si="95"/>
        <v>0</v>
      </c>
      <c r="BM302" s="405">
        <f t="shared" si="96"/>
        <v>0</v>
      </c>
      <c r="BN302" s="405">
        <f t="shared" si="96"/>
        <v>0</v>
      </c>
    </row>
    <row r="303" spans="1:66" x14ac:dyDescent="0.2">
      <c r="A303" s="34">
        <v>977</v>
      </c>
      <c r="B303" s="88" t="s">
        <v>617</v>
      </c>
      <c r="C303" s="41" t="e">
        <f>'2. Toimintakate'!D303+'3. Verotulot'!G303+'4. Valtionosuudet'!#REF!+'5. Rahoitustuotot ja -kulut'!C303</f>
        <v>#REF!</v>
      </c>
      <c r="D303" s="41">
        <f>'2. Toimintakate'!E303+'4. Valtionosuudet'!H303+'3. Verotulot'!L303+'5. Rahoitustuotot ja -kulut'!D303</f>
        <v>5728</v>
      </c>
      <c r="E303" s="41">
        <f>'2. Toimintakate'!F303+'4. Valtionosuudet'!N303+'3. Verotulot'!Q303+'5. Rahoitustuotot ja -kulut'!E303</f>
        <v>8172</v>
      </c>
      <c r="F303" s="41">
        <f>'2. Toimintakate'!G303+'4. Valtionosuudet'!T303+'3. Verotulot'!V303+'5. Rahoitustuotot ja -kulut'!F303</f>
        <v>957</v>
      </c>
      <c r="G303" s="41">
        <f>'2. Toimintakate'!H303+'3. Verotulot'!AA303+'4. Valtionosuudet'!Z303+'5. Rahoitustuotot ja -kulut'!G303</f>
        <v>73</v>
      </c>
      <c r="H303" s="41">
        <f>Käyttökate!H303+'5. Rahoitustuotot ja -kulut'!H303</f>
        <v>11248.91396649932</v>
      </c>
      <c r="I303" s="41">
        <f>Käyttökate!I303+'5. Rahoitustuotot ja -kulut'!I303</f>
        <v>9287.4288088952253</v>
      </c>
      <c r="J303" s="41">
        <f>Käyttökate!J303+'5. Rahoitustuotot ja -kulut'!J303</f>
        <v>8801.1911870531749</v>
      </c>
      <c r="K303" s="41">
        <f>Käyttökate!K303+'5. Rahoitustuotot ja -kulut'!K303</f>
        <v>9040.0320184516659</v>
      </c>
      <c r="L303" s="41">
        <f>Käyttökate!L303+'5. Rahoitustuotot ja -kulut'!L303</f>
        <v>7016.5057338167117</v>
      </c>
      <c r="M303" s="41">
        <f>Käyttökate!M303+'5. Rahoitustuotot ja -kulut'!M303</f>
        <v>4217.2630590059252</v>
      </c>
      <c r="N303" s="41">
        <f>Käyttökate!N303+'5. Rahoitustuotot ja -kulut'!N303</f>
        <v>5274.6575581140987</v>
      </c>
      <c r="O303" s="41">
        <f>Käyttökate!O303+'5. Rahoitustuotot ja -kulut'!O303</f>
        <v>6216.9358913360866</v>
      </c>
      <c r="P303" s="41">
        <f>Käyttökate!P303+'5. Rahoitustuotot ja -kulut'!P303</f>
        <v>7458.192660641851</v>
      </c>
      <c r="T303" s="34">
        <v>977</v>
      </c>
      <c r="U303" s="88" t="s">
        <v>617</v>
      </c>
      <c r="V303" s="41" t="e">
        <f>C303/'1. Väestöennuste'!E303*1000</f>
        <v>#REF!</v>
      </c>
      <c r="W303" s="41">
        <f>D303/'1. Väestöennuste'!F303*1000</f>
        <v>376.86689913810119</v>
      </c>
      <c r="X303" s="41">
        <f>E303/'1. Väestöennuste'!G303*1000</f>
        <v>535.8337158219133</v>
      </c>
      <c r="Y303" s="41">
        <f>F303/'1. Väestöennuste'!H303*1000</f>
        <v>62.91085984748883</v>
      </c>
      <c r="Z303" s="41">
        <f>G303/'1. Väestöennuste'!I303*1000</f>
        <v>4.7853162897410684</v>
      </c>
      <c r="AA303" s="41">
        <f>H303/'1. Väestöennuste'!J303*1000</f>
        <v>735.03097010581018</v>
      </c>
      <c r="AB303" s="41">
        <f>I303/'1. Väestöennuste'!K303*1000</f>
        <v>604.76843191347427</v>
      </c>
      <c r="AC303" s="41">
        <f>J303/'1. Väestöennuste'!L303*1000</f>
        <v>575.50455679416564</v>
      </c>
      <c r="AD303" s="41">
        <f>K303/'1. Väestöennuste'!M303*1000</f>
        <v>588.19910328919673</v>
      </c>
      <c r="AE303" s="41">
        <f>L303/'1. Väestöennuste'!N303*1000</f>
        <v>453.67294283051285</v>
      </c>
      <c r="AF303" s="41">
        <f>M303/'1. Väestöennuste'!O303*1000</f>
        <v>272.32746086826324</v>
      </c>
      <c r="AG303" s="41">
        <f>N303/'1. Väestöennuste'!P303*1000</f>
        <v>340.34440302710669</v>
      </c>
      <c r="AH303" s="41">
        <f>O303/'1. Väestöennuste'!Q303*1000</f>
        <v>401.11851676470008</v>
      </c>
      <c r="AI303" s="41">
        <f>P303/'1. Väestöennuste'!R303*1000</f>
        <v>481.48435510922218</v>
      </c>
      <c r="AK303" s="41">
        <f>'6. Poistot'!Z303</f>
        <v>383.21861684693545</v>
      </c>
      <c r="AL303" s="41">
        <f>'6. Poistot'!AA303</f>
        <v>378.92054364871927</v>
      </c>
      <c r="AM303" s="41">
        <f>'6. Poistot'!AB303</f>
        <v>358.11659113108027</v>
      </c>
      <c r="AN303" s="41">
        <f>'6. Poistot'!AC303</f>
        <v>400.14999542274245</v>
      </c>
      <c r="AO303" s="41">
        <f>'6. Poistot'!AD303</f>
        <v>457.62734790812669</v>
      </c>
      <c r="AP303" s="41">
        <f>'6. Poistot'!AE303</f>
        <v>453.05709297814559</v>
      </c>
      <c r="AQ303" s="41">
        <f>'6. Poistot'!AF303</f>
        <v>465.38686555598599</v>
      </c>
      <c r="AR303" s="41">
        <f>'6. Poistot'!AG303</f>
        <v>465.02651955090977</v>
      </c>
      <c r="AS303" s="41">
        <f>'6. Poistot'!AH303</f>
        <v>480.00025186029524</v>
      </c>
      <c r="AT303" s="41">
        <f>'6. Poistot'!AI303</f>
        <v>495.29159503973085</v>
      </c>
      <c r="AV303" s="4">
        <f t="shared" si="80"/>
        <v>0</v>
      </c>
      <c r="AW303" s="4">
        <f t="shared" si="81"/>
        <v>0</v>
      </c>
      <c r="AX303" s="4">
        <f t="shared" si="82"/>
        <v>0</v>
      </c>
      <c r="AY303" s="4">
        <f t="shared" si="83"/>
        <v>0</v>
      </c>
      <c r="AZ303" s="4">
        <f t="shared" si="84"/>
        <v>1</v>
      </c>
      <c r="BA303" s="4">
        <f t="shared" si="85"/>
        <v>1</v>
      </c>
      <c r="BB303" s="4">
        <f t="shared" si="86"/>
        <v>1</v>
      </c>
      <c r="BC303" s="4">
        <f t="shared" si="87"/>
        <v>1</v>
      </c>
      <c r="BE303" s="405">
        <f t="shared" si="88"/>
        <v>0</v>
      </c>
      <c r="BF303" s="405">
        <f t="shared" si="89"/>
        <v>0</v>
      </c>
      <c r="BG303" s="405">
        <f t="shared" si="90"/>
        <v>0</v>
      </c>
      <c r="BH303" s="405">
        <f t="shared" si="91"/>
        <v>0</v>
      </c>
      <c r="BI303" s="405">
        <f t="shared" si="92"/>
        <v>0</v>
      </c>
      <c r="BJ303" s="405">
        <f t="shared" si="93"/>
        <v>0</v>
      </c>
      <c r="BK303" s="405">
        <f t="shared" si="94"/>
        <v>0</v>
      </c>
      <c r="BL303" s="405">
        <f t="shared" si="95"/>
        <v>0</v>
      </c>
      <c r="BM303" s="405">
        <f t="shared" si="96"/>
        <v>0</v>
      </c>
      <c r="BN303" s="405">
        <f t="shared" si="96"/>
        <v>0</v>
      </c>
    </row>
    <row r="304" spans="1:66" x14ac:dyDescent="0.2">
      <c r="A304" s="34">
        <v>980</v>
      </c>
      <c r="B304" s="88" t="s">
        <v>618</v>
      </c>
      <c r="C304" s="41" t="e">
        <f>'2. Toimintakate'!D304+'3. Verotulot'!G304+'4. Valtionosuudet'!#REF!+'5. Rahoitustuotot ja -kulut'!C304</f>
        <v>#REF!</v>
      </c>
      <c r="D304" s="41">
        <f>'2. Toimintakate'!E304+'4. Valtionosuudet'!H304+'3. Verotulot'!L304+'5. Rahoitustuotot ja -kulut'!D304</f>
        <v>9918</v>
      </c>
      <c r="E304" s="41">
        <f>'2. Toimintakate'!F304+'4. Valtionosuudet'!N304+'3. Verotulot'!Q304+'5. Rahoitustuotot ja -kulut'!E304</f>
        <v>20421</v>
      </c>
      <c r="F304" s="41">
        <f>'2. Toimintakate'!G304+'4. Valtionosuudet'!T304+'3. Verotulot'!V304+'5. Rahoitustuotot ja -kulut'!F304</f>
        <v>12311</v>
      </c>
      <c r="G304" s="41">
        <f>'2. Toimintakate'!H304+'3. Verotulot'!AA304+'4. Valtionosuudet'!Z304+'5. Rahoitustuotot ja -kulut'!G304</f>
        <v>4182</v>
      </c>
      <c r="H304" s="41">
        <f>Käyttökate!H304+'5. Rahoitustuotot ja -kulut'!H304</f>
        <v>17313.102375953451</v>
      </c>
      <c r="I304" s="41">
        <f>Käyttökate!I304+'5. Rahoitustuotot ja -kulut'!I304</f>
        <v>9493.6151816367183</v>
      </c>
      <c r="J304" s="41">
        <f>Käyttökate!J304+'5. Rahoitustuotot ja -kulut'!J304</f>
        <v>8838.8283816886524</v>
      </c>
      <c r="K304" s="41">
        <f>Käyttökate!K304+'5. Rahoitustuotot ja -kulut'!K304</f>
        <v>16698.808414312305</v>
      </c>
      <c r="L304" s="41">
        <f>Käyttökate!L304+'5. Rahoitustuotot ja -kulut'!L304</f>
        <v>9942.8250614937915</v>
      </c>
      <c r="M304" s="41">
        <f>Käyttökate!M304+'5. Rahoitustuotot ja -kulut'!M304</f>
        <v>9075.1338222473714</v>
      </c>
      <c r="N304" s="41">
        <f>Käyttökate!N304+'5. Rahoitustuotot ja -kulut'!N304</f>
        <v>10207.137948285956</v>
      </c>
      <c r="O304" s="41">
        <f>Käyttökate!O304+'5. Rahoitustuotot ja -kulut'!O304</f>
        <v>10293.013270211217</v>
      </c>
      <c r="P304" s="41">
        <f>Käyttökate!P304+'5. Rahoitustuotot ja -kulut'!P304</f>
        <v>12301.684182807561</v>
      </c>
      <c r="T304" s="34">
        <v>980</v>
      </c>
      <c r="U304" s="88" t="s">
        <v>618</v>
      </c>
      <c r="V304" s="41" t="e">
        <f>C304/'1. Väestöennuste'!E304*1000</f>
        <v>#REF!</v>
      </c>
      <c r="W304" s="41">
        <f>D304/'1. Väestöennuste'!F304*1000</f>
        <v>302.38726790450926</v>
      </c>
      <c r="X304" s="41">
        <f>E304/'1. Väestöennuste'!G304*1000</f>
        <v>621.11442301843181</v>
      </c>
      <c r="Y304" s="41">
        <f>F304/'1. Väestöennuste'!H304*1000</f>
        <v>373.25288785131733</v>
      </c>
      <c r="Z304" s="41">
        <f>G304/'1. Väestöennuste'!I304*1000</f>
        <v>125.75930715101943</v>
      </c>
      <c r="AA304" s="41">
        <f>H304/'1. Väestöennuste'!J304*1000</f>
        <v>519.10237394919204</v>
      </c>
      <c r="AB304" s="41">
        <f>I304/'1. Väestöennuste'!K304*1000</f>
        <v>283.11261090975216</v>
      </c>
      <c r="AC304" s="41">
        <f>J304/'1. Väestöennuste'!L304*1000</f>
        <v>263.00557567437301</v>
      </c>
      <c r="AD304" s="41">
        <f>K304/'1. Väestöennuste'!M304*1000</f>
        <v>495.85201812252586</v>
      </c>
      <c r="AE304" s="41">
        <f>L304/'1. Väestöennuste'!N304*1000</f>
        <v>293.41119194658103</v>
      </c>
      <c r="AF304" s="41">
        <f>M304/'1. Väestöennuste'!O304*1000</f>
        <v>266.90000065429598</v>
      </c>
      <c r="AG304" s="41">
        <f>N304/'1. Väestöennuste'!P304*1000</f>
        <v>299.25935112835566</v>
      </c>
      <c r="AH304" s="41">
        <f>O304/'1. Väestöennuste'!Q304*1000</f>
        <v>300.93010379520575</v>
      </c>
      <c r="AI304" s="41">
        <f>P304/'1. Väestöennuste'!R304*1000</f>
        <v>358.79613203078691</v>
      </c>
      <c r="AK304" s="41">
        <f>'6. Poistot'!Z304</f>
        <v>307.6622361219703</v>
      </c>
      <c r="AL304" s="41">
        <f>'6. Poistot'!AA304</f>
        <v>330.89469896857759</v>
      </c>
      <c r="AM304" s="41">
        <f>'6. Poistot'!AB304</f>
        <v>324.27540780723467</v>
      </c>
      <c r="AN304" s="41">
        <f>'6. Poistot'!AC304</f>
        <v>349.75750706698005</v>
      </c>
      <c r="AO304" s="41">
        <f>'6. Poistot'!AD304</f>
        <v>362.03927636072098</v>
      </c>
      <c r="AP304" s="41">
        <f>'6. Poistot'!AE304</f>
        <v>388.84760498126121</v>
      </c>
      <c r="AQ304" s="41">
        <f>'6. Poistot'!AF304</f>
        <v>402.91747544262103</v>
      </c>
      <c r="AR304" s="41">
        <f>'6. Poistot'!AG304</f>
        <v>422.1883429107541</v>
      </c>
      <c r="AS304" s="41">
        <f>'6. Poistot'!AH304</f>
        <v>434.587630233835</v>
      </c>
      <c r="AT304" s="41">
        <f>'6. Poistot'!AI304</f>
        <v>447.10000026355317</v>
      </c>
      <c r="AV304" s="4">
        <f t="shared" si="80"/>
        <v>1</v>
      </c>
      <c r="AW304" s="4">
        <f t="shared" si="81"/>
        <v>1</v>
      </c>
      <c r="AX304" s="4">
        <f t="shared" si="82"/>
        <v>0</v>
      </c>
      <c r="AY304" s="4">
        <f t="shared" si="83"/>
        <v>1</v>
      </c>
      <c r="AZ304" s="4">
        <f t="shared" si="84"/>
        <v>1</v>
      </c>
      <c r="BA304" s="4">
        <f t="shared" si="85"/>
        <v>1</v>
      </c>
      <c r="BB304" s="4">
        <f t="shared" si="86"/>
        <v>1</v>
      </c>
      <c r="BC304" s="4">
        <f t="shared" si="87"/>
        <v>1</v>
      </c>
      <c r="BE304" s="405">
        <f t="shared" si="88"/>
        <v>0</v>
      </c>
      <c r="BF304" s="405">
        <f t="shared" si="89"/>
        <v>0</v>
      </c>
      <c r="BG304" s="405">
        <f t="shared" si="90"/>
        <v>0</v>
      </c>
      <c r="BH304" s="405">
        <f t="shared" si="91"/>
        <v>0</v>
      </c>
      <c r="BI304" s="405">
        <f t="shared" si="92"/>
        <v>0</v>
      </c>
      <c r="BJ304" s="405">
        <f t="shared" si="93"/>
        <v>0</v>
      </c>
      <c r="BK304" s="405">
        <f t="shared" si="94"/>
        <v>0</v>
      </c>
      <c r="BL304" s="405">
        <f t="shared" si="95"/>
        <v>0</v>
      </c>
      <c r="BM304" s="405">
        <f t="shared" si="96"/>
        <v>0</v>
      </c>
      <c r="BN304" s="405">
        <f t="shared" si="96"/>
        <v>0</v>
      </c>
    </row>
    <row r="305" spans="1:66" x14ac:dyDescent="0.2">
      <c r="A305" s="34">
        <v>981</v>
      </c>
      <c r="B305" s="88" t="s">
        <v>619</v>
      </c>
      <c r="C305" s="41" t="e">
        <f>'2. Toimintakate'!D305+'3. Verotulot'!G305+'4. Valtionosuudet'!#REF!+'5. Rahoitustuotot ja -kulut'!C305</f>
        <v>#REF!</v>
      </c>
      <c r="D305" s="41">
        <f>'2. Toimintakate'!E305+'4. Valtionosuudet'!H305+'3. Verotulot'!L305+'5. Rahoitustuotot ja -kulut'!D305</f>
        <v>506</v>
      </c>
      <c r="E305" s="41">
        <f>'2. Toimintakate'!F305+'4. Valtionosuudet'!N305+'3. Verotulot'!Q305+'5. Rahoitustuotot ja -kulut'!E305</f>
        <v>865</v>
      </c>
      <c r="F305" s="41">
        <f>'2. Toimintakate'!G305+'4. Valtionosuudet'!T305+'3. Verotulot'!V305+'5. Rahoitustuotot ja -kulut'!F305</f>
        <v>-358</v>
      </c>
      <c r="G305" s="41">
        <f>'2. Toimintakate'!H305+'3. Verotulot'!AA305+'4. Valtionosuudet'!Z305+'5. Rahoitustuotot ja -kulut'!G305</f>
        <v>158</v>
      </c>
      <c r="H305" s="41">
        <f>Käyttökate!H305+'5. Rahoitustuotot ja -kulut'!H305</f>
        <v>1979.4954909403623</v>
      </c>
      <c r="I305" s="41">
        <f>Käyttökate!I305+'5. Rahoitustuotot ja -kulut'!I305</f>
        <v>1394.7441731182048</v>
      </c>
      <c r="J305" s="41">
        <f>Käyttökate!J305+'5. Rahoitustuotot ja -kulut'!J305</f>
        <v>1815.9063133573563</v>
      </c>
      <c r="K305" s="41">
        <f>Käyttökate!K305+'5. Rahoitustuotot ja -kulut'!K305</f>
        <v>1582.0444900507093</v>
      </c>
      <c r="L305" s="41">
        <f>Käyttökate!L305+'5. Rahoitustuotot ja -kulut'!L305</f>
        <v>788.06442788189361</v>
      </c>
      <c r="M305" s="41">
        <f>Käyttökate!M305+'5. Rahoitustuotot ja -kulut'!M305</f>
        <v>740.50229155972465</v>
      </c>
      <c r="N305" s="41">
        <f>Käyttökate!N305+'5. Rahoitustuotot ja -kulut'!N305</f>
        <v>325.75734452991901</v>
      </c>
      <c r="O305" s="41">
        <f>Käyttökate!O305+'5. Rahoitustuotot ja -kulut'!O305</f>
        <v>328.83995085896828</v>
      </c>
      <c r="P305" s="41">
        <f>Käyttökate!P305+'5. Rahoitustuotot ja -kulut'!P305</f>
        <v>493.88486088461332</v>
      </c>
      <c r="T305" s="34">
        <v>981</v>
      </c>
      <c r="U305" s="88" t="s">
        <v>619</v>
      </c>
      <c r="V305" s="41" t="e">
        <f>C305/'1. Väestöennuste'!E305*1000</f>
        <v>#REF!</v>
      </c>
      <c r="W305" s="41">
        <f>D305/'1. Väestöennuste'!F305*1000</f>
        <v>212.42653232577666</v>
      </c>
      <c r="X305" s="41">
        <f>E305/'1. Väestöennuste'!G305*1000</f>
        <v>364.67116357504216</v>
      </c>
      <c r="Y305" s="41">
        <f>F305/'1. Väestöennuste'!H305*1000</f>
        <v>-151.88799321170978</v>
      </c>
      <c r="Z305" s="41">
        <f>G305/'1. Väestöennuste'!I305*1000</f>
        <v>67.434912505335035</v>
      </c>
      <c r="AA305" s="41">
        <f>H305/'1. Väestöennuste'!J305*1000</f>
        <v>855.44316808140115</v>
      </c>
      <c r="AB305" s="41">
        <f>I305/'1. Väestöennuste'!K305*1000</f>
        <v>611.19376560832814</v>
      </c>
      <c r="AC305" s="41">
        <f>J305/'1. Väestöennuste'!L305*1000</f>
        <v>811.75963940874215</v>
      </c>
      <c r="AD305" s="41">
        <f>K305/'1. Väestöennuste'!M305*1000</f>
        <v>716.83030813353389</v>
      </c>
      <c r="AE305" s="41">
        <f>L305/'1. Väestöennuste'!N305*1000</f>
        <v>351.34392683098241</v>
      </c>
      <c r="AF305" s="41">
        <f>M305/'1. Väestöennuste'!O305*1000</f>
        <v>332.66050833770203</v>
      </c>
      <c r="AG305" s="41">
        <f>N305/'1. Väestöennuste'!P305*1000</f>
        <v>147.46824107284701</v>
      </c>
      <c r="AH305" s="41">
        <f>O305/'1. Väestöennuste'!Q305*1000</f>
        <v>149.81318945738875</v>
      </c>
      <c r="AI305" s="41">
        <f>P305/'1. Väestöennuste'!R305*1000</f>
        <v>226.55268847918043</v>
      </c>
      <c r="AK305" s="41">
        <f>'6. Poistot'!Z305</f>
        <v>260.77678190354248</v>
      </c>
      <c r="AL305" s="41">
        <f>'6. Poistot'!AA305</f>
        <v>276.57735522904062</v>
      </c>
      <c r="AM305" s="41">
        <f>'6. Poistot'!AB305</f>
        <v>285.82119193689749</v>
      </c>
      <c r="AN305" s="41">
        <f>'6. Poistot'!AC305</f>
        <v>300.73848457755918</v>
      </c>
      <c r="AO305" s="41">
        <f>'6. Poistot'!AD305</f>
        <v>267.55066153149073</v>
      </c>
      <c r="AP305" s="41">
        <f>'6. Poistot'!AE305</f>
        <v>265.58181007579134</v>
      </c>
      <c r="AQ305" s="41">
        <f>'6. Poistot'!AF305</f>
        <v>235.57951482479783</v>
      </c>
      <c r="AR305" s="41">
        <f>'6. Poistot'!AG305</f>
        <v>220.55228610230873</v>
      </c>
      <c r="AS305" s="41">
        <f>'6. Poistot'!AH305</f>
        <v>229.12080233995238</v>
      </c>
      <c r="AT305" s="41">
        <f>'6. Poistot'!AI305</f>
        <v>237.90840471210592</v>
      </c>
      <c r="AV305" s="4">
        <f t="shared" si="80"/>
        <v>0</v>
      </c>
      <c r="AW305" s="4">
        <f t="shared" si="81"/>
        <v>0</v>
      </c>
      <c r="AX305" s="4">
        <f t="shared" si="82"/>
        <v>0</v>
      </c>
      <c r="AY305" s="4">
        <f t="shared" si="83"/>
        <v>0</v>
      </c>
      <c r="AZ305" s="4">
        <f t="shared" si="84"/>
        <v>0</v>
      </c>
      <c r="BA305" s="4">
        <f t="shared" si="85"/>
        <v>1</v>
      </c>
      <c r="BB305" s="4">
        <f t="shared" si="86"/>
        <v>1</v>
      </c>
      <c r="BC305" s="4">
        <f t="shared" si="87"/>
        <v>1</v>
      </c>
      <c r="BE305" s="405">
        <f t="shared" si="88"/>
        <v>0</v>
      </c>
      <c r="BF305" s="405">
        <f t="shared" si="89"/>
        <v>0</v>
      </c>
      <c r="BG305" s="405">
        <f t="shared" si="90"/>
        <v>0</v>
      </c>
      <c r="BH305" s="405">
        <f t="shared" si="91"/>
        <v>0</v>
      </c>
      <c r="BI305" s="405">
        <f t="shared" si="92"/>
        <v>0</v>
      </c>
      <c r="BJ305" s="405">
        <f t="shared" si="93"/>
        <v>0</v>
      </c>
      <c r="BK305" s="405">
        <f t="shared" si="94"/>
        <v>0</v>
      </c>
      <c r="BL305" s="405">
        <f t="shared" si="95"/>
        <v>0</v>
      </c>
      <c r="BM305" s="405">
        <f t="shared" si="96"/>
        <v>0</v>
      </c>
      <c r="BN305" s="405">
        <f t="shared" si="96"/>
        <v>0</v>
      </c>
    </row>
    <row r="306" spans="1:66" x14ac:dyDescent="0.2">
      <c r="A306" s="34">
        <v>989</v>
      </c>
      <c r="B306" s="88" t="s">
        <v>620</v>
      </c>
      <c r="C306" s="41" t="e">
        <f>'2. Toimintakate'!D306+'3. Verotulot'!G306+'4. Valtionosuudet'!#REF!+'5. Rahoitustuotot ja -kulut'!C306</f>
        <v>#REF!</v>
      </c>
      <c r="D306" s="41">
        <f>'2. Toimintakate'!E306+'4. Valtionosuudet'!H306+'3. Verotulot'!L306+'5. Rahoitustuotot ja -kulut'!D306</f>
        <v>2982</v>
      </c>
      <c r="E306" s="41">
        <f>'2. Toimintakate'!F306+'4. Valtionosuudet'!N306+'3. Verotulot'!Q306+'5. Rahoitustuotot ja -kulut'!E306</f>
        <v>4104</v>
      </c>
      <c r="F306" s="41">
        <f>'2. Toimintakate'!G306+'4. Valtionosuudet'!T306+'3. Verotulot'!V306+'5. Rahoitustuotot ja -kulut'!F306</f>
        <v>2493</v>
      </c>
      <c r="G306" s="41">
        <f>'2. Toimintakate'!H306+'3. Verotulot'!AA306+'4. Valtionosuudet'!Z306+'5. Rahoitustuotot ja -kulut'!G306</f>
        <v>740</v>
      </c>
      <c r="H306" s="41">
        <f>Käyttökate!H306+'5. Rahoitustuotot ja -kulut'!H306</f>
        <v>3337.8897194471028</v>
      </c>
      <c r="I306" s="41">
        <f>Käyttökate!I306+'5. Rahoitustuotot ja -kulut'!I306</f>
        <v>3220.5890571049858</v>
      </c>
      <c r="J306" s="41">
        <f>Käyttökate!J306+'5. Rahoitustuotot ja -kulut'!J306</f>
        <v>3661.9586952955469</v>
      </c>
      <c r="K306" s="41">
        <f>Käyttökate!K306+'5. Rahoitustuotot ja -kulut'!K306</f>
        <v>-5857.1908759640928</v>
      </c>
      <c r="L306" s="41">
        <f>Käyttökate!L306+'5. Rahoitustuotot ja -kulut'!L306</f>
        <v>1419.5296171875384</v>
      </c>
      <c r="M306" s="41">
        <f>Käyttökate!M306+'5. Rahoitustuotot ja -kulut'!M306</f>
        <v>-6942.7868282016625</v>
      </c>
      <c r="N306" s="41">
        <f>Käyttökate!N306+'5. Rahoitustuotot ja -kulut'!N306</f>
        <v>-7262.4099346435205</v>
      </c>
      <c r="O306" s="41">
        <f>Käyttökate!O306+'5. Rahoitustuotot ja -kulut'!O306</f>
        <v>-7491.6606231131136</v>
      </c>
      <c r="P306" s="41">
        <f>Käyttökate!P306+'5. Rahoitustuotot ja -kulut'!P306</f>
        <v>-6800.4261115503377</v>
      </c>
      <c r="T306" s="34">
        <v>989</v>
      </c>
      <c r="U306" s="88" t="s">
        <v>620</v>
      </c>
      <c r="V306" s="41" t="e">
        <f>C306/'1. Väestöennuste'!E306*1000</f>
        <v>#REF!</v>
      </c>
      <c r="W306" s="41">
        <f>D306/'1. Väestöennuste'!F306*1000</f>
        <v>498.24561403508773</v>
      </c>
      <c r="X306" s="41">
        <f>E306/'1. Väestöennuste'!G306*1000</f>
        <v>694.88655604470034</v>
      </c>
      <c r="Y306" s="41">
        <f>F306/'1. Väestöennuste'!H306*1000</f>
        <v>437.13834823776961</v>
      </c>
      <c r="Z306" s="41">
        <f>G306/'1. Väestöennuste'!I306*1000</f>
        <v>131.76638176638178</v>
      </c>
      <c r="AA306" s="41">
        <f>H306/'1. Väestöennuste'!J306*1000</f>
        <v>604.47115527835979</v>
      </c>
      <c r="AB306" s="41">
        <f>I306/'1. Väestöennuste'!K306*1000</f>
        <v>587.27006876458529</v>
      </c>
      <c r="AC306" s="41">
        <f>J306/'1. Väestöennuste'!L306*1000</f>
        <v>677.38784596661981</v>
      </c>
      <c r="AD306" s="41">
        <f>K306/'1. Väestöennuste'!M306*1000</f>
        <v>-1101.8041527396713</v>
      </c>
      <c r="AE306" s="41">
        <f>L306/'1. Väestöennuste'!N306*1000</f>
        <v>274.83632472169182</v>
      </c>
      <c r="AF306" s="41">
        <f>M306/'1. Väestöennuste'!O306*1000</f>
        <v>-1364.8096772560766</v>
      </c>
      <c r="AG306" s="41">
        <f>N306/'1. Väestöennuste'!P306*1000</f>
        <v>-1449.582821286132</v>
      </c>
      <c r="AH306" s="41">
        <f>O306/'1. Väestöennuste'!Q306*1000</f>
        <v>-1518.3746702701892</v>
      </c>
      <c r="AI306" s="41">
        <f>P306/'1. Väestöennuste'!R306*1000</f>
        <v>-1398.4014212523828</v>
      </c>
      <c r="AK306" s="41">
        <f>'6. Poistot'!Z306</f>
        <v>524.39458689458684</v>
      </c>
      <c r="AL306" s="41">
        <f>'6. Poistot'!AA306</f>
        <v>488.40999637812388</v>
      </c>
      <c r="AM306" s="41">
        <f>'6. Poistot'!AB306</f>
        <v>495.78401531728662</v>
      </c>
      <c r="AN306" s="41">
        <f>'6. Poistot'!AC306</f>
        <v>347.23759156492781</v>
      </c>
      <c r="AO306" s="41">
        <f>'6. Poistot'!AD306</f>
        <v>324.98356471030849</v>
      </c>
      <c r="AP306" s="41">
        <f>'6. Poistot'!AE306</f>
        <v>436.45692158760897</v>
      </c>
      <c r="AQ306" s="41">
        <f>'6. Poistot'!AF306</f>
        <v>529.3886377039513</v>
      </c>
      <c r="AR306" s="41">
        <f>'6. Poistot'!AG306</f>
        <v>537.52495009980044</v>
      </c>
      <c r="AS306" s="41">
        <f>'6. Poistot'!AH306</f>
        <v>563.41573879469036</v>
      </c>
      <c r="AT306" s="41">
        <f>'6. Poistot'!AI306</f>
        <v>589.50987259428405</v>
      </c>
      <c r="AV306" s="4">
        <f t="shared" si="80"/>
        <v>0</v>
      </c>
      <c r="AW306" s="4">
        <f t="shared" si="81"/>
        <v>0</v>
      </c>
      <c r="AX306" s="4">
        <f t="shared" si="82"/>
        <v>1</v>
      </c>
      <c r="AY306" s="4">
        <f t="shared" si="83"/>
        <v>1</v>
      </c>
      <c r="AZ306" s="4">
        <f t="shared" si="84"/>
        <v>1</v>
      </c>
      <c r="BA306" s="4">
        <f t="shared" si="85"/>
        <v>1</v>
      </c>
      <c r="BB306" s="4">
        <f t="shared" si="86"/>
        <v>1</v>
      </c>
      <c r="BC306" s="4">
        <f t="shared" si="87"/>
        <v>1</v>
      </c>
      <c r="BE306" s="405">
        <f t="shared" si="88"/>
        <v>0</v>
      </c>
      <c r="BF306" s="405">
        <f t="shared" si="89"/>
        <v>0</v>
      </c>
      <c r="BG306" s="405">
        <f t="shared" si="90"/>
        <v>0</v>
      </c>
      <c r="BH306" s="405">
        <f t="shared" si="91"/>
        <v>0</v>
      </c>
      <c r="BI306" s="405">
        <f t="shared" si="92"/>
        <v>-1</v>
      </c>
      <c r="BJ306" s="405">
        <f t="shared" si="93"/>
        <v>0</v>
      </c>
      <c r="BK306" s="405">
        <f t="shared" si="94"/>
        <v>-1</v>
      </c>
      <c r="BL306" s="405">
        <f t="shared" si="95"/>
        <v>-1</v>
      </c>
      <c r="BM306" s="405">
        <f t="shared" si="96"/>
        <v>-1</v>
      </c>
      <c r="BN306" s="405">
        <f t="shared" si="96"/>
        <v>-1</v>
      </c>
    </row>
    <row r="307" spans="1:66" x14ac:dyDescent="0.2">
      <c r="A307" s="34">
        <v>992</v>
      </c>
      <c r="B307" s="88" t="s">
        <v>621</v>
      </c>
      <c r="C307" s="41" t="e">
        <f>'2. Toimintakate'!D307+'3. Verotulot'!G307+'4. Valtionosuudet'!#REF!+'5. Rahoitustuotot ja -kulut'!C307</f>
        <v>#REF!</v>
      </c>
      <c r="D307" s="41">
        <f>'2. Toimintakate'!E307+'4. Valtionosuudet'!H307+'3. Verotulot'!L307+'5. Rahoitustuotot ja -kulut'!D307</f>
        <v>12765</v>
      </c>
      <c r="E307" s="41">
        <f>'2. Toimintakate'!F307+'4. Valtionosuudet'!N307+'3. Verotulot'!Q307+'5. Rahoitustuotot ja -kulut'!E307</f>
        <v>16160</v>
      </c>
      <c r="F307" s="41">
        <f>'2. Toimintakate'!G307+'4. Valtionosuudet'!T307+'3. Verotulot'!V307+'5. Rahoitustuotot ja -kulut'!F307</f>
        <v>9530</v>
      </c>
      <c r="G307" s="41">
        <f>'2. Toimintakate'!H307+'3. Verotulot'!AA307+'4. Valtionosuudet'!Z307+'5. Rahoitustuotot ja -kulut'!G307</f>
        <v>6212</v>
      </c>
      <c r="H307" s="41">
        <f>Käyttökate!H307+'5. Rahoitustuotot ja -kulut'!H307</f>
        <v>11090.394933365053</v>
      </c>
      <c r="I307" s="41">
        <f>Käyttökate!I307+'5. Rahoitustuotot ja -kulut'!I307</f>
        <v>11090.84496971031</v>
      </c>
      <c r="J307" s="41">
        <f>Käyttökate!J307+'5. Rahoitustuotot ja -kulut'!J307</f>
        <v>213.34501489686471</v>
      </c>
      <c r="K307" s="41">
        <f>Käyttökate!K307+'5. Rahoitustuotot ja -kulut'!K307</f>
        <v>13832.051057534663</v>
      </c>
      <c r="L307" s="41">
        <f>Käyttökate!L307+'5. Rahoitustuotot ja -kulut'!L307</f>
        <v>10349.009502400533</v>
      </c>
      <c r="M307" s="41">
        <f>Käyttökate!M307+'5. Rahoitustuotot ja -kulut'!M307</f>
        <v>4510.59195616547</v>
      </c>
      <c r="N307" s="41">
        <f>Käyttökate!N307+'5. Rahoitustuotot ja -kulut'!N307</f>
        <v>4039.7602934877905</v>
      </c>
      <c r="O307" s="41">
        <f>Käyttökate!O307+'5. Rahoitustuotot ja -kulut'!O307</f>
        <v>4456.4630623770636</v>
      </c>
      <c r="P307" s="41">
        <f>Käyttökate!P307+'5. Rahoitustuotot ja -kulut'!P307</f>
        <v>6956.2727640527874</v>
      </c>
      <c r="T307" s="34">
        <v>992</v>
      </c>
      <c r="U307" s="88" t="s">
        <v>621</v>
      </c>
      <c r="V307" s="41" t="e">
        <f>C307/'1. Väestöennuste'!E307*1000</f>
        <v>#REF!</v>
      </c>
      <c r="W307" s="41">
        <f>D307/'1. Väestöennuste'!F307*1000</f>
        <v>658.8727160111489</v>
      </c>
      <c r="X307" s="41">
        <f>E307/'1. Väestöennuste'!G307*1000</f>
        <v>844.128708733807</v>
      </c>
      <c r="Y307" s="41">
        <f>F307/'1. Väestöennuste'!H307*1000</f>
        <v>505.54347249482788</v>
      </c>
      <c r="Z307" s="41">
        <f>G307/'1. Väestöennuste'!I307*1000</f>
        <v>331.04183320010662</v>
      </c>
      <c r="AA307" s="41">
        <f>H307/'1. Väestöennuste'!J307*1000</f>
        <v>596.99601299268193</v>
      </c>
      <c r="AB307" s="41">
        <f>I307/'1. Väestöennuste'!K307*1000</f>
        <v>605.46156620320505</v>
      </c>
      <c r="AC307" s="41">
        <f>J307/'1. Väestöennuste'!L307*1000</f>
        <v>11.774007444639334</v>
      </c>
      <c r="AD307" s="41">
        <f>K307/'1. Väestöennuste'!M307*1000</f>
        <v>769.68733278808429</v>
      </c>
      <c r="AE307" s="41">
        <f>L307/'1. Väestöennuste'!N307*1000</f>
        <v>582.32103884765547</v>
      </c>
      <c r="AF307" s="41">
        <f>M307/'1. Väestöennuste'!O307*1000</f>
        <v>256.60438935973775</v>
      </c>
      <c r="AG307" s="41">
        <f>N307/'1. Väestöennuste'!P307*1000</f>
        <v>232.3036396485216</v>
      </c>
      <c r="AH307" s="41">
        <f>O307/'1. Väestöennuste'!Q307*1000</f>
        <v>258.9912862426375</v>
      </c>
      <c r="AI307" s="41">
        <f>P307/'1. Väestöennuste'!R307*1000</f>
        <v>408.44769913996754</v>
      </c>
      <c r="AK307" s="41">
        <f>'6. Poistot'!Z307</f>
        <v>381.13509192645881</v>
      </c>
      <c r="AL307" s="41">
        <f>'6. Poistot'!AA307</f>
        <v>462.88421165957902</v>
      </c>
      <c r="AM307" s="41">
        <f>'6. Poistot'!AB307</f>
        <v>488.72909269570914</v>
      </c>
      <c r="AN307" s="41">
        <f>'6. Poistot'!AC307</f>
        <v>454.78704690949229</v>
      </c>
      <c r="AO307" s="41">
        <f>'6. Poistot'!AD307</f>
        <v>512.83451727783654</v>
      </c>
      <c r="AP307" s="41">
        <f>'6. Poistot'!AE307</f>
        <v>478.2804411433716</v>
      </c>
      <c r="AQ307" s="41">
        <f>'6. Poistot'!AF307</f>
        <v>483.55899419729207</v>
      </c>
      <c r="AR307" s="41">
        <f>'6. Poistot'!AG307</f>
        <v>477.28579643473262</v>
      </c>
      <c r="AS307" s="41">
        <f>'6. Poistot'!AH307</f>
        <v>497.92588056661435</v>
      </c>
      <c r="AT307" s="41">
        <f>'6. Poistot'!AI307</f>
        <v>518.79638622626192</v>
      </c>
      <c r="AV307" s="4">
        <f t="shared" si="80"/>
        <v>0</v>
      </c>
      <c r="AW307" s="4">
        <f t="shared" si="81"/>
        <v>1</v>
      </c>
      <c r="AX307" s="4">
        <f t="shared" si="82"/>
        <v>0</v>
      </c>
      <c r="AY307" s="4">
        <f t="shared" si="83"/>
        <v>0</v>
      </c>
      <c r="AZ307" s="4">
        <f t="shared" si="84"/>
        <v>1</v>
      </c>
      <c r="BA307" s="4">
        <f t="shared" si="85"/>
        <v>1</v>
      </c>
      <c r="BB307" s="4">
        <f t="shared" si="86"/>
        <v>1</v>
      </c>
      <c r="BC307" s="4">
        <f t="shared" si="87"/>
        <v>1</v>
      </c>
      <c r="BE307" s="405">
        <f t="shared" si="88"/>
        <v>0</v>
      </c>
      <c r="BF307" s="405">
        <f t="shared" si="89"/>
        <v>0</v>
      </c>
      <c r="BG307" s="405">
        <f t="shared" si="90"/>
        <v>0</v>
      </c>
      <c r="BH307" s="405">
        <f t="shared" si="91"/>
        <v>0</v>
      </c>
      <c r="BI307" s="405">
        <f t="shared" si="92"/>
        <v>0</v>
      </c>
      <c r="BJ307" s="405">
        <f t="shared" si="93"/>
        <v>0</v>
      </c>
      <c r="BK307" s="405">
        <f t="shared" si="94"/>
        <v>0</v>
      </c>
      <c r="BL307" s="405">
        <f t="shared" si="95"/>
        <v>0</v>
      </c>
      <c r="BM307" s="405">
        <f t="shared" si="96"/>
        <v>0</v>
      </c>
      <c r="BN307" s="405">
        <f t="shared" si="96"/>
        <v>0</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I307"/>
  <sheetViews>
    <sheetView workbookViewId="0">
      <pane xSplit="2" ySplit="13" topLeftCell="G14" activePane="bottomRight" state="frozen"/>
      <selection pane="topRight" activeCell="C1" sqref="C1"/>
      <selection pane="bottomLeft" activeCell="A14" sqref="A14"/>
      <selection pane="bottomRight" activeCell="AF306" sqref="AF306"/>
    </sheetView>
  </sheetViews>
  <sheetFormatPr defaultColWidth="9.140625" defaultRowHeight="11.25" x14ac:dyDescent="0.2"/>
  <cols>
    <col min="1" max="1" width="9.140625" style="41"/>
    <col min="2" max="2" width="20.5703125" style="41" bestFit="1" customWidth="1"/>
    <col min="3" max="3" width="0.140625" style="41" customWidth="1"/>
    <col min="4" max="14" width="22.140625" style="41" bestFit="1" customWidth="1"/>
    <col min="15" max="16" width="22.140625" style="41" customWidth="1"/>
    <col min="17" max="17" width="9.140625" style="41"/>
    <col min="18" max="18" width="9.140625" style="117"/>
    <col min="19" max="20" width="9.140625" style="4"/>
    <col min="21" max="21" width="20.5703125" style="4" bestFit="1" customWidth="1"/>
    <col min="22" max="22" width="0.28515625" style="4" customWidth="1"/>
    <col min="23" max="35" width="9.140625" style="4"/>
    <col min="36" max="16384" width="9.140625" style="41"/>
  </cols>
  <sheetData>
    <row r="1" spans="1:35" x14ac:dyDescent="0.2">
      <c r="A1" s="43" t="s">
        <v>809</v>
      </c>
      <c r="B1" s="43"/>
    </row>
    <row r="2" spans="1:35" x14ac:dyDescent="0.2">
      <c r="A2" s="43"/>
      <c r="B2" s="43"/>
    </row>
    <row r="3" spans="1:35" x14ac:dyDescent="0.2">
      <c r="A3" s="43"/>
      <c r="B3" s="43"/>
    </row>
    <row r="4" spans="1:35" x14ac:dyDescent="0.2">
      <c r="A4" s="43"/>
      <c r="B4" s="43"/>
    </row>
    <row r="5" spans="1:35" x14ac:dyDescent="0.2">
      <c r="A5" s="43"/>
      <c r="B5" s="43"/>
    </row>
    <row r="6" spans="1:35" x14ac:dyDescent="0.2">
      <c r="A6" s="43"/>
      <c r="B6" s="43"/>
    </row>
    <row r="7" spans="1:35" x14ac:dyDescent="0.2">
      <c r="A7" s="43"/>
      <c r="B7" s="43"/>
      <c r="I7" s="41">
        <f t="shared" ref="I7:O7" si="0">COUNTIF(I15:I307,"&lt;0")</f>
        <v>97</v>
      </c>
      <c r="J7" s="41">
        <f t="shared" si="0"/>
        <v>139</v>
      </c>
      <c r="K7" s="41">
        <f t="shared" si="0"/>
        <v>100</v>
      </c>
      <c r="L7" s="41">
        <f t="shared" si="0"/>
        <v>212</v>
      </c>
      <c r="M7" s="41">
        <f t="shared" si="0"/>
        <v>248</v>
      </c>
      <c r="N7" s="41">
        <f t="shared" si="0"/>
        <v>254</v>
      </c>
      <c r="O7" s="41">
        <f t="shared" si="0"/>
        <v>257</v>
      </c>
      <c r="P7" s="41">
        <f t="shared" ref="P7" si="1">COUNTIF(P15:P307,"&lt;0")</f>
        <v>243</v>
      </c>
      <c r="R7" s="123" t="s">
        <v>319</v>
      </c>
    </row>
    <row r="8" spans="1:35" x14ac:dyDescent="0.2">
      <c r="A8" s="43" t="s">
        <v>622</v>
      </c>
      <c r="B8" s="43"/>
      <c r="U8" s="4" t="s">
        <v>307</v>
      </c>
      <c r="V8" s="41" t="e">
        <f>MIN(V15:V307)</f>
        <v>#REF!</v>
      </c>
      <c r="W8" s="41">
        <f t="shared" ref="W8:AI8" si="2">MIN(W15:W307)</f>
        <v>-1864.511442063204</v>
      </c>
      <c r="X8" s="41">
        <f t="shared" si="2"/>
        <v>-2066.8325630998934</v>
      </c>
      <c r="Y8" s="41">
        <f t="shared" si="2"/>
        <v>-2831.9474835886217</v>
      </c>
      <c r="Z8" s="41">
        <f t="shared" si="2"/>
        <v>-2004.1710114702814</v>
      </c>
      <c r="AA8" s="41">
        <f t="shared" si="2"/>
        <v>-5415.7749302911379</v>
      </c>
      <c r="AB8" s="41">
        <f t="shared" si="2"/>
        <v>-2705.4618135180858</v>
      </c>
      <c r="AC8" s="41">
        <f t="shared" si="2"/>
        <v>-2548.1190556246406</v>
      </c>
      <c r="AD8" s="41">
        <f t="shared" si="2"/>
        <v>-4178.014989835232</v>
      </c>
      <c r="AE8" s="41">
        <f t="shared" si="2"/>
        <v>-1496.8559869075518</v>
      </c>
      <c r="AF8" s="41">
        <f t="shared" si="2"/>
        <v>-2570.398543462803</v>
      </c>
      <c r="AG8" s="41">
        <f t="shared" si="2"/>
        <v>-2716.904900974725</v>
      </c>
      <c r="AH8" s="41">
        <f t="shared" si="2"/>
        <v>-2862.580218137351</v>
      </c>
      <c r="AI8" s="41">
        <f t="shared" si="2"/>
        <v>-2818.8528120501624</v>
      </c>
    </row>
    <row r="9" spans="1:35" x14ac:dyDescent="0.2">
      <c r="A9" s="312" t="s">
        <v>311</v>
      </c>
      <c r="B9" s="312"/>
      <c r="C9" s="146">
        <v>2015</v>
      </c>
      <c r="D9" s="146">
        <v>2016</v>
      </c>
      <c r="E9" s="146">
        <v>2017</v>
      </c>
      <c r="F9" s="146">
        <v>2018</v>
      </c>
      <c r="G9" s="146">
        <v>2019</v>
      </c>
      <c r="H9" s="146">
        <v>2020</v>
      </c>
      <c r="I9" s="146">
        <v>2021</v>
      </c>
      <c r="J9" s="146">
        <v>2022</v>
      </c>
      <c r="K9" s="146">
        <v>2023</v>
      </c>
      <c r="L9" s="146">
        <v>2024</v>
      </c>
      <c r="M9" s="146">
        <v>2025</v>
      </c>
      <c r="N9" s="146">
        <v>2026</v>
      </c>
      <c r="O9" s="146">
        <v>2027</v>
      </c>
      <c r="P9" s="146">
        <v>2028</v>
      </c>
      <c r="R9" s="107"/>
      <c r="S9" s="120"/>
      <c r="T9" s="120"/>
      <c r="U9" s="7" t="s">
        <v>308</v>
      </c>
      <c r="V9" s="41" t="e">
        <f>MAX(V15:V307)</f>
        <v>#REF!</v>
      </c>
      <c r="W9" s="41">
        <f t="shared" ref="W9:AE9" si="3">MAX(W15:W307)</f>
        <v>2298.7927565392356</v>
      </c>
      <c r="X9" s="41">
        <f t="shared" si="3"/>
        <v>1535.7963353816845</v>
      </c>
      <c r="Y9" s="41">
        <f t="shared" si="3"/>
        <v>2665.5491698595147</v>
      </c>
      <c r="Z9" s="41">
        <f t="shared" si="3"/>
        <v>4884.1911764705883</v>
      </c>
      <c r="AA9" s="41">
        <f t="shared" si="3"/>
        <v>9796.8288849026394</v>
      </c>
      <c r="AB9" s="41">
        <f t="shared" si="3"/>
        <v>5209.5830955612346</v>
      </c>
      <c r="AC9" s="41">
        <f t="shared" si="3"/>
        <v>5025.0282480627639</v>
      </c>
      <c r="AD9" s="41">
        <f t="shared" si="3"/>
        <v>1782.2462956042698</v>
      </c>
      <c r="AE9" s="41">
        <f t="shared" si="3"/>
        <v>1172.0826237322776</v>
      </c>
      <c r="AF9" s="41">
        <f t="shared" ref="AF9:AG9" si="4">MAX(AF15:AF307)</f>
        <v>969.48932357930119</v>
      </c>
      <c r="AG9" s="41">
        <f t="shared" si="4"/>
        <v>777.86369026284513</v>
      </c>
      <c r="AH9" s="41">
        <f t="shared" ref="AH9:AI9" si="5">MAX(AH15:AH307)</f>
        <v>832.76269138012515</v>
      </c>
      <c r="AI9" s="41">
        <f t="shared" si="5"/>
        <v>932.00013915401655</v>
      </c>
    </row>
    <row r="10" spans="1:35" x14ac:dyDescent="0.2">
      <c r="A10" s="43" t="s">
        <v>623</v>
      </c>
      <c r="B10" s="43"/>
    </row>
    <row r="11" spans="1:35" ht="12" thickBot="1" x14ac:dyDescent="0.25">
      <c r="A11" s="43" t="s">
        <v>624</v>
      </c>
      <c r="B11" s="43"/>
    </row>
    <row r="12" spans="1:35" ht="12" thickBot="1" x14ac:dyDescent="0.25">
      <c r="A12" s="83" t="s">
        <v>326</v>
      </c>
      <c r="B12" s="84" t="s">
        <v>327</v>
      </c>
      <c r="C12" s="94" t="s">
        <v>646</v>
      </c>
      <c r="D12" s="94" t="s">
        <v>646</v>
      </c>
      <c r="E12" s="94" t="s">
        <v>646</v>
      </c>
      <c r="F12" s="94" t="s">
        <v>646</v>
      </c>
      <c r="G12" s="94" t="s">
        <v>646</v>
      </c>
      <c r="H12" s="94" t="s">
        <v>646</v>
      </c>
      <c r="I12" s="94" t="s">
        <v>646</v>
      </c>
      <c r="J12" s="94" t="s">
        <v>646</v>
      </c>
      <c r="K12" s="94" t="s">
        <v>646</v>
      </c>
      <c r="L12" s="94" t="s">
        <v>646</v>
      </c>
      <c r="M12" s="94" t="s">
        <v>646</v>
      </c>
      <c r="N12" s="94" t="s">
        <v>646</v>
      </c>
      <c r="O12" s="94" t="s">
        <v>646</v>
      </c>
      <c r="P12" s="94" t="s">
        <v>646</v>
      </c>
      <c r="T12" s="94" t="s">
        <v>326</v>
      </c>
      <c r="U12" s="94" t="s">
        <v>327</v>
      </c>
      <c r="V12" s="77">
        <v>2015</v>
      </c>
      <c r="W12" s="77">
        <v>2016</v>
      </c>
      <c r="X12" s="77">
        <v>2017</v>
      </c>
      <c r="Y12" s="77">
        <v>2018</v>
      </c>
      <c r="Z12" s="77">
        <v>2019</v>
      </c>
      <c r="AA12" s="77">
        <v>2020</v>
      </c>
      <c r="AB12" s="77">
        <v>2021</v>
      </c>
      <c r="AC12" s="77">
        <v>2022</v>
      </c>
      <c r="AD12" s="77">
        <v>2023</v>
      </c>
      <c r="AE12" s="77">
        <v>2024</v>
      </c>
      <c r="AF12" s="77">
        <v>2025</v>
      </c>
      <c r="AG12" s="77">
        <v>2026</v>
      </c>
      <c r="AH12" s="77">
        <v>2027</v>
      </c>
      <c r="AI12" s="77">
        <v>2028</v>
      </c>
    </row>
    <row r="13" spans="1:35" x14ac:dyDescent="0.2">
      <c r="A13" s="39"/>
      <c r="B13" s="86" t="s">
        <v>312</v>
      </c>
      <c r="C13" s="41" t="e">
        <f>SUM(C15:C307)</f>
        <v>#REF!</v>
      </c>
      <c r="D13" s="41">
        <f t="shared" ref="D13:L13" si="6">SUM(D15:D307)</f>
        <v>-71918</v>
      </c>
      <c r="E13" s="41">
        <f t="shared" si="6"/>
        <v>464552</v>
      </c>
      <c r="F13" s="41">
        <f t="shared" si="6"/>
        <v>-1214882</v>
      </c>
      <c r="G13" s="41">
        <f t="shared" si="6"/>
        <v>-1430159</v>
      </c>
      <c r="H13" s="41">
        <f t="shared" si="6"/>
        <v>349456.44077116676</v>
      </c>
      <c r="I13" s="41">
        <f t="shared" si="6"/>
        <v>608167.08787610021</v>
      </c>
      <c r="J13" s="41">
        <f t="shared" si="6"/>
        <v>645523.45101102267</v>
      </c>
      <c r="K13" s="41">
        <f>SUM(K15:K307)</f>
        <v>278313.69029614498</v>
      </c>
      <c r="L13" s="41">
        <f t="shared" si="6"/>
        <v>-916848.83258760651</v>
      </c>
      <c r="M13" s="41">
        <f t="shared" ref="M13:N13" si="7">SUM(M15:M307)</f>
        <v>-1856634.3143919243</v>
      </c>
      <c r="N13" s="41">
        <f t="shared" si="7"/>
        <v>-1914950.5812838848</v>
      </c>
      <c r="O13" s="41">
        <f t="shared" ref="O13:P13" si="8">SUM(O15:O307)</f>
        <v>-2031011.3439226055</v>
      </c>
      <c r="P13" s="41">
        <f t="shared" si="8"/>
        <v>-1819513.630317502</v>
      </c>
      <c r="S13" s="8"/>
      <c r="T13" s="39"/>
      <c r="U13" s="86" t="s">
        <v>312</v>
      </c>
      <c r="V13" s="41" t="e">
        <f>C13/'1. Väestöennuste'!E13*1000</f>
        <v>#REF!</v>
      </c>
      <c r="W13" s="41">
        <f>D13/'1. Väestöennuste'!F13*1000</f>
        <v>-13.137908212206501</v>
      </c>
      <c r="X13" s="41">
        <f>E13/'1. Väestöennuste'!G13*1000</f>
        <v>84.71597611878677</v>
      </c>
      <c r="Y13" s="41">
        <f>F13/'1. Väestöennuste'!H13*1000</f>
        <v>-221.36538310863625</v>
      </c>
      <c r="Z13" s="41">
        <f>G13/'1. Väestöennuste'!I13*1000</f>
        <v>-260.2461910016508</v>
      </c>
      <c r="AA13" s="41">
        <f>H13/'1. Väestöennuste'!J13*1000</f>
        <v>63.495235314359078</v>
      </c>
      <c r="AB13" s="41">
        <f>I13/'1. Väestöennuste'!K13*1000</f>
        <v>110.21718743138921</v>
      </c>
      <c r="AC13" s="41">
        <f>J13/'1. Väestöennuste'!L13*1000</f>
        <v>116.655010807775</v>
      </c>
      <c r="AD13" s="41">
        <f>K13/'1. Väestöennuste'!M13*1000</f>
        <v>49.936875985033133</v>
      </c>
      <c r="AE13" s="41">
        <f>L13/'1. Väestöennuste'!N13*1000</f>
        <v>-165.53938674022254</v>
      </c>
      <c r="AF13" s="41">
        <f>M13/'1. Väestöennuste'!O13*1000</f>
        <v>-334.83681549705722</v>
      </c>
      <c r="AG13" s="41">
        <f>N13/'1. Väestöennuste'!P13*1000</f>
        <v>-344.99958946401443</v>
      </c>
      <c r="AH13" s="41">
        <f>O13/'1. Väestöennuste'!Q13*1000</f>
        <v>-365.57273442425054</v>
      </c>
      <c r="AI13" s="41">
        <f>P13/'1. Väestöennuste'!R13*1000</f>
        <v>-327.24876948864716</v>
      </c>
    </row>
    <row r="14" spans="1:35" x14ac:dyDescent="0.2">
      <c r="A14" s="39"/>
      <c r="B14" s="86"/>
      <c r="T14" s="39"/>
      <c r="U14" s="86"/>
      <c r="V14" s="41"/>
      <c r="W14" s="41"/>
      <c r="X14" s="41"/>
      <c r="Y14" s="41"/>
      <c r="Z14" s="41"/>
      <c r="AA14" s="41"/>
      <c r="AB14" s="41"/>
      <c r="AC14" s="41"/>
      <c r="AD14" s="41"/>
      <c r="AE14" s="41"/>
      <c r="AF14" s="41"/>
      <c r="AG14" s="41"/>
      <c r="AH14" s="41"/>
      <c r="AI14" s="41"/>
    </row>
    <row r="15" spans="1:35" x14ac:dyDescent="0.2">
      <c r="A15" s="34">
        <v>5</v>
      </c>
      <c r="B15" s="88" t="s">
        <v>328</v>
      </c>
      <c r="C15" s="41" t="e">
        <f>Vuosikate!C15+'7. Nettoinvestoinnit '!C15+'8. Satunnaiset erät'!C15+'9. Tulorahkorjauserät'!C15</f>
        <v>#REF!</v>
      </c>
      <c r="D15" s="41">
        <f>Vuosikate!D15+'7. Nettoinvestoinnit '!D15+'8. Satunnaiset erät'!D15+'9. Tulorahkorjauserät'!D15</f>
        <v>6412</v>
      </c>
      <c r="E15" s="41">
        <f>Vuosikate!E15+'7. Nettoinvestoinnit '!E15+'8. Satunnaiset erät'!E15+'9. Tulorahkorjauserät'!E15</f>
        <v>-916</v>
      </c>
      <c r="F15" s="41">
        <f>Vuosikate!F15+'7. Nettoinvestoinnit '!F15+'8. Satunnaiset erät'!F15+'9. Tulorahkorjauserät'!F15</f>
        <v>-4891</v>
      </c>
      <c r="G15" s="41">
        <f>Vuosikate!G15+'7. Nettoinvestoinnit '!G15+'8. Satunnaiset erät'!G15+'9. Tulorahkorjauserät'!G15</f>
        <v>-5586</v>
      </c>
      <c r="H15" s="41">
        <f>Vuosikate!H15+'7. Nettoinvestoinnit '!H15+'8. Satunnaiset erät'!H15+'9. Tulorahkorjauserät'!H15</f>
        <v>460.51060735510691</v>
      </c>
      <c r="I15" s="41">
        <f>Vuosikate!I15+'7. Nettoinvestoinnit '!I15+'8. Satunnaiset erät'!I15+'9. Tulorahkorjauserät'!I15</f>
        <v>898.11958335104532</v>
      </c>
      <c r="J15" s="41">
        <f>Vuosikate!J15+'7. Nettoinvestoinnit '!J15+'8. Satunnaiset erät'!J15+'9. Tulorahkorjauserät'!J15</f>
        <v>1166.1218513060107</v>
      </c>
      <c r="K15" s="41">
        <f>Vuosikate!K15+'7. Nettoinvestoinnit '!K15+'8. Satunnaiset erät'!K15+'9. Tulorahkorjauserät'!K15</f>
        <v>4898.6903098974071</v>
      </c>
      <c r="L15" s="41">
        <f>Vuosikate!L15+'7. Nettoinvestoinnit '!L15+'8. Satunnaiset erät'!L15+'9. Tulorahkorjauserät'!L15</f>
        <v>333.66796080179665</v>
      </c>
      <c r="M15" s="41">
        <f>Vuosikate!M15+'7. Nettoinvestoinnit '!M15+'8. Satunnaiset erät'!M15+'9. Tulorahkorjauserät'!M15</f>
        <v>5.4407279775505231</v>
      </c>
      <c r="N15" s="41">
        <f>Vuosikate!N15+'7. Nettoinvestoinnit '!N15+'8. Satunnaiset erät'!N15+'9. Tulorahkorjauserät'!N15</f>
        <v>-339.44087772501553</v>
      </c>
      <c r="O15" s="41">
        <f>Vuosikate!O15+'7. Nettoinvestoinnit '!O15+'8. Satunnaiset erät'!O15+'9. Tulorahkorjauserät'!O15</f>
        <v>-370.07884236372411</v>
      </c>
      <c r="P15" s="41">
        <f>Vuosikate!P15+'7. Nettoinvestoinnit '!P15+'8. Satunnaiset erät'!P15+'9. Tulorahkorjauserät'!P15</f>
        <v>500.34484959967813</v>
      </c>
      <c r="T15" s="34">
        <v>5</v>
      </c>
      <c r="U15" s="88" t="s">
        <v>328</v>
      </c>
      <c r="V15" s="41" t="e">
        <f>C15/'1. Väestöennuste'!E15*1000</f>
        <v>#REF!</v>
      </c>
      <c r="W15" s="41">
        <f>D15/'1. Väestöennuste'!F15*1000</f>
        <v>647.74219618143252</v>
      </c>
      <c r="X15" s="41">
        <f>E15/'1. Väestöennuste'!G15*1000</f>
        <v>-93.174651612246976</v>
      </c>
      <c r="Y15" s="41">
        <f>F15/'1. Väestöennuste'!H15*1000</f>
        <v>-504.22680412371136</v>
      </c>
      <c r="Z15" s="41">
        <f>G15/'1. Väestöennuste'!I15*1000</f>
        <v>-584.18740849194728</v>
      </c>
      <c r="AA15" s="41">
        <f>H15/'1. Väestöennuste'!J15*1000</f>
        <v>48.891666562809952</v>
      </c>
      <c r="AB15" s="41">
        <f>I15/'1. Väestöennuste'!K15*1000</f>
        <v>96.45790821083078</v>
      </c>
      <c r="AC15" s="41">
        <f>J15/'1. Väestöennuste'!L15*1000</f>
        <v>126.98702507960479</v>
      </c>
      <c r="AD15" s="41">
        <f>K15/'1. Väestöennuste'!M15*1000</f>
        <v>537.54968834603392</v>
      </c>
      <c r="AE15" s="41">
        <f>L15/'1. Väestöennuste'!N15*1000</f>
        <v>37.277171355356572</v>
      </c>
      <c r="AF15" s="41">
        <f>M15/'1. Väestöennuste'!O15*1000</f>
        <v>0.61539735070133728</v>
      </c>
      <c r="AG15" s="41">
        <f>N15/'1. Väestöennuste'!P15*1000</f>
        <v>-38.882116577894102</v>
      </c>
      <c r="AH15" s="41">
        <f>O15/'1. Väestöennuste'!Q15*1000</f>
        <v>-42.927600320580453</v>
      </c>
      <c r="AI15" s="41">
        <f>P15/'1. Väestöennuste'!R15*1000</f>
        <v>58.781114849586245</v>
      </c>
    </row>
    <row r="16" spans="1:35" x14ac:dyDescent="0.2">
      <c r="A16" s="34">
        <v>9</v>
      </c>
      <c r="B16" s="88" t="s">
        <v>329</v>
      </c>
      <c r="C16" s="41" t="e">
        <f>Vuosikate!C16+'7. Nettoinvestoinnit '!C16+'8. Satunnaiset erät'!C16+'9. Tulorahkorjauserät'!C16</f>
        <v>#REF!</v>
      </c>
      <c r="D16" s="41">
        <f>Vuosikate!D16+'7. Nettoinvestoinnit '!D16+'8. Satunnaiset erät'!D16+'9. Tulorahkorjauserät'!D16</f>
        <v>1736</v>
      </c>
      <c r="E16" s="41">
        <f>Vuosikate!E16+'7. Nettoinvestoinnit '!E16+'8. Satunnaiset erät'!E16+'9. Tulorahkorjauserät'!E16</f>
        <v>51</v>
      </c>
      <c r="F16" s="41">
        <f>Vuosikate!F16+'7. Nettoinvestoinnit '!F16+'8. Satunnaiset erät'!F16+'9. Tulorahkorjauserät'!F16</f>
        <v>553</v>
      </c>
      <c r="G16" s="41">
        <f>Vuosikate!G16+'7. Nettoinvestoinnit '!G16+'8. Satunnaiset erät'!G16+'9. Tulorahkorjauserät'!G16</f>
        <v>324</v>
      </c>
      <c r="H16" s="41">
        <f>Vuosikate!H16+'7. Nettoinvestoinnit '!H16+'8. Satunnaiset erät'!H16+'9. Tulorahkorjauserät'!H16</f>
        <v>1594.3207278548052</v>
      </c>
      <c r="I16" s="41">
        <f>Vuosikate!I16+'7. Nettoinvestoinnit '!I16+'8. Satunnaiset erät'!I16+'9. Tulorahkorjauserät'!I16</f>
        <v>294.90347142801591</v>
      </c>
      <c r="J16" s="41">
        <f>Vuosikate!J16+'7. Nettoinvestoinnit '!J16+'8. Satunnaiset erät'!J16+'9. Tulorahkorjauserät'!J16</f>
        <v>1938.1323825995023</v>
      </c>
      <c r="K16" s="41">
        <f>Vuosikate!K16+'7. Nettoinvestoinnit '!K16+'8. Satunnaiset erät'!K16+'9. Tulorahkorjauserät'!K16</f>
        <v>598.26686330740347</v>
      </c>
      <c r="L16" s="41">
        <f>Vuosikate!L16+'7. Nettoinvestoinnit '!L16+'8. Satunnaiset erät'!L16+'9. Tulorahkorjauserät'!L16</f>
        <v>-257.52134307582298</v>
      </c>
      <c r="M16" s="41">
        <f>Vuosikate!M16+'7. Nettoinvestoinnit '!M16+'8. Satunnaiset erät'!M16+'9. Tulorahkorjauserät'!M16</f>
        <v>-457.23521324951946</v>
      </c>
      <c r="N16" s="41">
        <f>Vuosikate!N16+'7. Nettoinvestoinnit '!N16+'8. Satunnaiset erät'!N16+'9. Tulorahkorjauserät'!N16</f>
        <v>-812.00105709142463</v>
      </c>
      <c r="O16" s="41">
        <f>Vuosikate!O16+'7. Nettoinvestoinnit '!O16+'8. Satunnaiset erät'!O16+'9. Tulorahkorjauserät'!O16</f>
        <v>-973.59774434748374</v>
      </c>
      <c r="P16" s="41">
        <f>Vuosikate!P16+'7. Nettoinvestoinnit '!P16+'8. Satunnaiset erät'!P16+'9. Tulorahkorjauserät'!P16</f>
        <v>-936.18721592357099</v>
      </c>
      <c r="T16" s="34">
        <v>9</v>
      </c>
      <c r="U16" s="88" t="s">
        <v>329</v>
      </c>
      <c r="V16" s="41" t="e">
        <f>C16/'1. Väestöennuste'!E16*1000</f>
        <v>#REF!</v>
      </c>
      <c r="W16" s="41">
        <f>D16/'1. Väestöennuste'!F16*1000</f>
        <v>657.82493368700273</v>
      </c>
      <c r="X16" s="41">
        <f>E16/'1. Väestöennuste'!G16*1000</f>
        <v>19.540229885057471</v>
      </c>
      <c r="Y16" s="41">
        <f>F16/'1. Väestöennuste'!H16*1000</f>
        <v>214.92421298095607</v>
      </c>
      <c r="Z16" s="41">
        <f>G16/'1. Väestöennuste'!I16*1000</f>
        <v>128.62246923382295</v>
      </c>
      <c r="AA16" s="41">
        <f>H16/'1. Väestöennuste'!J16*1000</f>
        <v>633.42102815049873</v>
      </c>
      <c r="AB16" s="41">
        <f>I16/'1. Väestöennuste'!K16*1000</f>
        <v>118.38758387314969</v>
      </c>
      <c r="AC16" s="41">
        <f>J16/'1. Väestöennuste'!L16*1000</f>
        <v>792.04429203085499</v>
      </c>
      <c r="AD16" s="41">
        <f>K16/'1. Väestöennuste'!M16*1000</f>
        <v>245.49317328986601</v>
      </c>
      <c r="AE16" s="41">
        <f>L16/'1. Väestöennuste'!N16*1000</f>
        <v>-106.36982365791944</v>
      </c>
      <c r="AF16" s="41">
        <f>M16/'1. Väestöennuste'!O16*1000</f>
        <v>-190.75311357927387</v>
      </c>
      <c r="AG16" s="41">
        <f>N16/'1. Väestöennuste'!P16*1000</f>
        <v>-341.89518193323141</v>
      </c>
      <c r="AH16" s="41">
        <f>O16/'1. Väestöennuste'!Q16*1000</f>
        <v>-413.94461919535877</v>
      </c>
      <c r="AI16" s="41">
        <f>P16/'1. Väestöennuste'!R16*1000</f>
        <v>-401.96960752407512</v>
      </c>
    </row>
    <row r="17" spans="1:35" x14ac:dyDescent="0.2">
      <c r="A17" s="34">
        <v>10</v>
      </c>
      <c r="B17" s="88" t="s">
        <v>330</v>
      </c>
      <c r="C17" s="41" t="e">
        <f>Vuosikate!C17+'7. Nettoinvestoinnit '!C17+'8. Satunnaiset erät'!C17+'9. Tulorahkorjauserät'!C17</f>
        <v>#REF!</v>
      </c>
      <c r="D17" s="41">
        <f>Vuosikate!D17+'7. Nettoinvestoinnit '!D17+'8. Satunnaiset erät'!D17+'9. Tulorahkorjauserät'!D17</f>
        <v>900</v>
      </c>
      <c r="E17" s="41">
        <f>Vuosikate!E17+'7. Nettoinvestoinnit '!E17+'8. Satunnaiset erät'!E17+'9. Tulorahkorjauserät'!E17</f>
        <v>1987</v>
      </c>
      <c r="F17" s="41">
        <f>Vuosikate!F17+'7. Nettoinvestoinnit '!F17+'8. Satunnaiset erät'!F17+'9. Tulorahkorjauserät'!F17</f>
        <v>-2411</v>
      </c>
      <c r="G17" s="41">
        <f>Vuosikate!G17+'7. Nettoinvestoinnit '!G17+'8. Satunnaiset erät'!G17+'9. Tulorahkorjauserät'!G17</f>
        <v>1926</v>
      </c>
      <c r="H17" s="41">
        <f>Vuosikate!H17+'7. Nettoinvestoinnit '!H17+'8. Satunnaiset erät'!H17+'9. Tulorahkorjauserät'!H17</f>
        <v>-1408.2161891045544</v>
      </c>
      <c r="I17" s="41">
        <f>Vuosikate!I17+'7. Nettoinvestoinnit '!I17+'8. Satunnaiset erät'!I17+'9. Tulorahkorjauserät'!I17</f>
        <v>-1503.7587893816562</v>
      </c>
      <c r="J17" s="41">
        <f>Vuosikate!J17+'7. Nettoinvestoinnit '!J17+'8. Satunnaiset erät'!J17+'9. Tulorahkorjauserät'!J17</f>
        <v>-7242.4215503619234</v>
      </c>
      <c r="K17" s="41">
        <f>Vuosikate!K17+'7. Nettoinvestoinnit '!K17+'8. Satunnaiset erät'!K17+'9. Tulorahkorjauserät'!K17</f>
        <v>-6118.7224144370612</v>
      </c>
      <c r="L17" s="41">
        <f>Vuosikate!L17+'7. Nettoinvestoinnit '!L17+'8. Satunnaiset erät'!L17+'9. Tulorahkorjauserät'!L17</f>
        <v>-2006.2218512593126</v>
      </c>
      <c r="M17" s="41">
        <f>Vuosikate!M17+'7. Nettoinvestoinnit '!M17+'8. Satunnaiset erät'!M17+'9. Tulorahkorjauserät'!M17</f>
        <v>-3813.0993996652824</v>
      </c>
      <c r="N17" s="41">
        <f>Vuosikate!N17+'7. Nettoinvestoinnit '!N17+'8. Satunnaiset erät'!N17+'9. Tulorahkorjauserät'!N17</f>
        <v>-4209.0114114838098</v>
      </c>
      <c r="O17" s="41">
        <f>Vuosikate!O17+'7. Nettoinvestoinnit '!O17+'8. Satunnaiset erät'!O17+'9. Tulorahkorjauserät'!O17</f>
        <v>-4020.0201414982316</v>
      </c>
      <c r="P17" s="41">
        <f>Vuosikate!P17+'7. Nettoinvestoinnit '!P17+'8. Satunnaiset erät'!P17+'9. Tulorahkorjauserät'!P17</f>
        <v>-2994.7920651202226</v>
      </c>
      <c r="T17" s="34">
        <v>10</v>
      </c>
      <c r="U17" s="88" t="s">
        <v>330</v>
      </c>
      <c r="V17" s="41" t="e">
        <f>C17/'1. Väestöennuste'!E17*1000</f>
        <v>#REF!</v>
      </c>
      <c r="W17" s="41">
        <f>D17/'1. Väestöennuste'!F17*1000</f>
        <v>75.585789871504161</v>
      </c>
      <c r="X17" s="41">
        <f>E17/'1. Väestöennuste'!G17*1000</f>
        <v>169.64057030649707</v>
      </c>
      <c r="Y17" s="41">
        <f>F17/'1. Väestöennuste'!H17*1000</f>
        <v>-208.85308385308386</v>
      </c>
      <c r="Z17" s="41">
        <f>G17/'1. Väestöennuste'!I17*1000</f>
        <v>167.94558772235789</v>
      </c>
      <c r="AA17" s="41">
        <f>H17/'1. Väestöennuste'!J17*1000</f>
        <v>-124.26898950799104</v>
      </c>
      <c r="AB17" s="41">
        <f>I17/'1. Väestöennuste'!K17*1000</f>
        <v>-134.30015087806166</v>
      </c>
      <c r="AC17" s="41">
        <f>J17/'1. Väestöennuste'!L17*1000</f>
        <v>-652.3528688850588</v>
      </c>
      <c r="AD17" s="41">
        <f>K17/'1. Väestöennuste'!M17*1000</f>
        <v>-559.65630791521653</v>
      </c>
      <c r="AE17" s="41">
        <f>L17/'1. Väestöennuste'!N17*1000</f>
        <v>-185.50363858153608</v>
      </c>
      <c r="AF17" s="41">
        <f>M17/'1. Väestöennuste'!O17*1000</f>
        <v>-356.8313119656824</v>
      </c>
      <c r="AG17" s="41">
        <f>N17/'1. Väestöennuste'!P17*1000</f>
        <v>-398.50515162694654</v>
      </c>
      <c r="AH17" s="41">
        <f>O17/'1. Väestöennuste'!Q17*1000</f>
        <v>-384.9487830602539</v>
      </c>
      <c r="AI17" s="41">
        <f>P17/'1. Väestöennuste'!R17*1000</f>
        <v>-290.05250025377461</v>
      </c>
    </row>
    <row r="18" spans="1:35" x14ac:dyDescent="0.2">
      <c r="A18" s="34">
        <v>16</v>
      </c>
      <c r="B18" s="88" t="s">
        <v>331</v>
      </c>
      <c r="C18" s="41" t="e">
        <f>Vuosikate!C18+'7. Nettoinvestoinnit '!C18+'8. Satunnaiset erät'!C18+'9. Tulorahkorjauserät'!C18</f>
        <v>#REF!</v>
      </c>
      <c r="D18" s="41">
        <f>Vuosikate!D18+'7. Nettoinvestoinnit '!D18+'8. Satunnaiset erät'!D18+'9. Tulorahkorjauserät'!D18</f>
        <v>3076</v>
      </c>
      <c r="E18" s="41">
        <f>Vuosikate!E18+'7. Nettoinvestoinnit '!E18+'8. Satunnaiset erät'!E18+'9. Tulorahkorjauserät'!E18</f>
        <v>2623</v>
      </c>
      <c r="F18" s="41">
        <f>Vuosikate!F18+'7. Nettoinvestoinnit '!F18+'8. Satunnaiset erät'!F18+'9. Tulorahkorjauserät'!F18</f>
        <v>1928</v>
      </c>
      <c r="G18" s="41">
        <f>Vuosikate!G18+'7. Nettoinvestoinnit '!G18+'8. Satunnaiset erät'!G18+'9. Tulorahkorjauserät'!G18</f>
        <v>145</v>
      </c>
      <c r="H18" s="41">
        <f>Vuosikate!H18+'7. Nettoinvestoinnit '!H18+'8. Satunnaiset erät'!H18+'9. Tulorahkorjauserät'!H18</f>
        <v>6558.317470642196</v>
      </c>
      <c r="I18" s="41">
        <f>Vuosikate!I18+'7. Nettoinvestoinnit '!I18+'8. Satunnaiset erät'!I18+'9. Tulorahkorjauserät'!I18</f>
        <v>2632.0470084769536</v>
      </c>
      <c r="J18" s="41">
        <f>Vuosikate!J18+'7. Nettoinvestoinnit '!J18+'8. Satunnaiset erät'!J18+'9. Tulorahkorjauserät'!J18</f>
        <v>-10665.418432836637</v>
      </c>
      <c r="K18" s="41">
        <f>Vuosikate!K18+'7. Nettoinvestoinnit '!K18+'8. Satunnaiset erät'!K18+'9. Tulorahkorjauserät'!K18</f>
        <v>1453.78844612066</v>
      </c>
      <c r="L18" s="41">
        <f>Vuosikate!L18+'7. Nettoinvestoinnit '!L18+'8. Satunnaiset erät'!L18+'9. Tulorahkorjauserät'!L18</f>
        <v>-4191.3199000795466</v>
      </c>
      <c r="M18" s="41">
        <f>Vuosikate!M18+'7. Nettoinvestoinnit '!M18+'8. Satunnaiset erät'!M18+'9. Tulorahkorjauserät'!M18</f>
        <v>-3916.2513811709805</v>
      </c>
      <c r="N18" s="41">
        <f>Vuosikate!N18+'7. Nettoinvestoinnit '!N18+'8. Satunnaiset erät'!N18+'9. Tulorahkorjauserät'!N18</f>
        <v>-5146.9233053700373</v>
      </c>
      <c r="O18" s="41">
        <f>Vuosikate!O18+'7. Nettoinvestoinnit '!O18+'8. Satunnaiset erät'!O18+'9. Tulorahkorjauserät'!O18</f>
        <v>-5911.5520139455975</v>
      </c>
      <c r="P18" s="41">
        <f>Vuosikate!P18+'7. Nettoinvestoinnit '!P18+'8. Satunnaiset erät'!P18+'9. Tulorahkorjauserät'!P18</f>
        <v>-5298.6489829689181</v>
      </c>
      <c r="T18" s="34">
        <v>16</v>
      </c>
      <c r="U18" s="88" t="s">
        <v>331</v>
      </c>
      <c r="V18" s="41" t="e">
        <f>C18/'1. Väestöennuste'!E18*1000</f>
        <v>#REF!</v>
      </c>
      <c r="W18" s="41">
        <f>D18/'1. Väestöennuste'!F18*1000</f>
        <v>369.57827706355886</v>
      </c>
      <c r="X18" s="41">
        <f>E18/'1. Väestöennuste'!G18*1000</f>
        <v>318.01648884578083</v>
      </c>
      <c r="Y18" s="41">
        <f>F18/'1. Väestöennuste'!H18*1000</f>
        <v>236.59344704871762</v>
      </c>
      <c r="Z18" s="41">
        <f>G18/'1. Väestöennuste'!I18*1000</f>
        <v>17.938884077693928</v>
      </c>
      <c r="AA18" s="41">
        <f>H18/'1. Väestöennuste'!J18*1000</f>
        <v>813.78799734981953</v>
      </c>
      <c r="AB18" s="41">
        <f>I18/'1. Väestöennuste'!K18*1000</f>
        <v>327.65430206360679</v>
      </c>
      <c r="AC18" s="41">
        <f>J18/'1. Väestöennuste'!L18*1000</f>
        <v>-1330.8483195453753</v>
      </c>
      <c r="AD18" s="41">
        <f>K18/'1. Väestöennuste'!M18*1000</f>
        <v>182.45336924205068</v>
      </c>
      <c r="AE18" s="41">
        <f>L18/'1. Väestöennuste'!N18*1000</f>
        <v>-531.48870150640971</v>
      </c>
      <c r="AF18" s="41">
        <f>M18/'1. Väestöennuste'!O18*1000</f>
        <v>-499.7130765817252</v>
      </c>
      <c r="AG18" s="41">
        <f>N18/'1. Väestöennuste'!P18*1000</f>
        <v>-660.62422094340104</v>
      </c>
      <c r="AH18" s="41">
        <f>O18/'1. Väestöennuste'!Q18*1000</f>
        <v>-763.47049127542266</v>
      </c>
      <c r="AI18" s="41">
        <f>P18/'1. Väestöennuste'!R18*1000</f>
        <v>-688.22561150395086</v>
      </c>
    </row>
    <row r="19" spans="1:35" x14ac:dyDescent="0.2">
      <c r="A19" s="34">
        <v>18</v>
      </c>
      <c r="B19" s="88" t="s">
        <v>332</v>
      </c>
      <c r="C19" s="41" t="e">
        <f>Vuosikate!C19+'7. Nettoinvestoinnit '!C19+'8. Satunnaiset erät'!C19+'9. Tulorahkorjauserät'!C19</f>
        <v>#REF!</v>
      </c>
      <c r="D19" s="41">
        <f>Vuosikate!D19+'7. Nettoinvestoinnit '!D19+'8. Satunnaiset erät'!D19+'9. Tulorahkorjauserät'!D19</f>
        <v>-460</v>
      </c>
      <c r="E19" s="41">
        <f>Vuosikate!E19+'7. Nettoinvestoinnit '!E19+'8. Satunnaiset erät'!E19+'9. Tulorahkorjauserät'!E19</f>
        <v>-2389</v>
      </c>
      <c r="F19" s="41">
        <f>Vuosikate!F19+'7. Nettoinvestoinnit '!F19+'8. Satunnaiset erät'!F19+'9. Tulorahkorjauserät'!F19</f>
        <v>189</v>
      </c>
      <c r="G19" s="41">
        <f>Vuosikate!G19+'7. Nettoinvestoinnit '!G19+'8. Satunnaiset erät'!G19+'9. Tulorahkorjauserät'!G19</f>
        <v>1046</v>
      </c>
      <c r="H19" s="41">
        <f>Vuosikate!H19+'7. Nettoinvestoinnit '!H19+'8. Satunnaiset erät'!H19+'9. Tulorahkorjauserät'!H19</f>
        <v>613.65789541793129</v>
      </c>
      <c r="I19" s="41">
        <f>Vuosikate!I19+'7. Nettoinvestoinnit '!I19+'8. Satunnaiset erät'!I19+'9. Tulorahkorjauserät'!I19</f>
        <v>1758.9095550998084</v>
      </c>
      <c r="J19" s="41">
        <f>Vuosikate!J19+'7. Nettoinvestoinnit '!J19+'8. Satunnaiset erät'!J19+'9. Tulorahkorjauserät'!J19</f>
        <v>1592.9009366594291</v>
      </c>
      <c r="K19" s="41">
        <f>Vuosikate!K19+'7. Nettoinvestoinnit '!K19+'8. Satunnaiset erät'!K19+'9. Tulorahkorjauserät'!K19</f>
        <v>926.70906118489575</v>
      </c>
      <c r="L19" s="41">
        <f>Vuosikate!L19+'7. Nettoinvestoinnit '!L19+'8. Satunnaiset erät'!L19+'9. Tulorahkorjauserät'!L19</f>
        <v>-1334.6185688758583</v>
      </c>
      <c r="M19" s="41">
        <f>Vuosikate!M19+'7. Nettoinvestoinnit '!M19+'8. Satunnaiset erät'!M19+'9. Tulorahkorjauserät'!M19</f>
        <v>-1927.3940801366275</v>
      </c>
      <c r="N19" s="41">
        <f>Vuosikate!N19+'7. Nettoinvestoinnit '!N19+'8. Satunnaiset erät'!N19+'9. Tulorahkorjauserät'!N19</f>
        <v>-1782.9359340410078</v>
      </c>
      <c r="O19" s="41">
        <f>Vuosikate!O19+'7. Nettoinvestoinnit '!O19+'8. Satunnaiset erät'!O19+'9. Tulorahkorjauserät'!O19</f>
        <v>-2070.2894858853824</v>
      </c>
      <c r="P19" s="41">
        <f>Vuosikate!P19+'7. Nettoinvestoinnit '!P19+'8. Satunnaiset erät'!P19+'9. Tulorahkorjauserät'!P19</f>
        <v>-2163.7288307112758</v>
      </c>
      <c r="T19" s="34">
        <v>18</v>
      </c>
      <c r="U19" s="88" t="s">
        <v>332</v>
      </c>
      <c r="V19" s="41" t="e">
        <f>C19/'1. Väestöennuste'!E19*1000</f>
        <v>#REF!</v>
      </c>
      <c r="W19" s="41">
        <f>D19/'1. Väestöennuste'!F19*1000</f>
        <v>-91.161315893777257</v>
      </c>
      <c r="X19" s="41">
        <f>E19/'1. Väestöennuste'!G19*1000</f>
        <v>-478.75751503006012</v>
      </c>
      <c r="Y19" s="41">
        <f>F19/'1. Väestöennuste'!H19*1000</f>
        <v>38.120209762000805</v>
      </c>
      <c r="Z19" s="41">
        <f>G19/'1. Väestöennuste'!I19*1000</f>
        <v>211.61238114505363</v>
      </c>
      <c r="AA19" s="41">
        <f>H19/'1. Väestöennuste'!J19*1000</f>
        <v>125.80112657194165</v>
      </c>
      <c r="AB19" s="41">
        <f>I19/'1. Väestöennuste'!K19*1000</f>
        <v>362.88622964716495</v>
      </c>
      <c r="AC19" s="41">
        <f>J19/'1. Väestöennuste'!L19*1000</f>
        <v>334.43227727470691</v>
      </c>
      <c r="AD19" s="41">
        <f>K19/'1. Väestöennuste'!M19*1000</f>
        <v>197.17214067763737</v>
      </c>
      <c r="AE19" s="41">
        <f>L19/'1. Väestöennuste'!N19*1000</f>
        <v>-281.92196216220071</v>
      </c>
      <c r="AF19" s="41">
        <f>M19/'1. Väestöennuste'!O19*1000</f>
        <v>-409.30008072555268</v>
      </c>
      <c r="AG19" s="41">
        <f>N19/'1. Väestöennuste'!P19*1000</f>
        <v>-380.48141998314293</v>
      </c>
      <c r="AH19" s="41">
        <f>O19/'1. Väestöennuste'!Q19*1000</f>
        <v>-443.7919583891495</v>
      </c>
      <c r="AI19" s="41">
        <f>P19/'1. Väestöennuste'!R19*1000</f>
        <v>-466.11995491410505</v>
      </c>
    </row>
    <row r="20" spans="1:35" x14ac:dyDescent="0.2">
      <c r="A20" s="34">
        <v>19</v>
      </c>
      <c r="B20" s="88" t="s">
        <v>333</v>
      </c>
      <c r="C20" s="41" t="e">
        <f>Vuosikate!C20+'7. Nettoinvestoinnit '!C20+'8. Satunnaiset erät'!C20+'9. Tulorahkorjauserät'!C20</f>
        <v>#REF!</v>
      </c>
      <c r="D20" s="41">
        <f>Vuosikate!D20+'7. Nettoinvestoinnit '!D20+'8. Satunnaiset erät'!D20+'9. Tulorahkorjauserät'!D20</f>
        <v>1030</v>
      </c>
      <c r="E20" s="41">
        <f>Vuosikate!E20+'7. Nettoinvestoinnit '!E20+'8. Satunnaiset erät'!E20+'9. Tulorahkorjauserät'!E20</f>
        <v>2215</v>
      </c>
      <c r="F20" s="41">
        <f>Vuosikate!F20+'7. Nettoinvestoinnit '!F20+'8. Satunnaiset erät'!F20+'9. Tulorahkorjauserät'!F20</f>
        <v>-977</v>
      </c>
      <c r="G20" s="41">
        <f>Vuosikate!G20+'7. Nettoinvestoinnit '!G20+'8. Satunnaiset erät'!G20+'9. Tulorahkorjauserät'!G20</f>
        <v>-317</v>
      </c>
      <c r="H20" s="41">
        <f>Vuosikate!H20+'7. Nettoinvestoinnit '!H20+'8. Satunnaiset erät'!H20+'9. Tulorahkorjauserät'!H20</f>
        <v>2172.5150236475156</v>
      </c>
      <c r="I20" s="41">
        <f>Vuosikate!I20+'7. Nettoinvestoinnit '!I20+'8. Satunnaiset erät'!I20+'9. Tulorahkorjauserät'!I20</f>
        <v>1730.5522312892822</v>
      </c>
      <c r="J20" s="41">
        <f>Vuosikate!J20+'7. Nettoinvestoinnit '!J20+'8. Satunnaiset erät'!J20+'9. Tulorahkorjauserät'!J20</f>
        <v>998.6818680620753</v>
      </c>
      <c r="K20" s="41">
        <f>Vuosikate!K20+'7. Nettoinvestoinnit '!K20+'8. Satunnaiset erät'!K20+'9. Tulorahkorjauserät'!K20</f>
        <v>233.99373938667631</v>
      </c>
      <c r="L20" s="41">
        <f>Vuosikate!L20+'7. Nettoinvestoinnit '!L20+'8. Satunnaiset erät'!L20+'9. Tulorahkorjauserät'!L20</f>
        <v>-840.60174809145769</v>
      </c>
      <c r="M20" s="41">
        <f>Vuosikate!M20+'7. Nettoinvestoinnit '!M20+'8. Satunnaiset erät'!M20+'9. Tulorahkorjauserät'!M20</f>
        <v>-1605.5976299035099</v>
      </c>
      <c r="N20" s="41">
        <f>Vuosikate!N20+'7. Nettoinvestoinnit '!N20+'8. Satunnaiset erät'!N20+'9. Tulorahkorjauserät'!N20</f>
        <v>-1540.9512279654559</v>
      </c>
      <c r="O20" s="41">
        <f>Vuosikate!O20+'7. Nettoinvestoinnit '!O20+'8. Satunnaiset erät'!O20+'9. Tulorahkorjauserät'!O20</f>
        <v>-1262.5760822852496</v>
      </c>
      <c r="P20" s="41">
        <f>Vuosikate!P20+'7. Nettoinvestoinnit '!P20+'8. Satunnaiset erät'!P20+'9. Tulorahkorjauserät'!P20</f>
        <v>-1359.7087560620314</v>
      </c>
      <c r="T20" s="34">
        <v>19</v>
      </c>
      <c r="U20" s="88" t="s">
        <v>333</v>
      </c>
      <c r="V20" s="41" t="e">
        <f>C20/'1. Väestöennuste'!E20*1000</f>
        <v>#REF!</v>
      </c>
      <c r="W20" s="41">
        <f>D20/'1. Väestöennuste'!F20*1000</f>
        <v>258.53413654618475</v>
      </c>
      <c r="X20" s="41">
        <f>E20/'1. Väestöennuste'!G20*1000</f>
        <v>554.99874718115757</v>
      </c>
      <c r="Y20" s="41">
        <f>F20/'1. Väestöennuste'!H20*1000</f>
        <v>-245.23092369477911</v>
      </c>
      <c r="Z20" s="41">
        <f>G20/'1. Väestöennuste'!I20*1000</f>
        <v>-80.436437452423235</v>
      </c>
      <c r="AA20" s="41">
        <f>H20/'1. Väestöennuste'!J20*1000</f>
        <v>548.75347907237074</v>
      </c>
      <c r="AB20" s="41">
        <f>I20/'1. Väestöennuste'!K20*1000</f>
        <v>437.56061473812446</v>
      </c>
      <c r="AC20" s="41">
        <f>J20/'1. Väestöennuste'!L20*1000</f>
        <v>251.87436773318416</v>
      </c>
      <c r="AD20" s="41">
        <f>K20/'1. Väestöennuste'!M20*1000</f>
        <v>59.074410347557766</v>
      </c>
      <c r="AE20" s="41">
        <f>L20/'1. Väestöennuste'!N20*1000</f>
        <v>-212.16601415735934</v>
      </c>
      <c r="AF20" s="41">
        <f>M20/'1. Väestöennuste'!O20*1000</f>
        <v>-404.73850010171662</v>
      </c>
      <c r="AG20" s="41">
        <f>N20/'1. Väestöennuste'!P20*1000</f>
        <v>-387.85583386998638</v>
      </c>
      <c r="AH20" s="41">
        <f>O20/'1. Väestöennuste'!Q20*1000</f>
        <v>-317.0708393483801</v>
      </c>
      <c r="AI20" s="41">
        <f>P20/'1. Väestöennuste'!R20*1000</f>
        <v>-340.95003913290657</v>
      </c>
    </row>
    <row r="21" spans="1:35" x14ac:dyDescent="0.2">
      <c r="A21" s="34">
        <v>20</v>
      </c>
      <c r="B21" s="88" t="s">
        <v>334</v>
      </c>
      <c r="C21" s="41" t="e">
        <f>Vuosikate!C21+'7. Nettoinvestoinnit '!C21+'8. Satunnaiset erät'!C21+'9. Tulorahkorjauserät'!C21</f>
        <v>#REF!</v>
      </c>
      <c r="D21" s="41">
        <f>Vuosikate!D21+'7. Nettoinvestoinnit '!D21+'8. Satunnaiset erät'!D21+'9. Tulorahkorjauserät'!D21</f>
        <v>2675</v>
      </c>
      <c r="E21" s="41">
        <f>Vuosikate!E21+'7. Nettoinvestoinnit '!E21+'8. Satunnaiset erät'!E21+'9. Tulorahkorjauserät'!E21</f>
        <v>4429</v>
      </c>
      <c r="F21" s="41">
        <f>Vuosikate!F21+'7. Nettoinvestoinnit '!F21+'8. Satunnaiset erät'!F21+'9. Tulorahkorjauserät'!F21</f>
        <v>-1357</v>
      </c>
      <c r="G21" s="41">
        <f>Vuosikate!G21+'7. Nettoinvestoinnit '!G21+'8. Satunnaiset erät'!G21+'9. Tulorahkorjauserät'!G21</f>
        <v>778</v>
      </c>
      <c r="H21" s="41">
        <f>Vuosikate!H21+'7. Nettoinvestoinnit '!H21+'8. Satunnaiset erät'!H21+'9. Tulorahkorjauserät'!H21</f>
        <v>3423.9217629755221</v>
      </c>
      <c r="I21" s="41">
        <f>Vuosikate!I21+'7. Nettoinvestoinnit '!I21+'8. Satunnaiset erät'!I21+'9. Tulorahkorjauserät'!I21</f>
        <v>-15458.309169191523</v>
      </c>
      <c r="J21" s="41">
        <f>Vuosikate!J21+'7. Nettoinvestoinnit '!J21+'8. Satunnaiset erät'!J21+'9. Tulorahkorjauserät'!J21</f>
        <v>-19186.823836953452</v>
      </c>
      <c r="K21" s="41">
        <f>Vuosikate!K21+'7. Nettoinvestoinnit '!K21+'8. Satunnaiset erät'!K21+'9. Tulorahkorjauserät'!K21</f>
        <v>-7132.2226197259206</v>
      </c>
      <c r="L21" s="41">
        <f>Vuosikate!L21+'7. Nettoinvestoinnit '!L21+'8. Satunnaiset erät'!L21+'9. Tulorahkorjauserät'!L21</f>
        <v>-8625.5263683379253</v>
      </c>
      <c r="M21" s="41">
        <f>Vuosikate!M21+'7. Nettoinvestoinnit '!M21+'8. Satunnaiset erät'!M21+'9. Tulorahkorjauserät'!M21</f>
        <v>-16819.819954803763</v>
      </c>
      <c r="N21" s="41">
        <f>Vuosikate!N21+'7. Nettoinvestoinnit '!N21+'8. Satunnaiset erät'!N21+'9. Tulorahkorjauserät'!N21</f>
        <v>-16851.875021032902</v>
      </c>
      <c r="O21" s="41">
        <f>Vuosikate!O21+'7. Nettoinvestoinnit '!O21+'8. Satunnaiset erät'!O21+'9. Tulorahkorjauserät'!O21</f>
        <v>-16816.547629389559</v>
      </c>
      <c r="P21" s="41">
        <f>Vuosikate!P21+'7. Nettoinvestoinnit '!P21+'8. Satunnaiset erät'!P21+'9. Tulorahkorjauserät'!P21</f>
        <v>-15768.288991375215</v>
      </c>
      <c r="T21" s="34">
        <v>20</v>
      </c>
      <c r="U21" s="88" t="s">
        <v>334</v>
      </c>
      <c r="V21" s="41" t="e">
        <f>C21/'1. Väestöennuste'!E21*1000</f>
        <v>#REF!</v>
      </c>
      <c r="W21" s="41">
        <f>D21/'1. Väestöennuste'!F21*1000</f>
        <v>158.06890031318324</v>
      </c>
      <c r="X21" s="41">
        <f>E21/'1. Väestöennuste'!G21*1000</f>
        <v>264.11831355477369</v>
      </c>
      <c r="Y21" s="41">
        <f>F21/'1. Väestöennuste'!H21*1000</f>
        <v>-81.692854132803575</v>
      </c>
      <c r="Z21" s="41">
        <f>G21/'1. Väestöennuste'!I21*1000</f>
        <v>47.223065250379364</v>
      </c>
      <c r="AA21" s="41">
        <f>H21/'1. Väestöennuste'!J21*1000</f>
        <v>208.89035220398526</v>
      </c>
      <c r="AB21" s="41">
        <f>I21/'1. Väestöennuste'!K21*1000</f>
        <v>-938.74471179884154</v>
      </c>
      <c r="AC21" s="41">
        <f>J21/'1. Väestöennuste'!L21*1000</f>
        <v>-1164.7437526226827</v>
      </c>
      <c r="AD21" s="41">
        <f>K21/'1. Väestöennuste'!M21*1000</f>
        <v>-434.75907465564893</v>
      </c>
      <c r="AE21" s="41">
        <f>L21/'1. Väestöennuste'!N21*1000</f>
        <v>-542.28130066251254</v>
      </c>
      <c r="AF21" s="41">
        <f>M21/'1. Väestöennuste'!O21*1000</f>
        <v>-1064.8825549100197</v>
      </c>
      <c r="AG21" s="41">
        <f>N21/'1. Väestöennuste'!P21*1000</f>
        <v>-1073.9150535962849</v>
      </c>
      <c r="AH21" s="41">
        <f>O21/'1. Väestöennuste'!Q21*1000</f>
        <v>-1078.3294408072816</v>
      </c>
      <c r="AI21" s="41">
        <f>P21/'1. Väestöennuste'!R21*1000</f>
        <v>-1017.1777184476337</v>
      </c>
    </row>
    <row r="22" spans="1:35" x14ac:dyDescent="0.2">
      <c r="A22" s="34">
        <v>46</v>
      </c>
      <c r="B22" s="88" t="s">
        <v>335</v>
      </c>
      <c r="C22" s="41" t="e">
        <f>Vuosikate!C22+'7. Nettoinvestoinnit '!C22+'8. Satunnaiset erät'!C22+'9. Tulorahkorjauserät'!C22</f>
        <v>#REF!</v>
      </c>
      <c r="D22" s="41">
        <f>Vuosikate!D22+'7. Nettoinvestoinnit '!D22+'8. Satunnaiset erät'!D22+'9. Tulorahkorjauserät'!D22</f>
        <v>462</v>
      </c>
      <c r="E22" s="41">
        <f>Vuosikate!E22+'7. Nettoinvestoinnit '!E22+'8. Satunnaiset erät'!E22+'9. Tulorahkorjauserät'!E22</f>
        <v>-156</v>
      </c>
      <c r="F22" s="41">
        <f>Vuosikate!F22+'7. Nettoinvestoinnit '!F22+'8. Satunnaiset erät'!F22+'9. Tulorahkorjauserät'!F22</f>
        <v>-357</v>
      </c>
      <c r="G22" s="41">
        <f>Vuosikate!G22+'7. Nettoinvestoinnit '!G22+'8. Satunnaiset erät'!G22+'9. Tulorahkorjauserät'!G22</f>
        <v>267</v>
      </c>
      <c r="H22" s="41">
        <f>Vuosikate!H22+'7. Nettoinvestoinnit '!H22+'8. Satunnaiset erät'!H22+'9. Tulorahkorjauserät'!H22</f>
        <v>1287.0428015374991</v>
      </c>
      <c r="I22" s="41">
        <f>Vuosikate!I22+'7. Nettoinvestoinnit '!I22+'8. Satunnaiset erät'!I22+'9. Tulorahkorjauserät'!I22</f>
        <v>1509.2431551985367</v>
      </c>
      <c r="J22" s="41">
        <f>Vuosikate!J22+'7. Nettoinvestoinnit '!J22+'8. Satunnaiset erät'!J22+'9. Tulorahkorjauserät'!J22</f>
        <v>41.413894978200005</v>
      </c>
      <c r="K22" s="41">
        <f>Vuosikate!K22+'7. Nettoinvestoinnit '!K22+'8. Satunnaiset erät'!K22+'9. Tulorahkorjauserät'!K22</f>
        <v>575.92709260084393</v>
      </c>
      <c r="L22" s="41">
        <f>Vuosikate!L22+'7. Nettoinvestoinnit '!L22+'8. Satunnaiset erät'!L22+'9. Tulorahkorjauserät'!L22</f>
        <v>-135.93907555085354</v>
      </c>
      <c r="M22" s="41">
        <f>Vuosikate!M22+'7. Nettoinvestoinnit '!M22+'8. Satunnaiset erät'!M22+'9. Tulorahkorjauserät'!M22</f>
        <v>118.06178753499955</v>
      </c>
      <c r="N22" s="41">
        <f>Vuosikate!N22+'7. Nettoinvestoinnit '!N22+'8. Satunnaiset erät'!N22+'9. Tulorahkorjauserät'!N22</f>
        <v>-23.998005737191079</v>
      </c>
      <c r="O22" s="41">
        <f>Vuosikate!O22+'7. Nettoinvestoinnit '!O22+'8. Satunnaiset erät'!O22+'9. Tulorahkorjauserät'!O22</f>
        <v>-86.46250260132831</v>
      </c>
      <c r="P22" s="41">
        <f>Vuosikate!P22+'7. Nettoinvestoinnit '!P22+'8. Satunnaiset erät'!P22+'9. Tulorahkorjauserät'!P22</f>
        <v>-52.322273941645449</v>
      </c>
      <c r="T22" s="34">
        <v>46</v>
      </c>
      <c r="U22" s="88" t="s">
        <v>335</v>
      </c>
      <c r="V22" s="41" t="e">
        <f>C22/'1. Väestöennuste'!E22*1000</f>
        <v>#REF!</v>
      </c>
      <c r="W22" s="41">
        <f>D22/'1. Väestöennuste'!F22*1000</f>
        <v>317.96283551273228</v>
      </c>
      <c r="X22" s="41">
        <f>E22/'1. Väestöennuste'!G22*1000</f>
        <v>-110.16949152542372</v>
      </c>
      <c r="Y22" s="41">
        <f>F22/'1. Väestöennuste'!H22*1000</f>
        <v>-254.09252669039145</v>
      </c>
      <c r="Z22" s="41">
        <f>G22/'1. Väestöennuste'!I22*1000</f>
        <v>196.1792799412197</v>
      </c>
      <c r="AA22" s="41">
        <f>H22/'1. Väestöennuste'!J22*1000</f>
        <v>940.1335292457992</v>
      </c>
      <c r="AB22" s="41">
        <f>I22/'1. Väestöennuste'!K22*1000</f>
        <v>1108.1080434644175</v>
      </c>
      <c r="AC22" s="41">
        <f>J22/'1. Väestöennuste'!L22*1000</f>
        <v>30.882844875615216</v>
      </c>
      <c r="AD22" s="41">
        <f>K22/'1. Väestöennuste'!M22*1000</f>
        <v>436.30840348548782</v>
      </c>
      <c r="AE22" s="41">
        <f>L22/'1. Väestöennuste'!N22*1000</f>
        <v>-103.45439539638778</v>
      </c>
      <c r="AF22" s="41">
        <f>M22/'1. Väestöennuste'!O22*1000</f>
        <v>90.816759642307346</v>
      </c>
      <c r="AG22" s="41">
        <f>N22/'1. Väestöennuste'!P22*1000</f>
        <v>-18.646469104266572</v>
      </c>
      <c r="AH22" s="41">
        <f>O22/'1. Väestöennuste'!Q22*1000</f>
        <v>-67.866956515956289</v>
      </c>
      <c r="AI22" s="41">
        <f>P22/'1. Väestöennuste'!R22*1000</f>
        <v>-41.558597253094085</v>
      </c>
    </row>
    <row r="23" spans="1:35" x14ac:dyDescent="0.2">
      <c r="A23" s="34">
        <v>47</v>
      </c>
      <c r="B23" s="88" t="s">
        <v>336</v>
      </c>
      <c r="C23" s="41" t="e">
        <f>Vuosikate!C23+'7. Nettoinvestoinnit '!C23+'8. Satunnaiset erät'!C23+'9. Tulorahkorjauserät'!C23</f>
        <v>#REF!</v>
      </c>
      <c r="D23" s="41">
        <f>Vuosikate!D23+'7. Nettoinvestoinnit '!D23+'8. Satunnaiset erät'!D23+'9. Tulorahkorjauserät'!D23</f>
        <v>340</v>
      </c>
      <c r="E23" s="41">
        <f>Vuosikate!E23+'7. Nettoinvestoinnit '!E23+'8. Satunnaiset erät'!E23+'9. Tulorahkorjauserät'!E23</f>
        <v>777</v>
      </c>
      <c r="F23" s="41">
        <f>Vuosikate!F23+'7. Nettoinvestoinnit '!F23+'8. Satunnaiset erät'!F23+'9. Tulorahkorjauserät'!F23</f>
        <v>171</v>
      </c>
      <c r="G23" s="41">
        <f>Vuosikate!G23+'7. Nettoinvestoinnit '!G23+'8. Satunnaiset erät'!G23+'9. Tulorahkorjauserät'!G23</f>
        <v>-615</v>
      </c>
      <c r="H23" s="41">
        <f>Vuosikate!H23+'7. Nettoinvestoinnit '!H23+'8. Satunnaiset erät'!H23+'9. Tulorahkorjauserät'!H23</f>
        <v>-439.10573662695606</v>
      </c>
      <c r="I23" s="41">
        <f>Vuosikate!I23+'7. Nettoinvestoinnit '!I23+'8. Satunnaiset erät'!I23+'9. Tulorahkorjauserät'!I23</f>
        <v>9319.9441579590493</v>
      </c>
      <c r="J23" s="41">
        <f>Vuosikate!J23+'7. Nettoinvestoinnit '!J23+'8. Satunnaiset erät'!J23+'9. Tulorahkorjauserät'!J23</f>
        <v>912.33769957502329</v>
      </c>
      <c r="K23" s="41">
        <f>Vuosikate!K23+'7. Nettoinvestoinnit '!K23+'8. Satunnaiset erät'!K23+'9. Tulorahkorjauserät'!K23</f>
        <v>600.89226652023012</v>
      </c>
      <c r="L23" s="41">
        <f>Vuosikate!L23+'7. Nettoinvestoinnit '!L23+'8. Satunnaiset erät'!L23+'9. Tulorahkorjauserät'!L23</f>
        <v>-2254.7806534663591</v>
      </c>
      <c r="M23" s="41">
        <f>Vuosikate!M23+'7. Nettoinvestoinnit '!M23+'8. Satunnaiset erät'!M23+'9. Tulorahkorjauserät'!M23</f>
        <v>-3022.7986210097415</v>
      </c>
      <c r="N23" s="41">
        <f>Vuosikate!N23+'7. Nettoinvestoinnit '!N23+'8. Satunnaiset erät'!N23+'9. Tulorahkorjauserät'!N23</f>
        <v>-3202.7198370149449</v>
      </c>
      <c r="O23" s="41">
        <f>Vuosikate!O23+'7. Nettoinvestoinnit '!O23+'8. Satunnaiset erät'!O23+'9. Tulorahkorjauserät'!O23</f>
        <v>-3408.2877522072636</v>
      </c>
      <c r="P23" s="41">
        <f>Vuosikate!P23+'7. Nettoinvestoinnit '!P23+'8. Satunnaiset erät'!P23+'9. Tulorahkorjauserät'!P23</f>
        <v>-3467.0131215374035</v>
      </c>
      <c r="T23" s="34">
        <v>47</v>
      </c>
      <c r="U23" s="88" t="s">
        <v>336</v>
      </c>
      <c r="V23" s="41" t="e">
        <f>C23/'1. Väestöennuste'!E23*1000</f>
        <v>#REF!</v>
      </c>
      <c r="W23" s="41">
        <f>D23/'1. Väestöennuste'!F23*1000</f>
        <v>181.62393162393161</v>
      </c>
      <c r="X23" s="41">
        <f>E23/'1. Väestöennuste'!G23*1000</f>
        <v>410.45958795562598</v>
      </c>
      <c r="Y23" s="41">
        <f>F23/'1. Väestöennuste'!H23*1000</f>
        <v>92.332613390928728</v>
      </c>
      <c r="Z23" s="41">
        <f>G23/'1. Väestöennuste'!I23*1000</f>
        <v>-334.60282916213276</v>
      </c>
      <c r="AA23" s="41">
        <f>H23/'1. Väestöennuste'!J23*1000</f>
        <v>-242.86821716092703</v>
      </c>
      <c r="AB23" s="41">
        <f>I23/'1. Väestöennuste'!K23*1000</f>
        <v>5209.5830955612346</v>
      </c>
      <c r="AC23" s="41">
        <f>J23/'1. Väestöennuste'!L23*1000</f>
        <v>503.7756485781465</v>
      </c>
      <c r="AD23" s="41">
        <f>K23/'1. Väestöennuste'!M23*1000</f>
        <v>339.29546387364775</v>
      </c>
      <c r="AE23" s="41">
        <f>L23/'1. Väestöennuste'!N23*1000</f>
        <v>-1271.0150245018935</v>
      </c>
      <c r="AF23" s="41">
        <f>M23/'1. Väestöennuste'!O23*1000</f>
        <v>-1709.7277268154646</v>
      </c>
      <c r="AG23" s="41">
        <f>N23/'1. Väestöennuste'!P23*1000</f>
        <v>-1818.6938313543128</v>
      </c>
      <c r="AH23" s="41">
        <f>O23/'1. Väestöennuste'!Q23*1000</f>
        <v>-1944.2599841456151</v>
      </c>
      <c r="AI23" s="41">
        <f>P23/'1. Väestöennuste'!R23*1000</f>
        <v>-1986.8270037463631</v>
      </c>
    </row>
    <row r="24" spans="1:35" x14ac:dyDescent="0.2">
      <c r="A24" s="34">
        <v>49</v>
      </c>
      <c r="B24" s="88" t="s">
        <v>337</v>
      </c>
      <c r="C24" s="41" t="e">
        <f>Vuosikate!C24+'7. Nettoinvestoinnit '!C24+'8. Satunnaiset erät'!C24+'9. Tulorahkorjauserät'!C24</f>
        <v>#REF!</v>
      </c>
      <c r="D24" s="41">
        <f>Vuosikate!D24+'7. Nettoinvestoinnit '!D24+'8. Satunnaiset erät'!D24+'9. Tulorahkorjauserät'!D24</f>
        <v>-46437</v>
      </c>
      <c r="E24" s="41">
        <f>Vuosikate!E24+'7. Nettoinvestoinnit '!E24+'8. Satunnaiset erät'!E24+'9. Tulorahkorjauserät'!E24</f>
        <v>-29967</v>
      </c>
      <c r="F24" s="41">
        <f>Vuosikate!F24+'7. Nettoinvestoinnit '!F24+'8. Satunnaiset erät'!F24+'9. Tulorahkorjauserät'!F24</f>
        <v>-72387</v>
      </c>
      <c r="G24" s="41">
        <f>Vuosikate!G24+'7. Nettoinvestoinnit '!G24+'8. Satunnaiset erät'!G24+'9. Tulorahkorjauserät'!G24</f>
        <v>-115870</v>
      </c>
      <c r="H24" s="41">
        <f>Vuosikate!H24+'7. Nettoinvestoinnit '!H24+'8. Satunnaiset erät'!H24+'9. Tulorahkorjauserät'!H24</f>
        <v>-37934.26464381197</v>
      </c>
      <c r="I24" s="41">
        <f>Vuosikate!I24+'7. Nettoinvestoinnit '!I24+'8. Satunnaiset erät'!I24+'9. Tulorahkorjauserät'!I24</f>
        <v>111006.63288439065</v>
      </c>
      <c r="J24" s="41">
        <f>Vuosikate!J24+'7. Nettoinvestoinnit '!J24+'8. Satunnaiset erät'!J24+'9. Tulorahkorjauserät'!J24</f>
        <v>237843.73308648728</v>
      </c>
      <c r="K24" s="41">
        <f>Vuosikate!K24+'7. Nettoinvestoinnit '!K24+'8. Satunnaiset erät'!K24+'9. Tulorahkorjauserät'!K24</f>
        <v>164984.33123938684</v>
      </c>
      <c r="L24" s="41">
        <f>Vuosikate!L24+'7. Nettoinvestoinnit '!L24+'8. Satunnaiset erät'!L24+'9. Tulorahkorjauserät'!L24</f>
        <v>72114.804249866866</v>
      </c>
      <c r="M24" s="41">
        <f>Vuosikate!M24+'7. Nettoinvestoinnit '!M24+'8. Satunnaiset erät'!M24+'9. Tulorahkorjauserät'!M24</f>
        <v>99910.573549712339</v>
      </c>
      <c r="N24" s="41">
        <f>Vuosikate!N24+'7. Nettoinvestoinnit '!N24+'8. Satunnaiset erät'!N24+'9. Tulorahkorjauserät'!N24</f>
        <v>85133.954895615898</v>
      </c>
      <c r="O24" s="41">
        <f>Vuosikate!O24+'7. Nettoinvestoinnit '!O24+'8. Satunnaiset erät'!O24+'9. Tulorahkorjauserät'!O24</f>
        <v>72653.35228683232</v>
      </c>
      <c r="P24" s="41">
        <f>Vuosikate!P24+'7. Nettoinvestoinnit '!P24+'8. Satunnaiset erät'!P24+'9. Tulorahkorjauserät'!P24</f>
        <v>70585.3859766518</v>
      </c>
      <c r="T24" s="34">
        <v>49</v>
      </c>
      <c r="U24" s="88" t="s">
        <v>337</v>
      </c>
      <c r="V24" s="41" t="e">
        <f>C24/'1. Väestöennuste'!E24*1000</f>
        <v>#REF!</v>
      </c>
      <c r="W24" s="41">
        <f>D24/'1. Väestöennuste'!F24*1000</f>
        <v>-169.11826296602484</v>
      </c>
      <c r="X24" s="41">
        <f>E24/'1. Väestöennuste'!G24*1000</f>
        <v>-107.39166583047835</v>
      </c>
      <c r="Y24" s="41">
        <f>F24/'1. Väestöennuste'!H24*1000</f>
        <v>-255.21450330005075</v>
      </c>
      <c r="Z24" s="41">
        <f>G24/'1. Väestöennuste'!I24*1000</f>
        <v>-399.92268690613014</v>
      </c>
      <c r="AA24" s="41">
        <f>H24/'1. Väestöennuste'!J24*1000</f>
        <v>-129.55868469450394</v>
      </c>
      <c r="AB24" s="41">
        <f>I24/'1. Väestöennuste'!K24*1000</f>
        <v>373.59366505253774</v>
      </c>
      <c r="AC24" s="41">
        <f>J24/'1. Väestöennuste'!L24*1000</f>
        <v>779.11559152265602</v>
      </c>
      <c r="AD24" s="41">
        <f>K24/'1. Väestöennuste'!M24*1000</f>
        <v>525.38764947706818</v>
      </c>
      <c r="AE24" s="41">
        <f>L24/'1. Väestöennuste'!N24*1000</f>
        <v>232.00348818462163</v>
      </c>
      <c r="AF24" s="41">
        <f>M24/'1. Väestöennuste'!O24*1000</f>
        <v>317.43137678742715</v>
      </c>
      <c r="AG24" s="41">
        <f>N24/'1. Väestöennuste'!P24*1000</f>
        <v>267.32341992167471</v>
      </c>
      <c r="AH24" s="41">
        <f>O24/'1. Väestöennuste'!Q24*1000</f>
        <v>225.62522254605406</v>
      </c>
      <c r="AI24" s="41">
        <f>P24/'1. Väestöennuste'!R24*1000</f>
        <v>216.93482609858071</v>
      </c>
    </row>
    <row r="25" spans="1:35" x14ac:dyDescent="0.2">
      <c r="A25" s="34">
        <v>50</v>
      </c>
      <c r="B25" s="88" t="s">
        <v>338</v>
      </c>
      <c r="C25" s="41" t="e">
        <f>Vuosikate!C25+'7. Nettoinvestoinnit '!C25+'8. Satunnaiset erät'!C25+'9. Tulorahkorjauserät'!C25</f>
        <v>#REF!</v>
      </c>
      <c r="D25" s="41">
        <f>Vuosikate!D25+'7. Nettoinvestoinnit '!D25+'8. Satunnaiset erät'!D25+'9. Tulorahkorjauserät'!D25</f>
        <v>-1471</v>
      </c>
      <c r="E25" s="41">
        <f>Vuosikate!E25+'7. Nettoinvestoinnit '!E25+'8. Satunnaiset erät'!E25+'9. Tulorahkorjauserät'!E25</f>
        <v>72</v>
      </c>
      <c r="F25" s="41">
        <f>Vuosikate!F25+'7. Nettoinvestoinnit '!F25+'8. Satunnaiset erät'!F25+'9. Tulorahkorjauserät'!F25</f>
        <v>-4362</v>
      </c>
      <c r="G25" s="41">
        <f>Vuosikate!G25+'7. Nettoinvestoinnit '!G25+'8. Satunnaiset erät'!G25+'9. Tulorahkorjauserät'!G25</f>
        <v>-8289</v>
      </c>
      <c r="H25" s="41">
        <f>Vuosikate!H25+'7. Nettoinvestoinnit '!H25+'8. Satunnaiset erät'!H25+'9. Tulorahkorjauserät'!H25</f>
        <v>2874.9432678130106</v>
      </c>
      <c r="I25" s="41">
        <f>Vuosikate!I25+'7. Nettoinvestoinnit '!I25+'8. Satunnaiset erät'!I25+'9. Tulorahkorjauserät'!I25</f>
        <v>1810.1042652772264</v>
      </c>
      <c r="J25" s="41">
        <f>Vuosikate!J25+'7. Nettoinvestoinnit '!J25+'8. Satunnaiset erät'!J25+'9. Tulorahkorjauserät'!J25</f>
        <v>-1201.4634349324838</v>
      </c>
      <c r="K25" s="41">
        <f>Vuosikate!K25+'7. Nettoinvestoinnit '!K25+'8. Satunnaiset erät'!K25+'9. Tulorahkorjauserät'!K25</f>
        <v>-349.14960810327</v>
      </c>
      <c r="L25" s="41">
        <f>Vuosikate!L25+'7. Nettoinvestoinnit '!L25+'8. Satunnaiset erät'!L25+'9. Tulorahkorjauserät'!L25</f>
        <v>-732.73486994771429</v>
      </c>
      <c r="M25" s="41">
        <f>Vuosikate!M25+'7. Nettoinvestoinnit '!M25+'8. Satunnaiset erät'!M25+'9. Tulorahkorjauserät'!M25</f>
        <v>-2428.4942611810166</v>
      </c>
      <c r="N25" s="41">
        <f>Vuosikate!N25+'7. Nettoinvestoinnit '!N25+'8. Satunnaiset erät'!N25+'9. Tulorahkorjauserät'!N25</f>
        <v>-1510.726888694322</v>
      </c>
      <c r="O25" s="41">
        <f>Vuosikate!O25+'7. Nettoinvestoinnit '!O25+'8. Satunnaiset erät'!O25+'9. Tulorahkorjauserät'!O25</f>
        <v>-1708.1472655338312</v>
      </c>
      <c r="P25" s="41">
        <f>Vuosikate!P25+'7. Nettoinvestoinnit '!P25+'8. Satunnaiset erät'!P25+'9. Tulorahkorjauserät'!P25</f>
        <v>-522.13954005155665</v>
      </c>
      <c r="T25" s="34">
        <v>50</v>
      </c>
      <c r="U25" s="88" t="s">
        <v>338</v>
      </c>
      <c r="V25" s="41" t="e">
        <f>C25/'1. Väestöennuste'!E25*1000</f>
        <v>#REF!</v>
      </c>
      <c r="W25" s="41">
        <f>D25/'1. Väestöennuste'!F25*1000</f>
        <v>-122.54248583805398</v>
      </c>
      <c r="X25" s="41">
        <f>E25/'1. Väestöennuste'!G25*1000</f>
        <v>6.0453400503778338</v>
      </c>
      <c r="Y25" s="41">
        <f>F25/'1. Väestöennuste'!H25*1000</f>
        <v>-371.29724208375893</v>
      </c>
      <c r="Z25" s="41">
        <f>G25/'1. Väestöennuste'!I25*1000</f>
        <v>-712.60316368638246</v>
      </c>
      <c r="AA25" s="41">
        <f>H25/'1. Väestöennuste'!J25*1000</f>
        <v>250.36517180292699</v>
      </c>
      <c r="AB25" s="41">
        <f>I25/'1. Väestöennuste'!K25*1000</f>
        <v>158.54464966954774</v>
      </c>
      <c r="AC25" s="41">
        <f>J25/'1. Väestöennuste'!L25*1000</f>
        <v>-106.5504997279606</v>
      </c>
      <c r="AD25" s="41">
        <f>K25/'1. Väestöennuste'!M25*1000</f>
        <v>-31.218670252438304</v>
      </c>
      <c r="AE25" s="41">
        <f>L25/'1. Väestöennuste'!N25*1000</f>
        <v>-66.727517525518095</v>
      </c>
      <c r="AF25" s="41">
        <f>M25/'1. Väestöennuste'!O25*1000</f>
        <v>-223.51534847501304</v>
      </c>
      <c r="AG25" s="41">
        <f>N25/'1. Väestöennuste'!P25*1000</f>
        <v>-140.48046203220403</v>
      </c>
      <c r="AH25" s="41">
        <f>O25/'1. Väestöennuste'!Q25*1000</f>
        <v>-160.38941460411559</v>
      </c>
      <c r="AI25" s="41">
        <f>P25/'1. Väestöennuste'!R25*1000</f>
        <v>-49.496591150967546</v>
      </c>
    </row>
    <row r="26" spans="1:35" x14ac:dyDescent="0.2">
      <c r="A26" s="34">
        <v>51</v>
      </c>
      <c r="B26" s="88" t="s">
        <v>339</v>
      </c>
      <c r="C26" s="41" t="e">
        <f>Vuosikate!C26+'7. Nettoinvestoinnit '!C26+'8. Satunnaiset erät'!C26+'9. Tulorahkorjauserät'!C26</f>
        <v>#REF!</v>
      </c>
      <c r="D26" s="41">
        <f>Vuosikate!D26+'7. Nettoinvestoinnit '!D26+'8. Satunnaiset erät'!D26+'9. Tulorahkorjauserät'!D26</f>
        <v>1802</v>
      </c>
      <c r="E26" s="41">
        <f>Vuosikate!E26+'7. Nettoinvestoinnit '!E26+'8. Satunnaiset erät'!E26+'9. Tulorahkorjauserät'!E26</f>
        <v>3557</v>
      </c>
      <c r="F26" s="41">
        <f>Vuosikate!F26+'7. Nettoinvestoinnit '!F26+'8. Satunnaiset erät'!F26+'9. Tulorahkorjauserät'!F26</f>
        <v>2484</v>
      </c>
      <c r="G26" s="41">
        <f>Vuosikate!G26+'7. Nettoinvestoinnit '!G26+'8. Satunnaiset erät'!G26+'9. Tulorahkorjauserät'!G26</f>
        <v>-773</v>
      </c>
      <c r="H26" s="41">
        <f>Vuosikate!H26+'7. Nettoinvestoinnit '!H26+'8. Satunnaiset erät'!H26+'9. Tulorahkorjauserät'!H26</f>
        <v>215.37630692116363</v>
      </c>
      <c r="I26" s="41">
        <f>Vuosikate!I26+'7. Nettoinvestoinnit '!I26+'8. Satunnaiset erät'!I26+'9. Tulorahkorjauserät'!I26</f>
        <v>4453.9539749683981</v>
      </c>
      <c r="J26" s="41">
        <f>Vuosikate!J26+'7. Nettoinvestoinnit '!J26+'8. Satunnaiset erät'!J26+'9. Tulorahkorjauserät'!J26</f>
        <v>3973.532626286767</v>
      </c>
      <c r="K26" s="41">
        <f>Vuosikate!K26+'7. Nettoinvestoinnit '!K26+'8. Satunnaiset erät'!K26+'9. Tulorahkorjauserät'!K26</f>
        <v>-2920.5167594774421</v>
      </c>
      <c r="L26" s="41">
        <f>Vuosikate!L26+'7. Nettoinvestoinnit '!L26+'8. Satunnaiset erät'!L26+'9. Tulorahkorjauserät'!L26</f>
        <v>-3677.8486168862519</v>
      </c>
      <c r="M26" s="41">
        <f>Vuosikate!M26+'7. Nettoinvestoinnit '!M26+'8. Satunnaiset erät'!M26+'9. Tulorahkorjauserät'!M26</f>
        <v>-915.2080690222665</v>
      </c>
      <c r="N26" s="41">
        <f>Vuosikate!N26+'7. Nettoinvestoinnit '!N26+'8. Satunnaiset erät'!N26+'9. Tulorahkorjauserät'!N26</f>
        <v>-98.241134724098629</v>
      </c>
      <c r="O26" s="41">
        <f>Vuosikate!O26+'7. Nettoinvestoinnit '!O26+'8. Satunnaiset erät'!O26+'9. Tulorahkorjauserät'!O26</f>
        <v>8.3404147243800253</v>
      </c>
      <c r="P26" s="41">
        <f>Vuosikate!P26+'7. Nettoinvestoinnit '!P26+'8. Satunnaiset erät'!P26+'9. Tulorahkorjauserät'!P26</f>
        <v>886.98254031863416</v>
      </c>
      <c r="T26" s="34">
        <v>51</v>
      </c>
      <c r="U26" s="88" t="s">
        <v>339</v>
      </c>
      <c r="V26" s="41" t="e">
        <f>C26/'1. Väestöennuste'!E26*1000</f>
        <v>#REF!</v>
      </c>
      <c r="W26" s="41">
        <f>D26/'1. Väestöennuste'!F26*1000</f>
        <v>191.33574007220216</v>
      </c>
      <c r="X26" s="41">
        <f>E26/'1. Väestöennuste'!G26*1000</f>
        <v>373.59521058712318</v>
      </c>
      <c r="Y26" s="41">
        <f>F26/'1. Väestöennuste'!H26*1000</f>
        <v>262.74592764967207</v>
      </c>
      <c r="Z26" s="41">
        <f>G26/'1. Väestöennuste'!I26*1000</f>
        <v>-82.216549670282916</v>
      </c>
      <c r="AA26" s="41">
        <f>H26/'1. Väestöennuste'!J26*1000</f>
        <v>22.786321087723618</v>
      </c>
      <c r="AB26" s="41">
        <f>I26/'1. Väestöennuste'!K26*1000</f>
        <v>477.17527051300601</v>
      </c>
      <c r="AC26" s="41">
        <f>J26/'1. Väestöennuste'!L26*1000</f>
        <v>431.38992794341192</v>
      </c>
      <c r="AD26" s="41">
        <f>K26/'1. Väestöennuste'!M26*1000</f>
        <v>-319.42652952832134</v>
      </c>
      <c r="AE26" s="41">
        <f>L26/'1. Väestöennuste'!N26*1000</f>
        <v>-384.67196076626419</v>
      </c>
      <c r="AF26" s="41">
        <f>M26/'1. Väestöennuste'!O26*1000</f>
        <v>-95.653017247310459</v>
      </c>
      <c r="AG26" s="41">
        <f>N26/'1. Väestöennuste'!P26*1000</f>
        <v>-10.27089751428109</v>
      </c>
      <c r="AH26" s="41">
        <f>O26/'1. Väestöennuste'!Q26*1000</f>
        <v>0.87251958618893455</v>
      </c>
      <c r="AI26" s="41">
        <f>P26/'1. Väestöennuste'!R26*1000</f>
        <v>92.897207825579613</v>
      </c>
    </row>
    <row r="27" spans="1:35" x14ac:dyDescent="0.2">
      <c r="A27" s="34">
        <v>52</v>
      </c>
      <c r="B27" s="88" t="s">
        <v>340</v>
      </c>
      <c r="C27" s="41" t="e">
        <f>Vuosikate!C27+'7. Nettoinvestoinnit '!C27+'8. Satunnaiset erät'!C27+'9. Tulorahkorjauserät'!C27</f>
        <v>#REF!</v>
      </c>
      <c r="D27" s="41">
        <f>Vuosikate!D27+'7. Nettoinvestoinnit '!D27+'8. Satunnaiset erät'!D27+'9. Tulorahkorjauserät'!D27</f>
        <v>-334</v>
      </c>
      <c r="E27" s="41">
        <f>Vuosikate!E27+'7. Nettoinvestoinnit '!E27+'8. Satunnaiset erät'!E27+'9. Tulorahkorjauserät'!E27</f>
        <v>366</v>
      </c>
      <c r="F27" s="41">
        <f>Vuosikate!F27+'7. Nettoinvestoinnit '!F27+'8. Satunnaiset erät'!F27+'9. Tulorahkorjauserät'!F27</f>
        <v>-1308</v>
      </c>
      <c r="G27" s="41">
        <f>Vuosikate!G27+'7. Nettoinvestoinnit '!G27+'8. Satunnaiset erät'!G27+'9. Tulorahkorjauserät'!G27</f>
        <v>-1492</v>
      </c>
      <c r="H27" s="41">
        <f>Vuosikate!H27+'7. Nettoinvestoinnit '!H27+'8. Satunnaiset erät'!H27+'9. Tulorahkorjauserät'!H27</f>
        <v>-1229.5736887022704</v>
      </c>
      <c r="I27" s="41">
        <f>Vuosikate!I27+'7. Nettoinvestoinnit '!I27+'8. Satunnaiset erät'!I27+'9. Tulorahkorjauserät'!I27</f>
        <v>-568.21759691428792</v>
      </c>
      <c r="J27" s="41">
        <f>Vuosikate!J27+'7. Nettoinvestoinnit '!J27+'8. Satunnaiset erät'!J27+'9. Tulorahkorjauserät'!J27</f>
        <v>179.27205468660236</v>
      </c>
      <c r="K27" s="41">
        <f>Vuosikate!K27+'7. Nettoinvestoinnit '!K27+'8. Satunnaiset erät'!K27+'9. Tulorahkorjauserät'!K27</f>
        <v>942.40011201573407</v>
      </c>
      <c r="L27" s="41">
        <f>Vuosikate!L27+'7. Nettoinvestoinnit '!L27+'8. Satunnaiset erät'!L27+'9. Tulorahkorjauserät'!L27</f>
        <v>-1035.7230380186274</v>
      </c>
      <c r="M27" s="41">
        <f>Vuosikate!M27+'7. Nettoinvestoinnit '!M27+'8. Satunnaiset erät'!M27+'9. Tulorahkorjauserät'!M27</f>
        <v>-2155.4356881325934</v>
      </c>
      <c r="N27" s="41">
        <f>Vuosikate!N27+'7. Nettoinvestoinnit '!N27+'8. Satunnaiset erät'!N27+'9. Tulorahkorjauserät'!N27</f>
        <v>-2290.6383243960963</v>
      </c>
      <c r="O27" s="41">
        <f>Vuosikate!O27+'7. Nettoinvestoinnit '!O27+'8. Satunnaiset erät'!O27+'9. Tulorahkorjauserät'!O27</f>
        <v>-2557.6298324802237</v>
      </c>
      <c r="P27" s="41">
        <f>Vuosikate!P27+'7. Nettoinvestoinnit '!P27+'8. Satunnaiset erät'!P27+'9. Tulorahkorjauserät'!P27</f>
        <v>-2588.4726128425959</v>
      </c>
      <c r="T27" s="34">
        <v>52</v>
      </c>
      <c r="U27" s="88" t="s">
        <v>340</v>
      </c>
      <c r="V27" s="41" t="e">
        <f>C27/'1. Väestöennuste'!E27*1000</f>
        <v>#REF!</v>
      </c>
      <c r="W27" s="41">
        <f>D27/'1. Väestöennuste'!F27*1000</f>
        <v>-131.75542406311638</v>
      </c>
      <c r="X27" s="41">
        <f>E27/'1. Väestöennuste'!G27*1000</f>
        <v>146.45858343337335</v>
      </c>
      <c r="Y27" s="41">
        <f>F27/'1. Väestöennuste'!H27*1000</f>
        <v>-528.91225232511124</v>
      </c>
      <c r="Z27" s="41">
        <f>G27/'1. Väestöennuste'!I27*1000</f>
        <v>-615.25773195876286</v>
      </c>
      <c r="AA27" s="41">
        <f>H27/'1. Väestöennuste'!J27*1000</f>
        <v>-510.62030261722191</v>
      </c>
      <c r="AB27" s="41">
        <f>I27/'1. Väestöennuste'!K27*1000</f>
        <v>-236.36339305918798</v>
      </c>
      <c r="AC27" s="41">
        <f>J27/'1. Väestöennuste'!L27*1000</f>
        <v>76.416050591049597</v>
      </c>
      <c r="AD27" s="41">
        <f>K27/'1. Väestöennuste'!M27*1000</f>
        <v>411.16933334019814</v>
      </c>
      <c r="AE27" s="41">
        <f>L27/'1. Väestöennuste'!N27*1000</f>
        <v>-451.49217001683843</v>
      </c>
      <c r="AF27" s="41">
        <f>M27/'1. Väestöennuste'!O27*1000</f>
        <v>-949.94962015539602</v>
      </c>
      <c r="AG27" s="41">
        <f>N27/'1. Väestöennuste'!P27*1000</f>
        <v>-1020.7835670214333</v>
      </c>
      <c r="AH27" s="41">
        <f>O27/'1. Väestöennuste'!Q27*1000</f>
        <v>-1152.6047014331789</v>
      </c>
      <c r="AI27" s="41">
        <f>P27/'1. Väestöennuste'!R27*1000</f>
        <v>-1179.2585935501577</v>
      </c>
    </row>
    <row r="28" spans="1:35" x14ac:dyDescent="0.2">
      <c r="A28" s="34">
        <v>61</v>
      </c>
      <c r="B28" s="88" t="s">
        <v>341</v>
      </c>
      <c r="C28" s="41" t="e">
        <f>Vuosikate!C28+'7. Nettoinvestoinnit '!C28+'8. Satunnaiset erät'!C28+'9. Tulorahkorjauserät'!C28</f>
        <v>#REF!</v>
      </c>
      <c r="D28" s="41">
        <f>Vuosikate!D28+'7. Nettoinvestoinnit '!D28+'8. Satunnaiset erät'!D28+'9. Tulorahkorjauserät'!D28</f>
        <v>-171</v>
      </c>
      <c r="E28" s="41">
        <f>Vuosikate!E28+'7. Nettoinvestoinnit '!E28+'8. Satunnaiset erät'!E28+'9. Tulorahkorjauserät'!E28</f>
        <v>1047</v>
      </c>
      <c r="F28" s="41">
        <f>Vuosikate!F28+'7. Nettoinvestoinnit '!F28+'8. Satunnaiset erät'!F28+'9. Tulorahkorjauserät'!F28</f>
        <v>-1029</v>
      </c>
      <c r="G28" s="41">
        <f>Vuosikate!G28+'7. Nettoinvestoinnit '!G28+'8. Satunnaiset erät'!G28+'9. Tulorahkorjauserät'!G28</f>
        <v>-1854</v>
      </c>
      <c r="H28" s="41">
        <f>Vuosikate!H28+'7. Nettoinvestoinnit '!H28+'8. Satunnaiset erät'!H28+'9. Tulorahkorjauserät'!H28</f>
        <v>4956.8461666710136</v>
      </c>
      <c r="I28" s="41">
        <f>Vuosikate!I28+'7. Nettoinvestoinnit '!I28+'8. Satunnaiset erät'!I28+'9. Tulorahkorjauserät'!I28</f>
        <v>-9064.1560950480307</v>
      </c>
      <c r="J28" s="41">
        <f>Vuosikate!J28+'7. Nettoinvestoinnit '!J28+'8. Satunnaiset erät'!J28+'9. Tulorahkorjauserät'!J28</f>
        <v>-5486.4251809255829</v>
      </c>
      <c r="K28" s="41">
        <f>Vuosikate!K28+'7. Nettoinvestoinnit '!K28+'8. Satunnaiset erät'!K28+'9. Tulorahkorjauserät'!K28</f>
        <v>3908.0590820888383</v>
      </c>
      <c r="L28" s="41">
        <f>Vuosikate!L28+'7. Nettoinvestoinnit '!L28+'8. Satunnaiset erät'!L28+'9. Tulorahkorjauserät'!L28</f>
        <v>-4073.3940036477379</v>
      </c>
      <c r="M28" s="41">
        <f>Vuosikate!M28+'7. Nettoinvestoinnit '!M28+'8. Satunnaiset erät'!M28+'9. Tulorahkorjauserät'!M28</f>
        <v>-5038.4843151339719</v>
      </c>
      <c r="N28" s="41">
        <f>Vuosikate!N28+'7. Nettoinvestoinnit '!N28+'8. Satunnaiset erät'!N28+'9. Tulorahkorjauserät'!N28</f>
        <v>-4759.4355555351049</v>
      </c>
      <c r="O28" s="41">
        <f>Vuosikate!O28+'7. Nettoinvestoinnit '!O28+'8. Satunnaiset erät'!O28+'9. Tulorahkorjauserät'!O28</f>
        <v>-6025.4888444415292</v>
      </c>
      <c r="P28" s="41">
        <f>Vuosikate!P28+'7. Nettoinvestoinnit '!P28+'8. Satunnaiset erät'!P28+'9. Tulorahkorjauserät'!P28</f>
        <v>-4258.3312749353754</v>
      </c>
      <c r="T28" s="34">
        <v>61</v>
      </c>
      <c r="U28" s="88" t="s">
        <v>341</v>
      </c>
      <c r="V28" s="41" t="e">
        <f>C28/'1. Väestöennuste'!E28*1000</f>
        <v>#REF!</v>
      </c>
      <c r="W28" s="41">
        <f>D28/'1. Väestöennuste'!F28*1000</f>
        <v>-9.866143549503807</v>
      </c>
      <c r="X28" s="41">
        <f>E28/'1. Väestöennuste'!G28*1000</f>
        <v>60.925225487343617</v>
      </c>
      <c r="Y28" s="41">
        <f>F28/'1. Väestöennuste'!H28*1000</f>
        <v>-60.429880197322056</v>
      </c>
      <c r="Z28" s="41">
        <f>G28/'1. Väestöennuste'!I28*1000</f>
        <v>-109.69765102656648</v>
      </c>
      <c r="AA28" s="41">
        <f>H28/'1. Väestöennuste'!J28*1000</f>
        <v>295.0503670637508</v>
      </c>
      <c r="AB28" s="41">
        <f>I28/'1. Väestöennuste'!K28*1000</f>
        <v>-546.92307337525074</v>
      </c>
      <c r="AC28" s="41">
        <f>J28/'1. Väestöennuste'!L28*1000</f>
        <v>-333.33891372049231</v>
      </c>
      <c r="AD28" s="41">
        <f>K28/'1. Väestöennuste'!M28*1000</f>
        <v>237.29789799555761</v>
      </c>
      <c r="AE28" s="41">
        <f>L28/'1. Väestöennuste'!N28*1000</f>
        <v>-250.11629642930973</v>
      </c>
      <c r="AF28" s="41">
        <f>M28/'1. Väestöennuste'!O28*1000</f>
        <v>-311.7488129646066</v>
      </c>
      <c r="AG28" s="41">
        <f>N28/'1. Väestöennuste'!P28*1000</f>
        <v>-296.64893764242737</v>
      </c>
      <c r="AH28" s="41">
        <f>O28/'1. Väestöennuste'!Q28*1000</f>
        <v>-378.41417097541472</v>
      </c>
      <c r="AI28" s="41">
        <f>P28/'1. Väestöennuste'!R28*1000</f>
        <v>-269.46347370343449</v>
      </c>
    </row>
    <row r="29" spans="1:35" x14ac:dyDescent="0.2">
      <c r="A29" s="34">
        <v>69</v>
      </c>
      <c r="B29" s="88" t="s">
        <v>342</v>
      </c>
      <c r="C29" s="41" t="e">
        <f>Vuosikate!C29+'7. Nettoinvestoinnit '!C29+'8. Satunnaiset erät'!C29+'9. Tulorahkorjauserät'!C29</f>
        <v>#REF!</v>
      </c>
      <c r="D29" s="41">
        <f>Vuosikate!D29+'7. Nettoinvestoinnit '!D29+'8. Satunnaiset erät'!D29+'9. Tulorahkorjauserät'!D29</f>
        <v>-2620</v>
      </c>
      <c r="E29" s="41">
        <f>Vuosikate!E29+'7. Nettoinvestoinnit '!E29+'8. Satunnaiset erät'!E29+'9. Tulorahkorjauserät'!E29</f>
        <v>-2543</v>
      </c>
      <c r="F29" s="41">
        <f>Vuosikate!F29+'7. Nettoinvestoinnit '!F29+'8. Satunnaiset erät'!F29+'9. Tulorahkorjauserät'!F29</f>
        <v>-1272</v>
      </c>
      <c r="G29" s="41">
        <f>Vuosikate!G29+'7. Nettoinvestoinnit '!G29+'8. Satunnaiset erät'!G29+'9. Tulorahkorjauserät'!G29</f>
        <v>-3717</v>
      </c>
      <c r="H29" s="41">
        <f>Vuosikate!H29+'7. Nettoinvestoinnit '!H29+'8. Satunnaiset erät'!H29+'9. Tulorahkorjauserät'!H29</f>
        <v>717.10703127777379</v>
      </c>
      <c r="I29" s="41">
        <f>Vuosikate!I29+'7. Nettoinvestoinnit '!I29+'8. Satunnaiset erät'!I29+'9. Tulorahkorjauserät'!I29</f>
        <v>1332.9692903326986</v>
      </c>
      <c r="J29" s="41">
        <f>Vuosikate!J29+'7. Nettoinvestoinnit '!J29+'8. Satunnaiset erät'!J29+'9. Tulorahkorjauserät'!J29</f>
        <v>-4517.0796461598502</v>
      </c>
      <c r="K29" s="41">
        <f>Vuosikate!K29+'7. Nettoinvestoinnit '!K29+'8. Satunnaiset erät'!K29+'9. Tulorahkorjauserät'!K29</f>
        <v>-8754.6154495704232</v>
      </c>
      <c r="L29" s="41">
        <f>Vuosikate!L29+'7. Nettoinvestoinnit '!L29+'8. Satunnaiset erät'!L29+'9. Tulorahkorjauserät'!L29</f>
        <v>-1502.6944669292438</v>
      </c>
      <c r="M29" s="41">
        <f>Vuosikate!M29+'7. Nettoinvestoinnit '!M29+'8. Satunnaiset erät'!M29+'9. Tulorahkorjauserät'!M29</f>
        <v>-4544.9299319182728</v>
      </c>
      <c r="N29" s="41">
        <f>Vuosikate!N29+'7. Nettoinvestoinnit '!N29+'8. Satunnaiset erät'!N29+'9. Tulorahkorjauserät'!N29</f>
        <v>-3663.2682408082428</v>
      </c>
      <c r="O29" s="41">
        <f>Vuosikate!O29+'7. Nettoinvestoinnit '!O29+'8. Satunnaiset erät'!O29+'9. Tulorahkorjauserät'!O29</f>
        <v>-3971.0852025967624</v>
      </c>
      <c r="P29" s="41">
        <f>Vuosikate!P29+'7. Nettoinvestoinnit '!P29+'8. Satunnaiset erät'!P29+'9. Tulorahkorjauserät'!P29</f>
        <v>-3388.5755795339082</v>
      </c>
      <c r="T29" s="34">
        <v>69</v>
      </c>
      <c r="U29" s="88" t="s">
        <v>342</v>
      </c>
      <c r="V29" s="41" t="e">
        <f>C29/'1. Väestöennuste'!E29*1000</f>
        <v>#REF!</v>
      </c>
      <c r="W29" s="41">
        <f>D29/'1. Väestöennuste'!F29*1000</f>
        <v>-357.33769776322964</v>
      </c>
      <c r="X29" s="41">
        <f>E29/'1. Väestöennuste'!G29*1000</f>
        <v>-350.71024686250172</v>
      </c>
      <c r="Y29" s="41">
        <f>F29/'1. Väestöennuste'!H29*1000</f>
        <v>-177.97677347138659</v>
      </c>
      <c r="Z29" s="41">
        <f>G29/'1. Väestöennuste'!I29*1000</f>
        <v>-530.2425106990014</v>
      </c>
      <c r="AA29" s="41">
        <f>H29/'1. Väestöennuste'!J29*1000</f>
        <v>103.98883864236859</v>
      </c>
      <c r="AB29" s="41">
        <f>I29/'1. Väestöennuste'!K29*1000</f>
        <v>195.96725820827677</v>
      </c>
      <c r="AC29" s="41">
        <f>J29/'1. Väestöennuste'!L29*1000</f>
        <v>-675.50166684011515</v>
      </c>
      <c r="AD29" s="41">
        <f>K29/'1. Väestöennuste'!M29*1000</f>
        <v>-1334.9520356161061</v>
      </c>
      <c r="AE29" s="41">
        <f>L29/'1. Väestöennuste'!N29*1000</f>
        <v>-232.39939173047384</v>
      </c>
      <c r="AF29" s="41">
        <f>M29/'1. Väestöennuste'!O29*1000</f>
        <v>-713.60181063248115</v>
      </c>
      <c r="AG29" s="41">
        <f>N29/'1. Väestöennuste'!P29*1000</f>
        <v>-583.88081619512957</v>
      </c>
      <c r="AH29" s="41">
        <f>O29/'1. Väestöennuste'!Q29*1000</f>
        <v>-642.15478696584125</v>
      </c>
      <c r="AI29" s="41">
        <f>P29/'1. Väestöennuste'!R29*1000</f>
        <v>-555.95989820080524</v>
      </c>
    </row>
    <row r="30" spans="1:35" x14ac:dyDescent="0.2">
      <c r="A30" s="34">
        <v>71</v>
      </c>
      <c r="B30" s="88" t="s">
        <v>343</v>
      </c>
      <c r="C30" s="41" t="e">
        <f>Vuosikate!C30+'7. Nettoinvestoinnit '!C30+'8. Satunnaiset erät'!C30+'9. Tulorahkorjauserät'!C30</f>
        <v>#REF!</v>
      </c>
      <c r="D30" s="41">
        <f>Vuosikate!D30+'7. Nettoinvestoinnit '!D30+'8. Satunnaiset erät'!D30+'9. Tulorahkorjauserät'!D30</f>
        <v>-648</v>
      </c>
      <c r="E30" s="41">
        <f>Vuosikate!E30+'7. Nettoinvestoinnit '!E30+'8. Satunnaiset erät'!E30+'9. Tulorahkorjauserät'!E30</f>
        <v>7793</v>
      </c>
      <c r="F30" s="41">
        <f>Vuosikate!F30+'7. Nettoinvestoinnit '!F30+'8. Satunnaiset erät'!F30+'9. Tulorahkorjauserät'!F30</f>
        <v>28</v>
      </c>
      <c r="G30" s="41">
        <f>Vuosikate!G30+'7. Nettoinvestoinnit '!G30+'8. Satunnaiset erät'!G30+'9. Tulorahkorjauserät'!G30</f>
        <v>255</v>
      </c>
      <c r="H30" s="41">
        <f>Vuosikate!H30+'7. Nettoinvestoinnit '!H30+'8. Satunnaiset erät'!H30+'9. Tulorahkorjauserät'!H30</f>
        <v>-4258.2643449285169</v>
      </c>
      <c r="I30" s="41">
        <f>Vuosikate!I30+'7. Nettoinvestoinnit '!I30+'8. Satunnaiset erät'!I30+'9. Tulorahkorjauserät'!I30</f>
        <v>-7072.8999254725204</v>
      </c>
      <c r="J30" s="41">
        <f>Vuosikate!J30+'7. Nettoinvestoinnit '!J30+'8. Satunnaiset erät'!J30+'9. Tulorahkorjauserät'!J30</f>
        <v>-3144.6726937658964</v>
      </c>
      <c r="K30" s="41">
        <f>Vuosikate!K30+'7. Nettoinvestoinnit '!K30+'8. Satunnaiset erät'!K30+'9. Tulorahkorjauserät'!K30</f>
        <v>2033.437584450618</v>
      </c>
      <c r="L30" s="41">
        <f>Vuosikate!L30+'7. Nettoinvestoinnit '!L30+'8. Satunnaiset erät'!L30+'9. Tulorahkorjauserät'!L30</f>
        <v>-1357.8321071264102</v>
      </c>
      <c r="M30" s="41">
        <f>Vuosikate!M30+'7. Nettoinvestoinnit '!M30+'8. Satunnaiset erät'!M30+'9. Tulorahkorjauserät'!M30</f>
        <v>-3233.2025818986631</v>
      </c>
      <c r="N30" s="41">
        <f>Vuosikate!N30+'7. Nettoinvestoinnit '!N30+'8. Satunnaiset erät'!N30+'9. Tulorahkorjauserät'!N30</f>
        <v>-2929.1794279485152</v>
      </c>
      <c r="O30" s="41">
        <f>Vuosikate!O30+'7. Nettoinvestoinnit '!O30+'8. Satunnaiset erät'!O30+'9. Tulorahkorjauserät'!O30</f>
        <v>-2756.9475178306438</v>
      </c>
      <c r="P30" s="41">
        <f>Vuosikate!P30+'7. Nettoinvestoinnit '!P30+'8. Satunnaiset erät'!P30+'9. Tulorahkorjauserät'!P30</f>
        <v>-1981.9404054885724</v>
      </c>
      <c r="T30" s="34">
        <v>71</v>
      </c>
      <c r="U30" s="88" t="s">
        <v>343</v>
      </c>
      <c r="V30" s="41" t="e">
        <f>C30/'1. Väestöennuste'!E30*1000</f>
        <v>#REF!</v>
      </c>
      <c r="W30" s="41">
        <f>D30/'1. Väestöennuste'!F30*1000</f>
        <v>-91.293322062552832</v>
      </c>
      <c r="X30" s="41">
        <f>E30/'1. Väestöennuste'!G30*1000</f>
        <v>1118.0774748923961</v>
      </c>
      <c r="Y30" s="41">
        <f>F30/'1. Väestöennuste'!H30*1000</f>
        <v>4.0852057192880071</v>
      </c>
      <c r="Z30" s="41">
        <f>G30/'1. Väestöennuste'!I30*1000</f>
        <v>37.733057117490382</v>
      </c>
      <c r="AA30" s="41">
        <f>H30/'1. Väestöennuste'!J30*1000</f>
        <v>-638.70771635345989</v>
      </c>
      <c r="AB30" s="41">
        <f>I30/'1. Väestöennuste'!K30*1000</f>
        <v>-1069.5448246593862</v>
      </c>
      <c r="AC30" s="41">
        <f>J30/'1. Väestöennuste'!L30*1000</f>
        <v>-477.11617262416877</v>
      </c>
      <c r="AD30" s="41">
        <f>K30/'1. Väestöennuste'!M30*1000</f>
        <v>314.14144669405505</v>
      </c>
      <c r="AE30" s="41">
        <f>L30/'1. Väestöennuste'!N30*1000</f>
        <v>-215.63158760146263</v>
      </c>
      <c r="AF30" s="41">
        <f>M30/'1. Väestöennuste'!O30*1000</f>
        <v>-520.30939522025471</v>
      </c>
      <c r="AG30" s="41">
        <f>N30/'1. Väestöennuste'!P30*1000</f>
        <v>-477.45385948631053</v>
      </c>
      <c r="AH30" s="41">
        <f>O30/'1. Väestöennuste'!Q30*1000</f>
        <v>-454.94183462551877</v>
      </c>
      <c r="AI30" s="41">
        <f>P30/'1. Väestöennuste'!R30*1000</f>
        <v>-330.87485901311726</v>
      </c>
    </row>
    <row r="31" spans="1:35" x14ac:dyDescent="0.2">
      <c r="A31" s="34">
        <v>72</v>
      </c>
      <c r="B31" s="88" t="s">
        <v>344</v>
      </c>
      <c r="C31" s="41" t="e">
        <f>Vuosikate!C31+'7. Nettoinvestoinnit '!C31+'8. Satunnaiset erät'!C31+'9. Tulorahkorjauserät'!C31</f>
        <v>#REF!</v>
      </c>
      <c r="D31" s="41">
        <f>Vuosikate!D31+'7. Nettoinvestoinnit '!D31+'8. Satunnaiset erät'!D31+'9. Tulorahkorjauserät'!D31</f>
        <v>-629</v>
      </c>
      <c r="E31" s="41">
        <f>Vuosikate!E31+'7. Nettoinvestoinnit '!E31+'8. Satunnaiset erät'!E31+'9. Tulorahkorjauserät'!E31</f>
        <v>711</v>
      </c>
      <c r="F31" s="41">
        <f>Vuosikate!F31+'7. Nettoinvestoinnit '!F31+'8. Satunnaiset erät'!F31+'9. Tulorahkorjauserät'!F31</f>
        <v>-852</v>
      </c>
      <c r="G31" s="41">
        <f>Vuosikate!G31+'7. Nettoinvestoinnit '!G31+'8. Satunnaiset erät'!G31+'9. Tulorahkorjauserät'!G31</f>
        <v>-1922</v>
      </c>
      <c r="H31" s="41">
        <f>Vuosikate!H31+'7. Nettoinvestoinnit '!H31+'8. Satunnaiset erät'!H31+'9. Tulorahkorjauserät'!H31</f>
        <v>165.13037070252358</v>
      </c>
      <c r="I31" s="41">
        <f>Vuosikate!I31+'7. Nettoinvestoinnit '!I31+'8. Satunnaiset erät'!I31+'9. Tulorahkorjauserät'!I31</f>
        <v>-15.061114664416991</v>
      </c>
      <c r="J31" s="41">
        <f>Vuosikate!J31+'7. Nettoinvestoinnit '!J31+'8. Satunnaiset erät'!J31+'9. Tulorahkorjauserät'!J31</f>
        <v>741.84960849812228</v>
      </c>
      <c r="K31" s="41">
        <f>Vuosikate!K31+'7. Nettoinvestoinnit '!K31+'8. Satunnaiset erät'!K31+'9. Tulorahkorjauserät'!K31</f>
        <v>582.53921678401525</v>
      </c>
      <c r="L31" s="41">
        <f>Vuosikate!L31+'7. Nettoinvestoinnit '!L31+'8. Satunnaiset erät'!L31+'9. Tulorahkorjauserät'!L31</f>
        <v>141.61221619080001</v>
      </c>
      <c r="M31" s="41">
        <f>Vuosikate!M31+'7. Nettoinvestoinnit '!M31+'8. Satunnaiset erät'!M31+'9. Tulorahkorjauserät'!M31</f>
        <v>131.67195629550497</v>
      </c>
      <c r="N31" s="41">
        <f>Vuosikate!N31+'7. Nettoinvestoinnit '!N31+'8. Satunnaiset erät'!N31+'9. Tulorahkorjauserät'!N31</f>
        <v>-15.608791344697892</v>
      </c>
      <c r="O31" s="41">
        <f>Vuosikate!O31+'7. Nettoinvestoinnit '!O31+'8. Satunnaiset erät'!O31+'9. Tulorahkorjauserät'!O31</f>
        <v>-88.780570438909365</v>
      </c>
      <c r="P31" s="41">
        <f>Vuosikate!P31+'7. Nettoinvestoinnit '!P31+'8. Satunnaiset erät'!P31+'9. Tulorahkorjauserät'!P31</f>
        <v>-55.179428333494542</v>
      </c>
      <c r="T31" s="34">
        <v>72</v>
      </c>
      <c r="U31" s="88" t="s">
        <v>344</v>
      </c>
      <c r="V31" s="41" t="e">
        <f>C31/'1. Väestöennuste'!E31*1000</f>
        <v>#REF!</v>
      </c>
      <c r="W31" s="41">
        <f>D31/'1. Väestöennuste'!F31*1000</f>
        <v>-632.79678068410465</v>
      </c>
      <c r="X31" s="41">
        <f>E31/'1. Väestöennuste'!G31*1000</f>
        <v>735.26370217166493</v>
      </c>
      <c r="Y31" s="41">
        <f>F31/'1. Väestöennuste'!H31*1000</f>
        <v>-874.74332648870632</v>
      </c>
      <c r="Z31" s="41">
        <f>G31/'1. Väestöennuste'!I31*1000</f>
        <v>-2004.1710114702814</v>
      </c>
      <c r="AA31" s="41">
        <f>H31/'1. Väestöennuste'!J31*1000</f>
        <v>174.00460558748532</v>
      </c>
      <c r="AB31" s="41">
        <f>I31/'1. Väestöennuste'!K31*1000</f>
        <v>-15.85380490991262</v>
      </c>
      <c r="AC31" s="41">
        <f>J31/'1. Väestöennuste'!L31*1000</f>
        <v>772.76000885221072</v>
      </c>
      <c r="AD31" s="41">
        <f>K31/'1. Väestöennuste'!M31*1000</f>
        <v>614.49284470887687</v>
      </c>
      <c r="AE31" s="41">
        <f>L31/'1. Väestöennuste'!N31*1000</f>
        <v>152.92895916933048</v>
      </c>
      <c r="AF31" s="41">
        <f>M31/'1. Väestöennuste'!O31*1000</f>
        <v>143.12169162554889</v>
      </c>
      <c r="AG31" s="41">
        <f>N31/'1. Väestöennuste'!P31*1000</f>
        <v>-17.07745223708741</v>
      </c>
      <c r="AH31" s="41">
        <f>O31/'1. Väestöennuste'!Q31*1000</f>
        <v>-97.775958633160087</v>
      </c>
      <c r="AI31" s="41">
        <f>P31/'1. Väestöennuste'!R31*1000</f>
        <v>-61.242428783012812</v>
      </c>
    </row>
    <row r="32" spans="1:35" x14ac:dyDescent="0.2">
      <c r="A32" s="34">
        <v>74</v>
      </c>
      <c r="B32" s="88" t="s">
        <v>345</v>
      </c>
      <c r="C32" s="41" t="e">
        <f>Vuosikate!C32+'7. Nettoinvestoinnit '!C32+'8. Satunnaiset erät'!C32+'9. Tulorahkorjauserät'!C32</f>
        <v>#REF!</v>
      </c>
      <c r="D32" s="41">
        <f>Vuosikate!D32+'7. Nettoinvestoinnit '!D32+'8. Satunnaiset erät'!D32+'9. Tulorahkorjauserät'!D32</f>
        <v>-301</v>
      </c>
      <c r="E32" s="41">
        <f>Vuosikate!E32+'7. Nettoinvestoinnit '!E32+'8. Satunnaiset erät'!E32+'9. Tulorahkorjauserät'!E32</f>
        <v>209</v>
      </c>
      <c r="F32" s="41">
        <f>Vuosikate!F32+'7. Nettoinvestoinnit '!F32+'8. Satunnaiset erät'!F32+'9. Tulorahkorjauserät'!F32</f>
        <v>-505</v>
      </c>
      <c r="G32" s="41">
        <f>Vuosikate!G32+'7. Nettoinvestoinnit '!G32+'8. Satunnaiset erät'!G32+'9. Tulorahkorjauserät'!G32</f>
        <v>-731</v>
      </c>
      <c r="H32" s="41">
        <f>Vuosikate!H32+'7. Nettoinvestoinnit '!H32+'8. Satunnaiset erät'!H32+'9. Tulorahkorjauserät'!H32</f>
        <v>588.27447329442111</v>
      </c>
      <c r="I32" s="41">
        <f>Vuosikate!I32+'7. Nettoinvestoinnit '!I32+'8. Satunnaiset erät'!I32+'9. Tulorahkorjauserät'!I32</f>
        <v>-1064.1506164868758</v>
      </c>
      <c r="J32" s="41">
        <f>Vuosikate!J32+'7. Nettoinvestoinnit '!J32+'8. Satunnaiset erät'!J32+'9. Tulorahkorjauserät'!J32</f>
        <v>537.20444336693231</v>
      </c>
      <c r="K32" s="41">
        <f>Vuosikate!K32+'7. Nettoinvestoinnit '!K32+'8. Satunnaiset erät'!K32+'9. Tulorahkorjauserät'!K32</f>
        <v>-391.0652481337786</v>
      </c>
      <c r="L32" s="41">
        <f>Vuosikate!L32+'7. Nettoinvestoinnit '!L32+'8. Satunnaiset erät'!L32+'9. Tulorahkorjauserät'!L32</f>
        <v>-226.46358363734527</v>
      </c>
      <c r="M32" s="41">
        <f>Vuosikate!M32+'7. Nettoinvestoinnit '!M32+'8. Satunnaiset erät'!M32+'9. Tulorahkorjauserät'!M32</f>
        <v>-548.54817422823226</v>
      </c>
      <c r="N32" s="41">
        <f>Vuosikate!N32+'7. Nettoinvestoinnit '!N32+'8. Satunnaiset erät'!N32+'9. Tulorahkorjauserät'!N32</f>
        <v>-681.2933221750277</v>
      </c>
      <c r="O32" s="41">
        <f>Vuosikate!O32+'7. Nettoinvestoinnit '!O32+'8. Satunnaiset erät'!O32+'9. Tulorahkorjauserät'!O32</f>
        <v>-850.79398303512085</v>
      </c>
      <c r="P32" s="41">
        <f>Vuosikate!P32+'7. Nettoinvestoinnit '!P32+'8. Satunnaiset erät'!P32+'9. Tulorahkorjauserät'!P32</f>
        <v>-814.43463624226695</v>
      </c>
      <c r="T32" s="34">
        <v>74</v>
      </c>
      <c r="U32" s="88" t="s">
        <v>345</v>
      </c>
      <c r="V32" s="41" t="e">
        <f>C32/'1. Väestöennuste'!E32*1000</f>
        <v>#REF!</v>
      </c>
      <c r="W32" s="41">
        <f>D32/'1. Väestöennuste'!F32*1000</f>
        <v>-246.92370795734209</v>
      </c>
      <c r="X32" s="41">
        <f>E32/'1. Väestöennuste'!G32*1000</f>
        <v>178.47993168232279</v>
      </c>
      <c r="Y32" s="41">
        <f>F32/'1. Väestöennuste'!H32*1000</f>
        <v>-433.47639484978538</v>
      </c>
      <c r="Z32" s="41">
        <f>G32/'1. Väestöennuste'!I32*1000</f>
        <v>-648.62466725820764</v>
      </c>
      <c r="AA32" s="41">
        <f>H32/'1. Väestöennuste'!J32*1000</f>
        <v>533.34041096502369</v>
      </c>
      <c r="AB32" s="41">
        <f>I32/'1. Väestöennuste'!K32*1000</f>
        <v>-982.59521374596102</v>
      </c>
      <c r="AC32" s="41">
        <f>J32/'1. Väestöennuste'!L32*1000</f>
        <v>510.65061156552503</v>
      </c>
      <c r="AD32" s="41">
        <f>K32/'1. Väestöennuste'!M32*1000</f>
        <v>-386.04664179050206</v>
      </c>
      <c r="AE32" s="41">
        <f>L32/'1. Väestöennuste'!N32*1000</f>
        <v>-226.23734629105422</v>
      </c>
      <c r="AF32" s="41">
        <f>M32/'1. Väestöennuste'!O32*1000</f>
        <v>-560.314784707081</v>
      </c>
      <c r="AG32" s="41">
        <f>N32/'1. Väestöennuste'!P32*1000</f>
        <v>-710.42056535456493</v>
      </c>
      <c r="AH32" s="41">
        <f>O32/'1. Väestöennuste'!Q32*1000</f>
        <v>-905.09998195225626</v>
      </c>
      <c r="AI32" s="41">
        <f>P32/'1. Väestöennuste'!R32*1000</f>
        <v>-883.33474646666696</v>
      </c>
    </row>
    <row r="33" spans="1:35" x14ac:dyDescent="0.2">
      <c r="A33" s="34">
        <v>75</v>
      </c>
      <c r="B33" s="88" t="s">
        <v>346</v>
      </c>
      <c r="C33" s="41" t="e">
        <f>Vuosikate!C33+'7. Nettoinvestoinnit '!C33+'8. Satunnaiset erät'!C33+'9. Tulorahkorjauserät'!C33</f>
        <v>#REF!</v>
      </c>
      <c r="D33" s="41">
        <f>Vuosikate!D33+'7. Nettoinvestoinnit '!D33+'8. Satunnaiset erät'!D33+'9. Tulorahkorjauserät'!D33</f>
        <v>2134</v>
      </c>
      <c r="E33" s="41">
        <f>Vuosikate!E33+'7. Nettoinvestoinnit '!E33+'8. Satunnaiset erät'!E33+'9. Tulorahkorjauserät'!E33</f>
        <v>3938</v>
      </c>
      <c r="F33" s="41">
        <f>Vuosikate!F33+'7. Nettoinvestoinnit '!F33+'8. Satunnaiset erät'!F33+'9. Tulorahkorjauserät'!F33</f>
        <v>-4842</v>
      </c>
      <c r="G33" s="41">
        <f>Vuosikate!G33+'7. Nettoinvestoinnit '!G33+'8. Satunnaiset erät'!G33+'9. Tulorahkorjauserät'!G33</f>
        <v>-2304</v>
      </c>
      <c r="H33" s="41">
        <f>Vuosikate!H33+'7. Nettoinvestoinnit '!H33+'8. Satunnaiset erät'!H33+'9. Tulorahkorjauserät'!H33</f>
        <v>2911.0623364272906</v>
      </c>
      <c r="I33" s="41">
        <f>Vuosikate!I33+'7. Nettoinvestoinnit '!I33+'8. Satunnaiset erät'!I33+'9. Tulorahkorjauserät'!I33</f>
        <v>3536.9385533505351</v>
      </c>
      <c r="J33" s="41">
        <f>Vuosikate!J33+'7. Nettoinvestoinnit '!J33+'8. Satunnaiset erät'!J33+'9. Tulorahkorjauserät'!J33</f>
        <v>11058.361896614429</v>
      </c>
      <c r="K33" s="41">
        <f>Vuosikate!K33+'7. Nettoinvestoinnit '!K33+'8. Satunnaiset erät'!K33+'9. Tulorahkorjauserät'!K33</f>
        <v>-7636.0653247682385</v>
      </c>
      <c r="L33" s="41">
        <f>Vuosikate!L33+'7. Nettoinvestoinnit '!L33+'8. Satunnaiset erät'!L33+'9. Tulorahkorjauserät'!L33</f>
        <v>-8670.3905575333883</v>
      </c>
      <c r="M33" s="41">
        <f>Vuosikate!M33+'7. Nettoinvestoinnit '!M33+'8. Satunnaiset erät'!M33+'9. Tulorahkorjauserät'!M33</f>
        <v>-15754.369304112855</v>
      </c>
      <c r="N33" s="41">
        <f>Vuosikate!N33+'7. Nettoinvestoinnit '!N33+'8. Satunnaiset erät'!N33+'9. Tulorahkorjauserät'!N33</f>
        <v>-12758.599370126336</v>
      </c>
      <c r="O33" s="41">
        <f>Vuosikate!O33+'7. Nettoinvestoinnit '!O33+'8. Satunnaiset erät'!O33+'9. Tulorahkorjauserät'!O33</f>
        <v>-13226.480360897747</v>
      </c>
      <c r="P33" s="41">
        <f>Vuosikate!P33+'7. Nettoinvestoinnit '!P33+'8. Satunnaiset erät'!P33+'9. Tulorahkorjauserät'!P33</f>
        <v>-11515.749763746853</v>
      </c>
      <c r="T33" s="34">
        <v>75</v>
      </c>
      <c r="U33" s="88" t="s">
        <v>346</v>
      </c>
      <c r="V33" s="41" t="e">
        <f>C33/'1. Väestöennuste'!E33*1000</f>
        <v>#REF!</v>
      </c>
      <c r="W33" s="41">
        <f>D33/'1. Väestöennuste'!F33*1000</f>
        <v>103.41151385927505</v>
      </c>
      <c r="X33" s="41">
        <f>E33/'1. Väestöennuste'!G33*1000</f>
        <v>192.16317767042403</v>
      </c>
      <c r="Y33" s="41">
        <f>F33/'1. Väestöennuste'!H33*1000</f>
        <v>-238.68677905944989</v>
      </c>
      <c r="Z33" s="41">
        <f>G33/'1. Väestöennuste'!I33*1000</f>
        <v>-114.5641688628114</v>
      </c>
      <c r="AA33" s="41">
        <f>H33/'1. Väestöennuste'!J33*1000</f>
        <v>146.45380773895914</v>
      </c>
      <c r="AB33" s="41">
        <f>I33/'1. Väestöennuste'!K33*1000</f>
        <v>179.52180252515151</v>
      </c>
      <c r="AC33" s="41">
        <f>J33/'1. Väestöennuste'!L33*1000</f>
        <v>565.67404453498534</v>
      </c>
      <c r="AD33" s="41">
        <f>K33/'1. Väestöennuste'!M33*1000</f>
        <v>-390.91150428832998</v>
      </c>
      <c r="AE33" s="41">
        <f>L33/'1. Väestöennuste'!N33*1000</f>
        <v>-453.99468831989674</v>
      </c>
      <c r="AF33" s="41">
        <f>M33/'1. Väestöennuste'!O33*1000</f>
        <v>-832.94751528565382</v>
      </c>
      <c r="AG33" s="41">
        <f>N33/'1. Väestöennuste'!P33*1000</f>
        <v>-681.03978702499921</v>
      </c>
      <c r="AH33" s="41">
        <f>O33/'1. Väestöennuste'!Q33*1000</f>
        <v>-712.7104408286317</v>
      </c>
      <c r="AI33" s="41">
        <f>P33/'1. Väestöennuste'!R33*1000</f>
        <v>-626.63926450165172</v>
      </c>
    </row>
    <row r="34" spans="1:35" x14ac:dyDescent="0.2">
      <c r="A34" s="34">
        <v>77</v>
      </c>
      <c r="B34" s="88" t="s">
        <v>347</v>
      </c>
      <c r="C34" s="41" t="e">
        <f>Vuosikate!C34+'7. Nettoinvestoinnit '!C34+'8. Satunnaiset erät'!C34+'9. Tulorahkorjauserät'!C34</f>
        <v>#REF!</v>
      </c>
      <c r="D34" s="41">
        <f>Vuosikate!D34+'7. Nettoinvestoinnit '!D34+'8. Satunnaiset erät'!D34+'9. Tulorahkorjauserät'!D34</f>
        <v>98</v>
      </c>
      <c r="E34" s="41">
        <f>Vuosikate!E34+'7. Nettoinvestoinnit '!E34+'8. Satunnaiset erät'!E34+'9. Tulorahkorjauserät'!E34</f>
        <v>506</v>
      </c>
      <c r="F34" s="41">
        <f>Vuosikate!F34+'7. Nettoinvestoinnit '!F34+'8. Satunnaiset erät'!F34+'9. Tulorahkorjauserät'!F34</f>
        <v>-164</v>
      </c>
      <c r="G34" s="41">
        <f>Vuosikate!G34+'7. Nettoinvestoinnit '!G34+'8. Satunnaiset erät'!G34+'9. Tulorahkorjauserät'!G34</f>
        <v>-1967</v>
      </c>
      <c r="H34" s="41">
        <f>Vuosikate!H34+'7. Nettoinvestoinnit '!H34+'8. Satunnaiset erät'!H34+'9. Tulorahkorjauserät'!H34</f>
        <v>6463.526464676328</v>
      </c>
      <c r="I34" s="41">
        <f>Vuosikate!I34+'7. Nettoinvestoinnit '!I34+'8. Satunnaiset erät'!I34+'9. Tulorahkorjauserät'!I34</f>
        <v>2819.0904481706998</v>
      </c>
      <c r="J34" s="41">
        <f>Vuosikate!J34+'7. Nettoinvestoinnit '!J34+'8. Satunnaiset erät'!J34+'9. Tulorahkorjauserät'!J34</f>
        <v>789.03101692121982</v>
      </c>
      <c r="K34" s="41">
        <f>Vuosikate!K34+'7. Nettoinvestoinnit '!K34+'8. Satunnaiset erät'!K34+'9. Tulorahkorjauserät'!K34</f>
        <v>2154.0149895315658</v>
      </c>
      <c r="L34" s="41">
        <f>Vuosikate!L34+'7. Nettoinvestoinnit '!L34+'8. Satunnaiset erät'!L34+'9. Tulorahkorjauserät'!L34</f>
        <v>298.03194901292318</v>
      </c>
      <c r="M34" s="41">
        <f>Vuosikate!M34+'7. Nettoinvestoinnit '!M34+'8. Satunnaiset erät'!M34+'9. Tulorahkorjauserät'!M34</f>
        <v>-644.4084329262148</v>
      </c>
      <c r="N34" s="41">
        <f>Vuosikate!N34+'7. Nettoinvestoinnit '!N34+'8. Satunnaiset erät'!N34+'9. Tulorahkorjauserät'!N34</f>
        <v>-906.99226415687258</v>
      </c>
      <c r="O34" s="41">
        <f>Vuosikate!O34+'7. Nettoinvestoinnit '!O34+'8. Satunnaiset erät'!O34+'9. Tulorahkorjauserät'!O34</f>
        <v>-1130.543090117987</v>
      </c>
      <c r="P34" s="41">
        <f>Vuosikate!P34+'7. Nettoinvestoinnit '!P34+'8. Satunnaiset erät'!P34+'9. Tulorahkorjauserät'!P34</f>
        <v>-756.07263136908227</v>
      </c>
      <c r="T34" s="34">
        <v>77</v>
      </c>
      <c r="U34" s="88" t="s">
        <v>347</v>
      </c>
      <c r="V34" s="41" t="e">
        <f>C34/'1. Väestöennuste'!E34*1000</f>
        <v>#REF!</v>
      </c>
      <c r="W34" s="41">
        <f>D34/'1. Väestöennuste'!F34*1000</f>
        <v>18.995929443690638</v>
      </c>
      <c r="X34" s="41">
        <f>E34/'1. Väestöennuste'!G34*1000</f>
        <v>100.81689579597528</v>
      </c>
      <c r="Y34" s="41">
        <f>F34/'1. Väestöennuste'!H34*1000</f>
        <v>-33.205102247418502</v>
      </c>
      <c r="Z34" s="41">
        <f>G34/'1. Väestöennuste'!I34*1000</f>
        <v>-403.4871794871795</v>
      </c>
      <c r="AA34" s="41">
        <f>H34/'1. Väestöennuste'!J34*1000</f>
        <v>1351.6366509151669</v>
      </c>
      <c r="AB34" s="41">
        <f>I34/'1. Väestöennuste'!K34*1000</f>
        <v>601.98386678853296</v>
      </c>
      <c r="AC34" s="41">
        <f>J34/'1. Väestöennuste'!L34*1000</f>
        <v>171.49120124347311</v>
      </c>
      <c r="AD34" s="41">
        <f>K34/'1. Väestöennuste'!M34*1000</f>
        <v>473.51395681063218</v>
      </c>
      <c r="AE34" s="41">
        <f>L34/'1. Väestöennuste'!N34*1000</f>
        <v>66.658901590902076</v>
      </c>
      <c r="AF34" s="41">
        <f>M34/'1. Väestöennuste'!O34*1000</f>
        <v>-146.32344071894067</v>
      </c>
      <c r="AG34" s="41">
        <f>N34/'1. Väestöennuste'!P34*1000</f>
        <v>-208.98439266287386</v>
      </c>
      <c r="AH34" s="41">
        <f>O34/'1. Väestöennuste'!Q34*1000</f>
        <v>-264.20731248375483</v>
      </c>
      <c r="AI34" s="41">
        <f>P34/'1. Väestöennuste'!R34*1000</f>
        <v>-179.2915891318668</v>
      </c>
    </row>
    <row r="35" spans="1:35" x14ac:dyDescent="0.2">
      <c r="A35" s="34">
        <v>78</v>
      </c>
      <c r="B35" s="88" t="s">
        <v>348</v>
      </c>
      <c r="C35" s="41" t="e">
        <f>Vuosikate!C35+'7. Nettoinvestoinnit '!C35+'8. Satunnaiset erät'!C35+'9. Tulorahkorjauserät'!C35</f>
        <v>#REF!</v>
      </c>
      <c r="D35" s="41">
        <f>Vuosikate!D35+'7. Nettoinvestoinnit '!D35+'8. Satunnaiset erät'!D35+'9. Tulorahkorjauserät'!D35</f>
        <v>1224</v>
      </c>
      <c r="E35" s="41">
        <f>Vuosikate!E35+'7. Nettoinvestoinnit '!E35+'8. Satunnaiset erät'!E35+'9. Tulorahkorjauserät'!E35</f>
        <v>3651</v>
      </c>
      <c r="F35" s="41">
        <f>Vuosikate!F35+'7. Nettoinvestoinnit '!F35+'8. Satunnaiset erät'!F35+'9. Tulorahkorjauserät'!F35</f>
        <v>433</v>
      </c>
      <c r="G35" s="41">
        <f>Vuosikate!G35+'7. Nettoinvestoinnit '!G35+'8. Satunnaiset erät'!G35+'9. Tulorahkorjauserät'!G35</f>
        <v>-745</v>
      </c>
      <c r="H35" s="41">
        <f>Vuosikate!H35+'7. Nettoinvestoinnit '!H35+'8. Satunnaiset erät'!H35+'9. Tulorahkorjauserät'!H35</f>
        <v>3472.6448742478751</v>
      </c>
      <c r="I35" s="41">
        <f>Vuosikate!I35+'7. Nettoinvestoinnit '!I35+'8. Satunnaiset erät'!I35+'9. Tulorahkorjauserät'!I35</f>
        <v>4266.3713902765257</v>
      </c>
      <c r="J35" s="41">
        <f>Vuosikate!J35+'7. Nettoinvestoinnit '!J35+'8. Satunnaiset erät'!J35+'9. Tulorahkorjauserät'!J35</f>
        <v>3024.1134973556541</v>
      </c>
      <c r="K35" s="41">
        <f>Vuosikate!K35+'7. Nettoinvestoinnit '!K35+'8. Satunnaiset erät'!K35+'9. Tulorahkorjauserät'!K35</f>
        <v>2450.0248513667061</v>
      </c>
      <c r="L35" s="41">
        <f>Vuosikate!L35+'7. Nettoinvestoinnit '!L35+'8. Satunnaiset erät'!L35+'9. Tulorahkorjauserät'!L35</f>
        <v>564.14942767840375</v>
      </c>
      <c r="M35" s="41">
        <f>Vuosikate!M35+'7. Nettoinvestoinnit '!M35+'8. Satunnaiset erät'!M35+'9. Tulorahkorjauserät'!M35</f>
        <v>-7.3130667634213751</v>
      </c>
      <c r="N35" s="41">
        <f>Vuosikate!N35+'7. Nettoinvestoinnit '!N35+'8. Satunnaiset erät'!N35+'9. Tulorahkorjauserät'!N35</f>
        <v>699.51395915113017</v>
      </c>
      <c r="O35" s="41">
        <f>Vuosikate!O35+'7. Nettoinvestoinnit '!O35+'8. Satunnaiset erät'!O35+'9. Tulorahkorjauserät'!O35</f>
        <v>818.48100337464894</v>
      </c>
      <c r="P35" s="41">
        <f>Vuosikate!P35+'7. Nettoinvestoinnit '!P35+'8. Satunnaiset erät'!P35+'9. Tulorahkorjauserät'!P35</f>
        <v>1550.0323622732099</v>
      </c>
      <c r="T35" s="34">
        <v>78</v>
      </c>
      <c r="U35" s="88" t="s">
        <v>348</v>
      </c>
      <c r="V35" s="41" t="e">
        <f>C35/'1. Väestöennuste'!E35*1000</f>
        <v>#REF!</v>
      </c>
      <c r="W35" s="41">
        <f>D35/'1. Väestöennuste'!F35*1000</f>
        <v>141.29054600023085</v>
      </c>
      <c r="X35" s="41">
        <f>E35/'1. Väestöennuste'!G35*1000</f>
        <v>428.67206762944699</v>
      </c>
      <c r="Y35" s="41">
        <f>F35/'1. Väestöennuste'!H35*1000</f>
        <v>51.67681107530732</v>
      </c>
      <c r="Z35" s="41">
        <f>G35/'1. Väestöennuste'!I35*1000</f>
        <v>-90.864739602390543</v>
      </c>
      <c r="AA35" s="41">
        <f>H35/'1. Väestöennuste'!J35*1000</f>
        <v>431.81358794427695</v>
      </c>
      <c r="AB35" s="41">
        <f>I35/'1. Väestöennuste'!K35*1000</f>
        <v>534.70001131426568</v>
      </c>
      <c r="AC35" s="41">
        <f>J35/'1. Väestöennuste'!L35*1000</f>
        <v>386.12276523948594</v>
      </c>
      <c r="AD35" s="41">
        <f>K35/'1. Väestöennuste'!M35*1000</f>
        <v>317.31962846350291</v>
      </c>
      <c r="AE35" s="41">
        <f>L35/'1. Väestöennuste'!N35*1000</f>
        <v>75.552354048266196</v>
      </c>
      <c r="AF35" s="41">
        <f>M35/'1. Väestöennuste'!O35*1000</f>
        <v>-0.99524588506006739</v>
      </c>
      <c r="AG35" s="41">
        <f>N35/'1. Väestöennuste'!P35*1000</f>
        <v>96.671359750017984</v>
      </c>
      <c r="AH35" s="41">
        <f>O35/'1. Väestöennuste'!Q35*1000</f>
        <v>114.85840631134563</v>
      </c>
      <c r="AI35" s="41">
        <f>P35/'1. Väestöennuste'!R35*1000</f>
        <v>220.67658916190345</v>
      </c>
    </row>
    <row r="36" spans="1:35" x14ac:dyDescent="0.2">
      <c r="A36" s="34">
        <v>79</v>
      </c>
      <c r="B36" s="88" t="s">
        <v>349</v>
      </c>
      <c r="C36" s="41" t="e">
        <f>Vuosikate!C36+'7. Nettoinvestoinnit '!C36+'8. Satunnaiset erät'!C36+'9. Tulorahkorjauserät'!C36</f>
        <v>#REF!</v>
      </c>
      <c r="D36" s="41">
        <f>Vuosikate!D36+'7. Nettoinvestoinnit '!D36+'8. Satunnaiset erät'!D36+'9. Tulorahkorjauserät'!D36</f>
        <v>-2938</v>
      </c>
      <c r="E36" s="41">
        <f>Vuosikate!E36+'7. Nettoinvestoinnit '!E36+'8. Satunnaiset erät'!E36+'9. Tulorahkorjauserät'!E36</f>
        <v>197</v>
      </c>
      <c r="F36" s="41">
        <f>Vuosikate!F36+'7. Nettoinvestoinnit '!F36+'8. Satunnaiset erät'!F36+'9. Tulorahkorjauserät'!F36</f>
        <v>-2321</v>
      </c>
      <c r="G36" s="41">
        <f>Vuosikate!G36+'7. Nettoinvestoinnit '!G36+'8. Satunnaiset erät'!G36+'9. Tulorahkorjauserät'!G36</f>
        <v>-4462</v>
      </c>
      <c r="H36" s="41">
        <f>Vuosikate!H36+'7. Nettoinvestoinnit '!H36+'8. Satunnaiset erät'!H36+'9. Tulorahkorjauserät'!H36</f>
        <v>512.27685982299954</v>
      </c>
      <c r="I36" s="41">
        <f>Vuosikate!I36+'7. Nettoinvestoinnit '!I36+'8. Satunnaiset erät'!I36+'9. Tulorahkorjauserät'!I36</f>
        <v>2231.2502010542175</v>
      </c>
      <c r="J36" s="41">
        <f>Vuosikate!J36+'7. Nettoinvestoinnit '!J36+'8. Satunnaiset erät'!J36+'9. Tulorahkorjauserät'!J36</f>
        <v>1753.6318966696731</v>
      </c>
      <c r="K36" s="41">
        <f>Vuosikate!K36+'7. Nettoinvestoinnit '!K36+'8. Satunnaiset erät'!K36+'9. Tulorahkorjauserät'!K36</f>
        <v>-1112.6731050309602</v>
      </c>
      <c r="L36" s="41">
        <f>Vuosikate!L36+'7. Nettoinvestoinnit '!L36+'8. Satunnaiset erät'!L36+'9. Tulorahkorjauserät'!L36</f>
        <v>-2850.7305497283041</v>
      </c>
      <c r="M36" s="41">
        <f>Vuosikate!M36+'7. Nettoinvestoinnit '!M36+'8. Satunnaiset erät'!M36+'9. Tulorahkorjauserät'!M36</f>
        <v>-4591.099358458986</v>
      </c>
      <c r="N36" s="41">
        <f>Vuosikate!N36+'7. Nettoinvestoinnit '!N36+'8. Satunnaiset erät'!N36+'9. Tulorahkorjauserät'!N36</f>
        <v>-4624.1211614679942</v>
      </c>
      <c r="O36" s="41">
        <f>Vuosikate!O36+'7. Nettoinvestoinnit '!O36+'8. Satunnaiset erät'!O36+'9. Tulorahkorjauserät'!O36</f>
        <v>-4397.6246508069962</v>
      </c>
      <c r="P36" s="41">
        <f>Vuosikate!P36+'7. Nettoinvestoinnit '!P36+'8. Satunnaiset erät'!P36+'9. Tulorahkorjauserät'!P36</f>
        <v>-3735.8616096452288</v>
      </c>
      <c r="T36" s="34">
        <v>79</v>
      </c>
      <c r="U36" s="88" t="s">
        <v>349</v>
      </c>
      <c r="V36" s="41" t="e">
        <f>C36/'1. Väestöennuste'!E36*1000</f>
        <v>#REF!</v>
      </c>
      <c r="W36" s="41">
        <f>D36/'1. Väestöennuste'!F36*1000</f>
        <v>-405.8011049723757</v>
      </c>
      <c r="X36" s="41">
        <f>E36/'1. Väestöennuste'!G36*1000</f>
        <v>27.548594602153546</v>
      </c>
      <c r="Y36" s="41">
        <f>F36/'1. Väestöennuste'!H36*1000</f>
        <v>-330.72100313479626</v>
      </c>
      <c r="Z36" s="41">
        <f>G36/'1. Väestöennuste'!I36*1000</f>
        <v>-643.77434713605544</v>
      </c>
      <c r="AA36" s="41">
        <f>H36/'1. Väestöennuste'!J36*1000</f>
        <v>74.578084120395914</v>
      </c>
      <c r="AB36" s="41">
        <f>I36/'1. Väestöennuste'!K36*1000</f>
        <v>328.85043493798344</v>
      </c>
      <c r="AC36" s="41">
        <f>J36/'1. Väestöennuste'!L36*1000</f>
        <v>259.6819038456498</v>
      </c>
      <c r="AD36" s="41">
        <f>K36/'1. Väestöennuste'!M36*1000</f>
        <v>-165.99628599596602</v>
      </c>
      <c r="AE36" s="41">
        <f>L36/'1. Väestöennuste'!N36*1000</f>
        <v>-434.82772265532401</v>
      </c>
      <c r="AF36" s="41">
        <f>M36/'1. Väestöennuste'!O36*1000</f>
        <v>-707.73845513472884</v>
      </c>
      <c r="AG36" s="41">
        <f>N36/'1. Väestöennuste'!P36*1000</f>
        <v>-720.04378098224765</v>
      </c>
      <c r="AH36" s="41">
        <f>O36/'1. Väestöennuste'!Q36*1000</f>
        <v>-691.55915250935618</v>
      </c>
      <c r="AI36" s="41">
        <f>P36/'1. Väestöennuste'!R36*1000</f>
        <v>-592.99390629289348</v>
      </c>
    </row>
    <row r="37" spans="1:35" x14ac:dyDescent="0.2">
      <c r="A37" s="34">
        <v>81</v>
      </c>
      <c r="B37" s="88" t="s">
        <v>350</v>
      </c>
      <c r="C37" s="41" t="e">
        <f>Vuosikate!C37+'7. Nettoinvestoinnit '!C37+'8. Satunnaiset erät'!C37+'9. Tulorahkorjauserät'!C37</f>
        <v>#REF!</v>
      </c>
      <c r="D37" s="41">
        <f>Vuosikate!D37+'7. Nettoinvestoinnit '!D37+'8. Satunnaiset erät'!D37+'9. Tulorahkorjauserät'!D37</f>
        <v>-1329</v>
      </c>
      <c r="E37" s="41">
        <f>Vuosikate!E37+'7. Nettoinvestoinnit '!E37+'8. Satunnaiset erät'!E37+'9. Tulorahkorjauserät'!E37</f>
        <v>650</v>
      </c>
      <c r="F37" s="41">
        <f>Vuosikate!F37+'7. Nettoinvestoinnit '!F37+'8. Satunnaiset erät'!F37+'9. Tulorahkorjauserät'!F37</f>
        <v>-394</v>
      </c>
      <c r="G37" s="41">
        <f>Vuosikate!G37+'7. Nettoinvestoinnit '!G37+'8. Satunnaiset erät'!G37+'9. Tulorahkorjauserät'!G37</f>
        <v>3029</v>
      </c>
      <c r="H37" s="41">
        <f>Vuosikate!H37+'7. Nettoinvestoinnit '!H37+'8. Satunnaiset erät'!H37+'9. Tulorahkorjauserät'!H37</f>
        <v>1664.2048168497131</v>
      </c>
      <c r="I37" s="41">
        <f>Vuosikate!I37+'7. Nettoinvestoinnit '!I37+'8. Satunnaiset erät'!I37+'9. Tulorahkorjauserät'!I37</f>
        <v>-1801.7570299640404</v>
      </c>
      <c r="J37" s="41">
        <f>Vuosikate!J37+'7. Nettoinvestoinnit '!J37+'8. Satunnaiset erät'!J37+'9. Tulorahkorjauserät'!J37</f>
        <v>318.41494764373658</v>
      </c>
      <c r="K37" s="41">
        <f>Vuosikate!K37+'7. Nettoinvestoinnit '!K37+'8. Satunnaiset erät'!K37+'9. Tulorahkorjauserät'!K37</f>
        <v>-867.47557478651652</v>
      </c>
      <c r="L37" s="41">
        <f>Vuosikate!L37+'7. Nettoinvestoinnit '!L37+'8. Satunnaiset erät'!L37+'9. Tulorahkorjauserät'!L37</f>
        <v>-658.38459891371076</v>
      </c>
      <c r="M37" s="41">
        <f>Vuosikate!M37+'7. Nettoinvestoinnit '!M37+'8. Satunnaiset erät'!M37+'9. Tulorahkorjauserät'!M37</f>
        <v>-1651.5055399250023</v>
      </c>
      <c r="N37" s="41">
        <f>Vuosikate!N37+'7. Nettoinvestoinnit '!N37+'8. Satunnaiset erät'!N37+'9. Tulorahkorjauserät'!N37</f>
        <v>-2169.5017622411356</v>
      </c>
      <c r="O37" s="41">
        <f>Vuosikate!O37+'7. Nettoinvestoinnit '!O37+'8. Satunnaiset erät'!O37+'9. Tulorahkorjauserät'!O37</f>
        <v>-2269.9075206150001</v>
      </c>
      <c r="P37" s="41">
        <f>Vuosikate!P37+'7. Nettoinvestoinnit '!P37+'8. Satunnaiset erät'!P37+'9. Tulorahkorjauserät'!P37</f>
        <v>-2025.5180466960726</v>
      </c>
      <c r="T37" s="34">
        <v>81</v>
      </c>
      <c r="U37" s="88" t="s">
        <v>350</v>
      </c>
      <c r="V37" s="41" t="e">
        <f>C37/'1. Väestöennuste'!E37*1000</f>
        <v>#REF!</v>
      </c>
      <c r="W37" s="41">
        <f>D37/'1. Väestöennuste'!F37*1000</f>
        <v>-454.51436388508893</v>
      </c>
      <c r="X37" s="41">
        <f>E37/'1. Väestöennuste'!G37*1000</f>
        <v>225.53782095766829</v>
      </c>
      <c r="Y37" s="41">
        <f>F37/'1. Väestöennuste'!H37*1000</f>
        <v>-141.72661870503597</v>
      </c>
      <c r="Z37" s="41">
        <f>G37/'1. Väestöennuste'!I37*1000</f>
        <v>1123.0997404523544</v>
      </c>
      <c r="AA37" s="41">
        <f>H37/'1. Väestöennuste'!J37*1000</f>
        <v>626.81914005638919</v>
      </c>
      <c r="AB37" s="41">
        <f>I37/'1. Väestöennuste'!K37*1000</f>
        <v>-687.43114458757736</v>
      </c>
      <c r="AC37" s="41">
        <f>J37/'1. Väestöennuste'!L37*1000</f>
        <v>123.70433086392254</v>
      </c>
      <c r="AD37" s="41">
        <f>K37/'1. Väestöennuste'!M37*1000</f>
        <v>-342.74025080462923</v>
      </c>
      <c r="AE37" s="41">
        <f>L37/'1. Väestöennuste'!N37*1000</f>
        <v>-271.610808132719</v>
      </c>
      <c r="AF37" s="41">
        <f>M37/'1. Väestöennuste'!O37*1000</f>
        <v>-694.49349870689753</v>
      </c>
      <c r="AG37" s="41">
        <f>N37/'1. Väestöennuste'!P37*1000</f>
        <v>-928.3276689093434</v>
      </c>
      <c r="AH37" s="41">
        <f>O37/'1. Väestöennuste'!Q37*1000</f>
        <v>-987.3455940039147</v>
      </c>
      <c r="AI37" s="41">
        <f>P37/'1. Väestöennuste'!R37*1000</f>
        <v>-894.26845328744935</v>
      </c>
    </row>
    <row r="38" spans="1:35" x14ac:dyDescent="0.2">
      <c r="A38" s="34">
        <v>82</v>
      </c>
      <c r="B38" s="88" t="s">
        <v>351</v>
      </c>
      <c r="C38" s="41" t="e">
        <f>Vuosikate!C38+'7. Nettoinvestoinnit '!C38+'8. Satunnaiset erät'!C38+'9. Tulorahkorjauserät'!C38</f>
        <v>#REF!</v>
      </c>
      <c r="D38" s="41">
        <f>Vuosikate!D38+'7. Nettoinvestoinnit '!D38+'8. Satunnaiset erät'!D38+'9. Tulorahkorjauserät'!D38</f>
        <v>-8545</v>
      </c>
      <c r="E38" s="41">
        <f>Vuosikate!E38+'7. Nettoinvestoinnit '!E38+'8. Satunnaiset erät'!E38+'9. Tulorahkorjauserät'!E38</f>
        <v>1159</v>
      </c>
      <c r="F38" s="41">
        <f>Vuosikate!F38+'7. Nettoinvestoinnit '!F38+'8. Satunnaiset erät'!F38+'9. Tulorahkorjauserät'!F38</f>
        <v>1198</v>
      </c>
      <c r="G38" s="41">
        <f>Vuosikate!G38+'7. Nettoinvestoinnit '!G38+'8. Satunnaiset erät'!G38+'9. Tulorahkorjauserät'!G38</f>
        <v>-945</v>
      </c>
      <c r="H38" s="41">
        <f>Vuosikate!H38+'7. Nettoinvestoinnit '!H38+'8. Satunnaiset erät'!H38+'9. Tulorahkorjauserät'!H38</f>
        <v>2385.4443970609937</v>
      </c>
      <c r="I38" s="41">
        <f>Vuosikate!I38+'7. Nettoinvestoinnit '!I38+'8. Satunnaiset erät'!I38+'9. Tulorahkorjauserät'!I38</f>
        <v>95.074923584826749</v>
      </c>
      <c r="J38" s="41">
        <f>Vuosikate!J38+'7. Nettoinvestoinnit '!J38+'8. Satunnaiset erät'!J38+'9. Tulorahkorjauserät'!J38</f>
        <v>-670.79349301727552</v>
      </c>
      <c r="K38" s="41">
        <f>Vuosikate!K38+'7. Nettoinvestoinnit '!K38+'8. Satunnaiset erät'!K38+'9. Tulorahkorjauserät'!K38</f>
        <v>4838.1965670954087</v>
      </c>
      <c r="L38" s="41">
        <f>Vuosikate!L38+'7. Nettoinvestoinnit '!L38+'8. Satunnaiset erät'!L38+'9. Tulorahkorjauserät'!L38</f>
        <v>-323.0561644889367</v>
      </c>
      <c r="M38" s="41">
        <f>Vuosikate!M38+'7. Nettoinvestoinnit '!M38+'8. Satunnaiset erät'!M38+'9. Tulorahkorjauserät'!M38</f>
        <v>-3081.8842606759972</v>
      </c>
      <c r="N38" s="41">
        <f>Vuosikate!N38+'7. Nettoinvestoinnit '!N38+'8. Satunnaiset erät'!N38+'9. Tulorahkorjauserät'!N38</f>
        <v>-2465.0755165536816</v>
      </c>
      <c r="O38" s="41">
        <f>Vuosikate!O38+'7. Nettoinvestoinnit '!O38+'8. Satunnaiset erät'!O38+'9. Tulorahkorjauserät'!O38</f>
        <v>-2454.2514592380089</v>
      </c>
      <c r="P38" s="41">
        <f>Vuosikate!P38+'7. Nettoinvestoinnit '!P38+'8. Satunnaiset erät'!P38+'9. Tulorahkorjauserät'!P38</f>
        <v>-1638.9921586184569</v>
      </c>
      <c r="T38" s="34">
        <v>82</v>
      </c>
      <c r="U38" s="88" t="s">
        <v>351</v>
      </c>
      <c r="V38" s="41" t="e">
        <f>C38/'1. Väestöennuste'!E38*1000</f>
        <v>#REF!</v>
      </c>
      <c r="W38" s="41">
        <f>D38/'1. Väestöennuste'!F38*1000</f>
        <v>-882.5655856228052</v>
      </c>
      <c r="X38" s="41">
        <f>E38/'1. Väestöennuste'!G38*1000</f>
        <v>120.60353798126951</v>
      </c>
      <c r="Y38" s="41">
        <f>F38/'1. Väestöennuste'!H38*1000</f>
        <v>126.43799472295514</v>
      </c>
      <c r="Z38" s="41">
        <f>G38/'1. Väestöennuste'!I38*1000</f>
        <v>-100.29717682020802</v>
      </c>
      <c r="AA38" s="41">
        <f>H38/'1. Väestöennuste'!J38*1000</f>
        <v>254.06799414857744</v>
      </c>
      <c r="AB38" s="41">
        <f>I38/'1. Väestöennuste'!K38*1000</f>
        <v>10.108976457716826</v>
      </c>
      <c r="AC38" s="41">
        <f>J38/'1. Väestöennuste'!L38*1000</f>
        <v>-71.673628915191316</v>
      </c>
      <c r="AD38" s="41">
        <f>K38/'1. Väestöennuste'!M38*1000</f>
        <v>516.29458618028048</v>
      </c>
      <c r="AE38" s="41">
        <f>L38/'1. Väestöennuste'!N38*1000</f>
        <v>-35.20280750669464</v>
      </c>
      <c r="AF38" s="41">
        <f>M38/'1. Väestöennuste'!O38*1000</f>
        <v>-337.85181546546778</v>
      </c>
      <c r="AG38" s="41">
        <f>N38/'1. Väestöennuste'!P38*1000</f>
        <v>-271.90332192297393</v>
      </c>
      <c r="AH38" s="41">
        <f>O38/'1. Väestöennuste'!Q38*1000</f>
        <v>-272.42218439760342</v>
      </c>
      <c r="AI38" s="41">
        <f>P38/'1. Väestöennuste'!R38*1000</f>
        <v>-183.08670225854075</v>
      </c>
    </row>
    <row r="39" spans="1:35" x14ac:dyDescent="0.2">
      <c r="A39" s="34">
        <v>86</v>
      </c>
      <c r="B39" s="88" t="s">
        <v>352</v>
      </c>
      <c r="C39" s="41" t="e">
        <f>Vuosikate!C39+'7. Nettoinvestoinnit '!C39+'8. Satunnaiset erät'!C39+'9. Tulorahkorjauserät'!C39</f>
        <v>#REF!</v>
      </c>
      <c r="D39" s="41">
        <f>Vuosikate!D39+'7. Nettoinvestoinnit '!D39+'8. Satunnaiset erät'!D39+'9. Tulorahkorjauserät'!D39</f>
        <v>2220</v>
      </c>
      <c r="E39" s="41">
        <f>Vuosikate!E39+'7. Nettoinvestoinnit '!E39+'8. Satunnaiset erät'!E39+'9. Tulorahkorjauserät'!E39</f>
        <v>-1166</v>
      </c>
      <c r="F39" s="41">
        <f>Vuosikate!F39+'7. Nettoinvestoinnit '!F39+'8. Satunnaiset erät'!F39+'9. Tulorahkorjauserät'!F39</f>
        <v>3</v>
      </c>
      <c r="G39" s="41">
        <f>Vuosikate!G39+'7. Nettoinvestoinnit '!G39+'8. Satunnaiset erät'!G39+'9. Tulorahkorjauserät'!G39</f>
        <v>173</v>
      </c>
      <c r="H39" s="41">
        <f>Vuosikate!H39+'7. Nettoinvestoinnit '!H39+'8. Satunnaiset erät'!H39+'9. Tulorahkorjauserät'!H39</f>
        <v>-1403.8302787338907</v>
      </c>
      <c r="I39" s="41">
        <f>Vuosikate!I39+'7. Nettoinvestoinnit '!I39+'8. Satunnaiset erät'!I39+'9. Tulorahkorjauserät'!I39</f>
        <v>1397.6165429415978</v>
      </c>
      <c r="J39" s="41">
        <f>Vuosikate!J39+'7. Nettoinvestoinnit '!J39+'8. Satunnaiset erät'!J39+'9. Tulorahkorjauserät'!J39</f>
        <v>406.70484486343435</v>
      </c>
      <c r="K39" s="41">
        <f>Vuosikate!K39+'7. Nettoinvestoinnit '!K39+'8. Satunnaiset erät'!K39+'9. Tulorahkorjauserät'!K39</f>
        <v>71.258689846904815</v>
      </c>
      <c r="L39" s="41">
        <f>Vuosikate!L39+'7. Nettoinvestoinnit '!L39+'8. Satunnaiset erät'!L39+'9. Tulorahkorjauserät'!L39</f>
        <v>-1422.7810645679256</v>
      </c>
      <c r="M39" s="41">
        <f>Vuosikate!M39+'7. Nettoinvestoinnit '!M39+'8. Satunnaiset erät'!M39+'9. Tulorahkorjauserät'!M39</f>
        <v>-3548.6288770513574</v>
      </c>
      <c r="N39" s="41">
        <f>Vuosikate!N39+'7. Nettoinvestoinnit '!N39+'8. Satunnaiset erät'!N39+'9. Tulorahkorjauserät'!N39</f>
        <v>-3351.6316727874628</v>
      </c>
      <c r="O39" s="41">
        <f>Vuosikate!O39+'7. Nettoinvestoinnit '!O39+'8. Satunnaiset erät'!O39+'9. Tulorahkorjauserät'!O39</f>
        <v>-3191.8583920296619</v>
      </c>
      <c r="P39" s="41">
        <f>Vuosikate!P39+'7. Nettoinvestoinnit '!P39+'8. Satunnaiset erät'!P39+'9. Tulorahkorjauserät'!P39</f>
        <v>-2401.8357540322895</v>
      </c>
      <c r="T39" s="34">
        <v>86</v>
      </c>
      <c r="U39" s="88" t="s">
        <v>352</v>
      </c>
      <c r="V39" s="41" t="e">
        <f>C39/'1. Väestöennuste'!E39*1000</f>
        <v>#REF!</v>
      </c>
      <c r="W39" s="41">
        <f>D39/'1. Väestöennuste'!F39*1000</f>
        <v>256.91470894572387</v>
      </c>
      <c r="X39" s="41">
        <f>E39/'1. Väestöennuste'!G39*1000</f>
        <v>-137.11194731890873</v>
      </c>
      <c r="Y39" s="41">
        <f>F39/'1. Väestöennuste'!H39*1000</f>
        <v>0.35642152786028275</v>
      </c>
      <c r="Z39" s="41">
        <f>G39/'1. Väestöennuste'!I39*1000</f>
        <v>20.944309927360777</v>
      </c>
      <c r="AA39" s="41">
        <f>H39/'1. Väestöennuste'!J39*1000</f>
        <v>-171.7223582549102</v>
      </c>
      <c r="AB39" s="41">
        <f>I39/'1. Väestöennuste'!K39*1000</f>
        <v>171.63410818391228</v>
      </c>
      <c r="AC39" s="41">
        <f>J39/'1. Väestöennuste'!L39*1000</f>
        <v>50.64186836800328</v>
      </c>
      <c r="AD39" s="41">
        <f>K39/'1. Väestöennuste'!M39*1000</f>
        <v>8.9095636217685428</v>
      </c>
      <c r="AE39" s="41">
        <f>L39/'1. Väestöennuste'!N39*1000</f>
        <v>-182.19760078984831</v>
      </c>
      <c r="AF39" s="41">
        <f>M39/'1. Väestöennuste'!O39*1000</f>
        <v>-459.01291903393576</v>
      </c>
      <c r="AG39" s="41">
        <f>N39/'1. Väestöennuste'!P39*1000</f>
        <v>-437.60695558003169</v>
      </c>
      <c r="AH39" s="41">
        <f>O39/'1. Väestöennuste'!Q39*1000</f>
        <v>-420.42391886586694</v>
      </c>
      <c r="AI39" s="41">
        <f>P39/'1. Väestöennuste'!R39*1000</f>
        <v>-319.18083110063651</v>
      </c>
    </row>
    <row r="40" spans="1:35" x14ac:dyDescent="0.2">
      <c r="A40" s="34">
        <v>90</v>
      </c>
      <c r="B40" s="88" t="s">
        <v>353</v>
      </c>
      <c r="C40" s="41" t="e">
        <f>Vuosikate!C40+'7. Nettoinvestoinnit '!C40+'8. Satunnaiset erät'!C40+'9. Tulorahkorjauserät'!C40</f>
        <v>#REF!</v>
      </c>
      <c r="D40" s="41">
        <f>Vuosikate!D40+'7. Nettoinvestoinnit '!D40+'8. Satunnaiset erät'!D40+'9. Tulorahkorjauserät'!D40</f>
        <v>193</v>
      </c>
      <c r="E40" s="41">
        <f>Vuosikate!E40+'7. Nettoinvestoinnit '!E40+'8. Satunnaiset erät'!E40+'9. Tulorahkorjauserät'!E40</f>
        <v>1737</v>
      </c>
      <c r="F40" s="41">
        <f>Vuosikate!F40+'7. Nettoinvestoinnit '!F40+'8. Satunnaiset erät'!F40+'9. Tulorahkorjauserät'!F40</f>
        <v>-894</v>
      </c>
      <c r="G40" s="41">
        <f>Vuosikate!G40+'7. Nettoinvestoinnit '!G40+'8. Satunnaiset erät'!G40+'9. Tulorahkorjauserät'!G40</f>
        <v>1132</v>
      </c>
      <c r="H40" s="41">
        <f>Vuosikate!H40+'7. Nettoinvestoinnit '!H40+'8. Satunnaiset erät'!H40+'9. Tulorahkorjauserät'!H40</f>
        <v>1424.8558283061466</v>
      </c>
      <c r="I40" s="41">
        <f>Vuosikate!I40+'7. Nettoinvestoinnit '!I40+'8. Satunnaiset erät'!I40+'9. Tulorahkorjauserät'!I40</f>
        <v>2778.7396165085088</v>
      </c>
      <c r="J40" s="41">
        <f>Vuosikate!J40+'7. Nettoinvestoinnit '!J40+'8. Satunnaiset erät'!J40+'9. Tulorahkorjauserät'!J40</f>
        <v>1177.8022396198735</v>
      </c>
      <c r="K40" s="41">
        <f>Vuosikate!K40+'7. Nettoinvestoinnit '!K40+'8. Satunnaiset erät'!K40+'9. Tulorahkorjauserät'!K40</f>
        <v>1165.6978400632852</v>
      </c>
      <c r="L40" s="41">
        <f>Vuosikate!L40+'7. Nettoinvestoinnit '!L40+'8. Satunnaiset erät'!L40+'9. Tulorahkorjauserät'!L40</f>
        <v>-435.56562196773154</v>
      </c>
      <c r="M40" s="41">
        <f>Vuosikate!M40+'7. Nettoinvestoinnit '!M40+'8. Satunnaiset erät'!M40+'9. Tulorahkorjauserät'!M40</f>
        <v>-472.75024742657217</v>
      </c>
      <c r="N40" s="41">
        <f>Vuosikate!N40+'7. Nettoinvestoinnit '!N40+'8. Satunnaiset erät'!N40+'9. Tulorahkorjauserät'!N40</f>
        <v>-364.50487208423976</v>
      </c>
      <c r="O40" s="41">
        <f>Vuosikate!O40+'7. Nettoinvestoinnit '!O40+'8. Satunnaiset erät'!O40+'9. Tulorahkorjauserät'!O40</f>
        <v>-656.47799334281331</v>
      </c>
      <c r="P40" s="41">
        <f>Vuosikate!P40+'7. Nettoinvestoinnit '!P40+'8. Satunnaiset erät'!P40+'9. Tulorahkorjauserät'!P40</f>
        <v>-316.42348786066248</v>
      </c>
      <c r="T40" s="34">
        <v>90</v>
      </c>
      <c r="U40" s="88" t="s">
        <v>353</v>
      </c>
      <c r="V40" s="41" t="e">
        <f>C40/'1. Väestöennuste'!E40*1000</f>
        <v>#REF!</v>
      </c>
      <c r="W40" s="41">
        <f>D40/'1. Väestöennuste'!F40*1000</f>
        <v>54.923164484917471</v>
      </c>
      <c r="X40" s="41">
        <f>E40/'1. Väestöennuste'!G40*1000</f>
        <v>502.74963820549925</v>
      </c>
      <c r="Y40" s="41">
        <f>F40/'1. Väestöennuste'!H40*1000</f>
        <v>-268.54911384800238</v>
      </c>
      <c r="Z40" s="41">
        <f>G40/'1. Väestöennuste'!I40*1000</f>
        <v>347.87953288260604</v>
      </c>
      <c r="AA40" s="41">
        <f>H40/'1. Väestöennuste'!J40*1000</f>
        <v>445.82472725473923</v>
      </c>
      <c r="AB40" s="41">
        <f>I40/'1. Väestöennuste'!K40*1000</f>
        <v>886.07768383562143</v>
      </c>
      <c r="AC40" s="41">
        <f>J40/'1. Väestöennuste'!L40*1000</f>
        <v>384.77694858538825</v>
      </c>
      <c r="AD40" s="41">
        <f>K40/'1. Väestöennuste'!M40*1000</f>
        <v>388.43646786514</v>
      </c>
      <c r="AE40" s="41">
        <f>L40/'1. Väestöennuste'!N40*1000</f>
        <v>-147.44943194574529</v>
      </c>
      <c r="AF40" s="41">
        <f>M40/'1. Väestöennuste'!O40*1000</f>
        <v>-162.84886235844718</v>
      </c>
      <c r="AG40" s="41">
        <f>N40/'1. Väestöennuste'!P40*1000</f>
        <v>-127.67245957416453</v>
      </c>
      <c r="AH40" s="41">
        <f>O40/'1. Väestöennuste'!Q40*1000</f>
        <v>-233.95509384989782</v>
      </c>
      <c r="AI40" s="41">
        <f>P40/'1. Väestöennuste'!R40*1000</f>
        <v>-114.72932844839104</v>
      </c>
    </row>
    <row r="41" spans="1:35" x14ac:dyDescent="0.2">
      <c r="A41" s="34">
        <v>91</v>
      </c>
      <c r="B41" s="88" t="s">
        <v>354</v>
      </c>
      <c r="C41" s="41" t="e">
        <f>Vuosikate!C41+'7. Nettoinvestoinnit '!C41+'8. Satunnaiset erät'!C41+'9. Tulorahkorjauserät'!C41</f>
        <v>#REF!</v>
      </c>
      <c r="D41" s="41">
        <f>Vuosikate!D41+'7. Nettoinvestoinnit '!D41+'8. Satunnaiset erät'!D41+'9. Tulorahkorjauserät'!D41</f>
        <v>158808</v>
      </c>
      <c r="E41" s="41">
        <f>Vuosikate!E41+'7. Nettoinvestoinnit '!E41+'8. Satunnaiset erät'!E41+'9. Tulorahkorjauserät'!E41</f>
        <v>245051</v>
      </c>
      <c r="F41" s="41">
        <f>Vuosikate!F41+'7. Nettoinvestoinnit '!F41+'8. Satunnaiset erät'!F41+'9. Tulorahkorjauserät'!F41</f>
        <v>150717</v>
      </c>
      <c r="G41" s="41">
        <f>Vuosikate!G41+'7. Nettoinvestoinnit '!G41+'8. Satunnaiset erät'!G41+'9. Tulorahkorjauserät'!G41</f>
        <v>-32942</v>
      </c>
      <c r="H41" s="41">
        <f>Vuosikate!H41+'7. Nettoinvestoinnit '!H41+'8. Satunnaiset erät'!H41+'9. Tulorahkorjauserät'!H41</f>
        <v>-17715.241622811533</v>
      </c>
      <c r="I41" s="41">
        <f>Vuosikate!I41+'7. Nettoinvestoinnit '!I41+'8. Satunnaiset erät'!I41+'9. Tulorahkorjauserät'!I41</f>
        <v>-39195.698376644206</v>
      </c>
      <c r="J41" s="41">
        <f>Vuosikate!J41+'7. Nettoinvestoinnit '!J41+'8. Satunnaiset erät'!J41+'9. Tulorahkorjauserät'!J41</f>
        <v>476262.97204386647</v>
      </c>
      <c r="K41" s="41">
        <f>Vuosikate!K41+'7. Nettoinvestoinnit '!K41+'8. Satunnaiset erät'!K41+'9. Tulorahkorjauserät'!K41</f>
        <v>19877.892741754855</v>
      </c>
      <c r="L41" s="41">
        <f>Vuosikate!L41+'7. Nettoinvestoinnit '!L41+'8. Satunnaiset erät'!L41+'9. Tulorahkorjauserät'!L41</f>
        <v>-69297.894308635849</v>
      </c>
      <c r="M41" s="41">
        <f>Vuosikate!M41+'7. Nettoinvestoinnit '!M41+'8. Satunnaiset erät'!M41+'9. Tulorahkorjauserät'!M41</f>
        <v>-179696.77408091724</v>
      </c>
      <c r="N41" s="41">
        <f>Vuosikate!N41+'7. Nettoinvestoinnit '!N41+'8. Satunnaiset erät'!N41+'9. Tulorahkorjauserät'!N41</f>
        <v>-188920.65783352545</v>
      </c>
      <c r="O41" s="41">
        <f>Vuosikate!O41+'7. Nettoinvestoinnit '!O41+'8. Satunnaiset erät'!O41+'9. Tulorahkorjauserät'!O41</f>
        <v>-193998.74939991278</v>
      </c>
      <c r="P41" s="41">
        <f>Vuosikate!P41+'7. Nettoinvestoinnit '!P41+'8. Satunnaiset erät'!P41+'9. Tulorahkorjauserät'!P41</f>
        <v>-196222.81577868282</v>
      </c>
      <c r="T41" s="34">
        <v>91</v>
      </c>
      <c r="U41" s="88" t="s">
        <v>354</v>
      </c>
      <c r="V41" s="41" t="e">
        <f>C41/'1. Väestöennuste'!E41*1000</f>
        <v>#REF!</v>
      </c>
      <c r="W41" s="41">
        <f>D41/'1. Väestöennuste'!F41*1000</f>
        <v>250.0200730185569</v>
      </c>
      <c r="X41" s="41">
        <f>E41/'1. Väestöennuste'!G41*1000</f>
        <v>380.94460819062544</v>
      </c>
      <c r="Y41" s="41">
        <f>F41/'1. Väestöennuste'!H41*1000</f>
        <v>232.57288879424482</v>
      </c>
      <c r="Z41" s="41">
        <f>G41/'1. Väestöennuste'!I41*1000</f>
        <v>-50.382741823242867</v>
      </c>
      <c r="AA41" s="41">
        <f>H41/'1. Väestöennuste'!J41*1000</f>
        <v>-26.967121754264646</v>
      </c>
      <c r="AB41" s="41">
        <f>I41/'1. Väestöennuste'!K41*1000</f>
        <v>-59.526587729562003</v>
      </c>
      <c r="AC41" s="41">
        <f>J41/'1. Väestöennuste'!L41*1000</f>
        <v>717.23326733792328</v>
      </c>
      <c r="AD41" s="41">
        <f>K41/'1. Väestöennuste'!M41*1000</f>
        <v>29.470560032253307</v>
      </c>
      <c r="AE41" s="41">
        <f>L41/'1. Väestöennuste'!N41*1000</f>
        <v>-102.22089279849754</v>
      </c>
      <c r="AF41" s="41">
        <f>M41/'1. Väestöennuste'!O41*1000</f>
        <v>-263.26921787115435</v>
      </c>
      <c r="AG41" s="41">
        <f>N41/'1. Väestöennuste'!P41*1000</f>
        <v>-274.97246621952809</v>
      </c>
      <c r="AH41" s="41">
        <f>O41/'1. Väestöennuste'!Q41*1000</f>
        <v>-280.58748658510211</v>
      </c>
      <c r="AI41" s="41">
        <f>P41/'1. Väestöennuste'!R41*1000</f>
        <v>-282.09186007841129</v>
      </c>
    </row>
    <row r="42" spans="1:35" x14ac:dyDescent="0.2">
      <c r="A42" s="34">
        <v>92</v>
      </c>
      <c r="B42" s="88" t="s">
        <v>355</v>
      </c>
      <c r="C42" s="41" t="e">
        <f>Vuosikate!C42+'7. Nettoinvestoinnit '!C42+'8. Satunnaiset erät'!C42+'9. Tulorahkorjauserät'!C42</f>
        <v>#REF!</v>
      </c>
      <c r="D42" s="41">
        <f>Vuosikate!D42+'7. Nettoinvestoinnit '!D42+'8. Satunnaiset erät'!D42+'9. Tulorahkorjauserät'!D42</f>
        <v>55169</v>
      </c>
      <c r="E42" s="41">
        <f>Vuosikate!E42+'7. Nettoinvestoinnit '!E42+'8. Satunnaiset erät'!E42+'9. Tulorahkorjauserät'!E42</f>
        <v>63415</v>
      </c>
      <c r="F42" s="41">
        <f>Vuosikate!F42+'7. Nettoinvestoinnit '!F42+'8. Satunnaiset erät'!F42+'9. Tulorahkorjauserät'!F42</f>
        <v>7586</v>
      </c>
      <c r="G42" s="41">
        <f>Vuosikate!G42+'7. Nettoinvestoinnit '!G42+'8. Satunnaiset erät'!G42+'9. Tulorahkorjauserät'!G42</f>
        <v>-94181</v>
      </c>
      <c r="H42" s="41">
        <f>Vuosikate!H42+'7. Nettoinvestoinnit '!H42+'8. Satunnaiset erät'!H42+'9. Tulorahkorjauserät'!H42</f>
        <v>28940.901563724561</v>
      </c>
      <c r="I42" s="41">
        <f>Vuosikate!I42+'7. Nettoinvestoinnit '!I42+'8. Satunnaiset erät'!I42+'9. Tulorahkorjauserät'!I42</f>
        <v>72998.767869972478</v>
      </c>
      <c r="J42" s="41">
        <f>Vuosikate!J42+'7. Nettoinvestoinnit '!J42+'8. Satunnaiset erät'!J42+'9. Tulorahkorjauserät'!J42</f>
        <v>5084.1702605977262</v>
      </c>
      <c r="K42" s="41">
        <f>Vuosikate!K42+'7. Nettoinvestoinnit '!K42+'8. Satunnaiset erät'!K42+'9. Tulorahkorjauserät'!K42</f>
        <v>932.20621532838231</v>
      </c>
      <c r="L42" s="41">
        <f>Vuosikate!L42+'7. Nettoinvestoinnit '!L42+'8. Satunnaiset erät'!L42+'9. Tulorahkorjauserät'!L42</f>
        <v>-47968.707252968277</v>
      </c>
      <c r="M42" s="41">
        <f>Vuosikate!M42+'7. Nettoinvestoinnit '!M42+'8. Satunnaiset erät'!M42+'9. Tulorahkorjauserät'!M42</f>
        <v>-93896.644512300234</v>
      </c>
      <c r="N42" s="41">
        <f>Vuosikate!N42+'7. Nettoinvestoinnit '!N42+'8. Satunnaiset erät'!N42+'9. Tulorahkorjauserät'!N42</f>
        <v>-93970.419929336815</v>
      </c>
      <c r="O42" s="41">
        <f>Vuosikate!O42+'7. Nettoinvestoinnit '!O42+'8. Satunnaiset erät'!O42+'9. Tulorahkorjauserät'!O42</f>
        <v>-102284.60987154099</v>
      </c>
      <c r="P42" s="41">
        <f>Vuosikate!P42+'7. Nettoinvestoinnit '!P42+'8. Satunnaiset erät'!P42+'9. Tulorahkorjauserät'!P42</f>
        <v>-98616.22007347949</v>
      </c>
      <c r="T42" s="34">
        <v>92</v>
      </c>
      <c r="U42" s="88" t="s">
        <v>355</v>
      </c>
      <c r="V42" s="41" t="e">
        <f>C42/'1. Väestöennuste'!E42*1000</f>
        <v>#REF!</v>
      </c>
      <c r="W42" s="41">
        <f>D42/'1. Väestöennuste'!F42*1000</f>
        <v>251.52160334821122</v>
      </c>
      <c r="X42" s="41">
        <f>E42/'1. Väestöennuste'!G42*1000</f>
        <v>284.33777076318114</v>
      </c>
      <c r="Y42" s="41">
        <f>F42/'1. Väestöennuste'!H42*1000</f>
        <v>33.247723148935428</v>
      </c>
      <c r="Z42" s="41">
        <f>G42/'1. Väestöennuste'!I42*1000</f>
        <v>-402.87028125334189</v>
      </c>
      <c r="AA42" s="41">
        <f>H42/'1. Väestöennuste'!J42*1000</f>
        <v>121.99460257607379</v>
      </c>
      <c r="AB42" s="41">
        <f>I42/'1. Väestöennuste'!K42*1000</f>
        <v>305.17114064853092</v>
      </c>
      <c r="AC42" s="41">
        <f>J42/'1. Väestöennuste'!L42*1000</f>
        <v>20.938107234597481</v>
      </c>
      <c r="AD42" s="41">
        <f>K42/'1. Väestöennuste'!M42*1000</f>
        <v>3.7673573927263342</v>
      </c>
      <c r="AE42" s="41">
        <f>L42/'1. Väestöennuste'!N42*1000</f>
        <v>-190.53952799965154</v>
      </c>
      <c r="AF42" s="41">
        <f>M42/'1. Väestöennuste'!O42*1000</f>
        <v>-368.32468849091407</v>
      </c>
      <c r="AG42" s="41">
        <f>N42/'1. Väestöennuste'!P42*1000</f>
        <v>-364.27726322020442</v>
      </c>
      <c r="AH42" s="41">
        <f>O42/'1. Väestöennuste'!Q42*1000</f>
        <v>-392.10688483640968</v>
      </c>
      <c r="AI42" s="41">
        <f>P42/'1. Väestöennuste'!R42*1000</f>
        <v>-374.0790674349812</v>
      </c>
    </row>
    <row r="43" spans="1:35" x14ac:dyDescent="0.2">
      <c r="A43" s="34">
        <v>97</v>
      </c>
      <c r="B43" s="88" t="s">
        <v>356</v>
      </c>
      <c r="C43" s="41" t="e">
        <f>Vuosikate!C43+'7. Nettoinvestoinnit '!C43+'8. Satunnaiset erät'!C43+'9. Tulorahkorjauserät'!C43</f>
        <v>#REF!</v>
      </c>
      <c r="D43" s="41">
        <f>Vuosikate!D43+'7. Nettoinvestoinnit '!D43+'8. Satunnaiset erät'!D43+'9. Tulorahkorjauserät'!D43</f>
        <v>202</v>
      </c>
      <c r="E43" s="41">
        <f>Vuosikate!E43+'7. Nettoinvestoinnit '!E43+'8. Satunnaiset erät'!E43+'9. Tulorahkorjauserät'!E43</f>
        <v>1041</v>
      </c>
      <c r="F43" s="41">
        <f>Vuosikate!F43+'7. Nettoinvestoinnit '!F43+'8. Satunnaiset erät'!F43+'9. Tulorahkorjauserät'!F43</f>
        <v>1369</v>
      </c>
      <c r="G43" s="41">
        <f>Vuosikate!G43+'7. Nettoinvestoinnit '!G43+'8. Satunnaiset erät'!G43+'9. Tulorahkorjauserät'!G43</f>
        <v>1568</v>
      </c>
      <c r="H43" s="41">
        <f>Vuosikate!H43+'7. Nettoinvestoinnit '!H43+'8. Satunnaiset erät'!H43+'9. Tulorahkorjauserät'!H43</f>
        <v>-50.390625677898242</v>
      </c>
      <c r="I43" s="41">
        <f>Vuosikate!I43+'7. Nettoinvestoinnit '!I43+'8. Satunnaiset erät'!I43+'9. Tulorahkorjauserät'!I43</f>
        <v>834.04757929263849</v>
      </c>
      <c r="J43" s="41">
        <f>Vuosikate!J43+'7. Nettoinvestoinnit '!J43+'8. Satunnaiset erät'!J43+'9. Tulorahkorjauserät'!J43</f>
        <v>1324.9596015552756</v>
      </c>
      <c r="K43" s="41">
        <f>Vuosikate!K43+'7. Nettoinvestoinnit '!K43+'8. Satunnaiset erät'!K43+'9. Tulorahkorjauserät'!K43</f>
        <v>350.26254545422171</v>
      </c>
      <c r="L43" s="41">
        <f>Vuosikate!L43+'7. Nettoinvestoinnit '!L43+'8. Satunnaiset erät'!L43+'9. Tulorahkorjauserät'!L43</f>
        <v>-276.00796307632248</v>
      </c>
      <c r="M43" s="41">
        <f>Vuosikate!M43+'7. Nettoinvestoinnit '!M43+'8. Satunnaiset erät'!M43+'9. Tulorahkorjauserät'!M43</f>
        <v>-191.78333247536432</v>
      </c>
      <c r="N43" s="41">
        <f>Vuosikate!N43+'7. Nettoinvestoinnit '!N43+'8. Satunnaiset erät'!N43+'9. Tulorahkorjauserät'!N43</f>
        <v>-34.125586327446399</v>
      </c>
      <c r="O43" s="41">
        <f>Vuosikate!O43+'7. Nettoinvestoinnit '!O43+'8. Satunnaiset erät'!O43+'9. Tulorahkorjauserät'!O43</f>
        <v>-155.28303544986653</v>
      </c>
      <c r="P43" s="41">
        <f>Vuosikate!P43+'7. Nettoinvestoinnit '!P43+'8. Satunnaiset erät'!P43+'9. Tulorahkorjauserät'!P43</f>
        <v>11.807179943511642</v>
      </c>
      <c r="T43" s="34">
        <v>97</v>
      </c>
      <c r="U43" s="88" t="s">
        <v>356</v>
      </c>
      <c r="V43" s="41" t="e">
        <f>C43/'1. Väestöennuste'!E43*1000</f>
        <v>#REF!</v>
      </c>
      <c r="W43" s="41">
        <f>D43/'1. Väestöennuste'!F43*1000</f>
        <v>88.830255057167989</v>
      </c>
      <c r="X43" s="41">
        <f>E43/'1. Väestöennuste'!G43*1000</f>
        <v>465.56350626118069</v>
      </c>
      <c r="Y43" s="41">
        <f>F43/'1. Väestöennuste'!H43*1000</f>
        <v>636.15241635687732</v>
      </c>
      <c r="Z43" s="41">
        <f>G43/'1. Väestöennuste'!I43*1000</f>
        <v>734.08239700374531</v>
      </c>
      <c r="AA43" s="41">
        <f>H43/'1. Väestöennuste'!J43*1000</f>
        <v>-23.372275360806235</v>
      </c>
      <c r="AB43" s="41">
        <f>I43/'1. Väestöennuste'!K43*1000</f>
        <v>391.38788329077357</v>
      </c>
      <c r="AC43" s="41">
        <f>J43/'1. Väestöennuste'!L43*1000</f>
        <v>633.64878123160008</v>
      </c>
      <c r="AD43" s="41">
        <f>K43/'1. Väestöennuste'!M43*1000</f>
        <v>169.86544396422005</v>
      </c>
      <c r="AE43" s="41">
        <f>L43/'1. Väestöennuste'!N43*1000</f>
        <v>-131.49498002683302</v>
      </c>
      <c r="AF43" s="41">
        <f>M43/'1. Väestöennuste'!O43*1000</f>
        <v>-91.938318540443106</v>
      </c>
      <c r="AG43" s="41">
        <f>N43/'1. Väestöennuste'!P43*1000</f>
        <v>-16.453995336280812</v>
      </c>
      <c r="AH43" s="41">
        <f>O43/'1. Väestöennuste'!Q43*1000</f>
        <v>-75.234028803229904</v>
      </c>
      <c r="AI43" s="41">
        <f>P43/'1. Väestöennuste'!R43*1000</f>
        <v>5.7539863272473886</v>
      </c>
    </row>
    <row r="44" spans="1:35" x14ac:dyDescent="0.2">
      <c r="A44" s="34">
        <v>98</v>
      </c>
      <c r="B44" s="88" t="s">
        <v>357</v>
      </c>
      <c r="C44" s="41" t="e">
        <f>Vuosikate!C44+'7. Nettoinvestoinnit '!C44+'8. Satunnaiset erät'!C44+'9. Tulorahkorjauserät'!C44</f>
        <v>#REF!</v>
      </c>
      <c r="D44" s="41">
        <f>Vuosikate!D44+'7. Nettoinvestoinnit '!D44+'8. Satunnaiset erät'!D44+'9. Tulorahkorjauserät'!D44</f>
        <v>2889</v>
      </c>
      <c r="E44" s="41">
        <f>Vuosikate!E44+'7. Nettoinvestoinnit '!E44+'8. Satunnaiset erät'!E44+'9. Tulorahkorjauserät'!E44</f>
        <v>6617</v>
      </c>
      <c r="F44" s="41">
        <f>Vuosikate!F44+'7. Nettoinvestoinnit '!F44+'8. Satunnaiset erät'!F44+'9. Tulorahkorjauserät'!F44</f>
        <v>3505</v>
      </c>
      <c r="G44" s="41">
        <f>Vuosikate!G44+'7. Nettoinvestoinnit '!G44+'8. Satunnaiset erät'!G44+'9. Tulorahkorjauserät'!G44</f>
        <v>1907</v>
      </c>
      <c r="H44" s="41">
        <f>Vuosikate!H44+'7. Nettoinvestoinnit '!H44+'8. Satunnaiset erät'!H44+'9. Tulorahkorjauserät'!H44</f>
        <v>5106.6218347314571</v>
      </c>
      <c r="I44" s="41">
        <f>Vuosikate!I44+'7. Nettoinvestoinnit '!I44+'8. Satunnaiset erät'!I44+'9. Tulorahkorjauserät'!I44</f>
        <v>5855.4455467018033</v>
      </c>
      <c r="J44" s="41">
        <f>Vuosikate!J44+'7. Nettoinvestoinnit '!J44+'8. Satunnaiset erät'!J44+'9. Tulorahkorjauserät'!J44</f>
        <v>4399.0819400664641</v>
      </c>
      <c r="K44" s="41">
        <f>Vuosikate!K44+'7. Nettoinvestoinnit '!K44+'8. Satunnaiset erät'!K44+'9. Tulorahkorjauserät'!K44</f>
        <v>18150.27553598124</v>
      </c>
      <c r="L44" s="41">
        <f>Vuosikate!L44+'7. Nettoinvestoinnit '!L44+'8. Satunnaiset erät'!L44+'9. Tulorahkorjauserät'!L44</f>
        <v>-4595.1045569961298</v>
      </c>
      <c r="M44" s="41">
        <f>Vuosikate!M44+'7. Nettoinvestoinnit '!M44+'8. Satunnaiset erät'!M44+'9. Tulorahkorjauserät'!M44</f>
        <v>-5701.0343600384658</v>
      </c>
      <c r="N44" s="41">
        <f>Vuosikate!N44+'7. Nettoinvestoinnit '!N44+'8. Satunnaiset erät'!N44+'9. Tulorahkorjauserät'!N44</f>
        <v>-6433.9812993035193</v>
      </c>
      <c r="O44" s="41">
        <f>Vuosikate!O44+'7. Nettoinvestoinnit '!O44+'8. Satunnaiset erät'!O44+'9. Tulorahkorjauserät'!O44</f>
        <v>-7205.5359198847727</v>
      </c>
      <c r="P44" s="41">
        <f>Vuosikate!P44+'7. Nettoinvestoinnit '!P44+'8. Satunnaiset erät'!P44+'9. Tulorahkorjauserät'!P44</f>
        <v>-5490.6024279498488</v>
      </c>
      <c r="T44" s="34">
        <v>98</v>
      </c>
      <c r="U44" s="88" t="s">
        <v>357</v>
      </c>
      <c r="V44" s="41" t="e">
        <f>C44/'1. Väestöennuste'!E44*1000</f>
        <v>#REF!</v>
      </c>
      <c r="W44" s="41">
        <f>D44/'1. Väestöennuste'!F44*1000</f>
        <v>121.43247446513388</v>
      </c>
      <c r="X44" s="41">
        <f>E44/'1. Väestöennuste'!G44*1000</f>
        <v>278.23564040030271</v>
      </c>
      <c r="Y44" s="41">
        <f>F44/'1. Väestöennuste'!H44*1000</f>
        <v>148.50436403694604</v>
      </c>
      <c r="Z44" s="41">
        <f>G44/'1. Väestöennuste'!I44*1000</f>
        <v>81.46091413925673</v>
      </c>
      <c r="AA44" s="41">
        <f>H44/'1. Väestöennuste'!J44*1000</f>
        <v>219.63020234533815</v>
      </c>
      <c r="AB44" s="41">
        <f>I44/'1. Väestöennuste'!K44*1000</f>
        <v>253.59227140328295</v>
      </c>
      <c r="AC44" s="41">
        <f>J44/'1. Väestöennuste'!L44*1000</f>
        <v>191.73961295673905</v>
      </c>
      <c r="AD44" s="41">
        <f>K44/'1. Väestöennuste'!M44*1000</f>
        <v>793.1079543797789</v>
      </c>
      <c r="AE44" s="41">
        <f>L44/'1. Väestöennuste'!N44*1000</f>
        <v>-202.11588110825289</v>
      </c>
      <c r="AF44" s="41">
        <f>M44/'1. Väestöennuste'!O44*1000</f>
        <v>-252.29164756553817</v>
      </c>
      <c r="AG44" s="41">
        <f>N44/'1. Väestöennuste'!P44*1000</f>
        <v>-286.45123989597607</v>
      </c>
      <c r="AH44" s="41">
        <f>O44/'1. Väestöennuste'!Q44*1000</f>
        <v>-322.64075224487408</v>
      </c>
      <c r="AI44" s="41">
        <f>P44/'1. Väestöennuste'!R44*1000</f>
        <v>-247.31329345299079</v>
      </c>
    </row>
    <row r="45" spans="1:35" x14ac:dyDescent="0.2">
      <c r="A45" s="34">
        <v>102</v>
      </c>
      <c r="B45" s="88" t="s">
        <v>359</v>
      </c>
      <c r="C45" s="41" t="e">
        <f>Vuosikate!C45+'7. Nettoinvestoinnit '!C45+'8. Satunnaiset erät'!C45+'9. Tulorahkorjauserät'!C45</f>
        <v>#REF!</v>
      </c>
      <c r="D45" s="41">
        <f>Vuosikate!D45+'7. Nettoinvestoinnit '!D45+'8. Satunnaiset erät'!D45+'9. Tulorahkorjauserät'!D45</f>
        <v>-969</v>
      </c>
      <c r="E45" s="41">
        <f>Vuosikate!E45+'7. Nettoinvestoinnit '!E45+'8. Satunnaiset erät'!E45+'9. Tulorahkorjauserät'!E45</f>
        <v>-1282</v>
      </c>
      <c r="F45" s="41">
        <f>Vuosikate!F45+'7. Nettoinvestoinnit '!F45+'8. Satunnaiset erät'!F45+'9. Tulorahkorjauserät'!F45</f>
        <v>-4933</v>
      </c>
      <c r="G45" s="41">
        <f>Vuosikate!G45+'7. Nettoinvestoinnit '!G45+'8. Satunnaiset erät'!G45+'9. Tulorahkorjauserät'!G45</f>
        <v>-2350</v>
      </c>
      <c r="H45" s="41">
        <f>Vuosikate!H45+'7. Nettoinvestoinnit '!H45+'8. Satunnaiset erät'!H45+'9. Tulorahkorjauserät'!H45</f>
        <v>3268.3943215564868</v>
      </c>
      <c r="I45" s="41">
        <f>Vuosikate!I45+'7. Nettoinvestoinnit '!I45+'8. Satunnaiset erät'!I45+'9. Tulorahkorjauserät'!I45</f>
        <v>944.56796157109125</v>
      </c>
      <c r="J45" s="41">
        <f>Vuosikate!J45+'7. Nettoinvestoinnit '!J45+'8. Satunnaiset erät'!J45+'9. Tulorahkorjauserät'!J45</f>
        <v>1377.0028686875303</v>
      </c>
      <c r="K45" s="41">
        <f>Vuosikate!K45+'7. Nettoinvestoinnit '!K45+'8. Satunnaiset erät'!K45+'9. Tulorahkorjauserät'!K45</f>
        <v>-7494.7706595739355</v>
      </c>
      <c r="L45" s="41">
        <f>Vuosikate!L45+'7. Nettoinvestoinnit '!L45+'8. Satunnaiset erät'!L45+'9. Tulorahkorjauserät'!L45</f>
        <v>-3101.1635937312963</v>
      </c>
      <c r="M45" s="41">
        <f>Vuosikate!M45+'7. Nettoinvestoinnit '!M45+'8. Satunnaiset erät'!M45+'9. Tulorahkorjauserät'!M45</f>
        <v>-3715.1287700486987</v>
      </c>
      <c r="N45" s="41">
        <f>Vuosikate!N45+'7. Nettoinvestoinnit '!N45+'8. Satunnaiset erät'!N45+'9. Tulorahkorjauserät'!N45</f>
        <v>-3505.5546556438508</v>
      </c>
      <c r="O45" s="41">
        <f>Vuosikate!O45+'7. Nettoinvestoinnit '!O45+'8. Satunnaiset erät'!O45+'9. Tulorahkorjauserät'!O45</f>
        <v>-3673.2156191714253</v>
      </c>
      <c r="P45" s="41">
        <f>Vuosikate!P45+'7. Nettoinvestoinnit '!P45+'8. Satunnaiset erät'!P45+'9. Tulorahkorjauserät'!P45</f>
        <v>-2890.0932861697274</v>
      </c>
      <c r="T45" s="34">
        <v>102</v>
      </c>
      <c r="U45" s="88" t="s">
        <v>359</v>
      </c>
      <c r="V45" s="41" t="e">
        <f>C45/'1. Väestöennuste'!E45*1000</f>
        <v>#REF!</v>
      </c>
      <c r="W45" s="41">
        <f>D45/'1. Väestöennuste'!F45*1000</f>
        <v>-93.14620782466595</v>
      </c>
      <c r="X45" s="41">
        <f>E45/'1. Väestöennuste'!G45*1000</f>
        <v>-125.60007837758403</v>
      </c>
      <c r="Y45" s="41">
        <f>F45/'1. Väestöennuste'!H45*1000</f>
        <v>-488.85145178872261</v>
      </c>
      <c r="Z45" s="41">
        <f>G45/'1. Väestöennuste'!I45*1000</f>
        <v>-233.97052966945438</v>
      </c>
      <c r="AA45" s="41">
        <f>H45/'1. Väestöennuste'!J45*1000</f>
        <v>328.91157507864415</v>
      </c>
      <c r="AB45" s="41">
        <f>I45/'1. Väestöennuste'!K45*1000</f>
        <v>95.700907960596879</v>
      </c>
      <c r="AC45" s="41">
        <f>J45/'1. Väestöennuste'!L45*1000</f>
        <v>141.30352680220938</v>
      </c>
      <c r="AD45" s="41">
        <f>K45/'1. Väestöennuste'!M45*1000</f>
        <v>-776.98223715259542</v>
      </c>
      <c r="AE45" s="41">
        <f>L45/'1. Väestöennuste'!N45*1000</f>
        <v>-325.30825487583093</v>
      </c>
      <c r="AF45" s="41">
        <f>M45/'1. Väestöennuste'!O45*1000</f>
        <v>-393.42674680172604</v>
      </c>
      <c r="AG45" s="41">
        <f>N45/'1. Väestöennuste'!P45*1000</f>
        <v>-374.72524378876011</v>
      </c>
      <c r="AH45" s="41">
        <f>O45/'1. Väestöennuste'!Q45*1000</f>
        <v>-396.11944561322395</v>
      </c>
      <c r="AI45" s="41">
        <f>P45/'1. Väestöennuste'!R45*1000</f>
        <v>-314.37977658759138</v>
      </c>
    </row>
    <row r="46" spans="1:35" x14ac:dyDescent="0.2">
      <c r="A46" s="34">
        <v>103</v>
      </c>
      <c r="B46" s="88" t="s">
        <v>360</v>
      </c>
      <c r="C46" s="41" t="e">
        <f>Vuosikate!C46+'7. Nettoinvestoinnit '!C46+'8. Satunnaiset erät'!C46+'9. Tulorahkorjauserät'!C46</f>
        <v>#REF!</v>
      </c>
      <c r="D46" s="41">
        <f>Vuosikate!D46+'7. Nettoinvestoinnit '!D46+'8. Satunnaiset erät'!D46+'9. Tulorahkorjauserät'!D46</f>
        <v>-441</v>
      </c>
      <c r="E46" s="41">
        <f>Vuosikate!E46+'7. Nettoinvestoinnit '!E46+'8. Satunnaiset erät'!E46+'9. Tulorahkorjauserät'!E46</f>
        <v>-199</v>
      </c>
      <c r="F46" s="41">
        <f>Vuosikate!F46+'7. Nettoinvestoinnit '!F46+'8. Satunnaiset erät'!F46+'9. Tulorahkorjauserät'!F46</f>
        <v>-1802</v>
      </c>
      <c r="G46" s="41">
        <f>Vuosikate!G46+'7. Nettoinvestoinnit '!G46+'8. Satunnaiset erät'!G46+'9. Tulorahkorjauserät'!G46</f>
        <v>946</v>
      </c>
      <c r="H46" s="41">
        <f>Vuosikate!H46+'7. Nettoinvestoinnit '!H46+'8. Satunnaiset erät'!H46+'9. Tulorahkorjauserät'!H46</f>
        <v>686.00785388590975</v>
      </c>
      <c r="I46" s="41">
        <f>Vuosikate!I46+'7. Nettoinvestoinnit '!I46+'8. Satunnaiset erät'!I46+'9. Tulorahkorjauserät'!I46</f>
        <v>927.37771470988275</v>
      </c>
      <c r="J46" s="41">
        <f>Vuosikate!J46+'7. Nettoinvestoinnit '!J46+'8. Satunnaiset erät'!J46+'9. Tulorahkorjauserät'!J46</f>
        <v>-140.4712760844904</v>
      </c>
      <c r="K46" s="41">
        <f>Vuosikate!K46+'7. Nettoinvestoinnit '!K46+'8. Satunnaiset erät'!K46+'9. Tulorahkorjauserät'!K46</f>
        <v>-38.317605258317712</v>
      </c>
      <c r="L46" s="41">
        <f>Vuosikate!L46+'7. Nettoinvestoinnit '!L46+'8. Satunnaiset erät'!L46+'9. Tulorahkorjauserät'!L46</f>
        <v>-460.03958556179248</v>
      </c>
      <c r="M46" s="41">
        <f>Vuosikate!M46+'7. Nettoinvestoinnit '!M46+'8. Satunnaiset erät'!M46+'9. Tulorahkorjauserät'!M46</f>
        <v>-1431.6689748126948</v>
      </c>
      <c r="N46" s="41">
        <f>Vuosikate!N46+'7. Nettoinvestoinnit '!N46+'8. Satunnaiset erät'!N46+'9. Tulorahkorjauserät'!N46</f>
        <v>-1501.0659933151283</v>
      </c>
      <c r="O46" s="41">
        <f>Vuosikate!O46+'7. Nettoinvestoinnit '!O46+'8. Satunnaiset erät'!O46+'9. Tulorahkorjauserät'!O46</f>
        <v>-1621.1430528414476</v>
      </c>
      <c r="P46" s="41">
        <f>Vuosikate!P46+'7. Nettoinvestoinnit '!P46+'8. Satunnaiset erät'!P46+'9. Tulorahkorjauserät'!P46</f>
        <v>-1496.0934677923303</v>
      </c>
      <c r="T46" s="34">
        <v>103</v>
      </c>
      <c r="U46" s="88" t="s">
        <v>360</v>
      </c>
      <c r="V46" s="41" t="e">
        <f>C46/'1. Väestöennuste'!E46*1000</f>
        <v>#REF!</v>
      </c>
      <c r="W46" s="41">
        <f>D46/'1. Väestöennuste'!F46*1000</f>
        <v>-188.0597014925373</v>
      </c>
      <c r="X46" s="41">
        <f>E46/'1. Väestöennuste'!G46*1000</f>
        <v>-86.899563318777297</v>
      </c>
      <c r="Y46" s="41">
        <f>F46/'1. Väestöennuste'!H46*1000</f>
        <v>-806.26398210290824</v>
      </c>
      <c r="Z46" s="41">
        <f>G46/'1. Väestöennuste'!I46*1000</f>
        <v>433.15018315018318</v>
      </c>
      <c r="AA46" s="41">
        <f>H46/'1. Väestöennuste'!J46*1000</f>
        <v>315.55099074788853</v>
      </c>
      <c r="AB46" s="41">
        <f>I46/'1. Väestöennuste'!K46*1000</f>
        <v>428.15222285774831</v>
      </c>
      <c r="AC46" s="41">
        <f>J46/'1. Väestöennuste'!L46*1000</f>
        <v>-65.002904250111243</v>
      </c>
      <c r="AD46" s="41">
        <f>K46/'1. Väestöennuste'!M46*1000</f>
        <v>-18.031814239208334</v>
      </c>
      <c r="AE46" s="41">
        <f>L46/'1. Väestöennuste'!N46*1000</f>
        <v>-220.74836159395034</v>
      </c>
      <c r="AF46" s="41">
        <f>M46/'1. Väestöennuste'!O46*1000</f>
        <v>-693.63806919219701</v>
      </c>
      <c r="AG46" s="41">
        <f>N46/'1. Väestöennuste'!P46*1000</f>
        <v>-735.09598105540078</v>
      </c>
      <c r="AH46" s="41">
        <f>O46/'1. Väestöennuste'!Q46*1000</f>
        <v>-802.14896231640159</v>
      </c>
      <c r="AI46" s="41">
        <f>P46/'1. Väestöennuste'!R46*1000</f>
        <v>-746.92634437959578</v>
      </c>
    </row>
    <row r="47" spans="1:35" x14ac:dyDescent="0.2">
      <c r="A47" s="34">
        <v>105</v>
      </c>
      <c r="B47" s="88" t="s">
        <v>361</v>
      </c>
      <c r="C47" s="41" t="e">
        <f>Vuosikate!C47+'7. Nettoinvestoinnit '!C47+'8. Satunnaiset erät'!C47+'9. Tulorahkorjauserät'!C47</f>
        <v>#REF!</v>
      </c>
      <c r="D47" s="41">
        <f>Vuosikate!D47+'7. Nettoinvestoinnit '!D47+'8. Satunnaiset erät'!D47+'9. Tulorahkorjauserät'!D47</f>
        <v>126</v>
      </c>
      <c r="E47" s="41">
        <f>Vuosikate!E47+'7. Nettoinvestoinnit '!E47+'8. Satunnaiset erät'!E47+'9. Tulorahkorjauserät'!E47</f>
        <v>1546</v>
      </c>
      <c r="F47" s="41">
        <f>Vuosikate!F47+'7. Nettoinvestoinnit '!F47+'8. Satunnaiset erät'!F47+'9. Tulorahkorjauserät'!F47</f>
        <v>168</v>
      </c>
      <c r="G47" s="41">
        <f>Vuosikate!G47+'7. Nettoinvestoinnit '!G47+'8. Satunnaiset erät'!G47+'9. Tulorahkorjauserät'!G47</f>
        <v>693</v>
      </c>
      <c r="H47" s="41">
        <f>Vuosikate!H47+'7. Nettoinvestoinnit '!H47+'8. Satunnaiset erät'!H47+'9. Tulorahkorjauserät'!H47</f>
        <v>619.73910758949023</v>
      </c>
      <c r="I47" s="41">
        <f>Vuosikate!I47+'7. Nettoinvestoinnit '!I47+'8. Satunnaiset erät'!I47+'9. Tulorahkorjauserät'!I47</f>
        <v>-659.73026216475796</v>
      </c>
      <c r="J47" s="41">
        <f>Vuosikate!J47+'7. Nettoinvestoinnit '!J47+'8. Satunnaiset erät'!J47+'9. Tulorahkorjauserät'!J47</f>
        <v>1043.4737792061026</v>
      </c>
      <c r="K47" s="41">
        <f>Vuosikate!K47+'7. Nettoinvestoinnit '!K47+'8. Satunnaiset erät'!K47+'9. Tulorahkorjauserät'!K47</f>
        <v>571.76324286420311</v>
      </c>
      <c r="L47" s="41">
        <f>Vuosikate!L47+'7. Nettoinvestoinnit '!L47+'8. Satunnaiset erät'!L47+'9. Tulorahkorjauserät'!L47</f>
        <v>848.23902947622685</v>
      </c>
      <c r="M47" s="41">
        <f>Vuosikate!M47+'7. Nettoinvestoinnit '!M47+'8. Satunnaiset erät'!M47+'9. Tulorahkorjauserät'!M47</f>
        <v>597.92148254434858</v>
      </c>
      <c r="N47" s="41">
        <f>Vuosikate!N47+'7. Nettoinvestoinnit '!N47+'8. Satunnaiset erät'!N47+'9. Tulorahkorjauserät'!N47</f>
        <v>385.79964476210557</v>
      </c>
      <c r="O47" s="41">
        <f>Vuosikate!O47+'7. Nettoinvestoinnit '!O47+'8. Satunnaiset erät'!O47+'9. Tulorahkorjauserät'!O47</f>
        <v>284.93995881234605</v>
      </c>
      <c r="P47" s="41">
        <f>Vuosikate!P47+'7. Nettoinvestoinnit '!P47+'8. Satunnaiset erät'!P47+'9. Tulorahkorjauserät'!P47</f>
        <v>557.58693757643925</v>
      </c>
      <c r="T47" s="34">
        <v>105</v>
      </c>
      <c r="U47" s="88" t="s">
        <v>361</v>
      </c>
      <c r="V47" s="41" t="e">
        <f>C47/'1. Väestöennuste'!E47*1000</f>
        <v>#REF!</v>
      </c>
      <c r="W47" s="41">
        <f>D47/'1. Väestöennuste'!F47*1000</f>
        <v>52.369077306733168</v>
      </c>
      <c r="X47" s="41">
        <f>E47/'1. Väestöennuste'!G47*1000</f>
        <v>664.6603611349957</v>
      </c>
      <c r="Y47" s="41">
        <f>F47/'1. Väestöennuste'!H47*1000</f>
        <v>73.458679492785308</v>
      </c>
      <c r="Z47" s="41">
        <f>G47/'1. Väestöennuste'!I47*1000</f>
        <v>305.1519154557464</v>
      </c>
      <c r="AA47" s="41">
        <f>H47/'1. Väestöennuste'!J47*1000</f>
        <v>281.82769785788554</v>
      </c>
      <c r="AB47" s="41">
        <f>I47/'1. Väestöennuste'!K47*1000</f>
        <v>-308.42929507468813</v>
      </c>
      <c r="AC47" s="41">
        <f>J47/'1. Väestöennuste'!L47*1000</f>
        <v>498.31603591504421</v>
      </c>
      <c r="AD47" s="41">
        <f>K47/'1. Väestöennuste'!M47*1000</f>
        <v>277.15135378778626</v>
      </c>
      <c r="AE47" s="41">
        <f>L47/'1. Väestöennuste'!N47*1000</f>
        <v>415.39619465045394</v>
      </c>
      <c r="AF47" s="41">
        <f>M47/'1. Väestöennuste'!O47*1000</f>
        <v>297.62144477070615</v>
      </c>
      <c r="AG47" s="41">
        <f>N47/'1. Väestöennuste'!P47*1000</f>
        <v>195.24273520349473</v>
      </c>
      <c r="AH47" s="41">
        <f>O47/'1. Väestöennuste'!Q47*1000</f>
        <v>146.49869347678461</v>
      </c>
      <c r="AI47" s="41">
        <f>P47/'1. Väestöennuste'!R47*1000</f>
        <v>291.01614696056328</v>
      </c>
    </row>
    <row r="48" spans="1:35" x14ac:dyDescent="0.2">
      <c r="A48" s="34">
        <v>106</v>
      </c>
      <c r="B48" s="88" t="s">
        <v>362</v>
      </c>
      <c r="C48" s="41" t="e">
        <f>Vuosikate!C48+'7. Nettoinvestoinnit '!C48+'8. Satunnaiset erät'!C48+'9. Tulorahkorjauserät'!C48</f>
        <v>#REF!</v>
      </c>
      <c r="D48" s="41">
        <f>Vuosikate!D48+'7. Nettoinvestoinnit '!D48+'8. Satunnaiset erät'!D48+'9. Tulorahkorjauserät'!D48</f>
        <v>11038</v>
      </c>
      <c r="E48" s="41">
        <f>Vuosikate!E48+'7. Nettoinvestoinnit '!E48+'8. Satunnaiset erät'!E48+'9. Tulorahkorjauserät'!E48</f>
        <v>8291</v>
      </c>
      <c r="F48" s="41">
        <f>Vuosikate!F48+'7. Nettoinvestoinnit '!F48+'8. Satunnaiset erät'!F48+'9. Tulorahkorjauserät'!F48</f>
        <v>1771</v>
      </c>
      <c r="G48" s="41">
        <f>Vuosikate!G48+'7. Nettoinvestoinnit '!G48+'8. Satunnaiset erät'!G48+'9. Tulorahkorjauserät'!G48</f>
        <v>-37123</v>
      </c>
      <c r="H48" s="41">
        <f>Vuosikate!H48+'7. Nettoinvestoinnit '!H48+'8. Satunnaiset erät'!H48+'9. Tulorahkorjauserät'!H48</f>
        <v>-10533.87692521172</v>
      </c>
      <c r="I48" s="41">
        <f>Vuosikate!I48+'7. Nettoinvestoinnit '!I48+'8. Satunnaiset erät'!I48+'9. Tulorahkorjauserät'!I48</f>
        <v>25452.820070353071</v>
      </c>
      <c r="J48" s="41">
        <f>Vuosikate!J48+'7. Nettoinvestoinnit '!J48+'8. Satunnaiset erät'!J48+'9. Tulorahkorjauserät'!J48</f>
        <v>13327.91650188269</v>
      </c>
      <c r="K48" s="41">
        <f>Vuosikate!K48+'7. Nettoinvestoinnit '!K48+'8. Satunnaiset erät'!K48+'9. Tulorahkorjauserät'!K48</f>
        <v>24598.963556013459</v>
      </c>
      <c r="L48" s="41">
        <f>Vuosikate!L48+'7. Nettoinvestoinnit '!L48+'8. Satunnaiset erät'!L48+'9. Tulorahkorjauserät'!L48</f>
        <v>-9389.2520134702754</v>
      </c>
      <c r="M48" s="41">
        <f>Vuosikate!M48+'7. Nettoinvestoinnit '!M48+'8. Satunnaiset erät'!M48+'9. Tulorahkorjauserät'!M48</f>
        <v>-11284.891892285552</v>
      </c>
      <c r="N48" s="41">
        <f>Vuosikate!N48+'7. Nettoinvestoinnit '!N48+'8. Satunnaiset erät'!N48+'9. Tulorahkorjauserät'!N48</f>
        <v>-12676.26980915037</v>
      </c>
      <c r="O48" s="41">
        <f>Vuosikate!O48+'7. Nettoinvestoinnit '!O48+'8. Satunnaiset erät'!O48+'9. Tulorahkorjauserät'!O48</f>
        <v>-13227.669183652422</v>
      </c>
      <c r="P48" s="41">
        <f>Vuosikate!P48+'7. Nettoinvestoinnit '!P48+'8. Satunnaiset erät'!P48+'9. Tulorahkorjauserät'!P48</f>
        <v>-11119.931984200961</v>
      </c>
      <c r="T48" s="34">
        <v>106</v>
      </c>
      <c r="U48" s="88" t="s">
        <v>362</v>
      </c>
      <c r="V48" s="41" t="e">
        <f>C48/'1. Väestöennuste'!E48*1000</f>
        <v>#REF!</v>
      </c>
      <c r="W48" s="41">
        <f>D48/'1. Väestöennuste'!F48*1000</f>
        <v>236.88728646235728</v>
      </c>
      <c r="X48" s="41">
        <f>E48/'1. Väestöennuste'!G48*1000</f>
        <v>177.38933224929931</v>
      </c>
      <c r="Y48" s="41">
        <f>F48/'1. Väestöennuste'!H48*1000</f>
        <v>38.082745570273524</v>
      </c>
      <c r="Z48" s="41">
        <f>G48/'1. Väestöennuste'!I48*1000</f>
        <v>-798.85947923391427</v>
      </c>
      <c r="AA48" s="41">
        <f>H48/'1. Väestöennuste'!J48*1000</f>
        <v>-226.1653410600249</v>
      </c>
      <c r="AB48" s="41">
        <f>I48/'1. Väestöennuste'!K48*1000</f>
        <v>542.93558170548363</v>
      </c>
      <c r="AC48" s="41">
        <f>J48/'1. Väestöennuste'!L48*1000</f>
        <v>284.80279722808496</v>
      </c>
      <c r="AD48" s="41">
        <f>K48/'1. Väestöennuste'!M48*1000</f>
        <v>524.48697375351185</v>
      </c>
      <c r="AE48" s="41">
        <f>L48/'1. Väestöennuste'!N48*1000</f>
        <v>-200.19727107612528</v>
      </c>
      <c r="AF48" s="41">
        <f>M48/'1. Väestöennuste'!O48*1000</f>
        <v>-240.19096039600603</v>
      </c>
      <c r="AG48" s="41">
        <f>N48/'1. Väestöennuste'!P48*1000</f>
        <v>-269.31821639224887</v>
      </c>
      <c r="AH48" s="41">
        <f>O48/'1. Väestöennuste'!Q48*1000</f>
        <v>-280.53846543344622</v>
      </c>
      <c r="AI48" s="41">
        <f>P48/'1. Väestöennuste'!R48*1000</f>
        <v>-235.4122276272538</v>
      </c>
    </row>
    <row r="49" spans="1:35" x14ac:dyDescent="0.2">
      <c r="A49" s="34">
        <v>108</v>
      </c>
      <c r="B49" s="88" t="s">
        <v>363</v>
      </c>
      <c r="C49" s="41" t="e">
        <f>Vuosikate!C49+'7. Nettoinvestoinnit '!C49+'8. Satunnaiset erät'!C49+'9. Tulorahkorjauserät'!C49</f>
        <v>#REF!</v>
      </c>
      <c r="D49" s="41">
        <f>Vuosikate!D49+'7. Nettoinvestoinnit '!D49+'8. Satunnaiset erät'!D49+'9. Tulorahkorjauserät'!D49</f>
        <v>-5679</v>
      </c>
      <c r="E49" s="41">
        <f>Vuosikate!E49+'7. Nettoinvestoinnit '!E49+'8. Satunnaiset erät'!E49+'9. Tulorahkorjauserät'!E49</f>
        <v>-1625</v>
      </c>
      <c r="F49" s="41">
        <f>Vuosikate!F49+'7. Nettoinvestoinnit '!F49+'8. Satunnaiset erät'!F49+'9. Tulorahkorjauserät'!F49</f>
        <v>-3839</v>
      </c>
      <c r="G49" s="41">
        <f>Vuosikate!G49+'7. Nettoinvestoinnit '!G49+'8. Satunnaiset erät'!G49+'9. Tulorahkorjauserät'!G49</f>
        <v>326</v>
      </c>
      <c r="H49" s="41">
        <f>Vuosikate!H49+'7. Nettoinvestoinnit '!H49+'8. Satunnaiset erät'!H49+'9. Tulorahkorjauserät'!H49</f>
        <v>4956.5645114138242</v>
      </c>
      <c r="I49" s="41">
        <f>Vuosikate!I49+'7. Nettoinvestoinnit '!I49+'8. Satunnaiset erät'!I49+'9. Tulorahkorjauserät'!I49</f>
        <v>1369.3046423641097</v>
      </c>
      <c r="J49" s="41">
        <f>Vuosikate!J49+'7. Nettoinvestoinnit '!J49+'8. Satunnaiset erät'!J49+'9. Tulorahkorjauserät'!J49</f>
        <v>3856.2731620507775</v>
      </c>
      <c r="K49" s="41">
        <f>Vuosikate!K49+'7. Nettoinvestoinnit '!K49+'8. Satunnaiset erät'!K49+'9. Tulorahkorjauserät'!K49</f>
        <v>2733.5385441386034</v>
      </c>
      <c r="L49" s="41">
        <f>Vuosikate!L49+'7. Nettoinvestoinnit '!L49+'8. Satunnaiset erät'!L49+'9. Tulorahkorjauserät'!L49</f>
        <v>1888.268353121196</v>
      </c>
      <c r="M49" s="41">
        <f>Vuosikate!M49+'7. Nettoinvestoinnit '!M49+'8. Satunnaiset erät'!M49+'9. Tulorahkorjauserät'!M49</f>
        <v>116.11183410218018</v>
      </c>
      <c r="N49" s="41">
        <f>Vuosikate!N49+'7. Nettoinvestoinnit '!N49+'8. Satunnaiset erät'!N49+'9. Tulorahkorjauserät'!N49</f>
        <v>866.07545491065321</v>
      </c>
      <c r="O49" s="41">
        <f>Vuosikate!O49+'7. Nettoinvestoinnit '!O49+'8. Satunnaiset erät'!O49+'9. Tulorahkorjauserät'!O49</f>
        <v>882.72963717730454</v>
      </c>
      <c r="P49" s="41">
        <f>Vuosikate!P49+'7. Nettoinvestoinnit '!P49+'8. Satunnaiset erät'!P49+'9. Tulorahkorjauserät'!P49</f>
        <v>2151.4158720734695</v>
      </c>
      <c r="T49" s="34">
        <v>108</v>
      </c>
      <c r="U49" s="88" t="s">
        <v>363</v>
      </c>
      <c r="V49" s="41" t="e">
        <f>C49/'1. Väestöennuste'!E49*1000</f>
        <v>#REF!</v>
      </c>
      <c r="W49" s="41">
        <f>D49/'1. Väestöennuste'!F49*1000</f>
        <v>-531.69178915831844</v>
      </c>
      <c r="X49" s="41">
        <f>E49/'1. Väestöennuste'!G49*1000</f>
        <v>-153.31635059911312</v>
      </c>
      <c r="Y49" s="41">
        <f>F49/'1. Väestöennuste'!H49*1000</f>
        <v>-365.27117031398672</v>
      </c>
      <c r="Z49" s="41">
        <f>G49/'1. Väestöennuste'!I49*1000</f>
        <v>31.334102268358325</v>
      </c>
      <c r="AA49" s="41">
        <f>H49/'1. Väestöennuste'!J49*1000</f>
        <v>479.17290326893118</v>
      </c>
      <c r="AB49" s="41">
        <f>I49/'1. Väestöennuste'!K49*1000</f>
        <v>132.46634829874333</v>
      </c>
      <c r="AC49" s="41">
        <f>J49/'1. Väestöennuste'!L49*1000</f>
        <v>375.96501531157037</v>
      </c>
      <c r="AD49" s="41">
        <f>K49/'1. Väestöennuste'!M49*1000</f>
        <v>264.90343484238815</v>
      </c>
      <c r="AE49" s="41">
        <f>L49/'1. Väestöennuste'!N49*1000</f>
        <v>187.79396848544962</v>
      </c>
      <c r="AF49" s="41">
        <f>M49/'1. Väestöennuste'!O49*1000</f>
        <v>11.616991906171103</v>
      </c>
      <c r="AG49" s="41">
        <f>N49/'1. Väestöennuste'!P49*1000</f>
        <v>87.112799729496402</v>
      </c>
      <c r="AH49" s="41">
        <f>O49/'1. Väestöennuste'!Q49*1000</f>
        <v>89.218681744219182</v>
      </c>
      <c r="AI49" s="41">
        <f>P49/'1. Väestöennuste'!R49*1000</f>
        <v>218.48439850446528</v>
      </c>
    </row>
    <row r="50" spans="1:35" x14ac:dyDescent="0.2">
      <c r="A50" s="34">
        <v>109</v>
      </c>
      <c r="B50" s="88" t="s">
        <v>364</v>
      </c>
      <c r="C50" s="41" t="e">
        <f>Vuosikate!C50+'7. Nettoinvestoinnit '!C50+'8. Satunnaiset erät'!C50+'9. Tulorahkorjauserät'!C50</f>
        <v>#REF!</v>
      </c>
      <c r="D50" s="41">
        <f>Vuosikate!D50+'7. Nettoinvestoinnit '!D50+'8. Satunnaiset erät'!D50+'9. Tulorahkorjauserät'!D50</f>
        <v>-20079</v>
      </c>
      <c r="E50" s="41">
        <f>Vuosikate!E50+'7. Nettoinvestoinnit '!E50+'8. Satunnaiset erät'!E50+'9. Tulorahkorjauserät'!E50</f>
        <v>314</v>
      </c>
      <c r="F50" s="41">
        <f>Vuosikate!F50+'7. Nettoinvestoinnit '!F50+'8. Satunnaiset erät'!F50+'9. Tulorahkorjauserät'!F50</f>
        <v>-21109</v>
      </c>
      <c r="G50" s="41">
        <f>Vuosikate!G50+'7. Nettoinvestoinnit '!G50+'8. Satunnaiset erät'!G50+'9. Tulorahkorjauserät'!G50</f>
        <v>-26363</v>
      </c>
      <c r="H50" s="41">
        <f>Vuosikate!H50+'7. Nettoinvestoinnit '!H50+'8. Satunnaiset erät'!H50+'9. Tulorahkorjauserät'!H50</f>
        <v>4011.8957438011857</v>
      </c>
      <c r="I50" s="41">
        <f>Vuosikate!I50+'7. Nettoinvestoinnit '!I50+'8. Satunnaiset erät'!I50+'9. Tulorahkorjauserät'!I50</f>
        <v>10061.921676208811</v>
      </c>
      <c r="J50" s="41">
        <f>Vuosikate!J50+'7. Nettoinvestoinnit '!J50+'8. Satunnaiset erät'!J50+'9. Tulorahkorjauserät'!J50</f>
        <v>10456.542620828086</v>
      </c>
      <c r="K50" s="41">
        <f>Vuosikate!K50+'7. Nettoinvestoinnit '!K50+'8. Satunnaiset erät'!K50+'9. Tulorahkorjauserät'!K50</f>
        <v>19324.356533870909</v>
      </c>
      <c r="L50" s="41">
        <f>Vuosikate!L50+'7. Nettoinvestoinnit '!L50+'8. Satunnaiset erät'!L50+'9. Tulorahkorjauserät'!L50</f>
        <v>9142.806324548812</v>
      </c>
      <c r="M50" s="41">
        <f>Vuosikate!M50+'7. Nettoinvestoinnit '!M50+'8. Satunnaiset erät'!M50+'9. Tulorahkorjauserät'!M50</f>
        <v>1863.4843242810966</v>
      </c>
      <c r="N50" s="41">
        <f>Vuosikate!N50+'7. Nettoinvestoinnit '!N50+'8. Satunnaiset erät'!N50+'9. Tulorahkorjauserät'!N50</f>
        <v>-129.58373990081964</v>
      </c>
      <c r="O50" s="41">
        <f>Vuosikate!O50+'7. Nettoinvestoinnit '!O50+'8. Satunnaiset erät'!O50+'9. Tulorahkorjauserät'!O50</f>
        <v>-257.37724103353321</v>
      </c>
      <c r="P50" s="41">
        <f>Vuosikate!P50+'7. Nettoinvestoinnit '!P50+'8. Satunnaiset erät'!P50+'9. Tulorahkorjauserät'!P50</f>
        <v>4547.2201071703603</v>
      </c>
      <c r="T50" s="34">
        <v>109</v>
      </c>
      <c r="U50" s="88" t="s">
        <v>364</v>
      </c>
      <c r="V50" s="41" t="e">
        <f>C50/'1. Väestöennuste'!E50*1000</f>
        <v>#REF!</v>
      </c>
      <c r="W50" s="41">
        <f>D50/'1. Väestöennuste'!F50*1000</f>
        <v>-295.93220338983053</v>
      </c>
      <c r="X50" s="41">
        <f>E50/'1. Väestöennuste'!G50*1000</f>
        <v>4.6407141379208419</v>
      </c>
      <c r="Y50" s="41">
        <f>F50/'1. Väestöennuste'!H50*1000</f>
        <v>-312.57774092282176</v>
      </c>
      <c r="Z50" s="41">
        <f>G50/'1. Väestöennuste'!I50*1000</f>
        <v>-389.79492259695706</v>
      </c>
      <c r="AA50" s="41">
        <f>H50/'1. Väestöennuste'!J50*1000</f>
        <v>59.130641195041648</v>
      </c>
      <c r="AB50" s="41">
        <f>I50/'1. Väestöennuste'!K50*1000</f>
        <v>148.03256795116758</v>
      </c>
      <c r="AC50" s="41">
        <f>J50/'1. Väestöennuste'!L50*1000</f>
        <v>153.6755084406638</v>
      </c>
      <c r="AD50" s="41">
        <f>K50/'1. Väestöennuste'!M50*1000</f>
        <v>282.85479198862555</v>
      </c>
      <c r="AE50" s="41">
        <f>L50/'1. Väestöennuste'!N50*1000</f>
        <v>134.32463563577187</v>
      </c>
      <c r="AF50" s="41">
        <f>M50/'1. Väestöennuste'!O50*1000</f>
        <v>27.367958940829734</v>
      </c>
      <c r="AG50" s="41">
        <f>N50/'1. Väestöennuste'!P50*1000</f>
        <v>-1.9025934883909563</v>
      </c>
      <c r="AH50" s="41">
        <f>O50/'1. Väestöennuste'!Q50*1000</f>
        <v>-3.7782918531053027</v>
      </c>
      <c r="AI50" s="41">
        <f>P50/'1. Väestöennuste'!R50*1000</f>
        <v>66.754064316422159</v>
      </c>
    </row>
    <row r="51" spans="1:35" x14ac:dyDescent="0.2">
      <c r="A51" s="34">
        <v>111</v>
      </c>
      <c r="B51" s="88" t="s">
        <v>365</v>
      </c>
      <c r="C51" s="41" t="e">
        <f>Vuosikate!C51+'7. Nettoinvestoinnit '!C51+'8. Satunnaiset erät'!C51+'9. Tulorahkorjauserät'!C51</f>
        <v>#REF!</v>
      </c>
      <c r="D51" s="41">
        <f>Vuosikate!D51+'7. Nettoinvestoinnit '!D51+'8. Satunnaiset erät'!D51+'9. Tulorahkorjauserät'!D51</f>
        <v>-2866</v>
      </c>
      <c r="E51" s="41">
        <f>Vuosikate!E51+'7. Nettoinvestoinnit '!E51+'8. Satunnaiset erät'!E51+'9. Tulorahkorjauserät'!E51</f>
        <v>-2246</v>
      </c>
      <c r="F51" s="41">
        <f>Vuosikate!F51+'7. Nettoinvestoinnit '!F51+'8. Satunnaiset erät'!F51+'9. Tulorahkorjauserät'!F51</f>
        <v>-2748</v>
      </c>
      <c r="G51" s="41">
        <f>Vuosikate!G51+'7. Nettoinvestoinnit '!G51+'8. Satunnaiset erät'!G51+'9. Tulorahkorjauserät'!G51</f>
        <v>-12092</v>
      </c>
      <c r="H51" s="41">
        <f>Vuosikate!H51+'7. Nettoinvestoinnit '!H51+'8. Satunnaiset erät'!H51+'9. Tulorahkorjauserät'!H51</f>
        <v>-1218.7970628894545</v>
      </c>
      <c r="I51" s="41">
        <f>Vuosikate!I51+'7. Nettoinvestoinnit '!I51+'8. Satunnaiset erät'!I51+'9. Tulorahkorjauserät'!I51</f>
        <v>-5869.1979616671979</v>
      </c>
      <c r="J51" s="41">
        <f>Vuosikate!J51+'7. Nettoinvestoinnit '!J51+'8. Satunnaiset erät'!J51+'9. Tulorahkorjauserät'!J51</f>
        <v>-6844.3171388697401</v>
      </c>
      <c r="K51" s="41">
        <f>Vuosikate!K51+'7. Nettoinvestoinnit '!K51+'8. Satunnaiset erät'!K51+'9. Tulorahkorjauserät'!K51</f>
        <v>6531.5952380363306</v>
      </c>
      <c r="L51" s="41">
        <f>Vuosikate!L51+'7. Nettoinvestoinnit '!L51+'8. Satunnaiset erät'!L51+'9. Tulorahkorjauserät'!L51</f>
        <v>-3220.1634509118612</v>
      </c>
      <c r="M51" s="41">
        <f>Vuosikate!M51+'7. Nettoinvestoinnit '!M51+'8. Satunnaiset erät'!M51+'9. Tulorahkorjauserät'!M51</f>
        <v>-7418.4992629516719</v>
      </c>
      <c r="N51" s="41">
        <f>Vuosikate!N51+'7. Nettoinvestoinnit '!N51+'8. Satunnaiset erät'!N51+'9. Tulorahkorjauserät'!N51</f>
        <v>-9482.2858886878494</v>
      </c>
      <c r="O51" s="41">
        <f>Vuosikate!O51+'7. Nettoinvestoinnit '!O51+'8. Satunnaiset erät'!O51+'9. Tulorahkorjauserät'!O51</f>
        <v>-10701.52137935276</v>
      </c>
      <c r="P51" s="41">
        <f>Vuosikate!P51+'7. Nettoinvestoinnit '!P51+'8. Satunnaiset erät'!P51+'9. Tulorahkorjauserät'!P51</f>
        <v>-9089.5879473134537</v>
      </c>
      <c r="T51" s="34">
        <v>111</v>
      </c>
      <c r="U51" s="88" t="s">
        <v>365</v>
      </c>
      <c r="V51" s="41" t="e">
        <f>C51/'1. Väestöennuste'!E51*1000</f>
        <v>#REF!</v>
      </c>
      <c r="W51" s="41">
        <f>D51/'1. Väestöennuste'!F51*1000</f>
        <v>-148.11369509043928</v>
      </c>
      <c r="X51" s="41">
        <f>E51/'1. Väestöennuste'!G51*1000</f>
        <v>-117.41948975324132</v>
      </c>
      <c r="Y51" s="41">
        <f>F51/'1. Väestöennuste'!H51*1000</f>
        <v>-145.48149716766372</v>
      </c>
      <c r="Z51" s="41">
        <f>G51/'1. Väestöennuste'!I51*1000</f>
        <v>-647.77414689023408</v>
      </c>
      <c r="AA51" s="41">
        <f>H51/'1. Väestöennuste'!J51*1000</f>
        <v>-65.891607443880346</v>
      </c>
      <c r="AB51" s="41">
        <f>I51/'1. Väestöennuste'!K51*1000</f>
        <v>-319.95191679389433</v>
      </c>
      <c r="AC51" s="41">
        <f>J51/'1. Väestöennuste'!L51*1000</f>
        <v>-377.49253427112353</v>
      </c>
      <c r="AD51" s="41">
        <f>K51/'1. Väestöennuste'!M51*1000</f>
        <v>363.81636707159419</v>
      </c>
      <c r="AE51" s="41">
        <f>L51/'1. Väestöennuste'!N51*1000</f>
        <v>-182.49722022736535</v>
      </c>
      <c r="AF51" s="41">
        <f>M51/'1. Väestöennuste'!O51*1000</f>
        <v>-424.83674624623018</v>
      </c>
      <c r="AG51" s="41">
        <f>N51/'1. Väestöennuste'!P51*1000</f>
        <v>-548.42602016702426</v>
      </c>
      <c r="AH51" s="41">
        <f>O51/'1. Väestöennuste'!Q51*1000</f>
        <v>-624.8333846764034</v>
      </c>
      <c r="AI51" s="41">
        <f>P51/'1. Väestöennuste'!R51*1000</f>
        <v>-535.69000160970381</v>
      </c>
    </row>
    <row r="52" spans="1:35" x14ac:dyDescent="0.2">
      <c r="A52" s="34">
        <v>139</v>
      </c>
      <c r="B52" s="88" t="s">
        <v>366</v>
      </c>
      <c r="C52" s="41" t="e">
        <f>Vuosikate!C52+'7. Nettoinvestoinnit '!C52+'8. Satunnaiset erät'!C52+'9. Tulorahkorjauserät'!C52</f>
        <v>#REF!</v>
      </c>
      <c r="D52" s="41">
        <f>Vuosikate!D52+'7. Nettoinvestoinnit '!D52+'8. Satunnaiset erät'!D52+'9. Tulorahkorjauserät'!D52</f>
        <v>-4115</v>
      </c>
      <c r="E52" s="41">
        <f>Vuosikate!E52+'7. Nettoinvestoinnit '!E52+'8. Satunnaiset erät'!E52+'9. Tulorahkorjauserät'!E52</f>
        <v>-3230</v>
      </c>
      <c r="F52" s="41">
        <f>Vuosikate!F52+'7. Nettoinvestoinnit '!F52+'8. Satunnaiset erät'!F52+'9. Tulorahkorjauserät'!F52</f>
        <v>-4683</v>
      </c>
      <c r="G52" s="41">
        <f>Vuosikate!G52+'7. Nettoinvestoinnit '!G52+'8. Satunnaiset erät'!G52+'9. Tulorahkorjauserät'!G52</f>
        <v>-7135</v>
      </c>
      <c r="H52" s="41">
        <f>Vuosikate!H52+'7. Nettoinvestoinnit '!H52+'8. Satunnaiset erät'!H52+'9. Tulorahkorjauserät'!H52</f>
        <v>251.15541616946575</v>
      </c>
      <c r="I52" s="41">
        <f>Vuosikate!I52+'7. Nettoinvestoinnit '!I52+'8. Satunnaiset erät'!I52+'9. Tulorahkorjauserät'!I52</f>
        <v>1652.32000704964</v>
      </c>
      <c r="J52" s="41">
        <f>Vuosikate!J52+'7. Nettoinvestoinnit '!J52+'8. Satunnaiset erät'!J52+'9. Tulorahkorjauserät'!J52</f>
        <v>-229.36722349563365</v>
      </c>
      <c r="K52" s="41">
        <f>Vuosikate!K52+'7. Nettoinvestoinnit '!K52+'8. Satunnaiset erät'!K52+'9. Tulorahkorjauserät'!K52</f>
        <v>3760.8848385716037</v>
      </c>
      <c r="L52" s="41">
        <f>Vuosikate!L52+'7. Nettoinvestoinnit '!L52+'8. Satunnaiset erät'!L52+'9. Tulorahkorjauserät'!L52</f>
        <v>-2888.4136397375732</v>
      </c>
      <c r="M52" s="41">
        <f>Vuosikate!M52+'7. Nettoinvestoinnit '!M52+'8. Satunnaiset erät'!M52+'9. Tulorahkorjauserät'!M52</f>
        <v>-2928.2881342706733</v>
      </c>
      <c r="N52" s="41">
        <f>Vuosikate!N52+'7. Nettoinvestoinnit '!N52+'8. Satunnaiset erät'!N52+'9. Tulorahkorjauserät'!N52</f>
        <v>-3004.8497851362135</v>
      </c>
      <c r="O52" s="41">
        <f>Vuosikate!O52+'7. Nettoinvestoinnit '!O52+'8. Satunnaiset erät'!O52+'9. Tulorahkorjauserät'!O52</f>
        <v>-3146.9366892660037</v>
      </c>
      <c r="P52" s="41">
        <f>Vuosikate!P52+'7. Nettoinvestoinnit '!P52+'8. Satunnaiset erät'!P52+'9. Tulorahkorjauserät'!P52</f>
        <v>-2155.4019820324702</v>
      </c>
      <c r="T52" s="34">
        <v>139</v>
      </c>
      <c r="U52" s="88" t="s">
        <v>366</v>
      </c>
      <c r="V52" s="41" t="e">
        <f>C52/'1. Väestöennuste'!E52*1000</f>
        <v>#REF!</v>
      </c>
      <c r="W52" s="41">
        <f>D52/'1. Väestöennuste'!F52*1000</f>
        <v>-427.39925218113831</v>
      </c>
      <c r="X52" s="41">
        <f>E52/'1. Väestöennuste'!G52*1000</f>
        <v>-324.10194661850289</v>
      </c>
      <c r="Y52" s="41">
        <f>F52/'1. Väestöennuste'!H52*1000</f>
        <v>-474.85297099979715</v>
      </c>
      <c r="Z52" s="41">
        <f>G52/'1. Väestöennuste'!I52*1000</f>
        <v>-724.80698902885013</v>
      </c>
      <c r="AA52" s="41">
        <f>H52/'1. Väestöennuste'!J52*1000</f>
        <v>25.503190106566382</v>
      </c>
      <c r="AB52" s="41">
        <f>I52/'1. Väestöennuste'!K52*1000</f>
        <v>166.69895147797016</v>
      </c>
      <c r="AC52" s="41">
        <f>J52/'1. Väestöennuste'!L52*1000</f>
        <v>-23.278922510467236</v>
      </c>
      <c r="AD52" s="41">
        <f>K52/'1. Väestöennuste'!M52*1000</f>
        <v>385.0998196366582</v>
      </c>
      <c r="AE52" s="41">
        <f>L52/'1. Väestöennuste'!N52*1000</f>
        <v>-298.2665881596007</v>
      </c>
      <c r="AF52" s="41">
        <f>M52/'1. Väestöennuste'!O52*1000</f>
        <v>-303.73282172706911</v>
      </c>
      <c r="AG52" s="41">
        <f>N52/'1. Väestöennuste'!P52*1000</f>
        <v>-313.10303064876666</v>
      </c>
      <c r="AH52" s="41">
        <f>O52/'1. Väestöennuste'!Q52*1000</f>
        <v>-329.48766508910097</v>
      </c>
      <c r="AI52" s="41">
        <f>P52/'1. Väestöennuste'!R52*1000</f>
        <v>-226.71736426133063</v>
      </c>
    </row>
    <row r="53" spans="1:35" x14ac:dyDescent="0.2">
      <c r="A53" s="34">
        <v>140</v>
      </c>
      <c r="B53" s="88" t="s">
        <v>367</v>
      </c>
      <c r="C53" s="41" t="e">
        <f>Vuosikate!C53+'7. Nettoinvestoinnit '!C53+'8. Satunnaiset erät'!C53+'9. Tulorahkorjauserät'!C53</f>
        <v>#REF!</v>
      </c>
      <c r="D53" s="41">
        <f>Vuosikate!D53+'7. Nettoinvestoinnit '!D53+'8. Satunnaiset erät'!D53+'9. Tulorahkorjauserät'!D53</f>
        <v>-10758</v>
      </c>
      <c r="E53" s="41">
        <f>Vuosikate!E53+'7. Nettoinvestoinnit '!E53+'8. Satunnaiset erät'!E53+'9. Tulorahkorjauserät'!E53</f>
        <v>-4076</v>
      </c>
      <c r="F53" s="41">
        <f>Vuosikate!F53+'7. Nettoinvestoinnit '!F53+'8. Satunnaiset erät'!F53+'9. Tulorahkorjauserät'!F53</f>
        <v>-1940</v>
      </c>
      <c r="G53" s="41">
        <f>Vuosikate!G53+'7. Nettoinvestoinnit '!G53+'8. Satunnaiset erät'!G53+'9. Tulorahkorjauserät'!G53</f>
        <v>-3225</v>
      </c>
      <c r="H53" s="41">
        <f>Vuosikate!H53+'7. Nettoinvestoinnit '!H53+'8. Satunnaiset erät'!H53+'9. Tulorahkorjauserät'!H53</f>
        <v>2347.4839687014392</v>
      </c>
      <c r="I53" s="41">
        <f>Vuosikate!I53+'7. Nettoinvestoinnit '!I53+'8. Satunnaiset erät'!I53+'9. Tulorahkorjauserät'!I53</f>
        <v>-5523.0389750559634</v>
      </c>
      <c r="J53" s="41">
        <f>Vuosikate!J53+'7. Nettoinvestoinnit '!J53+'8. Satunnaiset erät'!J53+'9. Tulorahkorjauserät'!J53</f>
        <v>-3760.4768671269107</v>
      </c>
      <c r="K53" s="41">
        <f>Vuosikate!K53+'7. Nettoinvestoinnit '!K53+'8. Satunnaiset erät'!K53+'9. Tulorahkorjauserät'!K53</f>
        <v>-29203.451031950732</v>
      </c>
      <c r="L53" s="41">
        <f>Vuosikate!L53+'7. Nettoinvestoinnit '!L53+'8. Satunnaiset erät'!L53+'9. Tulorahkorjauserät'!L53</f>
        <v>-10704.005728201921</v>
      </c>
      <c r="M53" s="41">
        <f>Vuosikate!M53+'7. Nettoinvestoinnit '!M53+'8. Satunnaiset erät'!M53+'9. Tulorahkorjauserät'!M53</f>
        <v>-15534.1262848685</v>
      </c>
      <c r="N53" s="41">
        <f>Vuosikate!N53+'7. Nettoinvestoinnit '!N53+'8. Satunnaiset erät'!N53+'9. Tulorahkorjauserät'!N53</f>
        <v>-16848.33483794198</v>
      </c>
      <c r="O53" s="41">
        <f>Vuosikate!O53+'7. Nettoinvestoinnit '!O53+'8. Satunnaiset erät'!O53+'9. Tulorahkorjauserät'!O53</f>
        <v>-18692.901221047585</v>
      </c>
      <c r="P53" s="41">
        <f>Vuosikate!P53+'7. Nettoinvestoinnit '!P53+'8. Satunnaiset erät'!P53+'9. Tulorahkorjauserät'!P53</f>
        <v>-17312.831160315145</v>
      </c>
      <c r="T53" s="34">
        <v>140</v>
      </c>
      <c r="U53" s="88" t="s">
        <v>367</v>
      </c>
      <c r="V53" s="41" t="e">
        <f>C53/'1. Väestöennuste'!E53*1000</f>
        <v>#REF!</v>
      </c>
      <c r="W53" s="41">
        <f>D53/'1. Väestöennuste'!F53*1000</f>
        <v>-494.23439151008409</v>
      </c>
      <c r="X53" s="41">
        <f>E53/'1. Väestöennuste'!G53*1000</f>
        <v>-188.36360275428623</v>
      </c>
      <c r="Y53" s="41">
        <f>F53/'1. Väestöennuste'!H53*1000</f>
        <v>-90.350223546944861</v>
      </c>
      <c r="Z53" s="41">
        <f>G53/'1. Väestöennuste'!I53*1000</f>
        <v>-150.92661924372894</v>
      </c>
      <c r="AA53" s="41">
        <f>H53/'1. Väestöennuste'!J53*1000</f>
        <v>111.1287620101041</v>
      </c>
      <c r="AB53" s="41">
        <f>I53/'1. Väestöennuste'!K53*1000</f>
        <v>-263.52891378261114</v>
      </c>
      <c r="AC53" s="41">
        <f>J53/'1. Väestöennuste'!L53*1000</f>
        <v>-180.78346556064184</v>
      </c>
      <c r="AD53" s="41">
        <f>K53/'1. Väestöennuste'!M53*1000</f>
        <v>-1416.4056180012965</v>
      </c>
      <c r="AE53" s="41">
        <f>L53/'1. Väestöennuste'!N53*1000</f>
        <v>-523.21858090731848</v>
      </c>
      <c r="AF53" s="41">
        <f>M53/'1. Väestöennuste'!O53*1000</f>
        <v>-765.37870934511727</v>
      </c>
      <c r="AG53" s="41">
        <f>N53/'1. Väestöennuste'!P53*1000</f>
        <v>-836.72699830860051</v>
      </c>
      <c r="AH53" s="41">
        <f>O53/'1. Väestöennuste'!Q53*1000</f>
        <v>-935.72114036379764</v>
      </c>
      <c r="AI53" s="41">
        <f>P53/'1. Väestöennuste'!R53*1000</f>
        <v>-873.45901621084431</v>
      </c>
    </row>
    <row r="54" spans="1:35" x14ac:dyDescent="0.2">
      <c r="A54" s="34">
        <v>142</v>
      </c>
      <c r="B54" s="88" t="s">
        <v>368</v>
      </c>
      <c r="C54" s="41" t="e">
        <f>Vuosikate!C54+'7. Nettoinvestoinnit '!C54+'8. Satunnaiset erät'!C54+'9. Tulorahkorjauserät'!C54</f>
        <v>#REF!</v>
      </c>
      <c r="D54" s="41">
        <f>Vuosikate!D54+'7. Nettoinvestoinnit '!D54+'8. Satunnaiset erät'!D54+'9. Tulorahkorjauserät'!D54</f>
        <v>123</v>
      </c>
      <c r="E54" s="41">
        <f>Vuosikate!E54+'7. Nettoinvestoinnit '!E54+'8. Satunnaiset erät'!E54+'9. Tulorahkorjauserät'!E54</f>
        <v>221</v>
      </c>
      <c r="F54" s="41">
        <f>Vuosikate!F54+'7. Nettoinvestoinnit '!F54+'8. Satunnaiset erät'!F54+'9. Tulorahkorjauserät'!F54</f>
        <v>-369</v>
      </c>
      <c r="G54" s="41">
        <f>Vuosikate!G54+'7. Nettoinvestoinnit '!G54+'8. Satunnaiset erät'!G54+'9. Tulorahkorjauserät'!G54</f>
        <v>-2360</v>
      </c>
      <c r="H54" s="41">
        <f>Vuosikate!H54+'7. Nettoinvestoinnit '!H54+'8. Satunnaiset erät'!H54+'9. Tulorahkorjauserät'!H54</f>
        <v>5157.8031979625193</v>
      </c>
      <c r="I54" s="41">
        <f>Vuosikate!I54+'7. Nettoinvestoinnit '!I54+'8. Satunnaiset erät'!I54+'9. Tulorahkorjauserät'!I54</f>
        <v>3648.5025362440274</v>
      </c>
      <c r="J54" s="41">
        <f>Vuosikate!J54+'7. Nettoinvestoinnit '!J54+'8. Satunnaiset erät'!J54+'9. Tulorahkorjauserät'!J54</f>
        <v>3304.7553435120353</v>
      </c>
      <c r="K54" s="41">
        <f>Vuosikate!K54+'7. Nettoinvestoinnit '!K54+'8. Satunnaiset erät'!K54+'9. Tulorahkorjauserät'!K54</f>
        <v>1644.944711159445</v>
      </c>
      <c r="L54" s="41">
        <f>Vuosikate!L54+'7. Nettoinvestoinnit '!L54+'8. Satunnaiset erät'!L54+'9. Tulorahkorjauserät'!L54</f>
        <v>3974.5420851587678</v>
      </c>
      <c r="M54" s="41">
        <f>Vuosikate!M54+'7. Nettoinvestoinnit '!M54+'8. Satunnaiset erät'!M54+'9. Tulorahkorjauserät'!M54</f>
        <v>-2176.4397981505608</v>
      </c>
      <c r="N54" s="41">
        <f>Vuosikate!N54+'7. Nettoinvestoinnit '!N54+'8. Satunnaiset erät'!N54+'9. Tulorahkorjauserät'!N54</f>
        <v>-2136.0709321631998</v>
      </c>
      <c r="O54" s="41">
        <f>Vuosikate!O54+'7. Nettoinvestoinnit '!O54+'8. Satunnaiset erät'!O54+'9. Tulorahkorjauserät'!O54</f>
        <v>-2590.4101659928542</v>
      </c>
      <c r="P54" s="41">
        <f>Vuosikate!P54+'7. Nettoinvestoinnit '!P54+'8. Satunnaiset erät'!P54+'9. Tulorahkorjauserät'!P54</f>
        <v>-1880.5232615227244</v>
      </c>
      <c r="T54" s="34">
        <v>142</v>
      </c>
      <c r="U54" s="88" t="s">
        <v>368</v>
      </c>
      <c r="V54" s="41" t="e">
        <f>C54/'1. Väestöennuste'!E54*1000</f>
        <v>#REF!</v>
      </c>
      <c r="W54" s="41">
        <f>D54/'1. Väestöennuste'!F54*1000</f>
        <v>17.85455073305269</v>
      </c>
      <c r="X54" s="41">
        <f>E54/'1. Väestöennuste'!G54*1000</f>
        <v>32.404692082111431</v>
      </c>
      <c r="Y54" s="41">
        <f>F54/'1. Väestöennuste'!H54*1000</f>
        <v>-54.54545454545454</v>
      </c>
      <c r="Z54" s="41">
        <f>G54/'1. Väestöennuste'!I54*1000</f>
        <v>-351.6614513485323</v>
      </c>
      <c r="AA54" s="41">
        <f>H54/'1. Väestöennuste'!J54*1000</f>
        <v>778.53633176792744</v>
      </c>
      <c r="AB54" s="41">
        <f>I54/'1. Väestöennuste'!K54*1000</f>
        <v>556.2589626839499</v>
      </c>
      <c r="AC54" s="41">
        <f>J54/'1. Väestöennuste'!L54*1000</f>
        <v>508.11121517712718</v>
      </c>
      <c r="AD54" s="41">
        <f>K54/'1. Väestöennuste'!M54*1000</f>
        <v>255.26764605205537</v>
      </c>
      <c r="AE54" s="41">
        <f>L54/'1. Väestöennuste'!N54*1000</f>
        <v>620.1501147072504</v>
      </c>
      <c r="AF54" s="41">
        <f>M54/'1. Väestöennuste'!O54*1000</f>
        <v>-342.47675816688604</v>
      </c>
      <c r="AG54" s="41">
        <f>N54/'1. Väestöennuste'!P54*1000</f>
        <v>-338.78999717100709</v>
      </c>
      <c r="AH54" s="41">
        <f>O54/'1. Väestöennuste'!Q54*1000</f>
        <v>-414.06812116254065</v>
      </c>
      <c r="AI54" s="41">
        <f>P54/'1. Väestöennuste'!R54*1000</f>
        <v>-302.91933980713986</v>
      </c>
    </row>
    <row r="55" spans="1:35" x14ac:dyDescent="0.2">
      <c r="A55" s="34">
        <v>143</v>
      </c>
      <c r="B55" s="88" t="s">
        <v>369</v>
      </c>
      <c r="C55" s="41" t="e">
        <f>Vuosikate!C55+'7. Nettoinvestoinnit '!C55+'8. Satunnaiset erät'!C55+'9. Tulorahkorjauserät'!C55</f>
        <v>#REF!</v>
      </c>
      <c r="D55" s="41">
        <f>Vuosikate!D55+'7. Nettoinvestoinnit '!D55+'8. Satunnaiset erät'!D55+'9. Tulorahkorjauserät'!D55</f>
        <v>-3543</v>
      </c>
      <c r="E55" s="41">
        <f>Vuosikate!E55+'7. Nettoinvestoinnit '!E55+'8. Satunnaiset erät'!E55+'9. Tulorahkorjauserät'!E55</f>
        <v>-1238</v>
      </c>
      <c r="F55" s="41">
        <f>Vuosikate!F55+'7. Nettoinvestoinnit '!F55+'8. Satunnaiset erät'!F55+'9. Tulorahkorjauserät'!F55</f>
        <v>-2833</v>
      </c>
      <c r="G55" s="41">
        <f>Vuosikate!G55+'7. Nettoinvestoinnit '!G55+'8. Satunnaiset erät'!G55+'9. Tulorahkorjauserät'!G55</f>
        <v>-1454</v>
      </c>
      <c r="H55" s="41">
        <f>Vuosikate!H55+'7. Nettoinvestoinnit '!H55+'8. Satunnaiset erät'!H55+'9. Tulorahkorjauserät'!H55</f>
        <v>4719.58445588635</v>
      </c>
      <c r="I55" s="41">
        <f>Vuosikate!I55+'7. Nettoinvestoinnit '!I55+'8. Satunnaiset erät'!I55+'9. Tulorahkorjauserät'!I55</f>
        <v>-844.10913590246787</v>
      </c>
      <c r="J55" s="41">
        <f>Vuosikate!J55+'7. Nettoinvestoinnit '!J55+'8. Satunnaiset erät'!J55+'9. Tulorahkorjauserät'!J55</f>
        <v>-1611.8838243134517</v>
      </c>
      <c r="K55" s="41">
        <f>Vuosikate!K55+'7. Nettoinvestoinnit '!K55+'8. Satunnaiset erät'!K55+'9. Tulorahkorjauserät'!K55</f>
        <v>-278.68881794079323</v>
      </c>
      <c r="L55" s="41">
        <f>Vuosikate!L55+'7. Nettoinvestoinnit '!L55+'8. Satunnaiset erät'!L55+'9. Tulorahkorjauserät'!L55</f>
        <v>-138.41044894712013</v>
      </c>
      <c r="M55" s="41">
        <f>Vuosikate!M55+'7. Nettoinvestoinnit '!M55+'8. Satunnaiset erät'!M55+'9. Tulorahkorjauserät'!M55</f>
        <v>-1658.9828706815924</v>
      </c>
      <c r="N55" s="41">
        <f>Vuosikate!N55+'7. Nettoinvestoinnit '!N55+'8. Satunnaiset erät'!N55+'9. Tulorahkorjauserät'!N55</f>
        <v>-1844.8009670568767</v>
      </c>
      <c r="O55" s="41">
        <f>Vuosikate!O55+'7. Nettoinvestoinnit '!O55+'8. Satunnaiset erät'!O55+'9. Tulorahkorjauserät'!O55</f>
        <v>-1519.4915965758773</v>
      </c>
      <c r="P55" s="41">
        <f>Vuosikate!P55+'7. Nettoinvestoinnit '!P55+'8. Satunnaiset erät'!P55+'9. Tulorahkorjauserät'!P55</f>
        <v>-843.84525004652232</v>
      </c>
      <c r="T55" s="34">
        <v>143</v>
      </c>
      <c r="U55" s="88" t="s">
        <v>369</v>
      </c>
      <c r="V55" s="41" t="e">
        <f>C55/'1. Väestöennuste'!E55*1000</f>
        <v>#REF!</v>
      </c>
      <c r="W55" s="41">
        <f>D55/'1. Väestöennuste'!F55*1000</f>
        <v>-497.05387205387206</v>
      </c>
      <c r="X55" s="41">
        <f>E55/'1. Väestöennuste'!G55*1000</f>
        <v>-173.9008287680854</v>
      </c>
      <c r="Y55" s="41">
        <f>F55/'1. Väestöennuste'!H55*1000</f>
        <v>-404.54091103812652</v>
      </c>
      <c r="Z55" s="41">
        <f>G55/'1. Väestöennuste'!I55*1000</f>
        <v>-209.44972630365888</v>
      </c>
      <c r="AA55" s="41">
        <f>H55/'1. Väestöennuste'!J55*1000</f>
        <v>687.38486103791877</v>
      </c>
      <c r="AB55" s="41">
        <f>I55/'1. Väestöennuste'!K55*1000</f>
        <v>-122.74380338846413</v>
      </c>
      <c r="AC55" s="41">
        <f>J55/'1. Väestöennuste'!L55*1000</f>
        <v>-236.90238452578654</v>
      </c>
      <c r="AD55" s="41">
        <f>K55/'1. Väestöennuste'!M55*1000</f>
        <v>-40.684498969458865</v>
      </c>
      <c r="AE55" s="41">
        <f>L55/'1. Väestöennuste'!N55*1000</f>
        <v>-20.844947130590381</v>
      </c>
      <c r="AF55" s="41">
        <f>M55/'1. Väestöennuste'!O55*1000</f>
        <v>-251.74246899568931</v>
      </c>
      <c r="AG55" s="41">
        <f>N55/'1. Väestöennuste'!P55*1000</f>
        <v>-281.95032356058027</v>
      </c>
      <c r="AH55" s="41">
        <f>O55/'1. Väestöennuste'!Q55*1000</f>
        <v>-233.87588064889601</v>
      </c>
      <c r="AI55" s="41">
        <f>P55/'1. Väestöennuste'!R55*1000</f>
        <v>-130.76789865899926</v>
      </c>
    </row>
    <row r="56" spans="1:35" x14ac:dyDescent="0.2">
      <c r="A56" s="34">
        <v>145</v>
      </c>
      <c r="B56" s="88" t="s">
        <v>370</v>
      </c>
      <c r="C56" s="41" t="e">
        <f>Vuosikate!C56+'7. Nettoinvestoinnit '!C56+'8. Satunnaiset erät'!C56+'9. Tulorahkorjauserät'!C56</f>
        <v>#REF!</v>
      </c>
      <c r="D56" s="41">
        <f>Vuosikate!D56+'7. Nettoinvestoinnit '!D56+'8. Satunnaiset erät'!D56+'9. Tulorahkorjauserät'!D56</f>
        <v>141</v>
      </c>
      <c r="E56" s="41">
        <f>Vuosikate!E56+'7. Nettoinvestoinnit '!E56+'8. Satunnaiset erät'!E56+'9. Tulorahkorjauserät'!E56</f>
        <v>883</v>
      </c>
      <c r="F56" s="41">
        <f>Vuosikate!F56+'7. Nettoinvestoinnit '!F56+'8. Satunnaiset erät'!F56+'9. Tulorahkorjauserät'!F56</f>
        <v>-1126</v>
      </c>
      <c r="G56" s="41">
        <f>Vuosikate!G56+'7. Nettoinvestoinnit '!G56+'8. Satunnaiset erät'!G56+'9. Tulorahkorjauserät'!G56</f>
        <v>-5129</v>
      </c>
      <c r="H56" s="41">
        <f>Vuosikate!H56+'7. Nettoinvestoinnit '!H56+'8. Satunnaiset erät'!H56+'9. Tulorahkorjauserät'!H56</f>
        <v>-6240.2115774934427</v>
      </c>
      <c r="I56" s="41">
        <f>Vuosikate!I56+'7. Nettoinvestoinnit '!I56+'8. Satunnaiset erät'!I56+'9. Tulorahkorjauserät'!I56</f>
        <v>-6294.4944249721893</v>
      </c>
      <c r="J56" s="41">
        <f>Vuosikate!J56+'7. Nettoinvestoinnit '!J56+'8. Satunnaiset erät'!J56+'9. Tulorahkorjauserät'!J56</f>
        <v>-6910.678438144093</v>
      </c>
      <c r="K56" s="41">
        <f>Vuosikate!K56+'7. Nettoinvestoinnit '!K56+'8. Satunnaiset erät'!K56+'9. Tulorahkorjauserät'!K56</f>
        <v>949.57175810694093</v>
      </c>
      <c r="L56" s="41">
        <f>Vuosikate!L56+'7. Nettoinvestoinnit '!L56+'8. Satunnaiset erät'!L56+'9. Tulorahkorjauserät'!L56</f>
        <v>-4892.4753337065958</v>
      </c>
      <c r="M56" s="41">
        <f>Vuosikate!M56+'7. Nettoinvestoinnit '!M56+'8. Satunnaiset erät'!M56+'9. Tulorahkorjauserät'!M56</f>
        <v>-9097.6846130723097</v>
      </c>
      <c r="N56" s="41">
        <f>Vuosikate!N56+'7. Nettoinvestoinnit '!N56+'8. Satunnaiset erät'!N56+'9. Tulorahkorjauserät'!N56</f>
        <v>-9259.5905292687657</v>
      </c>
      <c r="O56" s="41">
        <f>Vuosikate!O56+'7. Nettoinvestoinnit '!O56+'8. Satunnaiset erät'!O56+'9. Tulorahkorjauserät'!O56</f>
        <v>-9813.9596100232702</v>
      </c>
      <c r="P56" s="41">
        <f>Vuosikate!P56+'7. Nettoinvestoinnit '!P56+'8. Satunnaiset erät'!P56+'9. Tulorahkorjauserät'!P56</f>
        <v>-9874.1900306404132</v>
      </c>
      <c r="T56" s="34">
        <v>145</v>
      </c>
      <c r="U56" s="88" t="s">
        <v>370</v>
      </c>
      <c r="V56" s="41" t="e">
        <f>C56/'1. Väestöennuste'!E56*1000</f>
        <v>#REF!</v>
      </c>
      <c r="W56" s="41">
        <f>D56/'1. Väestöennuste'!F56*1000</f>
        <v>11.588723596613791</v>
      </c>
      <c r="X56" s="41">
        <f>E56/'1. Väestöennuste'!G56*1000</f>
        <v>72.347398607128227</v>
      </c>
      <c r="Y56" s="41">
        <f>F56/'1. Väestöennuste'!H56*1000</f>
        <v>-92.393534093706407</v>
      </c>
      <c r="Z56" s="41">
        <f>G56/'1. Väestöennuste'!I56*1000</f>
        <v>-418.04548047925664</v>
      </c>
      <c r="AA56" s="41">
        <f>H56/'1. Väestöennuste'!J56*1000</f>
        <v>-507.5818755078447</v>
      </c>
      <c r="AB56" s="41">
        <f>I56/'1. Väestöennuste'!K56*1000</f>
        <v>-509.01620774479937</v>
      </c>
      <c r="AC56" s="41">
        <f>J56/'1. Väestöennuste'!L56*1000</f>
        <v>-558.70955114755384</v>
      </c>
      <c r="AD56" s="41">
        <f>K56/'1. Väestöennuste'!M56*1000</f>
        <v>76.932006652105727</v>
      </c>
      <c r="AE56" s="41">
        <f>L56/'1. Väestöennuste'!N56*1000</f>
        <v>-393.38066524938461</v>
      </c>
      <c r="AF56" s="41">
        <f>M56/'1. Väestöennuste'!O56*1000</f>
        <v>-730.3857268041354</v>
      </c>
      <c r="AG56" s="41">
        <f>N56/'1. Väestöennuste'!P56*1000</f>
        <v>-742.60891244436334</v>
      </c>
      <c r="AH56" s="41">
        <f>O56/'1. Väestöennuste'!Q56*1000</f>
        <v>-786.56404664769343</v>
      </c>
      <c r="AI56" s="41">
        <f>P56/'1. Väestöennuste'!R56*1000</f>
        <v>-791.39136255834046</v>
      </c>
    </row>
    <row r="57" spans="1:35" x14ac:dyDescent="0.2">
      <c r="A57" s="34">
        <v>146</v>
      </c>
      <c r="B57" s="88" t="s">
        <v>371</v>
      </c>
      <c r="C57" s="41" t="e">
        <f>Vuosikate!C57+'7. Nettoinvestoinnit '!C57+'8. Satunnaiset erät'!C57+'9. Tulorahkorjauserät'!C57</f>
        <v>#REF!</v>
      </c>
      <c r="D57" s="41">
        <f>Vuosikate!D57+'7. Nettoinvestoinnit '!D57+'8. Satunnaiset erät'!D57+'9. Tulorahkorjauserät'!D57</f>
        <v>158</v>
      </c>
      <c r="E57" s="41">
        <f>Vuosikate!E57+'7. Nettoinvestoinnit '!E57+'8. Satunnaiset erät'!E57+'9. Tulorahkorjauserät'!E57</f>
        <v>413</v>
      </c>
      <c r="F57" s="41">
        <f>Vuosikate!F57+'7. Nettoinvestoinnit '!F57+'8. Satunnaiset erät'!F57+'9. Tulorahkorjauserät'!F57</f>
        <v>9</v>
      </c>
      <c r="G57" s="41">
        <f>Vuosikate!G57+'7. Nettoinvestoinnit '!G57+'8. Satunnaiset erät'!G57+'9. Tulorahkorjauserät'!G57</f>
        <v>834</v>
      </c>
      <c r="H57" s="41">
        <f>Vuosikate!H57+'7. Nettoinvestoinnit '!H57+'8. Satunnaiset erät'!H57+'9. Tulorahkorjauserät'!H57</f>
        <v>4337.1651969566119</v>
      </c>
      <c r="I57" s="41">
        <f>Vuosikate!I57+'7. Nettoinvestoinnit '!I57+'8. Satunnaiset erät'!I57+'9. Tulorahkorjauserät'!I57</f>
        <v>4321.000008825843</v>
      </c>
      <c r="J57" s="41">
        <f>Vuosikate!J57+'7. Nettoinvestoinnit '!J57+'8. Satunnaiset erät'!J57+'9. Tulorahkorjauserät'!J57</f>
        <v>848.90674268449857</v>
      </c>
      <c r="K57" s="41">
        <f>Vuosikate!K57+'7. Nettoinvestoinnit '!K57+'8. Satunnaiset erät'!K57+'9. Tulorahkorjauserät'!K57</f>
        <v>2961.8891991271348</v>
      </c>
      <c r="L57" s="41">
        <f>Vuosikate!L57+'7. Nettoinvestoinnit '!L57+'8. Satunnaiset erät'!L57+'9. Tulorahkorjauserät'!L57</f>
        <v>233.0737003242449</v>
      </c>
      <c r="M57" s="41">
        <f>Vuosikate!M57+'7. Nettoinvestoinnit '!M57+'8. Satunnaiset erät'!M57+'9. Tulorahkorjauserät'!M57</f>
        <v>-694.59166858498281</v>
      </c>
      <c r="N57" s="41">
        <f>Vuosikate!N57+'7. Nettoinvestoinnit '!N57+'8. Satunnaiset erät'!N57+'9. Tulorahkorjauserät'!N57</f>
        <v>-826.75401933524643</v>
      </c>
      <c r="O57" s="41">
        <f>Vuosikate!O57+'7. Nettoinvestoinnit '!O57+'8. Satunnaiset erät'!O57+'9. Tulorahkorjauserät'!O57</f>
        <v>-1029.2077547366064</v>
      </c>
      <c r="P57" s="41">
        <f>Vuosikate!P57+'7. Nettoinvestoinnit '!P57+'8. Satunnaiset erät'!P57+'9. Tulorahkorjauserät'!P57</f>
        <v>-454.96005869639595</v>
      </c>
      <c r="T57" s="34">
        <v>146</v>
      </c>
      <c r="U57" s="88" t="s">
        <v>371</v>
      </c>
      <c r="V57" s="41" t="e">
        <f>C57/'1. Väestöennuste'!E57*1000</f>
        <v>#REF!</v>
      </c>
      <c r="W57" s="41">
        <f>D57/'1. Väestöennuste'!F57*1000</f>
        <v>30.169944624785181</v>
      </c>
      <c r="X57" s="41">
        <f>E57/'1. Väestöennuste'!G57*1000</f>
        <v>80.538221528861158</v>
      </c>
      <c r="Y57" s="41">
        <f>F57/'1. Väestöennuste'!H57*1000</f>
        <v>1.8097727729740598</v>
      </c>
      <c r="Z57" s="41">
        <f>G57/'1. Väestöennuste'!I57*1000</f>
        <v>171.71093267449041</v>
      </c>
      <c r="AA57" s="41">
        <f>H57/'1. Väestöennuste'!J57*1000</f>
        <v>913.27967929176918</v>
      </c>
      <c r="AB57" s="41">
        <f>I57/'1. Väestöennuste'!K57*1000</f>
        <v>930.6482896458848</v>
      </c>
      <c r="AC57" s="41">
        <f>J57/'1. Väestöennuste'!L57*1000</f>
        <v>188.9819106599507</v>
      </c>
      <c r="AD57" s="41">
        <f>K57/'1. Väestöennuste'!M57*1000</f>
        <v>672.23994533071607</v>
      </c>
      <c r="AE57" s="41">
        <f>L57/'1. Väestöennuste'!N57*1000</f>
        <v>53.555537758328327</v>
      </c>
      <c r="AF57" s="41">
        <f>M57/'1. Väestöennuste'!O57*1000</f>
        <v>-162.66783807610838</v>
      </c>
      <c r="AG57" s="41">
        <f>N57/'1. Väestöennuste'!P57*1000</f>
        <v>-197.26891418163837</v>
      </c>
      <c r="AH57" s="41">
        <f>O57/'1. Väestöennuste'!Q57*1000</f>
        <v>-250.11124051922391</v>
      </c>
      <c r="AI57" s="41">
        <f>P57/'1. Väestöennuste'!R57*1000</f>
        <v>-112.55815405650569</v>
      </c>
    </row>
    <row r="58" spans="1:35" x14ac:dyDescent="0.2">
      <c r="A58" s="34">
        <v>148</v>
      </c>
      <c r="B58" s="88" t="s">
        <v>372</v>
      </c>
      <c r="C58" s="41" t="e">
        <f>Vuosikate!C58+'7. Nettoinvestoinnit '!C58+'8. Satunnaiset erät'!C58+'9. Tulorahkorjauserät'!C58</f>
        <v>#REF!</v>
      </c>
      <c r="D58" s="41">
        <f>Vuosikate!D58+'7. Nettoinvestoinnit '!D58+'8. Satunnaiset erät'!D58+'9. Tulorahkorjauserät'!D58</f>
        <v>1620</v>
      </c>
      <c r="E58" s="41">
        <f>Vuosikate!E58+'7. Nettoinvestoinnit '!E58+'8. Satunnaiset erät'!E58+'9. Tulorahkorjauserät'!E58</f>
        <v>2053</v>
      </c>
      <c r="F58" s="41">
        <f>Vuosikate!F58+'7. Nettoinvestoinnit '!F58+'8. Satunnaiset erät'!F58+'9. Tulorahkorjauserät'!F58</f>
        <v>1652</v>
      </c>
      <c r="G58" s="41">
        <f>Vuosikate!G58+'7. Nettoinvestoinnit '!G58+'8. Satunnaiset erät'!G58+'9. Tulorahkorjauserät'!G58</f>
        <v>-1931</v>
      </c>
      <c r="H58" s="41">
        <f>Vuosikate!H58+'7. Nettoinvestoinnit '!H58+'8. Satunnaiset erät'!H58+'9. Tulorahkorjauserät'!H58</f>
        <v>2941.5056375093845</v>
      </c>
      <c r="I58" s="41">
        <f>Vuosikate!I58+'7. Nettoinvestoinnit '!I58+'8. Satunnaiset erät'!I58+'9. Tulorahkorjauserät'!I58</f>
        <v>4612.6052372873501</v>
      </c>
      <c r="J58" s="41">
        <f>Vuosikate!J58+'7. Nettoinvestoinnit '!J58+'8. Satunnaiset erät'!J58+'9. Tulorahkorjauserät'!J58</f>
        <v>3041.6307271501073</v>
      </c>
      <c r="K58" s="41">
        <f>Vuosikate!K58+'7. Nettoinvestoinnit '!K58+'8. Satunnaiset erät'!K58+'9. Tulorahkorjauserät'!K58</f>
        <v>1966.3146790783439</v>
      </c>
      <c r="L58" s="41">
        <f>Vuosikate!L58+'7. Nettoinvestoinnit '!L58+'8. Satunnaiset erät'!L58+'9. Tulorahkorjauserät'!L58</f>
        <v>388.41716438563344</v>
      </c>
      <c r="M58" s="41">
        <f>Vuosikate!M58+'7. Nettoinvestoinnit '!M58+'8. Satunnaiset erät'!M58+'9. Tulorahkorjauserät'!M58</f>
        <v>-397.49756514122146</v>
      </c>
      <c r="N58" s="41">
        <f>Vuosikate!N58+'7. Nettoinvestoinnit '!N58+'8. Satunnaiset erät'!N58+'9. Tulorahkorjauserät'!N58</f>
        <v>-659.74992804837211</v>
      </c>
      <c r="O58" s="41">
        <f>Vuosikate!O58+'7. Nettoinvestoinnit '!O58+'8. Satunnaiset erät'!O58+'9. Tulorahkorjauserät'!O58</f>
        <v>-841.00235504186276</v>
      </c>
      <c r="P58" s="41">
        <f>Vuosikate!P58+'7. Nettoinvestoinnit '!P58+'8. Satunnaiset erät'!P58+'9. Tulorahkorjauserät'!P58</f>
        <v>-593.66228632621687</v>
      </c>
      <c r="T58" s="34">
        <v>148</v>
      </c>
      <c r="U58" s="88" t="s">
        <v>372</v>
      </c>
      <c r="V58" s="41" t="e">
        <f>C58/'1. Väestöennuste'!E58*1000</f>
        <v>#REF!</v>
      </c>
      <c r="W58" s="41">
        <f>D58/'1. Väestöennuste'!F58*1000</f>
        <v>237.36263736263734</v>
      </c>
      <c r="X58" s="41">
        <f>E58/'1. Väestöennuste'!G58*1000</f>
        <v>298.87902169165818</v>
      </c>
      <c r="Y58" s="41">
        <f>F58/'1. Väestöennuste'!H58*1000</f>
        <v>238.38383838383839</v>
      </c>
      <c r="Z58" s="41">
        <f>G58/'1. Väestöennuste'!I58*1000</f>
        <v>-279.57144925437962</v>
      </c>
      <c r="AA58" s="41">
        <f>H58/'1. Väestöennuste'!J58*1000</f>
        <v>428.66593376703361</v>
      </c>
      <c r="AB58" s="41">
        <f>I58/'1. Väestöennuste'!K58*1000</f>
        <v>658.19138659922226</v>
      </c>
      <c r="AC58" s="41">
        <f>J58/'1. Väestöennuste'!L58*1000</f>
        <v>431.62065093658396</v>
      </c>
      <c r="AD58" s="41">
        <f>K58/'1. Väestöennuste'!M58*1000</f>
        <v>275.89654540176008</v>
      </c>
      <c r="AE58" s="41">
        <f>L58/'1. Väestöennuste'!N58*1000</f>
        <v>56.357684907956099</v>
      </c>
      <c r="AF58" s="41">
        <f>M58/'1. Väestöennuste'!O58*1000</f>
        <v>-57.608342774090069</v>
      </c>
      <c r="AG58" s="41">
        <f>N58/'1. Väestöennuste'!P58*1000</f>
        <v>-95.532859549431237</v>
      </c>
      <c r="AH58" s="41">
        <f>O58/'1. Väestöennuste'!Q58*1000</f>
        <v>-121.65519384375274</v>
      </c>
      <c r="AI58" s="41">
        <f>P58/'1. Väestöennuste'!R58*1000</f>
        <v>-85.789347735002437</v>
      </c>
    </row>
    <row r="59" spans="1:35" x14ac:dyDescent="0.2">
      <c r="A59" s="34">
        <v>149</v>
      </c>
      <c r="B59" s="88" t="s">
        <v>373</v>
      </c>
      <c r="C59" s="41" t="e">
        <f>Vuosikate!C59+'7. Nettoinvestoinnit '!C59+'8. Satunnaiset erät'!C59+'9. Tulorahkorjauserät'!C59</f>
        <v>#REF!</v>
      </c>
      <c r="D59" s="41">
        <f>Vuosikate!D59+'7. Nettoinvestoinnit '!D59+'8. Satunnaiset erät'!D59+'9. Tulorahkorjauserät'!D59</f>
        <v>1298</v>
      </c>
      <c r="E59" s="41">
        <f>Vuosikate!E59+'7. Nettoinvestoinnit '!E59+'8. Satunnaiset erät'!E59+'9. Tulorahkorjauserät'!E59</f>
        <v>800</v>
      </c>
      <c r="F59" s="41">
        <f>Vuosikate!F59+'7. Nettoinvestoinnit '!F59+'8. Satunnaiset erät'!F59+'9. Tulorahkorjauserät'!F59</f>
        <v>811</v>
      </c>
      <c r="G59" s="41">
        <f>Vuosikate!G59+'7. Nettoinvestoinnit '!G59+'8. Satunnaiset erät'!G59+'9. Tulorahkorjauserät'!G59</f>
        <v>-1307</v>
      </c>
      <c r="H59" s="41">
        <f>Vuosikate!H59+'7. Nettoinvestoinnit '!H59+'8. Satunnaiset erät'!H59+'9. Tulorahkorjauserät'!H59</f>
        <v>2401.2601452154431</v>
      </c>
      <c r="I59" s="41">
        <f>Vuosikate!I59+'7. Nettoinvestoinnit '!I59+'8. Satunnaiset erät'!I59+'9. Tulorahkorjauserät'!I59</f>
        <v>-2788.5470702706857</v>
      </c>
      <c r="J59" s="41">
        <f>Vuosikate!J59+'7. Nettoinvestoinnit '!J59+'8. Satunnaiset erät'!J59+'9. Tulorahkorjauserät'!J59</f>
        <v>-7890.9350037114209</v>
      </c>
      <c r="K59" s="41">
        <f>Vuosikate!K59+'7. Nettoinvestoinnit '!K59+'8. Satunnaiset erät'!K59+'9. Tulorahkorjauserät'!K59</f>
        <v>-9346.7261845143785</v>
      </c>
      <c r="L59" s="41">
        <f>Vuosikate!L59+'7. Nettoinvestoinnit '!L59+'8. Satunnaiset erät'!L59+'9. Tulorahkorjauserät'!L59</f>
        <v>-5730.9186077423619</v>
      </c>
      <c r="M59" s="41">
        <f>Vuosikate!M59+'7. Nettoinvestoinnit '!M59+'8. Satunnaiset erät'!M59+'9. Tulorahkorjauserät'!M59</f>
        <v>-6075.0765472144412</v>
      </c>
      <c r="N59" s="41">
        <f>Vuosikate!N59+'7. Nettoinvestoinnit '!N59+'8. Satunnaiset erät'!N59+'9. Tulorahkorjauserät'!N59</f>
        <v>-6473.1646325544216</v>
      </c>
      <c r="O59" s="41">
        <f>Vuosikate!O59+'7. Nettoinvestoinnit '!O59+'8. Satunnaiset erät'!O59+'9. Tulorahkorjauserät'!O59</f>
        <v>-6476.9308742821877</v>
      </c>
      <c r="P59" s="41">
        <f>Vuosikate!P59+'7. Nettoinvestoinnit '!P59+'8. Satunnaiset erät'!P59+'9. Tulorahkorjauserät'!P59</f>
        <v>-6657.8674769329573</v>
      </c>
      <c r="T59" s="34">
        <v>149</v>
      </c>
      <c r="U59" s="88" t="s">
        <v>373</v>
      </c>
      <c r="V59" s="41" t="e">
        <f>C59/'1. Väestöennuste'!E59*1000</f>
        <v>#REF!</v>
      </c>
      <c r="W59" s="41">
        <f>D59/'1. Väestöennuste'!F59*1000</f>
        <v>232.40823634735898</v>
      </c>
      <c r="X59" s="41">
        <f>E59/'1. Väestöennuste'!G59*1000</f>
        <v>145.95876664842183</v>
      </c>
      <c r="Y59" s="41">
        <f>F59/'1. Väestöennuste'!H59*1000</f>
        <v>150.10179529890803</v>
      </c>
      <c r="Z59" s="41">
        <f>G59/'1. Väestöennuste'!I59*1000</f>
        <v>-242.66617155588563</v>
      </c>
      <c r="AA59" s="41">
        <f>H59/'1. Väestöennuste'!J59*1000</f>
        <v>451.2798619085591</v>
      </c>
      <c r="AB59" s="41">
        <f>I59/'1. Väestöennuste'!K59*1000</f>
        <v>-520.93164025232306</v>
      </c>
      <c r="AC59" s="41">
        <f>J59/'1. Väestöennuste'!L59*1000</f>
        <v>-1465.6268580444689</v>
      </c>
      <c r="AD59" s="41">
        <f>K59/'1. Väestöennuste'!M59*1000</f>
        <v>-1737.6326797758652</v>
      </c>
      <c r="AE59" s="41">
        <f>L59/'1. Väestöennuste'!N59*1000</f>
        <v>-1105.5012746416592</v>
      </c>
      <c r="AF59" s="41">
        <f>M59/'1. Väestöennuste'!O59*1000</f>
        <v>-1177.1122935893125</v>
      </c>
      <c r="AG59" s="41">
        <f>N59/'1. Väestöennuste'!P59*1000</f>
        <v>-1260.1060215212035</v>
      </c>
      <c r="AH59" s="41">
        <f>O59/'1. Väestöennuste'!Q59*1000</f>
        <v>-1266.0146353170815</v>
      </c>
      <c r="AI59" s="41">
        <f>P59/'1. Väestöennuste'!R59*1000</f>
        <v>-1306.4889083463418</v>
      </c>
    </row>
    <row r="60" spans="1:35" x14ac:dyDescent="0.2">
      <c r="A60" s="34">
        <v>151</v>
      </c>
      <c r="B60" s="88" t="s">
        <v>374</v>
      </c>
      <c r="C60" s="41" t="e">
        <f>Vuosikate!C60+'7. Nettoinvestoinnit '!C60+'8. Satunnaiset erät'!C60+'9. Tulorahkorjauserät'!C60</f>
        <v>#REF!</v>
      </c>
      <c r="D60" s="41">
        <f>Vuosikate!D60+'7. Nettoinvestoinnit '!D60+'8. Satunnaiset erät'!D60+'9. Tulorahkorjauserät'!D60</f>
        <v>758</v>
      </c>
      <c r="E60" s="41">
        <f>Vuosikate!E60+'7. Nettoinvestoinnit '!E60+'8. Satunnaiset erät'!E60+'9. Tulorahkorjauserät'!E60</f>
        <v>843</v>
      </c>
      <c r="F60" s="41">
        <f>Vuosikate!F60+'7. Nettoinvestoinnit '!F60+'8. Satunnaiset erät'!F60+'9. Tulorahkorjauserät'!F60</f>
        <v>45</v>
      </c>
      <c r="G60" s="41">
        <f>Vuosikate!G60+'7. Nettoinvestoinnit '!G60+'8. Satunnaiset erät'!G60+'9. Tulorahkorjauserät'!G60</f>
        <v>-201</v>
      </c>
      <c r="H60" s="41">
        <f>Vuosikate!H60+'7. Nettoinvestoinnit '!H60+'8. Satunnaiset erät'!H60+'9. Tulorahkorjauserät'!H60</f>
        <v>1373.0990020439276</v>
      </c>
      <c r="I60" s="41">
        <f>Vuosikate!I60+'7. Nettoinvestoinnit '!I60+'8. Satunnaiset erät'!I60+'9. Tulorahkorjauserät'!I60</f>
        <v>68.413487200699791</v>
      </c>
      <c r="J60" s="41">
        <f>Vuosikate!J60+'7. Nettoinvestoinnit '!J60+'8. Satunnaiset erät'!J60+'9. Tulorahkorjauserät'!J60</f>
        <v>1128.7130602253208</v>
      </c>
      <c r="K60" s="41">
        <f>Vuosikate!K60+'7. Nettoinvestoinnit '!K60+'8. Satunnaiset erät'!K60+'9. Tulorahkorjauserät'!K60</f>
        <v>1195.0067785820681</v>
      </c>
      <c r="L60" s="41">
        <f>Vuosikate!L60+'7. Nettoinvestoinnit '!L60+'8. Satunnaiset erät'!L60+'9. Tulorahkorjauserät'!L60</f>
        <v>214.07280778925832</v>
      </c>
      <c r="M60" s="41">
        <f>Vuosikate!M60+'7. Nettoinvestoinnit '!M60+'8. Satunnaiset erät'!M60+'9. Tulorahkorjauserät'!M60</f>
        <v>231.67491740391267</v>
      </c>
      <c r="N60" s="41">
        <f>Vuosikate!N60+'7. Nettoinvestoinnit '!N60+'8. Satunnaiset erät'!N60+'9. Tulorahkorjauserät'!N60</f>
        <v>154.15719625594897</v>
      </c>
      <c r="O60" s="41">
        <f>Vuosikate!O60+'7. Nettoinvestoinnit '!O60+'8. Satunnaiset erät'!O60+'9. Tulorahkorjauserät'!O60</f>
        <v>210.23328820958091</v>
      </c>
      <c r="P60" s="41">
        <f>Vuosikate!P60+'7. Nettoinvestoinnit '!P60+'8. Satunnaiset erät'!P60+'9. Tulorahkorjauserät'!P60</f>
        <v>299.4208780956817</v>
      </c>
      <c r="T60" s="34">
        <v>151</v>
      </c>
      <c r="U60" s="88" t="s">
        <v>374</v>
      </c>
      <c r="V60" s="41" t="e">
        <f>C60/'1. Väestöennuste'!E60*1000</f>
        <v>#REF!</v>
      </c>
      <c r="W60" s="41">
        <f>D60/'1. Väestöennuste'!F60*1000</f>
        <v>364.59836459836458</v>
      </c>
      <c r="X60" s="41">
        <f>E60/'1. Väestöennuste'!G60*1000</f>
        <v>414.86220472440942</v>
      </c>
      <c r="Y60" s="41">
        <f>F60/'1. Väestöennuste'!H60*1000</f>
        <v>22.773279352226719</v>
      </c>
      <c r="Z60" s="41">
        <f>G60/'1. Väestöennuste'!I60*1000</f>
        <v>-103.02409021014864</v>
      </c>
      <c r="AA60" s="41">
        <f>H60/'1. Väestöennuste'!J60*1000</f>
        <v>713.29818287996238</v>
      </c>
      <c r="AB60" s="41">
        <f>I60/'1. Väestöennuste'!K60*1000</f>
        <v>36.178470227762979</v>
      </c>
      <c r="AC60" s="41">
        <f>J60/'1. Väestöennuste'!L60*1000</f>
        <v>609.4562960179918</v>
      </c>
      <c r="AD60" s="41">
        <f>K60/'1. Väestöennuste'!M60*1000</f>
        <v>658.76889668250726</v>
      </c>
      <c r="AE60" s="41">
        <f>L60/'1. Väestöennuste'!N60*1000</f>
        <v>119.19421369112379</v>
      </c>
      <c r="AF60" s="41">
        <f>M60/'1. Väestöennuste'!O60*1000</f>
        <v>130.88978384401844</v>
      </c>
      <c r="AG60" s="41">
        <f>N60/'1. Väestöennuste'!P60*1000</f>
        <v>88.342232811432083</v>
      </c>
      <c r="AH60" s="41">
        <f>O60/'1. Väestöennuste'!Q60*1000</f>
        <v>121.87436997656864</v>
      </c>
      <c r="AI60" s="41">
        <f>P60/'1. Väestöennuste'!R60*1000</f>
        <v>175.71647775568175</v>
      </c>
    </row>
    <row r="61" spans="1:35" x14ac:dyDescent="0.2">
      <c r="A61" s="34">
        <v>152</v>
      </c>
      <c r="B61" s="88" t="s">
        <v>375</v>
      </c>
      <c r="C61" s="41" t="e">
        <f>Vuosikate!C61+'7. Nettoinvestoinnit '!C61+'8. Satunnaiset erät'!C61+'9. Tulorahkorjauserät'!C61</f>
        <v>#REF!</v>
      </c>
      <c r="D61" s="41">
        <f>Vuosikate!D61+'7. Nettoinvestoinnit '!D61+'8. Satunnaiset erät'!D61+'9. Tulorahkorjauserät'!D61</f>
        <v>1902</v>
      </c>
      <c r="E61" s="41">
        <f>Vuosikate!E61+'7. Nettoinvestoinnit '!E61+'8. Satunnaiset erät'!E61+'9. Tulorahkorjauserät'!E61</f>
        <v>676</v>
      </c>
      <c r="F61" s="41">
        <f>Vuosikate!F61+'7. Nettoinvestoinnit '!F61+'8. Satunnaiset erät'!F61+'9. Tulorahkorjauserät'!F61</f>
        <v>773</v>
      </c>
      <c r="G61" s="41">
        <f>Vuosikate!G61+'7. Nettoinvestoinnit '!G61+'8. Satunnaiset erät'!G61+'9. Tulorahkorjauserät'!G61</f>
        <v>-3730</v>
      </c>
      <c r="H61" s="41">
        <f>Vuosikate!H61+'7. Nettoinvestoinnit '!H61+'8. Satunnaiset erät'!H61+'9. Tulorahkorjauserät'!H61</f>
        <v>1106.3897659165741</v>
      </c>
      <c r="I61" s="41">
        <f>Vuosikate!I61+'7. Nettoinvestoinnit '!I61+'8. Satunnaiset erät'!I61+'9. Tulorahkorjauserät'!I61</f>
        <v>-678.49161698765181</v>
      </c>
      <c r="J61" s="41">
        <f>Vuosikate!J61+'7. Nettoinvestoinnit '!J61+'8. Satunnaiset erät'!J61+'9. Tulorahkorjauserät'!J61</f>
        <v>575.49401198377063</v>
      </c>
      <c r="K61" s="41">
        <f>Vuosikate!K61+'7. Nettoinvestoinnit '!K61+'8. Satunnaiset erät'!K61+'9. Tulorahkorjauserät'!K61</f>
        <v>547.74414692245841</v>
      </c>
      <c r="L61" s="41">
        <f>Vuosikate!L61+'7. Nettoinvestoinnit '!L61+'8. Satunnaiset erät'!L61+'9. Tulorahkorjauserät'!L61</f>
        <v>-417.66641267866726</v>
      </c>
      <c r="M61" s="41">
        <f>Vuosikate!M61+'7. Nettoinvestoinnit '!M61+'8. Satunnaiset erät'!M61+'9. Tulorahkorjauserät'!M61</f>
        <v>-1106.8467818398626</v>
      </c>
      <c r="N61" s="41">
        <f>Vuosikate!N61+'7. Nettoinvestoinnit '!N61+'8. Satunnaiset erät'!N61+'9. Tulorahkorjauserät'!N61</f>
        <v>-1512.8909996275311</v>
      </c>
      <c r="O61" s="41">
        <f>Vuosikate!O61+'7. Nettoinvestoinnit '!O61+'8. Satunnaiset erät'!O61+'9. Tulorahkorjauserät'!O61</f>
        <v>-1575.3460555455922</v>
      </c>
      <c r="P61" s="41">
        <f>Vuosikate!P61+'7. Nettoinvestoinnit '!P61+'8. Satunnaiset erät'!P61+'9. Tulorahkorjauserät'!P61</f>
        <v>-1188.1592504407611</v>
      </c>
      <c r="T61" s="34">
        <v>152</v>
      </c>
      <c r="U61" s="88" t="s">
        <v>375</v>
      </c>
      <c r="V61" s="41" t="e">
        <f>C61/'1. Väestöennuste'!E61*1000</f>
        <v>#REF!</v>
      </c>
      <c r="W61" s="41">
        <f>D61/'1. Väestöennuste'!F61*1000</f>
        <v>403.65025466893042</v>
      </c>
      <c r="X61" s="41">
        <f>E61/'1. Väestöennuste'!G61*1000</f>
        <v>144.66081746201584</v>
      </c>
      <c r="Y61" s="41">
        <f>F61/'1. Väestöennuste'!H61*1000</f>
        <v>168.00695500978048</v>
      </c>
      <c r="Z61" s="41">
        <f>G61/'1. Väestöennuste'!I61*1000</f>
        <v>-824.85625829279081</v>
      </c>
      <c r="AA61" s="41">
        <f>H61/'1. Väestöennuste'!J61*1000</f>
        <v>247.45912903524359</v>
      </c>
      <c r="AB61" s="41">
        <f>I61/'1. Väestöennuste'!K61*1000</f>
        <v>-151.44902164902942</v>
      </c>
      <c r="AC61" s="41">
        <f>J61/'1. Väestöennuste'!L61*1000</f>
        <v>130.61598093140506</v>
      </c>
      <c r="AD61" s="41">
        <f>K61/'1. Väestöennuste'!M61*1000</f>
        <v>125.71589325739232</v>
      </c>
      <c r="AE61" s="41">
        <f>L61/'1. Väestöennuste'!N61*1000</f>
        <v>-97.8829183685651</v>
      </c>
      <c r="AF61" s="41">
        <f>M61/'1. Väestöennuste'!O61*1000</f>
        <v>-262.28596726063097</v>
      </c>
      <c r="AG61" s="41">
        <f>N61/'1. Väestöennuste'!P61*1000</f>
        <v>-362.45591749581484</v>
      </c>
      <c r="AH61" s="41">
        <f>O61/'1. Väestöennuste'!Q61*1000</f>
        <v>-381.71699916297365</v>
      </c>
      <c r="AI61" s="41">
        <f>P61/'1. Väestöennuste'!R61*1000</f>
        <v>-290.7878733335196</v>
      </c>
    </row>
    <row r="62" spans="1:35" x14ac:dyDescent="0.2">
      <c r="A62" s="34">
        <v>153</v>
      </c>
      <c r="B62" s="88" t="s">
        <v>376</v>
      </c>
      <c r="C62" s="41" t="e">
        <f>Vuosikate!C62+'7. Nettoinvestoinnit '!C62+'8. Satunnaiset erät'!C62+'9. Tulorahkorjauserät'!C62</f>
        <v>#REF!</v>
      </c>
      <c r="D62" s="41">
        <f>Vuosikate!D62+'7. Nettoinvestoinnit '!D62+'8. Satunnaiset erät'!D62+'9. Tulorahkorjauserät'!D62</f>
        <v>2565</v>
      </c>
      <c r="E62" s="41">
        <f>Vuosikate!E62+'7. Nettoinvestoinnit '!E62+'8. Satunnaiset erät'!E62+'9. Tulorahkorjauserät'!E62</f>
        <v>10174</v>
      </c>
      <c r="F62" s="41">
        <f>Vuosikate!F62+'7. Nettoinvestoinnit '!F62+'8. Satunnaiset erät'!F62+'9. Tulorahkorjauserät'!F62</f>
        <v>-9584</v>
      </c>
      <c r="G62" s="41">
        <f>Vuosikate!G62+'7. Nettoinvestoinnit '!G62+'8. Satunnaiset erät'!G62+'9. Tulorahkorjauserät'!G62</f>
        <v>-15838</v>
      </c>
      <c r="H62" s="41">
        <f>Vuosikate!H62+'7. Nettoinvestoinnit '!H62+'8. Satunnaiset erät'!H62+'9. Tulorahkorjauserät'!H62</f>
        <v>-9350.7182581757079</v>
      </c>
      <c r="I62" s="41">
        <f>Vuosikate!I62+'7. Nettoinvestoinnit '!I62+'8. Satunnaiset erät'!I62+'9. Tulorahkorjauserät'!I62</f>
        <v>-6183.9312379970361</v>
      </c>
      <c r="J62" s="41">
        <f>Vuosikate!J62+'7. Nettoinvestoinnit '!J62+'8. Satunnaiset erät'!J62+'9. Tulorahkorjauserät'!J62</f>
        <v>-11911.876053375338</v>
      </c>
      <c r="K62" s="41">
        <f>Vuosikate!K62+'7. Nettoinvestoinnit '!K62+'8. Satunnaiset erät'!K62+'9. Tulorahkorjauserät'!K62</f>
        <v>-185.89701469837769</v>
      </c>
      <c r="L62" s="41">
        <f>Vuosikate!L62+'7. Nettoinvestoinnit '!L62+'8. Satunnaiset erät'!L62+'9. Tulorahkorjauserät'!L62</f>
        <v>-7608.3144465093719</v>
      </c>
      <c r="M62" s="41">
        <f>Vuosikate!M62+'7. Nettoinvestoinnit '!M62+'8. Satunnaiset erät'!M62+'9. Tulorahkorjauserät'!M62</f>
        <v>-11185.395059823299</v>
      </c>
      <c r="N62" s="41">
        <f>Vuosikate!N62+'7. Nettoinvestoinnit '!N62+'8. Satunnaiset erät'!N62+'9. Tulorahkorjauserät'!N62</f>
        <v>-13283.109249423538</v>
      </c>
      <c r="O62" s="41">
        <f>Vuosikate!O62+'7. Nettoinvestoinnit '!O62+'8. Satunnaiset erät'!O62+'9. Tulorahkorjauserät'!O62</f>
        <v>-14739.251373138017</v>
      </c>
      <c r="P62" s="41">
        <f>Vuosikate!P62+'7. Nettoinvestoinnit '!P62+'8. Satunnaiset erät'!P62+'9. Tulorahkorjauserät'!P62</f>
        <v>-12362.18183580898</v>
      </c>
      <c r="T62" s="34">
        <v>153</v>
      </c>
      <c r="U62" s="88" t="s">
        <v>376</v>
      </c>
      <c r="V62" s="41" t="e">
        <f>C62/'1. Väestöennuste'!E62*1000</f>
        <v>#REF!</v>
      </c>
      <c r="W62" s="41">
        <f>D62/'1. Väestöennuste'!F62*1000</f>
        <v>93.215103390631242</v>
      </c>
      <c r="X62" s="41">
        <f>E62/'1. Väestöennuste'!G62*1000</f>
        <v>373.09765667974625</v>
      </c>
      <c r="Y62" s="41">
        <f>F62/'1. Väestöennuste'!H62*1000</f>
        <v>-355.85920095054212</v>
      </c>
      <c r="Z62" s="41">
        <f>G62/'1. Väestöennuste'!I62*1000</f>
        <v>-597.48000603591368</v>
      </c>
      <c r="AA62" s="41">
        <f>H62/'1. Väestöennuste'!J62*1000</f>
        <v>-358.60856215438957</v>
      </c>
      <c r="AB62" s="41">
        <f>I62/'1. Väestöennuste'!K62*1000</f>
        <v>-241.04195041890611</v>
      </c>
      <c r="AC62" s="41">
        <f>J62/'1. Väestöennuste'!L62*1000</f>
        <v>-472.54348037826634</v>
      </c>
      <c r="AD62" s="41">
        <f>K62/'1. Väestöennuste'!M62*1000</f>
        <v>-7.4600511536730076</v>
      </c>
      <c r="AE62" s="41">
        <f>L62/'1. Väestöennuste'!N62*1000</f>
        <v>-307.80461390522584</v>
      </c>
      <c r="AF62" s="41">
        <f>M62/'1. Väestöennuste'!O62*1000</f>
        <v>-458.54938137266015</v>
      </c>
      <c r="AG62" s="41">
        <f>N62/'1. Väestöennuste'!P62*1000</f>
        <v>-551.69287076560784</v>
      </c>
      <c r="AH62" s="41">
        <f>O62/'1. Väestöennuste'!Q62*1000</f>
        <v>-619.94748152000068</v>
      </c>
      <c r="AI62" s="41">
        <f>P62/'1. Väestöennuste'!R62*1000</f>
        <v>-526.25183414111711</v>
      </c>
    </row>
    <row r="63" spans="1:35" x14ac:dyDescent="0.2">
      <c r="A63" s="34">
        <v>165</v>
      </c>
      <c r="B63" s="88" t="s">
        <v>377</v>
      </c>
      <c r="C63" s="41" t="e">
        <f>Vuosikate!C63+'7. Nettoinvestoinnit '!C63+'8. Satunnaiset erät'!C63+'9. Tulorahkorjauserät'!C63</f>
        <v>#REF!</v>
      </c>
      <c r="D63" s="41">
        <f>Vuosikate!D63+'7. Nettoinvestoinnit '!D63+'8. Satunnaiset erät'!D63+'9. Tulorahkorjauserät'!D63</f>
        <v>-1364</v>
      </c>
      <c r="E63" s="41">
        <f>Vuosikate!E63+'7. Nettoinvestoinnit '!E63+'8. Satunnaiset erät'!E63+'9. Tulorahkorjauserät'!E63</f>
        <v>3623</v>
      </c>
      <c r="F63" s="41">
        <f>Vuosikate!F63+'7. Nettoinvestoinnit '!F63+'8. Satunnaiset erät'!F63+'9. Tulorahkorjauserät'!F63</f>
        <v>-2652</v>
      </c>
      <c r="G63" s="41">
        <f>Vuosikate!G63+'7. Nettoinvestoinnit '!G63+'8. Satunnaiset erät'!G63+'9. Tulorahkorjauserät'!G63</f>
        <v>-5389</v>
      </c>
      <c r="H63" s="41">
        <f>Vuosikate!H63+'7. Nettoinvestoinnit '!H63+'8. Satunnaiset erät'!H63+'9. Tulorahkorjauserät'!H63</f>
        <v>-1482.6572066923873</v>
      </c>
      <c r="I63" s="41">
        <f>Vuosikate!I63+'7. Nettoinvestoinnit '!I63+'8. Satunnaiset erät'!I63+'9. Tulorahkorjauserät'!I63</f>
        <v>1700.5705001316007</v>
      </c>
      <c r="J63" s="41">
        <f>Vuosikate!J63+'7. Nettoinvestoinnit '!J63+'8. Satunnaiset erät'!J63+'9. Tulorahkorjauserät'!J63</f>
        <v>1944.1508260402875</v>
      </c>
      <c r="K63" s="41">
        <f>Vuosikate!K63+'7. Nettoinvestoinnit '!K63+'8. Satunnaiset erät'!K63+'9. Tulorahkorjauserät'!K63</f>
        <v>2654.2206199798034</v>
      </c>
      <c r="L63" s="41">
        <f>Vuosikate!L63+'7. Nettoinvestoinnit '!L63+'8. Satunnaiset erät'!L63+'9. Tulorahkorjauserät'!L63</f>
        <v>-4345.9717296759864</v>
      </c>
      <c r="M63" s="41">
        <f>Vuosikate!M63+'7. Nettoinvestoinnit '!M63+'8. Satunnaiset erät'!M63+'9. Tulorahkorjauserät'!M63</f>
        <v>-4896.093901771148</v>
      </c>
      <c r="N63" s="41">
        <f>Vuosikate!N63+'7. Nettoinvestoinnit '!N63+'8. Satunnaiset erät'!N63+'9. Tulorahkorjauserät'!N63</f>
        <v>-5068.2130161690457</v>
      </c>
      <c r="O63" s="41">
        <f>Vuosikate!O63+'7. Nettoinvestoinnit '!O63+'8. Satunnaiset erät'!O63+'9. Tulorahkorjauserät'!O63</f>
        <v>-5599.2655456614029</v>
      </c>
      <c r="P63" s="41">
        <f>Vuosikate!P63+'7. Nettoinvestoinnit '!P63+'8. Satunnaiset erät'!P63+'9. Tulorahkorjauserät'!P63</f>
        <v>-4621.0619333842278</v>
      </c>
      <c r="T63" s="34">
        <v>165</v>
      </c>
      <c r="U63" s="88" t="s">
        <v>377</v>
      </c>
      <c r="V63" s="41" t="e">
        <f>C63/'1. Väestöennuste'!E63*1000</f>
        <v>#REF!</v>
      </c>
      <c r="W63" s="41">
        <f>D63/'1. Väestöennuste'!F63*1000</f>
        <v>-81.632653061224488</v>
      </c>
      <c r="X63" s="41">
        <f>E63/'1. Väestöennuste'!G63*1000</f>
        <v>218.16101643885108</v>
      </c>
      <c r="Y63" s="41">
        <f>F63/'1. Väestöennuste'!H63*1000</f>
        <v>-161.2452118927464</v>
      </c>
      <c r="Z63" s="41">
        <f>G63/'1. Väestöennuste'!I63*1000</f>
        <v>-328.33729360872479</v>
      </c>
      <c r="AA63" s="41">
        <f>H63/'1. Väestöennuste'!J63*1000</f>
        <v>-91.313494284189645</v>
      </c>
      <c r="AB63" s="41">
        <f>I63/'1. Väestöennuste'!K63*1000</f>
        <v>104.07408201539785</v>
      </c>
      <c r="AC63" s="41">
        <f>J63/'1. Väestöennuste'!L63*1000</f>
        <v>119.41958390910857</v>
      </c>
      <c r="AD63" s="41">
        <f>K63/'1. Väestöennuste'!M63*1000</f>
        <v>164.62324753332527</v>
      </c>
      <c r="AE63" s="41">
        <f>L63/'1. Väestöennuste'!N63*1000</f>
        <v>-275.4624915811616</v>
      </c>
      <c r="AF63" s="41">
        <f>M63/'1. Väestöennuste'!O63*1000</f>
        <v>-312.41027959233969</v>
      </c>
      <c r="AG63" s="41">
        <f>N63/'1. Väestöennuste'!P63*1000</f>
        <v>-325.55325129554507</v>
      </c>
      <c r="AH63" s="41">
        <f>O63/'1. Väestöennuste'!Q63*1000</f>
        <v>-362.01367722644358</v>
      </c>
      <c r="AI63" s="41">
        <f>P63/'1. Väestöennuste'!R63*1000</f>
        <v>-300.75248508846261</v>
      </c>
    </row>
    <row r="64" spans="1:35" x14ac:dyDescent="0.2">
      <c r="A64" s="34">
        <v>167</v>
      </c>
      <c r="B64" s="88" t="s">
        <v>378</v>
      </c>
      <c r="C64" s="41" t="e">
        <f>Vuosikate!C64+'7. Nettoinvestoinnit '!C64+'8. Satunnaiset erät'!C64+'9. Tulorahkorjauserät'!C64</f>
        <v>#REF!</v>
      </c>
      <c r="D64" s="41">
        <f>Vuosikate!D64+'7. Nettoinvestoinnit '!D64+'8. Satunnaiset erät'!D64+'9. Tulorahkorjauserät'!D64</f>
        <v>-23756</v>
      </c>
      <c r="E64" s="41">
        <f>Vuosikate!E64+'7. Nettoinvestoinnit '!E64+'8. Satunnaiset erät'!E64+'9. Tulorahkorjauserät'!E64</f>
        <v>-275</v>
      </c>
      <c r="F64" s="41">
        <f>Vuosikate!F64+'7. Nettoinvestoinnit '!F64+'8. Satunnaiset erät'!F64+'9. Tulorahkorjauserät'!F64</f>
        <v>-9490</v>
      </c>
      <c r="G64" s="41">
        <f>Vuosikate!G64+'7. Nettoinvestoinnit '!G64+'8. Satunnaiset erät'!G64+'9. Tulorahkorjauserät'!G64</f>
        <v>-17644</v>
      </c>
      <c r="H64" s="41">
        <f>Vuosikate!H64+'7. Nettoinvestoinnit '!H64+'8. Satunnaiset erät'!H64+'9. Tulorahkorjauserät'!H64</f>
        <v>13753.221651173808</v>
      </c>
      <c r="I64" s="41">
        <f>Vuosikate!I64+'7. Nettoinvestoinnit '!I64+'8. Satunnaiset erät'!I64+'9. Tulorahkorjauserät'!I64</f>
        <v>24935.810393955042</v>
      </c>
      <c r="J64" s="41">
        <f>Vuosikate!J64+'7. Nettoinvestoinnit '!J64+'8. Satunnaiset erät'!J64+'9. Tulorahkorjauserät'!J64</f>
        <v>-12073.446997118564</v>
      </c>
      <c r="K64" s="41">
        <f>Vuosikate!K64+'7. Nettoinvestoinnit '!K64+'8. Satunnaiset erät'!K64+'9. Tulorahkorjauserät'!K64</f>
        <v>10344.133965889889</v>
      </c>
      <c r="L64" s="41">
        <f>Vuosikate!L64+'7. Nettoinvestoinnit '!L64+'8. Satunnaiset erät'!L64+'9. Tulorahkorjauserät'!L64</f>
        <v>-13250.066230598743</v>
      </c>
      <c r="M64" s="41">
        <f>Vuosikate!M64+'7. Nettoinvestoinnit '!M64+'8. Satunnaiset erät'!M64+'9. Tulorahkorjauserät'!M64</f>
        <v>-28527.30338411226</v>
      </c>
      <c r="N64" s="41">
        <f>Vuosikate!N64+'7. Nettoinvestoinnit '!N64+'8. Satunnaiset erät'!N64+'9. Tulorahkorjauserät'!N64</f>
        <v>-26418.859196718295</v>
      </c>
      <c r="O64" s="41">
        <f>Vuosikate!O64+'7. Nettoinvestoinnit '!O64+'8. Satunnaiset erät'!O64+'9. Tulorahkorjauserät'!O64</f>
        <v>-28580.398442194397</v>
      </c>
      <c r="P64" s="41">
        <f>Vuosikate!P64+'7. Nettoinvestoinnit '!P64+'8. Satunnaiset erät'!P64+'9. Tulorahkorjauserät'!P64</f>
        <v>-24145.234694596278</v>
      </c>
      <c r="T64" s="34">
        <v>167</v>
      </c>
      <c r="U64" s="88" t="s">
        <v>378</v>
      </c>
      <c r="V64" s="41" t="e">
        <f>C64/'1. Väestöennuste'!E64*1000</f>
        <v>#REF!</v>
      </c>
      <c r="W64" s="41">
        <f>D64/'1. Väestöennuste'!F64*1000</f>
        <v>-313.20535808459022</v>
      </c>
      <c r="X64" s="41">
        <f>E64/'1. Väestöennuste'!G64*1000</f>
        <v>-3.6152339385015839</v>
      </c>
      <c r="Y64" s="41">
        <f>F64/'1. Väestöennuste'!H64*1000</f>
        <v>-123.96964115426317</v>
      </c>
      <c r="Z64" s="41">
        <f>G64/'1. Väestöennuste'!I64*1000</f>
        <v>-229.59011060507481</v>
      </c>
      <c r="AA64" s="41">
        <f>H64/'1. Väestöennuste'!J64*1000</f>
        <v>178.76417301844162</v>
      </c>
      <c r="AB64" s="41">
        <f>I64/'1. Väestöennuste'!K64*1000</f>
        <v>322.74770445574148</v>
      </c>
      <c r="AC64" s="41">
        <f>J64/'1. Väestöennuste'!L64*1000</f>
        <v>-155.7602853343125</v>
      </c>
      <c r="AD64" s="41">
        <f>K64/'1. Väestöennuste'!M64*1000</f>
        <v>132.51177225653822</v>
      </c>
      <c r="AE64" s="41">
        <f>L64/'1. Väestöennuste'!N64*1000</f>
        <v>-170.230564656441</v>
      </c>
      <c r="AF64" s="41">
        <f>M64/'1. Väestöennuste'!O64*1000</f>
        <v>-365.76748405770081</v>
      </c>
      <c r="AG64" s="41">
        <f>N64/'1. Väestöennuste'!P64*1000</f>
        <v>-338.08782980622829</v>
      </c>
      <c r="AH64" s="41">
        <f>O64/'1. Väestöennuste'!Q64*1000</f>
        <v>-365.09540433553559</v>
      </c>
      <c r="AI64" s="41">
        <f>P64/'1. Väestöennuste'!R64*1000</f>
        <v>-307.93172762235241</v>
      </c>
    </row>
    <row r="65" spans="1:35" x14ac:dyDescent="0.2">
      <c r="A65" s="34">
        <v>169</v>
      </c>
      <c r="B65" s="88" t="s">
        <v>379</v>
      </c>
      <c r="C65" s="41" t="e">
        <f>Vuosikate!C65+'7. Nettoinvestoinnit '!C65+'8. Satunnaiset erät'!C65+'9. Tulorahkorjauserät'!C65</f>
        <v>#REF!</v>
      </c>
      <c r="D65" s="41">
        <f>Vuosikate!D65+'7. Nettoinvestoinnit '!D65+'8. Satunnaiset erät'!D65+'9. Tulorahkorjauserät'!D65</f>
        <v>-366</v>
      </c>
      <c r="E65" s="41">
        <f>Vuosikate!E65+'7. Nettoinvestoinnit '!E65+'8. Satunnaiset erät'!E65+'9. Tulorahkorjauserät'!E65</f>
        <v>1223</v>
      </c>
      <c r="F65" s="41">
        <f>Vuosikate!F65+'7. Nettoinvestoinnit '!F65+'8. Satunnaiset erät'!F65+'9. Tulorahkorjauserät'!F65</f>
        <v>858</v>
      </c>
      <c r="G65" s="41">
        <f>Vuosikate!G65+'7. Nettoinvestoinnit '!G65+'8. Satunnaiset erät'!G65+'9. Tulorahkorjauserät'!G65</f>
        <v>535</v>
      </c>
      <c r="H65" s="41">
        <f>Vuosikate!H65+'7. Nettoinvestoinnit '!H65+'8. Satunnaiset erät'!H65+'9. Tulorahkorjauserät'!H65</f>
        <v>2892.9324682094993</v>
      </c>
      <c r="I65" s="41">
        <f>Vuosikate!I65+'7. Nettoinvestoinnit '!I65+'8. Satunnaiset erät'!I65+'9. Tulorahkorjauserät'!I65</f>
        <v>1414.6420119161955</v>
      </c>
      <c r="J65" s="41">
        <f>Vuosikate!J65+'7. Nettoinvestoinnit '!J65+'8. Satunnaiset erät'!J65+'9. Tulorahkorjauserät'!J65</f>
        <v>-781.62898692841532</v>
      </c>
      <c r="K65" s="41">
        <f>Vuosikate!K65+'7. Nettoinvestoinnit '!K65+'8. Satunnaiset erät'!K65+'9. Tulorahkorjauserät'!K65</f>
        <v>585.94621599571519</v>
      </c>
      <c r="L65" s="41">
        <f>Vuosikate!L65+'7. Nettoinvestoinnit '!L65+'8. Satunnaiset erät'!L65+'9. Tulorahkorjauserät'!L65</f>
        <v>-327.43822381383688</v>
      </c>
      <c r="M65" s="41">
        <f>Vuosikate!M65+'7. Nettoinvestoinnit '!M65+'8. Satunnaiset erät'!M65+'9. Tulorahkorjauserät'!M65</f>
        <v>-1030.3864920552226</v>
      </c>
      <c r="N65" s="41">
        <f>Vuosikate!N65+'7. Nettoinvestoinnit '!N65+'8. Satunnaiset erät'!N65+'9. Tulorahkorjauserät'!N65</f>
        <v>-1795.5017363957347</v>
      </c>
      <c r="O65" s="41">
        <f>Vuosikate!O65+'7. Nettoinvestoinnit '!O65+'8. Satunnaiset erät'!O65+'9. Tulorahkorjauserät'!O65</f>
        <v>-2194.4885795229225</v>
      </c>
      <c r="P65" s="41">
        <f>Vuosikate!P65+'7. Nettoinvestoinnit '!P65+'8. Satunnaiset erät'!P65+'9. Tulorahkorjauserät'!P65</f>
        <v>-2250.8027919968499</v>
      </c>
      <c r="T65" s="34">
        <v>169</v>
      </c>
      <c r="U65" s="88" t="s">
        <v>379</v>
      </c>
      <c r="V65" s="41" t="e">
        <f>C65/'1. Väestöennuste'!E65*1000</f>
        <v>#REF!</v>
      </c>
      <c r="W65" s="41">
        <f>D65/'1. Väestöennuste'!F65*1000</f>
        <v>-68.526493166073777</v>
      </c>
      <c r="X65" s="41">
        <f>E65/'1. Väestöennuste'!G65*1000</f>
        <v>231.36587211502081</v>
      </c>
      <c r="Y65" s="41">
        <f>F65/'1. Väestöennuste'!H65*1000</f>
        <v>165.15880654475455</v>
      </c>
      <c r="Z65" s="41">
        <f>G65/'1. Väestöennuste'!I65*1000</f>
        <v>104.22754724332749</v>
      </c>
      <c r="AA65" s="41">
        <f>H65/'1. Väestöennuste'!J65*1000</f>
        <v>571.61281727119126</v>
      </c>
      <c r="AB65" s="41">
        <f>I65/'1. Väestöennuste'!K65*1000</f>
        <v>280.34918983674106</v>
      </c>
      <c r="AC65" s="41">
        <f>J65/'1. Väestöennuste'!L65*1000</f>
        <v>-156.63907553675656</v>
      </c>
      <c r="AD65" s="41">
        <f>K65/'1. Väestöennuste'!M65*1000</f>
        <v>119.19166313989324</v>
      </c>
      <c r="AE65" s="41">
        <f>L65/'1. Väestöennuste'!N65*1000</f>
        <v>-67.947338413329916</v>
      </c>
      <c r="AF65" s="41">
        <f>M65/'1. Väestöennuste'!O65*1000</f>
        <v>-216.28599749269995</v>
      </c>
      <c r="AG65" s="41">
        <f>N65/'1. Väestöennuste'!P65*1000</f>
        <v>-380.96790502773922</v>
      </c>
      <c r="AH65" s="41">
        <f>O65/'1. Väestöennuste'!Q65*1000</f>
        <v>-470.61732350909767</v>
      </c>
      <c r="AI65" s="41">
        <f>P65/'1. Väestöennuste'!R65*1000</f>
        <v>-487.39774620979858</v>
      </c>
    </row>
    <row r="66" spans="1:35" x14ac:dyDescent="0.2">
      <c r="A66" s="34">
        <v>171</v>
      </c>
      <c r="B66" s="88" t="s">
        <v>380</v>
      </c>
      <c r="C66" s="41" t="e">
        <f>Vuosikate!C66+'7. Nettoinvestoinnit '!C66+'8. Satunnaiset erät'!C66+'9. Tulorahkorjauserät'!C66</f>
        <v>#REF!</v>
      </c>
      <c r="D66" s="41">
        <f>Vuosikate!D66+'7. Nettoinvestoinnit '!D66+'8. Satunnaiset erät'!D66+'9. Tulorahkorjauserät'!D66</f>
        <v>-433</v>
      </c>
      <c r="E66" s="41">
        <f>Vuosikate!E66+'7. Nettoinvestoinnit '!E66+'8. Satunnaiset erät'!E66+'9. Tulorahkorjauserät'!E66</f>
        <v>287</v>
      </c>
      <c r="F66" s="41">
        <f>Vuosikate!F66+'7. Nettoinvestoinnit '!F66+'8. Satunnaiset erät'!F66+'9. Tulorahkorjauserät'!F66</f>
        <v>-6607</v>
      </c>
      <c r="G66" s="41">
        <f>Vuosikate!G66+'7. Nettoinvestoinnit '!G66+'8. Satunnaiset erät'!G66+'9. Tulorahkorjauserät'!G66</f>
        <v>-4452</v>
      </c>
      <c r="H66" s="41">
        <f>Vuosikate!H66+'7. Nettoinvestoinnit '!H66+'8. Satunnaiset erät'!H66+'9. Tulorahkorjauserät'!H66</f>
        <v>2220.5325558688401</v>
      </c>
      <c r="I66" s="41">
        <f>Vuosikate!I66+'7. Nettoinvestoinnit '!I66+'8. Satunnaiset erät'!I66+'9. Tulorahkorjauserät'!I66</f>
        <v>1059.0043616942892</v>
      </c>
      <c r="J66" s="41">
        <f>Vuosikate!J66+'7. Nettoinvestoinnit '!J66+'8. Satunnaiset erät'!J66+'9. Tulorahkorjauserät'!J66</f>
        <v>264.45822077737074</v>
      </c>
      <c r="K66" s="41">
        <f>Vuosikate!K66+'7. Nettoinvestoinnit '!K66+'8. Satunnaiset erät'!K66+'9. Tulorahkorjauserät'!K66</f>
        <v>1514.2670134689413</v>
      </c>
      <c r="L66" s="41">
        <f>Vuosikate!L66+'7. Nettoinvestoinnit '!L66+'8. Satunnaiset erät'!L66+'9. Tulorahkorjauserät'!L66</f>
        <v>539.7126818655122</v>
      </c>
      <c r="M66" s="41">
        <f>Vuosikate!M66+'7. Nettoinvestoinnit '!M66+'8. Satunnaiset erät'!M66+'9. Tulorahkorjauserät'!M66</f>
        <v>-458.57280430524565</v>
      </c>
      <c r="N66" s="41">
        <f>Vuosikate!N66+'7. Nettoinvestoinnit '!N66+'8. Satunnaiset erät'!N66+'9. Tulorahkorjauserät'!N66</f>
        <v>-302.86169730739334</v>
      </c>
      <c r="O66" s="41">
        <f>Vuosikate!O66+'7. Nettoinvestoinnit '!O66+'8. Satunnaiset erät'!O66+'9. Tulorahkorjauserät'!O66</f>
        <v>-616.10706126520211</v>
      </c>
      <c r="P66" s="41">
        <f>Vuosikate!P66+'7. Nettoinvestoinnit '!P66+'8. Satunnaiset erät'!P66+'9. Tulorahkorjauserät'!P66</f>
        <v>-305.04895409937478</v>
      </c>
      <c r="T66" s="34">
        <v>171</v>
      </c>
      <c r="U66" s="88" t="s">
        <v>380</v>
      </c>
      <c r="V66" s="41" t="e">
        <f>C66/'1. Väestöennuste'!E66*1000</f>
        <v>#REF!</v>
      </c>
      <c r="W66" s="41">
        <f>D66/'1. Väestöennuste'!F66*1000</f>
        <v>-85.929747965866255</v>
      </c>
      <c r="X66" s="41">
        <f>E66/'1. Väestöennuste'!G66*1000</f>
        <v>58.368924140736226</v>
      </c>
      <c r="Y66" s="41">
        <f>F66/'1. Väestöennuste'!H66*1000</f>
        <v>-1373.0257689110556</v>
      </c>
      <c r="Z66" s="41">
        <f>G66/'1. Väestöennuste'!I66*1000</f>
        <v>-933.92070484581507</v>
      </c>
      <c r="AA66" s="41">
        <f>H66/'1. Väestöennuste'!J66*1000</f>
        <v>473.56207205562805</v>
      </c>
      <c r="AB66" s="41">
        <f>I66/'1. Väestöennuste'!K66*1000</f>
        <v>229.02343462246739</v>
      </c>
      <c r="AC66" s="41">
        <f>J66/'1. Väestöennuste'!L66*1000</f>
        <v>58.250709422328356</v>
      </c>
      <c r="AD66" s="41">
        <f>K66/'1. Väestöennuste'!M66*1000</f>
        <v>329.90566742242726</v>
      </c>
      <c r="AE66" s="41">
        <f>L66/'1. Väestöennuste'!N66*1000</f>
        <v>122.63410176448812</v>
      </c>
      <c r="AF66" s="41">
        <f>M66/'1. Väestöennuste'!O66*1000</f>
        <v>-105.90595942384427</v>
      </c>
      <c r="AG66" s="41">
        <f>N66/'1. Väestöennuste'!P66*1000</f>
        <v>-71.077610257543611</v>
      </c>
      <c r="AH66" s="41">
        <f>O66/'1. Väestöennuste'!Q66*1000</f>
        <v>-146.86699910970253</v>
      </c>
      <c r="AI66" s="41">
        <f>P66/'1. Väestöennuste'!R66*1000</f>
        <v>-73.91542381860306</v>
      </c>
    </row>
    <row r="67" spans="1:35" x14ac:dyDescent="0.2">
      <c r="A67" s="34">
        <v>172</v>
      </c>
      <c r="B67" s="88" t="s">
        <v>381</v>
      </c>
      <c r="C67" s="41" t="e">
        <f>Vuosikate!C67+'7. Nettoinvestoinnit '!C67+'8. Satunnaiset erät'!C67+'9. Tulorahkorjauserät'!C67</f>
        <v>#REF!</v>
      </c>
      <c r="D67" s="41">
        <f>Vuosikate!D67+'7. Nettoinvestoinnit '!D67+'8. Satunnaiset erät'!D67+'9. Tulorahkorjauserät'!D67</f>
        <v>1997</v>
      </c>
      <c r="E67" s="41">
        <f>Vuosikate!E67+'7. Nettoinvestoinnit '!E67+'8. Satunnaiset erät'!E67+'9. Tulorahkorjauserät'!E67</f>
        <v>-1491</v>
      </c>
      <c r="F67" s="41">
        <f>Vuosikate!F67+'7. Nettoinvestoinnit '!F67+'8. Satunnaiset erät'!F67+'9. Tulorahkorjauserät'!F67</f>
        <v>759</v>
      </c>
      <c r="G67" s="41">
        <f>Vuosikate!G67+'7. Nettoinvestoinnit '!G67+'8. Satunnaiset erät'!G67+'9. Tulorahkorjauserät'!G67</f>
        <v>-1108</v>
      </c>
      <c r="H67" s="41">
        <f>Vuosikate!H67+'7. Nettoinvestoinnit '!H67+'8. Satunnaiset erät'!H67+'9. Tulorahkorjauserät'!H67</f>
        <v>-3559.066293738495</v>
      </c>
      <c r="I67" s="41">
        <f>Vuosikate!I67+'7. Nettoinvestoinnit '!I67+'8. Satunnaiset erät'!I67+'9. Tulorahkorjauserät'!I67</f>
        <v>806.1396582666315</v>
      </c>
      <c r="J67" s="41">
        <f>Vuosikate!J67+'7. Nettoinvestoinnit '!J67+'8. Satunnaiset erät'!J67+'9. Tulorahkorjauserät'!J67</f>
        <v>-2746.8677071267316</v>
      </c>
      <c r="K67" s="41">
        <f>Vuosikate!K67+'7. Nettoinvestoinnit '!K67+'8. Satunnaiset erät'!K67+'9. Tulorahkorjauserät'!K67</f>
        <v>774.92434626268914</v>
      </c>
      <c r="L67" s="41">
        <f>Vuosikate!L67+'7. Nettoinvestoinnit '!L67+'8. Satunnaiset erät'!L67+'9. Tulorahkorjauserät'!L67</f>
        <v>-408.07937237785882</v>
      </c>
      <c r="M67" s="41">
        <f>Vuosikate!M67+'7. Nettoinvestoinnit '!M67+'8. Satunnaiset erät'!M67+'9. Tulorahkorjauserät'!M67</f>
        <v>-701.56051479882944</v>
      </c>
      <c r="N67" s="41">
        <f>Vuosikate!N67+'7. Nettoinvestoinnit '!N67+'8. Satunnaiset erät'!N67+'9. Tulorahkorjauserät'!N67</f>
        <v>-1209.7106049874615</v>
      </c>
      <c r="O67" s="41">
        <f>Vuosikate!O67+'7. Nettoinvestoinnit '!O67+'8. Satunnaiset erät'!O67+'9. Tulorahkorjauserät'!O67</f>
        <v>-1419.2754265309134</v>
      </c>
      <c r="P67" s="41">
        <f>Vuosikate!P67+'7. Nettoinvestoinnit '!P67+'8. Satunnaiset erät'!P67+'9. Tulorahkorjauserät'!P67</f>
        <v>-1240.774630730431</v>
      </c>
      <c r="T67" s="34">
        <v>172</v>
      </c>
      <c r="U67" s="88" t="s">
        <v>381</v>
      </c>
      <c r="V67" s="41" t="e">
        <f>C67/'1. Väestöennuste'!E67*1000</f>
        <v>#REF!</v>
      </c>
      <c r="W67" s="41">
        <f>D67/'1. Väestöennuste'!F67*1000</f>
        <v>427.34859833083669</v>
      </c>
      <c r="X67" s="41">
        <f>E67/'1. Väestöennuste'!G67*1000</f>
        <v>-326.47252025399604</v>
      </c>
      <c r="Y67" s="41">
        <f>F67/'1. Väestöennuste'!H67*1000</f>
        <v>169.91269308260578</v>
      </c>
      <c r="Z67" s="41">
        <f>G67/'1. Väestöennuste'!I67*1000</f>
        <v>-253.14142106465616</v>
      </c>
      <c r="AA67" s="41">
        <f>H67/'1. Väestöennuste'!J67*1000</f>
        <v>-828.26769693704796</v>
      </c>
      <c r="AB67" s="41">
        <f>I67/'1. Väestöennuste'!K67*1000</f>
        <v>189.1014915005</v>
      </c>
      <c r="AC67" s="41">
        <f>J67/'1. Väestöennuste'!L67*1000</f>
        <v>-658.56334383282945</v>
      </c>
      <c r="AD67" s="41">
        <f>K67/'1. Väestöennuste'!M67*1000</f>
        <v>189.97900129019101</v>
      </c>
      <c r="AE67" s="41">
        <f>L67/'1. Väestöennuste'!N67*1000</f>
        <v>-101.41137484539234</v>
      </c>
      <c r="AF67" s="41">
        <f>M67/'1. Väestöennuste'!O67*1000</f>
        <v>-176.80456522147918</v>
      </c>
      <c r="AG67" s="41">
        <f>N67/'1. Väestöennuste'!P67*1000</f>
        <v>-309.38890153132007</v>
      </c>
      <c r="AH67" s="41">
        <f>O67/'1. Väestöennuste'!Q67*1000</f>
        <v>-367.78321496007084</v>
      </c>
      <c r="AI67" s="41">
        <f>P67/'1. Väestöennuste'!R67*1000</f>
        <v>-325.57717940971685</v>
      </c>
    </row>
    <row r="68" spans="1:35" x14ac:dyDescent="0.2">
      <c r="A68" s="34">
        <v>176</v>
      </c>
      <c r="B68" s="88" t="s">
        <v>382</v>
      </c>
      <c r="C68" s="41" t="e">
        <f>Vuosikate!C68+'7. Nettoinvestoinnit '!C68+'8. Satunnaiset erät'!C68+'9. Tulorahkorjauserät'!C68</f>
        <v>#REF!</v>
      </c>
      <c r="D68" s="41">
        <f>Vuosikate!D68+'7. Nettoinvestoinnit '!D68+'8. Satunnaiset erät'!D68+'9. Tulorahkorjauserät'!D68</f>
        <v>558</v>
      </c>
      <c r="E68" s="41">
        <f>Vuosikate!E68+'7. Nettoinvestoinnit '!E68+'8. Satunnaiset erät'!E68+'9. Tulorahkorjauserät'!E68</f>
        <v>2755</v>
      </c>
      <c r="F68" s="41">
        <f>Vuosikate!F68+'7. Nettoinvestoinnit '!F68+'8. Satunnaiset erät'!F68+'9. Tulorahkorjauserät'!F68</f>
        <v>1300</v>
      </c>
      <c r="G68" s="41">
        <f>Vuosikate!G68+'7. Nettoinvestoinnit '!G68+'8. Satunnaiset erät'!G68+'9. Tulorahkorjauserät'!G68</f>
        <v>-371</v>
      </c>
      <c r="H68" s="41">
        <f>Vuosikate!H68+'7. Nettoinvestoinnit '!H68+'8. Satunnaiset erät'!H68+'9. Tulorahkorjauserät'!H68</f>
        <v>-1506.8012782968253</v>
      </c>
      <c r="I68" s="41">
        <f>Vuosikate!I68+'7. Nettoinvestoinnit '!I68+'8. Satunnaiset erät'!I68+'9. Tulorahkorjauserät'!I68</f>
        <v>-4537.4641379101149</v>
      </c>
      <c r="J68" s="41">
        <f>Vuosikate!J68+'7. Nettoinvestoinnit '!J68+'8. Satunnaiset erät'!J68+'9. Tulorahkorjauserät'!J68</f>
        <v>457.8604719984088</v>
      </c>
      <c r="K68" s="41">
        <f>Vuosikate!K68+'7. Nettoinvestoinnit '!K68+'8. Satunnaiset erät'!K68+'9. Tulorahkorjauserät'!K68</f>
        <v>2153.257782511685</v>
      </c>
      <c r="L68" s="41">
        <f>Vuosikate!L68+'7. Nettoinvestoinnit '!L68+'8. Satunnaiset erät'!L68+'9. Tulorahkorjauserät'!L68</f>
        <v>-1543.9194414626775</v>
      </c>
      <c r="M68" s="41">
        <f>Vuosikate!M68+'7. Nettoinvestoinnit '!M68+'8. Satunnaiset erät'!M68+'9. Tulorahkorjauserät'!M68</f>
        <v>-2094.9398240685969</v>
      </c>
      <c r="N68" s="41">
        <f>Vuosikate!N68+'7. Nettoinvestoinnit '!N68+'8. Satunnaiset erät'!N68+'9. Tulorahkorjauserät'!N68</f>
        <v>-2406.261685074559</v>
      </c>
      <c r="O68" s="41">
        <f>Vuosikate!O68+'7. Nettoinvestoinnit '!O68+'8. Satunnaiset erät'!O68+'9. Tulorahkorjauserät'!O68</f>
        <v>-2625.0474999701096</v>
      </c>
      <c r="P68" s="41">
        <f>Vuosikate!P68+'7. Nettoinvestoinnit '!P68+'8. Satunnaiset erät'!P68+'9. Tulorahkorjauserät'!P68</f>
        <v>-2237.8797551179896</v>
      </c>
      <c r="T68" s="34">
        <v>176</v>
      </c>
      <c r="U68" s="88" t="s">
        <v>382</v>
      </c>
      <c r="V68" s="41" t="e">
        <f>C68/'1. Väestöennuste'!E68*1000</f>
        <v>#REF!</v>
      </c>
      <c r="W68" s="41">
        <f>D68/'1. Väestöennuste'!F68*1000</f>
        <v>113.00121506682866</v>
      </c>
      <c r="X68" s="41">
        <f>E68/'1. Väestöennuste'!G68*1000</f>
        <v>571.93273821880837</v>
      </c>
      <c r="Y68" s="41">
        <f>F68/'1. Väestöennuste'!H68*1000</f>
        <v>276.06710554257802</v>
      </c>
      <c r="Z68" s="41">
        <f>G68/'1. Väestöennuste'!I68*1000</f>
        <v>-80.547112462006083</v>
      </c>
      <c r="AA68" s="41">
        <f>H68/'1. Väestöennuste'!J68*1000</f>
        <v>-332.84764265447876</v>
      </c>
      <c r="AB68" s="41">
        <f>I68/'1. Väestöennuste'!K68*1000</f>
        <v>-1021.0315341831941</v>
      </c>
      <c r="AC68" s="41">
        <f>J68/'1. Väestöennuste'!L68*1000</f>
        <v>105.20690992610496</v>
      </c>
      <c r="AD68" s="41">
        <f>K68/'1. Väestöennuste'!M68*1000</f>
        <v>505.57825370079479</v>
      </c>
      <c r="AE68" s="41">
        <f>L68/'1. Väestöennuste'!N68*1000</f>
        <v>-370.3332793146264</v>
      </c>
      <c r="AF68" s="41">
        <f>M68/'1. Väestöennuste'!O68*1000</f>
        <v>-512.71165542550091</v>
      </c>
      <c r="AG68" s="41">
        <f>N68/'1. Väestöennuste'!P68*1000</f>
        <v>-600.81440326455902</v>
      </c>
      <c r="AH68" s="41">
        <f>O68/'1. Väestöennuste'!Q68*1000</f>
        <v>-667.27186069397806</v>
      </c>
      <c r="AI68" s="41">
        <f>P68/'1. Väestöennuste'!R68*1000</f>
        <v>-579.01157959068291</v>
      </c>
    </row>
    <row r="69" spans="1:35" x14ac:dyDescent="0.2">
      <c r="A69" s="34">
        <v>177</v>
      </c>
      <c r="B69" s="88" t="s">
        <v>383</v>
      </c>
      <c r="C69" s="41" t="e">
        <f>Vuosikate!C69+'7. Nettoinvestoinnit '!C69+'8. Satunnaiset erät'!C69+'9. Tulorahkorjauserät'!C69</f>
        <v>#REF!</v>
      </c>
      <c r="D69" s="41">
        <f>Vuosikate!D69+'7. Nettoinvestoinnit '!D69+'8. Satunnaiset erät'!D69+'9. Tulorahkorjauserät'!D69</f>
        <v>89</v>
      </c>
      <c r="E69" s="41">
        <f>Vuosikate!E69+'7. Nettoinvestoinnit '!E69+'8. Satunnaiset erät'!E69+'9. Tulorahkorjauserät'!E69</f>
        <v>236</v>
      </c>
      <c r="F69" s="41">
        <f>Vuosikate!F69+'7. Nettoinvestoinnit '!F69+'8. Satunnaiset erät'!F69+'9. Tulorahkorjauserät'!F69</f>
        <v>14</v>
      </c>
      <c r="G69" s="41">
        <f>Vuosikate!G69+'7. Nettoinvestoinnit '!G69+'8. Satunnaiset erät'!G69+'9. Tulorahkorjauserät'!G69</f>
        <v>88</v>
      </c>
      <c r="H69" s="41">
        <f>Vuosikate!H69+'7. Nettoinvestoinnit '!H69+'8. Satunnaiset erät'!H69+'9. Tulorahkorjauserät'!H69</f>
        <v>993.36246895445947</v>
      </c>
      <c r="I69" s="41">
        <f>Vuosikate!I69+'7. Nettoinvestoinnit '!I69+'8. Satunnaiset erät'!I69+'9. Tulorahkorjauserät'!I69</f>
        <v>863.02410612460949</v>
      </c>
      <c r="J69" s="41">
        <f>Vuosikate!J69+'7. Nettoinvestoinnit '!J69+'8. Satunnaiset erät'!J69+'9. Tulorahkorjauserät'!J69</f>
        <v>1057.4414260836513</v>
      </c>
      <c r="K69" s="41">
        <f>Vuosikate!K69+'7. Nettoinvestoinnit '!K69+'8. Satunnaiset erät'!K69+'9. Tulorahkorjauserät'!K69</f>
        <v>497.09726727694408</v>
      </c>
      <c r="L69" s="41">
        <f>Vuosikate!L69+'7. Nettoinvestoinnit '!L69+'8. Satunnaiset erät'!L69+'9. Tulorahkorjauserät'!L69</f>
        <v>797.31589722354011</v>
      </c>
      <c r="M69" s="41">
        <f>Vuosikate!M69+'7. Nettoinvestoinnit '!M69+'8. Satunnaiset erät'!M69+'9. Tulorahkorjauserät'!M69</f>
        <v>611.64560879195733</v>
      </c>
      <c r="N69" s="41">
        <f>Vuosikate!N69+'7. Nettoinvestoinnit '!N69+'8. Satunnaiset erät'!N69+'9. Tulorahkorjauserät'!N69</f>
        <v>29.758124563030094</v>
      </c>
      <c r="O69" s="41">
        <f>Vuosikate!O69+'7. Nettoinvestoinnit '!O69+'8. Satunnaiset erät'!O69+'9. Tulorahkorjauserät'!O69</f>
        <v>10.946011837360913</v>
      </c>
      <c r="P69" s="41">
        <f>Vuosikate!P69+'7. Nettoinvestoinnit '!P69+'8. Satunnaiset erät'!P69+'9. Tulorahkorjauserät'!P69</f>
        <v>27.044007977888441</v>
      </c>
      <c r="T69" s="34">
        <v>177</v>
      </c>
      <c r="U69" s="88" t="s">
        <v>383</v>
      </c>
      <c r="V69" s="41" t="e">
        <f>C69/'1. Väestöennuste'!E69*1000</f>
        <v>#REF!</v>
      </c>
      <c r="W69" s="41">
        <f>D69/'1. Väestöennuste'!F69*1000</f>
        <v>45.477772100153295</v>
      </c>
      <c r="X69" s="41">
        <f>E69/'1. Väestöennuste'!G69*1000</f>
        <v>123.94957983193278</v>
      </c>
      <c r="Y69" s="41">
        <f>F69/'1. Väestöennuste'!H69*1000</f>
        <v>7.4309978768577496</v>
      </c>
      <c r="Z69" s="41">
        <f>G69/'1. Väestöennuste'!I69*1000</f>
        <v>47.722342733188718</v>
      </c>
      <c r="AA69" s="41">
        <f>H69/'1. Väestöennuste'!J69*1000</f>
        <v>551.86803830803296</v>
      </c>
      <c r="AB69" s="41">
        <f>I69/'1. Väestöennuste'!K69*1000</f>
        <v>483.21618484020689</v>
      </c>
      <c r="AC69" s="41">
        <f>J69/'1. Väestöennuste'!L69*1000</f>
        <v>598.10035411971228</v>
      </c>
      <c r="AD69" s="41">
        <f>K69/'1. Väestöennuste'!M69*1000</f>
        <v>291.04055461179394</v>
      </c>
      <c r="AE69" s="41">
        <f>L69/'1. Väestöennuste'!N69*1000</f>
        <v>476.29384541430113</v>
      </c>
      <c r="AF69" s="41">
        <f>M69/'1. Väestöennuste'!O69*1000</f>
        <v>371.3695256781769</v>
      </c>
      <c r="AG69" s="41">
        <f>N69/'1. Väestöennuste'!P69*1000</f>
        <v>18.346562615924842</v>
      </c>
      <c r="AH69" s="41">
        <f>O69/'1. Väestöennuste'!Q69*1000</f>
        <v>6.8412573983505709</v>
      </c>
      <c r="AI69" s="41">
        <f>P69/'1. Väestöennuste'!R69*1000</f>
        <v>17.138154612096606</v>
      </c>
    </row>
    <row r="70" spans="1:35" x14ac:dyDescent="0.2">
      <c r="A70" s="34">
        <v>178</v>
      </c>
      <c r="B70" s="88" t="s">
        <v>384</v>
      </c>
      <c r="C70" s="41" t="e">
        <f>Vuosikate!C70+'7. Nettoinvestoinnit '!C70+'8. Satunnaiset erät'!C70+'9. Tulorahkorjauserät'!C70</f>
        <v>#REF!</v>
      </c>
      <c r="D70" s="41">
        <f>Vuosikate!D70+'7. Nettoinvestoinnit '!D70+'8. Satunnaiset erät'!D70+'9. Tulorahkorjauserät'!D70</f>
        <v>480</v>
      </c>
      <c r="E70" s="41">
        <f>Vuosikate!E70+'7. Nettoinvestoinnit '!E70+'8. Satunnaiset erät'!E70+'9. Tulorahkorjauserät'!E70</f>
        <v>840</v>
      </c>
      <c r="F70" s="41">
        <f>Vuosikate!F70+'7. Nettoinvestoinnit '!F70+'8. Satunnaiset erät'!F70+'9. Tulorahkorjauserät'!F70</f>
        <v>-2271</v>
      </c>
      <c r="G70" s="41">
        <f>Vuosikate!G70+'7. Nettoinvestoinnit '!G70+'8. Satunnaiset erät'!G70+'9. Tulorahkorjauserät'!G70</f>
        <v>-988</v>
      </c>
      <c r="H70" s="41">
        <f>Vuosikate!H70+'7. Nettoinvestoinnit '!H70+'8. Satunnaiset erät'!H70+'9. Tulorahkorjauserät'!H70</f>
        <v>1950.9066038484125</v>
      </c>
      <c r="I70" s="41">
        <f>Vuosikate!I70+'7. Nettoinvestoinnit '!I70+'8. Satunnaiset erät'!I70+'9. Tulorahkorjauserät'!I70</f>
        <v>1179.0203599937793</v>
      </c>
      <c r="J70" s="41">
        <f>Vuosikate!J70+'7. Nettoinvestoinnit '!J70+'8. Satunnaiset erät'!J70+'9. Tulorahkorjauserät'!J70</f>
        <v>51.953064394511522</v>
      </c>
      <c r="K70" s="41">
        <f>Vuosikate!K70+'7. Nettoinvestoinnit '!K70+'8. Satunnaiset erät'!K70+'9. Tulorahkorjauserät'!K70</f>
        <v>-462.7591841996221</v>
      </c>
      <c r="L70" s="41">
        <f>Vuosikate!L70+'7. Nettoinvestoinnit '!L70+'8. Satunnaiset erät'!L70+'9. Tulorahkorjauserät'!L70</f>
        <v>-1249.1067052389562</v>
      </c>
      <c r="M70" s="41">
        <f>Vuosikate!M70+'7. Nettoinvestoinnit '!M70+'8. Satunnaiset erät'!M70+'9. Tulorahkorjauserät'!M70</f>
        <v>-2495.8717189519048</v>
      </c>
      <c r="N70" s="41">
        <f>Vuosikate!N70+'7. Nettoinvestoinnit '!N70+'8. Satunnaiset erät'!N70+'9. Tulorahkorjauserät'!N70</f>
        <v>-2447.6879179855923</v>
      </c>
      <c r="O70" s="41">
        <f>Vuosikate!O70+'7. Nettoinvestoinnit '!O70+'8. Satunnaiset erät'!O70+'9. Tulorahkorjauserät'!O70</f>
        <v>-2648.9993208925425</v>
      </c>
      <c r="P70" s="41">
        <f>Vuosikate!P70+'7. Nettoinvestoinnit '!P70+'8. Satunnaiset erät'!P70+'9. Tulorahkorjauserät'!P70</f>
        <v>-1613.9028265226225</v>
      </c>
      <c r="T70" s="34">
        <v>178</v>
      </c>
      <c r="U70" s="88" t="s">
        <v>384</v>
      </c>
      <c r="V70" s="41" t="e">
        <f>C70/'1. Väestöennuste'!E70*1000</f>
        <v>#REF!</v>
      </c>
      <c r="W70" s="41">
        <f>D70/'1. Väestöennuste'!F70*1000</f>
        <v>74.754711104189383</v>
      </c>
      <c r="X70" s="41">
        <f>E70/'1. Väestöennuste'!G70*1000</f>
        <v>132.61761919797917</v>
      </c>
      <c r="Y70" s="41">
        <f>F70/'1. Väestöennuste'!H70*1000</f>
        <v>-364.81927710843377</v>
      </c>
      <c r="Z70" s="41">
        <f>G70/'1. Väestöennuste'!I70*1000</f>
        <v>-161.54349247874427</v>
      </c>
      <c r="AA70" s="41">
        <f>H70/'1. Väestöennuste'!J70*1000</f>
        <v>328.87838905064268</v>
      </c>
      <c r="AB70" s="41">
        <f>I70/'1. Väestöennuste'!K70*1000</f>
        <v>200.27524375637492</v>
      </c>
      <c r="AC70" s="41">
        <f>J70/'1. Väestöennuste'!L70*1000</f>
        <v>9.0055580507040247</v>
      </c>
      <c r="AD70" s="41">
        <f>K70/'1. Väestöennuste'!M70*1000</f>
        <v>-80.70442696191526</v>
      </c>
      <c r="AE70" s="41">
        <f>L70/'1. Väestöennuste'!N70*1000</f>
        <v>-226.20548809108226</v>
      </c>
      <c r="AF70" s="41">
        <f>M70/'1. Väestöennuste'!O70*1000</f>
        <v>-459.39107656026226</v>
      </c>
      <c r="AG70" s="41">
        <f>N70/'1. Väestöennuste'!P70*1000</f>
        <v>-457.7684529615845</v>
      </c>
      <c r="AH70" s="41">
        <f>O70/'1. Väestöennuste'!Q70*1000</f>
        <v>-502.75181645331992</v>
      </c>
      <c r="AI70" s="41">
        <f>P70/'1. Väestöennuste'!R70*1000</f>
        <v>-310.78429164695217</v>
      </c>
    </row>
    <row r="71" spans="1:35" x14ac:dyDescent="0.2">
      <c r="A71" s="34">
        <v>179</v>
      </c>
      <c r="B71" s="88" t="s">
        <v>385</v>
      </c>
      <c r="C71" s="41" t="e">
        <f>Vuosikate!C71+'7. Nettoinvestoinnit '!C71+'8. Satunnaiset erät'!C71+'9. Tulorahkorjauserät'!C71</f>
        <v>#REF!</v>
      </c>
      <c r="D71" s="41">
        <f>Vuosikate!D71+'7. Nettoinvestoinnit '!D71+'8. Satunnaiset erät'!D71+'9. Tulorahkorjauserät'!D71</f>
        <v>18016</v>
      </c>
      <c r="E71" s="41">
        <f>Vuosikate!E71+'7. Nettoinvestoinnit '!E71+'8. Satunnaiset erät'!E71+'9. Tulorahkorjauserät'!E71</f>
        <v>20395</v>
      </c>
      <c r="F71" s="41">
        <f>Vuosikate!F71+'7. Nettoinvestoinnit '!F71+'8. Satunnaiset erät'!F71+'9. Tulorahkorjauserät'!F71</f>
        <v>-14819</v>
      </c>
      <c r="G71" s="41">
        <f>Vuosikate!G71+'7. Nettoinvestoinnit '!G71+'8. Satunnaiset erät'!G71+'9. Tulorahkorjauserät'!G71</f>
        <v>-42549</v>
      </c>
      <c r="H71" s="41">
        <f>Vuosikate!H71+'7. Nettoinvestoinnit '!H71+'8. Satunnaiset erät'!H71+'9. Tulorahkorjauserät'!H71</f>
        <v>10029.89944109894</v>
      </c>
      <c r="I71" s="41">
        <f>Vuosikate!I71+'7. Nettoinvestoinnit '!I71+'8. Satunnaiset erät'!I71+'9. Tulorahkorjauserät'!I71</f>
        <v>172393.6676877625</v>
      </c>
      <c r="J71" s="41">
        <f>Vuosikate!J71+'7. Nettoinvestoinnit '!J71+'8. Satunnaiset erät'!J71+'9. Tulorahkorjauserät'!J71</f>
        <v>-843.72942785955092</v>
      </c>
      <c r="K71" s="41">
        <f>Vuosikate!K71+'7. Nettoinvestoinnit '!K71+'8. Satunnaiset erät'!K71+'9. Tulorahkorjauserät'!K71</f>
        <v>643.6756480869991</v>
      </c>
      <c r="L71" s="41">
        <f>Vuosikate!L71+'7. Nettoinvestoinnit '!L71+'8. Satunnaiset erät'!L71+'9. Tulorahkorjauserät'!L71</f>
        <v>-2075.9857147908842</v>
      </c>
      <c r="M71" s="41">
        <f>Vuosikate!M71+'7. Nettoinvestoinnit '!M71+'8. Satunnaiset erät'!M71+'9. Tulorahkorjauserät'!M71</f>
        <v>-45908.163112792798</v>
      </c>
      <c r="N71" s="41">
        <f>Vuosikate!N71+'7. Nettoinvestoinnit '!N71+'8. Satunnaiset erät'!N71+'9. Tulorahkorjauserät'!N71</f>
        <v>-40928.102815589773</v>
      </c>
      <c r="O71" s="41">
        <f>Vuosikate!O71+'7. Nettoinvestoinnit '!O71+'8. Satunnaiset erät'!O71+'9. Tulorahkorjauserät'!O71</f>
        <v>-43453.284149985557</v>
      </c>
      <c r="P71" s="41">
        <f>Vuosikate!P71+'7. Nettoinvestoinnit '!P71+'8. Satunnaiset erät'!P71+'9. Tulorahkorjauserät'!P71</f>
        <v>-37845.39611812841</v>
      </c>
      <c r="T71" s="34">
        <v>179</v>
      </c>
      <c r="U71" s="88" t="s">
        <v>385</v>
      </c>
      <c r="V71" s="41" t="e">
        <f>C71/'1. Väestöennuste'!E71*1000</f>
        <v>#REF!</v>
      </c>
      <c r="W71" s="41">
        <f>D71/'1. Väestöennuste'!F71*1000</f>
        <v>129.75153042851997</v>
      </c>
      <c r="X71" s="41">
        <f>E71/'1. Väestöennuste'!G71*1000</f>
        <v>145.48320826318945</v>
      </c>
      <c r="Y71" s="41">
        <f>F71/'1. Väestöennuste'!H71*1000</f>
        <v>-104.8724390502813</v>
      </c>
      <c r="Z71" s="41">
        <f>G71/'1. Väestöennuste'!I71*1000</f>
        <v>-298.79915730337081</v>
      </c>
      <c r="AA71" s="41">
        <f>H71/'1. Väestöennuste'!J71*1000</f>
        <v>69.933757084778563</v>
      </c>
      <c r="AB71" s="41">
        <f>I71/'1. Väestöennuste'!K71*1000</f>
        <v>1193.2587243828432</v>
      </c>
      <c r="AC71" s="41">
        <f>J71/'1. Väestöennuste'!L71*1000</f>
        <v>-5.7834449118807774</v>
      </c>
      <c r="AD71" s="41">
        <f>K71/'1. Väestöennuste'!M71*1000</f>
        <v>4.3566367149499756</v>
      </c>
      <c r="AE71" s="41">
        <f>L71/'1. Väestöennuste'!N71*1000</f>
        <v>-14.068089171636506</v>
      </c>
      <c r="AF71" s="41">
        <f>M71/'1. Väestöennuste'!O71*1000</f>
        <v>-309.34794520860623</v>
      </c>
      <c r="AG71" s="41">
        <f>N71/'1. Väestöennuste'!P71*1000</f>
        <v>-274.36301535505123</v>
      </c>
      <c r="AH71" s="41">
        <f>O71/'1. Väestöennuste'!Q71*1000</f>
        <v>-289.88955108865849</v>
      </c>
      <c r="AI71" s="41">
        <f>P71/'1. Väestöennuste'!R71*1000</f>
        <v>-251.35252823081029</v>
      </c>
    </row>
    <row r="72" spans="1:35" x14ac:dyDescent="0.2">
      <c r="A72" s="34">
        <v>181</v>
      </c>
      <c r="B72" s="88" t="s">
        <v>386</v>
      </c>
      <c r="C72" s="41" t="e">
        <f>Vuosikate!C72+'7. Nettoinvestoinnit '!C72+'8. Satunnaiset erät'!C72+'9. Tulorahkorjauserät'!C72</f>
        <v>#REF!</v>
      </c>
      <c r="D72" s="41">
        <f>Vuosikate!D72+'7. Nettoinvestoinnit '!D72+'8. Satunnaiset erät'!D72+'9. Tulorahkorjauserät'!D72</f>
        <v>-753</v>
      </c>
      <c r="E72" s="41">
        <f>Vuosikate!E72+'7. Nettoinvestoinnit '!E72+'8. Satunnaiset erät'!E72+'9. Tulorahkorjauserät'!E72</f>
        <v>154</v>
      </c>
      <c r="F72" s="41">
        <f>Vuosikate!F72+'7. Nettoinvestoinnit '!F72+'8. Satunnaiset erät'!F72+'9. Tulorahkorjauserät'!F72</f>
        <v>852</v>
      </c>
      <c r="G72" s="41">
        <f>Vuosikate!G72+'7. Nettoinvestoinnit '!G72+'8. Satunnaiset erät'!G72+'9. Tulorahkorjauserät'!G72</f>
        <v>797</v>
      </c>
      <c r="H72" s="41">
        <f>Vuosikate!H72+'7. Nettoinvestoinnit '!H72+'8. Satunnaiset erät'!H72+'9. Tulorahkorjauserät'!H72</f>
        <v>1093.6040582359565</v>
      </c>
      <c r="I72" s="41">
        <f>Vuosikate!I72+'7. Nettoinvestoinnit '!I72+'8. Satunnaiset erät'!I72+'9. Tulorahkorjauserät'!I72</f>
        <v>-3791.5946199478408</v>
      </c>
      <c r="J72" s="41">
        <f>Vuosikate!J72+'7. Nettoinvestoinnit '!J72+'8. Satunnaiset erät'!J72+'9. Tulorahkorjauserät'!J72</f>
        <v>-4288.4843706162701</v>
      </c>
      <c r="K72" s="41">
        <f>Vuosikate!K72+'7. Nettoinvestoinnit '!K72+'8. Satunnaiset erät'!K72+'9. Tulorahkorjauserät'!K72</f>
        <v>1369.9868995057479</v>
      </c>
      <c r="L72" s="41">
        <f>Vuosikate!L72+'7. Nettoinvestoinnit '!L72+'8. Satunnaiset erät'!L72+'9. Tulorahkorjauserät'!L72</f>
        <v>-1705.6460654605639</v>
      </c>
      <c r="M72" s="41">
        <f>Vuosikate!M72+'7. Nettoinvestoinnit '!M72+'8. Satunnaiset erät'!M72+'9. Tulorahkorjauserät'!M72</f>
        <v>-1502.2197749705701</v>
      </c>
      <c r="N72" s="41">
        <f>Vuosikate!N72+'7. Nettoinvestoinnit '!N72+'8. Satunnaiset erät'!N72+'9. Tulorahkorjauserät'!N72</f>
        <v>-1582.0581570765162</v>
      </c>
      <c r="O72" s="41">
        <f>Vuosikate!O72+'7. Nettoinvestoinnit '!O72+'8. Satunnaiset erät'!O72+'9. Tulorahkorjauserät'!O72</f>
        <v>-1749.3268054715772</v>
      </c>
      <c r="P72" s="41">
        <f>Vuosikate!P72+'7. Nettoinvestoinnit '!P72+'8. Satunnaiset erät'!P72+'9. Tulorahkorjauserät'!P72</f>
        <v>-1689.1327100558112</v>
      </c>
      <c r="T72" s="34">
        <v>181</v>
      </c>
      <c r="U72" s="88" t="s">
        <v>386</v>
      </c>
      <c r="V72" s="41" t="e">
        <f>C72/'1. Väestöennuste'!E72*1000</f>
        <v>#REF!</v>
      </c>
      <c r="W72" s="41">
        <f>D72/'1. Väestöennuste'!F72*1000</f>
        <v>-393.21148825065274</v>
      </c>
      <c r="X72" s="41">
        <f>E72/'1. Väestöennuste'!G72*1000</f>
        <v>82.485270487412961</v>
      </c>
      <c r="Y72" s="41">
        <f>F72/'1. Väestöennuste'!H72*1000</f>
        <v>470.97844112769491</v>
      </c>
      <c r="Z72" s="41">
        <f>G72/'1. Väestöennuste'!I72*1000</f>
        <v>458.30937320299017</v>
      </c>
      <c r="AA72" s="41">
        <f>H72/'1. Väestöennuste'!J72*1000</f>
        <v>640.65849925949419</v>
      </c>
      <c r="AB72" s="41">
        <f>I72/'1. Väestöennuste'!K72*1000</f>
        <v>-2250.2045222242377</v>
      </c>
      <c r="AC72" s="41">
        <f>J72/'1. Väestöennuste'!L72*1000</f>
        <v>-2548.1190556246406</v>
      </c>
      <c r="AD72" s="41">
        <f>K72/'1. Väestöennuste'!M72*1000</f>
        <v>814.49875119247793</v>
      </c>
      <c r="AE72" s="41">
        <f>L72/'1. Väestöennuste'!N72*1000</f>
        <v>-1090.5665380182634</v>
      </c>
      <c r="AF72" s="41">
        <f>M72/'1. Väestöennuste'!O72*1000</f>
        <v>-978.64480454108809</v>
      </c>
      <c r="AG72" s="41">
        <f>N72/'1. Väestöennuste'!P72*1000</f>
        <v>-1049.8063417893272</v>
      </c>
      <c r="AH72" s="41">
        <f>O72/'1. Väestöennuste'!Q72*1000</f>
        <v>-1183.5769996424744</v>
      </c>
      <c r="AI72" s="41">
        <f>P72/'1. Väestöennuste'!R72*1000</f>
        <v>-1162.5139091918866</v>
      </c>
    </row>
    <row r="73" spans="1:35" x14ac:dyDescent="0.2">
      <c r="A73" s="34">
        <v>182</v>
      </c>
      <c r="B73" s="88" t="s">
        <v>387</v>
      </c>
      <c r="C73" s="41" t="e">
        <f>Vuosikate!C73+'7. Nettoinvestoinnit '!C73+'8. Satunnaiset erät'!C73+'9. Tulorahkorjauserät'!C73</f>
        <v>#REF!</v>
      </c>
      <c r="D73" s="41">
        <f>Vuosikate!D73+'7. Nettoinvestoinnit '!D73+'8. Satunnaiset erät'!D73+'9. Tulorahkorjauserät'!D73</f>
        <v>-1797</v>
      </c>
      <c r="E73" s="41">
        <f>Vuosikate!E73+'7. Nettoinvestoinnit '!E73+'8. Satunnaiset erät'!E73+'9. Tulorahkorjauserät'!E73</f>
        <v>-2066</v>
      </c>
      <c r="F73" s="41">
        <f>Vuosikate!F73+'7. Nettoinvestoinnit '!F73+'8. Satunnaiset erät'!F73+'9. Tulorahkorjauserät'!F73</f>
        <v>3643</v>
      </c>
      <c r="G73" s="41">
        <f>Vuosikate!G73+'7. Nettoinvestoinnit '!G73+'8. Satunnaiset erät'!G73+'9. Tulorahkorjauserät'!G73</f>
        <v>-1724</v>
      </c>
      <c r="H73" s="41">
        <f>Vuosikate!H73+'7. Nettoinvestoinnit '!H73+'8. Satunnaiset erät'!H73+'9. Tulorahkorjauserät'!H73</f>
        <v>4938.7185091057327</v>
      </c>
      <c r="I73" s="41">
        <f>Vuosikate!I73+'7. Nettoinvestoinnit '!I73+'8. Satunnaiset erät'!I73+'9. Tulorahkorjauserät'!I73</f>
        <v>3011.7775928229103</v>
      </c>
      <c r="J73" s="41">
        <f>Vuosikate!J73+'7. Nettoinvestoinnit '!J73+'8. Satunnaiset erät'!J73+'9. Tulorahkorjauserät'!J73</f>
        <v>-3884.881892015831</v>
      </c>
      <c r="K73" s="41">
        <f>Vuosikate!K73+'7. Nettoinvestoinnit '!K73+'8. Satunnaiset erät'!K73+'9. Tulorahkorjauserät'!K73</f>
        <v>5622.1574348705208</v>
      </c>
      <c r="L73" s="41">
        <f>Vuosikate!L73+'7. Nettoinvestoinnit '!L73+'8. Satunnaiset erät'!L73+'9. Tulorahkorjauserät'!L73</f>
        <v>1913.740151621555</v>
      </c>
      <c r="M73" s="41">
        <f>Vuosikate!M73+'7. Nettoinvestoinnit '!M73+'8. Satunnaiset erät'!M73+'9. Tulorahkorjauserät'!M73</f>
        <v>232.37488602672511</v>
      </c>
      <c r="N73" s="41">
        <f>Vuosikate!N73+'7. Nettoinvestoinnit '!N73+'8. Satunnaiset erät'!N73+'9. Tulorahkorjauserät'!N73</f>
        <v>1250.0984561217319</v>
      </c>
      <c r="O73" s="41">
        <f>Vuosikate!O73+'7. Nettoinvestoinnit '!O73+'8. Satunnaiset erät'!O73+'9. Tulorahkorjauserät'!O73</f>
        <v>1759.9541807613095</v>
      </c>
      <c r="P73" s="41">
        <f>Vuosikate!P73+'7. Nettoinvestoinnit '!P73+'8. Satunnaiset erät'!P73+'9. Tulorahkorjauserät'!P73</f>
        <v>4498.3120891216777</v>
      </c>
      <c r="T73" s="34">
        <v>182</v>
      </c>
      <c r="U73" s="88" t="s">
        <v>387</v>
      </c>
      <c r="V73" s="41" t="e">
        <f>C73/'1. Väestöennuste'!E73*1000</f>
        <v>#REF!</v>
      </c>
      <c r="W73" s="41">
        <f>D73/'1. Väestöennuste'!F73*1000</f>
        <v>-84.528905404769745</v>
      </c>
      <c r="X73" s="41">
        <f>E73/'1. Väestöennuste'!G73*1000</f>
        <v>-98.960578627197393</v>
      </c>
      <c r="Y73" s="41">
        <f>F73/'1. Väestöennuste'!H73*1000</f>
        <v>176.78458776144029</v>
      </c>
      <c r="Z73" s="41">
        <f>G73/'1. Väestöennuste'!I73*1000</f>
        <v>-85.422653849965315</v>
      </c>
      <c r="AA73" s="41">
        <f>H73/'1. Väestöennuste'!J73*1000</f>
        <v>248.33904103714653</v>
      </c>
      <c r="AB73" s="41">
        <f>I73/'1. Väestöennuste'!K73*1000</f>
        <v>152.36391930100217</v>
      </c>
      <c r="AC73" s="41">
        <f>J73/'1. Väestöennuste'!L73*1000</f>
        <v>-200.80022184399809</v>
      </c>
      <c r="AD73" s="41">
        <f>K73/'1. Väestöennuste'!M73*1000</f>
        <v>293.09547674228554</v>
      </c>
      <c r="AE73" s="41">
        <f>L73/'1. Väestöennuste'!N73*1000</f>
        <v>102.74563253632316</v>
      </c>
      <c r="AF73" s="41">
        <f>M73/'1. Väestöennuste'!O73*1000</f>
        <v>12.655205643542377</v>
      </c>
      <c r="AG73" s="41">
        <f>N73/'1. Väestöennuste'!P73*1000</f>
        <v>69.050953166246799</v>
      </c>
      <c r="AH73" s="41">
        <f>O73/'1. Väestöennuste'!Q73*1000</f>
        <v>98.547185215370945</v>
      </c>
      <c r="AI73" s="41">
        <f>P73/'1. Väestöennuste'!R73*1000</f>
        <v>255.31029508608194</v>
      </c>
    </row>
    <row r="74" spans="1:35" x14ac:dyDescent="0.2">
      <c r="A74" s="34">
        <v>186</v>
      </c>
      <c r="B74" s="88" t="s">
        <v>388</v>
      </c>
      <c r="C74" s="41" t="e">
        <f>Vuosikate!C74+'7. Nettoinvestoinnit '!C74+'8. Satunnaiset erät'!C74+'9. Tulorahkorjauserät'!C74</f>
        <v>#REF!</v>
      </c>
      <c r="D74" s="41">
        <f>Vuosikate!D74+'7. Nettoinvestoinnit '!D74+'8. Satunnaiset erät'!D74+'9. Tulorahkorjauserät'!D74</f>
        <v>-5348</v>
      </c>
      <c r="E74" s="41">
        <f>Vuosikate!E74+'7. Nettoinvestoinnit '!E74+'8. Satunnaiset erät'!E74+'9. Tulorahkorjauserät'!E74</f>
        <v>-10405</v>
      </c>
      <c r="F74" s="41">
        <f>Vuosikate!F74+'7. Nettoinvestoinnit '!F74+'8. Satunnaiset erät'!F74+'9. Tulorahkorjauserät'!F74</f>
        <v>-55847</v>
      </c>
      <c r="G74" s="41">
        <f>Vuosikate!G74+'7. Nettoinvestoinnit '!G74+'8. Satunnaiset erät'!G74+'9. Tulorahkorjauserät'!G74</f>
        <v>-55861</v>
      </c>
      <c r="H74" s="41">
        <f>Vuosikate!H74+'7. Nettoinvestoinnit '!H74+'8. Satunnaiset erät'!H74+'9. Tulorahkorjauserät'!H74</f>
        <v>-13791.830835239438</v>
      </c>
      <c r="I74" s="41">
        <f>Vuosikate!I74+'7. Nettoinvestoinnit '!I74+'8. Satunnaiset erät'!I74+'9. Tulorahkorjauserät'!I74</f>
        <v>-5030.8442767863817</v>
      </c>
      <c r="J74" s="41">
        <f>Vuosikate!J74+'7. Nettoinvestoinnit '!J74+'8. Satunnaiset erät'!J74+'9. Tulorahkorjauserät'!J74</f>
        <v>-33360.854549557807</v>
      </c>
      <c r="K74" s="41">
        <f>Vuosikate!K74+'7. Nettoinvestoinnit '!K74+'8. Satunnaiset erät'!K74+'9. Tulorahkorjauserät'!K74</f>
        <v>4593.9259307158927</v>
      </c>
      <c r="L74" s="41">
        <f>Vuosikate!L74+'7. Nettoinvestoinnit '!L74+'8. Satunnaiset erät'!L74+'9. Tulorahkorjauserät'!L74</f>
        <v>-9668.3057171388027</v>
      </c>
      <c r="M74" s="41">
        <f>Vuosikate!M74+'7. Nettoinvestoinnit '!M74+'8. Satunnaiset erät'!M74+'9. Tulorahkorjauserät'!M74</f>
        <v>-23475.132787142538</v>
      </c>
      <c r="N74" s="41">
        <f>Vuosikate!N74+'7. Nettoinvestoinnit '!N74+'8. Satunnaiset erät'!N74+'9. Tulorahkorjauserät'!N74</f>
        <v>-24188.972408395577</v>
      </c>
      <c r="O74" s="41">
        <f>Vuosikate!O74+'7. Nettoinvestoinnit '!O74+'8. Satunnaiset erät'!O74+'9. Tulorahkorjauserät'!O74</f>
        <v>-24712.348390496671</v>
      </c>
      <c r="P74" s="41">
        <f>Vuosikate!P74+'7. Nettoinvestoinnit '!P74+'8. Satunnaiset erät'!P74+'9. Tulorahkorjauserät'!P74</f>
        <v>-23330.246485006541</v>
      </c>
      <c r="T74" s="34">
        <v>186</v>
      </c>
      <c r="U74" s="88" t="s">
        <v>388</v>
      </c>
      <c r="V74" s="41" t="e">
        <f>C74/'1. Väestöennuste'!E74*1000</f>
        <v>#REF!</v>
      </c>
      <c r="W74" s="41">
        <f>D74/'1. Väestöennuste'!F74*1000</f>
        <v>-128.7774807965518</v>
      </c>
      <c r="X74" s="41">
        <f>E74/'1. Väestöennuste'!G74*1000</f>
        <v>-244.4094710138119</v>
      </c>
      <c r="Y74" s="41">
        <f>F74/'1. Väestöennuste'!H74*1000</f>
        <v>-1286.5008062658374</v>
      </c>
      <c r="Z74" s="41">
        <f>G74/'1. Väestöennuste'!I74*1000</f>
        <v>-1277.9620690444053</v>
      </c>
      <c r="AA74" s="41">
        <f>H74/'1. Väestöennuste'!J74*1000</f>
        <v>-310.24251119647818</v>
      </c>
      <c r="AB74" s="41">
        <f>I74/'1. Väestöennuste'!K74*1000</f>
        <v>-111.23787814059129</v>
      </c>
      <c r="AC74" s="41">
        <f>J74/'1. Väestöennuste'!L74*1000</f>
        <v>-731.11668966815273</v>
      </c>
      <c r="AD74" s="41">
        <f>K74/'1. Väestöennuste'!M74*1000</f>
        <v>98.815356651234524</v>
      </c>
      <c r="AE74" s="41">
        <f>L74/'1. Väestöennuste'!N74*1000</f>
        <v>-205.01072343381685</v>
      </c>
      <c r="AF74" s="41">
        <f>M74/'1. Väestöennuste'!O74*1000</f>
        <v>-491.47142860133027</v>
      </c>
      <c r="AG74" s="41">
        <f>N74/'1. Väestöennuste'!P74*1000</f>
        <v>-500.39247845253578</v>
      </c>
      <c r="AH74" s="41">
        <f>O74/'1. Väestöennuste'!Q74*1000</f>
        <v>-505.44768858906718</v>
      </c>
      <c r="AI74" s="41">
        <f>P74/'1. Väestöennuste'!R74*1000</f>
        <v>-472.13839165027201</v>
      </c>
    </row>
    <row r="75" spans="1:35" x14ac:dyDescent="0.2">
      <c r="A75" s="34">
        <v>202</v>
      </c>
      <c r="B75" s="88" t="s">
        <v>389</v>
      </c>
      <c r="C75" s="41" t="e">
        <f>Vuosikate!C75+'7. Nettoinvestoinnit '!C75+'8. Satunnaiset erät'!C75+'9. Tulorahkorjauserät'!C75</f>
        <v>#REF!</v>
      </c>
      <c r="D75" s="41">
        <f>Vuosikate!D75+'7. Nettoinvestoinnit '!D75+'8. Satunnaiset erät'!D75+'9. Tulorahkorjauserät'!D75</f>
        <v>939</v>
      </c>
      <c r="E75" s="41">
        <f>Vuosikate!E75+'7. Nettoinvestoinnit '!E75+'8. Satunnaiset erät'!E75+'9. Tulorahkorjauserät'!E75</f>
        <v>-8418</v>
      </c>
      <c r="F75" s="41">
        <f>Vuosikate!F75+'7. Nettoinvestoinnit '!F75+'8. Satunnaiset erät'!F75+'9. Tulorahkorjauserät'!F75</f>
        <v>-9794</v>
      </c>
      <c r="G75" s="41">
        <f>Vuosikate!G75+'7. Nettoinvestoinnit '!G75+'8. Satunnaiset erät'!G75+'9. Tulorahkorjauserät'!G75</f>
        <v>-12290</v>
      </c>
      <c r="H75" s="41">
        <f>Vuosikate!H75+'7. Nettoinvestoinnit '!H75+'8. Satunnaiset erät'!H75+'9. Tulorahkorjauserät'!H75</f>
        <v>-114.220271584476</v>
      </c>
      <c r="I75" s="41">
        <f>Vuosikate!I75+'7. Nettoinvestoinnit '!I75+'8. Satunnaiset erät'!I75+'9. Tulorahkorjauserät'!I75</f>
        <v>-6998.185000910652</v>
      </c>
      <c r="J75" s="41">
        <f>Vuosikate!J75+'7. Nettoinvestoinnit '!J75+'8. Satunnaiset erät'!J75+'9. Tulorahkorjauserät'!J75</f>
        <v>2715.3594382662832</v>
      </c>
      <c r="K75" s="41">
        <f>Vuosikate!K75+'7. Nettoinvestoinnit '!K75+'8. Satunnaiset erät'!K75+'9. Tulorahkorjauserät'!K75</f>
        <v>-16172.9131939293</v>
      </c>
      <c r="L75" s="41">
        <f>Vuosikate!L75+'7. Nettoinvestoinnit '!L75+'8. Satunnaiset erät'!L75+'9. Tulorahkorjauserät'!L75</f>
        <v>-7925.7693157132599</v>
      </c>
      <c r="M75" s="41">
        <f>Vuosikate!M75+'7. Nettoinvestoinnit '!M75+'8. Satunnaiset erät'!M75+'9. Tulorahkorjauserät'!M75</f>
        <v>-12491.541539489579</v>
      </c>
      <c r="N75" s="41">
        <f>Vuosikate!N75+'7. Nettoinvestoinnit '!N75+'8. Satunnaiset erät'!N75+'9. Tulorahkorjauserät'!N75</f>
        <v>-14302.497520859288</v>
      </c>
      <c r="O75" s="41">
        <f>Vuosikate!O75+'7. Nettoinvestoinnit '!O75+'8. Satunnaiset erät'!O75+'9. Tulorahkorjauserät'!O75</f>
        <v>-16131.459723101641</v>
      </c>
      <c r="P75" s="41">
        <f>Vuosikate!P75+'7. Nettoinvestoinnit '!P75+'8. Satunnaiset erät'!P75+'9. Tulorahkorjauserät'!P75</f>
        <v>-16919.079544545104</v>
      </c>
      <c r="T75" s="34">
        <v>202</v>
      </c>
      <c r="U75" s="88" t="s">
        <v>389</v>
      </c>
      <c r="V75" s="41" t="e">
        <f>C75/'1. Väestöennuste'!E75*1000</f>
        <v>#REF!</v>
      </c>
      <c r="W75" s="41">
        <f>D75/'1. Väestöennuste'!F75*1000</f>
        <v>28.68226525749893</v>
      </c>
      <c r="X75" s="41">
        <f>E75/'1. Väestöennuste'!G75*1000</f>
        <v>-254.32792531496418</v>
      </c>
      <c r="Y75" s="41">
        <f>F75/'1. Väestöennuste'!H75*1000</f>
        <v>-292.72520772311555</v>
      </c>
      <c r="Z75" s="41">
        <f>G75/'1. Väestöennuste'!I75*1000</f>
        <v>-362.14161534608246</v>
      </c>
      <c r="AA75" s="41">
        <f>H75/'1. Väestöennuste'!J75*1000</f>
        <v>-3.2947838458613665</v>
      </c>
      <c r="AB75" s="41">
        <f>I75/'1. Väestöennuste'!K75*1000</f>
        <v>-197.14863230443848</v>
      </c>
      <c r="AC75" s="41">
        <f>J75/'1. Väestöennuste'!L75*1000</f>
        <v>75.746469489686532</v>
      </c>
      <c r="AD75" s="41">
        <f>K75/'1. Väestöennuste'!M75*1000</f>
        <v>-445.05663870577894</v>
      </c>
      <c r="AE75" s="41">
        <f>L75/'1. Väestöennuste'!N75*1000</f>
        <v>-216.90072290613995</v>
      </c>
      <c r="AF75" s="41">
        <f>M75/'1. Väestöennuste'!O75*1000</f>
        <v>-338.08437640710133</v>
      </c>
      <c r="AG75" s="41">
        <f>N75/'1. Väestöennuste'!P75*1000</f>
        <v>-383.08551013417139</v>
      </c>
      <c r="AH75" s="41">
        <f>O75/'1. Väestöennuste'!Q75*1000</f>
        <v>-427.87882876055386</v>
      </c>
      <c r="AI75" s="41">
        <f>P75/'1. Väestöennuste'!R75*1000</f>
        <v>-444.7006135873707</v>
      </c>
    </row>
    <row r="76" spans="1:35" x14ac:dyDescent="0.2">
      <c r="A76" s="34">
        <v>204</v>
      </c>
      <c r="B76" s="88" t="s">
        <v>390</v>
      </c>
      <c r="C76" s="41" t="e">
        <f>Vuosikate!C76+'7. Nettoinvestoinnit '!C76+'8. Satunnaiset erät'!C76+'9. Tulorahkorjauserät'!C76</f>
        <v>#REF!</v>
      </c>
      <c r="D76" s="41">
        <f>Vuosikate!D76+'7. Nettoinvestoinnit '!D76+'8. Satunnaiset erät'!D76+'9. Tulorahkorjauserät'!D76</f>
        <v>-2887</v>
      </c>
      <c r="E76" s="41">
        <f>Vuosikate!E76+'7. Nettoinvestoinnit '!E76+'8. Satunnaiset erät'!E76+'9. Tulorahkorjauserät'!E76</f>
        <v>-257</v>
      </c>
      <c r="F76" s="41">
        <f>Vuosikate!F76+'7. Nettoinvestoinnit '!F76+'8. Satunnaiset erät'!F76+'9. Tulorahkorjauserät'!F76</f>
        <v>1182</v>
      </c>
      <c r="G76" s="41">
        <f>Vuosikate!G76+'7. Nettoinvestoinnit '!G76+'8. Satunnaiset erät'!G76+'9. Tulorahkorjauserät'!G76</f>
        <v>561</v>
      </c>
      <c r="H76" s="41">
        <f>Vuosikate!H76+'7. Nettoinvestoinnit '!H76+'8. Satunnaiset erät'!H76+'9. Tulorahkorjauserät'!H76</f>
        <v>1385.93346599084</v>
      </c>
      <c r="I76" s="41">
        <f>Vuosikate!I76+'7. Nettoinvestoinnit '!I76+'8. Satunnaiset erät'!I76+'9. Tulorahkorjauserät'!I76</f>
        <v>294.20617171390626</v>
      </c>
      <c r="J76" s="41">
        <f>Vuosikate!J76+'7. Nettoinvestoinnit '!J76+'8. Satunnaiset erät'!J76+'9. Tulorahkorjauserät'!J76</f>
        <v>-3082.8919752608958</v>
      </c>
      <c r="K76" s="41">
        <f>Vuosikate!K76+'7. Nettoinvestoinnit '!K76+'8. Satunnaiset erät'!K76+'9. Tulorahkorjauserät'!K76</f>
        <v>-535.18337696621518</v>
      </c>
      <c r="L76" s="41">
        <f>Vuosikate!L76+'7. Nettoinvestoinnit '!L76+'8. Satunnaiset erät'!L76+'9. Tulorahkorjauserät'!L76</f>
        <v>-1359.8585993953079</v>
      </c>
      <c r="M76" s="41">
        <f>Vuosikate!M76+'7. Nettoinvestoinnit '!M76+'8. Satunnaiset erät'!M76+'9. Tulorahkorjauserät'!M76</f>
        <v>-2896.5126331462066</v>
      </c>
      <c r="N76" s="41">
        <f>Vuosikate!N76+'7. Nettoinvestoinnit '!N76+'8. Satunnaiset erät'!N76+'9. Tulorahkorjauserät'!N76</f>
        <v>-2501.6706303262081</v>
      </c>
      <c r="O76" s="41">
        <f>Vuosikate!O76+'7. Nettoinvestoinnit '!O76+'8. Satunnaiset erät'!O76+'9. Tulorahkorjauserät'!O76</f>
        <v>-2452.4844522680178</v>
      </c>
      <c r="P76" s="41">
        <f>Vuosikate!P76+'7. Nettoinvestoinnit '!P76+'8. Satunnaiset erät'!P76+'9. Tulorahkorjauserät'!P76</f>
        <v>-2185.9585758777694</v>
      </c>
      <c r="T76" s="34">
        <v>204</v>
      </c>
      <c r="U76" s="88" t="s">
        <v>390</v>
      </c>
      <c r="V76" s="41" t="e">
        <f>C76/'1. Väestöennuste'!E76*1000</f>
        <v>#REF!</v>
      </c>
      <c r="W76" s="41">
        <f>D76/'1. Väestöennuste'!F76*1000</f>
        <v>-915.34559289790741</v>
      </c>
      <c r="X76" s="41">
        <f>E76/'1. Väestöennuste'!G76*1000</f>
        <v>-84.317585301837269</v>
      </c>
      <c r="Y76" s="41">
        <f>F76/'1. Väestöennuste'!H76*1000</f>
        <v>395.31772575250835</v>
      </c>
      <c r="Z76" s="41">
        <f>G76/'1. Väestöennuste'!I76*1000</f>
        <v>193.91634980988593</v>
      </c>
      <c r="AA76" s="41">
        <f>H76/'1. Väestöennuste'!J76*1000</f>
        <v>493.74188314600644</v>
      </c>
      <c r="AB76" s="41">
        <f>I76/'1. Väestöennuste'!K76*1000</f>
        <v>105.90574935705769</v>
      </c>
      <c r="AC76" s="41">
        <f>J76/'1. Väestöennuste'!L76*1000</f>
        <v>-1146.4826981260305</v>
      </c>
      <c r="AD76" s="41">
        <f>K76/'1. Väestöennuste'!M76*1000</f>
        <v>-203.64664268120822</v>
      </c>
      <c r="AE76" s="41">
        <f>L76/'1. Väestöennuste'!N76*1000</f>
        <v>-528.51092086875553</v>
      </c>
      <c r="AF76" s="41">
        <f>M76/'1. Väestöennuste'!O76*1000</f>
        <v>-1145.3193488122604</v>
      </c>
      <c r="AG76" s="41">
        <f>N76/'1. Väestöennuste'!P76*1000</f>
        <v>-1005.0906509948608</v>
      </c>
      <c r="AH76" s="41">
        <f>O76/'1. Väestöennuste'!Q76*1000</f>
        <v>-1000.6056516801378</v>
      </c>
      <c r="AI76" s="41">
        <f>P76/'1. Väestöennuste'!R76*1000</f>
        <v>-905.90906584242418</v>
      </c>
    </row>
    <row r="77" spans="1:35" x14ac:dyDescent="0.2">
      <c r="A77" s="34">
        <v>205</v>
      </c>
      <c r="B77" s="88" t="s">
        <v>391</v>
      </c>
      <c r="C77" s="41" t="e">
        <f>Vuosikate!C77+'7. Nettoinvestoinnit '!C77+'8. Satunnaiset erät'!C77+'9. Tulorahkorjauserät'!C77</f>
        <v>#REF!</v>
      </c>
      <c r="D77" s="41">
        <f>Vuosikate!D77+'7. Nettoinvestoinnit '!D77+'8. Satunnaiset erät'!D77+'9. Tulorahkorjauserät'!D77</f>
        <v>-17397</v>
      </c>
      <c r="E77" s="41">
        <f>Vuosikate!E77+'7. Nettoinvestoinnit '!E77+'8. Satunnaiset erät'!E77+'9. Tulorahkorjauserät'!E77</f>
        <v>-7880</v>
      </c>
      <c r="F77" s="41">
        <f>Vuosikate!F77+'7. Nettoinvestoinnit '!F77+'8. Satunnaiset erät'!F77+'9. Tulorahkorjauserät'!F77</f>
        <v>-19027</v>
      </c>
      <c r="G77" s="41">
        <f>Vuosikate!G77+'7. Nettoinvestoinnit '!G77+'8. Satunnaiset erät'!G77+'9. Tulorahkorjauserät'!G77</f>
        <v>143980</v>
      </c>
      <c r="H77" s="41">
        <f>Vuosikate!H77+'7. Nettoinvestoinnit '!H77+'8. Satunnaiset erät'!H77+'9. Tulorahkorjauserät'!H77</f>
        <v>-44543.611294251838</v>
      </c>
      <c r="I77" s="41">
        <f>Vuosikate!I77+'7. Nettoinvestoinnit '!I77+'8. Satunnaiset erät'!I77+'9. Tulorahkorjauserät'!I77</f>
        <v>18606.759198379536</v>
      </c>
      <c r="J77" s="41">
        <f>Vuosikate!J77+'7. Nettoinvestoinnit '!J77+'8. Satunnaiset erät'!J77+'9. Tulorahkorjauserät'!J77</f>
        <v>-3137.9558520081705</v>
      </c>
      <c r="K77" s="41">
        <f>Vuosikate!K77+'7. Nettoinvestoinnit '!K77+'8. Satunnaiset erät'!K77+'9. Tulorahkorjauserät'!K77</f>
        <v>1407.1936775035872</v>
      </c>
      <c r="L77" s="41">
        <f>Vuosikate!L77+'7. Nettoinvestoinnit '!L77+'8. Satunnaiset erät'!L77+'9. Tulorahkorjauserät'!L77</f>
        <v>-7964.5097851795435</v>
      </c>
      <c r="M77" s="41">
        <f>Vuosikate!M77+'7. Nettoinvestoinnit '!M77+'8. Satunnaiset erät'!M77+'9. Tulorahkorjauserät'!M77</f>
        <v>-17530.105117929917</v>
      </c>
      <c r="N77" s="41">
        <f>Vuosikate!N77+'7. Nettoinvestoinnit '!N77+'8. Satunnaiset erät'!N77+'9. Tulorahkorjauserät'!N77</f>
        <v>-20562.263431084764</v>
      </c>
      <c r="O77" s="41">
        <f>Vuosikate!O77+'7. Nettoinvestoinnit '!O77+'8. Satunnaiset erät'!O77+'9. Tulorahkorjauserät'!O77</f>
        <v>-22679.579148577832</v>
      </c>
      <c r="P77" s="41">
        <f>Vuosikate!P77+'7. Nettoinvestoinnit '!P77+'8. Satunnaiset erät'!P77+'9. Tulorahkorjauserät'!P77</f>
        <v>-21405.958572945543</v>
      </c>
      <c r="T77" s="34">
        <v>205</v>
      </c>
      <c r="U77" s="88" t="s">
        <v>391</v>
      </c>
      <c r="V77" s="41" t="e">
        <f>C77/'1. Väestöennuste'!E77*1000</f>
        <v>#REF!</v>
      </c>
      <c r="W77" s="41">
        <f>D77/'1. Väestöennuste'!F77*1000</f>
        <v>-463.66035020388586</v>
      </c>
      <c r="X77" s="41">
        <f>E77/'1. Väestöennuste'!G77*1000</f>
        <v>-211.60611187196218</v>
      </c>
      <c r="Y77" s="41">
        <f>F77/'1. Väestöennuste'!H77*1000</f>
        <v>-514.61877586346793</v>
      </c>
      <c r="Z77" s="41">
        <f>G77/'1. Väestöennuste'!I77*1000</f>
        <v>3922.1989157972162</v>
      </c>
      <c r="AA77" s="41">
        <f>H77/'1. Väestöennuste'!J77*1000</f>
        <v>-1218.136880090022</v>
      </c>
      <c r="AB77" s="41">
        <f>I77/'1. Väestöennuste'!K77*1000</f>
        <v>509.87200828595991</v>
      </c>
      <c r="AC77" s="41">
        <f>J77/'1. Väestöennuste'!L77*1000</f>
        <v>-86.452209604324622</v>
      </c>
      <c r="AD77" s="41">
        <f>K77/'1. Väestöennuste'!M77*1000</f>
        <v>38.539525032278569</v>
      </c>
      <c r="AE77" s="41">
        <f>L77/'1. Väestöennuste'!N77*1000</f>
        <v>-221.93300596816516</v>
      </c>
      <c r="AF77" s="41">
        <f>M77/'1. Väestöennuste'!O77*1000</f>
        <v>-491.01185137891201</v>
      </c>
      <c r="AG77" s="41">
        <f>N77/'1. Väestöennuste'!P77*1000</f>
        <v>-579.05557395338678</v>
      </c>
      <c r="AH77" s="41">
        <f>O77/'1. Väestöennuste'!Q77*1000</f>
        <v>-642.09901046340224</v>
      </c>
      <c r="AI77" s="41">
        <f>P77/'1. Väestöennuste'!R77*1000</f>
        <v>-609.42230812656351</v>
      </c>
    </row>
    <row r="78" spans="1:35" x14ac:dyDescent="0.2">
      <c r="A78" s="34">
        <v>208</v>
      </c>
      <c r="B78" s="88" t="s">
        <v>392</v>
      </c>
      <c r="C78" s="41" t="e">
        <f>Vuosikate!C78+'7. Nettoinvestoinnit '!C78+'8. Satunnaiset erät'!C78+'9. Tulorahkorjauserät'!C78</f>
        <v>#REF!</v>
      </c>
      <c r="D78" s="41">
        <f>Vuosikate!D78+'7. Nettoinvestoinnit '!D78+'8. Satunnaiset erät'!D78+'9. Tulorahkorjauserät'!D78</f>
        <v>-72</v>
      </c>
      <c r="E78" s="41">
        <f>Vuosikate!E78+'7. Nettoinvestoinnit '!E78+'8. Satunnaiset erät'!E78+'9. Tulorahkorjauserät'!E78</f>
        <v>-2534</v>
      </c>
      <c r="F78" s="41">
        <f>Vuosikate!F78+'7. Nettoinvestoinnit '!F78+'8. Satunnaiset erät'!F78+'9. Tulorahkorjauserät'!F78</f>
        <v>-7474</v>
      </c>
      <c r="G78" s="41">
        <f>Vuosikate!G78+'7. Nettoinvestoinnit '!G78+'8. Satunnaiset erät'!G78+'9. Tulorahkorjauserät'!G78</f>
        <v>-2120</v>
      </c>
      <c r="H78" s="41">
        <f>Vuosikate!H78+'7. Nettoinvestoinnit '!H78+'8. Satunnaiset erät'!H78+'9. Tulorahkorjauserät'!H78</f>
        <v>4985.8040246725795</v>
      </c>
      <c r="I78" s="41">
        <f>Vuosikate!I78+'7. Nettoinvestoinnit '!I78+'8. Satunnaiset erät'!I78+'9. Tulorahkorjauserät'!I78</f>
        <v>-1955.6436867404664</v>
      </c>
      <c r="J78" s="41">
        <f>Vuosikate!J78+'7. Nettoinvestoinnit '!J78+'8. Satunnaiset erät'!J78+'9. Tulorahkorjauserät'!J78</f>
        <v>3404.5927309766657</v>
      </c>
      <c r="K78" s="41">
        <f>Vuosikate!K78+'7. Nettoinvestoinnit '!K78+'8. Satunnaiset erät'!K78+'9. Tulorahkorjauserät'!K78</f>
        <v>7407.6841469294086</v>
      </c>
      <c r="L78" s="41">
        <f>Vuosikate!L78+'7. Nettoinvestoinnit '!L78+'8. Satunnaiset erät'!L78+'9. Tulorahkorjauserät'!L78</f>
        <v>-2525.9311292235689</v>
      </c>
      <c r="M78" s="41">
        <f>Vuosikate!M78+'7. Nettoinvestoinnit '!M78+'8. Satunnaiset erät'!M78+'9. Tulorahkorjauserät'!M78</f>
        <v>-3878.4654703219603</v>
      </c>
      <c r="N78" s="41">
        <f>Vuosikate!N78+'7. Nettoinvestoinnit '!N78+'8. Satunnaiset erät'!N78+'9. Tulorahkorjauserät'!N78</f>
        <v>-4794.6008466245567</v>
      </c>
      <c r="O78" s="41">
        <f>Vuosikate!O78+'7. Nettoinvestoinnit '!O78+'8. Satunnaiset erät'!O78+'9. Tulorahkorjauserät'!O78</f>
        <v>-5079.9919884874344</v>
      </c>
      <c r="P78" s="41">
        <f>Vuosikate!P78+'7. Nettoinvestoinnit '!P78+'8. Satunnaiset erät'!P78+'9. Tulorahkorjauserät'!P78</f>
        <v>-4089.4720641682679</v>
      </c>
      <c r="T78" s="34">
        <v>208</v>
      </c>
      <c r="U78" s="88" t="s">
        <v>392</v>
      </c>
      <c r="V78" s="41" t="e">
        <f>C78/'1. Väestöennuste'!E78*1000</f>
        <v>#REF!</v>
      </c>
      <c r="W78" s="41">
        <f>D78/'1. Väestöennuste'!F78*1000</f>
        <v>-5.7206419831558879</v>
      </c>
      <c r="X78" s="41">
        <f>E78/'1. Väestöennuste'!G78*1000</f>
        <v>-202.46085011185681</v>
      </c>
      <c r="Y78" s="41">
        <f>F78/'1. Väestöennuste'!H78*1000</f>
        <v>-603.37450552999121</v>
      </c>
      <c r="Z78" s="41">
        <f>G78/'1. Väestöennuste'!I78*1000</f>
        <v>-171.34082275923382</v>
      </c>
      <c r="AA78" s="41">
        <f>H78/'1. Väestöennuste'!J78*1000</f>
        <v>402.08096973165965</v>
      </c>
      <c r="AB78" s="41">
        <f>I78/'1. Väestöennuste'!K78*1000</f>
        <v>-157.56072242511007</v>
      </c>
      <c r="AC78" s="41">
        <f>J78/'1. Väestöennuste'!L78*1000</f>
        <v>276.01076051695713</v>
      </c>
      <c r="AD78" s="41">
        <f>K78/'1. Väestöennuste'!M78*1000</f>
        <v>598.74588966451734</v>
      </c>
      <c r="AE78" s="41">
        <f>L78/'1. Väestöennuste'!N78*1000</f>
        <v>-206.7723583188907</v>
      </c>
      <c r="AF78" s="41">
        <f>M78/'1. Väestöennuste'!O78*1000</f>
        <v>-318.97898431795051</v>
      </c>
      <c r="AG78" s="41">
        <f>N78/'1. Väestöennuste'!P78*1000</f>
        <v>-396.24800385326915</v>
      </c>
      <c r="AH78" s="41">
        <f>O78/'1. Väestöennuste'!Q78*1000</f>
        <v>-421.99634395144</v>
      </c>
      <c r="AI78" s="41">
        <f>P78/'1. Väestöennuste'!R78*1000</f>
        <v>-341.5293188715774</v>
      </c>
    </row>
    <row r="79" spans="1:35" x14ac:dyDescent="0.2">
      <c r="A79" s="34">
        <v>211</v>
      </c>
      <c r="B79" s="88" t="s">
        <v>393</v>
      </c>
      <c r="C79" s="41" t="e">
        <f>Vuosikate!C79+'7. Nettoinvestoinnit '!C79+'8. Satunnaiset erät'!C79+'9. Tulorahkorjauserät'!C79</f>
        <v>#REF!</v>
      </c>
      <c r="D79" s="41">
        <f>Vuosikate!D79+'7. Nettoinvestoinnit '!D79+'8. Satunnaiset erät'!D79+'9. Tulorahkorjauserät'!D79</f>
        <v>3283</v>
      </c>
      <c r="E79" s="41">
        <f>Vuosikate!E79+'7. Nettoinvestoinnit '!E79+'8. Satunnaiset erät'!E79+'9. Tulorahkorjauserät'!E79</f>
        <v>13110</v>
      </c>
      <c r="F79" s="41">
        <f>Vuosikate!F79+'7. Nettoinvestoinnit '!F79+'8. Satunnaiset erät'!F79+'9. Tulorahkorjauserät'!F79</f>
        <v>-12741</v>
      </c>
      <c r="G79" s="41">
        <f>Vuosikate!G79+'7. Nettoinvestoinnit '!G79+'8. Satunnaiset erät'!G79+'9. Tulorahkorjauserät'!G79</f>
        <v>-8609</v>
      </c>
      <c r="H79" s="41">
        <f>Vuosikate!H79+'7. Nettoinvestoinnit '!H79+'8. Satunnaiset erät'!H79+'9. Tulorahkorjauserät'!H79</f>
        <v>5730.4045466047464</v>
      </c>
      <c r="I79" s="41">
        <f>Vuosikate!I79+'7. Nettoinvestoinnit '!I79+'8. Satunnaiset erät'!I79+'9. Tulorahkorjauserät'!I79</f>
        <v>-3949.0550212629842</v>
      </c>
      <c r="J79" s="41">
        <f>Vuosikate!J79+'7. Nettoinvestoinnit '!J79+'8. Satunnaiset erät'!J79+'9. Tulorahkorjauserät'!J79</f>
        <v>-26238.662797187302</v>
      </c>
      <c r="K79" s="41">
        <f>Vuosikate!K79+'7. Nettoinvestoinnit '!K79+'8. Satunnaiset erät'!K79+'9. Tulorahkorjauserät'!K79</f>
        <v>-23670.737719195396</v>
      </c>
      <c r="L79" s="41">
        <f>Vuosikate!L79+'7. Nettoinvestoinnit '!L79+'8. Satunnaiset erät'!L79+'9. Tulorahkorjauserät'!L79</f>
        <v>-27216.251369543796</v>
      </c>
      <c r="M79" s="41">
        <f>Vuosikate!M79+'7. Nettoinvestoinnit '!M79+'8. Satunnaiset erät'!M79+'9. Tulorahkorjauserät'!M79</f>
        <v>-25345.235756361963</v>
      </c>
      <c r="N79" s="41">
        <f>Vuosikate!N79+'7. Nettoinvestoinnit '!N79+'8. Satunnaiset erät'!N79+'9. Tulorahkorjauserät'!N79</f>
        <v>-24250.271296341736</v>
      </c>
      <c r="O79" s="41">
        <f>Vuosikate!O79+'7. Nettoinvestoinnit '!O79+'8. Satunnaiset erät'!O79+'9. Tulorahkorjauserät'!O79</f>
        <v>-25658.028204636579</v>
      </c>
      <c r="P79" s="41">
        <f>Vuosikate!P79+'7. Nettoinvestoinnit '!P79+'8. Satunnaiset erät'!P79+'9. Tulorahkorjauserät'!P79</f>
        <v>-26126.319412440098</v>
      </c>
      <c r="T79" s="34">
        <v>211</v>
      </c>
      <c r="U79" s="88" t="s">
        <v>393</v>
      </c>
      <c r="V79" s="41" t="e">
        <f>C79/'1. Väestöennuste'!E79*1000</f>
        <v>#REF!</v>
      </c>
      <c r="W79" s="41">
        <f>D79/'1. Väestöennuste'!F79*1000</f>
        <v>105.25809554344342</v>
      </c>
      <c r="X79" s="41">
        <f>E79/'1. Väestöennuste'!G79*1000</f>
        <v>417.0245252409581</v>
      </c>
      <c r="Y79" s="41">
        <f>F79/'1. Väestöennuste'!H79*1000</f>
        <v>-402.22881676979415</v>
      </c>
      <c r="Z79" s="41">
        <f>G79/'1. Väestöennuste'!I79*1000</f>
        <v>-270.14560060248527</v>
      </c>
      <c r="AA79" s="41">
        <f>H79/'1. Väestöennuste'!J79*1000</f>
        <v>177.88553258225451</v>
      </c>
      <c r="AB79" s="41">
        <f>I79/'1. Väestöennuste'!K79*1000</f>
        <v>-121.05496356026559</v>
      </c>
      <c r="AC79" s="41">
        <f>J79/'1. Väestöennuste'!L79*1000</f>
        <v>-796.10008790276709</v>
      </c>
      <c r="AD79" s="41">
        <f>K79/'1. Väestöennuste'!M79*1000</f>
        <v>-707.15913480104552</v>
      </c>
      <c r="AE79" s="41">
        <f>L79/'1. Väestöennuste'!N79*1000</f>
        <v>-819.10047159068824</v>
      </c>
      <c r="AF79" s="41">
        <f>M79/'1. Väestöennuste'!O79*1000</f>
        <v>-757.56921796873394</v>
      </c>
      <c r="AG79" s="41">
        <f>N79/'1. Väestöennuste'!P79*1000</f>
        <v>-720.19099834704616</v>
      </c>
      <c r="AH79" s="41">
        <f>O79/'1. Väestöennuste'!Q79*1000</f>
        <v>-757.36549396766577</v>
      </c>
      <c r="AI79" s="41">
        <f>P79/'1. Väestöennuste'!R79*1000</f>
        <v>-766.72984335847684</v>
      </c>
    </row>
    <row r="80" spans="1:35" x14ac:dyDescent="0.2">
      <c r="A80" s="34">
        <v>213</v>
      </c>
      <c r="B80" s="88" t="s">
        <v>394</v>
      </c>
      <c r="C80" s="41" t="e">
        <f>Vuosikate!C80+'7. Nettoinvestoinnit '!C80+'8. Satunnaiset erät'!C80+'9. Tulorahkorjauserät'!C80</f>
        <v>#REF!</v>
      </c>
      <c r="D80" s="41">
        <f>Vuosikate!D80+'7. Nettoinvestoinnit '!D80+'8. Satunnaiset erät'!D80+'9. Tulorahkorjauserät'!D80</f>
        <v>-1537</v>
      </c>
      <c r="E80" s="41">
        <f>Vuosikate!E80+'7. Nettoinvestoinnit '!E80+'8. Satunnaiset erät'!E80+'9. Tulorahkorjauserät'!E80</f>
        <v>951</v>
      </c>
      <c r="F80" s="41">
        <f>Vuosikate!F80+'7. Nettoinvestoinnit '!F80+'8. Satunnaiset erät'!F80+'9. Tulorahkorjauserät'!F80</f>
        <v>-764</v>
      </c>
      <c r="G80" s="41">
        <f>Vuosikate!G80+'7. Nettoinvestoinnit '!G80+'8. Satunnaiset erät'!G80+'9. Tulorahkorjauserät'!G80</f>
        <v>-86</v>
      </c>
      <c r="H80" s="41">
        <f>Vuosikate!H80+'7. Nettoinvestoinnit '!H80+'8. Satunnaiset erät'!H80+'9. Tulorahkorjauserät'!H80</f>
        <v>4814.2527294825377</v>
      </c>
      <c r="I80" s="41">
        <f>Vuosikate!I80+'7. Nettoinvestoinnit '!I80+'8. Satunnaiset erät'!I80+'9. Tulorahkorjauserät'!I80</f>
        <v>1943.1769936226317</v>
      </c>
      <c r="J80" s="41">
        <f>Vuosikate!J80+'7. Nettoinvestoinnit '!J80+'8. Satunnaiset erät'!J80+'9. Tulorahkorjauserät'!J80</f>
        <v>398.62484861856797</v>
      </c>
      <c r="K80" s="41">
        <f>Vuosikate!K80+'7. Nettoinvestoinnit '!K80+'8. Satunnaiset erät'!K80+'9. Tulorahkorjauserät'!K80</f>
        <v>857.14540530909676</v>
      </c>
      <c r="L80" s="41">
        <f>Vuosikate!L80+'7. Nettoinvestoinnit '!L80+'8. Satunnaiset erät'!L80+'9. Tulorahkorjauserät'!L80</f>
        <v>329.51061403309723</v>
      </c>
      <c r="M80" s="41">
        <f>Vuosikate!M80+'7. Nettoinvestoinnit '!M80+'8. Satunnaiset erät'!M80+'9. Tulorahkorjauserät'!M80</f>
        <v>-462.63504374075137</v>
      </c>
      <c r="N80" s="41">
        <f>Vuosikate!N80+'7. Nettoinvestoinnit '!N80+'8. Satunnaiset erät'!N80+'9. Tulorahkorjauserät'!N80</f>
        <v>-359.95801188414407</v>
      </c>
      <c r="O80" s="41">
        <f>Vuosikate!O80+'7. Nettoinvestoinnit '!O80+'8. Satunnaiset erät'!O80+'9. Tulorahkorjauserät'!O80</f>
        <v>-280.77641606928</v>
      </c>
      <c r="P80" s="41">
        <f>Vuosikate!P80+'7. Nettoinvestoinnit '!P80+'8. Satunnaiset erät'!P80+'9. Tulorahkorjauserät'!P80</f>
        <v>508.6432311198505</v>
      </c>
      <c r="T80" s="34">
        <v>213</v>
      </c>
      <c r="U80" s="88" t="s">
        <v>394</v>
      </c>
      <c r="V80" s="41" t="e">
        <f>C80/'1. Väestöennuste'!E80*1000</f>
        <v>#REF!</v>
      </c>
      <c r="W80" s="41">
        <f>D80/'1. Väestöennuste'!F80*1000</f>
        <v>-274.31733000178474</v>
      </c>
      <c r="X80" s="41">
        <f>E80/'1. Väestöennuste'!G80*1000</f>
        <v>171.38223103261848</v>
      </c>
      <c r="Y80" s="41">
        <f>F80/'1. Väestöennuste'!H80*1000</f>
        <v>-140.13206162876011</v>
      </c>
      <c r="Z80" s="41">
        <f>G80/'1. Väestöennuste'!I80*1000</f>
        <v>-16.056758775205378</v>
      </c>
      <c r="AA80" s="41">
        <f>H80/'1. Väestöennuste'!J80*1000</f>
        <v>906.2975770863211</v>
      </c>
      <c r="AB80" s="41">
        <f>I80/'1. Väestöennuste'!K80*1000</f>
        <v>371.54435824524506</v>
      </c>
      <c r="AC80" s="41">
        <f>J80/'1. Väestöennuste'!L80*1000</f>
        <v>77.342811140583606</v>
      </c>
      <c r="AD80" s="41">
        <f>K80/'1. Väestöennuste'!M80*1000</f>
        <v>167.60762716251404</v>
      </c>
      <c r="AE80" s="41">
        <f>L80/'1. Väestöennuste'!N80*1000</f>
        <v>65.030711275527381</v>
      </c>
      <c r="AF80" s="41">
        <f>M80/'1. Väestöennuste'!O80*1000</f>
        <v>-92.323896176561831</v>
      </c>
      <c r="AG80" s="41">
        <f>N80/'1. Väestöennuste'!P80*1000</f>
        <v>-72.616100844087967</v>
      </c>
      <c r="AH80" s="41">
        <f>O80/'1. Väestöennuste'!Q80*1000</f>
        <v>-57.254570976606857</v>
      </c>
      <c r="AI80" s="41">
        <f>P80/'1. Väestöennuste'!R80*1000</f>
        <v>104.81006204818679</v>
      </c>
    </row>
    <row r="81" spans="1:35" x14ac:dyDescent="0.2">
      <c r="A81" s="34">
        <v>214</v>
      </c>
      <c r="B81" s="88" t="s">
        <v>395</v>
      </c>
      <c r="C81" s="41" t="e">
        <f>Vuosikate!C81+'7. Nettoinvestoinnit '!C81+'8. Satunnaiset erät'!C81+'9. Tulorahkorjauserät'!C81</f>
        <v>#REF!</v>
      </c>
      <c r="D81" s="41">
        <f>Vuosikate!D81+'7. Nettoinvestoinnit '!D81+'8. Satunnaiset erät'!D81+'9. Tulorahkorjauserät'!D81</f>
        <v>-3510</v>
      </c>
      <c r="E81" s="41">
        <f>Vuosikate!E81+'7. Nettoinvestoinnit '!E81+'8. Satunnaiset erät'!E81+'9. Tulorahkorjauserät'!E81</f>
        <v>-3359</v>
      </c>
      <c r="F81" s="41">
        <f>Vuosikate!F81+'7. Nettoinvestoinnit '!F81+'8. Satunnaiset erät'!F81+'9. Tulorahkorjauserät'!F81</f>
        <v>-6057</v>
      </c>
      <c r="G81" s="41">
        <f>Vuosikate!G81+'7. Nettoinvestoinnit '!G81+'8. Satunnaiset erät'!G81+'9. Tulorahkorjauserät'!G81</f>
        <v>-6559</v>
      </c>
      <c r="H81" s="41">
        <f>Vuosikate!H81+'7. Nettoinvestoinnit '!H81+'8. Satunnaiset erät'!H81+'9. Tulorahkorjauserät'!H81</f>
        <v>106.82325921373558</v>
      </c>
      <c r="I81" s="41">
        <f>Vuosikate!I81+'7. Nettoinvestoinnit '!I81+'8. Satunnaiset erät'!I81+'9. Tulorahkorjauserät'!I81</f>
        <v>2309.8680982354399</v>
      </c>
      <c r="J81" s="41">
        <f>Vuosikate!J81+'7. Nettoinvestoinnit '!J81+'8. Satunnaiset erät'!J81+'9. Tulorahkorjauserät'!J81</f>
        <v>-2706.103407183839</v>
      </c>
      <c r="K81" s="41">
        <f>Vuosikate!K81+'7. Nettoinvestoinnit '!K81+'8. Satunnaiset erät'!K81+'9. Tulorahkorjauserät'!K81</f>
        <v>7625.5922340480947</v>
      </c>
      <c r="L81" s="41">
        <f>Vuosikate!L81+'7. Nettoinvestoinnit '!L81+'8. Satunnaiset erät'!L81+'9. Tulorahkorjauserät'!L81</f>
        <v>-948.85532581103053</v>
      </c>
      <c r="M81" s="41">
        <f>Vuosikate!M81+'7. Nettoinvestoinnit '!M81+'8. Satunnaiset erät'!M81+'9. Tulorahkorjauserät'!M81</f>
        <v>-1966.9229189080597</v>
      </c>
      <c r="N81" s="41">
        <f>Vuosikate!N81+'7. Nettoinvestoinnit '!N81+'8. Satunnaiset erät'!N81+'9. Tulorahkorjauserät'!N81</f>
        <v>-1676.8714691435807</v>
      </c>
      <c r="O81" s="41">
        <f>Vuosikate!O81+'7. Nettoinvestoinnit '!O81+'8. Satunnaiset erät'!O81+'9. Tulorahkorjauserät'!O81</f>
        <v>-1634.5076396387831</v>
      </c>
      <c r="P81" s="41">
        <f>Vuosikate!P81+'7. Nettoinvestoinnit '!P81+'8. Satunnaiset erät'!P81+'9. Tulorahkorjauserät'!P81</f>
        <v>-57.919782085775296</v>
      </c>
      <c r="T81" s="34">
        <v>214</v>
      </c>
      <c r="U81" s="88" t="s">
        <v>395</v>
      </c>
      <c r="V81" s="41" t="e">
        <f>C81/'1. Väestöennuste'!E81*1000</f>
        <v>#REF!</v>
      </c>
      <c r="W81" s="41">
        <f>D81/'1. Väestöennuste'!F81*1000</f>
        <v>-262.0185129889519</v>
      </c>
      <c r="X81" s="41">
        <f>E81/'1. Väestöennuste'!G81*1000</f>
        <v>-252.70839602768581</v>
      </c>
      <c r="Y81" s="41">
        <f>F81/'1. Väestöennuste'!H81*1000</f>
        <v>-461.06416990180406</v>
      </c>
      <c r="Z81" s="41">
        <f>G81/'1. Väestöennuste'!I81*1000</f>
        <v>-508.21323415465679</v>
      </c>
      <c r="AA81" s="41">
        <f>H81/'1. Väestöennuste'!J81*1000</f>
        <v>8.3730411674036347</v>
      </c>
      <c r="AB81" s="41">
        <f>I81/'1. Väestöennuste'!K81*1000</f>
        <v>182.42521704592008</v>
      </c>
      <c r="AC81" s="41">
        <f>J81/'1. Väestöennuste'!L81*1000</f>
        <v>-216.00442266793095</v>
      </c>
      <c r="AD81" s="41">
        <f>K81/'1. Väestöennuste'!M81*1000</f>
        <v>615.26482443505677</v>
      </c>
      <c r="AE81" s="41">
        <f>L81/'1. Väestöennuste'!N81*1000</f>
        <v>-78.178736575021063</v>
      </c>
      <c r="AF81" s="41">
        <f>M81/'1. Väestöennuste'!O81*1000</f>
        <v>-163.93756617003334</v>
      </c>
      <c r="AG81" s="41">
        <f>N81/'1. Väestöennuste'!P81*1000</f>
        <v>-141.31733264314687</v>
      </c>
      <c r="AH81" s="41">
        <f>O81/'1. Väestöennuste'!Q81*1000</f>
        <v>-139.21366490407826</v>
      </c>
      <c r="AI81" s="41">
        <f>P81/'1. Väestöennuste'!R81*1000</f>
        <v>-4.9849197078729057</v>
      </c>
    </row>
    <row r="82" spans="1:35" x14ac:dyDescent="0.2">
      <c r="A82" s="34">
        <v>216</v>
      </c>
      <c r="B82" s="88" t="s">
        <v>396</v>
      </c>
      <c r="C82" s="41" t="e">
        <f>Vuosikate!C82+'7. Nettoinvestoinnit '!C82+'8. Satunnaiset erät'!C82+'9. Tulorahkorjauserät'!C82</f>
        <v>#REF!</v>
      </c>
      <c r="D82" s="41">
        <f>Vuosikate!D82+'7. Nettoinvestoinnit '!D82+'8. Satunnaiset erät'!D82+'9. Tulorahkorjauserät'!D82</f>
        <v>671</v>
      </c>
      <c r="E82" s="41">
        <f>Vuosikate!E82+'7. Nettoinvestoinnit '!E82+'8. Satunnaiset erät'!E82+'9. Tulorahkorjauserät'!E82</f>
        <v>-234</v>
      </c>
      <c r="F82" s="41">
        <f>Vuosikate!F82+'7. Nettoinvestoinnit '!F82+'8. Satunnaiset erät'!F82+'9. Tulorahkorjauserät'!F82</f>
        <v>46</v>
      </c>
      <c r="G82" s="41">
        <f>Vuosikate!G82+'7. Nettoinvestoinnit '!G82+'8. Satunnaiset erät'!G82+'9. Tulorahkorjauserät'!G82</f>
        <v>-86</v>
      </c>
      <c r="H82" s="41">
        <f>Vuosikate!H82+'7. Nettoinvestoinnit '!H82+'8. Satunnaiset erät'!H82+'9. Tulorahkorjauserät'!H82</f>
        <v>-1586.7387552617065</v>
      </c>
      <c r="I82" s="41">
        <f>Vuosikate!I82+'7. Nettoinvestoinnit '!I82+'8. Satunnaiset erät'!I82+'9. Tulorahkorjauserät'!I82</f>
        <v>459.55320587746661</v>
      </c>
      <c r="J82" s="41">
        <f>Vuosikate!J82+'7. Nettoinvestoinnit '!J82+'8. Satunnaiset erät'!J82+'9. Tulorahkorjauserät'!J82</f>
        <v>-158.12810551391911</v>
      </c>
      <c r="K82" s="41">
        <f>Vuosikate!K82+'7. Nettoinvestoinnit '!K82+'8. Satunnaiset erät'!K82+'9. Tulorahkorjauserät'!K82</f>
        <v>-216.10236757510029</v>
      </c>
      <c r="L82" s="41">
        <f>Vuosikate!L82+'7. Nettoinvestoinnit '!L82+'8. Satunnaiset erät'!L82+'9. Tulorahkorjauserät'!L82</f>
        <v>-60.725796171488241</v>
      </c>
      <c r="M82" s="41">
        <f>Vuosikate!M82+'7. Nettoinvestoinnit '!M82+'8. Satunnaiset erät'!M82+'9. Tulorahkorjauserät'!M82</f>
        <v>-828.4986624472383</v>
      </c>
      <c r="N82" s="41">
        <f>Vuosikate!N82+'7. Nettoinvestoinnit '!N82+'8. Satunnaiset erät'!N82+'9. Tulorahkorjauserät'!N82</f>
        <v>-982.78561172221509</v>
      </c>
      <c r="O82" s="41">
        <f>Vuosikate!O82+'7. Nettoinvestoinnit '!O82+'8. Satunnaiset erät'!O82+'9. Tulorahkorjauserät'!O82</f>
        <v>-1054.8104390118879</v>
      </c>
      <c r="P82" s="41">
        <f>Vuosikate!P82+'7. Nettoinvestoinnit '!P82+'8. Satunnaiset erät'!P82+'9. Tulorahkorjauserät'!P82</f>
        <v>-1004.8795690940275</v>
      </c>
      <c r="T82" s="34">
        <v>216</v>
      </c>
      <c r="U82" s="88" t="s">
        <v>396</v>
      </c>
      <c r="V82" s="41" t="e">
        <f>C82/'1. Väestöennuste'!E82*1000</f>
        <v>#REF!</v>
      </c>
      <c r="W82" s="41">
        <f>D82/'1. Väestöennuste'!F82*1000</f>
        <v>471.20786516853934</v>
      </c>
      <c r="X82" s="41">
        <f>E82/'1. Väestöennuste'!G82*1000</f>
        <v>-166.19318181818181</v>
      </c>
      <c r="Y82" s="41">
        <f>F82/'1. Väestöennuste'!H82*1000</f>
        <v>33.998521803399854</v>
      </c>
      <c r="Z82" s="41">
        <f>G82/'1. Väestöennuste'!I82*1000</f>
        <v>-64.22703510082151</v>
      </c>
      <c r="AA82" s="41">
        <f>H82/'1. Väestöennuste'!J82*1000</f>
        <v>-1199.349021361834</v>
      </c>
      <c r="AB82" s="41">
        <f>I82/'1. Väestöennuste'!K82*1000</f>
        <v>350.53638892255276</v>
      </c>
      <c r="AC82" s="41">
        <f>J82/'1. Väestöennuste'!L82*1000</f>
        <v>-124.60843618118133</v>
      </c>
      <c r="AD82" s="41">
        <f>K82/'1. Väestöennuste'!M82*1000</f>
        <v>-177.56973506581784</v>
      </c>
      <c r="AE82" s="41">
        <f>L82/'1. Väestöennuste'!N82*1000</f>
        <v>-48.893555693629828</v>
      </c>
      <c r="AF82" s="41">
        <f>M82/'1. Väestöennuste'!O82*1000</f>
        <v>-676.87799219545605</v>
      </c>
      <c r="AG82" s="41">
        <f>N82/'1. Väestöennuste'!P82*1000</f>
        <v>-812.21951382001248</v>
      </c>
      <c r="AH82" s="41">
        <f>O82/'1. Väestöennuste'!Q82*1000</f>
        <v>-883.42582831816412</v>
      </c>
      <c r="AI82" s="41">
        <f>P82/'1. Väestöennuste'!R82*1000</f>
        <v>-852.31515614421323</v>
      </c>
    </row>
    <row r="83" spans="1:35" x14ac:dyDescent="0.2">
      <c r="A83" s="34">
        <v>217</v>
      </c>
      <c r="B83" s="88" t="s">
        <v>397</v>
      </c>
      <c r="C83" s="41" t="e">
        <f>Vuosikate!C83+'7. Nettoinvestoinnit '!C83+'8. Satunnaiset erät'!C83+'9. Tulorahkorjauserät'!C83</f>
        <v>#REF!</v>
      </c>
      <c r="D83" s="41">
        <f>Vuosikate!D83+'7. Nettoinvestoinnit '!D83+'8. Satunnaiset erät'!D83+'9. Tulorahkorjauserät'!D83</f>
        <v>-291</v>
      </c>
      <c r="E83" s="41">
        <f>Vuosikate!E83+'7. Nettoinvestoinnit '!E83+'8. Satunnaiset erät'!E83+'9. Tulorahkorjauserät'!E83</f>
        <v>-393</v>
      </c>
      <c r="F83" s="41">
        <f>Vuosikate!F83+'7. Nettoinvestoinnit '!F83+'8. Satunnaiset erät'!F83+'9. Tulorahkorjauserät'!F83</f>
        <v>-1323</v>
      </c>
      <c r="G83" s="41">
        <f>Vuosikate!G83+'7. Nettoinvestoinnit '!G83+'8. Satunnaiset erät'!G83+'9. Tulorahkorjauserät'!G83</f>
        <v>-1197</v>
      </c>
      <c r="H83" s="41">
        <f>Vuosikate!H83+'7. Nettoinvestoinnit '!H83+'8. Satunnaiset erät'!H83+'9. Tulorahkorjauserät'!H83</f>
        <v>1684.9221499128653</v>
      </c>
      <c r="I83" s="41">
        <f>Vuosikate!I83+'7. Nettoinvestoinnit '!I83+'8. Satunnaiset erät'!I83+'9. Tulorahkorjauserät'!I83</f>
        <v>-364.99365163695086</v>
      </c>
      <c r="J83" s="41">
        <f>Vuosikate!J83+'7. Nettoinvestoinnit '!J83+'8. Satunnaiset erät'!J83+'9. Tulorahkorjauserät'!J83</f>
        <v>-2073.492384791462</v>
      </c>
      <c r="K83" s="41">
        <f>Vuosikate!K83+'7. Nettoinvestoinnit '!K83+'8. Satunnaiset erät'!K83+'9. Tulorahkorjauserät'!K83</f>
        <v>-5796.8464654588361</v>
      </c>
      <c r="L83" s="41">
        <f>Vuosikate!L83+'7. Nettoinvestoinnit '!L83+'8. Satunnaiset erät'!L83+'9. Tulorahkorjauserät'!L83</f>
        <v>-4688.7001320408835</v>
      </c>
      <c r="M83" s="41">
        <f>Vuosikate!M83+'7. Nettoinvestoinnit '!M83+'8. Satunnaiset erät'!M83+'9. Tulorahkorjauserät'!M83</f>
        <v>-5177.0970824077085</v>
      </c>
      <c r="N83" s="41">
        <f>Vuosikate!N83+'7. Nettoinvestoinnit '!N83+'8. Satunnaiset erät'!N83+'9. Tulorahkorjauserät'!N83</f>
        <v>-5464.6254795766381</v>
      </c>
      <c r="O83" s="41">
        <f>Vuosikate!O83+'7. Nettoinvestoinnit '!O83+'8. Satunnaiset erät'!O83+'9. Tulorahkorjauserät'!O83</f>
        <v>-5582.0378384690976</v>
      </c>
      <c r="P83" s="41">
        <f>Vuosikate!P83+'7. Nettoinvestoinnit '!P83+'8. Satunnaiset erät'!P83+'9. Tulorahkorjauserät'!P83</f>
        <v>-5454.1518066460576</v>
      </c>
      <c r="T83" s="34">
        <v>217</v>
      </c>
      <c r="U83" s="88" t="s">
        <v>397</v>
      </c>
      <c r="V83" s="41" t="e">
        <f>C83/'1. Väestöennuste'!E83*1000</f>
        <v>#REF!</v>
      </c>
      <c r="W83" s="41">
        <f>D83/'1. Väestöennuste'!F83*1000</f>
        <v>-52.169236285406953</v>
      </c>
      <c r="X83" s="41">
        <f>E83/'1. Väestöennuste'!G83*1000</f>
        <v>-71.195652173913047</v>
      </c>
      <c r="Y83" s="41">
        <f>F83/'1. Väestöennuste'!H83*1000</f>
        <v>-240.4580152671756</v>
      </c>
      <c r="Z83" s="41">
        <f>G83/'1. Väestöennuste'!I83*1000</f>
        <v>-219.07027818448023</v>
      </c>
      <c r="AA83" s="41">
        <f>H83/'1. Väestöennuste'!J83*1000</f>
        <v>310.52748800458261</v>
      </c>
      <c r="AB83" s="41">
        <f>I83/'1. Väestöennuste'!K83*1000</f>
        <v>-67.716818485519639</v>
      </c>
      <c r="AC83" s="41">
        <f>J83/'1. Väestöennuste'!L83*1000</f>
        <v>-387.423838712904</v>
      </c>
      <c r="AD83" s="41">
        <f>K83/'1. Väestöennuste'!M83*1000</f>
        <v>-1105.0031386692406</v>
      </c>
      <c r="AE83" s="41">
        <f>L83/'1. Väestöennuste'!N83*1000</f>
        <v>-888.1796044782883</v>
      </c>
      <c r="AF83" s="41">
        <f>M83/'1. Väestöennuste'!O83*1000</f>
        <v>-987.05378120261366</v>
      </c>
      <c r="AG83" s="41">
        <f>N83/'1. Väestöennuste'!P83*1000</f>
        <v>-1048.067794318496</v>
      </c>
      <c r="AH83" s="41">
        <f>O83/'1. Väestöennuste'!Q83*1000</f>
        <v>-1076.5743179303947</v>
      </c>
      <c r="AI83" s="41">
        <f>P83/'1. Väestöennuste'!R83*1000</f>
        <v>-1058.0313882921548</v>
      </c>
    </row>
    <row r="84" spans="1:35" x14ac:dyDescent="0.2">
      <c r="A84" s="34">
        <v>218</v>
      </c>
      <c r="B84" s="88" t="s">
        <v>398</v>
      </c>
      <c r="C84" s="41" t="e">
        <f>Vuosikate!C84+'7. Nettoinvestoinnit '!C84+'8. Satunnaiset erät'!C84+'9. Tulorahkorjauserät'!C84</f>
        <v>#REF!</v>
      </c>
      <c r="D84" s="41">
        <f>Vuosikate!D84+'7. Nettoinvestoinnit '!D84+'8. Satunnaiset erät'!D84+'9. Tulorahkorjauserät'!D84</f>
        <v>475</v>
      </c>
      <c r="E84" s="41">
        <f>Vuosikate!E84+'7. Nettoinvestoinnit '!E84+'8. Satunnaiset erät'!E84+'9. Tulorahkorjauserät'!E84</f>
        <v>420</v>
      </c>
      <c r="F84" s="41">
        <f>Vuosikate!F84+'7. Nettoinvestoinnit '!F84+'8. Satunnaiset erät'!F84+'9. Tulorahkorjauserät'!F84</f>
        <v>-949</v>
      </c>
      <c r="G84" s="41">
        <f>Vuosikate!G84+'7. Nettoinvestoinnit '!G84+'8. Satunnaiset erät'!G84+'9. Tulorahkorjauserät'!G84</f>
        <v>-893</v>
      </c>
      <c r="H84" s="41">
        <f>Vuosikate!H84+'7. Nettoinvestoinnit '!H84+'8. Satunnaiset erät'!H84+'9. Tulorahkorjauserät'!H84</f>
        <v>1686.3714463133019</v>
      </c>
      <c r="I84" s="41">
        <f>Vuosikate!I84+'7. Nettoinvestoinnit '!I84+'8. Satunnaiset erät'!I84+'9. Tulorahkorjauserät'!I84</f>
        <v>721.95536061084397</v>
      </c>
      <c r="J84" s="41">
        <f>Vuosikate!J84+'7. Nettoinvestoinnit '!J84+'8. Satunnaiset erät'!J84+'9. Tulorahkorjauserät'!J84</f>
        <v>563.2327142746733</v>
      </c>
      <c r="K84" s="41">
        <f>Vuosikate!K84+'7. Nettoinvestoinnit '!K84+'8. Satunnaiset erät'!K84+'9. Tulorahkorjauserät'!K84</f>
        <v>615.02104771842608</v>
      </c>
      <c r="L84" s="41">
        <f>Vuosikate!L84+'7. Nettoinvestoinnit '!L84+'8. Satunnaiset erät'!L84+'9. Tulorahkorjauserät'!L84</f>
        <v>170.76327932287711</v>
      </c>
      <c r="M84" s="41">
        <f>Vuosikate!M84+'7. Nettoinvestoinnit '!M84+'8. Satunnaiset erät'!M84+'9. Tulorahkorjauserät'!M84</f>
        <v>-59.917526351259397</v>
      </c>
      <c r="N84" s="41">
        <f>Vuosikate!N84+'7. Nettoinvestoinnit '!N84+'8. Satunnaiset erät'!N84+'9. Tulorahkorjauserät'!N84</f>
        <v>15.404484296882487</v>
      </c>
      <c r="O84" s="41">
        <f>Vuosikate!O84+'7. Nettoinvestoinnit '!O84+'8. Satunnaiset erät'!O84+'9. Tulorahkorjauserät'!O84</f>
        <v>4.7401237248037091</v>
      </c>
      <c r="P84" s="41">
        <f>Vuosikate!P84+'7. Nettoinvestoinnit '!P84+'8. Satunnaiset erät'!P84+'9. Tulorahkorjauserät'!P84</f>
        <v>142.06879770131042</v>
      </c>
      <c r="T84" s="34">
        <v>218</v>
      </c>
      <c r="U84" s="88" t="s">
        <v>398</v>
      </c>
      <c r="V84" s="41" t="e">
        <f>C84/'1. Väestöennuste'!E84*1000</f>
        <v>#REF!</v>
      </c>
      <c r="W84" s="41">
        <f>D84/'1. Väestöennuste'!F84*1000</f>
        <v>352.11267605633799</v>
      </c>
      <c r="X84" s="41">
        <f>E84/'1. Väestöennuste'!G84*1000</f>
        <v>316.02708803611739</v>
      </c>
      <c r="Y84" s="41">
        <f>F84/'1. Väestöennuste'!H84*1000</f>
        <v>-744.89795918367349</v>
      </c>
      <c r="Z84" s="41">
        <f>G84/'1. Väestöennuste'!I84*1000</f>
        <v>-717.26907630522089</v>
      </c>
      <c r="AA84" s="41">
        <f>H84/'1. Väestöennuste'!J84*1000</f>
        <v>1397.1594418502916</v>
      </c>
      <c r="AB84" s="41">
        <f>I84/'1. Väestöennuste'!K84*1000</f>
        <v>605.66724883460063</v>
      </c>
      <c r="AC84" s="41">
        <f>J84/'1. Väestöennuste'!L84*1000</f>
        <v>469.3605952288944</v>
      </c>
      <c r="AD84" s="41">
        <f>K84/'1. Väestöennuste'!M84*1000</f>
        <v>517.69448461146976</v>
      </c>
      <c r="AE84" s="41">
        <f>L84/'1. Väestöennuste'!N84*1000</f>
        <v>154.25770489871465</v>
      </c>
      <c r="AF84" s="41">
        <f>M84/'1. Väestöennuste'!O84*1000</f>
        <v>-55.071255837554595</v>
      </c>
      <c r="AG84" s="41">
        <f>N84/'1. Väestöennuste'!P84*1000</f>
        <v>14.383271985884676</v>
      </c>
      <c r="AH84" s="41">
        <f>O84/'1. Väestöennuste'!Q84*1000</f>
        <v>4.5058210311822329</v>
      </c>
      <c r="AI84" s="41">
        <f>P84/'1. Väestöennuste'!R84*1000</f>
        <v>136.73609018412938</v>
      </c>
    </row>
    <row r="85" spans="1:35" x14ac:dyDescent="0.2">
      <c r="A85" s="34">
        <v>224</v>
      </c>
      <c r="B85" s="88" t="s">
        <v>399</v>
      </c>
      <c r="C85" s="41" t="e">
        <f>Vuosikate!C85+'7. Nettoinvestoinnit '!C85+'8. Satunnaiset erät'!C85+'9. Tulorahkorjauserät'!C85</f>
        <v>#REF!</v>
      </c>
      <c r="D85" s="41">
        <f>Vuosikate!D85+'7. Nettoinvestoinnit '!D85+'8. Satunnaiset erät'!D85+'9. Tulorahkorjauserät'!D85</f>
        <v>-6902</v>
      </c>
      <c r="E85" s="41">
        <f>Vuosikate!E85+'7. Nettoinvestoinnit '!E85+'8. Satunnaiset erät'!E85+'9. Tulorahkorjauserät'!E85</f>
        <v>-3744</v>
      </c>
      <c r="F85" s="41">
        <f>Vuosikate!F85+'7. Nettoinvestoinnit '!F85+'8. Satunnaiset erät'!F85+'9. Tulorahkorjauserät'!F85</f>
        <v>762</v>
      </c>
      <c r="G85" s="41">
        <f>Vuosikate!G85+'7. Nettoinvestoinnit '!G85+'8. Satunnaiset erät'!G85+'9. Tulorahkorjauserät'!G85</f>
        <v>-3195</v>
      </c>
      <c r="H85" s="41">
        <f>Vuosikate!H85+'7. Nettoinvestoinnit '!H85+'8. Satunnaiset erät'!H85+'9. Tulorahkorjauserät'!H85</f>
        <v>3157.2253273974311</v>
      </c>
      <c r="I85" s="41">
        <f>Vuosikate!I85+'7. Nettoinvestoinnit '!I85+'8. Satunnaiset erät'!I85+'9. Tulorahkorjauserät'!I85</f>
        <v>1775.3565333058295</v>
      </c>
      <c r="J85" s="41">
        <f>Vuosikate!J85+'7. Nettoinvestoinnit '!J85+'8. Satunnaiset erät'!J85+'9. Tulorahkorjauserät'!J85</f>
        <v>4046.9645157252089</v>
      </c>
      <c r="K85" s="41">
        <f>Vuosikate!K85+'7. Nettoinvestoinnit '!K85+'8. Satunnaiset erät'!K85+'9. Tulorahkorjauserät'!K85</f>
        <v>4365.3764381226583</v>
      </c>
      <c r="L85" s="41">
        <f>Vuosikate!L85+'7. Nettoinvestoinnit '!L85+'8. Satunnaiset erät'!L85+'9. Tulorahkorjauserät'!L85</f>
        <v>1385.9713398152394</v>
      </c>
      <c r="M85" s="41">
        <f>Vuosikate!M85+'7. Nettoinvestoinnit '!M85+'8. Satunnaiset erät'!M85+'9. Tulorahkorjauserät'!M85</f>
        <v>624.96661301374115</v>
      </c>
      <c r="N85" s="41">
        <f>Vuosikate!N85+'7. Nettoinvestoinnit '!N85+'8. Satunnaiset erät'!N85+'9. Tulorahkorjauserät'!N85</f>
        <v>938.75448813354569</v>
      </c>
      <c r="O85" s="41">
        <f>Vuosikate!O85+'7. Nettoinvestoinnit '!O85+'8. Satunnaiset erät'!O85+'9. Tulorahkorjauserät'!O85</f>
        <v>737.07324691184431</v>
      </c>
      <c r="P85" s="41">
        <f>Vuosikate!P85+'7. Nettoinvestoinnit '!P85+'8. Satunnaiset erät'!P85+'9. Tulorahkorjauserät'!P85</f>
        <v>1689.8440084042059</v>
      </c>
      <c r="T85" s="34">
        <v>224</v>
      </c>
      <c r="U85" s="88" t="s">
        <v>399</v>
      </c>
      <c r="V85" s="41" t="e">
        <f>C85/'1. Väestöennuste'!E85*1000</f>
        <v>#REF!</v>
      </c>
      <c r="W85" s="41">
        <f>D85/'1. Väestöennuste'!F85*1000</f>
        <v>-774.54831107619793</v>
      </c>
      <c r="X85" s="41">
        <f>E85/'1. Väestöennuste'!G85*1000</f>
        <v>-420.67415730337075</v>
      </c>
      <c r="Y85" s="41">
        <f>F85/'1. Väestöennuste'!H85*1000</f>
        <v>86.807928913192072</v>
      </c>
      <c r="Z85" s="41">
        <f>G85/'1. Väestöennuste'!I85*1000</f>
        <v>-366.6513656185449</v>
      </c>
      <c r="AA85" s="41">
        <f>H85/'1. Väestöennuste'!J85*1000</f>
        <v>363.06638999510477</v>
      </c>
      <c r="AB85" s="41">
        <f>I85/'1. Väestöennuste'!K85*1000</f>
        <v>203.66600129698631</v>
      </c>
      <c r="AC85" s="41">
        <f>J85/'1. Väestöennuste'!L85*1000</f>
        <v>470.41317165235483</v>
      </c>
      <c r="AD85" s="41">
        <f>K85/'1. Väestöennuste'!M85*1000</f>
        <v>508.72584059231542</v>
      </c>
      <c r="AE85" s="41">
        <f>L85/'1. Väestöennuste'!N85*1000</f>
        <v>163.65230131246184</v>
      </c>
      <c r="AF85" s="41">
        <f>M85/'1. Väestöennuste'!O85*1000</f>
        <v>74.188819208658728</v>
      </c>
      <c r="AG85" s="41">
        <f>N85/'1. Väestöennuste'!P85*1000</f>
        <v>111.94305844664271</v>
      </c>
      <c r="AH85" s="41">
        <f>O85/'1. Väestöennuste'!Q85*1000</f>
        <v>88.282817931709715</v>
      </c>
      <c r="AI85" s="41">
        <f>P85/'1. Väestöennuste'!R85*1000</f>
        <v>203.22838345209931</v>
      </c>
    </row>
    <row r="86" spans="1:35" x14ac:dyDescent="0.2">
      <c r="A86" s="34">
        <v>226</v>
      </c>
      <c r="B86" s="88" t="s">
        <v>400</v>
      </c>
      <c r="C86" s="41" t="e">
        <f>Vuosikate!C86+'7. Nettoinvestoinnit '!C86+'8. Satunnaiset erät'!C86+'9. Tulorahkorjauserät'!C86</f>
        <v>#REF!</v>
      </c>
      <c r="D86" s="41">
        <f>Vuosikate!D86+'7. Nettoinvestoinnit '!D86+'8. Satunnaiset erät'!D86+'9. Tulorahkorjauserät'!D86</f>
        <v>1423</v>
      </c>
      <c r="E86" s="41">
        <f>Vuosikate!E86+'7. Nettoinvestoinnit '!E86+'8. Satunnaiset erät'!E86+'9. Tulorahkorjauserät'!E86</f>
        <v>2079</v>
      </c>
      <c r="F86" s="41">
        <f>Vuosikate!F86+'7. Nettoinvestoinnit '!F86+'8. Satunnaiset erät'!F86+'9. Tulorahkorjauserät'!F86</f>
        <v>952</v>
      </c>
      <c r="G86" s="41">
        <f>Vuosikate!G86+'7. Nettoinvestoinnit '!G86+'8. Satunnaiset erät'!G86+'9. Tulorahkorjauserät'!G86</f>
        <v>396</v>
      </c>
      <c r="H86" s="41">
        <f>Vuosikate!H86+'7. Nettoinvestoinnit '!H86+'8. Satunnaiset erät'!H86+'9. Tulorahkorjauserät'!H86</f>
        <v>-270.49617604343439</v>
      </c>
      <c r="I86" s="41">
        <f>Vuosikate!I86+'7. Nettoinvestoinnit '!I86+'8. Satunnaiset erät'!I86+'9. Tulorahkorjauserät'!I86</f>
        <v>431.68720120379101</v>
      </c>
      <c r="J86" s="41">
        <f>Vuosikate!J86+'7. Nettoinvestoinnit '!J86+'8. Satunnaiset erät'!J86+'9. Tulorahkorjauserät'!J86</f>
        <v>-3333.1409667518992</v>
      </c>
      <c r="K86" s="41">
        <f>Vuosikate!K86+'7. Nettoinvestoinnit '!K86+'8. Satunnaiset erät'!K86+'9. Tulorahkorjauserät'!K86</f>
        <v>97.354214708690819</v>
      </c>
      <c r="L86" s="41">
        <f>Vuosikate!L86+'7. Nettoinvestoinnit '!L86+'8. Satunnaiset erät'!L86+'9. Tulorahkorjauserät'!L86</f>
        <v>-823.00931893244683</v>
      </c>
      <c r="M86" s="41">
        <f>Vuosikate!M86+'7. Nettoinvestoinnit '!M86+'8. Satunnaiset erät'!M86+'9. Tulorahkorjauserät'!M86</f>
        <v>-2508.4385620944231</v>
      </c>
      <c r="N86" s="41">
        <f>Vuosikate!N86+'7. Nettoinvestoinnit '!N86+'8. Satunnaiset erät'!N86+'9. Tulorahkorjauserät'!N86</f>
        <v>-2673.7083156417998</v>
      </c>
      <c r="O86" s="41">
        <f>Vuosikate!O86+'7. Nettoinvestoinnit '!O86+'8. Satunnaiset erät'!O86+'9. Tulorahkorjauserät'!O86</f>
        <v>-3083.3580756195656</v>
      </c>
      <c r="P86" s="41">
        <f>Vuosikate!P86+'7. Nettoinvestoinnit '!P86+'8. Satunnaiset erät'!P86+'9. Tulorahkorjauserät'!P86</f>
        <v>-2822.1230580442207</v>
      </c>
      <c r="T86" s="34">
        <v>226</v>
      </c>
      <c r="U86" s="88" t="s">
        <v>400</v>
      </c>
      <c r="V86" s="41" t="e">
        <f>C86/'1. Väestöennuste'!E86*1000</f>
        <v>#REF!</v>
      </c>
      <c r="W86" s="41">
        <f>D86/'1. Väestöennuste'!F86*1000</f>
        <v>336.2476370510397</v>
      </c>
      <c r="X86" s="41">
        <f>E86/'1. Väestöennuste'!G86*1000</f>
        <v>501.44717800289442</v>
      </c>
      <c r="Y86" s="41">
        <f>F86/'1. Väestöennuste'!H86*1000</f>
        <v>236.16968494170183</v>
      </c>
      <c r="Z86" s="41">
        <f>G86/'1. Väestöennuste'!I86*1000</f>
        <v>100.27855153203342</v>
      </c>
      <c r="AA86" s="41">
        <f>H86/'1. Väestöennuste'!J86*1000</f>
        <v>-70.11305755402654</v>
      </c>
      <c r="AB86" s="41">
        <f>I86/'1. Väestöennuste'!K86*1000</f>
        <v>114.38452602114229</v>
      </c>
      <c r="AC86" s="41">
        <f>J86/'1. Väestöennuste'!L86*1000</f>
        <v>-909.451832674461</v>
      </c>
      <c r="AD86" s="41">
        <f>K86/'1. Väestöennuste'!M86*1000</f>
        <v>26.856335092052639</v>
      </c>
      <c r="AE86" s="41">
        <f>L86/'1. Väestöennuste'!N86*1000</f>
        <v>-230.92292899339137</v>
      </c>
      <c r="AF86" s="41">
        <f>M86/'1. Väestöennuste'!O86*1000</f>
        <v>-716.90156104441928</v>
      </c>
      <c r="AG86" s="41">
        <f>N86/'1. Väestöennuste'!P86*1000</f>
        <v>-778.14560990739221</v>
      </c>
      <c r="AH86" s="41">
        <f>O86/'1. Väestöennuste'!Q86*1000</f>
        <v>-913.58757796135285</v>
      </c>
      <c r="AI86" s="41">
        <f>P86/'1. Väestöennuste'!R86*1000</f>
        <v>-850.80586615743766</v>
      </c>
    </row>
    <row r="87" spans="1:35" x14ac:dyDescent="0.2">
      <c r="A87" s="34">
        <v>230</v>
      </c>
      <c r="B87" s="88" t="s">
        <v>401</v>
      </c>
      <c r="C87" s="41" t="e">
        <f>Vuosikate!C87+'7. Nettoinvestoinnit '!C87+'8. Satunnaiset erät'!C87+'9. Tulorahkorjauserät'!C87</f>
        <v>#REF!</v>
      </c>
      <c r="D87" s="41">
        <f>Vuosikate!D87+'7. Nettoinvestoinnit '!D87+'8. Satunnaiset erät'!D87+'9. Tulorahkorjauserät'!D87</f>
        <v>-1145</v>
      </c>
      <c r="E87" s="41">
        <f>Vuosikate!E87+'7. Nettoinvestoinnit '!E87+'8. Satunnaiset erät'!E87+'9. Tulorahkorjauserät'!E87</f>
        <v>-2083</v>
      </c>
      <c r="F87" s="41">
        <f>Vuosikate!F87+'7. Nettoinvestoinnit '!F87+'8. Satunnaiset erät'!F87+'9. Tulorahkorjauserät'!F87</f>
        <v>-404</v>
      </c>
      <c r="G87" s="41">
        <f>Vuosikate!G87+'7. Nettoinvestoinnit '!G87+'8. Satunnaiset erät'!G87+'9. Tulorahkorjauserät'!G87</f>
        <v>-825</v>
      </c>
      <c r="H87" s="41">
        <f>Vuosikate!H87+'7. Nettoinvestoinnit '!H87+'8. Satunnaiset erät'!H87+'9. Tulorahkorjauserät'!H87</f>
        <v>1316.2549690884971</v>
      </c>
      <c r="I87" s="41">
        <f>Vuosikate!I87+'7. Nettoinvestoinnit '!I87+'8. Satunnaiset erät'!I87+'9. Tulorahkorjauserät'!I87</f>
        <v>653.94581691696953</v>
      </c>
      <c r="J87" s="41">
        <f>Vuosikate!J87+'7. Nettoinvestoinnit '!J87+'8. Satunnaiset erät'!J87+'9. Tulorahkorjauserät'!J87</f>
        <v>339.01550963892771</v>
      </c>
      <c r="K87" s="41">
        <f>Vuosikate!K87+'7. Nettoinvestoinnit '!K87+'8. Satunnaiset erät'!K87+'9. Tulorahkorjauserät'!K87</f>
        <v>146.30466264024818</v>
      </c>
      <c r="L87" s="41">
        <f>Vuosikate!L87+'7. Nettoinvestoinnit '!L87+'8. Satunnaiset erät'!L87+'9. Tulorahkorjauserät'!L87</f>
        <v>325.2898333866969</v>
      </c>
      <c r="M87" s="41">
        <f>Vuosikate!M87+'7. Nettoinvestoinnit '!M87+'8. Satunnaiset erät'!M87+'9. Tulorahkorjauserät'!M87</f>
        <v>-102.20275223092591</v>
      </c>
      <c r="N87" s="41">
        <f>Vuosikate!N87+'7. Nettoinvestoinnit '!N87+'8. Satunnaiset erät'!N87+'9. Tulorahkorjauserät'!N87</f>
        <v>-186.488111240313</v>
      </c>
      <c r="O87" s="41">
        <f>Vuosikate!O87+'7. Nettoinvestoinnit '!O87+'8. Satunnaiset erät'!O87+'9. Tulorahkorjauserät'!O87</f>
        <v>-354.42765937684698</v>
      </c>
      <c r="P87" s="41">
        <f>Vuosikate!P87+'7. Nettoinvestoinnit '!P87+'8. Satunnaiset erät'!P87+'9. Tulorahkorjauserät'!P87</f>
        <v>-92.794306397839534</v>
      </c>
      <c r="T87" s="34">
        <v>230</v>
      </c>
      <c r="U87" s="88" t="s">
        <v>401</v>
      </c>
      <c r="V87" s="41" t="e">
        <f>C87/'1. Väestöennuste'!E87*1000</f>
        <v>#REF!</v>
      </c>
      <c r="W87" s="41">
        <f>D87/'1. Väestöennuste'!F87*1000</f>
        <v>-467.53777051857901</v>
      </c>
      <c r="X87" s="41">
        <f>E87/'1. Väestöennuste'!G87*1000</f>
        <v>-866.83312526009161</v>
      </c>
      <c r="Y87" s="41">
        <f>F87/'1. Väestöennuste'!H87*1000</f>
        <v>-169.03765690376568</v>
      </c>
      <c r="Z87" s="41">
        <f>G87/'1. Väestöennuste'!I87*1000</f>
        <v>-352.26302305721606</v>
      </c>
      <c r="AA87" s="41">
        <f>H87/'1. Väestöennuste'!J87*1000</f>
        <v>566.86260511993851</v>
      </c>
      <c r="AB87" s="41">
        <f>I87/'1. Väestöennuste'!K87*1000</f>
        <v>285.56585891570722</v>
      </c>
      <c r="AC87" s="41">
        <f>J87/'1. Väestöennuste'!L87*1000</f>
        <v>151.34620966023559</v>
      </c>
      <c r="AD87" s="41">
        <f>K87/'1. Väestöennuste'!M87*1000</f>
        <v>66.02195967520224</v>
      </c>
      <c r="AE87" s="41">
        <f>L87/'1. Väestöennuste'!N87*1000</f>
        <v>147.25660180475188</v>
      </c>
      <c r="AF87" s="41">
        <f>M87/'1. Väestöennuste'!O87*1000</f>
        <v>-46.81756858952172</v>
      </c>
      <c r="AG87" s="41">
        <f>N87/'1. Väestöennuste'!P87*1000</f>
        <v>-86.297136159330407</v>
      </c>
      <c r="AH87" s="41">
        <f>O87/'1. Väestöennuste'!Q87*1000</f>
        <v>-165.62040157796588</v>
      </c>
      <c r="AI87" s="41">
        <f>P87/'1. Väestöennuste'!R87*1000</f>
        <v>-43.77089924426393</v>
      </c>
    </row>
    <row r="88" spans="1:35" x14ac:dyDescent="0.2">
      <c r="A88" s="34">
        <v>231</v>
      </c>
      <c r="B88" s="88" t="s">
        <v>402</v>
      </c>
      <c r="C88" s="41" t="e">
        <f>Vuosikate!C88+'7. Nettoinvestoinnit '!C88+'8. Satunnaiset erät'!C88+'9. Tulorahkorjauserät'!C88</f>
        <v>#REF!</v>
      </c>
      <c r="D88" s="41">
        <f>Vuosikate!D88+'7. Nettoinvestoinnit '!D88+'8. Satunnaiset erät'!D88+'9. Tulorahkorjauserät'!D88</f>
        <v>-814</v>
      </c>
      <c r="E88" s="41">
        <f>Vuosikate!E88+'7. Nettoinvestoinnit '!E88+'8. Satunnaiset erät'!E88+'9. Tulorahkorjauserät'!E88</f>
        <v>-860</v>
      </c>
      <c r="F88" s="41">
        <f>Vuosikate!F88+'7. Nettoinvestoinnit '!F88+'8. Satunnaiset erät'!F88+'9. Tulorahkorjauserät'!F88</f>
        <v>76</v>
      </c>
      <c r="G88" s="41">
        <f>Vuosikate!G88+'7. Nettoinvestoinnit '!G88+'8. Satunnaiset erät'!G88+'9. Tulorahkorjauserät'!G88</f>
        <v>-1070</v>
      </c>
      <c r="H88" s="41">
        <f>Vuosikate!H88+'7. Nettoinvestoinnit '!H88+'8. Satunnaiset erät'!H88+'9. Tulorahkorjauserät'!H88</f>
        <v>-572.53032824930824</v>
      </c>
      <c r="I88" s="41">
        <f>Vuosikate!I88+'7. Nettoinvestoinnit '!I88+'8. Satunnaiset erät'!I88+'9. Tulorahkorjauserät'!I88</f>
        <v>-1142.9399639250241</v>
      </c>
      <c r="J88" s="41">
        <f>Vuosikate!J88+'7. Nettoinvestoinnit '!J88+'8. Satunnaiset erät'!J88+'9. Tulorahkorjauserät'!J88</f>
        <v>1257.6419147449938</v>
      </c>
      <c r="K88" s="41">
        <f>Vuosikate!K88+'7. Nettoinvestoinnit '!K88+'8. Satunnaiset erät'!K88+'9. Tulorahkorjauserät'!K88</f>
        <v>-846.51258010411607</v>
      </c>
      <c r="L88" s="41">
        <f>Vuosikate!L88+'7. Nettoinvestoinnit '!L88+'8. Satunnaiset erät'!L88+'9. Tulorahkorjauserät'!L88</f>
        <v>-765.56481691291071</v>
      </c>
      <c r="M88" s="41">
        <f>Vuosikate!M88+'7. Nettoinvestoinnit '!M88+'8. Satunnaiset erät'!M88+'9. Tulorahkorjauserät'!M88</f>
        <v>-981.95507520303124</v>
      </c>
      <c r="N88" s="41">
        <f>Vuosikate!N88+'7. Nettoinvestoinnit '!N88+'8. Satunnaiset erät'!N88+'9. Tulorahkorjauserät'!N88</f>
        <v>-1096.4937948807074</v>
      </c>
      <c r="O88" s="41">
        <f>Vuosikate!O88+'7. Nettoinvestoinnit '!O88+'8. Satunnaiset erät'!O88+'9. Tulorahkorjauserät'!O88</f>
        <v>-1252.9131897048837</v>
      </c>
      <c r="P88" s="41">
        <f>Vuosikate!P88+'7. Nettoinvestoinnit '!P88+'8. Satunnaiset erät'!P88+'9. Tulorahkorjauserät'!P88</f>
        <v>-1215.0842768571893</v>
      </c>
      <c r="T88" s="34">
        <v>231</v>
      </c>
      <c r="U88" s="88" t="s">
        <v>402</v>
      </c>
      <c r="V88" s="41" t="e">
        <f>C88/'1. Väestöennuste'!E88*1000</f>
        <v>#REF!</v>
      </c>
      <c r="W88" s="41">
        <f>D88/'1. Väestöennuste'!F88*1000</f>
        <v>-628.08641975308649</v>
      </c>
      <c r="X88" s="41">
        <f>E88/'1. Väestöennuste'!G88*1000</f>
        <v>-675.03924646781786</v>
      </c>
      <c r="Y88" s="41">
        <f>F88/'1. Väestöennuste'!H88*1000</f>
        <v>60.221870047543582</v>
      </c>
      <c r="Z88" s="41">
        <f>G88/'1. Väestöennuste'!I88*1000</f>
        <v>-858.74799357945426</v>
      </c>
      <c r="AA88" s="41">
        <f>H88/'1. Väestöennuste'!J88*1000</f>
        <v>-447.98930222950565</v>
      </c>
      <c r="AB88" s="41">
        <f>I88/'1. Väestöennuste'!K88*1000</f>
        <v>-886.68732655160909</v>
      </c>
      <c r="AC88" s="41">
        <f>J88/'1. Väestöennuste'!L88*1000</f>
        <v>1001.3072569625747</v>
      </c>
      <c r="AD88" s="41">
        <f>K88/'1. Väestöennuste'!M88*1000</f>
        <v>-700.75544710605629</v>
      </c>
      <c r="AE88" s="41">
        <f>L88/'1. Väestöennuste'!N88*1000</f>
        <v>-587.99141083940924</v>
      </c>
      <c r="AF88" s="41">
        <f>M88/'1. Väestöennuste'!O88*1000</f>
        <v>-751.87984318761971</v>
      </c>
      <c r="AG88" s="41">
        <f>N88/'1. Väestöennuste'!P88*1000</f>
        <v>-836.37970624005141</v>
      </c>
      <c r="AH88" s="41">
        <f>O88/'1. Väestöennuste'!Q88*1000</f>
        <v>-953.51079886216417</v>
      </c>
      <c r="AI88" s="41">
        <f>P88/'1. Väestöennuste'!R88*1000</f>
        <v>-922.61524438662809</v>
      </c>
    </row>
    <row r="89" spans="1:35" x14ac:dyDescent="0.2">
      <c r="A89" s="34">
        <v>232</v>
      </c>
      <c r="B89" s="88" t="s">
        <v>403</v>
      </c>
      <c r="C89" s="41" t="e">
        <f>Vuosikate!C89+'7. Nettoinvestoinnit '!C89+'8. Satunnaiset erät'!C89+'9. Tulorahkorjauserät'!C89</f>
        <v>#REF!</v>
      </c>
      <c r="D89" s="41">
        <f>Vuosikate!D89+'7. Nettoinvestoinnit '!D89+'8. Satunnaiset erät'!D89+'9. Tulorahkorjauserät'!D89</f>
        <v>-4021</v>
      </c>
      <c r="E89" s="41">
        <f>Vuosikate!E89+'7. Nettoinvestoinnit '!E89+'8. Satunnaiset erät'!E89+'9. Tulorahkorjauserät'!E89</f>
        <v>2206</v>
      </c>
      <c r="F89" s="41">
        <f>Vuosikate!F89+'7. Nettoinvestoinnit '!F89+'8. Satunnaiset erät'!F89+'9. Tulorahkorjauserät'!F89</f>
        <v>-1018</v>
      </c>
      <c r="G89" s="41">
        <f>Vuosikate!G89+'7. Nettoinvestoinnit '!G89+'8. Satunnaiset erät'!G89+'9. Tulorahkorjauserät'!G89</f>
        <v>4726</v>
      </c>
      <c r="H89" s="41">
        <f>Vuosikate!H89+'7. Nettoinvestoinnit '!H89+'8. Satunnaiset erät'!H89+'9. Tulorahkorjauserät'!H89</f>
        <v>185.31704492535937</v>
      </c>
      <c r="I89" s="41">
        <f>Vuosikate!I89+'7. Nettoinvestoinnit '!I89+'8. Satunnaiset erät'!I89+'9. Tulorahkorjauserät'!I89</f>
        <v>2059.6187988855354</v>
      </c>
      <c r="J89" s="41">
        <f>Vuosikate!J89+'7. Nettoinvestoinnit '!J89+'8. Satunnaiset erät'!J89+'9. Tulorahkorjauserät'!J89</f>
        <v>-691.9414276567453</v>
      </c>
      <c r="K89" s="41">
        <f>Vuosikate!K89+'7. Nettoinvestoinnit '!K89+'8. Satunnaiset erät'!K89+'9. Tulorahkorjauserät'!K89</f>
        <v>3583.8566258312162</v>
      </c>
      <c r="L89" s="41">
        <f>Vuosikate!L89+'7. Nettoinvestoinnit '!L89+'8. Satunnaiset erät'!L89+'9. Tulorahkorjauserät'!L89</f>
        <v>-144.34786630920007</v>
      </c>
      <c r="M89" s="41">
        <f>Vuosikate!M89+'7. Nettoinvestoinnit '!M89+'8. Satunnaiset erät'!M89+'9. Tulorahkorjauserät'!M89</f>
        <v>-3779.9661719985079</v>
      </c>
      <c r="N89" s="41">
        <f>Vuosikate!N89+'7. Nettoinvestoinnit '!N89+'8. Satunnaiset erät'!N89+'9. Tulorahkorjauserät'!N89</f>
        <v>-2762.1396433607788</v>
      </c>
      <c r="O89" s="41">
        <f>Vuosikate!O89+'7. Nettoinvestoinnit '!O89+'8. Satunnaiset erät'!O89+'9. Tulorahkorjauserät'!O89</f>
        <v>-3184.7589078748902</v>
      </c>
      <c r="P89" s="41">
        <f>Vuosikate!P89+'7. Nettoinvestoinnit '!P89+'8. Satunnaiset erät'!P89+'9. Tulorahkorjauserät'!P89</f>
        <v>-2118.4002426690067</v>
      </c>
      <c r="T89" s="34">
        <v>232</v>
      </c>
      <c r="U89" s="88" t="s">
        <v>403</v>
      </c>
      <c r="V89" s="41" t="e">
        <f>C89/'1. Väestöennuste'!E89*1000</f>
        <v>#REF!</v>
      </c>
      <c r="W89" s="41">
        <f>D89/'1. Väestöennuste'!F89*1000</f>
        <v>-291.96921289573049</v>
      </c>
      <c r="X89" s="41">
        <f>E89/'1. Väestöennuste'!G89*1000</f>
        <v>162.08670095518002</v>
      </c>
      <c r="Y89" s="41">
        <f>F89/'1. Väestöennuste'!H89*1000</f>
        <v>-76.112149532710276</v>
      </c>
      <c r="Z89" s="41">
        <f>G89/'1. Väestöennuste'!I89*1000</f>
        <v>358.46480582524271</v>
      </c>
      <c r="AA89" s="41">
        <f>H89/'1. Väestöennuste'!J89*1000</f>
        <v>14.247485578946673</v>
      </c>
      <c r="AB89" s="41">
        <f>I89/'1. Väestöennuste'!K89*1000</f>
        <v>159.78423575527813</v>
      </c>
      <c r="AC89" s="41">
        <f>J89/'1. Väestöennuste'!L89*1000</f>
        <v>-54.269915894646694</v>
      </c>
      <c r="AD89" s="41">
        <f>K89/'1. Väestöennuste'!M89*1000</f>
        <v>284.02731223896149</v>
      </c>
      <c r="AE89" s="41">
        <f>L89/'1. Väestöennuste'!N89*1000</f>
        <v>-11.654114832003881</v>
      </c>
      <c r="AF89" s="41">
        <f>M89/'1. Väestöennuste'!O89*1000</f>
        <v>-308.5434798790717</v>
      </c>
      <c r="AG89" s="41">
        <f>N89/'1. Väestöennuste'!P89*1000</f>
        <v>-227.89931050831507</v>
      </c>
      <c r="AH89" s="41">
        <f>O89/'1. Väestöennuste'!Q89*1000</f>
        <v>-265.64007906204773</v>
      </c>
      <c r="AI89" s="41">
        <f>P89/'1. Väestöennuste'!R89*1000</f>
        <v>-178.6925552652051</v>
      </c>
    </row>
    <row r="90" spans="1:35" x14ac:dyDescent="0.2">
      <c r="A90" s="34">
        <v>233</v>
      </c>
      <c r="B90" s="88" t="s">
        <v>404</v>
      </c>
      <c r="C90" s="41" t="e">
        <f>Vuosikate!C90+'7. Nettoinvestoinnit '!C90+'8. Satunnaiset erät'!C90+'9. Tulorahkorjauserät'!C90</f>
        <v>#REF!</v>
      </c>
      <c r="D90" s="41">
        <f>Vuosikate!D90+'7. Nettoinvestoinnit '!D90+'8. Satunnaiset erät'!D90+'9. Tulorahkorjauserät'!D90</f>
        <v>-4163</v>
      </c>
      <c r="E90" s="41">
        <f>Vuosikate!E90+'7. Nettoinvestoinnit '!E90+'8. Satunnaiset erät'!E90+'9. Tulorahkorjauserät'!E90</f>
        <v>3815</v>
      </c>
      <c r="F90" s="41">
        <f>Vuosikate!F90+'7. Nettoinvestoinnit '!F90+'8. Satunnaiset erät'!F90+'9. Tulorahkorjauserät'!F90</f>
        <v>-10826</v>
      </c>
      <c r="G90" s="41">
        <f>Vuosikate!G90+'7. Nettoinvestoinnit '!G90+'8. Satunnaiset erät'!G90+'9. Tulorahkorjauserät'!G90</f>
        <v>-9329</v>
      </c>
      <c r="H90" s="41">
        <f>Vuosikate!H90+'7. Nettoinvestoinnit '!H90+'8. Satunnaiset erät'!H90+'9. Tulorahkorjauserät'!H90</f>
        <v>-1773.754849894256</v>
      </c>
      <c r="I90" s="41">
        <f>Vuosikate!I90+'7. Nettoinvestoinnit '!I90+'8. Satunnaiset erät'!I90+'9. Tulorahkorjauserät'!I90</f>
        <v>-2563.1866765369255</v>
      </c>
      <c r="J90" s="41">
        <f>Vuosikate!J90+'7. Nettoinvestoinnit '!J90+'8. Satunnaiset erät'!J90+'9. Tulorahkorjauserät'!J90</f>
        <v>-4127.4979757330384</v>
      </c>
      <c r="K90" s="41">
        <f>Vuosikate!K90+'7. Nettoinvestoinnit '!K90+'8. Satunnaiset erät'!K90+'9. Tulorahkorjauserät'!K90</f>
        <v>-522.93529111858993</v>
      </c>
      <c r="L90" s="41">
        <f>Vuosikate!L90+'7. Nettoinvestoinnit '!L90+'8. Satunnaiset erät'!L90+'9. Tulorahkorjauserät'!L90</f>
        <v>-4395.672798849122</v>
      </c>
      <c r="M90" s="41">
        <f>Vuosikate!M90+'7. Nettoinvestoinnit '!M90+'8. Satunnaiset erät'!M90+'9. Tulorahkorjauserät'!M90</f>
        <v>-6279.5410881289281</v>
      </c>
      <c r="N90" s="41">
        <f>Vuosikate!N90+'7. Nettoinvestoinnit '!N90+'8. Satunnaiset erät'!N90+'9. Tulorahkorjauserät'!N90</f>
        <v>-5134.6900156726424</v>
      </c>
      <c r="O90" s="41">
        <f>Vuosikate!O90+'7. Nettoinvestoinnit '!O90+'8. Satunnaiset erät'!O90+'9. Tulorahkorjauserät'!O90</f>
        <v>-5788.2526440686643</v>
      </c>
      <c r="P90" s="41">
        <f>Vuosikate!P90+'7. Nettoinvestoinnit '!P90+'8. Satunnaiset erät'!P90+'9. Tulorahkorjauserät'!P90</f>
        <v>-3910.7664436602281</v>
      </c>
      <c r="T90" s="34">
        <v>233</v>
      </c>
      <c r="U90" s="88" t="s">
        <v>404</v>
      </c>
      <c r="V90" s="41" t="e">
        <f>C90/'1. Väestöennuste'!E90*1000</f>
        <v>#REF!</v>
      </c>
      <c r="W90" s="41">
        <f>D90/'1. Väestöennuste'!F90*1000</f>
        <v>-250.798240857883</v>
      </c>
      <c r="X90" s="41">
        <f>E90/'1. Väestöennuste'!G90*1000</f>
        <v>234.36540115493304</v>
      </c>
      <c r="Y90" s="41">
        <f>F90/'1. Väestöennuste'!H90*1000</f>
        <v>-675.69591811259522</v>
      </c>
      <c r="Z90" s="41">
        <f>G90/'1. Väestöennuste'!I90*1000</f>
        <v>-593.22141676205013</v>
      </c>
      <c r="AA90" s="41">
        <f>H90/'1. Väestöennuste'!J90*1000</f>
        <v>-114.33252867695347</v>
      </c>
      <c r="AB90" s="41">
        <f>I90/'1. Väestöennuste'!K90*1000</f>
        <v>-167.39724899013359</v>
      </c>
      <c r="AC90" s="41">
        <f>J90/'1. Väestöennuste'!L90*1000</f>
        <v>-273.0549071006244</v>
      </c>
      <c r="AD90" s="41">
        <f>K90/'1. Väestöennuste'!M90*1000</f>
        <v>-34.483039308842066</v>
      </c>
      <c r="AE90" s="41">
        <f>L90/'1. Väestöennuste'!N90*1000</f>
        <v>-300.76447477585509</v>
      </c>
      <c r="AF90" s="41">
        <f>M90/'1. Väestöennuste'!O90*1000</f>
        <v>-435.71614544330612</v>
      </c>
      <c r="AG90" s="41">
        <f>N90/'1. Väestöennuste'!P90*1000</f>
        <v>-361.21632189044266</v>
      </c>
      <c r="AH90" s="41">
        <f>O90/'1. Väestöennuste'!Q90*1000</f>
        <v>-412.68021132672641</v>
      </c>
      <c r="AI90" s="41">
        <f>P90/'1. Väestöennuste'!R90*1000</f>
        <v>-282.5290018537948</v>
      </c>
    </row>
    <row r="91" spans="1:35" x14ac:dyDescent="0.2">
      <c r="A91" s="34">
        <v>235</v>
      </c>
      <c r="B91" s="88" t="s">
        <v>405</v>
      </c>
      <c r="C91" s="41" t="e">
        <f>Vuosikate!C91+'7. Nettoinvestoinnit '!C91+'8. Satunnaiset erät'!C91+'9. Tulorahkorjauserät'!C91</f>
        <v>#REF!</v>
      </c>
      <c r="D91" s="41">
        <f>Vuosikate!D91+'7. Nettoinvestoinnit '!D91+'8. Satunnaiset erät'!D91+'9. Tulorahkorjauserät'!D91</f>
        <v>4565</v>
      </c>
      <c r="E91" s="41">
        <f>Vuosikate!E91+'7. Nettoinvestoinnit '!E91+'8. Satunnaiset erät'!E91+'9. Tulorahkorjauserät'!E91</f>
        <v>-2183</v>
      </c>
      <c r="F91" s="41">
        <f>Vuosikate!F91+'7. Nettoinvestoinnit '!F91+'8. Satunnaiset erät'!F91+'9. Tulorahkorjauserät'!F91</f>
        <v>50</v>
      </c>
      <c r="G91" s="41">
        <f>Vuosikate!G91+'7. Nettoinvestoinnit '!G91+'8. Satunnaiset erät'!G91+'9. Tulorahkorjauserät'!G91</f>
        <v>-5099</v>
      </c>
      <c r="H91" s="41">
        <f>Vuosikate!H91+'7. Nettoinvestoinnit '!H91+'8. Satunnaiset erät'!H91+'9. Tulorahkorjauserät'!H91</f>
        <v>4577.3128009781576</v>
      </c>
      <c r="I91" s="41">
        <f>Vuosikate!I91+'7. Nettoinvestoinnit '!I91+'8. Satunnaiset erät'!I91+'9. Tulorahkorjauserät'!I91</f>
        <v>1539.9892268064309</v>
      </c>
      <c r="J91" s="41">
        <f>Vuosikate!J91+'7. Nettoinvestoinnit '!J91+'8. Satunnaiset erät'!J91+'9. Tulorahkorjauserät'!J91</f>
        <v>8336.5380057456896</v>
      </c>
      <c r="K91" s="41">
        <f>Vuosikate!K91+'7. Nettoinvestoinnit '!K91+'8. Satunnaiset erät'!K91+'9. Tulorahkorjauserät'!K91</f>
        <v>2586.700194766071</v>
      </c>
      <c r="L91" s="41">
        <f>Vuosikate!L91+'7. Nettoinvestoinnit '!L91+'8. Satunnaiset erät'!L91+'9. Tulorahkorjauserät'!L91</f>
        <v>-2149.8745693432265</v>
      </c>
      <c r="M91" s="41">
        <f>Vuosikate!M91+'7. Nettoinvestoinnit '!M91+'8. Satunnaiset erät'!M91+'9. Tulorahkorjauserät'!M91</f>
        <v>-3832.82962486611</v>
      </c>
      <c r="N91" s="41">
        <f>Vuosikate!N91+'7. Nettoinvestoinnit '!N91+'8. Satunnaiset erät'!N91+'9. Tulorahkorjauserät'!N91</f>
        <v>-5957.8723220066386</v>
      </c>
      <c r="O91" s="41">
        <f>Vuosikate!O91+'7. Nettoinvestoinnit '!O91+'8. Satunnaiset erät'!O91+'9. Tulorahkorjauserät'!O91</f>
        <v>-8089.6341148838083</v>
      </c>
      <c r="P91" s="41">
        <f>Vuosikate!P91+'7. Nettoinvestoinnit '!P91+'8. Satunnaiset erät'!P91+'9. Tulorahkorjauserät'!P91</f>
        <v>-9616.8193340193247</v>
      </c>
      <c r="T91" s="34">
        <v>235</v>
      </c>
      <c r="U91" s="88" t="s">
        <v>405</v>
      </c>
      <c r="V91" s="41" t="e">
        <f>C91/'1. Väestöennuste'!E91*1000</f>
        <v>#REF!</v>
      </c>
      <c r="W91" s="41">
        <f>D91/'1. Väestöennuste'!F91*1000</f>
        <v>485.79333829945728</v>
      </c>
      <c r="X91" s="41">
        <f>E91/'1. Väestöennuste'!G91*1000</f>
        <v>-226.82876142975894</v>
      </c>
      <c r="Y91" s="41">
        <f>F91/'1. Väestöennuste'!H91*1000</f>
        <v>5.2002080083203328</v>
      </c>
      <c r="Z91" s="41">
        <f>G91/'1. Väestöennuste'!I91*1000</f>
        <v>-520.46544860671645</v>
      </c>
      <c r="AA91" s="41">
        <f>H91/'1. Väestöennuste'!J91*1000</f>
        <v>449.72615454688128</v>
      </c>
      <c r="AB91" s="41">
        <f>I91/'1. Väestöennuste'!K91*1000</f>
        <v>148.13286137037622</v>
      </c>
      <c r="AC91" s="41">
        <f>J91/'1. Väestöennuste'!L91*1000</f>
        <v>810.63185586792008</v>
      </c>
      <c r="AD91" s="41">
        <f>K91/'1. Väestöennuste'!M91*1000</f>
        <v>251.86954184674499</v>
      </c>
      <c r="AE91" s="41">
        <f>L91/'1. Väestöennuste'!N91*1000</f>
        <v>-201.31796697661079</v>
      </c>
      <c r="AF91" s="41">
        <f>M91/'1. Väestöennuste'!O91*1000</f>
        <v>-354.79307829918633</v>
      </c>
      <c r="AG91" s="41">
        <f>N91/'1. Väestöennuste'!P91*1000</f>
        <v>-545.39292585194426</v>
      </c>
      <c r="AH91" s="41">
        <f>O91/'1. Väestöennuste'!Q91*1000</f>
        <v>-732.88948313859476</v>
      </c>
      <c r="AI91" s="41">
        <f>P91/'1. Väestöennuste'!R91*1000</f>
        <v>-862.72713142722921</v>
      </c>
    </row>
    <row r="92" spans="1:35" x14ac:dyDescent="0.2">
      <c r="A92" s="34">
        <v>236</v>
      </c>
      <c r="B92" s="88" t="s">
        <v>406</v>
      </c>
      <c r="C92" s="41" t="e">
        <f>Vuosikate!C92+'7. Nettoinvestoinnit '!C92+'8. Satunnaiset erät'!C92+'9. Tulorahkorjauserät'!C92</f>
        <v>#REF!</v>
      </c>
      <c r="D92" s="41">
        <f>Vuosikate!D92+'7. Nettoinvestoinnit '!D92+'8. Satunnaiset erät'!D92+'9. Tulorahkorjauserät'!D92</f>
        <v>-357</v>
      </c>
      <c r="E92" s="41">
        <f>Vuosikate!E92+'7. Nettoinvestoinnit '!E92+'8. Satunnaiset erät'!E92+'9. Tulorahkorjauserät'!E92</f>
        <v>-1303</v>
      </c>
      <c r="F92" s="41">
        <f>Vuosikate!F92+'7. Nettoinvestoinnit '!F92+'8. Satunnaiset erät'!F92+'9. Tulorahkorjauserät'!F92</f>
        <v>-741</v>
      </c>
      <c r="G92" s="41">
        <f>Vuosikate!G92+'7. Nettoinvestoinnit '!G92+'8. Satunnaiset erät'!G92+'9. Tulorahkorjauserät'!G92</f>
        <v>-1582</v>
      </c>
      <c r="H92" s="41">
        <f>Vuosikate!H92+'7. Nettoinvestoinnit '!H92+'8. Satunnaiset erät'!H92+'9. Tulorahkorjauserät'!H92</f>
        <v>1670.3369044947758</v>
      </c>
      <c r="I92" s="41">
        <f>Vuosikate!I92+'7. Nettoinvestoinnit '!I92+'8. Satunnaiset erät'!I92+'9. Tulorahkorjauserät'!I92</f>
        <v>-3666.2367503361115</v>
      </c>
      <c r="J92" s="41">
        <f>Vuosikate!J92+'7. Nettoinvestoinnit '!J92+'8. Satunnaiset erät'!J92+'9. Tulorahkorjauserät'!J92</f>
        <v>1909.2079823158247</v>
      </c>
      <c r="K92" s="41">
        <f>Vuosikate!K92+'7. Nettoinvestoinnit '!K92+'8. Satunnaiset erät'!K92+'9. Tulorahkorjauserät'!K92</f>
        <v>567.79009610107198</v>
      </c>
      <c r="L92" s="41">
        <f>Vuosikate!L92+'7. Nettoinvestoinnit '!L92+'8. Satunnaiset erät'!L92+'9. Tulorahkorjauserät'!L92</f>
        <v>-473.27662812834478</v>
      </c>
      <c r="M92" s="41">
        <f>Vuosikate!M92+'7. Nettoinvestoinnit '!M92+'8. Satunnaiset erät'!M92+'9. Tulorahkorjauserät'!M92</f>
        <v>-1448.2942144011799</v>
      </c>
      <c r="N92" s="41">
        <f>Vuosikate!N92+'7. Nettoinvestoinnit '!N92+'8. Satunnaiset erät'!N92+'9. Tulorahkorjauserät'!N92</f>
        <v>-1176.9340215695211</v>
      </c>
      <c r="O92" s="41">
        <f>Vuosikate!O92+'7. Nettoinvestoinnit '!O92+'8. Satunnaiset erät'!O92+'9. Tulorahkorjauserät'!O92</f>
        <v>-1052.544246830917</v>
      </c>
      <c r="P92" s="41">
        <f>Vuosikate!P92+'7. Nettoinvestoinnit '!P92+'8. Satunnaiset erät'!P92+'9. Tulorahkorjauserät'!P92</f>
        <v>-862.69500667207649</v>
      </c>
      <c r="T92" s="34">
        <v>236</v>
      </c>
      <c r="U92" s="88" t="s">
        <v>406</v>
      </c>
      <c r="V92" s="41" t="e">
        <f>C92/'1. Väestöennuste'!E92*1000</f>
        <v>#REF!</v>
      </c>
      <c r="W92" s="41">
        <f>D92/'1. Väestöennuste'!F92*1000</f>
        <v>-83.061889250814332</v>
      </c>
      <c r="X92" s="41">
        <f>E92/'1. Väestöennuste'!G92*1000</f>
        <v>-302.39034578788579</v>
      </c>
      <c r="Y92" s="41">
        <f>F92/'1. Väestöennuste'!H92*1000</f>
        <v>-173.41446290662299</v>
      </c>
      <c r="Z92" s="41">
        <f>G92/'1. Väestöennuste'!I92*1000</f>
        <v>-371.27434874442616</v>
      </c>
      <c r="AA92" s="41">
        <f>H92/'1. Väestöennuste'!J92*1000</f>
        <v>395.06549302147016</v>
      </c>
      <c r="AB92" s="41">
        <f>I92/'1. Väestöennuste'!K92*1000</f>
        <v>-873.74565069974062</v>
      </c>
      <c r="AC92" s="41">
        <f>J92/'1. Väestöennuste'!L92*1000</f>
        <v>454.78989573983438</v>
      </c>
      <c r="AD92" s="41">
        <f>K92/'1. Väestöennuste'!M92*1000</f>
        <v>137.24682042568818</v>
      </c>
      <c r="AE92" s="41">
        <f>L92/'1. Väestöennuste'!N92*1000</f>
        <v>-114.87296799231669</v>
      </c>
      <c r="AF92" s="41">
        <f>M92/'1. Väestöennuste'!O92*1000</f>
        <v>-354.19276458820735</v>
      </c>
      <c r="AG92" s="41">
        <f>N92/'1. Väestöennuste'!P92*1000</f>
        <v>-290.02809797178929</v>
      </c>
      <c r="AH92" s="41">
        <f>O92/'1. Väestöennuste'!Q92*1000</f>
        <v>-261.37180204393275</v>
      </c>
      <c r="AI92" s="41">
        <f>P92/'1. Väestöennuste'!R92*1000</f>
        <v>-215.88964130932845</v>
      </c>
    </row>
    <row r="93" spans="1:35" x14ac:dyDescent="0.2">
      <c r="A93" s="34">
        <v>239</v>
      </c>
      <c r="B93" s="88" t="s">
        <v>407</v>
      </c>
      <c r="C93" s="41" t="e">
        <f>Vuosikate!C93+'7. Nettoinvestoinnit '!C93+'8. Satunnaiset erät'!C93+'9. Tulorahkorjauserät'!C93</f>
        <v>#REF!</v>
      </c>
      <c r="D93" s="41">
        <f>Vuosikate!D93+'7. Nettoinvestoinnit '!D93+'8. Satunnaiset erät'!D93+'9. Tulorahkorjauserät'!D93</f>
        <v>170</v>
      </c>
      <c r="E93" s="41">
        <f>Vuosikate!E93+'7. Nettoinvestoinnit '!E93+'8. Satunnaiset erät'!E93+'9. Tulorahkorjauserät'!E93</f>
        <v>-684</v>
      </c>
      <c r="F93" s="41">
        <f>Vuosikate!F93+'7. Nettoinvestoinnit '!F93+'8. Satunnaiset erät'!F93+'9. Tulorahkorjauserät'!F93</f>
        <v>-839</v>
      </c>
      <c r="G93" s="41">
        <f>Vuosikate!G93+'7. Nettoinvestoinnit '!G93+'8. Satunnaiset erät'!G93+'9. Tulorahkorjauserät'!G93</f>
        <v>405</v>
      </c>
      <c r="H93" s="41">
        <f>Vuosikate!H93+'7. Nettoinvestoinnit '!H93+'8. Satunnaiset erät'!H93+'9. Tulorahkorjauserät'!H93</f>
        <v>539.66268472084994</v>
      </c>
      <c r="I93" s="41">
        <f>Vuosikate!I93+'7. Nettoinvestoinnit '!I93+'8. Satunnaiset erät'!I93+'9. Tulorahkorjauserät'!I93</f>
        <v>858.91534367035092</v>
      </c>
      <c r="J93" s="41">
        <f>Vuosikate!J93+'7. Nettoinvestoinnit '!J93+'8. Satunnaiset erät'!J93+'9. Tulorahkorjauserät'!J93</f>
        <v>366.84919631531517</v>
      </c>
      <c r="K93" s="41">
        <f>Vuosikate!K93+'7. Nettoinvestoinnit '!K93+'8. Satunnaiset erät'!K93+'9. Tulorahkorjauserät'!K93</f>
        <v>-977.50081326990949</v>
      </c>
      <c r="L93" s="41">
        <f>Vuosikate!L93+'7. Nettoinvestoinnit '!L93+'8. Satunnaiset erät'!L93+'9. Tulorahkorjauserät'!L93</f>
        <v>2350.0256605832169</v>
      </c>
      <c r="M93" s="41">
        <f>Vuosikate!M93+'7. Nettoinvestoinnit '!M93+'8. Satunnaiset erät'!M93+'9. Tulorahkorjauserät'!M93</f>
        <v>1142.7837399715247</v>
      </c>
      <c r="N93" s="41">
        <f>Vuosikate!N93+'7. Nettoinvestoinnit '!N93+'8. Satunnaiset erät'!N93+'9. Tulorahkorjauserät'!N93</f>
        <v>872.63844421318117</v>
      </c>
      <c r="O93" s="41">
        <f>Vuosikate!O93+'7. Nettoinvestoinnit '!O93+'8. Satunnaiset erät'!O93+'9. Tulorahkorjauserät'!O93</f>
        <v>986.14694731512827</v>
      </c>
      <c r="P93" s="41">
        <f>Vuosikate!P93+'7. Nettoinvestoinnit '!P93+'8. Satunnaiset erät'!P93+'9. Tulorahkorjauserät'!P93</f>
        <v>994.19073131192158</v>
      </c>
      <c r="T93" s="34">
        <v>239</v>
      </c>
      <c r="U93" s="88" t="s">
        <v>407</v>
      </c>
      <c r="V93" s="41" t="e">
        <f>C93/'1. Väestöennuste'!E93*1000</f>
        <v>#REF!</v>
      </c>
      <c r="W93" s="41">
        <f>D93/'1. Väestöennuste'!F93*1000</f>
        <v>72.463768115942031</v>
      </c>
      <c r="X93" s="41">
        <f>E93/'1. Väestöennuste'!G93*1000</f>
        <v>-296.23213512343006</v>
      </c>
      <c r="Y93" s="41">
        <f>F93/'1. Väestöennuste'!H93*1000</f>
        <v>-373.88591800356505</v>
      </c>
      <c r="Z93" s="41">
        <f>G93/'1. Väestöennuste'!I93*1000</f>
        <v>183.92370572207085</v>
      </c>
      <c r="AA93" s="41">
        <f>H93/'1. Väestöennuste'!J93*1000</f>
        <v>250.42351959204174</v>
      </c>
      <c r="AB93" s="41">
        <f>I93/'1. Väestöennuste'!K93*1000</f>
        <v>409.98345759921284</v>
      </c>
      <c r="AC93" s="41">
        <f>J93/'1. Väestöennuste'!L93*1000</f>
        <v>180.80295530572457</v>
      </c>
      <c r="AD93" s="41">
        <f>K93/'1. Väestöennuste'!M93*1000</f>
        <v>-480.34437998521349</v>
      </c>
      <c r="AE93" s="41">
        <f>L93/'1. Väestöennuste'!N93*1000</f>
        <v>1172.0826237322776</v>
      </c>
      <c r="AF93" s="41">
        <f>M93/'1. Väestöennuste'!O93*1000</f>
        <v>579.79895483080907</v>
      </c>
      <c r="AG93" s="41">
        <f>N93/'1. Väestöennuste'!P93*1000</f>
        <v>449.11911693936241</v>
      </c>
      <c r="AH93" s="41">
        <f>O93/'1. Väestöennuste'!Q93*1000</f>
        <v>515.2282901332959</v>
      </c>
      <c r="AI93" s="41">
        <f>P93/'1. Väestöennuste'!R93*1000</f>
        <v>526.30531038217134</v>
      </c>
    </row>
    <row r="94" spans="1:35" x14ac:dyDescent="0.2">
      <c r="A94" s="34">
        <v>240</v>
      </c>
      <c r="B94" s="88" t="s">
        <v>408</v>
      </c>
      <c r="C94" s="41" t="e">
        <f>Vuosikate!C94+'7. Nettoinvestoinnit '!C94+'8. Satunnaiset erät'!C94+'9. Tulorahkorjauserät'!C94</f>
        <v>#REF!</v>
      </c>
      <c r="D94" s="41">
        <f>Vuosikate!D94+'7. Nettoinvestoinnit '!D94+'8. Satunnaiset erät'!D94+'9. Tulorahkorjauserät'!D94</f>
        <v>828</v>
      </c>
      <c r="E94" s="41">
        <f>Vuosikate!E94+'7. Nettoinvestoinnit '!E94+'8. Satunnaiset erät'!E94+'9. Tulorahkorjauserät'!E94</f>
        <v>2353</v>
      </c>
      <c r="F94" s="41">
        <f>Vuosikate!F94+'7. Nettoinvestoinnit '!F94+'8. Satunnaiset erät'!F94+'9. Tulorahkorjauserät'!F94</f>
        <v>-13064</v>
      </c>
      <c r="G94" s="41">
        <f>Vuosikate!G94+'7. Nettoinvestoinnit '!G94+'8. Satunnaiset erät'!G94+'9. Tulorahkorjauserät'!G94</f>
        <v>-12274</v>
      </c>
      <c r="H94" s="41">
        <f>Vuosikate!H94+'7. Nettoinvestoinnit '!H94+'8. Satunnaiset erät'!H94+'9. Tulorahkorjauserät'!H94</f>
        <v>1048.0637529057058</v>
      </c>
      <c r="I94" s="41">
        <f>Vuosikate!I94+'7. Nettoinvestoinnit '!I94+'8. Satunnaiset erät'!I94+'9. Tulorahkorjauserät'!I94</f>
        <v>-12441.080460937281</v>
      </c>
      <c r="J94" s="41">
        <f>Vuosikate!J94+'7. Nettoinvestoinnit '!J94+'8. Satunnaiset erät'!J94+'9. Tulorahkorjauserät'!J94</f>
        <v>2184.9558420422186</v>
      </c>
      <c r="K94" s="41">
        <f>Vuosikate!K94+'7. Nettoinvestoinnit '!K94+'8. Satunnaiset erät'!K94+'9. Tulorahkorjauserät'!K94</f>
        <v>8877.559437883423</v>
      </c>
      <c r="L94" s="41">
        <f>Vuosikate!L94+'7. Nettoinvestoinnit '!L94+'8. Satunnaiset erät'!L94+'9. Tulorahkorjauserät'!L94</f>
        <v>-564.63662274404032</v>
      </c>
      <c r="M94" s="41">
        <f>Vuosikate!M94+'7. Nettoinvestoinnit '!M94+'8. Satunnaiset erät'!M94+'9. Tulorahkorjauserät'!M94</f>
        <v>-1030.6108652020503</v>
      </c>
      <c r="N94" s="41">
        <f>Vuosikate!N94+'7. Nettoinvestoinnit '!N94+'8. Satunnaiset erät'!N94+'9. Tulorahkorjauserät'!N94</f>
        <v>-3531.2113154358003</v>
      </c>
      <c r="O94" s="41">
        <f>Vuosikate!O94+'7. Nettoinvestoinnit '!O94+'8. Satunnaiset erät'!O94+'9. Tulorahkorjauserät'!O94</f>
        <v>-2793.6523556344928</v>
      </c>
      <c r="P94" s="41">
        <f>Vuosikate!P94+'7. Nettoinvestoinnit '!P94+'8. Satunnaiset erät'!P94+'9. Tulorahkorjauserät'!P94</f>
        <v>-556.32700115986518</v>
      </c>
      <c r="T94" s="34">
        <v>240</v>
      </c>
      <c r="U94" s="88" t="s">
        <v>408</v>
      </c>
      <c r="V94" s="41" t="e">
        <f>C94/'1. Väestöennuste'!E94*1000</f>
        <v>#REF!</v>
      </c>
      <c r="W94" s="41">
        <f>D94/'1. Väestöennuste'!F94*1000</f>
        <v>38.329784279233408</v>
      </c>
      <c r="X94" s="41">
        <f>E94/'1. Väestöennuste'!G94*1000</f>
        <v>110.69815581482875</v>
      </c>
      <c r="Y94" s="41">
        <f>F94/'1. Väestöennuste'!H94*1000</f>
        <v>-621.47376433090722</v>
      </c>
      <c r="Z94" s="41">
        <f>G94/'1. Väestöennuste'!I94*1000</f>
        <v>-592.74641425604864</v>
      </c>
      <c r="AA94" s="41">
        <f>H94/'1. Väestöennuste'!J94*1000</f>
        <v>51.282661491691819</v>
      </c>
      <c r="AB94" s="41">
        <f>I94/'1. Väestöennuste'!K94*1000</f>
        <v>-622.61437598525072</v>
      </c>
      <c r="AC94" s="41">
        <f>J94/'1. Väestöennuste'!L94*1000</f>
        <v>112.05476393877731</v>
      </c>
      <c r="AD94" s="41">
        <f>K94/'1. Väestöennuste'!M94*1000</f>
        <v>458.29123111266443</v>
      </c>
      <c r="AE94" s="41">
        <f>L94/'1. Väestöennuste'!N94*1000</f>
        <v>-29.192256371835402</v>
      </c>
      <c r="AF94" s="41">
        <f>M94/'1. Väestöennuste'!O94*1000</f>
        <v>-53.975639740339915</v>
      </c>
      <c r="AG94" s="41">
        <f>N94/'1. Väestöennuste'!P94*1000</f>
        <v>-187.28248822252985</v>
      </c>
      <c r="AH94" s="41">
        <f>O94/'1. Väestöennuste'!Q94*1000</f>
        <v>-150.00281119171461</v>
      </c>
      <c r="AI94" s="41">
        <f>P94/'1. Väestöennuste'!R94*1000</f>
        <v>-30.230234263971376</v>
      </c>
    </row>
    <row r="95" spans="1:35" x14ac:dyDescent="0.2">
      <c r="A95" s="34">
        <v>241</v>
      </c>
      <c r="B95" s="88" t="s">
        <v>409</v>
      </c>
      <c r="C95" s="41" t="e">
        <f>Vuosikate!C95+'7. Nettoinvestoinnit '!C95+'8. Satunnaiset erät'!C95+'9. Tulorahkorjauserät'!C95</f>
        <v>#REF!</v>
      </c>
      <c r="D95" s="41">
        <f>Vuosikate!D95+'7. Nettoinvestoinnit '!D95+'8. Satunnaiset erät'!D95+'9. Tulorahkorjauserät'!D95</f>
        <v>1185</v>
      </c>
      <c r="E95" s="41">
        <f>Vuosikate!E95+'7. Nettoinvestoinnit '!E95+'8. Satunnaiset erät'!E95+'9. Tulorahkorjauserät'!E95</f>
        <v>439</v>
      </c>
      <c r="F95" s="41">
        <f>Vuosikate!F95+'7. Nettoinvestoinnit '!F95+'8. Satunnaiset erät'!F95+'9. Tulorahkorjauserät'!F95</f>
        <v>5527</v>
      </c>
      <c r="G95" s="41">
        <f>Vuosikate!G95+'7. Nettoinvestoinnit '!G95+'8. Satunnaiset erät'!G95+'9. Tulorahkorjauserät'!G95</f>
        <v>-543</v>
      </c>
      <c r="H95" s="41">
        <f>Vuosikate!H95+'7. Nettoinvestoinnit '!H95+'8. Satunnaiset erät'!H95+'9. Tulorahkorjauserät'!H95</f>
        <v>864.98453243385302</v>
      </c>
      <c r="I95" s="41">
        <f>Vuosikate!I95+'7. Nettoinvestoinnit '!I95+'8. Satunnaiset erät'!I95+'9. Tulorahkorjauserät'!I95</f>
        <v>-613.39131832651219</v>
      </c>
      <c r="J95" s="41">
        <f>Vuosikate!J95+'7. Nettoinvestoinnit '!J95+'8. Satunnaiset erät'!J95+'9. Tulorahkorjauserät'!J95</f>
        <v>39049.49451569574</v>
      </c>
      <c r="K95" s="41">
        <f>Vuosikate!K95+'7. Nettoinvestoinnit '!K95+'8. Satunnaiset erät'!K95+'9. Tulorahkorjauserät'!K95</f>
        <v>2117.3925904724247</v>
      </c>
      <c r="L95" s="41">
        <f>Vuosikate!L95+'7. Nettoinvestoinnit '!L95+'8. Satunnaiset erät'!L95+'9. Tulorahkorjauserät'!L95</f>
        <v>-2130.1189497707069</v>
      </c>
      <c r="M95" s="41">
        <f>Vuosikate!M95+'7. Nettoinvestoinnit '!M95+'8. Satunnaiset erät'!M95+'9. Tulorahkorjauserät'!M95</f>
        <v>-3111.8600818827467</v>
      </c>
      <c r="N95" s="41">
        <f>Vuosikate!N95+'7. Nettoinvestoinnit '!N95+'8. Satunnaiset erät'!N95+'9. Tulorahkorjauserät'!N95</f>
        <v>-3264.6321208245877</v>
      </c>
      <c r="O95" s="41">
        <f>Vuosikate!O95+'7. Nettoinvestoinnit '!O95+'8. Satunnaiset erät'!O95+'9. Tulorahkorjauserät'!O95</f>
        <v>-3399.6871405603833</v>
      </c>
      <c r="P95" s="41">
        <f>Vuosikate!P95+'7. Nettoinvestoinnit '!P95+'8. Satunnaiset erät'!P95+'9. Tulorahkorjauserät'!P95</f>
        <v>-2574.3847408451147</v>
      </c>
      <c r="T95" s="34">
        <v>241</v>
      </c>
      <c r="U95" s="88" t="s">
        <v>409</v>
      </c>
      <c r="V95" s="41" t="e">
        <f>C95/'1. Väestöennuste'!E95*1000</f>
        <v>#REF!</v>
      </c>
      <c r="W95" s="41">
        <f>D95/'1. Väestöennuste'!F95*1000</f>
        <v>142.4963924963925</v>
      </c>
      <c r="X95" s="41">
        <f>E95/'1. Väestöennuste'!G95*1000</f>
        <v>52.91706846673096</v>
      </c>
      <c r="Y95" s="41">
        <f>F95/'1. Väestöennuste'!H95*1000</f>
        <v>678.40923039155518</v>
      </c>
      <c r="Z95" s="41">
        <f>G95/'1. Väestöennuste'!I95*1000</f>
        <v>-67.21128852580766</v>
      </c>
      <c r="AA95" s="41">
        <f>H95/'1. Väestöennuste'!J95*1000</f>
        <v>108.33974604632428</v>
      </c>
      <c r="AB95" s="41">
        <f>I95/'1. Väestöennuste'!K95*1000</f>
        <v>-77.605176913779374</v>
      </c>
      <c r="AC95" s="41">
        <f>J95/'1. Väestöennuste'!L95*1000</f>
        <v>5025.0282480627639</v>
      </c>
      <c r="AD95" s="41">
        <f>K95/'1. Väestöennuste'!M95*1000</f>
        <v>275.30783909406119</v>
      </c>
      <c r="AE95" s="41">
        <f>L95/'1. Väestöennuste'!N95*1000</f>
        <v>-276.20837004288211</v>
      </c>
      <c r="AF95" s="41">
        <f>M95/'1. Väestöennuste'!O95*1000</f>
        <v>-407.0451382449636</v>
      </c>
      <c r="AG95" s="41">
        <f>N95/'1. Väestöennuste'!P95*1000</f>
        <v>-430.80392198793714</v>
      </c>
      <c r="AH95" s="41">
        <f>O95/'1. Väestöennuste'!Q95*1000</f>
        <v>-452.92927532112753</v>
      </c>
      <c r="AI95" s="41">
        <f>P95/'1. Väestöennuste'!R95*1000</f>
        <v>-346.11249540805522</v>
      </c>
    </row>
    <row r="96" spans="1:35" x14ac:dyDescent="0.2">
      <c r="A96" s="34">
        <v>244</v>
      </c>
      <c r="B96" s="88" t="s">
        <v>410</v>
      </c>
      <c r="C96" s="41" t="e">
        <f>Vuosikate!C96+'7. Nettoinvestoinnit '!C96+'8. Satunnaiset erät'!C96+'9. Tulorahkorjauserät'!C96</f>
        <v>#REF!</v>
      </c>
      <c r="D96" s="41">
        <f>Vuosikate!D96+'7. Nettoinvestoinnit '!D96+'8. Satunnaiset erät'!D96+'9. Tulorahkorjauserät'!D96</f>
        <v>1105</v>
      </c>
      <c r="E96" s="41">
        <f>Vuosikate!E96+'7. Nettoinvestoinnit '!E96+'8. Satunnaiset erät'!E96+'9. Tulorahkorjauserät'!E96</f>
        <v>-11139</v>
      </c>
      <c r="F96" s="41">
        <f>Vuosikate!F96+'7. Nettoinvestoinnit '!F96+'8. Satunnaiset erät'!F96+'9. Tulorahkorjauserät'!F96</f>
        <v>-11561</v>
      </c>
      <c r="G96" s="41">
        <f>Vuosikate!G96+'7. Nettoinvestoinnit '!G96+'8. Satunnaiset erät'!G96+'9. Tulorahkorjauserät'!G96</f>
        <v>-14208</v>
      </c>
      <c r="H96" s="41">
        <f>Vuosikate!H96+'7. Nettoinvestoinnit '!H96+'8. Satunnaiset erät'!H96+'9. Tulorahkorjauserät'!H96</f>
        <v>-182.82155203897128</v>
      </c>
      <c r="I96" s="41">
        <f>Vuosikate!I96+'7. Nettoinvestoinnit '!I96+'8. Satunnaiset erät'!I96+'9. Tulorahkorjauserät'!I96</f>
        <v>-1553.3355302970199</v>
      </c>
      <c r="J96" s="41">
        <f>Vuosikate!J96+'7. Nettoinvestoinnit '!J96+'8. Satunnaiset erät'!J96+'9. Tulorahkorjauserät'!J96</f>
        <v>-215.20667326747116</v>
      </c>
      <c r="K96" s="41">
        <f>Vuosikate!K96+'7. Nettoinvestoinnit '!K96+'8. Satunnaiset erät'!K96+'9. Tulorahkorjauserät'!K96</f>
        <v>-10973.557849590416</v>
      </c>
      <c r="L96" s="41">
        <f>Vuosikate!L96+'7. Nettoinvestoinnit '!L96+'8. Satunnaiset erät'!L96+'9. Tulorahkorjauserät'!L96</f>
        <v>-7187.1268792182655</v>
      </c>
      <c r="M96" s="41">
        <f>Vuosikate!M96+'7. Nettoinvestoinnit '!M96+'8. Satunnaiset erät'!M96+'9. Tulorahkorjauserät'!M96</f>
        <v>-8234.799391388171</v>
      </c>
      <c r="N96" s="41">
        <f>Vuosikate!N96+'7. Nettoinvestoinnit '!N96+'8. Satunnaiset erät'!N96+'9. Tulorahkorjauserät'!N96</f>
        <v>-9359.1374505047097</v>
      </c>
      <c r="O96" s="41">
        <f>Vuosikate!O96+'7. Nettoinvestoinnit '!O96+'8. Satunnaiset erät'!O96+'9. Tulorahkorjauserät'!O96</f>
        <v>-9323.6232005671591</v>
      </c>
      <c r="P96" s="41">
        <f>Vuosikate!P96+'7. Nettoinvestoinnit '!P96+'8. Satunnaiset erät'!P96+'9. Tulorahkorjauserät'!P96</f>
        <v>-10806.959534403999</v>
      </c>
      <c r="T96" s="34">
        <v>244</v>
      </c>
      <c r="U96" s="88" t="s">
        <v>410</v>
      </c>
      <c r="V96" s="41" t="e">
        <f>C96/'1. Väestöennuste'!E96*1000</f>
        <v>#REF!</v>
      </c>
      <c r="W96" s="41">
        <f>D96/'1. Väestöennuste'!F96*1000</f>
        <v>63.8839105047118</v>
      </c>
      <c r="X96" s="41">
        <f>E96/'1. Väestöennuste'!G96*1000</f>
        <v>-635.24379811804965</v>
      </c>
      <c r="Y96" s="41">
        <f>F96/'1. Väestöennuste'!H96*1000</f>
        <v>-645.03710316353295</v>
      </c>
      <c r="Z96" s="41">
        <f>G96/'1. Väestöennuste'!I96*1000</f>
        <v>-774.06701171342957</v>
      </c>
      <c r="AA96" s="41">
        <f>H96/'1. Väestöennuste'!J96*1000</f>
        <v>-9.7266201340163487</v>
      </c>
      <c r="AB96" s="41">
        <f>I96/'1. Väestöennuste'!K96*1000</f>
        <v>-81.258397692876116</v>
      </c>
      <c r="AC96" s="41">
        <f>J96/'1. Väestöennuste'!L96*1000</f>
        <v>-11.150604832511458</v>
      </c>
      <c r="AD96" s="41">
        <f>K96/'1. Väestöennuste'!M96*1000</f>
        <v>-562.34282308037382</v>
      </c>
      <c r="AE96" s="41">
        <f>L96/'1. Väestöennuste'!N96*1000</f>
        <v>-356.55736861726774</v>
      </c>
      <c r="AF96" s="41">
        <f>M96/'1. Väestöennuste'!O96*1000</f>
        <v>-402.81756060207266</v>
      </c>
      <c r="AG96" s="41">
        <f>N96/'1. Väestöennuste'!P96*1000</f>
        <v>-451.91392807845051</v>
      </c>
      <c r="AH96" s="41">
        <f>O96/'1. Väestöennuste'!Q96*1000</f>
        <v>-444.70205096666785</v>
      </c>
      <c r="AI96" s="41">
        <f>P96/'1. Väestöennuste'!R96*1000</f>
        <v>-509.69011622902417</v>
      </c>
    </row>
    <row r="97" spans="1:35" x14ac:dyDescent="0.2">
      <c r="A97" s="34">
        <v>245</v>
      </c>
      <c r="B97" s="88" t="s">
        <v>411</v>
      </c>
      <c r="C97" s="41" t="e">
        <f>Vuosikate!C97+'7. Nettoinvestoinnit '!C97+'8. Satunnaiset erät'!C97+'9. Tulorahkorjauserät'!C97</f>
        <v>#REF!</v>
      </c>
      <c r="D97" s="41">
        <f>Vuosikate!D97+'7. Nettoinvestoinnit '!D97+'8. Satunnaiset erät'!D97+'9. Tulorahkorjauserät'!D97</f>
        <v>6320</v>
      </c>
      <c r="E97" s="41">
        <f>Vuosikate!E97+'7. Nettoinvestoinnit '!E97+'8. Satunnaiset erät'!E97+'9. Tulorahkorjauserät'!E97</f>
        <v>-3847</v>
      </c>
      <c r="F97" s="41">
        <f>Vuosikate!F97+'7. Nettoinvestoinnit '!F97+'8. Satunnaiset erät'!F97+'9. Tulorahkorjauserät'!F97</f>
        <v>-10921</v>
      </c>
      <c r="G97" s="41">
        <f>Vuosikate!G97+'7. Nettoinvestoinnit '!G97+'8. Satunnaiset erät'!G97+'9. Tulorahkorjauserät'!G97</f>
        <v>-13365</v>
      </c>
      <c r="H97" s="41">
        <f>Vuosikate!H97+'7. Nettoinvestoinnit '!H97+'8. Satunnaiset erät'!H97+'9. Tulorahkorjauserät'!H97</f>
        <v>-18518.417944085035</v>
      </c>
      <c r="I97" s="41">
        <f>Vuosikate!I97+'7. Nettoinvestoinnit '!I97+'8. Satunnaiset erät'!I97+'9. Tulorahkorjauserät'!I97</f>
        <v>-16287.706638762349</v>
      </c>
      <c r="J97" s="41">
        <f>Vuosikate!J97+'7. Nettoinvestoinnit '!J97+'8. Satunnaiset erät'!J97+'9. Tulorahkorjauserät'!J97</f>
        <v>-10301.23703916548</v>
      </c>
      <c r="K97" s="41">
        <f>Vuosikate!K97+'7. Nettoinvestoinnit '!K97+'8. Satunnaiset erät'!K97+'9. Tulorahkorjauserät'!K97</f>
        <v>10034.471828809517</v>
      </c>
      <c r="L97" s="41">
        <f>Vuosikate!L97+'7. Nettoinvestoinnit '!L97+'8. Satunnaiset erät'!L97+'9. Tulorahkorjauserät'!L97</f>
        <v>140.87267630435963</v>
      </c>
      <c r="M97" s="41">
        <f>Vuosikate!M97+'7. Nettoinvestoinnit '!M97+'8. Satunnaiset erät'!M97+'9. Tulorahkorjauserät'!M97</f>
        <v>-7112.9929296744995</v>
      </c>
      <c r="N97" s="41">
        <f>Vuosikate!N97+'7. Nettoinvestoinnit '!N97+'8. Satunnaiset erät'!N97+'9. Tulorahkorjauserät'!N97</f>
        <v>-7520.1645942017112</v>
      </c>
      <c r="O97" s="41">
        <f>Vuosikate!O97+'7. Nettoinvestoinnit '!O97+'8. Satunnaiset erät'!O97+'9. Tulorahkorjauserät'!O97</f>
        <v>-8252.0331808700375</v>
      </c>
      <c r="P97" s="41">
        <f>Vuosikate!P97+'7. Nettoinvestoinnit '!P97+'8. Satunnaiset erät'!P97+'9. Tulorahkorjauserät'!P97</f>
        <v>-7085.0706394980589</v>
      </c>
      <c r="T97" s="34">
        <v>245</v>
      </c>
      <c r="U97" s="88" t="s">
        <v>411</v>
      </c>
      <c r="V97" s="41" t="e">
        <f>C97/'1. Väestöennuste'!E97*1000</f>
        <v>#REF!</v>
      </c>
      <c r="W97" s="41">
        <f>D97/'1. Väestöennuste'!F97*1000</f>
        <v>177.97302244374981</v>
      </c>
      <c r="X97" s="41">
        <f>E97/'1. Väestöennuste'!G97*1000</f>
        <v>-108.20160882038589</v>
      </c>
      <c r="Y97" s="41">
        <f>F97/'1. Väestöennuste'!H97*1000</f>
        <v>-301.23572571302475</v>
      </c>
      <c r="Z97" s="41">
        <f>G97/'1. Väestöennuste'!I97*1000</f>
        <v>-363.61410381978453</v>
      </c>
      <c r="AA97" s="41">
        <f>H97/'1. Väestöennuste'!J97*1000</f>
        <v>-499.08146999285901</v>
      </c>
      <c r="AB97" s="41">
        <f>I97/'1. Väestöennuste'!K97*1000</f>
        <v>-437.46526210685295</v>
      </c>
      <c r="AC97" s="41">
        <f>J97/'1. Väestöennuste'!L97*1000</f>
        <v>-273.41641997997345</v>
      </c>
      <c r="AD97" s="41">
        <f>K97/'1. Väestöennuste'!M97*1000</f>
        <v>262.60688882283944</v>
      </c>
      <c r="AE97" s="41">
        <f>L97/'1. Väestöennuste'!N97*1000</f>
        <v>3.6496457500028403</v>
      </c>
      <c r="AF97" s="41">
        <f>M97/'1. Väestöennuste'!O97*1000</f>
        <v>-182.78280687844017</v>
      </c>
      <c r="AG97" s="41">
        <f>N97/'1. Väestöennuste'!P97*1000</f>
        <v>-191.75288373200345</v>
      </c>
      <c r="AH97" s="41">
        <f>O97/'1. Väestöennuste'!Q97*1000</f>
        <v>-208.91752147826622</v>
      </c>
      <c r="AI97" s="41">
        <f>P97/'1. Väestöennuste'!R97*1000</f>
        <v>-178.1645746346986</v>
      </c>
    </row>
    <row r="98" spans="1:35" x14ac:dyDescent="0.2">
      <c r="A98" s="34">
        <v>249</v>
      </c>
      <c r="B98" s="88" t="s">
        <v>412</v>
      </c>
      <c r="C98" s="41" t="e">
        <f>Vuosikate!C98+'7. Nettoinvestoinnit '!C98+'8. Satunnaiset erät'!C98+'9. Tulorahkorjauserät'!C98</f>
        <v>#REF!</v>
      </c>
      <c r="D98" s="41">
        <f>Vuosikate!D98+'7. Nettoinvestoinnit '!D98+'8. Satunnaiset erät'!D98+'9. Tulorahkorjauserät'!D98</f>
        <v>-8384</v>
      </c>
      <c r="E98" s="41">
        <f>Vuosikate!E98+'7. Nettoinvestoinnit '!E98+'8. Satunnaiset erät'!E98+'9. Tulorahkorjauserät'!E98</f>
        <v>1451</v>
      </c>
      <c r="F98" s="41">
        <f>Vuosikate!F98+'7. Nettoinvestoinnit '!F98+'8. Satunnaiset erät'!F98+'9. Tulorahkorjauserät'!F98</f>
        <v>666</v>
      </c>
      <c r="G98" s="41">
        <f>Vuosikate!G98+'7. Nettoinvestoinnit '!G98+'8. Satunnaiset erät'!G98+'9. Tulorahkorjauserät'!G98</f>
        <v>-4236</v>
      </c>
      <c r="H98" s="41">
        <f>Vuosikate!H98+'7. Nettoinvestoinnit '!H98+'8. Satunnaiset erät'!H98+'9. Tulorahkorjauserät'!H98</f>
        <v>1359.5217047125916</v>
      </c>
      <c r="I98" s="41">
        <f>Vuosikate!I98+'7. Nettoinvestoinnit '!I98+'8. Satunnaiset erät'!I98+'9. Tulorahkorjauserät'!I98</f>
        <v>2064.6549749414571</v>
      </c>
      <c r="J98" s="41">
        <f>Vuosikate!J98+'7. Nettoinvestoinnit '!J98+'8. Satunnaiset erät'!J98+'9. Tulorahkorjauserät'!J98</f>
        <v>1029.4020827990246</v>
      </c>
      <c r="K98" s="41">
        <f>Vuosikate!K98+'7. Nettoinvestoinnit '!K98+'8. Satunnaiset erät'!K98+'9. Tulorahkorjauserät'!K98</f>
        <v>2306.8528711579802</v>
      </c>
      <c r="L98" s="41">
        <f>Vuosikate!L98+'7. Nettoinvestoinnit '!L98+'8. Satunnaiset erät'!L98+'9. Tulorahkorjauserät'!L98</f>
        <v>1827.3327123933518</v>
      </c>
      <c r="M98" s="41">
        <f>Vuosikate!M98+'7. Nettoinvestoinnit '!M98+'8. Satunnaiset erät'!M98+'9. Tulorahkorjauserät'!M98</f>
        <v>1098.7331606046687</v>
      </c>
      <c r="N98" s="41">
        <f>Vuosikate!N98+'7. Nettoinvestoinnit '!N98+'8. Satunnaiset erät'!N98+'9. Tulorahkorjauserät'!N98</f>
        <v>1359.5403013256487</v>
      </c>
      <c r="O98" s="41">
        <f>Vuosikate!O98+'7. Nettoinvestoinnit '!O98+'8. Satunnaiset erät'!O98+'9. Tulorahkorjauserät'!O98</f>
        <v>1135.4117618759306</v>
      </c>
      <c r="P98" s="41">
        <f>Vuosikate!P98+'7. Nettoinvestoinnit '!P98+'8. Satunnaiset erät'!P98+'9. Tulorahkorjauserät'!P98</f>
        <v>2371.9102663977651</v>
      </c>
      <c r="T98" s="34">
        <v>249</v>
      </c>
      <c r="U98" s="88" t="s">
        <v>412</v>
      </c>
      <c r="V98" s="41" t="e">
        <f>C98/'1. Väestöennuste'!E98*1000</f>
        <v>#REF!</v>
      </c>
      <c r="W98" s="41">
        <f>D98/'1. Väestöennuste'!F98*1000</f>
        <v>-839.07125700560448</v>
      </c>
      <c r="X98" s="41">
        <f>E98/'1. Väestöennuste'!G98*1000</f>
        <v>146.28490775279764</v>
      </c>
      <c r="Y98" s="41">
        <f>F98/'1. Väestöennuste'!H98*1000</f>
        <v>68.223724646588806</v>
      </c>
      <c r="Z98" s="41">
        <f>G98/'1. Väestöennuste'!I98*1000</f>
        <v>-441.02030192608015</v>
      </c>
      <c r="AA98" s="41">
        <f>H98/'1. Väestöennuste'!J98*1000</f>
        <v>143.31875444998857</v>
      </c>
      <c r="AB98" s="41">
        <f>I98/'1. Väestöennuste'!K98*1000</f>
        <v>218.64396642396031</v>
      </c>
      <c r="AC98" s="41">
        <f>J98/'1. Väestöennuste'!L98*1000</f>
        <v>111.2867116539486</v>
      </c>
      <c r="AD98" s="41">
        <f>K98/'1. Väestöennuste'!M98*1000</f>
        <v>251.18171506511112</v>
      </c>
      <c r="AE98" s="41">
        <f>L98/'1. Väestöennuste'!N98*1000</f>
        <v>203.37592792357839</v>
      </c>
      <c r="AF98" s="41">
        <f>M98/'1. Väestöennuste'!O98*1000</f>
        <v>123.73121177980504</v>
      </c>
      <c r="AG98" s="41">
        <f>N98/'1. Väestöennuste'!P98*1000</f>
        <v>154.91571346007848</v>
      </c>
      <c r="AH98" s="41">
        <f>O98/'1. Väestöennuste'!Q98*1000</f>
        <v>130.82287842792147</v>
      </c>
      <c r="AI98" s="41">
        <f>P98/'1. Väestöennuste'!R98*1000</f>
        <v>276.34979219361122</v>
      </c>
    </row>
    <row r="99" spans="1:35" x14ac:dyDescent="0.2">
      <c r="A99" s="34">
        <v>250</v>
      </c>
      <c r="B99" s="88" t="s">
        <v>413</v>
      </c>
      <c r="C99" s="41" t="e">
        <f>Vuosikate!C99+'7. Nettoinvestoinnit '!C99+'8. Satunnaiset erät'!C99+'9. Tulorahkorjauserät'!C99</f>
        <v>#REF!</v>
      </c>
      <c r="D99" s="41">
        <f>Vuosikate!D99+'7. Nettoinvestoinnit '!D99+'8. Satunnaiset erät'!D99+'9. Tulorahkorjauserät'!D99</f>
        <v>428</v>
      </c>
      <c r="E99" s="41">
        <f>Vuosikate!E99+'7. Nettoinvestoinnit '!E99+'8. Satunnaiset erät'!E99+'9. Tulorahkorjauserät'!E99</f>
        <v>-411</v>
      </c>
      <c r="F99" s="41">
        <f>Vuosikate!F99+'7. Nettoinvestoinnit '!F99+'8. Satunnaiset erät'!F99+'9. Tulorahkorjauserät'!F99</f>
        <v>211</v>
      </c>
      <c r="G99" s="41">
        <f>Vuosikate!G99+'7. Nettoinvestoinnit '!G99+'8. Satunnaiset erät'!G99+'9. Tulorahkorjauserät'!G99</f>
        <v>-479</v>
      </c>
      <c r="H99" s="41">
        <f>Vuosikate!H99+'7. Nettoinvestoinnit '!H99+'8. Satunnaiset erät'!H99+'9. Tulorahkorjauserät'!H99</f>
        <v>3908.5789289333725</v>
      </c>
      <c r="I99" s="41">
        <f>Vuosikate!I99+'7. Nettoinvestoinnit '!I99+'8. Satunnaiset erät'!I99+'9. Tulorahkorjauserät'!I99</f>
        <v>605.57351027254606</v>
      </c>
      <c r="J99" s="41">
        <f>Vuosikate!J99+'7. Nettoinvestoinnit '!J99+'8. Satunnaiset erät'!J99+'9. Tulorahkorjauserät'!J99</f>
        <v>301.36806957272893</v>
      </c>
      <c r="K99" s="41">
        <f>Vuosikate!K99+'7. Nettoinvestoinnit '!K99+'8. Satunnaiset erät'!K99+'9. Tulorahkorjauserät'!K99</f>
        <v>-452.23748780073026</v>
      </c>
      <c r="L99" s="41">
        <f>Vuosikate!L99+'7. Nettoinvestoinnit '!L99+'8. Satunnaiset erät'!L99+'9. Tulorahkorjauserät'!L99</f>
        <v>-334.4580958990768</v>
      </c>
      <c r="M99" s="41">
        <f>Vuosikate!M99+'7. Nettoinvestoinnit '!M99+'8. Satunnaiset erät'!M99+'9. Tulorahkorjauserät'!M99</f>
        <v>-1301.008956909076</v>
      </c>
      <c r="N99" s="41">
        <f>Vuosikate!N99+'7. Nettoinvestoinnit '!N99+'8. Satunnaiset erät'!N99+'9. Tulorahkorjauserät'!N99</f>
        <v>-1389.3761943326108</v>
      </c>
      <c r="O99" s="41">
        <f>Vuosikate!O99+'7. Nettoinvestoinnit '!O99+'8. Satunnaiset erät'!O99+'9. Tulorahkorjauserät'!O99</f>
        <v>-1474.698966559677</v>
      </c>
      <c r="P99" s="41">
        <f>Vuosikate!P99+'7. Nettoinvestoinnit '!P99+'8. Satunnaiset erät'!P99+'9. Tulorahkorjauserät'!P99</f>
        <v>-1338.4096802182371</v>
      </c>
      <c r="T99" s="34">
        <v>250</v>
      </c>
      <c r="U99" s="88" t="s">
        <v>413</v>
      </c>
      <c r="V99" s="41" t="e">
        <f>C99/'1. Väestöennuste'!E99*1000</f>
        <v>#REF!</v>
      </c>
      <c r="W99" s="41">
        <f>D99/'1. Väestöennuste'!F99*1000</f>
        <v>214.64393179538615</v>
      </c>
      <c r="X99" s="41">
        <f>E99/'1. Väestöennuste'!G99*1000</f>
        <v>-208.94763599389935</v>
      </c>
      <c r="Y99" s="41">
        <f>F99/'1. Väestöennuste'!H99*1000</f>
        <v>110.47120418848168</v>
      </c>
      <c r="Z99" s="41">
        <f>G99/'1. Väestöennuste'!I99*1000</f>
        <v>-256.83646112600536</v>
      </c>
      <c r="AA99" s="41">
        <f>H99/'1. Väestöennuste'!J99*1000</f>
        <v>2145.2134626418069</v>
      </c>
      <c r="AB99" s="41">
        <f>I99/'1. Väestöennuste'!K99*1000</f>
        <v>334.94110081446132</v>
      </c>
      <c r="AC99" s="41">
        <f>J99/'1. Väestöennuste'!L99*1000</f>
        <v>170.16830580052454</v>
      </c>
      <c r="AD99" s="41">
        <f>K99/'1. Väestöennuste'!M99*1000</f>
        <v>-258.5691754149401</v>
      </c>
      <c r="AE99" s="41">
        <f>L99/'1. Väestöennuste'!N99*1000</f>
        <v>-200.27430892160285</v>
      </c>
      <c r="AF99" s="41">
        <f>M99/'1. Väestöennuste'!O99*1000</f>
        <v>-794.26676245975341</v>
      </c>
      <c r="AG99" s="41">
        <f>N99/'1. Väestöennuste'!P99*1000</f>
        <v>-864.57759448202285</v>
      </c>
      <c r="AH99" s="41">
        <f>O99/'1. Väestöennuste'!Q99*1000</f>
        <v>-934.53673419497909</v>
      </c>
      <c r="AI99" s="41">
        <f>P99/'1. Väestöennuste'!R99*1000</f>
        <v>-865.16462845393482</v>
      </c>
    </row>
    <row r="100" spans="1:35" x14ac:dyDescent="0.2">
      <c r="A100" s="34">
        <v>256</v>
      </c>
      <c r="B100" s="88" t="s">
        <v>414</v>
      </c>
      <c r="C100" s="41" t="e">
        <f>Vuosikate!C100+'7. Nettoinvestoinnit '!C100+'8. Satunnaiset erät'!C100+'9. Tulorahkorjauserät'!C100</f>
        <v>#REF!</v>
      </c>
      <c r="D100" s="41">
        <f>Vuosikate!D100+'7. Nettoinvestoinnit '!D100+'8. Satunnaiset erät'!D100+'9. Tulorahkorjauserät'!D100</f>
        <v>-191</v>
      </c>
      <c r="E100" s="41">
        <f>Vuosikate!E100+'7. Nettoinvestoinnit '!E100+'8. Satunnaiset erät'!E100+'9. Tulorahkorjauserät'!E100</f>
        <v>1188</v>
      </c>
      <c r="F100" s="41">
        <f>Vuosikate!F100+'7. Nettoinvestoinnit '!F100+'8. Satunnaiset erät'!F100+'9. Tulorahkorjauserät'!F100</f>
        <v>-1359</v>
      </c>
      <c r="G100" s="41">
        <f>Vuosikate!G100+'7. Nettoinvestoinnit '!G100+'8. Satunnaiset erät'!G100+'9. Tulorahkorjauserät'!G100</f>
        <v>-769</v>
      </c>
      <c r="H100" s="41">
        <f>Vuosikate!H100+'7. Nettoinvestoinnit '!H100+'8. Satunnaiset erät'!H100+'9. Tulorahkorjauserät'!H100</f>
        <v>-591.39215123963913</v>
      </c>
      <c r="I100" s="41">
        <f>Vuosikate!I100+'7. Nettoinvestoinnit '!I100+'8. Satunnaiset erät'!I100+'9. Tulorahkorjauserät'!I100</f>
        <v>150.82445841478307</v>
      </c>
      <c r="J100" s="41">
        <f>Vuosikate!J100+'7. Nettoinvestoinnit '!J100+'8. Satunnaiset erät'!J100+'9. Tulorahkorjauserät'!J100</f>
        <v>-95.893265767928995</v>
      </c>
      <c r="K100" s="41">
        <f>Vuosikate!K100+'7. Nettoinvestoinnit '!K100+'8. Satunnaiset erät'!K100+'9. Tulorahkorjauserät'!K100</f>
        <v>-639.57694689561492</v>
      </c>
      <c r="L100" s="41">
        <f>Vuosikate!L100+'7. Nettoinvestoinnit '!L100+'8. Satunnaiset erät'!L100+'9. Tulorahkorjauserät'!L100</f>
        <v>152.61872687070604</v>
      </c>
      <c r="M100" s="41">
        <f>Vuosikate!M100+'7. Nettoinvestoinnit '!M100+'8. Satunnaiset erät'!M100+'9. Tulorahkorjauserät'!M100</f>
        <v>-806.18721407100429</v>
      </c>
      <c r="N100" s="41">
        <f>Vuosikate!N100+'7. Nettoinvestoinnit '!N100+'8. Satunnaiset erät'!N100+'9. Tulorahkorjauserät'!N100</f>
        <v>-951.90582728441041</v>
      </c>
      <c r="O100" s="41">
        <f>Vuosikate!O100+'7. Nettoinvestoinnit '!O100+'8. Satunnaiset erät'!O100+'9. Tulorahkorjauserät'!O100</f>
        <v>-979.21120967306604</v>
      </c>
      <c r="P100" s="41">
        <f>Vuosikate!P100+'7. Nettoinvestoinnit '!P100+'8. Satunnaiset erät'!P100+'9. Tulorahkorjauserät'!P100</f>
        <v>-865.97026709546344</v>
      </c>
      <c r="T100" s="34">
        <v>256</v>
      </c>
      <c r="U100" s="88" t="s">
        <v>414</v>
      </c>
      <c r="V100" s="41" t="e">
        <f>C100/'1. Väestöennuste'!E100*1000</f>
        <v>#REF!</v>
      </c>
      <c r="W100" s="41">
        <f>D100/'1. Väestöennuste'!F100*1000</f>
        <v>-112.41907004120071</v>
      </c>
      <c r="X100" s="41">
        <f>E100/'1. Väestöennuste'!G100*1000</f>
        <v>717.39130434782601</v>
      </c>
      <c r="Y100" s="41">
        <f>F100/'1. Väestöennuste'!H100*1000</f>
        <v>-841.4860681114551</v>
      </c>
      <c r="Z100" s="41">
        <f>G100/'1. Väestöennuste'!I100*1000</f>
        <v>-474.69135802469134</v>
      </c>
      <c r="AA100" s="41">
        <f>H100/'1. Väestöennuste'!J100*1000</f>
        <v>-370.31443408869075</v>
      </c>
      <c r="AB100" s="41">
        <f>I100/'1. Väestöennuste'!K100*1000</f>
        <v>95.398139414790037</v>
      </c>
      <c r="AC100" s="41">
        <f>J100/'1. Väestöennuste'!L100*1000</f>
        <v>-61.707378229040536</v>
      </c>
      <c r="AD100" s="41">
        <f>K100/'1. Väestöennuste'!M100*1000</f>
        <v>-419.94546742981936</v>
      </c>
      <c r="AE100" s="41">
        <f>L100/'1. Väestöennuste'!N100*1000</f>
        <v>102.01786555528479</v>
      </c>
      <c r="AF100" s="41">
        <f>M100/'1. Väestöennuste'!O100*1000</f>
        <v>-546.93840846065427</v>
      </c>
      <c r="AG100" s="41">
        <f>N100/'1. Väestöennuste'!P100*1000</f>
        <v>-656.48677743752432</v>
      </c>
      <c r="AH100" s="41">
        <f>O100/'1. Väestöennuste'!Q100*1000</f>
        <v>-685.72213562539639</v>
      </c>
      <c r="AI100" s="41">
        <f>P100/'1. Väestöennuste'!R100*1000</f>
        <v>-614.59919595135807</v>
      </c>
    </row>
    <row r="101" spans="1:35" x14ac:dyDescent="0.2">
      <c r="A101" s="34">
        <v>257</v>
      </c>
      <c r="B101" s="88" t="s">
        <v>415</v>
      </c>
      <c r="C101" s="41" t="e">
        <f>Vuosikate!C101+'7. Nettoinvestoinnit '!C101+'8. Satunnaiset erät'!C101+'9. Tulorahkorjauserät'!C101</f>
        <v>#REF!</v>
      </c>
      <c r="D101" s="41">
        <f>Vuosikate!D101+'7. Nettoinvestoinnit '!D101+'8. Satunnaiset erät'!D101+'9. Tulorahkorjauserät'!D101</f>
        <v>-5995</v>
      </c>
      <c r="E101" s="41">
        <f>Vuosikate!E101+'7. Nettoinvestoinnit '!E101+'8. Satunnaiset erät'!E101+'9. Tulorahkorjauserät'!E101</f>
        <v>-7695</v>
      </c>
      <c r="F101" s="41">
        <f>Vuosikate!F101+'7. Nettoinvestoinnit '!F101+'8. Satunnaiset erät'!F101+'9. Tulorahkorjauserät'!F101</f>
        <v>-18769</v>
      </c>
      <c r="G101" s="41">
        <f>Vuosikate!G101+'7. Nettoinvestoinnit '!G101+'8. Satunnaiset erät'!G101+'9. Tulorahkorjauserät'!G101</f>
        <v>-49284</v>
      </c>
      <c r="H101" s="41">
        <f>Vuosikate!H101+'7. Nettoinvestoinnit '!H101+'8. Satunnaiset erät'!H101+'9. Tulorahkorjauserät'!H101</f>
        <v>-29588.861318814394</v>
      </c>
      <c r="I101" s="41">
        <f>Vuosikate!I101+'7. Nettoinvestoinnit '!I101+'8. Satunnaiset erät'!I101+'9. Tulorahkorjauserät'!I101</f>
        <v>-15333.065057447368</v>
      </c>
      <c r="J101" s="41">
        <f>Vuosikate!J101+'7. Nettoinvestoinnit '!J101+'8. Satunnaiset erät'!J101+'9. Tulorahkorjauserät'!J101</f>
        <v>60622.548980106774</v>
      </c>
      <c r="K101" s="41">
        <f>Vuosikate!K101+'7. Nettoinvestoinnit '!K101+'8. Satunnaiset erät'!K101+'9. Tulorahkorjauserät'!K101</f>
        <v>15565.826380698631</v>
      </c>
      <c r="L101" s="41">
        <f>Vuosikate!L101+'7. Nettoinvestoinnit '!L101+'8. Satunnaiset erät'!L101+'9. Tulorahkorjauserät'!L101</f>
        <v>-27431.075998899505</v>
      </c>
      <c r="M101" s="41">
        <f>Vuosikate!M101+'7. Nettoinvestoinnit '!M101+'8. Satunnaiset erät'!M101+'9. Tulorahkorjauserät'!M101</f>
        <v>-29646.375192383697</v>
      </c>
      <c r="N101" s="41">
        <f>Vuosikate!N101+'7. Nettoinvestoinnit '!N101+'8. Satunnaiset erät'!N101+'9. Tulorahkorjauserät'!N101</f>
        <v>-33017.11032368298</v>
      </c>
      <c r="O101" s="41">
        <f>Vuosikate!O101+'7. Nettoinvestoinnit '!O101+'8. Satunnaiset erät'!O101+'9. Tulorahkorjauserät'!O101</f>
        <v>-35497.082242195145</v>
      </c>
      <c r="P101" s="41">
        <f>Vuosikate!P101+'7. Nettoinvestoinnit '!P101+'8. Satunnaiset erät'!P101+'9. Tulorahkorjauserät'!P101</f>
        <v>-36336.407464215634</v>
      </c>
      <c r="T101" s="34">
        <v>257</v>
      </c>
      <c r="U101" s="88" t="s">
        <v>415</v>
      </c>
      <c r="V101" s="41" t="e">
        <f>C101/'1. Väestöennuste'!E101*1000</f>
        <v>#REF!</v>
      </c>
      <c r="W101" s="41">
        <f>D101/'1. Väestöennuste'!F101*1000</f>
        <v>-153.58798964978351</v>
      </c>
      <c r="X101" s="41">
        <f>E101/'1. Väestöennuste'!G101*1000</f>
        <v>-196.45136584120502</v>
      </c>
      <c r="Y101" s="41">
        <f>F101/'1. Väestöennuste'!H101*1000</f>
        <v>-478.04492893892314</v>
      </c>
      <c r="Z101" s="41">
        <f>G101/'1. Väestöennuste'!I101*1000</f>
        <v>-1244.98560097004</v>
      </c>
      <c r="AA101" s="41">
        <f>H101/'1. Väestöennuste'!J101*1000</f>
        <v>-738.20820614775698</v>
      </c>
      <c r="AB101" s="41">
        <f>I101/'1. Väestöennuste'!K101*1000</f>
        <v>-379.22155312362099</v>
      </c>
      <c r="AC101" s="41">
        <f>J101/'1. Väestöennuste'!L101*1000</f>
        <v>1488.6928191175969</v>
      </c>
      <c r="AD101" s="41">
        <f>K101/'1. Väestöennuste'!M101*1000</f>
        <v>378.23361959222996</v>
      </c>
      <c r="AE101" s="41">
        <f>L101/'1. Väestöennuste'!N101*1000</f>
        <v>-661.57962518147519</v>
      </c>
      <c r="AF101" s="41">
        <f>M101/'1. Väestöennuste'!O101*1000</f>
        <v>-709.90577793596174</v>
      </c>
      <c r="AG101" s="41">
        <f>N101/'1. Väestöennuste'!P101*1000</f>
        <v>-785.35501828412691</v>
      </c>
      <c r="AH101" s="41">
        <f>O101/'1. Väestöennuste'!Q101*1000</f>
        <v>-839.07533960986052</v>
      </c>
      <c r="AI101" s="41">
        <f>P101/'1. Väestöennuste'!R101*1000</f>
        <v>-853.74891248362655</v>
      </c>
    </row>
    <row r="102" spans="1:35" x14ac:dyDescent="0.2">
      <c r="A102" s="34">
        <v>260</v>
      </c>
      <c r="B102" s="88" t="s">
        <v>416</v>
      </c>
      <c r="C102" s="41" t="e">
        <f>Vuosikate!C102+'7. Nettoinvestoinnit '!C102+'8. Satunnaiset erät'!C102+'9. Tulorahkorjauserät'!C102</f>
        <v>#REF!</v>
      </c>
      <c r="D102" s="41">
        <f>Vuosikate!D102+'7. Nettoinvestoinnit '!D102+'8. Satunnaiset erät'!D102+'9. Tulorahkorjauserät'!D102</f>
        <v>5937</v>
      </c>
      <c r="E102" s="41">
        <f>Vuosikate!E102+'7. Nettoinvestoinnit '!E102+'8. Satunnaiset erät'!E102+'9. Tulorahkorjauserät'!E102</f>
        <v>9468</v>
      </c>
      <c r="F102" s="41">
        <f>Vuosikate!F102+'7. Nettoinvestoinnit '!F102+'8. Satunnaiset erät'!F102+'9. Tulorahkorjauserät'!F102</f>
        <v>3587</v>
      </c>
      <c r="G102" s="41">
        <f>Vuosikate!G102+'7. Nettoinvestoinnit '!G102+'8. Satunnaiset erät'!G102+'9. Tulorahkorjauserät'!G102</f>
        <v>2516</v>
      </c>
      <c r="H102" s="41">
        <f>Vuosikate!H102+'7. Nettoinvestoinnit '!H102+'8. Satunnaiset erät'!H102+'9. Tulorahkorjauserät'!H102</f>
        <v>3864.6066954614871</v>
      </c>
      <c r="I102" s="41">
        <f>Vuosikate!I102+'7. Nettoinvestoinnit '!I102+'8. Satunnaiset erät'!I102+'9. Tulorahkorjauserät'!I102</f>
        <v>5460.1253545661302</v>
      </c>
      <c r="J102" s="41">
        <f>Vuosikate!J102+'7. Nettoinvestoinnit '!J102+'8. Satunnaiset erät'!J102+'9. Tulorahkorjauserät'!J102</f>
        <v>2642.2312549692228</v>
      </c>
      <c r="K102" s="41">
        <f>Vuosikate!K102+'7. Nettoinvestoinnit '!K102+'8. Satunnaiset erät'!K102+'9. Tulorahkorjauserät'!K102</f>
        <v>5032.5408290918103</v>
      </c>
      <c r="L102" s="41">
        <f>Vuosikate!L102+'7. Nettoinvestoinnit '!L102+'8. Satunnaiset erät'!L102+'9. Tulorahkorjauserät'!L102</f>
        <v>243.40995681838831</v>
      </c>
      <c r="M102" s="41">
        <f>Vuosikate!M102+'7. Nettoinvestoinnit '!M102+'8. Satunnaiset erät'!M102+'9. Tulorahkorjauserät'!M102</f>
        <v>279.32943055265514</v>
      </c>
      <c r="N102" s="41">
        <f>Vuosikate!N102+'7. Nettoinvestoinnit '!N102+'8. Satunnaiset erät'!N102+'9. Tulorahkorjauserät'!N102</f>
        <v>74.360084263421413</v>
      </c>
      <c r="O102" s="41">
        <f>Vuosikate!O102+'7. Nettoinvestoinnit '!O102+'8. Satunnaiset erät'!O102+'9. Tulorahkorjauserät'!O102</f>
        <v>-234.95878006569274</v>
      </c>
      <c r="P102" s="41">
        <f>Vuosikate!P102+'7. Nettoinvestoinnit '!P102+'8. Satunnaiset erät'!P102+'9. Tulorahkorjauserät'!P102</f>
        <v>1399.0982358497995</v>
      </c>
      <c r="T102" s="34">
        <v>260</v>
      </c>
      <c r="U102" s="88" t="s">
        <v>416</v>
      </c>
      <c r="V102" s="41" t="e">
        <f>C102/'1. Väestöennuste'!E102*1000</f>
        <v>#REF!</v>
      </c>
      <c r="W102" s="41">
        <f>D102/'1. Väestöennuste'!F102*1000</f>
        <v>553.87629443045057</v>
      </c>
      <c r="X102" s="41">
        <f>E102/'1. Väestöennuste'!G102*1000</f>
        <v>902.91817661644086</v>
      </c>
      <c r="Y102" s="41">
        <f>F102/'1. Väestöennuste'!H102*1000</f>
        <v>346.3023749758641</v>
      </c>
      <c r="Z102" s="41">
        <f>G102/'1. Väestöennuste'!I102*1000</f>
        <v>248.22415153906866</v>
      </c>
      <c r="AA102" s="41">
        <f>H102/'1. Väestöennuste'!J102*1000</f>
        <v>389.06742126864867</v>
      </c>
      <c r="AB102" s="41">
        <f>I102/'1. Väestöennuste'!K102*1000</f>
        <v>552.8121245890585</v>
      </c>
      <c r="AC102" s="41">
        <f>J102/'1. Väestöennuste'!L102*1000</f>
        <v>271.63886655384215</v>
      </c>
      <c r="AD102" s="41">
        <f>K102/'1. Väestöennuste'!M102*1000</f>
        <v>519.40766117161843</v>
      </c>
      <c r="AE102" s="41">
        <f>L102/'1. Väestöennuste'!N102*1000</f>
        <v>26.337368190693393</v>
      </c>
      <c r="AF102" s="41">
        <f>M102/'1. Väestöennuste'!O102*1000</f>
        <v>30.722550654713501</v>
      </c>
      <c r="AG102" s="41">
        <f>N102/'1. Väestöennuste'!P102*1000</f>
        <v>8.3102463414641718</v>
      </c>
      <c r="AH102" s="41">
        <f>O102/'1. Väestöennuste'!Q102*1000</f>
        <v>-26.660476576159393</v>
      </c>
      <c r="AI102" s="41">
        <f>P102/'1. Väestöennuste'!R102*1000</f>
        <v>161.1121874539152</v>
      </c>
    </row>
    <row r="103" spans="1:35" x14ac:dyDescent="0.2">
      <c r="A103" s="34">
        <v>261</v>
      </c>
      <c r="B103" s="88" t="s">
        <v>417</v>
      </c>
      <c r="C103" s="41" t="e">
        <f>Vuosikate!C103+'7. Nettoinvestoinnit '!C103+'8. Satunnaiset erät'!C103+'9. Tulorahkorjauserät'!C103</f>
        <v>#REF!</v>
      </c>
      <c r="D103" s="41">
        <f>Vuosikate!D103+'7. Nettoinvestoinnit '!D103+'8. Satunnaiset erät'!D103+'9. Tulorahkorjauserät'!D103</f>
        <v>4252</v>
      </c>
      <c r="E103" s="41">
        <f>Vuosikate!E103+'7. Nettoinvestoinnit '!E103+'8. Satunnaiset erät'!E103+'9. Tulorahkorjauserät'!E103</f>
        <v>5193</v>
      </c>
      <c r="F103" s="41">
        <f>Vuosikate!F103+'7. Nettoinvestoinnit '!F103+'8. Satunnaiset erät'!F103+'9. Tulorahkorjauserät'!F103</f>
        <v>2458</v>
      </c>
      <c r="G103" s="41">
        <f>Vuosikate!G103+'7. Nettoinvestoinnit '!G103+'8. Satunnaiset erät'!G103+'9. Tulorahkorjauserät'!G103</f>
        <v>1760</v>
      </c>
      <c r="H103" s="41">
        <f>Vuosikate!H103+'7. Nettoinvestoinnit '!H103+'8. Satunnaiset erät'!H103+'9. Tulorahkorjauserät'!H103</f>
        <v>4366.4184455986724</v>
      </c>
      <c r="I103" s="41">
        <f>Vuosikate!I103+'7. Nettoinvestoinnit '!I103+'8. Satunnaiset erät'!I103+'9. Tulorahkorjauserät'!I103</f>
        <v>8008.7226050163717</v>
      </c>
      <c r="J103" s="41">
        <f>Vuosikate!J103+'7. Nettoinvestoinnit '!J103+'8. Satunnaiset erät'!J103+'9. Tulorahkorjauserät'!J103</f>
        <v>6778.7413949427691</v>
      </c>
      <c r="K103" s="41">
        <f>Vuosikate!K103+'7. Nettoinvestoinnit '!K103+'8. Satunnaiset erät'!K103+'9. Tulorahkorjauserät'!K103</f>
        <v>-624.61702265966142</v>
      </c>
      <c r="L103" s="41">
        <f>Vuosikate!L103+'7. Nettoinvestoinnit '!L103+'8. Satunnaiset erät'!L103+'9. Tulorahkorjauserät'!L103</f>
        <v>2900.3323362188294</v>
      </c>
      <c r="M103" s="41">
        <f>Vuosikate!M103+'7. Nettoinvestoinnit '!M103+'8. Satunnaiset erät'!M103+'9. Tulorahkorjauserät'!M103</f>
        <v>1484.2701948165995</v>
      </c>
      <c r="N103" s="41">
        <f>Vuosikate!N103+'7. Nettoinvestoinnit '!N103+'8. Satunnaiset erät'!N103+'9. Tulorahkorjauserät'!N103</f>
        <v>497.1433735650553</v>
      </c>
      <c r="O103" s="41">
        <f>Vuosikate!O103+'7. Nettoinvestoinnit '!O103+'8. Satunnaiset erät'!O103+'9. Tulorahkorjauserät'!O103</f>
        <v>675.90242516673061</v>
      </c>
      <c r="P103" s="41">
        <f>Vuosikate!P103+'7. Nettoinvestoinnit '!P103+'8. Satunnaiset erät'!P103+'9. Tulorahkorjauserät'!P103</f>
        <v>887.12191815365077</v>
      </c>
      <c r="T103" s="34">
        <v>261</v>
      </c>
      <c r="U103" s="88" t="s">
        <v>417</v>
      </c>
      <c r="V103" s="41" t="e">
        <f>C103/'1. Väestöennuste'!E103*1000</f>
        <v>#REF!</v>
      </c>
      <c r="W103" s="41">
        <f>D103/'1. Väestöennuste'!F103*1000</f>
        <v>666.14444618517939</v>
      </c>
      <c r="X103" s="41">
        <f>E103/'1. Väestöennuste'!G103*1000</f>
        <v>808.75253075844887</v>
      </c>
      <c r="Y103" s="41">
        <f>F103/'1. Väestöennuste'!H103*1000</f>
        <v>381.91423244251087</v>
      </c>
      <c r="Z103" s="41">
        <f>G103/'1. Väestöennuste'!I103*1000</f>
        <v>272.7413606074694</v>
      </c>
      <c r="AA103" s="41">
        <f>H103/'1. Väestöennuste'!J103*1000</f>
        <v>678.43667582328658</v>
      </c>
      <c r="AB103" s="41">
        <f>I103/'1. Väestöennuste'!K103*1000</f>
        <v>1227.7667645280351</v>
      </c>
      <c r="AC103" s="41">
        <f>J103/'1. Väestöennuste'!L103*1000</f>
        <v>1021.3562445295721</v>
      </c>
      <c r="AD103" s="41">
        <f>K103/'1. Väestöennuste'!M103*1000</f>
        <v>-91.559223491595048</v>
      </c>
      <c r="AE103" s="41">
        <f>L103/'1. Väestöennuste'!N103*1000</f>
        <v>452.8231594408789</v>
      </c>
      <c r="AF103" s="41">
        <f>M103/'1. Väestöennuste'!O103*1000</f>
        <v>232.17115514102917</v>
      </c>
      <c r="AG103" s="41">
        <f>N103/'1. Väestöennuste'!P103*1000</f>
        <v>77.934374285163088</v>
      </c>
      <c r="AH103" s="41">
        <f>O103/'1. Väestöennuste'!Q103*1000</f>
        <v>106.19048313695689</v>
      </c>
      <c r="AI103" s="41">
        <f>P103/'1. Väestöennuste'!R103*1000</f>
        <v>139.63826824392424</v>
      </c>
    </row>
    <row r="104" spans="1:35" x14ac:dyDescent="0.2">
      <c r="A104" s="34">
        <v>263</v>
      </c>
      <c r="B104" s="88" t="s">
        <v>418</v>
      </c>
      <c r="C104" s="41" t="e">
        <f>Vuosikate!C104+'7. Nettoinvestoinnit '!C104+'8. Satunnaiset erät'!C104+'9. Tulorahkorjauserät'!C104</f>
        <v>#REF!</v>
      </c>
      <c r="D104" s="41">
        <f>Vuosikate!D104+'7. Nettoinvestoinnit '!D104+'8. Satunnaiset erät'!D104+'9. Tulorahkorjauserät'!D104</f>
        <v>-157</v>
      </c>
      <c r="E104" s="41">
        <f>Vuosikate!E104+'7. Nettoinvestoinnit '!E104+'8. Satunnaiset erät'!E104+'9. Tulorahkorjauserät'!E104</f>
        <v>363</v>
      </c>
      <c r="F104" s="41">
        <f>Vuosikate!F104+'7. Nettoinvestoinnit '!F104+'8. Satunnaiset erät'!F104+'9. Tulorahkorjauserät'!F104</f>
        <v>-1913</v>
      </c>
      <c r="G104" s="41">
        <f>Vuosikate!G104+'7. Nettoinvestoinnit '!G104+'8. Satunnaiset erät'!G104+'9. Tulorahkorjauserät'!G104</f>
        <v>-2437</v>
      </c>
      <c r="H104" s="41">
        <f>Vuosikate!H104+'7. Nettoinvestoinnit '!H104+'8. Satunnaiset erät'!H104+'9. Tulorahkorjauserät'!H104</f>
        <v>3809.1303291700096</v>
      </c>
      <c r="I104" s="41">
        <f>Vuosikate!I104+'7. Nettoinvestoinnit '!I104+'8. Satunnaiset erät'!I104+'9. Tulorahkorjauserät'!I104</f>
        <v>642.3615878515493</v>
      </c>
      <c r="J104" s="41">
        <f>Vuosikate!J104+'7. Nettoinvestoinnit '!J104+'8. Satunnaiset erät'!J104+'9. Tulorahkorjauserät'!J104</f>
        <v>3300.3150138687197</v>
      </c>
      <c r="K104" s="41">
        <f>Vuosikate!K104+'7. Nettoinvestoinnit '!K104+'8. Satunnaiset erät'!K104+'9. Tulorahkorjauserät'!K104</f>
        <v>4878.8554754447996</v>
      </c>
      <c r="L104" s="41">
        <f>Vuosikate!L104+'7. Nettoinvestoinnit '!L104+'8. Satunnaiset erät'!L104+'9. Tulorahkorjauserät'!L104</f>
        <v>1874.7035329363155</v>
      </c>
      <c r="M104" s="41">
        <f>Vuosikate!M104+'7. Nettoinvestoinnit '!M104+'8. Satunnaiset erät'!M104+'9. Tulorahkorjauserät'!M104</f>
        <v>-206.68208937204736</v>
      </c>
      <c r="N104" s="41">
        <f>Vuosikate!N104+'7. Nettoinvestoinnit '!N104+'8. Satunnaiset erät'!N104+'9. Tulorahkorjauserät'!N104</f>
        <v>-163.81931308713001</v>
      </c>
      <c r="O104" s="41">
        <f>Vuosikate!O104+'7. Nettoinvestoinnit '!O104+'8. Satunnaiset erät'!O104+'9. Tulorahkorjauserät'!O104</f>
        <v>-336.09001638966856</v>
      </c>
      <c r="P104" s="41">
        <f>Vuosikate!P104+'7. Nettoinvestoinnit '!P104+'8. Satunnaiset erät'!P104+'9. Tulorahkorjauserät'!P104</f>
        <v>842.46044828752156</v>
      </c>
      <c r="T104" s="34">
        <v>263</v>
      </c>
      <c r="U104" s="88" t="s">
        <v>418</v>
      </c>
      <c r="V104" s="41" t="e">
        <f>C104/'1. Väestöennuste'!E104*1000</f>
        <v>#REF!</v>
      </c>
      <c r="W104" s="41">
        <f>D104/'1. Väestöennuste'!F104*1000</f>
        <v>-18.593083846518237</v>
      </c>
      <c r="X104" s="41">
        <f>E104/'1. Väestöennuste'!G104*1000</f>
        <v>43.824701195219127</v>
      </c>
      <c r="Y104" s="41">
        <f>F104/'1. Väestöennuste'!H104*1000</f>
        <v>-234.63755672758492</v>
      </c>
      <c r="Z104" s="41">
        <f>G104/'1. Väestöennuste'!I104*1000</f>
        <v>-304.70117529382344</v>
      </c>
      <c r="AA104" s="41">
        <f>H104/'1. Väestöennuste'!J104*1000</f>
        <v>484.99240249172522</v>
      </c>
      <c r="AB104" s="41">
        <f>I104/'1. Väestöennuste'!K104*1000</f>
        <v>82.789223849922593</v>
      </c>
      <c r="AC104" s="41">
        <f>J104/'1. Väestöennuste'!L104*1000</f>
        <v>434.42345845316834</v>
      </c>
      <c r="AD104" s="41">
        <f>K104/'1. Väestöennuste'!M104*1000</f>
        <v>652.68969571167895</v>
      </c>
      <c r="AE104" s="41">
        <f>L104/'1. Väestöennuste'!N104*1000</f>
        <v>255.72275718678426</v>
      </c>
      <c r="AF104" s="41">
        <f>M104/'1. Väestöennuste'!O104*1000</f>
        <v>-28.646166233131996</v>
      </c>
      <c r="AG104" s="41">
        <f>N104/'1. Väestöennuste'!P104*1000</f>
        <v>-23.066645041837514</v>
      </c>
      <c r="AH104" s="41">
        <f>O104/'1. Väestöennuste'!Q104*1000</f>
        <v>-48.054048668811632</v>
      </c>
      <c r="AI104" s="41">
        <f>P104/'1. Väestöennuste'!R104*1000</f>
        <v>122.25518042193028</v>
      </c>
    </row>
    <row r="105" spans="1:35" x14ac:dyDescent="0.2">
      <c r="A105" s="34">
        <v>265</v>
      </c>
      <c r="B105" s="88" t="s">
        <v>419</v>
      </c>
      <c r="C105" s="41" t="e">
        <f>Vuosikate!C105+'7. Nettoinvestoinnit '!C105+'8. Satunnaiset erät'!C105+'9. Tulorahkorjauserät'!C105</f>
        <v>#REF!</v>
      </c>
      <c r="D105" s="41">
        <f>Vuosikate!D105+'7. Nettoinvestoinnit '!D105+'8. Satunnaiset erät'!D105+'9. Tulorahkorjauserät'!D105</f>
        <v>94</v>
      </c>
      <c r="E105" s="41">
        <f>Vuosikate!E105+'7. Nettoinvestoinnit '!E105+'8. Satunnaiset erät'!E105+'9. Tulorahkorjauserät'!E105</f>
        <v>671</v>
      </c>
      <c r="F105" s="41">
        <f>Vuosikate!F105+'7. Nettoinvestoinnit '!F105+'8. Satunnaiset erät'!F105+'9. Tulorahkorjauserät'!F105</f>
        <v>-313</v>
      </c>
      <c r="G105" s="41">
        <f>Vuosikate!G105+'7. Nettoinvestoinnit '!G105+'8. Satunnaiset erät'!G105+'9. Tulorahkorjauserät'!G105</f>
        <v>4</v>
      </c>
      <c r="H105" s="41">
        <f>Vuosikate!H105+'7. Nettoinvestoinnit '!H105+'8. Satunnaiset erät'!H105+'9. Tulorahkorjauserät'!H105</f>
        <v>-604.16124242204387</v>
      </c>
      <c r="I105" s="41">
        <f>Vuosikate!I105+'7. Nettoinvestoinnit '!I105+'8. Satunnaiset erät'!I105+'9. Tulorahkorjauserät'!I105</f>
        <v>806.87515580600598</v>
      </c>
      <c r="J105" s="41">
        <f>Vuosikate!J105+'7. Nettoinvestoinnit '!J105+'8. Satunnaiset erät'!J105+'9. Tulorahkorjauserät'!J105</f>
        <v>1686.6746147221902</v>
      </c>
      <c r="K105" s="41">
        <f>Vuosikate!K105+'7. Nettoinvestoinnit '!K105+'8. Satunnaiset erät'!K105+'9. Tulorahkorjauserät'!K105</f>
        <v>1228.876592949613</v>
      </c>
      <c r="L105" s="41">
        <f>Vuosikate!L105+'7. Nettoinvestoinnit '!L105+'8. Satunnaiset erät'!L105+'9. Tulorahkorjauserät'!L105</f>
        <v>890.4009148203719</v>
      </c>
      <c r="M105" s="41">
        <f>Vuosikate!M105+'7. Nettoinvestoinnit '!M105+'8. Satunnaiset erät'!M105+'9. Tulorahkorjauserät'!M105</f>
        <v>1000.5129819338388</v>
      </c>
      <c r="N105" s="41">
        <f>Vuosikate!N105+'7. Nettoinvestoinnit '!N105+'8. Satunnaiset erät'!N105+'9. Tulorahkorjauserät'!N105</f>
        <v>791.08737299731342</v>
      </c>
      <c r="O105" s="41">
        <f>Vuosikate!O105+'7. Nettoinvestoinnit '!O105+'8. Satunnaiset erät'!O105+'9. Tulorahkorjauserät'!O105</f>
        <v>724.66233229611157</v>
      </c>
      <c r="P105" s="41">
        <f>Vuosikate!P105+'7. Nettoinvestoinnit '!P105+'8. Satunnaiset erät'!P105+'9. Tulorahkorjauserät'!P105</f>
        <v>825.62059207223706</v>
      </c>
      <c r="T105" s="34">
        <v>265</v>
      </c>
      <c r="U105" s="88" t="s">
        <v>419</v>
      </c>
      <c r="V105" s="41" t="e">
        <f>C105/'1. Väestöennuste'!E105*1000</f>
        <v>#REF!</v>
      </c>
      <c r="W105" s="41">
        <f>D105/'1. Väestöennuste'!F105*1000</f>
        <v>80.96468561584841</v>
      </c>
      <c r="X105" s="41">
        <f>E105/'1. Väestöennuste'!G105*1000</f>
        <v>592.75618374558303</v>
      </c>
      <c r="Y105" s="41">
        <f>F105/'1. Väestöennuste'!H105*1000</f>
        <v>-283.77153218495016</v>
      </c>
      <c r="Z105" s="41">
        <f>G105/'1. Väestöennuste'!I105*1000</f>
        <v>3.6496350364963503</v>
      </c>
      <c r="AA105" s="41">
        <f>H105/'1. Väestöennuste'!J105*1000</f>
        <v>-545.7644466323793</v>
      </c>
      <c r="AB105" s="41">
        <f>I105/'1. Väestöennuste'!K105*1000</f>
        <v>741.61319467463784</v>
      </c>
      <c r="AC105" s="41">
        <f>J105/'1. Väestöennuste'!L105*1000</f>
        <v>1585.2205025584494</v>
      </c>
      <c r="AD105" s="41">
        <f>K105/'1. Väestöennuste'!M105*1000</f>
        <v>1187.3203796614621</v>
      </c>
      <c r="AE105" s="41">
        <f>L105/'1. Väestöennuste'!N105*1000</f>
        <v>850.43067318087094</v>
      </c>
      <c r="AF105" s="41">
        <f>M105/'1. Väestöennuste'!O105*1000</f>
        <v>969.48932357930119</v>
      </c>
      <c r="AG105" s="41">
        <f>N105/'1. Väestöennuste'!P105*1000</f>
        <v>777.86369026284513</v>
      </c>
      <c r="AH105" s="41">
        <f>O105/'1. Väestöennuste'!Q105*1000</f>
        <v>722.49484775285305</v>
      </c>
      <c r="AI105" s="41">
        <f>P105/'1. Väestöennuste'!R105*1000</f>
        <v>834.80342980003752</v>
      </c>
    </row>
    <row r="106" spans="1:35" x14ac:dyDescent="0.2">
      <c r="A106" s="34">
        <v>271</v>
      </c>
      <c r="B106" s="88" t="s">
        <v>420</v>
      </c>
      <c r="C106" s="41" t="e">
        <f>Vuosikate!C106+'7. Nettoinvestoinnit '!C106+'8. Satunnaiset erät'!C106+'9. Tulorahkorjauserät'!C106</f>
        <v>#REF!</v>
      </c>
      <c r="D106" s="41">
        <f>Vuosikate!D106+'7. Nettoinvestoinnit '!D106+'8. Satunnaiset erät'!D106+'9. Tulorahkorjauserät'!D106</f>
        <v>-1708</v>
      </c>
      <c r="E106" s="41">
        <f>Vuosikate!E106+'7. Nettoinvestoinnit '!E106+'8. Satunnaiset erät'!E106+'9. Tulorahkorjauserät'!E106</f>
        <v>621</v>
      </c>
      <c r="F106" s="41">
        <f>Vuosikate!F106+'7. Nettoinvestoinnit '!F106+'8. Satunnaiset erät'!F106+'9. Tulorahkorjauserät'!F106</f>
        <v>-81</v>
      </c>
      <c r="G106" s="41">
        <f>Vuosikate!G106+'7. Nettoinvestoinnit '!G106+'8. Satunnaiset erät'!G106+'9. Tulorahkorjauserät'!G106</f>
        <v>-1632</v>
      </c>
      <c r="H106" s="41">
        <f>Vuosikate!H106+'7. Nettoinvestoinnit '!H106+'8. Satunnaiset erät'!H106+'9. Tulorahkorjauserät'!H106</f>
        <v>840.57805972396091</v>
      </c>
      <c r="I106" s="41">
        <f>Vuosikate!I106+'7. Nettoinvestoinnit '!I106+'8. Satunnaiset erät'!I106+'9. Tulorahkorjauserät'!I106</f>
        <v>-763.65537347382258</v>
      </c>
      <c r="J106" s="41">
        <f>Vuosikate!J106+'7. Nettoinvestoinnit '!J106+'8. Satunnaiset erät'!J106+'9. Tulorahkorjauserät'!J106</f>
        <v>1189.5182699419604</v>
      </c>
      <c r="K106" s="41">
        <f>Vuosikate!K106+'7. Nettoinvestoinnit '!K106+'8. Satunnaiset erät'!K106+'9. Tulorahkorjauserät'!K106</f>
        <v>2167.8720352185569</v>
      </c>
      <c r="L106" s="41">
        <f>Vuosikate!L106+'7. Nettoinvestoinnit '!L106+'8. Satunnaiset erät'!L106+'9. Tulorahkorjauserät'!L106</f>
        <v>-1695.19074761203</v>
      </c>
      <c r="M106" s="41">
        <f>Vuosikate!M106+'7. Nettoinvestoinnit '!M106+'8. Satunnaiset erät'!M106+'9. Tulorahkorjauserät'!M106</f>
        <v>-2772.8870230395837</v>
      </c>
      <c r="N106" s="41">
        <f>Vuosikate!N106+'7. Nettoinvestoinnit '!N106+'8. Satunnaiset erät'!N106+'9. Tulorahkorjauserät'!N106</f>
        <v>-2942.6546692130278</v>
      </c>
      <c r="O106" s="41">
        <f>Vuosikate!O106+'7. Nettoinvestoinnit '!O106+'8. Satunnaiset erät'!O106+'9. Tulorahkorjauserät'!O106</f>
        <v>-2841.5182669029791</v>
      </c>
      <c r="P106" s="41">
        <f>Vuosikate!P106+'7. Nettoinvestoinnit '!P106+'8. Satunnaiset erät'!P106+'9. Tulorahkorjauserät'!P106</f>
        <v>-2132.6516371880316</v>
      </c>
      <c r="T106" s="34">
        <v>271</v>
      </c>
      <c r="U106" s="88" t="s">
        <v>420</v>
      </c>
      <c r="V106" s="41" t="e">
        <f>C106/'1. Väestöennuste'!E106*1000</f>
        <v>#REF!</v>
      </c>
      <c r="W106" s="41">
        <f>D106/'1. Väestöennuste'!F106*1000</f>
        <v>-227.79407842091223</v>
      </c>
      <c r="X106" s="41">
        <f>E106/'1. Väestöennuste'!G106*1000</f>
        <v>84.134941064896353</v>
      </c>
      <c r="Y106" s="41">
        <f>F106/'1. Väestöennuste'!H106*1000</f>
        <v>-11.209521173539995</v>
      </c>
      <c r="Z106" s="41">
        <f>G106/'1. Väestöennuste'!I106*1000</f>
        <v>-229.76207236378994</v>
      </c>
      <c r="AA106" s="41">
        <f>H106/'1. Väestöennuste'!J106*1000</f>
        <v>119.85998284955953</v>
      </c>
      <c r="AB106" s="41">
        <f>I106/'1. Väestöennuste'!K106*1000</f>
        <v>-109.86266342595636</v>
      </c>
      <c r="AC106" s="41">
        <f>J106/'1. Väestöennuste'!L106*1000</f>
        <v>172.3190308477416</v>
      </c>
      <c r="AD106" s="41">
        <f>K106/'1. Väestöennuste'!M106*1000</f>
        <v>320.40674478547987</v>
      </c>
      <c r="AE106" s="41">
        <f>L106/'1. Väestöennuste'!N106*1000</f>
        <v>-255.5307126337097</v>
      </c>
      <c r="AF106" s="41">
        <f>M106/'1. Väestöennuste'!O106*1000</f>
        <v>-423.34153023505093</v>
      </c>
      <c r="AG106" s="41">
        <f>N106/'1. Väestöennuste'!P106*1000</f>
        <v>-454.60445994330723</v>
      </c>
      <c r="AH106" s="41">
        <f>O106/'1. Väestöennuste'!Q106*1000</f>
        <v>-443.84852653904704</v>
      </c>
      <c r="AI106" s="41">
        <f>P106/'1. Väestöennuste'!R106*1000</f>
        <v>-336.69902702684431</v>
      </c>
    </row>
    <row r="107" spans="1:35" x14ac:dyDescent="0.2">
      <c r="A107" s="34">
        <v>272</v>
      </c>
      <c r="B107" s="88" t="s">
        <v>421</v>
      </c>
      <c r="C107" s="41" t="e">
        <f>Vuosikate!C107+'7. Nettoinvestoinnit '!C107+'8. Satunnaiset erät'!C107+'9. Tulorahkorjauserät'!C107</f>
        <v>#REF!</v>
      </c>
      <c r="D107" s="41">
        <f>Vuosikate!D107+'7. Nettoinvestoinnit '!D107+'8. Satunnaiset erät'!D107+'9. Tulorahkorjauserät'!D107</f>
        <v>-8987</v>
      </c>
      <c r="E107" s="41">
        <f>Vuosikate!E107+'7. Nettoinvestoinnit '!E107+'8. Satunnaiset erät'!E107+'9. Tulorahkorjauserät'!E107</f>
        <v>29025</v>
      </c>
      <c r="F107" s="41">
        <f>Vuosikate!F107+'7. Nettoinvestoinnit '!F107+'8. Satunnaiset erät'!F107+'9. Tulorahkorjauserät'!F107</f>
        <v>-3961</v>
      </c>
      <c r="G107" s="41">
        <f>Vuosikate!G107+'7. Nettoinvestoinnit '!G107+'8. Satunnaiset erät'!G107+'9. Tulorahkorjauserät'!G107</f>
        <v>-9714</v>
      </c>
      <c r="H107" s="41">
        <f>Vuosikate!H107+'7. Nettoinvestoinnit '!H107+'8. Satunnaiset erät'!H107+'9. Tulorahkorjauserät'!H107</f>
        <v>12767.647559847726</v>
      </c>
      <c r="I107" s="41">
        <f>Vuosikate!I107+'7. Nettoinvestoinnit '!I107+'8. Satunnaiset erät'!I107+'9. Tulorahkorjauserät'!I107</f>
        <v>-9330.794520504478</v>
      </c>
      <c r="J107" s="41">
        <f>Vuosikate!J107+'7. Nettoinvestoinnit '!J107+'8. Satunnaiset erät'!J107+'9. Tulorahkorjauserät'!J107</f>
        <v>7021.1016471103712</v>
      </c>
      <c r="K107" s="41">
        <f>Vuosikate!K107+'7. Nettoinvestoinnit '!K107+'8. Satunnaiset erät'!K107+'9. Tulorahkorjauserät'!K107</f>
        <v>2408.0114220335786</v>
      </c>
      <c r="L107" s="41">
        <f>Vuosikate!L107+'7. Nettoinvestoinnit '!L107+'8. Satunnaiset erät'!L107+'9. Tulorahkorjauserät'!L107</f>
        <v>-19828.159139324653</v>
      </c>
      <c r="M107" s="41">
        <f>Vuosikate!M107+'7. Nettoinvestoinnit '!M107+'8. Satunnaiset erät'!M107+'9. Tulorahkorjauserät'!M107</f>
        <v>-26355.831040053443</v>
      </c>
      <c r="N107" s="41">
        <f>Vuosikate!N107+'7. Nettoinvestoinnit '!N107+'8. Satunnaiset erät'!N107+'9. Tulorahkorjauserät'!N107</f>
        <v>-24858.216743012992</v>
      </c>
      <c r="O107" s="41">
        <f>Vuosikate!O107+'7. Nettoinvestoinnit '!O107+'8. Satunnaiset erät'!O107+'9. Tulorahkorjauserät'!O107</f>
        <v>-24734.054378380883</v>
      </c>
      <c r="P107" s="41">
        <f>Vuosikate!P107+'7. Nettoinvestoinnit '!P107+'8. Satunnaiset erät'!P107+'9. Tulorahkorjauserät'!P107</f>
        <v>-22103.405234874437</v>
      </c>
      <c r="T107" s="34">
        <v>272</v>
      </c>
      <c r="U107" s="88" t="s">
        <v>421</v>
      </c>
      <c r="V107" s="41" t="e">
        <f>C107/'1. Väestöennuste'!E107*1000</f>
        <v>#REF!</v>
      </c>
      <c r="W107" s="41">
        <f>D107/'1. Väestöennuste'!F107*1000</f>
        <v>-188.31590637638035</v>
      </c>
      <c r="X107" s="41">
        <f>E107/'1. Väestöennuste'!G107*1000</f>
        <v>608.1973052825681</v>
      </c>
      <c r="Y107" s="41">
        <f>F107/'1. Väestöennuste'!H107*1000</f>
        <v>-83.114757538242017</v>
      </c>
      <c r="Z107" s="41">
        <f>G107/'1. Väestöennuste'!I107*1000</f>
        <v>-203.72894863782221</v>
      </c>
      <c r="AA107" s="41">
        <f>H107/'1. Väestöennuste'!J107*1000</f>
        <v>267.26215272225835</v>
      </c>
      <c r="AB107" s="41">
        <f>I107/'1. Väestöennuste'!K107*1000</f>
        <v>-194.76078650158587</v>
      </c>
      <c r="AC107" s="41">
        <f>J107/'1. Väestöennuste'!L107*1000</f>
        <v>146.2546691478226</v>
      </c>
      <c r="AD107" s="41">
        <f>K107/'1. Väestöennuste'!M107*1000</f>
        <v>49.860470484182187</v>
      </c>
      <c r="AE107" s="41">
        <f>L107/'1. Väestöennuste'!N107*1000</f>
        <v>-414.07006514063926</v>
      </c>
      <c r="AF107" s="41">
        <f>M107/'1. Väestöennuste'!O107*1000</f>
        <v>-550.54794117758695</v>
      </c>
      <c r="AG107" s="41">
        <f>N107/'1. Väestöennuste'!P107*1000</f>
        <v>-519.57897169937075</v>
      </c>
      <c r="AH107" s="41">
        <f>O107/'1. Väestöennuste'!Q107*1000</f>
        <v>-517.41636253751608</v>
      </c>
      <c r="AI107" s="41">
        <f>P107/'1. Väestöennuste'!R107*1000</f>
        <v>-462.91792818284404</v>
      </c>
    </row>
    <row r="108" spans="1:35" x14ac:dyDescent="0.2">
      <c r="A108" s="34">
        <v>273</v>
      </c>
      <c r="B108" s="88" t="s">
        <v>422</v>
      </c>
      <c r="C108" s="41" t="e">
        <f>Vuosikate!C108+'7. Nettoinvestoinnit '!C108+'8. Satunnaiset erät'!C108+'9. Tulorahkorjauserät'!C108</f>
        <v>#REF!</v>
      </c>
      <c r="D108" s="41">
        <f>Vuosikate!D108+'7. Nettoinvestoinnit '!D108+'8. Satunnaiset erät'!D108+'9. Tulorahkorjauserät'!D108</f>
        <v>1181</v>
      </c>
      <c r="E108" s="41">
        <f>Vuosikate!E108+'7. Nettoinvestoinnit '!E108+'8. Satunnaiset erät'!E108+'9. Tulorahkorjauserät'!E108</f>
        <v>1910</v>
      </c>
      <c r="F108" s="41">
        <f>Vuosikate!F108+'7. Nettoinvestoinnit '!F108+'8. Satunnaiset erät'!F108+'9. Tulorahkorjauserät'!F108</f>
        <v>1003</v>
      </c>
      <c r="G108" s="41">
        <f>Vuosikate!G108+'7. Nettoinvestoinnit '!G108+'8. Satunnaiset erät'!G108+'9. Tulorahkorjauserät'!G108</f>
        <v>1910</v>
      </c>
      <c r="H108" s="41">
        <f>Vuosikate!H108+'7. Nettoinvestoinnit '!H108+'8. Satunnaiset erät'!H108+'9. Tulorahkorjauserät'!H108</f>
        <v>1693.2505391636259</v>
      </c>
      <c r="I108" s="41">
        <f>Vuosikate!I108+'7. Nettoinvestoinnit '!I108+'8. Satunnaiset erät'!I108+'9. Tulorahkorjauserät'!I108</f>
        <v>1208.0321370158736</v>
      </c>
      <c r="J108" s="41">
        <f>Vuosikate!J108+'7. Nettoinvestoinnit '!J108+'8. Satunnaiset erät'!J108+'9. Tulorahkorjauserät'!J108</f>
        <v>2871.6849444489144</v>
      </c>
      <c r="K108" s="41">
        <f>Vuosikate!K108+'7. Nettoinvestoinnit '!K108+'8. Satunnaiset erät'!K108+'9. Tulorahkorjauserät'!K108</f>
        <v>2625.4933368798934</v>
      </c>
      <c r="L108" s="41">
        <f>Vuosikate!L108+'7. Nettoinvestoinnit '!L108+'8. Satunnaiset erät'!L108+'9. Tulorahkorjauserät'!L108</f>
        <v>2140.0465660610344</v>
      </c>
      <c r="M108" s="41">
        <f>Vuosikate!M108+'7. Nettoinvestoinnit '!M108+'8. Satunnaiset erät'!M108+'9. Tulorahkorjauserät'!M108</f>
        <v>1542.5315793181737</v>
      </c>
      <c r="N108" s="41">
        <f>Vuosikate!N108+'7. Nettoinvestoinnit '!N108+'8. Satunnaiset erät'!N108+'9. Tulorahkorjauserät'!N108</f>
        <v>1052.8533828812153</v>
      </c>
      <c r="O108" s="41">
        <f>Vuosikate!O108+'7. Nettoinvestoinnit '!O108+'8. Satunnaiset erät'!O108+'9. Tulorahkorjauserät'!O108</f>
        <v>839.16746421831999</v>
      </c>
      <c r="P108" s="41">
        <f>Vuosikate!P108+'7. Nettoinvestoinnit '!P108+'8. Satunnaiset erät'!P108+'9. Tulorahkorjauserät'!P108</f>
        <v>1081.881633945444</v>
      </c>
      <c r="T108" s="34">
        <v>273</v>
      </c>
      <c r="U108" s="88" t="s">
        <v>422</v>
      </c>
      <c r="V108" s="41" t="e">
        <f>C108/'1. Väestöennuste'!E108*1000</f>
        <v>#REF!</v>
      </c>
      <c r="W108" s="41">
        <f>D108/'1. Väestöennuste'!F108*1000</f>
        <v>308.59681212437937</v>
      </c>
      <c r="X108" s="41">
        <f>E108/'1. Väestöennuste'!G108*1000</f>
        <v>495.58899844317597</v>
      </c>
      <c r="Y108" s="41">
        <f>F108/'1. Väestöennuste'!H108*1000</f>
        <v>261.60667709963485</v>
      </c>
      <c r="Z108" s="41">
        <f>G108/'1. Väestöennuste'!I108*1000</f>
        <v>496.61986479459182</v>
      </c>
      <c r="AA108" s="41">
        <f>H108/'1. Väestöennuste'!J108*1000</f>
        <v>431.40141125187921</v>
      </c>
      <c r="AB108" s="41">
        <f>I108/'1. Väestöennuste'!K108*1000</f>
        <v>302.84084658206905</v>
      </c>
      <c r="AC108" s="41">
        <f>J108/'1. Väestöennuste'!L108*1000</f>
        <v>718.10076130255425</v>
      </c>
      <c r="AD108" s="41">
        <f>K108/'1. Väestöennuste'!M108*1000</f>
        <v>654.57325776113032</v>
      </c>
      <c r="AE108" s="41">
        <f>L108/'1. Väestöennuste'!N108*1000</f>
        <v>539.32625152747835</v>
      </c>
      <c r="AF108" s="41">
        <f>M108/'1. Väestöennuste'!O108*1000</f>
        <v>388.15590823305831</v>
      </c>
      <c r="AG108" s="41">
        <f>N108/'1. Väestöennuste'!P108*1000</f>
        <v>264.66902535978267</v>
      </c>
      <c r="AH108" s="41">
        <f>O108/'1. Väestöennuste'!Q108*1000</f>
        <v>211.00514564202163</v>
      </c>
      <c r="AI108" s="41">
        <f>P108/'1. Väestöennuste'!R108*1000</f>
        <v>272.03460747936737</v>
      </c>
    </row>
    <row r="109" spans="1:35" x14ac:dyDescent="0.2">
      <c r="A109" s="34">
        <v>275</v>
      </c>
      <c r="B109" s="88" t="s">
        <v>423</v>
      </c>
      <c r="C109" s="41" t="e">
        <f>Vuosikate!C109+'7. Nettoinvestoinnit '!C109+'8. Satunnaiset erät'!C109+'9. Tulorahkorjauserät'!C109</f>
        <v>#REF!</v>
      </c>
      <c r="D109" s="41">
        <f>Vuosikate!D109+'7. Nettoinvestoinnit '!D109+'8. Satunnaiset erät'!D109+'9. Tulorahkorjauserät'!D109</f>
        <v>-5133</v>
      </c>
      <c r="E109" s="41">
        <f>Vuosikate!E109+'7. Nettoinvestoinnit '!E109+'8. Satunnaiset erät'!E109+'9. Tulorahkorjauserät'!E109</f>
        <v>-3131</v>
      </c>
      <c r="F109" s="41">
        <f>Vuosikate!F109+'7. Nettoinvestoinnit '!F109+'8. Satunnaiset erät'!F109+'9. Tulorahkorjauserät'!F109</f>
        <v>-951</v>
      </c>
      <c r="G109" s="41">
        <f>Vuosikate!G109+'7. Nettoinvestoinnit '!G109+'8. Satunnaiset erät'!G109+'9. Tulorahkorjauserät'!G109</f>
        <v>-610</v>
      </c>
      <c r="H109" s="41">
        <f>Vuosikate!H109+'7. Nettoinvestoinnit '!H109+'8. Satunnaiset erät'!H109+'9. Tulorahkorjauserät'!H109</f>
        <v>-1461.144152488705</v>
      </c>
      <c r="I109" s="41">
        <f>Vuosikate!I109+'7. Nettoinvestoinnit '!I109+'8. Satunnaiset erät'!I109+'9. Tulorahkorjauserät'!I109</f>
        <v>2235.6484572482645</v>
      </c>
      <c r="J109" s="41">
        <f>Vuosikate!J109+'7. Nettoinvestoinnit '!J109+'8. Satunnaiset erät'!J109+'9. Tulorahkorjauserät'!J109</f>
        <v>46.575415259323904</v>
      </c>
      <c r="K109" s="41">
        <f>Vuosikate!K109+'7. Nettoinvestoinnit '!K109+'8. Satunnaiset erät'!K109+'9. Tulorahkorjauserät'!K109</f>
        <v>1392.2154039624374</v>
      </c>
      <c r="L109" s="41">
        <f>Vuosikate!L109+'7. Nettoinvestoinnit '!L109+'8. Satunnaiset erät'!L109+'9. Tulorahkorjauserät'!L109</f>
        <v>498.1247410786417</v>
      </c>
      <c r="M109" s="41">
        <f>Vuosikate!M109+'7. Nettoinvestoinnit '!M109+'8. Satunnaiset erät'!M109+'9. Tulorahkorjauserät'!M109</f>
        <v>458.64974714929713</v>
      </c>
      <c r="N109" s="41">
        <f>Vuosikate!N109+'7. Nettoinvestoinnit '!N109+'8. Satunnaiset erät'!N109+'9. Tulorahkorjauserät'!N109</f>
        <v>-17.085933804547267</v>
      </c>
      <c r="O109" s="41">
        <f>Vuosikate!O109+'7. Nettoinvestoinnit '!O109+'8. Satunnaiset erät'!O109+'9. Tulorahkorjauserät'!O109</f>
        <v>-198.14701318316736</v>
      </c>
      <c r="P109" s="41">
        <f>Vuosikate!P109+'7. Nettoinvestoinnit '!P109+'8. Satunnaiset erät'!P109+'9. Tulorahkorjauserät'!P109</f>
        <v>-59.746904570276001</v>
      </c>
      <c r="T109" s="34">
        <v>275</v>
      </c>
      <c r="U109" s="88" t="s">
        <v>423</v>
      </c>
      <c r="V109" s="41" t="e">
        <f>C109/'1. Väestöennuste'!E109*1000</f>
        <v>#REF!</v>
      </c>
      <c r="W109" s="41">
        <f>D109/'1. Väestöennuste'!F109*1000</f>
        <v>-1864.511442063204</v>
      </c>
      <c r="X109" s="41">
        <f>E109/'1. Väestöennuste'!G109*1000</f>
        <v>-1139.3740902474528</v>
      </c>
      <c r="Y109" s="41">
        <f>F109/'1. Väestöennuste'!H109*1000</f>
        <v>-352.4833209785026</v>
      </c>
      <c r="Z109" s="41">
        <f>G109/'1. Väestöennuste'!I109*1000</f>
        <v>-232.20403502093643</v>
      </c>
      <c r="AA109" s="41">
        <f>H109/'1. Väestöennuste'!J109*1000</f>
        <v>-563.4956237904762</v>
      </c>
      <c r="AB109" s="41">
        <f>I109/'1. Väestöennuste'!K109*1000</f>
        <v>864.51989839453381</v>
      </c>
      <c r="AC109" s="41">
        <f>J109/'1. Väestöennuste'!L109*1000</f>
        <v>18.474976302786157</v>
      </c>
      <c r="AD109" s="41">
        <f>K109/'1. Väestöennuste'!M109*1000</f>
        <v>557.10900518704977</v>
      </c>
      <c r="AE109" s="41">
        <f>L109/'1. Väestöennuste'!N109*1000</f>
        <v>203.31622084842519</v>
      </c>
      <c r="AF109" s="41">
        <f>M109/'1. Väestöennuste'!O109*1000</f>
        <v>189.60303726717535</v>
      </c>
      <c r="AG109" s="41">
        <f>N109/'1. Väestöennuste'!P109*1000</f>
        <v>-7.1489262780532492</v>
      </c>
      <c r="AH109" s="41">
        <f>O109/'1. Väestöennuste'!Q109*1000</f>
        <v>-83.960598806426859</v>
      </c>
      <c r="AI109" s="41">
        <f>P109/'1. Väestöennuste'!R109*1000</f>
        <v>-25.631447692096096</v>
      </c>
    </row>
    <row r="110" spans="1:35" x14ac:dyDescent="0.2">
      <c r="A110" s="34">
        <v>276</v>
      </c>
      <c r="B110" s="88" t="s">
        <v>424</v>
      </c>
      <c r="C110" s="41" t="e">
        <f>Vuosikate!C110+'7. Nettoinvestoinnit '!C110+'8. Satunnaiset erät'!C110+'9. Tulorahkorjauserät'!C110</f>
        <v>#REF!</v>
      </c>
      <c r="D110" s="41">
        <f>Vuosikate!D110+'7. Nettoinvestoinnit '!D110+'8. Satunnaiset erät'!D110+'9. Tulorahkorjauserät'!D110</f>
        <v>11622</v>
      </c>
      <c r="E110" s="41">
        <f>Vuosikate!E110+'7. Nettoinvestoinnit '!E110+'8. Satunnaiset erät'!E110+'9. Tulorahkorjauserät'!E110</f>
        <v>-640</v>
      </c>
      <c r="F110" s="41">
        <f>Vuosikate!F110+'7. Nettoinvestoinnit '!F110+'8. Satunnaiset erät'!F110+'9. Tulorahkorjauserät'!F110</f>
        <v>-6844</v>
      </c>
      <c r="G110" s="41">
        <f>Vuosikate!G110+'7. Nettoinvestoinnit '!G110+'8. Satunnaiset erät'!G110+'9. Tulorahkorjauserät'!G110</f>
        <v>-118</v>
      </c>
      <c r="H110" s="41">
        <f>Vuosikate!H110+'7. Nettoinvestoinnit '!H110+'8. Satunnaiset erät'!H110+'9. Tulorahkorjauserät'!H110</f>
        <v>3226.942550972708</v>
      </c>
      <c r="I110" s="41">
        <f>Vuosikate!I110+'7. Nettoinvestoinnit '!I110+'8. Satunnaiset erät'!I110+'9. Tulorahkorjauserät'!I110</f>
        <v>-11948.321311001358</v>
      </c>
      <c r="J110" s="41">
        <f>Vuosikate!J110+'7. Nettoinvestoinnit '!J110+'8. Satunnaiset erät'!J110+'9. Tulorahkorjauserät'!J110</f>
        <v>-9707.9611460998894</v>
      </c>
      <c r="K110" s="41">
        <f>Vuosikate!K110+'7. Nettoinvestoinnit '!K110+'8. Satunnaiset erät'!K110+'9. Tulorahkorjauserät'!K110</f>
        <v>-3073.1956780316691</v>
      </c>
      <c r="L110" s="41">
        <f>Vuosikate!L110+'7. Nettoinvestoinnit '!L110+'8. Satunnaiset erät'!L110+'9. Tulorahkorjauserät'!L110</f>
        <v>-3697.5157915283417</v>
      </c>
      <c r="M110" s="41">
        <f>Vuosikate!M110+'7. Nettoinvestoinnit '!M110+'8. Satunnaiset erät'!M110+'9. Tulorahkorjauserät'!M110</f>
        <v>-7345.8699330260497</v>
      </c>
      <c r="N110" s="41">
        <f>Vuosikate!N110+'7. Nettoinvestoinnit '!N110+'8. Satunnaiset erät'!N110+'9. Tulorahkorjauserät'!N110</f>
        <v>-7922.2367867991907</v>
      </c>
      <c r="O110" s="41">
        <f>Vuosikate!O110+'7. Nettoinvestoinnit '!O110+'8. Satunnaiset erät'!O110+'9. Tulorahkorjauserät'!O110</f>
        <v>-8053.202982315117</v>
      </c>
      <c r="P110" s="41">
        <f>Vuosikate!P110+'7. Nettoinvestoinnit '!P110+'8. Satunnaiset erät'!P110+'9. Tulorahkorjauserät'!P110</f>
        <v>-7560.0035841207682</v>
      </c>
      <c r="T110" s="34">
        <v>276</v>
      </c>
      <c r="U110" s="88" t="s">
        <v>424</v>
      </c>
      <c r="V110" s="41" t="e">
        <f>C110/'1. Väestöennuste'!E110*1000</f>
        <v>#REF!</v>
      </c>
      <c r="W110" s="41">
        <f>D110/'1. Väestöennuste'!F110*1000</f>
        <v>784.9520464676483</v>
      </c>
      <c r="X110" s="41">
        <f>E110/'1. Väestöennuste'!G110*1000</f>
        <v>-43.15576534052596</v>
      </c>
      <c r="Y110" s="41">
        <f>F110/'1. Väestöennuste'!H110*1000</f>
        <v>-460.90645834736341</v>
      </c>
      <c r="Z110" s="41">
        <f>G110/'1. Väestöennuste'!I110*1000</f>
        <v>-7.961676000269887</v>
      </c>
      <c r="AA110" s="41">
        <f>H110/'1. Väestöennuste'!J110*1000</f>
        <v>217.2001447784013</v>
      </c>
      <c r="AB110" s="41">
        <f>I110/'1. Väestöennuste'!K110*1000</f>
        <v>-794.70045300973447</v>
      </c>
      <c r="AC110" s="41">
        <f>J110/'1. Väestöennuste'!L110*1000</f>
        <v>-640.49357696773041</v>
      </c>
      <c r="AD110" s="41">
        <f>K110/'1. Väestöennuste'!M110*1000</f>
        <v>-203.03882650843479</v>
      </c>
      <c r="AE110" s="41">
        <f>L110/'1. Väestöennuste'!N110*1000</f>
        <v>-247.34201562166979</v>
      </c>
      <c r="AF110" s="41">
        <f>M110/'1. Väestöennuste'!O110*1000</f>
        <v>-491.49404074843102</v>
      </c>
      <c r="AG110" s="41">
        <f>N110/'1. Väestöennuste'!P110*1000</f>
        <v>-530.55429860696427</v>
      </c>
      <c r="AH110" s="41">
        <f>O110/'1. Väestöennuste'!Q110*1000</f>
        <v>-540.08470138254427</v>
      </c>
      <c r="AI110" s="41">
        <f>P110/'1. Väestöennuste'!R110*1000</f>
        <v>-507.99647790087141</v>
      </c>
    </row>
    <row r="111" spans="1:35" x14ac:dyDescent="0.2">
      <c r="A111" s="34">
        <v>280</v>
      </c>
      <c r="B111" s="88" t="s">
        <v>425</v>
      </c>
      <c r="C111" s="41" t="e">
        <f>Vuosikate!C111+'7. Nettoinvestoinnit '!C111+'8. Satunnaiset erät'!C111+'9. Tulorahkorjauserät'!C111</f>
        <v>#REF!</v>
      </c>
      <c r="D111" s="41">
        <f>Vuosikate!D111+'7. Nettoinvestoinnit '!D111+'8. Satunnaiset erät'!D111+'9. Tulorahkorjauserät'!D111</f>
        <v>563</v>
      </c>
      <c r="E111" s="41">
        <f>Vuosikate!E111+'7. Nettoinvestoinnit '!E111+'8. Satunnaiset erät'!E111+'9. Tulorahkorjauserät'!E111</f>
        <v>168</v>
      </c>
      <c r="F111" s="41">
        <f>Vuosikate!F111+'7. Nettoinvestoinnit '!F111+'8. Satunnaiset erät'!F111+'9. Tulorahkorjauserät'!F111</f>
        <v>-166</v>
      </c>
      <c r="G111" s="41">
        <f>Vuosikate!G111+'7. Nettoinvestoinnit '!G111+'8. Satunnaiset erät'!G111+'9. Tulorahkorjauserät'!G111</f>
        <v>-52</v>
      </c>
      <c r="H111" s="41">
        <f>Vuosikate!H111+'7. Nettoinvestoinnit '!H111+'8. Satunnaiset erät'!H111+'9. Tulorahkorjauserät'!H111</f>
        <v>-1194.781236984727</v>
      </c>
      <c r="I111" s="41">
        <f>Vuosikate!I111+'7. Nettoinvestoinnit '!I111+'8. Satunnaiset erät'!I111+'9. Tulorahkorjauserät'!I111</f>
        <v>-1984.8100954055817</v>
      </c>
      <c r="J111" s="41">
        <f>Vuosikate!J111+'7. Nettoinvestoinnit '!J111+'8. Satunnaiset erät'!J111+'9. Tulorahkorjauserät'!J111</f>
        <v>-719.87391996692713</v>
      </c>
      <c r="K111" s="41">
        <f>Vuosikate!K111+'7. Nettoinvestoinnit '!K111+'8. Satunnaiset erät'!K111+'9. Tulorahkorjauserät'!K111</f>
        <v>1194.7855647600491</v>
      </c>
      <c r="L111" s="41">
        <f>Vuosikate!L111+'7. Nettoinvestoinnit '!L111+'8. Satunnaiset erät'!L111+'9. Tulorahkorjauserät'!L111</f>
        <v>-160.05140232606004</v>
      </c>
      <c r="M111" s="41">
        <f>Vuosikate!M111+'7. Nettoinvestoinnit '!M111+'8. Satunnaiset erät'!M111+'9. Tulorahkorjauserät'!M111</f>
        <v>-369.19625418391684</v>
      </c>
      <c r="N111" s="41">
        <f>Vuosikate!N111+'7. Nettoinvestoinnit '!N111+'8. Satunnaiset erät'!N111+'9. Tulorahkorjauserät'!N111</f>
        <v>-301.62565665424768</v>
      </c>
      <c r="O111" s="41">
        <f>Vuosikate!O111+'7. Nettoinvestoinnit '!O111+'8. Satunnaiset erät'!O111+'9. Tulorahkorjauserät'!O111</f>
        <v>-580.1352613482909</v>
      </c>
      <c r="P111" s="41">
        <f>Vuosikate!P111+'7. Nettoinvestoinnit '!P111+'8. Satunnaiset erät'!P111+'9. Tulorahkorjauserät'!P111</f>
        <v>-594.68804384254258</v>
      </c>
      <c r="T111" s="34">
        <v>280</v>
      </c>
      <c r="U111" s="88" t="s">
        <v>425</v>
      </c>
      <c r="V111" s="41" t="e">
        <f>C111/'1. Väestöennuste'!E111*1000</f>
        <v>#REF!</v>
      </c>
      <c r="W111" s="41">
        <f>D111/'1. Väestöennuste'!F111*1000</f>
        <v>259.32749884845691</v>
      </c>
      <c r="X111" s="41">
        <f>E111/'1. Väestöennuste'!G111*1000</f>
        <v>77.994428969359333</v>
      </c>
      <c r="Y111" s="41">
        <f>F111/'1. Väestöennuste'!H111*1000</f>
        <v>-78.228086710650331</v>
      </c>
      <c r="Z111" s="41">
        <f>G111/'1. Väestöennuste'!I111*1000</f>
        <v>-25.036109773712084</v>
      </c>
      <c r="AA111" s="41">
        <f>H111/'1. Väestöennuste'!J111*1000</f>
        <v>-577.74721324213112</v>
      </c>
      <c r="AB111" s="41">
        <f>I111/'1. Väestöennuste'!K111*1000</f>
        <v>-968.20004653930812</v>
      </c>
      <c r="AC111" s="41">
        <f>J111/'1. Väestöennuste'!L111*1000</f>
        <v>-355.66893278998373</v>
      </c>
      <c r="AD111" s="41">
        <f>K111/'1. Väestöennuste'!M111*1000</f>
        <v>592.94568970722037</v>
      </c>
      <c r="AE111" s="41">
        <f>L111/'1. Väestöennuste'!N111*1000</f>
        <v>-79.429976340476458</v>
      </c>
      <c r="AF111" s="41">
        <f>M111/'1. Väestöennuste'!O111*1000</f>
        <v>-184.13778263537</v>
      </c>
      <c r="AG111" s="41">
        <f>N111/'1. Väestöennuste'!P111*1000</f>
        <v>-151.19080534047501</v>
      </c>
      <c r="AH111" s="41">
        <f>O111/'1. Väestöennuste'!Q111*1000</f>
        <v>-292.7019482080176</v>
      </c>
      <c r="AI111" s="41">
        <f>P111/'1. Väestöennuste'!R111*1000</f>
        <v>-301.71894664766239</v>
      </c>
    </row>
    <row r="112" spans="1:35" x14ac:dyDescent="0.2">
      <c r="A112" s="34">
        <v>284</v>
      </c>
      <c r="B112" s="88" t="s">
        <v>426</v>
      </c>
      <c r="C112" s="41" t="e">
        <f>Vuosikate!C112+'7. Nettoinvestoinnit '!C112+'8. Satunnaiset erät'!C112+'9. Tulorahkorjauserät'!C112</f>
        <v>#REF!</v>
      </c>
      <c r="D112" s="41">
        <f>Vuosikate!D112+'7. Nettoinvestoinnit '!D112+'8. Satunnaiset erät'!D112+'9. Tulorahkorjauserät'!D112</f>
        <v>-487</v>
      </c>
      <c r="E112" s="41">
        <f>Vuosikate!E112+'7. Nettoinvestoinnit '!E112+'8. Satunnaiset erät'!E112+'9. Tulorahkorjauserät'!E112</f>
        <v>-85</v>
      </c>
      <c r="F112" s="41">
        <f>Vuosikate!F112+'7. Nettoinvestoinnit '!F112+'8. Satunnaiset erät'!F112+'9. Tulorahkorjauserät'!F112</f>
        <v>-1064</v>
      </c>
      <c r="G112" s="41">
        <f>Vuosikate!G112+'7. Nettoinvestoinnit '!G112+'8. Satunnaiset erät'!G112+'9. Tulorahkorjauserät'!G112</f>
        <v>-408</v>
      </c>
      <c r="H112" s="41">
        <f>Vuosikate!H112+'7. Nettoinvestoinnit '!H112+'8. Satunnaiset erät'!H112+'9. Tulorahkorjauserät'!H112</f>
        <v>670.69050329415404</v>
      </c>
      <c r="I112" s="41">
        <f>Vuosikate!I112+'7. Nettoinvestoinnit '!I112+'8. Satunnaiset erät'!I112+'9. Tulorahkorjauserät'!I112</f>
        <v>1337.4054371878021</v>
      </c>
      <c r="J112" s="41">
        <f>Vuosikate!J112+'7. Nettoinvestoinnit '!J112+'8. Satunnaiset erät'!J112+'9. Tulorahkorjauserät'!J112</f>
        <v>122.82104791537103</v>
      </c>
      <c r="K112" s="41">
        <f>Vuosikate!K112+'7. Nettoinvestoinnit '!K112+'8. Satunnaiset erät'!K112+'9. Tulorahkorjauserät'!K112</f>
        <v>3933.4175743986234</v>
      </c>
      <c r="L112" s="41">
        <f>Vuosikate!L112+'7. Nettoinvestoinnit '!L112+'8. Satunnaiset erät'!L112+'9. Tulorahkorjauserät'!L112</f>
        <v>1014.0700878355201</v>
      </c>
      <c r="M112" s="41">
        <f>Vuosikate!M112+'7. Nettoinvestoinnit '!M112+'8. Satunnaiset erät'!M112+'9. Tulorahkorjauserät'!M112</f>
        <v>1868.4085407188895</v>
      </c>
      <c r="N112" s="41">
        <f>Vuosikate!N112+'7. Nettoinvestoinnit '!N112+'8. Satunnaiset erät'!N112+'9. Tulorahkorjauserät'!N112</f>
        <v>1500.3527032090049</v>
      </c>
      <c r="O112" s="41">
        <f>Vuosikate!O112+'7. Nettoinvestoinnit '!O112+'8. Satunnaiset erät'!O112+'9. Tulorahkorjauserät'!O112</f>
        <v>1378.9073155340177</v>
      </c>
      <c r="P112" s="41">
        <f>Vuosikate!P112+'7. Nettoinvestoinnit '!P112+'8. Satunnaiset erät'!P112+'9. Tulorahkorjauserät'!P112</f>
        <v>1658.083004886101</v>
      </c>
      <c r="T112" s="34">
        <v>284</v>
      </c>
      <c r="U112" s="88" t="s">
        <v>426</v>
      </c>
      <c r="V112" s="41" t="e">
        <f>C112/'1. Väestöennuste'!E112*1000</f>
        <v>#REF!</v>
      </c>
      <c r="W112" s="41">
        <f>D112/'1. Väestöennuste'!F112*1000</f>
        <v>-201.5728476821192</v>
      </c>
      <c r="X112" s="41">
        <f>E112/'1. Väestöennuste'!G112*1000</f>
        <v>-36.032217041119118</v>
      </c>
      <c r="Y112" s="41">
        <f>F112/'1. Väestöennuste'!H112*1000</f>
        <v>-454.70085470085468</v>
      </c>
      <c r="Z112" s="41">
        <f>G112/'1. Väestöennuste'!I112*1000</f>
        <v>-176.77642980935875</v>
      </c>
      <c r="AA112" s="41">
        <f>H112/'1. Väestöennuste'!J112*1000</f>
        <v>292.62238363619286</v>
      </c>
      <c r="AB112" s="41">
        <f>I112/'1. Väestöennuste'!K112*1000</f>
        <v>588.90596089291159</v>
      </c>
      <c r="AC112" s="41">
        <f>J112/'1. Väestöennuste'!L112*1000</f>
        <v>55.150897133080832</v>
      </c>
      <c r="AD112" s="41">
        <f>K112/'1. Väestöennuste'!M112*1000</f>
        <v>1782.2462956042698</v>
      </c>
      <c r="AE112" s="41">
        <f>L112/'1. Väestöennuste'!N112*1000</f>
        <v>461.36036753208379</v>
      </c>
      <c r="AF112" s="41">
        <f>M112/'1. Väestöennuste'!O112*1000</f>
        <v>858.24921484560844</v>
      </c>
      <c r="AG112" s="41">
        <f>N112/'1. Väestöennuste'!P112*1000</f>
        <v>695.57380770004863</v>
      </c>
      <c r="AH112" s="41">
        <f>O112/'1. Väestöennuste'!Q112*1000</f>
        <v>644.65045139505276</v>
      </c>
      <c r="AI112" s="41">
        <f>P112/'1. Väestöennuste'!R112*1000</f>
        <v>782.85316566860297</v>
      </c>
    </row>
    <row r="113" spans="1:35" x14ac:dyDescent="0.2">
      <c r="A113" s="34">
        <v>285</v>
      </c>
      <c r="B113" s="88" t="s">
        <v>427</v>
      </c>
      <c r="C113" s="41" t="e">
        <f>Vuosikate!C113+'7. Nettoinvestoinnit '!C113+'8. Satunnaiset erät'!C113+'9. Tulorahkorjauserät'!C113</f>
        <v>#REF!</v>
      </c>
      <c r="D113" s="41">
        <f>Vuosikate!D113+'7. Nettoinvestoinnit '!D113+'8. Satunnaiset erät'!D113+'9. Tulorahkorjauserät'!D113</f>
        <v>-2778</v>
      </c>
      <c r="E113" s="41">
        <f>Vuosikate!E113+'7. Nettoinvestoinnit '!E113+'8. Satunnaiset erät'!E113+'9. Tulorahkorjauserät'!E113</f>
        <v>82225</v>
      </c>
      <c r="F113" s="41">
        <f>Vuosikate!F113+'7. Nettoinvestoinnit '!F113+'8. Satunnaiset erät'!F113+'9. Tulorahkorjauserät'!F113</f>
        <v>-3003</v>
      </c>
      <c r="G113" s="41">
        <f>Vuosikate!G113+'7. Nettoinvestoinnit '!G113+'8. Satunnaiset erät'!G113+'9. Tulorahkorjauserät'!G113</f>
        <v>-17089</v>
      </c>
      <c r="H113" s="41">
        <f>Vuosikate!H113+'7. Nettoinvestoinnit '!H113+'8. Satunnaiset erät'!H113+'9. Tulorahkorjauserät'!H113</f>
        <v>31429.984790299583</v>
      </c>
      <c r="I113" s="41">
        <f>Vuosikate!I113+'7. Nettoinvestoinnit '!I113+'8. Satunnaiset erät'!I113+'9. Tulorahkorjauserät'!I113</f>
        <v>13204.90006170682</v>
      </c>
      <c r="J113" s="41">
        <f>Vuosikate!J113+'7. Nettoinvestoinnit '!J113+'8. Satunnaiset erät'!J113+'9. Tulorahkorjauserät'!J113</f>
        <v>-19579.172534961894</v>
      </c>
      <c r="K113" s="41">
        <f>Vuosikate!K113+'7. Nettoinvestoinnit '!K113+'8. Satunnaiset erät'!K113+'9. Tulorahkorjauserät'!K113</f>
        <v>17396.45454626633</v>
      </c>
      <c r="L113" s="41">
        <f>Vuosikate!L113+'7. Nettoinvestoinnit '!L113+'8. Satunnaiset erät'!L113+'9. Tulorahkorjauserät'!L113</f>
        <v>-13880.816221558845</v>
      </c>
      <c r="M113" s="41">
        <f>Vuosikate!M113+'7. Nettoinvestoinnit '!M113+'8. Satunnaiset erät'!M113+'9. Tulorahkorjauserät'!M113</f>
        <v>-12086.79543117942</v>
      </c>
      <c r="N113" s="41">
        <f>Vuosikate!N113+'7. Nettoinvestoinnit '!N113+'8. Satunnaiset erät'!N113+'9. Tulorahkorjauserät'!N113</f>
        <v>-7684.5737493639517</v>
      </c>
      <c r="O113" s="41">
        <f>Vuosikate!O113+'7. Nettoinvestoinnit '!O113+'8. Satunnaiset erät'!O113+'9. Tulorahkorjauserät'!O113</f>
        <v>-7040.7111034826466</v>
      </c>
      <c r="P113" s="41">
        <f>Vuosikate!P113+'7. Nettoinvestoinnit '!P113+'8. Satunnaiset erät'!P113+'9. Tulorahkorjauserät'!P113</f>
        <v>-2344.5550434568941</v>
      </c>
      <c r="T113" s="34">
        <v>285</v>
      </c>
      <c r="U113" s="88" t="s">
        <v>427</v>
      </c>
      <c r="V113" s="41" t="e">
        <f>C113/'1. Väestöennuste'!E113*1000</f>
        <v>#REF!</v>
      </c>
      <c r="W113" s="41">
        <f>D113/'1. Väestöennuste'!F113*1000</f>
        <v>-51.266909037222952</v>
      </c>
      <c r="X113" s="41">
        <f>E113/'1. Väestöennuste'!G113*1000</f>
        <v>1535.7963353816845</v>
      </c>
      <c r="Y113" s="41">
        <f>F113/'1. Väestöennuste'!H113*1000</f>
        <v>-56.785734546073407</v>
      </c>
      <c r="Z113" s="41">
        <f>G113/'1. Väestöennuste'!I113*1000</f>
        <v>-327.84023328089631</v>
      </c>
      <c r="AA113" s="41">
        <f>H113/'1. Väestöennuste'!J113*1000</f>
        <v>608.30658802933317</v>
      </c>
      <c r="AB113" s="41">
        <f>I113/'1. Väestöennuste'!K113*1000</f>
        <v>257.7018415274257</v>
      </c>
      <c r="AC113" s="41">
        <f>J113/'1. Väestöennuste'!L113*1000</f>
        <v>-386.81021267483044</v>
      </c>
      <c r="AD113" s="41">
        <f>K113/'1. Väestöennuste'!M113*1000</f>
        <v>344.48424844091738</v>
      </c>
      <c r="AE113" s="41">
        <f>L113/'1. Väestöennuste'!N113*1000</f>
        <v>-278.62494673836977</v>
      </c>
      <c r="AF113" s="41">
        <f>M113/'1. Väestöennuste'!O113*1000</f>
        <v>-244.73142121931281</v>
      </c>
      <c r="AG113" s="41">
        <f>N113/'1. Väestöennuste'!P113*1000</f>
        <v>-156.9112947556653</v>
      </c>
      <c r="AH113" s="41">
        <f>O113/'1. Väestöennuste'!Q113*1000</f>
        <v>-144.96008036818299</v>
      </c>
      <c r="AI113" s="41">
        <f>P113/'1. Väestöennuste'!R113*1000</f>
        <v>-48.667463278814608</v>
      </c>
    </row>
    <row r="114" spans="1:35" x14ac:dyDescent="0.2">
      <c r="A114" s="34">
        <v>286</v>
      </c>
      <c r="B114" s="88" t="s">
        <v>428</v>
      </c>
      <c r="C114" s="41" t="e">
        <f>Vuosikate!C114+'7. Nettoinvestoinnit '!C114+'8. Satunnaiset erät'!C114+'9. Tulorahkorjauserät'!C114</f>
        <v>#REF!</v>
      </c>
      <c r="D114" s="41">
        <f>Vuosikate!D114+'7. Nettoinvestoinnit '!D114+'8. Satunnaiset erät'!D114+'9. Tulorahkorjauserät'!D114</f>
        <v>1139</v>
      </c>
      <c r="E114" s="41">
        <f>Vuosikate!E114+'7. Nettoinvestoinnit '!E114+'8. Satunnaiset erät'!E114+'9. Tulorahkorjauserät'!E114</f>
        <v>-11159</v>
      </c>
      <c r="F114" s="41">
        <f>Vuosikate!F114+'7. Nettoinvestoinnit '!F114+'8. Satunnaiset erät'!F114+'9. Tulorahkorjauserät'!F114</f>
        <v>-37357</v>
      </c>
      <c r="G114" s="41">
        <f>Vuosikate!G114+'7. Nettoinvestoinnit '!G114+'8. Satunnaiset erät'!G114+'9. Tulorahkorjauserät'!G114</f>
        <v>-45781</v>
      </c>
      <c r="H114" s="41">
        <f>Vuosikate!H114+'7. Nettoinvestoinnit '!H114+'8. Satunnaiset erät'!H114+'9. Tulorahkorjauserät'!H114</f>
        <v>43504.030822256143</v>
      </c>
      <c r="I114" s="41">
        <f>Vuosikate!I114+'7. Nettoinvestoinnit '!I114+'8. Satunnaiset erät'!I114+'9. Tulorahkorjauserät'!I114</f>
        <v>969.17578111663352</v>
      </c>
      <c r="J114" s="41">
        <f>Vuosikate!J114+'7. Nettoinvestoinnit '!J114+'8. Satunnaiset erät'!J114+'9. Tulorahkorjauserät'!J114</f>
        <v>-34094.124445783971</v>
      </c>
      <c r="K114" s="41">
        <f>Vuosikate!K114+'7. Nettoinvestoinnit '!K114+'8. Satunnaiset erät'!K114+'9. Tulorahkorjauserät'!K114</f>
        <v>18328.048307572284</v>
      </c>
      <c r="L114" s="41">
        <f>Vuosikate!L114+'7. Nettoinvestoinnit '!L114+'8. Satunnaiset erät'!L114+'9. Tulorahkorjauserät'!L114</f>
        <v>-17134.15892342294</v>
      </c>
      <c r="M114" s="41">
        <f>Vuosikate!M114+'7. Nettoinvestoinnit '!M114+'8. Satunnaiset erät'!M114+'9. Tulorahkorjauserät'!M114</f>
        <v>-33230.480616732981</v>
      </c>
      <c r="N114" s="41">
        <f>Vuosikate!N114+'7. Nettoinvestoinnit '!N114+'8. Satunnaiset erät'!N114+'9. Tulorahkorjauserät'!N114</f>
        <v>-29392.84803949948</v>
      </c>
      <c r="O114" s="41">
        <f>Vuosikate!O114+'7. Nettoinvestoinnit '!O114+'8. Satunnaiset erät'!O114+'9. Tulorahkorjauserät'!O114</f>
        <v>-28212.128572416295</v>
      </c>
      <c r="P114" s="41">
        <f>Vuosikate!P114+'7. Nettoinvestoinnit '!P114+'8. Satunnaiset erät'!P114+'9. Tulorahkorjauserät'!P114</f>
        <v>-20927.437935918941</v>
      </c>
      <c r="T114" s="34">
        <v>286</v>
      </c>
      <c r="U114" s="88" t="s">
        <v>428</v>
      </c>
      <c r="V114" s="41" t="e">
        <f>C114/'1. Väestöennuste'!E114*1000</f>
        <v>#REF!</v>
      </c>
      <c r="W114" s="41">
        <f>D114/'1. Väestöennuste'!F114*1000</f>
        <v>13.351933041052211</v>
      </c>
      <c r="X114" s="41">
        <f>E114/'1. Väestöennuste'!G114*1000</f>
        <v>-132.53598745783648</v>
      </c>
      <c r="Y114" s="41">
        <f>F114/'1. Väestöennuste'!H114*1000</f>
        <v>-449.12656142924124</v>
      </c>
      <c r="Z114" s="41">
        <f>G114/'1. Väestöennuste'!I114*1000</f>
        <v>-557.53656546466459</v>
      </c>
      <c r="AA114" s="41">
        <f>H114/'1. Väestöennuste'!J114*1000</f>
        <v>535.84971512996106</v>
      </c>
      <c r="AB114" s="41">
        <f>I114/'1. Väestöennuste'!K114*1000</f>
        <v>12.046334316710587</v>
      </c>
      <c r="AC114" s="41">
        <f>J114/'1. Väestöennuste'!L114*1000</f>
        <v>-429.24025791315478</v>
      </c>
      <c r="AD114" s="41">
        <f>K114/'1. Väestöennuste'!M114*1000</f>
        <v>232.35355359498334</v>
      </c>
      <c r="AE114" s="41">
        <f>L114/'1. Väestöennuste'!N114*1000</f>
        <v>-219.90552548158195</v>
      </c>
      <c r="AF114" s="41">
        <f>M114/'1. Väestöennuste'!O114*1000</f>
        <v>-430.75352410049885</v>
      </c>
      <c r="AG114" s="41">
        <f>N114/'1. Väestöennuste'!P114*1000</f>
        <v>-384.76846800669557</v>
      </c>
      <c r="AH114" s="41">
        <f>O114/'1. Väestöennuste'!Q114*1000</f>
        <v>-372.88529550240287</v>
      </c>
      <c r="AI114" s="41">
        <f>P114/'1. Väestöennuste'!R114*1000</f>
        <v>-279.21120098088034</v>
      </c>
    </row>
    <row r="115" spans="1:35" x14ac:dyDescent="0.2">
      <c r="A115" s="34">
        <v>287</v>
      </c>
      <c r="B115" s="88" t="s">
        <v>429</v>
      </c>
      <c r="C115" s="41" t="e">
        <f>Vuosikate!C115+'7. Nettoinvestoinnit '!C115+'8. Satunnaiset erät'!C115+'9. Tulorahkorjauserät'!C115</f>
        <v>#REF!</v>
      </c>
      <c r="D115" s="41">
        <f>Vuosikate!D115+'7. Nettoinvestoinnit '!D115+'8. Satunnaiset erät'!D115+'9. Tulorahkorjauserät'!D115</f>
        <v>4513</v>
      </c>
      <c r="E115" s="41">
        <f>Vuosikate!E115+'7. Nettoinvestoinnit '!E115+'8. Satunnaiset erät'!E115+'9. Tulorahkorjauserät'!E115</f>
        <v>-2970</v>
      </c>
      <c r="F115" s="41">
        <f>Vuosikate!F115+'7. Nettoinvestoinnit '!F115+'8. Satunnaiset erät'!F115+'9. Tulorahkorjauserät'!F115</f>
        <v>-3049</v>
      </c>
      <c r="G115" s="41">
        <f>Vuosikate!G115+'7. Nettoinvestoinnit '!G115+'8. Satunnaiset erät'!G115+'9. Tulorahkorjauserät'!G115</f>
        <v>-3565</v>
      </c>
      <c r="H115" s="41">
        <f>Vuosikate!H115+'7. Nettoinvestoinnit '!H115+'8. Satunnaiset erät'!H115+'9. Tulorahkorjauserät'!H115</f>
        <v>-609.15102568362636</v>
      </c>
      <c r="I115" s="41">
        <f>Vuosikate!I115+'7. Nettoinvestoinnit '!I115+'8. Satunnaiset erät'!I115+'9. Tulorahkorjauserät'!I115</f>
        <v>2690.6783783190431</v>
      </c>
      <c r="J115" s="41">
        <f>Vuosikate!J115+'7. Nettoinvestoinnit '!J115+'8. Satunnaiset erät'!J115+'9. Tulorahkorjauserät'!J115</f>
        <v>-2133.9414957689401</v>
      </c>
      <c r="K115" s="41">
        <f>Vuosikate!K115+'7. Nettoinvestoinnit '!K115+'8. Satunnaiset erät'!K115+'9. Tulorahkorjauserät'!K115</f>
        <v>467.45828320078022</v>
      </c>
      <c r="L115" s="41">
        <f>Vuosikate!L115+'7. Nettoinvestoinnit '!L115+'8. Satunnaiset erät'!L115+'9. Tulorahkorjauserät'!L115</f>
        <v>708.32607452389357</v>
      </c>
      <c r="M115" s="41">
        <f>Vuosikate!M115+'7. Nettoinvestoinnit '!M115+'8. Satunnaiset erät'!M115+'9. Tulorahkorjauserät'!M115</f>
        <v>15.067724253265624</v>
      </c>
      <c r="N115" s="41">
        <f>Vuosikate!N115+'7. Nettoinvestoinnit '!N115+'8. Satunnaiset erät'!N115+'9. Tulorahkorjauserät'!N115</f>
        <v>99.583909222554212</v>
      </c>
      <c r="O115" s="41">
        <f>Vuosikate!O115+'7. Nettoinvestoinnit '!O115+'8. Satunnaiset erät'!O115+'9. Tulorahkorjauserät'!O115</f>
        <v>-210.19791019881086</v>
      </c>
      <c r="P115" s="41">
        <f>Vuosikate!P115+'7. Nettoinvestoinnit '!P115+'8. Satunnaiset erät'!P115+'9. Tulorahkorjauserät'!P115</f>
        <v>208.13720273365789</v>
      </c>
      <c r="T115" s="34">
        <v>287</v>
      </c>
      <c r="U115" s="88" t="s">
        <v>429</v>
      </c>
      <c r="V115" s="41" t="e">
        <f>C115/'1. Väestöennuste'!E115*1000</f>
        <v>#REF!</v>
      </c>
      <c r="W115" s="41">
        <f>D115/'1. Väestöennuste'!F115*1000</f>
        <v>670.87854913037017</v>
      </c>
      <c r="X115" s="41">
        <f>E115/'1. Väestöennuste'!G115*1000</f>
        <v>-447.42392286833382</v>
      </c>
      <c r="Y115" s="41">
        <f>F115/'1. Väestöennuste'!H115*1000</f>
        <v>-462.24984839296548</v>
      </c>
      <c r="Z115" s="41">
        <f>G115/'1. Väestöennuste'!I115*1000</f>
        <v>-549.64539007092196</v>
      </c>
      <c r="AA115" s="41">
        <f>H115/'1. Väestöennuste'!J115*1000</f>
        <v>-95.120397514619981</v>
      </c>
      <c r="AB115" s="41">
        <f>I115/'1. Väestöennuste'!K115*1000</f>
        <v>421.73642293401929</v>
      </c>
      <c r="AC115" s="41">
        <f>J115/'1. Väestöennuste'!L115*1000</f>
        <v>-341.86823065827298</v>
      </c>
      <c r="AD115" s="41">
        <f>K115/'1. Väestöennuste'!M115*1000</f>
        <v>75.408659977541575</v>
      </c>
      <c r="AE115" s="41">
        <f>L115/'1. Väestöennuste'!N115*1000</f>
        <v>115.94795785298633</v>
      </c>
      <c r="AF115" s="41">
        <f>M115/'1. Väestöennuste'!O115*1000</f>
        <v>2.4917685221209895</v>
      </c>
      <c r="AG115" s="41">
        <f>N115/'1. Väestöennuste'!P115*1000</f>
        <v>16.630579362484003</v>
      </c>
      <c r="AH115" s="41">
        <f>O115/'1. Väestöennuste'!Q115*1000</f>
        <v>-35.440551373935399</v>
      </c>
      <c r="AI115" s="41">
        <f>P115/'1. Väestöennuste'!R115*1000</f>
        <v>35.433640233853907</v>
      </c>
    </row>
    <row r="116" spans="1:35" x14ac:dyDescent="0.2">
      <c r="A116" s="34">
        <v>288</v>
      </c>
      <c r="B116" s="88" t="s">
        <v>430</v>
      </c>
      <c r="C116" s="41" t="e">
        <f>Vuosikate!C116+'7. Nettoinvestoinnit '!C116+'8. Satunnaiset erät'!C116+'9. Tulorahkorjauserät'!C116</f>
        <v>#REF!</v>
      </c>
      <c r="D116" s="41">
        <f>Vuosikate!D116+'7. Nettoinvestoinnit '!D116+'8. Satunnaiset erät'!D116+'9. Tulorahkorjauserät'!D116</f>
        <v>-1140</v>
      </c>
      <c r="E116" s="41">
        <f>Vuosikate!E116+'7. Nettoinvestoinnit '!E116+'8. Satunnaiset erät'!E116+'9. Tulorahkorjauserät'!E116</f>
        <v>-622</v>
      </c>
      <c r="F116" s="41">
        <f>Vuosikate!F116+'7. Nettoinvestoinnit '!F116+'8. Satunnaiset erät'!F116+'9. Tulorahkorjauserät'!F116</f>
        <v>724</v>
      </c>
      <c r="G116" s="41">
        <f>Vuosikate!G116+'7. Nettoinvestoinnit '!G116+'8. Satunnaiset erät'!G116+'9. Tulorahkorjauserät'!G116</f>
        <v>-2511</v>
      </c>
      <c r="H116" s="41">
        <f>Vuosikate!H116+'7. Nettoinvestoinnit '!H116+'8. Satunnaiset erät'!H116+'9. Tulorahkorjauserät'!H116</f>
        <v>452.21426818345572</v>
      </c>
      <c r="I116" s="41">
        <f>Vuosikate!I116+'7. Nettoinvestoinnit '!I116+'8. Satunnaiset erät'!I116+'9. Tulorahkorjauserät'!I116</f>
        <v>840.40847666321247</v>
      </c>
      <c r="J116" s="41">
        <f>Vuosikate!J116+'7. Nettoinvestoinnit '!J116+'8. Satunnaiset erät'!J116+'9. Tulorahkorjauserät'!J116</f>
        <v>3941.4483896024381</v>
      </c>
      <c r="K116" s="41">
        <f>Vuosikate!K116+'7. Nettoinvestoinnit '!K116+'8. Satunnaiset erät'!K116+'9. Tulorahkorjauserät'!K116</f>
        <v>3024.2400696642553</v>
      </c>
      <c r="L116" s="41">
        <f>Vuosikate!L116+'7. Nettoinvestoinnit '!L116+'8. Satunnaiset erät'!L116+'9. Tulorahkorjauserät'!L116</f>
        <v>1012.4659588694794</v>
      </c>
      <c r="M116" s="41">
        <f>Vuosikate!M116+'7. Nettoinvestoinnit '!M116+'8. Satunnaiset erät'!M116+'9. Tulorahkorjauserät'!M116</f>
        <v>1183.2413919300279</v>
      </c>
      <c r="N116" s="41">
        <f>Vuosikate!N116+'7. Nettoinvestoinnit '!N116+'8. Satunnaiset erät'!N116+'9. Tulorahkorjauserät'!N116</f>
        <v>1071.7820630828887</v>
      </c>
      <c r="O116" s="41">
        <f>Vuosikate!O116+'7. Nettoinvestoinnit '!O116+'8. Satunnaiset erät'!O116+'9. Tulorahkorjauserät'!O116</f>
        <v>1254.3163588227253</v>
      </c>
      <c r="P116" s="41">
        <f>Vuosikate!P116+'7. Nettoinvestoinnit '!P116+'8. Satunnaiset erät'!P116+'9. Tulorahkorjauserät'!P116</f>
        <v>1669.5742815644039</v>
      </c>
      <c r="T116" s="34">
        <v>288</v>
      </c>
      <c r="U116" s="88" t="s">
        <v>430</v>
      </c>
      <c r="V116" s="41" t="e">
        <f>C116/'1. Väestöennuste'!E116*1000</f>
        <v>#REF!</v>
      </c>
      <c r="W116" s="41">
        <f>D116/'1. Väestöennuste'!F116*1000</f>
        <v>-172.20543806646526</v>
      </c>
      <c r="X116" s="41">
        <f>E116/'1. Väestöennuste'!G116*1000</f>
        <v>-95.238095238095227</v>
      </c>
      <c r="Y116" s="41">
        <f>F116/'1. Väestöennuste'!H116*1000</f>
        <v>111.23060377938239</v>
      </c>
      <c r="Z116" s="41">
        <f>G116/'1. Väestöennuste'!I116*1000</f>
        <v>-390.63472308649659</v>
      </c>
      <c r="AA116" s="41">
        <f>H116/'1. Väestöennuste'!J116*1000</f>
        <v>70.482273719366532</v>
      </c>
      <c r="AB116" s="41">
        <f>I116/'1. Väestöennuste'!K116*1000</f>
        <v>130.45769584961386</v>
      </c>
      <c r="AC116" s="41">
        <f>J116/'1. Väestöennuste'!L116*1000</f>
        <v>615.3705526311378</v>
      </c>
      <c r="AD116" s="41">
        <f>K116/'1. Väestöennuste'!M116*1000</f>
        <v>474.91207124124611</v>
      </c>
      <c r="AE116" s="41">
        <f>L116/'1. Väestöennuste'!N116*1000</f>
        <v>162.67126588519915</v>
      </c>
      <c r="AF116" s="41">
        <f>M116/'1. Väestöennuste'!O116*1000</f>
        <v>191.55599675085443</v>
      </c>
      <c r="AG116" s="41">
        <f>N116/'1. Väestöennuste'!P116*1000</f>
        <v>174.81358066920382</v>
      </c>
      <c r="AH116" s="41">
        <f>O116/'1. Väestöennuste'!Q116*1000</f>
        <v>206.16639691366294</v>
      </c>
      <c r="AI116" s="41">
        <f>P116/'1. Väestöennuste'!R116*1000</f>
        <v>276.60276367866197</v>
      </c>
    </row>
    <row r="117" spans="1:35" x14ac:dyDescent="0.2">
      <c r="A117" s="34">
        <v>290</v>
      </c>
      <c r="B117" s="88" t="s">
        <v>431</v>
      </c>
      <c r="C117" s="41" t="e">
        <f>Vuosikate!C117+'7. Nettoinvestoinnit '!C117+'8. Satunnaiset erät'!C117+'9. Tulorahkorjauserät'!C117</f>
        <v>#REF!</v>
      </c>
      <c r="D117" s="41">
        <f>Vuosikate!D117+'7. Nettoinvestoinnit '!D117+'8. Satunnaiset erät'!D117+'9. Tulorahkorjauserät'!D117</f>
        <v>-3523</v>
      </c>
      <c r="E117" s="41">
        <f>Vuosikate!E117+'7. Nettoinvestoinnit '!E117+'8. Satunnaiset erät'!E117+'9. Tulorahkorjauserät'!E117</f>
        <v>-9529</v>
      </c>
      <c r="F117" s="41">
        <f>Vuosikate!F117+'7. Nettoinvestoinnit '!F117+'8. Satunnaiset erät'!F117+'9. Tulorahkorjauserät'!F117</f>
        <v>-4025</v>
      </c>
      <c r="G117" s="41">
        <f>Vuosikate!G117+'7. Nettoinvestoinnit '!G117+'8. Satunnaiset erät'!G117+'9. Tulorahkorjauserät'!G117</f>
        <v>-720</v>
      </c>
      <c r="H117" s="41">
        <f>Vuosikate!H117+'7. Nettoinvestoinnit '!H117+'8. Satunnaiset erät'!H117+'9. Tulorahkorjauserät'!H117</f>
        <v>1705.9647152747712</v>
      </c>
      <c r="I117" s="41">
        <f>Vuosikate!I117+'7. Nettoinvestoinnit '!I117+'8. Satunnaiset erät'!I117+'9. Tulorahkorjauserät'!I117</f>
        <v>5822.855615501373</v>
      </c>
      <c r="J117" s="41">
        <f>Vuosikate!J117+'7. Nettoinvestoinnit '!J117+'8. Satunnaiset erät'!J117+'9. Tulorahkorjauserät'!J117</f>
        <v>2259.6077247838753</v>
      </c>
      <c r="K117" s="41">
        <f>Vuosikate!K117+'7. Nettoinvestoinnit '!K117+'8. Satunnaiset erät'!K117+'9. Tulorahkorjauserät'!K117</f>
        <v>3373.1618889530482</v>
      </c>
      <c r="L117" s="41">
        <f>Vuosikate!L117+'7. Nettoinvestoinnit '!L117+'8. Satunnaiset erät'!L117+'9. Tulorahkorjauserät'!L117</f>
        <v>1238.3747755711497</v>
      </c>
      <c r="M117" s="41">
        <f>Vuosikate!M117+'7. Nettoinvestoinnit '!M117+'8. Satunnaiset erät'!M117+'9. Tulorahkorjauserät'!M117</f>
        <v>-458.73968331182027</v>
      </c>
      <c r="N117" s="41">
        <f>Vuosikate!N117+'7. Nettoinvestoinnit '!N117+'8. Satunnaiset erät'!N117+'9. Tulorahkorjauserät'!N117</f>
        <v>-233.7465316974085</v>
      </c>
      <c r="O117" s="41">
        <f>Vuosikate!O117+'7. Nettoinvestoinnit '!O117+'8. Satunnaiset erät'!O117+'9. Tulorahkorjauserät'!O117</f>
        <v>-717.49084502981896</v>
      </c>
      <c r="P117" s="41">
        <f>Vuosikate!P117+'7. Nettoinvestoinnit '!P117+'8. Satunnaiset erät'!P117+'9. Tulorahkorjauserät'!P117</f>
        <v>429.4112212374248</v>
      </c>
      <c r="T117" s="34">
        <v>290</v>
      </c>
      <c r="U117" s="88" t="s">
        <v>431</v>
      </c>
      <c r="V117" s="41" t="e">
        <f>C117/'1. Väestöennuste'!E117*1000</f>
        <v>#REF!</v>
      </c>
      <c r="W117" s="41">
        <f>D117/'1. Väestöennuste'!F117*1000</f>
        <v>-407.42454030299524</v>
      </c>
      <c r="X117" s="41">
        <f>E117/'1. Väestöennuste'!G117*1000</f>
        <v>-1121.1907283209789</v>
      </c>
      <c r="Y117" s="41">
        <f>F117/'1. Väestöennuste'!H117*1000</f>
        <v>-483.25129067114898</v>
      </c>
      <c r="Z117" s="41">
        <f>G117/'1. Väestöennuste'!I117*1000</f>
        <v>-87.912087912087912</v>
      </c>
      <c r="AA117" s="41">
        <f>H117/'1. Väestöennuste'!J117*1000</f>
        <v>212.13189695035703</v>
      </c>
      <c r="AB117" s="41">
        <f>I117/'1. Väestöennuste'!K117*1000</f>
        <v>734.46715634477459</v>
      </c>
      <c r="AC117" s="41">
        <f>J117/'1. Väestöennuste'!L117*1000</f>
        <v>291.37430364717926</v>
      </c>
      <c r="AD117" s="41">
        <f>K117/'1. Väestöennuste'!M117*1000</f>
        <v>444.89077933962653</v>
      </c>
      <c r="AE117" s="41">
        <f>L117/'1. Väestöennuste'!N117*1000</f>
        <v>165.62455203572955</v>
      </c>
      <c r="AF117" s="41">
        <f>M117/'1. Väestöennuste'!O117*1000</f>
        <v>-62.439047680933754</v>
      </c>
      <c r="AG117" s="41">
        <f>N117/'1. Väestöennuste'!P117*1000</f>
        <v>-32.388323638271928</v>
      </c>
      <c r="AH117" s="41">
        <f>O117/'1. Väestöennuste'!Q117*1000</f>
        <v>-101.1975803991282</v>
      </c>
      <c r="AI117" s="41">
        <f>P117/'1. Väestöennuste'!R117*1000</f>
        <v>61.635025296027671</v>
      </c>
    </row>
    <row r="118" spans="1:35" x14ac:dyDescent="0.2">
      <c r="A118" s="34">
        <v>291</v>
      </c>
      <c r="B118" s="88" t="s">
        <v>432</v>
      </c>
      <c r="C118" s="41" t="e">
        <f>Vuosikate!C118+'7. Nettoinvestoinnit '!C118+'8. Satunnaiset erät'!C118+'9. Tulorahkorjauserät'!C118</f>
        <v>#REF!</v>
      </c>
      <c r="D118" s="41">
        <f>Vuosikate!D118+'7. Nettoinvestoinnit '!D118+'8. Satunnaiset erät'!D118+'9. Tulorahkorjauserät'!D118</f>
        <v>958</v>
      </c>
      <c r="E118" s="41">
        <f>Vuosikate!E118+'7. Nettoinvestoinnit '!E118+'8. Satunnaiset erät'!E118+'9. Tulorahkorjauserät'!E118</f>
        <v>1402</v>
      </c>
      <c r="F118" s="41">
        <f>Vuosikate!F118+'7. Nettoinvestoinnit '!F118+'8. Satunnaiset erät'!F118+'9. Tulorahkorjauserät'!F118</f>
        <v>-1339</v>
      </c>
      <c r="G118" s="41">
        <f>Vuosikate!G118+'7. Nettoinvestoinnit '!G118+'8. Satunnaiset erät'!G118+'9. Tulorahkorjauserät'!G118</f>
        <v>-553</v>
      </c>
      <c r="H118" s="41">
        <f>Vuosikate!H118+'7. Nettoinvestoinnit '!H118+'8. Satunnaiset erät'!H118+'9. Tulorahkorjauserät'!H118</f>
        <v>743.16636165222735</v>
      </c>
      <c r="I118" s="41">
        <f>Vuosikate!I118+'7. Nettoinvestoinnit '!I118+'8. Satunnaiset erät'!I118+'9. Tulorahkorjauserät'!I118</f>
        <v>-3880.4106975054801</v>
      </c>
      <c r="J118" s="41">
        <f>Vuosikate!J118+'7. Nettoinvestoinnit '!J118+'8. Satunnaiset erät'!J118+'9. Tulorahkorjauserät'!J118</f>
        <v>16.622282658096719</v>
      </c>
      <c r="K118" s="41">
        <f>Vuosikate!K118+'7. Nettoinvestoinnit '!K118+'8. Satunnaiset erät'!K118+'9. Tulorahkorjauserät'!K118</f>
        <v>504.09584881587023</v>
      </c>
      <c r="L118" s="41">
        <f>Vuosikate!L118+'7. Nettoinvestoinnit '!L118+'8. Satunnaiset erät'!L118+'9. Tulorahkorjauserät'!L118</f>
        <v>327.54061887405328</v>
      </c>
      <c r="M118" s="41">
        <f>Vuosikate!M118+'7. Nettoinvestoinnit '!M118+'8. Satunnaiset erät'!M118+'9. Tulorahkorjauserät'!M118</f>
        <v>-554.51083797824367</v>
      </c>
      <c r="N118" s="41">
        <f>Vuosikate!N118+'7. Nettoinvestoinnit '!N118+'8. Satunnaiset erät'!N118+'9. Tulorahkorjauserät'!N118</f>
        <v>-815.45075327330233</v>
      </c>
      <c r="O118" s="41">
        <f>Vuosikate!O118+'7. Nettoinvestoinnit '!O118+'8. Satunnaiset erät'!O118+'9. Tulorahkorjauserät'!O118</f>
        <v>-1094.6979562999002</v>
      </c>
      <c r="P118" s="41">
        <f>Vuosikate!P118+'7. Nettoinvestoinnit '!P118+'8. Satunnaiset erät'!P118+'9. Tulorahkorjauserät'!P118</f>
        <v>-1014.5947074167668</v>
      </c>
      <c r="T118" s="34">
        <v>291</v>
      </c>
      <c r="U118" s="88" t="s">
        <v>432</v>
      </c>
      <c r="V118" s="41" t="e">
        <f>C118/'1. Väestöennuste'!E118*1000</f>
        <v>#REF!</v>
      </c>
      <c r="W118" s="41">
        <f>D118/'1. Väestöennuste'!F118*1000</f>
        <v>419.07261592300966</v>
      </c>
      <c r="X118" s="41">
        <f>E118/'1. Väestöennuste'!G118*1000</f>
        <v>622.55772646536411</v>
      </c>
      <c r="Y118" s="41">
        <f>F118/'1. Väestöennuste'!H118*1000</f>
        <v>-598.30205540661302</v>
      </c>
      <c r="Z118" s="41">
        <f>G118/'1. Väestöennuste'!I118*1000</f>
        <v>-250.67996373526745</v>
      </c>
      <c r="AA118" s="41">
        <f>H118/'1. Väestöennuste'!J118*1000</f>
        <v>343.89928813152585</v>
      </c>
      <c r="AB118" s="41">
        <f>I118/'1. Väestöennuste'!K118*1000</f>
        <v>-1798.1513890201484</v>
      </c>
      <c r="AC118" s="41">
        <f>J118/'1. Väestöennuste'!L118*1000</f>
        <v>7.8443995554963282</v>
      </c>
      <c r="AD118" s="41">
        <f>K118/'1. Väestöennuste'!M118*1000</f>
        <v>240.96359886035862</v>
      </c>
      <c r="AE118" s="41">
        <f>L118/'1. Väestöennuste'!N118*1000</f>
        <v>160.40187016359121</v>
      </c>
      <c r="AF118" s="41">
        <f>M118/'1. Väestöennuste'!O118*1000</f>
        <v>-275.19148286761475</v>
      </c>
      <c r="AG118" s="41">
        <f>N118/'1. Väestöennuste'!P118*1000</f>
        <v>-409.98026811126311</v>
      </c>
      <c r="AH118" s="41">
        <f>O118/'1. Väestöennuste'!Q118*1000</f>
        <v>-556.53175205892239</v>
      </c>
      <c r="AI118" s="41">
        <f>P118/'1. Väestöennuste'!R118*1000</f>
        <v>-521.37446424294285</v>
      </c>
    </row>
    <row r="119" spans="1:35" x14ac:dyDescent="0.2">
      <c r="A119" s="34">
        <v>297</v>
      </c>
      <c r="B119" s="88" t="s">
        <v>433</v>
      </c>
      <c r="C119" s="41" t="e">
        <f>Vuosikate!C119+'7. Nettoinvestoinnit '!C119+'8. Satunnaiset erät'!C119+'9. Tulorahkorjauserät'!C119</f>
        <v>#REF!</v>
      </c>
      <c r="D119" s="41">
        <f>Vuosikate!D119+'7. Nettoinvestoinnit '!D119+'8. Satunnaiset erät'!D119+'9. Tulorahkorjauserät'!D119</f>
        <v>-31</v>
      </c>
      <c r="E119" s="41">
        <f>Vuosikate!E119+'7. Nettoinvestoinnit '!E119+'8. Satunnaiset erät'!E119+'9. Tulorahkorjauserät'!E119</f>
        <v>7139</v>
      </c>
      <c r="F119" s="41">
        <f>Vuosikate!F119+'7. Nettoinvestoinnit '!F119+'8. Satunnaiset erät'!F119+'9. Tulorahkorjauserät'!F119</f>
        <v>-34976</v>
      </c>
      <c r="G119" s="41">
        <f>Vuosikate!G119+'7. Nettoinvestoinnit '!G119+'8. Satunnaiset erät'!G119+'9. Tulorahkorjauserät'!G119</f>
        <v>74813</v>
      </c>
      <c r="H119" s="41">
        <f>Vuosikate!H119+'7. Nettoinvestoinnit '!H119+'8. Satunnaiset erät'!H119+'9. Tulorahkorjauserät'!H119</f>
        <v>-6699.1280267424881</v>
      </c>
      <c r="I119" s="41">
        <f>Vuosikate!I119+'7. Nettoinvestoinnit '!I119+'8. Satunnaiset erät'!I119+'9. Tulorahkorjauserät'!I119</f>
        <v>-13675.092813748861</v>
      </c>
      <c r="J119" s="41">
        <f>Vuosikate!J119+'7. Nettoinvestoinnit '!J119+'8. Satunnaiset erät'!J119+'9. Tulorahkorjauserät'!J119</f>
        <v>-51035.205859783688</v>
      </c>
      <c r="K119" s="41">
        <f>Vuosikate!K119+'7. Nettoinvestoinnit '!K119+'8. Satunnaiset erät'!K119+'9. Tulorahkorjauserät'!K119</f>
        <v>-21776.85328049674</v>
      </c>
      <c r="L119" s="41">
        <f>Vuosikate!L119+'7. Nettoinvestoinnit '!L119+'8. Satunnaiset erät'!L119+'9. Tulorahkorjauserät'!L119</f>
        <v>-33276.258558187641</v>
      </c>
      <c r="M119" s="41">
        <f>Vuosikate!M119+'7. Nettoinvestoinnit '!M119+'8. Satunnaiset erät'!M119+'9. Tulorahkorjauserät'!M119</f>
        <v>-61127.650410482813</v>
      </c>
      <c r="N119" s="41">
        <f>Vuosikate!N119+'7. Nettoinvestoinnit '!N119+'8. Satunnaiset erät'!N119+'9. Tulorahkorjauserät'!N119</f>
        <v>-57922.960770172045</v>
      </c>
      <c r="O119" s="41">
        <f>Vuosikate!O119+'7. Nettoinvestoinnit '!O119+'8. Satunnaiset erät'!O119+'9. Tulorahkorjauserät'!O119</f>
        <v>-57692.179852982401</v>
      </c>
      <c r="P119" s="41">
        <f>Vuosikate!P119+'7. Nettoinvestoinnit '!P119+'8. Satunnaiset erät'!P119+'9. Tulorahkorjauserät'!P119</f>
        <v>-53688.632207720475</v>
      </c>
      <c r="T119" s="34">
        <v>297</v>
      </c>
      <c r="U119" s="88" t="s">
        <v>433</v>
      </c>
      <c r="V119" s="41" t="e">
        <f>C119/'1. Väestöennuste'!E119*1000</f>
        <v>#REF!</v>
      </c>
      <c r="W119" s="41">
        <f>D119/'1. Väestöennuste'!F119*1000</f>
        <v>-0.26329199932053676</v>
      </c>
      <c r="X119" s="41">
        <f>E119/'1. Väestöennuste'!G119*1000</f>
        <v>60.393032679406815</v>
      </c>
      <c r="Y119" s="41">
        <f>F119/'1. Väestöennuste'!H119*1000</f>
        <v>-294.74819658868739</v>
      </c>
      <c r="Z119" s="41">
        <f>G119/'1. Väestöennuste'!I119*1000</f>
        <v>627.19437970523632</v>
      </c>
      <c r="AA119" s="41">
        <f>H119/'1. Väestöennuste'!J119*1000</f>
        <v>-55.728541941123765</v>
      </c>
      <c r="AB119" s="41">
        <f>I119/'1. Väestöennuste'!K119*1000</f>
        <v>-112.51238503039139</v>
      </c>
      <c r="AC119" s="41">
        <f>J119/'1. Väestöennuste'!L119*1000</f>
        <v>-416.29448308876198</v>
      </c>
      <c r="AD119" s="41">
        <f>K119/'1. Väestöennuste'!M119*1000</f>
        <v>-175.5900474959623</v>
      </c>
      <c r="AE119" s="41">
        <f>L119/'1. Väestöennuste'!N119*1000</f>
        <v>-271.03889746269653</v>
      </c>
      <c r="AF119" s="41">
        <f>M119/'1. Väestöennuste'!O119*1000</f>
        <v>-495.82390729190746</v>
      </c>
      <c r="AG119" s="41">
        <f>N119/'1. Väestöennuste'!P119*1000</f>
        <v>-467.9924760656711</v>
      </c>
      <c r="AH119" s="41">
        <f>O119/'1. Väestöennuste'!Q119*1000</f>
        <v>-464.41682312724811</v>
      </c>
      <c r="AI119" s="41">
        <f>P119/'1. Väestöennuste'!R119*1000</f>
        <v>-430.71160446142011</v>
      </c>
    </row>
    <row r="120" spans="1:35" x14ac:dyDescent="0.2">
      <c r="A120" s="34">
        <v>300</v>
      </c>
      <c r="B120" s="88" t="s">
        <v>434</v>
      </c>
      <c r="C120" s="41" t="e">
        <f>Vuosikate!C120+'7. Nettoinvestoinnit '!C120+'8. Satunnaiset erät'!C120+'9. Tulorahkorjauserät'!C120</f>
        <v>#REF!</v>
      </c>
      <c r="D120" s="41">
        <f>Vuosikate!D120+'7. Nettoinvestoinnit '!D120+'8. Satunnaiset erät'!D120+'9. Tulorahkorjauserät'!D120</f>
        <v>524</v>
      </c>
      <c r="E120" s="41">
        <f>Vuosikate!E120+'7. Nettoinvestoinnit '!E120+'8. Satunnaiset erät'!E120+'9. Tulorahkorjauserät'!E120</f>
        <v>1305</v>
      </c>
      <c r="F120" s="41">
        <f>Vuosikate!F120+'7. Nettoinvestoinnit '!F120+'8. Satunnaiset erät'!F120+'9. Tulorahkorjauserät'!F120</f>
        <v>-338</v>
      </c>
      <c r="G120" s="41">
        <f>Vuosikate!G120+'7. Nettoinvestoinnit '!G120+'8. Satunnaiset erät'!G120+'9. Tulorahkorjauserät'!G120</f>
        <v>-1756</v>
      </c>
      <c r="H120" s="41">
        <f>Vuosikate!H120+'7. Nettoinvestoinnit '!H120+'8. Satunnaiset erät'!H120+'9. Tulorahkorjauserät'!H120</f>
        <v>-711.5107943414514</v>
      </c>
      <c r="I120" s="41">
        <f>Vuosikate!I120+'7. Nettoinvestoinnit '!I120+'8. Satunnaiset erät'!I120+'9. Tulorahkorjauserät'!I120</f>
        <v>849.29535457412703</v>
      </c>
      <c r="J120" s="41">
        <f>Vuosikate!J120+'7. Nettoinvestoinnit '!J120+'8. Satunnaiset erät'!J120+'9. Tulorahkorjauserät'!J120</f>
        <v>1219.0828922679561</v>
      </c>
      <c r="K120" s="41">
        <f>Vuosikate!K120+'7. Nettoinvestoinnit '!K120+'8. Satunnaiset erät'!K120+'9. Tulorahkorjauserät'!K120</f>
        <v>717.85115000833264</v>
      </c>
      <c r="L120" s="41">
        <f>Vuosikate!L120+'7. Nettoinvestoinnit '!L120+'8. Satunnaiset erät'!L120+'9. Tulorahkorjauserät'!L120</f>
        <v>206.60691460931571</v>
      </c>
      <c r="M120" s="41">
        <f>Vuosikate!M120+'7. Nettoinvestoinnit '!M120+'8. Satunnaiset erät'!M120+'9. Tulorahkorjauserät'!M120</f>
        <v>-731.63436291042353</v>
      </c>
      <c r="N120" s="41">
        <f>Vuosikate!N120+'7. Nettoinvestoinnit '!N120+'8. Satunnaiset erät'!N120+'9. Tulorahkorjauserät'!N120</f>
        <v>-943.39300557212914</v>
      </c>
      <c r="O120" s="41">
        <f>Vuosikate!O120+'7. Nettoinvestoinnit '!O120+'8. Satunnaiset erät'!O120+'9. Tulorahkorjauserät'!O120</f>
        <v>-1426.287000367174</v>
      </c>
      <c r="P120" s="41">
        <f>Vuosikate!P120+'7. Nettoinvestoinnit '!P120+'8. Satunnaiset erät'!P120+'9. Tulorahkorjauserät'!P120</f>
        <v>-1301.093193644793</v>
      </c>
      <c r="T120" s="34">
        <v>300</v>
      </c>
      <c r="U120" s="88" t="s">
        <v>434</v>
      </c>
      <c r="V120" s="41" t="e">
        <f>C120/'1. Väestöennuste'!E120*1000</f>
        <v>#REF!</v>
      </c>
      <c r="W120" s="41">
        <f>D120/'1. Väestöennuste'!F120*1000</f>
        <v>142.00542005420056</v>
      </c>
      <c r="X120" s="41">
        <f>E120/'1. Väestöennuste'!G120*1000</f>
        <v>358.81220786362388</v>
      </c>
      <c r="Y120" s="41">
        <f>F120/'1. Väestöennuste'!H120*1000</f>
        <v>-94.624860022396419</v>
      </c>
      <c r="Z120" s="41">
        <f>G120/'1. Väestöennuste'!I120*1000</f>
        <v>-494.50858912982261</v>
      </c>
      <c r="AA120" s="41">
        <f>H120/'1. Väestöennuste'!J120*1000</f>
        <v>-201.33299217358558</v>
      </c>
      <c r="AB120" s="41">
        <f>I120/'1. Väestöennuste'!K120*1000</f>
        <v>240.7299757863172</v>
      </c>
      <c r="AC120" s="41">
        <f>J120/'1. Väestöennuste'!L120*1000</f>
        <v>354.69388777071754</v>
      </c>
      <c r="AD120" s="41">
        <f>K120/'1. Väestöennuste'!M120*1000</f>
        <v>212.31918071822912</v>
      </c>
      <c r="AE120" s="41">
        <f>L120/'1. Väestöennuste'!N120*1000</f>
        <v>60.999974788696697</v>
      </c>
      <c r="AF120" s="41">
        <f>M120/'1. Väestöennuste'!O120*1000</f>
        <v>-218.13785417722826</v>
      </c>
      <c r="AG120" s="41">
        <f>N120/'1. Väestöennuste'!P120*1000</f>
        <v>-284.24013424890904</v>
      </c>
      <c r="AH120" s="41">
        <f>O120/'1. Väestöennuste'!Q120*1000</f>
        <v>-433.91755411231338</v>
      </c>
      <c r="AI120" s="41">
        <f>P120/'1. Väestöennuste'!R120*1000</f>
        <v>-399.47595752066104</v>
      </c>
    </row>
    <row r="121" spans="1:35" x14ac:dyDescent="0.2">
      <c r="A121" s="34">
        <v>301</v>
      </c>
      <c r="B121" s="88" t="s">
        <v>435</v>
      </c>
      <c r="C121" s="41" t="e">
        <f>Vuosikate!C121+'7. Nettoinvestoinnit '!C121+'8. Satunnaiset erät'!C121+'9. Tulorahkorjauserät'!C121</f>
        <v>#REF!</v>
      </c>
      <c r="D121" s="41">
        <f>Vuosikate!D121+'7. Nettoinvestoinnit '!D121+'8. Satunnaiset erät'!D121+'9. Tulorahkorjauserät'!D121</f>
        <v>-185</v>
      </c>
      <c r="E121" s="41">
        <f>Vuosikate!E121+'7. Nettoinvestoinnit '!E121+'8. Satunnaiset erät'!E121+'9. Tulorahkorjauserät'!E121</f>
        <v>4756</v>
      </c>
      <c r="F121" s="41">
        <f>Vuosikate!F121+'7. Nettoinvestoinnit '!F121+'8. Satunnaiset erät'!F121+'9. Tulorahkorjauserät'!F121</f>
        <v>-2717</v>
      </c>
      <c r="G121" s="41">
        <f>Vuosikate!G121+'7. Nettoinvestoinnit '!G121+'8. Satunnaiset erät'!G121+'9. Tulorahkorjauserät'!G121</f>
        <v>153</v>
      </c>
      <c r="H121" s="41">
        <f>Vuosikate!H121+'7. Nettoinvestoinnit '!H121+'8. Satunnaiset erät'!H121+'9. Tulorahkorjauserät'!H121</f>
        <v>7282.7618599314301</v>
      </c>
      <c r="I121" s="41">
        <f>Vuosikate!I121+'7. Nettoinvestoinnit '!I121+'8. Satunnaiset erät'!I121+'9. Tulorahkorjauserät'!I121</f>
        <v>-10697.743638709469</v>
      </c>
      <c r="J121" s="41">
        <f>Vuosikate!J121+'7. Nettoinvestoinnit '!J121+'8. Satunnaiset erät'!J121+'9. Tulorahkorjauserät'!J121</f>
        <v>-22533.001299320676</v>
      </c>
      <c r="K121" s="41">
        <f>Vuosikate!K121+'7. Nettoinvestoinnit '!K121+'8. Satunnaiset erät'!K121+'9. Tulorahkorjauserät'!K121</f>
        <v>-8438.7427343939071</v>
      </c>
      <c r="L121" s="41">
        <f>Vuosikate!L121+'7. Nettoinvestoinnit '!L121+'8. Satunnaiset erät'!L121+'9. Tulorahkorjauserät'!L121</f>
        <v>-13181.108475417604</v>
      </c>
      <c r="M121" s="41">
        <f>Vuosikate!M121+'7. Nettoinvestoinnit '!M121+'8. Satunnaiset erät'!M121+'9. Tulorahkorjauserät'!M121</f>
        <v>-14465.071258637221</v>
      </c>
      <c r="N121" s="41">
        <f>Vuosikate!N121+'7. Nettoinvestoinnit '!N121+'8. Satunnaiset erät'!N121+'9. Tulorahkorjauserät'!N121</f>
        <v>-15347.311932209619</v>
      </c>
      <c r="O121" s="41">
        <f>Vuosikate!O121+'7. Nettoinvestoinnit '!O121+'8. Satunnaiset erät'!O121+'9. Tulorahkorjauserät'!O121</f>
        <v>-15346.759904158043</v>
      </c>
      <c r="P121" s="41">
        <f>Vuosikate!P121+'7. Nettoinvestoinnit '!P121+'8. Satunnaiset erät'!P121+'9. Tulorahkorjauserät'!P121</f>
        <v>-13446.04490970322</v>
      </c>
      <c r="T121" s="34">
        <v>301</v>
      </c>
      <c r="U121" s="88" t="s">
        <v>435</v>
      </c>
      <c r="V121" s="41" t="e">
        <f>C121/'1. Väestöennuste'!E121*1000</f>
        <v>#REF!</v>
      </c>
      <c r="W121" s="41">
        <f>D121/'1. Väestöennuste'!F121*1000</f>
        <v>-8.6042509650713921</v>
      </c>
      <c r="X121" s="41">
        <f>E121/'1. Väestöennuste'!G121*1000</f>
        <v>224.30788096024148</v>
      </c>
      <c r="Y121" s="41">
        <f>F121/'1. Väestöennuste'!H121*1000</f>
        <v>-129.67735777014127</v>
      </c>
      <c r="Z121" s="41">
        <f>G121/'1. Väestöennuste'!I121*1000</f>
        <v>7.3991681980849213</v>
      </c>
      <c r="AA121" s="41">
        <f>H121/'1. Väestöennuste'!J121*1000</f>
        <v>356.02081833845472</v>
      </c>
      <c r="AB121" s="41">
        <f>I121/'1. Väestöennuste'!K121*1000</f>
        <v>-529.66993309449276</v>
      </c>
      <c r="AC121" s="41">
        <f>J121/'1. Väestöennuste'!L121*1000</f>
        <v>-1132.8809099708737</v>
      </c>
      <c r="AD121" s="41">
        <f>K121/'1. Väestöennuste'!M121*1000</f>
        <v>-427.08349280803213</v>
      </c>
      <c r="AE121" s="41">
        <f>L121/'1. Väestöennuste'!N121*1000</f>
        <v>-676.12764685394222</v>
      </c>
      <c r="AF121" s="41">
        <f>M121/'1. Väestöennuste'!O121*1000</f>
        <v>-750.69133108294261</v>
      </c>
      <c r="AG121" s="41">
        <f>N121/'1. Väestöennuste'!P121*1000</f>
        <v>-805.67546496979469</v>
      </c>
      <c r="AH121" s="41">
        <f>O121/'1. Väestöennuste'!Q121*1000</f>
        <v>-814.8433632875674</v>
      </c>
      <c r="AI121" s="41">
        <f>P121/'1. Väestöennuste'!R121*1000</f>
        <v>-722.05160077882181</v>
      </c>
    </row>
    <row r="122" spans="1:35" x14ac:dyDescent="0.2">
      <c r="A122" s="34">
        <v>304</v>
      </c>
      <c r="B122" s="88" t="s">
        <v>436</v>
      </c>
      <c r="C122" s="41" t="e">
        <f>Vuosikate!C122+'7. Nettoinvestoinnit '!C122+'8. Satunnaiset erät'!C122+'9. Tulorahkorjauserät'!C122</f>
        <v>#REF!</v>
      </c>
      <c r="D122" s="41">
        <f>Vuosikate!D122+'7. Nettoinvestoinnit '!D122+'8. Satunnaiset erät'!D122+'9. Tulorahkorjauserät'!D122</f>
        <v>-534</v>
      </c>
      <c r="E122" s="41">
        <f>Vuosikate!E122+'7. Nettoinvestoinnit '!E122+'8. Satunnaiset erät'!E122+'9. Tulorahkorjauserät'!E122</f>
        <v>-73</v>
      </c>
      <c r="F122" s="41">
        <f>Vuosikate!F122+'7. Nettoinvestoinnit '!F122+'8. Satunnaiset erät'!F122+'9. Tulorahkorjauserät'!F122</f>
        <v>460</v>
      </c>
      <c r="G122" s="41">
        <f>Vuosikate!G122+'7. Nettoinvestoinnit '!G122+'8. Satunnaiset erät'!G122+'9. Tulorahkorjauserät'!G122</f>
        <v>-544</v>
      </c>
      <c r="H122" s="41">
        <f>Vuosikate!H122+'7. Nettoinvestoinnit '!H122+'8. Satunnaiset erät'!H122+'9. Tulorahkorjauserät'!H122</f>
        <v>118.6841086969489</v>
      </c>
      <c r="I122" s="41">
        <f>Vuosikate!I122+'7. Nettoinvestoinnit '!I122+'8. Satunnaiset erät'!I122+'9. Tulorahkorjauserät'!I122</f>
        <v>-709.0332682862728</v>
      </c>
      <c r="J122" s="41">
        <f>Vuosikate!J122+'7. Nettoinvestoinnit '!J122+'8. Satunnaiset erät'!J122+'9. Tulorahkorjauserät'!J122</f>
        <v>90.847103651552544</v>
      </c>
      <c r="K122" s="41">
        <f>Vuosikate!K122+'7. Nettoinvestoinnit '!K122+'8. Satunnaiset erät'!K122+'9. Tulorahkorjauserät'!K122</f>
        <v>-830.15298992275734</v>
      </c>
      <c r="L122" s="41">
        <f>Vuosikate!L122+'7. Nettoinvestoinnit '!L122+'8. Satunnaiset erät'!L122+'9. Tulorahkorjauserät'!L122</f>
        <v>-255.54552410845452</v>
      </c>
      <c r="M122" s="41">
        <f>Vuosikate!M122+'7. Nettoinvestoinnit '!M122+'8. Satunnaiset erät'!M122+'9. Tulorahkorjauserät'!M122</f>
        <v>-610.66971660061654</v>
      </c>
      <c r="N122" s="41">
        <f>Vuosikate!N122+'7. Nettoinvestoinnit '!N122+'8. Satunnaiset erät'!N122+'9. Tulorahkorjauserät'!N122</f>
        <v>-631.8074292222268</v>
      </c>
      <c r="O122" s="41">
        <f>Vuosikate!O122+'7. Nettoinvestoinnit '!O122+'8. Satunnaiset erät'!O122+'9. Tulorahkorjauserät'!O122</f>
        <v>-881.71904177263423</v>
      </c>
      <c r="P122" s="41">
        <f>Vuosikate!P122+'7. Nettoinvestoinnit '!P122+'8. Satunnaiset erät'!P122+'9. Tulorahkorjauserät'!P122</f>
        <v>-920.38834790933026</v>
      </c>
      <c r="T122" s="34">
        <v>304</v>
      </c>
      <c r="U122" s="88" t="s">
        <v>436</v>
      </c>
      <c r="V122" s="41" t="e">
        <f>C122/'1. Väestöennuste'!E122*1000</f>
        <v>#REF!</v>
      </c>
      <c r="W122" s="41">
        <f>D122/'1. Väestöennuste'!F122*1000</f>
        <v>-588.10572687224669</v>
      </c>
      <c r="X122" s="41">
        <f>E122/'1. Väestöennuste'!G122*1000</f>
        <v>-79.089924160346698</v>
      </c>
      <c r="Y122" s="41">
        <f>F122/'1. Väestöennuste'!H122*1000</f>
        <v>496.76025917926563</v>
      </c>
      <c r="Z122" s="41">
        <f>G122/'1. Väestöennuste'!I122*1000</f>
        <v>-573.23498419388829</v>
      </c>
      <c r="AA122" s="41">
        <f>H122/'1. Väestöennuste'!J122*1000</f>
        <v>123.37225436273275</v>
      </c>
      <c r="AB122" s="41">
        <f>I122/'1. Väestöennuste'!K122*1000</f>
        <v>-730.20933912077521</v>
      </c>
      <c r="AC122" s="41">
        <f>J122/'1. Väestöennuste'!L122*1000</f>
        <v>95.628530159528992</v>
      </c>
      <c r="AD122" s="41">
        <f>K122/'1. Väestöennuste'!M122*1000</f>
        <v>-874.76605892808993</v>
      </c>
      <c r="AE122" s="41">
        <f>L122/'1. Väestöennuste'!N122*1000</f>
        <v>-249.31270644727269</v>
      </c>
      <c r="AF122" s="41">
        <f>M122/'1. Väestöennuste'!O122*1000</f>
        <v>-588.88111533328504</v>
      </c>
      <c r="AG122" s="41">
        <f>N122/'1. Väestöennuste'!P122*1000</f>
        <v>-601.72136116402555</v>
      </c>
      <c r="AH122" s="41">
        <f>O122/'1. Väestöennuste'!Q122*1000</f>
        <v>-828.68330993668621</v>
      </c>
      <c r="AI122" s="41">
        <f>P122/'1. Väestöennuste'!R122*1000</f>
        <v>-856.17520735751646</v>
      </c>
    </row>
    <row r="123" spans="1:35" x14ac:dyDescent="0.2">
      <c r="A123" s="34">
        <v>305</v>
      </c>
      <c r="B123" s="88" t="s">
        <v>437</v>
      </c>
      <c r="C123" s="41" t="e">
        <f>Vuosikate!C123+'7. Nettoinvestoinnit '!C123+'8. Satunnaiset erät'!C123+'9. Tulorahkorjauserät'!C123</f>
        <v>#REF!</v>
      </c>
      <c r="D123" s="41">
        <f>Vuosikate!D123+'7. Nettoinvestoinnit '!D123+'8. Satunnaiset erät'!D123+'9. Tulorahkorjauserät'!D123</f>
        <v>519</v>
      </c>
      <c r="E123" s="41">
        <f>Vuosikate!E123+'7. Nettoinvestoinnit '!E123+'8. Satunnaiset erät'!E123+'9. Tulorahkorjauserät'!E123</f>
        <v>472</v>
      </c>
      <c r="F123" s="41">
        <f>Vuosikate!F123+'7. Nettoinvestoinnit '!F123+'8. Satunnaiset erät'!F123+'9. Tulorahkorjauserät'!F123</f>
        <v>-5891</v>
      </c>
      <c r="G123" s="41">
        <f>Vuosikate!G123+'7. Nettoinvestoinnit '!G123+'8. Satunnaiset erät'!G123+'9. Tulorahkorjauserät'!G123</f>
        <v>-2859</v>
      </c>
      <c r="H123" s="41">
        <f>Vuosikate!H123+'7. Nettoinvestoinnit '!H123+'8. Satunnaiset erät'!H123+'9. Tulorahkorjauserät'!H123</f>
        <v>-2572.6845000938629</v>
      </c>
      <c r="I123" s="41">
        <f>Vuosikate!I123+'7. Nettoinvestoinnit '!I123+'8. Satunnaiset erät'!I123+'9. Tulorahkorjauserät'!I123</f>
        <v>-6779.0853857470229</v>
      </c>
      <c r="J123" s="41">
        <f>Vuosikate!J123+'7. Nettoinvestoinnit '!J123+'8. Satunnaiset erät'!J123+'9. Tulorahkorjauserät'!J123</f>
        <v>-12095.716187595362</v>
      </c>
      <c r="K123" s="41">
        <f>Vuosikate!K123+'7. Nettoinvestoinnit '!K123+'8. Satunnaiset erät'!K123+'9. Tulorahkorjauserät'!K123</f>
        <v>-12713.526341057262</v>
      </c>
      <c r="L123" s="41">
        <f>Vuosikate!L123+'7. Nettoinvestoinnit '!L123+'8. Satunnaiset erät'!L123+'9. Tulorahkorjauserät'!L123</f>
        <v>-15014.099264157776</v>
      </c>
      <c r="M123" s="41">
        <f>Vuosikate!M123+'7. Nettoinvestoinnit '!M123+'8. Satunnaiset erät'!M123+'9. Tulorahkorjauserät'!M123</f>
        <v>-15817.334932732923</v>
      </c>
      <c r="N123" s="41">
        <f>Vuosikate!N123+'7. Nettoinvestoinnit '!N123+'8. Satunnaiset erät'!N123+'9. Tulorahkorjauserät'!N123</f>
        <v>-16953.543654800109</v>
      </c>
      <c r="O123" s="41">
        <f>Vuosikate!O123+'7. Nettoinvestoinnit '!O123+'8. Satunnaiset erät'!O123+'9. Tulorahkorjauserät'!O123</f>
        <v>-17932.768356445195</v>
      </c>
      <c r="P123" s="41">
        <f>Vuosikate!P123+'7. Nettoinvestoinnit '!P123+'8. Satunnaiset erät'!P123+'9. Tulorahkorjauserät'!P123</f>
        <v>-16914.658307866484</v>
      </c>
      <c r="T123" s="34">
        <v>305</v>
      </c>
      <c r="U123" s="88" t="s">
        <v>437</v>
      </c>
      <c r="V123" s="41" t="e">
        <f>C123/'1. Väestöennuste'!E123*1000</f>
        <v>#REF!</v>
      </c>
      <c r="W123" s="41">
        <f>D123/'1. Väestöennuste'!F123*1000</f>
        <v>33.412734178845042</v>
      </c>
      <c r="X123" s="41">
        <f>E123/'1. Väestöennuste'!G123*1000</f>
        <v>30.677239048485639</v>
      </c>
      <c r="Y123" s="41">
        <f>F123/'1. Väestöennuste'!H123*1000</f>
        <v>-387.38738738738738</v>
      </c>
      <c r="Z123" s="41">
        <f>G123/'1. Väestöennuste'!I123*1000</f>
        <v>-188.91238271441787</v>
      </c>
      <c r="AA123" s="41">
        <f>H123/'1. Väestöennuste'!J123*1000</f>
        <v>-169.11092487306007</v>
      </c>
      <c r="AB123" s="41">
        <f>I123/'1. Väestöennuste'!K123*1000</f>
        <v>-447.02178606970148</v>
      </c>
      <c r="AC123" s="41">
        <f>J123/'1. Väestöennuste'!L123*1000</f>
        <v>-798.60796167934518</v>
      </c>
      <c r="AD123" s="41">
        <f>K123/'1. Väestöennuste'!M123*1000</f>
        <v>-846.49619422446654</v>
      </c>
      <c r="AE123" s="41">
        <f>L123/'1. Väestöennuste'!N123*1000</f>
        <v>-1016.1139187979005</v>
      </c>
      <c r="AF123" s="41">
        <f>M123/'1. Väestöennuste'!O123*1000</f>
        <v>-1077.9891591857781</v>
      </c>
      <c r="AG123" s="41">
        <f>N123/'1. Väestöennuste'!P123*1000</f>
        <v>-1163.2732026073904</v>
      </c>
      <c r="AH123" s="41">
        <f>O123/'1. Väestöennuste'!Q123*1000</f>
        <v>-1238.9642363165121</v>
      </c>
      <c r="AI123" s="41">
        <f>P123/'1. Väestöennuste'!R123*1000</f>
        <v>-1176.753743416341</v>
      </c>
    </row>
    <row r="124" spans="1:35" x14ac:dyDescent="0.2">
      <c r="A124" s="34">
        <v>309</v>
      </c>
      <c r="B124" s="88" t="s">
        <v>438</v>
      </c>
      <c r="C124" s="41" t="e">
        <f>Vuosikate!C124+'7. Nettoinvestoinnit '!C124+'8. Satunnaiset erät'!C124+'9. Tulorahkorjauserät'!C124</f>
        <v>#REF!</v>
      </c>
      <c r="D124" s="41">
        <f>Vuosikate!D124+'7. Nettoinvestoinnit '!D124+'8. Satunnaiset erät'!D124+'9. Tulorahkorjauserät'!D124</f>
        <v>-1222</v>
      </c>
      <c r="E124" s="41">
        <f>Vuosikate!E124+'7. Nettoinvestoinnit '!E124+'8. Satunnaiset erät'!E124+'9. Tulorahkorjauserät'!E124</f>
        <v>2657</v>
      </c>
      <c r="F124" s="41">
        <f>Vuosikate!F124+'7. Nettoinvestoinnit '!F124+'8. Satunnaiset erät'!F124+'9. Tulorahkorjauserät'!F124</f>
        <v>1134</v>
      </c>
      <c r="G124" s="41">
        <f>Vuosikate!G124+'7. Nettoinvestoinnit '!G124+'8. Satunnaiset erät'!G124+'9. Tulorahkorjauserät'!G124</f>
        <v>-2375</v>
      </c>
      <c r="H124" s="41">
        <f>Vuosikate!H124+'7. Nettoinvestoinnit '!H124+'8. Satunnaiset erät'!H124+'9. Tulorahkorjauserät'!H124</f>
        <v>64188.822853882099</v>
      </c>
      <c r="I124" s="41">
        <f>Vuosikate!I124+'7. Nettoinvestoinnit '!I124+'8. Satunnaiset erät'!I124+'9. Tulorahkorjauserät'!I124</f>
        <v>1657.2790695818592</v>
      </c>
      <c r="J124" s="41">
        <f>Vuosikate!J124+'7. Nettoinvestoinnit '!J124+'8. Satunnaiset erät'!J124+'9. Tulorahkorjauserät'!J124</f>
        <v>-6806.0898601939462</v>
      </c>
      <c r="K124" s="41">
        <f>Vuosikate!K124+'7. Nettoinvestoinnit '!K124+'8. Satunnaiset erät'!K124+'9. Tulorahkorjauserät'!K124</f>
        <v>-3355.3471447809079</v>
      </c>
      <c r="L124" s="41">
        <f>Vuosikate!L124+'7. Nettoinvestoinnit '!L124+'8. Satunnaiset erät'!L124+'9. Tulorahkorjauserät'!L124</f>
        <v>-2226.3868587186944</v>
      </c>
      <c r="M124" s="41">
        <f>Vuosikate!M124+'7. Nettoinvestoinnit '!M124+'8. Satunnaiset erät'!M124+'9. Tulorahkorjauserät'!M124</f>
        <v>-3291.5790563620412</v>
      </c>
      <c r="N124" s="41">
        <f>Vuosikate!N124+'7. Nettoinvestoinnit '!N124+'8. Satunnaiset erät'!N124+'9. Tulorahkorjauserät'!N124</f>
        <v>-2994.336865339671</v>
      </c>
      <c r="O124" s="41">
        <f>Vuosikate!O124+'7. Nettoinvestoinnit '!O124+'8. Satunnaiset erät'!O124+'9. Tulorahkorjauserät'!O124</f>
        <v>-3189.3874405337137</v>
      </c>
      <c r="P124" s="41">
        <f>Vuosikate!P124+'7. Nettoinvestoinnit '!P124+'8. Satunnaiset erät'!P124+'9. Tulorahkorjauserät'!P124</f>
        <v>-2120.0989782821607</v>
      </c>
      <c r="T124" s="34">
        <v>309</v>
      </c>
      <c r="U124" s="88" t="s">
        <v>438</v>
      </c>
      <c r="V124" s="41" t="e">
        <f>C124/'1. Väestöennuste'!E124*1000</f>
        <v>#REF!</v>
      </c>
      <c r="W124" s="41">
        <f>D124/'1. Väestöennuste'!F124*1000</f>
        <v>-172.33112395994922</v>
      </c>
      <c r="X124" s="41">
        <f>E124/'1. Väestöennuste'!G124*1000</f>
        <v>379.40882478937601</v>
      </c>
      <c r="Y124" s="41">
        <f>F124/'1. Väestöennuste'!H124*1000</f>
        <v>166.69116566220785</v>
      </c>
      <c r="Z124" s="41">
        <f>G124/'1. Väestöennuste'!I124*1000</f>
        <v>-355.11363636363637</v>
      </c>
      <c r="AA124" s="41">
        <f>H124/'1. Väestöennuste'!J124*1000</f>
        <v>9796.8288849026394</v>
      </c>
      <c r="AB124" s="41">
        <f>I124/'1. Väestöennuste'!K124*1000</f>
        <v>254.7308745130432</v>
      </c>
      <c r="AC124" s="41">
        <f>J124/'1. Väestöennuste'!L124*1000</f>
        <v>-1054.0637850695286</v>
      </c>
      <c r="AD124" s="41">
        <f>K124/'1. Väestöennuste'!M124*1000</f>
        <v>-523.53676779230898</v>
      </c>
      <c r="AE124" s="41">
        <f>L124/'1. Väestöennuste'!N124*1000</f>
        <v>-362.36765278624586</v>
      </c>
      <c r="AF124" s="41">
        <f>M124/'1. Väestöennuste'!O124*1000</f>
        <v>-544.15259652207658</v>
      </c>
      <c r="AG124" s="41">
        <f>N124/'1. Väestöennuste'!P124*1000</f>
        <v>-502.99628176376132</v>
      </c>
      <c r="AH124" s="41">
        <f>O124/'1. Väestöennuste'!Q124*1000</f>
        <v>-543.98557744051061</v>
      </c>
      <c r="AI124" s="41">
        <f>P124/'1. Väestöennuste'!R124*1000</f>
        <v>-367.30751529489964</v>
      </c>
    </row>
    <row r="125" spans="1:35" x14ac:dyDescent="0.2">
      <c r="A125" s="34">
        <v>312</v>
      </c>
      <c r="B125" s="88" t="s">
        <v>439</v>
      </c>
      <c r="C125" s="41" t="e">
        <f>Vuosikate!C125+'7. Nettoinvestoinnit '!C125+'8. Satunnaiset erät'!C125+'9. Tulorahkorjauserät'!C125</f>
        <v>#REF!</v>
      </c>
      <c r="D125" s="41">
        <f>Vuosikate!D125+'7. Nettoinvestoinnit '!D125+'8. Satunnaiset erät'!D125+'9. Tulorahkorjauserät'!D125</f>
        <v>-1338</v>
      </c>
      <c r="E125" s="41">
        <f>Vuosikate!E125+'7. Nettoinvestoinnit '!E125+'8. Satunnaiset erät'!E125+'9. Tulorahkorjauserät'!E125</f>
        <v>42</v>
      </c>
      <c r="F125" s="41">
        <f>Vuosikate!F125+'7. Nettoinvestoinnit '!F125+'8. Satunnaiset erät'!F125+'9. Tulorahkorjauserät'!F125</f>
        <v>-653</v>
      </c>
      <c r="G125" s="41">
        <f>Vuosikate!G125+'7. Nettoinvestoinnit '!G125+'8. Satunnaiset erät'!G125+'9. Tulorahkorjauserät'!G125</f>
        <v>2452</v>
      </c>
      <c r="H125" s="41">
        <f>Vuosikate!H125+'7. Nettoinvestoinnit '!H125+'8. Satunnaiset erät'!H125+'9. Tulorahkorjauserät'!H125</f>
        <v>-1001.890059664699</v>
      </c>
      <c r="I125" s="41">
        <f>Vuosikate!I125+'7. Nettoinvestoinnit '!I125+'8. Satunnaiset erät'!I125+'9. Tulorahkorjauserät'!I125</f>
        <v>843.19966881265361</v>
      </c>
      <c r="J125" s="41">
        <f>Vuosikate!J125+'7. Nettoinvestoinnit '!J125+'8. Satunnaiset erät'!J125+'9. Tulorahkorjauserät'!J125</f>
        <v>196.06681730706339</v>
      </c>
      <c r="K125" s="41">
        <f>Vuosikate!K125+'7. Nettoinvestoinnit '!K125+'8. Satunnaiset erät'!K125+'9. Tulorahkorjauserät'!K125</f>
        <v>702.96951702440072</v>
      </c>
      <c r="L125" s="41">
        <f>Vuosikate!L125+'7. Nettoinvestoinnit '!L125+'8. Satunnaiset erät'!L125+'9. Tulorahkorjauserät'!L125</f>
        <v>-16.036454111437251</v>
      </c>
      <c r="M125" s="41">
        <f>Vuosikate!M125+'7. Nettoinvestoinnit '!M125+'8. Satunnaiset erät'!M125+'9. Tulorahkorjauserät'!M125</f>
        <v>-88.345240412038095</v>
      </c>
      <c r="N125" s="41">
        <f>Vuosikate!N125+'7. Nettoinvestoinnit '!N125+'8. Satunnaiset erät'!N125+'9. Tulorahkorjauserät'!N125</f>
        <v>-143.73433905897309</v>
      </c>
      <c r="O125" s="41">
        <f>Vuosikate!O125+'7. Nettoinvestoinnit '!O125+'8. Satunnaiset erät'!O125+'9. Tulorahkorjauserät'!O125</f>
        <v>-133.69966547145154</v>
      </c>
      <c r="P125" s="41">
        <f>Vuosikate!P125+'7. Nettoinvestoinnit '!P125+'8. Satunnaiset erät'!P125+'9. Tulorahkorjauserät'!P125</f>
        <v>-93.257702926864681</v>
      </c>
      <c r="T125" s="34">
        <v>312</v>
      </c>
      <c r="U125" s="88" t="s">
        <v>439</v>
      </c>
      <c r="V125" s="41" t="e">
        <f>C125/'1. Väestöennuste'!E125*1000</f>
        <v>#REF!</v>
      </c>
      <c r="W125" s="41">
        <f>D125/'1. Väestöennuste'!F125*1000</f>
        <v>-973.09090909090912</v>
      </c>
      <c r="X125" s="41">
        <f>E125/'1. Väestöennuste'!G125*1000</f>
        <v>31.065088757396449</v>
      </c>
      <c r="Y125" s="41">
        <f>F125/'1. Väestöennuste'!H125*1000</f>
        <v>-486.22486969471333</v>
      </c>
      <c r="Z125" s="41">
        <f>G125/'1. Väestöennuste'!I125*1000</f>
        <v>1867.4790555978675</v>
      </c>
      <c r="AA125" s="41">
        <f>H125/'1. Väestöennuste'!J125*1000</f>
        <v>-777.86495315582226</v>
      </c>
      <c r="AB125" s="41">
        <f>I125/'1. Väestöennuste'!K125*1000</f>
        <v>684.41531559468638</v>
      </c>
      <c r="AC125" s="41">
        <f>J125/'1. Väestöennuste'!L125*1000</f>
        <v>163.93546597580553</v>
      </c>
      <c r="AD125" s="41">
        <f>K125/'1. Väestöennuste'!M125*1000</f>
        <v>598.78153068517952</v>
      </c>
      <c r="AE125" s="41">
        <f>L125/'1. Väestöennuste'!N125*1000</f>
        <v>-13.374857474092787</v>
      </c>
      <c r="AF125" s="41">
        <f>M125/'1. Väestöennuste'!O125*1000</f>
        <v>-74.932349798166314</v>
      </c>
      <c r="AG125" s="41">
        <f>N125/'1. Väestöennuste'!P125*1000</f>
        <v>-123.80218695863316</v>
      </c>
      <c r="AH125" s="41">
        <f>O125/'1. Väestöennuste'!Q125*1000</f>
        <v>-116.97258571430581</v>
      </c>
      <c r="AI125" s="41">
        <f>P125/'1. Väestöennuste'!R125*1000</f>
        <v>-82.969486589737258</v>
      </c>
    </row>
    <row r="126" spans="1:35" x14ac:dyDescent="0.2">
      <c r="A126" s="34">
        <v>316</v>
      </c>
      <c r="B126" s="88" t="s">
        <v>440</v>
      </c>
      <c r="C126" s="41" t="e">
        <f>Vuosikate!C126+'7. Nettoinvestoinnit '!C126+'8. Satunnaiset erät'!C126+'9. Tulorahkorjauserät'!C126</f>
        <v>#REF!</v>
      </c>
      <c r="D126" s="41">
        <f>Vuosikate!D126+'7. Nettoinvestoinnit '!D126+'8. Satunnaiset erät'!D126+'9. Tulorahkorjauserät'!D126</f>
        <v>5109</v>
      </c>
      <c r="E126" s="41">
        <f>Vuosikate!E126+'7. Nettoinvestoinnit '!E126+'8. Satunnaiset erät'!E126+'9. Tulorahkorjauserät'!E126</f>
        <v>2115</v>
      </c>
      <c r="F126" s="41">
        <f>Vuosikate!F126+'7. Nettoinvestoinnit '!F126+'8. Satunnaiset erät'!F126+'9. Tulorahkorjauserät'!F126</f>
        <v>-367</v>
      </c>
      <c r="G126" s="41">
        <f>Vuosikate!G126+'7. Nettoinvestoinnit '!G126+'8. Satunnaiset erät'!G126+'9. Tulorahkorjauserät'!G126</f>
        <v>-5171</v>
      </c>
      <c r="H126" s="41">
        <f>Vuosikate!H126+'7. Nettoinvestoinnit '!H126+'8. Satunnaiset erät'!H126+'9. Tulorahkorjauserät'!H126</f>
        <v>1445.4064914306709</v>
      </c>
      <c r="I126" s="41">
        <f>Vuosikate!I126+'7. Nettoinvestoinnit '!I126+'8. Satunnaiset erät'!I126+'9. Tulorahkorjauserät'!I126</f>
        <v>-8312.1605990501885</v>
      </c>
      <c r="J126" s="41">
        <f>Vuosikate!J126+'7. Nettoinvestoinnit '!J126+'8. Satunnaiset erät'!J126+'9. Tulorahkorjauserät'!J126</f>
        <v>-2985.7364135414214</v>
      </c>
      <c r="K126" s="41">
        <f>Vuosikate!K126+'7. Nettoinvestoinnit '!K126+'8. Satunnaiset erät'!K126+'9. Tulorahkorjauserät'!K126</f>
        <v>-889.28212426117727</v>
      </c>
      <c r="L126" s="41">
        <f>Vuosikate!L126+'7. Nettoinvestoinnit '!L126+'8. Satunnaiset erät'!L126+'9. Tulorahkorjauserät'!L126</f>
        <v>-1341.3107026466828</v>
      </c>
      <c r="M126" s="41">
        <f>Vuosikate!M126+'7. Nettoinvestoinnit '!M126+'8. Satunnaiset erät'!M126+'9. Tulorahkorjauserät'!M126</f>
        <v>-3588.6604031392899</v>
      </c>
      <c r="N126" s="41">
        <f>Vuosikate!N126+'7. Nettoinvestoinnit '!N126+'8. Satunnaiset erät'!N126+'9. Tulorahkorjauserät'!N126</f>
        <v>-4815.7734238574967</v>
      </c>
      <c r="O126" s="41">
        <f>Vuosikate!O126+'7. Nettoinvestoinnit '!O126+'8. Satunnaiset erät'!O126+'9. Tulorahkorjauserät'!O126</f>
        <v>-4938.1363920015629</v>
      </c>
      <c r="P126" s="41">
        <f>Vuosikate!P126+'7. Nettoinvestoinnit '!P126+'8. Satunnaiset erät'!P126+'9. Tulorahkorjauserät'!P126</f>
        <v>-4876.2788460710444</v>
      </c>
      <c r="T126" s="34">
        <v>316</v>
      </c>
      <c r="U126" s="88" t="s">
        <v>440</v>
      </c>
      <c r="V126" s="41" t="e">
        <f>C126/'1. Väestöennuste'!E126*1000</f>
        <v>#REF!</v>
      </c>
      <c r="W126" s="41">
        <f>D126/'1. Väestöennuste'!F126*1000</f>
        <v>1125.3303964757708</v>
      </c>
      <c r="X126" s="41">
        <f>E126/'1. Väestöennuste'!G126*1000</f>
        <v>469.16592724046143</v>
      </c>
      <c r="Y126" s="41">
        <f>F126/'1. Väestöennuste'!H126*1000</f>
        <v>-82.453381262637606</v>
      </c>
      <c r="Z126" s="41">
        <f>G126/'1. Väestöennuste'!I126*1000</f>
        <v>-1183.8369963369964</v>
      </c>
      <c r="AA126" s="41">
        <f>H126/'1. Väestöennuste'!J126*1000</f>
        <v>334.12077934134788</v>
      </c>
      <c r="AB126" s="41">
        <f>I126/'1. Väestöennuste'!K126*1000</f>
        <v>-1958.1061481861457</v>
      </c>
      <c r="AC126" s="41">
        <f>J126/'1. Väestöennuste'!L126*1000</f>
        <v>-711.22830241577446</v>
      </c>
      <c r="AD126" s="41">
        <f>K126/'1. Väestöennuste'!M126*1000</f>
        <v>-216.15997186708248</v>
      </c>
      <c r="AE126" s="41">
        <f>L126/'1. Väestöennuste'!N126*1000</f>
        <v>-324.69394883725073</v>
      </c>
      <c r="AF126" s="41">
        <f>M126/'1. Väestöennuste'!O126*1000</f>
        <v>-877.20860502060373</v>
      </c>
      <c r="AG126" s="41">
        <f>N126/'1. Väestöennuste'!P126*1000</f>
        <v>-1187.6136680289758</v>
      </c>
      <c r="AH126" s="41">
        <f>O126/'1. Väestöennuste'!Q126*1000</f>
        <v>-1227.1710715709648</v>
      </c>
      <c r="AI126" s="41">
        <f>P126/'1. Väestöennuste'!R126*1000</f>
        <v>-1221.2068234588141</v>
      </c>
    </row>
    <row r="127" spans="1:35" x14ac:dyDescent="0.2">
      <c r="A127" s="34">
        <v>317</v>
      </c>
      <c r="B127" s="88" t="s">
        <v>441</v>
      </c>
      <c r="C127" s="41" t="e">
        <f>Vuosikate!C127+'7. Nettoinvestoinnit '!C127+'8. Satunnaiset erät'!C127+'9. Tulorahkorjauserät'!C127</f>
        <v>#REF!</v>
      </c>
      <c r="D127" s="41">
        <f>Vuosikate!D127+'7. Nettoinvestoinnit '!D127+'8. Satunnaiset erät'!D127+'9. Tulorahkorjauserät'!D127</f>
        <v>1204</v>
      </c>
      <c r="E127" s="41">
        <f>Vuosikate!E127+'7. Nettoinvestoinnit '!E127+'8. Satunnaiset erät'!E127+'9. Tulorahkorjauserät'!E127</f>
        <v>491</v>
      </c>
      <c r="F127" s="41">
        <f>Vuosikate!F127+'7. Nettoinvestoinnit '!F127+'8. Satunnaiset erät'!F127+'9. Tulorahkorjauserät'!F127</f>
        <v>507</v>
      </c>
      <c r="G127" s="41">
        <f>Vuosikate!G127+'7. Nettoinvestoinnit '!G127+'8. Satunnaiset erät'!G127+'9. Tulorahkorjauserät'!G127</f>
        <v>787</v>
      </c>
      <c r="H127" s="41">
        <f>Vuosikate!H127+'7. Nettoinvestoinnit '!H127+'8. Satunnaiset erät'!H127+'9. Tulorahkorjauserät'!H127</f>
        <v>1319.620233685213</v>
      </c>
      <c r="I127" s="41">
        <f>Vuosikate!I127+'7. Nettoinvestoinnit '!I127+'8. Satunnaiset erät'!I127+'9. Tulorahkorjauserät'!I127</f>
        <v>1170.8448167036145</v>
      </c>
      <c r="J127" s="41">
        <f>Vuosikate!J127+'7. Nettoinvestoinnit '!J127+'8. Satunnaiset erät'!J127+'9. Tulorahkorjauserät'!J127</f>
        <v>553.40825624769195</v>
      </c>
      <c r="K127" s="41">
        <f>Vuosikate!K127+'7. Nettoinvestoinnit '!K127+'8. Satunnaiset erät'!K127+'9. Tulorahkorjauserät'!K127</f>
        <v>916.37123993345028</v>
      </c>
      <c r="L127" s="41">
        <f>Vuosikate!L127+'7. Nettoinvestoinnit '!L127+'8. Satunnaiset erät'!L127+'9. Tulorahkorjauserät'!L127</f>
        <v>76.430360048008197</v>
      </c>
      <c r="M127" s="41">
        <f>Vuosikate!M127+'7. Nettoinvestoinnit '!M127+'8. Satunnaiset erät'!M127+'9. Tulorahkorjauserät'!M127</f>
        <v>-397.61327201714789</v>
      </c>
      <c r="N127" s="41">
        <f>Vuosikate!N127+'7. Nettoinvestoinnit '!N127+'8. Satunnaiset erät'!N127+'9. Tulorahkorjauserät'!N127</f>
        <v>-711.59828952473492</v>
      </c>
      <c r="O127" s="41">
        <f>Vuosikate!O127+'7. Nettoinvestoinnit '!O127+'8. Satunnaiset erät'!O127+'9. Tulorahkorjauserät'!O127</f>
        <v>-968.24675965974177</v>
      </c>
      <c r="P127" s="41">
        <f>Vuosikate!P127+'7. Nettoinvestoinnit '!P127+'8. Satunnaiset erät'!P127+'9. Tulorahkorjauserät'!P127</f>
        <v>-986.50324169494843</v>
      </c>
      <c r="T127" s="34">
        <v>317</v>
      </c>
      <c r="U127" s="88" t="s">
        <v>441</v>
      </c>
      <c r="V127" s="41" t="e">
        <f>C127/'1. Väestöennuste'!E127*1000</f>
        <v>#REF!</v>
      </c>
      <c r="W127" s="41">
        <f>D127/'1. Väestöennuste'!F127*1000</f>
        <v>453.48399246704332</v>
      </c>
      <c r="X127" s="41">
        <f>E127/'1. Väestöennuste'!G127*1000</f>
        <v>188.05055534278054</v>
      </c>
      <c r="Y127" s="41">
        <f>F127/'1. Väestöennuste'!H127*1000</f>
        <v>194.02985074626866</v>
      </c>
      <c r="Z127" s="41">
        <f>G127/'1. Väestöennuste'!I127*1000</f>
        <v>305.51242236024842</v>
      </c>
      <c r="AA127" s="41">
        <f>H127/'1. Väestöennuste'!J127*1000</f>
        <v>519.94493053002873</v>
      </c>
      <c r="AB127" s="41">
        <f>I127/'1. Väestöennuste'!K127*1000</f>
        <v>462.23640612065316</v>
      </c>
      <c r="AC127" s="41">
        <f>J127/'1. Väestöennuste'!L127*1000</f>
        <v>223.68967512032819</v>
      </c>
      <c r="AD127" s="41">
        <f>K127/'1. Väestöennuste'!M127*1000</f>
        <v>375.56198357928287</v>
      </c>
      <c r="AE127" s="41">
        <f>L127/'1. Väestöennuste'!N127*1000</f>
        <v>31.582793408267847</v>
      </c>
      <c r="AF127" s="41">
        <f>M127/'1. Väestöennuste'!O127*1000</f>
        <v>-166.08741521184123</v>
      </c>
      <c r="AG127" s="41">
        <f>N127/'1. Väestöennuste'!P127*1000</f>
        <v>-300.37918510963908</v>
      </c>
      <c r="AH127" s="41">
        <f>O127/'1. Väestöennuste'!Q127*1000</f>
        <v>-413.6039127124057</v>
      </c>
      <c r="AI127" s="41">
        <f>P127/'1. Väestöennuste'!R127*1000</f>
        <v>-425.95131333978776</v>
      </c>
    </row>
    <row r="128" spans="1:35" x14ac:dyDescent="0.2">
      <c r="A128" s="34">
        <v>320</v>
      </c>
      <c r="B128" s="88" t="s">
        <v>442</v>
      </c>
      <c r="C128" s="41" t="e">
        <f>Vuosikate!C128+'7. Nettoinvestoinnit '!C128+'8. Satunnaiset erät'!C128+'9. Tulorahkorjauserät'!C128</f>
        <v>#REF!</v>
      </c>
      <c r="D128" s="41">
        <f>Vuosikate!D128+'7. Nettoinvestoinnit '!D128+'8. Satunnaiset erät'!D128+'9. Tulorahkorjauserät'!D128</f>
        <v>11132</v>
      </c>
      <c r="E128" s="41">
        <f>Vuosikate!E128+'7. Nettoinvestoinnit '!E128+'8. Satunnaiset erät'!E128+'9. Tulorahkorjauserät'!E128</f>
        <v>-1237</v>
      </c>
      <c r="F128" s="41">
        <f>Vuosikate!F128+'7. Nettoinvestoinnit '!F128+'8. Satunnaiset erät'!F128+'9. Tulorahkorjauserät'!F128</f>
        <v>1472</v>
      </c>
      <c r="G128" s="41">
        <f>Vuosikate!G128+'7. Nettoinvestoinnit '!G128+'8. Satunnaiset erät'!G128+'9. Tulorahkorjauserät'!G128</f>
        <v>-700</v>
      </c>
      <c r="H128" s="41">
        <f>Vuosikate!H128+'7. Nettoinvestoinnit '!H128+'8. Satunnaiset erät'!H128+'9. Tulorahkorjauserät'!H128</f>
        <v>-1707.5244971111606</v>
      </c>
      <c r="I128" s="41">
        <f>Vuosikate!I128+'7. Nettoinvestoinnit '!I128+'8. Satunnaiset erät'!I128+'9. Tulorahkorjauserät'!I128</f>
        <v>4390.6331100418565</v>
      </c>
      <c r="J128" s="41">
        <f>Vuosikate!J128+'7. Nettoinvestoinnit '!J128+'8. Satunnaiset erät'!J128+'9. Tulorahkorjauserät'!J128</f>
        <v>10123.916099648417</v>
      </c>
      <c r="K128" s="41">
        <f>Vuosikate!K128+'7. Nettoinvestoinnit '!K128+'8. Satunnaiset erät'!K128+'9. Tulorahkorjauserät'!K128</f>
        <v>2913.6873081307394</v>
      </c>
      <c r="L128" s="41">
        <f>Vuosikate!L128+'7. Nettoinvestoinnit '!L128+'8. Satunnaiset erät'!L128+'9. Tulorahkorjauserät'!L128</f>
        <v>1186.0959232410214</v>
      </c>
      <c r="M128" s="41">
        <f>Vuosikate!M128+'7. Nettoinvestoinnit '!M128+'8. Satunnaiset erät'!M128+'9. Tulorahkorjauserät'!M128</f>
        <v>1999.7992218599557</v>
      </c>
      <c r="N128" s="41">
        <f>Vuosikate!N128+'7. Nettoinvestoinnit '!N128+'8. Satunnaiset erät'!N128+'9. Tulorahkorjauserät'!N128</f>
        <v>1204.72123534296</v>
      </c>
      <c r="O128" s="41">
        <f>Vuosikate!O128+'7. Nettoinvestoinnit '!O128+'8. Satunnaiset erät'!O128+'9. Tulorahkorjauserät'!O128</f>
        <v>1120.5241841680327</v>
      </c>
      <c r="P128" s="41">
        <f>Vuosikate!P128+'7. Nettoinvestoinnit '!P128+'8. Satunnaiset erät'!P128+'9. Tulorahkorjauserät'!P128</f>
        <v>2071.7488818417232</v>
      </c>
      <c r="T128" s="34">
        <v>320</v>
      </c>
      <c r="U128" s="88" t="s">
        <v>442</v>
      </c>
      <c r="V128" s="41" t="e">
        <f>C128/'1. Väestöennuste'!E128*1000</f>
        <v>#REF!</v>
      </c>
      <c r="W128" s="41">
        <f>D128/'1. Väestöennuste'!F128*1000</f>
        <v>1453.0740112256885</v>
      </c>
      <c r="X128" s="41">
        <f>E128/'1. Väestöennuste'!G128*1000</f>
        <v>-164.18900982213964</v>
      </c>
      <c r="Y128" s="41">
        <f>F128/'1. Väestöennuste'!H128*1000</f>
        <v>199.72862957937585</v>
      </c>
      <c r="Z128" s="41">
        <f>G128/'1. Väestöennuste'!I128*1000</f>
        <v>-96.233159197140495</v>
      </c>
      <c r="AA128" s="41">
        <f>H128/'1. Väestöennuste'!J128*1000</f>
        <v>-237.45299639982764</v>
      </c>
      <c r="AB128" s="41">
        <f>I128/'1. Väestöennuste'!K128*1000</f>
        <v>617.96384377788274</v>
      </c>
      <c r="AC128" s="41">
        <f>J128/'1. Väestöennuste'!L128*1000</f>
        <v>1447.1006431744449</v>
      </c>
      <c r="AD128" s="41">
        <f>K128/'1. Väestöennuste'!M128*1000</f>
        <v>414.46476644818489</v>
      </c>
      <c r="AE128" s="41">
        <f>L128/'1. Väestöennuste'!N128*1000</f>
        <v>175.90032971096269</v>
      </c>
      <c r="AF128" s="41">
        <f>M128/'1. Väestöennuste'!O128*1000</f>
        <v>300.67647299052106</v>
      </c>
      <c r="AG128" s="41">
        <f>N128/'1. Väestöennuste'!P128*1000</f>
        <v>183.64652977789024</v>
      </c>
      <c r="AH128" s="41">
        <f>O128/'1. Väestöennuste'!Q128*1000</f>
        <v>173.05392805683903</v>
      </c>
      <c r="AI128" s="41">
        <f>P128/'1. Väestöennuste'!R128*1000</f>
        <v>323.9638595530451</v>
      </c>
    </row>
    <row r="129" spans="1:35" x14ac:dyDescent="0.2">
      <c r="A129" s="34">
        <v>322</v>
      </c>
      <c r="B129" s="88" t="s">
        <v>443</v>
      </c>
      <c r="C129" s="41" t="e">
        <f>Vuosikate!C129+'7. Nettoinvestoinnit '!C129+'8. Satunnaiset erät'!C129+'9. Tulorahkorjauserät'!C129</f>
        <v>#REF!</v>
      </c>
      <c r="D129" s="41">
        <f>Vuosikate!D129+'7. Nettoinvestoinnit '!D129+'8. Satunnaiset erät'!D129+'9. Tulorahkorjauserät'!D129</f>
        <v>-24</v>
      </c>
      <c r="E129" s="41">
        <f>Vuosikate!E129+'7. Nettoinvestoinnit '!E129+'8. Satunnaiset erät'!E129+'9. Tulorahkorjauserät'!E129</f>
        <v>-921</v>
      </c>
      <c r="F129" s="41">
        <f>Vuosikate!F129+'7. Nettoinvestoinnit '!F129+'8. Satunnaiset erät'!F129+'9. Tulorahkorjauserät'!F129</f>
        <v>-733</v>
      </c>
      <c r="G129" s="41">
        <f>Vuosikate!G129+'7. Nettoinvestoinnit '!G129+'8. Satunnaiset erät'!G129+'9. Tulorahkorjauserät'!G129</f>
        <v>-129</v>
      </c>
      <c r="H129" s="41">
        <f>Vuosikate!H129+'7. Nettoinvestoinnit '!H129+'8. Satunnaiset erät'!H129+'9. Tulorahkorjauserät'!H129</f>
        <v>5631.6166194393045</v>
      </c>
      <c r="I129" s="41">
        <f>Vuosikate!I129+'7. Nettoinvestoinnit '!I129+'8. Satunnaiset erät'!I129+'9. Tulorahkorjauserät'!I129</f>
        <v>4079.8067250494487</v>
      </c>
      <c r="J129" s="41">
        <f>Vuosikate!J129+'7. Nettoinvestoinnit '!J129+'8. Satunnaiset erät'!J129+'9. Tulorahkorjauserät'!J129</f>
        <v>4246.7303710168517</v>
      </c>
      <c r="K129" s="41">
        <f>Vuosikate!K129+'7. Nettoinvestoinnit '!K129+'8. Satunnaiset erät'!K129+'9. Tulorahkorjauserät'!K129</f>
        <v>3254.7155426417403</v>
      </c>
      <c r="L129" s="41">
        <f>Vuosikate!L129+'7. Nettoinvestoinnit '!L129+'8. Satunnaiset erät'!L129+'9. Tulorahkorjauserät'!L129</f>
        <v>-139.56112060302075</v>
      </c>
      <c r="M129" s="41">
        <f>Vuosikate!M129+'7. Nettoinvestoinnit '!M129+'8. Satunnaiset erät'!M129+'9. Tulorahkorjauserät'!M129</f>
        <v>-813.9994257838498</v>
      </c>
      <c r="N129" s="41">
        <f>Vuosikate!N129+'7. Nettoinvestoinnit '!N129+'8. Satunnaiset erät'!N129+'9. Tulorahkorjauserät'!N129</f>
        <v>-791.68741262654657</v>
      </c>
      <c r="O129" s="41">
        <f>Vuosikate!O129+'7. Nettoinvestoinnit '!O129+'8. Satunnaiset erät'!O129+'9. Tulorahkorjauserät'!O129</f>
        <v>-1189.3982918916854</v>
      </c>
      <c r="P129" s="41">
        <f>Vuosikate!P129+'7. Nettoinvestoinnit '!P129+'8. Satunnaiset erät'!P129+'9. Tulorahkorjauserät'!P129</f>
        <v>-340.33834510974884</v>
      </c>
      <c r="T129" s="34">
        <v>322</v>
      </c>
      <c r="U129" s="88" t="s">
        <v>443</v>
      </c>
      <c r="V129" s="41" t="e">
        <f>C129/'1. Väestöennuste'!E129*1000</f>
        <v>#REF!</v>
      </c>
      <c r="W129" s="41">
        <f>D129/'1. Väestöennuste'!F129*1000</f>
        <v>-3.4924330616996508</v>
      </c>
      <c r="X129" s="41">
        <f>E129/'1. Väestöennuste'!G129*1000</f>
        <v>-135.58074488443987</v>
      </c>
      <c r="Y129" s="41">
        <f>F129/'1. Väestöennuste'!H129*1000</f>
        <v>-109.01249256395003</v>
      </c>
      <c r="Z129" s="41">
        <f>G129/'1. Väestöennuste'!I129*1000</f>
        <v>-19.427710843373493</v>
      </c>
      <c r="AA129" s="41">
        <f>H129/'1. Väestöennuste'!J129*1000</f>
        <v>852.11327272496658</v>
      </c>
      <c r="AB129" s="41">
        <f>I129/'1. Väestöennuste'!K129*1000</f>
        <v>616.84407696544429</v>
      </c>
      <c r="AC129" s="41">
        <f>J129/'1. Väestöennuste'!L129*1000</f>
        <v>648.45478256479635</v>
      </c>
      <c r="AD129" s="41">
        <f>K129/'1. Väestöennuste'!M129*1000</f>
        <v>503.67000040881157</v>
      </c>
      <c r="AE129" s="41">
        <f>L129/'1. Väestöennuste'!N129*1000</f>
        <v>-21.926334737316694</v>
      </c>
      <c r="AF129" s="41">
        <f>M129/'1. Väestöennuste'!O129*1000</f>
        <v>-128.79737749744459</v>
      </c>
      <c r="AG129" s="41">
        <f>N129/'1. Väestöennuste'!P129*1000</f>
        <v>-126.10503546138047</v>
      </c>
      <c r="AH129" s="41">
        <f>O129/'1. Väestöennuste'!Q129*1000</f>
        <v>-190.6698127431365</v>
      </c>
      <c r="AI129" s="41">
        <f>P129/'1. Väestöennuste'!R129*1000</f>
        <v>-54.893281469314331</v>
      </c>
    </row>
    <row r="130" spans="1:35" x14ac:dyDescent="0.2">
      <c r="A130" s="34">
        <v>398</v>
      </c>
      <c r="B130" s="88" t="s">
        <v>444</v>
      </c>
      <c r="C130" s="41" t="e">
        <f>Vuosikate!C130+'7. Nettoinvestoinnit '!C130+'8. Satunnaiset erät'!C130+'9. Tulorahkorjauserät'!C130</f>
        <v>#REF!</v>
      </c>
      <c r="D130" s="41">
        <f>Vuosikate!D130+'7. Nettoinvestoinnit '!D130+'8. Satunnaiset erät'!D130+'9. Tulorahkorjauserät'!D130</f>
        <v>-5534</v>
      </c>
      <c r="E130" s="41">
        <f>Vuosikate!E130+'7. Nettoinvestoinnit '!E130+'8. Satunnaiset erät'!E130+'9. Tulorahkorjauserät'!E130</f>
        <v>16309</v>
      </c>
      <c r="F130" s="41">
        <f>Vuosikate!F130+'7. Nettoinvestoinnit '!F130+'8. Satunnaiset erät'!F130+'9. Tulorahkorjauserät'!F130</f>
        <v>-60822</v>
      </c>
      <c r="G130" s="41">
        <f>Vuosikate!G130+'7. Nettoinvestoinnit '!G130+'8. Satunnaiset erät'!G130+'9. Tulorahkorjauserät'!G130</f>
        <v>-66186</v>
      </c>
      <c r="H130" s="41">
        <f>Vuosikate!H130+'7. Nettoinvestoinnit '!H130+'8. Satunnaiset erät'!H130+'9. Tulorahkorjauserät'!H130</f>
        <v>9423.0761211457429</v>
      </c>
      <c r="I130" s="41">
        <f>Vuosikate!I130+'7. Nettoinvestoinnit '!I130+'8. Satunnaiset erät'!I130+'9. Tulorahkorjauserät'!I130</f>
        <v>60776.842592462788</v>
      </c>
      <c r="J130" s="41">
        <f>Vuosikate!J130+'7. Nettoinvestoinnit '!J130+'8. Satunnaiset erät'!J130+'9. Tulorahkorjauserät'!J130</f>
        <v>62675.402979042825</v>
      </c>
      <c r="K130" s="41">
        <f>Vuosikate!K130+'7. Nettoinvestoinnit '!K130+'8. Satunnaiset erät'!K130+'9. Tulorahkorjauserät'!K130</f>
        <v>30612.885699933213</v>
      </c>
      <c r="L130" s="41">
        <f>Vuosikate!L130+'7. Nettoinvestoinnit '!L130+'8. Satunnaiset erät'!L130+'9. Tulorahkorjauserät'!L130</f>
        <v>-51466.878987674223</v>
      </c>
      <c r="M130" s="41">
        <f>Vuosikate!M130+'7. Nettoinvestoinnit '!M130+'8. Satunnaiset erät'!M130+'9. Tulorahkorjauserät'!M130</f>
        <v>-22059.907100720302</v>
      </c>
      <c r="N130" s="41">
        <f>Vuosikate!N130+'7. Nettoinvestoinnit '!N130+'8. Satunnaiset erät'!N130+'9. Tulorahkorjauserät'!N130</f>
        <v>-18794.899153474129</v>
      </c>
      <c r="O130" s="41">
        <f>Vuosikate!O130+'7. Nettoinvestoinnit '!O130+'8. Satunnaiset erät'!O130+'9. Tulorahkorjauserät'!O130</f>
        <v>-21678.807948734604</v>
      </c>
      <c r="P130" s="41">
        <f>Vuosikate!P130+'7. Nettoinvestoinnit '!P130+'8. Satunnaiset erät'!P130+'9. Tulorahkorjauserät'!P130</f>
        <v>-16504.922969982901</v>
      </c>
      <c r="T130" s="34">
        <v>398</v>
      </c>
      <c r="U130" s="88" t="s">
        <v>444</v>
      </c>
      <c r="V130" s="41" t="e">
        <f>C130/'1. Väestöennuste'!E130*1000</f>
        <v>#REF!</v>
      </c>
      <c r="W130" s="41">
        <f>D130/'1. Väestöennuste'!F130*1000</f>
        <v>-46.328232260657003</v>
      </c>
      <c r="X130" s="41">
        <f>E130/'1. Väestöennuste'!G130*1000</f>
        <v>136.39366746673582</v>
      </c>
      <c r="Y130" s="41">
        <f>F130/'1. Väestöennuste'!H130*1000</f>
        <v>-507.05704829472029</v>
      </c>
      <c r="Z130" s="41">
        <f>G130/'1. Väestöennuste'!I130*1000</f>
        <v>-552.36473798853319</v>
      </c>
      <c r="AA130" s="41">
        <f>H130/'1. Väestöennuste'!J130*1000</f>
        <v>78.536105823657678</v>
      </c>
      <c r="AB130" s="41">
        <f>I130/'1. Väestöennuste'!K130*1000</f>
        <v>506.35975732512509</v>
      </c>
      <c r="AC130" s="41">
        <f>J130/'1. Väestöennuste'!L130*1000</f>
        <v>521.53445374697583</v>
      </c>
      <c r="AD130" s="41">
        <f>K130/'1. Väestöennuste'!M130*1000</f>
        <v>253.64259484753228</v>
      </c>
      <c r="AE130" s="41">
        <f>L130/'1. Väestöennuste'!N130*1000</f>
        <v>-426.06443083938393</v>
      </c>
      <c r="AF130" s="41">
        <f>M130/'1. Väestöennuste'!O130*1000</f>
        <v>-182.46106020347307</v>
      </c>
      <c r="AG130" s="41">
        <f>N130/'1. Väestöennuste'!P130*1000</f>
        <v>-155.37211928438441</v>
      </c>
      <c r="AH130" s="41">
        <f>O130/'1. Väestöennuste'!Q130*1000</f>
        <v>-179.16814424105229</v>
      </c>
      <c r="AI130" s="41">
        <f>P130/'1. Väestöennuste'!R130*1000</f>
        <v>-136.41334112985072</v>
      </c>
    </row>
    <row r="131" spans="1:35" x14ac:dyDescent="0.2">
      <c r="A131" s="34">
        <v>399</v>
      </c>
      <c r="B131" s="88" t="s">
        <v>445</v>
      </c>
      <c r="C131" s="41" t="e">
        <f>Vuosikate!C131+'7. Nettoinvestoinnit '!C131+'8. Satunnaiset erät'!C131+'9. Tulorahkorjauserät'!C131</f>
        <v>#REF!</v>
      </c>
      <c r="D131" s="41">
        <f>Vuosikate!D131+'7. Nettoinvestoinnit '!D131+'8. Satunnaiset erät'!D131+'9. Tulorahkorjauserät'!D131</f>
        <v>-4217</v>
      </c>
      <c r="E131" s="41">
        <f>Vuosikate!E131+'7. Nettoinvestoinnit '!E131+'8. Satunnaiset erät'!E131+'9. Tulorahkorjauserät'!E131</f>
        <v>-5546</v>
      </c>
      <c r="F131" s="41">
        <f>Vuosikate!F131+'7. Nettoinvestoinnit '!F131+'8. Satunnaiset erät'!F131+'9. Tulorahkorjauserät'!F131</f>
        <v>-1931</v>
      </c>
      <c r="G131" s="41">
        <f>Vuosikate!G131+'7. Nettoinvestoinnit '!G131+'8. Satunnaiset erät'!G131+'9. Tulorahkorjauserät'!G131</f>
        <v>-587</v>
      </c>
      <c r="H131" s="41">
        <f>Vuosikate!H131+'7. Nettoinvestoinnit '!H131+'8. Satunnaiset erät'!H131+'9. Tulorahkorjauserät'!H131</f>
        <v>2373.8633645300579</v>
      </c>
      <c r="I131" s="41">
        <f>Vuosikate!I131+'7. Nettoinvestoinnit '!I131+'8. Satunnaiset erät'!I131+'9. Tulorahkorjauserät'!I131</f>
        <v>2218.910071980823</v>
      </c>
      <c r="J131" s="41">
        <f>Vuosikate!J131+'7. Nettoinvestoinnit '!J131+'8. Satunnaiset erät'!J131+'9. Tulorahkorjauserät'!J131</f>
        <v>-114.03330315497482</v>
      </c>
      <c r="K131" s="41">
        <f>Vuosikate!K131+'7. Nettoinvestoinnit '!K131+'8. Satunnaiset erät'!K131+'9. Tulorahkorjauserät'!K131</f>
        <v>1161.5434061776307</v>
      </c>
      <c r="L131" s="41">
        <f>Vuosikate!L131+'7. Nettoinvestoinnit '!L131+'8. Satunnaiset erät'!L131+'9. Tulorahkorjauserät'!L131</f>
        <v>-2193.2235896762613</v>
      </c>
      <c r="M131" s="41">
        <f>Vuosikate!M131+'7. Nettoinvestoinnit '!M131+'8. Satunnaiset erät'!M131+'9. Tulorahkorjauserät'!M131</f>
        <v>-1786.6476819238765</v>
      </c>
      <c r="N131" s="41">
        <f>Vuosikate!N131+'7. Nettoinvestoinnit '!N131+'8. Satunnaiset erät'!N131+'9. Tulorahkorjauserät'!N131</f>
        <v>-1258.5147113994244</v>
      </c>
      <c r="O131" s="41">
        <f>Vuosikate!O131+'7. Nettoinvestoinnit '!O131+'8. Satunnaiset erät'!O131+'9. Tulorahkorjauserät'!O131</f>
        <v>-1051.1921939338126</v>
      </c>
      <c r="P131" s="41">
        <f>Vuosikate!P131+'7. Nettoinvestoinnit '!P131+'8. Satunnaiset erät'!P131+'9. Tulorahkorjauserät'!P131</f>
        <v>-617.7800179154558</v>
      </c>
      <c r="T131" s="34">
        <v>399</v>
      </c>
      <c r="U131" s="88" t="s">
        <v>445</v>
      </c>
      <c r="V131" s="41" t="e">
        <f>C131/'1. Väestöennuste'!E131*1000</f>
        <v>#REF!</v>
      </c>
      <c r="W131" s="41">
        <f>D131/'1. Väestöennuste'!F131*1000</f>
        <v>-518.12261948642333</v>
      </c>
      <c r="X131" s="41">
        <f>E131/'1. Väestöennuste'!G131*1000</f>
        <v>-688.85852689106946</v>
      </c>
      <c r="Y131" s="41">
        <f>F131/'1. Väestöennuste'!H131*1000</f>
        <v>-239.63762720277984</v>
      </c>
      <c r="Z131" s="41">
        <f>G131/'1. Väestöennuste'!I131*1000</f>
        <v>-73.219408756392667</v>
      </c>
      <c r="AA131" s="41">
        <f>H131/'1. Väestöennuste'!J131*1000</f>
        <v>296.88136124688072</v>
      </c>
      <c r="AB131" s="41">
        <f>I131/'1. Väestöennuste'!K131*1000</f>
        <v>280.30698231187756</v>
      </c>
      <c r="AC131" s="41">
        <f>J131/'1. Väestöennuste'!L131*1000</f>
        <v>-14.587860196363671</v>
      </c>
      <c r="AD131" s="41">
        <f>K131/'1. Väestöennuste'!M131*1000</f>
        <v>151.2032551650131</v>
      </c>
      <c r="AE131" s="41">
        <f>L131/'1. Väestöennuste'!N131*1000</f>
        <v>-278.08084058276421</v>
      </c>
      <c r="AF131" s="41">
        <f>M131/'1. Väestöennuste'!O131*1000</f>
        <v>-227.54045872693283</v>
      </c>
      <c r="AG131" s="41">
        <f>N131/'1. Väestöennuste'!P131*1000</f>
        <v>-161.01774710842176</v>
      </c>
      <c r="AH131" s="41">
        <f>O131/'1. Väestöennuste'!Q131*1000</f>
        <v>-135.18418131864874</v>
      </c>
      <c r="AI131" s="41">
        <f>P131/'1. Väestöennuste'!R131*1000</f>
        <v>-79.919795331883023</v>
      </c>
    </row>
    <row r="132" spans="1:35" x14ac:dyDescent="0.2">
      <c r="A132" s="34">
        <v>400</v>
      </c>
      <c r="B132" s="88" t="s">
        <v>446</v>
      </c>
      <c r="C132" s="41" t="e">
        <f>Vuosikate!C132+'7. Nettoinvestoinnit '!C132+'8. Satunnaiset erät'!C132+'9. Tulorahkorjauserät'!C132</f>
        <v>#REF!</v>
      </c>
      <c r="D132" s="41">
        <f>Vuosikate!D132+'7. Nettoinvestoinnit '!D132+'8. Satunnaiset erät'!D132+'9. Tulorahkorjauserät'!D132</f>
        <v>-1146</v>
      </c>
      <c r="E132" s="41">
        <f>Vuosikate!E132+'7. Nettoinvestoinnit '!E132+'8. Satunnaiset erät'!E132+'9. Tulorahkorjauserät'!E132</f>
        <v>78</v>
      </c>
      <c r="F132" s="41">
        <f>Vuosikate!F132+'7. Nettoinvestoinnit '!F132+'8. Satunnaiset erät'!F132+'9. Tulorahkorjauserät'!F132</f>
        <v>-7419</v>
      </c>
      <c r="G132" s="41">
        <f>Vuosikate!G132+'7. Nettoinvestoinnit '!G132+'8. Satunnaiset erät'!G132+'9. Tulorahkorjauserät'!G132</f>
        <v>-5933</v>
      </c>
      <c r="H132" s="41">
        <f>Vuosikate!H132+'7. Nettoinvestoinnit '!H132+'8. Satunnaiset erät'!H132+'9. Tulorahkorjauserät'!H132</f>
        <v>-744.91535150088021</v>
      </c>
      <c r="I132" s="41">
        <f>Vuosikate!I132+'7. Nettoinvestoinnit '!I132+'8. Satunnaiset erät'!I132+'9. Tulorahkorjauserät'!I132</f>
        <v>562.72818664085719</v>
      </c>
      <c r="J132" s="41">
        <f>Vuosikate!J132+'7. Nettoinvestoinnit '!J132+'8. Satunnaiset erät'!J132+'9. Tulorahkorjauserät'!J132</f>
        <v>1210.8729155363831</v>
      </c>
      <c r="K132" s="41">
        <f>Vuosikate!K132+'7. Nettoinvestoinnit '!K132+'8. Satunnaiset erät'!K132+'9. Tulorahkorjauserät'!K132</f>
        <v>1046.9157790047111</v>
      </c>
      <c r="L132" s="41">
        <f>Vuosikate!L132+'7. Nettoinvestoinnit '!L132+'8. Satunnaiset erät'!L132+'9. Tulorahkorjauserät'!L132</f>
        <v>-1406.9806726489924</v>
      </c>
      <c r="M132" s="41">
        <f>Vuosikate!M132+'7. Nettoinvestoinnit '!M132+'8. Satunnaiset erät'!M132+'9. Tulorahkorjauserät'!M132</f>
        <v>-240.24144091858852</v>
      </c>
      <c r="N132" s="41">
        <f>Vuosikate!N132+'7. Nettoinvestoinnit '!N132+'8. Satunnaiset erät'!N132+'9. Tulorahkorjauserät'!N132</f>
        <v>-685.96563747973778</v>
      </c>
      <c r="O132" s="41">
        <f>Vuosikate!O132+'7. Nettoinvestoinnit '!O132+'8. Satunnaiset erät'!O132+'9. Tulorahkorjauserät'!O132</f>
        <v>-915.14126343846237</v>
      </c>
      <c r="P132" s="41">
        <f>Vuosikate!P132+'7. Nettoinvestoinnit '!P132+'8. Satunnaiset erät'!P132+'9. Tulorahkorjauserät'!P132</f>
        <v>-265.08768004956437</v>
      </c>
      <c r="T132" s="34">
        <v>400</v>
      </c>
      <c r="U132" s="88" t="s">
        <v>446</v>
      </c>
      <c r="V132" s="41" t="e">
        <f>C132/'1. Väestöennuste'!E132*1000</f>
        <v>#REF!</v>
      </c>
      <c r="W132" s="41">
        <f>D132/'1. Väestöennuste'!F132*1000</f>
        <v>-134.50704225352112</v>
      </c>
      <c r="X132" s="41">
        <f>E132/'1. Väestöennuste'!G132*1000</f>
        <v>9.0592334494773521</v>
      </c>
      <c r="Y132" s="41">
        <f>F132/'1. Väestöennuste'!H132*1000</f>
        <v>-857.98542847230249</v>
      </c>
      <c r="Z132" s="41">
        <f>G132/'1. Väestöennuste'!I132*1000</f>
        <v>-690.84769445738232</v>
      </c>
      <c r="AA132" s="41">
        <f>H132/'1. Väestöennuste'!J132*1000</f>
        <v>-87.968274858393983</v>
      </c>
      <c r="AB132" s="41">
        <f>I132/'1. Väestöennuste'!K132*1000</f>
        <v>66.54779879858765</v>
      </c>
      <c r="AC132" s="41">
        <f>J132/'1. Väestöennuste'!L132*1000</f>
        <v>144.73737933736351</v>
      </c>
      <c r="AD132" s="41">
        <f>K132/'1. Väestöennuste'!M132*1000</f>
        <v>124.02745871398071</v>
      </c>
      <c r="AE132" s="41">
        <f>L132/'1. Väestöennuste'!N132*1000</f>
        <v>-167.93753552745193</v>
      </c>
      <c r="AF132" s="41">
        <f>M132/'1. Väestöennuste'!O132*1000</f>
        <v>-28.767984782491741</v>
      </c>
      <c r="AG132" s="41">
        <f>N132/'1. Väestöennuste'!P132*1000</f>
        <v>-82.408173652058835</v>
      </c>
      <c r="AH132" s="41">
        <f>O132/'1. Väestöennuste'!Q132*1000</f>
        <v>-110.33774577266244</v>
      </c>
      <c r="AI132" s="41">
        <f>P132/'1. Väestöennuste'!R132*1000</f>
        <v>-32.073524506904334</v>
      </c>
    </row>
    <row r="133" spans="1:35" x14ac:dyDescent="0.2">
      <c r="A133" s="34">
        <v>402</v>
      </c>
      <c r="B133" s="88" t="s">
        <v>447</v>
      </c>
      <c r="C133" s="41" t="e">
        <f>Vuosikate!C133+'7. Nettoinvestoinnit '!C133+'8. Satunnaiset erät'!C133+'9. Tulorahkorjauserät'!C133</f>
        <v>#REF!</v>
      </c>
      <c r="D133" s="41">
        <f>Vuosikate!D133+'7. Nettoinvestoinnit '!D133+'8. Satunnaiset erät'!D133+'9. Tulorahkorjauserät'!D133</f>
        <v>-3422</v>
      </c>
      <c r="E133" s="41">
        <f>Vuosikate!E133+'7. Nettoinvestoinnit '!E133+'8. Satunnaiset erät'!E133+'9. Tulorahkorjauserät'!E133</f>
        <v>2651</v>
      </c>
      <c r="F133" s="41">
        <f>Vuosikate!F133+'7. Nettoinvestoinnit '!F133+'8. Satunnaiset erät'!F133+'9. Tulorahkorjauserät'!F133</f>
        <v>-1256</v>
      </c>
      <c r="G133" s="41">
        <f>Vuosikate!G133+'7. Nettoinvestoinnit '!G133+'8. Satunnaiset erät'!G133+'9. Tulorahkorjauserät'!G133</f>
        <v>-2203</v>
      </c>
      <c r="H133" s="41">
        <f>Vuosikate!H133+'7. Nettoinvestoinnit '!H133+'8. Satunnaiset erät'!H133+'9. Tulorahkorjauserät'!H133</f>
        <v>-2530.309559719135</v>
      </c>
      <c r="I133" s="41">
        <f>Vuosikate!I133+'7. Nettoinvestoinnit '!I133+'8. Satunnaiset erät'!I133+'9. Tulorahkorjauserät'!I133</f>
        <v>-3086.7609194912829</v>
      </c>
      <c r="J133" s="41">
        <f>Vuosikate!J133+'7. Nettoinvestoinnit '!J133+'8. Satunnaiset erät'!J133+'9. Tulorahkorjauserät'!J133</f>
        <v>-3154.6553535853345</v>
      </c>
      <c r="K133" s="41">
        <f>Vuosikate!K133+'7. Nettoinvestoinnit '!K133+'8. Satunnaiset erät'!K133+'9. Tulorahkorjauserät'!K133</f>
        <v>2426.2454244980318</v>
      </c>
      <c r="L133" s="41">
        <f>Vuosikate!L133+'7. Nettoinvestoinnit '!L133+'8. Satunnaiset erät'!L133+'9. Tulorahkorjauserät'!L133</f>
        <v>-1289.4229263848429</v>
      </c>
      <c r="M133" s="41">
        <f>Vuosikate!M133+'7. Nettoinvestoinnit '!M133+'8. Satunnaiset erät'!M133+'9. Tulorahkorjauserät'!M133</f>
        <v>4251.0557385836009</v>
      </c>
      <c r="N133" s="41">
        <f>Vuosikate!N133+'7. Nettoinvestoinnit '!N133+'8. Satunnaiset erät'!N133+'9. Tulorahkorjauserät'!N133</f>
        <v>-1839.9104354514538</v>
      </c>
      <c r="O133" s="41">
        <f>Vuosikate!O133+'7. Nettoinvestoinnit '!O133+'8. Satunnaiset erät'!O133+'9. Tulorahkorjauserät'!O133</f>
        <v>-1883.7834335552179</v>
      </c>
      <c r="P133" s="41">
        <f>Vuosikate!P133+'7. Nettoinvestoinnit '!P133+'8. Satunnaiset erät'!P133+'9. Tulorahkorjauserät'!P133</f>
        <v>-1058.3343286616373</v>
      </c>
      <c r="T133" s="34">
        <v>402</v>
      </c>
      <c r="U133" s="88" t="s">
        <v>447</v>
      </c>
      <c r="V133" s="41" t="e">
        <f>C133/'1. Väestöennuste'!E133*1000</f>
        <v>#REF!</v>
      </c>
      <c r="W133" s="41">
        <f>D133/'1. Väestöennuste'!F133*1000</f>
        <v>-346.28617688726973</v>
      </c>
      <c r="X133" s="41">
        <f>E133/'1. Väestöennuste'!G133*1000</f>
        <v>273.52455633512176</v>
      </c>
      <c r="Y133" s="41">
        <f>F133/'1. Väestöennuste'!H133*1000</f>
        <v>-130.6020588541125</v>
      </c>
      <c r="Z133" s="41">
        <f>G133/'1. Väestöennuste'!I133*1000</f>
        <v>-232.26146547179758</v>
      </c>
      <c r="AA133" s="41">
        <f>H133/'1. Väestöennuste'!J133*1000</f>
        <v>-270.38999355836023</v>
      </c>
      <c r="AB133" s="41">
        <f>I133/'1. Väestöennuste'!K133*1000</f>
        <v>-333.81214658713992</v>
      </c>
      <c r="AC133" s="41">
        <f>J133/'1. Väestöennuste'!L133*1000</f>
        <v>-346.7035227591312</v>
      </c>
      <c r="AD133" s="41">
        <f>K133/'1. Väestöennuste'!M133*1000</f>
        <v>270.33375203320685</v>
      </c>
      <c r="AE133" s="41">
        <f>L133/'1. Väestöennuste'!N133*1000</f>
        <v>-144.26302599964677</v>
      </c>
      <c r="AF133" s="41">
        <f>M133/'1. Väestöennuste'!O133*1000</f>
        <v>480.88865821081464</v>
      </c>
      <c r="AG133" s="41">
        <f>N133/'1. Väestöennuste'!P133*1000</f>
        <v>-210.41976617697321</v>
      </c>
      <c r="AH133" s="41">
        <f>O133/'1. Väestöennuste'!Q133*1000</f>
        <v>-217.72808986999746</v>
      </c>
      <c r="AI133" s="41">
        <f>P133/'1. Väestöennuste'!R133*1000</f>
        <v>-123.63718792776136</v>
      </c>
    </row>
    <row r="134" spans="1:35" x14ac:dyDescent="0.2">
      <c r="A134" s="34">
        <v>403</v>
      </c>
      <c r="B134" s="88" t="s">
        <v>448</v>
      </c>
      <c r="C134" s="41" t="e">
        <f>Vuosikate!C134+'7. Nettoinvestoinnit '!C134+'8. Satunnaiset erät'!C134+'9. Tulorahkorjauserät'!C134</f>
        <v>#REF!</v>
      </c>
      <c r="D134" s="41">
        <f>Vuosikate!D134+'7. Nettoinvestoinnit '!D134+'8. Satunnaiset erät'!D134+'9. Tulorahkorjauserät'!D134</f>
        <v>1030</v>
      </c>
      <c r="E134" s="41">
        <f>Vuosikate!E134+'7. Nettoinvestoinnit '!E134+'8. Satunnaiset erät'!E134+'9. Tulorahkorjauserät'!E134</f>
        <v>-231</v>
      </c>
      <c r="F134" s="41">
        <f>Vuosikate!F134+'7. Nettoinvestoinnit '!F134+'8. Satunnaiset erät'!F134+'9. Tulorahkorjauserät'!F134</f>
        <v>5342</v>
      </c>
      <c r="G134" s="41">
        <f>Vuosikate!G134+'7. Nettoinvestoinnit '!G134+'8. Satunnaiset erät'!G134+'9. Tulorahkorjauserät'!G134</f>
        <v>-1922</v>
      </c>
      <c r="H134" s="41">
        <f>Vuosikate!H134+'7. Nettoinvestoinnit '!H134+'8. Satunnaiset erät'!H134+'9. Tulorahkorjauserät'!H134</f>
        <v>-4433.8131483165871</v>
      </c>
      <c r="I134" s="41">
        <f>Vuosikate!I134+'7. Nettoinvestoinnit '!I134+'8. Satunnaiset erät'!I134+'9. Tulorahkorjauserät'!I134</f>
        <v>-222.70511519607621</v>
      </c>
      <c r="J134" s="41">
        <f>Vuosikate!J134+'7. Nettoinvestoinnit '!J134+'8. Satunnaiset erät'!J134+'9. Tulorahkorjauserät'!J134</f>
        <v>-386.56239281208423</v>
      </c>
      <c r="K134" s="41">
        <f>Vuosikate!K134+'7. Nettoinvestoinnit '!K134+'8. Satunnaiset erät'!K134+'9. Tulorahkorjauserät'!K134</f>
        <v>1382.9471867720313</v>
      </c>
      <c r="L134" s="41">
        <f>Vuosikate!L134+'7. Nettoinvestoinnit '!L134+'8. Satunnaiset erät'!L134+'9. Tulorahkorjauserät'!L134</f>
        <v>-597.52924316200574</v>
      </c>
      <c r="M134" s="41">
        <f>Vuosikate!M134+'7. Nettoinvestoinnit '!M134+'8. Satunnaiset erät'!M134+'9. Tulorahkorjauserät'!M134</f>
        <v>-1747.5023331654072</v>
      </c>
      <c r="N134" s="41">
        <f>Vuosikate!N134+'7. Nettoinvestoinnit '!N134+'8. Satunnaiset erät'!N134+'9. Tulorahkorjauserät'!N134</f>
        <v>-1986.7039124244054</v>
      </c>
      <c r="O134" s="41">
        <f>Vuosikate!O134+'7. Nettoinvestoinnit '!O134+'8. Satunnaiset erät'!O134+'9. Tulorahkorjauserät'!O134</f>
        <v>-2149.4607447491526</v>
      </c>
      <c r="P134" s="41">
        <f>Vuosikate!P134+'7. Nettoinvestoinnit '!P134+'8. Satunnaiset erät'!P134+'9. Tulorahkorjauserät'!P134</f>
        <v>-1931.3581685351787</v>
      </c>
      <c r="T134" s="34">
        <v>403</v>
      </c>
      <c r="U134" s="88" t="s">
        <v>448</v>
      </c>
      <c r="V134" s="41" t="e">
        <f>C134/'1. Väestöennuste'!E134*1000</f>
        <v>#REF!</v>
      </c>
      <c r="W134" s="41">
        <f>D134/'1. Väestöennuste'!F134*1000</f>
        <v>324.30730478589419</v>
      </c>
      <c r="X134" s="41">
        <f>E134/'1. Väestöennuste'!G134*1000</f>
        <v>-73.566878980891715</v>
      </c>
      <c r="Y134" s="41">
        <f>F134/'1. Väestöennuste'!H134*1000</f>
        <v>1735.5425601039635</v>
      </c>
      <c r="Z134" s="41">
        <f>G134/'1. Väestöennuste'!I134*1000</f>
        <v>-641.52202937249672</v>
      </c>
      <c r="AA134" s="41">
        <f>H134/'1. Väestöennuste'!J134*1000</f>
        <v>-1515.8335549800297</v>
      </c>
      <c r="AB134" s="41">
        <f>I134/'1. Väestöennuste'!K134*1000</f>
        <v>-77.705902022357364</v>
      </c>
      <c r="AC134" s="41">
        <f>J134/'1. Väestöennuste'!L134*1000</f>
        <v>-137.07886269932067</v>
      </c>
      <c r="AD134" s="41">
        <f>K134/'1. Väestöennuste'!M134*1000</f>
        <v>495.85772204088607</v>
      </c>
      <c r="AE134" s="41">
        <f>L134/'1. Väestöennuste'!N134*1000</f>
        <v>-220.40916383696265</v>
      </c>
      <c r="AF134" s="41">
        <f>M134/'1. Väestöennuste'!O134*1000</f>
        <v>-655.96934428130908</v>
      </c>
      <c r="AG134" s="41">
        <f>N134/'1. Väestöennuste'!P134*1000</f>
        <v>-758.86322094133129</v>
      </c>
      <c r="AH134" s="41">
        <f>O134/'1. Väestöennuste'!Q134*1000</f>
        <v>-834.74203679578739</v>
      </c>
      <c r="AI134" s="41">
        <f>P134/'1. Väestöennuste'!R134*1000</f>
        <v>-763.38267531034728</v>
      </c>
    </row>
    <row r="135" spans="1:35" x14ac:dyDescent="0.2">
      <c r="A135" s="34">
        <v>405</v>
      </c>
      <c r="B135" s="88" t="s">
        <v>449</v>
      </c>
      <c r="C135" s="41" t="e">
        <f>Vuosikate!C135+'7. Nettoinvestoinnit '!C135+'8. Satunnaiset erät'!C135+'9. Tulorahkorjauserät'!C135</f>
        <v>#REF!</v>
      </c>
      <c r="D135" s="41">
        <f>Vuosikate!D135+'7. Nettoinvestoinnit '!D135+'8. Satunnaiset erät'!D135+'9. Tulorahkorjauserät'!D135</f>
        <v>9479</v>
      </c>
      <c r="E135" s="41">
        <f>Vuosikate!E135+'7. Nettoinvestoinnit '!E135+'8. Satunnaiset erät'!E135+'9. Tulorahkorjauserät'!E135</f>
        <v>24544</v>
      </c>
      <c r="F135" s="41">
        <f>Vuosikate!F135+'7. Nettoinvestoinnit '!F135+'8. Satunnaiset erät'!F135+'9. Tulorahkorjauserät'!F135</f>
        <v>6230</v>
      </c>
      <c r="G135" s="41">
        <f>Vuosikate!G135+'7. Nettoinvestoinnit '!G135+'8. Satunnaiset erät'!G135+'9. Tulorahkorjauserät'!G135</f>
        <v>-22478</v>
      </c>
      <c r="H135" s="41">
        <f>Vuosikate!H135+'7. Nettoinvestoinnit '!H135+'8. Satunnaiset erät'!H135+'9. Tulorahkorjauserät'!H135</f>
        <v>10633.390094509756</v>
      </c>
      <c r="I135" s="41">
        <f>Vuosikate!I135+'7. Nettoinvestoinnit '!I135+'8. Satunnaiset erät'!I135+'9. Tulorahkorjauserät'!I135</f>
        <v>29688.311559438502</v>
      </c>
      <c r="J135" s="41">
        <f>Vuosikate!J135+'7. Nettoinvestoinnit '!J135+'8. Satunnaiset erät'!J135+'9. Tulorahkorjauserät'!J135</f>
        <v>9389.260466601012</v>
      </c>
      <c r="K135" s="41">
        <f>Vuosikate!K135+'7. Nettoinvestoinnit '!K135+'8. Satunnaiset erät'!K135+'9. Tulorahkorjauserät'!K135</f>
        <v>40744.072648166395</v>
      </c>
      <c r="L135" s="41">
        <f>Vuosikate!L135+'7. Nettoinvestoinnit '!L135+'8. Satunnaiset erät'!L135+'9. Tulorahkorjauserät'!L135</f>
        <v>585.51293401839212</v>
      </c>
      <c r="M135" s="41">
        <f>Vuosikate!M135+'7. Nettoinvestoinnit '!M135+'8. Satunnaiset erät'!M135+'9. Tulorahkorjauserät'!M135</f>
        <v>-14924.096289852481</v>
      </c>
      <c r="N135" s="41">
        <f>Vuosikate!N135+'7. Nettoinvestoinnit '!N135+'8. Satunnaiset erät'!N135+'9. Tulorahkorjauserät'!N135</f>
        <v>-19789.966464440426</v>
      </c>
      <c r="O135" s="41">
        <f>Vuosikate!O135+'7. Nettoinvestoinnit '!O135+'8. Satunnaiset erät'!O135+'9. Tulorahkorjauserät'!O135</f>
        <v>-19973.263357657219</v>
      </c>
      <c r="P135" s="41">
        <f>Vuosikate!P135+'7. Nettoinvestoinnit '!P135+'8. Satunnaiset erät'!P135+'9. Tulorahkorjauserät'!P135</f>
        <v>-16929.127169080428</v>
      </c>
      <c r="T135" s="34">
        <v>405</v>
      </c>
      <c r="U135" s="88" t="s">
        <v>449</v>
      </c>
      <c r="V135" s="41" t="e">
        <f>C135/'1. Väestöennuste'!E135*1000</f>
        <v>#REF!</v>
      </c>
      <c r="W135" s="41">
        <f>D135/'1. Väestöennuste'!F135*1000</f>
        <v>130.07739598199583</v>
      </c>
      <c r="X135" s="41">
        <f>E135/'1. Väestöennuste'!G135*1000</f>
        <v>336.63882373918176</v>
      </c>
      <c r="Y135" s="41">
        <f>F135/'1. Väestöennuste'!H135*1000</f>
        <v>85.695814247788832</v>
      </c>
      <c r="Z135" s="41">
        <f>G135/'1. Väestöennuste'!I135*1000</f>
        <v>-309.46939449844422</v>
      </c>
      <c r="AA135" s="41">
        <f>H135/'1. Väestöennuste'!J135*1000</f>
        <v>146.34045435729482</v>
      </c>
      <c r="AB135" s="41">
        <f>I135/'1. Väestöennuste'!K135*1000</f>
        <v>408.73849105706006</v>
      </c>
      <c r="AC135" s="41">
        <f>J135/'1. Väestöennuste'!L135*1000</f>
        <v>129.23964854234015</v>
      </c>
      <c r="AD135" s="41">
        <f>K135/'1. Väestöennuste'!M135*1000</f>
        <v>558.22974527547535</v>
      </c>
      <c r="AE135" s="41">
        <f>L135/'1. Väestöennuste'!N135*1000</f>
        <v>8.0722548600434578</v>
      </c>
      <c r="AF135" s="41">
        <f>M135/'1. Väestöennuste'!O135*1000</f>
        <v>-205.94618565744599</v>
      </c>
      <c r="AG135" s="41">
        <f>N135/'1. Väestöennuste'!P135*1000</f>
        <v>-273.39116781245838</v>
      </c>
      <c r="AH135" s="41">
        <f>O135/'1. Väestöennuste'!Q135*1000</f>
        <v>-276.23626799885511</v>
      </c>
      <c r="AI135" s="41">
        <f>P135/'1. Väestöennuste'!R135*1000</f>
        <v>-234.42024965147303</v>
      </c>
    </row>
    <row r="136" spans="1:35" x14ac:dyDescent="0.2">
      <c r="A136" s="34">
        <v>407</v>
      </c>
      <c r="B136" s="88" t="s">
        <v>450</v>
      </c>
      <c r="C136" s="41" t="e">
        <f>Vuosikate!C136+'7. Nettoinvestoinnit '!C136+'8. Satunnaiset erät'!C136+'9. Tulorahkorjauserät'!C136</f>
        <v>#REF!</v>
      </c>
      <c r="D136" s="41">
        <f>Vuosikate!D136+'7. Nettoinvestoinnit '!D136+'8. Satunnaiset erät'!D136+'9. Tulorahkorjauserät'!D136</f>
        <v>-837</v>
      </c>
      <c r="E136" s="41">
        <f>Vuosikate!E136+'7. Nettoinvestoinnit '!E136+'8. Satunnaiset erät'!E136+'9. Tulorahkorjauserät'!E136</f>
        <v>-655</v>
      </c>
      <c r="F136" s="41">
        <f>Vuosikate!F136+'7. Nettoinvestoinnit '!F136+'8. Satunnaiset erät'!F136+'9. Tulorahkorjauserät'!F136</f>
        <v>-916</v>
      </c>
      <c r="G136" s="41">
        <f>Vuosikate!G136+'7. Nettoinvestoinnit '!G136+'8. Satunnaiset erät'!G136+'9. Tulorahkorjauserät'!G136</f>
        <v>-273</v>
      </c>
      <c r="H136" s="41">
        <f>Vuosikate!H136+'7. Nettoinvestoinnit '!H136+'8. Satunnaiset erät'!H136+'9. Tulorahkorjauserät'!H136</f>
        <v>2596.1099713894255</v>
      </c>
      <c r="I136" s="41">
        <f>Vuosikate!I136+'7. Nettoinvestoinnit '!I136+'8. Satunnaiset erät'!I136+'9. Tulorahkorjauserät'!I136</f>
        <v>4256.2039136324811</v>
      </c>
      <c r="J136" s="41">
        <f>Vuosikate!J136+'7. Nettoinvestoinnit '!J136+'8. Satunnaiset erät'!J136+'9. Tulorahkorjauserät'!J136</f>
        <v>702.31523776994345</v>
      </c>
      <c r="K136" s="41">
        <f>Vuosikate!K136+'7. Nettoinvestoinnit '!K136+'8. Satunnaiset erät'!K136+'9. Tulorahkorjauserät'!K136</f>
        <v>198.52389909352141</v>
      </c>
      <c r="L136" s="41">
        <f>Vuosikate!L136+'7. Nettoinvestoinnit '!L136+'8. Satunnaiset erät'!L136+'9. Tulorahkorjauserät'!L136</f>
        <v>-475.25678499963828</v>
      </c>
      <c r="M136" s="41">
        <f>Vuosikate!M136+'7. Nettoinvestoinnit '!M136+'8. Satunnaiset erät'!M136+'9. Tulorahkorjauserät'!M136</f>
        <v>-1397.3340800308786</v>
      </c>
      <c r="N136" s="41">
        <f>Vuosikate!N136+'7. Nettoinvestoinnit '!N136+'8. Satunnaiset erät'!N136+'9. Tulorahkorjauserät'!N136</f>
        <v>-1482.9909321956304</v>
      </c>
      <c r="O136" s="41">
        <f>Vuosikate!O136+'7. Nettoinvestoinnit '!O136+'8. Satunnaiset erät'!O136+'9. Tulorahkorjauserät'!O136</f>
        <v>-1538.5329472338822</v>
      </c>
      <c r="P136" s="41">
        <f>Vuosikate!P136+'7. Nettoinvestoinnit '!P136+'8. Satunnaiset erät'!P136+'9. Tulorahkorjauserät'!P136</f>
        <v>-1487.4683719005454</v>
      </c>
      <c r="T136" s="34">
        <v>407</v>
      </c>
      <c r="U136" s="88" t="s">
        <v>450</v>
      </c>
      <c r="V136" s="41" t="e">
        <f>C136/'1. Väestöennuste'!E136*1000</f>
        <v>#REF!</v>
      </c>
      <c r="W136" s="41">
        <f>D136/'1. Väestöennuste'!F136*1000</f>
        <v>-305.58598028477547</v>
      </c>
      <c r="X136" s="41">
        <f>E136/'1. Väestöennuste'!G136*1000</f>
        <v>-242.05469327420548</v>
      </c>
      <c r="Y136" s="41">
        <f>F136/'1. Väestöennuste'!H136*1000</f>
        <v>-343.71482176360223</v>
      </c>
      <c r="Z136" s="41">
        <f>G136/'1. Väestöennuste'!I136*1000</f>
        <v>-104.75825019186492</v>
      </c>
      <c r="AA136" s="41">
        <f>H136/'1. Väestöennuste'!J136*1000</f>
        <v>990.50361365487424</v>
      </c>
      <c r="AB136" s="41">
        <f>I136/'1. Väestöennuste'!K136*1000</f>
        <v>1649.6914393924344</v>
      </c>
      <c r="AC136" s="41">
        <f>J136/'1. Väestöennuste'!L136*1000</f>
        <v>278.91788632642709</v>
      </c>
      <c r="AD136" s="41">
        <f>K136/'1. Väestöennuste'!M136*1000</f>
        <v>81.063249936105109</v>
      </c>
      <c r="AE136" s="41">
        <f>L136/'1. Väestöennuste'!N136*1000</f>
        <v>-188.07154135324032</v>
      </c>
      <c r="AF136" s="41">
        <f>M136/'1. Väestöennuste'!O136*1000</f>
        <v>-557.15074961358789</v>
      </c>
      <c r="AG136" s="41">
        <f>N136/'1. Väestöennuste'!P136*1000</f>
        <v>-595.33959542177047</v>
      </c>
      <c r="AH136" s="41">
        <f>O136/'1. Väestöennuste'!Q136*1000</f>
        <v>-621.88073857473</v>
      </c>
      <c r="AI136" s="41">
        <f>P136/'1. Väestöennuste'!R136*1000</f>
        <v>-605.15393486596633</v>
      </c>
    </row>
    <row r="137" spans="1:35" x14ac:dyDescent="0.2">
      <c r="A137" s="34">
        <v>408</v>
      </c>
      <c r="B137" s="88" t="s">
        <v>451</v>
      </c>
      <c r="C137" s="41" t="e">
        <f>Vuosikate!C137+'7. Nettoinvestoinnit '!C137+'8. Satunnaiset erät'!C137+'9. Tulorahkorjauserät'!C137</f>
        <v>#REF!</v>
      </c>
      <c r="D137" s="41">
        <f>Vuosikate!D137+'7. Nettoinvestoinnit '!D137+'8. Satunnaiset erät'!D137+'9. Tulorahkorjauserät'!D137</f>
        <v>1584</v>
      </c>
      <c r="E137" s="41">
        <f>Vuosikate!E137+'7. Nettoinvestoinnit '!E137+'8. Satunnaiset erät'!E137+'9. Tulorahkorjauserät'!E137</f>
        <v>-1819</v>
      </c>
      <c r="F137" s="41">
        <f>Vuosikate!F137+'7. Nettoinvestoinnit '!F137+'8. Satunnaiset erät'!F137+'9. Tulorahkorjauserät'!F137</f>
        <v>-9163</v>
      </c>
      <c r="G137" s="41">
        <f>Vuosikate!G137+'7. Nettoinvestoinnit '!G137+'8. Satunnaiset erät'!G137+'9. Tulorahkorjauserät'!G137</f>
        <v>-13998</v>
      </c>
      <c r="H137" s="41">
        <f>Vuosikate!H137+'7. Nettoinvestoinnit '!H137+'8. Satunnaiset erät'!H137+'9. Tulorahkorjauserät'!H137</f>
        <v>-4064.2564892490045</v>
      </c>
      <c r="I137" s="41">
        <f>Vuosikate!I137+'7. Nettoinvestoinnit '!I137+'8. Satunnaiset erät'!I137+'9. Tulorahkorjauserät'!I137</f>
        <v>1415.0377431973363</v>
      </c>
      <c r="J137" s="41">
        <f>Vuosikate!J137+'7. Nettoinvestoinnit '!J137+'8. Satunnaiset erät'!J137+'9. Tulorahkorjauserät'!J137</f>
        <v>-111.55829783095724</v>
      </c>
      <c r="K137" s="41">
        <f>Vuosikate!K137+'7. Nettoinvestoinnit '!K137+'8. Satunnaiset erät'!K137+'9. Tulorahkorjauserät'!K137</f>
        <v>4458.2567399335712</v>
      </c>
      <c r="L137" s="41">
        <f>Vuosikate!L137+'7. Nettoinvestoinnit '!L137+'8. Satunnaiset erät'!L137+'9. Tulorahkorjauserät'!L137</f>
        <v>-3331.6370921611597</v>
      </c>
      <c r="M137" s="41">
        <f>Vuosikate!M137+'7. Nettoinvestoinnit '!M137+'8. Satunnaiset erät'!M137+'9. Tulorahkorjauserät'!M137</f>
        <v>-4033.406914610955</v>
      </c>
      <c r="N137" s="41">
        <f>Vuosikate!N137+'7. Nettoinvestoinnit '!N137+'8. Satunnaiset erät'!N137+'9. Tulorahkorjauserät'!N137</f>
        <v>-3284.046479147275</v>
      </c>
      <c r="O137" s="41">
        <f>Vuosikate!O137+'7. Nettoinvestoinnit '!O137+'8. Satunnaiset erät'!O137+'9. Tulorahkorjauserät'!O137</f>
        <v>-3636.4710152686057</v>
      </c>
      <c r="P137" s="41">
        <f>Vuosikate!P137+'7. Nettoinvestoinnit '!P137+'8. Satunnaiset erät'!P137+'9. Tulorahkorjauserät'!P137</f>
        <v>-1945.0346615699182</v>
      </c>
      <c r="T137" s="34">
        <v>408</v>
      </c>
      <c r="U137" s="88" t="s">
        <v>451</v>
      </c>
      <c r="V137" s="41" t="e">
        <f>C137/'1. Väestöennuste'!E137*1000</f>
        <v>#REF!</v>
      </c>
      <c r="W137" s="41">
        <f>D137/'1. Väestöennuste'!F137*1000</f>
        <v>108.67924528301887</v>
      </c>
      <c r="X137" s="41">
        <f>E137/'1. Väestöennuste'!G137*1000</f>
        <v>-125.50020698219951</v>
      </c>
      <c r="Y137" s="41">
        <f>F137/'1. Väestöennuste'!H137*1000</f>
        <v>-635.12857836001945</v>
      </c>
      <c r="Z137" s="41">
        <f>G137/'1. Väestöennuste'!I137*1000</f>
        <v>-980.38941028155205</v>
      </c>
      <c r="AA137" s="41">
        <f>H137/'1. Väestöennuste'!J137*1000</f>
        <v>-285.79259470142779</v>
      </c>
      <c r="AB137" s="41">
        <f>I137/'1. Väestöennuste'!K137*1000</f>
        <v>99.629496810345444</v>
      </c>
      <c r="AC137" s="41">
        <f>J137/'1. Väestöennuste'!L137*1000</f>
        <v>-7.9124971863931659</v>
      </c>
      <c r="AD137" s="41">
        <f>K137/'1. Väestöennuste'!M137*1000</f>
        <v>317.90193524911376</v>
      </c>
      <c r="AE137" s="41">
        <f>L137/'1. Väestöennuste'!N137*1000</f>
        <v>-240.06608244423978</v>
      </c>
      <c r="AF137" s="41">
        <f>M137/'1. Väestöennuste'!O137*1000</f>
        <v>-292.55145532827697</v>
      </c>
      <c r="AG137" s="41">
        <f>N137/'1. Väestöennuste'!P137*1000</f>
        <v>-239.71142183556751</v>
      </c>
      <c r="AH137" s="41">
        <f>O137/'1. Väestöennuste'!Q137*1000</f>
        <v>-267.23038031074407</v>
      </c>
      <c r="AI137" s="41">
        <f>P137/'1. Väestöennuste'!R137*1000</f>
        <v>-143.88479520416615</v>
      </c>
    </row>
    <row r="138" spans="1:35" x14ac:dyDescent="0.2">
      <c r="A138" s="34">
        <v>410</v>
      </c>
      <c r="B138" s="88" t="s">
        <v>452</v>
      </c>
      <c r="C138" s="41" t="e">
        <f>Vuosikate!C138+'7. Nettoinvestoinnit '!C138+'8. Satunnaiset erät'!C138+'9. Tulorahkorjauserät'!C138</f>
        <v>#REF!</v>
      </c>
      <c r="D138" s="41">
        <f>Vuosikate!D138+'7. Nettoinvestoinnit '!D138+'8. Satunnaiset erät'!D138+'9. Tulorahkorjauserät'!D138</f>
        <v>-7988</v>
      </c>
      <c r="E138" s="41">
        <f>Vuosikate!E138+'7. Nettoinvestoinnit '!E138+'8. Satunnaiset erät'!E138+'9. Tulorahkorjauserät'!E138</f>
        <v>-5911</v>
      </c>
      <c r="F138" s="41">
        <f>Vuosikate!F138+'7. Nettoinvestoinnit '!F138+'8. Satunnaiset erät'!F138+'9. Tulorahkorjauserät'!F138</f>
        <v>-4984</v>
      </c>
      <c r="G138" s="41">
        <f>Vuosikate!G138+'7. Nettoinvestoinnit '!G138+'8. Satunnaiset erät'!G138+'9. Tulorahkorjauserät'!G138</f>
        <v>-3099</v>
      </c>
      <c r="H138" s="41">
        <f>Vuosikate!H138+'7. Nettoinvestoinnit '!H138+'8. Satunnaiset erät'!H138+'9. Tulorahkorjauserät'!H138</f>
        <v>-1186.6937770364384</v>
      </c>
      <c r="I138" s="41">
        <f>Vuosikate!I138+'7. Nettoinvestoinnit '!I138+'8. Satunnaiset erät'!I138+'9. Tulorahkorjauserät'!I138</f>
        <v>-9265.9291315140017</v>
      </c>
      <c r="J138" s="41">
        <f>Vuosikate!J138+'7. Nettoinvestoinnit '!J138+'8. Satunnaiset erät'!J138+'9. Tulorahkorjauserät'!J138</f>
        <v>-8169.8996946477164</v>
      </c>
      <c r="K138" s="41">
        <f>Vuosikate!K138+'7. Nettoinvestoinnit '!K138+'8. Satunnaiset erät'!K138+'9. Tulorahkorjauserät'!K138</f>
        <v>5195.4226837948318</v>
      </c>
      <c r="L138" s="41">
        <f>Vuosikate!L138+'7. Nettoinvestoinnit '!L138+'8. Satunnaiset erät'!L138+'9. Tulorahkorjauserät'!L138</f>
        <v>-2583.2762746658609</v>
      </c>
      <c r="M138" s="41">
        <f>Vuosikate!M138+'7. Nettoinvestoinnit '!M138+'8. Satunnaiset erät'!M138+'9. Tulorahkorjauserät'!M138</f>
        <v>-5337.0978366700674</v>
      </c>
      <c r="N138" s="41">
        <f>Vuosikate!N138+'7. Nettoinvestoinnit '!N138+'8. Satunnaiset erät'!N138+'9. Tulorahkorjauserät'!N138</f>
        <v>-890.25555864345733</v>
      </c>
      <c r="O138" s="41">
        <f>Vuosikate!O138+'7. Nettoinvestoinnit '!O138+'8. Satunnaiset erät'!O138+'9. Tulorahkorjauserät'!O138</f>
        <v>-3595.0322354698419</v>
      </c>
      <c r="P138" s="41">
        <f>Vuosikate!P138+'7. Nettoinvestoinnit '!P138+'8. Satunnaiset erät'!P138+'9. Tulorahkorjauserät'!P138</f>
        <v>-2283.8001688445356</v>
      </c>
      <c r="T138" s="34">
        <v>410</v>
      </c>
      <c r="U138" s="88" t="s">
        <v>452</v>
      </c>
      <c r="V138" s="41" t="e">
        <f>C138/'1. Väestöennuste'!E138*1000</f>
        <v>#REF!</v>
      </c>
      <c r="W138" s="41">
        <f>D138/'1. Väestöennuste'!F138*1000</f>
        <v>-421.08592514496576</v>
      </c>
      <c r="X138" s="41">
        <f>E138/'1. Väestöennuste'!G138*1000</f>
        <v>-311.46590789335022</v>
      </c>
      <c r="Y138" s="41">
        <f>F138/'1. Väestöennuste'!H138*1000</f>
        <v>-263.32752153008931</v>
      </c>
      <c r="Z138" s="41">
        <f>G138/'1. Väestöennuste'!I138*1000</f>
        <v>-163.94223139184254</v>
      </c>
      <c r="AA138" s="41">
        <f>H138/'1. Väestöennuste'!J138*1000</f>
        <v>-63.044880042311988</v>
      </c>
      <c r="AB138" s="41">
        <f>I138/'1. Väestöennuste'!K138*1000</f>
        <v>-493.18336872014061</v>
      </c>
      <c r="AC138" s="41">
        <f>J138/'1. Väestöennuste'!L138*1000</f>
        <v>-435.14778666565735</v>
      </c>
      <c r="AD138" s="41">
        <f>K138/'1. Väestöennuste'!M138*1000</f>
        <v>276.91198613126699</v>
      </c>
      <c r="AE138" s="41">
        <f>L138/'1. Väestöennuste'!N138*1000</f>
        <v>-137.79678213398736</v>
      </c>
      <c r="AF138" s="41">
        <f>M138/'1. Väestöennuste'!O138*1000</f>
        <v>-285.20802846524168</v>
      </c>
      <c r="AG138" s="41">
        <f>N138/'1. Väestöennuste'!P138*1000</f>
        <v>-47.67353318214937</v>
      </c>
      <c r="AH138" s="41">
        <f>O138/'1. Väestöennuste'!Q138*1000</f>
        <v>-192.92863773048416</v>
      </c>
      <c r="AI138" s="41">
        <f>P138/'1. Väestöennuste'!R138*1000</f>
        <v>-122.85100424123375</v>
      </c>
    </row>
    <row r="139" spans="1:35" x14ac:dyDescent="0.2">
      <c r="A139" s="34">
        <v>416</v>
      </c>
      <c r="B139" s="88" t="s">
        <v>453</v>
      </c>
      <c r="C139" s="41" t="e">
        <f>Vuosikate!C139+'7. Nettoinvestoinnit '!C139+'8. Satunnaiset erät'!C139+'9. Tulorahkorjauserät'!C139</f>
        <v>#REF!</v>
      </c>
      <c r="D139" s="41">
        <f>Vuosikate!D139+'7. Nettoinvestoinnit '!D139+'8. Satunnaiset erät'!D139+'9. Tulorahkorjauserät'!D139</f>
        <v>-164</v>
      </c>
      <c r="E139" s="41">
        <f>Vuosikate!E139+'7. Nettoinvestoinnit '!E139+'8. Satunnaiset erät'!E139+'9. Tulorahkorjauserät'!E139</f>
        <v>-319</v>
      </c>
      <c r="F139" s="41">
        <f>Vuosikate!F139+'7. Nettoinvestoinnit '!F139+'8. Satunnaiset erät'!F139+'9. Tulorahkorjauserät'!F139</f>
        <v>-2863</v>
      </c>
      <c r="G139" s="41">
        <f>Vuosikate!G139+'7. Nettoinvestoinnit '!G139+'8. Satunnaiset erät'!G139+'9. Tulorahkorjauserät'!G139</f>
        <v>-501</v>
      </c>
      <c r="H139" s="41">
        <f>Vuosikate!H139+'7. Nettoinvestoinnit '!H139+'8. Satunnaiset erät'!H139+'9. Tulorahkorjauserät'!H139</f>
        <v>1581.6947077886525</v>
      </c>
      <c r="I139" s="41">
        <f>Vuosikate!I139+'7. Nettoinvestoinnit '!I139+'8. Satunnaiset erät'!I139+'9. Tulorahkorjauserät'!I139</f>
        <v>787.92642670624946</v>
      </c>
      <c r="J139" s="41">
        <f>Vuosikate!J139+'7. Nettoinvestoinnit '!J139+'8. Satunnaiset erät'!J139+'9. Tulorahkorjauserät'!J139</f>
        <v>-668.52781747970403</v>
      </c>
      <c r="K139" s="41">
        <f>Vuosikate!K139+'7. Nettoinvestoinnit '!K139+'8. Satunnaiset erät'!K139+'9. Tulorahkorjauserät'!K139</f>
        <v>1431.5165726790751</v>
      </c>
      <c r="L139" s="41">
        <f>Vuosikate!L139+'7. Nettoinvestoinnit '!L139+'8. Satunnaiset erät'!L139+'9. Tulorahkorjauserät'!L139</f>
        <v>550.73275916267744</v>
      </c>
      <c r="M139" s="41">
        <f>Vuosikate!M139+'7. Nettoinvestoinnit '!M139+'8. Satunnaiset erät'!M139+'9. Tulorahkorjauserät'!M139</f>
        <v>-797.69302328592528</v>
      </c>
      <c r="N139" s="41">
        <f>Vuosikate!N139+'7. Nettoinvestoinnit '!N139+'8. Satunnaiset erät'!N139+'9. Tulorahkorjauserät'!N139</f>
        <v>-686.72952195064317</v>
      </c>
      <c r="O139" s="41">
        <f>Vuosikate!O139+'7. Nettoinvestoinnit '!O139+'8. Satunnaiset erät'!O139+'9. Tulorahkorjauserät'!O139</f>
        <v>-733.19923992524411</v>
      </c>
      <c r="P139" s="41">
        <f>Vuosikate!P139+'7. Nettoinvestoinnit '!P139+'8. Satunnaiset erät'!P139+'9. Tulorahkorjauserät'!P139</f>
        <v>-780.02609613246659</v>
      </c>
      <c r="T139" s="34">
        <v>416</v>
      </c>
      <c r="U139" s="88" t="s">
        <v>453</v>
      </c>
      <c r="V139" s="41" t="e">
        <f>C139/'1. Väestöennuste'!E139*1000</f>
        <v>#REF!</v>
      </c>
      <c r="W139" s="41">
        <f>D139/'1. Väestöennuste'!F139*1000</f>
        <v>-53.315994798439533</v>
      </c>
      <c r="X139" s="41">
        <f>E139/'1. Väestöennuste'!G139*1000</f>
        <v>-104.14626183480249</v>
      </c>
      <c r="Y139" s="41">
        <f>F139/'1. Väestöennuste'!H139*1000</f>
        <v>-940.84784751889583</v>
      </c>
      <c r="Z139" s="41">
        <f>G139/'1. Väestöennuste'!I139*1000</f>
        <v>-168.6300908784921</v>
      </c>
      <c r="AA139" s="41">
        <f>H139/'1. Väestöennuste'!J139*1000</f>
        <v>533.63519156162363</v>
      </c>
      <c r="AB139" s="41">
        <f>I139/'1. Väestöennuste'!K139*1000</f>
        <v>270.11533311835774</v>
      </c>
      <c r="AC139" s="41">
        <f>J139/'1. Väestöennuste'!L139*1000</f>
        <v>-231.64512040183786</v>
      </c>
      <c r="AD139" s="41">
        <f>K139/'1. Väestöennuste'!M139*1000</f>
        <v>500.18049359855877</v>
      </c>
      <c r="AE139" s="41">
        <f>L139/'1. Väestöennuste'!N139*1000</f>
        <v>190.96142828109481</v>
      </c>
      <c r="AF139" s="41">
        <f>M139/'1. Väestöennuste'!O139*1000</f>
        <v>-278.3297359685713</v>
      </c>
      <c r="AG139" s="41">
        <f>N139/'1. Väestöennuste'!P139*1000</f>
        <v>-241.29638859825835</v>
      </c>
      <c r="AH139" s="41">
        <f>O139/'1. Väestöennuste'!Q139*1000</f>
        <v>-259.63145889704111</v>
      </c>
      <c r="AI139" s="41">
        <f>P139/'1. Väestöennuste'!R139*1000</f>
        <v>-278.38190440130853</v>
      </c>
    </row>
    <row r="140" spans="1:35" x14ac:dyDescent="0.2">
      <c r="A140" s="34">
        <v>418</v>
      </c>
      <c r="B140" s="88" t="s">
        <v>454</v>
      </c>
      <c r="C140" s="41" t="e">
        <f>Vuosikate!C140+'7. Nettoinvestoinnit '!C140+'8. Satunnaiset erät'!C140+'9. Tulorahkorjauserät'!C140</f>
        <v>#REF!</v>
      </c>
      <c r="D140" s="41">
        <f>Vuosikate!D140+'7. Nettoinvestoinnit '!D140+'8. Satunnaiset erät'!D140+'9. Tulorahkorjauserät'!D140</f>
        <v>5291</v>
      </c>
      <c r="E140" s="41">
        <f>Vuosikate!E140+'7. Nettoinvestoinnit '!E140+'8. Satunnaiset erät'!E140+'9. Tulorahkorjauserät'!E140</f>
        <v>6005</v>
      </c>
      <c r="F140" s="41">
        <f>Vuosikate!F140+'7. Nettoinvestoinnit '!F140+'8. Satunnaiset erät'!F140+'9. Tulorahkorjauserät'!F140</f>
        <v>-9565</v>
      </c>
      <c r="G140" s="41">
        <f>Vuosikate!G140+'7. Nettoinvestoinnit '!G140+'8. Satunnaiset erät'!G140+'9. Tulorahkorjauserät'!G140</f>
        <v>27237</v>
      </c>
      <c r="H140" s="41">
        <f>Vuosikate!H140+'7. Nettoinvestoinnit '!H140+'8. Satunnaiset erät'!H140+'9. Tulorahkorjauserät'!H140</f>
        <v>857.09978187185334</v>
      </c>
      <c r="I140" s="41">
        <f>Vuosikate!I140+'7. Nettoinvestoinnit '!I140+'8. Satunnaiset erät'!I140+'9. Tulorahkorjauserät'!I140</f>
        <v>2405.1514558185308</v>
      </c>
      <c r="J140" s="41">
        <f>Vuosikate!J140+'7. Nettoinvestoinnit '!J140+'8. Satunnaiset erät'!J140+'9. Tulorahkorjauserät'!J140</f>
        <v>-2419.9985418700426</v>
      </c>
      <c r="K140" s="41">
        <f>Vuosikate!K140+'7. Nettoinvestoinnit '!K140+'8. Satunnaiset erät'!K140+'9. Tulorahkorjauserät'!K140</f>
        <v>-3497.5153162620491</v>
      </c>
      <c r="L140" s="41">
        <f>Vuosikate!L140+'7. Nettoinvestoinnit '!L140+'8. Satunnaiset erät'!L140+'9. Tulorahkorjauserät'!L140</f>
        <v>-7225.3848217703198</v>
      </c>
      <c r="M140" s="41">
        <f>Vuosikate!M140+'7. Nettoinvestoinnit '!M140+'8. Satunnaiset erät'!M140+'9. Tulorahkorjauserät'!M140</f>
        <v>-11864.479040876378</v>
      </c>
      <c r="N140" s="41">
        <f>Vuosikate!N140+'7. Nettoinvestoinnit '!N140+'8. Satunnaiset erät'!N140+'9. Tulorahkorjauserät'!N140</f>
        <v>-10970.438251799429</v>
      </c>
      <c r="O140" s="41">
        <f>Vuosikate!O140+'7. Nettoinvestoinnit '!O140+'8. Satunnaiset erät'!O140+'9. Tulorahkorjauserät'!O140</f>
        <v>-11362.548793833081</v>
      </c>
      <c r="P140" s="41">
        <f>Vuosikate!P140+'7. Nettoinvestoinnit '!P140+'8. Satunnaiset erät'!P140+'9. Tulorahkorjauserät'!P140</f>
        <v>-11328.458034297453</v>
      </c>
      <c r="T140" s="34">
        <v>418</v>
      </c>
      <c r="U140" s="88" t="s">
        <v>454</v>
      </c>
      <c r="V140" s="41" t="e">
        <f>C140/'1. Väestöennuste'!E140*1000</f>
        <v>#REF!</v>
      </c>
      <c r="W140" s="41">
        <f>D140/'1. Väestöennuste'!F140*1000</f>
        <v>232.62255440756209</v>
      </c>
      <c r="X140" s="41">
        <f>E140/'1. Väestöennuste'!G140*1000</f>
        <v>263.04262122738618</v>
      </c>
      <c r="Y140" s="41">
        <f>F140/'1. Väestöennuste'!H140*1000</f>
        <v>-412.17788502973366</v>
      </c>
      <c r="Z140" s="41">
        <f>G140/'1. Väestöennuste'!I140*1000</f>
        <v>1157.8880244866727</v>
      </c>
      <c r="AA140" s="41">
        <f>H140/'1. Väestöennuste'!J140*1000</f>
        <v>35.970277902965144</v>
      </c>
      <c r="AB140" s="41">
        <f>I140/'1. Väestöennuste'!K140*1000</f>
        <v>99.534491632946981</v>
      </c>
      <c r="AC140" s="41">
        <f>J140/'1. Väestöennuste'!L140*1000</f>
        <v>-98.453968342963492</v>
      </c>
      <c r="AD140" s="41">
        <f>K140/'1. Väestöennuste'!M140*1000</f>
        <v>-141.53677780187161</v>
      </c>
      <c r="AE140" s="41">
        <f>L140/'1. Väestöennuste'!N140*1000</f>
        <v>-292.72717342990393</v>
      </c>
      <c r="AF140" s="41">
        <f>M140/'1. Väestöennuste'!O140*1000</f>
        <v>-477.32857422257717</v>
      </c>
      <c r="AG140" s="41">
        <f>N140/'1. Väestöennuste'!P140*1000</f>
        <v>-438.55439743351707</v>
      </c>
      <c r="AH140" s="41">
        <f>O140/'1. Väestöennuste'!Q140*1000</f>
        <v>-451.66549246067024</v>
      </c>
      <c r="AI140" s="41">
        <f>P140/'1. Väestöennuste'!R140*1000</f>
        <v>-447.95990487158264</v>
      </c>
    </row>
    <row r="141" spans="1:35" x14ac:dyDescent="0.2">
      <c r="A141" s="34">
        <v>420</v>
      </c>
      <c r="B141" s="88" t="s">
        <v>455</v>
      </c>
      <c r="C141" s="41" t="e">
        <f>Vuosikate!C141+'7. Nettoinvestoinnit '!C141+'8. Satunnaiset erät'!C141+'9. Tulorahkorjauserät'!C141</f>
        <v>#REF!</v>
      </c>
      <c r="D141" s="41">
        <f>Vuosikate!D141+'7. Nettoinvestoinnit '!D141+'8. Satunnaiset erät'!D141+'9. Tulorahkorjauserät'!D141</f>
        <v>1539</v>
      </c>
      <c r="E141" s="41">
        <f>Vuosikate!E141+'7. Nettoinvestoinnit '!E141+'8. Satunnaiset erät'!E141+'9. Tulorahkorjauserät'!E141</f>
        <v>-3841</v>
      </c>
      <c r="F141" s="41">
        <f>Vuosikate!F141+'7. Nettoinvestoinnit '!F141+'8. Satunnaiset erät'!F141+'9. Tulorahkorjauserät'!F141</f>
        <v>-4192</v>
      </c>
      <c r="G141" s="41">
        <f>Vuosikate!G141+'7. Nettoinvestoinnit '!G141+'8. Satunnaiset erät'!G141+'9. Tulorahkorjauserät'!G141</f>
        <v>-2444</v>
      </c>
      <c r="H141" s="41">
        <f>Vuosikate!H141+'7. Nettoinvestoinnit '!H141+'8. Satunnaiset erät'!H141+'9. Tulorahkorjauserät'!H141</f>
        <v>3379.3393713628247</v>
      </c>
      <c r="I141" s="41">
        <f>Vuosikate!I141+'7. Nettoinvestoinnit '!I141+'8. Satunnaiset erät'!I141+'9. Tulorahkorjauserät'!I141</f>
        <v>4723.6533130186581</v>
      </c>
      <c r="J141" s="41">
        <f>Vuosikate!J141+'7. Nettoinvestoinnit '!J141+'8. Satunnaiset erät'!J141+'9. Tulorahkorjauserät'!J141</f>
        <v>4797.0998328934165</v>
      </c>
      <c r="K141" s="41">
        <f>Vuosikate!K141+'7. Nettoinvestoinnit '!K141+'8. Satunnaiset erät'!K141+'9. Tulorahkorjauserät'!K141</f>
        <v>4401.9202410969392</v>
      </c>
      <c r="L141" s="41">
        <f>Vuosikate!L141+'7. Nettoinvestoinnit '!L141+'8. Satunnaiset erät'!L141+'9. Tulorahkorjauserät'!L141</f>
        <v>-1128.2859888917192</v>
      </c>
      <c r="M141" s="41">
        <f>Vuosikate!M141+'7. Nettoinvestoinnit '!M141+'8. Satunnaiset erät'!M141+'9. Tulorahkorjauserät'!M141</f>
        <v>-762.69325603212837</v>
      </c>
      <c r="N141" s="41">
        <f>Vuosikate!N141+'7. Nettoinvestoinnit '!N141+'8. Satunnaiset erät'!N141+'9. Tulorahkorjauserät'!N141</f>
        <v>-796.39088028397691</v>
      </c>
      <c r="O141" s="41">
        <f>Vuosikate!O141+'7. Nettoinvestoinnit '!O141+'8. Satunnaiset erät'!O141+'9. Tulorahkorjauserät'!O141</f>
        <v>-538.03374040696599</v>
      </c>
      <c r="P141" s="41">
        <f>Vuosikate!P141+'7. Nettoinvestoinnit '!P141+'8. Satunnaiset erät'!P141+'9. Tulorahkorjauserät'!P141</f>
        <v>105.55568919628149</v>
      </c>
      <c r="T141" s="34">
        <v>420</v>
      </c>
      <c r="U141" s="88" t="s">
        <v>455</v>
      </c>
      <c r="V141" s="41" t="e">
        <f>C141/'1. Väestöennuste'!E141*1000</f>
        <v>#REF!</v>
      </c>
      <c r="W141" s="41">
        <f>D141/'1. Väestöennuste'!F141*1000</f>
        <v>156.00608210846426</v>
      </c>
      <c r="X141" s="41">
        <f>E141/'1. Väestöennuste'!G141*1000</f>
        <v>-392.65998773257007</v>
      </c>
      <c r="Y141" s="41">
        <f>F141/'1. Väestöennuste'!H141*1000</f>
        <v>-434.40414507772016</v>
      </c>
      <c r="Z141" s="41">
        <f>G141/'1. Väestöennuste'!I141*1000</f>
        <v>-258.51491432198009</v>
      </c>
      <c r="AA141" s="41">
        <f>H141/'1. Väestöennuste'!J141*1000</f>
        <v>359.42771446105348</v>
      </c>
      <c r="AB141" s="41">
        <f>I141/'1. Väestöennuste'!K141*1000</f>
        <v>509.01436562701053</v>
      </c>
      <c r="AC141" s="41">
        <f>J141/'1. Väestöennuste'!L141*1000</f>
        <v>522.730721683929</v>
      </c>
      <c r="AD141" s="41">
        <f>K141/'1. Väestöennuste'!M141*1000</f>
        <v>486.45377843926832</v>
      </c>
      <c r="AE141" s="41">
        <f>L141/'1. Väestöennuste'!N141*1000</f>
        <v>-125.53248652555843</v>
      </c>
      <c r="AF141" s="41">
        <f>M141/'1. Väestöennuste'!O141*1000</f>
        <v>-85.782617931855626</v>
      </c>
      <c r="AG141" s="41">
        <f>N141/'1. Väestöennuste'!P141*1000</f>
        <v>-90.550412766796697</v>
      </c>
      <c r="AH141" s="41">
        <f>O141/'1. Väestöennuste'!Q141*1000</f>
        <v>-61.821640860274158</v>
      </c>
      <c r="AI141" s="41">
        <f>P141/'1. Väestöennuste'!R141*1000</f>
        <v>12.258238206512774</v>
      </c>
    </row>
    <row r="142" spans="1:35" x14ac:dyDescent="0.2">
      <c r="A142" s="34">
        <v>421</v>
      </c>
      <c r="B142" s="88" t="s">
        <v>456</v>
      </c>
      <c r="C142" s="41" t="e">
        <f>Vuosikate!C142+'7. Nettoinvestoinnit '!C142+'8. Satunnaiset erät'!C142+'9. Tulorahkorjauserät'!C142</f>
        <v>#REF!</v>
      </c>
      <c r="D142" s="41">
        <f>Vuosikate!D142+'7. Nettoinvestoinnit '!D142+'8. Satunnaiset erät'!D142+'9. Tulorahkorjauserät'!D142</f>
        <v>-619</v>
      </c>
      <c r="E142" s="41">
        <f>Vuosikate!E142+'7. Nettoinvestoinnit '!E142+'8. Satunnaiset erät'!E142+'9. Tulorahkorjauserät'!E142</f>
        <v>-59</v>
      </c>
      <c r="F142" s="41">
        <f>Vuosikate!F142+'7. Nettoinvestoinnit '!F142+'8. Satunnaiset erät'!F142+'9. Tulorahkorjauserät'!F142</f>
        <v>-695</v>
      </c>
      <c r="G142" s="41">
        <f>Vuosikate!G142+'7. Nettoinvestoinnit '!G142+'8. Satunnaiset erät'!G142+'9. Tulorahkorjauserät'!G142</f>
        <v>-584</v>
      </c>
      <c r="H142" s="41">
        <f>Vuosikate!H142+'7. Nettoinvestoinnit '!H142+'8. Satunnaiset erät'!H142+'9. Tulorahkorjauserät'!H142</f>
        <v>-3910.1894996702017</v>
      </c>
      <c r="I142" s="41">
        <f>Vuosikate!I142+'7. Nettoinvestoinnit '!I142+'8. Satunnaiset erät'!I142+'9. Tulorahkorjauserät'!I142</f>
        <v>-1945.2270439195038</v>
      </c>
      <c r="J142" s="41">
        <f>Vuosikate!J142+'7. Nettoinvestoinnit '!J142+'8. Satunnaiset erät'!J142+'9. Tulorahkorjauserät'!J142</f>
        <v>-1617.6443643572904</v>
      </c>
      <c r="K142" s="41">
        <f>Vuosikate!K142+'7. Nettoinvestoinnit '!K142+'8. Satunnaiset erät'!K142+'9. Tulorahkorjauserät'!K142</f>
        <v>-500.41750596851585</v>
      </c>
      <c r="L142" s="41">
        <f>Vuosikate!L142+'7. Nettoinvestoinnit '!L142+'8. Satunnaiset erät'!L142+'9. Tulorahkorjauserät'!L142</f>
        <v>-874.67861369628395</v>
      </c>
      <c r="M142" s="41">
        <f>Vuosikate!M142+'7. Nettoinvestoinnit '!M142+'8. Satunnaiset erät'!M142+'9. Tulorahkorjauserät'!M142</f>
        <v>-1169.3473418449798</v>
      </c>
      <c r="N142" s="41">
        <f>Vuosikate!N142+'7. Nettoinvestoinnit '!N142+'8. Satunnaiset erät'!N142+'9. Tulorahkorjauserät'!N142</f>
        <v>-1455.0058004965545</v>
      </c>
      <c r="O142" s="41">
        <f>Vuosikate!O142+'7. Nettoinvestoinnit '!O142+'8. Satunnaiset erät'!O142+'9. Tulorahkorjauserät'!O142</f>
        <v>-1547.8531906276642</v>
      </c>
      <c r="P142" s="41">
        <f>Vuosikate!P142+'7. Nettoinvestoinnit '!P142+'8. Satunnaiset erät'!P142+'9. Tulorahkorjauserät'!P142</f>
        <v>-1515.5448080525787</v>
      </c>
      <c r="T142" s="34">
        <v>421</v>
      </c>
      <c r="U142" s="88" t="s">
        <v>456</v>
      </c>
      <c r="V142" s="41" t="e">
        <f>C142/'1. Väestöennuste'!E142*1000</f>
        <v>#REF!</v>
      </c>
      <c r="W142" s="41">
        <f>D142/'1. Väestöennuste'!F142*1000</f>
        <v>-763.25524044389647</v>
      </c>
      <c r="X142" s="41">
        <f>E142/'1. Väestöennuste'!G142*1000</f>
        <v>-74.778200253485437</v>
      </c>
      <c r="Y142" s="41">
        <f>F142/'1. Väestöennuste'!H142*1000</f>
        <v>-943.0122116689281</v>
      </c>
      <c r="Z142" s="41">
        <f>G142/'1. Väestöennuste'!I142*1000</f>
        <v>-812.23922114047286</v>
      </c>
      <c r="AA142" s="41">
        <f>H142/'1. Väestöennuste'!J142*1000</f>
        <v>-5415.7749302911379</v>
      </c>
      <c r="AB142" s="41">
        <f>I142/'1. Väestöennuste'!K142*1000</f>
        <v>-2705.4618135180858</v>
      </c>
      <c r="AC142" s="41">
        <f>J142/'1. Väestöennuste'!L142*1000</f>
        <v>-2327.5458479961017</v>
      </c>
      <c r="AD142" s="41">
        <f>K142/'1. Väestöennuste'!M142*1000</f>
        <v>-733.75000875148953</v>
      </c>
      <c r="AE142" s="41">
        <f>L142/'1. Väestöennuste'!N142*1000</f>
        <v>-1290.086450879475</v>
      </c>
      <c r="AF142" s="41">
        <f>M142/'1. Väestöennuste'!O142*1000</f>
        <v>-1747.9033510388338</v>
      </c>
      <c r="AG142" s="41">
        <f>N142/'1. Väestöennuste'!P142*1000</f>
        <v>-2204.554243176598</v>
      </c>
      <c r="AH142" s="41">
        <f>O142/'1. Väestöennuste'!Q142*1000</f>
        <v>-2366.7479979016271</v>
      </c>
      <c r="AI142" s="41">
        <f>P142/'1. Väestöennuste'!R142*1000</f>
        <v>-2342.4185595866752</v>
      </c>
    </row>
    <row r="143" spans="1:35" x14ac:dyDescent="0.2">
      <c r="A143" s="34">
        <v>422</v>
      </c>
      <c r="B143" s="88" t="s">
        <v>457</v>
      </c>
      <c r="C143" s="41" t="e">
        <f>Vuosikate!C143+'7. Nettoinvestoinnit '!C143+'8. Satunnaiset erät'!C143+'9. Tulorahkorjauserät'!C143</f>
        <v>#REF!</v>
      </c>
      <c r="D143" s="41">
        <f>Vuosikate!D143+'7. Nettoinvestoinnit '!D143+'8. Satunnaiset erät'!D143+'9. Tulorahkorjauserät'!D143</f>
        <v>4226</v>
      </c>
      <c r="E143" s="41">
        <f>Vuosikate!E143+'7. Nettoinvestoinnit '!E143+'8. Satunnaiset erät'!E143+'9. Tulorahkorjauserät'!E143</f>
        <v>6737</v>
      </c>
      <c r="F143" s="41">
        <f>Vuosikate!F143+'7. Nettoinvestoinnit '!F143+'8. Satunnaiset erät'!F143+'9. Tulorahkorjauserät'!F143</f>
        <v>3847</v>
      </c>
      <c r="G143" s="41">
        <f>Vuosikate!G143+'7. Nettoinvestoinnit '!G143+'8. Satunnaiset erät'!G143+'9. Tulorahkorjauserät'!G143</f>
        <v>1186</v>
      </c>
      <c r="H143" s="41">
        <f>Vuosikate!H143+'7. Nettoinvestoinnit '!H143+'8. Satunnaiset erät'!H143+'9. Tulorahkorjauserät'!H143</f>
        <v>1848.2626745296147</v>
      </c>
      <c r="I143" s="41">
        <f>Vuosikate!I143+'7. Nettoinvestoinnit '!I143+'8. Satunnaiset erät'!I143+'9. Tulorahkorjauserät'!I143</f>
        <v>7616.3628400735324</v>
      </c>
      <c r="J143" s="41">
        <f>Vuosikate!J143+'7. Nettoinvestoinnit '!J143+'8. Satunnaiset erät'!J143+'9. Tulorahkorjauserät'!J143</f>
        <v>316.73538618426346</v>
      </c>
      <c r="K143" s="41">
        <f>Vuosikate!K143+'7. Nettoinvestoinnit '!K143+'8. Satunnaiset erät'!K143+'9. Tulorahkorjauserät'!K143</f>
        <v>5990.5968731670946</v>
      </c>
      <c r="L143" s="41">
        <f>Vuosikate!L143+'7. Nettoinvestoinnit '!L143+'8. Satunnaiset erät'!L143+'9. Tulorahkorjauserät'!L143</f>
        <v>1508.5833041175138</v>
      </c>
      <c r="M143" s="41">
        <f>Vuosikate!M143+'7. Nettoinvestoinnit '!M143+'8. Satunnaiset erät'!M143+'9. Tulorahkorjauserät'!M143</f>
        <v>-1368.5537723766338</v>
      </c>
      <c r="N143" s="41">
        <f>Vuosikate!N143+'7. Nettoinvestoinnit '!N143+'8. Satunnaiset erät'!N143+'9. Tulorahkorjauserät'!N143</f>
        <v>-2357.3005744833608</v>
      </c>
      <c r="O143" s="41">
        <f>Vuosikate!O143+'7. Nettoinvestoinnit '!O143+'8. Satunnaiset erät'!O143+'9. Tulorahkorjauserät'!O143</f>
        <v>-2484.1783227099108</v>
      </c>
      <c r="P143" s="41">
        <f>Vuosikate!P143+'7. Nettoinvestoinnit '!P143+'8. Satunnaiset erät'!P143+'9. Tulorahkorjauserät'!P143</f>
        <v>-819.70051221211452</v>
      </c>
      <c r="T143" s="34">
        <v>422</v>
      </c>
      <c r="U143" s="88" t="s">
        <v>457</v>
      </c>
      <c r="V143" s="41" t="e">
        <f>C143/'1. Väestöennuste'!E143*1000</f>
        <v>#REF!</v>
      </c>
      <c r="W143" s="41">
        <f>D143/'1. Väestöennuste'!F143*1000</f>
        <v>364.93955094991367</v>
      </c>
      <c r="X143" s="41">
        <f>E143/'1. Väestöennuste'!G143*1000</f>
        <v>596.35301407453312</v>
      </c>
      <c r="Y143" s="41">
        <f>F143/'1. Väestöennuste'!H143*1000</f>
        <v>346.63903406019102</v>
      </c>
      <c r="Z143" s="41">
        <f>G143/'1. Väestöennuste'!I143*1000</f>
        <v>108.96729143697171</v>
      </c>
      <c r="AA143" s="41">
        <f>H143/'1. Väestöennuste'!J143*1000</f>
        <v>172.42864768444954</v>
      </c>
      <c r="AB143" s="41">
        <f>I143/'1. Väestöennuste'!K143*1000</f>
        <v>722.40945082742417</v>
      </c>
      <c r="AC143" s="41">
        <f>J143/'1. Väestöennuste'!L143*1000</f>
        <v>30.537542054016917</v>
      </c>
      <c r="AD143" s="41">
        <f>K143/'1. Väestöennuste'!M143*1000</f>
        <v>585.70559964480788</v>
      </c>
      <c r="AE143" s="41">
        <f>L143/'1. Väestöennuste'!N143*1000</f>
        <v>151.22126143920548</v>
      </c>
      <c r="AF143" s="41">
        <f>M143/'1. Väestöennuste'!O143*1000</f>
        <v>-139.49177172323246</v>
      </c>
      <c r="AG143" s="41">
        <f>N143/'1. Väestöennuste'!P143*1000</f>
        <v>-244.27985227806849</v>
      </c>
      <c r="AH143" s="41">
        <f>O143/'1. Väestöennuste'!Q143*1000</f>
        <v>-261.63015510372946</v>
      </c>
      <c r="AI143" s="41">
        <f>P143/'1. Väestöennuste'!R143*1000</f>
        <v>-87.696641939886007</v>
      </c>
    </row>
    <row r="144" spans="1:35" x14ac:dyDescent="0.2">
      <c r="A144" s="34">
        <v>423</v>
      </c>
      <c r="B144" s="88" t="s">
        <v>458</v>
      </c>
      <c r="C144" s="41" t="e">
        <f>Vuosikate!C144+'7. Nettoinvestoinnit '!C144+'8. Satunnaiset erät'!C144+'9. Tulorahkorjauserät'!C144</f>
        <v>#REF!</v>
      </c>
      <c r="D144" s="41">
        <f>Vuosikate!D144+'7. Nettoinvestoinnit '!D144+'8. Satunnaiset erät'!D144+'9. Tulorahkorjauserät'!D144</f>
        <v>-2836</v>
      </c>
      <c r="E144" s="41">
        <f>Vuosikate!E144+'7. Nettoinvestoinnit '!E144+'8. Satunnaiset erät'!E144+'9. Tulorahkorjauserät'!E144</f>
        <v>-9955</v>
      </c>
      <c r="F144" s="41">
        <f>Vuosikate!F144+'7. Nettoinvestoinnit '!F144+'8. Satunnaiset erät'!F144+'9. Tulorahkorjauserät'!F144</f>
        <v>-7576</v>
      </c>
      <c r="G144" s="41">
        <f>Vuosikate!G144+'7. Nettoinvestoinnit '!G144+'8. Satunnaiset erät'!G144+'9. Tulorahkorjauserät'!G144</f>
        <v>-4130</v>
      </c>
      <c r="H144" s="41">
        <f>Vuosikate!H144+'7. Nettoinvestoinnit '!H144+'8. Satunnaiset erät'!H144+'9. Tulorahkorjauserät'!H144</f>
        <v>3159.7594366202466</v>
      </c>
      <c r="I144" s="41">
        <f>Vuosikate!I144+'7. Nettoinvestoinnit '!I144+'8. Satunnaiset erät'!I144+'9. Tulorahkorjauserät'!I144</f>
        <v>1627.7789789547946</v>
      </c>
      <c r="J144" s="41">
        <f>Vuosikate!J144+'7. Nettoinvestoinnit '!J144+'8. Satunnaiset erät'!J144+'9. Tulorahkorjauserät'!J144</f>
        <v>2270.5624649432693</v>
      </c>
      <c r="K144" s="41">
        <f>Vuosikate!K144+'7. Nettoinvestoinnit '!K144+'8. Satunnaiset erät'!K144+'9. Tulorahkorjauserät'!K144</f>
        <v>3786.1846891123641</v>
      </c>
      <c r="L144" s="41">
        <f>Vuosikate!L144+'7. Nettoinvestoinnit '!L144+'8. Satunnaiset erät'!L144+'9. Tulorahkorjauserät'!L144</f>
        <v>-4013.2185284846782</v>
      </c>
      <c r="M144" s="41">
        <f>Vuosikate!M144+'7. Nettoinvestoinnit '!M144+'8. Satunnaiset erät'!M144+'9. Tulorahkorjauserät'!M144</f>
        <v>-6102.7727616743068</v>
      </c>
      <c r="N144" s="41">
        <f>Vuosikate!N144+'7. Nettoinvestoinnit '!N144+'8. Satunnaiset erät'!N144+'9. Tulorahkorjauserät'!N144</f>
        <v>-6208.8138424744575</v>
      </c>
      <c r="O144" s="41">
        <f>Vuosikate!O144+'7. Nettoinvestoinnit '!O144+'8. Satunnaiset erät'!O144+'9. Tulorahkorjauserät'!O144</f>
        <v>-6756.0553033014894</v>
      </c>
      <c r="P144" s="41">
        <f>Vuosikate!P144+'7. Nettoinvestoinnit '!P144+'8. Satunnaiset erät'!P144+'9. Tulorahkorjauserät'!P144</f>
        <v>-6213.2221726172811</v>
      </c>
      <c r="T144" s="34">
        <v>423</v>
      </c>
      <c r="U144" s="88" t="s">
        <v>458</v>
      </c>
      <c r="V144" s="41" t="e">
        <f>C144/'1. Väestöennuste'!E144*1000</f>
        <v>#REF!</v>
      </c>
      <c r="W144" s="41">
        <f>D144/'1. Väestöennuste'!F144*1000</f>
        <v>-146.05005664847047</v>
      </c>
      <c r="X144" s="41">
        <f>E144/'1. Väestöennuste'!G144*1000</f>
        <v>-508.01183915084715</v>
      </c>
      <c r="Y144" s="41">
        <f>F144/'1. Väestöennuste'!H144*1000</f>
        <v>-382.0281377641067</v>
      </c>
      <c r="Z144" s="41">
        <f>G144/'1. Väestöennuste'!I144*1000</f>
        <v>-206.56196859057718</v>
      </c>
      <c r="AA144" s="41">
        <f>H144/'1. Väestöennuste'!J144*1000</f>
        <v>156.84301780106455</v>
      </c>
      <c r="AB144" s="41">
        <f>I144/'1. Väestöennuste'!K144*1000</f>
        <v>80.221722879838083</v>
      </c>
      <c r="AC144" s="41">
        <f>J144/'1. Väestöennuste'!L144*1000</f>
        <v>110.77535565903642</v>
      </c>
      <c r="AD144" s="41">
        <f>K144/'1. Väestöennuste'!M144*1000</f>
        <v>183.46584722160995</v>
      </c>
      <c r="AE144" s="41">
        <f>L144/'1. Väestöennuste'!N144*1000</f>
        <v>-193.39880143051798</v>
      </c>
      <c r="AF144" s="41">
        <f>M144/'1. Väestöennuste'!O144*1000</f>
        <v>-292.11050936599207</v>
      </c>
      <c r="AG144" s="41">
        <f>N144/'1. Väestöennuste'!P144*1000</f>
        <v>-295.26411653388135</v>
      </c>
      <c r="AH144" s="41">
        <f>O144/'1. Väestöennuste'!Q144*1000</f>
        <v>-319.32955065942662</v>
      </c>
      <c r="AI144" s="41">
        <f>P144/'1. Väestöennuste'!R144*1000</f>
        <v>-292.04334536391451</v>
      </c>
    </row>
    <row r="145" spans="1:35" x14ac:dyDescent="0.2">
      <c r="A145" s="34">
        <v>425</v>
      </c>
      <c r="B145" s="88" t="s">
        <v>459</v>
      </c>
      <c r="C145" s="41" t="e">
        <f>Vuosikate!C145+'7. Nettoinvestoinnit '!C145+'8. Satunnaiset erät'!C145+'9. Tulorahkorjauserät'!C145</f>
        <v>#REF!</v>
      </c>
      <c r="D145" s="41">
        <f>Vuosikate!D145+'7. Nettoinvestoinnit '!D145+'8. Satunnaiset erät'!D145+'9. Tulorahkorjauserät'!D145</f>
        <v>1784</v>
      </c>
      <c r="E145" s="41">
        <f>Vuosikate!E145+'7. Nettoinvestoinnit '!E145+'8. Satunnaiset erät'!E145+'9. Tulorahkorjauserät'!E145</f>
        <v>-1588</v>
      </c>
      <c r="F145" s="41">
        <f>Vuosikate!F145+'7. Nettoinvestoinnit '!F145+'8. Satunnaiset erät'!F145+'9. Tulorahkorjauserät'!F145</f>
        <v>-11831</v>
      </c>
      <c r="G145" s="41">
        <f>Vuosikate!G145+'7. Nettoinvestoinnit '!G145+'8. Satunnaiset erät'!G145+'9. Tulorahkorjauserät'!G145</f>
        <v>-3868</v>
      </c>
      <c r="H145" s="41">
        <f>Vuosikate!H145+'7. Nettoinvestoinnit '!H145+'8. Satunnaiset erät'!H145+'9. Tulorahkorjauserät'!H145</f>
        <v>777.35023671721865</v>
      </c>
      <c r="I145" s="41">
        <f>Vuosikate!I145+'7. Nettoinvestoinnit '!I145+'8. Satunnaiset erät'!I145+'9. Tulorahkorjauserät'!I145</f>
        <v>2321.9416894878073</v>
      </c>
      <c r="J145" s="41">
        <f>Vuosikate!J145+'7. Nettoinvestoinnit '!J145+'8. Satunnaiset erät'!J145+'9. Tulorahkorjauserät'!J145</f>
        <v>-119.77532711050793</v>
      </c>
      <c r="K145" s="41">
        <f>Vuosikate!K145+'7. Nettoinvestoinnit '!K145+'8. Satunnaiset erät'!K145+'9. Tulorahkorjauserät'!K145</f>
        <v>-1189.5250358813278</v>
      </c>
      <c r="L145" s="41">
        <f>Vuosikate!L145+'7. Nettoinvestoinnit '!L145+'8. Satunnaiset erät'!L145+'9. Tulorahkorjauserät'!L145</f>
        <v>-1376.7046611371916</v>
      </c>
      <c r="M145" s="41">
        <f>Vuosikate!M145+'7. Nettoinvestoinnit '!M145+'8. Satunnaiset erät'!M145+'9. Tulorahkorjauserät'!M145</f>
        <v>-3588.0027948221223</v>
      </c>
      <c r="N145" s="41">
        <f>Vuosikate!N145+'7. Nettoinvestoinnit '!N145+'8. Satunnaiset erät'!N145+'9. Tulorahkorjauserät'!N145</f>
        <v>-3756.3388822764346</v>
      </c>
      <c r="O145" s="41">
        <f>Vuosikate!O145+'7. Nettoinvestoinnit '!O145+'8. Satunnaiset erät'!O145+'9. Tulorahkorjauserät'!O145</f>
        <v>-3785.1151658206145</v>
      </c>
      <c r="P145" s="41">
        <f>Vuosikate!P145+'7. Nettoinvestoinnit '!P145+'8. Satunnaiset erät'!P145+'9. Tulorahkorjauserät'!P145</f>
        <v>-3627.2747989081508</v>
      </c>
      <c r="T145" s="34">
        <v>425</v>
      </c>
      <c r="U145" s="88" t="s">
        <v>459</v>
      </c>
      <c r="V145" s="41" t="e">
        <f>C145/'1. Väestöennuste'!E145*1000</f>
        <v>#REF!</v>
      </c>
      <c r="W145" s="41">
        <f>D145/'1. Väestöennuste'!F145*1000</f>
        <v>178.4</v>
      </c>
      <c r="X145" s="41">
        <f>E145/'1. Väestöennuste'!G145*1000</f>
        <v>-156.71568143688938</v>
      </c>
      <c r="Y145" s="41">
        <f>F145/'1. Väestöennuste'!H145*1000</f>
        <v>-1164.3539021749827</v>
      </c>
      <c r="Z145" s="41">
        <f>G145/'1. Väestöennuste'!I145*1000</f>
        <v>-379.55058384849377</v>
      </c>
      <c r="AA145" s="41">
        <f>H145/'1. Väestöennuste'!J145*1000</f>
        <v>75.927938729949076</v>
      </c>
      <c r="AB145" s="41">
        <f>I145/'1. Väestöennuste'!K145*1000</f>
        <v>227.24032976001246</v>
      </c>
      <c r="AC145" s="41">
        <f>J145/'1. Väestöennuste'!L145*1000</f>
        <v>-11.676284569166302</v>
      </c>
      <c r="AD145" s="41">
        <f>K145/'1. Väestöennuste'!M145*1000</f>
        <v>-115.98333033164272</v>
      </c>
      <c r="AE145" s="41">
        <f>L145/'1. Väestöennuste'!N145*1000</f>
        <v>-131.9188061649283</v>
      </c>
      <c r="AF145" s="41">
        <f>M145/'1. Väestöennuste'!O145*1000</f>
        <v>-342.89017534615084</v>
      </c>
      <c r="AG145" s="41">
        <f>N145/'1. Väestöennuste'!P145*1000</f>
        <v>-358.12173536814134</v>
      </c>
      <c r="AH145" s="41">
        <f>O145/'1. Väestöennuste'!Q145*1000</f>
        <v>-360.07564362829288</v>
      </c>
      <c r="AI145" s="41">
        <f>P145/'1. Väestöennuste'!R145*1000</f>
        <v>-344.47054120685192</v>
      </c>
    </row>
    <row r="146" spans="1:35" x14ac:dyDescent="0.2">
      <c r="A146" s="34">
        <v>426</v>
      </c>
      <c r="B146" s="88" t="s">
        <v>460</v>
      </c>
      <c r="C146" s="41" t="e">
        <f>Vuosikate!C146+'7. Nettoinvestoinnit '!C146+'8. Satunnaiset erät'!C146+'9. Tulorahkorjauserät'!C146</f>
        <v>#REF!</v>
      </c>
      <c r="D146" s="41">
        <f>Vuosikate!D146+'7. Nettoinvestoinnit '!D146+'8. Satunnaiset erät'!D146+'9. Tulorahkorjauserät'!D146</f>
        <v>1724</v>
      </c>
      <c r="E146" s="41">
        <f>Vuosikate!E146+'7. Nettoinvestoinnit '!E146+'8. Satunnaiset erät'!E146+'9. Tulorahkorjauserät'!E146</f>
        <v>1898</v>
      </c>
      <c r="F146" s="41">
        <f>Vuosikate!F146+'7. Nettoinvestoinnit '!F146+'8. Satunnaiset erät'!F146+'9. Tulorahkorjauserät'!F146</f>
        <v>-88</v>
      </c>
      <c r="G146" s="41">
        <f>Vuosikate!G146+'7. Nettoinvestoinnit '!G146+'8. Satunnaiset erät'!G146+'9. Tulorahkorjauserät'!G146</f>
        <v>-654</v>
      </c>
      <c r="H146" s="41">
        <f>Vuosikate!H146+'7. Nettoinvestoinnit '!H146+'8. Satunnaiset erät'!H146+'9. Tulorahkorjauserät'!H146</f>
        <v>-2597.5694379411034</v>
      </c>
      <c r="I146" s="41">
        <f>Vuosikate!I146+'7. Nettoinvestoinnit '!I146+'8. Satunnaiset erät'!I146+'9. Tulorahkorjauserät'!I146</f>
        <v>-11028.419766672681</v>
      </c>
      <c r="J146" s="41">
        <f>Vuosikate!J146+'7. Nettoinvestoinnit '!J146+'8. Satunnaiset erät'!J146+'9. Tulorahkorjauserät'!J146</f>
        <v>-5654.5527661157103</v>
      </c>
      <c r="K146" s="41">
        <f>Vuosikate!K146+'7. Nettoinvestoinnit '!K146+'8. Satunnaiset erät'!K146+'9. Tulorahkorjauserät'!K146</f>
        <v>1716.8986810486958</v>
      </c>
      <c r="L146" s="41">
        <f>Vuosikate!L146+'7. Nettoinvestoinnit '!L146+'8. Satunnaiset erät'!L146+'9. Tulorahkorjauserät'!L146</f>
        <v>-4526.0613861253378</v>
      </c>
      <c r="M146" s="41">
        <f>Vuosikate!M146+'7. Nettoinvestoinnit '!M146+'8. Satunnaiset erät'!M146+'9. Tulorahkorjauserät'!M146</f>
        <v>-7475.23395100369</v>
      </c>
      <c r="N146" s="41">
        <f>Vuosikate!N146+'7. Nettoinvestoinnit '!N146+'8. Satunnaiset erät'!N146+'9. Tulorahkorjauserät'!N146</f>
        <v>-7506.5036858211097</v>
      </c>
      <c r="O146" s="41">
        <f>Vuosikate!O146+'7. Nettoinvestoinnit '!O146+'8. Satunnaiset erät'!O146+'9. Tulorahkorjauserät'!O146</f>
        <v>-7441.3132047014578</v>
      </c>
      <c r="P146" s="41">
        <f>Vuosikate!P146+'7. Nettoinvestoinnit '!P146+'8. Satunnaiset erät'!P146+'9. Tulorahkorjauserät'!P146</f>
        <v>-6502.0434539614853</v>
      </c>
      <c r="T146" s="34">
        <v>426</v>
      </c>
      <c r="U146" s="88" t="s">
        <v>460</v>
      </c>
      <c r="V146" s="41" t="e">
        <f>C146/'1. Väestöennuste'!E146*1000</f>
        <v>#REF!</v>
      </c>
      <c r="W146" s="41">
        <f>D146/'1. Väestöennuste'!F146*1000</f>
        <v>140.15120721892529</v>
      </c>
      <c r="X146" s="41">
        <f>E146/'1. Väestöennuste'!G146*1000</f>
        <v>156.21399176954731</v>
      </c>
      <c r="Y146" s="41">
        <f>F146/'1. Väestöennuste'!H146*1000</f>
        <v>-7.2457801564429802</v>
      </c>
      <c r="Z146" s="41">
        <f>G146/'1. Väestöennuste'!I146*1000</f>
        <v>-54.121151936444889</v>
      </c>
      <c r="AA146" s="41">
        <f>H146/'1. Väestöennuste'!J146*1000</f>
        <v>-216.57240603144101</v>
      </c>
      <c r="AB146" s="41">
        <f>I146/'1. Väestöennuste'!K146*1000</f>
        <v>-920.64611125074555</v>
      </c>
      <c r="AC146" s="41">
        <f>J146/'1. Väestöennuste'!L146*1000</f>
        <v>-472.70964438352371</v>
      </c>
      <c r="AD146" s="41">
        <f>K146/'1. Väestöennuste'!M146*1000</f>
        <v>143.44545751931622</v>
      </c>
      <c r="AE146" s="41">
        <f>L146/'1. Väestöennuste'!N146*1000</f>
        <v>-385.32788916442519</v>
      </c>
      <c r="AF146" s="41">
        <f>M146/'1. Väestöennuste'!O146*1000</f>
        <v>-640.00290676401448</v>
      </c>
      <c r="AG146" s="41">
        <f>N146/'1. Väestöennuste'!P146*1000</f>
        <v>-646.38798637915352</v>
      </c>
      <c r="AH146" s="41">
        <f>O146/'1. Väestöennuste'!Q146*1000</f>
        <v>-644.66024471120659</v>
      </c>
      <c r="AI146" s="41">
        <f>P146/'1. Väestöennuste'!R146*1000</f>
        <v>-566.92331100893591</v>
      </c>
    </row>
    <row r="147" spans="1:35" x14ac:dyDescent="0.2">
      <c r="A147" s="34">
        <v>430</v>
      </c>
      <c r="B147" s="88" t="s">
        <v>461</v>
      </c>
      <c r="C147" s="41" t="e">
        <f>Vuosikate!C147+'7. Nettoinvestoinnit '!C147+'8. Satunnaiset erät'!C147+'9. Tulorahkorjauserät'!C147</f>
        <v>#REF!</v>
      </c>
      <c r="D147" s="41">
        <f>Vuosikate!D147+'7. Nettoinvestoinnit '!D147+'8. Satunnaiset erät'!D147+'9. Tulorahkorjauserät'!D147</f>
        <v>-512</v>
      </c>
      <c r="E147" s="41">
        <f>Vuosikate!E147+'7. Nettoinvestoinnit '!E147+'8. Satunnaiset erät'!E147+'9. Tulorahkorjauserät'!E147</f>
        <v>-1780</v>
      </c>
      <c r="F147" s="41">
        <f>Vuosikate!F147+'7. Nettoinvestoinnit '!F147+'8. Satunnaiset erät'!F147+'9. Tulorahkorjauserät'!F147</f>
        <v>-3676</v>
      </c>
      <c r="G147" s="41">
        <f>Vuosikate!G147+'7. Nettoinvestoinnit '!G147+'8. Satunnaiset erät'!G147+'9. Tulorahkorjauserät'!G147</f>
        <v>-3036</v>
      </c>
      <c r="H147" s="41">
        <f>Vuosikate!H147+'7. Nettoinvestoinnit '!H147+'8. Satunnaiset erät'!H147+'9. Tulorahkorjauserät'!H147</f>
        <v>9270.2643611250314</v>
      </c>
      <c r="I147" s="41">
        <f>Vuosikate!I147+'7. Nettoinvestoinnit '!I147+'8. Satunnaiset erät'!I147+'9. Tulorahkorjauserät'!I147</f>
        <v>3120.6623641948331</v>
      </c>
      <c r="J147" s="41">
        <f>Vuosikate!J147+'7. Nettoinvestoinnit '!J147+'8. Satunnaiset erät'!J147+'9. Tulorahkorjauserät'!J147</f>
        <v>2894.0445053534254</v>
      </c>
      <c r="K147" s="41">
        <f>Vuosikate!K147+'7. Nettoinvestoinnit '!K147+'8. Satunnaiset erät'!K147+'9. Tulorahkorjauserät'!K147</f>
        <v>2775.1152182850924</v>
      </c>
      <c r="L147" s="41">
        <f>Vuosikate!L147+'7. Nettoinvestoinnit '!L147+'8. Satunnaiset erät'!L147+'9. Tulorahkorjauserät'!L147</f>
        <v>1552.9640787331227</v>
      </c>
      <c r="M147" s="41">
        <f>Vuosikate!M147+'7. Nettoinvestoinnit '!M147+'8. Satunnaiset erät'!M147+'9. Tulorahkorjauserät'!M147</f>
        <v>-927.23605159917088</v>
      </c>
      <c r="N147" s="41">
        <f>Vuosikate!N147+'7. Nettoinvestoinnit '!N147+'8. Satunnaiset erät'!N147+'9. Tulorahkorjauserät'!N147</f>
        <v>-663.32860139444165</v>
      </c>
      <c r="O147" s="41">
        <f>Vuosikate!O147+'7. Nettoinvestoinnit '!O147+'8. Satunnaiset erät'!O147+'9. Tulorahkorjauserät'!O147</f>
        <v>-543.62366617264797</v>
      </c>
      <c r="P147" s="41">
        <f>Vuosikate!P147+'7. Nettoinvestoinnit '!P147+'8. Satunnaiset erät'!P147+'9. Tulorahkorjauserät'!P147</f>
        <v>1339.1470395904971</v>
      </c>
      <c r="T147" s="34">
        <v>430</v>
      </c>
      <c r="U147" s="88" t="s">
        <v>461</v>
      </c>
      <c r="V147" s="41" t="e">
        <f>C147/'1. Väestöennuste'!E147*1000</f>
        <v>#REF!</v>
      </c>
      <c r="W147" s="41">
        <f>D147/'1. Väestöennuste'!F147*1000</f>
        <v>-31.474764861375792</v>
      </c>
      <c r="X147" s="41">
        <f>E147/'1. Väestöennuste'!G147*1000</f>
        <v>-110.21671826625388</v>
      </c>
      <c r="Y147" s="41">
        <f>F147/'1. Väestöennuste'!H147*1000</f>
        <v>-229.29141716566866</v>
      </c>
      <c r="Z147" s="41">
        <f>G147/'1. Väestöennuste'!I147*1000</f>
        <v>-191.24409448818898</v>
      </c>
      <c r="AA147" s="41">
        <f>H147/'1. Väestöennuste'!J147*1000</f>
        <v>587.84174769340723</v>
      </c>
      <c r="AB147" s="41">
        <f>I147/'1. Väestöennuste'!K147*1000</f>
        <v>199.684051970491</v>
      </c>
      <c r="AC147" s="41">
        <f>J147/'1. Väestöennuste'!L147*1000</f>
        <v>188.02264197982231</v>
      </c>
      <c r="AD147" s="41">
        <f>K147/'1. Väestöennuste'!M147*1000</f>
        <v>179.96856149708771</v>
      </c>
      <c r="AE147" s="41">
        <f>L147/'1. Väestöennuste'!N147*1000</f>
        <v>101.99422558341801</v>
      </c>
      <c r="AF147" s="41">
        <f>M147/'1. Väestöennuste'!O147*1000</f>
        <v>-61.390098755241716</v>
      </c>
      <c r="AG147" s="41">
        <f>N147/'1. Väestöennuste'!P147*1000</f>
        <v>-44.260265656531772</v>
      </c>
      <c r="AH147" s="41">
        <f>O147/'1. Väestöennuste'!Q147*1000</f>
        <v>-36.548585866118593</v>
      </c>
      <c r="AI147" s="41">
        <f>P147/'1. Väestöennuste'!R147*1000</f>
        <v>90.697395163596155</v>
      </c>
    </row>
    <row r="148" spans="1:35" x14ac:dyDescent="0.2">
      <c r="A148" s="34">
        <v>433</v>
      </c>
      <c r="B148" s="88" t="s">
        <v>462</v>
      </c>
      <c r="C148" s="41" t="e">
        <f>Vuosikate!C148+'7. Nettoinvestoinnit '!C148+'8. Satunnaiset erät'!C148+'9. Tulorahkorjauserät'!C148</f>
        <v>#REF!</v>
      </c>
      <c r="D148" s="41">
        <f>Vuosikate!D148+'7. Nettoinvestoinnit '!D148+'8. Satunnaiset erät'!D148+'9. Tulorahkorjauserät'!D148</f>
        <v>-5219</v>
      </c>
      <c r="E148" s="41">
        <f>Vuosikate!E148+'7. Nettoinvestoinnit '!E148+'8. Satunnaiset erät'!E148+'9. Tulorahkorjauserät'!E148</f>
        <v>38</v>
      </c>
      <c r="F148" s="41">
        <f>Vuosikate!F148+'7. Nettoinvestoinnit '!F148+'8. Satunnaiset erät'!F148+'9. Tulorahkorjauserät'!F148</f>
        <v>-886</v>
      </c>
      <c r="G148" s="41">
        <f>Vuosikate!G148+'7. Nettoinvestoinnit '!G148+'8. Satunnaiset erät'!G148+'9. Tulorahkorjauserät'!G148</f>
        <v>1376</v>
      </c>
      <c r="H148" s="41">
        <f>Vuosikate!H148+'7. Nettoinvestoinnit '!H148+'8. Satunnaiset erät'!H148+'9. Tulorahkorjauserät'!H148</f>
        <v>4799.3480897596892</v>
      </c>
      <c r="I148" s="41">
        <f>Vuosikate!I148+'7. Nettoinvestoinnit '!I148+'8. Satunnaiset erät'!I148+'9. Tulorahkorjauserät'!I148</f>
        <v>3467.094452943903</v>
      </c>
      <c r="J148" s="41">
        <f>Vuosikate!J148+'7. Nettoinvestoinnit '!J148+'8. Satunnaiset erät'!J148+'9. Tulorahkorjauserät'!J148</f>
        <v>-3884.2700510337245</v>
      </c>
      <c r="K148" s="41">
        <f>Vuosikate!K148+'7. Nettoinvestoinnit '!K148+'8. Satunnaiset erät'!K148+'9. Tulorahkorjauserät'!K148</f>
        <v>-1215.4061485823231</v>
      </c>
      <c r="L148" s="41">
        <f>Vuosikate!L148+'7. Nettoinvestoinnit '!L148+'8. Satunnaiset erät'!L148+'9. Tulorahkorjauserät'!L148</f>
        <v>-1322.9994575284909</v>
      </c>
      <c r="M148" s="41">
        <f>Vuosikate!M148+'7. Nettoinvestoinnit '!M148+'8. Satunnaiset erät'!M148+'9. Tulorahkorjauserät'!M148</f>
        <v>-2039.7089864270047</v>
      </c>
      <c r="N148" s="41">
        <f>Vuosikate!N148+'7. Nettoinvestoinnit '!N148+'8. Satunnaiset erät'!N148+'9. Tulorahkorjauserät'!N148</f>
        <v>-1661.281406437864</v>
      </c>
      <c r="O148" s="41">
        <f>Vuosikate!O148+'7. Nettoinvestoinnit '!O148+'8. Satunnaiset erät'!O148+'9. Tulorahkorjauserät'!O148</f>
        <v>-1977.6959060311369</v>
      </c>
      <c r="P148" s="41">
        <f>Vuosikate!P148+'7. Nettoinvestoinnit '!P148+'8. Satunnaiset erät'!P148+'9. Tulorahkorjauserät'!P148</f>
        <v>-1224.9368343574454</v>
      </c>
      <c r="T148" s="34">
        <v>433</v>
      </c>
      <c r="U148" s="88" t="s">
        <v>462</v>
      </c>
      <c r="V148" s="41" t="e">
        <f>C148/'1. Väestöennuste'!E148*1000</f>
        <v>#REF!</v>
      </c>
      <c r="W148" s="41">
        <f>D148/'1. Väestöennuste'!F148*1000</f>
        <v>-644.48011854778952</v>
      </c>
      <c r="X148" s="41">
        <f>E148/'1. Väestöennuste'!G148*1000</f>
        <v>4.733432984554061</v>
      </c>
      <c r="Y148" s="41">
        <f>F148/'1. Väestöennuste'!H148*1000</f>
        <v>-112.70830683119196</v>
      </c>
      <c r="Z148" s="41">
        <f>G148/'1. Väestöennuste'!I148*1000</f>
        <v>175.77925396014308</v>
      </c>
      <c r="AA148" s="41">
        <f>H148/'1. Väestöennuste'!J148*1000</f>
        <v>611.14836237866916</v>
      </c>
      <c r="AB148" s="41">
        <f>I148/'1. Väestöennuste'!K148*1000</f>
        <v>444.55628323424833</v>
      </c>
      <c r="AC148" s="41">
        <f>J148/'1. Väestöennuste'!L148*1000</f>
        <v>-501.2608144320202</v>
      </c>
      <c r="AD148" s="41">
        <f>K148/'1. Väestöennuste'!M148*1000</f>
        <v>-158.00911968048922</v>
      </c>
      <c r="AE148" s="41">
        <f>L148/'1. Väestöennuste'!N148*1000</f>
        <v>-173.00895220720426</v>
      </c>
      <c r="AF148" s="41">
        <f>M148/'1. Väestöennuste'!O148*1000</f>
        <v>-268.27686261041754</v>
      </c>
      <c r="AG148" s="41">
        <f>N148/'1. Väestöennuste'!P148*1000</f>
        <v>-219.83345328011964</v>
      </c>
      <c r="AH148" s="41">
        <f>O148/'1. Väestöennuste'!Q148*1000</f>
        <v>-263.16645456169488</v>
      </c>
      <c r="AI148" s="41">
        <f>P148/'1. Väestöennuste'!R148*1000</f>
        <v>-163.95888560533334</v>
      </c>
    </row>
    <row r="149" spans="1:35" x14ac:dyDescent="0.2">
      <c r="A149" s="34">
        <v>434</v>
      </c>
      <c r="B149" s="88" t="s">
        <v>463</v>
      </c>
      <c r="C149" s="41" t="e">
        <f>Vuosikate!C149+'7. Nettoinvestoinnit '!C149+'8. Satunnaiset erät'!C149+'9. Tulorahkorjauserät'!C149</f>
        <v>#REF!</v>
      </c>
      <c r="D149" s="41">
        <f>Vuosikate!D149+'7. Nettoinvestoinnit '!D149+'8. Satunnaiset erät'!D149+'9. Tulorahkorjauserät'!D149</f>
        <v>-3213</v>
      </c>
      <c r="E149" s="41">
        <f>Vuosikate!E149+'7. Nettoinvestoinnit '!E149+'8. Satunnaiset erät'!E149+'9. Tulorahkorjauserät'!E149</f>
        <v>-621</v>
      </c>
      <c r="F149" s="41">
        <f>Vuosikate!F149+'7. Nettoinvestoinnit '!F149+'8. Satunnaiset erät'!F149+'9. Tulorahkorjauserät'!F149</f>
        <v>-14138</v>
      </c>
      <c r="G149" s="41">
        <f>Vuosikate!G149+'7. Nettoinvestoinnit '!G149+'8. Satunnaiset erät'!G149+'9. Tulorahkorjauserät'!G149</f>
        <v>-14520</v>
      </c>
      <c r="H149" s="41">
        <f>Vuosikate!H149+'7. Nettoinvestoinnit '!H149+'8. Satunnaiset erät'!H149+'9. Tulorahkorjauserät'!H149</f>
        <v>-5437.5599503927515</v>
      </c>
      <c r="I149" s="41">
        <f>Vuosikate!I149+'7. Nettoinvestoinnit '!I149+'8. Satunnaiset erät'!I149+'9. Tulorahkorjauserät'!I149</f>
        <v>2285.2800778335322</v>
      </c>
      <c r="J149" s="41">
        <f>Vuosikate!J149+'7. Nettoinvestoinnit '!J149+'8. Satunnaiset erät'!J149+'9. Tulorahkorjauserät'!J149</f>
        <v>886.51026405913467</v>
      </c>
      <c r="K149" s="41">
        <f>Vuosikate!K149+'7. Nettoinvestoinnit '!K149+'8. Satunnaiset erät'!K149+'9. Tulorahkorjauserät'!K149</f>
        <v>6190.58319373841</v>
      </c>
      <c r="L149" s="41">
        <f>Vuosikate!L149+'7. Nettoinvestoinnit '!L149+'8. Satunnaiset erät'!L149+'9. Tulorahkorjauserät'!L149</f>
        <v>-1132.8340195095943</v>
      </c>
      <c r="M149" s="41">
        <f>Vuosikate!M149+'7. Nettoinvestoinnit '!M149+'8. Satunnaiset erät'!M149+'9. Tulorahkorjauserät'!M149</f>
        <v>-3877.6811535085735</v>
      </c>
      <c r="N149" s="41">
        <f>Vuosikate!N149+'7. Nettoinvestoinnit '!N149+'8. Satunnaiset erät'!N149+'9. Tulorahkorjauserät'!N149</f>
        <v>-4728.6826242058951</v>
      </c>
      <c r="O149" s="41">
        <f>Vuosikate!O149+'7. Nettoinvestoinnit '!O149+'8. Satunnaiset erät'!O149+'9. Tulorahkorjauserät'!O149</f>
        <v>-4577.2306683798488</v>
      </c>
      <c r="P149" s="41">
        <f>Vuosikate!P149+'7. Nettoinvestoinnit '!P149+'8. Satunnaiset erät'!P149+'9. Tulorahkorjauserät'!P149</f>
        <v>-3803.2630613566535</v>
      </c>
      <c r="T149" s="34">
        <v>434</v>
      </c>
      <c r="U149" s="88" t="s">
        <v>463</v>
      </c>
      <c r="V149" s="41" t="e">
        <f>C149/'1. Väestöennuste'!E149*1000</f>
        <v>#REF!</v>
      </c>
      <c r="W149" s="41">
        <f>D149/'1. Väestöennuste'!F149*1000</f>
        <v>-211.27038400841664</v>
      </c>
      <c r="X149" s="41">
        <f>E149/'1. Väestöennuste'!G149*1000</f>
        <v>-41.166721909181305</v>
      </c>
      <c r="Y149" s="41">
        <f>F149/'1. Väestöennuste'!H149*1000</f>
        <v>-949.43254314686715</v>
      </c>
      <c r="Z149" s="41">
        <f>G149/'1. Väestöennuste'!I149*1000</f>
        <v>-982.94069861900891</v>
      </c>
      <c r="AA149" s="41">
        <f>H149/'1. Väestöennuste'!J149*1000</f>
        <v>-368.77314007411002</v>
      </c>
      <c r="AB149" s="41">
        <f>I149/'1. Väestöennuste'!K149*1000</f>
        <v>156.06638515560556</v>
      </c>
      <c r="AC149" s="41">
        <f>J149/'1. Väestöennuste'!L149*1000</f>
        <v>60.853258104004297</v>
      </c>
      <c r="AD149" s="41">
        <f>K149/'1. Väestöennuste'!M149*1000</f>
        <v>428.17700883513692</v>
      </c>
      <c r="AE149" s="41">
        <f>L149/'1. Väestöennuste'!N149*1000</f>
        <v>-79.080908866289306</v>
      </c>
      <c r="AF149" s="41">
        <f>M149/'1. Väestöennuste'!O149*1000</f>
        <v>-272.34732079706231</v>
      </c>
      <c r="AG149" s="41">
        <f>N149/'1. Väestöennuste'!P149*1000</f>
        <v>-334.11168121288034</v>
      </c>
      <c r="AH149" s="41">
        <f>O149/'1. Väestöennuste'!Q149*1000</f>
        <v>-325.13358917316725</v>
      </c>
      <c r="AI149" s="41">
        <f>P149/'1. Väestöennuste'!R149*1000</f>
        <v>-271.50650066795066</v>
      </c>
    </row>
    <row r="150" spans="1:35" x14ac:dyDescent="0.2">
      <c r="A150" s="34">
        <v>435</v>
      </c>
      <c r="B150" s="88" t="s">
        <v>464</v>
      </c>
      <c r="C150" s="41" t="e">
        <f>Vuosikate!C150+'7. Nettoinvestoinnit '!C150+'8. Satunnaiset erät'!C150+'9. Tulorahkorjauserät'!C150</f>
        <v>#REF!</v>
      </c>
      <c r="D150" s="41">
        <f>Vuosikate!D150+'7. Nettoinvestoinnit '!D150+'8. Satunnaiset erät'!D150+'9. Tulorahkorjauserät'!D150</f>
        <v>-238</v>
      </c>
      <c r="E150" s="41">
        <f>Vuosikate!E150+'7. Nettoinvestoinnit '!E150+'8. Satunnaiset erät'!E150+'9. Tulorahkorjauserät'!E150</f>
        <v>-1117</v>
      </c>
      <c r="F150" s="41">
        <f>Vuosikate!F150+'7. Nettoinvestoinnit '!F150+'8. Satunnaiset erät'!F150+'9. Tulorahkorjauserät'!F150</f>
        <v>184</v>
      </c>
      <c r="G150" s="41">
        <f>Vuosikate!G150+'7. Nettoinvestoinnit '!G150+'8. Satunnaiset erät'!G150+'9. Tulorahkorjauserät'!G150</f>
        <v>44</v>
      </c>
      <c r="H150" s="41">
        <f>Vuosikate!H150+'7. Nettoinvestoinnit '!H150+'8. Satunnaiset erät'!H150+'9. Tulorahkorjauserät'!H150</f>
        <v>-259.06274031006888</v>
      </c>
      <c r="I150" s="41">
        <f>Vuosikate!I150+'7. Nettoinvestoinnit '!I150+'8. Satunnaiset erät'!I150+'9. Tulorahkorjauserät'!I150</f>
        <v>577.75430035774116</v>
      </c>
      <c r="J150" s="41">
        <f>Vuosikate!J150+'7. Nettoinvestoinnit '!J150+'8. Satunnaiset erät'!J150+'9. Tulorahkorjauserät'!J150</f>
        <v>215.88727556238271</v>
      </c>
      <c r="K150" s="41">
        <f>Vuosikate!K150+'7. Nettoinvestoinnit '!K150+'8. Satunnaiset erät'!K150+'9. Tulorahkorjauserät'!K150</f>
        <v>-109.33439709640294</v>
      </c>
      <c r="L150" s="41">
        <f>Vuosikate!L150+'7. Nettoinvestoinnit '!L150+'8. Satunnaiset erät'!L150+'9. Tulorahkorjauserät'!L150</f>
        <v>-303.0747020095904</v>
      </c>
      <c r="M150" s="41">
        <f>Vuosikate!M150+'7. Nettoinvestoinnit '!M150+'8. Satunnaiset erät'!M150+'9. Tulorahkorjauserät'!M150</f>
        <v>-359.54010786574185</v>
      </c>
      <c r="N150" s="41">
        <f>Vuosikate!N150+'7. Nettoinvestoinnit '!N150+'8. Satunnaiset erät'!N150+'9. Tulorahkorjauserät'!N150</f>
        <v>-440.81596944557231</v>
      </c>
      <c r="O150" s="41">
        <f>Vuosikate!O150+'7. Nettoinvestoinnit '!O150+'8. Satunnaiset erät'!O150+'9. Tulorahkorjauserät'!O150</f>
        <v>-501.74576423909485</v>
      </c>
      <c r="P150" s="41">
        <f>Vuosikate!P150+'7. Nettoinvestoinnit '!P150+'8. Satunnaiset erät'!P150+'9. Tulorahkorjauserät'!P150</f>
        <v>-518.00938561958174</v>
      </c>
      <c r="T150" s="34">
        <v>435</v>
      </c>
      <c r="U150" s="88" t="s">
        <v>464</v>
      </c>
      <c r="V150" s="41" t="e">
        <f>C150/'1. Väestöennuste'!E150*1000</f>
        <v>#REF!</v>
      </c>
      <c r="W150" s="41">
        <f>D150/'1. Väestöennuste'!F150*1000</f>
        <v>-314.81481481481484</v>
      </c>
      <c r="X150" s="41">
        <f>E150/'1. Väestöennuste'!G150*1000</f>
        <v>-1521.7983651226159</v>
      </c>
      <c r="Y150" s="41">
        <f>F150/'1. Väestöennuste'!H150*1000</f>
        <v>260.25459688826027</v>
      </c>
      <c r="Z150" s="41">
        <f>G150/'1. Väestöennuste'!I150*1000</f>
        <v>63.768115942028984</v>
      </c>
      <c r="AA150" s="41">
        <f>H150/'1. Väestöennuste'!J150*1000</f>
        <v>-370.6190848498839</v>
      </c>
      <c r="AB150" s="41">
        <f>I150/'1. Väestöennuste'!K150*1000</f>
        <v>821.84111003946111</v>
      </c>
      <c r="AC150" s="41">
        <f>J150/'1. Väestöennuste'!L150*1000</f>
        <v>311.97583173754731</v>
      </c>
      <c r="AD150" s="41">
        <f>K150/'1. Väestöennuste'!M150*1000</f>
        <v>-155.74700441083039</v>
      </c>
      <c r="AE150" s="41">
        <f>L150/'1. Väestöennuste'!N150*1000</f>
        <v>-441.15677148411993</v>
      </c>
      <c r="AF150" s="41">
        <f>M150/'1. Väestöennuste'!O150*1000</f>
        <v>-526.41304226316515</v>
      </c>
      <c r="AG150" s="41">
        <f>N150/'1. Väestöennuste'!P150*1000</f>
        <v>-645.41137546935909</v>
      </c>
      <c r="AH150" s="41">
        <f>O150/'1. Väestöennuste'!Q150*1000</f>
        <v>-737.86141799866891</v>
      </c>
      <c r="AI150" s="41">
        <f>P150/'1. Väestöennuste'!R150*1000</f>
        <v>-762.90042064739578</v>
      </c>
    </row>
    <row r="151" spans="1:35" x14ac:dyDescent="0.2">
      <c r="A151" s="34">
        <v>436</v>
      </c>
      <c r="B151" s="88" t="s">
        <v>465</v>
      </c>
      <c r="C151" s="41" t="e">
        <f>Vuosikate!C151+'7. Nettoinvestoinnit '!C151+'8. Satunnaiset erät'!C151+'9. Tulorahkorjauserät'!C151</f>
        <v>#REF!</v>
      </c>
      <c r="D151" s="41">
        <f>Vuosikate!D151+'7. Nettoinvestoinnit '!D151+'8. Satunnaiset erät'!D151+'9. Tulorahkorjauserät'!D151</f>
        <v>309</v>
      </c>
      <c r="E151" s="41">
        <f>Vuosikate!E151+'7. Nettoinvestoinnit '!E151+'8. Satunnaiset erät'!E151+'9. Tulorahkorjauserät'!E151</f>
        <v>-65</v>
      </c>
      <c r="F151" s="41">
        <f>Vuosikate!F151+'7. Nettoinvestoinnit '!F151+'8. Satunnaiset erät'!F151+'9. Tulorahkorjauserät'!F151</f>
        <v>-909</v>
      </c>
      <c r="G151" s="41">
        <f>Vuosikate!G151+'7. Nettoinvestoinnit '!G151+'8. Satunnaiset erät'!G151+'9. Tulorahkorjauserät'!G151</f>
        <v>405</v>
      </c>
      <c r="H151" s="41">
        <f>Vuosikate!H151+'7. Nettoinvestoinnit '!H151+'8. Satunnaiset erät'!H151+'9. Tulorahkorjauserät'!H151</f>
        <v>807.65140149426225</v>
      </c>
      <c r="I151" s="41">
        <f>Vuosikate!I151+'7. Nettoinvestoinnit '!I151+'8. Satunnaiset erät'!I151+'9. Tulorahkorjauserät'!I151</f>
        <v>633.80764254590667</v>
      </c>
      <c r="J151" s="41">
        <f>Vuosikate!J151+'7. Nettoinvestoinnit '!J151+'8. Satunnaiset erät'!J151+'9. Tulorahkorjauserät'!J151</f>
        <v>-2800.4755637891471</v>
      </c>
      <c r="K151" s="41">
        <f>Vuosikate!K151+'7. Nettoinvestoinnit '!K151+'8. Satunnaiset erät'!K151+'9. Tulorahkorjauserät'!K151</f>
        <v>-492.02005242014809</v>
      </c>
      <c r="L151" s="41">
        <f>Vuosikate!L151+'7. Nettoinvestoinnit '!L151+'8. Satunnaiset erät'!L151+'9. Tulorahkorjauserät'!L151</f>
        <v>-990.22269881562511</v>
      </c>
      <c r="M151" s="41">
        <f>Vuosikate!M151+'7. Nettoinvestoinnit '!M151+'8. Satunnaiset erät'!M151+'9. Tulorahkorjauserät'!M151</f>
        <v>-1777.7985440026405</v>
      </c>
      <c r="N151" s="41">
        <f>Vuosikate!N151+'7. Nettoinvestoinnit '!N151+'8. Satunnaiset erät'!N151+'9. Tulorahkorjauserät'!N151</f>
        <v>-1369.6735829166639</v>
      </c>
      <c r="O151" s="41">
        <f>Vuosikate!O151+'7. Nettoinvestoinnit '!O151+'8. Satunnaiset erät'!O151+'9. Tulorahkorjauserät'!O151</f>
        <v>-1499.1542717631175</v>
      </c>
      <c r="P151" s="41">
        <f>Vuosikate!P151+'7. Nettoinvestoinnit '!P151+'8. Satunnaiset erät'!P151+'9. Tulorahkorjauserät'!P151</f>
        <v>-1551.512089495493</v>
      </c>
      <c r="T151" s="34">
        <v>436</v>
      </c>
      <c r="U151" s="88" t="s">
        <v>465</v>
      </c>
      <c r="V151" s="41" t="e">
        <f>C151/'1. Väestöennuste'!E151*1000</f>
        <v>#REF!</v>
      </c>
      <c r="W151" s="41">
        <f>D151/'1. Väestöennuste'!F151*1000</f>
        <v>146.79334916864607</v>
      </c>
      <c r="X151" s="41">
        <f>E151/'1. Väestöennuste'!G151*1000</f>
        <v>-31.234983181162903</v>
      </c>
      <c r="Y151" s="41">
        <f>F151/'1. Väestöennuste'!H151*1000</f>
        <v>-442.98245614035085</v>
      </c>
      <c r="Z151" s="41">
        <f>G151/'1. Väestöennuste'!I151*1000</f>
        <v>200.49504950495052</v>
      </c>
      <c r="AA151" s="41">
        <f>H151/'1. Väestöennuste'!J151*1000</f>
        <v>396.68536419168089</v>
      </c>
      <c r="AB151" s="41">
        <f>I151/'1. Väestöennuste'!K151*1000</f>
        <v>314.07712712879419</v>
      </c>
      <c r="AC151" s="41">
        <f>J151/'1. Väestöennuste'!L151*1000</f>
        <v>-1408.6899214231123</v>
      </c>
      <c r="AD151" s="41">
        <f>K151/'1. Väestöennuste'!M151*1000</f>
        <v>-242.01674983775115</v>
      </c>
      <c r="AE151" s="41">
        <f>L151/'1. Väestöennuste'!N151*1000</f>
        <v>-490.69509356572104</v>
      </c>
      <c r="AF151" s="41">
        <f>M151/'1. Väestöennuste'!O151*1000</f>
        <v>-884.9171448494975</v>
      </c>
      <c r="AG151" s="41">
        <f>N151/'1. Väestöennuste'!P151*1000</f>
        <v>-683.46985175482234</v>
      </c>
      <c r="AH151" s="41">
        <f>O151/'1. Väestöennuste'!Q151*1000</f>
        <v>-750.70319066756008</v>
      </c>
      <c r="AI151" s="41">
        <f>P151/'1. Väestöennuste'!R151*1000</f>
        <v>-778.87153087123136</v>
      </c>
    </row>
    <row r="152" spans="1:35" x14ac:dyDescent="0.2">
      <c r="A152" s="34">
        <v>440</v>
      </c>
      <c r="B152" s="88" t="s">
        <v>466</v>
      </c>
      <c r="C152" s="41" t="e">
        <f>Vuosikate!C152+'7. Nettoinvestoinnit '!C152+'8. Satunnaiset erät'!C152+'9. Tulorahkorjauserät'!C152</f>
        <v>#REF!</v>
      </c>
      <c r="D152" s="41">
        <f>Vuosikate!D152+'7. Nettoinvestoinnit '!D152+'8. Satunnaiset erät'!D152+'9. Tulorahkorjauserät'!D152</f>
        <v>-503</v>
      </c>
      <c r="E152" s="41">
        <f>Vuosikate!E152+'7. Nettoinvestoinnit '!E152+'8. Satunnaiset erät'!E152+'9. Tulorahkorjauserät'!E152</f>
        <v>-7732</v>
      </c>
      <c r="F152" s="41">
        <f>Vuosikate!F152+'7. Nettoinvestoinnit '!F152+'8. Satunnaiset erät'!F152+'9. Tulorahkorjauserät'!F152</f>
        <v>-1984</v>
      </c>
      <c r="G152" s="41">
        <f>Vuosikate!G152+'7. Nettoinvestoinnit '!G152+'8. Satunnaiset erät'!G152+'9. Tulorahkorjauserät'!G152</f>
        <v>-514</v>
      </c>
      <c r="H152" s="41">
        <f>Vuosikate!H152+'7. Nettoinvestoinnit '!H152+'8. Satunnaiset erät'!H152+'9. Tulorahkorjauserät'!H152</f>
        <v>-1252.4663416996627</v>
      </c>
      <c r="I152" s="41">
        <f>Vuosikate!I152+'7. Nettoinvestoinnit '!I152+'8. Satunnaiset erät'!I152+'9. Tulorahkorjauserät'!I152</f>
        <v>2456.7292049936241</v>
      </c>
      <c r="J152" s="41">
        <f>Vuosikate!J152+'7. Nettoinvestoinnit '!J152+'8. Satunnaiset erät'!J152+'9. Tulorahkorjauserät'!J152</f>
        <v>-1338.8149158188696</v>
      </c>
      <c r="K152" s="41">
        <f>Vuosikate!K152+'7. Nettoinvestoinnit '!K152+'8. Satunnaiset erät'!K152+'9. Tulorahkorjauserät'!K152</f>
        <v>-6276.7819461114232</v>
      </c>
      <c r="L152" s="41">
        <f>Vuosikate!L152+'7. Nettoinvestoinnit '!L152+'8. Satunnaiset erät'!L152+'9. Tulorahkorjauserät'!L152</f>
        <v>-2131.9893441955928</v>
      </c>
      <c r="M152" s="41">
        <f>Vuosikate!M152+'7. Nettoinvestoinnit '!M152+'8. Satunnaiset erät'!M152+'9. Tulorahkorjauserät'!M152</f>
        <v>-1689.1123308756178</v>
      </c>
      <c r="N152" s="41">
        <f>Vuosikate!N152+'7. Nettoinvestoinnit '!N152+'8. Satunnaiset erät'!N152+'9. Tulorahkorjauserät'!N152</f>
        <v>-2007.7103577911903</v>
      </c>
      <c r="O152" s="41">
        <f>Vuosikate!O152+'7. Nettoinvestoinnit '!O152+'8. Satunnaiset erät'!O152+'9. Tulorahkorjauserät'!O152</f>
        <v>-1942.3769752769904</v>
      </c>
      <c r="P152" s="41">
        <f>Vuosikate!P152+'7. Nettoinvestoinnit '!P152+'8. Satunnaiset erät'!P152+'9. Tulorahkorjauserät'!P152</f>
        <v>-1460.5491854097204</v>
      </c>
      <c r="T152" s="34">
        <v>440</v>
      </c>
      <c r="U152" s="88" t="s">
        <v>466</v>
      </c>
      <c r="V152" s="41" t="e">
        <f>C152/'1. Väestöennuste'!E152*1000</f>
        <v>#REF!</v>
      </c>
      <c r="W152" s="41">
        <f>D152/'1. Väestöennuste'!F152*1000</f>
        <v>-97.179289026275114</v>
      </c>
      <c r="X152" s="41">
        <f>E152/'1. Väestöennuste'!G152*1000</f>
        <v>-1468.8449848024316</v>
      </c>
      <c r="Y152" s="41">
        <f>F152/'1. Väestöennuste'!H152*1000</f>
        <v>-371.53558052434454</v>
      </c>
      <c r="Z152" s="41">
        <f>G152/'1. Väestöennuste'!I152*1000</f>
        <v>-94.886468525013839</v>
      </c>
      <c r="AA152" s="41">
        <f>H152/'1. Väestöennuste'!J152*1000</f>
        <v>-226.32207114197016</v>
      </c>
      <c r="AB152" s="41">
        <f>I152/'1. Väestöennuste'!K152*1000</f>
        <v>436.98491728808682</v>
      </c>
      <c r="AC152" s="41">
        <f>J152/'1. Väestöennuste'!L152*1000</f>
        <v>-233.56854777021451</v>
      </c>
      <c r="AD152" s="41">
        <f>K152/'1. Väestöennuste'!M152*1000</f>
        <v>-1074.2395937209351</v>
      </c>
      <c r="AE152" s="41">
        <f>L152/'1. Väestöennuste'!N152*1000</f>
        <v>-363.5105446198794</v>
      </c>
      <c r="AF152" s="41">
        <f>M152/'1. Väestöennuste'!O152*1000</f>
        <v>-284.5060351820141</v>
      </c>
      <c r="AG152" s="41">
        <f>N152/'1. Väestöennuste'!P152*1000</f>
        <v>-334.22845976214256</v>
      </c>
      <c r="AH152" s="41">
        <f>O152/'1. Väestöennuste'!Q152*1000</f>
        <v>-319.73283543654162</v>
      </c>
      <c r="AI152" s="41">
        <f>P152/'1. Väestöennuste'!R152*1000</f>
        <v>-237.91320824396814</v>
      </c>
    </row>
    <row r="153" spans="1:35" x14ac:dyDescent="0.2">
      <c r="A153" s="34">
        <v>441</v>
      </c>
      <c r="B153" s="88" t="s">
        <v>467</v>
      </c>
      <c r="C153" s="41" t="e">
        <f>Vuosikate!C153+'7. Nettoinvestoinnit '!C153+'8. Satunnaiset erät'!C153+'9. Tulorahkorjauserät'!C153</f>
        <v>#REF!</v>
      </c>
      <c r="D153" s="41">
        <f>Vuosikate!D153+'7. Nettoinvestoinnit '!D153+'8. Satunnaiset erät'!D153+'9. Tulorahkorjauserät'!D153</f>
        <v>-2413</v>
      </c>
      <c r="E153" s="41">
        <f>Vuosikate!E153+'7. Nettoinvestoinnit '!E153+'8. Satunnaiset erät'!E153+'9. Tulorahkorjauserät'!E153</f>
        <v>-461</v>
      </c>
      <c r="F153" s="41">
        <f>Vuosikate!F153+'7. Nettoinvestoinnit '!F153+'8. Satunnaiset erät'!F153+'9. Tulorahkorjauserät'!F153</f>
        <v>-2334</v>
      </c>
      <c r="G153" s="41">
        <f>Vuosikate!G153+'7. Nettoinvestoinnit '!G153+'8. Satunnaiset erät'!G153+'9. Tulorahkorjauserät'!G153</f>
        <v>-3488</v>
      </c>
      <c r="H153" s="41">
        <f>Vuosikate!H153+'7. Nettoinvestoinnit '!H153+'8. Satunnaiset erät'!H153+'9. Tulorahkorjauserät'!H153</f>
        <v>2125.939110943973</v>
      </c>
      <c r="I153" s="41">
        <f>Vuosikate!I153+'7. Nettoinvestoinnit '!I153+'8. Satunnaiset erät'!I153+'9. Tulorahkorjauserät'!I153</f>
        <v>2371.8995538711993</v>
      </c>
      <c r="J153" s="41">
        <f>Vuosikate!J153+'7. Nettoinvestoinnit '!J153+'8. Satunnaiset erät'!J153+'9. Tulorahkorjauserät'!J153</f>
        <v>-721.99664366594823</v>
      </c>
      <c r="K153" s="41">
        <f>Vuosikate!K153+'7. Nettoinvestoinnit '!K153+'8. Satunnaiset erät'!K153+'9. Tulorahkorjauserät'!K153</f>
        <v>-732.1670812742168</v>
      </c>
      <c r="L153" s="41">
        <f>Vuosikate!L153+'7. Nettoinvestoinnit '!L153+'8. Satunnaiset erät'!L153+'9. Tulorahkorjauserät'!L153</f>
        <v>-1400.6202441121889</v>
      </c>
      <c r="M153" s="41">
        <f>Vuosikate!M153+'7. Nettoinvestoinnit '!M153+'8. Satunnaiset erät'!M153+'9. Tulorahkorjauserät'!M153</f>
        <v>-1783.0848126268934</v>
      </c>
      <c r="N153" s="41">
        <f>Vuosikate!N153+'7. Nettoinvestoinnit '!N153+'8. Satunnaiset erät'!N153+'9. Tulorahkorjauserät'!N153</f>
        <v>-1822.3186881580514</v>
      </c>
      <c r="O153" s="41">
        <f>Vuosikate!O153+'7. Nettoinvestoinnit '!O153+'8. Satunnaiset erät'!O153+'9. Tulorahkorjauserät'!O153</f>
        <v>-1969.5369631661915</v>
      </c>
      <c r="P153" s="41">
        <f>Vuosikate!P153+'7. Nettoinvestoinnit '!P153+'8. Satunnaiset erät'!P153+'9. Tulorahkorjauserät'!P153</f>
        <v>-1705.6842802063597</v>
      </c>
      <c r="T153" s="34">
        <v>441</v>
      </c>
      <c r="U153" s="88" t="s">
        <v>467</v>
      </c>
      <c r="V153" s="41" t="e">
        <f>C153/'1. Väestöennuste'!E153*1000</f>
        <v>#REF!</v>
      </c>
      <c r="W153" s="41">
        <f>D153/'1. Väestöennuste'!F153*1000</f>
        <v>-499.48250879735048</v>
      </c>
      <c r="X153" s="41">
        <f>E153/'1. Väestöennuste'!G153*1000</f>
        <v>-97.113966715820524</v>
      </c>
      <c r="Y153" s="41">
        <f>F153/'1. Väestöennuste'!H153*1000</f>
        <v>-500.6435006435006</v>
      </c>
      <c r="Z153" s="41">
        <f>G153/'1. Väestöennuste'!I153*1000</f>
        <v>-752.3727351164797</v>
      </c>
      <c r="AA153" s="41">
        <f>H153/'1. Väestöennuste'!J153*1000</f>
        <v>467.95930243098678</v>
      </c>
      <c r="AB153" s="41">
        <f>I153/'1. Väestöennuste'!K153*1000</f>
        <v>530.27041222249034</v>
      </c>
      <c r="AC153" s="41">
        <f>J153/'1. Väestöennuste'!L153*1000</f>
        <v>-163.3107088138313</v>
      </c>
      <c r="AD153" s="41">
        <f>K153/'1. Väestöennuste'!M153*1000</f>
        <v>-166.55302121797473</v>
      </c>
      <c r="AE153" s="41">
        <f>L153/'1. Väestöennuste'!N153*1000</f>
        <v>-326.02892088272552</v>
      </c>
      <c r="AF153" s="41">
        <f>M153/'1. Väestöennuste'!O153*1000</f>
        <v>-420.04353654343777</v>
      </c>
      <c r="AG153" s="41">
        <f>N153/'1. Väestöennuste'!P153*1000</f>
        <v>-434.09211247214182</v>
      </c>
      <c r="AH153" s="41">
        <f>O153/'1. Väestöennuste'!Q153*1000</f>
        <v>-474.58722004004619</v>
      </c>
      <c r="AI153" s="41">
        <f>P153/'1. Väestöennuste'!R153*1000</f>
        <v>-415.7163734356227</v>
      </c>
    </row>
    <row r="154" spans="1:35" x14ac:dyDescent="0.2">
      <c r="A154" s="34">
        <v>444</v>
      </c>
      <c r="B154" s="88" t="s">
        <v>468</v>
      </c>
      <c r="C154" s="41" t="e">
        <f>Vuosikate!C154+'7. Nettoinvestoinnit '!C154+'8. Satunnaiset erät'!C154+'9. Tulorahkorjauserät'!C154</f>
        <v>#REF!</v>
      </c>
      <c r="D154" s="41">
        <f>Vuosikate!D154+'7. Nettoinvestoinnit '!D154+'8. Satunnaiset erät'!D154+'9. Tulorahkorjauserät'!D154</f>
        <v>-7721</v>
      </c>
      <c r="E154" s="41">
        <f>Vuosikate!E154+'7. Nettoinvestoinnit '!E154+'8. Satunnaiset erät'!E154+'9. Tulorahkorjauserät'!E154</f>
        <v>-24348</v>
      </c>
      <c r="F154" s="41">
        <f>Vuosikate!F154+'7. Nettoinvestoinnit '!F154+'8. Satunnaiset erät'!F154+'9. Tulorahkorjauserät'!F154</f>
        <v>-21828</v>
      </c>
      <c r="G154" s="41">
        <f>Vuosikate!G154+'7. Nettoinvestoinnit '!G154+'8. Satunnaiset erät'!G154+'9. Tulorahkorjauserät'!G154</f>
        <v>-16306</v>
      </c>
      <c r="H154" s="41">
        <f>Vuosikate!H154+'7. Nettoinvestoinnit '!H154+'8. Satunnaiset erät'!H154+'9. Tulorahkorjauserät'!H154</f>
        <v>-339.16383245951147</v>
      </c>
      <c r="I154" s="41">
        <f>Vuosikate!I154+'7. Nettoinvestoinnit '!I154+'8. Satunnaiset erät'!I154+'9. Tulorahkorjauserät'!I154</f>
        <v>120.69480944717452</v>
      </c>
      <c r="J154" s="41">
        <f>Vuosikate!J154+'7. Nettoinvestoinnit '!J154+'8. Satunnaiset erät'!J154+'9. Tulorahkorjauserät'!J154</f>
        <v>-1361.8593950147852</v>
      </c>
      <c r="K154" s="41">
        <f>Vuosikate!K154+'7. Nettoinvestoinnit '!K154+'8. Satunnaiset erät'!K154+'9. Tulorahkorjauserät'!K154</f>
        <v>-2054.1231107625472</v>
      </c>
      <c r="L154" s="41">
        <f>Vuosikate!L154+'7. Nettoinvestoinnit '!L154+'8. Satunnaiset erät'!L154+'9. Tulorahkorjauserät'!L154</f>
        <v>-9771.3215672605475</v>
      </c>
      <c r="M154" s="41">
        <f>Vuosikate!M154+'7. Nettoinvestoinnit '!M154+'8. Satunnaiset erät'!M154+'9. Tulorahkorjauserät'!M154</f>
        <v>-14286.69833664304</v>
      </c>
      <c r="N154" s="41">
        <f>Vuosikate!N154+'7. Nettoinvestoinnit '!N154+'8. Satunnaiset erät'!N154+'9. Tulorahkorjauserät'!N154</f>
        <v>-15498.159309413026</v>
      </c>
      <c r="O154" s="41">
        <f>Vuosikate!O154+'7. Nettoinvestoinnit '!O154+'8. Satunnaiset erät'!O154+'9. Tulorahkorjauserät'!O154</f>
        <v>-16524.496295640583</v>
      </c>
      <c r="P154" s="41">
        <f>Vuosikate!P154+'7. Nettoinvestoinnit '!P154+'8. Satunnaiset erät'!P154+'9. Tulorahkorjauserät'!P154</f>
        <v>-13675.258824684828</v>
      </c>
      <c r="T154" s="34">
        <v>444</v>
      </c>
      <c r="U154" s="88" t="s">
        <v>468</v>
      </c>
      <c r="V154" s="41" t="e">
        <f>C154/'1. Väestöennuste'!E154*1000</f>
        <v>#REF!</v>
      </c>
      <c r="W154" s="41">
        <f>D154/'1. Väestöennuste'!F154*1000</f>
        <v>-163.75744978684594</v>
      </c>
      <c r="X154" s="41">
        <f>E154/'1. Väestöennuste'!G154*1000</f>
        <v>-520.42321256813079</v>
      </c>
      <c r="Y154" s="41">
        <f>F154/'1. Väestöennuste'!H154*1000</f>
        <v>-471.48781752203212</v>
      </c>
      <c r="Z154" s="41">
        <f>G154/'1. Väestöennuste'!I154*1000</f>
        <v>-354.74817796149244</v>
      </c>
      <c r="AA154" s="41">
        <f>H154/'1. Väestöennuste'!J154*1000</f>
        <v>-7.3914447208192362</v>
      </c>
      <c r="AB154" s="41">
        <f>I154/'1. Väestöennuste'!K154*1000</f>
        <v>2.6244848535960368</v>
      </c>
      <c r="AC154" s="41">
        <f>J154/'1. Väestöennuste'!L154*1000</f>
        <v>-29.727781428364043</v>
      </c>
      <c r="AD154" s="41">
        <f>K154/'1. Väestöennuste'!M154*1000</f>
        <v>-45.002149430661568</v>
      </c>
      <c r="AE154" s="41">
        <f>L154/'1. Väestöennuste'!N154*1000</f>
        <v>-217.63862991426035</v>
      </c>
      <c r="AF154" s="41">
        <f>M154/'1. Väestöennuste'!O154*1000</f>
        <v>-319.83474751266067</v>
      </c>
      <c r="AG154" s="41">
        <f>N154/'1. Väestöennuste'!P154*1000</f>
        <v>-348.65715753105724</v>
      </c>
      <c r="AH154" s="41">
        <f>O154/'1. Väestöennuste'!Q154*1000</f>
        <v>-373.49402833534305</v>
      </c>
      <c r="AI154" s="41">
        <f>P154/'1. Väestöennuste'!R154*1000</f>
        <v>-310.46969883726081</v>
      </c>
    </row>
    <row r="155" spans="1:35" x14ac:dyDescent="0.2">
      <c r="A155" s="34">
        <v>445</v>
      </c>
      <c r="B155" s="88" t="s">
        <v>469</v>
      </c>
      <c r="C155" s="41" t="e">
        <f>Vuosikate!C155+'7. Nettoinvestoinnit '!C155+'8. Satunnaiset erät'!C155+'9. Tulorahkorjauserät'!C155</f>
        <v>#REF!</v>
      </c>
      <c r="D155" s="41">
        <f>Vuosikate!D155+'7. Nettoinvestoinnit '!D155+'8. Satunnaiset erät'!D155+'9. Tulorahkorjauserät'!D155</f>
        <v>1455</v>
      </c>
      <c r="E155" s="41">
        <f>Vuosikate!E155+'7. Nettoinvestoinnit '!E155+'8. Satunnaiset erät'!E155+'9. Tulorahkorjauserät'!E155</f>
        <v>110</v>
      </c>
      <c r="F155" s="41">
        <f>Vuosikate!F155+'7. Nettoinvestoinnit '!F155+'8. Satunnaiset erät'!F155+'9. Tulorahkorjauserät'!F155</f>
        <v>-1457</v>
      </c>
      <c r="G155" s="41">
        <f>Vuosikate!G155+'7. Nettoinvestoinnit '!G155+'8. Satunnaiset erät'!G155+'9. Tulorahkorjauserät'!G155</f>
        <v>-3721</v>
      </c>
      <c r="H155" s="41">
        <f>Vuosikate!H155+'7. Nettoinvestoinnit '!H155+'8. Satunnaiset erät'!H155+'9. Tulorahkorjauserät'!H155</f>
        <v>1910.4939520658299</v>
      </c>
      <c r="I155" s="41">
        <f>Vuosikate!I155+'7. Nettoinvestoinnit '!I155+'8. Satunnaiset erät'!I155+'9. Tulorahkorjauserät'!I155</f>
        <v>3369.2063994333398</v>
      </c>
      <c r="J155" s="41">
        <f>Vuosikate!J155+'7. Nettoinvestoinnit '!J155+'8. Satunnaiset erät'!J155+'9. Tulorahkorjauserät'!J155</f>
        <v>-5119.0380099348222</v>
      </c>
      <c r="K155" s="41">
        <f>Vuosikate!K155+'7. Nettoinvestoinnit '!K155+'8. Satunnaiset erät'!K155+'9. Tulorahkorjauserät'!K155</f>
        <v>-1142.5242162630727</v>
      </c>
      <c r="L155" s="41">
        <f>Vuosikate!L155+'7. Nettoinvestoinnit '!L155+'8. Satunnaiset erät'!L155+'9. Tulorahkorjauserät'!L155</f>
        <v>-5118.2319667779411</v>
      </c>
      <c r="M155" s="41">
        <f>Vuosikate!M155+'7. Nettoinvestoinnit '!M155+'8. Satunnaiset erät'!M155+'9. Tulorahkorjauserät'!M155</f>
        <v>-5852.5907710421561</v>
      </c>
      <c r="N155" s="41">
        <f>Vuosikate!N155+'7. Nettoinvestoinnit '!N155+'8. Satunnaiset erät'!N155+'9. Tulorahkorjauserät'!N155</f>
        <v>-5246.3058794408371</v>
      </c>
      <c r="O155" s="41">
        <f>Vuosikate!O155+'7. Nettoinvestoinnit '!O155+'8. Satunnaiset erät'!O155+'9. Tulorahkorjauserät'!O155</f>
        <v>-5022.7231923442387</v>
      </c>
      <c r="P155" s="41">
        <f>Vuosikate!P155+'7. Nettoinvestoinnit '!P155+'8. Satunnaiset erät'!P155+'9. Tulorahkorjauserät'!P155</f>
        <v>-3852.7166636552211</v>
      </c>
      <c r="T155" s="34">
        <v>445</v>
      </c>
      <c r="U155" s="88" t="s">
        <v>469</v>
      </c>
      <c r="V155" s="41" t="e">
        <f>C155/'1. Väestöennuste'!E155*1000</f>
        <v>#REF!</v>
      </c>
      <c r="W155" s="41">
        <f>D155/'1. Väestöennuste'!F155*1000</f>
        <v>94.492791271593717</v>
      </c>
      <c r="X155" s="41">
        <f>E155/'1. Väestöennuste'!G155*1000</f>
        <v>7.1965979718678437</v>
      </c>
      <c r="Y155" s="41">
        <f>F155/'1. Väestöennuste'!H155*1000</f>
        <v>-95.748176381678391</v>
      </c>
      <c r="Z155" s="41">
        <f>G155/'1. Väestöennuste'!I155*1000</f>
        <v>-245.90272270684642</v>
      </c>
      <c r="AA155" s="41">
        <f>H155/'1. Väestöennuste'!J155*1000</f>
        <v>126.48089719072028</v>
      </c>
      <c r="AB155" s="41">
        <f>I155/'1. Väestöennuste'!K155*1000</f>
        <v>223.33331561933844</v>
      </c>
      <c r="AC155" s="41">
        <f>J155/'1. Väestöennuste'!L155*1000</f>
        <v>-341.47408511338949</v>
      </c>
      <c r="AD155" s="41">
        <f>K155/'1. Väestöennuste'!M155*1000</f>
        <v>-76.173359308158737</v>
      </c>
      <c r="AE155" s="41">
        <f>L155/'1. Väestöennuste'!N155*1000</f>
        <v>-345.6863411304837</v>
      </c>
      <c r="AF155" s="41">
        <f>M155/'1. Väestöennuste'!O155*1000</f>
        <v>-397.02806940113669</v>
      </c>
      <c r="AG155" s="41">
        <f>N155/'1. Väestöennuste'!P155*1000</f>
        <v>-357.40213089725711</v>
      </c>
      <c r="AH155" s="41">
        <f>O155/'1. Väestöennuste'!Q155*1000</f>
        <v>-343.52802081555564</v>
      </c>
      <c r="AI155" s="41">
        <f>P155/'1. Väestöennuste'!R155*1000</f>
        <v>-264.5551509754323</v>
      </c>
    </row>
    <row r="156" spans="1:35" x14ac:dyDescent="0.2">
      <c r="A156" s="34">
        <v>475</v>
      </c>
      <c r="B156" s="88" t="s">
        <v>470</v>
      </c>
      <c r="C156" s="41" t="e">
        <f>Vuosikate!C156+'7. Nettoinvestoinnit '!C156+'8. Satunnaiset erät'!C156+'9. Tulorahkorjauserät'!C156</f>
        <v>#REF!</v>
      </c>
      <c r="D156" s="41">
        <f>Vuosikate!D156+'7. Nettoinvestoinnit '!D156+'8. Satunnaiset erät'!D156+'9. Tulorahkorjauserät'!D156</f>
        <v>-3088</v>
      </c>
      <c r="E156" s="41">
        <f>Vuosikate!E156+'7. Nettoinvestoinnit '!E156+'8. Satunnaiset erät'!E156+'9. Tulorahkorjauserät'!E156</f>
        <v>-2690</v>
      </c>
      <c r="F156" s="41">
        <f>Vuosikate!F156+'7. Nettoinvestoinnit '!F156+'8. Satunnaiset erät'!F156+'9. Tulorahkorjauserät'!F156</f>
        <v>-3336</v>
      </c>
      <c r="G156" s="41">
        <f>Vuosikate!G156+'7. Nettoinvestoinnit '!G156+'8. Satunnaiset erät'!G156+'9. Tulorahkorjauserät'!G156</f>
        <v>-5037</v>
      </c>
      <c r="H156" s="41">
        <f>Vuosikate!H156+'7. Nettoinvestoinnit '!H156+'8. Satunnaiset erät'!H156+'9. Tulorahkorjauserät'!H156</f>
        <v>2207.4624034336412</v>
      </c>
      <c r="I156" s="41">
        <f>Vuosikate!I156+'7. Nettoinvestoinnit '!I156+'8. Satunnaiset erät'!I156+'9. Tulorahkorjauserät'!I156</f>
        <v>-1404.0547335807701</v>
      </c>
      <c r="J156" s="41">
        <f>Vuosikate!J156+'7. Nettoinvestoinnit '!J156+'8. Satunnaiset erät'!J156+'9. Tulorahkorjauserät'!J156</f>
        <v>-631.60201909320222</v>
      </c>
      <c r="K156" s="41">
        <f>Vuosikate!K156+'7. Nettoinvestoinnit '!K156+'8. Satunnaiset erät'!K156+'9. Tulorahkorjauserät'!K156</f>
        <v>1808.5679423117929</v>
      </c>
      <c r="L156" s="41">
        <f>Vuosikate!L156+'7. Nettoinvestoinnit '!L156+'8. Satunnaiset erät'!L156+'9. Tulorahkorjauserät'!L156</f>
        <v>-265.95004063059059</v>
      </c>
      <c r="M156" s="41">
        <f>Vuosikate!M156+'7. Nettoinvestoinnit '!M156+'8. Satunnaiset erät'!M156+'9. Tulorahkorjauserät'!M156</f>
        <v>-180.96238076411873</v>
      </c>
      <c r="N156" s="41">
        <f>Vuosikate!N156+'7. Nettoinvestoinnit '!N156+'8. Satunnaiset erät'!N156+'9. Tulorahkorjauserät'!N156</f>
        <v>-322.53585241579458</v>
      </c>
      <c r="O156" s="41">
        <f>Vuosikate!O156+'7. Nettoinvestoinnit '!O156+'8. Satunnaiset erät'!O156+'9. Tulorahkorjauserät'!O156</f>
        <v>-749.07144852659258</v>
      </c>
      <c r="P156" s="41">
        <f>Vuosikate!P156+'7. Nettoinvestoinnit '!P156+'8. Satunnaiset erät'!P156+'9. Tulorahkorjauserät'!P156</f>
        <v>-277.56038314893522</v>
      </c>
      <c r="T156" s="34">
        <v>475</v>
      </c>
      <c r="U156" s="88" t="s">
        <v>470</v>
      </c>
      <c r="V156" s="41" t="e">
        <f>C156/'1. Väestöennuste'!E156*1000</f>
        <v>#REF!</v>
      </c>
      <c r="W156" s="41">
        <f>D156/'1. Väestöennuste'!F156*1000</f>
        <v>-559.72448794634761</v>
      </c>
      <c r="X156" s="41">
        <f>E156/'1. Väestöennuste'!G156*1000</f>
        <v>-491.14478729231331</v>
      </c>
      <c r="Y156" s="41">
        <f>F156/'1. Väestöennuste'!H156*1000</f>
        <v>-609.09256892459371</v>
      </c>
      <c r="Z156" s="41">
        <f>G156/'1. Väestöennuste'!I156*1000</f>
        <v>-920</v>
      </c>
      <c r="AA156" s="41">
        <f>H156/'1. Väestöennuste'!J156*1000</f>
        <v>404.96466766348215</v>
      </c>
      <c r="AB156" s="41">
        <f>I156/'1. Väestöennuste'!K156*1000</f>
        <v>-255.88750384194825</v>
      </c>
      <c r="AC156" s="41">
        <f>J156/'1. Väestöennuste'!L156*1000</f>
        <v>-115.27687882701264</v>
      </c>
      <c r="AD156" s="41">
        <f>K156/'1. Väestöennuste'!M156*1000</f>
        <v>331.48239411873038</v>
      </c>
      <c r="AE156" s="41">
        <f>L156/'1. Väestöennuste'!N156*1000</f>
        <v>-49.250007524183445</v>
      </c>
      <c r="AF156" s="41">
        <f>M156/'1. Väestöennuste'!O156*1000</f>
        <v>-33.586187966614467</v>
      </c>
      <c r="AG156" s="41">
        <f>N156/'1. Väestöennuste'!P156*1000</f>
        <v>-59.995508261866554</v>
      </c>
      <c r="AH156" s="41">
        <f>O156/'1. Väestöennuste'!Q156*1000</f>
        <v>-139.70000905009186</v>
      </c>
      <c r="AI156" s="41">
        <f>P156/'1. Väestöennuste'!R156*1000</f>
        <v>-51.967868030132038</v>
      </c>
    </row>
    <row r="157" spans="1:35" x14ac:dyDescent="0.2">
      <c r="A157" s="34">
        <v>480</v>
      </c>
      <c r="B157" s="88" t="s">
        <v>471</v>
      </c>
      <c r="C157" s="41" t="e">
        <f>Vuosikate!C157+'7. Nettoinvestoinnit '!C157+'8. Satunnaiset erät'!C157+'9. Tulorahkorjauserät'!C157</f>
        <v>#REF!</v>
      </c>
      <c r="D157" s="41">
        <f>Vuosikate!D157+'7. Nettoinvestoinnit '!D157+'8. Satunnaiset erät'!D157+'9. Tulorahkorjauserät'!D157</f>
        <v>204</v>
      </c>
      <c r="E157" s="41">
        <f>Vuosikate!E157+'7. Nettoinvestoinnit '!E157+'8. Satunnaiset erät'!E157+'9. Tulorahkorjauserät'!E157</f>
        <v>-208</v>
      </c>
      <c r="F157" s="41">
        <f>Vuosikate!F157+'7. Nettoinvestoinnit '!F157+'8. Satunnaiset erät'!F157+'9. Tulorahkorjauserät'!F157</f>
        <v>307</v>
      </c>
      <c r="G157" s="41">
        <f>Vuosikate!G157+'7. Nettoinvestoinnit '!G157+'8. Satunnaiset erät'!G157+'9. Tulorahkorjauserät'!G157</f>
        <v>-83</v>
      </c>
      <c r="H157" s="41">
        <f>Vuosikate!H157+'7. Nettoinvestoinnit '!H157+'8. Satunnaiset erät'!H157+'9. Tulorahkorjauserät'!H157</f>
        <v>411.16359996511255</v>
      </c>
      <c r="I157" s="41">
        <f>Vuosikate!I157+'7. Nettoinvestoinnit '!I157+'8. Satunnaiset erät'!I157+'9. Tulorahkorjauserät'!I157</f>
        <v>105.72392584149064</v>
      </c>
      <c r="J157" s="41">
        <f>Vuosikate!J157+'7. Nettoinvestoinnit '!J157+'8. Satunnaiset erät'!J157+'9. Tulorahkorjauserät'!J157</f>
        <v>177.2539173911417</v>
      </c>
      <c r="K157" s="41">
        <f>Vuosikate!K157+'7. Nettoinvestoinnit '!K157+'8. Satunnaiset erät'!K157+'9. Tulorahkorjauserät'!K157</f>
        <v>-32.947964711064003</v>
      </c>
      <c r="L157" s="41">
        <f>Vuosikate!L157+'7. Nettoinvestoinnit '!L157+'8. Satunnaiset erät'!L157+'9. Tulorahkorjauserät'!L157</f>
        <v>-305.04249898479185</v>
      </c>
      <c r="M157" s="41">
        <f>Vuosikate!M157+'7. Nettoinvestoinnit '!M157+'8. Satunnaiset erät'!M157+'9. Tulorahkorjauserät'!M157</f>
        <v>-435.58307418322613</v>
      </c>
      <c r="N157" s="41">
        <f>Vuosikate!N157+'7. Nettoinvestoinnit '!N157+'8. Satunnaiset erät'!N157+'9. Tulorahkorjauserät'!N157</f>
        <v>-498.40933844987978</v>
      </c>
      <c r="O157" s="41">
        <f>Vuosikate!O157+'7. Nettoinvestoinnit '!O157+'8. Satunnaiset erät'!O157+'9. Tulorahkorjauserät'!O157</f>
        <v>-601.58760552583283</v>
      </c>
      <c r="P157" s="41">
        <f>Vuosikate!P157+'7. Nettoinvestoinnit '!P157+'8. Satunnaiset erät'!P157+'9. Tulorahkorjauserät'!P157</f>
        <v>-432.4093052989723</v>
      </c>
      <c r="T157" s="34">
        <v>480</v>
      </c>
      <c r="U157" s="88" t="s">
        <v>471</v>
      </c>
      <c r="V157" s="41" t="e">
        <f>C157/'1. Väestöennuste'!E157*1000</f>
        <v>#REF!</v>
      </c>
      <c r="W157" s="41">
        <f>D157/'1. Väestöennuste'!F157*1000</f>
        <v>100.94012864918358</v>
      </c>
      <c r="X157" s="41">
        <f>E157/'1. Väestöennuste'!G157*1000</f>
        <v>-104.62776659959759</v>
      </c>
      <c r="Y157" s="41">
        <f>F157/'1. Väestöennuste'!H157*1000</f>
        <v>152.13082259663034</v>
      </c>
      <c r="Z157" s="41">
        <f>G157/'1. Väestöennuste'!I157*1000</f>
        <v>-41.231992051664179</v>
      </c>
      <c r="AA157" s="41">
        <f>H157/'1. Väestöennuste'!J157*1000</f>
        <v>205.68464230370813</v>
      </c>
      <c r="AB157" s="41">
        <f>I157/'1. Väestöennuste'!K157*1000</f>
        <v>53.127600925372178</v>
      </c>
      <c r="AC157" s="41">
        <f>J157/'1. Väestöennuste'!L157*1000</f>
        <v>89.61269837772582</v>
      </c>
      <c r="AD157" s="41">
        <f>K157/'1. Väestöennuste'!M157*1000</f>
        <v>-17.071484306250781</v>
      </c>
      <c r="AE157" s="41">
        <f>L157/'1. Väestöennuste'!N157*1000</f>
        <v>-153.98409842745676</v>
      </c>
      <c r="AF157" s="41">
        <f>M157/'1. Väestöennuste'!O157*1000</f>
        <v>-220.32527778615383</v>
      </c>
      <c r="AG157" s="41">
        <f>N157/'1. Väestöennuste'!P157*1000</f>
        <v>-252.4870002279026</v>
      </c>
      <c r="AH157" s="41">
        <f>O157/'1. Väestöennuste'!Q157*1000</f>
        <v>-305.52951017056006</v>
      </c>
      <c r="AI157" s="41">
        <f>P157/'1. Väestöennuste'!R157*1000</f>
        <v>-220.50449020855291</v>
      </c>
    </row>
    <row r="158" spans="1:35" x14ac:dyDescent="0.2">
      <c r="A158" s="34">
        <v>481</v>
      </c>
      <c r="B158" s="88" t="s">
        <v>472</v>
      </c>
      <c r="C158" s="41" t="e">
        <f>Vuosikate!C158+'7. Nettoinvestoinnit '!C158+'8. Satunnaiset erät'!C158+'9. Tulorahkorjauserät'!C158</f>
        <v>#REF!</v>
      </c>
      <c r="D158" s="41">
        <f>Vuosikate!D158+'7. Nettoinvestoinnit '!D158+'8. Satunnaiset erät'!D158+'9. Tulorahkorjauserät'!D158</f>
        <v>-1682</v>
      </c>
      <c r="E158" s="41">
        <f>Vuosikate!E158+'7. Nettoinvestoinnit '!E158+'8. Satunnaiset erät'!E158+'9. Tulorahkorjauserät'!E158</f>
        <v>-1594</v>
      </c>
      <c r="F158" s="41">
        <f>Vuosikate!F158+'7. Nettoinvestoinnit '!F158+'8. Satunnaiset erät'!F158+'9. Tulorahkorjauserät'!F158</f>
        <v>-9026</v>
      </c>
      <c r="G158" s="41">
        <f>Vuosikate!G158+'7. Nettoinvestoinnit '!G158+'8. Satunnaiset erät'!G158+'9. Tulorahkorjauserät'!G158</f>
        <v>-8862</v>
      </c>
      <c r="H158" s="41">
        <f>Vuosikate!H158+'7. Nettoinvestoinnit '!H158+'8. Satunnaiset erät'!H158+'9. Tulorahkorjauserät'!H158</f>
        <v>4834.4801029844875</v>
      </c>
      <c r="I158" s="41">
        <f>Vuosikate!I158+'7. Nettoinvestoinnit '!I158+'8. Satunnaiset erät'!I158+'9. Tulorahkorjauserät'!I158</f>
        <v>2075.9901102593835</v>
      </c>
      <c r="J158" s="41">
        <f>Vuosikate!J158+'7. Nettoinvestoinnit '!J158+'8. Satunnaiset erät'!J158+'9. Tulorahkorjauserät'!J158</f>
        <v>3173.6966802905158</v>
      </c>
      <c r="K158" s="41">
        <f>Vuosikate!K158+'7. Nettoinvestoinnit '!K158+'8. Satunnaiset erät'!K158+'9. Tulorahkorjauserät'!K158</f>
        <v>894.30178364690744</v>
      </c>
      <c r="L158" s="41">
        <f>Vuosikate!L158+'7. Nettoinvestoinnit '!L158+'8. Satunnaiset erät'!L158+'9. Tulorahkorjauserät'!L158</f>
        <v>-454.19455144147923</v>
      </c>
      <c r="M158" s="41">
        <f>Vuosikate!M158+'7. Nettoinvestoinnit '!M158+'8. Satunnaiset erät'!M158+'9. Tulorahkorjauserät'!M158</f>
        <v>-3495.695133986032</v>
      </c>
      <c r="N158" s="41">
        <f>Vuosikate!N158+'7. Nettoinvestoinnit '!N158+'8. Satunnaiset erät'!N158+'9. Tulorahkorjauserät'!N158</f>
        <v>-2585.6685377504132</v>
      </c>
      <c r="O158" s="41">
        <f>Vuosikate!O158+'7. Nettoinvestoinnit '!O158+'8. Satunnaiset erät'!O158+'9. Tulorahkorjauserät'!O158</f>
        <v>-2334.34348658197</v>
      </c>
      <c r="P158" s="41">
        <f>Vuosikate!P158+'7. Nettoinvestoinnit '!P158+'8. Satunnaiset erät'!P158+'9. Tulorahkorjauserät'!P158</f>
        <v>-2343.1034350495092</v>
      </c>
      <c r="T158" s="34">
        <v>481</v>
      </c>
      <c r="U158" s="88" t="s">
        <v>472</v>
      </c>
      <c r="V158" s="41" t="e">
        <f>C158/'1. Väestöennuste'!E158*1000</f>
        <v>#REF!</v>
      </c>
      <c r="W158" s="41">
        <f>D158/'1. Väestöennuste'!F158*1000</f>
        <v>-173.85012919896641</v>
      </c>
      <c r="X158" s="41">
        <f>E158/'1. Väestöennuste'!G158*1000</f>
        <v>-165.07870753935379</v>
      </c>
      <c r="Y158" s="41">
        <f>F158/'1. Väestöennuste'!H158*1000</f>
        <v>-944.73518944944522</v>
      </c>
      <c r="Z158" s="41">
        <f>G158/'1. Väestöennuste'!I158*1000</f>
        <v>-929.51541850220269</v>
      </c>
      <c r="AA158" s="41">
        <f>H158/'1. Väestöennuste'!J158*1000</f>
        <v>506.59961259399432</v>
      </c>
      <c r="AB158" s="41">
        <f>I158/'1. Väestöennuste'!K158*1000</f>
        <v>215.97899607359381</v>
      </c>
      <c r="AC158" s="41">
        <f>J158/'1. Väestöennuste'!L158*1000</f>
        <v>329.15335825456498</v>
      </c>
      <c r="AD158" s="41">
        <f>K158/'1. Väestöennuste'!M158*1000</f>
        <v>92.972427866400594</v>
      </c>
      <c r="AE158" s="41">
        <f>L158/'1. Väestöennuste'!N158*1000</f>
        <v>-47.941160169039399</v>
      </c>
      <c r="AF158" s="41">
        <f>M158/'1. Väestöennuste'!O158*1000</f>
        <v>-369.68011146214383</v>
      </c>
      <c r="AG158" s="41">
        <f>N158/'1. Väestöennuste'!P158*1000</f>
        <v>-273.84754689159217</v>
      </c>
      <c r="AH158" s="41">
        <f>O158/'1. Väestöennuste'!Q158*1000</f>
        <v>-247.51813027059376</v>
      </c>
      <c r="AI158" s="41">
        <f>P158/'1. Väestöennuste'!R158*1000</f>
        <v>-248.68429580232532</v>
      </c>
    </row>
    <row r="159" spans="1:35" x14ac:dyDescent="0.2">
      <c r="A159" s="34">
        <v>483</v>
      </c>
      <c r="B159" s="88" t="s">
        <v>473</v>
      </c>
      <c r="C159" s="41" t="e">
        <f>Vuosikate!C159+'7. Nettoinvestoinnit '!C159+'8. Satunnaiset erät'!C159+'9. Tulorahkorjauserät'!C159</f>
        <v>#REF!</v>
      </c>
      <c r="D159" s="41">
        <f>Vuosikate!D159+'7. Nettoinvestoinnit '!D159+'8. Satunnaiset erät'!D159+'9. Tulorahkorjauserät'!D159</f>
        <v>149</v>
      </c>
      <c r="E159" s="41">
        <f>Vuosikate!E159+'7. Nettoinvestoinnit '!E159+'8. Satunnaiset erät'!E159+'9. Tulorahkorjauserät'!E159</f>
        <v>52</v>
      </c>
      <c r="F159" s="41">
        <f>Vuosikate!F159+'7. Nettoinvestoinnit '!F159+'8. Satunnaiset erät'!F159+'9. Tulorahkorjauserät'!F159</f>
        <v>-1130</v>
      </c>
      <c r="G159" s="41">
        <f>Vuosikate!G159+'7. Nettoinvestoinnit '!G159+'8. Satunnaiset erät'!G159+'9. Tulorahkorjauserät'!G159</f>
        <v>-461</v>
      </c>
      <c r="H159" s="41">
        <f>Vuosikate!H159+'7. Nettoinvestoinnit '!H159+'8. Satunnaiset erät'!H159+'9. Tulorahkorjauserät'!H159</f>
        <v>779.3059741257739</v>
      </c>
      <c r="I159" s="41">
        <f>Vuosikate!I159+'7. Nettoinvestoinnit '!I159+'8. Satunnaiset erät'!I159+'9. Tulorahkorjauserät'!I159</f>
        <v>99.399163782724301</v>
      </c>
      <c r="J159" s="41">
        <f>Vuosikate!J159+'7. Nettoinvestoinnit '!J159+'8. Satunnaiset erät'!J159+'9. Tulorahkorjauserät'!J159</f>
        <v>-476.00032728568635</v>
      </c>
      <c r="K159" s="41">
        <f>Vuosikate!K159+'7. Nettoinvestoinnit '!K159+'8. Satunnaiset erät'!K159+'9. Tulorahkorjauserät'!K159</f>
        <v>-143.38153696327495</v>
      </c>
      <c r="L159" s="41">
        <f>Vuosikate!L159+'7. Nettoinvestoinnit '!L159+'8. Satunnaiset erät'!L159+'9. Tulorahkorjauserät'!L159</f>
        <v>-1369.6628933744807</v>
      </c>
      <c r="M159" s="41">
        <f>Vuosikate!M159+'7. Nettoinvestoinnit '!M159+'8. Satunnaiset erät'!M159+'9. Tulorahkorjauserät'!M159</f>
        <v>-2139.7375268262408</v>
      </c>
      <c r="N159" s="41">
        <f>Vuosikate!N159+'7. Nettoinvestoinnit '!N159+'8. Satunnaiset erät'!N159+'9. Tulorahkorjauserät'!N159</f>
        <v>-2140.8742429892191</v>
      </c>
      <c r="O159" s="41">
        <f>Vuosikate!O159+'7. Nettoinvestoinnit '!O159+'8. Satunnaiset erät'!O159+'9. Tulorahkorjauserät'!O159</f>
        <v>-2275.9301583618094</v>
      </c>
      <c r="P159" s="41">
        <f>Vuosikate!P159+'7. Nettoinvestoinnit '!P159+'8. Satunnaiset erät'!P159+'9. Tulorahkorjauserät'!P159</f>
        <v>-2182.0089521126129</v>
      </c>
      <c r="T159" s="34">
        <v>483</v>
      </c>
      <c r="U159" s="88" t="s">
        <v>473</v>
      </c>
      <c r="V159" s="41" t="e">
        <f>C159/'1. Väestöennuste'!E159*1000</f>
        <v>#REF!</v>
      </c>
      <c r="W159" s="41">
        <f>D159/'1. Väestöennuste'!F159*1000</f>
        <v>131.7418213969938</v>
      </c>
      <c r="X159" s="41">
        <f>E159/'1. Väestöennuste'!G159*1000</f>
        <v>46.470062555853438</v>
      </c>
      <c r="Y159" s="41">
        <f>F159/'1. Väestöennuste'!H159*1000</f>
        <v>-1023.5507246376811</v>
      </c>
      <c r="Z159" s="41">
        <f>G159/'1. Väestöennuste'!I159*1000</f>
        <v>-423.32415059687787</v>
      </c>
      <c r="AA159" s="41">
        <f>H159/'1. Väestöennuste'!J159*1000</f>
        <v>722.91834334487373</v>
      </c>
      <c r="AB159" s="41">
        <f>I159/'1. Väestöennuste'!K159*1000</f>
        <v>92.378405002531878</v>
      </c>
      <c r="AC159" s="41">
        <f>J159/'1. Väestöennuste'!L159*1000</f>
        <v>-446.11089717496378</v>
      </c>
      <c r="AD159" s="41">
        <f>K159/'1. Väestöennuste'!M159*1000</f>
        <v>-135.90667010736962</v>
      </c>
      <c r="AE159" s="41">
        <f>L159/'1. Väestöennuste'!N159*1000</f>
        <v>-1342.8067582102751</v>
      </c>
      <c r="AF159" s="41">
        <f>M159/'1. Väestöennuste'!O159*1000</f>
        <v>-2126.9756727895037</v>
      </c>
      <c r="AG159" s="41">
        <f>N159/'1. Väestöennuste'!P159*1000</f>
        <v>-2155.9660050243897</v>
      </c>
      <c r="AH159" s="41">
        <f>O159/'1. Väestöennuste'!Q159*1000</f>
        <v>-2324.7499063961282</v>
      </c>
      <c r="AI159" s="41">
        <f>P159/'1. Väestöennuste'!R159*1000</f>
        <v>-2251.8152240584241</v>
      </c>
    </row>
    <row r="160" spans="1:35" x14ac:dyDescent="0.2">
      <c r="A160" s="34">
        <v>484</v>
      </c>
      <c r="B160" s="88" t="s">
        <v>474</v>
      </c>
      <c r="C160" s="41" t="e">
        <f>Vuosikate!C160+'7. Nettoinvestoinnit '!C160+'8. Satunnaiset erät'!C160+'9. Tulorahkorjauserät'!C160</f>
        <v>#REF!</v>
      </c>
      <c r="D160" s="41">
        <f>Vuosikate!D160+'7. Nettoinvestoinnit '!D160+'8. Satunnaiset erät'!D160+'9. Tulorahkorjauserät'!D160</f>
        <v>244</v>
      </c>
      <c r="E160" s="41">
        <f>Vuosikate!E160+'7. Nettoinvestoinnit '!E160+'8. Satunnaiset erät'!E160+'9. Tulorahkorjauserät'!E160</f>
        <v>-377</v>
      </c>
      <c r="F160" s="41">
        <f>Vuosikate!F160+'7. Nettoinvestoinnit '!F160+'8. Satunnaiset erät'!F160+'9. Tulorahkorjauserät'!F160</f>
        <v>-1606</v>
      </c>
      <c r="G160" s="41">
        <f>Vuosikate!G160+'7. Nettoinvestoinnit '!G160+'8. Satunnaiset erät'!G160+'9. Tulorahkorjauserät'!G160</f>
        <v>-2278</v>
      </c>
      <c r="H160" s="41">
        <f>Vuosikate!H160+'7. Nettoinvestoinnit '!H160+'8. Satunnaiset erät'!H160+'9. Tulorahkorjauserät'!H160</f>
        <v>3688.2024869220568</v>
      </c>
      <c r="I160" s="41">
        <f>Vuosikate!I160+'7. Nettoinvestoinnit '!I160+'8. Satunnaiset erät'!I160+'9. Tulorahkorjauserät'!I160</f>
        <v>2017.5174754801649</v>
      </c>
      <c r="J160" s="41">
        <f>Vuosikate!J160+'7. Nettoinvestoinnit '!J160+'8. Satunnaiset erät'!J160+'9. Tulorahkorjauserät'!J160</f>
        <v>-620.72655322402238</v>
      </c>
      <c r="K160" s="41">
        <f>Vuosikate!K160+'7. Nettoinvestoinnit '!K160+'8. Satunnaiset erät'!K160+'9. Tulorahkorjauserät'!K160</f>
        <v>-3365.6734164279314</v>
      </c>
      <c r="L160" s="41">
        <f>Vuosikate!L160+'7. Nettoinvestoinnit '!L160+'8. Satunnaiset erät'!L160+'9. Tulorahkorjauserät'!L160</f>
        <v>381.05276820306312</v>
      </c>
      <c r="M160" s="41">
        <f>Vuosikate!M160+'7. Nettoinvestoinnit '!M160+'8. Satunnaiset erät'!M160+'9. Tulorahkorjauserät'!M160</f>
        <v>-1694.3880767555415</v>
      </c>
      <c r="N160" s="41">
        <f>Vuosikate!N160+'7. Nettoinvestoinnit '!N160+'8. Satunnaiset erät'!N160+'9. Tulorahkorjauserät'!N160</f>
        <v>-2717.0432289137379</v>
      </c>
      <c r="O160" s="41">
        <f>Vuosikate!O160+'7. Nettoinvestoinnit '!O160+'8. Satunnaiset erät'!O160+'9. Tulorahkorjauserät'!O160</f>
        <v>-2515.1948325151693</v>
      </c>
      <c r="P160" s="41">
        <f>Vuosikate!P160+'7. Nettoinvestoinnit '!P160+'8. Satunnaiset erät'!P160+'9. Tulorahkorjauserät'!P160</f>
        <v>-2567.7286400240305</v>
      </c>
      <c r="T160" s="34">
        <v>484</v>
      </c>
      <c r="U160" s="88" t="s">
        <v>474</v>
      </c>
      <c r="V160" s="41" t="e">
        <f>C160/'1. Väestöennuste'!E160*1000</f>
        <v>#REF!</v>
      </c>
      <c r="W160" s="41">
        <f>D160/'1. Väestöennuste'!F160*1000</f>
        <v>76.995897759545599</v>
      </c>
      <c r="X160" s="41">
        <f>E160/'1. Väestöennuste'!G160*1000</f>
        <v>-119.45500633713561</v>
      </c>
      <c r="Y160" s="41">
        <f>F160/'1. Väestöennuste'!H160*1000</f>
        <v>-515.56982343499203</v>
      </c>
      <c r="Z160" s="41">
        <f>G160/'1. Väestöennuste'!I160*1000</f>
        <v>-742.74535376589506</v>
      </c>
      <c r="AA160" s="41">
        <f>H160/'1. Väestöennuste'!J160*1000</f>
        <v>1202.936231872817</v>
      </c>
      <c r="AB160" s="41">
        <f>I160/'1. Väestöennuste'!K160*1000</f>
        <v>660.39851897877736</v>
      </c>
      <c r="AC160" s="41">
        <f>J160/'1. Väestöennuste'!L160*1000</f>
        <v>-209.21016286620235</v>
      </c>
      <c r="AD160" s="41">
        <f>K160/'1. Väestöennuste'!M160*1000</f>
        <v>-1134.7516575953916</v>
      </c>
      <c r="AE160" s="41">
        <f>L160/'1. Väestöennuste'!N160*1000</f>
        <v>127.82716142336906</v>
      </c>
      <c r="AF160" s="41">
        <f>M160/'1. Väestöennuste'!O160*1000</f>
        <v>-571.46309502716406</v>
      </c>
      <c r="AG160" s="41">
        <f>N160/'1. Väestöennuste'!P160*1000</f>
        <v>-921.03160302160609</v>
      </c>
      <c r="AH160" s="41">
        <f>O160/'1. Väestöennuste'!Q160*1000</f>
        <v>-857.55023270206937</v>
      </c>
      <c r="AI160" s="41">
        <f>P160/'1. Väestöennuste'!R160*1000</f>
        <v>-879.66037684961645</v>
      </c>
    </row>
    <row r="161" spans="1:35" x14ac:dyDescent="0.2">
      <c r="A161" s="34">
        <v>489</v>
      </c>
      <c r="B161" s="88" t="s">
        <v>475</v>
      </c>
      <c r="C161" s="41" t="e">
        <f>Vuosikate!C161+'7. Nettoinvestoinnit '!C161+'8. Satunnaiset erät'!C161+'9. Tulorahkorjauserät'!C161</f>
        <v>#REF!</v>
      </c>
      <c r="D161" s="41">
        <f>Vuosikate!D161+'7. Nettoinvestoinnit '!D161+'8. Satunnaiset erät'!D161+'9. Tulorahkorjauserät'!D161</f>
        <v>40</v>
      </c>
      <c r="E161" s="41">
        <f>Vuosikate!E161+'7. Nettoinvestoinnit '!E161+'8. Satunnaiset erät'!E161+'9. Tulorahkorjauserät'!E161</f>
        <v>-306</v>
      </c>
      <c r="F161" s="41">
        <f>Vuosikate!F161+'7. Nettoinvestoinnit '!F161+'8. Satunnaiset erät'!F161+'9. Tulorahkorjauserät'!F161</f>
        <v>-199</v>
      </c>
      <c r="G161" s="41">
        <f>Vuosikate!G161+'7. Nettoinvestoinnit '!G161+'8. Satunnaiset erät'!G161+'9. Tulorahkorjauserät'!G161</f>
        <v>608</v>
      </c>
      <c r="H161" s="41">
        <f>Vuosikate!H161+'7. Nettoinvestoinnit '!H161+'8. Satunnaiset erät'!H161+'9. Tulorahkorjauserät'!H161</f>
        <v>1915.9854964863907</v>
      </c>
      <c r="I161" s="41">
        <f>Vuosikate!I161+'7. Nettoinvestoinnit '!I161+'8. Satunnaiset erät'!I161+'9. Tulorahkorjauserät'!I161</f>
        <v>666.57350969090942</v>
      </c>
      <c r="J161" s="41">
        <f>Vuosikate!J161+'7. Nettoinvestoinnit '!J161+'8. Satunnaiset erät'!J161+'9. Tulorahkorjauserät'!J161</f>
        <v>-485.24322008670572</v>
      </c>
      <c r="K161" s="41">
        <f>Vuosikate!K161+'7. Nettoinvestoinnit '!K161+'8. Satunnaiset erät'!K161+'9. Tulorahkorjauserät'!K161</f>
        <v>-1833.1001434224236</v>
      </c>
      <c r="L161" s="41">
        <f>Vuosikate!L161+'7. Nettoinvestoinnit '!L161+'8. Satunnaiset erät'!L161+'9. Tulorahkorjauserät'!L161</f>
        <v>-941.65061483037448</v>
      </c>
      <c r="M161" s="41">
        <f>Vuosikate!M161+'7. Nettoinvestoinnit '!M161+'8. Satunnaiset erät'!M161+'9. Tulorahkorjauserät'!M161</f>
        <v>-1388.1856340905547</v>
      </c>
      <c r="N161" s="41">
        <f>Vuosikate!N161+'7. Nettoinvestoinnit '!N161+'8. Satunnaiset erät'!N161+'9. Tulorahkorjauserät'!N161</f>
        <v>-1527.9999977517514</v>
      </c>
      <c r="O161" s="41">
        <f>Vuosikate!O161+'7. Nettoinvestoinnit '!O161+'8. Satunnaiset erät'!O161+'9. Tulorahkorjauserät'!O161</f>
        <v>-1714.8060471421595</v>
      </c>
      <c r="P161" s="41">
        <f>Vuosikate!P161+'7. Nettoinvestoinnit '!P161+'8. Satunnaiset erät'!P161+'9. Tulorahkorjauserät'!P161</f>
        <v>-1613.3949869194551</v>
      </c>
      <c r="T161" s="34">
        <v>489</v>
      </c>
      <c r="U161" s="88" t="s">
        <v>475</v>
      </c>
      <c r="V161" s="41" t="e">
        <f>C161/'1. Väestöennuste'!E161*1000</f>
        <v>#REF!</v>
      </c>
      <c r="W161" s="41">
        <f>D161/'1. Väestöennuste'!F161*1000</f>
        <v>19.665683382497541</v>
      </c>
      <c r="X161" s="41">
        <f>E161/'1. Väestöennuste'!G161*1000</f>
        <v>-153.6144578313253</v>
      </c>
      <c r="Y161" s="41">
        <f>F161/'1. Väestöennuste'!H161*1000</f>
        <v>-102.57731958762886</v>
      </c>
      <c r="Z161" s="41">
        <f>G161/'1. Väestöennuste'!I161*1000</f>
        <v>327.40980075390411</v>
      </c>
      <c r="AA161" s="41">
        <f>H161/'1. Väestöennuste'!J161*1000</f>
        <v>1025.6881672839352</v>
      </c>
      <c r="AB161" s="41">
        <f>I161/'1. Väestöennuste'!K161*1000</f>
        <v>363.2553186326482</v>
      </c>
      <c r="AC161" s="41">
        <f>J161/'1. Väestöennuste'!L161*1000</f>
        <v>-270.93423790435827</v>
      </c>
      <c r="AD161" s="41">
        <f>K161/'1. Väestöennuste'!M161*1000</f>
        <v>-1046.2900362000134</v>
      </c>
      <c r="AE161" s="41">
        <f>L161/'1. Väestöennuste'!N161*1000</f>
        <v>-544.62152390420738</v>
      </c>
      <c r="AF161" s="41">
        <f>M161/'1. Väestöennuste'!O161*1000</f>
        <v>-815.62023154556687</v>
      </c>
      <c r="AG161" s="41">
        <f>N161/'1. Väestöennuste'!P161*1000</f>
        <v>-912.23880462791135</v>
      </c>
      <c r="AH161" s="41">
        <f>O161/'1. Väestöennuste'!Q161*1000</f>
        <v>-1039.9066386550392</v>
      </c>
      <c r="AI161" s="41">
        <f>P161/'1. Väestöennuste'!R161*1000</f>
        <v>-992.85845348889541</v>
      </c>
    </row>
    <row r="162" spans="1:35" x14ac:dyDescent="0.2">
      <c r="A162" s="34">
        <v>491</v>
      </c>
      <c r="B162" s="88" t="s">
        <v>476</v>
      </c>
      <c r="C162" s="41" t="e">
        <f>Vuosikate!C162+'7. Nettoinvestoinnit '!C162+'8. Satunnaiset erät'!C162+'9. Tulorahkorjauserät'!C162</f>
        <v>#REF!</v>
      </c>
      <c r="D162" s="41">
        <f>Vuosikate!D162+'7. Nettoinvestoinnit '!D162+'8. Satunnaiset erät'!D162+'9. Tulorahkorjauserät'!D162</f>
        <v>-8361</v>
      </c>
      <c r="E162" s="41">
        <f>Vuosikate!E162+'7. Nettoinvestoinnit '!E162+'8. Satunnaiset erät'!E162+'9. Tulorahkorjauserät'!E162</f>
        <v>-3111</v>
      </c>
      <c r="F162" s="41">
        <f>Vuosikate!F162+'7. Nettoinvestoinnit '!F162+'8. Satunnaiset erät'!F162+'9. Tulorahkorjauserät'!F162</f>
        <v>-30610</v>
      </c>
      <c r="G162" s="41">
        <f>Vuosikate!G162+'7. Nettoinvestoinnit '!G162+'8. Satunnaiset erät'!G162+'9. Tulorahkorjauserät'!G162</f>
        <v>-33253</v>
      </c>
      <c r="H162" s="41">
        <f>Vuosikate!H162+'7. Nettoinvestoinnit '!H162+'8. Satunnaiset erät'!H162+'9. Tulorahkorjauserät'!H162</f>
        <v>-13043.38116271788</v>
      </c>
      <c r="I162" s="41">
        <f>Vuosikate!I162+'7. Nettoinvestoinnit '!I162+'8. Satunnaiset erät'!I162+'9. Tulorahkorjauserät'!I162</f>
        <v>941.76092332116514</v>
      </c>
      <c r="J162" s="41">
        <f>Vuosikate!J162+'7. Nettoinvestoinnit '!J162+'8. Satunnaiset erät'!J162+'9. Tulorahkorjauserät'!J162</f>
        <v>-3390.206173720283</v>
      </c>
      <c r="K162" s="41">
        <f>Vuosikate!K162+'7. Nettoinvestoinnit '!K162+'8. Satunnaiset erät'!K162+'9. Tulorahkorjauserät'!K162</f>
        <v>6694.9129080084876</v>
      </c>
      <c r="L162" s="41">
        <f>Vuosikate!L162+'7. Nettoinvestoinnit '!L162+'8. Satunnaiset erät'!L162+'9. Tulorahkorjauserät'!L162</f>
        <v>-12514.62989136537</v>
      </c>
      <c r="M162" s="41">
        <f>Vuosikate!M162+'7. Nettoinvestoinnit '!M162+'8. Satunnaiset erät'!M162+'9. Tulorahkorjauserät'!M162</f>
        <v>-11661.929341577365</v>
      </c>
      <c r="N162" s="41">
        <f>Vuosikate!N162+'7. Nettoinvestoinnit '!N162+'8. Satunnaiset erät'!N162+'9. Tulorahkorjauserät'!N162</f>
        <v>-10605.024324966318</v>
      </c>
      <c r="O162" s="41">
        <f>Vuosikate!O162+'7. Nettoinvestoinnit '!O162+'8. Satunnaiset erät'!O162+'9. Tulorahkorjauserät'!O162</f>
        <v>-10675.96907751781</v>
      </c>
      <c r="P162" s="41">
        <f>Vuosikate!P162+'7. Nettoinvestoinnit '!P162+'8. Satunnaiset erät'!P162+'9. Tulorahkorjauserät'!P162</f>
        <v>-5043.9978790429122</v>
      </c>
      <c r="T162" s="34">
        <v>491</v>
      </c>
      <c r="U162" s="88" t="s">
        <v>476</v>
      </c>
      <c r="V162" s="41" t="e">
        <f>C162/'1. Väestöennuste'!E162*1000</f>
        <v>#REF!</v>
      </c>
      <c r="W162" s="41">
        <f>D162/'1. Väestöennuste'!F162*1000</f>
        <v>-153.36500541115618</v>
      </c>
      <c r="X162" s="41">
        <f>E162/'1. Väestöennuste'!G162*1000</f>
        <v>-57.333996793276945</v>
      </c>
      <c r="Y162" s="41">
        <f>F162/'1. Väestöennuste'!H162*1000</f>
        <v>-568.76881340815339</v>
      </c>
      <c r="Z162" s="41">
        <f>G162/'1. Väestöennuste'!I162*1000</f>
        <v>-625.83280009033763</v>
      </c>
      <c r="AA162" s="41">
        <f>H162/'1. Väestöennuste'!J162*1000</f>
        <v>-248.05319519080084</v>
      </c>
      <c r="AB162" s="41">
        <f>I162/'1. Väestöennuste'!K162*1000</f>
        <v>18.068395750761006</v>
      </c>
      <c r="AC162" s="41">
        <f>J162/'1. Väestöennuste'!L162*1000</f>
        <v>-65.221357709124334</v>
      </c>
      <c r="AD162" s="41">
        <f>K162/'1. Väestöennuste'!M162*1000</f>
        <v>128.94918831272727</v>
      </c>
      <c r="AE162" s="41">
        <f>L162/'1. Väestöennuste'!N162*1000</f>
        <v>-245.47153684369718</v>
      </c>
      <c r="AF162" s="41">
        <f>M162/'1. Väestöennuste'!O162*1000</f>
        <v>-230.52758246179656</v>
      </c>
      <c r="AG162" s="41">
        <f>N162/'1. Väestöennuste'!P162*1000</f>
        <v>-211.28492668233255</v>
      </c>
      <c r="AH162" s="41">
        <f>O162/'1. Väestöennuste'!Q162*1000</f>
        <v>-214.3295472389193</v>
      </c>
      <c r="AI162" s="41">
        <f>P162/'1. Väestöennuste'!R162*1000</f>
        <v>-102.04118628073299</v>
      </c>
    </row>
    <row r="163" spans="1:35" x14ac:dyDescent="0.2">
      <c r="A163" s="34">
        <v>494</v>
      </c>
      <c r="B163" s="88" t="s">
        <v>477</v>
      </c>
      <c r="C163" s="41" t="e">
        <f>Vuosikate!C163+'7. Nettoinvestoinnit '!C163+'8. Satunnaiset erät'!C163+'9. Tulorahkorjauserät'!C163</f>
        <v>#REF!</v>
      </c>
      <c r="D163" s="41">
        <f>Vuosikate!D163+'7. Nettoinvestoinnit '!D163+'8. Satunnaiset erät'!D163+'9. Tulorahkorjauserät'!D163</f>
        <v>-369</v>
      </c>
      <c r="E163" s="41">
        <f>Vuosikate!E163+'7. Nettoinvestoinnit '!E163+'8. Satunnaiset erät'!E163+'9. Tulorahkorjauserät'!E163</f>
        <v>-1591</v>
      </c>
      <c r="F163" s="41">
        <f>Vuosikate!F163+'7. Nettoinvestoinnit '!F163+'8. Satunnaiset erät'!F163+'9. Tulorahkorjauserät'!F163</f>
        <v>-788</v>
      </c>
      <c r="G163" s="41">
        <f>Vuosikate!G163+'7. Nettoinvestoinnit '!G163+'8. Satunnaiset erät'!G163+'9. Tulorahkorjauserät'!G163</f>
        <v>-7854</v>
      </c>
      <c r="H163" s="41">
        <f>Vuosikate!H163+'7. Nettoinvestoinnit '!H163+'8. Satunnaiset erät'!H163+'9. Tulorahkorjauserät'!H163</f>
        <v>-531.33964245030802</v>
      </c>
      <c r="I163" s="41">
        <f>Vuosikate!I163+'7. Nettoinvestoinnit '!I163+'8. Satunnaiset erät'!I163+'9. Tulorahkorjauserät'!I163</f>
        <v>-1483.5911740205197</v>
      </c>
      <c r="J163" s="41">
        <f>Vuosikate!J163+'7. Nettoinvestoinnit '!J163+'8. Satunnaiset erät'!J163+'9. Tulorahkorjauserät'!J163</f>
        <v>-747.8093615740172</v>
      </c>
      <c r="K163" s="41">
        <f>Vuosikate!K163+'7. Nettoinvestoinnit '!K163+'8. Satunnaiset erät'!K163+'9. Tulorahkorjauserät'!K163</f>
        <v>1532.7041960880356</v>
      </c>
      <c r="L163" s="41">
        <f>Vuosikate!L163+'7. Nettoinvestoinnit '!L163+'8. Satunnaiset erät'!L163+'9. Tulorahkorjauserät'!L163</f>
        <v>-1544.7005496929705</v>
      </c>
      <c r="M163" s="41">
        <f>Vuosikate!M163+'7. Nettoinvestoinnit '!M163+'8. Satunnaiset erät'!M163+'9. Tulorahkorjauserät'!M163</f>
        <v>-2900.2405770291202</v>
      </c>
      <c r="N163" s="41">
        <f>Vuosikate!N163+'7. Nettoinvestoinnit '!N163+'8. Satunnaiset erät'!N163+'9. Tulorahkorjauserät'!N163</f>
        <v>-3043.7618566831848</v>
      </c>
      <c r="O163" s="41">
        <f>Vuosikate!O163+'7. Nettoinvestoinnit '!O163+'8. Satunnaiset erät'!O163+'9. Tulorahkorjauserät'!O163</f>
        <v>-3150.1176783898754</v>
      </c>
      <c r="P163" s="41">
        <f>Vuosikate!P163+'7. Nettoinvestoinnit '!P163+'8. Satunnaiset erät'!P163+'9. Tulorahkorjauserät'!P163</f>
        <v>-2366.5446160949405</v>
      </c>
      <c r="T163" s="34">
        <v>494</v>
      </c>
      <c r="U163" s="88" t="s">
        <v>477</v>
      </c>
      <c r="V163" s="41" t="e">
        <f>C163/'1. Väestöennuste'!E163*1000</f>
        <v>#REF!</v>
      </c>
      <c r="W163" s="41">
        <f>D163/'1. Väestöennuste'!F163*1000</f>
        <v>-41.022790439132855</v>
      </c>
      <c r="X163" s="41">
        <f>E163/'1. Väestöennuste'!G163*1000</f>
        <v>-176.4053664486085</v>
      </c>
      <c r="Y163" s="41">
        <f>F163/'1. Väestöennuste'!H163*1000</f>
        <v>-87.750556792873056</v>
      </c>
      <c r="Z163" s="41">
        <f>G163/'1. Väestöennuste'!I163*1000</f>
        <v>-881.67938931297704</v>
      </c>
      <c r="AA163" s="41">
        <f>H163/'1. Väestöennuste'!J163*1000</f>
        <v>-59.680966241750873</v>
      </c>
      <c r="AB163" s="41">
        <f>I163/'1. Väestöennuste'!K163*1000</f>
        <v>-166.52723919862157</v>
      </c>
      <c r="AC163" s="41">
        <f>J163/'1. Väestöennuste'!L163*1000</f>
        <v>-84.193803374692322</v>
      </c>
      <c r="AD163" s="41">
        <f>K163/'1. Väestöennuste'!M163*1000</f>
        <v>173.63817787334719</v>
      </c>
      <c r="AE163" s="41">
        <f>L163/'1. Väestöennuste'!N163*1000</f>
        <v>-175.93400338188729</v>
      </c>
      <c r="AF163" s="41">
        <f>M163/'1. Väestöennuste'!O163*1000</f>
        <v>-331.45606594618516</v>
      </c>
      <c r="AG163" s="41">
        <f>N163/'1. Väestöennuste'!P163*1000</f>
        <v>-349.05525879394321</v>
      </c>
      <c r="AH163" s="41">
        <f>O163/'1. Väestöennuste'!Q163*1000</f>
        <v>-362.45744774938157</v>
      </c>
      <c r="AI163" s="41">
        <f>P163/'1. Väestöennuste'!R163*1000</f>
        <v>-273.20995337046185</v>
      </c>
    </row>
    <row r="164" spans="1:35" x14ac:dyDescent="0.2">
      <c r="A164" s="34">
        <v>495</v>
      </c>
      <c r="B164" s="88" t="s">
        <v>478</v>
      </c>
      <c r="C164" s="41" t="e">
        <f>Vuosikate!C164+'7. Nettoinvestoinnit '!C164+'8. Satunnaiset erät'!C164+'9. Tulorahkorjauserät'!C164</f>
        <v>#REF!</v>
      </c>
      <c r="D164" s="41">
        <f>Vuosikate!D164+'7. Nettoinvestoinnit '!D164+'8. Satunnaiset erät'!D164+'9. Tulorahkorjauserät'!D164</f>
        <v>474</v>
      </c>
      <c r="E164" s="41">
        <f>Vuosikate!E164+'7. Nettoinvestoinnit '!E164+'8. Satunnaiset erät'!E164+'9. Tulorahkorjauserät'!E164</f>
        <v>127</v>
      </c>
      <c r="F164" s="41">
        <f>Vuosikate!F164+'7. Nettoinvestoinnit '!F164+'8. Satunnaiset erät'!F164+'9. Tulorahkorjauserät'!F164</f>
        <v>121</v>
      </c>
      <c r="G164" s="41">
        <f>Vuosikate!G164+'7. Nettoinvestoinnit '!G164+'8. Satunnaiset erät'!G164+'9. Tulorahkorjauserät'!G164</f>
        <v>382</v>
      </c>
      <c r="H164" s="41">
        <f>Vuosikate!H164+'7. Nettoinvestoinnit '!H164+'8. Satunnaiset erät'!H164+'9. Tulorahkorjauserät'!H164</f>
        <v>-693.63863670689534</v>
      </c>
      <c r="I164" s="41">
        <f>Vuosikate!I164+'7. Nettoinvestoinnit '!I164+'8. Satunnaiset erät'!I164+'9. Tulorahkorjauserät'!I164</f>
        <v>996.78986753698166</v>
      </c>
      <c r="J164" s="41">
        <f>Vuosikate!J164+'7. Nettoinvestoinnit '!J164+'8. Satunnaiset erät'!J164+'9. Tulorahkorjauserät'!J164</f>
        <v>297.34334461232964</v>
      </c>
      <c r="K164" s="41">
        <f>Vuosikate!K164+'7. Nettoinvestoinnit '!K164+'8. Satunnaiset erät'!K164+'9. Tulorahkorjauserät'!K164</f>
        <v>-664.497502737687</v>
      </c>
      <c r="L164" s="41">
        <f>Vuosikate!L164+'7. Nettoinvestoinnit '!L164+'8. Satunnaiset erät'!L164+'9. Tulorahkorjauserät'!L164</f>
        <v>356.63211060539578</v>
      </c>
      <c r="M164" s="41">
        <f>Vuosikate!M164+'7. Nettoinvestoinnit '!M164+'8. Satunnaiset erät'!M164+'9. Tulorahkorjauserät'!M164</f>
        <v>-499.1618716029285</v>
      </c>
      <c r="N164" s="41">
        <f>Vuosikate!N164+'7. Nettoinvestoinnit '!N164+'8. Satunnaiset erät'!N164+'9. Tulorahkorjauserät'!N164</f>
        <v>-689.92299832062565</v>
      </c>
      <c r="O164" s="41">
        <f>Vuosikate!O164+'7. Nettoinvestoinnit '!O164+'8. Satunnaiset erät'!O164+'9. Tulorahkorjauserät'!O164</f>
        <v>-752.14580167171653</v>
      </c>
      <c r="P164" s="41">
        <f>Vuosikate!P164+'7. Nettoinvestoinnit '!P164+'8. Satunnaiset erät'!P164+'9. Tulorahkorjauserät'!P164</f>
        <v>-666.55285031812616</v>
      </c>
      <c r="T164" s="34">
        <v>495</v>
      </c>
      <c r="U164" s="88" t="s">
        <v>478</v>
      </c>
      <c r="V164" s="41" t="e">
        <f>C164/'1. Väestöennuste'!E164*1000</f>
        <v>#REF!</v>
      </c>
      <c r="W164" s="41">
        <f>D164/'1. Väestöennuste'!F164*1000</f>
        <v>285.02705953096813</v>
      </c>
      <c r="X164" s="41">
        <f>E164/'1. Väestöennuste'!G164*1000</f>
        <v>77.628361858190701</v>
      </c>
      <c r="Y164" s="41">
        <f>F164/'1. Väestöennuste'!H164*1000</f>
        <v>76.3888888888889</v>
      </c>
      <c r="Z164" s="41">
        <f>G164/'1. Väestöennuste'!I164*1000</f>
        <v>243.93358876117497</v>
      </c>
      <c r="AA164" s="41">
        <f>H164/'1. Väestöennuste'!J164*1000</f>
        <v>-445.2109349851703</v>
      </c>
      <c r="AB164" s="41">
        <f>I164/'1. Väestöennuste'!K164*1000</f>
        <v>669.88566366732641</v>
      </c>
      <c r="AC164" s="41">
        <f>J164/'1. Väestöennuste'!L164*1000</f>
        <v>201.31573771992527</v>
      </c>
      <c r="AD164" s="41">
        <f>K164/'1. Väestöennuste'!M164*1000</f>
        <v>-464.68356834803285</v>
      </c>
      <c r="AE164" s="41">
        <f>L164/'1. Väestöennuste'!N164*1000</f>
        <v>244.77152409430047</v>
      </c>
      <c r="AF164" s="41">
        <f>M164/'1. Väestöennuste'!O164*1000</f>
        <v>-348.09056597135879</v>
      </c>
      <c r="AG164" s="41">
        <f>N164/'1. Väestöennuste'!P164*1000</f>
        <v>-488.26822244913353</v>
      </c>
      <c r="AH164" s="41">
        <f>O164/'1. Väestöennuste'!Q164*1000</f>
        <v>-541.50165707107021</v>
      </c>
      <c r="AI164" s="41">
        <f>P164/'1. Väestöennuste'!R164*1000</f>
        <v>-487.60267031318665</v>
      </c>
    </row>
    <row r="165" spans="1:35" x14ac:dyDescent="0.2">
      <c r="A165" s="34">
        <v>498</v>
      </c>
      <c r="B165" s="88" t="s">
        <v>479</v>
      </c>
      <c r="C165" s="41" t="e">
        <f>Vuosikate!C165+'7. Nettoinvestoinnit '!C165+'8. Satunnaiset erät'!C165+'9. Tulorahkorjauserät'!C165</f>
        <v>#REF!</v>
      </c>
      <c r="D165" s="41">
        <f>Vuosikate!D165+'7. Nettoinvestoinnit '!D165+'8. Satunnaiset erät'!D165+'9. Tulorahkorjauserät'!D165</f>
        <v>-595</v>
      </c>
      <c r="E165" s="41">
        <f>Vuosikate!E165+'7. Nettoinvestoinnit '!E165+'8. Satunnaiset erät'!E165+'9. Tulorahkorjauserät'!E165</f>
        <v>921</v>
      </c>
      <c r="F165" s="41">
        <f>Vuosikate!F165+'7. Nettoinvestoinnit '!F165+'8. Satunnaiset erät'!F165+'9. Tulorahkorjauserät'!F165</f>
        <v>86</v>
      </c>
      <c r="G165" s="41">
        <f>Vuosikate!G165+'7. Nettoinvestoinnit '!G165+'8. Satunnaiset erät'!G165+'9. Tulorahkorjauserät'!G165</f>
        <v>-283</v>
      </c>
      <c r="H165" s="41">
        <f>Vuosikate!H165+'7. Nettoinvestoinnit '!H165+'8. Satunnaiset erät'!H165+'9. Tulorahkorjauserät'!H165</f>
        <v>1641.1444098640477</v>
      </c>
      <c r="I165" s="41">
        <f>Vuosikate!I165+'7. Nettoinvestoinnit '!I165+'8. Satunnaiset erät'!I165+'9. Tulorahkorjauserät'!I165</f>
        <v>-441.28180291004549</v>
      </c>
      <c r="J165" s="41">
        <f>Vuosikate!J165+'7. Nettoinvestoinnit '!J165+'8. Satunnaiset erät'!J165+'9. Tulorahkorjauserät'!J165</f>
        <v>1476.3449695890877</v>
      </c>
      <c r="K165" s="41">
        <f>Vuosikate!K165+'7. Nettoinvestoinnit '!K165+'8. Satunnaiset erät'!K165+'9. Tulorahkorjauserät'!K165</f>
        <v>1336.8048988013825</v>
      </c>
      <c r="L165" s="41">
        <f>Vuosikate!L165+'7. Nettoinvestoinnit '!L165+'8. Satunnaiset erät'!L165+'9. Tulorahkorjauserät'!L165</f>
        <v>-401.40618559867789</v>
      </c>
      <c r="M165" s="41">
        <f>Vuosikate!M165+'7. Nettoinvestoinnit '!M165+'8. Satunnaiset erät'!M165+'9. Tulorahkorjauserät'!M165</f>
        <v>-452.78785545499409</v>
      </c>
      <c r="N165" s="41">
        <f>Vuosikate!N165+'7. Nettoinvestoinnit '!N165+'8. Satunnaiset erät'!N165+'9. Tulorahkorjauserät'!N165</f>
        <v>-685.17866407378051</v>
      </c>
      <c r="O165" s="41">
        <f>Vuosikate!O165+'7. Nettoinvestoinnit '!O165+'8. Satunnaiset erät'!O165+'9. Tulorahkorjauserät'!O165</f>
        <v>-925.39586751415698</v>
      </c>
      <c r="P165" s="41">
        <f>Vuosikate!P165+'7. Nettoinvestoinnit '!P165+'8. Satunnaiset erät'!P165+'9. Tulorahkorjauserät'!P165</f>
        <v>-916.63549748410719</v>
      </c>
      <c r="T165" s="34">
        <v>498</v>
      </c>
      <c r="U165" s="88" t="s">
        <v>479</v>
      </c>
      <c r="V165" s="41" t="e">
        <f>C165/'1. Väestöennuste'!E165*1000</f>
        <v>#REF!</v>
      </c>
      <c r="W165" s="41">
        <f>D165/'1. Väestöennuste'!F165*1000</f>
        <v>-253.19148936170211</v>
      </c>
      <c r="X165" s="41">
        <f>E165/'1. Väestöennuste'!G165*1000</f>
        <v>394.93996569468266</v>
      </c>
      <c r="Y165" s="41">
        <f>F165/'1. Väestöennuste'!H165*1000</f>
        <v>37.407568508046978</v>
      </c>
      <c r="Z165" s="41">
        <f>G165/'1. Väestöennuste'!I165*1000</f>
        <v>-122.61698440207972</v>
      </c>
      <c r="AA165" s="41">
        <f>H165/'1. Väestöennuste'!J165*1000</f>
        <v>714.47296903093059</v>
      </c>
      <c r="AB165" s="41">
        <f>I165/'1. Väestöennuste'!K165*1000</f>
        <v>-190.12572292548276</v>
      </c>
      <c r="AC165" s="41">
        <f>J165/'1. Väestöennuste'!L165*1000</f>
        <v>647.23584813199807</v>
      </c>
      <c r="AD165" s="41">
        <f>K165/'1. Väestöennuste'!M165*1000</f>
        <v>574.96984894683112</v>
      </c>
      <c r="AE165" s="41">
        <f>L165/'1. Väestöennuste'!N165*1000</f>
        <v>-178.00717764908111</v>
      </c>
      <c r="AF165" s="41">
        <f>M165/'1. Väestöennuste'!O165*1000</f>
        <v>-201.68724073719113</v>
      </c>
      <c r="AG165" s="41">
        <f>N165/'1. Väestöennuste'!P165*1000</f>
        <v>-306.43052954999126</v>
      </c>
      <c r="AH165" s="41">
        <f>O165/'1. Väestöennuste'!Q165*1000</f>
        <v>-415.53474068888954</v>
      </c>
      <c r="AI165" s="41">
        <f>P165/'1. Väestöennuste'!R165*1000</f>
        <v>-413.4575992260294</v>
      </c>
    </row>
    <row r="166" spans="1:35" x14ac:dyDescent="0.2">
      <c r="A166" s="34">
        <v>499</v>
      </c>
      <c r="B166" s="88" t="s">
        <v>480</v>
      </c>
      <c r="C166" s="41" t="e">
        <f>Vuosikate!C166+'7. Nettoinvestoinnit '!C166+'8. Satunnaiset erät'!C166+'9. Tulorahkorjauserät'!C166</f>
        <v>#REF!</v>
      </c>
      <c r="D166" s="41">
        <f>Vuosikate!D166+'7. Nettoinvestoinnit '!D166+'8. Satunnaiset erät'!D166+'9. Tulorahkorjauserät'!D166</f>
        <v>357</v>
      </c>
      <c r="E166" s="41">
        <f>Vuosikate!E166+'7. Nettoinvestoinnit '!E166+'8. Satunnaiset erät'!E166+'9. Tulorahkorjauserät'!E166</f>
        <v>-1123</v>
      </c>
      <c r="F166" s="41">
        <f>Vuosikate!F166+'7. Nettoinvestoinnit '!F166+'8. Satunnaiset erät'!F166+'9. Tulorahkorjauserät'!F166</f>
        <v>-17133</v>
      </c>
      <c r="G166" s="41">
        <f>Vuosikate!G166+'7. Nettoinvestoinnit '!G166+'8. Satunnaiset erät'!G166+'9. Tulorahkorjauserät'!G166</f>
        <v>-15282</v>
      </c>
      <c r="H166" s="41">
        <f>Vuosikate!H166+'7. Nettoinvestoinnit '!H166+'8. Satunnaiset erät'!H166+'9. Tulorahkorjauserät'!H166</f>
        <v>5142.4701125038991</v>
      </c>
      <c r="I166" s="41">
        <f>Vuosikate!I166+'7. Nettoinvestoinnit '!I166+'8. Satunnaiset erät'!I166+'9. Tulorahkorjauserät'!I166</f>
        <v>1466.9576879658093</v>
      </c>
      <c r="J166" s="41">
        <f>Vuosikate!J166+'7. Nettoinvestoinnit '!J166+'8. Satunnaiset erät'!J166+'9. Tulorahkorjauserät'!J166</f>
        <v>-3147.8379773954184</v>
      </c>
      <c r="K166" s="41">
        <f>Vuosikate!K166+'7. Nettoinvestoinnit '!K166+'8. Satunnaiset erät'!K166+'9. Tulorahkorjauserät'!K166</f>
        <v>-4279.3544140814965</v>
      </c>
      <c r="L166" s="41">
        <f>Vuosikate!L166+'7. Nettoinvestoinnit '!L166+'8. Satunnaiset erät'!L166+'9. Tulorahkorjauserät'!L166</f>
        <v>-7074.5470218979772</v>
      </c>
      <c r="M166" s="41">
        <f>Vuosikate!M166+'7. Nettoinvestoinnit '!M166+'8. Satunnaiset erät'!M166+'9. Tulorahkorjauserät'!M166</f>
        <v>-11236.156101082963</v>
      </c>
      <c r="N166" s="41">
        <f>Vuosikate!N166+'7. Nettoinvestoinnit '!N166+'8. Satunnaiset erät'!N166+'9. Tulorahkorjauserät'!N166</f>
        <v>-10740.995010574878</v>
      </c>
      <c r="O166" s="41">
        <f>Vuosikate!O166+'7. Nettoinvestoinnit '!O166+'8. Satunnaiset erät'!O166+'9. Tulorahkorjauserät'!O166</f>
        <v>-10796.4092543884</v>
      </c>
      <c r="P166" s="41">
        <f>Vuosikate!P166+'7. Nettoinvestoinnit '!P166+'8. Satunnaiset erät'!P166+'9. Tulorahkorjauserät'!P166</f>
        <v>-10111.045638246727</v>
      </c>
      <c r="T166" s="34">
        <v>499</v>
      </c>
      <c r="U166" s="88" t="s">
        <v>480</v>
      </c>
      <c r="V166" s="41" t="e">
        <f>C166/'1. Väestöennuste'!E166*1000</f>
        <v>#REF!</v>
      </c>
      <c r="W166" s="41">
        <f>D166/'1. Väestöennuste'!F166*1000</f>
        <v>18.421052631578945</v>
      </c>
      <c r="X166" s="41">
        <f>E166/'1. Väestöennuste'!G166*1000</f>
        <v>-57.934378869170452</v>
      </c>
      <c r="Y166" s="41">
        <f>F166/'1. Väestöennuste'!H166*1000</f>
        <v>-881.14585476239461</v>
      </c>
      <c r="Z166" s="41">
        <f>G166/'1. Väestöennuste'!I166*1000</f>
        <v>-785.78774167009453</v>
      </c>
      <c r="AA166" s="41">
        <f>H166/'1. Väestöennuste'!J166*1000</f>
        <v>264.35357592679276</v>
      </c>
      <c r="AB166" s="41">
        <f>I166/'1. Väestöennuste'!K166*1000</f>
        <v>75.089971742721616</v>
      </c>
      <c r="AC166" s="41">
        <f>J166/'1. Väestöennuste'!L166*1000</f>
        <v>-160.09754742118901</v>
      </c>
      <c r="AD166" s="41">
        <f>K166/'1. Väestöennuste'!M166*1000</f>
        <v>-216.53364439009749</v>
      </c>
      <c r="AE166" s="41">
        <f>L166/'1. Väestöennuste'!N166*1000</f>
        <v>-362.36987255534382</v>
      </c>
      <c r="AF166" s="41">
        <f>M166/'1. Väestöennuste'!O166*1000</f>
        <v>-575.62275108006975</v>
      </c>
      <c r="AG166" s="41">
        <f>N166/'1. Väestöennuste'!P166*1000</f>
        <v>-550.48149910695349</v>
      </c>
      <c r="AH166" s="41">
        <f>O166/'1. Väestöennuste'!Q166*1000</f>
        <v>-553.690407425427</v>
      </c>
      <c r="AI166" s="41">
        <f>P166/'1. Väestöennuste'!R166*1000</f>
        <v>-518.99423253499265</v>
      </c>
    </row>
    <row r="167" spans="1:35" x14ac:dyDescent="0.2">
      <c r="A167" s="34">
        <v>500</v>
      </c>
      <c r="B167" s="88" t="s">
        <v>481</v>
      </c>
      <c r="C167" s="41" t="e">
        <f>Vuosikate!C167+'7. Nettoinvestoinnit '!C167+'8. Satunnaiset erät'!C167+'9. Tulorahkorjauserät'!C167</f>
        <v>#REF!</v>
      </c>
      <c r="D167" s="41">
        <f>Vuosikate!D167+'7. Nettoinvestoinnit '!D167+'8. Satunnaiset erät'!D167+'9. Tulorahkorjauserät'!D167</f>
        <v>123</v>
      </c>
      <c r="E167" s="41">
        <f>Vuosikate!E167+'7. Nettoinvestoinnit '!E167+'8. Satunnaiset erät'!E167+'9. Tulorahkorjauserät'!E167</f>
        <v>1135</v>
      </c>
      <c r="F167" s="41">
        <f>Vuosikate!F167+'7. Nettoinvestoinnit '!F167+'8. Satunnaiset erät'!F167+'9. Tulorahkorjauserät'!F167</f>
        <v>2056</v>
      </c>
      <c r="G167" s="41">
        <f>Vuosikate!G167+'7. Nettoinvestoinnit '!G167+'8. Satunnaiset erät'!G167+'9. Tulorahkorjauserät'!G167</f>
        <v>-1811</v>
      </c>
      <c r="H167" s="41">
        <f>Vuosikate!H167+'7. Nettoinvestoinnit '!H167+'8. Satunnaiset erät'!H167+'9. Tulorahkorjauserät'!H167</f>
        <v>4935.9738849026253</v>
      </c>
      <c r="I167" s="41">
        <f>Vuosikate!I167+'7. Nettoinvestoinnit '!I167+'8. Satunnaiset erät'!I167+'9. Tulorahkorjauserät'!I167</f>
        <v>3027.1955532444708</v>
      </c>
      <c r="J167" s="41">
        <f>Vuosikate!J167+'7. Nettoinvestoinnit '!J167+'8. Satunnaiset erät'!J167+'9. Tulorahkorjauserät'!J167</f>
        <v>-2429.7931102298498</v>
      </c>
      <c r="K167" s="41">
        <f>Vuosikate!K167+'7. Nettoinvestoinnit '!K167+'8. Satunnaiset erät'!K167+'9. Tulorahkorjauserät'!K167</f>
        <v>-9872.1249953312836</v>
      </c>
      <c r="L167" s="41">
        <f>Vuosikate!L167+'7. Nettoinvestoinnit '!L167+'8. Satunnaiset erät'!L167+'9. Tulorahkorjauserät'!L167</f>
        <v>-1510.6617081675231</v>
      </c>
      <c r="M167" s="41">
        <f>Vuosikate!M167+'7. Nettoinvestoinnit '!M167+'8. Satunnaiset erät'!M167+'9. Tulorahkorjauserät'!M167</f>
        <v>-5832.2244514481772</v>
      </c>
      <c r="N167" s="41">
        <f>Vuosikate!N167+'7. Nettoinvestoinnit '!N167+'8. Satunnaiset erät'!N167+'9. Tulorahkorjauserät'!N167</f>
        <v>-6445.0097432193415</v>
      </c>
      <c r="O167" s="41">
        <f>Vuosikate!O167+'7. Nettoinvestoinnit '!O167+'8. Satunnaiset erät'!O167+'9. Tulorahkorjauserät'!O167</f>
        <v>-6952.6334086231873</v>
      </c>
      <c r="P167" s="41">
        <f>Vuosikate!P167+'7. Nettoinvestoinnit '!P167+'8. Satunnaiset erät'!P167+'9. Tulorahkorjauserät'!P167</f>
        <v>-6923.8142367634737</v>
      </c>
      <c r="T167" s="34">
        <v>500</v>
      </c>
      <c r="U167" s="88" t="s">
        <v>481</v>
      </c>
      <c r="V167" s="41" t="e">
        <f>C167/'1. Väestöennuste'!E167*1000</f>
        <v>#REF!</v>
      </c>
      <c r="W167" s="41">
        <f>D167/'1. Väestöennuste'!F167*1000</f>
        <v>12.373000704154512</v>
      </c>
      <c r="X167" s="41">
        <f>E167/'1. Väestöennuste'!G167*1000</f>
        <v>112.40962662176884</v>
      </c>
      <c r="Y167" s="41">
        <f>F167/'1. Väestöennuste'!H167*1000</f>
        <v>202.1632251720747</v>
      </c>
      <c r="Z167" s="41">
        <f>G167/'1. Väestöennuste'!I167*1000</f>
        <v>-178.17788272333726</v>
      </c>
      <c r="AA167" s="41">
        <f>H167/'1. Väestöennuste'!J167*1000</f>
        <v>480.7610679753214</v>
      </c>
      <c r="AB167" s="41">
        <f>I167/'1. Väestöennuste'!K167*1000</f>
        <v>290.35061895688386</v>
      </c>
      <c r="AC167" s="41">
        <f>J167/'1. Väestöennuste'!L167*1000</f>
        <v>-231.71782474059222</v>
      </c>
      <c r="AD167" s="41">
        <f>K167/'1. Väestöennuste'!M167*1000</f>
        <v>-935.65775711603487</v>
      </c>
      <c r="AE167" s="41">
        <f>L167/'1. Väestöennuste'!N167*1000</f>
        <v>-142.12641905800385</v>
      </c>
      <c r="AF167" s="41">
        <f>M167/'1. Väestöennuste'!O167*1000</f>
        <v>-545.06770574282029</v>
      </c>
      <c r="AG167" s="41">
        <f>N167/'1. Väestöennuste'!P167*1000</f>
        <v>-598.81164575112348</v>
      </c>
      <c r="AH167" s="41">
        <f>O167/'1. Väestöennuste'!Q167*1000</f>
        <v>-642.63179671163573</v>
      </c>
      <c r="AI167" s="41">
        <f>P167/'1. Väestöennuste'!R167*1000</f>
        <v>-637.02403503206131</v>
      </c>
    </row>
    <row r="168" spans="1:35" x14ac:dyDescent="0.2">
      <c r="A168" s="34">
        <v>503</v>
      </c>
      <c r="B168" s="88" t="s">
        <v>482</v>
      </c>
      <c r="C168" s="41" t="e">
        <f>Vuosikate!C168+'7. Nettoinvestoinnit '!C168+'8. Satunnaiset erät'!C168+'9. Tulorahkorjauserät'!C168</f>
        <v>#REF!</v>
      </c>
      <c r="D168" s="41">
        <f>Vuosikate!D168+'7. Nettoinvestoinnit '!D168+'8. Satunnaiset erät'!D168+'9. Tulorahkorjauserät'!D168</f>
        <v>648</v>
      </c>
      <c r="E168" s="41">
        <f>Vuosikate!E168+'7. Nettoinvestoinnit '!E168+'8. Satunnaiset erät'!E168+'9. Tulorahkorjauserät'!E168</f>
        <v>7078</v>
      </c>
      <c r="F168" s="41">
        <f>Vuosikate!F168+'7. Nettoinvestoinnit '!F168+'8. Satunnaiset erät'!F168+'9. Tulorahkorjauserät'!F168</f>
        <v>-4200</v>
      </c>
      <c r="G168" s="41">
        <f>Vuosikate!G168+'7. Nettoinvestoinnit '!G168+'8. Satunnaiset erät'!G168+'9. Tulorahkorjauserät'!G168</f>
        <v>-11583</v>
      </c>
      <c r="H168" s="41">
        <f>Vuosikate!H168+'7. Nettoinvestoinnit '!H168+'8. Satunnaiset erät'!H168+'9. Tulorahkorjauserät'!H168</f>
        <v>-3671.5105466653004</v>
      </c>
      <c r="I168" s="41">
        <f>Vuosikate!I168+'7. Nettoinvestoinnit '!I168+'8. Satunnaiset erät'!I168+'9. Tulorahkorjauserät'!I168</f>
        <v>-5176.009197975236</v>
      </c>
      <c r="J168" s="41">
        <f>Vuosikate!J168+'7. Nettoinvestoinnit '!J168+'8. Satunnaiset erät'!J168+'9. Tulorahkorjauserät'!J168</f>
        <v>-2997.2784223038552</v>
      </c>
      <c r="K168" s="41">
        <f>Vuosikate!K168+'7. Nettoinvestoinnit '!K168+'8. Satunnaiset erät'!K168+'9. Tulorahkorjauserät'!K168</f>
        <v>-1292.2147049819303</v>
      </c>
      <c r="L168" s="41">
        <f>Vuosikate!L168+'7. Nettoinvestoinnit '!L168+'8. Satunnaiset erät'!L168+'9. Tulorahkorjauserät'!L168</f>
        <v>-3673.0045358890429</v>
      </c>
      <c r="M168" s="41">
        <f>Vuosikate!M168+'7. Nettoinvestoinnit '!M168+'8. Satunnaiset erät'!M168+'9. Tulorahkorjauserät'!M168</f>
        <v>-3657.243585017236</v>
      </c>
      <c r="N168" s="41">
        <f>Vuosikate!N168+'7. Nettoinvestoinnit '!N168+'8. Satunnaiset erät'!N168+'9. Tulorahkorjauserät'!N168</f>
        <v>-3818.0908228708231</v>
      </c>
      <c r="O168" s="41">
        <f>Vuosikate!O168+'7. Nettoinvestoinnit '!O168+'8. Satunnaiset erät'!O168+'9. Tulorahkorjauserät'!O168</f>
        <v>-4014.6150226570817</v>
      </c>
      <c r="P168" s="41">
        <f>Vuosikate!P168+'7. Nettoinvestoinnit '!P168+'8. Satunnaiset erät'!P168+'9. Tulorahkorjauserät'!P168</f>
        <v>-3462.3693290091378</v>
      </c>
      <c r="T168" s="34">
        <v>503</v>
      </c>
      <c r="U168" s="88" t="s">
        <v>482</v>
      </c>
      <c r="V168" s="41" t="e">
        <f>C168/'1. Väestöennuste'!E168*1000</f>
        <v>#REF!</v>
      </c>
      <c r="W168" s="41">
        <f>D168/'1. Väestöennuste'!F168*1000</f>
        <v>82.631981637337418</v>
      </c>
      <c r="X168" s="41">
        <f>E168/'1. Väestöennuste'!G168*1000</f>
        <v>903.03648890022964</v>
      </c>
      <c r="Y168" s="41">
        <f>F168/'1. Väestöennuste'!H168*1000</f>
        <v>-540.81895441668814</v>
      </c>
      <c r="Z168" s="41">
        <f>G168/'1. Väestöennuste'!I168*1000</f>
        <v>-1513.32636529919</v>
      </c>
      <c r="AA168" s="41">
        <f>H168/'1. Väestöennuste'!J168*1000</f>
        <v>-480.24990800069332</v>
      </c>
      <c r="AB168" s="41">
        <f>I168/'1. Väestöennuste'!K168*1000</f>
        <v>-681.59194073943058</v>
      </c>
      <c r="AC168" s="41">
        <f>J168/'1. Väestöennuste'!L168*1000</f>
        <v>-397.56976022069972</v>
      </c>
      <c r="AD168" s="41">
        <f>K168/'1. Väestöennuste'!M168*1000</f>
        <v>-171.95139121516038</v>
      </c>
      <c r="AE168" s="41">
        <f>L168/'1. Väestöennuste'!N168*1000</f>
        <v>-492.29386622289809</v>
      </c>
      <c r="AF168" s="41">
        <f>M168/'1. Väestöennuste'!O168*1000</f>
        <v>-492.75715238712422</v>
      </c>
      <c r="AG168" s="41">
        <f>N168/'1. Väestöennuste'!P168*1000</f>
        <v>-517.00620485725437</v>
      </c>
      <c r="AH168" s="41">
        <f>O168/'1. Väestöennuste'!Q168*1000</f>
        <v>-546.13182188233998</v>
      </c>
      <c r="AI168" s="41">
        <f>P168/'1. Väestöennuste'!R168*1000</f>
        <v>-473.25988641458969</v>
      </c>
    </row>
    <row r="169" spans="1:35" x14ac:dyDescent="0.2">
      <c r="A169" s="34">
        <v>504</v>
      </c>
      <c r="B169" s="88" t="s">
        <v>483</v>
      </c>
      <c r="C169" s="41" t="e">
        <f>Vuosikate!C169+'7. Nettoinvestoinnit '!C169+'8. Satunnaiset erät'!C169+'9. Tulorahkorjauserät'!C169</f>
        <v>#REF!</v>
      </c>
      <c r="D169" s="41">
        <f>Vuosikate!D169+'7. Nettoinvestoinnit '!D169+'8. Satunnaiset erät'!D169+'9. Tulorahkorjauserät'!D169</f>
        <v>201</v>
      </c>
      <c r="E169" s="41">
        <f>Vuosikate!E169+'7. Nettoinvestoinnit '!E169+'8. Satunnaiset erät'!E169+'9. Tulorahkorjauserät'!E169</f>
        <v>82</v>
      </c>
      <c r="F169" s="41">
        <f>Vuosikate!F169+'7. Nettoinvestoinnit '!F169+'8. Satunnaiset erät'!F169+'9. Tulorahkorjauserät'!F169</f>
        <v>758</v>
      </c>
      <c r="G169" s="41">
        <f>Vuosikate!G169+'7. Nettoinvestoinnit '!G169+'8. Satunnaiset erät'!G169+'9. Tulorahkorjauserät'!G169</f>
        <v>296</v>
      </c>
      <c r="H169" s="41">
        <f>Vuosikate!H169+'7. Nettoinvestoinnit '!H169+'8. Satunnaiset erät'!H169+'9. Tulorahkorjauserät'!H169</f>
        <v>-4480.7711008775705</v>
      </c>
      <c r="I169" s="41">
        <f>Vuosikate!I169+'7. Nettoinvestoinnit '!I169+'8. Satunnaiset erät'!I169+'9. Tulorahkorjauserät'!I169</f>
        <v>-2300.7136800751441</v>
      </c>
      <c r="J169" s="41">
        <f>Vuosikate!J169+'7. Nettoinvestoinnit '!J169+'8. Satunnaiset erät'!J169+'9. Tulorahkorjauserät'!J169</f>
        <v>-2066.1032872209871</v>
      </c>
      <c r="K169" s="41">
        <f>Vuosikate!K169+'7. Nettoinvestoinnit '!K169+'8. Satunnaiset erät'!K169+'9. Tulorahkorjauserät'!K169</f>
        <v>-3015.1474781327811</v>
      </c>
      <c r="L169" s="41">
        <f>Vuosikate!L169+'7. Nettoinvestoinnit '!L169+'8. Satunnaiset erät'!L169+'9. Tulorahkorjauserät'!L169</f>
        <v>-1252.6023927607882</v>
      </c>
      <c r="M169" s="41">
        <f>Vuosikate!M169+'7. Nettoinvestoinnit '!M169+'8. Satunnaiset erät'!M169+'9. Tulorahkorjauserät'!M169</f>
        <v>-2682.6329310094084</v>
      </c>
      <c r="N169" s="41">
        <f>Vuosikate!N169+'7. Nettoinvestoinnit '!N169+'8. Satunnaiset erät'!N169+'9. Tulorahkorjauserät'!N169</f>
        <v>-2791.3718192236829</v>
      </c>
      <c r="O169" s="41">
        <f>Vuosikate!O169+'7. Nettoinvestoinnit '!O169+'8. Satunnaiset erät'!O169+'9. Tulorahkorjauserät'!O169</f>
        <v>-2975.3997576164502</v>
      </c>
      <c r="P169" s="41">
        <f>Vuosikate!P169+'7. Nettoinvestoinnit '!P169+'8. Satunnaiset erät'!P169+'9. Tulorahkorjauserät'!P169</f>
        <v>-2915.1512308911347</v>
      </c>
      <c r="T169" s="34">
        <v>504</v>
      </c>
      <c r="U169" s="88" t="s">
        <v>483</v>
      </c>
      <c r="V169" s="41" t="e">
        <f>C169/'1. Väestöennuste'!E169*1000</f>
        <v>#REF!</v>
      </c>
      <c r="W169" s="41">
        <f>D169/'1. Väestöennuste'!F169*1000</f>
        <v>101.20845921450152</v>
      </c>
      <c r="X169" s="41">
        <f>E169/'1. Väestöennuste'!G169*1000</f>
        <v>41.645505332656171</v>
      </c>
      <c r="Y169" s="41">
        <f>F169/'1. Väestöennuste'!H169*1000</f>
        <v>394.38085327783557</v>
      </c>
      <c r="Z169" s="41">
        <f>G169/'1. Väestöennuste'!I169*1000</f>
        <v>157.27948990435706</v>
      </c>
      <c r="AA169" s="41">
        <f>H169/'1. Väestöennuste'!J169*1000</f>
        <v>-2394.853608165457</v>
      </c>
      <c r="AB169" s="41">
        <f>I169/'1. Väestöennuste'!K169*1000</f>
        <v>-1266.9128194246389</v>
      </c>
      <c r="AC169" s="41">
        <f>J169/'1. Väestöennuste'!L169*1000</f>
        <v>-1171.2603669053215</v>
      </c>
      <c r="AD169" s="41">
        <f>K169/'1. Väestöennuste'!M169*1000</f>
        <v>-1758.1034857917091</v>
      </c>
      <c r="AE169" s="41">
        <f>L169/'1. Väestöennuste'!N169*1000</f>
        <v>-699.77787305071968</v>
      </c>
      <c r="AF169" s="41">
        <f>M169/'1. Väestöennuste'!O169*1000</f>
        <v>-1513.047338414782</v>
      </c>
      <c r="AG169" s="41">
        <f>N169/'1. Väestöennuste'!P169*1000</f>
        <v>-1589.6194870294323</v>
      </c>
      <c r="AH169" s="41">
        <f>O169/'1. Väestöennuste'!Q169*1000</f>
        <v>-1705.1001476312035</v>
      </c>
      <c r="AI169" s="41">
        <f>P169/'1. Väestöennuste'!R169*1000</f>
        <v>-1681.1714134320268</v>
      </c>
    </row>
    <row r="170" spans="1:35" x14ac:dyDescent="0.2">
      <c r="A170" s="34">
        <v>505</v>
      </c>
      <c r="B170" s="88" t="s">
        <v>484</v>
      </c>
      <c r="C170" s="41" t="e">
        <f>Vuosikate!C170+'7. Nettoinvestoinnit '!C170+'8. Satunnaiset erät'!C170+'9. Tulorahkorjauserät'!C170</f>
        <v>#REF!</v>
      </c>
      <c r="D170" s="41">
        <f>Vuosikate!D170+'7. Nettoinvestoinnit '!D170+'8. Satunnaiset erät'!D170+'9. Tulorahkorjauserät'!D170</f>
        <v>-783</v>
      </c>
      <c r="E170" s="41">
        <f>Vuosikate!E170+'7. Nettoinvestoinnit '!E170+'8. Satunnaiset erät'!E170+'9. Tulorahkorjauserät'!E170</f>
        <v>-6480</v>
      </c>
      <c r="F170" s="41">
        <f>Vuosikate!F170+'7. Nettoinvestoinnit '!F170+'8. Satunnaiset erät'!F170+'9. Tulorahkorjauserät'!F170</f>
        <v>-14406</v>
      </c>
      <c r="G170" s="41">
        <f>Vuosikate!G170+'7. Nettoinvestoinnit '!G170+'8. Satunnaiset erät'!G170+'9. Tulorahkorjauserät'!G170</f>
        <v>-10205</v>
      </c>
      <c r="H170" s="41">
        <f>Vuosikate!H170+'7. Nettoinvestoinnit '!H170+'8. Satunnaiset erät'!H170+'9. Tulorahkorjauserät'!H170</f>
        <v>10548.958443381242</v>
      </c>
      <c r="I170" s="41">
        <f>Vuosikate!I170+'7. Nettoinvestoinnit '!I170+'8. Satunnaiset erät'!I170+'9. Tulorahkorjauserät'!I170</f>
        <v>9114.4490119736947</v>
      </c>
      <c r="J170" s="41">
        <f>Vuosikate!J170+'7. Nettoinvestoinnit '!J170+'8. Satunnaiset erät'!J170+'9. Tulorahkorjauserät'!J170</f>
        <v>-235.53351681056029</v>
      </c>
      <c r="K170" s="41">
        <f>Vuosikate!K170+'7. Nettoinvestoinnit '!K170+'8. Satunnaiset erät'!K170+'9. Tulorahkorjauserät'!K170</f>
        <v>4096.7473795837395</v>
      </c>
      <c r="L170" s="41">
        <f>Vuosikate!L170+'7. Nettoinvestoinnit '!L170+'8. Satunnaiset erät'!L170+'9. Tulorahkorjauserät'!L170</f>
        <v>2897.4723748319575</v>
      </c>
      <c r="M170" s="41">
        <f>Vuosikate!M170+'7. Nettoinvestoinnit '!M170+'8. Satunnaiset erät'!M170+'9. Tulorahkorjauserät'!M170</f>
        <v>1298.1209924494087</v>
      </c>
      <c r="N170" s="41">
        <f>Vuosikate!N170+'7. Nettoinvestoinnit '!N170+'8. Satunnaiset erät'!N170+'9. Tulorahkorjauserät'!N170</f>
        <v>404.94397510421368</v>
      </c>
      <c r="O170" s="41">
        <f>Vuosikate!O170+'7. Nettoinvestoinnit '!O170+'8. Satunnaiset erät'!O170+'9. Tulorahkorjauserät'!O170</f>
        <v>530.37824232910316</v>
      </c>
      <c r="P170" s="41">
        <f>Vuosikate!P170+'7. Nettoinvestoinnit '!P170+'8. Satunnaiset erät'!P170+'9. Tulorahkorjauserät'!P170</f>
        <v>1535.870253807052</v>
      </c>
      <c r="T170" s="34">
        <v>505</v>
      </c>
      <c r="U170" s="88" t="s">
        <v>484</v>
      </c>
      <c r="V170" s="41" t="e">
        <f>C170/'1. Väestöennuste'!E170*1000</f>
        <v>#REF!</v>
      </c>
      <c r="W170" s="41">
        <f>D170/'1. Väestöennuste'!F170*1000</f>
        <v>-37.548554164868364</v>
      </c>
      <c r="X170" s="41">
        <f>E170/'1. Väestöennuste'!G170*1000</f>
        <v>-311.49353458635778</v>
      </c>
      <c r="Y170" s="41">
        <f>F170/'1. Väestöennuste'!H170*1000</f>
        <v>-696.41303296915794</v>
      </c>
      <c r="Z170" s="41">
        <f>G170/'1. Väestöennuste'!I170*1000</f>
        <v>-492.49553592973308</v>
      </c>
      <c r="AA170" s="41">
        <f>H170/'1. Väestöennuste'!J170*1000</f>
        <v>507.57630964640532</v>
      </c>
      <c r="AB170" s="41">
        <f>I170/'1. Väestöennuste'!K170*1000</f>
        <v>437.41656725889976</v>
      </c>
      <c r="AC170" s="41">
        <f>J170/'1. Väestöennuste'!L170*1000</f>
        <v>-11.263079419020672</v>
      </c>
      <c r="AD170" s="41">
        <f>K170/'1. Väestöennuste'!M170*1000</f>
        <v>195.48348425746718</v>
      </c>
      <c r="AE170" s="41">
        <f>L170/'1. Väestöennuste'!N170*1000</f>
        <v>138.70140616715929</v>
      </c>
      <c r="AF170" s="41">
        <f>M170/'1. Väestöennuste'!O170*1000</f>
        <v>62.030916636374478</v>
      </c>
      <c r="AG170" s="41">
        <f>N170/'1. Väestöennuste'!P170*1000</f>
        <v>19.310633052179956</v>
      </c>
      <c r="AH170" s="41">
        <f>O170/'1. Väestöennuste'!Q170*1000</f>
        <v>25.242884314364055</v>
      </c>
      <c r="AI170" s="41">
        <f>P170/'1. Väestöennuste'!R170*1000</f>
        <v>72.969890431729951</v>
      </c>
    </row>
    <row r="171" spans="1:35" x14ac:dyDescent="0.2">
      <c r="A171" s="34">
        <v>507</v>
      </c>
      <c r="B171" s="88" t="s">
        <v>485</v>
      </c>
      <c r="C171" s="41" t="e">
        <f>Vuosikate!C171+'7. Nettoinvestoinnit '!C171+'8. Satunnaiset erät'!C171+'9. Tulorahkorjauserät'!C171</f>
        <v>#REF!</v>
      </c>
      <c r="D171" s="41">
        <f>Vuosikate!D171+'7. Nettoinvestoinnit '!D171+'8. Satunnaiset erät'!D171+'9. Tulorahkorjauserät'!D171</f>
        <v>-1365</v>
      </c>
      <c r="E171" s="41">
        <f>Vuosikate!E171+'7. Nettoinvestoinnit '!E171+'8. Satunnaiset erät'!E171+'9. Tulorahkorjauserät'!E171</f>
        <v>2575</v>
      </c>
      <c r="F171" s="41">
        <f>Vuosikate!F171+'7. Nettoinvestoinnit '!F171+'8. Satunnaiset erät'!F171+'9. Tulorahkorjauserät'!F171</f>
        <v>350</v>
      </c>
      <c r="G171" s="41">
        <f>Vuosikate!G171+'7. Nettoinvestoinnit '!G171+'8. Satunnaiset erät'!G171+'9. Tulorahkorjauserät'!G171</f>
        <v>-4476</v>
      </c>
      <c r="H171" s="41">
        <f>Vuosikate!H171+'7. Nettoinvestoinnit '!H171+'8. Satunnaiset erät'!H171+'9. Tulorahkorjauserät'!H171</f>
        <v>-1703.718688258934</v>
      </c>
      <c r="I171" s="41">
        <f>Vuosikate!I171+'7. Nettoinvestoinnit '!I171+'8. Satunnaiset erät'!I171+'9. Tulorahkorjauserät'!I171</f>
        <v>-849.25509196040616</v>
      </c>
      <c r="J171" s="41">
        <f>Vuosikate!J171+'7. Nettoinvestoinnit '!J171+'8. Satunnaiset erät'!J171+'9. Tulorahkorjauserät'!J171</f>
        <v>2104.025057562756</v>
      </c>
      <c r="K171" s="41">
        <f>Vuosikate!K171+'7. Nettoinvestoinnit '!K171+'8. Satunnaiset erät'!K171+'9. Tulorahkorjauserät'!K171</f>
        <v>1810.0870770056963</v>
      </c>
      <c r="L171" s="41">
        <f>Vuosikate!L171+'7. Nettoinvestoinnit '!L171+'8. Satunnaiset erät'!L171+'9. Tulorahkorjauserät'!L171</f>
        <v>-1153.4212124677952</v>
      </c>
      <c r="M171" s="41">
        <f>Vuosikate!M171+'7. Nettoinvestoinnit '!M171+'8. Satunnaiset erät'!M171+'9. Tulorahkorjauserät'!M171</f>
        <v>-1816.9918856894024</v>
      </c>
      <c r="N171" s="41">
        <f>Vuosikate!N171+'7. Nettoinvestoinnit '!N171+'8. Satunnaiset erät'!N171+'9. Tulorahkorjauserät'!N171</f>
        <v>-2612.7349068015196</v>
      </c>
      <c r="O171" s="41">
        <f>Vuosikate!O171+'7. Nettoinvestoinnit '!O171+'8. Satunnaiset erät'!O171+'9. Tulorahkorjauserät'!O171</f>
        <v>-3520.3488983673719</v>
      </c>
      <c r="P171" s="41">
        <f>Vuosikate!P171+'7. Nettoinvestoinnit '!P171+'8. Satunnaiset erät'!P171+'9. Tulorahkorjauserät'!P171</f>
        <v>-2487.8156278859469</v>
      </c>
      <c r="T171" s="34">
        <v>507</v>
      </c>
      <c r="U171" s="88" t="s">
        <v>485</v>
      </c>
      <c r="V171" s="41" t="e">
        <f>C171/'1. Väestöennuste'!E171*1000</f>
        <v>#REF!</v>
      </c>
      <c r="W171" s="41">
        <f>D171/'1. Väestöennuste'!F171*1000</f>
        <v>-223.88059701492537</v>
      </c>
      <c r="X171" s="41">
        <f>E171/'1. Väestöennuste'!G171*1000</f>
        <v>425.33861909481334</v>
      </c>
      <c r="Y171" s="41">
        <f>F171/'1. Väestöennuste'!H171*1000</f>
        <v>59.081701553004727</v>
      </c>
      <c r="Z171" s="41">
        <f>G171/'1. Väestöennuste'!I171*1000</f>
        <v>-772.92350198584018</v>
      </c>
      <c r="AA171" s="41">
        <f>H171/'1. Väestöennuste'!J171*1000</f>
        <v>-300.16185487296229</v>
      </c>
      <c r="AB171" s="41">
        <f>I171/'1. Väestöennuste'!K171*1000</f>
        <v>-150.71075278800464</v>
      </c>
      <c r="AC171" s="41">
        <f>J171/'1. Väestöennuste'!L171*1000</f>
        <v>378.14972278266646</v>
      </c>
      <c r="AD171" s="41">
        <f>K171/'1. Väestöennuste'!M171*1000</f>
        <v>327.79555903761252</v>
      </c>
      <c r="AE171" s="41">
        <f>L171/'1. Väestöennuste'!N171*1000</f>
        <v>-214.3905599382519</v>
      </c>
      <c r="AF171" s="41">
        <f>M171/'1. Väestöennuste'!O171*1000</f>
        <v>-265.68093079242618</v>
      </c>
      <c r="AG171" s="41">
        <f>N171/'1. Väestöennuste'!P171*1000</f>
        <v>-386.55642947204018</v>
      </c>
      <c r="AH171" s="41">
        <f>O171/'1. Väestöennuste'!Q171*1000</f>
        <v>-526.68295906154572</v>
      </c>
      <c r="AI171" s="41">
        <f>P171/'1. Väestöennuste'!R171*1000</f>
        <v>-376.14388084154024</v>
      </c>
    </row>
    <row r="172" spans="1:35" x14ac:dyDescent="0.2">
      <c r="A172" s="34">
        <v>508</v>
      </c>
      <c r="B172" s="88" t="s">
        <v>486</v>
      </c>
      <c r="C172" s="41" t="e">
        <f>Vuosikate!C172+'7. Nettoinvestoinnit '!C172+'8. Satunnaiset erät'!C172+'9. Tulorahkorjauserät'!C172</f>
        <v>#REF!</v>
      </c>
      <c r="D172" s="41">
        <f>Vuosikate!D172+'7. Nettoinvestoinnit '!D172+'8. Satunnaiset erät'!D172+'9. Tulorahkorjauserät'!D172</f>
        <v>-3309</v>
      </c>
      <c r="E172" s="41">
        <f>Vuosikate!E172+'7. Nettoinvestoinnit '!E172+'8. Satunnaiset erät'!E172+'9. Tulorahkorjauserät'!E172</f>
        <v>-1313</v>
      </c>
      <c r="F172" s="41">
        <f>Vuosikate!F172+'7. Nettoinvestoinnit '!F172+'8. Satunnaiset erät'!F172+'9. Tulorahkorjauserät'!F172</f>
        <v>-76</v>
      </c>
      <c r="G172" s="41">
        <f>Vuosikate!G172+'7. Nettoinvestoinnit '!G172+'8. Satunnaiset erät'!G172+'9. Tulorahkorjauserät'!G172</f>
        <v>-1296</v>
      </c>
      <c r="H172" s="41">
        <f>Vuosikate!H172+'7. Nettoinvestoinnit '!H172+'8. Satunnaiset erät'!H172+'9. Tulorahkorjauserät'!H172</f>
        <v>1694.8845412438895</v>
      </c>
      <c r="I172" s="41">
        <f>Vuosikate!I172+'7. Nettoinvestoinnit '!I172+'8. Satunnaiset erät'!I172+'9. Tulorahkorjauserät'!I172</f>
        <v>1633.2068997387903</v>
      </c>
      <c r="J172" s="41">
        <f>Vuosikate!J172+'7. Nettoinvestoinnit '!J172+'8. Satunnaiset erät'!J172+'9. Tulorahkorjauserät'!J172</f>
        <v>1138.4823480040625</v>
      </c>
      <c r="K172" s="41">
        <f>Vuosikate!K172+'7. Nettoinvestoinnit '!K172+'8. Satunnaiset erät'!K172+'9. Tulorahkorjauserät'!K172</f>
        <v>3956.522264329431</v>
      </c>
      <c r="L172" s="41">
        <f>Vuosikate!L172+'7. Nettoinvestoinnit '!L172+'8. Satunnaiset erät'!L172+'9. Tulorahkorjauserät'!L172</f>
        <v>4756.9673518590353</v>
      </c>
      <c r="M172" s="41">
        <f>Vuosikate!M172+'7. Nettoinvestoinnit '!M172+'8. Satunnaiset erät'!M172+'9. Tulorahkorjauserät'!M172</f>
        <v>3617.380611023741</v>
      </c>
      <c r="N172" s="41">
        <f>Vuosikate!N172+'7. Nettoinvestoinnit '!N172+'8. Satunnaiset erät'!N172+'9. Tulorahkorjauserät'!N172</f>
        <v>1918.1678397315206</v>
      </c>
      <c r="O172" s="41">
        <f>Vuosikate!O172+'7. Nettoinvestoinnit '!O172+'8. Satunnaiset erät'!O172+'9. Tulorahkorjauserät'!O172</f>
        <v>2439.6184039154136</v>
      </c>
      <c r="P172" s="41">
        <f>Vuosikate!P172+'7. Nettoinvestoinnit '!P172+'8. Satunnaiset erät'!P172+'9. Tulorahkorjauserät'!P172</f>
        <v>3963.0050543027819</v>
      </c>
      <c r="T172" s="34">
        <v>508</v>
      </c>
      <c r="U172" s="88" t="s">
        <v>486</v>
      </c>
      <c r="V172" s="41" t="e">
        <f>C172/'1. Väestöennuste'!E172*1000</f>
        <v>#REF!</v>
      </c>
      <c r="W172" s="41">
        <f>D172/'1. Väestöennuste'!F172*1000</f>
        <v>-316.71133231240429</v>
      </c>
      <c r="X172" s="41">
        <f>E172/'1. Väestöennuste'!G172*1000</f>
        <v>-128.02262090483617</v>
      </c>
      <c r="Y172" s="41">
        <f>F172/'1. Väestöennuste'!H172*1000</f>
        <v>-7.6129420014023843</v>
      </c>
      <c r="Z172" s="41">
        <f>G172/'1. Väestöennuste'!I172*1000</f>
        <v>-131.50684931506848</v>
      </c>
      <c r="AA172" s="41">
        <f>H172/'1. Väestöennuste'!J172*1000</f>
        <v>175.21808552092313</v>
      </c>
      <c r="AB172" s="41">
        <f>I172/'1. Väestöennuste'!K172*1000</f>
        <v>170.7839485243951</v>
      </c>
      <c r="AC172" s="41">
        <f>J172/'1. Väestöennuste'!L172*1000</f>
        <v>121.63272948761352</v>
      </c>
      <c r="AD172" s="41">
        <f>K172/'1. Väestöennuste'!M172*1000</f>
        <v>426.76326872283801</v>
      </c>
      <c r="AE172" s="41">
        <f>L172/'1. Väestöennuste'!N172*1000</f>
        <v>530.9707949390596</v>
      </c>
      <c r="AF172" s="41">
        <f>M172/'1. Väestöennuste'!O172*1000</f>
        <v>410.45961772651094</v>
      </c>
      <c r="AG172" s="41">
        <f>N172/'1. Väestöennuste'!P172*1000</f>
        <v>221.0889626246566</v>
      </c>
      <c r="AH172" s="41">
        <f>O172/'1. Väestöennuste'!Q172*1000</f>
        <v>285.46903860465869</v>
      </c>
      <c r="AI172" s="41">
        <f>P172/'1. Väestöennuste'!R172*1000</f>
        <v>470.38635659380202</v>
      </c>
    </row>
    <row r="173" spans="1:35" x14ac:dyDescent="0.2">
      <c r="A173" s="34">
        <v>529</v>
      </c>
      <c r="B173" s="88" t="s">
        <v>487</v>
      </c>
      <c r="C173" s="41" t="e">
        <f>Vuosikate!C173+'7. Nettoinvestoinnit '!C173+'8. Satunnaiset erät'!C173+'9. Tulorahkorjauserät'!C173</f>
        <v>#REF!</v>
      </c>
      <c r="D173" s="41">
        <f>Vuosikate!D173+'7. Nettoinvestoinnit '!D173+'8. Satunnaiset erät'!D173+'9. Tulorahkorjauserät'!D173</f>
        <v>2455</v>
      </c>
      <c r="E173" s="41">
        <f>Vuosikate!E173+'7. Nettoinvestoinnit '!E173+'8. Satunnaiset erät'!E173+'9. Tulorahkorjauserät'!E173</f>
        <v>4750</v>
      </c>
      <c r="F173" s="41">
        <f>Vuosikate!F173+'7. Nettoinvestoinnit '!F173+'8. Satunnaiset erät'!F173+'9. Tulorahkorjauserät'!F173</f>
        <v>1524</v>
      </c>
      <c r="G173" s="41">
        <f>Vuosikate!G173+'7. Nettoinvestoinnit '!G173+'8. Satunnaiset erät'!G173+'9. Tulorahkorjauserät'!G173</f>
        <v>2201</v>
      </c>
      <c r="H173" s="41">
        <f>Vuosikate!H173+'7. Nettoinvestoinnit '!H173+'8. Satunnaiset erät'!H173+'9. Tulorahkorjauserät'!H173</f>
        <v>4483.0382966243924</v>
      </c>
      <c r="I173" s="41">
        <f>Vuosikate!I173+'7. Nettoinvestoinnit '!I173+'8. Satunnaiset erät'!I173+'9. Tulorahkorjauserät'!I173</f>
        <v>3850.5406938334736</v>
      </c>
      <c r="J173" s="41">
        <f>Vuosikate!J173+'7. Nettoinvestoinnit '!J173+'8. Satunnaiset erät'!J173+'9. Tulorahkorjauserät'!J173</f>
        <v>-1145.7516812466788</v>
      </c>
      <c r="K173" s="41">
        <f>Vuosikate!K173+'7. Nettoinvestoinnit '!K173+'8. Satunnaiset erät'!K173+'9. Tulorahkorjauserät'!K173</f>
        <v>6880.5718405767748</v>
      </c>
      <c r="L173" s="41">
        <f>Vuosikate!L173+'7. Nettoinvestoinnit '!L173+'8. Satunnaiset erät'!L173+'9. Tulorahkorjauserät'!L173</f>
        <v>-1329.2883664753772</v>
      </c>
      <c r="M173" s="41">
        <f>Vuosikate!M173+'7. Nettoinvestoinnit '!M173+'8. Satunnaiset erät'!M173+'9. Tulorahkorjauserät'!M173</f>
        <v>-1986.0047377085848</v>
      </c>
      <c r="N173" s="41">
        <f>Vuosikate!N173+'7. Nettoinvestoinnit '!N173+'8. Satunnaiset erät'!N173+'9. Tulorahkorjauserät'!N173</f>
        <v>-4195.1604522082562</v>
      </c>
      <c r="O173" s="41">
        <f>Vuosikate!O173+'7. Nettoinvestoinnit '!O173+'8. Satunnaiset erät'!O173+'9. Tulorahkorjauserät'!O173</f>
        <v>-4900.818506052854</v>
      </c>
      <c r="P173" s="41">
        <f>Vuosikate!P173+'7. Nettoinvestoinnit '!P173+'8. Satunnaiset erät'!P173+'9. Tulorahkorjauserät'!P173</f>
        <v>-4357.7420551809973</v>
      </c>
      <c r="T173" s="34">
        <v>529</v>
      </c>
      <c r="U173" s="88" t="s">
        <v>487</v>
      </c>
      <c r="V173" s="41" t="e">
        <f>C173/'1. Väestöennuste'!E173*1000</f>
        <v>#REF!</v>
      </c>
      <c r="W173" s="41">
        <f>D173/'1. Väestöennuste'!F173*1000</f>
        <v>128.74973778057478</v>
      </c>
      <c r="X173" s="41">
        <f>E173/'1. Väestöennuste'!G173*1000</f>
        <v>247.82177701257368</v>
      </c>
      <c r="Y173" s="41">
        <f>F173/'1. Väestöennuste'!H173*1000</f>
        <v>79.189399844115357</v>
      </c>
      <c r="Z173" s="41">
        <f>G173/'1. Väestöennuste'!I173*1000</f>
        <v>113.95878637257947</v>
      </c>
      <c r="AA173" s="41">
        <f>H173/'1. Väestöennuste'!J173*1000</f>
        <v>230.76328288590068</v>
      </c>
      <c r="AB173" s="41">
        <f>I173/'1. Väestöennuste'!K173*1000</f>
        <v>196.66687235474097</v>
      </c>
      <c r="AC173" s="41">
        <f>J173/'1. Väestöennuste'!L173*1000</f>
        <v>-57.720487720235703</v>
      </c>
      <c r="AD173" s="41">
        <f>K173/'1. Väestöennuste'!M173*1000</f>
        <v>344.04579431855467</v>
      </c>
      <c r="AE173" s="41">
        <f>L173/'1. Väestöennuste'!N173*1000</f>
        <v>-67.391045195202906</v>
      </c>
      <c r="AF173" s="41">
        <f>M173/'1. Väestöennuste'!O173*1000</f>
        <v>-100.30326958124165</v>
      </c>
      <c r="AG173" s="41">
        <f>N173/'1. Väestöennuste'!P173*1000</f>
        <v>-211.0984980731775</v>
      </c>
      <c r="AH173" s="41">
        <f>O173/'1. Väestöennuste'!Q173*1000</f>
        <v>-245.75361077388698</v>
      </c>
      <c r="AI173" s="41">
        <f>P173/'1. Väestöennuste'!R173*1000</f>
        <v>-217.79998276594347</v>
      </c>
    </row>
    <row r="174" spans="1:35" x14ac:dyDescent="0.2">
      <c r="A174" s="34">
        <v>531</v>
      </c>
      <c r="B174" s="88" t="s">
        <v>488</v>
      </c>
      <c r="C174" s="41" t="e">
        <f>Vuosikate!C174+'7. Nettoinvestoinnit '!C174+'8. Satunnaiset erät'!C174+'9. Tulorahkorjauserät'!C174</f>
        <v>#REF!</v>
      </c>
      <c r="D174" s="41">
        <f>Vuosikate!D174+'7. Nettoinvestoinnit '!D174+'8. Satunnaiset erät'!D174+'9. Tulorahkorjauserät'!D174</f>
        <v>1740</v>
      </c>
      <c r="E174" s="41">
        <f>Vuosikate!E174+'7. Nettoinvestoinnit '!E174+'8. Satunnaiset erät'!E174+'9. Tulorahkorjauserät'!E174</f>
        <v>-1213</v>
      </c>
      <c r="F174" s="41">
        <f>Vuosikate!F174+'7. Nettoinvestoinnit '!F174+'8. Satunnaiset erät'!F174+'9. Tulorahkorjauserät'!F174</f>
        <v>-3176</v>
      </c>
      <c r="G174" s="41">
        <f>Vuosikate!G174+'7. Nettoinvestoinnit '!G174+'8. Satunnaiset erät'!G174+'9. Tulorahkorjauserät'!G174</f>
        <v>-582</v>
      </c>
      <c r="H174" s="41">
        <f>Vuosikate!H174+'7. Nettoinvestoinnit '!H174+'8. Satunnaiset erät'!H174+'9. Tulorahkorjauserät'!H174</f>
        <v>1589.3903907251879</v>
      </c>
      <c r="I174" s="41">
        <f>Vuosikate!I174+'7. Nettoinvestoinnit '!I174+'8. Satunnaiset erät'!I174+'9. Tulorahkorjauserät'!I174</f>
        <v>-6.5241470944671729</v>
      </c>
      <c r="J174" s="41">
        <f>Vuosikate!J174+'7. Nettoinvestoinnit '!J174+'8. Satunnaiset erät'!J174+'9. Tulorahkorjauserät'!J174</f>
        <v>2140.9520320709125</v>
      </c>
      <c r="K174" s="41">
        <f>Vuosikate!K174+'7. Nettoinvestoinnit '!K174+'8. Satunnaiset erät'!K174+'9. Tulorahkorjauserät'!K174</f>
        <v>2953.9015782299739</v>
      </c>
      <c r="L174" s="41">
        <f>Vuosikate!L174+'7. Nettoinvestoinnit '!L174+'8. Satunnaiset erät'!L174+'9. Tulorahkorjauserät'!L174</f>
        <v>-1819.5873774632901</v>
      </c>
      <c r="M174" s="41">
        <f>Vuosikate!M174+'7. Nettoinvestoinnit '!M174+'8. Satunnaiset erät'!M174+'9. Tulorahkorjauserät'!M174</f>
        <v>-2932.3875157247458</v>
      </c>
      <c r="N174" s="41">
        <f>Vuosikate!N174+'7. Nettoinvestoinnit '!N174+'8. Satunnaiset erät'!N174+'9. Tulorahkorjauserät'!N174</f>
        <v>-3021.8182540704274</v>
      </c>
      <c r="O174" s="41">
        <f>Vuosikate!O174+'7. Nettoinvestoinnit '!O174+'8. Satunnaiset erät'!O174+'9. Tulorahkorjauserät'!O174</f>
        <v>-3388.1371053761882</v>
      </c>
      <c r="P174" s="41">
        <f>Vuosikate!P174+'7. Nettoinvestoinnit '!P174+'8. Satunnaiset erät'!P174+'9. Tulorahkorjauserät'!P174</f>
        <v>-2825.27301963115</v>
      </c>
      <c r="T174" s="34">
        <v>531</v>
      </c>
      <c r="U174" s="88" t="s">
        <v>488</v>
      </c>
      <c r="V174" s="41" t="e">
        <f>C174/'1. Väestöennuste'!E174*1000</f>
        <v>#REF!</v>
      </c>
      <c r="W174" s="41">
        <f>D174/'1. Väestöennuste'!F174*1000</f>
        <v>313.62653208363372</v>
      </c>
      <c r="X174" s="41">
        <f>E174/'1. Väestöennuste'!G174*1000</f>
        <v>-219.70657489585221</v>
      </c>
      <c r="Y174" s="41">
        <f>F174/'1. Väestöennuste'!H174*1000</f>
        <v>-584.14566856722456</v>
      </c>
      <c r="Z174" s="41">
        <f>G174/'1. Väestöennuste'!I174*1000</f>
        <v>-109.21373616063052</v>
      </c>
      <c r="AA174" s="41">
        <f>H174/'1. Väestöennuste'!J174*1000</f>
        <v>302.39543202534014</v>
      </c>
      <c r="AB174" s="41">
        <f>I174/'1. Väestöennuste'!K174*1000</f>
        <v>-1.2621681359000141</v>
      </c>
      <c r="AC174" s="41">
        <f>J174/'1. Väestöennuste'!L174*1000</f>
        <v>422.11199370483291</v>
      </c>
      <c r="AD174" s="41">
        <f>K174/'1. Väestöennuste'!M174*1000</f>
        <v>594.82512650623721</v>
      </c>
      <c r="AE174" s="41">
        <f>L174/'1. Väestöennuste'!N174*1000</f>
        <v>-365.59923195967252</v>
      </c>
      <c r="AF174" s="41">
        <f>M174/'1. Väestöennuste'!O174*1000</f>
        <v>-597.59272788358385</v>
      </c>
      <c r="AG174" s="41">
        <f>N174/'1. Väestöennuste'!P174*1000</f>
        <v>-624.34261447736105</v>
      </c>
      <c r="AH174" s="41">
        <f>O174/'1. Väestöennuste'!Q174*1000</f>
        <v>-709.40894166168084</v>
      </c>
      <c r="AI174" s="41">
        <f>P174/'1. Väestöennuste'!R174*1000</f>
        <v>-599.46382763232555</v>
      </c>
    </row>
    <row r="175" spans="1:35" x14ac:dyDescent="0.2">
      <c r="A175" s="34">
        <v>535</v>
      </c>
      <c r="B175" s="88" t="s">
        <v>489</v>
      </c>
      <c r="C175" s="41" t="e">
        <f>Vuosikate!C175+'7. Nettoinvestoinnit '!C175+'8. Satunnaiset erät'!C175+'9. Tulorahkorjauserät'!C175</f>
        <v>#REF!</v>
      </c>
      <c r="D175" s="41">
        <f>Vuosikate!D175+'7. Nettoinvestoinnit '!D175+'8. Satunnaiset erät'!D175+'9. Tulorahkorjauserät'!D175</f>
        <v>272</v>
      </c>
      <c r="E175" s="41">
        <f>Vuosikate!E175+'7. Nettoinvestoinnit '!E175+'8. Satunnaiset erät'!E175+'9. Tulorahkorjauserät'!E175</f>
        <v>651</v>
      </c>
      <c r="F175" s="41">
        <f>Vuosikate!F175+'7. Nettoinvestoinnit '!F175+'8. Satunnaiset erät'!F175+'9. Tulorahkorjauserät'!F175</f>
        <v>-4165</v>
      </c>
      <c r="G175" s="41">
        <f>Vuosikate!G175+'7. Nettoinvestoinnit '!G175+'8. Satunnaiset erät'!G175+'9. Tulorahkorjauserät'!G175</f>
        <v>-1746</v>
      </c>
      <c r="H175" s="41">
        <f>Vuosikate!H175+'7. Nettoinvestoinnit '!H175+'8. Satunnaiset erät'!H175+'9. Tulorahkorjauserät'!H175</f>
        <v>-53.903159712710476</v>
      </c>
      <c r="I175" s="41">
        <f>Vuosikate!I175+'7. Nettoinvestoinnit '!I175+'8. Satunnaiset erät'!I175+'9. Tulorahkorjauserät'!I175</f>
        <v>650.58390060414638</v>
      </c>
      <c r="J175" s="41">
        <f>Vuosikate!J175+'7. Nettoinvestoinnit '!J175+'8. Satunnaiset erät'!J175+'9. Tulorahkorjauserät'!J175</f>
        <v>-7230.2009160271482</v>
      </c>
      <c r="K175" s="41">
        <f>Vuosikate!K175+'7. Nettoinvestoinnit '!K175+'8. Satunnaiset erät'!K175+'9. Tulorahkorjauserät'!K175</f>
        <v>-3264.5878285294657</v>
      </c>
      <c r="L175" s="41">
        <f>Vuosikate!L175+'7. Nettoinvestoinnit '!L175+'8. Satunnaiset erät'!L175+'9. Tulorahkorjauserät'!L175</f>
        <v>-3997.1916817411116</v>
      </c>
      <c r="M175" s="41">
        <f>Vuosikate!M175+'7. Nettoinvestoinnit '!M175+'8. Satunnaiset erät'!M175+'9. Tulorahkorjauserät'!M175</f>
        <v>-4607.2933299921478</v>
      </c>
      <c r="N175" s="41">
        <f>Vuosikate!N175+'7. Nettoinvestoinnit '!N175+'8. Satunnaiset erät'!N175+'9. Tulorahkorjauserät'!N175</f>
        <v>-3888.1063717790857</v>
      </c>
      <c r="O175" s="41">
        <f>Vuosikate!O175+'7. Nettoinvestoinnit '!O175+'8. Satunnaiset erät'!O175+'9. Tulorahkorjauserät'!O175</f>
        <v>-3870.5623479376072</v>
      </c>
      <c r="P175" s="41">
        <f>Vuosikate!P175+'7. Nettoinvestoinnit '!P175+'8. Satunnaiset erät'!P175+'9. Tulorahkorjauserät'!P175</f>
        <v>-2698.2106395996116</v>
      </c>
      <c r="T175" s="34">
        <v>535</v>
      </c>
      <c r="U175" s="88" t="s">
        <v>489</v>
      </c>
      <c r="V175" s="41" t="e">
        <f>C175/'1. Väestöennuste'!E175*1000</f>
        <v>#REF!</v>
      </c>
      <c r="W175" s="41">
        <f>D175/'1. Väestöennuste'!F175*1000</f>
        <v>24.979336945541373</v>
      </c>
      <c r="X175" s="41">
        <f>E175/'1. Väestöennuste'!G175*1000</f>
        <v>60.194174757281552</v>
      </c>
      <c r="Y175" s="41">
        <f>F175/'1. Väestöennuste'!H175*1000</f>
        <v>-387.91096209369471</v>
      </c>
      <c r="Z175" s="41">
        <f>G175/'1. Väestöennuste'!I175*1000</f>
        <v>-164.11316853087695</v>
      </c>
      <c r="AA175" s="41">
        <f>H175/'1. Väestöennuste'!J175*1000</f>
        <v>-5.1336342583533785</v>
      </c>
      <c r="AB175" s="41">
        <f>I175/'1. Väestöennuste'!K175*1000</f>
        <v>62.580213601783996</v>
      </c>
      <c r="AC175" s="41">
        <f>J175/'1. Väestöennuste'!L175*1000</f>
        <v>-693.94384451743429</v>
      </c>
      <c r="AD175" s="41">
        <f>K175/'1. Väestöennuste'!M175*1000</f>
        <v>-312.28121566189651</v>
      </c>
      <c r="AE175" s="41">
        <f>L175/'1. Väestöennuste'!N175*1000</f>
        <v>-397.21670294555418</v>
      </c>
      <c r="AF175" s="41">
        <f>M175/'1. Väestöennuste'!O175*1000</f>
        <v>-462.71902480588005</v>
      </c>
      <c r="AG175" s="41">
        <f>N175/'1. Väestöennuste'!P175*1000</f>
        <v>-394.8518708011664</v>
      </c>
      <c r="AH175" s="41">
        <f>O175/'1. Väestöennuste'!Q175*1000</f>
        <v>-397.51076799194897</v>
      </c>
      <c r="AI175" s="41">
        <f>P175/'1. Väestöennuste'!R175*1000</f>
        <v>-280.21711907774551</v>
      </c>
    </row>
    <row r="176" spans="1:35" x14ac:dyDescent="0.2">
      <c r="A176" s="34">
        <v>536</v>
      </c>
      <c r="B176" s="88" t="s">
        <v>490</v>
      </c>
      <c r="C176" s="41" t="e">
        <f>Vuosikate!C176+'7. Nettoinvestoinnit '!C176+'8. Satunnaiset erät'!C176+'9. Tulorahkorjauserät'!C176</f>
        <v>#REF!</v>
      </c>
      <c r="D176" s="41">
        <f>Vuosikate!D176+'7. Nettoinvestoinnit '!D176+'8. Satunnaiset erät'!D176+'9. Tulorahkorjauserät'!D176</f>
        <v>-8654</v>
      </c>
      <c r="E176" s="41">
        <f>Vuosikate!E176+'7. Nettoinvestoinnit '!E176+'8. Satunnaiset erät'!E176+'9. Tulorahkorjauserät'!E176</f>
        <v>-3899</v>
      </c>
      <c r="F176" s="41">
        <f>Vuosikate!F176+'7. Nettoinvestoinnit '!F176+'8. Satunnaiset erät'!F176+'9. Tulorahkorjauserät'!F176</f>
        <v>2372</v>
      </c>
      <c r="G176" s="41">
        <f>Vuosikate!G176+'7. Nettoinvestoinnit '!G176+'8. Satunnaiset erät'!G176+'9. Tulorahkorjauserät'!G176</f>
        <v>-9546</v>
      </c>
      <c r="H176" s="41">
        <f>Vuosikate!H176+'7. Nettoinvestoinnit '!H176+'8. Satunnaiset erät'!H176+'9. Tulorahkorjauserät'!H176</f>
        <v>-4335.7060807333328</v>
      </c>
      <c r="I176" s="41">
        <f>Vuosikate!I176+'7. Nettoinvestoinnit '!I176+'8. Satunnaiset erät'!I176+'9. Tulorahkorjauserät'!I176</f>
        <v>-13232.914045918957</v>
      </c>
      <c r="J176" s="41">
        <f>Vuosikate!J176+'7. Nettoinvestoinnit '!J176+'8. Satunnaiset erät'!J176+'9. Tulorahkorjauserät'!J176</f>
        <v>3370.9629083945783</v>
      </c>
      <c r="K176" s="41">
        <f>Vuosikate!K176+'7. Nettoinvestoinnit '!K176+'8. Satunnaiset erät'!K176+'9. Tulorahkorjauserät'!K176</f>
        <v>-2568.6422131973586</v>
      </c>
      <c r="L176" s="41">
        <f>Vuosikate!L176+'7. Nettoinvestoinnit '!L176+'8. Satunnaiset erät'!L176+'9. Tulorahkorjauserät'!L176</f>
        <v>-10020.926373947124</v>
      </c>
      <c r="M176" s="41">
        <f>Vuosikate!M176+'7. Nettoinvestoinnit '!M176+'8. Satunnaiset erät'!M176+'9. Tulorahkorjauserät'!M176</f>
        <v>-13971.524765585991</v>
      </c>
      <c r="N176" s="41">
        <f>Vuosikate!N176+'7. Nettoinvestoinnit '!N176+'8. Satunnaiset erät'!N176+'9. Tulorahkorjauserät'!N176</f>
        <v>-13193.129568722521</v>
      </c>
      <c r="O176" s="41">
        <f>Vuosikate!O176+'7. Nettoinvestoinnit '!O176+'8. Satunnaiset erät'!O176+'9. Tulorahkorjauserät'!O176</f>
        <v>-14024.106561556559</v>
      </c>
      <c r="P176" s="41">
        <f>Vuosikate!P176+'7. Nettoinvestoinnit '!P176+'8. Satunnaiset erät'!P176+'9. Tulorahkorjauserät'!P176</f>
        <v>-13329.540381865016</v>
      </c>
      <c r="T176" s="34">
        <v>536</v>
      </c>
      <c r="U176" s="88" t="s">
        <v>490</v>
      </c>
      <c r="V176" s="41" t="e">
        <f>C176/'1. Väestöennuste'!E176*1000</f>
        <v>#REF!</v>
      </c>
      <c r="W176" s="41">
        <f>D176/'1. Väestöennuste'!F176*1000</f>
        <v>-260.58416139716951</v>
      </c>
      <c r="X176" s="41">
        <f>E176/'1. Väestöennuste'!G176*1000</f>
        <v>-117.00978332633096</v>
      </c>
      <c r="Y176" s="41">
        <f>F176/'1. Väestöennuste'!H176*1000</f>
        <v>70.748948608584115</v>
      </c>
      <c r="Z176" s="41">
        <f>G176/'1. Väestöennuste'!I176*1000</f>
        <v>-281.35223555070883</v>
      </c>
      <c r="AA176" s="41">
        <f>H176/'1. Väestöennuste'!J176*1000</f>
        <v>-125.7601253258305</v>
      </c>
      <c r="AB176" s="41">
        <f>I176/'1. Väestöennuste'!K176*1000</f>
        <v>-379.34050125900006</v>
      </c>
      <c r="AC176" s="41">
        <f>J176/'1. Väestöennuste'!L176*1000</f>
        <v>95.370421218654968</v>
      </c>
      <c r="AD176" s="41">
        <f>K176/'1. Väestöennuste'!M176*1000</f>
        <v>-72.057738749329772</v>
      </c>
      <c r="AE176" s="41">
        <f>L176/'1. Väestöennuste'!N176*1000</f>
        <v>-282.20012317508093</v>
      </c>
      <c r="AF176" s="41">
        <f>M176/'1. Väestöennuste'!O176*1000</f>
        <v>-391.01969621857745</v>
      </c>
      <c r="AG176" s="41">
        <f>N176/'1. Väestöennuste'!P176*1000</f>
        <v>-367.06720740978585</v>
      </c>
      <c r="AH176" s="41">
        <f>O176/'1. Väestöennuste'!Q176*1000</f>
        <v>-388.06017215630089</v>
      </c>
      <c r="AI176" s="41">
        <f>P176/'1. Väestöennuste'!R176*1000</f>
        <v>-366.98255552736674</v>
      </c>
    </row>
    <row r="177" spans="1:35" x14ac:dyDescent="0.2">
      <c r="A177" s="34">
        <v>538</v>
      </c>
      <c r="B177" s="88" t="s">
        <v>491</v>
      </c>
      <c r="C177" s="41" t="e">
        <f>Vuosikate!C177+'7. Nettoinvestoinnit '!C177+'8. Satunnaiset erät'!C177+'9. Tulorahkorjauserät'!C177</f>
        <v>#REF!</v>
      </c>
      <c r="D177" s="41">
        <f>Vuosikate!D177+'7. Nettoinvestoinnit '!D177+'8. Satunnaiset erät'!D177+'9. Tulorahkorjauserät'!D177</f>
        <v>2238</v>
      </c>
      <c r="E177" s="41">
        <f>Vuosikate!E177+'7. Nettoinvestoinnit '!E177+'8. Satunnaiset erät'!E177+'9. Tulorahkorjauserät'!E177</f>
        <v>550</v>
      </c>
      <c r="F177" s="41">
        <f>Vuosikate!F177+'7. Nettoinvestoinnit '!F177+'8. Satunnaiset erät'!F177+'9. Tulorahkorjauserät'!F177</f>
        <v>-434</v>
      </c>
      <c r="G177" s="41">
        <f>Vuosikate!G177+'7. Nettoinvestoinnit '!G177+'8. Satunnaiset erät'!G177+'9. Tulorahkorjauserät'!G177</f>
        <v>-3440</v>
      </c>
      <c r="H177" s="41">
        <f>Vuosikate!H177+'7. Nettoinvestoinnit '!H177+'8. Satunnaiset erät'!H177+'9. Tulorahkorjauserät'!H177</f>
        <v>-4236.7259851539111</v>
      </c>
      <c r="I177" s="41">
        <f>Vuosikate!I177+'7. Nettoinvestoinnit '!I177+'8. Satunnaiset erät'!I177+'9. Tulorahkorjauserät'!I177</f>
        <v>-2249.2874747402643</v>
      </c>
      <c r="J177" s="41">
        <f>Vuosikate!J177+'7. Nettoinvestoinnit '!J177+'8. Satunnaiset erät'!J177+'9. Tulorahkorjauserät'!J177</f>
        <v>-42.425308538180417</v>
      </c>
      <c r="K177" s="41">
        <f>Vuosikate!K177+'7. Nettoinvestoinnit '!K177+'8. Satunnaiset erät'!K177+'9. Tulorahkorjauserät'!K177</f>
        <v>-1181.715948967842</v>
      </c>
      <c r="L177" s="41">
        <f>Vuosikate!L177+'7. Nettoinvestoinnit '!L177+'8. Satunnaiset erät'!L177+'9. Tulorahkorjauserät'!L177</f>
        <v>-3544.2858593146821</v>
      </c>
      <c r="M177" s="41">
        <f>Vuosikate!M177+'7. Nettoinvestoinnit '!M177+'8. Satunnaiset erät'!M177+'9. Tulorahkorjauserät'!M177</f>
        <v>-4913.1141931996081</v>
      </c>
      <c r="N177" s="41">
        <f>Vuosikate!N177+'7. Nettoinvestoinnit '!N177+'8. Satunnaiset erät'!N177+'9. Tulorahkorjauserät'!N177</f>
        <v>-5376.8420148183877</v>
      </c>
      <c r="O177" s="41">
        <f>Vuosikate!O177+'7. Nettoinvestoinnit '!O177+'8. Satunnaiset erät'!O177+'9. Tulorahkorjauserät'!O177</f>
        <v>-5842.4747679794209</v>
      </c>
      <c r="P177" s="41">
        <f>Vuosikate!P177+'7. Nettoinvestoinnit '!P177+'8. Satunnaiset erät'!P177+'9. Tulorahkorjauserät'!P177</f>
        <v>-5968.2326503332397</v>
      </c>
      <c r="T177" s="34">
        <v>538</v>
      </c>
      <c r="U177" s="88" t="s">
        <v>491</v>
      </c>
      <c r="V177" s="41" t="e">
        <f>C177/'1. Väestöennuste'!E177*1000</f>
        <v>#REF!</v>
      </c>
      <c r="W177" s="41">
        <f>D177/'1. Väestöennuste'!F177*1000</f>
        <v>464.79750778816197</v>
      </c>
      <c r="X177" s="41">
        <f>E177/'1. Väestöennuste'!G177*1000</f>
        <v>114.27384167878662</v>
      </c>
      <c r="Y177" s="41">
        <f>F177/'1. Väestöennuste'!H177*1000</f>
        <v>-91.696598351996613</v>
      </c>
      <c r="Z177" s="41">
        <f>G177/'1. Väestöennuste'!I177*1000</f>
        <v>-729.58642629904557</v>
      </c>
      <c r="AA177" s="41">
        <f>H177/'1. Väestöennuste'!J177*1000</f>
        <v>-902.77562010524423</v>
      </c>
      <c r="AB177" s="41">
        <f>I177/'1. Väestöennuste'!K177*1000</f>
        <v>-479.69449237369685</v>
      </c>
      <c r="AC177" s="41">
        <f>J177/'1. Väestöennuste'!L177*1000</f>
        <v>-9.1355100211413465</v>
      </c>
      <c r="AD177" s="41">
        <f>K177/'1. Väestöennuste'!M177*1000</f>
        <v>-251.69668774607922</v>
      </c>
      <c r="AE177" s="41">
        <f>L177/'1. Väestöennuste'!N177*1000</f>
        <v>-768.32557106323043</v>
      </c>
      <c r="AF177" s="41">
        <f>M177/'1. Väestöennuste'!O177*1000</f>
        <v>-1068.7653237327841</v>
      </c>
      <c r="AG177" s="41">
        <f>N177/'1. Väestöennuste'!P177*1000</f>
        <v>-1173.7267004624291</v>
      </c>
      <c r="AH177" s="41">
        <f>O177/'1. Väestöennuste'!Q177*1000</f>
        <v>-1279.2806586335496</v>
      </c>
      <c r="AI177" s="41">
        <f>P177/'1. Väestöennuste'!R177*1000</f>
        <v>-1310.547354047703</v>
      </c>
    </row>
    <row r="178" spans="1:35" x14ac:dyDescent="0.2">
      <c r="A178" s="34">
        <v>541</v>
      </c>
      <c r="B178" s="88" t="s">
        <v>492</v>
      </c>
      <c r="C178" s="41" t="e">
        <f>Vuosikate!C178+'7. Nettoinvestoinnit '!C178+'8. Satunnaiset erät'!C178+'9. Tulorahkorjauserät'!C178</f>
        <v>#REF!</v>
      </c>
      <c r="D178" s="41">
        <f>Vuosikate!D178+'7. Nettoinvestoinnit '!D178+'8. Satunnaiset erät'!D178+'9. Tulorahkorjauserät'!D178</f>
        <v>2376</v>
      </c>
      <c r="E178" s="41">
        <f>Vuosikate!E178+'7. Nettoinvestoinnit '!E178+'8. Satunnaiset erät'!E178+'9. Tulorahkorjauserät'!E178</f>
        <v>2375</v>
      </c>
      <c r="F178" s="41">
        <f>Vuosikate!F178+'7. Nettoinvestoinnit '!F178+'8. Satunnaiset erät'!F178+'9. Tulorahkorjauserät'!F178</f>
        <v>-313</v>
      </c>
      <c r="G178" s="41">
        <f>Vuosikate!G178+'7. Nettoinvestoinnit '!G178+'8. Satunnaiset erät'!G178+'9. Tulorahkorjauserät'!G178</f>
        <v>-3594</v>
      </c>
      <c r="H178" s="41">
        <f>Vuosikate!H178+'7. Nettoinvestoinnit '!H178+'8. Satunnaiset erät'!H178+'9. Tulorahkorjauserät'!H178</f>
        <v>6157.628149554941</v>
      </c>
      <c r="I178" s="41">
        <f>Vuosikate!I178+'7. Nettoinvestoinnit '!I178+'8. Satunnaiset erät'!I178+'9. Tulorahkorjauserät'!I178</f>
        <v>5688.1633816252934</v>
      </c>
      <c r="J178" s="41">
        <f>Vuosikate!J178+'7. Nettoinvestoinnit '!J178+'8. Satunnaiset erät'!J178+'9. Tulorahkorjauserät'!J178</f>
        <v>202.18043984493059</v>
      </c>
      <c r="K178" s="41">
        <f>Vuosikate!K178+'7. Nettoinvestoinnit '!K178+'8. Satunnaiset erät'!K178+'9. Tulorahkorjauserät'!K178</f>
        <v>3279.3197799167647</v>
      </c>
      <c r="L178" s="41">
        <f>Vuosikate!L178+'7. Nettoinvestoinnit '!L178+'8. Satunnaiset erät'!L178+'9. Tulorahkorjauserät'!L178</f>
        <v>1290.511943205192</v>
      </c>
      <c r="M178" s="41">
        <f>Vuosikate!M178+'7. Nettoinvestoinnit '!M178+'8. Satunnaiset erät'!M178+'9. Tulorahkorjauserät'!M178</f>
        <v>-551.73008488904316</v>
      </c>
      <c r="N178" s="41">
        <f>Vuosikate!N178+'7. Nettoinvestoinnit '!N178+'8. Satunnaiset erät'!N178+'9. Tulorahkorjauserät'!N178</f>
        <v>-888.73375506922775</v>
      </c>
      <c r="O178" s="41">
        <f>Vuosikate!O178+'7. Nettoinvestoinnit '!O178+'8. Satunnaiset erät'!O178+'9. Tulorahkorjauserät'!O178</f>
        <v>-1530.5539249012741</v>
      </c>
      <c r="P178" s="41">
        <f>Vuosikate!P178+'7. Nettoinvestoinnit '!P178+'8. Satunnaiset erät'!P178+'9. Tulorahkorjauserät'!P178</f>
        <v>-74.452258038329092</v>
      </c>
      <c r="T178" s="34">
        <v>541</v>
      </c>
      <c r="U178" s="88" t="s">
        <v>492</v>
      </c>
      <c r="V178" s="41" t="e">
        <f>C178/'1. Väestöennuste'!E178*1000</f>
        <v>#REF!</v>
      </c>
      <c r="W178" s="41">
        <f>D178/'1. Väestöennuste'!F178*1000</f>
        <v>234.55083909180652</v>
      </c>
      <c r="X178" s="41">
        <f>E178/'1. Väestöennuste'!G178*1000</f>
        <v>237.90443754382451</v>
      </c>
      <c r="Y178" s="41">
        <f>F178/'1. Väestöennuste'!H178*1000</f>
        <v>-31.991005723630416</v>
      </c>
      <c r="Z178" s="41">
        <f>G178/'1. Väestöennuste'!I178*1000</f>
        <v>-376.25628140703515</v>
      </c>
      <c r="AA178" s="41">
        <f>H178/'1. Väestöennuste'!J178*1000</f>
        <v>648.1031627781224</v>
      </c>
      <c r="AB178" s="41">
        <f>I178/'1. Väestöennuste'!K178*1000</f>
        <v>603.646755982733</v>
      </c>
      <c r="AC178" s="41">
        <f>J178/'1. Väestöennuste'!L178*1000</f>
        <v>21.87389806826037</v>
      </c>
      <c r="AD178" s="41">
        <f>K178/'1. Väestöennuste'!M178*1000</f>
        <v>359.180698786064</v>
      </c>
      <c r="AE178" s="41">
        <f>L178/'1. Väestöennuste'!N178*1000</f>
        <v>145.22979329340447</v>
      </c>
      <c r="AF178" s="41">
        <f>M178/'1. Väestöennuste'!O178*1000</f>
        <v>-63.083705109655064</v>
      </c>
      <c r="AG178" s="41">
        <f>N178/'1. Väestöennuste'!P178*1000</f>
        <v>-103.17317797413834</v>
      </c>
      <c r="AH178" s="41">
        <f>O178/'1. Väestöennuste'!Q178*1000</f>
        <v>-180.2772585278297</v>
      </c>
      <c r="AI178" s="41">
        <f>P178/'1. Väestöennuste'!R178*1000</f>
        <v>-8.8930074102160876</v>
      </c>
    </row>
    <row r="179" spans="1:35" x14ac:dyDescent="0.2">
      <c r="A179" s="34">
        <v>543</v>
      </c>
      <c r="B179" s="88" t="s">
        <v>493</v>
      </c>
      <c r="C179" s="41" t="e">
        <f>Vuosikate!C179+'7. Nettoinvestoinnit '!C179+'8. Satunnaiset erät'!C179+'9. Tulorahkorjauserät'!C179</f>
        <v>#REF!</v>
      </c>
      <c r="D179" s="41">
        <f>Vuosikate!D179+'7. Nettoinvestoinnit '!D179+'8. Satunnaiset erät'!D179+'9. Tulorahkorjauserät'!D179</f>
        <v>-11289</v>
      </c>
      <c r="E179" s="41">
        <f>Vuosikate!E179+'7. Nettoinvestoinnit '!E179+'8. Satunnaiset erät'!E179+'9. Tulorahkorjauserät'!E179</f>
        <v>-14377</v>
      </c>
      <c r="F179" s="41">
        <f>Vuosikate!F179+'7. Nettoinvestoinnit '!F179+'8. Satunnaiset erät'!F179+'9. Tulorahkorjauserät'!F179</f>
        <v>-20252</v>
      </c>
      <c r="G179" s="41">
        <f>Vuosikate!G179+'7. Nettoinvestoinnit '!G179+'8. Satunnaiset erät'!G179+'9. Tulorahkorjauserät'!G179</f>
        <v>-30918</v>
      </c>
      <c r="H179" s="41">
        <f>Vuosikate!H179+'7. Nettoinvestoinnit '!H179+'8. Satunnaiset erät'!H179+'9. Tulorahkorjauserät'!H179</f>
        <v>-6197.5462079684075</v>
      </c>
      <c r="I179" s="41">
        <f>Vuosikate!I179+'7. Nettoinvestoinnit '!I179+'8. Satunnaiset erät'!I179+'9. Tulorahkorjauserät'!I179</f>
        <v>15774.847637399325</v>
      </c>
      <c r="J179" s="41">
        <f>Vuosikate!J179+'7. Nettoinvestoinnit '!J179+'8. Satunnaiset erät'!J179+'9. Tulorahkorjauserät'!J179</f>
        <v>-6187.233474003945</v>
      </c>
      <c r="K179" s="41">
        <f>Vuosikate!K179+'7. Nettoinvestoinnit '!K179+'8. Satunnaiset erät'!K179+'9. Tulorahkorjauserät'!K179</f>
        <v>23213.527157795248</v>
      </c>
      <c r="L179" s="41">
        <f>Vuosikate!L179+'7. Nettoinvestoinnit '!L179+'8. Satunnaiset erät'!L179+'9. Tulorahkorjauserät'!L179</f>
        <v>-6778.6666266220818</v>
      </c>
      <c r="M179" s="41">
        <f>Vuosikate!M179+'7. Nettoinvestoinnit '!M179+'8. Satunnaiset erät'!M179+'9. Tulorahkorjauserät'!M179</f>
        <v>1541.6136927858461</v>
      </c>
      <c r="N179" s="41">
        <f>Vuosikate!N179+'7. Nettoinvestoinnit '!N179+'8. Satunnaiset erät'!N179+'9. Tulorahkorjauserät'!N179</f>
        <v>-337.88498233462451</v>
      </c>
      <c r="O179" s="41">
        <f>Vuosikate!O179+'7. Nettoinvestoinnit '!O179+'8. Satunnaiset erät'!O179+'9. Tulorahkorjauserät'!O179</f>
        <v>-1492.9540250786013</v>
      </c>
      <c r="P179" s="41">
        <f>Vuosikate!P179+'7. Nettoinvestoinnit '!P179+'8. Satunnaiset erät'!P179+'9. Tulorahkorjauserät'!P179</f>
        <v>490.34552832759073</v>
      </c>
      <c r="T179" s="34">
        <v>543</v>
      </c>
      <c r="U179" s="88" t="s">
        <v>493</v>
      </c>
      <c r="V179" s="41" t="e">
        <f>C179/'1. Väestöennuste'!E179*1000</f>
        <v>#REF!</v>
      </c>
      <c r="W179" s="41">
        <f>D179/'1. Väestöennuste'!F179*1000</f>
        <v>-268.72173292073313</v>
      </c>
      <c r="X179" s="41">
        <f>E179/'1. Väestöennuste'!G179*1000</f>
        <v>-341.01852510733175</v>
      </c>
      <c r="Y179" s="41">
        <f>F179/'1. Väestöennuste'!H179*1000</f>
        <v>-474.67479198406187</v>
      </c>
      <c r="Z179" s="41">
        <f>G179/'1. Väestöennuste'!I179*1000</f>
        <v>-719.14032516921361</v>
      </c>
      <c r="AA179" s="41">
        <f>H179/'1. Väestöennuste'!J179*1000</f>
        <v>-141.94045777817391</v>
      </c>
      <c r="AB179" s="41">
        <f>I179/'1. Väestöennuste'!K179*1000</f>
        <v>357.48742578011934</v>
      </c>
      <c r="AC179" s="41">
        <f>J179/'1. Väestöennuste'!L179*1000</f>
        <v>-139.17030622169116</v>
      </c>
      <c r="AD179" s="41">
        <f>K179/'1. Väestöennuste'!M179*1000</f>
        <v>518.33263721771243</v>
      </c>
      <c r="AE179" s="41">
        <f>L179/'1. Väestöennuste'!N179*1000</f>
        <v>-150.14323174054402</v>
      </c>
      <c r="AF179" s="41">
        <f>M179/'1. Väestöennuste'!O179*1000</f>
        <v>33.890557790754613</v>
      </c>
      <c r="AG179" s="41">
        <f>N179/'1. Väestöennuste'!P179*1000</f>
        <v>-7.3741811945574973</v>
      </c>
      <c r="AH179" s="41">
        <f>O179/'1. Väestöennuste'!Q179*1000</f>
        <v>-32.355641824771389</v>
      </c>
      <c r="AI179" s="41">
        <f>P179/'1. Väestöennuste'!R179*1000</f>
        <v>10.556643379353501</v>
      </c>
    </row>
    <row r="180" spans="1:35" x14ac:dyDescent="0.2">
      <c r="A180" s="34">
        <v>545</v>
      </c>
      <c r="B180" s="88" t="s">
        <v>494</v>
      </c>
      <c r="C180" s="41" t="e">
        <f>Vuosikate!C180+'7. Nettoinvestoinnit '!C180+'8. Satunnaiset erät'!C180+'9. Tulorahkorjauserät'!C180</f>
        <v>#REF!</v>
      </c>
      <c r="D180" s="41">
        <f>Vuosikate!D180+'7. Nettoinvestoinnit '!D180+'8. Satunnaiset erät'!D180+'9. Tulorahkorjauserät'!D180</f>
        <v>1519</v>
      </c>
      <c r="E180" s="41">
        <f>Vuosikate!E180+'7. Nettoinvestoinnit '!E180+'8. Satunnaiset erät'!E180+'9. Tulorahkorjauserät'!E180</f>
        <v>1910</v>
      </c>
      <c r="F180" s="41">
        <f>Vuosikate!F180+'7. Nettoinvestoinnit '!F180+'8. Satunnaiset erät'!F180+'9. Tulorahkorjauserät'!F180</f>
        <v>-5991</v>
      </c>
      <c r="G180" s="41">
        <f>Vuosikate!G180+'7. Nettoinvestoinnit '!G180+'8. Satunnaiset erät'!G180+'9. Tulorahkorjauserät'!G180</f>
        <v>-7999</v>
      </c>
      <c r="H180" s="41">
        <f>Vuosikate!H180+'7. Nettoinvestoinnit '!H180+'8. Satunnaiset erät'!H180+'9. Tulorahkorjauserät'!H180</f>
        <v>-1694.4047227293486</v>
      </c>
      <c r="I180" s="41">
        <f>Vuosikate!I180+'7. Nettoinvestoinnit '!I180+'8. Satunnaiset erät'!I180+'9. Tulorahkorjauserät'!I180</f>
        <v>-6043.6885065669012</v>
      </c>
      <c r="J180" s="41">
        <f>Vuosikate!J180+'7. Nettoinvestoinnit '!J180+'8. Satunnaiset erät'!J180+'9. Tulorahkorjauserät'!J180</f>
        <v>-1395.2401737862021</v>
      </c>
      <c r="K180" s="41">
        <f>Vuosikate!K180+'7. Nettoinvestoinnit '!K180+'8. Satunnaiset erät'!K180+'9. Tulorahkorjauserät'!K180</f>
        <v>372.16705539142521</v>
      </c>
      <c r="L180" s="41">
        <f>Vuosikate!L180+'7. Nettoinvestoinnit '!L180+'8. Satunnaiset erät'!L180+'9. Tulorahkorjauserät'!L180</f>
        <v>-1276.0391162226115</v>
      </c>
      <c r="M180" s="41">
        <f>Vuosikate!M180+'7. Nettoinvestoinnit '!M180+'8. Satunnaiset erät'!M180+'9. Tulorahkorjauserät'!M180</f>
        <v>-1349.4831672013261</v>
      </c>
      <c r="N180" s="41">
        <f>Vuosikate!N180+'7. Nettoinvestoinnit '!N180+'8. Satunnaiset erät'!N180+'9. Tulorahkorjauserät'!N180</f>
        <v>-2456.3468830140791</v>
      </c>
      <c r="O180" s="41">
        <f>Vuosikate!O180+'7. Nettoinvestoinnit '!O180+'8. Satunnaiset erät'!O180+'9. Tulorahkorjauserät'!O180</f>
        <v>-2483.4072331668594</v>
      </c>
      <c r="P180" s="41">
        <f>Vuosikate!P180+'7. Nettoinvestoinnit '!P180+'8. Satunnaiset erät'!P180+'9. Tulorahkorjauserät'!P180</f>
        <v>-2398.0939033971226</v>
      </c>
      <c r="T180" s="34">
        <v>545</v>
      </c>
      <c r="U180" s="88" t="s">
        <v>494</v>
      </c>
      <c r="V180" s="41" t="e">
        <f>C180/'1. Väestöennuste'!E180*1000</f>
        <v>#REF!</v>
      </c>
      <c r="W180" s="41">
        <f>D180/'1. Väestöennuste'!F180*1000</f>
        <v>160.92806441360312</v>
      </c>
      <c r="X180" s="41">
        <f>E180/'1. Väestöennuste'!G180*1000</f>
        <v>200.90459661302199</v>
      </c>
      <c r="Y180" s="41">
        <f>F180/'1. Väestöennuste'!H180*1000</f>
        <v>-632.56255939182768</v>
      </c>
      <c r="Z180" s="41">
        <f>G180/'1. Väestöennuste'!I180*1000</f>
        <v>-843.86538664416082</v>
      </c>
      <c r="AA180" s="41">
        <f>H180/'1. Väestöennuste'!J180*1000</f>
        <v>-177.27607477812813</v>
      </c>
      <c r="AB180" s="41">
        <f>I180/'1. Väestöennuste'!K180*1000</f>
        <v>-632.05276161544668</v>
      </c>
      <c r="AC180" s="41">
        <f>J180/'1. Väestöennuste'!L180*1000</f>
        <v>-145.58015168887752</v>
      </c>
      <c r="AD180" s="41">
        <f>K180/'1. Väestöennuste'!M180*1000</f>
        <v>38.682783015427212</v>
      </c>
      <c r="AE180" s="41">
        <f>L180/'1. Väestöennuste'!N180*1000</f>
        <v>-132.75479777596874</v>
      </c>
      <c r="AF180" s="41">
        <f>M180/'1. Väestöennuste'!O180*1000</f>
        <v>-140.24975755573956</v>
      </c>
      <c r="AG180" s="41">
        <f>N180/'1. Väestöennuste'!P180*1000</f>
        <v>-255.12535137246357</v>
      </c>
      <c r="AH180" s="41">
        <f>O180/'1. Väestöennuste'!Q180*1000</f>
        <v>-257.77529926996675</v>
      </c>
      <c r="AI180" s="41">
        <f>P180/'1. Väestöennuste'!R180*1000</f>
        <v>-248.81654942904362</v>
      </c>
    </row>
    <row r="181" spans="1:35" x14ac:dyDescent="0.2">
      <c r="A181" s="34">
        <v>560</v>
      </c>
      <c r="B181" s="88" t="s">
        <v>495</v>
      </c>
      <c r="C181" s="41" t="e">
        <f>Vuosikate!C181+'7. Nettoinvestoinnit '!C181+'8. Satunnaiset erät'!C181+'9. Tulorahkorjauserät'!C181</f>
        <v>#REF!</v>
      </c>
      <c r="D181" s="41">
        <f>Vuosikate!D181+'7. Nettoinvestoinnit '!D181+'8. Satunnaiset erät'!D181+'9. Tulorahkorjauserät'!D181</f>
        <v>1691</v>
      </c>
      <c r="E181" s="41">
        <f>Vuosikate!E181+'7. Nettoinvestoinnit '!E181+'8. Satunnaiset erät'!E181+'9. Tulorahkorjauserät'!E181</f>
        <v>-4494</v>
      </c>
      <c r="F181" s="41">
        <f>Vuosikate!F181+'7. Nettoinvestoinnit '!F181+'8. Satunnaiset erät'!F181+'9. Tulorahkorjauserät'!F181</f>
        <v>-9408</v>
      </c>
      <c r="G181" s="41">
        <f>Vuosikate!G181+'7. Nettoinvestoinnit '!G181+'8. Satunnaiset erät'!G181+'9. Tulorahkorjauserät'!G181</f>
        <v>-5341</v>
      </c>
      <c r="H181" s="41">
        <f>Vuosikate!H181+'7. Nettoinvestoinnit '!H181+'8. Satunnaiset erät'!H181+'9. Tulorahkorjauserät'!H181</f>
        <v>-2006.5097355713006</v>
      </c>
      <c r="I181" s="41">
        <f>Vuosikate!I181+'7. Nettoinvestoinnit '!I181+'8. Satunnaiset erät'!I181+'9. Tulorahkorjauserät'!I181</f>
        <v>-10685.254722540662</v>
      </c>
      <c r="J181" s="41">
        <f>Vuosikate!J181+'7. Nettoinvestoinnit '!J181+'8. Satunnaiset erät'!J181+'9. Tulorahkorjauserät'!J181</f>
        <v>-6717.582159499475</v>
      </c>
      <c r="K181" s="41">
        <f>Vuosikate!K181+'7. Nettoinvestoinnit '!K181+'8. Satunnaiset erät'!K181+'9. Tulorahkorjauserät'!K181</f>
        <v>3927.5011745960574</v>
      </c>
      <c r="L181" s="41">
        <f>Vuosikate!L181+'7. Nettoinvestoinnit '!L181+'8. Satunnaiset erät'!L181+'9. Tulorahkorjauserät'!L181</f>
        <v>-4973.7401835267865</v>
      </c>
      <c r="M181" s="41">
        <f>Vuosikate!M181+'7. Nettoinvestoinnit '!M181+'8. Satunnaiset erät'!M181+'9. Tulorahkorjauserät'!M181</f>
        <v>-7548.4933138180022</v>
      </c>
      <c r="N181" s="41">
        <f>Vuosikate!N181+'7. Nettoinvestoinnit '!N181+'8. Satunnaiset erät'!N181+'9. Tulorahkorjauserät'!N181</f>
        <v>-8495.2477684228234</v>
      </c>
      <c r="O181" s="41">
        <f>Vuosikate!O181+'7. Nettoinvestoinnit '!O181+'8. Satunnaiset erät'!O181+'9. Tulorahkorjauserät'!O181</f>
        <v>-8503.852765269874</v>
      </c>
      <c r="P181" s="41">
        <f>Vuosikate!P181+'7. Nettoinvestoinnit '!P181+'8. Satunnaiset erät'!P181+'9. Tulorahkorjauserät'!P181</f>
        <v>-7460.7892818246883</v>
      </c>
      <c r="T181" s="34">
        <v>560</v>
      </c>
      <c r="U181" s="88" t="s">
        <v>495</v>
      </c>
      <c r="V181" s="41" t="e">
        <f>C181/'1. Väestöennuste'!E181*1000</f>
        <v>#REF!</v>
      </c>
      <c r="W181" s="41">
        <f>D181/'1. Väestöennuste'!F181*1000</f>
        <v>103.87615946925487</v>
      </c>
      <c r="X181" s="41">
        <f>E181/'1. Väestöennuste'!G181*1000</f>
        <v>-277.04827076012577</v>
      </c>
      <c r="Y181" s="41">
        <f>F181/'1. Väestöennuste'!H181*1000</f>
        <v>-584.67466285501212</v>
      </c>
      <c r="Z181" s="41">
        <f>G181/'1. Väestöennuste'!I181*1000</f>
        <v>-333.74992188964569</v>
      </c>
      <c r="AA181" s="41">
        <f>H181/'1. Väestöennuste'!J181*1000</f>
        <v>-126.33860569017131</v>
      </c>
      <c r="AB181" s="41">
        <f>I181/'1. Väestöennuste'!K181*1000</f>
        <v>-675.93969651699524</v>
      </c>
      <c r="AC181" s="41">
        <f>J181/'1. Väestöennuste'!L181*1000</f>
        <v>-426.91974321572769</v>
      </c>
      <c r="AD181" s="41">
        <f>K181/'1. Väestöennuste'!M181*1000</f>
        <v>250.65423285442961</v>
      </c>
      <c r="AE181" s="41">
        <f>L181/'1. Väestöennuste'!N181*1000</f>
        <v>-320.4110148506594</v>
      </c>
      <c r="AF181" s="41">
        <f>M181/'1. Väestöennuste'!O181*1000</f>
        <v>-489.11380248934114</v>
      </c>
      <c r="AG181" s="41">
        <f>N181/'1. Väestöennuste'!P181*1000</f>
        <v>-553.50845507055146</v>
      </c>
      <c r="AH181" s="41">
        <f>O181/'1. Väestöennuste'!Q181*1000</f>
        <v>-557.04524860931974</v>
      </c>
      <c r="AI181" s="41">
        <f>P181/'1. Väestöennuste'!R181*1000</f>
        <v>-491.35861971975027</v>
      </c>
    </row>
    <row r="182" spans="1:35" x14ac:dyDescent="0.2">
      <c r="A182" s="34">
        <v>561</v>
      </c>
      <c r="B182" s="88" t="s">
        <v>496</v>
      </c>
      <c r="C182" s="41" t="e">
        <f>Vuosikate!C182+'7. Nettoinvestoinnit '!C182+'8. Satunnaiset erät'!C182+'9. Tulorahkorjauserät'!C182</f>
        <v>#REF!</v>
      </c>
      <c r="D182" s="41">
        <f>Vuosikate!D182+'7. Nettoinvestoinnit '!D182+'8. Satunnaiset erät'!D182+'9. Tulorahkorjauserät'!D182</f>
        <v>157</v>
      </c>
      <c r="E182" s="41">
        <f>Vuosikate!E182+'7. Nettoinvestoinnit '!E182+'8. Satunnaiset erät'!E182+'9. Tulorahkorjauserät'!E182</f>
        <v>-907</v>
      </c>
      <c r="F182" s="41">
        <f>Vuosikate!F182+'7. Nettoinvestoinnit '!F182+'8. Satunnaiset erät'!F182+'9. Tulorahkorjauserät'!F182</f>
        <v>-943</v>
      </c>
      <c r="G182" s="41">
        <f>Vuosikate!G182+'7. Nettoinvestoinnit '!G182+'8. Satunnaiset erät'!G182+'9. Tulorahkorjauserät'!G182</f>
        <v>283</v>
      </c>
      <c r="H182" s="41">
        <f>Vuosikate!H182+'7. Nettoinvestoinnit '!H182+'8. Satunnaiset erät'!H182+'9. Tulorahkorjauserät'!H182</f>
        <v>719.74318259368465</v>
      </c>
      <c r="I182" s="41">
        <f>Vuosikate!I182+'7. Nettoinvestoinnit '!I182+'8. Satunnaiset erät'!I182+'9. Tulorahkorjauserät'!I182</f>
        <v>667.65090226430448</v>
      </c>
      <c r="J182" s="41">
        <f>Vuosikate!J182+'7. Nettoinvestoinnit '!J182+'8. Satunnaiset erät'!J182+'9. Tulorahkorjauserät'!J182</f>
        <v>137.07782560770175</v>
      </c>
      <c r="K182" s="41">
        <f>Vuosikate!K182+'7. Nettoinvestoinnit '!K182+'8. Satunnaiset erät'!K182+'9. Tulorahkorjauserät'!K182</f>
        <v>384.38218121047322</v>
      </c>
      <c r="L182" s="41">
        <f>Vuosikate!L182+'7. Nettoinvestoinnit '!L182+'8. Satunnaiset erät'!L182+'9. Tulorahkorjauserät'!L182</f>
        <v>116.85866922013543</v>
      </c>
      <c r="M182" s="41">
        <f>Vuosikate!M182+'7. Nettoinvestoinnit '!M182+'8. Satunnaiset erät'!M182+'9. Tulorahkorjauserät'!M182</f>
        <v>-246.39487359839632</v>
      </c>
      <c r="N182" s="41">
        <f>Vuosikate!N182+'7. Nettoinvestoinnit '!N182+'8. Satunnaiset erät'!N182+'9. Tulorahkorjauserät'!N182</f>
        <v>-567.15106129425453</v>
      </c>
      <c r="O182" s="41">
        <f>Vuosikate!O182+'7. Nettoinvestoinnit '!O182+'8. Satunnaiset erät'!O182+'9. Tulorahkorjauserät'!O182</f>
        <v>-517.53282000906245</v>
      </c>
      <c r="P182" s="41">
        <f>Vuosikate!P182+'7. Nettoinvestoinnit '!P182+'8. Satunnaiset erät'!P182+'9. Tulorahkorjauserät'!P182</f>
        <v>-559.06891918304427</v>
      </c>
      <c r="T182" s="34">
        <v>561</v>
      </c>
      <c r="U182" s="88" t="s">
        <v>496</v>
      </c>
      <c r="V182" s="41" t="e">
        <f>C182/'1. Väestöennuste'!E182*1000</f>
        <v>#REF!</v>
      </c>
      <c r="W182" s="41">
        <f>D182/'1. Väestöennuste'!F182*1000</f>
        <v>115.18708730741012</v>
      </c>
      <c r="X182" s="41">
        <f>E182/'1. Väestöennuste'!G182*1000</f>
        <v>-656.29522431259045</v>
      </c>
      <c r="Y182" s="41">
        <f>F182/'1. Väestöennuste'!H182*1000</f>
        <v>-691.34897360703815</v>
      </c>
      <c r="Z182" s="41">
        <f>G182/'1. Väestöennuste'!I182*1000</f>
        <v>212.94206170052672</v>
      </c>
      <c r="AA182" s="41">
        <f>H182/'1. Väestöennuste'!J182*1000</f>
        <v>539.53761813619542</v>
      </c>
      <c r="AB182" s="41">
        <f>I182/'1. Väestöennuste'!K182*1000</f>
        <v>499.36492315953961</v>
      </c>
      <c r="AC182" s="41">
        <f>J182/'1. Väestöennuste'!L182*1000</f>
        <v>104.08339074237036</v>
      </c>
      <c r="AD182" s="41">
        <f>K182/'1. Väestöennuste'!M182*1000</f>
        <v>292.30584122469446</v>
      </c>
      <c r="AE182" s="41">
        <f>L182/'1. Väestöennuste'!N182*1000</f>
        <v>89.205091007736968</v>
      </c>
      <c r="AF182" s="41">
        <f>M182/'1. Väestöennuste'!O182*1000</f>
        <v>-188.80833225930752</v>
      </c>
      <c r="AG182" s="41">
        <f>N182/'1. Väestöennuste'!P182*1000</f>
        <v>-435.93471275499962</v>
      </c>
      <c r="AH182" s="41">
        <f>O182/'1. Väestöennuste'!Q182*1000</f>
        <v>-398.71557781900037</v>
      </c>
      <c r="AI182" s="41">
        <f>P182/'1. Väestöennuste'!R182*1000</f>
        <v>-431.71345110659786</v>
      </c>
    </row>
    <row r="183" spans="1:35" x14ac:dyDescent="0.2">
      <c r="A183" s="34">
        <v>562</v>
      </c>
      <c r="B183" s="88" t="s">
        <v>497</v>
      </c>
      <c r="C183" s="41" t="e">
        <f>Vuosikate!C183+'7. Nettoinvestoinnit '!C183+'8. Satunnaiset erät'!C183+'9. Tulorahkorjauserät'!C183</f>
        <v>#REF!</v>
      </c>
      <c r="D183" s="41">
        <f>Vuosikate!D183+'7. Nettoinvestoinnit '!D183+'8. Satunnaiset erät'!D183+'9. Tulorahkorjauserät'!D183</f>
        <v>223</v>
      </c>
      <c r="E183" s="41">
        <f>Vuosikate!E183+'7. Nettoinvestoinnit '!E183+'8. Satunnaiset erät'!E183+'9. Tulorahkorjauserät'!E183</f>
        <v>2658</v>
      </c>
      <c r="F183" s="41">
        <f>Vuosikate!F183+'7. Nettoinvestoinnit '!F183+'8. Satunnaiset erät'!F183+'9. Tulorahkorjauserät'!F183</f>
        <v>-1401</v>
      </c>
      <c r="G183" s="41">
        <f>Vuosikate!G183+'7. Nettoinvestoinnit '!G183+'8. Satunnaiset erät'!G183+'9. Tulorahkorjauserät'!G183</f>
        <v>-2129</v>
      </c>
      <c r="H183" s="41">
        <f>Vuosikate!H183+'7. Nettoinvestoinnit '!H183+'8. Satunnaiset erät'!H183+'9. Tulorahkorjauserät'!H183</f>
        <v>3248.5307824693155</v>
      </c>
      <c r="I183" s="41">
        <f>Vuosikate!I183+'7. Nettoinvestoinnit '!I183+'8. Satunnaiset erät'!I183+'9. Tulorahkorjauserät'!I183</f>
        <v>1105.6449515170373</v>
      </c>
      <c r="J183" s="41">
        <f>Vuosikate!J183+'7. Nettoinvestoinnit '!J183+'8. Satunnaiset erät'!J183+'9. Tulorahkorjauserät'!J183</f>
        <v>-240.53066166660102</v>
      </c>
      <c r="K183" s="41">
        <f>Vuosikate!K183+'7. Nettoinvestoinnit '!K183+'8. Satunnaiset erät'!K183+'9. Tulorahkorjauserät'!K183</f>
        <v>-847.75181909807418</v>
      </c>
      <c r="L183" s="41">
        <f>Vuosikate!L183+'7. Nettoinvestoinnit '!L183+'8. Satunnaiset erät'!L183+'9. Tulorahkorjauserät'!L183</f>
        <v>-2170.5514971647835</v>
      </c>
      <c r="M183" s="41">
        <f>Vuosikate!M183+'7. Nettoinvestoinnit '!M183+'8. Satunnaiset erät'!M183+'9. Tulorahkorjauserät'!M183</f>
        <v>-1766.9890052378964</v>
      </c>
      <c r="N183" s="41">
        <f>Vuosikate!N183+'7. Nettoinvestoinnit '!N183+'8. Satunnaiset erät'!N183+'9. Tulorahkorjauserät'!N183</f>
        <v>-1427.3563843012575</v>
      </c>
      <c r="O183" s="41">
        <f>Vuosikate!O183+'7. Nettoinvestoinnit '!O183+'8. Satunnaiset erät'!O183+'9. Tulorahkorjauserät'!O183</f>
        <v>-1746.0643769593116</v>
      </c>
      <c r="P183" s="41">
        <f>Vuosikate!P183+'7. Nettoinvestoinnit '!P183+'8. Satunnaiset erät'!P183+'9. Tulorahkorjauserät'!P183</f>
        <v>-827.24868302372397</v>
      </c>
      <c r="T183" s="34">
        <v>562</v>
      </c>
      <c r="U183" s="88" t="s">
        <v>497</v>
      </c>
      <c r="V183" s="41" t="e">
        <f>C183/'1. Väestöennuste'!E183*1000</f>
        <v>#REF!</v>
      </c>
      <c r="W183" s="41">
        <f>D183/'1. Väestöennuste'!F183*1000</f>
        <v>23.947594501718214</v>
      </c>
      <c r="X183" s="41">
        <f>E183/'1. Väestöennuste'!G183*1000</f>
        <v>286.26817447495961</v>
      </c>
      <c r="Y183" s="41">
        <f>F183/'1. Väestöennuste'!H183*1000</f>
        <v>-151.93579872031233</v>
      </c>
      <c r="Z183" s="41">
        <f>G183/'1. Väestöennuste'!I183*1000</f>
        <v>-232.47433937540947</v>
      </c>
      <c r="AA183" s="41">
        <f>H183/'1. Väestöennuste'!J183*1000</f>
        <v>360.62730711249066</v>
      </c>
      <c r="AB183" s="41">
        <f>I183/'1. Väestöennuste'!K183*1000</f>
        <v>123.15047354834454</v>
      </c>
      <c r="AC183" s="41">
        <f>J183/'1. Väestöennuste'!L183*1000</f>
        <v>-26.920051669457305</v>
      </c>
      <c r="AD183" s="41">
        <f>K183/'1. Väestöennuste'!M183*1000</f>
        <v>-95.910376637410806</v>
      </c>
      <c r="AE183" s="41">
        <f>L183/'1. Väestöennuste'!N183*1000</f>
        <v>-249.97713891106571</v>
      </c>
      <c r="AF183" s="41">
        <f>M183/'1. Väestöennuste'!O183*1000</f>
        <v>-205.15372172737682</v>
      </c>
      <c r="AG183" s="41">
        <f>N183/'1. Väestöennuste'!P183*1000</f>
        <v>-167.03995135181481</v>
      </c>
      <c r="AH183" s="41">
        <f>O183/'1. Väestöennuste'!Q183*1000</f>
        <v>-205.90381803765467</v>
      </c>
      <c r="AI183" s="41">
        <f>P183/'1. Väestöennuste'!R183*1000</f>
        <v>-98.259731918722409</v>
      </c>
    </row>
    <row r="184" spans="1:35" x14ac:dyDescent="0.2">
      <c r="A184" s="34">
        <v>563</v>
      </c>
      <c r="B184" s="88" t="s">
        <v>498</v>
      </c>
      <c r="C184" s="41" t="e">
        <f>Vuosikate!C184+'7. Nettoinvestoinnit '!C184+'8. Satunnaiset erät'!C184+'9. Tulorahkorjauserät'!C184</f>
        <v>#REF!</v>
      </c>
      <c r="D184" s="41">
        <f>Vuosikate!D184+'7. Nettoinvestoinnit '!D184+'8. Satunnaiset erät'!D184+'9. Tulorahkorjauserät'!D184</f>
        <v>-2378</v>
      </c>
      <c r="E184" s="41">
        <f>Vuosikate!E184+'7. Nettoinvestoinnit '!E184+'8. Satunnaiset erät'!E184+'9. Tulorahkorjauserät'!E184</f>
        <v>918</v>
      </c>
      <c r="F184" s="41">
        <f>Vuosikate!F184+'7. Nettoinvestoinnit '!F184+'8. Satunnaiset erät'!F184+'9. Tulorahkorjauserät'!F184</f>
        <v>-1328</v>
      </c>
      <c r="G184" s="41">
        <f>Vuosikate!G184+'7. Nettoinvestoinnit '!G184+'8. Satunnaiset erät'!G184+'9. Tulorahkorjauserät'!G184</f>
        <v>-1452</v>
      </c>
      <c r="H184" s="41">
        <f>Vuosikate!H184+'7. Nettoinvestoinnit '!H184+'8. Satunnaiset erät'!H184+'9. Tulorahkorjauserät'!H184</f>
        <v>2257.5390686318788</v>
      </c>
      <c r="I184" s="41">
        <f>Vuosikate!I184+'7. Nettoinvestoinnit '!I184+'8. Satunnaiset erät'!I184+'9. Tulorahkorjauserät'!I184</f>
        <v>-565.38290770169203</v>
      </c>
      <c r="J184" s="41">
        <f>Vuosikate!J184+'7. Nettoinvestoinnit '!J184+'8. Satunnaiset erät'!J184+'9. Tulorahkorjauserät'!J184</f>
        <v>-4630.1783330816643</v>
      </c>
      <c r="K184" s="41">
        <f>Vuosikate!K184+'7. Nettoinvestoinnit '!K184+'8. Satunnaiset erät'!K184+'9. Tulorahkorjauserät'!K184</f>
        <v>-395.6907919187604</v>
      </c>
      <c r="L184" s="41">
        <f>Vuosikate!L184+'7. Nettoinvestoinnit '!L184+'8. Satunnaiset erät'!L184+'9. Tulorahkorjauserät'!L184</f>
        <v>-1027.1296883033554</v>
      </c>
      <c r="M184" s="41">
        <f>Vuosikate!M184+'7. Nettoinvestoinnit '!M184+'8. Satunnaiset erät'!M184+'9. Tulorahkorjauserät'!M184</f>
        <v>-4000.2727876917652</v>
      </c>
      <c r="N184" s="41">
        <f>Vuosikate!N184+'7. Nettoinvestoinnit '!N184+'8. Satunnaiset erät'!N184+'9. Tulorahkorjauserät'!N184</f>
        <v>-3849.5465716138115</v>
      </c>
      <c r="O184" s="41">
        <f>Vuosikate!O184+'7. Nettoinvestoinnit '!O184+'8. Satunnaiset erät'!O184+'9. Tulorahkorjauserät'!O184</f>
        <v>-3792.8029142757423</v>
      </c>
      <c r="P184" s="41">
        <f>Vuosikate!P184+'7. Nettoinvestoinnit '!P184+'8. Satunnaiset erät'!P184+'9. Tulorahkorjauserät'!P184</f>
        <v>-2955.2587859483961</v>
      </c>
      <c r="T184" s="34">
        <v>563</v>
      </c>
      <c r="U184" s="88" t="s">
        <v>498</v>
      </c>
      <c r="V184" s="41" t="e">
        <f>C184/'1. Väestöennuste'!E184*1000</f>
        <v>#REF!</v>
      </c>
      <c r="W184" s="41">
        <f>D184/'1. Väestöennuste'!F184*1000</f>
        <v>-316.47591163162099</v>
      </c>
      <c r="X184" s="41">
        <f>E184/'1. Väestöennuste'!G184*1000</f>
        <v>122.85867237687366</v>
      </c>
      <c r="Y184" s="41">
        <f>F184/'1. Väestöennuste'!H184*1000</f>
        <v>-178.73485868102287</v>
      </c>
      <c r="Z184" s="41">
        <f>G184/'1. Väestöennuste'!I184*1000</f>
        <v>-199.23161361141604</v>
      </c>
      <c r="AA184" s="41">
        <f>H184/'1. Väestöennuste'!J184*1000</f>
        <v>315.51908716029055</v>
      </c>
      <c r="AB184" s="41">
        <f>I184/'1. Väestöennuste'!K184*1000</f>
        <v>-79.608970388861167</v>
      </c>
      <c r="AC184" s="41">
        <f>J184/'1. Väestöennuste'!L184*1000</f>
        <v>-659.10011858813721</v>
      </c>
      <c r="AD184" s="41">
        <f>K184/'1. Väestöennuste'!M184*1000</f>
        <v>-56.705473189848149</v>
      </c>
      <c r="AE184" s="41">
        <f>L184/'1. Väestöennuste'!N184*1000</f>
        <v>-150.56137324880612</v>
      </c>
      <c r="AF184" s="41">
        <f>M184/'1. Väestöennuste'!O184*1000</f>
        <v>-593.33621888041614</v>
      </c>
      <c r="AG184" s="41">
        <f>N184/'1. Väestöennuste'!P184*1000</f>
        <v>-577.74974810352865</v>
      </c>
      <c r="AH184" s="41">
        <f>O184/'1. Väestöennuste'!Q184*1000</f>
        <v>-575.88869029391776</v>
      </c>
      <c r="AI184" s="41">
        <f>P184/'1. Väestöennuste'!R184*1000</f>
        <v>-453.74770243334808</v>
      </c>
    </row>
    <row r="185" spans="1:35" x14ac:dyDescent="0.2">
      <c r="A185" s="34">
        <v>564</v>
      </c>
      <c r="B185" s="88" t="s">
        <v>499</v>
      </c>
      <c r="C185" s="41" t="e">
        <f>Vuosikate!C185+'7. Nettoinvestoinnit '!C185+'8. Satunnaiset erät'!C185+'9. Tulorahkorjauserät'!C185</f>
        <v>#REF!</v>
      </c>
      <c r="D185" s="41">
        <f>Vuosikate!D185+'7. Nettoinvestoinnit '!D185+'8. Satunnaiset erät'!D185+'9. Tulorahkorjauserät'!D185</f>
        <v>-34355</v>
      </c>
      <c r="E185" s="41">
        <f>Vuosikate!E185+'7. Nettoinvestoinnit '!E185+'8. Satunnaiset erät'!E185+'9. Tulorahkorjauserät'!E185</f>
        <v>24854</v>
      </c>
      <c r="F185" s="41">
        <f>Vuosikate!F185+'7. Nettoinvestoinnit '!F185+'8. Satunnaiset erät'!F185+'9. Tulorahkorjauserät'!F185</f>
        <v>-47613</v>
      </c>
      <c r="G185" s="41">
        <f>Vuosikate!G185+'7. Nettoinvestoinnit '!G185+'8. Satunnaiset erät'!G185+'9. Tulorahkorjauserät'!G185</f>
        <v>-65808</v>
      </c>
      <c r="H185" s="41">
        <f>Vuosikate!H185+'7. Nettoinvestoinnit '!H185+'8. Satunnaiset erät'!H185+'9. Tulorahkorjauserät'!H185</f>
        <v>-17824.625001200184</v>
      </c>
      <c r="I185" s="41">
        <f>Vuosikate!I185+'7. Nettoinvestoinnit '!I185+'8. Satunnaiset erät'!I185+'9. Tulorahkorjauserät'!I185</f>
        <v>41394.327350619948</v>
      </c>
      <c r="J185" s="41">
        <f>Vuosikate!J185+'7. Nettoinvestoinnit '!J185+'8. Satunnaiset erät'!J185+'9. Tulorahkorjauserät'!J185</f>
        <v>182317.65687285407</v>
      </c>
      <c r="K185" s="41">
        <f>Vuosikate!K185+'7. Nettoinvestoinnit '!K185+'8. Satunnaiset erät'!K185+'9. Tulorahkorjauserät'!K185</f>
        <v>-32686.680268212855</v>
      </c>
      <c r="L185" s="41">
        <f>Vuosikate!L185+'7. Nettoinvestoinnit '!L185+'8. Satunnaiset erät'!L185+'9. Tulorahkorjauserät'!L185</f>
        <v>-83496.499489041453</v>
      </c>
      <c r="M185" s="41">
        <f>Vuosikate!M185+'7. Nettoinvestoinnit '!M185+'8. Satunnaiset erät'!M185+'9. Tulorahkorjauserät'!M185</f>
        <v>-139153.6298781634</v>
      </c>
      <c r="N185" s="41">
        <f>Vuosikate!N185+'7. Nettoinvestoinnit '!N185+'8. Satunnaiset erät'!N185+'9. Tulorahkorjauserät'!N185</f>
        <v>-136470.88290425309</v>
      </c>
      <c r="O185" s="41">
        <f>Vuosikate!O185+'7. Nettoinvestoinnit '!O185+'8. Satunnaiset erät'!O185+'9. Tulorahkorjauserät'!O185</f>
        <v>-140187.93689242733</v>
      </c>
      <c r="P185" s="41">
        <f>Vuosikate!P185+'7. Nettoinvestoinnit '!P185+'8. Satunnaiset erät'!P185+'9. Tulorahkorjauserät'!P185</f>
        <v>-138471.65521013399</v>
      </c>
      <c r="T185" s="34">
        <v>564</v>
      </c>
      <c r="U185" s="88" t="s">
        <v>499</v>
      </c>
      <c r="V185" s="41" t="e">
        <f>C185/'1. Väestöennuste'!E185*1000</f>
        <v>#REF!</v>
      </c>
      <c r="W185" s="41">
        <f>D185/'1. Väestöennuste'!F185*1000</f>
        <v>-171.32441678385845</v>
      </c>
      <c r="X185" s="41">
        <f>E185/'1. Väestöennuste'!G185*1000</f>
        <v>123.15544323868987</v>
      </c>
      <c r="Y185" s="41">
        <f>F185/'1. Väestöennuste'!H185*1000</f>
        <v>-233.89350926230676</v>
      </c>
      <c r="Z185" s="41">
        <f>G185/'1. Väestöennuste'!I185*1000</f>
        <v>-320.2507190165897</v>
      </c>
      <c r="AA185" s="41">
        <f>H185/'1. Väestöennuste'!J185*1000</f>
        <v>-85.973486334149356</v>
      </c>
      <c r="AB185" s="41">
        <f>I185/'1. Väestöennuste'!K185*1000</f>
        <v>197.53820001154827</v>
      </c>
      <c r="AC185" s="41">
        <f>J185/'1. Väestöennuste'!L185*1000</f>
        <v>860.60598576740915</v>
      </c>
      <c r="AD185" s="41">
        <f>K185/'1. Väestöennuste'!M185*1000</f>
        <v>-152.291028258529</v>
      </c>
      <c r="AE185" s="41">
        <f>L185/'1. Väestöennuste'!N185*1000</f>
        <v>-388.54556638842899</v>
      </c>
      <c r="AF185" s="41">
        <f>M185/'1. Väestöennuste'!O185*1000</f>
        <v>-642.73897061982814</v>
      </c>
      <c r="AG185" s="41">
        <f>N185/'1. Väestöennuste'!P185*1000</f>
        <v>-625.96153943368472</v>
      </c>
      <c r="AH185" s="41">
        <f>O185/'1. Väestöennuste'!Q185*1000</f>
        <v>-638.76835998481465</v>
      </c>
      <c r="AI185" s="41">
        <f>P185/'1. Väestöennuste'!R185*1000</f>
        <v>-627.00265437218525</v>
      </c>
    </row>
    <row r="186" spans="1:35" x14ac:dyDescent="0.2">
      <c r="A186" s="34">
        <v>576</v>
      </c>
      <c r="B186" s="88" t="s">
        <v>500</v>
      </c>
      <c r="C186" s="41" t="e">
        <f>Vuosikate!C186+'7. Nettoinvestoinnit '!C186+'8. Satunnaiset erät'!C186+'9. Tulorahkorjauserät'!C186</f>
        <v>#REF!</v>
      </c>
      <c r="D186" s="41">
        <f>Vuosikate!D186+'7. Nettoinvestoinnit '!D186+'8. Satunnaiset erät'!D186+'9. Tulorahkorjauserät'!D186</f>
        <v>-573</v>
      </c>
      <c r="E186" s="41">
        <f>Vuosikate!E186+'7. Nettoinvestoinnit '!E186+'8. Satunnaiset erät'!E186+'9. Tulorahkorjauserät'!E186</f>
        <v>539</v>
      </c>
      <c r="F186" s="41">
        <f>Vuosikate!F186+'7. Nettoinvestoinnit '!F186+'8. Satunnaiset erät'!F186+'9. Tulorahkorjauserät'!F186</f>
        <v>-120</v>
      </c>
      <c r="G186" s="41">
        <f>Vuosikate!G186+'7. Nettoinvestoinnit '!G186+'8. Satunnaiset erät'!G186+'9. Tulorahkorjauserät'!G186</f>
        <v>-943</v>
      </c>
      <c r="H186" s="41">
        <f>Vuosikate!H186+'7. Nettoinvestoinnit '!H186+'8. Satunnaiset erät'!H186+'9. Tulorahkorjauserät'!H186</f>
        <v>2410.4762212534388</v>
      </c>
      <c r="I186" s="41">
        <f>Vuosikate!I186+'7. Nettoinvestoinnit '!I186+'8. Satunnaiset erät'!I186+'9. Tulorahkorjauserät'!I186</f>
        <v>1597.0661607483307</v>
      </c>
      <c r="J186" s="41">
        <f>Vuosikate!J186+'7. Nettoinvestoinnit '!J186+'8. Satunnaiset erät'!J186+'9. Tulorahkorjauserät'!J186</f>
        <v>2099.3071212124573</v>
      </c>
      <c r="K186" s="41">
        <f>Vuosikate!K186+'7. Nettoinvestoinnit '!K186+'8. Satunnaiset erät'!K186+'9. Tulorahkorjauserät'!K186</f>
        <v>-379.38366130321685</v>
      </c>
      <c r="L186" s="41">
        <f>Vuosikate!L186+'7. Nettoinvestoinnit '!L186+'8. Satunnaiset erät'!L186+'9. Tulorahkorjauserät'!L186</f>
        <v>-28.176730581566744</v>
      </c>
      <c r="M186" s="41">
        <f>Vuosikate!M186+'7. Nettoinvestoinnit '!M186+'8. Satunnaiset erät'!M186+'9. Tulorahkorjauserät'!M186</f>
        <v>-748.65792722097285</v>
      </c>
      <c r="N186" s="41">
        <f>Vuosikate!N186+'7. Nettoinvestoinnit '!N186+'8. Satunnaiset erät'!N186+'9. Tulorahkorjauserät'!N186</f>
        <v>-866.24044215942263</v>
      </c>
      <c r="O186" s="41">
        <f>Vuosikate!O186+'7. Nettoinvestoinnit '!O186+'8. Satunnaiset erät'!O186+'9. Tulorahkorjauserät'!O186</f>
        <v>-1042.9936144115204</v>
      </c>
      <c r="P186" s="41">
        <f>Vuosikate!P186+'7. Nettoinvestoinnit '!P186+'8. Satunnaiset erät'!P186+'9. Tulorahkorjauserät'!P186</f>
        <v>-798.42125261810565</v>
      </c>
      <c r="T186" s="34">
        <v>576</v>
      </c>
      <c r="U186" s="88" t="s">
        <v>500</v>
      </c>
      <c r="V186" s="41" t="e">
        <f>C186/'1. Väestöennuste'!E186*1000</f>
        <v>#REF!</v>
      </c>
      <c r="W186" s="41">
        <f>D186/'1. Väestöennuste'!F186*1000</f>
        <v>-186.46273999349168</v>
      </c>
      <c r="X186" s="41">
        <f>E186/'1. Väestöennuste'!G186*1000</f>
        <v>178.06408985794516</v>
      </c>
      <c r="Y186" s="41">
        <f>F186/'1. Väestöennuste'!H186*1000</f>
        <v>-40.499493756328043</v>
      </c>
      <c r="Z186" s="41">
        <f>G186/'1. Väestöennuste'!I186*1000</f>
        <v>-325.62154696132598</v>
      </c>
      <c r="AA186" s="41">
        <f>H186/'1. Väestöennuste'!J186*1000</f>
        <v>842.52926293374298</v>
      </c>
      <c r="AB186" s="41">
        <f>I186/'1. Väestöennuste'!K186*1000</f>
        <v>567.74481363253847</v>
      </c>
      <c r="AC186" s="41">
        <f>J186/'1. Väestöennuste'!L186*1000</f>
        <v>763.38440771362082</v>
      </c>
      <c r="AD186" s="41">
        <f>K186/'1. Väestöennuste'!M186*1000</f>
        <v>-139.17228954630113</v>
      </c>
      <c r="AE186" s="41">
        <f>L186/'1. Väestöennuste'!N186*1000</f>
        <v>-10.513705440883113</v>
      </c>
      <c r="AF186" s="41">
        <f>M186/'1. Väestöennuste'!O186*1000</f>
        <v>-283.36787555676489</v>
      </c>
      <c r="AG186" s="41">
        <f>N186/'1. Väestöennuste'!P186*1000</f>
        <v>-332.40231855695419</v>
      </c>
      <c r="AH186" s="41">
        <f>O186/'1. Väestöennuste'!Q186*1000</f>
        <v>-405.51851260167973</v>
      </c>
      <c r="AI186" s="41">
        <f>P186/'1. Väestöennuste'!R186*1000</f>
        <v>-314.46288011741063</v>
      </c>
    </row>
    <row r="187" spans="1:35" x14ac:dyDescent="0.2">
      <c r="A187" s="34">
        <v>577</v>
      </c>
      <c r="B187" s="88" t="s">
        <v>501</v>
      </c>
      <c r="C187" s="41" t="e">
        <f>Vuosikate!C187+'7. Nettoinvestoinnit '!C187+'8. Satunnaiset erät'!C187+'9. Tulorahkorjauserät'!C187</f>
        <v>#REF!</v>
      </c>
      <c r="D187" s="41">
        <f>Vuosikate!D187+'7. Nettoinvestoinnit '!D187+'8. Satunnaiset erät'!D187+'9. Tulorahkorjauserät'!D187</f>
        <v>-845</v>
      </c>
      <c r="E187" s="41">
        <f>Vuosikate!E187+'7. Nettoinvestoinnit '!E187+'8. Satunnaiset erät'!E187+'9. Tulorahkorjauserät'!E187</f>
        <v>2974</v>
      </c>
      <c r="F187" s="41">
        <f>Vuosikate!F187+'7. Nettoinvestoinnit '!F187+'8. Satunnaiset erät'!F187+'9. Tulorahkorjauserät'!F187</f>
        <v>-4622</v>
      </c>
      <c r="G187" s="41">
        <f>Vuosikate!G187+'7. Nettoinvestoinnit '!G187+'8. Satunnaiset erät'!G187+'9. Tulorahkorjauserät'!G187</f>
        <v>-6595</v>
      </c>
      <c r="H187" s="41">
        <f>Vuosikate!H187+'7. Nettoinvestoinnit '!H187+'8. Satunnaiset erät'!H187+'9. Tulorahkorjauserät'!H187</f>
        <v>2461.7374185103799</v>
      </c>
      <c r="I187" s="41">
        <f>Vuosikate!I187+'7. Nettoinvestoinnit '!I187+'8. Satunnaiset erät'!I187+'9. Tulorahkorjauserät'!I187</f>
        <v>-342.05345857302518</v>
      </c>
      <c r="J187" s="41">
        <f>Vuosikate!J187+'7. Nettoinvestoinnit '!J187+'8. Satunnaiset erät'!J187+'9. Tulorahkorjauserät'!J187</f>
        <v>468.72055489242376</v>
      </c>
      <c r="K187" s="41">
        <f>Vuosikate!K187+'7. Nettoinvestoinnit '!K187+'8. Satunnaiset erät'!K187+'9. Tulorahkorjauserät'!K187</f>
        <v>509.74552303230797</v>
      </c>
      <c r="L187" s="41">
        <f>Vuosikate!L187+'7. Nettoinvestoinnit '!L187+'8. Satunnaiset erät'!L187+'9. Tulorahkorjauserät'!L187</f>
        <v>-3492.8868613274408</v>
      </c>
      <c r="M187" s="41">
        <f>Vuosikate!M187+'7. Nettoinvestoinnit '!M187+'8. Satunnaiset erät'!M187+'9. Tulorahkorjauserät'!M187</f>
        <v>-3696.6567886602388</v>
      </c>
      <c r="N187" s="41">
        <f>Vuosikate!N187+'7. Nettoinvestoinnit '!N187+'8. Satunnaiset erät'!N187+'9. Tulorahkorjauserät'!N187</f>
        <v>-3145.9019543448567</v>
      </c>
      <c r="O187" s="41">
        <f>Vuosikate!O187+'7. Nettoinvestoinnit '!O187+'8. Satunnaiset erät'!O187+'9. Tulorahkorjauserät'!O187</f>
        <v>-3298.8878175990208</v>
      </c>
      <c r="P187" s="41">
        <f>Vuosikate!P187+'7. Nettoinvestoinnit '!P187+'8. Satunnaiset erät'!P187+'9. Tulorahkorjauserät'!P187</f>
        <v>-3290.9511255502052</v>
      </c>
      <c r="T187" s="34">
        <v>577</v>
      </c>
      <c r="U187" s="88" t="s">
        <v>501</v>
      </c>
      <c r="V187" s="41" t="e">
        <f>C187/'1. Väestöennuste'!E187*1000</f>
        <v>#REF!</v>
      </c>
      <c r="W187" s="41">
        <f>D187/'1. Väestöennuste'!F187*1000</f>
        <v>-78.876131802482973</v>
      </c>
      <c r="X187" s="41">
        <f>E187/'1. Väestöennuste'!G187*1000</f>
        <v>277.16682199440817</v>
      </c>
      <c r="Y187" s="41">
        <f>F187/'1. Väestöennuste'!H187*1000</f>
        <v>-426.69867060561302</v>
      </c>
      <c r="Z187" s="41">
        <f>G187/'1. Väestöennuste'!I187*1000</f>
        <v>-607.83410138248848</v>
      </c>
      <c r="AA187" s="41">
        <f>H187/'1. Väestöennuste'!J187*1000</f>
        <v>225.39254884731548</v>
      </c>
      <c r="AB187" s="41">
        <f>I187/'1. Väestöennuste'!K187*1000</f>
        <v>-30.980296945297091</v>
      </c>
      <c r="AC187" s="41">
        <f>J187/'1. Väestöennuste'!L187*1000</f>
        <v>42.083009058396819</v>
      </c>
      <c r="AD187" s="41">
        <f>K187/'1. Väestöennuste'!M187*1000</f>
        <v>45.367170081195084</v>
      </c>
      <c r="AE187" s="41">
        <f>L187/'1. Väestöennuste'!N187*1000</f>
        <v>-314.02381204058628</v>
      </c>
      <c r="AF187" s="41">
        <f>M187/'1. Väestöennuste'!O187*1000</f>
        <v>-330.85624171307967</v>
      </c>
      <c r="AG187" s="41">
        <f>N187/'1. Väestöennuste'!P187*1000</f>
        <v>-280.38341839080721</v>
      </c>
      <c r="AH187" s="41">
        <f>O187/'1. Väestöennuste'!Q187*1000</f>
        <v>-292.89601505806809</v>
      </c>
      <c r="AI187" s="41">
        <f>P187/'1. Väestöennuste'!R187*1000</f>
        <v>-291.23461288054915</v>
      </c>
    </row>
    <row r="188" spans="1:35" x14ac:dyDescent="0.2">
      <c r="A188" s="34">
        <v>578</v>
      </c>
      <c r="B188" s="88" t="s">
        <v>502</v>
      </c>
      <c r="C188" s="41" t="e">
        <f>Vuosikate!C188+'7. Nettoinvestoinnit '!C188+'8. Satunnaiset erät'!C188+'9. Tulorahkorjauserät'!C188</f>
        <v>#REF!</v>
      </c>
      <c r="D188" s="41">
        <f>Vuosikate!D188+'7. Nettoinvestoinnit '!D188+'8. Satunnaiset erät'!D188+'9. Tulorahkorjauserät'!D188</f>
        <v>-682</v>
      </c>
      <c r="E188" s="41">
        <f>Vuosikate!E188+'7. Nettoinvestoinnit '!E188+'8. Satunnaiset erät'!E188+'9. Tulorahkorjauserät'!E188</f>
        <v>-514</v>
      </c>
      <c r="F188" s="41">
        <f>Vuosikate!F188+'7. Nettoinvestoinnit '!F188+'8. Satunnaiset erät'!F188+'9. Tulorahkorjauserät'!F188</f>
        <v>-1607</v>
      </c>
      <c r="G188" s="41">
        <f>Vuosikate!G188+'7. Nettoinvestoinnit '!G188+'8. Satunnaiset erät'!G188+'9. Tulorahkorjauserät'!G188</f>
        <v>-616</v>
      </c>
      <c r="H188" s="41">
        <f>Vuosikate!H188+'7. Nettoinvestoinnit '!H188+'8. Satunnaiset erät'!H188+'9. Tulorahkorjauserät'!H188</f>
        <v>-717.1183021666493</v>
      </c>
      <c r="I188" s="41">
        <f>Vuosikate!I188+'7. Nettoinvestoinnit '!I188+'8. Satunnaiset erät'!I188+'9. Tulorahkorjauserät'!I188</f>
        <v>-706.20797348133283</v>
      </c>
      <c r="J188" s="41">
        <f>Vuosikate!J188+'7. Nettoinvestoinnit '!J188+'8. Satunnaiset erät'!J188+'9. Tulorahkorjauserät'!J188</f>
        <v>-566.54479403232142</v>
      </c>
      <c r="K188" s="41">
        <f>Vuosikate!K188+'7. Nettoinvestoinnit '!K188+'8. Satunnaiset erät'!K188+'9. Tulorahkorjauserät'!K188</f>
        <v>265.81066134545921</v>
      </c>
      <c r="L188" s="41">
        <f>Vuosikate!L188+'7. Nettoinvestoinnit '!L188+'8. Satunnaiset erät'!L188+'9. Tulorahkorjauserät'!L188</f>
        <v>117.35629012571462</v>
      </c>
      <c r="M188" s="41">
        <f>Vuosikate!M188+'7. Nettoinvestoinnit '!M188+'8. Satunnaiset erät'!M188+'9. Tulorahkorjauserät'!M188</f>
        <v>-1061.3077899421419</v>
      </c>
      <c r="N188" s="41">
        <f>Vuosikate!N188+'7. Nettoinvestoinnit '!N188+'8. Satunnaiset erät'!N188+'9. Tulorahkorjauserät'!N188</f>
        <v>-1276.9060835318826</v>
      </c>
      <c r="O188" s="41">
        <f>Vuosikate!O188+'7. Nettoinvestoinnit '!O188+'8. Satunnaiset erät'!O188+'9. Tulorahkorjauserät'!O188</f>
        <v>-1366.4584267946336</v>
      </c>
      <c r="P188" s="41">
        <f>Vuosikate!P188+'7. Nettoinvestoinnit '!P188+'8. Satunnaiset erät'!P188+'9. Tulorahkorjauserät'!P188</f>
        <v>-1274.7534081111944</v>
      </c>
      <c r="T188" s="34">
        <v>578</v>
      </c>
      <c r="U188" s="88" t="s">
        <v>502</v>
      </c>
      <c r="V188" s="41" t="e">
        <f>C188/'1. Väestöennuste'!E188*1000</f>
        <v>#REF!</v>
      </c>
      <c r="W188" s="41">
        <f>D188/'1. Väestöennuste'!F188*1000</f>
        <v>-195.35949584646235</v>
      </c>
      <c r="X188" s="41">
        <f>E188/'1. Väestöennuste'!G188*1000</f>
        <v>-149.63609898107717</v>
      </c>
      <c r="Y188" s="41">
        <f>F188/'1. Väestöennuste'!H188*1000</f>
        <v>-481.71462829736214</v>
      </c>
      <c r="Z188" s="41">
        <f>G188/'1. Väestöennuste'!I188*1000</f>
        <v>-188.20653834402691</v>
      </c>
      <c r="AA188" s="41">
        <f>H188/'1. Väestöennuste'!J188*1000</f>
        <v>-221.67490020607397</v>
      </c>
      <c r="AB188" s="41">
        <f>I188/'1. Väestöennuste'!K188*1000</f>
        <v>-221.86866901706969</v>
      </c>
      <c r="AC188" s="41">
        <f>J188/'1. Väestöennuste'!L188*1000</f>
        <v>-182.75638517171657</v>
      </c>
      <c r="AD188" s="41">
        <f>K188/'1. Väestöennuste'!M188*1000</f>
        <v>87.524090005090287</v>
      </c>
      <c r="AE188" s="41">
        <f>L188/'1. Väestöennuste'!N188*1000</f>
        <v>38.452257577232842</v>
      </c>
      <c r="AF188" s="41">
        <f>M188/'1. Väestöennuste'!O188*1000</f>
        <v>-352.35982401797537</v>
      </c>
      <c r="AG188" s="41">
        <f>N188/'1. Väestöennuste'!P188*1000</f>
        <v>-429.35645041421742</v>
      </c>
      <c r="AH188" s="41">
        <f>O188/'1. Väestöennuste'!Q188*1000</f>
        <v>-465.09817113500122</v>
      </c>
      <c r="AI188" s="41">
        <f>P188/'1. Väestöennuste'!R188*1000</f>
        <v>-439.11588291808278</v>
      </c>
    </row>
    <row r="189" spans="1:35" x14ac:dyDescent="0.2">
      <c r="A189" s="34">
        <v>580</v>
      </c>
      <c r="B189" s="88" t="s">
        <v>503</v>
      </c>
      <c r="C189" s="41" t="e">
        <f>Vuosikate!C189+'7. Nettoinvestoinnit '!C189+'8. Satunnaiset erät'!C189+'9. Tulorahkorjauserät'!C189</f>
        <v>#REF!</v>
      </c>
      <c r="D189" s="41">
        <f>Vuosikate!D189+'7. Nettoinvestoinnit '!D189+'8. Satunnaiset erät'!D189+'9. Tulorahkorjauserät'!D189</f>
        <v>235</v>
      </c>
      <c r="E189" s="41">
        <f>Vuosikate!E189+'7. Nettoinvestoinnit '!E189+'8. Satunnaiset erät'!E189+'9. Tulorahkorjauserät'!E189</f>
        <v>648</v>
      </c>
      <c r="F189" s="41">
        <f>Vuosikate!F189+'7. Nettoinvestoinnit '!F189+'8. Satunnaiset erät'!F189+'9. Tulorahkorjauserät'!F189</f>
        <v>2594</v>
      </c>
      <c r="G189" s="41">
        <f>Vuosikate!G189+'7. Nettoinvestoinnit '!G189+'8. Satunnaiset erät'!G189+'9. Tulorahkorjauserät'!G189</f>
        <v>-2288</v>
      </c>
      <c r="H189" s="41">
        <f>Vuosikate!H189+'7. Nettoinvestoinnit '!H189+'8. Satunnaiset erät'!H189+'9. Tulorahkorjauserät'!H189</f>
        <v>305.84258541340387</v>
      </c>
      <c r="I189" s="41">
        <f>Vuosikate!I189+'7. Nettoinvestoinnit '!I189+'8. Satunnaiset erät'!I189+'9. Tulorahkorjauserät'!I189</f>
        <v>-3122.1677937285694</v>
      </c>
      <c r="J189" s="41">
        <f>Vuosikate!J189+'7. Nettoinvestoinnit '!J189+'8. Satunnaiset erät'!J189+'9. Tulorahkorjauserät'!J189</f>
        <v>-5632.2818214363961</v>
      </c>
      <c r="K189" s="41">
        <f>Vuosikate!K189+'7. Nettoinvestoinnit '!K189+'8. Satunnaiset erät'!K189+'9. Tulorahkorjauserät'!K189</f>
        <v>-5669.9406237201665</v>
      </c>
      <c r="L189" s="41">
        <f>Vuosikate!L189+'7. Nettoinvestoinnit '!L189+'8. Satunnaiset erät'!L189+'9. Tulorahkorjauserät'!L189</f>
        <v>-2370.3089343707252</v>
      </c>
      <c r="M189" s="41">
        <f>Vuosikate!M189+'7. Nettoinvestoinnit '!M189+'8. Satunnaiset erät'!M189+'9. Tulorahkorjauserät'!M189</f>
        <v>-3079.3988950143303</v>
      </c>
      <c r="N189" s="41">
        <f>Vuosikate!N189+'7. Nettoinvestoinnit '!N189+'8. Satunnaiset erät'!N189+'9. Tulorahkorjauserät'!N189</f>
        <v>-3401.6364572083125</v>
      </c>
      <c r="O189" s="41">
        <f>Vuosikate!O189+'7. Nettoinvestoinnit '!O189+'8. Satunnaiset erät'!O189+'9. Tulorahkorjauserät'!O189</f>
        <v>-3720.2254284691458</v>
      </c>
      <c r="P189" s="41">
        <f>Vuosikate!P189+'7. Nettoinvestoinnit '!P189+'8. Satunnaiset erät'!P189+'9. Tulorahkorjauserät'!P189</f>
        <v>-3304.2659373654487</v>
      </c>
      <c r="T189" s="34">
        <v>580</v>
      </c>
      <c r="U189" s="88" t="s">
        <v>503</v>
      </c>
      <c r="V189" s="41" t="e">
        <f>C189/'1. Väestöennuste'!E189*1000</f>
        <v>#REF!</v>
      </c>
      <c r="W189" s="41">
        <f>D189/'1. Väestöennuste'!F189*1000</f>
        <v>45.844713226687475</v>
      </c>
      <c r="X189" s="41">
        <f>E189/'1. Väestöennuste'!G189*1000</f>
        <v>130.40853290400483</v>
      </c>
      <c r="Y189" s="41">
        <f>F189/'1. Väestöennuste'!H189*1000</f>
        <v>535.72903758777363</v>
      </c>
      <c r="Z189" s="41">
        <f>G189/'1. Väestöennuste'!I189*1000</f>
        <v>-483.312209547951</v>
      </c>
      <c r="AA189" s="41">
        <f>H189/'1. Väestöennuste'!J189*1000</f>
        <v>65.701951753685037</v>
      </c>
      <c r="AB189" s="41">
        <f>I189/'1. Väestöennuste'!K189*1000</f>
        <v>-683.63647771591184</v>
      </c>
      <c r="AC189" s="41">
        <f>J189/'1. Väestöennuste'!L189*1000</f>
        <v>-1269.1036100577728</v>
      </c>
      <c r="AD189" s="41">
        <f>K189/'1. Väestöennuste'!M189*1000</f>
        <v>-1298.6579532112155</v>
      </c>
      <c r="AE189" s="41">
        <f>L189/'1. Väestöennuste'!N189*1000</f>
        <v>-551.8763525892258</v>
      </c>
      <c r="AF189" s="41">
        <f>M189/'1. Väestöennuste'!O189*1000</f>
        <v>-729.88833728711313</v>
      </c>
      <c r="AG189" s="41">
        <f>N189/'1. Väestöennuste'!P189*1000</f>
        <v>-820.85821843829933</v>
      </c>
      <c r="AH189" s="41">
        <f>O189/'1. Väestöennuste'!Q189*1000</f>
        <v>-914.060301835171</v>
      </c>
      <c r="AI189" s="41">
        <f>P189/'1. Väestöennuste'!R189*1000</f>
        <v>-825.65365751260583</v>
      </c>
    </row>
    <row r="190" spans="1:35" x14ac:dyDescent="0.2">
      <c r="A190" s="34">
        <v>581</v>
      </c>
      <c r="B190" s="88" t="s">
        <v>504</v>
      </c>
      <c r="C190" s="41" t="e">
        <f>Vuosikate!C190+'7. Nettoinvestoinnit '!C190+'8. Satunnaiset erät'!C190+'9. Tulorahkorjauserät'!C190</f>
        <v>#REF!</v>
      </c>
      <c r="D190" s="41">
        <f>Vuosikate!D190+'7. Nettoinvestoinnit '!D190+'8. Satunnaiset erät'!D190+'9. Tulorahkorjauserät'!D190</f>
        <v>-2421</v>
      </c>
      <c r="E190" s="41">
        <f>Vuosikate!E190+'7. Nettoinvestoinnit '!E190+'8. Satunnaiset erät'!E190+'9. Tulorahkorjauserät'!E190</f>
        <v>1329</v>
      </c>
      <c r="F190" s="41">
        <f>Vuosikate!F190+'7. Nettoinvestoinnit '!F190+'8. Satunnaiset erät'!F190+'9. Tulorahkorjauserät'!F190</f>
        <v>1971</v>
      </c>
      <c r="G190" s="41">
        <f>Vuosikate!G190+'7. Nettoinvestoinnit '!G190+'8. Satunnaiset erät'!G190+'9. Tulorahkorjauserät'!G190</f>
        <v>-2787</v>
      </c>
      <c r="H190" s="41">
        <f>Vuosikate!H190+'7. Nettoinvestoinnit '!H190+'8. Satunnaiset erät'!H190+'9. Tulorahkorjauserät'!H190</f>
        <v>-1043.2679789267822</v>
      </c>
      <c r="I190" s="41">
        <f>Vuosikate!I190+'7. Nettoinvestoinnit '!I190+'8. Satunnaiset erät'!I190+'9. Tulorahkorjauserät'!I190</f>
        <v>295.16053180648851</v>
      </c>
      <c r="J190" s="41">
        <f>Vuosikate!J190+'7. Nettoinvestoinnit '!J190+'8. Satunnaiset erät'!J190+'9. Tulorahkorjauserät'!J190</f>
        <v>-889.79455883715343</v>
      </c>
      <c r="K190" s="41">
        <f>Vuosikate!K190+'7. Nettoinvestoinnit '!K190+'8. Satunnaiset erät'!K190+'9. Tulorahkorjauserät'!K190</f>
        <v>3090.6994191228287</v>
      </c>
      <c r="L190" s="41">
        <f>Vuosikate!L190+'7. Nettoinvestoinnit '!L190+'8. Satunnaiset erät'!L190+'9. Tulorahkorjauserät'!L190</f>
        <v>-1711.4661848429603</v>
      </c>
      <c r="M190" s="41">
        <f>Vuosikate!M190+'7. Nettoinvestoinnit '!M190+'8. Satunnaiset erät'!M190+'9. Tulorahkorjauserät'!M190</f>
        <v>-1116.9110634596116</v>
      </c>
      <c r="N190" s="41">
        <f>Vuosikate!N190+'7. Nettoinvestoinnit '!N190+'8. Satunnaiset erät'!N190+'9. Tulorahkorjauserät'!N190</f>
        <v>-955.74555843578173</v>
      </c>
      <c r="O190" s="41">
        <f>Vuosikate!O190+'7. Nettoinvestoinnit '!O190+'8. Satunnaiset erät'!O190+'9. Tulorahkorjauserät'!O190</f>
        <v>-1036.5200307938542</v>
      </c>
      <c r="P190" s="41">
        <f>Vuosikate!P190+'7. Nettoinvestoinnit '!P190+'8. Satunnaiset erät'!P190+'9. Tulorahkorjauserät'!P190</f>
        <v>-248.26416742910806</v>
      </c>
      <c r="T190" s="34">
        <v>581</v>
      </c>
      <c r="U190" s="88" t="s">
        <v>504</v>
      </c>
      <c r="V190" s="41" t="e">
        <f>C190/'1. Väestöennuste'!E190*1000</f>
        <v>#REF!</v>
      </c>
      <c r="W190" s="41">
        <f>D190/'1. Väestöennuste'!F190*1000</f>
        <v>-361.77525403466825</v>
      </c>
      <c r="X190" s="41">
        <f>E190/'1. Väestöennuste'!G190*1000</f>
        <v>202.52971654983239</v>
      </c>
      <c r="Y190" s="41">
        <f>F190/'1. Väestöennuste'!H190*1000</f>
        <v>304.68387695161545</v>
      </c>
      <c r="Z190" s="41">
        <f>G190/'1. Väestöennuste'!I190*1000</f>
        <v>-435.19675202998127</v>
      </c>
      <c r="AA190" s="41">
        <f>H190/'1. Väestöennuste'!J190*1000</f>
        <v>-164.24244000736496</v>
      </c>
      <c r="AB190" s="41">
        <f>I190/'1. Väestöennuste'!K190*1000</f>
        <v>46.955223004532058</v>
      </c>
      <c r="AC190" s="41">
        <f>J190/'1. Väestöennuste'!L190*1000</f>
        <v>-142.59528186492844</v>
      </c>
      <c r="AD190" s="41">
        <f>K190/'1. Väestöennuste'!M190*1000</f>
        <v>504.76880926389487</v>
      </c>
      <c r="AE190" s="41">
        <f>L190/'1. Väestöennuste'!N190*1000</f>
        <v>-283.07412915034075</v>
      </c>
      <c r="AF190" s="41">
        <f>M190/'1. Väestöennuste'!O190*1000</f>
        <v>-186.74319736826811</v>
      </c>
      <c r="AG190" s="41">
        <f>N190/'1. Väestöennuste'!P190*1000</f>
        <v>-161.49806665018278</v>
      </c>
      <c r="AH190" s="41">
        <f>O190/'1. Väestöennuste'!Q190*1000</f>
        <v>-177.03160218511599</v>
      </c>
      <c r="AI190" s="41">
        <f>P190/'1. Väestöennuste'!R190*1000</f>
        <v>-42.84849282518261</v>
      </c>
    </row>
    <row r="191" spans="1:35" x14ac:dyDescent="0.2">
      <c r="A191" s="34">
        <v>583</v>
      </c>
      <c r="B191" s="88" t="s">
        <v>505</v>
      </c>
      <c r="C191" s="41" t="e">
        <f>Vuosikate!C191+'7. Nettoinvestoinnit '!C191+'8. Satunnaiset erät'!C191+'9. Tulorahkorjauserät'!C191</f>
        <v>#REF!</v>
      </c>
      <c r="D191" s="41">
        <f>Vuosikate!D191+'7. Nettoinvestoinnit '!D191+'8. Satunnaiset erät'!D191+'9. Tulorahkorjauserät'!D191</f>
        <v>321</v>
      </c>
      <c r="E191" s="41">
        <f>Vuosikate!E191+'7. Nettoinvestoinnit '!E191+'8. Satunnaiset erät'!E191+'9. Tulorahkorjauserät'!E191</f>
        <v>627</v>
      </c>
      <c r="F191" s="41">
        <f>Vuosikate!F191+'7. Nettoinvestoinnit '!F191+'8. Satunnaiset erät'!F191+'9. Tulorahkorjauserät'!F191</f>
        <v>121</v>
      </c>
      <c r="G191" s="41">
        <f>Vuosikate!G191+'7. Nettoinvestoinnit '!G191+'8. Satunnaiset erät'!G191+'9. Tulorahkorjauserät'!G191</f>
        <v>-508</v>
      </c>
      <c r="H191" s="41">
        <f>Vuosikate!H191+'7. Nettoinvestoinnit '!H191+'8. Satunnaiset erät'!H191+'9. Tulorahkorjauserät'!H191</f>
        <v>-1110.6790724075772</v>
      </c>
      <c r="I191" s="41">
        <f>Vuosikate!I191+'7. Nettoinvestoinnit '!I191+'8. Satunnaiset erät'!I191+'9. Tulorahkorjauserät'!I191</f>
        <v>-2043.8915909323964</v>
      </c>
      <c r="J191" s="41">
        <f>Vuosikate!J191+'7. Nettoinvestoinnit '!J191+'8. Satunnaiset erät'!J191+'9. Tulorahkorjauserät'!J191</f>
        <v>-931.11720191203267</v>
      </c>
      <c r="K191" s="41">
        <f>Vuosikate!K191+'7. Nettoinvestoinnit '!K191+'8. Satunnaiset erät'!K191+'9. Tulorahkorjauserät'!K191</f>
        <v>404.84444906497879</v>
      </c>
      <c r="L191" s="41">
        <f>Vuosikate!L191+'7. Nettoinvestoinnit '!L191+'8. Satunnaiset erät'!L191+'9. Tulorahkorjauserät'!L191</f>
        <v>-290.6997295323597</v>
      </c>
      <c r="M191" s="41">
        <f>Vuosikate!M191+'7. Nettoinvestoinnit '!M191+'8. Satunnaiset erät'!M191+'9. Tulorahkorjauserät'!M191</f>
        <v>-838.09589900886795</v>
      </c>
      <c r="N191" s="41">
        <f>Vuosikate!N191+'7. Nettoinvestoinnit '!N191+'8. Satunnaiset erät'!N191+'9. Tulorahkorjauserät'!N191</f>
        <v>-860.40846564591925</v>
      </c>
      <c r="O191" s="41">
        <f>Vuosikate!O191+'7. Nettoinvestoinnit '!O191+'8. Satunnaiset erät'!O191+'9. Tulorahkorjauserät'!O191</f>
        <v>-975.46562998606089</v>
      </c>
      <c r="P191" s="41">
        <f>Vuosikate!P191+'7. Nettoinvestoinnit '!P191+'8. Satunnaiset erät'!P191+'9. Tulorahkorjauserät'!P191</f>
        <v>-926.55638032912316</v>
      </c>
      <c r="T191" s="34">
        <v>583</v>
      </c>
      <c r="U191" s="88" t="s">
        <v>505</v>
      </c>
      <c r="V191" s="41" t="e">
        <f>C191/'1. Väestöennuste'!E191*1000</f>
        <v>#REF!</v>
      </c>
      <c r="W191" s="41">
        <f>D191/'1. Väestöennuste'!F191*1000</f>
        <v>337.53943217665613</v>
      </c>
      <c r="X191" s="41">
        <f>E191/'1. Väestöennuste'!G191*1000</f>
        <v>654.48851774530272</v>
      </c>
      <c r="Y191" s="41">
        <f>F191/'1. Väestöennuste'!H191*1000</f>
        <v>126.83438155136267</v>
      </c>
      <c r="Z191" s="41">
        <f>G191/'1. Väestöennuste'!I191*1000</f>
        <v>-541.00106496272622</v>
      </c>
      <c r="AA191" s="41">
        <f>H191/'1. Väestöennuste'!J191*1000</f>
        <v>-1192.9957813185576</v>
      </c>
      <c r="AB191" s="41">
        <f>I191/'1. Väestöennuste'!K191*1000</f>
        <v>-2212.0038862904721</v>
      </c>
      <c r="AC191" s="41">
        <f>J191/'1. Väestöennuste'!L191*1000</f>
        <v>-983.22830191344519</v>
      </c>
      <c r="AD191" s="41">
        <f>K191/'1. Väestöennuste'!M191*1000</f>
        <v>443.90838713265219</v>
      </c>
      <c r="AE191" s="41">
        <f>L191/'1. Väestöennuste'!N191*1000</f>
        <v>-317.35778333227046</v>
      </c>
      <c r="AF191" s="41">
        <f>M191/'1. Väestöennuste'!O191*1000</f>
        <v>-918.96480154481128</v>
      </c>
      <c r="AG191" s="41">
        <f>N191/'1. Väestöennuste'!P191*1000</f>
        <v>-945.50380840210903</v>
      </c>
      <c r="AH191" s="41">
        <f>O191/'1. Väestöennuste'!Q191*1000</f>
        <v>-1075.4858103484682</v>
      </c>
      <c r="AI191" s="41">
        <f>P191/'1. Väestöennuste'!R191*1000</f>
        <v>-1028.3644620744985</v>
      </c>
    </row>
    <row r="192" spans="1:35" x14ac:dyDescent="0.2">
      <c r="A192" s="34">
        <v>584</v>
      </c>
      <c r="B192" s="88" t="s">
        <v>506</v>
      </c>
      <c r="C192" s="41" t="e">
        <f>Vuosikate!C192+'7. Nettoinvestoinnit '!C192+'8. Satunnaiset erät'!C192+'9. Tulorahkorjauserät'!C192</f>
        <v>#REF!</v>
      </c>
      <c r="D192" s="41">
        <f>Vuosikate!D192+'7. Nettoinvestoinnit '!D192+'8. Satunnaiset erät'!D192+'9. Tulorahkorjauserät'!D192</f>
        <v>-2019</v>
      </c>
      <c r="E192" s="41">
        <f>Vuosikate!E192+'7. Nettoinvestoinnit '!E192+'8. Satunnaiset erät'!E192+'9. Tulorahkorjauserät'!E192</f>
        <v>-2881</v>
      </c>
      <c r="F192" s="41">
        <f>Vuosikate!F192+'7. Nettoinvestoinnit '!F192+'8. Satunnaiset erät'!F192+'9. Tulorahkorjauserät'!F192</f>
        <v>-4133</v>
      </c>
      <c r="G192" s="41">
        <f>Vuosikate!G192+'7. Nettoinvestoinnit '!G192+'8. Satunnaiset erät'!G192+'9. Tulorahkorjauserät'!G192</f>
        <v>-153</v>
      </c>
      <c r="H192" s="41">
        <f>Vuosikate!H192+'7. Nettoinvestoinnit '!H192+'8. Satunnaiset erät'!H192+'9. Tulorahkorjauserät'!H192</f>
        <v>560.95117328442939</v>
      </c>
      <c r="I192" s="41">
        <f>Vuosikate!I192+'7. Nettoinvestoinnit '!I192+'8. Satunnaiset erät'!I192+'9. Tulorahkorjauserät'!I192</f>
        <v>1104.2597857933361</v>
      </c>
      <c r="J192" s="41">
        <f>Vuosikate!J192+'7. Nettoinvestoinnit '!J192+'8. Satunnaiset erät'!J192+'9. Tulorahkorjauserät'!J192</f>
        <v>-652.85679971139166</v>
      </c>
      <c r="K192" s="41">
        <f>Vuosikate!K192+'7. Nettoinvestoinnit '!K192+'8. Satunnaiset erät'!K192+'9. Tulorahkorjauserät'!K192</f>
        <v>-702.6749748591991</v>
      </c>
      <c r="L192" s="41">
        <f>Vuosikate!L192+'7. Nettoinvestoinnit '!L192+'8. Satunnaiset erät'!L192+'9. Tulorahkorjauserät'!L192</f>
        <v>-763.89534009219983</v>
      </c>
      <c r="M192" s="41">
        <f>Vuosikate!M192+'7. Nettoinvestoinnit '!M192+'8. Satunnaiset erät'!M192+'9. Tulorahkorjauserät'!M192</f>
        <v>-1995.5168730685232</v>
      </c>
      <c r="N192" s="41">
        <f>Vuosikate!N192+'7. Nettoinvestoinnit '!N192+'8. Satunnaiset erät'!N192+'9. Tulorahkorjauserät'!N192</f>
        <v>-2192.5218295023856</v>
      </c>
      <c r="O192" s="41">
        <f>Vuosikate!O192+'7. Nettoinvestoinnit '!O192+'8. Satunnaiset erät'!O192+'9. Tulorahkorjauserät'!O192</f>
        <v>-2634.5004255690042</v>
      </c>
      <c r="P192" s="41">
        <f>Vuosikate!P192+'7. Nettoinvestoinnit '!P192+'8. Satunnaiset erät'!P192+'9. Tulorahkorjauserät'!P192</f>
        <v>-2515.2965223023766</v>
      </c>
      <c r="T192" s="34">
        <v>584</v>
      </c>
      <c r="U192" s="88" t="s">
        <v>506</v>
      </c>
      <c r="V192" s="41" t="e">
        <f>C192/'1. Väestöennuste'!E192*1000</f>
        <v>#REF!</v>
      </c>
      <c r="W192" s="41">
        <f>D192/'1. Väestöennuste'!F192*1000</f>
        <v>-694.53044375644993</v>
      </c>
      <c r="X192" s="41">
        <f>E192/'1. Väestöennuste'!G192*1000</f>
        <v>-1007.3426573426574</v>
      </c>
      <c r="Y192" s="41">
        <f>F192/'1. Väestöennuste'!H192*1000</f>
        <v>-1463.0088495575221</v>
      </c>
      <c r="Z192" s="41">
        <f>G192/'1. Väestöennuste'!I192*1000</f>
        <v>-55.454874954693729</v>
      </c>
      <c r="AA192" s="41">
        <f>H192/'1. Väestöennuste'!J192*1000</f>
        <v>207.29902929949347</v>
      </c>
      <c r="AB192" s="41">
        <f>I192/'1. Väestöennuste'!K192*1000</f>
        <v>412.65313370453515</v>
      </c>
      <c r="AC192" s="41">
        <f>J192/'1. Väestöennuste'!L192*1000</f>
        <v>-246.08247256366064</v>
      </c>
      <c r="AD192" s="41">
        <f>K192/'1. Väestöennuste'!M192*1000</f>
        <v>-272.56593283909973</v>
      </c>
      <c r="AE192" s="41">
        <f>L192/'1. Väestöennuste'!N192*1000</f>
        <v>-305.31388492893677</v>
      </c>
      <c r="AF192" s="41">
        <f>M192/'1. Väestöennuste'!O192*1000</f>
        <v>-814.82926625909477</v>
      </c>
      <c r="AG192" s="41">
        <f>N192/'1. Väestöennuste'!P192*1000</f>
        <v>-914.31268953393896</v>
      </c>
      <c r="AH192" s="41">
        <f>O192/'1. Väestöennuste'!Q192*1000</f>
        <v>-1121.5412624814833</v>
      </c>
      <c r="AI192" s="41">
        <f>P192/'1. Väestöennuste'!R192*1000</f>
        <v>-1092.6570470470792</v>
      </c>
    </row>
    <row r="193" spans="1:35" x14ac:dyDescent="0.2">
      <c r="A193" s="34">
        <v>588</v>
      </c>
      <c r="B193" s="88" t="s">
        <v>507</v>
      </c>
      <c r="C193" s="41" t="e">
        <f>Vuosikate!C193+'7. Nettoinvestoinnit '!C193+'8. Satunnaiset erät'!C193+'9. Tulorahkorjauserät'!C193</f>
        <v>#REF!</v>
      </c>
      <c r="D193" s="41">
        <f>Vuosikate!D193+'7. Nettoinvestoinnit '!D193+'8. Satunnaiset erät'!D193+'9. Tulorahkorjauserät'!D193</f>
        <v>-568</v>
      </c>
      <c r="E193" s="41">
        <f>Vuosikate!E193+'7. Nettoinvestoinnit '!E193+'8. Satunnaiset erät'!E193+'9. Tulorahkorjauserät'!E193</f>
        <v>-438</v>
      </c>
      <c r="F193" s="41">
        <f>Vuosikate!F193+'7. Nettoinvestoinnit '!F193+'8. Satunnaiset erät'!F193+'9. Tulorahkorjauserät'!F193</f>
        <v>-911</v>
      </c>
      <c r="G193" s="41">
        <f>Vuosikate!G193+'7. Nettoinvestoinnit '!G193+'8. Satunnaiset erät'!G193+'9. Tulorahkorjauserät'!G193</f>
        <v>-574</v>
      </c>
      <c r="H193" s="41">
        <f>Vuosikate!H193+'7. Nettoinvestoinnit '!H193+'8. Satunnaiset erät'!H193+'9. Tulorahkorjauserät'!H193</f>
        <v>-41.581583406486061</v>
      </c>
      <c r="I193" s="41">
        <f>Vuosikate!I193+'7. Nettoinvestoinnit '!I193+'8. Satunnaiset erät'!I193+'9. Tulorahkorjauserät'!I193</f>
        <v>-618.01770197598489</v>
      </c>
      <c r="J193" s="41">
        <f>Vuosikate!J193+'7. Nettoinvestoinnit '!J193+'8. Satunnaiset erät'!J193+'9. Tulorahkorjauserät'!J193</f>
        <v>161.41053664216909</v>
      </c>
      <c r="K193" s="41">
        <f>Vuosikate!K193+'7. Nettoinvestoinnit '!K193+'8. Satunnaiset erät'!K193+'9. Tulorahkorjauserät'!K193</f>
        <v>903.63085131035177</v>
      </c>
      <c r="L193" s="41">
        <f>Vuosikate!L193+'7. Nettoinvestoinnit '!L193+'8. Satunnaiset erät'!L193+'9. Tulorahkorjauserät'!L193</f>
        <v>465.38021575440484</v>
      </c>
      <c r="T193" s="34">
        <v>588</v>
      </c>
      <c r="U193" s="88" t="s">
        <v>507</v>
      </c>
      <c r="V193" s="41" t="e">
        <f>C193/'1. Väestöennuste'!E193*1000</f>
        <v>#REF!</v>
      </c>
      <c r="W193" s="41">
        <f>D193/'1. Väestöennuste'!F193*1000</f>
        <v>-316.25835189309578</v>
      </c>
      <c r="X193" s="41">
        <f>E193/'1. Väestöennuste'!G193*1000</f>
        <v>-251.8688901667625</v>
      </c>
      <c r="Y193" s="41">
        <f>F193/'1. Väestöennuste'!H193*1000</f>
        <v>-531.81552831290139</v>
      </c>
      <c r="Z193" s="41">
        <f>G193/'1. Väestöennuste'!I193*1000</f>
        <v>-339.64497041420117</v>
      </c>
      <c r="AA193" s="41">
        <f>H193/'1. Väestöennuste'!J193*1000</f>
        <v>-25.1400141514426</v>
      </c>
      <c r="AB193" s="41">
        <f>I193/'1. Väestöennuste'!K193*1000</f>
        <v>-375.92317638441904</v>
      </c>
      <c r="AC193" s="41">
        <f>J193/'1. Väestöennuste'!L193*1000</f>
        <v>100.88158540135568</v>
      </c>
      <c r="AD193" s="41">
        <f>K193/'1. Väestöennuste'!M193*1000</f>
        <v>573.00624686769299</v>
      </c>
      <c r="AE193" s="41">
        <f>L193/'1. Väestöennuste'!N193*1000</f>
        <v>301.41205683575447</v>
      </c>
      <c r="AF193" s="41">
        <v>0</v>
      </c>
      <c r="AG193" s="41">
        <v>0</v>
      </c>
      <c r="AH193" s="41">
        <v>0</v>
      </c>
      <c r="AI193" s="41">
        <v>0</v>
      </c>
    </row>
    <row r="194" spans="1:35" x14ac:dyDescent="0.2">
      <c r="A194" s="34">
        <v>592</v>
      </c>
      <c r="B194" s="88" t="s">
        <v>508</v>
      </c>
      <c r="C194" s="41" t="e">
        <f>Vuosikate!C194+'7. Nettoinvestoinnit '!C194+'8. Satunnaiset erät'!C194+'9. Tulorahkorjauserät'!C194</f>
        <v>#REF!</v>
      </c>
      <c r="D194" s="41">
        <f>Vuosikate!D194+'7. Nettoinvestoinnit '!D194+'8. Satunnaiset erät'!D194+'9. Tulorahkorjauserät'!D194</f>
        <v>-1898</v>
      </c>
      <c r="E194" s="41">
        <f>Vuosikate!E194+'7. Nettoinvestoinnit '!E194+'8. Satunnaiset erät'!E194+'9. Tulorahkorjauserät'!E194</f>
        <v>-367</v>
      </c>
      <c r="F194" s="41">
        <f>Vuosikate!F194+'7. Nettoinvestoinnit '!F194+'8. Satunnaiset erät'!F194+'9. Tulorahkorjauserät'!F194</f>
        <v>-942</v>
      </c>
      <c r="G194" s="41">
        <f>Vuosikate!G194+'7. Nettoinvestoinnit '!G194+'8. Satunnaiset erät'!G194+'9. Tulorahkorjauserät'!G194</f>
        <v>-1753</v>
      </c>
      <c r="H194" s="41">
        <f>Vuosikate!H194+'7. Nettoinvestoinnit '!H194+'8. Satunnaiset erät'!H194+'9. Tulorahkorjauserät'!H194</f>
        <v>-1033.6735213585416</v>
      </c>
      <c r="I194" s="41">
        <f>Vuosikate!I194+'7. Nettoinvestoinnit '!I194+'8. Satunnaiset erät'!I194+'9. Tulorahkorjauserät'!I194</f>
        <v>-1114.4165750503341</v>
      </c>
      <c r="J194" s="41">
        <f>Vuosikate!J194+'7. Nettoinvestoinnit '!J194+'8. Satunnaiset erät'!J194+'9. Tulorahkorjauserät'!J194</f>
        <v>-2095.9516560790971</v>
      </c>
      <c r="K194" s="41">
        <f>Vuosikate!K194+'7. Nettoinvestoinnit '!K194+'8. Satunnaiset erät'!K194+'9. Tulorahkorjauserät'!K194</f>
        <v>205.56738292175999</v>
      </c>
      <c r="L194" s="41">
        <f>Vuosikate!L194+'7. Nettoinvestoinnit '!L194+'8. Satunnaiset erät'!L194+'9. Tulorahkorjauserät'!L194</f>
        <v>-1918.4658997165088</v>
      </c>
      <c r="M194" s="41">
        <f>Vuosikate!M194+'7. Nettoinvestoinnit '!M194+'8. Satunnaiset erät'!M194+'9. Tulorahkorjauserät'!M194</f>
        <v>-2805.3017150274231</v>
      </c>
      <c r="N194" s="41">
        <f>Vuosikate!N194+'7. Nettoinvestoinnit '!N194+'8. Satunnaiset erät'!N194+'9. Tulorahkorjauserät'!N194</f>
        <v>-2455.7587311506259</v>
      </c>
      <c r="O194" s="41">
        <f>Vuosikate!O194+'7. Nettoinvestoinnit '!O194+'8. Satunnaiset erät'!O194+'9. Tulorahkorjauserät'!O194</f>
        <v>-2976.138065310548</v>
      </c>
      <c r="P194" s="41">
        <f>Vuosikate!P194+'7. Nettoinvestoinnit '!P194+'8. Satunnaiset erät'!P194+'9. Tulorahkorjauserät'!P194</f>
        <v>-2867.6519473907938</v>
      </c>
      <c r="T194" s="34">
        <v>592</v>
      </c>
      <c r="U194" s="88" t="s">
        <v>508</v>
      </c>
      <c r="V194" s="41" t="e">
        <f>C194/'1. Väestöennuste'!E194*1000</f>
        <v>#REF!</v>
      </c>
      <c r="W194" s="41">
        <f>D194/'1. Väestöennuste'!F194*1000</f>
        <v>-476.76463200200953</v>
      </c>
      <c r="X194" s="41">
        <f>E194/'1. Väestöennuste'!G194*1000</f>
        <v>-93.622448979591837</v>
      </c>
      <c r="Y194" s="41">
        <f>F194/'1. Väestöennuste'!H194*1000</f>
        <v>-241.53846153846155</v>
      </c>
      <c r="Z194" s="41">
        <f>G194/'1. Väestöennuste'!I194*1000</f>
        <v>-456.39156469669354</v>
      </c>
      <c r="AA194" s="41">
        <f>H194/'1. Väestöennuste'!J194*1000</f>
        <v>-274.03857936334612</v>
      </c>
      <c r="AB194" s="41">
        <f>I194/'1. Väestöennuste'!K194*1000</f>
        <v>-302.99526238453888</v>
      </c>
      <c r="AC194" s="41">
        <f>J194/'1. Väestöennuste'!L194*1000</f>
        <v>-574.07604932322579</v>
      </c>
      <c r="AD194" s="41">
        <f>K194/'1. Väestöennuste'!M194*1000</f>
        <v>57.165568109499439</v>
      </c>
      <c r="AE194" s="41">
        <f>L194/'1. Väestöennuste'!N194*1000</f>
        <v>-530.69596119405503</v>
      </c>
      <c r="AF194" s="41">
        <f>M194/'1. Väestöennuste'!O194*1000</f>
        <v>-783.82277592272226</v>
      </c>
      <c r="AG194" s="41">
        <f>N194/'1. Väestöennuste'!P194*1000</f>
        <v>-692.54335339837166</v>
      </c>
      <c r="AH194" s="41">
        <f>O194/'1. Väestöennuste'!Q194*1000</f>
        <v>-848.38599353208326</v>
      </c>
      <c r="AI194" s="41">
        <f>P194/'1. Väestöennuste'!R194*1000</f>
        <v>-825.46112475267523</v>
      </c>
    </row>
    <row r="195" spans="1:35" x14ac:dyDescent="0.2">
      <c r="A195" s="34">
        <v>593</v>
      </c>
      <c r="B195" s="88" t="s">
        <v>509</v>
      </c>
      <c r="C195" s="41" t="e">
        <f>Vuosikate!C195+'7. Nettoinvestoinnit '!C195+'8. Satunnaiset erät'!C195+'9. Tulorahkorjauserät'!C195</f>
        <v>#REF!</v>
      </c>
      <c r="D195" s="41">
        <f>Vuosikate!D195+'7. Nettoinvestoinnit '!D195+'8. Satunnaiset erät'!D195+'9. Tulorahkorjauserät'!D195</f>
        <v>4017</v>
      </c>
      <c r="E195" s="41">
        <f>Vuosikate!E195+'7. Nettoinvestoinnit '!E195+'8. Satunnaiset erät'!E195+'9. Tulorahkorjauserät'!E195</f>
        <v>5870</v>
      </c>
      <c r="F195" s="41">
        <f>Vuosikate!F195+'7. Nettoinvestoinnit '!F195+'8. Satunnaiset erät'!F195+'9. Tulorahkorjauserät'!F195</f>
        <v>-9628</v>
      </c>
      <c r="G195" s="41">
        <f>Vuosikate!G195+'7. Nettoinvestoinnit '!G195+'8. Satunnaiset erät'!G195+'9. Tulorahkorjauserät'!G195</f>
        <v>-11731</v>
      </c>
      <c r="H195" s="41">
        <f>Vuosikate!H195+'7. Nettoinvestoinnit '!H195+'8. Satunnaiset erät'!H195+'9. Tulorahkorjauserät'!H195</f>
        <v>-2442.4329239824729</v>
      </c>
      <c r="I195" s="41">
        <f>Vuosikate!I195+'7. Nettoinvestoinnit '!I195+'8. Satunnaiset erät'!I195+'9. Tulorahkorjauserät'!I195</f>
        <v>7178.9361406842008</v>
      </c>
      <c r="J195" s="41">
        <f>Vuosikate!J195+'7. Nettoinvestoinnit '!J195+'8. Satunnaiset erät'!J195+'9. Tulorahkorjauserät'!J195</f>
        <v>-2934.3825182181818</v>
      </c>
      <c r="K195" s="41">
        <f>Vuosikate!K195+'7. Nettoinvestoinnit '!K195+'8. Satunnaiset erät'!K195+'9. Tulorahkorjauserät'!K195</f>
        <v>4978.122697869374</v>
      </c>
      <c r="L195" s="41">
        <f>Vuosikate!L195+'7. Nettoinvestoinnit '!L195+'8. Satunnaiset erät'!L195+'9. Tulorahkorjauserät'!L195</f>
        <v>-4664.1199385055152</v>
      </c>
      <c r="M195" s="41">
        <f>Vuosikate!M195+'7. Nettoinvestoinnit '!M195+'8. Satunnaiset erät'!M195+'9. Tulorahkorjauserät'!M195</f>
        <v>-6343.5224151911498</v>
      </c>
      <c r="N195" s="41">
        <f>Vuosikate!N195+'7. Nettoinvestoinnit '!N195+'8. Satunnaiset erät'!N195+'9. Tulorahkorjauserät'!N195</f>
        <v>-4629.6852518668511</v>
      </c>
      <c r="O195" s="41">
        <f>Vuosikate!O195+'7. Nettoinvestoinnit '!O195+'8. Satunnaiset erät'!O195+'9. Tulorahkorjauserät'!O195</f>
        <v>-4828.1891526772633</v>
      </c>
      <c r="P195" s="41">
        <f>Vuosikate!P195+'7. Nettoinvestoinnit '!P195+'8. Satunnaiset erät'!P195+'9. Tulorahkorjauserät'!P195</f>
        <v>-1922.0540743316451</v>
      </c>
      <c r="T195" s="34">
        <v>593</v>
      </c>
      <c r="U195" s="88" t="s">
        <v>509</v>
      </c>
      <c r="V195" s="41" t="e">
        <f>C195/'1. Väestöennuste'!E195*1000</f>
        <v>#REF!</v>
      </c>
      <c r="W195" s="41">
        <f>D195/'1. Väestöennuste'!F195*1000</f>
        <v>217.42895805142084</v>
      </c>
      <c r="X195" s="41">
        <f>E195/'1. Väestöennuste'!G195*1000</f>
        <v>322.17343578485179</v>
      </c>
      <c r="Y195" s="41">
        <f>F195/'1. Väestöennuste'!H195*1000</f>
        <v>-536.88730273796909</v>
      </c>
      <c r="Z195" s="41">
        <f>G195/'1. Väestöennuste'!I195*1000</f>
        <v>-663.44304942879762</v>
      </c>
      <c r="AA195" s="41">
        <f>H195/'1. Väestöennuste'!J195*1000</f>
        <v>-140.57167907812791</v>
      </c>
      <c r="AB195" s="41">
        <f>I195/'1. Väestöennuste'!K195*1000</f>
        <v>416.09784621133724</v>
      </c>
      <c r="AC195" s="41">
        <f>J195/'1. Väestöennuste'!L195*1000</f>
        <v>-171.83243650630567</v>
      </c>
      <c r="AD195" s="41">
        <f>K195/'1. Väestöennuste'!M195*1000</f>
        <v>291.97200574013925</v>
      </c>
      <c r="AE195" s="41">
        <f>L195/'1. Väestöennuste'!N195*1000</f>
        <v>-286.81096657886582</v>
      </c>
      <c r="AF195" s="41">
        <f>M195/'1. Väestöennuste'!O195*1000</f>
        <v>-396.19776498601902</v>
      </c>
      <c r="AG195" s="41">
        <f>N195/'1. Väestöennuste'!P195*1000</f>
        <v>-293.53824827966338</v>
      </c>
      <c r="AH195" s="41">
        <f>O195/'1. Väestöennuste'!Q195*1000</f>
        <v>-310.69428266906459</v>
      </c>
      <c r="AI195" s="41">
        <f>P195/'1. Väestöennuste'!R195*1000</f>
        <v>-125.48502150105406</v>
      </c>
    </row>
    <row r="196" spans="1:35" x14ac:dyDescent="0.2">
      <c r="A196" s="34">
        <v>595</v>
      </c>
      <c r="B196" s="88" t="s">
        <v>510</v>
      </c>
      <c r="C196" s="41" t="e">
        <f>Vuosikate!C196+'7. Nettoinvestoinnit '!C196+'8. Satunnaiset erät'!C196+'9. Tulorahkorjauserät'!C196</f>
        <v>#REF!</v>
      </c>
      <c r="D196" s="41">
        <f>Vuosikate!D196+'7. Nettoinvestoinnit '!D196+'8. Satunnaiset erät'!D196+'9. Tulorahkorjauserät'!D196</f>
        <v>-7262</v>
      </c>
      <c r="E196" s="41">
        <f>Vuosikate!E196+'7. Nettoinvestoinnit '!E196+'8. Satunnaiset erät'!E196+'9. Tulorahkorjauserät'!E196</f>
        <v>1780</v>
      </c>
      <c r="F196" s="41">
        <f>Vuosikate!F196+'7. Nettoinvestoinnit '!F196+'8. Satunnaiset erät'!F196+'9. Tulorahkorjauserät'!F196</f>
        <v>1276</v>
      </c>
      <c r="G196" s="41">
        <f>Vuosikate!G196+'7. Nettoinvestoinnit '!G196+'8. Satunnaiset erät'!G196+'9. Tulorahkorjauserät'!G196</f>
        <v>577</v>
      </c>
      <c r="H196" s="41">
        <f>Vuosikate!H196+'7. Nettoinvestoinnit '!H196+'8. Satunnaiset erät'!H196+'9. Tulorahkorjauserät'!H196</f>
        <v>3600.797493249629</v>
      </c>
      <c r="I196" s="41">
        <f>Vuosikate!I196+'7. Nettoinvestoinnit '!I196+'8. Satunnaiset erät'!I196+'9. Tulorahkorjauserät'!I196</f>
        <v>3673.2265845293823</v>
      </c>
      <c r="J196" s="41">
        <f>Vuosikate!J196+'7. Nettoinvestoinnit '!J196+'8. Satunnaiset erät'!J196+'9. Tulorahkorjauserät'!J196</f>
        <v>1879.3419575830537</v>
      </c>
      <c r="K196" s="41">
        <f>Vuosikate!K196+'7. Nettoinvestoinnit '!K196+'8. Satunnaiset erät'!K196+'9. Tulorahkorjauserät'!K196</f>
        <v>2342.6287621016272</v>
      </c>
      <c r="L196" s="41">
        <f>Vuosikate!L196+'7. Nettoinvestoinnit '!L196+'8. Satunnaiset erät'!L196+'9. Tulorahkorjauserät'!L196</f>
        <v>-675.48283064420889</v>
      </c>
      <c r="M196" s="41">
        <f>Vuosikate!M196+'7. Nettoinvestoinnit '!M196+'8. Satunnaiset erät'!M196+'9. Tulorahkorjauserät'!M196</f>
        <v>-1889.2159777315899</v>
      </c>
      <c r="N196" s="41">
        <f>Vuosikate!N196+'7. Nettoinvestoinnit '!N196+'8. Satunnaiset erät'!N196+'9. Tulorahkorjauserät'!N196</f>
        <v>-2219.6841691129471</v>
      </c>
      <c r="O196" s="41">
        <f>Vuosikate!O196+'7. Nettoinvestoinnit '!O196+'8. Satunnaiset erät'!O196+'9. Tulorahkorjauserät'!O196</f>
        <v>-2703.877813727654</v>
      </c>
      <c r="P196" s="41">
        <f>Vuosikate!P196+'7. Nettoinvestoinnit '!P196+'8. Satunnaiset erät'!P196+'9. Tulorahkorjauserät'!P196</f>
        <v>-2469.0050437596374</v>
      </c>
      <c r="T196" s="34">
        <v>595</v>
      </c>
      <c r="U196" s="88" t="s">
        <v>510</v>
      </c>
      <c r="V196" s="41" t="e">
        <f>C196/'1. Väestöennuste'!E196*1000</f>
        <v>#REF!</v>
      </c>
      <c r="W196" s="41">
        <f>D196/'1. Väestöennuste'!F196*1000</f>
        <v>-1546.0932510112837</v>
      </c>
      <c r="X196" s="41">
        <f>E196/'1. Väestöennuste'!G196*1000</f>
        <v>384.94809688581319</v>
      </c>
      <c r="Y196" s="41">
        <f>F196/'1. Väestöennuste'!H196*1000</f>
        <v>283.68163628279234</v>
      </c>
      <c r="Z196" s="41">
        <f>G196/'1. Väestöennuste'!I196*1000</f>
        <v>131.4051468913687</v>
      </c>
      <c r="AA196" s="41">
        <f>H196/'1. Väestöennuste'!J196*1000</f>
        <v>833.32503893766011</v>
      </c>
      <c r="AB196" s="41">
        <f>I196/'1. Väestöennuste'!K196*1000</f>
        <v>860.44192657048075</v>
      </c>
      <c r="AC196" s="41">
        <f>J196/'1. Väestöennuste'!L196*1000</f>
        <v>453.94733274952989</v>
      </c>
      <c r="AD196" s="41">
        <f>K196/'1. Väestöennuste'!M196*1000</f>
        <v>575.16051119607835</v>
      </c>
      <c r="AE196" s="41">
        <f>L196/'1. Väestöennuste'!N196*1000</f>
        <v>-168.32365577976799</v>
      </c>
      <c r="AF196" s="41">
        <f>M196/'1. Väestöennuste'!O196*1000</f>
        <v>-479.13162001815618</v>
      </c>
      <c r="AG196" s="41">
        <f>N196/'1. Väestöennuste'!P196*1000</f>
        <v>-573.11752365425946</v>
      </c>
      <c r="AH196" s="41">
        <f>O196/'1. Väestöennuste'!Q196*1000</f>
        <v>-709.86553261424365</v>
      </c>
      <c r="AI196" s="41">
        <f>P196/'1. Väestöennuste'!R196*1000</f>
        <v>-658.92848779280416</v>
      </c>
    </row>
    <row r="197" spans="1:35" x14ac:dyDescent="0.2">
      <c r="A197" s="34">
        <v>598</v>
      </c>
      <c r="B197" s="88" t="s">
        <v>511</v>
      </c>
      <c r="C197" s="41" t="e">
        <f>Vuosikate!C197+'7. Nettoinvestoinnit '!C197+'8. Satunnaiset erät'!C197+'9. Tulorahkorjauserät'!C197</f>
        <v>#REF!</v>
      </c>
      <c r="D197" s="41">
        <f>Vuosikate!D197+'7. Nettoinvestoinnit '!D197+'8. Satunnaiset erät'!D197+'9. Tulorahkorjauserät'!D197</f>
        <v>-5377</v>
      </c>
      <c r="E197" s="41">
        <f>Vuosikate!E197+'7. Nettoinvestoinnit '!E197+'8. Satunnaiset erät'!E197+'9. Tulorahkorjauserät'!E197</f>
        <v>-5880</v>
      </c>
      <c r="F197" s="41">
        <f>Vuosikate!F197+'7. Nettoinvestoinnit '!F197+'8. Satunnaiset erät'!F197+'9. Tulorahkorjauserät'!F197</f>
        <v>-3617</v>
      </c>
      <c r="G197" s="41">
        <f>Vuosikate!G197+'7. Nettoinvestoinnit '!G197+'8. Satunnaiset erät'!G197+'9. Tulorahkorjauserät'!G197</f>
        <v>-9855</v>
      </c>
      <c r="H197" s="41">
        <f>Vuosikate!H197+'7. Nettoinvestoinnit '!H197+'8. Satunnaiset erät'!H197+'9. Tulorahkorjauserät'!H197</f>
        <v>-818.6287511304472</v>
      </c>
      <c r="I197" s="41">
        <f>Vuosikate!I197+'7. Nettoinvestoinnit '!I197+'8. Satunnaiset erät'!I197+'9. Tulorahkorjauserät'!I197</f>
        <v>-316.0093491113654</v>
      </c>
      <c r="J197" s="41">
        <f>Vuosikate!J197+'7. Nettoinvestoinnit '!J197+'8. Satunnaiset erät'!J197+'9. Tulorahkorjauserät'!J197</f>
        <v>-1170.185135113579</v>
      </c>
      <c r="K197" s="41">
        <f>Vuosikate!K197+'7. Nettoinvestoinnit '!K197+'8. Satunnaiset erät'!K197+'9. Tulorahkorjauserät'!K197</f>
        <v>3546.9363638222408</v>
      </c>
      <c r="L197" s="41">
        <f>Vuosikate!L197+'7. Nettoinvestoinnit '!L197+'8. Satunnaiset erät'!L197+'9. Tulorahkorjauserät'!L197</f>
        <v>-1703.1840280429024</v>
      </c>
      <c r="M197" s="41">
        <f>Vuosikate!M197+'7. Nettoinvestoinnit '!M197+'8. Satunnaiset erät'!M197+'9. Tulorahkorjauserät'!M197</f>
        <v>-5489.9608181558688</v>
      </c>
      <c r="N197" s="41">
        <f>Vuosikate!N197+'7. Nettoinvestoinnit '!N197+'8. Satunnaiset erät'!N197+'9. Tulorahkorjauserät'!N197</f>
        <v>-4641.7668276625791</v>
      </c>
      <c r="O197" s="41">
        <f>Vuosikate!O197+'7. Nettoinvestoinnit '!O197+'8. Satunnaiset erät'!O197+'9. Tulorahkorjauserät'!O197</f>
        <v>-4307.2661290520718</v>
      </c>
      <c r="P197" s="41">
        <f>Vuosikate!P197+'7. Nettoinvestoinnit '!P197+'8. Satunnaiset erät'!P197+'9. Tulorahkorjauserät'!P197</f>
        <v>-3248.1485280559427</v>
      </c>
      <c r="T197" s="34">
        <v>598</v>
      </c>
      <c r="U197" s="88" t="s">
        <v>511</v>
      </c>
      <c r="V197" s="41" t="e">
        <f>C197/'1. Väestöennuste'!E197*1000</f>
        <v>#REF!</v>
      </c>
      <c r="W197" s="41">
        <f>D197/'1. Väestöennuste'!F197*1000</f>
        <v>-277.49393610982094</v>
      </c>
      <c r="X197" s="41">
        <f>E197/'1. Väestöennuste'!G197*1000</f>
        <v>-303.42122916559163</v>
      </c>
      <c r="Y197" s="41">
        <f>F197/'1. Väestöennuste'!H197*1000</f>
        <v>-187.62319742711901</v>
      </c>
      <c r="Z197" s="41">
        <f>G197/'1. Väestöennuste'!I197*1000</f>
        <v>-513.06747188671386</v>
      </c>
      <c r="AA197" s="41">
        <f>H197/'1. Väestöennuste'!J197*1000</f>
        <v>-42.936575638856979</v>
      </c>
      <c r="AB197" s="41">
        <f>I197/'1. Väestöennuste'!K197*1000</f>
        <v>-16.547591198165438</v>
      </c>
      <c r="AC197" s="41">
        <f>J197/'1. Väestöennuste'!L197*1000</f>
        <v>-60.924930239682354</v>
      </c>
      <c r="AD197" s="41">
        <f>K197/'1. Väestöennuste'!M197*1000</f>
        <v>182.12766951590453</v>
      </c>
      <c r="AE197" s="41">
        <f>L197/'1. Väestöennuste'!N197*1000</f>
        <v>-90.763870399302021</v>
      </c>
      <c r="AF197" s="41">
        <f>M197/'1. Väestöennuste'!O197*1000</f>
        <v>-293.83219964439462</v>
      </c>
      <c r="AG197" s="41">
        <f>N197/'1. Väestöennuste'!P197*1000</f>
        <v>-249.55735632594511</v>
      </c>
      <c r="AH197" s="41">
        <f>O197/'1. Väestöennuste'!Q197*1000</f>
        <v>-232.57376506760647</v>
      </c>
      <c r="AI197" s="41">
        <f>P197/'1. Väestöennuste'!R197*1000</f>
        <v>-176.13733138419516</v>
      </c>
    </row>
    <row r="198" spans="1:35" x14ac:dyDescent="0.2">
      <c r="A198" s="34">
        <v>599</v>
      </c>
      <c r="B198" s="88" t="s">
        <v>512</v>
      </c>
      <c r="C198" s="41" t="e">
        <f>Vuosikate!C198+'7. Nettoinvestoinnit '!C198+'8. Satunnaiset erät'!C198+'9. Tulorahkorjauserät'!C198</f>
        <v>#REF!</v>
      </c>
      <c r="D198" s="41">
        <f>Vuosikate!D198+'7. Nettoinvestoinnit '!D198+'8. Satunnaiset erät'!D198+'9. Tulorahkorjauserät'!D198</f>
        <v>872</v>
      </c>
      <c r="E198" s="41">
        <f>Vuosikate!E198+'7. Nettoinvestoinnit '!E198+'8. Satunnaiset erät'!E198+'9. Tulorahkorjauserät'!E198</f>
        <v>-3748</v>
      </c>
      <c r="F198" s="41">
        <f>Vuosikate!F198+'7. Nettoinvestoinnit '!F198+'8. Satunnaiset erät'!F198+'9. Tulorahkorjauserät'!F198</f>
        <v>-4676</v>
      </c>
      <c r="G198" s="41">
        <f>Vuosikate!G198+'7. Nettoinvestoinnit '!G198+'8. Satunnaiset erät'!G198+'9. Tulorahkorjauserät'!G198</f>
        <v>-7168</v>
      </c>
      <c r="H198" s="41">
        <f>Vuosikate!H198+'7. Nettoinvestoinnit '!H198+'8. Satunnaiset erät'!H198+'9. Tulorahkorjauserät'!H198</f>
        <v>4829.1615216316532</v>
      </c>
      <c r="I198" s="41">
        <f>Vuosikate!I198+'7. Nettoinvestoinnit '!I198+'8. Satunnaiset erät'!I198+'9. Tulorahkorjauserät'!I198</f>
        <v>182.64308297453169</v>
      </c>
      <c r="J198" s="41">
        <f>Vuosikate!J198+'7. Nettoinvestoinnit '!J198+'8. Satunnaiset erät'!J198+'9. Tulorahkorjauserät'!J198</f>
        <v>-3660.5634997981338</v>
      </c>
      <c r="K198" s="41">
        <f>Vuosikate!K198+'7. Nettoinvestoinnit '!K198+'8. Satunnaiset erät'!K198+'9. Tulorahkorjauserät'!K198</f>
        <v>-10831.485146330535</v>
      </c>
      <c r="L198" s="41">
        <f>Vuosikate!L198+'7. Nettoinvestoinnit '!L198+'8. Satunnaiset erät'!L198+'9. Tulorahkorjauserät'!L198</f>
        <v>-3886.9694698233989</v>
      </c>
      <c r="M198" s="41">
        <f>Vuosikate!M198+'7. Nettoinvestoinnit '!M198+'8. Satunnaiset erät'!M198+'9. Tulorahkorjauserät'!M198</f>
        <v>-4515.7568061049606</v>
      </c>
      <c r="N198" s="41">
        <f>Vuosikate!N198+'7. Nettoinvestoinnit '!N198+'8. Satunnaiset erät'!N198+'9. Tulorahkorjauserät'!N198</f>
        <v>-4272.0007947919667</v>
      </c>
      <c r="O198" s="41">
        <f>Vuosikate!O198+'7. Nettoinvestoinnit '!O198+'8. Satunnaiset erät'!O198+'9. Tulorahkorjauserät'!O198</f>
        <v>-3803.305446590165</v>
      </c>
      <c r="P198" s="41">
        <f>Vuosikate!P198+'7. Nettoinvestoinnit '!P198+'8. Satunnaiset erät'!P198+'9. Tulorahkorjauserät'!P198</f>
        <v>-3640.9668350659413</v>
      </c>
      <c r="T198" s="34">
        <v>599</v>
      </c>
      <c r="U198" s="88" t="s">
        <v>512</v>
      </c>
      <c r="V198" s="41" t="e">
        <f>C198/'1. Väestöennuste'!E198*1000</f>
        <v>#REF!</v>
      </c>
      <c r="W198" s="41">
        <f>D198/'1. Väestöennuste'!F198*1000</f>
        <v>78.792807445558878</v>
      </c>
      <c r="X198" s="41">
        <f>E198/'1. Väestöennuste'!G198*1000</f>
        <v>-338.14507398051245</v>
      </c>
      <c r="Y198" s="41">
        <f>F198/'1. Väestöennuste'!H198*1000</f>
        <v>-424.47349310094404</v>
      </c>
      <c r="Z198" s="41">
        <f>G198/'1. Väestöennuste'!I198*1000</f>
        <v>-646.87302590018942</v>
      </c>
      <c r="AA198" s="41">
        <f>H198/'1. Väestöennuste'!J198*1000</f>
        <v>432.17840716231012</v>
      </c>
      <c r="AB198" s="41">
        <f>I198/'1. Väestöennuste'!K198*1000</f>
        <v>16.348288844838141</v>
      </c>
      <c r="AC198" s="41">
        <f>J198/'1. Väestöennuste'!L198*1000</f>
        <v>-326.66102978744726</v>
      </c>
      <c r="AD198" s="41">
        <f>K198/'1. Väestöennuste'!M198*1000</f>
        <v>-964.9429974459274</v>
      </c>
      <c r="AE198" s="41">
        <f>L198/'1. Väestöennuste'!N198*1000</f>
        <v>-344.89525020615787</v>
      </c>
      <c r="AF198" s="41">
        <f>M198/'1. Väestöennuste'!O198*1000</f>
        <v>-399.94303481577896</v>
      </c>
      <c r="AG198" s="41">
        <f>N198/'1. Väestöennuste'!P198*1000</f>
        <v>-377.7523030145872</v>
      </c>
      <c r="AH198" s="41">
        <f>O198/'1. Väestöennuste'!Q198*1000</f>
        <v>-335.9216963955277</v>
      </c>
      <c r="AI198" s="41">
        <f>P198/'1. Väestöennuste'!R198*1000</f>
        <v>-321.29957951517309</v>
      </c>
    </row>
    <row r="199" spans="1:35" x14ac:dyDescent="0.2">
      <c r="A199" s="34">
        <v>601</v>
      </c>
      <c r="B199" s="88" t="s">
        <v>513</v>
      </c>
      <c r="C199" s="41" t="e">
        <f>Vuosikate!C199+'7. Nettoinvestoinnit '!C199+'8. Satunnaiset erät'!C199+'9. Tulorahkorjauserät'!C199</f>
        <v>#REF!</v>
      </c>
      <c r="D199" s="41">
        <f>Vuosikate!D199+'7. Nettoinvestoinnit '!D199+'8. Satunnaiset erät'!D199+'9. Tulorahkorjauserät'!D199</f>
        <v>875</v>
      </c>
      <c r="E199" s="41">
        <f>Vuosikate!E199+'7. Nettoinvestoinnit '!E199+'8. Satunnaiset erät'!E199+'9. Tulorahkorjauserät'!E199</f>
        <v>815</v>
      </c>
      <c r="F199" s="41">
        <f>Vuosikate!F199+'7. Nettoinvestoinnit '!F199+'8. Satunnaiset erät'!F199+'9. Tulorahkorjauserät'!F199</f>
        <v>-935</v>
      </c>
      <c r="G199" s="41">
        <f>Vuosikate!G199+'7. Nettoinvestoinnit '!G199+'8. Satunnaiset erät'!G199+'9. Tulorahkorjauserät'!G199</f>
        <v>-1160</v>
      </c>
      <c r="H199" s="41">
        <f>Vuosikate!H199+'7. Nettoinvestoinnit '!H199+'8. Satunnaiset erät'!H199+'9. Tulorahkorjauserät'!H199</f>
        <v>-3113.1250428356143</v>
      </c>
      <c r="I199" s="41">
        <f>Vuosikate!I199+'7. Nettoinvestoinnit '!I199+'8. Satunnaiset erät'!I199+'9. Tulorahkorjauserät'!I199</f>
        <v>34.878781876947521</v>
      </c>
      <c r="J199" s="41">
        <f>Vuosikate!J199+'7. Nettoinvestoinnit '!J199+'8. Satunnaiset erät'!J199+'9. Tulorahkorjauserät'!J199</f>
        <v>689.76670323959559</v>
      </c>
      <c r="K199" s="41">
        <f>Vuosikate!K199+'7. Nettoinvestoinnit '!K199+'8. Satunnaiset erät'!K199+'9. Tulorahkorjauserät'!K199</f>
        <v>1376.1000275692722</v>
      </c>
      <c r="L199" s="41">
        <f>Vuosikate!L199+'7. Nettoinvestoinnit '!L199+'8. Satunnaiset erät'!L199+'9. Tulorahkorjauserät'!L199</f>
        <v>-261.31794585799503</v>
      </c>
      <c r="M199" s="41">
        <f>Vuosikate!M199+'7. Nettoinvestoinnit '!M199+'8. Satunnaiset erät'!M199+'9. Tulorahkorjauserät'!M199</f>
        <v>-387.95339841801888</v>
      </c>
      <c r="N199" s="41">
        <f>Vuosikate!N199+'7. Nettoinvestoinnit '!N199+'8. Satunnaiset erät'!N199+'9. Tulorahkorjauserät'!N199</f>
        <v>-801.97598997259979</v>
      </c>
      <c r="O199" s="41">
        <f>Vuosikate!O199+'7. Nettoinvestoinnit '!O199+'8. Satunnaiset erät'!O199+'9. Tulorahkorjauserät'!O199</f>
        <v>-1129.7957052647862</v>
      </c>
      <c r="P199" s="41">
        <f>Vuosikate!P199+'7. Nettoinvestoinnit '!P199+'8. Satunnaiset erät'!P199+'9. Tulorahkorjauserät'!P199</f>
        <v>-1078.1500205145742</v>
      </c>
      <c r="T199" s="34">
        <v>601</v>
      </c>
      <c r="U199" s="88" t="s">
        <v>513</v>
      </c>
      <c r="V199" s="41" t="e">
        <f>C199/'1. Väestöennuste'!E199*1000</f>
        <v>#REF!</v>
      </c>
      <c r="W199" s="41">
        <f>D199/'1. Väestöennuste'!F199*1000</f>
        <v>208.23417420276058</v>
      </c>
      <c r="X199" s="41">
        <f>E199/'1. Väestöennuste'!G199*1000</f>
        <v>197.48000969227041</v>
      </c>
      <c r="Y199" s="41">
        <f>F199/'1. Väestöennuste'!H199*1000</f>
        <v>-230.69331359486799</v>
      </c>
      <c r="Z199" s="41">
        <f>G199/'1. Väestöennuste'!I199*1000</f>
        <v>-287.69841269841265</v>
      </c>
      <c r="AA199" s="41">
        <f>H199/'1. Väestöennuste'!J199*1000</f>
        <v>-791.94226477629468</v>
      </c>
      <c r="AB199" s="41">
        <f>I199/'1. Väestöennuste'!K199*1000</f>
        <v>9.0056240322611725</v>
      </c>
      <c r="AC199" s="41">
        <f>J199/'1. Väestöennuste'!L199*1000</f>
        <v>182.18877528779598</v>
      </c>
      <c r="AD199" s="41">
        <f>K199/'1. Väestöennuste'!M199*1000</f>
        <v>368.03959014957803</v>
      </c>
      <c r="AE199" s="41">
        <f>L199/'1. Väestöennuste'!N199*1000</f>
        <v>-70.952469687210169</v>
      </c>
      <c r="AF199" s="41">
        <f>M199/'1. Väestöennuste'!O199*1000</f>
        <v>-106.93313076571634</v>
      </c>
      <c r="AG199" s="41">
        <f>N199/'1. Väestöennuste'!P199*1000</f>
        <v>-224.45451720475785</v>
      </c>
      <c r="AH199" s="41">
        <f>O199/'1. Väestöennuste'!Q199*1000</f>
        <v>-320.69137248503728</v>
      </c>
      <c r="AI199" s="41">
        <f>P199/'1. Väestöennuste'!R199*1000</f>
        <v>-310.43766787059434</v>
      </c>
    </row>
    <row r="200" spans="1:35" x14ac:dyDescent="0.2">
      <c r="A200" s="34">
        <v>604</v>
      </c>
      <c r="B200" s="88" t="s">
        <v>514</v>
      </c>
      <c r="C200" s="41" t="e">
        <f>Vuosikate!C200+'7. Nettoinvestoinnit '!C200+'8. Satunnaiset erät'!C200+'9. Tulorahkorjauserät'!C200</f>
        <v>#REF!</v>
      </c>
      <c r="D200" s="41">
        <f>Vuosikate!D200+'7. Nettoinvestoinnit '!D200+'8. Satunnaiset erät'!D200+'9. Tulorahkorjauserät'!D200</f>
        <v>6998</v>
      </c>
      <c r="E200" s="41">
        <f>Vuosikate!E200+'7. Nettoinvestoinnit '!E200+'8. Satunnaiset erät'!E200+'9. Tulorahkorjauserät'!E200</f>
        <v>-2350</v>
      </c>
      <c r="F200" s="41">
        <f>Vuosikate!F200+'7. Nettoinvestoinnit '!F200+'8. Satunnaiset erät'!F200+'9. Tulorahkorjauserät'!F200</f>
        <v>-8016</v>
      </c>
      <c r="G200" s="41">
        <f>Vuosikate!G200+'7. Nettoinvestoinnit '!G200+'8. Satunnaiset erät'!G200+'9. Tulorahkorjauserät'!G200</f>
        <v>-9736</v>
      </c>
      <c r="H200" s="41">
        <f>Vuosikate!H200+'7. Nettoinvestoinnit '!H200+'8. Satunnaiset erät'!H200+'9. Tulorahkorjauserät'!H200</f>
        <v>-2601.9858984535058</v>
      </c>
      <c r="I200" s="41">
        <f>Vuosikate!I200+'7. Nettoinvestoinnit '!I200+'8. Satunnaiset erät'!I200+'9. Tulorahkorjauserät'!I200</f>
        <v>-5919.9071918686541</v>
      </c>
      <c r="J200" s="41">
        <f>Vuosikate!J200+'7. Nettoinvestoinnit '!J200+'8. Satunnaiset erät'!J200+'9. Tulorahkorjauserät'!J200</f>
        <v>-5272.0226628998571</v>
      </c>
      <c r="K200" s="41">
        <f>Vuosikate!K200+'7. Nettoinvestoinnit '!K200+'8. Satunnaiset erät'!K200+'9. Tulorahkorjauserät'!K200</f>
        <v>1027.7398590925222</v>
      </c>
      <c r="L200" s="41">
        <f>Vuosikate!L200+'7. Nettoinvestoinnit '!L200+'8. Satunnaiset erät'!L200+'9. Tulorahkorjauserät'!L200</f>
        <v>-1805.2958865643741</v>
      </c>
      <c r="M200" s="41">
        <f>Vuosikate!M200+'7. Nettoinvestoinnit '!M200+'8. Satunnaiset erät'!M200+'9. Tulorahkorjauserät'!M200</f>
        <v>-4243.7334001841118</v>
      </c>
      <c r="N200" s="41">
        <f>Vuosikate!N200+'7. Nettoinvestoinnit '!N200+'8. Satunnaiset erät'!N200+'9. Tulorahkorjauserät'!N200</f>
        <v>-4263.2069769792797</v>
      </c>
      <c r="O200" s="41">
        <f>Vuosikate!O200+'7. Nettoinvestoinnit '!O200+'8. Satunnaiset erät'!O200+'9. Tulorahkorjauserät'!O200</f>
        <v>-5254.5522491287647</v>
      </c>
      <c r="P200" s="41">
        <f>Vuosikate!P200+'7. Nettoinvestoinnit '!P200+'8. Satunnaiset erät'!P200+'9. Tulorahkorjauserät'!P200</f>
        <v>-4585.9689507306866</v>
      </c>
      <c r="T200" s="34">
        <v>604</v>
      </c>
      <c r="U200" s="88" t="s">
        <v>514</v>
      </c>
      <c r="V200" s="41" t="e">
        <f>C200/'1. Väestöennuste'!E200*1000</f>
        <v>#REF!</v>
      </c>
      <c r="W200" s="41">
        <f>D200/'1. Väestöennuste'!F200*1000</f>
        <v>365.18290455565409</v>
      </c>
      <c r="X200" s="41">
        <f>E200/'1. Väestöennuste'!G200*1000</f>
        <v>-122.16042002391225</v>
      </c>
      <c r="Y200" s="41">
        <f>F200/'1. Väestöennuste'!H200*1000</f>
        <v>-413.87856257744733</v>
      </c>
      <c r="Z200" s="41">
        <f>G200/'1. Väestöennuste'!I200*1000</f>
        <v>-496.15247413749171</v>
      </c>
      <c r="AA200" s="41">
        <f>H200/'1. Väestöennuste'!J200*1000</f>
        <v>-131.3935211055651</v>
      </c>
      <c r="AB200" s="41">
        <f>I200/'1. Väestöennuste'!K200*1000</f>
        <v>-292.97768939268803</v>
      </c>
      <c r="AC200" s="41">
        <f>J200/'1. Väestöennuste'!L200*1000</f>
        <v>-258.36915770153672</v>
      </c>
      <c r="AD200" s="41">
        <f>K200/'1. Väestöennuste'!M200*1000</f>
        <v>49.498620579517521</v>
      </c>
      <c r="AE200" s="41">
        <f>L200/'1. Väestöennuste'!N200*1000</f>
        <v>-88.162127585309079</v>
      </c>
      <c r="AF200" s="41">
        <f>M200/'1. Väestöennuste'!O200*1000</f>
        <v>-205.69693181058173</v>
      </c>
      <c r="AG200" s="41">
        <f>N200/'1. Väestöennuste'!P200*1000</f>
        <v>-205.17889002691692</v>
      </c>
      <c r="AH200" s="41">
        <f>O200/'1. Väestöennuste'!Q200*1000</f>
        <v>-251.2096500037656</v>
      </c>
      <c r="AI200" s="41">
        <f>P200/'1. Väestöennuste'!R200*1000</f>
        <v>-217.87110792582482</v>
      </c>
    </row>
    <row r="201" spans="1:35" x14ac:dyDescent="0.2">
      <c r="A201" s="34">
        <v>607</v>
      </c>
      <c r="B201" s="88" t="s">
        <v>515</v>
      </c>
      <c r="C201" s="41" t="e">
        <f>Vuosikate!C201+'7. Nettoinvestoinnit '!C201+'8. Satunnaiset erät'!C201+'9. Tulorahkorjauserät'!C201</f>
        <v>#REF!</v>
      </c>
      <c r="D201" s="41">
        <f>Vuosikate!D201+'7. Nettoinvestoinnit '!D201+'8. Satunnaiset erät'!D201+'9. Tulorahkorjauserät'!D201</f>
        <v>425</v>
      </c>
      <c r="E201" s="41">
        <f>Vuosikate!E201+'7. Nettoinvestoinnit '!E201+'8. Satunnaiset erät'!E201+'9. Tulorahkorjauserät'!E201</f>
        <v>1212</v>
      </c>
      <c r="F201" s="41">
        <f>Vuosikate!F201+'7. Nettoinvestoinnit '!F201+'8. Satunnaiset erät'!F201+'9. Tulorahkorjauserät'!F201</f>
        <v>-3858</v>
      </c>
      <c r="G201" s="41">
        <f>Vuosikate!G201+'7. Nettoinvestoinnit '!G201+'8. Satunnaiset erät'!G201+'9. Tulorahkorjauserät'!G201</f>
        <v>-1629</v>
      </c>
      <c r="H201" s="41">
        <f>Vuosikate!H201+'7. Nettoinvestoinnit '!H201+'8. Satunnaiset erät'!H201+'9. Tulorahkorjauserät'!H201</f>
        <v>-2.1895191284020257</v>
      </c>
      <c r="I201" s="41">
        <f>Vuosikate!I201+'7. Nettoinvestoinnit '!I201+'8. Satunnaiset erät'!I201+'9. Tulorahkorjauserät'!I201</f>
        <v>-1017.3982613974832</v>
      </c>
      <c r="J201" s="41">
        <f>Vuosikate!J201+'7. Nettoinvestoinnit '!J201+'8. Satunnaiset erät'!J201+'9. Tulorahkorjauserät'!J201</f>
        <v>-2565.9988966990059</v>
      </c>
      <c r="K201" s="41">
        <f>Vuosikate!K201+'7. Nettoinvestoinnit '!K201+'8. Satunnaiset erät'!K201+'9. Tulorahkorjauserät'!K201</f>
        <v>-7355.876561653291</v>
      </c>
      <c r="L201" s="41">
        <f>Vuosikate!L201+'7. Nettoinvestoinnit '!L201+'8. Satunnaiset erät'!L201+'9. Tulorahkorjauserät'!L201</f>
        <v>-3390.3485569110007</v>
      </c>
      <c r="M201" s="41">
        <f>Vuosikate!M201+'7. Nettoinvestoinnit '!M201+'8. Satunnaiset erät'!M201+'9. Tulorahkorjauserät'!M201</f>
        <v>-4673.1732999070246</v>
      </c>
      <c r="N201" s="41">
        <f>Vuosikate!N201+'7. Nettoinvestoinnit '!N201+'8. Satunnaiset erät'!N201+'9. Tulorahkorjauserät'!N201</f>
        <v>-4575.4341944645894</v>
      </c>
      <c r="O201" s="41">
        <f>Vuosikate!O201+'7. Nettoinvestoinnit '!O201+'8. Satunnaiset erät'!O201+'9. Tulorahkorjauserät'!O201</f>
        <v>-4853.2162442288118</v>
      </c>
      <c r="P201" s="41">
        <f>Vuosikate!P201+'7. Nettoinvestoinnit '!P201+'8. Satunnaiset erät'!P201+'9. Tulorahkorjauserät'!P201</f>
        <v>-4576.6693924624215</v>
      </c>
      <c r="T201" s="34">
        <v>607</v>
      </c>
      <c r="U201" s="88" t="s">
        <v>515</v>
      </c>
      <c r="V201" s="41" t="e">
        <f>C201/'1. Väestöennuste'!E201*1000</f>
        <v>#REF!</v>
      </c>
      <c r="W201" s="41">
        <f>D201/'1. Väestöennuste'!F201*1000</f>
        <v>94.151528577758086</v>
      </c>
      <c r="X201" s="41">
        <f>E201/'1. Väestöennuste'!G201*1000</f>
        <v>274.58087902129586</v>
      </c>
      <c r="Y201" s="41">
        <f>F201/'1. Väestöennuste'!H201*1000</f>
        <v>-895.75110285581616</v>
      </c>
      <c r="Z201" s="41">
        <f>G201/'1. Väestöennuste'!I201*1000</f>
        <v>-383.65520489872824</v>
      </c>
      <c r="AA201" s="41">
        <f>H201/'1. Väestöennuste'!J201*1000</f>
        <v>-0.52118998533730676</v>
      </c>
      <c r="AB201" s="41">
        <f>I201/'1. Väestöennuste'!K201*1000</f>
        <v>-244.50811377012334</v>
      </c>
      <c r="AC201" s="41">
        <f>J201/'1. Väestöennuste'!L201*1000</f>
        <v>-628.30531260994269</v>
      </c>
      <c r="AD201" s="41">
        <f>K201/'1. Väestöennuste'!M201*1000</f>
        <v>-1810.0089964698059</v>
      </c>
      <c r="AE201" s="41">
        <f>L201/'1. Väestöennuste'!N201*1000</f>
        <v>-858.53344059534072</v>
      </c>
      <c r="AF201" s="41">
        <f>M201/'1. Väestöennuste'!O201*1000</f>
        <v>-1200.7125642104379</v>
      </c>
      <c r="AG201" s="41">
        <f>N201/'1. Väestöennuste'!P201*1000</f>
        <v>-1191.5193214751534</v>
      </c>
      <c r="AH201" s="41">
        <f>O201/'1. Väestöennuste'!Q201*1000</f>
        <v>-1281.8849033884869</v>
      </c>
      <c r="AI201" s="41">
        <f>P201/'1. Väestöennuste'!R201*1000</f>
        <v>-1226.6602499229218</v>
      </c>
    </row>
    <row r="202" spans="1:35" x14ac:dyDescent="0.2">
      <c r="A202" s="34">
        <v>608</v>
      </c>
      <c r="B202" s="88" t="s">
        <v>516</v>
      </c>
      <c r="C202" s="41" t="e">
        <f>Vuosikate!C202+'7. Nettoinvestoinnit '!C202+'8. Satunnaiset erät'!C202+'9. Tulorahkorjauserät'!C202</f>
        <v>#REF!</v>
      </c>
      <c r="D202" s="41">
        <f>Vuosikate!D202+'7. Nettoinvestoinnit '!D202+'8. Satunnaiset erät'!D202+'9. Tulorahkorjauserät'!D202</f>
        <v>168</v>
      </c>
      <c r="E202" s="41">
        <f>Vuosikate!E202+'7. Nettoinvestoinnit '!E202+'8. Satunnaiset erät'!E202+'9. Tulorahkorjauserät'!E202</f>
        <v>-100</v>
      </c>
      <c r="F202" s="41">
        <f>Vuosikate!F202+'7. Nettoinvestoinnit '!F202+'8. Satunnaiset erät'!F202+'9. Tulorahkorjauserät'!F202</f>
        <v>-326</v>
      </c>
      <c r="G202" s="41">
        <f>Vuosikate!G202+'7. Nettoinvestoinnit '!G202+'8. Satunnaiset erät'!G202+'9. Tulorahkorjauserät'!G202</f>
        <v>-70</v>
      </c>
      <c r="H202" s="41">
        <f>Vuosikate!H202+'7. Nettoinvestoinnit '!H202+'8. Satunnaiset erät'!H202+'9. Tulorahkorjauserät'!H202</f>
        <v>365.61784343642285</v>
      </c>
      <c r="I202" s="41">
        <f>Vuosikate!I202+'7. Nettoinvestoinnit '!I202+'8. Satunnaiset erät'!I202+'9. Tulorahkorjauserät'!I202</f>
        <v>-112.38288649594736</v>
      </c>
      <c r="J202" s="41">
        <f>Vuosikate!J202+'7. Nettoinvestoinnit '!J202+'8. Satunnaiset erät'!J202+'9. Tulorahkorjauserät'!J202</f>
        <v>-1338.9830987211831</v>
      </c>
      <c r="K202" s="41">
        <f>Vuosikate!K202+'7. Nettoinvestoinnit '!K202+'8. Satunnaiset erät'!K202+'9. Tulorahkorjauserät'!K202</f>
        <v>-944.20763938366952</v>
      </c>
      <c r="L202" s="41">
        <f>Vuosikate!L202+'7. Nettoinvestoinnit '!L202+'8. Satunnaiset erät'!L202+'9. Tulorahkorjauserät'!L202</f>
        <v>-849.94423017198483</v>
      </c>
      <c r="M202" s="41">
        <f>Vuosikate!M202+'7. Nettoinvestoinnit '!M202+'8. Satunnaiset erät'!M202+'9. Tulorahkorjauserät'!M202</f>
        <v>-1030.1165885734777</v>
      </c>
      <c r="N202" s="41">
        <f>Vuosikate!N202+'7. Nettoinvestoinnit '!N202+'8. Satunnaiset erät'!N202+'9. Tulorahkorjauserät'!N202</f>
        <v>-951.69231247414416</v>
      </c>
      <c r="O202" s="41">
        <f>Vuosikate!O202+'7. Nettoinvestoinnit '!O202+'8. Satunnaiset erät'!O202+'9. Tulorahkorjauserät'!O202</f>
        <v>-1005.1821624431623</v>
      </c>
      <c r="P202" s="41">
        <f>Vuosikate!P202+'7. Nettoinvestoinnit '!P202+'8. Satunnaiset erät'!P202+'9. Tulorahkorjauserät'!P202</f>
        <v>-782.64280131543501</v>
      </c>
      <c r="T202" s="34">
        <v>608</v>
      </c>
      <c r="U202" s="88" t="s">
        <v>516</v>
      </c>
      <c r="V202" s="41" t="e">
        <f>C202/'1. Väestöennuste'!E202*1000</f>
        <v>#REF!</v>
      </c>
      <c r="W202" s="41">
        <f>D202/'1. Väestöennuste'!F202*1000</f>
        <v>75.23510971786834</v>
      </c>
      <c r="X202" s="41">
        <f>E202/'1. Väestöennuste'!G202*1000</f>
        <v>-46.168051708217916</v>
      </c>
      <c r="Y202" s="41">
        <f>F202/'1. Väestöennuste'!H202*1000</f>
        <v>-151.91053122087607</v>
      </c>
      <c r="Z202" s="41">
        <f>G202/'1. Väestöennuste'!I202*1000</f>
        <v>-33.508855911919582</v>
      </c>
      <c r="AA202" s="41">
        <f>H202/'1. Väestöennuste'!J202*1000</f>
        <v>177.22629347378714</v>
      </c>
      <c r="AB202" s="41">
        <f>I202/'1. Väestöennuste'!K202*1000</f>
        <v>-55.828557623421439</v>
      </c>
      <c r="AC202" s="41">
        <f>J202/'1. Väestöennuste'!L202*1000</f>
        <v>-676.25409026322382</v>
      </c>
      <c r="AD202" s="41">
        <f>K202/'1. Väestöennuste'!M202*1000</f>
        <v>-485.95349427878</v>
      </c>
      <c r="AE202" s="41">
        <f>L202/'1. Väestöennuste'!N202*1000</f>
        <v>-436.31633992401686</v>
      </c>
      <c r="AF202" s="41">
        <f>M202/'1. Väestöennuste'!O202*1000</f>
        <v>-535.68205334034201</v>
      </c>
      <c r="AG202" s="41">
        <f>N202/'1. Väestöennuste'!P202*1000</f>
        <v>-501.68282154672863</v>
      </c>
      <c r="AH202" s="41">
        <f>O202/'1. Väestöennuste'!Q202*1000</f>
        <v>-537.24327228389211</v>
      </c>
      <c r="AI202" s="41">
        <f>P202/'1. Väestöennuste'!R202*1000</f>
        <v>-423.73730444798861</v>
      </c>
    </row>
    <row r="203" spans="1:35" x14ac:dyDescent="0.2">
      <c r="A203" s="34">
        <v>609</v>
      </c>
      <c r="B203" s="88" t="s">
        <v>517</v>
      </c>
      <c r="C203" s="41" t="e">
        <f>Vuosikate!C203+'7. Nettoinvestoinnit '!C203+'8. Satunnaiset erät'!C203+'9. Tulorahkorjauserät'!C203</f>
        <v>#REF!</v>
      </c>
      <c r="D203" s="41">
        <f>Vuosikate!D203+'7. Nettoinvestoinnit '!D203+'8. Satunnaiset erät'!D203+'9. Tulorahkorjauserät'!D203</f>
        <v>11189</v>
      </c>
      <c r="E203" s="41">
        <f>Vuosikate!E203+'7. Nettoinvestoinnit '!E203+'8. Satunnaiset erät'!E203+'9. Tulorahkorjauserät'!E203</f>
        <v>602</v>
      </c>
      <c r="F203" s="41">
        <f>Vuosikate!F203+'7. Nettoinvestoinnit '!F203+'8. Satunnaiset erät'!F203+'9. Tulorahkorjauserät'!F203</f>
        <v>-22860</v>
      </c>
      <c r="G203" s="41">
        <f>Vuosikate!G203+'7. Nettoinvestoinnit '!G203+'8. Satunnaiset erät'!G203+'9. Tulorahkorjauserät'!G203</f>
        <v>-31455</v>
      </c>
      <c r="H203" s="41">
        <f>Vuosikate!H203+'7. Nettoinvestoinnit '!H203+'8. Satunnaiset erät'!H203+'9. Tulorahkorjauserät'!H203</f>
        <v>-397.42713907302823</v>
      </c>
      <c r="I203" s="41">
        <f>Vuosikate!I203+'7. Nettoinvestoinnit '!I203+'8. Satunnaiset erät'!I203+'9. Tulorahkorjauserät'!I203</f>
        <v>-18525.253978109642</v>
      </c>
      <c r="J203" s="41">
        <f>Vuosikate!J203+'7. Nettoinvestoinnit '!J203+'8. Satunnaiset erät'!J203+'9. Tulorahkorjauserät'!J203</f>
        <v>-23173.299428305247</v>
      </c>
      <c r="K203" s="41">
        <f>Vuosikate!K203+'7. Nettoinvestoinnit '!K203+'8. Satunnaiset erät'!K203+'9. Tulorahkorjauserät'!K203</f>
        <v>-19383.365188113145</v>
      </c>
      <c r="L203" s="41">
        <f>Vuosikate!L203+'7. Nettoinvestoinnit '!L203+'8. Satunnaiset erät'!L203+'9. Tulorahkorjauserät'!L203</f>
        <v>-26700.990302644044</v>
      </c>
      <c r="M203" s="41">
        <f>Vuosikate!M203+'7. Nettoinvestoinnit '!M203+'8. Satunnaiset erät'!M203+'9. Tulorahkorjauserät'!M203</f>
        <v>-33030.114139355159</v>
      </c>
      <c r="N203" s="41">
        <f>Vuosikate!N203+'7. Nettoinvestoinnit '!N203+'8. Satunnaiset erät'!N203+'9. Tulorahkorjauserät'!N203</f>
        <v>-18029.078006323507</v>
      </c>
      <c r="O203" s="41">
        <f>Vuosikate!O203+'7. Nettoinvestoinnit '!O203+'8. Satunnaiset erät'!O203+'9. Tulorahkorjauserät'!O203</f>
        <v>-17000.033600784187</v>
      </c>
      <c r="P203" s="41">
        <f>Vuosikate!P203+'7. Nettoinvestoinnit '!P203+'8. Satunnaiset erät'!P203+'9. Tulorahkorjauserät'!P203</f>
        <v>-10285.051688445397</v>
      </c>
      <c r="T203" s="34">
        <v>609</v>
      </c>
      <c r="U203" s="88" t="s">
        <v>517</v>
      </c>
      <c r="V203" s="41" t="e">
        <f>C203/'1. Väestöennuste'!E203*1000</f>
        <v>#REF!</v>
      </c>
      <c r="W203" s="41">
        <f>D203/'1. Väestöennuste'!F203*1000</f>
        <v>131.54398711482617</v>
      </c>
      <c r="X203" s="41">
        <f>E203/'1. Väestöennuste'!G203*1000</f>
        <v>7.1169328620237149</v>
      </c>
      <c r="Y203" s="41">
        <f>F203/'1. Väestöennuste'!H203*1000</f>
        <v>-270.84345343175005</v>
      </c>
      <c r="Z203" s="41">
        <f>G203/'1. Väestöennuste'!I203*1000</f>
        <v>-374.75873900922153</v>
      </c>
      <c r="AA203" s="41">
        <f>H203/'1. Väestöennuste'!J203*1000</f>
        <v>-4.7491412823601671</v>
      </c>
      <c r="AB203" s="41">
        <f>I203/'1. Väestöennuste'!K203*1000</f>
        <v>-221.90716535432358</v>
      </c>
      <c r="AC203" s="41">
        <f>J203/'1. Väestöennuste'!L203*1000</f>
        <v>-278.50849622384771</v>
      </c>
      <c r="AD203" s="41">
        <f>K203/'1. Väestöennuste'!M203*1000</f>
        <v>-233.23665184358705</v>
      </c>
      <c r="AE203" s="41">
        <f>L203/'1. Väestöennuste'!N203*1000</f>
        <v>-324.64394206042829</v>
      </c>
      <c r="AF203" s="41">
        <f>M203/'1. Väestöennuste'!O203*1000</f>
        <v>-403.42616873922316</v>
      </c>
      <c r="AG203" s="41">
        <f>N203/'1. Väestöennuste'!P203*1000</f>
        <v>-221.22925340601887</v>
      </c>
      <c r="AH203" s="41">
        <f>O203/'1. Väestöennuste'!Q203*1000</f>
        <v>-209.57682332442658</v>
      </c>
      <c r="AI203" s="41">
        <f>P203/'1. Väestöennuste'!R203*1000</f>
        <v>-127.38956969475454</v>
      </c>
    </row>
    <row r="204" spans="1:35" x14ac:dyDescent="0.2">
      <c r="A204" s="34">
        <v>611</v>
      </c>
      <c r="B204" s="88" t="s">
        <v>518</v>
      </c>
      <c r="C204" s="41" t="e">
        <f>Vuosikate!C204+'7. Nettoinvestoinnit '!C204+'8. Satunnaiset erät'!C204+'9. Tulorahkorjauserät'!C204</f>
        <v>#REF!</v>
      </c>
      <c r="D204" s="41">
        <f>Vuosikate!D204+'7. Nettoinvestoinnit '!D204+'8. Satunnaiset erät'!D204+'9. Tulorahkorjauserät'!D204</f>
        <v>1627</v>
      </c>
      <c r="E204" s="41">
        <f>Vuosikate!E204+'7. Nettoinvestoinnit '!E204+'8. Satunnaiset erät'!E204+'9. Tulorahkorjauserät'!E204</f>
        <v>2138</v>
      </c>
      <c r="F204" s="41">
        <f>Vuosikate!F204+'7. Nettoinvestoinnit '!F204+'8. Satunnaiset erät'!F204+'9. Tulorahkorjauserät'!F204</f>
        <v>1929</v>
      </c>
      <c r="G204" s="41">
        <f>Vuosikate!G204+'7. Nettoinvestoinnit '!G204+'8. Satunnaiset erät'!G204+'9. Tulorahkorjauserät'!G204</f>
        <v>-631</v>
      </c>
      <c r="H204" s="41">
        <f>Vuosikate!H204+'7. Nettoinvestoinnit '!H204+'8. Satunnaiset erät'!H204+'9. Tulorahkorjauserät'!H204</f>
        <v>1972.9065539462945</v>
      </c>
      <c r="I204" s="41">
        <f>Vuosikate!I204+'7. Nettoinvestoinnit '!I204+'8. Satunnaiset erät'!I204+'9. Tulorahkorjauserät'!I204</f>
        <v>668.85510143661281</v>
      </c>
      <c r="J204" s="41">
        <f>Vuosikate!J204+'7. Nettoinvestoinnit '!J204+'8. Satunnaiset erät'!J204+'9. Tulorahkorjauserät'!J204</f>
        <v>-1051.2580465844303</v>
      </c>
      <c r="K204" s="41">
        <f>Vuosikate!K204+'7. Nettoinvestoinnit '!K204+'8. Satunnaiset erät'!K204+'9. Tulorahkorjauserät'!K204</f>
        <v>1135.2769505282026</v>
      </c>
      <c r="L204" s="41">
        <f>Vuosikate!L204+'7. Nettoinvestoinnit '!L204+'8. Satunnaiset erät'!L204+'9. Tulorahkorjauserät'!L204</f>
        <v>169.36664805499436</v>
      </c>
      <c r="M204" s="41">
        <f>Vuosikate!M204+'7. Nettoinvestoinnit '!M204+'8. Satunnaiset erät'!M204+'9. Tulorahkorjauserät'!M204</f>
        <v>-1629.5279529375016</v>
      </c>
      <c r="N204" s="41">
        <f>Vuosikate!N204+'7. Nettoinvestoinnit '!N204+'8. Satunnaiset erät'!N204+'9. Tulorahkorjauserät'!N204</f>
        <v>-1964.4703816795568</v>
      </c>
      <c r="O204" s="41">
        <f>Vuosikate!O204+'7. Nettoinvestoinnit '!O204+'8. Satunnaiset erät'!O204+'9. Tulorahkorjauserät'!O204</f>
        <v>-2321.1848876866907</v>
      </c>
      <c r="P204" s="41">
        <f>Vuosikate!P204+'7. Nettoinvestoinnit '!P204+'8. Satunnaiset erät'!P204+'9. Tulorahkorjauserät'!P204</f>
        <v>-2255.2734526640897</v>
      </c>
      <c r="T204" s="34">
        <v>611</v>
      </c>
      <c r="U204" s="88" t="s">
        <v>518</v>
      </c>
      <c r="V204" s="41" t="e">
        <f>C204/'1. Väestöennuste'!E204*1000</f>
        <v>#REF!</v>
      </c>
      <c r="W204" s="41">
        <f>D204/'1. Väestöennuste'!F204*1000</f>
        <v>318.51996867658579</v>
      </c>
      <c r="X204" s="41">
        <f>E204/'1. Väestöennuste'!G204*1000</f>
        <v>417.49658269869167</v>
      </c>
      <c r="Y204" s="41">
        <f>F204/'1. Väestöennuste'!H204*1000</f>
        <v>380.62352012628253</v>
      </c>
      <c r="Z204" s="41">
        <f>G204/'1. Väestöennuste'!I204*1000</f>
        <v>-125.32274081429989</v>
      </c>
      <c r="AA204" s="41">
        <f>H204/'1. Väestöennuste'!J204*1000</f>
        <v>389.13344259295752</v>
      </c>
      <c r="AB204" s="41">
        <f>I204/'1. Väestöennuste'!K204*1000</f>
        <v>132.02824742136059</v>
      </c>
      <c r="AC204" s="41">
        <f>J204/'1. Väestöennuste'!L204*1000</f>
        <v>-209.79007116033333</v>
      </c>
      <c r="AD204" s="41">
        <f>K204/'1. Väestöennuste'!M204*1000</f>
        <v>228.28814609455111</v>
      </c>
      <c r="AE204" s="41">
        <f>L204/'1. Väestöennuste'!N204*1000</f>
        <v>33.458444894309437</v>
      </c>
      <c r="AF204" s="41">
        <f>M204/'1. Väestöennuste'!O204*1000</f>
        <v>-321.59620148756693</v>
      </c>
      <c r="AG204" s="41">
        <f>N204/'1. Väestöennuste'!P204*1000</f>
        <v>-387.08775993685845</v>
      </c>
      <c r="AH204" s="41">
        <f>O204/'1. Väestöennuste'!Q204*1000</f>
        <v>-456.29740272983895</v>
      </c>
      <c r="AI204" s="41">
        <f>P204/'1. Väestöennuste'!R204*1000</f>
        <v>-442.47075783089849</v>
      </c>
    </row>
    <row r="205" spans="1:35" x14ac:dyDescent="0.2">
      <c r="A205" s="34">
        <v>614</v>
      </c>
      <c r="B205" s="88" t="s">
        <v>519</v>
      </c>
      <c r="C205" s="41" t="e">
        <f>Vuosikate!C205+'7. Nettoinvestoinnit '!C205+'8. Satunnaiset erät'!C205+'9. Tulorahkorjauserät'!C205</f>
        <v>#REF!</v>
      </c>
      <c r="D205" s="41">
        <f>Vuosikate!D205+'7. Nettoinvestoinnit '!D205+'8. Satunnaiset erät'!D205+'9. Tulorahkorjauserät'!D205</f>
        <v>604</v>
      </c>
      <c r="E205" s="41">
        <f>Vuosikate!E205+'7. Nettoinvestoinnit '!E205+'8. Satunnaiset erät'!E205+'9. Tulorahkorjauserät'!E205</f>
        <v>3245</v>
      </c>
      <c r="F205" s="41">
        <f>Vuosikate!F205+'7. Nettoinvestoinnit '!F205+'8. Satunnaiset erät'!F205+'9. Tulorahkorjauserät'!F205</f>
        <v>1179</v>
      </c>
      <c r="G205" s="41">
        <f>Vuosikate!G205+'7. Nettoinvestoinnit '!G205+'8. Satunnaiset erät'!G205+'9. Tulorahkorjauserät'!G205</f>
        <v>366</v>
      </c>
      <c r="H205" s="41">
        <f>Vuosikate!H205+'7. Nettoinvestoinnit '!H205+'8. Satunnaiset erät'!H205+'9. Tulorahkorjauserät'!H205</f>
        <v>927.33493180956066</v>
      </c>
      <c r="I205" s="41">
        <f>Vuosikate!I205+'7. Nettoinvestoinnit '!I205+'8. Satunnaiset erät'!I205+'9. Tulorahkorjauserät'!I205</f>
        <v>642.60788701170873</v>
      </c>
      <c r="J205" s="41">
        <f>Vuosikate!J205+'7. Nettoinvestoinnit '!J205+'8. Satunnaiset erät'!J205+'9. Tulorahkorjauserät'!J205</f>
        <v>-48.143302924972105</v>
      </c>
      <c r="K205" s="41">
        <f>Vuosikate!K205+'7. Nettoinvestoinnit '!K205+'8. Satunnaiset erät'!K205+'9. Tulorahkorjauserät'!K205</f>
        <v>187.73331403747343</v>
      </c>
      <c r="L205" s="41">
        <f>Vuosikate!L205+'7. Nettoinvestoinnit '!L205+'8. Satunnaiset erät'!L205+'9. Tulorahkorjauserät'!L205</f>
        <v>-447.25316615339375</v>
      </c>
      <c r="M205" s="41">
        <f>Vuosikate!M205+'7. Nettoinvestoinnit '!M205+'8. Satunnaiset erät'!M205+'9. Tulorahkorjauserät'!M205</f>
        <v>-1265.334638016011</v>
      </c>
      <c r="N205" s="41">
        <f>Vuosikate!N205+'7. Nettoinvestoinnit '!N205+'8. Satunnaiset erät'!N205+'9. Tulorahkorjauserät'!N205</f>
        <v>-1149.0583114600181</v>
      </c>
      <c r="O205" s="41">
        <f>Vuosikate!O205+'7. Nettoinvestoinnit '!O205+'8. Satunnaiset erät'!O205+'9. Tulorahkorjauserät'!O205</f>
        <v>-1229.4469591680518</v>
      </c>
      <c r="P205" s="41">
        <f>Vuosikate!P205+'7. Nettoinvestoinnit '!P205+'8. Satunnaiset erät'!P205+'9. Tulorahkorjauserät'!P205</f>
        <v>-952.56456154485954</v>
      </c>
      <c r="T205" s="34">
        <v>614</v>
      </c>
      <c r="U205" s="88" t="s">
        <v>519</v>
      </c>
      <c r="V205" s="41" t="e">
        <f>C205/'1. Väestöennuste'!E205*1000</f>
        <v>#REF!</v>
      </c>
      <c r="W205" s="41">
        <f>D205/'1. Väestöennuste'!F205*1000</f>
        <v>176.4018691588785</v>
      </c>
      <c r="X205" s="41">
        <f>E205/'1. Väestöennuste'!G205*1000</f>
        <v>980.36253776435046</v>
      </c>
      <c r="Y205" s="41">
        <f>F205/'1. Väestöennuste'!H205*1000</f>
        <v>364.22613531047267</v>
      </c>
      <c r="Z205" s="41">
        <f>G205/'1. Väestöennuste'!I205*1000</f>
        <v>114.98586239396795</v>
      </c>
      <c r="AA205" s="41">
        <f>H205/'1. Väestöennuste'!J205*1000</f>
        <v>297.50880070887416</v>
      </c>
      <c r="AB205" s="41">
        <f>I205/'1. Väestöennuste'!K205*1000</f>
        <v>209.59161350675433</v>
      </c>
      <c r="AC205" s="41">
        <f>J205/'1. Väestöennuste'!L205*1000</f>
        <v>-16.053118681217775</v>
      </c>
      <c r="AD205" s="41">
        <f>K205/'1. Väestöennuste'!M205*1000</f>
        <v>64.226244966634781</v>
      </c>
      <c r="AE205" s="41">
        <f>L205/'1. Väestöennuste'!N205*1000</f>
        <v>-156.60124865314907</v>
      </c>
      <c r="AF205" s="41">
        <f>M205/'1. Väestöennuste'!O205*1000</f>
        <v>-451.26056990585272</v>
      </c>
      <c r="AG205" s="41">
        <f>N205/'1. Väestöennuste'!P205*1000</f>
        <v>-416.77849527022784</v>
      </c>
      <c r="AH205" s="41">
        <f>O205/'1. Väestöennuste'!Q205*1000</f>
        <v>-453.67046463765746</v>
      </c>
      <c r="AI205" s="41">
        <f>P205/'1. Väestöennuste'!R205*1000</f>
        <v>-357.16706469623534</v>
      </c>
    </row>
    <row r="206" spans="1:35" x14ac:dyDescent="0.2">
      <c r="A206" s="34">
        <v>615</v>
      </c>
      <c r="B206" s="88" t="s">
        <v>520</v>
      </c>
      <c r="C206" s="41" t="e">
        <f>Vuosikate!C206+'7. Nettoinvestoinnit '!C206+'8. Satunnaiset erät'!C206+'9. Tulorahkorjauserät'!C206</f>
        <v>#REF!</v>
      </c>
      <c r="D206" s="41">
        <f>Vuosikate!D206+'7. Nettoinvestoinnit '!D206+'8. Satunnaiset erät'!D206+'9. Tulorahkorjauserät'!D206</f>
        <v>-4195</v>
      </c>
      <c r="E206" s="41">
        <f>Vuosikate!E206+'7. Nettoinvestoinnit '!E206+'8. Satunnaiset erät'!E206+'9. Tulorahkorjauserät'!E206</f>
        <v>1789</v>
      </c>
      <c r="F206" s="41">
        <f>Vuosikate!F206+'7. Nettoinvestoinnit '!F206+'8. Satunnaiset erät'!F206+'9. Tulorahkorjauserät'!F206</f>
        <v>-5277</v>
      </c>
      <c r="G206" s="41">
        <f>Vuosikate!G206+'7. Nettoinvestoinnit '!G206+'8. Satunnaiset erät'!G206+'9. Tulorahkorjauserät'!G206</f>
        <v>-9533</v>
      </c>
      <c r="H206" s="41">
        <f>Vuosikate!H206+'7. Nettoinvestoinnit '!H206+'8. Satunnaiset erät'!H206+'9. Tulorahkorjauserät'!H206</f>
        <v>-3618.5362418886361</v>
      </c>
      <c r="I206" s="41">
        <f>Vuosikate!I206+'7. Nettoinvestoinnit '!I206+'8. Satunnaiset erät'!I206+'9. Tulorahkorjauserät'!I206</f>
        <v>3172.9252572673431</v>
      </c>
      <c r="J206" s="41">
        <f>Vuosikate!J206+'7. Nettoinvestoinnit '!J206+'8. Satunnaiset erät'!J206+'9. Tulorahkorjauserät'!J206</f>
        <v>2158.7407314245461</v>
      </c>
      <c r="K206" s="41">
        <f>Vuosikate!K206+'7. Nettoinvestoinnit '!K206+'8. Satunnaiset erät'!K206+'9. Tulorahkorjauserät'!K206</f>
        <v>176.10367555547236</v>
      </c>
      <c r="L206" s="41">
        <f>Vuosikate!L206+'7. Nettoinvestoinnit '!L206+'8. Satunnaiset erät'!L206+'9. Tulorahkorjauserät'!L206</f>
        <v>2378.8569396281237</v>
      </c>
      <c r="M206" s="41">
        <f>Vuosikate!M206+'7. Nettoinvestoinnit '!M206+'8. Satunnaiset erät'!M206+'9. Tulorahkorjauserät'!M206</f>
        <v>-2817.109383477632</v>
      </c>
      <c r="N206" s="41">
        <f>Vuosikate!N206+'7. Nettoinvestoinnit '!N206+'8. Satunnaiset erät'!N206+'9. Tulorahkorjauserät'!N206</f>
        <v>-3157.8259989386247</v>
      </c>
      <c r="O206" s="41">
        <f>Vuosikate!O206+'7. Nettoinvestoinnit '!O206+'8. Satunnaiset erät'!O206+'9. Tulorahkorjauserät'!O206</f>
        <v>-3299.5559108051084</v>
      </c>
      <c r="P206" s="41">
        <f>Vuosikate!P206+'7. Nettoinvestoinnit '!P206+'8. Satunnaiset erät'!P206+'9. Tulorahkorjauserät'!P206</f>
        <v>-2377.963829787599</v>
      </c>
      <c r="T206" s="34">
        <v>615</v>
      </c>
      <c r="U206" s="88" t="s">
        <v>520</v>
      </c>
      <c r="V206" s="41" t="e">
        <f>C206/'1. Väestöennuste'!E206*1000</f>
        <v>#REF!</v>
      </c>
      <c r="W206" s="41">
        <f>D206/'1. Väestöennuste'!F206*1000</f>
        <v>-512.39770367656035</v>
      </c>
      <c r="X206" s="41">
        <f>E206/'1. Väestöennuste'!G206*1000</f>
        <v>220.78242626187833</v>
      </c>
      <c r="Y206" s="41">
        <f>F206/'1. Väestöennuste'!H206*1000</f>
        <v>-660.45056320400499</v>
      </c>
      <c r="Z206" s="41">
        <f>G206/'1. Väestöennuste'!I206*1000</f>
        <v>-1210.8471992887082</v>
      </c>
      <c r="AA206" s="41">
        <f>H206/'1. Väestöennuste'!J206*1000</f>
        <v>-465.16727624227229</v>
      </c>
      <c r="AB206" s="41">
        <f>I206/'1. Väestöennuste'!K206*1000</f>
        <v>411.96121231723487</v>
      </c>
      <c r="AC206" s="41">
        <f>J206/'1. Väestöennuste'!L206*1000</f>
        <v>283.93275436334949</v>
      </c>
      <c r="AD206" s="41">
        <f>K206/'1. Väestöennuste'!M206*1000</f>
        <v>23.546420050203551</v>
      </c>
      <c r="AE206" s="41">
        <f>L206/'1. Väestöennuste'!N206*1000</f>
        <v>321.42371836618344</v>
      </c>
      <c r="AF206" s="41">
        <f>M206/'1. Väestöennuste'!O206*1000</f>
        <v>-385.16671909729723</v>
      </c>
      <c r="AG206" s="41">
        <f>N206/'1. Väestöennuste'!P206*1000</f>
        <v>-436.88793565835982</v>
      </c>
      <c r="AH206" s="41">
        <f>O206/'1. Väestöennuste'!Q206*1000</f>
        <v>-461.54090233670559</v>
      </c>
      <c r="AI206" s="41">
        <f>P206/'1. Väestöennuste'!R206*1000</f>
        <v>-336.29809500602448</v>
      </c>
    </row>
    <row r="207" spans="1:35" x14ac:dyDescent="0.2">
      <c r="A207" s="34">
        <v>616</v>
      </c>
      <c r="B207" s="88" t="s">
        <v>521</v>
      </c>
      <c r="C207" s="41" t="e">
        <f>Vuosikate!C207+'7. Nettoinvestoinnit '!C207+'8. Satunnaiset erät'!C207+'9. Tulorahkorjauserät'!C207</f>
        <v>#REF!</v>
      </c>
      <c r="D207" s="41">
        <f>Vuosikate!D207+'7. Nettoinvestoinnit '!D207+'8. Satunnaiset erät'!D207+'9. Tulorahkorjauserät'!D207</f>
        <v>4570</v>
      </c>
      <c r="E207" s="41">
        <f>Vuosikate!E207+'7. Nettoinvestoinnit '!E207+'8. Satunnaiset erät'!E207+'9. Tulorahkorjauserät'!E207</f>
        <v>1127</v>
      </c>
      <c r="F207" s="41">
        <f>Vuosikate!F207+'7. Nettoinvestoinnit '!F207+'8. Satunnaiset erät'!F207+'9. Tulorahkorjauserät'!F207</f>
        <v>-721</v>
      </c>
      <c r="G207" s="41">
        <f>Vuosikate!G207+'7. Nettoinvestoinnit '!G207+'8. Satunnaiset erät'!G207+'9. Tulorahkorjauserät'!G207</f>
        <v>-737</v>
      </c>
      <c r="H207" s="41">
        <f>Vuosikate!H207+'7. Nettoinvestoinnit '!H207+'8. Satunnaiset erät'!H207+'9. Tulorahkorjauserät'!H207</f>
        <v>563.10617217742038</v>
      </c>
      <c r="I207" s="41">
        <f>Vuosikate!I207+'7. Nettoinvestoinnit '!I207+'8. Satunnaiset erät'!I207+'9. Tulorahkorjauserät'!I207</f>
        <v>-258.0384047840945</v>
      </c>
      <c r="J207" s="41">
        <f>Vuosikate!J207+'7. Nettoinvestoinnit '!J207+'8. Satunnaiset erät'!J207+'9. Tulorahkorjauserät'!J207</f>
        <v>-365.04103490497658</v>
      </c>
      <c r="K207" s="41">
        <f>Vuosikate!K207+'7. Nettoinvestoinnit '!K207+'8. Satunnaiset erät'!K207+'9. Tulorahkorjauserät'!K207</f>
        <v>33.436016019214208</v>
      </c>
      <c r="L207" s="41">
        <f>Vuosikate!L207+'7. Nettoinvestoinnit '!L207+'8. Satunnaiset erät'!L207+'9. Tulorahkorjauserät'!L207</f>
        <v>-726.61579800630739</v>
      </c>
      <c r="M207" s="41">
        <f>Vuosikate!M207+'7. Nettoinvestoinnit '!M207+'8. Satunnaiset erät'!M207+'9. Tulorahkorjauserät'!M207</f>
        <v>-1500.105639975515</v>
      </c>
      <c r="N207" s="41">
        <f>Vuosikate!N207+'7. Nettoinvestoinnit '!N207+'8. Satunnaiset erät'!N207+'9. Tulorahkorjauserät'!N207</f>
        <v>-1527.613101817775</v>
      </c>
      <c r="O207" s="41">
        <f>Vuosikate!O207+'7. Nettoinvestoinnit '!O207+'8. Satunnaiset erät'!O207+'9. Tulorahkorjauserät'!O207</f>
        <v>-1542.0708450464435</v>
      </c>
      <c r="P207" s="41">
        <f>Vuosikate!P207+'7. Nettoinvestoinnit '!P207+'8. Satunnaiset erät'!P207+'9. Tulorahkorjauserät'!P207</f>
        <v>-1494.8791880676517</v>
      </c>
      <c r="T207" s="34">
        <v>616</v>
      </c>
      <c r="U207" s="88" t="s">
        <v>521</v>
      </c>
      <c r="V207" s="41" t="e">
        <f>C207/'1. Väestöennuste'!E207*1000</f>
        <v>#REF!</v>
      </c>
      <c r="W207" s="41">
        <f>D207/'1. Väestöennuste'!F207*1000</f>
        <v>2298.7927565392356</v>
      </c>
      <c r="X207" s="41">
        <f>E207/'1. Väestöennuste'!G207*1000</f>
        <v>580.92783505154648</v>
      </c>
      <c r="Y207" s="41">
        <f>F207/'1. Väestöennuste'!H207*1000</f>
        <v>-379.67351237493421</v>
      </c>
      <c r="Z207" s="41">
        <f>G207/'1. Väestöennuste'!I207*1000</f>
        <v>-396.23655913978496</v>
      </c>
      <c r="AA207" s="41">
        <f>H207/'1. Väestöennuste'!J207*1000</f>
        <v>307.20467658342625</v>
      </c>
      <c r="AB207" s="41">
        <f>I207/'1. Väestöennuste'!K207*1000</f>
        <v>-139.63117141996457</v>
      </c>
      <c r="AC207" s="41">
        <f>J207/'1. Väestöennuste'!L207*1000</f>
        <v>-202.01496120917352</v>
      </c>
      <c r="AD207" s="41">
        <f>K207/'1. Väestöennuste'!M207*1000</f>
        <v>18.773731622242675</v>
      </c>
      <c r="AE207" s="41">
        <f>L207/'1. Väestöennuste'!N207*1000</f>
        <v>-416.63749885682762</v>
      </c>
      <c r="AF207" s="41">
        <f>M207/'1. Väestöennuste'!O207*1000</f>
        <v>-868.1166898006453</v>
      </c>
      <c r="AG207" s="41">
        <f>N207/'1. Väestöennuste'!P207*1000</f>
        <v>-889.69895271856433</v>
      </c>
      <c r="AH207" s="41">
        <f>O207/'1. Väestöennuste'!Q207*1000</f>
        <v>-903.91022570131508</v>
      </c>
      <c r="AI207" s="41">
        <f>P207/'1. Väestöennuste'!R207*1000</f>
        <v>-880.89521983951192</v>
      </c>
    </row>
    <row r="208" spans="1:35" x14ac:dyDescent="0.2">
      <c r="A208" s="34">
        <v>619</v>
      </c>
      <c r="B208" s="88" t="s">
        <v>522</v>
      </c>
      <c r="C208" s="41" t="e">
        <f>Vuosikate!C208+'7. Nettoinvestoinnit '!C208+'8. Satunnaiset erät'!C208+'9. Tulorahkorjauserät'!C208</f>
        <v>#REF!</v>
      </c>
      <c r="D208" s="41">
        <f>Vuosikate!D208+'7. Nettoinvestoinnit '!D208+'8. Satunnaiset erät'!D208+'9. Tulorahkorjauserät'!D208</f>
        <v>339</v>
      </c>
      <c r="E208" s="41">
        <f>Vuosikate!E208+'7. Nettoinvestoinnit '!E208+'8. Satunnaiset erät'!E208+'9. Tulorahkorjauserät'!E208</f>
        <v>1172</v>
      </c>
      <c r="F208" s="41">
        <f>Vuosikate!F208+'7. Nettoinvestoinnit '!F208+'8. Satunnaiset erät'!F208+'9. Tulorahkorjauserät'!F208</f>
        <v>-1097</v>
      </c>
      <c r="G208" s="41">
        <f>Vuosikate!G208+'7. Nettoinvestoinnit '!G208+'8. Satunnaiset erät'!G208+'9. Tulorahkorjauserät'!G208</f>
        <v>-5655</v>
      </c>
      <c r="H208" s="41">
        <f>Vuosikate!H208+'7. Nettoinvestoinnit '!H208+'8. Satunnaiset erät'!H208+'9. Tulorahkorjauserät'!H208</f>
        <v>1201.4147729348169</v>
      </c>
      <c r="I208" s="41">
        <f>Vuosikate!I208+'7. Nettoinvestoinnit '!I208+'8. Satunnaiset erät'!I208+'9. Tulorahkorjauserät'!I208</f>
        <v>932.88492119071998</v>
      </c>
      <c r="J208" s="41">
        <f>Vuosikate!J208+'7. Nettoinvestoinnit '!J208+'8. Satunnaiset erät'!J208+'9. Tulorahkorjauserät'!J208</f>
        <v>-105.44366187700007</v>
      </c>
      <c r="K208" s="41">
        <f>Vuosikate!K208+'7. Nettoinvestoinnit '!K208+'8. Satunnaiset erät'!K208+'9. Tulorahkorjauserät'!K208</f>
        <v>1354.2459545751799</v>
      </c>
      <c r="L208" s="41">
        <f>Vuosikate!L208+'7. Nettoinvestoinnit '!L208+'8. Satunnaiset erät'!L208+'9. Tulorahkorjauserät'!L208</f>
        <v>-425.31251709739615</v>
      </c>
      <c r="M208" s="41">
        <f>Vuosikate!M208+'7. Nettoinvestoinnit '!M208+'8. Satunnaiset erät'!M208+'9. Tulorahkorjauserät'!M208</f>
        <v>-795.46680027227046</v>
      </c>
      <c r="N208" s="41">
        <f>Vuosikate!N208+'7. Nettoinvestoinnit '!N208+'8. Satunnaiset erät'!N208+'9. Tulorahkorjauserät'!N208</f>
        <v>-797.12132846968984</v>
      </c>
      <c r="O208" s="41">
        <f>Vuosikate!O208+'7. Nettoinvestoinnit '!O208+'8. Satunnaiset erät'!O208+'9. Tulorahkorjauserät'!O208</f>
        <v>-1039.8719880329659</v>
      </c>
      <c r="P208" s="41">
        <f>Vuosikate!P208+'7. Nettoinvestoinnit '!P208+'8. Satunnaiset erät'!P208+'9. Tulorahkorjauserät'!P208</f>
        <v>-847.59069737033815</v>
      </c>
      <c r="T208" s="34">
        <v>619</v>
      </c>
      <c r="U208" s="88" t="s">
        <v>522</v>
      </c>
      <c r="V208" s="41" t="e">
        <f>C208/'1. Väestöennuste'!E208*1000</f>
        <v>#REF!</v>
      </c>
      <c r="W208" s="41">
        <f>D208/'1. Väestöennuste'!F208*1000</f>
        <v>112.88711288711288</v>
      </c>
      <c r="X208" s="41">
        <f>E208/'1. Väestöennuste'!G208*1000</f>
        <v>397.42285520515429</v>
      </c>
      <c r="Y208" s="41">
        <f>F208/'1. Väestöennuste'!H208*1000</f>
        <v>-378.79834254143645</v>
      </c>
      <c r="Z208" s="41">
        <f>G208/'1. Väestöennuste'!I208*1000</f>
        <v>-1999.6463932107495</v>
      </c>
      <c r="AA208" s="41">
        <f>H208/'1. Väestöennuste'!J208*1000</f>
        <v>431.38771020998814</v>
      </c>
      <c r="AB208" s="41">
        <f>I208/'1. Väestöennuste'!K208*1000</f>
        <v>342.84635104399854</v>
      </c>
      <c r="AC208" s="41">
        <f>J208/'1. Väestöennuste'!L208*1000</f>
        <v>-39.41819135588787</v>
      </c>
      <c r="AD208" s="41">
        <f>K208/'1. Väestöennuste'!M208*1000</f>
        <v>511.03620927365279</v>
      </c>
      <c r="AE208" s="41">
        <f>L208/'1. Väestöennuste'!N208*1000</f>
        <v>-165.94323726000633</v>
      </c>
      <c r="AF208" s="41">
        <f>M208/'1. Väestöennuste'!O208*1000</f>
        <v>-316.1632751479612</v>
      </c>
      <c r="AG208" s="41">
        <f>N208/'1. Väestöennuste'!P208*1000</f>
        <v>-322.1994052019765</v>
      </c>
      <c r="AH208" s="41">
        <f>O208/'1. Väestöennuste'!Q208*1000</f>
        <v>-426.87684237806485</v>
      </c>
      <c r="AI208" s="41">
        <f>P208/'1. Väestöennuste'!R208*1000</f>
        <v>-353.16279057097421</v>
      </c>
    </row>
    <row r="209" spans="1:35" x14ac:dyDescent="0.2">
      <c r="A209" s="34">
        <v>620</v>
      </c>
      <c r="B209" s="88" t="s">
        <v>523</v>
      </c>
      <c r="C209" s="41" t="e">
        <f>Vuosikate!C209+'7. Nettoinvestoinnit '!C209+'8. Satunnaiset erät'!C209+'9. Tulorahkorjauserät'!C209</f>
        <v>#REF!</v>
      </c>
      <c r="D209" s="41">
        <f>Vuosikate!D209+'7. Nettoinvestoinnit '!D209+'8. Satunnaiset erät'!D209+'9. Tulorahkorjauserät'!D209</f>
        <v>1103</v>
      </c>
      <c r="E209" s="41">
        <f>Vuosikate!E209+'7. Nettoinvestoinnit '!E209+'8. Satunnaiset erät'!E209+'9. Tulorahkorjauserät'!E209</f>
        <v>1800</v>
      </c>
      <c r="F209" s="41">
        <f>Vuosikate!F209+'7. Nettoinvestoinnit '!F209+'8. Satunnaiset erät'!F209+'9. Tulorahkorjauserät'!F209</f>
        <v>-448</v>
      </c>
      <c r="G209" s="41">
        <f>Vuosikate!G209+'7. Nettoinvestoinnit '!G209+'8. Satunnaiset erät'!G209+'9. Tulorahkorjauserät'!G209</f>
        <v>915</v>
      </c>
      <c r="H209" s="41">
        <f>Vuosikate!H209+'7. Nettoinvestoinnit '!H209+'8. Satunnaiset erät'!H209+'9. Tulorahkorjauserät'!H209</f>
        <v>1900.4031489030967</v>
      </c>
      <c r="I209" s="41">
        <f>Vuosikate!I209+'7. Nettoinvestoinnit '!I209+'8. Satunnaiset erät'!I209+'9. Tulorahkorjauserät'!I209</f>
        <v>210.78700470772824</v>
      </c>
      <c r="J209" s="41">
        <f>Vuosikate!J209+'7. Nettoinvestoinnit '!J209+'8. Satunnaiset erät'!J209+'9. Tulorahkorjauserät'!J209</f>
        <v>-935.2423519280195</v>
      </c>
      <c r="K209" s="41">
        <f>Vuosikate!K209+'7. Nettoinvestoinnit '!K209+'8. Satunnaiset erät'!K209+'9. Tulorahkorjauserät'!K209</f>
        <v>1555.4911262761607</v>
      </c>
      <c r="L209" s="41">
        <f>Vuosikate!L209+'7. Nettoinvestoinnit '!L209+'8. Satunnaiset erät'!L209+'9. Tulorahkorjauserät'!L209</f>
        <v>-555.90062532393995</v>
      </c>
      <c r="M209" s="41">
        <f>Vuosikate!M209+'7. Nettoinvestoinnit '!M209+'8. Satunnaiset erät'!M209+'9. Tulorahkorjauserät'!M209</f>
        <v>-1440.1802819274808</v>
      </c>
      <c r="N209" s="41">
        <f>Vuosikate!N209+'7. Nettoinvestoinnit '!N209+'8. Satunnaiset erät'!N209+'9. Tulorahkorjauserät'!N209</f>
        <v>-1698.1034611913574</v>
      </c>
      <c r="O209" s="41">
        <f>Vuosikate!O209+'7. Nettoinvestoinnit '!O209+'8. Satunnaiset erät'!O209+'9. Tulorahkorjauserät'!O209</f>
        <v>-1978.2404896669691</v>
      </c>
      <c r="P209" s="41">
        <f>Vuosikate!P209+'7. Nettoinvestoinnit '!P209+'8. Satunnaiset erät'!P209+'9. Tulorahkorjauserät'!P209</f>
        <v>-1769.83015329862</v>
      </c>
      <c r="T209" s="34">
        <v>620</v>
      </c>
      <c r="U209" s="88" t="s">
        <v>523</v>
      </c>
      <c r="V209" s="41" t="e">
        <f>C209/'1. Väestöennuste'!E209*1000</f>
        <v>#REF!</v>
      </c>
      <c r="W209" s="41">
        <f>D209/'1. Väestöennuste'!F209*1000</f>
        <v>403.29067641681905</v>
      </c>
      <c r="X209" s="41">
        <f>E209/'1. Väestöennuste'!G209*1000</f>
        <v>674.40989134507299</v>
      </c>
      <c r="Y209" s="41">
        <f>F209/'1. Väestöennuste'!H209*1000</f>
        <v>-172.50673854447442</v>
      </c>
      <c r="Z209" s="41">
        <f>G209/'1. Väestöennuste'!I209*1000</f>
        <v>361.94620253164555</v>
      </c>
      <c r="AA209" s="41">
        <f>H209/'1. Väestöennuste'!J209*1000</f>
        <v>762.90772737980592</v>
      </c>
      <c r="AB209" s="41">
        <f>I209/'1. Väestöennuste'!K209*1000</f>
        <v>86.176207975359048</v>
      </c>
      <c r="AC209" s="41">
        <f>J209/'1. Väestöennuste'!L209*1000</f>
        <v>-392.95897139832755</v>
      </c>
      <c r="AD209" s="41">
        <f>K209/'1. Väestöennuste'!M209*1000</f>
        <v>659.38581020608763</v>
      </c>
      <c r="AE209" s="41">
        <f>L209/'1. Väestöennuste'!N209*1000</f>
        <v>-243.49567469292157</v>
      </c>
      <c r="AF209" s="41">
        <f>M209/'1. Väestöennuste'!O209*1000</f>
        <v>-643.51219031612197</v>
      </c>
      <c r="AG209" s="41">
        <f>N209/'1. Väestöennuste'!P209*1000</f>
        <v>-773.27115719096423</v>
      </c>
      <c r="AH209" s="41">
        <f>O209/'1. Väestöennuste'!Q209*1000</f>
        <v>-917.12586447240108</v>
      </c>
      <c r="AI209" s="41">
        <f>P209/'1. Väestöennuste'!R209*1000</f>
        <v>-835.21951547834828</v>
      </c>
    </row>
    <row r="210" spans="1:35" x14ac:dyDescent="0.2">
      <c r="A210" s="34">
        <v>623</v>
      </c>
      <c r="B210" s="88" t="s">
        <v>524</v>
      </c>
      <c r="C210" s="41" t="e">
        <f>Vuosikate!C210+'7. Nettoinvestoinnit '!C210+'8. Satunnaiset erät'!C210+'9. Tulorahkorjauserät'!C210</f>
        <v>#REF!</v>
      </c>
      <c r="D210" s="41">
        <f>Vuosikate!D210+'7. Nettoinvestoinnit '!D210+'8. Satunnaiset erät'!D210+'9. Tulorahkorjauserät'!D210</f>
        <v>1783</v>
      </c>
      <c r="E210" s="41">
        <f>Vuosikate!E210+'7. Nettoinvestoinnit '!E210+'8. Satunnaiset erät'!E210+'9. Tulorahkorjauserät'!E210</f>
        <v>1490</v>
      </c>
      <c r="F210" s="41">
        <f>Vuosikate!F210+'7. Nettoinvestoinnit '!F210+'8. Satunnaiset erät'!F210+'9. Tulorahkorjauserät'!F210</f>
        <v>1721</v>
      </c>
      <c r="G210" s="41">
        <f>Vuosikate!G210+'7. Nettoinvestoinnit '!G210+'8. Satunnaiset erät'!G210+'9. Tulorahkorjauserät'!G210</f>
        <v>1749</v>
      </c>
      <c r="H210" s="41">
        <f>Vuosikate!H210+'7. Nettoinvestoinnit '!H210+'8. Satunnaiset erät'!H210+'9. Tulorahkorjauserät'!H210</f>
        <v>1312.0752507944962</v>
      </c>
      <c r="I210" s="41">
        <f>Vuosikate!I210+'7. Nettoinvestoinnit '!I210+'8. Satunnaiset erät'!I210+'9. Tulorahkorjauserät'!I210</f>
        <v>819.07654352664156</v>
      </c>
      <c r="J210" s="41">
        <f>Vuosikate!J210+'7. Nettoinvestoinnit '!J210+'8. Satunnaiset erät'!J210+'9. Tulorahkorjauserät'!J210</f>
        <v>-197.57377555401558</v>
      </c>
      <c r="K210" s="41">
        <f>Vuosikate!K210+'7. Nettoinvestoinnit '!K210+'8. Satunnaiset erät'!K210+'9. Tulorahkorjauserät'!K210</f>
        <v>679.97099203570383</v>
      </c>
      <c r="L210" s="41">
        <f>Vuosikate!L210+'7. Nettoinvestoinnit '!L210+'8. Satunnaiset erät'!L210+'9. Tulorahkorjauserät'!L210</f>
        <v>-34.145601846825457</v>
      </c>
      <c r="M210" s="41">
        <f>Vuosikate!M210+'7. Nettoinvestoinnit '!M210+'8. Satunnaiset erät'!M210+'9. Tulorahkorjauserät'!M210</f>
        <v>173.03113790598445</v>
      </c>
      <c r="N210" s="41">
        <f>Vuosikate!N210+'7. Nettoinvestoinnit '!N210+'8. Satunnaiset erät'!N210+'9. Tulorahkorjauserät'!N210</f>
        <v>72.574086350579137</v>
      </c>
      <c r="O210" s="41">
        <f>Vuosikate!O210+'7. Nettoinvestoinnit '!O210+'8. Satunnaiset erät'!O210+'9. Tulorahkorjauserät'!O210</f>
        <v>-71.583874661593654</v>
      </c>
      <c r="P210" s="41">
        <f>Vuosikate!P210+'7. Nettoinvestoinnit '!P210+'8. Satunnaiset erät'!P210+'9. Tulorahkorjauserät'!P210</f>
        <v>-73.864521153667738</v>
      </c>
      <c r="T210" s="34">
        <v>623</v>
      </c>
      <c r="U210" s="88" t="s">
        <v>524</v>
      </c>
      <c r="V210" s="41" t="e">
        <f>C210/'1. Väestöennuste'!E210*1000</f>
        <v>#REF!</v>
      </c>
      <c r="W210" s="41">
        <f>D210/'1. Väestöennuste'!F210*1000</f>
        <v>798.11996418979413</v>
      </c>
      <c r="X210" s="41">
        <f>E210/'1. Väestöennuste'!G210*1000</f>
        <v>674.81884057971024</v>
      </c>
      <c r="Y210" s="41">
        <f>F210/'1. Väestöennuste'!H210*1000</f>
        <v>783.34091943559406</v>
      </c>
      <c r="Z210" s="41">
        <f>G210/'1. Väestöennuste'!I210*1000</f>
        <v>813.1101813110181</v>
      </c>
      <c r="AA210" s="41">
        <f>H210/'1. Väestöennuste'!J210*1000</f>
        <v>613.979995692324</v>
      </c>
      <c r="AB210" s="41">
        <f>I210/'1. Väestöennuste'!K210*1000</f>
        <v>386.90436633284907</v>
      </c>
      <c r="AC210" s="41">
        <f>J210/'1. Väestöennuste'!L210*1000</f>
        <v>-93.770182987192968</v>
      </c>
      <c r="AD210" s="41">
        <f>K210/'1. Väestöennuste'!M210*1000</f>
        <v>322.56688426741169</v>
      </c>
      <c r="AE210" s="41">
        <f>L210/'1. Väestöennuste'!N210*1000</f>
        <v>-16.656391144792906</v>
      </c>
      <c r="AF210" s="41">
        <f>M210/'1. Väestöennuste'!O210*1000</f>
        <v>85.111233598615087</v>
      </c>
      <c r="AG210" s="41">
        <f>N210/'1. Väestöennuste'!P210*1000</f>
        <v>35.999050769136474</v>
      </c>
      <c r="AH210" s="41">
        <f>O210/'1. Väestöennuste'!Q210*1000</f>
        <v>-35.791937330796827</v>
      </c>
      <c r="AI210" s="41">
        <f>P210/'1. Väestöennuste'!R210*1000</f>
        <v>-37.248876023029624</v>
      </c>
    </row>
    <row r="211" spans="1:35" x14ac:dyDescent="0.2">
      <c r="A211" s="34">
        <v>624</v>
      </c>
      <c r="B211" s="88" t="s">
        <v>525</v>
      </c>
      <c r="C211" s="41" t="e">
        <f>Vuosikate!C211+'7. Nettoinvestoinnit '!C211+'8. Satunnaiset erät'!C211+'9. Tulorahkorjauserät'!C211</f>
        <v>#REF!</v>
      </c>
      <c r="D211" s="41">
        <f>Vuosikate!D211+'7. Nettoinvestoinnit '!D211+'8. Satunnaiset erät'!D211+'9. Tulorahkorjauserät'!D211</f>
        <v>994</v>
      </c>
      <c r="E211" s="41">
        <f>Vuosikate!E211+'7. Nettoinvestoinnit '!E211+'8. Satunnaiset erät'!E211+'9. Tulorahkorjauserät'!E211</f>
        <v>869</v>
      </c>
      <c r="F211" s="41">
        <f>Vuosikate!F211+'7. Nettoinvestoinnit '!F211+'8. Satunnaiset erät'!F211+'9. Tulorahkorjauserät'!F211</f>
        <v>-1449</v>
      </c>
      <c r="G211" s="41">
        <f>Vuosikate!G211+'7. Nettoinvestoinnit '!G211+'8. Satunnaiset erät'!G211+'9. Tulorahkorjauserät'!G211</f>
        <v>-937</v>
      </c>
      <c r="H211" s="41">
        <f>Vuosikate!H211+'7. Nettoinvestoinnit '!H211+'8. Satunnaiset erät'!H211+'9. Tulorahkorjauserät'!H211</f>
        <v>2385.5151978611502</v>
      </c>
      <c r="I211" s="41">
        <f>Vuosikate!I211+'7. Nettoinvestoinnit '!I211+'8. Satunnaiset erät'!I211+'9. Tulorahkorjauserät'!I211</f>
        <v>1725.0391722917898</v>
      </c>
      <c r="J211" s="41">
        <f>Vuosikate!J211+'7. Nettoinvestoinnit '!J211+'8. Satunnaiset erät'!J211+'9. Tulorahkorjauserät'!J211</f>
        <v>-559.16130077082016</v>
      </c>
      <c r="K211" s="41">
        <f>Vuosikate!K211+'7. Nettoinvestoinnit '!K211+'8. Satunnaiset erät'!K211+'9. Tulorahkorjauserät'!K211</f>
        <v>2505.4046091767823</v>
      </c>
      <c r="L211" s="41">
        <f>Vuosikate!L211+'7. Nettoinvestoinnit '!L211+'8. Satunnaiset erät'!L211+'9. Tulorahkorjauserät'!L211</f>
        <v>1003.536240183401</v>
      </c>
      <c r="M211" s="41">
        <f>Vuosikate!M211+'7. Nettoinvestoinnit '!M211+'8. Satunnaiset erät'!M211+'9. Tulorahkorjauserät'!M211</f>
        <v>406.63620969339968</v>
      </c>
      <c r="N211" s="41">
        <f>Vuosikate!N211+'7. Nettoinvestoinnit '!N211+'8. Satunnaiset erät'!N211+'9. Tulorahkorjauserät'!N211</f>
        <v>265.54994744433532</v>
      </c>
      <c r="O211" s="41">
        <f>Vuosikate!O211+'7. Nettoinvestoinnit '!O211+'8. Satunnaiset erät'!O211+'9. Tulorahkorjauserät'!O211</f>
        <v>313.16709399293927</v>
      </c>
      <c r="P211" s="41">
        <f>Vuosikate!P211+'7. Nettoinvestoinnit '!P211+'8. Satunnaiset erät'!P211+'9. Tulorahkorjauserät'!P211</f>
        <v>856.13381887576429</v>
      </c>
      <c r="T211" s="34">
        <v>624</v>
      </c>
      <c r="U211" s="88" t="s">
        <v>525</v>
      </c>
      <c r="V211" s="41" t="e">
        <f>C211/'1. Väestöennuste'!E211*1000</f>
        <v>#REF!</v>
      </c>
      <c r="W211" s="41">
        <f>D211/'1. Väestöennuste'!F211*1000</f>
        <v>186.14232209737827</v>
      </c>
      <c r="X211" s="41">
        <f>E211/'1. Väestöennuste'!G211*1000</f>
        <v>165.08358662613981</v>
      </c>
      <c r="Y211" s="41">
        <f>F211/'1. Väestöennuste'!H211*1000</f>
        <v>-279.35222672064782</v>
      </c>
      <c r="Z211" s="41">
        <f>G211/'1. Väestöennuste'!I211*1000</f>
        <v>-182.29571984435796</v>
      </c>
      <c r="AA211" s="41">
        <f>H211/'1. Väestöennuste'!J211*1000</f>
        <v>465.46638007046829</v>
      </c>
      <c r="AB211" s="41">
        <f>I211/'1. Väestöennuste'!K211*1000</f>
        <v>336.98753121543069</v>
      </c>
      <c r="AC211" s="41">
        <f>J211/'1. Väestöennuste'!L211*1000</f>
        <v>-109.27522000602309</v>
      </c>
      <c r="AD211" s="41">
        <f>K211/'1. Väestöennuste'!M211*1000</f>
        <v>494.65046578021366</v>
      </c>
      <c r="AE211" s="41">
        <f>L211/'1. Väestöennuste'!N211*1000</f>
        <v>201.23044719939864</v>
      </c>
      <c r="AF211" s="41">
        <f>M211/'1. Väestöennuste'!O211*1000</f>
        <v>82.215165728548257</v>
      </c>
      <c r="AG211" s="41">
        <f>N211/'1. Väestöennuste'!P211*1000</f>
        <v>54.116557457578011</v>
      </c>
      <c r="AH211" s="41">
        <f>O211/'1. Väestöennuste'!Q211*1000</f>
        <v>64.331777730677743</v>
      </c>
      <c r="AI211" s="41">
        <f>P211/'1. Väestöennuste'!R211*1000</f>
        <v>177.43706090689415</v>
      </c>
    </row>
    <row r="212" spans="1:35" x14ac:dyDescent="0.2">
      <c r="A212" s="34">
        <v>625</v>
      </c>
      <c r="B212" s="88" t="s">
        <v>526</v>
      </c>
      <c r="C212" s="41" t="e">
        <f>Vuosikate!C212+'7. Nettoinvestoinnit '!C212+'8. Satunnaiset erät'!C212+'9. Tulorahkorjauserät'!C212</f>
        <v>#REF!</v>
      </c>
      <c r="D212" s="41">
        <f>Vuosikate!D212+'7. Nettoinvestoinnit '!D212+'8. Satunnaiset erät'!D212+'9. Tulorahkorjauserät'!D212</f>
        <v>-387</v>
      </c>
      <c r="E212" s="41">
        <f>Vuosikate!E212+'7. Nettoinvestoinnit '!E212+'8. Satunnaiset erät'!E212+'9. Tulorahkorjauserät'!E212</f>
        <v>-1497</v>
      </c>
      <c r="F212" s="41">
        <f>Vuosikate!F212+'7. Nettoinvestoinnit '!F212+'8. Satunnaiset erät'!F212+'9. Tulorahkorjauserät'!F212</f>
        <v>-1633</v>
      </c>
      <c r="G212" s="41">
        <f>Vuosikate!G212+'7. Nettoinvestoinnit '!G212+'8. Satunnaiset erät'!G212+'9. Tulorahkorjauserät'!G212</f>
        <v>-1725</v>
      </c>
      <c r="H212" s="41">
        <f>Vuosikate!H212+'7. Nettoinvestoinnit '!H212+'8. Satunnaiset erät'!H212+'9. Tulorahkorjauserät'!H212</f>
        <v>1951.869630893254</v>
      </c>
      <c r="I212" s="41">
        <f>Vuosikate!I212+'7. Nettoinvestoinnit '!I212+'8. Satunnaiset erät'!I212+'9. Tulorahkorjauserät'!I212</f>
        <v>1391.9103751006589</v>
      </c>
      <c r="J212" s="41">
        <f>Vuosikate!J212+'7. Nettoinvestoinnit '!J212+'8. Satunnaiset erät'!J212+'9. Tulorahkorjauserät'!J212</f>
        <v>134.07815958238325</v>
      </c>
      <c r="K212" s="41">
        <f>Vuosikate!K212+'7. Nettoinvestoinnit '!K212+'8. Satunnaiset erät'!K212+'9. Tulorahkorjauserät'!K212</f>
        <v>2823.0218652282965</v>
      </c>
      <c r="L212" s="41">
        <f>Vuosikate!L212+'7. Nettoinvestoinnit '!L212+'8. Satunnaiset erät'!L212+'9. Tulorahkorjauserät'!L212</f>
        <v>1026.5412720232393</v>
      </c>
      <c r="M212" s="41">
        <f>Vuosikate!M212+'7. Nettoinvestoinnit '!M212+'8. Satunnaiset erät'!M212+'9. Tulorahkorjauserät'!M212</f>
        <v>147.33270087496703</v>
      </c>
      <c r="N212" s="41">
        <f>Vuosikate!N212+'7. Nettoinvestoinnit '!N212+'8. Satunnaiset erät'!N212+'9. Tulorahkorjauserät'!N212</f>
        <v>-185.90786641756949</v>
      </c>
      <c r="O212" s="41">
        <f>Vuosikate!O212+'7. Nettoinvestoinnit '!O212+'8. Satunnaiset erät'!O212+'9. Tulorahkorjauserät'!O212</f>
        <v>-659.41787007040512</v>
      </c>
      <c r="P212" s="41">
        <f>Vuosikate!P212+'7. Nettoinvestoinnit '!P212+'8. Satunnaiset erät'!P212+'9. Tulorahkorjauserät'!P212</f>
        <v>-541.14591746519727</v>
      </c>
      <c r="T212" s="34">
        <v>625</v>
      </c>
      <c r="U212" s="88" t="s">
        <v>526</v>
      </c>
      <c r="V212" s="41" t="e">
        <f>C212/'1. Väestöennuste'!E212*1000</f>
        <v>#REF!</v>
      </c>
      <c r="W212" s="41">
        <f>D212/'1. Väestöennuste'!F212*1000</f>
        <v>-121.39272271016311</v>
      </c>
      <c r="X212" s="41">
        <f>E212/'1. Väestöennuste'!G212*1000</f>
        <v>-469.42615239887112</v>
      </c>
      <c r="Y212" s="41">
        <f>F212/'1. Väestöennuste'!H212*1000</f>
        <v>-519.07183725365542</v>
      </c>
      <c r="Z212" s="41">
        <f>G212/'1. Väestöennuste'!I212*1000</f>
        <v>-560.61098472538185</v>
      </c>
      <c r="AA212" s="41">
        <f>H212/'1. Väestöennuste'!J212*1000</f>
        <v>639.74750275098461</v>
      </c>
      <c r="AB212" s="41">
        <f>I212/'1. Väestöennuste'!K212*1000</f>
        <v>456.66350889129234</v>
      </c>
      <c r="AC212" s="41">
        <f>J212/'1. Väestöennuste'!L212*1000</f>
        <v>44.827201465189987</v>
      </c>
      <c r="AD212" s="41">
        <f>K212/'1. Väestöennuste'!M212*1000</f>
        <v>947.32277356654254</v>
      </c>
      <c r="AE212" s="41">
        <f>L212/'1. Väestöennuste'!N212*1000</f>
        <v>352.52104121677172</v>
      </c>
      <c r="AF212" s="41">
        <f>M212/'1. Väestöennuste'!O212*1000</f>
        <v>51.174956886060102</v>
      </c>
      <c r="AG212" s="41">
        <f>N212/'1. Väestöennuste'!P212*1000</f>
        <v>-65.299566707962597</v>
      </c>
      <c r="AH212" s="41">
        <f>O212/'1. Väestöennuste'!Q212*1000</f>
        <v>-234.33470862487744</v>
      </c>
      <c r="AI212" s="41">
        <f>P212/'1. Väestöennuste'!R212*1000</f>
        <v>-194.58680958834853</v>
      </c>
    </row>
    <row r="213" spans="1:35" x14ac:dyDescent="0.2">
      <c r="A213" s="34">
        <v>626</v>
      </c>
      <c r="B213" s="88" t="s">
        <v>527</v>
      </c>
      <c r="C213" s="41" t="e">
        <f>Vuosikate!C213+'7. Nettoinvestoinnit '!C213+'8. Satunnaiset erät'!C213+'9. Tulorahkorjauserät'!C213</f>
        <v>#REF!</v>
      </c>
      <c r="D213" s="41">
        <f>Vuosikate!D213+'7. Nettoinvestoinnit '!D213+'8. Satunnaiset erät'!D213+'9. Tulorahkorjauserät'!D213</f>
        <v>-8234</v>
      </c>
      <c r="E213" s="41">
        <f>Vuosikate!E213+'7. Nettoinvestoinnit '!E213+'8. Satunnaiset erät'!E213+'9. Tulorahkorjauserät'!E213</f>
        <v>-3462</v>
      </c>
      <c r="F213" s="41">
        <f>Vuosikate!F213+'7. Nettoinvestoinnit '!F213+'8. Satunnaiset erät'!F213+'9. Tulorahkorjauserät'!F213</f>
        <v>-984</v>
      </c>
      <c r="G213" s="41">
        <f>Vuosikate!G213+'7. Nettoinvestoinnit '!G213+'8. Satunnaiset erät'!G213+'9. Tulorahkorjauserät'!G213</f>
        <v>-4332</v>
      </c>
      <c r="H213" s="41">
        <f>Vuosikate!H213+'7. Nettoinvestoinnit '!H213+'8. Satunnaiset erät'!H213+'9. Tulorahkorjauserät'!H213</f>
        <v>436.261955174592</v>
      </c>
      <c r="I213" s="41">
        <f>Vuosikate!I213+'7. Nettoinvestoinnit '!I213+'8. Satunnaiset erät'!I213+'9. Tulorahkorjauserät'!I213</f>
        <v>2383.3085787169066</v>
      </c>
      <c r="J213" s="41">
        <f>Vuosikate!J213+'7. Nettoinvestoinnit '!J213+'8. Satunnaiset erät'!J213+'9. Tulorahkorjauserät'!J213</f>
        <v>-985.92129864096796</v>
      </c>
      <c r="K213" s="41">
        <f>Vuosikate!K213+'7. Nettoinvestoinnit '!K213+'8. Satunnaiset erät'!K213+'9. Tulorahkorjauserät'!K213</f>
        <v>-3804.5132823158992</v>
      </c>
      <c r="L213" s="41">
        <f>Vuosikate!L213+'7. Nettoinvestoinnit '!L213+'8. Satunnaiset erät'!L213+'9. Tulorahkorjauserät'!L213</f>
        <v>-3835.6736064012084</v>
      </c>
      <c r="M213" s="41">
        <f>Vuosikate!M213+'7. Nettoinvestoinnit '!M213+'8. Satunnaiset erät'!M213+'9. Tulorahkorjauserät'!M213</f>
        <v>-4339.0647120762569</v>
      </c>
      <c r="N213" s="41">
        <f>Vuosikate!N213+'7. Nettoinvestoinnit '!N213+'8. Satunnaiset erät'!N213+'9. Tulorahkorjauserät'!N213</f>
        <v>-4538.4256880781841</v>
      </c>
      <c r="O213" s="41">
        <f>Vuosikate!O213+'7. Nettoinvestoinnit '!O213+'8. Satunnaiset erät'!O213+'9. Tulorahkorjauserät'!O213</f>
        <v>-4921.9959915845029</v>
      </c>
      <c r="P213" s="41">
        <f>Vuosikate!P213+'7. Nettoinvestoinnit '!P213+'8. Satunnaiset erät'!P213+'9. Tulorahkorjauserät'!P213</f>
        <v>-4409.0516224811981</v>
      </c>
      <c r="T213" s="34">
        <v>626</v>
      </c>
      <c r="U213" s="88" t="s">
        <v>527</v>
      </c>
      <c r="V213" s="41" t="e">
        <f>C213/'1. Väestöennuste'!E213*1000</f>
        <v>#REF!</v>
      </c>
      <c r="W213" s="41">
        <f>D213/'1. Väestöennuste'!F213*1000</f>
        <v>-1511.9353654058025</v>
      </c>
      <c r="X213" s="41">
        <f>E213/'1. Väestöennuste'!G213*1000</f>
        <v>-648.67903316469926</v>
      </c>
      <c r="Y213" s="41">
        <f>F213/'1. Väestöennuste'!H213*1000</f>
        <v>-187.5</v>
      </c>
      <c r="Z213" s="41">
        <f>G213/'1. Väestöennuste'!I213*1000</f>
        <v>-844.27986747222758</v>
      </c>
      <c r="AA213" s="41">
        <f>H213/'1. Väestöennuste'!J213*1000</f>
        <v>86.680301048001596</v>
      </c>
      <c r="AB213" s="41">
        <f>I213/'1. Väestöennuste'!K213*1000</f>
        <v>480.11856944337359</v>
      </c>
      <c r="AC213" s="41">
        <f>J213/'1. Väestöennuste'!L213*1000</f>
        <v>-203.91340199399542</v>
      </c>
      <c r="AD213" s="41">
        <f>K213/'1. Väestöennuste'!M213*1000</f>
        <v>-799.93971453235906</v>
      </c>
      <c r="AE213" s="41">
        <f>L213/'1. Väestöennuste'!N213*1000</f>
        <v>-816.79591277708857</v>
      </c>
      <c r="AF213" s="41">
        <f>M213/'1. Väestöennuste'!O213*1000</f>
        <v>-939.39482833432703</v>
      </c>
      <c r="AG213" s="41">
        <f>N213/'1. Väestöennuste'!P213*1000</f>
        <v>-998.77325882002287</v>
      </c>
      <c r="AH213" s="41">
        <f>O213/'1. Väestöennuste'!Q213*1000</f>
        <v>-1100.6252217317763</v>
      </c>
      <c r="AI213" s="41">
        <f>P213/'1. Väestöennuste'!R213*1000</f>
        <v>-1002.2849789682195</v>
      </c>
    </row>
    <row r="214" spans="1:35" x14ac:dyDescent="0.2">
      <c r="A214" s="34">
        <v>630</v>
      </c>
      <c r="B214" s="88" t="s">
        <v>528</v>
      </c>
      <c r="C214" s="41" t="e">
        <f>Vuosikate!C214+'7. Nettoinvestoinnit '!C214+'8. Satunnaiset erät'!C214+'9. Tulorahkorjauserät'!C214</f>
        <v>#REF!</v>
      </c>
      <c r="D214" s="41">
        <f>Vuosikate!D214+'7. Nettoinvestoinnit '!D214+'8. Satunnaiset erät'!D214+'9. Tulorahkorjauserät'!D214</f>
        <v>-57</v>
      </c>
      <c r="E214" s="41">
        <f>Vuosikate!E214+'7. Nettoinvestoinnit '!E214+'8. Satunnaiset erät'!E214+'9. Tulorahkorjauserät'!E214</f>
        <v>389</v>
      </c>
      <c r="F214" s="41">
        <f>Vuosikate!F214+'7. Nettoinvestoinnit '!F214+'8. Satunnaiset erät'!F214+'9. Tulorahkorjauserät'!F214</f>
        <v>-617</v>
      </c>
      <c r="G214" s="41">
        <f>Vuosikate!G214+'7. Nettoinvestoinnit '!G214+'8. Satunnaiset erät'!G214+'9. Tulorahkorjauserät'!G214</f>
        <v>-854</v>
      </c>
      <c r="H214" s="41">
        <f>Vuosikate!H214+'7. Nettoinvestoinnit '!H214+'8. Satunnaiset erät'!H214+'9. Tulorahkorjauserät'!H214</f>
        <v>95.599807954431526</v>
      </c>
      <c r="I214" s="41">
        <f>Vuosikate!I214+'7. Nettoinvestoinnit '!I214+'8. Satunnaiset erät'!I214+'9. Tulorahkorjauserät'!I214</f>
        <v>-62.856412481016861</v>
      </c>
      <c r="J214" s="41">
        <f>Vuosikate!J214+'7. Nettoinvestoinnit '!J214+'8. Satunnaiset erät'!J214+'9. Tulorahkorjauserät'!J214</f>
        <v>-1467.3319498587382</v>
      </c>
      <c r="K214" s="41">
        <f>Vuosikate!K214+'7. Nettoinvestoinnit '!K214+'8. Satunnaiset erät'!K214+'9. Tulorahkorjauserät'!K214</f>
        <v>-2972.4868372380488</v>
      </c>
      <c r="L214" s="41">
        <f>Vuosikate!L214+'7. Nettoinvestoinnit '!L214+'8. Satunnaiset erät'!L214+'9. Tulorahkorjauserät'!L214</f>
        <v>-321.4856860786731</v>
      </c>
      <c r="M214" s="41">
        <f>Vuosikate!M214+'7. Nettoinvestoinnit '!M214+'8. Satunnaiset erät'!M214+'9. Tulorahkorjauserät'!M214</f>
        <v>-386.20852752277187</v>
      </c>
      <c r="N214" s="41">
        <f>Vuosikate!N214+'7. Nettoinvestoinnit '!N214+'8. Satunnaiset erät'!N214+'9. Tulorahkorjauserät'!N214</f>
        <v>-414.47904515103778</v>
      </c>
      <c r="O214" s="41">
        <f>Vuosikate!O214+'7. Nettoinvestoinnit '!O214+'8. Satunnaiset erät'!O214+'9. Tulorahkorjauserät'!O214</f>
        <v>-394.6161220966062</v>
      </c>
      <c r="P214" s="41">
        <f>Vuosikate!P214+'7. Nettoinvestoinnit '!P214+'8. Satunnaiset erät'!P214+'9. Tulorahkorjauserät'!P214</f>
        <v>-81.281181421273004</v>
      </c>
      <c r="T214" s="34">
        <v>630</v>
      </c>
      <c r="U214" s="88" t="s">
        <v>528</v>
      </c>
      <c r="V214" s="41" t="e">
        <f>C214/'1. Väestöennuste'!E214*1000</f>
        <v>#REF!</v>
      </c>
      <c r="W214" s="41">
        <f>D214/'1. Väestöennuste'!F214*1000</f>
        <v>-36.09879670677644</v>
      </c>
      <c r="X214" s="41">
        <f>E214/'1. Väestöennuste'!G214*1000</f>
        <v>246.35845471817606</v>
      </c>
      <c r="Y214" s="41">
        <f>F214/'1. Väestöennuste'!H214*1000</f>
        <v>-396.27488760436734</v>
      </c>
      <c r="Z214" s="41">
        <f>G214/'1. Väestöennuste'!I214*1000</f>
        <v>-541.19138149556397</v>
      </c>
      <c r="AA214" s="41">
        <f>H214/'1. Väestöennuste'!J214*1000</f>
        <v>60.012434371896752</v>
      </c>
      <c r="AB214" s="41">
        <f>I214/'1. Väestöennuste'!K214*1000</f>
        <v>-38.53857294973443</v>
      </c>
      <c r="AC214" s="41">
        <f>J214/'1. Väestöennuste'!L214*1000</f>
        <v>-897.4507338585554</v>
      </c>
      <c r="AD214" s="41">
        <f>K214/'1. Väestöennuste'!M214*1000</f>
        <v>-1805.8850773013662</v>
      </c>
      <c r="AE214" s="41">
        <f>L214/'1. Väestöennuste'!N214*1000</f>
        <v>-201.18002883521473</v>
      </c>
      <c r="AF214" s="41">
        <f>M214/'1. Väestöennuste'!O214*1000</f>
        <v>-241.53128675595488</v>
      </c>
      <c r="AG214" s="41">
        <f>N214/'1. Väestöennuste'!P214*1000</f>
        <v>-259.53603328180196</v>
      </c>
      <c r="AH214" s="41">
        <f>O214/'1. Väestöennuste'!Q214*1000</f>
        <v>-247.4082270198158</v>
      </c>
      <c r="AI214" s="41">
        <f>P214/'1. Väestöennuste'!R214*1000</f>
        <v>-50.896168704616784</v>
      </c>
    </row>
    <row r="215" spans="1:35" x14ac:dyDescent="0.2">
      <c r="A215" s="34">
        <v>631</v>
      </c>
      <c r="B215" s="88" t="s">
        <v>529</v>
      </c>
      <c r="C215" s="41" t="e">
        <f>Vuosikate!C215+'7. Nettoinvestoinnit '!C215+'8. Satunnaiset erät'!C215+'9. Tulorahkorjauserät'!C215</f>
        <v>#REF!</v>
      </c>
      <c r="D215" s="41">
        <f>Vuosikate!D215+'7. Nettoinvestoinnit '!D215+'8. Satunnaiset erät'!D215+'9. Tulorahkorjauserät'!D215</f>
        <v>-836</v>
      </c>
      <c r="E215" s="41">
        <f>Vuosikate!E215+'7. Nettoinvestoinnit '!E215+'8. Satunnaiset erät'!E215+'9. Tulorahkorjauserät'!E215</f>
        <v>448</v>
      </c>
      <c r="F215" s="41">
        <f>Vuosikate!F215+'7. Nettoinvestoinnit '!F215+'8. Satunnaiset erät'!F215+'9. Tulorahkorjauserät'!F215</f>
        <v>695</v>
      </c>
      <c r="G215" s="41">
        <f>Vuosikate!G215+'7. Nettoinvestoinnit '!G215+'8. Satunnaiset erät'!G215+'9. Tulorahkorjauserät'!G215</f>
        <v>-66</v>
      </c>
      <c r="H215" s="41">
        <f>Vuosikate!H215+'7. Nettoinvestoinnit '!H215+'8. Satunnaiset erät'!H215+'9. Tulorahkorjauserät'!H215</f>
        <v>1326.8898156634446</v>
      </c>
      <c r="I215" s="41">
        <f>Vuosikate!I215+'7. Nettoinvestoinnit '!I215+'8. Satunnaiset erät'!I215+'9. Tulorahkorjauserät'!I215</f>
        <v>-199.47097455774264</v>
      </c>
      <c r="J215" s="41">
        <f>Vuosikate!J215+'7. Nettoinvestoinnit '!J215+'8. Satunnaiset erät'!J215+'9. Tulorahkorjauserät'!J215</f>
        <v>322.81809116224071</v>
      </c>
      <c r="K215" s="41">
        <f>Vuosikate!K215+'7. Nettoinvestoinnit '!K215+'8. Satunnaiset erät'!K215+'9. Tulorahkorjauserät'!K215</f>
        <v>609.78765799631071</v>
      </c>
      <c r="L215" s="41">
        <f>Vuosikate!L215+'7. Nettoinvestoinnit '!L215+'8. Satunnaiset erät'!L215+'9. Tulorahkorjauserät'!L215</f>
        <v>-275.13075930415869</v>
      </c>
      <c r="M215" s="41">
        <f>Vuosikate!M215+'7. Nettoinvestoinnit '!M215+'8. Satunnaiset erät'!M215+'9. Tulorahkorjauserät'!M215</f>
        <v>-548.29810504870306</v>
      </c>
      <c r="N215" s="41">
        <f>Vuosikate!N215+'7. Nettoinvestoinnit '!N215+'8. Satunnaiset erät'!N215+'9. Tulorahkorjauserät'!N215</f>
        <v>-599.77106438333669</v>
      </c>
      <c r="O215" s="41">
        <f>Vuosikate!O215+'7. Nettoinvestoinnit '!O215+'8. Satunnaiset erät'!O215+'9. Tulorahkorjauserät'!O215</f>
        <v>-663.23601611261222</v>
      </c>
      <c r="P215" s="41">
        <f>Vuosikate!P215+'7. Nettoinvestoinnit '!P215+'8. Satunnaiset erät'!P215+'9. Tulorahkorjauserät'!P215</f>
        <v>-474.55092128526837</v>
      </c>
      <c r="T215" s="34">
        <v>631</v>
      </c>
      <c r="U215" s="88" t="s">
        <v>529</v>
      </c>
      <c r="V215" s="41" t="e">
        <f>C215/'1. Väestöennuste'!E215*1000</f>
        <v>#REF!</v>
      </c>
      <c r="W215" s="41">
        <f>D215/'1. Väestöennuste'!F215*1000</f>
        <v>-402.89156626506025</v>
      </c>
      <c r="X215" s="41">
        <f>E215/'1. Väestöennuste'!G215*1000</f>
        <v>215.6957149735195</v>
      </c>
      <c r="Y215" s="41">
        <f>F215/'1. Väestöennuste'!H215*1000</f>
        <v>342.70216962524654</v>
      </c>
      <c r="Z215" s="41">
        <f>G215/'1. Väestöennuste'!I215*1000</f>
        <v>-32.93413173652695</v>
      </c>
      <c r="AA215" s="41">
        <f>H215/'1. Väestöennuste'!J215*1000</f>
        <v>665.44123152630118</v>
      </c>
      <c r="AB215" s="41">
        <f>I215/'1. Väestöennuste'!K215*1000</f>
        <v>-100.48915594848495</v>
      </c>
      <c r="AC215" s="41">
        <f>J215/'1. Väestöennuste'!L215*1000</f>
        <v>164.45139641479403</v>
      </c>
      <c r="AD215" s="41">
        <f>K215/'1. Väestöennuste'!M215*1000</f>
        <v>315.95215440223353</v>
      </c>
      <c r="AE215" s="41">
        <f>L215/'1. Väestöennuste'!N215*1000</f>
        <v>-144.57738271369348</v>
      </c>
      <c r="AF215" s="41">
        <f>M215/'1. Väestöennuste'!O215*1000</f>
        <v>-291.18327405666651</v>
      </c>
      <c r="AG215" s="41">
        <f>N215/'1. Väestöennuste'!P215*1000</f>
        <v>-321.93830616389516</v>
      </c>
      <c r="AH215" s="41">
        <f>O215/'1. Väestöennuste'!Q215*1000</f>
        <v>-360.06298377449087</v>
      </c>
      <c r="AI215" s="41">
        <f>P215/'1. Väestöennuste'!R215*1000</f>
        <v>-260.59907813578712</v>
      </c>
    </row>
    <row r="216" spans="1:35" x14ac:dyDescent="0.2">
      <c r="A216" s="34">
        <v>635</v>
      </c>
      <c r="B216" s="88" t="s">
        <v>530</v>
      </c>
      <c r="C216" s="41" t="e">
        <f>Vuosikate!C216+'7. Nettoinvestoinnit '!C216+'8. Satunnaiset erät'!C216+'9. Tulorahkorjauserät'!C216</f>
        <v>#REF!</v>
      </c>
      <c r="D216" s="41">
        <f>Vuosikate!D216+'7. Nettoinvestoinnit '!D216+'8. Satunnaiset erät'!D216+'9. Tulorahkorjauserät'!D216</f>
        <v>-266</v>
      </c>
      <c r="E216" s="41">
        <f>Vuosikate!E216+'7. Nettoinvestoinnit '!E216+'8. Satunnaiset erät'!E216+'9. Tulorahkorjauserät'!E216</f>
        <v>-2006</v>
      </c>
      <c r="F216" s="41">
        <f>Vuosikate!F216+'7. Nettoinvestoinnit '!F216+'8. Satunnaiset erät'!F216+'9. Tulorahkorjauserät'!F216</f>
        <v>-4503</v>
      </c>
      <c r="G216" s="41">
        <f>Vuosikate!G216+'7. Nettoinvestoinnit '!G216+'8. Satunnaiset erät'!G216+'9. Tulorahkorjauserät'!G216</f>
        <v>-864</v>
      </c>
      <c r="H216" s="41">
        <f>Vuosikate!H216+'7. Nettoinvestoinnit '!H216+'8. Satunnaiset erät'!H216+'9. Tulorahkorjauserät'!H216</f>
        <v>3083.086740311137</v>
      </c>
      <c r="I216" s="41">
        <f>Vuosikate!I216+'7. Nettoinvestoinnit '!I216+'8. Satunnaiset erät'!I216+'9. Tulorahkorjauserät'!I216</f>
        <v>2458.0264863318444</v>
      </c>
      <c r="J216" s="41">
        <f>Vuosikate!J216+'7. Nettoinvestoinnit '!J216+'8. Satunnaiset erät'!J216+'9. Tulorahkorjauserät'!J216</f>
        <v>2492.5313898280674</v>
      </c>
      <c r="K216" s="41">
        <f>Vuosikate!K216+'7. Nettoinvestoinnit '!K216+'8. Satunnaiset erät'!K216+'9. Tulorahkorjauserät'!K216</f>
        <v>1169.3137377451344</v>
      </c>
      <c r="L216" s="41">
        <f>Vuosikate!L216+'7. Nettoinvestoinnit '!L216+'8. Satunnaiset erät'!L216+'9. Tulorahkorjauserät'!L216</f>
        <v>-1549.7554282532556</v>
      </c>
      <c r="M216" s="41">
        <f>Vuosikate!M216+'7. Nettoinvestoinnit '!M216+'8. Satunnaiset erät'!M216+'9. Tulorahkorjauserät'!M216</f>
        <v>-1512.3302714825231</v>
      </c>
      <c r="N216" s="41">
        <f>Vuosikate!N216+'7. Nettoinvestoinnit '!N216+'8. Satunnaiset erät'!N216+'9. Tulorahkorjauserät'!N216</f>
        <v>-1689.3427468309847</v>
      </c>
      <c r="O216" s="41">
        <f>Vuosikate!O216+'7. Nettoinvestoinnit '!O216+'8. Satunnaiset erät'!O216+'9. Tulorahkorjauserät'!O216</f>
        <v>-1664.0242907842194</v>
      </c>
      <c r="P216" s="41">
        <f>Vuosikate!P216+'7. Nettoinvestoinnit '!P216+'8. Satunnaiset erät'!P216+'9. Tulorahkorjauserät'!P216</f>
        <v>-1063.1951258576623</v>
      </c>
      <c r="T216" s="34">
        <v>635</v>
      </c>
      <c r="U216" s="88" t="s">
        <v>530</v>
      </c>
      <c r="V216" s="41" t="e">
        <f>C216/'1. Väestöennuste'!E216*1000</f>
        <v>#REF!</v>
      </c>
      <c r="W216" s="41">
        <f>D216/'1. Väestöennuste'!F216*1000</f>
        <v>-40.138826014787988</v>
      </c>
      <c r="X216" s="41">
        <f>E216/'1. Väestöennuste'!G216*1000</f>
        <v>-305.46672757728032</v>
      </c>
      <c r="Y216" s="41">
        <f>F216/'1. Väestöennuste'!H216*1000</f>
        <v>-692.87582705031548</v>
      </c>
      <c r="Z216" s="41">
        <f>G216/'1. Väestöennuste'!I216*1000</f>
        <v>-134.26573426573427</v>
      </c>
      <c r="AA216" s="41">
        <f>H216/'1. Väestöennuste'!J216*1000</f>
        <v>480.60588313501745</v>
      </c>
      <c r="AB216" s="41">
        <f>I216/'1. Väestöennuste'!K216*1000</f>
        <v>381.74040787883899</v>
      </c>
      <c r="AC216" s="41">
        <f>J216/'1. Väestöennuste'!L216*1000</f>
        <v>392.71016067875649</v>
      </c>
      <c r="AD216" s="41">
        <f>K216/'1. Väestöennuste'!M216*1000</f>
        <v>184.521656579633</v>
      </c>
      <c r="AE216" s="41">
        <f>L216/'1. Väestöennuste'!N216*1000</f>
        <v>-250.12192192596123</v>
      </c>
      <c r="AF216" s="41">
        <f>M216/'1. Väestöennuste'!O216*1000</f>
        <v>-246.02737457011929</v>
      </c>
      <c r="AG216" s="41">
        <f>N216/'1. Väestöennuste'!P216*1000</f>
        <v>-276.75995197100013</v>
      </c>
      <c r="AH216" s="41">
        <f>O216/'1. Väestöennuste'!Q216*1000</f>
        <v>-274.45559801817905</v>
      </c>
      <c r="AI216" s="41">
        <f>P216/'1. Väestöennuste'!R216*1000</f>
        <v>-176.46392130417632</v>
      </c>
    </row>
    <row r="217" spans="1:35" x14ac:dyDescent="0.2">
      <c r="A217" s="34">
        <v>636</v>
      </c>
      <c r="B217" s="88" t="s">
        <v>531</v>
      </c>
      <c r="C217" s="41" t="e">
        <f>Vuosikate!C217+'7. Nettoinvestoinnit '!C217+'8. Satunnaiset erät'!C217+'9. Tulorahkorjauserät'!C217</f>
        <v>#REF!</v>
      </c>
      <c r="D217" s="41">
        <f>Vuosikate!D217+'7. Nettoinvestoinnit '!D217+'8. Satunnaiset erät'!D217+'9. Tulorahkorjauserät'!D217</f>
        <v>1755</v>
      </c>
      <c r="E217" s="41">
        <f>Vuosikate!E217+'7. Nettoinvestoinnit '!E217+'8. Satunnaiset erät'!E217+'9. Tulorahkorjauserät'!E217</f>
        <v>2316</v>
      </c>
      <c r="F217" s="41">
        <f>Vuosikate!F217+'7. Nettoinvestoinnit '!F217+'8. Satunnaiset erät'!F217+'9. Tulorahkorjauserät'!F217</f>
        <v>-5119</v>
      </c>
      <c r="G217" s="41">
        <f>Vuosikate!G217+'7. Nettoinvestoinnit '!G217+'8. Satunnaiset erät'!G217+'9. Tulorahkorjauserät'!G217</f>
        <v>-9095</v>
      </c>
      <c r="H217" s="41">
        <f>Vuosikate!H217+'7. Nettoinvestoinnit '!H217+'8. Satunnaiset erät'!H217+'9. Tulorahkorjauserät'!H217</f>
        <v>7039.279531331511</v>
      </c>
      <c r="I217" s="41">
        <f>Vuosikate!I217+'7. Nettoinvestoinnit '!I217+'8. Satunnaiset erät'!I217+'9. Tulorahkorjauserät'!I217</f>
        <v>3493.2381582098019</v>
      </c>
      <c r="J217" s="41">
        <f>Vuosikate!J217+'7. Nettoinvestoinnit '!J217+'8. Satunnaiset erät'!J217+'9. Tulorahkorjauserät'!J217</f>
        <v>1779.7322501866547</v>
      </c>
      <c r="K217" s="41">
        <f>Vuosikate!K217+'7. Nettoinvestoinnit '!K217+'8. Satunnaiset erät'!K217+'9. Tulorahkorjauserät'!K217</f>
        <v>5453.2418047105102</v>
      </c>
      <c r="L217" s="41">
        <f>Vuosikate!L217+'7. Nettoinvestoinnit '!L217+'8. Satunnaiset erät'!L217+'9. Tulorahkorjauserät'!L217</f>
        <v>930.49530190443465</v>
      </c>
      <c r="M217" s="41">
        <f>Vuosikate!M217+'7. Nettoinvestoinnit '!M217+'8. Satunnaiset erät'!M217+'9. Tulorahkorjauserät'!M217</f>
        <v>1501.1218273294894</v>
      </c>
      <c r="N217" s="41">
        <f>Vuosikate!N217+'7. Nettoinvestoinnit '!N217+'8. Satunnaiset erät'!N217+'9. Tulorahkorjauserät'!N217</f>
        <v>1162.6151453995599</v>
      </c>
      <c r="O217" s="41">
        <f>Vuosikate!O217+'7. Nettoinvestoinnit '!O217+'8. Satunnaiset erät'!O217+'9. Tulorahkorjauserät'!O217</f>
        <v>1374.4093290592255</v>
      </c>
      <c r="P217" s="41">
        <f>Vuosikate!P217+'7. Nettoinvestoinnit '!P217+'8. Satunnaiset erät'!P217+'9. Tulorahkorjauserät'!P217</f>
        <v>2039.8237788348811</v>
      </c>
      <c r="T217" s="34">
        <v>636</v>
      </c>
      <c r="U217" s="88" t="s">
        <v>531</v>
      </c>
      <c r="V217" s="41" t="e">
        <f>C217/'1. Väestöennuste'!E217*1000</f>
        <v>#REF!</v>
      </c>
      <c r="W217" s="41">
        <f>D217/'1. Väestöennuste'!F217*1000</f>
        <v>206.39774197342115</v>
      </c>
      <c r="X217" s="41">
        <f>E217/'1. Väestöennuste'!G217*1000</f>
        <v>274.99406316789361</v>
      </c>
      <c r="Y217" s="41">
        <f>F217/'1. Väestöennuste'!H217*1000</f>
        <v>-614.30457218288734</v>
      </c>
      <c r="Z217" s="41">
        <f>G217/'1. Väestöennuste'!I217*1000</f>
        <v>-1098.9608506524889</v>
      </c>
      <c r="AA217" s="41">
        <f>H217/'1. Väestöennuste'!J217*1000</f>
        <v>855.42344529487309</v>
      </c>
      <c r="AB217" s="41">
        <f>I217/'1. Väestöennuste'!K217*1000</f>
        <v>424.86477234368789</v>
      </c>
      <c r="AC217" s="41">
        <f>J217/'1. Väestöennuste'!L217*1000</f>
        <v>218.26493134494171</v>
      </c>
      <c r="AD217" s="41">
        <f>K217/'1. Väestöennuste'!M217*1000</f>
        <v>670.75544953388805</v>
      </c>
      <c r="AE217" s="41">
        <f>L217/'1. Väestöennuste'!N217*1000</f>
        <v>116.4429110129439</v>
      </c>
      <c r="AF217" s="41">
        <f>M217/'1. Väestöennuste'!O217*1000</f>
        <v>188.96296920059029</v>
      </c>
      <c r="AG217" s="41">
        <f>N217/'1. Väestöennuste'!P217*1000</f>
        <v>147.20374087105088</v>
      </c>
      <c r="AH217" s="41">
        <f>O217/'1. Väestöennuste'!Q217*1000</f>
        <v>174.99482162709771</v>
      </c>
      <c r="AI217" s="41">
        <f>P217/'1. Väestöennuste'!R217*1000</f>
        <v>261.34833809543642</v>
      </c>
    </row>
    <row r="218" spans="1:35" x14ac:dyDescent="0.2">
      <c r="A218" s="34">
        <v>638</v>
      </c>
      <c r="B218" s="88" t="s">
        <v>532</v>
      </c>
      <c r="C218" s="41" t="e">
        <f>Vuosikate!C218+'7. Nettoinvestoinnit '!C218+'8. Satunnaiset erät'!C218+'9. Tulorahkorjauserät'!C218</f>
        <v>#REF!</v>
      </c>
      <c r="D218" s="41">
        <f>Vuosikate!D218+'7. Nettoinvestoinnit '!D218+'8. Satunnaiset erät'!D218+'9. Tulorahkorjauserät'!D218</f>
        <v>-2848</v>
      </c>
      <c r="E218" s="41">
        <f>Vuosikate!E218+'7. Nettoinvestoinnit '!E218+'8. Satunnaiset erät'!E218+'9. Tulorahkorjauserät'!E218</f>
        <v>-22920</v>
      </c>
      <c r="F218" s="41">
        <f>Vuosikate!F218+'7. Nettoinvestoinnit '!F218+'8. Satunnaiset erät'!F218+'9. Tulorahkorjauserät'!F218</f>
        <v>-25199</v>
      </c>
      <c r="G218" s="41">
        <f>Vuosikate!G218+'7. Nettoinvestoinnit '!G218+'8. Satunnaiset erät'!G218+'9. Tulorahkorjauserät'!G218</f>
        <v>-16986</v>
      </c>
      <c r="H218" s="41">
        <f>Vuosikate!H218+'7. Nettoinvestoinnit '!H218+'8. Satunnaiset erät'!H218+'9. Tulorahkorjauserät'!H218</f>
        <v>34360.433589323191</v>
      </c>
      <c r="I218" s="41">
        <f>Vuosikate!I218+'7. Nettoinvestoinnit '!I218+'8. Satunnaiset erät'!I218+'9. Tulorahkorjauserät'!I218</f>
        <v>53012.240548628331</v>
      </c>
      <c r="J218" s="41">
        <f>Vuosikate!J218+'7. Nettoinvestoinnit '!J218+'8. Satunnaiset erät'!J218+'9. Tulorahkorjauserät'!J218</f>
        <v>55882.162783355743</v>
      </c>
      <c r="K218" s="41">
        <f>Vuosikate!K218+'7. Nettoinvestoinnit '!K218+'8. Satunnaiset erät'!K218+'9. Tulorahkorjauserät'!K218</f>
        <v>8072.9227493378885</v>
      </c>
      <c r="L218" s="41">
        <f>Vuosikate!L218+'7. Nettoinvestoinnit '!L218+'8. Satunnaiset erät'!L218+'9. Tulorahkorjauserät'!L218</f>
        <v>-1511.7246898901649</v>
      </c>
      <c r="M218" s="41">
        <f>Vuosikate!M218+'7. Nettoinvestoinnit '!M218+'8. Satunnaiset erät'!M218+'9. Tulorahkorjauserät'!M218</f>
        <v>-11078.596987258366</v>
      </c>
      <c r="N218" s="41">
        <f>Vuosikate!N218+'7. Nettoinvestoinnit '!N218+'8. Satunnaiset erät'!N218+'9. Tulorahkorjauserät'!N218</f>
        <v>-16063.530148627171</v>
      </c>
      <c r="O218" s="41">
        <f>Vuosikate!O218+'7. Nettoinvestoinnit '!O218+'8. Satunnaiset erät'!O218+'9. Tulorahkorjauserät'!O218</f>
        <v>-17734.284014688688</v>
      </c>
      <c r="P218" s="41">
        <f>Vuosikate!P218+'7. Nettoinvestoinnit '!P218+'8. Satunnaiset erät'!P218+'9. Tulorahkorjauserät'!P218</f>
        <v>-17014.325222834097</v>
      </c>
      <c r="T218" s="34">
        <v>638</v>
      </c>
      <c r="U218" s="88" t="s">
        <v>532</v>
      </c>
      <c r="V218" s="41" t="e">
        <f>C218/'1. Väestöennuste'!E218*1000</f>
        <v>#REF!</v>
      </c>
      <c r="W218" s="41">
        <f>D218/'1. Väestöennuste'!F218*1000</f>
        <v>-56.796426292278241</v>
      </c>
      <c r="X218" s="41">
        <f>E218/'1. Väestöennuste'!G218*1000</f>
        <v>-456.94690882992086</v>
      </c>
      <c r="Y218" s="41">
        <f>F218/'1. Väestöennuste'!H218*1000</f>
        <v>-501.35291074768219</v>
      </c>
      <c r="Z218" s="41">
        <f>G218/'1. Väestöennuste'!I218*1000</f>
        <v>-337.15760222310445</v>
      </c>
      <c r="AA218" s="41">
        <f>H218/'1. Väestöennuste'!J218*1000</f>
        <v>678.80506508076394</v>
      </c>
      <c r="AB218" s="41">
        <f>I218/'1. Väestöennuste'!K218*1000</f>
        <v>1036.4277023720567</v>
      </c>
      <c r="AC218" s="41">
        <f>J218/'1. Väestöennuste'!L218*1000</f>
        <v>1090.7667626357695</v>
      </c>
      <c r="AD218" s="41">
        <f>K218/'1. Väestöennuste'!M218*1000</f>
        <v>157.40066582186995</v>
      </c>
      <c r="AE218" s="41">
        <f>L218/'1. Väestöennuste'!N218*1000</f>
        <v>-29.441917381883005</v>
      </c>
      <c r="AF218" s="41">
        <f>M218/'1. Väestöennuste'!O218*1000</f>
        <v>-215.17688278868755</v>
      </c>
      <c r="AG218" s="41">
        <f>N218/'1. Väestöennuste'!P218*1000</f>
        <v>-311.18810826476499</v>
      </c>
      <c r="AH218" s="41">
        <f>O218/'1. Väestöennuste'!Q218*1000</f>
        <v>-342.75771191899281</v>
      </c>
      <c r="AI218" s="41">
        <f>P218/'1. Väestöennuste'!R218*1000</f>
        <v>-328.15146334228427</v>
      </c>
    </row>
    <row r="219" spans="1:35" x14ac:dyDescent="0.2">
      <c r="A219" s="34">
        <v>678</v>
      </c>
      <c r="B219" s="88" t="s">
        <v>533</v>
      </c>
      <c r="C219" s="41" t="e">
        <f>Vuosikate!C219+'7. Nettoinvestoinnit '!C219+'8. Satunnaiset erät'!C219+'9. Tulorahkorjauserät'!C219</f>
        <v>#REF!</v>
      </c>
      <c r="D219" s="41">
        <f>Vuosikate!D219+'7. Nettoinvestoinnit '!D219+'8. Satunnaiset erät'!D219+'9. Tulorahkorjauserät'!D219</f>
        <v>-404</v>
      </c>
      <c r="E219" s="41">
        <f>Vuosikate!E219+'7. Nettoinvestoinnit '!E219+'8. Satunnaiset erät'!E219+'9. Tulorahkorjauserät'!E219</f>
        <v>-1757</v>
      </c>
      <c r="F219" s="41">
        <f>Vuosikate!F219+'7. Nettoinvestoinnit '!F219+'8. Satunnaiset erät'!F219+'9. Tulorahkorjauserät'!F219</f>
        <v>-11095</v>
      </c>
      <c r="G219" s="41">
        <f>Vuosikate!G219+'7. Nettoinvestoinnit '!G219+'8. Satunnaiset erät'!G219+'9. Tulorahkorjauserät'!G219</f>
        <v>-8630</v>
      </c>
      <c r="H219" s="41">
        <f>Vuosikate!H219+'7. Nettoinvestoinnit '!H219+'8. Satunnaiset erät'!H219+'9. Tulorahkorjauserät'!H219</f>
        <v>-13602.344625445359</v>
      </c>
      <c r="I219" s="41">
        <f>Vuosikate!I219+'7. Nettoinvestoinnit '!I219+'8. Satunnaiset erät'!I219+'9. Tulorahkorjauserät'!I219</f>
        <v>33661.254439210912</v>
      </c>
      <c r="J219" s="41">
        <f>Vuosikate!J219+'7. Nettoinvestoinnit '!J219+'8. Satunnaiset erät'!J219+'9. Tulorahkorjauserät'!J219</f>
        <v>-3866.741453039619</v>
      </c>
      <c r="K219" s="41">
        <f>Vuosikate!K219+'7. Nettoinvestoinnit '!K219+'8. Satunnaiset erät'!K219+'9. Tulorahkorjauserät'!K219</f>
        <v>18069.646669941449</v>
      </c>
      <c r="L219" s="41">
        <f>Vuosikate!L219+'7. Nettoinvestoinnit '!L219+'8. Satunnaiset erät'!L219+'9. Tulorahkorjauserät'!L219</f>
        <v>2693.9533826178322</v>
      </c>
      <c r="M219" s="41">
        <f>Vuosikate!M219+'7. Nettoinvestoinnit '!M219+'8. Satunnaiset erät'!M219+'9. Tulorahkorjauserät'!M219</f>
        <v>-2959.4763295980756</v>
      </c>
      <c r="N219" s="41">
        <f>Vuosikate!N219+'7. Nettoinvestoinnit '!N219+'8. Satunnaiset erät'!N219+'9. Tulorahkorjauserät'!N219</f>
        <v>-5040.4106782894796</v>
      </c>
      <c r="O219" s="41">
        <f>Vuosikate!O219+'7. Nettoinvestoinnit '!O219+'8. Satunnaiset erät'!O219+'9. Tulorahkorjauserät'!O219</f>
        <v>-4883.707539469453</v>
      </c>
      <c r="P219" s="41">
        <f>Vuosikate!P219+'7. Nettoinvestoinnit '!P219+'8. Satunnaiset erät'!P219+'9. Tulorahkorjauserät'!P219</f>
        <v>-3865.3470921854478</v>
      </c>
      <c r="T219" s="34">
        <v>678</v>
      </c>
      <c r="U219" s="88" t="s">
        <v>533</v>
      </c>
      <c r="V219" s="41" t="e">
        <f>C219/'1. Väestöennuste'!E219*1000</f>
        <v>#REF!</v>
      </c>
      <c r="W219" s="41">
        <f>D219/'1. Väestöennuste'!F219*1000</f>
        <v>-16.153538584566174</v>
      </c>
      <c r="X219" s="41">
        <f>E219/'1. Väestöennuste'!G219*1000</f>
        <v>-70.277188912443506</v>
      </c>
      <c r="Y219" s="41">
        <f>F219/'1. Väestöennuste'!H219*1000</f>
        <v>-447.18068598605458</v>
      </c>
      <c r="Z219" s="41">
        <f>G219/'1. Väestöennuste'!I219*1000</f>
        <v>-349.69001985493742</v>
      </c>
      <c r="AA219" s="41">
        <f>H219/'1. Väestöennuste'!J219*1000</f>
        <v>-558.54903401820559</v>
      </c>
      <c r="AB219" s="41">
        <f>I219/'1. Väestöennuste'!K219*1000</f>
        <v>1387.5207930424942</v>
      </c>
      <c r="AC219" s="41">
        <f>J219/'1. Väestöennuste'!L219*1000</f>
        <v>-160.62565750174966</v>
      </c>
      <c r="AD219" s="41">
        <f>K219/'1. Väestöennuste'!M219*1000</f>
        <v>759.32456485865646</v>
      </c>
      <c r="AE219" s="41">
        <f>L219/'1. Väestöennuste'!N219*1000</f>
        <v>113.9188676682101</v>
      </c>
      <c r="AF219" s="41">
        <f>M219/'1. Väestöennuste'!O219*1000</f>
        <v>-126.13913262288276</v>
      </c>
      <c r="AG219" s="41">
        <f>N219/'1. Väestöennuste'!P219*1000</f>
        <v>-216.58691467383466</v>
      </c>
      <c r="AH219" s="41">
        <f>O219/'1. Väestöennuste'!Q219*1000</f>
        <v>-211.59911349521028</v>
      </c>
      <c r="AI219" s="41">
        <f>P219/'1. Väestöennuste'!R219*1000</f>
        <v>-168.91046548616708</v>
      </c>
    </row>
    <row r="220" spans="1:35" x14ac:dyDescent="0.2">
      <c r="A220" s="34">
        <v>680</v>
      </c>
      <c r="B220" s="88" t="s">
        <v>534</v>
      </c>
      <c r="C220" s="41" t="e">
        <f>Vuosikate!C220+'7. Nettoinvestoinnit '!C220+'8. Satunnaiset erät'!C220+'9. Tulorahkorjauserät'!C220</f>
        <v>#REF!</v>
      </c>
      <c r="D220" s="41">
        <f>Vuosikate!D220+'7. Nettoinvestoinnit '!D220+'8. Satunnaiset erät'!D220+'9. Tulorahkorjauserät'!D220</f>
        <v>44235</v>
      </c>
      <c r="E220" s="41">
        <f>Vuosikate!E220+'7. Nettoinvestoinnit '!E220+'8. Satunnaiset erät'!E220+'9. Tulorahkorjauserät'!E220</f>
        <v>-3760</v>
      </c>
      <c r="F220" s="41">
        <f>Vuosikate!F220+'7. Nettoinvestoinnit '!F220+'8. Satunnaiset erät'!F220+'9. Tulorahkorjauserät'!F220</f>
        <v>-3822</v>
      </c>
      <c r="G220" s="41">
        <f>Vuosikate!G220+'7. Nettoinvestoinnit '!G220+'8. Satunnaiset erät'!G220+'9. Tulorahkorjauserät'!G220</f>
        <v>-6784</v>
      </c>
      <c r="H220" s="41">
        <f>Vuosikate!H220+'7. Nettoinvestoinnit '!H220+'8. Satunnaiset erät'!H220+'9. Tulorahkorjauserät'!H220</f>
        <v>8210.8728348339355</v>
      </c>
      <c r="I220" s="41">
        <f>Vuosikate!I220+'7. Nettoinvestoinnit '!I220+'8. Satunnaiset erät'!I220+'9. Tulorahkorjauserät'!I220</f>
        <v>10501.473892061069</v>
      </c>
      <c r="J220" s="41">
        <f>Vuosikate!J220+'7. Nettoinvestoinnit '!J220+'8. Satunnaiset erät'!J220+'9. Tulorahkorjauserät'!J220</f>
        <v>4104.5065827835433</v>
      </c>
      <c r="K220" s="41">
        <f>Vuosikate!K220+'7. Nettoinvestoinnit '!K220+'8. Satunnaiset erät'!K220+'9. Tulorahkorjauserät'!K220</f>
        <v>-4591.367303144174</v>
      </c>
      <c r="L220" s="41">
        <f>Vuosikate!L220+'7. Nettoinvestoinnit '!L220+'8. Satunnaiset erät'!L220+'9. Tulorahkorjauserät'!L220</f>
        <v>-13626.601985217094</v>
      </c>
      <c r="M220" s="41">
        <f>Vuosikate!M220+'7. Nettoinvestoinnit '!M220+'8. Satunnaiset erät'!M220+'9. Tulorahkorjauserät'!M220</f>
        <v>-15327.970912445597</v>
      </c>
      <c r="N220" s="41">
        <f>Vuosikate!N220+'7. Nettoinvestoinnit '!N220+'8. Satunnaiset erät'!N220+'9. Tulorahkorjauserät'!N220</f>
        <v>-16572.810975105087</v>
      </c>
      <c r="O220" s="41">
        <f>Vuosikate!O220+'7. Nettoinvestoinnit '!O220+'8. Satunnaiset erät'!O220+'9. Tulorahkorjauserät'!O220</f>
        <v>-17424.462153662724</v>
      </c>
      <c r="P220" s="41">
        <f>Vuosikate!P220+'7. Nettoinvestoinnit '!P220+'8. Satunnaiset erät'!P220+'9. Tulorahkorjauserät'!P220</f>
        <v>-17256.558638813938</v>
      </c>
      <c r="T220" s="34">
        <v>680</v>
      </c>
      <c r="U220" s="88" t="s">
        <v>534</v>
      </c>
      <c r="V220" s="41" t="e">
        <f>C220/'1. Väestöennuste'!E220*1000</f>
        <v>#REF!</v>
      </c>
      <c r="W220" s="41">
        <f>D220/'1. Väestöennuste'!F220*1000</f>
        <v>1821.64477206276</v>
      </c>
      <c r="X220" s="41">
        <f>E220/'1. Väestöennuste'!G220*1000</f>
        <v>-155.15391598580507</v>
      </c>
      <c r="Y220" s="41">
        <f>F220/'1. Väestöennuste'!H220*1000</f>
        <v>-158.07759119861032</v>
      </c>
      <c r="Z220" s="41">
        <f>G220/'1. Väestöennuste'!I220*1000</f>
        <v>-282.00864649151981</v>
      </c>
      <c r="AA220" s="41">
        <f>H220/'1. Väestöennuste'!J220*1000</f>
        <v>336.41466935034765</v>
      </c>
      <c r="AB220" s="41">
        <f>I220/'1. Väestöennuste'!K220*1000</f>
        <v>423.27585215885</v>
      </c>
      <c r="AC220" s="41">
        <f>J220/'1. Väestöennuste'!L220*1000</f>
        <v>164.56204726098721</v>
      </c>
      <c r="AD220" s="41">
        <f>K220/'1. Väestöennuste'!M220*1000</f>
        <v>-181.25487754704409</v>
      </c>
      <c r="AE220" s="41">
        <f>L220/'1. Väestöennuste'!N220*1000</f>
        <v>-555.12290647399254</v>
      </c>
      <c r="AF220" s="41">
        <f>M220/'1. Väestöennuste'!O220*1000</f>
        <v>-623.24025829249399</v>
      </c>
      <c r="AG220" s="41">
        <f>N220/'1. Väestöennuste'!P220*1000</f>
        <v>-672.67974895908947</v>
      </c>
      <c r="AH220" s="41">
        <f>O220/'1. Väestöennuste'!Q220*1000</f>
        <v>-706.04409229153225</v>
      </c>
      <c r="AI220" s="41">
        <f>P220/'1. Väestöennuste'!R220*1000</f>
        <v>-697.96791129323492</v>
      </c>
    </row>
    <row r="221" spans="1:35" x14ac:dyDescent="0.2">
      <c r="A221" s="34">
        <v>681</v>
      </c>
      <c r="B221" s="88" t="s">
        <v>535</v>
      </c>
      <c r="C221" s="41" t="e">
        <f>Vuosikate!C221+'7. Nettoinvestoinnit '!C221+'8. Satunnaiset erät'!C221+'9. Tulorahkorjauserät'!C221</f>
        <v>#REF!</v>
      </c>
      <c r="D221" s="41">
        <f>Vuosikate!D221+'7. Nettoinvestoinnit '!D221+'8. Satunnaiset erät'!D221+'9. Tulorahkorjauserät'!D221</f>
        <v>1358</v>
      </c>
      <c r="E221" s="41">
        <f>Vuosikate!E221+'7. Nettoinvestoinnit '!E221+'8. Satunnaiset erät'!E221+'9. Tulorahkorjauserät'!E221</f>
        <v>1129</v>
      </c>
      <c r="F221" s="41">
        <f>Vuosikate!F221+'7. Nettoinvestoinnit '!F221+'8. Satunnaiset erät'!F221+'9. Tulorahkorjauserät'!F221</f>
        <v>-1131</v>
      </c>
      <c r="G221" s="41">
        <f>Vuosikate!G221+'7. Nettoinvestoinnit '!G221+'8. Satunnaiset erät'!G221+'9. Tulorahkorjauserät'!G221</f>
        <v>986</v>
      </c>
      <c r="H221" s="41">
        <f>Vuosikate!H221+'7. Nettoinvestoinnit '!H221+'8. Satunnaiset erät'!H221+'9. Tulorahkorjauserät'!H221</f>
        <v>2378.8767412570687</v>
      </c>
      <c r="I221" s="41">
        <f>Vuosikate!I221+'7. Nettoinvestoinnit '!I221+'8. Satunnaiset erät'!I221+'9. Tulorahkorjauserät'!I221</f>
        <v>726.8662479256958</v>
      </c>
      <c r="J221" s="41">
        <f>Vuosikate!J221+'7. Nettoinvestoinnit '!J221+'8. Satunnaiset erät'!J221+'9. Tulorahkorjauserät'!J221</f>
        <v>836.87877469764453</v>
      </c>
      <c r="K221" s="41">
        <f>Vuosikate!K221+'7. Nettoinvestoinnit '!K221+'8. Satunnaiset erät'!K221+'9. Tulorahkorjauserät'!K221</f>
        <v>-481.55625314244844</v>
      </c>
      <c r="L221" s="41">
        <f>Vuosikate!L221+'7. Nettoinvestoinnit '!L221+'8. Satunnaiset erät'!L221+'9. Tulorahkorjauserät'!L221</f>
        <v>-464.94820392981183</v>
      </c>
      <c r="M221" s="41">
        <f>Vuosikate!M221+'7. Nettoinvestoinnit '!M221+'8. Satunnaiset erät'!M221+'9. Tulorahkorjauserät'!M221</f>
        <v>-1159.5300075651983</v>
      </c>
      <c r="N221" s="41">
        <f>Vuosikate!N221+'7. Nettoinvestoinnit '!N221+'8. Satunnaiset erät'!N221+'9. Tulorahkorjauserät'!N221</f>
        <v>-1199.8699024041041</v>
      </c>
      <c r="O221" s="41">
        <f>Vuosikate!O221+'7. Nettoinvestoinnit '!O221+'8. Satunnaiset erät'!O221+'9. Tulorahkorjauserät'!O221</f>
        <v>-1176.3948776589768</v>
      </c>
      <c r="P221" s="41">
        <f>Vuosikate!P221+'7. Nettoinvestoinnit '!P221+'8. Satunnaiset erät'!P221+'9. Tulorahkorjauserät'!P221</f>
        <v>-922.36521562998837</v>
      </c>
      <c r="T221" s="34">
        <v>681</v>
      </c>
      <c r="U221" s="88" t="s">
        <v>535</v>
      </c>
      <c r="V221" s="41" t="e">
        <f>C221/'1. Väestöennuste'!E221*1000</f>
        <v>#REF!</v>
      </c>
      <c r="W221" s="41">
        <f>D221/'1. Väestöennuste'!F221*1000</f>
        <v>372.15675527541794</v>
      </c>
      <c r="X221" s="41">
        <f>E221/'1. Väestöennuste'!G221*1000</f>
        <v>317.75963974106389</v>
      </c>
      <c r="Y221" s="41">
        <f>F221/'1. Väestöennuste'!H221*1000</f>
        <v>-321.85543540125212</v>
      </c>
      <c r="Z221" s="41">
        <f>G221/'1. Väestöennuste'!I221*1000</f>
        <v>287.37977266103178</v>
      </c>
      <c r="AA221" s="41">
        <f>H221/'1. Väestöennuste'!J221*1000</f>
        <v>707.15717635465785</v>
      </c>
      <c r="AB221" s="41">
        <f>I221/'1. Väestöennuste'!K221*1000</f>
        <v>218.27815253023897</v>
      </c>
      <c r="AC221" s="41">
        <f>J221/'1. Väestöennuste'!L221*1000</f>
        <v>252.9863285059385</v>
      </c>
      <c r="AD221" s="41">
        <f>K221/'1. Väestöennuste'!M221*1000</f>
        <v>-146.05891815057581</v>
      </c>
      <c r="AE221" s="41">
        <f>L221/'1. Väestöennuste'!N221*1000</f>
        <v>-149.69356211520022</v>
      </c>
      <c r="AF221" s="41">
        <f>M221/'1. Väestöennuste'!O221*1000</f>
        <v>-379.92464205937034</v>
      </c>
      <c r="AG221" s="41">
        <f>N221/'1. Väestöennuste'!P221*1000</f>
        <v>-399.2911488865571</v>
      </c>
      <c r="AH221" s="41">
        <f>O221/'1. Väestöennuste'!Q221*1000</f>
        <v>-397.56501441668701</v>
      </c>
      <c r="AI221" s="41">
        <f>P221/'1. Väestöennuste'!R221*1000</f>
        <v>-316.52890035346206</v>
      </c>
    </row>
    <row r="222" spans="1:35" x14ac:dyDescent="0.2">
      <c r="A222" s="34">
        <v>683</v>
      </c>
      <c r="B222" s="88" t="s">
        <v>536</v>
      </c>
      <c r="C222" s="41" t="e">
        <f>Vuosikate!C222+'7. Nettoinvestoinnit '!C222+'8. Satunnaiset erät'!C222+'9. Tulorahkorjauserät'!C222</f>
        <v>#REF!</v>
      </c>
      <c r="D222" s="41">
        <f>Vuosikate!D222+'7. Nettoinvestoinnit '!D222+'8. Satunnaiset erät'!D222+'9. Tulorahkorjauserät'!D222</f>
        <v>1907</v>
      </c>
      <c r="E222" s="41">
        <f>Vuosikate!E222+'7. Nettoinvestoinnit '!E222+'8. Satunnaiset erät'!E222+'9. Tulorahkorjauserät'!E222</f>
        <v>2082</v>
      </c>
      <c r="F222" s="41">
        <f>Vuosikate!F222+'7. Nettoinvestoinnit '!F222+'8. Satunnaiset erät'!F222+'9. Tulorahkorjauserät'!F222</f>
        <v>749</v>
      </c>
      <c r="G222" s="41">
        <f>Vuosikate!G222+'7. Nettoinvestoinnit '!G222+'8. Satunnaiset erät'!G222+'9. Tulorahkorjauserät'!G222</f>
        <v>177</v>
      </c>
      <c r="H222" s="41">
        <f>Vuosikate!H222+'7. Nettoinvestoinnit '!H222+'8. Satunnaiset erät'!H222+'9. Tulorahkorjauserät'!H222</f>
        <v>1002.172577254365</v>
      </c>
      <c r="I222" s="41">
        <f>Vuosikate!I222+'7. Nettoinvestoinnit '!I222+'8. Satunnaiset erät'!I222+'9. Tulorahkorjauserät'!I222</f>
        <v>887.00472230258003</v>
      </c>
      <c r="J222" s="41">
        <f>Vuosikate!J222+'7. Nettoinvestoinnit '!J222+'8. Satunnaiset erät'!J222+'9. Tulorahkorjauserät'!J222</f>
        <v>-139.56376291205265</v>
      </c>
      <c r="K222" s="41">
        <f>Vuosikate!K222+'7. Nettoinvestoinnit '!K222+'8. Satunnaiset erät'!K222+'9. Tulorahkorjauserät'!K222</f>
        <v>-8462.6727872413849</v>
      </c>
      <c r="L222" s="41">
        <f>Vuosikate!L222+'7. Nettoinvestoinnit '!L222+'8. Satunnaiset erät'!L222+'9. Tulorahkorjauserät'!L222</f>
        <v>-2550.7866098253712</v>
      </c>
      <c r="M222" s="41">
        <f>Vuosikate!M222+'7. Nettoinvestoinnit '!M222+'8. Satunnaiset erät'!M222+'9. Tulorahkorjauserät'!M222</f>
        <v>-4080.7578360790694</v>
      </c>
      <c r="N222" s="41">
        <f>Vuosikate!N222+'7. Nettoinvestoinnit '!N222+'8. Satunnaiset erät'!N222+'9. Tulorahkorjauserät'!N222</f>
        <v>-4401.0410698973756</v>
      </c>
      <c r="O222" s="41">
        <f>Vuosikate!O222+'7. Nettoinvestoinnit '!O222+'8. Satunnaiset erät'!O222+'9. Tulorahkorjauserät'!O222</f>
        <v>-4967.4238235037656</v>
      </c>
      <c r="P222" s="41">
        <f>Vuosikate!P222+'7. Nettoinvestoinnit '!P222+'8. Satunnaiset erät'!P222+'9. Tulorahkorjauserät'!P222</f>
        <v>-4756.0729545941686</v>
      </c>
      <c r="T222" s="34">
        <v>683</v>
      </c>
      <c r="U222" s="88" t="s">
        <v>536</v>
      </c>
      <c r="V222" s="41" t="e">
        <f>C222/'1. Väestöennuste'!E222*1000</f>
        <v>#REF!</v>
      </c>
      <c r="W222" s="41">
        <f>D222/'1. Väestöennuste'!F222*1000</f>
        <v>474.02435993040018</v>
      </c>
      <c r="X222" s="41">
        <f>E222/'1. Väestöennuste'!G222*1000</f>
        <v>524.16918429003022</v>
      </c>
      <c r="Y222" s="41">
        <f>F222/'1. Väestöennuste'!H222*1000</f>
        <v>192.24845995893224</v>
      </c>
      <c r="Z222" s="41">
        <f>G222/'1. Väestöennuste'!I222*1000</f>
        <v>46.788263283108641</v>
      </c>
      <c r="AA222" s="41">
        <f>H222/'1. Väestöennuste'!J222*1000</f>
        <v>269.98183654481818</v>
      </c>
      <c r="AB222" s="41">
        <f>I222/'1. Väestöennuste'!K222*1000</f>
        <v>241.69066002795097</v>
      </c>
      <c r="AC222" s="41">
        <f>J222/'1. Väestöennuste'!L222*1000</f>
        <v>-38.574837731357839</v>
      </c>
      <c r="AD222" s="41">
        <f>K222/'1. Väestöennuste'!M222*1000</f>
        <v>-2351.3956063465921</v>
      </c>
      <c r="AE222" s="41">
        <f>L222/'1. Väestöennuste'!N222*1000</f>
        <v>-738.71607582547676</v>
      </c>
      <c r="AF222" s="41">
        <f>M222/'1. Väestöennuste'!O222*1000</f>
        <v>-1202.344677689767</v>
      </c>
      <c r="AG222" s="41">
        <f>N222/'1. Väestöennuste'!P222*1000</f>
        <v>-1318.8615732386502</v>
      </c>
      <c r="AH222" s="41">
        <f>O222/'1. Väestöennuste'!Q222*1000</f>
        <v>-1512.6138317611956</v>
      </c>
      <c r="AI222" s="41">
        <f>P222/'1. Väestöennuste'!R222*1000</f>
        <v>-1471.5572260501758</v>
      </c>
    </row>
    <row r="223" spans="1:35" x14ac:dyDescent="0.2">
      <c r="A223" s="34">
        <v>684</v>
      </c>
      <c r="B223" s="88" t="s">
        <v>537</v>
      </c>
      <c r="C223" s="41" t="e">
        <f>Vuosikate!C223+'7. Nettoinvestoinnit '!C223+'8. Satunnaiset erät'!C223+'9. Tulorahkorjauserät'!C223</f>
        <v>#REF!</v>
      </c>
      <c r="D223" s="41">
        <f>Vuosikate!D223+'7. Nettoinvestoinnit '!D223+'8. Satunnaiset erät'!D223+'9. Tulorahkorjauserät'!D223</f>
        <v>1498</v>
      </c>
      <c r="E223" s="41">
        <f>Vuosikate!E223+'7. Nettoinvestoinnit '!E223+'8. Satunnaiset erät'!E223+'9. Tulorahkorjauserät'!E223</f>
        <v>12622</v>
      </c>
      <c r="F223" s="41">
        <f>Vuosikate!F223+'7. Nettoinvestoinnit '!F223+'8. Satunnaiset erät'!F223+'9. Tulorahkorjauserät'!F223</f>
        <v>-20553</v>
      </c>
      <c r="G223" s="41">
        <f>Vuosikate!G223+'7. Nettoinvestoinnit '!G223+'8. Satunnaiset erät'!G223+'9. Tulorahkorjauserät'!G223</f>
        <v>-21804</v>
      </c>
      <c r="H223" s="41">
        <f>Vuosikate!H223+'7. Nettoinvestoinnit '!H223+'8. Satunnaiset erät'!H223+'9. Tulorahkorjauserät'!H223</f>
        <v>20053.399845386914</v>
      </c>
      <c r="I223" s="41">
        <f>Vuosikate!I223+'7. Nettoinvestoinnit '!I223+'8. Satunnaiset erät'!I223+'9. Tulorahkorjauserät'!I223</f>
        <v>1733.0701336262896</v>
      </c>
      <c r="J223" s="41">
        <f>Vuosikate!J223+'7. Nettoinvestoinnit '!J223+'8. Satunnaiset erät'!J223+'9. Tulorahkorjauserät'!J223</f>
        <v>-21819.955388809889</v>
      </c>
      <c r="K223" s="41">
        <f>Vuosikate!K223+'7. Nettoinvestoinnit '!K223+'8. Satunnaiset erät'!K223+'9. Tulorahkorjauserät'!K223</f>
        <v>-11012.988380579038</v>
      </c>
      <c r="L223" s="41">
        <f>Vuosikate!L223+'7. Nettoinvestoinnit '!L223+'8. Satunnaiset erät'!L223+'9. Tulorahkorjauserät'!L223</f>
        <v>-21227.383566335826</v>
      </c>
      <c r="M223" s="41">
        <f>Vuosikate!M223+'7. Nettoinvestoinnit '!M223+'8. Satunnaiset erät'!M223+'9. Tulorahkorjauserät'!M223</f>
        <v>-24110.983463096836</v>
      </c>
      <c r="N223" s="41">
        <f>Vuosikate!N223+'7. Nettoinvestoinnit '!N223+'8. Satunnaiset erät'!N223+'9. Tulorahkorjauserät'!N223</f>
        <v>-23433.948524140629</v>
      </c>
      <c r="O223" s="41">
        <f>Vuosikate!O223+'7. Nettoinvestoinnit '!O223+'8. Satunnaiset erät'!O223+'9. Tulorahkorjauserät'!O223</f>
        <v>-24004.399036272065</v>
      </c>
      <c r="P223" s="41">
        <f>Vuosikate!P223+'7. Nettoinvestoinnit '!P223+'8. Satunnaiset erät'!P223+'9. Tulorahkorjauserät'!P223</f>
        <v>-23176.412134027367</v>
      </c>
      <c r="T223" s="34">
        <v>684</v>
      </c>
      <c r="U223" s="88" t="s">
        <v>537</v>
      </c>
      <c r="V223" s="41" t="e">
        <f>C223/'1. Väestöennuste'!E223*1000</f>
        <v>#REF!</v>
      </c>
      <c r="W223" s="41">
        <f>D223/'1. Väestöennuste'!F223*1000</f>
        <v>37.814913919321448</v>
      </c>
      <c r="X223" s="41">
        <f>E223/'1. Väestöennuste'!G223*1000</f>
        <v>318.57647652700655</v>
      </c>
      <c r="Y223" s="41">
        <f>F223/'1. Väestöennuste'!H223*1000</f>
        <v>-522.17987804878055</v>
      </c>
      <c r="Z223" s="41">
        <f>G223/'1. Väestöennuste'!I223*1000</f>
        <v>-556.15355184287716</v>
      </c>
      <c r="AA223" s="41">
        <f>H223/'1. Väestöennuste'!J223*1000</f>
        <v>513.66290587568938</v>
      </c>
      <c r="AB223" s="41">
        <f>I223/'1. Väestöennuste'!K223*1000</f>
        <v>44.484461449890638</v>
      </c>
      <c r="AC223" s="41">
        <f>J223/'1. Väestöennuste'!L223*1000</f>
        <v>-564.30432639744197</v>
      </c>
      <c r="AD223" s="41">
        <f>K223/'1. Väestöennuste'!M223*1000</f>
        <v>-283.6060048562793</v>
      </c>
      <c r="AE223" s="41">
        <f>L223/'1. Väestöennuste'!N223*1000</f>
        <v>-551.7332111643143</v>
      </c>
      <c r="AF223" s="41">
        <f>M223/'1. Väestöennuste'!O223*1000</f>
        <v>-629.34884140577992</v>
      </c>
      <c r="AG223" s="41">
        <f>N223/'1. Väestöennuste'!P223*1000</f>
        <v>-614.3064598563617</v>
      </c>
      <c r="AH223" s="41">
        <f>O223/'1. Väestöennuste'!Q223*1000</f>
        <v>-632.01071683926341</v>
      </c>
      <c r="AI223" s="41">
        <f>P223/'1. Väestöennuste'!R223*1000</f>
        <v>-612.84076720152746</v>
      </c>
    </row>
    <row r="224" spans="1:35" x14ac:dyDescent="0.2">
      <c r="A224" s="34">
        <v>686</v>
      </c>
      <c r="B224" s="88" t="s">
        <v>538</v>
      </c>
      <c r="C224" s="41" t="e">
        <f>Vuosikate!C224+'7. Nettoinvestoinnit '!C224+'8. Satunnaiset erät'!C224+'9. Tulorahkorjauserät'!C224</f>
        <v>#REF!</v>
      </c>
      <c r="D224" s="41">
        <f>Vuosikate!D224+'7. Nettoinvestoinnit '!D224+'8. Satunnaiset erät'!D224+'9. Tulorahkorjauserät'!D224</f>
        <v>1223</v>
      </c>
      <c r="E224" s="41">
        <f>Vuosikate!E224+'7. Nettoinvestoinnit '!E224+'8. Satunnaiset erät'!E224+'9. Tulorahkorjauserät'!E224</f>
        <v>-458</v>
      </c>
      <c r="F224" s="41">
        <f>Vuosikate!F224+'7. Nettoinvestoinnit '!F224+'8. Satunnaiset erät'!F224+'9. Tulorahkorjauserät'!F224</f>
        <v>-1589</v>
      </c>
      <c r="G224" s="41">
        <f>Vuosikate!G224+'7. Nettoinvestoinnit '!G224+'8. Satunnaiset erät'!G224+'9. Tulorahkorjauserät'!G224</f>
        <v>-2273</v>
      </c>
      <c r="H224" s="41">
        <f>Vuosikate!H224+'7. Nettoinvestoinnit '!H224+'8. Satunnaiset erät'!H224+'9. Tulorahkorjauserät'!H224</f>
        <v>-64.276307892596378</v>
      </c>
      <c r="I224" s="41">
        <f>Vuosikate!I224+'7. Nettoinvestoinnit '!I224+'8. Satunnaiset erät'!I224+'9. Tulorahkorjauserät'!I224</f>
        <v>283.71902213981093</v>
      </c>
      <c r="J224" s="41">
        <f>Vuosikate!J224+'7. Nettoinvestoinnit '!J224+'8. Satunnaiset erät'!J224+'9. Tulorahkorjauserät'!J224</f>
        <v>1255.2092599022415</v>
      </c>
      <c r="K224" s="41">
        <f>Vuosikate!K224+'7. Nettoinvestoinnit '!K224+'8. Satunnaiset erät'!K224+'9. Tulorahkorjauserät'!K224</f>
        <v>777.77267108475189</v>
      </c>
      <c r="L224" s="41">
        <f>Vuosikate!L224+'7. Nettoinvestoinnit '!L224+'8. Satunnaiset erät'!L224+'9. Tulorahkorjauserät'!L224</f>
        <v>825.96614839069002</v>
      </c>
      <c r="M224" s="41">
        <f>Vuosikate!M224+'7. Nettoinvestoinnit '!M224+'8. Satunnaiset erät'!M224+'9. Tulorahkorjauserät'!M224</f>
        <v>-235.71043159116761</v>
      </c>
      <c r="N224" s="41">
        <f>Vuosikate!N224+'7. Nettoinvestoinnit '!N224+'8. Satunnaiset erät'!N224+'9. Tulorahkorjauserät'!N224</f>
        <v>-404.83627905471434</v>
      </c>
      <c r="O224" s="41">
        <f>Vuosikate!O224+'7. Nettoinvestoinnit '!O224+'8. Satunnaiset erät'!O224+'9. Tulorahkorjauserät'!O224</f>
        <v>-578.18107140486393</v>
      </c>
      <c r="P224" s="41">
        <f>Vuosikate!P224+'7. Nettoinvestoinnit '!P224+'8. Satunnaiset erät'!P224+'9. Tulorahkorjauserät'!P224</f>
        <v>-311.78113284912274</v>
      </c>
      <c r="T224" s="34">
        <v>686</v>
      </c>
      <c r="U224" s="88" t="s">
        <v>538</v>
      </c>
      <c r="V224" s="41" t="e">
        <f>C224/'1. Väestöennuste'!E224*1000</f>
        <v>#REF!</v>
      </c>
      <c r="W224" s="41">
        <f>D224/'1. Väestöennuste'!F224*1000</f>
        <v>371.95863746958634</v>
      </c>
      <c r="X224" s="41">
        <f>E224/'1. Väestöennuste'!G224*1000</f>
        <v>-140.70660522273425</v>
      </c>
      <c r="Y224" s="41">
        <f>F224/'1. Väestöennuste'!H224*1000</f>
        <v>-497.18397997496874</v>
      </c>
      <c r="Z224" s="41">
        <f>G224/'1. Väestöennuste'!I224*1000</f>
        <v>-728.29221403396355</v>
      </c>
      <c r="AA224" s="41">
        <f>H224/'1. Väestöennuste'!J224*1000</f>
        <v>-21.053490957286726</v>
      </c>
      <c r="AB224" s="41">
        <f>I224/'1. Väestöennuste'!K224*1000</f>
        <v>93.544023125555867</v>
      </c>
      <c r="AC224" s="41">
        <f>J224/'1. Väestöennuste'!L224*1000</f>
        <v>423.48490550008142</v>
      </c>
      <c r="AD224" s="41">
        <f>K224/'1. Väestöennuste'!M224*1000</f>
        <v>265.17990831392837</v>
      </c>
      <c r="AE224" s="41">
        <f>L224/'1. Väestöennuste'!N224*1000</f>
        <v>288.09422685409487</v>
      </c>
      <c r="AF224" s="41">
        <f>M224/'1. Väestöennuste'!O224*1000</f>
        <v>-83.585259429492055</v>
      </c>
      <c r="AG224" s="41">
        <f>N224/'1. Väestöennuste'!P224*1000</f>
        <v>-145.62456081104833</v>
      </c>
      <c r="AH224" s="41">
        <f>O224/'1. Väestöennuste'!Q224*1000</f>
        <v>-210.86107636938874</v>
      </c>
      <c r="AI224" s="41">
        <f>P224/'1. Väestöennuste'!R224*1000</f>
        <v>-115.30367339094775</v>
      </c>
    </row>
    <row r="225" spans="1:35" x14ac:dyDescent="0.2">
      <c r="A225" s="34">
        <v>687</v>
      </c>
      <c r="B225" s="88" t="s">
        <v>539</v>
      </c>
      <c r="C225" s="41" t="e">
        <f>Vuosikate!C225+'7. Nettoinvestoinnit '!C225+'8. Satunnaiset erät'!C225+'9. Tulorahkorjauserät'!C225</f>
        <v>#REF!</v>
      </c>
      <c r="D225" s="41">
        <f>Vuosikate!D225+'7. Nettoinvestoinnit '!D225+'8. Satunnaiset erät'!D225+'9. Tulorahkorjauserät'!D225</f>
        <v>-1104</v>
      </c>
      <c r="E225" s="41">
        <f>Vuosikate!E225+'7. Nettoinvestoinnit '!E225+'8. Satunnaiset erät'!E225+'9. Tulorahkorjauserät'!E225</f>
        <v>406</v>
      </c>
      <c r="F225" s="41">
        <f>Vuosikate!F225+'7. Nettoinvestoinnit '!F225+'8. Satunnaiset erät'!F225+'9. Tulorahkorjauserät'!F225</f>
        <v>603</v>
      </c>
      <c r="G225" s="41">
        <f>Vuosikate!G225+'7. Nettoinvestoinnit '!G225+'8. Satunnaiset erät'!G225+'9. Tulorahkorjauserät'!G225</f>
        <v>103</v>
      </c>
      <c r="H225" s="41">
        <f>Vuosikate!H225+'7. Nettoinvestoinnit '!H225+'8. Satunnaiset erät'!H225+'9. Tulorahkorjauserät'!H225</f>
        <v>1668.0007618505333</v>
      </c>
      <c r="I225" s="41">
        <f>Vuosikate!I225+'7. Nettoinvestoinnit '!I225+'8. Satunnaiset erät'!I225+'9. Tulorahkorjauserät'!I225</f>
        <v>2813.5569976989668</v>
      </c>
      <c r="J225" s="41">
        <f>Vuosikate!J225+'7. Nettoinvestoinnit '!J225+'8. Satunnaiset erät'!J225+'9. Tulorahkorjauserät'!J225</f>
        <v>1645.8718038176251</v>
      </c>
      <c r="K225" s="41">
        <f>Vuosikate!K225+'7. Nettoinvestoinnit '!K225+'8. Satunnaiset erät'!K225+'9. Tulorahkorjauserät'!K225</f>
        <v>510.92508928932273</v>
      </c>
      <c r="L225" s="41">
        <f>Vuosikate!L225+'7. Nettoinvestoinnit '!L225+'8. Satunnaiset erät'!L225+'9. Tulorahkorjauserät'!L225</f>
        <v>476.32918053228673</v>
      </c>
      <c r="M225" s="41">
        <f>Vuosikate!M225+'7. Nettoinvestoinnit '!M225+'8. Satunnaiset erät'!M225+'9. Tulorahkorjauserät'!M225</f>
        <v>433.55245303565277</v>
      </c>
      <c r="N225" s="41">
        <f>Vuosikate!N225+'7. Nettoinvestoinnit '!N225+'8. Satunnaiset erät'!N225+'9. Tulorahkorjauserät'!N225</f>
        <v>344.57301028218376</v>
      </c>
      <c r="O225" s="41">
        <f>Vuosikate!O225+'7. Nettoinvestoinnit '!O225+'8. Satunnaiset erät'!O225+'9. Tulorahkorjauserät'!O225</f>
        <v>310.48662555430576</v>
      </c>
      <c r="P225" s="41">
        <f>Vuosikate!P225+'7. Nettoinvestoinnit '!P225+'8. Satunnaiset erät'!P225+'9. Tulorahkorjauserät'!P225</f>
        <v>488.39564991128816</v>
      </c>
      <c r="T225" s="34">
        <v>687</v>
      </c>
      <c r="U225" s="88" t="s">
        <v>539</v>
      </c>
      <c r="V225" s="41" t="e">
        <f>C225/'1. Väestöennuste'!E225*1000</f>
        <v>#REF!</v>
      </c>
      <c r="W225" s="41">
        <f>D225/'1. Väestöennuste'!F225*1000</f>
        <v>-640.74289030760303</v>
      </c>
      <c r="X225" s="41">
        <f>E225/'1. Väestöennuste'!G225*1000</f>
        <v>239.10482921083627</v>
      </c>
      <c r="Y225" s="41">
        <f>F225/'1. Väestöennuste'!H225*1000</f>
        <v>365.23319200484553</v>
      </c>
      <c r="Z225" s="41">
        <f>G225/'1. Väestöennuste'!I225*1000</f>
        <v>64.294631710362054</v>
      </c>
      <c r="AA225" s="41">
        <f>H225/'1. Väestöennuste'!J225*1000</f>
        <v>1068.546292024685</v>
      </c>
      <c r="AB225" s="41">
        <f>I225/'1. Väestöennuste'!K225*1000</f>
        <v>1859.588233773276</v>
      </c>
      <c r="AC225" s="41">
        <f>J225/'1. Väestöennuste'!L225*1000</f>
        <v>1114.3343289218856</v>
      </c>
      <c r="AD225" s="41">
        <f>K225/'1. Väestöennuste'!M225*1000</f>
        <v>358.79570877059183</v>
      </c>
      <c r="AE225" s="41">
        <f>L225/'1. Väestöennuste'!N225*1000</f>
        <v>331.93671117232526</v>
      </c>
      <c r="AF225" s="41">
        <f>M225/'1. Väestöennuste'!O225*1000</f>
        <v>307.92077630373063</v>
      </c>
      <c r="AG225" s="41">
        <f>N225/'1. Väestöennuste'!P225*1000</f>
        <v>249.50978297044443</v>
      </c>
      <c r="AH225" s="41">
        <f>O225/'1. Väestöennuste'!Q225*1000</f>
        <v>229.1414210732884</v>
      </c>
      <c r="AI225" s="41">
        <f>P225/'1. Väestöennuste'!R225*1000</f>
        <v>366.93888047429613</v>
      </c>
    </row>
    <row r="226" spans="1:35" x14ac:dyDescent="0.2">
      <c r="A226" s="34">
        <v>689</v>
      </c>
      <c r="B226" s="88" t="s">
        <v>540</v>
      </c>
      <c r="C226" s="41" t="e">
        <f>Vuosikate!C226+'7. Nettoinvestoinnit '!C226+'8. Satunnaiset erät'!C226+'9. Tulorahkorjauserät'!C226</f>
        <v>#REF!</v>
      </c>
      <c r="D226" s="41">
        <f>Vuosikate!D226+'7. Nettoinvestoinnit '!D226+'8. Satunnaiset erät'!D226+'9. Tulorahkorjauserät'!D226</f>
        <v>-1449</v>
      </c>
      <c r="E226" s="41">
        <f>Vuosikate!E226+'7. Nettoinvestoinnit '!E226+'8. Satunnaiset erät'!E226+'9. Tulorahkorjauserät'!E226</f>
        <v>1510</v>
      </c>
      <c r="F226" s="41">
        <f>Vuosikate!F226+'7. Nettoinvestoinnit '!F226+'8. Satunnaiset erät'!F226+'9. Tulorahkorjauserät'!F226</f>
        <v>1157</v>
      </c>
      <c r="G226" s="41">
        <f>Vuosikate!G226+'7. Nettoinvestoinnit '!G226+'8. Satunnaiset erät'!G226+'9. Tulorahkorjauserät'!G226</f>
        <v>99</v>
      </c>
      <c r="H226" s="41">
        <f>Vuosikate!H226+'7. Nettoinvestoinnit '!H226+'8. Satunnaiset erät'!H226+'9. Tulorahkorjauserät'!H226</f>
        <v>799.65142720147924</v>
      </c>
      <c r="I226" s="41">
        <f>Vuosikate!I226+'7. Nettoinvestoinnit '!I226+'8. Satunnaiset erät'!I226+'9. Tulorahkorjauserät'!I226</f>
        <v>1909.3518676001331</v>
      </c>
      <c r="J226" s="41">
        <f>Vuosikate!J226+'7. Nettoinvestoinnit '!J226+'8. Satunnaiset erät'!J226+'9. Tulorahkorjauserät'!J226</f>
        <v>817.56043234968092</v>
      </c>
      <c r="K226" s="41">
        <f>Vuosikate!K226+'7. Nettoinvestoinnit '!K226+'8. Satunnaiset erät'!K226+'9. Tulorahkorjauserät'!K226</f>
        <v>1734.7748534759201</v>
      </c>
      <c r="L226" s="41">
        <f>Vuosikate!L226+'7. Nettoinvestoinnit '!L226+'8. Satunnaiset erät'!L226+'9. Tulorahkorjauserät'!L226</f>
        <v>-121.65969244221537</v>
      </c>
      <c r="M226" s="41">
        <f>Vuosikate!M226+'7. Nettoinvestoinnit '!M226+'8. Satunnaiset erät'!M226+'9. Tulorahkorjauserät'!M226</f>
        <v>-532.95112885172625</v>
      </c>
      <c r="N226" s="41">
        <f>Vuosikate!N226+'7. Nettoinvestoinnit '!N226+'8. Satunnaiset erät'!N226+'9. Tulorahkorjauserät'!N226</f>
        <v>-67.949584464518011</v>
      </c>
      <c r="O226" s="41">
        <f>Vuosikate!O226+'7. Nettoinvestoinnit '!O226+'8. Satunnaiset erät'!O226+'9. Tulorahkorjauserät'!O226</f>
        <v>-448.50448847987116</v>
      </c>
      <c r="P226" s="41">
        <f>Vuosikate!P226+'7. Nettoinvestoinnit '!P226+'8. Satunnaiset erät'!P226+'9. Tulorahkorjauserät'!P226</f>
        <v>-3.5825946910756556</v>
      </c>
      <c r="T226" s="34">
        <v>689</v>
      </c>
      <c r="U226" s="88" t="s">
        <v>540</v>
      </c>
      <c r="V226" s="41" t="e">
        <f>C226/'1. Väestöennuste'!E226*1000</f>
        <v>#REF!</v>
      </c>
      <c r="W226" s="41">
        <f>D226/'1. Väestöennuste'!F226*1000</f>
        <v>-417.21854304635764</v>
      </c>
      <c r="X226" s="41">
        <f>E226/'1. Väestöennuste'!G226*1000</f>
        <v>439.46449359720606</v>
      </c>
      <c r="Y226" s="41">
        <f>F226/'1. Väestöennuste'!H226*1000</f>
        <v>346.9265367316342</v>
      </c>
      <c r="Z226" s="41">
        <f>G226/'1. Väestöennuste'!I226*1000</f>
        <v>30.688158710477371</v>
      </c>
      <c r="AA226" s="41">
        <f>H226/'1. Väestöennuste'!J226*1000</f>
        <v>254.18036465399845</v>
      </c>
      <c r="AB226" s="41">
        <f>I226/'1. Väestöennuste'!K226*1000</f>
        <v>617.5135406210004</v>
      </c>
      <c r="AC226" s="41">
        <f>J226/'1. Väestöennuste'!L226*1000</f>
        <v>264.32603697047557</v>
      </c>
      <c r="AD226" s="41">
        <f>K226/'1. Väestöennuste'!M226*1000</f>
        <v>572.15529468203158</v>
      </c>
      <c r="AE226" s="41">
        <f>L226/'1. Väestöennuste'!N226*1000</f>
        <v>-42.553232753485617</v>
      </c>
      <c r="AF226" s="41">
        <f>M226/'1. Väestöennuste'!O226*1000</f>
        <v>-190.40769162262461</v>
      </c>
      <c r="AG226" s="41">
        <f>N226/'1. Väestöennuste'!P226*1000</f>
        <v>-24.781030074587164</v>
      </c>
      <c r="AH226" s="41">
        <f>O226/'1. Väestöennuste'!Q226*1000</f>
        <v>-166.79229768682453</v>
      </c>
      <c r="AI226" s="41">
        <f>P226/'1. Väestöennuste'!R226*1000</f>
        <v>-1.3575576699794072</v>
      </c>
    </row>
    <row r="227" spans="1:35" x14ac:dyDescent="0.2">
      <c r="A227" s="34">
        <v>691</v>
      </c>
      <c r="B227" s="88" t="s">
        <v>541</v>
      </c>
      <c r="C227" s="41" t="e">
        <f>Vuosikate!C227+'7. Nettoinvestoinnit '!C227+'8. Satunnaiset erät'!C227+'9. Tulorahkorjauserät'!C227</f>
        <v>#REF!</v>
      </c>
      <c r="D227" s="41">
        <f>Vuosikate!D227+'7. Nettoinvestoinnit '!D227+'8. Satunnaiset erät'!D227+'9. Tulorahkorjauserät'!D227</f>
        <v>-4793</v>
      </c>
      <c r="E227" s="41">
        <f>Vuosikate!E227+'7. Nettoinvestoinnit '!E227+'8. Satunnaiset erät'!E227+'9. Tulorahkorjauserät'!E227</f>
        <v>-5814</v>
      </c>
      <c r="F227" s="41">
        <f>Vuosikate!F227+'7. Nettoinvestoinnit '!F227+'8. Satunnaiset erät'!F227+'9. Tulorahkorjauserät'!F227</f>
        <v>-1571</v>
      </c>
      <c r="G227" s="41">
        <f>Vuosikate!G227+'7. Nettoinvestoinnit '!G227+'8. Satunnaiset erät'!G227+'9. Tulorahkorjauserät'!G227</f>
        <v>-3272</v>
      </c>
      <c r="H227" s="41">
        <f>Vuosikate!H227+'7. Nettoinvestoinnit '!H227+'8. Satunnaiset erät'!H227+'9. Tulorahkorjauserät'!H227</f>
        <v>96.733668975741239</v>
      </c>
      <c r="I227" s="41">
        <f>Vuosikate!I227+'7. Nettoinvestoinnit '!I227+'8. Satunnaiset erät'!I227+'9. Tulorahkorjauserät'!I227</f>
        <v>1411.2778220734731</v>
      </c>
      <c r="J227" s="41">
        <f>Vuosikate!J227+'7. Nettoinvestoinnit '!J227+'8. Satunnaiset erät'!J227+'9. Tulorahkorjauserät'!J227</f>
        <v>588.30395100989585</v>
      </c>
      <c r="K227" s="41">
        <f>Vuosikate!K227+'7. Nettoinvestoinnit '!K227+'8. Satunnaiset erät'!K227+'9. Tulorahkorjauserät'!K227</f>
        <v>549.1183855327447</v>
      </c>
      <c r="L227" s="41">
        <f>Vuosikate!L227+'7. Nettoinvestoinnit '!L227+'8. Satunnaiset erät'!L227+'9. Tulorahkorjauserät'!L227</f>
        <v>825.82382003862028</v>
      </c>
      <c r="M227" s="41">
        <f>Vuosikate!M227+'7. Nettoinvestoinnit '!M227+'8. Satunnaiset erät'!M227+'9. Tulorahkorjauserät'!M227</f>
        <v>-477.28160318549686</v>
      </c>
      <c r="N227" s="41">
        <f>Vuosikate!N227+'7. Nettoinvestoinnit '!N227+'8. Satunnaiset erät'!N227+'9. Tulorahkorjauserät'!N227</f>
        <v>-330.73110708713421</v>
      </c>
      <c r="O227" s="41">
        <f>Vuosikate!O227+'7. Nettoinvestoinnit '!O227+'8. Satunnaiset erät'!O227+'9. Tulorahkorjauserät'!O227</f>
        <v>-499.56353937628239</v>
      </c>
      <c r="P227" s="41">
        <f>Vuosikate!P227+'7. Nettoinvestoinnit '!P227+'8. Satunnaiset erät'!P227+'9. Tulorahkorjauserät'!P227</f>
        <v>-270.7048496314228</v>
      </c>
      <c r="T227" s="34">
        <v>691</v>
      </c>
      <c r="U227" s="88" t="s">
        <v>541</v>
      </c>
      <c r="V227" s="41" t="e">
        <f>C227/'1. Väestöennuste'!E227*1000</f>
        <v>#REF!</v>
      </c>
      <c r="W227" s="41">
        <f>D227/'1. Väestöennuste'!F227*1000</f>
        <v>-1679.3973370707777</v>
      </c>
      <c r="X227" s="41">
        <f>E227/'1. Väestöennuste'!G227*1000</f>
        <v>-2066.8325630998934</v>
      </c>
      <c r="Y227" s="41">
        <f>F227/'1. Väestöennuste'!H227*1000</f>
        <v>-572.73058694859651</v>
      </c>
      <c r="Z227" s="41">
        <f>G227/'1. Väestöennuste'!I227*1000</f>
        <v>-1203.8263428991906</v>
      </c>
      <c r="AA227" s="41">
        <f>H227/'1. Väestöennuste'!J227*1000</f>
        <v>35.695080802856545</v>
      </c>
      <c r="AB227" s="41">
        <f>I227/'1. Väestöennuste'!K227*1000</f>
        <v>524.63859556634679</v>
      </c>
      <c r="AC227" s="41">
        <f>J227/'1. Väestöennuste'!L227*1000</f>
        <v>223.18055804624274</v>
      </c>
      <c r="AD227" s="41">
        <f>K227/'1. Väestöennuste'!M227*1000</f>
        <v>211.36196517811572</v>
      </c>
      <c r="AE227" s="41">
        <f>L227/'1. Väestöennuste'!N227*1000</f>
        <v>320.33507371552378</v>
      </c>
      <c r="AF227" s="41">
        <f>M227/'1. Väestöennuste'!O227*1000</f>
        <v>-187.46331625510481</v>
      </c>
      <c r="AG227" s="41">
        <f>N227/'1. Väestöennuste'!P227*1000</f>
        <v>-131.50342230104738</v>
      </c>
      <c r="AH227" s="41">
        <f>O227/'1. Väestöennuste'!Q227*1000</f>
        <v>-200.95073989391889</v>
      </c>
      <c r="AI227" s="41">
        <f>P227/'1. Väestöennuste'!R227*1000</f>
        <v>-110.26674119406223</v>
      </c>
    </row>
    <row r="228" spans="1:35" x14ac:dyDescent="0.2">
      <c r="A228" s="34">
        <v>694</v>
      </c>
      <c r="B228" s="88" t="s">
        <v>542</v>
      </c>
      <c r="C228" s="41" t="e">
        <f>Vuosikate!C228+'7. Nettoinvestoinnit '!C228+'8. Satunnaiset erät'!C228+'9. Tulorahkorjauserät'!C228</f>
        <v>#REF!</v>
      </c>
      <c r="D228" s="41">
        <f>Vuosikate!D228+'7. Nettoinvestoinnit '!D228+'8. Satunnaiset erät'!D228+'9. Tulorahkorjauserät'!D228</f>
        <v>-3683</v>
      </c>
      <c r="E228" s="41">
        <f>Vuosikate!E228+'7. Nettoinvestoinnit '!E228+'8. Satunnaiset erät'!E228+'9. Tulorahkorjauserät'!E228</f>
        <v>5097</v>
      </c>
      <c r="F228" s="41">
        <f>Vuosikate!F228+'7. Nettoinvestoinnit '!F228+'8. Satunnaiset erät'!F228+'9. Tulorahkorjauserät'!F228</f>
        <v>-2589</v>
      </c>
      <c r="G228" s="41">
        <f>Vuosikate!G228+'7. Nettoinvestoinnit '!G228+'8. Satunnaiset erät'!G228+'9. Tulorahkorjauserät'!G228</f>
        <v>47280</v>
      </c>
      <c r="H228" s="41">
        <f>Vuosikate!H228+'7. Nettoinvestoinnit '!H228+'8. Satunnaiset erät'!H228+'9. Tulorahkorjauserät'!H228</f>
        <v>12680.089861405642</v>
      </c>
      <c r="I228" s="41">
        <f>Vuosikate!I228+'7. Nettoinvestoinnit '!I228+'8. Satunnaiset erät'!I228+'9. Tulorahkorjauserät'!I228</f>
        <v>4922.8436601848007</v>
      </c>
      <c r="J228" s="41">
        <f>Vuosikate!J228+'7. Nettoinvestoinnit '!J228+'8. Satunnaiset erät'!J228+'9. Tulorahkorjauserät'!J228</f>
        <v>-682.98626734068148</v>
      </c>
      <c r="K228" s="41">
        <f>Vuosikate!K228+'7. Nettoinvestoinnit '!K228+'8. Satunnaiset erät'!K228+'9. Tulorahkorjauserät'!K228</f>
        <v>151.66752896111075</v>
      </c>
      <c r="L228" s="41">
        <f>Vuosikate!L228+'7. Nettoinvestoinnit '!L228+'8. Satunnaiset erät'!L228+'9. Tulorahkorjauserät'!L228</f>
        <v>-2861.0455848046604</v>
      </c>
      <c r="M228" s="41">
        <f>Vuosikate!M228+'7. Nettoinvestoinnit '!M228+'8. Satunnaiset erät'!M228+'9. Tulorahkorjauserät'!M228</f>
        <v>-9397.8855217469045</v>
      </c>
      <c r="N228" s="41">
        <f>Vuosikate!N228+'7. Nettoinvestoinnit '!N228+'8. Satunnaiset erät'!N228+'9. Tulorahkorjauserät'!N228</f>
        <v>-10383.605351480477</v>
      </c>
      <c r="O228" s="41">
        <f>Vuosikate!O228+'7. Nettoinvestoinnit '!O228+'8. Satunnaiset erät'!O228+'9. Tulorahkorjauserät'!O228</f>
        <v>-10525.499256978168</v>
      </c>
      <c r="P228" s="41">
        <f>Vuosikate!P228+'7. Nettoinvestoinnit '!P228+'8. Satunnaiset erät'!P228+'9. Tulorahkorjauserät'!P228</f>
        <v>-9955.0014871015974</v>
      </c>
      <c r="T228" s="34">
        <v>694</v>
      </c>
      <c r="U228" s="88" t="s">
        <v>542</v>
      </c>
      <c r="V228" s="41" t="e">
        <f>C228/'1. Väestöennuste'!E228*1000</f>
        <v>#REF!</v>
      </c>
      <c r="W228" s="41">
        <f>D228/'1. Väestöennuste'!F228*1000</f>
        <v>-126.3031550068587</v>
      </c>
      <c r="X228" s="41">
        <f>E228/'1. Väestöennuste'!G228*1000</f>
        <v>175.63143930257399</v>
      </c>
      <c r="Y228" s="41">
        <f>F228/'1. Väestöennuste'!H228*1000</f>
        <v>-90.096046770601333</v>
      </c>
      <c r="Z228" s="41">
        <f>G228/'1. Väestöennuste'!I228*1000</f>
        <v>1642.0657798770535</v>
      </c>
      <c r="AA228" s="41">
        <f>H228/'1. Väestöennuste'!J228*1000</f>
        <v>441.66108886818677</v>
      </c>
      <c r="AB228" s="41">
        <f>I228/'1. Väestöennuste'!K228*1000</f>
        <v>172.60417447441537</v>
      </c>
      <c r="AC228" s="41">
        <f>J228/'1. Väestöennuste'!L228*1000</f>
        <v>-24.092076169906576</v>
      </c>
      <c r="AD228" s="41">
        <f>K228/'1. Väestöennuste'!M228*1000</f>
        <v>5.32484390552648</v>
      </c>
      <c r="AE228" s="41">
        <f>L228/'1. Väestöennuste'!N228*1000</f>
        <v>-101.11488195103942</v>
      </c>
      <c r="AF228" s="41">
        <f>M228/'1. Väestöennuste'!O228*1000</f>
        <v>-333.22290259004023</v>
      </c>
      <c r="AG228" s="41">
        <f>N228/'1. Väestöennuste'!P228*1000</f>
        <v>-369.39186593669433</v>
      </c>
      <c r="AH228" s="41">
        <f>O228/'1. Väestöennuste'!Q228*1000</f>
        <v>-375.68259474526781</v>
      </c>
      <c r="AI228" s="41">
        <f>P228/'1. Väestöennuste'!R228*1000</f>
        <v>-356.47788752780912</v>
      </c>
    </row>
    <row r="229" spans="1:35" x14ac:dyDescent="0.2">
      <c r="A229" s="89">
        <v>697</v>
      </c>
      <c r="B229" s="90" t="s">
        <v>543</v>
      </c>
      <c r="C229" s="41" t="e">
        <f>Vuosikate!C229+'7. Nettoinvestoinnit '!C229+'8. Satunnaiset erät'!C229+'9. Tulorahkorjauserät'!C229</f>
        <v>#REF!</v>
      </c>
      <c r="D229" s="41">
        <f>Vuosikate!D229+'7. Nettoinvestoinnit '!D229+'8. Satunnaiset erät'!D229+'9. Tulorahkorjauserät'!D229</f>
        <v>214</v>
      </c>
      <c r="E229" s="41">
        <f>Vuosikate!E229+'7. Nettoinvestoinnit '!E229+'8. Satunnaiset erät'!E229+'9. Tulorahkorjauserät'!E229</f>
        <v>163</v>
      </c>
      <c r="F229" s="41">
        <f>Vuosikate!F229+'7. Nettoinvestoinnit '!F229+'8. Satunnaiset erät'!F229+'9. Tulorahkorjauserät'!F229</f>
        <v>-179</v>
      </c>
      <c r="G229" s="41">
        <f>Vuosikate!G229+'7. Nettoinvestoinnit '!G229+'8. Satunnaiset erät'!G229+'9. Tulorahkorjauserät'!G229</f>
        <v>-18</v>
      </c>
      <c r="H229" s="41">
        <f>Vuosikate!H229+'7. Nettoinvestoinnit '!H229+'8. Satunnaiset erät'!H229+'9. Tulorahkorjauserät'!H229</f>
        <v>339.33239035044789</v>
      </c>
      <c r="I229" s="41">
        <f>Vuosikate!I229+'7. Nettoinvestoinnit '!I229+'8. Satunnaiset erät'!I229+'9. Tulorahkorjauserät'!I229</f>
        <v>744.06568957649438</v>
      </c>
      <c r="J229" s="41">
        <f>Vuosikate!J229+'7. Nettoinvestoinnit '!J229+'8. Satunnaiset erät'!J229+'9. Tulorahkorjauserät'!J229</f>
        <v>767.3091885991314</v>
      </c>
      <c r="K229" s="41">
        <f>Vuosikate!K229+'7. Nettoinvestoinnit '!K229+'8. Satunnaiset erät'!K229+'9. Tulorahkorjauserät'!K229</f>
        <v>101.54334981902306</v>
      </c>
      <c r="L229" s="41">
        <f>Vuosikate!L229+'7. Nettoinvestoinnit '!L229+'8. Satunnaiset erät'!L229+'9. Tulorahkorjauserät'!L229</f>
        <v>-60.602808672723071</v>
      </c>
      <c r="M229" s="41">
        <f>Vuosikate!M229+'7. Nettoinvestoinnit '!M229+'8. Satunnaiset erät'!M229+'9. Tulorahkorjauserät'!M229</f>
        <v>-293.18975482760618</v>
      </c>
      <c r="N229" s="41">
        <f>Vuosikate!N229+'7. Nettoinvestoinnit '!N229+'8. Satunnaiset erät'!N229+'9. Tulorahkorjauserät'!N229</f>
        <v>-328.0830345693231</v>
      </c>
      <c r="O229" s="41">
        <f>Vuosikate!O229+'7. Nettoinvestoinnit '!O229+'8. Satunnaiset erät'!O229+'9. Tulorahkorjauserät'!O229</f>
        <v>-387.32219140250584</v>
      </c>
      <c r="P229" s="41">
        <f>Vuosikate!P229+'7. Nettoinvestoinnit '!P229+'8. Satunnaiset erät'!P229+'9. Tulorahkorjauserät'!P229</f>
        <v>-255.44987025937149</v>
      </c>
      <c r="T229" s="89">
        <v>697</v>
      </c>
      <c r="U229" s="90" t="s">
        <v>543</v>
      </c>
      <c r="V229" s="41" t="e">
        <f>C229/'1. Väestöennuste'!E229*1000</f>
        <v>#REF!</v>
      </c>
      <c r="W229" s="41">
        <f>D229/'1. Väestöennuste'!F229*1000</f>
        <v>159.10780669144981</v>
      </c>
      <c r="X229" s="41">
        <f>E229/'1. Väestöennuste'!G229*1000</f>
        <v>123.7661351556568</v>
      </c>
      <c r="Y229" s="41">
        <f>F229/'1. Väestöennuste'!H229*1000</f>
        <v>-138.9751552795031</v>
      </c>
      <c r="Z229" s="41">
        <f>G229/'1. Väestöennuste'!I229*1000</f>
        <v>-14.150943396226415</v>
      </c>
      <c r="AA229" s="41">
        <f>H229/'1. Väestöennuste'!J229*1000</f>
        <v>274.7630691096744</v>
      </c>
      <c r="AB229" s="41">
        <f>I229/'1. Väestöennuste'!K229*1000</f>
        <v>614.93032196404499</v>
      </c>
      <c r="AC229" s="41">
        <f>J229/'1. Väestöennuste'!L229*1000</f>
        <v>653.58533952225844</v>
      </c>
      <c r="AD229" s="41">
        <f>K229/'1. Väestöennuste'!M229*1000</f>
        <v>87.236554827339404</v>
      </c>
      <c r="AE229" s="41">
        <f>L229/'1. Väestöennuste'!N229*1000</f>
        <v>-51.620791032983881</v>
      </c>
      <c r="AF229" s="41">
        <f>M229/'1. Väestöennuste'!O229*1000</f>
        <v>-251.44918938902759</v>
      </c>
      <c r="AG229" s="41">
        <f>N229/'1. Väestöennuste'!P229*1000</f>
        <v>-283.80885343367049</v>
      </c>
      <c r="AH229" s="41">
        <f>O229/'1. Väestöennuste'!Q229*1000</f>
        <v>-338.27265624672998</v>
      </c>
      <c r="AI229" s="41">
        <f>P229/'1. Väestöennuste'!R229*1000</f>
        <v>-224.67007058871724</v>
      </c>
    </row>
    <row r="230" spans="1:35" x14ac:dyDescent="0.2">
      <c r="A230" s="34">
        <v>698</v>
      </c>
      <c r="B230" s="88" t="s">
        <v>544</v>
      </c>
      <c r="C230" s="41" t="e">
        <f>Vuosikate!C230+'7. Nettoinvestoinnit '!C230+'8. Satunnaiset erät'!C230+'9. Tulorahkorjauserät'!C230</f>
        <v>#REF!</v>
      </c>
      <c r="D230" s="41">
        <f>Vuosikate!D230+'7. Nettoinvestoinnit '!D230+'8. Satunnaiset erät'!D230+'9. Tulorahkorjauserät'!D230</f>
        <v>3740</v>
      </c>
      <c r="E230" s="41">
        <f>Vuosikate!E230+'7. Nettoinvestoinnit '!E230+'8. Satunnaiset erät'!E230+'9. Tulorahkorjauserät'!E230</f>
        <v>478</v>
      </c>
      <c r="F230" s="41">
        <f>Vuosikate!F230+'7. Nettoinvestoinnit '!F230+'8. Satunnaiset erät'!F230+'9. Tulorahkorjauserät'!F230</f>
        <v>-29919</v>
      </c>
      <c r="G230" s="41">
        <f>Vuosikate!G230+'7. Nettoinvestoinnit '!G230+'8. Satunnaiset erät'!G230+'9. Tulorahkorjauserät'!G230</f>
        <v>-31504</v>
      </c>
      <c r="H230" s="41">
        <f>Vuosikate!H230+'7. Nettoinvestoinnit '!H230+'8. Satunnaiset erät'!H230+'9. Tulorahkorjauserät'!H230</f>
        <v>15458.373838072759</v>
      </c>
      <c r="I230" s="41">
        <f>Vuosikate!I230+'7. Nettoinvestoinnit '!I230+'8. Satunnaiset erät'!I230+'9. Tulorahkorjauserät'!I230</f>
        <v>11120.286395775123</v>
      </c>
      <c r="J230" s="41">
        <f>Vuosikate!J230+'7. Nettoinvestoinnit '!J230+'8. Satunnaiset erät'!J230+'9. Tulorahkorjauserät'!J230</f>
        <v>-4477.6708285906489</v>
      </c>
      <c r="K230" s="41">
        <f>Vuosikate!K230+'7. Nettoinvestoinnit '!K230+'8. Satunnaiset erät'!K230+'9. Tulorahkorjauserät'!K230</f>
        <v>13994.53408249454</v>
      </c>
      <c r="L230" s="41">
        <f>Vuosikate!L230+'7. Nettoinvestoinnit '!L230+'8. Satunnaiset erät'!L230+'9. Tulorahkorjauserät'!L230</f>
        <v>-14465.397578335611</v>
      </c>
      <c r="M230" s="41">
        <f>Vuosikate!M230+'7. Nettoinvestoinnit '!M230+'8. Satunnaiset erät'!M230+'9. Tulorahkorjauserät'!M230</f>
        <v>-26421.376250884787</v>
      </c>
      <c r="N230" s="41">
        <f>Vuosikate!N230+'7. Nettoinvestoinnit '!N230+'8. Satunnaiset erät'!N230+'9. Tulorahkorjauserät'!N230</f>
        <v>-24203.91271352856</v>
      </c>
      <c r="O230" s="41">
        <f>Vuosikate!O230+'7. Nettoinvestoinnit '!O230+'8. Satunnaiset erät'!O230+'9. Tulorahkorjauserät'!O230</f>
        <v>-24416.235033504687</v>
      </c>
      <c r="P230" s="41">
        <f>Vuosikate!P230+'7. Nettoinvestoinnit '!P230+'8. Satunnaiset erät'!P230+'9. Tulorahkorjauserät'!P230</f>
        <v>-21525.571624017579</v>
      </c>
      <c r="T230" s="34">
        <v>698</v>
      </c>
      <c r="U230" s="88" t="s">
        <v>544</v>
      </c>
      <c r="V230" s="41" t="e">
        <f>C230/'1. Väestöennuste'!E230*1000</f>
        <v>#REF!</v>
      </c>
      <c r="W230" s="41">
        <f>D230/'1. Väestöennuste'!F230*1000</f>
        <v>60.098664652665072</v>
      </c>
      <c r="X230" s="41">
        <f>E230/'1. Väestöennuste'!G230*1000</f>
        <v>7.6578019865427747</v>
      </c>
      <c r="Y230" s="41">
        <f>F230/'1. Väestöennuste'!H230*1000</f>
        <v>-475.49346810336607</v>
      </c>
      <c r="Z230" s="41">
        <f>G230/'1. Väestöennuste'!I230*1000</f>
        <v>-499.73033850448905</v>
      </c>
      <c r="AA230" s="41">
        <f>H230/'1. Väestöennuste'!J230*1000</f>
        <v>243.33166222882443</v>
      </c>
      <c r="AB230" s="41">
        <f>I230/'1. Väestöennuste'!K230*1000</f>
        <v>173.26716104355131</v>
      </c>
      <c r="AC230" s="41">
        <f>J230/'1. Väestöennuste'!L230*1000</f>
        <v>-69.383603139236826</v>
      </c>
      <c r="AD230" s="41">
        <f>K230/'1. Väestöennuste'!M230*1000</f>
        <v>214.35735199728182</v>
      </c>
      <c r="AE230" s="41">
        <f>L230/'1. Väestöennuste'!N230*1000</f>
        <v>-222.70561141649517</v>
      </c>
      <c r="AF230" s="41">
        <f>M230/'1. Väestöennuste'!O230*1000</f>
        <v>-404.90669012742381</v>
      </c>
      <c r="AG230" s="41">
        <f>N230/'1. Väestöennuste'!P230*1000</f>
        <v>-369.31112810169003</v>
      </c>
      <c r="AH230" s="41">
        <f>O230/'1. Väestöennuste'!Q230*1000</f>
        <v>-371.05612342337139</v>
      </c>
      <c r="AI230" s="41">
        <f>P230/'1. Väestöennuste'!R230*1000</f>
        <v>-325.92773944669585</v>
      </c>
    </row>
    <row r="231" spans="1:35" x14ac:dyDescent="0.2">
      <c r="A231" s="34">
        <v>700</v>
      </c>
      <c r="B231" s="88" t="s">
        <v>545</v>
      </c>
      <c r="C231" s="41" t="e">
        <f>Vuosikate!C231+'7. Nettoinvestoinnit '!C231+'8. Satunnaiset erät'!C231+'9. Tulorahkorjauserät'!C231</f>
        <v>#REF!</v>
      </c>
      <c r="D231" s="41">
        <f>Vuosikate!D231+'7. Nettoinvestoinnit '!D231+'8. Satunnaiset erät'!D231+'9. Tulorahkorjauserät'!D231</f>
        <v>1506</v>
      </c>
      <c r="E231" s="41">
        <f>Vuosikate!E231+'7. Nettoinvestoinnit '!E231+'8. Satunnaiset erät'!E231+'9. Tulorahkorjauserät'!E231</f>
        <v>-4795</v>
      </c>
      <c r="F231" s="41">
        <f>Vuosikate!F231+'7. Nettoinvestoinnit '!F231+'8. Satunnaiset erät'!F231+'9. Tulorahkorjauserät'!F231</f>
        <v>-6410</v>
      </c>
      <c r="G231" s="41">
        <f>Vuosikate!G231+'7. Nettoinvestoinnit '!G231+'8. Satunnaiset erät'!G231+'9. Tulorahkorjauserät'!G231</f>
        <v>1944</v>
      </c>
      <c r="H231" s="41">
        <f>Vuosikate!H231+'7. Nettoinvestoinnit '!H231+'8. Satunnaiset erät'!H231+'9. Tulorahkorjauserät'!H231</f>
        <v>4031.776653564666</v>
      </c>
      <c r="I231" s="41">
        <f>Vuosikate!I231+'7. Nettoinvestoinnit '!I231+'8. Satunnaiset erät'!I231+'9. Tulorahkorjauserät'!I231</f>
        <v>2089.361679323968</v>
      </c>
      <c r="J231" s="41">
        <f>Vuosikate!J231+'7. Nettoinvestoinnit '!J231+'8. Satunnaiset erät'!J231+'9. Tulorahkorjauserät'!J231</f>
        <v>-1562.6524112647589</v>
      </c>
      <c r="K231" s="41">
        <f>Vuosikate!K231+'7. Nettoinvestoinnit '!K231+'8. Satunnaiset erät'!K231+'9. Tulorahkorjauserät'!K231</f>
        <v>753.71605048489778</v>
      </c>
      <c r="L231" s="41">
        <f>Vuosikate!L231+'7. Nettoinvestoinnit '!L231+'8. Satunnaiset erät'!L231+'9. Tulorahkorjauserät'!L231</f>
        <v>-911.02222969041145</v>
      </c>
      <c r="M231" s="41">
        <f>Vuosikate!M231+'7. Nettoinvestoinnit '!M231+'8. Satunnaiset erät'!M231+'9. Tulorahkorjauserät'!M231</f>
        <v>-1602.9964354301239</v>
      </c>
      <c r="N231" s="41">
        <f>Vuosikate!N231+'7. Nettoinvestoinnit '!N231+'8. Satunnaiset erät'!N231+'9. Tulorahkorjauserät'!N231</f>
        <v>-1997.0144919587397</v>
      </c>
      <c r="O231" s="41">
        <f>Vuosikate!O231+'7. Nettoinvestoinnit '!O231+'8. Satunnaiset erät'!O231+'9. Tulorahkorjauserät'!O231</f>
        <v>-2445.0286781256277</v>
      </c>
      <c r="P231" s="41">
        <f>Vuosikate!P231+'7. Nettoinvestoinnit '!P231+'8. Satunnaiset erät'!P231+'9. Tulorahkorjauserät'!P231</f>
        <v>-2178.5483739180672</v>
      </c>
      <c r="T231" s="34">
        <v>700</v>
      </c>
      <c r="U231" s="88" t="s">
        <v>545</v>
      </c>
      <c r="V231" s="41" t="e">
        <f>C231/'1. Väestöennuste'!E231*1000</f>
        <v>#REF!</v>
      </c>
      <c r="W231" s="41">
        <f>D231/'1. Väestöennuste'!F231*1000</f>
        <v>287.13060057197333</v>
      </c>
      <c r="X231" s="41">
        <f>E231/'1. Väestöennuste'!G231*1000</f>
        <v>-918.93445764660783</v>
      </c>
      <c r="Y231" s="41">
        <f>F231/'1. Väestöennuste'!H231*1000</f>
        <v>-1257.1092371053148</v>
      </c>
      <c r="Z231" s="41">
        <f>G231/'1. Väestöennuste'!I231*1000</f>
        <v>389.26712054465355</v>
      </c>
      <c r="AA231" s="41">
        <f>H231/'1. Väestöennuste'!J231*1000</f>
        <v>819.13381827807109</v>
      </c>
      <c r="AB231" s="41">
        <f>I231/'1. Väestöennuste'!K231*1000</f>
        <v>425.27206988071811</v>
      </c>
      <c r="AC231" s="41">
        <f>J231/'1. Väestöennuste'!L231*1000</f>
        <v>-322.72870947227574</v>
      </c>
      <c r="AD231" s="41">
        <f>K231/'1. Väestöennuste'!M231*1000</f>
        <v>158.4102670207856</v>
      </c>
      <c r="AE231" s="41">
        <f>L231/'1. Väestöennuste'!N231*1000</f>
        <v>-196.4256640125941</v>
      </c>
      <c r="AF231" s="41">
        <f>M231/'1. Väestöennuste'!O231*1000</f>
        <v>-350.45833743553214</v>
      </c>
      <c r="AG231" s="41">
        <f>N231/'1. Väestöennuste'!P231*1000</f>
        <v>-442.60072960078452</v>
      </c>
      <c r="AH231" s="41">
        <f>O231/'1. Väestöennuste'!Q231*1000</f>
        <v>-549.32120380265735</v>
      </c>
      <c r="AI231" s="41">
        <f>P231/'1. Väestöennuste'!R231*1000</f>
        <v>-496.36554429666603</v>
      </c>
    </row>
    <row r="232" spans="1:35" x14ac:dyDescent="0.2">
      <c r="A232" s="34">
        <v>702</v>
      </c>
      <c r="B232" s="88" t="s">
        <v>546</v>
      </c>
      <c r="C232" s="41" t="e">
        <f>Vuosikate!C232+'7. Nettoinvestoinnit '!C232+'8. Satunnaiset erät'!C232+'9. Tulorahkorjauserät'!C232</f>
        <v>#REF!</v>
      </c>
      <c r="D232" s="41">
        <f>Vuosikate!D232+'7. Nettoinvestoinnit '!D232+'8. Satunnaiset erät'!D232+'9. Tulorahkorjauserät'!D232</f>
        <v>2413</v>
      </c>
      <c r="E232" s="41">
        <f>Vuosikate!E232+'7. Nettoinvestoinnit '!E232+'8. Satunnaiset erät'!E232+'9. Tulorahkorjauserät'!E232</f>
        <v>1514</v>
      </c>
      <c r="F232" s="41">
        <f>Vuosikate!F232+'7. Nettoinvestoinnit '!F232+'8. Satunnaiset erät'!F232+'9. Tulorahkorjauserät'!F232</f>
        <v>261</v>
      </c>
      <c r="G232" s="41">
        <f>Vuosikate!G232+'7. Nettoinvestoinnit '!G232+'8. Satunnaiset erät'!G232+'9. Tulorahkorjauserät'!G232</f>
        <v>-1327</v>
      </c>
      <c r="H232" s="41">
        <f>Vuosikate!H232+'7. Nettoinvestoinnit '!H232+'8. Satunnaiset erät'!H232+'9. Tulorahkorjauserät'!H232</f>
        <v>-223.77650081233696</v>
      </c>
      <c r="I232" s="41">
        <f>Vuosikate!I232+'7. Nettoinvestoinnit '!I232+'8. Satunnaiset erät'!I232+'9. Tulorahkorjauserät'!I232</f>
        <v>-502.14310654077667</v>
      </c>
      <c r="J232" s="41">
        <f>Vuosikate!J232+'7. Nettoinvestoinnit '!J232+'8. Satunnaiset erät'!J232+'9. Tulorahkorjauserät'!J232</f>
        <v>282.83271954506671</v>
      </c>
      <c r="K232" s="41">
        <f>Vuosikate!K232+'7. Nettoinvestoinnit '!K232+'8. Satunnaiset erät'!K232+'9. Tulorahkorjauserät'!K232</f>
        <v>719.40843430411212</v>
      </c>
      <c r="L232" s="41">
        <f>Vuosikate!L232+'7. Nettoinvestoinnit '!L232+'8. Satunnaiset erät'!L232+'9. Tulorahkorjauserät'!L232</f>
        <v>-74.656818013673501</v>
      </c>
      <c r="M232" s="41">
        <f>Vuosikate!M232+'7. Nettoinvestoinnit '!M232+'8. Satunnaiset erät'!M232+'9. Tulorahkorjauserät'!M232</f>
        <v>-742.12465708022819</v>
      </c>
      <c r="N232" s="41">
        <f>Vuosikate!N232+'7. Nettoinvestoinnit '!N232+'8. Satunnaiset erät'!N232+'9. Tulorahkorjauserät'!N232</f>
        <v>-1103.448809287451</v>
      </c>
      <c r="O232" s="41">
        <f>Vuosikate!O232+'7. Nettoinvestoinnit '!O232+'8. Satunnaiset erät'!O232+'9. Tulorahkorjauserät'!O232</f>
        <v>-1541.8734830266674</v>
      </c>
      <c r="P232" s="41">
        <f>Vuosikate!P232+'7. Nettoinvestoinnit '!P232+'8. Satunnaiset erät'!P232+'9. Tulorahkorjauserät'!P232</f>
        <v>-1192.0418145303747</v>
      </c>
      <c r="T232" s="34">
        <v>702</v>
      </c>
      <c r="U232" s="88" t="s">
        <v>546</v>
      </c>
      <c r="V232" s="41" t="e">
        <f>C232/'1. Väestöennuste'!E232*1000</f>
        <v>#REF!</v>
      </c>
      <c r="W232" s="41">
        <f>D232/'1. Väestöennuste'!F232*1000</f>
        <v>528.58707557502737</v>
      </c>
      <c r="X232" s="41">
        <f>E232/'1. Väestöennuste'!G232*1000</f>
        <v>339.53801300740076</v>
      </c>
      <c r="Y232" s="41">
        <f>F232/'1. Väestöennuste'!H232*1000</f>
        <v>59.345156889495222</v>
      </c>
      <c r="Z232" s="41">
        <f>G232/'1. Väestöennuste'!I232*1000</f>
        <v>-309.82955872052298</v>
      </c>
      <c r="AA232" s="41">
        <f>H232/'1. Väestöennuste'!J232*1000</f>
        <v>-53.090510275762028</v>
      </c>
      <c r="AB232" s="41">
        <f>I232/'1. Väestöennuste'!K232*1000</f>
        <v>-120.85273322281027</v>
      </c>
      <c r="AC232" s="41">
        <f>J232/'1. Väestöennuste'!L232*1000</f>
        <v>68.748838003176161</v>
      </c>
      <c r="AD232" s="41">
        <f>K232/'1. Väestöennuste'!M232*1000</f>
        <v>174.44433421535211</v>
      </c>
      <c r="AE232" s="41">
        <f>L232/'1. Väestöennuste'!N232*1000</f>
        <v>-19.128059957384959</v>
      </c>
      <c r="AF232" s="41">
        <f>M232/'1. Väestöennuste'!O232*1000</f>
        <v>-193.16102474758674</v>
      </c>
      <c r="AG232" s="41">
        <f>N232/'1. Väestöennuste'!P232*1000</f>
        <v>-291.30116401463863</v>
      </c>
      <c r="AH232" s="41">
        <f>O232/'1. Väestöennuste'!Q232*1000</f>
        <v>-412.48621803816678</v>
      </c>
      <c r="AI232" s="41">
        <f>P232/'1. Väestöennuste'!R232*1000</f>
        <v>-322.87156406564861</v>
      </c>
    </row>
    <row r="233" spans="1:35" x14ac:dyDescent="0.2">
      <c r="A233" s="34">
        <v>704</v>
      </c>
      <c r="B233" s="88" t="s">
        <v>547</v>
      </c>
      <c r="C233" s="41" t="e">
        <f>Vuosikate!C233+'7. Nettoinvestoinnit '!C233+'8. Satunnaiset erät'!C233+'9. Tulorahkorjauserät'!C233</f>
        <v>#REF!</v>
      </c>
      <c r="D233" s="41">
        <f>Vuosikate!D233+'7. Nettoinvestoinnit '!D233+'8. Satunnaiset erät'!D233+'9. Tulorahkorjauserät'!D233</f>
        <v>2966</v>
      </c>
      <c r="E233" s="41">
        <f>Vuosikate!E233+'7. Nettoinvestoinnit '!E233+'8. Satunnaiset erät'!E233+'9. Tulorahkorjauserät'!E233</f>
        <v>3655</v>
      </c>
      <c r="F233" s="41">
        <f>Vuosikate!F233+'7. Nettoinvestoinnit '!F233+'8. Satunnaiset erät'!F233+'9. Tulorahkorjauserät'!F233</f>
        <v>1158</v>
      </c>
      <c r="G233" s="41">
        <f>Vuosikate!G233+'7. Nettoinvestoinnit '!G233+'8. Satunnaiset erät'!G233+'9. Tulorahkorjauserät'!G233</f>
        <v>-4410</v>
      </c>
      <c r="H233" s="41">
        <f>Vuosikate!H233+'7. Nettoinvestoinnit '!H233+'8. Satunnaiset erät'!H233+'9. Tulorahkorjauserät'!H233</f>
        <v>2577.9192252957127</v>
      </c>
      <c r="I233" s="41">
        <f>Vuosikate!I233+'7. Nettoinvestoinnit '!I233+'8. Satunnaiset erät'!I233+'9. Tulorahkorjauserät'!I233</f>
        <v>-428.51897320545913</v>
      </c>
      <c r="J233" s="41">
        <f>Vuosikate!J233+'7. Nettoinvestoinnit '!J233+'8. Satunnaiset erät'!J233+'9. Tulorahkorjauserät'!J233</f>
        <v>-855.13390598614399</v>
      </c>
      <c r="K233" s="41">
        <f>Vuosikate!K233+'7. Nettoinvestoinnit '!K233+'8. Satunnaiset erät'!K233+'9. Tulorahkorjauserät'!K233</f>
        <v>-55.45641980779375</v>
      </c>
      <c r="L233" s="41">
        <f>Vuosikate!L233+'7. Nettoinvestoinnit '!L233+'8. Satunnaiset erät'!L233+'9. Tulorahkorjauserät'!L233</f>
        <v>-664.59527653345503</v>
      </c>
      <c r="M233" s="41">
        <f>Vuosikate!M233+'7. Nettoinvestoinnit '!M233+'8. Satunnaiset erät'!M233+'9. Tulorahkorjauserät'!M233</f>
        <v>-2656.4555030730776</v>
      </c>
      <c r="N233" s="41">
        <f>Vuosikate!N233+'7. Nettoinvestoinnit '!N233+'8. Satunnaiset erät'!N233+'9. Tulorahkorjauserät'!N233</f>
        <v>-2110.6781848724236</v>
      </c>
      <c r="O233" s="41">
        <f>Vuosikate!O233+'7. Nettoinvestoinnit '!O233+'8. Satunnaiset erät'!O233+'9. Tulorahkorjauserät'!O233</f>
        <v>-2186.2385207265579</v>
      </c>
      <c r="P233" s="41">
        <f>Vuosikate!P233+'7. Nettoinvestoinnit '!P233+'8. Satunnaiset erät'!P233+'9. Tulorahkorjauserät'!P233</f>
        <v>-2035.6287674251946</v>
      </c>
      <c r="T233" s="34">
        <v>704</v>
      </c>
      <c r="U233" s="88" t="s">
        <v>547</v>
      </c>
      <c r="V233" s="41" t="e">
        <f>C233/'1. Väestöennuste'!E233*1000</f>
        <v>#REF!</v>
      </c>
      <c r="W233" s="41">
        <f>D233/'1. Väestöennuste'!F233*1000</f>
        <v>483.29802835261523</v>
      </c>
      <c r="X233" s="41">
        <f>E233/'1. Väestöennuste'!G233*1000</f>
        <v>583.5861408270797</v>
      </c>
      <c r="Y233" s="41">
        <f>F233/'1. Väestöennuste'!H233*1000</f>
        <v>185.2503599424092</v>
      </c>
      <c r="Z233" s="41">
        <f>G233/'1. Väestöennuste'!I233*1000</f>
        <v>-697.01280227596021</v>
      </c>
      <c r="AA233" s="41">
        <f>H233/'1. Väestöennuste'!J233*1000</f>
        <v>405.71596243243829</v>
      </c>
      <c r="AB233" s="41">
        <f>I233/'1. Väestöennuste'!K233*1000</f>
        <v>-67.176512494977132</v>
      </c>
      <c r="AC233" s="41">
        <f>J233/'1. Väestöennuste'!L233*1000</f>
        <v>-133.03265494495085</v>
      </c>
      <c r="AD233" s="41">
        <f>K233/'1. Väestöennuste'!M233*1000</f>
        <v>-8.6165972355179861</v>
      </c>
      <c r="AE233" s="41">
        <f>L233/'1. Väestöennuste'!N233*1000</f>
        <v>-101.07912951079163</v>
      </c>
      <c r="AF233" s="41">
        <f>M233/'1. Väestöennuste'!O233*1000</f>
        <v>-400.37008335690695</v>
      </c>
      <c r="AG233" s="41">
        <f>N233/'1. Väestöennuste'!P233*1000</f>
        <v>-315.45033401172071</v>
      </c>
      <c r="AH233" s="41">
        <f>O233/'1. Väestöennuste'!Q233*1000</f>
        <v>-324.03120212339678</v>
      </c>
      <c r="AI233" s="41">
        <f>P233/'1. Väestöennuste'!R233*1000</f>
        <v>-299.48929931222517</v>
      </c>
    </row>
    <row r="234" spans="1:35" x14ac:dyDescent="0.2">
      <c r="A234" s="34">
        <v>707</v>
      </c>
      <c r="B234" s="88" t="s">
        <v>548</v>
      </c>
      <c r="C234" s="41" t="e">
        <f>Vuosikate!C234+'7. Nettoinvestoinnit '!C234+'8. Satunnaiset erät'!C234+'9. Tulorahkorjauserät'!C234</f>
        <v>#REF!</v>
      </c>
      <c r="D234" s="41">
        <f>Vuosikate!D234+'7. Nettoinvestoinnit '!D234+'8. Satunnaiset erät'!D234+'9. Tulorahkorjauserät'!D234</f>
        <v>965</v>
      </c>
      <c r="E234" s="41">
        <f>Vuosikate!E234+'7. Nettoinvestoinnit '!E234+'8. Satunnaiset erät'!E234+'9. Tulorahkorjauserät'!E234</f>
        <v>1449</v>
      </c>
      <c r="F234" s="41">
        <f>Vuosikate!F234+'7. Nettoinvestoinnit '!F234+'8. Satunnaiset erät'!F234+'9. Tulorahkorjauserät'!F234</f>
        <v>367</v>
      </c>
      <c r="G234" s="41">
        <f>Vuosikate!G234+'7. Nettoinvestoinnit '!G234+'8. Satunnaiset erät'!G234+'9. Tulorahkorjauserät'!G234</f>
        <v>-378</v>
      </c>
      <c r="H234" s="41">
        <f>Vuosikate!H234+'7. Nettoinvestoinnit '!H234+'8. Satunnaiset erät'!H234+'9. Tulorahkorjauserät'!H234</f>
        <v>-988.80065692292374</v>
      </c>
      <c r="I234" s="41">
        <f>Vuosikate!I234+'7. Nettoinvestoinnit '!I234+'8. Satunnaiset erät'!I234+'9. Tulorahkorjauserät'!I234</f>
        <v>313.67101385869512</v>
      </c>
      <c r="J234" s="41">
        <f>Vuosikate!J234+'7. Nettoinvestoinnit '!J234+'8. Satunnaiset erät'!J234+'9. Tulorahkorjauserät'!J234</f>
        <v>1536.6349626384399</v>
      </c>
      <c r="K234" s="41">
        <f>Vuosikate!K234+'7. Nettoinvestoinnit '!K234+'8. Satunnaiset erät'!K234+'9. Tulorahkorjauserät'!K234</f>
        <v>495.95613547052352</v>
      </c>
      <c r="L234" s="41">
        <f>Vuosikate!L234+'7. Nettoinvestoinnit '!L234+'8. Satunnaiset erät'!L234+'9. Tulorahkorjauserät'!L234</f>
        <v>435.66597377916764</v>
      </c>
      <c r="M234" s="41">
        <f>Vuosikate!M234+'7. Nettoinvestoinnit '!M234+'8. Satunnaiset erät'!M234+'9. Tulorahkorjauserät'!M234</f>
        <v>-931.48251324246257</v>
      </c>
      <c r="N234" s="41">
        <f>Vuosikate!N234+'7. Nettoinvestoinnit '!N234+'8. Satunnaiset erät'!N234+'9. Tulorahkorjauserät'!N234</f>
        <v>-1039.1650218204015</v>
      </c>
      <c r="O234" s="41">
        <f>Vuosikate!O234+'7. Nettoinvestoinnit '!O234+'8. Satunnaiset erät'!O234+'9. Tulorahkorjauserät'!O234</f>
        <v>-1185.8649836043746</v>
      </c>
      <c r="P234" s="41">
        <f>Vuosikate!P234+'7. Nettoinvestoinnit '!P234+'8. Satunnaiset erät'!P234+'9. Tulorahkorjauserät'!P234</f>
        <v>-931.76270185244834</v>
      </c>
      <c r="T234" s="34">
        <v>707</v>
      </c>
      <c r="U234" s="88" t="s">
        <v>548</v>
      </c>
      <c r="V234" s="41" t="e">
        <f>C234/'1. Väestöennuste'!E234*1000</f>
        <v>#REF!</v>
      </c>
      <c r="W234" s="41">
        <f>D234/'1. Väestöennuste'!F234*1000</f>
        <v>425.48500881834218</v>
      </c>
      <c r="X234" s="41">
        <f>E234/'1. Väestöennuste'!G234*1000</f>
        <v>646.875</v>
      </c>
      <c r="Y234" s="41">
        <f>F234/'1. Väestöennuste'!H234*1000</f>
        <v>168.27143512150388</v>
      </c>
      <c r="Z234" s="41">
        <f>G234/'1. Väestöennuste'!I234*1000</f>
        <v>-177.79868297271872</v>
      </c>
      <c r="AA234" s="41">
        <f>H234/'1. Väestöennuste'!J234*1000</f>
        <v>-478.60631990460973</v>
      </c>
      <c r="AB234" s="41">
        <f>I234/'1. Väestöennuste'!K234*1000</f>
        <v>154.3656564265232</v>
      </c>
      <c r="AC234" s="41">
        <f>J234/'1. Väestöennuste'!L234*1000</f>
        <v>783.99742991757137</v>
      </c>
      <c r="AD234" s="41">
        <f>K234/'1. Väestöennuste'!M234*1000</f>
        <v>260.75506596767798</v>
      </c>
      <c r="AE234" s="41">
        <f>L234/'1. Väestöennuste'!N234*1000</f>
        <v>228.57606179389697</v>
      </c>
      <c r="AF234" s="41">
        <f>M234/'1. Väestöennuste'!O234*1000</f>
        <v>-496.52585993734675</v>
      </c>
      <c r="AG234" s="41">
        <f>N234/'1. Väestöennuste'!P234*1000</f>
        <v>-562.62318452647617</v>
      </c>
      <c r="AH234" s="41">
        <f>O234/'1. Väestöennuste'!Q234*1000</f>
        <v>-651.93237141526913</v>
      </c>
      <c r="AI234" s="41">
        <f>P234/'1. Väestöennuste'!R234*1000</f>
        <v>-519.66687219879998</v>
      </c>
    </row>
    <row r="235" spans="1:35" x14ac:dyDescent="0.2">
      <c r="A235" s="34">
        <v>710</v>
      </c>
      <c r="B235" s="88" t="s">
        <v>549</v>
      </c>
      <c r="C235" s="41" t="e">
        <f>Vuosikate!C235+'7. Nettoinvestoinnit '!C235+'8. Satunnaiset erät'!C235+'9. Tulorahkorjauserät'!C235</f>
        <v>#REF!</v>
      </c>
      <c r="D235" s="41">
        <f>Vuosikate!D235+'7. Nettoinvestoinnit '!D235+'8. Satunnaiset erät'!D235+'9. Tulorahkorjauserät'!D235</f>
        <v>584</v>
      </c>
      <c r="E235" s="41">
        <f>Vuosikate!E235+'7. Nettoinvestoinnit '!E235+'8. Satunnaiset erät'!E235+'9. Tulorahkorjauserät'!E235</f>
        <v>12030</v>
      </c>
      <c r="F235" s="41">
        <f>Vuosikate!F235+'7. Nettoinvestoinnit '!F235+'8. Satunnaiset erät'!F235+'9. Tulorahkorjauserät'!F235</f>
        <v>-5973</v>
      </c>
      <c r="G235" s="41">
        <f>Vuosikate!G235+'7. Nettoinvestoinnit '!G235+'8. Satunnaiset erät'!G235+'9. Tulorahkorjauserät'!G235</f>
        <v>-11732</v>
      </c>
      <c r="H235" s="41">
        <f>Vuosikate!H235+'7. Nettoinvestoinnit '!H235+'8. Satunnaiset erät'!H235+'9. Tulorahkorjauserät'!H235</f>
        <v>6341.8135139469669</v>
      </c>
      <c r="I235" s="41">
        <f>Vuosikate!I235+'7. Nettoinvestoinnit '!I235+'8. Satunnaiset erät'!I235+'9. Tulorahkorjauserät'!I235</f>
        <v>4121.4208764066989</v>
      </c>
      <c r="J235" s="41">
        <f>Vuosikate!J235+'7. Nettoinvestoinnit '!J235+'8. Satunnaiset erät'!J235+'9. Tulorahkorjauserät'!J235</f>
        <v>-810.54935012601891</v>
      </c>
      <c r="K235" s="41">
        <f>Vuosikate!K235+'7. Nettoinvestoinnit '!K235+'8. Satunnaiset erät'!K235+'9. Tulorahkorjauserät'!K235</f>
        <v>7058.6941782867052</v>
      </c>
      <c r="L235" s="41">
        <f>Vuosikate!L235+'7. Nettoinvestoinnit '!L235+'8. Satunnaiset erät'!L235+'9. Tulorahkorjauserät'!L235</f>
        <v>-6792.9286878058974</v>
      </c>
      <c r="M235" s="41">
        <f>Vuosikate!M235+'7. Nettoinvestoinnit '!M235+'8. Satunnaiset erät'!M235+'9. Tulorahkorjauserät'!M235</f>
        <v>-7750.0051022655844</v>
      </c>
      <c r="N235" s="41">
        <f>Vuosikate!N235+'7. Nettoinvestoinnit '!N235+'8. Satunnaiset erät'!N235+'9. Tulorahkorjauserät'!N235</f>
        <v>-8245.7664852124417</v>
      </c>
      <c r="O235" s="41">
        <f>Vuosikate!O235+'7. Nettoinvestoinnit '!O235+'8. Satunnaiset erät'!O235+'9. Tulorahkorjauserät'!O235</f>
        <v>-7860.3519521847247</v>
      </c>
      <c r="P235" s="41">
        <f>Vuosikate!P235+'7. Nettoinvestoinnit '!P235+'8. Satunnaiset erät'!P235+'9. Tulorahkorjauserät'!P235</f>
        <v>-5875.25320943724</v>
      </c>
      <c r="T235" s="34">
        <v>710</v>
      </c>
      <c r="U235" s="88" t="s">
        <v>549</v>
      </c>
      <c r="V235" s="41" t="e">
        <f>C235/'1. Väestöennuste'!E235*1000</f>
        <v>#REF!</v>
      </c>
      <c r="W235" s="41">
        <f>D235/'1. Väestöennuste'!F235*1000</f>
        <v>20.799943013854755</v>
      </c>
      <c r="X235" s="41">
        <f>E235/'1. Väestöennuste'!G235*1000</f>
        <v>431.94140246310724</v>
      </c>
      <c r="Y235" s="41">
        <f>F235/'1. Väestöennuste'!H235*1000</f>
        <v>-216.47579008408235</v>
      </c>
      <c r="Z235" s="41">
        <f>G235/'1. Väestöennuste'!I235*1000</f>
        <v>-426.06042998256828</v>
      </c>
      <c r="AA235" s="41">
        <f>H235/'1. Väestöennuste'!J235*1000</f>
        <v>230.3768350024327</v>
      </c>
      <c r="AB235" s="41">
        <f>I235/'1. Väestöennuste'!K235*1000</f>
        <v>149.95709781715539</v>
      </c>
      <c r="AC235" s="41">
        <f>J235/'1. Väestöennuste'!L235*1000</f>
        <v>-29.683928445250821</v>
      </c>
      <c r="AD235" s="41">
        <f>K235/'1. Väestöennuste'!M235*1000</f>
        <v>259.42497623164047</v>
      </c>
      <c r="AE235" s="41">
        <f>L235/'1. Väestöennuste'!N235*1000</f>
        <v>-252.90129142985467</v>
      </c>
      <c r="AF235" s="41">
        <f>M235/'1. Väestöennuste'!O235*1000</f>
        <v>-290.16455510373225</v>
      </c>
      <c r="AG235" s="41">
        <f>N235/'1. Väestöennuste'!P235*1000</f>
        <v>-310.4113268036607</v>
      </c>
      <c r="AH235" s="41">
        <f>O235/'1. Väestöennuste'!Q235*1000</f>
        <v>-297.43640792313636</v>
      </c>
      <c r="AI235" s="41">
        <f>P235/'1. Väestöennuste'!R235*1000</f>
        <v>-223.4191432268791</v>
      </c>
    </row>
    <row r="236" spans="1:35" x14ac:dyDescent="0.2">
      <c r="A236" s="34">
        <v>729</v>
      </c>
      <c r="B236" s="88" t="s">
        <v>550</v>
      </c>
      <c r="C236" s="41" t="e">
        <f>Vuosikate!C236+'7. Nettoinvestoinnit '!C236+'8. Satunnaiset erät'!C236+'9. Tulorahkorjauserät'!C236</f>
        <v>#REF!</v>
      </c>
      <c r="D236" s="41">
        <f>Vuosikate!D236+'7. Nettoinvestoinnit '!D236+'8. Satunnaiset erät'!D236+'9. Tulorahkorjauserät'!D236</f>
        <v>1681</v>
      </c>
      <c r="E236" s="41">
        <f>Vuosikate!E236+'7. Nettoinvestoinnit '!E236+'8. Satunnaiset erät'!E236+'9. Tulorahkorjauserät'!E236</f>
        <v>10028</v>
      </c>
      <c r="F236" s="41">
        <f>Vuosikate!F236+'7. Nettoinvestoinnit '!F236+'8. Satunnaiset erät'!F236+'9. Tulorahkorjauserät'!F236</f>
        <v>599</v>
      </c>
      <c r="G236" s="41">
        <f>Vuosikate!G236+'7. Nettoinvestoinnit '!G236+'8. Satunnaiset erät'!G236+'9. Tulorahkorjauserät'!G236</f>
        <v>-424</v>
      </c>
      <c r="H236" s="41">
        <f>Vuosikate!H236+'7. Nettoinvestoinnit '!H236+'8. Satunnaiset erät'!H236+'9. Tulorahkorjauserät'!H236</f>
        <v>4578.9916243962725</v>
      </c>
      <c r="I236" s="41">
        <f>Vuosikate!I236+'7. Nettoinvestoinnit '!I236+'8. Satunnaiset erät'!I236+'9. Tulorahkorjauserät'!I236</f>
        <v>5940.8859896407503</v>
      </c>
      <c r="J236" s="41">
        <f>Vuosikate!J236+'7. Nettoinvestoinnit '!J236+'8. Satunnaiset erät'!J236+'9. Tulorahkorjauserät'!J236</f>
        <v>1820.8474029802242</v>
      </c>
      <c r="K236" s="41">
        <f>Vuosikate!K236+'7. Nettoinvestoinnit '!K236+'8. Satunnaiset erät'!K236+'9. Tulorahkorjauserät'!K236</f>
        <v>4098.4013696647789</v>
      </c>
      <c r="L236" s="41">
        <f>Vuosikate!L236+'7. Nettoinvestoinnit '!L236+'8. Satunnaiset erät'!L236+'9. Tulorahkorjauserät'!L236</f>
        <v>363.09865833648382</v>
      </c>
      <c r="M236" s="41">
        <f>Vuosikate!M236+'7. Nettoinvestoinnit '!M236+'8. Satunnaiset erät'!M236+'9. Tulorahkorjauserät'!M236</f>
        <v>-1900.4702740851417</v>
      </c>
      <c r="N236" s="41">
        <f>Vuosikate!N236+'7. Nettoinvestoinnit '!N236+'8. Satunnaiset erät'!N236+'9. Tulorahkorjauserät'!N236</f>
        <v>-1819.322624917394</v>
      </c>
      <c r="O236" s="41">
        <f>Vuosikate!O236+'7. Nettoinvestoinnit '!O236+'8. Satunnaiset erät'!O236+'9. Tulorahkorjauserät'!O236</f>
        <v>-1892.0294907250118</v>
      </c>
      <c r="P236" s="41">
        <f>Vuosikate!P236+'7. Nettoinvestoinnit '!P236+'8. Satunnaiset erät'!P236+'9. Tulorahkorjauserät'!P236</f>
        <v>-792.61616078299812</v>
      </c>
      <c r="T236" s="34">
        <v>729</v>
      </c>
      <c r="U236" s="88" t="s">
        <v>550</v>
      </c>
      <c r="V236" s="41" t="e">
        <f>C236/'1. Väestöennuste'!E236*1000</f>
        <v>#REF!</v>
      </c>
      <c r="W236" s="41">
        <f>D236/'1. Väestöennuste'!F236*1000</f>
        <v>173.47781217750259</v>
      </c>
      <c r="X236" s="41">
        <f>E236/'1. Väestöennuste'!G236*1000</f>
        <v>1045.7816247783919</v>
      </c>
      <c r="Y236" s="41">
        <f>F236/'1. Väestöennuste'!H236*1000</f>
        <v>63.621879978757306</v>
      </c>
      <c r="Z236" s="41">
        <f>G236/'1. Väestöennuste'!I236*1000</f>
        <v>-45.547319798044903</v>
      </c>
      <c r="AA236" s="41">
        <f>H236/'1. Väestöennuste'!J236*1000</f>
        <v>497.28405999090705</v>
      </c>
      <c r="AB236" s="41">
        <f>I236/'1. Väestöennuste'!K236*1000</f>
        <v>651.62728854236593</v>
      </c>
      <c r="AC236" s="41">
        <f>J236/'1. Väestöennuste'!L236*1000</f>
        <v>202.87993347969072</v>
      </c>
      <c r="AD236" s="41">
        <f>K236/'1. Väestöennuste'!M236*1000</f>
        <v>463.25323495702258</v>
      </c>
      <c r="AE236" s="41">
        <f>L236/'1. Väestöennuste'!N236*1000</f>
        <v>41.658863967012827</v>
      </c>
      <c r="AF236" s="41">
        <f>M236/'1. Väestöennuste'!O236*1000</f>
        <v>-220.93353569927245</v>
      </c>
      <c r="AG236" s="41">
        <f>N236/'1. Väestöennuste'!P236*1000</f>
        <v>-214.31530509098764</v>
      </c>
      <c r="AH236" s="41">
        <f>O236/'1. Väestöennuste'!Q236*1000</f>
        <v>-225.7253031167993</v>
      </c>
      <c r="AI236" s="41">
        <f>P236/'1. Väestöennuste'!R236*1000</f>
        <v>-95.749717417612715</v>
      </c>
    </row>
    <row r="237" spans="1:35" x14ac:dyDescent="0.2">
      <c r="A237" s="34">
        <v>732</v>
      </c>
      <c r="B237" s="88" t="s">
        <v>551</v>
      </c>
      <c r="C237" s="41" t="e">
        <f>Vuosikate!C237+'7. Nettoinvestoinnit '!C237+'8. Satunnaiset erät'!C237+'9. Tulorahkorjauserät'!C237</f>
        <v>#REF!</v>
      </c>
      <c r="D237" s="41">
        <f>Vuosikate!D237+'7. Nettoinvestoinnit '!D237+'8. Satunnaiset erät'!D237+'9. Tulorahkorjauserät'!D237</f>
        <v>787</v>
      </c>
      <c r="E237" s="41">
        <f>Vuosikate!E237+'7. Nettoinvestoinnit '!E237+'8. Satunnaiset erät'!E237+'9. Tulorahkorjauserät'!E237</f>
        <v>172</v>
      </c>
      <c r="F237" s="41">
        <f>Vuosikate!F237+'7. Nettoinvestoinnit '!F237+'8. Satunnaiset erät'!F237+'9. Tulorahkorjauserät'!F237</f>
        <v>866</v>
      </c>
      <c r="G237" s="41">
        <f>Vuosikate!G237+'7. Nettoinvestoinnit '!G237+'8. Satunnaiset erät'!G237+'9. Tulorahkorjauserät'!G237</f>
        <v>2901</v>
      </c>
      <c r="H237" s="41">
        <f>Vuosikate!H237+'7. Nettoinvestoinnit '!H237+'8. Satunnaiset erät'!H237+'9. Tulorahkorjauserät'!H237</f>
        <v>658.75401005346794</v>
      </c>
      <c r="I237" s="41">
        <f>Vuosikate!I237+'7. Nettoinvestoinnit '!I237+'8. Satunnaiset erät'!I237+'9. Tulorahkorjauserät'!I237</f>
        <v>56.656015037611667</v>
      </c>
      <c r="J237" s="41">
        <f>Vuosikate!J237+'7. Nettoinvestoinnit '!J237+'8. Satunnaiset erät'!J237+'9. Tulorahkorjauserät'!J237</f>
        <v>1865.2720994769741</v>
      </c>
      <c r="K237" s="41">
        <f>Vuosikate!K237+'7. Nettoinvestoinnit '!K237+'8. Satunnaiset erät'!K237+'9. Tulorahkorjauserät'!K237</f>
        <v>-1425.4474835823853</v>
      </c>
      <c r="L237" s="41">
        <f>Vuosikate!L237+'7. Nettoinvestoinnit '!L237+'8. Satunnaiset erät'!L237+'9. Tulorahkorjauserät'!L237</f>
        <v>-1297.5644204203659</v>
      </c>
      <c r="M237" s="41">
        <f>Vuosikate!M237+'7. Nettoinvestoinnit '!M237+'8. Satunnaiset erät'!M237+'9. Tulorahkorjauserät'!M237</f>
        <v>-1698.0687726958349</v>
      </c>
      <c r="N237" s="41">
        <f>Vuosikate!N237+'7. Nettoinvestoinnit '!N237+'8. Satunnaiset erät'!N237+'9. Tulorahkorjauserät'!N237</f>
        <v>-1639.2015828929816</v>
      </c>
      <c r="O237" s="41">
        <f>Vuosikate!O237+'7. Nettoinvestoinnit '!O237+'8. Satunnaiset erät'!O237+'9. Tulorahkorjauserät'!O237</f>
        <v>-2084.0568860988596</v>
      </c>
      <c r="P237" s="41">
        <f>Vuosikate!P237+'7. Nettoinvestoinnit '!P237+'8. Satunnaiset erät'!P237+'9. Tulorahkorjauserät'!P237</f>
        <v>-1798.8502422918277</v>
      </c>
      <c r="T237" s="34">
        <v>732</v>
      </c>
      <c r="U237" s="88" t="s">
        <v>551</v>
      </c>
      <c r="V237" s="41" t="e">
        <f>C237/'1. Väestöennuste'!E237*1000</f>
        <v>#REF!</v>
      </c>
      <c r="W237" s="41">
        <f>D237/'1. Väestöennuste'!F237*1000</f>
        <v>215.43936490555706</v>
      </c>
      <c r="X237" s="41">
        <f>E237/'1. Väestöennuste'!G237*1000</f>
        <v>48.111888111888113</v>
      </c>
      <c r="Y237" s="41">
        <f>F237/'1. Väestöennuste'!H237*1000</f>
        <v>248.06645660269263</v>
      </c>
      <c r="Z237" s="41">
        <f>G237/'1. Väestöennuste'!I237*1000</f>
        <v>853.23529411764707</v>
      </c>
      <c r="AA237" s="41">
        <f>H237/'1. Väestöennuste'!J237*1000</f>
        <v>193.35309951672087</v>
      </c>
      <c r="AB237" s="41">
        <f>I237/'1. Väestöennuste'!K237*1000</f>
        <v>16.585484495787959</v>
      </c>
      <c r="AC237" s="41">
        <f>J237/'1. Väestöennuste'!L237*1000</f>
        <v>559.13432238518408</v>
      </c>
      <c r="AD237" s="41">
        <f>K237/'1. Väestöennuste'!M237*1000</f>
        <v>-426.27018049712478</v>
      </c>
      <c r="AE237" s="41">
        <f>L237/'1. Väestöennuste'!N237*1000</f>
        <v>-408.81046642103524</v>
      </c>
      <c r="AF237" s="41">
        <f>M237/'1. Väestöennuste'!O237*1000</f>
        <v>-543.03446520493605</v>
      </c>
      <c r="AG237" s="41">
        <f>N237/'1. Väestöennuste'!P237*1000</f>
        <v>-532.03556731352865</v>
      </c>
      <c r="AH237" s="41">
        <f>O237/'1. Väestöennuste'!Q237*1000</f>
        <v>-685.9963417046938</v>
      </c>
      <c r="AI237" s="41">
        <f>P237/'1. Väestöennuste'!R237*1000</f>
        <v>-600.21696439500431</v>
      </c>
    </row>
    <row r="238" spans="1:35" x14ac:dyDescent="0.2">
      <c r="A238" s="34">
        <v>734</v>
      </c>
      <c r="B238" s="88" t="s">
        <v>552</v>
      </c>
      <c r="C238" s="41" t="e">
        <f>Vuosikate!C238+'7. Nettoinvestoinnit '!C238+'8. Satunnaiset erät'!C238+'9. Tulorahkorjauserät'!C238</f>
        <v>#REF!</v>
      </c>
      <c r="D238" s="41">
        <f>Vuosikate!D238+'7. Nettoinvestoinnit '!D238+'8. Satunnaiset erät'!D238+'9. Tulorahkorjauserät'!D238</f>
        <v>8312</v>
      </c>
      <c r="E238" s="41">
        <f>Vuosikate!E238+'7. Nettoinvestoinnit '!E238+'8. Satunnaiset erät'!E238+'9. Tulorahkorjauserät'!E238</f>
        <v>6788</v>
      </c>
      <c r="F238" s="41">
        <f>Vuosikate!F238+'7. Nettoinvestoinnit '!F238+'8. Satunnaiset erät'!F238+'9. Tulorahkorjauserät'!F238</f>
        <v>-12907</v>
      </c>
      <c r="G238" s="41">
        <f>Vuosikate!G238+'7. Nettoinvestoinnit '!G238+'8. Satunnaiset erät'!G238+'9. Tulorahkorjauserät'!G238</f>
        <v>-13747</v>
      </c>
      <c r="H238" s="41">
        <f>Vuosikate!H238+'7. Nettoinvestoinnit '!H238+'8. Satunnaiset erät'!H238+'9. Tulorahkorjauserät'!H238</f>
        <v>16078.305314844096</v>
      </c>
      <c r="I238" s="41">
        <f>Vuosikate!I238+'7. Nettoinvestoinnit '!I238+'8. Satunnaiset erät'!I238+'9. Tulorahkorjauserät'!I238</f>
        <v>3286.6531551285943</v>
      </c>
      <c r="J238" s="41">
        <f>Vuosikate!J238+'7. Nettoinvestoinnit '!J238+'8. Satunnaiset erät'!J238+'9. Tulorahkorjauserät'!J238</f>
        <v>11596.677964204187</v>
      </c>
      <c r="K238" s="41">
        <f>Vuosikate!K238+'7. Nettoinvestoinnit '!K238+'8. Satunnaiset erät'!K238+'9. Tulorahkorjauserät'!K238</f>
        <v>22836.609252120026</v>
      </c>
      <c r="L238" s="41">
        <f>Vuosikate!L238+'7. Nettoinvestoinnit '!L238+'8. Satunnaiset erät'!L238+'9. Tulorahkorjauserät'!L238</f>
        <v>1365.3617215821287</v>
      </c>
      <c r="M238" s="41">
        <f>Vuosikate!M238+'7. Nettoinvestoinnit '!M238+'8. Satunnaiset erät'!M238+'9. Tulorahkorjauserät'!M238</f>
        <v>-481.26778701055082</v>
      </c>
      <c r="N238" s="41">
        <f>Vuosikate!N238+'7. Nettoinvestoinnit '!N238+'8. Satunnaiset erät'!N238+'9. Tulorahkorjauserät'!N238</f>
        <v>1238.8516223784172</v>
      </c>
      <c r="O238" s="41">
        <f>Vuosikate!O238+'7. Nettoinvestoinnit '!O238+'8. Satunnaiset erät'!O238+'9. Tulorahkorjauserät'!O238</f>
        <v>1900.6216927648857</v>
      </c>
      <c r="P238" s="41">
        <f>Vuosikate!P238+'7. Nettoinvestoinnit '!P238+'8. Satunnaiset erät'!P238+'9. Tulorahkorjauserät'!P238</f>
        <v>6579.5094333958223</v>
      </c>
      <c r="T238" s="34">
        <v>734</v>
      </c>
      <c r="U238" s="88" t="s">
        <v>552</v>
      </c>
      <c r="V238" s="41" t="e">
        <f>C238/'1. Väestöennuste'!E238*1000</f>
        <v>#REF!</v>
      </c>
      <c r="W238" s="41">
        <f>D238/'1. Väestöennuste'!F238*1000</f>
        <v>155.23101632241438</v>
      </c>
      <c r="X238" s="41">
        <f>E238/'1. Väestöennuste'!G238*1000</f>
        <v>128.11414766722029</v>
      </c>
      <c r="Y238" s="41">
        <f>F238/'1. Väestöennuste'!H238*1000</f>
        <v>-246.68871007817128</v>
      </c>
      <c r="Z238" s="41">
        <f>G238/'1. Väestöennuste'!I238*1000</f>
        <v>-265.21713966006212</v>
      </c>
      <c r="AA238" s="41">
        <f>H238/'1. Väestöennuste'!J238*1000</f>
        <v>311.82470258803181</v>
      </c>
      <c r="AB238" s="41">
        <f>I238/'1. Väestöennuste'!K238*1000</f>
        <v>63.942668387715841</v>
      </c>
      <c r="AC238" s="41">
        <f>J238/'1. Väestöennuste'!L238*1000</f>
        <v>227.68495796839352</v>
      </c>
      <c r="AD238" s="41">
        <f>K238/'1. Väestöennuste'!M238*1000</f>
        <v>446.90037675381654</v>
      </c>
      <c r="AE238" s="41">
        <f>L238/'1. Väestöennuste'!N238*1000</f>
        <v>27.39434845974456</v>
      </c>
      <c r="AF238" s="41">
        <f>M238/'1. Väestöennuste'!O238*1000</f>
        <v>-9.7335932976812316</v>
      </c>
      <c r="AG238" s="41">
        <f>N238/'1. Väestöennuste'!P238*1000</f>
        <v>25.254339463427115</v>
      </c>
      <c r="AH238" s="41">
        <f>O238/'1. Väestöennuste'!Q238*1000</f>
        <v>39.042371618596285</v>
      </c>
      <c r="AI238" s="41">
        <f>P238/'1. Väestöennuste'!R238*1000</f>
        <v>136.16816228390121</v>
      </c>
    </row>
    <row r="239" spans="1:35" x14ac:dyDescent="0.2">
      <c r="A239" s="34">
        <v>738</v>
      </c>
      <c r="B239" s="88" t="s">
        <v>553</v>
      </c>
      <c r="C239" s="41" t="e">
        <f>Vuosikate!C239+'7. Nettoinvestoinnit '!C239+'8. Satunnaiset erät'!C239+'9. Tulorahkorjauserät'!C239</f>
        <v>#REF!</v>
      </c>
      <c r="D239" s="41">
        <f>Vuosikate!D239+'7. Nettoinvestoinnit '!D239+'8. Satunnaiset erät'!D239+'9. Tulorahkorjauserät'!D239</f>
        <v>412</v>
      </c>
      <c r="E239" s="41">
        <f>Vuosikate!E239+'7. Nettoinvestoinnit '!E239+'8. Satunnaiset erät'!E239+'9. Tulorahkorjauserät'!E239</f>
        <v>75</v>
      </c>
      <c r="F239" s="41">
        <f>Vuosikate!F239+'7. Nettoinvestoinnit '!F239+'8. Satunnaiset erät'!F239+'9. Tulorahkorjauserät'!F239</f>
        <v>26</v>
      </c>
      <c r="G239" s="41">
        <f>Vuosikate!G239+'7. Nettoinvestoinnit '!G239+'8. Satunnaiset erät'!G239+'9. Tulorahkorjauserät'!G239</f>
        <v>-1745</v>
      </c>
      <c r="H239" s="41">
        <f>Vuosikate!H239+'7. Nettoinvestoinnit '!H239+'8. Satunnaiset erät'!H239+'9. Tulorahkorjauserät'!H239</f>
        <v>-1036.6782543431273</v>
      </c>
      <c r="I239" s="41">
        <f>Vuosikate!I239+'7. Nettoinvestoinnit '!I239+'8. Satunnaiset erät'!I239+'9. Tulorahkorjauserät'!I239</f>
        <v>-1106.5387319218078</v>
      </c>
      <c r="J239" s="41">
        <f>Vuosikate!J239+'7. Nettoinvestoinnit '!J239+'8. Satunnaiset erät'!J239+'9. Tulorahkorjauserät'!J239</f>
        <v>344.20293961907544</v>
      </c>
      <c r="K239" s="41">
        <f>Vuosikate!K239+'7. Nettoinvestoinnit '!K239+'8. Satunnaiset erät'!K239+'9. Tulorahkorjauserät'!K239</f>
        <v>643.68808153082955</v>
      </c>
      <c r="L239" s="41">
        <f>Vuosikate!L239+'7. Nettoinvestoinnit '!L239+'8. Satunnaiset erät'!L239+'9. Tulorahkorjauserät'!L239</f>
        <v>-471.64569737517172</v>
      </c>
      <c r="M239" s="41">
        <f>Vuosikate!M239+'7. Nettoinvestoinnit '!M239+'8. Satunnaiset erät'!M239+'9. Tulorahkorjauserät'!M239</f>
        <v>-838.08756350639828</v>
      </c>
      <c r="N239" s="41">
        <f>Vuosikate!N239+'7. Nettoinvestoinnit '!N239+'8. Satunnaiset erät'!N239+'9. Tulorahkorjauserät'!N239</f>
        <v>-1058.8749406759903</v>
      </c>
      <c r="O239" s="41">
        <f>Vuosikate!O239+'7. Nettoinvestoinnit '!O239+'8. Satunnaiset erät'!O239+'9. Tulorahkorjauserät'!O239</f>
        <v>-1048.6389268553523</v>
      </c>
      <c r="P239" s="41">
        <f>Vuosikate!P239+'7. Nettoinvestoinnit '!P239+'8. Satunnaiset erät'!P239+'9. Tulorahkorjauserät'!P239</f>
        <v>-1124.8752449170156</v>
      </c>
      <c r="T239" s="34">
        <v>738</v>
      </c>
      <c r="U239" s="88" t="s">
        <v>553</v>
      </c>
      <c r="V239" s="41" t="e">
        <f>C239/'1. Väestöennuste'!E239*1000</f>
        <v>#REF!</v>
      </c>
      <c r="W239" s="41">
        <f>D239/'1. Väestöennuste'!F239*1000</f>
        <v>135.21496553987527</v>
      </c>
      <c r="X239" s="41">
        <f>E239/'1. Väestöennuste'!G239*1000</f>
        <v>24.94180246092451</v>
      </c>
      <c r="Y239" s="41">
        <f>F239/'1. Väestöennuste'!H239*1000</f>
        <v>8.6840347361389458</v>
      </c>
      <c r="Z239" s="41">
        <f>G239/'1. Väestöennuste'!I239*1000</f>
        <v>-592.52971137521229</v>
      </c>
      <c r="AA239" s="41">
        <f>H239/'1. Väestöennuste'!J239*1000</f>
        <v>-351.41635740444991</v>
      </c>
      <c r="AB239" s="41">
        <f>I239/'1. Väestöennuste'!K239*1000</f>
        <v>-373.95698949706247</v>
      </c>
      <c r="AC239" s="41">
        <f>J239/'1. Väestöennuste'!L239*1000</f>
        <v>117.99895084644341</v>
      </c>
      <c r="AD239" s="41">
        <f>K239/'1. Väestöennuste'!M239*1000</f>
        <v>216.43849412603549</v>
      </c>
      <c r="AE239" s="41">
        <f>L239/'1. Väestöennuste'!N239*1000</f>
        <v>-162.63644737074887</v>
      </c>
      <c r="AF239" s="41">
        <f>M239/'1. Väestöennuste'!O239*1000</f>
        <v>-289.59487336088404</v>
      </c>
      <c r="AG239" s="41">
        <f>N239/'1. Väestöennuste'!P239*1000</f>
        <v>-366.39271303667482</v>
      </c>
      <c r="AH239" s="41">
        <f>O239/'1. Väestöennuste'!Q239*1000</f>
        <v>-363.98435503483245</v>
      </c>
      <c r="AI239" s="41">
        <f>P239/'1. Väestöennuste'!R239*1000</f>
        <v>-391.12491130633367</v>
      </c>
    </row>
    <row r="240" spans="1:35" x14ac:dyDescent="0.2">
      <c r="A240" s="34">
        <v>739</v>
      </c>
      <c r="B240" s="88" t="s">
        <v>554</v>
      </c>
      <c r="C240" s="41" t="e">
        <f>Vuosikate!C240+'7. Nettoinvestoinnit '!C240+'8. Satunnaiset erät'!C240+'9. Tulorahkorjauserät'!C240</f>
        <v>#REF!</v>
      </c>
      <c r="D240" s="41">
        <f>Vuosikate!D240+'7. Nettoinvestoinnit '!D240+'8. Satunnaiset erät'!D240+'9. Tulorahkorjauserät'!D240</f>
        <v>-1645</v>
      </c>
      <c r="E240" s="41">
        <f>Vuosikate!E240+'7. Nettoinvestoinnit '!E240+'8. Satunnaiset erät'!E240+'9. Tulorahkorjauserät'!E240</f>
        <v>-1268</v>
      </c>
      <c r="F240" s="41">
        <f>Vuosikate!F240+'7. Nettoinvestoinnit '!F240+'8. Satunnaiset erät'!F240+'9. Tulorahkorjauserät'!F240</f>
        <v>-294</v>
      </c>
      <c r="G240" s="41">
        <f>Vuosikate!G240+'7. Nettoinvestoinnit '!G240+'8. Satunnaiset erät'!G240+'9. Tulorahkorjauserät'!G240</f>
        <v>3341</v>
      </c>
      <c r="H240" s="41">
        <f>Vuosikate!H240+'7. Nettoinvestoinnit '!H240+'8. Satunnaiset erät'!H240+'9. Tulorahkorjauserät'!H240</f>
        <v>2351.0556701952446</v>
      </c>
      <c r="I240" s="41">
        <f>Vuosikate!I240+'7. Nettoinvestoinnit '!I240+'8. Satunnaiset erät'!I240+'9. Tulorahkorjauserät'!I240</f>
        <v>1979.9781340543541</v>
      </c>
      <c r="J240" s="41">
        <f>Vuosikate!J240+'7. Nettoinvestoinnit '!J240+'8. Satunnaiset erät'!J240+'9. Tulorahkorjauserät'!J240</f>
        <v>-85.072634286986272</v>
      </c>
      <c r="K240" s="41">
        <f>Vuosikate!K240+'7. Nettoinvestoinnit '!K240+'8. Satunnaiset erät'!K240+'9. Tulorahkorjauserät'!K240</f>
        <v>-345.86751077275835</v>
      </c>
      <c r="L240" s="41">
        <f>Vuosikate!L240+'7. Nettoinvestoinnit '!L240+'8. Satunnaiset erät'!L240+'9. Tulorahkorjauserät'!L240</f>
        <v>-446.36613182779547</v>
      </c>
      <c r="M240" s="41">
        <f>Vuosikate!M240+'7. Nettoinvestoinnit '!M240+'8. Satunnaiset erät'!M240+'9. Tulorahkorjauserät'!M240</f>
        <v>-550.74150770283109</v>
      </c>
      <c r="N240" s="41">
        <f>Vuosikate!N240+'7. Nettoinvestoinnit '!N240+'8. Satunnaiset erät'!N240+'9. Tulorahkorjauserät'!N240</f>
        <v>-1332.4729157857209</v>
      </c>
      <c r="O240" s="41">
        <f>Vuosikate!O240+'7. Nettoinvestoinnit '!O240+'8. Satunnaiset erät'!O240+'9. Tulorahkorjauserät'!O240</f>
        <v>-1505.4823078603947</v>
      </c>
      <c r="P240" s="41">
        <f>Vuosikate!P240+'7. Nettoinvestoinnit '!P240+'8. Satunnaiset erät'!P240+'9. Tulorahkorjauserät'!P240</f>
        <v>-1232.7786309692922</v>
      </c>
      <c r="T240" s="34">
        <v>739</v>
      </c>
      <c r="U240" s="88" t="s">
        <v>554</v>
      </c>
      <c r="V240" s="41" t="e">
        <f>C240/'1. Väestöennuste'!E240*1000</f>
        <v>#REF!</v>
      </c>
      <c r="W240" s="41">
        <f>D240/'1. Väestöennuste'!F240*1000</f>
        <v>-465.47821165817771</v>
      </c>
      <c r="X240" s="41">
        <f>E240/'1. Väestöennuste'!G240*1000</f>
        <v>-364.36781609195401</v>
      </c>
      <c r="Y240" s="41">
        <f>F240/'1. Väestöennuste'!H240*1000</f>
        <v>-85.739282589676293</v>
      </c>
      <c r="Z240" s="41">
        <f>G240/'1. Väestöennuste'!I240*1000</f>
        <v>987.58498374224052</v>
      </c>
      <c r="AA240" s="41">
        <f>H240/'1. Väestöennuste'!J240*1000</f>
        <v>706.87181906050648</v>
      </c>
      <c r="AB240" s="41">
        <f>I240/'1. Väestöennuste'!K240*1000</f>
        <v>607.16900768302798</v>
      </c>
      <c r="AC240" s="41">
        <f>J240/'1. Väestöennuste'!L240*1000</f>
        <v>-26.127958933349593</v>
      </c>
      <c r="AD240" s="41">
        <f>K240/'1. Väestöennuste'!M240*1000</f>
        <v>-107.54586777759899</v>
      </c>
      <c r="AE240" s="41">
        <f>L240/'1. Väestöennuste'!N240*1000</f>
        <v>-143.52608740443586</v>
      </c>
      <c r="AF240" s="41">
        <f>M240/'1. Väestöennuste'!O240*1000</f>
        <v>-179.80460584486812</v>
      </c>
      <c r="AG240" s="41">
        <f>N240/'1. Väestöennuste'!P240*1000</f>
        <v>-441.50858707280349</v>
      </c>
      <c r="AH240" s="41">
        <f>O240/'1. Väestöennuste'!Q240*1000</f>
        <v>-506.04447323038482</v>
      </c>
      <c r="AI240" s="41">
        <f>P240/'1. Väestöennuste'!R240*1000</f>
        <v>-420.31320524012688</v>
      </c>
    </row>
    <row r="241" spans="1:35" x14ac:dyDescent="0.2">
      <c r="A241" s="34">
        <v>740</v>
      </c>
      <c r="B241" s="88" t="s">
        <v>555</v>
      </c>
      <c r="C241" s="41" t="e">
        <f>Vuosikate!C241+'7. Nettoinvestoinnit '!C241+'8. Satunnaiset erät'!C241+'9. Tulorahkorjauserät'!C241</f>
        <v>#REF!</v>
      </c>
      <c r="D241" s="41">
        <f>Vuosikate!D241+'7. Nettoinvestoinnit '!D241+'8. Satunnaiset erät'!D241+'9. Tulorahkorjauserät'!D241</f>
        <v>-1402</v>
      </c>
      <c r="E241" s="41">
        <f>Vuosikate!E241+'7. Nettoinvestoinnit '!E241+'8. Satunnaiset erät'!E241+'9. Tulorahkorjauserät'!E241</f>
        <v>4359</v>
      </c>
      <c r="F241" s="41">
        <f>Vuosikate!F241+'7. Nettoinvestoinnit '!F241+'8. Satunnaiset erät'!F241+'9. Tulorahkorjauserät'!F241</f>
        <v>-10409</v>
      </c>
      <c r="G241" s="41">
        <f>Vuosikate!G241+'7. Nettoinvestoinnit '!G241+'8. Satunnaiset erät'!G241+'9. Tulorahkorjauserät'!G241</f>
        <v>-4061</v>
      </c>
      <c r="H241" s="41">
        <f>Vuosikate!H241+'7. Nettoinvestoinnit '!H241+'8. Satunnaiset erät'!H241+'9. Tulorahkorjauserät'!H241</f>
        <v>18475.769715809074</v>
      </c>
      <c r="I241" s="41">
        <f>Vuosikate!I241+'7. Nettoinvestoinnit '!I241+'8. Satunnaiset erät'!I241+'9. Tulorahkorjauserät'!I241</f>
        <v>5562.0627331344258</v>
      </c>
      <c r="J241" s="41">
        <f>Vuosikate!J241+'7. Nettoinvestoinnit '!J241+'8. Satunnaiset erät'!J241+'9. Tulorahkorjauserät'!J241</f>
        <v>-8055.3208314102822</v>
      </c>
      <c r="K241" s="41">
        <f>Vuosikate!K241+'7. Nettoinvestoinnit '!K241+'8. Satunnaiset erät'!K241+'9. Tulorahkorjauserät'!K241</f>
        <v>-391.32964691744382</v>
      </c>
      <c r="L241" s="41">
        <f>Vuosikate!L241+'7. Nettoinvestoinnit '!L241+'8. Satunnaiset erät'!L241+'9. Tulorahkorjauserät'!L241</f>
        <v>-14110.564537671802</v>
      </c>
      <c r="M241" s="41">
        <f>Vuosikate!M241+'7. Nettoinvestoinnit '!M241+'8. Satunnaiset erät'!M241+'9. Tulorahkorjauserät'!M241</f>
        <v>-16052.731649596037</v>
      </c>
      <c r="N241" s="41">
        <f>Vuosikate!N241+'7. Nettoinvestoinnit '!N241+'8. Satunnaiset erät'!N241+'9. Tulorahkorjauserät'!N241</f>
        <v>-14836.86332828533</v>
      </c>
      <c r="O241" s="41">
        <f>Vuosikate!O241+'7. Nettoinvestoinnit '!O241+'8. Satunnaiset erät'!O241+'9. Tulorahkorjauserät'!O241</f>
        <v>-14983.342406897671</v>
      </c>
      <c r="P241" s="41">
        <f>Vuosikate!P241+'7. Nettoinvestoinnit '!P241+'8. Satunnaiset erät'!P241+'9. Tulorahkorjauserät'!P241</f>
        <v>-11125.131071641947</v>
      </c>
      <c r="T241" s="34">
        <v>740</v>
      </c>
      <c r="U241" s="88" t="s">
        <v>555</v>
      </c>
      <c r="V241" s="41" t="e">
        <f>C241/'1. Väestöennuste'!E241*1000</f>
        <v>#REF!</v>
      </c>
      <c r="W241" s="41">
        <f>D241/'1. Väestöennuste'!F241*1000</f>
        <v>-39.782078202145165</v>
      </c>
      <c r="X241" s="41">
        <f>E241/'1. Väestöennuste'!G241*1000</f>
        <v>125.75005769674591</v>
      </c>
      <c r="Y241" s="41">
        <f>F241/'1. Väestöennuste'!H241*1000</f>
        <v>-309.6902799678677</v>
      </c>
      <c r="Z241" s="41">
        <f>G241/'1. Väestöennuste'!I241*1000</f>
        <v>-123.15763935221689</v>
      </c>
      <c r="AA241" s="41">
        <f>H241/'1. Väestöennuste'!J241*1000</f>
        <v>565.66559658958647</v>
      </c>
      <c r="AB241" s="41">
        <f>I241/'1. Väestöennuste'!K241*1000</f>
        <v>170.89325385241116</v>
      </c>
      <c r="AC241" s="41">
        <f>J241/'1. Väestöennuste'!L241*1000</f>
        <v>-251.06189282874496</v>
      </c>
      <c r="AD241" s="41">
        <f>K241/'1. Väestöennuste'!M241*1000</f>
        <v>-12.289346070327666</v>
      </c>
      <c r="AE241" s="41">
        <f>L241/'1. Väestöennuste'!N241*1000</f>
        <v>-460.31723552136106</v>
      </c>
      <c r="AF241" s="41">
        <f>M241/'1. Väestöennuste'!O241*1000</f>
        <v>-531.42422781461369</v>
      </c>
      <c r="AG241" s="41">
        <f>N241/'1. Väestöennuste'!P241*1000</f>
        <v>-498.29935611369706</v>
      </c>
      <c r="AH241" s="41">
        <f>O241/'1. Väestöennuste'!Q241*1000</f>
        <v>-510.36659196463216</v>
      </c>
      <c r="AI241" s="41">
        <f>P241/'1. Väestöennuste'!R241*1000</f>
        <v>-384.2214150109462</v>
      </c>
    </row>
    <row r="242" spans="1:35" x14ac:dyDescent="0.2">
      <c r="A242" s="34">
        <v>742</v>
      </c>
      <c r="B242" s="88" t="s">
        <v>556</v>
      </c>
      <c r="C242" s="41" t="e">
        <f>Vuosikate!C242+'7. Nettoinvestoinnit '!C242+'8. Satunnaiset erät'!C242+'9. Tulorahkorjauserät'!C242</f>
        <v>#REF!</v>
      </c>
      <c r="D242" s="41">
        <f>Vuosikate!D242+'7. Nettoinvestoinnit '!D242+'8. Satunnaiset erät'!D242+'9. Tulorahkorjauserät'!D242</f>
        <v>1440</v>
      </c>
      <c r="E242" s="41">
        <f>Vuosikate!E242+'7. Nettoinvestoinnit '!E242+'8. Satunnaiset erät'!E242+'9. Tulorahkorjauserät'!E242</f>
        <v>-261</v>
      </c>
      <c r="F242" s="41">
        <f>Vuosikate!F242+'7. Nettoinvestoinnit '!F242+'8. Satunnaiset erät'!F242+'9. Tulorahkorjauserät'!F242</f>
        <v>-305</v>
      </c>
      <c r="G242" s="41">
        <f>Vuosikate!G242+'7. Nettoinvestoinnit '!G242+'8. Satunnaiset erät'!G242+'9. Tulorahkorjauserät'!G242</f>
        <v>58</v>
      </c>
      <c r="H242" s="41">
        <f>Vuosikate!H242+'7. Nettoinvestoinnit '!H242+'8. Satunnaiset erät'!H242+'9. Tulorahkorjauserät'!H242</f>
        <v>-89.980716593501711</v>
      </c>
      <c r="I242" s="41">
        <f>Vuosikate!I242+'7. Nettoinvestoinnit '!I242+'8. Satunnaiset erät'!I242+'9. Tulorahkorjauserät'!I242</f>
        <v>1036.628910437727</v>
      </c>
      <c r="J242" s="41">
        <f>Vuosikate!J242+'7. Nettoinvestoinnit '!J242+'8. Satunnaiset erät'!J242+'9. Tulorahkorjauserät'!J242</f>
        <v>476.0367288612203</v>
      </c>
      <c r="K242" s="41">
        <f>Vuosikate!K242+'7. Nettoinvestoinnit '!K242+'8. Satunnaiset erät'!K242+'9. Tulorahkorjauserät'!K242</f>
        <v>-48.806037936126536</v>
      </c>
      <c r="L242" s="41">
        <f>Vuosikate!L242+'7. Nettoinvestoinnit '!L242+'8. Satunnaiset erät'!L242+'9. Tulorahkorjauserät'!L242</f>
        <v>-433.53356558106697</v>
      </c>
      <c r="M242" s="41">
        <f>Vuosikate!M242+'7. Nettoinvestoinnit '!M242+'8. Satunnaiset erät'!M242+'9. Tulorahkorjauserät'!M242</f>
        <v>-481.2808316211777</v>
      </c>
      <c r="N242" s="41">
        <f>Vuosikate!N242+'7. Nettoinvestoinnit '!N242+'8. Satunnaiset erät'!N242+'9. Tulorahkorjauserät'!N242</f>
        <v>-485.98646799719376</v>
      </c>
      <c r="O242" s="41">
        <f>Vuosikate!O242+'7. Nettoinvestoinnit '!O242+'8. Satunnaiset erät'!O242+'9. Tulorahkorjauserät'!O242</f>
        <v>-537.16219946351077</v>
      </c>
      <c r="P242" s="41">
        <f>Vuosikate!P242+'7. Nettoinvestoinnit '!P242+'8. Satunnaiset erät'!P242+'9. Tulorahkorjauserät'!P242</f>
        <v>-508.43900145625742</v>
      </c>
      <c r="T242" s="34">
        <v>742</v>
      </c>
      <c r="U242" s="88" t="s">
        <v>556</v>
      </c>
      <c r="V242" s="41" t="e">
        <f>C242/'1. Väestöennuste'!E242*1000</f>
        <v>#REF!</v>
      </c>
      <c r="W242" s="41">
        <f>D242/'1. Väestöennuste'!F242*1000</f>
        <v>1379.3103448275863</v>
      </c>
      <c r="X242" s="41">
        <f>E242/'1. Väestöennuste'!G242*1000</f>
        <v>-257.90513833992094</v>
      </c>
      <c r="Y242" s="41">
        <f>F242/'1. Väestöennuste'!H242*1000</f>
        <v>-300.49261083743846</v>
      </c>
      <c r="Z242" s="41">
        <f>G242/'1. Väestöennuste'!I242*1000</f>
        <v>57.711442786069647</v>
      </c>
      <c r="AA242" s="41">
        <f>H242/'1. Väestöennuste'!J242*1000</f>
        <v>-89.178113571359475</v>
      </c>
      <c r="AB242" s="41">
        <f>I242/'1. Väestöennuste'!K242*1000</f>
        <v>1027.3824682237137</v>
      </c>
      <c r="AC242" s="41">
        <f>J242/'1. Väestöennuste'!L242*1000</f>
        <v>481.81855147896789</v>
      </c>
      <c r="AD242" s="41">
        <f>K242/'1. Väestöennuste'!M242*1000</f>
        <v>-49.903924270068032</v>
      </c>
      <c r="AE242" s="41">
        <f>L242/'1. Väestöennuste'!N242*1000</f>
        <v>-443.73957582504295</v>
      </c>
      <c r="AF242" s="41">
        <f>M242/'1. Väestöennuste'!O242*1000</f>
        <v>-495.14488849915398</v>
      </c>
      <c r="AG242" s="41">
        <f>N242/'1. Väestöennuste'!P242*1000</f>
        <v>-502.57132161033479</v>
      </c>
      <c r="AH242" s="41">
        <f>O242/'1. Väestöennuste'!Q242*1000</f>
        <v>-557.22219861360031</v>
      </c>
      <c r="AI242" s="41">
        <f>P242/'1. Väestöennuste'!R242*1000</f>
        <v>-529.62395985026808</v>
      </c>
    </row>
    <row r="243" spans="1:35" x14ac:dyDescent="0.2">
      <c r="A243" s="34">
        <v>743</v>
      </c>
      <c r="B243" s="88" t="s">
        <v>557</v>
      </c>
      <c r="C243" s="41" t="e">
        <f>Vuosikate!C243+'7. Nettoinvestoinnit '!C243+'8. Satunnaiset erät'!C243+'9. Tulorahkorjauserät'!C243</f>
        <v>#REF!</v>
      </c>
      <c r="D243" s="41">
        <f>Vuosikate!D243+'7. Nettoinvestoinnit '!D243+'8. Satunnaiset erät'!D243+'9. Tulorahkorjauserät'!D243</f>
        <v>-5645</v>
      </c>
      <c r="E243" s="41">
        <f>Vuosikate!E243+'7. Nettoinvestoinnit '!E243+'8. Satunnaiset erät'!E243+'9. Tulorahkorjauserät'!E243</f>
        <v>-17004</v>
      </c>
      <c r="F243" s="41">
        <f>Vuosikate!F243+'7. Nettoinvestoinnit '!F243+'8. Satunnaiset erät'!F243+'9. Tulorahkorjauserät'!F243</f>
        <v>-25416</v>
      </c>
      <c r="G243" s="41">
        <f>Vuosikate!G243+'7. Nettoinvestoinnit '!G243+'8. Satunnaiset erät'!G243+'9. Tulorahkorjauserät'!G243</f>
        <v>-42299</v>
      </c>
      <c r="H243" s="41">
        <f>Vuosikate!H243+'7. Nettoinvestoinnit '!H243+'8. Satunnaiset erät'!H243+'9. Tulorahkorjauserät'!H243</f>
        <v>5292.7341853647958</v>
      </c>
      <c r="I243" s="41">
        <f>Vuosikate!I243+'7. Nettoinvestoinnit '!I243+'8. Satunnaiset erät'!I243+'9. Tulorahkorjauserät'!I243</f>
        <v>-15596.002613237797</v>
      </c>
      <c r="J243" s="41">
        <f>Vuosikate!J243+'7. Nettoinvestoinnit '!J243+'8. Satunnaiset erät'!J243+'9. Tulorahkorjauserät'!J243</f>
        <v>9681.5427257607589</v>
      </c>
      <c r="K243" s="41">
        <f>Vuosikate!K243+'7. Nettoinvestoinnit '!K243+'8. Satunnaiset erät'!K243+'9. Tulorahkorjauserät'!K243</f>
        <v>-23787.589736700054</v>
      </c>
      <c r="L243" s="41">
        <f>Vuosikate!L243+'7. Nettoinvestoinnit '!L243+'8. Satunnaiset erät'!L243+'9. Tulorahkorjauserät'!L243</f>
        <v>-6386.6074593716221</v>
      </c>
      <c r="M243" s="41">
        <f>Vuosikate!M243+'7. Nettoinvestoinnit '!M243+'8. Satunnaiset erät'!M243+'9. Tulorahkorjauserät'!M243</f>
        <v>-35510.58894550761</v>
      </c>
      <c r="N243" s="41">
        <f>Vuosikate!N243+'7. Nettoinvestoinnit '!N243+'8. Satunnaiset erät'!N243+'9. Tulorahkorjauserät'!N243</f>
        <v>-34527.57442342068</v>
      </c>
      <c r="O243" s="41">
        <f>Vuosikate!O243+'7. Nettoinvestoinnit '!O243+'8. Satunnaiset erät'!O243+'9. Tulorahkorjauserät'!O243</f>
        <v>-34823.798136138597</v>
      </c>
      <c r="P243" s="41">
        <f>Vuosikate!P243+'7. Nettoinvestoinnit '!P243+'8. Satunnaiset erät'!P243+'9. Tulorahkorjauserät'!P243</f>
        <v>-33602.60277431841</v>
      </c>
      <c r="T243" s="34">
        <v>743</v>
      </c>
      <c r="U243" s="88" t="s">
        <v>557</v>
      </c>
      <c r="V243" s="41" t="e">
        <f>C243/'1. Väestöennuste'!E243*1000</f>
        <v>#REF!</v>
      </c>
      <c r="W243" s="41">
        <f>D243/'1. Väestöennuste'!F243*1000</f>
        <v>-90.972087926255398</v>
      </c>
      <c r="X243" s="41">
        <f>E243/'1. Väestöennuste'!G243*1000</f>
        <v>-271.30001914608465</v>
      </c>
      <c r="Y243" s="41">
        <f>F243/'1. Väestöennuste'!H243*1000</f>
        <v>-401.59271899886232</v>
      </c>
      <c r="Z243" s="41">
        <f>G243/'1. Väestöennuste'!I243*1000</f>
        <v>-663.19123249870654</v>
      </c>
      <c r="AA243" s="41">
        <f>H243/'1. Väestöennuste'!J243*1000</f>
        <v>82.531329882501097</v>
      </c>
      <c r="AB243" s="41">
        <f>I243/'1. Väestöennuste'!K243*1000</f>
        <v>-240.91699538491406</v>
      </c>
      <c r="AC243" s="41">
        <f>J243/'1. Väestöennuste'!L243*1000</f>
        <v>148.21031988366667</v>
      </c>
      <c r="AD243" s="41">
        <f>K243/'1. Väestöennuste'!M243*1000</f>
        <v>-359.54639868047241</v>
      </c>
      <c r="AE243" s="41">
        <f>L243/'1. Väestöennuste'!N243*1000</f>
        <v>-96.635004681065553</v>
      </c>
      <c r="AF243" s="41">
        <f>M243/'1. Väestöennuste'!O243*1000</f>
        <v>-534.11429563822833</v>
      </c>
      <c r="AG243" s="41">
        <f>N243/'1. Väestöennuste'!P243*1000</f>
        <v>-516.4546320158654</v>
      </c>
      <c r="AH243" s="41">
        <f>O243/'1. Väestöennuste'!Q243*1000</f>
        <v>-518.19585929196444</v>
      </c>
      <c r="AI243" s="41">
        <f>P243/'1. Väestöennuste'!R243*1000</f>
        <v>-497.69836445166197</v>
      </c>
    </row>
    <row r="244" spans="1:35" x14ac:dyDescent="0.2">
      <c r="A244" s="34">
        <v>746</v>
      </c>
      <c r="B244" s="88" t="s">
        <v>558</v>
      </c>
      <c r="C244" s="41" t="e">
        <f>Vuosikate!C244+'7. Nettoinvestoinnit '!C244+'8. Satunnaiset erät'!C244+'9. Tulorahkorjauserät'!C244</f>
        <v>#REF!</v>
      </c>
      <c r="D244" s="41">
        <f>Vuosikate!D244+'7. Nettoinvestoinnit '!D244+'8. Satunnaiset erät'!D244+'9. Tulorahkorjauserät'!D244</f>
        <v>1973</v>
      </c>
      <c r="E244" s="41">
        <f>Vuosikate!E244+'7. Nettoinvestoinnit '!E244+'8. Satunnaiset erät'!E244+'9. Tulorahkorjauserät'!E244</f>
        <v>859</v>
      </c>
      <c r="F244" s="41">
        <f>Vuosikate!F244+'7. Nettoinvestoinnit '!F244+'8. Satunnaiset erät'!F244+'9. Tulorahkorjauserät'!F244</f>
        <v>-3065</v>
      </c>
      <c r="G244" s="41">
        <f>Vuosikate!G244+'7. Nettoinvestoinnit '!G244+'8. Satunnaiset erät'!G244+'9. Tulorahkorjauserät'!G244</f>
        <v>-3190</v>
      </c>
      <c r="H244" s="41">
        <f>Vuosikate!H244+'7. Nettoinvestoinnit '!H244+'8. Satunnaiset erät'!H244+'9. Tulorahkorjauserät'!H244</f>
        <v>3994.6781913846244</v>
      </c>
      <c r="I244" s="41">
        <f>Vuosikate!I244+'7. Nettoinvestoinnit '!I244+'8. Satunnaiset erät'!I244+'9. Tulorahkorjauserät'!I244</f>
        <v>2811.5119184027999</v>
      </c>
      <c r="J244" s="41">
        <f>Vuosikate!J244+'7. Nettoinvestoinnit '!J244+'8. Satunnaiset erät'!J244+'9. Tulorahkorjauserät'!J244</f>
        <v>2003.8522429747532</v>
      </c>
      <c r="K244" s="41">
        <f>Vuosikate!K244+'7. Nettoinvestoinnit '!K244+'8. Satunnaiset erät'!K244+'9. Tulorahkorjauserät'!K244</f>
        <v>2322.5657678981529</v>
      </c>
      <c r="L244" s="41">
        <f>Vuosikate!L244+'7. Nettoinvestoinnit '!L244+'8. Satunnaiset erät'!L244+'9. Tulorahkorjauserät'!L244</f>
        <v>-363.04556646956792</v>
      </c>
      <c r="M244" s="41">
        <f>Vuosikate!M244+'7. Nettoinvestoinnit '!M244+'8. Satunnaiset erät'!M244+'9. Tulorahkorjauserät'!M244</f>
        <v>232.64818187768344</v>
      </c>
      <c r="N244" s="41">
        <f>Vuosikate!N244+'7. Nettoinvestoinnit '!N244+'8. Satunnaiset erät'!N244+'9. Tulorahkorjauserät'!N244</f>
        <v>311.10102399947573</v>
      </c>
      <c r="O244" s="41">
        <f>Vuosikate!O244+'7. Nettoinvestoinnit '!O244+'8. Satunnaiset erät'!O244+'9. Tulorahkorjauserät'!O244</f>
        <v>66.601002199333152</v>
      </c>
      <c r="P244" s="41">
        <f>Vuosikate!P244+'7. Nettoinvestoinnit '!P244+'8. Satunnaiset erät'!P244+'9. Tulorahkorjauserät'!P244</f>
        <v>205.88998252259057</v>
      </c>
      <c r="T244" s="34">
        <v>746</v>
      </c>
      <c r="U244" s="88" t="s">
        <v>558</v>
      </c>
      <c r="V244" s="41" t="e">
        <f>C244/'1. Väestöennuste'!E244*1000</f>
        <v>#REF!</v>
      </c>
      <c r="W244" s="41">
        <f>D244/'1. Väestöennuste'!F244*1000</f>
        <v>389.22864470309725</v>
      </c>
      <c r="X244" s="41">
        <f>E244/'1. Väestöennuste'!G244*1000</f>
        <v>170.60575968222443</v>
      </c>
      <c r="Y244" s="41">
        <f>F244/'1. Väestöennuste'!H244*1000</f>
        <v>-615.46184738955822</v>
      </c>
      <c r="Z244" s="41">
        <f>G244/'1. Väestöennuste'!I244*1000</f>
        <v>-649.6945010183299</v>
      </c>
      <c r="AA244" s="41">
        <f>H244/'1. Väestöennuste'!J244*1000</f>
        <v>826.37116081601653</v>
      </c>
      <c r="AB244" s="41">
        <f>I244/'1. Väestöennuste'!K244*1000</f>
        <v>588.05938473181345</v>
      </c>
      <c r="AC244" s="41">
        <f>J244/'1. Väestöennuste'!L244*1000</f>
        <v>423.2000513146258</v>
      </c>
      <c r="AD244" s="41">
        <f>K244/'1. Väestöennuste'!M244*1000</f>
        <v>492.79986588121216</v>
      </c>
      <c r="AE244" s="41">
        <f>L244/'1. Väestöennuste'!N244*1000</f>
        <v>-79.423663633683645</v>
      </c>
      <c r="AF244" s="41">
        <f>M244/'1. Väestöennuste'!O244*1000</f>
        <v>51.676628582337507</v>
      </c>
      <c r="AG244" s="41">
        <f>N244/'1. Väestöennuste'!P244*1000</f>
        <v>70.21011600078441</v>
      </c>
      <c r="AH244" s="41">
        <f>O244/'1. Väestöennuste'!Q244*1000</f>
        <v>15.261457882523636</v>
      </c>
      <c r="AI244" s="41">
        <f>P244/'1. Väestöennuste'!R244*1000</f>
        <v>47.892529081784268</v>
      </c>
    </row>
    <row r="245" spans="1:35" x14ac:dyDescent="0.2">
      <c r="A245" s="34">
        <v>747</v>
      </c>
      <c r="B245" s="88" t="s">
        <v>559</v>
      </c>
      <c r="C245" s="41" t="e">
        <f>Vuosikate!C245+'7. Nettoinvestoinnit '!C245+'8. Satunnaiset erät'!C245+'9. Tulorahkorjauserät'!C245</f>
        <v>#REF!</v>
      </c>
      <c r="D245" s="41">
        <f>Vuosikate!D245+'7. Nettoinvestoinnit '!D245+'8. Satunnaiset erät'!D245+'9. Tulorahkorjauserät'!D245</f>
        <v>550</v>
      </c>
      <c r="E245" s="41">
        <f>Vuosikate!E245+'7. Nettoinvestoinnit '!E245+'8. Satunnaiset erät'!E245+'9. Tulorahkorjauserät'!E245</f>
        <v>579</v>
      </c>
      <c r="F245" s="41">
        <f>Vuosikate!F245+'7. Nettoinvestoinnit '!F245+'8. Satunnaiset erät'!F245+'9. Tulorahkorjauserät'!F245</f>
        <v>554</v>
      </c>
      <c r="G245" s="41">
        <f>Vuosikate!G245+'7. Nettoinvestoinnit '!G245+'8. Satunnaiset erät'!G245+'9. Tulorahkorjauserät'!G245</f>
        <v>1459</v>
      </c>
      <c r="H245" s="41">
        <f>Vuosikate!H245+'7. Nettoinvestoinnit '!H245+'8. Satunnaiset erät'!H245+'9. Tulorahkorjauserät'!H245</f>
        <v>1129.6713316021669</v>
      </c>
      <c r="I245" s="41">
        <f>Vuosikate!I245+'7. Nettoinvestoinnit '!I245+'8. Satunnaiset erät'!I245+'9. Tulorahkorjauserät'!I245</f>
        <v>858.05004835563329</v>
      </c>
      <c r="J245" s="41">
        <f>Vuosikate!J245+'7. Nettoinvestoinnit '!J245+'8. Satunnaiset erät'!J245+'9. Tulorahkorjauserät'!J245</f>
        <v>0.16573937546061618</v>
      </c>
      <c r="K245" s="41">
        <f>Vuosikate!K245+'7. Nettoinvestoinnit '!K245+'8. Satunnaiset erät'!K245+'9. Tulorahkorjauserät'!K245</f>
        <v>1314.5430947496416</v>
      </c>
      <c r="L245" s="41">
        <f>Vuosikate!L245+'7. Nettoinvestoinnit '!L245+'8. Satunnaiset erät'!L245+'9. Tulorahkorjauserät'!L245</f>
        <v>-478.27572990965223</v>
      </c>
      <c r="M245" s="41">
        <f>Vuosikate!M245+'7. Nettoinvestoinnit '!M245+'8. Satunnaiset erät'!M245+'9. Tulorahkorjauserät'!M245</f>
        <v>216.04784573317801</v>
      </c>
      <c r="N245" s="41">
        <f>Vuosikate!N245+'7. Nettoinvestoinnit '!N245+'8. Satunnaiset erät'!N245+'9. Tulorahkorjauserät'!N245</f>
        <v>328.85536390773223</v>
      </c>
      <c r="O245" s="41">
        <f>Vuosikate!O245+'7. Nettoinvestoinnit '!O245+'8. Satunnaiset erät'!O245+'9. Tulorahkorjauserät'!O245</f>
        <v>263.78519578499589</v>
      </c>
      <c r="P245" s="41">
        <f>Vuosikate!P245+'7. Nettoinvestoinnit '!P245+'8. Satunnaiset erät'!P245+'9. Tulorahkorjauserät'!P245</f>
        <v>352.12861584948007</v>
      </c>
      <c r="T245" s="34">
        <v>747</v>
      </c>
      <c r="U245" s="88" t="s">
        <v>559</v>
      </c>
      <c r="V245" s="41" t="e">
        <f>C245/'1. Väestöennuste'!E245*1000</f>
        <v>#REF!</v>
      </c>
      <c r="W245" s="41">
        <f>D245/'1. Väestöennuste'!F245*1000</f>
        <v>368.13922356091035</v>
      </c>
      <c r="X245" s="41">
        <f>E245/'1. Väestöennuste'!G245*1000</f>
        <v>392.27642276422762</v>
      </c>
      <c r="Y245" s="41">
        <f>F245/'1. Väestöennuste'!H245*1000</f>
        <v>379.97256515775035</v>
      </c>
      <c r="Z245" s="41">
        <f>G245/'1. Väestöennuste'!I245*1000</f>
        <v>1015.3096729297147</v>
      </c>
      <c r="AA245" s="41">
        <f>H245/'1. Väestöennuste'!J245*1000</f>
        <v>815.64717083188941</v>
      </c>
      <c r="AB245" s="41">
        <f>I245/'1. Väestöennuste'!K245*1000</f>
        <v>634.65240262990631</v>
      </c>
      <c r="AC245" s="41">
        <f>J245/'1. Väestöennuste'!L245*1000</f>
        <v>0.12671206074970656</v>
      </c>
      <c r="AD245" s="41">
        <f>K245/'1. Väestöennuste'!M245*1000</f>
        <v>1024.5854206934073</v>
      </c>
      <c r="AE245" s="41">
        <f>L245/'1. Väestöennuste'!N245*1000</f>
        <v>-370.18245349044287</v>
      </c>
      <c r="AF245" s="41">
        <f>M245/'1. Väestöennuste'!O245*1000</f>
        <v>169.44929077111999</v>
      </c>
      <c r="AG245" s="41">
        <f>N245/'1. Väestöennuste'!P245*1000</f>
        <v>261.4112590681496</v>
      </c>
      <c r="AH245" s="41">
        <f>O245/'1. Väestöennuste'!Q245*1000</f>
        <v>212.21656941673041</v>
      </c>
      <c r="AI245" s="41">
        <f>P245/'1. Väestöennuste'!R245*1000</f>
        <v>287.451931305698</v>
      </c>
    </row>
    <row r="246" spans="1:35" x14ac:dyDescent="0.2">
      <c r="A246" s="34">
        <v>748</v>
      </c>
      <c r="B246" s="88" t="s">
        <v>560</v>
      </c>
      <c r="C246" s="41" t="e">
        <f>Vuosikate!C246+'7. Nettoinvestoinnit '!C246+'8. Satunnaiset erät'!C246+'9. Tulorahkorjauserät'!C246</f>
        <v>#REF!</v>
      </c>
      <c r="D246" s="41">
        <f>Vuosikate!D246+'7. Nettoinvestoinnit '!D246+'8. Satunnaiset erät'!D246+'9. Tulorahkorjauserät'!D246</f>
        <v>-1730</v>
      </c>
      <c r="E246" s="41">
        <f>Vuosikate!E246+'7. Nettoinvestoinnit '!E246+'8. Satunnaiset erät'!E246+'9. Tulorahkorjauserät'!E246</f>
        <v>1808</v>
      </c>
      <c r="F246" s="41">
        <f>Vuosikate!F246+'7. Nettoinvestoinnit '!F246+'8. Satunnaiset erät'!F246+'9. Tulorahkorjauserät'!F246</f>
        <v>1202</v>
      </c>
      <c r="G246" s="41">
        <f>Vuosikate!G246+'7. Nettoinvestoinnit '!G246+'8. Satunnaiset erät'!G246+'9. Tulorahkorjauserät'!G246</f>
        <v>1444</v>
      </c>
      <c r="H246" s="41">
        <f>Vuosikate!H246+'7. Nettoinvestoinnit '!H246+'8. Satunnaiset erät'!H246+'9. Tulorahkorjauserät'!H246</f>
        <v>3943.3297541980792</v>
      </c>
      <c r="I246" s="41">
        <f>Vuosikate!I246+'7. Nettoinvestoinnit '!I246+'8. Satunnaiset erät'!I246+'9. Tulorahkorjauserät'!I246</f>
        <v>1609.9324281397001</v>
      </c>
      <c r="J246" s="41">
        <f>Vuosikate!J246+'7. Nettoinvestoinnit '!J246+'8. Satunnaiset erät'!J246+'9. Tulorahkorjauserät'!J246</f>
        <v>-439.9863508263935</v>
      </c>
      <c r="K246" s="41">
        <f>Vuosikate!K246+'7. Nettoinvestoinnit '!K246+'8. Satunnaiset erät'!K246+'9. Tulorahkorjauserät'!K246</f>
        <v>-3739.0943436901439</v>
      </c>
      <c r="L246" s="41">
        <f>Vuosikate!L246+'7. Nettoinvestoinnit '!L246+'8. Satunnaiset erät'!L246+'9. Tulorahkorjauserät'!L246</f>
        <v>-1355.8574675264492</v>
      </c>
      <c r="M246" s="41">
        <f>Vuosikate!M246+'7. Nettoinvestoinnit '!M246+'8. Satunnaiset erät'!M246+'9. Tulorahkorjauserät'!M246</f>
        <v>-3163.4807549705993</v>
      </c>
      <c r="N246" s="41">
        <f>Vuosikate!N246+'7. Nettoinvestoinnit '!N246+'8. Satunnaiset erät'!N246+'9. Tulorahkorjauserät'!N246</f>
        <v>-3339.8469653927041</v>
      </c>
      <c r="O246" s="41">
        <f>Vuosikate!O246+'7. Nettoinvestoinnit '!O246+'8. Satunnaiset erät'!O246+'9. Tulorahkorjauserät'!O246</f>
        <v>-3598.3361972580806</v>
      </c>
      <c r="P246" s="41">
        <f>Vuosikate!P246+'7. Nettoinvestoinnit '!P246+'8. Satunnaiset erät'!P246+'9. Tulorahkorjauserät'!P246</f>
        <v>-3562.8938975836591</v>
      </c>
      <c r="T246" s="34">
        <v>748</v>
      </c>
      <c r="U246" s="88" t="s">
        <v>560</v>
      </c>
      <c r="V246" s="41" t="e">
        <f>C246/'1. Väestöennuste'!E246*1000</f>
        <v>#REF!</v>
      </c>
      <c r="W246" s="41">
        <f>D246/'1. Väestöennuste'!F246*1000</f>
        <v>-322.40029817368617</v>
      </c>
      <c r="X246" s="41">
        <f>E246/'1. Väestöennuste'!G246*1000</f>
        <v>338.38667415309754</v>
      </c>
      <c r="Y246" s="41">
        <f>F246/'1. Väestöennuste'!H246*1000</f>
        <v>228.99599923795009</v>
      </c>
      <c r="Z246" s="41">
        <f>G246/'1. Väestöennuste'!I246*1000</f>
        <v>280.66083576287662</v>
      </c>
      <c r="AA246" s="41">
        <f>H246/'1. Väestöennuste'!J246*1000</f>
        <v>783.33924398054808</v>
      </c>
      <c r="AB246" s="41">
        <f>I246/'1. Väestöennuste'!K246*1000</f>
        <v>320.19340257352826</v>
      </c>
      <c r="AC246" s="41">
        <f>J246/'1. Väestöennuste'!L246*1000</f>
        <v>-89.848141888175107</v>
      </c>
      <c r="AD246" s="41">
        <f>K246/'1. Väestöennuste'!M246*1000</f>
        <v>-773.01929784786932</v>
      </c>
      <c r="AE246" s="41">
        <f>L246/'1. Väestöennuste'!N246*1000</f>
        <v>-291.08146576351425</v>
      </c>
      <c r="AF246" s="41">
        <f>M246/'1. Väestöennuste'!O246*1000</f>
        <v>-691.62237756243974</v>
      </c>
      <c r="AG246" s="41">
        <f>N246/'1. Väestöennuste'!P246*1000</f>
        <v>-742.51822263065901</v>
      </c>
      <c r="AH246" s="41">
        <f>O246/'1. Väestöennuste'!Q246*1000</f>
        <v>-813.18332141425549</v>
      </c>
      <c r="AI246" s="41">
        <f>P246/'1. Väestöennuste'!R246*1000</f>
        <v>-818.30360532468046</v>
      </c>
    </row>
    <row r="247" spans="1:35" x14ac:dyDescent="0.2">
      <c r="A247" s="34">
        <v>749</v>
      </c>
      <c r="B247" s="88" t="s">
        <v>561</v>
      </c>
      <c r="C247" s="41" t="e">
        <f>Vuosikate!C247+'7. Nettoinvestoinnit '!C247+'8. Satunnaiset erät'!C247+'9. Tulorahkorjauserät'!C247</f>
        <v>#REF!</v>
      </c>
      <c r="D247" s="41">
        <f>Vuosikate!D247+'7. Nettoinvestoinnit '!D247+'8. Satunnaiset erät'!D247+'9. Tulorahkorjauserät'!D247</f>
        <v>-734</v>
      </c>
      <c r="E247" s="41">
        <f>Vuosikate!E247+'7. Nettoinvestoinnit '!E247+'8. Satunnaiset erät'!E247+'9. Tulorahkorjauserät'!E247</f>
        <v>-3271</v>
      </c>
      <c r="F247" s="41">
        <f>Vuosikate!F247+'7. Nettoinvestoinnit '!F247+'8. Satunnaiset erät'!F247+'9. Tulorahkorjauserät'!F247</f>
        <v>-10157</v>
      </c>
      <c r="G247" s="41">
        <f>Vuosikate!G247+'7. Nettoinvestoinnit '!G247+'8. Satunnaiset erät'!G247+'9. Tulorahkorjauserät'!G247</f>
        <v>19313</v>
      </c>
      <c r="H247" s="41">
        <f>Vuosikate!H247+'7. Nettoinvestoinnit '!H247+'8. Satunnaiset erät'!H247+'9. Tulorahkorjauserät'!H247</f>
        <v>8041.7622350998136</v>
      </c>
      <c r="I247" s="41">
        <f>Vuosikate!I247+'7. Nettoinvestoinnit '!I247+'8. Satunnaiset erät'!I247+'9. Tulorahkorjauserät'!I247</f>
        <v>3181.1937430471526</v>
      </c>
      <c r="J247" s="41">
        <f>Vuosikate!J247+'7. Nettoinvestoinnit '!J247+'8. Satunnaiset erät'!J247+'9. Tulorahkorjauserät'!J247</f>
        <v>17.267245998959993</v>
      </c>
      <c r="K247" s="41">
        <f>Vuosikate!K247+'7. Nettoinvestoinnit '!K247+'8. Satunnaiset erät'!K247+'9. Tulorahkorjauserät'!K247</f>
        <v>1083.1282514215177</v>
      </c>
      <c r="L247" s="41">
        <f>Vuosikate!L247+'7. Nettoinvestoinnit '!L247+'8. Satunnaiset erät'!L247+'9. Tulorahkorjauserät'!L247</f>
        <v>4246.4081042393691</v>
      </c>
      <c r="M247" s="41">
        <f>Vuosikate!M247+'7. Nettoinvestoinnit '!M247+'8. Satunnaiset erät'!M247+'9. Tulorahkorjauserät'!M247</f>
        <v>469.85918265548025</v>
      </c>
      <c r="N247" s="41">
        <f>Vuosikate!N247+'7. Nettoinvestoinnit '!N247+'8. Satunnaiset erät'!N247+'9. Tulorahkorjauserät'!N247</f>
        <v>-1290.855907030958</v>
      </c>
      <c r="O247" s="41">
        <f>Vuosikate!O247+'7. Nettoinvestoinnit '!O247+'8. Satunnaiset erät'!O247+'9. Tulorahkorjauserät'!O247</f>
        <v>-959.76652760802244</v>
      </c>
      <c r="P247" s="41">
        <f>Vuosikate!P247+'7. Nettoinvestoinnit '!P247+'8. Satunnaiset erät'!P247+'9. Tulorahkorjauserät'!P247</f>
        <v>1141.1810791770622</v>
      </c>
      <c r="T247" s="34">
        <v>749</v>
      </c>
      <c r="U247" s="88" t="s">
        <v>561</v>
      </c>
      <c r="V247" s="41" t="e">
        <f>C247/'1. Väestöennuste'!E247*1000</f>
        <v>#REF!</v>
      </c>
      <c r="W247" s="41">
        <f>D247/'1. Väestöennuste'!F247*1000</f>
        <v>-33.719220874678427</v>
      </c>
      <c r="X247" s="41">
        <f>E247/'1. Väestöennuste'!G247*1000</f>
        <v>-151.03661633651939</v>
      </c>
      <c r="Y247" s="41">
        <f>F247/'1. Väestöennuste'!H247*1000</f>
        <v>-468.62600350650553</v>
      </c>
      <c r="Z247" s="41">
        <f>G247/'1. Väestöennuste'!I247*1000</f>
        <v>901.5077253419222</v>
      </c>
      <c r="AA247" s="41">
        <f>H247/'1. Väestöennuste'!J247*1000</f>
        <v>378.41806197825105</v>
      </c>
      <c r="AB247" s="41">
        <f>I247/'1. Väestöennuste'!K247*1000</f>
        <v>149.40091781558036</v>
      </c>
      <c r="AC247" s="41">
        <f>J247/'1. Väestöennuste'!L247*1000</f>
        <v>0.81326516573850749</v>
      </c>
      <c r="AD247" s="41">
        <f>K247/'1. Väestöennuste'!M247*1000</f>
        <v>50.874976581564944</v>
      </c>
      <c r="AE247" s="41">
        <f>L247/'1. Väestöennuste'!N247*1000</f>
        <v>203.72328268275612</v>
      </c>
      <c r="AF247" s="41">
        <f>M247/'1. Väestöennuste'!O247*1000</f>
        <v>22.65364170751074</v>
      </c>
      <c r="AG247" s="41">
        <f>N247/'1. Väestöennuste'!P247*1000</f>
        <v>-62.580884618750083</v>
      </c>
      <c r="AH247" s="41">
        <f>O247/'1. Väestöennuste'!Q247*1000</f>
        <v>-46.799616130681798</v>
      </c>
      <c r="AI247" s="41">
        <f>P247/'1. Väestöennuste'!R247*1000</f>
        <v>55.975919908621286</v>
      </c>
    </row>
    <row r="248" spans="1:35" x14ac:dyDescent="0.2">
      <c r="A248" s="34">
        <v>751</v>
      </c>
      <c r="B248" s="88" t="s">
        <v>562</v>
      </c>
      <c r="C248" s="41" t="e">
        <f>Vuosikate!C248+'7. Nettoinvestoinnit '!C248+'8. Satunnaiset erät'!C248+'9. Tulorahkorjauserät'!C248</f>
        <v>#REF!</v>
      </c>
      <c r="D248" s="41">
        <f>Vuosikate!D248+'7. Nettoinvestoinnit '!D248+'8. Satunnaiset erät'!D248+'9. Tulorahkorjauserät'!D248</f>
        <v>704</v>
      </c>
      <c r="E248" s="41">
        <f>Vuosikate!E248+'7. Nettoinvestoinnit '!E248+'8. Satunnaiset erät'!E248+'9. Tulorahkorjauserät'!E248</f>
        <v>1166</v>
      </c>
      <c r="F248" s="41">
        <f>Vuosikate!F248+'7. Nettoinvestoinnit '!F248+'8. Satunnaiset erät'!F248+'9. Tulorahkorjauserät'!F248</f>
        <v>-426</v>
      </c>
      <c r="G248" s="41">
        <f>Vuosikate!G248+'7. Nettoinvestoinnit '!G248+'8. Satunnaiset erät'!G248+'9. Tulorahkorjauserät'!G248</f>
        <v>-1914</v>
      </c>
      <c r="H248" s="41">
        <f>Vuosikate!H248+'7. Nettoinvestoinnit '!H248+'8. Satunnaiset erät'!H248+'9. Tulorahkorjauserät'!H248</f>
        <v>1648.7708072868409</v>
      </c>
      <c r="I248" s="41">
        <f>Vuosikate!I248+'7. Nettoinvestoinnit '!I248+'8. Satunnaiset erät'!I248+'9. Tulorahkorjauserät'!I248</f>
        <v>2023.1428783533152</v>
      </c>
      <c r="J248" s="41">
        <f>Vuosikate!J248+'7. Nettoinvestoinnit '!J248+'8. Satunnaiset erät'!J248+'9. Tulorahkorjauserät'!J248</f>
        <v>1252.4511590112302</v>
      </c>
      <c r="K248" s="41">
        <f>Vuosikate!K248+'7. Nettoinvestoinnit '!K248+'8. Satunnaiset erät'!K248+'9. Tulorahkorjauserät'!K248</f>
        <v>2504.0560233544747</v>
      </c>
      <c r="L248" s="41">
        <f>Vuosikate!L248+'7. Nettoinvestoinnit '!L248+'8. Satunnaiset erät'!L248+'9. Tulorahkorjauserät'!L248</f>
        <v>-1239.3117713461629</v>
      </c>
      <c r="M248" s="41">
        <f>Vuosikate!M248+'7. Nettoinvestoinnit '!M248+'8. Satunnaiset erät'!M248+'9. Tulorahkorjauserät'!M248</f>
        <v>-689.82667702984145</v>
      </c>
      <c r="N248" s="41">
        <f>Vuosikate!N248+'7. Nettoinvestoinnit '!N248+'8. Satunnaiset erät'!N248+'9. Tulorahkorjauserät'!N248</f>
        <v>-1048.2459397246098</v>
      </c>
      <c r="O248" s="41">
        <f>Vuosikate!O248+'7. Nettoinvestoinnit '!O248+'8. Satunnaiset erät'!O248+'9. Tulorahkorjauserät'!O248</f>
        <v>-1384.8101481791948</v>
      </c>
      <c r="P248" s="41">
        <f>Vuosikate!P248+'7. Nettoinvestoinnit '!P248+'8. Satunnaiset erät'!P248+'9. Tulorahkorjauserät'!P248</f>
        <v>-1242.2145911575572</v>
      </c>
      <c r="T248" s="34">
        <v>751</v>
      </c>
      <c r="U248" s="88" t="s">
        <v>562</v>
      </c>
      <c r="V248" s="41" t="e">
        <f>C248/'1. Väestöennuste'!E248*1000</f>
        <v>#REF!</v>
      </c>
      <c r="W248" s="41">
        <f>D248/'1. Väestöennuste'!F248*1000</f>
        <v>222.08201892744481</v>
      </c>
      <c r="X248" s="41">
        <f>E248/'1. Väestöennuste'!G248*1000</f>
        <v>374.91961414790995</v>
      </c>
      <c r="Y248" s="41">
        <f>F248/'1. Väestöennuste'!H248*1000</f>
        <v>-139.90147783251231</v>
      </c>
      <c r="Z248" s="41">
        <f>G248/'1. Väestöennuste'!I248*1000</f>
        <v>-640.56224899598396</v>
      </c>
      <c r="AA248" s="41">
        <f>H248/'1. Väestöennuste'!J248*1000</f>
        <v>558.90535840231894</v>
      </c>
      <c r="AB248" s="41">
        <f>I248/'1. Väestöennuste'!K248*1000</f>
        <v>696.67454488750525</v>
      </c>
      <c r="AC248" s="41">
        <f>J248/'1. Väestöennuste'!L248*1000</f>
        <v>435.33234585027122</v>
      </c>
      <c r="AD248" s="41">
        <f>K248/'1. Väestöennuste'!M248*1000</f>
        <v>885.45121052138427</v>
      </c>
      <c r="AE248" s="41">
        <f>L248/'1. Väestöennuste'!N248*1000</f>
        <v>-448.21402218667737</v>
      </c>
      <c r="AF248" s="41">
        <f>M248/'1. Väestöennuste'!O248*1000</f>
        <v>-253.61274890802991</v>
      </c>
      <c r="AG248" s="41">
        <f>N248/'1. Väestöennuste'!P248*1000</f>
        <v>-391.42865561038451</v>
      </c>
      <c r="AH248" s="41">
        <f>O248/'1. Väestöennuste'!Q248*1000</f>
        <v>-524.35068087057732</v>
      </c>
      <c r="AI248" s="41">
        <f>P248/'1. Väestöennuste'!R248*1000</f>
        <v>-477.77484275290658</v>
      </c>
    </row>
    <row r="249" spans="1:35" x14ac:dyDescent="0.2">
      <c r="A249" s="34">
        <v>753</v>
      </c>
      <c r="B249" s="88" t="s">
        <v>563</v>
      </c>
      <c r="C249" s="41" t="e">
        <f>Vuosikate!C249+'7. Nettoinvestoinnit '!C249+'8. Satunnaiset erät'!C249+'9. Tulorahkorjauserät'!C249</f>
        <v>#REF!</v>
      </c>
      <c r="D249" s="41">
        <f>Vuosikate!D249+'7. Nettoinvestoinnit '!D249+'8. Satunnaiset erät'!D249+'9. Tulorahkorjauserät'!D249</f>
        <v>-9427</v>
      </c>
      <c r="E249" s="41">
        <f>Vuosikate!E249+'7. Nettoinvestoinnit '!E249+'8. Satunnaiset erät'!E249+'9. Tulorahkorjauserät'!E249</f>
        <v>-2296</v>
      </c>
      <c r="F249" s="41">
        <f>Vuosikate!F249+'7. Nettoinvestoinnit '!F249+'8. Satunnaiset erät'!F249+'9. Tulorahkorjauserät'!F249</f>
        <v>-25839</v>
      </c>
      <c r="G249" s="41">
        <f>Vuosikate!G249+'7. Nettoinvestoinnit '!G249+'8. Satunnaiset erät'!G249+'9. Tulorahkorjauserät'!G249</f>
        <v>-21354</v>
      </c>
      <c r="H249" s="41">
        <f>Vuosikate!H249+'7. Nettoinvestoinnit '!H249+'8. Satunnaiset erät'!H249+'9. Tulorahkorjauserät'!H249</f>
        <v>-9107.9229593441451</v>
      </c>
      <c r="I249" s="41">
        <f>Vuosikate!I249+'7. Nettoinvestoinnit '!I249+'8. Satunnaiset erät'!I249+'9. Tulorahkorjauserät'!I249</f>
        <v>-2277.5908241549278</v>
      </c>
      <c r="J249" s="41">
        <f>Vuosikate!J249+'7. Nettoinvestoinnit '!J249+'8. Satunnaiset erät'!J249+'9. Tulorahkorjauserät'!J249</f>
        <v>6036.1697588130028</v>
      </c>
      <c r="K249" s="41">
        <f>Vuosikate!K249+'7. Nettoinvestoinnit '!K249+'8. Satunnaiset erät'!K249+'9. Tulorahkorjauserät'!K249</f>
        <v>3143.4573172461351</v>
      </c>
      <c r="L249" s="41">
        <f>Vuosikate!L249+'7. Nettoinvestoinnit '!L249+'8. Satunnaiset erät'!L249+'9. Tulorahkorjauserät'!L249</f>
        <v>-4516.6333339987268</v>
      </c>
      <c r="M249" s="41">
        <f>Vuosikate!M249+'7. Nettoinvestoinnit '!M249+'8. Satunnaiset erät'!M249+'9. Tulorahkorjauserät'!M249</f>
        <v>-6087.6436884397535</v>
      </c>
      <c r="N249" s="41">
        <f>Vuosikate!N249+'7. Nettoinvestoinnit '!N249+'8. Satunnaiset erät'!N249+'9. Tulorahkorjauserät'!N249</f>
        <v>-7725.1365561614457</v>
      </c>
      <c r="O249" s="41">
        <f>Vuosikate!O249+'7. Nettoinvestoinnit '!O249+'8. Satunnaiset erät'!O249+'9. Tulorahkorjauserät'!O249</f>
        <v>-8942.2574734456321</v>
      </c>
      <c r="P249" s="41">
        <f>Vuosikate!P249+'7. Nettoinvestoinnit '!P249+'8. Satunnaiset erät'!P249+'9. Tulorahkorjauserät'!P249</f>
        <v>-8953.0051375275289</v>
      </c>
      <c r="T249" s="34">
        <v>753</v>
      </c>
      <c r="U249" s="88" t="s">
        <v>563</v>
      </c>
      <c r="V249" s="41" t="e">
        <f>C249/'1. Väestöennuste'!E249*1000</f>
        <v>#REF!</v>
      </c>
      <c r="W249" s="41">
        <f>D249/'1. Väestöennuste'!F249*1000</f>
        <v>-473.19546230298164</v>
      </c>
      <c r="X249" s="41">
        <f>E249/'1. Väestöennuste'!G249*1000</f>
        <v>-113.04775972427376</v>
      </c>
      <c r="Y249" s="41">
        <f>F249/'1. Väestöennuste'!H249*1000</f>
        <v>-1250.3145262750411</v>
      </c>
      <c r="Z249" s="41">
        <f>G249/'1. Väestöennuste'!I249*1000</f>
        <v>-1008.6915446386395</v>
      </c>
      <c r="AA249" s="41">
        <f>H249/'1. Väestöennuste'!J249*1000</f>
        <v>-419.97154790169895</v>
      </c>
      <c r="AB249" s="41">
        <f>I249/'1. Väestöennuste'!K249*1000</f>
        <v>-102.64041568972185</v>
      </c>
      <c r="AC249" s="41">
        <f>J249/'1. Väestöennuste'!L249*1000</f>
        <v>270.43771320846787</v>
      </c>
      <c r="AD249" s="41">
        <f>K249/'1. Väestöennuste'!M249*1000</f>
        <v>139.12181089825782</v>
      </c>
      <c r="AE249" s="41">
        <f>L249/'1. Väestöennuste'!N249*1000</f>
        <v>-194.34738958686432</v>
      </c>
      <c r="AF249" s="41">
        <f>M249/'1. Väestöennuste'!O249*1000</f>
        <v>-257.90729064733745</v>
      </c>
      <c r="AG249" s="41">
        <f>N249/'1. Väestöennuste'!P249*1000</f>
        <v>-322.41805326216382</v>
      </c>
      <c r="AH249" s="41">
        <f>O249/'1. Väestöennuste'!Q249*1000</f>
        <v>-367.96384961919313</v>
      </c>
      <c r="AI249" s="41">
        <f>P249/'1. Väestöennuste'!R249*1000</f>
        <v>-363.48524775800939</v>
      </c>
    </row>
    <row r="250" spans="1:35" x14ac:dyDescent="0.2">
      <c r="A250" s="34">
        <v>755</v>
      </c>
      <c r="B250" s="88" t="s">
        <v>564</v>
      </c>
      <c r="C250" s="41" t="e">
        <f>Vuosikate!C250+'7. Nettoinvestoinnit '!C250+'8. Satunnaiset erät'!C250+'9. Tulorahkorjauserät'!C250</f>
        <v>#REF!</v>
      </c>
      <c r="D250" s="41">
        <f>Vuosikate!D250+'7. Nettoinvestoinnit '!D250+'8. Satunnaiset erät'!D250+'9. Tulorahkorjauserät'!D250</f>
        <v>3042</v>
      </c>
      <c r="E250" s="41">
        <f>Vuosikate!E250+'7. Nettoinvestoinnit '!E250+'8. Satunnaiset erät'!E250+'9. Tulorahkorjauserät'!E250</f>
        <v>-665</v>
      </c>
      <c r="F250" s="41">
        <f>Vuosikate!F250+'7. Nettoinvestoinnit '!F250+'8. Satunnaiset erät'!F250+'9. Tulorahkorjauserät'!F250</f>
        <v>-1203</v>
      </c>
      <c r="G250" s="41">
        <f>Vuosikate!G250+'7. Nettoinvestoinnit '!G250+'8. Satunnaiset erät'!G250+'9. Tulorahkorjauserät'!G250</f>
        <v>-1634</v>
      </c>
      <c r="H250" s="41">
        <f>Vuosikate!H250+'7. Nettoinvestoinnit '!H250+'8. Satunnaiset erät'!H250+'9. Tulorahkorjauserät'!H250</f>
        <v>352.55920855502609</v>
      </c>
      <c r="I250" s="41">
        <f>Vuosikate!I250+'7. Nettoinvestoinnit '!I250+'8. Satunnaiset erät'!I250+'9. Tulorahkorjauserät'!I250</f>
        <v>1687.0087102458926</v>
      </c>
      <c r="J250" s="41">
        <f>Vuosikate!J250+'7. Nettoinvestoinnit '!J250+'8. Satunnaiset erät'!J250+'9. Tulorahkorjauserät'!J250</f>
        <v>-1901.7934110577853</v>
      </c>
      <c r="K250" s="41">
        <f>Vuosikate!K250+'7. Nettoinvestoinnit '!K250+'8. Satunnaiset erät'!K250+'9. Tulorahkorjauserät'!K250</f>
        <v>162.12583539521569</v>
      </c>
      <c r="L250" s="41">
        <f>Vuosikate!L250+'7. Nettoinvestoinnit '!L250+'8. Satunnaiset erät'!L250+'9. Tulorahkorjauserät'!L250</f>
        <v>-4116.5592748820945</v>
      </c>
      <c r="M250" s="41">
        <f>Vuosikate!M250+'7. Nettoinvestoinnit '!M250+'8. Satunnaiset erät'!M250+'9. Tulorahkorjauserät'!M250</f>
        <v>-4716.1565094424222</v>
      </c>
      <c r="N250" s="41">
        <f>Vuosikate!N250+'7. Nettoinvestoinnit '!N250+'8. Satunnaiset erät'!N250+'9. Tulorahkorjauserät'!N250</f>
        <v>-4823.1308918991117</v>
      </c>
      <c r="O250" s="41">
        <f>Vuosikate!O250+'7. Nettoinvestoinnit '!O250+'8. Satunnaiset erät'!O250+'9. Tulorahkorjauserät'!O250</f>
        <v>-5381.0838755794848</v>
      </c>
      <c r="P250" s="41">
        <f>Vuosikate!P250+'7. Nettoinvestoinnit '!P250+'8. Satunnaiset erät'!P250+'9. Tulorahkorjauserät'!P250</f>
        <v>-5520.0574066629033</v>
      </c>
      <c r="T250" s="34">
        <v>755</v>
      </c>
      <c r="U250" s="88" t="s">
        <v>564</v>
      </c>
      <c r="V250" s="41" t="e">
        <f>C250/'1. Väestöennuste'!E250*1000</f>
        <v>#REF!</v>
      </c>
      <c r="W250" s="41">
        <f>D250/'1. Väestöennuste'!F250*1000</f>
        <v>492.39235998705084</v>
      </c>
      <c r="X250" s="41">
        <f>E250/'1. Väestöennuste'!G250*1000</f>
        <v>-108.20045558086561</v>
      </c>
      <c r="Y250" s="41">
        <f>F250/'1. Väestöennuste'!H250*1000</f>
        <v>-196.11998695793937</v>
      </c>
      <c r="Z250" s="41">
        <f>G250/'1. Väestöennuste'!I250*1000</f>
        <v>-265.9072416598861</v>
      </c>
      <c r="AA250" s="41">
        <f>H250/'1. Väestöennuste'!J250*1000</f>
        <v>57.336023508704841</v>
      </c>
      <c r="AB250" s="41">
        <f>I250/'1. Väestöennuste'!K250*1000</f>
        <v>272.18598100127338</v>
      </c>
      <c r="AC250" s="41">
        <f>J250/'1. Väestöennuste'!L250*1000</f>
        <v>-305.9021089042601</v>
      </c>
      <c r="AD250" s="41">
        <f>K250/'1. Väestöennuste'!M250*1000</f>
        <v>26.327677069700503</v>
      </c>
      <c r="AE250" s="41">
        <f>L250/'1. Väestöennuste'!N250*1000</f>
        <v>-664.92638909418417</v>
      </c>
      <c r="AF250" s="41">
        <f>M250/'1. Väestöennuste'!O250*1000</f>
        <v>-760.67040474877774</v>
      </c>
      <c r="AG250" s="41">
        <f>N250/'1. Väestöennuste'!P250*1000</f>
        <v>-777.0470262444195</v>
      </c>
      <c r="AH250" s="41">
        <f>O250/'1. Väestöennuste'!Q250*1000</f>
        <v>-866.24016026714185</v>
      </c>
      <c r="AI250" s="41">
        <f>P250/'1. Väestöennuste'!R250*1000</f>
        <v>-887.89728271881984</v>
      </c>
    </row>
    <row r="251" spans="1:35" x14ac:dyDescent="0.2">
      <c r="A251" s="34">
        <v>758</v>
      </c>
      <c r="B251" s="88" t="s">
        <v>565</v>
      </c>
      <c r="C251" s="41" t="e">
        <f>Vuosikate!C251+'7. Nettoinvestoinnit '!C251+'8. Satunnaiset erät'!C251+'9. Tulorahkorjauserät'!C251</f>
        <v>#REF!</v>
      </c>
      <c r="D251" s="41">
        <f>Vuosikate!D251+'7. Nettoinvestoinnit '!D251+'8. Satunnaiset erät'!D251+'9. Tulorahkorjauserät'!D251</f>
        <v>-1278</v>
      </c>
      <c r="E251" s="41">
        <f>Vuosikate!E251+'7. Nettoinvestoinnit '!E251+'8. Satunnaiset erät'!E251+'9. Tulorahkorjauserät'!E251</f>
        <v>71</v>
      </c>
      <c r="F251" s="41">
        <f>Vuosikate!F251+'7. Nettoinvestoinnit '!F251+'8. Satunnaiset erät'!F251+'9. Tulorahkorjauserät'!F251</f>
        <v>-3304</v>
      </c>
      <c r="G251" s="41">
        <f>Vuosikate!G251+'7. Nettoinvestoinnit '!G251+'8. Satunnaiset erät'!G251+'9. Tulorahkorjauserät'!G251</f>
        <v>-2322</v>
      </c>
      <c r="H251" s="41">
        <f>Vuosikate!H251+'7. Nettoinvestoinnit '!H251+'8. Satunnaiset erät'!H251+'9. Tulorahkorjauserät'!H251</f>
        <v>6838.4962282736524</v>
      </c>
      <c r="I251" s="41">
        <f>Vuosikate!I251+'7. Nettoinvestoinnit '!I251+'8. Satunnaiset erät'!I251+'9. Tulorahkorjauserät'!I251</f>
        <v>7084.0680067221529</v>
      </c>
      <c r="J251" s="41">
        <f>Vuosikate!J251+'7. Nettoinvestoinnit '!J251+'8. Satunnaiset erät'!J251+'9. Tulorahkorjauserät'!J251</f>
        <v>5213.9882513090988</v>
      </c>
      <c r="K251" s="41">
        <f>Vuosikate!K251+'7. Nettoinvestoinnit '!K251+'8. Satunnaiset erät'!K251+'9. Tulorahkorjauserät'!K251</f>
        <v>5580.2136231159238</v>
      </c>
      <c r="L251" s="41">
        <f>Vuosikate!L251+'7. Nettoinvestoinnit '!L251+'8. Satunnaiset erät'!L251+'9. Tulorahkorjauserät'!L251</f>
        <v>6664.253431352292</v>
      </c>
      <c r="M251" s="41">
        <f>Vuosikate!M251+'7. Nettoinvestoinnit '!M251+'8. Satunnaiset erät'!M251+'9. Tulorahkorjauserät'!M251</f>
        <v>6185.5912810884665</v>
      </c>
      <c r="N251" s="41">
        <f>Vuosikate!N251+'7. Nettoinvestoinnit '!N251+'8. Satunnaiset erät'!N251+'9. Tulorahkorjauserät'!N251</f>
        <v>5781.3886544554116</v>
      </c>
      <c r="O251" s="41">
        <f>Vuosikate!O251+'7. Nettoinvestoinnit '!O251+'8. Satunnaiset erät'!O251+'9. Tulorahkorjauserät'!O251</f>
        <v>6358.1431486872552</v>
      </c>
      <c r="P251" s="41">
        <f>Vuosikate!P251+'7. Nettoinvestoinnit '!P251+'8. Satunnaiset erät'!P251+'9. Tulorahkorjauserät'!P251</f>
        <v>7043.1250515869033</v>
      </c>
      <c r="T251" s="34">
        <v>758</v>
      </c>
      <c r="U251" s="88" t="s">
        <v>565</v>
      </c>
      <c r="V251" s="41" t="e">
        <f>C251/'1. Väestöennuste'!E251*1000</f>
        <v>#REF!</v>
      </c>
      <c r="W251" s="41">
        <f>D251/'1. Väestöennuste'!F251*1000</f>
        <v>-147.69444123425401</v>
      </c>
      <c r="X251" s="41">
        <f>E251/'1. Väestöennuste'!G251*1000</f>
        <v>8.3089526038619077</v>
      </c>
      <c r="Y251" s="41">
        <f>F251/'1. Väestöennuste'!H251*1000</f>
        <v>-391.2837517764093</v>
      </c>
      <c r="Z251" s="41">
        <f>G251/'1. Väestöennuste'!I251*1000</f>
        <v>-279.65795495603999</v>
      </c>
      <c r="AA251" s="41">
        <f>H251/'1. Väestöennuste'!J251*1000</f>
        <v>827.30416504641335</v>
      </c>
      <c r="AB251" s="41">
        <f>I251/'1. Väestöennuste'!K251*1000</f>
        <v>865.28252189106547</v>
      </c>
      <c r="AC251" s="41">
        <f>J251/'1. Väestöennuste'!L251*1000</f>
        <v>641.01158732592808</v>
      </c>
      <c r="AD251" s="41">
        <f>K251/'1. Väestöennuste'!M251*1000</f>
        <v>686.71100456755153</v>
      </c>
      <c r="AE251" s="41">
        <f>L251/'1. Väestöennuste'!N251*1000</f>
        <v>845.824778696826</v>
      </c>
      <c r="AF251" s="41">
        <f>M251/'1. Väestöennuste'!O251*1000</f>
        <v>793.22791498954427</v>
      </c>
      <c r="AG251" s="41">
        <f>N251/'1. Väestöennuste'!P251*1000</f>
        <v>749.17567117473266</v>
      </c>
      <c r="AH251" s="41">
        <f>O251/'1. Väestöennuste'!Q251*1000</f>
        <v>832.76269138012515</v>
      </c>
      <c r="AI251" s="41">
        <f>P251/'1. Väestöennuste'!R251*1000</f>
        <v>932.00013915401655</v>
      </c>
    </row>
    <row r="252" spans="1:35" x14ac:dyDescent="0.2">
      <c r="A252" s="34">
        <v>759</v>
      </c>
      <c r="B252" s="88" t="s">
        <v>566</v>
      </c>
      <c r="C252" s="41" t="e">
        <f>Vuosikate!C252+'7. Nettoinvestoinnit '!C252+'8. Satunnaiset erät'!C252+'9. Tulorahkorjauserät'!C252</f>
        <v>#REF!</v>
      </c>
      <c r="D252" s="41">
        <f>Vuosikate!D252+'7. Nettoinvestoinnit '!D252+'8. Satunnaiset erät'!D252+'9. Tulorahkorjauserät'!D252</f>
        <v>388</v>
      </c>
      <c r="E252" s="41">
        <f>Vuosikate!E252+'7. Nettoinvestoinnit '!E252+'8. Satunnaiset erät'!E252+'9. Tulorahkorjauserät'!E252</f>
        <v>508</v>
      </c>
      <c r="F252" s="41">
        <f>Vuosikate!F252+'7. Nettoinvestoinnit '!F252+'8. Satunnaiset erät'!F252+'9. Tulorahkorjauserät'!F252</f>
        <v>452</v>
      </c>
      <c r="G252" s="41">
        <f>Vuosikate!G252+'7. Nettoinvestoinnit '!G252+'8. Satunnaiset erät'!G252+'9. Tulorahkorjauserät'!G252</f>
        <v>2158</v>
      </c>
      <c r="H252" s="41">
        <f>Vuosikate!H252+'7. Nettoinvestoinnit '!H252+'8. Satunnaiset erät'!H252+'9. Tulorahkorjauserät'!H252</f>
        <v>-405.38915815599466</v>
      </c>
      <c r="I252" s="41">
        <f>Vuosikate!I252+'7. Nettoinvestoinnit '!I252+'8. Satunnaiset erät'!I252+'9. Tulorahkorjauserät'!I252</f>
        <v>-264.37253092532495</v>
      </c>
      <c r="J252" s="41">
        <f>Vuosikate!J252+'7. Nettoinvestoinnit '!J252+'8. Satunnaiset erät'!J252+'9. Tulorahkorjauserät'!J252</f>
        <v>834.1211250293494</v>
      </c>
      <c r="K252" s="41">
        <f>Vuosikate!K252+'7. Nettoinvestoinnit '!K252+'8. Satunnaiset erät'!K252+'9. Tulorahkorjauserät'!K252</f>
        <v>1180.8306161922196</v>
      </c>
      <c r="L252" s="41">
        <f>Vuosikate!L252+'7. Nettoinvestoinnit '!L252+'8. Satunnaiset erät'!L252+'9. Tulorahkorjauserät'!L252</f>
        <v>449.94918800871426</v>
      </c>
      <c r="M252" s="41">
        <f>Vuosikate!M252+'7. Nettoinvestoinnit '!M252+'8. Satunnaiset erät'!M252+'9. Tulorahkorjauserät'!M252</f>
        <v>154.27523234812895</v>
      </c>
      <c r="N252" s="41">
        <f>Vuosikate!N252+'7. Nettoinvestoinnit '!N252+'8. Satunnaiset erät'!N252+'9. Tulorahkorjauserät'!N252</f>
        <v>145.80755271073133</v>
      </c>
      <c r="O252" s="41">
        <f>Vuosikate!O252+'7. Nettoinvestoinnit '!O252+'8. Satunnaiset erät'!O252+'9. Tulorahkorjauserät'!O252</f>
        <v>112.11848683777714</v>
      </c>
      <c r="P252" s="41">
        <f>Vuosikate!P252+'7. Nettoinvestoinnit '!P252+'8. Satunnaiset erät'!P252+'9. Tulorahkorjauserät'!P252</f>
        <v>353.06509349554085</v>
      </c>
      <c r="T252" s="34">
        <v>759</v>
      </c>
      <c r="U252" s="88" t="s">
        <v>566</v>
      </c>
      <c r="V252" s="41" t="e">
        <f>C252/'1. Väestöennuste'!E252*1000</f>
        <v>#REF!</v>
      </c>
      <c r="W252" s="41">
        <f>D252/'1. Väestöennuste'!F252*1000</f>
        <v>177.49313815187557</v>
      </c>
      <c r="X252" s="41">
        <f>E252/'1. Väestöennuste'!G252*1000</f>
        <v>240.30274361400188</v>
      </c>
      <c r="Y252" s="41">
        <f>F252/'1. Väestöennuste'!H252*1000</f>
        <v>216.78657074340526</v>
      </c>
      <c r="Z252" s="41">
        <f>G252/'1. Väestöennuste'!I252*1000</f>
        <v>1051.6569200779727</v>
      </c>
      <c r="AA252" s="41">
        <f>H252/'1. Väestöennuste'!J252*1000</f>
        <v>-201.98762239959873</v>
      </c>
      <c r="AB252" s="41">
        <f>I252/'1. Väestöennuste'!K252*1000</f>
        <v>-132.38484272675259</v>
      </c>
      <c r="AC252" s="41">
        <f>J252/'1. Väestöennuste'!L252*1000</f>
        <v>429.51654223962379</v>
      </c>
      <c r="AD252" s="41">
        <f>K252/'1. Väestöennuste'!M252*1000</f>
        <v>630.4488073637051</v>
      </c>
      <c r="AE252" s="41">
        <f>L252/'1. Väestöennuste'!N252*1000</f>
        <v>242.16856189920037</v>
      </c>
      <c r="AF252" s="41">
        <f>M252/'1. Väestöennuste'!O252*1000</f>
        <v>84.395641328298112</v>
      </c>
      <c r="AG252" s="41">
        <f>N252/'1. Väestöennuste'!P252*1000</f>
        <v>81.229834379237502</v>
      </c>
      <c r="AH252" s="41">
        <f>O252/'1. Väestöennuste'!Q252*1000</f>
        <v>63.487251890021035</v>
      </c>
      <c r="AI252" s="41">
        <f>P252/'1. Väestöennuste'!R252*1000</f>
        <v>203.26142400434131</v>
      </c>
    </row>
    <row r="253" spans="1:35" x14ac:dyDescent="0.2">
      <c r="A253" s="34">
        <v>761</v>
      </c>
      <c r="B253" s="88" t="s">
        <v>567</v>
      </c>
      <c r="C253" s="41" t="e">
        <f>Vuosikate!C253+'7. Nettoinvestoinnit '!C253+'8. Satunnaiset erät'!C253+'9. Tulorahkorjauserät'!C253</f>
        <v>#REF!</v>
      </c>
      <c r="D253" s="41">
        <f>Vuosikate!D253+'7. Nettoinvestoinnit '!D253+'8. Satunnaiset erät'!D253+'9. Tulorahkorjauserät'!D253</f>
        <v>-4334</v>
      </c>
      <c r="E253" s="41">
        <f>Vuosikate!E253+'7. Nettoinvestoinnit '!E253+'8. Satunnaiset erät'!E253+'9. Tulorahkorjauserät'!E253</f>
        <v>-2962</v>
      </c>
      <c r="F253" s="41">
        <f>Vuosikate!F253+'7. Nettoinvestoinnit '!F253+'8. Satunnaiset erät'!F253+'9. Tulorahkorjauserät'!F253</f>
        <v>-2330</v>
      </c>
      <c r="G253" s="41">
        <f>Vuosikate!G253+'7. Nettoinvestoinnit '!G253+'8. Satunnaiset erät'!G253+'9. Tulorahkorjauserät'!G253</f>
        <v>-1257</v>
      </c>
      <c r="H253" s="41">
        <f>Vuosikate!H253+'7. Nettoinvestoinnit '!H253+'8. Satunnaiset erät'!H253+'9. Tulorahkorjauserät'!H253</f>
        <v>5604.5026016050797</v>
      </c>
      <c r="I253" s="41">
        <f>Vuosikate!I253+'7. Nettoinvestoinnit '!I253+'8. Satunnaiset erät'!I253+'9. Tulorahkorjauserät'!I253</f>
        <v>2961.1823128651445</v>
      </c>
      <c r="J253" s="41">
        <f>Vuosikate!J253+'7. Nettoinvestoinnit '!J253+'8. Satunnaiset erät'!J253+'9. Tulorahkorjauserät'!J253</f>
        <v>2631.0374182355899</v>
      </c>
      <c r="K253" s="41">
        <f>Vuosikate!K253+'7. Nettoinvestoinnit '!K253+'8. Satunnaiset erät'!K253+'9. Tulorahkorjauserät'!K253</f>
        <v>-568.07520400322346</v>
      </c>
      <c r="L253" s="41">
        <f>Vuosikate!L253+'7. Nettoinvestoinnit '!L253+'8. Satunnaiset erät'!L253+'9. Tulorahkorjauserät'!L253</f>
        <v>-1053.8049343035714</v>
      </c>
      <c r="M253" s="41">
        <f>Vuosikate!M253+'7. Nettoinvestoinnit '!M253+'8. Satunnaiset erät'!M253+'9. Tulorahkorjauserät'!M253</f>
        <v>-2011.4748136961421</v>
      </c>
      <c r="N253" s="41">
        <f>Vuosikate!N253+'7. Nettoinvestoinnit '!N253+'8. Satunnaiset erät'!N253+'9. Tulorahkorjauserät'!N253</f>
        <v>-2503.6104694186101</v>
      </c>
      <c r="O253" s="41">
        <f>Vuosikate!O253+'7. Nettoinvestoinnit '!O253+'8. Satunnaiset erät'!O253+'9. Tulorahkorjauserät'!O253</f>
        <v>-2741.823881066025</v>
      </c>
      <c r="P253" s="41">
        <f>Vuosikate!P253+'7. Nettoinvestoinnit '!P253+'8. Satunnaiset erät'!P253+'9. Tulorahkorjauserät'!P253</f>
        <v>-1715.9575905830634</v>
      </c>
      <c r="T253" s="34">
        <v>761</v>
      </c>
      <c r="U253" s="88" t="s">
        <v>567</v>
      </c>
      <c r="V253" s="41" t="e">
        <f>C253/'1. Väestöennuste'!E253*1000</f>
        <v>#REF!</v>
      </c>
      <c r="W253" s="41">
        <f>D253/'1. Väestöennuste'!F253*1000</f>
        <v>-480.11520992577823</v>
      </c>
      <c r="X253" s="41">
        <f>E253/'1. Väestöennuste'!G253*1000</f>
        <v>-332.10001121201924</v>
      </c>
      <c r="Y253" s="41">
        <f>F253/'1. Väestöennuste'!H253*1000</f>
        <v>-263.93294064340733</v>
      </c>
      <c r="Z253" s="41">
        <f>G253/'1. Väestöennuste'!I253*1000</f>
        <v>-144.30030995293308</v>
      </c>
      <c r="AA253" s="41">
        <f>H253/'1. Väestöennuste'!J253*1000</f>
        <v>648.21913041927826</v>
      </c>
      <c r="AB253" s="41">
        <f>I253/'1. Väestöennuste'!K253*1000</f>
        <v>345.8113176299363</v>
      </c>
      <c r="AC253" s="41">
        <f>J253/'1. Väestöennuste'!L253*1000</f>
        <v>312.25224522140871</v>
      </c>
      <c r="AD253" s="41">
        <f>K253/'1. Väestöennuste'!M253*1000</f>
        <v>-67.547586682904097</v>
      </c>
      <c r="AE253" s="41">
        <f>L253/'1. Väestöennuste'!N253*1000</f>
        <v>-127.16362185393645</v>
      </c>
      <c r="AF253" s="41">
        <f>M253/'1. Väestöennuste'!O253*1000</f>
        <v>-244.94335286119608</v>
      </c>
      <c r="AG253" s="41">
        <f>N253/'1. Väestöennuste'!P253*1000</f>
        <v>-307.53107350676947</v>
      </c>
      <c r="AH253" s="41">
        <f>O253/'1. Väestöennuste'!Q253*1000</f>
        <v>-339.58680716695875</v>
      </c>
      <c r="AI253" s="41">
        <f>P253/'1. Väestöennuste'!R253*1000</f>
        <v>-214.1199888424087</v>
      </c>
    </row>
    <row r="254" spans="1:35" x14ac:dyDescent="0.2">
      <c r="A254" s="34">
        <v>762</v>
      </c>
      <c r="B254" s="88" t="s">
        <v>568</v>
      </c>
      <c r="C254" s="41" t="e">
        <f>Vuosikate!C254+'7. Nettoinvestoinnit '!C254+'8. Satunnaiset erät'!C254+'9. Tulorahkorjauserät'!C254</f>
        <v>#REF!</v>
      </c>
      <c r="D254" s="41">
        <f>Vuosikate!D254+'7. Nettoinvestoinnit '!D254+'8. Satunnaiset erät'!D254+'9. Tulorahkorjauserät'!D254</f>
        <v>-2203</v>
      </c>
      <c r="E254" s="41">
        <f>Vuosikate!E254+'7. Nettoinvestoinnit '!E254+'8. Satunnaiset erät'!E254+'9. Tulorahkorjauserät'!E254</f>
        <v>738</v>
      </c>
      <c r="F254" s="41">
        <f>Vuosikate!F254+'7. Nettoinvestoinnit '!F254+'8. Satunnaiset erät'!F254+'9. Tulorahkorjauserät'!F254</f>
        <v>414</v>
      </c>
      <c r="G254" s="41">
        <f>Vuosikate!G254+'7. Nettoinvestoinnit '!G254+'8. Satunnaiset erät'!G254+'9. Tulorahkorjauserät'!G254</f>
        <v>-506</v>
      </c>
      <c r="H254" s="41">
        <f>Vuosikate!H254+'7. Nettoinvestoinnit '!H254+'8. Satunnaiset erät'!H254+'9. Tulorahkorjauserät'!H254</f>
        <v>3461.542990471371</v>
      </c>
      <c r="I254" s="41">
        <f>Vuosikate!I254+'7. Nettoinvestoinnit '!I254+'8. Satunnaiset erät'!I254+'9. Tulorahkorjauserät'!I254</f>
        <v>4518.1690323798111</v>
      </c>
      <c r="J254" s="41">
        <f>Vuosikate!J254+'7. Nettoinvestoinnit '!J254+'8. Satunnaiset erät'!J254+'9. Tulorahkorjauserät'!J254</f>
        <v>-430.23327031986463</v>
      </c>
      <c r="K254" s="41">
        <f>Vuosikate!K254+'7. Nettoinvestoinnit '!K254+'8. Satunnaiset erät'!K254+'9. Tulorahkorjauserät'!K254</f>
        <v>2877.1356167137465</v>
      </c>
      <c r="L254" s="41">
        <f>Vuosikate!L254+'7. Nettoinvestoinnit '!L254+'8. Satunnaiset erät'!L254+'9. Tulorahkorjauserät'!L254</f>
        <v>1585.5146190888522</v>
      </c>
      <c r="M254" s="41">
        <f>Vuosikate!M254+'7. Nettoinvestoinnit '!M254+'8. Satunnaiset erät'!M254+'9. Tulorahkorjauserät'!M254</f>
        <v>-225.37470474110751</v>
      </c>
      <c r="N254" s="41">
        <f>Vuosikate!N254+'7. Nettoinvestoinnit '!N254+'8. Satunnaiset erät'!N254+'9. Tulorahkorjauserät'!N254</f>
        <v>-436.93076510849573</v>
      </c>
      <c r="O254" s="41">
        <f>Vuosikate!O254+'7. Nettoinvestoinnit '!O254+'8. Satunnaiset erät'!O254+'9. Tulorahkorjauserät'!O254</f>
        <v>-625.57242776378428</v>
      </c>
      <c r="P254" s="41">
        <f>Vuosikate!P254+'7. Nettoinvestoinnit '!P254+'8. Satunnaiset erät'!P254+'9. Tulorahkorjauserät'!P254</f>
        <v>-219.45082185728302</v>
      </c>
      <c r="T254" s="34">
        <v>762</v>
      </c>
      <c r="U254" s="88" t="s">
        <v>568</v>
      </c>
      <c r="V254" s="41" t="e">
        <f>C254/'1. Väestöennuste'!E254*1000</f>
        <v>#REF!</v>
      </c>
      <c r="W254" s="41">
        <f>D254/'1. Väestöennuste'!F254*1000</f>
        <v>-524.64872588711603</v>
      </c>
      <c r="X254" s="41">
        <f>E254/'1. Väestöennuste'!G254*1000</f>
        <v>181.10429447852761</v>
      </c>
      <c r="Y254" s="41">
        <f>F254/'1. Väestöennuste'!H254*1000</f>
        <v>104.36097806906983</v>
      </c>
      <c r="Z254" s="41">
        <f>G254/'1. Väestöennuste'!I254*1000</f>
        <v>-129.8434693353862</v>
      </c>
      <c r="AA254" s="41">
        <f>H254/'1. Väestöennuste'!J254*1000</f>
        <v>901.20879731095317</v>
      </c>
      <c r="AB254" s="41">
        <f>I254/'1. Väestöennuste'!K254*1000</f>
        <v>1196.2322034365397</v>
      </c>
      <c r="AC254" s="41">
        <f>J254/'1. Väestöennuste'!L254*1000</f>
        <v>-117.16592328972348</v>
      </c>
      <c r="AD254" s="41">
        <f>K254/'1. Väestöennuste'!M254*1000</f>
        <v>791.07385667136282</v>
      </c>
      <c r="AE254" s="41">
        <f>L254/'1. Väestöennuste'!N254*1000</f>
        <v>445.87025283713507</v>
      </c>
      <c r="AF254" s="41">
        <f>M254/'1. Väestöennuste'!O254*1000</f>
        <v>-64.448013937977549</v>
      </c>
      <c r="AG254" s="41">
        <f>N254/'1. Väestöennuste'!P254*1000</f>
        <v>-126.94095441850544</v>
      </c>
      <c r="AH254" s="41">
        <f>O254/'1. Väestöennuste'!Q254*1000</f>
        <v>-184.48022051423897</v>
      </c>
      <c r="AI254" s="41">
        <f>P254/'1. Väestöennuste'!R254*1000</f>
        <v>-65.684172959378344</v>
      </c>
    </row>
    <row r="255" spans="1:35" x14ac:dyDescent="0.2">
      <c r="A255" s="34">
        <v>765</v>
      </c>
      <c r="B255" s="88" t="s">
        <v>569</v>
      </c>
      <c r="C255" s="41" t="e">
        <f>Vuosikate!C255+'7. Nettoinvestoinnit '!C255+'8. Satunnaiset erät'!C255+'9. Tulorahkorjauserät'!C255</f>
        <v>#REF!</v>
      </c>
      <c r="D255" s="41">
        <f>Vuosikate!D255+'7. Nettoinvestoinnit '!D255+'8. Satunnaiset erät'!D255+'9. Tulorahkorjauserät'!D255</f>
        <v>-2132</v>
      </c>
      <c r="E255" s="41">
        <f>Vuosikate!E255+'7. Nettoinvestoinnit '!E255+'8. Satunnaiset erät'!E255+'9. Tulorahkorjauserät'!E255</f>
        <v>85</v>
      </c>
      <c r="F255" s="41">
        <f>Vuosikate!F255+'7. Nettoinvestoinnit '!F255+'8. Satunnaiset erät'!F255+'9. Tulorahkorjauserät'!F255</f>
        <v>-3695</v>
      </c>
      <c r="G255" s="41">
        <f>Vuosikate!G255+'7. Nettoinvestoinnit '!G255+'8. Satunnaiset erät'!G255+'9. Tulorahkorjauserät'!G255</f>
        <v>50483</v>
      </c>
      <c r="H255" s="41">
        <f>Vuosikate!H255+'7. Nettoinvestoinnit '!H255+'8. Satunnaiset erät'!H255+'9. Tulorahkorjauserät'!H255</f>
        <v>-9390.5984059806979</v>
      </c>
      <c r="I255" s="41">
        <f>Vuosikate!I255+'7. Nettoinvestoinnit '!I255+'8. Satunnaiset erät'!I255+'9. Tulorahkorjauserät'!I255</f>
        <v>-9173.3406447111411</v>
      </c>
      <c r="J255" s="41">
        <f>Vuosikate!J255+'7. Nettoinvestoinnit '!J255+'8. Satunnaiset erät'!J255+'9. Tulorahkorjauserät'!J255</f>
        <v>-7388.1026465774758</v>
      </c>
      <c r="K255" s="41">
        <f>Vuosikate!K255+'7. Nettoinvestoinnit '!K255+'8. Satunnaiset erät'!K255+'9. Tulorahkorjauserät'!K255</f>
        <v>-25839.636632112921</v>
      </c>
      <c r="L255" s="41">
        <f>Vuosikate!L255+'7. Nettoinvestoinnit '!L255+'8. Satunnaiset erät'!L255+'9. Tulorahkorjauserät'!L255</f>
        <v>-15115.251755792458</v>
      </c>
      <c r="M255" s="41">
        <f>Vuosikate!M255+'7. Nettoinvestoinnit '!M255+'8. Satunnaiset erät'!M255+'9. Tulorahkorjauserät'!M255</f>
        <v>-18707.096030673638</v>
      </c>
      <c r="N255" s="41">
        <f>Vuosikate!N255+'7. Nettoinvestoinnit '!N255+'8. Satunnaiset erät'!N255+'9. Tulorahkorjauserät'!N255</f>
        <v>-19683.286845620074</v>
      </c>
      <c r="O255" s="41">
        <f>Vuosikate!O255+'7. Nettoinvestoinnit '!O255+'8. Satunnaiset erät'!O255+'9. Tulorahkorjauserät'!O255</f>
        <v>-20413.758029545148</v>
      </c>
      <c r="P255" s="41">
        <f>Vuosikate!P255+'7. Nettoinvestoinnit '!P255+'8. Satunnaiset erät'!P255+'9. Tulorahkorjauserät'!P255</f>
        <v>-20426.102892245552</v>
      </c>
      <c r="T255" s="34">
        <v>765</v>
      </c>
      <c r="U255" s="88" t="s">
        <v>569</v>
      </c>
      <c r="V255" s="41" t="e">
        <f>C255/'1. Väestöennuste'!E255*1000</f>
        <v>#REF!</v>
      </c>
      <c r="W255" s="41">
        <f>D255/'1. Väestöennuste'!F255*1000</f>
        <v>-203.6099703944227</v>
      </c>
      <c r="X255" s="41">
        <f>E255/'1. Väestöennuste'!G255*1000</f>
        <v>8.1550417346253479</v>
      </c>
      <c r="Y255" s="41">
        <f>F255/'1. Väestöennuste'!H255*1000</f>
        <v>-355.66464529791125</v>
      </c>
      <c r="Z255" s="41">
        <f>G255/'1. Väestöennuste'!I255*1000</f>
        <v>4884.1911764705883</v>
      </c>
      <c r="AA255" s="41">
        <f>H255/'1. Väestöennuste'!J255*1000</f>
        <v>-911.62007630139772</v>
      </c>
      <c r="AB255" s="41">
        <f>I255/'1. Väestöennuste'!K255*1000</f>
        <v>-886.48440710389843</v>
      </c>
      <c r="AC255" s="41">
        <f>J255/'1. Väestöennuste'!L255*1000</f>
        <v>-713.55057432658646</v>
      </c>
      <c r="AD255" s="41">
        <f>K255/'1. Väestöennuste'!M255*1000</f>
        <v>-2515.0512587223011</v>
      </c>
      <c r="AE255" s="41">
        <f>L255/'1. Väestöennuste'!N255*1000</f>
        <v>-1496.8559869075518</v>
      </c>
      <c r="AF255" s="41">
        <f>M255/'1. Väestöennuste'!O255*1000</f>
        <v>-1861.9583985939721</v>
      </c>
      <c r="AG255" s="41">
        <f>N255/'1. Väestöennuste'!P255*1000</f>
        <v>-1968.5255371157189</v>
      </c>
      <c r="AH255" s="41">
        <f>O255/'1. Väestöennuste'!Q255*1000</f>
        <v>-2051.8401879128705</v>
      </c>
      <c r="AI255" s="41">
        <f>P255/'1. Väestöennuste'!R255*1000</f>
        <v>-2063.2427163884395</v>
      </c>
    </row>
    <row r="256" spans="1:35" x14ac:dyDescent="0.2">
      <c r="A256" s="34">
        <v>768</v>
      </c>
      <c r="B256" s="88" t="s">
        <v>570</v>
      </c>
      <c r="C256" s="41" t="e">
        <f>Vuosikate!C256+'7. Nettoinvestoinnit '!C256+'8. Satunnaiset erät'!C256+'9. Tulorahkorjauserät'!C256</f>
        <v>#REF!</v>
      </c>
      <c r="D256" s="41">
        <f>Vuosikate!D256+'7. Nettoinvestoinnit '!D256+'8. Satunnaiset erät'!D256+'9. Tulorahkorjauserät'!D256</f>
        <v>94</v>
      </c>
      <c r="E256" s="41">
        <f>Vuosikate!E256+'7. Nettoinvestoinnit '!E256+'8. Satunnaiset erät'!E256+'9. Tulorahkorjauserät'!E256</f>
        <v>1804</v>
      </c>
      <c r="F256" s="41">
        <f>Vuosikate!F256+'7. Nettoinvestoinnit '!F256+'8. Satunnaiset erät'!F256+'9. Tulorahkorjauserät'!F256</f>
        <v>-594</v>
      </c>
      <c r="G256" s="41">
        <f>Vuosikate!G256+'7. Nettoinvestoinnit '!G256+'8. Satunnaiset erät'!G256+'9. Tulorahkorjauserät'!G256</f>
        <v>121</v>
      </c>
      <c r="H256" s="41">
        <f>Vuosikate!H256+'7. Nettoinvestoinnit '!H256+'8. Satunnaiset erät'!H256+'9. Tulorahkorjauserät'!H256</f>
        <v>1589.5635101786429</v>
      </c>
      <c r="I256" s="41">
        <f>Vuosikate!I256+'7. Nettoinvestoinnit '!I256+'8. Satunnaiset erät'!I256+'9. Tulorahkorjauserät'!I256</f>
        <v>278.51105528865901</v>
      </c>
      <c r="J256" s="41">
        <f>Vuosikate!J256+'7. Nettoinvestoinnit '!J256+'8. Satunnaiset erät'!J256+'9. Tulorahkorjauserät'!J256</f>
        <v>450.49794172608273</v>
      </c>
      <c r="K256" s="41">
        <f>Vuosikate!K256+'7. Nettoinvestoinnit '!K256+'8. Satunnaiset erät'!K256+'9. Tulorahkorjauserät'!K256</f>
        <v>-292.18694276832173</v>
      </c>
      <c r="L256" s="41">
        <f>Vuosikate!L256+'7. Nettoinvestoinnit '!L256+'8. Satunnaiset erät'!L256+'9. Tulorahkorjauserät'!L256</f>
        <v>-1294.8775578698642</v>
      </c>
      <c r="M256" s="41">
        <f>Vuosikate!M256+'7. Nettoinvestoinnit '!M256+'8. Satunnaiset erät'!M256+'9. Tulorahkorjauserät'!M256</f>
        <v>-1812.9453496736473</v>
      </c>
      <c r="N256" s="41">
        <f>Vuosikate!N256+'7. Nettoinvestoinnit '!N256+'8. Satunnaiset erät'!N256+'9. Tulorahkorjauserät'!N256</f>
        <v>-2452.1351380601195</v>
      </c>
      <c r="O256" s="41">
        <f>Vuosikate!O256+'7. Nettoinvestoinnit '!O256+'8. Satunnaiset erät'!O256+'9. Tulorahkorjauserät'!O256</f>
        <v>-2588.3789504850311</v>
      </c>
      <c r="P256" s="41">
        <f>Vuosikate!P256+'7. Nettoinvestoinnit '!P256+'8. Satunnaiset erät'!P256+'9. Tulorahkorjauserät'!P256</f>
        <v>-2389.8638699769463</v>
      </c>
      <c r="T256" s="34">
        <v>768</v>
      </c>
      <c r="U256" s="88" t="s">
        <v>570</v>
      </c>
      <c r="V256" s="41" t="e">
        <f>C256/'1. Väestöennuste'!E256*1000</f>
        <v>#REF!</v>
      </c>
      <c r="W256" s="41">
        <f>D256/'1. Väestöennuste'!F256*1000</f>
        <v>35.325065764750093</v>
      </c>
      <c r="X256" s="41">
        <f>E256/'1. Väestöennuste'!G256*1000</f>
        <v>697.06336939721791</v>
      </c>
      <c r="Y256" s="41">
        <f>F256/'1. Väestöennuste'!H256*1000</f>
        <v>-234.78260869565219</v>
      </c>
      <c r="Z256" s="41">
        <f>G256/'1. Väestöennuste'!I256*1000</f>
        <v>48.555377207062598</v>
      </c>
      <c r="AA256" s="41">
        <f>H256/'1. Väestöennuste'!J256*1000</f>
        <v>640.43654721137909</v>
      </c>
      <c r="AB256" s="41">
        <f>I256/'1. Väestöennuste'!K256*1000</f>
        <v>114.61360299944816</v>
      </c>
      <c r="AC256" s="41">
        <f>J256/'1. Väestöennuste'!L256*1000</f>
        <v>189.68334388466641</v>
      </c>
      <c r="AD256" s="41">
        <f>K256/'1. Väestöennuste'!M256*1000</f>
        <v>-123.38975623662235</v>
      </c>
      <c r="AE256" s="41">
        <f>L256/'1. Väestöennuste'!N256*1000</f>
        <v>-564.7089218795744</v>
      </c>
      <c r="AF256" s="41">
        <f>M256/'1. Väestöennuste'!O256*1000</f>
        <v>-804.32358015689761</v>
      </c>
      <c r="AG256" s="41">
        <f>N256/'1. Väestöennuste'!P256*1000</f>
        <v>-1105.5613787466725</v>
      </c>
      <c r="AH256" s="41">
        <f>O256/'1. Väestöennuste'!Q256*1000</f>
        <v>-1184.612791983996</v>
      </c>
      <c r="AI256" s="41">
        <f>P256/'1. Väestöennuste'!R256*1000</f>
        <v>-1107.9572878891731</v>
      </c>
    </row>
    <row r="257" spans="1:35" x14ac:dyDescent="0.2">
      <c r="A257" s="34">
        <v>777</v>
      </c>
      <c r="B257" s="88" t="s">
        <v>571</v>
      </c>
      <c r="C257" s="41" t="e">
        <f>Vuosikate!C257+'7. Nettoinvestoinnit '!C257+'8. Satunnaiset erät'!C257+'9. Tulorahkorjauserät'!C257</f>
        <v>#REF!</v>
      </c>
      <c r="D257" s="41">
        <f>Vuosikate!D257+'7. Nettoinvestoinnit '!D257+'8. Satunnaiset erät'!D257+'9. Tulorahkorjauserät'!D257</f>
        <v>-1409</v>
      </c>
      <c r="E257" s="41">
        <f>Vuosikate!E257+'7. Nettoinvestoinnit '!E257+'8. Satunnaiset erät'!E257+'9. Tulorahkorjauserät'!E257</f>
        <v>-389</v>
      </c>
      <c r="F257" s="41">
        <f>Vuosikate!F257+'7. Nettoinvestoinnit '!F257+'8. Satunnaiset erät'!F257+'9. Tulorahkorjauserät'!F257</f>
        <v>-2416</v>
      </c>
      <c r="G257" s="41">
        <f>Vuosikate!G257+'7. Nettoinvestoinnit '!G257+'8. Satunnaiset erät'!G257+'9. Tulorahkorjauserät'!G257</f>
        <v>-965</v>
      </c>
      <c r="H257" s="41">
        <f>Vuosikate!H257+'7. Nettoinvestoinnit '!H257+'8. Satunnaiset erät'!H257+'9. Tulorahkorjauserät'!H257</f>
        <v>-4547.9169449480905</v>
      </c>
      <c r="I257" s="41">
        <f>Vuosikate!I257+'7. Nettoinvestoinnit '!I257+'8. Satunnaiset erät'!I257+'9. Tulorahkorjauserät'!I257</f>
        <v>-2401.0016218797091</v>
      </c>
      <c r="J257" s="41">
        <f>Vuosikate!J257+'7. Nettoinvestoinnit '!J257+'8. Satunnaiset erät'!J257+'9. Tulorahkorjauserät'!J257</f>
        <v>-578.15834036329079</v>
      </c>
      <c r="K257" s="41">
        <f>Vuosikate!K257+'7. Nettoinvestoinnit '!K257+'8. Satunnaiset erät'!K257+'9. Tulorahkorjauserät'!K257</f>
        <v>4812.9143188425278</v>
      </c>
      <c r="L257" s="41">
        <f>Vuosikate!L257+'7. Nettoinvestoinnit '!L257+'8. Satunnaiset erät'!L257+'9. Tulorahkorjauserät'!L257</f>
        <v>-733.67035690144166</v>
      </c>
      <c r="M257" s="41">
        <f>Vuosikate!M257+'7. Nettoinvestoinnit '!M257+'8. Satunnaiset erät'!M257+'9. Tulorahkorjauserät'!M257</f>
        <v>-2074.5760051326365</v>
      </c>
      <c r="N257" s="41">
        <f>Vuosikate!N257+'7. Nettoinvestoinnit '!N257+'8. Satunnaiset erät'!N257+'9. Tulorahkorjauserät'!N257</f>
        <v>-1739.0013090125003</v>
      </c>
      <c r="O257" s="41">
        <f>Vuosikate!O257+'7. Nettoinvestoinnit '!O257+'8. Satunnaiset erät'!O257+'9. Tulorahkorjauserät'!O257</f>
        <v>-2090.1710135500243</v>
      </c>
      <c r="P257" s="41">
        <f>Vuosikate!P257+'7. Nettoinvestoinnit '!P257+'8. Satunnaiset erät'!P257+'9. Tulorahkorjauserät'!P257</f>
        <v>-1019.6393536211153</v>
      </c>
      <c r="T257" s="34">
        <v>777</v>
      </c>
      <c r="U257" s="88" t="s">
        <v>571</v>
      </c>
      <c r="V257" s="41" t="e">
        <f>C257/'1. Väestöennuste'!E257*1000</f>
        <v>#REF!</v>
      </c>
      <c r="W257" s="41">
        <f>D257/'1. Väestöennuste'!F257*1000</f>
        <v>-172.10211310614389</v>
      </c>
      <c r="X257" s="41">
        <f>E257/'1. Väestöennuste'!G257*1000</f>
        <v>-48.316979257235126</v>
      </c>
      <c r="Y257" s="41">
        <f>F257/'1. Väestöennuste'!H257*1000</f>
        <v>-307.30094123632659</v>
      </c>
      <c r="Z257" s="41">
        <f>G257/'1. Väestöennuste'!I257*1000</f>
        <v>-124.8867607092015</v>
      </c>
      <c r="AA257" s="41">
        <f>H257/'1. Väestöennuste'!J257*1000</f>
        <v>-598.88292664578489</v>
      </c>
      <c r="AB257" s="41">
        <f>I257/'1. Väestöennuste'!K257*1000</f>
        <v>-319.79243765046738</v>
      </c>
      <c r="AC257" s="41">
        <f>J257/'1. Väestöennuste'!L257*1000</f>
        <v>-78.479481520739895</v>
      </c>
      <c r="AD257" s="41">
        <f>K257/'1. Väestöennuste'!M257*1000</f>
        <v>671.07003887932626</v>
      </c>
      <c r="AE257" s="41">
        <f>L257/'1. Väestöennuste'!N257*1000</f>
        <v>-104.31826488005711</v>
      </c>
      <c r="AF257" s="41">
        <f>M257/'1. Väestöennuste'!O257*1000</f>
        <v>-300.27153063144254</v>
      </c>
      <c r="AG257" s="41">
        <f>N257/'1. Väestöennuste'!P257*1000</f>
        <v>-256.07440863090858</v>
      </c>
      <c r="AH257" s="41">
        <f>O257/'1. Väestöennuste'!Q257*1000</f>
        <v>-312.9935629754454</v>
      </c>
      <c r="AI257" s="41">
        <f>P257/'1. Väestöennuste'!R257*1000</f>
        <v>-155.17263028779718</v>
      </c>
    </row>
    <row r="258" spans="1:35" x14ac:dyDescent="0.2">
      <c r="A258" s="34">
        <v>778</v>
      </c>
      <c r="B258" s="88" t="s">
        <v>572</v>
      </c>
      <c r="C258" s="41" t="e">
        <f>Vuosikate!C258+'7. Nettoinvestoinnit '!C258+'8. Satunnaiset erät'!C258+'9. Tulorahkorjauserät'!C258</f>
        <v>#REF!</v>
      </c>
      <c r="D258" s="41">
        <f>Vuosikate!D258+'7. Nettoinvestoinnit '!D258+'8. Satunnaiset erät'!D258+'9. Tulorahkorjauserät'!D258</f>
        <v>2971</v>
      </c>
      <c r="E258" s="41">
        <f>Vuosikate!E258+'7. Nettoinvestoinnit '!E258+'8. Satunnaiset erät'!E258+'9. Tulorahkorjauserät'!E258</f>
        <v>2773</v>
      </c>
      <c r="F258" s="41">
        <f>Vuosikate!F258+'7. Nettoinvestoinnit '!F258+'8. Satunnaiset erät'!F258+'9. Tulorahkorjauserät'!F258</f>
        <v>1281</v>
      </c>
      <c r="G258" s="41">
        <f>Vuosikate!G258+'7. Nettoinvestoinnit '!G258+'8. Satunnaiset erät'!G258+'9. Tulorahkorjauserät'!G258</f>
        <v>1536</v>
      </c>
      <c r="H258" s="41">
        <f>Vuosikate!H258+'7. Nettoinvestoinnit '!H258+'8. Satunnaiset erät'!H258+'9. Tulorahkorjauserät'!H258</f>
        <v>2129.1255365205507</v>
      </c>
      <c r="I258" s="41">
        <f>Vuosikate!I258+'7. Nettoinvestoinnit '!I258+'8. Satunnaiset erät'!I258+'9. Tulorahkorjauserät'!I258</f>
        <v>330.80392814592801</v>
      </c>
      <c r="J258" s="41">
        <f>Vuosikate!J258+'7. Nettoinvestoinnit '!J258+'8. Satunnaiset erät'!J258+'9. Tulorahkorjauserät'!J258</f>
        <v>2370.8217550865725</v>
      </c>
      <c r="K258" s="41">
        <f>Vuosikate!K258+'7. Nettoinvestoinnit '!K258+'8. Satunnaiset erät'!K258+'9. Tulorahkorjauserät'!K258</f>
        <v>2346.4134368571981</v>
      </c>
      <c r="L258" s="41">
        <f>Vuosikate!L258+'7. Nettoinvestoinnit '!L258+'8. Satunnaiset erät'!L258+'9. Tulorahkorjauserät'!L258</f>
        <v>1458.0070129487813</v>
      </c>
      <c r="M258" s="41">
        <f>Vuosikate!M258+'7. Nettoinvestoinnit '!M258+'8. Satunnaiset erät'!M258+'9. Tulorahkorjauserät'!M258</f>
        <v>-354.7316684786324</v>
      </c>
      <c r="N258" s="41">
        <f>Vuosikate!N258+'7. Nettoinvestoinnit '!N258+'8. Satunnaiset erät'!N258+'9. Tulorahkorjauserät'!N258</f>
        <v>-1361.4989238442704</v>
      </c>
      <c r="O258" s="41">
        <f>Vuosikate!O258+'7. Nettoinvestoinnit '!O258+'8. Satunnaiset erät'!O258+'9. Tulorahkorjauserät'!O258</f>
        <v>-1446.4353940191911</v>
      </c>
      <c r="P258" s="41">
        <f>Vuosikate!P258+'7. Nettoinvestoinnit '!P258+'8. Satunnaiset erät'!P258+'9. Tulorahkorjauserät'!P258</f>
        <v>-608.4439064767048</v>
      </c>
      <c r="T258" s="34">
        <v>778</v>
      </c>
      <c r="U258" s="88" t="s">
        <v>572</v>
      </c>
      <c r="V258" s="41" t="e">
        <f>C258/'1. Väestöennuste'!E258*1000</f>
        <v>#REF!</v>
      </c>
      <c r="W258" s="41">
        <f>D258/'1. Väestöennuste'!F258*1000</f>
        <v>406.31838074398252</v>
      </c>
      <c r="X258" s="41">
        <f>E258/'1. Väestöennuste'!G258*1000</f>
        <v>381.64051747866779</v>
      </c>
      <c r="Y258" s="41">
        <f>F258/'1. Väestöennuste'!H258*1000</f>
        <v>179.28621413575925</v>
      </c>
      <c r="Z258" s="41">
        <f>G258/'1. Väestöennuste'!I258*1000</f>
        <v>217.440543601359</v>
      </c>
      <c r="AA258" s="41">
        <f>H258/'1. Väestöennuste'!J258*1000</f>
        <v>307.18879476562557</v>
      </c>
      <c r="AB258" s="41">
        <f>I258/'1. Väestöennuste'!K258*1000</f>
        <v>48.005213778251054</v>
      </c>
      <c r="AC258" s="41">
        <f>J258/'1. Väestöennuste'!L258*1000</f>
        <v>350.55770443391577</v>
      </c>
      <c r="AD258" s="41">
        <f>K258/'1. Väestöennuste'!M258*1000</f>
        <v>349.79329708664255</v>
      </c>
      <c r="AE258" s="41">
        <f>L258/'1. Väestöennuste'!N258*1000</f>
        <v>222.12172653089294</v>
      </c>
      <c r="AF258" s="41">
        <f>M258/'1. Väestöennuste'!O258*1000</f>
        <v>-54.675041380800309</v>
      </c>
      <c r="AG258" s="41">
        <f>N258/'1. Väestöennuste'!P258*1000</f>
        <v>-212.20369760665062</v>
      </c>
      <c r="AH258" s="41">
        <f>O258/'1. Väestöennuste'!Q258*1000</f>
        <v>-227.82097873983165</v>
      </c>
      <c r="AI258" s="41">
        <f>P258/'1. Väestöennuste'!R258*1000</f>
        <v>-96.870547122544949</v>
      </c>
    </row>
    <row r="259" spans="1:35" x14ac:dyDescent="0.2">
      <c r="A259" s="34">
        <v>781</v>
      </c>
      <c r="B259" s="88" t="s">
        <v>573</v>
      </c>
      <c r="C259" s="41" t="e">
        <f>Vuosikate!C259+'7. Nettoinvestoinnit '!C259+'8. Satunnaiset erät'!C259+'9. Tulorahkorjauserät'!C259</f>
        <v>#REF!</v>
      </c>
      <c r="D259" s="41">
        <f>Vuosikate!D259+'7. Nettoinvestoinnit '!D259+'8. Satunnaiset erät'!D259+'9. Tulorahkorjauserät'!D259</f>
        <v>-632</v>
      </c>
      <c r="E259" s="41">
        <f>Vuosikate!E259+'7. Nettoinvestoinnit '!E259+'8. Satunnaiset erät'!E259+'9. Tulorahkorjauserät'!E259</f>
        <v>-299</v>
      </c>
      <c r="F259" s="41">
        <f>Vuosikate!F259+'7. Nettoinvestoinnit '!F259+'8. Satunnaiset erät'!F259+'9. Tulorahkorjauserät'!F259</f>
        <v>-3940</v>
      </c>
      <c r="G259" s="41">
        <f>Vuosikate!G259+'7. Nettoinvestoinnit '!G259+'8. Satunnaiset erät'!G259+'9. Tulorahkorjauserät'!G259</f>
        <v>-2062</v>
      </c>
      <c r="H259" s="41">
        <f>Vuosikate!H259+'7. Nettoinvestoinnit '!H259+'8. Satunnaiset erät'!H259+'9. Tulorahkorjauserät'!H259</f>
        <v>1854.4337372809277</v>
      </c>
      <c r="I259" s="41">
        <f>Vuosikate!I259+'7. Nettoinvestoinnit '!I259+'8. Satunnaiset erät'!I259+'9. Tulorahkorjauserät'!I259</f>
        <v>-548.73707746792661</v>
      </c>
      <c r="J259" s="41">
        <f>Vuosikate!J259+'7. Nettoinvestoinnit '!J259+'8. Satunnaiset erät'!J259+'9. Tulorahkorjauserät'!J259</f>
        <v>-2381.6457624336545</v>
      </c>
      <c r="K259" s="41">
        <f>Vuosikate!K259+'7. Nettoinvestoinnit '!K259+'8. Satunnaiset erät'!K259+'9. Tulorahkorjauserät'!K259</f>
        <v>3459.0445889545927</v>
      </c>
      <c r="L259" s="41">
        <f>Vuosikate!L259+'7. Nettoinvestoinnit '!L259+'8. Satunnaiset erät'!L259+'9. Tulorahkorjauserät'!L259</f>
        <v>-950.1597907632156</v>
      </c>
      <c r="M259" s="41">
        <f>Vuosikate!M259+'7. Nettoinvestoinnit '!M259+'8. Satunnaiset erät'!M259+'9. Tulorahkorjauserät'!M259</f>
        <v>-1320.7310758731462</v>
      </c>
      <c r="N259" s="41">
        <f>Vuosikate!N259+'7. Nettoinvestoinnit '!N259+'8. Satunnaiset erät'!N259+'9. Tulorahkorjauserät'!N259</f>
        <v>-1658.3117253098724</v>
      </c>
      <c r="O259" s="41">
        <f>Vuosikate!O259+'7. Nettoinvestoinnit '!O259+'8. Satunnaiset erät'!O259+'9. Tulorahkorjauserät'!O259</f>
        <v>-1908.4856655711815</v>
      </c>
      <c r="P259" s="41">
        <f>Vuosikate!P259+'7. Nettoinvestoinnit '!P259+'8. Satunnaiset erät'!P259+'9. Tulorahkorjauserät'!P259</f>
        <v>-1512.3069450056657</v>
      </c>
      <c r="T259" s="34">
        <v>781</v>
      </c>
      <c r="U259" s="88" t="s">
        <v>573</v>
      </c>
      <c r="V259" s="41" t="e">
        <f>C259/'1. Väestöennuste'!E259*1000</f>
        <v>#REF!</v>
      </c>
      <c r="W259" s="41">
        <f>D259/'1. Väestöennuste'!F259*1000</f>
        <v>-159.87857323551734</v>
      </c>
      <c r="X259" s="41">
        <f>E259/'1. Väestöennuste'!G259*1000</f>
        <v>-77.481212749416954</v>
      </c>
      <c r="Y259" s="41">
        <f>F259/'1. Väestöennuste'!H259*1000</f>
        <v>-1049.8268052224887</v>
      </c>
      <c r="Z259" s="41">
        <f>G259/'1. Väestöennuste'!I259*1000</f>
        <v>-563.85015039649988</v>
      </c>
      <c r="AA259" s="41">
        <f>H259/'1. Väestöennuste'!J259*1000</f>
        <v>510.72259357778239</v>
      </c>
      <c r="AB259" s="41">
        <f>I259/'1. Väestöennuste'!K259*1000</f>
        <v>-153.10744348993489</v>
      </c>
      <c r="AC259" s="41">
        <f>J259/'1. Väestöennuste'!L259*1000</f>
        <v>-679.69342535207034</v>
      </c>
      <c r="AD259" s="41">
        <f>K259/'1. Väestöennuste'!M259*1000</f>
        <v>989.42923025016944</v>
      </c>
      <c r="AE259" s="41">
        <f>L259/'1. Väestöennuste'!N259*1000</f>
        <v>-285.24761055635412</v>
      </c>
      <c r="AF259" s="41">
        <f>M259/'1. Väestöennuste'!O259*1000</f>
        <v>-403.89329537405081</v>
      </c>
      <c r="AG259" s="41">
        <f>N259/'1. Väestöennuste'!P259*1000</f>
        <v>-515.32371824421136</v>
      </c>
      <c r="AH259" s="41">
        <f>O259/'1. Väestöennuste'!Q259*1000</f>
        <v>-602.23593107326644</v>
      </c>
      <c r="AI259" s="41">
        <f>P259/'1. Väestöennuste'!R259*1000</f>
        <v>-484.09313220411838</v>
      </c>
    </row>
    <row r="260" spans="1:35" x14ac:dyDescent="0.2">
      <c r="A260" s="34">
        <v>783</v>
      </c>
      <c r="B260" s="88" t="s">
        <v>574</v>
      </c>
      <c r="C260" s="41" t="e">
        <f>Vuosikate!C260+'7. Nettoinvestoinnit '!C260+'8. Satunnaiset erät'!C260+'9. Tulorahkorjauserät'!C260</f>
        <v>#REF!</v>
      </c>
      <c r="D260" s="41">
        <f>Vuosikate!D260+'7. Nettoinvestoinnit '!D260+'8. Satunnaiset erät'!D260+'9. Tulorahkorjauserät'!D260</f>
        <v>3216</v>
      </c>
      <c r="E260" s="41">
        <f>Vuosikate!E260+'7. Nettoinvestoinnit '!E260+'8. Satunnaiset erät'!E260+'9. Tulorahkorjauserät'!E260</f>
        <v>3357</v>
      </c>
      <c r="F260" s="41">
        <f>Vuosikate!F260+'7. Nettoinvestoinnit '!F260+'8. Satunnaiset erät'!F260+'9. Tulorahkorjauserät'!F260</f>
        <v>411</v>
      </c>
      <c r="G260" s="41">
        <f>Vuosikate!G260+'7. Nettoinvestoinnit '!G260+'8. Satunnaiset erät'!G260+'9. Tulorahkorjauserät'!G260</f>
        <v>-1961</v>
      </c>
      <c r="H260" s="41">
        <f>Vuosikate!H260+'7. Nettoinvestoinnit '!H260+'8. Satunnaiset erät'!H260+'9. Tulorahkorjauserät'!H260</f>
        <v>1846.3758697130979</v>
      </c>
      <c r="I260" s="41">
        <f>Vuosikate!I260+'7. Nettoinvestoinnit '!I260+'8. Satunnaiset erät'!I260+'9. Tulorahkorjauserät'!I260</f>
        <v>3128.7474044541477</v>
      </c>
      <c r="J260" s="41">
        <f>Vuosikate!J260+'7. Nettoinvestoinnit '!J260+'8. Satunnaiset erät'!J260+'9. Tulorahkorjauserät'!J260</f>
        <v>1627.6624871326298</v>
      </c>
      <c r="K260" s="41">
        <f>Vuosikate!K260+'7. Nettoinvestoinnit '!K260+'8. Satunnaiset erät'!K260+'9. Tulorahkorjauserät'!K260</f>
        <v>2764.847195120954</v>
      </c>
      <c r="L260" s="41">
        <f>Vuosikate!L260+'7. Nettoinvestoinnit '!L260+'8. Satunnaiset erät'!L260+'9. Tulorahkorjauserät'!L260</f>
        <v>-387.96456620025174</v>
      </c>
      <c r="M260" s="41">
        <f>Vuosikate!M260+'7. Nettoinvestoinnit '!M260+'8. Satunnaiset erät'!M260+'9. Tulorahkorjauserät'!M260</f>
        <v>2282.5313205368143</v>
      </c>
      <c r="N260" s="41">
        <f>Vuosikate!N260+'7. Nettoinvestoinnit '!N260+'8. Satunnaiset erät'!N260+'9. Tulorahkorjauserät'!N260</f>
        <v>2401.4372110134404</v>
      </c>
      <c r="O260" s="41">
        <f>Vuosikate!O260+'7. Nettoinvestoinnit '!O260+'8. Satunnaiset erät'!O260+'9. Tulorahkorjauserät'!O260</f>
        <v>2439.5417127499654</v>
      </c>
      <c r="P260" s="41">
        <f>Vuosikate!P260+'7. Nettoinvestoinnit '!P260+'8. Satunnaiset erät'!P260+'9. Tulorahkorjauserät'!P260</f>
        <v>3170.1983185539907</v>
      </c>
      <c r="T260" s="34">
        <v>783</v>
      </c>
      <c r="U260" s="88" t="s">
        <v>574</v>
      </c>
      <c r="V260" s="41" t="e">
        <f>C260/'1. Väestöennuste'!E260*1000</f>
        <v>#REF!</v>
      </c>
      <c r="W260" s="41">
        <f>D260/'1. Väestöennuste'!F260*1000</f>
        <v>460.21751574127074</v>
      </c>
      <c r="X260" s="41">
        <f>E260/'1. Väestöennuste'!G260*1000</f>
        <v>486.31029986962187</v>
      </c>
      <c r="Y260" s="41">
        <f>F260/'1. Väestöennuste'!H260*1000</f>
        <v>60.343561885185728</v>
      </c>
      <c r="Z260" s="41">
        <f>G260/'1. Väestöennuste'!I260*1000</f>
        <v>-291.77205772950452</v>
      </c>
      <c r="AA260" s="41">
        <f>H260/'1. Väestöennuste'!J260*1000</f>
        <v>277.81761506366206</v>
      </c>
      <c r="AB260" s="41">
        <f>I260/'1. Väestöennuste'!K260*1000</f>
        <v>474.91612089467941</v>
      </c>
      <c r="AC260" s="41">
        <f>J260/'1. Väestöennuste'!L260*1000</f>
        <v>253.56947922303002</v>
      </c>
      <c r="AD260" s="41">
        <f>K260/'1. Väestöennuste'!M260*1000</f>
        <v>433.56550025418755</v>
      </c>
      <c r="AE260" s="41">
        <f>L260/'1. Väestöennuste'!N260*1000</f>
        <v>-61.328575118598124</v>
      </c>
      <c r="AF260" s="41">
        <f>M260/'1. Väestöennuste'!O260*1000</f>
        <v>364.85475072519409</v>
      </c>
      <c r="AG260" s="41">
        <f>N260/'1. Väestöennuste'!P260*1000</f>
        <v>388.26794034170422</v>
      </c>
      <c r="AH260" s="41">
        <f>O260/'1. Väestöennuste'!Q260*1000</f>
        <v>398.7482368012366</v>
      </c>
      <c r="AI260" s="41">
        <f>P260/'1. Väestöennuste'!R260*1000</f>
        <v>523.82655627131373</v>
      </c>
    </row>
    <row r="261" spans="1:35" x14ac:dyDescent="0.2">
      <c r="A261" s="34">
        <v>785</v>
      </c>
      <c r="B261" s="88" t="s">
        <v>575</v>
      </c>
      <c r="C261" s="41" t="e">
        <f>Vuosikate!C261+'7. Nettoinvestoinnit '!C261+'8. Satunnaiset erät'!C261+'9. Tulorahkorjauserät'!C261</f>
        <v>#REF!</v>
      </c>
      <c r="D261" s="41">
        <f>Vuosikate!D261+'7. Nettoinvestoinnit '!D261+'8. Satunnaiset erät'!D261+'9. Tulorahkorjauserät'!D261</f>
        <v>-181</v>
      </c>
      <c r="E261" s="41">
        <f>Vuosikate!E261+'7. Nettoinvestoinnit '!E261+'8. Satunnaiset erät'!E261+'9. Tulorahkorjauserät'!E261</f>
        <v>30</v>
      </c>
      <c r="F261" s="41">
        <f>Vuosikate!F261+'7. Nettoinvestoinnit '!F261+'8. Satunnaiset erät'!F261+'9. Tulorahkorjauserät'!F261</f>
        <v>253</v>
      </c>
      <c r="G261" s="41">
        <f>Vuosikate!G261+'7. Nettoinvestoinnit '!G261+'8. Satunnaiset erät'!G261+'9. Tulorahkorjauserät'!G261</f>
        <v>283</v>
      </c>
      <c r="H261" s="41">
        <f>Vuosikate!H261+'7. Nettoinvestoinnit '!H261+'8. Satunnaiset erät'!H261+'9. Tulorahkorjauserät'!H261</f>
        <v>1056.1072282398109</v>
      </c>
      <c r="I261" s="41">
        <f>Vuosikate!I261+'7. Nettoinvestoinnit '!I261+'8. Satunnaiset erät'!I261+'9. Tulorahkorjauserät'!I261</f>
        <v>1060.9014442363</v>
      </c>
      <c r="J261" s="41">
        <f>Vuosikate!J261+'7. Nettoinvestoinnit '!J261+'8. Satunnaiset erät'!J261+'9. Tulorahkorjauserät'!J261</f>
        <v>1839.493827220369</v>
      </c>
      <c r="K261" s="41">
        <f>Vuosikate!K261+'7. Nettoinvestoinnit '!K261+'8. Satunnaiset erät'!K261+'9. Tulorahkorjauserät'!K261</f>
        <v>928.13377042376715</v>
      </c>
      <c r="L261" s="41">
        <f>Vuosikate!L261+'7. Nettoinvestoinnit '!L261+'8. Satunnaiset erät'!L261+'9. Tulorahkorjauserät'!L261</f>
        <v>843.45693445889788</v>
      </c>
      <c r="M261" s="41">
        <f>Vuosikate!M261+'7. Nettoinvestoinnit '!M261+'8. Satunnaiset erät'!M261+'9. Tulorahkorjauserät'!M261</f>
        <v>563.22326310057974</v>
      </c>
      <c r="N261" s="41">
        <f>Vuosikate!N261+'7. Nettoinvestoinnit '!N261+'8. Satunnaiset erät'!N261+'9. Tulorahkorjauserät'!N261</f>
        <v>180.4319145223235</v>
      </c>
      <c r="O261" s="41">
        <f>Vuosikate!O261+'7. Nettoinvestoinnit '!O261+'8. Satunnaiset erät'!O261+'9. Tulorahkorjauserät'!O261</f>
        <v>-44.903183341836893</v>
      </c>
      <c r="P261" s="41">
        <f>Vuosikate!P261+'7. Nettoinvestoinnit '!P261+'8. Satunnaiset erät'!P261+'9. Tulorahkorjauserät'!P261</f>
        <v>118.78740335175371</v>
      </c>
      <c r="T261" s="34">
        <v>785</v>
      </c>
      <c r="U261" s="88" t="s">
        <v>575</v>
      </c>
      <c r="V261" s="41" t="e">
        <f>C261/'1. Väestöennuste'!E261*1000</f>
        <v>#REF!</v>
      </c>
      <c r="W261" s="41">
        <f>D261/'1. Väestöennuste'!F261*1000</f>
        <v>-59.539473684210527</v>
      </c>
      <c r="X261" s="41">
        <f>E261/'1. Väestöennuste'!G261*1000</f>
        <v>10.200612036722204</v>
      </c>
      <c r="Y261" s="41">
        <f>F261/'1. Väestöennuste'!H261*1000</f>
        <v>88.184036249564301</v>
      </c>
      <c r="Z261" s="41">
        <f>G261/'1. Väestöennuste'!I261*1000</f>
        <v>101.36103151862464</v>
      </c>
      <c r="AA261" s="41">
        <f>H261/'1. Väestöennuste'!J261*1000</f>
        <v>385.86307206423487</v>
      </c>
      <c r="AB261" s="41">
        <f>I261/'1. Väestöennuste'!K261*1000</f>
        <v>396.89541497803964</v>
      </c>
      <c r="AC261" s="41">
        <f>J261/'1. Väestöennuste'!L261*1000</f>
        <v>700.49269886533477</v>
      </c>
      <c r="AD261" s="41">
        <f>K261/'1. Väestöennuste'!M261*1000</f>
        <v>358.49122071215419</v>
      </c>
      <c r="AE261" s="41">
        <f>L261/'1. Väestöennuste'!N261*1000</f>
        <v>338.19444044061663</v>
      </c>
      <c r="AF261" s="41">
        <f>M261/'1. Väestöennuste'!O261*1000</f>
        <v>230.16888561527574</v>
      </c>
      <c r="AG261" s="41">
        <f>N261/'1. Väestöennuste'!P261*1000</f>
        <v>75.086106750862868</v>
      </c>
      <c r="AH261" s="41">
        <f>O261/'1. Väestöennuste'!Q261*1000</f>
        <v>-19.010661872073197</v>
      </c>
      <c r="AI261" s="41">
        <f>P261/'1. Väestöennuste'!R261*1000</f>
        <v>51.091356280324177</v>
      </c>
    </row>
    <row r="262" spans="1:35" x14ac:dyDescent="0.2">
      <c r="A262" s="34">
        <v>790</v>
      </c>
      <c r="B262" s="88" t="s">
        <v>576</v>
      </c>
      <c r="C262" s="41" t="e">
        <f>Vuosikate!C262+'7. Nettoinvestoinnit '!C262+'8. Satunnaiset erät'!C262+'9. Tulorahkorjauserät'!C262</f>
        <v>#REF!</v>
      </c>
      <c r="D262" s="41">
        <f>Vuosikate!D262+'7. Nettoinvestoinnit '!D262+'8. Satunnaiset erät'!D262+'9. Tulorahkorjauserät'!D262</f>
        <v>-350</v>
      </c>
      <c r="E262" s="41">
        <f>Vuosikate!E262+'7. Nettoinvestoinnit '!E262+'8. Satunnaiset erät'!E262+'9. Tulorahkorjauserät'!E262</f>
        <v>6602</v>
      </c>
      <c r="F262" s="41">
        <f>Vuosikate!F262+'7. Nettoinvestoinnit '!F262+'8. Satunnaiset erät'!F262+'9. Tulorahkorjauserät'!F262</f>
        <v>-2185</v>
      </c>
      <c r="G262" s="41">
        <f>Vuosikate!G262+'7. Nettoinvestoinnit '!G262+'8. Satunnaiset erät'!G262+'9. Tulorahkorjauserät'!G262</f>
        <v>-11176</v>
      </c>
      <c r="H262" s="41">
        <f>Vuosikate!H262+'7. Nettoinvestoinnit '!H262+'8. Satunnaiset erät'!H262+'9. Tulorahkorjauserät'!H262</f>
        <v>4186.1305832991784</v>
      </c>
      <c r="I262" s="41">
        <f>Vuosikate!I262+'7. Nettoinvestoinnit '!I262+'8. Satunnaiset erät'!I262+'9. Tulorahkorjauserät'!I262</f>
        <v>5474.4640714724455</v>
      </c>
      <c r="J262" s="41">
        <f>Vuosikate!J262+'7. Nettoinvestoinnit '!J262+'8. Satunnaiset erät'!J262+'9. Tulorahkorjauserät'!J262</f>
        <v>7245.2602632317685</v>
      </c>
      <c r="K262" s="41">
        <f>Vuosikate!K262+'7. Nettoinvestoinnit '!K262+'8. Satunnaiset erät'!K262+'9. Tulorahkorjauserät'!K262</f>
        <v>4989.9609085083621</v>
      </c>
      <c r="L262" s="41">
        <f>Vuosikate!L262+'7. Nettoinvestoinnit '!L262+'8. Satunnaiset erät'!L262+'9. Tulorahkorjauserät'!L262</f>
        <v>-3337.5306484589964</v>
      </c>
      <c r="M262" s="41">
        <f>Vuosikate!M262+'7. Nettoinvestoinnit '!M262+'8. Satunnaiset erät'!M262+'9. Tulorahkorjauserät'!M262</f>
        <v>-6886.8074797884365</v>
      </c>
      <c r="N262" s="41">
        <f>Vuosikate!N262+'7. Nettoinvestoinnit '!N262+'8. Satunnaiset erät'!N262+'9. Tulorahkorjauserät'!N262</f>
        <v>-7352.9891772644769</v>
      </c>
      <c r="O262" s="41">
        <f>Vuosikate!O262+'7. Nettoinvestoinnit '!O262+'8. Satunnaiset erät'!O262+'9. Tulorahkorjauserät'!O262</f>
        <v>-7972.8088351581937</v>
      </c>
      <c r="P262" s="41">
        <f>Vuosikate!P262+'7. Nettoinvestoinnit '!P262+'8. Satunnaiset erät'!P262+'9. Tulorahkorjauserät'!P262</f>
        <v>-5633.3165875730083</v>
      </c>
      <c r="T262" s="34">
        <v>790</v>
      </c>
      <c r="U262" s="88" t="s">
        <v>576</v>
      </c>
      <c r="V262" s="41" t="e">
        <f>C262/'1. Väestöennuste'!E262*1000</f>
        <v>#REF!</v>
      </c>
      <c r="W262" s="41">
        <f>D262/'1. Väestöennuste'!F262*1000</f>
        <v>-13.965365892586385</v>
      </c>
      <c r="X262" s="41">
        <f>E262/'1. Väestöennuste'!G262*1000</f>
        <v>265.99516518936338</v>
      </c>
      <c r="Y262" s="41">
        <f>F262/'1. Väestöennuste'!H262*1000</f>
        <v>-88.637377794004294</v>
      </c>
      <c r="Z262" s="41">
        <f>G262/'1. Väestöennuste'!I262*1000</f>
        <v>-460.35342093339375</v>
      </c>
      <c r="AA262" s="41">
        <f>H262/'1. Väestöennuste'!J262*1000</f>
        <v>174.04501011554873</v>
      </c>
      <c r="AB262" s="41">
        <f>I262/'1. Väestöennuste'!K262*1000</f>
        <v>228.12167978466729</v>
      </c>
      <c r="AC262" s="41">
        <f>J262/'1. Väestöennuste'!L262*1000</f>
        <v>305.26924510119522</v>
      </c>
      <c r="AD262" s="41">
        <f>K262/'1. Väestöennuste'!M262*1000</f>
        <v>212.20331314090419</v>
      </c>
      <c r="AE262" s="41">
        <f>L262/'1. Väestöennuste'!N262*1000</f>
        <v>-145.11002819386943</v>
      </c>
      <c r="AF262" s="41">
        <f>M262/'1. Väestöennuste'!O262*1000</f>
        <v>-302.43763909307614</v>
      </c>
      <c r="AG262" s="41">
        <f>N262/'1. Väestöennuste'!P262*1000</f>
        <v>-325.95926843091041</v>
      </c>
      <c r="AH262" s="41">
        <f>O262/'1. Väestöennuste'!Q262*1000</f>
        <v>-356.70926737766518</v>
      </c>
      <c r="AI262" s="41">
        <f>P262/'1. Väestöennuste'!R262*1000</f>
        <v>-254.30284342601155</v>
      </c>
    </row>
    <row r="263" spans="1:35" x14ac:dyDescent="0.2">
      <c r="A263" s="34">
        <v>791</v>
      </c>
      <c r="B263" s="88" t="s">
        <v>577</v>
      </c>
      <c r="C263" s="41" t="e">
        <f>Vuosikate!C263+'7. Nettoinvestoinnit '!C263+'8. Satunnaiset erät'!C263+'9. Tulorahkorjauserät'!C263</f>
        <v>#REF!</v>
      </c>
      <c r="D263" s="41">
        <f>Vuosikate!D263+'7. Nettoinvestoinnit '!D263+'8. Satunnaiset erät'!D263+'9. Tulorahkorjauserät'!D263</f>
        <v>-1780</v>
      </c>
      <c r="E263" s="41">
        <f>Vuosikate!E263+'7. Nettoinvestoinnit '!E263+'8. Satunnaiset erät'!E263+'9. Tulorahkorjauserät'!E263</f>
        <v>182</v>
      </c>
      <c r="F263" s="41">
        <f>Vuosikate!F263+'7. Nettoinvestoinnit '!F263+'8. Satunnaiset erät'!F263+'9. Tulorahkorjauserät'!F263</f>
        <v>601</v>
      </c>
      <c r="G263" s="41">
        <f>Vuosikate!G263+'7. Nettoinvestoinnit '!G263+'8. Satunnaiset erät'!G263+'9. Tulorahkorjauserät'!G263</f>
        <v>145</v>
      </c>
      <c r="H263" s="41">
        <f>Vuosikate!H263+'7. Nettoinvestoinnit '!H263+'8. Satunnaiset erät'!H263+'9. Tulorahkorjauserät'!H263</f>
        <v>-1703.9702928183142</v>
      </c>
      <c r="I263" s="41">
        <f>Vuosikate!I263+'7. Nettoinvestoinnit '!I263+'8. Satunnaiset erät'!I263+'9. Tulorahkorjauserät'!I263</f>
        <v>1487.5862381162269</v>
      </c>
      <c r="J263" s="41">
        <f>Vuosikate!J263+'7. Nettoinvestoinnit '!J263+'8. Satunnaiset erät'!J263+'9. Tulorahkorjauserät'!J263</f>
        <v>761.53353945839376</v>
      </c>
      <c r="K263" s="41">
        <f>Vuosikate!K263+'7. Nettoinvestoinnit '!K263+'8. Satunnaiset erät'!K263+'9. Tulorahkorjauserät'!K263</f>
        <v>2695.8786160460095</v>
      </c>
      <c r="L263" s="41">
        <f>Vuosikate!L263+'7. Nettoinvestoinnit '!L263+'8. Satunnaiset erät'!L263+'9. Tulorahkorjauserät'!L263</f>
        <v>406.86228338987598</v>
      </c>
      <c r="M263" s="41">
        <f>Vuosikate!M263+'7. Nettoinvestoinnit '!M263+'8. Satunnaiset erät'!M263+'9. Tulorahkorjauserät'!M263</f>
        <v>-619.50766010583698</v>
      </c>
      <c r="N263" s="41">
        <f>Vuosikate!N263+'7. Nettoinvestoinnit '!N263+'8. Satunnaiset erät'!N263+'9. Tulorahkorjauserät'!N263</f>
        <v>-1051.406541642916</v>
      </c>
      <c r="O263" s="41">
        <f>Vuosikate!O263+'7. Nettoinvestoinnit '!O263+'8. Satunnaiset erät'!O263+'9. Tulorahkorjauserät'!O263</f>
        <v>-1152.0687844194381</v>
      </c>
      <c r="P263" s="41">
        <f>Vuosikate!P263+'7. Nettoinvestoinnit '!P263+'8. Satunnaiset erät'!P263+'9. Tulorahkorjauserät'!P263</f>
        <v>-901.40424903565327</v>
      </c>
      <c r="T263" s="34">
        <v>791</v>
      </c>
      <c r="U263" s="88" t="s">
        <v>577</v>
      </c>
      <c r="V263" s="41" t="e">
        <f>C263/'1. Väestöennuste'!E263*1000</f>
        <v>#REF!</v>
      </c>
      <c r="W263" s="41">
        <f>D263/'1. Väestöennuste'!F263*1000</f>
        <v>-318.82500447787925</v>
      </c>
      <c r="X263" s="41">
        <f>E263/'1. Väestöennuste'!G263*1000</f>
        <v>33.41288782816229</v>
      </c>
      <c r="Y263" s="41">
        <f>F263/'1. Väestöennuste'!H263*1000</f>
        <v>113.37483493680438</v>
      </c>
      <c r="Z263" s="41">
        <f>G263/'1. Väestöennuste'!I263*1000</f>
        <v>27.71936532211814</v>
      </c>
      <c r="AA263" s="41">
        <f>H263/'1. Väestöennuste'!J263*1000</f>
        <v>-327.49765381862659</v>
      </c>
      <c r="AB263" s="41">
        <f>I263/'1. Väestöennuste'!K263*1000</f>
        <v>289.92130931908531</v>
      </c>
      <c r="AC263" s="41">
        <f>J263/'1. Väestöennuste'!L263*1000</f>
        <v>151.42842303805801</v>
      </c>
      <c r="AD263" s="41">
        <f>K263/'1. Väestöennuste'!M263*1000</f>
        <v>546.72046563496451</v>
      </c>
      <c r="AE263" s="41">
        <f>L263/'1. Väestöennuste'!N263*1000</f>
        <v>84.114592389885459</v>
      </c>
      <c r="AF263" s="41">
        <f>M263/'1. Väestöennuste'!O263*1000</f>
        <v>-130.23074629090539</v>
      </c>
      <c r="AG263" s="41">
        <f>N263/'1. Väestöennuste'!P263*1000</f>
        <v>-224.70753187495532</v>
      </c>
      <c r="AH263" s="41">
        <f>O263/'1. Väestöennuste'!Q263*1000</f>
        <v>-250.12348771590058</v>
      </c>
      <c r="AI263" s="41">
        <f>P263/'1. Väestöennuste'!R263*1000</f>
        <v>-198.67847675460729</v>
      </c>
    </row>
    <row r="264" spans="1:35" x14ac:dyDescent="0.2">
      <c r="A264" s="34">
        <v>831</v>
      </c>
      <c r="B264" s="88" t="s">
        <v>578</v>
      </c>
      <c r="C264" s="41" t="e">
        <f>Vuosikate!C264+'7. Nettoinvestoinnit '!C264+'8. Satunnaiset erät'!C264+'9. Tulorahkorjauserät'!C264</f>
        <v>#REF!</v>
      </c>
      <c r="D264" s="41">
        <f>Vuosikate!D264+'7. Nettoinvestoinnit '!D264+'8. Satunnaiset erät'!D264+'9. Tulorahkorjauserät'!D264</f>
        <v>-1741</v>
      </c>
      <c r="E264" s="41">
        <f>Vuosikate!E264+'7. Nettoinvestoinnit '!E264+'8. Satunnaiset erät'!E264+'9. Tulorahkorjauserät'!E264</f>
        <v>139</v>
      </c>
      <c r="F264" s="41">
        <f>Vuosikate!F264+'7. Nettoinvestoinnit '!F264+'8. Satunnaiset erät'!F264+'9. Tulorahkorjauserät'!F264</f>
        <v>-1188</v>
      </c>
      <c r="G264" s="41">
        <f>Vuosikate!G264+'7. Nettoinvestoinnit '!G264+'8. Satunnaiset erät'!G264+'9. Tulorahkorjauserät'!G264</f>
        <v>872</v>
      </c>
      <c r="H264" s="41">
        <f>Vuosikate!H264+'7. Nettoinvestoinnit '!H264+'8. Satunnaiset erät'!H264+'9. Tulorahkorjauserät'!H264</f>
        <v>3034.267934773663</v>
      </c>
      <c r="I264" s="41">
        <f>Vuosikate!I264+'7. Nettoinvestoinnit '!I264+'8. Satunnaiset erät'!I264+'9. Tulorahkorjauserät'!I264</f>
        <v>3048.3832142892761</v>
      </c>
      <c r="J264" s="41">
        <f>Vuosikate!J264+'7. Nettoinvestoinnit '!J264+'8. Satunnaiset erät'!J264+'9. Tulorahkorjauserät'!J264</f>
        <v>239.91914159449612</v>
      </c>
      <c r="K264" s="41">
        <f>Vuosikate!K264+'7. Nettoinvestoinnit '!K264+'8. Satunnaiset erät'!K264+'9. Tulorahkorjauserät'!K264</f>
        <v>1561.4443986607694</v>
      </c>
      <c r="L264" s="41">
        <f>Vuosikate!L264+'7. Nettoinvestoinnit '!L264+'8. Satunnaiset erät'!L264+'9. Tulorahkorjauserät'!L264</f>
        <v>540.19797108733496</v>
      </c>
      <c r="M264" s="41">
        <f>Vuosikate!M264+'7. Nettoinvestoinnit '!M264+'8. Satunnaiset erät'!M264+'9. Tulorahkorjauserät'!M264</f>
        <v>-78.030114567654209</v>
      </c>
      <c r="N264" s="41">
        <f>Vuosikate!N264+'7. Nettoinvestoinnit '!N264+'8. Satunnaiset erät'!N264+'9. Tulorahkorjauserät'!N264</f>
        <v>-680.54780709583918</v>
      </c>
      <c r="O264" s="41">
        <f>Vuosikate!O264+'7. Nettoinvestoinnit '!O264+'8. Satunnaiset erät'!O264+'9. Tulorahkorjauserät'!O264</f>
        <v>-859.24804825299714</v>
      </c>
      <c r="P264" s="41">
        <f>Vuosikate!P264+'7. Nettoinvestoinnit '!P264+'8. Satunnaiset erät'!P264+'9. Tulorahkorjauserät'!P264</f>
        <v>-715.7992345742457</v>
      </c>
      <c r="T264" s="34">
        <v>831</v>
      </c>
      <c r="U264" s="88" t="s">
        <v>578</v>
      </c>
      <c r="V264" s="41" t="e">
        <f>C264/'1. Väestöennuste'!E264*1000</f>
        <v>#REF!</v>
      </c>
      <c r="W264" s="41">
        <f>D264/'1. Väestöennuste'!F264*1000</f>
        <v>-360.30629139072846</v>
      </c>
      <c r="X264" s="41">
        <f>E264/'1. Väestöennuste'!G264*1000</f>
        <v>29.116045245077505</v>
      </c>
      <c r="Y264" s="41">
        <f>F264/'1. Väestöennuste'!H264*1000</f>
        <v>-251.96182396606577</v>
      </c>
      <c r="Z264" s="41">
        <f>G264/'1. Väestöennuste'!I264*1000</f>
        <v>186.68379362020983</v>
      </c>
      <c r="AA264" s="41">
        <f>H264/'1. Väestöennuste'!J264*1000</f>
        <v>655.63265660623665</v>
      </c>
      <c r="AB264" s="41">
        <f>I264/'1. Väestöennuste'!K264*1000</f>
        <v>663.41310430669773</v>
      </c>
      <c r="AC264" s="41">
        <f>J264/'1. Väestöennuste'!L264*1000</f>
        <v>52.625387496050919</v>
      </c>
      <c r="AD264" s="41">
        <f>K264/'1. Väestöennuste'!M264*1000</f>
        <v>337.60959971043661</v>
      </c>
      <c r="AE264" s="41">
        <f>L264/'1. Väestöennuste'!N264*1000</f>
        <v>120.01732305872804</v>
      </c>
      <c r="AF264" s="41">
        <f>M264/'1. Väestöennuste'!O264*1000</f>
        <v>-17.460307578351802</v>
      </c>
      <c r="AG264" s="41">
        <f>N264/'1. Väestöennuste'!P264*1000</f>
        <v>-153.41474461132535</v>
      </c>
      <c r="AH264" s="41">
        <f>O264/'1. Väestöennuste'!Q264*1000</f>
        <v>-195.01771408374879</v>
      </c>
      <c r="AI264" s="41">
        <f>P264/'1. Väestöennuste'!R264*1000</f>
        <v>-163.61125361697046</v>
      </c>
    </row>
    <row r="265" spans="1:35" x14ac:dyDescent="0.2">
      <c r="A265" s="34">
        <v>832</v>
      </c>
      <c r="B265" s="88" t="s">
        <v>579</v>
      </c>
      <c r="C265" s="41" t="e">
        <f>Vuosikate!C265+'7. Nettoinvestoinnit '!C265+'8. Satunnaiset erät'!C265+'9. Tulorahkorjauserät'!C265</f>
        <v>#REF!</v>
      </c>
      <c r="D265" s="41">
        <f>Vuosikate!D265+'7. Nettoinvestoinnit '!D265+'8. Satunnaiset erät'!D265+'9. Tulorahkorjauserät'!D265</f>
        <v>-327</v>
      </c>
      <c r="E265" s="41">
        <f>Vuosikate!E265+'7. Nettoinvestoinnit '!E265+'8. Satunnaiset erät'!E265+'9. Tulorahkorjauserät'!E265</f>
        <v>-1695</v>
      </c>
      <c r="F265" s="41">
        <f>Vuosikate!F265+'7. Nettoinvestoinnit '!F265+'8. Satunnaiset erät'!F265+'9. Tulorahkorjauserät'!F265</f>
        <v>-2025</v>
      </c>
      <c r="G265" s="41">
        <f>Vuosikate!G265+'7. Nettoinvestoinnit '!G265+'8. Satunnaiset erät'!G265+'9. Tulorahkorjauserät'!G265</f>
        <v>-1326</v>
      </c>
      <c r="H265" s="41">
        <f>Vuosikate!H265+'7. Nettoinvestoinnit '!H265+'8. Satunnaiset erät'!H265+'9. Tulorahkorjauserät'!H265</f>
        <v>-93.421148305125826</v>
      </c>
      <c r="I265" s="41">
        <f>Vuosikate!I265+'7. Nettoinvestoinnit '!I265+'8. Satunnaiset erät'!I265+'9. Tulorahkorjauserät'!I265</f>
        <v>474.31293006979234</v>
      </c>
      <c r="J265" s="41">
        <f>Vuosikate!J265+'7. Nettoinvestoinnit '!J265+'8. Satunnaiset erät'!J265+'9. Tulorahkorjauserät'!J265</f>
        <v>2593.4829417861306</v>
      </c>
      <c r="K265" s="41">
        <f>Vuosikate!K265+'7. Nettoinvestoinnit '!K265+'8. Satunnaiset erät'!K265+'9. Tulorahkorjauserät'!K265</f>
        <v>-950.90706402535488</v>
      </c>
      <c r="L265" s="41">
        <f>Vuosikate!L265+'7. Nettoinvestoinnit '!L265+'8. Satunnaiset erät'!L265+'9. Tulorahkorjauserät'!L265</f>
        <v>-1354.3660183082786</v>
      </c>
      <c r="M265" s="41">
        <f>Vuosikate!M265+'7. Nettoinvestoinnit '!M265+'8. Satunnaiset erät'!M265+'9. Tulorahkorjauserät'!M265</f>
        <v>-1784.7979449469783</v>
      </c>
      <c r="N265" s="41">
        <f>Vuosikate!N265+'7. Nettoinvestoinnit '!N265+'8. Satunnaiset erät'!N265+'9. Tulorahkorjauserät'!N265</f>
        <v>-2792.0359558849541</v>
      </c>
      <c r="O265" s="41">
        <f>Vuosikate!O265+'7. Nettoinvestoinnit '!O265+'8. Satunnaiset erät'!O265+'9. Tulorahkorjauserät'!O265</f>
        <v>-3434.6562740568684</v>
      </c>
      <c r="P265" s="41">
        <f>Vuosikate!P265+'7. Nettoinvestoinnit '!P265+'8. Satunnaiset erät'!P265+'9. Tulorahkorjauserät'!P265</f>
        <v>-3305.5779082739623</v>
      </c>
      <c r="T265" s="34">
        <v>832</v>
      </c>
      <c r="U265" s="88" t="s">
        <v>579</v>
      </c>
      <c r="V265" s="41" t="e">
        <f>C265/'1. Väestöennuste'!E265*1000</f>
        <v>#REF!</v>
      </c>
      <c r="W265" s="41">
        <f>D265/'1. Väestöennuste'!F265*1000</f>
        <v>-79.119283813210743</v>
      </c>
      <c r="X265" s="41">
        <f>E265/'1. Väestöennuste'!G265*1000</f>
        <v>-417.69344504682113</v>
      </c>
      <c r="Y265" s="41">
        <f>F265/'1. Väestöennuste'!H265*1000</f>
        <v>-503.23061630218689</v>
      </c>
      <c r="Z265" s="41">
        <f>G265/'1. Väestöennuste'!I265*1000</f>
        <v>-333.50100603621729</v>
      </c>
      <c r="AA265" s="41">
        <f>H265/'1. Väestöennuste'!J265*1000</f>
        <v>-23.856268719388616</v>
      </c>
      <c r="AB265" s="41">
        <f>I265/'1. Väestöennuste'!K265*1000</f>
        <v>121.21465118062672</v>
      </c>
      <c r="AC265" s="41">
        <f>J265/'1. Väestöennuste'!L265*1000</f>
        <v>678.03475602251785</v>
      </c>
      <c r="AD265" s="41">
        <f>K265/'1. Väestöennuste'!M265*1000</f>
        <v>-254.8665408805561</v>
      </c>
      <c r="AE265" s="41">
        <f>L265/'1. Väestöennuste'!N265*1000</f>
        <v>-367.73446057786549</v>
      </c>
      <c r="AF265" s="41">
        <f>M265/'1. Väestöennuste'!O265*1000</f>
        <v>-491.67987464104084</v>
      </c>
      <c r="AG265" s="41">
        <f>N265/'1. Väestöennuste'!P265*1000</f>
        <v>-780.33425262296089</v>
      </c>
      <c r="AH265" s="41">
        <f>O265/'1. Väestöennuste'!Q265*1000</f>
        <v>-973.81805331921407</v>
      </c>
      <c r="AI265" s="41">
        <f>P265/'1. Väestöennuste'!R265*1000</f>
        <v>-950.97178028594999</v>
      </c>
    </row>
    <row r="266" spans="1:35" x14ac:dyDescent="0.2">
      <c r="A266" s="34">
        <v>833</v>
      </c>
      <c r="B266" s="88" t="s">
        <v>580</v>
      </c>
      <c r="C266" s="41" t="e">
        <f>Vuosikate!C266+'7. Nettoinvestoinnit '!C266+'8. Satunnaiset erät'!C266+'9. Tulorahkorjauserät'!C266</f>
        <v>#REF!</v>
      </c>
      <c r="D266" s="41">
        <f>Vuosikate!D266+'7. Nettoinvestoinnit '!D266+'8. Satunnaiset erät'!D266+'9. Tulorahkorjauserät'!D266</f>
        <v>1609</v>
      </c>
      <c r="E266" s="41">
        <f>Vuosikate!E266+'7. Nettoinvestoinnit '!E266+'8. Satunnaiset erät'!E266+'9. Tulorahkorjauserät'!E266</f>
        <v>1365</v>
      </c>
      <c r="F266" s="41">
        <f>Vuosikate!F266+'7. Nettoinvestoinnit '!F266+'8. Satunnaiset erät'!F266+'9. Tulorahkorjauserät'!F266</f>
        <v>670</v>
      </c>
      <c r="G266" s="41">
        <f>Vuosikate!G266+'7. Nettoinvestoinnit '!G266+'8. Satunnaiset erät'!G266+'9. Tulorahkorjauserät'!G266</f>
        <v>354</v>
      </c>
      <c r="H266" s="41">
        <f>Vuosikate!H266+'7. Nettoinvestoinnit '!H266+'8. Satunnaiset erät'!H266+'9. Tulorahkorjauserät'!H266</f>
        <v>2117.0166105415374</v>
      </c>
      <c r="I266" s="41">
        <f>Vuosikate!I266+'7. Nettoinvestoinnit '!I266+'8. Satunnaiset erät'!I266+'9. Tulorahkorjauserät'!I266</f>
        <v>610.1394874902187</v>
      </c>
      <c r="J266" s="41">
        <f>Vuosikate!J266+'7. Nettoinvestoinnit '!J266+'8. Satunnaiset erät'!J266+'9. Tulorahkorjauserät'!J266</f>
        <v>-17.080865983766063</v>
      </c>
      <c r="K266" s="41">
        <f>Vuosikate!K266+'7. Nettoinvestoinnit '!K266+'8. Satunnaiset erät'!K266+'9. Tulorahkorjauserät'!K266</f>
        <v>250.52753390510026</v>
      </c>
      <c r="L266" s="41">
        <f>Vuosikate!L266+'7. Nettoinvestoinnit '!L266+'8. Satunnaiset erät'!L266+'9. Tulorahkorjauserät'!L266</f>
        <v>-468.14007742664978</v>
      </c>
      <c r="M266" s="41">
        <f>Vuosikate!M266+'7. Nettoinvestoinnit '!M266+'8. Satunnaiset erät'!M266+'9. Tulorahkorjauserät'!M266</f>
        <v>-526.78620339032375</v>
      </c>
      <c r="N266" s="41">
        <f>Vuosikate!N266+'7. Nettoinvestoinnit '!N266+'8. Satunnaiset erät'!N266+'9. Tulorahkorjauserät'!N266</f>
        <v>-695.47147698146728</v>
      </c>
      <c r="O266" s="41">
        <f>Vuosikate!O266+'7. Nettoinvestoinnit '!O266+'8. Satunnaiset erät'!O266+'9. Tulorahkorjauserät'!O266</f>
        <v>-842.04640885792026</v>
      </c>
      <c r="P266" s="41">
        <f>Vuosikate!P266+'7. Nettoinvestoinnit '!P266+'8. Satunnaiset erät'!P266+'9. Tulorahkorjauserät'!P266</f>
        <v>-793.1605306630629</v>
      </c>
      <c r="T266" s="34">
        <v>833</v>
      </c>
      <c r="U266" s="88" t="s">
        <v>580</v>
      </c>
      <c r="V266" s="41" t="e">
        <f>C266/'1. Väestöennuste'!E266*1000</f>
        <v>#REF!</v>
      </c>
      <c r="W266" s="41">
        <f>D266/'1. Väestöennuste'!F266*1000</f>
        <v>991.98520345252768</v>
      </c>
      <c r="X266" s="41">
        <f>E266/'1. Väestöennuste'!G266*1000</f>
        <v>825.27206771463125</v>
      </c>
      <c r="Y266" s="41">
        <f>F266/'1. Väestöennuste'!H266*1000</f>
        <v>403.12876052948252</v>
      </c>
      <c r="Z266" s="41">
        <f>G266/'1. Väestöennuste'!I266*1000</f>
        <v>215.98535692495423</v>
      </c>
      <c r="AA266" s="41">
        <f>H266/'1. Väestöennuste'!J266*1000</f>
        <v>1276.079934021421</v>
      </c>
      <c r="AB266" s="41">
        <f>I266/'1. Väestöennuste'!K266*1000</f>
        <v>363.82795914741723</v>
      </c>
      <c r="AC266" s="41">
        <f>J266/'1. Väestöennuste'!L266*1000</f>
        <v>-10.101044342853971</v>
      </c>
      <c r="AD266" s="41">
        <f>K266/'1. Väestöennuste'!M266*1000</f>
        <v>146.93697003231688</v>
      </c>
      <c r="AE266" s="41">
        <f>L266/'1. Väestöennuste'!N266*1000</f>
        <v>-278.32347052714016</v>
      </c>
      <c r="AF266" s="41">
        <f>M266/'1. Väestöennuste'!O266*1000</f>
        <v>-312.63276165597847</v>
      </c>
      <c r="AG266" s="41">
        <f>N266/'1. Väestöennuste'!P266*1000</f>
        <v>-412.00916882788346</v>
      </c>
      <c r="AH266" s="41">
        <f>O266/'1. Väestöennuste'!Q266*1000</f>
        <v>-497.3694086579564</v>
      </c>
      <c r="AI266" s="41">
        <f>P266/'1. Väestöennuste'!R266*1000</f>
        <v>-467.94131602540585</v>
      </c>
    </row>
    <row r="267" spans="1:35" x14ac:dyDescent="0.2">
      <c r="A267" s="34">
        <v>834</v>
      </c>
      <c r="B267" s="88" t="s">
        <v>581</v>
      </c>
      <c r="C267" s="41" t="e">
        <f>Vuosikate!C267+'7. Nettoinvestoinnit '!C267+'8. Satunnaiset erät'!C267+'9. Tulorahkorjauserät'!C267</f>
        <v>#REF!</v>
      </c>
      <c r="D267" s="41">
        <f>Vuosikate!D267+'7. Nettoinvestoinnit '!D267+'8. Satunnaiset erät'!D267+'9. Tulorahkorjauserät'!D267</f>
        <v>443</v>
      </c>
      <c r="E267" s="41">
        <f>Vuosikate!E267+'7. Nettoinvestoinnit '!E267+'8. Satunnaiset erät'!E267+'9. Tulorahkorjauserät'!E267</f>
        <v>352</v>
      </c>
      <c r="F267" s="41">
        <f>Vuosikate!F267+'7. Nettoinvestoinnit '!F267+'8. Satunnaiset erät'!F267+'9. Tulorahkorjauserät'!F267</f>
        <v>-989</v>
      </c>
      <c r="G267" s="41">
        <f>Vuosikate!G267+'7. Nettoinvestoinnit '!G267+'8. Satunnaiset erät'!G267+'9. Tulorahkorjauserät'!G267</f>
        <v>-1608</v>
      </c>
      <c r="H267" s="41">
        <f>Vuosikate!H267+'7. Nettoinvestoinnit '!H267+'8. Satunnaiset erät'!H267+'9. Tulorahkorjauserät'!H267</f>
        <v>2314.1237956303521</v>
      </c>
      <c r="I267" s="41">
        <f>Vuosikate!I267+'7. Nettoinvestoinnit '!I267+'8. Satunnaiset erät'!I267+'9. Tulorahkorjauserät'!I267</f>
        <v>2215.4316136267803</v>
      </c>
      <c r="J267" s="41">
        <f>Vuosikate!J267+'7. Nettoinvestoinnit '!J267+'8. Satunnaiset erät'!J267+'9. Tulorahkorjauserät'!J267</f>
        <v>2114.9901486586546</v>
      </c>
      <c r="K267" s="41">
        <f>Vuosikate!K267+'7. Nettoinvestoinnit '!K267+'8. Satunnaiset erät'!K267+'9. Tulorahkorjauserät'!K267</f>
        <v>-2140.3309686968032</v>
      </c>
      <c r="L267" s="41">
        <f>Vuosikate!L267+'7. Nettoinvestoinnit '!L267+'8. Satunnaiset erät'!L267+'9. Tulorahkorjauserät'!L267</f>
        <v>-2729.2546318432683</v>
      </c>
      <c r="M267" s="41">
        <f>Vuosikate!M267+'7. Nettoinvestoinnit '!M267+'8. Satunnaiset erät'!M267+'9. Tulorahkorjauserät'!M267</f>
        <v>-3288.641170043712</v>
      </c>
      <c r="N267" s="41">
        <f>Vuosikate!N267+'7. Nettoinvestoinnit '!N267+'8. Satunnaiset erät'!N267+'9. Tulorahkorjauserät'!N267</f>
        <v>-3111.9796182288064</v>
      </c>
      <c r="O267" s="41">
        <f>Vuosikate!O267+'7. Nettoinvestoinnit '!O267+'8. Satunnaiset erät'!O267+'9. Tulorahkorjauserät'!O267</f>
        <v>-3710.7515845181133</v>
      </c>
      <c r="P267" s="41">
        <f>Vuosikate!P267+'7. Nettoinvestoinnit '!P267+'8. Satunnaiset erät'!P267+'9. Tulorahkorjauserät'!P267</f>
        <v>-3299.9903934017666</v>
      </c>
      <c r="T267" s="34">
        <v>834</v>
      </c>
      <c r="U267" s="88" t="s">
        <v>581</v>
      </c>
      <c r="V267" s="41" t="e">
        <f>C267/'1. Väestöennuste'!E267*1000</f>
        <v>#REF!</v>
      </c>
      <c r="W267" s="41">
        <f>D267/'1. Väestöennuste'!F267*1000</f>
        <v>70.982214388719754</v>
      </c>
      <c r="X267" s="41">
        <f>E267/'1. Väestöennuste'!G267*1000</f>
        <v>57.189277010560524</v>
      </c>
      <c r="Y267" s="41">
        <f>F267/'1. Väestöennuste'!H267*1000</f>
        <v>-162.63772405854303</v>
      </c>
      <c r="Z267" s="41">
        <f>G267/'1. Väestöennuste'!I267*1000</f>
        <v>-267.33167082294261</v>
      </c>
      <c r="AA267" s="41">
        <f>H267/'1. Väestöennuste'!J267*1000</f>
        <v>384.66153517791759</v>
      </c>
      <c r="AB267" s="41">
        <f>I267/'1. Väestöennuste'!K267*1000</f>
        <v>371.28064582315739</v>
      </c>
      <c r="AC267" s="41">
        <f>J267/'1. Väestöennuste'!L267*1000</f>
        <v>359.75338470125104</v>
      </c>
      <c r="AD267" s="41">
        <f>K267/'1. Väestöennuste'!M267*1000</f>
        <v>-366.24417671060974</v>
      </c>
      <c r="AE267" s="41">
        <f>L267/'1. Väestöennuste'!N267*1000</f>
        <v>-470.96714958468823</v>
      </c>
      <c r="AF267" s="41">
        <f>M267/'1. Väestöennuste'!O267*1000</f>
        <v>-572.53502263992198</v>
      </c>
      <c r="AG267" s="41">
        <f>N267/'1. Väestöennuste'!P267*1000</f>
        <v>-546.4406704528194</v>
      </c>
      <c r="AH267" s="41">
        <f>O267/'1. Väestöennuste'!Q267*1000</f>
        <v>-657.00275929853285</v>
      </c>
      <c r="AI267" s="41">
        <f>P267/'1. Väestöennuste'!R267*1000</f>
        <v>-588.65329885868107</v>
      </c>
    </row>
    <row r="268" spans="1:35" x14ac:dyDescent="0.2">
      <c r="A268" s="34">
        <v>837</v>
      </c>
      <c r="B268" s="88" t="s">
        <v>582</v>
      </c>
      <c r="C268" s="41" t="e">
        <f>Vuosikate!C268+'7. Nettoinvestoinnit '!C268+'8. Satunnaiset erät'!C268+'9. Tulorahkorjauserät'!C268</f>
        <v>#REF!</v>
      </c>
      <c r="D268" s="41">
        <f>Vuosikate!D268+'7. Nettoinvestoinnit '!D268+'8. Satunnaiset erät'!D268+'9. Tulorahkorjauserät'!D268</f>
        <v>-145996</v>
      </c>
      <c r="E268" s="41">
        <f>Vuosikate!E268+'7. Nettoinvestoinnit '!E268+'8. Satunnaiset erät'!E268+'9. Tulorahkorjauserät'!E268</f>
        <v>-54930</v>
      </c>
      <c r="F268" s="41">
        <f>Vuosikate!F268+'7. Nettoinvestoinnit '!F268+'8. Satunnaiset erät'!F268+'9. Tulorahkorjauserät'!F268</f>
        <v>-141578</v>
      </c>
      <c r="G268" s="41">
        <f>Vuosikate!G268+'7. Nettoinvestoinnit '!G268+'8. Satunnaiset erät'!G268+'9. Tulorahkorjauserät'!G268</f>
        <v>-57106</v>
      </c>
      <c r="H268" s="41">
        <f>Vuosikate!H268+'7. Nettoinvestoinnit '!H268+'8. Satunnaiset erät'!H268+'9. Tulorahkorjauserät'!H268</f>
        <v>-31583.542714651325</v>
      </c>
      <c r="I268" s="41">
        <f>Vuosikate!I268+'7. Nettoinvestoinnit '!I268+'8. Satunnaiset erät'!I268+'9. Tulorahkorjauserät'!I268</f>
        <v>-12737.5958670736</v>
      </c>
      <c r="J268" s="41">
        <f>Vuosikate!J268+'7. Nettoinvestoinnit '!J268+'8. Satunnaiset erät'!J268+'9. Tulorahkorjauserät'!J268</f>
        <v>-93976.436992782474</v>
      </c>
      <c r="K268" s="41">
        <f>Vuosikate!K268+'7. Nettoinvestoinnit '!K268+'8. Satunnaiset erät'!K268+'9. Tulorahkorjauserät'!K268</f>
        <v>-30059.889873989345</v>
      </c>
      <c r="L268" s="41">
        <f>Vuosikate!L268+'7. Nettoinvestoinnit '!L268+'8. Satunnaiset erät'!L268+'9. Tulorahkorjauserät'!L268</f>
        <v>99297.335902911233</v>
      </c>
      <c r="M268" s="41">
        <f>Vuosikate!M268+'7. Nettoinvestoinnit '!M268+'8. Satunnaiset erät'!M268+'9. Tulorahkorjauserät'!M268</f>
        <v>-86684.503332977212</v>
      </c>
      <c r="N268" s="41">
        <f>Vuosikate!N268+'7. Nettoinvestoinnit '!N268+'8. Satunnaiset erät'!N268+'9. Tulorahkorjauserät'!N268</f>
        <v>-81489.446214985044</v>
      </c>
      <c r="O268" s="41">
        <f>Vuosikate!O268+'7. Nettoinvestoinnit '!O268+'8. Satunnaiset erät'!O268+'9. Tulorahkorjauserät'!O268</f>
        <v>-85108.957489819499</v>
      </c>
      <c r="P268" s="41">
        <f>Vuosikate!P268+'7. Nettoinvestoinnit '!P268+'8. Satunnaiset erät'!P268+'9. Tulorahkorjauserät'!P268</f>
        <v>-82136.310227845854</v>
      </c>
      <c r="T268" s="34">
        <v>837</v>
      </c>
      <c r="U268" s="88" t="s">
        <v>582</v>
      </c>
      <c r="V268" s="41" t="e">
        <f>C268/'1. Väestöennuste'!E268*1000</f>
        <v>#REF!</v>
      </c>
      <c r="W268" s="41">
        <f>D268/'1. Väestöennuste'!F268*1000</f>
        <v>-639.56473360960956</v>
      </c>
      <c r="X268" s="41">
        <f>E268/'1. Väestöennuste'!G268*1000</f>
        <v>-236.91735711851905</v>
      </c>
      <c r="Y268" s="41">
        <f>F268/'1. Väestöennuste'!H268*1000</f>
        <v>-601.8474827728395</v>
      </c>
      <c r="Z268" s="41">
        <f>G268/'1. Väestöennuste'!I268*1000</f>
        <v>-239.80011757789535</v>
      </c>
      <c r="AA268" s="41">
        <f>H268/'1. Väestöennuste'!J268*1000</f>
        <v>-131.04715058214146</v>
      </c>
      <c r="AB268" s="41">
        <f>I268/'1. Väestöennuste'!K268*1000</f>
        <v>-52.155594956550367</v>
      </c>
      <c r="AC268" s="41">
        <f>J268/'1. Väestöennuste'!L268*1000</f>
        <v>-377.40176858178808</v>
      </c>
      <c r="AD268" s="41">
        <f>K268/'1. Väestöennuste'!M268*1000</f>
        <v>-117.85881150358496</v>
      </c>
      <c r="AE268" s="41">
        <f>L268/'1. Väestöennuste'!N268*1000</f>
        <v>391.17618332162488</v>
      </c>
      <c r="AF268" s="41">
        <f>M268/'1. Väestöennuste'!O268*1000</f>
        <v>-337.83800882736085</v>
      </c>
      <c r="AG268" s="41">
        <f>N268/'1. Väestöennuste'!P268*1000</f>
        <v>-314.39921222181727</v>
      </c>
      <c r="AH268" s="41">
        <f>O268/'1. Väestöennuste'!Q268*1000</f>
        <v>-325.24431833833125</v>
      </c>
      <c r="AI268" s="41">
        <f>P268/'1. Väestöennuste'!R268*1000</f>
        <v>-311.0493377610025</v>
      </c>
    </row>
    <row r="269" spans="1:35" x14ac:dyDescent="0.2">
      <c r="A269" s="34">
        <v>844</v>
      </c>
      <c r="B269" s="88" t="s">
        <v>583</v>
      </c>
      <c r="C269" s="41" t="e">
        <f>Vuosikate!C269+'7. Nettoinvestoinnit '!C269+'8. Satunnaiset erät'!C269+'9. Tulorahkorjauserät'!C269</f>
        <v>#REF!</v>
      </c>
      <c r="D269" s="41">
        <f>Vuosikate!D269+'7. Nettoinvestoinnit '!D269+'8. Satunnaiset erät'!D269+'9. Tulorahkorjauserät'!D269</f>
        <v>-722</v>
      </c>
      <c r="E269" s="41">
        <f>Vuosikate!E269+'7. Nettoinvestoinnit '!E269+'8. Satunnaiset erät'!E269+'9. Tulorahkorjauserät'!E269</f>
        <v>-150</v>
      </c>
      <c r="F269" s="41">
        <f>Vuosikate!F269+'7. Nettoinvestoinnit '!F269+'8. Satunnaiset erät'!F269+'9. Tulorahkorjauserät'!F269</f>
        <v>-105</v>
      </c>
      <c r="G269" s="41">
        <f>Vuosikate!G269+'7. Nettoinvestoinnit '!G269+'8. Satunnaiset erät'!G269+'9. Tulorahkorjauserät'!G269</f>
        <v>-263</v>
      </c>
      <c r="H269" s="41">
        <f>Vuosikate!H269+'7. Nettoinvestoinnit '!H269+'8. Satunnaiset erät'!H269+'9. Tulorahkorjauserät'!H269</f>
        <v>-363.81695010390104</v>
      </c>
      <c r="I269" s="41">
        <f>Vuosikate!I269+'7. Nettoinvestoinnit '!I269+'8. Satunnaiset erät'!I269+'9. Tulorahkorjauserät'!I269</f>
        <v>393.9367766738406</v>
      </c>
      <c r="J269" s="41">
        <f>Vuosikate!J269+'7. Nettoinvestoinnit '!J269+'8. Satunnaiset erät'!J269+'9. Tulorahkorjauserät'!J269</f>
        <v>387.16890351457158</v>
      </c>
      <c r="K269" s="41">
        <f>Vuosikate!K269+'7. Nettoinvestoinnit '!K269+'8. Satunnaiset erät'!K269+'9. Tulorahkorjauserät'!K269</f>
        <v>218.23849226398971</v>
      </c>
      <c r="L269" s="41">
        <f>Vuosikate!L269+'7. Nettoinvestoinnit '!L269+'8. Satunnaiset erät'!L269+'9. Tulorahkorjauserät'!L269</f>
        <v>400.06031626272107</v>
      </c>
      <c r="M269" s="41">
        <f>Vuosikate!M269+'7. Nettoinvestoinnit '!M269+'8. Satunnaiset erät'!M269+'9. Tulorahkorjauserät'!M269</f>
        <v>87.154110384187845</v>
      </c>
      <c r="N269" s="41">
        <f>Vuosikate!N269+'7. Nettoinvestoinnit '!N269+'8. Satunnaiset erät'!N269+'9. Tulorahkorjauserät'!N269</f>
        <v>156.94754964067556</v>
      </c>
      <c r="O269" s="41">
        <f>Vuosikate!O269+'7. Nettoinvestoinnit '!O269+'8. Satunnaiset erät'!O269+'9. Tulorahkorjauserät'!O269</f>
        <v>309.84182643740019</v>
      </c>
      <c r="P269" s="41">
        <f>Vuosikate!P269+'7. Nettoinvestoinnit '!P269+'8. Satunnaiset erät'!P269+'9. Tulorahkorjauserät'!P269</f>
        <v>483.65089458522414</v>
      </c>
      <c r="T269" s="34">
        <v>844</v>
      </c>
      <c r="U269" s="88" t="s">
        <v>583</v>
      </c>
      <c r="V269" s="41" t="e">
        <f>C269/'1. Väestöennuste'!E269*1000</f>
        <v>#REF!</v>
      </c>
      <c r="W269" s="41">
        <f>D269/'1. Väestöennuste'!F269*1000</f>
        <v>-448.16883923029178</v>
      </c>
      <c r="X269" s="41">
        <f>E269/'1. Väestöennuste'!G269*1000</f>
        <v>-94.637223974763401</v>
      </c>
      <c r="Y269" s="41">
        <f>F269/'1. Väestöennuste'!H269*1000</f>
        <v>-67.007019783024887</v>
      </c>
      <c r="Z269" s="41">
        <f>G269/'1. Väestöennuste'!I269*1000</f>
        <v>-173.0263157894737</v>
      </c>
      <c r="AA269" s="41">
        <f>H269/'1. Väestöennuste'!J269*1000</f>
        <v>-242.06051237784501</v>
      </c>
      <c r="AB269" s="41">
        <f>I269/'1. Väestöennuste'!K269*1000</f>
        <v>266.35346631091318</v>
      </c>
      <c r="AC269" s="41">
        <f>J269/'1. Väestöennuste'!L269*1000</f>
        <v>268.68071028075752</v>
      </c>
      <c r="AD269" s="41">
        <f>K269/'1. Väestöennuste'!M269*1000</f>
        <v>154.55983871387375</v>
      </c>
      <c r="AE269" s="41">
        <f>L269/'1. Väestöennuste'!N269*1000</f>
        <v>278.9820894440175</v>
      </c>
      <c r="AF269" s="41">
        <f>M269/'1. Väestöennuste'!O269*1000</f>
        <v>61.289810396756572</v>
      </c>
      <c r="AG269" s="41">
        <f>N269/'1. Väestöennuste'!P269*1000</f>
        <v>111.15265555288637</v>
      </c>
      <c r="AH269" s="41">
        <f>O269/'1. Väestöennuste'!Q269*1000</f>
        <v>220.99987620356646</v>
      </c>
      <c r="AI269" s="41">
        <f>P269/'1. Väestöennuste'!R269*1000</f>
        <v>347.70013988873052</v>
      </c>
    </row>
    <row r="270" spans="1:35" x14ac:dyDescent="0.2">
      <c r="A270" s="34">
        <v>845</v>
      </c>
      <c r="B270" s="88" t="s">
        <v>584</v>
      </c>
      <c r="C270" s="41" t="e">
        <f>Vuosikate!C270+'7. Nettoinvestoinnit '!C270+'8. Satunnaiset erät'!C270+'9. Tulorahkorjauserät'!C270</f>
        <v>#REF!</v>
      </c>
      <c r="D270" s="41">
        <f>Vuosikate!D270+'7. Nettoinvestoinnit '!D270+'8. Satunnaiset erät'!D270+'9. Tulorahkorjauserät'!D270</f>
        <v>2919</v>
      </c>
      <c r="E270" s="41">
        <f>Vuosikate!E270+'7. Nettoinvestoinnit '!E270+'8. Satunnaiset erät'!E270+'9. Tulorahkorjauserät'!E270</f>
        <v>1432</v>
      </c>
      <c r="F270" s="41">
        <f>Vuosikate!F270+'7. Nettoinvestoinnit '!F270+'8. Satunnaiset erät'!F270+'9. Tulorahkorjauserät'!F270</f>
        <v>495</v>
      </c>
      <c r="G270" s="41">
        <f>Vuosikate!G270+'7. Nettoinvestoinnit '!G270+'8. Satunnaiset erät'!G270+'9. Tulorahkorjauserät'!G270</f>
        <v>-720</v>
      </c>
      <c r="H270" s="41">
        <f>Vuosikate!H270+'7. Nettoinvestoinnit '!H270+'8. Satunnaiset erät'!H270+'9. Tulorahkorjauserät'!H270</f>
        <v>831.80715164606227</v>
      </c>
      <c r="I270" s="41">
        <f>Vuosikate!I270+'7. Nettoinvestoinnit '!I270+'8. Satunnaiset erät'!I270+'9. Tulorahkorjauserät'!I270</f>
        <v>2829.1663612005991</v>
      </c>
      <c r="J270" s="41">
        <f>Vuosikate!J270+'7. Nettoinvestoinnit '!J270+'8. Satunnaiset erät'!J270+'9. Tulorahkorjauserät'!J270</f>
        <v>1105.6907370812869</v>
      </c>
      <c r="K270" s="41">
        <f>Vuosikate!K270+'7. Nettoinvestoinnit '!K270+'8. Satunnaiset erät'!K270+'9. Tulorahkorjauserät'!K270</f>
        <v>1617.3361209678028</v>
      </c>
      <c r="L270" s="41">
        <f>Vuosikate!L270+'7. Nettoinvestoinnit '!L270+'8. Satunnaiset erät'!L270+'9. Tulorahkorjauserät'!L270</f>
        <v>-736.65468742798134</v>
      </c>
      <c r="M270" s="41">
        <f>Vuosikate!M270+'7. Nettoinvestoinnit '!M270+'8. Satunnaiset erät'!M270+'9. Tulorahkorjauserät'!M270</f>
        <v>-985.98180257538888</v>
      </c>
      <c r="N270" s="41">
        <f>Vuosikate!N270+'7. Nettoinvestoinnit '!N270+'8. Satunnaiset erät'!N270+'9. Tulorahkorjauserät'!N270</f>
        <v>-1282.7998758163292</v>
      </c>
      <c r="O270" s="41">
        <f>Vuosikate!O270+'7. Nettoinvestoinnit '!O270+'8. Satunnaiset erät'!O270+'9. Tulorahkorjauserät'!O270</f>
        <v>-1552.1316211004332</v>
      </c>
      <c r="P270" s="41">
        <f>Vuosikate!P270+'7. Nettoinvestoinnit '!P270+'8. Satunnaiset erät'!P270+'9. Tulorahkorjauserät'!P270</f>
        <v>-1445.0790435275517</v>
      </c>
      <c r="T270" s="34">
        <v>845</v>
      </c>
      <c r="U270" s="88" t="s">
        <v>584</v>
      </c>
      <c r="V270" s="41" t="e">
        <f>C270/'1. Väestöennuste'!E270*1000</f>
        <v>#REF!</v>
      </c>
      <c r="W270" s="41">
        <f>D270/'1. Väestöennuste'!F270*1000</f>
        <v>941.91674733785089</v>
      </c>
      <c r="X270" s="41">
        <f>E270/'1. Väestöennuste'!G270*1000</f>
        <v>466.75358539765324</v>
      </c>
      <c r="Y270" s="41">
        <f>F270/'1. Väestöennuste'!H270*1000</f>
        <v>161.65904637491835</v>
      </c>
      <c r="Z270" s="41">
        <f>G270/'1. Väestöennuste'!I270*1000</f>
        <v>-239.92002665778074</v>
      </c>
      <c r="AA270" s="41">
        <f>H270/'1. Väestöennuste'!J270*1000</f>
        <v>284.37851338326914</v>
      </c>
      <c r="AB270" s="41">
        <f>I270/'1. Väestöennuste'!K270*1000</f>
        <v>981.66771727987475</v>
      </c>
      <c r="AC270" s="41">
        <f>J270/'1. Väestöennuste'!L270*1000</f>
        <v>386.20004788029581</v>
      </c>
      <c r="AD270" s="41">
        <f>K270/'1. Väestöennuste'!M270*1000</f>
        <v>571.29499151105711</v>
      </c>
      <c r="AE270" s="41">
        <f>L270/'1. Väestöennuste'!N270*1000</f>
        <v>-271.02821465341475</v>
      </c>
      <c r="AF270" s="41">
        <f>M270/'1. Väestöennuste'!O270*1000</f>
        <v>-368.45358840634862</v>
      </c>
      <c r="AG270" s="41">
        <f>N270/'1. Väestöennuste'!P270*1000</f>
        <v>-486.46184141688633</v>
      </c>
      <c r="AH270" s="41">
        <f>O270/'1. Väestöennuste'!Q270*1000</f>
        <v>-597.43326447283812</v>
      </c>
      <c r="AI270" s="41">
        <f>P270/'1. Väestöennuste'!R270*1000</f>
        <v>-564.26358591470193</v>
      </c>
    </row>
    <row r="271" spans="1:35" x14ac:dyDescent="0.2">
      <c r="A271" s="34">
        <v>846</v>
      </c>
      <c r="B271" s="88" t="s">
        <v>585</v>
      </c>
      <c r="C271" s="41" t="e">
        <f>Vuosikate!C271+'7. Nettoinvestoinnit '!C271+'8. Satunnaiset erät'!C271+'9. Tulorahkorjauserät'!C271</f>
        <v>#REF!</v>
      </c>
      <c r="D271" s="41">
        <f>Vuosikate!D271+'7. Nettoinvestoinnit '!D271+'8. Satunnaiset erät'!D271+'9. Tulorahkorjauserät'!D271</f>
        <v>731</v>
      </c>
      <c r="E271" s="41">
        <f>Vuosikate!E271+'7. Nettoinvestoinnit '!E271+'8. Satunnaiset erät'!E271+'9. Tulorahkorjauserät'!E271</f>
        <v>913</v>
      </c>
      <c r="F271" s="41">
        <f>Vuosikate!F271+'7. Nettoinvestoinnit '!F271+'8. Satunnaiset erät'!F271+'9. Tulorahkorjauserät'!F271</f>
        <v>714</v>
      </c>
      <c r="G271" s="41">
        <f>Vuosikate!G271+'7. Nettoinvestoinnit '!G271+'8. Satunnaiset erät'!G271+'9. Tulorahkorjauserät'!G271</f>
        <v>2085</v>
      </c>
      <c r="H271" s="41">
        <f>Vuosikate!H271+'7. Nettoinvestoinnit '!H271+'8. Satunnaiset erät'!H271+'9. Tulorahkorjauserät'!H271</f>
        <v>3676.6035700283683</v>
      </c>
      <c r="I271" s="41">
        <f>Vuosikate!I271+'7. Nettoinvestoinnit '!I271+'8. Satunnaiset erät'!I271+'9. Tulorahkorjauserät'!I271</f>
        <v>1310.2433736527871</v>
      </c>
      <c r="J271" s="41">
        <f>Vuosikate!J271+'7. Nettoinvestoinnit '!J271+'8. Satunnaiset erät'!J271+'9. Tulorahkorjauserät'!J271</f>
        <v>3455.3590103077631</v>
      </c>
      <c r="K271" s="41">
        <f>Vuosikate!K271+'7. Nettoinvestoinnit '!K271+'8. Satunnaiset erät'!K271+'9. Tulorahkorjauserät'!K271</f>
        <v>6235.3532508322514</v>
      </c>
      <c r="L271" s="41">
        <f>Vuosikate!L271+'7. Nettoinvestoinnit '!L271+'8. Satunnaiset erät'!L271+'9. Tulorahkorjauserät'!L271</f>
        <v>2165.1056805432681</v>
      </c>
      <c r="M271" s="41">
        <f>Vuosikate!M271+'7. Nettoinvestoinnit '!M271+'8. Satunnaiset erät'!M271+'9. Tulorahkorjauserät'!M271</f>
        <v>906.32528732886044</v>
      </c>
      <c r="N271" s="41">
        <f>Vuosikate!N271+'7. Nettoinvestoinnit '!N271+'8. Satunnaiset erät'!N271+'9. Tulorahkorjauserät'!N271</f>
        <v>898.13423484926966</v>
      </c>
      <c r="O271" s="41">
        <f>Vuosikate!O271+'7. Nettoinvestoinnit '!O271+'8. Satunnaiset erät'!O271+'9. Tulorahkorjauserät'!O271</f>
        <v>393.61336047290729</v>
      </c>
      <c r="P271" s="41">
        <f>Vuosikate!P271+'7. Nettoinvestoinnit '!P271+'8. Satunnaiset erät'!P271+'9. Tulorahkorjauserät'!P271</f>
        <v>840.59360312788158</v>
      </c>
      <c r="T271" s="34">
        <v>846</v>
      </c>
      <c r="U271" s="88" t="s">
        <v>585</v>
      </c>
      <c r="V271" s="41" t="e">
        <f>C271/'1. Väestöennuste'!E271*1000</f>
        <v>#REF!</v>
      </c>
      <c r="W271" s="41">
        <f>D271/'1. Väestöennuste'!F271*1000</f>
        <v>136.3043072906955</v>
      </c>
      <c r="X271" s="41">
        <f>E271/'1. Väestöennuste'!G271*1000</f>
        <v>173.27766179540711</v>
      </c>
      <c r="Y271" s="41">
        <f>F271/'1. Väestöennuste'!H271*1000</f>
        <v>138.42574641333849</v>
      </c>
      <c r="Z271" s="41">
        <f>G271/'1. Väestöennuste'!I271*1000</f>
        <v>410.75650118203311</v>
      </c>
      <c r="AA271" s="41">
        <f>H271/'1. Väestöennuste'!J271*1000</f>
        <v>736.20415899646946</v>
      </c>
      <c r="AB271" s="41">
        <f>I271/'1. Väestöennuste'!K271*1000</f>
        <v>264.58872650500547</v>
      </c>
      <c r="AC271" s="41">
        <f>J271/'1. Väestöennuste'!L271*1000</f>
        <v>710.68675654211495</v>
      </c>
      <c r="AD271" s="41">
        <f>K271/'1. Väestöennuste'!M271*1000</f>
        <v>1310.4987916839536</v>
      </c>
      <c r="AE271" s="41">
        <f>L271/'1. Väestöennuste'!N271*1000</f>
        <v>467.42350616219085</v>
      </c>
      <c r="AF271" s="41">
        <f>M271/'1. Väestöennuste'!O271*1000</f>
        <v>199.01741048064571</v>
      </c>
      <c r="AG271" s="41">
        <f>N271/'1. Väestöennuste'!P271*1000</f>
        <v>200.52115089289344</v>
      </c>
      <c r="AH271" s="41">
        <f>O271/'1. Väestöennuste'!Q271*1000</f>
        <v>89.315489102089231</v>
      </c>
      <c r="AI271" s="41">
        <f>P271/'1. Väestöennuste'!R271*1000</f>
        <v>193.95330021409356</v>
      </c>
    </row>
    <row r="272" spans="1:35" x14ac:dyDescent="0.2">
      <c r="A272" s="34">
        <v>848</v>
      </c>
      <c r="B272" s="88" t="s">
        <v>586</v>
      </c>
      <c r="C272" s="41" t="e">
        <f>Vuosikate!C272+'7. Nettoinvestoinnit '!C272+'8. Satunnaiset erät'!C272+'9. Tulorahkorjauserät'!C272</f>
        <v>#REF!</v>
      </c>
      <c r="D272" s="41">
        <f>Vuosikate!D272+'7. Nettoinvestoinnit '!D272+'8. Satunnaiset erät'!D272+'9. Tulorahkorjauserät'!D272</f>
        <v>85</v>
      </c>
      <c r="E272" s="41">
        <f>Vuosikate!E272+'7. Nettoinvestoinnit '!E272+'8. Satunnaiset erät'!E272+'9. Tulorahkorjauserät'!E272</f>
        <v>1141</v>
      </c>
      <c r="F272" s="41">
        <f>Vuosikate!F272+'7. Nettoinvestoinnit '!F272+'8. Satunnaiset erät'!F272+'9. Tulorahkorjauserät'!F272</f>
        <v>-1621</v>
      </c>
      <c r="G272" s="41">
        <f>Vuosikate!G272+'7. Nettoinvestoinnit '!G272+'8. Satunnaiset erät'!G272+'9. Tulorahkorjauserät'!G272</f>
        <v>-2456</v>
      </c>
      <c r="H272" s="41">
        <f>Vuosikate!H272+'7. Nettoinvestoinnit '!H272+'8. Satunnaiset erät'!H272+'9. Tulorahkorjauserät'!H272</f>
        <v>-200.30956692715699</v>
      </c>
      <c r="I272" s="41">
        <f>Vuosikate!I272+'7. Nettoinvestoinnit '!I272+'8. Satunnaiset erät'!I272+'9. Tulorahkorjauserät'!I272</f>
        <v>731.84452483838845</v>
      </c>
      <c r="J272" s="41">
        <f>Vuosikate!J272+'7. Nettoinvestoinnit '!J272+'8. Satunnaiset erät'!J272+'9. Tulorahkorjauserät'!J272</f>
        <v>-51.722095765614199</v>
      </c>
      <c r="K272" s="41">
        <f>Vuosikate!K272+'7. Nettoinvestoinnit '!K272+'8. Satunnaiset erät'!K272+'9. Tulorahkorjauserät'!K272</f>
        <v>845.6886574872035</v>
      </c>
      <c r="L272" s="41">
        <f>Vuosikate!L272+'7. Nettoinvestoinnit '!L272+'8. Satunnaiset erät'!L272+'9. Tulorahkorjauserät'!L272</f>
        <v>-551.45787520517638</v>
      </c>
      <c r="M272" s="41">
        <f>Vuosikate!M272+'7. Nettoinvestoinnit '!M272+'8. Satunnaiset erät'!M272+'9. Tulorahkorjauserät'!M272</f>
        <v>-2234.0780626727442</v>
      </c>
      <c r="N272" s="41">
        <f>Vuosikate!N272+'7. Nettoinvestoinnit '!N272+'8. Satunnaiset erät'!N272+'9. Tulorahkorjauserät'!N272</f>
        <v>-2700.1923544091887</v>
      </c>
      <c r="O272" s="41">
        <f>Vuosikate!O272+'7. Nettoinvestoinnit '!O272+'8. Satunnaiset erät'!O272+'9. Tulorahkorjauserät'!O272</f>
        <v>-3137.1393122884901</v>
      </c>
      <c r="P272" s="41">
        <f>Vuosikate!P272+'7. Nettoinvestoinnit '!P272+'8. Satunnaiset erät'!P272+'9. Tulorahkorjauserät'!P272</f>
        <v>-2889.1178148131057</v>
      </c>
      <c r="T272" s="34">
        <v>848</v>
      </c>
      <c r="U272" s="88" t="s">
        <v>586</v>
      </c>
      <c r="V272" s="41" t="e">
        <f>C272/'1. Väestöennuste'!E272*1000</f>
        <v>#REF!</v>
      </c>
      <c r="W272" s="41">
        <f>D272/'1. Väestöennuste'!F272*1000</f>
        <v>18.267784225231033</v>
      </c>
      <c r="X272" s="41">
        <f>E272/'1. Väestöennuste'!G272*1000</f>
        <v>249.61715160796325</v>
      </c>
      <c r="Y272" s="41">
        <f>F272/'1. Väestöennuste'!H272*1000</f>
        <v>-361.66889781347612</v>
      </c>
      <c r="Z272" s="41">
        <f>G272/'1. Väestöennuste'!I272*1000</f>
        <v>-563.1735840403577</v>
      </c>
      <c r="AA272" s="41">
        <f>H272/'1. Väestöennuste'!J272*1000</f>
        <v>-46.507909665000462</v>
      </c>
      <c r="AB272" s="41">
        <f>I272/'1. Väestöennuste'!K272*1000</f>
        <v>172.56414167375348</v>
      </c>
      <c r="AC272" s="41">
        <f>J272/'1. Väestöennuste'!L272*1000</f>
        <v>-12.433196097503414</v>
      </c>
      <c r="AD272" s="41">
        <f>K272/'1. Väestöennuste'!M272*1000</f>
        <v>207.99032402538205</v>
      </c>
      <c r="AE272" s="41">
        <f>L272/'1. Väestöennuste'!N272*1000</f>
        <v>-137.93343551905363</v>
      </c>
      <c r="AF272" s="41">
        <f>M272/'1. Väestöennuste'!O272*1000</f>
        <v>-567.16884048559132</v>
      </c>
      <c r="AG272" s="41">
        <f>N272/'1. Väestöennuste'!P272*1000</f>
        <v>-695.38819325500617</v>
      </c>
      <c r="AH272" s="41">
        <f>O272/'1. Väestöennuste'!Q272*1000</f>
        <v>-819.31034533520244</v>
      </c>
      <c r="AI272" s="41">
        <f>P272/'1. Väestöennuste'!R272*1000</f>
        <v>-764.92396473738563</v>
      </c>
    </row>
    <row r="273" spans="1:35" x14ac:dyDescent="0.2">
      <c r="A273" s="34">
        <v>849</v>
      </c>
      <c r="B273" s="88" t="s">
        <v>587</v>
      </c>
      <c r="C273" s="41" t="e">
        <f>Vuosikate!C273+'7. Nettoinvestoinnit '!C273+'8. Satunnaiset erät'!C273+'9. Tulorahkorjauserät'!C273</f>
        <v>#REF!</v>
      </c>
      <c r="D273" s="41">
        <f>Vuosikate!D273+'7. Nettoinvestoinnit '!D273+'8. Satunnaiset erät'!D273+'9. Tulorahkorjauserät'!D273</f>
        <v>373</v>
      </c>
      <c r="E273" s="41">
        <f>Vuosikate!E273+'7. Nettoinvestoinnit '!E273+'8. Satunnaiset erät'!E273+'9. Tulorahkorjauserät'!E273</f>
        <v>1094</v>
      </c>
      <c r="F273" s="41">
        <f>Vuosikate!F273+'7. Nettoinvestoinnit '!F273+'8. Satunnaiset erät'!F273+'9. Tulorahkorjauserät'!F273</f>
        <v>399</v>
      </c>
      <c r="G273" s="41">
        <f>Vuosikate!G273+'7. Nettoinvestoinnit '!G273+'8. Satunnaiset erät'!G273+'9. Tulorahkorjauserät'!G273</f>
        <v>-419</v>
      </c>
      <c r="H273" s="41">
        <f>Vuosikate!H273+'7. Nettoinvestoinnit '!H273+'8. Satunnaiset erät'!H273+'9. Tulorahkorjauserät'!H273</f>
        <v>395.56543468721247</v>
      </c>
      <c r="I273" s="41">
        <f>Vuosikate!I273+'7. Nettoinvestoinnit '!I273+'8. Satunnaiset erät'!I273+'9. Tulorahkorjauserät'!I273</f>
        <v>204.09619410485649</v>
      </c>
      <c r="J273" s="41">
        <f>Vuosikate!J273+'7. Nettoinvestoinnit '!J273+'8. Satunnaiset erät'!J273+'9. Tulorahkorjauserät'!J273</f>
        <v>282.8674884005253</v>
      </c>
      <c r="K273" s="41">
        <f>Vuosikate!K273+'7. Nettoinvestoinnit '!K273+'8. Satunnaiset erät'!K273+'9. Tulorahkorjauserät'!K273</f>
        <v>3846.1636775364796</v>
      </c>
      <c r="L273" s="41">
        <f>Vuosikate!L273+'7. Nettoinvestoinnit '!L273+'8. Satunnaiset erät'!L273+'9. Tulorahkorjauserät'!L273</f>
        <v>-505.1993041669017</v>
      </c>
      <c r="M273" s="41">
        <f>Vuosikate!M273+'7. Nettoinvestoinnit '!M273+'8. Satunnaiset erät'!M273+'9. Tulorahkorjauserät'!M273</f>
        <v>-764.50700272576751</v>
      </c>
      <c r="N273" s="41">
        <f>Vuosikate!N273+'7. Nettoinvestoinnit '!N273+'8. Satunnaiset erät'!N273+'9. Tulorahkorjauserät'!N273</f>
        <v>-1248.391574400338</v>
      </c>
      <c r="O273" s="41">
        <f>Vuosikate!O273+'7. Nettoinvestoinnit '!O273+'8. Satunnaiset erät'!O273+'9. Tulorahkorjauserät'!O273</f>
        <v>-1674.7313232019526</v>
      </c>
      <c r="P273" s="41">
        <f>Vuosikate!P273+'7. Nettoinvestoinnit '!P273+'8. Satunnaiset erät'!P273+'9. Tulorahkorjauserät'!P273</f>
        <v>-1442.9949869212764</v>
      </c>
      <c r="T273" s="34">
        <v>849</v>
      </c>
      <c r="U273" s="88" t="s">
        <v>587</v>
      </c>
      <c r="V273" s="41" t="e">
        <f>C273/'1. Väestöennuste'!E273*1000</f>
        <v>#REF!</v>
      </c>
      <c r="W273" s="41">
        <f>D273/'1. Väestöennuste'!F273*1000</f>
        <v>115.40841584158416</v>
      </c>
      <c r="X273" s="41">
        <f>E273/'1. Väestöennuste'!G273*1000</f>
        <v>342.73182957393482</v>
      </c>
      <c r="Y273" s="41">
        <f>F273/'1. Väestöennuste'!H273*1000</f>
        <v>128.2133676092545</v>
      </c>
      <c r="Z273" s="41">
        <f>G273/'1. Väestöennuste'!I273*1000</f>
        <v>-138.14704912627761</v>
      </c>
      <c r="AA273" s="41">
        <f>H273/'1. Väestöennuste'!J273*1000</f>
        <v>133.36663340769132</v>
      </c>
      <c r="AB273" s="41">
        <f>I273/'1. Väestöennuste'!K273*1000</f>
        <v>69.467731145288113</v>
      </c>
      <c r="AC273" s="41">
        <f>J273/'1. Väestöennuste'!L273*1000</f>
        <v>97.439713537900559</v>
      </c>
      <c r="AD273" s="41">
        <f>K273/'1. Väestöennuste'!M273*1000</f>
        <v>1350.0048008201052</v>
      </c>
      <c r="AE273" s="41">
        <f>L273/'1. Väestöennuste'!N273*1000</f>
        <v>-187.18017938751453</v>
      </c>
      <c r="AF273" s="41">
        <f>M273/'1. Väestöennuste'!O273*1000</f>
        <v>-289.91543523919887</v>
      </c>
      <c r="AG273" s="41">
        <f>N273/'1. Väestöennuste'!P273*1000</f>
        <v>-484.0603235363854</v>
      </c>
      <c r="AH273" s="41">
        <f>O273/'1. Väestöennuste'!Q273*1000</f>
        <v>-663.52271125275468</v>
      </c>
      <c r="AI273" s="41">
        <f>P273/'1. Väestöennuste'!R273*1000</f>
        <v>-583.97207078967074</v>
      </c>
    </row>
    <row r="274" spans="1:35" x14ac:dyDescent="0.2">
      <c r="A274" s="34">
        <v>850</v>
      </c>
      <c r="B274" s="88" t="s">
        <v>588</v>
      </c>
      <c r="C274" s="41" t="e">
        <f>Vuosikate!C274+'7. Nettoinvestoinnit '!C274+'8. Satunnaiset erät'!C274+'9. Tulorahkorjauserät'!C274</f>
        <v>#REF!</v>
      </c>
      <c r="D274" s="41">
        <f>Vuosikate!D274+'7. Nettoinvestoinnit '!D274+'8. Satunnaiset erät'!D274+'9. Tulorahkorjauserät'!D274</f>
        <v>-2334</v>
      </c>
      <c r="E274" s="41">
        <f>Vuosikate!E274+'7. Nettoinvestoinnit '!E274+'8. Satunnaiset erät'!E274+'9. Tulorahkorjauserät'!E274</f>
        <v>-306</v>
      </c>
      <c r="F274" s="41">
        <f>Vuosikate!F274+'7. Nettoinvestoinnit '!F274+'8. Satunnaiset erät'!F274+'9. Tulorahkorjauserät'!F274</f>
        <v>-1541</v>
      </c>
      <c r="G274" s="41">
        <f>Vuosikate!G274+'7. Nettoinvestoinnit '!G274+'8. Satunnaiset erät'!G274+'9. Tulorahkorjauserät'!G274</f>
        <v>-351</v>
      </c>
      <c r="H274" s="41">
        <f>Vuosikate!H274+'7. Nettoinvestoinnit '!H274+'8. Satunnaiset erät'!H274+'9. Tulorahkorjauserät'!H274</f>
        <v>-1514.1655025684004</v>
      </c>
      <c r="I274" s="41">
        <f>Vuosikate!I274+'7. Nettoinvestoinnit '!I274+'8. Satunnaiset erät'!I274+'9. Tulorahkorjauserät'!I274</f>
        <v>834.39981292755942</v>
      </c>
      <c r="J274" s="41">
        <f>Vuosikate!J274+'7. Nettoinvestoinnit '!J274+'8. Satunnaiset erät'!J274+'9. Tulorahkorjauserät'!J274</f>
        <v>540.90736718850576</v>
      </c>
      <c r="K274" s="41">
        <f>Vuosikate!K274+'7. Nettoinvestoinnit '!K274+'8. Satunnaiset erät'!K274+'9. Tulorahkorjauserät'!K274</f>
        <v>3864.5277863249289</v>
      </c>
      <c r="L274" s="41">
        <f>Vuosikate!L274+'7. Nettoinvestoinnit '!L274+'8. Satunnaiset erät'!L274+'9. Tulorahkorjauserät'!L274</f>
        <v>1166.6692837748724</v>
      </c>
      <c r="M274" s="41">
        <f>Vuosikate!M274+'7. Nettoinvestoinnit '!M274+'8. Satunnaiset erät'!M274+'9. Tulorahkorjauserät'!M274</f>
        <v>-689.78606347122445</v>
      </c>
      <c r="N274" s="41">
        <f>Vuosikate!N274+'7. Nettoinvestoinnit '!N274+'8. Satunnaiset erät'!N274+'9. Tulorahkorjauserät'!N274</f>
        <v>-701.51732461793745</v>
      </c>
      <c r="O274" s="41">
        <f>Vuosikate!O274+'7. Nettoinvestoinnit '!O274+'8. Satunnaiset erät'!O274+'9. Tulorahkorjauserät'!O274</f>
        <v>-935.70793501985099</v>
      </c>
      <c r="P274" s="41">
        <f>Vuosikate!P274+'7. Nettoinvestoinnit '!P274+'8. Satunnaiset erät'!P274+'9. Tulorahkorjauserät'!P274</f>
        <v>-1027.1490879280911</v>
      </c>
      <c r="T274" s="34">
        <v>850</v>
      </c>
      <c r="U274" s="88" t="s">
        <v>588</v>
      </c>
      <c r="V274" s="41" t="e">
        <f>C274/'1. Väestöennuste'!E274*1000</f>
        <v>#REF!</v>
      </c>
      <c r="W274" s="41">
        <f>D274/'1. Väestöennuste'!F274*1000</f>
        <v>-959.70394736842104</v>
      </c>
      <c r="X274" s="41">
        <f>E274/'1. Väestöennuste'!G274*1000</f>
        <v>-128.35570469798657</v>
      </c>
      <c r="Y274" s="41">
        <f>F274/'1. Väestöennuste'!H274*1000</f>
        <v>-640.4821280133001</v>
      </c>
      <c r="Z274" s="41">
        <f>G274/'1. Väestöennuste'!I274*1000</f>
        <v>-146.98492462311557</v>
      </c>
      <c r="AA274" s="41">
        <f>H274/'1. Väestöennuste'!J274*1000</f>
        <v>-630.63952626755542</v>
      </c>
      <c r="AB274" s="41">
        <f>I274/'1. Väestöennuste'!K274*1000</f>
        <v>349.56003893069101</v>
      </c>
      <c r="AC274" s="41">
        <f>J274/'1. Väestöennuste'!L274*1000</f>
        <v>224.72262866161435</v>
      </c>
      <c r="AD274" s="41">
        <f>K274/'1. Väestöennuste'!M274*1000</f>
        <v>1631.9796394953248</v>
      </c>
      <c r="AE274" s="41">
        <f>L274/'1. Väestöennuste'!N274*1000</f>
        <v>488.14614383885873</v>
      </c>
      <c r="AF274" s="41">
        <f>M274/'1. Väestöennuste'!O274*1000</f>
        <v>-289.46121001729944</v>
      </c>
      <c r="AG274" s="41">
        <f>N274/'1. Väestöennuste'!P274*1000</f>
        <v>-295.12718747073512</v>
      </c>
      <c r="AH274" s="41">
        <f>O274/'1. Väestöennuste'!Q274*1000</f>
        <v>-395.14693201851816</v>
      </c>
      <c r="AI274" s="41">
        <f>P274/'1. Väestöennuste'!R274*1000</f>
        <v>-436.15672523485819</v>
      </c>
    </row>
    <row r="275" spans="1:35" x14ac:dyDescent="0.2">
      <c r="A275" s="34">
        <v>851</v>
      </c>
      <c r="B275" s="88" t="s">
        <v>589</v>
      </c>
      <c r="C275" s="41" t="e">
        <f>Vuosikate!C275+'7. Nettoinvestoinnit '!C275+'8. Satunnaiset erät'!C275+'9. Tulorahkorjauserät'!C275</f>
        <v>#REF!</v>
      </c>
      <c r="D275" s="41">
        <f>Vuosikate!D275+'7. Nettoinvestoinnit '!D275+'8. Satunnaiset erät'!D275+'9. Tulorahkorjauserät'!D275</f>
        <v>2343</v>
      </c>
      <c r="E275" s="41">
        <f>Vuosikate!E275+'7. Nettoinvestoinnit '!E275+'8. Satunnaiset erät'!E275+'9. Tulorahkorjauserät'!E275</f>
        <v>587</v>
      </c>
      <c r="F275" s="41">
        <f>Vuosikate!F275+'7. Nettoinvestoinnit '!F275+'8. Satunnaiset erät'!F275+'9. Tulorahkorjauserät'!F275</f>
        <v>-3259</v>
      </c>
      <c r="G275" s="41">
        <f>Vuosikate!G275+'7. Nettoinvestoinnit '!G275+'8. Satunnaiset erät'!G275+'9. Tulorahkorjauserät'!G275</f>
        <v>-5113</v>
      </c>
      <c r="H275" s="41">
        <f>Vuosikate!H275+'7. Nettoinvestoinnit '!H275+'8. Satunnaiset erät'!H275+'9. Tulorahkorjauserät'!H275</f>
        <v>4981.7295411138984</v>
      </c>
      <c r="I275" s="41">
        <f>Vuosikate!I275+'7. Nettoinvestoinnit '!I275+'8. Satunnaiset erät'!I275+'9. Tulorahkorjauserät'!I275</f>
        <v>-1522.0315846319281</v>
      </c>
      <c r="J275" s="41">
        <f>Vuosikate!J275+'7. Nettoinvestoinnit '!J275+'8. Satunnaiset erät'!J275+'9. Tulorahkorjauserät'!J275</f>
        <v>-3046.1322136647973</v>
      </c>
      <c r="K275" s="41">
        <f>Vuosikate!K275+'7. Nettoinvestoinnit '!K275+'8. Satunnaiset erät'!K275+'9. Tulorahkorjauserät'!K275</f>
        <v>6536.8739870067548</v>
      </c>
      <c r="L275" s="41">
        <f>Vuosikate!L275+'7. Nettoinvestoinnit '!L275+'8. Satunnaiset erät'!L275+'9. Tulorahkorjauserät'!L275</f>
        <v>-3322.2894447798681</v>
      </c>
      <c r="M275" s="41">
        <f>Vuosikate!M275+'7. Nettoinvestoinnit '!M275+'8. Satunnaiset erät'!M275+'9. Tulorahkorjauserät'!M275</f>
        <v>-2643.5989424530917</v>
      </c>
      <c r="N275" s="41">
        <f>Vuosikate!N275+'7. Nettoinvestoinnit '!N275+'8. Satunnaiset erät'!N275+'9. Tulorahkorjauserät'!N275</f>
        <v>-4144.942009751986</v>
      </c>
      <c r="O275" s="41">
        <f>Vuosikate!O275+'7. Nettoinvestoinnit '!O275+'8. Satunnaiset erät'!O275+'9. Tulorahkorjauserät'!O275</f>
        <v>-3872.4018159575726</v>
      </c>
      <c r="P275" s="41">
        <f>Vuosikate!P275+'7. Nettoinvestoinnit '!P275+'8. Satunnaiset erät'!P275+'9. Tulorahkorjauserät'!P275</f>
        <v>-2034.8024592905022</v>
      </c>
      <c r="T275" s="34">
        <v>851</v>
      </c>
      <c r="U275" s="88" t="s">
        <v>589</v>
      </c>
      <c r="V275" s="41" t="e">
        <f>C275/'1. Väestöennuste'!E275*1000</f>
        <v>#REF!</v>
      </c>
      <c r="W275" s="41">
        <f>D275/'1. Väestöennuste'!F275*1000</f>
        <v>105.93660984762852</v>
      </c>
      <c r="X275" s="41">
        <f>E275/'1. Väestöennuste'!G275*1000</f>
        <v>26.7694272163444</v>
      </c>
      <c r="Y275" s="41">
        <f>F275/'1. Väestöennuste'!H275*1000</f>
        <v>-148.98285714285714</v>
      </c>
      <c r="Z275" s="41">
        <f>G275/'1. Väestöennuste'!I275*1000</f>
        <v>-236.69104712526618</v>
      </c>
      <c r="AA275" s="41">
        <f>H275/'1. Väestöennuste'!J275*1000</f>
        <v>232.06454283849158</v>
      </c>
      <c r="AB275" s="41">
        <f>I275/'1. Väestöennuste'!K275*1000</f>
        <v>-71.346345316267204</v>
      </c>
      <c r="AC275" s="41">
        <f>J275/'1. Väestöennuste'!L275*1000</f>
        <v>-143.50271887995464</v>
      </c>
      <c r="AD275" s="41">
        <f>K275/'1. Väestöennuste'!M275*1000</f>
        <v>311.01313098328836</v>
      </c>
      <c r="AE275" s="41">
        <f>L275/'1. Väestöennuste'!N275*1000</f>
        <v>-159.05253948582288</v>
      </c>
      <c r="AF275" s="41">
        <f>M275/'1. Väestöennuste'!O275*1000</f>
        <v>-127.41463960155639</v>
      </c>
      <c r="AG275" s="41">
        <f>N275/'1. Väestöennuste'!P275*1000</f>
        <v>-201.09363524898049</v>
      </c>
      <c r="AH275" s="41">
        <f>O275/'1. Väestöennuste'!Q275*1000</f>
        <v>-189.11905723566969</v>
      </c>
      <c r="AI275" s="41">
        <f>P275/'1. Väestöennuste'!R275*1000</f>
        <v>-100.0394522758359</v>
      </c>
    </row>
    <row r="276" spans="1:35" x14ac:dyDescent="0.2">
      <c r="A276" s="34">
        <v>853</v>
      </c>
      <c r="B276" s="88" t="s">
        <v>590</v>
      </c>
      <c r="C276" s="41" t="e">
        <f>Vuosikate!C276+'7. Nettoinvestoinnit '!C276+'8. Satunnaiset erät'!C276+'9. Tulorahkorjauserät'!C276</f>
        <v>#REF!</v>
      </c>
      <c r="D276" s="41">
        <f>Vuosikate!D276+'7. Nettoinvestoinnit '!D276+'8. Satunnaiset erät'!D276+'9. Tulorahkorjauserät'!D276</f>
        <v>-3217</v>
      </c>
      <c r="E276" s="41">
        <f>Vuosikate!E276+'7. Nettoinvestoinnit '!E276+'8. Satunnaiset erät'!E276+'9. Tulorahkorjauserät'!E276</f>
        <v>64715</v>
      </c>
      <c r="F276" s="41">
        <f>Vuosikate!F276+'7. Nettoinvestoinnit '!F276+'8. Satunnaiset erät'!F276+'9. Tulorahkorjauserät'!F276</f>
        <v>-74664</v>
      </c>
      <c r="G276" s="41">
        <f>Vuosikate!G276+'7. Nettoinvestoinnit '!G276+'8. Satunnaiset erät'!G276+'9. Tulorahkorjauserät'!G276</f>
        <v>-89877</v>
      </c>
      <c r="H276" s="41">
        <f>Vuosikate!H276+'7. Nettoinvestoinnit '!H276+'8. Satunnaiset erät'!H276+'9. Tulorahkorjauserät'!H276</f>
        <v>-9535.0066877781064</v>
      </c>
      <c r="I276" s="41">
        <f>Vuosikate!I276+'7. Nettoinvestoinnit '!I276+'8. Satunnaiset erät'!I276+'9. Tulorahkorjauserät'!I276</f>
        <v>-30105.125862964771</v>
      </c>
      <c r="J276" s="41">
        <f>Vuosikate!J276+'7. Nettoinvestoinnit '!J276+'8. Satunnaiset erät'!J276+'9. Tulorahkorjauserät'!J276</f>
        <v>-29607.332980667976</v>
      </c>
      <c r="K276" s="41">
        <f>Vuosikate!K276+'7. Nettoinvestoinnit '!K276+'8. Satunnaiset erät'!K276+'9. Tulorahkorjauserät'!K276</f>
        <v>-71838.244349315602</v>
      </c>
      <c r="L276" s="41">
        <f>Vuosikate!L276+'7. Nettoinvestoinnit '!L276+'8. Satunnaiset erät'!L276+'9. Tulorahkorjauserät'!L276</f>
        <v>-160318.03571637452</v>
      </c>
      <c r="M276" s="41">
        <f>Vuosikate!M276+'7. Nettoinvestoinnit '!M276+'8. Satunnaiset erät'!M276+'9. Tulorahkorjauserät'!M276</f>
        <v>-230436.21507062711</v>
      </c>
      <c r="N276" s="41">
        <f>Vuosikate!N276+'7. Nettoinvestoinnit '!N276+'8. Satunnaiset erät'!N276+'9. Tulorahkorjauserät'!N276</f>
        <v>-243400.7501745435</v>
      </c>
      <c r="O276" s="41">
        <f>Vuosikate!O276+'7. Nettoinvestoinnit '!O276+'8. Satunnaiset erät'!O276+'9. Tulorahkorjauserät'!O276</f>
        <v>-253295.72990463281</v>
      </c>
      <c r="P276" s="41">
        <f>Vuosikate!P276+'7. Nettoinvestoinnit '!P276+'8. Satunnaiset erät'!P276+'9. Tulorahkorjauserät'!P276</f>
        <v>-256198.58281069121</v>
      </c>
      <c r="T276" s="34">
        <v>853</v>
      </c>
      <c r="U276" s="88" t="s">
        <v>590</v>
      </c>
      <c r="V276" s="41" t="e">
        <f>C276/'1. Väestöennuste'!E276*1000</f>
        <v>#REF!</v>
      </c>
      <c r="W276" s="41">
        <f>D276/'1. Väestöennuste'!F276*1000</f>
        <v>-17.147822008059528</v>
      </c>
      <c r="X276" s="41">
        <f>E276/'1. Väestöennuste'!G276*1000</f>
        <v>341.19966889686771</v>
      </c>
      <c r="Y276" s="41">
        <f>F276/'1. Väestöennuste'!H276*1000</f>
        <v>-390.23472411684463</v>
      </c>
      <c r="Z276" s="41">
        <f>G276/'1. Väestöennuste'!I276*1000</f>
        <v>-465.77564494563694</v>
      </c>
      <c r="AA276" s="41">
        <f>H276/'1. Väestöennuste'!J276*1000</f>
        <v>-49.050659175466492</v>
      </c>
      <c r="AB276" s="41">
        <f>I276/'1. Väestöennuste'!K276*1000</f>
        <v>-154.27687144398433</v>
      </c>
      <c r="AC276" s="41">
        <f>J276/'1. Väestöennuste'!L276*1000</f>
        <v>-149.60754411656379</v>
      </c>
      <c r="AD276" s="41">
        <f>K276/'1. Väestöennuste'!M276*1000</f>
        <v>-355.87623462108263</v>
      </c>
      <c r="AE276" s="41">
        <f>L276/'1. Väestöennuste'!N276*1000</f>
        <v>-801.51403474857148</v>
      </c>
      <c r="AF276" s="41">
        <f>M276/'1. Väestöennuste'!O276*1000</f>
        <v>-1145.0588095576868</v>
      </c>
      <c r="AG276" s="41">
        <f>N276/'1. Väestöennuste'!P276*1000</f>
        <v>-1202.3352606922717</v>
      </c>
      <c r="AH276" s="41">
        <f>O276/'1. Väestöennuste'!Q276*1000</f>
        <v>-1244.0545659715272</v>
      </c>
      <c r="AI276" s="41">
        <f>P276/'1. Väestöennuste'!R276*1000</f>
        <v>-1251.3179098220266</v>
      </c>
    </row>
    <row r="277" spans="1:35" x14ac:dyDescent="0.2">
      <c r="A277" s="34">
        <v>854</v>
      </c>
      <c r="B277" s="88" t="s">
        <v>591</v>
      </c>
      <c r="C277" s="41" t="e">
        <f>Vuosikate!C277+'7. Nettoinvestoinnit '!C277+'8. Satunnaiset erät'!C277+'9. Tulorahkorjauserät'!C277</f>
        <v>#REF!</v>
      </c>
      <c r="D277" s="41">
        <f>Vuosikate!D277+'7. Nettoinvestoinnit '!D277+'8. Satunnaiset erät'!D277+'9. Tulorahkorjauserät'!D277</f>
        <v>-803</v>
      </c>
      <c r="E277" s="41">
        <f>Vuosikate!E277+'7. Nettoinvestoinnit '!E277+'8. Satunnaiset erät'!E277+'9. Tulorahkorjauserät'!E277</f>
        <v>-1643</v>
      </c>
      <c r="F277" s="41">
        <f>Vuosikate!F277+'7. Nettoinvestoinnit '!F277+'8. Satunnaiset erät'!F277+'9. Tulorahkorjauserät'!F277</f>
        <v>1</v>
      </c>
      <c r="G277" s="41">
        <f>Vuosikate!G277+'7. Nettoinvestoinnit '!G277+'8. Satunnaiset erät'!G277+'9. Tulorahkorjauserät'!G277</f>
        <v>-829</v>
      </c>
      <c r="H277" s="41">
        <f>Vuosikate!H277+'7. Nettoinvestoinnit '!H277+'8. Satunnaiset erät'!H277+'9. Tulorahkorjauserät'!H277</f>
        <v>1625.4906058852175</v>
      </c>
      <c r="I277" s="41">
        <f>Vuosikate!I277+'7. Nettoinvestoinnit '!I277+'8. Satunnaiset erät'!I277+'9. Tulorahkorjauserät'!I277</f>
        <v>1237.0902473320991</v>
      </c>
      <c r="J277" s="41">
        <f>Vuosikate!J277+'7. Nettoinvestoinnit '!J277+'8. Satunnaiset erät'!J277+'9. Tulorahkorjauserät'!J277</f>
        <v>608.01097289178028</v>
      </c>
      <c r="K277" s="41">
        <f>Vuosikate!K277+'7. Nettoinvestoinnit '!K277+'8. Satunnaiset erät'!K277+'9. Tulorahkorjauserät'!K277</f>
        <v>1462.1042026856264</v>
      </c>
      <c r="L277" s="41">
        <f>Vuosikate!L277+'7. Nettoinvestoinnit '!L277+'8. Satunnaiset erät'!L277+'9. Tulorahkorjauserät'!L277</f>
        <v>97.122329559159311</v>
      </c>
      <c r="M277" s="41">
        <f>Vuosikate!M277+'7. Nettoinvestoinnit '!M277+'8. Satunnaiset erät'!M277+'9. Tulorahkorjauserät'!M277</f>
        <v>-994.63104706698618</v>
      </c>
      <c r="N277" s="41">
        <f>Vuosikate!N277+'7. Nettoinvestoinnit '!N277+'8. Satunnaiset erät'!N277+'9. Tulorahkorjauserät'!N277</f>
        <v>-1187.8003375878807</v>
      </c>
      <c r="O277" s="41">
        <f>Vuosikate!O277+'7. Nettoinvestoinnit '!O277+'8. Satunnaiset erät'!O277+'9. Tulorahkorjauserät'!O277</f>
        <v>-1207.2137088671777</v>
      </c>
      <c r="P277" s="41">
        <f>Vuosikate!P277+'7. Nettoinvestoinnit '!P277+'8. Satunnaiset erät'!P277+'9. Tulorahkorjauserät'!P277</f>
        <v>-849.51466516027745</v>
      </c>
      <c r="T277" s="34">
        <v>854</v>
      </c>
      <c r="U277" s="88" t="s">
        <v>591</v>
      </c>
      <c r="V277" s="41" t="e">
        <f>C277/'1. Väestöennuste'!E277*1000</f>
        <v>#REF!</v>
      </c>
      <c r="W277" s="41">
        <f>D277/'1. Väestöennuste'!F277*1000</f>
        <v>-225.24544179523141</v>
      </c>
      <c r="X277" s="41">
        <f>E277/'1. Väestöennuste'!G277*1000</f>
        <v>-468.09116809116807</v>
      </c>
      <c r="Y277" s="41">
        <f>F277/'1. Väestöennuste'!H277*1000</f>
        <v>0.29086678301337987</v>
      </c>
      <c r="Z277" s="41">
        <f>G277/'1. Väestöennuste'!I277*1000</f>
        <v>-245.77527423658466</v>
      </c>
      <c r="AA277" s="41">
        <f>H277/'1. Väestöennuste'!J277*1000</f>
        <v>491.97657563111915</v>
      </c>
      <c r="AB277" s="41">
        <f>I277/'1. Väestöennuste'!K277*1000</f>
        <v>375.33077892357375</v>
      </c>
      <c r="AC277" s="41">
        <f>J277/'1. Väestöennuste'!L277*1000</f>
        <v>186.39208243156969</v>
      </c>
      <c r="AD277" s="41">
        <f>K277/'1. Väestöennuste'!M277*1000</f>
        <v>449.46332698605181</v>
      </c>
      <c r="AE277" s="41">
        <f>L277/'1. Väestöennuste'!N277*1000</f>
        <v>31.697888237323536</v>
      </c>
      <c r="AF277" s="41">
        <f>M277/'1. Väestöennuste'!O277*1000</f>
        <v>-330.00366525115663</v>
      </c>
      <c r="AG277" s="41">
        <f>N277/'1. Väestöennuste'!P277*1000</f>
        <v>-400.2022700767792</v>
      </c>
      <c r="AH277" s="41">
        <f>O277/'1. Väestöennuste'!Q277*1000</f>
        <v>-413.00503211330062</v>
      </c>
      <c r="AI277" s="41">
        <f>P277/'1. Väestöennuste'!R277*1000</f>
        <v>-294.8679851302594</v>
      </c>
    </row>
    <row r="278" spans="1:35" x14ac:dyDescent="0.2">
      <c r="A278" s="34">
        <v>857</v>
      </c>
      <c r="B278" s="88" t="s">
        <v>592</v>
      </c>
      <c r="C278" s="41" t="e">
        <f>Vuosikate!C278+'7. Nettoinvestoinnit '!C278+'8. Satunnaiset erät'!C278+'9. Tulorahkorjauserät'!C278</f>
        <v>#REF!</v>
      </c>
      <c r="D278" s="41">
        <f>Vuosikate!D278+'7. Nettoinvestoinnit '!D278+'8. Satunnaiset erät'!D278+'9. Tulorahkorjauserät'!D278</f>
        <v>924</v>
      </c>
      <c r="E278" s="41">
        <f>Vuosikate!E278+'7. Nettoinvestoinnit '!E278+'8. Satunnaiset erät'!E278+'9. Tulorahkorjauserät'!E278</f>
        <v>613</v>
      </c>
      <c r="F278" s="41">
        <f>Vuosikate!F278+'7. Nettoinvestoinnit '!F278+'8. Satunnaiset erät'!F278+'9. Tulorahkorjauserät'!F278</f>
        <v>-636</v>
      </c>
      <c r="G278" s="41">
        <f>Vuosikate!G278+'7. Nettoinvestoinnit '!G278+'8. Satunnaiset erät'!G278+'9. Tulorahkorjauserät'!G278</f>
        <v>-1139</v>
      </c>
      <c r="H278" s="41">
        <f>Vuosikate!H278+'7. Nettoinvestoinnit '!H278+'8. Satunnaiset erät'!H278+'9. Tulorahkorjauserät'!H278</f>
        <v>9.216340626575402</v>
      </c>
      <c r="I278" s="41">
        <f>Vuosikate!I278+'7. Nettoinvestoinnit '!I278+'8. Satunnaiset erät'!I278+'9. Tulorahkorjauserät'!I278</f>
        <v>165.64605513407884</v>
      </c>
      <c r="J278" s="41">
        <f>Vuosikate!J278+'7. Nettoinvestoinnit '!J278+'8. Satunnaiset erät'!J278+'9. Tulorahkorjauserät'!J278</f>
        <v>466.84186198141595</v>
      </c>
      <c r="K278" s="41">
        <f>Vuosikate!K278+'7. Nettoinvestoinnit '!K278+'8. Satunnaiset erät'!K278+'9. Tulorahkorjauserät'!K278</f>
        <v>-349.48455714317697</v>
      </c>
      <c r="L278" s="41">
        <f>Vuosikate!L278+'7. Nettoinvestoinnit '!L278+'8. Satunnaiset erät'!L278+'9. Tulorahkorjauserät'!L278</f>
        <v>-981.92547763824132</v>
      </c>
      <c r="M278" s="41">
        <f>Vuosikate!M278+'7. Nettoinvestoinnit '!M278+'8. Satunnaiset erät'!M278+'9. Tulorahkorjauserät'!M278</f>
        <v>-1221.032958492983</v>
      </c>
      <c r="N278" s="41">
        <f>Vuosikate!N278+'7. Nettoinvestoinnit '!N278+'8. Satunnaiset erät'!N278+'9. Tulorahkorjauserät'!N278</f>
        <v>-1457.7553542986859</v>
      </c>
      <c r="O278" s="41">
        <f>Vuosikate!O278+'7. Nettoinvestoinnit '!O278+'8. Satunnaiset erät'!O278+'9. Tulorahkorjauserät'!O278</f>
        <v>-1478.6305223524437</v>
      </c>
      <c r="P278" s="41">
        <f>Vuosikate!P278+'7. Nettoinvestoinnit '!P278+'8. Satunnaiset erät'!P278+'9. Tulorahkorjauserät'!P278</f>
        <v>-1286.7967940013875</v>
      </c>
      <c r="T278" s="34">
        <v>857</v>
      </c>
      <c r="U278" s="88" t="s">
        <v>592</v>
      </c>
      <c r="V278" s="41" t="e">
        <f>C278/'1. Väestöennuste'!E278*1000</f>
        <v>#REF!</v>
      </c>
      <c r="W278" s="41">
        <f>D278/'1. Väestöennuste'!F278*1000</f>
        <v>349.60272417707148</v>
      </c>
      <c r="X278" s="41">
        <f>E278/'1. Väestöennuste'!G278*1000</f>
        <v>236.04158644589913</v>
      </c>
      <c r="Y278" s="41">
        <f>F278/'1. Väestöennuste'!H278*1000</f>
        <v>-249.31399451195611</v>
      </c>
      <c r="Z278" s="41">
        <f>G278/'1. Väestöennuste'!I278*1000</f>
        <v>-459.83044004844572</v>
      </c>
      <c r="AA278" s="41">
        <f>H278/'1. Väestöennuste'!J278*1000</f>
        <v>3.7880561556002474</v>
      </c>
      <c r="AB278" s="41">
        <f>I278/'1. Väestöennuste'!K278*1000</f>
        <v>68.448783113255729</v>
      </c>
      <c r="AC278" s="41">
        <f>J278/'1. Väestöennuste'!L278*1000</f>
        <v>195.00495487945528</v>
      </c>
      <c r="AD278" s="41">
        <f>K278/'1. Väestöennuste'!M278*1000</f>
        <v>-151.09578778347469</v>
      </c>
      <c r="AE278" s="41">
        <f>L278/'1. Väestöennuste'!N278*1000</f>
        <v>-437.57819859101664</v>
      </c>
      <c r="AF278" s="41">
        <f>M278/'1. Väestöennuste'!O278*1000</f>
        <v>-553.25462550656221</v>
      </c>
      <c r="AG278" s="41">
        <f>N278/'1. Väestöennuste'!P278*1000</f>
        <v>-670.54064135174144</v>
      </c>
      <c r="AH278" s="41">
        <f>O278/'1. Väestöennuste'!Q278*1000</f>
        <v>-690.30369857723792</v>
      </c>
      <c r="AI278" s="41">
        <f>P278/'1. Väestöennuste'!R278*1000</f>
        <v>-608.99043729360505</v>
      </c>
    </row>
    <row r="279" spans="1:35" x14ac:dyDescent="0.2">
      <c r="A279" s="34">
        <v>858</v>
      </c>
      <c r="B279" s="88" t="s">
        <v>593</v>
      </c>
      <c r="C279" s="41" t="e">
        <f>Vuosikate!C279+'7. Nettoinvestoinnit '!C279+'8. Satunnaiset erät'!C279+'9. Tulorahkorjauserät'!C279</f>
        <v>#REF!</v>
      </c>
      <c r="D279" s="41">
        <f>Vuosikate!D279+'7. Nettoinvestoinnit '!D279+'8. Satunnaiset erät'!D279+'9. Tulorahkorjauserät'!D279</f>
        <v>-10307</v>
      </c>
      <c r="E279" s="41">
        <f>Vuosikate!E279+'7. Nettoinvestoinnit '!E279+'8. Satunnaiset erät'!E279+'9. Tulorahkorjauserät'!E279</f>
        <v>-16255</v>
      </c>
      <c r="F279" s="41">
        <f>Vuosikate!F279+'7. Nettoinvestoinnit '!F279+'8. Satunnaiset erät'!F279+'9. Tulorahkorjauserät'!F279</f>
        <v>-23034</v>
      </c>
      <c r="G279" s="41">
        <f>Vuosikate!G279+'7. Nettoinvestoinnit '!G279+'8. Satunnaiset erät'!G279+'9. Tulorahkorjauserät'!G279</f>
        <v>-32037</v>
      </c>
      <c r="H279" s="41">
        <f>Vuosikate!H279+'7. Nettoinvestoinnit '!H279+'8. Satunnaiset erät'!H279+'9. Tulorahkorjauserät'!H279</f>
        <v>-1741.2694660375273</v>
      </c>
      <c r="I279" s="41">
        <f>Vuosikate!I279+'7. Nettoinvestoinnit '!I279+'8. Satunnaiset erät'!I279+'9. Tulorahkorjauserät'!I279</f>
        <v>-5437.1448521827515</v>
      </c>
      <c r="J279" s="41">
        <f>Vuosikate!J279+'7. Nettoinvestoinnit '!J279+'8. Satunnaiset erät'!J279+'9. Tulorahkorjauserät'!J279</f>
        <v>-29157.035301568059</v>
      </c>
      <c r="K279" s="41">
        <f>Vuosikate!K279+'7. Nettoinvestoinnit '!K279+'8. Satunnaiset erät'!K279+'9. Tulorahkorjauserät'!K279</f>
        <v>-40240.732434993086</v>
      </c>
      <c r="L279" s="41">
        <f>Vuosikate!L279+'7. Nettoinvestoinnit '!L279+'8. Satunnaiset erät'!L279+'9. Tulorahkorjauserät'!L279</f>
        <v>-19610.236500582556</v>
      </c>
      <c r="M279" s="41">
        <f>Vuosikate!M279+'7. Nettoinvestoinnit '!M279+'8. Satunnaiset erät'!M279+'9. Tulorahkorjauserät'!M279</f>
        <v>-27305.030811981054</v>
      </c>
      <c r="N279" s="41">
        <f>Vuosikate!N279+'7. Nettoinvestoinnit '!N279+'8. Satunnaiset erät'!N279+'9. Tulorahkorjauserät'!N279</f>
        <v>-30996.982955609074</v>
      </c>
      <c r="O279" s="41">
        <f>Vuosikate!O279+'7. Nettoinvestoinnit '!O279+'8. Satunnaiset erät'!O279+'9. Tulorahkorjauserät'!O279</f>
        <v>-33413.130430879581</v>
      </c>
      <c r="P279" s="41">
        <f>Vuosikate!P279+'7. Nettoinvestoinnit '!P279+'8. Satunnaiset erät'!P279+'9. Tulorahkorjauserät'!P279</f>
        <v>-34481.26765970132</v>
      </c>
      <c r="T279" s="34">
        <v>858</v>
      </c>
      <c r="U279" s="88" t="s">
        <v>593</v>
      </c>
      <c r="V279" s="41" t="e">
        <f>C279/'1. Väestöennuste'!E279*1000</f>
        <v>#REF!</v>
      </c>
      <c r="W279" s="41">
        <f>D279/'1. Väestöennuste'!F279*1000</f>
        <v>-267.1037628278221</v>
      </c>
      <c r="X279" s="41">
        <f>E279/'1. Väestöennuste'!G279*1000</f>
        <v>-420.61274129275995</v>
      </c>
      <c r="Y279" s="41">
        <f>F279/'1. Väestöennuste'!H279*1000</f>
        <v>-595.74798261949104</v>
      </c>
      <c r="Z279" s="41">
        <f>G279/'1. Väestöennuste'!I279*1000</f>
        <v>-829.9955957408223</v>
      </c>
      <c r="AA279" s="41">
        <f>H279/'1. Väestöennuste'!J279*1000</f>
        <v>-44.897750716487309</v>
      </c>
      <c r="AB279" s="41">
        <f>I279/'1. Väestöennuste'!K279*1000</f>
        <v>-136.89372204498594</v>
      </c>
      <c r="AC279" s="41">
        <f>J279/'1. Väestöennuste'!L279*1000</f>
        <v>-721.99473310142776</v>
      </c>
      <c r="AD279" s="41">
        <f>K279/'1. Väestöennuste'!M279*1000</f>
        <v>-973.45620095295089</v>
      </c>
      <c r="AE279" s="41">
        <f>L279/'1. Väestöennuste'!N279*1000</f>
        <v>-499.58567499509729</v>
      </c>
      <c r="AF279" s="41">
        <f>M279/'1. Väestöennuste'!O279*1000</f>
        <v>-693.74300190505494</v>
      </c>
      <c r="AG279" s="41">
        <f>N279/'1. Väestöennuste'!P279*1000</f>
        <v>-785.4296960752331</v>
      </c>
      <c r="AH279" s="41">
        <f>O279/'1. Väestöennuste'!Q279*1000</f>
        <v>-844.40562119988829</v>
      </c>
      <c r="AI279" s="41">
        <f>P279/'1. Väestöennuste'!R279*1000</f>
        <v>-869.29026520701154</v>
      </c>
    </row>
    <row r="280" spans="1:35" x14ac:dyDescent="0.2">
      <c r="A280" s="34">
        <v>859</v>
      </c>
      <c r="B280" s="88" t="s">
        <v>594</v>
      </c>
      <c r="C280" s="41" t="e">
        <f>Vuosikate!C280+'7. Nettoinvestoinnit '!C280+'8. Satunnaiset erät'!C280+'9. Tulorahkorjauserät'!C280</f>
        <v>#REF!</v>
      </c>
      <c r="D280" s="41">
        <f>Vuosikate!D280+'7. Nettoinvestoinnit '!D280+'8. Satunnaiset erät'!D280+'9. Tulorahkorjauserät'!D280</f>
        <v>-7808</v>
      </c>
      <c r="E280" s="41">
        <f>Vuosikate!E280+'7. Nettoinvestoinnit '!E280+'8. Satunnaiset erät'!E280+'9. Tulorahkorjauserät'!E280</f>
        <v>-6564</v>
      </c>
      <c r="F280" s="41">
        <f>Vuosikate!F280+'7. Nettoinvestoinnit '!F280+'8. Satunnaiset erät'!F280+'9. Tulorahkorjauserät'!F280</f>
        <v>-3040</v>
      </c>
      <c r="G280" s="41">
        <f>Vuosikate!G280+'7. Nettoinvestoinnit '!G280+'8. Satunnaiset erät'!G280+'9. Tulorahkorjauserät'!G280</f>
        <v>1529</v>
      </c>
      <c r="H280" s="41">
        <f>Vuosikate!H280+'7. Nettoinvestoinnit '!H280+'8. Satunnaiset erät'!H280+'9. Tulorahkorjauserät'!H280</f>
        <v>2158.8760832433727</v>
      </c>
      <c r="I280" s="41">
        <f>Vuosikate!I280+'7. Nettoinvestoinnit '!I280+'8. Satunnaiset erät'!I280+'9. Tulorahkorjauserät'!I280</f>
        <v>1079.4830599385118</v>
      </c>
      <c r="J280" s="41">
        <f>Vuosikate!J280+'7. Nettoinvestoinnit '!J280+'8. Satunnaiset erät'!J280+'9. Tulorahkorjauserät'!J280</f>
        <v>571.74758001670568</v>
      </c>
      <c r="K280" s="41">
        <f>Vuosikate!K280+'7. Nettoinvestoinnit '!K280+'8. Satunnaiset erät'!K280+'9. Tulorahkorjauserät'!K280</f>
        <v>-1381.4652810250109</v>
      </c>
      <c r="L280" s="41">
        <f>Vuosikate!L280+'7. Nettoinvestoinnit '!L280+'8. Satunnaiset erät'!L280+'9. Tulorahkorjauserät'!L280</f>
        <v>-1191.6016956823355</v>
      </c>
      <c r="M280" s="41">
        <f>Vuosikate!M280+'7. Nettoinvestoinnit '!M280+'8. Satunnaiset erät'!M280+'9. Tulorahkorjauserät'!M280</f>
        <v>-2275.8741969921557</v>
      </c>
      <c r="N280" s="41">
        <f>Vuosikate!N280+'7. Nettoinvestoinnit '!N280+'8. Satunnaiset erät'!N280+'9. Tulorahkorjauserät'!N280</f>
        <v>-2258.1107129739376</v>
      </c>
      <c r="O280" s="41">
        <f>Vuosikate!O280+'7. Nettoinvestoinnit '!O280+'8. Satunnaiset erät'!O280+'9. Tulorahkorjauserät'!O280</f>
        <v>-2334.9675377620579</v>
      </c>
      <c r="P280" s="41">
        <f>Vuosikate!P280+'7. Nettoinvestoinnit '!P280+'8. Satunnaiset erät'!P280+'9. Tulorahkorjauserät'!P280</f>
        <v>-2073.4654749143783</v>
      </c>
      <c r="T280" s="34">
        <v>859</v>
      </c>
      <c r="U280" s="88" t="s">
        <v>594</v>
      </c>
      <c r="V280" s="41" t="e">
        <f>C280/'1. Väestöennuste'!E280*1000</f>
        <v>#REF!</v>
      </c>
      <c r="W280" s="41">
        <f>D280/'1. Väestöennuste'!F280*1000</f>
        <v>-1156.7407407407409</v>
      </c>
      <c r="X280" s="41">
        <f>E280/'1. Väestöennuste'!G280*1000</f>
        <v>-975.33432392273403</v>
      </c>
      <c r="Y280" s="41">
        <f>F280/'1. Väestöennuste'!H280*1000</f>
        <v>-449.83722994968929</v>
      </c>
      <c r="Z280" s="41">
        <f>G280/'1. Väestöennuste'!I280*1000</f>
        <v>230.37516950429409</v>
      </c>
      <c r="AA280" s="41">
        <f>H280/'1. Väestöennuste'!J280*1000</f>
        <v>326.95382148165567</v>
      </c>
      <c r="AB280" s="41">
        <f>I280/'1. Väestöennuste'!K280*1000</f>
        <v>163.73169421181734</v>
      </c>
      <c r="AC280" s="41">
        <f>J280/'1. Väestöennuste'!L280*1000</f>
        <v>87.130079246678704</v>
      </c>
      <c r="AD280" s="41">
        <f>K280/'1. Väestöennuste'!M280*1000</f>
        <v>-211.71881701532732</v>
      </c>
      <c r="AE280" s="41">
        <f>L280/'1. Väestöennuste'!N280*1000</f>
        <v>-184.08801107405151</v>
      </c>
      <c r="AF280" s="41">
        <f>M280/'1. Väestöennuste'!O280*1000</f>
        <v>-353.94622037203044</v>
      </c>
      <c r="AG280" s="41">
        <f>N280/'1. Väestöennuste'!P280*1000</f>
        <v>-353.76949913425312</v>
      </c>
      <c r="AH280" s="41">
        <f>O280/'1. Väestöennuste'!Q280*1000</f>
        <v>-368.46576262617293</v>
      </c>
      <c r="AI280" s="41">
        <f>P280/'1. Väestöennuste'!R280*1000</f>
        <v>-329.74959842785915</v>
      </c>
    </row>
    <row r="281" spans="1:35" x14ac:dyDescent="0.2">
      <c r="A281" s="34">
        <v>886</v>
      </c>
      <c r="B281" s="88" t="s">
        <v>595</v>
      </c>
      <c r="C281" s="41" t="e">
        <f>Vuosikate!C281+'7. Nettoinvestoinnit '!C281+'8. Satunnaiset erät'!C281+'9. Tulorahkorjauserät'!C281</f>
        <v>#REF!</v>
      </c>
      <c r="D281" s="41">
        <f>Vuosikate!D281+'7. Nettoinvestoinnit '!D281+'8. Satunnaiset erät'!D281+'9. Tulorahkorjauserät'!D281</f>
        <v>-1570</v>
      </c>
      <c r="E281" s="41">
        <f>Vuosikate!E281+'7. Nettoinvestoinnit '!E281+'8. Satunnaiset erät'!E281+'9. Tulorahkorjauserät'!E281</f>
        <v>-2481</v>
      </c>
      <c r="F281" s="41">
        <f>Vuosikate!F281+'7. Nettoinvestoinnit '!F281+'8. Satunnaiset erät'!F281+'9. Tulorahkorjauserät'!F281</f>
        <v>-2543</v>
      </c>
      <c r="G281" s="41">
        <f>Vuosikate!G281+'7. Nettoinvestoinnit '!G281+'8. Satunnaiset erät'!G281+'9. Tulorahkorjauserät'!G281</f>
        <v>-523</v>
      </c>
      <c r="H281" s="41">
        <f>Vuosikate!H281+'7. Nettoinvestoinnit '!H281+'8. Satunnaiset erät'!H281+'9. Tulorahkorjauserät'!H281</f>
        <v>3846.7310143490431</v>
      </c>
      <c r="I281" s="41">
        <f>Vuosikate!I281+'7. Nettoinvestoinnit '!I281+'8. Satunnaiset erät'!I281+'9. Tulorahkorjauserät'!I281</f>
        <v>1437.3224668678142</v>
      </c>
      <c r="J281" s="41">
        <f>Vuosikate!J281+'7. Nettoinvestoinnit '!J281+'8. Satunnaiset erät'!J281+'9. Tulorahkorjauserät'!J281</f>
        <v>1538.5382646125979</v>
      </c>
      <c r="K281" s="41">
        <f>Vuosikate!K281+'7. Nettoinvestoinnit '!K281+'8. Satunnaiset erät'!K281+'9. Tulorahkorjauserät'!K281</f>
        <v>3639.8660641203305</v>
      </c>
      <c r="L281" s="41">
        <f>Vuosikate!L281+'7. Nettoinvestoinnit '!L281+'8. Satunnaiset erät'!L281+'9. Tulorahkorjauserät'!L281</f>
        <v>-3001.7696278601115</v>
      </c>
      <c r="M281" s="41">
        <f>Vuosikate!M281+'7. Nettoinvestoinnit '!M281+'8. Satunnaiset erät'!M281+'9. Tulorahkorjauserät'!M281</f>
        <v>-2199.749437877922</v>
      </c>
      <c r="N281" s="41">
        <f>Vuosikate!N281+'7. Nettoinvestoinnit '!N281+'8. Satunnaiset erät'!N281+'9. Tulorahkorjauserät'!N281</f>
        <v>-1842.013616034038</v>
      </c>
      <c r="O281" s="41">
        <f>Vuosikate!O281+'7. Nettoinvestoinnit '!O281+'8. Satunnaiset erät'!O281+'9. Tulorahkorjauserät'!O281</f>
        <v>-1899.8375690155385</v>
      </c>
      <c r="P281" s="41">
        <f>Vuosikate!P281+'7. Nettoinvestoinnit '!P281+'8. Satunnaiset erät'!P281+'9. Tulorahkorjauserät'!P281</f>
        <v>-754.74064859770988</v>
      </c>
      <c r="T281" s="34">
        <v>886</v>
      </c>
      <c r="U281" s="88" t="s">
        <v>595</v>
      </c>
      <c r="V281" s="41" t="e">
        <f>C281/'1. Väestöennuste'!E281*1000</f>
        <v>#REF!</v>
      </c>
      <c r="W281" s="41">
        <f>D281/'1. Väestöennuste'!F281*1000</f>
        <v>-117.93870192307693</v>
      </c>
      <c r="X281" s="41">
        <f>E281/'1. Väestöennuste'!G281*1000</f>
        <v>-187.42917579511976</v>
      </c>
      <c r="Y281" s="41">
        <f>F281/'1. Väestöennuste'!H281*1000</f>
        <v>-195.29990016127795</v>
      </c>
      <c r="Z281" s="41">
        <f>G281/'1. Väestöennuste'!I281*1000</f>
        <v>-40.633983373475253</v>
      </c>
      <c r="AA281" s="41">
        <f>H281/'1. Väestöennuste'!J281*1000</f>
        <v>302.05975770310505</v>
      </c>
      <c r="AB281" s="41">
        <f>I281/'1. Väestöennuste'!K281*1000</f>
        <v>113.45192729243146</v>
      </c>
      <c r="AC281" s="41">
        <f>J281/'1. Väestöennuste'!L281*1000</f>
        <v>122.11590321554075</v>
      </c>
      <c r="AD281" s="41">
        <f>K281/'1. Väestöennuste'!M281*1000</f>
        <v>290.42256954602493</v>
      </c>
      <c r="AE281" s="41">
        <f>L281/'1. Väestöennuste'!N281*1000</f>
        <v>-244.36418331651836</v>
      </c>
      <c r="AF281" s="41">
        <f>M281/'1. Väestöennuste'!O281*1000</f>
        <v>-180.79637033598439</v>
      </c>
      <c r="AG281" s="41">
        <f>N281/'1. Väestöennuste'!P281*1000</f>
        <v>-152.88957636404697</v>
      </c>
      <c r="AH281" s="41">
        <f>O281/'1. Väestöennuste'!Q281*1000</f>
        <v>-159.28880431085258</v>
      </c>
      <c r="AI281" s="41">
        <f>P281/'1. Väestöennuste'!R281*1000</f>
        <v>-63.955651944556379</v>
      </c>
    </row>
    <row r="282" spans="1:35" x14ac:dyDescent="0.2">
      <c r="A282" s="34">
        <v>887</v>
      </c>
      <c r="B282" s="88" t="s">
        <v>596</v>
      </c>
      <c r="C282" s="41" t="e">
        <f>Vuosikate!C282+'7. Nettoinvestoinnit '!C282+'8. Satunnaiset erät'!C282+'9. Tulorahkorjauserät'!C282</f>
        <v>#REF!</v>
      </c>
      <c r="D282" s="41">
        <f>Vuosikate!D282+'7. Nettoinvestoinnit '!D282+'8. Satunnaiset erät'!D282+'9. Tulorahkorjauserät'!D282</f>
        <v>-4818</v>
      </c>
      <c r="E282" s="41">
        <f>Vuosikate!E282+'7. Nettoinvestoinnit '!E282+'8. Satunnaiset erät'!E282+'9. Tulorahkorjauserät'!E282</f>
        <v>-1503</v>
      </c>
      <c r="F282" s="41">
        <f>Vuosikate!F282+'7. Nettoinvestoinnit '!F282+'8. Satunnaiset erät'!F282+'9. Tulorahkorjauserät'!F282</f>
        <v>1518</v>
      </c>
      <c r="G282" s="41">
        <f>Vuosikate!G282+'7. Nettoinvestoinnit '!G282+'8. Satunnaiset erät'!G282+'9. Tulorahkorjauserät'!G282</f>
        <v>-135</v>
      </c>
      <c r="H282" s="41">
        <f>Vuosikate!H282+'7. Nettoinvestoinnit '!H282+'8. Satunnaiset erät'!H282+'9. Tulorahkorjauserät'!H282</f>
        <v>-44.810142080246806</v>
      </c>
      <c r="I282" s="41">
        <f>Vuosikate!I282+'7. Nettoinvestoinnit '!I282+'8. Satunnaiset erät'!I282+'9. Tulorahkorjauserät'!I282</f>
        <v>-157.29228612311385</v>
      </c>
      <c r="J282" s="41">
        <f>Vuosikate!J282+'7. Nettoinvestoinnit '!J282+'8. Satunnaiset erät'!J282+'9. Tulorahkorjauserät'!J282</f>
        <v>-533.35836106745637</v>
      </c>
      <c r="K282" s="41">
        <f>Vuosikate!K282+'7. Nettoinvestoinnit '!K282+'8. Satunnaiset erät'!K282+'9. Tulorahkorjauserät'!K282</f>
        <v>384.49358570996054</v>
      </c>
      <c r="L282" s="41">
        <f>Vuosikate!L282+'7. Nettoinvestoinnit '!L282+'8. Satunnaiset erät'!L282+'9. Tulorahkorjauserät'!L282</f>
        <v>-161.09939135445302</v>
      </c>
      <c r="M282" s="41">
        <f>Vuosikate!M282+'7. Nettoinvestoinnit '!M282+'8. Satunnaiset erät'!M282+'9. Tulorahkorjauserät'!M282</f>
        <v>-1131.9858357707578</v>
      </c>
      <c r="N282" s="41">
        <f>Vuosikate!N282+'7. Nettoinvestoinnit '!N282+'8. Satunnaiset erät'!N282+'9. Tulorahkorjauserät'!N282</f>
        <v>-1134.1567225423028</v>
      </c>
      <c r="O282" s="41">
        <f>Vuosikate!O282+'7. Nettoinvestoinnit '!O282+'8. Satunnaiset erät'!O282+'9. Tulorahkorjauserät'!O282</f>
        <v>-1249.2377389993717</v>
      </c>
      <c r="P282" s="41">
        <f>Vuosikate!P282+'7. Nettoinvestoinnit '!P282+'8. Satunnaiset erät'!P282+'9. Tulorahkorjauserät'!P282</f>
        <v>-891.50283683894065</v>
      </c>
      <c r="T282" s="34">
        <v>887</v>
      </c>
      <c r="U282" s="88" t="s">
        <v>596</v>
      </c>
      <c r="V282" s="41" t="e">
        <f>C282/'1. Väestöennuste'!E282*1000</f>
        <v>#REF!</v>
      </c>
      <c r="W282" s="41">
        <f>D282/'1. Väestöennuste'!F282*1000</f>
        <v>-991.76615891313304</v>
      </c>
      <c r="X282" s="41">
        <f>E282/'1. Väestöennuste'!G282*1000</f>
        <v>-311.24456409194448</v>
      </c>
      <c r="Y282" s="41">
        <f>F282/'1. Väestöennuste'!H282*1000</f>
        <v>316.77796327212019</v>
      </c>
      <c r="Z282" s="41">
        <f>G282/'1. Väestöennuste'!I282*1000</f>
        <v>-28.796928327645052</v>
      </c>
      <c r="AA282" s="41">
        <f>H282/'1. Väestöennuste'!J282*1000</f>
        <v>-9.6490400689592608</v>
      </c>
      <c r="AB282" s="41">
        <f>I282/'1. Väestöennuste'!K282*1000</f>
        <v>-33.688645560744021</v>
      </c>
      <c r="AC282" s="41">
        <f>J282/'1. Väestöennuste'!L282*1000</f>
        <v>-116.73415650414891</v>
      </c>
      <c r="AD282" s="41">
        <f>K282/'1. Väestöennuste'!M282*1000</f>
        <v>84.171100199203281</v>
      </c>
      <c r="AE282" s="41">
        <f>L282/'1. Väestöennuste'!N282*1000</f>
        <v>-36.299998051927226</v>
      </c>
      <c r="AF282" s="41">
        <f>M282/'1. Väestöennuste'!O282*1000</f>
        <v>-257.85554345575349</v>
      </c>
      <c r="AG282" s="41">
        <f>N282/'1. Väestöennuste'!P282*1000</f>
        <v>-260.9656517584682</v>
      </c>
      <c r="AH282" s="41">
        <f>O282/'1. Väestöennuste'!Q282*1000</f>
        <v>-290.11559196455448</v>
      </c>
      <c r="AI282" s="41">
        <f>P282/'1. Väestöennuste'!R282*1000</f>
        <v>-208.97863029511032</v>
      </c>
    </row>
    <row r="283" spans="1:35" x14ac:dyDescent="0.2">
      <c r="A283" s="34">
        <v>889</v>
      </c>
      <c r="B283" s="88" t="s">
        <v>597</v>
      </c>
      <c r="C283" s="41" t="e">
        <f>Vuosikate!C283+'7. Nettoinvestoinnit '!C283+'8. Satunnaiset erät'!C283+'9. Tulorahkorjauserät'!C283</f>
        <v>#REF!</v>
      </c>
      <c r="D283" s="41">
        <f>Vuosikate!D283+'7. Nettoinvestoinnit '!D283+'8. Satunnaiset erät'!D283+'9. Tulorahkorjauserät'!D283</f>
        <v>926</v>
      </c>
      <c r="E283" s="41">
        <f>Vuosikate!E283+'7. Nettoinvestoinnit '!E283+'8. Satunnaiset erät'!E283+'9. Tulorahkorjauserät'!E283</f>
        <v>-1469</v>
      </c>
      <c r="F283" s="41">
        <f>Vuosikate!F283+'7. Nettoinvestoinnit '!F283+'8. Satunnaiset erät'!F283+'9. Tulorahkorjauserät'!F283</f>
        <v>654</v>
      </c>
      <c r="G283" s="41">
        <f>Vuosikate!G283+'7. Nettoinvestoinnit '!G283+'8. Satunnaiset erät'!G283+'9. Tulorahkorjauserät'!G283</f>
        <v>-2242</v>
      </c>
      <c r="H283" s="41">
        <f>Vuosikate!H283+'7. Nettoinvestoinnit '!H283+'8. Satunnaiset erät'!H283+'9. Tulorahkorjauserät'!H283</f>
        <v>-282.80108699124321</v>
      </c>
      <c r="I283" s="41">
        <f>Vuosikate!I283+'7. Nettoinvestoinnit '!I283+'8. Satunnaiset erät'!I283+'9. Tulorahkorjauserät'!I283</f>
        <v>-773.27561407236601</v>
      </c>
      <c r="J283" s="41">
        <f>Vuosikate!J283+'7. Nettoinvestoinnit '!J283+'8. Satunnaiset erät'!J283+'9. Tulorahkorjauserät'!J283</f>
        <v>1244.8949887324195</v>
      </c>
      <c r="K283" s="41">
        <f>Vuosikate!K283+'7. Nettoinvestoinnit '!K283+'8. Satunnaiset erät'!K283+'9. Tulorahkorjauserät'!K283</f>
        <v>1156.8296478051848</v>
      </c>
      <c r="L283" s="41">
        <f>Vuosikate!L283+'7. Nettoinvestoinnit '!L283+'8. Satunnaiset erät'!L283+'9. Tulorahkorjauserät'!L283</f>
        <v>-1057.2465677424216</v>
      </c>
      <c r="M283" s="41">
        <f>Vuosikate!M283+'7. Nettoinvestoinnit '!M283+'8. Satunnaiset erät'!M283+'9. Tulorahkorjauserät'!M283</f>
        <v>-1451.071508744096</v>
      </c>
      <c r="N283" s="41">
        <f>Vuosikate!N283+'7. Nettoinvestoinnit '!N283+'8. Satunnaiset erät'!N283+'9. Tulorahkorjauserät'!N283</f>
        <v>-1784.7605187690658</v>
      </c>
      <c r="O283" s="41">
        <f>Vuosikate!O283+'7. Nettoinvestoinnit '!O283+'8. Satunnaiset erät'!O283+'9. Tulorahkorjauserät'!O283</f>
        <v>-2078.7283081491678</v>
      </c>
      <c r="P283" s="41">
        <f>Vuosikate!P283+'7. Nettoinvestoinnit '!P283+'8. Satunnaiset erät'!P283+'9. Tulorahkorjauserät'!P283</f>
        <v>-1951.2889773070251</v>
      </c>
      <c r="T283" s="34">
        <v>889</v>
      </c>
      <c r="U283" s="88" t="s">
        <v>597</v>
      </c>
      <c r="V283" s="41" t="e">
        <f>C283/'1. Väestöennuste'!E283*1000</f>
        <v>#REF!</v>
      </c>
      <c r="W283" s="41">
        <f>D283/'1. Väestöennuste'!F283*1000</f>
        <v>327.90368271954674</v>
      </c>
      <c r="X283" s="41">
        <f>E283/'1. Väestöennuste'!G283*1000</f>
        <v>-530.70809248554917</v>
      </c>
      <c r="Y283" s="41">
        <f>F283/'1. Väestöennuste'!H283*1000</f>
        <v>242.04293116210215</v>
      </c>
      <c r="Z283" s="41">
        <f>G283/'1. Väestöennuste'!I283*1000</f>
        <v>-837.8176382660688</v>
      </c>
      <c r="AA283" s="41">
        <f>H283/'1. Väestöennuste'!J283*1000</f>
        <v>-107.98056013411349</v>
      </c>
      <c r="AB283" s="41">
        <f>I283/'1. Väestöennuste'!K283*1000</f>
        <v>-301.11978741135749</v>
      </c>
      <c r="AC283" s="41">
        <f>J283/'1. Väestöennuste'!L283*1000</f>
        <v>493.41854488007112</v>
      </c>
      <c r="AD283" s="41">
        <f>K283/'1. Väestöennuste'!M283*1000</f>
        <v>464.40371248702724</v>
      </c>
      <c r="AE283" s="41">
        <f>L283/'1. Väestöennuste'!N283*1000</f>
        <v>-434.54441748558224</v>
      </c>
      <c r="AF283" s="41">
        <f>M283/'1. Väestöennuste'!O283*1000</f>
        <v>-605.36984094455408</v>
      </c>
      <c r="AG283" s="41">
        <f>N283/'1. Väestöennuste'!P283*1000</f>
        <v>-755.29433718538542</v>
      </c>
      <c r="AH283" s="41">
        <f>O283/'1. Väestöennuste'!Q283*1000</f>
        <v>-891.3929280227992</v>
      </c>
      <c r="AI283" s="41">
        <f>P283/'1. Väestöennuste'!R283*1000</f>
        <v>-846.91361862284077</v>
      </c>
    </row>
    <row r="284" spans="1:35" x14ac:dyDescent="0.2">
      <c r="A284" s="34">
        <v>890</v>
      </c>
      <c r="B284" s="88" t="s">
        <v>598</v>
      </c>
      <c r="C284" s="41" t="e">
        <f>Vuosikate!C284+'7. Nettoinvestoinnit '!C284+'8. Satunnaiset erät'!C284+'9. Tulorahkorjauserät'!C284</f>
        <v>#REF!</v>
      </c>
      <c r="D284" s="41">
        <f>Vuosikate!D284+'7. Nettoinvestoinnit '!D284+'8. Satunnaiset erät'!D284+'9. Tulorahkorjauserät'!D284</f>
        <v>210</v>
      </c>
      <c r="E284" s="41">
        <f>Vuosikate!E284+'7. Nettoinvestoinnit '!E284+'8. Satunnaiset erät'!E284+'9. Tulorahkorjauserät'!E284</f>
        <v>1492</v>
      </c>
      <c r="F284" s="41">
        <f>Vuosikate!F284+'7. Nettoinvestoinnit '!F284+'8. Satunnaiset erät'!F284+'9. Tulorahkorjauserät'!F284</f>
        <v>691</v>
      </c>
      <c r="G284" s="41">
        <f>Vuosikate!G284+'7. Nettoinvestoinnit '!G284+'8. Satunnaiset erät'!G284+'9. Tulorahkorjauserät'!G284</f>
        <v>-1404</v>
      </c>
      <c r="H284" s="41">
        <f>Vuosikate!H284+'7. Nettoinvestoinnit '!H284+'8. Satunnaiset erät'!H284+'9. Tulorahkorjauserät'!H284</f>
        <v>-5163.4191478690836</v>
      </c>
      <c r="I284" s="41">
        <f>Vuosikate!I284+'7. Nettoinvestoinnit '!I284+'8. Satunnaiset erät'!I284+'9. Tulorahkorjauserät'!I284</f>
        <v>-1981.2080129505509</v>
      </c>
      <c r="J284" s="41">
        <f>Vuosikate!J284+'7. Nettoinvestoinnit '!J284+'8. Satunnaiset erät'!J284+'9. Tulorahkorjauserät'!J284</f>
        <v>219.89031557347403</v>
      </c>
      <c r="K284" s="41">
        <f>Vuosikate!K284+'7. Nettoinvestoinnit '!K284+'8. Satunnaiset erät'!K284+'9. Tulorahkorjauserät'!K284</f>
        <v>1696.707666215221</v>
      </c>
      <c r="L284" s="41">
        <f>Vuosikate!L284+'7. Nettoinvestoinnit '!L284+'8. Satunnaiset erät'!L284+'9. Tulorahkorjauserät'!L284</f>
        <v>-706.06923463657643</v>
      </c>
      <c r="M284" s="41">
        <f>Vuosikate!M284+'7. Nettoinvestoinnit '!M284+'8. Satunnaiset erät'!M284+'9. Tulorahkorjauserät'!M284</f>
        <v>-1260.060029142237</v>
      </c>
      <c r="N284" s="41">
        <f>Vuosikate!N284+'7. Nettoinvestoinnit '!N284+'8. Satunnaiset erät'!N284+'9. Tulorahkorjauserät'!N284</f>
        <v>-1460.090444079437</v>
      </c>
      <c r="O284" s="41">
        <f>Vuosikate!O284+'7. Nettoinvestoinnit '!O284+'8. Satunnaiset erät'!O284+'9. Tulorahkorjauserät'!O284</f>
        <v>-1623.0235321063535</v>
      </c>
      <c r="P284" s="41">
        <f>Vuosikate!P284+'7. Nettoinvestoinnit '!P284+'8. Satunnaiset erät'!P284+'9. Tulorahkorjauserät'!P284</f>
        <v>-1661.009683861796</v>
      </c>
      <c r="T284" s="34">
        <v>890</v>
      </c>
      <c r="U284" s="88" t="s">
        <v>598</v>
      </c>
      <c r="V284" s="41" t="e">
        <f>C284/'1. Väestöennuste'!E284*1000</f>
        <v>#REF!</v>
      </c>
      <c r="W284" s="41">
        <f>D284/'1. Väestöennuste'!F284*1000</f>
        <v>169.21837228041903</v>
      </c>
      <c r="X284" s="41">
        <f>E284/'1. Väestöennuste'!G284*1000</f>
        <v>1201.2882447665056</v>
      </c>
      <c r="Y284" s="41">
        <f>F284/'1. Väestöennuste'!H284*1000</f>
        <v>560.87662337662334</v>
      </c>
      <c r="Z284" s="41">
        <f>G284/'1. Väestöennuste'!I284*1000</f>
        <v>-1158.4158415841584</v>
      </c>
      <c r="AA284" s="41">
        <f>H284/'1. Väestöennuste'!J284*1000</f>
        <v>-4235.7827299992477</v>
      </c>
      <c r="AB284" s="41">
        <f>I284/'1. Väestöennuste'!K284*1000</f>
        <v>-1684.7006912844822</v>
      </c>
      <c r="AC284" s="41">
        <f>J284/'1. Väestöennuste'!L284*1000</f>
        <v>186.34772506226614</v>
      </c>
      <c r="AD284" s="41">
        <f>K284/'1. Väestöennuste'!M284*1000</f>
        <v>1489.6467657728017</v>
      </c>
      <c r="AE284" s="41">
        <f>L284/'1. Väestöennuste'!N284*1000</f>
        <v>-589.37331772669154</v>
      </c>
      <c r="AF284" s="41">
        <f>M284/'1. Väestöennuste'!O284*1000</f>
        <v>-1054.4435390311605</v>
      </c>
      <c r="AG284" s="41">
        <f>N284/'1. Väestöennuste'!P284*1000</f>
        <v>-1223.8813445762255</v>
      </c>
      <c r="AH284" s="41">
        <f>O284/'1. Väestöennuste'!Q284*1000</f>
        <v>-1361.5969229080147</v>
      </c>
      <c r="AI284" s="41">
        <f>P284/'1. Väestöennuste'!R284*1000</f>
        <v>-1393.464499884057</v>
      </c>
    </row>
    <row r="285" spans="1:35" x14ac:dyDescent="0.2">
      <c r="A285" s="34">
        <v>892</v>
      </c>
      <c r="B285" s="88" t="s">
        <v>599</v>
      </c>
      <c r="C285" s="41" t="e">
        <f>Vuosikate!C285+'7. Nettoinvestoinnit '!C285+'8. Satunnaiset erät'!C285+'9. Tulorahkorjauserät'!C285</f>
        <v>#REF!</v>
      </c>
      <c r="D285" s="41">
        <f>Vuosikate!D285+'7. Nettoinvestoinnit '!D285+'8. Satunnaiset erät'!D285+'9. Tulorahkorjauserät'!D285</f>
        <v>-789</v>
      </c>
      <c r="E285" s="41">
        <f>Vuosikate!E285+'7. Nettoinvestoinnit '!E285+'8. Satunnaiset erät'!E285+'9. Tulorahkorjauserät'!E285</f>
        <v>-2033</v>
      </c>
      <c r="F285" s="41">
        <f>Vuosikate!F285+'7. Nettoinvestoinnit '!F285+'8. Satunnaiset erät'!F285+'9. Tulorahkorjauserät'!F285</f>
        <v>-1364</v>
      </c>
      <c r="G285" s="41">
        <f>Vuosikate!G285+'7. Nettoinvestoinnit '!G285+'8. Satunnaiset erät'!G285+'9. Tulorahkorjauserät'!G285</f>
        <v>-763</v>
      </c>
      <c r="H285" s="41">
        <f>Vuosikate!H285+'7. Nettoinvestoinnit '!H285+'8. Satunnaiset erät'!H285+'9. Tulorahkorjauserät'!H285</f>
        <v>1925.3828668450587</v>
      </c>
      <c r="I285" s="41">
        <f>Vuosikate!I285+'7. Nettoinvestoinnit '!I285+'8. Satunnaiset erät'!I285+'9. Tulorahkorjauserät'!I285</f>
        <v>1675.0470344102803</v>
      </c>
      <c r="J285" s="41">
        <f>Vuosikate!J285+'7. Nettoinvestoinnit '!J285+'8. Satunnaiset erät'!J285+'9. Tulorahkorjauserät'!J285</f>
        <v>-316.46709166188316</v>
      </c>
      <c r="K285" s="41">
        <f>Vuosikate!K285+'7. Nettoinvestoinnit '!K285+'8. Satunnaiset erät'!K285+'9. Tulorahkorjauserät'!K285</f>
        <v>-1183.6106216285884</v>
      </c>
      <c r="L285" s="41">
        <f>Vuosikate!L285+'7. Nettoinvestoinnit '!L285+'8. Satunnaiset erät'!L285+'9. Tulorahkorjauserät'!L285</f>
        <v>9.3080578131963421</v>
      </c>
      <c r="M285" s="41">
        <f>Vuosikate!M285+'7. Nettoinvestoinnit '!M285+'8. Satunnaiset erät'!M285+'9. Tulorahkorjauserät'!M285</f>
        <v>-714.48891455399905</v>
      </c>
      <c r="N285" s="41">
        <f>Vuosikate!N285+'7. Nettoinvestoinnit '!N285+'8. Satunnaiset erät'!N285+'9. Tulorahkorjauserät'!N285</f>
        <v>-771.43466935745107</v>
      </c>
      <c r="O285" s="41">
        <f>Vuosikate!O285+'7. Nettoinvestoinnit '!O285+'8. Satunnaiset erät'!O285+'9. Tulorahkorjauserät'!O285</f>
        <v>-1169.2862514269104</v>
      </c>
      <c r="P285" s="41">
        <f>Vuosikate!P285+'7. Nettoinvestoinnit '!P285+'8. Satunnaiset erät'!P285+'9. Tulorahkorjauserät'!P285</f>
        <v>-1164.7396413461659</v>
      </c>
      <c r="T285" s="34">
        <v>892</v>
      </c>
      <c r="U285" s="88" t="s">
        <v>599</v>
      </c>
      <c r="V285" s="41" t="e">
        <f>C285/'1. Väestöennuste'!E285*1000</f>
        <v>#REF!</v>
      </c>
      <c r="W285" s="41">
        <f>D285/'1. Väestöennuste'!F285*1000</f>
        <v>-212.26795803066989</v>
      </c>
      <c r="X285" s="41">
        <f>E285/'1. Väestöennuste'!G285*1000</f>
        <v>-542.56738724312777</v>
      </c>
      <c r="Y285" s="41">
        <f>F285/'1. Väestöennuste'!H285*1000</f>
        <v>-360.56040179751517</v>
      </c>
      <c r="Z285" s="41">
        <f>G285/'1. Väestöennuste'!I285*1000</f>
        <v>-207.28063026351535</v>
      </c>
      <c r="AA285" s="41">
        <f>H285/'1. Väestöennuste'!J285*1000</f>
        <v>528.08087406611594</v>
      </c>
      <c r="AB285" s="41">
        <f>I285/'1. Väestöennuste'!K285*1000</f>
        <v>460.93754386634015</v>
      </c>
      <c r="AC285" s="41">
        <f>J285/'1. Väestöennuste'!L285*1000</f>
        <v>-88.103310596292644</v>
      </c>
      <c r="AD285" s="41">
        <f>K285/'1. Väestöennuste'!M285*1000</f>
        <v>-327.41649284331629</v>
      </c>
      <c r="AE285" s="41">
        <f>L285/'1. Väestöennuste'!N285*1000</f>
        <v>2.5417962351710384</v>
      </c>
      <c r="AF285" s="41">
        <f>M285/'1. Väestöennuste'!O285*1000</f>
        <v>-195.48260316114886</v>
      </c>
      <c r="AG285" s="41">
        <f>N285/'1. Väestöennuste'!P285*1000</f>
        <v>-211.87439422066771</v>
      </c>
      <c r="AH285" s="41">
        <f>O285/'1. Väestöennuste'!Q285*1000</f>
        <v>-322.56172453156154</v>
      </c>
      <c r="AI285" s="41">
        <f>P285/'1. Väestöennuste'!R285*1000</f>
        <v>-323.17970070648335</v>
      </c>
    </row>
    <row r="286" spans="1:35" x14ac:dyDescent="0.2">
      <c r="A286" s="34">
        <v>893</v>
      </c>
      <c r="B286" s="88" t="s">
        <v>600</v>
      </c>
      <c r="C286" s="41" t="e">
        <f>Vuosikate!C286+'7. Nettoinvestoinnit '!C286+'8. Satunnaiset erät'!C286+'9. Tulorahkorjauserät'!C286</f>
        <v>#REF!</v>
      </c>
      <c r="D286" s="41">
        <f>Vuosikate!D286+'7. Nettoinvestoinnit '!D286+'8. Satunnaiset erät'!D286+'9. Tulorahkorjauserät'!D286</f>
        <v>-5362</v>
      </c>
      <c r="E286" s="41">
        <f>Vuosikate!E286+'7. Nettoinvestoinnit '!E286+'8. Satunnaiset erät'!E286+'9. Tulorahkorjauserät'!E286</f>
        <v>-3536</v>
      </c>
      <c r="F286" s="41">
        <f>Vuosikate!F286+'7. Nettoinvestoinnit '!F286+'8. Satunnaiset erät'!F286+'9. Tulorahkorjauserät'!F286</f>
        <v>-6044</v>
      </c>
      <c r="G286" s="41">
        <f>Vuosikate!G286+'7. Nettoinvestoinnit '!G286+'8. Satunnaiset erät'!G286+'9. Tulorahkorjauserät'!G286</f>
        <v>-5520</v>
      </c>
      <c r="H286" s="41">
        <f>Vuosikate!H286+'7. Nettoinvestoinnit '!H286+'8. Satunnaiset erät'!H286+'9. Tulorahkorjauserät'!H286</f>
        <v>4045.6993740443577</v>
      </c>
      <c r="I286" s="41">
        <f>Vuosikate!I286+'7. Nettoinvestoinnit '!I286+'8. Satunnaiset erät'!I286+'9. Tulorahkorjauserät'!I286</f>
        <v>4119.294411242774</v>
      </c>
      <c r="J286" s="41">
        <f>Vuosikate!J286+'7. Nettoinvestoinnit '!J286+'8. Satunnaiset erät'!J286+'9. Tulorahkorjauserät'!J286</f>
        <v>2910.43542179412</v>
      </c>
      <c r="K286" s="41">
        <f>Vuosikate!K286+'7. Nettoinvestoinnit '!K286+'8. Satunnaiset erät'!K286+'9. Tulorahkorjauserät'!K286</f>
        <v>2337.5334900365783</v>
      </c>
      <c r="L286" s="41">
        <f>Vuosikate!L286+'7. Nettoinvestoinnit '!L286+'8. Satunnaiset erät'!L286+'9. Tulorahkorjauserät'!L286</f>
        <v>945.30272229285538</v>
      </c>
      <c r="M286" s="41">
        <f>Vuosikate!M286+'7. Nettoinvestoinnit '!M286+'8. Satunnaiset erät'!M286+'9. Tulorahkorjauserät'!M286</f>
        <v>1195.5847908400428</v>
      </c>
      <c r="N286" s="41">
        <f>Vuosikate!N286+'7. Nettoinvestoinnit '!N286+'8. Satunnaiset erät'!N286+'9. Tulorahkorjauserät'!N286</f>
        <v>1173.3032460657269</v>
      </c>
      <c r="O286" s="41">
        <f>Vuosikate!O286+'7. Nettoinvestoinnit '!O286+'8. Satunnaiset erät'!O286+'9. Tulorahkorjauserät'!O286</f>
        <v>1362.3931127020769</v>
      </c>
      <c r="P286" s="41">
        <f>Vuosikate!P286+'7. Nettoinvestoinnit '!P286+'8. Satunnaiset erät'!P286+'9. Tulorahkorjauserät'!P286</f>
        <v>1874.1912982508375</v>
      </c>
      <c r="T286" s="34">
        <v>893</v>
      </c>
      <c r="U286" s="88" t="s">
        <v>600</v>
      </c>
      <c r="V286" s="41" t="e">
        <f>C286/'1. Väestöennuste'!E286*1000</f>
        <v>#REF!</v>
      </c>
      <c r="W286" s="41">
        <f>D286/'1. Väestöennuste'!F286*1000</f>
        <v>-713.41138903672163</v>
      </c>
      <c r="X286" s="41">
        <f>E286/'1. Väestöennuste'!G286*1000</f>
        <v>-470.15024597792848</v>
      </c>
      <c r="Y286" s="41">
        <f>F286/'1. Väestöennuste'!H286*1000</f>
        <v>-810.73105298457415</v>
      </c>
      <c r="Z286" s="41">
        <f>G286/'1. Väestöennuste'!I286*1000</f>
        <v>-739.54983922829592</v>
      </c>
      <c r="AA286" s="41">
        <f>H286/'1. Väestöennuste'!J286*1000</f>
        <v>540.9412186180449</v>
      </c>
      <c r="AB286" s="41">
        <f>I286/'1. Väestöennuste'!K286*1000</f>
        <v>549.45903844774898</v>
      </c>
      <c r="AC286" s="41">
        <f>J286/'1. Väestöennuste'!L286*1000</f>
        <v>391.50328514852299</v>
      </c>
      <c r="AD286" s="41">
        <f>K286/'1. Väestöennuste'!M286*1000</f>
        <v>311.67113200487711</v>
      </c>
      <c r="AE286" s="41">
        <f>L286/'1. Väestöennuste'!N286*1000</f>
        <v>127.1593653877933</v>
      </c>
      <c r="AF286" s="41">
        <f>M286/'1. Väestöennuste'!O286*1000</f>
        <v>161.17346870316027</v>
      </c>
      <c r="AG286" s="41">
        <f>N286/'1. Väestöennuste'!P286*1000</f>
        <v>158.66169656061217</v>
      </c>
      <c r="AH286" s="41">
        <f>O286/'1. Väestöennuste'!Q286*1000</f>
        <v>184.85659602470514</v>
      </c>
      <c r="AI286" s="41">
        <f>P286/'1. Väestöennuste'!R286*1000</f>
        <v>255.40900766569058</v>
      </c>
    </row>
    <row r="287" spans="1:35" x14ac:dyDescent="0.2">
      <c r="A287" s="34">
        <v>895</v>
      </c>
      <c r="B287" s="88" t="s">
        <v>601</v>
      </c>
      <c r="C287" s="41" t="e">
        <f>Vuosikate!C287+'7. Nettoinvestoinnit '!C287+'8. Satunnaiset erät'!C287+'9. Tulorahkorjauserät'!C287</f>
        <v>#REF!</v>
      </c>
      <c r="D287" s="41">
        <f>Vuosikate!D287+'7. Nettoinvestoinnit '!D287+'8. Satunnaiset erät'!D287+'9. Tulorahkorjauserät'!D287</f>
        <v>-347</v>
      </c>
      <c r="E287" s="41">
        <f>Vuosikate!E287+'7. Nettoinvestoinnit '!E287+'8. Satunnaiset erät'!E287+'9. Tulorahkorjauserät'!E287</f>
        <v>-1971</v>
      </c>
      <c r="F287" s="41">
        <f>Vuosikate!F287+'7. Nettoinvestoinnit '!F287+'8. Satunnaiset erät'!F287+'9. Tulorahkorjauserät'!F287</f>
        <v>-4691</v>
      </c>
      <c r="G287" s="41">
        <f>Vuosikate!G287+'7. Nettoinvestoinnit '!G287+'8. Satunnaiset erät'!G287+'9. Tulorahkorjauserät'!G287</f>
        <v>-9891</v>
      </c>
      <c r="H287" s="41">
        <f>Vuosikate!H287+'7. Nettoinvestoinnit '!H287+'8. Satunnaiset erät'!H287+'9. Tulorahkorjauserät'!H287</f>
        <v>752.03413246293348</v>
      </c>
      <c r="I287" s="41">
        <f>Vuosikate!I287+'7. Nettoinvestoinnit '!I287+'8. Satunnaiset erät'!I287+'9. Tulorahkorjauserät'!I287</f>
        <v>-3446.4339985283054</v>
      </c>
      <c r="J287" s="41">
        <f>Vuosikate!J287+'7. Nettoinvestoinnit '!J287+'8. Satunnaiset erät'!J287+'9. Tulorahkorjauserät'!J287</f>
        <v>-14755.300115646032</v>
      </c>
      <c r="K287" s="41">
        <f>Vuosikate!K287+'7. Nettoinvestoinnit '!K287+'8. Satunnaiset erät'!K287+'9. Tulorahkorjauserät'!K287</f>
        <v>-6570.9396053251767</v>
      </c>
      <c r="L287" s="41">
        <f>Vuosikate!L287+'7. Nettoinvestoinnit '!L287+'8. Satunnaiset erät'!L287+'9. Tulorahkorjauserät'!L287</f>
        <v>-6147.1443088677406</v>
      </c>
      <c r="M287" s="41">
        <f>Vuosikate!M287+'7. Nettoinvestoinnit '!M287+'8. Satunnaiset erät'!M287+'9. Tulorahkorjauserät'!M287</f>
        <v>-5678.2832584734751</v>
      </c>
      <c r="N287" s="41">
        <f>Vuosikate!N287+'7. Nettoinvestoinnit '!N287+'8. Satunnaiset erät'!N287+'9. Tulorahkorjauserät'!N287</f>
        <v>-8052.1926304933022</v>
      </c>
      <c r="O287" s="41">
        <f>Vuosikate!O287+'7. Nettoinvestoinnit '!O287+'8. Satunnaiset erät'!O287+'9. Tulorahkorjauserät'!O287</f>
        <v>-7967.7798547734292</v>
      </c>
      <c r="P287" s="41">
        <f>Vuosikate!P287+'7. Nettoinvestoinnit '!P287+'8. Satunnaiset erät'!P287+'9. Tulorahkorjauserät'!P287</f>
        <v>-7526.8728977696719</v>
      </c>
      <c r="T287" s="34">
        <v>895</v>
      </c>
      <c r="U287" s="88" t="s">
        <v>601</v>
      </c>
      <c r="V287" s="41" t="e">
        <f>C287/'1. Väestöennuste'!E287*1000</f>
        <v>#REF!</v>
      </c>
      <c r="W287" s="41">
        <f>D287/'1. Väestöennuste'!F287*1000</f>
        <v>-22.526616463256296</v>
      </c>
      <c r="X287" s="41">
        <f>E287/'1. Väestöennuste'!G287*1000</f>
        <v>-125.12696800406297</v>
      </c>
      <c r="Y287" s="41">
        <f>F287/'1. Väestöennuste'!H287*1000</f>
        <v>-298.78980891719749</v>
      </c>
      <c r="Z287" s="41">
        <f>G287/'1. Väestöennuste'!I287*1000</f>
        <v>-637.2245844607653</v>
      </c>
      <c r="AA287" s="41">
        <f>H287/'1. Väestöennuste'!J287*1000</f>
        <v>48.903247006303388</v>
      </c>
      <c r="AB287" s="41">
        <f>I287/'1. Väestöennuste'!K287*1000</f>
        <v>-222.88262294045822</v>
      </c>
      <c r="AC287" s="41">
        <f>J287/'1. Väestöennuste'!L287*1000</f>
        <v>-977.6901746386186</v>
      </c>
      <c r="AD287" s="41">
        <f>K287/'1. Väestöennuste'!M287*1000</f>
        <v>-439.88081438781472</v>
      </c>
      <c r="AE287" s="41">
        <f>L287/'1. Väestöennuste'!N287*1000</f>
        <v>-408.47526804888969</v>
      </c>
      <c r="AF287" s="41">
        <f>M287/'1. Väestöennuste'!O287*1000</f>
        <v>-379.53901868013332</v>
      </c>
      <c r="AG287" s="41">
        <f>N287/'1. Väestöennuste'!P287*1000</f>
        <v>-541.28748524423918</v>
      </c>
      <c r="AH287" s="41">
        <f>O287/'1. Väestöennuste'!Q287*1000</f>
        <v>-538.72750877440353</v>
      </c>
      <c r="AI287" s="41">
        <f>P287/'1. Väestöennuste'!R287*1000</f>
        <v>-511.75366452064674</v>
      </c>
    </row>
    <row r="288" spans="1:35" x14ac:dyDescent="0.2">
      <c r="A288" s="34">
        <v>905</v>
      </c>
      <c r="B288" s="88" t="s">
        <v>602</v>
      </c>
      <c r="C288" s="41" t="e">
        <f>Vuosikate!C288+'7. Nettoinvestoinnit '!C288+'8. Satunnaiset erät'!C288+'9. Tulorahkorjauserät'!C288</f>
        <v>#REF!</v>
      </c>
      <c r="D288" s="41">
        <f>Vuosikate!D288+'7. Nettoinvestoinnit '!D288+'8. Satunnaiset erät'!D288+'9. Tulorahkorjauserät'!D288</f>
        <v>-11340</v>
      </c>
      <c r="E288" s="41">
        <f>Vuosikate!E288+'7. Nettoinvestoinnit '!E288+'8. Satunnaiset erät'!E288+'9. Tulorahkorjauserät'!E288</f>
        <v>-1378</v>
      </c>
      <c r="F288" s="41">
        <f>Vuosikate!F288+'7. Nettoinvestoinnit '!F288+'8. Satunnaiset erät'!F288+'9. Tulorahkorjauserät'!F288</f>
        <v>-16328</v>
      </c>
      <c r="G288" s="41">
        <f>Vuosikate!G288+'7. Nettoinvestoinnit '!G288+'8. Satunnaiset erät'!G288+'9. Tulorahkorjauserät'!G288</f>
        <v>-29710</v>
      </c>
      <c r="H288" s="41">
        <f>Vuosikate!H288+'7. Nettoinvestoinnit '!H288+'8. Satunnaiset erät'!H288+'9. Tulorahkorjauserät'!H288</f>
        <v>-5506.7502044120338</v>
      </c>
      <c r="I288" s="41">
        <f>Vuosikate!I288+'7. Nettoinvestoinnit '!I288+'8. Satunnaiset erät'!I288+'9. Tulorahkorjauserät'!I288</f>
        <v>-5377.8775361825838</v>
      </c>
      <c r="J288" s="41">
        <f>Vuosikate!J288+'7. Nettoinvestoinnit '!J288+'8. Satunnaiset erät'!J288+'9. Tulorahkorjauserät'!J288</f>
        <v>-3461.9764780052383</v>
      </c>
      <c r="K288" s="41">
        <f>Vuosikate!K288+'7. Nettoinvestoinnit '!K288+'8. Satunnaiset erät'!K288+'9. Tulorahkorjauserät'!K288</f>
        <v>-1561.6669293650721</v>
      </c>
      <c r="L288" s="41">
        <f>Vuosikate!L288+'7. Nettoinvestoinnit '!L288+'8. Satunnaiset erät'!L288+'9. Tulorahkorjauserät'!L288</f>
        <v>-23580.961989405798</v>
      </c>
      <c r="M288" s="41">
        <f>Vuosikate!M288+'7. Nettoinvestoinnit '!M288+'8. Satunnaiset erät'!M288+'9. Tulorahkorjauserät'!M288</f>
        <v>-39140.969757778192</v>
      </c>
      <c r="N288" s="41">
        <f>Vuosikate!N288+'7. Nettoinvestoinnit '!N288+'8. Satunnaiset erät'!N288+'9. Tulorahkorjauserät'!N288</f>
        <v>-36033.61494169131</v>
      </c>
      <c r="O288" s="41">
        <f>Vuosikate!O288+'7. Nettoinvestoinnit '!O288+'8. Satunnaiset erät'!O288+'9. Tulorahkorjauserät'!O288</f>
        <v>-36620.031932935381</v>
      </c>
      <c r="P288" s="41">
        <f>Vuosikate!P288+'7. Nettoinvestoinnit '!P288+'8. Satunnaiset erät'!P288+'9. Tulorahkorjauserät'!P288</f>
        <v>-35898.48664093353</v>
      </c>
      <c r="T288" s="34">
        <v>905</v>
      </c>
      <c r="U288" s="88" t="s">
        <v>602</v>
      </c>
      <c r="V288" s="41" t="e">
        <f>C288/'1. Väestöennuste'!E288*1000</f>
        <v>#REF!</v>
      </c>
      <c r="W288" s="41">
        <f>D288/'1. Väestöennuste'!F288*1000</f>
        <v>-167.70186335403727</v>
      </c>
      <c r="X288" s="41">
        <f>E288/'1. Väestöennuste'!G288*1000</f>
        <v>-20.447530864197532</v>
      </c>
      <c r="Y288" s="41">
        <f>F288/'1. Väestöennuste'!H288*1000</f>
        <v>-241.71009000473708</v>
      </c>
      <c r="Z288" s="41">
        <f>G288/'1. Väestöennuste'!I288*1000</f>
        <v>-439.26311431781892</v>
      </c>
      <c r="AA288" s="41">
        <f>H288/'1. Väestöennuste'!J288*1000</f>
        <v>-81.519891702743607</v>
      </c>
      <c r="AB288" s="41">
        <f>I288/'1. Väestöennuste'!K288*1000</f>
        <v>-79.536752735082203</v>
      </c>
      <c r="AC288" s="41">
        <f>J288/'1. Väestöennuste'!L288*1000</f>
        <v>-50.920404747973734</v>
      </c>
      <c r="AD288" s="41">
        <f>K288/'1. Väestöennuste'!M288*1000</f>
        <v>-22.647295802614305</v>
      </c>
      <c r="AE288" s="41">
        <f>L288/'1. Väestöennuste'!N288*1000</f>
        <v>-348.43391387629174</v>
      </c>
      <c r="AF288" s="41">
        <f>M288/'1. Väestöennuste'!O288*1000</f>
        <v>-578.36674928375612</v>
      </c>
      <c r="AG288" s="41">
        <f>N288/'1. Väestöennuste'!P288*1000</f>
        <v>-532.41156828740111</v>
      </c>
      <c r="AH288" s="41">
        <f>O288/'1. Väestöennuste'!Q288*1000</f>
        <v>-540.97221179347025</v>
      </c>
      <c r="AI288" s="41">
        <f>P288/'1. Väestöennuste'!R288*1000</f>
        <v>-530.18781315531953</v>
      </c>
    </row>
    <row r="289" spans="1:35" x14ac:dyDescent="0.2">
      <c r="A289" s="34">
        <v>908</v>
      </c>
      <c r="B289" s="88" t="s">
        <v>603</v>
      </c>
      <c r="C289" s="41" t="e">
        <f>Vuosikate!C289+'7. Nettoinvestoinnit '!C289+'8. Satunnaiset erät'!C289+'9. Tulorahkorjauserät'!C289</f>
        <v>#REF!</v>
      </c>
      <c r="D289" s="41">
        <f>Vuosikate!D289+'7. Nettoinvestoinnit '!D289+'8. Satunnaiset erät'!D289+'9. Tulorahkorjauserät'!D289</f>
        <v>-2384</v>
      </c>
      <c r="E289" s="41">
        <f>Vuosikate!E289+'7. Nettoinvestoinnit '!E289+'8. Satunnaiset erät'!E289+'9. Tulorahkorjauserät'!E289</f>
        <v>-285</v>
      </c>
      <c r="F289" s="41">
        <f>Vuosikate!F289+'7. Nettoinvestoinnit '!F289+'8. Satunnaiset erät'!F289+'9. Tulorahkorjauserät'!F289</f>
        <v>-6668</v>
      </c>
      <c r="G289" s="41">
        <f>Vuosikate!G289+'7. Nettoinvestoinnit '!G289+'8. Satunnaiset erät'!G289+'9. Tulorahkorjauserät'!G289</f>
        <v>-17029</v>
      </c>
      <c r="H289" s="41">
        <f>Vuosikate!H289+'7. Nettoinvestoinnit '!H289+'8. Satunnaiset erät'!H289+'9. Tulorahkorjauserät'!H289</f>
        <v>-1522.4458163583404</v>
      </c>
      <c r="I289" s="41">
        <f>Vuosikate!I289+'7. Nettoinvestoinnit '!I289+'8. Satunnaiset erät'!I289+'9. Tulorahkorjauserät'!I289</f>
        <v>-238.03764590125684</v>
      </c>
      <c r="J289" s="41">
        <f>Vuosikate!J289+'7. Nettoinvestoinnit '!J289+'8. Satunnaiset erät'!J289+'9. Tulorahkorjauserät'!J289</f>
        <v>-4095.2421985428696</v>
      </c>
      <c r="K289" s="41">
        <f>Vuosikate!K289+'7. Nettoinvestoinnit '!K289+'8. Satunnaiset erät'!K289+'9. Tulorahkorjauserät'!K289</f>
        <v>-11952.612810637458</v>
      </c>
      <c r="L289" s="41">
        <f>Vuosikate!L289+'7. Nettoinvestoinnit '!L289+'8. Satunnaiset erät'!L289+'9. Tulorahkorjauserät'!L289</f>
        <v>-6126.899295733936</v>
      </c>
      <c r="M289" s="41">
        <f>Vuosikate!M289+'7. Nettoinvestoinnit '!M289+'8. Satunnaiset erät'!M289+'9. Tulorahkorjauserät'!M289</f>
        <v>-8627.1206260930157</v>
      </c>
      <c r="N289" s="41">
        <f>Vuosikate!N289+'7. Nettoinvestoinnit '!N289+'8. Satunnaiset erät'!N289+'9. Tulorahkorjauserät'!N289</f>
        <v>-7852.0459637134027</v>
      </c>
      <c r="O289" s="41">
        <f>Vuosikate!O289+'7. Nettoinvestoinnit '!O289+'8. Satunnaiset erät'!O289+'9. Tulorahkorjauserät'!O289</f>
        <v>-7520.2485356802881</v>
      </c>
      <c r="P289" s="41">
        <f>Vuosikate!P289+'7. Nettoinvestoinnit '!P289+'8. Satunnaiset erät'!P289+'9. Tulorahkorjauserät'!P289</f>
        <v>-6295.5457589819835</v>
      </c>
      <c r="T289" s="34">
        <v>908</v>
      </c>
      <c r="U289" s="88" t="s">
        <v>603</v>
      </c>
      <c r="V289" s="41" t="e">
        <f>C289/'1. Väestöennuste'!E289*1000</f>
        <v>#REF!</v>
      </c>
      <c r="W289" s="41">
        <f>D289/'1. Väestöennuste'!F289*1000</f>
        <v>-111.6836878103626</v>
      </c>
      <c r="X289" s="41">
        <f>E289/'1. Väestöennuste'!G289*1000</f>
        <v>-13.484102952308856</v>
      </c>
      <c r="Y289" s="41">
        <f>F289/'1. Väestöennuste'!H289*1000</f>
        <v>-315.46577092302596</v>
      </c>
      <c r="Z289" s="41">
        <f>G289/'1. Väestöennuste'!I289*1000</f>
        <v>-811.98741178714477</v>
      </c>
      <c r="AA289" s="41">
        <f>H289/'1. Väestöennuste'!J289*1000</f>
        <v>-73.317881837627766</v>
      </c>
      <c r="AB289" s="41">
        <f>I289/'1. Väestöennuste'!K289*1000</f>
        <v>-11.502181488342925</v>
      </c>
      <c r="AC289" s="41">
        <f>J289/'1. Väestöennuste'!L289*1000</f>
        <v>-197.80911938090466</v>
      </c>
      <c r="AD289" s="41">
        <f>K289/'1. Väestöennuste'!M289*1000</f>
        <v>-577.58832563242765</v>
      </c>
      <c r="AE289" s="41">
        <f>L289/'1. Väestöennuste'!N289*1000</f>
        <v>-302.48823973013754</v>
      </c>
      <c r="AF289" s="41">
        <f>M289/'1. Väestöennuste'!O289*1000</f>
        <v>-428.40007081602027</v>
      </c>
      <c r="AG289" s="41">
        <f>N289/'1. Väestöennuste'!P289*1000</f>
        <v>-392.17091018446717</v>
      </c>
      <c r="AH289" s="41">
        <f>O289/'1. Väestöennuste'!Q289*1000</f>
        <v>-377.82599154342284</v>
      </c>
      <c r="AI289" s="41">
        <f>P289/'1. Väestöennuste'!R289*1000</f>
        <v>-318.23008436445349</v>
      </c>
    </row>
    <row r="290" spans="1:35" x14ac:dyDescent="0.2">
      <c r="A290" s="34">
        <v>915</v>
      </c>
      <c r="B290" s="88" t="s">
        <v>604</v>
      </c>
      <c r="C290" s="41" t="e">
        <f>Vuosikate!C290+'7. Nettoinvestoinnit '!C290+'8. Satunnaiset erät'!C290+'9. Tulorahkorjauserät'!C290</f>
        <v>#REF!</v>
      </c>
      <c r="D290" s="41">
        <f>Vuosikate!D290+'7. Nettoinvestoinnit '!D290+'8. Satunnaiset erät'!D290+'9. Tulorahkorjauserät'!D290</f>
        <v>-907</v>
      </c>
      <c r="E290" s="41">
        <f>Vuosikate!E290+'7. Nettoinvestoinnit '!E290+'8. Satunnaiset erät'!E290+'9. Tulorahkorjauserät'!E290</f>
        <v>-4607</v>
      </c>
      <c r="F290" s="41">
        <f>Vuosikate!F290+'7. Nettoinvestoinnit '!F290+'8. Satunnaiset erät'!F290+'9. Tulorahkorjauserät'!F290</f>
        <v>-6273</v>
      </c>
      <c r="G290" s="41">
        <f>Vuosikate!G290+'7. Nettoinvestoinnit '!G290+'8. Satunnaiset erät'!G290+'9. Tulorahkorjauserät'!G290</f>
        <v>-7738</v>
      </c>
      <c r="H290" s="41">
        <f>Vuosikate!H290+'7. Nettoinvestoinnit '!H290+'8. Satunnaiset erät'!H290+'9. Tulorahkorjauserät'!H290</f>
        <v>-1729.8970850339392</v>
      </c>
      <c r="I290" s="41">
        <f>Vuosikate!I290+'7. Nettoinvestoinnit '!I290+'8. Satunnaiset erät'!I290+'9. Tulorahkorjauserät'!I290</f>
        <v>-5032.3429626328807</v>
      </c>
      <c r="J290" s="41">
        <f>Vuosikate!J290+'7. Nettoinvestoinnit '!J290+'8. Satunnaiset erät'!J290+'9. Tulorahkorjauserät'!J290</f>
        <v>-1399.1230396994308</v>
      </c>
      <c r="K290" s="41">
        <f>Vuosikate!K290+'7. Nettoinvestoinnit '!K290+'8. Satunnaiset erät'!K290+'9. Tulorahkorjauserät'!K290</f>
        <v>1781.0721138647659</v>
      </c>
      <c r="L290" s="41">
        <f>Vuosikate!L290+'7. Nettoinvestoinnit '!L290+'8. Satunnaiset erät'!L290+'9. Tulorahkorjauserät'!L290</f>
        <v>-5286.9980580958872</v>
      </c>
      <c r="M290" s="41">
        <f>Vuosikate!M290+'7. Nettoinvestoinnit '!M290+'8. Satunnaiset erät'!M290+'9. Tulorahkorjauserät'!M290</f>
        <v>-10203.700467815919</v>
      </c>
      <c r="N290" s="41">
        <f>Vuosikate!N290+'7. Nettoinvestoinnit '!N290+'8. Satunnaiset erät'!N290+'9. Tulorahkorjauserät'!N290</f>
        <v>-9314.9809467811374</v>
      </c>
      <c r="O290" s="41">
        <f>Vuosikate!O290+'7. Nettoinvestoinnit '!O290+'8. Satunnaiset erät'!O290+'9. Tulorahkorjauserät'!O290</f>
        <v>-9528.6990359951997</v>
      </c>
      <c r="P290" s="41">
        <f>Vuosikate!P290+'7. Nettoinvestoinnit '!P290+'8. Satunnaiset erät'!P290+'9. Tulorahkorjauserät'!P290</f>
        <v>-7526.6107630366878</v>
      </c>
      <c r="T290" s="34">
        <v>915</v>
      </c>
      <c r="U290" s="88" t="s">
        <v>604</v>
      </c>
      <c r="V290" s="41" t="e">
        <f>C290/'1. Väestöennuste'!E290*1000</f>
        <v>#REF!</v>
      </c>
      <c r="W290" s="41">
        <f>D290/'1. Väestöennuste'!F290*1000</f>
        <v>-42.248928637972796</v>
      </c>
      <c r="X290" s="41">
        <f>E290/'1. Väestöennuste'!G290*1000</f>
        <v>-217.77357598676437</v>
      </c>
      <c r="Y290" s="41">
        <f>F290/'1. Väestöennuste'!H290*1000</f>
        <v>-301.16664266167362</v>
      </c>
      <c r="Z290" s="41">
        <f>G290/'1. Väestöennuste'!I290*1000</f>
        <v>-378.09049154695595</v>
      </c>
      <c r="AA290" s="41">
        <f>H290/'1. Väestöennuste'!J290*1000</f>
        <v>-85.309058340760387</v>
      </c>
      <c r="AB290" s="41">
        <f>I290/'1. Väestöennuste'!K290*1000</f>
        <v>-251.95729047378362</v>
      </c>
      <c r="AC290" s="41">
        <f>J290/'1. Väestöennuste'!L290*1000</f>
        <v>-70.809405319066286</v>
      </c>
      <c r="AD290" s="41">
        <f>K290/'1. Väestöennuste'!M290*1000</f>
        <v>90.28600972599817</v>
      </c>
      <c r="AE290" s="41">
        <f>L290/'1. Väestöennuste'!N290*1000</f>
        <v>-274.59219165346877</v>
      </c>
      <c r="AF290" s="41">
        <f>M290/'1. Väestöennuste'!O290*1000</f>
        <v>-536.44395498743074</v>
      </c>
      <c r="AG290" s="41">
        <f>N290/'1. Väestöennuste'!P290*1000</f>
        <v>-495.55678814604124</v>
      </c>
      <c r="AH290" s="41">
        <f>O290/'1. Väestöennuste'!Q290*1000</f>
        <v>-512.79189731972872</v>
      </c>
      <c r="AI290" s="41">
        <f>P290/'1. Väestöennuste'!R290*1000</f>
        <v>-409.72295933787086</v>
      </c>
    </row>
    <row r="291" spans="1:35" x14ac:dyDescent="0.2">
      <c r="A291" s="34">
        <v>918</v>
      </c>
      <c r="B291" s="88" t="s">
        <v>605</v>
      </c>
      <c r="C291" s="41" t="e">
        <f>Vuosikate!C291+'7. Nettoinvestoinnit '!C291+'8. Satunnaiset erät'!C291+'9. Tulorahkorjauserät'!C291</f>
        <v>#REF!</v>
      </c>
      <c r="D291" s="41">
        <f>Vuosikate!D291+'7. Nettoinvestoinnit '!D291+'8. Satunnaiset erät'!D291+'9. Tulorahkorjauserät'!D291</f>
        <v>344</v>
      </c>
      <c r="E291" s="41">
        <f>Vuosikate!E291+'7. Nettoinvestoinnit '!E291+'8. Satunnaiset erät'!E291+'9. Tulorahkorjauserät'!E291</f>
        <v>325</v>
      </c>
      <c r="F291" s="41">
        <f>Vuosikate!F291+'7. Nettoinvestoinnit '!F291+'8. Satunnaiset erät'!F291+'9. Tulorahkorjauserät'!F291</f>
        <v>-6471</v>
      </c>
      <c r="G291" s="41">
        <f>Vuosikate!G291+'7. Nettoinvestoinnit '!G291+'8. Satunnaiset erät'!G291+'9. Tulorahkorjauserät'!G291</f>
        <v>-3194</v>
      </c>
      <c r="H291" s="41">
        <f>Vuosikate!H291+'7. Nettoinvestoinnit '!H291+'8. Satunnaiset erät'!H291+'9. Tulorahkorjauserät'!H291</f>
        <v>1994.9018750257228</v>
      </c>
      <c r="I291" s="41">
        <f>Vuosikate!I291+'7. Nettoinvestoinnit '!I291+'8. Satunnaiset erät'!I291+'9. Tulorahkorjauserät'!I291</f>
        <v>1339.0955375602502</v>
      </c>
      <c r="J291" s="41">
        <f>Vuosikate!J291+'7. Nettoinvestoinnit '!J291+'8. Satunnaiset erät'!J291+'9. Tulorahkorjauserät'!J291</f>
        <v>1110.6852795476359</v>
      </c>
      <c r="K291" s="41">
        <f>Vuosikate!K291+'7. Nettoinvestoinnit '!K291+'8. Satunnaiset erät'!K291+'9. Tulorahkorjauserät'!K291</f>
        <v>1632.4559241045743</v>
      </c>
      <c r="L291" s="41">
        <f>Vuosikate!L291+'7. Nettoinvestoinnit '!L291+'8. Satunnaiset erät'!L291+'9. Tulorahkorjauserät'!L291</f>
        <v>757.11943622869489</v>
      </c>
      <c r="M291" s="41">
        <f>Vuosikate!M291+'7. Nettoinvestoinnit '!M291+'8. Satunnaiset erät'!M291+'9. Tulorahkorjauserät'!M291</f>
        <v>1345.4649310539405</v>
      </c>
      <c r="N291" s="41">
        <f>Vuosikate!N291+'7. Nettoinvestoinnit '!N291+'8. Satunnaiset erät'!N291+'9. Tulorahkorjauserät'!N291</f>
        <v>1353.3507066857692</v>
      </c>
      <c r="O291" s="41">
        <f>Vuosikate!O291+'7. Nettoinvestoinnit '!O291+'8. Satunnaiset erät'!O291+'9. Tulorahkorjauserät'!O291</f>
        <v>1241.2473826172102</v>
      </c>
      <c r="P291" s="41">
        <f>Vuosikate!P291+'7. Nettoinvestoinnit '!P291+'8. Satunnaiset erät'!P291+'9. Tulorahkorjauserät'!P291</f>
        <v>1524.4387776406732</v>
      </c>
      <c r="T291" s="34">
        <v>918</v>
      </c>
      <c r="U291" s="88" t="s">
        <v>605</v>
      </c>
      <c r="V291" s="41" t="e">
        <f>C291/'1. Väestöennuste'!E291*1000</f>
        <v>#REF!</v>
      </c>
      <c r="W291" s="41">
        <f>D291/'1. Väestöennuste'!F291*1000</f>
        <v>151.0759771629337</v>
      </c>
      <c r="X291" s="41">
        <f>E291/'1. Väestöennuste'!G291*1000</f>
        <v>140.32815198618306</v>
      </c>
      <c r="Y291" s="41">
        <f>F291/'1. Väestöennuste'!H291*1000</f>
        <v>-2831.9474835886217</v>
      </c>
      <c r="Z291" s="41">
        <f>G291/'1. Väestöennuste'!I291*1000</f>
        <v>-1392.9350196249454</v>
      </c>
      <c r="AA291" s="41">
        <f>H291/'1. Väestöennuste'!J291*1000</f>
        <v>870.37603622413735</v>
      </c>
      <c r="AB291" s="41">
        <f>I291/'1. Väestöennuste'!K291*1000</f>
        <v>589.65017065620884</v>
      </c>
      <c r="AC291" s="41">
        <f>J291/'1. Väestöennuste'!L291*1000</f>
        <v>498.51224396213462</v>
      </c>
      <c r="AD291" s="41">
        <f>K291/'1. Väestöennuste'!M291*1000</f>
        <v>727.15185928934272</v>
      </c>
      <c r="AE291" s="41">
        <f>L291/'1. Väestöennuste'!N291*1000</f>
        <v>326.06349536119507</v>
      </c>
      <c r="AF291" s="41">
        <f>M291/'1. Väestöennuste'!O291*1000</f>
        <v>578.4458001091748</v>
      </c>
      <c r="AG291" s="41">
        <f>N291/'1. Väestöennuste'!P291*1000</f>
        <v>580.5880337562287</v>
      </c>
      <c r="AH291" s="41">
        <f>O291/'1. Väestöennuste'!Q291*1000</f>
        <v>531.12853342627727</v>
      </c>
      <c r="AI291" s="41">
        <f>P291/'1. Väestöennuste'!R291*1000</f>
        <v>650.91322700284934</v>
      </c>
    </row>
    <row r="292" spans="1:35" x14ac:dyDescent="0.2">
      <c r="A292" s="34">
        <v>921</v>
      </c>
      <c r="B292" s="88" t="s">
        <v>606</v>
      </c>
      <c r="C292" s="41" t="e">
        <f>Vuosikate!C292+'7. Nettoinvestoinnit '!C292+'8. Satunnaiset erät'!C292+'9. Tulorahkorjauserät'!C292</f>
        <v>#REF!</v>
      </c>
      <c r="D292" s="41">
        <f>Vuosikate!D292+'7. Nettoinvestoinnit '!D292+'8. Satunnaiset erät'!D292+'9. Tulorahkorjauserät'!D292</f>
        <v>-779</v>
      </c>
      <c r="E292" s="41">
        <f>Vuosikate!E292+'7. Nettoinvestoinnit '!E292+'8. Satunnaiset erät'!E292+'9. Tulorahkorjauserät'!E292</f>
        <v>575</v>
      </c>
      <c r="F292" s="41">
        <f>Vuosikate!F292+'7. Nettoinvestoinnit '!F292+'8. Satunnaiset erät'!F292+'9. Tulorahkorjauserät'!F292</f>
        <v>132</v>
      </c>
      <c r="G292" s="41">
        <f>Vuosikate!G292+'7. Nettoinvestoinnit '!G292+'8. Satunnaiset erät'!G292+'9. Tulorahkorjauserät'!G292</f>
        <v>-1167</v>
      </c>
      <c r="H292" s="41">
        <f>Vuosikate!H292+'7. Nettoinvestoinnit '!H292+'8. Satunnaiset erät'!H292+'9. Tulorahkorjauserät'!H292</f>
        <v>816.05537005393489</v>
      </c>
      <c r="I292" s="41">
        <f>Vuosikate!I292+'7. Nettoinvestoinnit '!I292+'8. Satunnaiset erät'!I292+'9. Tulorahkorjauserät'!I292</f>
        <v>527.7501131958328</v>
      </c>
      <c r="J292" s="41">
        <f>Vuosikate!J292+'7. Nettoinvestoinnit '!J292+'8. Satunnaiset erät'!J292+'9. Tulorahkorjauserät'!J292</f>
        <v>1133.0314426920493</v>
      </c>
      <c r="K292" s="41">
        <f>Vuosikate!K292+'7. Nettoinvestoinnit '!K292+'8. Satunnaiset erät'!K292+'9. Tulorahkorjauserät'!K292</f>
        <v>836.70639473590427</v>
      </c>
      <c r="L292" s="41">
        <f>Vuosikate!L292+'7. Nettoinvestoinnit '!L292+'8. Satunnaiset erät'!L292+'9. Tulorahkorjauserät'!L292</f>
        <v>484.86241087187364</v>
      </c>
      <c r="M292" s="41">
        <f>Vuosikate!M292+'7. Nettoinvestoinnit '!M292+'8. Satunnaiset erät'!M292+'9. Tulorahkorjauserät'!M292</f>
        <v>-525.18694045038217</v>
      </c>
      <c r="N292" s="41">
        <f>Vuosikate!N292+'7. Nettoinvestoinnit '!N292+'8. Satunnaiset erät'!N292+'9. Tulorahkorjauserät'!N292</f>
        <v>-720.94510769439637</v>
      </c>
      <c r="O292" s="41">
        <f>Vuosikate!O292+'7. Nettoinvestoinnit '!O292+'8. Satunnaiset erät'!O292+'9. Tulorahkorjauserät'!O292</f>
        <v>-946.50301102327228</v>
      </c>
      <c r="P292" s="41">
        <f>Vuosikate!P292+'7. Nettoinvestoinnit '!P292+'8. Satunnaiset erät'!P292+'9. Tulorahkorjauserät'!P292</f>
        <v>-775.47350485825075</v>
      </c>
      <c r="T292" s="34">
        <v>921</v>
      </c>
      <c r="U292" s="88" t="s">
        <v>606</v>
      </c>
      <c r="V292" s="41" t="e">
        <f>C292/'1. Väestöennuste'!E292*1000</f>
        <v>#REF!</v>
      </c>
      <c r="W292" s="41">
        <f>D292/'1. Väestöennuste'!F292*1000</f>
        <v>-362.66294227188087</v>
      </c>
      <c r="X292" s="41">
        <f>E292/'1. Väestöennuste'!G292*1000</f>
        <v>274.59407831900666</v>
      </c>
      <c r="Y292" s="41">
        <f>F292/'1. Väestöennuste'!H292*1000</f>
        <v>64.139941690962104</v>
      </c>
      <c r="Z292" s="41">
        <f>G292/'1. Väestöennuste'!I292*1000</f>
        <v>-579.44389275074479</v>
      </c>
      <c r="AA292" s="41">
        <f>H292/'1. Väestöennuste'!J292*1000</f>
        <v>413.8211815689325</v>
      </c>
      <c r="AB292" s="41">
        <f>I292/'1. Väestöennuste'!K292*1000</f>
        <v>271.89598825133066</v>
      </c>
      <c r="AC292" s="41">
        <f>J292/'1. Väestöennuste'!L292*1000</f>
        <v>598.2214586547251</v>
      </c>
      <c r="AD292" s="41">
        <f>K292/'1. Väestöennuste'!M292*1000</f>
        <v>441.53371753873574</v>
      </c>
      <c r="AE292" s="41">
        <f>L292/'1. Väestöennuste'!N292*1000</f>
        <v>267.43652006170635</v>
      </c>
      <c r="AF292" s="41">
        <f>M292/'1. Väestöennuste'!O292*1000</f>
        <v>-295.04884294965291</v>
      </c>
      <c r="AG292" s="41">
        <f>N292/'1. Väestöennuste'!P292*1000</f>
        <v>-412.43999296018097</v>
      </c>
      <c r="AH292" s="41">
        <f>O292/'1. Väestöennuste'!Q292*1000</f>
        <v>-550.93306811599086</v>
      </c>
      <c r="AI292" s="41">
        <f>P292/'1. Väestöennuste'!R292*1000</f>
        <v>-459.13173763069909</v>
      </c>
    </row>
    <row r="293" spans="1:35" x14ac:dyDescent="0.2">
      <c r="A293" s="34">
        <v>922</v>
      </c>
      <c r="B293" s="88" t="s">
        <v>607</v>
      </c>
      <c r="C293" s="41" t="e">
        <f>Vuosikate!C293+'7. Nettoinvestoinnit '!C293+'8. Satunnaiset erät'!C293+'9. Tulorahkorjauserät'!C293</f>
        <v>#REF!</v>
      </c>
      <c r="D293" s="41">
        <f>Vuosikate!D293+'7. Nettoinvestoinnit '!D293+'8. Satunnaiset erät'!D293+'9. Tulorahkorjauserät'!D293</f>
        <v>1404</v>
      </c>
      <c r="E293" s="41">
        <f>Vuosikate!E293+'7. Nettoinvestoinnit '!E293+'8. Satunnaiset erät'!E293+'9. Tulorahkorjauserät'!E293</f>
        <v>666</v>
      </c>
      <c r="F293" s="41">
        <f>Vuosikate!F293+'7. Nettoinvestoinnit '!F293+'8. Satunnaiset erät'!F293+'9. Tulorahkorjauserät'!F293</f>
        <v>-1408</v>
      </c>
      <c r="G293" s="41">
        <f>Vuosikate!G293+'7. Nettoinvestoinnit '!G293+'8. Satunnaiset erät'!G293+'9. Tulorahkorjauserät'!G293</f>
        <v>795</v>
      </c>
      <c r="H293" s="41">
        <f>Vuosikate!H293+'7. Nettoinvestoinnit '!H293+'8. Satunnaiset erät'!H293+'9. Tulorahkorjauserät'!H293</f>
        <v>1751.5798445422242</v>
      </c>
      <c r="I293" s="41">
        <f>Vuosikate!I293+'7. Nettoinvestoinnit '!I293+'8. Satunnaiset erät'!I293+'9. Tulorahkorjauserät'!I293</f>
        <v>1987.30470826802</v>
      </c>
      <c r="J293" s="41">
        <f>Vuosikate!J293+'7. Nettoinvestoinnit '!J293+'8. Satunnaiset erät'!J293+'9. Tulorahkorjauserät'!J293</f>
        <v>275.12011389163922</v>
      </c>
      <c r="K293" s="41">
        <f>Vuosikate!K293+'7. Nettoinvestoinnit '!K293+'8. Satunnaiset erät'!K293+'9. Tulorahkorjauserät'!K293</f>
        <v>-2464.0464210156752</v>
      </c>
      <c r="L293" s="41">
        <f>Vuosikate!L293+'7. Nettoinvestoinnit '!L293+'8. Satunnaiset erät'!L293+'9. Tulorahkorjauserät'!L293</f>
        <v>-1604.350986659053</v>
      </c>
      <c r="M293" s="41">
        <f>Vuosikate!M293+'7. Nettoinvestoinnit '!M293+'8. Satunnaiset erät'!M293+'9. Tulorahkorjauserät'!M293</f>
        <v>-1814.0202583504722</v>
      </c>
      <c r="N293" s="41">
        <f>Vuosikate!N293+'7. Nettoinvestoinnit '!N293+'8. Satunnaiset erät'!N293+'9. Tulorahkorjauserät'!N293</f>
        <v>-3122.5933689192198</v>
      </c>
      <c r="O293" s="41">
        <f>Vuosikate!O293+'7. Nettoinvestoinnit '!O293+'8. Satunnaiset erät'!O293+'9. Tulorahkorjauserät'!O293</f>
        <v>-3283.2254332246061</v>
      </c>
      <c r="P293" s="41">
        <f>Vuosikate!P293+'7. Nettoinvestoinnit '!P293+'8. Satunnaiset erät'!P293+'9. Tulorahkorjauserät'!P293</f>
        <v>-3351.2266115694847</v>
      </c>
      <c r="T293" s="34">
        <v>922</v>
      </c>
      <c r="U293" s="88" t="s">
        <v>607</v>
      </c>
      <c r="V293" s="41" t="e">
        <f>C293/'1. Väestöennuste'!E293*1000</f>
        <v>#REF!</v>
      </c>
      <c r="W293" s="41">
        <f>D293/'1. Väestöennuste'!F293*1000</f>
        <v>314.65710443747196</v>
      </c>
      <c r="X293" s="41">
        <f>E293/'1. Väestöennuste'!G293*1000</f>
        <v>149.32735426008969</v>
      </c>
      <c r="Y293" s="41">
        <f>F293/'1. Väestöennuste'!H293*1000</f>
        <v>-320.50990211700429</v>
      </c>
      <c r="Z293" s="41">
        <f>G293/'1. Väestöennuste'!I293*1000</f>
        <v>182.54879448909301</v>
      </c>
      <c r="AA293" s="41">
        <f>H293/'1. Väestöennuste'!J293*1000</f>
        <v>401.09453733506393</v>
      </c>
      <c r="AB293" s="41">
        <f>I293/'1. Väestöennuste'!K293*1000</f>
        <v>447.18827818812332</v>
      </c>
      <c r="AC293" s="41">
        <f>J293/'1. Väestöennuste'!L293*1000</f>
        <v>61.12421992704715</v>
      </c>
      <c r="AD293" s="41">
        <f>K293/'1. Väestöennuste'!M293*1000</f>
        <v>-551.36415775691989</v>
      </c>
      <c r="AE293" s="41">
        <f>L293/'1. Väestöennuste'!N293*1000</f>
        <v>-373.01813221554357</v>
      </c>
      <c r="AF293" s="41">
        <f>M293/'1. Väestöennuste'!O293*1000</f>
        <v>-422.84854507004019</v>
      </c>
      <c r="AG293" s="41">
        <f>N293/'1. Väestöennuste'!P293*1000</f>
        <v>-728.89667808571892</v>
      </c>
      <c r="AH293" s="41">
        <f>O293/'1. Väestöennuste'!Q293*1000</f>
        <v>-767.46737569532627</v>
      </c>
      <c r="AI293" s="41">
        <f>P293/'1. Väestöennuste'!R293*1000</f>
        <v>-784.46315813892431</v>
      </c>
    </row>
    <row r="294" spans="1:35" x14ac:dyDescent="0.2">
      <c r="A294" s="34">
        <v>924</v>
      </c>
      <c r="B294" s="88" t="s">
        <v>608</v>
      </c>
      <c r="C294" s="41" t="e">
        <f>Vuosikate!C294+'7. Nettoinvestoinnit '!C294+'8. Satunnaiset erät'!C294+'9. Tulorahkorjauserät'!C294</f>
        <v>#REF!</v>
      </c>
      <c r="D294" s="41">
        <f>Vuosikate!D294+'7. Nettoinvestoinnit '!D294+'8. Satunnaiset erät'!D294+'9. Tulorahkorjauserät'!D294</f>
        <v>-610</v>
      </c>
      <c r="E294" s="41">
        <f>Vuosikate!E294+'7. Nettoinvestoinnit '!E294+'8. Satunnaiset erät'!E294+'9. Tulorahkorjauserät'!E294</f>
        <v>-48</v>
      </c>
      <c r="F294" s="41">
        <f>Vuosikate!F294+'7. Nettoinvestoinnit '!F294+'8. Satunnaiset erät'!F294+'9. Tulorahkorjauserät'!F294</f>
        <v>720</v>
      </c>
      <c r="G294" s="41">
        <f>Vuosikate!G294+'7. Nettoinvestoinnit '!G294+'8. Satunnaiset erät'!G294+'9. Tulorahkorjauserät'!G294</f>
        <v>-435</v>
      </c>
      <c r="H294" s="41">
        <f>Vuosikate!H294+'7. Nettoinvestoinnit '!H294+'8. Satunnaiset erät'!H294+'9. Tulorahkorjauserät'!H294</f>
        <v>-72.413957060145549</v>
      </c>
      <c r="I294" s="41">
        <f>Vuosikate!I294+'7. Nettoinvestoinnit '!I294+'8. Satunnaiset erät'!I294+'9. Tulorahkorjauserät'!I294</f>
        <v>1204.636332783218</v>
      </c>
      <c r="J294" s="41">
        <f>Vuosikate!J294+'7. Nettoinvestoinnit '!J294+'8. Satunnaiset erät'!J294+'9. Tulorahkorjauserät'!J294</f>
        <v>1560.6028977651251</v>
      </c>
      <c r="K294" s="41">
        <f>Vuosikate!K294+'7. Nettoinvestoinnit '!K294+'8. Satunnaiset erät'!K294+'9. Tulorahkorjauserät'!K294</f>
        <v>-1286.4228973555319</v>
      </c>
      <c r="L294" s="41">
        <f>Vuosikate!L294+'7. Nettoinvestoinnit '!L294+'8. Satunnaiset erät'!L294+'9. Tulorahkorjauserät'!L294</f>
        <v>-1175.886835981913</v>
      </c>
      <c r="M294" s="41">
        <f>Vuosikate!M294+'7. Nettoinvestoinnit '!M294+'8. Satunnaiset erät'!M294+'9. Tulorahkorjauserät'!M294</f>
        <v>-1602.7007146239137</v>
      </c>
      <c r="N294" s="41">
        <f>Vuosikate!N294+'7. Nettoinvestoinnit '!N294+'8. Satunnaiset erät'!N294+'9. Tulorahkorjauserät'!N294</f>
        <v>-1595.0687591054061</v>
      </c>
      <c r="O294" s="41">
        <f>Vuosikate!O294+'7. Nettoinvestoinnit '!O294+'8. Satunnaiset erät'!O294+'9. Tulorahkorjauserät'!O294</f>
        <v>-2006.6388487908507</v>
      </c>
      <c r="P294" s="41">
        <f>Vuosikate!P294+'7. Nettoinvestoinnit '!P294+'8. Satunnaiset erät'!P294+'9. Tulorahkorjauserät'!P294</f>
        <v>-1866.2220968918416</v>
      </c>
      <c r="T294" s="34">
        <v>924</v>
      </c>
      <c r="U294" s="88" t="s">
        <v>608</v>
      </c>
      <c r="V294" s="41" t="e">
        <f>C294/'1. Väestöennuste'!E294*1000</f>
        <v>#REF!</v>
      </c>
      <c r="W294" s="41">
        <f>D294/'1. Väestöennuste'!F294*1000</f>
        <v>-187.17397974838906</v>
      </c>
      <c r="X294" s="41">
        <f>E294/'1. Väestöennuste'!G294*1000</f>
        <v>-14.925373134328359</v>
      </c>
      <c r="Y294" s="41">
        <f>F294/'1. Väestöennuste'!H294*1000</f>
        <v>227.41629816803538</v>
      </c>
      <c r="Z294" s="41">
        <f>G294/'1. Väestöennuste'!I294*1000</f>
        <v>-139.6917148362235</v>
      </c>
      <c r="AA294" s="41">
        <f>H294/'1. Väestöennuste'!J294*1000</f>
        <v>-23.626087132184516</v>
      </c>
      <c r="AB294" s="41">
        <f>I294/'1. Väestöennuste'!K294*1000</f>
        <v>401.01076324341477</v>
      </c>
      <c r="AC294" s="41">
        <f>J294/'1. Väestöennuste'!L294*1000</f>
        <v>529.73621784288025</v>
      </c>
      <c r="AD294" s="41">
        <f>K294/'1. Väestöennuste'!M294*1000</f>
        <v>-438.15493779139371</v>
      </c>
      <c r="AE294" s="41">
        <f>L294/'1. Väestöennuste'!N294*1000</f>
        <v>-407.30406511323622</v>
      </c>
      <c r="AF294" s="41">
        <f>M294/'1. Väestöennuste'!O294*1000</f>
        <v>-563.73574204147508</v>
      </c>
      <c r="AG294" s="41">
        <f>N294/'1. Väestöennuste'!P294*1000</f>
        <v>-569.46403395408993</v>
      </c>
      <c r="AH294" s="41">
        <f>O294/'1. Väestöennuste'!Q294*1000</f>
        <v>-727.57028600103354</v>
      </c>
      <c r="AI294" s="41">
        <f>P294/'1. Väestöennuste'!R294*1000</f>
        <v>-687.1215378835941</v>
      </c>
    </row>
    <row r="295" spans="1:35" x14ac:dyDescent="0.2">
      <c r="A295" s="34">
        <v>925</v>
      </c>
      <c r="B295" s="88" t="s">
        <v>609</v>
      </c>
      <c r="C295" s="41" t="e">
        <f>Vuosikate!C295+'7. Nettoinvestoinnit '!C295+'8. Satunnaiset erät'!C295+'9. Tulorahkorjauserät'!C295</f>
        <v>#REF!</v>
      </c>
      <c r="D295" s="41">
        <f>Vuosikate!D295+'7. Nettoinvestoinnit '!D295+'8. Satunnaiset erät'!D295+'9. Tulorahkorjauserät'!D295</f>
        <v>-1468</v>
      </c>
      <c r="E295" s="41">
        <f>Vuosikate!E295+'7. Nettoinvestoinnit '!E295+'8. Satunnaiset erät'!E295+'9. Tulorahkorjauserät'!E295</f>
        <v>2070</v>
      </c>
      <c r="F295" s="41">
        <f>Vuosikate!F295+'7. Nettoinvestoinnit '!F295+'8. Satunnaiset erät'!F295+'9. Tulorahkorjauserät'!F295</f>
        <v>1731</v>
      </c>
      <c r="G295" s="41">
        <f>Vuosikate!G295+'7. Nettoinvestoinnit '!G295+'8. Satunnaiset erät'!G295+'9. Tulorahkorjauserät'!G295</f>
        <v>3635</v>
      </c>
      <c r="H295" s="41">
        <f>Vuosikate!H295+'7. Nettoinvestoinnit '!H295+'8. Satunnaiset erät'!H295+'9. Tulorahkorjauserät'!H295</f>
        <v>3402.768188670967</v>
      </c>
      <c r="I295" s="41">
        <f>Vuosikate!I295+'7. Nettoinvestoinnit '!I295+'8. Satunnaiset erät'!I295+'9. Tulorahkorjauserät'!I295</f>
        <v>3200.5539966144293</v>
      </c>
      <c r="J295" s="41">
        <f>Vuosikate!J295+'7. Nettoinvestoinnit '!J295+'8. Satunnaiset erät'!J295+'9. Tulorahkorjauserät'!J295</f>
        <v>2988.0691465471755</v>
      </c>
      <c r="K295" s="41">
        <f>Vuosikate!K295+'7. Nettoinvestoinnit '!K295+'8. Satunnaiset erät'!K295+'9. Tulorahkorjauserät'!K295</f>
        <v>3924.478855429651</v>
      </c>
      <c r="L295" s="41">
        <f>Vuosikate!L295+'7. Nettoinvestoinnit '!L295+'8. Satunnaiset erät'!L295+'9. Tulorahkorjauserät'!L295</f>
        <v>-478.10944484068932</v>
      </c>
      <c r="M295" s="41">
        <f>Vuosikate!M295+'7. Nettoinvestoinnit '!M295+'8. Satunnaiset erät'!M295+'9. Tulorahkorjauserät'!M295</f>
        <v>-906.04489709707786</v>
      </c>
      <c r="N295" s="41">
        <f>Vuosikate!N295+'7. Nettoinvestoinnit '!N295+'8. Satunnaiset erät'!N295+'9. Tulorahkorjauserät'!N295</f>
        <v>-940.35671850227345</v>
      </c>
      <c r="O295" s="41">
        <f>Vuosikate!O295+'7. Nettoinvestoinnit '!O295+'8. Satunnaiset erät'!O295+'9. Tulorahkorjauserät'!O295</f>
        <v>-1049.2376832187972</v>
      </c>
      <c r="P295" s="41">
        <f>Vuosikate!P295+'7. Nettoinvestoinnit '!P295+'8. Satunnaiset erät'!P295+'9. Tulorahkorjauserät'!P295</f>
        <v>-898.55680917976815</v>
      </c>
      <c r="T295" s="34">
        <v>925</v>
      </c>
      <c r="U295" s="88" t="s">
        <v>609</v>
      </c>
      <c r="V295" s="41" t="e">
        <f>C295/'1. Väestöennuste'!E295*1000</f>
        <v>#REF!</v>
      </c>
      <c r="W295" s="41">
        <f>D295/'1. Väestöennuste'!F295*1000</f>
        <v>-394.51760279494755</v>
      </c>
      <c r="X295" s="41">
        <f>E295/'1. Väestöennuste'!G295*1000</f>
        <v>561.73677069199459</v>
      </c>
      <c r="Y295" s="41">
        <f>F295/'1. Väestöennuste'!H295*1000</f>
        <v>470.89227421109905</v>
      </c>
      <c r="Z295" s="41">
        <f>G295/'1. Väestöennuste'!I295*1000</f>
        <v>1015.6468287231071</v>
      </c>
      <c r="AA295" s="41">
        <f>H295/'1. Väestöennuste'!J295*1000</f>
        <v>966.14656123536827</v>
      </c>
      <c r="AB295" s="41">
        <f>I295/'1. Väestöennuste'!K295*1000</f>
        <v>917.0641824110113</v>
      </c>
      <c r="AC295" s="41">
        <f>J295/'1. Väestöennuste'!L295*1000</f>
        <v>871.91979765018243</v>
      </c>
      <c r="AD295" s="41">
        <f>K295/'1. Väestöennuste'!M295*1000</f>
        <v>1158.6887674725867</v>
      </c>
      <c r="AE295" s="41">
        <f>L295/'1. Väestöennuste'!N295*1000</f>
        <v>-142.88985201455151</v>
      </c>
      <c r="AF295" s="41">
        <f>M295/'1. Väestöennuste'!O295*1000</f>
        <v>-273.81229891117493</v>
      </c>
      <c r="AG295" s="41">
        <f>N295/'1. Väestöennuste'!P295*1000</f>
        <v>-287.48294665309493</v>
      </c>
      <c r="AH295" s="41">
        <f>O295/'1. Väestöennuste'!Q295*1000</f>
        <v>-324.23908628516602</v>
      </c>
      <c r="AI295" s="41">
        <f>P295/'1. Väestöennuste'!R295*1000</f>
        <v>-280.71128059349212</v>
      </c>
    </row>
    <row r="296" spans="1:35" x14ac:dyDescent="0.2">
      <c r="A296" s="34">
        <v>927</v>
      </c>
      <c r="B296" s="88" t="s">
        <v>610</v>
      </c>
      <c r="C296" s="41" t="e">
        <f>Vuosikate!C296+'7. Nettoinvestoinnit '!C296+'8. Satunnaiset erät'!C296+'9. Tulorahkorjauserät'!C296</f>
        <v>#REF!</v>
      </c>
      <c r="D296" s="41">
        <f>Vuosikate!D296+'7. Nettoinvestoinnit '!D296+'8. Satunnaiset erät'!D296+'9. Tulorahkorjauserät'!D296</f>
        <v>1501</v>
      </c>
      <c r="E296" s="41">
        <f>Vuosikate!E296+'7. Nettoinvestoinnit '!E296+'8. Satunnaiset erät'!E296+'9. Tulorahkorjauserät'!E296</f>
        <v>5964</v>
      </c>
      <c r="F296" s="41">
        <f>Vuosikate!F296+'7. Nettoinvestoinnit '!F296+'8. Satunnaiset erät'!F296+'9. Tulorahkorjauserät'!F296</f>
        <v>-15586</v>
      </c>
      <c r="G296" s="41">
        <f>Vuosikate!G296+'7. Nettoinvestoinnit '!G296+'8. Satunnaiset erät'!G296+'9. Tulorahkorjauserät'!G296</f>
        <v>-17349</v>
      </c>
      <c r="H296" s="41">
        <f>Vuosikate!H296+'7. Nettoinvestoinnit '!H296+'8. Satunnaiset erät'!H296+'9. Tulorahkorjauserät'!H296</f>
        <v>11566.91744226234</v>
      </c>
      <c r="I296" s="41">
        <f>Vuosikate!I296+'7. Nettoinvestoinnit '!I296+'8. Satunnaiset erät'!I296+'9. Tulorahkorjauserät'!I296</f>
        <v>4176.0332186341839</v>
      </c>
      <c r="J296" s="41">
        <f>Vuosikate!J296+'7. Nettoinvestoinnit '!J296+'8. Satunnaiset erät'!J296+'9. Tulorahkorjauserät'!J296</f>
        <v>-1835.3136048184881</v>
      </c>
      <c r="K296" s="41">
        <f>Vuosikate!K296+'7. Nettoinvestoinnit '!K296+'8. Satunnaiset erät'!K296+'9. Tulorahkorjauserät'!K296</f>
        <v>21045.744967866358</v>
      </c>
      <c r="L296" s="41">
        <f>Vuosikate!L296+'7. Nettoinvestoinnit '!L296+'8. Satunnaiset erät'!L296+'9. Tulorahkorjauserät'!L296</f>
        <v>-754.6575274145016</v>
      </c>
      <c r="M296" s="41">
        <f>Vuosikate!M296+'7. Nettoinvestoinnit '!M296+'8. Satunnaiset erät'!M296+'9. Tulorahkorjauserät'!M296</f>
        <v>9681.9646309960699</v>
      </c>
      <c r="N296" s="41">
        <f>Vuosikate!N296+'7. Nettoinvestoinnit '!N296+'8. Satunnaiset erät'!N296+'9. Tulorahkorjauserät'!N296</f>
        <v>8629.0223569319387</v>
      </c>
      <c r="O296" s="41">
        <f>Vuosikate!O296+'7. Nettoinvestoinnit '!O296+'8. Satunnaiset erät'!O296+'9. Tulorahkorjauserät'!O296</f>
        <v>9007.9971593402188</v>
      </c>
      <c r="P296" s="41">
        <f>Vuosikate!P296+'7. Nettoinvestoinnit '!P296+'8. Satunnaiset erät'!P296+'9. Tulorahkorjauserät'!P296</f>
        <v>9856.8783435995283</v>
      </c>
      <c r="T296" s="34">
        <v>927</v>
      </c>
      <c r="U296" s="88" t="s">
        <v>610</v>
      </c>
      <c r="V296" s="41" t="e">
        <f>C296/'1. Väestöennuste'!E296*1000</f>
        <v>#REF!</v>
      </c>
      <c r="W296" s="41">
        <f>D296/'1. Väestöennuste'!F296*1000</f>
        <v>51.817585528359857</v>
      </c>
      <c r="X296" s="41">
        <f>E296/'1. Väestöennuste'!G296*1000</f>
        <v>205.27294004267915</v>
      </c>
      <c r="Y296" s="41">
        <f>F296/'1. Väestöennuste'!H296*1000</f>
        <v>-533.56612235116904</v>
      </c>
      <c r="Z296" s="41">
        <f>G296/'1. Väestöennuste'!I296*1000</f>
        <v>-594.99965704094927</v>
      </c>
      <c r="AA296" s="41">
        <f>H296/'1. Väestöennuste'!J296*1000</f>
        <v>396.67069417909261</v>
      </c>
      <c r="AB296" s="41">
        <f>I296/'1. Väestöennuste'!K296*1000</f>
        <v>142.82407806813447</v>
      </c>
      <c r="AC296" s="41">
        <f>J296/'1. Väestöennuste'!L296*1000</f>
        <v>-63.477107350274551</v>
      </c>
      <c r="AD296" s="41">
        <f>K296/'1. Väestöennuste'!M296*1000</f>
        <v>730.47603234411702</v>
      </c>
      <c r="AE296" s="41">
        <f>L296/'1. Väestöennuste'!N296*1000</f>
        <v>-25.729885012427602</v>
      </c>
      <c r="AF296" s="41">
        <f>M296/'1. Väestöennuste'!O296*1000</f>
        <v>329.55392052132714</v>
      </c>
      <c r="AG296" s="41">
        <f>N296/'1. Väestöennuste'!P296*1000</f>
        <v>293.28469706110866</v>
      </c>
      <c r="AH296" s="41">
        <f>O296/'1. Väestöennuste'!Q296*1000</f>
        <v>305.74968295907337</v>
      </c>
      <c r="AI296" s="41">
        <f>P296/'1. Väestöennuste'!R296*1000</f>
        <v>334.18811132732765</v>
      </c>
    </row>
    <row r="297" spans="1:35" x14ac:dyDescent="0.2">
      <c r="A297" s="34">
        <v>931</v>
      </c>
      <c r="B297" s="88" t="s">
        <v>611</v>
      </c>
      <c r="C297" s="41" t="e">
        <f>Vuosikate!C297+'7. Nettoinvestoinnit '!C297+'8. Satunnaiset erät'!C297+'9. Tulorahkorjauserät'!C297</f>
        <v>#REF!</v>
      </c>
      <c r="D297" s="41">
        <f>Vuosikate!D297+'7. Nettoinvestoinnit '!D297+'8. Satunnaiset erät'!D297+'9. Tulorahkorjauserät'!D297</f>
        <v>1944</v>
      </c>
      <c r="E297" s="41">
        <f>Vuosikate!E297+'7. Nettoinvestoinnit '!E297+'8. Satunnaiset erät'!E297+'9. Tulorahkorjauserät'!E297</f>
        <v>2111</v>
      </c>
      <c r="F297" s="41">
        <f>Vuosikate!F297+'7. Nettoinvestoinnit '!F297+'8. Satunnaiset erät'!F297+'9. Tulorahkorjauserät'!F297</f>
        <v>16697</v>
      </c>
      <c r="G297" s="41">
        <f>Vuosikate!G297+'7. Nettoinvestoinnit '!G297+'8. Satunnaiset erät'!G297+'9. Tulorahkorjauserät'!G297</f>
        <v>-517</v>
      </c>
      <c r="H297" s="41">
        <f>Vuosikate!H297+'7. Nettoinvestoinnit '!H297+'8. Satunnaiset erät'!H297+'9. Tulorahkorjauserät'!H297</f>
        <v>-420.01099534512468</v>
      </c>
      <c r="I297" s="41">
        <f>Vuosikate!I297+'7. Nettoinvestoinnit '!I297+'8. Satunnaiset erät'!I297+'9. Tulorahkorjauserät'!I297</f>
        <v>1693.233542249098</v>
      </c>
      <c r="J297" s="41">
        <f>Vuosikate!J297+'7. Nettoinvestoinnit '!J297+'8. Satunnaiset erät'!J297+'9. Tulorahkorjauserät'!J297</f>
        <v>-717.93520032421497</v>
      </c>
      <c r="K297" s="41">
        <f>Vuosikate!K297+'7. Nettoinvestoinnit '!K297+'8. Satunnaiset erät'!K297+'9. Tulorahkorjauserät'!K297</f>
        <v>3208.4073810929863</v>
      </c>
      <c r="L297" s="41">
        <f>Vuosikate!L297+'7. Nettoinvestoinnit '!L297+'8. Satunnaiset erät'!L297+'9. Tulorahkorjauserät'!L297</f>
        <v>862.03600477067721</v>
      </c>
      <c r="M297" s="41">
        <f>Vuosikate!M297+'7. Nettoinvestoinnit '!M297+'8. Satunnaiset erät'!M297+'9. Tulorahkorjauserät'!M297</f>
        <v>890.20391815982521</v>
      </c>
      <c r="N297" s="41">
        <f>Vuosikate!N297+'7. Nettoinvestoinnit '!N297+'8. Satunnaiset erät'!N297+'9. Tulorahkorjauserät'!N297</f>
        <v>1023.0627311555636</v>
      </c>
      <c r="O297" s="41">
        <f>Vuosikate!O297+'7. Nettoinvestoinnit '!O297+'8. Satunnaiset erät'!O297+'9. Tulorahkorjauserät'!O297</f>
        <v>757.57156450530147</v>
      </c>
      <c r="P297" s="41">
        <f>Vuosikate!P297+'7. Nettoinvestoinnit '!P297+'8. Satunnaiset erät'!P297+'9. Tulorahkorjauserät'!P297</f>
        <v>1443.7534773238658</v>
      </c>
      <c r="T297" s="34">
        <v>931</v>
      </c>
      <c r="U297" s="88" t="s">
        <v>611</v>
      </c>
      <c r="V297" s="41" t="e">
        <f>C297/'1. Väestöennuste'!E297*1000</f>
        <v>#REF!</v>
      </c>
      <c r="W297" s="41">
        <f>D297/'1. Väestöennuste'!F297*1000</f>
        <v>294.23338883002873</v>
      </c>
      <c r="X297" s="41">
        <f>E297/'1. Väestöennuste'!G297*1000</f>
        <v>329.27780377476211</v>
      </c>
      <c r="Y297" s="41">
        <f>F297/'1. Väestöennuste'!H297*1000</f>
        <v>2665.5491698595147</v>
      </c>
      <c r="Z297" s="41">
        <f>G297/'1. Väestöennuste'!I297*1000</f>
        <v>-83.711139896373069</v>
      </c>
      <c r="AA297" s="41">
        <f>H297/'1. Väestöennuste'!J297*1000</f>
        <v>-68.888140945567443</v>
      </c>
      <c r="AB297" s="41">
        <f>I297/'1. Väestöennuste'!K297*1000</f>
        <v>278.95116017283328</v>
      </c>
      <c r="AC297" s="41">
        <f>J297/'1. Väestöennuste'!L297*1000</f>
        <v>-120.64110239022264</v>
      </c>
      <c r="AD297" s="41">
        <f>K297/'1. Väestöennuste'!M297*1000</f>
        <v>545.92604748902261</v>
      </c>
      <c r="AE297" s="41">
        <f>L297/'1. Väestöennuste'!N297*1000</f>
        <v>151.66009936148438</v>
      </c>
      <c r="AF297" s="41">
        <f>M297/'1. Väestöennuste'!O297*1000</f>
        <v>159.05019084506435</v>
      </c>
      <c r="AG297" s="41">
        <f>N297/'1. Väestöennuste'!P297*1000</f>
        <v>185.53912425744716</v>
      </c>
      <c r="AH297" s="41">
        <f>O297/'1. Väestöennuste'!Q297*1000</f>
        <v>139.41324337602163</v>
      </c>
      <c r="AI297" s="41">
        <f>P297/'1. Väestöennuste'!R297*1000</f>
        <v>269.35699203803466</v>
      </c>
    </row>
    <row r="298" spans="1:35" x14ac:dyDescent="0.2">
      <c r="A298" s="34">
        <v>934</v>
      </c>
      <c r="B298" s="88" t="s">
        <v>612</v>
      </c>
      <c r="C298" s="41" t="e">
        <f>Vuosikate!C298+'7. Nettoinvestoinnit '!C298+'8. Satunnaiset erät'!C298+'9. Tulorahkorjauserät'!C298</f>
        <v>#REF!</v>
      </c>
      <c r="D298" s="41">
        <f>Vuosikate!D298+'7. Nettoinvestoinnit '!D298+'8. Satunnaiset erät'!D298+'9. Tulorahkorjauserät'!D298</f>
        <v>1875</v>
      </c>
      <c r="E298" s="41">
        <f>Vuosikate!E298+'7. Nettoinvestoinnit '!E298+'8. Satunnaiset erät'!E298+'9. Tulorahkorjauserät'!E298</f>
        <v>1186</v>
      </c>
      <c r="F298" s="41">
        <f>Vuosikate!F298+'7. Nettoinvestoinnit '!F298+'8. Satunnaiset erät'!F298+'9. Tulorahkorjauserät'!F298</f>
        <v>-898</v>
      </c>
      <c r="G298" s="41">
        <f>Vuosikate!G298+'7. Nettoinvestoinnit '!G298+'8. Satunnaiset erät'!G298+'9. Tulorahkorjauserät'!G298</f>
        <v>-1627</v>
      </c>
      <c r="H298" s="41">
        <f>Vuosikate!H298+'7. Nettoinvestoinnit '!H298+'8. Satunnaiset erät'!H298+'9. Tulorahkorjauserät'!H298</f>
        <v>84.103330877127519</v>
      </c>
      <c r="I298" s="41">
        <f>Vuosikate!I298+'7. Nettoinvestoinnit '!I298+'8. Satunnaiset erät'!I298+'9. Tulorahkorjauserät'!I298</f>
        <v>701.65930386253171</v>
      </c>
      <c r="J298" s="41">
        <f>Vuosikate!J298+'7. Nettoinvestoinnit '!J298+'8. Satunnaiset erät'!J298+'9. Tulorahkorjauserät'!J298</f>
        <v>-86.343734401041957</v>
      </c>
      <c r="K298" s="41">
        <f>Vuosikate!K298+'7. Nettoinvestoinnit '!K298+'8. Satunnaiset erät'!K298+'9. Tulorahkorjauserät'!K298</f>
        <v>84.242252795259958</v>
      </c>
      <c r="L298" s="41">
        <f>Vuosikate!L298+'7. Nettoinvestoinnit '!L298+'8. Satunnaiset erät'!L298+'9. Tulorahkorjauserät'!L298</f>
        <v>-1928.0026793200964</v>
      </c>
      <c r="M298" s="41">
        <f>Vuosikate!M298+'7. Nettoinvestoinnit '!M298+'8. Satunnaiset erät'!M298+'9. Tulorahkorjauserät'!M298</f>
        <v>-2568.6135618074486</v>
      </c>
      <c r="N298" s="41">
        <f>Vuosikate!N298+'7. Nettoinvestoinnit '!N298+'8. Satunnaiset erät'!N298+'9. Tulorahkorjauserät'!N298</f>
        <v>-2888.6328365293525</v>
      </c>
      <c r="O298" s="41">
        <f>Vuosikate!O298+'7. Nettoinvestoinnit '!O298+'8. Satunnaiset erät'!O298+'9. Tulorahkorjauserät'!O298</f>
        <v>-3150.9187449218834</v>
      </c>
      <c r="P298" s="41">
        <f>Vuosikate!P298+'7. Nettoinvestoinnit '!P298+'8. Satunnaiset erät'!P298+'9. Tulorahkorjauserät'!P298</f>
        <v>-3041.8894284762359</v>
      </c>
      <c r="T298" s="34">
        <v>934</v>
      </c>
      <c r="U298" s="88" t="s">
        <v>612</v>
      </c>
      <c r="V298" s="41" t="e">
        <f>C298/'1. Väestöennuste'!E298*1000</f>
        <v>#REF!</v>
      </c>
      <c r="W298" s="41">
        <f>D298/'1. Väestöennuste'!F298*1000</f>
        <v>619.83471074380168</v>
      </c>
      <c r="X298" s="41">
        <f>E298/'1. Väestöennuste'!G298*1000</f>
        <v>398.78950907868193</v>
      </c>
      <c r="Y298" s="41">
        <f>F298/'1. Väestöennuste'!H298*1000</f>
        <v>-309.54843157531889</v>
      </c>
      <c r="Z298" s="41">
        <f>G298/'1. Väestöennuste'!I298*1000</f>
        <v>-575.52175451008134</v>
      </c>
      <c r="AA298" s="41">
        <f>H298/'1. Väestöennuste'!J298*1000</f>
        <v>30.209529769083161</v>
      </c>
      <c r="AB298" s="41">
        <f>I298/'1. Väestöennuste'!K298*1000</f>
        <v>254.593361343444</v>
      </c>
      <c r="AC298" s="41">
        <f>J298/'1. Väestöennuste'!L298*1000</f>
        <v>-32.326370049061012</v>
      </c>
      <c r="AD298" s="41">
        <f>K298/'1. Väestöennuste'!M298*1000</f>
        <v>31.717715660865945</v>
      </c>
      <c r="AE298" s="41">
        <f>L298/'1. Väestöennuste'!N298*1000</f>
        <v>-754.5998744892745</v>
      </c>
      <c r="AF298" s="41">
        <f>M298/'1. Väestöennuste'!O298*1000</f>
        <v>-1026.6241254226413</v>
      </c>
      <c r="AG298" s="41">
        <f>N298/'1. Väestöennuste'!P298*1000</f>
        <v>-1177.1119953257346</v>
      </c>
      <c r="AH298" s="41">
        <f>O298/'1. Väestöennuste'!Q298*1000</f>
        <v>-1307.9778932843021</v>
      </c>
      <c r="AI298" s="41">
        <f>P298/'1. Väestöennuste'!R298*1000</f>
        <v>-1284.5816843227346</v>
      </c>
    </row>
    <row r="299" spans="1:35" x14ac:dyDescent="0.2">
      <c r="A299" s="34">
        <v>935</v>
      </c>
      <c r="B299" s="88" t="s">
        <v>613</v>
      </c>
      <c r="C299" s="41" t="e">
        <f>Vuosikate!C299+'7. Nettoinvestoinnit '!C299+'8. Satunnaiset erät'!C299+'9. Tulorahkorjauserät'!C299</f>
        <v>#REF!</v>
      </c>
      <c r="D299" s="41">
        <f>Vuosikate!D299+'7. Nettoinvestoinnit '!D299+'8. Satunnaiset erät'!D299+'9. Tulorahkorjauserät'!D299</f>
        <v>-650</v>
      </c>
      <c r="E299" s="41">
        <f>Vuosikate!E299+'7. Nettoinvestoinnit '!E299+'8. Satunnaiset erät'!E299+'9. Tulorahkorjauserät'!E299</f>
        <v>1472</v>
      </c>
      <c r="F299" s="41">
        <f>Vuosikate!F299+'7. Nettoinvestoinnit '!F299+'8. Satunnaiset erät'!F299+'9. Tulorahkorjauserät'!F299</f>
        <v>-3503</v>
      </c>
      <c r="G299" s="41">
        <f>Vuosikate!G299+'7. Nettoinvestoinnit '!G299+'8. Satunnaiset erät'!G299+'9. Tulorahkorjauserät'!G299</f>
        <v>648</v>
      </c>
      <c r="H299" s="41">
        <f>Vuosikate!H299+'7. Nettoinvestoinnit '!H299+'8. Satunnaiset erät'!H299+'9. Tulorahkorjauserät'!H299</f>
        <v>1789.9086757959994</v>
      </c>
      <c r="I299" s="41">
        <f>Vuosikate!I299+'7. Nettoinvestoinnit '!I299+'8. Satunnaiset erät'!I299+'9. Tulorahkorjauserät'!I299</f>
        <v>-2049.7739463353946</v>
      </c>
      <c r="J299" s="41">
        <f>Vuosikate!J299+'7. Nettoinvestoinnit '!J299+'8. Satunnaiset erät'!J299+'9. Tulorahkorjauserät'!J299</f>
        <v>-4946.1009797845445</v>
      </c>
      <c r="K299" s="41">
        <f>Vuosikate!K299+'7. Nettoinvestoinnit '!K299+'8. Satunnaiset erät'!K299+'9. Tulorahkorjauserät'!K299</f>
        <v>-480.6612917054008</v>
      </c>
      <c r="L299" s="41">
        <f>Vuosikate!L299+'7. Nettoinvestoinnit '!L299+'8. Satunnaiset erät'!L299+'9. Tulorahkorjauserät'!L299</f>
        <v>-1330.6631123134616</v>
      </c>
      <c r="M299" s="41">
        <f>Vuosikate!M299+'7. Nettoinvestoinnit '!M299+'8. Satunnaiset erät'!M299+'9. Tulorahkorjauserät'!M299</f>
        <v>-2251.7953006318812</v>
      </c>
      <c r="N299" s="41">
        <f>Vuosikate!N299+'7. Nettoinvestoinnit '!N299+'8. Satunnaiset erät'!N299+'9. Tulorahkorjauserät'!N299</f>
        <v>-2493.9073647210657</v>
      </c>
      <c r="O299" s="41">
        <f>Vuosikate!O299+'7. Nettoinvestoinnit '!O299+'8. Satunnaiset erät'!O299+'9. Tulorahkorjauserät'!O299</f>
        <v>-2772.0235356054518</v>
      </c>
      <c r="P299" s="41">
        <f>Vuosikate!P299+'7. Nettoinvestoinnit '!P299+'8. Satunnaiset erät'!P299+'9. Tulorahkorjauserät'!P299</f>
        <v>-2718.6053741645073</v>
      </c>
      <c r="T299" s="34">
        <v>935</v>
      </c>
      <c r="U299" s="88" t="s">
        <v>613</v>
      </c>
      <c r="V299" s="41" t="e">
        <f>C299/'1. Väestöennuste'!E299*1000</f>
        <v>#REF!</v>
      </c>
      <c r="W299" s="41">
        <f>D299/'1. Väestöennuste'!F299*1000</f>
        <v>-198.95928986838078</v>
      </c>
      <c r="X299" s="41">
        <f>E299/'1. Väestöennuste'!G299*1000</f>
        <v>458.99594636732149</v>
      </c>
      <c r="Y299" s="41">
        <f>F299/'1. Väestöennuste'!H299*1000</f>
        <v>-1112.063492063492</v>
      </c>
      <c r="Z299" s="41">
        <f>G299/'1. Väestöennuste'!I299*1000</f>
        <v>208.42714699260213</v>
      </c>
      <c r="AA299" s="41">
        <f>H299/'1. Väestöennuste'!J299*1000</f>
        <v>579.82140453385148</v>
      </c>
      <c r="AB299" s="41">
        <f>I299/'1. Väestöennuste'!K299*1000</f>
        <v>-674.267745505064</v>
      </c>
      <c r="AC299" s="41">
        <f>J299/'1. Väestöennuste'!L299*1000</f>
        <v>-1656.9852528591441</v>
      </c>
      <c r="AD299" s="41">
        <f>K299/'1. Väestöennuste'!M299*1000</f>
        <v>-164.21636204489266</v>
      </c>
      <c r="AE299" s="41">
        <f>L299/'1. Väestöennuste'!N299*1000</f>
        <v>-456.95848637138101</v>
      </c>
      <c r="AF299" s="41">
        <f>M299/'1. Väestöennuste'!O299*1000</f>
        <v>-782.96081384975002</v>
      </c>
      <c r="AG299" s="41">
        <f>N299/'1. Väestöennuste'!P299*1000</f>
        <v>-877.51842530649753</v>
      </c>
      <c r="AH299" s="41">
        <f>O299/'1. Väestöennuste'!Q299*1000</f>
        <v>-986.83643132981547</v>
      </c>
      <c r="AI299" s="41">
        <f>P299/'1. Väestöennuste'!R299*1000</f>
        <v>-979.3247025088283</v>
      </c>
    </row>
    <row r="300" spans="1:35" x14ac:dyDescent="0.2">
      <c r="A300" s="34">
        <v>936</v>
      </c>
      <c r="B300" s="88" t="s">
        <v>614</v>
      </c>
      <c r="C300" s="41" t="e">
        <f>Vuosikate!C300+'7. Nettoinvestoinnit '!C300+'8. Satunnaiset erät'!C300+'9. Tulorahkorjauserät'!C300</f>
        <v>#REF!</v>
      </c>
      <c r="D300" s="41">
        <f>Vuosikate!D300+'7. Nettoinvestoinnit '!D300+'8. Satunnaiset erät'!D300+'9. Tulorahkorjauserät'!D300</f>
        <v>1369</v>
      </c>
      <c r="E300" s="41">
        <f>Vuosikate!E300+'7. Nettoinvestoinnit '!E300+'8. Satunnaiset erät'!E300+'9. Tulorahkorjauserät'!E300</f>
        <v>-1100</v>
      </c>
      <c r="F300" s="41">
        <f>Vuosikate!F300+'7. Nettoinvestoinnit '!F300+'8. Satunnaiset erät'!F300+'9. Tulorahkorjauserät'!F300</f>
        <v>-3109</v>
      </c>
      <c r="G300" s="41">
        <f>Vuosikate!G300+'7. Nettoinvestoinnit '!G300+'8. Satunnaiset erät'!G300+'9. Tulorahkorjauserät'!G300</f>
        <v>-3606</v>
      </c>
      <c r="H300" s="41">
        <f>Vuosikate!H300+'7. Nettoinvestoinnit '!H300+'8. Satunnaiset erät'!H300+'9. Tulorahkorjauserät'!H300</f>
        <v>-4683.898498428498</v>
      </c>
      <c r="I300" s="41">
        <f>Vuosikate!I300+'7. Nettoinvestoinnit '!I300+'8. Satunnaiset erät'!I300+'9. Tulorahkorjauserät'!I300</f>
        <v>-2622.6757180547211</v>
      </c>
      <c r="J300" s="41">
        <f>Vuosikate!J300+'7. Nettoinvestoinnit '!J300+'8. Satunnaiset erät'!J300+'9. Tulorahkorjauserät'!J300</f>
        <v>3848.1865795533322</v>
      </c>
      <c r="K300" s="41">
        <f>Vuosikate!K300+'7. Nettoinvestoinnit '!K300+'8. Satunnaiset erät'!K300+'9. Tulorahkorjauserät'!K300</f>
        <v>3311.4866322426296</v>
      </c>
      <c r="L300" s="41">
        <f>Vuosikate!L300+'7. Nettoinvestoinnit '!L300+'8. Satunnaiset erät'!L300+'9. Tulorahkorjauserät'!L300</f>
        <v>-3092.3348974699411</v>
      </c>
      <c r="M300" s="41">
        <f>Vuosikate!M300+'7. Nettoinvestoinnit '!M300+'8. Satunnaiset erät'!M300+'9. Tulorahkorjauserät'!M300</f>
        <v>-2303.7036728128824</v>
      </c>
      <c r="N300" s="41">
        <f>Vuosikate!N300+'7. Nettoinvestoinnit '!N300+'8. Satunnaiset erät'!N300+'9. Tulorahkorjauserät'!N300</f>
        <v>-2817.8136536849142</v>
      </c>
      <c r="O300" s="41">
        <f>Vuosikate!O300+'7. Nettoinvestoinnit '!O300+'8. Satunnaiset erät'!O300+'9. Tulorahkorjauserät'!O300</f>
        <v>-3374.69093072949</v>
      </c>
      <c r="P300" s="41">
        <f>Vuosikate!P300+'7. Nettoinvestoinnit '!P300+'8. Satunnaiset erät'!P300+'9. Tulorahkorjauserät'!P300</f>
        <v>-2745.0409820574687</v>
      </c>
      <c r="T300" s="34">
        <v>936</v>
      </c>
      <c r="U300" s="88" t="s">
        <v>614</v>
      </c>
      <c r="V300" s="41" t="e">
        <f>C300/'1. Väestöennuste'!E300*1000</f>
        <v>#REF!</v>
      </c>
      <c r="W300" s="41">
        <f>D300/'1. Väestöennuste'!F300*1000</f>
        <v>197.9181726181871</v>
      </c>
      <c r="X300" s="41">
        <f>E300/'1. Väestöennuste'!G300*1000</f>
        <v>-160.72472238457041</v>
      </c>
      <c r="Y300" s="41">
        <f>F300/'1. Väestöennuste'!H300*1000</f>
        <v>-461.34441311767324</v>
      </c>
      <c r="Z300" s="41">
        <f>G300/'1. Väestöennuste'!I300*1000</f>
        <v>-551.03911980440103</v>
      </c>
      <c r="AA300" s="41">
        <f>H300/'1. Väestöennuste'!J300*1000</f>
        <v>-719.49285690145905</v>
      </c>
      <c r="AB300" s="41">
        <f>I300/'1. Väestöennuste'!K300*1000</f>
        <v>-405.6729648963219</v>
      </c>
      <c r="AC300" s="41">
        <f>J300/'1. Väestöennuste'!L300*1000</f>
        <v>601.74926967213946</v>
      </c>
      <c r="AD300" s="41">
        <f>K300/'1. Väestöennuste'!M300*1000</f>
        <v>527.72695334543891</v>
      </c>
      <c r="AE300" s="41">
        <f>L300/'1. Väestöennuste'!N300*1000</f>
        <v>-504.37692015494065</v>
      </c>
      <c r="AF300" s="41">
        <f>M300/'1. Väestöennuste'!O300*1000</f>
        <v>-380.90338505504008</v>
      </c>
      <c r="AG300" s="41">
        <f>N300/'1. Väestöennuste'!P300*1000</f>
        <v>-472.15376234666797</v>
      </c>
      <c r="AH300" s="41">
        <f>O300/'1. Väestöennuste'!Q300*1000</f>
        <v>-572.56378193578053</v>
      </c>
      <c r="AI300" s="41">
        <f>P300/'1. Väestöennuste'!R300*1000</f>
        <v>-471.57549940860139</v>
      </c>
    </row>
    <row r="301" spans="1:35" x14ac:dyDescent="0.2">
      <c r="A301" s="34">
        <v>946</v>
      </c>
      <c r="B301" s="88" t="s">
        <v>615</v>
      </c>
      <c r="C301" s="41" t="e">
        <f>Vuosikate!C301+'7. Nettoinvestoinnit '!C301+'8. Satunnaiset erät'!C301+'9. Tulorahkorjauserät'!C301</f>
        <v>#REF!</v>
      </c>
      <c r="D301" s="41">
        <f>Vuosikate!D301+'7. Nettoinvestoinnit '!D301+'8. Satunnaiset erät'!D301+'9. Tulorahkorjauserät'!D301</f>
        <v>686</v>
      </c>
      <c r="E301" s="41">
        <f>Vuosikate!E301+'7. Nettoinvestoinnit '!E301+'8. Satunnaiset erät'!E301+'9. Tulorahkorjauserät'!E301</f>
        <v>821</v>
      </c>
      <c r="F301" s="41">
        <f>Vuosikate!F301+'7. Nettoinvestoinnit '!F301+'8. Satunnaiset erät'!F301+'9. Tulorahkorjauserät'!F301</f>
        <v>-3098</v>
      </c>
      <c r="G301" s="41">
        <f>Vuosikate!G301+'7. Nettoinvestoinnit '!G301+'8. Satunnaiset erät'!G301+'9. Tulorahkorjauserät'!G301</f>
        <v>-6054</v>
      </c>
      <c r="H301" s="41">
        <f>Vuosikate!H301+'7. Nettoinvestoinnit '!H301+'8. Satunnaiset erät'!H301+'9. Tulorahkorjauserät'!H301</f>
        <v>-6305.838610593044</v>
      </c>
      <c r="I301" s="41">
        <f>Vuosikate!I301+'7. Nettoinvestoinnit '!I301+'8. Satunnaiset erät'!I301+'9. Tulorahkorjauserät'!I301</f>
        <v>331.42194256518906</v>
      </c>
      <c r="J301" s="41">
        <f>Vuosikate!J301+'7. Nettoinvestoinnit '!J301+'8. Satunnaiset erät'!J301+'9. Tulorahkorjauserät'!J301</f>
        <v>-3085.7129550799705</v>
      </c>
      <c r="K301" s="41">
        <f>Vuosikate!K301+'7. Nettoinvestoinnit '!K301+'8. Satunnaiset erät'!K301+'9. Tulorahkorjauserät'!K301</f>
        <v>-6340.898403803747</v>
      </c>
      <c r="L301" s="41">
        <f>Vuosikate!L301+'7. Nettoinvestoinnit '!L301+'8. Satunnaiset erät'!L301+'9. Tulorahkorjauserät'!L301</f>
        <v>-4779.9061660543739</v>
      </c>
      <c r="M301" s="41">
        <f>Vuosikate!M301+'7. Nettoinvestoinnit '!M301+'8. Satunnaiset erät'!M301+'9. Tulorahkorjauserät'!M301</f>
        <v>-5283.3511539158508</v>
      </c>
      <c r="N301" s="41">
        <f>Vuosikate!N301+'7. Nettoinvestoinnit '!N301+'8. Satunnaiset erät'!N301+'9. Tulorahkorjauserät'!N301</f>
        <v>-5159.3031783466113</v>
      </c>
      <c r="O301" s="41">
        <f>Vuosikate!O301+'7. Nettoinvestoinnit '!O301+'8. Satunnaiset erät'!O301+'9. Tulorahkorjauserät'!O301</f>
        <v>-5361.6603984654603</v>
      </c>
      <c r="P301" s="41">
        <f>Vuosikate!P301+'7. Nettoinvestoinnit '!P301+'8. Satunnaiset erät'!P301+'9. Tulorahkorjauserät'!P301</f>
        <v>-5061.9171598510202</v>
      </c>
      <c r="T301" s="34">
        <v>946</v>
      </c>
      <c r="U301" s="88" t="s">
        <v>615</v>
      </c>
      <c r="V301" s="41" t="e">
        <f>C301/'1. Väestöennuste'!E301*1000</f>
        <v>#REF!</v>
      </c>
      <c r="W301" s="41">
        <f>D301/'1. Väestöennuste'!F301*1000</f>
        <v>102.63315380011969</v>
      </c>
      <c r="X301" s="41">
        <f>E301/'1. Väestöennuste'!G301*1000</f>
        <v>124.09310761789601</v>
      </c>
      <c r="Y301" s="41">
        <f>F301/'1. Väestöennuste'!H301*1000</f>
        <v>-468.47119310449114</v>
      </c>
      <c r="Z301" s="41">
        <f>G301/'1. Väestöennuste'!I301*1000</f>
        <v>-937.00665531651453</v>
      </c>
      <c r="AA301" s="41">
        <f>H301/'1. Väestöennuste'!J301*1000</f>
        <v>-987.13816696822857</v>
      </c>
      <c r="AB301" s="41">
        <f>I301/'1. Väestöennuste'!K301*1000</f>
        <v>51.97960203343618</v>
      </c>
      <c r="AC301" s="41">
        <f>J301/'1. Väestöennuste'!L301*1000</f>
        <v>-490.80848657228734</v>
      </c>
      <c r="AD301" s="41">
        <f>K301/'1. Väestöennuste'!M301*1000</f>
        <v>-1007.9317125741134</v>
      </c>
      <c r="AE301" s="41">
        <f>L301/'1. Väestöennuste'!N301*1000</f>
        <v>-775.5810751345731</v>
      </c>
      <c r="AF301" s="41">
        <f>M301/'1. Väestöennuste'!O301*1000</f>
        <v>-864.98872853894079</v>
      </c>
      <c r="AG301" s="41">
        <f>N301/'1. Väestöennuste'!P301*1000</f>
        <v>-852.07319212991104</v>
      </c>
      <c r="AH301" s="41">
        <f>O301/'1. Väestöennuste'!Q301*1000</f>
        <v>-893.75902624861817</v>
      </c>
      <c r="AI301" s="41">
        <f>P301/'1. Väestöennuste'!R301*1000</f>
        <v>-852.03116644521458</v>
      </c>
    </row>
    <row r="302" spans="1:35" x14ac:dyDescent="0.2">
      <c r="A302" s="34">
        <v>976</v>
      </c>
      <c r="B302" s="88" t="s">
        <v>616</v>
      </c>
      <c r="C302" s="41" t="e">
        <f>Vuosikate!C302+'7. Nettoinvestoinnit '!C302+'8. Satunnaiset erät'!C302+'9. Tulorahkorjauserät'!C302</f>
        <v>#REF!</v>
      </c>
      <c r="D302" s="41">
        <f>Vuosikate!D302+'7. Nettoinvestoinnit '!D302+'8. Satunnaiset erät'!D302+'9. Tulorahkorjauserät'!D302</f>
        <v>-2131</v>
      </c>
      <c r="E302" s="41">
        <f>Vuosikate!E302+'7. Nettoinvestoinnit '!E302+'8. Satunnaiset erät'!E302+'9. Tulorahkorjauserät'!E302</f>
        <v>524</v>
      </c>
      <c r="F302" s="41">
        <f>Vuosikate!F302+'7. Nettoinvestoinnit '!F302+'8. Satunnaiset erät'!F302+'9. Tulorahkorjauserät'!F302</f>
        <v>-1349</v>
      </c>
      <c r="G302" s="41">
        <f>Vuosikate!G302+'7. Nettoinvestoinnit '!G302+'8. Satunnaiset erät'!G302+'9. Tulorahkorjauserät'!G302</f>
        <v>329</v>
      </c>
      <c r="H302" s="41">
        <f>Vuosikate!H302+'7. Nettoinvestoinnit '!H302+'8. Satunnaiset erät'!H302+'9. Tulorahkorjauserät'!H302</f>
        <v>-355.58505111392151</v>
      </c>
      <c r="I302" s="41">
        <f>Vuosikate!I302+'7. Nettoinvestoinnit '!I302+'8. Satunnaiset erät'!I302+'9. Tulorahkorjauserät'!I302</f>
        <v>9.9376024725265779</v>
      </c>
      <c r="J302" s="41">
        <f>Vuosikate!J302+'7. Nettoinvestoinnit '!J302+'8. Satunnaiset erät'!J302+'9. Tulorahkorjauserät'!J302</f>
        <v>-2212.679239278561</v>
      </c>
      <c r="K302" s="41">
        <f>Vuosikate!K302+'7. Nettoinvestoinnit '!K302+'8. Satunnaiset erät'!K302+'9. Tulorahkorjauserät'!K302</f>
        <v>996.88675380022255</v>
      </c>
      <c r="L302" s="41">
        <f>Vuosikate!L302+'7. Nettoinvestoinnit '!L302+'8. Satunnaiset erät'!L302+'9. Tulorahkorjauserät'!L302</f>
        <v>-682.82385600947123</v>
      </c>
      <c r="M302" s="41">
        <f>Vuosikate!M302+'7. Nettoinvestoinnit '!M302+'8. Satunnaiset erät'!M302+'9. Tulorahkorjauserät'!M302</f>
        <v>-909.31485017103137</v>
      </c>
      <c r="N302" s="41">
        <f>Vuosikate!N302+'7. Nettoinvestoinnit '!N302+'8. Satunnaiset erät'!N302+'9. Tulorahkorjauserät'!N302</f>
        <v>-1133.8928422195836</v>
      </c>
      <c r="O302" s="41">
        <f>Vuosikate!O302+'7. Nettoinvestoinnit '!O302+'8. Satunnaiset erät'!O302+'9. Tulorahkorjauserät'!O302</f>
        <v>-1468.9368910440705</v>
      </c>
      <c r="P302" s="41">
        <f>Vuosikate!P302+'7. Nettoinvestoinnit '!P302+'8. Satunnaiset erät'!P302+'9. Tulorahkorjauserät'!P302</f>
        <v>-1098.4922916932144</v>
      </c>
      <c r="T302" s="34">
        <v>976</v>
      </c>
      <c r="U302" s="88" t="s">
        <v>616</v>
      </c>
      <c r="V302" s="41" t="e">
        <f>C302/'1. Väestöennuste'!E302*1000</f>
        <v>#REF!</v>
      </c>
      <c r="W302" s="41">
        <f>D302/'1. Väestöennuste'!F302*1000</f>
        <v>-507.38095238095235</v>
      </c>
      <c r="X302" s="41">
        <f>E302/'1. Väestöennuste'!G302*1000</f>
        <v>127.24623603691113</v>
      </c>
      <c r="Y302" s="41">
        <f>F302/'1. Väestöennuste'!H302*1000</f>
        <v>-335.40527100944809</v>
      </c>
      <c r="Z302" s="41">
        <f>G302/'1. Väestöennuste'!I302*1000</f>
        <v>83.97141398672791</v>
      </c>
      <c r="AA302" s="41">
        <f>H302/'1. Väestöennuste'!J302*1000</f>
        <v>-91.410038846766469</v>
      </c>
      <c r="AB302" s="41">
        <f>I302/'1. Väestöennuste'!K302*1000</f>
        <v>2.5946742748111169</v>
      </c>
      <c r="AC302" s="41">
        <f>J302/'1. Väestöennuste'!L302*1000</f>
        <v>-584.12862705347436</v>
      </c>
      <c r="AD302" s="41">
        <f>K302/'1. Väestöennuste'!M302*1000</f>
        <v>264.77735824707105</v>
      </c>
      <c r="AE302" s="41">
        <f>L302/'1. Väestöennuste'!N302*1000</f>
        <v>-189.93709485659841</v>
      </c>
      <c r="AF302" s="41">
        <f>M302/'1. Väestöennuste'!O302*1000</f>
        <v>-257.01380728406764</v>
      </c>
      <c r="AG302" s="41">
        <f>N302/'1. Väestöennuste'!P302*1000</f>
        <v>-325.64412470407336</v>
      </c>
      <c r="AH302" s="41">
        <f>O302/'1. Väestöennuste'!Q302*1000</f>
        <v>-428.2614842694083</v>
      </c>
      <c r="AI302" s="41">
        <f>P302/'1. Väestöennuste'!R302*1000</f>
        <v>-325.19013963683079</v>
      </c>
    </row>
    <row r="303" spans="1:35" x14ac:dyDescent="0.2">
      <c r="A303" s="34">
        <v>977</v>
      </c>
      <c r="B303" s="88" t="s">
        <v>617</v>
      </c>
      <c r="C303" s="41" t="e">
        <f>Vuosikate!C303+'7. Nettoinvestoinnit '!C303+'8. Satunnaiset erät'!C303+'9. Tulorahkorjauserät'!C303</f>
        <v>#REF!</v>
      </c>
      <c r="D303" s="41">
        <f>Vuosikate!D303+'7. Nettoinvestoinnit '!D303+'8. Satunnaiset erät'!D303+'9. Tulorahkorjauserät'!D303</f>
        <v>-12119</v>
      </c>
      <c r="E303" s="41">
        <f>Vuosikate!E303+'7. Nettoinvestoinnit '!E303+'8. Satunnaiset erät'!E303+'9. Tulorahkorjauserät'!E303</f>
        <v>-5258</v>
      </c>
      <c r="F303" s="41">
        <f>Vuosikate!F303+'7. Nettoinvestoinnit '!F303+'8. Satunnaiset erät'!F303+'9. Tulorahkorjauserät'!F303</f>
        <v>-11919</v>
      </c>
      <c r="G303" s="41">
        <f>Vuosikate!G303+'7. Nettoinvestoinnit '!G303+'8. Satunnaiset erät'!G303+'9. Tulorahkorjauserät'!G303</f>
        <v>-19486</v>
      </c>
      <c r="H303" s="41">
        <f>Vuosikate!H303+'7. Nettoinvestoinnit '!H303+'8. Satunnaiset erät'!H303+'9. Tulorahkorjauserät'!H303</f>
        <v>-11049.08603350068</v>
      </c>
      <c r="I303" s="41">
        <f>Vuosikate!I303+'7. Nettoinvestoinnit '!I303+'8. Satunnaiset erät'!I303+'9. Tulorahkorjauserät'!I303</f>
        <v>-5876.3958111047759</v>
      </c>
      <c r="J303" s="41">
        <f>Vuosikate!J303+'7. Nettoinvestoinnit '!J303+'8. Satunnaiset erät'!J303+'9. Tulorahkorjauserät'!J303</f>
        <v>3894.9363470531744</v>
      </c>
      <c r="K303" s="41">
        <f>Vuosikate!K303+'7. Nettoinvestoinnit '!K303+'8. Satunnaiset erät'!K303+'9. Tulorahkorjauserät'!K303</f>
        <v>6938.7674984516652</v>
      </c>
      <c r="L303" s="41">
        <f>Vuosikate!L303+'7. Nettoinvestoinnit '!L303+'8. Satunnaiset erät'!L303+'9. Tulorahkorjauserät'!L303</f>
        <v>-1619.9372903576987</v>
      </c>
      <c r="M303" s="41">
        <f>Vuosikate!M303+'7. Nettoinvestoinnit '!M303+'8. Satunnaiset erät'!M303+'9. Tulorahkorjauserät'!M303</f>
        <v>-4789.3214063239502</v>
      </c>
      <c r="N303" s="41">
        <f>Vuosikate!N303+'7. Nettoinvestoinnit '!N303+'8. Satunnaiset erät'!N303+'9. Tulorahkorjauserät'!N303</f>
        <v>-4049.80667242872</v>
      </c>
      <c r="O303" s="41">
        <f>Vuosikate!O303+'7. Nettoinvestoinnit '!O303+'8. Satunnaiset erät'!O303+'9. Tulorahkorjauserät'!O303</f>
        <v>-3523.1769598605297</v>
      </c>
      <c r="P303" s="41">
        <f>Vuosikate!P303+'7. Nettoinvestoinnit '!P303+'8. Satunnaiset erät'!P303+'9. Tulorahkorjauserät'!P303</f>
        <v>-2686.2877067351419</v>
      </c>
      <c r="T303" s="34">
        <v>977</v>
      </c>
      <c r="U303" s="88" t="s">
        <v>617</v>
      </c>
      <c r="V303" s="41" t="e">
        <f>C303/'1. Väestöennuste'!E303*1000</f>
        <v>#REF!</v>
      </c>
      <c r="W303" s="41">
        <f>D303/'1. Väestöennuste'!F303*1000</f>
        <v>-797.355089150602</v>
      </c>
      <c r="X303" s="41">
        <f>E303/'1. Väestöennuste'!G303*1000</f>
        <v>-344.76427775227853</v>
      </c>
      <c r="Y303" s="41">
        <f>F303/'1. Väestöennuste'!H303*1000</f>
        <v>-783.52616355508803</v>
      </c>
      <c r="Z303" s="41">
        <f>G303/'1. Väestöennuste'!I303*1000</f>
        <v>-1277.3516879711572</v>
      </c>
      <c r="AA303" s="41">
        <f>H303/'1. Väestöennuste'!J303*1000</f>
        <v>-721.97373454656827</v>
      </c>
      <c r="AB303" s="41">
        <f>I303/'1. Väestöennuste'!K303*1000</f>
        <v>-382.65258911927953</v>
      </c>
      <c r="AC303" s="41">
        <f>J303/'1. Väestöennuste'!L303*1000</f>
        <v>254.68752678043381</v>
      </c>
      <c r="AD303" s="41">
        <f>K303/'1. Väestöennuste'!M303*1000</f>
        <v>451.47813770913302</v>
      </c>
      <c r="AE303" s="41">
        <f>L303/'1. Väestöennuste'!N303*1000</f>
        <v>-104.74183954207285</v>
      </c>
      <c r="AF303" s="41">
        <f>M303/'1. Väestöennuste'!O303*1000</f>
        <v>-309.26781650031967</v>
      </c>
      <c r="AG303" s="41">
        <f>N303/'1. Väestöennuste'!P303*1000</f>
        <v>-261.31156745571815</v>
      </c>
      <c r="AH303" s="41">
        <f>O303/'1. Väestöennuste'!Q303*1000</f>
        <v>-227.31640492035163</v>
      </c>
      <c r="AI303" s="41">
        <f>P303/'1. Väestöennuste'!R303*1000</f>
        <v>-173.42076867237844</v>
      </c>
    </row>
    <row r="304" spans="1:35" x14ac:dyDescent="0.2">
      <c r="A304" s="34">
        <v>980</v>
      </c>
      <c r="B304" s="88" t="s">
        <v>618</v>
      </c>
      <c r="C304" s="41" t="e">
        <f>Vuosikate!C304+'7. Nettoinvestoinnit '!C304+'8. Satunnaiset erät'!C304+'9. Tulorahkorjauserät'!C304</f>
        <v>#REF!</v>
      </c>
      <c r="D304" s="41">
        <f>Vuosikate!D304+'7. Nettoinvestoinnit '!D304+'8. Satunnaiset erät'!D304+'9. Tulorahkorjauserät'!D304</f>
        <v>38482</v>
      </c>
      <c r="E304" s="41">
        <f>Vuosikate!E304+'7. Nettoinvestoinnit '!E304+'8. Satunnaiset erät'!E304+'9. Tulorahkorjauserät'!E304</f>
        <v>11586</v>
      </c>
      <c r="F304" s="41">
        <f>Vuosikate!F304+'7. Nettoinvestoinnit '!F304+'8. Satunnaiset erät'!F304+'9. Tulorahkorjauserät'!F304</f>
        <v>1055</v>
      </c>
      <c r="G304" s="41">
        <f>Vuosikate!G304+'7. Nettoinvestoinnit '!G304+'8. Satunnaiset erät'!G304+'9. Tulorahkorjauserät'!G304</f>
        <v>-8753</v>
      </c>
      <c r="H304" s="41">
        <f>Vuosikate!H304+'7. Nettoinvestoinnit '!H304+'8. Satunnaiset erät'!H304+'9. Tulorahkorjauserät'!H304</f>
        <v>6488.102375953451</v>
      </c>
      <c r="I304" s="41">
        <f>Vuosikate!I304+'7. Nettoinvestoinnit '!I304+'8. Satunnaiset erät'!I304+'9. Tulorahkorjauserät'!I304</f>
        <v>-1062.0978483632816</v>
      </c>
      <c r="J304" s="41">
        <f>Vuosikate!J304+'7. Nettoinvestoinnit '!J304+'8. Satunnaiset erät'!J304+'9. Tulorahkorjauserät'!J304</f>
        <v>-16086.536058311349</v>
      </c>
      <c r="K304" s="41">
        <f>Vuosikate!K304+'7. Nettoinvestoinnit '!K304+'8. Satunnaiset erät'!K304+'9. Tulorahkorjauserät'!K304</f>
        <v>-7732.3396656876976</v>
      </c>
      <c r="L304" s="41">
        <f>Vuosikate!L304+'7. Nettoinvestoinnit '!L304+'8. Satunnaiset erät'!L304+'9. Tulorahkorjauserät'!L304</f>
        <v>-8964.12534893265</v>
      </c>
      <c r="M304" s="41">
        <f>Vuosikate!M304+'7. Nettoinvestoinnit '!M304+'8. Satunnaiset erät'!M304+'9. Tulorahkorjauserät'!M304</f>
        <v>-10642.132345856306</v>
      </c>
      <c r="N304" s="41">
        <f>Vuosikate!N304+'7. Nettoinvestoinnit '!N304+'8. Satunnaiset erät'!N304+'9. Tulorahkorjauserät'!N304</f>
        <v>-10206.032417939106</v>
      </c>
      <c r="O304" s="41">
        <f>Vuosikate!O304+'7. Nettoinvestoinnit '!O304+'8. Satunnaiset erät'!O304+'9. Tulorahkorjauserät'!O304</f>
        <v>-11030.09743104138</v>
      </c>
      <c r="P304" s="41">
        <f>Vuosikate!P304+'7. Nettoinvestoinnit '!P304+'8. Satunnaiset erät'!P304+'9. Tulorahkorjauserät'!P304</f>
        <v>-9906.6701951079249</v>
      </c>
      <c r="T304" s="34">
        <v>980</v>
      </c>
      <c r="U304" s="88" t="s">
        <v>618</v>
      </c>
      <c r="V304" s="41" t="e">
        <f>C304/'1. Väestöennuste'!E304*1000</f>
        <v>#REF!</v>
      </c>
      <c r="W304" s="41">
        <f>D304/'1. Väestöennuste'!F304*1000</f>
        <v>1173.2674776670019</v>
      </c>
      <c r="X304" s="41">
        <f>E304/'1. Väestöennuste'!G304*1000</f>
        <v>352.39369791349839</v>
      </c>
      <c r="Y304" s="41">
        <f>F304/'1. Väestöennuste'!H304*1000</f>
        <v>31.986174696055546</v>
      </c>
      <c r="Z304" s="41">
        <f>G304/'1. Väestöennuste'!I304*1000</f>
        <v>-263.21645516328863</v>
      </c>
      <c r="AA304" s="41">
        <f>H304/'1. Väestöennuste'!J304*1000</f>
        <v>194.53413216459137</v>
      </c>
      <c r="AB304" s="41">
        <f>I304/'1. Väestöennuste'!K304*1000</f>
        <v>-31.673212905593939</v>
      </c>
      <c r="AC304" s="41">
        <f>J304/'1. Väestöennuste'!L304*1000</f>
        <v>-478.66623198474571</v>
      </c>
      <c r="AD304" s="41">
        <f>K304/'1. Väestöennuste'!M304*1000</f>
        <v>-229.60298321369771</v>
      </c>
      <c r="AE304" s="41">
        <f>L304/'1. Väestöennuste'!N304*1000</f>
        <v>-264.52991852134005</v>
      </c>
      <c r="AF304" s="41">
        <f>M304/'1. Väestöennuste'!O304*1000</f>
        <v>-312.98548161450225</v>
      </c>
      <c r="AG304" s="41">
        <f>N304/'1. Väestöennuste'!P304*1000</f>
        <v>-299.2269384877186</v>
      </c>
      <c r="AH304" s="41">
        <f>O304/'1. Väestöennuste'!Q304*1000</f>
        <v>-322.47975181386329</v>
      </c>
      <c r="AI304" s="41">
        <f>P304/'1. Väestöennuste'!R304*1000</f>
        <v>-288.94213950615193</v>
      </c>
    </row>
    <row r="305" spans="1:35" x14ac:dyDescent="0.2">
      <c r="A305" s="34">
        <v>981</v>
      </c>
      <c r="B305" s="88" t="s">
        <v>619</v>
      </c>
      <c r="C305" s="41" t="e">
        <f>Vuosikate!C305+'7. Nettoinvestoinnit '!C305+'8. Satunnaiset erät'!C305+'9. Tulorahkorjauserät'!C305</f>
        <v>#REF!</v>
      </c>
      <c r="D305" s="41">
        <f>Vuosikate!D305+'7. Nettoinvestoinnit '!D305+'8. Satunnaiset erät'!D305+'9. Tulorahkorjauserät'!D305</f>
        <v>253</v>
      </c>
      <c r="E305" s="41">
        <f>Vuosikate!E305+'7. Nettoinvestoinnit '!E305+'8. Satunnaiset erät'!E305+'9. Tulorahkorjauserät'!E305</f>
        <v>333</v>
      </c>
      <c r="F305" s="41">
        <f>Vuosikate!F305+'7. Nettoinvestoinnit '!F305+'8. Satunnaiset erät'!F305+'9. Tulorahkorjauserät'!F305</f>
        <v>-1632</v>
      </c>
      <c r="G305" s="41">
        <f>Vuosikate!G305+'7. Nettoinvestoinnit '!G305+'8. Satunnaiset erät'!G305+'9. Tulorahkorjauserät'!G305</f>
        <v>-798</v>
      </c>
      <c r="H305" s="41">
        <f>Vuosikate!H305+'7. Nettoinvestoinnit '!H305+'8. Satunnaiset erät'!H305+'9. Tulorahkorjauserät'!H305</f>
        <v>2082.4954909403623</v>
      </c>
      <c r="I305" s="41">
        <f>Vuosikate!I305+'7. Nettoinvestoinnit '!I305+'8. Satunnaiset erät'!I305+'9. Tulorahkorjauserät'!I305</f>
        <v>990.86493311820482</v>
      </c>
      <c r="J305" s="41">
        <f>Vuosikate!J305+'7. Nettoinvestoinnit '!J305+'8. Satunnaiset erät'!J305+'9. Tulorahkorjauserät'!J305</f>
        <v>1564.9324933573562</v>
      </c>
      <c r="K305" s="41">
        <f>Vuosikate!K305+'7. Nettoinvestoinnit '!K305+'8. Satunnaiset erät'!K305+'9. Tulorahkorjauserät'!K305</f>
        <v>730.80394005070923</v>
      </c>
      <c r="L305" s="41">
        <f>Vuosikate!L305+'7. Nettoinvestoinnit '!L305+'8. Satunnaiset erät'!L305+'9. Tulorahkorjauserät'!L305</f>
        <v>39.473384754945982</v>
      </c>
      <c r="M305" s="41">
        <f>Vuosikate!M305+'7. Nettoinvestoinnit '!M305+'8. Satunnaiset erät'!M305+'9. Tulorahkorjauserät'!M305</f>
        <v>-40.171932891234292</v>
      </c>
      <c r="N305" s="41">
        <f>Vuosikate!N305+'7. Nettoinvestoinnit '!N305+'8. Satunnaiset erät'!N305+'9. Tulorahkorjauserät'!N305</f>
        <v>-482.47011501604663</v>
      </c>
      <c r="O305" s="41">
        <f>Vuosikate!O305+'7. Nettoinvestoinnit '!O305+'8. Satunnaiset erät'!O305+'9. Tulorahkorjauserät'!O305</f>
        <v>-515.41516887517378</v>
      </c>
      <c r="P305" s="41">
        <f>Vuosikate!P305+'7. Nettoinvestoinnit '!P305+'8. Satunnaiset erät'!P305+'9. Tulorahkorjauserät'!P305</f>
        <v>-385.42009359015196</v>
      </c>
      <c r="T305" s="34">
        <v>981</v>
      </c>
      <c r="U305" s="88" t="s">
        <v>619</v>
      </c>
      <c r="V305" s="41" t="e">
        <f>C305/'1. Väestöennuste'!E305*1000</f>
        <v>#REF!</v>
      </c>
      <c r="W305" s="41">
        <f>D305/'1. Väestöennuste'!F305*1000</f>
        <v>106.21326616288833</v>
      </c>
      <c r="X305" s="41">
        <f>E305/'1. Väestöennuste'!G305*1000</f>
        <v>140.38785834738619</v>
      </c>
      <c r="Y305" s="41">
        <f>F305/'1. Väestöennuste'!H305*1000</f>
        <v>-692.4056003394146</v>
      </c>
      <c r="Z305" s="41">
        <f>G305/'1. Väestöennuste'!I305*1000</f>
        <v>-340.58898847631241</v>
      </c>
      <c r="AA305" s="41">
        <f>H305/'1. Väestöennuste'!J305*1000</f>
        <v>899.95483618857486</v>
      </c>
      <c r="AB305" s="41">
        <f>I305/'1. Väestöennuste'!K305*1000</f>
        <v>434.20899786073829</v>
      </c>
      <c r="AC305" s="41">
        <f>J305/'1. Väestöennuste'!L305*1000</f>
        <v>699.5674981481252</v>
      </c>
      <c r="AD305" s="41">
        <f>K305/'1. Väestöennuste'!M305*1000</f>
        <v>331.13001361608934</v>
      </c>
      <c r="AE305" s="41">
        <f>L305/'1. Väestöennuste'!N305*1000</f>
        <v>17.598477376257684</v>
      </c>
      <c r="AF305" s="41">
        <f>M305/'1. Väestöennuste'!O305*1000</f>
        <v>-18.046690427328972</v>
      </c>
      <c r="AG305" s="41">
        <f>N305/'1. Väestöennuste'!P305*1000</f>
        <v>-218.41109778906593</v>
      </c>
      <c r="AH305" s="41">
        <f>O305/'1. Väestöennuste'!Q305*1000</f>
        <v>-234.81328878140033</v>
      </c>
      <c r="AI305" s="41">
        <f>P305/'1. Väestöennuste'!R305*1000</f>
        <v>-176.79820806887705</v>
      </c>
    </row>
    <row r="306" spans="1:35" x14ac:dyDescent="0.2">
      <c r="A306" s="34">
        <v>989</v>
      </c>
      <c r="B306" s="88" t="s">
        <v>620</v>
      </c>
      <c r="C306" s="41" t="e">
        <f>Vuosikate!C306+'7. Nettoinvestoinnit '!C306+'8. Satunnaiset erät'!C306+'9. Tulorahkorjauserät'!C306</f>
        <v>#REF!</v>
      </c>
      <c r="D306" s="41">
        <f>Vuosikate!D306+'7. Nettoinvestoinnit '!D306+'8. Satunnaiset erät'!D306+'9. Tulorahkorjauserät'!D306</f>
        <v>1377</v>
      </c>
      <c r="E306" s="41">
        <f>Vuosikate!E306+'7. Nettoinvestoinnit '!E306+'8. Satunnaiset erät'!E306+'9. Tulorahkorjauserät'!E306</f>
        <v>363</v>
      </c>
      <c r="F306" s="41">
        <f>Vuosikate!F306+'7. Nettoinvestoinnit '!F306+'8. Satunnaiset erät'!F306+'9. Tulorahkorjauserät'!F306</f>
        <v>-2647</v>
      </c>
      <c r="G306" s="41">
        <f>Vuosikate!G306+'7. Nettoinvestoinnit '!G306+'8. Satunnaiset erät'!G306+'9. Tulorahkorjauserät'!G306</f>
        <v>2484</v>
      </c>
      <c r="H306" s="41">
        <f>Vuosikate!H306+'7. Nettoinvestoinnit '!H306+'8. Satunnaiset erät'!H306+'9. Tulorahkorjauserät'!H306</f>
        <v>1579.8897194471028</v>
      </c>
      <c r="I306" s="41">
        <f>Vuosikate!I306+'7. Nettoinvestoinnit '!I306+'8. Satunnaiset erät'!I306+'9. Tulorahkorjauserät'!I306</f>
        <v>320.44284710498601</v>
      </c>
      <c r="J306" s="41">
        <f>Vuosikate!J306+'7. Nettoinvestoinnit '!J306+'8. Satunnaiset erät'!J306+'9. Tulorahkorjauserät'!J306</f>
        <v>-2013.1471647044525</v>
      </c>
      <c r="K306" s="41">
        <f>Vuosikate!K306+'7. Nettoinvestoinnit '!K306+'8. Satunnaiset erät'!K306+'9. Tulorahkorjauserät'!K306</f>
        <v>-22210.327685964094</v>
      </c>
      <c r="L306" s="41">
        <f>Vuosikate!L306+'7. Nettoinvestoinnit '!L306+'8. Satunnaiset erät'!L306+'9. Tulorahkorjauserät'!L306</f>
        <v>-4461.2614788062583</v>
      </c>
      <c r="M306" s="41">
        <f>Vuosikate!M306+'7. Nettoinvestoinnit '!M306+'8. Satunnaiset erät'!M306+'9. Tulorahkorjauserät'!M306</f>
        <v>-13075.61739059528</v>
      </c>
      <c r="N306" s="41">
        <f>Vuosikate!N306+'7. Nettoinvestoinnit '!N306+'8. Satunnaiset erät'!N306+'9. Tulorahkorjauserät'!N306</f>
        <v>-13611.693553883371</v>
      </c>
      <c r="O306" s="41">
        <f>Vuosikate!O306+'7. Nettoinvestoinnit '!O306+'8. Satunnaiset erät'!O306+'9. Tulorahkorjauserät'!O306</f>
        <v>-14123.97079628969</v>
      </c>
      <c r="P306" s="41">
        <f>Vuosikate!P306+'7. Nettoinvestoinnit '!P306+'8. Satunnaiset erät'!P306+'9. Tulorahkorjauserät'!P306</f>
        <v>-13708.08122499994</v>
      </c>
      <c r="T306" s="34">
        <v>989</v>
      </c>
      <c r="U306" s="88" t="s">
        <v>620</v>
      </c>
      <c r="V306" s="41" t="e">
        <f>C306/'1. Väestöennuste'!E306*1000</f>
        <v>#REF!</v>
      </c>
      <c r="W306" s="41">
        <f>D306/'1. Väestöennuste'!F306*1000</f>
        <v>230.07518796992483</v>
      </c>
      <c r="X306" s="41">
        <f>E306/'1. Väestöennuste'!G306*1000</f>
        <v>61.462919065357269</v>
      </c>
      <c r="Y306" s="41">
        <f>F306/'1. Väestöennuste'!H306*1000</f>
        <v>-464.14167981763984</v>
      </c>
      <c r="Z306" s="41">
        <f>G306/'1. Väestöennuste'!I306*1000</f>
        <v>442.30769230769226</v>
      </c>
      <c r="AA306" s="41">
        <f>H306/'1. Väestöennuste'!J306*1000</f>
        <v>286.10824328994983</v>
      </c>
      <c r="AB306" s="41">
        <f>I306/'1. Väestöennuste'!K306*1000</f>
        <v>58.432320770420503</v>
      </c>
      <c r="AC306" s="41">
        <f>J306/'1. Väestöennuste'!L306*1000</f>
        <v>-372.39126243145625</v>
      </c>
      <c r="AD306" s="41">
        <f>K306/'1. Väestöennuste'!M306*1000</f>
        <v>-4178.014989835232</v>
      </c>
      <c r="AE306" s="41">
        <f>L306/'1. Väestöennuste'!N306*1000</f>
        <v>-863.74859221805582</v>
      </c>
      <c r="AF306" s="41">
        <f>M306/'1. Väestöennuste'!O306*1000</f>
        <v>-2570.398543462803</v>
      </c>
      <c r="AG306" s="41">
        <f>N306/'1. Väestöennuste'!P306*1000</f>
        <v>-2716.904900974725</v>
      </c>
      <c r="AH306" s="41">
        <f>O306/'1. Väestöennuste'!Q306*1000</f>
        <v>-2862.580218137351</v>
      </c>
      <c r="AI306" s="41">
        <f>P306/'1. Väestöennuste'!R306*1000</f>
        <v>-2818.8528120501624</v>
      </c>
    </row>
    <row r="307" spans="1:35" x14ac:dyDescent="0.2">
      <c r="A307" s="34">
        <v>992</v>
      </c>
      <c r="B307" s="88" t="s">
        <v>621</v>
      </c>
      <c r="C307" s="41" t="e">
        <f>Vuosikate!C307+'7. Nettoinvestoinnit '!C307+'8. Satunnaiset erät'!C307+'9. Tulorahkorjauserät'!C307</f>
        <v>#REF!</v>
      </c>
      <c r="D307" s="41">
        <f>Vuosikate!D307+'7. Nettoinvestoinnit '!D307+'8. Satunnaiset erät'!D307+'9. Tulorahkorjauserät'!D307</f>
        <v>5505</v>
      </c>
      <c r="E307" s="41">
        <f>Vuosikate!E307+'7. Nettoinvestoinnit '!E307+'8. Satunnaiset erät'!E307+'9. Tulorahkorjauserät'!E307</f>
        <v>9614</v>
      </c>
      <c r="F307" s="41">
        <f>Vuosikate!F307+'7. Nettoinvestoinnit '!F307+'8. Satunnaiset erät'!F307+'9. Tulorahkorjauserät'!F307</f>
        <v>-1393</v>
      </c>
      <c r="G307" s="41">
        <f>Vuosikate!G307+'7. Nettoinvestoinnit '!G307+'8. Satunnaiset erät'!G307+'9. Tulorahkorjauserät'!G307</f>
        <v>-9586</v>
      </c>
      <c r="H307" s="41">
        <f>Vuosikate!H307+'7. Nettoinvestoinnit '!H307+'8. Satunnaiset erät'!H307+'9. Tulorahkorjauserät'!H307</f>
        <v>1827.3949333650526</v>
      </c>
      <c r="I307" s="41">
        <f>Vuosikate!I307+'7. Nettoinvestoinnit '!I307+'8. Satunnaiset erät'!I307+'9. Tulorahkorjauserät'!I307</f>
        <v>5943.0446197103101</v>
      </c>
      <c r="J307" s="41">
        <f>Vuosikate!J307+'7. Nettoinvestoinnit '!J307+'8. Satunnaiset erät'!J307+'9. Tulorahkorjauserät'!J307</f>
        <v>-8909.7798251031345</v>
      </c>
      <c r="K307" s="41">
        <f>Vuosikate!K307+'7. Nettoinvestoinnit '!K307+'8. Satunnaiset erät'!K307+'9. Tulorahkorjauserät'!K307</f>
        <v>7828.3974775346633</v>
      </c>
      <c r="L307" s="41">
        <f>Vuosikate!L307+'7. Nettoinvestoinnit '!L307+'8. Satunnaiset erät'!L307+'9. Tulorahkorjauserät'!L307</f>
        <v>4450.510937388286</v>
      </c>
      <c r="M307" s="41">
        <f>Vuosikate!M307+'7. Nettoinvestoinnit '!M307+'8. Satunnaiset erät'!M307+'9. Tulorahkorjauserät'!M307</f>
        <v>-1640.7049835243861</v>
      </c>
      <c r="N307" s="41">
        <f>Vuosikate!N307+'7. Nettoinvestoinnit '!N307+'8. Satunnaiset erät'!N307+'9. Tulorahkorjauserät'!N307</f>
        <v>-2328.6414581838744</v>
      </c>
      <c r="O307" s="41">
        <f>Vuosikate!O307+'7. Nettoinvestoinnit '!O307+'8. Satunnaiset erät'!O307+'9. Tulorahkorjauserät'!O307</f>
        <v>-2195.8174557744051</v>
      </c>
      <c r="P307" s="41">
        <f>Vuosikate!P307+'7. Nettoinvestoinnit '!P307+'8. Satunnaiset erät'!P307+'9. Tulorahkorjauserät'!P307</f>
        <v>27.81822295562506</v>
      </c>
      <c r="T307" s="34">
        <v>992</v>
      </c>
      <c r="U307" s="88" t="s">
        <v>621</v>
      </c>
      <c r="V307" s="41" t="e">
        <f>C307/'1. Väestöennuste'!E307*1000</f>
        <v>#REF!</v>
      </c>
      <c r="W307" s="41">
        <f>D307/'1. Väestöennuste'!F307*1000</f>
        <v>284.14369773923812</v>
      </c>
      <c r="X307" s="41">
        <f>E307/'1. Väestöennuste'!G307*1000</f>
        <v>502.19389887170917</v>
      </c>
      <c r="Y307" s="41">
        <f>F307/'1. Väestöennuste'!H307*1000</f>
        <v>-73.895284069810614</v>
      </c>
      <c r="Z307" s="41">
        <f>G307/'1. Väestöennuste'!I307*1000</f>
        <v>-510.84465760724748</v>
      </c>
      <c r="AA307" s="41">
        <f>H307/'1. Väestöennuste'!J307*1000</f>
        <v>98.368678116221815</v>
      </c>
      <c r="AB307" s="41">
        <f>I307/'1. Väestöennuste'!K307*1000</f>
        <v>324.43741782456107</v>
      </c>
      <c r="AC307" s="41">
        <f>J307/'1. Väestöennuste'!L307*1000</f>
        <v>-491.70970337213765</v>
      </c>
      <c r="AD307" s="41">
        <f>K307/'1. Väestöennuste'!M307*1000</f>
        <v>435.61279158280911</v>
      </c>
      <c r="AE307" s="41">
        <f>L307/'1. Väestöennuste'!N307*1000</f>
        <v>250.42262758205524</v>
      </c>
      <c r="AF307" s="41">
        <f>M307/'1. Väestöennuste'!O307*1000</f>
        <v>-93.338547247945499</v>
      </c>
      <c r="AG307" s="41">
        <f>N307/'1. Väestöennuste'!P307*1000</f>
        <v>-133.90692686508766</v>
      </c>
      <c r="AH307" s="41">
        <f>O307/'1. Väestöennuste'!Q307*1000</f>
        <v>-127.61187050470188</v>
      </c>
      <c r="AI307" s="41">
        <f>P307/'1. Väestöennuste'!R307*1000</f>
        <v>1.633387526018734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theme="9" tint="0.39997558519241921"/>
  </sheetPr>
  <dimension ref="B1:Y77"/>
  <sheetViews>
    <sheetView zoomScaleNormal="100" workbookViewId="0"/>
  </sheetViews>
  <sheetFormatPr defaultColWidth="8.85546875" defaultRowHeight="11.25" x14ac:dyDescent="0.2"/>
  <cols>
    <col min="1" max="1" width="4.28515625" style="4" customWidth="1"/>
    <col min="2" max="2" width="34.28515625" style="4" customWidth="1"/>
    <col min="3" max="3" width="11.5703125" style="7" customWidth="1"/>
    <col min="4" max="4" width="7.85546875" style="7" customWidth="1"/>
    <col min="5" max="5" width="9.7109375" style="7" bestFit="1" customWidth="1"/>
    <col min="6" max="6" width="5.42578125" style="7" bestFit="1" customWidth="1"/>
    <col min="7" max="7" width="9.7109375" style="7" bestFit="1" customWidth="1"/>
    <col min="8" max="8" width="5.85546875" style="7" bestFit="1" customWidth="1"/>
    <col min="9" max="9" width="12.140625" style="7" bestFit="1" customWidth="1"/>
    <col min="10" max="10" width="8" style="7" customWidth="1"/>
    <col min="11" max="11" width="9.7109375" style="7" bestFit="1" customWidth="1"/>
    <col min="12" max="12" width="6" style="7" bestFit="1" customWidth="1"/>
    <col min="13" max="13" width="9.7109375" style="7" bestFit="1" customWidth="1"/>
    <col min="14" max="14" width="6.85546875" style="7" bestFit="1" customWidth="1"/>
    <col min="15" max="15" width="9.7109375" style="7" bestFit="1" customWidth="1"/>
    <col min="16" max="16" width="7.28515625" style="4" customWidth="1"/>
    <col min="17" max="17" width="9.7109375" style="4" customWidth="1"/>
    <col min="18" max="18" width="6" style="4" bestFit="1" customWidth="1"/>
    <col min="19" max="19" width="17.140625" style="4" bestFit="1" customWidth="1"/>
    <col min="20" max="20" width="8.28515625" style="4" bestFit="1" customWidth="1"/>
    <col min="21" max="21" width="17.140625" style="4" bestFit="1" customWidth="1"/>
    <col min="22" max="22" width="8.28515625" style="4" bestFit="1" customWidth="1"/>
    <col min="23" max="23" width="9.42578125" style="4" customWidth="1"/>
    <col min="24" max="24" width="5.28515625" style="4" bestFit="1" customWidth="1"/>
    <col min="25" max="25" width="8.42578125" style="4" customWidth="1"/>
    <col min="26" max="26" width="5.42578125" style="4" bestFit="1" customWidth="1"/>
    <col min="27" max="27" width="8.5703125" style="4" customWidth="1"/>
    <col min="28" max="28" width="5.28515625" style="4" bestFit="1" customWidth="1"/>
    <col min="29" max="29" width="8.28515625" style="4" customWidth="1"/>
    <col min="30" max="30" width="6" style="4" customWidth="1"/>
    <col min="31" max="31" width="8.5703125" style="4" customWidth="1"/>
    <col min="32" max="32" width="5.85546875" style="4" customWidth="1"/>
    <col min="33" max="37" width="8.85546875" style="4"/>
    <col min="38" max="38" width="10.85546875" style="4" customWidth="1"/>
    <col min="39" max="39" width="26.5703125" style="4" bestFit="1" customWidth="1"/>
    <col min="40" max="40" width="8.85546875" style="4" customWidth="1"/>
    <col min="41" max="41" width="5" style="4" bestFit="1" customWidth="1"/>
    <col min="42" max="42" width="5.5703125" style="4" bestFit="1" customWidth="1"/>
    <col min="43" max="45" width="5" style="4" bestFit="1" customWidth="1"/>
    <col min="46" max="46" width="5.7109375" style="4" customWidth="1"/>
    <col min="47" max="48" width="5" style="4" bestFit="1" customWidth="1"/>
    <col min="49" max="49" width="4.140625" style="4" bestFit="1" customWidth="1"/>
    <col min="50" max="50" width="5" style="4" bestFit="1" customWidth="1"/>
    <col min="51" max="51" width="4.5703125" style="4" bestFit="1" customWidth="1"/>
    <col min="52" max="52" width="4.42578125" style="4" bestFit="1" customWidth="1"/>
    <col min="53" max="53" width="3.7109375" style="4" bestFit="1" customWidth="1"/>
    <col min="54" max="54" width="4.42578125" style="4" bestFit="1" customWidth="1"/>
    <col min="55" max="55" width="3.7109375" style="4" bestFit="1" customWidth="1"/>
    <col min="56" max="90" width="8.85546875" style="4" customWidth="1"/>
    <col min="91" max="16384" width="8.85546875" style="4"/>
  </cols>
  <sheetData>
    <row r="1" spans="2:23" ht="13.5" customHeight="1" thickBot="1" x14ac:dyDescent="0.25">
      <c r="B1" s="3" t="s">
        <v>749</v>
      </c>
      <c r="C1" s="98"/>
      <c r="D1" s="98"/>
      <c r="E1" s="98"/>
    </row>
    <row r="2" spans="2:23" ht="12" thickBot="1" x14ac:dyDescent="0.25">
      <c r="B2" s="222" t="s">
        <v>334</v>
      </c>
      <c r="C2" s="98"/>
      <c r="D2" s="98"/>
      <c r="E2" s="98"/>
    </row>
    <row r="3" spans="2:23" x14ac:dyDescent="0.2">
      <c r="C3" s="98"/>
      <c r="D3" s="98"/>
      <c r="E3" s="98"/>
    </row>
    <row r="4" spans="2:23" ht="12" thickBot="1" x14ac:dyDescent="0.25">
      <c r="B4" s="8" t="s">
        <v>753</v>
      </c>
      <c r="C4" s="98"/>
      <c r="D4" s="98"/>
      <c r="E4" s="98"/>
    </row>
    <row r="5" spans="2:23" ht="12" thickBot="1" x14ac:dyDescent="0.25">
      <c r="B5" s="223" t="s">
        <v>320</v>
      </c>
    </row>
    <row r="6" spans="2:23" x14ac:dyDescent="0.2">
      <c r="I6" s="165"/>
      <c r="J6" s="165"/>
    </row>
    <row r="7" spans="2:23" ht="15" x14ac:dyDescent="0.25">
      <c r="B7" s="256" t="str">
        <f>retro</f>
        <v>AKAA</v>
      </c>
      <c r="I7" s="165"/>
      <c r="J7" s="165"/>
    </row>
    <row r="8" spans="2:23" x14ac:dyDescent="0.2">
      <c r="B8" s="1"/>
      <c r="C8" s="98"/>
      <c r="D8" s="98"/>
      <c r="E8" s="98"/>
      <c r="F8" s="98"/>
      <c r="G8" s="98"/>
      <c r="H8" s="219"/>
      <c r="I8" s="221"/>
      <c r="J8" s="98"/>
      <c r="K8" s="98"/>
      <c r="L8" s="98"/>
      <c r="M8" s="98"/>
      <c r="N8" s="98"/>
      <c r="O8" s="98"/>
      <c r="P8" s="1"/>
      <c r="Q8" s="1"/>
    </row>
    <row r="9" spans="2:23" x14ac:dyDescent="0.2">
      <c r="B9" s="104"/>
      <c r="C9" s="98"/>
      <c r="D9" s="98"/>
      <c r="E9" s="159"/>
      <c r="F9" s="98"/>
      <c r="G9" s="159"/>
      <c r="H9" s="98"/>
      <c r="I9" s="159"/>
      <c r="J9" s="98"/>
      <c r="K9" s="159"/>
      <c r="L9" s="98"/>
      <c r="M9" s="159"/>
      <c r="N9" s="98"/>
      <c r="O9" s="98"/>
      <c r="P9" s="98"/>
      <c r="Q9" s="98"/>
    </row>
    <row r="10" spans="2:23" ht="15" x14ac:dyDescent="0.25">
      <c r="B10" s="248" t="s">
        <v>721</v>
      </c>
      <c r="C10" s="249"/>
      <c r="D10" s="249"/>
      <c r="E10" s="249"/>
      <c r="F10" s="249"/>
      <c r="G10" s="249"/>
      <c r="H10" s="249"/>
      <c r="I10" s="249"/>
      <c r="J10" s="249"/>
      <c r="K10" s="249"/>
      <c r="L10" s="249"/>
      <c r="M10" s="249"/>
      <c r="N10" s="249"/>
      <c r="O10" s="249"/>
      <c r="P10" s="249"/>
      <c r="Q10" s="249"/>
      <c r="R10" s="247"/>
      <c r="S10" s="249"/>
      <c r="T10" s="247"/>
      <c r="U10" s="249"/>
      <c r="V10" s="247"/>
    </row>
    <row r="11" spans="2:23" x14ac:dyDescent="0.2">
      <c r="B11" s="135" t="s">
        <v>324</v>
      </c>
      <c r="C11" s="439">
        <v>2019</v>
      </c>
      <c r="D11" s="439"/>
      <c r="E11" s="439">
        <v>2020</v>
      </c>
      <c r="F11" s="439"/>
      <c r="G11" s="439">
        <v>2021</v>
      </c>
      <c r="H11" s="439"/>
      <c r="I11" s="439">
        <v>2022</v>
      </c>
      <c r="J11" s="439"/>
      <c r="K11" s="439">
        <v>2023</v>
      </c>
      <c r="L11" s="439"/>
      <c r="M11" s="439">
        <v>2024</v>
      </c>
      <c r="N11" s="439"/>
      <c r="O11" s="439">
        <v>2025</v>
      </c>
      <c r="P11" s="439"/>
      <c r="Q11" s="439">
        <v>2026</v>
      </c>
      <c r="R11" s="439"/>
      <c r="S11" s="439">
        <v>2027</v>
      </c>
      <c r="T11" s="439"/>
      <c r="U11" s="429">
        <v>2028</v>
      </c>
      <c r="V11" s="429"/>
    </row>
    <row r="12" spans="2:23" x14ac:dyDescent="0.2">
      <c r="B12" s="98"/>
      <c r="C12" s="243" t="str">
        <f>IF(linkki2=1,aputaulukko!O6,aputaulukko!C6)</f>
        <v>1000 €</v>
      </c>
      <c r="D12" s="10"/>
      <c r="E12" s="243" t="str">
        <f>IF(linkki2=1,aputaulukko!P6,aputaulukko!D6)</f>
        <v>1000 €</v>
      </c>
      <c r="F12" s="220"/>
      <c r="G12" s="243" t="str">
        <f>IF(linkki2=1,aputaulukko!Q6,aputaulukko!E6)</f>
        <v>1000 €</v>
      </c>
      <c r="H12" s="220"/>
      <c r="I12" s="243" t="str">
        <f>IF(linkki2=1,aputaulukko!R6,aputaulukko!F6)</f>
        <v>1000 €</v>
      </c>
      <c r="J12" s="220"/>
      <c r="K12" s="243" t="str">
        <f>IF(linkki2=1,aputaulukko!S6,aputaulukko!G6)</f>
        <v>1000 €</v>
      </c>
      <c r="L12" s="220"/>
      <c r="M12" s="243" t="str">
        <f>IF(linkki2=1,aputaulukko!T6,aputaulukko!H6)</f>
        <v>1000 €</v>
      </c>
      <c r="N12" s="220"/>
      <c r="O12" s="243" t="str">
        <f>IF(linkki2=1,aputaulukko!U6,aputaulukko!I6)</f>
        <v>1000 €</v>
      </c>
      <c r="Q12" s="243" t="str">
        <f>IF(linkki2=1,aputaulukko!V6,aputaulukko!J6)</f>
        <v>1000 €</v>
      </c>
      <c r="R12" s="220"/>
      <c r="S12" s="243" t="str">
        <f>IF(linkki2=1,aputaulukko!W6,aputaulukko!K6)</f>
        <v>1000 €</v>
      </c>
      <c r="T12" s="220"/>
      <c r="U12" s="430" t="str">
        <f>IF(linkki2=1,aputaulukko!X6,aputaulukko!M6)</f>
        <v>1000 €</v>
      </c>
      <c r="V12" s="220"/>
    </row>
    <row r="13" spans="2:23" x14ac:dyDescent="0.2">
      <c r="B13" s="98"/>
      <c r="C13" s="98"/>
      <c r="D13" s="98"/>
      <c r="E13" s="98"/>
      <c r="F13" s="98"/>
      <c r="G13" s="98"/>
      <c r="H13" s="98"/>
      <c r="I13" s="98"/>
      <c r="J13" s="98"/>
      <c r="K13" s="98"/>
      <c r="L13" s="98"/>
      <c r="M13" s="98"/>
      <c r="N13" s="98"/>
      <c r="O13" s="98"/>
      <c r="P13" s="98"/>
      <c r="Q13" s="98"/>
      <c r="R13" s="98"/>
      <c r="S13" s="98"/>
      <c r="T13" s="98"/>
      <c r="U13" s="98"/>
      <c r="V13" s="98"/>
    </row>
    <row r="14" spans="2:23" x14ac:dyDescent="0.2">
      <c r="B14" s="3" t="s">
        <v>314</v>
      </c>
      <c r="C14" s="122">
        <f>IF(linkki2=1,aputaulukko!O8,aputaulukko!C8)</f>
        <v>-88791</v>
      </c>
      <c r="D14" s="230"/>
      <c r="E14" s="122">
        <f>IF(linkki2=1,aputaulukko!P8,aputaulukko!D8)</f>
        <v>-83838</v>
      </c>
      <c r="F14" s="231">
        <f t="shared" ref="F14:F19" si="0">(E14/C14-1)</f>
        <v>-5.5782680677095686E-2</v>
      </c>
      <c r="G14" s="122">
        <f>IF(linkki2=1,aputaulukko!Q8,aputaulukko!E8)</f>
        <v>-97871.943159999995</v>
      </c>
      <c r="H14" s="231">
        <f t="shared" ref="H14:H19" si="1">(G14/E14-1)</f>
        <v>0.16739358238507585</v>
      </c>
      <c r="I14" s="122">
        <f>IF(linkki2=1,aputaulukko!R8,aputaulukko!F8)</f>
        <v>-102177.91384000001</v>
      </c>
      <c r="J14" s="231">
        <f t="shared" ref="J14:J19" si="2">(I14/G14-1)</f>
        <v>4.3995965962999817E-2</v>
      </c>
      <c r="K14" s="122">
        <f>IF(linkki2=1,aputaulukko!S8,aputaulukko!G8)</f>
        <v>-40464.505669999999</v>
      </c>
      <c r="L14" s="231">
        <f t="shared" ref="L14:L19" si="3">(K14/I14-1)</f>
        <v>-0.60397991944361662</v>
      </c>
      <c r="M14" s="122">
        <f>IF(linkki2=1,aputaulukko!T8,aputaulukko!H8)</f>
        <v>-35715.905683741075</v>
      </c>
      <c r="N14" s="231">
        <f t="shared" ref="N14:N19" si="4">(M14/K14-1)</f>
        <v>-0.11735223024803909</v>
      </c>
      <c r="O14" s="122">
        <f>IF(linkki2=1,aputaulukko!U8,aputaulukko!I8)</f>
        <v>-45338.391576403155</v>
      </c>
      <c r="P14" s="231">
        <f t="shared" ref="P14:P19" si="5">(O14/M14-1)</f>
        <v>0.2694173844523986</v>
      </c>
      <c r="Q14" s="122">
        <f>IF(linkki2=1,aputaulukko!V8,aputaulukko!J8)</f>
        <v>-46274.478149242241</v>
      </c>
      <c r="R14" s="231">
        <f t="shared" ref="R14:R19" si="6">(Q14/O14-1)</f>
        <v>2.0646664786544422E-2</v>
      </c>
      <c r="S14" s="122">
        <f>IF(linkki2=1,aputaulukko!W8,aputaulukko!K8)</f>
        <v>-47124.075308598112</v>
      </c>
      <c r="T14" s="231">
        <f t="shared" ref="T14:V19" si="7">(S14/Q14-1)</f>
        <v>1.8359951172561839E-2</v>
      </c>
      <c r="U14" s="122">
        <f>IF(linkki2=1,aputaulukko!X8,aputaulukko!L8)</f>
        <v>-47785.20952331568</v>
      </c>
      <c r="V14" s="231">
        <f t="shared" si="7"/>
        <v>1.4029648547754903E-2</v>
      </c>
      <c r="W14" s="41"/>
    </row>
    <row r="15" spans="2:23" x14ac:dyDescent="0.2">
      <c r="B15" s="1" t="s">
        <v>299</v>
      </c>
      <c r="C15" s="159">
        <f>IF(linkki2=1,aputaulukko!O9,aputaulukko!C9)</f>
        <v>62993</v>
      </c>
      <c r="D15" s="159"/>
      <c r="E15" s="159">
        <f>IF(linkki2=1,aputaulukko!P9,aputaulukko!D9)</f>
        <v>64150</v>
      </c>
      <c r="F15" s="21">
        <f t="shared" si="0"/>
        <v>1.8367120156207895E-2</v>
      </c>
      <c r="G15" s="159">
        <f>IF(linkki2=1,aputaulukko!Q9,aputaulukko!E9)</f>
        <v>66852.587300000014</v>
      </c>
      <c r="H15" s="21">
        <f t="shared" si="1"/>
        <v>4.2129186282151343E-2</v>
      </c>
      <c r="I15" s="159">
        <f>IF(linkki2=1,aputaulukko!R9,aputaulukko!F9)</f>
        <v>69399.148969999995</v>
      </c>
      <c r="J15" s="21">
        <f t="shared" si="2"/>
        <v>3.8092193179784184E-2</v>
      </c>
      <c r="K15" s="159">
        <f>IF(linkki2=1,aputaulukko!S9,aputaulukko!G9)</f>
        <v>38946.102610000002</v>
      </c>
      <c r="L15" s="21">
        <f t="shared" si="3"/>
        <v>-0.43881008358134621</v>
      </c>
      <c r="M15" s="159">
        <f>IF(linkki2=1,aputaulukko!T9,aputaulukko!H9)</f>
        <v>39063.664630812913</v>
      </c>
      <c r="N15" s="21">
        <f t="shared" si="4"/>
        <v>3.0185824237705106E-3</v>
      </c>
      <c r="O15" s="159">
        <f>IF(linkki2=1,aputaulukko!U9,aputaulukko!I9)</f>
        <v>41064.615690821694</v>
      </c>
      <c r="P15" s="21">
        <f t="shared" si="5"/>
        <v>5.1222819950959231E-2</v>
      </c>
      <c r="Q15" s="159">
        <f>IF(linkki2=1,aputaulukko!V9,aputaulukko!J9)</f>
        <v>42827.417695590048</v>
      </c>
      <c r="R15" s="231">
        <f t="shared" si="6"/>
        <v>4.2927517404293125E-2</v>
      </c>
      <c r="S15" s="159">
        <f>IF(linkki2=1,aputaulukko!W9,aputaulukko!K9)</f>
        <v>44304.169756823452</v>
      </c>
      <c r="T15" s="231">
        <f t="shared" si="7"/>
        <v>3.4481463994161521E-2</v>
      </c>
      <c r="U15" s="122">
        <f>IF(linkki2=1,aputaulukko!X9,aputaulukko!L9)</f>
        <v>45896.220251934581</v>
      </c>
      <c r="V15" s="231">
        <f t="shared" si="7"/>
        <v>3.5934552071499537E-2</v>
      </c>
      <c r="W15" s="41"/>
    </row>
    <row r="16" spans="2:23" x14ac:dyDescent="0.2">
      <c r="B16" s="19" t="s">
        <v>296</v>
      </c>
      <c r="C16" s="159">
        <f>IF(linkki2=1,aputaulukko!O10,aputaulukko!C10)</f>
        <v>57840</v>
      </c>
      <c r="D16" s="159"/>
      <c r="E16" s="159">
        <f>IF(linkki2=1,aputaulukko!P10,aputaulukko!D10)</f>
        <v>59104</v>
      </c>
      <c r="F16" s="21">
        <f t="shared" si="0"/>
        <v>2.1853388658367834E-2</v>
      </c>
      <c r="G16" s="159">
        <f>IF(linkki2=1,aputaulukko!Q10,aputaulukko!E10)</f>
        <v>60897.137590000006</v>
      </c>
      <c r="H16" s="21">
        <f t="shared" si="1"/>
        <v>3.0338684183811582E-2</v>
      </c>
      <c r="I16" s="159">
        <f>IF(linkki2=1,aputaulukko!R10,aputaulukko!F10)</f>
        <v>62911.296040000001</v>
      </c>
      <c r="J16" s="21">
        <f t="shared" si="2"/>
        <v>3.3074763933251594E-2</v>
      </c>
      <c r="K16" s="159">
        <f>IF(linkki2=1,aputaulukko!S10,aputaulukko!G10)</f>
        <v>33084.79279</v>
      </c>
      <c r="L16" s="21">
        <f t="shared" si="3"/>
        <v>-0.47410409779248286</v>
      </c>
      <c r="M16" s="159">
        <f>IF(linkki2=1,aputaulukko!T10,aputaulukko!H10)</f>
        <v>33253.243697580787</v>
      </c>
      <c r="N16" s="21">
        <f t="shared" si="4"/>
        <v>5.0914904817449536E-3</v>
      </c>
      <c r="O16" s="159">
        <f>IF(linkki2=1,aputaulukko!U10,aputaulukko!I10)</f>
        <v>35163.551868852199</v>
      </c>
      <c r="P16" s="21">
        <f t="shared" si="5"/>
        <v>5.7447273073405247E-2</v>
      </c>
      <c r="Q16" s="159">
        <f>IF(linkki2=1,aputaulukko!V10,aputaulukko!J10)</f>
        <v>36739.138313834934</v>
      </c>
      <c r="R16" s="231">
        <f t="shared" si="6"/>
        <v>4.4807374717409809E-2</v>
      </c>
      <c r="S16" s="159">
        <f>IF(linkki2=1,aputaulukko!W10,aputaulukko!K10)</f>
        <v>37992.84357286559</v>
      </c>
      <c r="T16" s="231">
        <f t="shared" si="7"/>
        <v>3.4124514525114558E-2</v>
      </c>
      <c r="U16" s="122">
        <f>IF(linkki2=1,aputaulukko!X10,aputaulukko!L10)</f>
        <v>39400.186757272917</v>
      </c>
      <c r="V16" s="231">
        <f t="shared" si="7"/>
        <v>3.7042323028762425E-2</v>
      </c>
    </row>
    <row r="17" spans="2:25" x14ac:dyDescent="0.2">
      <c r="B17" s="19" t="s">
        <v>297</v>
      </c>
      <c r="C17" s="159">
        <f>IF(linkki2=1,aputaulukko!O11,aputaulukko!C11)</f>
        <v>1596</v>
      </c>
      <c r="D17" s="159"/>
      <c r="E17" s="159">
        <f>IF(linkki2=1,aputaulukko!P11,aputaulukko!D11)</f>
        <v>1773</v>
      </c>
      <c r="F17" s="21">
        <f t="shared" si="0"/>
        <v>0.11090225563909772</v>
      </c>
      <c r="G17" s="159">
        <f>IF(linkki2=1,aputaulukko!Q11,aputaulukko!E11)</f>
        <v>2439.1327299999998</v>
      </c>
      <c r="H17" s="21">
        <f t="shared" si="1"/>
        <v>0.37570937958262829</v>
      </c>
      <c r="I17" s="159">
        <f>IF(linkki2=1,aputaulukko!R11,aputaulukko!F11)</f>
        <v>2663.49712</v>
      </c>
      <c r="J17" s="21">
        <f t="shared" si="2"/>
        <v>9.1985313976743033E-2</v>
      </c>
      <c r="K17" s="159">
        <f>IF(linkki2=1,aputaulukko!S11,aputaulukko!G11)</f>
        <v>1980.5846999999999</v>
      </c>
      <c r="L17" s="21">
        <f t="shared" si="3"/>
        <v>-0.25639690573421758</v>
      </c>
      <c r="M17" s="159">
        <f>IF(linkki2=1,aputaulukko!T11,aputaulukko!H11)</f>
        <v>1661.944034278237</v>
      </c>
      <c r="N17" s="21">
        <f t="shared" si="4"/>
        <v>-0.16088212017479631</v>
      </c>
      <c r="O17" s="159">
        <f>IF(linkki2=1,aputaulukko!U11,aputaulukko!I11)</f>
        <v>1681.8873626895759</v>
      </c>
      <c r="P17" s="21">
        <f t="shared" si="5"/>
        <v>1.2000000000000011E-2</v>
      </c>
      <c r="Q17" s="159">
        <f>IF(linkki2=1,aputaulukko!V11,aputaulukko!J11)</f>
        <v>1763.5600409455351</v>
      </c>
      <c r="R17" s="231">
        <f t="shared" si="6"/>
        <v>4.8560135516657388E-2</v>
      </c>
      <c r="S17" s="159">
        <f>IF(linkki2=1,aputaulukko!W11,aputaulukko!K11)</f>
        <v>1868.9747768340403</v>
      </c>
      <c r="T17" s="231">
        <f t="shared" si="7"/>
        <v>5.9773828756058078E-2</v>
      </c>
      <c r="U17" s="122">
        <f>IF(linkki2=1,aputaulukko!X11,aputaulukko!L11)</f>
        <v>1934.5028558998679</v>
      </c>
      <c r="V17" s="231">
        <f t="shared" si="7"/>
        <v>3.5060975609755962E-2</v>
      </c>
      <c r="W17" s="41"/>
      <c r="Y17" s="41"/>
    </row>
    <row r="18" spans="2:25" x14ac:dyDescent="0.2">
      <c r="B18" s="19" t="s">
        <v>300</v>
      </c>
      <c r="C18" s="159">
        <f>IF(linkki2=1,aputaulukko!O12,aputaulukko!C12)</f>
        <v>3557</v>
      </c>
      <c r="D18" s="159"/>
      <c r="E18" s="159">
        <f>IF(linkki2=1,aputaulukko!P12,aputaulukko!D12)</f>
        <v>3273</v>
      </c>
      <c r="F18" s="21">
        <f t="shared" si="0"/>
        <v>-7.9842563958391954E-2</v>
      </c>
      <c r="G18" s="159">
        <f>IF(linkki2=1,aputaulukko!Q12,aputaulukko!E12)</f>
        <v>3516.3169800000001</v>
      </c>
      <c r="H18" s="21">
        <f t="shared" si="1"/>
        <v>7.4340659945004495E-2</v>
      </c>
      <c r="I18" s="159">
        <f>IF(linkki2=1,aputaulukko!R12,aputaulukko!F12)</f>
        <v>3824.35581</v>
      </c>
      <c r="J18" s="21">
        <f t="shared" si="2"/>
        <v>8.7602691040669534E-2</v>
      </c>
      <c r="K18" s="159">
        <f>IF(linkki2=1,aputaulukko!S12,aputaulukko!G12)</f>
        <v>3880.7251200000001</v>
      </c>
      <c r="L18" s="21">
        <f t="shared" si="3"/>
        <v>1.4739556882391591E-2</v>
      </c>
      <c r="M18" s="159">
        <f>IF(linkki2=1,aputaulukko!T12,aputaulukko!H12)</f>
        <v>4148.4768989538888</v>
      </c>
      <c r="N18" s="21">
        <f t="shared" si="4"/>
        <v>6.8995296155860864E-2</v>
      </c>
      <c r="O18" s="159">
        <f>IF(linkki2=1,aputaulukko!U12,aputaulukko!I12)</f>
        <v>4219.17645927992</v>
      </c>
      <c r="P18" s="21">
        <f t="shared" si="5"/>
        <v>1.7042293364067929E-2</v>
      </c>
      <c r="Q18" s="159">
        <f>IF(linkki2=1,aputaulukko!V12,aputaulukko!J12)</f>
        <v>4324.7193408095736</v>
      </c>
      <c r="R18" s="231">
        <f t="shared" si="6"/>
        <v>2.5015043231367162E-2</v>
      </c>
      <c r="S18" s="159">
        <f>IF(linkki2=1,aputaulukko!W12,aputaulukko!K12)</f>
        <v>4442.351407123826</v>
      </c>
      <c r="T18" s="231">
        <f t="shared" si="7"/>
        <v>2.7199930687810125E-2</v>
      </c>
      <c r="U18" s="122">
        <f>IF(linkki2=1,aputaulukko!X12,aputaulukko!L12)</f>
        <v>4561.5306387617975</v>
      </c>
      <c r="V18" s="231">
        <f t="shared" si="7"/>
        <v>2.6827961301497671E-2</v>
      </c>
      <c r="Y18" s="41"/>
    </row>
    <row r="19" spans="2:25" x14ac:dyDescent="0.2">
      <c r="B19" s="1" t="s">
        <v>298</v>
      </c>
      <c r="C19" s="159">
        <f>IF(linkki2=1,aputaulukko!O13,aputaulukko!C13)</f>
        <v>31449</v>
      </c>
      <c r="D19" s="159"/>
      <c r="E19" s="159">
        <f>IF(linkki2=1,aputaulukko!P13,aputaulukko!D13)</f>
        <v>36887.921762975522</v>
      </c>
      <c r="F19" s="21">
        <f t="shared" si="0"/>
        <v>0.17294418782713361</v>
      </c>
      <c r="G19" s="159">
        <f>IF(linkki2=1,aputaulukko!Q13,aputaulukko!E13)</f>
        <v>34540.793710808459</v>
      </c>
      <c r="H19" s="21">
        <f t="shared" si="1"/>
        <v>-6.3628633438571169E-2</v>
      </c>
      <c r="I19" s="159">
        <f>IF(linkki2=1,aputaulukko!R13,aputaulukko!F13)</f>
        <v>35924.462333046562</v>
      </c>
      <c r="J19" s="21">
        <f t="shared" si="2"/>
        <v>4.0058970092662571E-2</v>
      </c>
      <c r="K19" s="159">
        <f>IF(linkki2=1,aputaulukko!S13,aputaulukko!G13)</f>
        <v>9557.5797702740765</v>
      </c>
      <c r="L19" s="21">
        <f t="shared" si="3"/>
        <v>-0.73395343591594542</v>
      </c>
      <c r="M19" s="159">
        <f>IF(linkki2=1,aputaulukko!T13,aputaulukko!H13)</f>
        <v>5745.7906326070961</v>
      </c>
      <c r="N19" s="21">
        <f t="shared" si="4"/>
        <v>-0.39882368018757031</v>
      </c>
      <c r="O19" s="159">
        <f>IF(linkki2=1,aputaulukko!U13,aputaulukko!I13)</f>
        <v>6390.2456853602062</v>
      </c>
      <c r="P19" s="21">
        <f t="shared" si="5"/>
        <v>0.11216124880984313</v>
      </c>
      <c r="Q19" s="159">
        <f>IF(linkki2=1,aputaulukko!V13,aputaulukko!J13)</f>
        <v>6710.8624538460308</v>
      </c>
      <c r="R19" s="231">
        <f t="shared" si="6"/>
        <v>5.0172839085098841E-2</v>
      </c>
      <c r="S19" s="159">
        <f>IF(linkki2=1,aputaulukko!W13,aputaulukko!K13)</f>
        <v>6985.4405285782459</v>
      </c>
      <c r="T19" s="231">
        <f t="shared" si="7"/>
        <v>4.0915467515632464E-2</v>
      </c>
      <c r="U19" s="122">
        <f>IF(linkki2=1,aputaulukko!X13,aputaulukko!L13)</f>
        <v>7936.1584948985756</v>
      </c>
      <c r="V19" s="231">
        <f t="shared" si="7"/>
        <v>0.13609992990861963</v>
      </c>
    </row>
    <row r="20" spans="2:25" x14ac:dyDescent="0.2">
      <c r="B20" s="207" t="s">
        <v>751</v>
      </c>
      <c r="C20" s="159">
        <f>IF(linkki2=1,aputaulukko!O14,aputaulukko!C14)</f>
        <v>406</v>
      </c>
      <c r="D20" s="159"/>
      <c r="E20" s="159">
        <f>IF(linkki2=1,aputaulukko!P14,aputaulukko!D14)</f>
        <v>477</v>
      </c>
      <c r="F20" s="232"/>
      <c r="G20" s="159">
        <f>IF(linkki2=1,aputaulukko!Q14,aputaulukko!E14)</f>
        <v>-51.908300000000004</v>
      </c>
      <c r="H20" s="232"/>
      <c r="I20" s="159">
        <f>IF(linkki2=1,aputaulukko!R14,aputaulukko!F14)</f>
        <v>10.634030000000001</v>
      </c>
      <c r="J20" s="232"/>
      <c r="K20" s="159">
        <f>IF(linkki2=1,aputaulukko!S14,aputaulukko!G14)</f>
        <v>-1499.40291</v>
      </c>
      <c r="L20" s="232"/>
      <c r="M20" s="159">
        <f>IF(linkki2=1,aputaulukko!T14,aputaulukko!H14)</f>
        <v>-2032.1</v>
      </c>
      <c r="N20" s="232"/>
      <c r="O20" s="159">
        <f>IF(linkki2=1,aputaulukko!U14,aputaulukko!I14)</f>
        <v>-2577</v>
      </c>
      <c r="Q20" s="159">
        <f>IF(linkki2=1,aputaulukko!V14,aputaulukko!J14)</f>
        <v>-3179</v>
      </c>
      <c r="R20" s="232"/>
      <c r="S20" s="159">
        <f>IF(linkki2=1,aputaulukko!W14,aputaulukko!K14)</f>
        <v>-3290.4339031326322</v>
      </c>
      <c r="T20" s="232"/>
      <c r="U20" s="122">
        <f>IF(linkki2=1,aputaulukko!X14,aputaulukko!L14)</f>
        <v>-3389.3284896422288</v>
      </c>
      <c r="V20" s="232"/>
    </row>
    <row r="21" spans="2:25" x14ac:dyDescent="0.2">
      <c r="B21" s="3" t="s">
        <v>302</v>
      </c>
      <c r="C21" s="126">
        <f>C14+C15+C19+C20</f>
        <v>6057</v>
      </c>
      <c r="D21" s="122"/>
      <c r="E21" s="126">
        <f>E14+E15+E19+E20</f>
        <v>17676.921762975522</v>
      </c>
      <c r="F21" s="231"/>
      <c r="G21" s="126">
        <f>G14+G15+G19+G20</f>
        <v>3469.5295508084773</v>
      </c>
      <c r="H21" s="231"/>
      <c r="I21" s="126">
        <f>I14+I15+I19+I20</f>
        <v>3156.3314930465485</v>
      </c>
      <c r="J21" s="231"/>
      <c r="K21" s="126">
        <f>K14+K15+K19+K20</f>
        <v>6539.7738002740798</v>
      </c>
      <c r="L21" s="231"/>
      <c r="M21" s="126">
        <f>M14+M15+M19+M20</f>
        <v>7061.4495796789324</v>
      </c>
      <c r="N21" s="231"/>
      <c r="O21" s="126">
        <f>O14+O15+O19+O20</f>
        <v>-460.53020022125474</v>
      </c>
      <c r="Q21" s="126">
        <f>Q14+Q15+Q19+Q20</f>
        <v>84.802000193837557</v>
      </c>
      <c r="R21" s="231"/>
      <c r="S21" s="126">
        <f>S14+S15+S19+S20</f>
        <v>875.10107367095361</v>
      </c>
      <c r="T21" s="231"/>
      <c r="U21" s="126">
        <f>U14+U15+U19+U20</f>
        <v>2657.8407338752481</v>
      </c>
      <c r="V21" s="231"/>
      <c r="W21" s="41"/>
    </row>
    <row r="22" spans="2:25" x14ac:dyDescent="0.2">
      <c r="B22" s="4" t="s">
        <v>315</v>
      </c>
      <c r="C22" s="159">
        <f>IF(linkki2=1,aputaulukko!O16,aputaulukko!C16)</f>
        <v>-6043</v>
      </c>
      <c r="D22" s="159"/>
      <c r="E22" s="159">
        <f>IF(linkki2=1,aputaulukko!P16,aputaulukko!D16)</f>
        <v>-4155</v>
      </c>
      <c r="F22" s="232"/>
      <c r="G22" s="159">
        <f>IF(linkki2=1,aputaulukko!Q16,aputaulukko!E16)</f>
        <v>-4349.0901100000001</v>
      </c>
      <c r="H22" s="232"/>
      <c r="I22" s="159">
        <f>IF(linkki2=1,aputaulukko!R16,aputaulukko!F16)</f>
        <v>-4662.7954300000001</v>
      </c>
      <c r="J22" s="232"/>
      <c r="K22" s="159">
        <f>IF(linkki2=1,aputaulukko!S16,aputaulukko!G16)</f>
        <v>-6008.6858099999999</v>
      </c>
      <c r="L22" s="232"/>
      <c r="M22" s="159">
        <f>IF(linkki2=1,aputaulukko!T16,aputaulukko!H16)</f>
        <v>-6304.3</v>
      </c>
      <c r="N22" s="232"/>
      <c r="O22" s="159">
        <f>IF(linkki2=1,aputaulukko!U16,aputaulukko!I16)</f>
        <v>-6592</v>
      </c>
      <c r="Q22" s="159">
        <f>IF(linkki2=1,aputaulukko!V16,aputaulukko!J16)</f>
        <v>-6434.1</v>
      </c>
      <c r="R22" s="232"/>
      <c r="S22" s="159">
        <f>IF(linkki2=1,aputaulukko!W16,aputaulukko!K16)</f>
        <v>-6641.7048619999905</v>
      </c>
      <c r="T22" s="232"/>
      <c r="U22" s="159">
        <f>IF(linkki2=1,aputaulukko!X16,aputaulukko!L16)</f>
        <v>-6849.3097239999806</v>
      </c>
      <c r="V22" s="232"/>
    </row>
    <row r="23" spans="2:25" x14ac:dyDescent="0.2">
      <c r="B23" s="4" t="s">
        <v>735</v>
      </c>
      <c r="C23" s="159">
        <f>IF(linkki2=1,aputaulukko!O17,aputaulukko!C17)</f>
        <v>0</v>
      </c>
      <c r="D23" s="159"/>
      <c r="E23" s="159">
        <f>IF(linkki2=1,aputaulukko!P17,aputaulukko!D17)</f>
        <v>0</v>
      </c>
      <c r="F23" s="232"/>
      <c r="G23" s="159">
        <f>IF(linkki2=1,aputaulukko!Q17,aputaulukko!E17)</f>
        <v>0</v>
      </c>
      <c r="H23" s="232"/>
      <c r="I23" s="159">
        <f>IF(linkki2=1,aputaulukko!R17,aputaulukko!F17)</f>
        <v>57.668300000000002</v>
      </c>
      <c r="J23" s="232"/>
      <c r="K23" s="159">
        <f>IF(linkki2=1,aputaulukko!S17,aputaulukko!G17)</f>
        <v>0</v>
      </c>
      <c r="L23" s="232"/>
      <c r="M23" s="159">
        <f>IF(linkki2=1,aputaulukko!T17,aputaulukko!H17)</f>
        <v>0</v>
      </c>
      <c r="N23" s="232"/>
      <c r="O23" s="159">
        <f>IF(linkki2=1,aputaulukko!U17,aputaulukko!I17)</f>
        <v>0</v>
      </c>
      <c r="Q23" s="159">
        <f>IF(linkki2=1,aputaulukko!V17,aputaulukko!J17)</f>
        <v>0</v>
      </c>
      <c r="R23" s="232"/>
      <c r="S23" s="159">
        <f>IF(linkki2=1,aputaulukko!W17,aputaulukko!K17)</f>
        <v>0</v>
      </c>
      <c r="T23" s="232"/>
      <c r="U23" s="159">
        <f>IF(linkki2=1,aputaulukko!X17,aputaulukko!L17)</f>
        <v>0</v>
      </c>
      <c r="V23" s="232"/>
    </row>
    <row r="24" spans="2:25" x14ac:dyDescent="0.2">
      <c r="B24" s="250" t="s">
        <v>644</v>
      </c>
      <c r="C24" s="251">
        <f>C21+C22+C23</f>
        <v>14</v>
      </c>
      <c r="D24" s="254"/>
      <c r="E24" s="251">
        <f>E21+E22+E23</f>
        <v>13521.921762975522</v>
      </c>
      <c r="F24" s="255"/>
      <c r="G24" s="251">
        <f>G21+G22+G23</f>
        <v>-879.56055919152277</v>
      </c>
      <c r="H24" s="255"/>
      <c r="I24" s="251">
        <f>I21+I22+I23</f>
        <v>-1448.7956369534515</v>
      </c>
      <c r="J24" s="255"/>
      <c r="K24" s="251">
        <f>K21+K22+K23</f>
        <v>531.08799027407986</v>
      </c>
      <c r="L24" s="255"/>
      <c r="M24" s="251">
        <f>M21+M22+M23</f>
        <v>757.14957967893224</v>
      </c>
      <c r="N24" s="255"/>
      <c r="O24" s="251">
        <f>O21+O22+O23</f>
        <v>-7052.5302002212547</v>
      </c>
      <c r="P24" s="251"/>
      <c r="Q24" s="167">
        <f>Q21+Q22+Q23</f>
        <v>-6349.2979998061628</v>
      </c>
      <c r="R24" s="412"/>
      <c r="S24" s="167">
        <f>S21+S22+S23</f>
        <v>-5766.6037883290373</v>
      </c>
      <c r="T24" s="412"/>
      <c r="U24" s="167">
        <f>U21+U22+U23</f>
        <v>-4191.468990124733</v>
      </c>
      <c r="V24" s="412"/>
      <c r="W24" s="41"/>
    </row>
    <row r="25" spans="2:25" ht="22.5" x14ac:dyDescent="0.2">
      <c r="B25" s="259" t="s">
        <v>748</v>
      </c>
      <c r="C25" s="262">
        <f>IF(linkki2=1,aputaulukko!O19,aputaulukko!C19)</f>
        <v>-0.29928250345781465</v>
      </c>
      <c r="D25" s="262"/>
      <c r="E25" s="262">
        <f>IF(linkki2=1,aputaulukko!P19,aputaulukko!D19)</f>
        <v>-1.288952680465034</v>
      </c>
      <c r="F25" s="262"/>
      <c r="G25" s="262">
        <f>IF(linkki2=1,aputaulukko!Q19,aputaulukko!E19)</f>
        <v>5.6480056801715985</v>
      </c>
      <c r="H25" s="262"/>
      <c r="I25" s="262">
        <f>IF(linkki2=1,aputaulukko!R19,aputaulukko!F19)</f>
        <v>6.7096078285303742</v>
      </c>
      <c r="J25" s="262"/>
      <c r="K25" s="262">
        <f>IF(linkki2=1,aputaulukko!S19,aputaulukko!G19)</f>
        <v>2.0177730640287503</v>
      </c>
      <c r="L25" s="262"/>
      <c r="M25" s="262">
        <f>IF(linkki2=1,aputaulukko!T19,aputaulukko!H19)</f>
        <v>2.5679513199717685</v>
      </c>
      <c r="N25" s="232"/>
      <c r="O25" s="262">
        <f>IF(linkki2=1,aputaulukko!U19,aputaulukko!I19)</f>
        <v>4.7354777518950515</v>
      </c>
      <c r="Q25" s="262">
        <f>IF(linkki2=1,aputaulukko!V19,aputaulukko!J19)</f>
        <v>4.5410309104990869</v>
      </c>
      <c r="R25" s="232"/>
      <c r="S25" s="262">
        <f>IF(linkki2=1,aputaulukko!W19,aputaulukko!K19)</f>
        <v>4.3819784431681512</v>
      </c>
      <c r="T25" s="232"/>
      <c r="U25" s="262">
        <f>IF(linkki2=1,aputaulukko!X19,aputaulukko!L19)</f>
        <v>3.9620639865570908</v>
      </c>
      <c r="V25" s="232"/>
    </row>
    <row r="26" spans="2:25" x14ac:dyDescent="0.2">
      <c r="B26" s="259"/>
      <c r="C26" s="126"/>
      <c r="D26" s="122"/>
      <c r="E26" s="126"/>
      <c r="F26" s="232"/>
      <c r="G26" s="126"/>
      <c r="H26" s="232"/>
      <c r="I26" s="126"/>
      <c r="J26" s="232"/>
      <c r="K26" s="126"/>
      <c r="L26" s="232"/>
      <c r="M26" s="126"/>
      <c r="N26" s="232"/>
      <c r="O26" s="232"/>
      <c r="P26" s="126"/>
      <c r="Q26" s="126"/>
      <c r="R26" s="232"/>
      <c r="S26" s="126"/>
      <c r="T26" s="232"/>
      <c r="U26" s="126"/>
      <c r="V26" s="232"/>
    </row>
    <row r="27" spans="2:25" x14ac:dyDescent="0.2">
      <c r="C27" s="159"/>
      <c r="D27" s="159"/>
      <c r="E27" s="159"/>
      <c r="F27" s="233"/>
      <c r="G27" s="159"/>
      <c r="H27" s="233"/>
      <c r="I27" s="159"/>
      <c r="J27" s="233"/>
      <c r="K27" s="159"/>
      <c r="L27" s="233"/>
      <c r="M27" s="159"/>
      <c r="N27" s="172"/>
      <c r="O27" s="172"/>
      <c r="P27" s="159"/>
      <c r="Q27" s="159"/>
      <c r="R27" s="172"/>
      <c r="S27" s="159"/>
      <c r="T27" s="172"/>
      <c r="U27" s="159"/>
      <c r="V27" s="172"/>
    </row>
    <row r="28" spans="2:25" ht="15" x14ac:dyDescent="0.25">
      <c r="B28" s="244" t="s">
        <v>734</v>
      </c>
      <c r="C28" s="245"/>
      <c r="D28" s="245"/>
      <c r="E28" s="245"/>
      <c r="F28" s="246"/>
      <c r="G28" s="245"/>
      <c r="H28" s="246"/>
      <c r="I28" s="245"/>
      <c r="J28" s="246"/>
      <c r="K28" s="245"/>
      <c r="L28" s="246"/>
      <c r="M28" s="245"/>
      <c r="N28" s="247"/>
      <c r="O28" s="247"/>
      <c r="P28" s="245"/>
      <c r="Q28" s="245"/>
      <c r="R28" s="247"/>
      <c r="S28" s="245"/>
      <c r="T28" s="247"/>
      <c r="U28" s="245"/>
      <c r="V28" s="247"/>
    </row>
    <row r="29" spans="2:25" x14ac:dyDescent="0.2">
      <c r="B29" s="3" t="s">
        <v>302</v>
      </c>
      <c r="C29" s="122">
        <f>C21</f>
        <v>6057</v>
      </c>
      <c r="D29" s="122"/>
      <c r="E29" s="122">
        <f>E21</f>
        <v>17676.921762975522</v>
      </c>
      <c r="F29" s="232"/>
      <c r="G29" s="122">
        <f>G21</f>
        <v>3469.5295508084773</v>
      </c>
      <c r="H29" s="232"/>
      <c r="I29" s="122">
        <f>I21</f>
        <v>3156.3314930465485</v>
      </c>
      <c r="J29" s="232"/>
      <c r="K29" s="122">
        <f>K21</f>
        <v>6539.7738002740798</v>
      </c>
      <c r="L29" s="232"/>
      <c r="M29" s="122">
        <f>M21</f>
        <v>7061.4495796789324</v>
      </c>
      <c r="N29" s="232"/>
      <c r="O29" s="122">
        <f>O21</f>
        <v>-460.53020022125474</v>
      </c>
      <c r="P29" s="122"/>
      <c r="Q29" s="122">
        <f>Q21</f>
        <v>84.802000193837557</v>
      </c>
      <c r="R29" s="232"/>
      <c r="S29" s="122">
        <f>S21</f>
        <v>875.10107367095361</v>
      </c>
      <c r="T29" s="232"/>
      <c r="U29" s="122">
        <f>U21</f>
        <v>2657.8407338752481</v>
      </c>
      <c r="V29" s="232"/>
    </row>
    <row r="30" spans="2:25" x14ac:dyDescent="0.2">
      <c r="B30" s="4" t="s">
        <v>735</v>
      </c>
      <c r="C30" s="159">
        <f>IF(linkki2=1,aputaulukko!O23,aputaulukko!C23)</f>
        <v>0</v>
      </c>
      <c r="D30" s="159"/>
      <c r="E30" s="159">
        <f>IF(linkki2=1,aputaulukko!P23,aputaulukko!D23)</f>
        <v>0</v>
      </c>
      <c r="F30" s="232"/>
      <c r="G30" s="159">
        <f>IF(linkki2=1,aputaulukko!Q23,aputaulukko!E23)</f>
        <v>0</v>
      </c>
      <c r="H30" s="232"/>
      <c r="I30" s="159">
        <f>IF(linkki2=1,aputaulukko!R23,aputaulukko!F23)</f>
        <v>57.668300000000002</v>
      </c>
      <c r="J30" s="232"/>
      <c r="K30" s="159">
        <f>IF(linkki2=1,aputaulukko!S23,aputaulukko!G23)</f>
        <v>0</v>
      </c>
      <c r="L30" s="232"/>
      <c r="M30" s="159">
        <f>IF(linkki2=1,aputaulukko!T23,aputaulukko!H23)</f>
        <v>0</v>
      </c>
      <c r="O30" s="159">
        <f>IF(linkki2=1,aputaulukko!U23,aputaulukko!I23)</f>
        <v>0</v>
      </c>
      <c r="Q30" s="159">
        <f>IF(linkki2=1,aputaulukko!V23,aputaulukko!J23)</f>
        <v>0</v>
      </c>
      <c r="R30" s="232"/>
      <c r="S30" s="159">
        <f>IF(linkki2=1,aputaulukko!W23,aputaulukko!K23)</f>
        <v>0</v>
      </c>
      <c r="T30" s="232"/>
      <c r="U30" s="159">
        <f>IF(linkki2=1,aputaulukko!X23,aputaulukko!L23)</f>
        <v>0</v>
      </c>
      <c r="V30" s="232"/>
    </row>
    <row r="31" spans="2:25" x14ac:dyDescent="0.2">
      <c r="B31" s="4" t="s">
        <v>736</v>
      </c>
      <c r="C31" s="159">
        <f>IF(linkki2=1,aputaulukko!O24,aputaulukko!C24)</f>
        <v>-149</v>
      </c>
      <c r="D31" s="159"/>
      <c r="E31" s="159">
        <f>IF(linkki2=1,aputaulukko!P24,aputaulukko!D24)</f>
        <v>-4649</v>
      </c>
      <c r="F31" s="232"/>
      <c r="G31" s="159">
        <f>IF(linkki2=1,aputaulukko!Q24,aputaulukko!E24)</f>
        <v>-246.08317000000002</v>
      </c>
      <c r="H31" s="232"/>
      <c r="I31" s="159">
        <f>IF(linkki2=1,aputaulukko!R24,aputaulukko!F24)</f>
        <v>-440.29674</v>
      </c>
      <c r="J31" s="232"/>
      <c r="K31" s="159">
        <f>IF(linkki2=1,aputaulukko!S24,aputaulukko!G24)</f>
        <v>-107.25566999999999</v>
      </c>
      <c r="L31" s="232"/>
      <c r="M31" s="159">
        <f>IF(linkki2=1,aputaulukko!T24,aputaulukko!H24)</f>
        <v>0</v>
      </c>
      <c r="N31" s="232"/>
      <c r="O31" s="159">
        <f>IF(linkki2=1,aputaulukko!U24,aputaulukko!I24)</f>
        <v>0</v>
      </c>
      <c r="Q31" s="159">
        <f>IF(linkki2=1,aputaulukko!V24,aputaulukko!J24)</f>
        <v>0</v>
      </c>
      <c r="R31" s="232"/>
      <c r="S31" s="159">
        <f>IF(linkki2=1,aputaulukko!W24,aputaulukko!K24)</f>
        <v>0</v>
      </c>
      <c r="T31" s="232"/>
      <c r="U31" s="159">
        <f>IF(linkki2=1,aputaulukko!X24,aputaulukko!L24)</f>
        <v>0</v>
      </c>
      <c r="V31" s="232"/>
    </row>
    <row r="32" spans="2:25" x14ac:dyDescent="0.2">
      <c r="B32" s="8" t="s">
        <v>737</v>
      </c>
      <c r="C32" s="126">
        <f>C29+C30+C31</f>
        <v>5908</v>
      </c>
      <c r="D32" s="122"/>
      <c r="E32" s="126">
        <f>E29+E30+E31</f>
        <v>13027.921762975522</v>
      </c>
      <c r="F32" s="232"/>
      <c r="G32" s="126">
        <f>G29+G30+G31</f>
        <v>3223.4463808084774</v>
      </c>
      <c r="H32" s="232"/>
      <c r="I32" s="126">
        <f>I29+I30+I31</f>
        <v>2773.7030530465481</v>
      </c>
      <c r="J32" s="232"/>
      <c r="K32" s="126">
        <f>K29+K30+K31</f>
        <v>6432.5181302740802</v>
      </c>
      <c r="L32" s="232"/>
      <c r="M32" s="126">
        <f>M29+M30+M31</f>
        <v>7061.4495796789324</v>
      </c>
      <c r="N32" s="232"/>
      <c r="O32" s="126">
        <f>O29+O30+O31</f>
        <v>-460.53020022125474</v>
      </c>
      <c r="Q32" s="126">
        <f>Q29+Q30+Q31</f>
        <v>84.802000193837557</v>
      </c>
      <c r="R32" s="232"/>
      <c r="S32" s="126">
        <f>S29+S30+S31</f>
        <v>875.10107367095361</v>
      </c>
      <c r="T32" s="232"/>
      <c r="U32" s="126">
        <f>U29+U30+U31</f>
        <v>2657.8407338752481</v>
      </c>
      <c r="V32" s="232"/>
    </row>
    <row r="33" spans="2:22" x14ac:dyDescent="0.2">
      <c r="B33" s="4" t="s">
        <v>740</v>
      </c>
      <c r="C33" s="159">
        <f>IF(linkki2=1,aputaulukko!O28,aputaulukko!C28)</f>
        <v>-5130</v>
      </c>
      <c r="D33" s="159"/>
      <c r="E33" s="159">
        <f>IF(linkki2=1,aputaulukko!P28,aputaulukko!D28)</f>
        <v>-9604</v>
      </c>
      <c r="F33" s="21"/>
      <c r="G33" s="159">
        <f>IF(linkki2=1,aputaulukko!Q28,aputaulukko!E28)</f>
        <v>-18681.755550000002</v>
      </c>
      <c r="H33" s="21">
        <f>(G33/E33-1)</f>
        <v>0.9452057007496879</v>
      </c>
      <c r="I33" s="159">
        <f>IF(linkki2=1,aputaulukko!R28,aputaulukko!F28)</f>
        <v>-21960.526890000001</v>
      </c>
      <c r="J33" s="21">
        <f>(I33/G33-1)</f>
        <v>0.17550659686262726</v>
      </c>
      <c r="K33" s="159">
        <f>IF(linkki2=1,aputaulukko!S28,aputaulukko!G28)</f>
        <v>-13564.740750000001</v>
      </c>
      <c r="L33" s="21">
        <f>(K33/I33-1)</f>
        <v>-0.38231260033306058</v>
      </c>
      <c r="M33" s="159">
        <f>IF(linkki2=1,aputaulukko!T28,aputaulukko!H28)</f>
        <v>-15686.975948016858</v>
      </c>
      <c r="N33" s="21">
        <f>(M33/K33-1)</f>
        <v>0.15645232276310606</v>
      </c>
      <c r="O33" s="159">
        <f>IF(linkki2=1,aputaulukko!U28,aputaulukko!I28)</f>
        <v>-16359.289754582509</v>
      </c>
      <c r="P33" s="231">
        <f>(O33/M33-1)</f>
        <v>4.285808869686214E-2</v>
      </c>
      <c r="Q33" s="159">
        <f>IF(linkki2=1,aputaulukko!V28,aputaulukko!J28)</f>
        <v>-16936.67702122674</v>
      </c>
      <c r="R33" s="231">
        <f>(Q33/O33-1)</f>
        <v>3.5294152454417915E-2</v>
      </c>
      <c r="S33" s="159">
        <f>IF(linkki2=1,aputaulukko!W28,aputaulukko!K28)</f>
        <v>-17691.648703060513</v>
      </c>
      <c r="T33" s="231">
        <f>(S33/Q33-1)</f>
        <v>4.457613975206387E-2</v>
      </c>
      <c r="U33" s="159">
        <f>IF(linkki2=1,aputaulukko!X28,aputaulukko!L28)</f>
        <v>-18426.129725250463</v>
      </c>
      <c r="V33" s="231">
        <f>(U33/S33-1)</f>
        <v>4.1515691076484673E-2</v>
      </c>
    </row>
    <row r="34" spans="2:22" x14ac:dyDescent="0.2">
      <c r="C34" s="159"/>
      <c r="D34" s="159"/>
      <c r="E34" s="159"/>
      <c r="F34" s="233"/>
      <c r="G34" s="159"/>
      <c r="H34" s="233"/>
      <c r="I34" s="159"/>
      <c r="J34" s="233"/>
      <c r="K34" s="159"/>
      <c r="L34" s="232"/>
      <c r="M34" s="159"/>
      <c r="N34" s="232"/>
      <c r="O34" s="159"/>
      <c r="R34" s="232"/>
      <c r="T34" s="232"/>
      <c r="V34" s="232"/>
    </row>
    <row r="35" spans="2:22" x14ac:dyDescent="0.2">
      <c r="B35" s="8" t="s">
        <v>741</v>
      </c>
      <c r="C35" s="126">
        <f>C32+C33</f>
        <v>778</v>
      </c>
      <c r="D35" s="122"/>
      <c r="E35" s="126">
        <f>E32+E33</f>
        <v>3423.9217629755221</v>
      </c>
      <c r="F35" s="232"/>
      <c r="G35" s="126">
        <f>G32+G33</f>
        <v>-15458.309169191525</v>
      </c>
      <c r="H35" s="232"/>
      <c r="I35" s="126">
        <f>I32+I33</f>
        <v>-19186.823836953452</v>
      </c>
      <c r="J35" s="232"/>
      <c r="K35" s="126">
        <f>K32+K33</f>
        <v>-7132.2226197259206</v>
      </c>
      <c r="L35" s="232"/>
      <c r="M35" s="126">
        <f>M32+M33</f>
        <v>-8625.5263683379253</v>
      </c>
      <c r="N35" s="232"/>
      <c r="O35" s="126">
        <f>O32+O33</f>
        <v>-16819.819954803763</v>
      </c>
      <c r="Q35" s="126">
        <f>Q32+Q33</f>
        <v>-16851.875021032902</v>
      </c>
      <c r="R35" s="232"/>
      <c r="S35" s="126">
        <f>S32+S33</f>
        <v>-16816.547629389559</v>
      </c>
      <c r="T35" s="232"/>
      <c r="U35" s="126">
        <f>U32+U33</f>
        <v>-15768.288991375215</v>
      </c>
      <c r="V35" s="232"/>
    </row>
    <row r="36" spans="2:22" x14ac:dyDescent="0.2">
      <c r="C36" s="159"/>
      <c r="D36" s="159"/>
      <c r="E36" s="159"/>
      <c r="F36" s="233"/>
      <c r="G36" s="159"/>
      <c r="H36" s="233"/>
      <c r="I36" s="159"/>
      <c r="J36" s="233"/>
      <c r="K36" s="159"/>
      <c r="L36" s="233"/>
      <c r="M36" s="159"/>
      <c r="N36" s="172"/>
      <c r="O36" s="159"/>
      <c r="R36" s="172"/>
      <c r="T36" s="172"/>
      <c r="V36" s="172"/>
    </row>
    <row r="37" spans="2:22" x14ac:dyDescent="0.2">
      <c r="B37" s="4" t="s">
        <v>742</v>
      </c>
      <c r="C37" s="159">
        <f>IF(linkki2=1,aputaulukko!O32,aputaulukko!C32)</f>
        <v>53609</v>
      </c>
      <c r="D37" s="159"/>
      <c r="E37" s="159">
        <f>IF(linkki2=1,aputaulukko!P32,aputaulukko!D32)</f>
        <v>52444</v>
      </c>
      <c r="F37" s="21"/>
      <c r="G37" s="159">
        <f>IF(linkki2=1,aputaulukko!Q32,aputaulukko!E32)</f>
        <v>68557.508930000011</v>
      </c>
      <c r="H37" s="21">
        <f>(G37/E37-1)</f>
        <v>0.3072517147814815</v>
      </c>
      <c r="I37" s="159">
        <f>IF(linkki2=1,aputaulukko!R32,aputaulukko!F32)</f>
        <v>81662.728049999991</v>
      </c>
      <c r="J37" s="21">
        <f>(I37/G37-1)</f>
        <v>0.19115658262001523</v>
      </c>
      <c r="K37" s="159">
        <f>IF(linkki2=1,aputaulukko!S32,aputaulukko!G32)</f>
        <v>91054.925479999991</v>
      </c>
      <c r="L37" s="21">
        <f>(K37/I37-1)</f>
        <v>0.1150120459391144</v>
      </c>
      <c r="M37" s="159">
        <f>IF(linkki2=1,aputaulukko!T32,aputaulukko!H32)</f>
        <v>99680.451848337922</v>
      </c>
      <c r="N37" s="21">
        <f>(M37/K37-1)</f>
        <v>9.472882793399795E-2</v>
      </c>
      <c r="O37" s="159">
        <f>IF(linkki2=1,aputaulukko!U32,aputaulukko!I32)</f>
        <v>116500.27180314169</v>
      </c>
      <c r="P37" s="231">
        <f>(O37/M37-1)</f>
        <v>0.16873739678061273</v>
      </c>
      <c r="Q37" s="159">
        <f>IF(linkki2=1,aputaulukko!V32,aputaulukko!J32)</f>
        <v>133352.14682417459</v>
      </c>
      <c r="R37" s="231">
        <f>(Q37/O37-1)</f>
        <v>0.14465095025279129</v>
      </c>
      <c r="S37" s="159">
        <f>IF(linkki2=1,aputaulukko!W32,aputaulukko!K32)</f>
        <v>150168.69445356415</v>
      </c>
      <c r="T37" s="231">
        <f>(S37/Q37-1)</f>
        <v>0.1261063134706204</v>
      </c>
      <c r="U37" s="159">
        <f>IF(linkki2=1,aputaulukko!X32,aputaulukko!L32)</f>
        <v>165936.98344493937</v>
      </c>
      <c r="V37" s="231">
        <f>(U37/S37-1)</f>
        <v>0.10500383617739417</v>
      </c>
    </row>
    <row r="38" spans="2:22" x14ac:dyDescent="0.2">
      <c r="B38" s="4" t="s">
        <v>743</v>
      </c>
      <c r="C38" s="159">
        <f>IF(linkki2=1,aputaulukko!O33,aputaulukko!C33)</f>
        <v>2944</v>
      </c>
      <c r="D38" s="159"/>
      <c r="E38" s="159">
        <f>IF(linkki2=1,aputaulukko!P33,aputaulukko!D33)</f>
        <v>8664</v>
      </c>
      <c r="F38" s="232"/>
      <c r="G38" s="159">
        <f>IF(linkki2=1,aputaulukko!Q33,aputaulukko!E33)</f>
        <v>8942.2521199999992</v>
      </c>
      <c r="H38" s="232"/>
      <c r="I38" s="159">
        <f>IF(linkki2=1,aputaulukko!R33,aputaulukko!F33)</f>
        <v>4597.7645599999996</v>
      </c>
      <c r="J38" s="232"/>
      <c r="K38" s="159">
        <f>IF(linkki2=1,aputaulukko!S33,aputaulukko!G33)</f>
        <v>-123.46744</v>
      </c>
      <c r="L38" s="232"/>
      <c r="M38" s="159">
        <f>IF(linkki2=1,aputaulukko!T33,aputaulukko!H33)</f>
        <v>-123.11396683654516</v>
      </c>
      <c r="N38" s="232"/>
      <c r="O38" s="159">
        <f>IF(linkki2=1,aputaulukko!U33,aputaulukko!I33)</f>
        <v>-122.76322285598484</v>
      </c>
      <c r="Q38" s="159">
        <f>IF(linkki2=1,aputaulukko!V33,aputaulukko!J33)</f>
        <v>-122.41504809547534</v>
      </c>
      <c r="R38" s="232"/>
      <c r="S38" s="159">
        <f>IF(linkki2=1,aputaulukko!W33,aputaulukko!K33)</f>
        <v>-122.06919991016917</v>
      </c>
      <c r="T38" s="232"/>
      <c r="U38" s="159">
        <f>IF(linkki2=1,aputaulukko!X33,aputaulukko!L33)</f>
        <v>-121.72234835910527</v>
      </c>
      <c r="V38" s="232"/>
    </row>
    <row r="39" spans="2:22" x14ac:dyDescent="0.2">
      <c r="B39" s="1" t="s">
        <v>744</v>
      </c>
      <c r="C39" s="165">
        <f>C37-C38</f>
        <v>50665</v>
      </c>
      <c r="D39" s="159"/>
      <c r="E39" s="165">
        <f>E37-E38</f>
        <v>43780</v>
      </c>
      <c r="F39" s="232"/>
      <c r="G39" s="165">
        <f>G37-G38</f>
        <v>59615.256810000014</v>
      </c>
      <c r="H39" s="232"/>
      <c r="I39" s="165">
        <f>I37-I38</f>
        <v>77064.963489999995</v>
      </c>
      <c r="J39" s="232"/>
      <c r="K39" s="165">
        <f>K37-K38</f>
        <v>91178.392919999984</v>
      </c>
      <c r="L39" s="232"/>
      <c r="M39" s="165">
        <f>M37-M38</f>
        <v>99803.565815174472</v>
      </c>
      <c r="N39" s="232"/>
      <c r="O39" s="165">
        <f>O37-O38</f>
        <v>116623.03502599767</v>
      </c>
      <c r="Q39" s="165">
        <f>Q37-Q38</f>
        <v>133474.56187227007</v>
      </c>
      <c r="R39" s="232"/>
      <c r="S39" s="165">
        <f>S37-S38</f>
        <v>150290.76365347434</v>
      </c>
      <c r="T39" s="232"/>
      <c r="U39" s="165">
        <f>U37-U38</f>
        <v>166058.70579329846</v>
      </c>
      <c r="V39" s="232"/>
    </row>
    <row r="40" spans="2:22" x14ac:dyDescent="0.2">
      <c r="B40" s="104"/>
      <c r="C40" s="122"/>
      <c r="D40" s="170"/>
      <c r="E40" s="122"/>
      <c r="G40" s="122"/>
      <c r="I40" s="122"/>
      <c r="K40" s="122"/>
      <c r="L40" s="232"/>
      <c r="M40" s="122"/>
      <c r="O40" s="122"/>
      <c r="R40" s="7"/>
      <c r="T40" s="7"/>
      <c r="V40" s="7"/>
    </row>
    <row r="41" spans="2:22" x14ac:dyDescent="0.2">
      <c r="B41" s="104"/>
      <c r="C41" s="122"/>
      <c r="D41" s="170"/>
      <c r="E41" s="122"/>
      <c r="G41" s="122"/>
      <c r="I41" s="122"/>
      <c r="K41" s="122"/>
      <c r="M41" s="122"/>
      <c r="O41" s="122"/>
      <c r="R41" s="7"/>
      <c r="T41" s="7"/>
      <c r="V41" s="7"/>
    </row>
    <row r="42" spans="2:22" x14ac:dyDescent="0.2">
      <c r="B42" s="250" t="s">
        <v>747</v>
      </c>
      <c r="C42" s="251">
        <f>C29+C30+C31+C33</f>
        <v>778</v>
      </c>
      <c r="D42" s="252"/>
      <c r="E42" s="251">
        <f>E29+E30+E31+E33</f>
        <v>3423.9217629755221</v>
      </c>
      <c r="F42" s="253"/>
      <c r="G42" s="251">
        <f>G29+G30+G31+G33</f>
        <v>-15458.309169191525</v>
      </c>
      <c r="H42" s="253"/>
      <c r="I42" s="251">
        <f>I29+I30+I31+I33</f>
        <v>-19186.823836953452</v>
      </c>
      <c r="J42" s="253"/>
      <c r="K42" s="251">
        <f>K29+K30+K31+K33</f>
        <v>-7132.2226197259206</v>
      </c>
      <c r="L42" s="253"/>
      <c r="M42" s="251">
        <f>M29+M30+M31+M33</f>
        <v>-8625.5263683379253</v>
      </c>
      <c r="N42" s="253"/>
      <c r="O42" s="251">
        <f>O29+O30+O31+O33</f>
        <v>-16819.819954803763</v>
      </c>
      <c r="P42" s="253"/>
      <c r="Q42" s="251">
        <f>Q29+Q30+Q31+Q33</f>
        <v>-16851.875021032902</v>
      </c>
      <c r="R42" s="253"/>
      <c r="S42" s="251">
        <f>S29+S30+S31+S33</f>
        <v>-16816.547629389559</v>
      </c>
      <c r="T42" s="253"/>
      <c r="U42" s="251">
        <f>U29+U30+U31+U33</f>
        <v>-15768.288991375215</v>
      </c>
      <c r="V42" s="253"/>
    </row>
    <row r="43" spans="2:22" x14ac:dyDescent="0.2">
      <c r="B43" s="98"/>
      <c r="C43" s="11"/>
      <c r="D43" s="224"/>
      <c r="E43" s="11"/>
      <c r="F43" s="224"/>
      <c r="G43" s="11"/>
      <c r="H43" s="120"/>
      <c r="I43" s="11"/>
      <c r="J43" s="224"/>
      <c r="K43" s="11"/>
      <c r="L43" s="224"/>
      <c r="M43" s="11"/>
      <c r="N43" s="224"/>
      <c r="O43" s="224"/>
      <c r="P43" s="98"/>
      <c r="Q43" s="98"/>
    </row>
    <row r="44" spans="2:22" ht="10.35" customHeight="1" x14ac:dyDescent="0.2">
      <c r="B44" s="12"/>
      <c r="C44" s="12"/>
      <c r="D44" s="11"/>
      <c r="E44" s="12"/>
      <c r="F44" s="11"/>
      <c r="G44" s="12"/>
      <c r="H44" s="11"/>
      <c r="I44" s="12"/>
      <c r="J44" s="11"/>
      <c r="K44" s="12"/>
      <c r="L44" s="11"/>
      <c r="M44" s="12"/>
      <c r="N44" s="11"/>
      <c r="O44" s="11"/>
      <c r="P44" s="1"/>
      <c r="Q44" s="1"/>
    </row>
    <row r="74" spans="2:16" x14ac:dyDescent="0.2">
      <c r="C74" s="120">
        <v>2019</v>
      </c>
      <c r="D74" s="120">
        <v>2020</v>
      </c>
      <c r="E74" s="120">
        <v>2021</v>
      </c>
      <c r="F74" s="120">
        <v>2022</v>
      </c>
      <c r="G74" s="120">
        <v>2023</v>
      </c>
      <c r="H74" s="120">
        <v>2024</v>
      </c>
      <c r="I74" s="120">
        <v>2025</v>
      </c>
      <c r="J74" s="120">
        <v>2026</v>
      </c>
      <c r="K74" s="120">
        <v>2027</v>
      </c>
      <c r="L74" s="120">
        <v>2028</v>
      </c>
      <c r="P74" s="7"/>
    </row>
    <row r="75" spans="2:16" x14ac:dyDescent="0.2">
      <c r="B75" s="4" t="s">
        <v>302</v>
      </c>
      <c r="C75" s="165">
        <f>aputaulukko!C22</f>
        <v>367.64795144157813</v>
      </c>
      <c r="D75" s="165">
        <f>aputaulukko!D22</f>
        <v>1078.4529170261437</v>
      </c>
      <c r="E75" s="165">
        <f>aputaulukko!E22</f>
        <v>210.69591005091866</v>
      </c>
      <c r="F75" s="165">
        <f>aputaulukko!F22</f>
        <v>191.60635543292349</v>
      </c>
      <c r="G75" s="165">
        <f>aputaulukko!G22</f>
        <v>398.64515698104725</v>
      </c>
      <c r="H75" s="165">
        <f>aputaulukko!H22</f>
        <v>443.94879791769978</v>
      </c>
      <c r="I75" s="165">
        <f>aputaulukko!I22</f>
        <v>-29.156707832937936</v>
      </c>
      <c r="J75" s="165">
        <f>aputaulukko!J22</f>
        <v>5.4041549957836832</v>
      </c>
      <c r="K75" s="165">
        <f>aputaulukko!K22</f>
        <v>56.114207994290069</v>
      </c>
      <c r="L75" s="165">
        <f>aputaulukko!L22</f>
        <v>170.42903070697326</v>
      </c>
      <c r="P75" s="7"/>
    </row>
    <row r="76" spans="2:16" x14ac:dyDescent="0.2">
      <c r="B76" s="4" t="s">
        <v>750</v>
      </c>
      <c r="C76" s="165">
        <f>aputaulukko!C16*-1</f>
        <v>366.79817905918054</v>
      </c>
      <c r="D76" s="165">
        <f>aputaulukko!D16*-1</f>
        <v>253.492770422793</v>
      </c>
      <c r="E76" s="165">
        <f>aputaulukko!E16*-1</f>
        <v>264.1094376632052</v>
      </c>
      <c r="F76" s="165">
        <f>aputaulukko!F16*-1</f>
        <v>283.05684635464098</v>
      </c>
      <c r="G76" s="165">
        <f>aputaulukko!G16*-1</f>
        <v>366.27161292288935</v>
      </c>
      <c r="H76" s="165">
        <f>aputaulukko!H16*-1</f>
        <v>396.34729033069283</v>
      </c>
      <c r="I76" s="165">
        <f>aputaulukko!I16*-1</f>
        <v>417.34726179170622</v>
      </c>
      <c r="J76" s="165">
        <f>aputaulukko!J16*-1</f>
        <v>410.02421616110126</v>
      </c>
      <c r="K76" s="165">
        <f>aputaulukko!K16*-1</f>
        <v>425.88681385059249</v>
      </c>
      <c r="L76" s="165">
        <f>aputaulukko!L16*-1</f>
        <v>439.19908457838926</v>
      </c>
      <c r="P76" s="7"/>
    </row>
    <row r="77" spans="2:16" x14ac:dyDescent="0.2">
      <c r="B77" s="4" t="s">
        <v>637</v>
      </c>
      <c r="C77" s="165">
        <f>aputaulukko!C28*-1</f>
        <v>311.38088012139605</v>
      </c>
      <c r="D77" s="165">
        <f>aputaulukko!D28*-1</f>
        <v>585.93130376426086</v>
      </c>
      <c r="E77" s="165">
        <f>aputaulukko!E28*-1</f>
        <v>1134.4966022955</v>
      </c>
      <c r="F77" s="165">
        <f>aputaulukko!F28*-1</f>
        <v>1333.1224968129666</v>
      </c>
      <c r="G77" s="165">
        <f>aputaulukko!G28*-1</f>
        <v>826.8662450472417</v>
      </c>
      <c r="H77" s="165">
        <f>aputaulukko!H28*-1</f>
        <v>986.23009858021237</v>
      </c>
      <c r="I77" s="165">
        <f>aputaulukko!I28*-1</f>
        <v>1035.7258470770819</v>
      </c>
      <c r="J77" s="165">
        <f>aputaulukko!J28*-1</f>
        <v>1079.3192085920687</v>
      </c>
      <c r="K77" s="165">
        <f>aputaulukko!K28*-1</f>
        <v>1134.443648801572</v>
      </c>
      <c r="L77" s="165">
        <f>aputaulukko!L28*-1</f>
        <v>1181.5408608688979</v>
      </c>
      <c r="P77" s="7"/>
    </row>
  </sheetData>
  <sheetProtection selectLockedCells="1"/>
  <mergeCells count="9">
    <mergeCell ref="C11:D11"/>
    <mergeCell ref="S11:T11"/>
    <mergeCell ref="Q11:R11"/>
    <mergeCell ref="O11:P11"/>
    <mergeCell ref="E11:F11"/>
    <mergeCell ref="M11:N11"/>
    <mergeCell ref="K11:L11"/>
    <mergeCell ref="I11:J11"/>
    <mergeCell ref="G11:H11"/>
  </mergeCells>
  <dataValidations count="1">
    <dataValidation type="list" allowBlank="1" showInputMessage="1" showErrorMessage="1" sqref="B2" xr:uid="{00000000-0002-0000-0100-000000000000}">
      <formula1>kuntiennimet</formula1>
    </dataValidation>
  </dataValidations>
  <pageMargins left="0.7" right="0.7" top="0.75" bottom="0.75" header="0.3" footer="0.3"/>
  <pageSetup paperSize="9" orientation="landscape" r:id="rId1"/>
  <ignoredErrors>
    <ignoredError sqref="H19:M19 G33:M33 G37:K37 G21 I21 M21 G14:M15 M16:M18 K16:K18 I16:I18 G16:G18 O14:Q19 M34:Q37 N33:Q33" 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'Manner-Suomen kunnat 2022'!$A$302:$A$303</xm:f>
          </x14:formula1>
          <xm:sqref>B5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I307"/>
  <sheetViews>
    <sheetView workbookViewId="0">
      <selection activeCell="Q193" sqref="Q193"/>
    </sheetView>
  </sheetViews>
  <sheetFormatPr defaultColWidth="9.140625" defaultRowHeight="11.25" x14ac:dyDescent="0.2"/>
  <cols>
    <col min="1" max="1" width="9.140625" style="41"/>
    <col min="2" max="2" width="38.140625" style="41" bestFit="1" customWidth="1"/>
    <col min="3" max="3" width="7.42578125" style="41" hidden="1" customWidth="1"/>
    <col min="4" max="12" width="9.140625" style="41"/>
    <col min="13" max="13" width="9.7109375" style="41" bestFit="1" customWidth="1"/>
    <col min="14" max="16" width="9.7109375" style="41" customWidth="1"/>
    <col min="17" max="17" width="9.140625" style="4"/>
    <col min="18" max="18" width="9.140625" style="117"/>
    <col min="19" max="20" width="9.140625" style="4"/>
    <col min="21" max="21" width="20.5703125" style="4" bestFit="1" customWidth="1"/>
    <col min="22" max="22" width="0" style="4" hidden="1" customWidth="1"/>
    <col min="23" max="16384" width="9.140625" style="4"/>
  </cols>
  <sheetData>
    <row r="1" spans="1:35" x14ac:dyDescent="0.2">
      <c r="A1" s="43" t="s">
        <v>811</v>
      </c>
      <c r="B1" s="43"/>
      <c r="C1" s="4"/>
      <c r="D1" s="4"/>
      <c r="E1" s="4"/>
      <c r="F1" s="4"/>
      <c r="G1" s="4"/>
      <c r="H1" s="4"/>
      <c r="I1" s="4"/>
      <c r="J1" s="4"/>
      <c r="K1" s="4"/>
      <c r="L1" s="4"/>
      <c r="M1" s="4"/>
      <c r="N1" s="4"/>
      <c r="O1" s="4"/>
      <c r="P1" s="4"/>
    </row>
    <row r="2" spans="1:35" x14ac:dyDescent="0.2">
      <c r="A2" s="43"/>
      <c r="B2" s="43"/>
      <c r="C2" s="4"/>
      <c r="D2" s="4"/>
      <c r="E2" s="4"/>
      <c r="F2" s="4"/>
      <c r="G2" s="4"/>
      <c r="H2" s="4"/>
      <c r="I2" s="4"/>
      <c r="J2" s="4"/>
      <c r="K2" s="4"/>
      <c r="L2" s="4"/>
      <c r="M2" s="4"/>
      <c r="N2" s="4"/>
      <c r="O2" s="4"/>
      <c r="P2" s="4"/>
    </row>
    <row r="3" spans="1:35" x14ac:dyDescent="0.2">
      <c r="A3" s="43"/>
      <c r="B3" s="43"/>
      <c r="C3" s="4"/>
      <c r="D3" s="4"/>
      <c r="E3" s="4"/>
      <c r="F3" s="4"/>
      <c r="G3" s="4"/>
      <c r="H3" s="4"/>
      <c r="I3" s="4"/>
      <c r="J3" s="4"/>
      <c r="K3" s="4"/>
      <c r="L3" s="4"/>
      <c r="M3" s="4"/>
      <c r="N3" s="4"/>
      <c r="O3" s="4"/>
      <c r="P3" s="4"/>
    </row>
    <row r="4" spans="1:35" x14ac:dyDescent="0.2">
      <c r="A4" s="43"/>
      <c r="B4" s="43"/>
      <c r="C4" s="4"/>
      <c r="D4" s="4"/>
      <c r="E4" s="4"/>
      <c r="F4" s="4"/>
      <c r="G4" s="4"/>
      <c r="H4" s="4"/>
      <c r="I4" s="4"/>
      <c r="J4" s="4"/>
      <c r="K4" s="4"/>
      <c r="L4" s="4"/>
      <c r="M4" s="4"/>
      <c r="N4" s="4"/>
      <c r="O4" s="4"/>
      <c r="P4" s="4"/>
    </row>
    <row r="5" spans="1:35" x14ac:dyDescent="0.2">
      <c r="A5" s="43"/>
      <c r="B5" s="43"/>
      <c r="C5" s="4"/>
      <c r="D5" s="4"/>
      <c r="E5" s="4"/>
      <c r="F5" s="4"/>
      <c r="G5" s="4"/>
      <c r="H5" s="4"/>
      <c r="I5" s="4"/>
      <c r="J5" s="4"/>
      <c r="K5" s="4"/>
      <c r="L5" s="4"/>
      <c r="M5" s="4"/>
      <c r="N5" s="4"/>
      <c r="O5" s="4"/>
      <c r="P5" s="4"/>
    </row>
    <row r="6" spans="1:35" x14ac:dyDescent="0.2">
      <c r="A6" s="43"/>
      <c r="B6" s="43"/>
      <c r="C6" s="4"/>
      <c r="D6" s="4"/>
      <c r="E6" s="4"/>
      <c r="F6" s="4"/>
      <c r="G6" s="4"/>
      <c r="H6" s="4"/>
      <c r="I6" s="4"/>
      <c r="J6" s="4"/>
      <c r="K6" s="4"/>
      <c r="L6" s="4"/>
      <c r="M6" s="4"/>
      <c r="N6" s="4"/>
      <c r="O6" s="4"/>
      <c r="P6" s="4"/>
    </row>
    <row r="7" spans="1:35" x14ac:dyDescent="0.2">
      <c r="A7" s="43"/>
      <c r="B7" s="118" t="s">
        <v>810</v>
      </c>
      <c r="C7" s="119">
        <f t="shared" ref="C7:L7" si="0">COUNTIF(C15:C307,"&lt;0")</f>
        <v>0</v>
      </c>
      <c r="D7" s="119">
        <f t="shared" si="0"/>
        <v>99</v>
      </c>
      <c r="E7" s="119">
        <f t="shared" si="0"/>
        <v>53</v>
      </c>
      <c r="F7" s="119">
        <f t="shared" si="0"/>
        <v>201</v>
      </c>
      <c r="G7" s="119">
        <f t="shared" si="0"/>
        <v>230</v>
      </c>
      <c r="H7" s="119">
        <f t="shared" si="0"/>
        <v>29</v>
      </c>
      <c r="I7" s="119">
        <f t="shared" si="0"/>
        <v>67</v>
      </c>
      <c r="J7" s="119">
        <f t="shared" si="0"/>
        <v>90</v>
      </c>
      <c r="K7" s="119">
        <f t="shared" si="0"/>
        <v>58</v>
      </c>
      <c r="L7" s="119">
        <f t="shared" si="0"/>
        <v>151</v>
      </c>
      <c r="M7" s="119">
        <f>COUNTIF(M15:M307,"&lt;0")</f>
        <v>218</v>
      </c>
      <c r="N7" s="119">
        <f>COUNTIF(N15:N307,"&lt;0")</f>
        <v>223</v>
      </c>
      <c r="O7" s="119">
        <f>COUNTIF(O15:O307,"&lt;0")</f>
        <v>226</v>
      </c>
      <c r="P7" s="119">
        <f>COUNTIF(P15:P307,"&lt;0")</f>
        <v>191</v>
      </c>
      <c r="R7" s="123" t="s">
        <v>319</v>
      </c>
    </row>
    <row r="8" spans="1:35" x14ac:dyDescent="0.2">
      <c r="A8" s="43" t="s">
        <v>622</v>
      </c>
      <c r="B8" s="43"/>
      <c r="C8" s="4"/>
      <c r="D8" s="4"/>
      <c r="E8" s="4"/>
      <c r="F8" s="4"/>
      <c r="G8" s="4"/>
      <c r="H8" s="4"/>
      <c r="I8" s="4"/>
      <c r="J8" s="4"/>
      <c r="K8" s="4"/>
      <c r="L8" s="4"/>
      <c r="M8" s="4"/>
      <c r="N8" s="4"/>
      <c r="O8" s="4"/>
      <c r="P8" s="4"/>
    </row>
    <row r="9" spans="1:35" s="120" customFormat="1" x14ac:dyDescent="0.2">
      <c r="A9" s="122"/>
      <c r="B9" s="122"/>
      <c r="R9" s="107"/>
    </row>
    <row r="10" spans="1:35" x14ac:dyDescent="0.2">
      <c r="A10" s="43" t="s">
        <v>623</v>
      </c>
      <c r="B10" s="43"/>
      <c r="C10" s="4"/>
      <c r="D10" s="4"/>
      <c r="E10" s="4"/>
      <c r="F10" s="4"/>
      <c r="G10" s="4"/>
      <c r="H10" s="4"/>
      <c r="I10" s="4"/>
      <c r="J10" s="4"/>
      <c r="K10" s="4"/>
      <c r="L10" s="4"/>
      <c r="M10" s="4"/>
      <c r="N10" s="4"/>
      <c r="O10" s="4"/>
      <c r="P10" s="4"/>
    </row>
    <row r="11" spans="1:35" x14ac:dyDescent="0.2">
      <c r="A11" s="43" t="s">
        <v>624</v>
      </c>
      <c r="B11" s="43"/>
      <c r="C11" s="4"/>
      <c r="D11" s="4"/>
      <c r="E11" s="4"/>
      <c r="F11" s="4"/>
      <c r="G11" s="4"/>
      <c r="H11" s="4"/>
      <c r="I11" s="4"/>
      <c r="J11" s="4"/>
      <c r="K11" s="4"/>
      <c r="L11" s="4"/>
      <c r="M11" s="4"/>
      <c r="N11" s="4"/>
      <c r="O11" s="4"/>
      <c r="P11" s="4"/>
    </row>
    <row r="12" spans="1:35" x14ac:dyDescent="0.2">
      <c r="A12" s="94" t="s">
        <v>326</v>
      </c>
      <c r="B12" s="94" t="s">
        <v>327</v>
      </c>
      <c r="C12" s="345">
        <v>2015</v>
      </c>
      <c r="D12" s="345">
        <v>2016</v>
      </c>
      <c r="E12" s="345">
        <v>2017</v>
      </c>
      <c r="F12" s="345">
        <v>2018</v>
      </c>
      <c r="G12" s="345">
        <v>2019</v>
      </c>
      <c r="H12" s="345">
        <v>2020</v>
      </c>
      <c r="I12" s="345">
        <v>2021</v>
      </c>
      <c r="J12" s="345">
        <v>2022</v>
      </c>
      <c r="K12" s="345">
        <v>2023</v>
      </c>
      <c r="L12" s="345">
        <v>2024</v>
      </c>
      <c r="M12" s="345">
        <v>2025</v>
      </c>
      <c r="N12" s="345">
        <v>2026</v>
      </c>
      <c r="O12" s="345">
        <v>2027</v>
      </c>
      <c r="P12" s="345">
        <v>2028</v>
      </c>
      <c r="T12" s="94" t="s">
        <v>326</v>
      </c>
      <c r="U12" s="94" t="s">
        <v>327</v>
      </c>
      <c r="V12" s="345">
        <v>2015</v>
      </c>
      <c r="W12" s="345">
        <v>2016</v>
      </c>
      <c r="X12" s="345">
        <v>2017</v>
      </c>
      <c r="Y12" s="345">
        <v>2018</v>
      </c>
      <c r="Z12" s="345">
        <v>2019</v>
      </c>
      <c r="AA12" s="345">
        <v>2020</v>
      </c>
      <c r="AB12" s="345">
        <v>2021</v>
      </c>
      <c r="AC12" s="345">
        <v>2022</v>
      </c>
      <c r="AD12" s="345">
        <v>2023</v>
      </c>
      <c r="AE12" s="345">
        <v>2024</v>
      </c>
      <c r="AF12" s="345">
        <v>2025</v>
      </c>
      <c r="AG12" s="345">
        <v>2026</v>
      </c>
      <c r="AH12" s="345">
        <v>2027</v>
      </c>
      <c r="AI12" s="345">
        <v>2028</v>
      </c>
    </row>
    <row r="13" spans="1:35" x14ac:dyDescent="0.2">
      <c r="A13" s="39"/>
      <c r="B13" s="86" t="s">
        <v>312</v>
      </c>
      <c r="C13" s="41" t="e">
        <f>SUM(C15:C307)</f>
        <v>#REF!</v>
      </c>
      <c r="D13" s="41">
        <f t="shared" ref="D13:L13" si="1">SUM(D15:D307)</f>
        <v>566491</v>
      </c>
      <c r="E13" s="41">
        <f t="shared" si="1"/>
        <v>1070137</v>
      </c>
      <c r="F13" s="41">
        <f t="shared" si="1"/>
        <v>-127250</v>
      </c>
      <c r="G13" s="41">
        <f t="shared" si="1"/>
        <v>-558108</v>
      </c>
      <c r="H13" s="41">
        <f t="shared" si="1"/>
        <v>1740694.4407711653</v>
      </c>
      <c r="I13" s="41">
        <f t="shared" si="1"/>
        <v>1283995.5547961004</v>
      </c>
      <c r="J13" s="41">
        <f t="shared" si="1"/>
        <v>1081957.1228310217</v>
      </c>
      <c r="K13" s="41">
        <f t="shared" si="1"/>
        <v>1731659.511326144</v>
      </c>
      <c r="L13" s="41">
        <f t="shared" si="1"/>
        <v>251989.75360399074</v>
      </c>
      <c r="M13" s="41">
        <f>SUM(M15:M307)</f>
        <v>-407047.19801711768</v>
      </c>
      <c r="N13" s="41">
        <f>SUM(N15:N307)</f>
        <v>-476101.53551372304</v>
      </c>
      <c r="O13" s="41">
        <f>SUM(O15:O307)</f>
        <v>-490966.38145168405</v>
      </c>
      <c r="P13" s="41">
        <f>SUM(P15:P307)</f>
        <v>-187351.36422124342</v>
      </c>
      <c r="S13" s="8"/>
      <c r="T13" s="39"/>
      <c r="U13" s="86" t="s">
        <v>312</v>
      </c>
      <c r="V13" s="41" t="e">
        <f>C13/'1. Väestöennuste'!E13*1000</f>
        <v>#REF!</v>
      </c>
      <c r="W13" s="41">
        <f>D13/'1. Väestöennuste'!F13*1000</f>
        <v>103.48600852416742</v>
      </c>
      <c r="X13" s="41">
        <f>E13/'1. Väestöennuste'!G13*1000</f>
        <v>195.15081311851011</v>
      </c>
      <c r="Y13" s="41">
        <f>F13/'1. Väestöennuste'!H13*1000</f>
        <v>-23.186404112147489</v>
      </c>
      <c r="Z13" s="41">
        <f>G13/'1. Väestöennuste'!I13*1000</f>
        <v>-101.5589743291126</v>
      </c>
      <c r="AA13" s="41">
        <f>H13/'1. Väestöennuste'!J13*1000</f>
        <v>316.27919887027355</v>
      </c>
      <c r="AB13" s="41">
        <f>I13/'1. Väestöennuste'!K13*1000</f>
        <v>232.69654268575516</v>
      </c>
      <c r="AC13" s="41">
        <f>J13/'1. Väestöennuste'!L13*1000</f>
        <v>195.52460822255514</v>
      </c>
      <c r="AD13" s="41">
        <f>K13/'1. Väestöennuste'!M13*1000</f>
        <v>310.70575857545055</v>
      </c>
      <c r="AE13" s="41">
        <f>L13/'1. Väestöennuste'!N13*1000</f>
        <v>45.497390402619665</v>
      </c>
      <c r="AF13" s="41">
        <f>M13/'1. Väestöennuste'!O13*1000</f>
        <v>-73.409387343834723</v>
      </c>
      <c r="AG13" s="41">
        <f>N13/'1. Väestöennuste'!P13*1000</f>
        <v>-85.774972942276207</v>
      </c>
      <c r="AH13" s="41">
        <f>O13/'1. Väestöennuste'!Q13*1000</f>
        <v>-88.371698717853775</v>
      </c>
      <c r="AI13" s="41">
        <f>P13/'1. Väestöennuste'!R13*1000</f>
        <v>-33.696094594643235</v>
      </c>
    </row>
    <row r="14" spans="1:35" x14ac:dyDescent="0.2">
      <c r="A14" s="39"/>
      <c r="B14" s="86"/>
      <c r="C14" s="4"/>
      <c r="D14" s="4"/>
      <c r="E14" s="4"/>
      <c r="F14" s="4"/>
      <c r="G14" s="4"/>
      <c r="H14" s="4"/>
      <c r="I14" s="4"/>
      <c r="J14" s="4"/>
      <c r="K14" s="4"/>
      <c r="L14" s="4"/>
      <c r="M14" s="4"/>
      <c r="N14" s="4"/>
      <c r="O14" s="4"/>
      <c r="P14" s="4"/>
      <c r="T14" s="39"/>
      <c r="U14" s="86"/>
      <c r="V14" s="41"/>
      <c r="W14" s="41"/>
      <c r="X14" s="41"/>
      <c r="Y14" s="41"/>
      <c r="Z14" s="41"/>
      <c r="AA14" s="41"/>
      <c r="AB14" s="41"/>
      <c r="AC14" s="41"/>
      <c r="AD14" s="41"/>
      <c r="AE14" s="41"/>
      <c r="AF14" s="41"/>
    </row>
    <row r="15" spans="1:35" x14ac:dyDescent="0.2">
      <c r="A15" s="34">
        <v>5</v>
      </c>
      <c r="B15" s="88" t="s">
        <v>328</v>
      </c>
      <c r="C15" s="41" t="e">
        <f>Vuosikate!C15-'6. Poistot'!C15</f>
        <v>#REF!</v>
      </c>
      <c r="D15" s="41">
        <f>Vuosikate!D15-'6. Poistot'!D15</f>
        <v>7019</v>
      </c>
      <c r="E15" s="41">
        <f>Vuosikate!E15-'6. Poistot'!E15</f>
        <v>3625</v>
      </c>
      <c r="F15" s="41">
        <f>Vuosikate!F15-'6. Poistot'!F15</f>
        <v>-913</v>
      </c>
      <c r="G15" s="41">
        <f>Vuosikate!G15-'6. Poistot'!G15</f>
        <v>-1963</v>
      </c>
      <c r="H15" s="41">
        <f>Vuosikate!H15-'6. Poistot'!H15</f>
        <v>2203.5106073551069</v>
      </c>
      <c r="I15" s="41">
        <f>Vuosikate!I15-'6. Poistot'!I15</f>
        <v>1030.0283233510449</v>
      </c>
      <c r="J15" s="41">
        <f>Vuosikate!J15-'6. Poistot'!J15</f>
        <v>733.73810130601032</v>
      </c>
      <c r="K15" s="41">
        <f>Vuosikate!K15-'6. Poistot'!K15</f>
        <v>3544.0709898974064</v>
      </c>
      <c r="L15" s="41">
        <f>Vuosikate!L15-'6. Poistot'!L15</f>
        <v>1294.8466623431987</v>
      </c>
      <c r="M15" s="41">
        <f>Vuosikate!M15-'6. Poistot'!M15</f>
        <v>1139.7267193792504</v>
      </c>
      <c r="N15" s="41">
        <f>Vuosikate!N15-'6. Poistot'!N15</f>
        <v>936.1848079562169</v>
      </c>
      <c r="O15" s="41">
        <f>Vuosikate!O15-'6. Poistot'!O15</f>
        <v>1015.7969111129732</v>
      </c>
      <c r="P15" s="41">
        <f>Vuosikate!P15-'6. Poistot'!P15</f>
        <v>1989.680295021295</v>
      </c>
      <c r="T15" s="34">
        <v>5</v>
      </c>
      <c r="U15" s="88" t="s">
        <v>328</v>
      </c>
      <c r="V15" s="41" t="e">
        <f>C15/'1. Väestöennuste'!E15*1000</f>
        <v>#REF!</v>
      </c>
      <c r="W15" s="41">
        <f>D15/'1. Väestöennuste'!F15*1000</f>
        <v>709.06152136579453</v>
      </c>
      <c r="X15" s="41">
        <f>E15/'1. Väestöennuste'!G15*1000</f>
        <v>368.73156342182887</v>
      </c>
      <c r="Y15" s="41">
        <f>F15/'1. Väestöennuste'!H15*1000</f>
        <v>-94.123711340206185</v>
      </c>
      <c r="Z15" s="41">
        <f>G15/'1. Väestöennuste'!I15*1000</f>
        <v>-205.29177996235097</v>
      </c>
      <c r="AA15" s="41">
        <f>H15/'1. Väestöennuste'!J15*1000</f>
        <v>233.94315822859187</v>
      </c>
      <c r="AB15" s="41">
        <f>I15/'1. Väestöennuste'!K15*1000</f>
        <v>110.62488705306035</v>
      </c>
      <c r="AC15" s="41">
        <f>J15/'1. Väestöennuste'!L15*1000</f>
        <v>79.901786050964859</v>
      </c>
      <c r="AD15" s="41">
        <f>K15/'1. Väestöennuste'!M15*1000</f>
        <v>388.90277514511206</v>
      </c>
      <c r="AE15" s="41">
        <f>L15/'1. Väestöennuste'!N15*1000</f>
        <v>144.65944166497582</v>
      </c>
      <c r="AF15" s="41">
        <f>M15/'1. Väestöennuste'!O15*1000</f>
        <v>128.9137789140652</v>
      </c>
      <c r="AG15" s="41">
        <f>N15/'1. Väestöennuste'!P15*1000</f>
        <v>107.23766414160559</v>
      </c>
      <c r="AH15" s="41">
        <f>O15/'1. Väestöennuste'!Q15*1000</f>
        <v>117.82819987390944</v>
      </c>
      <c r="AI15" s="41">
        <f>P15/'1. Väestöennuste'!R15*1000</f>
        <v>233.75003465945665</v>
      </c>
    </row>
    <row r="16" spans="1:35" x14ac:dyDescent="0.2">
      <c r="A16" s="34">
        <v>9</v>
      </c>
      <c r="B16" s="88" t="s">
        <v>329</v>
      </c>
      <c r="C16" s="41" t="e">
        <f>Vuosikate!C16-'6. Poistot'!C16</f>
        <v>#REF!</v>
      </c>
      <c r="D16" s="41">
        <f>Vuosikate!D16-'6. Poistot'!D16</f>
        <v>546</v>
      </c>
      <c r="E16" s="41">
        <f>Vuosikate!E16-'6. Poistot'!E16</f>
        <v>-96</v>
      </c>
      <c r="F16" s="41">
        <f>Vuosikate!F16-'6. Poistot'!F16</f>
        <v>397</v>
      </c>
      <c r="G16" s="41">
        <f>Vuosikate!G16-'6. Poistot'!G16</f>
        <v>715</v>
      </c>
      <c r="H16" s="41">
        <f>Vuosikate!H16-'6. Poistot'!H16</f>
        <v>1266.3207278548052</v>
      </c>
      <c r="I16" s="41">
        <f>Vuosikate!I16-'6. Poistot'!I16</f>
        <v>644.22873142801598</v>
      </c>
      <c r="J16" s="41">
        <f>Vuosikate!J16-'6. Poistot'!J16</f>
        <v>1997.4670025995024</v>
      </c>
      <c r="K16" s="41">
        <f>Vuosikate!K16-'6. Poistot'!K16</f>
        <v>659.15132330740357</v>
      </c>
      <c r="L16" s="41">
        <f>Vuosikate!L16-'6. Poistot'!L16</f>
        <v>85.511045045540527</v>
      </c>
      <c r="M16" s="41">
        <f>Vuosikate!M16-'6. Poistot'!M16</f>
        <v>-62.165804084712022</v>
      </c>
      <c r="N16" s="41">
        <f>Vuosikate!N16-'6. Poistot'!N16</f>
        <v>-372.24196588279324</v>
      </c>
      <c r="O16" s="41">
        <f>Vuosikate!O16-'6. Poistot'!O16</f>
        <v>-503.51236892058972</v>
      </c>
      <c r="P16" s="41">
        <f>Vuosikate!P16-'6. Poistot'!P16</f>
        <v>-437.36153005589722</v>
      </c>
      <c r="T16" s="34">
        <v>9</v>
      </c>
      <c r="U16" s="88" t="s">
        <v>329</v>
      </c>
      <c r="V16" s="41" t="e">
        <f>C16/'1. Väestöennuste'!E16*1000</f>
        <v>#REF!</v>
      </c>
      <c r="W16" s="41">
        <f>D16/'1. Väestöennuste'!F16*1000</f>
        <v>206.89655172413794</v>
      </c>
      <c r="X16" s="41">
        <f>E16/'1. Väestöennuste'!G16*1000</f>
        <v>-36.781609195402297</v>
      </c>
      <c r="Y16" s="41">
        <f>F16/'1. Väestöennuste'!H16*1000</f>
        <v>154.29459774582199</v>
      </c>
      <c r="Z16" s="41">
        <f>G16/'1. Väestöennuste'!I16*1000</f>
        <v>283.84279475982532</v>
      </c>
      <c r="AA16" s="41">
        <f>H16/'1. Väestöennuste'!J16*1000</f>
        <v>503.10716243734811</v>
      </c>
      <c r="AB16" s="41">
        <f>I16/'1. Väestöennuste'!K16*1000</f>
        <v>258.62253369249936</v>
      </c>
      <c r="AC16" s="41">
        <f>J16/'1. Väestöennuste'!L16*1000</f>
        <v>816.29219558622901</v>
      </c>
      <c r="AD16" s="41">
        <f>K16/'1. Väestöennuste'!M16*1000</f>
        <v>270.47653808264403</v>
      </c>
      <c r="AE16" s="41">
        <f>L16/'1. Väestöennuste'!N16*1000</f>
        <v>35.320547313317029</v>
      </c>
      <c r="AF16" s="41">
        <f>M16/'1. Väestöennuste'!O16*1000</f>
        <v>-25.934836914773474</v>
      </c>
      <c r="AG16" s="41">
        <f>N16/'1. Väestöennuste'!P16*1000</f>
        <v>-156.73345931907085</v>
      </c>
      <c r="AH16" s="41">
        <f>O16/'1. Väestöennuste'!Q16*1000</f>
        <v>-214.07838814650924</v>
      </c>
      <c r="AI16" s="41">
        <f>P16/'1. Väestöennuste'!R16*1000</f>
        <v>-187.78940749501814</v>
      </c>
    </row>
    <row r="17" spans="1:35" x14ac:dyDescent="0.2">
      <c r="A17" s="34">
        <v>10</v>
      </c>
      <c r="B17" s="88" t="s">
        <v>330</v>
      </c>
      <c r="C17" s="41" t="e">
        <f>Vuosikate!C17-'6. Poistot'!C17</f>
        <v>#REF!</v>
      </c>
      <c r="D17" s="41">
        <f>Vuosikate!D17-'6. Poistot'!D17</f>
        <v>1534</v>
      </c>
      <c r="E17" s="41">
        <f>Vuosikate!E17-'6. Poistot'!E17</f>
        <v>2246</v>
      </c>
      <c r="F17" s="41">
        <f>Vuosikate!F17-'6. Poistot'!F17</f>
        <v>-386</v>
      </c>
      <c r="G17" s="41">
        <f>Vuosikate!G17-'6. Poistot'!G17</f>
        <v>-2577</v>
      </c>
      <c r="H17" s="41">
        <f>Vuosikate!H17-'6. Poistot'!H17</f>
        <v>1133.7838108954456</v>
      </c>
      <c r="I17" s="41">
        <f>Vuosikate!I17-'6. Poistot'!I17</f>
        <v>-993.52076938165555</v>
      </c>
      <c r="J17" s="41">
        <f>Vuosikate!J17-'6. Poistot'!J17</f>
        <v>-2201.7710603619225</v>
      </c>
      <c r="K17" s="41">
        <f>Vuosikate!K17-'6. Poistot'!K17</f>
        <v>150.88861556293796</v>
      </c>
      <c r="L17" s="41">
        <f>Vuosikate!L17-'6. Poistot'!L17</f>
        <v>-1661.3027804287467</v>
      </c>
      <c r="M17" s="41">
        <f>Vuosikate!M17-'6. Poistot'!M17</f>
        <v>-2953.8210408883606</v>
      </c>
      <c r="N17" s="41">
        <f>Vuosikate!N17-'6. Poistot'!N17</f>
        <v>-2886.2877187293861</v>
      </c>
      <c r="O17" s="41">
        <f>Vuosikate!O17-'6. Poistot'!O17</f>
        <v>-2575.7392038309285</v>
      </c>
      <c r="P17" s="41">
        <f>Vuosikate!P17-'6. Poistot'!P17</f>
        <v>-1436.706199308866</v>
      </c>
      <c r="T17" s="34">
        <v>10</v>
      </c>
      <c r="U17" s="88" t="s">
        <v>330</v>
      </c>
      <c r="V17" s="41" t="e">
        <f>C17/'1. Väestöennuste'!E17*1000</f>
        <v>#REF!</v>
      </c>
      <c r="W17" s="41">
        <f>D17/'1. Väestöennuste'!F17*1000</f>
        <v>128.83177962543041</v>
      </c>
      <c r="X17" s="41">
        <f>E17/'1. Väestöennuste'!G17*1000</f>
        <v>191.75275335097754</v>
      </c>
      <c r="Y17" s="41">
        <f>F17/'1. Väestöennuste'!H17*1000</f>
        <v>-33.437283437283433</v>
      </c>
      <c r="Z17" s="41">
        <f>G17/'1. Väestöennuste'!I17*1000</f>
        <v>-224.71224276246949</v>
      </c>
      <c r="AA17" s="41">
        <f>H17/'1. Väestöennuste'!J17*1000</f>
        <v>100.05151878710251</v>
      </c>
      <c r="AB17" s="41">
        <f>I17/'1. Väestöennuste'!K17*1000</f>
        <v>-88.730978778392029</v>
      </c>
      <c r="AC17" s="41">
        <f>J17/'1. Väestöennuste'!L17*1000</f>
        <v>-198.32201948855362</v>
      </c>
      <c r="AD17" s="41">
        <f>K17/'1. Väestöennuste'!M17*1000</f>
        <v>13.801208777365586</v>
      </c>
      <c r="AE17" s="41">
        <f>L17/'1. Väestöennuste'!N17*1000</f>
        <v>-153.61098293377222</v>
      </c>
      <c r="AF17" s="41">
        <f>M17/'1. Väestöennuste'!O17*1000</f>
        <v>-276.41971185554564</v>
      </c>
      <c r="AG17" s="41">
        <f>N17/'1. Väestöennuste'!P17*1000</f>
        <v>-273.27094477649933</v>
      </c>
      <c r="AH17" s="41">
        <f>O17/'1. Väestöennuste'!Q17*1000</f>
        <v>-246.64743884237561</v>
      </c>
      <c r="AI17" s="41">
        <f>P17/'1. Väestöennuste'!R17*1000</f>
        <v>-139.14830017519284</v>
      </c>
    </row>
    <row r="18" spans="1:35" x14ac:dyDescent="0.2">
      <c r="A18" s="34">
        <v>16</v>
      </c>
      <c r="B18" s="88" t="s">
        <v>331</v>
      </c>
      <c r="C18" s="41" t="e">
        <f>Vuosikate!C18-'6. Poistot'!C18</f>
        <v>#REF!</v>
      </c>
      <c r="D18" s="41">
        <f>Vuosikate!D18-'6. Poistot'!D18</f>
        <v>3264</v>
      </c>
      <c r="E18" s="41">
        <f>Vuosikate!E18-'6. Poistot'!E18</f>
        <v>2410</v>
      </c>
      <c r="F18" s="41">
        <f>Vuosikate!F18-'6. Poistot'!F18</f>
        <v>700</v>
      </c>
      <c r="G18" s="41">
        <f>Vuosikate!G18-'6. Poistot'!G18</f>
        <v>149</v>
      </c>
      <c r="H18" s="41">
        <f>Vuosikate!H18-'6. Poistot'!H18</f>
        <v>6132.317470642196</v>
      </c>
      <c r="I18" s="41">
        <f>Vuosikate!I18-'6. Poistot'!I18</f>
        <v>3122.7460784769532</v>
      </c>
      <c r="J18" s="41">
        <f>Vuosikate!J18-'6. Poistot'!J18</f>
        <v>2249.3320671633633</v>
      </c>
      <c r="K18" s="41">
        <f>Vuosikate!K18-'6. Poistot'!K18</f>
        <v>3920.2234961206605</v>
      </c>
      <c r="L18" s="41">
        <f>Vuosikate!L18-'6. Poistot'!L18</f>
        <v>78.910911996082632</v>
      </c>
      <c r="M18" s="41">
        <f>Vuosikate!M18-'6. Poistot'!M18</f>
        <v>642.41997419007157</v>
      </c>
      <c r="N18" s="41">
        <f>Vuosikate!N18-'6. Poistot'!N18</f>
        <v>-340.53742258066131</v>
      </c>
      <c r="O18" s="41">
        <f>Vuosikate!O18-'6. Poistot'!O18</f>
        <v>-860.6351273876694</v>
      </c>
      <c r="P18" s="41">
        <f>Vuosikate!P18-'6. Poistot'!P18</f>
        <v>-11.9921318003735</v>
      </c>
      <c r="T18" s="34">
        <v>16</v>
      </c>
      <c r="U18" s="88" t="s">
        <v>331</v>
      </c>
      <c r="V18" s="41" t="e">
        <f>C18/'1. Väestöennuste'!E18*1000</f>
        <v>#REF!</v>
      </c>
      <c r="W18" s="41">
        <f>D18/'1. Väestöennuste'!F18*1000</f>
        <v>392.16628619488165</v>
      </c>
      <c r="X18" s="41">
        <f>E18/'1. Väestöennuste'!G18*1000</f>
        <v>292.19204655674105</v>
      </c>
      <c r="Y18" s="41">
        <f>F18/'1. Väestöennuste'!H18*1000</f>
        <v>85.900110442999136</v>
      </c>
      <c r="Z18" s="41">
        <f>G18/'1. Väestöennuste'!I18*1000</f>
        <v>18.433749845354448</v>
      </c>
      <c r="AA18" s="41">
        <f>H18/'1. Väestöennuste'!J18*1000</f>
        <v>760.92784100287827</v>
      </c>
      <c r="AB18" s="41">
        <f>I18/'1. Väestöennuste'!K18*1000</f>
        <v>388.7397085120071</v>
      </c>
      <c r="AC18" s="41">
        <f>J18/'1. Väestöennuste'!L18*1000</f>
        <v>280.67532657391604</v>
      </c>
      <c r="AD18" s="41">
        <f>K18/'1. Väestöennuste'!M18*1000</f>
        <v>491.99592069787406</v>
      </c>
      <c r="AE18" s="41">
        <f>L18/'1. Väestöennuste'!N18*1000</f>
        <v>10.006455997474339</v>
      </c>
      <c r="AF18" s="41">
        <f>M18/'1. Väestöennuste'!O18*1000</f>
        <v>81.97269033942473</v>
      </c>
      <c r="AG18" s="41">
        <f>N18/'1. Väestöennuste'!P18*1000</f>
        <v>-43.709077471526292</v>
      </c>
      <c r="AH18" s="41">
        <f>O18/'1. Väestöennuste'!Q18*1000</f>
        <v>-111.15008748387827</v>
      </c>
      <c r="AI18" s="41">
        <f>P18/'1. Väestöennuste'!R18*1000</f>
        <v>-1.5576220029060268</v>
      </c>
    </row>
    <row r="19" spans="1:35" x14ac:dyDescent="0.2">
      <c r="A19" s="34">
        <v>18</v>
      </c>
      <c r="B19" s="88" t="s">
        <v>332</v>
      </c>
      <c r="C19" s="41" t="e">
        <f>Vuosikate!C19-'6. Poistot'!C19</f>
        <v>#REF!</v>
      </c>
      <c r="D19" s="41">
        <f>Vuosikate!D19-'6. Poistot'!D19</f>
        <v>-230</v>
      </c>
      <c r="E19" s="41">
        <f>Vuosikate!E19-'6. Poistot'!E19</f>
        <v>-509</v>
      </c>
      <c r="F19" s="41">
        <f>Vuosikate!F19-'6. Poistot'!F19</f>
        <v>-1453</v>
      </c>
      <c r="G19" s="41">
        <f>Vuosikate!G19-'6. Poistot'!G19</f>
        <v>956</v>
      </c>
      <c r="H19" s="41">
        <f>Vuosikate!H19-'6. Poistot'!H19</f>
        <v>2669.6578954179313</v>
      </c>
      <c r="I19" s="41">
        <f>Vuosikate!I19-'6. Poistot'!I19</f>
        <v>1305.5706650998086</v>
      </c>
      <c r="J19" s="41">
        <f>Vuosikate!J19-'6. Poistot'!J19</f>
        <v>891.49539665942939</v>
      </c>
      <c r="K19" s="41">
        <f>Vuosikate!K19-'6. Poistot'!K19</f>
        <v>597.33000118489599</v>
      </c>
      <c r="L19" s="41">
        <f>Vuosikate!L19-'6. Poistot'!L19</f>
        <v>-534.42382327621044</v>
      </c>
      <c r="M19" s="41">
        <f>Vuosikate!M19-'6. Poistot'!M19</f>
        <v>-1178.6173841100135</v>
      </c>
      <c r="N19" s="41">
        <f>Vuosikate!N19-'6. Poistot'!N19</f>
        <v>-999.49644760072579</v>
      </c>
      <c r="O19" s="41">
        <f>Vuosikate!O19-'6. Poistot'!O19</f>
        <v>-1231.0006328373529</v>
      </c>
      <c r="P19" s="41">
        <f>Vuosikate!P19-'6. Poistot'!P19</f>
        <v>-1271.5951740638677</v>
      </c>
      <c r="T19" s="34">
        <v>18</v>
      </c>
      <c r="U19" s="88" t="s">
        <v>332</v>
      </c>
      <c r="V19" s="41" t="e">
        <f>C19/'1. Väestöennuste'!E19*1000</f>
        <v>#REF!</v>
      </c>
      <c r="W19" s="41">
        <f>D19/'1. Väestöennuste'!F19*1000</f>
        <v>-45.580657946888628</v>
      </c>
      <c r="X19" s="41">
        <f>E19/'1. Väestöennuste'!G19*1000</f>
        <v>-102.00400801603206</v>
      </c>
      <c r="Y19" s="41">
        <f>F19/'1. Väestöennuste'!H19*1000</f>
        <v>-293.06171843485276</v>
      </c>
      <c r="Z19" s="41">
        <f>G19/'1. Väestöennuste'!I19*1000</f>
        <v>193.40481488974308</v>
      </c>
      <c r="AA19" s="41">
        <f>H19/'1. Väestöennuste'!J19*1000</f>
        <v>547.28534141409</v>
      </c>
      <c r="AB19" s="41">
        <f>I19/'1. Väestöennuste'!K19*1000</f>
        <v>269.35644008661205</v>
      </c>
      <c r="AC19" s="41">
        <f>J19/'1. Väestöennuste'!L19*1000</f>
        <v>187.1709839721666</v>
      </c>
      <c r="AD19" s="41">
        <f>K19/'1. Väestöennuste'!M19*1000</f>
        <v>127.09148961380764</v>
      </c>
      <c r="AE19" s="41">
        <f>L19/'1. Väestöennuste'!N19*1000</f>
        <v>-112.89054146096544</v>
      </c>
      <c r="AF19" s="41">
        <f>M19/'1. Väestöennuste'!O19*1000</f>
        <v>-250.2903767487818</v>
      </c>
      <c r="AG19" s="41">
        <f>N19/'1. Väestöennuste'!P19*1000</f>
        <v>-213.29416295363333</v>
      </c>
      <c r="AH19" s="41">
        <f>O19/'1. Väestöennuste'!Q19*1000</f>
        <v>-263.88009278399846</v>
      </c>
      <c r="AI19" s="41">
        <f>P19/'1. Väestöennuste'!R19*1000</f>
        <v>-273.93260966477118</v>
      </c>
    </row>
    <row r="20" spans="1:35" x14ac:dyDescent="0.2">
      <c r="A20" s="34">
        <v>19</v>
      </c>
      <c r="B20" s="88" t="s">
        <v>333</v>
      </c>
      <c r="C20" s="41" t="e">
        <f>Vuosikate!C20-'6. Poistot'!C20</f>
        <v>#REF!</v>
      </c>
      <c r="D20" s="41">
        <f>Vuosikate!D20-'6. Poistot'!D20</f>
        <v>991</v>
      </c>
      <c r="E20" s="41">
        <f>Vuosikate!E20-'6. Poistot'!E20</f>
        <v>2045</v>
      </c>
      <c r="F20" s="41">
        <f>Vuosikate!F20-'6. Poistot'!F20</f>
        <v>15</v>
      </c>
      <c r="G20" s="41">
        <f>Vuosikate!G20-'6. Poistot'!G20</f>
        <v>-237</v>
      </c>
      <c r="H20" s="41">
        <f>Vuosikate!H20-'6. Poistot'!H20</f>
        <v>2233.5150236475156</v>
      </c>
      <c r="I20" s="41">
        <f>Vuosikate!I20-'6. Poistot'!I20</f>
        <v>1646.432421289282</v>
      </c>
      <c r="J20" s="41">
        <f>Vuosikate!J20-'6. Poistot'!J20</f>
        <v>1267.4321580620754</v>
      </c>
      <c r="K20" s="41">
        <f>Vuosikate!K20-'6. Poistot'!K20</f>
        <v>476.46679938667626</v>
      </c>
      <c r="L20" s="41">
        <f>Vuosikate!L20-'6. Poistot'!L20</f>
        <v>-819.01896435940341</v>
      </c>
      <c r="M20" s="41">
        <f>Vuosikate!M20-'6. Poistot'!M20</f>
        <v>-1582.4710513896082</v>
      </c>
      <c r="N20" s="41">
        <f>Vuosikate!N20-'6. Poistot'!N20</f>
        <v>-1434.9003803803384</v>
      </c>
      <c r="O20" s="41">
        <f>Vuosikate!O20-'6. Poistot'!O20</f>
        <v>-1139.597162957386</v>
      </c>
      <c r="P20" s="41">
        <f>Vuosikate!P20-'6. Poistot'!P20</f>
        <v>-1221.129189739145</v>
      </c>
      <c r="T20" s="34">
        <v>19</v>
      </c>
      <c r="U20" s="88" t="s">
        <v>333</v>
      </c>
      <c r="V20" s="41" t="e">
        <f>C20/'1. Väestöennuste'!E20*1000</f>
        <v>#REF!</v>
      </c>
      <c r="W20" s="41">
        <f>D20/'1. Väestöennuste'!F20*1000</f>
        <v>248.74497991967874</v>
      </c>
      <c r="X20" s="41">
        <f>E20/'1. Väestöennuste'!G20*1000</f>
        <v>512.40290653971431</v>
      </c>
      <c r="Y20" s="41">
        <f>F20/'1. Väestöennuste'!H20*1000</f>
        <v>3.7650602409638556</v>
      </c>
      <c r="Z20" s="41">
        <f>G20/'1. Väestöennuste'!I20*1000</f>
        <v>-60.137021060644507</v>
      </c>
      <c r="AA20" s="41">
        <f>H20/'1. Väestöennuste'!J20*1000</f>
        <v>564.16141036815247</v>
      </c>
      <c r="AB20" s="41">
        <f>I20/'1. Väestöennuste'!K20*1000</f>
        <v>416.29138338540633</v>
      </c>
      <c r="AC20" s="41">
        <f>J20/'1. Väestöennuste'!L20*1000</f>
        <v>319.65502094882106</v>
      </c>
      <c r="AD20" s="41">
        <f>K20/'1. Väestöennuste'!M20*1000</f>
        <v>120.28952269292509</v>
      </c>
      <c r="AE20" s="41">
        <f>L20/'1. Väestöennuste'!N20*1000</f>
        <v>-206.7185674809196</v>
      </c>
      <c r="AF20" s="41">
        <f>M20/'1. Väestöennuste'!O20*1000</f>
        <v>-398.90876011837867</v>
      </c>
      <c r="AG20" s="41">
        <f>N20/'1. Väestöennuste'!P20*1000</f>
        <v>-361.16294497365681</v>
      </c>
      <c r="AH20" s="41">
        <f>O20/'1. Väestöennuste'!Q20*1000</f>
        <v>-286.1871328371135</v>
      </c>
      <c r="AI20" s="41">
        <f>P20/'1. Väestöennuste'!R20*1000</f>
        <v>-306.20090013519177</v>
      </c>
    </row>
    <row r="21" spans="1:35" x14ac:dyDescent="0.2">
      <c r="A21" s="34">
        <v>20</v>
      </c>
      <c r="B21" s="88" t="s">
        <v>334</v>
      </c>
      <c r="C21" s="41" t="e">
        <f>Vuosikate!C21-'6. Poistot'!C21</f>
        <v>#REF!</v>
      </c>
      <c r="D21" s="41">
        <f>Vuosikate!D21-'6. Poistot'!D21</f>
        <v>55</v>
      </c>
      <c r="E21" s="41">
        <f>Vuosikate!E21-'6. Poistot'!E21</f>
        <v>1513</v>
      </c>
      <c r="F21" s="41">
        <f>Vuosikate!F21-'6. Poistot'!F21</f>
        <v>-2349</v>
      </c>
      <c r="G21" s="41">
        <f>Vuosikate!G21-'6. Poistot'!G21</f>
        <v>14</v>
      </c>
      <c r="H21" s="41">
        <f>Vuosikate!H21-'6. Poistot'!H21</f>
        <v>13521.921762975522</v>
      </c>
      <c r="I21" s="41">
        <f>Vuosikate!I21-'6. Poistot'!I21</f>
        <v>-879.56055919152277</v>
      </c>
      <c r="J21" s="41">
        <f>Vuosikate!J21-'6. Poistot'!J21</f>
        <v>-1506.4639369534516</v>
      </c>
      <c r="K21" s="41">
        <f>Vuosikate!K21-'6. Poistot'!K21</f>
        <v>531.08799027407986</v>
      </c>
      <c r="L21" s="41">
        <f>Vuosikate!L21-'6. Poistot'!L21</f>
        <v>757.14957967893224</v>
      </c>
      <c r="M21" s="41">
        <f>Vuosikate!M21-'6. Poistot'!M21</f>
        <v>-7052.5302002212547</v>
      </c>
      <c r="N21" s="41">
        <f>Vuosikate!N21-'6. Poistot'!N21</f>
        <v>-6349.2979998061628</v>
      </c>
      <c r="O21" s="41">
        <f>Vuosikate!O21-'6. Poistot'!O21</f>
        <v>-5766.6037883290373</v>
      </c>
      <c r="P21" s="41">
        <f>Vuosikate!P21-'6. Poistot'!P21</f>
        <v>-4191.468990124733</v>
      </c>
      <c r="T21" s="34">
        <v>20</v>
      </c>
      <c r="U21" s="88" t="s">
        <v>334</v>
      </c>
      <c r="V21" s="41" t="e">
        <f>C21/'1. Väestöennuste'!E21*1000</f>
        <v>#REF!</v>
      </c>
      <c r="W21" s="41">
        <f>D21/'1. Väestöennuste'!F21*1000</f>
        <v>3.2500147727944215</v>
      </c>
      <c r="X21" s="41">
        <f>E21/'1. Väestöennuste'!G21*1000</f>
        <v>90.226012284572718</v>
      </c>
      <c r="Y21" s="41">
        <f>F21/'1. Väestöennuste'!H21*1000</f>
        <v>-141.41231713924506</v>
      </c>
      <c r="Z21" s="41">
        <f>G21/'1. Väestöennuste'!I21*1000</f>
        <v>0.84977238239757213</v>
      </c>
      <c r="AA21" s="41">
        <f>H21/'1. Väestöennuste'!J21*1000</f>
        <v>824.96014660335072</v>
      </c>
      <c r="AB21" s="41">
        <f>I21/'1. Väestöennuste'!K21*1000</f>
        <v>-53.413527612286558</v>
      </c>
      <c r="AC21" s="41">
        <f>J21/'1. Väestöennuste'!L21*1000</f>
        <v>-91.450490921717446</v>
      </c>
      <c r="AD21" s="41">
        <f>K21/'1. Väestöennuste'!M21*1000</f>
        <v>32.373544058157869</v>
      </c>
      <c r="AE21" s="41">
        <f>L21/'1. Väestöennuste'!N21*1000</f>
        <v>47.601507587006928</v>
      </c>
      <c r="AF21" s="41">
        <f>M21/'1. Väestöennuste'!O21*1000</f>
        <v>-446.50396962464418</v>
      </c>
      <c r="AG21" s="41">
        <f>N21/'1. Väestöennuste'!P21*1000</f>
        <v>-404.62006116531751</v>
      </c>
      <c r="AH21" s="41">
        <f>O21/'1. Väestöennuste'!Q21*1000</f>
        <v>-369.7726058563025</v>
      </c>
      <c r="AI21" s="41">
        <f>P21/'1. Väestöennuste'!R21*1000</f>
        <v>-270.38246614144839</v>
      </c>
    </row>
    <row r="22" spans="1:35" x14ac:dyDescent="0.2">
      <c r="A22" s="34">
        <v>46</v>
      </c>
      <c r="B22" s="88" t="s">
        <v>335</v>
      </c>
      <c r="C22" s="41" t="e">
        <f>Vuosikate!C22-'6. Poistot'!C22</f>
        <v>#REF!</v>
      </c>
      <c r="D22" s="41">
        <f>Vuosikate!D22-'6. Poistot'!D22</f>
        <v>590</v>
      </c>
      <c r="E22" s="41">
        <f>Vuosikate!E22-'6. Poistot'!E22</f>
        <v>133</v>
      </c>
      <c r="F22" s="41">
        <f>Vuosikate!F22-'6. Poistot'!F22</f>
        <v>-256</v>
      </c>
      <c r="G22" s="41">
        <f>Vuosikate!G22-'6. Poistot'!G22</f>
        <v>162</v>
      </c>
      <c r="H22" s="41">
        <f>Vuosikate!H22-'6. Poistot'!H22</f>
        <v>928.04280153749914</v>
      </c>
      <c r="I22" s="41">
        <f>Vuosikate!I22-'6. Poistot'!I22</f>
        <v>1250.3193451985367</v>
      </c>
      <c r="J22" s="41">
        <f>Vuosikate!J22-'6. Poistot'!J22</f>
        <v>780.17790497819999</v>
      </c>
      <c r="K22" s="41">
        <f>Vuosikate!K22-'6. Poistot'!K22</f>
        <v>631.65502260084395</v>
      </c>
      <c r="L22" s="41">
        <f>Vuosikate!L22-'6. Poistot'!L22</f>
        <v>-242.17296474407021</v>
      </c>
      <c r="M22" s="41">
        <f>Vuosikate!M22-'6. Poistot'!M22</f>
        <v>34.462288325691588</v>
      </c>
      <c r="N22" s="41">
        <f>Vuosikate!N22-'6. Poistot'!N22</f>
        <v>-88.158950454025671</v>
      </c>
      <c r="O22" s="41">
        <f>Vuosikate!O22-'6. Poistot'!O22</f>
        <v>-145.67467498060978</v>
      </c>
      <c r="P22" s="41">
        <f>Vuosikate!P22-'6. Poistot'!P22</f>
        <v>-107.27552086272738</v>
      </c>
      <c r="T22" s="34">
        <v>46</v>
      </c>
      <c r="U22" s="88" t="s">
        <v>335</v>
      </c>
      <c r="V22" s="41" t="e">
        <f>C22/'1. Väestöennuste'!E22*1000</f>
        <v>#REF!</v>
      </c>
      <c r="W22" s="41">
        <f>D22/'1. Väestöennuste'!F22*1000</f>
        <v>406.05643496214725</v>
      </c>
      <c r="X22" s="41">
        <f>E22/'1. Väestöennuste'!G22*1000</f>
        <v>93.926553672316373</v>
      </c>
      <c r="Y22" s="41">
        <f>F22/'1. Väestöennuste'!H22*1000</f>
        <v>-182.20640569395019</v>
      </c>
      <c r="Z22" s="41">
        <f>G22/'1. Väestöennuste'!I22*1000</f>
        <v>119.03012490815577</v>
      </c>
      <c r="AA22" s="41">
        <f>H22/'1. Väestöennuste'!J22*1000</f>
        <v>677.89832106464507</v>
      </c>
      <c r="AB22" s="41">
        <f>I22/'1. Väestöennuste'!K22*1000</f>
        <v>918.00245609290505</v>
      </c>
      <c r="AC22" s="41">
        <f>J22/'1. Väestöennuste'!L22*1000</f>
        <v>581.78814688903799</v>
      </c>
      <c r="AD22" s="41">
        <f>K22/'1. Väestöennuste'!M22*1000</f>
        <v>478.52653227336663</v>
      </c>
      <c r="AE22" s="41">
        <f>L22/'1. Väestöennuste'!N22*1000</f>
        <v>-184.30210406702452</v>
      </c>
      <c r="AF22" s="41">
        <f>M22/'1. Väestöennuste'!O22*1000</f>
        <v>26.5094525582243</v>
      </c>
      <c r="AG22" s="41">
        <f>N22/'1. Väestöennuste'!P22*1000</f>
        <v>-68.499573002350942</v>
      </c>
      <c r="AH22" s="41">
        <f>O22/'1. Väestöennuste'!Q22*1000</f>
        <v>-114.34432887018036</v>
      </c>
      <c r="AI22" s="41">
        <f>P22/'1. Väestöennuste'!R22*1000</f>
        <v>-85.20692681709879</v>
      </c>
    </row>
    <row r="23" spans="1:35" x14ac:dyDescent="0.2">
      <c r="A23" s="34">
        <v>47</v>
      </c>
      <c r="B23" s="88" t="s">
        <v>336</v>
      </c>
      <c r="C23" s="41" t="e">
        <f>Vuosikate!C23-'6. Poistot'!C23</f>
        <v>#REF!</v>
      </c>
      <c r="D23" s="41">
        <f>Vuosikate!D23-'6. Poistot'!D23</f>
        <v>219</v>
      </c>
      <c r="E23" s="41">
        <f>Vuosikate!E23-'6. Poistot'!E23</f>
        <v>801</v>
      </c>
      <c r="F23" s="41">
        <f>Vuosikate!F23-'6. Poistot'!F23</f>
        <v>181</v>
      </c>
      <c r="G23" s="41">
        <f>Vuosikate!G23-'6. Poistot'!G23</f>
        <v>31</v>
      </c>
      <c r="H23" s="41">
        <f>Vuosikate!H23-'6. Poistot'!H23</f>
        <v>591.89426337304394</v>
      </c>
      <c r="I23" s="41">
        <f>Vuosikate!I23-'6. Poistot'!I23</f>
        <v>1364.3129079590492</v>
      </c>
      <c r="J23" s="41">
        <f>Vuosikate!J23-'6. Poistot'!J23</f>
        <v>1926.2041095750233</v>
      </c>
      <c r="K23" s="41">
        <f>Vuosikate!K23-'6. Poistot'!K23</f>
        <v>1100.9440665202301</v>
      </c>
      <c r="L23" s="41">
        <f>Vuosikate!L23-'6. Poistot'!L23</f>
        <v>96.380286435551795</v>
      </c>
      <c r="M23" s="41">
        <f>Vuosikate!M23-'6. Poistot'!M23</f>
        <v>-728.10962852604314</v>
      </c>
      <c r="N23" s="41">
        <f>Vuosikate!N23-'6. Poistot'!N23</f>
        <v>-756.07896642715207</v>
      </c>
      <c r="O23" s="41">
        <f>Vuosikate!O23-'6. Poistot'!O23</f>
        <v>-845.39381467744874</v>
      </c>
      <c r="P23" s="41">
        <f>Vuosikate!P23-'6. Poistot'!P23</f>
        <v>-791.53293575316127</v>
      </c>
      <c r="T23" s="34">
        <v>47</v>
      </c>
      <c r="U23" s="88" t="s">
        <v>336</v>
      </c>
      <c r="V23" s="41" t="e">
        <f>C23/'1. Väestöennuste'!E23*1000</f>
        <v>#REF!</v>
      </c>
      <c r="W23" s="41">
        <f>D23/'1. Väestöennuste'!F23*1000</f>
        <v>116.98717948717949</v>
      </c>
      <c r="X23" s="41">
        <f>E23/'1. Väestöennuste'!G23*1000</f>
        <v>423.13787638668782</v>
      </c>
      <c r="Y23" s="41">
        <f>F23/'1. Väestöennuste'!H23*1000</f>
        <v>97.732181425485962</v>
      </c>
      <c r="Z23" s="41">
        <f>G23/'1. Väestöennuste'!I23*1000</f>
        <v>16.866158868335145</v>
      </c>
      <c r="AA23" s="41">
        <f>H23/'1. Väestöennuste'!J23*1000</f>
        <v>327.37514567093137</v>
      </c>
      <c r="AB23" s="41">
        <f>I23/'1. Väestöennuste'!K23*1000</f>
        <v>762.61202233596941</v>
      </c>
      <c r="AC23" s="41">
        <f>J23/'1. Väestöennuste'!L23*1000</f>
        <v>1063.6135337244746</v>
      </c>
      <c r="AD23" s="41">
        <f>K23/'1. Väestöennuste'!M23*1000</f>
        <v>621.65108216839644</v>
      </c>
      <c r="AE23" s="41">
        <f>L23/'1. Väestöennuste'!N23*1000</f>
        <v>54.329361012148695</v>
      </c>
      <c r="AF23" s="41">
        <f>M23/'1. Väestöennuste'!O23*1000</f>
        <v>-411.82671296721895</v>
      </c>
      <c r="AG23" s="41">
        <f>N23/'1. Väestöennuste'!P23*1000</f>
        <v>-429.34637502961505</v>
      </c>
      <c r="AH23" s="41">
        <f>O23/'1. Väestöennuste'!Q23*1000</f>
        <v>-482.25545617652529</v>
      </c>
      <c r="AI23" s="41">
        <f>P23/'1. Väestöennuste'!R23*1000</f>
        <v>-453.60053624822996</v>
      </c>
    </row>
    <row r="24" spans="1:35" x14ac:dyDescent="0.2">
      <c r="A24" s="34">
        <v>49</v>
      </c>
      <c r="B24" s="88" t="s">
        <v>337</v>
      </c>
      <c r="C24" s="41" t="e">
        <f>Vuosikate!C24-'6. Poistot'!C24</f>
        <v>#REF!</v>
      </c>
      <c r="D24" s="41">
        <f>Vuosikate!D24-'6. Poistot'!D24</f>
        <v>60027</v>
      </c>
      <c r="E24" s="41">
        <f>Vuosikate!E24-'6. Poistot'!E24</f>
        <v>86469</v>
      </c>
      <c r="F24" s="41">
        <f>Vuosikate!F24-'6. Poistot'!F24</f>
        <v>34395</v>
      </c>
      <c r="G24" s="41">
        <f>Vuosikate!G24-'6. Poistot'!G24</f>
        <v>-7530</v>
      </c>
      <c r="H24" s="41">
        <f>Vuosikate!H24-'6. Poistot'!H24</f>
        <v>127112.73535618803</v>
      </c>
      <c r="I24" s="41">
        <f>Vuosikate!I24-'6. Poistot'!I24</f>
        <v>190915.57819439066</v>
      </c>
      <c r="J24" s="41">
        <f>Vuosikate!J24-'6. Poistot'!J24</f>
        <v>149857.23597648728</v>
      </c>
      <c r="K24" s="41">
        <f>Vuosikate!K24-'6. Poistot'!K24</f>
        <v>259275.54198938684</v>
      </c>
      <c r="L24" s="41">
        <f>Vuosikate!L24-'6. Poistot'!L24</f>
        <v>82554.86250915096</v>
      </c>
      <c r="M24" s="41">
        <f>Vuosikate!M24-'6. Poistot'!M24</f>
        <v>110332.11702003379</v>
      </c>
      <c r="N24" s="41">
        <f>Vuosikate!N24-'6. Poistot'!N24</f>
        <v>95000.006654005294</v>
      </c>
      <c r="O24" s="41">
        <f>Vuosikate!O24-'6. Poistot'!O24</f>
        <v>85676.189626521809</v>
      </c>
      <c r="P24" s="41">
        <f>Vuosikate!P24-'6. Poistot'!P24</f>
        <v>86486.039138900465</v>
      </c>
      <c r="T24" s="34">
        <v>49</v>
      </c>
      <c r="U24" s="88" t="s">
        <v>337</v>
      </c>
      <c r="V24" s="41" t="e">
        <f>C24/'1. Väestöennuste'!E24*1000</f>
        <v>#REF!</v>
      </c>
      <c r="W24" s="41">
        <f>D24/'1. Väestöennuste'!F24*1000</f>
        <v>218.61149452078243</v>
      </c>
      <c r="X24" s="41">
        <f>E24/'1. Väestöennuste'!G24*1000</f>
        <v>309.87586187124612</v>
      </c>
      <c r="Y24" s="41">
        <f>F24/'1. Väestöennuste'!H24*1000</f>
        <v>121.26628871213403</v>
      </c>
      <c r="Z24" s="41">
        <f>G24/'1. Väestöennuste'!I24*1000</f>
        <v>-25.989624858920862</v>
      </c>
      <c r="AA24" s="41">
        <f>H24/'1. Väestöennuste'!J24*1000</f>
        <v>434.13412531656184</v>
      </c>
      <c r="AB24" s="41">
        <f>I24/'1. Väestöennuste'!K24*1000</f>
        <v>642.52782667094311</v>
      </c>
      <c r="AC24" s="41">
        <f>J24/'1. Väestöennuste'!L24*1000</f>
        <v>490.89419988760022</v>
      </c>
      <c r="AD24" s="41">
        <f>K24/'1. Väestöennuste'!M24*1000</f>
        <v>825.65517918817295</v>
      </c>
      <c r="AE24" s="41">
        <f>L24/'1. Väestöennuste'!N24*1000</f>
        <v>265.59062688934955</v>
      </c>
      <c r="AF24" s="41">
        <f>M24/'1. Väestöennuste'!O24*1000</f>
        <v>350.54223557344091</v>
      </c>
      <c r="AG24" s="41">
        <f>N24/'1. Väestöennuste'!P24*1000</f>
        <v>298.30314711055831</v>
      </c>
      <c r="AH24" s="41">
        <f>O24/'1. Väestöennuste'!Q24*1000</f>
        <v>266.06768638926803</v>
      </c>
      <c r="AI24" s="41">
        <f>P24/'1. Väestöennuste'!R24*1000</f>
        <v>265.80337559900073</v>
      </c>
    </row>
    <row r="25" spans="1:35" x14ac:dyDescent="0.2">
      <c r="A25" s="34">
        <v>50</v>
      </c>
      <c r="B25" s="88" t="s">
        <v>338</v>
      </c>
      <c r="C25" s="41" t="e">
        <f>Vuosikate!C25-'6. Poistot'!C25</f>
        <v>#REF!</v>
      </c>
      <c r="D25" s="41">
        <f>Vuosikate!D25-'6. Poistot'!D25</f>
        <v>481</v>
      </c>
      <c r="E25" s="41">
        <f>Vuosikate!E25-'6. Poistot'!E25</f>
        <v>1590</v>
      </c>
      <c r="F25" s="41">
        <f>Vuosikate!F25-'6. Poistot'!F25</f>
        <v>-3929</v>
      </c>
      <c r="G25" s="41">
        <f>Vuosikate!G25-'6. Poistot'!G25</f>
        <v>-4249</v>
      </c>
      <c r="H25" s="41">
        <f>Vuosikate!H25-'6. Poistot'!H25</f>
        <v>3892.9432678130106</v>
      </c>
      <c r="I25" s="41">
        <f>Vuosikate!I25-'6. Poistot'!I25</f>
        <v>2845.3608452772273</v>
      </c>
      <c r="J25" s="41">
        <f>Vuosikate!J25-'6. Poistot'!J25</f>
        <v>-2757.5374449324836</v>
      </c>
      <c r="K25" s="41">
        <f>Vuosikate!K25-'6. Poistot'!K25</f>
        <v>659.61216189672996</v>
      </c>
      <c r="L25" s="41">
        <f>Vuosikate!L25-'6. Poistot'!L25</f>
        <v>-946.95985009067681</v>
      </c>
      <c r="M25" s="41">
        <f>Vuosikate!M25-'6. Poistot'!M25</f>
        <v>-2366.3816057029981</v>
      </c>
      <c r="N25" s="41">
        <f>Vuosikate!N25-'6. Poistot'!N25</f>
        <v>-1281.4101121640369</v>
      </c>
      <c r="O25" s="41">
        <f>Vuosikate!O25-'6. Poistot'!O25</f>
        <v>-1418.3499843128302</v>
      </c>
      <c r="P25" s="41">
        <f>Vuosikate!P25-'6. Poistot'!P25</f>
        <v>-177.07872303530348</v>
      </c>
      <c r="T25" s="34">
        <v>50</v>
      </c>
      <c r="U25" s="88" t="s">
        <v>338</v>
      </c>
      <c r="V25" s="41" t="e">
        <f>C25/'1. Väestöennuste'!E25*1000</f>
        <v>#REF!</v>
      </c>
      <c r="W25" s="41">
        <f>D25/'1. Väestöennuste'!F25*1000</f>
        <v>40.069976674441847</v>
      </c>
      <c r="X25" s="41">
        <f>E25/'1. Väestöennuste'!G25*1000</f>
        <v>133.50125944584383</v>
      </c>
      <c r="Y25" s="41">
        <f>F25/'1. Väestöennuste'!H25*1000</f>
        <v>-334.43990466462378</v>
      </c>
      <c r="Z25" s="41">
        <f>G25/'1. Väestöennuste'!I25*1000</f>
        <v>-365.28541953232462</v>
      </c>
      <c r="AA25" s="41">
        <f>H25/'1. Väestöennuste'!J25*1000</f>
        <v>339.01796288539668</v>
      </c>
      <c r="AB25" s="41">
        <f>I25/'1. Väestöennuste'!K25*1000</f>
        <v>249.22141064003043</v>
      </c>
      <c r="AC25" s="41">
        <f>J25/'1. Väestöennuste'!L25*1000</f>
        <v>-244.54925903977329</v>
      </c>
      <c r="AD25" s="41">
        <f>K25/'1. Väestöennuste'!M25*1000</f>
        <v>58.978197594485863</v>
      </c>
      <c r="AE25" s="41">
        <f>L25/'1. Väestöennuste'!N25*1000</f>
        <v>-86.236212557205789</v>
      </c>
      <c r="AF25" s="41">
        <f>M25/'1. Väestöennuste'!O25*1000</f>
        <v>-217.79858312959024</v>
      </c>
      <c r="AG25" s="41">
        <f>N25/'1. Väestöennuste'!P25*1000</f>
        <v>-119.1566033256497</v>
      </c>
      <c r="AH25" s="41">
        <f>O25/'1. Väestöennuste'!Q25*1000</f>
        <v>-133.17840228289484</v>
      </c>
      <c r="AI25" s="41">
        <f>P25/'1. Väestöennuste'!R25*1000</f>
        <v>-16.786304202796803</v>
      </c>
    </row>
    <row r="26" spans="1:35" x14ac:dyDescent="0.2">
      <c r="A26" s="34">
        <v>51</v>
      </c>
      <c r="B26" s="88" t="s">
        <v>339</v>
      </c>
      <c r="C26" s="41" t="e">
        <f>Vuosikate!C26-'6. Poistot'!C26</f>
        <v>#REF!</v>
      </c>
      <c r="D26" s="41">
        <f>Vuosikate!D26-'6. Poistot'!D26</f>
        <v>4566</v>
      </c>
      <c r="E26" s="41">
        <f>Vuosikate!E26-'6. Poistot'!E26</f>
        <v>4677</v>
      </c>
      <c r="F26" s="41">
        <f>Vuosikate!F26-'6. Poistot'!F26</f>
        <v>-160</v>
      </c>
      <c r="G26" s="41">
        <f>Vuosikate!G26-'6. Poistot'!G26</f>
        <v>-1585</v>
      </c>
      <c r="H26" s="41">
        <f>Vuosikate!H26-'6. Poistot'!H26</f>
        <v>-821.62369307883637</v>
      </c>
      <c r="I26" s="41">
        <f>Vuosikate!I26-'6. Poistot'!I26</f>
        <v>3165.0637849683981</v>
      </c>
      <c r="J26" s="41">
        <f>Vuosikate!J26-'6. Poistot'!J26</f>
        <v>1357.1976562867667</v>
      </c>
      <c r="K26" s="41">
        <f>Vuosikate!K26-'6. Poistot'!K26</f>
        <v>3458.1991905225595</v>
      </c>
      <c r="L26" s="41">
        <f>Vuosikate!L26-'6. Poistot'!L26</f>
        <v>-2290.4917645035794</v>
      </c>
      <c r="M26" s="41">
        <f>Vuosikate!M26-'6. Poistot'!M26</f>
        <v>448.5419187362013</v>
      </c>
      <c r="N26" s="41">
        <f>Vuosikate!N26-'6. Poistot'!N26</f>
        <v>736.47203989988066</v>
      </c>
      <c r="O26" s="41">
        <f>Vuosikate!O26-'6. Poistot'!O26</f>
        <v>960.10077586864918</v>
      </c>
      <c r="P26" s="41">
        <f>Vuosikate!P26-'6. Poistot'!P26</f>
        <v>1946.9334425095085</v>
      </c>
      <c r="T26" s="34">
        <v>51</v>
      </c>
      <c r="U26" s="88" t="s">
        <v>339</v>
      </c>
      <c r="V26" s="41" t="e">
        <f>C26/'1. Väestöennuste'!E26*1000</f>
        <v>#REF!</v>
      </c>
      <c r="W26" s="41">
        <f>D26/'1. Väestöennuste'!F26*1000</f>
        <v>484.81630919515823</v>
      </c>
      <c r="X26" s="41">
        <f>E26/'1. Väestöennuste'!G26*1000</f>
        <v>491.22991282428319</v>
      </c>
      <c r="Y26" s="41">
        <f>F26/'1. Väestöennuste'!H26*1000</f>
        <v>-16.924053310767931</v>
      </c>
      <c r="Z26" s="41">
        <f>G26/'1. Väestöennuste'!I26*1000</f>
        <v>-168.58115294618167</v>
      </c>
      <c r="AA26" s="41">
        <f>H26/'1. Väestöennuste'!J26*1000</f>
        <v>-86.925909128103712</v>
      </c>
      <c r="AB26" s="41">
        <f>I26/'1. Väestöennuste'!K26*1000</f>
        <v>339.08975626402378</v>
      </c>
      <c r="AC26" s="41">
        <f>J26/'1. Väestöennuste'!L26*1000</f>
        <v>147.34531063801614</v>
      </c>
      <c r="AD26" s="41">
        <f>K26/'1. Väestöennuste'!M26*1000</f>
        <v>378.23462654736517</v>
      </c>
      <c r="AE26" s="41">
        <f>L26/'1. Väestöennuste'!N26*1000</f>
        <v>-239.5661295370337</v>
      </c>
      <c r="AF26" s="41">
        <f>M26/'1. Väestöennuste'!O26*1000</f>
        <v>46.879381138817024</v>
      </c>
      <c r="AG26" s="41">
        <f>N26/'1. Väestöennuste'!P26*1000</f>
        <v>76.996554093035087</v>
      </c>
      <c r="AH26" s="41">
        <f>O26/'1. Väestöennuste'!Q26*1000</f>
        <v>100.43945767011708</v>
      </c>
      <c r="AI26" s="41">
        <f>P26/'1. Väestöennuste'!R26*1000</f>
        <v>203.91007986065233</v>
      </c>
    </row>
    <row r="27" spans="1:35" x14ac:dyDescent="0.2">
      <c r="A27" s="34">
        <v>52</v>
      </c>
      <c r="B27" s="88" t="s">
        <v>340</v>
      </c>
      <c r="C27" s="41" t="e">
        <f>Vuosikate!C27-'6. Poistot'!C27</f>
        <v>#REF!</v>
      </c>
      <c r="D27" s="41">
        <f>Vuosikate!D27-'6. Poistot'!D27</f>
        <v>57</v>
      </c>
      <c r="E27" s="41">
        <f>Vuosikate!E27-'6. Poistot'!E27</f>
        <v>223</v>
      </c>
      <c r="F27" s="41">
        <f>Vuosikate!F27-'6. Poistot'!F27</f>
        <v>-970</v>
      </c>
      <c r="G27" s="41">
        <f>Vuosikate!G27-'6. Poistot'!G27</f>
        <v>-889</v>
      </c>
      <c r="H27" s="41">
        <f>Vuosikate!H27-'6. Poistot'!H27</f>
        <v>-448.57368870227037</v>
      </c>
      <c r="I27" s="41">
        <f>Vuosikate!I27-'6. Poistot'!I27</f>
        <v>578.71156308571221</v>
      </c>
      <c r="J27" s="41">
        <f>Vuosikate!J27-'6. Poistot'!J27</f>
        <v>478.21734468660236</v>
      </c>
      <c r="K27" s="41">
        <f>Vuosikate!K27-'6. Poistot'!K27</f>
        <v>1276.504502015734</v>
      </c>
      <c r="L27" s="41">
        <f>Vuosikate!L27-'6. Poistot'!L27</f>
        <v>302.13565255848721</v>
      </c>
      <c r="M27" s="41">
        <f>Vuosikate!M27-'6. Poistot'!M27</f>
        <v>-732.9181472188975</v>
      </c>
      <c r="N27" s="41">
        <f>Vuosikate!N27-'6. Poistot'!N27</f>
        <v>-796.37302691996092</v>
      </c>
      <c r="O27" s="41">
        <f>Vuosikate!O27-'6. Poistot'!O27</f>
        <v>-986.35417598648542</v>
      </c>
      <c r="P27" s="41">
        <f>Vuosikate!P27-'6. Poistot'!P27</f>
        <v>-943.01673272127914</v>
      </c>
      <c r="T27" s="34">
        <v>52</v>
      </c>
      <c r="U27" s="88" t="s">
        <v>340</v>
      </c>
      <c r="V27" s="41" t="e">
        <f>C27/'1. Väestöennuste'!E27*1000</f>
        <v>#REF!</v>
      </c>
      <c r="W27" s="41">
        <f>D27/'1. Väestöennuste'!F27*1000</f>
        <v>22.485207100591715</v>
      </c>
      <c r="X27" s="41">
        <f>E27/'1. Väestöennuste'!G27*1000</f>
        <v>89.235694277711076</v>
      </c>
      <c r="Y27" s="41">
        <f>F27/'1. Väestöennuste'!H27*1000</f>
        <v>-392.23615042458556</v>
      </c>
      <c r="Z27" s="41">
        <f>G27/'1. Väestöennuste'!I27*1000</f>
        <v>-366.59793814432987</v>
      </c>
      <c r="AA27" s="41">
        <f>H27/'1. Väestöennuste'!J27*1000</f>
        <v>-186.28475444446443</v>
      </c>
      <c r="AB27" s="41">
        <f>I27/'1. Väestöennuste'!K27*1000</f>
        <v>240.72860361302506</v>
      </c>
      <c r="AC27" s="41">
        <f>J27/'1. Väestöennuste'!L27*1000</f>
        <v>203.84371043759691</v>
      </c>
      <c r="AD27" s="41">
        <f>K27/'1. Väestöennuste'!M27*1000</f>
        <v>556.93913700511951</v>
      </c>
      <c r="AE27" s="41">
        <f>L27/'1. Väestöennuste'!N27*1000</f>
        <v>131.70691044397873</v>
      </c>
      <c r="AF27" s="41">
        <f>M27/'1. Väestöennuste'!O27*1000</f>
        <v>-323.01372728906898</v>
      </c>
      <c r="AG27" s="41">
        <f>N27/'1. Väestöennuste'!P27*1000</f>
        <v>-354.8899406951698</v>
      </c>
      <c r="AH27" s="41">
        <f>O27/'1. Väestöennuste'!Q27*1000</f>
        <v>-444.50390986322009</v>
      </c>
      <c r="AI27" s="41">
        <f>P27/'1. Väestöennuste'!R27*1000</f>
        <v>-429.62037937188114</v>
      </c>
    </row>
    <row r="28" spans="1:35" x14ac:dyDescent="0.2">
      <c r="A28" s="34">
        <v>61</v>
      </c>
      <c r="B28" s="88" t="s">
        <v>341</v>
      </c>
      <c r="C28" s="41" t="e">
        <f>Vuosikate!C28-'6. Poistot'!C28</f>
        <v>#REF!</v>
      </c>
      <c r="D28" s="41">
        <f>Vuosikate!D28-'6. Poistot'!D28</f>
        <v>3080</v>
      </c>
      <c r="E28" s="41">
        <f>Vuosikate!E28-'6. Poistot'!E28</f>
        <v>202</v>
      </c>
      <c r="F28" s="41">
        <f>Vuosikate!F28-'6. Poistot'!F28</f>
        <v>-2546</v>
      </c>
      <c r="G28" s="41">
        <f>Vuosikate!G28-'6. Poistot'!G28</f>
        <v>-538</v>
      </c>
      <c r="H28" s="41">
        <f>Vuosikate!H28-'6. Poistot'!H28</f>
        <v>3352.8461666710136</v>
      </c>
      <c r="I28" s="41">
        <f>Vuosikate!I28-'6. Poistot'!I28</f>
        <v>1947.2537149519721</v>
      </c>
      <c r="J28" s="41">
        <f>Vuosikate!J28-'6. Poistot'!J28</f>
        <v>2144.448809074418</v>
      </c>
      <c r="K28" s="41">
        <f>Vuosikate!K28-'6. Poistot'!K28</f>
        <v>5472.0739120888375</v>
      </c>
      <c r="L28" s="41">
        <f>Vuosikate!L28-'6. Poistot'!L28</f>
        <v>-1528.8381460333285</v>
      </c>
      <c r="M28" s="41">
        <f>Vuosikate!M28-'6. Poistot'!M28</f>
        <v>-2204.1263816313203</v>
      </c>
      <c r="N28" s="41">
        <f>Vuosikate!N28-'6. Poistot'!N28</f>
        <v>-1720.8646180612013</v>
      </c>
      <c r="O28" s="41">
        <f>Vuosikate!O28-'6. Poistot'!O28</f>
        <v>-2753.0286803254739</v>
      </c>
      <c r="P28" s="41">
        <f>Vuosikate!P28-'6. Poistot'!P28</f>
        <v>-765.33315301057701</v>
      </c>
      <c r="T28" s="34">
        <v>61</v>
      </c>
      <c r="U28" s="88" t="s">
        <v>341</v>
      </c>
      <c r="V28" s="41" t="e">
        <f>C28/'1. Väestöennuste'!E28*1000</f>
        <v>#REF!</v>
      </c>
      <c r="W28" s="41">
        <f>D28/'1. Väestöennuste'!F28*1000</f>
        <v>177.7059773828756</v>
      </c>
      <c r="X28" s="41">
        <f>E28/'1. Väestöennuste'!G28*1000</f>
        <v>11.754437009019494</v>
      </c>
      <c r="Y28" s="41">
        <f>F28/'1. Väestöennuste'!H28*1000</f>
        <v>-149.51844021611464</v>
      </c>
      <c r="Z28" s="41">
        <f>G28/'1. Väestöennuste'!I28*1000</f>
        <v>-31.832435950535469</v>
      </c>
      <c r="AA28" s="41">
        <f>H28/'1. Väestöennuste'!J28*1000</f>
        <v>199.57417658756032</v>
      </c>
      <c r="AB28" s="41">
        <f>I28/'1. Väestöennuste'!K28*1000</f>
        <v>117.49554787618248</v>
      </c>
      <c r="AC28" s="41">
        <f>J28/'1. Väestöennuste'!L28*1000</f>
        <v>130.29034625885035</v>
      </c>
      <c r="AD28" s="41">
        <f>K28/'1. Väestöennuste'!M28*1000</f>
        <v>332.26509879706339</v>
      </c>
      <c r="AE28" s="41">
        <f>L28/'1. Väestöennuste'!N28*1000</f>
        <v>-93.87437959187821</v>
      </c>
      <c r="AF28" s="41">
        <f>M28/'1. Väestöennuste'!O28*1000</f>
        <v>-136.37708090776638</v>
      </c>
      <c r="AG28" s="41">
        <f>N28/'1. Väestöennuste'!P28*1000</f>
        <v>-107.25907616935935</v>
      </c>
      <c r="AH28" s="41">
        <f>O28/'1. Väestöennuste'!Q28*1000</f>
        <v>-172.89635623472171</v>
      </c>
      <c r="AI28" s="41">
        <f>P28/'1. Väestöennuste'!R28*1000</f>
        <v>-48.429611656683981</v>
      </c>
    </row>
    <row r="29" spans="1:35" x14ac:dyDescent="0.2">
      <c r="A29" s="34">
        <v>69</v>
      </c>
      <c r="B29" s="88" t="s">
        <v>342</v>
      </c>
      <c r="C29" s="41" t="e">
        <f>Vuosikate!C29-'6. Poistot'!C29</f>
        <v>#REF!</v>
      </c>
      <c r="D29" s="41">
        <f>Vuosikate!D29-'6. Poistot'!D29</f>
        <v>-569</v>
      </c>
      <c r="E29" s="41">
        <f>Vuosikate!E29-'6. Poistot'!E29</f>
        <v>540</v>
      </c>
      <c r="F29" s="41">
        <f>Vuosikate!F29-'6. Poistot'!F29</f>
        <v>-2023</v>
      </c>
      <c r="G29" s="41">
        <f>Vuosikate!G29-'6. Poistot'!G29</f>
        <v>-2278</v>
      </c>
      <c r="H29" s="41">
        <f>Vuosikate!H29-'6. Poistot'!H29</f>
        <v>1291.1070312777738</v>
      </c>
      <c r="I29" s="41">
        <f>Vuosikate!I29-'6. Poistot'!I29</f>
        <v>-2579.4500396673006</v>
      </c>
      <c r="J29" s="41">
        <f>Vuosikate!J29-'6. Poistot'!J29</f>
        <v>-394.32858615985106</v>
      </c>
      <c r="K29" s="41">
        <f>Vuosikate!K29-'6. Poistot'!K29</f>
        <v>-6.5349195704247904</v>
      </c>
      <c r="L29" s="41">
        <f>Vuosikate!L29-'6. Poistot'!L29</f>
        <v>202.98544721853796</v>
      </c>
      <c r="M29" s="41">
        <f>Vuosikate!M29-'6. Poistot'!M29</f>
        <v>-2254.1360355166998</v>
      </c>
      <c r="N29" s="41">
        <f>Vuosikate!N29-'6. Poistot'!N29</f>
        <v>-1482.9167554120704</v>
      </c>
      <c r="O29" s="41">
        <f>Vuosikate!O29-'6. Poistot'!O29</f>
        <v>-1662.7675667776268</v>
      </c>
      <c r="P29" s="41">
        <f>Vuosikate!P29-'6. Poistot'!P29</f>
        <v>-957.95426705691102</v>
      </c>
      <c r="T29" s="34">
        <v>69</v>
      </c>
      <c r="U29" s="88" t="s">
        <v>342</v>
      </c>
      <c r="V29" s="41" t="e">
        <f>C29/'1. Väestöennuste'!E29*1000</f>
        <v>#REF!</v>
      </c>
      <c r="W29" s="41">
        <f>D29/'1. Väestöennuste'!F29*1000</f>
        <v>-77.605019094380793</v>
      </c>
      <c r="X29" s="41">
        <f>E29/'1. Väestöennuste'!G29*1000</f>
        <v>74.472486553578818</v>
      </c>
      <c r="Y29" s="41">
        <f>F29/'1. Väestöennuste'!H29*1000</f>
        <v>-283.05582761998045</v>
      </c>
      <c r="Z29" s="41">
        <f>G29/'1. Väestöennuste'!I29*1000</f>
        <v>-324.96433666191155</v>
      </c>
      <c r="AA29" s="41">
        <f>H29/'1. Väestöennuste'!J29*1000</f>
        <v>187.22549757508318</v>
      </c>
      <c r="AB29" s="41">
        <f>I29/'1. Väestöennuste'!K29*1000</f>
        <v>-379.21935308251994</v>
      </c>
      <c r="AC29" s="41">
        <f>J29/'1. Väestöennuste'!L29*1000</f>
        <v>-58.969431158942882</v>
      </c>
      <c r="AD29" s="41">
        <f>K29/'1. Väestöennuste'!M29*1000</f>
        <v>-0.99648056883574121</v>
      </c>
      <c r="AE29" s="41">
        <f>L29/'1. Väestöennuste'!N29*1000</f>
        <v>31.392738511991642</v>
      </c>
      <c r="AF29" s="41">
        <f>M29/'1. Väestöennuste'!O29*1000</f>
        <v>-353.92307042184012</v>
      </c>
      <c r="AG29" s="41">
        <f>N29/'1. Väestöennuste'!P29*1000</f>
        <v>-236.35906206759171</v>
      </c>
      <c r="AH29" s="41">
        <f>O29/'1. Väestöennuste'!Q29*1000</f>
        <v>-268.88220678810268</v>
      </c>
      <c r="AI29" s="41">
        <f>P29/'1. Väestöennuste'!R29*1000</f>
        <v>-157.1705114121265</v>
      </c>
    </row>
    <row r="30" spans="1:35" x14ac:dyDescent="0.2">
      <c r="A30" s="34">
        <v>71</v>
      </c>
      <c r="B30" s="88" t="s">
        <v>343</v>
      </c>
      <c r="C30" s="41" t="e">
        <f>Vuosikate!C30-'6. Poistot'!C30</f>
        <v>#REF!</v>
      </c>
      <c r="D30" s="41">
        <f>Vuosikate!D30-'6. Poistot'!D30</f>
        <v>-1551</v>
      </c>
      <c r="E30" s="41">
        <f>Vuosikate!E30-'6. Poistot'!E30</f>
        <v>402</v>
      </c>
      <c r="F30" s="41">
        <f>Vuosikate!F30-'6. Poistot'!F30</f>
        <v>-1367</v>
      </c>
      <c r="G30" s="41">
        <f>Vuosikate!G30-'6. Poistot'!G30</f>
        <v>-574</v>
      </c>
      <c r="H30" s="41">
        <f>Vuosikate!H30-'6. Poistot'!H30</f>
        <v>1898.7356550714831</v>
      </c>
      <c r="I30" s="41">
        <f>Vuosikate!I30-'6. Poistot'!I30</f>
        <v>-1652.9527354725205</v>
      </c>
      <c r="J30" s="41">
        <f>Vuosikate!J30-'6. Poistot'!J30</f>
        <v>-731.21260376589657</v>
      </c>
      <c r="K30" s="41">
        <f>Vuosikate!K30-'6. Poistot'!K30</f>
        <v>1398.7672544506181</v>
      </c>
      <c r="L30" s="41">
        <f>Vuosikate!L30-'6. Poistot'!L30</f>
        <v>88.501055288561247</v>
      </c>
      <c r="M30" s="41">
        <f>Vuosikate!M30-'6. Poistot'!M30</f>
        <v>-1543.3243385056751</v>
      </c>
      <c r="N30" s="41">
        <f>Vuosikate!N30-'6. Poistot'!N30</f>
        <v>-1116.5615009611797</v>
      </c>
      <c r="O30" s="41">
        <f>Vuosikate!O30-'6. Poistot'!O30</f>
        <v>-845.45881556299923</v>
      </c>
      <c r="P30" s="41">
        <f>Vuosikate!P30-'6. Poistot'!P30</f>
        <v>24.450003958549132</v>
      </c>
      <c r="T30" s="34">
        <v>71</v>
      </c>
      <c r="U30" s="88" t="s">
        <v>343</v>
      </c>
      <c r="V30" s="41" t="e">
        <f>C30/'1. Väestöennuste'!E30*1000</f>
        <v>#REF!</v>
      </c>
      <c r="W30" s="41">
        <f>D30/'1. Väestöennuste'!F30*1000</f>
        <v>-218.51225697379544</v>
      </c>
      <c r="X30" s="41">
        <f>E30/'1. Väestöennuste'!G30*1000</f>
        <v>57.67575322812052</v>
      </c>
      <c r="Y30" s="41">
        <f>F30/'1. Väestöennuste'!H30*1000</f>
        <v>-199.44557922381094</v>
      </c>
      <c r="Z30" s="41">
        <f>G30/'1. Väestöennuste'!I30*1000</f>
        <v>-84.936371707605801</v>
      </c>
      <c r="AA30" s="41">
        <f>H30/'1. Väestöennuste'!J30*1000</f>
        <v>284.7961084552997</v>
      </c>
      <c r="AB30" s="41">
        <f>I30/'1. Väestöennuste'!K30*1000</f>
        <v>-249.95504846098905</v>
      </c>
      <c r="AC30" s="41">
        <f>J30/'1. Väestöennuste'!L30*1000</f>
        <v>-110.94107172900873</v>
      </c>
      <c r="AD30" s="41">
        <f>K30/'1. Väestöennuste'!M30*1000</f>
        <v>216.09257754528318</v>
      </c>
      <c r="AE30" s="41">
        <f>L30/'1. Väestöennuste'!N30*1000</f>
        <v>14.054479162865055</v>
      </c>
      <c r="AF30" s="41">
        <f>M30/'1. Väestöennuste'!O30*1000</f>
        <v>-248.36246194169215</v>
      </c>
      <c r="AG30" s="41">
        <f>N30/'1. Väestöennuste'!P30*1000</f>
        <v>-181.99861466359897</v>
      </c>
      <c r="AH30" s="41">
        <f>O30/'1. Väestöennuste'!Q30*1000</f>
        <v>-139.51465603349823</v>
      </c>
      <c r="AI30" s="41">
        <f>P30/'1. Väestöennuste'!R30*1000</f>
        <v>4.0818036658679686</v>
      </c>
    </row>
    <row r="31" spans="1:35" x14ac:dyDescent="0.2">
      <c r="A31" s="34">
        <v>72</v>
      </c>
      <c r="B31" s="88" t="s">
        <v>344</v>
      </c>
      <c r="C31" s="41" t="e">
        <f>Vuosikate!C31-'6. Poistot'!C31</f>
        <v>#REF!</v>
      </c>
      <c r="D31" s="41">
        <f>Vuosikate!D31-'6. Poistot'!D31</f>
        <v>-73</v>
      </c>
      <c r="E31" s="41">
        <f>Vuosikate!E31-'6. Poistot'!E31</f>
        <v>463</v>
      </c>
      <c r="F31" s="41">
        <f>Vuosikate!F31-'6. Poistot'!F31</f>
        <v>-330</v>
      </c>
      <c r="G31" s="41">
        <f>Vuosikate!G31-'6. Poistot'!G31</f>
        <v>-433</v>
      </c>
      <c r="H31" s="41">
        <f>Vuosikate!H31-'6. Poistot'!H31</f>
        <v>-2.8696292974764219</v>
      </c>
      <c r="I31" s="41">
        <f>Vuosikate!I31-'6. Poistot'!I31</f>
        <v>-167.09609466441697</v>
      </c>
      <c r="J31" s="41">
        <f>Vuosikate!J31-'6. Poistot'!J31</f>
        <v>381.12785849812224</v>
      </c>
      <c r="K31" s="41">
        <f>Vuosikate!K31-'6. Poistot'!K31</f>
        <v>5.4739167840152732</v>
      </c>
      <c r="L31" s="41">
        <f>Vuosikate!L31-'6. Poistot'!L31</f>
        <v>-92.291659121387909</v>
      </c>
      <c r="M31" s="41">
        <f>Vuosikate!M31-'6. Poistot'!M31</f>
        <v>-70.240038379579971</v>
      </c>
      <c r="N31" s="41">
        <f>Vuosikate!N31-'6. Poistot'!N31</f>
        <v>-210.19558922444065</v>
      </c>
      <c r="O31" s="41">
        <f>Vuosikate!O31-'6. Poistot'!O31</f>
        <v>-286.58063277783776</v>
      </c>
      <c r="P31" s="41">
        <f>Vuosikate!P31-'6. Poistot'!P31</f>
        <v>-256.49402475120667</v>
      </c>
      <c r="T31" s="34">
        <v>72</v>
      </c>
      <c r="U31" s="88" t="s">
        <v>344</v>
      </c>
      <c r="V31" s="41" t="e">
        <f>C31/'1. Väestöennuste'!E31*1000</f>
        <v>#REF!</v>
      </c>
      <c r="W31" s="41">
        <f>D31/'1. Väestöennuste'!F31*1000</f>
        <v>-73.440643863179076</v>
      </c>
      <c r="X31" s="41">
        <f>E31/'1. Väestöennuste'!G31*1000</f>
        <v>478.80041365046537</v>
      </c>
      <c r="Y31" s="41">
        <f>F31/'1. Väestöennuste'!H31*1000</f>
        <v>-338.80903490759755</v>
      </c>
      <c r="Z31" s="41">
        <f>G31/'1. Väestöennuste'!I31*1000</f>
        <v>-451.51199165797709</v>
      </c>
      <c r="AA31" s="41">
        <f>H31/'1. Väestöennuste'!J31*1000</f>
        <v>-3.0238454135684107</v>
      </c>
      <c r="AB31" s="41">
        <f>I31/'1. Väestöennuste'!K31*1000</f>
        <v>-175.89062596254419</v>
      </c>
      <c r="AC31" s="41">
        <f>J31/'1. Väestöennuste'!L31*1000</f>
        <v>397.00818593554396</v>
      </c>
      <c r="AD31" s="41">
        <f>K31/'1. Väestöennuste'!M31*1000</f>
        <v>5.774173822800921</v>
      </c>
      <c r="AE31" s="41">
        <f>L31/'1. Väestöennuste'!N31*1000</f>
        <v>-99.667018489619778</v>
      </c>
      <c r="AF31" s="41">
        <f>M31/'1. Väestöennuste'!O31*1000</f>
        <v>-76.347867803891276</v>
      </c>
      <c r="AG31" s="41">
        <f>N31/'1. Väestöennuste'!P31*1000</f>
        <v>-229.97329236809699</v>
      </c>
      <c r="AH31" s="41">
        <f>O31/'1. Väestöennuste'!Q31*1000</f>
        <v>-315.61743697999754</v>
      </c>
      <c r="AI31" s="41">
        <f>P31/'1. Väestöennuste'!R31*1000</f>
        <v>-284.67705299800963</v>
      </c>
    </row>
    <row r="32" spans="1:35" x14ac:dyDescent="0.2">
      <c r="A32" s="34">
        <v>74</v>
      </c>
      <c r="B32" s="88" t="s">
        <v>345</v>
      </c>
      <c r="C32" s="41" t="e">
        <f>Vuosikate!C32-'6. Poistot'!C32</f>
        <v>#REF!</v>
      </c>
      <c r="D32" s="41">
        <f>Vuosikate!D32-'6. Poistot'!D32</f>
        <v>-136</v>
      </c>
      <c r="E32" s="41">
        <f>Vuosikate!E32-'6. Poistot'!E32</f>
        <v>285</v>
      </c>
      <c r="F32" s="41">
        <f>Vuosikate!F32-'6. Poistot'!F32</f>
        <v>-91</v>
      </c>
      <c r="G32" s="41">
        <f>Vuosikate!G32-'6. Poistot'!G32</f>
        <v>-321</v>
      </c>
      <c r="H32" s="41">
        <f>Vuosikate!H32-'6. Poistot'!H32</f>
        <v>509.27447329442111</v>
      </c>
      <c r="I32" s="41">
        <f>Vuosikate!I32-'6. Poistot'!I32</f>
        <v>103.56407351312404</v>
      </c>
      <c r="J32" s="41">
        <f>Vuosikate!J32-'6. Poistot'!J32</f>
        <v>611.11863336693239</v>
      </c>
      <c r="K32" s="41">
        <f>Vuosikate!K32-'6. Poistot'!K32</f>
        <v>35.312921866221416</v>
      </c>
      <c r="L32" s="41">
        <f>Vuosikate!L32-'6. Poistot'!L32</f>
        <v>91.935902827234003</v>
      </c>
      <c r="M32" s="41">
        <f>Vuosikate!M32-'6. Poistot'!M32</f>
        <v>-210.52476511059854</v>
      </c>
      <c r="N32" s="41">
        <f>Vuosikate!N32-'6. Poistot'!N32</f>
        <v>-326.41024571049184</v>
      </c>
      <c r="O32" s="41">
        <f>Vuosikate!O32-'6. Poistot'!O32</f>
        <v>-478.01123290033001</v>
      </c>
      <c r="P32" s="41">
        <f>Vuosikate!P32-'6. Poistot'!P32</f>
        <v>-424.386026838921</v>
      </c>
      <c r="T32" s="34">
        <v>74</v>
      </c>
      <c r="U32" s="88" t="s">
        <v>345</v>
      </c>
      <c r="V32" s="41" t="e">
        <f>C32/'1. Väestöennuste'!E32*1000</f>
        <v>#REF!</v>
      </c>
      <c r="W32" s="41">
        <f>D32/'1. Väestöennuste'!F32*1000</f>
        <v>-111.56685808039377</v>
      </c>
      <c r="X32" s="41">
        <f>E32/'1. Väestöennuste'!G32*1000</f>
        <v>243.38172502134927</v>
      </c>
      <c r="Y32" s="41">
        <f>F32/'1. Väestöennuste'!H32*1000</f>
        <v>-78.111587982832617</v>
      </c>
      <c r="Z32" s="41">
        <f>G32/'1. Väestöennuste'!I32*1000</f>
        <v>-284.82697426796807</v>
      </c>
      <c r="AA32" s="41">
        <f>H32/'1. Väestöennuste'!J32*1000</f>
        <v>461.71756418351868</v>
      </c>
      <c r="AB32" s="41">
        <f>I32/'1. Väestöennuste'!K32*1000</f>
        <v>95.627030021351842</v>
      </c>
      <c r="AC32" s="41">
        <f>J32/'1. Väestöennuste'!L32*1000</f>
        <v>580.91124844765443</v>
      </c>
      <c r="AD32" s="41">
        <f>K32/'1. Väestöennuste'!M32*1000</f>
        <v>34.859745178895771</v>
      </c>
      <c r="AE32" s="41">
        <f>L32/'1. Väestöennuste'!N32*1000</f>
        <v>91.84405876846553</v>
      </c>
      <c r="AF32" s="41">
        <f>M32/'1. Väestöennuste'!O32*1000</f>
        <v>-215.04061809049901</v>
      </c>
      <c r="AG32" s="41">
        <f>N32/'1. Väestöennuste'!P32*1000</f>
        <v>-340.36521971896963</v>
      </c>
      <c r="AH32" s="41">
        <f>O32/'1. Väestöennuste'!Q32*1000</f>
        <v>-508.5225881918405</v>
      </c>
      <c r="AI32" s="41">
        <f>P32/'1. Väestöennuste'!R32*1000</f>
        <v>-460.28853236325489</v>
      </c>
    </row>
    <row r="33" spans="1:35" x14ac:dyDescent="0.2">
      <c r="A33" s="34">
        <v>75</v>
      </c>
      <c r="B33" s="88" t="s">
        <v>346</v>
      </c>
      <c r="C33" s="41" t="e">
        <f>Vuosikate!C33-'6. Poistot'!C33</f>
        <v>#REF!</v>
      </c>
      <c r="D33" s="41">
        <f>Vuosikate!D33-'6. Poistot'!D33</f>
        <v>1496</v>
      </c>
      <c r="E33" s="41">
        <f>Vuosikate!E33-'6. Poistot'!E33</f>
        <v>5748</v>
      </c>
      <c r="F33" s="41">
        <f>Vuosikate!F33-'6. Poistot'!F33</f>
        <v>452</v>
      </c>
      <c r="G33" s="41">
        <f>Vuosikate!G33-'6. Poistot'!G33</f>
        <v>-1068</v>
      </c>
      <c r="H33" s="41">
        <f>Vuosikate!H33-'6. Poistot'!H33</f>
        <v>10410.062336427291</v>
      </c>
      <c r="I33" s="41">
        <f>Vuosikate!I33-'6. Poistot'!I33</f>
        <v>4455.3291533505344</v>
      </c>
      <c r="J33" s="41">
        <f>Vuosikate!J33-'6. Poistot'!J33</f>
        <v>1050.1490166144285</v>
      </c>
      <c r="K33" s="41">
        <f>Vuosikate!K33-'6. Poistot'!K33</f>
        <v>3789.9138052317612</v>
      </c>
      <c r="L33" s="41">
        <f>Vuosikate!L33-'6. Poistot'!L33</f>
        <v>-5272.8727716860467</v>
      </c>
      <c r="M33" s="41">
        <f>Vuosikate!M33-'6. Poistot'!M33</f>
        <v>-11724.694113241323</v>
      </c>
      <c r="N33" s="41">
        <f>Vuosikate!N33-'6. Poistot'!N33</f>
        <v>-8247.4645258105502</v>
      </c>
      <c r="O33" s="41">
        <f>Vuosikate!O33-'6. Poistot'!O33</f>
        <v>-8376.079043744392</v>
      </c>
      <c r="P33" s="41">
        <f>Vuosikate!P33-'6. Poistot'!P33</f>
        <v>-6345.1201701388418</v>
      </c>
      <c r="T33" s="34">
        <v>75</v>
      </c>
      <c r="U33" s="88" t="s">
        <v>346</v>
      </c>
      <c r="V33" s="41" t="e">
        <f>C33/'1. Väestöennuste'!E33*1000</f>
        <v>#REF!</v>
      </c>
      <c r="W33" s="41">
        <f>D33/'1. Väestöennuste'!F33*1000</f>
        <v>72.494669509594871</v>
      </c>
      <c r="X33" s="41">
        <f>E33/'1. Väestöennuste'!G33*1000</f>
        <v>280.48601961645443</v>
      </c>
      <c r="Y33" s="41">
        <f>F33/'1. Väestöennuste'!H33*1000</f>
        <v>22.2813763186434</v>
      </c>
      <c r="Z33" s="41">
        <f>G33/'1. Väestöennuste'!I33*1000</f>
        <v>-53.105265774949032</v>
      </c>
      <c r="AA33" s="41">
        <f>H33/'1. Väestöennuste'!J33*1000</f>
        <v>523.72401954154498</v>
      </c>
      <c r="AB33" s="41">
        <f>I33/'1. Väestöennuste'!K33*1000</f>
        <v>226.13588231400539</v>
      </c>
      <c r="AC33" s="41">
        <f>J33/'1. Väestöennuste'!L33*1000</f>
        <v>53.718809996134254</v>
      </c>
      <c r="AD33" s="41">
        <f>K33/'1. Väestöennuste'!M33*1000</f>
        <v>194.01626933714351</v>
      </c>
      <c r="AE33" s="41">
        <f>L33/'1. Väestöennuste'!N33*1000</f>
        <v>-276.09554778961393</v>
      </c>
      <c r="AF33" s="41">
        <f>M33/'1. Väestöennuste'!O33*1000</f>
        <v>-619.89500440104268</v>
      </c>
      <c r="AG33" s="41">
        <f>N33/'1. Väestöennuste'!P33*1000</f>
        <v>-440.24044655762515</v>
      </c>
      <c r="AH33" s="41">
        <f>O33/'1. Väestöennuste'!Q33*1000</f>
        <v>-451.34599869298376</v>
      </c>
      <c r="AI33" s="41">
        <f>P33/'1. Väestöennuste'!R33*1000</f>
        <v>-345.27508135924478</v>
      </c>
    </row>
    <row r="34" spans="1:35" x14ac:dyDescent="0.2">
      <c r="A34" s="34">
        <v>77</v>
      </c>
      <c r="B34" s="88" t="s">
        <v>347</v>
      </c>
      <c r="C34" s="41" t="e">
        <f>Vuosikate!C34-'6. Poistot'!C34</f>
        <v>#REF!</v>
      </c>
      <c r="D34" s="41">
        <f>Vuosikate!D34-'6. Poistot'!D34</f>
        <v>1528</v>
      </c>
      <c r="E34" s="41">
        <f>Vuosikate!E34-'6. Poistot'!E34</f>
        <v>710</v>
      </c>
      <c r="F34" s="41">
        <f>Vuosikate!F34-'6. Poistot'!F34</f>
        <v>-508</v>
      </c>
      <c r="G34" s="41">
        <f>Vuosikate!G34-'6. Poistot'!G34</f>
        <v>-1500</v>
      </c>
      <c r="H34" s="41">
        <f>Vuosikate!H34-'6. Poistot'!H34</f>
        <v>1760.526464676328</v>
      </c>
      <c r="I34" s="41">
        <f>Vuosikate!I34-'6. Poistot'!I34</f>
        <v>1257.0408881706999</v>
      </c>
      <c r="J34" s="41">
        <f>Vuosikate!J34-'6. Poistot'!J34</f>
        <v>76.711636921219906</v>
      </c>
      <c r="K34" s="41">
        <f>Vuosikate!K34-'6. Poistot'!K34</f>
        <v>1455.225119531566</v>
      </c>
      <c r="L34" s="41">
        <f>Vuosikate!L34-'6. Poistot'!L34</f>
        <v>-234.77388070071584</v>
      </c>
      <c r="M34" s="41">
        <f>Vuosikate!M34-'6. Poistot'!M34</f>
        <v>-1187.6191322502291</v>
      </c>
      <c r="N34" s="41">
        <f>Vuosikate!N34-'6. Poistot'!N34</f>
        <v>-1367.6103579224682</v>
      </c>
      <c r="O34" s="41">
        <f>Vuosikate!O34-'6. Poistot'!O34</f>
        <v>-1590.6440038391017</v>
      </c>
      <c r="P34" s="41">
        <f>Vuosikate!P34-'6. Poistot'!P34</f>
        <v>-1217.1679165368203</v>
      </c>
      <c r="T34" s="34">
        <v>77</v>
      </c>
      <c r="U34" s="88" t="s">
        <v>347</v>
      </c>
      <c r="V34" s="41" t="e">
        <f>C34/'1. Väestöennuste'!E34*1000</f>
        <v>#REF!</v>
      </c>
      <c r="W34" s="41">
        <f>D34/'1. Väestöennuste'!F34*1000</f>
        <v>296.18143050978875</v>
      </c>
      <c r="X34" s="41">
        <f>E34/'1. Väestöennuste'!G34*1000</f>
        <v>141.46244271767284</v>
      </c>
      <c r="Y34" s="41">
        <f>F34/'1. Väestöennuste'!H34*1000</f>
        <v>-102.85482891273537</v>
      </c>
      <c r="Z34" s="41">
        <f>G34/'1. Väestöennuste'!I34*1000</f>
        <v>-307.69230769230774</v>
      </c>
      <c r="AA34" s="41">
        <f>H34/'1. Väestöennuste'!J34*1000</f>
        <v>368.1569353149996</v>
      </c>
      <c r="AB34" s="41">
        <f>I34/'1. Väestöennuste'!K34*1000</f>
        <v>268.42641216542813</v>
      </c>
      <c r="AC34" s="41">
        <f>J34/'1. Väestöennuste'!L34*1000</f>
        <v>16.6728182832471</v>
      </c>
      <c r="AD34" s="41">
        <f>K34/'1. Väestöennuste'!M34*1000</f>
        <v>319.90000429359549</v>
      </c>
      <c r="AE34" s="41">
        <f>L34/'1. Väestöennuste'!N34*1000</f>
        <v>-52.510373674953215</v>
      </c>
      <c r="AF34" s="41">
        <f>M34/'1. Väestöennuste'!O34*1000</f>
        <v>-269.66828616036082</v>
      </c>
      <c r="AG34" s="41">
        <f>N34/'1. Väestöennuste'!P34*1000</f>
        <v>-315.11759399135212</v>
      </c>
      <c r="AH34" s="41">
        <f>O34/'1. Väestöennuste'!Q34*1000</f>
        <v>-371.73264871210603</v>
      </c>
      <c r="AI34" s="41">
        <f>P34/'1. Väestöennuste'!R34*1000</f>
        <v>-288.63360600825712</v>
      </c>
    </row>
    <row r="35" spans="1:35" x14ac:dyDescent="0.2">
      <c r="A35" s="34">
        <v>78</v>
      </c>
      <c r="B35" s="88" t="s">
        <v>348</v>
      </c>
      <c r="C35" s="41" t="e">
        <f>Vuosikate!C35-'6. Poistot'!C35</f>
        <v>#REF!</v>
      </c>
      <c r="D35" s="41">
        <f>Vuosikate!D35-'6. Poistot'!D35</f>
        <v>451</v>
      </c>
      <c r="E35" s="41">
        <f>Vuosikate!E35-'6. Poistot'!E35</f>
        <v>3140</v>
      </c>
      <c r="F35" s="41">
        <f>Vuosikate!F35-'6. Poistot'!F35</f>
        <v>147</v>
      </c>
      <c r="G35" s="41">
        <f>Vuosikate!G35-'6. Poistot'!G35</f>
        <v>-280</v>
      </c>
      <c r="H35" s="41">
        <f>Vuosikate!H35-'6. Poistot'!H35</f>
        <v>4512.6448742478751</v>
      </c>
      <c r="I35" s="41">
        <f>Vuosikate!I35-'6. Poistot'!I35</f>
        <v>3532.0518002765257</v>
      </c>
      <c r="J35" s="41">
        <f>Vuosikate!J35-'6. Poistot'!J35</f>
        <v>2219.3931773556542</v>
      </c>
      <c r="K35" s="41">
        <f>Vuosikate!K35-'6. Poistot'!K35</f>
        <v>4967.8946013667064</v>
      </c>
      <c r="L35" s="41">
        <f>Vuosikate!L35-'6. Poistot'!L35</f>
        <v>-57.47183814070695</v>
      </c>
      <c r="M35" s="41">
        <f>Vuosikate!M35-'6. Poistot'!M35</f>
        <v>-489.00116858559431</v>
      </c>
      <c r="N35" s="41">
        <f>Vuosikate!N35-'6. Poistot'!N35</f>
        <v>320.82520237278732</v>
      </c>
      <c r="O35" s="41">
        <f>Vuosikate!O35-'6. Poistot'!O35</f>
        <v>464.76508079741961</v>
      </c>
      <c r="P35" s="41">
        <f>Vuosikate!P35-'6. Poistot'!P35</f>
        <v>1217.6339724300301</v>
      </c>
      <c r="T35" s="34">
        <v>78</v>
      </c>
      <c r="U35" s="88" t="s">
        <v>348</v>
      </c>
      <c r="V35" s="41" t="e">
        <f>C35/'1. Väestöennuste'!E35*1000</f>
        <v>#REF!</v>
      </c>
      <c r="W35" s="41">
        <f>D35/'1. Väestöennuste'!F35*1000</f>
        <v>52.060487129170035</v>
      </c>
      <c r="X35" s="41">
        <f>E35/'1. Väestöennuste'!G35*1000</f>
        <v>368.67441587413407</v>
      </c>
      <c r="Y35" s="41">
        <f>F35/'1. Väestöennuste'!H35*1000</f>
        <v>17.543859649122805</v>
      </c>
      <c r="Z35" s="41">
        <f>G35/'1. Väestöennuste'!I35*1000</f>
        <v>-34.150506159287715</v>
      </c>
      <c r="AA35" s="41">
        <f>H35/'1. Väestöennuste'!J35*1000</f>
        <v>561.13465235611477</v>
      </c>
      <c r="AB35" s="41">
        <f>I35/'1. Väestöennuste'!K35*1000</f>
        <v>442.66847979402502</v>
      </c>
      <c r="AC35" s="41">
        <f>J35/'1. Väestöennuste'!L35*1000</f>
        <v>283.37502264500182</v>
      </c>
      <c r="AD35" s="41">
        <f>K35/'1. Väestöennuste'!M35*1000</f>
        <v>643.426318011489</v>
      </c>
      <c r="AE35" s="41">
        <f>L35/'1. Väestöennuste'!N35*1000</f>
        <v>-7.6967775734172967</v>
      </c>
      <c r="AF35" s="41">
        <f>M35/'1. Väestöennuste'!O35*1000</f>
        <v>-66.548879774849524</v>
      </c>
      <c r="AG35" s="41">
        <f>N35/'1. Väestöennuste'!P35*1000</f>
        <v>44.337369039909802</v>
      </c>
      <c r="AH35" s="41">
        <f>O35/'1. Väestöennuste'!Q35*1000</f>
        <v>65.22103294939933</v>
      </c>
      <c r="AI35" s="41">
        <f>P35/'1. Väestöennuste'!R35*1000</f>
        <v>173.35335598377421</v>
      </c>
    </row>
    <row r="36" spans="1:35" x14ac:dyDescent="0.2">
      <c r="A36" s="34">
        <v>79</v>
      </c>
      <c r="B36" s="88" t="s">
        <v>349</v>
      </c>
      <c r="C36" s="41" t="e">
        <f>Vuosikate!C36-'6. Poistot'!C36</f>
        <v>#REF!</v>
      </c>
      <c r="D36" s="41">
        <f>Vuosikate!D36-'6. Poistot'!D36</f>
        <v>-3026</v>
      </c>
      <c r="E36" s="41">
        <f>Vuosikate!E36-'6. Poistot'!E36</f>
        <v>288</v>
      </c>
      <c r="F36" s="41">
        <f>Vuosikate!F36-'6. Poistot'!F36</f>
        <v>-2564</v>
      </c>
      <c r="G36" s="41">
        <f>Vuosikate!G36-'6. Poistot'!G36</f>
        <v>-3653</v>
      </c>
      <c r="H36" s="41">
        <f>Vuosikate!H36-'6. Poistot'!H36</f>
        <v>1257.2768598229995</v>
      </c>
      <c r="I36" s="41">
        <f>Vuosikate!I36-'6. Poistot'!I36</f>
        <v>4092.1066810542175</v>
      </c>
      <c r="J36" s="41">
        <f>Vuosikate!J36-'6. Poistot'!J36</f>
        <v>3148.927496669673</v>
      </c>
      <c r="K36" s="41">
        <f>Vuosikate!K36-'6. Poistot'!K36</f>
        <v>611.99869496904012</v>
      </c>
      <c r="L36" s="41">
        <f>Vuosikate!L36-'6. Poistot'!L36</f>
        <v>-1133.2063317226105</v>
      </c>
      <c r="M36" s="41">
        <f>Vuosikate!M36-'6. Poistot'!M36</f>
        <v>-2669.4187398465792</v>
      </c>
      <c r="N36" s="41">
        <f>Vuosikate!N36-'6. Poistot'!N36</f>
        <v>-2527.1097598743745</v>
      </c>
      <c r="O36" s="41">
        <f>Vuosikate!O36-'6. Poistot'!O36</f>
        <v>-2169.6406814753136</v>
      </c>
      <c r="P36" s="41">
        <f>Vuosikate!P36-'6. Poistot'!P36</f>
        <v>-1383.1273147458573</v>
      </c>
      <c r="T36" s="34">
        <v>79</v>
      </c>
      <c r="U36" s="88" t="s">
        <v>349</v>
      </c>
      <c r="V36" s="41" t="e">
        <f>C36/'1. Väestöennuste'!E36*1000</f>
        <v>#REF!</v>
      </c>
      <c r="W36" s="41">
        <f>D36/'1. Väestöennuste'!F36*1000</f>
        <v>-417.95580110497235</v>
      </c>
      <c r="X36" s="41">
        <f>E36/'1. Väestöennuste'!G36*1000</f>
        <v>40.274087540204164</v>
      </c>
      <c r="Y36" s="41">
        <f>F36/'1. Väestöennuste'!H36*1000</f>
        <v>-365.34625249358794</v>
      </c>
      <c r="Z36" s="41">
        <f>G36/'1. Väestöennuste'!I36*1000</f>
        <v>-527.05237339489247</v>
      </c>
      <c r="AA36" s="41">
        <f>H36/'1. Väestöennuste'!J36*1000</f>
        <v>183.0363749924297</v>
      </c>
      <c r="AB36" s="41">
        <f>I36/'1. Väestöennuste'!K36*1000</f>
        <v>603.11078571174903</v>
      </c>
      <c r="AC36" s="41">
        <f>J36/'1. Väestöennuste'!L36*1000</f>
        <v>466.30053260323899</v>
      </c>
      <c r="AD36" s="41">
        <f>K36/'1. Väestöennuste'!M36*1000</f>
        <v>91.302207216028663</v>
      </c>
      <c r="AE36" s="41">
        <f>L36/'1. Väestöennuste'!N36*1000</f>
        <v>-172.85026414316815</v>
      </c>
      <c r="AF36" s="41">
        <f>M36/'1. Väestöennuste'!O36*1000</f>
        <v>-411.50281175375045</v>
      </c>
      <c r="AG36" s="41">
        <f>N36/'1. Väestöennuste'!P36*1000</f>
        <v>-393.50821548962546</v>
      </c>
      <c r="AH36" s="41">
        <f>O36/'1. Väestöennuste'!Q36*1000</f>
        <v>-341.19211848959168</v>
      </c>
      <c r="AI36" s="41">
        <f>P36/'1. Väestöennuste'!R36*1000</f>
        <v>-219.54401821362816</v>
      </c>
    </row>
    <row r="37" spans="1:35" x14ac:dyDescent="0.2">
      <c r="A37" s="34">
        <v>81</v>
      </c>
      <c r="B37" s="88" t="s">
        <v>350</v>
      </c>
      <c r="C37" s="41" t="e">
        <f>Vuosikate!C37-'6. Poistot'!C37</f>
        <v>#REF!</v>
      </c>
      <c r="D37" s="41">
        <f>Vuosikate!D37-'6. Poistot'!D37</f>
        <v>981</v>
      </c>
      <c r="E37" s="41">
        <f>Vuosikate!E37-'6. Poistot'!E37</f>
        <v>571</v>
      </c>
      <c r="F37" s="41">
        <f>Vuosikate!F37-'6. Poistot'!F37</f>
        <v>-671</v>
      </c>
      <c r="G37" s="41">
        <f>Vuosikate!G37-'6. Poistot'!G37</f>
        <v>-1072</v>
      </c>
      <c r="H37" s="41">
        <f>Vuosikate!H37-'6. Poistot'!H37</f>
        <v>2722.2048168497131</v>
      </c>
      <c r="I37" s="41">
        <f>Vuosikate!I37-'6. Poistot'!I37</f>
        <v>556.6886200359595</v>
      </c>
      <c r="J37" s="41">
        <f>Vuosikate!J37-'6. Poistot'!J37</f>
        <v>-222.06599235626345</v>
      </c>
      <c r="K37" s="41">
        <f>Vuosikate!K37-'6. Poistot'!K37</f>
        <v>61.292075213483486</v>
      </c>
      <c r="L37" s="41">
        <f>Vuosikate!L37-'6. Poistot'!L37</f>
        <v>-207.32429920051823</v>
      </c>
      <c r="M37" s="41">
        <f>Vuosikate!M37-'6. Poistot'!M37</f>
        <v>-1147.4400575899435</v>
      </c>
      <c r="N37" s="41">
        <f>Vuosikate!N37-'6. Poistot'!N37</f>
        <v>-1619.9151003420975</v>
      </c>
      <c r="O37" s="41">
        <f>Vuosikate!O37-'6. Poistot'!O37</f>
        <v>-1686.1505976688522</v>
      </c>
      <c r="P37" s="41">
        <f>Vuosikate!P37-'6. Poistot'!P37</f>
        <v>-1409.2063451543968</v>
      </c>
      <c r="T37" s="34">
        <v>81</v>
      </c>
      <c r="U37" s="88" t="s">
        <v>350</v>
      </c>
      <c r="V37" s="41" t="e">
        <f>C37/'1. Väestöennuste'!E37*1000</f>
        <v>#REF!</v>
      </c>
      <c r="W37" s="41">
        <f>D37/'1. Väestöennuste'!F37*1000</f>
        <v>335.49931600547194</v>
      </c>
      <c r="X37" s="41">
        <f>E37/'1. Väestöennuste'!G37*1000</f>
        <v>198.12630117973629</v>
      </c>
      <c r="Y37" s="41">
        <f>F37/'1. Väestöennuste'!H37*1000</f>
        <v>-241.36690647482015</v>
      </c>
      <c r="Z37" s="41">
        <f>G37/'1. Väestöennuste'!I37*1000</f>
        <v>-397.4786800148313</v>
      </c>
      <c r="AA37" s="41">
        <f>H37/'1. Väestöennuste'!J37*1000</f>
        <v>1025.3125487192895</v>
      </c>
      <c r="AB37" s="41">
        <f>I37/'1. Väestöennuste'!K37*1000</f>
        <v>212.39550554595937</v>
      </c>
      <c r="AC37" s="41">
        <f>J37/'1. Väestöennuste'!L37*1000</f>
        <v>-86.272724303132648</v>
      </c>
      <c r="AD37" s="41">
        <f>K37/'1. Väestöennuste'!M37*1000</f>
        <v>24.216544928282691</v>
      </c>
      <c r="AE37" s="41">
        <f>L37/'1. Väestöennuste'!N37*1000</f>
        <v>-85.529826402854056</v>
      </c>
      <c r="AF37" s="41">
        <f>M37/'1. Väestöennuste'!O37*1000</f>
        <v>-482.52315289736902</v>
      </c>
      <c r="AG37" s="41">
        <f>N37/'1. Väestöennuste'!P37*1000</f>
        <v>-693.16007716820604</v>
      </c>
      <c r="AH37" s="41">
        <f>O37/'1. Väestöennuste'!Q37*1000</f>
        <v>-733.42783717653424</v>
      </c>
      <c r="AI37" s="41">
        <f>P37/'1. Väestöennuste'!R37*1000</f>
        <v>-622.16615680105815</v>
      </c>
    </row>
    <row r="38" spans="1:35" x14ac:dyDescent="0.2">
      <c r="A38" s="34">
        <v>82</v>
      </c>
      <c r="B38" s="88" t="s">
        <v>351</v>
      </c>
      <c r="C38" s="41" t="e">
        <f>Vuosikate!C38-'6. Poistot'!C38</f>
        <v>#REF!</v>
      </c>
      <c r="D38" s="41">
        <f>Vuosikate!D38-'6. Poistot'!D38</f>
        <v>71</v>
      </c>
      <c r="E38" s="41">
        <f>Vuosikate!E38-'6. Poistot'!E38</f>
        <v>672</v>
      </c>
      <c r="F38" s="41">
        <f>Vuosikate!F38-'6. Poistot'!F38</f>
        <v>-657</v>
      </c>
      <c r="G38" s="41">
        <f>Vuosikate!G38-'6. Poistot'!G38</f>
        <v>-1678</v>
      </c>
      <c r="H38" s="41">
        <f>Vuosikate!H38-'6. Poistot'!H38</f>
        <v>3031.4443970609937</v>
      </c>
      <c r="I38" s="41">
        <f>Vuosikate!I38-'6. Poistot'!I38</f>
        <v>-338.35748641517307</v>
      </c>
      <c r="J38" s="41">
        <f>Vuosikate!J38-'6. Poistot'!J38</f>
        <v>832.24351698272403</v>
      </c>
      <c r="K38" s="41">
        <f>Vuosikate!K38-'6. Poistot'!K38</f>
        <v>3118.1695070954092</v>
      </c>
      <c r="L38" s="41">
        <f>Vuosikate!L38-'6. Poistot'!L38</f>
        <v>690.7508661501297</v>
      </c>
      <c r="M38" s="41">
        <f>Vuosikate!M38-'6. Poistot'!M38</f>
        <v>-1984.1968312459194</v>
      </c>
      <c r="N38" s="41">
        <f>Vuosikate!N38-'6. Poistot'!N38</f>
        <v>-1402.4107703404579</v>
      </c>
      <c r="O38" s="41">
        <f>Vuosikate!O38-'6. Poistot'!O38</f>
        <v>-1315.78158472717</v>
      </c>
      <c r="P38" s="41">
        <f>Vuosikate!P38-'6. Poistot'!P38</f>
        <v>-428.79753859823995</v>
      </c>
      <c r="T38" s="34">
        <v>82</v>
      </c>
      <c r="U38" s="88" t="s">
        <v>351</v>
      </c>
      <c r="V38" s="41" t="e">
        <f>C38/'1. Väestöennuste'!E38*1000</f>
        <v>#REF!</v>
      </c>
      <c r="W38" s="41">
        <f>D38/'1. Väestöennuste'!F38*1000</f>
        <v>7.3331956207395166</v>
      </c>
      <c r="X38" s="41">
        <f>E38/'1. Väestöennuste'!G38*1000</f>
        <v>69.927159209157125</v>
      </c>
      <c r="Y38" s="41">
        <f>F38/'1. Väestöennuste'!H38*1000</f>
        <v>-69.340369393139838</v>
      </c>
      <c r="Z38" s="41">
        <f>G38/'1. Väestöennuste'!I38*1000</f>
        <v>-178.09382296752281</v>
      </c>
      <c r="AA38" s="41">
        <f>H38/'1. Väestöennuste'!J38*1000</f>
        <v>322.87191362882027</v>
      </c>
      <c r="AB38" s="41">
        <f>I38/'1. Väestöennuste'!K38*1000</f>
        <v>-35.976340926653172</v>
      </c>
      <c r="AC38" s="41">
        <f>J38/'1. Väestöennuste'!L38*1000</f>
        <v>88.924406131287967</v>
      </c>
      <c r="AD38" s="41">
        <f>K38/'1. Väestöennuste'!M38*1000</f>
        <v>332.74671935710268</v>
      </c>
      <c r="AE38" s="41">
        <f>L38/'1. Väestöennuste'!N38*1000</f>
        <v>75.269790361788125</v>
      </c>
      <c r="AF38" s="41">
        <f>M38/'1. Väestöennuste'!O38*1000</f>
        <v>-217.51774076363947</v>
      </c>
      <c r="AG38" s="41">
        <f>N38/'1. Väestöennuste'!P38*1000</f>
        <v>-154.6890326870128</v>
      </c>
      <c r="AH38" s="41">
        <f>O38/'1. Väestöennuste'!Q38*1000</f>
        <v>-146.05190195661783</v>
      </c>
      <c r="AI38" s="41">
        <f>P38/'1. Väestöennuste'!R38*1000</f>
        <v>-47.899635678981227</v>
      </c>
    </row>
    <row r="39" spans="1:35" x14ac:dyDescent="0.2">
      <c r="A39" s="34">
        <v>86</v>
      </c>
      <c r="B39" s="88" t="s">
        <v>352</v>
      </c>
      <c r="C39" s="41" t="e">
        <f>Vuosikate!C39-'6. Poistot'!C39</f>
        <v>#REF!</v>
      </c>
      <c r="D39" s="41">
        <f>Vuosikate!D39-'6. Poistot'!D39</f>
        <v>2128</v>
      </c>
      <c r="E39" s="41">
        <f>Vuosikate!E39-'6. Poistot'!E39</f>
        <v>882</v>
      </c>
      <c r="F39" s="41">
        <f>Vuosikate!F39-'6. Poistot'!F39</f>
        <v>-926</v>
      </c>
      <c r="G39" s="41">
        <f>Vuosikate!G39-'6. Poistot'!G39</f>
        <v>5</v>
      </c>
      <c r="H39" s="41">
        <f>Vuosikate!H39-'6. Poistot'!H39</f>
        <v>3081.1697212661093</v>
      </c>
      <c r="I39" s="41">
        <f>Vuosikate!I39-'6. Poistot'!I39</f>
        <v>1926.6323929415976</v>
      </c>
      <c r="J39" s="41">
        <f>Vuosikate!J39-'6. Poistot'!J39</f>
        <v>689.08880486343469</v>
      </c>
      <c r="K39" s="41">
        <f>Vuosikate!K39-'6. Poistot'!K39</f>
        <v>1264.5908398469051</v>
      </c>
      <c r="L39" s="41">
        <f>Vuosikate!L39-'6. Poistot'!L39</f>
        <v>148.88212147952436</v>
      </c>
      <c r="M39" s="41">
        <f>Vuosikate!M39-'6. Poistot'!M39</f>
        <v>-1790.8903050843837</v>
      </c>
      <c r="N39" s="41">
        <f>Vuosikate!N39-'6. Poistot'!N39</f>
        <v>-1434.0904053877384</v>
      </c>
      <c r="O39" s="41">
        <f>Vuosikate!O39-'6. Poistot'!O39</f>
        <v>-1154.7423934393114</v>
      </c>
      <c r="P39" s="41">
        <f>Vuosikate!P39-'6. Poistot'!P39</f>
        <v>-250.81619649816184</v>
      </c>
      <c r="T39" s="34">
        <v>86</v>
      </c>
      <c r="U39" s="88" t="s">
        <v>352</v>
      </c>
      <c r="V39" s="41" t="e">
        <f>C39/'1. Väestöennuste'!E39*1000</f>
        <v>#REF!</v>
      </c>
      <c r="W39" s="41">
        <f>D39/'1. Väestöennuste'!F39*1000</f>
        <v>246.26779307950468</v>
      </c>
      <c r="X39" s="41">
        <f>E39/'1. Väestöennuste'!G39*1000</f>
        <v>103.71589840075258</v>
      </c>
      <c r="Y39" s="41">
        <f>F39/'1. Väestöennuste'!H39*1000</f>
        <v>-110.01544493287395</v>
      </c>
      <c r="Z39" s="41">
        <f>G39/'1. Väestöennuste'!I39*1000</f>
        <v>0.60532687651331718</v>
      </c>
      <c r="AA39" s="41">
        <f>H39/'1. Väestöennuste'!J39*1000</f>
        <v>376.90149495609899</v>
      </c>
      <c r="AB39" s="41">
        <f>I39/'1. Väestöennuste'!K39*1000</f>
        <v>236.59982720638556</v>
      </c>
      <c r="AC39" s="41">
        <f>J39/'1. Väestöennuste'!L39*1000</f>
        <v>85.803611612929231</v>
      </c>
      <c r="AD39" s="41">
        <f>K39/'1. Väestöennuste'!M39*1000</f>
        <v>158.11338332669482</v>
      </c>
      <c r="AE39" s="41">
        <f>L39/'1. Väestöennuste'!N39*1000</f>
        <v>19.06545287226589</v>
      </c>
      <c r="AF39" s="41">
        <f>M39/'1. Väestöennuste'!O39*1000</f>
        <v>-231.65053745755836</v>
      </c>
      <c r="AG39" s="41">
        <f>N39/'1. Väestöennuste'!P39*1000</f>
        <v>-187.24251278074664</v>
      </c>
      <c r="AH39" s="41">
        <f>O39/'1. Väestöennuste'!Q39*1000</f>
        <v>-152.09989376176389</v>
      </c>
      <c r="AI39" s="41">
        <f>P39/'1. Väestöennuste'!R39*1000</f>
        <v>-33.331056013044766</v>
      </c>
    </row>
    <row r="40" spans="1:35" x14ac:dyDescent="0.2">
      <c r="A40" s="34">
        <v>90</v>
      </c>
      <c r="B40" s="88" t="s">
        <v>353</v>
      </c>
      <c r="C40" s="41" t="e">
        <f>Vuosikate!C40-'6. Poistot'!C40</f>
        <v>#REF!</v>
      </c>
      <c r="D40" s="41">
        <f>Vuosikate!D40-'6. Poistot'!D40</f>
        <v>-281</v>
      </c>
      <c r="E40" s="41">
        <f>Vuosikate!E40-'6. Poistot'!E40</f>
        <v>462</v>
      </c>
      <c r="F40" s="41">
        <f>Vuosikate!F40-'6. Poistot'!F40</f>
        <v>439</v>
      </c>
      <c r="G40" s="41">
        <f>Vuosikate!G40-'6. Poistot'!G40</f>
        <v>246</v>
      </c>
      <c r="H40" s="41">
        <f>Vuosikate!H40-'6. Poistot'!H40</f>
        <v>1191.8558283061466</v>
      </c>
      <c r="I40" s="41">
        <f>Vuosikate!I40-'6. Poistot'!I40</f>
        <v>1745.220816508509</v>
      </c>
      <c r="J40" s="41">
        <f>Vuosikate!J40-'6. Poistot'!J40</f>
        <v>288.89836961987316</v>
      </c>
      <c r="K40" s="41">
        <f>Vuosikate!K40-'6. Poistot'!K40</f>
        <v>687.84920006328502</v>
      </c>
      <c r="L40" s="41">
        <f>Vuosikate!L40-'6. Poistot'!L40</f>
        <v>-1156.8405806569845</v>
      </c>
      <c r="M40" s="41">
        <f>Vuosikate!M40-'6. Poistot'!M40</f>
        <v>-1130.353962077842</v>
      </c>
      <c r="N40" s="41">
        <f>Vuosikate!N40-'6. Poistot'!N40</f>
        <v>-997.67104668153888</v>
      </c>
      <c r="O40" s="41">
        <f>Vuosikate!O40-'6. Poistot'!O40</f>
        <v>-1301.2500429585264</v>
      </c>
      <c r="P40" s="41">
        <f>Vuosikate!P40-'6. Poistot'!P40</f>
        <v>-973.66866632026495</v>
      </c>
      <c r="T40" s="34">
        <v>90</v>
      </c>
      <c r="U40" s="88" t="s">
        <v>353</v>
      </c>
      <c r="V40" s="41" t="e">
        <f>C40/'1. Väestöennuste'!E40*1000</f>
        <v>#REF!</v>
      </c>
      <c r="W40" s="41">
        <f>D40/'1. Väestöennuste'!F40*1000</f>
        <v>-79.965850882185535</v>
      </c>
      <c r="X40" s="41">
        <f>E40/'1. Väestöennuste'!G40*1000</f>
        <v>133.71924746743849</v>
      </c>
      <c r="Y40" s="41">
        <f>F40/'1. Väestöennuste'!H40*1000</f>
        <v>131.87143286272155</v>
      </c>
      <c r="Z40" s="41">
        <f>G40/'1. Väestöennuste'!I40*1000</f>
        <v>75.599262446220038</v>
      </c>
      <c r="AA40" s="41">
        <f>H40/'1. Väestöennuste'!J40*1000</f>
        <v>372.92109771781804</v>
      </c>
      <c r="AB40" s="41">
        <f>I40/'1. Väestöennuste'!K40*1000</f>
        <v>556.51173995807051</v>
      </c>
      <c r="AC40" s="41">
        <f>J40/'1. Väestöennuste'!L40*1000</f>
        <v>94.380388637658655</v>
      </c>
      <c r="AD40" s="41">
        <f>K40/'1. Väestöennuste'!M40*1000</f>
        <v>229.20666446627291</v>
      </c>
      <c r="AE40" s="41">
        <f>L40/'1. Väestöennuste'!N40*1000</f>
        <v>-391.61834145463251</v>
      </c>
      <c r="AF40" s="41">
        <f>M40/'1. Väestöennuste'!O40*1000</f>
        <v>-389.37442717114777</v>
      </c>
      <c r="AG40" s="41">
        <f>N40/'1. Väestöennuste'!P40*1000</f>
        <v>-349.44695155220273</v>
      </c>
      <c r="AH40" s="41">
        <f>O40/'1. Väestöennuste'!Q40*1000</f>
        <v>-463.73843298593243</v>
      </c>
      <c r="AI40" s="41">
        <f>P40/'1. Väestöennuste'!R40*1000</f>
        <v>-353.03432426405544</v>
      </c>
    </row>
    <row r="41" spans="1:35" x14ac:dyDescent="0.2">
      <c r="A41" s="34">
        <v>91</v>
      </c>
      <c r="B41" s="88" t="s">
        <v>354</v>
      </c>
      <c r="C41" s="41" t="e">
        <f>Vuosikate!C41-'6. Poistot'!C41</f>
        <v>#REF!</v>
      </c>
      <c r="D41" s="41">
        <f>Vuosikate!D41-'6. Poistot'!D41</f>
        <v>232169</v>
      </c>
      <c r="E41" s="41">
        <f>Vuosikate!E41-'6. Poistot'!E41</f>
        <v>483093</v>
      </c>
      <c r="F41" s="41">
        <f>Vuosikate!F41-'6. Poistot'!F41</f>
        <v>405195</v>
      </c>
      <c r="G41" s="41">
        <f>Vuosikate!G41-'6. Poistot'!G41</f>
        <v>376976</v>
      </c>
      <c r="H41" s="41">
        <f>Vuosikate!H41-'6. Poistot'!H41</f>
        <v>478512.75837718847</v>
      </c>
      <c r="I41" s="41">
        <f>Vuosikate!I41-'6. Poistot'!I41</f>
        <v>340042.58344335586</v>
      </c>
      <c r="J41" s="41">
        <f>Vuosikate!J41-'6. Poistot'!J41</f>
        <v>337435.6019738664</v>
      </c>
      <c r="K41" s="41">
        <f>Vuosikate!K41-'6. Poistot'!K41</f>
        <v>446430.52809175494</v>
      </c>
      <c r="L41" s="41">
        <f>Vuosikate!L41-'6. Poistot'!L41</f>
        <v>312075.272283378</v>
      </c>
      <c r="M41" s="41">
        <f>Vuosikate!M41-'6. Poistot'!M41</f>
        <v>226812.90011922404</v>
      </c>
      <c r="N41" s="41">
        <f>Vuosikate!N41-'6. Poistot'!N41</f>
        <v>238776.9013628079</v>
      </c>
      <c r="O41" s="41">
        <f>Vuosikate!O41-'6. Poistot'!O41</f>
        <v>257524.67758140061</v>
      </c>
      <c r="P41" s="41">
        <f>Vuosikate!P41-'6. Poistot'!P41</f>
        <v>278141.13344794099</v>
      </c>
      <c r="T41" s="34">
        <v>91</v>
      </c>
      <c r="U41" s="88" t="s">
        <v>354</v>
      </c>
      <c r="V41" s="41" t="e">
        <f>C41/'1. Väestöennuste'!E41*1000</f>
        <v>#REF!</v>
      </c>
      <c r="W41" s="41">
        <f>D41/'1. Väestöennuste'!F41*1000</f>
        <v>365.51628590905585</v>
      </c>
      <c r="X41" s="41">
        <f>E41/'1. Väestöennuste'!G41*1000</f>
        <v>750.99335895235606</v>
      </c>
      <c r="Y41" s="41">
        <f>F41/'1. Väestöennuste'!H41*1000</f>
        <v>625.26039978890253</v>
      </c>
      <c r="Z41" s="41">
        <f>G41/'1. Väestöennuste'!I41*1000</f>
        <v>576.56136487034189</v>
      </c>
      <c r="AA41" s="41">
        <f>H41/'1. Väestöennuste'!J41*1000</f>
        <v>728.41861775739585</v>
      </c>
      <c r="AB41" s="41">
        <f>I41/'1. Väestöennuste'!K41*1000</f>
        <v>516.4233707643109</v>
      </c>
      <c r="AC41" s="41">
        <f>J41/'1. Väestöennuste'!L41*1000</f>
        <v>508.1647189182782</v>
      </c>
      <c r="AD41" s="41">
        <f>K41/'1. Väestöennuste'!M41*1000</f>
        <v>661.86883334581898</v>
      </c>
      <c r="AE41" s="41">
        <f>L41/'1. Väestöennuste'!N41*1000</f>
        <v>460.34029275209429</v>
      </c>
      <c r="AF41" s="41">
        <f>M41/'1. Väestöennuste'!O41*1000</f>
        <v>332.29786746526537</v>
      </c>
      <c r="AG41" s="41">
        <f>N41/'1. Väestöennuste'!P41*1000</f>
        <v>347.53781929895933</v>
      </c>
      <c r="AH41" s="41">
        <f>O41/'1. Väestöennuste'!Q41*1000</f>
        <v>372.46735991709687</v>
      </c>
      <c r="AI41" s="41">
        <f>P41/'1. Väestöennuste'!R41*1000</f>
        <v>399.85844351119107</v>
      </c>
    </row>
    <row r="42" spans="1:35" x14ac:dyDescent="0.2">
      <c r="A42" s="34">
        <v>92</v>
      </c>
      <c r="B42" s="88" t="s">
        <v>355</v>
      </c>
      <c r="C42" s="41" t="e">
        <f>Vuosikate!C42-'6. Poistot'!C42</f>
        <v>#REF!</v>
      </c>
      <c r="D42" s="41">
        <f>Vuosikate!D42-'6. Poistot'!D42</f>
        <v>62705</v>
      </c>
      <c r="E42" s="41">
        <f>Vuosikate!E42-'6. Poistot'!E42</f>
        <v>40432</v>
      </c>
      <c r="F42" s="41">
        <f>Vuosikate!F42-'6. Poistot'!F42</f>
        <v>3947</v>
      </c>
      <c r="G42" s="41">
        <f>Vuosikate!G42-'6. Poistot'!G42</f>
        <v>-66012</v>
      </c>
      <c r="H42" s="41">
        <f>Vuosikate!H42-'6. Poistot'!H42</f>
        <v>55515.901563724561</v>
      </c>
      <c r="I42" s="41">
        <f>Vuosikate!I42-'6. Poistot'!I42</f>
        <v>54679.898569972473</v>
      </c>
      <c r="J42" s="41">
        <f>Vuosikate!J42-'6. Poistot'!J42</f>
        <v>11764.703120597726</v>
      </c>
      <c r="K42" s="41">
        <f>Vuosikate!K42-'6. Poistot'!K42</f>
        <v>49046.738645328398</v>
      </c>
      <c r="L42" s="41">
        <f>Vuosikate!L42-'6. Poistot'!L42</f>
        <v>-17359.281977470178</v>
      </c>
      <c r="M42" s="41">
        <f>Vuosikate!M42-'6. Poistot'!M42</f>
        <v>-62409.09296939132</v>
      </c>
      <c r="N42" s="41">
        <f>Vuosikate!N42-'6. Poistot'!N42</f>
        <v>-68649.764435261022</v>
      </c>
      <c r="O42" s="41">
        <f>Vuosikate!O42-'6. Poistot'!O42</f>
        <v>-74201.295343436024</v>
      </c>
      <c r="P42" s="41">
        <f>Vuosikate!P42-'6. Poistot'!P42</f>
        <v>-67961.470516013418</v>
      </c>
      <c r="T42" s="34">
        <v>92</v>
      </c>
      <c r="U42" s="88" t="s">
        <v>355</v>
      </c>
      <c r="V42" s="41" t="e">
        <f>C42/'1. Väestöennuste'!E42*1000</f>
        <v>#REF!</v>
      </c>
      <c r="W42" s="41">
        <f>D42/'1. Väestöennuste'!F42*1000</f>
        <v>285.87906501748415</v>
      </c>
      <c r="X42" s="41">
        <f>E42/'1. Väestöennuste'!G42*1000</f>
        <v>181.28746743667807</v>
      </c>
      <c r="Y42" s="41">
        <f>F42/'1. Väestöennuste'!H42*1000</f>
        <v>17.29880876204167</v>
      </c>
      <c r="Z42" s="41">
        <f>G42/'1. Väestöennuste'!I42*1000</f>
        <v>-282.37407763875524</v>
      </c>
      <c r="AA42" s="41">
        <f>H42/'1. Väestöennuste'!J42*1000</f>
        <v>234.01621863805559</v>
      </c>
      <c r="AB42" s="41">
        <f>I42/'1. Väestöennuste'!K42*1000</f>
        <v>228.58915984537376</v>
      </c>
      <c r="AC42" s="41">
        <f>J42/'1. Väestöennuste'!L42*1000</f>
        <v>48.45050478174165</v>
      </c>
      <c r="AD42" s="41">
        <f>K42/'1. Väestöennuste'!M42*1000</f>
        <v>198.21429034294118</v>
      </c>
      <c r="AE42" s="41">
        <f>L42/'1. Väestöennuste'!N42*1000</f>
        <v>-68.953898985788314</v>
      </c>
      <c r="AF42" s="41">
        <f>M42/'1. Väestöennuste'!O42*1000</f>
        <v>-244.80970375826726</v>
      </c>
      <c r="AG42" s="41">
        <f>N42/'1. Väestöennuste'!P42*1000</f>
        <v>-266.1214915075787</v>
      </c>
      <c r="AH42" s="41">
        <f>O42/'1. Väestöennuste'!Q42*1000</f>
        <v>-284.44981903417568</v>
      </c>
      <c r="AI42" s="41">
        <f>P42/'1. Väestöennuste'!R42*1000</f>
        <v>-257.79697795349978</v>
      </c>
    </row>
    <row r="43" spans="1:35" x14ac:dyDescent="0.2">
      <c r="A43" s="34">
        <v>97</v>
      </c>
      <c r="B43" s="88" t="s">
        <v>356</v>
      </c>
      <c r="C43" s="41" t="e">
        <f>Vuosikate!C43-'6. Poistot'!C43</f>
        <v>#REF!</v>
      </c>
      <c r="D43" s="41">
        <f>Vuosikate!D43-'6. Poistot'!D43</f>
        <v>128</v>
      </c>
      <c r="E43" s="41">
        <f>Vuosikate!E43-'6. Poistot'!E43</f>
        <v>456</v>
      </c>
      <c r="F43" s="41">
        <f>Vuosikate!F43-'6. Poistot'!F43</f>
        <v>697</v>
      </c>
      <c r="G43" s="41">
        <f>Vuosikate!G43-'6. Poistot'!G43</f>
        <v>29</v>
      </c>
      <c r="H43" s="41">
        <f>Vuosikate!H43-'6. Poistot'!H43</f>
        <v>301.60937432210176</v>
      </c>
      <c r="I43" s="41">
        <f>Vuosikate!I43-'6. Poistot'!I43</f>
        <v>64.456759292638367</v>
      </c>
      <c r="J43" s="41">
        <f>Vuosikate!J43-'6. Poistot'!J43</f>
        <v>52.077221555275514</v>
      </c>
      <c r="K43" s="41">
        <f>Vuosikate!K43-'6. Poistot'!K43</f>
        <v>1126.9314254542217</v>
      </c>
      <c r="L43" s="41">
        <f>Vuosikate!L43-'6. Poistot'!L43</f>
        <v>-163.70214345452439</v>
      </c>
      <c r="M43" s="41">
        <f>Vuosikate!M43-'6. Poistot'!M43</f>
        <v>-34.427567158277952</v>
      </c>
      <c r="N43" s="41">
        <f>Vuosikate!N43-'6. Poistot'!N43</f>
        <v>144.76641547532415</v>
      </c>
      <c r="O43" s="41">
        <f>Vuosikate!O43-'6. Poistot'!O43</f>
        <v>37.157613748247456</v>
      </c>
      <c r="P43" s="41">
        <f>Vuosikate!P43-'6. Poistot'!P43</f>
        <v>217.03218588261899</v>
      </c>
      <c r="T43" s="34">
        <v>97</v>
      </c>
      <c r="U43" s="88" t="s">
        <v>356</v>
      </c>
      <c r="V43" s="41" t="e">
        <f>C43/'1. Väestöennuste'!E43*1000</f>
        <v>#REF!</v>
      </c>
      <c r="W43" s="41">
        <f>D43/'1. Väestöennuste'!F43*1000</f>
        <v>56.288478452066848</v>
      </c>
      <c r="X43" s="41">
        <f>E43/'1. Väestöennuste'!G43*1000</f>
        <v>203.93559928443651</v>
      </c>
      <c r="Y43" s="41">
        <f>F43/'1. Väestöennuste'!H43*1000</f>
        <v>323.88475836431223</v>
      </c>
      <c r="Z43" s="41">
        <f>G43/'1. Väestöennuste'!I43*1000</f>
        <v>13.576779026217229</v>
      </c>
      <c r="AA43" s="41">
        <f>H43/'1. Väestöennuste'!J43*1000</f>
        <v>139.89303076164276</v>
      </c>
      <c r="AB43" s="41">
        <f>I43/'1. Väestöennuste'!K43*1000</f>
        <v>30.247188781153621</v>
      </c>
      <c r="AC43" s="41">
        <f>J43/'1. Väestöennuste'!L43*1000</f>
        <v>24.90541442146127</v>
      </c>
      <c r="AD43" s="41">
        <f>K43/'1. Väestöennuste'!M43*1000</f>
        <v>546.52348470136837</v>
      </c>
      <c r="AE43" s="41">
        <f>L43/'1. Väestöennuste'!N43*1000</f>
        <v>-77.990539997391323</v>
      </c>
      <c r="AF43" s="41">
        <f>M43/'1. Väestöennuste'!O43*1000</f>
        <v>-16.504106979040245</v>
      </c>
      <c r="AG43" s="41">
        <f>N43/'1. Väestöennuste'!P43*1000</f>
        <v>69.800586053676057</v>
      </c>
      <c r="AH43" s="41">
        <f>O43/'1. Väestöennuste'!Q43*1000</f>
        <v>18.002719839267176</v>
      </c>
      <c r="AI43" s="41">
        <f>P43/'1. Väestöennuste'!R43*1000</f>
        <v>105.76617245741667</v>
      </c>
    </row>
    <row r="44" spans="1:35" x14ac:dyDescent="0.2">
      <c r="A44" s="34">
        <v>98</v>
      </c>
      <c r="B44" s="88" t="s">
        <v>357</v>
      </c>
      <c r="C44" s="41" t="e">
        <f>Vuosikate!C44-'6. Poistot'!C44</f>
        <v>#REF!</v>
      </c>
      <c r="D44" s="41">
        <f>Vuosikate!D44-'6. Poistot'!D44</f>
        <v>5309</v>
      </c>
      <c r="E44" s="41">
        <f>Vuosikate!E44-'6. Poistot'!E44</f>
        <v>5062</v>
      </c>
      <c r="F44" s="41">
        <f>Vuosikate!F44-'6. Poistot'!F44</f>
        <v>-1532</v>
      </c>
      <c r="G44" s="41">
        <f>Vuosikate!G44-'6. Poistot'!G44</f>
        <v>-1445</v>
      </c>
      <c r="H44" s="41">
        <f>Vuosikate!H44-'6. Poistot'!H44</f>
        <v>15079.621834731457</v>
      </c>
      <c r="I44" s="41">
        <f>Vuosikate!I44-'6. Poistot'!I44</f>
        <v>8344.638716701802</v>
      </c>
      <c r="J44" s="41">
        <f>Vuosikate!J44-'6. Poistot'!J44</f>
        <v>8583.2885100664644</v>
      </c>
      <c r="K44" s="41">
        <f>Vuosikate!K44-'6. Poistot'!K44</f>
        <v>10646.850115981242</v>
      </c>
      <c r="L44" s="41">
        <f>Vuosikate!L44-'6. Poistot'!L44</f>
        <v>1586.2099102145694</v>
      </c>
      <c r="M44" s="41">
        <f>Vuosikate!M44-'6. Poistot'!M44</f>
        <v>516.10733619952225</v>
      </c>
      <c r="N44" s="41">
        <f>Vuosikate!N44-'6. Poistot'!N44</f>
        <v>-247.99407425728532</v>
      </c>
      <c r="O44" s="41">
        <f>Vuosikate!O44-'6. Poistot'!O44</f>
        <v>-626.71537809510301</v>
      </c>
      <c r="P44" s="41">
        <f>Vuosikate!P44-'6. Poistot'!P44</f>
        <v>1462.0598706300007</v>
      </c>
      <c r="T44" s="34">
        <v>98</v>
      </c>
      <c r="U44" s="88" t="s">
        <v>357</v>
      </c>
      <c r="V44" s="41" t="e">
        <f>C44/'1. Väestöennuste'!E44*1000</f>
        <v>#REF!</v>
      </c>
      <c r="W44" s="41">
        <f>D44/'1. Väestöennuste'!F44*1000</f>
        <v>223.1516119541003</v>
      </c>
      <c r="X44" s="41">
        <f>E44/'1. Väestöennuste'!G44*1000</f>
        <v>212.85005466319066</v>
      </c>
      <c r="Y44" s="41">
        <f>F44/'1. Väestöennuste'!H44*1000</f>
        <v>-64.909753410727916</v>
      </c>
      <c r="Z44" s="41">
        <f>G44/'1. Väestöennuste'!I44*1000</f>
        <v>-61.725758222981632</v>
      </c>
      <c r="AA44" s="41">
        <f>H44/'1. Väestöennuste'!J44*1000</f>
        <v>648.55799039746501</v>
      </c>
      <c r="AB44" s="41">
        <f>I44/'1. Väestöennuste'!K44*1000</f>
        <v>361.39621986582074</v>
      </c>
      <c r="AC44" s="41">
        <f>J44/'1. Väestöennuste'!L44*1000</f>
        <v>374.11360807507583</v>
      </c>
      <c r="AD44" s="41">
        <f>K44/'1. Väestöennuste'!M44*1000</f>
        <v>465.23269023295791</v>
      </c>
      <c r="AE44" s="41">
        <f>L44/'1. Väestöennuste'!N44*1000</f>
        <v>69.769514414540112</v>
      </c>
      <c r="AF44" s="41">
        <f>M44/'1. Väestöennuste'!O44*1000</f>
        <v>22.83963960700634</v>
      </c>
      <c r="AG44" s="41">
        <f>N44/'1. Väestöennuste'!P44*1000</f>
        <v>-11.041096756924683</v>
      </c>
      <c r="AH44" s="41">
        <f>O44/'1. Väestöennuste'!Q44*1000</f>
        <v>-28.062301441593291</v>
      </c>
      <c r="AI44" s="41">
        <f>P44/'1. Väestöennuste'!R44*1000</f>
        <v>65.855586263231416</v>
      </c>
    </row>
    <row r="45" spans="1:35" x14ac:dyDescent="0.2">
      <c r="A45" s="34">
        <v>102</v>
      </c>
      <c r="B45" s="88" t="s">
        <v>359</v>
      </c>
      <c r="C45" s="41" t="e">
        <f>Vuosikate!C45-'6. Poistot'!C45</f>
        <v>#REF!</v>
      </c>
      <c r="D45" s="41">
        <f>Vuosikate!D45-'6. Poistot'!D45</f>
        <v>-1992</v>
      </c>
      <c r="E45" s="41">
        <f>Vuosikate!E45-'6. Poistot'!E45</f>
        <v>-164</v>
      </c>
      <c r="F45" s="41">
        <f>Vuosikate!F45-'6. Poistot'!F45</f>
        <v>-3606</v>
      </c>
      <c r="G45" s="41">
        <f>Vuosikate!G45-'6. Poistot'!G45</f>
        <v>-3909</v>
      </c>
      <c r="H45" s="41">
        <f>Vuosikate!H45-'6. Poistot'!H45</f>
        <v>4363.3943215564868</v>
      </c>
      <c r="I45" s="41">
        <f>Vuosikate!I45-'6. Poistot'!I45</f>
        <v>890.36295157109134</v>
      </c>
      <c r="J45" s="41">
        <f>Vuosikate!J45-'6. Poistot'!J45</f>
        <v>-1170.9935113124693</v>
      </c>
      <c r="K45" s="41">
        <f>Vuosikate!K45-'6. Poistot'!K45</f>
        <v>3077.7751804260643</v>
      </c>
      <c r="L45" s="41">
        <f>Vuosikate!L45-'6. Poistot'!L45</f>
        <v>-1514.5177043624822</v>
      </c>
      <c r="M45" s="41">
        <f>Vuosikate!M45-'6. Poistot'!M45</f>
        <v>-1943.0362531906208</v>
      </c>
      <c r="N45" s="41">
        <f>Vuosikate!N45-'6. Poistot'!N45</f>
        <v>-1722.2861801656777</v>
      </c>
      <c r="O45" s="41">
        <f>Vuosikate!O45-'6. Poistot'!O45</f>
        <v>-1750.8575338872174</v>
      </c>
      <c r="P45" s="41">
        <f>Vuosikate!P45-'6. Poistot'!P45</f>
        <v>-836.6605455777235</v>
      </c>
      <c r="T45" s="34">
        <v>102</v>
      </c>
      <c r="U45" s="88" t="s">
        <v>359</v>
      </c>
      <c r="V45" s="41" t="e">
        <f>C45/'1. Väestöennuste'!E45*1000</f>
        <v>#REF!</v>
      </c>
      <c r="W45" s="41">
        <f>D45/'1. Väestöennuste'!F45*1000</f>
        <v>-191.48322599250218</v>
      </c>
      <c r="X45" s="41">
        <f>E45/'1. Väestöennuste'!G45*1000</f>
        <v>-16.067404722249439</v>
      </c>
      <c r="Y45" s="41">
        <f>F45/'1. Väestöennuste'!H45*1000</f>
        <v>-357.3481319988108</v>
      </c>
      <c r="Z45" s="41">
        <f>G45/'1. Väestöennuste'!I45*1000</f>
        <v>-389.18757467144565</v>
      </c>
      <c r="AA45" s="41">
        <f>H45/'1. Väestöennuste'!J45*1000</f>
        <v>439.10579868737915</v>
      </c>
      <c r="AB45" s="41">
        <f>I45/'1. Väestöennuste'!K45*1000</f>
        <v>90.20901231723316</v>
      </c>
      <c r="AC45" s="41">
        <f>J45/'1. Väestöennuste'!L45*1000</f>
        <v>-120.16352091456844</v>
      </c>
      <c r="AD45" s="41">
        <f>K45/'1. Väestöennuste'!M45*1000</f>
        <v>319.07269131516318</v>
      </c>
      <c r="AE45" s="41">
        <f>L45/'1. Väestöennuste'!N45*1000</f>
        <v>-158.87104839635813</v>
      </c>
      <c r="AF45" s="41">
        <f>M45/'1. Väestöennuste'!O45*1000</f>
        <v>-205.76472023621949</v>
      </c>
      <c r="AG45" s="41">
        <f>N45/'1. Väestöennuste'!P45*1000</f>
        <v>-184.10327954737335</v>
      </c>
      <c r="AH45" s="41">
        <f>O45/'1. Väestöennuste'!Q45*1000</f>
        <v>-188.81241603442439</v>
      </c>
      <c r="AI45" s="41">
        <f>P45/'1. Väestöennuste'!R45*1000</f>
        <v>-91.010610853662953</v>
      </c>
    </row>
    <row r="46" spans="1:35" x14ac:dyDescent="0.2">
      <c r="A46" s="34">
        <v>103</v>
      </c>
      <c r="B46" s="88" t="s">
        <v>360</v>
      </c>
      <c r="C46" s="41" t="e">
        <f>Vuosikate!C46-'6. Poistot'!C46</f>
        <v>#REF!</v>
      </c>
      <c r="D46" s="41">
        <f>Vuosikate!D46-'6. Poistot'!D46</f>
        <v>-397</v>
      </c>
      <c r="E46" s="41">
        <f>Vuosikate!E46-'6. Poistot'!E46</f>
        <v>21</v>
      </c>
      <c r="F46" s="41">
        <f>Vuosikate!F46-'6. Poistot'!F46</f>
        <v>-550</v>
      </c>
      <c r="G46" s="41">
        <f>Vuosikate!G46-'6. Poistot'!G46</f>
        <v>-100</v>
      </c>
      <c r="H46" s="41">
        <f>Vuosikate!H46-'6. Poistot'!H46</f>
        <v>540.00785388590975</v>
      </c>
      <c r="I46" s="41">
        <f>Vuosikate!I46-'6. Poistot'!I46</f>
        <v>407.88553470988285</v>
      </c>
      <c r="J46" s="41">
        <f>Vuosikate!J46-'6. Poistot'!J46</f>
        <v>-184.23253608449036</v>
      </c>
      <c r="K46" s="41">
        <f>Vuosikate!K46-'6. Poistot'!K46</f>
        <v>-21.221865258317735</v>
      </c>
      <c r="L46" s="41">
        <f>Vuosikate!L46-'6. Poistot'!L46</f>
        <v>-309.757124688945</v>
      </c>
      <c r="M46" s="41">
        <f>Vuosikate!M46-'6. Poistot'!M46</f>
        <v>-1261.5136872737312</v>
      </c>
      <c r="N46" s="41">
        <f>Vuosikate!N46-'6. Poistot'!N46</f>
        <v>-1313.9640318559696</v>
      </c>
      <c r="O46" s="41">
        <f>Vuosikate!O46-'6. Poistot'!O46</f>
        <v>-1421.884770460636</v>
      </c>
      <c r="P46" s="41">
        <f>Vuosikate!P46-'6. Poistot'!P46</f>
        <v>-1285.2802780426996</v>
      </c>
      <c r="T46" s="34">
        <v>103</v>
      </c>
      <c r="U46" s="88" t="s">
        <v>360</v>
      </c>
      <c r="V46" s="41" t="e">
        <f>C46/'1. Väestöennuste'!E46*1000</f>
        <v>#REF!</v>
      </c>
      <c r="W46" s="41">
        <f>D46/'1. Väestöennuste'!F46*1000</f>
        <v>-169.29637526652454</v>
      </c>
      <c r="X46" s="41">
        <f>E46/'1. Väestöennuste'!G46*1000</f>
        <v>9.1703056768558948</v>
      </c>
      <c r="Y46" s="41">
        <f>F46/'1. Väestöennuste'!H46*1000</f>
        <v>-246.08501118568233</v>
      </c>
      <c r="Z46" s="41">
        <f>G46/'1. Väestöennuste'!I46*1000</f>
        <v>-45.787545787545781</v>
      </c>
      <c r="AA46" s="41">
        <f>H46/'1. Väestöennuste'!J46*1000</f>
        <v>248.39367704043684</v>
      </c>
      <c r="AB46" s="41">
        <f>I46/'1. Väestöennuste'!K46*1000</f>
        <v>188.31280457519983</v>
      </c>
      <c r="AC46" s="41">
        <f>J46/'1. Väestöennuste'!L46*1000</f>
        <v>-85.253371626325944</v>
      </c>
      <c r="AD46" s="41">
        <f>K46/'1. Väestöennuste'!M46*1000</f>
        <v>-9.9867601215612858</v>
      </c>
      <c r="AE46" s="41">
        <f>L46/'1. Väestöennuste'!N46*1000</f>
        <v>-148.63585637665307</v>
      </c>
      <c r="AF46" s="41">
        <f>M46/'1. Väestöennuste'!O46*1000</f>
        <v>-611.19849189618753</v>
      </c>
      <c r="AG46" s="41">
        <f>N46/'1. Väestöennuste'!P46*1000</f>
        <v>-643.46916349459821</v>
      </c>
      <c r="AH46" s="41">
        <f>O46/'1. Väestöennuste'!Q46*1000</f>
        <v>-703.55505713044829</v>
      </c>
      <c r="AI46" s="41">
        <f>P46/'1. Väestöennuste'!R46*1000</f>
        <v>-641.67762258746859</v>
      </c>
    </row>
    <row r="47" spans="1:35" x14ac:dyDescent="0.2">
      <c r="A47" s="34">
        <v>105</v>
      </c>
      <c r="B47" s="88" t="s">
        <v>361</v>
      </c>
      <c r="C47" s="41" t="e">
        <f>Vuosikate!C47-'6. Poistot'!C47</f>
        <v>#REF!</v>
      </c>
      <c r="D47" s="41">
        <f>Vuosikate!D47-'6. Poistot'!D47</f>
        <v>-181</v>
      </c>
      <c r="E47" s="41">
        <f>Vuosikate!E47-'6. Poistot'!E47</f>
        <v>1331</v>
      </c>
      <c r="F47" s="41">
        <f>Vuosikate!F47-'6. Poistot'!F47</f>
        <v>387</v>
      </c>
      <c r="G47" s="41">
        <f>Vuosikate!G47-'6. Poistot'!G47</f>
        <v>503</v>
      </c>
      <c r="H47" s="41">
        <f>Vuosikate!H47-'6. Poistot'!H47</f>
        <v>385.73910758949023</v>
      </c>
      <c r="I47" s="41">
        <f>Vuosikate!I47-'6. Poistot'!I47</f>
        <v>-422.30084216475802</v>
      </c>
      <c r="J47" s="41">
        <f>Vuosikate!J47-'6. Poistot'!J47</f>
        <v>1804.4203492061029</v>
      </c>
      <c r="K47" s="41">
        <f>Vuosikate!K47-'6. Poistot'!K47</f>
        <v>784.20719286420308</v>
      </c>
      <c r="L47" s="41">
        <f>Vuosikate!L47-'6. Poistot'!L47</f>
        <v>1019.5396990180586</v>
      </c>
      <c r="M47" s="41">
        <f>Vuosikate!M47-'6. Poistot'!M47</f>
        <v>802.23998878216923</v>
      </c>
      <c r="N47" s="41">
        <f>Vuosikate!N47-'6. Poistot'!N47</f>
        <v>627.13192325734803</v>
      </c>
      <c r="O47" s="41">
        <f>Vuosikate!O47-'6. Poistot'!O47</f>
        <v>543.20467858638551</v>
      </c>
      <c r="P47" s="41">
        <f>Vuosikate!P47-'6. Poistot'!P47</f>
        <v>831.88525171864103</v>
      </c>
      <c r="T47" s="34">
        <v>105</v>
      </c>
      <c r="U47" s="88" t="s">
        <v>361</v>
      </c>
      <c r="V47" s="41" t="e">
        <f>C47/'1. Väestöennuste'!E47*1000</f>
        <v>#REF!</v>
      </c>
      <c r="W47" s="41">
        <f>D47/'1. Väestöennuste'!F47*1000</f>
        <v>-75.228595178719871</v>
      </c>
      <c r="X47" s="41">
        <f>E47/'1. Väestöennuste'!G47*1000</f>
        <v>572.2269991401547</v>
      </c>
      <c r="Y47" s="41">
        <f>F47/'1. Väestöennuste'!H47*1000</f>
        <v>169.21731526016615</v>
      </c>
      <c r="Z47" s="41">
        <f>G47/'1. Väestöennuste'!I47*1000</f>
        <v>221.48833113166006</v>
      </c>
      <c r="AA47" s="41">
        <f>H47/'1. Väestöennuste'!J47*1000</f>
        <v>175.41569240085957</v>
      </c>
      <c r="AB47" s="41">
        <f>I47/'1. Väestöennuste'!K47*1000</f>
        <v>-197.42909872125199</v>
      </c>
      <c r="AC47" s="41">
        <f>J47/'1. Väestöennuste'!L47*1000</f>
        <v>861.70981337445221</v>
      </c>
      <c r="AD47" s="41">
        <f>K47/'1. Väestöennuste'!M47*1000</f>
        <v>380.12951665739365</v>
      </c>
      <c r="AE47" s="41">
        <f>L47/'1. Väestöennuste'!N47*1000</f>
        <v>499.28486729581715</v>
      </c>
      <c r="AF47" s="41">
        <f>M47/'1. Väestöennuste'!O47*1000</f>
        <v>399.32304070789911</v>
      </c>
      <c r="AG47" s="41">
        <f>N47/'1. Väestöennuste'!P47*1000</f>
        <v>317.37445508975105</v>
      </c>
      <c r="AH47" s="41">
        <f>O47/'1. Väestöennuste'!Q47*1000</f>
        <v>279.28261109839877</v>
      </c>
      <c r="AI47" s="41">
        <f>P47/'1. Väestöennuste'!R47*1000</f>
        <v>434.17810632496924</v>
      </c>
    </row>
    <row r="48" spans="1:35" x14ac:dyDescent="0.2">
      <c r="A48" s="34">
        <v>106</v>
      </c>
      <c r="B48" s="88" t="s">
        <v>362</v>
      </c>
      <c r="C48" s="41" t="e">
        <f>Vuosikate!C48-'6. Poistot'!C48</f>
        <v>#REF!</v>
      </c>
      <c r="D48" s="41">
        <f>Vuosikate!D48-'6. Poistot'!D48</f>
        <v>8583</v>
      </c>
      <c r="E48" s="41">
        <f>Vuosikate!E48-'6. Poistot'!E48</f>
        <v>7525</v>
      </c>
      <c r="F48" s="41">
        <f>Vuosikate!F48-'6. Poistot'!F48</f>
        <v>-2290</v>
      </c>
      <c r="G48" s="41">
        <f>Vuosikate!G48-'6. Poistot'!G48</f>
        <v>-19376</v>
      </c>
      <c r="H48" s="41">
        <f>Vuosikate!H48-'6. Poistot'!H48</f>
        <v>1903.1230747882801</v>
      </c>
      <c r="I48" s="41">
        <f>Vuosikate!I48-'6. Poistot'!I48</f>
        <v>19341.193920353075</v>
      </c>
      <c r="J48" s="41">
        <f>Vuosikate!J48-'6. Poistot'!J48</f>
        <v>14728.940051882691</v>
      </c>
      <c r="K48" s="41">
        <f>Vuosikate!K48-'6. Poistot'!K48</f>
        <v>26492.337066013457</v>
      </c>
      <c r="L48" s="41">
        <f>Vuosikate!L48-'6. Poistot'!L48</f>
        <v>356.19890400447912</v>
      </c>
      <c r="M48" s="41">
        <f>Vuosikate!M48-'6. Poistot'!M48</f>
        <v>-1833.1774325374645</v>
      </c>
      <c r="N48" s="41">
        <f>Vuosikate!N48-'6. Poistot'!N48</f>
        <v>-2609.7878080027658</v>
      </c>
      <c r="O48" s="41">
        <f>Vuosikate!O48-'6. Poistot'!O48</f>
        <v>-2415.7961142412641</v>
      </c>
      <c r="P48" s="41">
        <f>Vuosikate!P48-'6. Poistot'!P48</f>
        <v>395.99619642416292</v>
      </c>
      <c r="T48" s="34">
        <v>106</v>
      </c>
      <c r="U48" s="88" t="s">
        <v>362</v>
      </c>
      <c r="V48" s="41" t="e">
        <f>C48/'1. Väestöennuste'!E48*1000</f>
        <v>#REF!</v>
      </c>
      <c r="W48" s="41">
        <f>D48/'1. Väestöennuste'!F48*1000</f>
        <v>184.2003605459696</v>
      </c>
      <c r="X48" s="41">
        <f>E48/'1. Väestöennuste'!G48*1000</f>
        <v>161.00044930357944</v>
      </c>
      <c r="Y48" s="41">
        <f>F48/'1. Väestöennuste'!H48*1000</f>
        <v>-49.243075864441764</v>
      </c>
      <c r="Z48" s="41">
        <f>G48/'1. Väestöennuste'!I48*1000</f>
        <v>-416.95717667312243</v>
      </c>
      <c r="AA48" s="41">
        <f>H48/'1. Väestöennuste'!J48*1000</f>
        <v>40.860595044406558</v>
      </c>
      <c r="AB48" s="41">
        <f>I48/'1. Väestöennuste'!K48*1000</f>
        <v>412.56812970036424</v>
      </c>
      <c r="AC48" s="41">
        <f>J48/'1. Väestöennuste'!L48*1000</f>
        <v>314.74111699217241</v>
      </c>
      <c r="AD48" s="41">
        <f>K48/'1. Väestöennuste'!M48*1000</f>
        <v>564.85655030838268</v>
      </c>
      <c r="AE48" s="41">
        <f>L48/'1. Väestöennuste'!N48*1000</f>
        <v>7.5948593604366552</v>
      </c>
      <c r="AF48" s="41">
        <f>M48/'1. Väestöennuste'!O48*1000</f>
        <v>-39.017888013482846</v>
      </c>
      <c r="AG48" s="41">
        <f>N48/'1. Väestöennuste'!P48*1000</f>
        <v>-55.447178720208328</v>
      </c>
      <c r="AH48" s="41">
        <f>O48/'1. Väestöennuste'!Q48*1000</f>
        <v>-51.235310263647946</v>
      </c>
      <c r="AI48" s="41">
        <f>P48/'1. Väestöennuste'!R48*1000</f>
        <v>8.3833558392785772</v>
      </c>
    </row>
    <row r="49" spans="1:35" x14ac:dyDescent="0.2">
      <c r="A49" s="34">
        <v>108</v>
      </c>
      <c r="B49" s="88" t="s">
        <v>363</v>
      </c>
      <c r="C49" s="41" t="e">
        <f>Vuosikate!C49-'6. Poistot'!C49</f>
        <v>#REF!</v>
      </c>
      <c r="D49" s="41">
        <f>Vuosikate!D49-'6. Poistot'!D49</f>
        <v>-2719</v>
      </c>
      <c r="E49" s="41">
        <f>Vuosikate!E49-'6. Poistot'!E49</f>
        <v>339</v>
      </c>
      <c r="F49" s="41">
        <f>Vuosikate!F49-'6. Poistot'!F49</f>
        <v>422</v>
      </c>
      <c r="G49" s="41">
        <f>Vuosikate!G49-'6. Poistot'!G49</f>
        <v>-1915</v>
      </c>
      <c r="H49" s="41">
        <f>Vuosikate!H49-'6. Poistot'!H49</f>
        <v>1953.5645114138242</v>
      </c>
      <c r="I49" s="41">
        <f>Vuosikate!I49-'6. Poistot'!I49</f>
        <v>-554.14115763588961</v>
      </c>
      <c r="J49" s="41">
        <f>Vuosikate!J49-'6. Poistot'!J49</f>
        <v>1580.535382050778</v>
      </c>
      <c r="K49" s="41">
        <f>Vuosikate!K49-'6. Poistot'!K49</f>
        <v>2245.0496741386041</v>
      </c>
      <c r="L49" s="41">
        <f>Vuosikate!L49-'6. Poistot'!L49</f>
        <v>606.4000594655281</v>
      </c>
      <c r="M49" s="41">
        <f>Vuosikate!M49-'6. Poistot'!M49</f>
        <v>-1002.1186322266803</v>
      </c>
      <c r="N49" s="41">
        <f>Vuosikate!N49-'6. Poistot'!N49</f>
        <v>-111.62183045846177</v>
      </c>
      <c r="O49" s="41">
        <f>Vuosikate!O49-'6. Poistot'!O49</f>
        <v>-75.769643300936877</v>
      </c>
      <c r="P49" s="41">
        <f>Vuosikate!P49-'6. Poistot'!P49</f>
        <v>1207.1272721267596</v>
      </c>
      <c r="T49" s="34">
        <v>108</v>
      </c>
      <c r="U49" s="88" t="s">
        <v>363</v>
      </c>
      <c r="V49" s="41" t="e">
        <f>C49/'1. Väestöennuste'!E49*1000</f>
        <v>#REF!</v>
      </c>
      <c r="W49" s="41">
        <f>D49/'1. Väestöennuste'!F49*1000</f>
        <v>-254.56417938395282</v>
      </c>
      <c r="X49" s="41">
        <f>E49/'1. Väestöennuste'!G49*1000</f>
        <v>31.984149448061139</v>
      </c>
      <c r="Y49" s="41">
        <f>F49/'1. Väestöennuste'!H49*1000</f>
        <v>40.152235965746911</v>
      </c>
      <c r="Z49" s="41">
        <f>G49/'1. Väestöennuste'!I49*1000</f>
        <v>-184.0638216070742</v>
      </c>
      <c r="AA49" s="41">
        <f>H49/'1. Väestöennuste'!J49*1000</f>
        <v>188.85967821092655</v>
      </c>
      <c r="AB49" s="41">
        <f>I49/'1. Väestöennuste'!K49*1000</f>
        <v>-53.607541611288532</v>
      </c>
      <c r="AC49" s="41">
        <f>J49/'1. Väestöennuste'!L49*1000</f>
        <v>154.09333938293634</v>
      </c>
      <c r="AD49" s="41">
        <f>K49/'1. Väestöennuste'!M49*1000</f>
        <v>217.56465492185328</v>
      </c>
      <c r="AE49" s="41">
        <f>L49/'1. Väestöennuste'!N49*1000</f>
        <v>60.308310240231542</v>
      </c>
      <c r="AF49" s="41">
        <f>M49/'1. Väestöennuste'!O49*1000</f>
        <v>-100.26199421977792</v>
      </c>
      <c r="AG49" s="41">
        <f>N49/'1. Väestöennuste'!P49*1000</f>
        <v>-11.227301393930977</v>
      </c>
      <c r="AH49" s="41">
        <f>O49/'1. Väestöennuste'!Q49*1000</f>
        <v>-7.6581406206728193</v>
      </c>
      <c r="AI49" s="41">
        <f>P49/'1. Väestöennuste'!R49*1000</f>
        <v>122.58832864088146</v>
      </c>
    </row>
    <row r="50" spans="1:35" x14ac:dyDescent="0.2">
      <c r="A50" s="34">
        <v>109</v>
      </c>
      <c r="B50" s="88" t="s">
        <v>364</v>
      </c>
      <c r="C50" s="41" t="e">
        <f>Vuosikate!C50-'6. Poistot'!C50</f>
        <v>#REF!</v>
      </c>
      <c r="D50" s="41">
        <f>Vuosikate!D50-'6. Poistot'!D50</f>
        <v>-3749</v>
      </c>
      <c r="E50" s="41">
        <f>Vuosikate!E50-'6. Poistot'!E50</f>
        <v>5324</v>
      </c>
      <c r="F50" s="41">
        <f>Vuosikate!F50-'6. Poistot'!F50</f>
        <v>-11858</v>
      </c>
      <c r="G50" s="41">
        <f>Vuosikate!G50-'6. Poistot'!G50</f>
        <v>-11618</v>
      </c>
      <c r="H50" s="41">
        <f>Vuosikate!H50-'6. Poistot'!H50</f>
        <v>13298.895743801186</v>
      </c>
      <c r="I50" s="41">
        <f>Vuosikate!I50-'6. Poistot'!I50</f>
        <v>11110.694226208812</v>
      </c>
      <c r="J50" s="41">
        <f>Vuosikate!J50-'6. Poistot'!J50</f>
        <v>9066.2405808280855</v>
      </c>
      <c r="K50" s="41">
        <f>Vuosikate!K50-'6. Poistot'!K50</f>
        <v>30888.909433870911</v>
      </c>
      <c r="L50" s="41">
        <f>Vuosikate!L50-'6. Poistot'!L50</f>
        <v>16105.944973263555</v>
      </c>
      <c r="M50" s="41">
        <f>Vuosikate!M50-'6. Poistot'!M50</f>
        <v>10239.827029708027</v>
      </c>
      <c r="N50" s="41">
        <f>Vuosikate!N50-'6. Poistot'!N50</f>
        <v>8713.230908690035</v>
      </c>
      <c r="O50" s="41">
        <f>Vuosikate!O50-'6. Poistot'!O50</f>
        <v>9245.7414971859944</v>
      </c>
      <c r="P50" s="41">
        <f>Vuosikate!P50-'6. Poistot'!P50</f>
        <v>14673.789030600645</v>
      </c>
      <c r="T50" s="34">
        <v>109</v>
      </c>
      <c r="U50" s="88" t="s">
        <v>364</v>
      </c>
      <c r="V50" s="41" t="e">
        <f>C50/'1. Väestöennuste'!E50*1000</f>
        <v>#REF!</v>
      </c>
      <c r="W50" s="41">
        <f>D50/'1. Väestöennuste'!F50*1000</f>
        <v>-55.254237288135599</v>
      </c>
      <c r="X50" s="41">
        <f>E50/'1. Väestöennuste'!G50*1000</f>
        <v>78.685229523218354</v>
      </c>
      <c r="Y50" s="41">
        <f>F50/'1. Väestöennuste'!H50*1000</f>
        <v>-175.59083101344547</v>
      </c>
      <c r="Z50" s="41">
        <f>G50/'1. Väestöennuste'!I50*1000</f>
        <v>-171.78004820132185</v>
      </c>
      <c r="AA50" s="41">
        <f>H50/'1. Väestöennuste'!J50*1000</f>
        <v>196.01013653757201</v>
      </c>
      <c r="AB50" s="41">
        <f>I50/'1. Väestöennuste'!K50*1000</f>
        <v>163.46227400227761</v>
      </c>
      <c r="AC50" s="41">
        <f>J50/'1. Väestöennuste'!L50*1000</f>
        <v>133.24281088176721</v>
      </c>
      <c r="AD50" s="41">
        <f>K50/'1. Väestöennuste'!M50*1000</f>
        <v>452.12765751651676</v>
      </c>
      <c r="AE50" s="41">
        <f>L50/'1. Väestöennuste'!N50*1000</f>
        <v>236.62594539430773</v>
      </c>
      <c r="AF50" s="41">
        <f>M50/'1. Väestöennuste'!O50*1000</f>
        <v>150.38665045833497</v>
      </c>
      <c r="AG50" s="41">
        <f>N50/'1. Väestöennuste'!P50*1000</f>
        <v>127.93068329721527</v>
      </c>
      <c r="AH50" s="41">
        <f>O50/'1. Väestöennuste'!Q50*1000</f>
        <v>135.72726801506158</v>
      </c>
      <c r="AI50" s="41">
        <f>P50/'1. Väestöennuste'!R50*1000</f>
        <v>215.41404058486833</v>
      </c>
    </row>
    <row r="51" spans="1:35" x14ac:dyDescent="0.2">
      <c r="A51" s="34">
        <v>111</v>
      </c>
      <c r="B51" s="88" t="s">
        <v>365</v>
      </c>
      <c r="C51" s="41" t="e">
        <f>Vuosikate!C51-'6. Poistot'!C51</f>
        <v>#REF!</v>
      </c>
      <c r="D51" s="41">
        <f>Vuosikate!D51-'6. Poistot'!D51</f>
        <v>-717</v>
      </c>
      <c r="E51" s="41">
        <f>Vuosikate!E51-'6. Poistot'!E51</f>
        <v>3359</v>
      </c>
      <c r="F51" s="41">
        <f>Vuosikate!F51-'6. Poistot'!F51</f>
        <v>5772</v>
      </c>
      <c r="G51" s="41">
        <f>Vuosikate!G51-'6. Poistot'!G51</f>
        <v>2055</v>
      </c>
      <c r="H51" s="41">
        <f>Vuosikate!H51-'6. Poistot'!H51</f>
        <v>13024.202937110545</v>
      </c>
      <c r="I51" s="41">
        <f>Vuosikate!I51-'6. Poistot'!I51</f>
        <v>4958.8373983328056</v>
      </c>
      <c r="J51" s="41">
        <f>Vuosikate!J51-'6. Poistot'!J51</f>
        <v>95.337761130260333</v>
      </c>
      <c r="K51" s="41">
        <f>Vuosikate!K51-'6. Poistot'!K51</f>
        <v>3792.7128880363307</v>
      </c>
      <c r="L51" s="41">
        <f>Vuosikate!L51-'6. Poistot'!L51</f>
        <v>1803.5291563024202</v>
      </c>
      <c r="M51" s="41">
        <f>Vuosikate!M51-'6. Poistot'!M51</f>
        <v>-1758.637737229802</v>
      </c>
      <c r="N51" s="41">
        <f>Vuosikate!N51-'6. Poistot'!N51</f>
        <v>-3021.4604960925535</v>
      </c>
      <c r="O51" s="41">
        <f>Vuosikate!O51-'6. Poistot'!O51</f>
        <v>-3842.2378103362735</v>
      </c>
      <c r="P51" s="41">
        <f>Vuosikate!P51-'6. Poistot'!P51</f>
        <v>-1850.519015316293</v>
      </c>
      <c r="T51" s="34">
        <v>111</v>
      </c>
      <c r="U51" s="88" t="s">
        <v>365</v>
      </c>
      <c r="V51" s="41" t="e">
        <f>C51/'1. Väestöennuste'!E51*1000</f>
        <v>#REF!</v>
      </c>
      <c r="W51" s="41">
        <f>D51/'1. Väestöennuste'!F51*1000</f>
        <v>-37.054263565891468</v>
      </c>
      <c r="X51" s="41">
        <f>E51/'1. Väestöennuste'!G51*1000</f>
        <v>175.6064408197407</v>
      </c>
      <c r="Y51" s="41">
        <f>F51/'1. Väestöennuste'!H51*1000</f>
        <v>305.57467309015829</v>
      </c>
      <c r="Z51" s="41">
        <f>G51/'1. Väestöennuste'!I51*1000</f>
        <v>110.08731986928805</v>
      </c>
      <c r="AA51" s="41">
        <f>H51/'1. Väestöennuste'!J51*1000</f>
        <v>704.12515203062912</v>
      </c>
      <c r="AB51" s="41">
        <f>I51/'1. Väestöennuste'!K51*1000</f>
        <v>270.32476004867016</v>
      </c>
      <c r="AC51" s="41">
        <f>J51/'1. Väestöennuste'!L51*1000</f>
        <v>5.2582737372599597</v>
      </c>
      <c r="AD51" s="41">
        <f>K51/'1. Väestöennuste'!M51*1000</f>
        <v>211.25788937984353</v>
      </c>
      <c r="AE51" s="41">
        <f>L51/'1. Väestöennuste'!N51*1000</f>
        <v>102.21191024666592</v>
      </c>
      <c r="AF51" s="41">
        <f>M51/'1. Väestöennuste'!O51*1000</f>
        <v>-100.71227449489189</v>
      </c>
      <c r="AG51" s="41">
        <f>N51/'1. Väestöennuste'!P51*1000</f>
        <v>-174.75190839170349</v>
      </c>
      <c r="AH51" s="41">
        <f>O51/'1. Väestöennuste'!Q51*1000</f>
        <v>-224.33805163404409</v>
      </c>
      <c r="AI51" s="41">
        <f>P51/'1. Väestöennuste'!R51*1000</f>
        <v>-109.05934790878672</v>
      </c>
    </row>
    <row r="52" spans="1:35" x14ac:dyDescent="0.2">
      <c r="A52" s="34">
        <v>139</v>
      </c>
      <c r="B52" s="88" t="s">
        <v>366</v>
      </c>
      <c r="C52" s="41" t="e">
        <f>Vuosikate!C52-'6. Poistot'!C52</f>
        <v>#REF!</v>
      </c>
      <c r="D52" s="41">
        <f>Vuosikate!D52-'6. Poistot'!D52</f>
        <v>177</v>
      </c>
      <c r="E52" s="41">
        <f>Vuosikate!E52-'6. Poistot'!E52</f>
        <v>759</v>
      </c>
      <c r="F52" s="41">
        <f>Vuosikate!F52-'6. Poistot'!F52</f>
        <v>-1933</v>
      </c>
      <c r="G52" s="41">
        <f>Vuosikate!G52-'6. Poistot'!G52</f>
        <v>-3071</v>
      </c>
      <c r="H52" s="41">
        <f>Vuosikate!H52-'6. Poistot'!H52</f>
        <v>1297.1554161694658</v>
      </c>
      <c r="I52" s="41">
        <f>Vuosikate!I52-'6. Poistot'!I52</f>
        <v>-1184.8319629503603</v>
      </c>
      <c r="J52" s="41">
        <f>Vuosikate!J52-'6. Poistot'!J52</f>
        <v>822.8972065043663</v>
      </c>
      <c r="K52" s="41">
        <f>Vuosikate!K52-'6. Poistot'!K52</f>
        <v>958.76296857160378</v>
      </c>
      <c r="L52" s="41">
        <f>Vuosikate!L52-'6. Poistot'!L52</f>
        <v>-1565.5461184585247</v>
      </c>
      <c r="M52" s="41">
        <f>Vuosikate!M52-'6. Poistot'!M52</f>
        <v>2125.5540823375359</v>
      </c>
      <c r="N52" s="41">
        <f>Vuosikate!N52-'6. Poistot'!N52</f>
        <v>2193.2929385923835</v>
      </c>
      <c r="O52" s="41">
        <f>Vuosikate!O52-'6. Poistot'!O52</f>
        <v>2289.8126584965889</v>
      </c>
      <c r="P52" s="41">
        <f>Vuosikate!P52-'6. Poistot'!P52</f>
        <v>3512.9875616634599</v>
      </c>
      <c r="T52" s="34">
        <v>139</v>
      </c>
      <c r="U52" s="88" t="s">
        <v>366</v>
      </c>
      <c r="V52" s="41" t="e">
        <f>C52/'1. Väestöennuste'!E52*1000</f>
        <v>#REF!</v>
      </c>
      <c r="W52" s="41">
        <f>D52/'1. Väestöennuste'!F52*1000</f>
        <v>18.383880348982135</v>
      </c>
      <c r="X52" s="41">
        <f>E52/'1. Väestöennuste'!G52*1000</f>
        <v>76.158940397350989</v>
      </c>
      <c r="Y52" s="41">
        <f>F52/'1. Väestöennuste'!H52*1000</f>
        <v>-196.00486716690327</v>
      </c>
      <c r="Z52" s="41">
        <f>G52/'1. Väestöennuste'!I52*1000</f>
        <v>-311.96668021129619</v>
      </c>
      <c r="AA52" s="41">
        <f>H52/'1. Väestöennuste'!J52*1000</f>
        <v>131.71764989535598</v>
      </c>
      <c r="AB52" s="41">
        <f>I52/'1. Väestöennuste'!K52*1000</f>
        <v>-119.53510522098067</v>
      </c>
      <c r="AC52" s="41">
        <f>J52/'1. Väestöennuste'!L52*1000</f>
        <v>83.517426824760619</v>
      </c>
      <c r="AD52" s="41">
        <f>K52/'1. Väestöennuste'!M52*1000</f>
        <v>98.173558117100526</v>
      </c>
      <c r="AE52" s="41">
        <f>L52/'1. Väestöennuste'!N52*1000</f>
        <v>-161.66316795317275</v>
      </c>
      <c r="AF52" s="41">
        <f>M52/'1. Väestöennuste'!O52*1000</f>
        <v>220.47029170599893</v>
      </c>
      <c r="AG52" s="41">
        <f>N52/'1. Väestöennuste'!P52*1000</f>
        <v>228.5394330095221</v>
      </c>
      <c r="AH52" s="41">
        <f>O52/'1. Väestöennuste'!Q52*1000</f>
        <v>239.74585472689654</v>
      </c>
      <c r="AI52" s="41">
        <f>P52/'1. Väestöennuste'!R52*1000</f>
        <v>369.51588951966551</v>
      </c>
    </row>
    <row r="53" spans="1:35" x14ac:dyDescent="0.2">
      <c r="A53" s="34">
        <v>140</v>
      </c>
      <c r="B53" s="88" t="s">
        <v>367</v>
      </c>
      <c r="C53" s="41" t="e">
        <f>Vuosikate!C53-'6. Poistot'!C53</f>
        <v>#REF!</v>
      </c>
      <c r="D53" s="41">
        <f>Vuosikate!D53-'6. Poistot'!D53</f>
        <v>969</v>
      </c>
      <c r="E53" s="41">
        <f>Vuosikate!E53-'6. Poistot'!E53</f>
        <v>3214</v>
      </c>
      <c r="F53" s="41">
        <f>Vuosikate!F53-'6. Poistot'!F53</f>
        <v>2166</v>
      </c>
      <c r="G53" s="41">
        <f>Vuosikate!G53-'6. Poistot'!G53</f>
        <v>527</v>
      </c>
      <c r="H53" s="41">
        <f>Vuosikate!H53-'6. Poistot'!H53</f>
        <v>4935.4839687014392</v>
      </c>
      <c r="I53" s="41">
        <f>Vuosikate!I53-'6. Poistot'!I53</f>
        <v>4602.7312049440352</v>
      </c>
      <c r="J53" s="41">
        <f>Vuosikate!J53-'6. Poistot'!J53</f>
        <v>5241.0910428730931</v>
      </c>
      <c r="K53" s="41">
        <f>Vuosikate!K53-'6. Poistot'!K53</f>
        <v>5086.7745080492732</v>
      </c>
      <c r="L53" s="41">
        <f>Vuosikate!L53-'6. Poistot'!L53</f>
        <v>-1507.0153411258052</v>
      </c>
      <c r="M53" s="41">
        <f>Vuosikate!M53-'6. Poistot'!M53</f>
        <v>-6009.3547053411612</v>
      </c>
      <c r="N53" s="41">
        <f>Vuosikate!N53-'6. Poistot'!N53</f>
        <v>-6886.3235420125811</v>
      </c>
      <c r="O53" s="41">
        <f>Vuosikate!O53-'6. Poistot'!O53</f>
        <v>-8146.0248965408955</v>
      </c>
      <c r="P53" s="41">
        <f>Vuosikate!P53-'6. Poistot'!P53</f>
        <v>-6206.9801426940867</v>
      </c>
      <c r="T53" s="34">
        <v>140</v>
      </c>
      <c r="U53" s="88" t="s">
        <v>367</v>
      </c>
      <c r="V53" s="41" t="e">
        <f>C53/'1. Väestöennuste'!E53*1000</f>
        <v>#REF!</v>
      </c>
      <c r="W53" s="41">
        <f>D53/'1. Väestöennuste'!F53*1000</f>
        <v>44.516929296641706</v>
      </c>
      <c r="X53" s="41">
        <f>E53/'1. Väestöennuste'!G53*1000</f>
        <v>148.52812052312953</v>
      </c>
      <c r="Y53" s="41">
        <f>F53/'1. Väestöennuste'!H53*1000</f>
        <v>100.87555886736214</v>
      </c>
      <c r="Z53" s="41">
        <f>G53/'1. Väestöennuste'!I53*1000</f>
        <v>24.66304754773493</v>
      </c>
      <c r="AA53" s="41">
        <f>H53/'1. Väestöennuste'!J53*1000</f>
        <v>233.64343726100356</v>
      </c>
      <c r="AB53" s="41">
        <f>I53/'1. Väestöennuste'!K53*1000</f>
        <v>219.61691024639924</v>
      </c>
      <c r="AC53" s="41">
        <f>J53/'1. Väestöennuste'!L53*1000</f>
        <v>251.96341728152939</v>
      </c>
      <c r="AD53" s="41">
        <f>K53/'1. Väestöennuste'!M53*1000</f>
        <v>246.71522495146345</v>
      </c>
      <c r="AE53" s="41">
        <f>L53/'1. Väestöennuste'!N53*1000</f>
        <v>-73.663864557914025</v>
      </c>
      <c r="AF53" s="41">
        <f>M53/'1. Väestöennuste'!O53*1000</f>
        <v>-296.08566738969068</v>
      </c>
      <c r="AG53" s="41">
        <f>N53/'1. Väestöennuste'!P53*1000</f>
        <v>-341.99064074357278</v>
      </c>
      <c r="AH53" s="41">
        <f>O53/'1. Väestöennuste'!Q53*1000</f>
        <v>-407.77018053465963</v>
      </c>
      <c r="AI53" s="41">
        <f>P53/'1. Väestöennuste'!R53*1000</f>
        <v>-313.15171498380943</v>
      </c>
    </row>
    <row r="54" spans="1:35" x14ac:dyDescent="0.2">
      <c r="A54" s="34">
        <v>142</v>
      </c>
      <c r="B54" s="88" t="s">
        <v>368</v>
      </c>
      <c r="C54" s="41" t="e">
        <f>Vuosikate!C54-'6. Poistot'!C54</f>
        <v>#REF!</v>
      </c>
      <c r="D54" s="41">
        <f>Vuosikate!D54-'6. Poistot'!D54</f>
        <v>-718</v>
      </c>
      <c r="E54" s="41">
        <f>Vuosikate!E54-'6. Poistot'!E54</f>
        <v>-353</v>
      </c>
      <c r="F54" s="41">
        <f>Vuosikate!F54-'6. Poistot'!F54</f>
        <v>-1127</v>
      </c>
      <c r="G54" s="41">
        <f>Vuosikate!G54-'6. Poistot'!G54</f>
        <v>-3064</v>
      </c>
      <c r="H54" s="41">
        <f>Vuosikate!H54-'6. Poistot'!H54</f>
        <v>4640.8031979625193</v>
      </c>
      <c r="I54" s="41">
        <f>Vuosikate!I54-'6. Poistot'!I54</f>
        <v>2688.0133862440271</v>
      </c>
      <c r="J54" s="41">
        <f>Vuosikate!J54-'6. Poistot'!J54</f>
        <v>2945.709093512035</v>
      </c>
      <c r="K54" s="41">
        <f>Vuosikate!K54-'6. Poistot'!K54</f>
        <v>867.65758115944482</v>
      </c>
      <c r="L54" s="41">
        <f>Vuosikate!L54-'6. Poistot'!L54</f>
        <v>212.20129702406666</v>
      </c>
      <c r="M54" s="41">
        <f>Vuosikate!M54-'6. Poistot'!M54</f>
        <v>-478.23505726519033</v>
      </c>
      <c r="N54" s="41">
        <f>Vuosikate!N54-'6. Poistot'!N54</f>
        <v>-321.45885032713704</v>
      </c>
      <c r="O54" s="41">
        <f>Vuosikate!O54-'6. Poistot'!O54</f>
        <v>-675.21400374423649</v>
      </c>
      <c r="P54" s="41">
        <f>Vuosikate!P54-'6. Poistot'!P54</f>
        <v>131.12584880966369</v>
      </c>
      <c r="T54" s="34">
        <v>142</v>
      </c>
      <c r="U54" s="88" t="s">
        <v>368</v>
      </c>
      <c r="V54" s="41" t="e">
        <f>C54/'1. Väestöennuste'!E54*1000</f>
        <v>#REF!</v>
      </c>
      <c r="W54" s="41">
        <f>D54/'1. Väestöennuste'!F54*1000</f>
        <v>-104.22412541733198</v>
      </c>
      <c r="X54" s="41">
        <f>E54/'1. Väestöennuste'!G54*1000</f>
        <v>-51.759530791788855</v>
      </c>
      <c r="Y54" s="41">
        <f>F54/'1. Väestöennuste'!H54*1000</f>
        <v>-166.59275683665928</v>
      </c>
      <c r="Z54" s="41">
        <f>G54/'1. Väestöennuste'!I54*1000</f>
        <v>-456.56385039487407</v>
      </c>
      <c r="AA54" s="41">
        <f>H54/'1. Väestöennuste'!J54*1000</f>
        <v>700.49859591887082</v>
      </c>
      <c r="AB54" s="41">
        <f>I54/'1. Väestöennuste'!K54*1000</f>
        <v>409.82061080104086</v>
      </c>
      <c r="AC54" s="41">
        <f>J54/'1. Väestöennuste'!L54*1000</f>
        <v>452.90730220049738</v>
      </c>
      <c r="AD54" s="41">
        <f>K54/'1. Väestöennuste'!M54*1000</f>
        <v>134.64580713212987</v>
      </c>
      <c r="AE54" s="41">
        <f>L54/'1. Väestöennuste'!N54*1000</f>
        <v>33.109891874561811</v>
      </c>
      <c r="AF54" s="41">
        <f>M54/'1. Väestöennuste'!O54*1000</f>
        <v>-75.253352834805725</v>
      </c>
      <c r="AG54" s="41">
        <f>N54/'1. Väestöennuste'!P54*1000</f>
        <v>-50.984750250140685</v>
      </c>
      <c r="AH54" s="41">
        <f>O54/'1. Väestöennuste'!Q54*1000</f>
        <v>-107.93062719696874</v>
      </c>
      <c r="AI54" s="41">
        <f>P54/'1. Väestöennuste'!R54*1000</f>
        <v>21.122076161350467</v>
      </c>
    </row>
    <row r="55" spans="1:35" x14ac:dyDescent="0.2">
      <c r="A55" s="34">
        <v>143</v>
      </c>
      <c r="B55" s="88" t="s">
        <v>369</v>
      </c>
      <c r="C55" s="41" t="e">
        <f>Vuosikate!C55-'6. Poistot'!C55</f>
        <v>#REF!</v>
      </c>
      <c r="D55" s="41">
        <f>Vuosikate!D55-'6. Poistot'!D55</f>
        <v>1284</v>
      </c>
      <c r="E55" s="41">
        <f>Vuosikate!E55-'6. Poistot'!E55</f>
        <v>123</v>
      </c>
      <c r="F55" s="41">
        <f>Vuosikate!F55-'6. Poistot'!F55</f>
        <v>-1591</v>
      </c>
      <c r="G55" s="41">
        <f>Vuosikate!G55-'6. Poistot'!G55</f>
        <v>-2270</v>
      </c>
      <c r="H55" s="41">
        <f>Vuosikate!H55-'6. Poistot'!H55</f>
        <v>3718.58445588635</v>
      </c>
      <c r="I55" s="41">
        <f>Vuosikate!I55-'6. Poistot'!I55</f>
        <v>1143.6012640975323</v>
      </c>
      <c r="J55" s="41">
        <f>Vuosikate!J55-'6. Poistot'!J55</f>
        <v>114.08459568654848</v>
      </c>
      <c r="K55" s="41">
        <f>Vuosikate!K55-'6. Poistot'!K55</f>
        <v>-1274.700477940793</v>
      </c>
      <c r="L55" s="41">
        <f>Vuosikate!L55-'6. Poistot'!L55</f>
        <v>335.26696435451731</v>
      </c>
      <c r="M55" s="41">
        <f>Vuosikate!M55-'6. Poistot'!M55</f>
        <v>-1080.3142654623857</v>
      </c>
      <c r="N55" s="41">
        <f>Vuosikate!N55-'6. Poistot'!N55</f>
        <v>-1175.9652750829432</v>
      </c>
      <c r="O55" s="41">
        <f>Vuosikate!O55-'6. Poistot'!O55</f>
        <v>-796.51685266679215</v>
      </c>
      <c r="P55" s="41">
        <f>Vuosikate!P55-'6. Poistot'!P55</f>
        <v>-69.931356923562362</v>
      </c>
      <c r="T55" s="34">
        <v>143</v>
      </c>
      <c r="U55" s="88" t="s">
        <v>369</v>
      </c>
      <c r="V55" s="41" t="e">
        <f>C55/'1. Väestöennuste'!E55*1000</f>
        <v>#REF!</v>
      </c>
      <c r="W55" s="41">
        <f>D55/'1. Väestöennuste'!F55*1000</f>
        <v>180.13468013468014</v>
      </c>
      <c r="X55" s="41">
        <f>E55/'1. Väestöennuste'!G55*1000</f>
        <v>17.277707543194268</v>
      </c>
      <c r="Y55" s="41">
        <f>F55/'1. Väestöennuste'!H55*1000</f>
        <v>-227.18834785092105</v>
      </c>
      <c r="Z55" s="41">
        <f>G55/'1. Väestöennuste'!I55*1000</f>
        <v>-326.99510227600115</v>
      </c>
      <c r="AA55" s="41">
        <f>H55/'1. Väestöennuste'!J55*1000</f>
        <v>541.59400755699824</v>
      </c>
      <c r="AB55" s="41">
        <f>I55/'1. Väestöennuste'!K55*1000</f>
        <v>166.29362572306707</v>
      </c>
      <c r="AC55" s="41">
        <f>J55/'1. Väestöennuste'!L55*1000</f>
        <v>16.767283316659096</v>
      </c>
      <c r="AD55" s="41">
        <f>K55/'1. Väestöennuste'!M55*1000</f>
        <v>-186.08766101325443</v>
      </c>
      <c r="AE55" s="41">
        <f>L55/'1. Väestöennuste'!N55*1000</f>
        <v>50.492012703993574</v>
      </c>
      <c r="AF55" s="41">
        <f>M55/'1. Väestöennuste'!O55*1000</f>
        <v>-163.9323619821526</v>
      </c>
      <c r="AG55" s="41">
        <f>N55/'1. Väestöennuste'!P55*1000</f>
        <v>-179.72875975591367</v>
      </c>
      <c r="AH55" s="41">
        <f>O55/'1. Väestöennuste'!Q55*1000</f>
        <v>-122.59763778155951</v>
      </c>
      <c r="AI55" s="41">
        <f>P55/'1. Väestöennuste'!R55*1000</f>
        <v>-10.837030361624418</v>
      </c>
    </row>
    <row r="56" spans="1:35" x14ac:dyDescent="0.2">
      <c r="A56" s="34">
        <v>145</v>
      </c>
      <c r="B56" s="88" t="s">
        <v>370</v>
      </c>
      <c r="C56" s="41" t="e">
        <f>Vuosikate!C56-'6. Poistot'!C56</f>
        <v>#REF!</v>
      </c>
      <c r="D56" s="41">
        <f>Vuosikate!D56-'6. Poistot'!D56</f>
        <v>1200</v>
      </c>
      <c r="E56" s="41">
        <f>Vuosikate!E56-'6. Poistot'!E56</f>
        <v>1285</v>
      </c>
      <c r="F56" s="41">
        <f>Vuosikate!F56-'6. Poistot'!F56</f>
        <v>-775</v>
      </c>
      <c r="G56" s="41">
        <f>Vuosikate!G56-'6. Poistot'!G56</f>
        <v>-3872</v>
      </c>
      <c r="H56" s="41">
        <f>Vuosikate!H56-'6. Poistot'!H56</f>
        <v>2335.7884225065573</v>
      </c>
      <c r="I56" s="41">
        <f>Vuosikate!I56-'6. Poistot'!I56</f>
        <v>28.965825027812116</v>
      </c>
      <c r="J56" s="41">
        <f>Vuosikate!J56-'6. Poistot'!J56</f>
        <v>-2113.9161381440931</v>
      </c>
      <c r="K56" s="41">
        <f>Vuosikate!K56-'6. Poistot'!K56</f>
        <v>557.45092810694041</v>
      </c>
      <c r="L56" s="41">
        <f>Vuosikate!L56-'6. Poistot'!L56</f>
        <v>221.62823524867599</v>
      </c>
      <c r="M56" s="41">
        <f>Vuosikate!M56-'6. Poistot'!M56</f>
        <v>-3622.0452920702664</v>
      </c>
      <c r="N56" s="41">
        <f>Vuosikate!N56-'6. Poistot'!N56</f>
        <v>-3495.987134222758</v>
      </c>
      <c r="O56" s="41">
        <f>Vuosikate!O56-'6. Poistot'!O56</f>
        <v>-3742.3513580480248</v>
      </c>
      <c r="P56" s="41">
        <f>Vuosikate!P56-'6. Poistot'!P56</f>
        <v>-3506.5707899992913</v>
      </c>
      <c r="T56" s="34">
        <v>145</v>
      </c>
      <c r="U56" s="88" t="s">
        <v>370</v>
      </c>
      <c r="V56" s="41" t="e">
        <f>C56/'1. Väestöennuste'!E56*1000</f>
        <v>#REF!</v>
      </c>
      <c r="W56" s="41">
        <f>D56/'1. Väestöennuste'!F56*1000</f>
        <v>98.627434864798218</v>
      </c>
      <c r="X56" s="41">
        <f>E56/'1. Väestöennuste'!G56*1000</f>
        <v>105.28471937730438</v>
      </c>
      <c r="Y56" s="41">
        <f>F56/'1. Väestöennuste'!H56*1000</f>
        <v>-63.592352506769508</v>
      </c>
      <c r="Z56" s="41">
        <f>G56/'1. Väestöennuste'!I56*1000</f>
        <v>-315.5921427989241</v>
      </c>
      <c r="AA56" s="41">
        <f>H56/'1. Väestöennuste'!J56*1000</f>
        <v>189.99417785151761</v>
      </c>
      <c r="AB56" s="41">
        <f>I56/'1. Väestöennuste'!K56*1000</f>
        <v>2.3423762759026454</v>
      </c>
      <c r="AC56" s="41">
        <f>J56/'1. Väestöennuste'!L56*1000</f>
        <v>-170.90436883693857</v>
      </c>
      <c r="AD56" s="41">
        <f>K56/'1. Väestöennuste'!M56*1000</f>
        <v>45.163325618321352</v>
      </c>
      <c r="AE56" s="41">
        <f>L56/'1. Väestöennuste'!N56*1000</f>
        <v>17.820071982686819</v>
      </c>
      <c r="AF56" s="41">
        <f>M56/'1. Väestöennuste'!O56*1000</f>
        <v>-290.78719428952041</v>
      </c>
      <c r="AG56" s="41">
        <f>N56/'1. Väestöennuste'!P56*1000</f>
        <v>-280.37429899933903</v>
      </c>
      <c r="AH56" s="41">
        <f>O56/'1. Väestöennuste'!Q56*1000</f>
        <v>-299.93999824060467</v>
      </c>
      <c r="AI56" s="41">
        <f>P56/'1. Väestöennuste'!R56*1000</f>
        <v>-281.04278191867365</v>
      </c>
    </row>
    <row r="57" spans="1:35" x14ac:dyDescent="0.2">
      <c r="A57" s="34">
        <v>146</v>
      </c>
      <c r="B57" s="88" t="s">
        <v>371</v>
      </c>
      <c r="C57" s="41" t="e">
        <f>Vuosikate!C57-'6. Poistot'!C57</f>
        <v>#REF!</v>
      </c>
      <c r="D57" s="41">
        <f>Vuosikate!D57-'6. Poistot'!D57</f>
        <v>799</v>
      </c>
      <c r="E57" s="41">
        <f>Vuosikate!E57-'6. Poistot'!E57</f>
        <v>54</v>
      </c>
      <c r="F57" s="41">
        <f>Vuosikate!F57-'6. Poistot'!F57</f>
        <v>-1088</v>
      </c>
      <c r="G57" s="41">
        <f>Vuosikate!G57-'6. Poistot'!G57</f>
        <v>-1097</v>
      </c>
      <c r="H57" s="41">
        <f>Vuosikate!H57-'6. Poistot'!H57</f>
        <v>2743.1651969566119</v>
      </c>
      <c r="I57" s="41">
        <f>Vuosikate!I57-'6. Poistot'!I57</f>
        <v>340.61526882584303</v>
      </c>
      <c r="J57" s="41">
        <f>Vuosikate!J57-'6. Poistot'!J57</f>
        <v>1144.6114126844986</v>
      </c>
      <c r="K57" s="41">
        <f>Vuosikate!K57-'6. Poistot'!K57</f>
        <v>1874.9049191271347</v>
      </c>
      <c r="L57" s="41">
        <f>Vuosikate!L57-'6. Poistot'!L57</f>
        <v>-42.157933422415908</v>
      </c>
      <c r="M57" s="41">
        <f>Vuosikate!M57-'6. Poistot'!M57</f>
        <v>-718.13964018513741</v>
      </c>
      <c r="N57" s="41">
        <f>Vuosikate!N57-'6. Poistot'!N57</f>
        <v>-912.3661741472464</v>
      </c>
      <c r="O57" s="41">
        <f>Vuosikate!O57-'6. Poistot'!O57</f>
        <v>-1107.495037478154</v>
      </c>
      <c r="P57" s="41">
        <f>Vuosikate!P57-'6. Poistot'!P57</f>
        <v>-526.91387209967343</v>
      </c>
      <c r="T57" s="34">
        <v>146</v>
      </c>
      <c r="U57" s="88" t="s">
        <v>371</v>
      </c>
      <c r="V57" s="41" t="e">
        <f>C57/'1. Väestöennuste'!E57*1000</f>
        <v>#REF!</v>
      </c>
      <c r="W57" s="41">
        <f>D57/'1. Väestöennuste'!F57*1000</f>
        <v>152.56826427343901</v>
      </c>
      <c r="X57" s="41">
        <f>E57/'1. Väestöennuste'!G57*1000</f>
        <v>10.530421216848675</v>
      </c>
      <c r="Y57" s="41">
        <f>F57/'1. Väestöennuste'!H57*1000</f>
        <v>-218.78141966619745</v>
      </c>
      <c r="Z57" s="41">
        <f>G57/'1. Väestöennuste'!I57*1000</f>
        <v>-225.85958410541488</v>
      </c>
      <c r="AA57" s="41">
        <f>H57/'1. Väestöennuste'!J57*1000</f>
        <v>577.63006884746517</v>
      </c>
      <c r="AB57" s="41">
        <f>I57/'1. Väestöennuste'!K57*1000</f>
        <v>73.36103140767672</v>
      </c>
      <c r="AC57" s="41">
        <f>J57/'1. Väestöennuste'!L57*1000</f>
        <v>254.81108919957674</v>
      </c>
      <c r="AD57" s="41">
        <f>K57/'1. Väestöennuste'!M57*1000</f>
        <v>425.5344800560905</v>
      </c>
      <c r="AE57" s="41">
        <f>L57/'1. Väestöennuste'!N57*1000</f>
        <v>-9.6870251430183618</v>
      </c>
      <c r="AF57" s="41">
        <f>M57/'1. Väestöennuste'!O57*1000</f>
        <v>-168.18258552345139</v>
      </c>
      <c r="AG57" s="41">
        <f>N57/'1. Väestöennuste'!P57*1000</f>
        <v>-217.69653403656559</v>
      </c>
      <c r="AH57" s="41">
        <f>O57/'1. Väestöennuste'!Q57*1000</f>
        <v>-269.13609659250403</v>
      </c>
      <c r="AI57" s="41">
        <f>P57/'1. Väestöennuste'!R57*1000</f>
        <v>-130.35969126661885</v>
      </c>
    </row>
    <row r="58" spans="1:35" x14ac:dyDescent="0.2">
      <c r="A58" s="34">
        <v>148</v>
      </c>
      <c r="B58" s="88" t="s">
        <v>372</v>
      </c>
      <c r="C58" s="41" t="e">
        <f>Vuosikate!C58-'6. Poistot'!C58</f>
        <v>#REF!</v>
      </c>
      <c r="D58" s="41">
        <f>Vuosikate!D58-'6. Poistot'!D58</f>
        <v>1718</v>
      </c>
      <c r="E58" s="41">
        <f>Vuosikate!E58-'6. Poistot'!E58</f>
        <v>2869</v>
      </c>
      <c r="F58" s="41">
        <f>Vuosikate!F58-'6. Poistot'!F58</f>
        <v>1630</v>
      </c>
      <c r="G58" s="41">
        <f>Vuosikate!G58-'6. Poistot'!G58</f>
        <v>272</v>
      </c>
      <c r="H58" s="41">
        <f>Vuosikate!H58-'6. Poistot'!H58</f>
        <v>3974.5056375093845</v>
      </c>
      <c r="I58" s="41">
        <f>Vuosikate!I58-'6. Poistot'!I58</f>
        <v>2664.6097172873497</v>
      </c>
      <c r="J58" s="41">
        <f>Vuosikate!J58-'6. Poistot'!J58</f>
        <v>3499.8073671501074</v>
      </c>
      <c r="K58" s="41">
        <f>Vuosikate!K58-'6. Poistot'!K58</f>
        <v>2221.6525790783435</v>
      </c>
      <c r="L58" s="41">
        <f>Vuosikate!L58-'6. Poistot'!L58</f>
        <v>1682.9826305281856</v>
      </c>
      <c r="M58" s="41">
        <f>Vuosikate!M58-'6. Poistot'!M58</f>
        <v>1122.0898214726567</v>
      </c>
      <c r="N58" s="41">
        <f>Vuosikate!N58-'6. Poistot'!N58</f>
        <v>973.47006662897729</v>
      </c>
      <c r="O58" s="41">
        <f>Vuosikate!O58-'6. Poistot'!O58</f>
        <v>885.94694093698899</v>
      </c>
      <c r="P58" s="41">
        <f>Vuosikate!P58-'6. Poistot'!P58</f>
        <v>1222.9836499815453</v>
      </c>
      <c r="T58" s="34">
        <v>148</v>
      </c>
      <c r="U58" s="88" t="s">
        <v>372</v>
      </c>
      <c r="V58" s="41" t="e">
        <f>C58/'1. Väestöennuste'!E58*1000</f>
        <v>#REF!</v>
      </c>
      <c r="W58" s="41">
        <f>D58/'1. Väestöennuste'!F58*1000</f>
        <v>251.72161172161174</v>
      </c>
      <c r="X58" s="41">
        <f>E58/'1. Väestöennuste'!G58*1000</f>
        <v>417.6736060561945</v>
      </c>
      <c r="Y58" s="41">
        <f>F58/'1. Väestöennuste'!H58*1000</f>
        <v>235.2092352092352</v>
      </c>
      <c r="Z58" s="41">
        <f>G58/'1. Väestöennuste'!I58*1000</f>
        <v>39.380338786738093</v>
      </c>
      <c r="AA58" s="41">
        <f>H58/'1. Väestöennuste'!J58*1000</f>
        <v>579.20513516604262</v>
      </c>
      <c r="AB58" s="41">
        <f>I58/'1. Väestöennuste'!K58*1000</f>
        <v>380.22398933894829</v>
      </c>
      <c r="AC58" s="41">
        <f>J58/'1. Väestöennuste'!L58*1000</f>
        <v>496.63791218250424</v>
      </c>
      <c r="AD58" s="41">
        <f>K58/'1. Väestöennuste'!M58*1000</f>
        <v>311.72338699008606</v>
      </c>
      <c r="AE58" s="41">
        <f>L58/'1. Väestöennuste'!N58*1000</f>
        <v>244.19364923508209</v>
      </c>
      <c r="AF58" s="41">
        <f>M58/'1. Väestöennuste'!O58*1000</f>
        <v>162.62171325690679</v>
      </c>
      <c r="AG58" s="41">
        <f>N58/'1. Väestöennuste'!P58*1000</f>
        <v>140.96004440037319</v>
      </c>
      <c r="AH58" s="41">
        <f>O58/'1. Väestöennuste'!Q58*1000</f>
        <v>128.15665281889036</v>
      </c>
      <c r="AI58" s="41">
        <f>P58/'1. Väestöennuste'!R58*1000</f>
        <v>176.73174132681291</v>
      </c>
    </row>
    <row r="59" spans="1:35" x14ac:dyDescent="0.2">
      <c r="A59" s="34">
        <v>149</v>
      </c>
      <c r="B59" s="88" t="s">
        <v>373</v>
      </c>
      <c r="C59" s="41" t="e">
        <f>Vuosikate!C59-'6. Poistot'!C59</f>
        <v>#REF!</v>
      </c>
      <c r="D59" s="41">
        <f>Vuosikate!D59-'6. Poistot'!D59</f>
        <v>260</v>
      </c>
      <c r="E59" s="41">
        <f>Vuosikate!E59-'6. Poistot'!E59</f>
        <v>414</v>
      </c>
      <c r="F59" s="41">
        <f>Vuosikate!F59-'6. Poistot'!F59</f>
        <v>820</v>
      </c>
      <c r="G59" s="41">
        <f>Vuosikate!G59-'6. Poistot'!G59</f>
        <v>-982</v>
      </c>
      <c r="H59" s="41">
        <f>Vuosikate!H59-'6. Poistot'!H59</f>
        <v>3403.2601452154431</v>
      </c>
      <c r="I59" s="41">
        <f>Vuosikate!I59-'6. Poistot'!I59</f>
        <v>2044.1038997293147</v>
      </c>
      <c r="J59" s="41">
        <f>Vuosikate!J59-'6. Poistot'!J59</f>
        <v>891.70143628858023</v>
      </c>
      <c r="K59" s="41">
        <f>Vuosikate!K59-'6. Poistot'!K59</f>
        <v>-310.51817451437773</v>
      </c>
      <c r="L59" s="41">
        <f>Vuosikate!L59-'6. Poistot'!L59</f>
        <v>-2767.1510563813517</v>
      </c>
      <c r="M59" s="41">
        <f>Vuosikate!M59-'6. Poistot'!M59</f>
        <v>-3134.7894953135678</v>
      </c>
      <c r="N59" s="41">
        <f>Vuosikate!N59-'6. Poistot'!N59</f>
        <v>-3282.0165434110195</v>
      </c>
      <c r="O59" s="41">
        <f>Vuosikate!O59-'6. Poistot'!O59</f>
        <v>-3096.6235269968529</v>
      </c>
      <c r="P59" s="41">
        <f>Vuosikate!P59-'6. Poistot'!P59</f>
        <v>-3096.8721055883343</v>
      </c>
      <c r="T59" s="34">
        <v>149</v>
      </c>
      <c r="U59" s="88" t="s">
        <v>373</v>
      </c>
      <c r="V59" s="41" t="e">
        <f>C59/'1. Väestöennuste'!E59*1000</f>
        <v>#REF!</v>
      </c>
      <c r="W59" s="41">
        <f>D59/'1. Väestöennuste'!F59*1000</f>
        <v>46.553267681289164</v>
      </c>
      <c r="X59" s="41">
        <f>E59/'1. Väestöennuste'!G59*1000</f>
        <v>75.533661740558301</v>
      </c>
      <c r="Y59" s="41">
        <f>F59/'1. Väestöennuste'!H59*1000</f>
        <v>151.76753655376643</v>
      </c>
      <c r="Z59" s="41">
        <f>G59/'1. Väestöennuste'!I59*1000</f>
        <v>-182.32454511696992</v>
      </c>
      <c r="AA59" s="41">
        <f>H59/'1. Väestöennuste'!J59*1000</f>
        <v>639.59032986571003</v>
      </c>
      <c r="AB59" s="41">
        <f>I59/'1. Väestöennuste'!K59*1000</f>
        <v>381.86136740693343</v>
      </c>
      <c r="AC59" s="41">
        <f>J59/'1. Väestöennuste'!L59*1000</f>
        <v>165.62062338197998</v>
      </c>
      <c r="AD59" s="41">
        <f>K59/'1. Väestöennuste'!M59*1000</f>
        <v>-57.727862895403931</v>
      </c>
      <c r="AE59" s="41">
        <f>L59/'1. Väestöennuste'!N59*1000</f>
        <v>-533.78685501183486</v>
      </c>
      <c r="AF59" s="41">
        <f>M59/'1. Väestöennuste'!O59*1000</f>
        <v>-607.39963094624454</v>
      </c>
      <c r="AG59" s="41">
        <f>N59/'1. Väestöennuste'!P59*1000</f>
        <v>-638.89751672396721</v>
      </c>
      <c r="AH59" s="41">
        <f>O59/'1. Väestöennuste'!Q59*1000</f>
        <v>-605.28215930352872</v>
      </c>
      <c r="AI59" s="41">
        <f>P59/'1. Väestöennuste'!R59*1000</f>
        <v>-607.70645714056798</v>
      </c>
    </row>
    <row r="60" spans="1:35" x14ac:dyDescent="0.2">
      <c r="A60" s="34">
        <v>151</v>
      </c>
      <c r="B60" s="88" t="s">
        <v>374</v>
      </c>
      <c r="C60" s="41" t="e">
        <f>Vuosikate!C60-'6. Poistot'!C60</f>
        <v>#REF!</v>
      </c>
      <c r="D60" s="41">
        <f>Vuosikate!D60-'6. Poistot'!D60</f>
        <v>627</v>
      </c>
      <c r="E60" s="41">
        <f>Vuosikate!E60-'6. Poistot'!E60</f>
        <v>572</v>
      </c>
      <c r="F60" s="41">
        <f>Vuosikate!F60-'6. Poistot'!F60</f>
        <v>-393</v>
      </c>
      <c r="G60" s="41">
        <f>Vuosikate!G60-'6. Poistot'!G60</f>
        <v>-419</v>
      </c>
      <c r="H60" s="41">
        <f>Vuosikate!H60-'6. Poistot'!H60</f>
        <v>1293.0990020439276</v>
      </c>
      <c r="I60" s="41">
        <f>Vuosikate!I60-'6. Poistot'!I60</f>
        <v>147.87149720069976</v>
      </c>
      <c r="J60" s="41">
        <f>Vuosikate!J60-'6. Poistot'!J60</f>
        <v>1012.8463202253208</v>
      </c>
      <c r="K60" s="41">
        <f>Vuosikate!K60-'6. Poistot'!K60</f>
        <v>84.618508582067989</v>
      </c>
      <c r="L60" s="41">
        <f>Vuosikate!L60-'6. Poistot'!L60</f>
        <v>128.75585853436519</v>
      </c>
      <c r="M60" s="41">
        <f>Vuosikate!M60-'6. Poistot'!M60</f>
        <v>175.21400523350565</v>
      </c>
      <c r="N60" s="41">
        <f>Vuosikate!N60-'6. Poistot'!N60</f>
        <v>115.17645736566499</v>
      </c>
      <c r="O60" s="41">
        <f>Vuosikate!O60-'6. Poistot'!O60</f>
        <v>176.30664856532223</v>
      </c>
      <c r="P60" s="41">
        <f>Vuosikate!P60-'6. Poistot'!P60</f>
        <v>269.92799100487275</v>
      </c>
      <c r="T60" s="34">
        <v>151</v>
      </c>
      <c r="U60" s="88" t="s">
        <v>374</v>
      </c>
      <c r="V60" s="41" t="e">
        <f>C60/'1. Väestöennuste'!E60*1000</f>
        <v>#REF!</v>
      </c>
      <c r="W60" s="41">
        <f>D60/'1. Väestöennuste'!F60*1000</f>
        <v>301.58730158730157</v>
      </c>
      <c r="X60" s="41">
        <f>E60/'1. Väestöennuste'!G60*1000</f>
        <v>281.49606299212599</v>
      </c>
      <c r="Y60" s="41">
        <f>F60/'1. Väestöennuste'!H60*1000</f>
        <v>-198.88663967611336</v>
      </c>
      <c r="Z60" s="41">
        <f>G60/'1. Väestöennuste'!I60*1000</f>
        <v>-214.76166068682724</v>
      </c>
      <c r="AA60" s="41">
        <f>H60/'1. Väestöennuste'!J60*1000</f>
        <v>671.7397413215208</v>
      </c>
      <c r="AB60" s="41">
        <f>I60/'1. Väestöennuste'!K60*1000</f>
        <v>78.197513062242066</v>
      </c>
      <c r="AC60" s="41">
        <f>J60/'1. Väestöennuste'!L60*1000</f>
        <v>546.89326146075632</v>
      </c>
      <c r="AD60" s="41">
        <f>K60/'1. Väestöennuste'!M60*1000</f>
        <v>46.647468898604181</v>
      </c>
      <c r="AE60" s="41">
        <f>L60/'1. Väestöennuste'!N60*1000</f>
        <v>71.690344395526267</v>
      </c>
      <c r="AF60" s="41">
        <f>M60/'1. Väestöennuste'!O60*1000</f>
        <v>98.990963408760251</v>
      </c>
      <c r="AG60" s="41">
        <f>N60/'1. Väestöennuste'!P60*1000</f>
        <v>66.003700496083084</v>
      </c>
      <c r="AH60" s="41">
        <f>O60/'1. Väestöennuste'!Q60*1000</f>
        <v>102.20675279149116</v>
      </c>
      <c r="AI60" s="41">
        <f>P60/'1. Väestöennuste'!R60*1000</f>
        <v>158.4084454253948</v>
      </c>
    </row>
    <row r="61" spans="1:35" x14ac:dyDescent="0.2">
      <c r="A61" s="34">
        <v>152</v>
      </c>
      <c r="B61" s="88" t="s">
        <v>375</v>
      </c>
      <c r="C61" s="41" t="e">
        <f>Vuosikate!C61-'6. Poistot'!C61</f>
        <v>#REF!</v>
      </c>
      <c r="D61" s="41">
        <f>Vuosikate!D61-'6. Poistot'!D61</f>
        <v>1807</v>
      </c>
      <c r="E61" s="41">
        <f>Vuosikate!E61-'6. Poistot'!E61</f>
        <v>1471</v>
      </c>
      <c r="F61" s="41">
        <f>Vuosikate!F61-'6. Poistot'!F61</f>
        <v>1362</v>
      </c>
      <c r="G61" s="41">
        <f>Vuosikate!G61-'6. Poistot'!G61</f>
        <v>-98</v>
      </c>
      <c r="H61" s="41">
        <f>Vuosikate!H61-'6. Poistot'!H61</f>
        <v>1351.3897659165741</v>
      </c>
      <c r="I61" s="41">
        <f>Vuosikate!I61-'6. Poistot'!I61</f>
        <v>-600.67852698765159</v>
      </c>
      <c r="J61" s="41">
        <f>Vuosikate!J61-'6. Poistot'!J61</f>
        <v>1702.9291919837708</v>
      </c>
      <c r="K61" s="41">
        <f>Vuosikate!K61-'6. Poistot'!K61</f>
        <v>1334.3510769224583</v>
      </c>
      <c r="L61" s="41">
        <f>Vuosikate!L61-'6. Poistot'!L61</f>
        <v>188.77832944830266</v>
      </c>
      <c r="M61" s="41">
        <f>Vuosikate!M61-'6. Poistot'!M61</f>
        <v>-429.71508483090975</v>
      </c>
      <c r="N61" s="41">
        <f>Vuosikate!N61-'6. Poistot'!N61</f>
        <v>-781.35771443796602</v>
      </c>
      <c r="O61" s="41">
        <f>Vuosikate!O61-'6. Poistot'!O61</f>
        <v>-786.16103118593264</v>
      </c>
      <c r="P61" s="41">
        <f>Vuosikate!P61-'6. Poistot'!P61</f>
        <v>-344.66879785854985</v>
      </c>
      <c r="T61" s="34">
        <v>152</v>
      </c>
      <c r="U61" s="88" t="s">
        <v>375</v>
      </c>
      <c r="V61" s="41" t="e">
        <f>C61/'1. Väestöennuste'!E61*1000</f>
        <v>#REF!</v>
      </c>
      <c r="W61" s="41">
        <f>D61/'1. Väestöennuste'!F61*1000</f>
        <v>383.48896434634975</v>
      </c>
      <c r="X61" s="41">
        <f>E61/'1. Väestöennuste'!G61*1000</f>
        <v>314.78707468435698</v>
      </c>
      <c r="Y61" s="41">
        <f>F61/'1. Väestöennuste'!H61*1000</f>
        <v>296.02260378178659</v>
      </c>
      <c r="Z61" s="41">
        <f>G61/'1. Väestöennuste'!I61*1000</f>
        <v>-21.671826625386998</v>
      </c>
      <c r="AA61" s="41">
        <f>H61/'1. Väestöennuste'!J61*1000</f>
        <v>302.25671346825635</v>
      </c>
      <c r="AB61" s="41">
        <f>I61/'1. Väestöennuste'!K61*1000</f>
        <v>-134.08002834545795</v>
      </c>
      <c r="AC61" s="41">
        <f>J61/'1. Väestöennuste'!L61*1000</f>
        <v>386.50231320557663</v>
      </c>
      <c r="AD61" s="41">
        <f>K61/'1. Väestöennuste'!M61*1000</f>
        <v>306.25455059041963</v>
      </c>
      <c r="AE61" s="41">
        <f>L61/'1. Väestöennuste'!N61*1000</f>
        <v>44.241464600024059</v>
      </c>
      <c r="AF61" s="41">
        <f>M61/'1. Väestöennuste'!O61*1000</f>
        <v>-101.82821915424402</v>
      </c>
      <c r="AG61" s="41">
        <f>N61/'1. Väestöennuste'!P61*1000</f>
        <v>-187.19638582605799</v>
      </c>
      <c r="AH61" s="41">
        <f>O61/'1. Väestöennuste'!Q61*1000</f>
        <v>-190.49213258685066</v>
      </c>
      <c r="AI61" s="41">
        <f>P61/'1. Väestöennuste'!R61*1000</f>
        <v>-84.353597126419444</v>
      </c>
    </row>
    <row r="62" spans="1:35" x14ac:dyDescent="0.2">
      <c r="A62" s="34">
        <v>153</v>
      </c>
      <c r="B62" s="88" t="s">
        <v>376</v>
      </c>
      <c r="C62" s="41" t="e">
        <f>Vuosikate!C62-'6. Poistot'!C62</f>
        <v>#REF!</v>
      </c>
      <c r="D62" s="41">
        <f>Vuosikate!D62-'6. Poistot'!D62</f>
        <v>4908</v>
      </c>
      <c r="E62" s="41">
        <f>Vuosikate!E62-'6. Poistot'!E62</f>
        <v>5949</v>
      </c>
      <c r="F62" s="41">
        <f>Vuosikate!F62-'6. Poistot'!F62</f>
        <v>-262</v>
      </c>
      <c r="G62" s="41">
        <f>Vuosikate!G62-'6. Poistot'!G62</f>
        <v>2014</v>
      </c>
      <c r="H62" s="41">
        <f>Vuosikate!H62-'6. Poistot'!H62</f>
        <v>4631.2817418242921</v>
      </c>
      <c r="I62" s="41">
        <f>Vuosikate!I62-'6. Poistot'!I62</f>
        <v>3052.3048420029609</v>
      </c>
      <c r="J62" s="41">
        <f>Vuosikate!J62-'6. Poistot'!J62</f>
        <v>-254.45839337533471</v>
      </c>
      <c r="K62" s="41">
        <f>Vuosikate!K62-'6. Poistot'!K62</f>
        <v>5138.3441553016219</v>
      </c>
      <c r="L62" s="41">
        <f>Vuosikate!L62-'6. Poistot'!L62</f>
        <v>555.61513964825463</v>
      </c>
      <c r="M62" s="41">
        <f>Vuosikate!M62-'6. Poistot'!M62</f>
        <v>-2046.0869700626663</v>
      </c>
      <c r="N62" s="41">
        <f>Vuosikate!N62-'6. Poistot'!N62</f>
        <v>-4250.8161403547192</v>
      </c>
      <c r="O62" s="41">
        <f>Vuosikate!O62-'6. Poistot'!O62</f>
        <v>-5155.4675330677037</v>
      </c>
      <c r="P62" s="41">
        <f>Vuosikate!P62-'6. Poistot'!P62</f>
        <v>-2252.4658281273005</v>
      </c>
      <c r="T62" s="34">
        <v>153</v>
      </c>
      <c r="U62" s="88" t="s">
        <v>376</v>
      </c>
      <c r="V62" s="41" t="e">
        <f>C62/'1. Väestöennuste'!E62*1000</f>
        <v>#REF!</v>
      </c>
      <c r="W62" s="41">
        <f>D62/'1. Väestöennuste'!F62*1000</f>
        <v>178.36246683868154</v>
      </c>
      <c r="X62" s="41">
        <f>E62/'1. Väestöennuste'!G62*1000</f>
        <v>218.15981517474054</v>
      </c>
      <c r="Y62" s="41">
        <f>F62/'1. Väestöennuste'!H62*1000</f>
        <v>-9.7282043665527986</v>
      </c>
      <c r="Z62" s="41">
        <f>G62/'1. Väestöennuste'!I62*1000</f>
        <v>75.977063527991547</v>
      </c>
      <c r="AA62" s="41">
        <f>H62/'1. Väestöennuste'!J62*1000</f>
        <v>177.6138731284484</v>
      </c>
      <c r="AB62" s="41">
        <f>I62/'1. Väestöennuste'!K62*1000</f>
        <v>118.97504743726218</v>
      </c>
      <c r="AC62" s="41">
        <f>J62/'1. Väestöennuste'!L62*1000</f>
        <v>-10.094350736882525</v>
      </c>
      <c r="AD62" s="41">
        <f>K62/'1. Väestöennuste'!M62*1000</f>
        <v>206.20186023924001</v>
      </c>
      <c r="AE62" s="41">
        <f>L62/'1. Väestöennuste'!N62*1000</f>
        <v>22.478159221953824</v>
      </c>
      <c r="AF62" s="41">
        <f>M62/'1. Väestöennuste'!O62*1000</f>
        <v>-83.880087322701854</v>
      </c>
      <c r="AG62" s="41">
        <f>N62/'1. Väestöennuste'!P62*1000</f>
        <v>-176.55090502781573</v>
      </c>
      <c r="AH62" s="41">
        <f>O62/'1. Väestöennuste'!Q62*1000</f>
        <v>-216.84406027624411</v>
      </c>
      <c r="AI62" s="41">
        <f>P62/'1. Väestöennuste'!R62*1000</f>
        <v>-95.886332132616772</v>
      </c>
    </row>
    <row r="63" spans="1:35" x14ac:dyDescent="0.2">
      <c r="A63" s="34">
        <v>165</v>
      </c>
      <c r="B63" s="88" t="s">
        <v>377</v>
      </c>
      <c r="C63" s="41" t="e">
        <f>Vuosikate!C63-'6. Poistot'!C63</f>
        <v>#REF!</v>
      </c>
      <c r="D63" s="41">
        <f>Vuosikate!D63-'6. Poistot'!D63</f>
        <v>702</v>
      </c>
      <c r="E63" s="41">
        <f>Vuosikate!E63-'6. Poistot'!E63</f>
        <v>3764</v>
      </c>
      <c r="F63" s="41">
        <f>Vuosikate!F63-'6. Poistot'!F63</f>
        <v>-881</v>
      </c>
      <c r="G63" s="41">
        <f>Vuosikate!G63-'6. Poistot'!G63</f>
        <v>-4749</v>
      </c>
      <c r="H63" s="41">
        <f>Vuosikate!H63-'6. Poistot'!H63</f>
        <v>3598.3427933076127</v>
      </c>
      <c r="I63" s="41">
        <f>Vuosikate!I63-'6. Poistot'!I63</f>
        <v>1623.4555101316009</v>
      </c>
      <c r="J63" s="41">
        <f>Vuosikate!J63-'6. Poistot'!J63</f>
        <v>481.8503360402874</v>
      </c>
      <c r="K63" s="41">
        <f>Vuosikate!K63-'6. Poistot'!K63</f>
        <v>4926.2722599798026</v>
      </c>
      <c r="L63" s="41">
        <f>Vuosikate!L63-'6. Poistot'!L63</f>
        <v>-1081.4282817139538</v>
      </c>
      <c r="M63" s="41">
        <f>Vuosikate!M63-'6. Poistot'!M63</f>
        <v>-1706.0392786303419</v>
      </c>
      <c r="N63" s="41">
        <f>Vuosikate!N63-'6. Poistot'!N63</f>
        <v>-2059.5432005063385</v>
      </c>
      <c r="O63" s="41">
        <f>Vuosikate!O63-'6. Poistot'!O63</f>
        <v>-2366.4676778499752</v>
      </c>
      <c r="P63" s="41">
        <f>Vuosikate!P63-'6. Poistot'!P63</f>
        <v>-1176.6227514219554</v>
      </c>
      <c r="T63" s="34">
        <v>165</v>
      </c>
      <c r="U63" s="88" t="s">
        <v>377</v>
      </c>
      <c r="V63" s="41" t="e">
        <f>C63/'1. Väestöennuste'!E63*1000</f>
        <v>#REF!</v>
      </c>
      <c r="W63" s="41">
        <f>D63/'1. Väestöennuste'!F63*1000</f>
        <v>42.013286252917588</v>
      </c>
      <c r="X63" s="41">
        <f>E63/'1. Väestöennuste'!G63*1000</f>
        <v>226.65141205515746</v>
      </c>
      <c r="Y63" s="41">
        <f>F63/'1. Väestöennuste'!H63*1000</f>
        <v>-53.565999878397278</v>
      </c>
      <c r="Z63" s="41">
        <f>G63/'1. Väestöennuste'!I63*1000</f>
        <v>-289.34381283129227</v>
      </c>
      <c r="AA63" s="41">
        <f>H63/'1. Väestöennuste'!J63*1000</f>
        <v>221.61377060464449</v>
      </c>
      <c r="AB63" s="41">
        <f>I63/'1. Väestöennuste'!K63*1000</f>
        <v>99.354682382594916</v>
      </c>
      <c r="AC63" s="41">
        <f>J63/'1. Väestöennuste'!L63*1000</f>
        <v>29.597686488961145</v>
      </c>
      <c r="AD63" s="41">
        <f>K63/'1. Väestöennuste'!M63*1000</f>
        <v>305.5431532580663</v>
      </c>
      <c r="AE63" s="41">
        <f>L63/'1. Väestöennuste'!N63*1000</f>
        <v>-68.544608082268724</v>
      </c>
      <c r="AF63" s="41">
        <f>M63/'1. Väestöennuste'!O63*1000</f>
        <v>-108.8590657625282</v>
      </c>
      <c r="AG63" s="41">
        <f>N63/'1. Väestöennuste'!P63*1000</f>
        <v>-132.29337104999607</v>
      </c>
      <c r="AH63" s="41">
        <f>O63/'1. Väestöennuste'!Q63*1000</f>
        <v>-153.00107828602671</v>
      </c>
      <c r="AI63" s="41">
        <f>P63/'1. Väestöennuste'!R63*1000</f>
        <v>-76.578115940250925</v>
      </c>
    </row>
    <row r="64" spans="1:35" x14ac:dyDescent="0.2">
      <c r="A64" s="34">
        <v>167</v>
      </c>
      <c r="B64" s="88" t="s">
        <v>378</v>
      </c>
      <c r="C64" s="41" t="e">
        <f>Vuosikate!C64-'6. Poistot'!C64</f>
        <v>#REF!</v>
      </c>
      <c r="D64" s="41">
        <f>Vuosikate!D64-'6. Poistot'!D64</f>
        <v>-940</v>
      </c>
      <c r="E64" s="41">
        <f>Vuosikate!E64-'6. Poistot'!E64</f>
        <v>7592</v>
      </c>
      <c r="F64" s="41">
        <f>Vuosikate!F64-'6. Poistot'!F64</f>
        <v>-4451</v>
      </c>
      <c r="G64" s="41">
        <f>Vuosikate!G64-'6. Poistot'!G64</f>
        <v>-5744</v>
      </c>
      <c r="H64" s="41">
        <f>Vuosikate!H64-'6. Poistot'!H64</f>
        <v>17529.221651173808</v>
      </c>
      <c r="I64" s="41">
        <f>Vuosikate!I64-'6. Poistot'!I64</f>
        <v>13745.149213955039</v>
      </c>
      <c r="J64" s="41">
        <f>Vuosikate!J64-'6. Poistot'!J64</f>
        <v>-7920.2959571185638</v>
      </c>
      <c r="K64" s="41">
        <f>Vuosikate!K64-'6. Poistot'!K64</f>
        <v>20824.427655889893</v>
      </c>
      <c r="L64" s="41">
        <f>Vuosikate!L64-'6. Poistot'!L64</f>
        <v>-10600.963704590533</v>
      </c>
      <c r="M64" s="41">
        <f>Vuosikate!M64-'6. Poistot'!M64</f>
        <v>-24054.401874437819</v>
      </c>
      <c r="N64" s="41">
        <f>Vuosikate!N64-'6. Poistot'!N64</f>
        <v>-19953.736196638412</v>
      </c>
      <c r="O64" s="41">
        <f>Vuosikate!O64-'6. Poistot'!O64</f>
        <v>-21380.485702204664</v>
      </c>
      <c r="P64" s="41">
        <f>Vuosikate!P64-'6. Poistot'!P64</f>
        <v>-16262.246949867585</v>
      </c>
      <c r="T64" s="34">
        <v>167</v>
      </c>
      <c r="U64" s="88" t="s">
        <v>378</v>
      </c>
      <c r="V64" s="41" t="e">
        <f>C64/'1. Väestöennuste'!E64*1000</f>
        <v>#REF!</v>
      </c>
      <c r="W64" s="41">
        <f>D64/'1. Väestöennuste'!F64*1000</f>
        <v>-12.393207467566713</v>
      </c>
      <c r="X64" s="41">
        <f>E64/'1. Väestöennuste'!G64*1000</f>
        <v>99.806749313105556</v>
      </c>
      <c r="Y64" s="41">
        <f>F64/'1. Väestöennuste'!H64*1000</f>
        <v>-58.144243706809839</v>
      </c>
      <c r="Z64" s="41">
        <f>G64/'1. Väestöennuste'!I64*1000</f>
        <v>-74.743005855562785</v>
      </c>
      <c r="AA64" s="41">
        <f>H64/'1. Väestöennuste'!J64*1000</f>
        <v>227.84456555759809</v>
      </c>
      <c r="AB64" s="41">
        <f>I64/'1. Väestöennuste'!K64*1000</f>
        <v>177.90540135327061</v>
      </c>
      <c r="AC64" s="41">
        <f>J64/'1. Väestöennuste'!L64*1000</f>
        <v>-102.18022727953458</v>
      </c>
      <c r="AD64" s="41">
        <f>K64/'1. Väestöennuste'!M64*1000</f>
        <v>266.76779554571874</v>
      </c>
      <c r="AE64" s="41">
        <f>L64/'1. Väestöennuste'!N64*1000</f>
        <v>-136.19615222506982</v>
      </c>
      <c r="AF64" s="41">
        <f>M64/'1. Väestöennuste'!O64*1000</f>
        <v>-308.41744610975115</v>
      </c>
      <c r="AG64" s="41">
        <f>N64/'1. Väestöennuste'!P64*1000</f>
        <v>-255.35225866548606</v>
      </c>
      <c r="AH64" s="41">
        <f>O64/'1. Väestöennuste'!Q64*1000</f>
        <v>-273.12135231860026</v>
      </c>
      <c r="AI64" s="41">
        <f>P64/'1. Väestöennuste'!R64*1000</f>
        <v>-207.39752011666201</v>
      </c>
    </row>
    <row r="65" spans="1:35" x14ac:dyDescent="0.2">
      <c r="A65" s="34">
        <v>169</v>
      </c>
      <c r="B65" s="88" t="s">
        <v>379</v>
      </c>
      <c r="C65" s="41" t="e">
        <f>Vuosikate!C65-'6. Poistot'!C65</f>
        <v>#REF!</v>
      </c>
      <c r="D65" s="41">
        <f>Vuosikate!D65-'6. Poistot'!D65</f>
        <v>-773</v>
      </c>
      <c r="E65" s="41">
        <f>Vuosikate!E65-'6. Poistot'!E65</f>
        <v>268</v>
      </c>
      <c r="F65" s="41">
        <f>Vuosikate!F65-'6. Poistot'!F65</f>
        <v>-31</v>
      </c>
      <c r="G65" s="41">
        <f>Vuosikate!G65-'6. Poistot'!G65</f>
        <v>3</v>
      </c>
      <c r="H65" s="41">
        <f>Vuosikate!H65-'6. Poistot'!H65</f>
        <v>2383.9324682094993</v>
      </c>
      <c r="I65" s="41">
        <f>Vuosikate!I65-'6. Poistot'!I65</f>
        <v>1016.1115019161955</v>
      </c>
      <c r="J65" s="41">
        <f>Vuosikate!J65-'6. Poistot'!J65</f>
        <v>-369.39130692841536</v>
      </c>
      <c r="K65" s="41">
        <f>Vuosikate!K65-'6. Poistot'!K65</f>
        <v>119.63678599571517</v>
      </c>
      <c r="L65" s="41">
        <f>Vuosikate!L65-'6. Poistot'!L65</f>
        <v>-496.89057547054381</v>
      </c>
      <c r="M65" s="41">
        <f>Vuosikate!M65-'6. Poistot'!M65</f>
        <v>-1141.4220838629569</v>
      </c>
      <c r="N65" s="41">
        <f>Vuosikate!N65-'6. Poistot'!N65</f>
        <v>-1856.3686525552514</v>
      </c>
      <c r="O65" s="41">
        <f>Vuosikate!O65-'6. Poistot'!O65</f>
        <v>-2239.2041868259148</v>
      </c>
      <c r="P65" s="41">
        <f>Vuosikate!P65-'6. Poistot'!P65</f>
        <v>-2281.1475059752765</v>
      </c>
      <c r="T65" s="34">
        <v>169</v>
      </c>
      <c r="U65" s="88" t="s">
        <v>379</v>
      </c>
      <c r="V65" s="41" t="e">
        <f>C65/'1. Väestöennuste'!E65*1000</f>
        <v>#REF!</v>
      </c>
      <c r="W65" s="41">
        <f>D65/'1. Väestöennuste'!F65*1000</f>
        <v>-144.72945141359295</v>
      </c>
      <c r="X65" s="41">
        <f>E65/'1. Väestöennuste'!G65*1000</f>
        <v>50.699962164207342</v>
      </c>
      <c r="Y65" s="41">
        <f>F65/'1. Väestöennuste'!H65*1000</f>
        <v>-5.9672762271414825</v>
      </c>
      <c r="Z65" s="41">
        <f>G65/'1. Väestöennuste'!I65*1000</f>
        <v>0.58445353594389238</v>
      </c>
      <c r="AA65" s="41">
        <f>H65/'1. Väestöennuste'!J65*1000</f>
        <v>471.03980798448907</v>
      </c>
      <c r="AB65" s="41">
        <f>I65/'1. Väestöennuste'!K65*1000</f>
        <v>201.36969915104945</v>
      </c>
      <c r="AC65" s="41">
        <f>J65/'1. Väestöennuste'!L65*1000</f>
        <v>-74.02631401371049</v>
      </c>
      <c r="AD65" s="41">
        <f>K65/'1. Väestöennuste'!M65*1000</f>
        <v>24.336205450715049</v>
      </c>
      <c r="AE65" s="41">
        <f>L65/'1. Väestöennuste'!N65*1000</f>
        <v>-103.11072327672625</v>
      </c>
      <c r="AF65" s="41">
        <f>M65/'1. Väestöennuste'!O65*1000</f>
        <v>-239.59321659591876</v>
      </c>
      <c r="AG65" s="41">
        <f>N65/'1. Väestöennuste'!P65*1000</f>
        <v>-393.88259124872724</v>
      </c>
      <c r="AH65" s="41">
        <f>O65/'1. Väestöennuste'!Q65*1000</f>
        <v>-480.2067739279251</v>
      </c>
      <c r="AI65" s="41">
        <f>P65/'1. Väestöennuste'!R65*1000</f>
        <v>-493.96871069191781</v>
      </c>
    </row>
    <row r="66" spans="1:35" x14ac:dyDescent="0.2">
      <c r="A66" s="34">
        <v>171</v>
      </c>
      <c r="B66" s="88" t="s">
        <v>380</v>
      </c>
      <c r="C66" s="41" t="e">
        <f>Vuosikate!C66-'6. Poistot'!C66</f>
        <v>#REF!</v>
      </c>
      <c r="D66" s="41">
        <f>Vuosikate!D66-'6. Poistot'!D66</f>
        <v>-227</v>
      </c>
      <c r="E66" s="41">
        <f>Vuosikate!E66-'6. Poistot'!E66</f>
        <v>292</v>
      </c>
      <c r="F66" s="41">
        <f>Vuosikate!F66-'6. Poistot'!F66</f>
        <v>-1855</v>
      </c>
      <c r="G66" s="41">
        <f>Vuosikate!G66-'6. Poistot'!G66</f>
        <v>-264</v>
      </c>
      <c r="H66" s="41">
        <f>Vuosikate!H66-'6. Poistot'!H66</f>
        <v>1919.5325558688401</v>
      </c>
      <c r="I66" s="41">
        <f>Vuosikate!I66-'6. Poistot'!I66</f>
        <v>966.1770316942891</v>
      </c>
      <c r="J66" s="41">
        <f>Vuosikate!J66-'6. Poistot'!J66</f>
        <v>707.58352077737072</v>
      </c>
      <c r="K66" s="41">
        <f>Vuosikate!K66-'6. Poistot'!K66</f>
        <v>309.07196346894148</v>
      </c>
      <c r="L66" s="41">
        <f>Vuosikate!L66-'6. Poistot'!L66</f>
        <v>462.09771162331685</v>
      </c>
      <c r="M66" s="41">
        <f>Vuosikate!M66-'6. Poistot'!M66</f>
        <v>-550.98771801552925</v>
      </c>
      <c r="N66" s="41">
        <f>Vuosikate!N66-'6. Poistot'!N66</f>
        <v>-350.33468676567259</v>
      </c>
      <c r="O66" s="41">
        <f>Vuosikate!O66-'6. Poistot'!O66</f>
        <v>-650.88610931900132</v>
      </c>
      <c r="P66" s="41">
        <f>Vuosikate!P66-'6. Poistot'!P66</f>
        <v>-328.53220201798979</v>
      </c>
      <c r="T66" s="34">
        <v>171</v>
      </c>
      <c r="U66" s="88" t="s">
        <v>380</v>
      </c>
      <c r="V66" s="41" t="e">
        <f>C66/'1. Väestöennuste'!E66*1000</f>
        <v>#REF!</v>
      </c>
      <c r="W66" s="41">
        <f>D66/'1. Väestöennuste'!F66*1000</f>
        <v>-45.048620758086926</v>
      </c>
      <c r="X66" s="41">
        <f>E66/'1. Väestöennuste'!G66*1000</f>
        <v>59.385804352247305</v>
      </c>
      <c r="Y66" s="41">
        <f>F66/'1. Väestöennuste'!H66*1000</f>
        <v>-385.49459684123025</v>
      </c>
      <c r="Z66" s="41">
        <f>G66/'1. Väestöennuste'!I66*1000</f>
        <v>-55.380742605412209</v>
      </c>
      <c r="AA66" s="41">
        <f>H66/'1. Väestöennuste'!J66*1000</f>
        <v>409.36928041561953</v>
      </c>
      <c r="AB66" s="41">
        <f>I66/'1. Väestöennuste'!K66*1000</f>
        <v>208.9483200030902</v>
      </c>
      <c r="AC66" s="41">
        <f>J66/'1. Väestöennuste'!L66*1000</f>
        <v>155.85540105228429</v>
      </c>
      <c r="AD66" s="41">
        <f>K66/'1. Väestöennuste'!M66*1000</f>
        <v>67.335939753582025</v>
      </c>
      <c r="AE66" s="41">
        <f>L66/'1. Väestöennuste'!N66*1000</f>
        <v>104.99834392713403</v>
      </c>
      <c r="AF66" s="41">
        <f>M66/'1. Väestöennuste'!O66*1000</f>
        <v>-127.24889561559566</v>
      </c>
      <c r="AG66" s="41">
        <f>N66/'1. Väestöennuste'!P66*1000</f>
        <v>-82.218889172887245</v>
      </c>
      <c r="AH66" s="41">
        <f>O66/'1. Väestöennuste'!Q66*1000</f>
        <v>-155.15759459332571</v>
      </c>
      <c r="AI66" s="41">
        <f>P66/'1. Väestöennuste'!R66*1000</f>
        <v>-79.605573544460825</v>
      </c>
    </row>
    <row r="67" spans="1:35" x14ac:dyDescent="0.2">
      <c r="A67" s="34">
        <v>172</v>
      </c>
      <c r="B67" s="88" t="s">
        <v>381</v>
      </c>
      <c r="C67" s="41" t="e">
        <f>Vuosikate!C67-'6. Poistot'!C67</f>
        <v>#REF!</v>
      </c>
      <c r="D67" s="41">
        <f>Vuosikate!D67-'6. Poistot'!D67</f>
        <v>1719</v>
      </c>
      <c r="E67" s="41">
        <f>Vuosikate!E67-'6. Poistot'!E67</f>
        <v>185</v>
      </c>
      <c r="F67" s="41">
        <f>Vuosikate!F67-'6. Poistot'!F67</f>
        <v>-49</v>
      </c>
      <c r="G67" s="41">
        <f>Vuosikate!G67-'6. Poistot'!G67</f>
        <v>-599</v>
      </c>
      <c r="H67" s="41">
        <f>Vuosikate!H67-'6. Poistot'!H67</f>
        <v>-411.06629373849501</v>
      </c>
      <c r="I67" s="41">
        <f>Vuosikate!I67-'6. Poistot'!I67</f>
        <v>1577.0768582666315</v>
      </c>
      <c r="J67" s="41">
        <f>Vuosikate!J67-'6. Poistot'!J67</f>
        <v>-1292.9631571267319</v>
      </c>
      <c r="K67" s="41">
        <f>Vuosikate!K67-'6. Poistot'!K67</f>
        <v>179.0372562626892</v>
      </c>
      <c r="L67" s="41">
        <f>Vuosikate!L67-'6. Poistot'!L67</f>
        <v>598.69606137276833</v>
      </c>
      <c r="M67" s="41">
        <f>Vuosikate!M67-'6. Poistot'!M67</f>
        <v>449.31055246387359</v>
      </c>
      <c r="N67" s="41">
        <f>Vuosikate!N67-'6. Poistot'!N67</f>
        <v>70.132470041142824</v>
      </c>
      <c r="O67" s="41">
        <f>Vuosikate!O67-'6. Poistot'!O67</f>
        <v>-66.009854845618747</v>
      </c>
      <c r="P67" s="41">
        <f>Vuosikate!P67-'6. Poistot'!P67</f>
        <v>182.75594655783925</v>
      </c>
      <c r="T67" s="34">
        <v>172</v>
      </c>
      <c r="U67" s="88" t="s">
        <v>381</v>
      </c>
      <c r="V67" s="41" t="e">
        <f>C67/'1. Väestöennuste'!E67*1000</f>
        <v>#REF!</v>
      </c>
      <c r="W67" s="41">
        <f>D67/'1. Väestöennuste'!F67*1000</f>
        <v>367.85790712604319</v>
      </c>
      <c r="X67" s="41">
        <f>E67/'1. Väestöennuste'!G67*1000</f>
        <v>40.507992117363692</v>
      </c>
      <c r="Y67" s="41">
        <f>F67/'1. Väestöennuste'!H67*1000</f>
        <v>-10.969330646966645</v>
      </c>
      <c r="Z67" s="41">
        <f>G67/'1. Väestöennuste'!I67*1000</f>
        <v>-136.85172492574824</v>
      </c>
      <c r="AA67" s="41">
        <f>H67/'1. Väestöennuste'!J67*1000</f>
        <v>-95.663554512100305</v>
      </c>
      <c r="AB67" s="41">
        <f>I67/'1. Väestöennuste'!K67*1000</f>
        <v>369.94531040737309</v>
      </c>
      <c r="AC67" s="41">
        <f>J67/'1. Väestöennuste'!L67*1000</f>
        <v>-309.98876939024979</v>
      </c>
      <c r="AD67" s="41">
        <f>K67/'1. Väestöennuste'!M67*1000</f>
        <v>43.892438407131451</v>
      </c>
      <c r="AE67" s="41">
        <f>L67/'1. Väestöennuste'!N67*1000</f>
        <v>148.78132737891858</v>
      </c>
      <c r="AF67" s="41">
        <f>M67/'1. Väestöennuste'!O67*1000</f>
        <v>113.23350616529072</v>
      </c>
      <c r="AG67" s="41">
        <f>N67/'1. Väestöennuste'!P67*1000</f>
        <v>17.936693105151615</v>
      </c>
      <c r="AH67" s="41">
        <f>O67/'1. Väestöennuste'!Q67*1000</f>
        <v>-17.105430123249221</v>
      </c>
      <c r="AI67" s="41">
        <f>P67/'1. Väestöennuste'!R67*1000</f>
        <v>47.954853465714841</v>
      </c>
    </row>
    <row r="68" spans="1:35" x14ac:dyDescent="0.2">
      <c r="A68" s="34">
        <v>176</v>
      </c>
      <c r="B68" s="88" t="s">
        <v>382</v>
      </c>
      <c r="C68" s="41" t="e">
        <f>Vuosikate!C68-'6. Poistot'!C68</f>
        <v>#REF!</v>
      </c>
      <c r="D68" s="41">
        <f>Vuosikate!D68-'6. Poistot'!D68</f>
        <v>-227</v>
      </c>
      <c r="E68" s="41">
        <f>Vuosikate!E68-'6. Poistot'!E68</f>
        <v>1456</v>
      </c>
      <c r="F68" s="41">
        <f>Vuosikate!F68-'6. Poistot'!F68</f>
        <v>280</v>
      </c>
      <c r="G68" s="41">
        <f>Vuosikate!G68-'6. Poistot'!G68</f>
        <v>-25</v>
      </c>
      <c r="H68" s="41">
        <f>Vuosikate!H68-'6. Poistot'!H68</f>
        <v>566.19872170317467</v>
      </c>
      <c r="I68" s="41">
        <f>Vuosikate!I68-'6. Poistot'!I68</f>
        <v>-696.55230791011491</v>
      </c>
      <c r="J68" s="41">
        <f>Vuosikate!J68-'6. Poistot'!J68</f>
        <v>387.69290199840884</v>
      </c>
      <c r="K68" s="41">
        <f>Vuosikate!K68-'6. Poistot'!K68</f>
        <v>1117.8194525116851</v>
      </c>
      <c r="L68" s="41">
        <f>Vuosikate!L68-'6. Poistot'!L68</f>
        <v>-975.4175915042747</v>
      </c>
      <c r="M68" s="41">
        <f>Vuosikate!M68-'6. Poistot'!M68</f>
        <v>-1424.8993682456803</v>
      </c>
      <c r="N68" s="41">
        <f>Vuosikate!N68-'6. Poistot'!N68</f>
        <v>-1649.0192448115795</v>
      </c>
      <c r="O68" s="41">
        <f>Vuosikate!O68-'6. Poistot'!O68</f>
        <v>-1811.8841057113918</v>
      </c>
      <c r="P68" s="41">
        <f>Vuosikate!P68-'6. Poistot'!P68</f>
        <v>-1371.8900822861685</v>
      </c>
      <c r="T68" s="34">
        <v>176</v>
      </c>
      <c r="U68" s="88" t="s">
        <v>382</v>
      </c>
      <c r="V68" s="41" t="e">
        <f>C68/'1. Väestöennuste'!E68*1000</f>
        <v>#REF!</v>
      </c>
      <c r="W68" s="41">
        <f>D68/'1. Väestöennuste'!F68*1000</f>
        <v>-45.970028351559336</v>
      </c>
      <c r="X68" s="41">
        <f>E68/'1. Väestöennuste'!G68*1000</f>
        <v>302.26281918206354</v>
      </c>
      <c r="Y68" s="41">
        <f>F68/'1. Väestöennuste'!H68*1000</f>
        <v>59.460607347632191</v>
      </c>
      <c r="Z68" s="41">
        <f>G68/'1. Väestöennuste'!I68*1000</f>
        <v>-5.4277029960920542</v>
      </c>
      <c r="AA68" s="41">
        <f>H68/'1. Väestöennuste'!J68*1000</f>
        <v>125.07150910165113</v>
      </c>
      <c r="AB68" s="41">
        <f>I68/'1. Väestöennuste'!K68*1000</f>
        <v>-156.73994327410327</v>
      </c>
      <c r="AC68" s="41">
        <f>J68/'1. Väestöennuste'!L68*1000</f>
        <v>89.083846966546147</v>
      </c>
      <c r="AD68" s="41">
        <f>K68/'1. Väestöennuste'!M68*1000</f>
        <v>262.46054297057645</v>
      </c>
      <c r="AE68" s="41">
        <f>L68/'1. Väestöennuste'!N68*1000</f>
        <v>-233.96919920946863</v>
      </c>
      <c r="AF68" s="41">
        <f>M68/'1. Väestöennuste'!O68*1000</f>
        <v>-348.7272071085855</v>
      </c>
      <c r="AG68" s="41">
        <f>N68/'1. Väestöennuste'!P68*1000</f>
        <v>-411.7401360328538</v>
      </c>
      <c r="AH68" s="41">
        <f>O68/'1. Väestöennuste'!Q68*1000</f>
        <v>-460.57043866583427</v>
      </c>
      <c r="AI68" s="41">
        <f>P68/'1. Väestöennuste'!R68*1000</f>
        <v>-354.95215583083274</v>
      </c>
    </row>
    <row r="69" spans="1:35" x14ac:dyDescent="0.2">
      <c r="A69" s="34">
        <v>177</v>
      </c>
      <c r="B69" s="88" t="s">
        <v>383</v>
      </c>
      <c r="C69" s="41" t="e">
        <f>Vuosikate!C69-'6. Poistot'!C69</f>
        <v>#REF!</v>
      </c>
      <c r="D69" s="41">
        <f>Vuosikate!D69-'6. Poistot'!D69</f>
        <v>83</v>
      </c>
      <c r="E69" s="41">
        <f>Vuosikate!E69-'6. Poistot'!E69</f>
        <v>495</v>
      </c>
      <c r="F69" s="41">
        <f>Vuosikate!F69-'6. Poistot'!F69</f>
        <v>-160</v>
      </c>
      <c r="G69" s="41">
        <f>Vuosikate!G69-'6. Poistot'!G69</f>
        <v>282</v>
      </c>
      <c r="H69" s="41">
        <f>Vuosikate!H69-'6. Poistot'!H69</f>
        <v>628.36246895445947</v>
      </c>
      <c r="I69" s="41">
        <f>Vuosikate!I69-'6. Poistot'!I69</f>
        <v>704.23802612460952</v>
      </c>
      <c r="J69" s="41">
        <f>Vuosikate!J69-'6. Poistot'!J69</f>
        <v>656.86381608365127</v>
      </c>
      <c r="K69" s="41">
        <f>Vuosikate!K69-'6. Poistot'!K69</f>
        <v>59.501937276943977</v>
      </c>
      <c r="L69" s="41">
        <f>Vuosikate!L69-'6. Poistot'!L69</f>
        <v>421.4935022721005</v>
      </c>
      <c r="M69" s="41">
        <f>Vuosikate!M69-'6. Poistot'!M69</f>
        <v>248.07323868970059</v>
      </c>
      <c r="N69" s="41">
        <f>Vuosikate!N69-'6. Poistot'!N69</f>
        <v>-323.2938482263641</v>
      </c>
      <c r="O69" s="41">
        <f>Vuosikate!O69-'6. Poistot'!O69</f>
        <v>-349.69887641627082</v>
      </c>
      <c r="P69" s="41">
        <f>Vuosikate!P69-'6. Poistot'!P69</f>
        <v>-341.56714980078027</v>
      </c>
      <c r="T69" s="34">
        <v>177</v>
      </c>
      <c r="U69" s="88" t="s">
        <v>383</v>
      </c>
      <c r="V69" s="41" t="e">
        <f>C69/'1. Väestöennuste'!E69*1000</f>
        <v>#REF!</v>
      </c>
      <c r="W69" s="41">
        <f>D69/'1. Väestöennuste'!F69*1000</f>
        <v>42.411854879918238</v>
      </c>
      <c r="X69" s="41">
        <f>E69/'1. Väestöennuste'!G69*1000</f>
        <v>259.97899159663865</v>
      </c>
      <c r="Y69" s="41">
        <f>F69/'1. Väestöennuste'!H69*1000</f>
        <v>-84.925690021231418</v>
      </c>
      <c r="Z69" s="41">
        <f>G69/'1. Väestöennuste'!I69*1000</f>
        <v>152.92841648590021</v>
      </c>
      <c r="AA69" s="41">
        <f>H69/'1. Väestöennuste'!J69*1000</f>
        <v>349.09026053025525</v>
      </c>
      <c r="AB69" s="41">
        <f>I69/'1. Väestöennuste'!K69*1000</f>
        <v>394.31020499698184</v>
      </c>
      <c r="AC69" s="41">
        <f>J69/'1. Väestöennuste'!L69*1000</f>
        <v>371.5293077396218</v>
      </c>
      <c r="AD69" s="41">
        <f>K69/'1. Väestöennuste'!M69*1000</f>
        <v>34.837199810857129</v>
      </c>
      <c r="AE69" s="41">
        <f>L69/'1. Väestöennuste'!N69*1000</f>
        <v>251.78823313745551</v>
      </c>
      <c r="AF69" s="41">
        <f>M69/'1. Väestöennuste'!O69*1000</f>
        <v>150.62127424996999</v>
      </c>
      <c r="AG69" s="41">
        <f>N69/'1. Väestöennuste'!P69*1000</f>
        <v>-199.31803219874485</v>
      </c>
      <c r="AH69" s="41">
        <f>O69/'1. Väestöennuste'!Q69*1000</f>
        <v>-218.56179776016927</v>
      </c>
      <c r="AI69" s="41">
        <f>P69/'1. Väestöennuste'!R69*1000</f>
        <v>-216.45573498148306</v>
      </c>
    </row>
    <row r="70" spans="1:35" x14ac:dyDescent="0.2">
      <c r="A70" s="34">
        <v>178</v>
      </c>
      <c r="B70" s="88" t="s">
        <v>384</v>
      </c>
      <c r="C70" s="41" t="e">
        <f>Vuosikate!C70-'6. Poistot'!C70</f>
        <v>#REF!</v>
      </c>
      <c r="D70" s="41">
        <f>Vuosikate!D70-'6. Poistot'!D70</f>
        <v>1494</v>
      </c>
      <c r="E70" s="41">
        <f>Vuosikate!E70-'6. Poistot'!E70</f>
        <v>719</v>
      </c>
      <c r="F70" s="41">
        <f>Vuosikate!F70-'6. Poistot'!F70</f>
        <v>-32</v>
      </c>
      <c r="G70" s="41">
        <f>Vuosikate!G70-'6. Poistot'!G70</f>
        <v>-776</v>
      </c>
      <c r="H70" s="41">
        <f>Vuosikate!H70-'6. Poistot'!H70</f>
        <v>3340.9066038484125</v>
      </c>
      <c r="I70" s="41">
        <f>Vuosikate!I70-'6. Poistot'!I70</f>
        <v>1398.4226599937792</v>
      </c>
      <c r="J70" s="41">
        <f>Vuosikate!J70-'6. Poistot'!J70</f>
        <v>-913.05118560548863</v>
      </c>
      <c r="K70" s="41">
        <f>Vuosikate!K70-'6. Poistot'!K70</f>
        <v>-861.03547419962183</v>
      </c>
      <c r="L70" s="41">
        <f>Vuosikate!L70-'6. Poistot'!L70</f>
        <v>-777.58884907352376</v>
      </c>
      <c r="M70" s="41">
        <f>Vuosikate!M70-'6. Poistot'!M70</f>
        <v>-1505.0102489822918</v>
      </c>
      <c r="N70" s="41">
        <f>Vuosikate!N70-'6. Poistot'!N70</f>
        <v>-1554.5286854664321</v>
      </c>
      <c r="O70" s="41">
        <f>Vuosikate!O70-'6. Poistot'!O70</f>
        <v>-1690.8088523100869</v>
      </c>
      <c r="P70" s="41">
        <f>Vuosikate!P70-'6. Poistot'!P70</f>
        <v>-594.24015761752162</v>
      </c>
      <c r="T70" s="34">
        <v>178</v>
      </c>
      <c r="U70" s="88" t="s">
        <v>384</v>
      </c>
      <c r="V70" s="41" t="e">
        <f>C70/'1. Väestöennuste'!E70*1000</f>
        <v>#REF!</v>
      </c>
      <c r="W70" s="41">
        <f>D70/'1. Väestöennuste'!F70*1000</f>
        <v>232.67403831178942</v>
      </c>
      <c r="X70" s="41">
        <f>E70/'1. Väestöennuste'!G70*1000</f>
        <v>113.51436690874644</v>
      </c>
      <c r="Y70" s="41">
        <f>F70/'1. Väestöennuste'!H70*1000</f>
        <v>-5.1405622489959839</v>
      </c>
      <c r="Z70" s="41">
        <f>G70/'1. Väestöennuste'!I70*1000</f>
        <v>-126.88031393067364</v>
      </c>
      <c r="AA70" s="41">
        <f>H70/'1. Väestöennuste'!J70*1000</f>
        <v>563.20070867302979</v>
      </c>
      <c r="AB70" s="41">
        <f>I70/'1. Väestöennuste'!K70*1000</f>
        <v>237.54419228703571</v>
      </c>
      <c r="AC70" s="41">
        <f>J70/'1. Väestöennuste'!L70*1000</f>
        <v>-158.26853624640123</v>
      </c>
      <c r="AD70" s="41">
        <f>K70/'1. Väestöennuste'!M70*1000</f>
        <v>-150.16314513422077</v>
      </c>
      <c r="AE70" s="41">
        <f>L70/'1. Väestöennuste'!N70*1000</f>
        <v>-140.81652464207238</v>
      </c>
      <c r="AF70" s="41">
        <f>M70/'1. Väestöennuste'!O70*1000</f>
        <v>-277.01274599342759</v>
      </c>
      <c r="AG70" s="41">
        <f>N70/'1. Väestöennuste'!P70*1000</f>
        <v>-290.72913511622073</v>
      </c>
      <c r="AH70" s="41">
        <f>O70/'1. Väestöennuste'!Q70*1000</f>
        <v>-320.89748572975645</v>
      </c>
      <c r="AI70" s="41">
        <f>P70/'1. Väestöennuste'!R70*1000</f>
        <v>-114.43099511217439</v>
      </c>
    </row>
    <row r="71" spans="1:35" x14ac:dyDescent="0.2">
      <c r="A71" s="34">
        <v>179</v>
      </c>
      <c r="B71" s="88" t="s">
        <v>385</v>
      </c>
      <c r="C71" s="41" t="e">
        <f>Vuosikate!C71-'6. Poistot'!C71</f>
        <v>#REF!</v>
      </c>
      <c r="D71" s="41">
        <f>Vuosikate!D71-'6. Poistot'!D71</f>
        <v>4421</v>
      </c>
      <c r="E71" s="41">
        <f>Vuosikate!E71-'6. Poistot'!E71</f>
        <v>13511</v>
      </c>
      <c r="F71" s="41">
        <f>Vuosikate!F71-'6. Poistot'!F71</f>
        <v>-35</v>
      </c>
      <c r="G71" s="41">
        <f>Vuosikate!G71-'6. Poistot'!G71</f>
        <v>-31569</v>
      </c>
      <c r="H71" s="41">
        <f>Vuosikate!H71-'6. Poistot'!H71</f>
        <v>18949.89944109894</v>
      </c>
      <c r="I71" s="41">
        <f>Vuosikate!I71-'6. Poistot'!I71</f>
        <v>-17686.088872237495</v>
      </c>
      <c r="J71" s="41">
        <f>Vuosikate!J71-'6. Poistot'!J71</f>
        <v>-48340.873517859553</v>
      </c>
      <c r="K71" s="41">
        <f>Vuosikate!K71-'6. Poistot'!K71</f>
        <v>9259.5241680869949</v>
      </c>
      <c r="L71" s="41">
        <f>Vuosikate!L71-'6. Poistot'!L71</f>
        <v>-6289.2263659050295</v>
      </c>
      <c r="M71" s="41">
        <f>Vuosikate!M71-'6. Poistot'!M71</f>
        <v>-49745.167243763295</v>
      </c>
      <c r="N71" s="41">
        <f>Vuosikate!N71-'6. Poistot'!N71</f>
        <v>-44175.822777571011</v>
      </c>
      <c r="O71" s="41">
        <f>Vuosikate!O71-'6. Poistot'!O71</f>
        <v>-46087.49130257903</v>
      </c>
      <c r="P71" s="41">
        <f>Vuosikate!P71-'6. Poistot'!P71</f>
        <v>-39936.687350452383</v>
      </c>
      <c r="T71" s="34">
        <v>179</v>
      </c>
      <c r="U71" s="88" t="s">
        <v>385</v>
      </c>
      <c r="V71" s="41" t="e">
        <f>C71/'1. Väestöennuste'!E71*1000</f>
        <v>#REF!</v>
      </c>
      <c r="W71" s="41">
        <f>D71/'1. Väestöennuste'!F71*1000</f>
        <v>31.840115232265035</v>
      </c>
      <c r="X71" s="41">
        <f>E71/'1. Väestöennuste'!G71*1000</f>
        <v>96.377721345621595</v>
      </c>
      <c r="Y71" s="41">
        <f>F71/'1. Väestöennuste'!H71*1000</f>
        <v>-0.24769116450231765</v>
      </c>
      <c r="Z71" s="41">
        <f>G71/'1. Väestöennuste'!I71*1000</f>
        <v>-221.69241573033707</v>
      </c>
      <c r="AA71" s="41">
        <f>H71/'1. Väestöennuste'!J71*1000</f>
        <v>132.1287089743337</v>
      </c>
      <c r="AB71" s="41">
        <f>I71/'1. Väestöennuste'!K71*1000</f>
        <v>-122.41795264331394</v>
      </c>
      <c r="AC71" s="41">
        <f>J71/'1. Väestöennuste'!L71*1000</f>
        <v>-331.3583356835054</v>
      </c>
      <c r="AD71" s="41">
        <f>K71/'1. Väestöennuste'!M71*1000</f>
        <v>62.671911037097416</v>
      </c>
      <c r="AE71" s="41">
        <f>L71/'1. Väestöennuste'!N71*1000</f>
        <v>-42.619463470186624</v>
      </c>
      <c r="AF71" s="41">
        <f>M71/'1. Väestöennuste'!O71*1000</f>
        <v>-335.20324551230965</v>
      </c>
      <c r="AG71" s="41">
        <f>N71/'1. Väestöennuste'!P71*1000</f>
        <v>-296.13422341257592</v>
      </c>
      <c r="AH71" s="41">
        <f>O71/'1. Väestöennuste'!Q71*1000</f>
        <v>-307.46311644459513</v>
      </c>
      <c r="AI71" s="41">
        <f>P71/'1. Väestöennuste'!R71*1000</f>
        <v>-265.24196769844912</v>
      </c>
    </row>
    <row r="72" spans="1:35" x14ac:dyDescent="0.2">
      <c r="A72" s="34">
        <v>181</v>
      </c>
      <c r="B72" s="88" t="s">
        <v>386</v>
      </c>
      <c r="C72" s="41" t="e">
        <f>Vuosikate!C72-'6. Poistot'!C72</f>
        <v>#REF!</v>
      </c>
      <c r="D72" s="41">
        <f>Vuosikate!D72-'6. Poistot'!D72</f>
        <v>-799</v>
      </c>
      <c r="E72" s="41">
        <f>Vuosikate!E72-'6. Poistot'!E72</f>
        <v>-53</v>
      </c>
      <c r="F72" s="41">
        <f>Vuosikate!F72-'6. Poistot'!F72</f>
        <v>333</v>
      </c>
      <c r="G72" s="41">
        <f>Vuosikate!G72-'6. Poistot'!G72</f>
        <v>298</v>
      </c>
      <c r="H72" s="41">
        <f>Vuosikate!H72-'6. Poistot'!H72</f>
        <v>1017.6040582359565</v>
      </c>
      <c r="I72" s="41">
        <f>Vuosikate!I72-'6. Poistot'!I72</f>
        <v>758.64925005215957</v>
      </c>
      <c r="J72" s="41">
        <f>Vuosikate!J72-'6. Poistot'!J72</f>
        <v>-122.31070061627065</v>
      </c>
      <c r="K72" s="41">
        <f>Vuosikate!K72-'6. Poistot'!K72</f>
        <v>421.01071950574806</v>
      </c>
      <c r="L72" s="41">
        <f>Vuosikate!L72-'6. Poistot'!L72</f>
        <v>-335.76157035263839</v>
      </c>
      <c r="M72" s="41">
        <f>Vuosikate!M72-'6. Poistot'!M72</f>
        <v>134.88415764786726</v>
      </c>
      <c r="N72" s="41">
        <f>Vuosikate!N72-'6. Poistot'!N72</f>
        <v>304.46861006455435</v>
      </c>
      <c r="O72" s="41">
        <f>Vuosikate!O72-'6. Poistot'!O72</f>
        <v>228.81200612889279</v>
      </c>
      <c r="P72" s="41">
        <f>Vuosikate!P72-'6. Poistot'!P72</f>
        <v>377.59686630470662</v>
      </c>
      <c r="T72" s="34">
        <v>181</v>
      </c>
      <c r="U72" s="88" t="s">
        <v>386</v>
      </c>
      <c r="V72" s="41" t="e">
        <f>C72/'1. Väestöennuste'!E72*1000</f>
        <v>#REF!</v>
      </c>
      <c r="W72" s="41">
        <f>D72/'1. Väestöennuste'!F72*1000</f>
        <v>-417.23237597911231</v>
      </c>
      <c r="X72" s="41">
        <f>E72/'1. Väestöennuste'!G72*1000</f>
        <v>-28.387787895018747</v>
      </c>
      <c r="Y72" s="41">
        <f>F72/'1. Väestöennuste'!H72*1000</f>
        <v>184.07960199004975</v>
      </c>
      <c r="Z72" s="41">
        <f>G72/'1. Väestöennuste'!I72*1000</f>
        <v>171.36285221391603</v>
      </c>
      <c r="AA72" s="41">
        <f>H72/'1. Väestöennuste'!J72*1000</f>
        <v>596.13594507085907</v>
      </c>
      <c r="AB72" s="41">
        <f>I72/'1. Väestöennuste'!K72*1000</f>
        <v>450.23694365113323</v>
      </c>
      <c r="AC72" s="41">
        <f>J72/'1. Väestöennuste'!L72*1000</f>
        <v>-72.674213081563082</v>
      </c>
      <c r="AD72" s="41">
        <f>K72/'1. Väestöennuste'!M72*1000</f>
        <v>250.30363823171703</v>
      </c>
      <c r="AE72" s="41">
        <f>L72/'1. Väestöennuste'!N72*1000</f>
        <v>-214.6813109671601</v>
      </c>
      <c r="AF72" s="41">
        <f>M72/'1. Väestöennuste'!O72*1000</f>
        <v>87.872415405776707</v>
      </c>
      <c r="AG72" s="41">
        <f>N72/'1. Väestöennuste'!P72*1000</f>
        <v>202.03623760089869</v>
      </c>
      <c r="AH72" s="41">
        <f>O72/'1. Väestöennuste'!Q72*1000</f>
        <v>154.81191213050931</v>
      </c>
      <c r="AI72" s="41">
        <f>P72/'1. Väestöennuste'!R72*1000</f>
        <v>259.87396166875885</v>
      </c>
    </row>
    <row r="73" spans="1:35" x14ac:dyDescent="0.2">
      <c r="A73" s="34">
        <v>182</v>
      </c>
      <c r="B73" s="88" t="s">
        <v>387</v>
      </c>
      <c r="C73" s="41" t="e">
        <f>Vuosikate!C73-'6. Poistot'!C73</f>
        <v>#REF!</v>
      </c>
      <c r="D73" s="41">
        <f>Vuosikate!D73-'6. Poistot'!D73</f>
        <v>-1689</v>
      </c>
      <c r="E73" s="41">
        <f>Vuosikate!E73-'6. Poistot'!E73</f>
        <v>-5767</v>
      </c>
      <c r="F73" s="41">
        <f>Vuosikate!F73-'6. Poistot'!F73</f>
        <v>-2864</v>
      </c>
      <c r="G73" s="41">
        <f>Vuosikate!G73-'6. Poistot'!G73</f>
        <v>-2615</v>
      </c>
      <c r="H73" s="41">
        <f>Vuosikate!H73-'6. Poistot'!H73</f>
        <v>4149.7185091057327</v>
      </c>
      <c r="I73" s="41">
        <f>Vuosikate!I73-'6. Poistot'!I73</f>
        <v>539.08766282291072</v>
      </c>
      <c r="J73" s="41">
        <f>Vuosikate!J73-'6. Poistot'!J73</f>
        <v>-7678.4307820158319</v>
      </c>
      <c r="K73" s="41">
        <f>Vuosikate!K73-'6. Poistot'!K73</f>
        <v>785.66422487052114</v>
      </c>
      <c r="L73" s="41">
        <f>Vuosikate!L73-'6. Poistot'!L73</f>
        <v>-400.72283710960437</v>
      </c>
      <c r="M73" s="41">
        <f>Vuosikate!M73-'6. Poistot'!M73</f>
        <v>-1704.8097675523413</v>
      </c>
      <c r="N73" s="41">
        <f>Vuosikate!N73-'6. Poistot'!N73</f>
        <v>-552.34662810555346</v>
      </c>
      <c r="O73" s="41">
        <f>Vuosikate!O73-'6. Poistot'!O73</f>
        <v>-25.889893167244736</v>
      </c>
      <c r="P73" s="41">
        <f>Vuosikate!P73-'6. Poistot'!P73</f>
        <v>2721.7214832208811</v>
      </c>
      <c r="T73" s="34">
        <v>182</v>
      </c>
      <c r="U73" s="88" t="s">
        <v>387</v>
      </c>
      <c r="V73" s="41" t="e">
        <f>C73/'1. Väestöennuste'!E73*1000</f>
        <v>#REF!</v>
      </c>
      <c r="W73" s="41">
        <f>D73/'1. Väestöennuste'!F73*1000</f>
        <v>-79.448704078272726</v>
      </c>
      <c r="X73" s="41">
        <f>E73/'1. Väestöennuste'!G73*1000</f>
        <v>-276.23700723283997</v>
      </c>
      <c r="Y73" s="41">
        <f>F73/'1. Väestöennuste'!H73*1000</f>
        <v>-138.98189935458825</v>
      </c>
      <c r="Z73" s="41">
        <f>G73/'1. Väestöennuste'!I73*1000</f>
        <v>-129.57090476662373</v>
      </c>
      <c r="AA73" s="41">
        <f>H73/'1. Väestöennuste'!J73*1000</f>
        <v>208.6648820388059</v>
      </c>
      <c r="AB73" s="41">
        <f>I73/'1. Väestöennuste'!K73*1000</f>
        <v>27.272103142758674</v>
      </c>
      <c r="AC73" s="41">
        <f>J73/'1. Väestöennuste'!L73*1000</f>
        <v>-396.87965999978456</v>
      </c>
      <c r="AD73" s="41">
        <f>K73/'1. Väestöennuste'!M73*1000</f>
        <v>40.958410221589048</v>
      </c>
      <c r="AE73" s="41">
        <f>L73/'1. Väestöennuste'!N73*1000</f>
        <v>-21.51416499031485</v>
      </c>
      <c r="AF73" s="41">
        <f>M73/'1. Väestöennuste'!O73*1000</f>
        <v>-92.844448728479534</v>
      </c>
      <c r="AG73" s="41">
        <f>N73/'1. Väestöennuste'!P73*1000</f>
        <v>-30.509645829957659</v>
      </c>
      <c r="AH73" s="41">
        <f>O73/'1. Väestöennuste'!Q73*1000</f>
        <v>-1.4496832503076733</v>
      </c>
      <c r="AI73" s="41">
        <f>P73/'1. Väestöennuste'!R73*1000</f>
        <v>154.47650168686539</v>
      </c>
    </row>
    <row r="74" spans="1:35" x14ac:dyDescent="0.2">
      <c r="A74" s="34">
        <v>186</v>
      </c>
      <c r="B74" s="88" t="s">
        <v>388</v>
      </c>
      <c r="C74" s="41" t="e">
        <f>Vuosikate!C74-'6. Poistot'!C74</f>
        <v>#REF!</v>
      </c>
      <c r="D74" s="41">
        <f>Vuosikate!D74-'6. Poistot'!D74</f>
        <v>-283</v>
      </c>
      <c r="E74" s="41">
        <f>Vuosikate!E74-'6. Poistot'!E74</f>
        <v>-1759</v>
      </c>
      <c r="F74" s="41">
        <f>Vuosikate!F74-'6. Poistot'!F74</f>
        <v>-12257</v>
      </c>
      <c r="G74" s="41">
        <f>Vuosikate!G74-'6. Poistot'!G74</f>
        <v>-32531</v>
      </c>
      <c r="H74" s="41">
        <f>Vuosikate!H74-'6. Poistot'!H74</f>
        <v>2314.1691647605621</v>
      </c>
      <c r="I74" s="41">
        <f>Vuosikate!I74-'6. Poistot'!I74</f>
        <v>3406.8110832136226</v>
      </c>
      <c r="J74" s="41">
        <f>Vuosikate!J74-'6. Poistot'!J74</f>
        <v>-3880.8317595578119</v>
      </c>
      <c r="K74" s="41">
        <f>Vuosikate!K74-'6. Poistot'!K74</f>
        <v>9748.6764407158917</v>
      </c>
      <c r="L74" s="41">
        <f>Vuosikate!L74-'6. Poistot'!L74</f>
        <v>-3476.7911273002028</v>
      </c>
      <c r="M74" s="41">
        <f>Vuosikate!M74-'6. Poistot'!M74</f>
        <v>-17360.058323177087</v>
      </c>
      <c r="N74" s="41">
        <f>Vuosikate!N74-'6. Poistot'!N74</f>
        <v>-18578.955376391197</v>
      </c>
      <c r="O74" s="41">
        <f>Vuosikate!O74-'6. Poistot'!O74</f>
        <v>-18459.805596745602</v>
      </c>
      <c r="P74" s="41">
        <f>Vuosikate!P74-'6. Poistot'!P74</f>
        <v>-16480.536448137642</v>
      </c>
      <c r="T74" s="34">
        <v>186</v>
      </c>
      <c r="U74" s="88" t="s">
        <v>388</v>
      </c>
      <c r="V74" s="41" t="e">
        <f>C74/'1. Väestöennuste'!E74*1000</f>
        <v>#REF!</v>
      </c>
      <c r="W74" s="41">
        <f>D74/'1. Väestöennuste'!F74*1000</f>
        <v>-6.8145151580823047</v>
      </c>
      <c r="X74" s="41">
        <f>E74/'1. Väestöennuste'!G74*1000</f>
        <v>-41.318237339096122</v>
      </c>
      <c r="Y74" s="41">
        <f>F74/'1. Väestöennuste'!H74*1000</f>
        <v>-282.35429624510482</v>
      </c>
      <c r="Z74" s="41">
        <f>G74/'1. Väestöennuste'!I74*1000</f>
        <v>-744.22914140605349</v>
      </c>
      <c r="AA74" s="41">
        <f>H74/'1. Väestöennuste'!J74*1000</f>
        <v>52.056442801947185</v>
      </c>
      <c r="AB74" s="41">
        <f>I74/'1. Väestöennuste'!K74*1000</f>
        <v>75.328596011445242</v>
      </c>
      <c r="AC74" s="41">
        <f>J74/'1. Väestöennuste'!L74*1000</f>
        <v>-85.050005688314968</v>
      </c>
      <c r="AD74" s="41">
        <f>K74/'1. Väestöennuste'!M74*1000</f>
        <v>209.69405120920396</v>
      </c>
      <c r="AE74" s="41">
        <f>L74/'1. Väestöennuste'!N74*1000</f>
        <v>-73.723306346484378</v>
      </c>
      <c r="AF74" s="41">
        <f>M74/'1. Väestöennuste'!O74*1000</f>
        <v>-363.44725893807362</v>
      </c>
      <c r="AG74" s="41">
        <f>N74/'1. Väestöennuste'!P74*1000</f>
        <v>-384.3391679021762</v>
      </c>
      <c r="AH74" s="41">
        <f>O74/'1. Väestöennuste'!Q74*1000</f>
        <v>-377.5629059303281</v>
      </c>
      <c r="AI74" s="41">
        <f>P74/'1. Väestöennuste'!R74*1000</f>
        <v>-333.51957842185698</v>
      </c>
    </row>
    <row r="75" spans="1:35" x14ac:dyDescent="0.2">
      <c r="A75" s="34">
        <v>202</v>
      </c>
      <c r="B75" s="88" t="s">
        <v>389</v>
      </c>
      <c r="C75" s="41" t="e">
        <f>Vuosikate!C75-'6. Poistot'!C75</f>
        <v>#REF!</v>
      </c>
      <c r="D75" s="41">
        <f>Vuosikate!D75-'6. Poistot'!D75</f>
        <v>5082</v>
      </c>
      <c r="E75" s="41">
        <f>Vuosikate!E75-'6. Poistot'!E75</f>
        <v>4011</v>
      </c>
      <c r="F75" s="41">
        <f>Vuosikate!F75-'6. Poistot'!F75</f>
        <v>-3905</v>
      </c>
      <c r="G75" s="41">
        <f>Vuosikate!G75-'6. Poistot'!G75</f>
        <v>-9746</v>
      </c>
      <c r="H75" s="41">
        <f>Vuosikate!H75-'6. Poistot'!H75</f>
        <v>8579.779728415524</v>
      </c>
      <c r="I75" s="41">
        <f>Vuosikate!I75-'6. Poistot'!I75</f>
        <v>7837.6884990893504</v>
      </c>
      <c r="J75" s="41">
        <f>Vuosikate!J75-'6. Poistot'!J75</f>
        <v>9478.0884382662844</v>
      </c>
      <c r="K75" s="41">
        <f>Vuosikate!K75-'6. Poistot'!K75</f>
        <v>10154.894626070698</v>
      </c>
      <c r="L75" s="41">
        <f>Vuosikate!L75-'6. Poistot'!L75</f>
        <v>629.06452865944811</v>
      </c>
      <c r="M75" s="41">
        <f>Vuosikate!M75-'6. Poistot'!M75</f>
        <v>-3830.0519498473623</v>
      </c>
      <c r="N75" s="41">
        <f>Vuosikate!N75-'6. Poistot'!N75</f>
        <v>-5662.3663542686845</v>
      </c>
      <c r="O75" s="41">
        <f>Vuosikate!O75-'6. Poistot'!O75</f>
        <v>-6931.3857140734144</v>
      </c>
      <c r="P75" s="41">
        <f>Vuosikate!P75-'6. Poistot'!P75</f>
        <v>-7186.6955843109999</v>
      </c>
      <c r="T75" s="34">
        <v>202</v>
      </c>
      <c r="U75" s="88" t="s">
        <v>389</v>
      </c>
      <c r="V75" s="41" t="e">
        <f>C75/'1. Väestöennuste'!E75*1000</f>
        <v>#REF!</v>
      </c>
      <c r="W75" s="41">
        <f>D75/'1. Väestöennuste'!F75*1000</f>
        <v>155.2324515853137</v>
      </c>
      <c r="X75" s="41">
        <f>E75/'1. Väestöennuste'!G75*1000</f>
        <v>121.18190881899756</v>
      </c>
      <c r="Y75" s="41">
        <f>F75/'1. Väestöennuste'!H75*1000</f>
        <v>-116.71349154163428</v>
      </c>
      <c r="Z75" s="41">
        <f>G75/'1. Väestöennuste'!I75*1000</f>
        <v>-287.17918496036776</v>
      </c>
      <c r="AA75" s="41">
        <f>H75/'1. Väestöennuste'!J75*1000</f>
        <v>247.49126628827196</v>
      </c>
      <c r="AB75" s="41">
        <f>I75/'1. Väestöennuste'!K75*1000</f>
        <v>220.79861675886272</v>
      </c>
      <c r="AC75" s="41">
        <f>J75/'1. Väestöennuste'!L75*1000</f>
        <v>264.39657549281088</v>
      </c>
      <c r="AD75" s="41">
        <f>K75/'1. Väestöennuste'!M75*1000</f>
        <v>279.44892886625104</v>
      </c>
      <c r="AE75" s="41">
        <f>L75/'1. Väestöennuste'!N75*1000</f>
        <v>17.215306878833314</v>
      </c>
      <c r="AF75" s="41">
        <f>M75/'1. Väestöennuste'!O75*1000</f>
        <v>-103.66060273485337</v>
      </c>
      <c r="AG75" s="41">
        <f>N75/'1. Väestöennuste'!P75*1000</f>
        <v>-151.66375664306105</v>
      </c>
      <c r="AH75" s="41">
        <f>O75/'1. Väestöennuste'!Q75*1000</f>
        <v>-183.85150829085208</v>
      </c>
      <c r="AI75" s="41">
        <f>P75/'1. Väestöennuste'!R75*1000</f>
        <v>-188.89490575385059</v>
      </c>
    </row>
    <row r="76" spans="1:35" x14ac:dyDescent="0.2">
      <c r="A76" s="34">
        <v>204</v>
      </c>
      <c r="B76" s="88" t="s">
        <v>390</v>
      </c>
      <c r="C76" s="41" t="e">
        <f>Vuosikate!C76-'6. Poistot'!C76</f>
        <v>#REF!</v>
      </c>
      <c r="D76" s="41">
        <f>Vuosikate!D76-'6. Poistot'!D76</f>
        <v>-121</v>
      </c>
      <c r="E76" s="41">
        <f>Vuosikate!E76-'6. Poistot'!E76</f>
        <v>-595</v>
      </c>
      <c r="F76" s="41">
        <f>Vuosikate!F76-'6. Poistot'!F76</f>
        <v>-290</v>
      </c>
      <c r="G76" s="41">
        <f>Vuosikate!G76-'6. Poistot'!G76</f>
        <v>-154</v>
      </c>
      <c r="H76" s="41">
        <f>Vuosikate!H76-'6. Poistot'!H76</f>
        <v>1255.93346599084</v>
      </c>
      <c r="I76" s="41">
        <f>Vuosikate!I76-'6. Poistot'!I76</f>
        <v>400.03850171390627</v>
      </c>
      <c r="J76" s="41">
        <f>Vuosikate!J76-'6. Poistot'!J76</f>
        <v>-138.3519752608961</v>
      </c>
      <c r="K76" s="41">
        <f>Vuosikate!K76-'6. Poistot'!K76</f>
        <v>-697.20278696621517</v>
      </c>
      <c r="L76" s="41">
        <f>Vuosikate!L76-'6. Poistot'!L76</f>
        <v>-964.5010425630179</v>
      </c>
      <c r="M76" s="41">
        <f>Vuosikate!M76-'6. Poistot'!M76</f>
        <v>-2464.894807803827</v>
      </c>
      <c r="N76" s="41">
        <f>Vuosikate!N76-'6. Poistot'!N76</f>
        <v>-2041.6365496522671</v>
      </c>
      <c r="O76" s="41">
        <f>Vuosikate!O76-'6. Poistot'!O76</f>
        <v>-1961.1213038212086</v>
      </c>
      <c r="P76" s="41">
        <f>Vuosikate!P76-'6. Poistot'!P76</f>
        <v>-1664.8865931718228</v>
      </c>
      <c r="T76" s="34">
        <v>204</v>
      </c>
      <c r="U76" s="88" t="s">
        <v>390</v>
      </c>
      <c r="V76" s="41" t="e">
        <f>C76/'1. Väestöennuste'!E76*1000</f>
        <v>#REF!</v>
      </c>
      <c r="W76" s="41">
        <f>D76/'1. Väestöennuste'!F76*1000</f>
        <v>-38.36398224476855</v>
      </c>
      <c r="X76" s="41">
        <f>E76/'1. Väestöennuste'!G76*1000</f>
        <v>-195.20997375328085</v>
      </c>
      <c r="Y76" s="41">
        <f>F76/'1. Väestöennuste'!H76*1000</f>
        <v>-96.989966555183955</v>
      </c>
      <c r="Z76" s="41">
        <f>G76/'1. Väestöennuste'!I76*1000</f>
        <v>-53.231939163498097</v>
      </c>
      <c r="AA76" s="41">
        <f>H76/'1. Väestöennuste'!J76*1000</f>
        <v>447.4290936910723</v>
      </c>
      <c r="AB76" s="41">
        <f>I76/'1. Väestöennuste'!K76*1000</f>
        <v>144.00234042977186</v>
      </c>
      <c r="AC76" s="41">
        <f>J76/'1. Väestöennuste'!L76*1000</f>
        <v>-51.451087861991851</v>
      </c>
      <c r="AD76" s="41">
        <f>K76/'1. Väestöennuste'!M76*1000</f>
        <v>-265.29786414239544</v>
      </c>
      <c r="AE76" s="41">
        <f>L76/'1. Väestöennuste'!N76*1000</f>
        <v>-374.85466092616321</v>
      </c>
      <c r="AF76" s="41">
        <f>M76/'1. Väestöennuste'!O76*1000</f>
        <v>-974.65196038110992</v>
      </c>
      <c r="AG76" s="41">
        <f>N76/'1. Väestöennuste'!P76*1000</f>
        <v>-820.26378049508514</v>
      </c>
      <c r="AH76" s="41">
        <f>O76/'1. Väestöennuste'!Q76*1000</f>
        <v>-800.13109091032584</v>
      </c>
      <c r="AI76" s="41">
        <f>P76/'1. Väestöennuste'!R76*1000</f>
        <v>-689.96543438533899</v>
      </c>
    </row>
    <row r="77" spans="1:35" x14ac:dyDescent="0.2">
      <c r="A77" s="34">
        <v>205</v>
      </c>
      <c r="B77" s="88" t="s">
        <v>391</v>
      </c>
      <c r="C77" s="41" t="e">
        <f>Vuosikate!C77-'6. Poistot'!C77</f>
        <v>#REF!</v>
      </c>
      <c r="D77" s="41">
        <f>Vuosikate!D77-'6. Poistot'!D77</f>
        <v>1554</v>
      </c>
      <c r="E77" s="41">
        <f>Vuosikate!E77-'6. Poistot'!E77</f>
        <v>-2764</v>
      </c>
      <c r="F77" s="41">
        <f>Vuosikate!F77-'6. Poistot'!F77</f>
        <v>-13320</v>
      </c>
      <c r="G77" s="41">
        <f>Vuosikate!G77-'6. Poistot'!G77</f>
        <v>23114</v>
      </c>
      <c r="H77" s="41">
        <f>Vuosikate!H77-'6. Poistot'!H77</f>
        <v>-8727.6112942518375</v>
      </c>
      <c r="I77" s="41">
        <f>Vuosikate!I77-'6. Poistot'!I77</f>
        <v>9079.9630683795367</v>
      </c>
      <c r="J77" s="41">
        <f>Vuosikate!J77-'6. Poistot'!J77</f>
        <v>-3042.4988520081715</v>
      </c>
      <c r="K77" s="41">
        <f>Vuosikate!K77-'6. Poistot'!K77</f>
        <v>2655.371837503586</v>
      </c>
      <c r="L77" s="41">
        <f>Vuosikate!L77-'6. Poistot'!L77</f>
        <v>-1625.2028766130461</v>
      </c>
      <c r="M77" s="41">
        <f>Vuosikate!M77-'6. Poistot'!M77</f>
        <v>-10630.803810042444</v>
      </c>
      <c r="N77" s="41">
        <f>Vuosikate!N77-'6. Poistot'!N77</f>
        <v>-12898.28157243179</v>
      </c>
      <c r="O77" s="41">
        <f>Vuosikate!O77-'6. Poistot'!O77</f>
        <v>-14462.944305011786</v>
      </c>
      <c r="P77" s="41">
        <f>Vuosikate!P77-'6. Poistot'!P77</f>
        <v>-12666.682754315285</v>
      </c>
      <c r="T77" s="34">
        <v>205</v>
      </c>
      <c r="U77" s="88" t="s">
        <v>391</v>
      </c>
      <c r="V77" s="41" t="e">
        <f>C77/'1. Väestöennuste'!E77*1000</f>
        <v>#REF!</v>
      </c>
      <c r="W77" s="41">
        <f>D77/'1. Väestöennuste'!F77*1000</f>
        <v>41.41680658831055</v>
      </c>
      <c r="X77" s="41">
        <f>E77/'1. Väestöennuste'!G77*1000</f>
        <v>-74.223260560165414</v>
      </c>
      <c r="Y77" s="41">
        <f>F77/'1. Väestöennuste'!H77*1000</f>
        <v>-360.26289454466774</v>
      </c>
      <c r="Z77" s="41">
        <f>G77/'1. Väestöennuste'!I77*1000</f>
        <v>629.65485303331604</v>
      </c>
      <c r="AA77" s="41">
        <f>H77/'1. Väestöennuste'!J77*1000</f>
        <v>-238.67452332025698</v>
      </c>
      <c r="AB77" s="41">
        <f>I77/'1. Väestöennuste'!K77*1000</f>
        <v>248.81382918311832</v>
      </c>
      <c r="AC77" s="41">
        <f>J77/'1. Väestöennuste'!L77*1000</f>
        <v>-83.822322836823204</v>
      </c>
      <c r="AD77" s="41">
        <f>K77/'1. Väestöennuste'!M77*1000</f>
        <v>72.724011653481938</v>
      </c>
      <c r="AE77" s="41">
        <f>L77/'1. Väestöennuste'!N77*1000</f>
        <v>-45.286674188788311</v>
      </c>
      <c r="AF77" s="41">
        <f>M77/'1. Väestöennuste'!O77*1000</f>
        <v>-297.76493781979843</v>
      </c>
      <c r="AG77" s="41">
        <f>N77/'1. Väestöennuste'!P77*1000</f>
        <v>-363.22955709467163</v>
      </c>
      <c r="AH77" s="41">
        <f>O77/'1. Väestöennuste'!Q77*1000</f>
        <v>-409.47154115149021</v>
      </c>
      <c r="AI77" s="41">
        <f>P77/'1. Väestöennuste'!R77*1000</f>
        <v>-360.61730261395832</v>
      </c>
    </row>
    <row r="78" spans="1:35" x14ac:dyDescent="0.2">
      <c r="A78" s="34">
        <v>208</v>
      </c>
      <c r="B78" s="88" t="s">
        <v>392</v>
      </c>
      <c r="C78" s="41" t="e">
        <f>Vuosikate!C78-'6. Poistot'!C78</f>
        <v>#REF!</v>
      </c>
      <c r="D78" s="41">
        <f>Vuosikate!D78-'6. Poistot'!D78</f>
        <v>-252</v>
      </c>
      <c r="E78" s="41">
        <f>Vuosikate!E78-'6. Poistot'!E78</f>
        <v>-725</v>
      </c>
      <c r="F78" s="41">
        <f>Vuosikate!F78-'6. Poistot'!F78</f>
        <v>-1070</v>
      </c>
      <c r="G78" s="41">
        <f>Vuosikate!G78-'6. Poistot'!G78</f>
        <v>-39</v>
      </c>
      <c r="H78" s="41">
        <f>Vuosikate!H78-'6. Poistot'!H78</f>
        <v>3543.8040246725795</v>
      </c>
      <c r="I78" s="41">
        <f>Vuosikate!I78-'6. Poistot'!I78</f>
        <v>1036.2583932595326</v>
      </c>
      <c r="J78" s="41">
        <f>Vuosikate!J78-'6. Poistot'!J78</f>
        <v>4074.9223909766661</v>
      </c>
      <c r="K78" s="41">
        <f>Vuosikate!K78-'6. Poistot'!K78</f>
        <v>5950.991196929408</v>
      </c>
      <c r="L78" s="41">
        <f>Vuosikate!L78-'6. Poistot'!L78</f>
        <v>2144.1815088182266</v>
      </c>
      <c r="M78" s="41">
        <f>Vuosikate!M78-'6. Poistot'!M78</f>
        <v>1148.4510280349241</v>
      </c>
      <c r="N78" s="41">
        <f>Vuosikate!N78-'6. Poistot'!N78</f>
        <v>-28.471654602371927</v>
      </c>
      <c r="O78" s="41">
        <f>Vuosikate!O78-'6. Poistot'!O78</f>
        <v>-33.150550160058629</v>
      </c>
      <c r="P78" s="41">
        <f>Vuosikate!P78-'6. Poistot'!P78</f>
        <v>1225.6069308019551</v>
      </c>
      <c r="T78" s="34">
        <v>208</v>
      </c>
      <c r="U78" s="88" t="s">
        <v>392</v>
      </c>
      <c r="V78" s="41" t="e">
        <f>C78/'1. Väestöennuste'!E78*1000</f>
        <v>#REF!</v>
      </c>
      <c r="W78" s="41">
        <f>D78/'1. Väestöennuste'!F78*1000</f>
        <v>-20.022246941045605</v>
      </c>
      <c r="X78" s="41">
        <f>E78/'1. Väestöennuste'!G78*1000</f>
        <v>-57.925854905720676</v>
      </c>
      <c r="Y78" s="41">
        <f>F78/'1. Väestöennuste'!H78*1000</f>
        <v>-86.380883183983215</v>
      </c>
      <c r="Z78" s="41">
        <f>G78/'1. Väestöennuste'!I78*1000</f>
        <v>-3.1520245696274145</v>
      </c>
      <c r="AA78" s="41">
        <f>H78/'1. Väestöennuste'!J78*1000</f>
        <v>285.79064715101447</v>
      </c>
      <c r="AB78" s="41">
        <f>I78/'1. Väestöennuste'!K78*1000</f>
        <v>83.488430008019066</v>
      </c>
      <c r="AC78" s="41">
        <f>J78/'1. Väestöennuste'!L78*1000</f>
        <v>330.35447028590727</v>
      </c>
      <c r="AD78" s="41">
        <f>K78/'1. Väestöennuste'!M78*1000</f>
        <v>481.00478475019463</v>
      </c>
      <c r="AE78" s="41">
        <f>L78/'1. Väestöennuste'!N78*1000</f>
        <v>175.5223893924547</v>
      </c>
      <c r="AF78" s="41">
        <f>M78/'1. Väestöennuste'!O78*1000</f>
        <v>94.452753354299219</v>
      </c>
      <c r="AG78" s="41">
        <f>N78/'1. Väestöennuste'!P78*1000</f>
        <v>-2.3530293059811509</v>
      </c>
      <c r="AH78" s="41">
        <f>O78/'1. Väestöennuste'!Q78*1000</f>
        <v>-2.753825399572905</v>
      </c>
      <c r="AI78" s="41">
        <f>P78/'1. Väestöennuste'!R78*1000</f>
        <v>102.35568154350719</v>
      </c>
    </row>
    <row r="79" spans="1:35" x14ac:dyDescent="0.2">
      <c r="A79" s="34">
        <v>211</v>
      </c>
      <c r="B79" s="88" t="s">
        <v>393</v>
      </c>
      <c r="C79" s="41" t="e">
        <f>Vuosikate!C79-'6. Poistot'!C79</f>
        <v>#REF!</v>
      </c>
      <c r="D79" s="41">
        <f>Vuosikate!D79-'6. Poistot'!D79</f>
        <v>8794</v>
      </c>
      <c r="E79" s="41">
        <f>Vuosikate!E79-'6. Poistot'!E79</f>
        <v>11727</v>
      </c>
      <c r="F79" s="41">
        <f>Vuosikate!F79-'6. Poistot'!F79</f>
        <v>-3822</v>
      </c>
      <c r="G79" s="41">
        <f>Vuosikate!G79-'6. Poistot'!G79</f>
        <v>420</v>
      </c>
      <c r="H79" s="41">
        <f>Vuosikate!H79-'6. Poistot'!H79</f>
        <v>18717.404546604746</v>
      </c>
      <c r="I79" s="41">
        <f>Vuosikate!I79-'6. Poistot'!I79</f>
        <v>3620.8936487370174</v>
      </c>
      <c r="J79" s="41">
        <f>Vuosikate!J79-'6. Poistot'!J79</f>
        <v>-135.12448718730411</v>
      </c>
      <c r="K79" s="41">
        <f>Vuosikate!K79-'6. Poistot'!K79</f>
        <v>3092.2394208046026</v>
      </c>
      <c r="L79" s="41">
        <f>Vuosikate!L79-'6. Poistot'!L79</f>
        <v>-11709.036667179917</v>
      </c>
      <c r="M79" s="41">
        <f>Vuosikate!M79-'6. Poistot'!M79</f>
        <v>-9530.1690283580465</v>
      </c>
      <c r="N79" s="41">
        <f>Vuosikate!N79-'6. Poistot'!N79</f>
        <v>-9849.7872842782126</v>
      </c>
      <c r="O79" s="41">
        <f>Vuosikate!O79-'6. Poistot'!O79</f>
        <v>-10327.851622185426</v>
      </c>
      <c r="P79" s="41">
        <f>Vuosikate!P79-'6. Poistot'!P79</f>
        <v>-9912.1557755795257</v>
      </c>
      <c r="T79" s="34">
        <v>211</v>
      </c>
      <c r="U79" s="88" t="s">
        <v>393</v>
      </c>
      <c r="V79" s="41" t="e">
        <f>C79/'1. Väestöennuste'!E79*1000</f>
        <v>#REF!</v>
      </c>
      <c r="W79" s="41">
        <f>D79/'1. Väestöennuste'!F79*1000</f>
        <v>281.94934273805706</v>
      </c>
      <c r="X79" s="41">
        <f>E79/'1. Väestöennuste'!G79*1000</f>
        <v>373.03177784139706</v>
      </c>
      <c r="Y79" s="41">
        <f>F79/'1. Väestöennuste'!H79*1000</f>
        <v>-120.65917413814876</v>
      </c>
      <c r="Z79" s="41">
        <f>G79/'1. Väestöennuste'!I79*1000</f>
        <v>13.179364880130539</v>
      </c>
      <c r="AA79" s="41">
        <f>H79/'1. Väestöennuste'!J79*1000</f>
        <v>581.03323234012373</v>
      </c>
      <c r="AB79" s="41">
        <f>I79/'1. Väestöennuste'!K79*1000</f>
        <v>110.99545241668253</v>
      </c>
      <c r="AC79" s="41">
        <f>J79/'1. Väestöennuste'!L79*1000</f>
        <v>-4.0997750898784586</v>
      </c>
      <c r="AD79" s="41">
        <f>K79/'1. Väestöennuste'!M79*1000</f>
        <v>92.380109963391462</v>
      </c>
      <c r="AE79" s="41">
        <f>L79/'1. Väestöennuste'!N79*1000</f>
        <v>-352.39524083365689</v>
      </c>
      <c r="AF79" s="41">
        <f>M79/'1. Väestöennuste'!O79*1000</f>
        <v>-284.85679783470971</v>
      </c>
      <c r="AG79" s="41">
        <f>N79/'1. Väestöennuste'!P79*1000</f>
        <v>-292.52159908167653</v>
      </c>
      <c r="AH79" s="41">
        <f>O79/'1. Väestöennuste'!Q79*1000</f>
        <v>-304.85423053856266</v>
      </c>
      <c r="AI79" s="41">
        <f>P79/'1. Väestöennuste'!R79*1000</f>
        <v>-290.89231916594355</v>
      </c>
    </row>
    <row r="80" spans="1:35" x14ac:dyDescent="0.2">
      <c r="A80" s="34">
        <v>213</v>
      </c>
      <c r="B80" s="88" t="s">
        <v>394</v>
      </c>
      <c r="C80" s="41" t="e">
        <f>Vuosikate!C80-'6. Poistot'!C80</f>
        <v>#REF!</v>
      </c>
      <c r="D80" s="41">
        <f>Vuosikate!D80-'6. Poistot'!D80</f>
        <v>420</v>
      </c>
      <c r="E80" s="41">
        <f>Vuosikate!E80-'6. Poistot'!E80</f>
        <v>1202</v>
      </c>
      <c r="F80" s="41">
        <f>Vuosikate!F80-'6. Poistot'!F80</f>
        <v>-782</v>
      </c>
      <c r="G80" s="41">
        <f>Vuosikate!G80-'6. Poistot'!G80</f>
        <v>-829</v>
      </c>
      <c r="H80" s="41">
        <f>Vuosikate!H80-'6. Poistot'!H80</f>
        <v>2397.2527294825377</v>
      </c>
      <c r="I80" s="41">
        <f>Vuosikate!I80-'6. Poistot'!I80</f>
        <v>835.50815362263165</v>
      </c>
      <c r="J80" s="41">
        <f>Vuosikate!J80-'6. Poistot'!J80</f>
        <v>-60.151101381431999</v>
      </c>
      <c r="K80" s="41">
        <f>Vuosikate!K80-'6. Poistot'!K80</f>
        <v>37.19315530909671</v>
      </c>
      <c r="L80" s="41">
        <f>Vuosikate!L80-'6. Poistot'!L80</f>
        <v>60.970542113249394</v>
      </c>
      <c r="M80" s="41">
        <f>Vuosikate!M80-'6. Poistot'!M80</f>
        <v>-680.68331871975397</v>
      </c>
      <c r="N80" s="41">
        <f>Vuosikate!N80-'6. Poistot'!N80</f>
        <v>-534.64361850957994</v>
      </c>
      <c r="O80" s="41">
        <f>Vuosikate!O80-'6. Poistot'!O80</f>
        <v>-445.4407878939503</v>
      </c>
      <c r="P80" s="41">
        <f>Vuosikate!P80-'6. Poistot'!P80</f>
        <v>352.46121416247456</v>
      </c>
      <c r="T80" s="34">
        <v>213</v>
      </c>
      <c r="U80" s="88" t="s">
        <v>394</v>
      </c>
      <c r="V80" s="41" t="e">
        <f>C80/'1. Väestöennuste'!E80*1000</f>
        <v>#REF!</v>
      </c>
      <c r="W80" s="41">
        <f>D80/'1. Väestöennuste'!F80*1000</f>
        <v>74.959842941281451</v>
      </c>
      <c r="X80" s="41">
        <f>E80/'1. Väestöennuste'!G80*1000</f>
        <v>216.61560641557037</v>
      </c>
      <c r="Y80" s="41">
        <f>F80/'1. Väestöennuste'!H80*1000</f>
        <v>-143.43360234776227</v>
      </c>
      <c r="Z80" s="41">
        <f>G80/'1. Väestöennuste'!I80*1000</f>
        <v>-154.77968633308438</v>
      </c>
      <c r="AA80" s="41">
        <f>H80/'1. Väestöennuste'!J80*1000</f>
        <v>451.29004696583917</v>
      </c>
      <c r="AB80" s="41">
        <f>I80/'1. Väestöennuste'!K80*1000</f>
        <v>159.75299304448023</v>
      </c>
      <c r="AC80" s="41">
        <f>J80/'1. Väestöennuste'!L80*1000</f>
        <v>-11.67076084234226</v>
      </c>
      <c r="AD80" s="41">
        <f>K80/'1. Väestöennuste'!M80*1000</f>
        <v>7.2728109716653719</v>
      </c>
      <c r="AE80" s="41">
        <f>L80/'1. Väestöennuste'!N80*1000</f>
        <v>12.032867991562934</v>
      </c>
      <c r="AF80" s="41">
        <f>M80/'1. Väestöennuste'!O80*1000</f>
        <v>-135.8378205387655</v>
      </c>
      <c r="AG80" s="41">
        <f>N80/'1. Väestöennuste'!P80*1000</f>
        <v>-107.85628777679644</v>
      </c>
      <c r="AH80" s="41">
        <f>O80/'1. Väestöennuste'!Q80*1000</f>
        <v>-90.832134562387907</v>
      </c>
      <c r="AI80" s="41">
        <f>P80/'1. Väestöennuste'!R80*1000</f>
        <v>72.627491069951489</v>
      </c>
    </row>
    <row r="81" spans="1:35" x14ac:dyDescent="0.2">
      <c r="A81" s="34">
        <v>214</v>
      </c>
      <c r="B81" s="88" t="s">
        <v>395</v>
      </c>
      <c r="C81" s="41" t="e">
        <f>Vuosikate!C81-'6. Poistot'!C81</f>
        <v>#REF!</v>
      </c>
      <c r="D81" s="41">
        <f>Vuosikate!D81-'6. Poistot'!D81</f>
        <v>1663</v>
      </c>
      <c r="E81" s="41">
        <f>Vuosikate!E81-'6. Poistot'!E81</f>
        <v>17</v>
      </c>
      <c r="F81" s="41">
        <f>Vuosikate!F81-'6. Poistot'!F81</f>
        <v>-4322</v>
      </c>
      <c r="G81" s="41">
        <f>Vuosikate!G81-'6. Poistot'!G81</f>
        <v>-3080</v>
      </c>
      <c r="H81" s="41">
        <f>Vuosikate!H81-'6. Poistot'!H81</f>
        <v>4024.8232592137356</v>
      </c>
      <c r="I81" s="41">
        <f>Vuosikate!I81-'6. Poistot'!I81</f>
        <v>4428.7892582354398</v>
      </c>
      <c r="J81" s="41">
        <f>Vuosikate!J81-'6. Poistot'!J81</f>
        <v>1662.0068928161627</v>
      </c>
      <c r="K81" s="41">
        <f>Vuosikate!K81-'6. Poistot'!K81</f>
        <v>4720.4230840480941</v>
      </c>
      <c r="L81" s="41">
        <f>Vuosikate!L81-'6. Poistot'!L81</f>
        <v>33.852108284374481</v>
      </c>
      <c r="M81" s="41">
        <f>Vuosikate!M81-'6. Poistot'!M81</f>
        <v>-741.52265733781314</v>
      </c>
      <c r="N81" s="41">
        <f>Vuosikate!N81-'6. Poistot'!N81</f>
        <v>-243.04527079005584</v>
      </c>
      <c r="O81" s="41">
        <f>Vuosikate!O81-'6. Poistot'!O81</f>
        <v>-79.157142369533176</v>
      </c>
      <c r="P81" s="41">
        <f>Vuosikate!P81-'6. Poistot'!P81</f>
        <v>1611.5582659254878</v>
      </c>
      <c r="T81" s="34">
        <v>214</v>
      </c>
      <c r="U81" s="88" t="s">
        <v>395</v>
      </c>
      <c r="V81" s="41" t="e">
        <f>C81/'1. Väestöennuste'!E81*1000</f>
        <v>#REF!</v>
      </c>
      <c r="W81" s="41">
        <f>D81/'1. Väestöennuste'!F81*1000</f>
        <v>124.14153478650343</v>
      </c>
      <c r="X81" s="41">
        <f>E81/'1. Väestöennuste'!G81*1000</f>
        <v>1.2789647908516402</v>
      </c>
      <c r="Y81" s="41">
        <f>F81/'1. Väestöennuste'!H81*1000</f>
        <v>-328.99444317576308</v>
      </c>
      <c r="Z81" s="41">
        <f>G81/'1. Väestöennuste'!I81*1000</f>
        <v>-238.64869053153572</v>
      </c>
      <c r="AA81" s="41">
        <f>H81/'1. Väestöennuste'!J81*1000</f>
        <v>315.4744677232901</v>
      </c>
      <c r="AB81" s="41">
        <f>I81/'1. Väestöennuste'!K81*1000</f>
        <v>349.77011990486812</v>
      </c>
      <c r="AC81" s="41">
        <f>J81/'1. Väestöennuste'!L81*1000</f>
        <v>132.66338544190316</v>
      </c>
      <c r="AD81" s="41">
        <f>K81/'1. Väestöennuste'!M81*1000</f>
        <v>380.86356979571519</v>
      </c>
      <c r="AE81" s="41">
        <f>L81/'1. Väestöennuste'!N81*1000</f>
        <v>2.7891660446876889</v>
      </c>
      <c r="AF81" s="41">
        <f>M81/'1. Väestöennuste'!O81*1000</f>
        <v>-61.803855420721213</v>
      </c>
      <c r="AG81" s="41">
        <f>N81/'1. Väestöennuste'!P81*1000</f>
        <v>-20.482493746001673</v>
      </c>
      <c r="AH81" s="41">
        <f>O81/'1. Väestöennuste'!Q81*1000</f>
        <v>-6.7419421147715841</v>
      </c>
      <c r="AI81" s="41">
        <f>P81/'1. Väestöennuste'!R81*1000</f>
        <v>138.70025526512504</v>
      </c>
    </row>
    <row r="82" spans="1:35" x14ac:dyDescent="0.2">
      <c r="A82" s="34">
        <v>216</v>
      </c>
      <c r="B82" s="88" t="s">
        <v>396</v>
      </c>
      <c r="C82" s="41" t="e">
        <f>Vuosikate!C82-'6. Poistot'!C82</f>
        <v>#REF!</v>
      </c>
      <c r="D82" s="41">
        <f>Vuosikate!D82-'6. Poistot'!D82</f>
        <v>901</v>
      </c>
      <c r="E82" s="41">
        <f>Vuosikate!E82-'6. Poistot'!E82</f>
        <v>53</v>
      </c>
      <c r="F82" s="41">
        <f>Vuosikate!F82-'6. Poistot'!F82</f>
        <v>-20</v>
      </c>
      <c r="G82" s="41">
        <f>Vuosikate!G82-'6. Poistot'!G82</f>
        <v>-2969</v>
      </c>
      <c r="H82" s="41">
        <f>Vuosikate!H82-'6. Poistot'!H82</f>
        <v>-510.7387552617065</v>
      </c>
      <c r="I82" s="41">
        <f>Vuosikate!I82-'6. Poistot'!I82</f>
        <v>143.96069587746661</v>
      </c>
      <c r="J82" s="41">
        <f>Vuosikate!J82-'6. Poistot'!J82</f>
        <v>-1204.0871055139191</v>
      </c>
      <c r="K82" s="41">
        <f>Vuosikate!K82-'6. Poistot'!K82</f>
        <v>-1279.4947475751003</v>
      </c>
      <c r="L82" s="41">
        <f>Vuosikate!L82-'6. Poistot'!L82</f>
        <v>-272.78714579931068</v>
      </c>
      <c r="M82" s="41">
        <f>Vuosikate!M82-'6. Poistot'!M82</f>
        <v>-1006.0895663271756</v>
      </c>
      <c r="N82" s="41">
        <f>Vuosikate!N82-'6. Poistot'!N82</f>
        <v>-1130.7730830145513</v>
      </c>
      <c r="O82" s="41">
        <f>Vuosikate!O82-'6. Poistot'!O82</f>
        <v>-1196.8835068901049</v>
      </c>
      <c r="P82" s="41">
        <f>Vuosikate!P82-'6. Poistot'!P82</f>
        <v>-1142.0888176227286</v>
      </c>
      <c r="T82" s="34">
        <v>216</v>
      </c>
      <c r="U82" s="88" t="s">
        <v>396</v>
      </c>
      <c r="V82" s="41" t="e">
        <f>C82/'1. Väestöennuste'!E82*1000</f>
        <v>#REF!</v>
      </c>
      <c r="W82" s="41">
        <f>D82/'1. Väestöennuste'!F82*1000</f>
        <v>632.72471910112358</v>
      </c>
      <c r="X82" s="41">
        <f>E82/'1. Väestöennuste'!G82*1000</f>
        <v>37.642045454545453</v>
      </c>
      <c r="Y82" s="41">
        <f>F82/'1. Väestöennuste'!H82*1000</f>
        <v>-14.781966001478196</v>
      </c>
      <c r="Z82" s="41">
        <f>G82/'1. Väestöennuste'!I82*1000</f>
        <v>-2217.3263629574312</v>
      </c>
      <c r="AA82" s="41">
        <f>H82/'1. Väestöennuste'!J82*1000</f>
        <v>-386.04592234444937</v>
      </c>
      <c r="AB82" s="41">
        <f>I82/'1. Väestöennuste'!K82*1000</f>
        <v>109.80983667236202</v>
      </c>
      <c r="AC82" s="41">
        <f>J82/'1. Väestöennuste'!L82*1000</f>
        <v>-948.84720686676064</v>
      </c>
      <c r="AD82" s="41">
        <f>K82/'1. Väestöennuste'!M82*1000</f>
        <v>-1051.3514770543143</v>
      </c>
      <c r="AE82" s="41">
        <f>L82/'1. Väestöennuste'!N82*1000</f>
        <v>-219.63538309123243</v>
      </c>
      <c r="AF82" s="41">
        <f>M82/'1. Väestöennuste'!O82*1000</f>
        <v>-821.96859994050294</v>
      </c>
      <c r="AG82" s="41">
        <f>N82/'1. Väestöennuste'!P82*1000</f>
        <v>-934.52320910293497</v>
      </c>
      <c r="AH82" s="41">
        <f>O82/'1. Väestöennuste'!Q82*1000</f>
        <v>-1002.4149973953978</v>
      </c>
      <c r="AI82" s="41">
        <f>P82/'1. Väestöennuste'!R82*1000</f>
        <v>-968.69280544760693</v>
      </c>
    </row>
    <row r="83" spans="1:35" x14ac:dyDescent="0.2">
      <c r="A83" s="34">
        <v>217</v>
      </c>
      <c r="B83" s="88" t="s">
        <v>397</v>
      </c>
      <c r="C83" s="41" t="e">
        <f>Vuosikate!C83-'6. Poistot'!C83</f>
        <v>#REF!</v>
      </c>
      <c r="D83" s="41">
        <f>Vuosikate!D83-'6. Poistot'!D83</f>
        <v>-482</v>
      </c>
      <c r="E83" s="41">
        <f>Vuosikate!E83-'6. Poistot'!E83</f>
        <v>-363</v>
      </c>
      <c r="F83" s="41">
        <f>Vuosikate!F83-'6. Poistot'!F83</f>
        <v>-965</v>
      </c>
      <c r="G83" s="41">
        <f>Vuosikate!G83-'6. Poistot'!G83</f>
        <v>-1074</v>
      </c>
      <c r="H83" s="41">
        <f>Vuosikate!H83-'6. Poistot'!H83</f>
        <v>1258.9221499128653</v>
      </c>
      <c r="I83" s="41">
        <f>Vuosikate!I83-'6. Poistot'!I83</f>
        <v>79.583158363049279</v>
      </c>
      <c r="J83" s="41">
        <f>Vuosikate!J83-'6. Poistot'!J83</f>
        <v>38.914375208537649</v>
      </c>
      <c r="K83" s="41">
        <f>Vuosikate!K83-'6. Poistot'!K83</f>
        <v>411.59885454116397</v>
      </c>
      <c r="L83" s="41">
        <f>Vuosikate!L83-'6. Poistot'!L83</f>
        <v>-988.3509971439056</v>
      </c>
      <c r="M83" s="41">
        <f>Vuosikate!M83-'6. Poistot'!M83</f>
        <v>-1264.1240101662793</v>
      </c>
      <c r="N83" s="41">
        <f>Vuosikate!N83-'6. Poistot'!N83</f>
        <v>-1369.0496512895329</v>
      </c>
      <c r="O83" s="41">
        <f>Vuosikate!O83-'6. Poistot'!O83</f>
        <v>-1288.3772663069838</v>
      </c>
      <c r="P83" s="41">
        <f>Vuosikate!P83-'6. Poistot'!P83</f>
        <v>-968.88680484568999</v>
      </c>
      <c r="T83" s="34">
        <v>217</v>
      </c>
      <c r="U83" s="88" t="s">
        <v>397</v>
      </c>
      <c r="V83" s="41" t="e">
        <f>C83/'1. Väestöennuste'!E83*1000</f>
        <v>#REF!</v>
      </c>
      <c r="W83" s="41">
        <f>D83/'1. Väestöennuste'!F83*1000</f>
        <v>-86.410899964144861</v>
      </c>
      <c r="X83" s="41">
        <f>E83/'1. Väestöennuste'!G83*1000</f>
        <v>-65.760869565217391</v>
      </c>
      <c r="Y83" s="41">
        <f>F83/'1. Väestöennuste'!H83*1000</f>
        <v>-175.39076699382042</v>
      </c>
      <c r="Z83" s="41">
        <f>G83/'1. Väestöennuste'!I83*1000</f>
        <v>-196.55929721815522</v>
      </c>
      <c r="AA83" s="41">
        <f>H83/'1. Väestöennuste'!J83*1000</f>
        <v>232.01661443289075</v>
      </c>
      <c r="AB83" s="41">
        <f>I83/'1. Väestöennuste'!K83*1000</f>
        <v>14.764964445834746</v>
      </c>
      <c r="AC83" s="41">
        <f>J83/'1. Väestöennuste'!L83*1000</f>
        <v>7.2709968625817734</v>
      </c>
      <c r="AD83" s="41">
        <f>K83/'1. Väestöennuste'!M83*1000</f>
        <v>78.459560530149432</v>
      </c>
      <c r="AE83" s="41">
        <f>L83/'1. Väestöennuste'!N83*1000</f>
        <v>-187.22314778251669</v>
      </c>
      <c r="AF83" s="41">
        <f>M83/'1. Väestöennuste'!O83*1000</f>
        <v>-241.01506390205515</v>
      </c>
      <c r="AG83" s="41">
        <f>N83/'1. Väestöennuste'!P83*1000</f>
        <v>-262.57185486949231</v>
      </c>
      <c r="AH83" s="41">
        <f>O83/'1. Väestöennuste'!Q83*1000</f>
        <v>-248.48163284609137</v>
      </c>
      <c r="AI83" s="41">
        <f>P83/'1. Väestöennuste'!R83*1000</f>
        <v>-187.95088357821339</v>
      </c>
    </row>
    <row r="84" spans="1:35" x14ac:dyDescent="0.2">
      <c r="A84" s="34">
        <v>218</v>
      </c>
      <c r="B84" s="88" t="s">
        <v>398</v>
      </c>
      <c r="C84" s="41" t="e">
        <f>Vuosikate!C84-'6. Poistot'!C84</f>
        <v>#REF!</v>
      </c>
      <c r="D84" s="41">
        <f>Vuosikate!D84-'6. Poistot'!D84</f>
        <v>435</v>
      </c>
      <c r="E84" s="41">
        <f>Vuosikate!E84-'6. Poistot'!E84</f>
        <v>471</v>
      </c>
      <c r="F84" s="41">
        <f>Vuosikate!F84-'6. Poistot'!F84</f>
        <v>-223</v>
      </c>
      <c r="G84" s="41">
        <f>Vuosikate!G84-'6. Poistot'!G84</f>
        <v>-732</v>
      </c>
      <c r="H84" s="41">
        <f>Vuosikate!H84-'6. Poistot'!H84</f>
        <v>1490.3714463133019</v>
      </c>
      <c r="I84" s="41">
        <f>Vuosikate!I84-'6. Poistot'!I84</f>
        <v>474.96108061084396</v>
      </c>
      <c r="J84" s="41">
        <f>Vuosikate!J84-'6. Poistot'!J84</f>
        <v>416.98841427467329</v>
      </c>
      <c r="K84" s="41">
        <f>Vuosikate!K84-'6. Poistot'!K84</f>
        <v>504.37545771842611</v>
      </c>
      <c r="L84" s="41">
        <f>Vuosikate!L84-'6. Poistot'!L84</f>
        <v>146.42889086875579</v>
      </c>
      <c r="M84" s="41">
        <f>Vuosikate!M84-'6. Poistot'!M84</f>
        <v>-74.158594417138659</v>
      </c>
      <c r="N84" s="41">
        <f>Vuosikate!N84-'6. Poistot'!N84</f>
        <v>9.8316223773283014</v>
      </c>
      <c r="O84" s="41">
        <f>Vuosikate!O84-'6. Poistot'!O84</f>
        <v>2.117423347376473</v>
      </c>
      <c r="P84" s="41">
        <f>Vuosikate!P84-'6. Poistot'!P84</f>
        <v>142.08863645705219</v>
      </c>
      <c r="T84" s="34">
        <v>218</v>
      </c>
      <c r="U84" s="88" t="s">
        <v>398</v>
      </c>
      <c r="V84" s="41" t="e">
        <f>C84/'1. Väestöennuste'!E84*1000</f>
        <v>#REF!</v>
      </c>
      <c r="W84" s="41">
        <f>D84/'1. Väestöennuste'!F84*1000</f>
        <v>322.46108228317274</v>
      </c>
      <c r="X84" s="41">
        <f>E84/'1. Väestöennuste'!G84*1000</f>
        <v>354.40180586907451</v>
      </c>
      <c r="Y84" s="41">
        <f>F84/'1. Väestöennuste'!H84*1000</f>
        <v>-175.03924646781792</v>
      </c>
      <c r="Z84" s="41">
        <f>G84/'1. Väestöennuste'!I84*1000</f>
        <v>-587.95180722891575</v>
      </c>
      <c r="AA84" s="41">
        <f>H84/'1. Väestöennuste'!J84*1000</f>
        <v>1234.773360657251</v>
      </c>
      <c r="AB84" s="41">
        <f>I84/'1. Väestöennuste'!K84*1000</f>
        <v>398.45728239164765</v>
      </c>
      <c r="AC84" s="41">
        <f>J84/'1. Väestöennuste'!L84*1000</f>
        <v>347.4903452288944</v>
      </c>
      <c r="AD84" s="41">
        <f>K84/'1. Väestöennuste'!M84*1000</f>
        <v>424.55846609295128</v>
      </c>
      <c r="AE84" s="41">
        <f>L84/'1. Väestöennuste'!N84*1000</f>
        <v>132.27542083898445</v>
      </c>
      <c r="AF84" s="41">
        <f>M84/'1. Väestöennuste'!O84*1000</f>
        <v>-68.160472809870086</v>
      </c>
      <c r="AG84" s="41">
        <f>N84/'1. Väestöennuste'!P84*1000</f>
        <v>9.1798528266370703</v>
      </c>
      <c r="AH84" s="41">
        <f>O84/'1. Väestöennuste'!Q84*1000</f>
        <v>2.0127598359091952</v>
      </c>
      <c r="AI84" s="41">
        <f>P84/'1. Väestöennuste'!R84*1000</f>
        <v>136.75518427050258</v>
      </c>
    </row>
    <row r="85" spans="1:35" x14ac:dyDescent="0.2">
      <c r="A85" s="34">
        <v>224</v>
      </c>
      <c r="B85" s="88" t="s">
        <v>399</v>
      </c>
      <c r="C85" s="41" t="e">
        <f>Vuosikate!C85-'6. Poistot'!C85</f>
        <v>#REF!</v>
      </c>
      <c r="D85" s="41">
        <f>Vuosikate!D85-'6. Poistot'!D85</f>
        <v>988</v>
      </c>
      <c r="E85" s="41">
        <f>Vuosikate!E85-'6. Poistot'!E85</f>
        <v>225</v>
      </c>
      <c r="F85" s="41">
        <f>Vuosikate!F85-'6. Poistot'!F85</f>
        <v>-895</v>
      </c>
      <c r="G85" s="41">
        <f>Vuosikate!G85-'6. Poistot'!G85</f>
        <v>-3501</v>
      </c>
      <c r="H85" s="41">
        <f>Vuosikate!H85-'6. Poistot'!H85</f>
        <v>1587.2253273974311</v>
      </c>
      <c r="I85" s="41">
        <f>Vuosikate!I85-'6. Poistot'!I85</f>
        <v>547.90584330582988</v>
      </c>
      <c r="J85" s="41">
        <f>Vuosikate!J85-'6. Poistot'!J85</f>
        <v>2448.2918357252088</v>
      </c>
      <c r="K85" s="41">
        <f>Vuosikate!K85-'6. Poistot'!K85</f>
        <v>2928.2167381226582</v>
      </c>
      <c r="L85" s="41">
        <f>Vuosikate!L85-'6. Poistot'!L85</f>
        <v>362.90275441363156</v>
      </c>
      <c r="M85" s="41">
        <f>Vuosikate!M85-'6. Poistot'!M85</f>
        <v>-424.34008468926731</v>
      </c>
      <c r="N85" s="41">
        <f>Vuosikate!N85-'6. Poistot'!N85</f>
        <v>-106.4535468282179</v>
      </c>
      <c r="O85" s="41">
        <f>Vuosikate!O85-'6. Poistot'!O85</f>
        <v>-314.17937242345306</v>
      </c>
      <c r="P85" s="41">
        <f>Vuosikate!P85-'6. Poistot'!P85</f>
        <v>629.82629688765974</v>
      </c>
      <c r="T85" s="34">
        <v>224</v>
      </c>
      <c r="U85" s="88" t="s">
        <v>399</v>
      </c>
      <c r="V85" s="41" t="e">
        <f>C85/'1. Väestöennuste'!E85*1000</f>
        <v>#REF!</v>
      </c>
      <c r="W85" s="41">
        <f>D85/'1. Väestöennuste'!F85*1000</f>
        <v>110.87420042643923</v>
      </c>
      <c r="X85" s="41">
        <f>E85/'1. Väestöennuste'!G85*1000</f>
        <v>25.280898876404493</v>
      </c>
      <c r="Y85" s="41">
        <f>F85/'1. Väestöennuste'!H85*1000</f>
        <v>-101.95944406470723</v>
      </c>
      <c r="Z85" s="41">
        <f>G85/'1. Väestöennuste'!I85*1000</f>
        <v>-401.76727105806748</v>
      </c>
      <c r="AA85" s="41">
        <f>H85/'1. Väestöennuste'!J85*1000</f>
        <v>182.52361170623632</v>
      </c>
      <c r="AB85" s="41">
        <f>I85/'1. Väestöennuste'!K85*1000</f>
        <v>62.854863290791542</v>
      </c>
      <c r="AC85" s="41">
        <f>J85/'1. Väestöennuste'!L85*1000</f>
        <v>284.58582305302906</v>
      </c>
      <c r="AD85" s="41">
        <f>K85/'1. Väestöennuste'!M85*1000</f>
        <v>341.24423005741266</v>
      </c>
      <c r="AE85" s="41">
        <f>L85/'1. Väestöennuste'!N85*1000</f>
        <v>42.850720795091696</v>
      </c>
      <c r="AF85" s="41">
        <f>M85/'1. Väestöennuste'!O85*1000</f>
        <v>-50.372754592743036</v>
      </c>
      <c r="AG85" s="41">
        <f>N85/'1. Väestöennuste'!P85*1000</f>
        <v>-12.694198286217254</v>
      </c>
      <c r="AH85" s="41">
        <f>O85/'1. Väestöennuste'!Q85*1000</f>
        <v>-37.630778826620322</v>
      </c>
      <c r="AI85" s="41">
        <f>P85/'1. Väestöennuste'!R85*1000</f>
        <v>75.745796378551987</v>
      </c>
    </row>
    <row r="86" spans="1:35" x14ac:dyDescent="0.2">
      <c r="A86" s="34">
        <v>226</v>
      </c>
      <c r="B86" s="88" t="s">
        <v>400</v>
      </c>
      <c r="C86" s="41" t="e">
        <f>Vuosikate!C86-'6. Poistot'!C86</f>
        <v>#REF!</v>
      </c>
      <c r="D86" s="41">
        <f>Vuosikate!D86-'6. Poistot'!D86</f>
        <v>0</v>
      </c>
      <c r="E86" s="41">
        <f>Vuosikate!E86-'6. Poistot'!E86</f>
        <v>783</v>
      </c>
      <c r="F86" s="41">
        <f>Vuosikate!F86-'6. Poistot'!F86</f>
        <v>-31</v>
      </c>
      <c r="G86" s="41">
        <f>Vuosikate!G86-'6. Poistot'!G86</f>
        <v>-4895</v>
      </c>
      <c r="H86" s="41">
        <f>Vuosikate!H86-'6. Poistot'!H86</f>
        <v>2509.5038239565656</v>
      </c>
      <c r="I86" s="41">
        <f>Vuosikate!I86-'6. Poistot'!I86</f>
        <v>1838.7788912037909</v>
      </c>
      <c r="J86" s="41">
        <f>Vuosikate!J86-'6. Poistot'!J86</f>
        <v>971.41625324810047</v>
      </c>
      <c r="K86" s="41">
        <f>Vuosikate!K86-'6. Poistot'!K86</f>
        <v>394.65938470869105</v>
      </c>
      <c r="L86" s="41">
        <f>Vuosikate!L86-'6. Poistot'!L86</f>
        <v>-379.41747115424732</v>
      </c>
      <c r="M86" s="41">
        <f>Vuosikate!M86-'6. Poistot'!M86</f>
        <v>-1873.8016696098061</v>
      </c>
      <c r="N86" s="41">
        <f>Vuosikate!N86-'6. Poistot'!N86</f>
        <v>-1986.0253342726664</v>
      </c>
      <c r="O86" s="41">
        <f>Vuosikate!O86-'6. Poistot'!O86</f>
        <v>-2343.8602968108553</v>
      </c>
      <c r="P86" s="41">
        <f>Vuosikate!P86-'6. Poistot'!P86</f>
        <v>-2033.7221817580928</v>
      </c>
      <c r="T86" s="34">
        <v>226</v>
      </c>
      <c r="U86" s="88" t="s">
        <v>400</v>
      </c>
      <c r="V86" s="41" t="e">
        <f>C86/'1. Väestöennuste'!E86*1000</f>
        <v>#REF!</v>
      </c>
      <c r="W86" s="41">
        <f>D86/'1. Väestöennuste'!F86*1000</f>
        <v>0</v>
      </c>
      <c r="X86" s="41">
        <f>E86/'1. Väestöennuste'!G86*1000</f>
        <v>188.85672937771346</v>
      </c>
      <c r="Y86" s="41">
        <f>F86/'1. Väestöennuste'!H86*1000</f>
        <v>-7.6903994046142392</v>
      </c>
      <c r="Z86" s="41">
        <f>G86/'1. Väestöennuste'!I86*1000</f>
        <v>-1239.5543175487464</v>
      </c>
      <c r="AA86" s="41">
        <f>H86/'1. Väestöennuste'!J86*1000</f>
        <v>650.46755416188842</v>
      </c>
      <c r="AB86" s="41">
        <f>I86/'1. Väestöennuste'!K86*1000</f>
        <v>487.22281165972203</v>
      </c>
      <c r="AC86" s="41">
        <f>J86/'1. Väestöennuste'!L86*1000</f>
        <v>265.05218369661674</v>
      </c>
      <c r="AD86" s="41">
        <f>K86/'1. Väestöennuste'!M86*1000</f>
        <v>108.87155440239752</v>
      </c>
      <c r="AE86" s="41">
        <f>L86/'1. Väestöennuste'!N86*1000</f>
        <v>-106.45832523968781</v>
      </c>
      <c r="AF86" s="41">
        <f>M86/'1. Väestöennuste'!O86*1000</f>
        <v>-535.524912720722</v>
      </c>
      <c r="AG86" s="41">
        <f>N86/'1. Väestöennuste'!P86*1000</f>
        <v>-578.00504489891341</v>
      </c>
      <c r="AH86" s="41">
        <f>O86/'1. Väestöennuste'!Q86*1000</f>
        <v>-694.47712498099418</v>
      </c>
      <c r="AI86" s="41">
        <f>P86/'1. Väestöennuste'!R86*1000</f>
        <v>-613.12094716855381</v>
      </c>
    </row>
    <row r="87" spans="1:35" x14ac:dyDescent="0.2">
      <c r="A87" s="34">
        <v>230</v>
      </c>
      <c r="B87" s="88" t="s">
        <v>401</v>
      </c>
      <c r="C87" s="41" t="e">
        <f>Vuosikate!C87-'6. Poistot'!C87</f>
        <v>#REF!</v>
      </c>
      <c r="D87" s="41">
        <f>Vuosikate!D87-'6. Poistot'!D87</f>
        <v>-702</v>
      </c>
      <c r="E87" s="41">
        <f>Vuosikate!E87-'6. Poistot'!E87</f>
        <v>219</v>
      </c>
      <c r="F87" s="41">
        <f>Vuosikate!F87-'6. Poistot'!F87</f>
        <v>-1102</v>
      </c>
      <c r="G87" s="41">
        <f>Vuosikate!G87-'6. Poistot'!G87</f>
        <v>-1480</v>
      </c>
      <c r="H87" s="41">
        <f>Vuosikate!H87-'6. Poistot'!H87</f>
        <v>752.25496908849709</v>
      </c>
      <c r="I87" s="41">
        <f>Vuosikate!I87-'6. Poistot'!I87</f>
        <v>649.51710691696951</v>
      </c>
      <c r="J87" s="41">
        <f>Vuosikate!J87-'6. Poistot'!J87</f>
        <v>-367.13084036107233</v>
      </c>
      <c r="K87" s="41">
        <f>Vuosikate!K87-'6. Poistot'!K87</f>
        <v>-478.94335735975187</v>
      </c>
      <c r="L87" s="41">
        <f>Vuosikate!L87-'6. Poistot'!L87</f>
        <v>-87.137050897070822</v>
      </c>
      <c r="M87" s="41">
        <f>Vuosikate!M87-'6. Poistot'!M87</f>
        <v>-520.31893395690577</v>
      </c>
      <c r="N87" s="41">
        <f>Vuosikate!N87-'6. Poistot'!N87</f>
        <v>-597.02014184826567</v>
      </c>
      <c r="O87" s="41">
        <f>Vuosikate!O87-'6. Poistot'!O87</f>
        <v>-772.21773330688325</v>
      </c>
      <c r="P87" s="41">
        <f>Vuosikate!P87-'6. Poistot'!P87</f>
        <v>-518.43097177991058</v>
      </c>
      <c r="T87" s="34">
        <v>230</v>
      </c>
      <c r="U87" s="88" t="s">
        <v>401</v>
      </c>
      <c r="V87" s="41" t="e">
        <f>C87/'1. Väestöennuste'!E87*1000</f>
        <v>#REF!</v>
      </c>
      <c r="W87" s="41">
        <f>D87/'1. Väestöennuste'!F87*1000</f>
        <v>-286.64761126990606</v>
      </c>
      <c r="X87" s="41">
        <f>E87/'1. Väestöennuste'!G87*1000</f>
        <v>91.136079900124841</v>
      </c>
      <c r="Y87" s="41">
        <f>F87/'1. Väestöennuste'!H87*1000</f>
        <v>-461.08786610878661</v>
      </c>
      <c r="Z87" s="41">
        <f>G87/'1. Väestöennuste'!I87*1000</f>
        <v>-631.93851409052093</v>
      </c>
      <c r="AA87" s="41">
        <f>H87/'1. Väestöennuste'!J87*1000</f>
        <v>323.96854827239326</v>
      </c>
      <c r="AB87" s="41">
        <f>I87/'1. Väestöennuste'!K87*1000</f>
        <v>283.63192441789062</v>
      </c>
      <c r="AC87" s="41">
        <f>J87/'1. Väestöennuste'!L87*1000</f>
        <v>-163.89769658976445</v>
      </c>
      <c r="AD87" s="41">
        <f>K87/'1. Väestöennuste'!M87*1000</f>
        <v>-216.12967389880501</v>
      </c>
      <c r="AE87" s="41">
        <f>L87/'1. Väestöennuste'!N87*1000</f>
        <v>-39.446378857886295</v>
      </c>
      <c r="AF87" s="41">
        <f>M87/'1. Väestöennuste'!O87*1000</f>
        <v>-238.35040492757938</v>
      </c>
      <c r="AG87" s="41">
        <f>N87/'1. Väestöennuste'!P87*1000</f>
        <v>-276.27031089692997</v>
      </c>
      <c r="AH87" s="41">
        <f>O87/'1. Väestöennuste'!Q87*1000</f>
        <v>-360.84940808732864</v>
      </c>
      <c r="AI87" s="41">
        <f>P87/'1. Väestöennuste'!R87*1000</f>
        <v>-244.54291121693893</v>
      </c>
    </row>
    <row r="88" spans="1:35" x14ac:dyDescent="0.2">
      <c r="A88" s="34">
        <v>231</v>
      </c>
      <c r="B88" s="88" t="s">
        <v>402</v>
      </c>
      <c r="C88" s="41" t="e">
        <f>Vuosikate!C88-'6. Poistot'!C88</f>
        <v>#REF!</v>
      </c>
      <c r="D88" s="41">
        <f>Vuosikate!D88-'6. Poistot'!D88</f>
        <v>-1089</v>
      </c>
      <c r="E88" s="41">
        <f>Vuosikate!E88-'6. Poistot'!E88</f>
        <v>-238</v>
      </c>
      <c r="F88" s="41">
        <f>Vuosikate!F88-'6. Poistot'!F88</f>
        <v>-1394</v>
      </c>
      <c r="G88" s="41">
        <f>Vuosikate!G88-'6. Poistot'!G88</f>
        <v>-1460</v>
      </c>
      <c r="H88" s="41">
        <f>Vuosikate!H88-'6. Poistot'!H88</f>
        <v>-1004.5303282493082</v>
      </c>
      <c r="I88" s="41">
        <f>Vuosikate!I88-'6. Poistot'!I88</f>
        <v>-1323.9366339250241</v>
      </c>
      <c r="J88" s="41">
        <f>Vuosikate!J88-'6. Poistot'!J88</f>
        <v>57.694234744993537</v>
      </c>
      <c r="K88" s="41">
        <f>Vuosikate!K88-'6. Poistot'!K88</f>
        <v>-1130.495060104116</v>
      </c>
      <c r="L88" s="41">
        <f>Vuosikate!L88-'6. Poistot'!L88</f>
        <v>-818.26866907521105</v>
      </c>
      <c r="M88" s="41">
        <f>Vuosikate!M88-'6. Poistot'!M88</f>
        <v>-1007.4699209923557</v>
      </c>
      <c r="N88" s="41">
        <f>Vuosikate!N88-'6. Poistot'!N88</f>
        <v>-1094.1585533757407</v>
      </c>
      <c r="O88" s="41">
        <f>Vuosikate!O88-'6. Poistot'!O88</f>
        <v>-1242.0711832412594</v>
      </c>
      <c r="P88" s="41">
        <f>Vuosikate!P88-'6. Poistot'!P88</f>
        <v>-1196.5641670958778</v>
      </c>
      <c r="T88" s="34">
        <v>231</v>
      </c>
      <c r="U88" s="88" t="s">
        <v>402</v>
      </c>
      <c r="V88" s="41" t="e">
        <f>C88/'1. Väestöennuste'!E88*1000</f>
        <v>#REF!</v>
      </c>
      <c r="W88" s="41">
        <f>D88/'1. Väestöennuste'!F88*1000</f>
        <v>-840.27777777777783</v>
      </c>
      <c r="X88" s="41">
        <f>E88/'1. Väestöennuste'!G88*1000</f>
        <v>-186.8131868131868</v>
      </c>
      <c r="Y88" s="41">
        <f>F88/'1. Väestöennuste'!H88*1000</f>
        <v>-1104.5958795562599</v>
      </c>
      <c r="Z88" s="41">
        <f>G88/'1. Väestöennuste'!I88*1000</f>
        <v>-1171.7495987158909</v>
      </c>
      <c r="AA88" s="41">
        <f>H88/'1. Väestöennuste'!J88*1000</f>
        <v>-786.01747124359019</v>
      </c>
      <c r="AB88" s="41">
        <f>I88/'1. Väestöennuste'!K88*1000</f>
        <v>-1027.103672556264</v>
      </c>
      <c r="AC88" s="41">
        <f>J88/'1. Väestöennuste'!L88*1000</f>
        <v>45.93490027467638</v>
      </c>
      <c r="AD88" s="41">
        <f>K88/'1. Väestöennuste'!M88*1000</f>
        <v>-935.8402815431424</v>
      </c>
      <c r="AE88" s="41">
        <f>L88/'1. Väestöennuste'!N88*1000</f>
        <v>-628.47055996559982</v>
      </c>
      <c r="AF88" s="41">
        <f>M88/'1. Väestöennuste'!O88*1000</f>
        <v>-771.4164785546368</v>
      </c>
      <c r="AG88" s="41">
        <f>N88/'1. Väestöennuste'!P88*1000</f>
        <v>-834.5984388830974</v>
      </c>
      <c r="AH88" s="41">
        <f>O88/'1. Väestöennuste'!Q88*1000</f>
        <v>-945.25965239060838</v>
      </c>
      <c r="AI88" s="41">
        <f>P88/'1. Väestöennuste'!R88*1000</f>
        <v>-908.55289832640688</v>
      </c>
    </row>
    <row r="89" spans="1:35" x14ac:dyDescent="0.2">
      <c r="A89" s="34">
        <v>232</v>
      </c>
      <c r="B89" s="88" t="s">
        <v>403</v>
      </c>
      <c r="C89" s="41" t="e">
        <f>Vuosikate!C89-'6. Poistot'!C89</f>
        <v>#REF!</v>
      </c>
      <c r="D89" s="41">
        <f>Vuosikate!D89-'6. Poistot'!D89</f>
        <v>-967</v>
      </c>
      <c r="E89" s="41">
        <f>Vuosikate!E89-'6. Poistot'!E89</f>
        <v>977</v>
      </c>
      <c r="F89" s="41">
        <f>Vuosikate!F89-'6. Poistot'!F89</f>
        <v>-2571</v>
      </c>
      <c r="G89" s="41">
        <f>Vuosikate!G89-'6. Poistot'!G89</f>
        <v>5848</v>
      </c>
      <c r="H89" s="41">
        <f>Vuosikate!H89-'6. Poistot'!H89</f>
        <v>810.31704492535937</v>
      </c>
      <c r="I89" s="41">
        <f>Vuosikate!I89-'6. Poistot'!I89</f>
        <v>1629.6429088855357</v>
      </c>
      <c r="J89" s="41">
        <f>Vuosikate!J89-'6. Poistot'!J89</f>
        <v>2339.5625423432548</v>
      </c>
      <c r="K89" s="41">
        <f>Vuosikate!K89-'6. Poistot'!K89</f>
        <v>3542.1621158312164</v>
      </c>
      <c r="L89" s="41">
        <f>Vuosikate!L89-'6. Poistot'!L89</f>
        <v>357.94036100688481</v>
      </c>
      <c r="M89" s="41">
        <f>Vuosikate!M89-'6. Poistot'!M89</f>
        <v>-2964.0026301474481</v>
      </c>
      <c r="N89" s="41">
        <f>Vuosikate!N89-'6. Poistot'!N89</f>
        <v>-1719.7301061216403</v>
      </c>
      <c r="O89" s="41">
        <f>Vuosikate!O89-'6. Poistot'!O89</f>
        <v>-2026.9479021259308</v>
      </c>
      <c r="P89" s="41">
        <f>Vuosikate!P89-'6. Poistot'!P89</f>
        <v>-853.22401736696247</v>
      </c>
      <c r="T89" s="34">
        <v>232</v>
      </c>
      <c r="U89" s="88" t="s">
        <v>403</v>
      </c>
      <c r="V89" s="41" t="e">
        <f>C89/'1. Väestöennuste'!E89*1000</f>
        <v>#REF!</v>
      </c>
      <c r="W89" s="41">
        <f>D89/'1. Väestöennuste'!F89*1000</f>
        <v>-70.214928841126934</v>
      </c>
      <c r="X89" s="41">
        <f>E89/'1. Väestöennuste'!G89*1000</f>
        <v>71.785451873622335</v>
      </c>
      <c r="Y89" s="41">
        <f>F89/'1. Väestöennuste'!H89*1000</f>
        <v>-192.22429906542058</v>
      </c>
      <c r="Z89" s="41">
        <f>G89/'1. Väestöennuste'!I89*1000</f>
        <v>443.56796116504853</v>
      </c>
      <c r="AA89" s="41">
        <f>H89/'1. Väestöennuste'!J89*1000</f>
        <v>62.298535013866335</v>
      </c>
      <c r="AB89" s="41">
        <f>I89/'1. Väestöennuste'!K89*1000</f>
        <v>126.42691302447912</v>
      </c>
      <c r="AC89" s="41">
        <f>J89/'1. Väestöennuste'!L89*1000</f>
        <v>183.49510136025526</v>
      </c>
      <c r="AD89" s="41">
        <f>K89/'1. Väestöennuste'!M89*1000</f>
        <v>280.72294466882363</v>
      </c>
      <c r="AE89" s="41">
        <f>L89/'1. Väestöennuste'!N89*1000</f>
        <v>28.898785807111643</v>
      </c>
      <c r="AF89" s="41">
        <f>M89/'1. Väestöennuste'!O89*1000</f>
        <v>-241.93964820401993</v>
      </c>
      <c r="AG89" s="41">
        <f>N89/'1. Väestöennuste'!P89*1000</f>
        <v>-141.89192294733004</v>
      </c>
      <c r="AH89" s="41">
        <f>O89/'1. Väestöennuste'!Q89*1000</f>
        <v>-169.06730353873809</v>
      </c>
      <c r="AI89" s="41">
        <f>P89/'1. Väestöennuste'!R89*1000</f>
        <v>-71.971658993417321</v>
      </c>
    </row>
    <row r="90" spans="1:35" x14ac:dyDescent="0.2">
      <c r="A90" s="34">
        <v>233</v>
      </c>
      <c r="B90" s="88" t="s">
        <v>404</v>
      </c>
      <c r="C90" s="41" t="e">
        <f>Vuosikate!C90-'6. Poistot'!C90</f>
        <v>#REF!</v>
      </c>
      <c r="D90" s="41">
        <f>Vuosikate!D90-'6. Poistot'!D90</f>
        <v>380</v>
      </c>
      <c r="E90" s="41">
        <f>Vuosikate!E90-'6. Poistot'!E90</f>
        <v>2463</v>
      </c>
      <c r="F90" s="41">
        <f>Vuosikate!F90-'6. Poistot'!F90</f>
        <v>-5429</v>
      </c>
      <c r="G90" s="41">
        <f>Vuosikate!G90-'6. Poistot'!G90</f>
        <v>-8647</v>
      </c>
      <c r="H90" s="41">
        <f>Vuosikate!H90-'6. Poistot'!H90</f>
        <v>4091.245150105744</v>
      </c>
      <c r="I90" s="41">
        <f>Vuosikate!I90-'6. Poistot'!I90</f>
        <v>2439.0245534630731</v>
      </c>
      <c r="J90" s="41">
        <f>Vuosikate!J90-'6. Poistot'!J90</f>
        <v>1978.3811642669616</v>
      </c>
      <c r="K90" s="41">
        <f>Vuosikate!K90-'6. Poistot'!K90</f>
        <v>1689.0473788814106</v>
      </c>
      <c r="L90" s="41">
        <f>Vuosikate!L90-'6. Poistot'!L90</f>
        <v>579.4806366037119</v>
      </c>
      <c r="M90" s="41">
        <f>Vuosikate!M90-'6. Poistot'!M90</f>
        <v>-1405.3586347549062</v>
      </c>
      <c r="N90" s="41">
        <f>Vuosikate!N90-'6. Poistot'!N90</f>
        <v>17.722796423149703</v>
      </c>
      <c r="O90" s="41">
        <f>Vuosikate!O90-'6. Poistot'!O90</f>
        <v>-326.87774200759577</v>
      </c>
      <c r="P90" s="41">
        <f>Vuosikate!P90-'6. Poistot'!P90</f>
        <v>1845.5443804380639</v>
      </c>
      <c r="T90" s="34">
        <v>233</v>
      </c>
      <c r="U90" s="88" t="s">
        <v>404</v>
      </c>
      <c r="V90" s="41" t="e">
        <f>C90/'1. Väestöennuste'!E90*1000</f>
        <v>#REF!</v>
      </c>
      <c r="W90" s="41">
        <f>D90/'1. Väestöennuste'!F90*1000</f>
        <v>22.892945358154105</v>
      </c>
      <c r="X90" s="41">
        <f>E90/'1. Väestöennuste'!G90*1000</f>
        <v>151.30851455952822</v>
      </c>
      <c r="Y90" s="41">
        <f>F90/'1. Väestöennuste'!H90*1000</f>
        <v>-338.84658594432653</v>
      </c>
      <c r="Z90" s="41">
        <f>G90/'1. Väestöennuste'!I90*1000</f>
        <v>-549.85374538980034</v>
      </c>
      <c r="AA90" s="41">
        <f>H90/'1. Väestöennuste'!J90*1000</f>
        <v>263.71310752260825</v>
      </c>
      <c r="AB90" s="41">
        <f>I90/'1. Väestöennuste'!K90*1000</f>
        <v>159.28843739962596</v>
      </c>
      <c r="AC90" s="41">
        <f>J90/'1. Väestöennuste'!L90*1000</f>
        <v>130.87993941961906</v>
      </c>
      <c r="AD90" s="41">
        <f>K90/'1. Väestöennuste'!M90*1000</f>
        <v>111.37800058565186</v>
      </c>
      <c r="AE90" s="41">
        <f>L90/'1. Väestöennuste'!N90*1000</f>
        <v>39.649718549689489</v>
      </c>
      <c r="AF90" s="41">
        <f>M90/'1. Väestöennuste'!O90*1000</f>
        <v>-97.513088728483652</v>
      </c>
      <c r="AG90" s="41">
        <f>N90/'1. Väestöennuste'!P90*1000</f>
        <v>1.2467672474955824</v>
      </c>
      <c r="AH90" s="41">
        <f>O90/'1. Väestöennuste'!Q90*1000</f>
        <v>-23.305129189191199</v>
      </c>
      <c r="AI90" s="41">
        <f>P90/'1. Väestöennuste'!R90*1000</f>
        <v>133.32931515951913</v>
      </c>
    </row>
    <row r="91" spans="1:35" x14ac:dyDescent="0.2">
      <c r="A91" s="34">
        <v>235</v>
      </c>
      <c r="B91" s="88" t="s">
        <v>405</v>
      </c>
      <c r="C91" s="41" t="e">
        <f>Vuosikate!C91-'6. Poistot'!C91</f>
        <v>#REF!</v>
      </c>
      <c r="D91" s="41">
        <f>Vuosikate!D91-'6. Poistot'!D91</f>
        <v>7135</v>
      </c>
      <c r="E91" s="41">
        <f>Vuosikate!E91-'6. Poistot'!E91</f>
        <v>6197</v>
      </c>
      <c r="F91" s="41">
        <f>Vuosikate!F91-'6. Poistot'!F91</f>
        <v>3228</v>
      </c>
      <c r="G91" s="41">
        <f>Vuosikate!G91-'6. Poistot'!G91</f>
        <v>-1520</v>
      </c>
      <c r="H91" s="41">
        <f>Vuosikate!H91-'6. Poistot'!H91</f>
        <v>1815.3128009781576</v>
      </c>
      <c r="I91" s="41">
        <f>Vuosikate!I91-'6. Poistot'!I91</f>
        <v>-855.06005319356791</v>
      </c>
      <c r="J91" s="41">
        <f>Vuosikate!J91-'6. Poistot'!J91</f>
        <v>12210.919635745689</v>
      </c>
      <c r="K91" s="41">
        <f>Vuosikate!K91-'6. Poistot'!K91</f>
        <v>2672.2094847660719</v>
      </c>
      <c r="L91" s="41">
        <f>Vuosikate!L91-'6. Poistot'!L91</f>
        <v>-1323.6987308939388</v>
      </c>
      <c r="M91" s="41">
        <f>Vuosikate!M91-'6. Poistot'!M91</f>
        <v>-2357.3063940747015</v>
      </c>
      <c r="N91" s="41">
        <f>Vuosikate!N91-'6. Poistot'!N91</f>
        <v>-4189.2007793900411</v>
      </c>
      <c r="O91" s="41">
        <f>Vuosikate!O91-'6. Poistot'!O91</f>
        <v>-6105.3232243370703</v>
      </c>
      <c r="P91" s="41">
        <f>Vuosikate!P91-'6. Poistot'!P91</f>
        <v>-7432.4538496764699</v>
      </c>
      <c r="T91" s="34">
        <v>235</v>
      </c>
      <c r="U91" s="88" t="s">
        <v>405</v>
      </c>
      <c r="V91" s="41" t="e">
        <f>C91/'1. Väestöennuste'!E91*1000</f>
        <v>#REF!</v>
      </c>
      <c r="W91" s="41">
        <f>D91/'1. Väestöennuste'!F91*1000</f>
        <v>759.28487815260189</v>
      </c>
      <c r="X91" s="41">
        <f>E91/'1. Väestöennuste'!G91*1000</f>
        <v>643.91105569409808</v>
      </c>
      <c r="Y91" s="41">
        <f>F91/'1. Väestöennuste'!H91*1000</f>
        <v>335.72542901716071</v>
      </c>
      <c r="Z91" s="41">
        <f>G91/'1. Väestöennuste'!I91*1000</f>
        <v>-155.1495355721139</v>
      </c>
      <c r="AA91" s="41">
        <f>H91/'1. Väestöennuste'!J91*1000</f>
        <v>178.35653379624264</v>
      </c>
      <c r="AB91" s="41">
        <f>I91/'1. Väestöennuste'!K91*1000</f>
        <v>-82.24894701746517</v>
      </c>
      <c r="AC91" s="41">
        <f>J91/'1. Väestöennuste'!L91*1000</f>
        <v>1187.3706374704093</v>
      </c>
      <c r="AD91" s="41">
        <f>K91/'1. Väestöennuste'!M91*1000</f>
        <v>260.19566550789403</v>
      </c>
      <c r="AE91" s="41">
        <f>L91/'1. Väestöennuste'!N91*1000</f>
        <v>-123.95343486224729</v>
      </c>
      <c r="AF91" s="41">
        <f>M91/'1. Väestöennuste'!O91*1000</f>
        <v>-218.20849709105818</v>
      </c>
      <c r="AG91" s="41">
        <f>N91/'1. Väestöennuste'!P91*1000</f>
        <v>-383.48597394636039</v>
      </c>
      <c r="AH91" s="41">
        <f>O91/'1. Väestöennuste'!Q91*1000</f>
        <v>-553.11861064840286</v>
      </c>
      <c r="AI91" s="41">
        <f>P91/'1. Väestöennuste'!R91*1000</f>
        <v>-666.7671884521817</v>
      </c>
    </row>
    <row r="92" spans="1:35" x14ac:dyDescent="0.2">
      <c r="A92" s="34">
        <v>236</v>
      </c>
      <c r="B92" s="88" t="s">
        <v>406</v>
      </c>
      <c r="C92" s="41" t="e">
        <f>Vuosikate!C92-'6. Poistot'!C92</f>
        <v>#REF!</v>
      </c>
      <c r="D92" s="41">
        <f>Vuosikate!D92-'6. Poistot'!D92</f>
        <v>649</v>
      </c>
      <c r="E92" s="41">
        <f>Vuosikate!E92-'6. Poistot'!E92</f>
        <v>-213</v>
      </c>
      <c r="F92" s="41">
        <f>Vuosikate!F92-'6. Poistot'!F92</f>
        <v>-312</v>
      </c>
      <c r="G92" s="41">
        <f>Vuosikate!G92-'6. Poistot'!G92</f>
        <v>-1745</v>
      </c>
      <c r="H92" s="41">
        <f>Vuosikate!H92-'6. Poistot'!H92</f>
        <v>1866.3369044947758</v>
      </c>
      <c r="I92" s="41">
        <f>Vuosikate!I92-'6. Poistot'!I92</f>
        <v>896.01852966388878</v>
      </c>
      <c r="J92" s="41">
        <f>Vuosikate!J92-'6. Poistot'!J92</f>
        <v>2322.5921323158245</v>
      </c>
      <c r="K92" s="41">
        <f>Vuosikate!K92-'6. Poistot'!K92</f>
        <v>63.51858610107206</v>
      </c>
      <c r="L92" s="41">
        <f>Vuosikate!L92-'6. Poistot'!L92</f>
        <v>43.531591397624425</v>
      </c>
      <c r="M92" s="41">
        <f>Vuosikate!M92-'6. Poistot'!M92</f>
        <v>-815.1593886548344</v>
      </c>
      <c r="N92" s="41">
        <f>Vuosikate!N92-'6. Poistot'!N92</f>
        <v>-464.982594832014</v>
      </c>
      <c r="O92" s="41">
        <f>Vuosikate!O92-'6. Poistot'!O92</f>
        <v>-289.16109514163031</v>
      </c>
      <c r="P92" s="41">
        <f>Vuosikate!P92-'6. Poistot'!P92</f>
        <v>-50.67722002327605</v>
      </c>
      <c r="T92" s="34">
        <v>236</v>
      </c>
      <c r="U92" s="88" t="s">
        <v>406</v>
      </c>
      <c r="V92" s="41" t="e">
        <f>C92/'1. Väestöennuste'!E92*1000</f>
        <v>#REF!</v>
      </c>
      <c r="W92" s="41">
        <f>D92/'1. Väestöennuste'!F92*1000</f>
        <v>151.00046533271288</v>
      </c>
      <c r="X92" s="41">
        <f>E92/'1. Väestöennuste'!G92*1000</f>
        <v>-49.431422603852404</v>
      </c>
      <c r="Y92" s="41">
        <f>F92/'1. Väestöennuste'!H92*1000</f>
        <v>-73.016615960683353</v>
      </c>
      <c r="Z92" s="41">
        <f>G92/'1. Väestöennuste'!I92*1000</f>
        <v>-409.52827974653837</v>
      </c>
      <c r="AA92" s="41">
        <f>H92/'1. Väestöennuste'!J92*1000</f>
        <v>441.42310891550989</v>
      </c>
      <c r="AB92" s="41">
        <f>I92/'1. Väestöennuste'!K92*1000</f>
        <v>213.54111765106978</v>
      </c>
      <c r="AC92" s="41">
        <f>J92/'1. Väestöennuste'!L92*1000</f>
        <v>553.26158463931029</v>
      </c>
      <c r="AD92" s="41">
        <f>K92/'1. Väestöennuste'!M92*1000</f>
        <v>15.353779574830085</v>
      </c>
      <c r="AE92" s="41">
        <f>L92/'1. Väestöennuste'!N92*1000</f>
        <v>10.565920242141852</v>
      </c>
      <c r="AF92" s="41">
        <f>M92/'1. Väestöennuste'!O92*1000</f>
        <v>-199.35421586080568</v>
      </c>
      <c r="AG92" s="41">
        <f>N92/'1. Väestöennuste'!P92*1000</f>
        <v>-114.58417812518827</v>
      </c>
      <c r="AH92" s="41">
        <f>O92/'1. Väestöennuste'!Q92*1000</f>
        <v>-71.805586079371821</v>
      </c>
      <c r="AI92" s="41">
        <f>P92/'1. Väestöennuste'!R92*1000</f>
        <v>-12.681986992811826</v>
      </c>
    </row>
    <row r="93" spans="1:35" x14ac:dyDescent="0.2">
      <c r="A93" s="34">
        <v>239</v>
      </c>
      <c r="B93" s="88" t="s">
        <v>407</v>
      </c>
      <c r="C93" s="41" t="e">
        <f>Vuosikate!C93-'6. Poistot'!C93</f>
        <v>#REF!</v>
      </c>
      <c r="D93" s="41">
        <f>Vuosikate!D93-'6. Poistot'!D93</f>
        <v>43</v>
      </c>
      <c r="E93" s="41">
        <f>Vuosikate!E93-'6. Poistot'!E93</f>
        <v>-721</v>
      </c>
      <c r="F93" s="41">
        <f>Vuosikate!F93-'6. Poistot'!F93</f>
        <v>-511</v>
      </c>
      <c r="G93" s="41">
        <f>Vuosikate!G93-'6. Poistot'!G93</f>
        <v>637</v>
      </c>
      <c r="H93" s="41">
        <f>Vuosikate!H93-'6. Poistot'!H93</f>
        <v>601.66268472084994</v>
      </c>
      <c r="I93" s="41">
        <f>Vuosikate!I93-'6. Poistot'!I93</f>
        <v>634.82306367035085</v>
      </c>
      <c r="J93" s="41">
        <f>Vuosikate!J93-'6. Poistot'!J93</f>
        <v>456.02006631531526</v>
      </c>
      <c r="K93" s="41">
        <f>Vuosikate!K93-'6. Poistot'!K93</f>
        <v>-765.30838326990965</v>
      </c>
      <c r="L93" s="41">
        <f>Vuosikate!L93-'6. Poistot'!L93</f>
        <v>2795.0665514656921</v>
      </c>
      <c r="M93" s="41">
        <f>Vuosikate!M93-'6. Poistot'!M93</f>
        <v>1636.2930281549279</v>
      </c>
      <c r="N93" s="41">
        <f>Vuosikate!N93-'6. Poistot'!N93</f>
        <v>1407.9186896449492</v>
      </c>
      <c r="O93" s="41">
        <f>Vuosikate!O93-'6. Poistot'!O93</f>
        <v>1553.7816811945472</v>
      </c>
      <c r="P93" s="41">
        <f>Vuosikate!P93-'6. Poistot'!P93</f>
        <v>1592.6975612874121</v>
      </c>
      <c r="T93" s="34">
        <v>239</v>
      </c>
      <c r="U93" s="88" t="s">
        <v>407</v>
      </c>
      <c r="V93" s="41" t="e">
        <f>C93/'1. Väestöennuste'!E93*1000</f>
        <v>#REF!</v>
      </c>
      <c r="W93" s="41">
        <f>D93/'1. Väestöennuste'!F93*1000</f>
        <v>18.329070758738276</v>
      </c>
      <c r="X93" s="41">
        <f>E93/'1. Väestöennuste'!G93*1000</f>
        <v>-312.25638804677345</v>
      </c>
      <c r="Y93" s="41">
        <f>F93/'1. Väestöennuste'!H93*1000</f>
        <v>-227.71836007130125</v>
      </c>
      <c r="Z93" s="41">
        <f>G93/'1. Väestöennuste'!I93*1000</f>
        <v>289.28247048138059</v>
      </c>
      <c r="AA93" s="41">
        <f>H93/'1. Väestöennuste'!J93*1000</f>
        <v>279.19382121617167</v>
      </c>
      <c r="AB93" s="41">
        <f>I93/'1. Väestöennuste'!K93*1000</f>
        <v>303.01816881639661</v>
      </c>
      <c r="AC93" s="41">
        <f>J93/'1. Väestöennuste'!L93*1000</f>
        <v>224.75114160439392</v>
      </c>
      <c r="AD93" s="41">
        <f>K93/'1. Väestöennuste'!M93*1000</f>
        <v>-376.07291561174924</v>
      </c>
      <c r="AE93" s="41">
        <f>L93/'1. Väestöennuste'!N93*1000</f>
        <v>1394.0481553444847</v>
      </c>
      <c r="AF93" s="41">
        <f>M93/'1. Väestöennuste'!O93*1000</f>
        <v>830.18418475643216</v>
      </c>
      <c r="AG93" s="41">
        <f>N93/'1. Väestöennuste'!P93*1000</f>
        <v>724.61075123260377</v>
      </c>
      <c r="AH93" s="41">
        <f>O93/'1. Väestöennuste'!Q93*1000</f>
        <v>811.79816154365062</v>
      </c>
      <c r="AI93" s="41">
        <f>P93/'1. Väestöennuste'!R93*1000</f>
        <v>843.14322990334142</v>
      </c>
    </row>
    <row r="94" spans="1:35" x14ac:dyDescent="0.2">
      <c r="A94" s="34">
        <v>240</v>
      </c>
      <c r="B94" s="88" t="s">
        <v>408</v>
      </c>
      <c r="C94" s="41" t="e">
        <f>Vuosikate!C94-'6. Poistot'!C94</f>
        <v>#REF!</v>
      </c>
      <c r="D94" s="41">
        <f>Vuosikate!D94-'6. Poistot'!D94</f>
        <v>-1624</v>
      </c>
      <c r="E94" s="41">
        <f>Vuosikate!E94-'6. Poistot'!E94</f>
        <v>2626</v>
      </c>
      <c r="F94" s="41">
        <f>Vuosikate!F94-'6. Poistot'!F94</f>
        <v>-8571</v>
      </c>
      <c r="G94" s="41">
        <f>Vuosikate!G94-'6. Poistot'!G94</f>
        <v>-12957</v>
      </c>
      <c r="H94" s="41">
        <f>Vuosikate!H94-'6. Poistot'!H94</f>
        <v>1925.0637529057058</v>
      </c>
      <c r="I94" s="41">
        <f>Vuosikate!I94-'6. Poistot'!I94</f>
        <v>-6956.2920109372835</v>
      </c>
      <c r="J94" s="41">
        <f>Vuosikate!J94-'6. Poistot'!J94</f>
        <v>-4494.8994079577824</v>
      </c>
      <c r="K94" s="41">
        <f>Vuosikate!K94-'6. Poistot'!K94</f>
        <v>7599.2044978834228</v>
      </c>
      <c r="L94" s="41">
        <f>Vuosikate!L94-'6. Poistot'!L94</f>
        <v>3235.5463204818761</v>
      </c>
      <c r="M94" s="41">
        <f>Vuosikate!M94-'6. Poistot'!M94</f>
        <v>3142.445290283571</v>
      </c>
      <c r="N94" s="41">
        <f>Vuosikate!N94-'6. Poistot'!N94</f>
        <v>1062.0706672290244</v>
      </c>
      <c r="O94" s="41">
        <f>Vuosikate!O94-'6. Poistot'!O94</f>
        <v>2063.467442580778</v>
      </c>
      <c r="P94" s="41">
        <f>Vuosikate!P94-'6. Poistot'!P94</f>
        <v>4553.2662497025512</v>
      </c>
      <c r="T94" s="34">
        <v>240</v>
      </c>
      <c r="U94" s="88" t="s">
        <v>408</v>
      </c>
      <c r="V94" s="41" t="e">
        <f>C94/'1. Väestöennuste'!E94*1000</f>
        <v>#REF!</v>
      </c>
      <c r="W94" s="41">
        <f>D94/'1. Väestöennuste'!F94*1000</f>
        <v>-75.178224238496426</v>
      </c>
      <c r="X94" s="41">
        <f>E94/'1. Väestöennuste'!G94*1000</f>
        <v>123.54158825743319</v>
      </c>
      <c r="Y94" s="41">
        <f>F94/'1. Väestöennuste'!H94*1000</f>
        <v>-407.73512202083629</v>
      </c>
      <c r="Z94" s="41">
        <f>G94/'1. Väestöennuste'!I94*1000</f>
        <v>-625.73042932341718</v>
      </c>
      <c r="AA94" s="41">
        <f>H94/'1. Väestöennuste'!J94*1000</f>
        <v>94.195026320189157</v>
      </c>
      <c r="AB94" s="41">
        <f>I94/'1. Väestöennuste'!K94*1000</f>
        <v>-348.12791567096809</v>
      </c>
      <c r="AC94" s="41">
        <f>J94/'1. Väestöennuste'!L94*1000</f>
        <v>-230.5194834585252</v>
      </c>
      <c r="AD94" s="41">
        <f>K94/'1. Väestöennuste'!M94*1000</f>
        <v>392.29799689656818</v>
      </c>
      <c r="AE94" s="41">
        <f>L94/'1. Väestöennuste'!N94*1000</f>
        <v>167.2808561928382</v>
      </c>
      <c r="AF94" s="41">
        <f>M94/'1. Väestöennuste'!O94*1000</f>
        <v>164.57763120789625</v>
      </c>
      <c r="AG94" s="41">
        <f>N94/'1. Väestöennuste'!P94*1000</f>
        <v>56.328330269372813</v>
      </c>
      <c r="AH94" s="41">
        <f>O94/'1. Väestöennuste'!Q94*1000</f>
        <v>110.79614704578918</v>
      </c>
      <c r="AI94" s="41">
        <f>P94/'1. Väestöennuste'!R94*1000</f>
        <v>247.41978208458139</v>
      </c>
    </row>
    <row r="95" spans="1:35" x14ac:dyDescent="0.2">
      <c r="A95" s="34">
        <v>241</v>
      </c>
      <c r="B95" s="88" t="s">
        <v>409</v>
      </c>
      <c r="C95" s="41" t="e">
        <f>Vuosikate!C95-'6. Poistot'!C95</f>
        <v>#REF!</v>
      </c>
      <c r="D95" s="41">
        <f>Vuosikate!D95-'6. Poistot'!D95</f>
        <v>-70</v>
      </c>
      <c r="E95" s="41">
        <f>Vuosikate!E95-'6. Poistot'!E95</f>
        <v>573</v>
      </c>
      <c r="F95" s="41">
        <f>Vuosikate!F95-'6. Poistot'!F95</f>
        <v>-1734</v>
      </c>
      <c r="G95" s="41">
        <f>Vuosikate!G95-'6. Poistot'!G95</f>
        <v>-949</v>
      </c>
      <c r="H95" s="41">
        <f>Vuosikate!H95-'6. Poistot'!H95</f>
        <v>2799.984532433853</v>
      </c>
      <c r="I95" s="41">
        <f>Vuosikate!I95-'6. Poistot'!I95</f>
        <v>1078.0437516734878</v>
      </c>
      <c r="J95" s="41">
        <f>Vuosikate!J95-'6. Poistot'!J95</f>
        <v>37853.998555695747</v>
      </c>
      <c r="K95" s="41">
        <f>Vuosikate!K95-'6. Poistot'!K95</f>
        <v>3535.1343204724244</v>
      </c>
      <c r="L95" s="41">
        <f>Vuosikate!L95-'6. Poistot'!L95</f>
        <v>356.05395904522584</v>
      </c>
      <c r="M95" s="41">
        <f>Vuosikate!M95-'6. Poistot'!M95</f>
        <v>-442.88994140366799</v>
      </c>
      <c r="N95" s="41">
        <f>Vuosikate!N95-'6. Poistot'!N95</f>
        <v>-410.74052365265175</v>
      </c>
      <c r="O95" s="41">
        <f>Vuosikate!O95-'6. Poistot'!O95</f>
        <v>-396.00143909542726</v>
      </c>
      <c r="P95" s="41">
        <f>Vuosikate!P95-'6. Poistot'!P95</f>
        <v>573.42322685535441</v>
      </c>
      <c r="T95" s="34">
        <v>241</v>
      </c>
      <c r="U95" s="88" t="s">
        <v>409</v>
      </c>
      <c r="V95" s="41" t="e">
        <f>C95/'1. Väestöennuste'!E95*1000</f>
        <v>#REF!</v>
      </c>
      <c r="W95" s="41">
        <f>D95/'1. Väestöennuste'!F95*1000</f>
        <v>-8.4175084175084169</v>
      </c>
      <c r="X95" s="41">
        <f>E95/'1. Väestöennuste'!G95*1000</f>
        <v>69.069431051108964</v>
      </c>
      <c r="Y95" s="41">
        <f>F95/'1. Väestöennuste'!H95*1000</f>
        <v>-212.83908187062721</v>
      </c>
      <c r="Z95" s="41">
        <f>G95/'1. Väestöennuste'!I95*1000</f>
        <v>-117.46503280108925</v>
      </c>
      <c r="AA95" s="41">
        <f>H95/'1. Väestöennuste'!J95*1000</f>
        <v>350.69946548520204</v>
      </c>
      <c r="AB95" s="41">
        <f>I95/'1. Väestöennuste'!K95*1000</f>
        <v>136.39217505990484</v>
      </c>
      <c r="AC95" s="41">
        <f>J95/'1. Väestöennuste'!L95*1000</f>
        <v>4871.1875634661883</v>
      </c>
      <c r="AD95" s="41">
        <f>K95/'1. Väestöennuste'!M95*1000</f>
        <v>459.64560141365553</v>
      </c>
      <c r="AE95" s="41">
        <f>L95/'1. Väestöennuste'!N95*1000</f>
        <v>46.16882249030418</v>
      </c>
      <c r="AF95" s="41">
        <f>M95/'1. Väestöennuste'!O95*1000</f>
        <v>-57.931974022716545</v>
      </c>
      <c r="AG95" s="41">
        <f>N95/'1. Väestöennuste'!P95*1000</f>
        <v>-54.201705417346496</v>
      </c>
      <c r="AH95" s="41">
        <f>O95/'1. Väestöennuste'!Q95*1000</f>
        <v>-52.757985490997498</v>
      </c>
      <c r="AI95" s="41">
        <f>P95/'1. Väestöennuste'!R95*1000</f>
        <v>77.093738485527609</v>
      </c>
    </row>
    <row r="96" spans="1:35" x14ac:dyDescent="0.2">
      <c r="A96" s="34">
        <v>244</v>
      </c>
      <c r="B96" s="88" t="s">
        <v>410</v>
      </c>
      <c r="C96" s="41" t="e">
        <f>Vuosikate!C96-'6. Poistot'!C96</f>
        <v>#REF!</v>
      </c>
      <c r="D96" s="41">
        <f>Vuosikate!D96-'6. Poistot'!D96</f>
        <v>4542</v>
      </c>
      <c r="E96" s="41">
        <f>Vuosikate!E96-'6. Poistot'!E96</f>
        <v>1977</v>
      </c>
      <c r="F96" s="41">
        <f>Vuosikate!F96-'6. Poistot'!F96</f>
        <v>1474</v>
      </c>
      <c r="G96" s="41">
        <f>Vuosikate!G96-'6. Poistot'!G96</f>
        <v>-3540</v>
      </c>
      <c r="H96" s="41">
        <f>Vuosikate!H96-'6. Poistot'!H96</f>
        <v>314.17844796102872</v>
      </c>
      <c r="I96" s="41">
        <f>Vuosikate!I96-'6. Poistot'!I96</f>
        <v>-431.02664029701918</v>
      </c>
      <c r="J96" s="41">
        <f>Vuosikate!J96-'6. Poistot'!J96</f>
        <v>2993.5907867325286</v>
      </c>
      <c r="K96" s="41">
        <f>Vuosikate!K96-'6. Poistot'!K96</f>
        <v>1855.0214404095859</v>
      </c>
      <c r="L96" s="41">
        <f>Vuosikate!L96-'6. Poistot'!L96</f>
        <v>-2126.1048478648945</v>
      </c>
      <c r="M96" s="41">
        <f>Vuosikate!M96-'6. Poistot'!M96</f>
        <v>-3184.9786665930988</v>
      </c>
      <c r="N96" s="41">
        <f>Vuosikate!N96-'6. Poistot'!N96</f>
        <v>-4428.0755871978618</v>
      </c>
      <c r="O96" s="41">
        <f>Vuosikate!O96-'6. Poistot'!O96</f>
        <v>-4084.4185157395132</v>
      </c>
      <c r="P96" s="41">
        <f>Vuosikate!P96-'6. Poistot'!P96</f>
        <v>-5274.259628858048</v>
      </c>
      <c r="T96" s="34">
        <v>244</v>
      </c>
      <c r="U96" s="88" t="s">
        <v>410</v>
      </c>
      <c r="V96" s="41" t="e">
        <f>C96/'1. Väestöennuste'!E96*1000</f>
        <v>#REF!</v>
      </c>
      <c r="W96" s="41">
        <f>D96/'1. Väestöennuste'!F96*1000</f>
        <v>262.58888824651672</v>
      </c>
      <c r="X96" s="41">
        <f>E96/'1. Väestöennuste'!G96*1000</f>
        <v>112.74593669803251</v>
      </c>
      <c r="Y96" s="41">
        <f>F96/'1. Väestöennuste'!H96*1000</f>
        <v>82.240696312001347</v>
      </c>
      <c r="Z96" s="41">
        <f>G96/'1. Väestöennuste'!I96*1000</f>
        <v>-192.86298011441025</v>
      </c>
      <c r="AA96" s="41">
        <f>H96/'1. Väestöennuste'!J96*1000</f>
        <v>16.715175992819148</v>
      </c>
      <c r="AB96" s="41">
        <f>I96/'1. Väestöennuste'!K96*1000</f>
        <v>-22.547951469816866</v>
      </c>
      <c r="AC96" s="41">
        <f>J96/'1. Väestöennuste'!L96*1000</f>
        <v>155.10833091878388</v>
      </c>
      <c r="AD96" s="41">
        <f>K96/'1. Väestöennuste'!M96*1000</f>
        <v>95.0610556733415</v>
      </c>
      <c r="AE96" s="41">
        <f>L96/'1. Väestöennuste'!N96*1000</f>
        <v>-105.47724601205013</v>
      </c>
      <c r="AF96" s="41">
        <f>M96/'1. Väestöennuste'!O96*1000</f>
        <v>-155.79800746432025</v>
      </c>
      <c r="AG96" s="41">
        <f>N96/'1. Väestöennuste'!P96*1000</f>
        <v>-213.81340353442113</v>
      </c>
      <c r="AH96" s="41">
        <f>O96/'1. Väestöennuste'!Q96*1000</f>
        <v>-194.81152893921171</v>
      </c>
      <c r="AI96" s="41">
        <f>P96/'1. Väestöennuste'!R96*1000</f>
        <v>-248.75063098891891</v>
      </c>
    </row>
    <row r="97" spans="1:35" x14ac:dyDescent="0.2">
      <c r="A97" s="34">
        <v>245</v>
      </c>
      <c r="B97" s="88" t="s">
        <v>411</v>
      </c>
      <c r="C97" s="41" t="e">
        <f>Vuosikate!C97-'6. Poistot'!C97</f>
        <v>#REF!</v>
      </c>
      <c r="D97" s="41">
        <f>Vuosikate!D97-'6. Poistot'!D97</f>
        <v>14454</v>
      </c>
      <c r="E97" s="41">
        <f>Vuosikate!E97-'6. Poistot'!E97</f>
        <v>8807</v>
      </c>
      <c r="F97" s="41">
        <f>Vuosikate!F97-'6. Poistot'!F97</f>
        <v>-78</v>
      </c>
      <c r="G97" s="41">
        <f>Vuosikate!G97-'6. Poistot'!G97</f>
        <v>-12730</v>
      </c>
      <c r="H97" s="41">
        <f>Vuosikate!H97-'6. Poistot'!H97</f>
        <v>388.58205591496517</v>
      </c>
      <c r="I97" s="41">
        <f>Vuosikate!I97-'6. Poistot'!I97</f>
        <v>-5924.2012787623516</v>
      </c>
      <c r="J97" s="41">
        <f>Vuosikate!J97-'6. Poistot'!J97</f>
        <v>-12257.401399165481</v>
      </c>
      <c r="K97" s="41">
        <f>Vuosikate!K97-'6. Poistot'!K97</f>
        <v>7568.9991888095174</v>
      </c>
      <c r="L97" s="41">
        <f>Vuosikate!L97-'6. Poistot'!L97</f>
        <v>1821.7373451769236</v>
      </c>
      <c r="M97" s="41">
        <f>Vuosikate!M97-'6. Poistot'!M97</f>
        <v>-4706.8164482622997</v>
      </c>
      <c r="N97" s="41">
        <f>Vuosikate!N97-'6. Poistot'!N97</f>
        <v>-5316.7475871390216</v>
      </c>
      <c r="O97" s="41">
        <f>Vuosikate!O97-'6. Poistot'!O97</f>
        <v>-5696.5160232710932</v>
      </c>
      <c r="P97" s="41">
        <f>Vuosikate!P97-'6. Poistot'!P97</f>
        <v>-4205.0711381236069</v>
      </c>
      <c r="T97" s="34">
        <v>245</v>
      </c>
      <c r="U97" s="88" t="s">
        <v>411</v>
      </c>
      <c r="V97" s="41" t="e">
        <f>C97/'1. Väestöennuste'!E97*1000</f>
        <v>#REF!</v>
      </c>
      <c r="W97" s="41">
        <f>D97/'1. Väestöennuste'!F97*1000</f>
        <v>407.0288079749937</v>
      </c>
      <c r="X97" s="41">
        <f>E97/'1. Väestöennuste'!G97*1000</f>
        <v>247.70771221240929</v>
      </c>
      <c r="Y97" s="41">
        <f>F97/'1. Väestöennuste'!H97*1000</f>
        <v>-2.151486732498483</v>
      </c>
      <c r="Z97" s="41">
        <f>G97/'1. Väestöennuste'!I97*1000</f>
        <v>-346.33801284144084</v>
      </c>
      <c r="AA97" s="41">
        <f>H97/'1. Väestöennuste'!J97*1000</f>
        <v>10.47249847500243</v>
      </c>
      <c r="AB97" s="41">
        <f>I97/'1. Väestöennuste'!K97*1000</f>
        <v>-159.11584869903177</v>
      </c>
      <c r="AC97" s="41">
        <f>J97/'1. Väestöennuste'!L97*1000</f>
        <v>-325.33712175298547</v>
      </c>
      <c r="AD97" s="41">
        <f>K97/'1. Väestöennuste'!M97*1000</f>
        <v>198.08430003950477</v>
      </c>
      <c r="AE97" s="41">
        <f>L97/'1. Väestöennuste'!N97*1000</f>
        <v>47.19649071677825</v>
      </c>
      <c r="AF97" s="41">
        <f>M97/'1. Väestöennuste'!O97*1000</f>
        <v>-120.95121285525632</v>
      </c>
      <c r="AG97" s="41">
        <f>N97/'1. Väestöennuste'!P97*1000</f>
        <v>-135.56906489721612</v>
      </c>
      <c r="AH97" s="41">
        <f>O97/'1. Väestöennuste'!Q97*1000</f>
        <v>-144.21924664601872</v>
      </c>
      <c r="AI97" s="41">
        <f>P97/'1. Väestöennuste'!R97*1000</f>
        <v>-105.74272985449259</v>
      </c>
    </row>
    <row r="98" spans="1:35" x14ac:dyDescent="0.2">
      <c r="A98" s="34">
        <v>249</v>
      </c>
      <c r="B98" s="88" t="s">
        <v>412</v>
      </c>
      <c r="C98" s="41" t="e">
        <f>Vuosikate!C98-'6. Poistot'!C98</f>
        <v>#REF!</v>
      </c>
      <c r="D98" s="41">
        <f>Vuosikate!D98-'6. Poistot'!D98</f>
        <v>-1333</v>
      </c>
      <c r="E98" s="41">
        <f>Vuosikate!E98-'6. Poistot'!E98</f>
        <v>1857</v>
      </c>
      <c r="F98" s="41">
        <f>Vuosikate!F98-'6. Poistot'!F98</f>
        <v>125</v>
      </c>
      <c r="G98" s="41">
        <f>Vuosikate!G98-'6. Poistot'!G98</f>
        <v>-3150</v>
      </c>
      <c r="H98" s="41">
        <f>Vuosikate!H98-'6. Poistot'!H98</f>
        <v>2319.5217047125916</v>
      </c>
      <c r="I98" s="41">
        <f>Vuosikate!I98-'6. Poistot'!I98</f>
        <v>-1700.3570250585426</v>
      </c>
      <c r="J98" s="41">
        <f>Vuosikate!J98-'6. Poistot'!J98</f>
        <v>-1966.6408672009757</v>
      </c>
      <c r="K98" s="41">
        <f>Vuosikate!K98-'6. Poistot'!K98</f>
        <v>486.0472111579802</v>
      </c>
      <c r="L98" s="41">
        <f>Vuosikate!L98-'6. Poistot'!L98</f>
        <v>-108.04101908996927</v>
      </c>
      <c r="M98" s="41">
        <f>Vuosikate!M98-'6. Poistot'!M98</f>
        <v>-626.3591541299038</v>
      </c>
      <c r="N98" s="41">
        <f>Vuosikate!N98-'6. Poistot'!N98</f>
        <v>-170.84164876018622</v>
      </c>
      <c r="O98" s="41">
        <f>Vuosikate!O98-'6. Poistot'!O98</f>
        <v>-410.15132271786661</v>
      </c>
      <c r="P98" s="41">
        <f>Vuosikate!P98-'6. Poistot'!P98</f>
        <v>807.80491005091426</v>
      </c>
      <c r="T98" s="34">
        <v>249</v>
      </c>
      <c r="U98" s="88" t="s">
        <v>412</v>
      </c>
      <c r="V98" s="41" t="e">
        <f>C98/'1. Väestöennuste'!E98*1000</f>
        <v>#REF!</v>
      </c>
      <c r="W98" s="41">
        <f>D98/'1. Väestöennuste'!F98*1000</f>
        <v>-133.40672538030424</v>
      </c>
      <c r="X98" s="41">
        <f>E98/'1. Väestöennuste'!G98*1000</f>
        <v>187.21645327149912</v>
      </c>
      <c r="Y98" s="41">
        <f>F98/'1. Väestöennuste'!H98*1000</f>
        <v>12.804753124359763</v>
      </c>
      <c r="Z98" s="41">
        <f>G98/'1. Väestöennuste'!I98*1000</f>
        <v>-327.95419052576784</v>
      </c>
      <c r="AA98" s="41">
        <f>H98/'1. Väestöennuste'!J98*1000</f>
        <v>244.5205254809816</v>
      </c>
      <c r="AB98" s="41">
        <f>I98/'1. Väestöennuste'!K98*1000</f>
        <v>-180.06534205851347</v>
      </c>
      <c r="AC98" s="41">
        <f>J98/'1. Väestöennuste'!L98*1000</f>
        <v>-212.60982348118657</v>
      </c>
      <c r="AD98" s="41">
        <f>K98/'1. Väestöennuste'!M98*1000</f>
        <v>52.923259054658125</v>
      </c>
      <c r="AE98" s="41">
        <f>L98/'1. Väestöennuste'!N98*1000</f>
        <v>-12.024598674454008</v>
      </c>
      <c r="AF98" s="41">
        <f>M98/'1. Väestöennuste'!O98*1000</f>
        <v>-70.535940780394569</v>
      </c>
      <c r="AG98" s="41">
        <f>N98/'1. Väestöennuste'!P98*1000</f>
        <v>-19.466915309957407</v>
      </c>
      <c r="AH98" s="41">
        <f>O98/'1. Väestöennuste'!Q98*1000</f>
        <v>-47.257900992956174</v>
      </c>
      <c r="AI98" s="41">
        <f>P98/'1. Väestöennuste'!R98*1000</f>
        <v>94.116848427229911</v>
      </c>
    </row>
    <row r="99" spans="1:35" x14ac:dyDescent="0.2">
      <c r="A99" s="34">
        <v>250</v>
      </c>
      <c r="B99" s="88" t="s">
        <v>413</v>
      </c>
      <c r="C99" s="41" t="e">
        <f>Vuosikate!C99-'6. Poistot'!C99</f>
        <v>#REF!</v>
      </c>
      <c r="D99" s="41">
        <f>Vuosikate!D99-'6. Poistot'!D99</f>
        <v>-313</v>
      </c>
      <c r="E99" s="41">
        <f>Vuosikate!E99-'6. Poistot'!E99</f>
        <v>-195</v>
      </c>
      <c r="F99" s="41">
        <f>Vuosikate!F99-'6. Poistot'!F99</f>
        <v>70</v>
      </c>
      <c r="G99" s="41">
        <f>Vuosikate!G99-'6. Poistot'!G99</f>
        <v>-286</v>
      </c>
      <c r="H99" s="41">
        <f>Vuosikate!H99-'6. Poistot'!H99</f>
        <v>636.57892893337248</v>
      </c>
      <c r="I99" s="41">
        <f>Vuosikate!I99-'6. Poistot'!I99</f>
        <v>619.81634027254586</v>
      </c>
      <c r="J99" s="41">
        <f>Vuosikate!J99-'6. Poistot'!J99</f>
        <v>79.796389572728913</v>
      </c>
      <c r="K99" s="41">
        <f>Vuosikate!K99-'6. Poistot'!K99</f>
        <v>-545.76035780073028</v>
      </c>
      <c r="L99" s="41">
        <f>Vuosikate!L99-'6. Poistot'!L99</f>
        <v>-424.40457525639818</v>
      </c>
      <c r="M99" s="41">
        <f>Vuosikate!M99-'6. Poistot'!M99</f>
        <v>-1375.7773504149195</v>
      </c>
      <c r="N99" s="41">
        <f>Vuosikate!N99-'6. Poistot'!N99</f>
        <v>-1451.1095535775294</v>
      </c>
      <c r="O99" s="41">
        <f>Vuosikate!O99-'6. Poistot'!O99</f>
        <v>-1533.7174527052653</v>
      </c>
      <c r="P99" s="41">
        <f>Vuosikate!P99-'6. Poistot'!P99</f>
        <v>-1395.1758882434915</v>
      </c>
      <c r="T99" s="34">
        <v>250</v>
      </c>
      <c r="U99" s="88" t="s">
        <v>413</v>
      </c>
      <c r="V99" s="41" t="e">
        <f>C99/'1. Väestöennuste'!E99*1000</f>
        <v>#REF!</v>
      </c>
      <c r="W99" s="41">
        <f>D99/'1. Väestöennuste'!F99*1000</f>
        <v>-156.97091273821465</v>
      </c>
      <c r="X99" s="41">
        <f>E99/'1. Väestöennuste'!G99*1000</f>
        <v>-99.135739705134725</v>
      </c>
      <c r="Y99" s="41">
        <f>F99/'1. Väestöennuste'!H99*1000</f>
        <v>36.64921465968586</v>
      </c>
      <c r="Z99" s="41">
        <f>G99/'1. Väestöennuste'!I99*1000</f>
        <v>-153.35120643431634</v>
      </c>
      <c r="AA99" s="41">
        <f>H99/'1. Väestöennuste'!J99*1000</f>
        <v>349.38470303697721</v>
      </c>
      <c r="AB99" s="41">
        <f>I99/'1. Väestöennuste'!K99*1000</f>
        <v>342.81877227463821</v>
      </c>
      <c r="AC99" s="41">
        <f>J99/'1. Väestöennuste'!L99*1000</f>
        <v>45.057249899903397</v>
      </c>
      <c r="AD99" s="41">
        <f>K99/'1. Väestöennuste'!M99*1000</f>
        <v>-312.04137095524885</v>
      </c>
      <c r="AE99" s="41">
        <f>L99/'1. Väestöennuste'!N99*1000</f>
        <v>-254.13447620143603</v>
      </c>
      <c r="AF99" s="41">
        <f>M99/'1. Väestöennuste'!O99*1000</f>
        <v>-839.9129123412207</v>
      </c>
      <c r="AG99" s="41">
        <f>N99/'1. Väestöennuste'!P99*1000</f>
        <v>-902.99287714843149</v>
      </c>
      <c r="AH99" s="41">
        <f>O99/'1. Väestöennuste'!Q99*1000</f>
        <v>-971.93754924288032</v>
      </c>
      <c r="AI99" s="41">
        <f>P99/'1. Väestöennuste'!R99*1000</f>
        <v>-901.85900985358217</v>
      </c>
    </row>
    <row r="100" spans="1:35" x14ac:dyDescent="0.2">
      <c r="A100" s="34">
        <v>256</v>
      </c>
      <c r="B100" s="88" t="s">
        <v>414</v>
      </c>
      <c r="C100" s="41" t="e">
        <f>Vuosikate!C100-'6. Poistot'!C100</f>
        <v>#REF!</v>
      </c>
      <c r="D100" s="41">
        <f>Vuosikate!D100-'6. Poistot'!D100</f>
        <v>193</v>
      </c>
      <c r="E100" s="41">
        <f>Vuosikate!E100-'6. Poistot'!E100</f>
        <v>478</v>
      </c>
      <c r="F100" s="41">
        <f>Vuosikate!F100-'6. Poistot'!F100</f>
        <v>-1070</v>
      </c>
      <c r="G100" s="41">
        <f>Vuosikate!G100-'6. Poistot'!G100</f>
        <v>-1171</v>
      </c>
      <c r="H100" s="41">
        <f>Vuosikate!H100-'6. Poistot'!H100</f>
        <v>-387.39215123963913</v>
      </c>
      <c r="I100" s="41">
        <f>Vuosikate!I100-'6. Poistot'!I100</f>
        <v>583.84171841478303</v>
      </c>
      <c r="J100" s="41">
        <f>Vuosikate!J100-'6. Poistot'!J100</f>
        <v>-322.01174576792903</v>
      </c>
      <c r="K100" s="41">
        <f>Vuosikate!K100-'6. Poistot'!K100</f>
        <v>-802.817596895615</v>
      </c>
      <c r="L100" s="41">
        <f>Vuosikate!L100-'6. Poistot'!L100</f>
        <v>-73.662019415949089</v>
      </c>
      <c r="M100" s="41">
        <f>Vuosikate!M100-'6. Poistot'!M100</f>
        <v>-1001.545452766406</v>
      </c>
      <c r="N100" s="41">
        <f>Vuosikate!N100-'6. Poistot'!N100</f>
        <v>-1120.7076246847814</v>
      </c>
      <c r="O100" s="41">
        <f>Vuosikate!O100-'6. Poistot'!O100</f>
        <v>-1143.8704350383973</v>
      </c>
      <c r="P100" s="41">
        <f>Vuosikate!P100-'6. Poistot'!P100</f>
        <v>-1027.4293710674015</v>
      </c>
      <c r="T100" s="34">
        <v>256</v>
      </c>
      <c r="U100" s="88" t="s">
        <v>414</v>
      </c>
      <c r="V100" s="41" t="e">
        <f>C100/'1. Väestöennuste'!E100*1000</f>
        <v>#REF!</v>
      </c>
      <c r="W100" s="41">
        <f>D100/'1. Väestöennuste'!F100*1000</f>
        <v>113.59623307828134</v>
      </c>
      <c r="X100" s="41">
        <f>E100/'1. Väestöennuste'!G100*1000</f>
        <v>288.64734299516908</v>
      </c>
      <c r="Y100" s="41">
        <f>F100/'1. Väestöennuste'!H100*1000</f>
        <v>-662.5386996904025</v>
      </c>
      <c r="Z100" s="41">
        <f>G100/'1. Väestöennuste'!I100*1000</f>
        <v>-722.83950617283949</v>
      </c>
      <c r="AA100" s="41">
        <f>H100/'1. Väestöennuste'!J100*1000</f>
        <v>-242.57492250447035</v>
      </c>
      <c r="AB100" s="41">
        <f>I100/'1. Väestöennuste'!K100*1000</f>
        <v>369.28634940846496</v>
      </c>
      <c r="AC100" s="41">
        <f>J100/'1. Väestöennuste'!L100*1000</f>
        <v>-207.21476561642797</v>
      </c>
      <c r="AD100" s="41">
        <f>K100/'1. Väestöennuste'!M100*1000</f>
        <v>-527.12908528930723</v>
      </c>
      <c r="AE100" s="41">
        <f>L100/'1. Väestöennuste'!N100*1000</f>
        <v>-49.239317791409817</v>
      </c>
      <c r="AF100" s="41">
        <f>M100/'1. Väestöennuste'!O100*1000</f>
        <v>-679.47452697856579</v>
      </c>
      <c r="AG100" s="41">
        <f>N100/'1. Väestöennuste'!P100*1000</f>
        <v>-772.9018101274354</v>
      </c>
      <c r="AH100" s="41">
        <f>O100/'1. Väestöennuste'!Q100*1000</f>
        <v>-801.02971641344345</v>
      </c>
      <c r="AI100" s="41">
        <f>P100/'1. Väestöennuste'!R100*1000</f>
        <v>-729.19046917487685</v>
      </c>
    </row>
    <row r="101" spans="1:35" x14ac:dyDescent="0.2">
      <c r="A101" s="34">
        <v>257</v>
      </c>
      <c r="B101" s="88" t="s">
        <v>415</v>
      </c>
      <c r="C101" s="41" t="e">
        <f>Vuosikate!C101-'6. Poistot'!C101</f>
        <v>#REF!</v>
      </c>
      <c r="D101" s="41">
        <f>Vuosikate!D101-'6. Poistot'!D101</f>
        <v>3548</v>
      </c>
      <c r="E101" s="41">
        <f>Vuosikate!E101-'6. Poistot'!E101</f>
        <v>1699</v>
      </c>
      <c r="F101" s="41">
        <f>Vuosikate!F101-'6. Poistot'!F101</f>
        <v>-4188</v>
      </c>
      <c r="G101" s="41">
        <f>Vuosikate!G101-'6. Poistot'!G101</f>
        <v>-20247</v>
      </c>
      <c r="H101" s="41">
        <f>Vuosikate!H101-'6. Poistot'!H101</f>
        <v>7144.1386811856064</v>
      </c>
      <c r="I101" s="41">
        <f>Vuosikate!I101-'6. Poistot'!I101</f>
        <v>504.31047255263547</v>
      </c>
      <c r="J101" s="41">
        <f>Vuosikate!J101-'6. Poistot'!J101</f>
        <v>18715.287580106771</v>
      </c>
      <c r="K101" s="41">
        <f>Vuosikate!K101-'6. Poistot'!K101</f>
        <v>23635.711030698629</v>
      </c>
      <c r="L101" s="41">
        <f>Vuosikate!L101-'6. Poistot'!L101</f>
        <v>7352.521170676504</v>
      </c>
      <c r="M101" s="41">
        <f>Vuosikate!M101-'6. Poistot'!M101</f>
        <v>7716.1521691105881</v>
      </c>
      <c r="N101" s="41">
        <f>Vuosikate!N101-'6. Poistot'!N101</f>
        <v>3145.3105871632397</v>
      </c>
      <c r="O101" s="41">
        <f>Vuosikate!O101-'6. Poistot'!O101</f>
        <v>2528.3037011595916</v>
      </c>
      <c r="P101" s="41">
        <f>Vuosikate!P101-'6. Poistot'!P101</f>
        <v>3483.5254309783959</v>
      </c>
      <c r="T101" s="34">
        <v>257</v>
      </c>
      <c r="U101" s="88" t="s">
        <v>415</v>
      </c>
      <c r="V101" s="41" t="e">
        <f>C101/'1. Väestöennuste'!E101*1000</f>
        <v>#REF!</v>
      </c>
      <c r="W101" s="41">
        <f>D101/'1. Väestöennuste'!F101*1000</f>
        <v>90.897445751031171</v>
      </c>
      <c r="X101" s="41">
        <f>E101/'1. Väestöennuste'!G101*1000</f>
        <v>43.37503191217769</v>
      </c>
      <c r="Y101" s="41">
        <f>F101/'1. Väestöennuste'!H101*1000</f>
        <v>-106.66802506240131</v>
      </c>
      <c r="Z101" s="41">
        <f>G101/'1. Väestöennuste'!I101*1000</f>
        <v>-511.46870105592888</v>
      </c>
      <c r="AA101" s="41">
        <f>H101/'1. Väestöennuste'!J101*1000</f>
        <v>178.23807896775625</v>
      </c>
      <c r="AB101" s="41">
        <f>I101/'1. Väestöennuste'!K101*1000</f>
        <v>12.472744356160449</v>
      </c>
      <c r="AC101" s="41">
        <f>J101/'1. Väestöennuste'!L101*1000</f>
        <v>459.58665046183319</v>
      </c>
      <c r="AD101" s="41">
        <f>K101/'1. Väestöennuste'!M101*1000</f>
        <v>574.32354159252156</v>
      </c>
      <c r="AE101" s="41">
        <f>L101/'1. Väestöennuste'!N101*1000</f>
        <v>177.32728385974252</v>
      </c>
      <c r="AF101" s="41">
        <f>M101/'1. Väestöennuste'!O101*1000</f>
        <v>184.76933428583101</v>
      </c>
      <c r="AG101" s="41">
        <f>N101/'1. Väestöennuste'!P101*1000</f>
        <v>74.815313317077141</v>
      </c>
      <c r="AH101" s="41">
        <f>O101/'1. Väestöennuste'!Q101*1000</f>
        <v>59.763708808878185</v>
      </c>
      <c r="AI101" s="41">
        <f>P101/'1. Väestöennuste'!R101*1000</f>
        <v>81.847828551453119</v>
      </c>
    </row>
    <row r="102" spans="1:35" x14ac:dyDescent="0.2">
      <c r="A102" s="34">
        <v>260</v>
      </c>
      <c r="B102" s="88" t="s">
        <v>416</v>
      </c>
      <c r="C102" s="41" t="e">
        <f>Vuosikate!C102-'6. Poistot'!C102</f>
        <v>#REF!</v>
      </c>
      <c r="D102" s="41">
        <f>Vuosikate!D102-'6. Poistot'!D102</f>
        <v>6075</v>
      </c>
      <c r="E102" s="41">
        <f>Vuosikate!E102-'6. Poistot'!E102</f>
        <v>5922</v>
      </c>
      <c r="F102" s="41">
        <f>Vuosikate!F102-'6. Poistot'!F102</f>
        <v>2726</v>
      </c>
      <c r="G102" s="41">
        <f>Vuosikate!G102-'6. Poistot'!G102</f>
        <v>1152</v>
      </c>
      <c r="H102" s="41">
        <f>Vuosikate!H102-'6. Poistot'!H102</f>
        <v>3896.6066954614871</v>
      </c>
      <c r="I102" s="41">
        <f>Vuosikate!I102-'6. Poistot'!I102</f>
        <v>2797.5740045661305</v>
      </c>
      <c r="J102" s="41">
        <f>Vuosikate!J102-'6. Poistot'!J102</f>
        <v>1696.6554049692227</v>
      </c>
      <c r="K102" s="41">
        <f>Vuosikate!K102-'6. Poistot'!K102</f>
        <v>6301.1484990918107</v>
      </c>
      <c r="L102" s="41">
        <f>Vuosikate!L102-'6. Poistot'!L102</f>
        <v>1295.3388537738583</v>
      </c>
      <c r="M102" s="41">
        <f>Vuosikate!M102-'6. Poistot'!M102</f>
        <v>1619.871199895194</v>
      </c>
      <c r="N102" s="41">
        <f>Vuosikate!N102-'6. Poistot'!N102</f>
        <v>1576.8837581540602</v>
      </c>
      <c r="O102" s="41">
        <f>Vuosikate!O102-'6. Poistot'!O102</f>
        <v>1374.5354102874894</v>
      </c>
      <c r="P102" s="41">
        <f>Vuosikate!P102-'6. Poistot'!P102</f>
        <v>3109.8144333611144</v>
      </c>
      <c r="T102" s="34">
        <v>260</v>
      </c>
      <c r="U102" s="88" t="s">
        <v>416</v>
      </c>
      <c r="V102" s="41" t="e">
        <f>C102/'1. Väestöennuste'!E102*1000</f>
        <v>#REF!</v>
      </c>
      <c r="W102" s="41">
        <f>D102/'1. Väestöennuste'!F102*1000</f>
        <v>566.75062972292187</v>
      </c>
      <c r="X102" s="41">
        <f>E102/'1. Väestöennuste'!G102*1000</f>
        <v>564.75300400534047</v>
      </c>
      <c r="Y102" s="41">
        <f>F102/'1. Väestöennuste'!H102*1000</f>
        <v>263.17821973353927</v>
      </c>
      <c r="Z102" s="41">
        <f>G102/'1. Väestöennuste'!I102*1000</f>
        <v>113.65430149960537</v>
      </c>
      <c r="AA102" s="41">
        <f>H102/'1. Väestöennuste'!J102*1000</f>
        <v>392.28900588558213</v>
      </c>
      <c r="AB102" s="41">
        <f>I102/'1. Väestöennuste'!K102*1000</f>
        <v>283.2412680536732</v>
      </c>
      <c r="AC102" s="41">
        <f>J102/'1. Väestöennuste'!L102*1000</f>
        <v>174.42740875595996</v>
      </c>
      <c r="AD102" s="41">
        <f>K102/'1. Väestöennuste'!M102*1000</f>
        <v>650.3404375159264</v>
      </c>
      <c r="AE102" s="41">
        <f>L102/'1. Väestöennuste'!N102*1000</f>
        <v>140.15785044079834</v>
      </c>
      <c r="AF102" s="41">
        <f>M102/'1. Väestöennuste'!O102*1000</f>
        <v>178.16445225420082</v>
      </c>
      <c r="AG102" s="41">
        <f>N102/'1. Väestöennuste'!P102*1000</f>
        <v>176.22750985181719</v>
      </c>
      <c r="AH102" s="41">
        <f>O102/'1. Väestöennuste'!Q102*1000</f>
        <v>155.96680021417103</v>
      </c>
      <c r="AI102" s="41">
        <f>P102/'1. Väestöennuste'!R102*1000</f>
        <v>358.10852526037706</v>
      </c>
    </row>
    <row r="103" spans="1:35" x14ac:dyDescent="0.2">
      <c r="A103" s="34">
        <v>261</v>
      </c>
      <c r="B103" s="88" t="s">
        <v>417</v>
      </c>
      <c r="C103" s="41" t="e">
        <f>Vuosikate!C103-'6. Poistot'!C103</f>
        <v>#REF!</v>
      </c>
      <c r="D103" s="41">
        <f>Vuosikate!D103-'6. Poistot'!D103</f>
        <v>4510</v>
      </c>
      <c r="E103" s="41">
        <f>Vuosikate!E103-'6. Poistot'!E103</f>
        <v>3726</v>
      </c>
      <c r="F103" s="41">
        <f>Vuosikate!F103-'6. Poistot'!F103</f>
        <v>1525</v>
      </c>
      <c r="G103" s="41">
        <f>Vuosikate!G103-'6. Poistot'!G103</f>
        <v>3376</v>
      </c>
      <c r="H103" s="41">
        <f>Vuosikate!H103-'6. Poistot'!H103</f>
        <v>5640.4184455986724</v>
      </c>
      <c r="I103" s="41">
        <f>Vuosikate!I103-'6. Poistot'!I103</f>
        <v>8858.3605850163713</v>
      </c>
      <c r="J103" s="41">
        <f>Vuosikate!J103-'6. Poistot'!J103</f>
        <v>8702.9280749427689</v>
      </c>
      <c r="K103" s="41">
        <f>Vuosikate!K103-'6. Poistot'!K103</f>
        <v>11426.629647340338</v>
      </c>
      <c r="L103" s="41">
        <f>Vuosikate!L103-'6. Poistot'!L103</f>
        <v>8267.7586285118487</v>
      </c>
      <c r="M103" s="41">
        <f>Vuosikate!M103-'6. Poistot'!M103</f>
        <v>6950.6033909526413</v>
      </c>
      <c r="N103" s="41">
        <f>Vuosikate!N103-'6. Poistot'!N103</f>
        <v>6320.043433602551</v>
      </c>
      <c r="O103" s="41">
        <f>Vuosikate!O103-'6. Poistot'!O103</f>
        <v>6815.2356471528401</v>
      </c>
      <c r="P103" s="41">
        <f>Vuosikate!P103-'6. Poistot'!P103</f>
        <v>7330.2541206637206</v>
      </c>
      <c r="T103" s="34">
        <v>261</v>
      </c>
      <c r="U103" s="88" t="s">
        <v>417</v>
      </c>
      <c r="V103" s="41" t="e">
        <f>C103/'1. Väestöennuste'!E103*1000</f>
        <v>#REF!</v>
      </c>
      <c r="W103" s="41">
        <f>D103/'1. Väestöennuste'!F103*1000</f>
        <v>706.5643114522951</v>
      </c>
      <c r="X103" s="41">
        <f>E103/'1. Väestöennuste'!G103*1000</f>
        <v>580.28344494627004</v>
      </c>
      <c r="Y103" s="41">
        <f>F103/'1. Väestöennuste'!H103*1000</f>
        <v>236.94841516469859</v>
      </c>
      <c r="Z103" s="41">
        <f>G103/'1. Väestöennuste'!I103*1000</f>
        <v>523.16751898341852</v>
      </c>
      <c r="AA103" s="41">
        <f>H103/'1. Väestöennuste'!J103*1000</f>
        <v>876.38571249202494</v>
      </c>
      <c r="AB103" s="41">
        <f>I103/'1. Väestöennuste'!K103*1000</f>
        <v>1358.0194059506932</v>
      </c>
      <c r="AC103" s="41">
        <f>J103/'1. Väestöennuste'!L103*1000</f>
        <v>1311.274382242394</v>
      </c>
      <c r="AD103" s="41">
        <f>K103/'1. Väestöennuste'!M103*1000</f>
        <v>1674.9676996980854</v>
      </c>
      <c r="AE103" s="41">
        <f>L103/'1. Väestöennuste'!N103*1000</f>
        <v>1290.82882568491</v>
      </c>
      <c r="AF103" s="41">
        <f>M103/'1. Väestöennuste'!O103*1000</f>
        <v>1087.2209277260506</v>
      </c>
      <c r="AG103" s="41">
        <f>N103/'1. Väestöennuste'!P103*1000</f>
        <v>990.75771023711411</v>
      </c>
      <c r="AH103" s="41">
        <f>O103/'1. Väestöennuste'!Q103*1000</f>
        <v>1070.7361582329677</v>
      </c>
      <c r="AI103" s="41">
        <f>P103/'1. Väestöennuste'!R103*1000</f>
        <v>1153.8256132006486</v>
      </c>
    </row>
    <row r="104" spans="1:35" x14ac:dyDescent="0.2">
      <c r="A104" s="34">
        <v>263</v>
      </c>
      <c r="B104" s="88" t="s">
        <v>418</v>
      </c>
      <c r="C104" s="41" t="e">
        <f>Vuosikate!C104-'6. Poistot'!C104</f>
        <v>#REF!</v>
      </c>
      <c r="D104" s="41">
        <f>Vuosikate!D104-'6. Poistot'!D104</f>
        <v>-760</v>
      </c>
      <c r="E104" s="41">
        <f>Vuosikate!E104-'6. Poistot'!E104</f>
        <v>287</v>
      </c>
      <c r="F104" s="41">
        <f>Vuosikate!F104-'6. Poistot'!F104</f>
        <v>-1090</v>
      </c>
      <c r="G104" s="41">
        <f>Vuosikate!G104-'6. Poistot'!G104</f>
        <v>-3280</v>
      </c>
      <c r="H104" s="41">
        <f>Vuosikate!H104-'6. Poistot'!H104</f>
        <v>4208.1303291700096</v>
      </c>
      <c r="I104" s="41">
        <f>Vuosikate!I104-'6. Poistot'!I104</f>
        <v>3609.8119878515486</v>
      </c>
      <c r="J104" s="41">
        <f>Vuosikate!J104-'6. Poistot'!J104</f>
        <v>1822.9653238687197</v>
      </c>
      <c r="K104" s="41">
        <f>Vuosikate!K104-'6. Poistot'!K104</f>
        <v>487.76192544479954</v>
      </c>
      <c r="L104" s="41">
        <f>Vuosikate!L104-'6. Poistot'!L104</f>
        <v>390.8403444441974</v>
      </c>
      <c r="M104" s="41">
        <f>Vuosikate!M104-'6. Poistot'!M104</f>
        <v>-1601.03099281909</v>
      </c>
      <c r="N104" s="41">
        <f>Vuosikate!N104-'6. Poistot'!N104</f>
        <v>-1481.0613645504013</v>
      </c>
      <c r="O104" s="41">
        <f>Vuosikate!O104-'6. Poistot'!O104</f>
        <v>-1669.4341798850351</v>
      </c>
      <c r="P104" s="41">
        <f>Vuosikate!P104-'6. Poistot'!P104</f>
        <v>-509.58053471410312</v>
      </c>
      <c r="T104" s="34">
        <v>263</v>
      </c>
      <c r="U104" s="88" t="s">
        <v>418</v>
      </c>
      <c r="V104" s="41" t="e">
        <f>C104/'1. Väestöennuste'!E104*1000</f>
        <v>#REF!</v>
      </c>
      <c r="W104" s="41">
        <f>D104/'1. Väestöennuste'!F104*1000</f>
        <v>-90.004737091425866</v>
      </c>
      <c r="X104" s="41">
        <f>E104/'1. Väestöennuste'!G104*1000</f>
        <v>34.64928166123385</v>
      </c>
      <c r="Y104" s="41">
        <f>F104/'1. Väestöennuste'!H104*1000</f>
        <v>-133.6931190972648</v>
      </c>
      <c r="Z104" s="41">
        <f>G104/'1. Väestöennuste'!I104*1000</f>
        <v>-410.10252563140784</v>
      </c>
      <c r="AA104" s="41">
        <f>H104/'1. Väestöennuste'!J104*1000</f>
        <v>535.79454152915844</v>
      </c>
      <c r="AB104" s="41">
        <f>I104/'1. Väestöennuste'!K104*1000</f>
        <v>465.24191105188152</v>
      </c>
      <c r="AC104" s="41">
        <f>J104/'1. Väestöennuste'!L104*1000</f>
        <v>239.95857889544817</v>
      </c>
      <c r="AD104" s="41">
        <f>K104/'1. Väestöennuste'!M104*1000</f>
        <v>65.252431497632045</v>
      </c>
      <c r="AE104" s="41">
        <f>L104/'1. Väestöennuste'!N104*1000</f>
        <v>53.313373952284465</v>
      </c>
      <c r="AF104" s="41">
        <f>M104/'1. Väestöennuste'!O104*1000</f>
        <v>-221.90311750784338</v>
      </c>
      <c r="AG104" s="41">
        <f>N104/'1. Väestöennuste'!P104*1000</f>
        <v>-208.54144812030432</v>
      </c>
      <c r="AH104" s="41">
        <f>O104/'1. Väestöennuste'!Q104*1000</f>
        <v>-238.69519300615315</v>
      </c>
      <c r="AI104" s="41">
        <f>P104/'1. Väestöennuste'!R104*1000</f>
        <v>-73.948706242069832</v>
      </c>
    </row>
    <row r="105" spans="1:35" x14ac:dyDescent="0.2">
      <c r="A105" s="34">
        <v>265</v>
      </c>
      <c r="B105" s="88" t="s">
        <v>419</v>
      </c>
      <c r="C105" s="41" t="e">
        <f>Vuosikate!C105-'6. Poistot'!C105</f>
        <v>#REF!</v>
      </c>
      <c r="D105" s="41">
        <f>Vuosikate!D105-'6. Poistot'!D105</f>
        <v>-635</v>
      </c>
      <c r="E105" s="41">
        <f>Vuosikate!E105-'6. Poistot'!E105</f>
        <v>-108</v>
      </c>
      <c r="F105" s="41">
        <f>Vuosikate!F105-'6. Poistot'!F105</f>
        <v>-738</v>
      </c>
      <c r="G105" s="41">
        <f>Vuosikate!G105-'6. Poistot'!G105</f>
        <v>-2300</v>
      </c>
      <c r="H105" s="41">
        <f>Vuosikate!H105-'6. Poistot'!H105</f>
        <v>763.83875757795613</v>
      </c>
      <c r="I105" s="41">
        <f>Vuosikate!I105-'6. Poistot'!I105</f>
        <v>1133.5425958060059</v>
      </c>
      <c r="J105" s="41">
        <f>Vuosikate!J105-'6. Poistot'!J105</f>
        <v>1418.7567447221902</v>
      </c>
      <c r="K105" s="41">
        <f>Vuosikate!K105-'6. Poistot'!K105</f>
        <v>653.86887294961309</v>
      </c>
      <c r="L105" s="41">
        <f>Vuosikate!L105-'6. Poistot'!L105</f>
        <v>514.79558102353428</v>
      </c>
      <c r="M105" s="41">
        <f>Vuosikate!M105-'6. Poistot'!M105</f>
        <v>644.82282933269175</v>
      </c>
      <c r="N105" s="41">
        <f>Vuosikate!N105-'6. Poistot'!N105</f>
        <v>1035.784637019098</v>
      </c>
      <c r="O105" s="41">
        <f>Vuosikate!O105-'6. Poistot'!O105</f>
        <v>981.00584370551053</v>
      </c>
      <c r="P105" s="41">
        <f>Vuosikate!P105-'6. Poistot'!P105</f>
        <v>1093.2417161055571</v>
      </c>
      <c r="T105" s="34">
        <v>265</v>
      </c>
      <c r="U105" s="88" t="s">
        <v>419</v>
      </c>
      <c r="V105" s="41" t="e">
        <f>C105/'1. Väestöennuste'!E105*1000</f>
        <v>#REF!</v>
      </c>
      <c r="W105" s="41">
        <f>D105/'1. Väestöennuste'!F105*1000</f>
        <v>-546.94229112833762</v>
      </c>
      <c r="X105" s="41">
        <f>E105/'1. Väestöennuste'!G105*1000</f>
        <v>-95.406360424028264</v>
      </c>
      <c r="Y105" s="41">
        <f>F105/'1. Väestöennuste'!H105*1000</f>
        <v>-669.08431550317312</v>
      </c>
      <c r="Z105" s="41">
        <f>G105/'1. Väestöennuste'!I105*1000</f>
        <v>-2098.5401459854015</v>
      </c>
      <c r="AA105" s="41">
        <f>H105/'1. Väestöennuste'!J105*1000</f>
        <v>690.00791109119791</v>
      </c>
      <c r="AB105" s="41">
        <f>I105/'1. Väestöennuste'!K105*1000</f>
        <v>1041.8590034981671</v>
      </c>
      <c r="AC105" s="41">
        <f>J105/'1. Väestöennuste'!L105*1000</f>
        <v>1333.4179931599533</v>
      </c>
      <c r="AD105" s="41">
        <f>K105/'1. Väestöennuste'!M105*1000</f>
        <v>631.75736516870825</v>
      </c>
      <c r="AE105" s="41">
        <f>L105/'1. Väestöennuste'!N105*1000</f>
        <v>491.6863238047128</v>
      </c>
      <c r="AF105" s="41">
        <f>M105/'1. Väestöennuste'!O105*1000</f>
        <v>624.82832299679433</v>
      </c>
      <c r="AG105" s="41">
        <f>N105/'1. Väestöennuste'!P105*1000</f>
        <v>1018.4706362036362</v>
      </c>
      <c r="AH105" s="41">
        <f>O105/'1. Väestöennuste'!Q105*1000</f>
        <v>978.07162881905344</v>
      </c>
      <c r="AI105" s="41">
        <f>P105/'1. Väestöennuste'!R105*1000</f>
        <v>1105.4011285192692</v>
      </c>
    </row>
    <row r="106" spans="1:35" x14ac:dyDescent="0.2">
      <c r="A106" s="34">
        <v>271</v>
      </c>
      <c r="B106" s="88" t="s">
        <v>420</v>
      </c>
      <c r="C106" s="41" t="e">
        <f>Vuosikate!C106-'6. Poistot'!C106</f>
        <v>#REF!</v>
      </c>
      <c r="D106" s="41">
        <f>Vuosikate!D106-'6. Poistot'!D106</f>
        <v>336</v>
      </c>
      <c r="E106" s="41">
        <f>Vuosikate!E106-'6. Poistot'!E106</f>
        <v>620</v>
      </c>
      <c r="F106" s="41">
        <f>Vuosikate!F106-'6. Poistot'!F106</f>
        <v>196</v>
      </c>
      <c r="G106" s="41">
        <f>Vuosikate!G106-'6. Poistot'!G106</f>
        <v>-1231</v>
      </c>
      <c r="H106" s="41">
        <f>Vuosikate!H106-'6. Poistot'!H106</f>
        <v>3750.5780597239609</v>
      </c>
      <c r="I106" s="41">
        <f>Vuosikate!I106-'6. Poistot'!I106</f>
        <v>876.98574652617754</v>
      </c>
      <c r="J106" s="41">
        <f>Vuosikate!J106-'6. Poistot'!J106</f>
        <v>419.53163994196029</v>
      </c>
      <c r="K106" s="41">
        <f>Vuosikate!K106-'6. Poistot'!K106</f>
        <v>1845.8646952185572</v>
      </c>
      <c r="L106" s="41">
        <f>Vuosikate!L106-'6. Poistot'!L106</f>
        <v>-528.59834130603531</v>
      </c>
      <c r="M106" s="41">
        <f>Vuosikate!M106-'6. Poistot'!M106</f>
        <v>-1507.7230919082576</v>
      </c>
      <c r="N106" s="41">
        <f>Vuosikate!N106-'6. Poistot'!N106</f>
        <v>-1599.8965911486398</v>
      </c>
      <c r="O106" s="41">
        <f>Vuosikate!O106-'6. Poistot'!O106</f>
        <v>-1409.3616991123097</v>
      </c>
      <c r="P106" s="41">
        <f>Vuosikate!P106-'6. Poistot'!P106</f>
        <v>-615.62471596432442</v>
      </c>
      <c r="T106" s="34">
        <v>271</v>
      </c>
      <c r="U106" s="88" t="s">
        <v>420</v>
      </c>
      <c r="V106" s="41" t="e">
        <f>C106/'1. Väestöennuste'!E106*1000</f>
        <v>#REF!</v>
      </c>
      <c r="W106" s="41">
        <f>D106/'1. Väestöennuste'!F106*1000</f>
        <v>44.811949853294209</v>
      </c>
      <c r="X106" s="41">
        <f>E106/'1. Väestöennuste'!G106*1000</f>
        <v>83.999458068012473</v>
      </c>
      <c r="Y106" s="41">
        <f>F106/'1. Väestöennuste'!H106*1000</f>
        <v>27.124273456960974</v>
      </c>
      <c r="Z106" s="41">
        <f>G106/'1. Väestöennuste'!I106*1000</f>
        <v>-173.30705335773615</v>
      </c>
      <c r="AA106" s="41">
        <f>H106/'1. Väestöennuste'!J106*1000</f>
        <v>534.80365887978905</v>
      </c>
      <c r="AB106" s="41">
        <f>I106/'1. Väestöennuste'!K106*1000</f>
        <v>126.16684599714826</v>
      </c>
      <c r="AC106" s="41">
        <f>J106/'1. Väestöennuste'!L106*1000</f>
        <v>60.775262920753342</v>
      </c>
      <c r="AD106" s="41">
        <f>K106/'1. Väestöennuste'!M106*1000</f>
        <v>272.81476429479119</v>
      </c>
      <c r="AE106" s="41">
        <f>L106/'1. Väestöennuste'!N106*1000</f>
        <v>-79.680184097985432</v>
      </c>
      <c r="AF106" s="41">
        <f>M106/'1. Väestöennuste'!O106*1000</f>
        <v>-230.18673158904696</v>
      </c>
      <c r="AG106" s="41">
        <f>N106/'1. Väestöennuste'!P106*1000</f>
        <v>-247.16462090972342</v>
      </c>
      <c r="AH106" s="41">
        <f>O106/'1. Väestöennuste'!Q106*1000</f>
        <v>-220.14397049551854</v>
      </c>
      <c r="AI106" s="41">
        <f>P106/'1. Väestöennuste'!R106*1000</f>
        <v>-97.193671607881981</v>
      </c>
    </row>
    <row r="107" spans="1:35" x14ac:dyDescent="0.2">
      <c r="A107" s="34">
        <v>272</v>
      </c>
      <c r="B107" s="88" t="s">
        <v>421</v>
      </c>
      <c r="C107" s="41" t="e">
        <f>Vuosikate!C107-'6. Poistot'!C107</f>
        <v>#REF!</v>
      </c>
      <c r="D107" s="41">
        <f>Vuosikate!D107-'6. Poistot'!D107</f>
        <v>-5134</v>
      </c>
      <c r="E107" s="41">
        <f>Vuosikate!E107-'6. Poistot'!E107</f>
        <v>2963</v>
      </c>
      <c r="F107" s="41">
        <f>Vuosikate!F107-'6. Poistot'!F107</f>
        <v>-3709</v>
      </c>
      <c r="G107" s="41">
        <f>Vuosikate!G107-'6. Poistot'!G107</f>
        <v>-3244</v>
      </c>
      <c r="H107" s="41">
        <f>Vuosikate!H107-'6. Poistot'!H107</f>
        <v>14955.647559847726</v>
      </c>
      <c r="I107" s="41">
        <f>Vuosikate!I107-'6. Poistot'!I107</f>
        <v>6627.6748594955225</v>
      </c>
      <c r="J107" s="41">
        <f>Vuosikate!J107-'6. Poistot'!J107</f>
        <v>8837.7715871103719</v>
      </c>
      <c r="K107" s="41">
        <f>Vuosikate!K107-'6. Poistot'!K107</f>
        <v>8356.0252620335777</v>
      </c>
      <c r="L107" s="41">
        <f>Vuosikate!L107-'6. Poistot'!L107</f>
        <v>-2656.3209105515107</v>
      </c>
      <c r="M107" s="41">
        <f>Vuosikate!M107-'6. Poistot'!M107</f>
        <v>-7758.0128359472474</v>
      </c>
      <c r="N107" s="41">
        <f>Vuosikate!N107-'6. Poistot'!N107</f>
        <v>-5035.3802176983954</v>
      </c>
      <c r="O107" s="41">
        <f>Vuosikate!O107-'6. Poistot'!O107</f>
        <v>-3829.2691475562624</v>
      </c>
      <c r="P107" s="41">
        <f>Vuosikate!P107-'6. Poistot'!P107</f>
        <v>-160.14547077640236</v>
      </c>
      <c r="T107" s="34">
        <v>272</v>
      </c>
      <c r="U107" s="88" t="s">
        <v>421</v>
      </c>
      <c r="V107" s="41" t="e">
        <f>C107/'1. Väestöennuste'!E107*1000</f>
        <v>#REF!</v>
      </c>
      <c r="W107" s="41">
        <f>D107/'1. Väestöennuste'!F107*1000</f>
        <v>-107.57915470527837</v>
      </c>
      <c r="X107" s="41">
        <f>E107/'1. Väestöennuste'!G107*1000</f>
        <v>62.08746306812229</v>
      </c>
      <c r="Y107" s="41">
        <f>F107/'1. Väestöennuste'!H107*1000</f>
        <v>-77.826971903392987</v>
      </c>
      <c r="Z107" s="41">
        <f>G107/'1. Väestöennuste'!I107*1000</f>
        <v>-68.035485832931357</v>
      </c>
      <c r="AA107" s="41">
        <f>H107/'1. Väestöennuste'!J107*1000</f>
        <v>313.0630402714504</v>
      </c>
      <c r="AB107" s="41">
        <f>I107/'1. Väestöennuste'!K107*1000</f>
        <v>138.33882693221571</v>
      </c>
      <c r="AC107" s="41">
        <f>J107/'1. Väestöennuste'!L107*1000</f>
        <v>184.09722924447718</v>
      </c>
      <c r="AD107" s="41">
        <f>K107/'1. Väestöennuste'!M107*1000</f>
        <v>173.02050444214885</v>
      </c>
      <c r="AE107" s="41">
        <f>L107/'1. Väestöennuste'!N107*1000</f>
        <v>-55.471764410297595</v>
      </c>
      <c r="AF107" s="41">
        <f>M107/'1. Väestöennuste'!O107*1000</f>
        <v>-162.05742053699964</v>
      </c>
      <c r="AG107" s="41">
        <f>N107/'1. Väestöennuste'!P107*1000</f>
        <v>-105.24800321255765</v>
      </c>
      <c r="AH107" s="41">
        <f>O107/'1. Väestöennuste'!Q107*1000</f>
        <v>-80.105205689104494</v>
      </c>
      <c r="AI107" s="41">
        <f>P107/'1. Väestöennuste'!R107*1000</f>
        <v>-3.3539723292368762</v>
      </c>
    </row>
    <row r="108" spans="1:35" x14ac:dyDescent="0.2">
      <c r="A108" s="34">
        <v>273</v>
      </c>
      <c r="B108" s="88" t="s">
        <v>422</v>
      </c>
      <c r="C108" s="41" t="e">
        <f>Vuosikate!C108-'6. Poistot'!C108</f>
        <v>#REF!</v>
      </c>
      <c r="D108" s="41">
        <f>Vuosikate!D108-'6. Poistot'!D108</f>
        <v>1750</v>
      </c>
      <c r="E108" s="41">
        <f>Vuosikate!E108-'6. Poistot'!E108</f>
        <v>2482</v>
      </c>
      <c r="F108" s="41">
        <f>Vuosikate!F108-'6. Poistot'!F108</f>
        <v>1149</v>
      </c>
      <c r="G108" s="41">
        <f>Vuosikate!G108-'6. Poistot'!G108</f>
        <v>1092</v>
      </c>
      <c r="H108" s="41">
        <f>Vuosikate!H108-'6. Poistot'!H108</f>
        <v>1073.2505391636259</v>
      </c>
      <c r="I108" s="41">
        <f>Vuosikate!I108-'6. Poistot'!I108</f>
        <v>485.98360701587353</v>
      </c>
      <c r="J108" s="41">
        <f>Vuosikate!J108-'6. Poistot'!J108</f>
        <v>1700.9002844489146</v>
      </c>
      <c r="K108" s="41">
        <f>Vuosikate!K108-'6. Poistot'!K108</f>
        <v>2655.3552868798934</v>
      </c>
      <c r="L108" s="41">
        <f>Vuosikate!L108-'6. Poistot'!L108</f>
        <v>1983.0013312314932</v>
      </c>
      <c r="M108" s="41">
        <f>Vuosikate!M108-'6. Poistot'!M108</f>
        <v>1293.042818930182</v>
      </c>
      <c r="N108" s="41">
        <f>Vuosikate!N108-'6. Poistot'!N108</f>
        <v>1082.7944796982156</v>
      </c>
      <c r="O108" s="41">
        <f>Vuosikate!O108-'6. Poistot'!O108</f>
        <v>887.92313435931692</v>
      </c>
      <c r="P108" s="41">
        <f>Vuosikate!P108-'6. Poistot'!P108</f>
        <v>1147.6976815028684</v>
      </c>
      <c r="T108" s="34">
        <v>273</v>
      </c>
      <c r="U108" s="88" t="s">
        <v>422</v>
      </c>
      <c r="V108" s="41" t="e">
        <f>C108/'1. Väestöennuste'!E108*1000</f>
        <v>#REF!</v>
      </c>
      <c r="W108" s="41">
        <f>D108/'1. Väestöennuste'!F108*1000</f>
        <v>457.27724065847923</v>
      </c>
      <c r="X108" s="41">
        <f>E108/'1. Väestöennuste'!G108*1000</f>
        <v>644.0062272963155</v>
      </c>
      <c r="Y108" s="41">
        <f>F108/'1. Väestöennuste'!H108*1000</f>
        <v>299.6870109546166</v>
      </c>
      <c r="Z108" s="41">
        <f>G108/'1. Väestöennuste'!I108*1000</f>
        <v>283.93135725429022</v>
      </c>
      <c r="AA108" s="41">
        <f>H108/'1. Väestöennuste'!J108*1000</f>
        <v>273.43962781238878</v>
      </c>
      <c r="AB108" s="41">
        <f>I108/'1. Väestöennuste'!K108*1000</f>
        <v>121.83093683025157</v>
      </c>
      <c r="AC108" s="41">
        <f>J108/'1. Väestöennuste'!L108*1000</f>
        <v>425.33140396321943</v>
      </c>
      <c r="AD108" s="41">
        <f>K108/'1. Väestöennuste'!M108*1000</f>
        <v>662.01827147342135</v>
      </c>
      <c r="AE108" s="41">
        <f>L108/'1. Väestöennuste'!N108*1000</f>
        <v>499.74831936277548</v>
      </c>
      <c r="AF108" s="41">
        <f>M108/'1. Väestöennuste'!O108*1000</f>
        <v>325.37564643436889</v>
      </c>
      <c r="AG108" s="41">
        <f>N108/'1. Väestöennuste'!P108*1000</f>
        <v>272.19569625395064</v>
      </c>
      <c r="AH108" s="41">
        <f>O108/'1. Väestöennuste'!Q108*1000</f>
        <v>223.26455477981315</v>
      </c>
      <c r="AI108" s="41">
        <f>P108/'1. Väestöennuste'!R108*1000</f>
        <v>288.58377709400764</v>
      </c>
    </row>
    <row r="109" spans="1:35" x14ac:dyDescent="0.2">
      <c r="A109" s="34">
        <v>275</v>
      </c>
      <c r="B109" s="88" t="s">
        <v>423</v>
      </c>
      <c r="C109" s="41" t="e">
        <f>Vuosikate!C109-'6. Poistot'!C109</f>
        <v>#REF!</v>
      </c>
      <c r="D109" s="41">
        <f>Vuosikate!D109-'6. Poistot'!D109</f>
        <v>-291</v>
      </c>
      <c r="E109" s="41">
        <f>Vuosikate!E109-'6. Poistot'!E109</f>
        <v>-1458</v>
      </c>
      <c r="F109" s="41">
        <f>Vuosikate!F109-'6. Poistot'!F109</f>
        <v>-1394</v>
      </c>
      <c r="G109" s="41">
        <f>Vuosikate!G109-'6. Poistot'!G109</f>
        <v>-5549</v>
      </c>
      <c r="H109" s="41">
        <f>Vuosikate!H109-'6. Poistot'!H109</f>
        <v>1146.855847511295</v>
      </c>
      <c r="I109" s="41">
        <f>Vuosikate!I109-'6. Poistot'!I109</f>
        <v>2122.2191172482644</v>
      </c>
      <c r="J109" s="41">
        <f>Vuosikate!J109-'6. Poistot'!J109</f>
        <v>376.70363525932385</v>
      </c>
      <c r="K109" s="41">
        <f>Vuosikate!K109-'6. Poistot'!K109</f>
        <v>719.01724396243742</v>
      </c>
      <c r="L109" s="41">
        <f>Vuosikate!L109-'6. Poistot'!L109</f>
        <v>418.80244262264591</v>
      </c>
      <c r="M109" s="41">
        <f>Vuosikate!M109-'6. Poistot'!M109</f>
        <v>414.52461668895285</v>
      </c>
      <c r="N109" s="41">
        <f>Vuosikate!N109-'6. Poistot'!N109</f>
        <v>-30.827215375181822</v>
      </c>
      <c r="O109" s="41">
        <f>Vuosikate!O109-'6. Poistot'!O109</f>
        <v>-201.36045980118774</v>
      </c>
      <c r="P109" s="41">
        <f>Vuosikate!P109-'6. Poistot'!P109</f>
        <v>-53.51079617400967</v>
      </c>
      <c r="T109" s="34">
        <v>275</v>
      </c>
      <c r="U109" s="88" t="s">
        <v>423</v>
      </c>
      <c r="V109" s="41" t="e">
        <f>C109/'1. Väestöennuste'!E109*1000</f>
        <v>#REF!</v>
      </c>
      <c r="W109" s="41">
        <f>D109/'1. Väestöennuste'!F109*1000</f>
        <v>-105.70286959680348</v>
      </c>
      <c r="X109" s="41">
        <f>E109/'1. Väestöennuste'!G109*1000</f>
        <v>-530.56768558951956</v>
      </c>
      <c r="Y109" s="41">
        <f>F109/'1. Väestöennuste'!H109*1000</f>
        <v>-516.67902149740553</v>
      </c>
      <c r="Z109" s="41">
        <f>G109/'1. Väestöennuste'!I109*1000</f>
        <v>-2112.2953939855347</v>
      </c>
      <c r="AA109" s="41">
        <f>H109/'1. Väestöennuste'!J109*1000</f>
        <v>442.28918145441384</v>
      </c>
      <c r="AB109" s="41">
        <f>I109/'1. Väestöennuste'!K109*1000</f>
        <v>820.65704456622757</v>
      </c>
      <c r="AC109" s="41">
        <f>J109/'1. Väestöennuste'!L109*1000</f>
        <v>149.42627340710982</v>
      </c>
      <c r="AD109" s="41">
        <f>K109/'1. Väestöennuste'!M109*1000</f>
        <v>287.72198637952681</v>
      </c>
      <c r="AE109" s="41">
        <f>L109/'1. Väestöennuste'!N109*1000</f>
        <v>170.93977249903915</v>
      </c>
      <c r="AF109" s="41">
        <f>M109/'1. Väestöennuste'!O109*1000</f>
        <v>171.36197465438315</v>
      </c>
      <c r="AG109" s="41">
        <f>N109/'1. Väestöennuste'!P109*1000</f>
        <v>-12.898416474971473</v>
      </c>
      <c r="AH109" s="41">
        <f>O109/'1. Väestöennuste'!Q109*1000</f>
        <v>-85.322228729316848</v>
      </c>
      <c r="AI109" s="41">
        <f>P109/'1. Väestöennuste'!R109*1000</f>
        <v>-22.956154514804663</v>
      </c>
    </row>
    <row r="110" spans="1:35" x14ac:dyDescent="0.2">
      <c r="A110" s="34">
        <v>276</v>
      </c>
      <c r="B110" s="88" t="s">
        <v>424</v>
      </c>
      <c r="C110" s="41" t="e">
        <f>Vuosikate!C110-'6. Poistot'!C110</f>
        <v>#REF!</v>
      </c>
      <c r="D110" s="41">
        <f>Vuosikate!D110-'6. Poistot'!D110</f>
        <v>3275</v>
      </c>
      <c r="E110" s="41">
        <f>Vuosikate!E110-'6. Poistot'!E110</f>
        <v>1069</v>
      </c>
      <c r="F110" s="41">
        <f>Vuosikate!F110-'6. Poistot'!F110</f>
        <v>-3739</v>
      </c>
      <c r="G110" s="41">
        <f>Vuosikate!G110-'6. Poistot'!G110</f>
        <v>40</v>
      </c>
      <c r="H110" s="41">
        <f>Vuosikate!H110-'6. Poistot'!H110</f>
        <v>5893.942550972708</v>
      </c>
      <c r="I110" s="41">
        <f>Vuosikate!I110-'6. Poistot'!I110</f>
        <v>-209.04609100135804</v>
      </c>
      <c r="J110" s="41">
        <f>Vuosikate!J110-'6. Poistot'!J110</f>
        <v>-14.310546099890416</v>
      </c>
      <c r="K110" s="41">
        <f>Vuosikate!K110-'6. Poistot'!K110</f>
        <v>1400.0740119683305</v>
      </c>
      <c r="L110" s="41">
        <f>Vuosikate!L110-'6. Poistot'!L110</f>
        <v>-1560.034552751571</v>
      </c>
      <c r="M110" s="41">
        <f>Vuosikate!M110-'6. Poistot'!M110</f>
        <v>-4615.273679747479</v>
      </c>
      <c r="N110" s="41">
        <f>Vuosikate!N110-'6. Poistot'!N110</f>
        <v>-4504.0309210399973</v>
      </c>
      <c r="O110" s="41">
        <f>Vuosikate!O110-'6. Poistot'!O110</f>
        <v>-4402.7976466264845</v>
      </c>
      <c r="P110" s="41">
        <f>Vuosikate!P110-'6. Poistot'!P110</f>
        <v>-3689.380067425167</v>
      </c>
      <c r="T110" s="34">
        <v>276</v>
      </c>
      <c r="U110" s="88" t="s">
        <v>424</v>
      </c>
      <c r="V110" s="41" t="e">
        <f>C110/'1. Väestöennuste'!E110*1000</f>
        <v>#REF!</v>
      </c>
      <c r="W110" s="41">
        <f>D110/'1. Väestöennuste'!F110*1000</f>
        <v>221.19411049574498</v>
      </c>
      <c r="X110" s="41">
        <f>E110/'1. Väestöennuste'!G110*1000</f>
        <v>72.08361429534726</v>
      </c>
      <c r="Y110" s="41">
        <f>F110/'1. Väestöennuste'!H110*1000</f>
        <v>-251.80146811233078</v>
      </c>
      <c r="Z110" s="41">
        <f>G110/'1. Väestöennuste'!I110*1000</f>
        <v>2.6988732204304702</v>
      </c>
      <c r="AA110" s="41">
        <f>H110/'1. Väestöennuste'!J110*1000</f>
        <v>396.71148623360756</v>
      </c>
      <c r="AB110" s="41">
        <f>I110/'1. Väestöennuste'!K110*1000</f>
        <v>-13.903963485291522</v>
      </c>
      <c r="AC110" s="41">
        <f>J110/'1. Väestöennuste'!L110*1000</f>
        <v>-0.9441542587510996</v>
      </c>
      <c r="AD110" s="41">
        <f>K110/'1. Väestöennuste'!M110*1000</f>
        <v>92.499604384799838</v>
      </c>
      <c r="AE110" s="41">
        <f>L110/'1. Väestöennuste'!N110*1000</f>
        <v>-104.35711771700923</v>
      </c>
      <c r="AF110" s="41">
        <f>M110/'1. Väestöennuste'!O110*1000</f>
        <v>-308.79657966997718</v>
      </c>
      <c r="AG110" s="41">
        <f>N110/'1. Väestöennuste'!P110*1000</f>
        <v>-301.63614526118386</v>
      </c>
      <c r="AH110" s="41">
        <f>O110/'1. Väestöennuste'!Q110*1000</f>
        <v>-295.27178905683621</v>
      </c>
      <c r="AI110" s="41">
        <f>P110/'1. Väestöennuste'!R110*1000</f>
        <v>-247.90888774527394</v>
      </c>
    </row>
    <row r="111" spans="1:35" x14ac:dyDescent="0.2">
      <c r="A111" s="34">
        <v>280</v>
      </c>
      <c r="B111" s="88" t="s">
        <v>425</v>
      </c>
      <c r="C111" s="41" t="e">
        <f>Vuosikate!C111-'6. Poistot'!C111</f>
        <v>#REF!</v>
      </c>
      <c r="D111" s="41">
        <f>Vuosikate!D111-'6. Poistot'!D111</f>
        <v>983</v>
      </c>
      <c r="E111" s="41">
        <f>Vuosikate!E111-'6. Poistot'!E111</f>
        <v>532</v>
      </c>
      <c r="F111" s="41">
        <f>Vuosikate!F111-'6. Poistot'!F111</f>
        <v>-534</v>
      </c>
      <c r="G111" s="41">
        <f>Vuosikate!G111-'6. Poistot'!G111</f>
        <v>-682</v>
      </c>
      <c r="H111" s="41">
        <f>Vuosikate!H111-'6. Poistot'!H111</f>
        <v>-826.781236984727</v>
      </c>
      <c r="I111" s="41">
        <f>Vuosikate!I111-'6. Poistot'!I111</f>
        <v>-411.92314540558186</v>
      </c>
      <c r="J111" s="41">
        <f>Vuosikate!J111-'6. Poistot'!J111</f>
        <v>215.40828003307274</v>
      </c>
      <c r="K111" s="41">
        <f>Vuosikate!K111-'6. Poistot'!K111</f>
        <v>828.26767476004909</v>
      </c>
      <c r="L111" s="41">
        <f>Vuosikate!L111-'6. Poistot'!L111</f>
        <v>415.42901325975708</v>
      </c>
      <c r="M111" s="41">
        <f>Vuosikate!M111-'6. Poistot'!M111</f>
        <v>278.09204966293282</v>
      </c>
      <c r="N111" s="41">
        <f>Vuosikate!N111-'6. Poistot'!N111</f>
        <v>407.33170697039395</v>
      </c>
      <c r="O111" s="41">
        <f>Vuosikate!O111-'6. Poistot'!O111</f>
        <v>173.96546387212015</v>
      </c>
      <c r="P111" s="41">
        <f>Vuosikate!P111-'6. Poistot'!P111</f>
        <v>202.36749503110127</v>
      </c>
      <c r="T111" s="34">
        <v>280</v>
      </c>
      <c r="U111" s="88" t="s">
        <v>425</v>
      </c>
      <c r="V111" s="41" t="e">
        <f>C111/'1. Väestöennuste'!E111*1000</f>
        <v>#REF!</v>
      </c>
      <c r="W111" s="41">
        <f>D111/'1. Väestöennuste'!F111*1000</f>
        <v>452.78673422385998</v>
      </c>
      <c r="X111" s="41">
        <f>E111/'1. Väestöennuste'!G111*1000</f>
        <v>246.98235840297122</v>
      </c>
      <c r="Y111" s="41">
        <f>F111/'1. Väestöennuste'!H111*1000</f>
        <v>-251.64938737040526</v>
      </c>
      <c r="Z111" s="41">
        <f>G111/'1. Väestöennuste'!I111*1000</f>
        <v>-328.35820895522386</v>
      </c>
      <c r="AA111" s="41">
        <f>H111/'1. Väestöennuste'!J111*1000</f>
        <v>-399.79750337752756</v>
      </c>
      <c r="AB111" s="41">
        <f>I111/'1. Väestöennuste'!K111*1000</f>
        <v>-200.93811971003993</v>
      </c>
      <c r="AC111" s="41">
        <f>J111/'1. Väestöennuste'!L111*1000</f>
        <v>106.42701582661697</v>
      </c>
      <c r="AD111" s="41">
        <f>K111/'1. Väestöennuste'!M111*1000</f>
        <v>411.05095521590522</v>
      </c>
      <c r="AE111" s="41">
        <f>L111/'1. Väestöennuste'!N111*1000</f>
        <v>206.16824479392412</v>
      </c>
      <c r="AF111" s="41">
        <f>M111/'1. Väestöennuste'!O111*1000</f>
        <v>138.69927663986675</v>
      </c>
      <c r="AG111" s="41">
        <f>N111/'1. Väestöennuste'!P111*1000</f>
        <v>204.17629422074884</v>
      </c>
      <c r="AH111" s="41">
        <f>O111/'1. Väestöennuste'!Q111*1000</f>
        <v>87.772686111059613</v>
      </c>
      <c r="AI111" s="41">
        <f>P111/'1. Väestöennuste'!R111*1000</f>
        <v>102.67249874738776</v>
      </c>
    </row>
    <row r="112" spans="1:35" x14ac:dyDescent="0.2">
      <c r="A112" s="34">
        <v>284</v>
      </c>
      <c r="B112" s="88" t="s">
        <v>426</v>
      </c>
      <c r="C112" s="41" t="e">
        <f>Vuosikate!C112-'6. Poistot'!C112</f>
        <v>#REF!</v>
      </c>
      <c r="D112" s="41">
        <f>Vuosikate!D112-'6. Poistot'!D112</f>
        <v>207</v>
      </c>
      <c r="E112" s="41">
        <f>Vuosikate!E112-'6. Poistot'!E112</f>
        <v>838</v>
      </c>
      <c r="F112" s="41">
        <f>Vuosikate!F112-'6. Poistot'!F112</f>
        <v>-854</v>
      </c>
      <c r="G112" s="41">
        <f>Vuosikate!G112-'6. Poistot'!G112</f>
        <v>-300</v>
      </c>
      <c r="H112" s="41">
        <f>Vuosikate!H112-'6. Poistot'!H112</f>
        <v>1308.690503294154</v>
      </c>
      <c r="I112" s="41">
        <f>Vuosikate!I112-'6. Poistot'!I112</f>
        <v>980.49107718780203</v>
      </c>
      <c r="J112" s="41">
        <f>Vuosikate!J112-'6. Poistot'!J112</f>
        <v>-147.18850208462902</v>
      </c>
      <c r="K112" s="41">
        <f>Vuosikate!K112-'6. Poistot'!K112</f>
        <v>3781.0598943986229</v>
      </c>
      <c r="L112" s="41">
        <f>Vuosikate!L112-'6. Poistot'!L112</f>
        <v>1469.0725579804639</v>
      </c>
      <c r="M112" s="41">
        <f>Vuosikate!M112-'6. Poistot'!M112</f>
        <v>2273.0734707056554</v>
      </c>
      <c r="N112" s="41">
        <f>Vuosikate!N112-'6. Poistot'!N112</f>
        <v>1820.324740665696</v>
      </c>
      <c r="O112" s="41">
        <f>Vuosikate!O112-'6. Poistot'!O112</f>
        <v>1723.6121770115462</v>
      </c>
      <c r="P112" s="41">
        <f>Vuosikate!P112-'6. Poistot'!P112</f>
        <v>2026.1045853867777</v>
      </c>
      <c r="T112" s="34">
        <v>284</v>
      </c>
      <c r="U112" s="88" t="s">
        <v>426</v>
      </c>
      <c r="V112" s="41" t="e">
        <f>C112/'1. Väestöennuste'!E112*1000</f>
        <v>#REF!</v>
      </c>
      <c r="W112" s="41">
        <f>D112/'1. Väestöennuste'!F112*1000</f>
        <v>85.678807947019862</v>
      </c>
      <c r="X112" s="41">
        <f>E112/'1. Väestöennuste'!G112*1000</f>
        <v>355.23526918185672</v>
      </c>
      <c r="Y112" s="41">
        <f>F112/'1. Väestöennuste'!H112*1000</f>
        <v>-364.95726495726495</v>
      </c>
      <c r="Z112" s="41">
        <f>G112/'1. Väestöennuste'!I112*1000</f>
        <v>-129.98266897746967</v>
      </c>
      <c r="AA112" s="41">
        <f>H112/'1. Väestöennuste'!J112*1000</f>
        <v>570.98189497999738</v>
      </c>
      <c r="AB112" s="41">
        <f>I112/'1. Väestöennuste'!K112*1000</f>
        <v>431.74419955429414</v>
      </c>
      <c r="AC112" s="41">
        <f>J112/'1. Väestöennuste'!L112*1000</f>
        <v>-66.092726575944781</v>
      </c>
      <c r="AD112" s="41">
        <f>K112/'1. Väestöennuste'!M112*1000</f>
        <v>1713.212457815416</v>
      </c>
      <c r="AE112" s="41">
        <f>L112/'1. Väestöennuste'!N112*1000</f>
        <v>668.36786077364138</v>
      </c>
      <c r="AF112" s="41">
        <f>M112/'1. Väestöennuste'!O112*1000</f>
        <v>1044.1311303195478</v>
      </c>
      <c r="AG112" s="41">
        <f>N112/'1. Väestöennuste'!P112*1000</f>
        <v>843.91503971520444</v>
      </c>
      <c r="AH112" s="41">
        <f>O112/'1. Väestöennuste'!Q112*1000</f>
        <v>805.80279430179814</v>
      </c>
      <c r="AI112" s="41">
        <f>P112/'1. Väestöennuste'!R112*1000</f>
        <v>956.61217440357768</v>
      </c>
    </row>
    <row r="113" spans="1:35" x14ac:dyDescent="0.2">
      <c r="A113" s="34">
        <v>285</v>
      </c>
      <c r="B113" s="88" t="s">
        <v>427</v>
      </c>
      <c r="C113" s="41" t="e">
        <f>Vuosikate!C113-'6. Poistot'!C113</f>
        <v>#REF!</v>
      </c>
      <c r="D113" s="41">
        <f>Vuosikate!D113-'6. Poistot'!D113</f>
        <v>-7181</v>
      </c>
      <c r="E113" s="41">
        <f>Vuosikate!E113-'6. Poistot'!E113</f>
        <v>2273</v>
      </c>
      <c r="F113" s="41">
        <f>Vuosikate!F113-'6. Poistot'!F113</f>
        <v>-8095</v>
      </c>
      <c r="G113" s="41">
        <f>Vuosikate!G113-'6. Poistot'!G113</f>
        <v>-715</v>
      </c>
      <c r="H113" s="41">
        <f>Vuosikate!H113-'6. Poistot'!H113</f>
        <v>2635.9847902995825</v>
      </c>
      <c r="I113" s="41">
        <f>Vuosikate!I113-'6. Poistot'!I113</f>
        <v>5332.1385317068198</v>
      </c>
      <c r="J113" s="41">
        <f>Vuosikate!J113-'6. Poistot'!J113</f>
        <v>-5875.837884961893</v>
      </c>
      <c r="K113" s="41">
        <f>Vuosikate!K113-'6. Poistot'!K113</f>
        <v>28172.574626266331</v>
      </c>
      <c r="L113" s="41">
        <f>Vuosikate!L113-'6. Poistot'!L113</f>
        <v>-9559.4301711044136</v>
      </c>
      <c r="M113" s="41">
        <f>Vuosikate!M113-'6. Poistot'!M113</f>
        <v>-7599.8025258859088</v>
      </c>
      <c r="N113" s="41">
        <f>Vuosikate!N113-'6. Poistot'!N113</f>
        <v>-2766.1271605226775</v>
      </c>
      <c r="O113" s="41">
        <f>Vuosikate!O113-'6. Poistot'!O113</f>
        <v>-1688.721629532336</v>
      </c>
      <c r="P113" s="41">
        <f>Vuosikate!P113-'6. Poistot'!P113</f>
        <v>3413.965061009334</v>
      </c>
      <c r="T113" s="34">
        <v>285</v>
      </c>
      <c r="U113" s="88" t="s">
        <v>427</v>
      </c>
      <c r="V113" s="41" t="e">
        <f>C113/'1. Väestöennuste'!E113*1000</f>
        <v>#REF!</v>
      </c>
      <c r="W113" s="41">
        <f>D113/'1. Väestöennuste'!F113*1000</f>
        <v>-132.52256076180632</v>
      </c>
      <c r="X113" s="41">
        <f>E113/'1. Väestöennuste'!G113*1000</f>
        <v>42.455032779842732</v>
      </c>
      <c r="Y113" s="41">
        <f>F113/'1. Väestöennuste'!H113*1000</f>
        <v>-153.07376661687118</v>
      </c>
      <c r="Z113" s="41">
        <f>G113/'1. Väestöennuste'!I113*1000</f>
        <v>-13.71676322756398</v>
      </c>
      <c r="AA113" s="41">
        <f>H113/'1. Väestöennuste'!J113*1000</f>
        <v>51.017743870472685</v>
      </c>
      <c r="AB113" s="41">
        <f>I113/'1. Väestöennuste'!K113*1000</f>
        <v>104.06000139940321</v>
      </c>
      <c r="AC113" s="41">
        <f>J113/'1. Väestöennuste'!L113*1000</f>
        <v>-116.08427771226846</v>
      </c>
      <c r="AD113" s="41">
        <f>K113/'1. Väestöennuste'!M113*1000</f>
        <v>557.87276487656106</v>
      </c>
      <c r="AE113" s="41">
        <f>L113/'1. Väestöennuste'!N113*1000</f>
        <v>-191.88322068095331</v>
      </c>
      <c r="AF113" s="41">
        <f>M113/'1. Väestöennuste'!O113*1000</f>
        <v>-153.87953603883349</v>
      </c>
      <c r="AG113" s="41">
        <f>N113/'1. Väestöennuste'!P113*1000</f>
        <v>-56.481544503668836</v>
      </c>
      <c r="AH113" s="41">
        <f>O113/'1. Väestöennuste'!Q113*1000</f>
        <v>-34.768820867455958</v>
      </c>
      <c r="AI113" s="41">
        <f>P113/'1. Väestöennuste'!R113*1000</f>
        <v>70.865906819083222</v>
      </c>
    </row>
    <row r="114" spans="1:35" x14ac:dyDescent="0.2">
      <c r="A114" s="34">
        <v>286</v>
      </c>
      <c r="B114" s="88" t="s">
        <v>428</v>
      </c>
      <c r="C114" s="41" t="e">
        <f>Vuosikate!C114-'6. Poistot'!C114</f>
        <v>#REF!</v>
      </c>
      <c r="D114" s="41">
        <f>Vuosikate!D114-'6. Poistot'!D114</f>
        <v>4175</v>
      </c>
      <c r="E114" s="41">
        <f>Vuosikate!E114-'6. Poistot'!E114</f>
        <v>-2842</v>
      </c>
      <c r="F114" s="41">
        <f>Vuosikate!F114-'6. Poistot'!F114</f>
        <v>-26028</v>
      </c>
      <c r="G114" s="41">
        <f>Vuosikate!G114-'6. Poistot'!G114</f>
        <v>-27761</v>
      </c>
      <c r="H114" s="41">
        <f>Vuosikate!H114-'6. Poistot'!H114</f>
        <v>33327.030822256143</v>
      </c>
      <c r="I114" s="41">
        <f>Vuosikate!I114-'6. Poistot'!I114</f>
        <v>1031.8854511166319</v>
      </c>
      <c r="J114" s="41">
        <f>Vuosikate!J114-'6. Poistot'!J114</f>
        <v>-19492.004205783975</v>
      </c>
      <c r="K114" s="41">
        <f>Vuosikate!K114-'6. Poistot'!K114</f>
        <v>19926.402727572287</v>
      </c>
      <c r="L114" s="41">
        <f>Vuosikate!L114-'6. Poistot'!L114</f>
        <v>-7914.7584985626672</v>
      </c>
      <c r="M114" s="41">
        <f>Vuosikate!M114-'6. Poistot'!M114</f>
        <v>-22715.941633919243</v>
      </c>
      <c r="N114" s="41">
        <f>Vuosikate!N114-'6. Poistot'!N114</f>
        <v>-18001.696932536615</v>
      </c>
      <c r="O114" s="41">
        <f>Vuosikate!O114-'6. Poistot'!O114</f>
        <v>-15964.07709092139</v>
      </c>
      <c r="P114" s="41">
        <f>Vuosikate!P114-'6. Poistot'!P114</f>
        <v>-7870.5806465465503</v>
      </c>
      <c r="T114" s="34">
        <v>286</v>
      </c>
      <c r="U114" s="88" t="s">
        <v>428</v>
      </c>
      <c r="V114" s="41" t="e">
        <f>C114/'1. Väestöennuste'!E114*1000</f>
        <v>#REF!</v>
      </c>
      <c r="W114" s="41">
        <f>D114/'1. Väestöennuste'!F114*1000</f>
        <v>48.941457810704989</v>
      </c>
      <c r="X114" s="41">
        <f>E114/'1. Väestöennuste'!G114*1000</f>
        <v>-33.754572663784501</v>
      </c>
      <c r="Y114" s="41">
        <f>F114/'1. Väestöennuste'!H114*1000</f>
        <v>-312.92304362984959</v>
      </c>
      <c r="Z114" s="41">
        <f>G114/'1. Väestöennuste'!I114*1000</f>
        <v>-338.08288577935286</v>
      </c>
      <c r="AA114" s="41">
        <f>H114/'1. Väestöennuste'!J114*1000</f>
        <v>410.49713405170957</v>
      </c>
      <c r="AB114" s="41">
        <f>I114/'1. Väestöennuste'!K114*1000</f>
        <v>12.825781827089168</v>
      </c>
      <c r="AC114" s="41">
        <f>J114/'1. Väestöennuste'!L114*1000</f>
        <v>-245.40160653897158</v>
      </c>
      <c r="AD114" s="41">
        <f>K114/'1. Väestöennuste'!M114*1000</f>
        <v>252.61666743879672</v>
      </c>
      <c r="AE114" s="41">
        <f>L114/'1. Väestöennuste'!N114*1000</f>
        <v>-101.58065735616134</v>
      </c>
      <c r="AF114" s="41">
        <f>M114/'1. Väestöennuste'!O114*1000</f>
        <v>-294.45773068791556</v>
      </c>
      <c r="AG114" s="41">
        <f>N114/'1. Väestöennuste'!P114*1000</f>
        <v>-235.65206545976116</v>
      </c>
      <c r="AH114" s="41">
        <f>O114/'1. Väestöennuste'!Q114*1000</f>
        <v>-211.00037128327614</v>
      </c>
      <c r="AI114" s="41">
        <f>P114/'1. Väestöennuste'!R114*1000</f>
        <v>-105.00828058686292</v>
      </c>
    </row>
    <row r="115" spans="1:35" x14ac:dyDescent="0.2">
      <c r="A115" s="34">
        <v>287</v>
      </c>
      <c r="B115" s="88" t="s">
        <v>429</v>
      </c>
      <c r="C115" s="41" t="e">
        <f>Vuosikate!C115-'6. Poistot'!C115</f>
        <v>#REF!</v>
      </c>
      <c r="D115" s="41">
        <f>Vuosikate!D115-'6. Poistot'!D115</f>
        <v>5601</v>
      </c>
      <c r="E115" s="41">
        <f>Vuosikate!E115-'6. Poistot'!E115</f>
        <v>3023</v>
      </c>
      <c r="F115" s="41">
        <f>Vuosikate!F115-'6. Poistot'!F115</f>
        <v>278</v>
      </c>
      <c r="G115" s="41">
        <f>Vuosikate!G115-'6. Poistot'!G115</f>
        <v>-2190</v>
      </c>
      <c r="H115" s="41">
        <f>Vuosikate!H115-'6. Poistot'!H115</f>
        <v>-45.151025683626358</v>
      </c>
      <c r="I115" s="41">
        <f>Vuosikate!I115-'6. Poistot'!I115</f>
        <v>651.29942831904282</v>
      </c>
      <c r="J115" s="41">
        <f>Vuosikate!J115-'6. Poistot'!J115</f>
        <v>-678.48861576893978</v>
      </c>
      <c r="K115" s="41">
        <f>Vuosikate!K115-'6. Poistot'!K115</f>
        <v>1946.8490032007799</v>
      </c>
      <c r="L115" s="41">
        <f>Vuosikate!L115-'6. Poistot'!L115</f>
        <v>1125.18269981709</v>
      </c>
      <c r="M115" s="41">
        <f>Vuosikate!M115-'6. Poistot'!M115</f>
        <v>580.93577917955099</v>
      </c>
      <c r="N115" s="41">
        <f>Vuosikate!N115-'6. Poistot'!N115</f>
        <v>793.42390405901187</v>
      </c>
      <c r="O115" s="41">
        <f>Vuosikate!O115-'6. Poistot'!O115</f>
        <v>552.23877864426868</v>
      </c>
      <c r="P115" s="41">
        <f>Vuosikate!P115-'6. Poistot'!P115</f>
        <v>1034.6290419502639</v>
      </c>
      <c r="T115" s="34">
        <v>287</v>
      </c>
      <c r="U115" s="88" t="s">
        <v>429</v>
      </c>
      <c r="V115" s="41" t="e">
        <f>C115/'1. Väestöennuste'!E115*1000</f>
        <v>#REF!</v>
      </c>
      <c r="W115" s="41">
        <f>D115/'1. Väestöennuste'!F115*1000</f>
        <v>832.61483573658393</v>
      </c>
      <c r="X115" s="41">
        <f>E115/'1. Väestöennuste'!G115*1000</f>
        <v>455.40825549864417</v>
      </c>
      <c r="Y115" s="41">
        <f>F115/'1. Väestöennuste'!H115*1000</f>
        <v>42.146755609460278</v>
      </c>
      <c r="Z115" s="41">
        <f>G115/'1. Väestöennuste'!I115*1000</f>
        <v>-337.65032377428304</v>
      </c>
      <c r="AA115" s="41">
        <f>H115/'1. Väestöennuste'!J115*1000</f>
        <v>-7.0504412372933105</v>
      </c>
      <c r="AB115" s="41">
        <f>I115/'1. Väestöennuste'!K115*1000</f>
        <v>102.0845498932669</v>
      </c>
      <c r="AC115" s="41">
        <f>J115/'1. Väestöennuste'!L115*1000</f>
        <v>-108.69731108121432</v>
      </c>
      <c r="AD115" s="41">
        <f>K115/'1. Väestöennuste'!M115*1000</f>
        <v>314.05855834824649</v>
      </c>
      <c r="AE115" s="41">
        <f>L115/'1. Väestöennuste'!N115*1000</f>
        <v>184.18443277411851</v>
      </c>
      <c r="AF115" s="41">
        <f>M115/'1. Väestöennuste'!O115*1000</f>
        <v>96.070080896237954</v>
      </c>
      <c r="AG115" s="41">
        <f>N115/'1. Väestöennuste'!P115*1000</f>
        <v>132.50232198714292</v>
      </c>
      <c r="AH115" s="41">
        <f>O115/'1. Väestöennuste'!Q115*1000</f>
        <v>93.11056797239398</v>
      </c>
      <c r="AI115" s="41">
        <f>P115/'1. Väestöennuste'!R115*1000</f>
        <v>176.13705174502277</v>
      </c>
    </row>
    <row r="116" spans="1:35" x14ac:dyDescent="0.2">
      <c r="A116" s="34">
        <v>288</v>
      </c>
      <c r="B116" s="88" t="s">
        <v>430</v>
      </c>
      <c r="C116" s="41" t="e">
        <f>Vuosikate!C116-'6. Poistot'!C116</f>
        <v>#REF!</v>
      </c>
      <c r="D116" s="41">
        <f>Vuosikate!D116-'6. Poistot'!D116</f>
        <v>-52</v>
      </c>
      <c r="E116" s="41">
        <f>Vuosikate!E116-'6. Poistot'!E116</f>
        <v>788</v>
      </c>
      <c r="F116" s="41">
        <f>Vuosikate!F116-'6. Poistot'!F116</f>
        <v>-45</v>
      </c>
      <c r="G116" s="41">
        <f>Vuosikate!G116-'6. Poistot'!G116</f>
        <v>563</v>
      </c>
      <c r="H116" s="41">
        <f>Vuosikate!H116-'6. Poistot'!H116</f>
        <v>3285.2142681834557</v>
      </c>
      <c r="I116" s="41">
        <f>Vuosikate!I116-'6. Poistot'!I116</f>
        <v>2892.818046663212</v>
      </c>
      <c r="J116" s="41">
        <f>Vuosikate!J116-'6. Poistot'!J116</f>
        <v>3303.1898096024379</v>
      </c>
      <c r="K116" s="41">
        <f>Vuosikate!K116-'6. Poistot'!K116</f>
        <v>3490.8441096642555</v>
      </c>
      <c r="L116" s="41">
        <f>Vuosikate!L116-'6. Poistot'!L116</f>
        <v>2390.0909728723655</v>
      </c>
      <c r="M116" s="41">
        <f>Vuosikate!M116-'6. Poistot'!M116</f>
        <v>2460.2673662367806</v>
      </c>
      <c r="N116" s="41">
        <f>Vuosikate!N116-'6. Poistot'!N116</f>
        <v>2455.644353610307</v>
      </c>
      <c r="O116" s="41">
        <f>Vuosikate!O116-'6. Poistot'!O116</f>
        <v>2721.4080367412316</v>
      </c>
      <c r="P116" s="41">
        <f>Vuosikate!P116-'6. Poistot'!P116</f>
        <v>3216.1038767122118</v>
      </c>
      <c r="T116" s="34">
        <v>288</v>
      </c>
      <c r="U116" s="88" t="s">
        <v>430</v>
      </c>
      <c r="V116" s="41" t="e">
        <f>C116/'1. Väestöennuste'!E116*1000</f>
        <v>#REF!</v>
      </c>
      <c r="W116" s="41">
        <f>D116/'1. Väestöennuste'!F116*1000</f>
        <v>-7.8549848942598199</v>
      </c>
      <c r="X116" s="41">
        <f>E116/'1. Väestöennuste'!G116*1000</f>
        <v>120.65533608941969</v>
      </c>
      <c r="Y116" s="41">
        <f>F116/'1. Väestöennuste'!H116*1000</f>
        <v>-6.9135043785527737</v>
      </c>
      <c r="Z116" s="41">
        <f>G116/'1. Väestöennuste'!I116*1000</f>
        <v>87.585563161169887</v>
      </c>
      <c r="AA116" s="41">
        <f>H116/'1. Väestöennuste'!J116*1000</f>
        <v>512.03464279667332</v>
      </c>
      <c r="AB116" s="41">
        <f>I116/'1. Väestöennuste'!K116*1000</f>
        <v>449.05589050965727</v>
      </c>
      <c r="AC116" s="41">
        <f>J116/'1. Väestöennuste'!L116*1000</f>
        <v>515.72050110888961</v>
      </c>
      <c r="AD116" s="41">
        <f>K116/'1. Väestöennuste'!M116*1000</f>
        <v>548.18531872868334</v>
      </c>
      <c r="AE116" s="41">
        <f>L116/'1. Väestöennuste'!N116*1000</f>
        <v>384.01204576998163</v>
      </c>
      <c r="AF116" s="41">
        <f>M116/'1. Väestöennuste'!O116*1000</f>
        <v>398.29486259297079</v>
      </c>
      <c r="AG116" s="41">
        <f>N116/'1. Väestöennuste'!P116*1000</f>
        <v>400.52917201277234</v>
      </c>
      <c r="AH116" s="41">
        <f>O116/'1. Väestöennuste'!Q116*1000</f>
        <v>447.30572596009728</v>
      </c>
      <c r="AI116" s="41">
        <f>P116/'1. Väestöennuste'!R116*1000</f>
        <v>532.82039044271232</v>
      </c>
    </row>
    <row r="117" spans="1:35" x14ac:dyDescent="0.2">
      <c r="A117" s="34">
        <v>290</v>
      </c>
      <c r="B117" s="88" t="s">
        <v>431</v>
      </c>
      <c r="C117" s="41" t="e">
        <f>Vuosikate!C117-'6. Poistot'!C117</f>
        <v>#REF!</v>
      </c>
      <c r="D117" s="41">
        <f>Vuosikate!D117-'6. Poistot'!D117</f>
        <v>168</v>
      </c>
      <c r="E117" s="41">
        <f>Vuosikate!E117-'6. Poistot'!E117</f>
        <v>552</v>
      </c>
      <c r="F117" s="41">
        <f>Vuosikate!F117-'6. Poistot'!F117</f>
        <v>-3147</v>
      </c>
      <c r="G117" s="41">
        <f>Vuosikate!G117-'6. Poistot'!G117</f>
        <v>-1625</v>
      </c>
      <c r="H117" s="41">
        <f>Vuosikate!H117-'6. Poistot'!H117</f>
        <v>-135.03528472522885</v>
      </c>
      <c r="I117" s="41">
        <f>Vuosikate!I117-'6. Poistot'!I117</f>
        <v>5813.2501755013736</v>
      </c>
      <c r="J117" s="41">
        <f>Vuosikate!J117-'6. Poistot'!J117</f>
        <v>1718.2429447838754</v>
      </c>
      <c r="K117" s="41">
        <f>Vuosikate!K117-'6. Poistot'!K117</f>
        <v>1351.8452289530478</v>
      </c>
      <c r="L117" s="41">
        <f>Vuosikate!L117-'6. Poistot'!L117</f>
        <v>661.76097086811251</v>
      </c>
      <c r="M117" s="41">
        <f>Vuosikate!M117-'6. Poistot'!M117</f>
        <v>-937.3676314704087</v>
      </c>
      <c r="N117" s="41">
        <f>Vuosikate!N117-'6. Poistot'!N117</f>
        <v>-188.22361856549787</v>
      </c>
      <c r="O117" s="41">
        <f>Vuosikate!O117-'6. Poistot'!O117</f>
        <v>-640.11328377417249</v>
      </c>
      <c r="P117" s="41">
        <f>Vuosikate!P117-'6. Poistot'!P117</f>
        <v>535.65703525090476</v>
      </c>
      <c r="T117" s="34">
        <v>290</v>
      </c>
      <c r="U117" s="88" t="s">
        <v>431</v>
      </c>
      <c r="V117" s="41" t="e">
        <f>C117/'1. Väestöennuste'!E117*1000</f>
        <v>#REF!</v>
      </c>
      <c r="W117" s="41">
        <f>D117/'1. Väestöennuste'!F117*1000</f>
        <v>19.428703596623109</v>
      </c>
      <c r="X117" s="41">
        <f>E117/'1. Väestöennuste'!G117*1000</f>
        <v>64.94881750794211</v>
      </c>
      <c r="Y117" s="41">
        <f>F117/'1. Väestöennuste'!H117*1000</f>
        <v>-377.83647496698279</v>
      </c>
      <c r="Z117" s="41">
        <f>G117/'1. Väestöennuste'!I117*1000</f>
        <v>-198.4126984126984</v>
      </c>
      <c r="AA117" s="41">
        <f>H117/'1. Väestöennuste'!J117*1000</f>
        <v>-16.791256494059791</v>
      </c>
      <c r="AB117" s="41">
        <f>I117/'1. Väestöennuste'!K117*1000</f>
        <v>733.25557208644977</v>
      </c>
      <c r="AC117" s="41">
        <f>J117/'1. Väestöennuste'!L117*1000</f>
        <v>221.56582137767575</v>
      </c>
      <c r="AD117" s="41">
        <f>K117/'1. Väestöennuste'!M117*1000</f>
        <v>178.29665377908836</v>
      </c>
      <c r="AE117" s="41">
        <f>L117/'1. Väestöennuste'!N117*1000</f>
        <v>88.506215175620241</v>
      </c>
      <c r="AF117" s="41">
        <f>M117/'1. Väestöennuste'!O117*1000</f>
        <v>-127.58508662997259</v>
      </c>
      <c r="AG117" s="41">
        <f>N117/'1. Väestöennuste'!P117*1000</f>
        <v>-26.080590074199513</v>
      </c>
      <c r="AH117" s="41">
        <f>O117/'1. Väestöennuste'!Q117*1000</f>
        <v>-90.28396104008074</v>
      </c>
      <c r="AI117" s="41">
        <f>P117/'1. Väestöennuste'!R117*1000</f>
        <v>76.884890950323637</v>
      </c>
    </row>
    <row r="118" spans="1:35" x14ac:dyDescent="0.2">
      <c r="A118" s="34">
        <v>291</v>
      </c>
      <c r="B118" s="88" t="s">
        <v>432</v>
      </c>
      <c r="C118" s="41" t="e">
        <f>Vuosikate!C118-'6. Poistot'!C118</f>
        <v>#REF!</v>
      </c>
      <c r="D118" s="41">
        <f>Vuosikate!D118-'6. Poistot'!D118</f>
        <v>766</v>
      </c>
      <c r="E118" s="41">
        <f>Vuosikate!E118-'6. Poistot'!E118</f>
        <v>1068</v>
      </c>
      <c r="F118" s="41">
        <f>Vuosikate!F118-'6. Poistot'!F118</f>
        <v>135</v>
      </c>
      <c r="G118" s="41">
        <f>Vuosikate!G118-'6. Poistot'!G118</f>
        <v>-263</v>
      </c>
      <c r="H118" s="41">
        <f>Vuosikate!H118-'6. Poistot'!H118</f>
        <v>975.16636165222735</v>
      </c>
      <c r="I118" s="41">
        <f>Vuosikate!I118-'6. Poistot'!I118</f>
        <v>203.8233624945201</v>
      </c>
      <c r="J118" s="41">
        <f>Vuosikate!J118-'6. Poistot'!J118</f>
        <v>-189.77039734190328</v>
      </c>
      <c r="K118" s="41">
        <f>Vuosikate!K118-'6. Poistot'!K118</f>
        <v>237.07411881587041</v>
      </c>
      <c r="L118" s="41">
        <f>Vuosikate!L118-'6. Poistot'!L118</f>
        <v>729.03210282578289</v>
      </c>
      <c r="M118" s="41">
        <f>Vuosikate!M118-'6. Poistot'!M118</f>
        <v>-80.365829887371319</v>
      </c>
      <c r="N118" s="41">
        <f>Vuosikate!N118-'6. Poistot'!N118</f>
        <v>-278.91044806804007</v>
      </c>
      <c r="O118" s="41">
        <f>Vuosikate!O118-'6. Poistot'!O118</f>
        <v>-518.31532209723287</v>
      </c>
      <c r="P118" s="41">
        <f>Vuosikate!P118-'6. Poistot'!P118</f>
        <v>-400.58406529789272</v>
      </c>
      <c r="T118" s="34">
        <v>291</v>
      </c>
      <c r="U118" s="88" t="s">
        <v>432</v>
      </c>
      <c r="V118" s="41" t="e">
        <f>C118/'1. Väestöennuste'!E118*1000</f>
        <v>#REF!</v>
      </c>
      <c r="W118" s="41">
        <f>D118/'1. Väestöennuste'!F118*1000</f>
        <v>335.0831146106737</v>
      </c>
      <c r="X118" s="41">
        <f>E118/'1. Väestöennuste'!G118*1000</f>
        <v>474.24511545293075</v>
      </c>
      <c r="Y118" s="41">
        <f>F118/'1. Väestöennuste'!H118*1000</f>
        <v>60.321715817694368</v>
      </c>
      <c r="Z118" s="41">
        <f>G118/'1. Väestöennuste'!I118*1000</f>
        <v>-119.22030825022665</v>
      </c>
      <c r="AA118" s="41">
        <f>H118/'1. Väestöennuste'!J118*1000</f>
        <v>451.25699289783773</v>
      </c>
      <c r="AB118" s="41">
        <f>I118/'1. Väestöennuste'!K118*1000</f>
        <v>94.450121637868435</v>
      </c>
      <c r="AC118" s="41">
        <f>J118/'1. Väestöennuste'!L118*1000</f>
        <v>-89.556582039595696</v>
      </c>
      <c r="AD118" s="41">
        <f>K118/'1. Väestöennuste'!M118*1000</f>
        <v>113.32414857355181</v>
      </c>
      <c r="AE118" s="41">
        <f>L118/'1. Väestöennuste'!N118*1000</f>
        <v>357.01865956208763</v>
      </c>
      <c r="AF118" s="41">
        <f>M118/'1. Väestöennuste'!O118*1000</f>
        <v>-39.883786544601151</v>
      </c>
      <c r="AG118" s="41">
        <f>N118/'1. Väestöennuste'!P118*1000</f>
        <v>-140.22646961691308</v>
      </c>
      <c r="AH118" s="41">
        <f>O118/'1. Väestöennuste'!Q118*1000</f>
        <v>-263.50550182879152</v>
      </c>
      <c r="AI118" s="41">
        <f>P118/'1. Väestöennuste'!R118*1000</f>
        <v>-205.849982167468</v>
      </c>
    </row>
    <row r="119" spans="1:35" x14ac:dyDescent="0.2">
      <c r="A119" s="34">
        <v>297</v>
      </c>
      <c r="B119" s="88" t="s">
        <v>433</v>
      </c>
      <c r="C119" s="41" t="e">
        <f>Vuosikate!C119-'6. Poistot'!C119</f>
        <v>#REF!</v>
      </c>
      <c r="D119" s="41">
        <f>Vuosikate!D119-'6. Poistot'!D119</f>
        <v>-7031</v>
      </c>
      <c r="E119" s="41">
        <f>Vuosikate!E119-'6. Poistot'!E119</f>
        <v>9183</v>
      </c>
      <c r="F119" s="41">
        <f>Vuosikate!F119-'6. Poistot'!F119</f>
        <v>-16550</v>
      </c>
      <c r="G119" s="41">
        <f>Vuosikate!G119-'6. Poistot'!G119</f>
        <v>-38160</v>
      </c>
      <c r="H119" s="41">
        <f>Vuosikate!H119-'6. Poistot'!H119</f>
        <v>11122.871973257512</v>
      </c>
      <c r="I119" s="41">
        <f>Vuosikate!I119-'6. Poistot'!I119</f>
        <v>12617.392726251142</v>
      </c>
      <c r="J119" s="41">
        <f>Vuosikate!J119-'6. Poistot'!J119</f>
        <v>-4530.6407597836806</v>
      </c>
      <c r="K119" s="41">
        <f>Vuosikate!K119-'6. Poistot'!K119</f>
        <v>1769.8610595032587</v>
      </c>
      <c r="L119" s="41">
        <f>Vuosikate!L119-'6. Poistot'!L119</f>
        <v>-14452.87273212232</v>
      </c>
      <c r="M119" s="41">
        <f>Vuosikate!M119-'6. Poistot'!M119</f>
        <v>-40875.689648473293</v>
      </c>
      <c r="N119" s="41">
        <f>Vuosikate!N119-'6. Poistot'!N119</f>
        <v>-36952.457427032183</v>
      </c>
      <c r="O119" s="41">
        <f>Vuosikate!O119-'6. Poistot'!O119</f>
        <v>-35023.684874194776</v>
      </c>
      <c r="P119" s="41">
        <f>Vuosikate!P119-'6. Poistot'!P119</f>
        <v>-29422.526579611389</v>
      </c>
      <c r="T119" s="34">
        <v>297</v>
      </c>
      <c r="U119" s="88" t="s">
        <v>433</v>
      </c>
      <c r="V119" s="41" t="e">
        <f>C119/'1. Väestöennuste'!E119*1000</f>
        <v>#REF!</v>
      </c>
      <c r="W119" s="41">
        <f>D119/'1. Väestöennuste'!F119*1000</f>
        <v>-59.716324103957874</v>
      </c>
      <c r="X119" s="41">
        <f>E119/'1. Väestöennuste'!G119*1000</f>
        <v>77.684440271045347</v>
      </c>
      <c r="Y119" s="41">
        <f>F119/'1. Väestöennuste'!H119*1000</f>
        <v>-139.46942627924221</v>
      </c>
      <c r="Z119" s="41">
        <f>G119/'1. Väestöennuste'!I119*1000</f>
        <v>-319.91415301554298</v>
      </c>
      <c r="AA119" s="41">
        <f>H119/'1. Väestöennuste'!J119*1000</f>
        <v>92.528674596601888</v>
      </c>
      <c r="AB119" s="41">
        <f>I119/'1. Väestöennuste'!K119*1000</f>
        <v>103.81011433197422</v>
      </c>
      <c r="AC119" s="41">
        <f>J119/'1. Väestöennuste'!L119*1000</f>
        <v>-36.956464099251846</v>
      </c>
      <c r="AD119" s="41">
        <f>K119/'1. Väestöennuste'!M119*1000</f>
        <v>14.270656255821665</v>
      </c>
      <c r="AE119" s="41">
        <f>L119/'1. Väestöennuste'!N119*1000</f>
        <v>-117.72028648092267</v>
      </c>
      <c r="AF119" s="41">
        <f>M119/'1. Väestöennuste'!O119*1000</f>
        <v>-331.55444416168467</v>
      </c>
      <c r="AG119" s="41">
        <f>N119/'1. Väestöennuste'!P119*1000</f>
        <v>-298.55987708579841</v>
      </c>
      <c r="AH119" s="41">
        <f>O119/'1. Väestöennuste'!Q119*1000</f>
        <v>-281.93749144048923</v>
      </c>
      <c r="AI119" s="41">
        <f>P119/'1. Väestöennuste'!R119*1000</f>
        <v>-236.03923417871809</v>
      </c>
    </row>
    <row r="120" spans="1:35" x14ac:dyDescent="0.2">
      <c r="A120" s="34">
        <v>300</v>
      </c>
      <c r="B120" s="88" t="s">
        <v>434</v>
      </c>
      <c r="C120" s="41" t="e">
        <f>Vuosikate!C120-'6. Poistot'!C120</f>
        <v>#REF!</v>
      </c>
      <c r="D120" s="41">
        <f>Vuosikate!D120-'6. Poistot'!D120</f>
        <v>990</v>
      </c>
      <c r="E120" s="41">
        <f>Vuosikate!E120-'6. Poistot'!E120</f>
        <v>654</v>
      </c>
      <c r="F120" s="41">
        <f>Vuosikate!F120-'6. Poistot'!F120</f>
        <v>239</v>
      </c>
      <c r="G120" s="41">
        <f>Vuosikate!G120-'6. Poistot'!G120</f>
        <v>-334</v>
      </c>
      <c r="H120" s="41">
        <f>Vuosikate!H120-'6. Poistot'!H120</f>
        <v>1426.4892056585486</v>
      </c>
      <c r="I120" s="41">
        <f>Vuosikate!I120-'6. Poistot'!I120</f>
        <v>370.81256457412724</v>
      </c>
      <c r="J120" s="41">
        <f>Vuosikate!J120-'6. Poistot'!J120</f>
        <v>1605.2054422679562</v>
      </c>
      <c r="K120" s="41">
        <f>Vuosikate!K120-'6. Poistot'!K120</f>
        <v>1242.3062100083325</v>
      </c>
      <c r="L120" s="41">
        <f>Vuosikate!L120-'6. Poistot'!L120</f>
        <v>775.05547174063963</v>
      </c>
      <c r="M120" s="41">
        <f>Vuosikate!M120-'6. Poistot'!M120</f>
        <v>-100.37201851298869</v>
      </c>
      <c r="N120" s="41">
        <f>Vuosikate!N120-'6. Poistot'!N120</f>
        <v>-275.73310118477548</v>
      </c>
      <c r="O120" s="41">
        <f>Vuosikate!O120-'6. Poistot'!O120</f>
        <v>-713.10885184952235</v>
      </c>
      <c r="P120" s="41">
        <f>Vuosikate!P120-'6. Poistot'!P120</f>
        <v>-544.75315674199283</v>
      </c>
      <c r="T120" s="34">
        <v>300</v>
      </c>
      <c r="U120" s="88" t="s">
        <v>434</v>
      </c>
      <c r="V120" s="41" t="e">
        <f>C120/'1. Väestöennuste'!E120*1000</f>
        <v>#REF!</v>
      </c>
      <c r="W120" s="41">
        <f>D120/'1. Väestöennuste'!F120*1000</f>
        <v>268.29268292682929</v>
      </c>
      <c r="X120" s="41">
        <f>E120/'1. Väestöennuste'!G120*1000</f>
        <v>179.81853175694255</v>
      </c>
      <c r="Y120" s="41">
        <f>F120/'1. Väestöennuste'!H120*1000</f>
        <v>66.909294512877949</v>
      </c>
      <c r="Z120" s="41">
        <f>G120/'1. Väestöennuste'!I120*1000</f>
        <v>-94.058011827654184</v>
      </c>
      <c r="AA120" s="41">
        <f>H120/'1. Väestöennuste'!J120*1000</f>
        <v>403.64720024293962</v>
      </c>
      <c r="AB120" s="41">
        <f>I120/'1. Väestöennuste'!K120*1000</f>
        <v>105.1056022035508</v>
      </c>
      <c r="AC120" s="41">
        <f>J120/'1. Väestöennuste'!L120*1000</f>
        <v>467.03678855628635</v>
      </c>
      <c r="AD120" s="41">
        <f>K120/'1. Väestöennuste'!M120*1000</f>
        <v>367.43750665730033</v>
      </c>
      <c r="AE120" s="41">
        <f>L120/'1. Väestöennuste'!N120*1000</f>
        <v>228.83243925026267</v>
      </c>
      <c r="AF120" s="41">
        <f>M120/'1. Väestöennuste'!O120*1000</f>
        <v>-29.926063957360967</v>
      </c>
      <c r="AG120" s="41">
        <f>N120/'1. Väestöennuste'!P120*1000</f>
        <v>-83.077162152689198</v>
      </c>
      <c r="AH120" s="41">
        <f>O120/'1. Väestöennuste'!Q120*1000</f>
        <v>-216.94823603575369</v>
      </c>
      <c r="AI120" s="41">
        <f>P120/'1. Väestöennuste'!R120*1000</f>
        <v>-167.25611198710249</v>
      </c>
    </row>
    <row r="121" spans="1:35" x14ac:dyDescent="0.2">
      <c r="A121" s="34">
        <v>301</v>
      </c>
      <c r="B121" s="88" t="s">
        <v>435</v>
      </c>
      <c r="C121" s="41" t="e">
        <f>Vuosikate!C121-'6. Poistot'!C121</f>
        <v>#REF!</v>
      </c>
      <c r="D121" s="41">
        <f>Vuosikate!D121-'6. Poistot'!D121</f>
        <v>-5996</v>
      </c>
      <c r="E121" s="41">
        <f>Vuosikate!E121-'6. Poistot'!E121</f>
        <v>3698</v>
      </c>
      <c r="F121" s="41">
        <f>Vuosikate!F121-'6. Poistot'!F121</f>
        <v>1457</v>
      </c>
      <c r="G121" s="41">
        <f>Vuosikate!G121-'6. Poistot'!G121</f>
        <v>-11300</v>
      </c>
      <c r="H121" s="41">
        <f>Vuosikate!H121-'6. Poistot'!H121</f>
        <v>4068.7618599314301</v>
      </c>
      <c r="I121" s="41">
        <f>Vuosikate!I121-'6. Poistot'!I121</f>
        <v>-4860.2499887094709</v>
      </c>
      <c r="J121" s="41">
        <f>Vuosikate!J121-'6. Poistot'!J121</f>
        <v>4046.4852106793223</v>
      </c>
      <c r="K121" s="41">
        <f>Vuosikate!K121-'6. Poistot'!K121</f>
        <v>6908.3587756060915</v>
      </c>
      <c r="L121" s="41">
        <f>Vuosikate!L121-'6. Poistot'!L121</f>
        <v>-5015.436744808464</v>
      </c>
      <c r="M121" s="41">
        <f>Vuosikate!M121-'6. Poistot'!M121</f>
        <v>-5818.1318389945318</v>
      </c>
      <c r="N121" s="41">
        <f>Vuosikate!N121-'6. Poistot'!N121</f>
        <v>-6293.8477094587543</v>
      </c>
      <c r="O121" s="41">
        <f>Vuosikate!O121-'6. Poistot'!O121</f>
        <v>-5785.776111178503</v>
      </c>
      <c r="P121" s="41">
        <f>Vuosikate!P121-'6. Poistot'!P121</f>
        <v>-3398.7113703129507</v>
      </c>
      <c r="T121" s="34">
        <v>301</v>
      </c>
      <c r="U121" s="88" t="s">
        <v>435</v>
      </c>
      <c r="V121" s="41" t="e">
        <f>C121/'1. Väestöennuste'!E121*1000</f>
        <v>#REF!</v>
      </c>
      <c r="W121" s="41">
        <f>D121/'1. Väestöennuste'!F121*1000</f>
        <v>-278.87075019766525</v>
      </c>
      <c r="X121" s="41">
        <f>E121/'1. Väestöennuste'!G121*1000</f>
        <v>174.40928170541906</v>
      </c>
      <c r="Y121" s="41">
        <f>F121/'1. Väestöennuste'!H121*1000</f>
        <v>69.539900725467731</v>
      </c>
      <c r="Z121" s="41">
        <f>G121/'1. Väestöennuste'!I121*1000</f>
        <v>-546.47451397620659</v>
      </c>
      <c r="AA121" s="41">
        <f>H121/'1. Väestöennuste'!J121*1000</f>
        <v>198.90310226493108</v>
      </c>
      <c r="AB121" s="41">
        <f>I121/'1. Väestöennuste'!K121*1000</f>
        <v>-240.64217402136313</v>
      </c>
      <c r="AC121" s="41">
        <f>J121/'1. Väestöennuste'!L121*1000</f>
        <v>203.44319812364617</v>
      </c>
      <c r="AD121" s="41">
        <f>K121/'1. Väestöennuste'!M121*1000</f>
        <v>349.63099223675749</v>
      </c>
      <c r="AE121" s="41">
        <f>L121/'1. Väestöennuste'!N121*1000</f>
        <v>-257.26785046465579</v>
      </c>
      <c r="AF121" s="41">
        <f>M121/'1. Väestöennuste'!O121*1000</f>
        <v>-301.94259375133799</v>
      </c>
      <c r="AG121" s="41">
        <f>N121/'1. Väestöennuste'!P121*1000</f>
        <v>-330.40305052542152</v>
      </c>
      <c r="AH121" s="41">
        <f>O121/'1. Väestöennuste'!Q121*1000</f>
        <v>-307.19847675366373</v>
      </c>
      <c r="AI121" s="41">
        <f>P121/'1. Väestöennuste'!R121*1000</f>
        <v>-182.51054507104237</v>
      </c>
    </row>
    <row r="122" spans="1:35" x14ac:dyDescent="0.2">
      <c r="A122" s="34">
        <v>304</v>
      </c>
      <c r="B122" s="88" t="s">
        <v>436</v>
      </c>
      <c r="C122" s="41" t="e">
        <f>Vuosikate!C122-'6. Poistot'!C122</f>
        <v>#REF!</v>
      </c>
      <c r="D122" s="41">
        <f>Vuosikate!D122-'6. Poistot'!D122</f>
        <v>470</v>
      </c>
      <c r="E122" s="41">
        <f>Vuosikate!E122-'6. Poistot'!E122</f>
        <v>628</v>
      </c>
      <c r="F122" s="41">
        <f>Vuosikate!F122-'6. Poistot'!F122</f>
        <v>286</v>
      </c>
      <c r="G122" s="41">
        <f>Vuosikate!G122-'6. Poistot'!G122</f>
        <v>11</v>
      </c>
      <c r="H122" s="41">
        <f>Vuosikate!H122-'6. Poistot'!H122</f>
        <v>528.6841086969489</v>
      </c>
      <c r="I122" s="41">
        <f>Vuosikate!I122-'6. Poistot'!I122</f>
        <v>-389.16792828627285</v>
      </c>
      <c r="J122" s="41">
        <f>Vuosikate!J122-'6. Poistot'!J122</f>
        <v>32.770583651552556</v>
      </c>
      <c r="K122" s="41">
        <f>Vuosikate!K122-'6. Poistot'!K122</f>
        <v>-382.82550992275742</v>
      </c>
      <c r="L122" s="41">
        <f>Vuosikate!L122-'6. Poistot'!L122</f>
        <v>-70.30275067476822</v>
      </c>
      <c r="M122" s="41">
        <f>Vuosikate!M122-'6. Poistot'!M122</f>
        <v>-389.3455423069264</v>
      </c>
      <c r="N122" s="41">
        <f>Vuosikate!N122-'6. Poistot'!N122</f>
        <v>-379.49632409980291</v>
      </c>
      <c r="O122" s="41">
        <f>Vuosikate!O122-'6. Poistot'!O122</f>
        <v>-455.23784857737343</v>
      </c>
      <c r="P122" s="41">
        <f>Vuosikate!P122-'6. Poistot'!P122</f>
        <v>-470.83674910688251</v>
      </c>
      <c r="T122" s="34">
        <v>304</v>
      </c>
      <c r="U122" s="88" t="s">
        <v>436</v>
      </c>
      <c r="V122" s="41" t="e">
        <f>C122/'1. Väestöennuste'!E122*1000</f>
        <v>#REF!</v>
      </c>
      <c r="W122" s="41">
        <f>D122/'1. Väestöennuste'!F122*1000</f>
        <v>517.62114537444938</v>
      </c>
      <c r="X122" s="41">
        <f>E122/'1. Väestöennuste'!G122*1000</f>
        <v>680.39003250270855</v>
      </c>
      <c r="Y122" s="41">
        <f>F122/'1. Väestöennuste'!H122*1000</f>
        <v>308.85529157667384</v>
      </c>
      <c r="Z122" s="41">
        <f>G122/'1. Väestöennuste'!I122*1000</f>
        <v>11.591148577449948</v>
      </c>
      <c r="AA122" s="41">
        <f>H122/'1. Väestöennuste'!J122*1000</f>
        <v>549.56768055815894</v>
      </c>
      <c r="AB122" s="41">
        <f>I122/'1. Väestöennuste'!K122*1000</f>
        <v>-400.79086332262909</v>
      </c>
      <c r="AC122" s="41">
        <f>J122/'1. Väestöennuste'!L122*1000</f>
        <v>34.495351212160585</v>
      </c>
      <c r="AD122" s="41">
        <f>K122/'1. Väestöennuste'!M122*1000</f>
        <v>-403.39885134115639</v>
      </c>
      <c r="AE122" s="41">
        <f>L122/'1. Väestöennuste'!N122*1000</f>
        <v>-68.588049438798265</v>
      </c>
      <c r="AF122" s="41">
        <f>M122/'1. Väestöennuste'!O122*1000</f>
        <v>-375.45375343001581</v>
      </c>
      <c r="AG122" s="41">
        <f>N122/'1. Väestöennuste'!P122*1000</f>
        <v>-361.42507057124084</v>
      </c>
      <c r="AH122" s="41">
        <f>O122/'1. Väestöennuste'!Q122*1000</f>
        <v>-427.85512084339604</v>
      </c>
      <c r="AI122" s="41">
        <f>P122/'1. Väestöennuste'!R122*1000</f>
        <v>-437.98767358779764</v>
      </c>
    </row>
    <row r="123" spans="1:35" x14ac:dyDescent="0.2">
      <c r="A123" s="34">
        <v>305</v>
      </c>
      <c r="B123" s="88" t="s">
        <v>437</v>
      </c>
      <c r="C123" s="41" t="e">
        <f>Vuosikate!C123-'6. Poistot'!C123</f>
        <v>#REF!</v>
      </c>
      <c r="D123" s="41">
        <f>Vuosikate!D123-'6. Poistot'!D123</f>
        <v>1563</v>
      </c>
      <c r="E123" s="41">
        <f>Vuosikate!E123-'6. Poistot'!E123</f>
        <v>1003</v>
      </c>
      <c r="F123" s="41">
        <f>Vuosikate!F123-'6. Poistot'!F123</f>
        <v>-2048</v>
      </c>
      <c r="G123" s="41">
        <f>Vuosikate!G123-'6. Poistot'!G123</f>
        <v>-2731</v>
      </c>
      <c r="H123" s="41">
        <f>Vuosikate!H123-'6. Poistot'!H123</f>
        <v>689.31549990613712</v>
      </c>
      <c r="I123" s="41">
        <f>Vuosikate!I123-'6. Poistot'!I123</f>
        <v>1278.7469142529771</v>
      </c>
      <c r="J123" s="41">
        <f>Vuosikate!J123-'6. Poistot'!J123</f>
        <v>1991.6650024046385</v>
      </c>
      <c r="K123" s="41">
        <f>Vuosikate!K123-'6. Poistot'!K123</f>
        <v>1623.812788942736</v>
      </c>
      <c r="L123" s="41">
        <f>Vuosikate!L123-'6. Poistot'!L123</f>
        <v>-3561.4495992745578</v>
      </c>
      <c r="M123" s="41">
        <f>Vuosikate!M123-'6. Poistot'!M123</f>
        <v>-3929.5554871259337</v>
      </c>
      <c r="N123" s="41">
        <f>Vuosikate!N123-'6. Poistot'!N123</f>
        <v>-4434.4301943688642</v>
      </c>
      <c r="O123" s="41">
        <f>Vuosikate!O123-'6. Poistot'!O123</f>
        <v>-4781.7423498666467</v>
      </c>
      <c r="P123" s="41">
        <f>Vuosikate!P123-'6. Poistot'!P123</f>
        <v>-3154.1249087812989</v>
      </c>
      <c r="T123" s="34">
        <v>305</v>
      </c>
      <c r="U123" s="88" t="s">
        <v>437</v>
      </c>
      <c r="V123" s="41" t="e">
        <f>C123/'1. Väestöennuste'!E123*1000</f>
        <v>#REF!</v>
      </c>
      <c r="W123" s="41">
        <f>D123/'1. Väestöennuste'!F123*1000</f>
        <v>100.62447692010558</v>
      </c>
      <c r="X123" s="41">
        <f>E123/'1. Väestöennuste'!G123*1000</f>
        <v>65.189132978031978</v>
      </c>
      <c r="Y123" s="41">
        <f>F123/'1. Väestöennuste'!H123*1000</f>
        <v>-134.67482080620766</v>
      </c>
      <c r="Z123" s="41">
        <f>G123/'1. Väestöennuste'!I123*1000</f>
        <v>-180.45460552398572</v>
      </c>
      <c r="AA123" s="41">
        <f>H123/'1. Väestöennuste'!J123*1000</f>
        <v>45.310951154022028</v>
      </c>
      <c r="AB123" s="41">
        <f>I123/'1. Väestöennuste'!K123*1000</f>
        <v>84.322249538607139</v>
      </c>
      <c r="AC123" s="41">
        <f>J123/'1. Väestöennuste'!L123*1000</f>
        <v>131.4977553416505</v>
      </c>
      <c r="AD123" s="41">
        <f>K123/'1. Väestöennuste'!M123*1000</f>
        <v>108.11723742877263</v>
      </c>
      <c r="AE123" s="41">
        <f>L123/'1. Väestöennuste'!N123*1000</f>
        <v>-241.02934483449903</v>
      </c>
      <c r="AF123" s="41">
        <f>M123/'1. Väestöennuste'!O123*1000</f>
        <v>-267.80859313882189</v>
      </c>
      <c r="AG123" s="41">
        <f>N123/'1. Väestöennuste'!P123*1000</f>
        <v>-304.26994609365062</v>
      </c>
      <c r="AH123" s="41">
        <f>O123/'1. Väestöennuste'!Q123*1000</f>
        <v>-330.36771796784905</v>
      </c>
      <c r="AI123" s="41">
        <f>P123/'1. Väestöennuste'!R123*1000</f>
        <v>-219.43264983868781</v>
      </c>
    </row>
    <row r="124" spans="1:35" x14ac:dyDescent="0.2">
      <c r="A124" s="34">
        <v>309</v>
      </c>
      <c r="B124" s="88" t="s">
        <v>438</v>
      </c>
      <c r="C124" s="41" t="e">
        <f>Vuosikate!C124-'6. Poistot'!C124</f>
        <v>#REF!</v>
      </c>
      <c r="D124" s="41">
        <f>Vuosikate!D124-'6. Poistot'!D124</f>
        <v>1314</v>
      </c>
      <c r="E124" s="41">
        <f>Vuosikate!E124-'6. Poistot'!E124</f>
        <v>1893</v>
      </c>
      <c r="F124" s="41">
        <f>Vuosikate!F124-'6. Poistot'!F124</f>
        <v>518</v>
      </c>
      <c r="G124" s="41">
        <f>Vuosikate!G124-'6. Poistot'!G124</f>
        <v>-1169</v>
      </c>
      <c r="H124" s="41">
        <f>Vuosikate!H124-'6. Poistot'!H124</f>
        <v>30259.822853882099</v>
      </c>
      <c r="I124" s="41">
        <f>Vuosikate!I124-'6. Poistot'!I124</f>
        <v>-1089.5270704181412</v>
      </c>
      <c r="J124" s="41">
        <f>Vuosikate!J124-'6. Poistot'!J124</f>
        <v>-6874.2154001939462</v>
      </c>
      <c r="K124" s="41">
        <f>Vuosikate!K124-'6. Poistot'!K124</f>
        <v>1402.8688352190925</v>
      </c>
      <c r="L124" s="41">
        <f>Vuosikate!L124-'6. Poistot'!L124</f>
        <v>-645.15512633321168</v>
      </c>
      <c r="M124" s="41">
        <f>Vuosikate!M124-'6. Poistot'!M124</f>
        <v>-1940.7966448264121</v>
      </c>
      <c r="N124" s="41">
        <f>Vuosikate!N124-'6. Poistot'!N124</f>
        <v>-1605.624070023259</v>
      </c>
      <c r="O124" s="41">
        <f>Vuosikate!O124-'6. Poistot'!O124</f>
        <v>-1706.8175606344851</v>
      </c>
      <c r="P124" s="41">
        <f>Vuosikate!P124-'6. Poistot'!P124</f>
        <v>-548.49261996418318</v>
      </c>
      <c r="T124" s="34">
        <v>309</v>
      </c>
      <c r="U124" s="88" t="s">
        <v>438</v>
      </c>
      <c r="V124" s="41" t="e">
        <f>C124/'1. Väestöennuste'!E124*1000</f>
        <v>#REF!</v>
      </c>
      <c r="W124" s="41">
        <f>D124/'1. Väestöennuste'!F124*1000</f>
        <v>185.30531659850516</v>
      </c>
      <c r="X124" s="41">
        <f>E124/'1. Väestöennuste'!G124*1000</f>
        <v>270.31272311866343</v>
      </c>
      <c r="Y124" s="41">
        <f>F124/'1. Väestöennuste'!H124*1000</f>
        <v>76.142878141996178</v>
      </c>
      <c r="Z124" s="41">
        <f>G124/'1. Väestöennuste'!I124*1000</f>
        <v>-174.79066985645932</v>
      </c>
      <c r="AA124" s="41">
        <f>H124/'1. Väestöennuste'!J124*1000</f>
        <v>4618.4100814838366</v>
      </c>
      <c r="AB124" s="41">
        <f>I124/'1. Väestöennuste'!K124*1000</f>
        <v>-167.46496624933002</v>
      </c>
      <c r="AC124" s="41">
        <f>J124/'1. Väestöennuste'!L124*1000</f>
        <v>-1064.6144339776902</v>
      </c>
      <c r="AD124" s="41">
        <f>K124/'1. Väestöennuste'!M124*1000</f>
        <v>218.89044082057927</v>
      </c>
      <c r="AE124" s="41">
        <f>L124/'1. Väestöennuste'!N124*1000</f>
        <v>-105.0057171766295</v>
      </c>
      <c r="AF124" s="41">
        <f>M124/'1. Väestöennuste'!O124*1000</f>
        <v>-320.84586623018879</v>
      </c>
      <c r="AG124" s="41">
        <f>N124/'1. Väestöennuste'!P124*1000</f>
        <v>-269.71679321741294</v>
      </c>
      <c r="AH124" s="41">
        <f>O124/'1. Väestöennuste'!Q124*1000</f>
        <v>-291.11675944644128</v>
      </c>
      <c r="AI124" s="41">
        <f>P124/'1. Väestöennuste'!R124*1000</f>
        <v>-95.026441435236165</v>
      </c>
    </row>
    <row r="125" spans="1:35" x14ac:dyDescent="0.2">
      <c r="A125" s="34">
        <v>312</v>
      </c>
      <c r="B125" s="88" t="s">
        <v>439</v>
      </c>
      <c r="C125" s="41" t="e">
        <f>Vuosikate!C125-'6. Poistot'!C125</f>
        <v>#REF!</v>
      </c>
      <c r="D125" s="41">
        <f>Vuosikate!D125-'6. Poistot'!D125</f>
        <v>-1434</v>
      </c>
      <c r="E125" s="41">
        <f>Vuosikate!E125-'6. Poistot'!E125</f>
        <v>22</v>
      </c>
      <c r="F125" s="41">
        <f>Vuosikate!F125-'6. Poistot'!F125</f>
        <v>-385</v>
      </c>
      <c r="G125" s="41">
        <f>Vuosikate!G125-'6. Poistot'!G125</f>
        <v>-4177</v>
      </c>
      <c r="H125" s="41">
        <f>Vuosikate!H125-'6. Poistot'!H125</f>
        <v>982.10994033530096</v>
      </c>
      <c r="I125" s="41">
        <f>Vuosikate!I125-'6. Poistot'!I125</f>
        <v>780.39085881265373</v>
      </c>
      <c r="J125" s="41">
        <f>Vuosikate!J125-'6. Poistot'!J125</f>
        <v>462.43570730706347</v>
      </c>
      <c r="K125" s="41">
        <f>Vuosikate!K125-'6. Poistot'!K125</f>
        <v>211.36206702440074</v>
      </c>
      <c r="L125" s="41">
        <f>Vuosikate!L125-'6. Poistot'!L125</f>
        <v>-117.42502275834838</v>
      </c>
      <c r="M125" s="41">
        <f>Vuosikate!M125-'6. Poistot'!M125</f>
        <v>-184.03445992045215</v>
      </c>
      <c r="N125" s="41">
        <f>Vuosikate!N125-'6. Poistot'!N125</f>
        <v>-230.44787510991512</v>
      </c>
      <c r="O125" s="41">
        <f>Vuosikate!O125-'6. Poistot'!O125</f>
        <v>-219.97012651761062</v>
      </c>
      <c r="P125" s="41">
        <f>Vuosikate!P125-'6. Poistot'!P125</f>
        <v>-179.40362331325093</v>
      </c>
      <c r="T125" s="34">
        <v>312</v>
      </c>
      <c r="U125" s="88" t="s">
        <v>439</v>
      </c>
      <c r="V125" s="41" t="e">
        <f>C125/'1. Väestöennuste'!E125*1000</f>
        <v>#REF!</v>
      </c>
      <c r="W125" s="41">
        <f>D125/'1. Väestöennuste'!F125*1000</f>
        <v>-1042.909090909091</v>
      </c>
      <c r="X125" s="41">
        <f>E125/'1. Väestöennuste'!G125*1000</f>
        <v>16.272189349112427</v>
      </c>
      <c r="Y125" s="41">
        <f>F125/'1. Väestöennuste'!H125*1000</f>
        <v>-286.67163067758747</v>
      </c>
      <c r="Z125" s="41">
        <f>G125/'1. Väestöennuste'!I125*1000</f>
        <v>-3181.2642802741811</v>
      </c>
      <c r="AA125" s="41">
        <f>H125/'1. Väestöennuste'!J125*1000</f>
        <v>762.5077176516312</v>
      </c>
      <c r="AB125" s="41">
        <f>I125/'1. Väestöennuste'!K125*1000</f>
        <v>633.43413864663455</v>
      </c>
      <c r="AC125" s="41">
        <f>J125/'1. Väestöennuste'!L125*1000</f>
        <v>386.65192918650791</v>
      </c>
      <c r="AD125" s="41">
        <f>K125/'1. Väestöennuste'!M125*1000</f>
        <v>180.03583221839926</v>
      </c>
      <c r="AE125" s="41">
        <f>L125/'1. Väestöennuste'!N125*1000</f>
        <v>-97.935798797621672</v>
      </c>
      <c r="AF125" s="41">
        <f>M125/'1. Väestöennuste'!O125*1000</f>
        <v>-156.09368949995942</v>
      </c>
      <c r="AG125" s="41">
        <f>N125/'1. Väestöennuste'!P125*1000</f>
        <v>-198.49084850121886</v>
      </c>
      <c r="AH125" s="41">
        <f>O125/'1. Väestöennuste'!Q125*1000</f>
        <v>-192.44980447734963</v>
      </c>
      <c r="AI125" s="41">
        <f>P125/'1. Väestöennuste'!R125*1000</f>
        <v>-159.61176451356846</v>
      </c>
    </row>
    <row r="126" spans="1:35" x14ac:dyDescent="0.2">
      <c r="A126" s="34">
        <v>316</v>
      </c>
      <c r="B126" s="88" t="s">
        <v>440</v>
      </c>
      <c r="C126" s="41" t="e">
        <f>Vuosikate!C126-'6. Poistot'!C126</f>
        <v>#REF!</v>
      </c>
      <c r="D126" s="41">
        <f>Vuosikate!D126-'6. Poistot'!D126</f>
        <v>-165</v>
      </c>
      <c r="E126" s="41">
        <f>Vuosikate!E126-'6. Poistot'!E126</f>
        <v>1391</v>
      </c>
      <c r="F126" s="41">
        <f>Vuosikate!F126-'6. Poistot'!F126</f>
        <v>-706</v>
      </c>
      <c r="G126" s="41">
        <f>Vuosikate!G126-'6. Poistot'!G126</f>
        <v>-702</v>
      </c>
      <c r="H126" s="41">
        <f>Vuosikate!H126-'6. Poistot'!H126</f>
        <v>3453.4064914306709</v>
      </c>
      <c r="I126" s="41">
        <f>Vuosikate!I126-'6. Poistot'!I126</f>
        <v>357.84476094981164</v>
      </c>
      <c r="J126" s="41">
        <f>Vuosikate!J126-'6. Poistot'!J126</f>
        <v>-99.060543541421339</v>
      </c>
      <c r="K126" s="41">
        <f>Vuosikate!K126-'6. Poistot'!K126</f>
        <v>167.50771573882298</v>
      </c>
      <c r="L126" s="41">
        <f>Vuosikate!L126-'6. Poistot'!L126</f>
        <v>795.2656127688324</v>
      </c>
      <c r="M126" s="41">
        <f>Vuosikate!M126-'6. Poistot'!M126</f>
        <v>-1316.2387634534296</v>
      </c>
      <c r="N126" s="41">
        <f>Vuosikate!N126-'6. Poistot'!N126</f>
        <v>-2416.3147691329195</v>
      </c>
      <c r="O126" s="41">
        <f>Vuosikate!O126-'6. Poistot'!O126</f>
        <v>-2412.3261522591947</v>
      </c>
      <c r="P126" s="41">
        <f>Vuosikate!P126-'6. Poistot'!P126</f>
        <v>-2228.9259741314859</v>
      </c>
      <c r="T126" s="34">
        <v>316</v>
      </c>
      <c r="U126" s="88" t="s">
        <v>440</v>
      </c>
      <c r="V126" s="41" t="e">
        <f>C126/'1. Väestöennuste'!E126*1000</f>
        <v>#REF!</v>
      </c>
      <c r="W126" s="41">
        <f>D126/'1. Väestöennuste'!F126*1000</f>
        <v>-36.343612334801762</v>
      </c>
      <c r="X126" s="41">
        <f>E126/'1. Väestöennuste'!G126*1000</f>
        <v>308.56255545696536</v>
      </c>
      <c r="Y126" s="41">
        <f>F126/'1. Väestöennuste'!H126*1000</f>
        <v>-158.61604133902495</v>
      </c>
      <c r="Z126" s="41">
        <f>G126/'1. Väestöennuste'!I126*1000</f>
        <v>-160.71428571428572</v>
      </c>
      <c r="AA126" s="41">
        <f>H126/'1. Väestöennuste'!J126*1000</f>
        <v>798.29091341439459</v>
      </c>
      <c r="AB126" s="41">
        <f>I126/'1. Väestöennuste'!K126*1000</f>
        <v>84.297941330933256</v>
      </c>
      <c r="AC126" s="41">
        <f>J126/'1. Väestöennuste'!L126*1000</f>
        <v>-23.597080405293315</v>
      </c>
      <c r="AD126" s="41">
        <f>K126/'1. Väestöennuste'!M126*1000</f>
        <v>40.716508444050312</v>
      </c>
      <c r="AE126" s="41">
        <f>L126/'1. Väestöennuste'!N126*1000</f>
        <v>192.51164676079216</v>
      </c>
      <c r="AF126" s="41">
        <f>M126/'1. Väestöennuste'!O126*1000</f>
        <v>-321.74010350853814</v>
      </c>
      <c r="AG126" s="41">
        <f>N126/'1. Väestöennuste'!P126*1000</f>
        <v>-595.88526982316137</v>
      </c>
      <c r="AH126" s="41">
        <f>O126/'1. Väestöennuste'!Q126*1000</f>
        <v>-599.48463028310005</v>
      </c>
      <c r="AI126" s="41">
        <f>P126/'1. Väestöennuste'!R126*1000</f>
        <v>-558.20835815965086</v>
      </c>
    </row>
    <row r="127" spans="1:35" x14ac:dyDescent="0.2">
      <c r="A127" s="34">
        <v>317</v>
      </c>
      <c r="B127" s="88" t="s">
        <v>441</v>
      </c>
      <c r="C127" s="41" t="e">
        <f>Vuosikate!C127-'6. Poistot'!C127</f>
        <v>#REF!</v>
      </c>
      <c r="D127" s="41">
        <f>Vuosikate!D127-'6. Poistot'!D127</f>
        <v>856</v>
      </c>
      <c r="E127" s="41">
        <f>Vuosikate!E127-'6. Poistot'!E127</f>
        <v>113</v>
      </c>
      <c r="F127" s="41">
        <f>Vuosikate!F127-'6. Poistot'!F127</f>
        <v>416</v>
      </c>
      <c r="G127" s="41">
        <f>Vuosikate!G127-'6. Poistot'!G127</f>
        <v>824</v>
      </c>
      <c r="H127" s="41">
        <f>Vuosikate!H127-'6. Poistot'!H127</f>
        <v>1387.620233685213</v>
      </c>
      <c r="I127" s="41">
        <f>Vuosikate!I127-'6. Poistot'!I127</f>
        <v>1311.3020167036148</v>
      </c>
      <c r="J127" s="41">
        <f>Vuosikate!J127-'6. Poistot'!J127</f>
        <v>938.88220624769201</v>
      </c>
      <c r="K127" s="41">
        <f>Vuosikate!K127-'6. Poistot'!K127</f>
        <v>615.51628993345014</v>
      </c>
      <c r="L127" s="41">
        <f>Vuosikate!L127-'6. Poistot'!L127</f>
        <v>-83.221366686964188</v>
      </c>
      <c r="M127" s="41">
        <f>Vuosikate!M127-'6. Poistot'!M127</f>
        <v>-515.59472574202789</v>
      </c>
      <c r="N127" s="41">
        <f>Vuosikate!N127-'6. Poistot'!N127</f>
        <v>-759.09753498082682</v>
      </c>
      <c r="O127" s="41">
        <f>Vuosikate!O127-'6. Poistot'!O127</f>
        <v>-1008.3878702155844</v>
      </c>
      <c r="P127" s="41">
        <f>Vuosikate!P127-'6. Poistot'!P127</f>
        <v>-1020.1600247904723</v>
      </c>
      <c r="T127" s="34">
        <v>317</v>
      </c>
      <c r="U127" s="88" t="s">
        <v>441</v>
      </c>
      <c r="V127" s="41" t="e">
        <f>C127/'1. Väestöennuste'!E127*1000</f>
        <v>#REF!</v>
      </c>
      <c r="W127" s="41">
        <f>D127/'1. Väestöennuste'!F127*1000</f>
        <v>322.41054613935972</v>
      </c>
      <c r="X127" s="41">
        <f>E127/'1. Väestöennuste'!G127*1000</f>
        <v>43.278437380314053</v>
      </c>
      <c r="Y127" s="41">
        <f>F127/'1. Väestöennuste'!H127*1000</f>
        <v>159.20398009950247</v>
      </c>
      <c r="Z127" s="41">
        <f>G127/'1. Väestöennuste'!I127*1000</f>
        <v>319.87577639751549</v>
      </c>
      <c r="AA127" s="41">
        <f>H127/'1. Väestöennuste'!J127*1000</f>
        <v>546.73768072703422</v>
      </c>
      <c r="AB127" s="41">
        <f>I127/'1. Väestöennuste'!K127*1000</f>
        <v>517.68733387430507</v>
      </c>
      <c r="AC127" s="41">
        <f>J127/'1. Väestöennuste'!L127*1000</f>
        <v>379.4996791623654</v>
      </c>
      <c r="AD127" s="41">
        <f>K127/'1. Väestöennuste'!M127*1000</f>
        <v>252.26077456288942</v>
      </c>
      <c r="AE127" s="41">
        <f>L127/'1. Väestöennuste'!N127*1000</f>
        <v>-34.388994498745532</v>
      </c>
      <c r="AF127" s="41">
        <f>M127/'1. Väestöennuste'!O127*1000</f>
        <v>-215.36955962490723</v>
      </c>
      <c r="AG127" s="41">
        <f>N127/'1. Väestöennuste'!P127*1000</f>
        <v>-320.42952088679897</v>
      </c>
      <c r="AH127" s="41">
        <f>O127/'1. Väestöennuste'!Q127*1000</f>
        <v>-430.75090568798993</v>
      </c>
      <c r="AI127" s="41">
        <f>P127/'1. Väestöennuste'!R127*1000</f>
        <v>-440.4836031046944</v>
      </c>
    </row>
    <row r="128" spans="1:35" x14ac:dyDescent="0.2">
      <c r="A128" s="34">
        <v>320</v>
      </c>
      <c r="B128" s="88" t="s">
        <v>442</v>
      </c>
      <c r="C128" s="41" t="e">
        <f>Vuosikate!C128-'6. Poistot'!C128</f>
        <v>#REF!</v>
      </c>
      <c r="D128" s="41">
        <f>Vuosikate!D128-'6. Poistot'!D128</f>
        <v>86</v>
      </c>
      <c r="E128" s="41">
        <f>Vuosikate!E128-'6. Poistot'!E128</f>
        <v>-1858</v>
      </c>
      <c r="F128" s="41">
        <f>Vuosikate!F128-'6. Poistot'!F128</f>
        <v>-1238</v>
      </c>
      <c r="G128" s="41">
        <f>Vuosikate!G128-'6. Poistot'!G128</f>
        <v>-357</v>
      </c>
      <c r="H128" s="41">
        <f>Vuosikate!H128-'6. Poistot'!H128</f>
        <v>2476.4755028888394</v>
      </c>
      <c r="I128" s="41">
        <f>Vuosikate!I128-'6. Poistot'!I128</f>
        <v>4219.6537500418572</v>
      </c>
      <c r="J128" s="41">
        <f>Vuosikate!J128-'6. Poistot'!J128</f>
        <v>9101.8482196484165</v>
      </c>
      <c r="K128" s="41">
        <f>Vuosikate!K128-'6. Poistot'!K128</f>
        <v>5803.3871281307402</v>
      </c>
      <c r="L128" s="41">
        <f>Vuosikate!L128-'6. Poistot'!L128</f>
        <v>2097.1430957576831</v>
      </c>
      <c r="M128" s="41">
        <f>Vuosikate!M128-'6. Poistot'!M128</f>
        <v>3310.5865670973435</v>
      </c>
      <c r="N128" s="41">
        <f>Vuosikate!N128-'6. Poistot'!N128</f>
        <v>2692.1070948483239</v>
      </c>
      <c r="O128" s="41">
        <f>Vuosikate!O128-'6. Poistot'!O128</f>
        <v>2706.2014386904198</v>
      </c>
      <c r="P128" s="41">
        <f>Vuosikate!P128-'6. Poistot'!P128</f>
        <v>3750.7740236010877</v>
      </c>
      <c r="T128" s="34">
        <v>320</v>
      </c>
      <c r="U128" s="88" t="s">
        <v>442</v>
      </c>
      <c r="V128" s="41" t="e">
        <f>C128/'1. Väestöennuste'!E128*1000</f>
        <v>#REF!</v>
      </c>
      <c r="W128" s="41">
        <f>D128/'1. Väestöennuste'!F128*1000</f>
        <v>11.225688552408302</v>
      </c>
      <c r="X128" s="41">
        <f>E128/'1. Väestöennuste'!G128*1000</f>
        <v>-246.61534377488718</v>
      </c>
      <c r="Y128" s="41">
        <f>F128/'1. Väestöennuste'!H128*1000</f>
        <v>-167.97829036635005</v>
      </c>
      <c r="Z128" s="41">
        <f>G128/'1. Väestöennuste'!I128*1000</f>
        <v>-49.078911190541653</v>
      </c>
      <c r="AA128" s="41">
        <f>H128/'1. Väestöennuste'!J128*1000</f>
        <v>344.38541272268662</v>
      </c>
      <c r="AB128" s="41">
        <f>I128/'1. Väestöennuste'!K128*1000</f>
        <v>593.89919071665827</v>
      </c>
      <c r="AC128" s="41">
        <f>J128/'1. Väestöennuste'!L128*1000</f>
        <v>1301.0074642150396</v>
      </c>
      <c r="AD128" s="41">
        <f>K128/'1. Väestöennuste'!M128*1000</f>
        <v>825.51737242258037</v>
      </c>
      <c r="AE128" s="41">
        <f>L128/'1. Väestöennuste'!N128*1000</f>
        <v>311.01039533704335</v>
      </c>
      <c r="AF128" s="41">
        <f>M128/'1. Väestöennuste'!O128*1000</f>
        <v>497.75771569648822</v>
      </c>
      <c r="AG128" s="41">
        <f>N128/'1. Väestöennuste'!P128*1000</f>
        <v>410.38217909273226</v>
      </c>
      <c r="AH128" s="41">
        <f>O128/'1. Väestöennuste'!Q128*1000</f>
        <v>417.94616813751657</v>
      </c>
      <c r="AI128" s="41">
        <f>P128/'1. Väestöennuste'!R128*1000</f>
        <v>586.51665732620609</v>
      </c>
    </row>
    <row r="129" spans="1:35" x14ac:dyDescent="0.2">
      <c r="A129" s="34">
        <v>322</v>
      </c>
      <c r="B129" s="88" t="s">
        <v>443</v>
      </c>
      <c r="C129" s="41" t="e">
        <f>Vuosikate!C129-'6. Poistot'!C129</f>
        <v>#REF!</v>
      </c>
      <c r="D129" s="41">
        <f>Vuosikate!D129-'6. Poistot'!D129</f>
        <v>495</v>
      </c>
      <c r="E129" s="41">
        <f>Vuosikate!E129-'6. Poistot'!E129</f>
        <v>1736</v>
      </c>
      <c r="F129" s="41">
        <f>Vuosikate!F129-'6. Poistot'!F129</f>
        <v>-3049</v>
      </c>
      <c r="G129" s="41">
        <f>Vuosikate!G129-'6. Poistot'!G129</f>
        <v>-2579</v>
      </c>
      <c r="H129" s="41">
        <f>Vuosikate!H129-'6. Poistot'!H129</f>
        <v>3134.6166194393045</v>
      </c>
      <c r="I129" s="41">
        <f>Vuosikate!I129-'6. Poistot'!I129</f>
        <v>2434.7559650494486</v>
      </c>
      <c r="J129" s="41">
        <f>Vuosikate!J129-'6. Poistot'!J129</f>
        <v>2726.5519310168511</v>
      </c>
      <c r="K129" s="41">
        <f>Vuosikate!K129-'6. Poistot'!K129</f>
        <v>3124.67811264174</v>
      </c>
      <c r="L129" s="41">
        <f>Vuosikate!L129-'6. Poistot'!L129</f>
        <v>1162.2683192158984</v>
      </c>
      <c r="M129" s="41">
        <f>Vuosikate!M129-'6. Poistot'!M129</f>
        <v>688.69856587389404</v>
      </c>
      <c r="N129" s="41">
        <f>Vuosikate!N129-'6. Poistot'!N129</f>
        <v>768.51773709991721</v>
      </c>
      <c r="O129" s="41">
        <f>Vuosikate!O129-'6. Poistot'!O129</f>
        <v>483.43907769272846</v>
      </c>
      <c r="P129" s="41">
        <f>Vuosikate!P129-'6. Poistot'!P129</f>
        <v>1439.0092086274417</v>
      </c>
      <c r="T129" s="34">
        <v>322</v>
      </c>
      <c r="U129" s="88" t="s">
        <v>443</v>
      </c>
      <c r="V129" s="41" t="e">
        <f>C129/'1. Väestöennuste'!E129*1000</f>
        <v>#REF!</v>
      </c>
      <c r="W129" s="41">
        <f>D129/'1. Väestöennuste'!F129*1000</f>
        <v>72.031431897555308</v>
      </c>
      <c r="X129" s="41">
        <f>E129/'1. Väestöennuste'!G129*1000</f>
        <v>255.55719122626229</v>
      </c>
      <c r="Y129" s="41">
        <f>F129/'1. Väestöennuste'!H129*1000</f>
        <v>-453.45032718619871</v>
      </c>
      <c r="Z129" s="41">
        <f>G129/'1. Väestöennuste'!I129*1000</f>
        <v>-388.40361445783134</v>
      </c>
      <c r="AA129" s="41">
        <f>H129/'1. Väestöennuste'!J129*1000</f>
        <v>474.29514592817441</v>
      </c>
      <c r="AB129" s="41">
        <f>I129/'1. Väestöennuste'!K129*1000</f>
        <v>368.12155504225109</v>
      </c>
      <c r="AC129" s="41">
        <f>J129/'1. Väestöennuste'!L129*1000</f>
        <v>416.33103237392748</v>
      </c>
      <c r="AD129" s="41">
        <f>K129/'1. Väestöennuste'!M129*1000</f>
        <v>483.54659743759515</v>
      </c>
      <c r="AE129" s="41">
        <f>L129/'1. Väestöennuste'!N129*1000</f>
        <v>182.60303522637838</v>
      </c>
      <c r="AF129" s="41">
        <f>M129/'1. Väestöennuste'!O129*1000</f>
        <v>108.97129206865412</v>
      </c>
      <c r="AG129" s="41">
        <f>N129/'1. Väestöennuste'!P129*1000</f>
        <v>122.41442132843535</v>
      </c>
      <c r="AH129" s="41">
        <f>O129/'1. Väestöennuste'!Q129*1000</f>
        <v>77.499050608003927</v>
      </c>
      <c r="AI129" s="41">
        <f>P129/'1. Väestöennuste'!R129*1000</f>
        <v>232.09825945603899</v>
      </c>
    </row>
    <row r="130" spans="1:35" x14ac:dyDescent="0.2">
      <c r="A130" s="34">
        <v>398</v>
      </c>
      <c r="B130" s="88" t="s">
        <v>444</v>
      </c>
      <c r="C130" s="41" t="e">
        <f>Vuosikate!C130-'6. Poistot'!C130</f>
        <v>#REF!</v>
      </c>
      <c r="D130" s="41">
        <f>Vuosikate!D130-'6. Poistot'!D130</f>
        <v>-10707</v>
      </c>
      <c r="E130" s="41">
        <f>Vuosikate!E130-'6. Poistot'!E130</f>
        <v>15127</v>
      </c>
      <c r="F130" s="41">
        <f>Vuosikate!F130-'6. Poistot'!F130</f>
        <v>522</v>
      </c>
      <c r="G130" s="41">
        <f>Vuosikate!G130-'6. Poistot'!G130</f>
        <v>-21484</v>
      </c>
      <c r="H130" s="41">
        <f>Vuosikate!H130-'6. Poistot'!H130</f>
        <v>46139.076121145743</v>
      </c>
      <c r="I130" s="41">
        <f>Vuosikate!I130-'6. Poistot'!I130</f>
        <v>26897.850852462783</v>
      </c>
      <c r="J130" s="41">
        <f>Vuosikate!J130-'6. Poistot'!J130</f>
        <v>51364.410189042821</v>
      </c>
      <c r="K130" s="41">
        <f>Vuosikate!K130-'6. Poistot'!K130</f>
        <v>40805.587539933207</v>
      </c>
      <c r="L130" s="41">
        <f>Vuosikate!L130-'6. Poistot'!L130</f>
        <v>-50193.815373439727</v>
      </c>
      <c r="M130" s="41">
        <f>Vuosikate!M130-'6. Poistot'!M130</f>
        <v>-21933.943091477006</v>
      </c>
      <c r="N130" s="41">
        <f>Vuosikate!N130-'6. Poistot'!N130</f>
        <v>-17431.568483425239</v>
      </c>
      <c r="O130" s="41">
        <f>Vuosikate!O130-'6. Poistot'!O130</f>
        <v>-19521.377287758871</v>
      </c>
      <c r="P130" s="41">
        <f>Vuosikate!P130-'6. Poistot'!P130</f>
        <v>-13627.115130585989</v>
      </c>
      <c r="T130" s="34">
        <v>398</v>
      </c>
      <c r="U130" s="88" t="s">
        <v>444</v>
      </c>
      <c r="V130" s="41" t="e">
        <f>C130/'1. Väestöennuste'!E130*1000</f>
        <v>#REF!</v>
      </c>
      <c r="W130" s="41">
        <f>D130/'1. Väestöennuste'!F130*1000</f>
        <v>-89.634330107490882</v>
      </c>
      <c r="X130" s="41">
        <f>E130/'1. Väestöennuste'!G130*1000</f>
        <v>126.50849271992843</v>
      </c>
      <c r="Y130" s="41">
        <f>F130/'1. Väestöennuste'!H130*1000</f>
        <v>4.3517769755983693</v>
      </c>
      <c r="Z130" s="41">
        <f>G130/'1. Väestöennuste'!I130*1000</f>
        <v>-179.29779758477088</v>
      </c>
      <c r="AA130" s="41">
        <f>H130/'1. Väestöennuste'!J130*1000</f>
        <v>384.54357348601263</v>
      </c>
      <c r="AB130" s="41">
        <f>I130/'1. Väestöennuste'!K130*1000</f>
        <v>224.09833497848635</v>
      </c>
      <c r="AC130" s="41">
        <f>J130/'1. Väestöennuste'!L130*1000</f>
        <v>427.41344030824064</v>
      </c>
      <c r="AD130" s="41">
        <f>K130/'1. Väestöennuste'!M130*1000</f>
        <v>338.09406958094672</v>
      </c>
      <c r="AE130" s="41">
        <f>L130/'1. Väestöennuste'!N130*1000</f>
        <v>-415.52547578926232</v>
      </c>
      <c r="AF130" s="41">
        <f>M130/'1. Väestöennuste'!O130*1000</f>
        <v>-181.41919150615379</v>
      </c>
      <c r="AG130" s="41">
        <f>N130/'1. Väestöennuste'!P130*1000</f>
        <v>-144.10184995432837</v>
      </c>
      <c r="AH130" s="41">
        <f>O130/'1. Väestöennuste'!Q130*1000</f>
        <v>-161.33769670123118</v>
      </c>
      <c r="AI130" s="41">
        <f>P130/'1. Väestöennuste'!R130*1000</f>
        <v>-112.62823269791382</v>
      </c>
    </row>
    <row r="131" spans="1:35" x14ac:dyDescent="0.2">
      <c r="A131" s="34">
        <v>399</v>
      </c>
      <c r="B131" s="88" t="s">
        <v>445</v>
      </c>
      <c r="C131" s="41" t="e">
        <f>Vuosikate!C131-'6. Poistot'!C131</f>
        <v>#REF!</v>
      </c>
      <c r="D131" s="41">
        <f>Vuosikate!D131-'6. Poistot'!D131</f>
        <v>-1789</v>
      </c>
      <c r="E131" s="41">
        <f>Vuosikate!E131-'6. Poistot'!E131</f>
        <v>-159</v>
      </c>
      <c r="F131" s="41">
        <f>Vuosikate!F131-'6. Poistot'!F131</f>
        <v>-1532</v>
      </c>
      <c r="G131" s="41">
        <f>Vuosikate!G131-'6. Poistot'!G131</f>
        <v>-912</v>
      </c>
      <c r="H131" s="41">
        <f>Vuosikate!H131-'6. Poistot'!H131</f>
        <v>1893.8633645300579</v>
      </c>
      <c r="I131" s="41">
        <f>Vuosikate!I131-'6. Poistot'!I131</f>
        <v>1394.7111519808232</v>
      </c>
      <c r="J131" s="41">
        <f>Vuosikate!J131-'6. Poistot'!J131</f>
        <v>31.438846845024727</v>
      </c>
      <c r="K131" s="41">
        <f>Vuosikate!K131-'6. Poistot'!K131</f>
        <v>706.53195617763095</v>
      </c>
      <c r="L131" s="41">
        <f>Vuosikate!L131-'6. Poistot'!L131</f>
        <v>-1248.5761529438055</v>
      </c>
      <c r="M131" s="41">
        <f>Vuosikate!M131-'6. Poistot'!M131</f>
        <v>-1752.2276595592857</v>
      </c>
      <c r="N131" s="41">
        <f>Vuosikate!N131-'6. Poistot'!N131</f>
        <v>-1146.9974357410147</v>
      </c>
      <c r="O131" s="41">
        <f>Vuosikate!O131-'6. Poistot'!O131</f>
        <v>-908.23784041574572</v>
      </c>
      <c r="P131" s="41">
        <f>Vuosikate!P131-'6. Poistot'!P131</f>
        <v>-446.12465930549183</v>
      </c>
      <c r="T131" s="34">
        <v>399</v>
      </c>
      <c r="U131" s="88" t="s">
        <v>445</v>
      </c>
      <c r="V131" s="41" t="e">
        <f>C131/'1. Väestöennuste'!E131*1000</f>
        <v>#REF!</v>
      </c>
      <c r="W131" s="41">
        <f>D131/'1. Väestöennuste'!F131*1000</f>
        <v>-219.80587295736578</v>
      </c>
      <c r="X131" s="41">
        <f>E131/'1. Väestöennuste'!G131*1000</f>
        <v>-19.749099490746492</v>
      </c>
      <c r="Y131" s="41">
        <f>F131/'1. Väestöennuste'!H131*1000</f>
        <v>-190.12161826756019</v>
      </c>
      <c r="Z131" s="41">
        <f>G131/'1. Väestöennuste'!I131*1000</f>
        <v>-113.75826368965947</v>
      </c>
      <c r="AA131" s="41">
        <f>H131/'1. Väestöennuste'!J131*1000</f>
        <v>236.85134623937694</v>
      </c>
      <c r="AB131" s="41">
        <f>I131/'1. Väestöennuste'!K131*1000</f>
        <v>176.18887720828994</v>
      </c>
      <c r="AC131" s="41">
        <f>J131/'1. Väestöennuste'!L131*1000</f>
        <v>4.0218558072182073</v>
      </c>
      <c r="AD131" s="41">
        <f>K131/'1. Väestöennuste'!M131*1000</f>
        <v>91.972397315494774</v>
      </c>
      <c r="AE131" s="41">
        <f>L131/'1. Väestöennuste'!N131*1000</f>
        <v>-158.30812133178716</v>
      </c>
      <c r="AF131" s="41">
        <f>M131/'1. Väestöennuste'!O131*1000</f>
        <v>-223.15685934275163</v>
      </c>
      <c r="AG131" s="41">
        <f>N131/'1. Väestöennuste'!P131*1000</f>
        <v>-146.74992780719225</v>
      </c>
      <c r="AH131" s="41">
        <f>O131/'1. Väestöennuste'!Q131*1000</f>
        <v>-116.80013379832121</v>
      </c>
      <c r="AI131" s="41">
        <f>P131/'1. Väestöennuste'!R131*1000</f>
        <v>-57.713410000710461</v>
      </c>
    </row>
    <row r="132" spans="1:35" x14ac:dyDescent="0.2">
      <c r="A132" s="34">
        <v>400</v>
      </c>
      <c r="B132" s="88" t="s">
        <v>446</v>
      </c>
      <c r="C132" s="41" t="e">
        <f>Vuosikate!C132-'6. Poistot'!C132</f>
        <v>#REF!</v>
      </c>
      <c r="D132" s="41">
        <f>Vuosikate!D132-'6. Poistot'!D132</f>
        <v>880</v>
      </c>
      <c r="E132" s="41">
        <f>Vuosikate!E132-'6. Poistot'!E132</f>
        <v>-680</v>
      </c>
      <c r="F132" s="41">
        <f>Vuosikate!F132-'6. Poistot'!F132</f>
        <v>-1024</v>
      </c>
      <c r="G132" s="41">
        <f>Vuosikate!G132-'6. Poistot'!G132</f>
        <v>-2670</v>
      </c>
      <c r="H132" s="41">
        <f>Vuosikate!H132-'6. Poistot'!H132</f>
        <v>2832.0846484991198</v>
      </c>
      <c r="I132" s="41">
        <f>Vuosikate!I132-'6. Poistot'!I132</f>
        <v>1439.4262266408577</v>
      </c>
      <c r="J132" s="41">
        <f>Vuosikate!J132-'6. Poistot'!J132</f>
        <v>1799.1326955363829</v>
      </c>
      <c r="K132" s="41">
        <f>Vuosikate!K132-'6. Poistot'!K132</f>
        <v>3390.6215790047117</v>
      </c>
      <c r="L132" s="41">
        <f>Vuosikate!L132-'6. Poistot'!L132</f>
        <v>-211.61194347308128</v>
      </c>
      <c r="M132" s="41">
        <f>Vuosikate!M132-'6. Poistot'!M132</f>
        <v>1094.0295821431218</v>
      </c>
      <c r="N132" s="41">
        <f>Vuosikate!N132-'6. Poistot'!N132</f>
        <v>755.23051489269892</v>
      </c>
      <c r="O132" s="41">
        <f>Vuosikate!O132-'6. Poistot'!O132</f>
        <v>639.41892036446279</v>
      </c>
      <c r="P132" s="41">
        <f>Vuosikate!P132-'6. Poistot'!P132</f>
        <v>1396.2651713061996</v>
      </c>
      <c r="T132" s="34">
        <v>400</v>
      </c>
      <c r="U132" s="88" t="s">
        <v>446</v>
      </c>
      <c r="V132" s="41" t="e">
        <f>C132/'1. Väestöennuste'!E132*1000</f>
        <v>#REF!</v>
      </c>
      <c r="W132" s="41">
        <f>D132/'1. Väestöennuste'!F132*1000</f>
        <v>103.28638497652582</v>
      </c>
      <c r="X132" s="41">
        <f>E132/'1. Väestöennuste'!G132*1000</f>
        <v>-78.97793263646922</v>
      </c>
      <c r="Y132" s="41">
        <f>F132/'1. Väestöennuste'!H132*1000</f>
        <v>-118.42257430322655</v>
      </c>
      <c r="Z132" s="41">
        <f>G132/'1. Väestöennuste'!I132*1000</f>
        <v>-310.89892873777364</v>
      </c>
      <c r="AA132" s="41">
        <f>H132/'1. Väestöennuste'!J132*1000</f>
        <v>334.4455182450543</v>
      </c>
      <c r="AB132" s="41">
        <f>I132/'1. Väestöennuste'!K132*1000</f>
        <v>170.22542888373434</v>
      </c>
      <c r="AC132" s="41">
        <f>J132/'1. Väestöennuste'!L132*1000</f>
        <v>215.05291603351455</v>
      </c>
      <c r="AD132" s="41">
        <f>K132/'1. Väestöennuste'!M132*1000</f>
        <v>401.68482158567843</v>
      </c>
      <c r="AE132" s="41">
        <f>L132/'1. Väestöennuste'!N132*1000</f>
        <v>-25.258050068403115</v>
      </c>
      <c r="AF132" s="41">
        <f>M132/'1. Väestöennuste'!O132*1000</f>
        <v>131.00581752402368</v>
      </c>
      <c r="AG132" s="41">
        <f>N132/'1. Väestöennuste'!P132*1000</f>
        <v>90.729278579132497</v>
      </c>
      <c r="AH132" s="41">
        <f>O132/'1. Väestöennuste'!Q132*1000</f>
        <v>77.094154854649474</v>
      </c>
      <c r="AI132" s="41">
        <f>P132/'1. Väestöennuste'!R132*1000</f>
        <v>168.93710481623708</v>
      </c>
    </row>
    <row r="133" spans="1:35" x14ac:dyDescent="0.2">
      <c r="A133" s="34">
        <v>402</v>
      </c>
      <c r="B133" s="88" t="s">
        <v>447</v>
      </c>
      <c r="C133" s="41" t="e">
        <f>Vuosikate!C133-'6. Poistot'!C133</f>
        <v>#REF!</v>
      </c>
      <c r="D133" s="41">
        <f>Vuosikate!D133-'6. Poistot'!D133</f>
        <v>-1723</v>
      </c>
      <c r="E133" s="41">
        <f>Vuosikate!E133-'6. Poistot'!E133</f>
        <v>1264</v>
      </c>
      <c r="F133" s="41">
        <f>Vuosikate!F133-'6. Poistot'!F133</f>
        <v>526</v>
      </c>
      <c r="G133" s="41">
        <f>Vuosikate!G133-'6. Poistot'!G133</f>
        <v>-546</v>
      </c>
      <c r="H133" s="41">
        <f>Vuosikate!H133-'6. Poistot'!H133</f>
        <v>1943.690440280865</v>
      </c>
      <c r="I133" s="41">
        <f>Vuosikate!I133-'6. Poistot'!I133</f>
        <v>-1188.8229994912826</v>
      </c>
      <c r="J133" s="41">
        <f>Vuosikate!J133-'6. Poistot'!J133</f>
        <v>-2309.597983585335</v>
      </c>
      <c r="K133" s="41">
        <f>Vuosikate!K133-'6. Poistot'!K133</f>
        <v>1355.6244444980316</v>
      </c>
      <c r="L133" s="41">
        <f>Vuosikate!L133-'6. Poistot'!L133</f>
        <v>-1266.5698252401298</v>
      </c>
      <c r="M133" s="41">
        <f>Vuosikate!M133-'6. Poistot'!M133</f>
        <v>4352.1202772242077</v>
      </c>
      <c r="N133" s="41">
        <f>Vuosikate!N133-'6. Poistot'!N133</f>
        <v>-1654.6905454949838</v>
      </c>
      <c r="O133" s="41">
        <f>Vuosikate!O133-'6. Poistot'!O133</f>
        <v>-1644.1454090472012</v>
      </c>
      <c r="P133" s="41">
        <f>Vuosikate!P133-'6. Poistot'!P133</f>
        <v>-769.03915378377633</v>
      </c>
      <c r="T133" s="34">
        <v>402</v>
      </c>
      <c r="U133" s="88" t="s">
        <v>447</v>
      </c>
      <c r="V133" s="41" t="e">
        <f>C133/'1. Väestöennuste'!E133*1000</f>
        <v>#REF!</v>
      </c>
      <c r="W133" s="41">
        <f>D133/'1. Väestöennuste'!F133*1000</f>
        <v>-174.35741752681645</v>
      </c>
      <c r="X133" s="41">
        <f>E133/'1. Väestöennuste'!G133*1000</f>
        <v>130.41683862979778</v>
      </c>
      <c r="Y133" s="41">
        <f>F133/'1. Väestöennuste'!H133*1000</f>
        <v>54.694811271706357</v>
      </c>
      <c r="Z133" s="41">
        <f>G133/'1. Väestöennuste'!I133*1000</f>
        <v>-57.564575645756456</v>
      </c>
      <c r="AA133" s="41">
        <f>H133/'1. Väestöennuste'!J133*1000</f>
        <v>207.70361618731192</v>
      </c>
      <c r="AB133" s="41">
        <f>I133/'1. Väestöennuste'!K133*1000</f>
        <v>-128.56310149143317</v>
      </c>
      <c r="AC133" s="41">
        <f>J133/'1. Väestöennuste'!L133*1000</f>
        <v>-253.82986961043358</v>
      </c>
      <c r="AD133" s="41">
        <f>K133/'1. Väestöennuste'!M133*1000</f>
        <v>151.04450635075563</v>
      </c>
      <c r="AE133" s="41">
        <f>L133/'1. Väestöennuste'!N133*1000</f>
        <v>-141.70617870218501</v>
      </c>
      <c r="AF133" s="41">
        <f>M133/'1. Väestöennuste'!O133*1000</f>
        <v>492.3212983285303</v>
      </c>
      <c r="AG133" s="41">
        <f>N133/'1. Väestöennuste'!P133*1000</f>
        <v>-189.23725360189658</v>
      </c>
      <c r="AH133" s="41">
        <f>O133/'1. Väestöennuste'!Q133*1000</f>
        <v>-190.03067603411941</v>
      </c>
      <c r="AI133" s="41">
        <f>P133/'1. Väestöennuste'!R133*1000</f>
        <v>-89.841022638291619</v>
      </c>
    </row>
    <row r="134" spans="1:35" x14ac:dyDescent="0.2">
      <c r="A134" s="34">
        <v>403</v>
      </c>
      <c r="B134" s="88" t="s">
        <v>448</v>
      </c>
      <c r="C134" s="41" t="e">
        <f>Vuosikate!C134-'6. Poistot'!C134</f>
        <v>#REF!</v>
      </c>
      <c r="D134" s="41">
        <f>Vuosikate!D134-'6. Poistot'!D134</f>
        <v>937</v>
      </c>
      <c r="E134" s="41">
        <f>Vuosikate!E134-'6. Poistot'!E134</f>
        <v>86</v>
      </c>
      <c r="F134" s="41">
        <f>Vuosikate!F134-'6. Poistot'!F134</f>
        <v>102</v>
      </c>
      <c r="G134" s="41">
        <f>Vuosikate!G134-'6. Poistot'!G134</f>
        <v>-430</v>
      </c>
      <c r="H134" s="41">
        <f>Vuosikate!H134-'6. Poistot'!H134</f>
        <v>283.1868516834129</v>
      </c>
      <c r="I134" s="41">
        <f>Vuosikate!I134-'6. Poistot'!I134</f>
        <v>389.40486480392383</v>
      </c>
      <c r="J134" s="41">
        <f>Vuosikate!J134-'6. Poistot'!J134</f>
        <v>212.75115718791562</v>
      </c>
      <c r="K134" s="41">
        <f>Vuosikate!K134-'6. Poistot'!K134</f>
        <v>576.97540677203142</v>
      </c>
      <c r="L134" s="41">
        <f>Vuosikate!L134-'6. Poistot'!L134</f>
        <v>205.98258485073279</v>
      </c>
      <c r="M134" s="41">
        <f>Vuosikate!M134-'6. Poistot'!M134</f>
        <v>-1066.8172825423953</v>
      </c>
      <c r="N134" s="41">
        <f>Vuosikate!N134-'6. Poistot'!N134</f>
        <v>-1289.0299096243334</v>
      </c>
      <c r="O134" s="41">
        <f>Vuosikate!O134-'6. Poistot'!O134</f>
        <v>-1404.3643344120205</v>
      </c>
      <c r="P134" s="41">
        <f>Vuosikate!P134-'6. Poistot'!P134</f>
        <v>-1141.2876712594991</v>
      </c>
      <c r="T134" s="34">
        <v>403</v>
      </c>
      <c r="U134" s="88" t="s">
        <v>448</v>
      </c>
      <c r="V134" s="41" t="e">
        <f>C134/'1. Väestöennuste'!E134*1000</f>
        <v>#REF!</v>
      </c>
      <c r="W134" s="41">
        <f>D134/'1. Väestöennuste'!F134*1000</f>
        <v>295.02518891687657</v>
      </c>
      <c r="X134" s="41">
        <f>E134/'1. Väestöennuste'!G134*1000</f>
        <v>27.388535031847134</v>
      </c>
      <c r="Y134" s="41">
        <f>F134/'1. Väestöennuste'!H134*1000</f>
        <v>33.138401559454188</v>
      </c>
      <c r="Z134" s="41">
        <f>G134/'1. Väestöennuste'!I134*1000</f>
        <v>-143.52469959946595</v>
      </c>
      <c r="AA134" s="41">
        <f>H134/'1. Väestöennuste'!J134*1000</f>
        <v>96.816017669542873</v>
      </c>
      <c r="AB134" s="41">
        <f>I134/'1. Väestöennuste'!K134*1000</f>
        <v>135.87050411860565</v>
      </c>
      <c r="AC134" s="41">
        <f>J134/'1. Väestöennuste'!L134*1000</f>
        <v>75.443672761672204</v>
      </c>
      <c r="AD134" s="41">
        <f>K134/'1. Väestöennuste'!M134*1000</f>
        <v>206.87536994336014</v>
      </c>
      <c r="AE134" s="41">
        <f>L134/'1. Väestöennuste'!N134*1000</f>
        <v>75.980296883339278</v>
      </c>
      <c r="AF134" s="41">
        <f>M134/'1. Väestöennuste'!O134*1000</f>
        <v>-400.45693789128956</v>
      </c>
      <c r="AG134" s="41">
        <f>N134/'1. Väestöennuste'!P134*1000</f>
        <v>-492.37200520409988</v>
      </c>
      <c r="AH134" s="41">
        <f>O134/'1. Väestöennuste'!Q134*1000</f>
        <v>-545.38420753864875</v>
      </c>
      <c r="AI134" s="41">
        <f>P134/'1. Väestöennuste'!R134*1000</f>
        <v>-451.10184634762811</v>
      </c>
    </row>
    <row r="135" spans="1:35" x14ac:dyDescent="0.2">
      <c r="A135" s="34">
        <v>405</v>
      </c>
      <c r="B135" s="88" t="s">
        <v>449</v>
      </c>
      <c r="C135" s="41" t="e">
        <f>Vuosikate!C135-'6. Poistot'!C135</f>
        <v>#REF!</v>
      </c>
      <c r="D135" s="41">
        <f>Vuosikate!D135-'6. Poistot'!D135</f>
        <v>3492</v>
      </c>
      <c r="E135" s="41">
        <f>Vuosikate!E135-'6. Poistot'!E135</f>
        <v>2365</v>
      </c>
      <c r="F135" s="41">
        <f>Vuosikate!F135-'6. Poistot'!F135</f>
        <v>-3275</v>
      </c>
      <c r="G135" s="41">
        <f>Vuosikate!G135-'6. Poistot'!G135</f>
        <v>197</v>
      </c>
      <c r="H135" s="41">
        <f>Vuosikate!H135-'6. Poistot'!H135</f>
        <v>9675.3900945097557</v>
      </c>
      <c r="I135" s="41">
        <f>Vuosikate!I135-'6. Poistot'!I135</f>
        <v>26142.548259438503</v>
      </c>
      <c r="J135" s="41">
        <f>Vuosikate!J135-'6. Poistot'!J135</f>
        <v>16243.561186601015</v>
      </c>
      <c r="K135" s="41">
        <f>Vuosikate!K135-'6. Poistot'!K135</f>
        <v>28661.724848166399</v>
      </c>
      <c r="L135" s="41">
        <f>Vuosikate!L135-'6. Poistot'!L135</f>
        <v>25461.151744111172</v>
      </c>
      <c r="M135" s="41">
        <f>Vuosikate!M135-'6. Poistot'!M135</f>
        <v>10874.826628691611</v>
      </c>
      <c r="N135" s="41">
        <f>Vuosikate!N135-'6. Poistot'!N135</f>
        <v>3660.6847742933096</v>
      </c>
      <c r="O135" s="41">
        <f>Vuosikate!O135-'6. Poistot'!O135</f>
        <v>4830.472366984457</v>
      </c>
      <c r="P135" s="41">
        <f>Vuosikate!P135-'6. Poistot'!P135</f>
        <v>9169.0755332761801</v>
      </c>
      <c r="T135" s="34">
        <v>405</v>
      </c>
      <c r="U135" s="88" t="s">
        <v>449</v>
      </c>
      <c r="V135" s="41" t="e">
        <f>C135/'1. Väestöennuste'!E135*1000</f>
        <v>#REF!</v>
      </c>
      <c r="W135" s="41">
        <f>D135/'1. Väestöennuste'!F135*1000</f>
        <v>47.919639916566034</v>
      </c>
      <c r="X135" s="41">
        <f>E135/'1. Väestöennuste'!G135*1000</f>
        <v>32.437696306354496</v>
      </c>
      <c r="Y135" s="41">
        <f>F135/'1. Väestöennuste'!H135*1000</f>
        <v>-45.048762706502153</v>
      </c>
      <c r="Z135" s="41">
        <f>G135/'1. Väestöennuste'!I135*1000</f>
        <v>2.7122284329652779</v>
      </c>
      <c r="AA135" s="41">
        <f>H135/'1. Väestöennuste'!J135*1000</f>
        <v>133.15612141848223</v>
      </c>
      <c r="AB135" s="41">
        <f>I135/'1. Väestöennuste'!K135*1000</f>
        <v>359.92163806810174</v>
      </c>
      <c r="AC135" s="41">
        <f>J135/'1. Väestöennuste'!L135*1000</f>
        <v>223.5865270007022</v>
      </c>
      <c r="AD135" s="41">
        <f>K135/'1. Väestöennuste'!M135*1000</f>
        <v>392.69091971510932</v>
      </c>
      <c r="AE135" s="41">
        <f>L135/'1. Väestöennuste'!N135*1000</f>
        <v>351.02368191622094</v>
      </c>
      <c r="AF135" s="41">
        <f>M135/'1. Väestöennuste'!O135*1000</f>
        <v>150.06798538199448</v>
      </c>
      <c r="AG135" s="41">
        <f>N135/'1. Väestöennuste'!P135*1000</f>
        <v>50.571024828951465</v>
      </c>
      <c r="AH135" s="41">
        <f>O135/'1. Väestöennuste'!Q135*1000</f>
        <v>66.8068925659976</v>
      </c>
      <c r="AI135" s="41">
        <f>P135/'1. Väestöennuste'!R135*1000</f>
        <v>126.96561105108464</v>
      </c>
    </row>
    <row r="136" spans="1:35" x14ac:dyDescent="0.2">
      <c r="A136" s="34">
        <v>407</v>
      </c>
      <c r="B136" s="88" t="s">
        <v>450</v>
      </c>
      <c r="C136" s="41" t="e">
        <f>Vuosikate!C136-'6. Poistot'!C136</f>
        <v>#REF!</v>
      </c>
      <c r="D136" s="41">
        <f>Vuosikate!D136-'6. Poistot'!D136</f>
        <v>-1024</v>
      </c>
      <c r="E136" s="41">
        <f>Vuosikate!E136-'6. Poistot'!E136</f>
        <v>-989</v>
      </c>
      <c r="F136" s="41">
        <f>Vuosikate!F136-'6. Poistot'!F136</f>
        <v>-597</v>
      </c>
      <c r="G136" s="41">
        <f>Vuosikate!G136-'6. Poistot'!G136</f>
        <v>-410</v>
      </c>
      <c r="H136" s="41">
        <f>Vuosikate!H136-'6. Poistot'!H136</f>
        <v>2370.1099713894255</v>
      </c>
      <c r="I136" s="41">
        <f>Vuosikate!I136-'6. Poistot'!I136</f>
        <v>1172.2503836324797</v>
      </c>
      <c r="J136" s="41">
        <f>Vuosikate!J136-'6. Poistot'!J136</f>
        <v>518.60683776994358</v>
      </c>
      <c r="K136" s="41">
        <f>Vuosikate!K136-'6. Poistot'!K136</f>
        <v>211.42032909352133</v>
      </c>
      <c r="L136" s="41">
        <f>Vuosikate!L136-'6. Poistot'!L136</f>
        <v>164.02655406245503</v>
      </c>
      <c r="M136" s="41">
        <f>Vuosikate!M136-'6. Poistot'!M136</f>
        <v>-754.93742570271843</v>
      </c>
      <c r="N136" s="41">
        <f>Vuosikate!N136-'6. Poistot'!N136</f>
        <v>-944.98023331803233</v>
      </c>
      <c r="O136" s="41">
        <f>Vuosikate!O136-'6. Poistot'!O136</f>
        <v>-966.69196892658715</v>
      </c>
      <c r="P136" s="41">
        <f>Vuosikate!P136-'6. Poistot'!P136</f>
        <v>-883.41589226247606</v>
      </c>
      <c r="T136" s="34">
        <v>407</v>
      </c>
      <c r="U136" s="88" t="s">
        <v>450</v>
      </c>
      <c r="V136" s="41" t="e">
        <f>C136/'1. Väestöennuste'!E136*1000</f>
        <v>#REF!</v>
      </c>
      <c r="W136" s="41">
        <f>D136/'1. Väestöennuste'!F136*1000</f>
        <v>-373.8590726542534</v>
      </c>
      <c r="X136" s="41">
        <f>E136/'1. Väestöennuste'!G136*1000</f>
        <v>-365.48410938654843</v>
      </c>
      <c r="Y136" s="41">
        <f>F136/'1. Väestöennuste'!H136*1000</f>
        <v>-224.01500938086306</v>
      </c>
      <c r="Z136" s="41">
        <f>G136/'1. Väestöennuste'!I136*1000</f>
        <v>-157.32924021488873</v>
      </c>
      <c r="AA136" s="41">
        <f>H136/'1. Väestöennuste'!J136*1000</f>
        <v>904.27698259802571</v>
      </c>
      <c r="AB136" s="41">
        <f>I136/'1. Väestöennuste'!K136*1000</f>
        <v>454.36061381103866</v>
      </c>
      <c r="AC136" s="41">
        <f>J136/'1. Väestöennuste'!L136*1000</f>
        <v>205.95982437249546</v>
      </c>
      <c r="AD136" s="41">
        <f>K136/'1. Väestöennuste'!M136*1000</f>
        <v>86.329248302785345</v>
      </c>
      <c r="AE136" s="41">
        <f>L136/'1. Väestöennuste'!N136*1000</f>
        <v>64.909597966939074</v>
      </c>
      <c r="AF136" s="41">
        <f>M136/'1. Väestöennuste'!O136*1000</f>
        <v>-301.01173273633111</v>
      </c>
      <c r="AG136" s="41">
        <f>N136/'1. Väestöennuste'!P136*1000</f>
        <v>-379.35778134003704</v>
      </c>
      <c r="AH136" s="41">
        <f>O136/'1. Väestöennuste'!Q136*1000</f>
        <v>-390.7404886526221</v>
      </c>
      <c r="AI136" s="41">
        <f>P136/'1. Väestöennuste'!R136*1000</f>
        <v>-359.40434998473398</v>
      </c>
    </row>
    <row r="137" spans="1:35" x14ac:dyDescent="0.2">
      <c r="A137" s="34">
        <v>408</v>
      </c>
      <c r="B137" s="88" t="s">
        <v>451</v>
      </c>
      <c r="C137" s="41" t="e">
        <f>Vuosikate!C137-'6. Poistot'!C137</f>
        <v>#REF!</v>
      </c>
      <c r="D137" s="41">
        <f>Vuosikate!D137-'6. Poistot'!D137</f>
        <v>2876</v>
      </c>
      <c r="E137" s="41">
        <f>Vuosikate!E137-'6. Poistot'!E137</f>
        <v>2812</v>
      </c>
      <c r="F137" s="41">
        <f>Vuosikate!F137-'6. Poistot'!F137</f>
        <v>-915</v>
      </c>
      <c r="G137" s="41">
        <f>Vuosikate!G137-'6. Poistot'!G137</f>
        <v>-1617</v>
      </c>
      <c r="H137" s="41">
        <f>Vuosikate!H137-'6. Poistot'!H137</f>
        <v>3124.7435107509955</v>
      </c>
      <c r="I137" s="41">
        <f>Vuosikate!I137-'6. Poistot'!I137</f>
        <v>1281.5764931973372</v>
      </c>
      <c r="J137" s="41">
        <f>Vuosikate!J137-'6. Poistot'!J137</f>
        <v>1394.1415021690436</v>
      </c>
      <c r="K137" s="41">
        <f>Vuosikate!K137-'6. Poistot'!K137</f>
        <v>4659.2327799335708</v>
      </c>
      <c r="L137" s="41">
        <f>Vuosikate!L137-'6. Poistot'!L137</f>
        <v>-1441.2656258215047</v>
      </c>
      <c r="M137" s="41">
        <f>Vuosikate!M137-'6. Poistot'!M137</f>
        <v>-1874.8685460279203</v>
      </c>
      <c r="N137" s="41">
        <f>Vuosikate!N137-'6. Poistot'!N137</f>
        <v>-809.32409161471878</v>
      </c>
      <c r="O137" s="41">
        <f>Vuosikate!O137-'6. Poistot'!O137</f>
        <v>-967.72842245023639</v>
      </c>
      <c r="P137" s="41">
        <f>Vuosikate!P137-'6. Poistot'!P137</f>
        <v>906.50721170375346</v>
      </c>
      <c r="T137" s="34">
        <v>408</v>
      </c>
      <c r="U137" s="88" t="s">
        <v>451</v>
      </c>
      <c r="V137" s="41" t="e">
        <f>C137/'1. Väestöennuste'!E137*1000</f>
        <v>#REF!</v>
      </c>
      <c r="W137" s="41">
        <f>D137/'1. Väestöennuste'!F137*1000</f>
        <v>197.32418524871358</v>
      </c>
      <c r="X137" s="41">
        <f>E137/'1. Väestöennuste'!G137*1000</f>
        <v>194.01131502690768</v>
      </c>
      <c r="Y137" s="41">
        <f>F137/'1. Väestöennuste'!H137*1000</f>
        <v>-63.42274901226866</v>
      </c>
      <c r="Z137" s="41">
        <f>G137/'1. Väestöennuste'!I137*1000</f>
        <v>-113.25115562403698</v>
      </c>
      <c r="AA137" s="41">
        <f>H137/'1. Väestöennuste'!J137*1000</f>
        <v>219.72741092405565</v>
      </c>
      <c r="AB137" s="41">
        <f>I137/'1. Väestöennuste'!K137*1000</f>
        <v>90.232802449999099</v>
      </c>
      <c r="AC137" s="41">
        <f>J137/'1. Väestöennuste'!L137*1000</f>
        <v>98.882296770625132</v>
      </c>
      <c r="AD137" s="41">
        <f>K137/'1. Väestöennuste'!M137*1000</f>
        <v>332.23279948185757</v>
      </c>
      <c r="AE137" s="41">
        <f>L137/'1. Väestöennuste'!N137*1000</f>
        <v>-103.85254545478489</v>
      </c>
      <c r="AF137" s="41">
        <f>M137/'1. Väestöennuste'!O137*1000</f>
        <v>-135.98814434089508</v>
      </c>
      <c r="AG137" s="41">
        <f>N137/'1. Väestöennuste'!P137*1000</f>
        <v>-59.074751212753199</v>
      </c>
      <c r="AH137" s="41">
        <f>O137/'1. Väestöennuste'!Q137*1000</f>
        <v>-71.114669492227833</v>
      </c>
      <c r="AI137" s="41">
        <f>P137/'1. Väestöennuste'!R137*1000</f>
        <v>67.059269988441599</v>
      </c>
    </row>
    <row r="138" spans="1:35" x14ac:dyDescent="0.2">
      <c r="A138" s="34">
        <v>410</v>
      </c>
      <c r="B138" s="88" t="s">
        <v>452</v>
      </c>
      <c r="C138" s="41" t="e">
        <f>Vuosikate!C138-'6. Poistot'!C138</f>
        <v>#REF!</v>
      </c>
      <c r="D138" s="41">
        <f>Vuosikate!D138-'6. Poistot'!D138</f>
        <v>-538</v>
      </c>
      <c r="E138" s="41">
        <f>Vuosikate!E138-'6. Poistot'!E138</f>
        <v>2376</v>
      </c>
      <c r="F138" s="41">
        <f>Vuosikate!F138-'6. Poistot'!F138</f>
        <v>-4015</v>
      </c>
      <c r="G138" s="41">
        <f>Vuosikate!G138-'6. Poistot'!G138</f>
        <v>-3948</v>
      </c>
      <c r="H138" s="41">
        <f>Vuosikate!H138-'6. Poistot'!H138</f>
        <v>4116.3062229635616</v>
      </c>
      <c r="I138" s="41">
        <f>Vuosikate!I138-'6. Poistot'!I138</f>
        <v>-2175.9833315140031</v>
      </c>
      <c r="J138" s="41">
        <f>Vuosikate!J138-'6. Poistot'!J138</f>
        <v>-4771.208434647715</v>
      </c>
      <c r="K138" s="41">
        <f>Vuosikate!K138-'6. Poistot'!K138</f>
        <v>2730.2138637948319</v>
      </c>
      <c r="L138" s="41">
        <f>Vuosikate!L138-'6. Poistot'!L138</f>
        <v>-4046.9129937101443</v>
      </c>
      <c r="M138" s="41">
        <f>Vuosikate!M138-'6. Poistot'!M138</f>
        <v>-4619.5254110273054</v>
      </c>
      <c r="N138" s="41">
        <f>Vuosikate!N138-'6. Poistot'!N138</f>
        <v>-2866.7685104003504</v>
      </c>
      <c r="O138" s="41">
        <f>Vuosikate!O138-'6. Poistot'!O138</f>
        <v>-2428.0591822036131</v>
      </c>
      <c r="P138" s="41">
        <f>Vuosikate!P138-'6. Poistot'!P138</f>
        <v>-984.19758899504177</v>
      </c>
      <c r="T138" s="34">
        <v>410</v>
      </c>
      <c r="U138" s="88" t="s">
        <v>452</v>
      </c>
      <c r="V138" s="41" t="e">
        <f>C138/'1. Väestöennuste'!E138*1000</f>
        <v>#REF!</v>
      </c>
      <c r="W138" s="41">
        <f>D138/'1. Väestöennuste'!F138*1000</f>
        <v>-28.360569319978914</v>
      </c>
      <c r="X138" s="41">
        <f>E138/'1. Väestöennuste'!G138*1000</f>
        <v>125.19759721783116</v>
      </c>
      <c r="Y138" s="41">
        <f>F138/'1. Väestöennuste'!H138*1000</f>
        <v>-212.13081840756593</v>
      </c>
      <c r="Z138" s="41">
        <f>G138/'1. Väestöennuste'!I138*1000</f>
        <v>-208.85573718457388</v>
      </c>
      <c r="AA138" s="41">
        <f>H138/'1. Väestöennuste'!J138*1000</f>
        <v>218.68491860827507</v>
      </c>
      <c r="AB138" s="41">
        <f>I138/'1. Väestöennuste'!K138*1000</f>
        <v>-115.81772043400059</v>
      </c>
      <c r="AC138" s="41">
        <f>J138/'1. Väestöennuste'!L138*1000</f>
        <v>-254.12561569361998</v>
      </c>
      <c r="AD138" s="41">
        <f>K138/'1. Väestöennuste'!M138*1000</f>
        <v>145.51827437345869</v>
      </c>
      <c r="AE138" s="41">
        <f>L138/'1. Väestöennuste'!N138*1000</f>
        <v>-215.86989884835677</v>
      </c>
      <c r="AF138" s="41">
        <f>M138/'1. Väestöennuste'!O138*1000</f>
        <v>-246.8618292645383</v>
      </c>
      <c r="AG138" s="41">
        <f>N138/'1. Väestöennuste'!P138*1000</f>
        <v>-153.51657440293189</v>
      </c>
      <c r="AH138" s="41">
        <f>O138/'1. Väestöennuste'!Q138*1000</f>
        <v>-130.30262864675396</v>
      </c>
      <c r="AI138" s="41">
        <f>P138/'1. Väestöennuste'!R138*1000</f>
        <v>-52.942312479561146</v>
      </c>
    </row>
    <row r="139" spans="1:35" x14ac:dyDescent="0.2">
      <c r="A139" s="34">
        <v>416</v>
      </c>
      <c r="B139" s="88" t="s">
        <v>453</v>
      </c>
      <c r="C139" s="41" t="e">
        <f>Vuosikate!C139-'6. Poistot'!C139</f>
        <v>#REF!</v>
      </c>
      <c r="D139" s="41">
        <f>Vuosikate!D139-'6. Poistot'!D139</f>
        <v>296</v>
      </c>
      <c r="E139" s="41">
        <f>Vuosikate!E139-'6. Poistot'!E139</f>
        <v>-604</v>
      </c>
      <c r="F139" s="41">
        <f>Vuosikate!F139-'6. Poistot'!F139</f>
        <v>-1770</v>
      </c>
      <c r="G139" s="41">
        <f>Vuosikate!G139-'6. Poistot'!G139</f>
        <v>-682</v>
      </c>
      <c r="H139" s="41">
        <f>Vuosikate!H139-'6. Poistot'!H139</f>
        <v>694.69470778865252</v>
      </c>
      <c r="I139" s="41">
        <f>Vuosikate!I139-'6. Poistot'!I139</f>
        <v>471.94740670624947</v>
      </c>
      <c r="J139" s="41">
        <f>Vuosikate!J139-'6. Poistot'!J139</f>
        <v>17.862432520296011</v>
      </c>
      <c r="K139" s="41">
        <f>Vuosikate!K139-'6. Poistot'!K139</f>
        <v>965.33156267907498</v>
      </c>
      <c r="L139" s="41">
        <f>Vuosikate!L139-'6. Poistot'!L139</f>
        <v>225.42754092218513</v>
      </c>
      <c r="M139" s="41">
        <f>Vuosikate!M139-'6. Poistot'!M139</f>
        <v>-1077.1952879552132</v>
      </c>
      <c r="N139" s="41">
        <f>Vuosikate!N139-'6. Poistot'!N139</f>
        <v>-929.27656014835009</v>
      </c>
      <c r="O139" s="41">
        <f>Vuosikate!O139-'6. Poistot'!O139</f>
        <v>-979.0749618844153</v>
      </c>
      <c r="P139" s="41">
        <f>Vuosikate!P139-'6. Poistot'!P139</f>
        <v>-1029.6725202715184</v>
      </c>
      <c r="T139" s="34">
        <v>416</v>
      </c>
      <c r="U139" s="88" t="s">
        <v>453</v>
      </c>
      <c r="V139" s="41" t="e">
        <f>C139/'1. Väestöennuste'!E139*1000</f>
        <v>#REF!</v>
      </c>
      <c r="W139" s="41">
        <f>D139/'1. Väestöennuste'!F139*1000</f>
        <v>96.228868660598181</v>
      </c>
      <c r="X139" s="41">
        <f>E139/'1. Väestöennuste'!G139*1000</f>
        <v>-197.19229513548808</v>
      </c>
      <c r="Y139" s="41">
        <f>F139/'1. Väestöennuste'!H139*1000</f>
        <v>-581.66283273085776</v>
      </c>
      <c r="Z139" s="41">
        <f>G139/'1. Väestöennuste'!I139*1000</f>
        <v>-229.5523392797038</v>
      </c>
      <c r="AA139" s="41">
        <f>H139/'1. Väestöennuste'!J139*1000</f>
        <v>234.37743177754808</v>
      </c>
      <c r="AB139" s="41">
        <f>I139/'1. Väestöennuste'!K139*1000</f>
        <v>161.79204892226585</v>
      </c>
      <c r="AC139" s="41">
        <f>J139/'1. Väestöennuste'!L139*1000</f>
        <v>6.1893390576216261</v>
      </c>
      <c r="AD139" s="41">
        <f>K139/'1. Väestöennuste'!M139*1000</f>
        <v>337.29264943363904</v>
      </c>
      <c r="AE139" s="41">
        <f>L139/'1. Väestöennuste'!N139*1000</f>
        <v>78.164889362754892</v>
      </c>
      <c r="AF139" s="41">
        <f>M139/'1. Väestöennuste'!O139*1000</f>
        <v>-375.85320584620143</v>
      </c>
      <c r="AG139" s="41">
        <f>N139/'1. Väestöennuste'!P139*1000</f>
        <v>-326.5202249291462</v>
      </c>
      <c r="AH139" s="41">
        <f>O139/'1. Väestöennuste'!Q139*1000</f>
        <v>-346.69793267861729</v>
      </c>
      <c r="AI139" s="41">
        <f>P139/'1. Väestöennuste'!R139*1000</f>
        <v>-367.47770173858612</v>
      </c>
    </row>
    <row r="140" spans="1:35" x14ac:dyDescent="0.2">
      <c r="A140" s="34">
        <v>418</v>
      </c>
      <c r="B140" s="88" t="s">
        <v>454</v>
      </c>
      <c r="C140" s="41" t="e">
        <f>Vuosikate!C140-'6. Poistot'!C140</f>
        <v>#REF!</v>
      </c>
      <c r="D140" s="41">
        <f>Vuosikate!D140-'6. Poistot'!D140</f>
        <v>1939</v>
      </c>
      <c r="E140" s="41">
        <f>Vuosikate!E140-'6. Poistot'!E140</f>
        <v>3099</v>
      </c>
      <c r="F140" s="41">
        <f>Vuosikate!F140-'6. Poistot'!F140</f>
        <v>-4566</v>
      </c>
      <c r="G140" s="41">
        <f>Vuosikate!G140-'6. Poistot'!G140</f>
        <v>-2766</v>
      </c>
      <c r="H140" s="41">
        <f>Vuosikate!H140-'6. Poistot'!H140</f>
        <v>6279.0997818718533</v>
      </c>
      <c r="I140" s="41">
        <f>Vuosikate!I140-'6. Poistot'!I140</f>
        <v>2866.0991858185316</v>
      </c>
      <c r="J140" s="41">
        <f>Vuosikate!J140-'6. Poistot'!J140</f>
        <v>-1355.5474418700433</v>
      </c>
      <c r="K140" s="41">
        <f>Vuosikate!K140-'6. Poistot'!K140</f>
        <v>3043.2819637379507</v>
      </c>
      <c r="L140" s="41">
        <f>Vuosikate!L140-'6. Poistot'!L140</f>
        <v>-3984.2941078743461</v>
      </c>
      <c r="M140" s="41">
        <f>Vuosikate!M140-'6. Poistot'!M140</f>
        <v>-8417.8992287542242</v>
      </c>
      <c r="N140" s="41">
        <f>Vuosikate!N140-'6. Poistot'!N140</f>
        <v>-7736.2433291549605</v>
      </c>
      <c r="O140" s="41">
        <f>Vuosikate!O140-'6. Poistot'!O140</f>
        <v>-7830.341769362848</v>
      </c>
      <c r="P140" s="41">
        <f>Vuosikate!P140-'6. Poistot'!P140</f>
        <v>-7517.2719747599585</v>
      </c>
      <c r="T140" s="34">
        <v>418</v>
      </c>
      <c r="U140" s="88" t="s">
        <v>454</v>
      </c>
      <c r="V140" s="41" t="e">
        <f>C140/'1. Väestöennuste'!E140*1000</f>
        <v>#REF!</v>
      </c>
      <c r="W140" s="41">
        <f>D140/'1. Väestöennuste'!F140*1000</f>
        <v>85.249505385799083</v>
      </c>
      <c r="X140" s="41">
        <f>E140/'1. Väestöennuste'!G140*1000</f>
        <v>135.74839020544044</v>
      </c>
      <c r="Y140" s="41">
        <f>F140/'1. Väestöennuste'!H140*1000</f>
        <v>-196.75945876066532</v>
      </c>
      <c r="Z140" s="41">
        <f>G140/'1. Väestöennuste'!I140*1000</f>
        <v>-117.58704246907283</v>
      </c>
      <c r="AA140" s="41">
        <f>H140/'1. Väestöennuste'!J140*1000</f>
        <v>263.51770110256223</v>
      </c>
      <c r="AB140" s="41">
        <f>I140/'1. Väestöennuste'!K140*1000</f>
        <v>118.61029572167405</v>
      </c>
      <c r="AC140" s="41">
        <f>J140/'1. Väestöennuste'!L140*1000</f>
        <v>-55.14839063751193</v>
      </c>
      <c r="AD140" s="41">
        <f>K140/'1. Väestöennuste'!M140*1000</f>
        <v>123.1549497688459</v>
      </c>
      <c r="AE140" s="41">
        <f>L140/'1. Väestöennuste'!N140*1000</f>
        <v>-161.41855154861022</v>
      </c>
      <c r="AF140" s="41">
        <f>M140/'1. Väestöennuste'!O140*1000</f>
        <v>-338.66668928042418</v>
      </c>
      <c r="AG140" s="41">
        <f>N140/'1. Väestöennuste'!P140*1000</f>
        <v>-309.26417466140163</v>
      </c>
      <c r="AH140" s="41">
        <f>O140/'1. Väestöennuste'!Q140*1000</f>
        <v>-311.25896447759459</v>
      </c>
      <c r="AI140" s="41">
        <f>P140/'1. Väestöennuste'!R140*1000</f>
        <v>-297.25461563367304</v>
      </c>
    </row>
    <row r="141" spans="1:35" x14ac:dyDescent="0.2">
      <c r="A141" s="34">
        <v>420</v>
      </c>
      <c r="B141" s="88" t="s">
        <v>455</v>
      </c>
      <c r="C141" s="41" t="e">
        <f>Vuosikate!C141-'6. Poistot'!C141</f>
        <v>#REF!</v>
      </c>
      <c r="D141" s="41">
        <f>Vuosikate!D141-'6. Poistot'!D141</f>
        <v>8</v>
      </c>
      <c r="E141" s="41">
        <f>Vuosikate!E141-'6. Poistot'!E141</f>
        <v>5</v>
      </c>
      <c r="F141" s="41">
        <f>Vuosikate!F141-'6. Poistot'!F141</f>
        <v>-1468</v>
      </c>
      <c r="G141" s="41">
        <f>Vuosikate!G141-'6. Poistot'!G141</f>
        <v>-3267</v>
      </c>
      <c r="H141" s="41">
        <f>Vuosikate!H141-'6. Poistot'!H141</f>
        <v>1378.3393713628247</v>
      </c>
      <c r="I141" s="41">
        <f>Vuosikate!I141-'6. Poistot'!I141</f>
        <v>406.81142301865748</v>
      </c>
      <c r="J141" s="41">
        <f>Vuosikate!J141-'6. Poistot'!J141</f>
        <v>1625.9190428934171</v>
      </c>
      <c r="K141" s="41">
        <f>Vuosikate!K141-'6. Poistot'!K141</f>
        <v>3529.1490710969383</v>
      </c>
      <c r="L141" s="41">
        <f>Vuosikate!L141-'6. Poistot'!L141</f>
        <v>17.553086145200268</v>
      </c>
      <c r="M141" s="41">
        <f>Vuosikate!M141-'6. Poistot'!M141</f>
        <v>586.9711057851523</v>
      </c>
      <c r="N141" s="41">
        <f>Vuosikate!N141-'6. Poistot'!N141</f>
        <v>663.35073501876332</v>
      </c>
      <c r="O141" s="41">
        <f>Vuosikate!O141-'6. Poistot'!O141</f>
        <v>1026.7907695086969</v>
      </c>
      <c r="P141" s="41">
        <f>Vuosikate!P141-'6. Poistot'!P141</f>
        <v>1769.764433505301</v>
      </c>
      <c r="T141" s="34">
        <v>420</v>
      </c>
      <c r="U141" s="88" t="s">
        <v>455</v>
      </c>
      <c r="V141" s="41" t="e">
        <f>C141/'1. Väestöennuste'!E141*1000</f>
        <v>#REF!</v>
      </c>
      <c r="W141" s="41">
        <f>D141/'1. Väestöennuste'!F141*1000</f>
        <v>0.81094779523568172</v>
      </c>
      <c r="X141" s="41">
        <f>E141/'1. Väestöennuste'!G141*1000</f>
        <v>0.51114291555919034</v>
      </c>
      <c r="Y141" s="41">
        <f>F141/'1. Väestöennuste'!H141*1000</f>
        <v>-152.12435233160622</v>
      </c>
      <c r="Z141" s="41">
        <f>G141/'1. Väestöennuste'!I141*1000</f>
        <v>-345.56801353924266</v>
      </c>
      <c r="AA141" s="41">
        <f>H141/'1. Väestöennuste'!J141*1000</f>
        <v>146.60065638830301</v>
      </c>
      <c r="AB141" s="41">
        <f>I141/'1. Väestöennuste'!K141*1000</f>
        <v>43.837437825286365</v>
      </c>
      <c r="AC141" s="41">
        <f>J141/'1. Väestöennuste'!L141*1000</f>
        <v>177.17326390905711</v>
      </c>
      <c r="AD141" s="41">
        <f>K141/'1. Väestöennuste'!M141*1000</f>
        <v>390.00431772537718</v>
      </c>
      <c r="AE141" s="41">
        <f>L141/'1. Väestöennuste'!N141*1000</f>
        <v>1.9529468341344314</v>
      </c>
      <c r="AF141" s="41">
        <f>M141/'1. Väestöennuste'!O141*1000</f>
        <v>66.018569990456896</v>
      </c>
      <c r="AG141" s="41">
        <f>N141/'1. Väestöennuste'!P141*1000</f>
        <v>75.423619672400605</v>
      </c>
      <c r="AH141" s="41">
        <f>O141/'1. Väestöennuste'!Q141*1000</f>
        <v>117.98124434203113</v>
      </c>
      <c r="AI141" s="41">
        <f>P141/'1. Väestöennuste'!R141*1000</f>
        <v>205.52368290620149</v>
      </c>
    </row>
    <row r="142" spans="1:35" x14ac:dyDescent="0.2">
      <c r="A142" s="34">
        <v>421</v>
      </c>
      <c r="B142" s="88" t="s">
        <v>456</v>
      </c>
      <c r="C142" s="41" t="e">
        <f>Vuosikate!C142-'6. Poistot'!C142</f>
        <v>#REF!</v>
      </c>
      <c r="D142" s="41">
        <f>Vuosikate!D142-'6. Poistot'!D142</f>
        <v>-210</v>
      </c>
      <c r="E142" s="41">
        <f>Vuosikate!E142-'6. Poistot'!E142</f>
        <v>-110</v>
      </c>
      <c r="F142" s="41">
        <f>Vuosikate!F142-'6. Poistot'!F142</f>
        <v>-564</v>
      </c>
      <c r="G142" s="41">
        <f>Vuosikate!G142-'6. Poistot'!G142</f>
        <v>-668</v>
      </c>
      <c r="H142" s="41">
        <f>Vuosikate!H142-'6. Poistot'!H142</f>
        <v>-108.18949967020171</v>
      </c>
      <c r="I142" s="41">
        <f>Vuosikate!I142-'6. Poistot'!I142</f>
        <v>-485.05913391950378</v>
      </c>
      <c r="J142" s="41">
        <f>Vuosikate!J142-'6. Poistot'!J142</f>
        <v>-1399.9270743572904</v>
      </c>
      <c r="K142" s="41">
        <f>Vuosikate!K142-'6. Poistot'!K142</f>
        <v>-1079.3803459685157</v>
      </c>
      <c r="L142" s="41">
        <f>Vuosikate!L142-'6. Poistot'!L142</f>
        <v>-235.27316602048103</v>
      </c>
      <c r="M142" s="41">
        <f>Vuosikate!M142-'6. Poistot'!M142</f>
        <v>-480.79418967507826</v>
      </c>
      <c r="N142" s="41">
        <f>Vuosikate!N142-'6. Poistot'!N142</f>
        <v>-724.21853071611042</v>
      </c>
      <c r="O142" s="41">
        <f>Vuosikate!O142-'6. Poistot'!O142</f>
        <v>-778.23589493277507</v>
      </c>
      <c r="P142" s="41">
        <f>Vuosikate!P142-'6. Poistot'!P142</f>
        <v>-708.59631570275428</v>
      </c>
      <c r="T142" s="34">
        <v>421</v>
      </c>
      <c r="U142" s="88" t="s">
        <v>456</v>
      </c>
      <c r="V142" s="41" t="e">
        <f>C142/'1. Väestöennuste'!E142*1000</f>
        <v>#REF!</v>
      </c>
      <c r="W142" s="41">
        <f>D142/'1. Väestöennuste'!F142*1000</f>
        <v>-258.93958076448831</v>
      </c>
      <c r="X142" s="41">
        <f>E142/'1. Väestöennuste'!G142*1000</f>
        <v>-139.41698352344739</v>
      </c>
      <c r="Y142" s="41">
        <f>F142/'1. Väestöennuste'!H142*1000</f>
        <v>-765.26458616010848</v>
      </c>
      <c r="Z142" s="41">
        <f>G142/'1. Väestöennuste'!I142*1000</f>
        <v>-929.06815020862314</v>
      </c>
      <c r="AA142" s="41">
        <f>H142/'1. Väestöennuste'!J142*1000</f>
        <v>-149.84695245180293</v>
      </c>
      <c r="AB142" s="41">
        <f>I142/'1. Väestöennuste'!K142*1000</f>
        <v>-674.63022798262</v>
      </c>
      <c r="AC142" s="41">
        <f>J142/'1. Väestöennuste'!L142*1000</f>
        <v>-2014.2835602263171</v>
      </c>
      <c r="AD142" s="41">
        <f>K142/'1. Väestöennuste'!M142*1000</f>
        <v>-1582.6691289860935</v>
      </c>
      <c r="AE142" s="41">
        <f>L142/'1. Väestöennuste'!N142*1000</f>
        <v>-347.01056935174188</v>
      </c>
      <c r="AF142" s="41">
        <f>M142/'1. Väestöennuste'!O142*1000</f>
        <v>-718.67591879682846</v>
      </c>
      <c r="AG142" s="41">
        <f>N142/'1. Väestöennuste'!P142*1000</f>
        <v>-1097.3008041153187</v>
      </c>
      <c r="AH142" s="41">
        <f>O142/'1. Väestöennuste'!Q142*1000</f>
        <v>-1189.9631420990445</v>
      </c>
      <c r="AI142" s="41">
        <f>P142/'1. Väestöennuste'!R142*1000</f>
        <v>-1095.2029609007022</v>
      </c>
    </row>
    <row r="143" spans="1:35" x14ac:dyDescent="0.2">
      <c r="A143" s="34">
        <v>422</v>
      </c>
      <c r="B143" s="88" t="s">
        <v>457</v>
      </c>
      <c r="C143" s="41" t="e">
        <f>Vuosikate!C143-'6. Poistot'!C143</f>
        <v>#REF!</v>
      </c>
      <c r="D143" s="41">
        <f>Vuosikate!D143-'6. Poistot'!D143</f>
        <v>2148</v>
      </c>
      <c r="E143" s="41">
        <f>Vuosikate!E143-'6. Poistot'!E143</f>
        <v>4048</v>
      </c>
      <c r="F143" s="41">
        <f>Vuosikate!F143-'6. Poistot'!F143</f>
        <v>2604</v>
      </c>
      <c r="G143" s="41">
        <f>Vuosikate!G143-'6. Poistot'!G143</f>
        <v>934</v>
      </c>
      <c r="H143" s="41">
        <f>Vuosikate!H143-'6. Poistot'!H143</f>
        <v>6115.2626745296147</v>
      </c>
      <c r="I143" s="41">
        <f>Vuosikate!I143-'6. Poistot'!I143</f>
        <v>4640.8404700735318</v>
      </c>
      <c r="J143" s="41">
        <f>Vuosikate!J143-'6. Poistot'!J143</f>
        <v>2096.4222161842631</v>
      </c>
      <c r="K143" s="41">
        <f>Vuosikate!K143-'6. Poistot'!K143</f>
        <v>4220.0517531670939</v>
      </c>
      <c r="L143" s="41">
        <f>Vuosikate!L143-'6. Poistot'!L143</f>
        <v>3253.5590400920996</v>
      </c>
      <c r="M143" s="41">
        <f>Vuosikate!M143-'6. Poistot'!M143</f>
        <v>444.17401072185476</v>
      </c>
      <c r="N143" s="41">
        <f>Vuosikate!N143-'6. Poistot'!N143</f>
        <v>-681.89638108278177</v>
      </c>
      <c r="O143" s="41">
        <f>Vuosikate!O143-'6. Poistot'!O143</f>
        <v>-679.22017270465176</v>
      </c>
      <c r="P143" s="41">
        <f>Vuosikate!P143-'6. Poistot'!P143</f>
        <v>1107.3917675146467</v>
      </c>
      <c r="T143" s="34">
        <v>422</v>
      </c>
      <c r="U143" s="88" t="s">
        <v>457</v>
      </c>
      <c r="V143" s="41" t="e">
        <f>C143/'1. Väestöennuste'!E143*1000</f>
        <v>#REF!</v>
      </c>
      <c r="W143" s="41">
        <f>D143/'1. Väestöennuste'!F143*1000</f>
        <v>185.49222797927462</v>
      </c>
      <c r="X143" s="41">
        <f>E143/'1. Väestöennuste'!G143*1000</f>
        <v>358.32521908471278</v>
      </c>
      <c r="Y143" s="41">
        <f>F143/'1. Väestöennuste'!H143*1000</f>
        <v>234.6368715083799</v>
      </c>
      <c r="Z143" s="41">
        <f>G143/'1. Väestöennuste'!I143*1000</f>
        <v>85.814038956266074</v>
      </c>
      <c r="AA143" s="41">
        <f>H143/'1. Väestöennuste'!J143*1000</f>
        <v>570.50682661905159</v>
      </c>
      <c r="AB143" s="41">
        <f>I143/'1. Väestöennuste'!K143*1000</f>
        <v>440.18215593982092</v>
      </c>
      <c r="AC143" s="41">
        <f>J143/'1. Väestöennuste'!L143*1000</f>
        <v>202.12323719478047</v>
      </c>
      <c r="AD143" s="41">
        <f>K143/'1. Väestöennuste'!M143*1000</f>
        <v>412.59794223377924</v>
      </c>
      <c r="AE143" s="41">
        <f>L143/'1. Väestöennuste'!N143*1000</f>
        <v>326.13863673737967</v>
      </c>
      <c r="AF143" s="41">
        <f>M143/'1. Väestöennuste'!O143*1000</f>
        <v>45.273061942906409</v>
      </c>
      <c r="AG143" s="41">
        <f>N143/'1. Väestöennuste'!P143*1000</f>
        <v>-70.662837417904839</v>
      </c>
      <c r="AH143" s="41">
        <f>O143/'1. Väestöennuste'!Q143*1000</f>
        <v>-71.534510026819575</v>
      </c>
      <c r="AI143" s="41">
        <f>P143/'1. Väestöennuste'!R143*1000</f>
        <v>118.47563576705325</v>
      </c>
    </row>
    <row r="144" spans="1:35" x14ac:dyDescent="0.2">
      <c r="A144" s="34">
        <v>423</v>
      </c>
      <c r="B144" s="88" t="s">
        <v>458</v>
      </c>
      <c r="C144" s="41" t="e">
        <f>Vuosikate!C144-'6. Poistot'!C144</f>
        <v>#REF!</v>
      </c>
      <c r="D144" s="41">
        <f>Vuosikate!D144-'6. Poistot'!D144</f>
        <v>1754</v>
      </c>
      <c r="E144" s="41">
        <f>Vuosikate!E144-'6. Poistot'!E144</f>
        <v>1520</v>
      </c>
      <c r="F144" s="41">
        <f>Vuosikate!F144-'6. Poistot'!F144</f>
        <v>-4619</v>
      </c>
      <c r="G144" s="41">
        <f>Vuosikate!G144-'6. Poistot'!G144</f>
        <v>-2457</v>
      </c>
      <c r="H144" s="41">
        <f>Vuosikate!H144-'6. Poistot'!H144</f>
        <v>7026.7594366202466</v>
      </c>
      <c r="I144" s="41">
        <f>Vuosikate!I144-'6. Poistot'!I144</f>
        <v>3478.3588489547947</v>
      </c>
      <c r="J144" s="41">
        <f>Vuosikate!J144-'6. Poistot'!J144</f>
        <v>6345.0575349432693</v>
      </c>
      <c r="K144" s="41">
        <f>Vuosikate!K144-'6. Poistot'!K144</f>
        <v>6800.3833191123631</v>
      </c>
      <c r="L144" s="41">
        <f>Vuosikate!L144-'6. Poistot'!L144</f>
        <v>689.73855474859374</v>
      </c>
      <c r="M144" s="41">
        <f>Vuosikate!M144-'6. Poistot'!M144</f>
        <v>-1038.2730686378018</v>
      </c>
      <c r="N144" s="41">
        <f>Vuosikate!N144-'6. Poistot'!N144</f>
        <v>-1683.2137055312269</v>
      </c>
      <c r="O144" s="41">
        <f>Vuosikate!O144-'6. Poistot'!O144</f>
        <v>-1917.9331897471529</v>
      </c>
      <c r="P144" s="41">
        <f>Vuosikate!P144-'6. Poistot'!P144</f>
        <v>-1078.9418867882559</v>
      </c>
      <c r="T144" s="34">
        <v>423</v>
      </c>
      <c r="U144" s="88" t="s">
        <v>458</v>
      </c>
      <c r="V144" s="41" t="e">
        <f>C144/'1. Väestöennuste'!E144*1000</f>
        <v>#REF!</v>
      </c>
      <c r="W144" s="41">
        <f>D144/'1. Väestöennuste'!F144*1000</f>
        <v>90.328561128849515</v>
      </c>
      <c r="X144" s="41">
        <f>E144/'1. Väestöennuste'!G144*1000</f>
        <v>77.566850377628086</v>
      </c>
      <c r="Y144" s="41">
        <f>F144/'1. Väestöennuste'!H144*1000</f>
        <v>-232.91815843880792</v>
      </c>
      <c r="Z144" s="41">
        <f>G144/'1. Väestöennuste'!I144*1000</f>
        <v>-122.88686605981793</v>
      </c>
      <c r="AA144" s="41">
        <f>H144/'1. Väestöennuste'!J144*1000</f>
        <v>348.7917917512284</v>
      </c>
      <c r="AB144" s="41">
        <f>I144/'1. Väestöennuste'!K144*1000</f>
        <v>171.42372721673621</v>
      </c>
      <c r="AC144" s="41">
        <f>J144/'1. Väestöennuste'!L144*1000</f>
        <v>309.56030321233692</v>
      </c>
      <c r="AD144" s="41">
        <f>K144/'1. Väestöennuste'!M144*1000</f>
        <v>329.52383190930675</v>
      </c>
      <c r="AE144" s="41">
        <f>L144/'1. Väestöennuste'!N144*1000</f>
        <v>33.238810406659617</v>
      </c>
      <c r="AF144" s="41">
        <f>M144/'1. Väestöennuste'!O144*1000</f>
        <v>-49.697160091795986</v>
      </c>
      <c r="AG144" s="41">
        <f>N144/'1. Väestöennuste'!P144*1000</f>
        <v>-80.046305189805352</v>
      </c>
      <c r="AH144" s="41">
        <f>O144/'1. Väestöennuste'!Q144*1000</f>
        <v>-90.652417154944132</v>
      </c>
      <c r="AI144" s="41">
        <f>P144/'1. Väestöennuste'!R144*1000</f>
        <v>-50.714072234465611</v>
      </c>
    </row>
    <row r="145" spans="1:35" x14ac:dyDescent="0.2">
      <c r="A145" s="34">
        <v>425</v>
      </c>
      <c r="B145" s="88" t="s">
        <v>459</v>
      </c>
      <c r="C145" s="41" t="e">
        <f>Vuosikate!C145-'6. Poistot'!C145</f>
        <v>#REF!</v>
      </c>
      <c r="D145" s="41">
        <f>Vuosikate!D145-'6. Poistot'!D145</f>
        <v>-1186</v>
      </c>
      <c r="E145" s="41">
        <f>Vuosikate!E145-'6. Poistot'!E145</f>
        <v>1892</v>
      </c>
      <c r="F145" s="41">
        <f>Vuosikate!F145-'6. Poistot'!F145</f>
        <v>1630</v>
      </c>
      <c r="G145" s="41">
        <f>Vuosikate!G145-'6. Poistot'!G145</f>
        <v>-681</v>
      </c>
      <c r="H145" s="41">
        <f>Vuosikate!H145-'6. Poistot'!H145</f>
        <v>2885.3502367172186</v>
      </c>
      <c r="I145" s="41">
        <f>Vuosikate!I145-'6. Poistot'!I145</f>
        <v>821.98371948780778</v>
      </c>
      <c r="J145" s="41">
        <f>Vuosikate!J145-'6. Poistot'!J145</f>
        <v>223.21148288949189</v>
      </c>
      <c r="K145" s="41">
        <f>Vuosikate!K145-'6. Poistot'!K145</f>
        <v>-910.55796588132853</v>
      </c>
      <c r="L145" s="41">
        <f>Vuosikate!L145-'6. Poistot'!L145</f>
        <v>-1190.3588098189866</v>
      </c>
      <c r="M145" s="41">
        <f>Vuosikate!M145-'6. Poistot'!M145</f>
        <v>-3229.5381683132582</v>
      </c>
      <c r="N145" s="41">
        <f>Vuosikate!N145-'6. Poistot'!N145</f>
        <v>-3294.0459407723793</v>
      </c>
      <c r="O145" s="41">
        <f>Vuosikate!O145-'6. Poistot'!O145</f>
        <v>-3252.3603029495371</v>
      </c>
      <c r="P145" s="41">
        <f>Vuosikate!P145-'6. Poistot'!P145</f>
        <v>-3029.5171645824976</v>
      </c>
      <c r="T145" s="34">
        <v>425</v>
      </c>
      <c r="U145" s="88" t="s">
        <v>459</v>
      </c>
      <c r="V145" s="41" t="e">
        <f>C145/'1. Väestöennuste'!E145*1000</f>
        <v>#REF!</v>
      </c>
      <c r="W145" s="41">
        <f>D145/'1. Väestöennuste'!F145*1000</f>
        <v>-118.6</v>
      </c>
      <c r="X145" s="41">
        <f>E145/'1. Väestöennuste'!G145*1000</f>
        <v>186.71666831145762</v>
      </c>
      <c r="Y145" s="41">
        <f>F145/'1. Väestöennuste'!H145*1000</f>
        <v>160.41728176360596</v>
      </c>
      <c r="Z145" s="41">
        <f>G145/'1. Väestöennuste'!I145*1000</f>
        <v>-66.823667942302038</v>
      </c>
      <c r="AA145" s="41">
        <f>H145/'1. Väestöennuste'!J145*1000</f>
        <v>281.82752849357479</v>
      </c>
      <c r="AB145" s="41">
        <f>I145/'1. Väestöennuste'!K145*1000</f>
        <v>80.444677969055377</v>
      </c>
      <c r="AC145" s="41">
        <f>J145/'1. Väestöennuste'!L145*1000</f>
        <v>21.759746820968211</v>
      </c>
      <c r="AD145" s="41">
        <f>K145/'1. Väestöennuste'!M145*1000</f>
        <v>-88.782952991549195</v>
      </c>
      <c r="AE145" s="41">
        <f>L145/'1. Väestöennuste'!N145*1000</f>
        <v>-114.06274528736935</v>
      </c>
      <c r="AF145" s="41">
        <f>M145/'1. Väestöennuste'!O145*1000</f>
        <v>-308.63323473941688</v>
      </c>
      <c r="AG145" s="41">
        <f>N145/'1. Väestöennuste'!P145*1000</f>
        <v>-314.04766333991603</v>
      </c>
      <c r="AH145" s="41">
        <f>O145/'1. Väestöennuste'!Q145*1000</f>
        <v>-309.39500598835019</v>
      </c>
      <c r="AI145" s="41">
        <f>P145/'1. Väestöennuste'!R145*1000</f>
        <v>-287.70343443328562</v>
      </c>
    </row>
    <row r="146" spans="1:35" x14ac:dyDescent="0.2">
      <c r="A146" s="34">
        <v>426</v>
      </c>
      <c r="B146" s="88" t="s">
        <v>460</v>
      </c>
      <c r="C146" s="41" t="e">
        <f>Vuosikate!C146-'6. Poistot'!C146</f>
        <v>#REF!</v>
      </c>
      <c r="D146" s="41">
        <f>Vuosikate!D146-'6. Poistot'!D146</f>
        <v>913</v>
      </c>
      <c r="E146" s="41">
        <f>Vuosikate!E146-'6. Poistot'!E146</f>
        <v>1548</v>
      </c>
      <c r="F146" s="41">
        <f>Vuosikate!F146-'6. Poistot'!F146</f>
        <v>1021</v>
      </c>
      <c r="G146" s="41">
        <f>Vuosikate!G146-'6. Poistot'!G146</f>
        <v>-654</v>
      </c>
      <c r="H146" s="41">
        <f>Vuosikate!H146-'6. Poistot'!H146</f>
        <v>1845.4305620588966</v>
      </c>
      <c r="I146" s="41">
        <f>Vuosikate!I146-'6. Poistot'!I146</f>
        <v>-928.35618667268227</v>
      </c>
      <c r="J146" s="41">
        <f>Vuosikate!J146-'6. Poistot'!J146</f>
        <v>-3753.0673261157094</v>
      </c>
      <c r="K146" s="41">
        <f>Vuosikate!K146-'6. Poistot'!K146</f>
        <v>1983.9735010486957</v>
      </c>
      <c r="L146" s="41">
        <f>Vuosikate!L146-'6. Poistot'!L146</f>
        <v>-1872.0327099599845</v>
      </c>
      <c r="M146" s="41">
        <f>Vuosikate!M146-'6. Poistot'!M146</f>
        <v>-4560.0189925820523</v>
      </c>
      <c r="N146" s="41">
        <f>Vuosikate!N146-'6. Poistot'!N146</f>
        <v>-4440.1632459109842</v>
      </c>
      <c r="O146" s="41">
        <f>Vuosikate!O146-'6. Poistot'!O146</f>
        <v>-4185.355008424217</v>
      </c>
      <c r="P146" s="41">
        <f>Vuosikate!P146-'6. Poistot'!P146</f>
        <v>-3065.3795904232447</v>
      </c>
      <c r="T146" s="34">
        <v>426</v>
      </c>
      <c r="U146" s="88" t="s">
        <v>460</v>
      </c>
      <c r="V146" s="41" t="e">
        <f>C146/'1. Väestöennuste'!E146*1000</f>
        <v>#REF!</v>
      </c>
      <c r="W146" s="41">
        <f>D146/'1. Väestöennuste'!F146*1000</f>
        <v>74.221607999349644</v>
      </c>
      <c r="X146" s="41">
        <f>E146/'1. Väestöennuste'!G146*1000</f>
        <v>127.40740740740742</v>
      </c>
      <c r="Y146" s="41">
        <f>F146/'1. Väestöennuste'!H146*1000</f>
        <v>84.067517496912316</v>
      </c>
      <c r="Z146" s="41">
        <f>G146/'1. Väestöennuste'!I146*1000</f>
        <v>-54.121151936444889</v>
      </c>
      <c r="AA146" s="41">
        <f>H146/'1. Väestöennuste'!J146*1000</f>
        <v>153.8628115773634</v>
      </c>
      <c r="AB146" s="41">
        <f>I146/'1. Väestöennuste'!K146*1000</f>
        <v>-77.498638172859359</v>
      </c>
      <c r="AC146" s="41">
        <f>J146/'1. Väestöennuste'!L146*1000</f>
        <v>-313.74914948300528</v>
      </c>
      <c r="AD146" s="41">
        <f>K146/'1. Väestöennuste'!M146*1000</f>
        <v>165.7593367072183</v>
      </c>
      <c r="AE146" s="41">
        <f>L146/'1. Väestöennuste'!N146*1000</f>
        <v>-159.37618848629188</v>
      </c>
      <c r="AF146" s="41">
        <f>M146/'1. Väestöennuste'!O146*1000</f>
        <v>-390.41258498134005</v>
      </c>
      <c r="AG146" s="41">
        <f>N146/'1. Väestöennuste'!P146*1000</f>
        <v>-382.34420441840905</v>
      </c>
      <c r="AH146" s="41">
        <f>O146/'1. Väestöennuste'!Q146*1000</f>
        <v>-362.58814939133822</v>
      </c>
      <c r="AI146" s="41">
        <f>P146/'1. Väestöennuste'!R146*1000</f>
        <v>-267.2752280428324</v>
      </c>
    </row>
    <row r="147" spans="1:35" x14ac:dyDescent="0.2">
      <c r="A147" s="34">
        <v>430</v>
      </c>
      <c r="B147" s="88" t="s">
        <v>461</v>
      </c>
      <c r="C147" s="41" t="e">
        <f>Vuosikate!C147-'6. Poistot'!C147</f>
        <v>#REF!</v>
      </c>
      <c r="D147" s="41">
        <f>Vuosikate!D147-'6. Poistot'!D147</f>
        <v>-1536</v>
      </c>
      <c r="E147" s="41">
        <f>Vuosikate!E147-'6. Poistot'!E147</f>
        <v>-850</v>
      </c>
      <c r="F147" s="41">
        <f>Vuosikate!F147-'6. Poistot'!F147</f>
        <v>-5084</v>
      </c>
      <c r="G147" s="41">
        <f>Vuosikate!G147-'6. Poistot'!G147</f>
        <v>-2447</v>
      </c>
      <c r="H147" s="41">
        <f>Vuosikate!H147-'6. Poistot'!H147</f>
        <v>8631.2643611250314</v>
      </c>
      <c r="I147" s="41">
        <f>Vuosikate!I147-'6. Poistot'!I147</f>
        <v>3100.9156941948331</v>
      </c>
      <c r="J147" s="41">
        <f>Vuosikate!J147-'6. Poistot'!J147</f>
        <v>1785.8854753534251</v>
      </c>
      <c r="K147" s="41">
        <f>Vuosikate!K147-'6. Poistot'!K147</f>
        <v>3522.8263482850916</v>
      </c>
      <c r="L147" s="41">
        <f>Vuosikate!L147-'6. Poistot'!L147</f>
        <v>1894.6716933281486</v>
      </c>
      <c r="M147" s="41">
        <f>Vuosikate!M147-'6. Poistot'!M147</f>
        <v>-340.74608035446408</v>
      </c>
      <c r="N147" s="41">
        <f>Vuosikate!N147-'6. Poistot'!N147</f>
        <v>-71.569304360658862</v>
      </c>
      <c r="O147" s="41">
        <f>Vuosikate!O147-'6. Poistot'!O147</f>
        <v>130.88714439371142</v>
      </c>
      <c r="P147" s="41">
        <f>Vuosikate!P147-'6. Poistot'!P147</f>
        <v>2090.1529267439564</v>
      </c>
      <c r="T147" s="34">
        <v>430</v>
      </c>
      <c r="U147" s="88" t="s">
        <v>461</v>
      </c>
      <c r="V147" s="41" t="e">
        <f>C147/'1. Väestöennuste'!E147*1000</f>
        <v>#REF!</v>
      </c>
      <c r="W147" s="41">
        <f>D147/'1. Väestöennuste'!F147*1000</f>
        <v>-94.424294584127381</v>
      </c>
      <c r="X147" s="41">
        <f>E147/'1. Väestöennuste'!G147*1000</f>
        <v>-52.631578947368418</v>
      </c>
      <c r="Y147" s="41">
        <f>F147/'1. Väestöennuste'!H147*1000</f>
        <v>-317.11576846307389</v>
      </c>
      <c r="Z147" s="41">
        <f>G147/'1. Väestöennuste'!I147*1000</f>
        <v>-154.14173228346456</v>
      </c>
      <c r="AA147" s="41">
        <f>H147/'1. Väestöennuste'!J147*1000</f>
        <v>547.3217730580235</v>
      </c>
      <c r="AB147" s="41">
        <f>I147/'1. Väestöennuste'!K147*1000</f>
        <v>198.42050769099265</v>
      </c>
      <c r="AC147" s="41">
        <f>J147/'1. Väestöennuste'!L147*1000</f>
        <v>116.02686300373084</v>
      </c>
      <c r="AD147" s="41">
        <f>K147/'1. Väestöennuste'!M147*1000</f>
        <v>228.45825864365054</v>
      </c>
      <c r="AE147" s="41">
        <f>L147/'1. Väestöennuste'!N147*1000</f>
        <v>124.43660142704246</v>
      </c>
      <c r="AF147" s="41">
        <f>M147/'1. Väestöennuste'!O147*1000</f>
        <v>-22.559989430247889</v>
      </c>
      <c r="AG147" s="41">
        <f>N147/'1. Väestöennuste'!P147*1000</f>
        <v>-4.7754256596155908</v>
      </c>
      <c r="AH147" s="41">
        <f>O147/'1. Väestöennuste'!Q147*1000</f>
        <v>8.7997273358687256</v>
      </c>
      <c r="AI147" s="41">
        <f>P147/'1. Väestöennuste'!R147*1000</f>
        <v>141.56132250213045</v>
      </c>
    </row>
    <row r="148" spans="1:35" x14ac:dyDescent="0.2">
      <c r="A148" s="34">
        <v>433</v>
      </c>
      <c r="B148" s="88" t="s">
        <v>462</v>
      </c>
      <c r="C148" s="41" t="e">
        <f>Vuosikate!C148-'6. Poistot'!C148</f>
        <v>#REF!</v>
      </c>
      <c r="D148" s="41">
        <f>Vuosikate!D148-'6. Poistot'!D148</f>
        <v>1236</v>
      </c>
      <c r="E148" s="41">
        <f>Vuosikate!E148-'6. Poistot'!E148</f>
        <v>1266</v>
      </c>
      <c r="F148" s="41">
        <f>Vuosikate!F148-'6. Poistot'!F148</f>
        <v>-825</v>
      </c>
      <c r="G148" s="41">
        <f>Vuosikate!G148-'6. Poistot'!G148</f>
        <v>853</v>
      </c>
      <c r="H148" s="41">
        <f>Vuosikate!H148-'6. Poistot'!H148</f>
        <v>2116.3480897596892</v>
      </c>
      <c r="I148" s="41">
        <f>Vuosikate!I148-'6. Poistot'!I148</f>
        <v>2200.0201629439025</v>
      </c>
      <c r="J148" s="41">
        <f>Vuosikate!J148-'6. Poistot'!J148</f>
        <v>163.47014896627525</v>
      </c>
      <c r="K148" s="41">
        <f>Vuosikate!K148-'6. Poistot'!K148</f>
        <v>1040.3651514176768</v>
      </c>
      <c r="L148" s="41">
        <f>Vuosikate!L148-'6. Poistot'!L148</f>
        <v>-1352.4363861369275</v>
      </c>
      <c r="M148" s="41">
        <f>Vuosikate!M148-'6. Poistot'!M148</f>
        <v>-1931.3337560079708</v>
      </c>
      <c r="N148" s="41">
        <f>Vuosikate!N148-'6. Poistot'!N148</f>
        <v>-1414.5928438204492</v>
      </c>
      <c r="O148" s="41">
        <f>Vuosikate!O148-'6. Poistot'!O148</f>
        <v>-1690.5449533206929</v>
      </c>
      <c r="P148" s="41">
        <f>Vuosikate!P148-'6. Poistot'!P148</f>
        <v>-900.51793774292696</v>
      </c>
      <c r="T148" s="34">
        <v>433</v>
      </c>
      <c r="U148" s="88" t="s">
        <v>462</v>
      </c>
      <c r="V148" s="41" t="e">
        <f>C148/'1. Väestöennuste'!E148*1000</f>
        <v>#REF!</v>
      </c>
      <c r="W148" s="41">
        <f>D148/'1. Väestöennuste'!F148*1000</f>
        <v>152.63027908125463</v>
      </c>
      <c r="X148" s="41">
        <f>E148/'1. Väestöennuste'!G148*1000</f>
        <v>157.6980568011958</v>
      </c>
      <c r="Y148" s="41">
        <f>F148/'1. Väestöennuste'!H148*1000</f>
        <v>-104.94847983717085</v>
      </c>
      <c r="Z148" s="41">
        <f>G148/'1. Väestöennuste'!I148*1000</f>
        <v>108.96780786918752</v>
      </c>
      <c r="AA148" s="41">
        <f>H148/'1. Väestöennuste'!J148*1000</f>
        <v>269.49549086459814</v>
      </c>
      <c r="AB148" s="41">
        <f>I148/'1. Väestöennuste'!K148*1000</f>
        <v>282.0900324328635</v>
      </c>
      <c r="AC148" s="41">
        <f>J148/'1. Väestöennuste'!L148*1000</f>
        <v>21.095644465902083</v>
      </c>
      <c r="AD148" s="41">
        <f>K148/'1. Väestöennuste'!M148*1000</f>
        <v>135.25287979948996</v>
      </c>
      <c r="AE148" s="41">
        <f>L148/'1. Väestöennuste'!N148*1000</f>
        <v>-176.85842632887767</v>
      </c>
      <c r="AF148" s="41">
        <f>M148/'1. Väestöennuste'!O148*1000</f>
        <v>-254.02259055740771</v>
      </c>
      <c r="AG148" s="41">
        <f>N148/'1. Väestöennuste'!P148*1000</f>
        <v>-187.18973717354098</v>
      </c>
      <c r="AH148" s="41">
        <f>O148/'1. Väestöennuste'!Q148*1000</f>
        <v>-224.95608161286665</v>
      </c>
      <c r="AI148" s="41">
        <f>P148/'1. Väestöennuste'!R148*1000</f>
        <v>-120.53512752548882</v>
      </c>
    </row>
    <row r="149" spans="1:35" x14ac:dyDescent="0.2">
      <c r="A149" s="34">
        <v>434</v>
      </c>
      <c r="B149" s="88" t="s">
        <v>463</v>
      </c>
      <c r="C149" s="41" t="e">
        <f>Vuosikate!C149-'6. Poistot'!C149</f>
        <v>#REF!</v>
      </c>
      <c r="D149" s="41">
        <f>Vuosikate!D149-'6. Poistot'!D149</f>
        <v>2189</v>
      </c>
      <c r="E149" s="41">
        <f>Vuosikate!E149-'6. Poistot'!E149</f>
        <v>3644</v>
      </c>
      <c r="F149" s="41">
        <f>Vuosikate!F149-'6. Poistot'!F149</f>
        <v>-6762</v>
      </c>
      <c r="G149" s="41">
        <f>Vuosikate!G149-'6. Poistot'!G149</f>
        <v>-8892</v>
      </c>
      <c r="H149" s="41">
        <f>Vuosikate!H149-'6. Poistot'!H149</f>
        <v>4426.4400496072485</v>
      </c>
      <c r="I149" s="41">
        <f>Vuosikate!I149-'6. Poistot'!I149</f>
        <v>4891.1332178335315</v>
      </c>
      <c r="J149" s="41">
        <f>Vuosikate!J149-'6. Poistot'!J149</f>
        <v>2947.4854940591349</v>
      </c>
      <c r="K149" s="41">
        <f>Vuosikate!K149-'6. Poistot'!K149</f>
        <v>2294.1259337384099</v>
      </c>
      <c r="L149" s="41">
        <f>Vuosikate!L149-'6. Poistot'!L149</f>
        <v>90.61467027035269</v>
      </c>
      <c r="M149" s="41">
        <f>Vuosikate!M149-'6. Poistot'!M149</f>
        <v>-1977.6478602437164</v>
      </c>
      <c r="N149" s="41">
        <f>Vuosikate!N149-'6. Poistot'!N149</f>
        <v>-73498.155516820378</v>
      </c>
      <c r="O149" s="41">
        <f>Vuosikate!O149-'6. Poistot'!O149</f>
        <v>-75387.731750355946</v>
      </c>
      <c r="P149" s="41">
        <f>Vuosikate!P149-'6. Poistot'!P149</f>
        <v>-76717.205205508741</v>
      </c>
      <c r="T149" s="34">
        <v>434</v>
      </c>
      <c r="U149" s="88" t="s">
        <v>463</v>
      </c>
      <c r="V149" s="41" t="e">
        <f>C149/'1. Väestöennuste'!E149*1000</f>
        <v>#REF!</v>
      </c>
      <c r="W149" s="41">
        <f>D149/'1. Väestöennuste'!F149*1000</f>
        <v>143.93740136770123</v>
      </c>
      <c r="X149" s="41">
        <f>E149/'1. Väestöennuste'!G149*1000</f>
        <v>241.56446801458404</v>
      </c>
      <c r="Y149" s="41">
        <f>F149/'1. Väestöennuste'!H149*1000</f>
        <v>-454.09979182056276</v>
      </c>
      <c r="Z149" s="41">
        <f>G149/'1. Väestöennuste'!I149*1000</f>
        <v>-601.94963444354187</v>
      </c>
      <c r="AA149" s="41">
        <f>H149/'1. Väestöennuste'!J149*1000</f>
        <v>300.19939298794498</v>
      </c>
      <c r="AB149" s="41">
        <f>I149/'1. Väestöennuste'!K149*1000</f>
        <v>334.02535121447323</v>
      </c>
      <c r="AC149" s="41">
        <f>J149/'1. Väestöennuste'!L149*1000</f>
        <v>202.3260223818736</v>
      </c>
      <c r="AD149" s="41">
        <f>K149/'1. Väestöennuste'!M149*1000</f>
        <v>158.6751925396604</v>
      </c>
      <c r="AE149" s="41">
        <f>L149/'1. Väestöennuste'!N149*1000</f>
        <v>6.3256314324853538</v>
      </c>
      <c r="AF149" s="41">
        <f>M149/'1. Väestöennuste'!O149*1000</f>
        <v>-138.89927379152383</v>
      </c>
      <c r="AG149" s="41">
        <f>N149/'1. Väestöennuste'!P149*1000</f>
        <v>-5193.1149238197122</v>
      </c>
      <c r="AH149" s="41">
        <f>O149/'1. Väestöennuste'!Q149*1000</f>
        <v>-5355.0029656454008</v>
      </c>
      <c r="AI149" s="41">
        <f>P149/'1. Väestöennuste'!R149*1000</f>
        <v>-5476.6708456245533</v>
      </c>
    </row>
    <row r="150" spans="1:35" x14ac:dyDescent="0.2">
      <c r="A150" s="34">
        <v>435</v>
      </c>
      <c r="B150" s="88" t="s">
        <v>464</v>
      </c>
      <c r="C150" s="41" t="e">
        <f>Vuosikate!C150-'6. Poistot'!C150</f>
        <v>#REF!</v>
      </c>
      <c r="D150" s="41">
        <f>Vuosikate!D150-'6. Poistot'!D150</f>
        <v>35</v>
      </c>
      <c r="E150" s="41">
        <f>Vuosikate!E150-'6. Poistot'!E150</f>
        <v>406</v>
      </c>
      <c r="F150" s="41">
        <f>Vuosikate!F150-'6. Poistot'!F150</f>
        <v>234</v>
      </c>
      <c r="G150" s="41">
        <f>Vuosikate!G150-'6. Poistot'!G150</f>
        <v>-191</v>
      </c>
      <c r="H150" s="41">
        <f>Vuosikate!H150-'6. Poistot'!H150</f>
        <v>651.93725968993112</v>
      </c>
      <c r="I150" s="41">
        <f>Vuosikate!I150-'6. Poistot'!I150</f>
        <v>295.11015035774119</v>
      </c>
      <c r="J150" s="41">
        <f>Vuosikate!J150-'6. Poistot'!J150</f>
        <v>20.915225562382744</v>
      </c>
      <c r="K150" s="41">
        <f>Vuosikate!K150-'6. Poistot'!K150</f>
        <v>-273.99797709640291</v>
      </c>
      <c r="L150" s="41">
        <f>Vuosikate!L150-'6. Poistot'!L150</f>
        <v>-246.93556019751861</v>
      </c>
      <c r="M150" s="41">
        <f>Vuosikate!M150-'6. Poistot'!M150</f>
        <v>-292.87325621028981</v>
      </c>
      <c r="N150" s="41">
        <f>Vuosikate!N150-'6. Poistot'!N150</f>
        <v>-365.10785528571955</v>
      </c>
      <c r="O150" s="41">
        <f>Vuosikate!O150-'6. Poistot'!O150</f>
        <v>-420.3301430415687</v>
      </c>
      <c r="P150" s="41">
        <f>Vuosikate!P150-'6. Poistot'!P150</f>
        <v>-431.20711903726328</v>
      </c>
      <c r="T150" s="34">
        <v>435</v>
      </c>
      <c r="U150" s="88" t="s">
        <v>464</v>
      </c>
      <c r="V150" s="41" t="e">
        <f>C150/'1. Väestöennuste'!E150*1000</f>
        <v>#REF!</v>
      </c>
      <c r="W150" s="41">
        <f>D150/'1. Väestöennuste'!F150*1000</f>
        <v>46.296296296296291</v>
      </c>
      <c r="X150" s="41">
        <f>E150/'1. Väestöennuste'!G150*1000</f>
        <v>553.13351498637599</v>
      </c>
      <c r="Y150" s="41">
        <f>F150/'1. Väestöennuste'!H150*1000</f>
        <v>330.97595473833098</v>
      </c>
      <c r="Z150" s="41">
        <f>G150/'1. Väestöennuste'!I150*1000</f>
        <v>-276.8115942028985</v>
      </c>
      <c r="AA150" s="41">
        <f>H150/'1. Väestöennuste'!J150*1000</f>
        <v>932.67133002851381</v>
      </c>
      <c r="AB150" s="41">
        <f>I150/'1. Väestöennuste'!K150*1000</f>
        <v>419.78684261414111</v>
      </c>
      <c r="AC150" s="41">
        <f>J150/'1. Väestöennuste'!L150*1000</f>
        <v>30.224314396506855</v>
      </c>
      <c r="AD150" s="41">
        <f>K150/'1. Väestöennuste'!M150*1000</f>
        <v>-390.31050868433465</v>
      </c>
      <c r="AE150" s="41">
        <f>L150/'1. Väestöennuste'!N150*1000</f>
        <v>-359.4404078566501</v>
      </c>
      <c r="AF150" s="41">
        <f>M150/'1. Väestöennuste'!O150*1000</f>
        <v>-428.80418185986798</v>
      </c>
      <c r="AG150" s="41">
        <f>N150/'1. Väestöennuste'!P150*1000</f>
        <v>-534.56494185317649</v>
      </c>
      <c r="AH150" s="41">
        <f>O150/'1. Väestöennuste'!Q150*1000</f>
        <v>-618.13256329642456</v>
      </c>
      <c r="AI150" s="41">
        <f>P150/'1. Väestöennuste'!R150*1000</f>
        <v>-635.06203098271476</v>
      </c>
    </row>
    <row r="151" spans="1:35" x14ac:dyDescent="0.2">
      <c r="A151" s="34">
        <v>436</v>
      </c>
      <c r="B151" s="88" t="s">
        <v>465</v>
      </c>
      <c r="C151" s="41" t="e">
        <f>Vuosikate!C151-'6. Poistot'!C151</f>
        <v>#REF!</v>
      </c>
      <c r="D151" s="41">
        <f>Vuosikate!D151-'6. Poistot'!D151</f>
        <v>-39</v>
      </c>
      <c r="E151" s="41">
        <f>Vuosikate!E151-'6. Poistot'!E151</f>
        <v>-28</v>
      </c>
      <c r="F151" s="41">
        <f>Vuosikate!F151-'6. Poistot'!F151</f>
        <v>66</v>
      </c>
      <c r="G151" s="41">
        <f>Vuosikate!G151-'6. Poistot'!G151</f>
        <v>306</v>
      </c>
      <c r="H151" s="41">
        <f>Vuosikate!H151-'6. Poistot'!H151</f>
        <v>148.65140149426225</v>
      </c>
      <c r="I151" s="41">
        <f>Vuosikate!I151-'6. Poistot'!I151</f>
        <v>337.29170254590667</v>
      </c>
      <c r="J151" s="41">
        <f>Vuosikate!J151-'6. Poistot'!J151</f>
        <v>-917.62607378914674</v>
      </c>
      <c r="K151" s="41">
        <f>Vuosikate!K151-'6. Poistot'!K151</f>
        <v>542.09326757985195</v>
      </c>
      <c r="L151" s="41">
        <f>Vuosikate!L151-'6. Poistot'!L151</f>
        <v>-789.11789693854337</v>
      </c>
      <c r="M151" s="41">
        <f>Vuosikate!M151-'6. Poistot'!M151</f>
        <v>-1597.1137948483552</v>
      </c>
      <c r="N151" s="41">
        <f>Vuosikate!N151-'6. Poistot'!N151</f>
        <v>-1151.2947605272761</v>
      </c>
      <c r="O151" s="41">
        <f>Vuosikate!O151-'6. Poistot'!O151</f>
        <v>-1259.3958862145832</v>
      </c>
      <c r="P151" s="41">
        <f>Vuosikate!P151-'6. Poistot'!P151</f>
        <v>-1291.7828530071502</v>
      </c>
      <c r="T151" s="34">
        <v>436</v>
      </c>
      <c r="U151" s="88" t="s">
        <v>465</v>
      </c>
      <c r="V151" s="41" t="e">
        <f>C151/'1. Väestöennuste'!E151*1000</f>
        <v>#REF!</v>
      </c>
      <c r="W151" s="41">
        <f>D151/'1. Väestöennuste'!F151*1000</f>
        <v>-18.527315914489311</v>
      </c>
      <c r="X151" s="41">
        <f>E151/'1. Väestöennuste'!G151*1000</f>
        <v>-13.455069678039404</v>
      </c>
      <c r="Y151" s="41">
        <f>F151/'1. Väestöennuste'!H151*1000</f>
        <v>32.163742690058477</v>
      </c>
      <c r="Z151" s="41">
        <f>G151/'1. Väestöennuste'!I151*1000</f>
        <v>151.48514851485149</v>
      </c>
      <c r="AA151" s="41">
        <f>H151/'1. Väestöennuste'!J151*1000</f>
        <v>73.011493857692656</v>
      </c>
      <c r="AB151" s="41">
        <f>I151/'1. Väestöennuste'!K151*1000</f>
        <v>167.14157707924019</v>
      </c>
      <c r="AC151" s="41">
        <f>J151/'1. Väestöennuste'!L151*1000</f>
        <v>-461.58253208709596</v>
      </c>
      <c r="AD151" s="41">
        <f>K151/'1. Väestöennuste'!M151*1000</f>
        <v>266.64695896697094</v>
      </c>
      <c r="AE151" s="41">
        <f>L151/'1. Väestöennuste'!N151*1000</f>
        <v>-391.03959214001162</v>
      </c>
      <c r="AF151" s="41">
        <f>M151/'1. Väestöennuste'!O151*1000</f>
        <v>-794.97948972043559</v>
      </c>
      <c r="AG151" s="41">
        <f>N151/'1. Väestöennuste'!P151*1000</f>
        <v>-574.49838349664469</v>
      </c>
      <c r="AH151" s="41">
        <f>O151/'1. Väestöennuste'!Q151*1000</f>
        <v>-630.6439089707477</v>
      </c>
      <c r="AI151" s="41">
        <f>P151/'1. Väestöennuste'!R151*1000</f>
        <v>-648.48536797547695</v>
      </c>
    </row>
    <row r="152" spans="1:35" x14ac:dyDescent="0.2">
      <c r="A152" s="34">
        <v>440</v>
      </c>
      <c r="B152" s="88" t="s">
        <v>466</v>
      </c>
      <c r="C152" s="41" t="e">
        <f>Vuosikate!C152-'6. Poistot'!C152</f>
        <v>#REF!</v>
      </c>
      <c r="D152" s="41">
        <f>Vuosikate!D152-'6. Poistot'!D152</f>
        <v>1855</v>
      </c>
      <c r="E152" s="41">
        <f>Vuosikate!E152-'6. Poistot'!E152</f>
        <v>1179</v>
      </c>
      <c r="F152" s="41">
        <f>Vuosikate!F152-'6. Poistot'!F152</f>
        <v>14</v>
      </c>
      <c r="G152" s="41">
        <f>Vuosikate!G152-'6. Poistot'!G152</f>
        <v>-1320</v>
      </c>
      <c r="H152" s="41">
        <f>Vuosikate!H152-'6. Poistot'!H152</f>
        <v>1520.5336583003373</v>
      </c>
      <c r="I152" s="41">
        <f>Vuosikate!I152-'6. Poistot'!I152</f>
        <v>1716.8001349936244</v>
      </c>
      <c r="J152" s="41">
        <f>Vuosikate!J152-'6. Poistot'!J152</f>
        <v>1538.4694441811305</v>
      </c>
      <c r="K152" s="41">
        <f>Vuosikate!K152-'6. Poistot'!K152</f>
        <v>9.5548338885776047</v>
      </c>
      <c r="L152" s="41">
        <f>Vuosikate!L152-'6. Poistot'!L152</f>
        <v>174.76927699387329</v>
      </c>
      <c r="M152" s="41">
        <f>Vuosikate!M152-'6. Poistot'!M152</f>
        <v>619.57841749556565</v>
      </c>
      <c r="N152" s="41">
        <f>Vuosikate!N152-'6. Poistot'!N152</f>
        <v>364.35296465443912</v>
      </c>
      <c r="O152" s="41">
        <f>Vuosikate!O152-'6. Poistot'!O152</f>
        <v>559.42693777835302</v>
      </c>
      <c r="P152" s="41">
        <f>Vuosikate!P152-'6. Poistot'!P152</f>
        <v>1165.7664084069356</v>
      </c>
      <c r="T152" s="34">
        <v>440</v>
      </c>
      <c r="U152" s="88" t="s">
        <v>466</v>
      </c>
      <c r="V152" s="41" t="e">
        <f>C152/'1. Väestöennuste'!E152*1000</f>
        <v>#REF!</v>
      </c>
      <c r="W152" s="41">
        <f>D152/'1. Väestöennuste'!F152*1000</f>
        <v>358.38485316846987</v>
      </c>
      <c r="X152" s="41">
        <f>E152/'1. Väestöennuste'!G152*1000</f>
        <v>223.97416413373861</v>
      </c>
      <c r="Y152" s="41">
        <f>F152/'1. Väestöennuste'!H152*1000</f>
        <v>2.6217228464419478</v>
      </c>
      <c r="Z152" s="41">
        <f>G152/'1. Väestöennuste'!I152*1000</f>
        <v>-243.6773121654052</v>
      </c>
      <c r="AA152" s="41">
        <f>H152/'1. Väestöennuste'!J152*1000</f>
        <v>274.76213558011153</v>
      </c>
      <c r="AB152" s="41">
        <f>I152/'1. Väestöennuste'!K152*1000</f>
        <v>305.37177783593461</v>
      </c>
      <c r="AC152" s="41">
        <f>J152/'1. Väestöennuste'!L152*1000</f>
        <v>268.40011238330959</v>
      </c>
      <c r="AD152" s="41">
        <f>K152/'1. Väestöennuste'!M152*1000</f>
        <v>1.6352616615741236</v>
      </c>
      <c r="AE152" s="41">
        <f>L152/'1. Väestöennuste'!N152*1000</f>
        <v>29.798683204411475</v>
      </c>
      <c r="AF152" s="41">
        <f>M152/'1. Väestöennuste'!O152*1000</f>
        <v>104.35883737503211</v>
      </c>
      <c r="AG152" s="41">
        <f>N152/'1. Väestöennuste'!P152*1000</f>
        <v>60.654730257106564</v>
      </c>
      <c r="AH152" s="41">
        <f>O152/'1. Väestöennuste'!Q152*1000</f>
        <v>92.086738728946997</v>
      </c>
      <c r="AI152" s="41">
        <f>P152/'1. Väestöennuste'!R152*1000</f>
        <v>189.89516344794521</v>
      </c>
    </row>
    <row r="153" spans="1:35" x14ac:dyDescent="0.2">
      <c r="A153" s="34">
        <v>441</v>
      </c>
      <c r="B153" s="88" t="s">
        <v>467</v>
      </c>
      <c r="C153" s="41" t="e">
        <f>Vuosikate!C153-'6. Poistot'!C153</f>
        <v>#REF!</v>
      </c>
      <c r="D153" s="41">
        <f>Vuosikate!D153-'6. Poistot'!D153</f>
        <v>-1797</v>
      </c>
      <c r="E153" s="41">
        <f>Vuosikate!E153-'6. Poistot'!E153</f>
        <v>836</v>
      </c>
      <c r="F153" s="41">
        <f>Vuosikate!F153-'6. Poistot'!F153</f>
        <v>-2937</v>
      </c>
      <c r="G153" s="41">
        <f>Vuosikate!G153-'6. Poistot'!G153</f>
        <v>-1403</v>
      </c>
      <c r="H153" s="41">
        <f>Vuosikate!H153-'6. Poistot'!H153</f>
        <v>-650.06088905602701</v>
      </c>
      <c r="I153" s="41">
        <f>Vuosikate!I153-'6. Poistot'!I153</f>
        <v>654.81948387119951</v>
      </c>
      <c r="J153" s="41">
        <f>Vuosikate!J153-'6. Poistot'!J153</f>
        <v>-1767.8034836659483</v>
      </c>
      <c r="K153" s="41">
        <f>Vuosikate!K153-'6. Poistot'!K153</f>
        <v>-759.8952812742167</v>
      </c>
      <c r="L153" s="41">
        <f>Vuosikate!L153-'6. Poistot'!L153</f>
        <v>-1179.7507702715225</v>
      </c>
      <c r="M153" s="41">
        <f>Vuosikate!M153-'6. Poistot'!M153</f>
        <v>-1392.4507884823174</v>
      </c>
      <c r="N153" s="41">
        <f>Vuosikate!N153-'6. Poistot'!N153</f>
        <v>-1302.8132763797387</v>
      </c>
      <c r="O153" s="41">
        <f>Vuosikate!O153-'6. Poistot'!O153</f>
        <v>-1407.9563062005936</v>
      </c>
      <c r="P153" s="41">
        <f>Vuosikate!P153-'6. Poistot'!P153</f>
        <v>-1104.5161774171695</v>
      </c>
      <c r="T153" s="34">
        <v>441</v>
      </c>
      <c r="U153" s="88" t="s">
        <v>467</v>
      </c>
      <c r="V153" s="41" t="e">
        <f>C153/'1. Väestöennuste'!E153*1000</f>
        <v>#REF!</v>
      </c>
      <c r="W153" s="41">
        <f>D153/'1. Väestöennuste'!F153*1000</f>
        <v>-371.97267646450013</v>
      </c>
      <c r="X153" s="41">
        <f>E153/'1. Väestöennuste'!G153*1000</f>
        <v>176.111228144091</v>
      </c>
      <c r="Y153" s="41">
        <f>F153/'1. Väestöennuste'!H153*1000</f>
        <v>-629.98712998713006</v>
      </c>
      <c r="Z153" s="41">
        <f>G153/'1. Väestöennuste'!I153*1000</f>
        <v>-302.63157894736844</v>
      </c>
      <c r="AA153" s="41">
        <f>H153/'1. Väestöennuste'!J153*1000</f>
        <v>-143.09066455118358</v>
      </c>
      <c r="AB153" s="41">
        <f>I153/'1. Väestöennuste'!K153*1000</f>
        <v>146.39380368236073</v>
      </c>
      <c r="AC153" s="41">
        <f>J153/'1. Väestöennuste'!L153*1000</f>
        <v>-399.86507208006066</v>
      </c>
      <c r="AD153" s="41">
        <f>K153/'1. Väestöennuste'!M153*1000</f>
        <v>-172.86061903417121</v>
      </c>
      <c r="AE153" s="41">
        <f>L153/'1. Väestöennuste'!N153*1000</f>
        <v>-274.61610108741212</v>
      </c>
      <c r="AF153" s="41">
        <f>M153/'1. Väestöennuste'!O153*1000</f>
        <v>-328.02138715720082</v>
      </c>
      <c r="AG153" s="41">
        <f>N153/'1. Väestöennuste'!P153*1000</f>
        <v>-310.34141886130027</v>
      </c>
      <c r="AH153" s="41">
        <f>O153/'1. Väestöennuste'!Q153*1000</f>
        <v>-339.26657980737195</v>
      </c>
      <c r="AI153" s="41">
        <f>P153/'1. Väestöennuste'!R153*1000</f>
        <v>-269.19721604123072</v>
      </c>
    </row>
    <row r="154" spans="1:35" x14ac:dyDescent="0.2">
      <c r="A154" s="34">
        <v>444</v>
      </c>
      <c r="B154" s="88" t="s">
        <v>468</v>
      </c>
      <c r="C154" s="41" t="e">
        <f>Vuosikate!C154-'6. Poistot'!C154</f>
        <v>#REF!</v>
      </c>
      <c r="D154" s="41">
        <f>Vuosikate!D154-'6. Poistot'!D154</f>
        <v>1631</v>
      </c>
      <c r="E154" s="41">
        <f>Vuosikate!E154-'6. Poistot'!E154</f>
        <v>1357</v>
      </c>
      <c r="F154" s="41">
        <f>Vuosikate!F154-'6. Poistot'!F154</f>
        <v>-9865</v>
      </c>
      <c r="G154" s="41">
        <f>Vuosikate!G154-'6. Poistot'!G154</f>
        <v>-9517</v>
      </c>
      <c r="H154" s="41">
        <f>Vuosikate!H154-'6. Poistot'!H154</f>
        <v>14354.836167540489</v>
      </c>
      <c r="I154" s="41">
        <f>Vuosikate!I154-'6. Poistot'!I154</f>
        <v>16353.548779447174</v>
      </c>
      <c r="J154" s="41">
        <f>Vuosikate!J154-'6. Poistot'!J154</f>
        <v>9956.0803049852148</v>
      </c>
      <c r="K154" s="41">
        <f>Vuosikate!K154-'6. Poistot'!K154</f>
        <v>14600.76687923745</v>
      </c>
      <c r="L154" s="41">
        <f>Vuosikate!L154-'6. Poistot'!L154</f>
        <v>3648.512984315581</v>
      </c>
      <c r="M154" s="41">
        <f>Vuosikate!M154-'6. Poistot'!M154</f>
        <v>-41.177344318806718</v>
      </c>
      <c r="N154" s="41">
        <f>Vuosikate!N154-'6. Poistot'!N154</f>
        <v>-1589.5599832135667</v>
      </c>
      <c r="O154" s="41">
        <f>Vuosikate!O154-'6. Poistot'!O154</f>
        <v>-1756.1719634696892</v>
      </c>
      <c r="P154" s="41">
        <f>Vuosikate!P154-'6. Poistot'!P154</f>
        <v>1912.401718735764</v>
      </c>
      <c r="T154" s="34">
        <v>444</v>
      </c>
      <c r="U154" s="88" t="s">
        <v>468</v>
      </c>
      <c r="V154" s="41" t="e">
        <f>C154/'1. Väestöennuste'!E154*1000</f>
        <v>#REF!</v>
      </c>
      <c r="W154" s="41">
        <f>D154/'1. Väestöennuste'!F154*1000</f>
        <v>34.592462194320134</v>
      </c>
      <c r="X154" s="41">
        <f>E154/'1. Väestöennuste'!G154*1000</f>
        <v>29.005022977450036</v>
      </c>
      <c r="Y154" s="41">
        <f>F154/'1. Väestöennuste'!H154*1000</f>
        <v>-213.08536374632797</v>
      </c>
      <c r="Z154" s="41">
        <f>G154/'1. Väestöennuste'!I154*1000</f>
        <v>-207.04884150984446</v>
      </c>
      <c r="AA154" s="41">
        <f>H154/'1. Väestöennuste'!J154*1000</f>
        <v>312.83694738134699</v>
      </c>
      <c r="AB154" s="41">
        <f>I154/'1. Väestöennuste'!K154*1000</f>
        <v>355.60469643052909</v>
      </c>
      <c r="AC154" s="41">
        <f>J154/'1. Väestöennuste'!L154*1000</f>
        <v>217.32946901366952</v>
      </c>
      <c r="AD154" s="41">
        <f>K154/'1. Väestöennuste'!M154*1000</f>
        <v>319.87658843767008</v>
      </c>
      <c r="AE154" s="41">
        <f>L154/'1. Väestöennuste'!N154*1000</f>
        <v>81.264070746722084</v>
      </c>
      <c r="AF154" s="41">
        <f>M154/'1. Väestöennuste'!O154*1000</f>
        <v>-0.92183268751945902</v>
      </c>
      <c r="AG154" s="41">
        <f>N154/'1. Väestöennuste'!P154*1000</f>
        <v>-35.759825048110656</v>
      </c>
      <c r="AH154" s="41">
        <f>O154/'1. Väestöennuste'!Q154*1000</f>
        <v>-39.69378124154531</v>
      </c>
      <c r="AI154" s="41">
        <f>P154/'1. Väestöennuste'!R154*1000</f>
        <v>43.417297857646695</v>
      </c>
    </row>
    <row r="155" spans="1:35" x14ac:dyDescent="0.2">
      <c r="A155" s="34">
        <v>445</v>
      </c>
      <c r="B155" s="88" t="s">
        <v>469</v>
      </c>
      <c r="C155" s="41" t="e">
        <f>Vuosikate!C155-'6. Poistot'!C155</f>
        <v>#REF!</v>
      </c>
      <c r="D155" s="41">
        <f>Vuosikate!D155-'6. Poistot'!D155</f>
        <v>2005</v>
      </c>
      <c r="E155" s="41">
        <f>Vuosikate!E155-'6. Poistot'!E155</f>
        <v>-35</v>
      </c>
      <c r="F155" s="41">
        <f>Vuosikate!F155-'6. Poistot'!F155</f>
        <v>-1954</v>
      </c>
      <c r="G155" s="41">
        <f>Vuosikate!G155-'6. Poistot'!G155</f>
        <v>-5414</v>
      </c>
      <c r="H155" s="41">
        <f>Vuosikate!H155-'6. Poistot'!H155</f>
        <v>1261.4939520658299</v>
      </c>
      <c r="I155" s="41">
        <f>Vuosikate!I155-'6. Poistot'!I155</f>
        <v>2430.6752094333406</v>
      </c>
      <c r="J155" s="41">
        <f>Vuosikate!J155-'6. Poistot'!J155</f>
        <v>1098.5945700651773</v>
      </c>
      <c r="K155" s="41">
        <f>Vuosikate!K155-'6. Poistot'!K155</f>
        <v>2818.4894437369285</v>
      </c>
      <c r="L155" s="41">
        <f>Vuosikate!L155-'6. Poistot'!L155</f>
        <v>-1776.0334788911391</v>
      </c>
      <c r="M155" s="41">
        <f>Vuosikate!M155-'6. Poistot'!M155</f>
        <v>-2340.0041738256114</v>
      </c>
      <c r="N155" s="41">
        <f>Vuosikate!N155-'6. Poistot'!N155</f>
        <v>-1715.6276768534881</v>
      </c>
      <c r="O155" s="41">
        <f>Vuosikate!O155-'6. Poistot'!O155</f>
        <v>-1263.264149647719</v>
      </c>
      <c r="P155" s="41">
        <f>Vuosikate!P155-'6. Poistot'!P155</f>
        <v>124.23459676866514</v>
      </c>
      <c r="T155" s="34">
        <v>445</v>
      </c>
      <c r="U155" s="88" t="s">
        <v>469</v>
      </c>
      <c r="V155" s="41" t="e">
        <f>C155/'1. Väestöennuste'!E155*1000</f>
        <v>#REF!</v>
      </c>
      <c r="W155" s="41">
        <f>D155/'1. Väestöennuste'!F155*1000</f>
        <v>130.21171580724769</v>
      </c>
      <c r="X155" s="41">
        <f>E155/'1. Väestöennuste'!G155*1000</f>
        <v>-2.2898266274124963</v>
      </c>
      <c r="Y155" s="41">
        <f>F155/'1. Väestöennuste'!H155*1000</f>
        <v>-128.40901623184598</v>
      </c>
      <c r="Z155" s="41">
        <f>G155/'1. Väestöennuste'!I155*1000</f>
        <v>-357.7848268569918</v>
      </c>
      <c r="AA155" s="41">
        <f>H155/'1. Väestöennuste'!J155*1000</f>
        <v>83.51499186135915</v>
      </c>
      <c r="AB155" s="41">
        <f>I155/'1. Väestöennuste'!K155*1000</f>
        <v>161.12125211675331</v>
      </c>
      <c r="AC155" s="41">
        <f>J155/'1. Väestöennuste'!L155*1000</f>
        <v>73.283608169246705</v>
      </c>
      <c r="AD155" s="41">
        <f>K155/'1. Väestöennuste'!M155*1000</f>
        <v>187.91182370404218</v>
      </c>
      <c r="AE155" s="41">
        <f>L155/'1. Väestöennuste'!N155*1000</f>
        <v>-119.95363223633251</v>
      </c>
      <c r="AF155" s="41">
        <f>M155/'1. Väestöennuste'!O155*1000</f>
        <v>-158.74120981111264</v>
      </c>
      <c r="AG155" s="41">
        <f>N155/'1. Väestöennuste'!P155*1000</f>
        <v>-116.87633196086163</v>
      </c>
      <c r="AH155" s="41">
        <f>O155/'1. Väestöennuste'!Q155*1000</f>
        <v>-86.400666824958563</v>
      </c>
      <c r="AI155" s="41">
        <f>P155/'1. Väestöennuste'!R155*1000</f>
        <v>8.5308382042618369</v>
      </c>
    </row>
    <row r="156" spans="1:35" x14ac:dyDescent="0.2">
      <c r="A156" s="34">
        <v>475</v>
      </c>
      <c r="B156" s="88" t="s">
        <v>470</v>
      </c>
      <c r="C156" s="41" t="e">
        <f>Vuosikate!C156-'6. Poistot'!C156</f>
        <v>#REF!</v>
      </c>
      <c r="D156" s="41">
        <f>Vuosikate!D156-'6. Poistot'!D156</f>
        <v>8</v>
      </c>
      <c r="E156" s="41">
        <f>Vuosikate!E156-'6. Poistot'!E156</f>
        <v>590</v>
      </c>
      <c r="F156" s="41">
        <f>Vuosikate!F156-'6. Poistot'!F156</f>
        <v>-220</v>
      </c>
      <c r="G156" s="41">
        <f>Vuosikate!G156-'6. Poistot'!G156</f>
        <v>-1255</v>
      </c>
      <c r="H156" s="41">
        <f>Vuosikate!H156-'6. Poistot'!H156</f>
        <v>1907.4624034336412</v>
      </c>
      <c r="I156" s="41">
        <f>Vuosikate!I156-'6. Poistot'!I156</f>
        <v>121.62705641923003</v>
      </c>
      <c r="J156" s="41">
        <f>Vuosikate!J156-'6. Poistot'!J156</f>
        <v>685.74681090679769</v>
      </c>
      <c r="K156" s="41">
        <f>Vuosikate!K156-'6. Poistot'!K156</f>
        <v>1533.2649823117931</v>
      </c>
      <c r="L156" s="41">
        <f>Vuosikate!L156-'6. Poistot'!L156</f>
        <v>223.30395702361511</v>
      </c>
      <c r="M156" s="41">
        <f>Vuosikate!M156-'6. Poistot'!M156</f>
        <v>436.40532985900063</v>
      </c>
      <c r="N156" s="41">
        <f>Vuosikate!N156-'6. Poistot'!N156</f>
        <v>304.85670944253707</v>
      </c>
      <c r="O156" s="41">
        <f>Vuosikate!O156-'6. Poistot'!O156</f>
        <v>-61.706670334081991</v>
      </c>
      <c r="P156" s="41">
        <f>Vuosikate!P156-'6. Poistot'!P156</f>
        <v>465.87198460597756</v>
      </c>
      <c r="T156" s="34">
        <v>475</v>
      </c>
      <c r="U156" s="88" t="s">
        <v>470</v>
      </c>
      <c r="V156" s="41" t="e">
        <f>C156/'1. Väestöennuste'!E156*1000</f>
        <v>#REF!</v>
      </c>
      <c r="W156" s="41">
        <f>D156/'1. Väestöennuste'!F156*1000</f>
        <v>1.4500634402755121</v>
      </c>
      <c r="X156" s="41">
        <f>E156/'1. Väestöennuste'!G156*1000</f>
        <v>107.7232061347453</v>
      </c>
      <c r="Y156" s="41">
        <f>F156/'1. Väestöennuste'!H156*1000</f>
        <v>-40.167975168888077</v>
      </c>
      <c r="Z156" s="41">
        <f>G156/'1. Väestöennuste'!I156*1000</f>
        <v>-229.22374429223743</v>
      </c>
      <c r="AA156" s="41">
        <f>H156/'1. Väestöennuste'!J156*1000</f>
        <v>349.92889441086794</v>
      </c>
      <c r="AB156" s="41">
        <f>I156/'1. Väestöennuste'!K156*1000</f>
        <v>22.166403575584113</v>
      </c>
      <c r="AC156" s="41">
        <f>J156/'1. Väestöennuste'!L156*1000</f>
        <v>125.15911861777654</v>
      </c>
      <c r="AD156" s="41">
        <f>K156/'1. Väestöennuste'!M156*1000</f>
        <v>281.02364045304125</v>
      </c>
      <c r="AE156" s="41">
        <f>L156/'1. Väestöennuste'!N156*1000</f>
        <v>41.352584634002802</v>
      </c>
      <c r="AF156" s="41">
        <f>M156/'1. Väestöennuste'!O156*1000</f>
        <v>80.995792475686841</v>
      </c>
      <c r="AG156" s="41">
        <f>N156/'1. Väestöennuste'!P156*1000</f>
        <v>56.706977202852876</v>
      </c>
      <c r="AH156" s="41">
        <f>O156/'1. Väestöennuste'!Q156*1000</f>
        <v>-11.508144411428942</v>
      </c>
      <c r="AI156" s="41">
        <f>P156/'1. Väestöennuste'!R156*1000</f>
        <v>87.22561029881625</v>
      </c>
    </row>
    <row r="157" spans="1:35" x14ac:dyDescent="0.2">
      <c r="A157" s="34">
        <v>480</v>
      </c>
      <c r="B157" s="88" t="s">
        <v>471</v>
      </c>
      <c r="C157" s="41" t="e">
        <f>Vuosikate!C157-'6. Poistot'!C157</f>
        <v>#REF!</v>
      </c>
      <c r="D157" s="41">
        <f>Vuosikate!D157-'6. Poistot'!D157</f>
        <v>463</v>
      </c>
      <c r="E157" s="41">
        <f>Vuosikate!E157-'6. Poistot'!E157</f>
        <v>709</v>
      </c>
      <c r="F157" s="41">
        <f>Vuosikate!F157-'6. Poistot'!F157</f>
        <v>-24</v>
      </c>
      <c r="G157" s="41">
        <f>Vuosikate!G157-'6. Poistot'!G157</f>
        <v>-56</v>
      </c>
      <c r="H157" s="41">
        <f>Vuosikate!H157-'6. Poistot'!H157</f>
        <v>693.16359996511255</v>
      </c>
      <c r="I157" s="41">
        <f>Vuosikate!I157-'6. Poistot'!I157</f>
        <v>307.45914584149068</v>
      </c>
      <c r="J157" s="41">
        <f>Vuosikate!J157-'6. Poistot'!J157</f>
        <v>108.00454739114173</v>
      </c>
      <c r="K157" s="41">
        <f>Vuosikate!K157-'6. Poistot'!K157</f>
        <v>67.057135288936081</v>
      </c>
      <c r="L157" s="41">
        <f>Vuosikate!L157-'6. Poistot'!L157</f>
        <v>-202.79652055506887</v>
      </c>
      <c r="M157" s="41">
        <f>Vuosikate!M157-'6. Poistot'!M157</f>
        <v>-299.0643688108903</v>
      </c>
      <c r="N157" s="41">
        <f>Vuosikate!N157-'6. Poistot'!N157</f>
        <v>-338.0134787518673</v>
      </c>
      <c r="O157" s="41">
        <f>Vuosikate!O157-'6. Poistot'!O157</f>
        <v>-427.39462602358344</v>
      </c>
      <c r="P157" s="41">
        <f>Vuosikate!P157-'6. Poistot'!P157</f>
        <v>-245.26657251893164</v>
      </c>
      <c r="T157" s="34">
        <v>480</v>
      </c>
      <c r="U157" s="88" t="s">
        <v>471</v>
      </c>
      <c r="V157" s="41" t="e">
        <f>C157/'1. Väestöennuste'!E157*1000</f>
        <v>#REF!</v>
      </c>
      <c r="W157" s="41">
        <f>D157/'1. Väestöennuste'!F157*1000</f>
        <v>229.09450766947057</v>
      </c>
      <c r="X157" s="41">
        <f>E157/'1. Väestöennuste'!G157*1000</f>
        <v>356.63983903420518</v>
      </c>
      <c r="Y157" s="41">
        <f>F157/'1. Väestöennuste'!H157*1000</f>
        <v>-11.892963330029731</v>
      </c>
      <c r="Z157" s="41">
        <f>G157/'1. Väestöennuste'!I157*1000</f>
        <v>-27.819175360158965</v>
      </c>
      <c r="AA157" s="41">
        <f>H157/'1. Väestöennuste'!J157*1000</f>
        <v>346.75517757134196</v>
      </c>
      <c r="AB157" s="41">
        <f>I157/'1. Väestöennuste'!K157*1000</f>
        <v>154.50208333743251</v>
      </c>
      <c r="AC157" s="41">
        <f>J157/'1. Väestöennuste'!L157*1000</f>
        <v>54.602905657806737</v>
      </c>
      <c r="AD157" s="41">
        <f>K157/'1. Väestöennuste'!M157*1000</f>
        <v>34.74462968338657</v>
      </c>
      <c r="AE157" s="41">
        <f>L157/'1. Väestöennuste'!N157*1000</f>
        <v>-102.37078271331089</v>
      </c>
      <c r="AF157" s="41">
        <f>M157/'1. Väestöennuste'!O157*1000</f>
        <v>-151.27181022300977</v>
      </c>
      <c r="AG157" s="41">
        <f>N157/'1. Väestöennuste'!P157*1000</f>
        <v>-171.23276532516073</v>
      </c>
      <c r="AH157" s="41">
        <f>O157/'1. Väestöennuste'!Q157*1000</f>
        <v>-217.06177045382603</v>
      </c>
      <c r="AI157" s="41">
        <f>P157/'1. Väestöennuste'!R157*1000</f>
        <v>-125.07219404331038</v>
      </c>
    </row>
    <row r="158" spans="1:35" x14ac:dyDescent="0.2">
      <c r="A158" s="34">
        <v>481</v>
      </c>
      <c r="B158" s="88" t="s">
        <v>472</v>
      </c>
      <c r="C158" s="41" t="e">
        <f>Vuosikate!C158-'6. Poistot'!C158</f>
        <v>#REF!</v>
      </c>
      <c r="D158" s="41">
        <f>Vuosikate!D158-'6. Poistot'!D158</f>
        <v>-3042</v>
      </c>
      <c r="E158" s="41">
        <f>Vuosikate!E158-'6. Poistot'!E158</f>
        <v>2475</v>
      </c>
      <c r="F158" s="41">
        <f>Vuosikate!F158-'6. Poistot'!F158</f>
        <v>-811</v>
      </c>
      <c r="G158" s="41">
        <f>Vuosikate!G158-'6. Poistot'!G158</f>
        <v>-1500</v>
      </c>
      <c r="H158" s="41">
        <f>Vuosikate!H158-'6. Poistot'!H158</f>
        <v>3192.4801029844875</v>
      </c>
      <c r="I158" s="41">
        <f>Vuosikate!I158-'6. Poistot'!I158</f>
        <v>246.17906025938373</v>
      </c>
      <c r="J158" s="41">
        <f>Vuosikate!J158-'6. Poistot'!J158</f>
        <v>1499.917870290516</v>
      </c>
      <c r="K158" s="41">
        <f>Vuosikate!K158-'6. Poistot'!K158</f>
        <v>-674.39652635309267</v>
      </c>
      <c r="L158" s="41">
        <f>Vuosikate!L158-'6. Poistot'!L158</f>
        <v>-1472.4149149290397</v>
      </c>
      <c r="M158" s="41">
        <f>Vuosikate!M158-'6. Poistot'!M158</f>
        <v>-4430.6058230696708</v>
      </c>
      <c r="N158" s="41">
        <f>Vuosikate!N158-'6. Poistot'!N158</f>
        <v>-3449.8112990098457</v>
      </c>
      <c r="O158" s="41">
        <f>Vuosikate!O158-'6. Poistot'!O158</f>
        <v>-3200.8155868010804</v>
      </c>
      <c r="P158" s="41">
        <f>Vuosikate!P158-'6. Poistot'!P158</f>
        <v>-3214.4163281631436</v>
      </c>
      <c r="T158" s="34">
        <v>481</v>
      </c>
      <c r="U158" s="88" t="s">
        <v>472</v>
      </c>
      <c r="V158" s="41" t="e">
        <f>C158/'1. Väestöennuste'!E158*1000</f>
        <v>#REF!</v>
      </c>
      <c r="W158" s="41">
        <f>D158/'1. Väestöennuste'!F158*1000</f>
        <v>-314.41860465116281</v>
      </c>
      <c r="X158" s="41">
        <f>E158/'1. Väestöennuste'!G158*1000</f>
        <v>256.31731565865783</v>
      </c>
      <c r="Y158" s="41">
        <f>F158/'1. Väestöennuste'!H158*1000</f>
        <v>-84.885911660037692</v>
      </c>
      <c r="Z158" s="41">
        <f>G158/'1. Väestöennuste'!I158*1000</f>
        <v>-157.33165512901195</v>
      </c>
      <c r="AA158" s="41">
        <f>H158/'1. Väestöennuste'!J158*1000</f>
        <v>334.53632012831264</v>
      </c>
      <c r="AB158" s="41">
        <f>I158/'1. Väestöennuste'!K158*1000</f>
        <v>25.611637563398222</v>
      </c>
      <c r="AC158" s="41">
        <f>J158/'1. Väestöennuste'!L158*1000</f>
        <v>155.56086603303424</v>
      </c>
      <c r="AD158" s="41">
        <f>K158/'1. Väestöennuste'!M158*1000</f>
        <v>-70.110877050950478</v>
      </c>
      <c r="AE158" s="41">
        <f>L158/'1. Väestöennuste'!N158*1000</f>
        <v>-155.41639380716063</v>
      </c>
      <c r="AF158" s="41">
        <f>M158/'1. Väestöennuste'!O158*1000</f>
        <v>-468.54968518080278</v>
      </c>
      <c r="AG158" s="41">
        <f>N158/'1. Väestöennuste'!P158*1000</f>
        <v>-365.36870355961088</v>
      </c>
      <c r="AH158" s="41">
        <f>O158/'1. Väestöennuste'!Q158*1000</f>
        <v>-339.39302160969999</v>
      </c>
      <c r="AI158" s="41">
        <f>P158/'1. Väestöennuste'!R158*1000</f>
        <v>-341.16072258152656</v>
      </c>
    </row>
    <row r="159" spans="1:35" x14ac:dyDescent="0.2">
      <c r="A159" s="34">
        <v>483</v>
      </c>
      <c r="B159" s="88" t="s">
        <v>473</v>
      </c>
      <c r="C159" s="41" t="e">
        <f>Vuosikate!C159-'6. Poistot'!C159</f>
        <v>#REF!</v>
      </c>
      <c r="D159" s="41">
        <f>Vuosikate!D159-'6. Poistot'!D159</f>
        <v>-154</v>
      </c>
      <c r="E159" s="41">
        <f>Vuosikate!E159-'6. Poistot'!E159</f>
        <v>9</v>
      </c>
      <c r="F159" s="41">
        <f>Vuosikate!F159-'6. Poistot'!F159</f>
        <v>-344</v>
      </c>
      <c r="G159" s="41">
        <f>Vuosikate!G159-'6. Poistot'!G159</f>
        <v>-791</v>
      </c>
      <c r="H159" s="41">
        <f>Vuosikate!H159-'6. Poistot'!H159</f>
        <v>278.3059741257739</v>
      </c>
      <c r="I159" s="41">
        <f>Vuosikate!I159-'6. Poistot'!I159</f>
        <v>-186.75700621727569</v>
      </c>
      <c r="J159" s="41">
        <f>Vuosikate!J159-'6. Poistot'!J159</f>
        <v>-798.33151728568635</v>
      </c>
      <c r="K159" s="41">
        <f>Vuosikate!K159-'6. Poistot'!K159</f>
        <v>-669.93066696327492</v>
      </c>
      <c r="L159" s="41">
        <f>Vuosikate!L159-'6. Poistot'!L159</f>
        <v>-587.99767336485115</v>
      </c>
      <c r="M159" s="41">
        <f>Vuosikate!M159-'6. Poistot'!M159</f>
        <v>-1311.062331348048</v>
      </c>
      <c r="N159" s="41">
        <f>Vuosikate!N159-'6. Poistot'!N159</f>
        <v>-1271.8265890314672</v>
      </c>
      <c r="O159" s="41">
        <f>Vuosikate!O159-'6. Poistot'!O159</f>
        <v>-1364.2635429366433</v>
      </c>
      <c r="P159" s="41">
        <f>Vuosikate!P159-'6. Poistot'!P159</f>
        <v>-1229.1561368229975</v>
      </c>
      <c r="T159" s="34">
        <v>483</v>
      </c>
      <c r="U159" s="88" t="s">
        <v>473</v>
      </c>
      <c r="V159" s="41" t="e">
        <f>C159/'1. Väestöennuste'!E159*1000</f>
        <v>#REF!</v>
      </c>
      <c r="W159" s="41">
        <f>D159/'1. Väestöennuste'!F159*1000</f>
        <v>-136.16268788682581</v>
      </c>
      <c r="X159" s="41">
        <f>E159/'1. Väestöennuste'!G159*1000</f>
        <v>8.0428954423592494</v>
      </c>
      <c r="Y159" s="41">
        <f>F159/'1. Väestöennuste'!H159*1000</f>
        <v>-311.59420289855075</v>
      </c>
      <c r="Z159" s="41">
        <f>G159/'1. Väestöennuste'!I159*1000</f>
        <v>-726.35445362718087</v>
      </c>
      <c r="AA159" s="41">
        <f>H159/'1. Väestöennuste'!J159*1000</f>
        <v>258.16880716676616</v>
      </c>
      <c r="AB159" s="41">
        <f>I159/'1. Väestöennuste'!K159*1000</f>
        <v>-173.56599090824878</v>
      </c>
      <c r="AC159" s="41">
        <f>J159/'1. Väestöennuste'!L159*1000</f>
        <v>-748.20198433522626</v>
      </c>
      <c r="AD159" s="41">
        <f>K159/'1. Väestöennuste'!M159*1000</f>
        <v>-635.00537152917059</v>
      </c>
      <c r="AE159" s="41">
        <f>L159/'1. Väestöennuste'!N159*1000</f>
        <v>-576.46830722044228</v>
      </c>
      <c r="AF159" s="41">
        <f>M159/'1. Väestöennuste'!O159*1000</f>
        <v>-1303.2428741034275</v>
      </c>
      <c r="AG159" s="41">
        <f>N159/'1. Väestöennuste'!P159*1000</f>
        <v>-1280.7921339692518</v>
      </c>
      <c r="AH159" s="41">
        <f>O159/'1. Väestöennuste'!Q159*1000</f>
        <v>-1393.5276230200645</v>
      </c>
      <c r="AI159" s="41">
        <f>P159/'1. Väestöennuste'!R159*1000</f>
        <v>-1268.4789853694506</v>
      </c>
    </row>
    <row r="160" spans="1:35" x14ac:dyDescent="0.2">
      <c r="A160" s="34">
        <v>484</v>
      </c>
      <c r="B160" s="88" t="s">
        <v>474</v>
      </c>
      <c r="C160" s="41" t="e">
        <f>Vuosikate!C160-'6. Poistot'!C160</f>
        <v>#REF!</v>
      </c>
      <c r="D160" s="41">
        <f>Vuosikate!D160-'6. Poistot'!D160</f>
        <v>180</v>
      </c>
      <c r="E160" s="41">
        <f>Vuosikate!E160-'6. Poistot'!E160</f>
        <v>-118</v>
      </c>
      <c r="F160" s="41">
        <f>Vuosikate!F160-'6. Poistot'!F160</f>
        <v>-1646</v>
      </c>
      <c r="G160" s="41">
        <f>Vuosikate!G160-'6. Poistot'!G160</f>
        <v>-987</v>
      </c>
      <c r="H160" s="41">
        <f>Vuosikate!H160-'6. Poistot'!H160</f>
        <v>1064.2024869220568</v>
      </c>
      <c r="I160" s="41">
        <f>Vuosikate!I160-'6. Poistot'!I160</f>
        <v>1767.1879654801646</v>
      </c>
      <c r="J160" s="41">
        <f>Vuosikate!J160-'6. Poistot'!J160</f>
        <v>-318.7409832240221</v>
      </c>
      <c r="K160" s="41">
        <f>Vuosikate!K160-'6. Poistot'!K160</f>
        <v>-2191.4077064279313</v>
      </c>
      <c r="L160" s="41">
        <f>Vuosikate!L160-'6. Poistot'!L160</f>
        <v>749.56270353144396</v>
      </c>
      <c r="M160" s="41">
        <f>Vuosikate!M160-'6. Poistot'!M160</f>
        <v>-1131.1427971506623</v>
      </c>
      <c r="N160" s="41">
        <f>Vuosikate!N160-'6. Poistot'!N160</f>
        <v>-2088.0362863505097</v>
      </c>
      <c r="O160" s="41">
        <f>Vuosikate!O160-'6. Poistot'!O160</f>
        <v>-1842.1464496665358</v>
      </c>
      <c r="P160" s="41">
        <f>Vuosikate!P160-'6. Poistot'!P160</f>
        <v>-1852.9726055464726</v>
      </c>
      <c r="T160" s="34">
        <v>484</v>
      </c>
      <c r="U160" s="88" t="s">
        <v>474</v>
      </c>
      <c r="V160" s="41" t="e">
        <f>C160/'1. Väestöennuste'!E160*1000</f>
        <v>#REF!</v>
      </c>
      <c r="W160" s="41">
        <f>D160/'1. Väestöennuste'!F160*1000</f>
        <v>56.800252445566429</v>
      </c>
      <c r="X160" s="41">
        <f>E160/'1. Väestöennuste'!G160*1000</f>
        <v>-37.389100126742719</v>
      </c>
      <c r="Y160" s="41">
        <f>F160/'1. Väestöennuste'!H160*1000</f>
        <v>-528.41091492776877</v>
      </c>
      <c r="Z160" s="41">
        <f>G160/'1. Väestöennuste'!I160*1000</f>
        <v>-321.81284642973588</v>
      </c>
      <c r="AA160" s="41">
        <f>H160/'1. Väestöennuste'!J160*1000</f>
        <v>347.09800617157754</v>
      </c>
      <c r="AB160" s="41">
        <f>I160/'1. Väestöennuste'!K160*1000</f>
        <v>578.4575991751766</v>
      </c>
      <c r="AC160" s="41">
        <f>J160/'1. Väestöennuste'!L160*1000</f>
        <v>-107.42871022043212</v>
      </c>
      <c r="AD160" s="41">
        <f>K160/'1. Väestöennuste'!M160*1000</f>
        <v>-738.84278706268753</v>
      </c>
      <c r="AE160" s="41">
        <f>L160/'1. Väestöennuste'!N160*1000</f>
        <v>251.44673047012546</v>
      </c>
      <c r="AF160" s="41">
        <f>M160/'1. Väestöennuste'!O160*1000</f>
        <v>-381.49841387880684</v>
      </c>
      <c r="AG160" s="41">
        <f>N160/'1. Väestöennuste'!P160*1000</f>
        <v>-707.80891062729143</v>
      </c>
      <c r="AH160" s="41">
        <f>O160/'1. Väestöennuste'!Q160*1000</f>
        <v>-628.07584373219777</v>
      </c>
      <c r="AI160" s="41">
        <f>P160/'1. Väestöennuste'!R160*1000</f>
        <v>-634.79705568567056</v>
      </c>
    </row>
    <row r="161" spans="1:35" x14ac:dyDescent="0.2">
      <c r="A161" s="34">
        <v>489</v>
      </c>
      <c r="B161" s="88" t="s">
        <v>475</v>
      </c>
      <c r="C161" s="41" t="e">
        <f>Vuosikate!C161-'6. Poistot'!C161</f>
        <v>#REF!</v>
      </c>
      <c r="D161" s="41">
        <f>Vuosikate!D161-'6. Poistot'!D161</f>
        <v>703</v>
      </c>
      <c r="E161" s="41">
        <f>Vuosikate!E161-'6. Poistot'!E161</f>
        <v>642</v>
      </c>
      <c r="F161" s="41">
        <f>Vuosikate!F161-'6. Poistot'!F161</f>
        <v>-465</v>
      </c>
      <c r="G161" s="41">
        <f>Vuosikate!G161-'6. Poistot'!G161</f>
        <v>264</v>
      </c>
      <c r="H161" s="41">
        <f>Vuosikate!H161-'6. Poistot'!H161</f>
        <v>1024.9854964863907</v>
      </c>
      <c r="I161" s="41">
        <f>Vuosikate!I161-'6. Poistot'!I161</f>
        <v>-167.71952030909051</v>
      </c>
      <c r="J161" s="41">
        <f>Vuosikate!J161-'6. Poistot'!J161</f>
        <v>-850.24008008670569</v>
      </c>
      <c r="K161" s="41">
        <f>Vuosikate!K161-'6. Poistot'!K161</f>
        <v>-418.38796342242358</v>
      </c>
      <c r="L161" s="41">
        <f>Vuosikate!L161-'6. Poistot'!L161</f>
        <v>-1307.321856694354</v>
      </c>
      <c r="M161" s="41">
        <f>Vuosikate!M161-'6. Poistot'!M161</f>
        <v>-1722.9292466321342</v>
      </c>
      <c r="N161" s="41">
        <f>Vuosikate!N161-'6. Poistot'!N161</f>
        <v>-1836.1827704238274</v>
      </c>
      <c r="O161" s="41">
        <f>Vuosikate!O161-'6. Poistot'!O161</f>
        <v>-2023.3419735308005</v>
      </c>
      <c r="P161" s="41">
        <f>Vuosikate!P161-'6. Poistot'!P161</f>
        <v>-1923.2266737655116</v>
      </c>
      <c r="T161" s="34">
        <v>489</v>
      </c>
      <c r="U161" s="88" t="s">
        <v>475</v>
      </c>
      <c r="V161" s="41" t="e">
        <f>C161/'1. Väestöennuste'!E161*1000</f>
        <v>#REF!</v>
      </c>
      <c r="W161" s="41">
        <f>D161/'1. Väestöennuste'!F161*1000</f>
        <v>345.62438544739433</v>
      </c>
      <c r="X161" s="41">
        <f>E161/'1. Väestöennuste'!G161*1000</f>
        <v>322.28915662650604</v>
      </c>
      <c r="Y161" s="41">
        <f>F161/'1. Väestöennuste'!H161*1000</f>
        <v>-239.69072164948454</v>
      </c>
      <c r="Z161" s="41">
        <f>G161/'1. Väestöennuste'!I161*1000</f>
        <v>142.1647819063005</v>
      </c>
      <c r="AA161" s="41">
        <f>H161/'1. Väestöennuste'!J161*1000</f>
        <v>548.70743923254315</v>
      </c>
      <c r="AB161" s="41">
        <f>I161/'1. Väestöennuste'!K161*1000</f>
        <v>-91.400283547188295</v>
      </c>
      <c r="AC161" s="41">
        <f>J161/'1. Väestöennuste'!L161*1000</f>
        <v>-474.72924627956763</v>
      </c>
      <c r="AD161" s="41">
        <f>K161/'1. Väestöennuste'!M161*1000</f>
        <v>-238.80591519544726</v>
      </c>
      <c r="AE161" s="41">
        <f>L161/'1. Väestöennuste'!N161*1000</f>
        <v>-756.11443417834232</v>
      </c>
      <c r="AF161" s="41">
        <f>M161/'1. Väestöennuste'!O161*1000</f>
        <v>-1012.2968546604785</v>
      </c>
      <c r="AG161" s="41">
        <f>N161/'1. Väestöennuste'!P161*1000</f>
        <v>-1096.2285196560165</v>
      </c>
      <c r="AH161" s="41">
        <f>O161/'1. Väestöennuste'!Q161*1000</f>
        <v>-1227.0115060829596</v>
      </c>
      <c r="AI161" s="41">
        <f>P161/'1. Väestöennuste'!R161*1000</f>
        <v>-1183.5241069326225</v>
      </c>
    </row>
    <row r="162" spans="1:35" x14ac:dyDescent="0.2">
      <c r="A162" s="34">
        <v>491</v>
      </c>
      <c r="B162" s="88" t="s">
        <v>476</v>
      </c>
      <c r="C162" s="41" t="e">
        <f>Vuosikate!C162-'6. Poistot'!C162</f>
        <v>#REF!</v>
      </c>
      <c r="D162" s="41">
        <f>Vuosikate!D162-'6. Poistot'!D162</f>
        <v>1810</v>
      </c>
      <c r="E162" s="41">
        <f>Vuosikate!E162-'6. Poistot'!E162</f>
        <v>3447</v>
      </c>
      <c r="F162" s="41">
        <f>Vuosikate!F162-'6. Poistot'!F162</f>
        <v>-14002</v>
      </c>
      <c r="G162" s="41">
        <f>Vuosikate!G162-'6. Poistot'!G162</f>
        <v>-18342</v>
      </c>
      <c r="H162" s="41">
        <f>Vuosikate!H162-'6. Poistot'!H162</f>
        <v>14348.61883728212</v>
      </c>
      <c r="I162" s="41">
        <f>Vuosikate!I162-'6. Poistot'!I162</f>
        <v>-3746.7905366788364</v>
      </c>
      <c r="J162" s="41">
        <f>Vuosikate!J162-'6. Poistot'!J162</f>
        <v>2592.4280262797147</v>
      </c>
      <c r="K162" s="41">
        <f>Vuosikate!K162-'6. Poistot'!K162</f>
        <v>14697.063418008489</v>
      </c>
      <c r="L162" s="41">
        <f>Vuosikate!L162-'6. Poistot'!L162</f>
        <v>-6208.8284261388108</v>
      </c>
      <c r="M162" s="41">
        <f>Vuosikate!M162-'6. Poistot'!M162</f>
        <v>-3455.8527531274085</v>
      </c>
      <c r="N162" s="41">
        <f>Vuosikate!N162-'6. Poistot'!N162</f>
        <v>-1368.1440168082045</v>
      </c>
      <c r="O162" s="41">
        <f>Vuosikate!O162-'6. Poistot'!O162</f>
        <v>-768.83851949903328</v>
      </c>
      <c r="P162" s="41">
        <f>Vuosikate!P162-'6. Poistot'!P162</f>
        <v>5496.8011588524423</v>
      </c>
      <c r="T162" s="34">
        <v>491</v>
      </c>
      <c r="U162" s="88" t="s">
        <v>476</v>
      </c>
      <c r="V162" s="41" t="e">
        <f>C162/'1. Väestöennuste'!E162*1000</f>
        <v>#REF!</v>
      </c>
      <c r="W162" s="41">
        <f>D162/'1. Väestöennuste'!F162*1000</f>
        <v>33.200653007318813</v>
      </c>
      <c r="X162" s="41">
        <f>E162/'1. Väestöennuste'!G162*1000</f>
        <v>63.526289600265379</v>
      </c>
      <c r="Y162" s="41">
        <f>F162/'1. Väestöennuste'!H162*1000</f>
        <v>-260.1731762607306</v>
      </c>
      <c r="Z162" s="41">
        <f>G162/'1. Väestöennuste'!I162*1000</f>
        <v>-345.20269507283473</v>
      </c>
      <c r="AA162" s="41">
        <f>H162/'1. Väestöennuste'!J162*1000</f>
        <v>272.87562210756556</v>
      </c>
      <c r="AB162" s="41">
        <f>I162/'1. Väestöennuste'!K162*1000</f>
        <v>-71.885010872162155</v>
      </c>
      <c r="AC162" s="41">
        <f>J162/'1. Väestöennuste'!L162*1000</f>
        <v>49.873567262018369</v>
      </c>
      <c r="AD162" s="41">
        <f>K162/'1. Väestöennuste'!M162*1000</f>
        <v>283.07678148670982</v>
      </c>
      <c r="AE162" s="41">
        <f>L162/'1. Väestöennuste'!N162*1000</f>
        <v>-121.7847166870427</v>
      </c>
      <c r="AF162" s="41">
        <f>M162/'1. Väestöennuste'!O162*1000</f>
        <v>-68.3136861138493</v>
      </c>
      <c r="AG162" s="41">
        <f>N162/'1. Väestöennuste'!P162*1000</f>
        <v>-27.257665746383051</v>
      </c>
      <c r="AH162" s="41">
        <f>O162/'1. Väestöennuste'!Q162*1000</f>
        <v>-15.435115125153747</v>
      </c>
      <c r="AI162" s="41">
        <f>P162/'1. Väestöennuste'!R162*1000</f>
        <v>111.20149620384865</v>
      </c>
    </row>
    <row r="163" spans="1:35" x14ac:dyDescent="0.2">
      <c r="A163" s="34">
        <v>494</v>
      </c>
      <c r="B163" s="88" t="s">
        <v>477</v>
      </c>
      <c r="C163" s="41" t="e">
        <f>Vuosikate!C163-'6. Poistot'!C163</f>
        <v>#REF!</v>
      </c>
      <c r="D163" s="41">
        <f>Vuosikate!D163-'6. Poistot'!D163</f>
        <v>1715</v>
      </c>
      <c r="E163" s="41">
        <f>Vuosikate!E163-'6. Poistot'!E163</f>
        <v>663</v>
      </c>
      <c r="F163" s="41">
        <f>Vuosikate!F163-'6. Poistot'!F163</f>
        <v>-1390</v>
      </c>
      <c r="G163" s="41">
        <f>Vuosikate!G163-'6. Poistot'!G163</f>
        <v>-1949</v>
      </c>
      <c r="H163" s="41">
        <f>Vuosikate!H163-'6. Poistot'!H163</f>
        <v>-3329.339642450308</v>
      </c>
      <c r="I163" s="41">
        <f>Vuosikate!I163-'6. Poistot'!I163</f>
        <v>1160.9511659794803</v>
      </c>
      <c r="J163" s="41">
        <f>Vuosikate!J163-'6. Poistot'!J163</f>
        <v>266.05319842598328</v>
      </c>
      <c r="K163" s="41">
        <f>Vuosikate!K163-'6. Poistot'!K163</f>
        <v>2957.8803460880358</v>
      </c>
      <c r="L163" s="41">
        <f>Vuosikate!L163-'6. Poistot'!L163</f>
        <v>-138.74576231108222</v>
      </c>
      <c r="M163" s="41">
        <f>Vuosikate!M163-'6. Poistot'!M163</f>
        <v>-1460.3503722716682</v>
      </c>
      <c r="N163" s="41">
        <f>Vuosikate!N163-'6. Poistot'!N163</f>
        <v>-1735.2721390812644</v>
      </c>
      <c r="O163" s="41">
        <f>Vuosikate!O163-'6. Poistot'!O163</f>
        <v>-1730.5847609117627</v>
      </c>
      <c r="P163" s="41">
        <f>Vuosikate!P163-'6. Poistot'!P163</f>
        <v>-842.73260659613334</v>
      </c>
      <c r="T163" s="34">
        <v>494</v>
      </c>
      <c r="U163" s="88" t="s">
        <v>477</v>
      </c>
      <c r="V163" s="41" t="e">
        <f>C163/'1. Väestöennuste'!E163*1000</f>
        <v>#REF!</v>
      </c>
      <c r="W163" s="41">
        <f>D163/'1. Väestöennuste'!F163*1000</f>
        <v>190.66147859922177</v>
      </c>
      <c r="X163" s="41">
        <f>E163/'1. Väestöennuste'!G163*1000</f>
        <v>73.511475773367337</v>
      </c>
      <c r="Y163" s="41">
        <f>F163/'1. Väestöennuste'!H163*1000</f>
        <v>-154.78841870824053</v>
      </c>
      <c r="Z163" s="41">
        <f>G163/'1. Väestöennuste'!I163*1000</f>
        <v>-218.79209699146836</v>
      </c>
      <c r="AA163" s="41">
        <f>H163/'1. Väestöennuste'!J163*1000</f>
        <v>-373.95705295409505</v>
      </c>
      <c r="AB163" s="41">
        <f>I163/'1. Väestöennuste'!K163*1000</f>
        <v>130.31217487703225</v>
      </c>
      <c r="AC163" s="41">
        <f>J163/'1. Väestöennuste'!L163*1000</f>
        <v>29.954199327401856</v>
      </c>
      <c r="AD163" s="41">
        <f>K163/'1. Väestöennuste'!M163*1000</f>
        <v>335.09463533341295</v>
      </c>
      <c r="AE163" s="41">
        <f>L163/'1. Väestöennuste'!N163*1000</f>
        <v>-15.802478623130094</v>
      </c>
      <c r="AF163" s="41">
        <f>M163/'1. Väestöennuste'!O163*1000</f>
        <v>-166.89718540247637</v>
      </c>
      <c r="AG163" s="41">
        <f>N163/'1. Väestöennuste'!P163*1000</f>
        <v>-198.99909851849361</v>
      </c>
      <c r="AH163" s="41">
        <f>O163/'1. Väestöennuste'!Q163*1000</f>
        <v>-199.12377872647139</v>
      </c>
      <c r="AI163" s="41">
        <f>P163/'1. Väestöennuste'!R163*1000</f>
        <v>-97.29076501917956</v>
      </c>
    </row>
    <row r="164" spans="1:35" x14ac:dyDescent="0.2">
      <c r="A164" s="34">
        <v>495</v>
      </c>
      <c r="B164" s="88" t="s">
        <v>478</v>
      </c>
      <c r="C164" s="41" t="e">
        <f>Vuosikate!C164-'6. Poistot'!C164</f>
        <v>#REF!</v>
      </c>
      <c r="D164" s="41">
        <f>Vuosikate!D164-'6. Poistot'!D164</f>
        <v>471</v>
      </c>
      <c r="E164" s="41">
        <f>Vuosikate!E164-'6. Poistot'!E164</f>
        <v>102</v>
      </c>
      <c r="F164" s="41">
        <f>Vuosikate!F164-'6. Poistot'!F164</f>
        <v>40</v>
      </c>
      <c r="G164" s="41">
        <f>Vuosikate!G164-'6. Poistot'!G164</f>
        <v>-1978</v>
      </c>
      <c r="H164" s="41">
        <f>Vuosikate!H164-'6. Poistot'!H164</f>
        <v>1026.3613632931047</v>
      </c>
      <c r="I164" s="41">
        <f>Vuosikate!I164-'6. Poistot'!I164</f>
        <v>516.68608753698163</v>
      </c>
      <c r="J164" s="41">
        <f>Vuosikate!J164-'6. Poistot'!J164</f>
        <v>-87.335785387670398</v>
      </c>
      <c r="K164" s="41">
        <f>Vuosikate!K164-'6. Poistot'!K164</f>
        <v>-409.70228273768697</v>
      </c>
      <c r="L164" s="41">
        <f>Vuosikate!L164-'6. Poistot'!L164</f>
        <v>165.09781414602782</v>
      </c>
      <c r="M164" s="41">
        <f>Vuosikate!M164-'6. Poistot'!M164</f>
        <v>-686.79044136912512</v>
      </c>
      <c r="N164" s="41">
        <f>Vuosikate!N164-'6. Poistot'!N164</f>
        <v>-874.90327477106007</v>
      </c>
      <c r="O164" s="41">
        <f>Vuosikate!O164-'6. Poistot'!O164</f>
        <v>-940.3330146862013</v>
      </c>
      <c r="P164" s="41">
        <f>Vuosikate!P164-'6. Poistot'!P164</f>
        <v>-858.21842703792856</v>
      </c>
      <c r="T164" s="34">
        <v>495</v>
      </c>
      <c r="U164" s="88" t="s">
        <v>478</v>
      </c>
      <c r="V164" s="41" t="e">
        <f>C164/'1. Väestöennuste'!E164*1000</f>
        <v>#REF!</v>
      </c>
      <c r="W164" s="41">
        <f>D164/'1. Väestöennuste'!F164*1000</f>
        <v>283.22309079975952</v>
      </c>
      <c r="X164" s="41">
        <f>E164/'1. Väestöennuste'!G164*1000</f>
        <v>62.34718826405868</v>
      </c>
      <c r="Y164" s="41">
        <f>F164/'1. Väestöennuste'!H164*1000</f>
        <v>25.252525252525253</v>
      </c>
      <c r="Z164" s="41">
        <f>G164/'1. Väestöennuste'!I164*1000</f>
        <v>-1263.0906768837804</v>
      </c>
      <c r="AA164" s="41">
        <f>H164/'1. Väestöennuste'!J164*1000</f>
        <v>658.76852586206985</v>
      </c>
      <c r="AB164" s="41">
        <f>I164/'1. Väestöennuste'!K164*1000</f>
        <v>347.23527388238011</v>
      </c>
      <c r="AC164" s="41">
        <f>J164/'1. Väestöennuste'!L164*1000</f>
        <v>-59.130524974726065</v>
      </c>
      <c r="AD164" s="41">
        <f>K164/'1. Väestöennuste'!M164*1000</f>
        <v>-286.50509282355733</v>
      </c>
      <c r="AE164" s="41">
        <f>L164/'1. Väestöennuste'!N164*1000</f>
        <v>113.31353064243501</v>
      </c>
      <c r="AF164" s="41">
        <f>M164/'1. Väestöennuste'!O164*1000</f>
        <v>-478.93336218209566</v>
      </c>
      <c r="AG164" s="41">
        <f>N164/'1. Väestöennuste'!P164*1000</f>
        <v>-619.18136926472755</v>
      </c>
      <c r="AH164" s="41">
        <f>O164/'1. Väestöennuste'!Q164*1000</f>
        <v>-676.985611725127</v>
      </c>
      <c r="AI164" s="41">
        <f>P164/'1. Väestöennuste'!R164*1000</f>
        <v>-627.81157793557315</v>
      </c>
    </row>
    <row r="165" spans="1:35" x14ac:dyDescent="0.2">
      <c r="A165" s="34">
        <v>498</v>
      </c>
      <c r="B165" s="88" t="s">
        <v>479</v>
      </c>
      <c r="C165" s="41" t="e">
        <f>Vuosikate!C165-'6. Poistot'!C165</f>
        <v>#REF!</v>
      </c>
      <c r="D165" s="41">
        <f>Vuosikate!D165-'6. Poistot'!D165</f>
        <v>247</v>
      </c>
      <c r="E165" s="41">
        <f>Vuosikate!E165-'6. Poistot'!E165</f>
        <v>822</v>
      </c>
      <c r="F165" s="41">
        <f>Vuosikate!F165-'6. Poistot'!F165</f>
        <v>-151</v>
      </c>
      <c r="G165" s="41">
        <f>Vuosikate!G165-'6. Poistot'!G165</f>
        <v>-795</v>
      </c>
      <c r="H165" s="41">
        <f>Vuosikate!H165-'6. Poistot'!H165</f>
        <v>1504.1444098640477</v>
      </c>
      <c r="I165" s="41">
        <f>Vuosikate!I165-'6. Poistot'!I165</f>
        <v>1099.5217570899545</v>
      </c>
      <c r="J165" s="41">
        <f>Vuosikate!J165-'6. Poistot'!J165</f>
        <v>1560.6847195890878</v>
      </c>
      <c r="K165" s="41">
        <f>Vuosikate!K165-'6. Poistot'!K165</f>
        <v>1078.2947088013825</v>
      </c>
      <c r="L165" s="41">
        <f>Vuosikate!L165-'6. Poistot'!L165</f>
        <v>123.21863839319121</v>
      </c>
      <c r="M165" s="41">
        <f>Vuosikate!M165-'6. Poistot'!M165</f>
        <v>32.893665603270165</v>
      </c>
      <c r="N165" s="41">
        <f>Vuosikate!N165-'6. Poistot'!N165</f>
        <v>-147.06127291257417</v>
      </c>
      <c r="O165" s="41">
        <f>Vuosikate!O165-'6. Poistot'!O165</f>
        <v>-350.98148116100322</v>
      </c>
      <c r="P165" s="41">
        <f>Vuosikate!P165-'6. Poistot'!P165</f>
        <v>-307.78499100411</v>
      </c>
      <c r="T165" s="34">
        <v>498</v>
      </c>
      <c r="U165" s="88" t="s">
        <v>479</v>
      </c>
      <c r="V165" s="41" t="e">
        <f>C165/'1. Väestöennuste'!E165*1000</f>
        <v>#REF!</v>
      </c>
      <c r="W165" s="41">
        <f>D165/'1. Väestöennuste'!F165*1000</f>
        <v>105.1063829787234</v>
      </c>
      <c r="X165" s="41">
        <f>E165/'1. Väestöennuste'!G165*1000</f>
        <v>352.48713550600343</v>
      </c>
      <c r="Y165" s="41">
        <f>F165/'1. Väestöennuste'!H165*1000</f>
        <v>-65.680730752501077</v>
      </c>
      <c r="Z165" s="41">
        <f>G165/'1. Väestöennuste'!I165*1000</f>
        <v>-344.45407279029462</v>
      </c>
      <c r="AA165" s="41">
        <f>H165/'1. Väestöennuste'!J165*1000</f>
        <v>654.82995640576735</v>
      </c>
      <c r="AB165" s="41">
        <f>I165/'1. Väestöennuste'!K165*1000</f>
        <v>473.72759891854997</v>
      </c>
      <c r="AC165" s="41">
        <f>J165/'1. Väestöennuste'!L165*1000</f>
        <v>684.21074949105116</v>
      </c>
      <c r="AD165" s="41">
        <f>K165/'1. Väestöennuste'!M165*1000</f>
        <v>463.78267045220758</v>
      </c>
      <c r="AE165" s="41">
        <f>L165/'1. Väestöennuste'!N165*1000</f>
        <v>54.642411704297658</v>
      </c>
      <c r="AF165" s="41">
        <f>M165/'1. Väestöennuste'!O165*1000</f>
        <v>14.651966861144841</v>
      </c>
      <c r="AG165" s="41">
        <f>N165/'1. Väestöennuste'!P165*1000</f>
        <v>-65.769800050346234</v>
      </c>
      <c r="AH165" s="41">
        <f>O165/'1. Väestöennuste'!Q165*1000</f>
        <v>-157.60282045846574</v>
      </c>
      <c r="AI165" s="41">
        <f>P165/'1. Väestöennuste'!R165*1000</f>
        <v>-138.82949526572395</v>
      </c>
    </row>
    <row r="166" spans="1:35" x14ac:dyDescent="0.2">
      <c r="A166" s="34">
        <v>499</v>
      </c>
      <c r="B166" s="88" t="s">
        <v>480</v>
      </c>
      <c r="C166" s="41" t="e">
        <f>Vuosikate!C166-'6. Poistot'!C166</f>
        <v>#REF!</v>
      </c>
      <c r="D166" s="41">
        <f>Vuosikate!D166-'6. Poistot'!D166</f>
        <v>2647</v>
      </c>
      <c r="E166" s="41">
        <f>Vuosikate!E166-'6. Poistot'!E166</f>
        <v>2151</v>
      </c>
      <c r="F166" s="41">
        <f>Vuosikate!F166-'6. Poistot'!F166</f>
        <v>-3045</v>
      </c>
      <c r="G166" s="41">
        <f>Vuosikate!G166-'6. Poistot'!G166</f>
        <v>-1753</v>
      </c>
      <c r="H166" s="41">
        <f>Vuosikate!H166-'6. Poistot'!H166</f>
        <v>6435.4701125038991</v>
      </c>
      <c r="I166" s="41">
        <f>Vuosikate!I166-'6. Poistot'!I166</f>
        <v>2454.5648779658095</v>
      </c>
      <c r="J166" s="41">
        <f>Vuosikate!J166-'6. Poistot'!J166</f>
        <v>1495.0101526045819</v>
      </c>
      <c r="K166" s="41">
        <f>Vuosikate!K166-'6. Poistot'!K166</f>
        <v>4896.5606459185019</v>
      </c>
      <c r="L166" s="41">
        <f>Vuosikate!L166-'6. Poistot'!L166</f>
        <v>-2325.4443669843677</v>
      </c>
      <c r="M166" s="41">
        <f>Vuosikate!M166-'6. Poistot'!M166</f>
        <v>-6067.7925229949979</v>
      </c>
      <c r="N166" s="41">
        <f>Vuosikate!N166-'6. Poistot'!N166</f>
        <v>-5240.8063111232768</v>
      </c>
      <c r="O166" s="41">
        <f>Vuosikate!O166-'6. Poistot'!O166</f>
        <v>-4926.714403285976</v>
      </c>
      <c r="P166" s="41">
        <f>Vuosikate!P166-'6. Poistot'!P166</f>
        <v>-3890.7183588702146</v>
      </c>
      <c r="T166" s="34">
        <v>499</v>
      </c>
      <c r="U166" s="88" t="s">
        <v>480</v>
      </c>
      <c r="V166" s="41" t="e">
        <f>C166/'1. Väestöennuste'!E166*1000</f>
        <v>#REF!</v>
      </c>
      <c r="W166" s="41">
        <f>D166/'1. Väestöennuste'!F166*1000</f>
        <v>136.58410732714137</v>
      </c>
      <c r="X166" s="41">
        <f>E166/'1. Väestöennuste'!G166*1000</f>
        <v>110.96780850185719</v>
      </c>
      <c r="Y166" s="41">
        <f>F166/'1. Väestöennuste'!H166*1000</f>
        <v>-156.60357951038881</v>
      </c>
      <c r="Z166" s="41">
        <f>G166/'1. Väestöennuste'!I166*1000</f>
        <v>-90.137803373097483</v>
      </c>
      <c r="AA166" s="41">
        <f>H166/'1. Väestöennuste'!J166*1000</f>
        <v>330.82147290926326</v>
      </c>
      <c r="AB166" s="41">
        <f>I166/'1. Väestöennuste'!K166*1000</f>
        <v>125.64316533404022</v>
      </c>
      <c r="AC166" s="41">
        <f>J166/'1. Väestöennuste'!L166*1000</f>
        <v>76.035507710537175</v>
      </c>
      <c r="AD166" s="41">
        <f>K166/'1. Väestöennuste'!M166*1000</f>
        <v>247.76403612399443</v>
      </c>
      <c r="AE166" s="41">
        <f>L166/'1. Väestöennuste'!N166*1000</f>
        <v>-119.11306494823376</v>
      </c>
      <c r="AF166" s="41">
        <f>M166/'1. Väestöennuste'!O166*1000</f>
        <v>-310.85002679277653</v>
      </c>
      <c r="AG166" s="41">
        <f>N166/'1. Väestöennuste'!P166*1000</f>
        <v>-268.59400938516183</v>
      </c>
      <c r="AH166" s="41">
        <f>O166/'1. Väestöennuste'!Q166*1000</f>
        <v>-252.66497785968389</v>
      </c>
      <c r="AI166" s="41">
        <f>P166/'1. Väestöennuste'!R166*1000</f>
        <v>-199.7083645862958</v>
      </c>
    </row>
    <row r="167" spans="1:35" x14ac:dyDescent="0.2">
      <c r="A167" s="34">
        <v>500</v>
      </c>
      <c r="B167" s="88" t="s">
        <v>481</v>
      </c>
      <c r="C167" s="41" t="e">
        <f>Vuosikate!C167-'6. Poistot'!C167</f>
        <v>#REF!</v>
      </c>
      <c r="D167" s="41">
        <f>Vuosikate!D167-'6. Poistot'!D167</f>
        <v>292</v>
      </c>
      <c r="E167" s="41">
        <f>Vuosikate!E167-'6. Poistot'!E167</f>
        <v>1573</v>
      </c>
      <c r="F167" s="41">
        <f>Vuosikate!F167-'6. Poistot'!F167</f>
        <v>228</v>
      </c>
      <c r="G167" s="41">
        <f>Vuosikate!G167-'6. Poistot'!G167</f>
        <v>-1201</v>
      </c>
      <c r="H167" s="41">
        <f>Vuosikate!H167-'6. Poistot'!H167</f>
        <v>5550.9738849026253</v>
      </c>
      <c r="I167" s="41">
        <f>Vuosikate!I167-'6. Poistot'!I167</f>
        <v>2591.3916132444706</v>
      </c>
      <c r="J167" s="41">
        <f>Vuosikate!J167-'6. Poistot'!J167</f>
        <v>1715.5740297701495</v>
      </c>
      <c r="K167" s="41">
        <f>Vuosikate!K167-'6. Poistot'!K167</f>
        <v>1604.3015246687164</v>
      </c>
      <c r="L167" s="41">
        <f>Vuosikate!L167-'6. Poistot'!L167</f>
        <v>430.49578854196898</v>
      </c>
      <c r="M167" s="41">
        <f>Vuosikate!M167-'6. Poistot'!M167</f>
        <v>-4274.5250020695785</v>
      </c>
      <c r="N167" s="41">
        <f>Vuosikate!N167-'6. Poistot'!N167</f>
        <v>-4685.2773671041505</v>
      </c>
      <c r="O167" s="41">
        <f>Vuosikate!O167-'6. Poistot'!O167</f>
        <v>-5039.5276084200195</v>
      </c>
      <c r="P167" s="41">
        <f>Vuosikate!P167-'6. Poistot'!P167</f>
        <v>-4866.8284559630074</v>
      </c>
      <c r="T167" s="34">
        <v>500</v>
      </c>
      <c r="U167" s="88" t="s">
        <v>481</v>
      </c>
      <c r="V167" s="41" t="e">
        <f>C167/'1. Väestöennuste'!E167*1000</f>
        <v>#REF!</v>
      </c>
      <c r="W167" s="41">
        <f>D167/'1. Väestöennuste'!F167*1000</f>
        <v>29.37330248465949</v>
      </c>
      <c r="X167" s="41">
        <f>E167/'1. Väestöennuste'!G167*1000</f>
        <v>155.78884817272456</v>
      </c>
      <c r="Y167" s="41">
        <f>F167/'1. Väestöennuste'!H167*1000</f>
        <v>22.418879056047196</v>
      </c>
      <c r="Z167" s="41">
        <f>G167/'1. Väestöennuste'!I167*1000</f>
        <v>-118.16214088941361</v>
      </c>
      <c r="AA167" s="41">
        <f>H167/'1. Väestöennuste'!J167*1000</f>
        <v>540.66172055153652</v>
      </c>
      <c r="AB167" s="41">
        <f>I167/'1. Väestöennuste'!K167*1000</f>
        <v>248.55089327109829</v>
      </c>
      <c r="AC167" s="41">
        <f>J167/'1. Väestöennuste'!L167*1000</f>
        <v>163.60614436106709</v>
      </c>
      <c r="AD167" s="41">
        <f>K167/'1. Väestöennuste'!M167*1000</f>
        <v>152.05208270957411</v>
      </c>
      <c r="AE167" s="41">
        <f>L167/'1. Väestöennuste'!N167*1000</f>
        <v>40.502002873456483</v>
      </c>
      <c r="AF167" s="41">
        <f>M167/'1. Väestöennuste'!O167*1000</f>
        <v>-399.48831795042787</v>
      </c>
      <c r="AG167" s="41">
        <f>N167/'1. Väestöennuste'!P167*1000</f>
        <v>-435.31332965754444</v>
      </c>
      <c r="AH167" s="41">
        <f>O167/'1. Väestöennuste'!Q167*1000</f>
        <v>-465.80345765967462</v>
      </c>
      <c r="AI167" s="41">
        <f>P167/'1. Väestöennuste'!R167*1000</f>
        <v>-447.7715020667041</v>
      </c>
    </row>
    <row r="168" spans="1:35" x14ac:dyDescent="0.2">
      <c r="A168" s="34">
        <v>503</v>
      </c>
      <c r="B168" s="88" t="s">
        <v>482</v>
      </c>
      <c r="C168" s="41" t="e">
        <f>Vuosikate!C168-'6. Poistot'!C168</f>
        <v>#REF!</v>
      </c>
      <c r="D168" s="41">
        <f>Vuosikate!D168-'6. Poistot'!D168</f>
        <v>122</v>
      </c>
      <c r="E168" s="41">
        <f>Vuosikate!E168-'6. Poistot'!E168</f>
        <v>873</v>
      </c>
      <c r="F168" s="41">
        <f>Vuosikate!F168-'6. Poistot'!F168</f>
        <v>-3245</v>
      </c>
      <c r="G168" s="41">
        <f>Vuosikate!G168-'6. Poistot'!G168</f>
        <v>-6608</v>
      </c>
      <c r="H168" s="41">
        <f>Vuosikate!H168-'6. Poistot'!H168</f>
        <v>2195.4894533346996</v>
      </c>
      <c r="I168" s="41">
        <f>Vuosikate!I168-'6. Poistot'!I168</f>
        <v>-1408.988237975236</v>
      </c>
      <c r="J168" s="41">
        <f>Vuosikate!J168-'6. Poistot'!J168</f>
        <v>885.35030769614445</v>
      </c>
      <c r="K168" s="41">
        <f>Vuosikate!K168-'6. Poistot'!K168</f>
        <v>-359.6797449819303</v>
      </c>
      <c r="L168" s="41">
        <f>Vuosikate!L168-'6. Poistot'!L168</f>
        <v>-1493.2547267276123</v>
      </c>
      <c r="M168" s="41">
        <f>Vuosikate!M168-'6. Poistot'!M168</f>
        <v>-1294.0718789343855</v>
      </c>
      <c r="N168" s="41">
        <f>Vuosikate!N168-'6. Poistot'!N168</f>
        <v>-1297.3952541632398</v>
      </c>
      <c r="O168" s="41">
        <f>Vuosikate!O168-'6. Poistot'!O168</f>
        <v>-1355.7059977692695</v>
      </c>
      <c r="P168" s="41">
        <f>Vuosikate!P168-'6. Poistot'!P168</f>
        <v>-670.83714762605905</v>
      </c>
      <c r="T168" s="34">
        <v>503</v>
      </c>
      <c r="U168" s="88" t="s">
        <v>482</v>
      </c>
      <c r="V168" s="41" t="e">
        <f>C168/'1. Väestöennuste'!E168*1000</f>
        <v>#REF!</v>
      </c>
      <c r="W168" s="41">
        <f>D168/'1. Väestöennuste'!F168*1000</f>
        <v>15.557255802091303</v>
      </c>
      <c r="X168" s="41">
        <f>E168/'1. Väestöennuste'!G168*1000</f>
        <v>111.38045419749936</v>
      </c>
      <c r="Y168" s="41">
        <f>F168/'1. Väestöennuste'!H168*1000</f>
        <v>-417.8470254957507</v>
      </c>
      <c r="Z168" s="41">
        <f>G168/'1. Väestöennuste'!I168*1000</f>
        <v>-863.33943036320886</v>
      </c>
      <c r="AA168" s="41">
        <f>H168/'1. Väestöennuste'!J168*1000</f>
        <v>287.17978460885541</v>
      </c>
      <c r="AB168" s="41">
        <f>I168/'1. Väestöennuste'!K168*1000</f>
        <v>-185.53966789244615</v>
      </c>
      <c r="AC168" s="41">
        <f>J168/'1. Väestöennuste'!L168*1000</f>
        <v>117.43604028334586</v>
      </c>
      <c r="AD168" s="41">
        <f>K168/'1. Väestöennuste'!M168*1000</f>
        <v>-47.861576178566906</v>
      </c>
      <c r="AE168" s="41">
        <f>L168/'1. Väestöennuste'!N168*1000</f>
        <v>-200.14136533006462</v>
      </c>
      <c r="AF168" s="41">
        <f>M168/'1. Väestöennuste'!O168*1000</f>
        <v>-174.35622189900101</v>
      </c>
      <c r="AG168" s="41">
        <f>N168/'1. Väestöennuste'!P168*1000</f>
        <v>-175.67979067884087</v>
      </c>
      <c r="AH168" s="41">
        <f>O168/'1. Väestöennuste'!Q168*1000</f>
        <v>-184.4247038184287</v>
      </c>
      <c r="AI168" s="41">
        <f>P168/'1. Väestöennuste'!R168*1000</f>
        <v>-91.694525372616042</v>
      </c>
    </row>
    <row r="169" spans="1:35" x14ac:dyDescent="0.2">
      <c r="A169" s="34">
        <v>504</v>
      </c>
      <c r="B169" s="88" t="s">
        <v>483</v>
      </c>
      <c r="C169" s="41" t="e">
        <f>Vuosikate!C169-'6. Poistot'!C169</f>
        <v>#REF!</v>
      </c>
      <c r="D169" s="41">
        <f>Vuosikate!D169-'6. Poistot'!D169</f>
        <v>-282</v>
      </c>
      <c r="E169" s="41">
        <f>Vuosikate!E169-'6. Poistot'!E169</f>
        <v>-283</v>
      </c>
      <c r="F169" s="41">
        <f>Vuosikate!F169-'6. Poistot'!F169</f>
        <v>162</v>
      </c>
      <c r="G169" s="41">
        <f>Vuosikate!G169-'6. Poistot'!G169</f>
        <v>348</v>
      </c>
      <c r="H169" s="41">
        <f>Vuosikate!H169-'6. Poistot'!H169</f>
        <v>962.22889912242954</v>
      </c>
      <c r="I169" s="41">
        <f>Vuosikate!I169-'6. Poistot'!I169</f>
        <v>-67.763590075144066</v>
      </c>
      <c r="J169" s="41">
        <f>Vuosikate!J169-'6. Poistot'!J169</f>
        <v>-1118.882227220987</v>
      </c>
      <c r="K169" s="41">
        <f>Vuosikate!K169-'6. Poistot'!K169</f>
        <v>-476.40592813278118</v>
      </c>
      <c r="L169" s="41">
        <f>Vuosikate!L169-'6. Poistot'!L169</f>
        <v>3.3595532621250186</v>
      </c>
      <c r="M169" s="41">
        <f>Vuosikate!M169-'6. Poistot'!M169</f>
        <v>-1283.1063244325819</v>
      </c>
      <c r="N169" s="41">
        <f>Vuosikate!N169-'6. Poistot'!N169</f>
        <v>-1293.7003563877606</v>
      </c>
      <c r="O169" s="41">
        <f>Vuosikate!O169-'6. Poistot'!O169</f>
        <v>-1399.4138802388049</v>
      </c>
      <c r="P169" s="41">
        <f>Vuosikate!P169-'6. Poistot'!P169</f>
        <v>-1263.7984386651046</v>
      </c>
      <c r="T169" s="34">
        <v>504</v>
      </c>
      <c r="U169" s="88" t="s">
        <v>483</v>
      </c>
      <c r="V169" s="41" t="e">
        <f>C169/'1. Väestöennuste'!E169*1000</f>
        <v>#REF!</v>
      </c>
      <c r="W169" s="41">
        <f>D169/'1. Väestöennuste'!F169*1000</f>
        <v>-141.99395770392749</v>
      </c>
      <c r="X169" s="41">
        <f>E169/'1. Väestöennuste'!G169*1000</f>
        <v>-143.72778059928899</v>
      </c>
      <c r="Y169" s="41">
        <f>F169/'1. Väestöennuste'!H169*1000</f>
        <v>84.287200832466183</v>
      </c>
      <c r="Z169" s="41">
        <f>G169/'1. Väestöennuste'!I169*1000</f>
        <v>184.90967056323061</v>
      </c>
      <c r="AA169" s="41">
        <f>H169/'1. Väestöennuste'!J169*1000</f>
        <v>514.28588942941178</v>
      </c>
      <c r="AB169" s="41">
        <f>I169/'1. Väestöennuste'!K169*1000</f>
        <v>-37.314752244022067</v>
      </c>
      <c r="AC169" s="41">
        <f>J169/'1. Väestöennuste'!L169*1000</f>
        <v>-634.28697688264572</v>
      </c>
      <c r="AD169" s="41">
        <f>K169/'1. Väestöennuste'!M169*1000</f>
        <v>-277.78771319695693</v>
      </c>
      <c r="AE169" s="41">
        <f>L169/'1. Väestöennuste'!N169*1000</f>
        <v>1.876845397835206</v>
      </c>
      <c r="AF169" s="41">
        <f>M169/'1. Väestöennuste'!O169*1000</f>
        <v>-723.69223036242636</v>
      </c>
      <c r="AG169" s="41">
        <f>N169/'1. Väestöennuste'!P169*1000</f>
        <v>-736.7314102435995</v>
      </c>
      <c r="AH169" s="41">
        <f>O169/'1. Väestöennuste'!Q169*1000</f>
        <v>-801.95637836034678</v>
      </c>
      <c r="AI169" s="41">
        <f>P169/'1. Väestöennuste'!R169*1000</f>
        <v>-728.83416301332454</v>
      </c>
    </row>
    <row r="170" spans="1:35" x14ac:dyDescent="0.2">
      <c r="A170" s="34">
        <v>505</v>
      </c>
      <c r="B170" s="88" t="s">
        <v>484</v>
      </c>
      <c r="C170" s="41" t="e">
        <f>Vuosikate!C170-'6. Poistot'!C170</f>
        <v>#REF!</v>
      </c>
      <c r="D170" s="41">
        <f>Vuosikate!D170-'6. Poistot'!D170</f>
        <v>7546</v>
      </c>
      <c r="E170" s="41">
        <f>Vuosikate!E170-'6. Poistot'!E170</f>
        <v>4854</v>
      </c>
      <c r="F170" s="41">
        <f>Vuosikate!F170-'6. Poistot'!F170</f>
        <v>-3175</v>
      </c>
      <c r="G170" s="41">
        <f>Vuosikate!G170-'6. Poistot'!G170</f>
        <v>-8314</v>
      </c>
      <c r="H170" s="41">
        <f>Vuosikate!H170-'6. Poistot'!H170</f>
        <v>970.95844338124152</v>
      </c>
      <c r="I170" s="41">
        <f>Vuosikate!I170-'6. Poistot'!I170</f>
        <v>6667.1652219736952</v>
      </c>
      <c r="J170" s="41">
        <f>Vuosikate!J170-'6. Poistot'!J170</f>
        <v>4016.4394931894385</v>
      </c>
      <c r="K170" s="41">
        <f>Vuosikate!K170-'6. Poistot'!K170</f>
        <v>5480.6440595837394</v>
      </c>
      <c r="L170" s="41">
        <f>Vuosikate!L170-'6. Poistot'!L170</f>
        <v>1926.9788136732077</v>
      </c>
      <c r="M170" s="41">
        <f>Vuosikate!M170-'6. Poistot'!M170</f>
        <v>674.39490294636744</v>
      </c>
      <c r="N170" s="41">
        <f>Vuosikate!N170-'6. Poistot'!N170</f>
        <v>79.023940846700498</v>
      </c>
      <c r="O170" s="41">
        <f>Vuosikate!O170-'6. Poistot'!O170</f>
        <v>301.47588551842091</v>
      </c>
      <c r="P170" s="41">
        <f>Vuosikate!P170-'6. Poistot'!P170</f>
        <v>1393.4168576210068</v>
      </c>
      <c r="T170" s="34">
        <v>505</v>
      </c>
      <c r="U170" s="88" t="s">
        <v>484</v>
      </c>
      <c r="V170" s="41" t="e">
        <f>C170/'1. Väestöennuste'!E170*1000</f>
        <v>#REF!</v>
      </c>
      <c r="W170" s="41">
        <f>D170/'1. Väestöennuste'!F170*1000</f>
        <v>361.86639812017455</v>
      </c>
      <c r="X170" s="41">
        <f>E170/'1. Väestöennuste'!G170*1000</f>
        <v>233.3317310003365</v>
      </c>
      <c r="Y170" s="41">
        <f>F170/'1. Väestöennuste'!H170*1000</f>
        <v>-153.48544909600696</v>
      </c>
      <c r="Z170" s="41">
        <f>G170/'1. Väestöennuste'!I170*1000</f>
        <v>-401.23546160899571</v>
      </c>
      <c r="AA170" s="41">
        <f>H170/'1. Väestöennuste'!J170*1000</f>
        <v>46.718878091769305</v>
      </c>
      <c r="AB170" s="41">
        <f>I170/'1. Väestöennuste'!K170*1000</f>
        <v>319.96761635425901</v>
      </c>
      <c r="AC170" s="41">
        <f>J170/'1. Väestöennuste'!L170*1000</f>
        <v>192.0638625281866</v>
      </c>
      <c r="AD170" s="41">
        <f>K170/'1. Väestöennuste'!M170*1000</f>
        <v>261.51854080181988</v>
      </c>
      <c r="AE170" s="41">
        <f>L170/'1. Väestöennuste'!N170*1000</f>
        <v>92.244079160996051</v>
      </c>
      <c r="AF170" s="41">
        <f>M170/'1. Väestöennuste'!O170*1000</f>
        <v>32.226066944443417</v>
      </c>
      <c r="AG170" s="41">
        <f>N170/'1. Väestöennuste'!P170*1000</f>
        <v>3.7684282711826658</v>
      </c>
      <c r="AH170" s="41">
        <f>O170/'1. Väestöennuste'!Q170*1000</f>
        <v>14.348478678712146</v>
      </c>
      <c r="AI170" s="41">
        <f>P170/'1. Väestöennuste'!R170*1000</f>
        <v>66.201865147330224</v>
      </c>
    </row>
    <row r="171" spans="1:35" x14ac:dyDescent="0.2">
      <c r="A171" s="34">
        <v>507</v>
      </c>
      <c r="B171" s="88" t="s">
        <v>485</v>
      </c>
      <c r="C171" s="41" t="e">
        <f>Vuosikate!C171-'6. Poistot'!C171</f>
        <v>#REF!</v>
      </c>
      <c r="D171" s="41">
        <f>Vuosikate!D171-'6. Poistot'!D171</f>
        <v>326</v>
      </c>
      <c r="E171" s="41">
        <f>Vuosikate!E171-'6. Poistot'!E171</f>
        <v>173</v>
      </c>
      <c r="F171" s="41">
        <f>Vuosikate!F171-'6. Poistot'!F171</f>
        <v>151</v>
      </c>
      <c r="G171" s="41">
        <f>Vuosikate!G171-'6. Poistot'!G171</f>
        <v>-2420</v>
      </c>
      <c r="H171" s="41">
        <f>Vuosikate!H171-'6. Poistot'!H171</f>
        <v>3078.281311741066</v>
      </c>
      <c r="I171" s="41">
        <f>Vuosikate!I171-'6. Poistot'!I171</f>
        <v>-328.40264196040607</v>
      </c>
      <c r="J171" s="41">
        <f>Vuosikate!J171-'6. Poistot'!J171</f>
        <v>1426.725897562756</v>
      </c>
      <c r="K171" s="41">
        <f>Vuosikate!K171-'6. Poistot'!K171</f>
        <v>251.57908700569624</v>
      </c>
      <c r="L171" s="41">
        <f>Vuosikate!L171-'6. Poistot'!L171</f>
        <v>-285.28298707135878</v>
      </c>
      <c r="M171" s="41">
        <f>Vuosikate!M171-'6. Poistot'!M171</f>
        <v>-2283.5111059548831</v>
      </c>
      <c r="N171" s="41">
        <f>Vuosikate!N171-'6. Poistot'!N171</f>
        <v>-2788.4323625048196</v>
      </c>
      <c r="O171" s="41">
        <f>Vuosikate!O171-'6. Poistot'!O171</f>
        <v>-2726.3100750683839</v>
      </c>
      <c r="P171" s="41">
        <f>Vuosikate!P171-'6. Poistot'!P171</f>
        <v>-1640.2785671054185</v>
      </c>
      <c r="T171" s="34">
        <v>507</v>
      </c>
      <c r="U171" s="88" t="s">
        <v>485</v>
      </c>
      <c r="V171" s="41" t="e">
        <f>C171/'1. Väestöennuste'!E171*1000</f>
        <v>#REF!</v>
      </c>
      <c r="W171" s="41">
        <f>D171/'1. Väestöennuste'!F171*1000</f>
        <v>53.468919140560935</v>
      </c>
      <c r="X171" s="41">
        <f>E171/'1. Väestöennuste'!G171*1000</f>
        <v>28.576148001321442</v>
      </c>
      <c r="Y171" s="41">
        <f>F171/'1. Väestöennuste'!H171*1000</f>
        <v>25.489534098582041</v>
      </c>
      <c r="Z171" s="41">
        <f>G171/'1. Väestöennuste'!I171*1000</f>
        <v>-417.88982904506992</v>
      </c>
      <c r="AA171" s="41">
        <f>H171/'1. Väestöennuste'!J171*1000</f>
        <v>542.33285971477551</v>
      </c>
      <c r="AB171" s="41">
        <f>I171/'1. Väestöennuste'!K171*1000</f>
        <v>-58.27908464248555</v>
      </c>
      <c r="AC171" s="41">
        <f>J171/'1. Väestöennuste'!L171*1000</f>
        <v>256.42090179057442</v>
      </c>
      <c r="AD171" s="41">
        <f>K171/'1. Väestöennuste'!M171*1000</f>
        <v>45.559414524754843</v>
      </c>
      <c r="AE171" s="41">
        <f>L171/'1. Väestöennuste'!N171*1000</f>
        <v>-53.026577522557389</v>
      </c>
      <c r="AF171" s="41">
        <f>M171/'1. Väestöennuste'!O171*1000</f>
        <v>-333.89546804428761</v>
      </c>
      <c r="AG171" s="41">
        <f>N171/'1. Väestöennuste'!P171*1000</f>
        <v>-412.55102271117318</v>
      </c>
      <c r="AH171" s="41">
        <f>O171/'1. Väestöennuste'!Q171*1000</f>
        <v>-407.88600764039256</v>
      </c>
      <c r="AI171" s="41">
        <f>P171/'1. Väestöennuste'!R171*1000</f>
        <v>-248.00099290980017</v>
      </c>
    </row>
    <row r="172" spans="1:35" x14ac:dyDescent="0.2">
      <c r="A172" s="34">
        <v>508</v>
      </c>
      <c r="B172" s="88" t="s">
        <v>486</v>
      </c>
      <c r="C172" s="41" t="e">
        <f>Vuosikate!C172-'6. Poistot'!C172</f>
        <v>#REF!</v>
      </c>
      <c r="D172" s="41">
        <f>Vuosikate!D172-'6. Poistot'!D172</f>
        <v>25</v>
      </c>
      <c r="E172" s="41">
        <f>Vuosikate!E172-'6. Poistot'!E172</f>
        <v>3007</v>
      </c>
      <c r="F172" s="41">
        <f>Vuosikate!F172-'6. Poistot'!F172</f>
        <v>-1155</v>
      </c>
      <c r="G172" s="41">
        <f>Vuosikate!G172-'6. Poistot'!G172</f>
        <v>-1914</v>
      </c>
      <c r="H172" s="41">
        <f>Vuosikate!H172-'6. Poistot'!H172</f>
        <v>213.88454124388954</v>
      </c>
      <c r="I172" s="41">
        <f>Vuosikate!I172-'6. Poistot'!I172</f>
        <v>25.38974973879067</v>
      </c>
      <c r="J172" s="41">
        <f>Vuosikate!J172-'6. Poistot'!J172</f>
        <v>-438.59429199593751</v>
      </c>
      <c r="K172" s="41">
        <f>Vuosikate!K172-'6. Poistot'!K172</f>
        <v>2142.292244329431</v>
      </c>
      <c r="L172" s="41">
        <f>Vuosikate!L172-'6. Poistot'!L172</f>
        <v>3592.7871687709453</v>
      </c>
      <c r="M172" s="41">
        <f>Vuosikate!M172-'6. Poistot'!M172</f>
        <v>2462.1227526729676</v>
      </c>
      <c r="N172" s="41">
        <f>Vuosikate!N172-'6. Poistot'!N172</f>
        <v>762.2766963451445</v>
      </c>
      <c r="O172" s="41">
        <f>Vuosikate!O172-'6. Poistot'!O172</f>
        <v>1265.1556739319944</v>
      </c>
      <c r="P172" s="41">
        <f>Vuosikate!P172-'6. Poistot'!P172</f>
        <v>2768.1304160561394</v>
      </c>
      <c r="T172" s="34">
        <v>508</v>
      </c>
      <c r="U172" s="88" t="s">
        <v>486</v>
      </c>
      <c r="V172" s="41" t="e">
        <f>C172/'1. Väestöennuste'!E172*1000</f>
        <v>#REF!</v>
      </c>
      <c r="W172" s="41">
        <f>D172/'1. Väestöennuste'!F172*1000</f>
        <v>2.3928024502297087</v>
      </c>
      <c r="X172" s="41">
        <f>E172/'1. Väestöennuste'!G172*1000</f>
        <v>293.19422776911074</v>
      </c>
      <c r="Y172" s="41">
        <f>F172/'1. Väestöennuste'!H172*1000</f>
        <v>-115.6966843634178</v>
      </c>
      <c r="Z172" s="41">
        <f>G172/'1. Väestöennuste'!I172*1000</f>
        <v>-194.21613394216132</v>
      </c>
      <c r="AA172" s="41">
        <f>H172/'1. Väestöennuste'!J172*1000</f>
        <v>22.111500180284249</v>
      </c>
      <c r="AB172" s="41">
        <f>I172/'1. Väestöennuste'!K172*1000</f>
        <v>2.6549984041399846</v>
      </c>
      <c r="AC172" s="41">
        <f>J172/'1. Väestöennuste'!L172*1000</f>
        <v>-46.858364529480504</v>
      </c>
      <c r="AD172" s="41">
        <f>K172/'1. Väestöennuste'!M172*1000</f>
        <v>231.07455984569421</v>
      </c>
      <c r="AE172" s="41">
        <f>L172/'1. Väestöennuste'!N172*1000</f>
        <v>401.02546810703711</v>
      </c>
      <c r="AF172" s="41">
        <f>M172/'1. Väestöennuste'!O172*1000</f>
        <v>279.37396490105158</v>
      </c>
      <c r="AG172" s="41">
        <f>N172/'1. Väestöennuste'!P172*1000</f>
        <v>87.860384548771847</v>
      </c>
      <c r="AH172" s="41">
        <f>O172/'1. Väestöennuste'!Q172*1000</f>
        <v>148.04068265059612</v>
      </c>
      <c r="AI172" s="41">
        <f>P172/'1. Väestöennuste'!R172*1000</f>
        <v>328.56147371586223</v>
      </c>
    </row>
    <row r="173" spans="1:35" x14ac:dyDescent="0.2">
      <c r="A173" s="34">
        <v>529</v>
      </c>
      <c r="B173" s="88" t="s">
        <v>487</v>
      </c>
      <c r="C173" s="41" t="e">
        <f>Vuosikate!C173-'6. Poistot'!C173</f>
        <v>#REF!</v>
      </c>
      <c r="D173" s="41">
        <f>Vuosikate!D173-'6. Poistot'!D173</f>
        <v>2602</v>
      </c>
      <c r="E173" s="41">
        <f>Vuosikate!E173-'6. Poistot'!E173</f>
        <v>6927</v>
      </c>
      <c r="F173" s="41">
        <f>Vuosikate!F173-'6. Poistot'!F173</f>
        <v>3956</v>
      </c>
      <c r="G173" s="41">
        <f>Vuosikate!G173-'6. Poistot'!G173</f>
        <v>1928</v>
      </c>
      <c r="H173" s="41">
        <f>Vuosikate!H173-'6. Poistot'!H173</f>
        <v>10165.038296624392</v>
      </c>
      <c r="I173" s="41">
        <f>Vuosikate!I173-'6. Poistot'!I173</f>
        <v>8639.7514538334726</v>
      </c>
      <c r="J173" s="41">
        <f>Vuosikate!J173-'6. Poistot'!J173</f>
        <v>8741.9289887533196</v>
      </c>
      <c r="K173" s="41">
        <f>Vuosikate!K173-'6. Poistot'!K173</f>
        <v>10352.679170576774</v>
      </c>
      <c r="L173" s="41">
        <f>Vuosikate!L173-'6. Poistot'!L173</f>
        <v>4033.1288543628598</v>
      </c>
      <c r="M173" s="41">
        <f>Vuosikate!M173-'6. Poistot'!M173</f>
        <v>3573.3886028057186</v>
      </c>
      <c r="N173" s="41">
        <f>Vuosikate!N173-'6. Poistot'!N173</f>
        <v>1462.8003024005993</v>
      </c>
      <c r="O173" s="41">
        <f>Vuosikate!O173-'6. Poistot'!O173</f>
        <v>1155.8389078754371</v>
      </c>
      <c r="P173" s="41">
        <f>Vuosikate!P173-'6. Poistot'!P173</f>
        <v>2076.3697048661397</v>
      </c>
      <c r="T173" s="34">
        <v>529</v>
      </c>
      <c r="U173" s="88" t="s">
        <v>487</v>
      </c>
      <c r="V173" s="41" t="e">
        <f>C173/'1. Väestöennuste'!E173*1000</f>
        <v>#REF!</v>
      </c>
      <c r="W173" s="41">
        <f>D173/'1. Väestöennuste'!F173*1000</f>
        <v>136.45898888189637</v>
      </c>
      <c r="X173" s="41">
        <f>E173/'1. Väestöennuste'!G173*1000</f>
        <v>361.40241039286275</v>
      </c>
      <c r="Y173" s="41">
        <f>F173/'1. Väestöennuste'!H173*1000</f>
        <v>205.55988568459341</v>
      </c>
      <c r="Z173" s="41">
        <f>G173/'1. Väestöennuste'!I173*1000</f>
        <v>99.823961892927414</v>
      </c>
      <c r="AA173" s="41">
        <f>H173/'1. Väestöennuste'!J173*1000</f>
        <v>523.24282167212596</v>
      </c>
      <c r="AB173" s="41">
        <f>I173/'1. Väestöennuste'!K173*1000</f>
        <v>441.27644179138218</v>
      </c>
      <c r="AC173" s="41">
        <f>J173/'1. Väestöennuste'!L173*1000</f>
        <v>440.39944527724532</v>
      </c>
      <c r="AD173" s="41">
        <f>K173/'1. Väestöennuste'!M173*1000</f>
        <v>517.65984152091471</v>
      </c>
      <c r="AE173" s="41">
        <f>L173/'1. Väestöennuste'!N173*1000</f>
        <v>204.46787601332622</v>
      </c>
      <c r="AF173" s="41">
        <f>M173/'1. Väestöennuste'!O173*1000</f>
        <v>180.47417185887468</v>
      </c>
      <c r="AG173" s="41">
        <f>N173/'1. Väestöennuste'!P173*1000</f>
        <v>73.607422251325886</v>
      </c>
      <c r="AH173" s="41">
        <f>O173/'1. Väestöennuste'!Q173*1000</f>
        <v>57.960029479261713</v>
      </c>
      <c r="AI173" s="41">
        <f>P173/'1. Väestöennuste'!R173*1000</f>
        <v>103.77697445352557</v>
      </c>
    </row>
    <row r="174" spans="1:35" x14ac:dyDescent="0.2">
      <c r="A174" s="34">
        <v>531</v>
      </c>
      <c r="B174" s="88" t="s">
        <v>488</v>
      </c>
      <c r="C174" s="41" t="e">
        <f>Vuosikate!C174-'6. Poistot'!C174</f>
        <v>#REF!</v>
      </c>
      <c r="D174" s="41">
        <f>Vuosikate!D174-'6. Poistot'!D174</f>
        <v>1096</v>
      </c>
      <c r="E174" s="41">
        <f>Vuosikate!E174-'6. Poistot'!E174</f>
        <v>49</v>
      </c>
      <c r="F174" s="41">
        <f>Vuosikate!F174-'6. Poistot'!F174</f>
        <v>899</v>
      </c>
      <c r="G174" s="41">
        <f>Vuosikate!G174-'6. Poistot'!G174</f>
        <v>-896</v>
      </c>
      <c r="H174" s="41">
        <f>Vuosikate!H174-'6. Poistot'!H174</f>
        <v>1218.3903907251879</v>
      </c>
      <c r="I174" s="41">
        <f>Vuosikate!I174-'6. Poistot'!I174</f>
        <v>-334.06782709446725</v>
      </c>
      <c r="J174" s="41">
        <f>Vuosikate!J174-'6. Poistot'!J174</f>
        <v>850.90360207091248</v>
      </c>
      <c r="K174" s="41">
        <f>Vuosikate!K174-'6. Poistot'!K174</f>
        <v>1840.3552582299737</v>
      </c>
      <c r="L174" s="41">
        <f>Vuosikate!L174-'6. Poistot'!L174</f>
        <v>-670.28140441181733</v>
      </c>
      <c r="M174" s="41">
        <f>Vuosikate!M174-'6. Poistot'!M174</f>
        <v>-1703.9819413401897</v>
      </c>
      <c r="N174" s="41">
        <f>Vuosikate!N174-'6. Poistot'!N174</f>
        <v>-1707.7041631223847</v>
      </c>
      <c r="O174" s="41">
        <f>Vuosikate!O174-'6. Poistot'!O174</f>
        <v>-2000.6731220672539</v>
      </c>
      <c r="P174" s="41">
        <f>Vuosikate!P174-'6. Poistot'!P174</f>
        <v>-1367.5008183156717</v>
      </c>
      <c r="T174" s="34">
        <v>531</v>
      </c>
      <c r="U174" s="88" t="s">
        <v>488</v>
      </c>
      <c r="V174" s="41" t="e">
        <f>C174/'1. Väestöennuste'!E174*1000</f>
        <v>#REF!</v>
      </c>
      <c r="W174" s="41">
        <f>D174/'1. Väestöennuste'!F174*1000</f>
        <v>197.54866618601298</v>
      </c>
      <c r="X174" s="41">
        <f>E174/'1. Väestöennuste'!G174*1000</f>
        <v>8.8752037674334368</v>
      </c>
      <c r="Y174" s="41">
        <f>F174/'1. Väestöennuste'!H174*1000</f>
        <v>165.348537796579</v>
      </c>
      <c r="Z174" s="41">
        <f>G174/'1. Väestöennuste'!I174*1000</f>
        <v>-168.1366109964346</v>
      </c>
      <c r="AA174" s="41">
        <f>H174/'1. Väestöennuste'!J174*1000</f>
        <v>231.8094350694802</v>
      </c>
      <c r="AB174" s="41">
        <f>I174/'1. Väestöennuste'!K174*1000</f>
        <v>-64.629101778770988</v>
      </c>
      <c r="AC174" s="41">
        <f>J174/'1. Väestöennuste'!L174*1000</f>
        <v>167.76490577107896</v>
      </c>
      <c r="AD174" s="41">
        <f>K174/'1. Väestöennuste'!M174*1000</f>
        <v>370.5910709283072</v>
      </c>
      <c r="AE174" s="41">
        <f>L174/'1. Väestöennuste'!N174*1000</f>
        <v>-134.67578951412844</v>
      </c>
      <c r="AF174" s="41">
        <f>M174/'1. Väestöennuste'!O174*1000</f>
        <v>-347.25533754640099</v>
      </c>
      <c r="AG174" s="41">
        <f>N174/'1. Väestöennuste'!P174*1000</f>
        <v>-352.83143866164971</v>
      </c>
      <c r="AH174" s="41">
        <f>O174/'1. Väestöennuste'!Q174*1000</f>
        <v>-418.90140746801796</v>
      </c>
      <c r="AI174" s="41">
        <f>P174/'1. Väestöennuste'!R174*1000</f>
        <v>-290.15506435723989</v>
      </c>
    </row>
    <row r="175" spans="1:35" x14ac:dyDescent="0.2">
      <c r="A175" s="34">
        <v>535</v>
      </c>
      <c r="B175" s="88" t="s">
        <v>489</v>
      </c>
      <c r="C175" s="41" t="e">
        <f>Vuosikate!C175-'6. Poistot'!C175</f>
        <v>#REF!</v>
      </c>
      <c r="D175" s="41">
        <f>Vuosikate!D175-'6. Poistot'!D175</f>
        <v>1387</v>
      </c>
      <c r="E175" s="41">
        <f>Vuosikate!E175-'6. Poistot'!E175</f>
        <v>2582</v>
      </c>
      <c r="F175" s="41">
        <f>Vuosikate!F175-'6. Poistot'!F175</f>
        <v>-368</v>
      </c>
      <c r="G175" s="41">
        <f>Vuosikate!G175-'6. Poistot'!G175</f>
        <v>-576</v>
      </c>
      <c r="H175" s="41">
        <f>Vuosikate!H175-'6. Poistot'!H175</f>
        <v>3847.0968402872895</v>
      </c>
      <c r="I175" s="41">
        <f>Vuosikate!I175-'6. Poistot'!I175</f>
        <v>2354.2701906041466</v>
      </c>
      <c r="J175" s="41">
        <f>Vuosikate!J175-'6. Poistot'!J175</f>
        <v>-708.88610602714834</v>
      </c>
      <c r="K175" s="41">
        <f>Vuosikate!K175-'6. Poistot'!K175</f>
        <v>715.34945147053395</v>
      </c>
      <c r="L175" s="41">
        <f>Vuosikate!L175-'6. Poistot'!L175</f>
        <v>-804.88532823102923</v>
      </c>
      <c r="M175" s="41">
        <f>Vuosikate!M175-'6. Poistot'!M175</f>
        <v>-1187.2572466157035</v>
      </c>
      <c r="N175" s="41">
        <f>Vuosikate!N175-'6. Poistot'!N175</f>
        <v>-265.72658324119902</v>
      </c>
      <c r="O175" s="41">
        <f>Vuosikate!O175-'6. Poistot'!O175</f>
        <v>-50.800607121314442</v>
      </c>
      <c r="P175" s="41">
        <f>Vuosikate!P175-'6. Poistot'!P175</f>
        <v>1311.0212023440113</v>
      </c>
      <c r="T175" s="34">
        <v>535</v>
      </c>
      <c r="U175" s="88" t="s">
        <v>489</v>
      </c>
      <c r="V175" s="41" t="e">
        <f>C175/'1. Väestöennuste'!E175*1000</f>
        <v>#REF!</v>
      </c>
      <c r="W175" s="41">
        <f>D175/'1. Väestöennuste'!F175*1000</f>
        <v>127.37625126274222</v>
      </c>
      <c r="X175" s="41">
        <f>E175/'1. Väestöennuste'!G175*1000</f>
        <v>238.74248728617661</v>
      </c>
      <c r="Y175" s="41">
        <f>F175/'1. Väestöennuste'!H175*1000</f>
        <v>-34.274005774424886</v>
      </c>
      <c r="Z175" s="41">
        <f>G175/'1. Väestöennuste'!I175*1000</f>
        <v>-54.140426731835703</v>
      </c>
      <c r="AA175" s="41">
        <f>H175/'1. Väestöennuste'!J175*1000</f>
        <v>366.39017526545615</v>
      </c>
      <c r="AB175" s="41">
        <f>I175/'1. Väestöennuste'!K175*1000</f>
        <v>226.45923341709758</v>
      </c>
      <c r="AC175" s="41">
        <f>J175/'1. Väestöennuste'!L175*1000</f>
        <v>-68.037825705648174</v>
      </c>
      <c r="AD175" s="41">
        <f>K175/'1. Väestöennuste'!M175*1000</f>
        <v>68.428300312850013</v>
      </c>
      <c r="AE175" s="41">
        <f>L175/'1. Väestöennuste'!N175*1000</f>
        <v>-79.984629656268424</v>
      </c>
      <c r="AF175" s="41">
        <f>M175/'1. Väestöennuste'!O175*1000</f>
        <v>-119.23844999655554</v>
      </c>
      <c r="AG175" s="41">
        <f>N175/'1. Väestöennuste'!P175*1000</f>
        <v>-26.985537040844829</v>
      </c>
      <c r="AH175" s="41">
        <f>O175/'1. Väestöennuste'!Q175*1000</f>
        <v>-5.2172750458369563</v>
      </c>
      <c r="AI175" s="41">
        <f>P175/'1. Väestöennuste'!R175*1000</f>
        <v>136.15341181265046</v>
      </c>
    </row>
    <row r="176" spans="1:35" x14ac:dyDescent="0.2">
      <c r="A176" s="34">
        <v>536</v>
      </c>
      <c r="B176" s="88" t="s">
        <v>490</v>
      </c>
      <c r="C176" s="41" t="e">
        <f>Vuosikate!C176-'6. Poistot'!C176</f>
        <v>#REF!</v>
      </c>
      <c r="D176" s="41">
        <f>Vuosikate!D176-'6. Poistot'!D176</f>
        <v>-500</v>
      </c>
      <c r="E176" s="41">
        <f>Vuosikate!E176-'6. Poistot'!E176</f>
        <v>-4492</v>
      </c>
      <c r="F176" s="41">
        <f>Vuosikate!F176-'6. Poistot'!F176</f>
        <v>-1563</v>
      </c>
      <c r="G176" s="41">
        <f>Vuosikate!G176-'6. Poistot'!G176</f>
        <v>-5839</v>
      </c>
      <c r="H176" s="41">
        <f>Vuosikate!H176-'6. Poistot'!H176</f>
        <v>13733.293919266667</v>
      </c>
      <c r="I176" s="41">
        <f>Vuosikate!I176-'6. Poistot'!I176</f>
        <v>8242.7579440810423</v>
      </c>
      <c r="J176" s="41">
        <f>Vuosikate!J176-'6. Poistot'!J176</f>
        <v>10232.29255839458</v>
      </c>
      <c r="K176" s="41">
        <f>Vuosikate!K176-'6. Poistot'!K176</f>
        <v>10579.955536802641</v>
      </c>
      <c r="L176" s="41">
        <f>Vuosikate!L176-'6. Poistot'!L176</f>
        <v>1107.0671364590016</v>
      </c>
      <c r="M176" s="41">
        <f>Vuosikate!M176-'6. Poistot'!M176</f>
        <v>-2919.6860389050216</v>
      </c>
      <c r="N176" s="41">
        <f>Vuosikate!N176-'6. Poistot'!N176</f>
        <v>-4009.4074812445069</v>
      </c>
      <c r="O176" s="41">
        <f>Vuosikate!O176-'6. Poistot'!O176</f>
        <v>-4193.0515262074314</v>
      </c>
      <c r="P176" s="41">
        <f>Vuosikate!P176-'6. Poistot'!P176</f>
        <v>-2885.6503723864844</v>
      </c>
      <c r="T176" s="34">
        <v>536</v>
      </c>
      <c r="U176" s="88" t="s">
        <v>490</v>
      </c>
      <c r="V176" s="41" t="e">
        <f>C176/'1. Väestöennuste'!E176*1000</f>
        <v>#REF!</v>
      </c>
      <c r="W176" s="41">
        <f>D176/'1. Väestöennuste'!F176*1000</f>
        <v>-15.055706112616681</v>
      </c>
      <c r="X176" s="41">
        <f>E176/'1. Väestöennuste'!G176*1000</f>
        <v>-134.80583398355441</v>
      </c>
      <c r="Y176" s="41">
        <f>F176/'1. Väestöennuste'!H176*1000</f>
        <v>-46.619142780445614</v>
      </c>
      <c r="Z176" s="41">
        <f>G176/'1. Väestöennuste'!I176*1000</f>
        <v>-172.0946682778744</v>
      </c>
      <c r="AA176" s="41">
        <f>H176/'1. Väestöennuste'!J176*1000</f>
        <v>398.34359900413818</v>
      </c>
      <c r="AB176" s="41">
        <f>I176/'1. Väestöennuste'!K176*1000</f>
        <v>236.2905040729573</v>
      </c>
      <c r="AC176" s="41">
        <f>J176/'1. Väestöennuste'!L176*1000</f>
        <v>289.48940639378088</v>
      </c>
      <c r="AD176" s="41">
        <f>K176/'1. Väestöennuste'!M176*1000</f>
        <v>296.79792231611754</v>
      </c>
      <c r="AE176" s="41">
        <f>L176/'1. Väestöennuste'!N176*1000</f>
        <v>31.176207729062281</v>
      </c>
      <c r="AF176" s="41">
        <f>M176/'1. Väestöennuste'!O176*1000</f>
        <v>-81.712967420587773</v>
      </c>
      <c r="AG176" s="41">
        <f>N176/'1. Väestöennuste'!P176*1000</f>
        <v>-111.55215294765196</v>
      </c>
      <c r="AH176" s="41">
        <f>O176/'1. Väestöennuste'!Q176*1000</f>
        <v>-116.02566551945077</v>
      </c>
      <c r="AI176" s="41">
        <f>P176/'1. Väestöennuste'!R176*1000</f>
        <v>-79.446351312881561</v>
      </c>
    </row>
    <row r="177" spans="1:35" x14ac:dyDescent="0.2">
      <c r="A177" s="34">
        <v>538</v>
      </c>
      <c r="B177" s="88" t="s">
        <v>491</v>
      </c>
      <c r="C177" s="41" t="e">
        <f>Vuosikate!C177-'6. Poistot'!C177</f>
        <v>#REF!</v>
      </c>
      <c r="D177" s="41">
        <f>Vuosikate!D177-'6. Poistot'!D177</f>
        <v>-519</v>
      </c>
      <c r="E177" s="41">
        <f>Vuosikate!E177-'6. Poistot'!E177</f>
        <v>145</v>
      </c>
      <c r="F177" s="41">
        <f>Vuosikate!F177-'6. Poistot'!F177</f>
        <v>-895</v>
      </c>
      <c r="G177" s="41">
        <f>Vuosikate!G177-'6. Poistot'!G177</f>
        <v>-1583</v>
      </c>
      <c r="H177" s="41">
        <f>Vuosikate!H177-'6. Poistot'!H177</f>
        <v>3200.2740148460889</v>
      </c>
      <c r="I177" s="41">
        <f>Vuosikate!I177-'6. Poistot'!I177</f>
        <v>-83.297984740264837</v>
      </c>
      <c r="J177" s="41">
        <f>Vuosikate!J177-'6. Poistot'!J177</f>
        <v>-208.57140853818055</v>
      </c>
      <c r="K177" s="41">
        <f>Vuosikate!K177-'6. Poistot'!K177</f>
        <v>-762.58686896784161</v>
      </c>
      <c r="L177" s="41">
        <f>Vuosikate!L177-'6. Poistot'!L177</f>
        <v>-711.13802935111903</v>
      </c>
      <c r="M177" s="41">
        <f>Vuosikate!M177-'6. Poistot'!M177</f>
        <v>-1675.71160055053</v>
      </c>
      <c r="N177" s="41">
        <f>Vuosikate!N177-'6. Poistot'!N177</f>
        <v>-2026.6246795051752</v>
      </c>
      <c r="O177" s="41">
        <f>Vuosikate!O177-'6. Poistot'!O177</f>
        <v>-2322.352076673777</v>
      </c>
      <c r="P177" s="41">
        <f>Vuosikate!P177-'6. Poistot'!P177</f>
        <v>-2284.2790692883891</v>
      </c>
      <c r="T177" s="34">
        <v>538</v>
      </c>
      <c r="U177" s="88" t="s">
        <v>491</v>
      </c>
      <c r="V177" s="41" t="e">
        <f>C177/'1. Väestöennuste'!E177*1000</f>
        <v>#REF!</v>
      </c>
      <c r="W177" s="41">
        <f>D177/'1. Väestöennuste'!F177*1000</f>
        <v>-107.78816199376948</v>
      </c>
      <c r="X177" s="41">
        <f>E177/'1. Väestöennuste'!G177*1000</f>
        <v>30.126740078952835</v>
      </c>
      <c r="Y177" s="41">
        <f>F177/'1. Väestöennuste'!H177*1000</f>
        <v>-189.09782379040777</v>
      </c>
      <c r="Z177" s="41">
        <f>G177/'1. Väestöennuste'!I177*1000</f>
        <v>-335.73700954400846</v>
      </c>
      <c r="AA177" s="41">
        <f>H177/'1. Väestöennuste'!J177*1000</f>
        <v>681.92499783637095</v>
      </c>
      <c r="AB177" s="41">
        <f>I177/'1. Väestöennuste'!K177*1000</f>
        <v>-17.764552087921697</v>
      </c>
      <c r="AC177" s="41">
        <f>J177/'1. Väestöennuste'!L177*1000</f>
        <v>-44.912017342416135</v>
      </c>
      <c r="AD177" s="41">
        <f>K177/'1. Väestöennuste'!M177*1000</f>
        <v>-162.42531820401314</v>
      </c>
      <c r="AE177" s="41">
        <f>L177/'1. Väestöennuste'!N177*1000</f>
        <v>-154.15955546306503</v>
      </c>
      <c r="AF177" s="41">
        <f>M177/'1. Väestöennuste'!O177*1000</f>
        <v>-364.52286285632584</v>
      </c>
      <c r="AG177" s="41">
        <f>N177/'1. Väestöennuste'!P177*1000</f>
        <v>-442.39787808451763</v>
      </c>
      <c r="AH177" s="41">
        <f>O177/'1. Väestöennuste'!Q177*1000</f>
        <v>-508.50713305753823</v>
      </c>
      <c r="AI177" s="41">
        <f>P177/'1. Väestöennuste'!R177*1000</f>
        <v>-501.5983902697385</v>
      </c>
    </row>
    <row r="178" spans="1:35" x14ac:dyDescent="0.2">
      <c r="A178" s="34">
        <v>541</v>
      </c>
      <c r="B178" s="88" t="s">
        <v>492</v>
      </c>
      <c r="C178" s="41" t="e">
        <f>Vuosikate!C178-'6. Poistot'!C178</f>
        <v>#REF!</v>
      </c>
      <c r="D178" s="41">
        <f>Vuosikate!D178-'6. Poistot'!D178</f>
        <v>532</v>
      </c>
      <c r="E178" s="41">
        <f>Vuosikate!E178-'6. Poistot'!E178</f>
        <v>3534</v>
      </c>
      <c r="F178" s="41">
        <f>Vuosikate!F178-'6. Poistot'!F178</f>
        <v>1987</v>
      </c>
      <c r="G178" s="41">
        <f>Vuosikate!G178-'6. Poistot'!G178</f>
        <v>-1505</v>
      </c>
      <c r="H178" s="41">
        <f>Vuosikate!H178-'6. Poistot'!H178</f>
        <v>2686.628149554941</v>
      </c>
      <c r="I178" s="41">
        <f>Vuosikate!I178-'6. Poistot'!I178</f>
        <v>358.60054162529286</v>
      </c>
      <c r="J178" s="41">
        <f>Vuosikate!J178-'6. Poistot'!J178</f>
        <v>-874.88490015506886</v>
      </c>
      <c r="K178" s="41">
        <f>Vuosikate!K178-'6. Poistot'!K178</f>
        <v>871.50627991676447</v>
      </c>
      <c r="L178" s="41">
        <f>Vuosikate!L178-'6. Poistot'!L178</f>
        <v>-633.0748182392399</v>
      </c>
      <c r="M178" s="41">
        <f>Vuosikate!M178-'6. Poistot'!M178</f>
        <v>-2342.9294070304559</v>
      </c>
      <c r="N178" s="41">
        <f>Vuosikate!N178-'6. Poistot'!N178</f>
        <v>-2275.1917775624242</v>
      </c>
      <c r="O178" s="41">
        <f>Vuosikate!O178-'6. Poistot'!O178</f>
        <v>-2925.4075993276233</v>
      </c>
      <c r="P178" s="41">
        <f>Vuosikate!P178-'6. Poistot'!P178</f>
        <v>-1481.2732021600109</v>
      </c>
      <c r="T178" s="34">
        <v>541</v>
      </c>
      <c r="U178" s="88" t="s">
        <v>492</v>
      </c>
      <c r="V178" s="41" t="e">
        <f>C178/'1. Väestöennuste'!E178*1000</f>
        <v>#REF!</v>
      </c>
      <c r="W178" s="41">
        <f>D178/'1. Väestöennuste'!F178*1000</f>
        <v>52.517275419545904</v>
      </c>
      <c r="X178" s="41">
        <f>E178/'1. Väestöennuste'!G178*1000</f>
        <v>354.00180306521082</v>
      </c>
      <c r="Y178" s="41">
        <f>F178/'1. Väestöennuste'!H178*1000</f>
        <v>203.08667211774326</v>
      </c>
      <c r="Z178" s="41">
        <f>G178/'1. Väestöennuste'!I178*1000</f>
        <v>-157.55862646566166</v>
      </c>
      <c r="AA178" s="41">
        <f>H178/'1. Väestöennuste'!J178*1000</f>
        <v>282.77319751130841</v>
      </c>
      <c r="AB178" s="41">
        <f>I178/'1. Väestöennuste'!K178*1000</f>
        <v>38.055878342915513</v>
      </c>
      <c r="AC178" s="41">
        <f>J178/'1. Väestöennuste'!L178*1000</f>
        <v>-94.653781256634076</v>
      </c>
      <c r="AD178" s="41">
        <f>K178/'1. Väestöennuste'!M178*1000</f>
        <v>95.45523328770696</v>
      </c>
      <c r="AE178" s="41">
        <f>L178/'1. Väestöennuste'!N178*1000</f>
        <v>-71.244071375111403</v>
      </c>
      <c r="AF178" s="41">
        <f>M178/'1. Väestöennuste'!O178*1000</f>
        <v>-267.88582289394645</v>
      </c>
      <c r="AG178" s="41">
        <f>N178/'1. Väestöennuste'!P178*1000</f>
        <v>-264.12720891135643</v>
      </c>
      <c r="AH178" s="41">
        <f>O178/'1. Väestöennuste'!Q178*1000</f>
        <v>-344.57097754153398</v>
      </c>
      <c r="AI178" s="41">
        <f>P178/'1. Väestöennuste'!R178*1000</f>
        <v>-176.93182061156364</v>
      </c>
    </row>
    <row r="179" spans="1:35" x14ac:dyDescent="0.2">
      <c r="A179" s="34">
        <v>543</v>
      </c>
      <c r="B179" s="88" t="s">
        <v>493</v>
      </c>
      <c r="C179" s="41" t="e">
        <f>Vuosikate!C179-'6. Poistot'!C179</f>
        <v>#REF!</v>
      </c>
      <c r="D179" s="41">
        <f>Vuosikate!D179-'6. Poistot'!D179</f>
        <v>6107</v>
      </c>
      <c r="E179" s="41">
        <f>Vuosikate!E179-'6. Poistot'!E179</f>
        <v>5344</v>
      </c>
      <c r="F179" s="41">
        <f>Vuosikate!F179-'6. Poistot'!F179</f>
        <v>-12106</v>
      </c>
      <c r="G179" s="41">
        <f>Vuosikate!G179-'6. Poistot'!G179</f>
        <v>-15750</v>
      </c>
      <c r="H179" s="41">
        <f>Vuosikate!H179-'6. Poistot'!H179</f>
        <v>10071.453792031592</v>
      </c>
      <c r="I179" s="41">
        <f>Vuosikate!I179-'6. Poistot'!I179</f>
        <v>16853.211097399322</v>
      </c>
      <c r="J179" s="41">
        <f>Vuosikate!J179-'6. Poistot'!J179</f>
        <v>9535.0739459960532</v>
      </c>
      <c r="K179" s="41">
        <f>Vuosikate!K179-'6. Poistot'!K179</f>
        <v>23448.06927779525</v>
      </c>
      <c r="L179" s="41">
        <f>Vuosikate!L179-'6. Poistot'!L179</f>
        <v>4381.9281318149297</v>
      </c>
      <c r="M179" s="41">
        <f>Vuosikate!M179-'6. Poistot'!M179</f>
        <v>13259.047107031107</v>
      </c>
      <c r="N179" s="41">
        <f>Vuosikate!N179-'6. Poistot'!N179</f>
        <v>10700.481021735595</v>
      </c>
      <c r="O179" s="41">
        <f>Vuosikate!O179-'6. Poistot'!O179</f>
        <v>10374.940500684879</v>
      </c>
      <c r="P179" s="41">
        <f>Vuosikate!P179-'6. Poistot'!P179</f>
        <v>13141.24542734323</v>
      </c>
      <c r="T179" s="34">
        <v>543</v>
      </c>
      <c r="U179" s="88" t="s">
        <v>493</v>
      </c>
      <c r="V179" s="41" t="e">
        <f>C179/'1. Väestöennuste'!E179*1000</f>
        <v>#REF!</v>
      </c>
      <c r="W179" s="41">
        <f>D179/'1. Väestöennuste'!F179*1000</f>
        <v>145.3701499642942</v>
      </c>
      <c r="X179" s="41">
        <f>E179/'1. Väestöennuste'!G179*1000</f>
        <v>126.75822481557911</v>
      </c>
      <c r="Y179" s="41">
        <f>F179/'1. Väestöennuste'!H179*1000</f>
        <v>-283.74545880698463</v>
      </c>
      <c r="Z179" s="41">
        <f>G179/'1. Väestöennuste'!I179*1000</f>
        <v>-366.33870630102575</v>
      </c>
      <c r="AA179" s="41">
        <f>H179/'1. Väestöennuste'!J179*1000</f>
        <v>230.66334864831992</v>
      </c>
      <c r="AB179" s="41">
        <f>I179/'1. Väestöennuste'!K179*1000</f>
        <v>381.92515007590191</v>
      </c>
      <c r="AC179" s="41">
        <f>J179/'1. Väestöennuste'!L179*1000</f>
        <v>214.47374929137732</v>
      </c>
      <c r="AD179" s="41">
        <f>K179/'1. Väestöennuste'!M179*1000</f>
        <v>523.56970587909461</v>
      </c>
      <c r="AE179" s="41">
        <f>L179/'1. Väestöennuste'!N179*1000</f>
        <v>97.056971113115296</v>
      </c>
      <c r="AF179" s="41">
        <f>M179/'1. Väestöennuste'!O179*1000</f>
        <v>291.48450375991706</v>
      </c>
      <c r="AG179" s="41">
        <f>N179/'1. Väestöennuste'!P179*1000</f>
        <v>233.53297734036656</v>
      </c>
      <c r="AH179" s="41">
        <f>O179/'1. Väestöennuste'!Q179*1000</f>
        <v>224.84808852422694</v>
      </c>
      <c r="AI179" s="41">
        <f>P179/'1. Väestöennuste'!R179*1000</f>
        <v>282.9177254051375</v>
      </c>
    </row>
    <row r="180" spans="1:35" x14ac:dyDescent="0.2">
      <c r="A180" s="34">
        <v>545</v>
      </c>
      <c r="B180" s="88" t="s">
        <v>494</v>
      </c>
      <c r="C180" s="41" t="e">
        <f>Vuosikate!C180-'6. Poistot'!C180</f>
        <v>#REF!</v>
      </c>
      <c r="D180" s="41">
        <f>Vuosikate!D180-'6. Poistot'!D180</f>
        <v>4063</v>
      </c>
      <c r="E180" s="41">
        <f>Vuosikate!E180-'6. Poistot'!E180</f>
        <v>5648</v>
      </c>
      <c r="F180" s="41">
        <f>Vuosikate!F180-'6. Poistot'!F180</f>
        <v>1724</v>
      </c>
      <c r="G180" s="41">
        <f>Vuosikate!G180-'6. Poistot'!G180</f>
        <v>1674</v>
      </c>
      <c r="H180" s="41">
        <f>Vuosikate!H180-'6. Poistot'!H180</f>
        <v>5352.5952772706514</v>
      </c>
      <c r="I180" s="41">
        <f>Vuosikate!I180-'6. Poistot'!I180</f>
        <v>7631.3604234330978</v>
      </c>
      <c r="J180" s="41">
        <f>Vuosikate!J180-'6. Poistot'!J180</f>
        <v>5765.994996213798</v>
      </c>
      <c r="K180" s="41">
        <f>Vuosikate!K180-'6. Poistot'!K180</f>
        <v>5867.2391053914262</v>
      </c>
      <c r="L180" s="41">
        <f>Vuosikate!L180-'6. Poistot'!L180</f>
        <v>4317.6697404003417</v>
      </c>
      <c r="M180" s="41">
        <f>Vuosikate!M180-'6. Poistot'!M180</f>
        <v>4256.2065850241743</v>
      </c>
      <c r="N180" s="41">
        <f>Vuosikate!N180-'6. Poistot'!N180</f>
        <v>3151.8970221742602</v>
      </c>
      <c r="O180" s="41">
        <f>Vuosikate!O180-'6. Poistot'!O180</f>
        <v>3451.1512908980985</v>
      </c>
      <c r="P180" s="41">
        <f>Vuosikate!P180-'6. Poistot'!P180</f>
        <v>3848.4931604895628</v>
      </c>
      <c r="T180" s="34">
        <v>545</v>
      </c>
      <c r="U180" s="88" t="s">
        <v>494</v>
      </c>
      <c r="V180" s="41" t="e">
        <f>C180/'1. Väestöennuste'!E180*1000</f>
        <v>#REF!</v>
      </c>
      <c r="W180" s="41">
        <f>D180/'1. Väestöennuste'!F180*1000</f>
        <v>430.44814069287003</v>
      </c>
      <c r="X180" s="41">
        <f>E180/'1. Väestöennuste'!G180*1000</f>
        <v>594.08856631955393</v>
      </c>
      <c r="Y180" s="41">
        <f>F180/'1. Väestöennuste'!H180*1000</f>
        <v>182.02935276106007</v>
      </c>
      <c r="Z180" s="41">
        <f>G180/'1. Väestöennuste'!I180*1000</f>
        <v>176.60090726869922</v>
      </c>
      <c r="AA180" s="41">
        <f>H180/'1. Väestöennuste'!J180*1000</f>
        <v>560.01206081509224</v>
      </c>
      <c r="AB180" s="41">
        <f>I180/'1. Väestöennuste'!K180*1000</f>
        <v>798.09249356129453</v>
      </c>
      <c r="AC180" s="41">
        <f>J180/'1. Väestöennuste'!L180*1000</f>
        <v>601.62719075686539</v>
      </c>
      <c r="AD180" s="41">
        <f>K180/'1. Väestöennuste'!M180*1000</f>
        <v>609.8367223148764</v>
      </c>
      <c r="AE180" s="41">
        <f>L180/'1. Väestöennuste'!N180*1000</f>
        <v>449.19576991264478</v>
      </c>
      <c r="AF180" s="41">
        <f>M180/'1. Väestöennuste'!O180*1000</f>
        <v>442.34115412847376</v>
      </c>
      <c r="AG180" s="41">
        <f>N180/'1. Väestöennuste'!P180*1000</f>
        <v>327.36778377381182</v>
      </c>
      <c r="AH180" s="41">
        <f>O180/'1. Väestöennuste'!Q180*1000</f>
        <v>358.22620831410615</v>
      </c>
      <c r="AI180" s="41">
        <f>P180/'1. Väestöennuste'!R180*1000</f>
        <v>399.30412538800198</v>
      </c>
    </row>
    <row r="181" spans="1:35" x14ac:dyDescent="0.2">
      <c r="A181" s="34">
        <v>560</v>
      </c>
      <c r="B181" s="88" t="s">
        <v>495</v>
      </c>
      <c r="C181" s="41" t="e">
        <f>Vuosikate!C181-'6. Poistot'!C181</f>
        <v>#REF!</v>
      </c>
      <c r="D181" s="41">
        <f>Vuosikate!D181-'6. Poistot'!D181</f>
        <v>2539</v>
      </c>
      <c r="E181" s="41">
        <f>Vuosikate!E181-'6. Poistot'!E181</f>
        <v>2083</v>
      </c>
      <c r="F181" s="41">
        <f>Vuosikate!F181-'6. Poistot'!F181</f>
        <v>-1433</v>
      </c>
      <c r="G181" s="41">
        <f>Vuosikate!G181-'6. Poistot'!G181</f>
        <v>-3679</v>
      </c>
      <c r="H181" s="41">
        <f>Vuosikate!H181-'6. Poistot'!H181</f>
        <v>6097.4902644286994</v>
      </c>
      <c r="I181" s="41">
        <f>Vuosikate!I181-'6. Poistot'!I181</f>
        <v>3471.641837459335</v>
      </c>
      <c r="J181" s="41">
        <f>Vuosikate!J181-'6. Poistot'!J181</f>
        <v>-659.16184949947547</v>
      </c>
      <c r="K181" s="41">
        <f>Vuosikate!K181-'6. Poistot'!K181</f>
        <v>320.51574459605763</v>
      </c>
      <c r="L181" s="41">
        <f>Vuosikate!L181-'6. Poistot'!L181</f>
        <v>-1589.720202908622</v>
      </c>
      <c r="M181" s="41">
        <f>Vuosikate!M181-'6. Poistot'!M181</f>
        <v>-3519.7200251277609</v>
      </c>
      <c r="N181" s="41">
        <f>Vuosikate!N181-'6. Poistot'!N181</f>
        <v>-3758.1056425008246</v>
      </c>
      <c r="O181" s="41">
        <f>Vuosikate!O181-'6. Poistot'!O181</f>
        <v>-3479.0417281346968</v>
      </c>
      <c r="P181" s="41">
        <f>Vuosikate!P181-'6. Poistot'!P181</f>
        <v>-2161.5596668440721</v>
      </c>
      <c r="T181" s="34">
        <v>560</v>
      </c>
      <c r="U181" s="88" t="s">
        <v>495</v>
      </c>
      <c r="V181" s="41" t="e">
        <f>C181/'1. Väestöennuste'!E181*1000</f>
        <v>#REF!</v>
      </c>
      <c r="W181" s="41">
        <f>D181/'1. Väestöennuste'!F181*1000</f>
        <v>155.96781129061981</v>
      </c>
      <c r="X181" s="41">
        <f>E181/'1. Väestöennuste'!G181*1000</f>
        <v>128.4137846002096</v>
      </c>
      <c r="Y181" s="41">
        <f>F181/'1. Väestöennuste'!H181*1000</f>
        <v>-89.055994033932009</v>
      </c>
      <c r="Z181" s="41">
        <f>G181/'1. Väestöennuste'!I181*1000</f>
        <v>-229.89439480097482</v>
      </c>
      <c r="AA181" s="41">
        <f>H181/'1. Väestöennuste'!J181*1000</f>
        <v>383.92458534370354</v>
      </c>
      <c r="AB181" s="41">
        <f>I181/'1. Väestöennuste'!K181*1000</f>
        <v>219.61297048705308</v>
      </c>
      <c r="AC181" s="41">
        <f>J181/'1. Väestöennuste'!L181*1000</f>
        <v>-41.8914426119781</v>
      </c>
      <c r="AD181" s="41">
        <f>K181/'1. Väestöennuste'!M181*1000</f>
        <v>20.455405233011525</v>
      </c>
      <c r="AE181" s="41">
        <f>L181/'1. Väestöennuste'!N181*1000</f>
        <v>-102.41062957602409</v>
      </c>
      <c r="AF181" s="41">
        <f>M181/'1. Väestöennuste'!O181*1000</f>
        <v>-228.06453865922123</v>
      </c>
      <c r="AG181" s="41">
        <f>N181/'1. Väestöennuste'!P181*1000</f>
        <v>-244.85963268835187</v>
      </c>
      <c r="AH181" s="41">
        <f>O181/'1. Väestöennuste'!Q181*1000</f>
        <v>-227.89478109096663</v>
      </c>
      <c r="AI181" s="41">
        <f>P181/'1. Väestöennuste'!R181*1000</f>
        <v>-142.35772305348209</v>
      </c>
    </row>
    <row r="182" spans="1:35" x14ac:dyDescent="0.2">
      <c r="A182" s="34">
        <v>561</v>
      </c>
      <c r="B182" s="88" t="s">
        <v>496</v>
      </c>
      <c r="C182" s="41" t="e">
        <f>Vuosikate!C182-'6. Poistot'!C182</f>
        <v>#REF!</v>
      </c>
      <c r="D182" s="41">
        <f>Vuosikate!D182-'6. Poistot'!D182</f>
        <v>54</v>
      </c>
      <c r="E182" s="41">
        <f>Vuosikate!E182-'6. Poistot'!E182</f>
        <v>-448</v>
      </c>
      <c r="F182" s="41">
        <f>Vuosikate!F182-'6. Poistot'!F182</f>
        <v>-1347</v>
      </c>
      <c r="G182" s="41">
        <f>Vuosikate!G182-'6. Poistot'!G182</f>
        <v>4</v>
      </c>
      <c r="H182" s="41">
        <f>Vuosikate!H182-'6. Poistot'!H182</f>
        <v>730.74318259368465</v>
      </c>
      <c r="I182" s="41">
        <f>Vuosikate!I182-'6. Poistot'!I182</f>
        <v>536.39104226430459</v>
      </c>
      <c r="J182" s="41">
        <f>Vuosikate!J182-'6. Poistot'!J182</f>
        <v>63.299755607701741</v>
      </c>
      <c r="K182" s="41">
        <f>Vuosikate!K182-'6. Poistot'!K182</f>
        <v>53.58813121047325</v>
      </c>
      <c r="L182" s="41">
        <f>Vuosikate!L182-'6. Poistot'!L182</f>
        <v>153.72868875098982</v>
      </c>
      <c r="M182" s="41">
        <f>Vuosikate!M182-'6. Poistot'!M182</f>
        <v>-178.98989643595019</v>
      </c>
      <c r="N182" s="41">
        <f>Vuosikate!N182-'6. Poistot'!N182</f>
        <v>-479.19059407762529</v>
      </c>
      <c r="O182" s="41">
        <f>Vuosikate!O182-'6. Poistot'!O182</f>
        <v>-419.31186814545515</v>
      </c>
      <c r="P182" s="41">
        <f>Vuosikate!P182-'6. Poistot'!P182</f>
        <v>-451.31696801937375</v>
      </c>
      <c r="T182" s="34">
        <v>561</v>
      </c>
      <c r="U182" s="88" t="s">
        <v>496</v>
      </c>
      <c r="V182" s="41" t="e">
        <f>C182/'1. Väestöennuste'!E182*1000</f>
        <v>#REF!</v>
      </c>
      <c r="W182" s="41">
        <f>D182/'1. Väestöennuste'!F182*1000</f>
        <v>39.618488628026412</v>
      </c>
      <c r="X182" s="41">
        <f>E182/'1. Väestöennuste'!G182*1000</f>
        <v>-324.16787264833573</v>
      </c>
      <c r="Y182" s="41">
        <f>F182/'1. Väestöennuste'!H182*1000</f>
        <v>-987.53665689149557</v>
      </c>
      <c r="Z182" s="41">
        <f>G182/'1. Väestöennuste'!I182*1000</f>
        <v>3.0097817908201656</v>
      </c>
      <c r="AA182" s="41">
        <f>H182/'1. Väestöennuste'!J182*1000</f>
        <v>547.78349519766471</v>
      </c>
      <c r="AB182" s="41">
        <f>I182/'1. Väestöennuste'!K182*1000</f>
        <v>401.19000917300269</v>
      </c>
      <c r="AC182" s="41">
        <f>J182/'1. Väestöennuste'!L182*1000</f>
        <v>48.063595753759863</v>
      </c>
      <c r="AD182" s="41">
        <f>K182/'1. Väestöennuste'!M182*1000</f>
        <v>40.751430578306653</v>
      </c>
      <c r="AE182" s="41">
        <f>L182/'1. Väestöennuste'!N182*1000</f>
        <v>117.35014408472504</v>
      </c>
      <c r="AF182" s="41">
        <f>M182/'1. Väestöennuste'!O182*1000</f>
        <v>-137.15700876318022</v>
      </c>
      <c r="AG182" s="41">
        <f>N182/'1. Väestöennuste'!P182*1000</f>
        <v>-368.32482250393952</v>
      </c>
      <c r="AH182" s="41">
        <f>O182/'1. Väestöennuste'!Q182*1000</f>
        <v>-323.04458254657567</v>
      </c>
      <c r="AI182" s="41">
        <f>P182/'1. Väestöennuste'!R182*1000</f>
        <v>-348.50731121187164</v>
      </c>
    </row>
    <row r="183" spans="1:35" x14ac:dyDescent="0.2">
      <c r="A183" s="34">
        <v>562</v>
      </c>
      <c r="B183" s="88" t="s">
        <v>497</v>
      </c>
      <c r="C183" s="41" t="e">
        <f>Vuosikate!C183-'6. Poistot'!C183</f>
        <v>#REF!</v>
      </c>
      <c r="D183" s="41">
        <f>Vuosikate!D183-'6. Poistot'!D183</f>
        <v>62</v>
      </c>
      <c r="E183" s="41">
        <f>Vuosikate!E183-'6. Poistot'!E183</f>
        <v>1451</v>
      </c>
      <c r="F183" s="41">
        <f>Vuosikate!F183-'6. Poistot'!F183</f>
        <v>-1491</v>
      </c>
      <c r="G183" s="41">
        <f>Vuosikate!G183-'6. Poistot'!G183</f>
        <v>-2411</v>
      </c>
      <c r="H183" s="41">
        <f>Vuosikate!H183-'6. Poistot'!H183</f>
        <v>2203.5307824693155</v>
      </c>
      <c r="I183" s="41">
        <f>Vuosikate!I183-'6. Poistot'!I183</f>
        <v>-521.27287848296282</v>
      </c>
      <c r="J183" s="41">
        <f>Vuosikate!J183-'6. Poistot'!J183</f>
        <v>1369.6689483333994</v>
      </c>
      <c r="K183" s="41">
        <f>Vuosikate!K183-'6. Poistot'!K183</f>
        <v>1513.8167209019257</v>
      </c>
      <c r="L183" s="41">
        <f>Vuosikate!L183-'6. Poistot'!L183</f>
        <v>-2120.3758972048527</v>
      </c>
      <c r="M183" s="41">
        <f>Vuosikate!M183-'6. Poistot'!M183</f>
        <v>-1635.6769703293676</v>
      </c>
      <c r="N183" s="41">
        <f>Vuosikate!N183-'6. Poistot'!N183</f>
        <v>-1077.5705494751146</v>
      </c>
      <c r="O183" s="41">
        <f>Vuosikate!O183-'6. Poistot'!O183</f>
        <v>-1338.0910634178708</v>
      </c>
      <c r="P183" s="41">
        <f>Vuosikate!P183-'6. Poistot'!P183</f>
        <v>-365.69746105786544</v>
      </c>
      <c r="T183" s="34">
        <v>562</v>
      </c>
      <c r="U183" s="88" t="s">
        <v>497</v>
      </c>
      <c r="V183" s="41" t="e">
        <f>C183/'1. Väestöennuste'!E183*1000</f>
        <v>#REF!</v>
      </c>
      <c r="W183" s="41">
        <f>D183/'1. Väestöennuste'!F183*1000</f>
        <v>6.6580756013745699</v>
      </c>
      <c r="X183" s="41">
        <f>E183/'1. Väestöennuste'!G183*1000</f>
        <v>156.27355950457726</v>
      </c>
      <c r="Y183" s="41">
        <f>F183/'1. Väestöennuste'!H183*1000</f>
        <v>-161.69612840255937</v>
      </c>
      <c r="Z183" s="41">
        <f>G183/'1. Väestöennuste'!I183*1000</f>
        <v>-263.26708888403584</v>
      </c>
      <c r="AA183" s="41">
        <f>H183/'1. Väestöennuste'!J183*1000</f>
        <v>244.61931421728636</v>
      </c>
      <c r="AB183" s="41">
        <f>I183/'1. Väestöennuste'!K183*1000</f>
        <v>-58.061135941519588</v>
      </c>
      <c r="AC183" s="41">
        <f>J183/'1. Väestöennuste'!L183*1000</f>
        <v>153.29255157620585</v>
      </c>
      <c r="AD183" s="41">
        <f>K183/'1. Väestöennuste'!M183*1000</f>
        <v>171.26560933385289</v>
      </c>
      <c r="AE183" s="41">
        <f>L183/'1. Väestöennuste'!N183*1000</f>
        <v>-244.19853704996575</v>
      </c>
      <c r="AF183" s="41">
        <f>M183/'1. Väestöennuste'!O183*1000</f>
        <v>-189.90792642858094</v>
      </c>
      <c r="AG183" s="41">
        <f>N183/'1. Väestöennuste'!P183*1000</f>
        <v>-126.10538905501633</v>
      </c>
      <c r="AH183" s="41">
        <f>O183/'1. Väestöennuste'!Q183*1000</f>
        <v>-157.79375747852251</v>
      </c>
      <c r="AI183" s="41">
        <f>P183/'1. Väestöennuste'!R183*1000</f>
        <v>-43.437161308690513</v>
      </c>
    </row>
    <row r="184" spans="1:35" x14ac:dyDescent="0.2">
      <c r="A184" s="34">
        <v>563</v>
      </c>
      <c r="B184" s="88" t="s">
        <v>498</v>
      </c>
      <c r="C184" s="41" t="e">
        <f>Vuosikate!C184-'6. Poistot'!C184</f>
        <v>#REF!</v>
      </c>
      <c r="D184" s="41">
        <f>Vuosikate!D184-'6. Poistot'!D184</f>
        <v>777</v>
      </c>
      <c r="E184" s="41">
        <f>Vuosikate!E184-'6. Poistot'!E184</f>
        <v>718</v>
      </c>
      <c r="F184" s="41">
        <f>Vuosikate!F184-'6. Poistot'!F184</f>
        <v>-2561</v>
      </c>
      <c r="G184" s="41">
        <f>Vuosikate!G184-'6. Poistot'!G184</f>
        <v>-1473</v>
      </c>
      <c r="H184" s="41">
        <f>Vuosikate!H184-'6. Poistot'!H184</f>
        <v>2344.5390686318788</v>
      </c>
      <c r="I184" s="41">
        <f>Vuosikate!I184-'6. Poistot'!I184</f>
        <v>-88.511417701692153</v>
      </c>
      <c r="J184" s="41">
        <f>Vuosikate!J184-'6. Poistot'!J184</f>
        <v>-4105.2317830816646</v>
      </c>
      <c r="K184" s="41">
        <f>Vuosikate!K184-'6. Poistot'!K184</f>
        <v>92.475368081239594</v>
      </c>
      <c r="L184" s="41">
        <f>Vuosikate!L184-'6. Poistot'!L184</f>
        <v>-881.89449410689144</v>
      </c>
      <c r="M184" s="41">
        <f>Vuosikate!M184-'6. Poistot'!M184</f>
        <v>-3632.8800124462623</v>
      </c>
      <c r="N184" s="41">
        <f>Vuosikate!N184-'6. Poistot'!N184</f>
        <v>-3470.3633528757719</v>
      </c>
      <c r="O184" s="41">
        <f>Vuosikate!O184-'6. Poistot'!O184</f>
        <v>-3361.0187538220625</v>
      </c>
      <c r="P184" s="41">
        <f>Vuosikate!P184-'6. Poistot'!P184</f>
        <v>-2474.8409689295618</v>
      </c>
      <c r="T184" s="34">
        <v>563</v>
      </c>
      <c r="U184" s="88" t="s">
        <v>498</v>
      </c>
      <c r="V184" s="41" t="e">
        <f>C184/'1. Väestöennuste'!E184*1000</f>
        <v>#REF!</v>
      </c>
      <c r="W184" s="41">
        <f>D184/'1. Väestöennuste'!F184*1000</f>
        <v>103.40697364918819</v>
      </c>
      <c r="X184" s="41">
        <f>E184/'1. Väestöennuste'!G184*1000</f>
        <v>96.092077087794436</v>
      </c>
      <c r="Y184" s="41">
        <f>F184/'1. Väestöennuste'!H184*1000</f>
        <v>-344.68371467025571</v>
      </c>
      <c r="Z184" s="41">
        <f>G184/'1. Väestöennuste'!I184*1000</f>
        <v>-202.11306256860593</v>
      </c>
      <c r="AA184" s="41">
        <f>H184/'1. Väestöennuste'!J184*1000</f>
        <v>327.67841630075173</v>
      </c>
      <c r="AB184" s="41">
        <f>I184/'1. Väestöennuste'!K184*1000</f>
        <v>-12.462886187227845</v>
      </c>
      <c r="AC184" s="41">
        <f>J184/'1. Väestöennuste'!L184*1000</f>
        <v>-584.37463104365327</v>
      </c>
      <c r="AD184" s="41">
        <f>K184/'1. Väestöennuste'!M184*1000</f>
        <v>13.252417323192834</v>
      </c>
      <c r="AE184" s="41">
        <f>L184/'1. Väestöennuste'!N184*1000</f>
        <v>-129.27213340763581</v>
      </c>
      <c r="AF184" s="41">
        <f>M184/'1. Väestöennuste'!O184*1000</f>
        <v>-538.84307511810482</v>
      </c>
      <c r="AG184" s="41">
        <f>N184/'1. Väestöennuste'!P184*1000</f>
        <v>-520.84096546237015</v>
      </c>
      <c r="AH184" s="41">
        <f>O184/'1. Väestöennuste'!Q184*1000</f>
        <v>-510.32777920164926</v>
      </c>
      <c r="AI184" s="41">
        <f>P184/'1. Väestöennuste'!R184*1000</f>
        <v>-379.98479486097983</v>
      </c>
    </row>
    <row r="185" spans="1:35" x14ac:dyDescent="0.2">
      <c r="A185" s="34">
        <v>564</v>
      </c>
      <c r="B185" s="88" t="s">
        <v>499</v>
      </c>
      <c r="C185" s="41" t="e">
        <f>Vuosikate!C185-'6. Poistot'!C185</f>
        <v>#REF!</v>
      </c>
      <c r="D185" s="41">
        <f>Vuosikate!D185-'6. Poistot'!D185</f>
        <v>-4716</v>
      </c>
      <c r="E185" s="41">
        <f>Vuosikate!E185-'6. Poistot'!E185</f>
        <v>38523</v>
      </c>
      <c r="F185" s="41">
        <f>Vuosikate!F185-'6. Poistot'!F185</f>
        <v>-23540</v>
      </c>
      <c r="G185" s="41">
        <f>Vuosikate!G185-'6. Poistot'!G185</f>
        <v>-44363</v>
      </c>
      <c r="H185" s="41">
        <f>Vuosikate!H185-'6. Poistot'!H185</f>
        <v>12600.374998799816</v>
      </c>
      <c r="I185" s="41">
        <f>Vuosikate!I185-'6. Poistot'!I185</f>
        <v>27512.417030619938</v>
      </c>
      <c r="J185" s="41">
        <f>Vuosikate!J185-'6. Poistot'!J185</f>
        <v>161444.0395928541</v>
      </c>
      <c r="K185" s="41">
        <f>Vuosikate!K185-'6. Poistot'!K185</f>
        <v>10624.350751787118</v>
      </c>
      <c r="L185" s="41">
        <f>Vuosikate!L185-'6. Poistot'!L185</f>
        <v>-25701.527522245517</v>
      </c>
      <c r="M185" s="41">
        <f>Vuosikate!M185-'6. Poistot'!M185</f>
        <v>-77354.007416271459</v>
      </c>
      <c r="N185" s="41">
        <f>Vuosikate!N185-'6. Poistot'!N185</f>
        <v>-71681.323550382032</v>
      </c>
      <c r="O185" s="41">
        <f>Vuosikate!O185-'6. Poistot'!O185</f>
        <v>-71328.852390908723</v>
      </c>
      <c r="P185" s="41">
        <f>Vuosikate!P185-'6. Poistot'!P185</f>
        <v>-65737.547194899904</v>
      </c>
      <c r="T185" s="34">
        <v>564</v>
      </c>
      <c r="U185" s="88" t="s">
        <v>499</v>
      </c>
      <c r="V185" s="41" t="e">
        <f>C185/'1. Väestöennuste'!E185*1000</f>
        <v>#REF!</v>
      </c>
      <c r="W185" s="41">
        <f>D185/'1. Väestöennuste'!F185*1000</f>
        <v>-23.51814727267287</v>
      </c>
      <c r="X185" s="41">
        <f>E185/'1. Väestöennuste'!G185*1000</f>
        <v>190.88746841088152</v>
      </c>
      <c r="Y185" s="41">
        <f>F185/'1. Väestöennuste'!H185*1000</f>
        <v>-115.63760334435345</v>
      </c>
      <c r="Z185" s="41">
        <f>G185/'1. Väestöennuste'!I185*1000</f>
        <v>-215.88990164923669</v>
      </c>
      <c r="AA185" s="41">
        <f>H185/'1. Väestöennuste'!J185*1000</f>
        <v>60.775369338290801</v>
      </c>
      <c r="AB185" s="41">
        <f>I185/'1. Väestöennuste'!K185*1000</f>
        <v>131.29222495058451</v>
      </c>
      <c r="AC185" s="41">
        <f>J185/'1. Väestöennuste'!L185*1000</f>
        <v>762.07488195713017</v>
      </c>
      <c r="AD185" s="41">
        <f>K185/'1. Väestöennuste'!M185*1000</f>
        <v>49.500080378073825</v>
      </c>
      <c r="AE185" s="41">
        <f>L185/'1. Väestöennuste'!N185*1000</f>
        <v>-119.60039797224465</v>
      </c>
      <c r="AF185" s="41">
        <f>M185/'1. Väestöennuste'!O185*1000</f>
        <v>-357.29168648769041</v>
      </c>
      <c r="AG185" s="41">
        <f>N185/'1. Väestöennuste'!P185*1000</f>
        <v>-328.78626329193935</v>
      </c>
      <c r="AH185" s="41">
        <f>O185/'1. Väestöennuste'!Q185*1000</f>
        <v>-325.01094652888708</v>
      </c>
      <c r="AI185" s="41">
        <f>P185/'1. Väestöennuste'!R185*1000</f>
        <v>-297.66103770891118</v>
      </c>
    </row>
    <row r="186" spans="1:35" x14ac:dyDescent="0.2">
      <c r="A186" s="34">
        <v>576</v>
      </c>
      <c r="B186" s="88" t="s">
        <v>500</v>
      </c>
      <c r="C186" s="41" t="e">
        <f>Vuosikate!C186-'6. Poistot'!C186</f>
        <v>#REF!</v>
      </c>
      <c r="D186" s="41">
        <f>Vuosikate!D186-'6. Poistot'!D186</f>
        <v>-511</v>
      </c>
      <c r="E186" s="41">
        <f>Vuosikate!E186-'6. Poistot'!E186</f>
        <v>482</v>
      </c>
      <c r="F186" s="41">
        <f>Vuosikate!F186-'6. Poistot'!F186</f>
        <v>-460</v>
      </c>
      <c r="G186" s="41">
        <f>Vuosikate!G186-'6. Poistot'!G186</f>
        <v>-589</v>
      </c>
      <c r="H186" s="41">
        <f>Vuosikate!H186-'6. Poistot'!H186</f>
        <v>1974.4762212534388</v>
      </c>
      <c r="I186" s="41">
        <f>Vuosikate!I186-'6. Poistot'!I186</f>
        <v>832.3422007483307</v>
      </c>
      <c r="J186" s="41">
        <f>Vuosikate!J186-'6. Poistot'!J186</f>
        <v>1492.4899612124573</v>
      </c>
      <c r="K186" s="41">
        <f>Vuosikate!K186-'6. Poistot'!K186</f>
        <v>242.41079869678333</v>
      </c>
      <c r="L186" s="41">
        <f>Vuosikate!L186-'6. Poistot'!L186</f>
        <v>61.188851834891693</v>
      </c>
      <c r="M186" s="41">
        <f>Vuosikate!M186-'6. Poistot'!M186</f>
        <v>-607.36258808619709</v>
      </c>
      <c r="N186" s="41">
        <f>Vuosikate!N186-'6. Poistot'!N186</f>
        <v>-680.3475058962274</v>
      </c>
      <c r="O186" s="41">
        <f>Vuosikate!O186-'6. Poistot'!O186</f>
        <v>-834.99897642507472</v>
      </c>
      <c r="P186" s="41">
        <f>Vuosikate!P186-'6. Poistot'!P186</f>
        <v>-569.90761872213807</v>
      </c>
      <c r="T186" s="34">
        <v>576</v>
      </c>
      <c r="U186" s="88" t="s">
        <v>500</v>
      </c>
      <c r="V186" s="41" t="e">
        <f>C186/'1. Väestöennuste'!E186*1000</f>
        <v>#REF!</v>
      </c>
      <c r="W186" s="41">
        <f>D186/'1. Väestöennuste'!F186*1000</f>
        <v>-166.2870159453303</v>
      </c>
      <c r="X186" s="41">
        <f>E186/'1. Väestöennuste'!G186*1000</f>
        <v>159.23356458539809</v>
      </c>
      <c r="Y186" s="41">
        <f>F186/'1. Väestöennuste'!H186*1000</f>
        <v>-155.2480593992575</v>
      </c>
      <c r="Z186" s="41">
        <f>G186/'1. Väestöennuste'!I186*1000</f>
        <v>-203.38397790055248</v>
      </c>
      <c r="AA186" s="41">
        <f>H186/'1. Väestöennuste'!J186*1000</f>
        <v>690.13499519519007</v>
      </c>
      <c r="AB186" s="41">
        <f>I186/'1. Väestöennuste'!K186*1000</f>
        <v>295.89129070328147</v>
      </c>
      <c r="AC186" s="41">
        <f>J186/'1. Väestöennuste'!L186*1000</f>
        <v>542.72362225907534</v>
      </c>
      <c r="AD186" s="41">
        <f>K186/'1. Väestöennuste'!M186*1000</f>
        <v>88.925458069252869</v>
      </c>
      <c r="AE186" s="41">
        <f>L186/'1. Väestöennuste'!N186*1000</f>
        <v>22.831661132422273</v>
      </c>
      <c r="AF186" s="41">
        <f>M186/'1. Väestöennuste'!O186*1000</f>
        <v>-229.88742925291336</v>
      </c>
      <c r="AG186" s="41">
        <f>N186/'1. Väestöennuste'!P186*1000</f>
        <v>-261.06964923109268</v>
      </c>
      <c r="AH186" s="41">
        <f>O186/'1. Väestöennuste'!Q186*1000</f>
        <v>-324.6496797920197</v>
      </c>
      <c r="AI186" s="41">
        <f>P186/'1. Väestöennuste'!R186*1000</f>
        <v>-224.46144888623004</v>
      </c>
    </row>
    <row r="187" spans="1:35" x14ac:dyDescent="0.2">
      <c r="A187" s="34">
        <v>577</v>
      </c>
      <c r="B187" s="88" t="s">
        <v>501</v>
      </c>
      <c r="C187" s="41" t="e">
        <f>Vuosikate!C187-'6. Poistot'!C187</f>
        <v>#REF!</v>
      </c>
      <c r="D187" s="41">
        <f>Vuosikate!D187-'6. Poistot'!D187</f>
        <v>954</v>
      </c>
      <c r="E187" s="41">
        <f>Vuosikate!E187-'6. Poistot'!E187</f>
        <v>3551</v>
      </c>
      <c r="F187" s="41">
        <f>Vuosikate!F187-'6. Poistot'!F187</f>
        <v>-1376</v>
      </c>
      <c r="G187" s="41">
        <f>Vuosikate!G187-'6. Poistot'!G187</f>
        <v>-2062</v>
      </c>
      <c r="H187" s="41">
        <f>Vuosikate!H187-'6. Poistot'!H187</f>
        <v>1745.7374185103799</v>
      </c>
      <c r="I187" s="41">
        <f>Vuosikate!I187-'6. Poistot'!I187</f>
        <v>-444.78860857302516</v>
      </c>
      <c r="J187" s="41">
        <f>Vuosikate!J187-'6. Poistot'!J187</f>
        <v>906.25610489242308</v>
      </c>
      <c r="K187" s="41">
        <f>Vuosikate!K187-'6. Poistot'!K187</f>
        <v>2544.1097030323076</v>
      </c>
      <c r="L187" s="41">
        <f>Vuosikate!L187-'6. Poistot'!L187</f>
        <v>-803.72102591276598</v>
      </c>
      <c r="M187" s="41">
        <f>Vuosikate!M187-'6. Poistot'!M187</f>
        <v>-776.5216058692622</v>
      </c>
      <c r="N187" s="41">
        <f>Vuosikate!N187-'6. Poistot'!N187</f>
        <v>-27.408863598016978</v>
      </c>
      <c r="O187" s="41">
        <f>Vuosikate!O187-'6. Poistot'!O187</f>
        <v>-8.1478852897748766</v>
      </c>
      <c r="P187" s="41">
        <f>Vuosikate!P187-'6. Poistot'!P187</f>
        <v>164.99620596726027</v>
      </c>
      <c r="T187" s="34">
        <v>577</v>
      </c>
      <c r="U187" s="88" t="s">
        <v>501</v>
      </c>
      <c r="V187" s="41" t="e">
        <f>C187/'1. Väestöennuste'!E187*1000</f>
        <v>#REF!</v>
      </c>
      <c r="W187" s="41">
        <f>D187/'1. Väestöennuste'!F187*1000</f>
        <v>89.050686082329889</v>
      </c>
      <c r="X187" s="41">
        <f>E187/'1. Väestöennuste'!G187*1000</f>
        <v>330.9412861136999</v>
      </c>
      <c r="Y187" s="41">
        <f>F187/'1. Väestöennuste'!H187*1000</f>
        <v>-127.03101920236337</v>
      </c>
      <c r="Z187" s="41">
        <f>G187/'1. Väestöennuste'!I187*1000</f>
        <v>-190.04608294930875</v>
      </c>
      <c r="AA187" s="41">
        <f>H187/'1. Väestöennuste'!J187*1000</f>
        <v>159.83678982882071</v>
      </c>
      <c r="AB187" s="41">
        <f>I187/'1. Väestöennuste'!K187*1000</f>
        <v>-40.285174220906185</v>
      </c>
      <c r="AC187" s="41">
        <f>J187/'1. Väestöennuste'!L187*1000</f>
        <v>81.366143373354561</v>
      </c>
      <c r="AD187" s="41">
        <f>K187/'1. Väestöennuste'!M187*1000</f>
        <v>226.4248578704439</v>
      </c>
      <c r="AE187" s="41">
        <f>L187/'1. Väestöennuste'!N187*1000</f>
        <v>-72.257576725053127</v>
      </c>
      <c r="AF187" s="41">
        <f>M187/'1. Väestöennuste'!O187*1000</f>
        <v>-69.499830472501756</v>
      </c>
      <c r="AG187" s="41">
        <f>N187/'1. Väestöennuste'!P187*1000</f>
        <v>-2.4428577181833315</v>
      </c>
      <c r="AH187" s="41">
        <f>O187/'1. Väestöennuste'!Q187*1000</f>
        <v>-0.72342051760409098</v>
      </c>
      <c r="AI187" s="41">
        <f>P187/'1. Väestöennuste'!R187*1000</f>
        <v>14.601434156394713</v>
      </c>
    </row>
    <row r="188" spans="1:35" x14ac:dyDescent="0.2">
      <c r="A188" s="34">
        <v>578</v>
      </c>
      <c r="B188" s="88" t="s">
        <v>502</v>
      </c>
      <c r="C188" s="41" t="e">
        <f>Vuosikate!C188-'6. Poistot'!C188</f>
        <v>#REF!</v>
      </c>
      <c r="D188" s="41">
        <f>Vuosikate!D188-'6. Poistot'!D188</f>
        <v>609</v>
      </c>
      <c r="E188" s="41">
        <f>Vuosikate!E188-'6. Poistot'!E188</f>
        <v>-522</v>
      </c>
      <c r="F188" s="41">
        <f>Vuosikate!F188-'6. Poistot'!F188</f>
        <v>-957</v>
      </c>
      <c r="G188" s="41">
        <f>Vuosikate!G188-'6. Poistot'!G188</f>
        <v>-531</v>
      </c>
      <c r="H188" s="41">
        <f>Vuosikate!H188-'6. Poistot'!H188</f>
        <v>-831.1183021666493</v>
      </c>
      <c r="I188" s="41">
        <f>Vuosikate!I188-'6. Poistot'!I188</f>
        <v>-69.046233481333047</v>
      </c>
      <c r="J188" s="41">
        <f>Vuosikate!J188-'6. Poistot'!J188</f>
        <v>-11.965144032321405</v>
      </c>
      <c r="K188" s="41">
        <f>Vuosikate!K188-'6. Poistot'!K188</f>
        <v>-599.2867486545407</v>
      </c>
      <c r="L188" s="41">
        <f>Vuosikate!L188-'6. Poistot'!L188</f>
        <v>-218.43364677845489</v>
      </c>
      <c r="M188" s="41">
        <f>Vuosikate!M188-'6. Poistot'!M188</f>
        <v>-1377.0328013791232</v>
      </c>
      <c r="N188" s="41">
        <f>Vuosikate!N188-'6. Poistot'!N188</f>
        <v>-1507.2711951047061</v>
      </c>
      <c r="O188" s="41">
        <f>Vuosikate!O188-'6. Poistot'!O188</f>
        <v>-1589.0822894661267</v>
      </c>
      <c r="P188" s="41">
        <f>Vuosikate!P188-'6. Poistot'!P188</f>
        <v>-1491.1273908095759</v>
      </c>
      <c r="T188" s="34">
        <v>578</v>
      </c>
      <c r="U188" s="88" t="s">
        <v>502</v>
      </c>
      <c r="V188" s="41" t="e">
        <f>C188/'1. Väestöennuste'!E188*1000</f>
        <v>#REF!</v>
      </c>
      <c r="W188" s="41">
        <f>D188/'1. Väestöennuste'!F188*1000</f>
        <v>174.44858206817531</v>
      </c>
      <c r="X188" s="41">
        <f>E188/'1. Väestöennuste'!G188*1000</f>
        <v>-151.96506550218342</v>
      </c>
      <c r="Y188" s="41">
        <f>F188/'1. Väestöennuste'!H188*1000</f>
        <v>-286.87050359712231</v>
      </c>
      <c r="Z188" s="41">
        <f>G188/'1. Väestöennuste'!I188*1000</f>
        <v>-162.23648029330889</v>
      </c>
      <c r="AA188" s="41">
        <f>H188/'1. Väestöennuste'!J188*1000</f>
        <v>-256.91446743945886</v>
      </c>
      <c r="AB188" s="41">
        <f>I188/'1. Väestöennuste'!K188*1000</f>
        <v>-21.692187710126625</v>
      </c>
      <c r="AC188" s="41">
        <f>J188/'1. Väestöennuste'!L188*1000</f>
        <v>-3.8597238813940016</v>
      </c>
      <c r="AD188" s="41">
        <f>K188/'1. Väestöennuste'!M188*1000</f>
        <v>-197.32853100248292</v>
      </c>
      <c r="AE188" s="41">
        <f>L188/'1. Väestöennuste'!N188*1000</f>
        <v>-71.570657528982608</v>
      </c>
      <c r="AF188" s="41">
        <f>M188/'1. Väestöennuste'!O188*1000</f>
        <v>-457.18220497314843</v>
      </c>
      <c r="AG188" s="41">
        <f>N188/'1. Väestöennuste'!P188*1000</f>
        <v>-506.81613823292071</v>
      </c>
      <c r="AH188" s="41">
        <f>O188/'1. Väestöennuste'!Q188*1000</f>
        <v>-540.87212030841613</v>
      </c>
      <c r="AI188" s="41">
        <f>P188/'1. Väestöennuste'!R188*1000</f>
        <v>-513.65049631745637</v>
      </c>
    </row>
    <row r="189" spans="1:35" x14ac:dyDescent="0.2">
      <c r="A189" s="34">
        <v>580</v>
      </c>
      <c r="B189" s="88" t="s">
        <v>503</v>
      </c>
      <c r="C189" s="41" t="e">
        <f>Vuosikate!C189-'6. Poistot'!C189</f>
        <v>#REF!</v>
      </c>
      <c r="D189" s="41">
        <f>Vuosikate!D189-'6. Poistot'!D189</f>
        <v>1260</v>
      </c>
      <c r="E189" s="41">
        <f>Vuosikate!E189-'6. Poistot'!E189</f>
        <v>1091</v>
      </c>
      <c r="F189" s="41">
        <f>Vuosikate!F189-'6. Poistot'!F189</f>
        <v>1769</v>
      </c>
      <c r="G189" s="41">
        <f>Vuosikate!G189-'6. Poistot'!G189</f>
        <v>-1703</v>
      </c>
      <c r="H189" s="41">
        <f>Vuosikate!H189-'6. Poistot'!H189</f>
        <v>-1224.1574145865961</v>
      </c>
      <c r="I189" s="41">
        <f>Vuosikate!I189-'6. Poistot'!I189</f>
        <v>155.79738627143092</v>
      </c>
      <c r="J189" s="41">
        <f>Vuosikate!J189-'6. Poistot'!J189</f>
        <v>-791.49491143639625</v>
      </c>
      <c r="K189" s="41">
        <f>Vuosikate!K189-'6. Poistot'!K189</f>
        <v>-180.18514372016693</v>
      </c>
      <c r="L189" s="41">
        <f>Vuosikate!L189-'6. Poistot'!L189</f>
        <v>-1502.4265936237794</v>
      </c>
      <c r="M189" s="41">
        <f>Vuosikate!M189-'6. Poistot'!M189</f>
        <v>-1935.5774141764934</v>
      </c>
      <c r="N189" s="41">
        <f>Vuosikate!N189-'6. Poistot'!N189</f>
        <v>-1952.3058418951766</v>
      </c>
      <c r="O189" s="41">
        <f>Vuosikate!O189-'6. Poistot'!O189</f>
        <v>-2176.799955780898</v>
      </c>
      <c r="P189" s="41">
        <f>Vuosikate!P189-'6. Poistot'!P189</f>
        <v>-1671.3973499101842</v>
      </c>
      <c r="T189" s="34">
        <v>580</v>
      </c>
      <c r="U189" s="88" t="s">
        <v>503</v>
      </c>
      <c r="V189" s="41" t="e">
        <f>C189/'1. Väestöennuste'!E189*1000</f>
        <v>#REF!</v>
      </c>
      <c r="W189" s="41">
        <f>D189/'1. Väestöennuste'!F189*1000</f>
        <v>245.80569644947329</v>
      </c>
      <c r="X189" s="41">
        <f>E189/'1. Väestöennuste'!G189*1000</f>
        <v>219.56127993560074</v>
      </c>
      <c r="Y189" s="41">
        <f>F189/'1. Väestöennuste'!H189*1000</f>
        <v>365.3448988021479</v>
      </c>
      <c r="Z189" s="41">
        <f>G189/'1. Väestöennuste'!I189*1000</f>
        <v>-359.73806506125902</v>
      </c>
      <c r="AA189" s="41">
        <f>H189/'1. Väestöennuste'!J189*1000</f>
        <v>-262.97688820335043</v>
      </c>
      <c r="AB189" s="41">
        <f>I189/'1. Väestöennuste'!K189*1000</f>
        <v>34.113725918859409</v>
      </c>
      <c r="AC189" s="41">
        <f>J189/'1. Väestöennuste'!L189*1000</f>
        <v>-178.34495525831369</v>
      </c>
      <c r="AD189" s="41">
        <f>K189/'1. Väestöennuste'!M189*1000</f>
        <v>-41.27007414570933</v>
      </c>
      <c r="AE189" s="41">
        <f>L189/'1. Väestöennuste'!N189*1000</f>
        <v>-349.80828722323156</v>
      </c>
      <c r="AF189" s="41">
        <f>M189/'1. Väestöennuste'!O189*1000</f>
        <v>-458.77634846563006</v>
      </c>
      <c r="AG189" s="41">
        <f>N189/'1. Väestöennuste'!P189*1000</f>
        <v>-471.11627458860437</v>
      </c>
      <c r="AH189" s="41">
        <f>O189/'1. Väestöennuste'!Q189*1000</f>
        <v>-534.84028397565066</v>
      </c>
      <c r="AI189" s="41">
        <f>P189/'1. Väestöennuste'!R189*1000</f>
        <v>-417.64051721893657</v>
      </c>
    </row>
    <row r="190" spans="1:35" x14ac:dyDescent="0.2">
      <c r="A190" s="34">
        <v>581</v>
      </c>
      <c r="B190" s="88" t="s">
        <v>504</v>
      </c>
      <c r="C190" s="41" t="e">
        <f>Vuosikate!C190-'6. Poistot'!C190</f>
        <v>#REF!</v>
      </c>
      <c r="D190" s="41">
        <f>Vuosikate!D190-'6. Poistot'!D190</f>
        <v>388</v>
      </c>
      <c r="E190" s="41">
        <f>Vuosikate!E190-'6. Poistot'!E190</f>
        <v>1786</v>
      </c>
      <c r="F190" s="41">
        <f>Vuosikate!F190-'6. Poistot'!F190</f>
        <v>1675</v>
      </c>
      <c r="G190" s="41">
        <f>Vuosikate!G190-'6. Poistot'!G190</f>
        <v>-435</v>
      </c>
      <c r="H190" s="41">
        <f>Vuosikate!H190-'6. Poistot'!H190</f>
        <v>432.73202107321777</v>
      </c>
      <c r="I190" s="41">
        <f>Vuosikate!I190-'6. Poistot'!I190</f>
        <v>-414.24129819351174</v>
      </c>
      <c r="J190" s="41">
        <f>Vuosikate!J190-'6. Poistot'!J190</f>
        <v>-1576.8252288371536</v>
      </c>
      <c r="K190" s="41">
        <f>Vuosikate!K190-'6. Poistot'!K190</f>
        <v>2420.6261291228293</v>
      </c>
      <c r="L190" s="41">
        <f>Vuosikate!L190-'6. Poistot'!L190</f>
        <v>-1724.6629955200247</v>
      </c>
      <c r="M190" s="41">
        <f>Vuosikate!M190-'6. Poistot'!M190</f>
        <v>-1074.3860663387745</v>
      </c>
      <c r="N190" s="41">
        <f>Vuosikate!N190-'6. Poistot'!N190</f>
        <v>-848.19020316548585</v>
      </c>
      <c r="O190" s="41">
        <f>Vuosikate!O190-'6. Poistot'!O190</f>
        <v>-902.01263448699365</v>
      </c>
      <c r="P190" s="41">
        <f>Vuosikate!P190-'6. Poistot'!P190</f>
        <v>-89.112565766057969</v>
      </c>
      <c r="T190" s="34">
        <v>581</v>
      </c>
      <c r="U190" s="88" t="s">
        <v>504</v>
      </c>
      <c r="V190" s="41" t="e">
        <f>C190/'1. Väestöennuste'!E190*1000</f>
        <v>#REF!</v>
      </c>
      <c r="W190" s="41">
        <f>D190/'1. Väestöennuste'!F190*1000</f>
        <v>57.979677226539145</v>
      </c>
      <c r="X190" s="41">
        <f>E190/'1. Väestöennuste'!G190*1000</f>
        <v>272.17311795184395</v>
      </c>
      <c r="Y190" s="41">
        <f>F190/'1. Väestöennuste'!H190*1000</f>
        <v>258.92719121966303</v>
      </c>
      <c r="Z190" s="41">
        <f>G190/'1. Väestöennuste'!I190*1000</f>
        <v>-67.926296064959402</v>
      </c>
      <c r="AA190" s="41">
        <f>H190/'1. Väestöennuste'!J190*1000</f>
        <v>68.12531817903303</v>
      </c>
      <c r="AB190" s="41">
        <f>I190/'1. Väestöennuste'!K190*1000</f>
        <v>-65.899029302181319</v>
      </c>
      <c r="AC190" s="41">
        <f>J190/'1. Väestöennuste'!L190*1000</f>
        <v>-252.69635077518487</v>
      </c>
      <c r="AD190" s="41">
        <f>K190/'1. Väestöennuste'!M190*1000</f>
        <v>395.33335442149752</v>
      </c>
      <c r="AE190" s="41">
        <f>L190/'1. Väestöennuste'!N190*1000</f>
        <v>-285.25686330136034</v>
      </c>
      <c r="AF190" s="41">
        <f>M190/'1. Väestöennuste'!O190*1000</f>
        <v>-179.6331828020021</v>
      </c>
      <c r="AG190" s="41">
        <f>N190/'1. Väestöennuste'!P190*1000</f>
        <v>-143.32379235645249</v>
      </c>
      <c r="AH190" s="41">
        <f>O190/'1. Väestöennuste'!Q190*1000</f>
        <v>-154.05851998069917</v>
      </c>
      <c r="AI190" s="41">
        <f>P190/'1. Väestöennuste'!R190*1000</f>
        <v>-15.380145972740415</v>
      </c>
    </row>
    <row r="191" spans="1:35" x14ac:dyDescent="0.2">
      <c r="A191" s="34">
        <v>583</v>
      </c>
      <c r="B191" s="88" t="s">
        <v>505</v>
      </c>
      <c r="C191" s="41" t="e">
        <f>Vuosikate!C191-'6. Poistot'!C191</f>
        <v>#REF!</v>
      </c>
      <c r="D191" s="41">
        <f>Vuosikate!D191-'6. Poistot'!D191</f>
        <v>138</v>
      </c>
      <c r="E191" s="41">
        <f>Vuosikate!E191-'6. Poistot'!E191</f>
        <v>271</v>
      </c>
      <c r="F191" s="41">
        <f>Vuosikate!F191-'6. Poistot'!F191</f>
        <v>91</v>
      </c>
      <c r="G191" s="41">
        <f>Vuosikate!G191-'6. Poistot'!G191</f>
        <v>-541</v>
      </c>
      <c r="H191" s="41">
        <f>Vuosikate!H191-'6. Poistot'!H191</f>
        <v>376.32092759242278</v>
      </c>
      <c r="I191" s="41">
        <f>Vuosikate!I191-'6. Poistot'!I191</f>
        <v>942.4504090676038</v>
      </c>
      <c r="J191" s="41">
        <f>Vuosikate!J191-'6. Poistot'!J191</f>
        <v>2071.9942380879675</v>
      </c>
      <c r="K191" s="41">
        <f>Vuosikate!K191-'6. Poistot'!K191</f>
        <v>439.32205906497882</v>
      </c>
      <c r="L191" s="41">
        <f>Vuosikate!L191-'6. Poistot'!L191</f>
        <v>654.70491609286751</v>
      </c>
      <c r="M191" s="41">
        <f>Vuosikate!M191-'6. Poistot'!M191</f>
        <v>169.88736919743451</v>
      </c>
      <c r="N191" s="41">
        <f>Vuosikate!N191-'6. Poistot'!N191</f>
        <v>201.3177117340324</v>
      </c>
      <c r="O191" s="41">
        <f>Vuosikate!O191-'6. Poistot'!O191</f>
        <v>139.9244369638044</v>
      </c>
      <c r="P191" s="41">
        <f>Vuosikate!P191-'6. Poistot'!P191</f>
        <v>240.5903161526121</v>
      </c>
      <c r="T191" s="34">
        <v>583</v>
      </c>
      <c r="U191" s="88" t="s">
        <v>505</v>
      </c>
      <c r="V191" s="41" t="e">
        <f>C191/'1. Väestöennuste'!E191*1000</f>
        <v>#REF!</v>
      </c>
      <c r="W191" s="41">
        <f>D191/'1. Väestöennuste'!F191*1000</f>
        <v>145.11041009463725</v>
      </c>
      <c r="X191" s="41">
        <f>E191/'1. Väestöennuste'!G191*1000</f>
        <v>282.8810020876827</v>
      </c>
      <c r="Y191" s="41">
        <f>F191/'1. Väestöennuste'!H191*1000</f>
        <v>95.387840670859532</v>
      </c>
      <c r="Z191" s="41">
        <f>G191/'1. Väestöennuste'!I191*1000</f>
        <v>-576.14483493077739</v>
      </c>
      <c r="AA191" s="41">
        <f>H191/'1. Väestöennuste'!J191*1000</f>
        <v>404.21152265566354</v>
      </c>
      <c r="AB191" s="41">
        <f>I191/'1. Väestöennuste'!K191*1000</f>
        <v>1019.9679751813895</v>
      </c>
      <c r="AC191" s="41">
        <f>J191/'1. Väestöennuste'!L191*1000</f>
        <v>2187.9559008320666</v>
      </c>
      <c r="AD191" s="41">
        <f>K191/'1. Väestöennuste'!M191*1000</f>
        <v>481.71278406247677</v>
      </c>
      <c r="AE191" s="41">
        <f>L191/'1. Väestöennuste'!N191*1000</f>
        <v>714.74335817998633</v>
      </c>
      <c r="AF191" s="41">
        <f>M191/'1. Väestöennuste'!O191*1000</f>
        <v>186.28001008490628</v>
      </c>
      <c r="AG191" s="41">
        <f>N191/'1. Väestöennuste'!P191*1000</f>
        <v>221.22825465278288</v>
      </c>
      <c r="AH191" s="41">
        <f>O191/'1. Väestöennuste'!Q191*1000</f>
        <v>154.27170558302581</v>
      </c>
      <c r="AI191" s="41">
        <f>P191/'1. Väestöennuste'!R191*1000</f>
        <v>267.02587808281032</v>
      </c>
    </row>
    <row r="192" spans="1:35" x14ac:dyDescent="0.2">
      <c r="A192" s="34">
        <v>584</v>
      </c>
      <c r="B192" s="88" t="s">
        <v>506</v>
      </c>
      <c r="C192" s="41" t="e">
        <f>Vuosikate!C192-'6. Poistot'!C192</f>
        <v>#REF!</v>
      </c>
      <c r="D192" s="41">
        <f>Vuosikate!D192-'6. Poistot'!D192</f>
        <v>365</v>
      </c>
      <c r="E192" s="41">
        <f>Vuosikate!E192-'6. Poistot'!E192</f>
        <v>154</v>
      </c>
      <c r="F192" s="41">
        <f>Vuosikate!F192-'6. Poistot'!F192</f>
        <v>-1469</v>
      </c>
      <c r="G192" s="41">
        <f>Vuosikate!G192-'6. Poistot'!G192</f>
        <v>-384</v>
      </c>
      <c r="H192" s="41">
        <f>Vuosikate!H192-'6. Poistot'!H192</f>
        <v>1293.9511732844294</v>
      </c>
      <c r="I192" s="41">
        <f>Vuosikate!I192-'6. Poistot'!I192</f>
        <v>1159.630555793336</v>
      </c>
      <c r="J192" s="41">
        <f>Vuosikate!J192-'6. Poistot'!J192</f>
        <v>-891.82435971139159</v>
      </c>
      <c r="K192" s="41">
        <f>Vuosikate!K192-'6. Poistot'!K192</f>
        <v>-54.569404859199267</v>
      </c>
      <c r="L192" s="41">
        <f>Vuosikate!L192-'6. Poistot'!L192</f>
        <v>-405.03520822720088</v>
      </c>
      <c r="M192" s="41">
        <f>Vuosikate!M192-'6. Poistot'!M192</f>
        <v>-1771.1857763807643</v>
      </c>
      <c r="N192" s="41">
        <f>Vuosikate!N192-'6. Poistot'!N192</f>
        <v>-1911.9638621860481</v>
      </c>
      <c r="O192" s="41">
        <f>Vuosikate!O192-'6. Poistot'!O192</f>
        <v>-2324.5870817744544</v>
      </c>
      <c r="P192" s="41">
        <f>Vuosikate!P192-'6. Poistot'!P192</f>
        <v>-2178.0232143558733</v>
      </c>
      <c r="T192" s="34">
        <v>584</v>
      </c>
      <c r="U192" s="88" t="s">
        <v>506</v>
      </c>
      <c r="V192" s="41" t="e">
        <f>C192/'1. Väestöennuste'!E192*1000</f>
        <v>#REF!</v>
      </c>
      <c r="W192" s="41">
        <f>D192/'1. Väestöennuste'!F192*1000</f>
        <v>125.55899552803579</v>
      </c>
      <c r="X192" s="41">
        <f>E192/'1. Väestöennuste'!G192*1000</f>
        <v>53.846153846153847</v>
      </c>
      <c r="Y192" s="41">
        <f>F192/'1. Väestöennuste'!H192*1000</f>
        <v>-520</v>
      </c>
      <c r="Z192" s="41">
        <f>G192/'1. Väestöennuste'!I192*1000</f>
        <v>-139.18086263138818</v>
      </c>
      <c r="AA192" s="41">
        <f>H192/'1. Väestöennuste'!J192*1000</f>
        <v>478.17855627658145</v>
      </c>
      <c r="AB192" s="41">
        <f>I192/'1. Väestöennuste'!K192*1000</f>
        <v>433.34475179123172</v>
      </c>
      <c r="AC192" s="41">
        <f>J192/'1. Väestöennuste'!L192*1000</f>
        <v>-336.15693920519851</v>
      </c>
      <c r="AD192" s="41">
        <f>K192/'1. Väestöennuste'!M192*1000</f>
        <v>-21.16734090736977</v>
      </c>
      <c r="AE192" s="41">
        <f>L192/'1. Väestöennuste'!N192*1000</f>
        <v>-161.88457563037605</v>
      </c>
      <c r="AF192" s="41">
        <f>M192/'1. Väestöennuste'!O192*1000</f>
        <v>-723.2281651207694</v>
      </c>
      <c r="AG192" s="41">
        <f>N192/'1. Väestöennuste'!P192*1000</f>
        <v>-797.31603927691754</v>
      </c>
      <c r="AH192" s="41">
        <f>O192/'1. Väestöennuste'!Q192*1000</f>
        <v>-989.60710164940588</v>
      </c>
      <c r="AI192" s="41">
        <f>P192/'1. Väestöennuste'!R192*1000</f>
        <v>-946.14388112766005</v>
      </c>
    </row>
    <row r="193" spans="1:35" x14ac:dyDescent="0.2">
      <c r="A193" s="34">
        <v>588</v>
      </c>
      <c r="B193" s="88" t="s">
        <v>507</v>
      </c>
      <c r="C193" s="41" t="e">
        <f>Vuosikate!C193-'6. Poistot'!C193</f>
        <v>#REF!</v>
      </c>
      <c r="D193" s="41">
        <f>Vuosikate!D193-'6. Poistot'!D193</f>
        <v>57</v>
      </c>
      <c r="E193" s="41">
        <f>Vuosikate!E193-'6. Poistot'!E193</f>
        <v>169</v>
      </c>
      <c r="F193" s="41">
        <f>Vuosikate!F193-'6. Poistot'!F193</f>
        <v>-1350</v>
      </c>
      <c r="G193" s="41">
        <f>Vuosikate!G193-'6. Poistot'!G193</f>
        <v>-1202</v>
      </c>
      <c r="H193" s="41">
        <f>Vuosikate!H193-'6. Poistot'!H193</f>
        <v>-458.58158340648606</v>
      </c>
      <c r="I193" s="41">
        <f>Vuosikate!I193-'6. Poistot'!I193</f>
        <v>-959.99062197598494</v>
      </c>
      <c r="J193" s="41">
        <f>Vuosikate!J193-'6. Poistot'!J193</f>
        <v>-1147.0181333578309</v>
      </c>
      <c r="K193" s="41">
        <f>Vuosikate!K193-'6. Poistot'!K193</f>
        <v>-457.5799786896481</v>
      </c>
      <c r="L193" s="41">
        <f>Vuosikate!L193-'6. Poistot'!L193</f>
        <v>-1088.4296089319168</v>
      </c>
      <c r="T193" s="34">
        <v>588</v>
      </c>
      <c r="U193" s="88" t="s">
        <v>507</v>
      </c>
      <c r="V193" s="41" t="e">
        <f>C193/'1. Väestöennuste'!E193*1000</f>
        <v>#REF!</v>
      </c>
      <c r="W193" s="41">
        <f>D193/'1. Väestöennuste'!F193*1000</f>
        <v>31.737193763919819</v>
      </c>
      <c r="X193" s="41">
        <f>E193/'1. Väestöennuste'!G193*1000</f>
        <v>97.182288671650383</v>
      </c>
      <c r="Y193" s="41">
        <f>F193/'1. Väestöennuste'!H193*1000</f>
        <v>-788.09106830122585</v>
      </c>
      <c r="Z193" s="41">
        <f>G193/'1. Väestöennuste'!I193*1000</f>
        <v>-711.24260355029594</v>
      </c>
      <c r="AA193" s="41">
        <f>H193/'1. Väestöennuste'!J193*1000</f>
        <v>-277.25609637635188</v>
      </c>
      <c r="AB193" s="41">
        <f>I193/'1. Väestöennuste'!K193*1000</f>
        <v>-583.93590144524637</v>
      </c>
      <c r="AC193" s="41">
        <f>J193/'1. Väestöennuste'!L193*1000</f>
        <v>-716.88633334864437</v>
      </c>
      <c r="AD193" s="41">
        <f>K193/'1. Väestöennuste'!M193*1000</f>
        <v>-290.15851533902861</v>
      </c>
      <c r="AE193" s="41">
        <f>L193/'1. Väestöennuste'!N193*1000</f>
        <v>-704.94145656212231</v>
      </c>
      <c r="AF193" s="41" t="e">
        <f>M193/'1. Väestöennuste'!O193*1000</f>
        <v>#DIV/0!</v>
      </c>
      <c r="AG193" s="41" t="e">
        <f>N193/'1. Väestöennuste'!P193*1000</f>
        <v>#DIV/0!</v>
      </c>
      <c r="AH193" s="41" t="e">
        <f>O193/'1. Väestöennuste'!Q193*1000</f>
        <v>#DIV/0!</v>
      </c>
      <c r="AI193" s="41" t="e">
        <f>P193/'1. Väestöennuste'!R193*1000</f>
        <v>#DIV/0!</v>
      </c>
    </row>
    <row r="194" spans="1:35" x14ac:dyDescent="0.2">
      <c r="A194" s="34">
        <v>592</v>
      </c>
      <c r="B194" s="88" t="s">
        <v>508</v>
      </c>
      <c r="C194" s="41" t="e">
        <f>Vuosikate!C194-'6. Poistot'!C194</f>
        <v>#REF!</v>
      </c>
      <c r="D194" s="41">
        <f>Vuosikate!D194-'6. Poistot'!D194</f>
        <v>-522</v>
      </c>
      <c r="E194" s="41">
        <f>Vuosikate!E194-'6. Poistot'!E194</f>
        <v>-217</v>
      </c>
      <c r="F194" s="41">
        <f>Vuosikate!F194-'6. Poistot'!F194</f>
        <v>-389</v>
      </c>
      <c r="G194" s="41">
        <f>Vuosikate!G194-'6. Poistot'!G194</f>
        <v>-3852</v>
      </c>
      <c r="H194" s="41">
        <f>Vuosikate!H194-'6. Poistot'!H194</f>
        <v>701.32647864145838</v>
      </c>
      <c r="I194" s="41">
        <f>Vuosikate!I194-'6. Poistot'!I194</f>
        <v>-477.21783505033403</v>
      </c>
      <c r="J194" s="41">
        <f>Vuosikate!J194-'6. Poistot'!J194</f>
        <v>-1812.0742460790966</v>
      </c>
      <c r="K194" s="41">
        <f>Vuosikate!K194-'6. Poistot'!K194</f>
        <v>184.86693292176005</v>
      </c>
      <c r="L194" s="41">
        <f>Vuosikate!L194-'6. Poistot'!L194</f>
        <v>-1911.3879448665029</v>
      </c>
      <c r="M194" s="41">
        <f>Vuosikate!M194-'6. Poistot'!M194</f>
        <v>-2746.1045107567529</v>
      </c>
      <c r="N194" s="41">
        <f>Vuosikate!N194-'6. Poistot'!N194</f>
        <v>-2255.6486440276917</v>
      </c>
      <c r="O194" s="41">
        <f>Vuosikate!O194-'6. Poistot'!O194</f>
        <v>-2754.7980438176946</v>
      </c>
      <c r="P194" s="41">
        <f>Vuosikate!P194-'6. Poistot'!P194</f>
        <v>-2626.5339320296625</v>
      </c>
      <c r="T194" s="34">
        <v>592</v>
      </c>
      <c r="U194" s="88" t="s">
        <v>508</v>
      </c>
      <c r="V194" s="41" t="e">
        <f>C194/'1. Väestöennuste'!E194*1000</f>
        <v>#REF!</v>
      </c>
      <c r="W194" s="41">
        <f>D194/'1. Väestöennuste'!F194*1000</f>
        <v>-131.1228334589299</v>
      </c>
      <c r="X194" s="41">
        <f>E194/'1. Väestöennuste'!G194*1000</f>
        <v>-55.357142857142854</v>
      </c>
      <c r="Y194" s="41">
        <f>F194/'1. Väestöennuste'!H194*1000</f>
        <v>-99.743589743589737</v>
      </c>
      <c r="Z194" s="41">
        <f>G194/'1. Väestöennuste'!I194*1000</f>
        <v>-1002.8638375423067</v>
      </c>
      <c r="AA194" s="41">
        <f>H194/'1. Väestöennuste'!J194*1000</f>
        <v>185.92960727504197</v>
      </c>
      <c r="AB194" s="41">
        <f>I194/'1. Väestöennuste'!K194*1000</f>
        <v>-129.74927543510987</v>
      </c>
      <c r="AC194" s="41">
        <f>J194/'1. Väestöennuste'!L194*1000</f>
        <v>-496.32271872886787</v>
      </c>
      <c r="AD194" s="41">
        <f>K194/'1. Väestöennuste'!M194*1000</f>
        <v>51.409046974905472</v>
      </c>
      <c r="AE194" s="41">
        <f>L194/'1. Väestöennuste'!N194*1000</f>
        <v>-528.7380207099593</v>
      </c>
      <c r="AF194" s="41">
        <f>M194/'1. Väestöennuste'!O194*1000</f>
        <v>-767.28262384933021</v>
      </c>
      <c r="AG194" s="41">
        <f>N194/'1. Väestöennuste'!P194*1000</f>
        <v>-636.11072871621309</v>
      </c>
      <c r="AH194" s="41">
        <f>O194/'1. Väestöennuste'!Q194*1000</f>
        <v>-785.29020633343634</v>
      </c>
      <c r="AI194" s="41">
        <f>P194/'1. Väestöennuste'!R194*1000</f>
        <v>-756.05467243225758</v>
      </c>
    </row>
    <row r="195" spans="1:35" x14ac:dyDescent="0.2">
      <c r="A195" s="34">
        <v>593</v>
      </c>
      <c r="B195" s="88" t="s">
        <v>509</v>
      </c>
      <c r="C195" s="41" t="e">
        <f>Vuosikate!C195-'6. Poistot'!C195</f>
        <v>#REF!</v>
      </c>
      <c r="D195" s="41">
        <f>Vuosikate!D195-'6. Poistot'!D195</f>
        <v>2123</v>
      </c>
      <c r="E195" s="41">
        <f>Vuosikate!E195-'6. Poistot'!E195</f>
        <v>4796</v>
      </c>
      <c r="F195" s="41">
        <f>Vuosikate!F195-'6. Poistot'!F195</f>
        <v>-1125</v>
      </c>
      <c r="G195" s="41">
        <f>Vuosikate!G195-'6. Poistot'!G195</f>
        <v>-3055</v>
      </c>
      <c r="H195" s="41">
        <f>Vuosikate!H195-'6. Poistot'!H195</f>
        <v>5241.5670760175271</v>
      </c>
      <c r="I195" s="41">
        <f>Vuosikate!I195-'6. Poistot'!I195</f>
        <v>4470.7465906841999</v>
      </c>
      <c r="J195" s="41">
        <f>Vuosikate!J195-'6. Poistot'!J195</f>
        <v>-2492.2485982181815</v>
      </c>
      <c r="K195" s="41">
        <f>Vuosikate!K195-'6. Poistot'!K195</f>
        <v>2671.4144078693735</v>
      </c>
      <c r="L195" s="41">
        <f>Vuosikate!L195-'6. Poistot'!L195</f>
        <v>-2407.1189563179655</v>
      </c>
      <c r="M195" s="41">
        <f>Vuosikate!M195-'6. Poistot'!M195</f>
        <v>-3786.044271952188</v>
      </c>
      <c r="N195" s="41">
        <f>Vuosikate!N195-'6. Poistot'!N195</f>
        <v>-1737.3794825623499</v>
      </c>
      <c r="O195" s="41">
        <f>Vuosikate!O195-'6. Poistot'!O195</f>
        <v>-1731.4868374579564</v>
      </c>
      <c r="P195" s="41">
        <f>Vuosikate!P195-'6. Poistot'!P195</f>
        <v>1368.1282970349221</v>
      </c>
      <c r="T195" s="34">
        <v>593</v>
      </c>
      <c r="U195" s="88" t="s">
        <v>509</v>
      </c>
      <c r="V195" s="41" t="e">
        <f>C195/'1. Väestöennuste'!E195*1000</f>
        <v>#REF!</v>
      </c>
      <c r="W195" s="41">
        <f>D195/'1. Väestöennuste'!F195*1000</f>
        <v>114.91204330175914</v>
      </c>
      <c r="X195" s="41">
        <f>E195/'1. Väestöennuste'!G195*1000</f>
        <v>263.22722283205269</v>
      </c>
      <c r="Y195" s="41">
        <f>F195/'1. Väestöennuste'!H195*1000</f>
        <v>-62.733508057770585</v>
      </c>
      <c r="Z195" s="41">
        <f>G195/'1. Väestöennuste'!I195*1000</f>
        <v>-172.77457301210271</v>
      </c>
      <c r="AA195" s="41">
        <f>H195/'1. Väestöennuste'!J195*1000</f>
        <v>301.67292523841883</v>
      </c>
      <c r="AB195" s="41">
        <f>I195/'1. Väestöennuste'!K195*1000</f>
        <v>259.12864954988697</v>
      </c>
      <c r="AC195" s="41">
        <f>J195/'1. Väestöennuste'!L195*1000</f>
        <v>-145.94182808562286</v>
      </c>
      <c r="AD195" s="41">
        <f>K195/'1. Väestöennuste'!M195*1000</f>
        <v>156.68119694248526</v>
      </c>
      <c r="AE195" s="41">
        <f>L195/'1. Väestöennuste'!N195*1000</f>
        <v>-148.02108943044922</v>
      </c>
      <c r="AF195" s="41">
        <f>M195/'1. Väestöennuste'!O195*1000</f>
        <v>-236.46519717395464</v>
      </c>
      <c r="AG195" s="41">
        <f>N195/'1. Väestöennuste'!P195*1000</f>
        <v>-110.15593980233007</v>
      </c>
      <c r="AH195" s="41">
        <f>O195/'1. Väestöennuste'!Q195*1000</f>
        <v>-111.42128941170891</v>
      </c>
      <c r="AI195" s="41">
        <f>P195/'1. Väestöennuste'!R195*1000</f>
        <v>89.320904683353262</v>
      </c>
    </row>
    <row r="196" spans="1:35" x14ac:dyDescent="0.2">
      <c r="A196" s="34">
        <v>595</v>
      </c>
      <c r="B196" s="88" t="s">
        <v>510</v>
      </c>
      <c r="C196" s="41" t="e">
        <f>Vuosikate!C196-'6. Poistot'!C196</f>
        <v>#REF!</v>
      </c>
      <c r="D196" s="41">
        <f>Vuosikate!D196-'6. Poistot'!D196</f>
        <v>-263</v>
      </c>
      <c r="E196" s="41">
        <f>Vuosikate!E196-'6. Poistot'!E196</f>
        <v>720</v>
      </c>
      <c r="F196" s="41">
        <f>Vuosikate!F196-'6. Poistot'!F196</f>
        <v>372</v>
      </c>
      <c r="G196" s="41">
        <f>Vuosikate!G196-'6. Poistot'!G196</f>
        <v>-306</v>
      </c>
      <c r="H196" s="41">
        <f>Vuosikate!H196-'6. Poistot'!H196</f>
        <v>2493.797493249629</v>
      </c>
      <c r="I196" s="41">
        <f>Vuosikate!I196-'6. Poistot'!I196</f>
        <v>2548.6214745293823</v>
      </c>
      <c r="J196" s="41">
        <f>Vuosikate!J196-'6. Poistot'!J196</f>
        <v>1543.5393375830536</v>
      </c>
      <c r="K196" s="41">
        <f>Vuosikate!K196-'6. Poistot'!K196</f>
        <v>838.53624210162707</v>
      </c>
      <c r="L196" s="41">
        <f>Vuosikate!L196-'6. Poistot'!L196</f>
        <v>314.91003386141733</v>
      </c>
      <c r="M196" s="41">
        <f>Vuosikate!M196-'6. Poistot'!M196</f>
        <v>-556.34527789624599</v>
      </c>
      <c r="N196" s="41">
        <f>Vuosikate!N196-'6. Poistot'!N196</f>
        <v>-953.77972297693429</v>
      </c>
      <c r="O196" s="41">
        <f>Vuosikate!O196-'6. Poistot'!O196</f>
        <v>-1361.2197708899564</v>
      </c>
      <c r="P196" s="41">
        <f>Vuosikate!P196-'6. Poistot'!P196</f>
        <v>-1053.1224870147826</v>
      </c>
      <c r="T196" s="34">
        <v>595</v>
      </c>
      <c r="U196" s="88" t="s">
        <v>510</v>
      </c>
      <c r="V196" s="41" t="e">
        <f>C196/'1. Väestöennuste'!E196*1000</f>
        <v>#REF!</v>
      </c>
      <c r="W196" s="41">
        <f>D196/'1. Väestöennuste'!F196*1000</f>
        <v>-55.993187140728125</v>
      </c>
      <c r="X196" s="41">
        <f>E196/'1. Väestöennuste'!G196*1000</f>
        <v>155.70934256055364</v>
      </c>
      <c r="Y196" s="41">
        <f>F196/'1. Väestöennuste'!H196*1000</f>
        <v>82.703423743886177</v>
      </c>
      <c r="Z196" s="41">
        <f>G196/'1. Väestöennuste'!I196*1000</f>
        <v>-69.687998178091561</v>
      </c>
      <c r="AA196" s="41">
        <f>H196/'1. Väestöennuste'!J196*1000</f>
        <v>577.13434233965029</v>
      </c>
      <c r="AB196" s="41">
        <f>I196/'1. Väestöennuste'!K196*1000</f>
        <v>597.00667007012942</v>
      </c>
      <c r="AC196" s="41">
        <f>J196/'1. Väestöennuste'!L196*1000</f>
        <v>372.83558878817718</v>
      </c>
      <c r="AD196" s="41">
        <f>K196/'1. Väestöennuste'!M196*1000</f>
        <v>205.87680876543754</v>
      </c>
      <c r="AE196" s="41">
        <f>L196/'1. Väestöennuste'!N196*1000</f>
        <v>78.47247292833724</v>
      </c>
      <c r="AF196" s="41">
        <f>M196/'1. Väestöennuste'!O196*1000</f>
        <v>-141.09695102618463</v>
      </c>
      <c r="AG196" s="41">
        <f>N196/'1. Väestöennuste'!P196*1000</f>
        <v>-246.26380660390765</v>
      </c>
      <c r="AH196" s="41">
        <f>O196/'1. Väestöennuste'!Q196*1000</f>
        <v>-357.36932814123298</v>
      </c>
      <c r="AI196" s="41">
        <f>P196/'1. Väestöennuste'!R196*1000</f>
        <v>-281.05750921131107</v>
      </c>
    </row>
    <row r="197" spans="1:35" x14ac:dyDescent="0.2">
      <c r="A197" s="34">
        <v>598</v>
      </c>
      <c r="B197" s="88" t="s">
        <v>511</v>
      </c>
      <c r="C197" s="41" t="e">
        <f>Vuosikate!C197-'6. Poistot'!C197</f>
        <v>#REF!</v>
      </c>
      <c r="D197" s="41">
        <f>Vuosikate!D197-'6. Poistot'!D197</f>
        <v>-4876</v>
      </c>
      <c r="E197" s="41">
        <f>Vuosikate!E197-'6. Poistot'!E197</f>
        <v>-2934</v>
      </c>
      <c r="F197" s="41">
        <f>Vuosikate!F197-'6. Poistot'!F197</f>
        <v>-2991</v>
      </c>
      <c r="G197" s="41">
        <f>Vuosikate!G197-'6. Poistot'!G197</f>
        <v>-8113</v>
      </c>
      <c r="H197" s="41">
        <f>Vuosikate!H197-'6. Poistot'!H197</f>
        <v>2.3712488695528009</v>
      </c>
      <c r="I197" s="41">
        <f>Vuosikate!I197-'6. Poistot'!I197</f>
        <v>-972.95034911136463</v>
      </c>
      <c r="J197" s="41">
        <f>Vuosikate!J197-'6. Poistot'!J197</f>
        <v>-723.11313511357912</v>
      </c>
      <c r="K197" s="41">
        <f>Vuosikate!K197-'6. Poistot'!K197</f>
        <v>4557.9635438222413</v>
      </c>
      <c r="L197" s="41">
        <f>Vuosikate!L197-'6. Poistot'!L197</f>
        <v>-346.89247621453251</v>
      </c>
      <c r="M197" s="41">
        <f>Vuosikate!M197-'6. Poistot'!M197</f>
        <v>-3781.9632951269268</v>
      </c>
      <c r="N197" s="41">
        <f>Vuosikate!N197-'6. Poistot'!N197</f>
        <v>-2631.7220353513239</v>
      </c>
      <c r="O197" s="41">
        <f>Vuosikate!O197-'6. Poistot'!O197</f>
        <v>-2123.2991749212142</v>
      </c>
      <c r="P197" s="41">
        <f>Vuosikate!P197-'6. Poistot'!P197</f>
        <v>-900.97864363128247</v>
      </c>
      <c r="T197" s="34">
        <v>598</v>
      </c>
      <c r="U197" s="88" t="s">
        <v>511</v>
      </c>
      <c r="V197" s="41" t="e">
        <f>C197/'1. Väestöennuste'!E197*1000</f>
        <v>#REF!</v>
      </c>
      <c r="W197" s="41">
        <f>D197/'1. Väestöennuste'!F197*1000</f>
        <v>-251.63854053775091</v>
      </c>
      <c r="X197" s="41">
        <f>E197/'1. Väestöennuste'!G197*1000</f>
        <v>-151.40100108364723</v>
      </c>
      <c r="Y197" s="41">
        <f>F197/'1. Väestöennuste'!H197*1000</f>
        <v>-155.15094926859632</v>
      </c>
      <c r="Z197" s="41">
        <f>G197/'1. Väestöennuste'!I197*1000</f>
        <v>-422.37609329446065</v>
      </c>
      <c r="AA197" s="41">
        <f>H197/'1. Väestöennuste'!J197*1000</f>
        <v>0.12437054807263195</v>
      </c>
      <c r="AB197" s="41">
        <f>I197/'1. Väestöennuste'!K197*1000</f>
        <v>-50.947811127997312</v>
      </c>
      <c r="AC197" s="41">
        <f>J197/'1. Väestöennuste'!L197*1000</f>
        <v>-37.648416468661381</v>
      </c>
      <c r="AD197" s="41">
        <f>K197/'1. Väestöennuste'!M197*1000</f>
        <v>234.0417737521048</v>
      </c>
      <c r="AE197" s="41">
        <f>L197/'1. Väestöennuste'!N197*1000</f>
        <v>-18.486143150254865</v>
      </c>
      <c r="AF197" s="41">
        <f>M197/'1. Väestöennuste'!O197*1000</f>
        <v>-202.41721767966854</v>
      </c>
      <c r="AG197" s="41">
        <f>N197/'1. Väestöennuste'!P197*1000</f>
        <v>-141.49043200813568</v>
      </c>
      <c r="AH197" s="41">
        <f>O197/'1. Väestöennuste'!Q197*1000</f>
        <v>-114.64898352706341</v>
      </c>
      <c r="AI197" s="41">
        <f>P197/'1. Väestöennuste'!R197*1000</f>
        <v>-48.857363680455634</v>
      </c>
    </row>
    <row r="198" spans="1:35" x14ac:dyDescent="0.2">
      <c r="A198" s="34">
        <v>599</v>
      </c>
      <c r="B198" s="88" t="s">
        <v>512</v>
      </c>
      <c r="C198" s="41" t="e">
        <f>Vuosikate!C198-'6. Poistot'!C198</f>
        <v>#REF!</v>
      </c>
      <c r="D198" s="41">
        <f>Vuosikate!D198-'6. Poistot'!D198</f>
        <v>-882</v>
      </c>
      <c r="E198" s="41">
        <f>Vuosikate!E198-'6. Poistot'!E198</f>
        <v>282</v>
      </c>
      <c r="F198" s="41">
        <f>Vuosikate!F198-'6. Poistot'!F198</f>
        <v>-1951</v>
      </c>
      <c r="G198" s="41">
        <f>Vuosikate!G198-'6. Poistot'!G198</f>
        <v>-4007</v>
      </c>
      <c r="H198" s="41">
        <f>Vuosikate!H198-'6. Poistot'!H198</f>
        <v>4381.1615216316532</v>
      </c>
      <c r="I198" s="41">
        <f>Vuosikate!I198-'6. Poistot'!I198</f>
        <v>1970.9849829745312</v>
      </c>
      <c r="J198" s="41">
        <f>Vuosikate!J198-'6. Poistot'!J198</f>
        <v>2585.6995602018669</v>
      </c>
      <c r="K198" s="41">
        <f>Vuosikate!K198-'6. Poistot'!K198</f>
        <v>2144.8189836694633</v>
      </c>
      <c r="L198" s="41">
        <f>Vuosikate!L198-'6. Poistot'!L198</f>
        <v>623.15484184001434</v>
      </c>
      <c r="M198" s="41">
        <f>Vuosikate!M198-'6. Poistot'!M198</f>
        <v>264.18510546517882</v>
      </c>
      <c r="N198" s="41">
        <f>Vuosikate!N198-'6. Poistot'!N198</f>
        <v>782.59816099655382</v>
      </c>
      <c r="O198" s="41">
        <f>Vuosikate!O198-'6. Poistot'!O198</f>
        <v>1513.5620357221296</v>
      </c>
      <c r="P198" s="41">
        <f>Vuosikate!P198-'6. Poistot'!P198</f>
        <v>1928.421982695816</v>
      </c>
      <c r="T198" s="34">
        <v>599</v>
      </c>
      <c r="U198" s="88" t="s">
        <v>512</v>
      </c>
      <c r="V198" s="41" t="e">
        <f>C198/'1. Väestöennuste'!E198*1000</f>
        <v>#REF!</v>
      </c>
      <c r="W198" s="41">
        <f>D198/'1. Väestöennuste'!F198*1000</f>
        <v>-79.696394686907027</v>
      </c>
      <c r="X198" s="41">
        <f>E198/'1. Väestöennuste'!G198*1000</f>
        <v>25.442078671959582</v>
      </c>
      <c r="Y198" s="41">
        <f>F198/'1. Väestöennuste'!H198*1000</f>
        <v>-177.10602759622367</v>
      </c>
      <c r="Z198" s="41">
        <f>G198/'1. Väestöennuste'!I198*1000</f>
        <v>-361.60996299972925</v>
      </c>
      <c r="AA198" s="41">
        <f>H198/'1. Väestöennuste'!J198*1000</f>
        <v>392.08533395665415</v>
      </c>
      <c r="AB198" s="41">
        <f>I198/'1. Väestöennuste'!K198*1000</f>
        <v>176.42185669303001</v>
      </c>
      <c r="AC198" s="41">
        <f>J198/'1. Väestöennuste'!L198*1000</f>
        <v>230.74242015008628</v>
      </c>
      <c r="AD198" s="41">
        <f>K198/'1. Väestöennuste'!M198*1000</f>
        <v>191.07518785474059</v>
      </c>
      <c r="AE198" s="41">
        <f>L198/'1. Väestöennuste'!N198*1000</f>
        <v>55.293242399291422</v>
      </c>
      <c r="AF198" s="41">
        <f>M198/'1. Väestöennuste'!O198*1000</f>
        <v>23.397848327444766</v>
      </c>
      <c r="AG198" s="41">
        <f>N198/'1. Väestöennuste'!P198*1000</f>
        <v>69.201358298395419</v>
      </c>
      <c r="AH198" s="41">
        <f>O198/'1. Väestöennuste'!Q198*1000</f>
        <v>133.68327466190863</v>
      </c>
      <c r="AI198" s="41">
        <f>P198/'1. Väestöennuste'!R198*1000</f>
        <v>170.17490140273702</v>
      </c>
    </row>
    <row r="199" spans="1:35" x14ac:dyDescent="0.2">
      <c r="A199" s="34">
        <v>601</v>
      </c>
      <c r="B199" s="88" t="s">
        <v>513</v>
      </c>
      <c r="C199" s="41" t="e">
        <f>Vuosikate!C199-'6. Poistot'!C199</f>
        <v>#REF!</v>
      </c>
      <c r="D199" s="41">
        <f>Vuosikate!D199-'6. Poistot'!D199</f>
        <v>866</v>
      </c>
      <c r="E199" s="41">
        <f>Vuosikate!E199-'6. Poistot'!E199</f>
        <v>392</v>
      </c>
      <c r="F199" s="41">
        <f>Vuosikate!F199-'6. Poistot'!F199</f>
        <v>-756</v>
      </c>
      <c r="G199" s="41">
        <f>Vuosikate!G199-'6. Poistot'!G199</f>
        <v>-1440</v>
      </c>
      <c r="H199" s="41">
        <f>Vuosikate!H199-'6. Poistot'!H199</f>
        <v>687.87495716438571</v>
      </c>
      <c r="I199" s="41">
        <f>Vuosikate!I199-'6. Poistot'!I199</f>
        <v>1655.0908918769474</v>
      </c>
      <c r="J199" s="41">
        <f>Vuosikate!J199-'6. Poistot'!J199</f>
        <v>385.59060323959579</v>
      </c>
      <c r="K199" s="41">
        <f>Vuosikate!K199-'6. Poistot'!K199</f>
        <v>1360.7643275692719</v>
      </c>
      <c r="L199" s="41">
        <f>Vuosikate!L199-'6. Poistot'!L199</f>
        <v>-764.01447130215161</v>
      </c>
      <c r="M199" s="41">
        <f>Vuosikate!M199-'6. Poistot'!M199</f>
        <v>-834.74799838995546</v>
      </c>
      <c r="N199" s="41">
        <f>Vuosikate!N199-'6. Poistot'!N199</f>
        <v>-1200.7616696556104</v>
      </c>
      <c r="O199" s="41">
        <f>Vuosikate!O199-'6. Poistot'!O199</f>
        <v>-1524.11333780263</v>
      </c>
      <c r="P199" s="41">
        <f>Vuosikate!P199-'6. Poistot'!P199</f>
        <v>-1469.7033747680109</v>
      </c>
      <c r="T199" s="34">
        <v>601</v>
      </c>
      <c r="U199" s="88" t="s">
        <v>513</v>
      </c>
      <c r="V199" s="41" t="e">
        <f>C199/'1. Väestöennuste'!E199*1000</f>
        <v>#REF!</v>
      </c>
      <c r="W199" s="41">
        <f>D199/'1. Väestöennuste'!F199*1000</f>
        <v>206.09233698238936</v>
      </c>
      <c r="X199" s="41">
        <f>E199/'1. Väestöennuste'!G199*1000</f>
        <v>94.984250060576684</v>
      </c>
      <c r="Y199" s="41">
        <f>F199/'1. Väestöennuste'!H199*1000</f>
        <v>-186.52849740932643</v>
      </c>
      <c r="Z199" s="41">
        <f>G199/'1. Väestöennuste'!I199*1000</f>
        <v>-357.14285714285717</v>
      </c>
      <c r="AA199" s="41">
        <f>H199/'1. Väestöennuste'!J199*1000</f>
        <v>174.98726969330593</v>
      </c>
      <c r="AB199" s="41">
        <f>I199/'1. Väestöennuste'!K199*1000</f>
        <v>427.34079315180668</v>
      </c>
      <c r="AC199" s="41">
        <f>J199/'1. Väestöennuste'!L199*1000</f>
        <v>101.84643508705648</v>
      </c>
      <c r="AD199" s="41">
        <f>K199/'1. Väestöennuste'!M199*1000</f>
        <v>363.938038932675</v>
      </c>
      <c r="AE199" s="41">
        <f>L199/'1. Väestöennuste'!N199*1000</f>
        <v>-207.44351650886551</v>
      </c>
      <c r="AF199" s="41">
        <f>M199/'1. Väestöennuste'!O199*1000</f>
        <v>-230.08489481531296</v>
      </c>
      <c r="AG199" s="41">
        <f>N199/'1. Väestöennuste'!P199*1000</f>
        <v>-336.0653987281305</v>
      </c>
      <c r="AH199" s="41">
        <f>O199/'1. Väestöennuste'!Q199*1000</f>
        <v>-432.61803514125177</v>
      </c>
      <c r="AI199" s="41">
        <f>P199/'1. Väestöennuste'!R199*1000</f>
        <v>-423.17977966254273</v>
      </c>
    </row>
    <row r="200" spans="1:35" x14ac:dyDescent="0.2">
      <c r="A200" s="34">
        <v>604</v>
      </c>
      <c r="B200" s="88" t="s">
        <v>514</v>
      </c>
      <c r="C200" s="41" t="e">
        <f>Vuosikate!C200-'6. Poistot'!C200</f>
        <v>#REF!</v>
      </c>
      <c r="D200" s="41">
        <f>Vuosikate!D200-'6. Poistot'!D200</f>
        <v>7076</v>
      </c>
      <c r="E200" s="41">
        <f>Vuosikate!E200-'6. Poistot'!E200</f>
        <v>2517</v>
      </c>
      <c r="F200" s="41">
        <f>Vuosikate!F200-'6. Poistot'!F200</f>
        <v>-1413</v>
      </c>
      <c r="G200" s="41">
        <f>Vuosikate!G200-'6. Poistot'!G200</f>
        <v>-1168</v>
      </c>
      <c r="H200" s="41">
        <f>Vuosikate!H200-'6. Poistot'!H200</f>
        <v>3290.0141015464942</v>
      </c>
      <c r="I200" s="41">
        <f>Vuosikate!I200-'6. Poistot'!I200</f>
        <v>-3360.7708418686525</v>
      </c>
      <c r="J200" s="41">
        <f>Vuosikate!J200-'6. Poistot'!J200</f>
        <v>4291.7152271001432</v>
      </c>
      <c r="K200" s="41">
        <f>Vuosikate!K200-'6. Poistot'!K200</f>
        <v>7956.6272090925231</v>
      </c>
      <c r="L200" s="41">
        <f>Vuosikate!L200-'6. Poistot'!L200</f>
        <v>125.05277879401729</v>
      </c>
      <c r="M200" s="41">
        <f>Vuosikate!M200-'6. Poistot'!M200</f>
        <v>-2164.6250817438449</v>
      </c>
      <c r="N200" s="41">
        <f>Vuosikate!N200-'6. Poistot'!N200</f>
        <v>-1669.4352911136066</v>
      </c>
      <c r="O200" s="41">
        <f>Vuosikate!O200-'6. Poistot'!O200</f>
        <v>-2399.2935948236154</v>
      </c>
      <c r="P200" s="41">
        <f>Vuosikate!P200-'6. Poistot'!P200</f>
        <v>-1486.6975320827132</v>
      </c>
      <c r="T200" s="34">
        <v>604</v>
      </c>
      <c r="U200" s="88" t="s">
        <v>514</v>
      </c>
      <c r="V200" s="41" t="e">
        <f>C200/'1. Väestöennuste'!E200*1000</f>
        <v>#REF!</v>
      </c>
      <c r="W200" s="41">
        <f>D200/'1. Väestöennuste'!F200*1000</f>
        <v>369.25324844752913</v>
      </c>
      <c r="X200" s="41">
        <f>E200/'1. Väestöennuste'!G200*1000</f>
        <v>130.84160731922856</v>
      </c>
      <c r="Y200" s="41">
        <f>F200/'1. Väestöennuste'!H200*1000</f>
        <v>-72.955390334572485</v>
      </c>
      <c r="Z200" s="41">
        <f>G200/'1. Väestöennuste'!I200*1000</f>
        <v>-59.52198950211487</v>
      </c>
      <c r="AA200" s="41">
        <f>H200/'1. Väestöennuste'!J200*1000</f>
        <v>166.13715606456066</v>
      </c>
      <c r="AB200" s="41">
        <f>I200/'1. Väestöennuste'!K200*1000</f>
        <v>-166.3253905705559</v>
      </c>
      <c r="AC200" s="41">
        <f>J200/'1. Väestöennuste'!L200*1000</f>
        <v>210.32664675815454</v>
      </c>
      <c r="AD200" s="41">
        <f>K200/'1. Väestöennuste'!M200*1000</f>
        <v>383.21182917172484</v>
      </c>
      <c r="AE200" s="41">
        <f>L200/'1. Väestöennuste'!N200*1000</f>
        <v>6.1069872927683395</v>
      </c>
      <c r="AF200" s="41">
        <f>M200/'1. Väestöennuste'!O200*1000</f>
        <v>-104.92099664310237</v>
      </c>
      <c r="AG200" s="41">
        <f>N200/'1. Väestöennuste'!P200*1000</f>
        <v>-80.346293729598941</v>
      </c>
      <c r="AH200" s="41">
        <f>O200/'1. Väestöennuste'!Q200*1000</f>
        <v>-114.70543552247528</v>
      </c>
      <c r="AI200" s="41">
        <f>P200/'1. Väestöennuste'!R200*1000</f>
        <v>-70.630316503525734</v>
      </c>
    </row>
    <row r="201" spans="1:35" x14ac:dyDescent="0.2">
      <c r="A201" s="34">
        <v>607</v>
      </c>
      <c r="B201" s="88" t="s">
        <v>515</v>
      </c>
      <c r="C201" s="41" t="e">
        <f>Vuosikate!C201-'6. Poistot'!C201</f>
        <v>#REF!</v>
      </c>
      <c r="D201" s="41">
        <f>Vuosikate!D201-'6. Poistot'!D201</f>
        <v>578</v>
      </c>
      <c r="E201" s="41">
        <f>Vuosikate!E201-'6. Poistot'!E201</f>
        <v>1295</v>
      </c>
      <c r="F201" s="41">
        <f>Vuosikate!F201-'6. Poistot'!F201</f>
        <v>-332</v>
      </c>
      <c r="G201" s="41">
        <f>Vuosikate!G201-'6. Poistot'!G201</f>
        <v>-1446</v>
      </c>
      <c r="H201" s="41">
        <f>Vuosikate!H201-'6. Poistot'!H201</f>
        <v>207.81048087159797</v>
      </c>
      <c r="I201" s="41">
        <f>Vuosikate!I201-'6. Poistot'!I201</f>
        <v>-1645.0686513974831</v>
      </c>
      <c r="J201" s="41">
        <f>Vuosikate!J201-'6. Poistot'!J201</f>
        <v>-2159.4754566990059</v>
      </c>
      <c r="K201" s="41">
        <f>Vuosikate!K201-'6. Poistot'!K201</f>
        <v>-3432.7552116532906</v>
      </c>
      <c r="L201" s="41">
        <f>Vuosikate!L201-'6. Poistot'!L201</f>
        <v>-2576.5939305517218</v>
      </c>
      <c r="M201" s="41">
        <f>Vuosikate!M201-'6. Poistot'!M201</f>
        <v>-3744.9123767949877</v>
      </c>
      <c r="N201" s="41">
        <f>Vuosikate!N201-'6. Poistot'!N201</f>
        <v>-3548.8345535544486</v>
      </c>
      <c r="O201" s="41">
        <f>Vuosikate!O201-'6. Poistot'!O201</f>
        <v>-3757.9831474157781</v>
      </c>
      <c r="P201" s="41">
        <f>Vuosikate!P201-'6. Poistot'!P201</f>
        <v>-3416.2927421267846</v>
      </c>
      <c r="T201" s="34">
        <v>607</v>
      </c>
      <c r="U201" s="88" t="s">
        <v>515</v>
      </c>
      <c r="V201" s="41" t="e">
        <f>C201/'1. Väestöennuste'!E201*1000</f>
        <v>#REF!</v>
      </c>
      <c r="W201" s="41">
        <f>D201/'1. Väestöennuste'!F201*1000</f>
        <v>128.04607886575101</v>
      </c>
      <c r="X201" s="41">
        <f>E201/'1. Väestöennuste'!G201*1000</f>
        <v>293.38468509288629</v>
      </c>
      <c r="Y201" s="41">
        <f>F201/'1. Väestöennuste'!H201*1000</f>
        <v>-77.083817042024606</v>
      </c>
      <c r="Z201" s="41">
        <f>G201/'1. Väestöennuste'!I201*1000</f>
        <v>-340.55581723975507</v>
      </c>
      <c r="AA201" s="41">
        <f>H201/'1. Väestöennuste'!J201*1000</f>
        <v>49.46690808655034</v>
      </c>
      <c r="AB201" s="41">
        <f>I201/'1. Väestöennuste'!K201*1000</f>
        <v>-395.35415799026271</v>
      </c>
      <c r="AC201" s="41">
        <f>J201/'1. Väestöennuste'!L201*1000</f>
        <v>-528.76480330533934</v>
      </c>
      <c r="AD201" s="41">
        <f>K201/'1. Väestöennuste'!M201*1000</f>
        <v>-844.67401861547512</v>
      </c>
      <c r="AE201" s="41">
        <f>L201/'1. Väestöennuste'!N201*1000</f>
        <v>-652.4674425301904</v>
      </c>
      <c r="AF201" s="41">
        <f>M201/'1. Väestöennuste'!O201*1000</f>
        <v>-962.20770215698553</v>
      </c>
      <c r="AG201" s="41">
        <f>N201/'1. Väestöennuste'!P201*1000</f>
        <v>-924.17566498813767</v>
      </c>
      <c r="AH201" s="41">
        <f>O201/'1. Väestöennuste'!Q201*1000</f>
        <v>-992.59988045847285</v>
      </c>
      <c r="AI201" s="41">
        <f>P201/'1. Väestöennuste'!R201*1000</f>
        <v>-915.65069475389555</v>
      </c>
    </row>
    <row r="202" spans="1:35" x14ac:dyDescent="0.2">
      <c r="A202" s="34">
        <v>608</v>
      </c>
      <c r="B202" s="88" t="s">
        <v>516</v>
      </c>
      <c r="C202" s="41" t="e">
        <f>Vuosikate!C202-'6. Poistot'!C202</f>
        <v>#REF!</v>
      </c>
      <c r="D202" s="41">
        <f>Vuosikate!D202-'6. Poistot'!D202</f>
        <v>-223</v>
      </c>
      <c r="E202" s="41">
        <f>Vuosikate!E202-'6. Poistot'!E202</f>
        <v>-406</v>
      </c>
      <c r="F202" s="41">
        <f>Vuosikate!F202-'6. Poistot'!F202</f>
        <v>-743</v>
      </c>
      <c r="G202" s="41">
        <f>Vuosikate!G202-'6. Poistot'!G202</f>
        <v>95</v>
      </c>
      <c r="H202" s="41">
        <f>Vuosikate!H202-'6. Poistot'!H202</f>
        <v>78.617843436422845</v>
      </c>
      <c r="I202" s="41">
        <f>Vuosikate!I202-'6. Poistot'!I202</f>
        <v>-123.24611649594732</v>
      </c>
      <c r="J202" s="41">
        <f>Vuosikate!J202-'6. Poistot'!J202</f>
        <v>125.38253127881677</v>
      </c>
      <c r="K202" s="41">
        <f>Vuosikate!K202-'6. Poistot'!K202</f>
        <v>175.56159061633036</v>
      </c>
      <c r="L202" s="41">
        <f>Vuosikate!L202-'6. Poistot'!L202</f>
        <v>-805.9101557121021</v>
      </c>
      <c r="M202" s="41">
        <f>Vuosikate!M202-'6. Poistot'!M202</f>
        <v>-927.02877939202017</v>
      </c>
      <c r="N202" s="41">
        <f>Vuosikate!N202-'6. Poistot'!N202</f>
        <v>-796.98199366105041</v>
      </c>
      <c r="O202" s="41">
        <f>Vuosikate!O202-'6. Poistot'!O202</f>
        <v>-835.86926427305957</v>
      </c>
      <c r="P202" s="41">
        <f>Vuosikate!P202-'6. Poistot'!P202</f>
        <v>-599.67188310292227</v>
      </c>
      <c r="T202" s="34">
        <v>608</v>
      </c>
      <c r="U202" s="88" t="s">
        <v>516</v>
      </c>
      <c r="V202" s="41" t="e">
        <f>C202/'1. Väestöennuste'!E202*1000</f>
        <v>#REF!</v>
      </c>
      <c r="W202" s="41">
        <f>D202/'1. Väestöennuste'!F202*1000</f>
        <v>-99.865651589789522</v>
      </c>
      <c r="X202" s="41">
        <f>E202/'1. Väestöennuste'!G202*1000</f>
        <v>-187.44228993536473</v>
      </c>
      <c r="Y202" s="41">
        <f>F202/'1. Väestöennuste'!H202*1000</f>
        <v>-346.22553588070832</v>
      </c>
      <c r="Z202" s="41">
        <f>G202/'1. Väestöennuste'!I202*1000</f>
        <v>45.476304451890861</v>
      </c>
      <c r="AA202" s="41">
        <f>H202/'1. Väestöennuste'!J202*1000</f>
        <v>38.108503847029979</v>
      </c>
      <c r="AB202" s="41">
        <f>I202/'1. Väestöennuste'!K202*1000</f>
        <v>-61.225095129631057</v>
      </c>
      <c r="AC202" s="41">
        <f>J202/'1. Väestöennuste'!L202*1000</f>
        <v>63.324510746877159</v>
      </c>
      <c r="AD202" s="41">
        <f>K202/'1. Väestöennuste'!M202*1000</f>
        <v>90.355939586376934</v>
      </c>
      <c r="AE202" s="41">
        <f>L202/'1. Väestöennuste'!N202*1000</f>
        <v>-413.71157890764994</v>
      </c>
      <c r="AF202" s="41">
        <f>M202/'1. Väestöennuste'!O202*1000</f>
        <v>-482.07424825378064</v>
      </c>
      <c r="AG202" s="41">
        <f>N202/'1. Väestöennuste'!P202*1000</f>
        <v>-420.12756650556167</v>
      </c>
      <c r="AH202" s="41">
        <f>O202/'1. Väestöennuste'!Q202*1000</f>
        <v>-446.75000762857275</v>
      </c>
      <c r="AI202" s="41">
        <f>P202/'1. Väestöennuste'!R202*1000</f>
        <v>-324.67346134430011</v>
      </c>
    </row>
    <row r="203" spans="1:35" x14ac:dyDescent="0.2">
      <c r="A203" s="34">
        <v>609</v>
      </c>
      <c r="B203" s="88" t="s">
        <v>517</v>
      </c>
      <c r="C203" s="41" t="e">
        <f>Vuosikate!C203-'6. Poistot'!C203</f>
        <v>#REF!</v>
      </c>
      <c r="D203" s="41">
        <f>Vuosikate!D203-'6. Poistot'!D203</f>
        <v>9720</v>
      </c>
      <c r="E203" s="41">
        <f>Vuosikate!E203-'6. Poistot'!E203</f>
        <v>15938</v>
      </c>
      <c r="F203" s="41">
        <f>Vuosikate!F203-'6. Poistot'!F203</f>
        <v>-13707</v>
      </c>
      <c r="G203" s="41">
        <f>Vuosikate!G203-'6. Poistot'!G203</f>
        <v>-28903</v>
      </c>
      <c r="H203" s="41">
        <f>Vuosikate!H203-'6. Poistot'!H203</f>
        <v>4204.5728609269718</v>
      </c>
      <c r="I203" s="41">
        <f>Vuosikate!I203-'6. Poistot'!I203</f>
        <v>-8228.9671581096409</v>
      </c>
      <c r="J203" s="41">
        <f>Vuosikate!J203-'6. Poistot'!J203</f>
        <v>-6356.6211283052435</v>
      </c>
      <c r="K203" s="41">
        <f>Vuosikate!K203-'6. Poistot'!K203</f>
        <v>14569.437891886857</v>
      </c>
      <c r="L203" s="41">
        <f>Vuosikate!L203-'6. Poistot'!L203</f>
        <v>-14727.256568323535</v>
      </c>
      <c r="M203" s="41">
        <f>Vuosikate!M203-'6. Poistot'!M203</f>
        <v>-19259.395037131064</v>
      </c>
      <c r="N203" s="41">
        <f>Vuosikate!N203-'6. Poistot'!N203</f>
        <v>-443.15572557353153</v>
      </c>
      <c r="O203" s="41">
        <f>Vuosikate!O203-'6. Poistot'!O203</f>
        <v>1710.5740995056149</v>
      </c>
      <c r="P203" s="41">
        <f>Vuosikate!P203-'6. Poistot'!P203</f>
        <v>9495.4732335589979</v>
      </c>
      <c r="T203" s="34">
        <v>609</v>
      </c>
      <c r="U203" s="88" t="s">
        <v>517</v>
      </c>
      <c r="V203" s="41" t="e">
        <f>C203/'1. Väestöennuste'!E203*1000</f>
        <v>#REF!</v>
      </c>
      <c r="W203" s="41">
        <f>D203/'1. Väestöennuste'!F203*1000</f>
        <v>114.27362183895883</v>
      </c>
      <c r="X203" s="41">
        <f>E203/'1. Väestöennuste'!G203*1000</f>
        <v>188.42138862945842</v>
      </c>
      <c r="Y203" s="41">
        <f>F203/'1. Väestöennuste'!H203*1000</f>
        <v>-162.3994407781714</v>
      </c>
      <c r="Z203" s="41">
        <f>G203/'1. Väestöennuste'!I203*1000</f>
        <v>-344.35389710963375</v>
      </c>
      <c r="AA203" s="41">
        <f>H203/'1. Väestöennuste'!J203*1000</f>
        <v>50.243449893969839</v>
      </c>
      <c r="AB203" s="41">
        <f>I203/'1. Väestöennuste'!K203*1000</f>
        <v>-98.571753888378822</v>
      </c>
      <c r="AC203" s="41">
        <f>J203/'1. Väestöennuste'!L203*1000</f>
        <v>-76.397105081488419</v>
      </c>
      <c r="AD203" s="41">
        <f>K203/'1. Väestöennuste'!M203*1000</f>
        <v>175.31150448688248</v>
      </c>
      <c r="AE203" s="41">
        <f>L203/'1. Väestöennuste'!N203*1000</f>
        <v>-179.06132221629403</v>
      </c>
      <c r="AF203" s="41">
        <f>M203/'1. Väestöennuste'!O203*1000</f>
        <v>-235.23212542603346</v>
      </c>
      <c r="AG203" s="41">
        <f>N203/'1. Väestöennuste'!P203*1000</f>
        <v>-5.4378271743485058</v>
      </c>
      <c r="AH203" s="41">
        <f>O203/'1. Väestöennuste'!Q203*1000</f>
        <v>21.087998662478611</v>
      </c>
      <c r="AI203" s="41">
        <f>P203/'1. Väestöennuste'!R203*1000</f>
        <v>117.60993390340238</v>
      </c>
    </row>
    <row r="204" spans="1:35" x14ac:dyDescent="0.2">
      <c r="A204" s="34">
        <v>611</v>
      </c>
      <c r="B204" s="88" t="s">
        <v>518</v>
      </c>
      <c r="C204" s="41" t="e">
        <f>Vuosikate!C204-'6. Poistot'!C204</f>
        <v>#REF!</v>
      </c>
      <c r="D204" s="41">
        <f>Vuosikate!D204-'6. Poistot'!D204</f>
        <v>1581</v>
      </c>
      <c r="E204" s="41">
        <f>Vuosikate!E204-'6. Poistot'!E204</f>
        <v>1833</v>
      </c>
      <c r="F204" s="41">
        <f>Vuosikate!F204-'6. Poistot'!F204</f>
        <v>1003</v>
      </c>
      <c r="G204" s="41">
        <f>Vuosikate!G204-'6. Poistot'!G204</f>
        <v>-647</v>
      </c>
      <c r="H204" s="41">
        <f>Vuosikate!H204-'6. Poistot'!H204</f>
        <v>1276.9065539462945</v>
      </c>
      <c r="I204" s="41">
        <f>Vuosikate!I204-'6. Poistot'!I204</f>
        <v>1305.1912914366128</v>
      </c>
      <c r="J204" s="41">
        <f>Vuosikate!J204-'6. Poistot'!J204</f>
        <v>-725.8434265844304</v>
      </c>
      <c r="K204" s="41">
        <f>Vuosikate!K204-'6. Poistot'!K204</f>
        <v>972.12554052820269</v>
      </c>
      <c r="L204" s="41">
        <f>Vuosikate!L204-'6. Poistot'!L204</f>
        <v>198.31972798408583</v>
      </c>
      <c r="M204" s="41">
        <f>Vuosikate!M204-'6. Poistot'!M204</f>
        <v>-1728.1358483628374</v>
      </c>
      <c r="N204" s="41">
        <f>Vuosikate!N204-'6. Poistot'!N204</f>
        <v>-2077.9883159561477</v>
      </c>
      <c r="O204" s="41">
        <f>Vuosikate!O204-'6. Poistot'!O204</f>
        <v>-2412.5037811342199</v>
      </c>
      <c r="P204" s="41">
        <f>Vuosikate!P204-'6. Poistot'!P204</f>
        <v>-2326.9350758177879</v>
      </c>
      <c r="T204" s="34">
        <v>611</v>
      </c>
      <c r="U204" s="88" t="s">
        <v>518</v>
      </c>
      <c r="V204" s="41" t="e">
        <f>C204/'1. Väestöennuste'!E204*1000</f>
        <v>#REF!</v>
      </c>
      <c r="W204" s="41">
        <f>D204/'1. Väestöennuste'!F204*1000</f>
        <v>309.51448707909162</v>
      </c>
      <c r="X204" s="41">
        <f>E204/'1. Väestöennuste'!G204*1000</f>
        <v>357.93790275336852</v>
      </c>
      <c r="Y204" s="41">
        <f>F204/'1. Väestöennuste'!H204*1000</f>
        <v>197.90844514601423</v>
      </c>
      <c r="Z204" s="41">
        <f>G204/'1. Väestöennuste'!I204*1000</f>
        <v>-128.50049652432969</v>
      </c>
      <c r="AA204" s="41">
        <f>H204/'1. Väestöennuste'!J204*1000</f>
        <v>251.85533608408173</v>
      </c>
      <c r="AB204" s="41">
        <f>I204/'1. Väestöennuste'!K204*1000</f>
        <v>257.63744402617698</v>
      </c>
      <c r="AC204" s="41">
        <f>J204/'1. Väestöennuste'!L204*1000</f>
        <v>-144.85001528326291</v>
      </c>
      <c r="AD204" s="41">
        <f>K204/'1. Väestöennuste'!M204*1000</f>
        <v>195.48070390673692</v>
      </c>
      <c r="AE204" s="41">
        <f>L204/'1. Väestöennuste'!N204*1000</f>
        <v>39.178136701715886</v>
      </c>
      <c r="AF204" s="41">
        <f>M204/'1. Väestöennuste'!O204*1000</f>
        <v>-341.0570057949156</v>
      </c>
      <c r="AG204" s="41">
        <f>N204/'1. Väestöennuste'!P204*1000</f>
        <v>-409.45582580416703</v>
      </c>
      <c r="AH204" s="41">
        <f>O204/'1. Väestöennuste'!Q204*1000</f>
        <v>-474.24882664325139</v>
      </c>
      <c r="AI204" s="41">
        <f>P204/'1. Väestöennuste'!R204*1000</f>
        <v>-456.53032682318775</v>
      </c>
    </row>
    <row r="205" spans="1:35" x14ac:dyDescent="0.2">
      <c r="A205" s="34">
        <v>614</v>
      </c>
      <c r="B205" s="88" t="s">
        <v>519</v>
      </c>
      <c r="C205" s="41" t="e">
        <f>Vuosikate!C205-'6. Poistot'!C205</f>
        <v>#REF!</v>
      </c>
      <c r="D205" s="41">
        <f>Vuosikate!D205-'6. Poistot'!D205</f>
        <v>-46</v>
      </c>
      <c r="E205" s="41">
        <f>Vuosikate!E205-'6. Poistot'!E205</f>
        <v>2912</v>
      </c>
      <c r="F205" s="41">
        <f>Vuosikate!F205-'6. Poistot'!F205</f>
        <v>797</v>
      </c>
      <c r="G205" s="41">
        <f>Vuosikate!G205-'6. Poistot'!G205</f>
        <v>243</v>
      </c>
      <c r="H205" s="41">
        <f>Vuosikate!H205-'6. Poistot'!H205</f>
        <v>652.33493180956066</v>
      </c>
      <c r="I205" s="41">
        <f>Vuosikate!I205-'6. Poistot'!I205</f>
        <v>777.80232701170871</v>
      </c>
      <c r="J205" s="41">
        <f>Vuosikate!J205-'6. Poistot'!J205</f>
        <v>-231.73102292497219</v>
      </c>
      <c r="K205" s="41">
        <f>Vuosikate!K205-'6. Poistot'!K205</f>
        <v>-338.49930596252671</v>
      </c>
      <c r="L205" s="41">
        <f>Vuosikate!L205-'6. Poistot'!L205</f>
        <v>-531.77621962692342</v>
      </c>
      <c r="M205" s="41">
        <f>Vuosikate!M205-'6. Poistot'!M205</f>
        <v>-1303.3560332455056</v>
      </c>
      <c r="N205" s="41">
        <f>Vuosikate!N205-'6. Poistot'!N205</f>
        <v>-1147.1437941948677</v>
      </c>
      <c r="O205" s="41">
        <f>Vuosikate!O205-'6. Poistot'!O205</f>
        <v>-1213.0503246850847</v>
      </c>
      <c r="P205" s="41">
        <f>Vuosikate!P205-'6. Poistot'!P205</f>
        <v>-923.10307904581805</v>
      </c>
      <c r="T205" s="34">
        <v>614</v>
      </c>
      <c r="U205" s="88" t="s">
        <v>519</v>
      </c>
      <c r="V205" s="41" t="e">
        <f>C205/'1. Väestöennuste'!E205*1000</f>
        <v>#REF!</v>
      </c>
      <c r="W205" s="41">
        <f>D205/'1. Väestöennuste'!F205*1000</f>
        <v>-13.434579439252337</v>
      </c>
      <c r="X205" s="41">
        <f>E205/'1. Väestöennuste'!G205*1000</f>
        <v>879.75830815709969</v>
      </c>
      <c r="Y205" s="41">
        <f>F205/'1. Väestöennuste'!H205*1000</f>
        <v>246.21563175780042</v>
      </c>
      <c r="Z205" s="41">
        <f>G205/'1. Väestöennuste'!I205*1000</f>
        <v>76.34307257304431</v>
      </c>
      <c r="AA205" s="41">
        <f>H205/'1. Väestöennuste'!J205*1000</f>
        <v>209.28294251188984</v>
      </c>
      <c r="AB205" s="41">
        <f>I205/'1. Väestöennuste'!K205*1000</f>
        <v>253.68634279573016</v>
      </c>
      <c r="AC205" s="41">
        <f>J205/'1. Väestöennuste'!L205*1000</f>
        <v>-77.269430785252482</v>
      </c>
      <c r="AD205" s="41">
        <f>K205/'1. Väestöennuste'!M205*1000</f>
        <v>-115.80544165669747</v>
      </c>
      <c r="AE205" s="41">
        <f>L205/'1. Väestöennuste'!N205*1000</f>
        <v>-186.19615533155581</v>
      </c>
      <c r="AF205" s="41">
        <f>M205/'1. Väestöennuste'!O205*1000</f>
        <v>-464.82026863249132</v>
      </c>
      <c r="AG205" s="41">
        <f>N205/'1. Väestöennuste'!P205*1000</f>
        <v>-416.08407478957844</v>
      </c>
      <c r="AH205" s="41">
        <f>O205/'1. Väestöennuste'!Q205*1000</f>
        <v>-447.62004600925633</v>
      </c>
      <c r="AI205" s="41">
        <f>P205/'1. Väestöennuste'!R205*1000</f>
        <v>-346.12038959348257</v>
      </c>
    </row>
    <row r="206" spans="1:35" x14ac:dyDescent="0.2">
      <c r="A206" s="34">
        <v>615</v>
      </c>
      <c r="B206" s="88" t="s">
        <v>520</v>
      </c>
      <c r="C206" s="41" t="e">
        <f>Vuosikate!C206-'6. Poistot'!C206</f>
        <v>#REF!</v>
      </c>
      <c r="D206" s="41">
        <f>Vuosikate!D206-'6. Poistot'!D206</f>
        <v>-1414</v>
      </c>
      <c r="E206" s="41">
        <f>Vuosikate!E206-'6. Poistot'!E206</f>
        <v>988</v>
      </c>
      <c r="F206" s="41">
        <f>Vuosikate!F206-'6. Poistot'!F206</f>
        <v>-4665</v>
      </c>
      <c r="G206" s="41">
        <f>Vuosikate!G206-'6. Poistot'!G206</f>
        <v>-4030</v>
      </c>
      <c r="H206" s="41">
        <f>Vuosikate!H206-'6. Poistot'!H206</f>
        <v>173.46375811136386</v>
      </c>
      <c r="I206" s="41">
        <f>Vuosikate!I206-'6. Poistot'!I206</f>
        <v>-959.94850273265729</v>
      </c>
      <c r="J206" s="41">
        <f>Vuosikate!J206-'6. Poistot'!J206</f>
        <v>703.38615142454546</v>
      </c>
      <c r="K206" s="41">
        <f>Vuosikate!K206-'6. Poistot'!K206</f>
        <v>-4355.5262144445278</v>
      </c>
      <c r="L206" s="41">
        <f>Vuosikate!L206-'6. Poistot'!L206</f>
        <v>-354.11266186892499</v>
      </c>
      <c r="M206" s="41">
        <f>Vuosikate!M206-'6. Poistot'!M206</f>
        <v>-4906.6653580163693</v>
      </c>
      <c r="N206" s="41">
        <f>Vuosikate!N206-'6. Poistot'!N206</f>
        <v>-4664.1763381170113</v>
      </c>
      <c r="O206" s="41">
        <f>Vuosikate!O206-'6. Poistot'!O206</f>
        <v>-4824.6629741302886</v>
      </c>
      <c r="P206" s="41">
        <f>Vuosikate!P206-'6. Poistot'!P206</f>
        <v>-3924.7611266092927</v>
      </c>
      <c r="T206" s="34">
        <v>615</v>
      </c>
      <c r="U206" s="88" t="s">
        <v>520</v>
      </c>
      <c r="V206" s="41" t="e">
        <f>C206/'1. Väestöennuste'!E206*1000</f>
        <v>#REF!</v>
      </c>
      <c r="W206" s="41">
        <f>D206/'1. Väestöennuste'!F206*1000</f>
        <v>-172.71283742518628</v>
      </c>
      <c r="X206" s="41">
        <f>E206/'1. Väestöennuste'!G206*1000</f>
        <v>121.93014932740959</v>
      </c>
      <c r="Y206" s="41">
        <f>F206/'1. Väestöennuste'!H206*1000</f>
        <v>-583.85481852315388</v>
      </c>
      <c r="Z206" s="41">
        <f>G206/'1. Väestöennuste'!I206*1000</f>
        <v>-511.87603200812902</v>
      </c>
      <c r="AA206" s="41">
        <f>H206/'1. Väestöennuste'!J206*1000</f>
        <v>22.29897906046585</v>
      </c>
      <c r="AB206" s="41">
        <f>I206/'1. Väestöennuste'!K206*1000</f>
        <v>-124.63626366303004</v>
      </c>
      <c r="AC206" s="41">
        <f>J206/'1. Väestöennuste'!L206*1000</f>
        <v>92.514290599045822</v>
      </c>
      <c r="AD206" s="41">
        <f>K206/'1. Väestöennuste'!M206*1000</f>
        <v>-582.36745747352961</v>
      </c>
      <c r="AE206" s="41">
        <f>L206/'1. Väestöennuste'!N206*1000</f>
        <v>-47.846596658414406</v>
      </c>
      <c r="AF206" s="41">
        <f>M206/'1. Väestöennuste'!O206*1000</f>
        <v>-670.85935986004495</v>
      </c>
      <c r="AG206" s="41">
        <f>N206/'1. Väestöennuste'!P206*1000</f>
        <v>-645.29279719383112</v>
      </c>
      <c r="AH206" s="41">
        <f>O206/'1. Väestöennuste'!Q206*1000</f>
        <v>-674.87242609180146</v>
      </c>
      <c r="AI206" s="41">
        <f>P206/'1. Väestöennuste'!R206*1000</f>
        <v>-555.05036439107516</v>
      </c>
    </row>
    <row r="207" spans="1:35" x14ac:dyDescent="0.2">
      <c r="A207" s="34">
        <v>616</v>
      </c>
      <c r="B207" s="88" t="s">
        <v>521</v>
      </c>
      <c r="C207" s="41" t="e">
        <f>Vuosikate!C207-'6. Poistot'!C207</f>
        <v>#REF!</v>
      </c>
      <c r="D207" s="41">
        <f>Vuosikate!D207-'6. Poistot'!D207</f>
        <v>-2231</v>
      </c>
      <c r="E207" s="41">
        <f>Vuosikate!E207-'6. Poistot'!E207</f>
        <v>120</v>
      </c>
      <c r="F207" s="41">
        <f>Vuosikate!F207-'6. Poistot'!F207</f>
        <v>-1183</v>
      </c>
      <c r="G207" s="41">
        <f>Vuosikate!G207-'6. Poistot'!G207</f>
        <v>-1095</v>
      </c>
      <c r="H207" s="41">
        <f>Vuosikate!H207-'6. Poistot'!H207</f>
        <v>303.10617217742038</v>
      </c>
      <c r="I207" s="41">
        <f>Vuosikate!I207-'6. Poistot'!I207</f>
        <v>-444.88725478409447</v>
      </c>
      <c r="J207" s="41">
        <f>Vuosikate!J207-'6. Poistot'!J207</f>
        <v>-623.88289490497664</v>
      </c>
      <c r="K207" s="41">
        <f>Vuosikate!K207-'6. Poistot'!K207</f>
        <v>-164.40760398078584</v>
      </c>
      <c r="L207" s="41">
        <f>Vuosikate!L207-'6. Poistot'!L207</f>
        <v>-637.05563737927537</v>
      </c>
      <c r="M207" s="41">
        <f>Vuosikate!M207-'6. Poistot'!M207</f>
        <v>-1428.3053971673116</v>
      </c>
      <c r="N207" s="41">
        <f>Vuosikate!N207-'6. Poistot'!N207</f>
        <v>-1414.5390316508146</v>
      </c>
      <c r="O207" s="41">
        <f>Vuosikate!O207-'6. Poistot'!O207</f>
        <v>-1418.4689193654044</v>
      </c>
      <c r="P207" s="41">
        <f>Vuosikate!P207-'6. Poistot'!P207</f>
        <v>-1361.4255293514204</v>
      </c>
      <c r="T207" s="34">
        <v>616</v>
      </c>
      <c r="U207" s="88" t="s">
        <v>521</v>
      </c>
      <c r="V207" s="41" t="e">
        <f>C207/'1. Väestöennuste'!E207*1000</f>
        <v>#REF!</v>
      </c>
      <c r="W207" s="41">
        <f>D207/'1. Väestöennuste'!F207*1000</f>
        <v>-1122.2334004024146</v>
      </c>
      <c r="X207" s="41">
        <f>E207/'1. Väestöennuste'!G207*1000</f>
        <v>61.855670103092784</v>
      </c>
      <c r="Y207" s="41">
        <f>F207/'1. Väestöennuste'!H207*1000</f>
        <v>-622.95945234333863</v>
      </c>
      <c r="Z207" s="41">
        <f>G207/'1. Väestöennuste'!I207*1000</f>
        <v>-588.70967741935488</v>
      </c>
      <c r="AA207" s="41">
        <f>H207/'1. Väestöennuste'!J207*1000</f>
        <v>165.3607049522206</v>
      </c>
      <c r="AB207" s="41">
        <f>I207/'1. Väestöennuste'!K207*1000</f>
        <v>-240.7398564848996</v>
      </c>
      <c r="AC207" s="41">
        <f>J207/'1. Väestöennuste'!L207*1000</f>
        <v>-345.25893464580889</v>
      </c>
      <c r="AD207" s="41">
        <f>K207/'1. Väestöennuste'!M207*1000</f>
        <v>-92.311961808414281</v>
      </c>
      <c r="AE207" s="41">
        <f>L207/'1. Väestöennuste'!N207*1000</f>
        <v>-365.28419574499731</v>
      </c>
      <c r="AF207" s="41">
        <f>M207/'1. Väestöennuste'!O207*1000</f>
        <v>-826.56562336071272</v>
      </c>
      <c r="AG207" s="41">
        <f>N207/'1. Väestöennuste'!P207*1000</f>
        <v>-823.84334982575115</v>
      </c>
      <c r="AH207" s="41">
        <f>O207/'1. Väestöennuste'!Q207*1000</f>
        <v>-831.45892108171415</v>
      </c>
      <c r="AI207" s="41">
        <f>P207/'1. Väestöennuste'!R207*1000</f>
        <v>-802.25428954120241</v>
      </c>
    </row>
    <row r="208" spans="1:35" x14ac:dyDescent="0.2">
      <c r="A208" s="34">
        <v>619</v>
      </c>
      <c r="B208" s="88" t="s">
        <v>522</v>
      </c>
      <c r="C208" s="41" t="e">
        <f>Vuosikate!C208-'6. Poistot'!C208</f>
        <v>#REF!</v>
      </c>
      <c r="D208" s="41">
        <f>Vuosikate!D208-'6. Poistot'!D208</f>
        <v>304</v>
      </c>
      <c r="E208" s="41">
        <f>Vuosikate!E208-'6. Poistot'!E208</f>
        <v>354</v>
      </c>
      <c r="F208" s="41">
        <f>Vuosikate!F208-'6. Poistot'!F208</f>
        <v>-17</v>
      </c>
      <c r="G208" s="41">
        <f>Vuosikate!G208-'6. Poistot'!G208</f>
        <v>-369</v>
      </c>
      <c r="H208" s="41">
        <f>Vuosikate!H208-'6. Poistot'!H208</f>
        <v>965.41477293481694</v>
      </c>
      <c r="I208" s="41">
        <f>Vuosikate!I208-'6. Poistot'!I208</f>
        <v>-252.10921880928015</v>
      </c>
      <c r="J208" s="41">
        <f>Vuosikate!J208-'6. Poistot'!J208</f>
        <v>640.61507812299988</v>
      </c>
      <c r="K208" s="41">
        <f>Vuosikate!K208-'6. Poistot'!K208</f>
        <v>808.63471457517994</v>
      </c>
      <c r="L208" s="41">
        <f>Vuosikate!L208-'6. Poistot'!L208</f>
        <v>-505.4446874843203</v>
      </c>
      <c r="M208" s="41">
        <f>Vuosikate!M208-'6. Poistot'!M208</f>
        <v>-712.17712797502384</v>
      </c>
      <c r="N208" s="41">
        <f>Vuosikate!N208-'6. Poistot'!N208</f>
        <v>-603.16021458116484</v>
      </c>
      <c r="O208" s="41">
        <f>Vuosikate!O208-'6. Poistot'!O208</f>
        <v>-824.49711273597904</v>
      </c>
      <c r="P208" s="41">
        <f>Vuosikate!P208-'6. Poistot'!P208</f>
        <v>-612.29156792299977</v>
      </c>
      <c r="T208" s="34">
        <v>619</v>
      </c>
      <c r="U208" s="88" t="s">
        <v>522</v>
      </c>
      <c r="V208" s="41" t="e">
        <f>C208/'1. Väestöennuste'!E208*1000</f>
        <v>#REF!</v>
      </c>
      <c r="W208" s="41">
        <f>D208/'1. Väestöennuste'!F208*1000</f>
        <v>101.23210123210123</v>
      </c>
      <c r="X208" s="41">
        <f>E208/'1. Väestöennuste'!G208*1000</f>
        <v>120.04069175991862</v>
      </c>
      <c r="Y208" s="41">
        <f>F208/'1. Väestöennuste'!H208*1000</f>
        <v>-5.8701657458563536</v>
      </c>
      <c r="Z208" s="41">
        <f>G208/'1. Väestöennuste'!I208*1000</f>
        <v>-130.4809052333805</v>
      </c>
      <c r="AA208" s="41">
        <f>H208/'1. Väestöennuste'!J208*1000</f>
        <v>346.64803336977269</v>
      </c>
      <c r="AB208" s="41">
        <f>I208/'1. Väestöennuste'!K208*1000</f>
        <v>-92.653149139757502</v>
      </c>
      <c r="AC208" s="41">
        <f>J208/'1. Väestöennuste'!L208*1000</f>
        <v>239.48227219551396</v>
      </c>
      <c r="AD208" s="41">
        <f>K208/'1. Väestöennuste'!M208*1000</f>
        <v>305.1451753113887</v>
      </c>
      <c r="AE208" s="41">
        <f>L208/'1. Väestöennuste'!N208*1000</f>
        <v>-197.20822765677735</v>
      </c>
      <c r="AF208" s="41">
        <f>M208/'1. Väestöennuste'!O208*1000</f>
        <v>-283.05927185016844</v>
      </c>
      <c r="AG208" s="41">
        <f>N208/'1. Väestöennuste'!P208*1000</f>
        <v>-243.79960169004238</v>
      </c>
      <c r="AH208" s="41">
        <f>O208/'1. Väestöennuste'!Q208*1000</f>
        <v>-338.46351097536086</v>
      </c>
      <c r="AI208" s="41">
        <f>P208/'1. Väestöennuste'!R208*1000</f>
        <v>-255.12148663458322</v>
      </c>
    </row>
    <row r="209" spans="1:35" x14ac:dyDescent="0.2">
      <c r="A209" s="34">
        <v>620</v>
      </c>
      <c r="B209" s="88" t="s">
        <v>523</v>
      </c>
      <c r="C209" s="41" t="e">
        <f>Vuosikate!C209-'6. Poistot'!C209</f>
        <v>#REF!</v>
      </c>
      <c r="D209" s="41">
        <f>Vuosikate!D209-'6. Poistot'!D209</f>
        <v>337</v>
      </c>
      <c r="E209" s="41">
        <f>Vuosikate!E209-'6. Poistot'!E209</f>
        <v>1048</v>
      </c>
      <c r="F209" s="41">
        <f>Vuosikate!F209-'6. Poistot'!F209</f>
        <v>-976</v>
      </c>
      <c r="G209" s="41">
        <f>Vuosikate!G209-'6. Poistot'!G209</f>
        <v>348</v>
      </c>
      <c r="H209" s="41">
        <f>Vuosikate!H209-'6. Poistot'!H209</f>
        <v>1296.4031489030967</v>
      </c>
      <c r="I209" s="41">
        <f>Vuosikate!I209-'6. Poistot'!I209</f>
        <v>418.76295470772811</v>
      </c>
      <c r="J209" s="41">
        <f>Vuosikate!J209-'6. Poistot'!J209</f>
        <v>1130.2430680719806</v>
      </c>
      <c r="K209" s="41">
        <f>Vuosikate!K209-'6. Poistot'!K209</f>
        <v>-4.0092437238392904</v>
      </c>
      <c r="L209" s="41">
        <f>Vuosikate!L209-'6. Poistot'!L209</f>
        <v>-34.554102480993038</v>
      </c>
      <c r="M209" s="41">
        <f>Vuosikate!M209-'6. Poistot'!M209</f>
        <v>-839.49420009823075</v>
      </c>
      <c r="N209" s="41">
        <f>Vuosikate!N209-'6. Poistot'!N209</f>
        <v>-993.35176840027725</v>
      </c>
      <c r="O209" s="41">
        <f>Vuosikate!O209-'6. Poistot'!O209</f>
        <v>-1230.5629660697073</v>
      </c>
      <c r="P209" s="41">
        <f>Vuosikate!P209-'6. Poistot'!P209</f>
        <v>-981.21073919184607</v>
      </c>
      <c r="T209" s="34">
        <v>620</v>
      </c>
      <c r="U209" s="88" t="s">
        <v>523</v>
      </c>
      <c r="V209" s="41" t="e">
        <f>C209/'1. Väestöennuste'!E209*1000</f>
        <v>#REF!</v>
      </c>
      <c r="W209" s="41">
        <f>D209/'1. Väestöennuste'!F209*1000</f>
        <v>123.21755027422303</v>
      </c>
      <c r="X209" s="41">
        <f>E209/'1. Väestöennuste'!G209*1000</f>
        <v>392.65642562757586</v>
      </c>
      <c r="Y209" s="41">
        <f>F209/'1. Väestöennuste'!H209*1000</f>
        <v>-375.8182518290335</v>
      </c>
      <c r="Z209" s="41">
        <f>G209/'1. Väestöennuste'!I209*1000</f>
        <v>137.65822784810129</v>
      </c>
      <c r="AA209" s="41">
        <f>H209/'1. Väestöennuste'!J209*1000</f>
        <v>520.4348249309902</v>
      </c>
      <c r="AB209" s="41">
        <f>I209/'1. Väestöennuste'!K209*1000</f>
        <v>171.20317036293054</v>
      </c>
      <c r="AC209" s="41">
        <f>J209/'1. Väestöennuste'!L209*1000</f>
        <v>474.89204540839518</v>
      </c>
      <c r="AD209" s="41">
        <f>K209/'1. Väestöennuste'!M209*1000</f>
        <v>-1.6995522356249642</v>
      </c>
      <c r="AE209" s="41">
        <f>L209/'1. Väestöennuste'!N209*1000</f>
        <v>-15.13539311475823</v>
      </c>
      <c r="AF209" s="41">
        <f>M209/'1. Väestöennuste'!O209*1000</f>
        <v>-375.10911532539353</v>
      </c>
      <c r="AG209" s="41">
        <f>N209/'1. Väestöennuste'!P209*1000</f>
        <v>-452.34597832435213</v>
      </c>
      <c r="AH209" s="41">
        <f>O209/'1. Väestöennuste'!Q209*1000</f>
        <v>-570.49743443194586</v>
      </c>
      <c r="AI209" s="41">
        <f>P209/'1. Väestöennuste'!R209*1000</f>
        <v>-463.0536758810033</v>
      </c>
    </row>
    <row r="210" spans="1:35" x14ac:dyDescent="0.2">
      <c r="A210" s="34">
        <v>623</v>
      </c>
      <c r="B210" s="88" t="s">
        <v>524</v>
      </c>
      <c r="C210" s="41" t="e">
        <f>Vuosikate!C210-'6. Poistot'!C210</f>
        <v>#REF!</v>
      </c>
      <c r="D210" s="41">
        <f>Vuosikate!D210-'6. Poistot'!D210</f>
        <v>1574</v>
      </c>
      <c r="E210" s="41">
        <f>Vuosikate!E210-'6. Poistot'!E210</f>
        <v>1729</v>
      </c>
      <c r="F210" s="41">
        <f>Vuosikate!F210-'6. Poistot'!F210</f>
        <v>1705</v>
      </c>
      <c r="G210" s="41">
        <f>Vuosikate!G210-'6. Poistot'!G210</f>
        <v>1350</v>
      </c>
      <c r="H210" s="41">
        <f>Vuosikate!H210-'6. Poistot'!H210</f>
        <v>1736.0752507944962</v>
      </c>
      <c r="I210" s="41">
        <f>Vuosikate!I210-'6. Poistot'!I210</f>
        <v>1557.7846435266417</v>
      </c>
      <c r="J210" s="41">
        <f>Vuosikate!J210-'6. Poistot'!J210</f>
        <v>602.21783444598452</v>
      </c>
      <c r="K210" s="41">
        <f>Vuosikate!K210-'6. Poistot'!K210</f>
        <v>1658.4239920357036</v>
      </c>
      <c r="L210" s="41">
        <f>Vuosikate!L210-'6. Poistot'!L210</f>
        <v>182.94396940996955</v>
      </c>
      <c r="M210" s="41">
        <f>Vuosikate!M210-'6. Poistot'!M210</f>
        <v>417.13159602636756</v>
      </c>
      <c r="N210" s="41">
        <f>Vuosikate!N210-'6. Poistot'!N210</f>
        <v>346.34871741394409</v>
      </c>
      <c r="O210" s="41">
        <f>Vuosikate!O210-'6. Poistot'!O210</f>
        <v>225.35029386949293</v>
      </c>
      <c r="P210" s="41">
        <f>Vuosikate!P210-'6. Poistot'!P210</f>
        <v>244.82120441088284</v>
      </c>
      <c r="T210" s="34">
        <v>623</v>
      </c>
      <c r="U210" s="88" t="s">
        <v>524</v>
      </c>
      <c r="V210" s="41" t="e">
        <f>C210/'1. Väestöennuste'!E210*1000</f>
        <v>#REF!</v>
      </c>
      <c r="W210" s="41">
        <f>D210/'1. Väestöennuste'!F210*1000</f>
        <v>704.56580125335722</v>
      </c>
      <c r="X210" s="41">
        <f>E210/'1. Väestöennuste'!G210*1000</f>
        <v>783.0615942028985</v>
      </c>
      <c r="Y210" s="41">
        <f>F210/'1. Väestöennuste'!H210*1000</f>
        <v>776.05826126536181</v>
      </c>
      <c r="Z210" s="41">
        <f>G210/'1. Väestöennuste'!I210*1000</f>
        <v>627.61506276150624</v>
      </c>
      <c r="AA210" s="41">
        <f>H210/'1. Väestöennuste'!J210*1000</f>
        <v>812.3889802501152</v>
      </c>
      <c r="AB210" s="41">
        <f>I210/'1. Väestöennuste'!K210*1000</f>
        <v>735.84536774994888</v>
      </c>
      <c r="AC210" s="41">
        <f>J210/'1. Väestöennuste'!L210*1000</f>
        <v>285.81767178262197</v>
      </c>
      <c r="AD210" s="41">
        <f>K210/'1. Väestöennuste'!M210*1000</f>
        <v>786.72864897329384</v>
      </c>
      <c r="AE210" s="41">
        <f>L210/'1. Väestöennuste'!N210*1000</f>
        <v>89.240960687790022</v>
      </c>
      <c r="AF210" s="41">
        <f>M210/'1. Väestöennuste'!O210*1000</f>
        <v>205.18032268881828</v>
      </c>
      <c r="AG210" s="41">
        <f>N210/'1. Väestöennuste'!P210*1000</f>
        <v>171.7999590346945</v>
      </c>
      <c r="AH210" s="41">
        <f>O210/'1. Väestöennuste'!Q210*1000</f>
        <v>112.67514693474646</v>
      </c>
      <c r="AI210" s="41">
        <f>P210/'1. Väestöennuste'!R210*1000</f>
        <v>123.46001231007708</v>
      </c>
    </row>
    <row r="211" spans="1:35" x14ac:dyDescent="0.2">
      <c r="A211" s="34">
        <v>624</v>
      </c>
      <c r="B211" s="88" t="s">
        <v>525</v>
      </c>
      <c r="C211" s="41" t="e">
        <f>Vuosikate!C211-'6. Poistot'!C211</f>
        <v>#REF!</v>
      </c>
      <c r="D211" s="41">
        <f>Vuosikate!D211-'6. Poistot'!D211</f>
        <v>520</v>
      </c>
      <c r="E211" s="41">
        <f>Vuosikate!E211-'6. Poistot'!E211</f>
        <v>1841</v>
      </c>
      <c r="F211" s="41">
        <f>Vuosikate!F211-'6. Poistot'!F211</f>
        <v>-1096</v>
      </c>
      <c r="G211" s="41">
        <f>Vuosikate!G211-'6. Poistot'!G211</f>
        <v>-795</v>
      </c>
      <c r="H211" s="41">
        <f>Vuosikate!H211-'6. Poistot'!H211</f>
        <v>1116.5151978611502</v>
      </c>
      <c r="I211" s="41">
        <f>Vuosikate!I211-'6. Poistot'!I211</f>
        <v>1001.6841922917897</v>
      </c>
      <c r="J211" s="41">
        <f>Vuosikate!J211-'6. Poistot'!J211</f>
        <v>1137.1653892291795</v>
      </c>
      <c r="K211" s="41">
        <f>Vuosikate!K211-'6. Poistot'!K211</f>
        <v>3035.2398091767818</v>
      </c>
      <c r="L211" s="41">
        <f>Vuosikate!L211-'6. Poistot'!L211</f>
        <v>285.42161228726877</v>
      </c>
      <c r="M211" s="41">
        <f>Vuosikate!M211-'6. Poistot'!M211</f>
        <v>-274.93042804537436</v>
      </c>
      <c r="N211" s="41">
        <f>Vuosikate!N211-'6. Poistot'!N211</f>
        <v>-384.66046140825233</v>
      </c>
      <c r="O211" s="41">
        <f>Vuosikate!O211-'6. Poistot'!O211</f>
        <v>-346.70079456836902</v>
      </c>
      <c r="P211" s="41">
        <f>Vuosikate!P211-'6. Poistot'!P211</f>
        <v>185.49565233614544</v>
      </c>
      <c r="T211" s="34">
        <v>624</v>
      </c>
      <c r="U211" s="88" t="s">
        <v>525</v>
      </c>
      <c r="V211" s="41" t="e">
        <f>C211/'1. Väestöennuste'!E211*1000</f>
        <v>#REF!</v>
      </c>
      <c r="W211" s="41">
        <f>D211/'1. Väestöennuste'!F211*1000</f>
        <v>97.378277153558059</v>
      </c>
      <c r="X211" s="41">
        <f>E211/'1. Väestöennuste'!G211*1000</f>
        <v>349.7340425531915</v>
      </c>
      <c r="Y211" s="41">
        <f>F211/'1. Väestöennuste'!H211*1000</f>
        <v>-211.29747445536921</v>
      </c>
      <c r="Z211" s="41">
        <f>G211/'1. Väestöennuste'!I211*1000</f>
        <v>-154.66926070038912</v>
      </c>
      <c r="AA211" s="41">
        <f>H211/'1. Väestöennuste'!J211*1000</f>
        <v>217.85662397290736</v>
      </c>
      <c r="AB211" s="41">
        <f>I211/'1. Väestöennuste'!K211*1000</f>
        <v>195.67966249107047</v>
      </c>
      <c r="AC211" s="41">
        <f>J211/'1. Väestöennuste'!L211*1000</f>
        <v>222.23282963243688</v>
      </c>
      <c r="AD211" s="41">
        <f>K211/'1. Väestöennuste'!M211*1000</f>
        <v>599.25761286807142</v>
      </c>
      <c r="AE211" s="41">
        <f>L211/'1. Väestöennuste'!N211*1000</f>
        <v>57.233128591792415</v>
      </c>
      <c r="AF211" s="41">
        <f>M211/'1. Väestöennuste'!O211*1000</f>
        <v>-55.58641893355729</v>
      </c>
      <c r="AG211" s="41">
        <f>N211/'1. Väestöennuste'!P211*1000</f>
        <v>-78.390149054055911</v>
      </c>
      <c r="AH211" s="41">
        <f>O211/'1. Väestöennuste'!Q211*1000</f>
        <v>-71.220376862853129</v>
      </c>
      <c r="AI211" s="41">
        <f>P211/'1. Väestöennuste'!R211*1000</f>
        <v>38.444694784693354</v>
      </c>
    </row>
    <row r="212" spans="1:35" x14ac:dyDescent="0.2">
      <c r="A212" s="34">
        <v>625</v>
      </c>
      <c r="B212" s="88" t="s">
        <v>526</v>
      </c>
      <c r="C212" s="41" t="e">
        <f>Vuosikate!C212-'6. Poistot'!C212</f>
        <v>#REF!</v>
      </c>
      <c r="D212" s="41">
        <f>Vuosikate!D212-'6. Poistot'!D212</f>
        <v>624</v>
      </c>
      <c r="E212" s="41">
        <f>Vuosikate!E212-'6. Poistot'!E212</f>
        <v>958</v>
      </c>
      <c r="F212" s="41">
        <f>Vuosikate!F212-'6. Poistot'!F212</f>
        <v>-2005</v>
      </c>
      <c r="G212" s="41">
        <f>Vuosikate!G212-'6. Poistot'!G212</f>
        <v>-946</v>
      </c>
      <c r="H212" s="41">
        <f>Vuosikate!H212-'6. Poistot'!H212</f>
        <v>1870.869630893254</v>
      </c>
      <c r="I212" s="41">
        <f>Vuosikate!I212-'6. Poistot'!I212</f>
        <v>2173.080095100659</v>
      </c>
      <c r="J212" s="41">
        <f>Vuosikate!J212-'6. Poistot'!J212</f>
        <v>2177.0706595823831</v>
      </c>
      <c r="K212" s="41">
        <f>Vuosikate!K212-'6. Poistot'!K212</f>
        <v>3247.4418752282968</v>
      </c>
      <c r="L212" s="41">
        <f>Vuosikate!L212-'6. Poistot'!L212</f>
        <v>2665.9160548538734</v>
      </c>
      <c r="M212" s="41">
        <f>Vuosikate!M212-'6. Poistot'!M212</f>
        <v>2014.0186528815641</v>
      </c>
      <c r="N212" s="41">
        <f>Vuosikate!N212-'6. Poistot'!N212</f>
        <v>1896.3088745245873</v>
      </c>
      <c r="O212" s="41">
        <f>Vuosikate!O212-'6. Poistot'!O212</f>
        <v>1529.6284227924984</v>
      </c>
      <c r="P212" s="41">
        <f>Vuosikate!P212-'6. Poistot'!P212</f>
        <v>1750.8336070875273</v>
      </c>
      <c r="T212" s="34">
        <v>625</v>
      </c>
      <c r="U212" s="88" t="s">
        <v>526</v>
      </c>
      <c r="V212" s="41" t="e">
        <f>C212/'1. Väestöennuste'!E212*1000</f>
        <v>#REF!</v>
      </c>
      <c r="W212" s="41">
        <f>D212/'1. Väestöennuste'!F212*1000</f>
        <v>195.73400250941029</v>
      </c>
      <c r="X212" s="41">
        <f>E212/'1. Väestöennuste'!G212*1000</f>
        <v>300.40765130134838</v>
      </c>
      <c r="Y212" s="41">
        <f>F212/'1. Väestöennuste'!H212*1000</f>
        <v>-637.31722822631912</v>
      </c>
      <c r="Z212" s="41">
        <f>G212/'1. Väestöennuste'!I212*1000</f>
        <v>-307.44231394215143</v>
      </c>
      <c r="AA212" s="41">
        <f>H212/'1. Väestöennuste'!J212*1000</f>
        <v>613.19883018461292</v>
      </c>
      <c r="AB212" s="41">
        <f>I212/'1. Väestöennuste'!K212*1000</f>
        <v>712.95278710651542</v>
      </c>
      <c r="AC212" s="41">
        <f>J212/'1. Väestöennuste'!L212*1000</f>
        <v>727.87384138494929</v>
      </c>
      <c r="AD212" s="41">
        <f>K212/'1. Väestöennuste'!M212*1000</f>
        <v>1089.7455957141935</v>
      </c>
      <c r="AE212" s="41">
        <f>L212/'1. Väestöennuste'!N212*1000</f>
        <v>915.49315070531372</v>
      </c>
      <c r="AF212" s="41">
        <f>M212/'1. Väestöennuste'!O212*1000</f>
        <v>699.55493326903922</v>
      </c>
      <c r="AG212" s="41">
        <f>N212/'1. Väestöennuste'!P212*1000</f>
        <v>666.07266404095094</v>
      </c>
      <c r="AH212" s="41">
        <f>O212/'1. Väestöennuste'!Q212*1000</f>
        <v>543.57797540600518</v>
      </c>
      <c r="AI212" s="41">
        <f>P212/'1. Väestöennuste'!R212*1000</f>
        <v>629.56979758630973</v>
      </c>
    </row>
    <row r="213" spans="1:35" x14ac:dyDescent="0.2">
      <c r="A213" s="34">
        <v>626</v>
      </c>
      <c r="B213" s="88" t="s">
        <v>527</v>
      </c>
      <c r="C213" s="41" t="e">
        <f>Vuosikate!C213-'6. Poistot'!C213</f>
        <v>#REF!</v>
      </c>
      <c r="D213" s="41">
        <f>Vuosikate!D213-'6. Poistot'!D213</f>
        <v>-4606</v>
      </c>
      <c r="E213" s="41">
        <f>Vuosikate!E213-'6. Poistot'!E213</f>
        <v>-1535</v>
      </c>
      <c r="F213" s="41">
        <f>Vuosikate!F213-'6. Poistot'!F213</f>
        <v>-2337</v>
      </c>
      <c r="G213" s="41">
        <f>Vuosikate!G213-'6. Poistot'!G213</f>
        <v>-3578</v>
      </c>
      <c r="H213" s="41">
        <f>Vuosikate!H213-'6. Poistot'!H213</f>
        <v>332.261955174592</v>
      </c>
      <c r="I213" s="41">
        <f>Vuosikate!I213-'6. Poistot'!I213</f>
        <v>1656.3478287169064</v>
      </c>
      <c r="J213" s="41">
        <f>Vuosikate!J213-'6. Poistot'!J213</f>
        <v>-1377.2728386409681</v>
      </c>
      <c r="K213" s="41">
        <f>Vuosikate!K213-'6. Poistot'!K213</f>
        <v>-2904.8139023158992</v>
      </c>
      <c r="L213" s="41">
        <f>Vuosikate!L213-'6. Poistot'!L213</f>
        <v>-2966.5766714368601</v>
      </c>
      <c r="M213" s="41">
        <f>Vuosikate!M213-'6. Poistot'!M213</f>
        <v>-3321.1029290554588</v>
      </c>
      <c r="N213" s="41">
        <f>Vuosikate!N213-'6. Poistot'!N213</f>
        <v>-3317.8769371499384</v>
      </c>
      <c r="O213" s="41">
        <f>Vuosikate!O213-'6. Poistot'!O213</f>
        <v>-3632.2435103697158</v>
      </c>
      <c r="P213" s="41">
        <f>Vuosikate!P213-'6. Poistot'!P213</f>
        <v>-3053.0263059756016</v>
      </c>
      <c r="T213" s="34">
        <v>626</v>
      </c>
      <c r="U213" s="88" t="s">
        <v>527</v>
      </c>
      <c r="V213" s="41" t="e">
        <f>C213/'1. Väestöennuste'!E213*1000</f>
        <v>#REF!</v>
      </c>
      <c r="W213" s="41">
        <f>D213/'1. Väestöennuste'!F213*1000</f>
        <v>-845.75835475578413</v>
      </c>
      <c r="X213" s="41">
        <f>E213/'1. Väestöennuste'!G213*1000</f>
        <v>-287.61476484916619</v>
      </c>
      <c r="Y213" s="41">
        <f>F213/'1. Väestöennuste'!H213*1000</f>
        <v>-445.3125</v>
      </c>
      <c r="Z213" s="41">
        <f>G213/'1. Väestöennuste'!I213*1000</f>
        <v>-697.32995517442998</v>
      </c>
      <c r="AA213" s="41">
        <f>H213/'1. Väestöennuste'!J213*1000</f>
        <v>66.016680940709719</v>
      </c>
      <c r="AB213" s="41">
        <f>I213/'1. Väestöennuste'!K213*1000</f>
        <v>333.67200417342997</v>
      </c>
      <c r="AC213" s="41">
        <f>J213/'1. Väestöennuste'!L213*1000</f>
        <v>-284.85477531354047</v>
      </c>
      <c r="AD213" s="41">
        <f>K213/'1. Väestöennuste'!M213*1000</f>
        <v>-610.76827214379716</v>
      </c>
      <c r="AE213" s="41">
        <f>L213/'1. Väestöennuste'!N213*1000</f>
        <v>-631.72416342352221</v>
      </c>
      <c r="AF213" s="41">
        <f>M213/'1. Väestöennuste'!O213*1000</f>
        <v>-719.00907751796035</v>
      </c>
      <c r="AG213" s="41">
        <f>N213/'1. Väestöennuste'!P213*1000</f>
        <v>-730.16657947841952</v>
      </c>
      <c r="AH213" s="41">
        <f>O213/'1. Väestöennuste'!Q213*1000</f>
        <v>-812.219031835804</v>
      </c>
      <c r="AI213" s="41">
        <f>P213/'1. Väestöennuste'!R213*1000</f>
        <v>-694.02734848274645</v>
      </c>
    </row>
    <row r="214" spans="1:35" x14ac:dyDescent="0.2">
      <c r="A214" s="34">
        <v>630</v>
      </c>
      <c r="B214" s="88" t="s">
        <v>528</v>
      </c>
      <c r="C214" s="41" t="e">
        <f>Vuosikate!C214-'6. Poistot'!C214</f>
        <v>#REF!</v>
      </c>
      <c r="D214" s="41">
        <f>Vuosikate!D214-'6. Poistot'!D214</f>
        <v>179</v>
      </c>
      <c r="E214" s="41">
        <f>Vuosikate!E214-'6. Poistot'!E214</f>
        <v>661</v>
      </c>
      <c r="F214" s="41">
        <f>Vuosikate!F214-'6. Poistot'!F214</f>
        <v>393</v>
      </c>
      <c r="G214" s="41">
        <f>Vuosikate!G214-'6. Poistot'!G214</f>
        <v>-65</v>
      </c>
      <c r="H214" s="41">
        <f>Vuosikate!H214-'6. Poistot'!H214</f>
        <v>-8.400192045568474</v>
      </c>
      <c r="I214" s="41">
        <f>Vuosikate!I214-'6. Poistot'!I214</f>
        <v>-825.07598248101704</v>
      </c>
      <c r="J214" s="41">
        <f>Vuosikate!J214-'6. Poistot'!J214</f>
        <v>1162.8415401412617</v>
      </c>
      <c r="K214" s="41">
        <f>Vuosikate!K214-'6. Poistot'!K214</f>
        <v>347.27275276195155</v>
      </c>
      <c r="L214" s="41">
        <f>Vuosikate!L214-'6. Poistot'!L214</f>
        <v>340.73036863096672</v>
      </c>
      <c r="M214" s="41">
        <f>Vuosikate!M214-'6. Poistot'!M214</f>
        <v>404.36219599218509</v>
      </c>
      <c r="N214" s="41">
        <f>Vuosikate!N214-'6. Poistot'!N214</f>
        <v>429.8226039484083</v>
      </c>
      <c r="O214" s="41">
        <f>Vuosikate!O214-'6. Poistot'!O214</f>
        <v>496.3295955708669</v>
      </c>
      <c r="P214" s="41">
        <f>Vuosikate!P214-'6. Poistot'!P214</f>
        <v>854.40177005685894</v>
      </c>
      <c r="T214" s="34">
        <v>630</v>
      </c>
      <c r="U214" s="88" t="s">
        <v>528</v>
      </c>
      <c r="V214" s="41" t="e">
        <f>C214/'1. Väestöennuste'!E214*1000</f>
        <v>#REF!</v>
      </c>
      <c r="W214" s="41">
        <f>D214/'1. Väestöennuste'!F214*1000</f>
        <v>113.36288790373654</v>
      </c>
      <c r="X214" s="41">
        <f>E214/'1. Väestöennuste'!G214*1000</f>
        <v>418.61937935402153</v>
      </c>
      <c r="Y214" s="41">
        <f>F214/'1. Väestöennuste'!H214*1000</f>
        <v>252.40847784200386</v>
      </c>
      <c r="Z214" s="41">
        <f>G214/'1. Väestöennuste'!I214*1000</f>
        <v>-41.191381495564002</v>
      </c>
      <c r="AA214" s="41">
        <f>H214/'1. Väestöennuste'!J214*1000</f>
        <v>-5.2731902357617537</v>
      </c>
      <c r="AB214" s="41">
        <f>I214/'1. Väestöennuste'!K214*1000</f>
        <v>-505.87123389394048</v>
      </c>
      <c r="AC214" s="41">
        <f>J214/'1. Väestöennuste'!L214*1000</f>
        <v>711.21806736468602</v>
      </c>
      <c r="AD214" s="41">
        <f>K214/'1. Väestöennuste'!M214*1000</f>
        <v>210.97980119195111</v>
      </c>
      <c r="AE214" s="41">
        <f>L214/'1. Väestöennuste'!N214*1000</f>
        <v>213.22300915579893</v>
      </c>
      <c r="AF214" s="41">
        <f>M214/'1. Väestöennuste'!O214*1000</f>
        <v>252.88442526090375</v>
      </c>
      <c r="AG214" s="41">
        <f>N214/'1. Väestöennuste'!P214*1000</f>
        <v>269.14377204033082</v>
      </c>
      <c r="AH214" s="41">
        <f>O214/'1. Väestöennuste'!Q214*1000</f>
        <v>311.17842982499496</v>
      </c>
      <c r="AI214" s="41">
        <f>P214/'1. Väestöennuste'!R214*1000</f>
        <v>535.00423923410074</v>
      </c>
    </row>
    <row r="215" spans="1:35" x14ac:dyDescent="0.2">
      <c r="A215" s="34">
        <v>631</v>
      </c>
      <c r="B215" s="88" t="s">
        <v>529</v>
      </c>
      <c r="C215" s="41" t="e">
        <f>Vuosikate!C215-'6. Poistot'!C215</f>
        <v>#REF!</v>
      </c>
      <c r="D215" s="41">
        <f>Vuosikate!D215-'6. Poistot'!D215</f>
        <v>-770</v>
      </c>
      <c r="E215" s="41">
        <f>Vuosikate!E215-'6. Poistot'!E215</f>
        <v>432</v>
      </c>
      <c r="F215" s="41">
        <f>Vuosikate!F215-'6. Poistot'!F215</f>
        <v>613</v>
      </c>
      <c r="G215" s="41">
        <f>Vuosikate!G215-'6. Poistot'!G215</f>
        <v>599</v>
      </c>
      <c r="H215" s="41">
        <f>Vuosikate!H215-'6. Poistot'!H215</f>
        <v>1048.8898156634446</v>
      </c>
      <c r="I215" s="41">
        <f>Vuosikate!I215-'6. Poistot'!I215</f>
        <v>-234.93544455774264</v>
      </c>
      <c r="J215" s="41">
        <f>Vuosikate!J215-'6. Poistot'!J215</f>
        <v>-561.43699883775935</v>
      </c>
      <c r="K215" s="41">
        <f>Vuosikate!K215-'6. Poistot'!K215</f>
        <v>492.35847799631063</v>
      </c>
      <c r="L215" s="41">
        <f>Vuosikate!L215-'6. Poistot'!L215</f>
        <v>-456.35998912434809</v>
      </c>
      <c r="M215" s="41">
        <f>Vuosikate!M215-'6. Poistot'!M215</f>
        <v>-738.67347461549662</v>
      </c>
      <c r="N215" s="41">
        <f>Vuosikate!N215-'6. Poistot'!N215</f>
        <v>-661.80902157352193</v>
      </c>
      <c r="O215" s="41">
        <f>Vuosikate!O215-'6. Poistot'!O215</f>
        <v>-722.2759502952789</v>
      </c>
      <c r="P215" s="41">
        <f>Vuosikate!P215-'6. Poistot'!P215</f>
        <v>-531.08422210422702</v>
      </c>
      <c r="T215" s="34">
        <v>631</v>
      </c>
      <c r="U215" s="88" t="s">
        <v>529</v>
      </c>
      <c r="V215" s="41" t="e">
        <f>C215/'1. Väestöennuste'!E215*1000</f>
        <v>#REF!</v>
      </c>
      <c r="W215" s="41">
        <f>D215/'1. Väestöennuste'!F215*1000</f>
        <v>-371.08433734939763</v>
      </c>
      <c r="X215" s="41">
        <f>E215/'1. Väestöennuste'!G215*1000</f>
        <v>207.99229658160809</v>
      </c>
      <c r="Y215" s="41">
        <f>F215/'1. Väestöennuste'!H215*1000</f>
        <v>302.26824457593688</v>
      </c>
      <c r="Z215" s="41">
        <f>G215/'1. Väestöennuste'!I215*1000</f>
        <v>298.90219560878245</v>
      </c>
      <c r="AA215" s="41">
        <f>H215/'1. Väestöennuste'!J215*1000</f>
        <v>526.02297676200828</v>
      </c>
      <c r="AB215" s="41">
        <f>I215/'1. Väestöennuste'!K215*1000</f>
        <v>-118.35538768652022</v>
      </c>
      <c r="AC215" s="41">
        <f>J215/'1. Väestöennuste'!L215*1000</f>
        <v>-286.00967847058553</v>
      </c>
      <c r="AD215" s="41">
        <f>K215/'1. Väestöennuste'!M215*1000</f>
        <v>255.10801968720759</v>
      </c>
      <c r="AE215" s="41">
        <f>L215/'1. Väestöennuste'!N215*1000</f>
        <v>-239.81081929813354</v>
      </c>
      <c r="AF215" s="41">
        <f>M215/'1. Väestöennuste'!O215*1000</f>
        <v>-392.28543527110816</v>
      </c>
      <c r="AG215" s="41">
        <f>N215/'1. Väestöennuste'!P215*1000</f>
        <v>-355.23833686179387</v>
      </c>
      <c r="AH215" s="41">
        <f>O215/'1. Väestöennuste'!Q215*1000</f>
        <v>-392.11506530688325</v>
      </c>
      <c r="AI215" s="41">
        <f>P215/'1. Väestöennuste'!R215*1000</f>
        <v>-291.64427353334816</v>
      </c>
    </row>
    <row r="216" spans="1:35" x14ac:dyDescent="0.2">
      <c r="A216" s="34">
        <v>635</v>
      </c>
      <c r="B216" s="88" t="s">
        <v>530</v>
      </c>
      <c r="C216" s="41" t="e">
        <f>Vuosikate!C216-'6. Poistot'!C216</f>
        <v>#REF!</v>
      </c>
      <c r="D216" s="41">
        <f>Vuosikate!D216-'6. Poistot'!D216</f>
        <v>-95</v>
      </c>
      <c r="E216" s="41">
        <f>Vuosikate!E216-'6. Poistot'!E216</f>
        <v>-532</v>
      </c>
      <c r="F216" s="41">
        <f>Vuosikate!F216-'6. Poistot'!F216</f>
        <v>-2151</v>
      </c>
      <c r="G216" s="41">
        <f>Vuosikate!G216-'6. Poistot'!G216</f>
        <v>-675</v>
      </c>
      <c r="H216" s="41">
        <f>Vuosikate!H216-'6. Poistot'!H216</f>
        <v>2012.086740311137</v>
      </c>
      <c r="I216" s="41">
        <f>Vuosikate!I216-'6. Poistot'!I216</f>
        <v>1204.0953463318442</v>
      </c>
      <c r="J216" s="41">
        <f>Vuosikate!J216-'6. Poistot'!J216</f>
        <v>385.19145982806731</v>
      </c>
      <c r="K216" s="41">
        <f>Vuosikate!K216-'6. Poistot'!K216</f>
        <v>1458.1286777451346</v>
      </c>
      <c r="L216" s="41">
        <f>Vuosikate!L216-'6. Poistot'!L216</f>
        <v>-43.993416517562764</v>
      </c>
      <c r="M216" s="41">
        <f>Vuosikate!M216-'6. Poistot'!M216</f>
        <v>192.96259419672424</v>
      </c>
      <c r="N216" s="41">
        <f>Vuosikate!N216-'6. Poistot'!N216</f>
        <v>38.43176620401573</v>
      </c>
      <c r="O216" s="41">
        <f>Vuosikate!O216-'6. Poistot'!O216</f>
        <v>174.6273641168018</v>
      </c>
      <c r="P216" s="41">
        <f>Vuosikate!P216-'6. Poistot'!P216</f>
        <v>880.91552833312426</v>
      </c>
      <c r="T216" s="34">
        <v>635</v>
      </c>
      <c r="U216" s="88" t="s">
        <v>530</v>
      </c>
      <c r="V216" s="41" t="e">
        <f>C216/'1. Väestöennuste'!E216*1000</f>
        <v>#REF!</v>
      </c>
      <c r="W216" s="41">
        <f>D216/'1. Väestöennuste'!F216*1000</f>
        <v>-14.335295005281424</v>
      </c>
      <c r="X216" s="41">
        <f>E216/'1. Väestöennuste'!G216*1000</f>
        <v>-81.011116186995579</v>
      </c>
      <c r="Y216" s="41">
        <f>F216/'1. Väestöennuste'!H216*1000</f>
        <v>-330.97399599938456</v>
      </c>
      <c r="Z216" s="41">
        <f>G216/'1. Väestöennuste'!I216*1000</f>
        <v>-104.89510489510489</v>
      </c>
      <c r="AA216" s="41">
        <f>H216/'1. Väestöennuste'!J216*1000</f>
        <v>313.65342795185296</v>
      </c>
      <c r="AB216" s="41">
        <f>I216/'1. Väestöennuste'!K216*1000</f>
        <v>187.00036439382578</v>
      </c>
      <c r="AC216" s="41">
        <f>J216/'1. Väestöennuste'!L216*1000</f>
        <v>60.688744261551491</v>
      </c>
      <c r="AD216" s="41">
        <f>K216/'1. Väestöennuste'!M216*1000</f>
        <v>230.09762943745221</v>
      </c>
      <c r="AE216" s="41">
        <f>L216/'1. Väestöennuste'!N216*1000</f>
        <v>-7.100293175849381</v>
      </c>
      <c r="AF216" s="41">
        <f>M216/'1. Väestöennuste'!O216*1000</f>
        <v>31.391344427643443</v>
      </c>
      <c r="AG216" s="41">
        <f>N216/'1. Väestöennuste'!P216*1000</f>
        <v>6.2961609115359982</v>
      </c>
      <c r="AH216" s="41">
        <f>O216/'1. Väestöennuste'!Q216*1000</f>
        <v>28.802138234669602</v>
      </c>
      <c r="AI216" s="41">
        <f>P216/'1. Väestöennuste'!R216*1000</f>
        <v>146.21004619636918</v>
      </c>
    </row>
    <row r="217" spans="1:35" x14ac:dyDescent="0.2">
      <c r="A217" s="34">
        <v>636</v>
      </c>
      <c r="B217" s="88" t="s">
        <v>531</v>
      </c>
      <c r="C217" s="41" t="e">
        <f>Vuosikate!C217-'6. Poistot'!C217</f>
        <v>#REF!</v>
      </c>
      <c r="D217" s="41">
        <f>Vuosikate!D217-'6. Poistot'!D217</f>
        <v>608</v>
      </c>
      <c r="E217" s="41">
        <f>Vuosikate!E217-'6. Poistot'!E217</f>
        <v>1812</v>
      </c>
      <c r="F217" s="41">
        <f>Vuosikate!F217-'6. Poistot'!F217</f>
        <v>451</v>
      </c>
      <c r="G217" s="41">
        <f>Vuosikate!G217-'6. Poistot'!G217</f>
        <v>-3070</v>
      </c>
      <c r="H217" s="41">
        <f>Vuosikate!H217-'6. Poistot'!H217</f>
        <v>2780.279531331511</v>
      </c>
      <c r="I217" s="41">
        <f>Vuosikate!I217-'6. Poistot'!I217</f>
        <v>2235.8026582098018</v>
      </c>
      <c r="J217" s="41">
        <f>Vuosikate!J217-'6. Poistot'!J217</f>
        <v>1557.5924501866548</v>
      </c>
      <c r="K217" s="41">
        <f>Vuosikate!K217-'6. Poistot'!K217</f>
        <v>1559.4096647105112</v>
      </c>
      <c r="L217" s="41">
        <f>Vuosikate!L217-'6. Poistot'!L217</f>
        <v>1176.2987460409649</v>
      </c>
      <c r="M217" s="41">
        <f>Vuosikate!M217-'6. Poistot'!M217</f>
        <v>1880.8424602188434</v>
      </c>
      <c r="N217" s="41">
        <f>Vuosikate!N217-'6. Poistot'!N217</f>
        <v>1657.3446905194296</v>
      </c>
      <c r="O217" s="41">
        <f>Vuosikate!O217-'6. Poistot'!O217</f>
        <v>1926.6302205527136</v>
      </c>
      <c r="P217" s="41">
        <f>Vuosikate!P217-'6. Poistot'!P217</f>
        <v>2645.4545126358908</v>
      </c>
      <c r="T217" s="34">
        <v>636</v>
      </c>
      <c r="U217" s="88" t="s">
        <v>531</v>
      </c>
      <c r="V217" s="41" t="e">
        <f>C217/'1. Väestöennuste'!E217*1000</f>
        <v>#REF!</v>
      </c>
      <c r="W217" s="41">
        <f>D217/'1. Väestöennuste'!F217*1000</f>
        <v>71.504174997059849</v>
      </c>
      <c r="X217" s="41">
        <f>E217/'1. Väestöennuste'!G217*1000</f>
        <v>215.15079553550225</v>
      </c>
      <c r="Y217" s="41">
        <f>F217/'1. Väestöennuste'!H217*1000</f>
        <v>54.122164886595463</v>
      </c>
      <c r="Z217" s="41">
        <f>G217/'1. Väestöennuste'!I217*1000</f>
        <v>-370.95215079748675</v>
      </c>
      <c r="AA217" s="41">
        <f>H217/'1. Väestöennuste'!J217*1000</f>
        <v>337.8635959814693</v>
      </c>
      <c r="AB217" s="41">
        <f>I217/'1. Väestöennuste'!K217*1000</f>
        <v>271.92929435779638</v>
      </c>
      <c r="AC217" s="41">
        <f>J217/'1. Väestöennuste'!L217*1000</f>
        <v>191.02188498732585</v>
      </c>
      <c r="AD217" s="41">
        <f>K217/'1. Väestöennuste'!M217*1000</f>
        <v>191.80930685246139</v>
      </c>
      <c r="AE217" s="41">
        <f>L217/'1. Väestöennuste'!N217*1000</f>
        <v>147.20294657001187</v>
      </c>
      <c r="AF217" s="41">
        <f>M217/'1. Väestöennuste'!O217*1000</f>
        <v>236.76264604970333</v>
      </c>
      <c r="AG217" s="41">
        <f>N217/'1. Väestöennuste'!P217*1000</f>
        <v>209.84359211438712</v>
      </c>
      <c r="AH217" s="41">
        <f>O217/'1. Väestöennuste'!Q217*1000</f>
        <v>245.30560485774299</v>
      </c>
      <c r="AI217" s="41">
        <f>P217/'1. Väestöennuste'!R217*1000</f>
        <v>338.9435634382948</v>
      </c>
    </row>
    <row r="218" spans="1:35" x14ac:dyDescent="0.2">
      <c r="A218" s="34">
        <v>638</v>
      </c>
      <c r="B218" s="88" t="s">
        <v>532</v>
      </c>
      <c r="C218" s="41" t="e">
        <f>Vuosikate!C218-'6. Poistot'!C218</f>
        <v>#REF!</v>
      </c>
      <c r="D218" s="41">
        <f>Vuosikate!D218-'6. Poistot'!D218</f>
        <v>5470</v>
      </c>
      <c r="E218" s="41">
        <f>Vuosikate!E218-'6. Poistot'!E218</f>
        <v>4919</v>
      </c>
      <c r="F218" s="41">
        <f>Vuosikate!F218-'6. Poistot'!F218</f>
        <v>2999</v>
      </c>
      <c r="G218" s="41">
        <f>Vuosikate!G218-'6. Poistot'!G218</f>
        <v>-1260</v>
      </c>
      <c r="H218" s="41">
        <f>Vuosikate!H218-'6. Poistot'!H218</f>
        <v>27792.433589323191</v>
      </c>
      <c r="I218" s="41">
        <f>Vuosikate!I218-'6. Poistot'!I218</f>
        <v>51644.750418628333</v>
      </c>
      <c r="J218" s="41">
        <f>Vuosikate!J218-'6. Poistot'!J218</f>
        <v>44468.072383355749</v>
      </c>
      <c r="K218" s="41">
        <f>Vuosikate!K218-'6. Poistot'!K218</f>
        <v>21550.710159337883</v>
      </c>
      <c r="L218" s="41">
        <f>Vuosikate!L218-'6. Poistot'!L218</f>
        <v>4610.2039689325393</v>
      </c>
      <c r="M218" s="41">
        <f>Vuosikate!M218-'6. Poistot'!M218</f>
        <v>-4583.0663990174871</v>
      </c>
      <c r="N218" s="41">
        <f>Vuosikate!N218-'6. Poistot'!N218</f>
        <v>-11364.097192910565</v>
      </c>
      <c r="O218" s="41">
        <f>Vuosikate!O218-'6. Poistot'!O218</f>
        <v>-12411.673058394692</v>
      </c>
      <c r="P218" s="41">
        <f>Vuosikate!P218-'6. Poistot'!P218</f>
        <v>-11114.880898908155</v>
      </c>
      <c r="T218" s="34">
        <v>638</v>
      </c>
      <c r="U218" s="88" t="s">
        <v>532</v>
      </c>
      <c r="V218" s="41" t="e">
        <f>C218/'1. Väestöennuste'!E218*1000</f>
        <v>#REF!</v>
      </c>
      <c r="W218" s="41">
        <f>D218/'1. Väestöennuste'!F218*1000</f>
        <v>109.08583280153158</v>
      </c>
      <c r="X218" s="41">
        <f>E218/'1. Väestöennuste'!G218*1000</f>
        <v>98.068143304292349</v>
      </c>
      <c r="Y218" s="41">
        <f>F218/'1. Väestöennuste'!H218*1000</f>
        <v>59.667343122040506</v>
      </c>
      <c r="Z218" s="41">
        <f>G218/'1. Väestöennuste'!I218*1000</f>
        <v>-25.009924573243353</v>
      </c>
      <c r="AA218" s="41">
        <f>H218/'1. Väestöennuste'!J218*1000</f>
        <v>549.0514152654772</v>
      </c>
      <c r="AB218" s="41">
        <f>I218/'1. Väestöennuste'!K218*1000</f>
        <v>1009.6922797831498</v>
      </c>
      <c r="AC218" s="41">
        <f>J218/'1. Väestöennuste'!L218*1000</f>
        <v>867.97455464076643</v>
      </c>
      <c r="AD218" s="41">
        <f>K218/'1. Väestöennuste'!M218*1000</f>
        <v>420.1819134578152</v>
      </c>
      <c r="AE218" s="41">
        <f>L218/'1. Väestöennuste'!N218*1000</f>
        <v>89.787012988987257</v>
      </c>
      <c r="AF218" s="41">
        <f>M218/'1. Väestöennuste'!O218*1000</f>
        <v>-89.015779027648037</v>
      </c>
      <c r="AG218" s="41">
        <f>N218/'1. Väestöennuste'!P218*1000</f>
        <v>-220.14911260965837</v>
      </c>
      <c r="AH218" s="41">
        <f>O218/'1. Väestöennuste'!Q218*1000</f>
        <v>-239.88544759170259</v>
      </c>
      <c r="AI218" s="41">
        <f>P218/'1. Väestöennuste'!R218*1000</f>
        <v>-214.37020769750922</v>
      </c>
    </row>
    <row r="219" spans="1:35" x14ac:dyDescent="0.2">
      <c r="A219" s="34">
        <v>678</v>
      </c>
      <c r="B219" s="88" t="s">
        <v>533</v>
      </c>
      <c r="C219" s="41" t="e">
        <f>Vuosikate!C219-'6. Poistot'!C219</f>
        <v>#REF!</v>
      </c>
      <c r="D219" s="41">
        <f>Vuosikate!D219-'6. Poistot'!D219</f>
        <v>3696</v>
      </c>
      <c r="E219" s="41">
        <f>Vuosikate!E219-'6. Poistot'!E219</f>
        <v>5279</v>
      </c>
      <c r="F219" s="41">
        <f>Vuosikate!F219-'6. Poistot'!F219</f>
        <v>-1484</v>
      </c>
      <c r="G219" s="41">
        <f>Vuosikate!G219-'6. Poistot'!G219</f>
        <v>-6538</v>
      </c>
      <c r="H219" s="41">
        <f>Vuosikate!H219-'6. Poistot'!H219</f>
        <v>8236.6553745546407</v>
      </c>
      <c r="I219" s="41">
        <f>Vuosikate!I219-'6. Poistot'!I219</f>
        <v>4273.0696492109055</v>
      </c>
      <c r="J219" s="41">
        <f>Vuosikate!J219-'6. Poistot'!J219</f>
        <v>-5535.0731730396183</v>
      </c>
      <c r="K219" s="41">
        <f>Vuosikate!K219-'6. Poistot'!K219</f>
        <v>14972.559789941448</v>
      </c>
      <c r="L219" s="41">
        <f>Vuosikate!L219-'6. Poistot'!L219</f>
        <v>8569.1264067034517</v>
      </c>
      <c r="M219" s="41">
        <f>Vuosikate!M219-'6. Poistot'!M219</f>
        <v>3524.1860671936356</v>
      </c>
      <c r="N219" s="41">
        <f>Vuosikate!N219-'6. Poistot'!N219</f>
        <v>1965.8261655205624</v>
      </c>
      <c r="O219" s="41">
        <f>Vuosikate!O219-'6. Poistot'!O219</f>
        <v>2537.2898192099456</v>
      </c>
      <c r="P219" s="41">
        <f>Vuosikate!P219-'6. Poistot'!P219</f>
        <v>3951.8653513702975</v>
      </c>
      <c r="T219" s="34">
        <v>678</v>
      </c>
      <c r="U219" s="88" t="s">
        <v>533</v>
      </c>
      <c r="V219" s="41" t="e">
        <f>C219/'1. Väestöennuste'!E219*1000</f>
        <v>#REF!</v>
      </c>
      <c r="W219" s="41">
        <f>D219/'1. Väestöennuste'!F219*1000</f>
        <v>147.78088764494203</v>
      </c>
      <c r="X219" s="41">
        <f>E219/'1. Väestöennuste'!G219*1000</f>
        <v>211.15155393784249</v>
      </c>
      <c r="Y219" s="41">
        <f>F219/'1. Väestöennuste'!H219*1000</f>
        <v>-59.812180081415498</v>
      </c>
      <c r="Z219" s="41">
        <f>G219/'1. Väestöennuste'!I219*1000</f>
        <v>-264.92159325742529</v>
      </c>
      <c r="AA219" s="41">
        <f>H219/'1. Väestöennuste'!J219*1000</f>
        <v>338.21933127559811</v>
      </c>
      <c r="AB219" s="41">
        <f>I219/'1. Väestöennuste'!K219*1000</f>
        <v>176.13642412246105</v>
      </c>
      <c r="AC219" s="41">
        <f>J219/'1. Väestöennuste'!L219*1000</f>
        <v>-229.92868246747886</v>
      </c>
      <c r="AD219" s="41">
        <f>K219/'1. Väestöennuste'!M219*1000</f>
        <v>629.17845904699959</v>
      </c>
      <c r="AE219" s="41">
        <f>L219/'1. Väestöennuste'!N219*1000</f>
        <v>362.36156997223662</v>
      </c>
      <c r="AF219" s="41">
        <f>M219/'1. Väestöennuste'!O219*1000</f>
        <v>150.20825450488601</v>
      </c>
      <c r="AG219" s="41">
        <f>N219/'1. Väestöennuste'!P219*1000</f>
        <v>84.471732791361404</v>
      </c>
      <c r="AH219" s="41">
        <f>O219/'1. Väestöennuste'!Q219*1000</f>
        <v>109.93456755675673</v>
      </c>
      <c r="AI219" s="41">
        <f>P219/'1. Väestöennuste'!R219*1000</f>
        <v>172.69119696601544</v>
      </c>
    </row>
    <row r="220" spans="1:35" x14ac:dyDescent="0.2">
      <c r="A220" s="34">
        <v>680</v>
      </c>
      <c r="B220" s="88" t="s">
        <v>534</v>
      </c>
      <c r="C220" s="41" t="e">
        <f>Vuosikate!C220-'6. Poistot'!C220</f>
        <v>#REF!</v>
      </c>
      <c r="D220" s="41">
        <f>Vuosikate!D220-'6. Poistot'!D220</f>
        <v>-67</v>
      </c>
      <c r="E220" s="41">
        <f>Vuosikate!E220-'6. Poistot'!E220</f>
        <v>2158</v>
      </c>
      <c r="F220" s="41">
        <f>Vuosikate!F220-'6. Poistot'!F220</f>
        <v>-3684</v>
      </c>
      <c r="G220" s="41">
        <f>Vuosikate!G220-'6. Poistot'!G220</f>
        <v>-7294</v>
      </c>
      <c r="H220" s="41">
        <f>Vuosikate!H220-'6. Poistot'!H220</f>
        <v>5562.8728348339355</v>
      </c>
      <c r="I220" s="41">
        <f>Vuosikate!I220-'6. Poistot'!I220</f>
        <v>7803.9389320610708</v>
      </c>
      <c r="J220" s="41">
        <f>Vuosikate!J220-'6. Poistot'!J220</f>
        <v>5533.3883727835428</v>
      </c>
      <c r="K220" s="41">
        <f>Vuosikate!K220-'6. Poistot'!K220</f>
        <v>8809.9783268558258</v>
      </c>
      <c r="L220" s="41">
        <f>Vuosikate!L220-'6. Poistot'!L220</f>
        <v>974.10596422462368</v>
      </c>
      <c r="M220" s="41">
        <f>Vuosikate!M220-'6. Poistot'!M220</f>
        <v>-1758.8795449977461</v>
      </c>
      <c r="N220" s="41">
        <f>Vuosikate!N220-'6. Poistot'!N220</f>
        <v>-4045.1037857445172</v>
      </c>
      <c r="O220" s="41">
        <f>Vuosikate!O220-'6. Poistot'!O220</f>
        <v>-4187.7323647255253</v>
      </c>
      <c r="P220" s="41">
        <f>Vuosikate!P220-'6. Poistot'!P220</f>
        <v>-3340.7627301291523</v>
      </c>
      <c r="T220" s="34">
        <v>680</v>
      </c>
      <c r="U220" s="88" t="s">
        <v>534</v>
      </c>
      <c r="V220" s="41" t="e">
        <f>C220/'1. Väestöennuste'!E220*1000</f>
        <v>#REF!</v>
      </c>
      <c r="W220" s="41">
        <f>D220/'1. Väestöennuste'!F220*1000</f>
        <v>-2.7591319029773915</v>
      </c>
      <c r="X220" s="41">
        <f>E220/'1. Väestöennuste'!G220*1000</f>
        <v>89.048444334406199</v>
      </c>
      <c r="Y220" s="41">
        <f>F220/'1. Väestöennuste'!H220*1000</f>
        <v>-152.36992307056002</v>
      </c>
      <c r="Z220" s="41">
        <f>G220/'1. Väestöennuste'!I220*1000</f>
        <v>-303.20917858330557</v>
      </c>
      <c r="AA220" s="41">
        <f>H220/'1. Väestöennuste'!J220*1000</f>
        <v>227.92120436079549</v>
      </c>
      <c r="AB220" s="41">
        <f>I220/'1. Väestöennuste'!K220*1000</f>
        <v>314.54812301737491</v>
      </c>
      <c r="AC220" s="41">
        <f>J220/'1. Väestöennuste'!L220*1000</f>
        <v>221.85022743900018</v>
      </c>
      <c r="AD220" s="41">
        <f>K220/'1. Väestöennuste'!M220*1000</f>
        <v>347.79433606473594</v>
      </c>
      <c r="AE220" s="41">
        <f>L220/'1. Väestöennuste'!N220*1000</f>
        <v>39.683299964338765</v>
      </c>
      <c r="AF220" s="41">
        <f>M220/'1. Väestöennuste'!O220*1000</f>
        <v>-71.516611571836464</v>
      </c>
      <c r="AG220" s="41">
        <f>N220/'1. Väestöennuste'!P220*1000</f>
        <v>-164.18816356474073</v>
      </c>
      <c r="AH220" s="41">
        <f>O220/'1. Väestöennuste'!Q220*1000</f>
        <v>-169.68808966025873</v>
      </c>
      <c r="AI220" s="41">
        <f>P220/'1. Väestöennuste'!R220*1000</f>
        <v>-135.12225894390681</v>
      </c>
    </row>
    <row r="221" spans="1:35" x14ac:dyDescent="0.2">
      <c r="A221" s="34">
        <v>681</v>
      </c>
      <c r="B221" s="88" t="s">
        <v>535</v>
      </c>
      <c r="C221" s="41" t="e">
        <f>Vuosikate!C221-'6. Poistot'!C221</f>
        <v>#REF!</v>
      </c>
      <c r="D221" s="41">
        <f>Vuosikate!D221-'6. Poistot'!D221</f>
        <v>1245</v>
      </c>
      <c r="E221" s="41">
        <f>Vuosikate!E221-'6. Poistot'!E221</f>
        <v>1687</v>
      </c>
      <c r="F221" s="41">
        <f>Vuosikate!F221-'6. Poistot'!F221</f>
        <v>-1356</v>
      </c>
      <c r="G221" s="41">
        <f>Vuosikate!G221-'6. Poistot'!G221</f>
        <v>1360</v>
      </c>
      <c r="H221" s="41">
        <f>Vuosikate!H221-'6. Poistot'!H221</f>
        <v>1648.8767412570687</v>
      </c>
      <c r="I221" s="41">
        <f>Vuosikate!I221-'6. Poistot'!I221</f>
        <v>565.59252792569578</v>
      </c>
      <c r="J221" s="41">
        <f>Vuosikate!J221-'6. Poistot'!J221</f>
        <v>1067.0706646976444</v>
      </c>
      <c r="K221" s="41">
        <f>Vuosikate!K221-'6. Poistot'!K221</f>
        <v>167.7819868575516</v>
      </c>
      <c r="L221" s="41">
        <f>Vuosikate!L221-'6. Poistot'!L221</f>
        <v>389.50860852496658</v>
      </c>
      <c r="M221" s="41">
        <f>Vuosikate!M221-'6. Poistot'!M221</f>
        <v>-230.04817686715501</v>
      </c>
      <c r="N221" s="41">
        <f>Vuosikate!N221-'6. Poistot'!N221</f>
        <v>-205.99047299555627</v>
      </c>
      <c r="O221" s="41">
        <f>Vuosikate!O221-'6. Poistot'!O221</f>
        <v>-127.19345403283489</v>
      </c>
      <c r="P221" s="41">
        <f>Vuosikate!P221-'6. Poistot'!P221</f>
        <v>179.87282227330468</v>
      </c>
      <c r="T221" s="34">
        <v>681</v>
      </c>
      <c r="U221" s="88" t="s">
        <v>535</v>
      </c>
      <c r="V221" s="41" t="e">
        <f>C221/'1. Väestöennuste'!E221*1000</f>
        <v>#REF!</v>
      </c>
      <c r="W221" s="41">
        <f>D221/'1. Väestöennuste'!F221*1000</f>
        <v>341.18936694984927</v>
      </c>
      <c r="X221" s="41">
        <f>E221/'1. Väestöennuste'!G221*1000</f>
        <v>474.81001970166056</v>
      </c>
      <c r="Y221" s="41">
        <f>F221/'1. Väestöennuste'!H221*1000</f>
        <v>-385.88503130335801</v>
      </c>
      <c r="Z221" s="41">
        <f>G221/'1. Väestöennuste'!I221*1000</f>
        <v>396.38589332556109</v>
      </c>
      <c r="AA221" s="41">
        <f>H221/'1. Väestöennuste'!J221*1000</f>
        <v>490.15360917273148</v>
      </c>
      <c r="AB221" s="41">
        <f>I221/'1. Väestöennuste'!K221*1000</f>
        <v>169.8476059836924</v>
      </c>
      <c r="AC221" s="41">
        <f>J221/'1. Väestöennuste'!L221*1000</f>
        <v>322.57275232697833</v>
      </c>
      <c r="AD221" s="41">
        <f>K221/'1. Väestöennuste'!M221*1000</f>
        <v>50.889289310752687</v>
      </c>
      <c r="AE221" s="41">
        <f>L221/'1. Väestöennuste'!N221*1000</f>
        <v>125.405218456203</v>
      </c>
      <c r="AF221" s="41">
        <f>M221/'1. Väestöennuste'!O221*1000</f>
        <v>-75.376204740221169</v>
      </c>
      <c r="AG221" s="41">
        <f>N221/'1. Väestöennuste'!P221*1000</f>
        <v>-68.549242261416396</v>
      </c>
      <c r="AH221" s="41">
        <f>O221/'1. Väestöennuste'!Q221*1000</f>
        <v>-42.985283552833693</v>
      </c>
      <c r="AI221" s="41">
        <f>P221/'1. Väestöennuste'!R221*1000</f>
        <v>61.727118144579507</v>
      </c>
    </row>
    <row r="222" spans="1:35" x14ac:dyDescent="0.2">
      <c r="A222" s="34">
        <v>683</v>
      </c>
      <c r="B222" s="88" t="s">
        <v>536</v>
      </c>
      <c r="C222" s="41" t="e">
        <f>Vuosikate!C222-'6. Poistot'!C222</f>
        <v>#REF!</v>
      </c>
      <c r="D222" s="41">
        <f>Vuosikate!D222-'6. Poistot'!D222</f>
        <v>402</v>
      </c>
      <c r="E222" s="41">
        <f>Vuosikate!E222-'6. Poistot'!E222</f>
        <v>1820</v>
      </c>
      <c r="F222" s="41">
        <f>Vuosikate!F222-'6. Poistot'!F222</f>
        <v>-6005</v>
      </c>
      <c r="G222" s="41">
        <f>Vuosikate!G222-'6. Poistot'!G222</f>
        <v>-1129</v>
      </c>
      <c r="H222" s="41">
        <f>Vuosikate!H222-'6. Poistot'!H222</f>
        <v>1391.172577254365</v>
      </c>
      <c r="I222" s="41">
        <f>Vuosikate!I222-'6. Poistot'!I222</f>
        <v>1237.4908423025802</v>
      </c>
      <c r="J222" s="41">
        <f>Vuosikate!J222-'6. Poistot'!J222</f>
        <v>805.80455708794739</v>
      </c>
      <c r="K222" s="41">
        <f>Vuosikate!K222-'6. Poistot'!K222</f>
        <v>-1107.2597572413854</v>
      </c>
      <c r="L222" s="41">
        <f>Vuosikate!L222-'6. Poistot'!L222</f>
        <v>-632.34720176501617</v>
      </c>
      <c r="M222" s="41">
        <f>Vuosikate!M222-'6. Poistot'!M222</f>
        <v>-2408.0727606591968</v>
      </c>
      <c r="N222" s="41">
        <f>Vuosikate!N222-'6. Poistot'!N222</f>
        <v>-2630.2411068186898</v>
      </c>
      <c r="O222" s="41">
        <f>Vuosikate!O222-'6. Poistot'!O222</f>
        <v>-3104.0586056342245</v>
      </c>
      <c r="P222" s="41">
        <f>Vuosikate!P222-'6. Poistot'!P222</f>
        <v>-2803.6244408981484</v>
      </c>
      <c r="T222" s="34">
        <v>683</v>
      </c>
      <c r="U222" s="88" t="s">
        <v>536</v>
      </c>
      <c r="V222" s="41" t="e">
        <f>C222/'1. Väestöennuste'!E222*1000</f>
        <v>#REF!</v>
      </c>
      <c r="W222" s="41">
        <f>D222/'1. Väestöennuste'!F222*1000</f>
        <v>99.925428784489199</v>
      </c>
      <c r="X222" s="41">
        <f>E222/'1. Väestöennuste'!G222*1000</f>
        <v>458.2074521651561</v>
      </c>
      <c r="Y222" s="41">
        <f>F222/'1. Väestöennuste'!H222*1000</f>
        <v>-1541.3244353182752</v>
      </c>
      <c r="Z222" s="41">
        <f>G222/'1. Väestöennuste'!I222*1000</f>
        <v>-298.44039122389637</v>
      </c>
      <c r="AA222" s="41">
        <f>H222/'1. Väestöennuste'!J222*1000</f>
        <v>374.77709516550783</v>
      </c>
      <c r="AB222" s="41">
        <f>I222/'1. Väestöennuste'!K222*1000</f>
        <v>337.1909652050627</v>
      </c>
      <c r="AC222" s="41">
        <f>J222/'1. Väestöennuste'!L222*1000</f>
        <v>222.72099421999653</v>
      </c>
      <c r="AD222" s="41">
        <f>K222/'1. Väestöennuste'!M222*1000</f>
        <v>-307.65761523795095</v>
      </c>
      <c r="AE222" s="41">
        <f>L222/'1. Väestöennuste'!N222*1000</f>
        <v>-183.12980068491635</v>
      </c>
      <c r="AF222" s="41">
        <f>M222/'1. Väestöennuste'!O222*1000</f>
        <v>-709.50876860907385</v>
      </c>
      <c r="AG222" s="41">
        <f>N222/'1. Väestöennuste'!P222*1000</f>
        <v>-788.2053062087773</v>
      </c>
      <c r="AH222" s="41">
        <f>O222/'1. Väestöennuste'!Q222*1000</f>
        <v>-945.20663996170049</v>
      </c>
      <c r="AI222" s="41">
        <f>P222/'1. Väestöennuste'!R222*1000</f>
        <v>-867.4580572085855</v>
      </c>
    </row>
    <row r="223" spans="1:35" x14ac:dyDescent="0.2">
      <c r="A223" s="34">
        <v>684</v>
      </c>
      <c r="B223" s="88" t="s">
        <v>537</v>
      </c>
      <c r="C223" s="41" t="e">
        <f>Vuosikate!C223-'6. Poistot'!C223</f>
        <v>#REF!</v>
      </c>
      <c r="D223" s="41">
        <f>Vuosikate!D223-'6. Poistot'!D223</f>
        <v>8650</v>
      </c>
      <c r="E223" s="41">
        <f>Vuosikate!E223-'6. Poistot'!E223</f>
        <v>12447</v>
      </c>
      <c r="F223" s="41">
        <f>Vuosikate!F223-'6. Poistot'!F223</f>
        <v>-15603</v>
      </c>
      <c r="G223" s="41">
        <f>Vuosikate!G223-'6. Poistot'!G223</f>
        <v>-15379</v>
      </c>
      <c r="H223" s="41">
        <f>Vuosikate!H223-'6. Poistot'!H223</f>
        <v>18897.399845386914</v>
      </c>
      <c r="I223" s="41">
        <f>Vuosikate!I223-'6. Poistot'!I223</f>
        <v>19704.399133626284</v>
      </c>
      <c r="J223" s="41">
        <f>Vuosikate!J223-'6. Poistot'!J223</f>
        <v>6288.294981190109</v>
      </c>
      <c r="K223" s="41">
        <f>Vuosikate!K223-'6. Poistot'!K223</f>
        <v>13077.143549420962</v>
      </c>
      <c r="L223" s="41">
        <f>Vuosikate!L223-'6. Poistot'!L223</f>
        <v>-3670.7806443733025</v>
      </c>
      <c r="M223" s="41">
        <f>Vuosikate!M223-'6. Poistot'!M223</f>
        <v>-6525.1645112240003</v>
      </c>
      <c r="N223" s="41">
        <f>Vuosikate!N223-'6. Poistot'!N223</f>
        <v>-6784.4924835210441</v>
      </c>
      <c r="O223" s="41">
        <f>Vuosikate!O223-'6. Poistot'!O223</f>
        <v>-6302.1712020116647</v>
      </c>
      <c r="P223" s="41">
        <f>Vuosikate!P223-'6. Poistot'!P223</f>
        <v>-4472.0825849245011</v>
      </c>
      <c r="T223" s="34">
        <v>684</v>
      </c>
      <c r="U223" s="88" t="s">
        <v>537</v>
      </c>
      <c r="V223" s="41" t="e">
        <f>C223/'1. Väestöennuste'!E223*1000</f>
        <v>#REF!</v>
      </c>
      <c r="W223" s="41">
        <f>D223/'1. Väestöennuste'!F223*1000</f>
        <v>218.35714646337155</v>
      </c>
      <c r="X223" s="41">
        <f>E223/'1. Väestöennuste'!G223*1000</f>
        <v>314.15951539626451</v>
      </c>
      <c r="Y223" s="41">
        <f>F223/'1. Väestöennuste'!H223*1000</f>
        <v>-396.41768292682929</v>
      </c>
      <c r="Z223" s="41">
        <f>G223/'1. Väestöennuste'!I223*1000</f>
        <v>-392.27139395485273</v>
      </c>
      <c r="AA223" s="41">
        <f>H223/'1. Väestöennuste'!J223*1000</f>
        <v>484.05225013798446</v>
      </c>
      <c r="AB223" s="41">
        <f>I223/'1. Väestöennuste'!K223*1000</f>
        <v>505.77271320173224</v>
      </c>
      <c r="AC223" s="41">
        <f>J223/'1. Väestöennuste'!L223*1000</f>
        <v>162.62691652287762</v>
      </c>
      <c r="AD223" s="41">
        <f>K223/'1. Väestöennuste'!M223*1000</f>
        <v>336.76204031265354</v>
      </c>
      <c r="AE223" s="41">
        <f>L223/'1. Väestöennuste'!N223*1000</f>
        <v>-95.409384113253168</v>
      </c>
      <c r="AF223" s="41">
        <f>M223/'1. Väestöennuste'!O223*1000</f>
        <v>-170.32091334666285</v>
      </c>
      <c r="AG223" s="41">
        <f>N223/'1. Väestöennuste'!P223*1000</f>
        <v>-177.85127227622209</v>
      </c>
      <c r="AH223" s="41">
        <f>O223/'1. Väestöennuste'!Q223*1000</f>
        <v>-165.9295753669378</v>
      </c>
      <c r="AI223" s="41">
        <f>P223/'1. Väestöennuste'!R223*1000</f>
        <v>-118.2527522588318</v>
      </c>
    </row>
    <row r="224" spans="1:35" x14ac:dyDescent="0.2">
      <c r="A224" s="34">
        <v>686</v>
      </c>
      <c r="B224" s="88" t="s">
        <v>538</v>
      </c>
      <c r="C224" s="41" t="e">
        <f>Vuosikate!C224-'6. Poistot'!C224</f>
        <v>#REF!</v>
      </c>
      <c r="D224" s="41">
        <f>Vuosikate!D224-'6. Poistot'!D224</f>
        <v>1450</v>
      </c>
      <c r="E224" s="41">
        <f>Vuosikate!E224-'6. Poistot'!E224</f>
        <v>991</v>
      </c>
      <c r="F224" s="41">
        <f>Vuosikate!F224-'6. Poistot'!F224</f>
        <v>-309</v>
      </c>
      <c r="G224" s="41">
        <f>Vuosikate!G224-'6. Poistot'!G224</f>
        <v>-1153</v>
      </c>
      <c r="H224" s="41">
        <f>Vuosikate!H224-'6. Poistot'!H224</f>
        <v>-195.27630789259638</v>
      </c>
      <c r="I224" s="41">
        <f>Vuosikate!I224-'6. Poistot'!I224</f>
        <v>-67.950517860189052</v>
      </c>
      <c r="J224" s="41">
        <f>Vuosikate!J224-'6. Poistot'!J224</f>
        <v>450.19756990224141</v>
      </c>
      <c r="K224" s="41">
        <f>Vuosikate!K224-'6. Poistot'!K224</f>
        <v>-535.84722891524791</v>
      </c>
      <c r="L224" s="41">
        <f>Vuosikate!L224-'6. Poistot'!L224</f>
        <v>272.04870010953937</v>
      </c>
      <c r="M224" s="41">
        <f>Vuosikate!M224-'6. Poistot'!M224</f>
        <v>-770.51334495794845</v>
      </c>
      <c r="N224" s="41">
        <f>Vuosikate!N224-'6. Poistot'!N224</f>
        <v>-923.2235112922308</v>
      </c>
      <c r="O224" s="41">
        <f>Vuosikate!O224-'6. Poistot'!O224</f>
        <v>-1107.3672719741674</v>
      </c>
      <c r="P224" s="41">
        <f>Vuosikate!P224-'6. Poistot'!P224</f>
        <v>-852.34887111790283</v>
      </c>
      <c r="T224" s="34">
        <v>686</v>
      </c>
      <c r="U224" s="88" t="s">
        <v>538</v>
      </c>
      <c r="V224" s="41" t="e">
        <f>C224/'1. Väestöennuste'!E224*1000</f>
        <v>#REF!</v>
      </c>
      <c r="W224" s="41">
        <f>D224/'1. Väestöennuste'!F224*1000</f>
        <v>440.99756690997566</v>
      </c>
      <c r="X224" s="41">
        <f>E224/'1. Väestöennuste'!G224*1000</f>
        <v>304.45468509984642</v>
      </c>
      <c r="Y224" s="41">
        <f>F224/'1. Väestöennuste'!H224*1000</f>
        <v>-96.683354192740921</v>
      </c>
      <c r="Z224" s="41">
        <f>G224/'1. Väestöennuste'!I224*1000</f>
        <v>-369.43287407882093</v>
      </c>
      <c r="AA224" s="41">
        <f>H224/'1. Väestöennuste'!J224*1000</f>
        <v>-63.962105434849789</v>
      </c>
      <c r="AB224" s="41">
        <f>I224/'1. Väestöennuste'!K224*1000</f>
        <v>-22.403731572762627</v>
      </c>
      <c r="AC224" s="41">
        <f>J224/'1. Väestöennuste'!L224*1000</f>
        <v>151.88851886040533</v>
      </c>
      <c r="AD224" s="41">
        <f>K224/'1. Väestöennuste'!M224*1000</f>
        <v>-182.69595257935489</v>
      </c>
      <c r="AE224" s="41">
        <f>L224/'1. Väestöennuste'!N224*1000</f>
        <v>94.889675657321021</v>
      </c>
      <c r="AF224" s="41">
        <f>M224/'1. Väestöennuste'!O224*1000</f>
        <v>-273.23168260920153</v>
      </c>
      <c r="AG224" s="41">
        <f>N224/'1. Väestöennuste'!P224*1000</f>
        <v>-332.09478823461541</v>
      </c>
      <c r="AH224" s="41">
        <f>O224/'1. Väestöennuste'!Q224*1000</f>
        <v>-403.85385557044759</v>
      </c>
      <c r="AI224" s="41">
        <f>P224/'1. Väestöennuste'!R224*1000</f>
        <v>-315.21777778028951</v>
      </c>
    </row>
    <row r="225" spans="1:35" x14ac:dyDescent="0.2">
      <c r="A225" s="34">
        <v>687</v>
      </c>
      <c r="B225" s="88" t="s">
        <v>539</v>
      </c>
      <c r="C225" s="41" t="e">
        <f>Vuosikate!C225-'6. Poistot'!C225</f>
        <v>#REF!</v>
      </c>
      <c r="D225" s="41">
        <f>Vuosikate!D225-'6. Poistot'!D225</f>
        <v>-89</v>
      </c>
      <c r="E225" s="41">
        <f>Vuosikate!E225-'6. Poistot'!E225</f>
        <v>785</v>
      </c>
      <c r="F225" s="41">
        <f>Vuosikate!F225-'6. Poistot'!F225</f>
        <v>478</v>
      </c>
      <c r="G225" s="41">
        <f>Vuosikate!G225-'6. Poistot'!G225</f>
        <v>-359</v>
      </c>
      <c r="H225" s="41">
        <f>Vuosikate!H225-'6. Poistot'!H225</f>
        <v>1615.0007618505333</v>
      </c>
      <c r="I225" s="41">
        <f>Vuosikate!I225-'6. Poistot'!I225</f>
        <v>1245.0865976989669</v>
      </c>
      <c r="J225" s="41">
        <f>Vuosikate!J225-'6. Poistot'!J225</f>
        <v>1145.6539138176249</v>
      </c>
      <c r="K225" s="41">
        <f>Vuosikate!K225-'6. Poistot'!K225</f>
        <v>-47.519790710677285</v>
      </c>
      <c r="L225" s="41">
        <f>Vuosikate!L225-'6. Poistot'!L225</f>
        <v>158.03633458540878</v>
      </c>
      <c r="M225" s="41">
        <f>Vuosikate!M225-'6. Poistot'!M225</f>
        <v>94.109930495332264</v>
      </c>
      <c r="N225" s="41">
        <f>Vuosikate!N225-'6. Poistot'!N225</f>
        <v>20.66517941289294</v>
      </c>
      <c r="O225" s="41">
        <f>Vuosikate!O225-'6. Poistot'!O225</f>
        <v>-18.015804308914312</v>
      </c>
      <c r="P225" s="41">
        <f>Vuosikate!P225-'6. Poistot'!P225</f>
        <v>154.72300707586339</v>
      </c>
      <c r="T225" s="34">
        <v>687</v>
      </c>
      <c r="U225" s="88" t="s">
        <v>539</v>
      </c>
      <c r="V225" s="41" t="e">
        <f>C225/'1. Väestöennuste'!E225*1000</f>
        <v>#REF!</v>
      </c>
      <c r="W225" s="41">
        <f>D225/'1. Väestöennuste'!F225*1000</f>
        <v>-51.654091700522351</v>
      </c>
      <c r="X225" s="41">
        <f>E225/'1. Väestöennuste'!G225*1000</f>
        <v>462.30859835100119</v>
      </c>
      <c r="Y225" s="41">
        <f>F225/'1. Väestöennuste'!H225*1000</f>
        <v>289.52150211992733</v>
      </c>
      <c r="Z225" s="41">
        <f>G225/'1. Väestöennuste'!I225*1000</f>
        <v>-224.09488139825217</v>
      </c>
      <c r="AA225" s="41">
        <f>H225/'1. Väestöennuste'!J225*1000</f>
        <v>1034.5936975339739</v>
      </c>
      <c r="AB225" s="41">
        <f>I225/'1. Väestöennuste'!K225*1000</f>
        <v>822.92570898808128</v>
      </c>
      <c r="AC225" s="41">
        <f>J225/'1. Väestöennuste'!L225*1000</f>
        <v>775.66277171132356</v>
      </c>
      <c r="AD225" s="41">
        <f>K225/'1. Väestöennuste'!M225*1000</f>
        <v>-33.370639544014942</v>
      </c>
      <c r="AE225" s="41">
        <f>L225/'1. Väestöennuste'!N225*1000</f>
        <v>110.12984988530229</v>
      </c>
      <c r="AF225" s="41">
        <f>M225/'1. Väestöennuste'!O225*1000</f>
        <v>66.839439272253031</v>
      </c>
      <c r="AG225" s="41">
        <f>N225/'1. Väestöennuste'!P225*1000</f>
        <v>14.963924267120159</v>
      </c>
      <c r="AH225" s="41">
        <f>O225/'1. Väestöennuste'!Q225*1000</f>
        <v>-13.295796537944142</v>
      </c>
      <c r="AI225" s="41">
        <f>P225/'1. Väestöennuste'!R225*1000</f>
        <v>116.24568525609571</v>
      </c>
    </row>
    <row r="226" spans="1:35" x14ac:dyDescent="0.2">
      <c r="A226" s="34">
        <v>689</v>
      </c>
      <c r="B226" s="88" t="s">
        <v>540</v>
      </c>
      <c r="C226" s="41" t="e">
        <f>Vuosikate!C226-'6. Poistot'!C226</f>
        <v>#REF!</v>
      </c>
      <c r="D226" s="41">
        <f>Vuosikate!D226-'6. Poistot'!D226</f>
        <v>1770</v>
      </c>
      <c r="E226" s="41">
        <f>Vuosikate!E226-'6. Poistot'!E226</f>
        <v>614</v>
      </c>
      <c r="F226" s="41">
        <f>Vuosikate!F226-'6. Poistot'!F226</f>
        <v>-201</v>
      </c>
      <c r="G226" s="41">
        <f>Vuosikate!G226-'6. Poistot'!G226</f>
        <v>-1126</v>
      </c>
      <c r="H226" s="41">
        <f>Vuosikate!H226-'6. Poistot'!H226</f>
        <v>-1291.3485727985208</v>
      </c>
      <c r="I226" s="41">
        <f>Vuosikate!I226-'6. Poistot'!I226</f>
        <v>263.13108760013301</v>
      </c>
      <c r="J226" s="41">
        <f>Vuosikate!J226-'6. Poistot'!J226</f>
        <v>563.57108234968109</v>
      </c>
      <c r="K226" s="41">
        <f>Vuosikate!K226-'6. Poistot'!K226</f>
        <v>2149.3849934759201</v>
      </c>
      <c r="L226" s="41">
        <f>Vuosikate!L226-'6. Poistot'!L226</f>
        <v>-608.0015095140941</v>
      </c>
      <c r="M226" s="41">
        <f>Vuosikate!M226-'6. Poistot'!M226</f>
        <v>-1045.5535880684899</v>
      </c>
      <c r="N226" s="41">
        <f>Vuosikate!N226-'6. Poistot'!N226</f>
        <v>-587.96973820376093</v>
      </c>
      <c r="O226" s="41">
        <f>Vuosikate!O226-'6. Poistot'!O226</f>
        <v>-970.9028036647054</v>
      </c>
      <c r="P226" s="41">
        <f>Vuosikate!P226-'6. Poistot'!P226</f>
        <v>-529.77443808582257</v>
      </c>
      <c r="T226" s="34">
        <v>689</v>
      </c>
      <c r="U226" s="88" t="s">
        <v>540</v>
      </c>
      <c r="V226" s="41" t="e">
        <f>C226/'1. Väestöennuste'!E226*1000</f>
        <v>#REF!</v>
      </c>
      <c r="W226" s="41">
        <f>D226/'1. Väestöennuste'!F226*1000</f>
        <v>509.64583933198958</v>
      </c>
      <c r="X226" s="41">
        <f>E226/'1. Väestöennuste'!G226*1000</f>
        <v>178.69615832363215</v>
      </c>
      <c r="Y226" s="41">
        <f>F226/'1. Väestöennuste'!H226*1000</f>
        <v>-60.26986506746627</v>
      </c>
      <c r="Z226" s="41">
        <f>G226/'1. Väestöennuste'!I226*1000</f>
        <v>-349.03905765654059</v>
      </c>
      <c r="AA226" s="41">
        <f>H226/'1. Väestöennuste'!J226*1000</f>
        <v>-410.4731636358934</v>
      </c>
      <c r="AB226" s="41">
        <f>I226/'1. Väestöennuste'!K226*1000</f>
        <v>85.100610478697618</v>
      </c>
      <c r="AC226" s="41">
        <f>J226/'1. Väestöennuste'!L226*1000</f>
        <v>182.208562027055</v>
      </c>
      <c r="AD226" s="41">
        <f>K226/'1. Väestöennuste'!M226*1000</f>
        <v>708.90006381131934</v>
      </c>
      <c r="AE226" s="41">
        <f>L226/'1. Väestöennuste'!N226*1000</f>
        <v>-212.66229783633929</v>
      </c>
      <c r="AF226" s="41">
        <f>M226/'1. Väestöennuste'!O226*1000</f>
        <v>-373.54540481189355</v>
      </c>
      <c r="AG226" s="41">
        <f>N226/'1. Väestöennuste'!P226*1000</f>
        <v>-214.43097673368376</v>
      </c>
      <c r="AH226" s="41">
        <f>O226/'1. Väestöennuste'!Q226*1000</f>
        <v>-361.06463505567325</v>
      </c>
      <c r="AI226" s="41">
        <f>P226/'1. Väestöennuste'!R226*1000</f>
        <v>-200.74817661455953</v>
      </c>
    </row>
    <row r="227" spans="1:35" x14ac:dyDescent="0.2">
      <c r="A227" s="34">
        <v>691</v>
      </c>
      <c r="B227" s="88" t="s">
        <v>541</v>
      </c>
      <c r="C227" s="41" t="e">
        <f>Vuosikate!C227-'6. Poistot'!C227</f>
        <v>#REF!</v>
      </c>
      <c r="D227" s="41">
        <f>Vuosikate!D227-'6. Poistot'!D227</f>
        <v>-1410</v>
      </c>
      <c r="E227" s="41">
        <f>Vuosikate!E227-'6. Poistot'!E227</f>
        <v>-122</v>
      </c>
      <c r="F227" s="41">
        <f>Vuosikate!F227-'6. Poistot'!F227</f>
        <v>-1847</v>
      </c>
      <c r="G227" s="41">
        <f>Vuosikate!G227-'6. Poistot'!G227</f>
        <v>-617</v>
      </c>
      <c r="H227" s="41">
        <f>Vuosikate!H227-'6. Poistot'!H227</f>
        <v>1099.7336689757412</v>
      </c>
      <c r="I227" s="41">
        <f>Vuosikate!I227-'6. Poistot'!I227</f>
        <v>1133.622342073473</v>
      </c>
      <c r="J227" s="41">
        <f>Vuosikate!J227-'6. Poistot'!J227</f>
        <v>536.82430100989586</v>
      </c>
      <c r="K227" s="41">
        <f>Vuosikate!K227-'6. Poistot'!K227</f>
        <v>261.6026755327448</v>
      </c>
      <c r="L227" s="41">
        <f>Vuosikate!L227-'6. Poistot'!L227</f>
        <v>582.4496718495966</v>
      </c>
      <c r="M227" s="41">
        <f>Vuosikate!M227-'6. Poistot'!M227</f>
        <v>-604.01075032278413</v>
      </c>
      <c r="N227" s="41">
        <f>Vuosikate!N227-'6. Poistot'!N227</f>
        <v>-446.37966666655234</v>
      </c>
      <c r="O227" s="41">
        <f>Vuosikate!O227-'6. Poistot'!O227</f>
        <v>-607.59844346315322</v>
      </c>
      <c r="P227" s="41">
        <f>Vuosikate!P227-'6. Poistot'!P227</f>
        <v>-372.24113542330315</v>
      </c>
      <c r="T227" s="34">
        <v>691</v>
      </c>
      <c r="U227" s="88" t="s">
        <v>541</v>
      </c>
      <c r="V227" s="41" t="e">
        <f>C227/'1. Väestöennuste'!E227*1000</f>
        <v>#REF!</v>
      </c>
      <c r="W227" s="41">
        <f>D227/'1. Väestöennuste'!F227*1000</f>
        <v>-494.04344779257178</v>
      </c>
      <c r="X227" s="41">
        <f>E227/'1. Väestöennuste'!G227*1000</f>
        <v>-43.370067543547819</v>
      </c>
      <c r="Y227" s="41">
        <f>F227/'1. Väestöennuste'!H227*1000</f>
        <v>-673.35034633612838</v>
      </c>
      <c r="Z227" s="41">
        <f>G227/'1. Väestöennuste'!I227*1000</f>
        <v>-227.00515084621046</v>
      </c>
      <c r="AA227" s="41">
        <f>H227/'1. Väestöennuste'!J227*1000</f>
        <v>405.80578190986762</v>
      </c>
      <c r="AB227" s="41">
        <f>I227/'1. Väestöennuste'!K227*1000</f>
        <v>421.42094500872599</v>
      </c>
      <c r="AC227" s="41">
        <f>J227/'1. Väestöennuste'!L227*1000</f>
        <v>203.65110053486185</v>
      </c>
      <c r="AD227" s="41">
        <f>K227/'1. Väestöennuste'!M227*1000</f>
        <v>100.69387048989408</v>
      </c>
      <c r="AE227" s="41">
        <f>L227/'1. Väestöennuste'!N227*1000</f>
        <v>225.9308269393315</v>
      </c>
      <c r="AF227" s="41">
        <f>M227/'1. Väestöennuste'!O227*1000</f>
        <v>-237.23910067666304</v>
      </c>
      <c r="AG227" s="41">
        <f>N227/'1. Väestöennuste'!P227*1000</f>
        <v>-177.48694499664109</v>
      </c>
      <c r="AH227" s="41">
        <f>O227/'1. Väestöennuste'!Q227*1000</f>
        <v>-244.40806253545986</v>
      </c>
      <c r="AI227" s="41">
        <f>P227/'1. Väestöennuste'!R227*1000</f>
        <v>-151.62571707670187</v>
      </c>
    </row>
    <row r="228" spans="1:35" x14ac:dyDescent="0.2">
      <c r="A228" s="34">
        <v>694</v>
      </c>
      <c r="B228" s="88" t="s">
        <v>542</v>
      </c>
      <c r="C228" s="41" t="e">
        <f>Vuosikate!C228-'6. Poistot'!C228</f>
        <v>#REF!</v>
      </c>
      <c r="D228" s="41">
        <f>Vuosikate!D228-'6. Poistot'!D228</f>
        <v>-989</v>
      </c>
      <c r="E228" s="41">
        <f>Vuosikate!E228-'6. Poistot'!E228</f>
        <v>5039</v>
      </c>
      <c r="F228" s="41">
        <f>Vuosikate!F228-'6. Poistot'!F228</f>
        <v>-2638</v>
      </c>
      <c r="G228" s="41">
        <f>Vuosikate!G228-'6. Poistot'!G228</f>
        <v>14104</v>
      </c>
      <c r="H228" s="41">
        <f>Vuosikate!H228-'6. Poistot'!H228</f>
        <v>14545.089861405642</v>
      </c>
      <c r="I228" s="41">
        <f>Vuosikate!I228-'6. Poistot'!I228</f>
        <v>8549.3105801848014</v>
      </c>
      <c r="J228" s="41">
        <f>Vuosikate!J228-'6. Poistot'!J228</f>
        <v>7806.420902659318</v>
      </c>
      <c r="K228" s="41">
        <f>Vuosikate!K228-'6. Poistot'!K228</f>
        <v>10975.874368961109</v>
      </c>
      <c r="L228" s="41">
        <f>Vuosikate!L228-'6. Poistot'!L228</f>
        <v>5189.7351067956533</v>
      </c>
      <c r="M228" s="41">
        <f>Vuosikate!M228-'6. Poistot'!M228</f>
        <v>3153.0616195135372</v>
      </c>
      <c r="N228" s="41">
        <f>Vuosikate!N228-'6. Poistot'!N228</f>
        <v>2839.6723519407442</v>
      </c>
      <c r="O228" s="41">
        <f>Vuosikate!O228-'6. Poistot'!O228</f>
        <v>3367.2151201958895</v>
      </c>
      <c r="P228" s="41">
        <f>Vuosikate!P228-'6. Poistot'!P228</f>
        <v>4583.289500548457</v>
      </c>
      <c r="T228" s="34">
        <v>694</v>
      </c>
      <c r="U228" s="88" t="s">
        <v>542</v>
      </c>
      <c r="V228" s="41" t="e">
        <f>C228/'1. Väestöennuste'!E228*1000</f>
        <v>#REF!</v>
      </c>
      <c r="W228" s="41">
        <f>D228/'1. Väestöennuste'!F228*1000</f>
        <v>-33.916323731138547</v>
      </c>
      <c r="X228" s="41">
        <f>E228/'1. Väestöennuste'!G228*1000</f>
        <v>173.63288653044347</v>
      </c>
      <c r="Y228" s="41">
        <f>F228/'1. Väestöennuste'!H228*1000</f>
        <v>-91.801224944320722</v>
      </c>
      <c r="Z228" s="41">
        <f>G228/'1. Väestöennuste'!I228*1000</f>
        <v>489.84128086687741</v>
      </c>
      <c r="AA228" s="41">
        <f>H228/'1. Väestöennuste'!J228*1000</f>
        <v>506.62103313847587</v>
      </c>
      <c r="AB228" s="41">
        <f>I228/'1. Väestöennuste'!K228*1000</f>
        <v>299.75493777163496</v>
      </c>
      <c r="AC228" s="41">
        <f>J228/'1. Väestöennuste'!L228*1000</f>
        <v>275.36847517229239</v>
      </c>
      <c r="AD228" s="41">
        <f>K228/'1. Väestöennuste'!M228*1000</f>
        <v>385.34825576523224</v>
      </c>
      <c r="AE228" s="41">
        <f>L228/'1. Väestöennuste'!N228*1000</f>
        <v>183.41527148950888</v>
      </c>
      <c r="AF228" s="41">
        <f>M228/'1. Väestöennuste'!O228*1000</f>
        <v>111.79880223783063</v>
      </c>
      <c r="AG228" s="41">
        <f>N228/'1. Väestöennuste'!P228*1000</f>
        <v>101.02000540522036</v>
      </c>
      <c r="AH228" s="41">
        <f>O228/'1. Väestöennuste'!Q228*1000</f>
        <v>120.18471357375485</v>
      </c>
      <c r="AI228" s="41">
        <f>P228/'1. Väestöennuste'!R228*1000</f>
        <v>164.1226634873758</v>
      </c>
    </row>
    <row r="229" spans="1:35" x14ac:dyDescent="0.2">
      <c r="A229" s="89">
        <v>697</v>
      </c>
      <c r="B229" s="90" t="s">
        <v>543</v>
      </c>
      <c r="C229" s="41" t="e">
        <f>Vuosikate!C229-'6. Poistot'!C229</f>
        <v>#REF!</v>
      </c>
      <c r="D229" s="41">
        <f>Vuosikate!D229-'6. Poistot'!D229</f>
        <v>-136</v>
      </c>
      <c r="E229" s="41">
        <f>Vuosikate!E229-'6. Poistot'!E229</f>
        <v>-129</v>
      </c>
      <c r="F229" s="41">
        <f>Vuosikate!F229-'6. Poistot'!F229</f>
        <v>-621</v>
      </c>
      <c r="G229" s="41">
        <f>Vuosikate!G229-'6. Poistot'!G229</f>
        <v>-116</v>
      </c>
      <c r="H229" s="41">
        <f>Vuosikate!H229-'6. Poistot'!H229</f>
        <v>-88.667609649552105</v>
      </c>
      <c r="I229" s="41">
        <f>Vuosikate!I229-'6. Poistot'!I229</f>
        <v>-85.703410423505659</v>
      </c>
      <c r="J229" s="41">
        <f>Vuosikate!J229-'6. Poistot'!J229</f>
        <v>104.86959859913134</v>
      </c>
      <c r="K229" s="41">
        <f>Vuosikate!K229-'6. Poistot'!K229</f>
        <v>-68.926000180976985</v>
      </c>
      <c r="L229" s="41">
        <f>Vuosikate!L229-'6. Poistot'!L229</f>
        <v>-259.20616243938349</v>
      </c>
      <c r="M229" s="41">
        <f>Vuosikate!M229-'6. Poistot'!M229</f>
        <v>-473.01169112693299</v>
      </c>
      <c r="N229" s="41">
        <f>Vuosikate!N229-'6. Poistot'!N229</f>
        <v>-472.48050727269913</v>
      </c>
      <c r="O229" s="41">
        <f>Vuosikate!O229-'6. Poistot'!O229</f>
        <v>-535.45465285819512</v>
      </c>
      <c r="P229" s="41">
        <f>Vuosikate!P229-'6. Poistot'!P229</f>
        <v>-407.40815222007302</v>
      </c>
      <c r="T229" s="89">
        <v>697</v>
      </c>
      <c r="U229" s="90" t="s">
        <v>543</v>
      </c>
      <c r="V229" s="41" t="e">
        <f>C229/'1. Väestöennuste'!E229*1000</f>
        <v>#REF!</v>
      </c>
      <c r="W229" s="41">
        <f>D229/'1. Väestöennuste'!F229*1000</f>
        <v>-101.11524163568774</v>
      </c>
      <c r="X229" s="41">
        <f>E229/'1. Väestöennuste'!G229*1000</f>
        <v>-97.949886104783602</v>
      </c>
      <c r="Y229" s="41">
        <f>F229/'1. Väestöennuste'!H229*1000</f>
        <v>-482.14285714285717</v>
      </c>
      <c r="Z229" s="41">
        <f>G229/'1. Väestöennuste'!I229*1000</f>
        <v>-91.19496855345912</v>
      </c>
      <c r="AA229" s="41">
        <f>H229/'1. Väestöennuste'!J229*1000</f>
        <v>-71.795635343766889</v>
      </c>
      <c r="AB229" s="41">
        <f>I229/'1. Väestöennuste'!K229*1000</f>
        <v>-70.8292648128146</v>
      </c>
      <c r="AC229" s="41">
        <f>J229/'1. Väestöennuste'!L229*1000</f>
        <v>89.326744973706425</v>
      </c>
      <c r="AD229" s="41">
        <f>K229/'1. Väestöennuste'!M229*1000</f>
        <v>-59.214776787780913</v>
      </c>
      <c r="AE229" s="41">
        <f>L229/'1. Väestöennuste'!N229*1000</f>
        <v>-220.78889475245614</v>
      </c>
      <c r="AF229" s="41">
        <f>M229/'1. Väestöennuste'!O229*1000</f>
        <v>-405.67040405397341</v>
      </c>
      <c r="AG229" s="41">
        <f>N229/'1. Väestöennuste'!P229*1000</f>
        <v>-408.72016200060477</v>
      </c>
      <c r="AH229" s="41">
        <f>O229/'1. Väestöennuste'!Q229*1000</f>
        <v>-467.64598502899133</v>
      </c>
      <c r="AI229" s="41">
        <f>P229/'1. Väestöennuste'!R229*1000</f>
        <v>-358.31851558493673</v>
      </c>
    </row>
    <row r="230" spans="1:35" x14ac:dyDescent="0.2">
      <c r="A230" s="34">
        <v>698</v>
      </c>
      <c r="B230" s="88" t="s">
        <v>544</v>
      </c>
      <c r="C230" s="41" t="e">
        <f>Vuosikate!C230-'6. Poistot'!C230</f>
        <v>#REF!</v>
      </c>
      <c r="D230" s="41">
        <f>Vuosikate!D230-'6. Poistot'!D230</f>
        <v>4367</v>
      </c>
      <c r="E230" s="41">
        <f>Vuosikate!E230-'6. Poistot'!E230</f>
        <v>372</v>
      </c>
      <c r="F230" s="41">
        <f>Vuosikate!F230-'6. Poistot'!F230</f>
        <v>-20528</v>
      </c>
      <c r="G230" s="41">
        <f>Vuosikate!G230-'6. Poistot'!G230</f>
        <v>-31570</v>
      </c>
      <c r="H230" s="41">
        <f>Vuosikate!H230-'6. Poistot'!H230</f>
        <v>13316.373838072759</v>
      </c>
      <c r="I230" s="41">
        <f>Vuosikate!I230-'6. Poistot'!I230</f>
        <v>9500.9815157751236</v>
      </c>
      <c r="J230" s="41">
        <f>Vuosikate!J230-'6. Poistot'!J230</f>
        <v>-3219.5891585906502</v>
      </c>
      <c r="K230" s="41">
        <f>Vuosikate!K230-'6. Poistot'!K230</f>
        <v>23599.824282494541</v>
      </c>
      <c r="L230" s="41">
        <f>Vuosikate!L230-'6. Poistot'!L230</f>
        <v>2092.7010635664374</v>
      </c>
      <c r="M230" s="41">
        <f>Vuosikate!M230-'6. Poistot'!M230</f>
        <v>-8086.5867169728881</v>
      </c>
      <c r="N230" s="41">
        <f>Vuosikate!N230-'6. Poistot'!N230</f>
        <v>-7973.3059454475588</v>
      </c>
      <c r="O230" s="41">
        <f>Vuosikate!O230-'6. Poistot'!O230</f>
        <v>-7247.1028981327836</v>
      </c>
      <c r="P230" s="41">
        <f>Vuosikate!P230-'6. Poistot'!P230</f>
        <v>-3458.6840244998966</v>
      </c>
      <c r="T230" s="34">
        <v>698</v>
      </c>
      <c r="U230" s="88" t="s">
        <v>544</v>
      </c>
      <c r="V230" s="41" t="e">
        <f>C230/'1. Väestöennuste'!E230*1000</f>
        <v>#REF!</v>
      </c>
      <c r="W230" s="41">
        <f>D230/'1. Väestöennuste'!F230*1000</f>
        <v>70.174029020905991</v>
      </c>
      <c r="X230" s="41">
        <f>E230/'1. Väestöennuste'!G230*1000</f>
        <v>5.9596283242550463</v>
      </c>
      <c r="Y230" s="41">
        <f>F230/'1. Väestöennuste'!H230*1000</f>
        <v>-326.24519246050664</v>
      </c>
      <c r="Z230" s="41">
        <f>G230/'1. Väestöennuste'!I230*1000</f>
        <v>-500.77725960470798</v>
      </c>
      <c r="AA230" s="41">
        <f>H230/'1. Väestöennuste'!J230*1000</f>
        <v>209.61424628624795</v>
      </c>
      <c r="AB230" s="41">
        <f>I230/'1. Väestöennuste'!K230*1000</f>
        <v>148.03648357393462</v>
      </c>
      <c r="AC230" s="41">
        <f>J230/'1. Väestöennuste'!L230*1000</f>
        <v>-49.889039414126444</v>
      </c>
      <c r="AD230" s="41">
        <f>K230/'1. Väestöennuste'!M230*1000</f>
        <v>361.48369148813742</v>
      </c>
      <c r="AE230" s="41">
        <f>L230/'1. Väestöennuste'!N230*1000</f>
        <v>32.218697574653014</v>
      </c>
      <c r="AF230" s="41">
        <f>M230/'1. Väestöennuste'!O230*1000</f>
        <v>-123.92666570077833</v>
      </c>
      <c r="AG230" s="41">
        <f>N230/'1. Väestöennuste'!P230*1000</f>
        <v>-121.6592808057548</v>
      </c>
      <c r="AH230" s="41">
        <f>O230/'1. Väestöennuste'!Q230*1000</f>
        <v>-110.13499434869432</v>
      </c>
      <c r="AI230" s="41">
        <f>P230/'1. Väestöennuste'!R230*1000</f>
        <v>-52.369390474530562</v>
      </c>
    </row>
    <row r="231" spans="1:35" x14ac:dyDescent="0.2">
      <c r="A231" s="34">
        <v>700</v>
      </c>
      <c r="B231" s="88" t="s">
        <v>545</v>
      </c>
      <c r="C231" s="41" t="e">
        <f>Vuosikate!C231-'6. Poistot'!C231</f>
        <v>#REF!</v>
      </c>
      <c r="D231" s="41">
        <f>Vuosikate!D231-'6. Poistot'!D231</f>
        <v>1003</v>
      </c>
      <c r="E231" s="41">
        <f>Vuosikate!E231-'6. Poistot'!E231</f>
        <v>974</v>
      </c>
      <c r="F231" s="41">
        <f>Vuosikate!F231-'6. Poistot'!F231</f>
        <v>181</v>
      </c>
      <c r="G231" s="41">
        <f>Vuosikate!G231-'6. Poistot'!G231</f>
        <v>763</v>
      </c>
      <c r="H231" s="41">
        <f>Vuosikate!H231-'6. Poistot'!H231</f>
        <v>2003.776653564666</v>
      </c>
      <c r="I231" s="41">
        <f>Vuosikate!I231-'6. Poistot'!I231</f>
        <v>1441.8328093239681</v>
      </c>
      <c r="J231" s="41">
        <f>Vuosikate!J231-'6. Poistot'!J231</f>
        <v>-76.558811264759242</v>
      </c>
      <c r="K231" s="41">
        <f>Vuosikate!K231-'6. Poistot'!K231</f>
        <v>-1588.8677495151019</v>
      </c>
      <c r="L231" s="41">
        <f>Vuosikate!L231-'6. Poistot'!L231</f>
        <v>214.52319534585331</v>
      </c>
      <c r="M231" s="41">
        <f>Vuosikate!M231-'6. Poistot'!M231</f>
        <v>-445.56133513692384</v>
      </c>
      <c r="N231" s="41">
        <f>Vuosikate!N231-'6. Poistot'!N231</f>
        <v>-1024.6175310205144</v>
      </c>
      <c r="O231" s="41">
        <f>Vuosikate!O231-'6. Poistot'!O231</f>
        <v>-1403.1176955890942</v>
      </c>
      <c r="P231" s="41">
        <f>Vuosikate!P231-'6. Poistot'!P231</f>
        <v>-1070.8717051411265</v>
      </c>
      <c r="T231" s="34">
        <v>700</v>
      </c>
      <c r="U231" s="88" t="s">
        <v>545</v>
      </c>
      <c r="V231" s="41" t="e">
        <f>C231/'1. Väestöennuste'!E231*1000</f>
        <v>#REF!</v>
      </c>
      <c r="W231" s="41">
        <f>D231/'1. Väestöennuste'!F231*1000</f>
        <v>191.22974261201145</v>
      </c>
      <c r="X231" s="41">
        <f>E231/'1. Väestöennuste'!G231*1000</f>
        <v>186.66155615178229</v>
      </c>
      <c r="Y231" s="41">
        <f>F231/'1. Väestöennuste'!H231*1000</f>
        <v>35.497156305157873</v>
      </c>
      <c r="Z231" s="41">
        <f>G231/'1. Väestöennuste'!I231*1000</f>
        <v>152.78334000800962</v>
      </c>
      <c r="AA231" s="41">
        <f>H231/'1. Väestöennuste'!J231*1000</f>
        <v>407.10618723378019</v>
      </c>
      <c r="AB231" s="41">
        <f>I231/'1. Väestöennuste'!K231*1000</f>
        <v>293.47299192427602</v>
      </c>
      <c r="AC231" s="41">
        <f>J231/'1. Väestöennuste'!L231*1000</f>
        <v>-15.811402574299722</v>
      </c>
      <c r="AD231" s="41">
        <f>K231/'1. Väestöennuste'!M231*1000</f>
        <v>-333.93605496324125</v>
      </c>
      <c r="AE231" s="41">
        <f>L231/'1. Väestöennuste'!N231*1000</f>
        <v>46.253384076294374</v>
      </c>
      <c r="AF231" s="41">
        <f>M231/'1. Väestöennuste'!O231*1000</f>
        <v>-97.41174795297853</v>
      </c>
      <c r="AG231" s="41">
        <f>N231/'1. Väestöennuste'!P231*1000</f>
        <v>-227.08721875454663</v>
      </c>
      <c r="AH231" s="41">
        <f>O231/'1. Väestöennuste'!Q231*1000</f>
        <v>-315.23650765874953</v>
      </c>
      <c r="AI231" s="41">
        <f>P231/'1. Väestöennuste'!R231*1000</f>
        <v>-243.9899077560097</v>
      </c>
    </row>
    <row r="232" spans="1:35" x14ac:dyDescent="0.2">
      <c r="A232" s="34">
        <v>702</v>
      </c>
      <c r="B232" s="88" t="s">
        <v>546</v>
      </c>
      <c r="C232" s="41" t="e">
        <f>Vuosikate!C232-'6. Poistot'!C232</f>
        <v>#REF!</v>
      </c>
      <c r="D232" s="41">
        <f>Vuosikate!D232-'6. Poistot'!D232</f>
        <v>1890</v>
      </c>
      <c r="E232" s="41">
        <f>Vuosikate!E232-'6. Poistot'!E232</f>
        <v>1702</v>
      </c>
      <c r="F232" s="41">
        <f>Vuosikate!F232-'6. Poistot'!F232</f>
        <v>188</v>
      </c>
      <c r="G232" s="41">
        <f>Vuosikate!G232-'6. Poistot'!G232</f>
        <v>-827</v>
      </c>
      <c r="H232" s="41">
        <f>Vuosikate!H232-'6. Poistot'!H232</f>
        <v>2140.223499187663</v>
      </c>
      <c r="I232" s="41">
        <f>Vuosikate!I232-'6. Poistot'!I232</f>
        <v>-1014.6619365407767</v>
      </c>
      <c r="J232" s="41">
        <f>Vuosikate!J232-'6. Poistot'!J232</f>
        <v>-258.43674045493322</v>
      </c>
      <c r="K232" s="41">
        <f>Vuosikate!K232-'6. Poistot'!K232</f>
        <v>399.89183430411208</v>
      </c>
      <c r="L232" s="41">
        <f>Vuosikate!L232-'6. Poistot'!L232</f>
        <v>-67.946654466685686</v>
      </c>
      <c r="M232" s="41">
        <f>Vuosikate!M232-'6. Poistot'!M232</f>
        <v>-769.91129412968166</v>
      </c>
      <c r="N232" s="41">
        <f>Vuosikate!N232-'6. Poistot'!N232</f>
        <v>-1079.2749234594967</v>
      </c>
      <c r="O232" s="41">
        <f>Vuosikate!O232-'6. Poistot'!O232</f>
        <v>-1498.1573199449015</v>
      </c>
      <c r="P232" s="41">
        <f>Vuosikate!P232-'6. Poistot'!P232</f>
        <v>-1130.6273798573807</v>
      </c>
      <c r="T232" s="34">
        <v>702</v>
      </c>
      <c r="U232" s="88" t="s">
        <v>546</v>
      </c>
      <c r="V232" s="41" t="e">
        <f>C232/'1. Väestöennuste'!E232*1000</f>
        <v>#REF!</v>
      </c>
      <c r="W232" s="41">
        <f>D232/'1. Väestöennuste'!F232*1000</f>
        <v>414.01971522453454</v>
      </c>
      <c r="X232" s="41">
        <f>E232/'1. Väestöennuste'!G232*1000</f>
        <v>381.69993272034088</v>
      </c>
      <c r="Y232" s="41">
        <f>F232/'1. Väestöennuste'!H232*1000</f>
        <v>42.746703046839471</v>
      </c>
      <c r="Z232" s="41">
        <f>G232/'1. Väestöennuste'!I232*1000</f>
        <v>-193.08895633901471</v>
      </c>
      <c r="AA232" s="41">
        <f>H232/'1. Väestöennuste'!J232*1000</f>
        <v>507.76358225092832</v>
      </c>
      <c r="AB232" s="41">
        <f>I232/'1. Väestöennuste'!K232*1000</f>
        <v>-244.20263213977776</v>
      </c>
      <c r="AC232" s="41">
        <f>J232/'1. Väestöennuste'!L232*1000</f>
        <v>-62.818847947237053</v>
      </c>
      <c r="AD232" s="41">
        <f>K232/'1. Väestöennuste'!M232*1000</f>
        <v>96.966982129998073</v>
      </c>
      <c r="AE232" s="41">
        <f>L232/'1. Väestöennuste'!N232*1000</f>
        <v>-17.40882768810804</v>
      </c>
      <c r="AF232" s="41">
        <f>M232/'1. Väestöennuste'!O232*1000</f>
        <v>-200.39336130392547</v>
      </c>
      <c r="AG232" s="41">
        <f>N232/'1. Väestöennuste'!P232*1000</f>
        <v>-284.91946237051127</v>
      </c>
      <c r="AH232" s="41">
        <f>O232/'1. Väestöennuste'!Q232*1000</f>
        <v>-400.79115033303947</v>
      </c>
      <c r="AI232" s="41">
        <f>P232/'1. Väestöennuste'!R232*1000</f>
        <v>-306.23710180319085</v>
      </c>
    </row>
    <row r="233" spans="1:35" x14ac:dyDescent="0.2">
      <c r="A233" s="34">
        <v>704</v>
      </c>
      <c r="B233" s="88" t="s">
        <v>547</v>
      </c>
      <c r="C233" s="41" t="e">
        <f>Vuosikate!C233-'6. Poistot'!C233</f>
        <v>#REF!</v>
      </c>
      <c r="D233" s="41">
        <f>Vuosikate!D233-'6. Poistot'!D233</f>
        <v>2196</v>
      </c>
      <c r="E233" s="41">
        <f>Vuosikate!E233-'6. Poistot'!E233</f>
        <v>2673</v>
      </c>
      <c r="F233" s="41">
        <f>Vuosikate!F233-'6. Poistot'!F233</f>
        <v>883</v>
      </c>
      <c r="G233" s="41">
        <f>Vuosikate!G233-'6. Poistot'!G233</f>
        <v>-1715</v>
      </c>
      <c r="H233" s="41">
        <f>Vuosikate!H233-'6. Poistot'!H233</f>
        <v>2267.9192252957127</v>
      </c>
      <c r="I233" s="41">
        <f>Vuosikate!I233-'6. Poistot'!I233</f>
        <v>808.18353679454071</v>
      </c>
      <c r="J233" s="41">
        <f>Vuosikate!J233-'6. Poistot'!J233</f>
        <v>411.99177401385577</v>
      </c>
      <c r="K233" s="41">
        <f>Vuosikate!K233-'6. Poistot'!K233</f>
        <v>-10.136489807794078</v>
      </c>
      <c r="L233" s="41">
        <f>Vuosikate!L233-'6. Poistot'!L233</f>
        <v>-69.992362298142325</v>
      </c>
      <c r="M233" s="41">
        <f>Vuosikate!M233-'6. Poistot'!M233</f>
        <v>-1970.1897060737933</v>
      </c>
      <c r="N233" s="41">
        <f>Vuosikate!N233-'6. Poistot'!N233</f>
        <v>-1490.9830224468155</v>
      </c>
      <c r="O233" s="41">
        <f>Vuosikate!O233-'6. Poistot'!O233</f>
        <v>-1509.2010537096628</v>
      </c>
      <c r="P233" s="41">
        <f>Vuosikate!P233-'6. Poistot'!P233</f>
        <v>-1304.9195581008751</v>
      </c>
      <c r="T233" s="34">
        <v>704</v>
      </c>
      <c r="U233" s="88" t="s">
        <v>547</v>
      </c>
      <c r="V233" s="41" t="e">
        <f>C233/'1. Väestöennuste'!E233*1000</f>
        <v>#REF!</v>
      </c>
      <c r="W233" s="41">
        <f>D233/'1. Väestöennuste'!F233*1000</f>
        <v>357.82955841616428</v>
      </c>
      <c r="X233" s="41">
        <f>E233/'1. Väestöennuste'!G233*1000</f>
        <v>426.79227207408587</v>
      </c>
      <c r="Y233" s="41">
        <f>F233/'1. Väestöennuste'!H233*1000</f>
        <v>141.25739881618941</v>
      </c>
      <c r="Z233" s="41">
        <f>G233/'1. Väestöennuste'!I233*1000</f>
        <v>-271.06053421842898</v>
      </c>
      <c r="AA233" s="41">
        <f>H233/'1. Väestöennuste'!J233*1000</f>
        <v>356.92779749696456</v>
      </c>
      <c r="AB233" s="41">
        <f>I233/'1. Väestöennuste'!K233*1000</f>
        <v>126.69439360315735</v>
      </c>
      <c r="AC233" s="41">
        <f>J233/'1. Väestöennuste'!L233*1000</f>
        <v>64.093306473841906</v>
      </c>
      <c r="AD233" s="41">
        <f>K233/'1. Väestöennuste'!M233*1000</f>
        <v>-1.5749673411737226</v>
      </c>
      <c r="AE233" s="41">
        <f>L233/'1. Väestöennuste'!N233*1000</f>
        <v>-10.645226205040657</v>
      </c>
      <c r="AF233" s="41">
        <f>M233/'1. Väestöennuste'!O233*1000</f>
        <v>-296.93891576093347</v>
      </c>
      <c r="AG233" s="41">
        <f>N233/'1. Väestöennuste'!P233*1000</f>
        <v>-222.83410886964811</v>
      </c>
      <c r="AH233" s="41">
        <f>O233/'1. Väestöennuste'!Q233*1000</f>
        <v>-223.68475673775941</v>
      </c>
      <c r="AI233" s="41">
        <f>P233/'1. Väestöennuste'!R233*1000</f>
        <v>-191.98463411812196</v>
      </c>
    </row>
    <row r="234" spans="1:35" x14ac:dyDescent="0.2">
      <c r="A234" s="34">
        <v>707</v>
      </c>
      <c r="B234" s="88" t="s">
        <v>548</v>
      </c>
      <c r="C234" s="41" t="e">
        <f>Vuosikate!C234-'6. Poistot'!C234</f>
        <v>#REF!</v>
      </c>
      <c r="D234" s="41">
        <f>Vuosikate!D234-'6. Poistot'!D234</f>
        <v>564</v>
      </c>
      <c r="E234" s="41">
        <f>Vuosikate!E234-'6. Poistot'!E234</f>
        <v>821</v>
      </c>
      <c r="F234" s="41">
        <f>Vuosikate!F234-'6. Poistot'!F234</f>
        <v>42</v>
      </c>
      <c r="G234" s="41">
        <f>Vuosikate!G234-'6. Poistot'!G234</f>
        <v>-577</v>
      </c>
      <c r="H234" s="41">
        <f>Vuosikate!H234-'6. Poistot'!H234</f>
        <v>-1583.8006569229237</v>
      </c>
      <c r="I234" s="41">
        <f>Vuosikate!I234-'6. Poistot'!I234</f>
        <v>-24.245726141304885</v>
      </c>
      <c r="J234" s="41">
        <f>Vuosikate!J234-'6. Poistot'!J234</f>
        <v>1607.3471426384399</v>
      </c>
      <c r="K234" s="41">
        <f>Vuosikate!K234-'6. Poistot'!K234</f>
        <v>639.42265547052352</v>
      </c>
      <c r="L234" s="41">
        <f>Vuosikate!L234-'6. Poistot'!L234</f>
        <v>483.2105123388605</v>
      </c>
      <c r="M234" s="41">
        <f>Vuosikate!M234-'6. Poistot'!M234</f>
        <v>-869.70375175077402</v>
      </c>
      <c r="N234" s="41">
        <f>Vuosikate!N234-'6. Poistot'!N234</f>
        <v>-965.16182139670195</v>
      </c>
      <c r="O234" s="41">
        <f>Vuosikate!O234-'6. Poistot'!O234</f>
        <v>-1105.0598835313847</v>
      </c>
      <c r="P234" s="41">
        <f>Vuosikate!P234-'6. Poistot'!P234</f>
        <v>-844.58953022434866</v>
      </c>
      <c r="T234" s="34">
        <v>707</v>
      </c>
      <c r="U234" s="88" t="s">
        <v>548</v>
      </c>
      <c r="V234" s="41" t="e">
        <f>C234/'1. Väestöennuste'!E234*1000</f>
        <v>#REF!</v>
      </c>
      <c r="W234" s="41">
        <f>D234/'1. Väestöennuste'!F234*1000</f>
        <v>248.67724867724866</v>
      </c>
      <c r="X234" s="41">
        <f>E234/'1. Väestöennuste'!G234*1000</f>
        <v>366.51785714285711</v>
      </c>
      <c r="Y234" s="41">
        <f>F234/'1. Väestöennuste'!H234*1000</f>
        <v>19.257221458046768</v>
      </c>
      <c r="Z234" s="41">
        <f>G234/'1. Väestöennuste'!I234*1000</f>
        <v>-271.40169332079023</v>
      </c>
      <c r="AA234" s="41">
        <f>H234/'1. Väestöennuste'!J234*1000</f>
        <v>-766.60244768776568</v>
      </c>
      <c r="AB234" s="41">
        <f>I234/'1. Väestöennuste'!K234*1000</f>
        <v>-11.931951841193349</v>
      </c>
      <c r="AC234" s="41">
        <f>J234/'1. Väestöennuste'!L234*1000</f>
        <v>820.07507277471427</v>
      </c>
      <c r="AD234" s="41">
        <f>K234/'1. Väestöennuste'!M234*1000</f>
        <v>336.18436144612173</v>
      </c>
      <c r="AE234" s="41">
        <f>L234/'1. Väestöennuste'!N234*1000</f>
        <v>253.52073050307479</v>
      </c>
      <c r="AF234" s="41">
        <f>M234/'1. Väestöennuste'!O234*1000</f>
        <v>-463.59475040019936</v>
      </c>
      <c r="AG234" s="41">
        <f>N234/'1. Väestöennuste'!P234*1000</f>
        <v>-522.55648153584298</v>
      </c>
      <c r="AH234" s="41">
        <f>O234/'1. Väestöennuste'!Q234*1000</f>
        <v>-607.50955664177275</v>
      </c>
      <c r="AI234" s="41">
        <f>P234/'1. Väestöennuste'!R234*1000</f>
        <v>-471.0482600247343</v>
      </c>
    </row>
    <row r="235" spans="1:35" x14ac:dyDescent="0.2">
      <c r="A235" s="34">
        <v>710</v>
      </c>
      <c r="B235" s="88" t="s">
        <v>549</v>
      </c>
      <c r="C235" s="41" t="e">
        <f>Vuosikate!C235-'6. Poistot'!C235</f>
        <v>#REF!</v>
      </c>
      <c r="D235" s="41">
        <f>Vuosikate!D235-'6. Poistot'!D235</f>
        <v>2309</v>
      </c>
      <c r="E235" s="41">
        <f>Vuosikate!E235-'6. Poistot'!E235</f>
        <v>9414</v>
      </c>
      <c r="F235" s="41">
        <f>Vuosikate!F235-'6. Poistot'!F235</f>
        <v>-2691</v>
      </c>
      <c r="G235" s="41">
        <f>Vuosikate!G235-'6. Poistot'!G235</f>
        <v>-6174</v>
      </c>
      <c r="H235" s="41">
        <f>Vuosikate!H235-'6. Poistot'!H235</f>
        <v>10188.813513946967</v>
      </c>
      <c r="I235" s="41">
        <f>Vuosikate!I235-'6. Poistot'!I235</f>
        <v>6998.9294564066977</v>
      </c>
      <c r="J235" s="41">
        <f>Vuosikate!J235-'6. Poistot'!J235</f>
        <v>4330.294259873981</v>
      </c>
      <c r="K235" s="41">
        <f>Vuosikate!K235-'6. Poistot'!K235</f>
        <v>12416.211168286703</v>
      </c>
      <c r="L235" s="41">
        <f>Vuosikate!L235-'6. Poistot'!L235</f>
        <v>1132.27374204031</v>
      </c>
      <c r="M235" s="41">
        <f>Vuosikate!M235-'6. Poistot'!M235</f>
        <v>768.65694422336492</v>
      </c>
      <c r="N235" s="41">
        <f>Vuosikate!N235-'6. Poistot'!N235</f>
        <v>313.83715905098506</v>
      </c>
      <c r="O235" s="41">
        <f>Vuosikate!O235-'6. Poistot'!O235</f>
        <v>1189.3979046221903</v>
      </c>
      <c r="P235" s="41">
        <f>Vuosikate!P235-'6. Poistot'!P235</f>
        <v>3643.6143944338928</v>
      </c>
      <c r="T235" s="34">
        <v>710</v>
      </c>
      <c r="U235" s="88" t="s">
        <v>549</v>
      </c>
      <c r="V235" s="41" t="e">
        <f>C235/'1. Väestöennuste'!E235*1000</f>
        <v>#REF!</v>
      </c>
      <c r="W235" s="41">
        <f>D235/'1. Väestöennuste'!F235*1000</f>
        <v>82.238130854436008</v>
      </c>
      <c r="X235" s="41">
        <f>E235/'1. Väestöennuste'!G235*1000</f>
        <v>338.01299773796273</v>
      </c>
      <c r="Y235" s="41">
        <f>F235/'1. Väestöennuste'!H235*1000</f>
        <v>-97.528269063496666</v>
      </c>
      <c r="Z235" s="41">
        <f>G235/'1. Väestöennuste'!I235*1000</f>
        <v>-224.21557234166181</v>
      </c>
      <c r="AA235" s="41">
        <f>H235/'1. Väestöennuste'!J235*1000</f>
        <v>370.12545458976194</v>
      </c>
      <c r="AB235" s="41">
        <f>I235/'1. Väestöennuste'!K235*1000</f>
        <v>254.65468841532157</v>
      </c>
      <c r="AC235" s="41">
        <f>J235/'1. Väestöennuste'!L235*1000</f>
        <v>158.58398373522235</v>
      </c>
      <c r="AD235" s="41">
        <f>K235/'1. Väestöennuste'!M235*1000</f>
        <v>456.32736110429283</v>
      </c>
      <c r="AE235" s="41">
        <f>L235/'1. Väestöennuste'!N235*1000</f>
        <v>42.154644156377891</v>
      </c>
      <c r="AF235" s="41">
        <f>M235/'1. Väestöennuste'!O235*1000</f>
        <v>28.778948827113144</v>
      </c>
      <c r="AG235" s="41">
        <f>N235/'1. Väestöennuste'!P235*1000</f>
        <v>11.814378822880029</v>
      </c>
      <c r="AH235" s="41">
        <f>O235/'1. Väestöennuste'!Q235*1000</f>
        <v>45.006921126960691</v>
      </c>
      <c r="AI235" s="41">
        <f>P235/'1. Väestöennuste'!R235*1000</f>
        <v>138.55627616967308</v>
      </c>
    </row>
    <row r="236" spans="1:35" x14ac:dyDescent="0.2">
      <c r="A236" s="34">
        <v>729</v>
      </c>
      <c r="B236" s="88" t="s">
        <v>550</v>
      </c>
      <c r="C236" s="41" t="e">
        <f>Vuosikate!C236-'6. Poistot'!C236</f>
        <v>#REF!</v>
      </c>
      <c r="D236" s="41">
        <f>Vuosikate!D236-'6. Poistot'!D236</f>
        <v>-737</v>
      </c>
      <c r="E236" s="41">
        <f>Vuosikate!E236-'6. Poistot'!E236</f>
        <v>732</v>
      </c>
      <c r="F236" s="41">
        <f>Vuosikate!F236-'6. Poistot'!F236</f>
        <v>-790</v>
      </c>
      <c r="G236" s="41">
        <f>Vuosikate!G236-'6. Poistot'!G236</f>
        <v>-2329</v>
      </c>
      <c r="H236" s="41">
        <f>Vuosikate!H236-'6. Poistot'!H236</f>
        <v>2370.9916243962725</v>
      </c>
      <c r="I236" s="41">
        <f>Vuosikate!I236-'6. Poistot'!I236</f>
        <v>1959.6584096407505</v>
      </c>
      <c r="J236" s="41">
        <f>Vuosikate!J236-'6. Poistot'!J236</f>
        <v>1546.4303129802242</v>
      </c>
      <c r="K236" s="41">
        <f>Vuosikate!K236-'6. Poistot'!K236</f>
        <v>883.93689966477905</v>
      </c>
      <c r="L236" s="41">
        <f>Vuosikate!L236-'6. Poistot'!L236</f>
        <v>70.129980420902939</v>
      </c>
      <c r="M236" s="41">
        <f>Vuosikate!M236-'6. Poistot'!M236</f>
        <v>-2086.6349215195678</v>
      </c>
      <c r="N236" s="41">
        <f>Vuosikate!N236-'6. Poistot'!N236</f>
        <v>-1900.8812155685773</v>
      </c>
      <c r="O236" s="41">
        <f>Vuosikate!O236-'6. Poistot'!O236</f>
        <v>-1938.4477811553752</v>
      </c>
      <c r="P236" s="41">
        <f>Vuosikate!P236-'6. Poistot'!P236</f>
        <v>-807.60647239284754</v>
      </c>
      <c r="T236" s="34">
        <v>729</v>
      </c>
      <c r="U236" s="88" t="s">
        <v>550</v>
      </c>
      <c r="V236" s="41" t="e">
        <f>C236/'1. Väestöennuste'!E236*1000</f>
        <v>#REF!</v>
      </c>
      <c r="W236" s="41">
        <f>D236/'1. Väestöennuste'!F236*1000</f>
        <v>-76.057791537667697</v>
      </c>
      <c r="X236" s="41">
        <f>E236/'1. Väestöennuste'!G236*1000</f>
        <v>76.337470017728648</v>
      </c>
      <c r="Y236" s="41">
        <f>F236/'1. Väestöennuste'!H236*1000</f>
        <v>-83.908656399362727</v>
      </c>
      <c r="Z236" s="41">
        <f>G236/'1. Väestöennuste'!I236*1000</f>
        <v>-250.18799011709098</v>
      </c>
      <c r="AA236" s="41">
        <f>H236/'1. Väestöennuste'!J236*1000</f>
        <v>257.49257432626763</v>
      </c>
      <c r="AB236" s="41">
        <f>I236/'1. Väestöennuste'!K236*1000</f>
        <v>214.94553138540644</v>
      </c>
      <c r="AC236" s="41">
        <f>J236/'1. Väestöennuste'!L236*1000</f>
        <v>172.30421314542889</v>
      </c>
      <c r="AD236" s="41">
        <f>K236/'1. Väestöennuste'!M236*1000</f>
        <v>99.913744734348256</v>
      </c>
      <c r="AE236" s="41">
        <f>L236/'1. Väestöennuste'!N236*1000</f>
        <v>8.0461198280063027</v>
      </c>
      <c r="AF236" s="41">
        <f>M236/'1. Väestöennuste'!O236*1000</f>
        <v>-242.57555469885699</v>
      </c>
      <c r="AG236" s="41">
        <f>N236/'1. Väestöennuste'!P236*1000</f>
        <v>-223.92286671793818</v>
      </c>
      <c r="AH236" s="41">
        <f>O236/'1. Väestöennuste'!Q236*1000</f>
        <v>-231.2631569023354</v>
      </c>
      <c r="AI236" s="41">
        <f>P236/'1. Väestöennuste'!R236*1000</f>
        <v>-97.560578931245175</v>
      </c>
    </row>
    <row r="237" spans="1:35" x14ac:dyDescent="0.2">
      <c r="A237" s="34">
        <v>732</v>
      </c>
      <c r="B237" s="88" t="s">
        <v>551</v>
      </c>
      <c r="C237" s="41" t="e">
        <f>Vuosikate!C237-'6. Poistot'!C237</f>
        <v>#REF!</v>
      </c>
      <c r="D237" s="41">
        <f>Vuosikate!D237-'6. Poistot'!D237</f>
        <v>303</v>
      </c>
      <c r="E237" s="41">
        <f>Vuosikate!E237-'6. Poistot'!E237</f>
        <v>472</v>
      </c>
      <c r="F237" s="41">
        <f>Vuosikate!F237-'6. Poistot'!F237</f>
        <v>1758</v>
      </c>
      <c r="G237" s="41">
        <f>Vuosikate!G237-'6. Poistot'!G237</f>
        <v>436</v>
      </c>
      <c r="H237" s="41">
        <f>Vuosikate!H237-'6. Poistot'!H237</f>
        <v>1161.7540100534679</v>
      </c>
      <c r="I237" s="41">
        <f>Vuosikate!I237-'6. Poistot'!I237</f>
        <v>1007.0458450376116</v>
      </c>
      <c r="J237" s="41">
        <f>Vuosikate!J237-'6. Poistot'!J237</f>
        <v>3124.9950594769739</v>
      </c>
      <c r="K237" s="41">
        <f>Vuosikate!K237-'6. Poistot'!K237</f>
        <v>-376.51360358238549</v>
      </c>
      <c r="L237" s="41">
        <f>Vuosikate!L237-'6. Poistot'!L237</f>
        <v>-861.86628966917272</v>
      </c>
      <c r="M237" s="41">
        <f>Vuosikate!M237-'6. Poistot'!M237</f>
        <v>-1288.2042839847431</v>
      </c>
      <c r="N237" s="41">
        <f>Vuosikate!N237-'6. Poistot'!N237</f>
        <v>-1225.6277470205928</v>
      </c>
      <c r="O237" s="41">
        <f>Vuosikate!O237-'6. Poistot'!O237</f>
        <v>-1631.1101693324561</v>
      </c>
      <c r="P237" s="41">
        <f>Vuosikate!P237-'6. Poistot'!P237</f>
        <v>-1309.0887809430276</v>
      </c>
      <c r="T237" s="34">
        <v>732</v>
      </c>
      <c r="U237" s="88" t="s">
        <v>551</v>
      </c>
      <c r="V237" s="41" t="e">
        <f>C237/'1. Väestöennuste'!E237*1000</f>
        <v>#REF!</v>
      </c>
      <c r="W237" s="41">
        <f>D237/'1. Väestöennuste'!F237*1000</f>
        <v>82.945524226663011</v>
      </c>
      <c r="X237" s="41">
        <f>E237/'1. Väestöennuste'!G237*1000</f>
        <v>132.02797202797203</v>
      </c>
      <c r="Y237" s="41">
        <f>F237/'1. Väestöennuste'!H237*1000</f>
        <v>503.58063592093959</v>
      </c>
      <c r="Z237" s="41">
        <f>G237/'1. Väestöennuste'!I237*1000</f>
        <v>128.23529411764707</v>
      </c>
      <c r="AA237" s="41">
        <f>H237/'1. Väestöennuste'!J237*1000</f>
        <v>340.99031701011677</v>
      </c>
      <c r="AB237" s="41">
        <f>I237/'1. Väestöennuste'!K237*1000</f>
        <v>294.80264784473411</v>
      </c>
      <c r="AC237" s="41">
        <f>J237/'1. Väestöennuste'!L237*1000</f>
        <v>936.74911854825359</v>
      </c>
      <c r="AD237" s="41">
        <f>K237/'1. Väestöennuste'!M237*1000</f>
        <v>-112.59378097559375</v>
      </c>
      <c r="AE237" s="41">
        <f>L237/'1. Väestöennuste'!N237*1000</f>
        <v>-271.5394737458011</v>
      </c>
      <c r="AF237" s="41">
        <f>M237/'1. Väestöennuste'!O237*1000</f>
        <v>-411.96171537727633</v>
      </c>
      <c r="AG237" s="41">
        <f>N237/'1. Väestöennuste'!P237*1000</f>
        <v>-397.80193022414568</v>
      </c>
      <c r="AH237" s="41">
        <f>O237/'1. Väestöennuste'!Q237*1000</f>
        <v>-536.90262321674004</v>
      </c>
      <c r="AI237" s="41">
        <f>P237/'1. Väestöennuste'!R237*1000</f>
        <v>-436.79972670771696</v>
      </c>
    </row>
    <row r="238" spans="1:35" x14ac:dyDescent="0.2">
      <c r="A238" s="34">
        <v>734</v>
      </c>
      <c r="B238" s="88" t="s">
        <v>552</v>
      </c>
      <c r="C238" s="41" t="e">
        <f>Vuosikate!C238-'6. Poistot'!C238</f>
        <v>#REF!</v>
      </c>
      <c r="D238" s="41">
        <f>Vuosikate!D238-'6. Poistot'!D238</f>
        <v>6440</v>
      </c>
      <c r="E238" s="41">
        <f>Vuosikate!E238-'6. Poistot'!E238</f>
        <v>6947</v>
      </c>
      <c r="F238" s="41">
        <f>Vuosikate!F238-'6. Poistot'!F238</f>
        <v>-15375</v>
      </c>
      <c r="G238" s="41">
        <f>Vuosikate!G238-'6. Poistot'!G238</f>
        <v>-19045</v>
      </c>
      <c r="H238" s="41">
        <f>Vuosikate!H238-'6. Poistot'!H238</f>
        <v>14058.305314844096</v>
      </c>
      <c r="I238" s="41">
        <f>Vuosikate!I238-'6. Poistot'!I238</f>
        <v>5894.3435551285929</v>
      </c>
      <c r="J238" s="41">
        <f>Vuosikate!J238-'6. Poistot'!J238</f>
        <v>8750.7057742041889</v>
      </c>
      <c r="K238" s="41">
        <f>Vuosikate!K238-'6. Poistot'!K238</f>
        <v>15119.290422120026</v>
      </c>
      <c r="L238" s="41">
        <f>Vuosikate!L238-'6. Poistot'!L238</f>
        <v>2970.8438274771088</v>
      </c>
      <c r="M238" s="41">
        <f>Vuosikate!M238-'6. Poistot'!M238</f>
        <v>1881.6799771321676</v>
      </c>
      <c r="N238" s="41">
        <f>Vuosikate!N238-'6. Poistot'!N238</f>
        <v>5552.0923018734757</v>
      </c>
      <c r="O238" s="41">
        <f>Vuosikate!O238-'6. Poistot'!O238</f>
        <v>6587.8472467811371</v>
      </c>
      <c r="P238" s="41">
        <f>Vuosikate!P238-'6. Poistot'!P238</f>
        <v>11617.641883655855</v>
      </c>
      <c r="T238" s="34">
        <v>734</v>
      </c>
      <c r="U238" s="88" t="s">
        <v>552</v>
      </c>
      <c r="V238" s="41" t="e">
        <f>C238/'1. Väestöennuste'!E238*1000</f>
        <v>#REF!</v>
      </c>
      <c r="W238" s="41">
        <f>D238/'1. Väestöennuste'!F238*1000</f>
        <v>120.27042169349718</v>
      </c>
      <c r="X238" s="41">
        <f>E238/'1. Väestöennuste'!G238*1000</f>
        <v>131.11505360108714</v>
      </c>
      <c r="Y238" s="41">
        <f>F238/'1. Väestöennuste'!H238*1000</f>
        <v>-293.85906232679037</v>
      </c>
      <c r="Z238" s="41">
        <f>G238/'1. Väestöennuste'!I238*1000</f>
        <v>-367.43001562711015</v>
      </c>
      <c r="AA238" s="41">
        <f>H238/'1. Väestöennuste'!J238*1000</f>
        <v>272.64856512245638</v>
      </c>
      <c r="AB238" s="41">
        <f>I238/'1. Väestöennuste'!K238*1000</f>
        <v>114.67594465230725</v>
      </c>
      <c r="AC238" s="41">
        <f>J238/'1. Väestöennuste'!L238*1000</f>
        <v>171.80817493970881</v>
      </c>
      <c r="AD238" s="41">
        <f>K238/'1. Väestöennuste'!M238*1000</f>
        <v>295.87652489471679</v>
      </c>
      <c r="AE238" s="41">
        <f>L238/'1. Väestöennuste'!N238*1000</f>
        <v>59.6064249809817</v>
      </c>
      <c r="AF238" s="41">
        <f>M238/'1. Väestöennuste'!O238*1000</f>
        <v>38.056791059221901</v>
      </c>
      <c r="AG238" s="41">
        <f>N238/'1. Väestöennuste'!P238*1000</f>
        <v>113.18096630054991</v>
      </c>
      <c r="AH238" s="41">
        <f>O238/'1. Väestöennuste'!Q238*1000</f>
        <v>135.32686770569907</v>
      </c>
      <c r="AI238" s="41">
        <f>P238/'1. Väestöennuste'!R238*1000</f>
        <v>240.43630629060732</v>
      </c>
    </row>
    <row r="239" spans="1:35" x14ac:dyDescent="0.2">
      <c r="A239" s="34">
        <v>738</v>
      </c>
      <c r="B239" s="88" t="s">
        <v>553</v>
      </c>
      <c r="C239" s="41" t="e">
        <f>Vuosikate!C239-'6. Poistot'!C239</f>
        <v>#REF!</v>
      </c>
      <c r="D239" s="41">
        <f>Vuosikate!D239-'6. Poistot'!D239</f>
        <v>214</v>
      </c>
      <c r="E239" s="41">
        <f>Vuosikate!E239-'6. Poistot'!E239</f>
        <v>347</v>
      </c>
      <c r="F239" s="41">
        <f>Vuosikate!F239-'6. Poistot'!F239</f>
        <v>-159</v>
      </c>
      <c r="G239" s="41">
        <f>Vuosikate!G239-'6. Poistot'!G239</f>
        <v>-716</v>
      </c>
      <c r="H239" s="41">
        <f>Vuosikate!H239-'6. Poistot'!H239</f>
        <v>1843.3217456568727</v>
      </c>
      <c r="I239" s="41">
        <f>Vuosikate!I239-'6. Poistot'!I239</f>
        <v>693.0761880781921</v>
      </c>
      <c r="J239" s="41">
        <f>Vuosikate!J239-'6. Poistot'!J239</f>
        <v>527.8929296190754</v>
      </c>
      <c r="K239" s="41">
        <f>Vuosikate!K239-'6. Poistot'!K239</f>
        <v>419.68531153082949</v>
      </c>
      <c r="L239" s="41">
        <f>Vuosikate!L239-'6. Poistot'!L239</f>
        <v>60.045445634982912</v>
      </c>
      <c r="M239" s="41">
        <f>Vuosikate!M239-'6. Poistot'!M239</f>
        <v>-121.428384305534</v>
      </c>
      <c r="N239" s="41">
        <f>Vuosikate!N239-'6. Poistot'!N239</f>
        <v>-361.1921982233514</v>
      </c>
      <c r="O239" s="41">
        <f>Vuosikate!O239-'6. Poistot'!O239</f>
        <v>-309.7551660047834</v>
      </c>
      <c r="P239" s="41">
        <f>Vuosikate!P239-'6. Poistot'!P239</f>
        <v>-346.62730406886612</v>
      </c>
      <c r="T239" s="34">
        <v>738</v>
      </c>
      <c r="U239" s="88" t="s">
        <v>553</v>
      </c>
      <c r="V239" s="41" t="e">
        <f>C239/'1. Väestöennuste'!E239*1000</f>
        <v>#REF!</v>
      </c>
      <c r="W239" s="41">
        <f>D239/'1. Väestöennuste'!F239*1000</f>
        <v>70.233016081391526</v>
      </c>
      <c r="X239" s="41">
        <f>E239/'1. Väestöennuste'!G239*1000</f>
        <v>115.39740605254406</v>
      </c>
      <c r="Y239" s="41">
        <f>F239/'1. Väestöennuste'!H239*1000</f>
        <v>-53.106212424849694</v>
      </c>
      <c r="Z239" s="41">
        <f>G239/'1. Väestöennuste'!I239*1000</f>
        <v>-243.12393887945672</v>
      </c>
      <c r="AA239" s="41">
        <f>H239/'1. Väestöennuste'!J239*1000</f>
        <v>624.85482903622801</v>
      </c>
      <c r="AB239" s="41">
        <f>I239/'1. Väestöennuste'!K239*1000</f>
        <v>234.22649140864891</v>
      </c>
      <c r="AC239" s="41">
        <f>J239/'1. Väestöennuste'!L239*1000</f>
        <v>180.97117916320721</v>
      </c>
      <c r="AD239" s="41">
        <f>K239/'1. Väestöennuste'!M239*1000</f>
        <v>141.11812761628428</v>
      </c>
      <c r="AE239" s="41">
        <f>L239/'1. Väestöennuste'!N239*1000</f>
        <v>20.705326081028591</v>
      </c>
      <c r="AF239" s="41">
        <f>M239/'1. Väestöennuste'!O239*1000</f>
        <v>-41.958667693688319</v>
      </c>
      <c r="AG239" s="41">
        <f>N239/'1. Väestöennuste'!P239*1000</f>
        <v>-124.97999938524269</v>
      </c>
      <c r="AH239" s="41">
        <f>O239/'1. Väestöennuste'!Q239*1000</f>
        <v>-107.51654495133057</v>
      </c>
      <c r="AI239" s="41">
        <f>P239/'1. Väestöennuste'!R239*1000</f>
        <v>-120.52409738138599</v>
      </c>
    </row>
    <row r="240" spans="1:35" x14ac:dyDescent="0.2">
      <c r="A240" s="34">
        <v>739</v>
      </c>
      <c r="B240" s="88" t="s">
        <v>554</v>
      </c>
      <c r="C240" s="41" t="e">
        <f>Vuosikate!C240-'6. Poistot'!C240</f>
        <v>#REF!</v>
      </c>
      <c r="D240" s="41">
        <f>Vuosikate!D240-'6. Poistot'!D240</f>
        <v>-1128</v>
      </c>
      <c r="E240" s="41">
        <f>Vuosikate!E240-'6. Poistot'!E240</f>
        <v>289</v>
      </c>
      <c r="F240" s="41">
        <f>Vuosikate!F240-'6. Poistot'!F240</f>
        <v>-158</v>
      </c>
      <c r="G240" s="41">
        <f>Vuosikate!G240-'6. Poistot'!G240</f>
        <v>2650</v>
      </c>
      <c r="H240" s="41">
        <f>Vuosikate!H240-'6. Poistot'!H240</f>
        <v>1010.0556701952446</v>
      </c>
      <c r="I240" s="41">
        <f>Vuosikate!I240-'6. Poistot'!I240</f>
        <v>288.67963405435421</v>
      </c>
      <c r="J240" s="41">
        <f>Vuosikate!J240-'6. Poistot'!J240</f>
        <v>590.08124571301369</v>
      </c>
      <c r="K240" s="41">
        <f>Vuosikate!K240-'6. Poistot'!K240</f>
        <v>833.55627922724125</v>
      </c>
      <c r="L240" s="41">
        <f>Vuosikate!L240-'6. Poistot'!L240</f>
        <v>-163.89033500147366</v>
      </c>
      <c r="M240" s="41">
        <f>Vuosikate!M240-'6. Poistot'!M240</f>
        <v>-232.00972805608717</v>
      </c>
      <c r="N240" s="41">
        <f>Vuosikate!N240-'6. Poistot'!N240</f>
        <v>-1078.8980943503052</v>
      </c>
      <c r="O240" s="41">
        <f>Vuosikate!O240-'6. Poistot'!O240</f>
        <v>-1225.5776633196015</v>
      </c>
      <c r="P240" s="41">
        <f>Vuosikate!P240-'6. Poistot'!P240</f>
        <v>-928.32778582193669</v>
      </c>
      <c r="T240" s="34">
        <v>739</v>
      </c>
      <c r="U240" s="88" t="s">
        <v>554</v>
      </c>
      <c r="V240" s="41" t="e">
        <f>C240/'1. Väestöennuste'!E240*1000</f>
        <v>#REF!</v>
      </c>
      <c r="W240" s="41">
        <f>D240/'1. Väestöennuste'!F240*1000</f>
        <v>-319.18505942275044</v>
      </c>
      <c r="X240" s="41">
        <f>E240/'1. Väestöennuste'!G240*1000</f>
        <v>83.045977011494259</v>
      </c>
      <c r="Y240" s="41">
        <f>F240/'1. Väestöennuste'!H240*1000</f>
        <v>-46.077573636628756</v>
      </c>
      <c r="Z240" s="41">
        <f>G240/'1. Väestöennuste'!I240*1000</f>
        <v>783.32840673958026</v>
      </c>
      <c r="AA240" s="41">
        <f>H240/'1. Väestöennuste'!J240*1000</f>
        <v>303.68480763537121</v>
      </c>
      <c r="AB240" s="41">
        <f>I240/'1. Väestöennuste'!K240*1000</f>
        <v>88.524880114797369</v>
      </c>
      <c r="AC240" s="41">
        <f>J240/'1. Väestöennuste'!L240*1000</f>
        <v>181.22888381849313</v>
      </c>
      <c r="AD240" s="41">
        <f>K240/'1. Väestöennuste'!M240*1000</f>
        <v>259.19038533185363</v>
      </c>
      <c r="AE240" s="41">
        <f>L240/'1. Väestöennuste'!N240*1000</f>
        <v>-52.697856913657127</v>
      </c>
      <c r="AF240" s="41">
        <f>M240/'1. Väestöennuste'!O240*1000</f>
        <v>-75.745911869437535</v>
      </c>
      <c r="AG240" s="41">
        <f>N240/'1. Väestöennuste'!P240*1000</f>
        <v>-357.48777148784131</v>
      </c>
      <c r="AH240" s="41">
        <f>O240/'1. Väestöennuste'!Q240*1000</f>
        <v>-411.95887842675677</v>
      </c>
      <c r="AI240" s="41">
        <f>P240/'1. Väestöennuste'!R240*1000</f>
        <v>-316.51134872892487</v>
      </c>
    </row>
    <row r="241" spans="1:35" x14ac:dyDescent="0.2">
      <c r="A241" s="34">
        <v>740</v>
      </c>
      <c r="B241" s="88" t="s">
        <v>555</v>
      </c>
      <c r="C241" s="41" t="e">
        <f>Vuosikate!C241-'6. Poistot'!C241</f>
        <v>#REF!</v>
      </c>
      <c r="D241" s="41">
        <f>Vuosikate!D241-'6. Poistot'!D241</f>
        <v>5724</v>
      </c>
      <c r="E241" s="41">
        <f>Vuosikate!E241-'6. Poistot'!E241</f>
        <v>3761</v>
      </c>
      <c r="F241" s="41">
        <f>Vuosikate!F241-'6. Poistot'!F241</f>
        <v>-4912</v>
      </c>
      <c r="G241" s="41">
        <f>Vuosikate!G241-'6. Poistot'!G241</f>
        <v>-3677</v>
      </c>
      <c r="H241" s="41">
        <f>Vuosikate!H241-'6. Poistot'!H241</f>
        <v>22714.769715809074</v>
      </c>
      <c r="I241" s="41">
        <f>Vuosikate!I241-'6. Poistot'!I241</f>
        <v>10155.241133134426</v>
      </c>
      <c r="J241" s="41">
        <f>Vuosikate!J241-'6. Poistot'!J241</f>
        <v>5820.1400185897182</v>
      </c>
      <c r="K241" s="41">
        <f>Vuosikate!K241-'6. Poistot'!K241</f>
        <v>12267.589913082556</v>
      </c>
      <c r="L241" s="41">
        <f>Vuosikate!L241-'6. Poistot'!L241</f>
        <v>-4627.4363950096194</v>
      </c>
      <c r="M241" s="41">
        <f>Vuosikate!M241-'6. Poistot'!M241</f>
        <v>-5648.8776955095818</v>
      </c>
      <c r="N241" s="41">
        <f>Vuosikate!N241-'6. Poistot'!N241</f>
        <v>-3642.2843371768322</v>
      </c>
      <c r="O241" s="41">
        <f>Vuosikate!O241-'6. Poistot'!O241</f>
        <v>-3142.0347082896515</v>
      </c>
      <c r="P241" s="41">
        <f>Vuosikate!P241-'6. Poistot'!P241</f>
        <v>1334.8436182804926</v>
      </c>
      <c r="T241" s="34">
        <v>740</v>
      </c>
      <c r="U241" s="88" t="s">
        <v>555</v>
      </c>
      <c r="V241" s="41" t="e">
        <f>C241/'1. Väestöennuste'!E241*1000</f>
        <v>#REF!</v>
      </c>
      <c r="W241" s="41">
        <f>D241/'1. Väestöennuste'!F241*1000</f>
        <v>162.41983996367969</v>
      </c>
      <c r="X241" s="41">
        <f>E241/'1. Väestöennuste'!G241*1000</f>
        <v>108.49873067159012</v>
      </c>
      <c r="Y241" s="41">
        <f>F241/'1. Väestöennuste'!H241*1000</f>
        <v>-146.14263187646901</v>
      </c>
      <c r="Z241" s="41">
        <f>G241/'1. Väestöennuste'!I241*1000</f>
        <v>-111.5121004427731</v>
      </c>
      <c r="AA241" s="41">
        <f>H241/'1. Väestöennuste'!J241*1000</f>
        <v>695.44944326155996</v>
      </c>
      <c r="AB241" s="41">
        <f>I241/'1. Väestöennuste'!K241*1000</f>
        <v>312.01773229896543</v>
      </c>
      <c r="AC241" s="41">
        <f>J241/'1. Väestöennuste'!L241*1000</f>
        <v>181.39753836963436</v>
      </c>
      <c r="AD241" s="41">
        <f>K241/'1. Väestöennuste'!M241*1000</f>
        <v>385.25232902309949</v>
      </c>
      <c r="AE241" s="41">
        <f>L241/'1. Väestöennuste'!N241*1000</f>
        <v>-150.9570168659757</v>
      </c>
      <c r="AF241" s="41">
        <f>M241/'1. Väestöennuste'!O241*1000</f>
        <v>-187.00558464957066</v>
      </c>
      <c r="AG241" s="41">
        <f>N241/'1. Väestöennuste'!P241*1000</f>
        <v>-122.32692987999437</v>
      </c>
      <c r="AH241" s="41">
        <f>O241/'1. Väestöennuste'!Q241*1000</f>
        <v>-107.02482145546875</v>
      </c>
      <c r="AI241" s="41">
        <f>P241/'1. Väestöennuste'!R241*1000</f>
        <v>46.100625739267578</v>
      </c>
    </row>
    <row r="242" spans="1:35" x14ac:dyDescent="0.2">
      <c r="A242" s="34">
        <v>742</v>
      </c>
      <c r="B242" s="88" t="s">
        <v>556</v>
      </c>
      <c r="C242" s="41" t="e">
        <f>Vuosikate!C242-'6. Poistot'!C242</f>
        <v>#REF!</v>
      </c>
      <c r="D242" s="41">
        <f>Vuosikate!D242-'6. Poistot'!D242</f>
        <v>770</v>
      </c>
      <c r="E242" s="41">
        <f>Vuosikate!E242-'6. Poistot'!E242</f>
        <v>425</v>
      </c>
      <c r="F242" s="41">
        <f>Vuosikate!F242-'6. Poistot'!F242</f>
        <v>-365</v>
      </c>
      <c r="G242" s="41">
        <f>Vuosikate!G242-'6. Poistot'!G242</f>
        <v>-184</v>
      </c>
      <c r="H242" s="41">
        <f>Vuosikate!H242-'6. Poistot'!H242</f>
        <v>-565.98071659350171</v>
      </c>
      <c r="I242" s="41">
        <f>Vuosikate!I242-'6. Poistot'!I242</f>
        <v>866.14980043772698</v>
      </c>
      <c r="J242" s="41">
        <f>Vuosikate!J242-'6. Poistot'!J242</f>
        <v>633.00152886122032</v>
      </c>
      <c r="K242" s="41">
        <f>Vuosikate!K242-'6. Poistot'!K242</f>
        <v>115.31582206387347</v>
      </c>
      <c r="L242" s="41">
        <f>Vuosikate!L242-'6. Poistot'!L242</f>
        <v>-252.73756299293788</v>
      </c>
      <c r="M242" s="41">
        <f>Vuosikate!M242-'6. Poistot'!M242</f>
        <v>-280.28312559262338</v>
      </c>
      <c r="N242" s="41">
        <f>Vuosikate!N242-'6. Poistot'!N242</f>
        <v>-267.62567286755177</v>
      </c>
      <c r="O242" s="41">
        <f>Vuosikate!O242-'6. Poistot'!O242</f>
        <v>-305.48611308924717</v>
      </c>
      <c r="P242" s="41">
        <f>Vuosikate!P242-'6. Poistot'!P242</f>
        <v>-264.06381537758983</v>
      </c>
      <c r="T242" s="34">
        <v>742</v>
      </c>
      <c r="U242" s="88" t="s">
        <v>556</v>
      </c>
      <c r="V242" s="41" t="e">
        <f>C242/'1. Väestöennuste'!E242*1000</f>
        <v>#REF!</v>
      </c>
      <c r="W242" s="41">
        <f>D242/'1. Väestöennuste'!F242*1000</f>
        <v>737.54789272030655</v>
      </c>
      <c r="X242" s="41">
        <f>E242/'1. Väestöennuste'!G242*1000</f>
        <v>419.96047430830043</v>
      </c>
      <c r="Y242" s="41">
        <f>F242/'1. Väestöennuste'!H242*1000</f>
        <v>-359.60591133004925</v>
      </c>
      <c r="Z242" s="41">
        <f>G242/'1. Väestöennuste'!I242*1000</f>
        <v>-183.08457711442784</v>
      </c>
      <c r="AA242" s="41">
        <f>H242/'1. Väestöennuste'!J242*1000</f>
        <v>-560.9323256625388</v>
      </c>
      <c r="AB242" s="41">
        <f>I242/'1. Väestöennuste'!K242*1000</f>
        <v>858.42398457653815</v>
      </c>
      <c r="AC242" s="41">
        <f>J242/'1. Väestöennuste'!L242*1000</f>
        <v>640.68980653969663</v>
      </c>
      <c r="AD242" s="41">
        <f>K242/'1. Väestöennuste'!M242*1000</f>
        <v>117.90983851111807</v>
      </c>
      <c r="AE242" s="41">
        <f>L242/'1. Väestöennuste'!N242*1000</f>
        <v>-258.68737256186068</v>
      </c>
      <c r="AF242" s="41">
        <f>M242/'1. Väestöennuste'!O242*1000</f>
        <v>-288.35712509529156</v>
      </c>
      <c r="AG242" s="41">
        <f>N242/'1. Väestöennuste'!P242*1000</f>
        <v>-276.75871030770605</v>
      </c>
      <c r="AH242" s="41">
        <f>O242/'1. Väestöennuste'!Q242*1000</f>
        <v>-316.89430818386637</v>
      </c>
      <c r="AI242" s="41">
        <f>P242/'1. Väestöennuste'!R242*1000</f>
        <v>-275.0664743516561</v>
      </c>
    </row>
    <row r="243" spans="1:35" x14ac:dyDescent="0.2">
      <c r="A243" s="34">
        <v>743</v>
      </c>
      <c r="B243" s="88" t="s">
        <v>557</v>
      </c>
      <c r="C243" s="41" t="e">
        <f>Vuosikate!C243-'6. Poistot'!C243</f>
        <v>#REF!</v>
      </c>
      <c r="D243" s="41">
        <f>Vuosikate!D243-'6. Poistot'!D243</f>
        <v>8486</v>
      </c>
      <c r="E243" s="41">
        <f>Vuosikate!E243-'6. Poistot'!E243</f>
        <v>9815</v>
      </c>
      <c r="F243" s="41">
        <f>Vuosikate!F243-'6. Poistot'!F243</f>
        <v>-7581</v>
      </c>
      <c r="G243" s="41">
        <f>Vuosikate!G243-'6. Poistot'!G243</f>
        <v>-22446</v>
      </c>
      <c r="H243" s="41">
        <f>Vuosikate!H243-'6. Poistot'!H243</f>
        <v>13097.734185364796</v>
      </c>
      <c r="I243" s="41">
        <f>Vuosikate!I243-'6. Poistot'!I243</f>
        <v>-5585.0458732377992</v>
      </c>
      <c r="J243" s="41">
        <f>Vuosikate!J243-'6. Poistot'!J243</f>
        <v>16281.229075760759</v>
      </c>
      <c r="K243" s="41">
        <f>Vuosikate!K243-'6. Poistot'!K243</f>
        <v>-13329.350646700059</v>
      </c>
      <c r="L243" s="41">
        <f>Vuosikate!L243-'6. Poistot'!L243</f>
        <v>-787.14553245944626</v>
      </c>
      <c r="M243" s="41">
        <f>Vuosikate!M243-'6. Poistot'!M243</f>
        <v>-29341.124257955213</v>
      </c>
      <c r="N243" s="41">
        <f>Vuosikate!N243-'6. Poistot'!N243</f>
        <v>-27553.304108890145</v>
      </c>
      <c r="O243" s="41">
        <f>Vuosikate!O243-'6. Poistot'!O243</f>
        <v>-27261.671292286966</v>
      </c>
      <c r="P243" s="41">
        <f>Vuosikate!P243-'6. Poistot'!P243</f>
        <v>-25488.278535491103</v>
      </c>
      <c r="T243" s="34">
        <v>743</v>
      </c>
      <c r="U243" s="88" t="s">
        <v>557</v>
      </c>
      <c r="V243" s="41" t="e">
        <f>C243/'1. Väestöennuste'!E243*1000</f>
        <v>#REF!</v>
      </c>
      <c r="W243" s="41">
        <f>D243/'1. Väestöennuste'!F243*1000</f>
        <v>136.7562689357313</v>
      </c>
      <c r="X243" s="41">
        <f>E243/'1. Väestöennuste'!G243*1000</f>
        <v>156.59901716765586</v>
      </c>
      <c r="Y243" s="41">
        <f>F243/'1. Väestöennuste'!H243*1000</f>
        <v>-119.78574137277209</v>
      </c>
      <c r="Z243" s="41">
        <f>G243/'1. Väestöennuste'!I243*1000</f>
        <v>-351.92298646932471</v>
      </c>
      <c r="AA243" s="41">
        <f>H243/'1. Väestöennuste'!J243*1000</f>
        <v>204.23723975307649</v>
      </c>
      <c r="AB243" s="41">
        <f>I243/'1. Väestöennuste'!K243*1000</f>
        <v>-86.274188600435608</v>
      </c>
      <c r="AC243" s="41">
        <f>J243/'1. Väestöennuste'!L243*1000</f>
        <v>249.24190676730646</v>
      </c>
      <c r="AD243" s="41">
        <f>K243/'1. Väestöennuste'!M243*1000</f>
        <v>-201.471442664753</v>
      </c>
      <c r="AE243" s="41">
        <f>L243/'1. Väestöennuste'!N243*1000</f>
        <v>-11.91020627113703</v>
      </c>
      <c r="AF243" s="41">
        <f>M243/'1. Väestöennuste'!O243*1000</f>
        <v>-441.31945939618276</v>
      </c>
      <c r="AG243" s="41">
        <f>N243/'1. Väestöennuste'!P243*1000</f>
        <v>-412.13527946885267</v>
      </c>
      <c r="AH243" s="41">
        <f>O243/'1. Väestöennuste'!Q243*1000</f>
        <v>-405.66755888644633</v>
      </c>
      <c r="AI243" s="41">
        <f>P243/'1. Väestöennuste'!R243*1000</f>
        <v>-377.51464149966085</v>
      </c>
    </row>
    <row r="244" spans="1:35" x14ac:dyDescent="0.2">
      <c r="A244" s="34">
        <v>746</v>
      </c>
      <c r="B244" s="88" t="s">
        <v>558</v>
      </c>
      <c r="C244" s="41" t="e">
        <f>Vuosikate!C244-'6. Poistot'!C244</f>
        <v>#REF!</v>
      </c>
      <c r="D244" s="41">
        <f>Vuosikate!D244-'6. Poistot'!D244</f>
        <v>173</v>
      </c>
      <c r="E244" s="41">
        <f>Vuosikate!E244-'6. Poistot'!E244</f>
        <v>2301</v>
      </c>
      <c r="F244" s="41">
        <f>Vuosikate!F244-'6. Poistot'!F244</f>
        <v>661</v>
      </c>
      <c r="G244" s="41">
        <f>Vuosikate!G244-'6. Poistot'!G244</f>
        <v>-858</v>
      </c>
      <c r="H244" s="41">
        <f>Vuosikate!H244-'6. Poistot'!H244</f>
        <v>3045.6781913846244</v>
      </c>
      <c r="I244" s="41">
        <f>Vuosikate!I244-'6. Poistot'!I244</f>
        <v>1922.5314684028001</v>
      </c>
      <c r="J244" s="41">
        <f>Vuosikate!J244-'6. Poistot'!J244</f>
        <v>3546.3678329747531</v>
      </c>
      <c r="K244" s="41">
        <f>Vuosikate!K244-'6. Poistot'!K244</f>
        <v>1173.0034478981529</v>
      </c>
      <c r="L244" s="41">
        <f>Vuosikate!L244-'6. Poistot'!L244</f>
        <v>-892.48718879668161</v>
      </c>
      <c r="M244" s="41">
        <f>Vuosikate!M244-'6. Poistot'!M244</f>
        <v>-304.24802717528701</v>
      </c>
      <c r="N244" s="41">
        <f>Vuosikate!N244-'6. Poistot'!N244</f>
        <v>-147.0573708648817</v>
      </c>
      <c r="O244" s="41">
        <f>Vuosikate!O244-'6. Poistot'!O244</f>
        <v>-394.13653283194185</v>
      </c>
      <c r="P244" s="41">
        <f>Vuosikate!P244-'6. Poistot'!P244</f>
        <v>-258.62612942672558</v>
      </c>
      <c r="T244" s="34">
        <v>746</v>
      </c>
      <c r="U244" s="88" t="s">
        <v>558</v>
      </c>
      <c r="V244" s="41" t="e">
        <f>C244/'1. Väestöennuste'!E244*1000</f>
        <v>#REF!</v>
      </c>
      <c r="W244" s="41">
        <f>D244/'1. Väestöennuste'!F244*1000</f>
        <v>34.129019530479383</v>
      </c>
      <c r="X244" s="41">
        <f>E244/'1. Väestöennuste'!G244*1000</f>
        <v>457.00099304865938</v>
      </c>
      <c r="Y244" s="41">
        <f>F244/'1. Väestöennuste'!H244*1000</f>
        <v>132.73092369477914</v>
      </c>
      <c r="Z244" s="41">
        <f>G244/'1. Väestöennuste'!I244*1000</f>
        <v>-174.74541751527494</v>
      </c>
      <c r="AA244" s="41">
        <f>H244/'1. Väestöennuste'!J244*1000</f>
        <v>630.05341154005464</v>
      </c>
      <c r="AB244" s="41">
        <f>I244/'1. Väestöennuste'!K244*1000</f>
        <v>402.11911073055853</v>
      </c>
      <c r="AC244" s="41">
        <f>J244/'1. Väestöennuste'!L244*1000</f>
        <v>748.96891931884966</v>
      </c>
      <c r="AD244" s="41">
        <f>K244/'1. Väestöennuste'!M244*1000</f>
        <v>248.8867914063554</v>
      </c>
      <c r="AE244" s="41">
        <f>L244/'1. Väestöennuste'!N244*1000</f>
        <v>-195.24987722526396</v>
      </c>
      <c r="AF244" s="41">
        <f>M244/'1. Väestöennuste'!O244*1000</f>
        <v>-67.580636867011762</v>
      </c>
      <c r="AG244" s="41">
        <f>N244/'1. Väestöennuste'!P244*1000</f>
        <v>-33.188303061358994</v>
      </c>
      <c r="AH244" s="41">
        <f>O244/'1. Väestöennuste'!Q244*1000</f>
        <v>-90.315429154890438</v>
      </c>
      <c r="AI244" s="41">
        <f>P244/'1. Väestöennuste'!R244*1000</f>
        <v>-60.159602099726818</v>
      </c>
    </row>
    <row r="245" spans="1:35" x14ac:dyDescent="0.2">
      <c r="A245" s="34">
        <v>747</v>
      </c>
      <c r="B245" s="88" t="s">
        <v>559</v>
      </c>
      <c r="C245" s="41" t="e">
        <f>Vuosikate!C245-'6. Poistot'!C245</f>
        <v>#REF!</v>
      </c>
      <c r="D245" s="41">
        <f>Vuosikate!D245-'6. Poistot'!D245</f>
        <v>243</v>
      </c>
      <c r="E245" s="41">
        <f>Vuosikate!E245-'6. Poistot'!E245</f>
        <v>324</v>
      </c>
      <c r="F245" s="41">
        <f>Vuosikate!F245-'6. Poistot'!F245</f>
        <v>392</v>
      </c>
      <c r="G245" s="41">
        <f>Vuosikate!G245-'6. Poistot'!G245</f>
        <v>1059</v>
      </c>
      <c r="H245" s="41">
        <f>Vuosikate!H245-'6. Poistot'!H245</f>
        <v>937.6713316021669</v>
      </c>
      <c r="I245" s="41">
        <f>Vuosikate!I245-'6. Poistot'!I245</f>
        <v>598.84949835563316</v>
      </c>
      <c r="J245" s="41">
        <f>Vuosikate!J245-'6. Poistot'!J245</f>
        <v>304.00726937546057</v>
      </c>
      <c r="K245" s="41">
        <f>Vuosikate!K245-'6. Poistot'!K245</f>
        <v>694.8148747496416</v>
      </c>
      <c r="L245" s="41">
        <f>Vuosikate!L245-'6. Poistot'!L245</f>
        <v>-617.78681588224561</v>
      </c>
      <c r="M245" s="41">
        <f>Vuosikate!M245-'6. Poistot'!M245</f>
        <v>93.276087372062079</v>
      </c>
      <c r="N245" s="41">
        <f>Vuosikate!N245-'6. Poistot'!N245</f>
        <v>220.15434442230446</v>
      </c>
      <c r="O245" s="41">
        <f>Vuosikate!O245-'6. Poistot'!O245</f>
        <v>156.65755445059847</v>
      </c>
      <c r="P245" s="41">
        <f>Vuosikate!P245-'6. Poistot'!P245</f>
        <v>246.07500199128003</v>
      </c>
      <c r="T245" s="34">
        <v>747</v>
      </c>
      <c r="U245" s="88" t="s">
        <v>559</v>
      </c>
      <c r="V245" s="41" t="e">
        <f>C245/'1. Väestöennuste'!E245*1000</f>
        <v>#REF!</v>
      </c>
      <c r="W245" s="41">
        <f>D245/'1. Väestöennuste'!F245*1000</f>
        <v>162.65060240963854</v>
      </c>
      <c r="X245" s="41">
        <f>E245/'1. Väestöennuste'!G245*1000</f>
        <v>219.51219512195121</v>
      </c>
      <c r="Y245" s="41">
        <f>F245/'1. Väestöennuste'!H245*1000</f>
        <v>268.86145404663927</v>
      </c>
      <c r="Z245" s="41">
        <f>G245/'1. Väestöennuste'!I245*1000</f>
        <v>736.95198329853861</v>
      </c>
      <c r="AA245" s="41">
        <f>H245/'1. Väestöennuste'!J245*1000</f>
        <v>677.01901198712414</v>
      </c>
      <c r="AB245" s="41">
        <f>I245/'1. Väestöennuste'!K245*1000</f>
        <v>442.9360194938115</v>
      </c>
      <c r="AC245" s="41">
        <f>J245/'1. Väestöennuste'!L245*1000</f>
        <v>232.42145976717168</v>
      </c>
      <c r="AD245" s="41">
        <f>K245/'1. Väestöennuste'!M245*1000</f>
        <v>541.55485171445173</v>
      </c>
      <c r="AE245" s="41">
        <f>L245/'1. Väestöennuste'!N245*1000</f>
        <v>-478.16317018749658</v>
      </c>
      <c r="AF245" s="41">
        <f>M245/'1. Väestöennuste'!O245*1000</f>
        <v>73.157715585931044</v>
      </c>
      <c r="AG245" s="41">
        <f>N245/'1. Väestöennuste'!P245*1000</f>
        <v>175.00345343585411</v>
      </c>
      <c r="AH245" s="41">
        <f>O245/'1. Väestöennuste'!Q245*1000</f>
        <v>126.03182176234792</v>
      </c>
      <c r="AI245" s="41">
        <f>P245/'1. Väestöennuste'!R245*1000</f>
        <v>200.8775526459429</v>
      </c>
    </row>
    <row r="246" spans="1:35" x14ac:dyDescent="0.2">
      <c r="A246" s="34">
        <v>748</v>
      </c>
      <c r="B246" s="88" t="s">
        <v>560</v>
      </c>
      <c r="C246" s="41" t="e">
        <f>Vuosikate!C246-'6. Poistot'!C246</f>
        <v>#REF!</v>
      </c>
      <c r="D246" s="41">
        <f>Vuosikate!D246-'6. Poistot'!D246</f>
        <v>1195</v>
      </c>
      <c r="E246" s="41">
        <f>Vuosikate!E246-'6. Poistot'!E246</f>
        <v>1192</v>
      </c>
      <c r="F246" s="41">
        <f>Vuosikate!F246-'6. Poistot'!F246</f>
        <v>121</v>
      </c>
      <c r="G246" s="41">
        <f>Vuosikate!G246-'6. Poistot'!G246</f>
        <v>1289</v>
      </c>
      <c r="H246" s="41">
        <f>Vuosikate!H246-'6. Poistot'!H246</f>
        <v>2413.3297541980792</v>
      </c>
      <c r="I246" s="41">
        <f>Vuosikate!I246-'6. Poistot'!I246</f>
        <v>1160.1254281397</v>
      </c>
      <c r="J246" s="41">
        <f>Vuosikate!J246-'6. Poistot'!J246</f>
        <v>2281.455779173607</v>
      </c>
      <c r="K246" s="41">
        <f>Vuosikate!K246-'6. Poistot'!K246</f>
        <v>-573.24339369014376</v>
      </c>
      <c r="L246" s="41">
        <f>Vuosikate!L246-'6. Poistot'!L246</f>
        <v>-1039.279609220943</v>
      </c>
      <c r="M246" s="41">
        <f>Vuosikate!M246-'6. Poistot'!M246</f>
        <v>-2781.8894965214977</v>
      </c>
      <c r="N246" s="41">
        <f>Vuosikate!N246-'6. Poistot'!N246</f>
        <v>-2902.4217956992215</v>
      </c>
      <c r="O246" s="41">
        <f>Vuosikate!O246-'6. Poistot'!O246</f>
        <v>-3126.6360130705452</v>
      </c>
      <c r="P246" s="41">
        <f>Vuosikate!P246-'6. Poistot'!P246</f>
        <v>-3058.900165654084</v>
      </c>
      <c r="T246" s="34">
        <v>748</v>
      </c>
      <c r="U246" s="88" t="s">
        <v>560</v>
      </c>
      <c r="V246" s="41" t="e">
        <f>C246/'1. Väestöennuste'!E246*1000</f>
        <v>#REF!</v>
      </c>
      <c r="W246" s="41">
        <f>D246/'1. Väestöennuste'!F246*1000</f>
        <v>222.69847185985836</v>
      </c>
      <c r="X246" s="41">
        <f>E246/'1. Väestöennuste'!G246*1000</f>
        <v>223.09563915403334</v>
      </c>
      <c r="Y246" s="41">
        <f>F246/'1. Väestöennuste'!H246*1000</f>
        <v>23.052009906648887</v>
      </c>
      <c r="Z246" s="41">
        <f>G246/'1. Väestöennuste'!I246*1000</f>
        <v>250.53449951409135</v>
      </c>
      <c r="AA246" s="41">
        <f>H246/'1. Väestöennuste'!J246*1000</f>
        <v>479.40599010688902</v>
      </c>
      <c r="AB246" s="41">
        <f>I246/'1. Väestöennuste'!K246*1000</f>
        <v>230.73298093470564</v>
      </c>
      <c r="AC246" s="41">
        <f>J246/'1. Väestöennuste'!L246*1000</f>
        <v>465.88845807098369</v>
      </c>
      <c r="AD246" s="41">
        <f>K246/'1. Väestöennuste'!M246*1000</f>
        <v>-118.51217566469791</v>
      </c>
      <c r="AE246" s="41">
        <f>L246/'1. Väestöennuste'!N246*1000</f>
        <v>-223.11713379582289</v>
      </c>
      <c r="AF246" s="41">
        <f>M246/'1. Väestöennuste'!O246*1000</f>
        <v>-608.19621699201969</v>
      </c>
      <c r="AG246" s="41">
        <f>N246/'1. Väestöennuste'!P246*1000</f>
        <v>-645.26940766990253</v>
      </c>
      <c r="AH246" s="41">
        <f>O246/'1. Väestöennuste'!Q246*1000</f>
        <v>-706.5844097334566</v>
      </c>
      <c r="AI246" s="41">
        <f>P246/'1. Väestöennuste'!R246*1000</f>
        <v>-702.54941792698298</v>
      </c>
    </row>
    <row r="247" spans="1:35" x14ac:dyDescent="0.2">
      <c r="A247" s="34">
        <v>749</v>
      </c>
      <c r="B247" s="88" t="s">
        <v>561</v>
      </c>
      <c r="C247" s="41" t="e">
        <f>Vuosikate!C247-'6. Poistot'!C247</f>
        <v>#REF!</v>
      </c>
      <c r="D247" s="41">
        <f>Vuosikate!D247-'6. Poistot'!D247</f>
        <v>770</v>
      </c>
      <c r="E247" s="41">
        <f>Vuosikate!E247-'6. Poistot'!E247</f>
        <v>1599</v>
      </c>
      <c r="F247" s="41">
        <f>Vuosikate!F247-'6. Poistot'!F247</f>
        <v>-4502</v>
      </c>
      <c r="G247" s="41">
        <f>Vuosikate!G247-'6. Poistot'!G247</f>
        <v>-9768</v>
      </c>
      <c r="H247" s="41">
        <f>Vuosikate!H247-'6. Poistot'!H247</f>
        <v>2864.7622350998136</v>
      </c>
      <c r="I247" s="41">
        <f>Vuosikate!I247-'6. Poistot'!I247</f>
        <v>526.63135304715161</v>
      </c>
      <c r="J247" s="41">
        <f>Vuosikate!J247-'6. Poistot'!J247</f>
        <v>-2189.3302740010395</v>
      </c>
      <c r="K247" s="41">
        <f>Vuosikate!K247-'6. Poistot'!K247</f>
        <v>-261.77796857848261</v>
      </c>
      <c r="L247" s="41">
        <f>Vuosikate!L247-'6. Poistot'!L247</f>
        <v>1503.9220800188732</v>
      </c>
      <c r="M247" s="41">
        <f>Vuosikate!M247-'6. Poistot'!M247</f>
        <v>-2074.9931080029401</v>
      </c>
      <c r="N247" s="41">
        <f>Vuosikate!N247-'6. Poistot'!N247</f>
        <v>-4070.1433151767928</v>
      </c>
      <c r="O247" s="41">
        <f>Vuosikate!O247-'6. Poistot'!O247</f>
        <v>-3768.7471613663274</v>
      </c>
      <c r="P247" s="41">
        <f>Vuosikate!P247-'6. Poistot'!P247</f>
        <v>-1703.3881859245394</v>
      </c>
      <c r="T247" s="34">
        <v>749</v>
      </c>
      <c r="U247" s="88" t="s">
        <v>561</v>
      </c>
      <c r="V247" s="41" t="e">
        <f>C247/'1. Väestöennuste'!E247*1000</f>
        <v>#REF!</v>
      </c>
      <c r="W247" s="41">
        <f>D247/'1. Väestöennuste'!F247*1000</f>
        <v>35.373024623300253</v>
      </c>
      <c r="X247" s="41">
        <f>E247/'1. Väestöennuste'!G247*1000</f>
        <v>73.832940850533305</v>
      </c>
      <c r="Y247" s="41">
        <f>F247/'1. Väestöennuste'!H247*1000</f>
        <v>-207.71431207898866</v>
      </c>
      <c r="Z247" s="41">
        <f>G247/'1. Väestöennuste'!I247*1000</f>
        <v>-455.95854922279796</v>
      </c>
      <c r="AA247" s="41">
        <f>H247/'1. Väestöennuste'!J247*1000</f>
        <v>134.80599666367766</v>
      </c>
      <c r="AB247" s="41">
        <f>I247/'1. Väestöennuste'!K247*1000</f>
        <v>24.73260475495006</v>
      </c>
      <c r="AC247" s="41">
        <f>J247/'1. Väestöennuste'!L247*1000</f>
        <v>-103.11465118693667</v>
      </c>
      <c r="AD247" s="41">
        <f>K247/'1. Väestöennuste'!M247*1000</f>
        <v>-12.295818157749302</v>
      </c>
      <c r="AE247" s="41">
        <f>L247/'1. Väestöennuste'!N247*1000</f>
        <v>72.151318365902583</v>
      </c>
      <c r="AF247" s="41">
        <f>M247/'1. Väestöennuste'!O247*1000</f>
        <v>-100.04306002617714</v>
      </c>
      <c r="AG247" s="41">
        <f>N247/'1. Väestöennuste'!P247*1000</f>
        <v>-197.32114777606017</v>
      </c>
      <c r="AH247" s="41">
        <f>O247/'1. Väestöennuste'!Q247*1000</f>
        <v>-183.76960997495257</v>
      </c>
      <c r="AI247" s="41">
        <f>P247/'1. Väestöennuste'!R247*1000</f>
        <v>-83.552665224139858</v>
      </c>
    </row>
    <row r="248" spans="1:35" x14ac:dyDescent="0.2">
      <c r="A248" s="34">
        <v>751</v>
      </c>
      <c r="B248" s="88" t="s">
        <v>562</v>
      </c>
      <c r="C248" s="41" t="e">
        <f>Vuosikate!C248-'6. Poistot'!C248</f>
        <v>#REF!</v>
      </c>
      <c r="D248" s="41">
        <f>Vuosikate!D248-'6. Poistot'!D248</f>
        <v>669</v>
      </c>
      <c r="E248" s="41">
        <f>Vuosikate!E248-'6. Poistot'!E248</f>
        <v>988</v>
      </c>
      <c r="F248" s="41">
        <f>Vuosikate!F248-'6. Poistot'!F248</f>
        <v>-562</v>
      </c>
      <c r="G248" s="41">
        <f>Vuosikate!G248-'6. Poistot'!G248</f>
        <v>-1652</v>
      </c>
      <c r="H248" s="41">
        <f>Vuosikate!H248-'6. Poistot'!H248</f>
        <v>1401.7708072868409</v>
      </c>
      <c r="I248" s="41">
        <f>Vuosikate!I248-'6. Poistot'!I248</f>
        <v>525.48828835331551</v>
      </c>
      <c r="J248" s="41">
        <f>Vuosikate!J248-'6. Poistot'!J248</f>
        <v>1695.3641190112301</v>
      </c>
      <c r="K248" s="41">
        <f>Vuosikate!K248-'6. Poistot'!K248</f>
        <v>2375.8731833544748</v>
      </c>
      <c r="L248" s="41">
        <f>Vuosikate!L248-'6. Poistot'!L248</f>
        <v>645.29816451945703</v>
      </c>
      <c r="M248" s="41">
        <f>Vuosikate!M248-'6. Poistot'!M248</f>
        <v>1271.796370758208</v>
      </c>
      <c r="N248" s="41">
        <f>Vuosikate!N248-'6. Poistot'!N248</f>
        <v>1017.9050834245886</v>
      </c>
      <c r="O248" s="41">
        <f>Vuosikate!O248-'6. Poistot'!O248</f>
        <v>785.75171088730144</v>
      </c>
      <c r="P248" s="41">
        <f>Vuosikate!P248-'6. Poistot'!P248</f>
        <v>1029.0485534254617</v>
      </c>
      <c r="T248" s="34">
        <v>751</v>
      </c>
      <c r="U248" s="88" t="s">
        <v>562</v>
      </c>
      <c r="V248" s="41" t="e">
        <f>C248/'1. Väestöennuste'!E248*1000</f>
        <v>#REF!</v>
      </c>
      <c r="W248" s="41">
        <f>D248/'1. Väestöennuste'!F248*1000</f>
        <v>211.04100946372239</v>
      </c>
      <c r="X248" s="41">
        <f>E248/'1. Väestöennuste'!G248*1000</f>
        <v>317.68488745980704</v>
      </c>
      <c r="Y248" s="41">
        <f>F248/'1. Väestöennuste'!H248*1000</f>
        <v>-184.56486042692941</v>
      </c>
      <c r="Z248" s="41">
        <f>G248/'1. Väestöennuste'!I248*1000</f>
        <v>-552.87817938420346</v>
      </c>
      <c r="AA248" s="41">
        <f>H248/'1. Väestöennuste'!J248*1000</f>
        <v>475.17654484299692</v>
      </c>
      <c r="AB248" s="41">
        <f>I248/'1. Väestöennuste'!K248*1000</f>
        <v>180.95326733929599</v>
      </c>
      <c r="AC248" s="41">
        <f>J248/'1. Väestöennuste'!L248*1000</f>
        <v>589.28193222496702</v>
      </c>
      <c r="AD248" s="41">
        <f>K248/'1. Väestöennuste'!M248*1000</f>
        <v>840.12488803199244</v>
      </c>
      <c r="AE248" s="41">
        <f>L248/'1. Väestöennuste'!N248*1000</f>
        <v>233.38089132710923</v>
      </c>
      <c r="AF248" s="41">
        <f>M248/'1. Väestöennuste'!O248*1000</f>
        <v>467.57219513169412</v>
      </c>
      <c r="AG248" s="41">
        <f>N248/'1. Väestöennuste'!P248*1000</f>
        <v>380.09898559544007</v>
      </c>
      <c r="AH248" s="41">
        <f>O248/'1. Väestöennuste'!Q248*1000</f>
        <v>297.52052665176126</v>
      </c>
      <c r="AI248" s="41">
        <f>P248/'1. Väestöennuste'!R248*1000</f>
        <v>395.7879051636391</v>
      </c>
    </row>
    <row r="249" spans="1:35" x14ac:dyDescent="0.2">
      <c r="A249" s="34">
        <v>753</v>
      </c>
      <c r="B249" s="88" t="s">
        <v>563</v>
      </c>
      <c r="C249" s="41" t="e">
        <f>Vuosikate!C249-'6. Poistot'!C249</f>
        <v>#REF!</v>
      </c>
      <c r="D249" s="41">
        <f>Vuosikate!D249-'6. Poistot'!D249</f>
        <v>-2022</v>
      </c>
      <c r="E249" s="41">
        <f>Vuosikate!E249-'6. Poistot'!E249</f>
        <v>3037</v>
      </c>
      <c r="F249" s="41">
        <f>Vuosikate!F249-'6. Poistot'!F249</f>
        <v>172</v>
      </c>
      <c r="G249" s="41">
        <f>Vuosikate!G249-'6. Poistot'!G249</f>
        <v>-8574</v>
      </c>
      <c r="H249" s="41">
        <f>Vuosikate!H249-'6. Poistot'!H249</f>
        <v>6828.0770406558549</v>
      </c>
      <c r="I249" s="41">
        <f>Vuosikate!I249-'6. Poistot'!I249</f>
        <v>3629.1819058450728</v>
      </c>
      <c r="J249" s="41">
        <f>Vuosikate!J249-'6. Poistot'!J249</f>
        <v>13638.204768813001</v>
      </c>
      <c r="K249" s="41">
        <f>Vuosikate!K249-'6. Poistot'!K249</f>
        <v>3816.1637972461322</v>
      </c>
      <c r="L249" s="41">
        <f>Vuosikate!L249-'6. Poistot'!L249</f>
        <v>859.60294502495162</v>
      </c>
      <c r="M249" s="41">
        <f>Vuosikate!M249-'6. Poistot'!M249</f>
        <v>-514.83936236249247</v>
      </c>
      <c r="N249" s="41">
        <f>Vuosikate!N249-'6. Poistot'!N249</f>
        <v>-2303.2185581140184</v>
      </c>
      <c r="O249" s="41">
        <f>Vuosikate!O249-'6. Poistot'!O249</f>
        <v>-3133.727050692165</v>
      </c>
      <c r="P249" s="41">
        <f>Vuosikate!P249-'6. Poistot'!P249</f>
        <v>-2778.6654766147403</v>
      </c>
      <c r="T249" s="34">
        <v>753</v>
      </c>
      <c r="U249" s="88" t="s">
        <v>563</v>
      </c>
      <c r="V249" s="41" t="e">
        <f>C249/'1. Väestöennuste'!E249*1000</f>
        <v>#REF!</v>
      </c>
      <c r="W249" s="41">
        <f>D249/'1. Väestöennuste'!F249*1000</f>
        <v>-101.49583375163137</v>
      </c>
      <c r="X249" s="41">
        <f>E249/'1. Väestöennuste'!G249*1000</f>
        <v>149.53225012309207</v>
      </c>
      <c r="Y249" s="41">
        <f>F249/'1. Väestöennuste'!H249*1000</f>
        <v>8.3228491241652964</v>
      </c>
      <c r="Z249" s="41">
        <f>G249/'1. Väestöennuste'!I249*1000</f>
        <v>-405.00708549834673</v>
      </c>
      <c r="AA249" s="41">
        <f>H249/'1. Väestöennuste'!J249*1000</f>
        <v>314.84654588720684</v>
      </c>
      <c r="AB249" s="41">
        <f>I249/'1. Väestöennuste'!K249*1000</f>
        <v>163.55033374696137</v>
      </c>
      <c r="AC249" s="41">
        <f>J249/'1. Väestöennuste'!L249*1000</f>
        <v>611.03067960631722</v>
      </c>
      <c r="AD249" s="41">
        <f>K249/'1. Väestöennuste'!M249*1000</f>
        <v>168.89417115495164</v>
      </c>
      <c r="AE249" s="41">
        <f>L249/'1. Väestöennuste'!N249*1000</f>
        <v>36.988078529472958</v>
      </c>
      <c r="AF249" s="41">
        <f>M249/'1. Väestöennuste'!O249*1000</f>
        <v>-21.811530349198968</v>
      </c>
      <c r="AG249" s="41">
        <f>N249/'1. Väestöennuste'!P249*1000</f>
        <v>-96.127652675877229</v>
      </c>
      <c r="AH249" s="41">
        <f>O249/'1. Väestöennuste'!Q249*1000</f>
        <v>-128.94934781878715</v>
      </c>
      <c r="AI249" s="41">
        <f>P249/'1. Väestöennuste'!R249*1000</f>
        <v>-112.81172005256549</v>
      </c>
    </row>
    <row r="250" spans="1:35" x14ac:dyDescent="0.2">
      <c r="A250" s="34">
        <v>755</v>
      </c>
      <c r="B250" s="88" t="s">
        <v>564</v>
      </c>
      <c r="C250" s="41" t="e">
        <f>Vuosikate!C250-'6. Poistot'!C250</f>
        <v>#REF!</v>
      </c>
      <c r="D250" s="41">
        <f>Vuosikate!D250-'6. Poistot'!D250</f>
        <v>2720</v>
      </c>
      <c r="E250" s="41">
        <f>Vuosikate!E250-'6. Poistot'!E250</f>
        <v>1558</v>
      </c>
      <c r="F250" s="41">
        <f>Vuosikate!F250-'6. Poistot'!F250</f>
        <v>692</v>
      </c>
      <c r="G250" s="41">
        <f>Vuosikate!G250-'6. Poistot'!G250</f>
        <v>-1482</v>
      </c>
      <c r="H250" s="41">
        <f>Vuosikate!H250-'6. Poistot'!H250</f>
        <v>1882.5592085550261</v>
      </c>
      <c r="I250" s="41">
        <f>Vuosikate!I250-'6. Poistot'!I250</f>
        <v>1763.6397802458926</v>
      </c>
      <c r="J250" s="41">
        <f>Vuosikate!J250-'6. Poistot'!J250</f>
        <v>693.17434894221515</v>
      </c>
      <c r="K250" s="41">
        <f>Vuosikate!K250-'6. Poistot'!K250</f>
        <v>637.68675539521564</v>
      </c>
      <c r="L250" s="41">
        <f>Vuosikate!L250-'6. Poistot'!L250</f>
        <v>-161.63240261707483</v>
      </c>
      <c r="M250" s="41">
        <f>Vuosikate!M250-'6. Poistot'!M250</f>
        <v>-606.01285310253934</v>
      </c>
      <c r="N250" s="41">
        <f>Vuosikate!N250-'6. Poistot'!N250</f>
        <v>-643.80547858853265</v>
      </c>
      <c r="O250" s="41">
        <f>Vuosikate!O250-'6. Poistot'!O250</f>
        <v>-987.76322046463156</v>
      </c>
      <c r="P250" s="41">
        <f>Vuosikate!P250-'6. Poistot'!P250</f>
        <v>-920.5199611258472</v>
      </c>
      <c r="T250" s="34">
        <v>755</v>
      </c>
      <c r="U250" s="88" t="s">
        <v>564</v>
      </c>
      <c r="V250" s="41" t="e">
        <f>C250/'1. Väestöennuste'!E250*1000</f>
        <v>#REF!</v>
      </c>
      <c r="W250" s="41">
        <f>D250/'1. Väestöennuste'!F250*1000</f>
        <v>440.27193266429265</v>
      </c>
      <c r="X250" s="41">
        <f>E250/'1. Väestöennuste'!G250*1000</f>
        <v>253.49821021802799</v>
      </c>
      <c r="Y250" s="41">
        <f>F250/'1. Väestöennuste'!H250*1000</f>
        <v>112.81382458428432</v>
      </c>
      <c r="Z250" s="41">
        <f>G250/'1. Väestöennuste'!I250*1000</f>
        <v>-241.17168429617575</v>
      </c>
      <c r="AA250" s="41">
        <f>H250/'1. Väestöennuste'!J250*1000</f>
        <v>306.15697000406993</v>
      </c>
      <c r="AB250" s="41">
        <f>I250/'1. Väestöennuste'!K250*1000</f>
        <v>284.54981933622014</v>
      </c>
      <c r="AC250" s="41">
        <f>J250/'1. Väestöennuste'!L250*1000</f>
        <v>111.4965978674948</v>
      </c>
      <c r="AD250" s="41">
        <f>K250/'1. Väestöennuste'!M250*1000</f>
        <v>103.5541986676219</v>
      </c>
      <c r="AE250" s="41">
        <f>L250/'1. Väestöennuste'!N250*1000</f>
        <v>-26.107640545481317</v>
      </c>
      <c r="AF250" s="41">
        <f>M250/'1. Väestöennuste'!O250*1000</f>
        <v>-97.744008564925693</v>
      </c>
      <c r="AG250" s="41">
        <f>N250/'1. Väestöennuste'!P250*1000</f>
        <v>-103.72248728669771</v>
      </c>
      <c r="AH250" s="41">
        <f>O250/'1. Väestöennuste'!Q250*1000</f>
        <v>-159.00888932141524</v>
      </c>
      <c r="AI250" s="41">
        <f>P250/'1. Väestöennuste'!R250*1000</f>
        <v>-148.06497685794551</v>
      </c>
    </row>
    <row r="251" spans="1:35" x14ac:dyDescent="0.2">
      <c r="A251" s="34">
        <v>758</v>
      </c>
      <c r="B251" s="88" t="s">
        <v>565</v>
      </c>
      <c r="C251" s="41" t="e">
        <f>Vuosikate!C251-'6. Poistot'!C251</f>
        <v>#REF!</v>
      </c>
      <c r="D251" s="41">
        <f>Vuosikate!D251-'6. Poistot'!D251</f>
        <v>-114</v>
      </c>
      <c r="E251" s="41">
        <f>Vuosikate!E251-'6. Poistot'!E251</f>
        <v>-147</v>
      </c>
      <c r="F251" s="41">
        <f>Vuosikate!F251-'6. Poistot'!F251</f>
        <v>-1921</v>
      </c>
      <c r="G251" s="41">
        <f>Vuosikate!G251-'6. Poistot'!G251</f>
        <v>-4170</v>
      </c>
      <c r="H251" s="41">
        <f>Vuosikate!H251-'6. Poistot'!H251</f>
        <v>7107.4962282736524</v>
      </c>
      <c r="I251" s="41">
        <f>Vuosikate!I251-'6. Poistot'!I251</f>
        <v>5088.7624467221522</v>
      </c>
      <c r="J251" s="41">
        <f>Vuosikate!J251-'6. Poistot'!J251</f>
        <v>6669.196701309098</v>
      </c>
      <c r="K251" s="41">
        <f>Vuosikate!K251-'6. Poistot'!K251</f>
        <v>7426.5801331159237</v>
      </c>
      <c r="L251" s="41">
        <f>Vuosikate!L251-'6. Poistot'!L251</f>
        <v>8353.5419185668943</v>
      </c>
      <c r="M251" s="41">
        <f>Vuosikate!M251-'6. Poistot'!M251</f>
        <v>8075.8537102132868</v>
      </c>
      <c r="N251" s="41">
        <f>Vuosikate!N251-'6. Poistot'!N251</f>
        <v>7844.248751295876</v>
      </c>
      <c r="O251" s="41">
        <f>Vuosikate!O251-'6. Poistot'!O251</f>
        <v>8549.8869829750238</v>
      </c>
      <c r="P251" s="41">
        <f>Vuosikate!P251-'6. Poistot'!P251</f>
        <v>9357.6273755571056</v>
      </c>
      <c r="T251" s="34">
        <v>758</v>
      </c>
      <c r="U251" s="88" t="s">
        <v>565</v>
      </c>
      <c r="V251" s="41" t="e">
        <f>C251/'1. Väestöennuste'!E251*1000</f>
        <v>#REF!</v>
      </c>
      <c r="W251" s="41">
        <f>D251/'1. Väestöennuste'!F251*1000</f>
        <v>-13.174621518548481</v>
      </c>
      <c r="X251" s="41">
        <f>E251/'1. Väestöennuste'!G251*1000</f>
        <v>-17.203042715038034</v>
      </c>
      <c r="Y251" s="41">
        <f>F251/'1. Väestöennuste'!H251*1000</f>
        <v>-227.49881572714352</v>
      </c>
      <c r="Z251" s="41">
        <f>G251/'1. Väestöennuste'!I251*1000</f>
        <v>-502.22811032157057</v>
      </c>
      <c r="AA251" s="41">
        <f>H251/'1. Väestöennuste'!J251*1000</f>
        <v>859.84711205826909</v>
      </c>
      <c r="AB251" s="41">
        <f>I251/'1. Väestöennuste'!K251*1000</f>
        <v>621.5661960085688</v>
      </c>
      <c r="AC251" s="41">
        <f>J251/'1. Väestöennuste'!L251*1000</f>
        <v>819.91599475154885</v>
      </c>
      <c r="AD251" s="41">
        <f>K251/'1. Väestöennuste'!M251*1000</f>
        <v>913.92814830370708</v>
      </c>
      <c r="AE251" s="41">
        <f>L251/'1. Väestöennuste'!N251*1000</f>
        <v>1060.2286988915971</v>
      </c>
      <c r="AF251" s="41">
        <f>M251/'1. Väestöennuste'!O251*1000</f>
        <v>1035.6314067983183</v>
      </c>
      <c r="AG251" s="41">
        <f>N251/'1. Väestöennuste'!P251*1000</f>
        <v>1016.4894066730434</v>
      </c>
      <c r="AH251" s="41">
        <f>O251/'1. Väestöennuste'!Q251*1000</f>
        <v>1119.82802658481</v>
      </c>
      <c r="AI251" s="41">
        <f>P251/'1. Väestöennuste'!R251*1000</f>
        <v>1238.272776969314</v>
      </c>
    </row>
    <row r="252" spans="1:35" x14ac:dyDescent="0.2">
      <c r="A252" s="34">
        <v>759</v>
      </c>
      <c r="B252" s="88" t="s">
        <v>566</v>
      </c>
      <c r="C252" s="41" t="e">
        <f>Vuosikate!C252-'6. Poistot'!C252</f>
        <v>#REF!</v>
      </c>
      <c r="D252" s="41">
        <f>Vuosikate!D252-'6. Poistot'!D252</f>
        <v>357</v>
      </c>
      <c r="E252" s="41">
        <f>Vuosikate!E252-'6. Poistot'!E252</f>
        <v>963</v>
      </c>
      <c r="F252" s="41">
        <f>Vuosikate!F252-'6. Poistot'!F252</f>
        <v>373</v>
      </c>
      <c r="G252" s="41">
        <f>Vuosikate!G252-'6. Poistot'!G252</f>
        <v>-66</v>
      </c>
      <c r="H252" s="41">
        <f>Vuosikate!H252-'6. Poistot'!H252</f>
        <v>85.610841844005336</v>
      </c>
      <c r="I252" s="41">
        <f>Vuosikate!I252-'6. Poistot'!I252</f>
        <v>-570.59541092532481</v>
      </c>
      <c r="J252" s="41">
        <f>Vuosikate!J252-'6. Poistot'!J252</f>
        <v>692.03764502934939</v>
      </c>
      <c r="K252" s="41">
        <f>Vuosikate!K252-'6. Poistot'!K252</f>
        <v>1179.9963961922194</v>
      </c>
      <c r="L252" s="41">
        <f>Vuosikate!L252-'6. Poistot'!L252</f>
        <v>500.34703126767687</v>
      </c>
      <c r="M252" s="41">
        <f>Vuosikate!M252-'6. Poistot'!M252</f>
        <v>222.95392752057887</v>
      </c>
      <c r="N252" s="41">
        <f>Vuosikate!N252-'6. Poistot'!N252</f>
        <v>234.55728044817715</v>
      </c>
      <c r="O252" s="41">
        <f>Vuosikate!O252-'6. Poistot'!O252</f>
        <v>210.97923442206979</v>
      </c>
      <c r="P252" s="41">
        <f>Vuosikate!P252-'6. Poistot'!P252</f>
        <v>461.32456829269211</v>
      </c>
      <c r="T252" s="34">
        <v>759</v>
      </c>
      <c r="U252" s="88" t="s">
        <v>566</v>
      </c>
      <c r="V252" s="41" t="e">
        <f>C252/'1. Väestöennuste'!E252*1000</f>
        <v>#REF!</v>
      </c>
      <c r="W252" s="41">
        <f>D252/'1. Väestöennuste'!F252*1000</f>
        <v>163.31198536139067</v>
      </c>
      <c r="X252" s="41">
        <f>E252/'1. Väestöennuste'!G252*1000</f>
        <v>455.5345316934721</v>
      </c>
      <c r="Y252" s="41">
        <f>F252/'1. Väestöennuste'!H252*1000</f>
        <v>178.89688249400479</v>
      </c>
      <c r="Z252" s="41">
        <f>G252/'1. Väestöennuste'!I252*1000</f>
        <v>-32.163742690058477</v>
      </c>
      <c r="AA252" s="41">
        <f>H252/'1. Väestöennuste'!J252*1000</f>
        <v>42.656124486300612</v>
      </c>
      <c r="AB252" s="41">
        <f>I252/'1. Väestöennuste'!K252*1000</f>
        <v>-285.72629490501993</v>
      </c>
      <c r="AC252" s="41">
        <f>J252/'1. Väestöennuste'!L252*1000</f>
        <v>356.35306129214695</v>
      </c>
      <c r="AD252" s="41">
        <f>K252/'1. Väestöennuste'!M252*1000</f>
        <v>630.00341494512509</v>
      </c>
      <c r="AE252" s="41">
        <f>L252/'1. Väestöennuste'!N252*1000</f>
        <v>269.29334298583251</v>
      </c>
      <c r="AF252" s="41">
        <f>M252/'1. Väestöennuste'!O252*1000</f>
        <v>121.96604350141075</v>
      </c>
      <c r="AG252" s="41">
        <f>N252/'1. Väestöennuste'!P252*1000</f>
        <v>130.67257963686748</v>
      </c>
      <c r="AH252" s="41">
        <f>O252/'1. Väestöennuste'!Q252*1000</f>
        <v>119.46729015972242</v>
      </c>
      <c r="AI252" s="41">
        <f>P252/'1. Väestöennuste'!R252*1000</f>
        <v>265.58697080753717</v>
      </c>
    </row>
    <row r="253" spans="1:35" x14ac:dyDescent="0.2">
      <c r="A253" s="34">
        <v>761</v>
      </c>
      <c r="B253" s="88" t="s">
        <v>567</v>
      </c>
      <c r="C253" s="41" t="e">
        <f>Vuosikate!C253-'6. Poistot'!C253</f>
        <v>#REF!</v>
      </c>
      <c r="D253" s="41">
        <f>Vuosikate!D253-'6. Poistot'!D253</f>
        <v>404</v>
      </c>
      <c r="E253" s="41">
        <f>Vuosikate!E253-'6. Poistot'!E253</f>
        <v>2090</v>
      </c>
      <c r="F253" s="41">
        <f>Vuosikate!F253-'6. Poistot'!F253</f>
        <v>-787</v>
      </c>
      <c r="G253" s="41">
        <f>Vuosikate!G253-'6. Poistot'!G253</f>
        <v>-2146</v>
      </c>
      <c r="H253" s="41">
        <f>Vuosikate!H253-'6. Poistot'!H253</f>
        <v>2888.5026016050797</v>
      </c>
      <c r="I253" s="41">
        <f>Vuosikate!I253-'6. Poistot'!I253</f>
        <v>1280.8306428651445</v>
      </c>
      <c r="J253" s="41">
        <f>Vuosikate!J253-'6. Poistot'!J253</f>
        <v>47.292618235590453</v>
      </c>
      <c r="K253" s="41">
        <f>Vuosikate!K253-'6. Poistot'!K253</f>
        <v>2400.3570059967765</v>
      </c>
      <c r="L253" s="41">
        <f>Vuosikate!L253-'6. Poistot'!L253</f>
        <v>345.16159840928185</v>
      </c>
      <c r="M253" s="41">
        <f>Vuosikate!M253-'6. Poistot'!M253</f>
        <v>-391.50021598014655</v>
      </c>
      <c r="N253" s="41">
        <f>Vuosikate!N253-'6. Poistot'!N253</f>
        <v>-636.94368181667596</v>
      </c>
      <c r="O253" s="41">
        <f>Vuosikate!O253-'6. Poistot'!O253</f>
        <v>-761.74127770938844</v>
      </c>
      <c r="P253" s="41">
        <f>Vuosikate!P253-'6. Poistot'!P253</f>
        <v>372.31363647624812</v>
      </c>
      <c r="T253" s="34">
        <v>761</v>
      </c>
      <c r="U253" s="88" t="s">
        <v>567</v>
      </c>
      <c r="V253" s="41" t="e">
        <f>C253/'1. Väestöennuste'!E253*1000</f>
        <v>#REF!</v>
      </c>
      <c r="W253" s="41">
        <f>D253/'1. Väestöennuste'!F253*1000</f>
        <v>44.754625013847345</v>
      </c>
      <c r="X253" s="41">
        <f>E253/'1. Väestöennuste'!G253*1000</f>
        <v>234.33120304966926</v>
      </c>
      <c r="Y253" s="41">
        <f>F253/'1. Väestöennuste'!H253*1000</f>
        <v>-89.14816492976891</v>
      </c>
      <c r="Z253" s="41">
        <f>G253/'1. Väestöennuste'!I253*1000</f>
        <v>-246.35518310182528</v>
      </c>
      <c r="AA253" s="41">
        <f>H253/'1. Väestöennuste'!J253*1000</f>
        <v>334.0854269725977</v>
      </c>
      <c r="AB253" s="41">
        <f>I253/'1. Väestöennuste'!K253*1000</f>
        <v>149.57732603820443</v>
      </c>
      <c r="AC253" s="41">
        <f>J253/'1. Väestöennuste'!L253*1000</f>
        <v>5.6127009536660868</v>
      </c>
      <c r="AD253" s="41">
        <f>K253/'1. Väestöennuste'!M253*1000</f>
        <v>285.41700428023501</v>
      </c>
      <c r="AE253" s="41">
        <f>L253/'1. Väestöennuste'!N253*1000</f>
        <v>41.650971209036058</v>
      </c>
      <c r="AF253" s="41">
        <f>M253/'1. Väestöennuste'!O253*1000</f>
        <v>-47.674161712146436</v>
      </c>
      <c r="AG253" s="41">
        <f>N253/'1. Väestöennuste'!P253*1000</f>
        <v>-78.238997889285827</v>
      </c>
      <c r="AH253" s="41">
        <f>O253/'1. Väestöennuste'!Q253*1000</f>
        <v>-94.344968752710983</v>
      </c>
      <c r="AI253" s="41">
        <f>P253/'1. Väestöennuste'!R253*1000</f>
        <v>46.457903228880475</v>
      </c>
    </row>
    <row r="254" spans="1:35" x14ac:dyDescent="0.2">
      <c r="A254" s="34">
        <v>762</v>
      </c>
      <c r="B254" s="88" t="s">
        <v>568</v>
      </c>
      <c r="C254" s="41" t="e">
        <f>Vuosikate!C254-'6. Poistot'!C254</f>
        <v>#REF!</v>
      </c>
      <c r="D254" s="41">
        <f>Vuosikate!D254-'6. Poistot'!D254</f>
        <v>-933</v>
      </c>
      <c r="E254" s="41">
        <f>Vuosikate!E254-'6. Poistot'!E254</f>
        <v>1746</v>
      </c>
      <c r="F254" s="41">
        <f>Vuosikate!F254-'6. Poistot'!F254</f>
        <v>685</v>
      </c>
      <c r="G254" s="41">
        <f>Vuosikate!G254-'6. Poistot'!G254</f>
        <v>714</v>
      </c>
      <c r="H254" s="41">
        <f>Vuosikate!H254-'6. Poistot'!H254</f>
        <v>3307.542990471371</v>
      </c>
      <c r="I254" s="41">
        <f>Vuosikate!I254-'6. Poistot'!I254</f>
        <v>5151.161332379811</v>
      </c>
      <c r="J254" s="41">
        <f>Vuosikate!J254-'6. Poistot'!J254</f>
        <v>1209.0469496801356</v>
      </c>
      <c r="K254" s="41">
        <f>Vuosikate!K254-'6. Poistot'!K254</f>
        <v>1382.1888667137466</v>
      </c>
      <c r="L254" s="41">
        <f>Vuosikate!L254-'6. Poistot'!L254</f>
        <v>1537.0151188830014</v>
      </c>
      <c r="M254" s="41">
        <f>Vuosikate!M254-'6. Poistot'!M254</f>
        <v>-244.58382774365396</v>
      </c>
      <c r="N254" s="41">
        <f>Vuosikate!N254-'6. Poistot'!N254</f>
        <v>-334.59257531476896</v>
      </c>
      <c r="O254" s="41">
        <f>Vuosikate!O254-'6. Poistot'!O254</f>
        <v>-502.88873510681071</v>
      </c>
      <c r="P254" s="41">
        <f>Vuosikate!P254-'6. Poistot'!P254</f>
        <v>-78.096698858511445</v>
      </c>
      <c r="T254" s="34">
        <v>762</v>
      </c>
      <c r="U254" s="88" t="s">
        <v>568</v>
      </c>
      <c r="V254" s="41" t="e">
        <f>C254/'1. Väestöennuste'!E254*1000</f>
        <v>#REF!</v>
      </c>
      <c r="W254" s="41">
        <f>D254/'1. Väestöennuste'!F254*1000</f>
        <v>-222.19576089545129</v>
      </c>
      <c r="X254" s="41">
        <f>E254/'1. Väestöennuste'!G254*1000</f>
        <v>428.46625766871165</v>
      </c>
      <c r="Y254" s="41">
        <f>F254/'1. Väestöennuste'!H254*1000</f>
        <v>172.67456516259139</v>
      </c>
      <c r="Z254" s="41">
        <f>G254/'1. Väestöennuste'!I254*1000</f>
        <v>183.21785989222477</v>
      </c>
      <c r="AA254" s="41">
        <f>H254/'1. Väestöennuste'!J254*1000</f>
        <v>861.11507171865946</v>
      </c>
      <c r="AB254" s="41">
        <f>I254/'1. Väestöennuste'!K254*1000</f>
        <v>1363.8234928196482</v>
      </c>
      <c r="AC254" s="41">
        <f>J254/'1. Väestöennuste'!L254*1000</f>
        <v>329.26115187367526</v>
      </c>
      <c r="AD254" s="41">
        <f>K254/'1. Väestöennuste'!M254*1000</f>
        <v>380.03543214565485</v>
      </c>
      <c r="AE254" s="41">
        <f>L254/'1. Väestöennuste'!N254*1000</f>
        <v>432.2314732516877</v>
      </c>
      <c r="AF254" s="41">
        <f>M254/'1. Väestöennuste'!O254*1000</f>
        <v>-69.94104310656391</v>
      </c>
      <c r="AG254" s="41">
        <f>N254/'1. Väestöennuste'!P254*1000</f>
        <v>-97.208766796853268</v>
      </c>
      <c r="AH254" s="41">
        <f>O254/'1. Väestöennuste'!Q254*1000</f>
        <v>-148.30101300702174</v>
      </c>
      <c r="AI254" s="41">
        <f>P254/'1. Väestöennuste'!R254*1000</f>
        <v>-23.375246590395523</v>
      </c>
    </row>
    <row r="255" spans="1:35" x14ac:dyDescent="0.2">
      <c r="A255" s="34">
        <v>765</v>
      </c>
      <c r="B255" s="88" t="s">
        <v>569</v>
      </c>
      <c r="C255" s="41" t="e">
        <f>Vuosikate!C255-'6. Poistot'!C255</f>
        <v>#REF!</v>
      </c>
      <c r="D255" s="41">
        <f>Vuosikate!D255-'6. Poistot'!D255</f>
        <v>-1469</v>
      </c>
      <c r="E255" s="41">
        <f>Vuosikate!E255-'6. Poistot'!E255</f>
        <v>251</v>
      </c>
      <c r="F255" s="41">
        <f>Vuosikate!F255-'6. Poistot'!F255</f>
        <v>-3590</v>
      </c>
      <c r="G255" s="41">
        <f>Vuosikate!G255-'6. Poistot'!G255</f>
        <v>11837</v>
      </c>
      <c r="H255" s="41">
        <f>Vuosikate!H255-'6. Poistot'!H255</f>
        <v>-5010.5984059806979</v>
      </c>
      <c r="I255" s="41">
        <f>Vuosikate!I255-'6. Poistot'!I255</f>
        <v>-3461.0841747111417</v>
      </c>
      <c r="J255" s="41">
        <f>Vuosikate!J255-'6. Poistot'!J255</f>
        <v>-1283.2899465774753</v>
      </c>
      <c r="K255" s="41">
        <f>Vuosikate!K255-'6. Poistot'!K255</f>
        <v>-6951.2993321129188</v>
      </c>
      <c r="L255" s="41">
        <f>Vuosikate!L255-'6. Poistot'!L255</f>
        <v>-4198.6475393641222</v>
      </c>
      <c r="M255" s="41">
        <f>Vuosikate!M255-'6. Poistot'!M255</f>
        <v>-7693.5586755944241</v>
      </c>
      <c r="N255" s="41">
        <f>Vuosikate!N255-'6. Poistot'!N255</f>
        <v>-8555.5776971723426</v>
      </c>
      <c r="O255" s="41">
        <f>Vuosikate!O255-'6. Poistot'!O255</f>
        <v>-8727.2552301056585</v>
      </c>
      <c r="P255" s="41">
        <f>Vuosikate!P255-'6. Poistot'!P255</f>
        <v>-8200.4377284693601</v>
      </c>
      <c r="T255" s="34">
        <v>765</v>
      </c>
      <c r="U255" s="88" t="s">
        <v>569</v>
      </c>
      <c r="V255" s="41" t="e">
        <f>C255/'1. Väestöennuste'!E255*1000</f>
        <v>#REF!</v>
      </c>
      <c r="W255" s="41">
        <f>D255/'1. Väestöennuste'!F255*1000</f>
        <v>-140.2922356985961</v>
      </c>
      <c r="X255" s="41">
        <f>E255/'1. Väestöennuste'!G255*1000</f>
        <v>24.081358534011322</v>
      </c>
      <c r="Y255" s="41">
        <f>F255/'1. Väestöennuste'!H255*1000</f>
        <v>-345.55780152083935</v>
      </c>
      <c r="Z255" s="41">
        <f>G255/'1. Väestöennuste'!I255*1000</f>
        <v>1145.2205882352941</v>
      </c>
      <c r="AA255" s="41">
        <f>H255/'1. Väestöennuste'!J255*1000</f>
        <v>-486.41863954768451</v>
      </c>
      <c r="AB255" s="41">
        <f>I255/'1. Väestöennuste'!K255*1000</f>
        <v>-334.46889975948415</v>
      </c>
      <c r="AC255" s="41">
        <f>J255/'1. Väestöennuste'!L255*1000</f>
        <v>-123.94146673531731</v>
      </c>
      <c r="AD255" s="41">
        <f>K255/'1. Väestöennuste'!M255*1000</f>
        <v>-676.59133074877548</v>
      </c>
      <c r="AE255" s="41">
        <f>L255/'1. Väestöennuste'!N255*1000</f>
        <v>-415.79001182057061</v>
      </c>
      <c r="AF255" s="41">
        <f>M255/'1. Väestöennuste'!O255*1000</f>
        <v>-765.75681054985807</v>
      </c>
      <c r="AG255" s="41">
        <f>N255/'1. Väestöennuste'!P255*1000</f>
        <v>-855.64333405063928</v>
      </c>
      <c r="AH255" s="41">
        <f>O255/'1. Väestöennuste'!Q255*1000</f>
        <v>-877.19923913012951</v>
      </c>
      <c r="AI255" s="41">
        <f>P255/'1. Väestöennuste'!R255*1000</f>
        <v>-828.3270432797334</v>
      </c>
    </row>
    <row r="256" spans="1:35" x14ac:dyDescent="0.2">
      <c r="A256" s="34">
        <v>768</v>
      </c>
      <c r="B256" s="88" t="s">
        <v>570</v>
      </c>
      <c r="C256" s="41" t="e">
        <f>Vuosikate!C256-'6. Poistot'!C256</f>
        <v>#REF!</v>
      </c>
      <c r="D256" s="41">
        <f>Vuosikate!D256-'6. Poistot'!D256</f>
        <v>-31</v>
      </c>
      <c r="E256" s="41">
        <f>Vuosikate!E256-'6. Poistot'!E256</f>
        <v>2242</v>
      </c>
      <c r="F256" s="41">
        <f>Vuosikate!F256-'6. Poistot'!F256</f>
        <v>699</v>
      </c>
      <c r="G256" s="41">
        <f>Vuosikate!G256-'6. Poistot'!G256</f>
        <v>872</v>
      </c>
      <c r="H256" s="41">
        <f>Vuosikate!H256-'6. Poistot'!H256</f>
        <v>767.5635101786429</v>
      </c>
      <c r="I256" s="41">
        <f>Vuosikate!I256-'6. Poistot'!I256</f>
        <v>241.58369528865887</v>
      </c>
      <c r="J256" s="41">
        <f>Vuosikate!J256-'6. Poistot'!J256</f>
        <v>900.2784617260827</v>
      </c>
      <c r="K256" s="41">
        <f>Vuosikate!K256-'6. Poistot'!K256</f>
        <v>-4.1962727683217054</v>
      </c>
      <c r="L256" s="41">
        <f>Vuosikate!L256-'6. Poistot'!L256</f>
        <v>259.24637908694979</v>
      </c>
      <c r="M256" s="41">
        <f>Vuosikate!M256-'6. Poistot'!M256</f>
        <v>-221.21480360533883</v>
      </c>
      <c r="N256" s="41">
        <f>Vuosikate!N256-'6. Poistot'!N256</f>
        <v>-840.38225290403284</v>
      </c>
      <c r="O256" s="41">
        <f>Vuosikate!O256-'6. Poistot'!O256</f>
        <v>-896.08675068280093</v>
      </c>
      <c r="P256" s="41">
        <f>Vuosikate!P256-'6. Poistot'!P256</f>
        <v>-619.83674687567816</v>
      </c>
      <c r="T256" s="34">
        <v>768</v>
      </c>
      <c r="U256" s="88" t="s">
        <v>570</v>
      </c>
      <c r="V256" s="41" t="e">
        <f>C256/'1. Väestöennuste'!E256*1000</f>
        <v>#REF!</v>
      </c>
      <c r="W256" s="41">
        <f>D256/'1. Väestöennuste'!F256*1000</f>
        <v>-11.649755730928222</v>
      </c>
      <c r="X256" s="41">
        <f>E256/'1. Väestöennuste'!G256*1000</f>
        <v>866.30602782071094</v>
      </c>
      <c r="Y256" s="41">
        <f>F256/'1. Väestöennuste'!H256*1000</f>
        <v>276.28458498023718</v>
      </c>
      <c r="Z256" s="41">
        <f>G256/'1. Väestöennuste'!I256*1000</f>
        <v>349.91974317817017</v>
      </c>
      <c r="AA256" s="41">
        <f>H256/'1. Väestöennuste'!J256*1000</f>
        <v>309.2520186054162</v>
      </c>
      <c r="AB256" s="41">
        <f>I256/'1. Väestöennuste'!K256*1000</f>
        <v>99.417158555003653</v>
      </c>
      <c r="AC256" s="41">
        <f>J256/'1. Väestöennuste'!L256*1000</f>
        <v>379.06461546361373</v>
      </c>
      <c r="AD256" s="41">
        <f>K256/'1. Väestöennuste'!M256*1000</f>
        <v>-1.772074648784504</v>
      </c>
      <c r="AE256" s="41">
        <f>L256/'1. Väestöennuste'!N256*1000</f>
        <v>113.05991237982983</v>
      </c>
      <c r="AF256" s="41">
        <f>M256/'1. Väestöennuste'!O256*1000</f>
        <v>-98.143213666964883</v>
      </c>
      <c r="AG256" s="41">
        <f>N256/'1. Väestöennuste'!P256*1000</f>
        <v>-378.89190843283717</v>
      </c>
      <c r="AH256" s="41">
        <f>O256/'1. Väestöennuste'!Q256*1000</f>
        <v>-410.1083527152407</v>
      </c>
      <c r="AI256" s="41">
        <f>P256/'1. Väestöennuste'!R256*1000</f>
        <v>-287.36056878798246</v>
      </c>
    </row>
    <row r="257" spans="1:35" x14ac:dyDescent="0.2">
      <c r="A257" s="34">
        <v>777</v>
      </c>
      <c r="B257" s="88" t="s">
        <v>571</v>
      </c>
      <c r="C257" s="41" t="e">
        <f>Vuosikate!C257-'6. Poistot'!C257</f>
        <v>#REF!</v>
      </c>
      <c r="D257" s="41">
        <f>Vuosikate!D257-'6. Poistot'!D257</f>
        <v>252</v>
      </c>
      <c r="E257" s="41">
        <f>Vuosikate!E257-'6. Poistot'!E257</f>
        <v>-179</v>
      </c>
      <c r="F257" s="41">
        <f>Vuosikate!F257-'6. Poistot'!F257</f>
        <v>-5834</v>
      </c>
      <c r="G257" s="41">
        <f>Vuosikate!G257-'6. Poistot'!G257</f>
        <v>-2380</v>
      </c>
      <c r="H257" s="41">
        <f>Vuosikate!H257-'6. Poistot'!H257</f>
        <v>142.08305505190947</v>
      </c>
      <c r="I257" s="41">
        <f>Vuosikate!I257-'6. Poistot'!I257</f>
        <v>2011.2388481202911</v>
      </c>
      <c r="J257" s="41">
        <f>Vuosikate!J257-'6. Poistot'!J257</f>
        <v>4949.1830696367088</v>
      </c>
      <c r="K257" s="41">
        <f>Vuosikate!K257-'6. Poistot'!K257</f>
        <v>290.33725884252726</v>
      </c>
      <c r="L257" s="41">
        <f>Vuosikate!L257-'6. Poistot'!L257</f>
        <v>447.35171770112083</v>
      </c>
      <c r="M257" s="41">
        <f>Vuosikate!M257-'6. Poistot'!M257</f>
        <v>-574.9974421290467</v>
      </c>
      <c r="N257" s="41">
        <f>Vuosikate!N257-'6. Poistot'!N257</f>
        <v>-29.860731231262434</v>
      </c>
      <c r="O257" s="41">
        <f>Vuosikate!O257-'6. Poistot'!O257</f>
        <v>-250.21258398446207</v>
      </c>
      <c r="P257" s="41">
        <f>Vuosikate!P257-'6. Poistot'!P257</f>
        <v>943.69986742773835</v>
      </c>
      <c r="T257" s="34">
        <v>777</v>
      </c>
      <c r="U257" s="88" t="s">
        <v>571</v>
      </c>
      <c r="V257" s="41" t="e">
        <f>C257/'1. Väestöennuste'!E257*1000</f>
        <v>#REF!</v>
      </c>
      <c r="W257" s="41">
        <f>D257/'1. Väestöennuste'!F257*1000</f>
        <v>30.780505679736166</v>
      </c>
      <c r="X257" s="41">
        <f>E257/'1. Väestöennuste'!G257*1000</f>
        <v>-22.233262948702023</v>
      </c>
      <c r="Y257" s="41">
        <f>F257/'1. Väestöennuste'!H257*1000</f>
        <v>-742.05036886288474</v>
      </c>
      <c r="Z257" s="41">
        <f>G257/'1. Väestöennuste'!I257*1000</f>
        <v>-308.01087097191663</v>
      </c>
      <c r="AA257" s="41">
        <f>H257/'1. Väestöennuste'!J257*1000</f>
        <v>18.70990980404391</v>
      </c>
      <c r="AB257" s="41">
        <f>I257/'1. Väestöennuste'!K257*1000</f>
        <v>267.87944167824867</v>
      </c>
      <c r="AC257" s="41">
        <f>J257/'1. Väestöennuste'!L257*1000</f>
        <v>671.80440744356031</v>
      </c>
      <c r="AD257" s="41">
        <f>K257/'1. Väestöennuste'!M257*1000</f>
        <v>40.482049476091369</v>
      </c>
      <c r="AE257" s="41">
        <f>L257/'1. Väestöennuste'!N257*1000</f>
        <v>63.607524200358426</v>
      </c>
      <c r="AF257" s="41">
        <f>M257/'1. Väestöennuste'!O257*1000</f>
        <v>-83.22440905037584</v>
      </c>
      <c r="AG257" s="41">
        <f>N257/'1. Väestöennuste'!P257*1000</f>
        <v>-4.3971037006718348</v>
      </c>
      <c r="AH257" s="41">
        <f>O257/'1. Väestöennuste'!Q257*1000</f>
        <v>-37.468191671827206</v>
      </c>
      <c r="AI257" s="41">
        <f>P257/'1. Väestöennuste'!R257*1000</f>
        <v>143.61586781733956</v>
      </c>
    </row>
    <row r="258" spans="1:35" x14ac:dyDescent="0.2">
      <c r="A258" s="34">
        <v>778</v>
      </c>
      <c r="B258" s="88" t="s">
        <v>572</v>
      </c>
      <c r="C258" s="41" t="e">
        <f>Vuosikate!C258-'6. Poistot'!C258</f>
        <v>#REF!</v>
      </c>
      <c r="D258" s="41">
        <f>Vuosikate!D258-'6. Poistot'!D258</f>
        <v>3129</v>
      </c>
      <c r="E258" s="41">
        <f>Vuosikate!E258-'6. Poistot'!E258</f>
        <v>3400</v>
      </c>
      <c r="F258" s="41">
        <f>Vuosikate!F258-'6. Poistot'!F258</f>
        <v>641</v>
      </c>
      <c r="G258" s="41">
        <f>Vuosikate!G258-'6. Poistot'!G258</f>
        <v>173</v>
      </c>
      <c r="H258" s="41">
        <f>Vuosikate!H258-'6. Poistot'!H258</f>
        <v>706.12553652055067</v>
      </c>
      <c r="I258" s="41">
        <f>Vuosikate!I258-'6. Poistot'!I258</f>
        <v>-805.95227185407202</v>
      </c>
      <c r="J258" s="41">
        <f>Vuosikate!J258-'6. Poistot'!J258</f>
        <v>1088.4754950865722</v>
      </c>
      <c r="K258" s="41">
        <f>Vuosikate!K258-'6. Poistot'!K258</f>
        <v>-235.76247314280181</v>
      </c>
      <c r="L258" s="41">
        <f>Vuosikate!L258-'6. Poistot'!L258</f>
        <v>1345.587388188158</v>
      </c>
      <c r="M258" s="41">
        <f>Vuosikate!M258-'6. Poistot'!M258</f>
        <v>-469.10997061604485</v>
      </c>
      <c r="N258" s="41">
        <f>Vuosikate!N258-'6. Poistot'!N258</f>
        <v>-991.67873007875369</v>
      </c>
      <c r="O258" s="41">
        <f>Vuosikate!O258-'6. Poistot'!O258</f>
        <v>-1034.2794653761355</v>
      </c>
      <c r="P258" s="41">
        <f>Vuosikate!P258-'6. Poistot'!P258</f>
        <v>-156.94032880721579</v>
      </c>
      <c r="T258" s="34">
        <v>778</v>
      </c>
      <c r="U258" s="88" t="s">
        <v>572</v>
      </c>
      <c r="V258" s="41" t="e">
        <f>C258/'1. Väestöennuste'!E258*1000</f>
        <v>#REF!</v>
      </c>
      <c r="W258" s="41">
        <f>D258/'1. Väestöennuste'!F258*1000</f>
        <v>427.92669584245073</v>
      </c>
      <c r="X258" s="41">
        <f>E258/'1. Väestöennuste'!G258*1000</f>
        <v>467.93283787503441</v>
      </c>
      <c r="Y258" s="41">
        <f>F258/'1. Väestöennuste'!H258*1000</f>
        <v>89.713086074177738</v>
      </c>
      <c r="Z258" s="41">
        <f>G258/'1. Väestöennuste'!I258*1000</f>
        <v>24.490373725934315</v>
      </c>
      <c r="AA258" s="41">
        <f>H258/'1. Väestöennuste'!J258*1000</f>
        <v>101.87931561398798</v>
      </c>
      <c r="AB258" s="41">
        <f>I258/'1. Väestöennuste'!K258*1000</f>
        <v>-116.95722998898157</v>
      </c>
      <c r="AC258" s="41">
        <f>J258/'1. Väestöennuste'!L258*1000</f>
        <v>160.94565948344996</v>
      </c>
      <c r="AD258" s="41">
        <f>K258/'1. Väestöennuste'!M258*1000</f>
        <v>-35.146462901431399</v>
      </c>
      <c r="AE258" s="41">
        <f>L258/'1. Väestöennuste'!N258*1000</f>
        <v>204.99503171666029</v>
      </c>
      <c r="AF258" s="41">
        <f>M258/'1. Väestöennuste'!O258*1000</f>
        <v>-72.304249478428616</v>
      </c>
      <c r="AG258" s="41">
        <f>N258/'1. Väestöennuste'!P258*1000</f>
        <v>-154.56339309207507</v>
      </c>
      <c r="AH258" s="41">
        <f>O258/'1. Väestöennuste'!Q258*1000</f>
        <v>-162.90431018682241</v>
      </c>
      <c r="AI258" s="41">
        <f>P258/'1. Väestöennuste'!R258*1000</f>
        <v>-24.986519472570574</v>
      </c>
    </row>
    <row r="259" spans="1:35" x14ac:dyDescent="0.2">
      <c r="A259" s="34">
        <v>781</v>
      </c>
      <c r="B259" s="88" t="s">
        <v>573</v>
      </c>
      <c r="C259" s="41" t="e">
        <f>Vuosikate!C259-'6. Poistot'!C259</f>
        <v>#REF!</v>
      </c>
      <c r="D259" s="41">
        <f>Vuosikate!D259-'6. Poistot'!D259</f>
        <v>923</v>
      </c>
      <c r="E259" s="41">
        <f>Vuosikate!E259-'6. Poistot'!E259</f>
        <v>1011</v>
      </c>
      <c r="F259" s="41">
        <f>Vuosikate!F259-'6. Poistot'!F259</f>
        <v>-256</v>
      </c>
      <c r="G259" s="41">
        <f>Vuosikate!G259-'6. Poistot'!G259</f>
        <v>-470</v>
      </c>
      <c r="H259" s="41">
        <f>Vuosikate!H259-'6. Poistot'!H259</f>
        <v>1434.4337372809277</v>
      </c>
      <c r="I259" s="41">
        <f>Vuosikate!I259-'6. Poistot'!I259</f>
        <v>2890.0859225320737</v>
      </c>
      <c r="J259" s="41">
        <f>Vuosikate!J259-'6. Poistot'!J259</f>
        <v>1171.1487075663456</v>
      </c>
      <c r="K259" s="41">
        <f>Vuosikate!K259-'6. Poistot'!K259</f>
        <v>773.07453895459298</v>
      </c>
      <c r="L259" s="41">
        <f>Vuosikate!L259-'6. Poistot'!L259</f>
        <v>1916.5414771012481</v>
      </c>
      <c r="M259" s="41">
        <f>Vuosikate!M259-'6. Poistot'!M259</f>
        <v>1668.8315291968599</v>
      </c>
      <c r="N259" s="41">
        <f>Vuosikate!N259-'6. Poistot'!N259</f>
        <v>1436.7649581155017</v>
      </c>
      <c r="O259" s="41">
        <f>Vuosikate!O259-'6. Poistot'!O259</f>
        <v>1324.5575886379161</v>
      </c>
      <c r="P259" s="41">
        <f>Vuosikate!P259-'6. Poistot'!P259</f>
        <v>1854.9583341820896</v>
      </c>
      <c r="T259" s="34">
        <v>781</v>
      </c>
      <c r="U259" s="88" t="s">
        <v>573</v>
      </c>
      <c r="V259" s="41" t="e">
        <f>C259/'1. Väestöennuste'!E259*1000</f>
        <v>#REF!</v>
      </c>
      <c r="W259" s="41">
        <f>D259/'1. Väestöennuste'!F259*1000</f>
        <v>233.49354920313687</v>
      </c>
      <c r="X259" s="41">
        <f>E259/'1. Väestöennuste'!G259*1000</f>
        <v>261.98497019953356</v>
      </c>
      <c r="Y259" s="41">
        <f>F259/'1. Väestöennuste'!H259*1000</f>
        <v>-68.212096989075405</v>
      </c>
      <c r="Z259" s="41">
        <f>G259/'1. Väestöennuste'!I259*1000</f>
        <v>-128.52064533770852</v>
      </c>
      <c r="AA259" s="41">
        <f>H259/'1. Väestöennuste'!J259*1000</f>
        <v>395.05197942190244</v>
      </c>
      <c r="AB259" s="41">
        <f>I259/'1. Väestöennuste'!K259*1000</f>
        <v>806.38558106363666</v>
      </c>
      <c r="AC259" s="41">
        <f>J259/'1. Väestöennuste'!L259*1000</f>
        <v>334.231937090852</v>
      </c>
      <c r="AD259" s="41">
        <f>K259/'1. Väestöennuste'!M259*1000</f>
        <v>221.13116102820166</v>
      </c>
      <c r="AE259" s="41">
        <f>L259/'1. Väestöennuste'!N259*1000</f>
        <v>575.36519876951309</v>
      </c>
      <c r="AF259" s="41">
        <f>M259/'1. Väestöennuste'!O259*1000</f>
        <v>510.34603339353515</v>
      </c>
      <c r="AG259" s="41">
        <f>N259/'1. Väestöennuste'!P259*1000</f>
        <v>446.47761283887559</v>
      </c>
      <c r="AH259" s="41">
        <f>O259/'1. Väestöennuste'!Q259*1000</f>
        <v>417.97336340735751</v>
      </c>
      <c r="AI259" s="41">
        <f>P259/'1. Väestöennuste'!R259*1000</f>
        <v>593.77667547442047</v>
      </c>
    </row>
    <row r="260" spans="1:35" x14ac:dyDescent="0.2">
      <c r="A260" s="34">
        <v>783</v>
      </c>
      <c r="B260" s="88" t="s">
        <v>574</v>
      </c>
      <c r="C260" s="41" t="e">
        <f>Vuosikate!C260-'6. Poistot'!C260</f>
        <v>#REF!</v>
      </c>
      <c r="D260" s="41">
        <f>Vuosikate!D260-'6. Poistot'!D260</f>
        <v>2636</v>
      </c>
      <c r="E260" s="41">
        <f>Vuosikate!E260-'6. Poistot'!E260</f>
        <v>2821</v>
      </c>
      <c r="F260" s="41">
        <f>Vuosikate!F260-'6. Poistot'!F260</f>
        <v>408</v>
      </c>
      <c r="G260" s="41">
        <f>Vuosikate!G260-'6. Poistot'!G260</f>
        <v>-1679</v>
      </c>
      <c r="H260" s="41">
        <f>Vuosikate!H260-'6. Poistot'!H260</f>
        <v>1708.3758697130979</v>
      </c>
      <c r="I260" s="41">
        <f>Vuosikate!I260-'6. Poistot'!I260</f>
        <v>2728.8175944541476</v>
      </c>
      <c r="J260" s="41">
        <f>Vuosikate!J260-'6. Poistot'!J260</f>
        <v>994.72257713262979</v>
      </c>
      <c r="K260" s="41">
        <f>Vuosikate!K260-'6. Poistot'!K260</f>
        <v>4210.3653351209541</v>
      </c>
      <c r="L260" s="41">
        <f>Vuosikate!L260-'6. Poistot'!L260</f>
        <v>-406.82692749891839</v>
      </c>
      <c r="M260" s="41">
        <f>Vuosikate!M260-'6. Poistot'!M260</f>
        <v>2369.8020490586814</v>
      </c>
      <c r="N260" s="41">
        <f>Vuosikate!N260-'6. Poistot'!N260</f>
        <v>2579.5293489342494</v>
      </c>
      <c r="O260" s="41">
        <f>Vuosikate!O260-'6. Poistot'!O260</f>
        <v>2656.1746714125529</v>
      </c>
      <c r="P260" s="41">
        <f>Vuosikate!P260-'6. Poistot'!P260</f>
        <v>3422.1489742494086</v>
      </c>
      <c r="T260" s="34">
        <v>783</v>
      </c>
      <c r="U260" s="88" t="s">
        <v>574</v>
      </c>
      <c r="V260" s="41" t="e">
        <f>C260/'1. Väestöennuste'!E260*1000</f>
        <v>#REF!</v>
      </c>
      <c r="W260" s="41">
        <f>D260/'1. Väestöennuste'!F260*1000</f>
        <v>377.21808815111621</v>
      </c>
      <c r="X260" s="41">
        <f>E260/'1. Väestöennuste'!G260*1000</f>
        <v>408.66290018832393</v>
      </c>
      <c r="Y260" s="41">
        <f>F260/'1. Väestöennuste'!H260*1000</f>
        <v>59.90309792981941</v>
      </c>
      <c r="Z260" s="41">
        <f>G260/'1. Väestöennuste'!I260*1000</f>
        <v>-249.81401577146258</v>
      </c>
      <c r="AA260" s="41">
        <f>H260/'1. Väestöennuste'!J260*1000</f>
        <v>257.0532455180707</v>
      </c>
      <c r="AB260" s="41">
        <f>I260/'1. Väestöennuste'!K260*1000</f>
        <v>414.21032095539584</v>
      </c>
      <c r="AC260" s="41">
        <f>J260/'1. Väestöennuste'!L260*1000</f>
        <v>154.96534929625017</v>
      </c>
      <c r="AD260" s="41">
        <f>K260/'1. Väestöennuste'!M260*1000</f>
        <v>660.24232948423298</v>
      </c>
      <c r="AE260" s="41">
        <f>L260/'1. Väestöennuste'!N260*1000</f>
        <v>-64.310295210072468</v>
      </c>
      <c r="AF260" s="41">
        <f>M260/'1. Väestöennuste'!O260*1000</f>
        <v>378.80467536104237</v>
      </c>
      <c r="AG260" s="41">
        <f>N260/'1. Väestöennuste'!P260*1000</f>
        <v>417.06214210739682</v>
      </c>
      <c r="AH260" s="41">
        <f>O260/'1. Väestöennuste'!Q260*1000</f>
        <v>434.15735067220544</v>
      </c>
      <c r="AI260" s="41">
        <f>P260/'1. Väestöennuste'!R260*1000</f>
        <v>565.45753044438345</v>
      </c>
    </row>
    <row r="261" spans="1:35" x14ac:dyDescent="0.2">
      <c r="A261" s="34">
        <v>785</v>
      </c>
      <c r="B261" s="88" t="s">
        <v>575</v>
      </c>
      <c r="C261" s="41" t="e">
        <f>Vuosikate!C261-'6. Poistot'!C261</f>
        <v>#REF!</v>
      </c>
      <c r="D261" s="41">
        <f>Vuosikate!D261-'6. Poistot'!D261</f>
        <v>75</v>
      </c>
      <c r="E261" s="41">
        <f>Vuosikate!E261-'6. Poistot'!E261</f>
        <v>42</v>
      </c>
      <c r="F261" s="41">
        <f>Vuosikate!F261-'6. Poistot'!F261</f>
        <v>-177</v>
      </c>
      <c r="G261" s="41">
        <f>Vuosikate!G261-'6. Poistot'!G261</f>
        <v>-543</v>
      </c>
      <c r="H261" s="41">
        <f>Vuosikate!H261-'6. Poistot'!H261</f>
        <v>-173.89277176018913</v>
      </c>
      <c r="I261" s="41">
        <f>Vuosikate!I261-'6. Poistot'!I261</f>
        <v>735.16237423629991</v>
      </c>
      <c r="J261" s="41">
        <f>Vuosikate!J261-'6. Poistot'!J261</f>
        <v>1638.189347220369</v>
      </c>
      <c r="K261" s="41">
        <f>Vuosikate!K261-'6. Poistot'!K261</f>
        <v>929.83110042376711</v>
      </c>
      <c r="L261" s="41">
        <f>Vuosikate!L261-'6. Poistot'!L261</f>
        <v>1299.024100603895</v>
      </c>
      <c r="M261" s="41">
        <f>Vuosikate!M261-'6. Poistot'!M261</f>
        <v>1856.8649096586514</v>
      </c>
      <c r="N261" s="41">
        <f>Vuosikate!N261-'6. Poistot'!N261</f>
        <v>1519.7315465754</v>
      </c>
      <c r="O261" s="41">
        <f>Vuosikate!O261-'6. Poistot'!O261</f>
        <v>1354.097256279525</v>
      </c>
      <c r="P261" s="41">
        <f>Vuosikate!P261-'6. Poistot'!P261</f>
        <v>1575.8683130403024</v>
      </c>
      <c r="T261" s="34">
        <v>785</v>
      </c>
      <c r="U261" s="88" t="s">
        <v>575</v>
      </c>
      <c r="V261" s="41" t="e">
        <f>C261/'1. Väestöennuste'!E261*1000</f>
        <v>#REF!</v>
      </c>
      <c r="W261" s="41">
        <f>D261/'1. Väestöennuste'!F261*1000</f>
        <v>24.671052631578949</v>
      </c>
      <c r="X261" s="41">
        <f>E261/'1. Väestöennuste'!G261*1000</f>
        <v>14.280856851411086</v>
      </c>
      <c r="Y261" s="41">
        <f>F261/'1. Väestöennuste'!H261*1000</f>
        <v>-61.693970024398745</v>
      </c>
      <c r="Z261" s="41">
        <f>G261/'1. Väestöennuste'!I261*1000</f>
        <v>-194.48424068767909</v>
      </c>
      <c r="AA261" s="41">
        <f>H261/'1. Väestöennuste'!J261*1000</f>
        <v>-63.534078100178704</v>
      </c>
      <c r="AB261" s="41">
        <f>I261/'1. Väestöennuste'!K261*1000</f>
        <v>275.03268770531236</v>
      </c>
      <c r="AC261" s="41">
        <f>J261/'1. Väestöennuste'!L261*1000</f>
        <v>623.8344810435525</v>
      </c>
      <c r="AD261" s="41">
        <f>K261/'1. Väestöennuste'!M261*1000</f>
        <v>359.14681360516306</v>
      </c>
      <c r="AE261" s="41">
        <f>L261/'1. Väestöennuste'!N261*1000</f>
        <v>520.85970353003006</v>
      </c>
      <c r="AF261" s="41">
        <f>M261/'1. Väestöennuste'!O261*1000</f>
        <v>758.83322830349459</v>
      </c>
      <c r="AG261" s="41">
        <f>N261/'1. Väestöennuste'!P261*1000</f>
        <v>632.43093906591764</v>
      </c>
      <c r="AH261" s="41">
        <f>O261/'1. Väestöennuste'!Q261*1000</f>
        <v>573.28418978811396</v>
      </c>
      <c r="AI261" s="41">
        <f>P261/'1. Väestöennuste'!R261*1000</f>
        <v>677.79282281303335</v>
      </c>
    </row>
    <row r="262" spans="1:35" x14ac:dyDescent="0.2">
      <c r="A262" s="34">
        <v>790</v>
      </c>
      <c r="B262" s="88" t="s">
        <v>576</v>
      </c>
      <c r="C262" s="41" t="e">
        <f>Vuosikate!C262-'6. Poistot'!C262</f>
        <v>#REF!</v>
      </c>
      <c r="D262" s="41">
        <f>Vuosikate!D262-'6. Poistot'!D262</f>
        <v>185</v>
      </c>
      <c r="E262" s="41">
        <f>Vuosikate!E262-'6. Poistot'!E262</f>
        <v>5736</v>
      </c>
      <c r="F262" s="41">
        <f>Vuosikate!F262-'6. Poistot'!F262</f>
        <v>-262</v>
      </c>
      <c r="G262" s="41">
        <f>Vuosikate!G262-'6. Poistot'!G262</f>
        <v>-5496</v>
      </c>
      <c r="H262" s="41">
        <f>Vuosikate!H262-'6. Poistot'!H262</f>
        <v>4630.1305832991784</v>
      </c>
      <c r="I262" s="41">
        <f>Vuosikate!I262-'6. Poistot'!I262</f>
        <v>3898.1747714724461</v>
      </c>
      <c r="J262" s="41">
        <f>Vuosikate!J262-'6. Poistot'!J262</f>
        <v>7030.8429832317688</v>
      </c>
      <c r="K262" s="41">
        <f>Vuosikate!K262-'6. Poistot'!K262</f>
        <v>9561.7397285083625</v>
      </c>
      <c r="L262" s="41">
        <f>Vuosikate!L262-'6. Poistot'!L262</f>
        <v>3686.3676688347223</v>
      </c>
      <c r="M262" s="41">
        <f>Vuosikate!M262-'6. Poistot'!M262</f>
        <v>544.94453920350497</v>
      </c>
      <c r="N262" s="41">
        <f>Vuosikate!N262-'6. Poistot'!N262</f>
        <v>68.354672888915957</v>
      </c>
      <c r="O262" s="41">
        <f>Vuosikate!O262-'6. Poistot'!O262</f>
        <v>-98.389199129867848</v>
      </c>
      <c r="P262" s="41">
        <f>Vuosikate!P262-'6. Poistot'!P262</f>
        <v>2673.1840747283568</v>
      </c>
      <c r="T262" s="34">
        <v>790</v>
      </c>
      <c r="U262" s="88" t="s">
        <v>576</v>
      </c>
      <c r="V262" s="41" t="e">
        <f>C262/'1. Väestöennuste'!E262*1000</f>
        <v>#REF!</v>
      </c>
      <c r="W262" s="41">
        <f>D262/'1. Väestöennuste'!F262*1000</f>
        <v>7.3816934003670891</v>
      </c>
      <c r="X262" s="41">
        <f>E262/'1. Väestöennuste'!G262*1000</f>
        <v>231.10394842868652</v>
      </c>
      <c r="Y262" s="41">
        <f>F262/'1. Väestöennuste'!H262*1000</f>
        <v>-10.628372074155207</v>
      </c>
      <c r="Z262" s="41">
        <f>G262/'1. Väestöennuste'!I262*1000</f>
        <v>-226.38711537669397</v>
      </c>
      <c r="AA262" s="41">
        <f>H262/'1. Väestöennuste'!J262*1000</f>
        <v>192.50501344167549</v>
      </c>
      <c r="AB262" s="41">
        <f>I262/'1. Väestöennuste'!K262*1000</f>
        <v>162.43748526845764</v>
      </c>
      <c r="AC262" s="41">
        <f>J262/'1. Väestöennuste'!L262*1000</f>
        <v>296.23506291530163</v>
      </c>
      <c r="AD262" s="41">
        <f>K262/'1. Väestöennuste'!M262*1000</f>
        <v>406.62299504607114</v>
      </c>
      <c r="AE262" s="41">
        <f>L262/'1. Väestöennuste'!N262*1000</f>
        <v>160.27685516672705</v>
      </c>
      <c r="AF262" s="41">
        <f>M262/'1. Väestöennuste'!O262*1000</f>
        <v>23.931515489153089</v>
      </c>
      <c r="AG262" s="41">
        <f>N262/'1. Väestöennuste'!P262*1000</f>
        <v>3.0301743456386183</v>
      </c>
      <c r="AH262" s="41">
        <f>O262/'1. Väestöennuste'!Q262*1000</f>
        <v>-4.4020043456609477</v>
      </c>
      <c r="AI262" s="41">
        <f>P262/'1. Väestöennuste'!R262*1000</f>
        <v>120.67461514663944</v>
      </c>
    </row>
    <row r="263" spans="1:35" x14ac:dyDescent="0.2">
      <c r="A263" s="34">
        <v>791</v>
      </c>
      <c r="B263" s="88" t="s">
        <v>577</v>
      </c>
      <c r="C263" s="41" t="e">
        <f>Vuosikate!C263-'6. Poistot'!C263</f>
        <v>#REF!</v>
      </c>
      <c r="D263" s="41">
        <f>Vuosikate!D263-'6. Poistot'!D263</f>
        <v>-1254</v>
      </c>
      <c r="E263" s="41">
        <f>Vuosikate!E263-'6. Poistot'!E263</f>
        <v>-97</v>
      </c>
      <c r="F263" s="41">
        <f>Vuosikate!F263-'6. Poistot'!F263</f>
        <v>-169</v>
      </c>
      <c r="G263" s="41">
        <f>Vuosikate!G263-'6. Poistot'!G263</f>
        <v>-420</v>
      </c>
      <c r="H263" s="41">
        <f>Vuosikate!H263-'6. Poistot'!H263</f>
        <v>-995.97029281831419</v>
      </c>
      <c r="I263" s="41">
        <f>Vuosikate!I263-'6. Poistot'!I263</f>
        <v>1787.081698116227</v>
      </c>
      <c r="J263" s="41">
        <f>Vuosikate!J263-'6. Poistot'!J263</f>
        <v>1054.079739458394</v>
      </c>
      <c r="K263" s="41">
        <f>Vuosikate!K263-'6. Poistot'!K263</f>
        <v>1406.1499460460093</v>
      </c>
      <c r="L263" s="41">
        <f>Vuosikate!L263-'6. Poistot'!L263</f>
        <v>478.82928864508358</v>
      </c>
      <c r="M263" s="41">
        <f>Vuosikate!M263-'6. Poistot'!M263</f>
        <v>-489.29968358492897</v>
      </c>
      <c r="N263" s="41">
        <f>Vuosikate!N263-'6. Poistot'!N263</f>
        <v>-871.18085779931243</v>
      </c>
      <c r="O263" s="41">
        <f>Vuosikate!O263-'6. Poistot'!O263</f>
        <v>-947.96712848807488</v>
      </c>
      <c r="P263" s="41">
        <f>Vuosikate!P263-'6. Poistot'!P263</f>
        <v>-675.20167889556888</v>
      </c>
      <c r="T263" s="34">
        <v>791</v>
      </c>
      <c r="U263" s="88" t="s">
        <v>577</v>
      </c>
      <c r="V263" s="41" t="e">
        <f>C263/'1. Väestöennuste'!E263*1000</f>
        <v>#REF!</v>
      </c>
      <c r="W263" s="41">
        <f>D263/'1. Väestöennuste'!F263*1000</f>
        <v>-224.6104245029554</v>
      </c>
      <c r="X263" s="41">
        <f>E263/'1. Väestöennuste'!G263*1000</f>
        <v>-17.807967688635948</v>
      </c>
      <c r="Y263" s="41">
        <f>F263/'1. Väestöennuste'!H263*1000</f>
        <v>-31.880777211846823</v>
      </c>
      <c r="Z263" s="41">
        <f>G263/'1. Väestöennuste'!I263*1000</f>
        <v>-80.290575415790471</v>
      </c>
      <c r="AA263" s="41">
        <f>H263/'1. Väestöennuste'!J263*1000</f>
        <v>-191.42231266928968</v>
      </c>
      <c r="AB263" s="41">
        <f>I263/'1. Väestöennuste'!K263*1000</f>
        <v>348.29111247636462</v>
      </c>
      <c r="AC263" s="41">
        <f>J263/'1. Väestöennuste'!L263*1000</f>
        <v>209.60026634686696</v>
      </c>
      <c r="AD263" s="41">
        <f>K263/'1. Väestöennuste'!M263*1000</f>
        <v>285.16526993429517</v>
      </c>
      <c r="AE263" s="41">
        <f>L263/'1. Väestöennuste'!N263*1000</f>
        <v>98.993030524102451</v>
      </c>
      <c r="AF263" s="41">
        <f>M263/'1. Väestöennuste'!O263*1000</f>
        <v>-102.85887819737837</v>
      </c>
      <c r="AG263" s="41">
        <f>N263/'1. Väestöennuste'!P263*1000</f>
        <v>-186.18954002977398</v>
      </c>
      <c r="AH263" s="41">
        <f>O263/'1. Väestöennuste'!Q263*1000</f>
        <v>-205.8113609396602</v>
      </c>
      <c r="AI263" s="41">
        <f>P263/'1. Väestöennuste'!R263*1000</f>
        <v>-148.82117674577228</v>
      </c>
    </row>
    <row r="264" spans="1:35" x14ac:dyDescent="0.2">
      <c r="A264" s="34">
        <v>831</v>
      </c>
      <c r="B264" s="88" t="s">
        <v>578</v>
      </c>
      <c r="C264" s="41" t="e">
        <f>Vuosikate!C264-'6. Poistot'!C264</f>
        <v>#REF!</v>
      </c>
      <c r="D264" s="41">
        <f>Vuosikate!D264-'6. Poistot'!D264</f>
        <v>-2159</v>
      </c>
      <c r="E264" s="41">
        <f>Vuosikate!E264-'6. Poistot'!E264</f>
        <v>-1993</v>
      </c>
      <c r="F264" s="41">
        <f>Vuosikate!F264-'6. Poistot'!F264</f>
        <v>-1083</v>
      </c>
      <c r="G264" s="41">
        <f>Vuosikate!G264-'6. Poistot'!G264</f>
        <v>9</v>
      </c>
      <c r="H264" s="41">
        <f>Vuosikate!H264-'6. Poistot'!H264</f>
        <v>1166.267934773663</v>
      </c>
      <c r="I264" s="41">
        <f>Vuosikate!I264-'6. Poistot'!I264</f>
        <v>1903.1888842892758</v>
      </c>
      <c r="J264" s="41">
        <f>Vuosikate!J264-'6. Poistot'!J264</f>
        <v>-419.46323840550394</v>
      </c>
      <c r="K264" s="41">
        <f>Vuosikate!K264-'6. Poistot'!K264</f>
        <v>1131.5439086607696</v>
      </c>
      <c r="L264" s="41">
        <f>Vuosikate!L264-'6. Poistot'!L264</f>
        <v>141.92723725830638</v>
      </c>
      <c r="M264" s="41">
        <f>Vuosikate!M264-'6. Poistot'!M264</f>
        <v>-430.08014551117412</v>
      </c>
      <c r="N264" s="41">
        <f>Vuosikate!N264-'6. Poistot'!N264</f>
        <v>-992.90321174904977</v>
      </c>
      <c r="O264" s="41">
        <f>Vuosikate!O264-'6. Poistot'!O264</f>
        <v>-1167.3488013620126</v>
      </c>
      <c r="P264" s="41">
        <f>Vuosikate!P264-'6. Poistot'!P264</f>
        <v>-1021.0540424337698</v>
      </c>
      <c r="T264" s="34">
        <v>831</v>
      </c>
      <c r="U264" s="88" t="s">
        <v>578</v>
      </c>
      <c r="V264" s="41" t="e">
        <f>C264/'1. Väestöennuste'!E264*1000</f>
        <v>#REF!</v>
      </c>
      <c r="W264" s="41">
        <f>D264/'1. Väestöennuste'!F264*1000</f>
        <v>-446.81291390728478</v>
      </c>
      <c r="X264" s="41">
        <f>E264/'1. Väestöennuste'!G264*1000</f>
        <v>-417.46962714704648</v>
      </c>
      <c r="Y264" s="41">
        <f>F264/'1. Väestöennuste'!H264*1000</f>
        <v>-229.69247083775184</v>
      </c>
      <c r="Z264" s="41">
        <f>G264/'1. Väestöennuste'!I264*1000</f>
        <v>1.9267822736030829</v>
      </c>
      <c r="AA264" s="41">
        <f>H264/'1. Väestöennuste'!J264*1000</f>
        <v>252.00257881885545</v>
      </c>
      <c r="AB264" s="41">
        <f>I264/'1. Väestöennuste'!K264*1000</f>
        <v>414.18691714674122</v>
      </c>
      <c r="AC264" s="41">
        <f>J264/'1. Väestöennuste'!L264*1000</f>
        <v>-92.007729415552518</v>
      </c>
      <c r="AD264" s="41">
        <f>K264/'1. Väestöennuste'!M264*1000</f>
        <v>244.65814241313939</v>
      </c>
      <c r="AE264" s="41">
        <f>L264/'1. Väestöennuste'!N264*1000</f>
        <v>31.532378862098724</v>
      </c>
      <c r="AF264" s="41">
        <f>M264/'1. Väestöennuste'!O264*1000</f>
        <v>-96.236327033155987</v>
      </c>
      <c r="AG264" s="41">
        <f>N264/'1. Väestöennuste'!P264*1000</f>
        <v>-223.82849678743233</v>
      </c>
      <c r="AH264" s="41">
        <f>O264/'1. Väestöennuste'!Q264*1000</f>
        <v>-264.94525677757889</v>
      </c>
      <c r="AI264" s="41">
        <f>P264/'1. Väestöennuste'!R264*1000</f>
        <v>-233.38378112771883</v>
      </c>
    </row>
    <row r="265" spans="1:35" x14ac:dyDescent="0.2">
      <c r="A265" s="34">
        <v>832</v>
      </c>
      <c r="B265" s="88" t="s">
        <v>579</v>
      </c>
      <c r="C265" s="41" t="e">
        <f>Vuosikate!C265-'6. Poistot'!C265</f>
        <v>#REF!</v>
      </c>
      <c r="D265" s="41">
        <f>Vuosikate!D265-'6. Poistot'!D265</f>
        <v>1758</v>
      </c>
      <c r="E265" s="41">
        <f>Vuosikate!E265-'6. Poistot'!E265</f>
        <v>624</v>
      </c>
      <c r="F265" s="41">
        <f>Vuosikate!F265-'6. Poistot'!F265</f>
        <v>-904</v>
      </c>
      <c r="G265" s="41">
        <f>Vuosikate!G265-'6. Poistot'!G265</f>
        <v>-762</v>
      </c>
      <c r="H265" s="41">
        <f>Vuosikate!H265-'6. Poistot'!H265</f>
        <v>1670.5788516948742</v>
      </c>
      <c r="I265" s="41">
        <f>Vuosikate!I265-'6. Poistot'!I265</f>
        <v>2108.252660069792</v>
      </c>
      <c r="J265" s="41">
        <f>Vuosikate!J265-'6. Poistot'!J265</f>
        <v>2383.90752178613</v>
      </c>
      <c r="K265" s="41">
        <f>Vuosikate!K265-'6. Poistot'!K265</f>
        <v>603.79848597464525</v>
      </c>
      <c r="L265" s="41">
        <f>Vuosikate!L265-'6. Poistot'!L265</f>
        <v>-283.37035723548206</v>
      </c>
      <c r="M265" s="41">
        <f>Vuosikate!M265-'6. Poistot'!M265</f>
        <v>-728.8585896018169</v>
      </c>
      <c r="N265" s="41">
        <f>Vuosikate!N265-'6. Poistot'!N265</f>
        <v>-1768.2466164452467</v>
      </c>
      <c r="O265" s="41">
        <f>Vuosikate!O265-'6. Poistot'!O265</f>
        <v>-2336.5585830075038</v>
      </c>
      <c r="P265" s="41">
        <f>Vuosikate!P265-'6. Poistot'!P265</f>
        <v>-2137.2284237530266</v>
      </c>
      <c r="T265" s="34">
        <v>832</v>
      </c>
      <c r="U265" s="88" t="s">
        <v>579</v>
      </c>
      <c r="V265" s="41" t="e">
        <f>C265/'1. Väestöennuste'!E265*1000</f>
        <v>#REF!</v>
      </c>
      <c r="W265" s="41">
        <f>D265/'1. Väestöennuste'!F265*1000</f>
        <v>425.35688361964674</v>
      </c>
      <c r="X265" s="41">
        <f>E265/'1. Väestöennuste'!G265*1000</f>
        <v>153.77033021192707</v>
      </c>
      <c r="Y265" s="41">
        <f>F265/'1. Väestöennuste'!H265*1000</f>
        <v>-224.6520874751491</v>
      </c>
      <c r="Z265" s="41">
        <f>G265/'1. Väestöennuste'!I265*1000</f>
        <v>-191.64989939637829</v>
      </c>
      <c r="AA265" s="41">
        <f>H265/'1. Väestöennuste'!J265*1000</f>
        <v>426.60338398745512</v>
      </c>
      <c r="AB265" s="41">
        <f>I265/'1. Väestöennuste'!K265*1000</f>
        <v>538.78166625857193</v>
      </c>
      <c r="AC265" s="41">
        <f>J265/'1. Väestöennuste'!L265*1000</f>
        <v>623.24379654539337</v>
      </c>
      <c r="AD265" s="41">
        <f>K265/'1. Väestöennuste'!M265*1000</f>
        <v>161.83288286642863</v>
      </c>
      <c r="AE265" s="41">
        <f>L265/'1. Väestöennuste'!N265*1000</f>
        <v>-76.940091565430919</v>
      </c>
      <c r="AF265" s="41">
        <f>M265/'1. Väestöennuste'!O265*1000</f>
        <v>-200.78749024843441</v>
      </c>
      <c r="AG265" s="41">
        <f>N265/'1. Väestöennuste'!P265*1000</f>
        <v>-494.19972511046586</v>
      </c>
      <c r="AH265" s="41">
        <f>O265/'1. Väestöennuste'!Q265*1000</f>
        <v>-662.47762489580487</v>
      </c>
      <c r="AI265" s="41">
        <f>P265/'1. Väestöennuste'!R265*1000</f>
        <v>-614.85282616600296</v>
      </c>
    </row>
    <row r="266" spans="1:35" x14ac:dyDescent="0.2">
      <c r="A266" s="34">
        <v>833</v>
      </c>
      <c r="B266" s="88" t="s">
        <v>580</v>
      </c>
      <c r="C266" s="41" t="e">
        <f>Vuosikate!C266-'6. Poistot'!C266</f>
        <v>#REF!</v>
      </c>
      <c r="D266" s="41">
        <f>Vuosikate!D266-'6. Poistot'!D266</f>
        <v>9</v>
      </c>
      <c r="E266" s="41">
        <f>Vuosikate!E266-'6. Poistot'!E266</f>
        <v>902</v>
      </c>
      <c r="F266" s="41">
        <f>Vuosikate!F266-'6. Poistot'!F266</f>
        <v>535</v>
      </c>
      <c r="G266" s="41">
        <f>Vuosikate!G266-'6. Poistot'!G266</f>
        <v>375</v>
      </c>
      <c r="H266" s="41">
        <f>Vuosikate!H266-'6. Poistot'!H266</f>
        <v>2023.0166105415374</v>
      </c>
      <c r="I266" s="41">
        <f>Vuosikate!I266-'6. Poistot'!I266</f>
        <v>775.81533749021878</v>
      </c>
      <c r="J266" s="41">
        <f>Vuosikate!J266-'6. Poistot'!J266</f>
        <v>-163.56650598376604</v>
      </c>
      <c r="K266" s="41">
        <f>Vuosikate!K266-'6. Poistot'!K266</f>
        <v>140.54480390510037</v>
      </c>
      <c r="L266" s="41">
        <f>Vuosikate!L266-'6. Poistot'!L266</f>
        <v>-303.49360813169358</v>
      </c>
      <c r="M266" s="41">
        <f>Vuosikate!M266-'6. Poistot'!M266</f>
        <v>-331.0827297261327</v>
      </c>
      <c r="N266" s="41">
        <f>Vuosikate!N266-'6. Poistot'!N266</f>
        <v>-473.09608970743892</v>
      </c>
      <c r="O266" s="41">
        <f>Vuosikate!O266-'6. Poistot'!O266</f>
        <v>-602.86489771344907</v>
      </c>
      <c r="P266" s="41">
        <f>Vuosikate!P266-'6. Poistot'!P266</f>
        <v>-538.11944423936529</v>
      </c>
      <c r="T266" s="34">
        <v>833</v>
      </c>
      <c r="U266" s="88" t="s">
        <v>580</v>
      </c>
      <c r="V266" s="41" t="e">
        <f>C266/'1. Väestöennuste'!E266*1000</f>
        <v>#REF!</v>
      </c>
      <c r="W266" s="41">
        <f>D266/'1. Väestöennuste'!F266*1000</f>
        <v>5.5487053020961774</v>
      </c>
      <c r="X266" s="41">
        <f>E266/'1. Väestöennuste'!G266*1000</f>
        <v>545.34461910519951</v>
      </c>
      <c r="Y266" s="41">
        <f>F266/'1. Väestöennuste'!H266*1000</f>
        <v>321.90132370637787</v>
      </c>
      <c r="Z266" s="41">
        <f>G266/'1. Väestöennuste'!I266*1000</f>
        <v>228.7980475899939</v>
      </c>
      <c r="AA266" s="41">
        <f>H266/'1. Väestöennuste'!J266*1000</f>
        <v>1219.419295082301</v>
      </c>
      <c r="AB266" s="41">
        <f>I266/'1. Väestöennuste'!K266*1000</f>
        <v>462.62095258808517</v>
      </c>
      <c r="AC266" s="41">
        <f>J266/'1. Väestöennuste'!L266*1000</f>
        <v>-96.727679469997653</v>
      </c>
      <c r="AD266" s="41">
        <f>K266/'1. Väestöennuste'!M266*1000</f>
        <v>82.430970032316935</v>
      </c>
      <c r="AE266" s="41">
        <f>L266/'1. Väestöennuste'!N266*1000</f>
        <v>-180.43615227805802</v>
      </c>
      <c r="AF266" s="41">
        <f>M266/'1. Väestöennuste'!O266*1000</f>
        <v>-196.48826689978202</v>
      </c>
      <c r="AG266" s="41">
        <f>N266/'1. Väestöennuste'!P266*1000</f>
        <v>-280.27019532431211</v>
      </c>
      <c r="AH266" s="41">
        <f>O266/'1. Väestöennuste'!Q266*1000</f>
        <v>-356.09267437297643</v>
      </c>
      <c r="AI266" s="41">
        <f>P266/'1. Väestöennuste'!R266*1000</f>
        <v>-317.47459837130697</v>
      </c>
    </row>
    <row r="267" spans="1:35" x14ac:dyDescent="0.2">
      <c r="A267" s="34">
        <v>834</v>
      </c>
      <c r="B267" s="88" t="s">
        <v>581</v>
      </c>
      <c r="C267" s="41" t="e">
        <f>Vuosikate!C267-'6. Poistot'!C267</f>
        <v>#REF!</v>
      </c>
      <c r="D267" s="41">
        <f>Vuosikate!D267-'6. Poistot'!D267</f>
        <v>-87</v>
      </c>
      <c r="E267" s="41">
        <f>Vuosikate!E267-'6. Poistot'!E267</f>
        <v>284</v>
      </c>
      <c r="F267" s="41">
        <f>Vuosikate!F267-'6. Poistot'!F267</f>
        <v>-1185</v>
      </c>
      <c r="G267" s="41">
        <f>Vuosikate!G267-'6. Poistot'!G267</f>
        <v>-2739</v>
      </c>
      <c r="H267" s="41">
        <f>Vuosikate!H267-'6. Poistot'!H267</f>
        <v>1167.1237956303521</v>
      </c>
      <c r="I267" s="41">
        <f>Vuosikate!I267-'6. Poistot'!I267</f>
        <v>269.87192362678024</v>
      </c>
      <c r="J267" s="41">
        <f>Vuosikate!J267-'6. Poistot'!J267</f>
        <v>2750.1057486586542</v>
      </c>
      <c r="K267" s="41">
        <f>Vuosikate!K267-'6. Poistot'!K267</f>
        <v>1350.4905413031966</v>
      </c>
      <c r="L267" s="41">
        <f>Vuosikate!L267-'6. Poistot'!L267</f>
        <v>271.1434187451739</v>
      </c>
      <c r="M267" s="41">
        <f>Vuosikate!M267-'6. Poistot'!M267</f>
        <v>-366.90078392097985</v>
      </c>
      <c r="N267" s="41">
        <f>Vuosikate!N267-'6. Poistot'!N267</f>
        <v>-564.62185023205348</v>
      </c>
      <c r="O267" s="41">
        <f>Vuosikate!O267-'6. Poistot'!O267</f>
        <v>-1015.2912594434597</v>
      </c>
      <c r="P267" s="41">
        <f>Vuosikate!P267-'6. Poistot'!P267</f>
        <v>-462.90518605152511</v>
      </c>
      <c r="T267" s="34">
        <v>834</v>
      </c>
      <c r="U267" s="88" t="s">
        <v>581</v>
      </c>
      <c r="V267" s="41" t="e">
        <f>C267/'1. Väestöennuste'!E267*1000</f>
        <v>#REF!</v>
      </c>
      <c r="W267" s="41">
        <f>D267/'1. Väestöennuste'!F267*1000</f>
        <v>-13.940073706136838</v>
      </c>
      <c r="X267" s="41">
        <f>E267/'1. Väestöennuste'!G267*1000</f>
        <v>46.141348497156777</v>
      </c>
      <c r="Y267" s="41">
        <f>F267/'1. Väestöennuste'!H267*1000</f>
        <v>-194.86926492353231</v>
      </c>
      <c r="Z267" s="41">
        <f>G267/'1. Väestöennuste'!I267*1000</f>
        <v>-455.36159600997507</v>
      </c>
      <c r="AA267" s="41">
        <f>H267/'1. Väestöennuste'!J267*1000</f>
        <v>194.0032904970665</v>
      </c>
      <c r="AB267" s="41">
        <f>I267/'1. Väestöennuste'!K267*1000</f>
        <v>45.227404663445661</v>
      </c>
      <c r="AC267" s="41">
        <f>J267/'1. Väestöennuste'!L267*1000</f>
        <v>467.78461450223745</v>
      </c>
      <c r="AD267" s="41">
        <f>K267/'1. Väestöennuste'!M267*1000</f>
        <v>231.09009947008838</v>
      </c>
      <c r="AE267" s="41">
        <f>L267/'1. Väestöennuste'!N267*1000</f>
        <v>46.789200818839326</v>
      </c>
      <c r="AF267" s="41">
        <f>M267/'1. Väestöennuste'!O267*1000</f>
        <v>-63.875484665908743</v>
      </c>
      <c r="AG267" s="41">
        <f>N267/'1. Väestöennuste'!P267*1000</f>
        <v>-99.143432876567786</v>
      </c>
      <c r="AH267" s="41">
        <f>O267/'1. Väestöennuste'!Q267*1000</f>
        <v>-179.76120032639159</v>
      </c>
      <c r="AI267" s="41">
        <f>P267/'1. Väestöennuste'!R267*1000</f>
        <v>-82.573169113721917</v>
      </c>
    </row>
    <row r="268" spans="1:35" x14ac:dyDescent="0.2">
      <c r="A268" s="34">
        <v>837</v>
      </c>
      <c r="B268" s="88" t="s">
        <v>582</v>
      </c>
      <c r="C268" s="41" t="e">
        <f>Vuosikate!C268-'6. Poistot'!C268</f>
        <v>#REF!</v>
      </c>
      <c r="D268" s="41">
        <f>Vuosikate!D268-'6. Poistot'!D268</f>
        <v>-18528</v>
      </c>
      <c r="E268" s="41">
        <f>Vuosikate!E268-'6. Poistot'!E268</f>
        <v>-18760</v>
      </c>
      <c r="F268" s="41">
        <f>Vuosikate!F268-'6. Poistot'!F268</f>
        <v>-60321</v>
      </c>
      <c r="G268" s="41">
        <f>Vuosikate!G268-'6. Poistot'!G268</f>
        <v>-21163</v>
      </c>
      <c r="H268" s="41">
        <f>Vuosikate!H268-'6. Poistot'!H268</f>
        <v>58685.457285348675</v>
      </c>
      <c r="I268" s="41">
        <f>Vuosikate!I268-'6. Poistot'!I268</f>
        <v>68378.650652926415</v>
      </c>
      <c r="J268" s="41">
        <f>Vuosikate!J268-'6. Poistot'!J268</f>
        <v>15353.644267217547</v>
      </c>
      <c r="K268" s="41">
        <f>Vuosikate!K268-'6. Poistot'!K268</f>
        <v>53651.673156010656</v>
      </c>
      <c r="L268" s="41">
        <f>Vuosikate!L268-'6. Poistot'!L268</f>
        <v>-2730.240295882686</v>
      </c>
      <c r="M268" s="41">
        <f>Vuosikate!M268-'6. Poistot'!M268</f>
        <v>-13130.308140037552</v>
      </c>
      <c r="N268" s="41">
        <f>Vuosikate!N268-'6. Poistot'!N268</f>
        <v>781.39813830715138</v>
      </c>
      <c r="O268" s="41">
        <f>Vuosikate!O268-'6. Poistot'!O268</f>
        <v>2371.0304833399714</v>
      </c>
      <c r="P268" s="41">
        <f>Vuosikate!P268-'6. Poistot'!P268</f>
        <v>10301.752045819681</v>
      </c>
      <c r="T268" s="34">
        <v>837</v>
      </c>
      <c r="U268" s="88" t="s">
        <v>582</v>
      </c>
      <c r="V268" s="41" t="e">
        <f>C268/'1. Väestöennuste'!E268*1000</f>
        <v>#REF!</v>
      </c>
      <c r="W268" s="41">
        <f>D268/'1. Väestöennuste'!F268*1000</f>
        <v>-81.165616758807403</v>
      </c>
      <c r="X268" s="41">
        <f>E268/'1. Väestöennuste'!G268*1000</f>
        <v>-80.913337330118651</v>
      </c>
      <c r="Y268" s="41">
        <f>F268/'1. Väestöennuste'!H268*1000</f>
        <v>-256.42431739635009</v>
      </c>
      <c r="Z268" s="41">
        <f>G268/'1. Väestöennuste'!I268*1000</f>
        <v>-88.867892836146808</v>
      </c>
      <c r="AA268" s="41">
        <f>H268/'1. Väestöennuste'!J268*1000</f>
        <v>243.49902819126538</v>
      </c>
      <c r="AB268" s="41">
        <f>I268/'1. Väestöennuste'!K268*1000</f>
        <v>279.98448406958568</v>
      </c>
      <c r="AC268" s="41">
        <f>J268/'1. Väestöennuste'!L268*1000</f>
        <v>61.658993318384269</v>
      </c>
      <c r="AD268" s="41">
        <f>K268/'1. Väestöennuste'!M268*1000</f>
        <v>210.35747169578772</v>
      </c>
      <c r="AE268" s="41">
        <f>L268/'1. Väestöennuste'!N268*1000</f>
        <v>-10.755625705190555</v>
      </c>
      <c r="AF268" s="41">
        <f>M268/'1. Väestöennuste'!O268*1000</f>
        <v>-51.173127684431542</v>
      </c>
      <c r="AG268" s="41">
        <f>N268/'1. Väestöennuste'!P268*1000</f>
        <v>3.014757990467074</v>
      </c>
      <c r="AH268" s="41">
        <f>O268/'1. Väestöennuste'!Q268*1000</f>
        <v>9.0609051744707081</v>
      </c>
      <c r="AI268" s="41">
        <f>P268/'1. Väestöennuste'!R268*1000</f>
        <v>39.0126259962421</v>
      </c>
    </row>
    <row r="269" spans="1:35" x14ac:dyDescent="0.2">
      <c r="A269" s="34">
        <v>844</v>
      </c>
      <c r="B269" s="88" t="s">
        <v>583</v>
      </c>
      <c r="C269" s="41" t="e">
        <f>Vuosikate!C269-'6. Poistot'!C269</f>
        <v>#REF!</v>
      </c>
      <c r="D269" s="41">
        <f>Vuosikate!D269-'6. Poistot'!D269</f>
        <v>0</v>
      </c>
      <c r="E269" s="41">
        <f>Vuosikate!E269-'6. Poistot'!E269</f>
        <v>62</v>
      </c>
      <c r="F269" s="41">
        <f>Vuosikate!F269-'6. Poistot'!F269</f>
        <v>-271</v>
      </c>
      <c r="G269" s="41">
        <f>Vuosikate!G269-'6. Poistot'!G269</f>
        <v>-769</v>
      </c>
      <c r="H269" s="41">
        <f>Vuosikate!H269-'6. Poistot'!H269</f>
        <v>-69.816950103901036</v>
      </c>
      <c r="I269" s="41">
        <f>Vuosikate!I269-'6. Poistot'!I269</f>
        <v>67.396546673840589</v>
      </c>
      <c r="J269" s="41">
        <f>Vuosikate!J269-'6. Poistot'!J269</f>
        <v>14.247333514571551</v>
      </c>
      <c r="K269" s="41">
        <f>Vuosikate!K269-'6. Poistot'!K269</f>
        <v>-71.333677736010259</v>
      </c>
      <c r="L269" s="41">
        <f>Vuosikate!L269-'6. Poistot'!L269</f>
        <v>162.94310178804511</v>
      </c>
      <c r="M269" s="41">
        <f>Vuosikate!M269-'6. Poistot'!M269</f>
        <v>-142.37303149042589</v>
      </c>
      <c r="N269" s="41">
        <f>Vuosikate!N269-'6. Poistot'!N269</f>
        <v>62.733809187219094</v>
      </c>
      <c r="O269" s="41">
        <f>Vuosikate!O269-'6. Poistot'!O269</f>
        <v>214.94186399932414</v>
      </c>
      <c r="P269" s="41">
        <f>Vuosikate!P269-'6. Poistot'!P269</f>
        <v>387.83338129080084</v>
      </c>
      <c r="T269" s="34">
        <v>844</v>
      </c>
      <c r="U269" s="88" t="s">
        <v>583</v>
      </c>
      <c r="V269" s="41" t="e">
        <f>C269/'1. Väestöennuste'!E269*1000</f>
        <v>#REF!</v>
      </c>
      <c r="W269" s="41">
        <f>D269/'1. Väestöennuste'!F269*1000</f>
        <v>0</v>
      </c>
      <c r="X269" s="41">
        <f>E269/'1. Väestöennuste'!G269*1000</f>
        <v>39.116719242902207</v>
      </c>
      <c r="Y269" s="41">
        <f>F269/'1. Väestöennuste'!H269*1000</f>
        <v>-172.94192724952137</v>
      </c>
      <c r="Z269" s="41">
        <f>G269/'1. Väestöennuste'!I269*1000</f>
        <v>-505.92105263157896</v>
      </c>
      <c r="AA269" s="41">
        <f>H269/'1. Väestöennuste'!J269*1000</f>
        <v>-46.451729942715254</v>
      </c>
      <c r="AB269" s="41">
        <f>I269/'1. Väestöennuste'!K269*1000</f>
        <v>45.568997074942928</v>
      </c>
      <c r="AC269" s="41">
        <f>J269/'1. Väestöennuste'!L269*1000</f>
        <v>9.8871155548726932</v>
      </c>
      <c r="AD269" s="41">
        <f>K269/'1. Väestöennuste'!M269*1000</f>
        <v>-50.519601796041258</v>
      </c>
      <c r="AE269" s="41">
        <f>L269/'1. Väestöennuste'!N269*1000</f>
        <v>113.6283833947316</v>
      </c>
      <c r="AF269" s="41">
        <f>M269/'1. Väestöennuste'!O269*1000</f>
        <v>-100.12168177948375</v>
      </c>
      <c r="AG269" s="41">
        <f>N269/'1. Väestöennuste'!P269*1000</f>
        <v>44.429043333724572</v>
      </c>
      <c r="AH269" s="41">
        <f>O269/'1. Väestöennuste'!Q269*1000</f>
        <v>153.31088730336958</v>
      </c>
      <c r="AI269" s="41">
        <f>P269/'1. Väestöennuste'!R269*1000</f>
        <v>278.81623385391862</v>
      </c>
    </row>
    <row r="270" spans="1:35" x14ac:dyDescent="0.2">
      <c r="A270" s="34">
        <v>845</v>
      </c>
      <c r="B270" s="88" t="s">
        <v>584</v>
      </c>
      <c r="C270" s="41" t="e">
        <f>Vuosikate!C270-'6. Poistot'!C270</f>
        <v>#REF!</v>
      </c>
      <c r="D270" s="41">
        <f>Vuosikate!D270-'6. Poistot'!D270</f>
        <v>2042</v>
      </c>
      <c r="E270" s="41">
        <f>Vuosikate!E270-'6. Poistot'!E270</f>
        <v>665</v>
      </c>
      <c r="F270" s="41">
        <f>Vuosikate!F270-'6. Poistot'!F270</f>
        <v>260</v>
      </c>
      <c r="G270" s="41">
        <f>Vuosikate!G270-'6. Poistot'!G270</f>
        <v>-956</v>
      </c>
      <c r="H270" s="41">
        <f>Vuosikate!H270-'6. Poistot'!H270</f>
        <v>652.80715164606227</v>
      </c>
      <c r="I270" s="41">
        <f>Vuosikate!I270-'6. Poistot'!I270</f>
        <v>1734.6503412005989</v>
      </c>
      <c r="J270" s="41">
        <f>Vuosikate!J270-'6. Poistot'!J270</f>
        <v>1773.7839870812868</v>
      </c>
      <c r="K270" s="41">
        <f>Vuosikate!K270-'6. Poistot'!K270</f>
        <v>1990.5330509678031</v>
      </c>
      <c r="L270" s="41">
        <f>Vuosikate!L270-'6. Poistot'!L270</f>
        <v>83.145310678135274</v>
      </c>
      <c r="M270" s="41">
        <f>Vuosikate!M270-'6. Poistot'!M270</f>
        <v>2643.5288460230022</v>
      </c>
      <c r="N270" s="41">
        <f>Vuosikate!N270-'6. Poistot'!N270</f>
        <v>2429.6194637018243</v>
      </c>
      <c r="O270" s="41">
        <f>Vuosikate!O270-'6. Poistot'!O270</f>
        <v>2309.2889896584807</v>
      </c>
      <c r="P270" s="41">
        <f>Vuosikate!P270-'6. Poistot'!P270</f>
        <v>2562.471503159345</v>
      </c>
      <c r="T270" s="34">
        <v>845</v>
      </c>
      <c r="U270" s="88" t="s">
        <v>584</v>
      </c>
      <c r="V270" s="41" t="e">
        <f>C270/'1. Väestöennuste'!E270*1000</f>
        <v>#REF!</v>
      </c>
      <c r="W270" s="41">
        <f>D270/'1. Väestöennuste'!F270*1000</f>
        <v>658.92223297838018</v>
      </c>
      <c r="X270" s="41">
        <f>E270/'1. Väestöennuste'!G270*1000</f>
        <v>216.75358539765318</v>
      </c>
      <c r="Y270" s="41">
        <f>F270/'1. Väestöennuste'!H270*1000</f>
        <v>84.911822338340954</v>
      </c>
      <c r="Z270" s="41">
        <f>G270/'1. Väestöennuste'!I270*1000</f>
        <v>-318.56047984005329</v>
      </c>
      <c r="AA270" s="41">
        <f>H270/'1. Väestöennuste'!J270*1000</f>
        <v>223.18193218668793</v>
      </c>
      <c r="AB270" s="41">
        <f>I270/'1. Väestöennuste'!K270*1000</f>
        <v>601.8911662736291</v>
      </c>
      <c r="AC270" s="41">
        <f>J270/'1. Väestöennuste'!L270*1000</f>
        <v>619.55430914470378</v>
      </c>
      <c r="AD270" s="41">
        <f>K270/'1. Väestöennuste'!M270*1000</f>
        <v>703.12011690844338</v>
      </c>
      <c r="AE270" s="41">
        <f>L270/'1. Väestöennuste'!N270*1000</f>
        <v>30.590622030219013</v>
      </c>
      <c r="AF270" s="41">
        <f>M270/'1. Väestöennuste'!O270*1000</f>
        <v>987.86578700411144</v>
      </c>
      <c r="AG270" s="41">
        <f>N270/'1. Väestöennuste'!P270*1000</f>
        <v>921.35739996276993</v>
      </c>
      <c r="AH270" s="41">
        <f>O270/'1. Väestöennuste'!Q270*1000</f>
        <v>888.87182049980004</v>
      </c>
      <c r="AI270" s="41">
        <f>P270/'1. Väestöennuste'!R270*1000</f>
        <v>1000.5745814757303</v>
      </c>
    </row>
    <row r="271" spans="1:35" x14ac:dyDescent="0.2">
      <c r="A271" s="34">
        <v>846</v>
      </c>
      <c r="B271" s="88" t="s">
        <v>585</v>
      </c>
      <c r="C271" s="41" t="e">
        <f>Vuosikate!C271-'6. Poistot'!C271</f>
        <v>#REF!</v>
      </c>
      <c r="D271" s="41">
        <f>Vuosikate!D271-'6. Poistot'!D271</f>
        <v>-1988</v>
      </c>
      <c r="E271" s="41">
        <f>Vuosikate!E271-'6. Poistot'!E271</f>
        <v>740</v>
      </c>
      <c r="F271" s="41">
        <f>Vuosikate!F271-'6. Poistot'!F271</f>
        <v>6</v>
      </c>
      <c r="G271" s="41">
        <f>Vuosikate!G271-'6. Poistot'!G271</f>
        <v>593</v>
      </c>
      <c r="H271" s="41">
        <f>Vuosikate!H271-'6. Poistot'!H271</f>
        <v>3202.6035700283683</v>
      </c>
      <c r="I271" s="41">
        <f>Vuosikate!I271-'6. Poistot'!I271</f>
        <v>1877.1078736527872</v>
      </c>
      <c r="J271" s="41">
        <f>Vuosikate!J271-'6. Poistot'!J271</f>
        <v>2992.5624703077633</v>
      </c>
      <c r="K271" s="41">
        <f>Vuosikate!K271-'6. Poistot'!K271</f>
        <v>4211.2104908322508</v>
      </c>
      <c r="L271" s="41">
        <f>Vuosikate!L271-'6. Poistot'!L271</f>
        <v>2737.8579940463906</v>
      </c>
      <c r="M271" s="41">
        <f>Vuosikate!M271-'6. Poistot'!M271</f>
        <v>1555.0543767216677</v>
      </c>
      <c r="N271" s="41">
        <f>Vuosikate!N271-'6. Poistot'!N271</f>
        <v>1612.112650570024</v>
      </c>
      <c r="O271" s="41">
        <f>Vuosikate!O271-'6. Poistot'!O271</f>
        <v>1154.1899368254224</v>
      </c>
      <c r="P271" s="41">
        <f>Vuosikate!P271-'6. Poistot'!P271</f>
        <v>1645.4527335599989</v>
      </c>
      <c r="T271" s="34">
        <v>846</v>
      </c>
      <c r="U271" s="88" t="s">
        <v>585</v>
      </c>
      <c r="V271" s="41" t="e">
        <f>C271/'1. Väestöennuste'!E271*1000</f>
        <v>#REF!</v>
      </c>
      <c r="W271" s="41">
        <f>D271/'1. Väestöennuste'!F271*1000</f>
        <v>-370.68804773447692</v>
      </c>
      <c r="X271" s="41">
        <f>E271/'1. Väestöennuste'!G271*1000</f>
        <v>140.44410704118428</v>
      </c>
      <c r="Y271" s="41">
        <f>F271/'1. Väestöennuste'!H271*1000</f>
        <v>1.1632415664986429</v>
      </c>
      <c r="Z271" s="41">
        <f>G271/'1. Väestöennuste'!I271*1000</f>
        <v>116.82427107959023</v>
      </c>
      <c r="AA271" s="41">
        <f>H271/'1. Väestöennuste'!J271*1000</f>
        <v>641.29026232045817</v>
      </c>
      <c r="AB271" s="41">
        <f>I271/'1. Väestöennuste'!K271*1000</f>
        <v>379.06055606881813</v>
      </c>
      <c r="AC271" s="41">
        <f>J271/'1. Väestöennuste'!L271*1000</f>
        <v>615.50030240801379</v>
      </c>
      <c r="AD271" s="41">
        <f>K271/'1. Väestöennuste'!M271*1000</f>
        <v>885.07996864906488</v>
      </c>
      <c r="AE271" s="41">
        <f>L271/'1. Väestöennuste'!N271*1000</f>
        <v>591.07469646942798</v>
      </c>
      <c r="AF271" s="41">
        <f>M271/'1. Väestöennuste'!O271*1000</f>
        <v>341.46999928012031</v>
      </c>
      <c r="AG271" s="41">
        <f>N271/'1. Väestöennuste'!P271*1000</f>
        <v>359.9269146171074</v>
      </c>
      <c r="AH271" s="41">
        <f>O271/'1. Väestöennuste'!Q271*1000</f>
        <v>261.89923685623381</v>
      </c>
      <c r="AI271" s="41">
        <f>P271/'1. Väestöennuste'!R271*1000</f>
        <v>379.66145213659411</v>
      </c>
    </row>
    <row r="272" spans="1:35" x14ac:dyDescent="0.2">
      <c r="A272" s="34">
        <v>848</v>
      </c>
      <c r="B272" s="88" t="s">
        <v>586</v>
      </c>
      <c r="C272" s="41" t="e">
        <f>Vuosikate!C272-'6. Poistot'!C272</f>
        <v>#REF!</v>
      </c>
      <c r="D272" s="41">
        <f>Vuosikate!D272-'6. Poistot'!D272</f>
        <v>522</v>
      </c>
      <c r="E272" s="41">
        <f>Vuosikate!E272-'6. Poistot'!E272</f>
        <v>-199</v>
      </c>
      <c r="F272" s="41">
        <f>Vuosikate!F272-'6. Poistot'!F272</f>
        <v>-473</v>
      </c>
      <c r="G272" s="41">
        <f>Vuosikate!G272-'6. Poistot'!G272</f>
        <v>-677</v>
      </c>
      <c r="H272" s="41">
        <f>Vuosikate!H272-'6. Poistot'!H272</f>
        <v>139.69043307284301</v>
      </c>
      <c r="I272" s="41">
        <f>Vuosikate!I272-'6. Poistot'!I272</f>
        <v>-346.7669751616113</v>
      </c>
      <c r="J272" s="41">
        <f>Vuosikate!J272-'6. Poistot'!J272</f>
        <v>-79.104045765614046</v>
      </c>
      <c r="K272" s="41">
        <f>Vuosikate!K272-'6. Poistot'!K272</f>
        <v>440.73856748720345</v>
      </c>
      <c r="L272" s="41">
        <f>Vuosikate!L272-'6. Poistot'!L272</f>
        <v>-335.90593265040934</v>
      </c>
      <c r="M272" s="41">
        <f>Vuosikate!M272-'6. Poistot'!M272</f>
        <v>-1968.5727915831649</v>
      </c>
      <c r="N272" s="41">
        <f>Vuosikate!N272-'6. Poistot'!N272</f>
        <v>-2391.7868549726254</v>
      </c>
      <c r="O272" s="41">
        <f>Vuosikate!O272-'6. Poistot'!O272</f>
        <v>-2803.2919770062344</v>
      </c>
      <c r="P272" s="41">
        <f>Vuosikate!P272-'6. Poistot'!P272</f>
        <v>-2531.3511122751024</v>
      </c>
      <c r="T272" s="34">
        <v>848</v>
      </c>
      <c r="U272" s="88" t="s">
        <v>586</v>
      </c>
      <c r="V272" s="41" t="e">
        <f>C272/'1. Väestöennuste'!E272*1000</f>
        <v>#REF!</v>
      </c>
      <c r="W272" s="41">
        <f>D272/'1. Väestöennuste'!F272*1000</f>
        <v>112.18568665377177</v>
      </c>
      <c r="X272" s="41">
        <f>E272/'1. Väestöennuste'!G272*1000</f>
        <v>-43.535331437322249</v>
      </c>
      <c r="Y272" s="41">
        <f>F272/'1. Väestöennuste'!H272*1000</f>
        <v>-105.53324408746096</v>
      </c>
      <c r="Z272" s="41">
        <f>G272/'1. Väestöennuste'!I272*1000</f>
        <v>-155.23962393946343</v>
      </c>
      <c r="AA272" s="41">
        <f>H272/'1. Väestöennuste'!J272*1000</f>
        <v>32.433348751530772</v>
      </c>
      <c r="AB272" s="41">
        <f>I272/'1. Väestöennuste'!K272*1000</f>
        <v>-81.76537966555324</v>
      </c>
      <c r="AC272" s="41">
        <f>J272/'1. Väestöennuste'!L272*1000</f>
        <v>-19.015395616734146</v>
      </c>
      <c r="AD272" s="41">
        <f>K272/'1. Väestöennuste'!M272*1000</f>
        <v>108.39610612080753</v>
      </c>
      <c r="AE272" s="41">
        <f>L272/'1. Väestöennuste'!N272*1000</f>
        <v>-84.018492408806736</v>
      </c>
      <c r="AF272" s="41">
        <f>M272/'1. Väestöennuste'!O272*1000</f>
        <v>-499.76460817038964</v>
      </c>
      <c r="AG272" s="41">
        <f>N272/'1. Väestöennuste'!P272*1000</f>
        <v>-615.96365052089243</v>
      </c>
      <c r="AH272" s="41">
        <f>O272/'1. Väestöennuste'!Q272*1000</f>
        <v>-732.12117445971126</v>
      </c>
      <c r="AI272" s="41">
        <f>P272/'1. Väestöennuste'!R272*1000</f>
        <v>-670.20151238419442</v>
      </c>
    </row>
    <row r="273" spans="1:35" x14ac:dyDescent="0.2">
      <c r="A273" s="34">
        <v>849</v>
      </c>
      <c r="B273" s="88" t="s">
        <v>587</v>
      </c>
      <c r="C273" s="41" t="e">
        <f>Vuosikate!C273-'6. Poistot'!C273</f>
        <v>#REF!</v>
      </c>
      <c r="D273" s="41">
        <f>Vuosikate!D273-'6. Poistot'!D273</f>
        <v>-608</v>
      </c>
      <c r="E273" s="41">
        <f>Vuosikate!E273-'6. Poistot'!E273</f>
        <v>686</v>
      </c>
      <c r="F273" s="41">
        <f>Vuosikate!F273-'6. Poistot'!F273</f>
        <v>-343</v>
      </c>
      <c r="G273" s="41">
        <f>Vuosikate!G273-'6. Poistot'!G273</f>
        <v>-751</v>
      </c>
      <c r="H273" s="41">
        <f>Vuosikate!H273-'6. Poistot'!H273</f>
        <v>1350.5654346872125</v>
      </c>
      <c r="I273" s="41">
        <f>Vuosikate!I273-'6. Poistot'!I273</f>
        <v>1591.6028441048566</v>
      </c>
      <c r="J273" s="41">
        <f>Vuosikate!J273-'6. Poistot'!J273</f>
        <v>885.10535840052535</v>
      </c>
      <c r="K273" s="41">
        <f>Vuosikate!K273-'6. Poistot'!K273</f>
        <v>-114.76302246351997</v>
      </c>
      <c r="L273" s="41">
        <f>Vuosikate!L273-'6. Poistot'!L273</f>
        <v>-61.502072783502513</v>
      </c>
      <c r="M273" s="41">
        <f>Vuosikate!M273-'6. Poistot'!M273</f>
        <v>-260.75350096396551</v>
      </c>
      <c r="N273" s="41">
        <f>Vuosikate!N273-'6. Poistot'!N273</f>
        <v>-691.92018138151752</v>
      </c>
      <c r="O273" s="41">
        <f>Vuosikate!O273-'6. Poistot'!O273</f>
        <v>-1081.9910585120583</v>
      </c>
      <c r="P273" s="41">
        <f>Vuosikate!P273-'6. Poistot'!P273</f>
        <v>-815.78575697951214</v>
      </c>
      <c r="T273" s="34">
        <v>849</v>
      </c>
      <c r="U273" s="88" t="s">
        <v>587</v>
      </c>
      <c r="V273" s="41" t="e">
        <f>C273/'1. Väestöennuste'!E273*1000</f>
        <v>#REF!</v>
      </c>
      <c r="W273" s="41">
        <f>D273/'1. Väestöennuste'!F273*1000</f>
        <v>-188.11881188118812</v>
      </c>
      <c r="X273" s="41">
        <f>E273/'1. Väestöennuste'!G273*1000</f>
        <v>214.91228070175438</v>
      </c>
      <c r="Y273" s="41">
        <f>F273/'1. Väestöennuste'!H273*1000</f>
        <v>-110.21850899742931</v>
      </c>
      <c r="Z273" s="41">
        <f>G273/'1. Väestöennuste'!I273*1000</f>
        <v>-247.60962743158586</v>
      </c>
      <c r="AA273" s="41">
        <f>H273/'1. Väestöennuste'!J273*1000</f>
        <v>455.34910137802177</v>
      </c>
      <c r="AB273" s="41">
        <f>I273/'1. Väestöennuste'!K273*1000</f>
        <v>541.73003543391985</v>
      </c>
      <c r="AC273" s="41">
        <f>J273/'1. Väestöennuste'!L273*1000</f>
        <v>304.89333737531018</v>
      </c>
      <c r="AD273" s="41">
        <f>K273/'1. Väestöennuste'!M273*1000</f>
        <v>-40.281861166556681</v>
      </c>
      <c r="AE273" s="41">
        <f>L273/'1. Väestöennuste'!N273*1000</f>
        <v>-22.786985099482219</v>
      </c>
      <c r="AF273" s="41">
        <f>M273/'1. Väestöennuste'!O273*1000</f>
        <v>-98.882632144090067</v>
      </c>
      <c r="AG273" s="41">
        <f>N273/'1. Väestöennuste'!P273*1000</f>
        <v>-268.29010522742055</v>
      </c>
      <c r="AH273" s="41">
        <f>O273/'1. Väestöennuste'!Q273*1000</f>
        <v>-428.68108498892957</v>
      </c>
      <c r="AI273" s="41">
        <f>P273/'1. Väestöennuste'!R273*1000</f>
        <v>-330.14397287718015</v>
      </c>
    </row>
    <row r="274" spans="1:35" x14ac:dyDescent="0.2">
      <c r="A274" s="34">
        <v>850</v>
      </c>
      <c r="B274" s="88" t="s">
        <v>588</v>
      </c>
      <c r="C274" s="41" t="e">
        <f>Vuosikate!C274-'6. Poistot'!C274</f>
        <v>#REF!</v>
      </c>
      <c r="D274" s="41">
        <f>Vuosikate!D274-'6. Poistot'!D274</f>
        <v>72</v>
      </c>
      <c r="E274" s="41">
        <f>Vuosikate!E274-'6. Poistot'!E274</f>
        <v>65</v>
      </c>
      <c r="F274" s="41">
        <f>Vuosikate!F274-'6. Poistot'!F274</f>
        <v>-1478</v>
      </c>
      <c r="G274" s="41">
        <f>Vuosikate!G274-'6. Poistot'!G274</f>
        <v>-4026</v>
      </c>
      <c r="H274" s="41">
        <f>Vuosikate!H274-'6. Poistot'!H274</f>
        <v>1519.8344974315996</v>
      </c>
      <c r="I274" s="41">
        <f>Vuosikate!I274-'6. Poistot'!I274</f>
        <v>117.41960292755959</v>
      </c>
      <c r="J274" s="41">
        <f>Vuosikate!J274-'6. Poistot'!J274</f>
        <v>280.83166718850566</v>
      </c>
      <c r="K274" s="41">
        <f>Vuosikate!K274-'6. Poistot'!K274</f>
        <v>2696.263506324929</v>
      </c>
      <c r="L274" s="41">
        <f>Vuosikate!L274-'6. Poistot'!L274</f>
        <v>988.1101631891944</v>
      </c>
      <c r="M274" s="41">
        <f>Vuosikate!M274-'6. Poistot'!M274</f>
        <v>-909.93975584012048</v>
      </c>
      <c r="N274" s="41">
        <f>Vuosikate!N274-'6. Poistot'!N274</f>
        <v>-926.81906527087324</v>
      </c>
      <c r="O274" s="41">
        <f>Vuosikate!O274-'6. Poistot'!O274</f>
        <v>-1159.7808098670091</v>
      </c>
      <c r="P274" s="41">
        <f>Vuosikate!P274-'6. Poistot'!P274</f>
        <v>-1250.8283546965913</v>
      </c>
      <c r="T274" s="34">
        <v>850</v>
      </c>
      <c r="U274" s="88" t="s">
        <v>588</v>
      </c>
      <c r="V274" s="41" t="e">
        <f>C274/'1. Väestöennuste'!E274*1000</f>
        <v>#REF!</v>
      </c>
      <c r="W274" s="41">
        <f>D274/'1. Väestöennuste'!F274*1000</f>
        <v>29.605263157894736</v>
      </c>
      <c r="X274" s="41">
        <f>E274/'1. Väestöennuste'!G274*1000</f>
        <v>27.265100671140939</v>
      </c>
      <c r="Y274" s="41">
        <f>F274/'1. Väestöennuste'!H274*1000</f>
        <v>-614.29758935993345</v>
      </c>
      <c r="Z274" s="41">
        <f>G274/'1. Väestöennuste'!I274*1000</f>
        <v>-1685.929648241206</v>
      </c>
      <c r="AA274" s="41">
        <f>H274/'1. Väestöennuste'!J274*1000</f>
        <v>633.00062366997065</v>
      </c>
      <c r="AB274" s="41">
        <f>I274/'1. Väestöennuste'!K274*1000</f>
        <v>49.191287359681439</v>
      </c>
      <c r="AC274" s="41">
        <f>J274/'1. Väestöennuste'!L274*1000</f>
        <v>116.67289870731436</v>
      </c>
      <c r="AD274" s="41">
        <f>K274/'1. Väestöennuste'!M274*1000</f>
        <v>1138.6247915223516</v>
      </c>
      <c r="AE274" s="41">
        <f>L274/'1. Väestöennuste'!N274*1000</f>
        <v>413.43521472351227</v>
      </c>
      <c r="AF274" s="41">
        <f>M274/'1. Väestöennuste'!O274*1000</f>
        <v>-381.84630962657172</v>
      </c>
      <c r="AG274" s="41">
        <f>N274/'1. Väestöennuste'!P274*1000</f>
        <v>-389.91126010554194</v>
      </c>
      <c r="AH274" s="41">
        <f>O274/'1. Väestöennuste'!Q274*1000</f>
        <v>-489.77230146410852</v>
      </c>
      <c r="AI274" s="41">
        <f>P274/'1. Väestöennuste'!R274*1000</f>
        <v>-531.13730560364809</v>
      </c>
    </row>
    <row r="275" spans="1:35" x14ac:dyDescent="0.2">
      <c r="A275" s="34">
        <v>851</v>
      </c>
      <c r="B275" s="88" t="s">
        <v>589</v>
      </c>
      <c r="C275" s="41" t="e">
        <f>Vuosikate!C275-'6. Poistot'!C275</f>
        <v>#REF!</v>
      </c>
      <c r="D275" s="41">
        <f>Vuosikate!D275-'6. Poistot'!D275</f>
        <v>741</v>
      </c>
      <c r="E275" s="41">
        <f>Vuosikate!E275-'6. Poistot'!E275</f>
        <v>1833</v>
      </c>
      <c r="F275" s="41">
        <f>Vuosikate!F275-'6. Poistot'!F275</f>
        <v>-1014</v>
      </c>
      <c r="G275" s="41">
        <f>Vuosikate!G275-'6. Poistot'!G275</f>
        <v>-5820</v>
      </c>
      <c r="H275" s="41">
        <f>Vuosikate!H275-'6. Poistot'!H275</f>
        <v>6655.7295411138984</v>
      </c>
      <c r="I275" s="41">
        <f>Vuosikate!I275-'6. Poistot'!I275</f>
        <v>-1470.8813446319282</v>
      </c>
      <c r="J275" s="41">
        <f>Vuosikate!J275-'6. Poistot'!J275</f>
        <v>92.870476335202511</v>
      </c>
      <c r="K275" s="41">
        <f>Vuosikate!K275-'6. Poistot'!K275</f>
        <v>8347.1010270067527</v>
      </c>
      <c r="L275" s="41">
        <f>Vuosikate!L275-'6. Poistot'!L275</f>
        <v>-1881.454287722856</v>
      </c>
      <c r="M275" s="41">
        <f>Vuosikate!M275-'6. Poistot'!M275</f>
        <v>-883.8638122561988</v>
      </c>
      <c r="N275" s="41">
        <f>Vuosikate!N275-'6. Poistot'!N275</f>
        <v>-2111.3336048640213</v>
      </c>
      <c r="O275" s="41">
        <f>Vuosikate!O275-'6. Poistot'!O275</f>
        <v>-1674.2842036491738</v>
      </c>
      <c r="P275" s="41">
        <f>Vuosikate!P275-'6. Poistot'!P275</f>
        <v>318.10498423897752</v>
      </c>
      <c r="T275" s="34">
        <v>851</v>
      </c>
      <c r="U275" s="88" t="s">
        <v>589</v>
      </c>
      <c r="V275" s="41" t="e">
        <f>C275/'1. Väestöennuste'!E275*1000</f>
        <v>#REF!</v>
      </c>
      <c r="W275" s="41">
        <f>D275/'1. Väestöennuste'!F275*1000</f>
        <v>33.50363973414116</v>
      </c>
      <c r="X275" s="41">
        <f>E275/'1. Väestöennuste'!G275*1000</f>
        <v>83.591754834002188</v>
      </c>
      <c r="Y275" s="41">
        <f>F275/'1. Väestöennuste'!H275*1000</f>
        <v>-46.354285714285716</v>
      </c>
      <c r="Z275" s="41">
        <f>G275/'1. Väestöennuste'!I275*1000</f>
        <v>-269.41949819461161</v>
      </c>
      <c r="AA275" s="41">
        <f>H275/'1. Väestöennuste'!J275*1000</f>
        <v>310.04469842613776</v>
      </c>
      <c r="AB275" s="41">
        <f>I275/'1. Väestöennuste'!K275*1000</f>
        <v>-68.948640352127143</v>
      </c>
      <c r="AC275" s="41">
        <f>J275/'1. Väestöennuste'!L275*1000</f>
        <v>4.375110770961629</v>
      </c>
      <c r="AD275" s="41">
        <f>K275/'1. Väestöennuste'!M275*1000</f>
        <v>397.14059506169724</v>
      </c>
      <c r="AE275" s="41">
        <f>L275/'1. Väestöennuste'!N275*1000</f>
        <v>-90.073453069841818</v>
      </c>
      <c r="AF275" s="41">
        <f>M275/'1. Väestöennuste'!O275*1000</f>
        <v>-42.599952393300498</v>
      </c>
      <c r="AG275" s="41">
        <f>N275/'1. Väestöennuste'!P275*1000</f>
        <v>-102.43225329245203</v>
      </c>
      <c r="AH275" s="41">
        <f>O275/'1. Väestöennuste'!Q275*1000</f>
        <v>-81.768128718947736</v>
      </c>
      <c r="AI275" s="41">
        <f>P275/'1. Väestöennuste'!R275*1000</f>
        <v>15.639379756095257</v>
      </c>
    </row>
    <row r="276" spans="1:35" x14ac:dyDescent="0.2">
      <c r="A276" s="34">
        <v>853</v>
      </c>
      <c r="B276" s="88" t="s">
        <v>590</v>
      </c>
      <c r="C276" s="41" t="e">
        <f>Vuosikate!C276-'6. Poistot'!C276</f>
        <v>#REF!</v>
      </c>
      <c r="D276" s="41">
        <f>Vuosikate!D276-'6. Poistot'!D276</f>
        <v>9751</v>
      </c>
      <c r="E276" s="41">
        <f>Vuosikate!E276-'6. Poistot'!E276</f>
        <v>-16552</v>
      </c>
      <c r="F276" s="41">
        <f>Vuosikate!F276-'6. Poistot'!F276</f>
        <v>-49806</v>
      </c>
      <c r="G276" s="41">
        <f>Vuosikate!G276-'6. Poistot'!G276</f>
        <v>-46002</v>
      </c>
      <c r="H276" s="41">
        <f>Vuosikate!H276-'6. Poistot'!H276</f>
        <v>3593.9933122218936</v>
      </c>
      <c r="I276" s="41">
        <f>Vuosikate!I276-'6. Poistot'!I276</f>
        <v>32813.624887035236</v>
      </c>
      <c r="J276" s="41">
        <f>Vuosikate!J276-'6. Poistot'!J276</f>
        <v>12802.086659332024</v>
      </c>
      <c r="K276" s="41">
        <f>Vuosikate!K276-'6. Poistot'!K276</f>
        <v>29747.519020684384</v>
      </c>
      <c r="L276" s="41">
        <f>Vuosikate!L276-'6. Poistot'!L276</f>
        <v>-22403.657388112151</v>
      </c>
      <c r="M276" s="41">
        <f>Vuosikate!M276-'6. Poistot'!M276</f>
        <v>-85044.504161865814</v>
      </c>
      <c r="N276" s="41">
        <f>Vuosikate!N276-'6. Poistot'!N276</f>
        <v>-94654.020359173053</v>
      </c>
      <c r="O276" s="41">
        <f>Vuosikate!O276-'6. Poistot'!O276</f>
        <v>-97147.004835120868</v>
      </c>
      <c r="P276" s="41">
        <f>Vuosikate!P276-'6. Poistot'!P276</f>
        <v>-92903.64132059009</v>
      </c>
      <c r="T276" s="34">
        <v>853</v>
      </c>
      <c r="U276" s="88" t="s">
        <v>590</v>
      </c>
      <c r="V276" s="41" t="e">
        <f>C276/'1. Väestöennuste'!E276*1000</f>
        <v>#REF!</v>
      </c>
      <c r="W276" s="41">
        <f>D276/'1. Väestöennuste'!F276*1000</f>
        <v>51.976503699281466</v>
      </c>
      <c r="X276" s="41">
        <f>E276/'1. Väestöennuste'!G276*1000</f>
        <v>-87.267819200818266</v>
      </c>
      <c r="Y276" s="41">
        <f>F276/'1. Väestöennuste'!H276*1000</f>
        <v>-260.31327908180066</v>
      </c>
      <c r="Z276" s="41">
        <f>G276/'1. Väestöennuste'!I276*1000</f>
        <v>-238.39927032265422</v>
      </c>
      <c r="AA276" s="41">
        <f>H276/'1. Väestöennuste'!J276*1000</f>
        <v>18.488475866793696</v>
      </c>
      <c r="AB276" s="41">
        <f>I276/'1. Väestöennuste'!K276*1000</f>
        <v>168.15685844834775</v>
      </c>
      <c r="AC276" s="41">
        <f>J276/'1. Väestöennuste'!L276*1000</f>
        <v>64.689674882930902</v>
      </c>
      <c r="AD276" s="41">
        <f>K276/'1. Väestöennuste'!M276*1000</f>
        <v>147.36489114243017</v>
      </c>
      <c r="AE276" s="41">
        <f>L276/'1. Väestöennuste'!N276*1000</f>
        <v>-112.00764621417041</v>
      </c>
      <c r="AF276" s="41">
        <f>M276/'1. Väestöennuste'!O276*1000</f>
        <v>-422.59398621507131</v>
      </c>
      <c r="AG276" s="41">
        <f>N276/'1. Väestöennuste'!P276*1000</f>
        <v>-467.56579904748594</v>
      </c>
      <c r="AH276" s="41">
        <f>O276/'1. Väestöennuste'!Q276*1000</f>
        <v>-477.13467171788938</v>
      </c>
      <c r="AI276" s="41">
        <f>P276/'1. Väestöennuste'!R276*1000</f>
        <v>-453.75735102342981</v>
      </c>
    </row>
    <row r="277" spans="1:35" x14ac:dyDescent="0.2">
      <c r="A277" s="34">
        <v>854</v>
      </c>
      <c r="B277" s="88" t="s">
        <v>591</v>
      </c>
      <c r="C277" s="41" t="e">
        <f>Vuosikate!C277-'6. Poistot'!C277</f>
        <v>#REF!</v>
      </c>
      <c r="D277" s="41">
        <f>Vuosikate!D277-'6. Poistot'!D277</f>
        <v>-463</v>
      </c>
      <c r="E277" s="41">
        <f>Vuosikate!E277-'6. Poistot'!E277</f>
        <v>-1892</v>
      </c>
      <c r="F277" s="41">
        <f>Vuosikate!F277-'6. Poistot'!F277</f>
        <v>-574</v>
      </c>
      <c r="G277" s="41">
        <f>Vuosikate!G277-'6. Poistot'!G277</f>
        <v>-2062</v>
      </c>
      <c r="H277" s="41">
        <f>Vuosikate!H277-'6. Poistot'!H277</f>
        <v>978.49060588521752</v>
      </c>
      <c r="I277" s="41">
        <f>Vuosikate!I277-'6. Poistot'!I277</f>
        <v>741.72266733209904</v>
      </c>
      <c r="J277" s="41">
        <f>Vuosikate!J277-'6. Poistot'!J277</f>
        <v>709.23085289178039</v>
      </c>
      <c r="K277" s="41">
        <f>Vuosikate!K277-'6. Poistot'!K277</f>
        <v>951.85969268562644</v>
      </c>
      <c r="L277" s="41">
        <f>Vuosikate!L277-'6. Poistot'!L277</f>
        <v>-267.70001102826632</v>
      </c>
      <c r="M277" s="41">
        <f>Vuosikate!M277-'6. Poistot'!M277</f>
        <v>-1325.802173884513</v>
      </c>
      <c r="N277" s="41">
        <f>Vuosikate!N277-'6. Poistot'!N277</f>
        <v>-1490.0715933212261</v>
      </c>
      <c r="O277" s="41">
        <f>Vuosikate!O277-'6. Poistot'!O277</f>
        <v>-1508.8027813045155</v>
      </c>
      <c r="P277" s="41">
        <f>Vuosikate!P277-'6. Poistot'!P277</f>
        <v>-1151.4471699608825</v>
      </c>
      <c r="T277" s="34">
        <v>854</v>
      </c>
      <c r="U277" s="88" t="s">
        <v>591</v>
      </c>
      <c r="V277" s="41" t="e">
        <f>C277/'1. Väestöennuste'!E277*1000</f>
        <v>#REF!</v>
      </c>
      <c r="W277" s="41">
        <f>D277/'1. Väestöennuste'!F277*1000</f>
        <v>-129.87377279102387</v>
      </c>
      <c r="X277" s="41">
        <f>E277/'1. Väestöennuste'!G277*1000</f>
        <v>-539.03133903133903</v>
      </c>
      <c r="Y277" s="41">
        <f>F277/'1. Väestöennuste'!H277*1000</f>
        <v>-166.95753344968003</v>
      </c>
      <c r="Z277" s="41">
        <f>G277/'1. Väestöennuste'!I277*1000</f>
        <v>-611.32522976578718</v>
      </c>
      <c r="AA277" s="41">
        <f>H277/'1. Väestöennuste'!J277*1000</f>
        <v>296.15333107906099</v>
      </c>
      <c r="AB277" s="41">
        <f>I277/'1. Väestöennuste'!K277*1000</f>
        <v>225.03721703036985</v>
      </c>
      <c r="AC277" s="41">
        <f>J277/'1. Väestöennuste'!L277*1000</f>
        <v>217.42208856277756</v>
      </c>
      <c r="AD277" s="41">
        <f>K277/'1. Väestöennuste'!M277*1000</f>
        <v>292.60980408411513</v>
      </c>
      <c r="AE277" s="41">
        <f>L277/'1. Väestöennuste'!N277*1000</f>
        <v>-87.369455296431568</v>
      </c>
      <c r="AF277" s="41">
        <f>M277/'1. Väestöennuste'!O277*1000</f>
        <v>-439.8812786610859</v>
      </c>
      <c r="AG277" s="41">
        <f>N277/'1. Väestöennuste'!P277*1000</f>
        <v>-502.04568508127568</v>
      </c>
      <c r="AH277" s="41">
        <f>O277/'1. Väestöennuste'!Q277*1000</f>
        <v>-516.18295631355306</v>
      </c>
      <c r="AI277" s="41">
        <f>P277/'1. Väestöennuste'!R277*1000</f>
        <v>-399.66927107285062</v>
      </c>
    </row>
    <row r="278" spans="1:35" x14ac:dyDescent="0.2">
      <c r="A278" s="34">
        <v>857</v>
      </c>
      <c r="B278" s="88" t="s">
        <v>592</v>
      </c>
      <c r="C278" s="41" t="e">
        <f>Vuosikate!C278-'6. Poistot'!C278</f>
        <v>#REF!</v>
      </c>
      <c r="D278" s="41">
        <f>Vuosikate!D278-'6. Poistot'!D278</f>
        <v>-7</v>
      </c>
      <c r="E278" s="41">
        <f>Vuosikate!E278-'6. Poistot'!E278</f>
        <v>230</v>
      </c>
      <c r="F278" s="41">
        <f>Vuosikate!F278-'6. Poistot'!F278</f>
        <v>-1135</v>
      </c>
      <c r="G278" s="41">
        <f>Vuosikate!G278-'6. Poistot'!G278</f>
        <v>-1243</v>
      </c>
      <c r="H278" s="41">
        <f>Vuosikate!H278-'6. Poistot'!H278</f>
        <v>-351.7836593734246</v>
      </c>
      <c r="I278" s="41">
        <f>Vuosikate!I278-'6. Poistot'!I278</f>
        <v>-482.91517486592113</v>
      </c>
      <c r="J278" s="41">
        <f>Vuosikate!J278-'6. Poistot'!J278</f>
        <v>-233.09009801858406</v>
      </c>
      <c r="K278" s="41">
        <f>Vuosikate!K278-'6. Poistot'!K278</f>
        <v>-1075.6672371431769</v>
      </c>
      <c r="L278" s="41">
        <f>Vuosikate!L278-'6. Poistot'!L278</f>
        <v>-1294.2706569133516</v>
      </c>
      <c r="M278" s="41">
        <f>Vuosikate!M278-'6. Poistot'!M278</f>
        <v>-1493.565960566003</v>
      </c>
      <c r="N278" s="41">
        <f>Vuosikate!N278-'6. Poistot'!N278</f>
        <v>-1653.556571485457</v>
      </c>
      <c r="O278" s="41">
        <f>Vuosikate!O278-'6. Poistot'!O278</f>
        <v>-1673.3339602428325</v>
      </c>
      <c r="P278" s="41">
        <f>Vuosikate!P278-'6. Poistot'!P278</f>
        <v>-1481.1312741222841</v>
      </c>
      <c r="T278" s="34">
        <v>857</v>
      </c>
      <c r="U278" s="88" t="s">
        <v>592</v>
      </c>
      <c r="V278" s="41" t="e">
        <f>C278/'1. Väestöennuste'!E278*1000</f>
        <v>#REF!</v>
      </c>
      <c r="W278" s="41">
        <f>D278/'1. Väestöennuste'!F278*1000</f>
        <v>-2.6485054861899355</v>
      </c>
      <c r="X278" s="41">
        <f>E278/'1. Väestöennuste'!G278*1000</f>
        <v>88.563727377743547</v>
      </c>
      <c r="Y278" s="41">
        <f>F278/'1. Väestöennuste'!H278*1000</f>
        <v>-444.9235593884751</v>
      </c>
      <c r="Z278" s="41">
        <f>G278/'1. Väestöennuste'!I278*1000</f>
        <v>-501.81671376665315</v>
      </c>
      <c r="AA278" s="41">
        <f>H278/'1. Väestöennuste'!J278*1000</f>
        <v>-144.58843377452718</v>
      </c>
      <c r="AB278" s="41">
        <f>I278/'1. Väestöennuste'!K278*1000</f>
        <v>-199.55172515120708</v>
      </c>
      <c r="AC278" s="41">
        <f>J278/'1. Väestöennuste'!L278*1000</f>
        <v>-97.364284886626592</v>
      </c>
      <c r="AD278" s="41">
        <f>K278/'1. Väestöennuste'!M278*1000</f>
        <v>-465.0528478785892</v>
      </c>
      <c r="AE278" s="41">
        <f>L278/'1. Väestöennuste'!N278*1000</f>
        <v>-576.76945495247401</v>
      </c>
      <c r="AF278" s="41">
        <f>M278/'1. Väestöennuste'!O278*1000</f>
        <v>-676.74035367739145</v>
      </c>
      <c r="AG278" s="41">
        <f>N278/'1. Väestöennuste'!P278*1000</f>
        <v>-760.60559865936386</v>
      </c>
      <c r="AH278" s="41">
        <f>O278/'1. Väestöennuste'!Q278*1000</f>
        <v>-781.20166211149979</v>
      </c>
      <c r="AI278" s="41">
        <f>P278/'1. Väestöennuste'!R278*1000</f>
        <v>-700.96132234845447</v>
      </c>
    </row>
    <row r="279" spans="1:35" x14ac:dyDescent="0.2">
      <c r="A279" s="34">
        <v>858</v>
      </c>
      <c r="B279" s="88" t="s">
        <v>593</v>
      </c>
      <c r="C279" s="41" t="e">
        <f>Vuosikate!C279-'6. Poistot'!C279</f>
        <v>#REF!</v>
      </c>
      <c r="D279" s="41">
        <f>Vuosikate!D279-'6. Poistot'!D279</f>
        <v>2751</v>
      </c>
      <c r="E279" s="41">
        <f>Vuosikate!E279-'6. Poistot'!E279</f>
        <v>5849</v>
      </c>
      <c r="F279" s="41">
        <f>Vuosikate!F279-'6. Poistot'!F279</f>
        <v>-1740</v>
      </c>
      <c r="G279" s="41">
        <f>Vuosikate!G279-'6. Poistot'!G279</f>
        <v>-19930</v>
      </c>
      <c r="H279" s="41">
        <f>Vuosikate!H279-'6. Poistot'!H279</f>
        <v>4898.7305339624727</v>
      </c>
      <c r="I279" s="41">
        <f>Vuosikate!I279-'6. Poistot'!I279</f>
        <v>10712.47347781725</v>
      </c>
      <c r="J279" s="41">
        <f>Vuosikate!J279-'6. Poistot'!J279</f>
        <v>6419.2458784319424</v>
      </c>
      <c r="K279" s="41">
        <f>Vuosikate!K279-'6. Poistot'!K279</f>
        <v>13808.137725006909</v>
      </c>
      <c r="L279" s="41">
        <f>Vuosikate!L279-'6. Poistot'!L279</f>
        <v>4251.7230567060724</v>
      </c>
      <c r="M279" s="41">
        <f>Vuosikate!M279-'6. Poistot'!M279</f>
        <v>-2666.2925940575624</v>
      </c>
      <c r="N279" s="41">
        <f>Vuosikate!N279-'6. Poistot'!N279</f>
        <v>-6633.1464200226874</v>
      </c>
      <c r="O279" s="41">
        <f>Vuosikate!O279-'6. Poistot'!O279</f>
        <v>-7650.0006537484696</v>
      </c>
      <c r="P279" s="41">
        <f>Vuosikate!P279-'6. Poistot'!P279</f>
        <v>-7379.1077550203445</v>
      </c>
      <c r="T279" s="34">
        <v>858</v>
      </c>
      <c r="U279" s="88" t="s">
        <v>593</v>
      </c>
      <c r="V279" s="41" t="e">
        <f>C279/'1. Väestöennuste'!E279*1000</f>
        <v>#REF!</v>
      </c>
      <c r="W279" s="41">
        <f>D279/'1. Väestöennuste'!F279*1000</f>
        <v>71.291593241422206</v>
      </c>
      <c r="X279" s="41">
        <f>E279/'1. Väestöennuste'!G279*1000</f>
        <v>151.34813434766858</v>
      </c>
      <c r="Y279" s="41">
        <f>F279/'1. Väestöennuste'!H279*1000</f>
        <v>-45.003103662321543</v>
      </c>
      <c r="Z279" s="41">
        <f>G279/'1. Väestöennuste'!I279*1000</f>
        <v>-516.33462006787749</v>
      </c>
      <c r="AA279" s="41">
        <f>H279/'1. Väestöennuste'!J279*1000</f>
        <v>126.31128416993201</v>
      </c>
      <c r="AB279" s="41">
        <f>I279/'1. Väestöennuste'!K279*1000</f>
        <v>269.71331582197615</v>
      </c>
      <c r="AC279" s="41">
        <f>J279/'1. Väestöennuste'!L279*1000</f>
        <v>158.95517725911111</v>
      </c>
      <c r="AD279" s="41">
        <f>K279/'1. Väestöennuste'!M279*1000</f>
        <v>334.03013510588102</v>
      </c>
      <c r="AE279" s="41">
        <f>L279/'1. Väestöennuste'!N279*1000</f>
        <v>108.31587539057072</v>
      </c>
      <c r="AF279" s="41">
        <f>M279/'1. Väestöennuste'!O279*1000</f>
        <v>-67.742894739641812</v>
      </c>
      <c r="AG279" s="41">
        <f>N279/'1. Väestöennuste'!P279*1000</f>
        <v>-168.07668617820062</v>
      </c>
      <c r="AH279" s="41">
        <f>O279/'1. Väestöennuste'!Q279*1000</f>
        <v>-193.32829552055776</v>
      </c>
      <c r="AI279" s="41">
        <f>P279/'1. Väestöennuste'!R279*1000</f>
        <v>-186.03105316947372</v>
      </c>
    </row>
    <row r="280" spans="1:35" x14ac:dyDescent="0.2">
      <c r="A280" s="34">
        <v>859</v>
      </c>
      <c r="B280" s="88" t="s">
        <v>594</v>
      </c>
      <c r="C280" s="41" t="e">
        <f>Vuosikate!C280-'6. Poistot'!C280</f>
        <v>#REF!</v>
      </c>
      <c r="D280" s="41">
        <f>Vuosikate!D280-'6. Poistot'!D280</f>
        <v>-623</v>
      </c>
      <c r="E280" s="41">
        <f>Vuosikate!E280-'6. Poistot'!E280</f>
        <v>-282</v>
      </c>
      <c r="F280" s="41">
        <f>Vuosikate!F280-'6. Poistot'!F280</f>
        <v>-2314</v>
      </c>
      <c r="G280" s="41">
        <f>Vuosikate!G280-'6. Poistot'!G280</f>
        <v>-83</v>
      </c>
      <c r="H280" s="41">
        <f>Vuosikate!H280-'6. Poistot'!H280</f>
        <v>1204.8760832433727</v>
      </c>
      <c r="I280" s="41">
        <f>Vuosikate!I280-'6. Poistot'!I280</f>
        <v>174.52392993851208</v>
      </c>
      <c r="J280" s="41">
        <f>Vuosikate!J280-'6. Poistot'!J280</f>
        <v>197.50736001670566</v>
      </c>
      <c r="K280" s="41">
        <f>Vuosikate!K280-'6. Poistot'!K280</f>
        <v>642.28499897498932</v>
      </c>
      <c r="L280" s="41">
        <f>Vuosikate!L280-'6. Poistot'!L280</f>
        <v>-414.92834073873519</v>
      </c>
      <c r="M280" s="41">
        <f>Vuosikate!M280-'6. Poistot'!M280</f>
        <v>-1757.4527978638016</v>
      </c>
      <c r="N280" s="41">
        <f>Vuosikate!N280-'6. Poistot'!N280</f>
        <v>-1919.0390278313025</v>
      </c>
      <c r="O280" s="41">
        <f>Vuosikate!O280-'6. Poistot'!O280</f>
        <v>-1941.3899884828425</v>
      </c>
      <c r="P280" s="41">
        <f>Vuosikate!P280-'6. Poistot'!P280</f>
        <v>-1629.6637699626715</v>
      </c>
      <c r="T280" s="34">
        <v>859</v>
      </c>
      <c r="U280" s="88" t="s">
        <v>594</v>
      </c>
      <c r="V280" s="41" t="e">
        <f>C280/'1. Väestöennuste'!E280*1000</f>
        <v>#REF!</v>
      </c>
      <c r="W280" s="41">
        <f>D280/'1. Väestöennuste'!F280*1000</f>
        <v>-92.296296296296291</v>
      </c>
      <c r="X280" s="41">
        <f>E280/'1. Väestöennuste'!G280*1000</f>
        <v>-41.901931649331353</v>
      </c>
      <c r="Y280" s="41">
        <f>F280/'1. Väestöennuste'!H280*1000</f>
        <v>-342.40899674459899</v>
      </c>
      <c r="Z280" s="41">
        <f>G280/'1. Väestöennuste'!I280*1000</f>
        <v>-12.505650143136959</v>
      </c>
      <c r="AA280" s="41">
        <f>H280/'1. Väestöennuste'!J280*1000</f>
        <v>182.47403956434542</v>
      </c>
      <c r="AB280" s="41">
        <f>I280/'1. Väestöennuste'!K280*1000</f>
        <v>26.471095091538313</v>
      </c>
      <c r="AC280" s="41">
        <f>J280/'1. Väestöennuste'!L280*1000</f>
        <v>30.098652852286751</v>
      </c>
      <c r="AD280" s="41">
        <f>K280/'1. Väestöennuste'!M280*1000</f>
        <v>98.434482601530931</v>
      </c>
      <c r="AE280" s="41">
        <f>L280/'1. Väestöennuste'!N280*1000</f>
        <v>-64.101396684494858</v>
      </c>
      <c r="AF280" s="41">
        <f>M280/'1. Väestöennuste'!O280*1000</f>
        <v>-273.32080837695207</v>
      </c>
      <c r="AG280" s="41">
        <f>N280/'1. Väestöennuste'!P280*1000</f>
        <v>-300.64844553208565</v>
      </c>
      <c r="AH280" s="41">
        <f>O280/'1. Väestöennuste'!Q280*1000</f>
        <v>-306.35789624157212</v>
      </c>
      <c r="AI280" s="41">
        <f>P280/'1. Väestöennuste'!R280*1000</f>
        <v>-259.17044687701519</v>
      </c>
    </row>
    <row r="281" spans="1:35" x14ac:dyDescent="0.2">
      <c r="A281" s="34">
        <v>886</v>
      </c>
      <c r="B281" s="88" t="s">
        <v>595</v>
      </c>
      <c r="C281" s="41" t="e">
        <f>Vuosikate!C281-'6. Poistot'!C281</f>
        <v>#REF!</v>
      </c>
      <c r="D281" s="41">
        <f>Vuosikate!D281-'6. Poistot'!D281</f>
        <v>-1612</v>
      </c>
      <c r="E281" s="41">
        <f>Vuosikate!E281-'6. Poistot'!E281</f>
        <v>-480</v>
      </c>
      <c r="F281" s="41">
        <f>Vuosikate!F281-'6. Poistot'!F281</f>
        <v>-299</v>
      </c>
      <c r="G281" s="41">
        <f>Vuosikate!G281-'6. Poistot'!G281</f>
        <v>-294</v>
      </c>
      <c r="H281" s="41">
        <f>Vuosikate!H281-'6. Poistot'!H281</f>
        <v>4186.7310143490431</v>
      </c>
      <c r="I281" s="41">
        <f>Vuosikate!I281-'6. Poistot'!I281</f>
        <v>716.18718686781403</v>
      </c>
      <c r="J281" s="41">
        <f>Vuosikate!J281-'6. Poistot'!J281</f>
        <v>591.67383461259806</v>
      </c>
      <c r="K281" s="41">
        <f>Vuosikate!K281-'6. Poistot'!K281</f>
        <v>4925.3829241203312</v>
      </c>
      <c r="L281" s="41">
        <f>Vuosikate!L281-'6. Poistot'!L281</f>
        <v>-820.33082003608069</v>
      </c>
      <c r="M281" s="41">
        <f>Vuosikate!M281-'6. Poistot'!M281</f>
        <v>212.22990717921402</v>
      </c>
      <c r="N281" s="41">
        <f>Vuosikate!N281-'6. Poistot'!N281</f>
        <v>774.09745079343929</v>
      </c>
      <c r="O281" s="41">
        <f>Vuosikate!O281-'6. Poistot'!O281</f>
        <v>870.96392579826443</v>
      </c>
      <c r="P281" s="41">
        <f>Vuosikate!P281-'6. Poistot'!P281</f>
        <v>2163.844158016243</v>
      </c>
      <c r="T281" s="34">
        <v>886</v>
      </c>
      <c r="U281" s="88" t="s">
        <v>595</v>
      </c>
      <c r="V281" s="41" t="e">
        <f>C281/'1. Väestöennuste'!E281*1000</f>
        <v>#REF!</v>
      </c>
      <c r="W281" s="41">
        <f>D281/'1. Väestöennuste'!F281*1000</f>
        <v>-121.09375</v>
      </c>
      <c r="X281" s="41">
        <f>E281/'1. Väestöennuste'!G281*1000</f>
        <v>-36.261992898693059</v>
      </c>
      <c r="Y281" s="41">
        <f>F281/'1. Väestöennuste'!H281*1000</f>
        <v>-22.962906074802241</v>
      </c>
      <c r="Z281" s="41">
        <f>G281/'1. Väestöennuste'!I281*1000</f>
        <v>-22.842048014917257</v>
      </c>
      <c r="AA281" s="41">
        <f>H281/'1. Väestöennuste'!J281*1000</f>
        <v>328.75783387114592</v>
      </c>
      <c r="AB281" s="41">
        <f>I281/'1. Väestöennuste'!K281*1000</f>
        <v>56.530680153746474</v>
      </c>
      <c r="AC281" s="41">
        <f>J281/'1. Väestöennuste'!L281*1000</f>
        <v>46.961967982585762</v>
      </c>
      <c r="AD281" s="41">
        <f>K281/'1. Väestöennuste'!M281*1000</f>
        <v>392.99313206098554</v>
      </c>
      <c r="AE281" s="41">
        <f>L281/'1. Väestöennuste'!N281*1000</f>
        <v>-66.780431458489147</v>
      </c>
      <c r="AF281" s="41">
        <f>M281/'1. Väestöennuste'!O281*1000</f>
        <v>17.443076122233421</v>
      </c>
      <c r="AG281" s="41">
        <f>N281/'1. Väestöennuste'!P281*1000</f>
        <v>64.251116433718408</v>
      </c>
      <c r="AH281" s="41">
        <f>O281/'1. Väestöennuste'!Q281*1000</f>
        <v>73.024559889181219</v>
      </c>
      <c r="AI281" s="41">
        <f>P281/'1. Väestöennuste'!R281*1000</f>
        <v>183.36108448574214</v>
      </c>
    </row>
    <row r="282" spans="1:35" x14ac:dyDescent="0.2">
      <c r="A282" s="34">
        <v>887</v>
      </c>
      <c r="B282" s="88" t="s">
        <v>596</v>
      </c>
      <c r="C282" s="41" t="e">
        <f>Vuosikate!C282-'6. Poistot'!C282</f>
        <v>#REF!</v>
      </c>
      <c r="D282" s="41">
        <f>Vuosikate!D282-'6. Poistot'!D282</f>
        <v>555</v>
      </c>
      <c r="E282" s="41">
        <f>Vuosikate!E282-'6. Poistot'!E282</f>
        <v>-1140</v>
      </c>
      <c r="F282" s="41">
        <f>Vuosikate!F282-'6. Poistot'!F282</f>
        <v>710</v>
      </c>
      <c r="G282" s="41">
        <f>Vuosikate!G282-'6. Poistot'!G282</f>
        <v>-1075</v>
      </c>
      <c r="H282" s="41">
        <f>Vuosikate!H282-'6. Poistot'!H282</f>
        <v>68.189857919753194</v>
      </c>
      <c r="I282" s="41">
        <f>Vuosikate!I282-'6. Poistot'!I282</f>
        <v>357.80339387688605</v>
      </c>
      <c r="J282" s="41">
        <f>Vuosikate!J282-'6. Poistot'!J282</f>
        <v>-704.20065106745631</v>
      </c>
      <c r="K282" s="41">
        <f>Vuosikate!K282-'6. Poistot'!K282</f>
        <v>-335.64086429003964</v>
      </c>
      <c r="L282" s="41">
        <f>Vuosikate!L282-'6. Poistot'!L282</f>
        <v>-67.190217020877526</v>
      </c>
      <c r="M282" s="41">
        <f>Vuosikate!M282-'6. Poistot'!M282</f>
        <v>-982.56870038321654</v>
      </c>
      <c r="N282" s="41">
        <f>Vuosikate!N282-'6. Poistot'!N282</f>
        <v>-937.06900595152661</v>
      </c>
      <c r="O282" s="41">
        <f>Vuosikate!O282-'6. Poistot'!O282</f>
        <v>-1028.5774911884421</v>
      </c>
      <c r="P282" s="41">
        <f>Vuosikate!P282-'6. Poistot'!P282</f>
        <v>-648.96181949171967</v>
      </c>
      <c r="T282" s="34">
        <v>887</v>
      </c>
      <c r="U282" s="88" t="s">
        <v>596</v>
      </c>
      <c r="V282" s="41" t="e">
        <f>C282/'1. Väestöennuste'!E282*1000</f>
        <v>#REF!</v>
      </c>
      <c r="W282" s="41">
        <f>D282/'1. Väestöennuste'!F282*1000</f>
        <v>114.24454508027995</v>
      </c>
      <c r="X282" s="41">
        <f>E282/'1. Väestöennuste'!G282*1000</f>
        <v>-236.07372126734313</v>
      </c>
      <c r="Y282" s="41">
        <f>F282/'1. Väestöennuste'!H282*1000</f>
        <v>148.16360601001668</v>
      </c>
      <c r="Z282" s="41">
        <f>G282/'1. Väestöennuste'!I282*1000</f>
        <v>-229.30887372013652</v>
      </c>
      <c r="AA282" s="41">
        <f>H282/'1. Väestöennuste'!J282*1000</f>
        <v>14.683431937931351</v>
      </c>
      <c r="AB282" s="41">
        <f>I282/'1. Väestöennuste'!K282*1000</f>
        <v>76.633838911305631</v>
      </c>
      <c r="AC282" s="41">
        <f>J282/'1. Väestöennuste'!L282*1000</f>
        <v>-154.12577173724148</v>
      </c>
      <c r="AD282" s="41">
        <f>K282/'1. Väestöennuste'!M282*1000</f>
        <v>-73.476546473301156</v>
      </c>
      <c r="AE282" s="41">
        <f>L282/'1. Väestöennuste'!N282*1000</f>
        <v>-15.139751469327969</v>
      </c>
      <c r="AF282" s="41">
        <f>M282/'1. Väestöennuste'!O282*1000</f>
        <v>-223.81974951781697</v>
      </c>
      <c r="AG282" s="41">
        <f>N282/'1. Väestöennuste'!P282*1000</f>
        <v>-215.61643026956435</v>
      </c>
      <c r="AH282" s="41">
        <f>O282/'1. Väestöennuste'!Q282*1000</f>
        <v>-238.87075968147749</v>
      </c>
      <c r="AI282" s="41">
        <f>P282/'1. Väestöennuste'!R282*1000</f>
        <v>-152.12419584897319</v>
      </c>
    </row>
    <row r="283" spans="1:35" x14ac:dyDescent="0.2">
      <c r="A283" s="34">
        <v>889</v>
      </c>
      <c r="B283" s="88" t="s">
        <v>597</v>
      </c>
      <c r="C283" s="41" t="e">
        <f>Vuosikate!C283-'6. Poistot'!C283</f>
        <v>#REF!</v>
      </c>
      <c r="D283" s="41">
        <f>Vuosikate!D283-'6. Poistot'!D283</f>
        <v>745</v>
      </c>
      <c r="E283" s="41">
        <f>Vuosikate!E283-'6. Poistot'!E283</f>
        <v>1227</v>
      </c>
      <c r="F283" s="41">
        <f>Vuosikate!F283-'6. Poistot'!F283</f>
        <v>514</v>
      </c>
      <c r="G283" s="41">
        <f>Vuosikate!G283-'6. Poistot'!G283</f>
        <v>168</v>
      </c>
      <c r="H283" s="41">
        <f>Vuosikate!H283-'6. Poistot'!H283</f>
        <v>733.19891300875679</v>
      </c>
      <c r="I283" s="41">
        <f>Vuosikate!I283-'6. Poistot'!I283</f>
        <v>1065.141045927634</v>
      </c>
      <c r="J283" s="41">
        <f>Vuosikate!J283-'6. Poistot'!J283</f>
        <v>1469.9669887324196</v>
      </c>
      <c r="K283" s="41">
        <f>Vuosikate!K283-'6. Poistot'!K283</f>
        <v>935.21826780518472</v>
      </c>
      <c r="L283" s="41">
        <f>Vuosikate!L283-'6. Poistot'!L283</f>
        <v>-211.64280656054973</v>
      </c>
      <c r="M283" s="41">
        <f>Vuosikate!M283-'6. Poistot'!M283</f>
        <v>-603.49296691302766</v>
      </c>
      <c r="N283" s="41">
        <f>Vuosikate!N283-'6. Poistot'!N283</f>
        <v>-937.22449591499367</v>
      </c>
      <c r="O283" s="41">
        <f>Vuosikate!O283-'6. Poistot'!O283</f>
        <v>-1176.874185923273</v>
      </c>
      <c r="P283" s="41">
        <f>Vuosikate!P283-'6. Poistot'!P283</f>
        <v>-997.76755747847278</v>
      </c>
      <c r="T283" s="34">
        <v>889</v>
      </c>
      <c r="U283" s="88" t="s">
        <v>597</v>
      </c>
      <c r="V283" s="41" t="e">
        <f>C283/'1. Väestöennuste'!E283*1000</f>
        <v>#REF!</v>
      </c>
      <c r="W283" s="41">
        <f>D283/'1. Väestöennuste'!F283*1000</f>
        <v>263.81019830028328</v>
      </c>
      <c r="X283" s="41">
        <f>E283/'1. Väestöennuste'!G283*1000</f>
        <v>443.28034682080926</v>
      </c>
      <c r="Y283" s="41">
        <f>F283/'1. Väestöennuste'!H283*1000</f>
        <v>190.22945965951146</v>
      </c>
      <c r="Z283" s="41">
        <f>G283/'1. Väestöennuste'!I283*1000</f>
        <v>62.780269058295964</v>
      </c>
      <c r="AA283" s="41">
        <f>H283/'1. Väestöennuste'!J283*1000</f>
        <v>279.95376594454251</v>
      </c>
      <c r="AB283" s="41">
        <f>I283/'1. Väestöennuste'!K283*1000</f>
        <v>414.77455059487306</v>
      </c>
      <c r="AC283" s="41">
        <f>J283/'1. Väestöennuste'!L283*1000</f>
        <v>582.62663049243747</v>
      </c>
      <c r="AD283" s="41">
        <f>K283/'1. Väestöennuste'!M283*1000</f>
        <v>375.43888711569042</v>
      </c>
      <c r="AE283" s="41">
        <f>L283/'1. Väestöennuste'!N283*1000</f>
        <v>-86.988412067632439</v>
      </c>
      <c r="AF283" s="41">
        <f>M283/'1. Väestöennuste'!O283*1000</f>
        <v>-251.77011552483424</v>
      </c>
      <c r="AG283" s="41">
        <f>N283/'1. Väestöennuste'!P283*1000</f>
        <v>-396.6248395746905</v>
      </c>
      <c r="AH283" s="41">
        <f>O283/'1. Väestöennuste'!Q283*1000</f>
        <v>-504.66302998425084</v>
      </c>
      <c r="AI283" s="41">
        <f>P283/'1. Väestöennuste'!R283*1000</f>
        <v>-433.05883571114265</v>
      </c>
    </row>
    <row r="284" spans="1:35" x14ac:dyDescent="0.2">
      <c r="A284" s="34">
        <v>890</v>
      </c>
      <c r="B284" s="88" t="s">
        <v>598</v>
      </c>
      <c r="C284" s="41" t="e">
        <f>Vuosikate!C284-'6. Poistot'!C284</f>
        <v>#REF!</v>
      </c>
      <c r="D284" s="41">
        <f>Vuosikate!D284-'6. Poistot'!D284</f>
        <v>684</v>
      </c>
      <c r="E284" s="41">
        <f>Vuosikate!E284-'6. Poistot'!E284</f>
        <v>1424</v>
      </c>
      <c r="F284" s="41">
        <f>Vuosikate!F284-'6. Poistot'!F284</f>
        <v>717</v>
      </c>
      <c r="G284" s="41">
        <f>Vuosikate!G284-'6. Poistot'!G284</f>
        <v>308</v>
      </c>
      <c r="H284" s="41">
        <f>Vuosikate!H284-'6. Poistot'!H284</f>
        <v>605.58085213091636</v>
      </c>
      <c r="I284" s="41">
        <f>Vuosikate!I284-'6. Poistot'!I284</f>
        <v>-623.23510295055098</v>
      </c>
      <c r="J284" s="41">
        <f>Vuosikate!J284-'6. Poistot'!J284</f>
        <v>272.13094557347404</v>
      </c>
      <c r="K284" s="41">
        <f>Vuosikate!K284-'6. Poistot'!K284</f>
        <v>692.30195621522091</v>
      </c>
      <c r="L284" s="41">
        <f>Vuosikate!L284-'6. Poistot'!L284</f>
        <v>197.73211112512251</v>
      </c>
      <c r="M284" s="41">
        <f>Vuosikate!M284-'6. Poistot'!M284</f>
        <v>-261.66566127779879</v>
      </c>
      <c r="N284" s="41">
        <f>Vuosikate!N284-'6. Poistot'!N284</f>
        <v>-366.92915723013886</v>
      </c>
      <c r="O284" s="41">
        <f>Vuosikate!O284-'6. Poistot'!O284</f>
        <v>-473.00886751696567</v>
      </c>
      <c r="P284" s="41">
        <f>Vuosikate!P284-'6. Poistot'!P284</f>
        <v>-456.26268518123027</v>
      </c>
      <c r="T284" s="34">
        <v>890</v>
      </c>
      <c r="U284" s="88" t="s">
        <v>598</v>
      </c>
      <c r="V284" s="41" t="e">
        <f>C284/'1. Väestöennuste'!E284*1000</f>
        <v>#REF!</v>
      </c>
      <c r="W284" s="41">
        <f>D284/'1. Väestöennuste'!F284*1000</f>
        <v>551.1684125705076</v>
      </c>
      <c r="X284" s="41">
        <f>E284/'1. Väestöennuste'!G284*1000</f>
        <v>1146.5378421900161</v>
      </c>
      <c r="Y284" s="41">
        <f>F284/'1. Väestöennuste'!H284*1000</f>
        <v>581.98051948051943</v>
      </c>
      <c r="Z284" s="41">
        <f>G284/'1. Väestöennuste'!I284*1000</f>
        <v>254.12541254125415</v>
      </c>
      <c r="AA284" s="41">
        <f>H284/'1. Väestöennuste'!J284*1000</f>
        <v>496.78494842569023</v>
      </c>
      <c r="AB284" s="41">
        <f>I284/'1. Väestöennuste'!K284*1000</f>
        <v>-529.9618222368631</v>
      </c>
      <c r="AC284" s="41">
        <f>J284/'1. Väestöennuste'!L284*1000</f>
        <v>230.61944540124918</v>
      </c>
      <c r="AD284" s="41">
        <f>K284/'1. Väestöennuste'!M284*1000</f>
        <v>607.8155893022132</v>
      </c>
      <c r="AE284" s="41">
        <f>L284/'1. Väestöennuste'!N284*1000</f>
        <v>165.05184568040278</v>
      </c>
      <c r="AF284" s="41">
        <f>M284/'1. Väestöennuste'!O284*1000</f>
        <v>-218.96708056719564</v>
      </c>
      <c r="AG284" s="41">
        <f>N284/'1. Väestöennuste'!P284*1000</f>
        <v>-307.56844696574927</v>
      </c>
      <c r="AH284" s="41">
        <f>O284/'1. Väestöennuste'!Q284*1000</f>
        <v>-396.81951972899805</v>
      </c>
      <c r="AI284" s="41">
        <f>P284/'1. Väestöennuste'!R284*1000</f>
        <v>-382.77070904465626</v>
      </c>
    </row>
    <row r="285" spans="1:35" x14ac:dyDescent="0.2">
      <c r="A285" s="34">
        <v>892</v>
      </c>
      <c r="B285" s="88" t="s">
        <v>599</v>
      </c>
      <c r="C285" s="41" t="e">
        <f>Vuosikate!C285-'6. Poistot'!C285</f>
        <v>#REF!</v>
      </c>
      <c r="D285" s="41">
        <f>Vuosikate!D285-'6. Poistot'!D285</f>
        <v>227</v>
      </c>
      <c r="E285" s="41">
        <f>Vuosikate!E285-'6. Poistot'!E285</f>
        <v>145</v>
      </c>
      <c r="F285" s="41">
        <f>Vuosikate!F285-'6. Poistot'!F285</f>
        <v>-1647</v>
      </c>
      <c r="G285" s="41">
        <f>Vuosikate!G285-'6. Poistot'!G285</f>
        <v>-1336</v>
      </c>
      <c r="H285" s="41">
        <f>Vuosikate!H285-'6. Poistot'!H285</f>
        <v>512.38286684505874</v>
      </c>
      <c r="I285" s="41">
        <f>Vuosikate!I285-'6. Poistot'!I285</f>
        <v>926.9510644102802</v>
      </c>
      <c r="J285" s="41">
        <f>Vuosikate!J285-'6. Poistot'!J285</f>
        <v>-570.01372166188298</v>
      </c>
      <c r="K285" s="41">
        <f>Vuosikate!K285-'6. Poistot'!K285</f>
        <v>-535.75688162858853</v>
      </c>
      <c r="L285" s="41">
        <f>Vuosikate!L285-'6. Poistot'!L285</f>
        <v>-212.79549818438431</v>
      </c>
      <c r="M285" s="41">
        <f>Vuosikate!M285-'6. Poistot'!M285</f>
        <v>-1015.1793417744157</v>
      </c>
      <c r="N285" s="41">
        <f>Vuosikate!N285-'6. Poistot'!N285</f>
        <v>-1039.5023736011071</v>
      </c>
      <c r="O285" s="41">
        <f>Vuosikate!O285-'6. Poistot'!O285</f>
        <v>-1434.223875146298</v>
      </c>
      <c r="P285" s="41">
        <f>Vuosikate!P285-'6. Poistot'!P285</f>
        <v>-1427.7049189628565</v>
      </c>
      <c r="T285" s="34">
        <v>892</v>
      </c>
      <c r="U285" s="88" t="s">
        <v>599</v>
      </c>
      <c r="V285" s="41" t="e">
        <f>C285/'1. Väestöennuste'!E285*1000</f>
        <v>#REF!</v>
      </c>
      <c r="W285" s="41">
        <f>D285/'1. Väestöennuste'!F285*1000</f>
        <v>61.070755986010219</v>
      </c>
      <c r="X285" s="41">
        <f>E285/'1. Väestöennuste'!G285*1000</f>
        <v>38.697624766479855</v>
      </c>
      <c r="Y285" s="41">
        <f>F285/'1. Väestöennuste'!H285*1000</f>
        <v>-435.36875495638384</v>
      </c>
      <c r="Z285" s="41">
        <f>G285/'1. Väestöennuste'!I285*1000</f>
        <v>-362.94485194240696</v>
      </c>
      <c r="AA285" s="41">
        <f>H285/'1. Väestöennuste'!J285*1000</f>
        <v>140.53287626030138</v>
      </c>
      <c r="AB285" s="41">
        <f>I285/'1. Väestöennuste'!K285*1000</f>
        <v>255.07734298576779</v>
      </c>
      <c r="AC285" s="41">
        <f>J285/'1. Väestöennuste'!L285*1000</f>
        <v>-158.68978888137053</v>
      </c>
      <c r="AD285" s="41">
        <f>K285/'1. Väestöennuste'!M285*1000</f>
        <v>-148.20384000790833</v>
      </c>
      <c r="AE285" s="41">
        <f>L285/'1. Väestöennuste'!N285*1000</f>
        <v>-58.109092895790369</v>
      </c>
      <c r="AF285" s="41">
        <f>M285/'1. Väestöennuste'!O285*1000</f>
        <v>-277.75084590271291</v>
      </c>
      <c r="AG285" s="41">
        <f>N285/'1. Väestöennuste'!P285*1000</f>
        <v>-285.49914133510219</v>
      </c>
      <c r="AH285" s="41">
        <f>O285/'1. Väestöennuste'!Q285*1000</f>
        <v>-395.64796555759943</v>
      </c>
      <c r="AI285" s="41">
        <f>P285/'1. Väestöennuste'!R285*1000</f>
        <v>-396.14453911289024</v>
      </c>
    </row>
    <row r="286" spans="1:35" x14ac:dyDescent="0.2">
      <c r="A286" s="34">
        <v>893</v>
      </c>
      <c r="B286" s="88" t="s">
        <v>600</v>
      </c>
      <c r="C286" s="41" t="e">
        <f>Vuosikate!C286-'6. Poistot'!C286</f>
        <v>#REF!</v>
      </c>
      <c r="D286" s="41">
        <f>Vuosikate!D286-'6. Poistot'!D286</f>
        <v>-188</v>
      </c>
      <c r="E286" s="41">
        <f>Vuosikate!E286-'6. Poistot'!E286</f>
        <v>-1404</v>
      </c>
      <c r="F286" s="41">
        <f>Vuosikate!F286-'6. Poistot'!F286</f>
        <v>-2499</v>
      </c>
      <c r="G286" s="41">
        <f>Vuosikate!G286-'6. Poistot'!G286</f>
        <v>-1593</v>
      </c>
      <c r="H286" s="41">
        <f>Vuosikate!H286-'6. Poistot'!H286</f>
        <v>3315.6993740443577</v>
      </c>
      <c r="I286" s="41">
        <f>Vuosikate!I286-'6. Poistot'!I286</f>
        <v>2006.6312212427738</v>
      </c>
      <c r="J286" s="41">
        <f>Vuosikate!J286-'6. Poistot'!J286</f>
        <v>3396.7202317941201</v>
      </c>
      <c r="K286" s="41">
        <f>Vuosikate!K286-'6. Poistot'!K286</f>
        <v>3358.6534400365786</v>
      </c>
      <c r="L286" s="41">
        <f>Vuosikate!L286-'6. Poistot'!L286</f>
        <v>1857.2607018656117</v>
      </c>
      <c r="M286" s="41">
        <f>Vuosikate!M286-'6. Poistot'!M286</f>
        <v>2131.630525784256</v>
      </c>
      <c r="N286" s="41">
        <f>Vuosikate!N286-'6. Poistot'!N286</f>
        <v>2058.8566249829473</v>
      </c>
      <c r="O286" s="41">
        <f>Vuosikate!O286-'6. Poistot'!O286</f>
        <v>2330.5053398576774</v>
      </c>
      <c r="P286" s="41">
        <f>Vuosikate!P286-'6. Poistot'!P286</f>
        <v>2919.5565582523086</v>
      </c>
      <c r="T286" s="34">
        <v>893</v>
      </c>
      <c r="U286" s="88" t="s">
        <v>600</v>
      </c>
      <c r="V286" s="41" t="e">
        <f>C286/'1. Väestöennuste'!E286*1000</f>
        <v>#REF!</v>
      </c>
      <c r="W286" s="41">
        <f>D286/'1. Väestöennuste'!F286*1000</f>
        <v>-25.013304949441192</v>
      </c>
      <c r="X286" s="41">
        <f>E286/'1. Väestöennuste'!G286*1000</f>
        <v>-186.67730355005983</v>
      </c>
      <c r="Y286" s="41">
        <f>F286/'1. Väestöennuste'!H286*1000</f>
        <v>-335.21126760563379</v>
      </c>
      <c r="Z286" s="41">
        <f>G286/'1. Väestöennuste'!I286*1000</f>
        <v>-213.42443729903536</v>
      </c>
      <c r="AA286" s="41">
        <f>H286/'1. Väestöennuste'!J286*1000</f>
        <v>443.33458671538409</v>
      </c>
      <c r="AB286" s="41">
        <f>I286/'1. Väestöennuste'!K286*1000</f>
        <v>267.65789265609897</v>
      </c>
      <c r="AC286" s="41">
        <f>J286/'1. Väestöennuste'!L286*1000</f>
        <v>456.91689962256123</v>
      </c>
      <c r="AD286" s="41">
        <f>K286/'1. Väestöennuste'!M286*1000</f>
        <v>447.8204586715438</v>
      </c>
      <c r="AE286" s="41">
        <f>L286/'1. Väestöennuste'!N286*1000</f>
        <v>249.83329322916489</v>
      </c>
      <c r="AF286" s="41">
        <f>M286/'1. Väestöennuste'!O286*1000</f>
        <v>287.35919732869451</v>
      </c>
      <c r="AG286" s="41">
        <f>N286/'1. Väestöennuste'!P286*1000</f>
        <v>278.41198444664599</v>
      </c>
      <c r="AH286" s="41">
        <f>O286/'1. Väestöennuste'!Q286*1000</f>
        <v>316.21510717200505</v>
      </c>
      <c r="AI286" s="41">
        <f>P286/'1. Väestöennuste'!R286*1000</f>
        <v>397.86816002348166</v>
      </c>
    </row>
    <row r="287" spans="1:35" x14ac:dyDescent="0.2">
      <c r="A287" s="34">
        <v>895</v>
      </c>
      <c r="B287" s="88" t="s">
        <v>601</v>
      </c>
      <c r="C287" s="41" t="e">
        <f>Vuosikate!C287-'6. Poistot'!C287</f>
        <v>#REF!</v>
      </c>
      <c r="D287" s="41">
        <f>Vuosikate!D287-'6. Poistot'!D287</f>
        <v>3375</v>
      </c>
      <c r="E287" s="41">
        <f>Vuosikate!E287-'6. Poistot'!E287</f>
        <v>1476</v>
      </c>
      <c r="F287" s="41">
        <f>Vuosikate!F287-'6. Poistot'!F287</f>
        <v>580</v>
      </c>
      <c r="G287" s="41">
        <f>Vuosikate!G287-'6. Poistot'!G287</f>
        <v>-3009</v>
      </c>
      <c r="H287" s="41">
        <f>Vuosikate!H287-'6. Poistot'!H287</f>
        <v>5384.0341324629335</v>
      </c>
      <c r="I287" s="41">
        <f>Vuosikate!I287-'6. Poistot'!I287</f>
        <v>2016.4657314716951</v>
      </c>
      <c r="J287" s="41">
        <f>Vuosikate!J287-'6. Poistot'!J287</f>
        <v>-1248.4117156460325</v>
      </c>
      <c r="K287" s="41">
        <f>Vuosikate!K287-'6. Poistot'!K287</f>
        <v>4740.3394746748208</v>
      </c>
      <c r="L287" s="41">
        <f>Vuosikate!L287-'6. Poistot'!L287</f>
        <v>1877.5978607860598</v>
      </c>
      <c r="M287" s="41">
        <f>Vuosikate!M287-'6. Poistot'!M287</f>
        <v>-2292.6406698464798</v>
      </c>
      <c r="N287" s="41">
        <f>Vuosikate!N287-'6. Poistot'!N287</f>
        <v>-1258.4415390945487</v>
      </c>
      <c r="O287" s="41">
        <f>Vuosikate!O287-'6. Poistot'!O287</f>
        <v>-743.88248405149352</v>
      </c>
      <c r="P287" s="41">
        <f>Vuosikate!P287-'6. Poistot'!P287</f>
        <v>106.43932966115426</v>
      </c>
      <c r="T287" s="34">
        <v>895</v>
      </c>
      <c r="U287" s="88" t="s">
        <v>601</v>
      </c>
      <c r="V287" s="41" t="e">
        <f>C287/'1. Väestöennuste'!E287*1000</f>
        <v>#REF!</v>
      </c>
      <c r="W287" s="41">
        <f>D287/'1. Väestöennuste'!F287*1000</f>
        <v>219.09893534146974</v>
      </c>
      <c r="X287" s="41">
        <f>E287/'1. Väestöennuste'!G287*1000</f>
        <v>93.702386998476385</v>
      </c>
      <c r="Y287" s="41">
        <f>F287/'1. Väestöennuste'!H287*1000</f>
        <v>36.942675159235669</v>
      </c>
      <c r="Z287" s="41">
        <f>G287/'1. Väestöennuste'!I287*1000</f>
        <v>-193.85388480865868</v>
      </c>
      <c r="AA287" s="41">
        <f>H287/'1. Väestöennuste'!J287*1000</f>
        <v>350.11276709994365</v>
      </c>
      <c r="AB287" s="41">
        <f>I287/'1. Väestöennuste'!K287*1000</f>
        <v>130.40585471588275</v>
      </c>
      <c r="AC287" s="41">
        <f>J287/'1. Väestöennuste'!L287*1000</f>
        <v>-82.720097776705046</v>
      </c>
      <c r="AD287" s="41">
        <f>K287/'1. Väestöennuste'!M287*1000</f>
        <v>317.33428000233107</v>
      </c>
      <c r="AE287" s="41">
        <f>L287/'1. Väestöennuste'!N287*1000</f>
        <v>124.76562301721442</v>
      </c>
      <c r="AF287" s="41">
        <f>M287/'1. Väestöennuste'!O287*1000</f>
        <v>-153.2411382826335</v>
      </c>
      <c r="AG287" s="41">
        <f>N287/'1. Väestöennuste'!P287*1000</f>
        <v>-84.595424784521967</v>
      </c>
      <c r="AH287" s="41">
        <f>O287/'1. Väestöennuste'!Q287*1000</f>
        <v>-50.296313999424854</v>
      </c>
      <c r="AI287" s="41">
        <f>P287/'1. Väestöennuste'!R287*1000</f>
        <v>7.2368323131054018</v>
      </c>
    </row>
    <row r="288" spans="1:35" x14ac:dyDescent="0.2">
      <c r="A288" s="34">
        <v>905</v>
      </c>
      <c r="B288" s="88" t="s">
        <v>602</v>
      </c>
      <c r="C288" s="41" t="e">
        <f>Vuosikate!C288-'6. Poistot'!C288</f>
        <v>#REF!</v>
      </c>
      <c r="D288" s="41">
        <f>Vuosikate!D288-'6. Poistot'!D288</f>
        <v>-5150</v>
      </c>
      <c r="E288" s="41">
        <f>Vuosikate!E288-'6. Poistot'!E288</f>
        <v>-34</v>
      </c>
      <c r="F288" s="41">
        <f>Vuosikate!F288-'6. Poistot'!F288</f>
        <v>-9885</v>
      </c>
      <c r="G288" s="41">
        <f>Vuosikate!G288-'6. Poistot'!G288</f>
        <v>6519</v>
      </c>
      <c r="H288" s="41">
        <f>Vuosikate!H288-'6. Poistot'!H288</f>
        <v>31248.249795587966</v>
      </c>
      <c r="I288" s="41">
        <f>Vuosikate!I288-'6. Poistot'!I288</f>
        <v>16296.070863817418</v>
      </c>
      <c r="J288" s="41">
        <f>Vuosikate!J288-'6. Poistot'!J288</f>
        <v>8365.6836319947615</v>
      </c>
      <c r="K288" s="41">
        <f>Vuosikate!K288-'6. Poistot'!K288</f>
        <v>13810.460900634927</v>
      </c>
      <c r="L288" s="41">
        <f>Vuosikate!L288-'6. Poistot'!L288</f>
        <v>-3123.3013115928843</v>
      </c>
      <c r="M288" s="41">
        <f>Vuosikate!M288-'6. Poistot'!M288</f>
        <v>-16237.509609024914</v>
      </c>
      <c r="N288" s="41">
        <f>Vuosikate!N288-'6. Poistot'!N288</f>
        <v>-11639.442471491253</v>
      </c>
      <c r="O288" s="41">
        <f>Vuosikate!O288-'6. Poistot'!O288</f>
        <v>-10719.928250109737</v>
      </c>
      <c r="P288" s="41">
        <f>Vuosikate!P288-'6. Poistot'!P288</f>
        <v>-8563.0993177167766</v>
      </c>
      <c r="T288" s="34">
        <v>905</v>
      </c>
      <c r="U288" s="88" t="s">
        <v>602</v>
      </c>
      <c r="V288" s="41" t="e">
        <f>C288/'1. Väestöennuste'!E288*1000</f>
        <v>#REF!</v>
      </c>
      <c r="W288" s="41">
        <f>D288/'1. Väestöennuste'!F288*1000</f>
        <v>-76.160899142265606</v>
      </c>
      <c r="X288" s="41">
        <f>E288/'1. Väestöennuste'!G288*1000</f>
        <v>-0.50451092117758789</v>
      </c>
      <c r="Y288" s="41">
        <f>F288/'1. Väestöennuste'!H288*1000</f>
        <v>-146.33171482709616</v>
      </c>
      <c r="Z288" s="41">
        <f>G288/'1. Väestöennuste'!I288*1000</f>
        <v>96.383582707433916</v>
      </c>
      <c r="AA288" s="41">
        <f>H288/'1. Väestöennuste'!J288*1000</f>
        <v>462.5875234354483</v>
      </c>
      <c r="AB288" s="41">
        <f>I288/'1. Väestöennuste'!K288*1000</f>
        <v>241.01265789865295</v>
      </c>
      <c r="AC288" s="41">
        <f>J288/'1. Väestöennuste'!L288*1000</f>
        <v>123.04647337757784</v>
      </c>
      <c r="AD288" s="41">
        <f>K288/'1. Väestöennuste'!M288*1000</f>
        <v>200.279321605588</v>
      </c>
      <c r="AE288" s="41">
        <f>L288/'1. Väestöennuste'!N288*1000</f>
        <v>-46.150114685829514</v>
      </c>
      <c r="AF288" s="41">
        <f>M288/'1. Väestöennuste'!O288*1000</f>
        <v>-239.93364771370392</v>
      </c>
      <c r="AG288" s="41">
        <f>N288/'1. Väestöennuste'!P288*1000</f>
        <v>-171.97757788846414</v>
      </c>
      <c r="AH288" s="41">
        <f>O288/'1. Väestöennuste'!Q288*1000</f>
        <v>-158.36095682138091</v>
      </c>
      <c r="AI288" s="41">
        <f>P288/'1. Väestöennuste'!R288*1000</f>
        <v>-126.46914468854622</v>
      </c>
    </row>
    <row r="289" spans="1:35" x14ac:dyDescent="0.2">
      <c r="A289" s="34">
        <v>908</v>
      </c>
      <c r="B289" s="88" t="s">
        <v>603</v>
      </c>
      <c r="C289" s="41" t="e">
        <f>Vuosikate!C289-'6. Poistot'!C289</f>
        <v>#REF!</v>
      </c>
      <c r="D289" s="41">
        <f>Vuosikate!D289-'6. Poistot'!D289</f>
        <v>156</v>
      </c>
      <c r="E289" s="41">
        <f>Vuosikate!E289-'6. Poistot'!E289</f>
        <v>1112</v>
      </c>
      <c r="F289" s="41">
        <f>Vuosikate!F289-'6. Poistot'!F289</f>
        <v>-5667</v>
      </c>
      <c r="G289" s="41">
        <f>Vuosikate!G289-'6. Poistot'!G289</f>
        <v>-4207</v>
      </c>
      <c r="H289" s="41">
        <f>Vuosikate!H289-'6. Poistot'!H289</f>
        <v>5685.5541836416596</v>
      </c>
      <c r="I289" s="41">
        <f>Vuosikate!I289-'6. Poistot'!I289</f>
        <v>1100.4559240987437</v>
      </c>
      <c r="J289" s="41">
        <f>Vuosikate!J289-'6. Poistot'!J289</f>
        <v>-5793.1433285428684</v>
      </c>
      <c r="K289" s="41">
        <f>Vuosikate!K289-'6. Poistot'!K289</f>
        <v>-98.350730637457673</v>
      </c>
      <c r="L289" s="41">
        <f>Vuosikate!L289-'6. Poistot'!L289</f>
        <v>-1732.057935243176</v>
      </c>
      <c r="M289" s="41">
        <f>Vuosikate!M289-'6. Poistot'!M289</f>
        <v>-4349.630348754572</v>
      </c>
      <c r="N289" s="41">
        <f>Vuosikate!N289-'6. Poistot'!N289</f>
        <v>-3074.1731831055477</v>
      </c>
      <c r="O289" s="41">
        <f>Vuosikate!O289-'6. Poistot'!O289</f>
        <v>-2407.5296185972329</v>
      </c>
      <c r="P289" s="41">
        <f>Vuosikate!P289-'6. Poistot'!P289</f>
        <v>-865.73857463654531</v>
      </c>
      <c r="T289" s="34">
        <v>908</v>
      </c>
      <c r="U289" s="88" t="s">
        <v>603</v>
      </c>
      <c r="V289" s="41" t="e">
        <f>C289/'1. Väestöennuste'!E289*1000</f>
        <v>#REF!</v>
      </c>
      <c r="W289" s="41">
        <f>D289/'1. Väestöennuste'!F289*1000</f>
        <v>7.3081607795371495</v>
      </c>
      <c r="X289" s="41">
        <f>E289/'1. Väestöennuste'!G289*1000</f>
        <v>52.611657834973506</v>
      </c>
      <c r="Y289" s="41">
        <f>F289/'1. Väestöennuste'!H289*1000</f>
        <v>-268.10805696172588</v>
      </c>
      <c r="Z289" s="41">
        <f>G289/'1. Väestöennuste'!I289*1000</f>
        <v>-200.60080106809079</v>
      </c>
      <c r="AA289" s="41">
        <f>H289/'1. Väestöennuste'!J289*1000</f>
        <v>273.80468016574326</v>
      </c>
      <c r="AB289" s="41">
        <f>I289/'1. Väestöennuste'!K289*1000</f>
        <v>53.174966131855221</v>
      </c>
      <c r="AC289" s="41">
        <f>J289/'1. Väestöennuste'!L289*1000</f>
        <v>-279.82144271568706</v>
      </c>
      <c r="AD289" s="41">
        <f>K289/'1. Väestöennuste'!M289*1000</f>
        <v>-4.7526205971517186</v>
      </c>
      <c r="AE289" s="41">
        <f>L289/'1. Väestöennuste'!N289*1000</f>
        <v>-85.512610972262451</v>
      </c>
      <c r="AF289" s="41">
        <f>M289/'1. Väestöennuste'!O289*1000</f>
        <v>-215.99117830740749</v>
      </c>
      <c r="AG289" s="41">
        <f>N289/'1. Väestöennuste'!P289*1000</f>
        <v>-153.53976541332273</v>
      </c>
      <c r="AH289" s="41">
        <f>O289/'1. Väestöennuste'!Q289*1000</f>
        <v>-120.95707488933043</v>
      </c>
      <c r="AI289" s="41">
        <f>P289/'1. Väestöennuste'!R289*1000</f>
        <v>-43.761743650434482</v>
      </c>
    </row>
    <row r="290" spans="1:35" x14ac:dyDescent="0.2">
      <c r="A290" s="34">
        <v>915</v>
      </c>
      <c r="B290" s="88" t="s">
        <v>604</v>
      </c>
      <c r="C290" s="41" t="e">
        <f>Vuosikate!C290-'6. Poistot'!C290</f>
        <v>#REF!</v>
      </c>
      <c r="D290" s="41">
        <f>Vuosikate!D290-'6. Poistot'!D290</f>
        <v>3686</v>
      </c>
      <c r="E290" s="41">
        <f>Vuosikate!E290-'6. Poistot'!E290</f>
        <v>631</v>
      </c>
      <c r="F290" s="41">
        <f>Vuosikate!F290-'6. Poistot'!F290</f>
        <v>-4607</v>
      </c>
      <c r="G290" s="41">
        <f>Vuosikate!G290-'6. Poistot'!G290</f>
        <v>-6365</v>
      </c>
      <c r="H290" s="41">
        <f>Vuosikate!H290-'6. Poistot'!H290</f>
        <v>1623.1029149660608</v>
      </c>
      <c r="I290" s="41">
        <f>Vuosikate!I290-'6. Poistot'!I290</f>
        <v>-2983.7488126328808</v>
      </c>
      <c r="J290" s="41">
        <f>Vuosikate!J290-'6. Poistot'!J290</f>
        <v>-1937.2609596994307</v>
      </c>
      <c r="K290" s="41">
        <f>Vuosikate!K290-'6. Poistot'!K290</f>
        <v>697.28769386476506</v>
      </c>
      <c r="L290" s="41">
        <f>Vuosikate!L290-'6. Poistot'!L290</f>
        <v>-2445.2168583588928</v>
      </c>
      <c r="M290" s="41">
        <f>Vuosikate!M290-'6. Poistot'!M290</f>
        <v>-6893.146526112514</v>
      </c>
      <c r="N290" s="41">
        <f>Vuosikate!N290-'6. Poistot'!N290</f>
        <v>-5722.8776661425436</v>
      </c>
      <c r="O290" s="41">
        <f>Vuosikate!O290-'6. Poistot'!O290</f>
        <v>-5682.9191838949882</v>
      </c>
      <c r="P290" s="41">
        <f>Vuosikate!P290-'6. Poistot'!P290</f>
        <v>-3440.6949873088224</v>
      </c>
      <c r="T290" s="34">
        <v>915</v>
      </c>
      <c r="U290" s="88" t="s">
        <v>604</v>
      </c>
      <c r="V290" s="41" t="e">
        <f>C290/'1. Väestöennuste'!E290*1000</f>
        <v>#REF!</v>
      </c>
      <c r="W290" s="41">
        <f>D290/'1. Väestöennuste'!F290*1000</f>
        <v>171.69741009875165</v>
      </c>
      <c r="X290" s="41">
        <f>E290/'1. Väestöennuste'!G290*1000</f>
        <v>29.827463956511462</v>
      </c>
      <c r="Y290" s="41">
        <f>F290/'1. Väestöennuste'!H290*1000</f>
        <v>-221.18200585721831</v>
      </c>
      <c r="Z290" s="41">
        <f>G290/'1. Väestöennuste'!I290*1000</f>
        <v>-311.00361575295608</v>
      </c>
      <c r="AA290" s="41">
        <f>H290/'1. Väestöennuste'!J290*1000</f>
        <v>80.042554244307169</v>
      </c>
      <c r="AB290" s="41">
        <f>I290/'1. Väestöennuste'!K290*1000</f>
        <v>-149.38911593816056</v>
      </c>
      <c r="AC290" s="41">
        <f>J290/'1. Väestöennuste'!L290*1000</f>
        <v>-98.044484017380967</v>
      </c>
      <c r="AD290" s="41">
        <f>K290/'1. Väestöennuste'!M290*1000</f>
        <v>35.346869461386177</v>
      </c>
      <c r="AE290" s="41">
        <f>L290/'1. Väestöennuste'!N290*1000</f>
        <v>-126.99786321589762</v>
      </c>
      <c r="AF290" s="41">
        <f>M290/'1. Väestöennuste'!O290*1000</f>
        <v>-362.39664192800137</v>
      </c>
      <c r="AG290" s="41">
        <f>N290/'1. Väestöennuste'!P290*1000</f>
        <v>-304.45697005599533</v>
      </c>
      <c r="AH290" s="41">
        <f>O290/'1. Väestöennuste'!Q290*1000</f>
        <v>-305.82925325018772</v>
      </c>
      <c r="AI290" s="41">
        <f>P290/'1. Väestöennuste'!R290*1000</f>
        <v>-187.29967268964739</v>
      </c>
    </row>
    <row r="291" spans="1:35" x14ac:dyDescent="0.2">
      <c r="A291" s="34">
        <v>918</v>
      </c>
      <c r="B291" s="88" t="s">
        <v>605</v>
      </c>
      <c r="C291" s="41" t="e">
        <f>Vuosikate!C291-'6. Poistot'!C291</f>
        <v>#REF!</v>
      </c>
      <c r="D291" s="41">
        <f>Vuosikate!D291-'6. Poistot'!D291</f>
        <v>-1396</v>
      </c>
      <c r="E291" s="41">
        <f>Vuosikate!E291-'6. Poistot'!E291</f>
        <v>332</v>
      </c>
      <c r="F291" s="41">
        <f>Vuosikate!F291-'6. Poistot'!F291</f>
        <v>-1359</v>
      </c>
      <c r="G291" s="41">
        <f>Vuosikate!G291-'6. Poistot'!G291</f>
        <v>68</v>
      </c>
      <c r="H291" s="41">
        <f>Vuosikate!H291-'6. Poistot'!H291</f>
        <v>1763.9018750257228</v>
      </c>
      <c r="I291" s="41">
        <f>Vuosikate!I291-'6. Poistot'!I291</f>
        <v>702.83607756025015</v>
      </c>
      <c r="J291" s="41">
        <f>Vuosikate!J291-'6. Poistot'!J291</f>
        <v>478.27788954763582</v>
      </c>
      <c r="K291" s="41">
        <f>Vuosikate!K291-'6. Poistot'!K291</f>
        <v>693.20721410457418</v>
      </c>
      <c r="L291" s="41">
        <f>Vuosikate!L291-'6. Poistot'!L291</f>
        <v>287.53805002400929</v>
      </c>
      <c r="M291" s="41">
        <f>Vuosikate!M291-'6. Poistot'!M291</f>
        <v>883.66510002959478</v>
      </c>
      <c r="N291" s="41">
        <f>Vuosikate!N291-'6. Poistot'!N291</f>
        <v>898.23372351006253</v>
      </c>
      <c r="O291" s="41">
        <f>Vuosikate!O291-'6. Poistot'!O291</f>
        <v>773.85852998990697</v>
      </c>
      <c r="P291" s="41">
        <f>Vuosikate!P291-'6. Poistot'!P291</f>
        <v>1044.5408907182987</v>
      </c>
      <c r="T291" s="34">
        <v>918</v>
      </c>
      <c r="U291" s="88" t="s">
        <v>605</v>
      </c>
      <c r="V291" s="41" t="e">
        <f>C291/'1. Väestöennuste'!E291*1000</f>
        <v>#REF!</v>
      </c>
      <c r="W291" s="41">
        <f>D291/'1. Väestöennuste'!F291*1000</f>
        <v>-613.08739569609133</v>
      </c>
      <c r="X291" s="41">
        <f>E291/'1. Väestöennuste'!G291*1000</f>
        <v>143.35060449050084</v>
      </c>
      <c r="Y291" s="41">
        <f>F291/'1. Väestöennuste'!H291*1000</f>
        <v>-594.74835886214441</v>
      </c>
      <c r="Z291" s="41">
        <f>G291/'1. Väestöennuste'!I291*1000</f>
        <v>29.65547317924117</v>
      </c>
      <c r="AA291" s="41">
        <f>H291/'1. Väestöennuste'!J291*1000</f>
        <v>769.59069591000116</v>
      </c>
      <c r="AB291" s="41">
        <f>I291/'1. Väestöennuste'!K291*1000</f>
        <v>309.48308126827396</v>
      </c>
      <c r="AC291" s="41">
        <f>J291/'1. Väestöennuste'!L291*1000</f>
        <v>214.66691631401966</v>
      </c>
      <c r="AD291" s="41">
        <f>K291/'1. Väestöennuste'!M291*1000</f>
        <v>308.77826908889716</v>
      </c>
      <c r="AE291" s="41">
        <f>L291/'1. Väestöennuste'!N291*1000</f>
        <v>123.83206288717024</v>
      </c>
      <c r="AF291" s="41">
        <f>M291/'1. Väestöennuste'!O291*1000</f>
        <v>379.90760964299005</v>
      </c>
      <c r="AG291" s="41">
        <f>N291/'1. Väestöennuste'!P291*1000</f>
        <v>385.34265272846955</v>
      </c>
      <c r="AH291" s="41">
        <f>O291/'1. Väestöennuste'!Q291*1000</f>
        <v>331.1333033760834</v>
      </c>
      <c r="AI291" s="41">
        <f>P291/'1. Väestöennuste'!R291*1000</f>
        <v>446.00379620764249</v>
      </c>
    </row>
    <row r="292" spans="1:35" x14ac:dyDescent="0.2">
      <c r="A292" s="34">
        <v>921</v>
      </c>
      <c r="B292" s="88" t="s">
        <v>606</v>
      </c>
      <c r="C292" s="41" t="e">
        <f>Vuosikate!C292-'6. Poistot'!C292</f>
        <v>#REF!</v>
      </c>
      <c r="D292" s="41">
        <f>Vuosikate!D292-'6. Poistot'!D292</f>
        <v>-433</v>
      </c>
      <c r="E292" s="41">
        <f>Vuosikate!E292-'6. Poistot'!E292</f>
        <v>199</v>
      </c>
      <c r="F292" s="41">
        <f>Vuosikate!F292-'6. Poistot'!F292</f>
        <v>-1124</v>
      </c>
      <c r="G292" s="41">
        <f>Vuosikate!G292-'6. Poistot'!G292</f>
        <v>-470</v>
      </c>
      <c r="H292" s="41">
        <f>Vuosikate!H292-'6. Poistot'!H292</f>
        <v>834.05537005393489</v>
      </c>
      <c r="I292" s="41">
        <f>Vuosikate!I292-'6. Poistot'!I292</f>
        <v>1675.1348531958329</v>
      </c>
      <c r="J292" s="41">
        <f>Vuosikate!J292-'6. Poistot'!J292</f>
        <v>178.84250269204915</v>
      </c>
      <c r="K292" s="41">
        <f>Vuosikate!K292-'6. Poistot'!K292</f>
        <v>-50.132625264095736</v>
      </c>
      <c r="L292" s="41">
        <f>Vuosikate!L292-'6. Poistot'!L292</f>
        <v>338.72803467012807</v>
      </c>
      <c r="M292" s="41">
        <f>Vuosikate!M292-'6. Poistot'!M292</f>
        <v>-631.37305454362092</v>
      </c>
      <c r="N292" s="41">
        <f>Vuosikate!N292-'6. Poistot'!N292</f>
        <v>-856.72376778090279</v>
      </c>
      <c r="O292" s="41">
        <f>Vuosikate!O292-'6. Poistot'!O292</f>
        <v>-1078.3370024449018</v>
      </c>
      <c r="P292" s="41">
        <f>Vuosikate!P292-'6. Poistot'!P292</f>
        <v>-904.1811041333807</v>
      </c>
      <c r="T292" s="34">
        <v>921</v>
      </c>
      <c r="U292" s="88" t="s">
        <v>606</v>
      </c>
      <c r="V292" s="41" t="e">
        <f>C292/'1. Väestöennuste'!E292*1000</f>
        <v>#REF!</v>
      </c>
      <c r="W292" s="41">
        <f>D292/'1. Väestöennuste'!F292*1000</f>
        <v>-201.58286778398511</v>
      </c>
      <c r="X292" s="41">
        <f>E292/'1. Väestöennuste'!G292*1000</f>
        <v>95.033428844317086</v>
      </c>
      <c r="Y292" s="41">
        <f>F292/'1. Väestöennuste'!H292*1000</f>
        <v>-546.1613216715258</v>
      </c>
      <c r="Z292" s="41">
        <f>G292/'1. Väestöennuste'!I292*1000</f>
        <v>-233.36643495531283</v>
      </c>
      <c r="AA292" s="41">
        <f>H292/'1. Väestöennuste'!J292*1000</f>
        <v>422.94897061558567</v>
      </c>
      <c r="AB292" s="41">
        <f>I292/'1. Väestöennuste'!K292*1000</f>
        <v>863.02671468100607</v>
      </c>
      <c r="AC292" s="41">
        <f>J292/'1. Väestöennuste'!L292*1000</f>
        <v>94.425819795168508</v>
      </c>
      <c r="AD292" s="41">
        <f>K292/'1. Väestöennuste'!M292*1000</f>
        <v>-26.455211221158699</v>
      </c>
      <c r="AE292" s="41">
        <f>L292/'1. Väestöennuste'!N292*1000</f>
        <v>186.83289281308774</v>
      </c>
      <c r="AF292" s="41">
        <f>M292/'1. Väestöennuste'!O292*1000</f>
        <v>-354.70396322675333</v>
      </c>
      <c r="AG292" s="41">
        <f>N292/'1. Väestöennuste'!P292*1000</f>
        <v>-490.11657195703822</v>
      </c>
      <c r="AH292" s="41">
        <f>O292/'1. Väestöennuste'!Q292*1000</f>
        <v>-627.66996649877876</v>
      </c>
      <c r="AI292" s="41">
        <f>P292/'1. Väestöennuste'!R292*1000</f>
        <v>-535.33517118613429</v>
      </c>
    </row>
    <row r="293" spans="1:35" x14ac:dyDescent="0.2">
      <c r="A293" s="34">
        <v>922</v>
      </c>
      <c r="B293" s="88" t="s">
        <v>607</v>
      </c>
      <c r="C293" s="41" t="e">
        <f>Vuosikate!C293-'6. Poistot'!C293</f>
        <v>#REF!</v>
      </c>
      <c r="D293" s="41">
        <f>Vuosikate!D293-'6. Poistot'!D293</f>
        <v>1300</v>
      </c>
      <c r="E293" s="41">
        <f>Vuosikate!E293-'6. Poistot'!E293</f>
        <v>366</v>
      </c>
      <c r="F293" s="41">
        <f>Vuosikate!F293-'6. Poistot'!F293</f>
        <v>-1670</v>
      </c>
      <c r="G293" s="41">
        <f>Vuosikate!G293-'6. Poistot'!G293</f>
        <v>-25</v>
      </c>
      <c r="H293" s="41">
        <f>Vuosikate!H293-'6. Poistot'!H293</f>
        <v>1558.5798445422242</v>
      </c>
      <c r="I293" s="41">
        <f>Vuosikate!I293-'6. Poistot'!I293</f>
        <v>386.60175826802015</v>
      </c>
      <c r="J293" s="41">
        <f>Vuosikate!J293-'6. Poistot'!J293</f>
        <v>1364.9112638916388</v>
      </c>
      <c r="K293" s="41">
        <f>Vuosikate!K293-'6. Poistot'!K293</f>
        <v>548.0925389843253</v>
      </c>
      <c r="L293" s="41">
        <f>Vuosikate!L293-'6. Poistot'!L293</f>
        <v>-575.36906550144829</v>
      </c>
      <c r="M293" s="41">
        <f>Vuosikate!M293-'6. Poistot'!M293</f>
        <v>-1153.0866220748233</v>
      </c>
      <c r="N293" s="41">
        <f>Vuosikate!N293-'6. Poistot'!N293</f>
        <v>-2398.5366740009931</v>
      </c>
      <c r="O293" s="41">
        <f>Vuosikate!O293-'6. Poistot'!O293</f>
        <v>-2501.019648351134</v>
      </c>
      <c r="P293" s="41">
        <f>Vuosikate!P293-'6. Poistot'!P293</f>
        <v>-2514.2906385497113</v>
      </c>
      <c r="T293" s="34">
        <v>922</v>
      </c>
      <c r="U293" s="88" t="s">
        <v>607</v>
      </c>
      <c r="V293" s="41" t="e">
        <f>C293/'1. Väestöennuste'!E293*1000</f>
        <v>#REF!</v>
      </c>
      <c r="W293" s="41">
        <f>D293/'1. Väestöennuste'!F293*1000</f>
        <v>291.34917077543702</v>
      </c>
      <c r="X293" s="41">
        <f>E293/'1. Väestöennuste'!G293*1000</f>
        <v>82.062780269058294</v>
      </c>
      <c r="Y293" s="41">
        <f>F293/'1. Väestöennuste'!H293*1000</f>
        <v>-380.15023901661732</v>
      </c>
      <c r="Z293" s="41">
        <f>G293/'1. Väestöennuste'!I293*1000</f>
        <v>-5.7405281285878305</v>
      </c>
      <c r="AA293" s="41">
        <f>H293/'1. Väestöennuste'!J293*1000</f>
        <v>356.89943772434719</v>
      </c>
      <c r="AB293" s="41">
        <f>I293/'1. Väestöennuste'!K293*1000</f>
        <v>86.994095019806508</v>
      </c>
      <c r="AC293" s="41">
        <f>J293/'1. Väestöennuste'!L293*1000</f>
        <v>303.24622614788689</v>
      </c>
      <c r="AD293" s="41">
        <f>K293/'1. Väestöennuste'!M293*1000</f>
        <v>122.64321749481434</v>
      </c>
      <c r="AE293" s="41">
        <f>L293/'1. Väestöennuste'!N293*1000</f>
        <v>-133.77564880294076</v>
      </c>
      <c r="AF293" s="41">
        <f>M293/'1. Väestöennuste'!O293*1000</f>
        <v>-268.78476039040169</v>
      </c>
      <c r="AG293" s="41">
        <f>N293/'1. Väestöennuste'!P293*1000</f>
        <v>-559.88251027100682</v>
      </c>
      <c r="AH293" s="41">
        <f>O293/'1. Väestöennuste'!Q293*1000</f>
        <v>-584.62357371461758</v>
      </c>
      <c r="AI293" s="41">
        <f>P293/'1. Väestöennuste'!R293*1000</f>
        <v>-588.55117943579387</v>
      </c>
    </row>
    <row r="294" spans="1:35" x14ac:dyDescent="0.2">
      <c r="A294" s="34">
        <v>924</v>
      </c>
      <c r="B294" s="88" t="s">
        <v>608</v>
      </c>
      <c r="C294" s="41" t="e">
        <f>Vuosikate!C294-'6. Poistot'!C294</f>
        <v>#REF!</v>
      </c>
      <c r="D294" s="41">
        <f>Vuosikate!D294-'6. Poistot'!D294</f>
        <v>-261</v>
      </c>
      <c r="E294" s="41">
        <f>Vuosikate!E294-'6. Poistot'!E294</f>
        <v>-384</v>
      </c>
      <c r="F294" s="41">
        <f>Vuosikate!F294-'6. Poistot'!F294</f>
        <v>540</v>
      </c>
      <c r="G294" s="41">
        <f>Vuosikate!G294-'6. Poistot'!G294</f>
        <v>-693</v>
      </c>
      <c r="H294" s="41">
        <f>Vuosikate!H294-'6. Poistot'!H294</f>
        <v>-18.413957060145549</v>
      </c>
      <c r="I294" s="41">
        <f>Vuosikate!I294-'6. Poistot'!I294</f>
        <v>808.11809278321812</v>
      </c>
      <c r="J294" s="41">
        <f>Vuosikate!J294-'6. Poistot'!J294</f>
        <v>1451.0734777651248</v>
      </c>
      <c r="K294" s="41">
        <f>Vuosikate!K294-'6. Poistot'!K294</f>
        <v>-238.75954735553194</v>
      </c>
      <c r="L294" s="41">
        <f>Vuosikate!L294-'6. Poistot'!L294</f>
        <v>-277.15892805844021</v>
      </c>
      <c r="M294" s="41">
        <f>Vuosikate!M294-'6. Poistot'!M294</f>
        <v>-623.41622918543089</v>
      </c>
      <c r="N294" s="41">
        <f>Vuosikate!N294-'6. Poistot'!N294</f>
        <v>-543.88792824541611</v>
      </c>
      <c r="O294" s="41">
        <f>Vuosikate!O294-'6. Poistot'!O294</f>
        <v>-896.10660365177614</v>
      </c>
      <c r="P294" s="41">
        <f>Vuosikate!P294-'6. Poistot'!P294</f>
        <v>-698.83812401677937</v>
      </c>
      <c r="T294" s="34">
        <v>924</v>
      </c>
      <c r="U294" s="88" t="s">
        <v>608</v>
      </c>
      <c r="V294" s="41" t="e">
        <f>C294/'1. Väestöennuste'!E294*1000</f>
        <v>#REF!</v>
      </c>
      <c r="W294" s="41">
        <f>D294/'1. Väestöennuste'!F294*1000</f>
        <v>-80.085915925130408</v>
      </c>
      <c r="X294" s="41">
        <f>E294/'1. Väestöennuste'!G294*1000</f>
        <v>-119.40298507462687</v>
      </c>
      <c r="Y294" s="41">
        <f>F294/'1. Väestöennuste'!H294*1000</f>
        <v>170.56222362602651</v>
      </c>
      <c r="Z294" s="41">
        <f>G294/'1. Väestöennuste'!I294*1000</f>
        <v>-222.54335260115607</v>
      </c>
      <c r="AA294" s="41">
        <f>H294/'1. Väestöennuste'!J294*1000</f>
        <v>-6.0078163328370469</v>
      </c>
      <c r="AB294" s="41">
        <f>I294/'1. Väestöennuste'!K294*1000</f>
        <v>269.01401224474637</v>
      </c>
      <c r="AC294" s="41">
        <f>J294/'1. Väestöennuste'!L294*1000</f>
        <v>492.55718865075522</v>
      </c>
      <c r="AD294" s="41">
        <f>K294/'1. Väestöennuste'!M294*1000</f>
        <v>-81.321371715099431</v>
      </c>
      <c r="AE294" s="41">
        <f>L294/'1. Väestöennuste'!N294*1000</f>
        <v>-96.00239974313827</v>
      </c>
      <c r="AF294" s="41">
        <f>M294/'1. Väestöennuste'!O294*1000</f>
        <v>-219.28112176765069</v>
      </c>
      <c r="AG294" s="41">
        <f>N294/'1. Väestöennuste'!P294*1000</f>
        <v>-194.17633996623209</v>
      </c>
      <c r="AH294" s="41">
        <f>O294/'1. Väestöennuste'!Q294*1000</f>
        <v>-324.91174896728648</v>
      </c>
      <c r="AI294" s="41">
        <f>P294/'1. Väestöennuste'!R294*1000</f>
        <v>-257.30416937289374</v>
      </c>
    </row>
    <row r="295" spans="1:35" x14ac:dyDescent="0.2">
      <c r="A295" s="34">
        <v>925</v>
      </c>
      <c r="B295" s="88" t="s">
        <v>609</v>
      </c>
      <c r="C295" s="41" t="e">
        <f>Vuosikate!C295-'6. Poistot'!C295</f>
        <v>#REF!</v>
      </c>
      <c r="D295" s="41">
        <f>Vuosikate!D295-'6. Poistot'!D295</f>
        <v>266</v>
      </c>
      <c r="E295" s="41">
        <f>Vuosikate!E295-'6. Poistot'!E295</f>
        <v>2552</v>
      </c>
      <c r="F295" s="41">
        <f>Vuosikate!F295-'6. Poistot'!F295</f>
        <v>1603</v>
      </c>
      <c r="G295" s="41">
        <f>Vuosikate!G295-'6. Poistot'!G295</f>
        <v>3116</v>
      </c>
      <c r="H295" s="41">
        <f>Vuosikate!H295-'6. Poistot'!H295</f>
        <v>3334.768188670967</v>
      </c>
      <c r="I295" s="41">
        <f>Vuosikate!I295-'6. Poistot'!I295</f>
        <v>4345.5748666144291</v>
      </c>
      <c r="J295" s="41">
        <f>Vuosikate!J295-'6. Poistot'!J295</f>
        <v>3428.9175165471761</v>
      </c>
      <c r="K295" s="41">
        <f>Vuosikate!K295-'6. Poistot'!K295</f>
        <v>2085.5370054296509</v>
      </c>
      <c r="L295" s="41">
        <f>Vuosikate!L295-'6. Poistot'!L295</f>
        <v>489.94943984200813</v>
      </c>
      <c r="M295" s="41">
        <f>Vuosikate!M295-'6. Poistot'!M295</f>
        <v>29.347007493526917</v>
      </c>
      <c r="N295" s="41">
        <f>Vuosikate!N295-'6. Poistot'!N295</f>
        <v>-36.749372122861132</v>
      </c>
      <c r="O295" s="41">
        <f>Vuosikate!O295-'6. Poistot'!O295</f>
        <v>-87.018394890382979</v>
      </c>
      <c r="P295" s="41">
        <f>Vuosikate!P295-'6. Poistot'!P295</f>
        <v>119.37942373703186</v>
      </c>
      <c r="T295" s="34">
        <v>925</v>
      </c>
      <c r="U295" s="88" t="s">
        <v>609</v>
      </c>
      <c r="V295" s="41" t="e">
        <f>C295/'1. Väestöennuste'!E295*1000</f>
        <v>#REF!</v>
      </c>
      <c r="W295" s="41">
        <f>D295/'1. Väestöennuste'!F295*1000</f>
        <v>71.486159634506862</v>
      </c>
      <c r="X295" s="41">
        <f>E295/'1. Väestöennuste'!G295*1000</f>
        <v>692.53731343283584</v>
      </c>
      <c r="Y295" s="41">
        <f>F295/'1. Väestöennuste'!H295*1000</f>
        <v>436.07181719260063</v>
      </c>
      <c r="Z295" s="41">
        <f>G295/'1. Väestöennuste'!I295*1000</f>
        <v>870.63425537859735</v>
      </c>
      <c r="AA295" s="41">
        <f>H295/'1. Väestöennuste'!J295*1000</f>
        <v>946.83934942389749</v>
      </c>
      <c r="AB295" s="41">
        <f>I295/'1. Väestöennuste'!K295*1000</f>
        <v>1245.1503915800656</v>
      </c>
      <c r="AC295" s="41">
        <f>J295/'1. Väestöennuste'!L295*1000</f>
        <v>1000.559532111811</v>
      </c>
      <c r="AD295" s="41">
        <f>K295/'1. Väestöennuste'!M295*1000</f>
        <v>615.7475658192061</v>
      </c>
      <c r="AE295" s="41">
        <f>L295/'1. Väestöennuste'!N295*1000</f>
        <v>146.42840401733656</v>
      </c>
      <c r="AF295" s="41">
        <f>M295/'1. Väestöennuste'!O295*1000</f>
        <v>8.8688448152091013</v>
      </c>
      <c r="AG295" s="41">
        <f>N295/'1. Väestöennuste'!P295*1000</f>
        <v>-11.234904348169101</v>
      </c>
      <c r="AH295" s="41">
        <f>O295/'1. Väestöennuste'!Q295*1000</f>
        <v>-26.890727716434789</v>
      </c>
      <c r="AI295" s="41">
        <f>P295/'1. Väestöennuste'!R295*1000</f>
        <v>37.294415413005893</v>
      </c>
    </row>
    <row r="296" spans="1:35" x14ac:dyDescent="0.2">
      <c r="A296" s="34">
        <v>927</v>
      </c>
      <c r="B296" s="88" t="s">
        <v>610</v>
      </c>
      <c r="C296" s="41" t="e">
        <f>Vuosikate!C296-'6. Poistot'!C296</f>
        <v>#REF!</v>
      </c>
      <c r="D296" s="41">
        <f>Vuosikate!D296-'6. Poistot'!D296</f>
        <v>6423</v>
      </c>
      <c r="E296" s="41">
        <f>Vuosikate!E296-'6. Poistot'!E296</f>
        <v>5410</v>
      </c>
      <c r="F296" s="41">
        <f>Vuosikate!F296-'6. Poistot'!F296</f>
        <v>-5287</v>
      </c>
      <c r="G296" s="41">
        <f>Vuosikate!G296-'6. Poistot'!G296</f>
        <v>-10701</v>
      </c>
      <c r="H296" s="41">
        <f>Vuosikate!H296-'6. Poistot'!H296</f>
        <v>8412.91744226234</v>
      </c>
      <c r="I296" s="41">
        <f>Vuosikate!I296-'6. Poistot'!I296</f>
        <v>6428.4277186341824</v>
      </c>
      <c r="J296" s="41">
        <f>Vuosikate!J296-'6. Poistot'!J296</f>
        <v>8550.6530751815117</v>
      </c>
      <c r="K296" s="41">
        <f>Vuosikate!K296-'6. Poistot'!K296</f>
        <v>25992.199927866357</v>
      </c>
      <c r="L296" s="41">
        <f>Vuosikate!L296-'6. Poistot'!L296</f>
        <v>2494.6353469696096</v>
      </c>
      <c r="M296" s="41">
        <f>Vuosikate!M296-'6. Poistot'!M296</f>
        <v>12013.180658423806</v>
      </c>
      <c r="N296" s="41">
        <f>Vuosikate!N296-'6. Poistot'!N296</f>
        <v>10443.456484514114</v>
      </c>
      <c r="O296" s="41">
        <f>Vuosikate!O296-'6. Poistot'!O296</f>
        <v>11106.82200899037</v>
      </c>
      <c r="P296" s="41">
        <f>Vuosikate!P296-'6. Poistot'!P296</f>
        <v>12217.897218623009</v>
      </c>
      <c r="T296" s="34">
        <v>927</v>
      </c>
      <c r="U296" s="88" t="s">
        <v>610</v>
      </c>
      <c r="V296" s="41" t="e">
        <f>C296/'1. Väestöennuste'!E296*1000</f>
        <v>#REF!</v>
      </c>
      <c r="W296" s="41">
        <f>D296/'1. Väestöennuste'!F296*1000</f>
        <v>221.73507784720545</v>
      </c>
      <c r="X296" s="41">
        <f>E296/'1. Väestöennuste'!G296*1000</f>
        <v>186.20499759069321</v>
      </c>
      <c r="Y296" s="41">
        <f>F296/'1. Väestöennuste'!H296*1000</f>
        <v>-180.99346136729312</v>
      </c>
      <c r="Z296" s="41">
        <f>G296/'1. Väestöennuste'!I296*1000</f>
        <v>-367.00048014267094</v>
      </c>
      <c r="AA296" s="41">
        <f>H296/'1. Väestöennuste'!J296*1000</f>
        <v>288.50882860981966</v>
      </c>
      <c r="AB296" s="41">
        <f>I296/'1. Väestöennuste'!K296*1000</f>
        <v>219.85798825658136</v>
      </c>
      <c r="AC296" s="41">
        <f>J296/'1. Väestöennuste'!L296*1000</f>
        <v>295.73731799472597</v>
      </c>
      <c r="AD296" s="41">
        <f>K296/'1. Väestöennuste'!M296*1000</f>
        <v>902.16236603610969</v>
      </c>
      <c r="AE296" s="41">
        <f>L296/'1. Väestöennuste'!N296*1000</f>
        <v>85.054052061698243</v>
      </c>
      <c r="AF296" s="41">
        <f>M296/'1. Väestöennuste'!O296*1000</f>
        <v>408.9036610648356</v>
      </c>
      <c r="AG296" s="41">
        <f>N296/'1. Väestöennuste'!P296*1000</f>
        <v>354.95399648270387</v>
      </c>
      <c r="AH296" s="41">
        <f>O296/'1. Väestöennuste'!Q296*1000</f>
        <v>376.9880527116411</v>
      </c>
      <c r="AI296" s="41">
        <f>P296/'1. Väestöennuste'!R296*1000</f>
        <v>414.23621693924429</v>
      </c>
    </row>
    <row r="297" spans="1:35" x14ac:dyDescent="0.2">
      <c r="A297" s="34">
        <v>931</v>
      </c>
      <c r="B297" s="88" t="s">
        <v>611</v>
      </c>
      <c r="C297" s="41" t="e">
        <f>Vuosikate!C297-'6. Poistot'!C297</f>
        <v>#REF!</v>
      </c>
      <c r="D297" s="41">
        <f>Vuosikate!D297-'6. Poistot'!D297</f>
        <v>1032</v>
      </c>
      <c r="E297" s="41">
        <f>Vuosikate!E297-'6. Poistot'!E297</f>
        <v>2745</v>
      </c>
      <c r="F297" s="41">
        <f>Vuosikate!F297-'6. Poistot'!F297</f>
        <v>361</v>
      </c>
      <c r="G297" s="41">
        <f>Vuosikate!G297-'6. Poistot'!G297</f>
        <v>-1012</v>
      </c>
      <c r="H297" s="41">
        <f>Vuosikate!H297-'6. Poistot'!H297</f>
        <v>769.98900465487532</v>
      </c>
      <c r="I297" s="41">
        <f>Vuosikate!I297-'6. Poistot'!I297</f>
        <v>2532.3389722490983</v>
      </c>
      <c r="J297" s="41">
        <f>Vuosikate!J297-'6. Poistot'!J297</f>
        <v>-976.97687032421504</v>
      </c>
      <c r="K297" s="41">
        <f>Vuosikate!K297-'6. Poistot'!K297</f>
        <v>3659.9322610929862</v>
      </c>
      <c r="L297" s="41">
        <f>Vuosikate!L297-'6. Poistot'!L297</f>
        <v>733.20411352243991</v>
      </c>
      <c r="M297" s="41">
        <f>Vuosikate!M297-'6. Poistot'!M297</f>
        <v>579.18198965982083</v>
      </c>
      <c r="N297" s="41">
        <f>Vuosikate!N297-'6. Poistot'!N297</f>
        <v>560.47541990310856</v>
      </c>
      <c r="O297" s="41">
        <f>Vuosikate!O297-'6. Poistot'!O297</f>
        <v>315.60172380669974</v>
      </c>
      <c r="P297" s="41">
        <f>Vuosikate!P297-'6. Poistot'!P297</f>
        <v>1018.9078014626411</v>
      </c>
      <c r="T297" s="34">
        <v>931</v>
      </c>
      <c r="U297" s="88" t="s">
        <v>611</v>
      </c>
      <c r="V297" s="41" t="e">
        <f>C297/'1. Väestöennuste'!E297*1000</f>
        <v>#REF!</v>
      </c>
      <c r="W297" s="41">
        <f>D297/'1. Väestöennuste'!F297*1000</f>
        <v>156.19797184803997</v>
      </c>
      <c r="X297" s="41">
        <f>E297/'1. Väestöennuste'!G297*1000</f>
        <v>428.17033224146002</v>
      </c>
      <c r="Y297" s="41">
        <f>F297/'1. Väestöennuste'!H297*1000</f>
        <v>57.630906768837804</v>
      </c>
      <c r="Z297" s="41">
        <f>G297/'1. Väestöennuste'!I297*1000</f>
        <v>-163.86010362694302</v>
      </c>
      <c r="AA297" s="41">
        <f>H297/'1. Väestöennuste'!J297*1000</f>
        <v>126.28981542641878</v>
      </c>
      <c r="AB297" s="41">
        <f>I297/'1. Väestöennuste'!K297*1000</f>
        <v>417.18928702621059</v>
      </c>
      <c r="AC297" s="41">
        <f>J297/'1. Väestöennuste'!L297*1000</f>
        <v>-164.17020170126281</v>
      </c>
      <c r="AD297" s="41">
        <f>K297/'1. Väestöennuste'!M297*1000</f>
        <v>622.75519161017291</v>
      </c>
      <c r="AE297" s="41">
        <f>L297/'1. Väestöennuste'!N297*1000</f>
        <v>128.99439013413792</v>
      </c>
      <c r="AF297" s="41">
        <f>M297/'1. Väestöennuste'!O297*1000</f>
        <v>103.48079143466515</v>
      </c>
      <c r="AG297" s="41">
        <f>N297/'1. Väestöennuste'!P297*1000</f>
        <v>101.64588681594279</v>
      </c>
      <c r="AH297" s="41">
        <f>O297/'1. Väestöennuste'!Q297*1000</f>
        <v>58.079080568034549</v>
      </c>
      <c r="AI297" s="41">
        <f>P297/'1. Väestöennuste'!R297*1000</f>
        <v>190.09473907885098</v>
      </c>
    </row>
    <row r="298" spans="1:35" x14ac:dyDescent="0.2">
      <c r="A298" s="34">
        <v>934</v>
      </c>
      <c r="B298" s="88" t="s">
        <v>612</v>
      </c>
      <c r="C298" s="41" t="e">
        <f>Vuosikate!C298-'6. Poistot'!C298</f>
        <v>#REF!</v>
      </c>
      <c r="D298" s="41">
        <f>Vuosikate!D298-'6. Poistot'!D298</f>
        <v>1484</v>
      </c>
      <c r="E298" s="41">
        <f>Vuosikate!E298-'6. Poistot'!E298</f>
        <v>962</v>
      </c>
      <c r="F298" s="41">
        <f>Vuosikate!F298-'6. Poistot'!F298</f>
        <v>-503</v>
      </c>
      <c r="G298" s="41">
        <f>Vuosikate!G298-'6. Poistot'!G298</f>
        <v>-1154</v>
      </c>
      <c r="H298" s="41">
        <f>Vuosikate!H298-'6. Poistot'!H298</f>
        <v>1243.1033308771275</v>
      </c>
      <c r="I298" s="41">
        <f>Vuosikate!I298-'6. Poistot'!I298</f>
        <v>975.96908386253176</v>
      </c>
      <c r="J298" s="41">
        <f>Vuosikate!J298-'6. Poistot'!J298</f>
        <v>793.73988559895793</v>
      </c>
      <c r="K298" s="41">
        <f>Vuosikate!K298-'6. Poistot'!K298</f>
        <v>464.43131279525994</v>
      </c>
      <c r="L298" s="41">
        <f>Vuosikate!L298-'6. Poistot'!L298</f>
        <v>-80.576910956330948</v>
      </c>
      <c r="M298" s="41">
        <f>Vuosikate!M298-'6. Poistot'!M298</f>
        <v>-778.42320405158898</v>
      </c>
      <c r="N298" s="41">
        <f>Vuosikate!N298-'6. Poistot'!N298</f>
        <v>-997.84742576274584</v>
      </c>
      <c r="O298" s="41">
        <f>Vuosikate!O298-'6. Poistot'!O298</f>
        <v>-1162.8010323336198</v>
      </c>
      <c r="P298" s="41">
        <f>Vuosikate!P298-'6. Poistot'!P298</f>
        <v>-960.00939060056635</v>
      </c>
      <c r="T298" s="34">
        <v>934</v>
      </c>
      <c r="U298" s="88" t="s">
        <v>612</v>
      </c>
      <c r="V298" s="41" t="e">
        <f>C298/'1. Väestöennuste'!E298*1000</f>
        <v>#REF!</v>
      </c>
      <c r="W298" s="41">
        <f>D298/'1. Väestöennuste'!F298*1000</f>
        <v>490.57851239669418</v>
      </c>
      <c r="X298" s="41">
        <f>E298/'1. Väestöennuste'!G298*1000</f>
        <v>323.4700739744452</v>
      </c>
      <c r="Y298" s="41">
        <f>F298/'1. Väestöennuste'!H298*1000</f>
        <v>-173.38848672871424</v>
      </c>
      <c r="Z298" s="41">
        <f>G298/'1. Väestöennuste'!I298*1000</f>
        <v>-408.20657941280507</v>
      </c>
      <c r="AA298" s="41">
        <f>H298/'1. Väestöennuste'!J298*1000</f>
        <v>446.51700103345098</v>
      </c>
      <c r="AB298" s="41">
        <f>I298/'1. Väestöennuste'!K298*1000</f>
        <v>354.12521185142657</v>
      </c>
      <c r="AC298" s="41">
        <f>J298/'1. Väestöennuste'!L298*1000</f>
        <v>297.16955657018269</v>
      </c>
      <c r="AD298" s="41">
        <f>K298/'1. Väestöennuste'!M298*1000</f>
        <v>174.86118704640811</v>
      </c>
      <c r="AE298" s="41">
        <f>L298/'1. Väestöennuste'!N298*1000</f>
        <v>-31.536951450618766</v>
      </c>
      <c r="AF298" s="41">
        <f>M298/'1. Väestöennuste'!O298*1000</f>
        <v>-311.12038531238568</v>
      </c>
      <c r="AG298" s="41">
        <f>N298/'1. Väestöennuste'!P298*1000</f>
        <v>-406.62079289435445</v>
      </c>
      <c r="AH298" s="41">
        <f>O298/'1. Väestöennuste'!Q298*1000</f>
        <v>-482.69034135891229</v>
      </c>
      <c r="AI298" s="41">
        <f>P298/'1. Väestöennuste'!R298*1000</f>
        <v>-405.40937103064454</v>
      </c>
    </row>
    <row r="299" spans="1:35" x14ac:dyDescent="0.2">
      <c r="A299" s="34">
        <v>935</v>
      </c>
      <c r="B299" s="88" t="s">
        <v>613</v>
      </c>
      <c r="C299" s="41" t="e">
        <f>Vuosikate!C299-'6. Poistot'!C299</f>
        <v>#REF!</v>
      </c>
      <c r="D299" s="41">
        <f>Vuosikate!D299-'6. Poistot'!D299</f>
        <v>1100</v>
      </c>
      <c r="E299" s="41">
        <f>Vuosikate!E299-'6. Poistot'!E299</f>
        <v>862</v>
      </c>
      <c r="F299" s="41">
        <f>Vuosikate!F299-'6. Poistot'!F299</f>
        <v>-695</v>
      </c>
      <c r="G299" s="41">
        <f>Vuosikate!G299-'6. Poistot'!G299</f>
        <v>-287</v>
      </c>
      <c r="H299" s="41">
        <f>Vuosikate!H299-'6. Poistot'!H299</f>
        <v>1181.9086757959994</v>
      </c>
      <c r="I299" s="41">
        <f>Vuosikate!I299-'6. Poistot'!I299</f>
        <v>-1866.8942363353945</v>
      </c>
      <c r="J299" s="41">
        <f>Vuosikate!J299-'6. Poistot'!J299</f>
        <v>-2888.5210897845445</v>
      </c>
      <c r="K299" s="41">
        <f>Vuosikate!K299-'6. Poistot'!K299</f>
        <v>-1730.0383417054009</v>
      </c>
      <c r="L299" s="41">
        <f>Vuosikate!L299-'6. Poistot'!L299</f>
        <v>-1566.221799099493</v>
      </c>
      <c r="M299" s="41">
        <f>Vuosikate!M299-'6. Poistot'!M299</f>
        <v>-2433.0253035803808</v>
      </c>
      <c r="N299" s="41">
        <f>Vuosikate!N299-'6. Poistot'!N299</f>
        <v>-2682.8955570534636</v>
      </c>
      <c r="O299" s="41">
        <f>Vuosikate!O299-'6. Poistot'!O299</f>
        <v>-2950.2621518815208</v>
      </c>
      <c r="P299" s="41">
        <f>Vuosikate!P299-'6. Poistot'!P299</f>
        <v>-2887.7502342685639</v>
      </c>
      <c r="T299" s="34">
        <v>935</v>
      </c>
      <c r="U299" s="88" t="s">
        <v>613</v>
      </c>
      <c r="V299" s="41" t="e">
        <f>C299/'1. Väestöennuste'!E299*1000</f>
        <v>#REF!</v>
      </c>
      <c r="W299" s="41">
        <f>D299/'1. Väestöennuste'!F299*1000</f>
        <v>336.70033670033672</v>
      </c>
      <c r="X299" s="41">
        <f>E299/'1. Väestöennuste'!G299*1000</f>
        <v>268.78702837542875</v>
      </c>
      <c r="Y299" s="41">
        <f>F299/'1. Väestöennuste'!H299*1000</f>
        <v>-220.63492063492063</v>
      </c>
      <c r="Z299" s="41">
        <f>G299/'1. Väestöennuste'!I299*1000</f>
        <v>-92.312640720488901</v>
      </c>
      <c r="AA299" s="41">
        <f>H299/'1. Väestöennuste'!J299*1000</f>
        <v>382.86643206867495</v>
      </c>
      <c r="AB299" s="41">
        <f>I299/'1. Väestöennuste'!K299*1000</f>
        <v>-614.10994616295864</v>
      </c>
      <c r="AC299" s="41">
        <f>J299/'1. Väestöennuste'!L299*1000</f>
        <v>-967.6787570467485</v>
      </c>
      <c r="AD299" s="41">
        <f>K299/'1. Väestöennuste'!M299*1000</f>
        <v>-591.06195480198187</v>
      </c>
      <c r="AE299" s="41">
        <f>L299/'1. Väestöennuste'!N299*1000</f>
        <v>-537.85089254790273</v>
      </c>
      <c r="AF299" s="41">
        <f>M299/'1. Väestöennuste'!O299*1000</f>
        <v>-845.975418491092</v>
      </c>
      <c r="AG299" s="41">
        <f>N299/'1. Väestöennuste'!P299*1000</f>
        <v>-944.01673365709485</v>
      </c>
      <c r="AH299" s="41">
        <f>O299/'1. Väestöennuste'!Q299*1000</f>
        <v>-1050.2891249133218</v>
      </c>
      <c r="AI299" s="41">
        <f>P299/'1. Väestöennuste'!R299*1000</f>
        <v>-1040.2558480794539</v>
      </c>
    </row>
    <row r="300" spans="1:35" x14ac:dyDescent="0.2">
      <c r="A300" s="34">
        <v>936</v>
      </c>
      <c r="B300" s="88" t="s">
        <v>614</v>
      </c>
      <c r="C300" s="41" t="e">
        <f>Vuosikate!C300-'6. Poistot'!C300</f>
        <v>#REF!</v>
      </c>
      <c r="D300" s="41">
        <f>Vuosikate!D300-'6. Poistot'!D300</f>
        <v>2931</v>
      </c>
      <c r="E300" s="41">
        <f>Vuosikate!E300-'6. Poistot'!E300</f>
        <v>325</v>
      </c>
      <c r="F300" s="41">
        <f>Vuosikate!F300-'6. Poistot'!F300</f>
        <v>-605</v>
      </c>
      <c r="G300" s="41">
        <f>Vuosikate!G300-'6. Poistot'!G300</f>
        <v>-998</v>
      </c>
      <c r="H300" s="41">
        <f>Vuosikate!H300-'6. Poistot'!H300</f>
        <v>2780.101501571502</v>
      </c>
      <c r="I300" s="41">
        <f>Vuosikate!I300-'6. Poistot'!I300</f>
        <v>1812.7048519452783</v>
      </c>
      <c r="J300" s="41">
        <f>Vuosikate!J300-'6. Poistot'!J300</f>
        <v>5491.0205295533324</v>
      </c>
      <c r="K300" s="41">
        <f>Vuosikate!K300-'6. Poistot'!K300</f>
        <v>2072.6092022426292</v>
      </c>
      <c r="L300" s="41">
        <f>Vuosikate!L300-'6. Poistot'!L300</f>
        <v>-96.140245146463712</v>
      </c>
      <c r="M300" s="41">
        <f>Vuosikate!M300-'6. Poistot'!M300</f>
        <v>966.47693586664082</v>
      </c>
      <c r="N300" s="41">
        <f>Vuosikate!N300-'6. Poistot'!N300</f>
        <v>691.96182453238725</v>
      </c>
      <c r="O300" s="41">
        <f>Vuosikate!O300-'6. Poistot'!O300</f>
        <v>334.84677462285481</v>
      </c>
      <c r="P300" s="41">
        <f>Vuosikate!P300-'6. Poistot'!P300</f>
        <v>1155.7560664771145</v>
      </c>
      <c r="T300" s="34">
        <v>936</v>
      </c>
      <c r="U300" s="88" t="s">
        <v>614</v>
      </c>
      <c r="V300" s="41" t="e">
        <f>C300/'1. Väestöennuste'!E300*1000</f>
        <v>#REF!</v>
      </c>
      <c r="W300" s="41">
        <f>D300/'1. Väestöennuste'!F300*1000</f>
        <v>423.73861500650571</v>
      </c>
      <c r="X300" s="41">
        <f>E300/'1. Väestöennuste'!G300*1000</f>
        <v>47.486849795441259</v>
      </c>
      <c r="Y300" s="41">
        <f>F300/'1. Väestöennuste'!H300*1000</f>
        <v>-89.77593114705445</v>
      </c>
      <c r="Z300" s="41">
        <f>G300/'1. Väestöennuste'!I300*1000</f>
        <v>-152.50611246943765</v>
      </c>
      <c r="AA300" s="41">
        <f>H300/'1. Väestöennuste'!J300*1000</f>
        <v>427.05092190038437</v>
      </c>
      <c r="AB300" s="41">
        <f>I300/'1. Väestöennuste'!K300*1000</f>
        <v>280.38744809671743</v>
      </c>
      <c r="AC300" s="41">
        <f>J300/'1. Väestöennuste'!L300*1000</f>
        <v>858.64277240865249</v>
      </c>
      <c r="AD300" s="41">
        <f>K300/'1. Väestöennuste'!M300*1000</f>
        <v>330.29628720998073</v>
      </c>
      <c r="AE300" s="41">
        <f>L300/'1. Väestöennuste'!N300*1000</f>
        <v>-15.681005569477037</v>
      </c>
      <c r="AF300" s="41">
        <f>M300/'1. Väestöennuste'!O300*1000</f>
        <v>159.80108066578055</v>
      </c>
      <c r="AG300" s="41">
        <f>N300/'1. Väestöennuste'!P300*1000</f>
        <v>115.945345933711</v>
      </c>
      <c r="AH300" s="41">
        <f>O300/'1. Väestöennuste'!Q300*1000</f>
        <v>56.811464985214592</v>
      </c>
      <c r="AI300" s="41">
        <f>P300/'1. Väestöennuste'!R300*1000</f>
        <v>198.54940155937373</v>
      </c>
    </row>
    <row r="301" spans="1:35" x14ac:dyDescent="0.2">
      <c r="A301" s="34">
        <v>946</v>
      </c>
      <c r="B301" s="88" t="s">
        <v>615</v>
      </c>
      <c r="C301" s="41" t="e">
        <f>Vuosikate!C301-'6. Poistot'!C301</f>
        <v>#REF!</v>
      </c>
      <c r="D301" s="41">
        <f>Vuosikate!D301-'6. Poistot'!D301</f>
        <v>1438</v>
      </c>
      <c r="E301" s="41">
        <f>Vuosikate!E301-'6. Poistot'!E301</f>
        <v>1772</v>
      </c>
      <c r="F301" s="41">
        <f>Vuosikate!F301-'6. Poistot'!F301</f>
        <v>-1945</v>
      </c>
      <c r="G301" s="41">
        <f>Vuosikate!G301-'6. Poistot'!G301</f>
        <v>-3194</v>
      </c>
      <c r="H301" s="41">
        <f>Vuosikate!H301-'6. Poistot'!H301</f>
        <v>2129.161389406956</v>
      </c>
      <c r="I301" s="41">
        <f>Vuosikate!I301-'6. Poistot'!I301</f>
        <v>2272.0919425651891</v>
      </c>
      <c r="J301" s="41">
        <f>Vuosikate!J301-'6. Poistot'!J301</f>
        <v>569.10166492002963</v>
      </c>
      <c r="K301" s="41">
        <f>Vuosikate!K301-'6. Poistot'!K301</f>
        <v>997.28778619625427</v>
      </c>
      <c r="L301" s="41">
        <f>Vuosikate!L301-'6. Poistot'!L301</f>
        <v>215.37712121862387</v>
      </c>
      <c r="M301" s="41">
        <f>Vuosikate!M301-'6. Poistot'!M301</f>
        <v>301.44801611074922</v>
      </c>
      <c r="N301" s="41">
        <f>Vuosikate!N301-'6. Poistot'!N301</f>
        <v>623.69268622987943</v>
      </c>
      <c r="O301" s="41">
        <f>Vuosikate!O301-'6. Poistot'!O301</f>
        <v>700.65755354717703</v>
      </c>
      <c r="P301" s="41">
        <f>Vuosikate!P301-'6. Poistot'!P301</f>
        <v>1270.6095271397835</v>
      </c>
      <c r="T301" s="34">
        <v>946</v>
      </c>
      <c r="U301" s="88" t="s">
        <v>615</v>
      </c>
      <c r="V301" s="41" t="e">
        <f>C301/'1. Väestöennuste'!E301*1000</f>
        <v>#REF!</v>
      </c>
      <c r="W301" s="41">
        <f>D301/'1. Väestöennuste'!F301*1000</f>
        <v>215.1406343506882</v>
      </c>
      <c r="X301" s="41">
        <f>E301/'1. Väestöennuste'!G301*1000</f>
        <v>267.83555018137849</v>
      </c>
      <c r="Y301" s="41">
        <f>F301/'1. Väestöennuste'!H301*1000</f>
        <v>-294.11764705882354</v>
      </c>
      <c r="Z301" s="41">
        <f>G301/'1. Väestöennuste'!I301*1000</f>
        <v>-494.35071970283241</v>
      </c>
      <c r="AA301" s="41">
        <f>H301/'1. Väestöennuste'!J301*1000</f>
        <v>333.30641662601062</v>
      </c>
      <c r="AB301" s="41">
        <f>I301/'1. Väestöennuste'!K301*1000</f>
        <v>356.35068107986029</v>
      </c>
      <c r="AC301" s="41">
        <f>J301/'1. Väestöennuste'!L301*1000</f>
        <v>90.520385703838031</v>
      </c>
      <c r="AD301" s="41">
        <f>K301/'1. Väestöennuste'!M301*1000</f>
        <v>158.52611448040921</v>
      </c>
      <c r="AE301" s="41">
        <f>L301/'1. Väestöennuste'!N301*1000</f>
        <v>34.946798834759669</v>
      </c>
      <c r="AF301" s="41">
        <f>M301/'1. Väestöennuste'!O301*1000</f>
        <v>49.352982336402953</v>
      </c>
      <c r="AG301" s="41">
        <f>N301/'1. Väestöennuste'!P301*1000</f>
        <v>103.00457245745325</v>
      </c>
      <c r="AH301" s="41">
        <f>O301/'1. Väestöennuste'!Q301*1000</f>
        <v>116.79572487867595</v>
      </c>
      <c r="AI301" s="41">
        <f>P301/'1. Väestöennuste'!R301*1000</f>
        <v>213.87132252815746</v>
      </c>
    </row>
    <row r="302" spans="1:35" x14ac:dyDescent="0.2">
      <c r="A302" s="34">
        <v>976</v>
      </c>
      <c r="B302" s="88" t="s">
        <v>616</v>
      </c>
      <c r="C302" s="41" t="e">
        <f>Vuosikate!C302-'6. Poistot'!C302</f>
        <v>#REF!</v>
      </c>
      <c r="D302" s="41">
        <f>Vuosikate!D302-'6. Poistot'!D302</f>
        <v>-541</v>
      </c>
      <c r="E302" s="41">
        <f>Vuosikate!E302-'6. Poistot'!E302</f>
        <v>382</v>
      </c>
      <c r="F302" s="41">
        <f>Vuosikate!F302-'6. Poistot'!F302</f>
        <v>-764</v>
      </c>
      <c r="G302" s="41">
        <f>Vuosikate!G302-'6. Poistot'!G302</f>
        <v>189</v>
      </c>
      <c r="H302" s="41">
        <f>Vuosikate!H302-'6. Poistot'!H302</f>
        <v>757.41494888607849</v>
      </c>
      <c r="I302" s="41">
        <f>Vuosikate!I302-'6. Poistot'!I302</f>
        <v>1031.1107324725269</v>
      </c>
      <c r="J302" s="41">
        <f>Vuosikate!J302-'6. Poistot'!J302</f>
        <v>-1773.734089278561</v>
      </c>
      <c r="K302" s="41">
        <f>Vuosikate!K302-'6. Poistot'!K302</f>
        <v>1547.6456938002227</v>
      </c>
      <c r="L302" s="41">
        <f>Vuosikate!L302-'6. Poistot'!L302</f>
        <v>-502.73699315412478</v>
      </c>
      <c r="M302" s="41">
        <f>Vuosikate!M302-'6. Poistot'!M302</f>
        <v>-658.10126634728294</v>
      </c>
      <c r="N302" s="41">
        <f>Vuosikate!N302-'6. Poistot'!N302</f>
        <v>-821.59518931342791</v>
      </c>
      <c r="O302" s="41">
        <f>Vuosikate!O302-'6. Poistot'!O302</f>
        <v>-1124.505866459725</v>
      </c>
      <c r="P302" s="41">
        <f>Vuosikate!P302-'6. Poistot'!P302</f>
        <v>-724.09568287861089</v>
      </c>
      <c r="T302" s="34">
        <v>976</v>
      </c>
      <c r="U302" s="88" t="s">
        <v>616</v>
      </c>
      <c r="V302" s="41" t="e">
        <f>C302/'1. Väestöennuste'!E302*1000</f>
        <v>#REF!</v>
      </c>
      <c r="W302" s="41">
        <f>D302/'1. Väestöennuste'!F302*1000</f>
        <v>-128.80952380952382</v>
      </c>
      <c r="X302" s="41">
        <f>E302/'1. Väestöennuste'!G302*1000</f>
        <v>92.763477416221477</v>
      </c>
      <c r="Y302" s="41">
        <f>F302/'1. Väestöennuste'!H302*1000</f>
        <v>-189.95524614619592</v>
      </c>
      <c r="Z302" s="41">
        <f>G302/'1. Väestöennuste'!I302*1000</f>
        <v>48.238897396630932</v>
      </c>
      <c r="AA302" s="41">
        <f>H302/'1. Väestöennuste'!J302*1000</f>
        <v>194.70821308125412</v>
      </c>
      <c r="AB302" s="41">
        <f>I302/'1. Väestöennuste'!K302*1000</f>
        <v>269.21951239491563</v>
      </c>
      <c r="AC302" s="41">
        <f>J302/'1. Väestöennuste'!L302*1000</f>
        <v>-468.25081554344274</v>
      </c>
      <c r="AD302" s="41">
        <f>K302/'1. Väestöennuste'!M302*1000</f>
        <v>411.06127325371125</v>
      </c>
      <c r="AE302" s="41">
        <f>L302/'1. Väestöennuste'!N302*1000</f>
        <v>-139.84339169794848</v>
      </c>
      <c r="AF302" s="41">
        <f>M302/'1. Väestöennuste'!O302*1000</f>
        <v>-186.00940258543895</v>
      </c>
      <c r="AG302" s="41">
        <f>N302/'1. Väestöennuste'!P302*1000</f>
        <v>-235.95496533987017</v>
      </c>
      <c r="AH302" s="41">
        <f>O302/'1. Väestöennuste'!Q302*1000</f>
        <v>-327.84427593577988</v>
      </c>
      <c r="AI302" s="41">
        <f>P302/'1. Väestöennuste'!R302*1000</f>
        <v>-214.3563300410334</v>
      </c>
    </row>
    <row r="303" spans="1:35" x14ac:dyDescent="0.2">
      <c r="A303" s="34">
        <v>977</v>
      </c>
      <c r="B303" s="88" t="s">
        <v>617</v>
      </c>
      <c r="C303" s="41" t="e">
        <f>Vuosikate!C303-'6. Poistot'!C303</f>
        <v>#REF!</v>
      </c>
      <c r="D303" s="41">
        <f>Vuosikate!D303-'6. Poistot'!D303</f>
        <v>1540</v>
      </c>
      <c r="E303" s="41">
        <f>Vuosikate!E303-'6. Poistot'!E303</f>
        <v>3106</v>
      </c>
      <c r="F303" s="41">
        <f>Vuosikate!F303-'6. Poistot'!F303</f>
        <v>-7677</v>
      </c>
      <c r="G303" s="41">
        <f>Vuosikate!G303-'6. Poistot'!G303</f>
        <v>-5773</v>
      </c>
      <c r="H303" s="41">
        <f>Vuosikate!H303-'6. Poistot'!H303</f>
        <v>5449.9139664993199</v>
      </c>
      <c r="I303" s="41">
        <f>Vuosikate!I303-'6. Poistot'!I303</f>
        <v>3787.8323188952254</v>
      </c>
      <c r="J303" s="41">
        <f>Vuosikate!J303-'6. Poistot'!J303</f>
        <v>2681.6973070531749</v>
      </c>
      <c r="K303" s="41">
        <f>Vuosikate!K303-'6. Poistot'!K303</f>
        <v>2006.7573084516662</v>
      </c>
      <c r="L303" s="41">
        <f>Vuosikate!L303-'6. Poistot'!L303</f>
        <v>9.5247338167118869</v>
      </c>
      <c r="M303" s="41">
        <f>Vuosikate!M303-'6. Poistot'!M303</f>
        <v>-2989.7179409940745</v>
      </c>
      <c r="N303" s="41">
        <f>Vuosikate!N303-'6. Poistot'!N303</f>
        <v>-1932.323441885901</v>
      </c>
      <c r="O303" s="41">
        <f>Vuosikate!O303-'6. Poistot'!O303</f>
        <v>-1222.5880122466288</v>
      </c>
      <c r="P303" s="41">
        <f>Vuosikate!P303-'6. Poistot'!P303</f>
        <v>-213.87414652357984</v>
      </c>
      <c r="T303" s="34">
        <v>977</v>
      </c>
      <c r="U303" s="88" t="s">
        <v>617</v>
      </c>
      <c r="V303" s="41" t="e">
        <f>C303/'1. Väestöennuste'!E303*1000</f>
        <v>#REF!</v>
      </c>
      <c r="W303" s="41">
        <f>D303/'1. Väestöennuste'!F303*1000</f>
        <v>101.32245542469899</v>
      </c>
      <c r="X303" s="41">
        <f>E303/'1. Väestöennuste'!G303*1000</f>
        <v>203.65877647367387</v>
      </c>
      <c r="Y303" s="41">
        <f>F303/'1. Väestöennuste'!H303*1000</f>
        <v>-504.66736786747299</v>
      </c>
      <c r="Z303" s="41">
        <f>G303/'1. Väestöennuste'!I303*1000</f>
        <v>-378.4333005571944</v>
      </c>
      <c r="AA303" s="41">
        <f>H303/'1. Väestöennuste'!J303*1000</f>
        <v>356.11042645709097</v>
      </c>
      <c r="AB303" s="41">
        <f>I303/'1. Väestöennuste'!K303*1000</f>
        <v>246.65184078239406</v>
      </c>
      <c r="AC303" s="41">
        <f>J303/'1. Väestöennuste'!L303*1000</f>
        <v>175.35456137142319</v>
      </c>
      <c r="AD303" s="41">
        <f>K303/'1. Väestöennuste'!M303*1000</f>
        <v>130.57175538107006</v>
      </c>
      <c r="AE303" s="41">
        <f>L303/'1. Väestöennuste'!N303*1000</f>
        <v>0.61584985236724998</v>
      </c>
      <c r="AF303" s="41">
        <f>M303/'1. Väestöennuste'!O303*1000</f>
        <v>-193.05940468772275</v>
      </c>
      <c r="AG303" s="41">
        <f>N303/'1. Väestöennuste'!P303*1000</f>
        <v>-124.68211652380313</v>
      </c>
      <c r="AH303" s="41">
        <f>O303/'1. Väestöennuste'!Q303*1000</f>
        <v>-78.881735095595118</v>
      </c>
      <c r="AI303" s="41">
        <f>P303/'1. Väestöennuste'!R303*1000</f>
        <v>-13.807239930508706</v>
      </c>
    </row>
    <row r="304" spans="1:35" x14ac:dyDescent="0.2">
      <c r="A304" s="34">
        <v>980</v>
      </c>
      <c r="B304" s="88" t="s">
        <v>618</v>
      </c>
      <c r="C304" s="41" t="e">
        <f>Vuosikate!C304-'6. Poistot'!C304</f>
        <v>#REF!</v>
      </c>
      <c r="D304" s="41">
        <f>Vuosikate!D304-'6. Poistot'!D304</f>
        <v>-3257</v>
      </c>
      <c r="E304" s="41">
        <f>Vuosikate!E304-'6. Poistot'!E304</f>
        <v>9310</v>
      </c>
      <c r="F304" s="41">
        <f>Vuosikate!F304-'6. Poistot'!F304</f>
        <v>1655</v>
      </c>
      <c r="G304" s="41">
        <f>Vuosikate!G304-'6. Poistot'!G304</f>
        <v>-6049</v>
      </c>
      <c r="H304" s="41">
        <f>Vuosikate!H304-'6. Poistot'!H304</f>
        <v>6277.102375953451</v>
      </c>
      <c r="I304" s="41">
        <f>Vuosikate!I304-'6. Poistot'!I304</f>
        <v>-1380.3120683632824</v>
      </c>
      <c r="J304" s="41">
        <f>Vuosikate!J304-'6. Poistot'!J304</f>
        <v>-2915.472158311346</v>
      </c>
      <c r="K304" s="41">
        <f>Vuosikate!K304-'6. Poistot'!K304</f>
        <v>4506.4117043123042</v>
      </c>
      <c r="L304" s="41">
        <f>Vuosikate!L304-'6. Poistot'!L304</f>
        <v>-3234.0537285062073</v>
      </c>
      <c r="M304" s="41">
        <f>Vuosikate!M304-'6. Poistot'!M304</f>
        <v>-4624.8661777526286</v>
      </c>
      <c r="N304" s="41">
        <f>Vuosikate!N304-'6. Poistot'!N304</f>
        <v>-4192.8620517140444</v>
      </c>
      <c r="O304" s="41">
        <f>Vuosikate!O304-'6. Poistot'!O304</f>
        <v>-4571.6220343068762</v>
      </c>
      <c r="P304" s="41">
        <f>Vuosikate!P304-'6. Poistot'!P304</f>
        <v>-3027.5864262286232</v>
      </c>
      <c r="T304" s="34">
        <v>980</v>
      </c>
      <c r="U304" s="88" t="s">
        <v>618</v>
      </c>
      <c r="V304" s="41" t="e">
        <f>C304/'1. Väestöennuste'!E304*1000</f>
        <v>#REF!</v>
      </c>
      <c r="W304" s="41">
        <f>D304/'1. Väestöennuste'!F304*1000</f>
        <v>-99.30180798195066</v>
      </c>
      <c r="X304" s="41">
        <f>E304/'1. Väestöennuste'!G304*1000</f>
        <v>283.16807591702661</v>
      </c>
      <c r="Y304" s="41">
        <f>F304/'1. Väestöennuste'!H304*1000</f>
        <v>50.17736409665585</v>
      </c>
      <c r="Z304" s="41">
        <f>G304/'1. Väestöennuste'!I304*1000</f>
        <v>-181.90292897095085</v>
      </c>
      <c r="AA304" s="41">
        <f>H304/'1. Väestöennuste'!J304*1000</f>
        <v>188.2076749806144</v>
      </c>
      <c r="AB304" s="41">
        <f>I304/'1. Väestöennuste'!K304*1000</f>
        <v>-41.162796897482551</v>
      </c>
      <c r="AC304" s="41">
        <f>J304/'1. Väestöennuste'!L304*1000</f>
        <v>-86.751931392607077</v>
      </c>
      <c r="AD304" s="41">
        <f>K304/'1. Väestöennuste'!M304*1000</f>
        <v>133.81274176180492</v>
      </c>
      <c r="AE304" s="41">
        <f>L304/'1. Väestöennuste'!N304*1000</f>
        <v>-95.436413034680186</v>
      </c>
      <c r="AF304" s="41">
        <f>M304/'1. Väestöennuste'!O304*1000</f>
        <v>-136.01747478832505</v>
      </c>
      <c r="AG304" s="41">
        <f>N304/'1. Väestöennuste'!P304*1000</f>
        <v>-122.9289917823984</v>
      </c>
      <c r="AH304" s="41">
        <f>O304/'1. Väestöennuste'!Q304*1000</f>
        <v>-133.6575264386293</v>
      </c>
      <c r="AI304" s="41">
        <f>P304/'1. Väestöennuste'!R304*1000</f>
        <v>-88.303868232766234</v>
      </c>
    </row>
    <row r="305" spans="1:35" x14ac:dyDescent="0.2">
      <c r="A305" s="34">
        <v>981</v>
      </c>
      <c r="B305" s="88" t="s">
        <v>619</v>
      </c>
      <c r="C305" s="41" t="e">
        <f>Vuosikate!C305-'6. Poistot'!C305</f>
        <v>#REF!</v>
      </c>
      <c r="D305" s="41">
        <f>Vuosikate!D305-'6. Poistot'!D305</f>
        <v>-142</v>
      </c>
      <c r="E305" s="41">
        <f>Vuosikate!E305-'6. Poistot'!E305</f>
        <v>201</v>
      </c>
      <c r="F305" s="41">
        <f>Vuosikate!F305-'6. Poistot'!F305</f>
        <v>-978</v>
      </c>
      <c r="G305" s="41">
        <f>Vuosikate!G305-'6. Poistot'!G305</f>
        <v>-453</v>
      </c>
      <c r="H305" s="41">
        <f>Vuosikate!H305-'6. Poistot'!H305</f>
        <v>1339.4954909403623</v>
      </c>
      <c r="I305" s="41">
        <f>Vuosikate!I305-'6. Poistot'!I305</f>
        <v>742.50021311820478</v>
      </c>
      <c r="J305" s="41">
        <f>Vuosikate!J305-'6. Poistot'!J305</f>
        <v>1143.1543233573564</v>
      </c>
      <c r="K305" s="41">
        <f>Vuosikate!K305-'6. Poistot'!K305</f>
        <v>991.56018005070928</v>
      </c>
      <c r="L305" s="41">
        <f>Vuosikate!L305-'6. Poistot'!L305</f>
        <v>192.36442788189356</v>
      </c>
      <c r="M305" s="41">
        <f>Vuosikate!M305-'6. Poistot'!M305</f>
        <v>216.10229155972468</v>
      </c>
      <c r="N305" s="41">
        <f>Vuosikate!N305-'6. Poistot'!N305</f>
        <v>-161.44265547008098</v>
      </c>
      <c r="O305" s="41">
        <f>Vuosikate!O305-'6. Poistot'!O305</f>
        <v>-174.0802102772272</v>
      </c>
      <c r="P305" s="41">
        <f>Vuosikate!P305-'6. Poistot'!P305</f>
        <v>-24.755461387777586</v>
      </c>
      <c r="T305" s="34">
        <v>981</v>
      </c>
      <c r="U305" s="88" t="s">
        <v>619</v>
      </c>
      <c r="V305" s="41" t="e">
        <f>C305/'1. Väestöennuste'!E305*1000</f>
        <v>#REF!</v>
      </c>
      <c r="W305" s="41">
        <f>D305/'1. Väestöennuste'!F305*1000</f>
        <v>-59.613769941225861</v>
      </c>
      <c r="X305" s="41">
        <f>E305/'1. Väestöennuste'!G305*1000</f>
        <v>84.73861720067454</v>
      </c>
      <c r="Y305" s="41">
        <f>F305/'1. Väestöennuste'!H305*1000</f>
        <v>-414.93423843869328</v>
      </c>
      <c r="Z305" s="41">
        <f>G305/'1. Väestöennuste'!I305*1000</f>
        <v>-193.34186939820745</v>
      </c>
      <c r="AA305" s="41">
        <f>H305/'1. Väestöennuste'!J305*1000</f>
        <v>578.86581285236048</v>
      </c>
      <c r="AB305" s="41">
        <f>I305/'1. Väestöennuste'!K305*1000</f>
        <v>325.3725736714307</v>
      </c>
      <c r="AC305" s="41">
        <f>J305/'1. Väestöennuste'!L305*1000</f>
        <v>511.02115483118303</v>
      </c>
      <c r="AD305" s="41">
        <f>K305/'1. Väestöennuste'!M305*1000</f>
        <v>449.27964660204316</v>
      </c>
      <c r="AE305" s="41">
        <f>L305/'1. Väestöennuste'!N305*1000</f>
        <v>85.762116755191059</v>
      </c>
      <c r="AF305" s="41">
        <f>M305/'1. Väestöennuste'!O305*1000</f>
        <v>97.080993512904172</v>
      </c>
      <c r="AG305" s="41">
        <f>N305/'1. Väestöennuste'!P305*1000</f>
        <v>-73.084045029461734</v>
      </c>
      <c r="AH305" s="41">
        <f>O305/'1. Väestöennuste'!Q305*1000</f>
        <v>-79.307612882563646</v>
      </c>
      <c r="AI305" s="41">
        <f>P305/'1. Väestöennuste'!R305*1000</f>
        <v>-11.355716232925499</v>
      </c>
    </row>
    <row r="306" spans="1:35" x14ac:dyDescent="0.2">
      <c r="A306" s="34">
        <v>989</v>
      </c>
      <c r="B306" s="88" t="s">
        <v>620</v>
      </c>
      <c r="C306" s="41" t="e">
        <f>Vuosikate!C306-'6. Poistot'!C306</f>
        <v>#REF!</v>
      </c>
      <c r="D306" s="41">
        <f>Vuosikate!D306-'6. Poistot'!D306</f>
        <v>2002</v>
      </c>
      <c r="E306" s="41">
        <f>Vuosikate!E306-'6. Poistot'!E306</f>
        <v>2898</v>
      </c>
      <c r="F306" s="41">
        <f>Vuosikate!F306-'6. Poistot'!F306</f>
        <v>1002</v>
      </c>
      <c r="G306" s="41">
        <f>Vuosikate!G306-'6. Poistot'!G306</f>
        <v>-2205</v>
      </c>
      <c r="H306" s="41">
        <f>Vuosikate!H306-'6. Poistot'!H306</f>
        <v>640.88971944710283</v>
      </c>
      <c r="I306" s="41">
        <f>Vuosikate!I306-'6. Poistot'!I306</f>
        <v>501.70951710498593</v>
      </c>
      <c r="J306" s="41">
        <f>Vuosikate!J306-'6. Poistot'!J306</f>
        <v>1784.7922752955469</v>
      </c>
      <c r="K306" s="41">
        <f>Vuosikate!K306-'6. Poistot'!K306</f>
        <v>-7584.8035059640924</v>
      </c>
      <c r="L306" s="41">
        <f>Vuosikate!L306-'6. Poistot'!L306</f>
        <v>-834.77038281246178</v>
      </c>
      <c r="M306" s="41">
        <f>Vuosikate!M306-'6. Poistot'!M306</f>
        <v>-9635.7868282016625</v>
      </c>
      <c r="N306" s="41">
        <f>Vuosikate!N306-'6. Poistot'!N306</f>
        <v>-9955.4099346435214</v>
      </c>
      <c r="O306" s="41">
        <f>Vuosikate!O306-'6. Poistot'!O306</f>
        <v>-10271.553878326114</v>
      </c>
      <c r="P306" s="41">
        <f>Vuosikate!P306-'6. Poistot'!P306</f>
        <v>-9667.2126219763413</v>
      </c>
      <c r="T306" s="34">
        <v>989</v>
      </c>
      <c r="U306" s="88" t="s">
        <v>620</v>
      </c>
      <c r="V306" s="41" t="e">
        <f>C306/'1. Väestöennuste'!E306*1000</f>
        <v>#REF!</v>
      </c>
      <c r="W306" s="41">
        <f>D306/'1. Väestöennuste'!F306*1000</f>
        <v>334.5029239766082</v>
      </c>
      <c r="X306" s="41">
        <f>E306/'1. Väestöennuste'!G306*1000</f>
        <v>490.68743650524885</v>
      </c>
      <c r="Y306" s="41">
        <f>F306/'1. Väestöennuste'!H306*1000</f>
        <v>175.69700157811675</v>
      </c>
      <c r="Z306" s="41">
        <f>G306/'1. Väestöennuste'!I306*1000</f>
        <v>-392.62820512820514</v>
      </c>
      <c r="AA306" s="41">
        <f>H306/'1. Väestöennuste'!J306*1000</f>
        <v>116.06115890023594</v>
      </c>
      <c r="AB306" s="41">
        <f>I306/'1. Väestöennuste'!K306*1000</f>
        <v>91.486053447298687</v>
      </c>
      <c r="AC306" s="41">
        <f>J306/'1. Väestöennuste'!L306*1000</f>
        <v>330.150254401692</v>
      </c>
      <c r="AD306" s="41">
        <f>K306/'1. Väestöennuste'!M306*1000</f>
        <v>-1426.7877174499797</v>
      </c>
      <c r="AE306" s="41">
        <f>L306/'1. Väestöennuste'!N306*1000</f>
        <v>-161.62059686591709</v>
      </c>
      <c r="AF306" s="41">
        <f>M306/'1. Väestöennuste'!O306*1000</f>
        <v>-1894.198314960028</v>
      </c>
      <c r="AG306" s="41">
        <f>N306/'1. Väestöennuste'!P306*1000</f>
        <v>-1987.1077713859324</v>
      </c>
      <c r="AH306" s="41">
        <f>O306/'1. Väestöennuste'!Q306*1000</f>
        <v>-2081.790409064879</v>
      </c>
      <c r="AI306" s="41">
        <f>P306/'1. Väestöennuste'!R306*1000</f>
        <v>-1987.9112938466669</v>
      </c>
    </row>
    <row r="307" spans="1:35" x14ac:dyDescent="0.2">
      <c r="A307" s="34">
        <v>992</v>
      </c>
      <c r="B307" s="88" t="s">
        <v>621</v>
      </c>
      <c r="C307" s="41" t="e">
        <f>Vuosikate!C307-'6. Poistot'!C307</f>
        <v>#REF!</v>
      </c>
      <c r="D307" s="41">
        <f>Vuosikate!D307-'6. Poistot'!D307</f>
        <v>5777</v>
      </c>
      <c r="E307" s="41">
        <f>Vuosikate!E307-'6. Poistot'!E307</f>
        <v>7580</v>
      </c>
      <c r="F307" s="41">
        <f>Vuosikate!F307-'6. Poistot'!F307</f>
        <v>690</v>
      </c>
      <c r="G307" s="41">
        <f>Vuosikate!G307-'6. Poistot'!G307</f>
        <v>-940</v>
      </c>
      <c r="H307" s="41">
        <f>Vuosikate!H307-'6. Poistot'!H307</f>
        <v>2491.3949333650526</v>
      </c>
      <c r="I307" s="41">
        <f>Vuosikate!I307-'6. Poistot'!I307</f>
        <v>2138.3054497103094</v>
      </c>
      <c r="J307" s="41">
        <f>Vuosikate!J307-'6. Poistot'!J307</f>
        <v>-8027.3962751031349</v>
      </c>
      <c r="K307" s="41">
        <f>Vuosikate!K307-'6. Poistot'!K307</f>
        <v>4615.9019475346631</v>
      </c>
      <c r="L307" s="41">
        <f>Vuosikate!L307-'6. Poistot'!L307</f>
        <v>1849.0095024005332</v>
      </c>
      <c r="M307" s="41">
        <f>Vuosikate!M307-'6. Poistot'!M307</f>
        <v>-3989.40804383453</v>
      </c>
      <c r="N307" s="41">
        <f>Vuosikate!N307-'6. Poistot'!N307</f>
        <v>-4260.2397065122095</v>
      </c>
      <c r="O307" s="41">
        <f>Vuosikate!O307-'6. Poistot'!O307</f>
        <v>-4111.3475645326698</v>
      </c>
      <c r="P307" s="41">
        <f>Vuosikate!P307-'6. Poistot'!P307</f>
        <v>-1879.3484897666794</v>
      </c>
      <c r="T307" s="34">
        <v>992</v>
      </c>
      <c r="U307" s="88" t="s">
        <v>621</v>
      </c>
      <c r="V307" s="41" t="e">
        <f>C307/'1. Väestöennuste'!E307*1000</f>
        <v>#REF!</v>
      </c>
      <c r="W307" s="41">
        <f>D307/'1. Väestöennuste'!F307*1000</f>
        <v>298.18313203262102</v>
      </c>
      <c r="X307" s="41">
        <f>E307/'1. Väestöennuste'!G307*1000</f>
        <v>395.94651065608019</v>
      </c>
      <c r="Y307" s="41">
        <f>F307/'1. Väestöennuste'!H307*1000</f>
        <v>36.602832740968651</v>
      </c>
      <c r="Z307" s="41">
        <f>G307/'1. Väestöennuste'!I307*1000</f>
        <v>-50.093258726352254</v>
      </c>
      <c r="AA307" s="41">
        <f>H307/'1. Väestöennuste'!J307*1000</f>
        <v>134.1118013331029</v>
      </c>
      <c r="AB307" s="41">
        <f>I307/'1. Väestöennuste'!K307*1000</f>
        <v>116.73247350749587</v>
      </c>
      <c r="AC307" s="41">
        <f>J307/'1. Väestöennuste'!L307*1000</f>
        <v>-443.01303946485291</v>
      </c>
      <c r="AD307" s="41">
        <f>K307/'1. Väestöennuste'!M307*1000</f>
        <v>256.85281551024781</v>
      </c>
      <c r="AE307" s="41">
        <f>L307/'1. Väestöennuste'!N307*1000</f>
        <v>104.04059770428388</v>
      </c>
      <c r="AF307" s="41">
        <f>M307/'1. Väestöennuste'!O307*1000</f>
        <v>-226.95460483755434</v>
      </c>
      <c r="AG307" s="41">
        <f>N307/'1. Väestöennuste'!P307*1000</f>
        <v>-244.98215678621102</v>
      </c>
      <c r="AH307" s="41">
        <f>O307/'1. Väestöennuste'!Q307*1000</f>
        <v>-238.93459432397688</v>
      </c>
      <c r="AI307" s="41">
        <f>P307/'1. Väestöennuste'!R307*1000</f>
        <v>-110.34868708629438</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X307"/>
  <sheetViews>
    <sheetView zoomScale="90" zoomScaleNormal="90" workbookViewId="0">
      <pane xSplit="2" ySplit="12" topLeftCell="H13" activePane="bottomRight" state="frozen"/>
      <selection pane="topRight" activeCell="C1" sqref="C1"/>
      <selection pane="bottomLeft" activeCell="A13" sqref="A13"/>
      <selection pane="bottomRight" activeCell="K15" sqref="K15"/>
    </sheetView>
  </sheetViews>
  <sheetFormatPr defaultColWidth="9.140625" defaultRowHeight="15" x14ac:dyDescent="0.25"/>
  <cols>
    <col min="1" max="1" width="9.140625" style="41"/>
    <col min="2" max="2" width="20.5703125" style="41" bestFit="1" customWidth="1"/>
    <col min="3" max="13" width="23.140625" style="41" bestFit="1" customWidth="1"/>
    <col min="14" max="16" width="23.140625" style="41" customWidth="1"/>
    <col min="17" max="17" width="9.140625" style="41"/>
    <col min="18" max="18" width="9.140625" style="117"/>
    <col min="19" max="20" width="9.140625" style="4"/>
    <col min="21" max="21" width="20.5703125" style="4" bestFit="1" customWidth="1"/>
    <col min="22" max="32" width="9.140625" style="4"/>
    <col min="33" max="38" width="9.140625" style="41"/>
    <col min="40" max="16384" width="9.140625" style="41"/>
  </cols>
  <sheetData>
    <row r="1" spans="1:50" x14ac:dyDescent="0.25">
      <c r="A1" s="43" t="s">
        <v>812</v>
      </c>
      <c r="B1" s="43"/>
    </row>
    <row r="2" spans="1:50" x14ac:dyDescent="0.25">
      <c r="A2" s="43"/>
      <c r="B2" s="43"/>
    </row>
    <row r="3" spans="1:50" x14ac:dyDescent="0.25">
      <c r="A3" s="43"/>
      <c r="B3" s="43"/>
      <c r="I3" s="121"/>
    </row>
    <row r="4" spans="1:50" x14ac:dyDescent="0.25">
      <c r="A4" s="43"/>
      <c r="B4" s="43"/>
      <c r="C4" s="121"/>
    </row>
    <row r="5" spans="1:50" x14ac:dyDescent="0.25">
      <c r="A5" s="43"/>
      <c r="B5" s="43"/>
    </row>
    <row r="6" spans="1:50" x14ac:dyDescent="0.25">
      <c r="A6" s="43"/>
      <c r="B6" s="43"/>
    </row>
    <row r="7" spans="1:50" x14ac:dyDescent="0.25">
      <c r="A7" s="43"/>
      <c r="B7" s="118" t="s">
        <v>683</v>
      </c>
      <c r="C7" s="119">
        <f t="shared" ref="C7:L7" si="0">COUNTIF(C15:C307,"&lt;0")</f>
        <v>44</v>
      </c>
      <c r="D7" s="119">
        <f t="shared" si="0"/>
        <v>33</v>
      </c>
      <c r="E7" s="119">
        <f t="shared" si="0"/>
        <v>22</v>
      </c>
      <c r="F7" s="119">
        <f t="shared" si="0"/>
        <v>39</v>
      </c>
      <c r="G7" s="119">
        <f t="shared" si="0"/>
        <v>56</v>
      </c>
      <c r="H7" s="119">
        <f t="shared" si="0"/>
        <v>27</v>
      </c>
      <c r="I7" s="119">
        <f t="shared" si="0"/>
        <v>14</v>
      </c>
      <c r="J7" s="119">
        <f t="shared" si="0"/>
        <v>21</v>
      </c>
      <c r="K7" s="119">
        <f t="shared" si="0"/>
        <v>18</v>
      </c>
      <c r="L7" s="119">
        <f t="shared" si="0"/>
        <v>27</v>
      </c>
      <c r="M7" s="119">
        <f>COUNTIF(M15:M307,"&lt;0")</f>
        <v>43</v>
      </c>
      <c r="N7" s="119">
        <f>COUNTIF(N15:N307,"&lt;0")</f>
        <v>65</v>
      </c>
      <c r="O7" s="119">
        <f>COUNTIF(O15:O307,"&lt;0")</f>
        <v>85</v>
      </c>
      <c r="P7" s="119">
        <f>COUNTIF(P15:P307,"&lt;0")</f>
        <v>101</v>
      </c>
      <c r="R7" s="123" t="s">
        <v>319</v>
      </c>
    </row>
    <row r="8" spans="1:50" x14ac:dyDescent="0.25">
      <c r="A8" s="43" t="s">
        <v>622</v>
      </c>
      <c r="B8" s="43"/>
      <c r="C8" s="394" t="s">
        <v>323</v>
      </c>
      <c r="D8" s="394" t="s">
        <v>323</v>
      </c>
      <c r="E8" s="394" t="s">
        <v>323</v>
      </c>
      <c r="F8" s="394" t="s">
        <v>323</v>
      </c>
      <c r="G8" s="394" t="s">
        <v>323</v>
      </c>
      <c r="H8" s="394" t="s">
        <v>323</v>
      </c>
      <c r="I8" s="394" t="s">
        <v>323</v>
      </c>
    </row>
    <row r="9" spans="1:50" s="126" customFormat="1" ht="11.25" x14ac:dyDescent="0.2">
      <c r="A9" s="116" t="s">
        <v>311</v>
      </c>
      <c r="B9" s="116"/>
      <c r="C9" s="346">
        <v>2015</v>
      </c>
      <c r="D9" s="346">
        <v>2016</v>
      </c>
      <c r="E9" s="346">
        <v>2017</v>
      </c>
      <c r="F9" s="346">
        <v>2018</v>
      </c>
      <c r="G9" s="346">
        <v>2019</v>
      </c>
      <c r="H9" s="346">
        <v>2020</v>
      </c>
      <c r="I9" s="346">
        <v>2021</v>
      </c>
      <c r="J9" s="346">
        <v>2022</v>
      </c>
      <c r="K9" s="346">
        <v>2023</v>
      </c>
      <c r="L9" s="346">
        <v>2024</v>
      </c>
      <c r="M9" s="346">
        <v>2025</v>
      </c>
      <c r="N9" s="346">
        <v>2026</v>
      </c>
      <c r="O9" s="346">
        <v>2027</v>
      </c>
      <c r="P9" s="346">
        <v>2028</v>
      </c>
      <c r="R9" s="107"/>
      <c r="S9" s="120"/>
      <c r="T9" s="120"/>
      <c r="U9" s="120"/>
      <c r="V9" s="120"/>
      <c r="W9" s="120"/>
      <c r="X9" s="120"/>
      <c r="Y9" s="120"/>
      <c r="Z9" s="120"/>
      <c r="AA9" s="120"/>
      <c r="AB9" s="120"/>
      <c r="AC9" s="120"/>
      <c r="AD9" s="120"/>
      <c r="AE9" s="120"/>
      <c r="AF9" s="120"/>
    </row>
    <row r="10" spans="1:50" x14ac:dyDescent="0.25">
      <c r="A10" s="43" t="s">
        <v>623</v>
      </c>
      <c r="B10" s="43"/>
    </row>
    <row r="11" spans="1:50" ht="15.75" thickBot="1" x14ac:dyDescent="0.3">
      <c r="A11" s="43" t="s">
        <v>624</v>
      </c>
      <c r="B11" s="43"/>
    </row>
    <row r="12" spans="1:50" ht="12" thickBot="1" x14ac:dyDescent="0.25">
      <c r="A12" s="83" t="s">
        <v>326</v>
      </c>
      <c r="B12" s="84" t="s">
        <v>327</v>
      </c>
      <c r="C12" s="94" t="s">
        <v>645</v>
      </c>
      <c r="D12" s="94" t="s">
        <v>645</v>
      </c>
      <c r="E12" s="94" t="s">
        <v>645</v>
      </c>
      <c r="F12" s="94" t="s">
        <v>645</v>
      </c>
      <c r="G12" s="94" t="s">
        <v>645</v>
      </c>
      <c r="H12" s="94" t="s">
        <v>645</v>
      </c>
      <c r="I12" s="94" t="s">
        <v>645</v>
      </c>
      <c r="J12" s="94" t="s">
        <v>645</v>
      </c>
      <c r="K12" s="94" t="s">
        <v>645</v>
      </c>
      <c r="L12" s="94" t="s">
        <v>645</v>
      </c>
      <c r="M12" s="94" t="s">
        <v>645</v>
      </c>
      <c r="N12" s="94" t="s">
        <v>645</v>
      </c>
      <c r="O12" s="94" t="s">
        <v>645</v>
      </c>
      <c r="P12" s="94" t="s">
        <v>645</v>
      </c>
      <c r="T12" s="94" t="s">
        <v>326</v>
      </c>
      <c r="U12" s="94" t="s">
        <v>327</v>
      </c>
      <c r="V12" s="77">
        <v>2015</v>
      </c>
      <c r="W12" s="77">
        <v>2016</v>
      </c>
      <c r="X12" s="77">
        <v>2017</v>
      </c>
      <c r="Y12" s="77">
        <v>2018</v>
      </c>
      <c r="Z12" s="77">
        <v>2019</v>
      </c>
      <c r="AA12" s="77">
        <v>2020</v>
      </c>
      <c r="AB12" s="77">
        <v>2021</v>
      </c>
      <c r="AC12" s="77">
        <v>2022</v>
      </c>
      <c r="AD12" s="77">
        <v>2023</v>
      </c>
      <c r="AE12" s="77">
        <v>2024</v>
      </c>
      <c r="AF12" s="77">
        <v>2025</v>
      </c>
      <c r="AG12" s="77">
        <v>2026</v>
      </c>
      <c r="AH12" s="77">
        <v>2027</v>
      </c>
      <c r="AI12" s="77">
        <v>2028</v>
      </c>
      <c r="AK12" s="77">
        <v>2015</v>
      </c>
      <c r="AL12" s="77">
        <v>2016</v>
      </c>
      <c r="AM12" s="77">
        <v>2017</v>
      </c>
      <c r="AN12" s="77">
        <v>2018</v>
      </c>
      <c r="AO12" s="77">
        <v>2019</v>
      </c>
      <c r="AP12" s="77">
        <v>2020</v>
      </c>
      <c r="AQ12" s="77">
        <v>2021</v>
      </c>
      <c r="AR12" s="77">
        <v>2022</v>
      </c>
      <c r="AS12" s="77">
        <v>2023</v>
      </c>
      <c r="AT12" s="77">
        <v>2024</v>
      </c>
      <c r="AU12" s="77">
        <v>2025</v>
      </c>
      <c r="AV12" s="77">
        <v>2026</v>
      </c>
      <c r="AW12" s="77">
        <v>2027</v>
      </c>
      <c r="AX12" s="77">
        <v>2028</v>
      </c>
    </row>
    <row r="13" spans="1:50" ht="11.25" x14ac:dyDescent="0.2">
      <c r="A13" s="39"/>
      <c r="B13" s="86" t="s">
        <v>312</v>
      </c>
      <c r="C13" s="41">
        <f t="shared" ref="C13:L13" si="1">SUM(C15:C307)</f>
        <v>9436221</v>
      </c>
      <c r="D13" s="41">
        <f t="shared" si="1"/>
        <v>10323267</v>
      </c>
      <c r="E13" s="41">
        <f t="shared" si="1"/>
        <v>11307120</v>
      </c>
      <c r="F13" s="41">
        <f t="shared" si="1"/>
        <v>11261407</v>
      </c>
      <c r="G13" s="41">
        <f t="shared" si="1"/>
        <v>11084663</v>
      </c>
      <c r="H13" s="41">
        <f t="shared" si="1"/>
        <v>12581318</v>
      </c>
      <c r="I13" s="41">
        <f t="shared" si="1"/>
        <v>13856797.711450001</v>
      </c>
      <c r="J13" s="41">
        <f t="shared" si="1"/>
        <v>14031401.235261025</v>
      </c>
      <c r="K13" s="41">
        <f t="shared" si="1"/>
        <v>15521281.277707165</v>
      </c>
      <c r="L13" s="41">
        <f t="shared" si="1"/>
        <v>15773271.031311162</v>
      </c>
      <c r="M13" s="41">
        <f>SUM(M15:M307)</f>
        <v>15366223.83329403</v>
      </c>
      <c r="N13" s="41">
        <f>SUM(N15:N307)</f>
        <v>14890122.297780318</v>
      </c>
      <c r="O13" s="41">
        <f>SUM(O15:O307)</f>
        <v>14399155.916328646</v>
      </c>
      <c r="P13" s="41">
        <f>SUM(P15:P307)</f>
        <v>14211804.552107397</v>
      </c>
      <c r="S13" s="8"/>
      <c r="T13" s="39"/>
      <c r="U13" s="86" t="s">
        <v>312</v>
      </c>
      <c r="V13" s="41">
        <f>C13/'1. Väestöennuste'!E13*1000</f>
        <v>1729.512329634837</v>
      </c>
      <c r="W13" s="41">
        <f>D13/'1. Väestöennuste'!F13*1000</f>
        <v>1885.844076533001</v>
      </c>
      <c r="X13" s="41">
        <f>E13/'1. Väestöennuste'!G13*1000</f>
        <v>2061.9730576819306</v>
      </c>
      <c r="Y13" s="41">
        <f>F13/'1. Väestöennuste'!H13*1000</f>
        <v>2051.9570418339213</v>
      </c>
      <c r="Z13" s="41">
        <f>G13/'1. Väestöennuste'!I13*1000</f>
        <v>2017.0773489429719</v>
      </c>
      <c r="AA13" s="41">
        <f>H13/'1. Väestöennuste'!J13*1000</f>
        <v>2285.9894790088929</v>
      </c>
      <c r="AB13" s="41">
        <f>I13/'1. Väestöennuste'!K13*1000</f>
        <v>2511.2461706787931</v>
      </c>
      <c r="AC13" s="41">
        <f>J13/'1. Väestöennuste'!L13*1000</f>
        <v>2535.6681623014383</v>
      </c>
      <c r="AD13" s="41">
        <f>K13/'1. Väestöennuste'!M13*1000</f>
        <v>2784.9305489389903</v>
      </c>
      <c r="AE13" s="41">
        <f>L13/'1. Väestöennuste'!N13*1000</f>
        <v>2847.9041698087917</v>
      </c>
      <c r="AF13" s="41">
        <f>M13/'1. Väestöennuste'!O13*1000</f>
        <v>2771.2390181909786</v>
      </c>
      <c r="AG13" s="41">
        <f>N13/'1. Väestöennuste'!P13*1000</f>
        <v>2682.6207057306933</v>
      </c>
      <c r="AH13" s="41">
        <f>O13/'1. Väestöennuste'!Q13*1000</f>
        <v>2591.7820781674459</v>
      </c>
      <c r="AI13" s="41">
        <f>P13/'1. Väestöennuste'!R13*1000</f>
        <v>2556.065244248126</v>
      </c>
      <c r="AK13" s="41">
        <f>SUM(AK15:AK307)</f>
        <v>-44</v>
      </c>
      <c r="AL13" s="41">
        <f t="shared" ref="AL13:AV13" si="2">SUM(AL15:AL307)</f>
        <v>-33</v>
      </c>
      <c r="AM13" s="41">
        <f t="shared" si="2"/>
        <v>-22</v>
      </c>
      <c r="AN13" s="41">
        <f t="shared" si="2"/>
        <v>-39</v>
      </c>
      <c r="AO13" s="41">
        <f t="shared" si="2"/>
        <v>-56</v>
      </c>
      <c r="AP13" s="41">
        <f t="shared" si="2"/>
        <v>-27</v>
      </c>
      <c r="AQ13" s="41">
        <f t="shared" si="2"/>
        <v>-14</v>
      </c>
      <c r="AR13" s="41">
        <f t="shared" si="2"/>
        <v>-21</v>
      </c>
      <c r="AS13" s="41">
        <f t="shared" si="2"/>
        <v>-18</v>
      </c>
      <c r="AT13" s="41">
        <f t="shared" si="2"/>
        <v>-27</v>
      </c>
      <c r="AU13" s="41">
        <f t="shared" si="2"/>
        <v>-43</v>
      </c>
      <c r="AV13" s="41">
        <f t="shared" si="2"/>
        <v>-65</v>
      </c>
      <c r="AW13" s="41">
        <f t="shared" ref="AW13:AX13" si="3">SUM(AW15:AW307)</f>
        <v>-85</v>
      </c>
      <c r="AX13" s="41">
        <f t="shared" si="3"/>
        <v>-101</v>
      </c>
    </row>
    <row r="14" spans="1:50" x14ac:dyDescent="0.25">
      <c r="A14" s="39"/>
      <c r="B14" s="86"/>
      <c r="T14" s="39"/>
      <c r="U14" s="86"/>
      <c r="V14" s="41"/>
      <c r="W14" s="41"/>
      <c r="X14" s="41"/>
      <c r="Y14" s="41"/>
      <c r="Z14" s="41"/>
      <c r="AA14" s="41"/>
      <c r="AB14" s="41"/>
      <c r="AC14" s="41"/>
      <c r="AD14" s="41"/>
      <c r="AE14" s="41"/>
      <c r="AF14" s="41"/>
    </row>
    <row r="15" spans="1:50" ht="11.25" x14ac:dyDescent="0.2">
      <c r="A15" s="34">
        <v>5</v>
      </c>
      <c r="B15" s="88" t="s">
        <v>328</v>
      </c>
      <c r="C15" s="65">
        <v>-2000</v>
      </c>
      <c r="D15" s="65">
        <v>5020</v>
      </c>
      <c r="E15" s="65">
        <v>8644</v>
      </c>
      <c r="F15" s="65">
        <v>7731</v>
      </c>
      <c r="G15" s="41">
        <v>5768</v>
      </c>
      <c r="H15" s="41">
        <v>7833</v>
      </c>
      <c r="I15" s="41">
        <v>8691.0721200000007</v>
      </c>
      <c r="J15" s="41">
        <f>I15+'Tilikauden tulos'!J15+'9. Tulorahkorjauserät'!J15</f>
        <v>9298.642951306012</v>
      </c>
      <c r="K15" s="41">
        <f>J15+'Tilikauden tulos'!K15+'9. Tulorahkorjauserät'!K15</f>
        <v>12792.355741203419</v>
      </c>
      <c r="L15" s="41">
        <f>K15+'Tilikauden tulos'!L15+'9. Tulorahkorjauserät'!L15</f>
        <v>14087.202403546617</v>
      </c>
      <c r="M15" s="41">
        <f>L15+'Tilikauden tulos'!M15+'9. Tulorahkorjauserät'!M15</f>
        <v>15226.929122925867</v>
      </c>
      <c r="N15" s="41">
        <f>M15+'Tilikauden tulos'!N15+'9. Tulorahkorjauserät'!N15</f>
        <v>16163.113930882084</v>
      </c>
      <c r="O15" s="41">
        <f>N15+'Tilikauden tulos'!O15+'9. Tulorahkorjauserät'!O15</f>
        <v>17178.910841995057</v>
      </c>
      <c r="P15" s="41">
        <f>O15+'Tilikauden tulos'!P15+'9. Tulorahkorjauserät'!P15</f>
        <v>19168.591137016352</v>
      </c>
      <c r="T15" s="34">
        <v>5</v>
      </c>
      <c r="U15" s="88" t="s">
        <v>328</v>
      </c>
      <c r="V15" s="41">
        <f>C15/'1. Väestöennuste'!E15*1000</f>
        <v>-199.88007195682593</v>
      </c>
      <c r="W15" s="41">
        <f>D15/'1. Väestöennuste'!F15*1000</f>
        <v>507.12193150823316</v>
      </c>
      <c r="X15" s="41">
        <f>E15/'1. Väestöennuste'!G15*1000</f>
        <v>879.25948530159701</v>
      </c>
      <c r="Y15" s="41">
        <f>F15/'1. Väestöennuste'!H15*1000</f>
        <v>797.01030927835052</v>
      </c>
      <c r="Z15" s="41">
        <f>G15/'1. Väestöennuste'!I15*1000</f>
        <v>603.22108345534411</v>
      </c>
      <c r="AA15" s="41">
        <f>H15/'1. Väestöennuste'!J15*1000</f>
        <v>831.61694447393563</v>
      </c>
      <c r="AB15" s="41">
        <f>I15/'1. Väestöennuste'!K15*1000</f>
        <v>933.41983890022561</v>
      </c>
      <c r="AC15" s="41">
        <f>J15/'1. Väestöennuste'!L15*1000</f>
        <v>1012.5931559736483</v>
      </c>
      <c r="AD15" s="41">
        <f>K15/'1. Väestöennuste'!M15*1000</f>
        <v>1403.7480238344583</v>
      </c>
      <c r="AE15" s="41">
        <f>L15/'1. Väestöennuste'!N15*1000</f>
        <v>1573.8132503124361</v>
      </c>
      <c r="AF15" s="41">
        <f>M15/'1. Väestöennuste'!O15*1000</f>
        <v>1722.3084631745128</v>
      </c>
      <c r="AG15" s="41">
        <f>N15/'1. Väestöennuste'!P15*1000</f>
        <v>1851.4448947173064</v>
      </c>
      <c r="AH15" s="41">
        <f>O15/'1. Väestöennuste'!Q15*1000</f>
        <v>1992.6819211222662</v>
      </c>
      <c r="AI15" s="41">
        <f>P15/'1. Väestöennuste'!R15*1000</f>
        <v>2251.9491467359435</v>
      </c>
      <c r="AK15" s="41">
        <f>IF(C15&lt;0,-1,0)</f>
        <v>-1</v>
      </c>
      <c r="AL15" s="41">
        <f t="shared" ref="AL15:AX30" si="4">IF(D15&lt;0,-1,0)</f>
        <v>0</v>
      </c>
      <c r="AM15" s="41">
        <f t="shared" si="4"/>
        <v>0</v>
      </c>
      <c r="AN15" s="41">
        <f t="shared" si="4"/>
        <v>0</v>
      </c>
      <c r="AO15" s="41">
        <f t="shared" si="4"/>
        <v>0</v>
      </c>
      <c r="AP15" s="41">
        <f t="shared" si="4"/>
        <v>0</v>
      </c>
      <c r="AQ15" s="41">
        <f t="shared" si="4"/>
        <v>0</v>
      </c>
      <c r="AR15" s="41">
        <f t="shared" si="4"/>
        <v>0</v>
      </c>
      <c r="AS15" s="41">
        <f t="shared" si="4"/>
        <v>0</v>
      </c>
      <c r="AT15" s="41">
        <f t="shared" si="4"/>
        <v>0</v>
      </c>
      <c r="AU15" s="41">
        <f t="shared" si="4"/>
        <v>0</v>
      </c>
      <c r="AV15" s="41">
        <f t="shared" si="4"/>
        <v>0</v>
      </c>
      <c r="AW15" s="41">
        <f t="shared" si="4"/>
        <v>0</v>
      </c>
      <c r="AX15" s="41">
        <f t="shared" si="4"/>
        <v>0</v>
      </c>
    </row>
    <row r="16" spans="1:50" ht="11.25" x14ac:dyDescent="0.2">
      <c r="A16" s="34">
        <v>9</v>
      </c>
      <c r="B16" s="88" t="s">
        <v>329</v>
      </c>
      <c r="C16" s="65">
        <v>-1422</v>
      </c>
      <c r="D16" s="65">
        <v>-195</v>
      </c>
      <c r="E16" s="65">
        <v>-290</v>
      </c>
      <c r="F16" s="65">
        <v>107</v>
      </c>
      <c r="G16" s="41">
        <v>823</v>
      </c>
      <c r="H16" s="41">
        <v>2090</v>
      </c>
      <c r="I16" s="41">
        <v>2843.1363199999996</v>
      </c>
      <c r="J16" s="41">
        <f>I16+'Tilikauden tulos'!J16+'9. Tulorahkorjauserät'!J16</f>
        <v>4891.7818825995018</v>
      </c>
      <c r="K16" s="41">
        <f>J16+'Tilikauden tulos'!K16+'9. Tulorahkorjauserät'!K16</f>
        <v>5550.9332059069056</v>
      </c>
      <c r="L16" s="41">
        <f>K16+'Tilikauden tulos'!L16+'9. Tulorahkorjauserät'!L16</f>
        <v>5636.4442509524461</v>
      </c>
      <c r="M16" s="41">
        <f>L16+'Tilikauden tulos'!M16+'9. Tulorahkorjauserät'!M16</f>
        <v>5574.2784468677337</v>
      </c>
      <c r="N16" s="41">
        <f>M16+'Tilikauden tulos'!N16+'9. Tulorahkorjauserät'!N16</f>
        <v>5202.0364809849407</v>
      </c>
      <c r="O16" s="41">
        <f>N16+'Tilikauden tulos'!O16+'9. Tulorahkorjauserät'!O16</f>
        <v>4698.5241120643514</v>
      </c>
      <c r="P16" s="41">
        <f>O16+'Tilikauden tulos'!P16+'9. Tulorahkorjauserät'!P16</f>
        <v>4261.1625820084537</v>
      </c>
      <c r="T16" s="34">
        <v>9</v>
      </c>
      <c r="U16" s="88" t="s">
        <v>329</v>
      </c>
      <c r="V16" s="41">
        <f>C16/'1. Väestöennuste'!E16*1000</f>
        <v>-529.21473762560481</v>
      </c>
      <c r="W16" s="41">
        <f>D16/'1. Väestöennuste'!F16*1000</f>
        <v>-73.891625615763559</v>
      </c>
      <c r="X16" s="41">
        <f>E16/'1. Väestöennuste'!G16*1000</f>
        <v>-111.1111111111111</v>
      </c>
      <c r="Y16" s="41">
        <f>F16/'1. Väestöennuste'!H16*1000</f>
        <v>41.585697629226587</v>
      </c>
      <c r="Z16" s="41">
        <f>G16/'1. Väestöennuste'!I16*1000</f>
        <v>326.71695117109965</v>
      </c>
      <c r="AA16" s="41">
        <f>H16/'1. Väestöennuste'!J16*1000</f>
        <v>830.35359555025821</v>
      </c>
      <c r="AB16" s="41">
        <f>I16/'1. Väestöennuste'!K16*1000</f>
        <v>1141.3634363709352</v>
      </c>
      <c r="AC16" s="41">
        <f>J16/'1. Väestöennuste'!L16*1000</f>
        <v>1999.0935360030658</v>
      </c>
      <c r="AD16" s="41">
        <f>K16/'1. Väestöennuste'!M16*1000</f>
        <v>2277.7731661497355</v>
      </c>
      <c r="AE16" s="41">
        <f>L16/'1. Väestöennuste'!N16*1000</f>
        <v>2328.1471503314519</v>
      </c>
      <c r="AF16" s="41">
        <f>M16/'1. Väestöennuste'!O16*1000</f>
        <v>2325.5229231822004</v>
      </c>
      <c r="AG16" s="41">
        <f>N16/'1. Väestöennuste'!P16*1000</f>
        <v>2190.3311498883959</v>
      </c>
      <c r="AH16" s="41">
        <f>O16/'1. Väestöennuste'!Q16*1000</f>
        <v>1997.671816353891</v>
      </c>
      <c r="AI16" s="41">
        <f>P16/'1. Väestöennuste'!R16*1000</f>
        <v>1829.6103830006241</v>
      </c>
      <c r="AK16" s="41">
        <f t="shared" ref="AK16:AK79" si="5">IF(C16&lt;0,-1,0)</f>
        <v>-1</v>
      </c>
      <c r="AL16" s="41">
        <f t="shared" ref="AL16:AL79" si="6">IF(D16&lt;0,-1,0)</f>
        <v>-1</v>
      </c>
      <c r="AM16" s="41">
        <f t="shared" ref="AM16:AM79" si="7">IF(E16&lt;0,-1,0)</f>
        <v>-1</v>
      </c>
      <c r="AN16" s="41">
        <f t="shared" ref="AN16:AN79" si="8">IF(F16&lt;0,-1,0)</f>
        <v>0</v>
      </c>
      <c r="AO16" s="41">
        <f t="shared" ref="AO16:AO79" si="9">IF(G16&lt;0,-1,0)</f>
        <v>0</v>
      </c>
      <c r="AP16" s="41">
        <f t="shared" ref="AP16:AP79" si="10">IF(H16&lt;0,-1,0)</f>
        <v>0</v>
      </c>
      <c r="AQ16" s="41">
        <f t="shared" ref="AQ16:AQ79" si="11">IF(I16&lt;0,-1,0)</f>
        <v>0</v>
      </c>
      <c r="AR16" s="41">
        <f t="shared" ref="AR16:AR79" si="12">IF(J16&lt;0,-1,0)</f>
        <v>0</v>
      </c>
      <c r="AS16" s="41">
        <f t="shared" ref="AS16:AS79" si="13">IF(K16&lt;0,-1,0)</f>
        <v>0</v>
      </c>
      <c r="AT16" s="41">
        <f t="shared" ref="AT16:AT79" si="14">IF(L16&lt;0,-1,0)</f>
        <v>0</v>
      </c>
      <c r="AU16" s="41">
        <f t="shared" ref="AU16:AU79" si="15">IF(M16&lt;0,-1,0)</f>
        <v>0</v>
      </c>
      <c r="AV16" s="41">
        <f t="shared" ref="AV16:AX79" si="16">IF(N16&lt;0,-1,0)</f>
        <v>0</v>
      </c>
      <c r="AW16" s="41">
        <f t="shared" si="4"/>
        <v>0</v>
      </c>
      <c r="AX16" s="41">
        <f t="shared" si="4"/>
        <v>0</v>
      </c>
    </row>
    <row r="17" spans="1:50" ht="11.25" x14ac:dyDescent="0.2">
      <c r="A17" s="34">
        <v>10</v>
      </c>
      <c r="B17" s="88" t="s">
        <v>330</v>
      </c>
      <c r="C17" s="65">
        <v>11384</v>
      </c>
      <c r="D17" s="65">
        <v>12918</v>
      </c>
      <c r="E17" s="65">
        <v>15165</v>
      </c>
      <c r="F17" s="65">
        <v>14779</v>
      </c>
      <c r="G17" s="41">
        <v>21344</v>
      </c>
      <c r="H17" s="41">
        <v>22489</v>
      </c>
      <c r="I17" s="41">
        <v>19022.54681</v>
      </c>
      <c r="J17" s="41">
        <f>I17+'Tilikauden tulos'!J17+'9. Tulorahkorjauserät'!J17</f>
        <v>16557.575769638075</v>
      </c>
      <c r="K17" s="41">
        <f>J17+'Tilikauden tulos'!K17+'9. Tulorahkorjauserät'!K17</f>
        <v>16877.236015201011</v>
      </c>
      <c r="L17" s="41">
        <f>K17+'Tilikauden tulos'!L17+'9. Tulorahkorjauserät'!L17</f>
        <v>15215.933234772265</v>
      </c>
      <c r="M17" s="41">
        <f>L17+'Tilikauden tulos'!M17+'9. Tulorahkorjauserät'!M17</f>
        <v>12262.112193883904</v>
      </c>
      <c r="N17" s="41">
        <f>M17+'Tilikauden tulos'!N17+'9. Tulorahkorjauserät'!N17</f>
        <v>9375.8244751545171</v>
      </c>
      <c r="O17" s="41">
        <f>N17+'Tilikauden tulos'!O17+'9. Tulorahkorjauserät'!O17</f>
        <v>6800.085271323589</v>
      </c>
      <c r="P17" s="41">
        <f>O17+'Tilikauden tulos'!P17+'9. Tulorahkorjauserät'!P17</f>
        <v>5363.3790720147226</v>
      </c>
      <c r="T17" s="34">
        <v>10</v>
      </c>
      <c r="U17" s="88" t="s">
        <v>330</v>
      </c>
      <c r="V17" s="41">
        <f>C17/'1. Väestöennuste'!E17*1000</f>
        <v>945.20092992361333</v>
      </c>
      <c r="W17" s="41">
        <f>D17/'1. Väestöennuste'!F17*1000</f>
        <v>1084.9080372889896</v>
      </c>
      <c r="X17" s="41">
        <f>E17/'1. Väestöennuste'!G17*1000</f>
        <v>1294.7152736275932</v>
      </c>
      <c r="Y17" s="41">
        <f>F17/'1. Väestöennuste'!H17*1000</f>
        <v>1280.2321552321553</v>
      </c>
      <c r="Z17" s="41">
        <f>G17/'1. Väestöennuste'!I17*1000</f>
        <v>1861.1789326822463</v>
      </c>
      <c r="AA17" s="41">
        <f>H17/'1. Väestöennuste'!J17*1000</f>
        <v>1984.5570067066712</v>
      </c>
      <c r="AB17" s="41">
        <f>I17/'1. Väestöennuste'!K17*1000</f>
        <v>1698.8967410913638</v>
      </c>
      <c r="AC17" s="41">
        <f>J17/'1. Väestöennuste'!L17*1000</f>
        <v>1491.4047711797941</v>
      </c>
      <c r="AD17" s="41">
        <f>K17/'1. Väestöennuste'!M17*1000</f>
        <v>1543.696699460442</v>
      </c>
      <c r="AE17" s="41">
        <f>L17/'1. Väestöennuste'!N17*1000</f>
        <v>1406.9286393686791</v>
      </c>
      <c r="AF17" s="41">
        <f>M17/'1. Väestöennuste'!O17*1000</f>
        <v>1147.4931867755854</v>
      </c>
      <c r="AG17" s="41">
        <f>N17/'1. Väestöennuste'!P17*1000</f>
        <v>887.69404233615955</v>
      </c>
      <c r="AH17" s="41">
        <f>O17/'1. Väestöennuste'!Q17*1000</f>
        <v>651.16204838873784</v>
      </c>
      <c r="AI17" s="41">
        <f>P17/'1. Väestöennuste'!R17*1000</f>
        <v>519.4556001951305</v>
      </c>
      <c r="AK17" s="41">
        <f t="shared" si="5"/>
        <v>0</v>
      </c>
      <c r="AL17" s="41">
        <f t="shared" si="6"/>
        <v>0</v>
      </c>
      <c r="AM17" s="41">
        <f t="shared" si="7"/>
        <v>0</v>
      </c>
      <c r="AN17" s="41">
        <f t="shared" si="8"/>
        <v>0</v>
      </c>
      <c r="AO17" s="41">
        <f t="shared" si="9"/>
        <v>0</v>
      </c>
      <c r="AP17" s="41">
        <f t="shared" si="10"/>
        <v>0</v>
      </c>
      <c r="AQ17" s="41">
        <f t="shared" si="11"/>
        <v>0</v>
      </c>
      <c r="AR17" s="41">
        <f t="shared" si="12"/>
        <v>0</v>
      </c>
      <c r="AS17" s="41">
        <f t="shared" si="13"/>
        <v>0</v>
      </c>
      <c r="AT17" s="41">
        <f t="shared" si="14"/>
        <v>0</v>
      </c>
      <c r="AU17" s="41">
        <f t="shared" si="15"/>
        <v>0</v>
      </c>
      <c r="AV17" s="41">
        <f t="shared" si="16"/>
        <v>0</v>
      </c>
      <c r="AW17" s="41">
        <f t="shared" si="4"/>
        <v>0</v>
      </c>
      <c r="AX17" s="41">
        <f t="shared" si="4"/>
        <v>0</v>
      </c>
    </row>
    <row r="18" spans="1:50" ht="11.25" x14ac:dyDescent="0.2">
      <c r="A18" s="34">
        <v>16</v>
      </c>
      <c r="B18" s="88" t="s">
        <v>331</v>
      </c>
      <c r="C18" s="65">
        <v>9156</v>
      </c>
      <c r="D18" s="65">
        <v>10514</v>
      </c>
      <c r="E18" s="65">
        <v>10152</v>
      </c>
      <c r="F18" s="65">
        <v>10946</v>
      </c>
      <c r="G18" s="41">
        <v>11007</v>
      </c>
      <c r="H18" s="41">
        <v>12238</v>
      </c>
      <c r="I18" s="41">
        <v>13033.76952</v>
      </c>
      <c r="J18" s="41">
        <f>I18+'Tilikauden tulos'!J18+'9. Tulorahkorjauserät'!J18</f>
        <v>14965.928247163363</v>
      </c>
      <c r="K18" s="41">
        <f>J18+'Tilikauden tulos'!K18+'9. Tulorahkorjauserät'!K18</f>
        <v>19578.700873284022</v>
      </c>
      <c r="L18" s="41">
        <f>K18+'Tilikauden tulos'!L18+'9. Tulorahkorjauserät'!L18</f>
        <v>19657.611785280104</v>
      </c>
      <c r="M18" s="41">
        <f>L18+'Tilikauden tulos'!M18+'9. Tulorahkorjauserät'!M18</f>
        <v>20300.031759470174</v>
      </c>
      <c r="N18" s="41">
        <f>M18+'Tilikauden tulos'!N18+'9. Tulorahkorjauserät'!N18</f>
        <v>19959.494336889511</v>
      </c>
      <c r="O18" s="41">
        <f>N18+'Tilikauden tulos'!O18+'9. Tulorahkorjauserät'!O18</f>
        <v>19098.859209501843</v>
      </c>
      <c r="P18" s="41">
        <f>O18+'Tilikauden tulos'!P18+'9. Tulorahkorjauserät'!P18</f>
        <v>19086.86707770147</v>
      </c>
      <c r="T18" s="34">
        <v>16</v>
      </c>
      <c r="U18" s="88" t="s">
        <v>331</v>
      </c>
      <c r="V18" s="41">
        <f>C18/'1. Väestöennuste'!E18*1000</f>
        <v>1104.8630384940268</v>
      </c>
      <c r="W18" s="41">
        <f>D18/'1. Väestöennuste'!F18*1000</f>
        <v>1263.2464255677041</v>
      </c>
      <c r="X18" s="41">
        <f>E18/'1. Väestöennuste'!G18*1000</f>
        <v>1230.8438409311348</v>
      </c>
      <c r="Y18" s="41">
        <f>F18/'1. Väestöennuste'!H18*1000</f>
        <v>1343.2322984415266</v>
      </c>
      <c r="Z18" s="41">
        <f>G18/'1. Väestöennuste'!I18*1000</f>
        <v>1361.7468761598416</v>
      </c>
      <c r="AA18" s="41">
        <f>H18/'1. Väestöennuste'!J18*1000</f>
        <v>1518.5506886710509</v>
      </c>
      <c r="AB18" s="41">
        <f>I18/'1. Väestöennuste'!K18*1000</f>
        <v>1622.5282609236897</v>
      </c>
      <c r="AC18" s="41">
        <f>J18/'1. Väestöennuste'!L18*1000</f>
        <v>1867.4729532272727</v>
      </c>
      <c r="AD18" s="41">
        <f>K18/'1. Väestöennuste'!M18*1000</f>
        <v>2457.1662742575331</v>
      </c>
      <c r="AE18" s="41">
        <f>L18/'1. Väestöennuste'!N18*1000</f>
        <v>2492.7227726705687</v>
      </c>
      <c r="AF18" s="41">
        <f>M18/'1. Väestöennuste'!O18*1000</f>
        <v>2590.2809441712611</v>
      </c>
      <c r="AG18" s="41">
        <f>N18/'1. Väestöennuste'!P18*1000</f>
        <v>2561.8655290578249</v>
      </c>
      <c r="AH18" s="41">
        <f>O18/'1. Väestöennuste'!Q18*1000</f>
        <v>2466.5968241639989</v>
      </c>
      <c r="AI18" s="41">
        <f>P18/'1. Väestöennuste'!R18*1000</f>
        <v>2479.1358718926444</v>
      </c>
      <c r="AK18" s="41">
        <f t="shared" si="5"/>
        <v>0</v>
      </c>
      <c r="AL18" s="41">
        <f t="shared" si="6"/>
        <v>0</v>
      </c>
      <c r="AM18" s="41">
        <f t="shared" si="7"/>
        <v>0</v>
      </c>
      <c r="AN18" s="41">
        <f t="shared" si="8"/>
        <v>0</v>
      </c>
      <c r="AO18" s="41">
        <f t="shared" si="9"/>
        <v>0</v>
      </c>
      <c r="AP18" s="41">
        <f t="shared" si="10"/>
        <v>0</v>
      </c>
      <c r="AQ18" s="41">
        <f t="shared" si="11"/>
        <v>0</v>
      </c>
      <c r="AR18" s="41">
        <f t="shared" si="12"/>
        <v>0</v>
      </c>
      <c r="AS18" s="41">
        <f t="shared" si="13"/>
        <v>0</v>
      </c>
      <c r="AT18" s="41">
        <f t="shared" si="14"/>
        <v>0</v>
      </c>
      <c r="AU18" s="41">
        <f t="shared" si="15"/>
        <v>0</v>
      </c>
      <c r="AV18" s="41">
        <f t="shared" si="16"/>
        <v>0</v>
      </c>
      <c r="AW18" s="41">
        <f t="shared" si="4"/>
        <v>0</v>
      </c>
      <c r="AX18" s="41">
        <f t="shared" si="4"/>
        <v>0</v>
      </c>
    </row>
    <row r="19" spans="1:50" ht="11.25" x14ac:dyDescent="0.2">
      <c r="A19" s="34">
        <v>18</v>
      </c>
      <c r="B19" s="88" t="s">
        <v>332</v>
      </c>
      <c r="C19" s="65">
        <v>-569</v>
      </c>
      <c r="D19" s="65">
        <v>-799</v>
      </c>
      <c r="E19" s="65">
        <v>-1309</v>
      </c>
      <c r="F19" s="65">
        <v>-699</v>
      </c>
      <c r="G19" s="41">
        <v>2648</v>
      </c>
      <c r="H19" s="41">
        <v>4631</v>
      </c>
      <c r="I19" s="41">
        <v>6101.4307500000004</v>
      </c>
      <c r="J19" s="41">
        <f>I19+'Tilikauden tulos'!J19+'9. Tulorahkorjauserät'!J19</f>
        <v>6896.1336466594303</v>
      </c>
      <c r="K19" s="41">
        <f>J19+'Tilikauden tulos'!K19+'9. Tulorahkorjauserät'!K19</f>
        <v>7409.7836278443265</v>
      </c>
      <c r="L19" s="41">
        <f>K19+'Tilikauden tulos'!L19+'9. Tulorahkorjauserät'!L19</f>
        <v>6875.3598045681156</v>
      </c>
      <c r="M19" s="41">
        <f>L19+'Tilikauden tulos'!M19+'9. Tulorahkorjauserät'!M19</f>
        <v>5696.7424204581021</v>
      </c>
      <c r="N19" s="41">
        <f>M19+'Tilikauden tulos'!N19+'9. Tulorahkorjauserät'!N19</f>
        <v>4697.2459728573758</v>
      </c>
      <c r="O19" s="41">
        <f>N19+'Tilikauden tulos'!O19+'9. Tulorahkorjauserät'!O19</f>
        <v>3466.2453400200229</v>
      </c>
      <c r="P19" s="41">
        <f>O19+'Tilikauden tulos'!P19+'9. Tulorahkorjauserät'!P19</f>
        <v>2194.6501659561554</v>
      </c>
      <c r="T19" s="34">
        <v>18</v>
      </c>
      <c r="U19" s="88" t="s">
        <v>332</v>
      </c>
      <c r="V19" s="41">
        <f>C19/'1. Väestöennuste'!E19*1000</f>
        <v>-111.48119122257054</v>
      </c>
      <c r="W19" s="41">
        <f>D19/'1. Väestöennuste'!F19*1000</f>
        <v>-158.34324217201745</v>
      </c>
      <c r="X19" s="41">
        <f>E19/'1. Väestöennuste'!G19*1000</f>
        <v>-262.32464929859719</v>
      </c>
      <c r="Y19" s="41">
        <f>F19/'1. Väestöennuste'!H19*1000</f>
        <v>-140.9842678499395</v>
      </c>
      <c r="Z19" s="41">
        <f>G19/'1. Väestöennuste'!I19*1000</f>
        <v>535.70706048958129</v>
      </c>
      <c r="AA19" s="41">
        <f>H19/'1. Väestöennuste'!J19*1000</f>
        <v>949.36449364493649</v>
      </c>
      <c r="AB19" s="41">
        <f>I19/'1. Väestöennuste'!K19*1000</f>
        <v>1258.8056014029296</v>
      </c>
      <c r="AC19" s="41">
        <f>J19/'1. Väestöennuste'!L19*1000</f>
        <v>1447.8550591348794</v>
      </c>
      <c r="AD19" s="41">
        <f>K19/'1. Väestöennuste'!M19*1000</f>
        <v>1576.5497080519845</v>
      </c>
      <c r="AE19" s="41">
        <f>L19/'1. Väestöennuste'!N19*1000</f>
        <v>1452.3362493806751</v>
      </c>
      <c r="AF19" s="41">
        <f>M19/'1. Väestöennuste'!O19*1000</f>
        <v>1209.756300798068</v>
      </c>
      <c r="AG19" s="41">
        <f>N19/'1. Väestöennuste'!P19*1000</f>
        <v>1002.3999088470712</v>
      </c>
      <c r="AH19" s="41">
        <f>O19/'1. Väestöennuste'!Q19*1000</f>
        <v>743.03222722830071</v>
      </c>
      <c r="AI19" s="41">
        <f>P19/'1. Väestöennuste'!R19*1000</f>
        <v>472.78116457478575</v>
      </c>
      <c r="AK19" s="41">
        <f t="shared" si="5"/>
        <v>-1</v>
      </c>
      <c r="AL19" s="41">
        <f t="shared" si="6"/>
        <v>-1</v>
      </c>
      <c r="AM19" s="41">
        <f t="shared" si="7"/>
        <v>-1</v>
      </c>
      <c r="AN19" s="41">
        <f t="shared" si="8"/>
        <v>-1</v>
      </c>
      <c r="AO19" s="41">
        <f t="shared" si="9"/>
        <v>0</v>
      </c>
      <c r="AP19" s="41">
        <f t="shared" si="10"/>
        <v>0</v>
      </c>
      <c r="AQ19" s="41">
        <f t="shared" si="11"/>
        <v>0</v>
      </c>
      <c r="AR19" s="41">
        <f t="shared" si="12"/>
        <v>0</v>
      </c>
      <c r="AS19" s="41">
        <f t="shared" si="13"/>
        <v>0</v>
      </c>
      <c r="AT19" s="41">
        <f t="shared" si="14"/>
        <v>0</v>
      </c>
      <c r="AU19" s="41">
        <f t="shared" si="15"/>
        <v>0</v>
      </c>
      <c r="AV19" s="41">
        <f t="shared" si="16"/>
        <v>0</v>
      </c>
      <c r="AW19" s="41">
        <f t="shared" si="4"/>
        <v>0</v>
      </c>
      <c r="AX19" s="41">
        <f t="shared" si="4"/>
        <v>0</v>
      </c>
    </row>
    <row r="20" spans="1:50" ht="11.25" x14ac:dyDescent="0.2">
      <c r="A20" s="34">
        <v>19</v>
      </c>
      <c r="B20" s="88" t="s">
        <v>333</v>
      </c>
      <c r="C20" s="65">
        <v>-2956</v>
      </c>
      <c r="D20" s="65">
        <v>-1937</v>
      </c>
      <c r="E20" s="65">
        <v>136</v>
      </c>
      <c r="F20" s="65">
        <v>179</v>
      </c>
      <c r="G20" s="41">
        <v>-30</v>
      </c>
      <c r="H20" s="41">
        <v>2236</v>
      </c>
      <c r="I20" s="41">
        <v>3908.5385199999996</v>
      </c>
      <c r="J20" s="41">
        <f>I20+'Tilikauden tulos'!J20+'9. Tulorahkorjauserät'!J20</f>
        <v>5153.7607280620741</v>
      </c>
      <c r="K20" s="41">
        <f>J20+'Tilikauden tulos'!K20+'9. Tulorahkorjauserät'!K20</f>
        <v>5535.9250974487504</v>
      </c>
      <c r="L20" s="41">
        <f>K20+'Tilikauden tulos'!L20+'9. Tulorahkorjauserät'!L20</f>
        <v>4716.9061330893473</v>
      </c>
      <c r="M20" s="41">
        <f>L20+'Tilikauden tulos'!M20+'9. Tulorahkorjauserät'!M20</f>
        <v>3134.4350816997394</v>
      </c>
      <c r="N20" s="41">
        <f>M20+'Tilikauden tulos'!N20+'9. Tulorahkorjauserät'!N20</f>
        <v>1699.5347013194009</v>
      </c>
      <c r="O20" s="41">
        <f>N20+'Tilikauden tulos'!O20+'9. Tulorahkorjauserät'!O20</f>
        <v>559.93753836201495</v>
      </c>
      <c r="P20" s="41">
        <f>O20+'Tilikauden tulos'!P20+'9. Tulorahkorjauserät'!P20</f>
        <v>-661.19165137713003</v>
      </c>
      <c r="T20" s="34">
        <v>19</v>
      </c>
      <c r="U20" s="88" t="s">
        <v>333</v>
      </c>
      <c r="V20" s="41">
        <f>C20/'1. Väestöennuste'!E20*1000</f>
        <v>-741.5955845459107</v>
      </c>
      <c r="W20" s="41">
        <f>D20/'1. Väestöennuste'!F20*1000</f>
        <v>-486.19477911646584</v>
      </c>
      <c r="X20" s="41">
        <f>E20/'1. Väestöennuste'!G20*1000</f>
        <v>34.076672513154598</v>
      </c>
      <c r="Y20" s="41">
        <f>F20/'1. Väestöennuste'!H20*1000</f>
        <v>44.929718875502004</v>
      </c>
      <c r="Z20" s="41">
        <f>G20/'1. Väestöennuste'!I20*1000</f>
        <v>-7.6122811469170264</v>
      </c>
      <c r="AA20" s="41">
        <f>H20/'1. Väestöennuste'!J20*1000</f>
        <v>564.78908815357408</v>
      </c>
      <c r="AB20" s="41">
        <f>I20/'1. Väestöennuste'!K20*1000</f>
        <v>988.25247029077116</v>
      </c>
      <c r="AC20" s="41">
        <f>J20/'1. Väestöennuste'!L20*1000</f>
        <v>1299.8135505831208</v>
      </c>
      <c r="AD20" s="41">
        <f>K20/'1. Väestöennuste'!M20*1000</f>
        <v>1397.6079518931456</v>
      </c>
      <c r="AE20" s="41">
        <f>L20/'1. Väestöennuste'!N20*1000</f>
        <v>1190.5366312693961</v>
      </c>
      <c r="AF20" s="41">
        <f>M20/'1. Väestöennuste'!O20*1000</f>
        <v>790.12732082171397</v>
      </c>
      <c r="AG20" s="41">
        <f>N20/'1. Väestöennuste'!P20*1000</f>
        <v>427.77113046045832</v>
      </c>
      <c r="AH20" s="41">
        <f>O20/'1. Väestöennuste'!Q20*1000</f>
        <v>140.61716181868783</v>
      </c>
      <c r="AI20" s="41">
        <f>P20/'1. Väestöennuste'!R20*1000</f>
        <v>-165.79529874050402</v>
      </c>
      <c r="AK20" s="41">
        <f t="shared" si="5"/>
        <v>-1</v>
      </c>
      <c r="AL20" s="41">
        <f t="shared" si="6"/>
        <v>-1</v>
      </c>
      <c r="AM20" s="41">
        <f t="shared" si="7"/>
        <v>0</v>
      </c>
      <c r="AN20" s="41">
        <f t="shared" si="8"/>
        <v>0</v>
      </c>
      <c r="AO20" s="41">
        <f t="shared" si="9"/>
        <v>-1</v>
      </c>
      <c r="AP20" s="41">
        <f t="shared" si="10"/>
        <v>0</v>
      </c>
      <c r="AQ20" s="41">
        <f t="shared" si="11"/>
        <v>0</v>
      </c>
      <c r="AR20" s="41">
        <f t="shared" si="12"/>
        <v>0</v>
      </c>
      <c r="AS20" s="41">
        <f t="shared" si="13"/>
        <v>0</v>
      </c>
      <c r="AT20" s="41">
        <f t="shared" si="14"/>
        <v>0</v>
      </c>
      <c r="AU20" s="41">
        <f t="shared" si="15"/>
        <v>0</v>
      </c>
      <c r="AV20" s="41">
        <f t="shared" si="16"/>
        <v>0</v>
      </c>
      <c r="AW20" s="41">
        <f t="shared" si="4"/>
        <v>0</v>
      </c>
      <c r="AX20" s="41">
        <f t="shared" si="4"/>
        <v>-1</v>
      </c>
    </row>
    <row r="21" spans="1:50" ht="11.25" x14ac:dyDescent="0.2">
      <c r="A21" s="34">
        <v>20</v>
      </c>
      <c r="B21" s="88" t="s">
        <v>334</v>
      </c>
      <c r="C21" s="65">
        <v>-8186</v>
      </c>
      <c r="D21" s="65">
        <v>-8105</v>
      </c>
      <c r="E21" s="65">
        <v>-6564</v>
      </c>
      <c r="F21" s="65">
        <v>-8886</v>
      </c>
      <c r="G21" s="41">
        <v>-8846</v>
      </c>
      <c r="H21" s="41">
        <v>2911</v>
      </c>
      <c r="I21" s="41">
        <v>1921.4892799999998</v>
      </c>
      <c r="J21" s="41">
        <f>I21+'Tilikauden tulos'!J21+'9. Tulorahkorjauserät'!J21</f>
        <v>-25.271396953451813</v>
      </c>
      <c r="K21" s="41">
        <f>J21+'Tilikauden tulos'!K21+'9. Tulorahkorjauserät'!K21</f>
        <v>398.56092332062804</v>
      </c>
      <c r="L21" s="41">
        <f>K21+'Tilikauden tulos'!L21+'9. Tulorahkorjauserät'!L21</f>
        <v>1155.7105029995603</v>
      </c>
      <c r="M21" s="41">
        <f>L21+'Tilikauden tulos'!M21+'9. Tulorahkorjauserät'!M21</f>
        <v>-5896.8196972216947</v>
      </c>
      <c r="N21" s="41">
        <f>M21+'Tilikauden tulos'!N21+'9. Tulorahkorjauserät'!N21</f>
        <v>-12246.117697027858</v>
      </c>
      <c r="O21" s="41">
        <f>N21+'Tilikauden tulos'!O21+'9. Tulorahkorjauserät'!O21</f>
        <v>-18012.721485356895</v>
      </c>
      <c r="P21" s="41">
        <f>O21+'Tilikauden tulos'!P21+'9. Tulorahkorjauserät'!P21</f>
        <v>-22204.190475481628</v>
      </c>
      <c r="T21" s="34">
        <v>20</v>
      </c>
      <c r="U21" s="88" t="s">
        <v>334</v>
      </c>
      <c r="V21" s="41">
        <f>C21/'1. Väestöennuste'!E21*1000</f>
        <v>-480.31449862113482</v>
      </c>
      <c r="W21" s="41">
        <f>D21/'1. Väestöennuste'!F21*1000</f>
        <v>-478.93399515452347</v>
      </c>
      <c r="X21" s="41">
        <f>E21/'1. Väestöennuste'!G21*1000</f>
        <v>-391.43657940246885</v>
      </c>
      <c r="Y21" s="41">
        <f>F21/'1. Väestöennuste'!H21*1000</f>
        <v>-534.9467220516525</v>
      </c>
      <c r="Z21" s="41">
        <f>G21/'1. Väestöennuste'!I21*1000</f>
        <v>-536.93474962063738</v>
      </c>
      <c r="AA21" s="41">
        <f>H21/'1. Väestöennuste'!J21*1000</f>
        <v>177.59746202184127</v>
      </c>
      <c r="AB21" s="41">
        <f>I21/'1. Väestöennuste'!K21*1000</f>
        <v>116.68727029817209</v>
      </c>
      <c r="AC21" s="41">
        <f>J21/'1. Väestöennuste'!L21*1000</f>
        <v>-1.534110177469302</v>
      </c>
      <c r="AD21" s="41">
        <f>K21/'1. Väestöennuste'!M21*1000</f>
        <v>24.29508828531716</v>
      </c>
      <c r="AE21" s="41">
        <f>L21/'1. Väestöennuste'!N21*1000</f>
        <v>72.658776750883959</v>
      </c>
      <c r="AF21" s="41">
        <f>M21/'1. Väestöennuste'!O21*1000</f>
        <v>-373.33458038757169</v>
      </c>
      <c r="AG21" s="41">
        <f>N21/'1. Väestöennuste'!P21*1000</f>
        <v>-780.40515530384005</v>
      </c>
      <c r="AH21" s="41">
        <f>O21/'1. Väestöennuste'!Q21*1000</f>
        <v>-1155.031836188323</v>
      </c>
      <c r="AI21" s="41">
        <f>P21/'1. Väestöennuste'!R21*1000</f>
        <v>-1432.3435992440736</v>
      </c>
      <c r="AK21" s="41">
        <f t="shared" si="5"/>
        <v>-1</v>
      </c>
      <c r="AL21" s="41">
        <f t="shared" si="6"/>
        <v>-1</v>
      </c>
      <c r="AM21" s="41">
        <f t="shared" si="7"/>
        <v>-1</v>
      </c>
      <c r="AN21" s="41">
        <f t="shared" si="8"/>
        <v>-1</v>
      </c>
      <c r="AO21" s="41">
        <f t="shared" si="9"/>
        <v>-1</v>
      </c>
      <c r="AP21" s="41">
        <f t="shared" si="10"/>
        <v>0</v>
      </c>
      <c r="AQ21" s="41">
        <f t="shared" si="11"/>
        <v>0</v>
      </c>
      <c r="AR21" s="41">
        <f t="shared" si="12"/>
        <v>-1</v>
      </c>
      <c r="AS21" s="41">
        <f t="shared" si="13"/>
        <v>0</v>
      </c>
      <c r="AT21" s="41">
        <f t="shared" si="14"/>
        <v>0</v>
      </c>
      <c r="AU21" s="41">
        <f t="shared" si="15"/>
        <v>-1</v>
      </c>
      <c r="AV21" s="41">
        <f t="shared" si="16"/>
        <v>-1</v>
      </c>
      <c r="AW21" s="41">
        <f t="shared" si="4"/>
        <v>-1</v>
      </c>
      <c r="AX21" s="41">
        <f t="shared" si="4"/>
        <v>-1</v>
      </c>
    </row>
    <row r="22" spans="1:50" ht="11.25" x14ac:dyDescent="0.2">
      <c r="A22" s="34">
        <v>46</v>
      </c>
      <c r="B22" s="88" t="s">
        <v>335</v>
      </c>
      <c r="C22" s="65">
        <v>5216</v>
      </c>
      <c r="D22" s="65">
        <v>5742</v>
      </c>
      <c r="E22" s="65">
        <v>6119</v>
      </c>
      <c r="F22" s="65">
        <v>5864</v>
      </c>
      <c r="G22" s="41">
        <v>6025</v>
      </c>
      <c r="H22" s="41">
        <v>6955</v>
      </c>
      <c r="I22" s="41">
        <v>8197.9461899999988</v>
      </c>
      <c r="J22" s="41">
        <f>I22+'Tilikauden tulos'!J22+'9. Tulorahkorjauserät'!J22</f>
        <v>8978.1240949781986</v>
      </c>
      <c r="K22" s="41">
        <f>J22+'Tilikauden tulos'!K22+'9. Tulorahkorjauserät'!K22</f>
        <v>9605.0210575790425</v>
      </c>
      <c r="L22" s="41">
        <f>K22+'Tilikauden tulos'!L22+'9. Tulorahkorjauserät'!L22</f>
        <v>9362.8480928349727</v>
      </c>
      <c r="M22" s="41">
        <f>L22+'Tilikauden tulos'!M22+'9. Tulorahkorjauserät'!M22</f>
        <v>9397.3103811606634</v>
      </c>
      <c r="N22" s="41">
        <f>M22+'Tilikauden tulos'!N22+'9. Tulorahkorjauserät'!N22</f>
        <v>9309.1514307066373</v>
      </c>
      <c r="O22" s="41">
        <f>N22+'Tilikauden tulos'!O22+'9. Tulorahkorjauserät'!O22</f>
        <v>9163.4767557260275</v>
      </c>
      <c r="P22" s="41">
        <f>O22+'Tilikauden tulos'!P22+'9. Tulorahkorjauserät'!P22</f>
        <v>9056.2012348632998</v>
      </c>
      <c r="T22" s="34">
        <v>46</v>
      </c>
      <c r="U22" s="88" t="s">
        <v>335</v>
      </c>
      <c r="V22" s="41">
        <f>C22/'1. Väestöennuste'!E22*1000</f>
        <v>3541.0726408689752</v>
      </c>
      <c r="W22" s="41">
        <f>D22/'1. Väestöennuste'!F22*1000</f>
        <v>3951.8238128011012</v>
      </c>
      <c r="X22" s="41">
        <f>E22/'1. Väestöennuste'!G22*1000</f>
        <v>4321.3276836158193</v>
      </c>
      <c r="Y22" s="41">
        <f>F22/'1. Väestöennuste'!H22*1000</f>
        <v>4173.6654804270465</v>
      </c>
      <c r="Z22" s="41">
        <f>G22/'1. Väestöennuste'!I22*1000</f>
        <v>4426.8919911829535</v>
      </c>
      <c r="AA22" s="41">
        <f>H22/'1. Väestöennuste'!J22*1000</f>
        <v>5080.3506208911622</v>
      </c>
      <c r="AB22" s="41">
        <f>I22/'1. Väestöennuste'!K22*1000</f>
        <v>6019.0500660792941</v>
      </c>
      <c r="AC22" s="41">
        <f>J22/'1. Väestöennuste'!L22*1000</f>
        <v>6695.0962676944064</v>
      </c>
      <c r="AD22" s="41">
        <f>K22/'1. Väestöennuste'!M22*1000</f>
        <v>7276.5311042265475</v>
      </c>
      <c r="AE22" s="41">
        <f>L22/'1. Väestöennuste'!N22*1000</f>
        <v>7125.4551695852151</v>
      </c>
      <c r="AF22" s="41">
        <f>M22/'1. Väestöennuste'!O22*1000</f>
        <v>7228.7002932005098</v>
      </c>
      <c r="AG22" s="41">
        <f>N22/'1. Väestöennuste'!P22*1000</f>
        <v>7233.2178948769515</v>
      </c>
      <c r="AH22" s="41">
        <f>O22/'1. Väestöennuste'!Q22*1000</f>
        <v>7192.6819118728627</v>
      </c>
      <c r="AI22" s="41">
        <f>P22/'1. Väestöennuste'!R22*1000</f>
        <v>7193.1701627190623</v>
      </c>
      <c r="AK22" s="41">
        <f t="shared" si="5"/>
        <v>0</v>
      </c>
      <c r="AL22" s="41">
        <f t="shared" si="6"/>
        <v>0</v>
      </c>
      <c r="AM22" s="41">
        <f t="shared" si="7"/>
        <v>0</v>
      </c>
      <c r="AN22" s="41">
        <f t="shared" si="8"/>
        <v>0</v>
      </c>
      <c r="AO22" s="41">
        <f t="shared" si="9"/>
        <v>0</v>
      </c>
      <c r="AP22" s="41">
        <f t="shared" si="10"/>
        <v>0</v>
      </c>
      <c r="AQ22" s="41">
        <f t="shared" si="11"/>
        <v>0</v>
      </c>
      <c r="AR22" s="41">
        <f t="shared" si="12"/>
        <v>0</v>
      </c>
      <c r="AS22" s="41">
        <f t="shared" si="13"/>
        <v>0</v>
      </c>
      <c r="AT22" s="41">
        <f t="shared" si="14"/>
        <v>0</v>
      </c>
      <c r="AU22" s="41">
        <f t="shared" si="15"/>
        <v>0</v>
      </c>
      <c r="AV22" s="41">
        <f t="shared" si="16"/>
        <v>0</v>
      </c>
      <c r="AW22" s="41">
        <f t="shared" si="4"/>
        <v>0</v>
      </c>
      <c r="AX22" s="41">
        <f t="shared" si="4"/>
        <v>0</v>
      </c>
    </row>
    <row r="23" spans="1:50" ht="11.25" x14ac:dyDescent="0.2">
      <c r="A23" s="34">
        <v>47</v>
      </c>
      <c r="B23" s="88" t="s">
        <v>336</v>
      </c>
      <c r="C23" s="65">
        <v>245</v>
      </c>
      <c r="D23" s="65">
        <v>464</v>
      </c>
      <c r="E23" s="65">
        <v>1265</v>
      </c>
      <c r="F23" s="65">
        <v>1446</v>
      </c>
      <c r="G23" s="41">
        <v>1478</v>
      </c>
      <c r="H23" s="41">
        <v>2127</v>
      </c>
      <c r="I23" s="41">
        <v>11458.19586</v>
      </c>
      <c r="J23" s="41">
        <f>I23+'Tilikauden tulos'!J23+'9. Tulorahkorjauserät'!J23</f>
        <v>12954.994109575022</v>
      </c>
      <c r="K23" s="41">
        <f>J23+'Tilikauden tulos'!K23+'9. Tulorahkorjauserät'!K23</f>
        <v>13848.176936095253</v>
      </c>
      <c r="L23" s="41">
        <f>K23+'Tilikauden tulos'!L23+'9. Tulorahkorjauserät'!L23</f>
        <v>13944.557222530804</v>
      </c>
      <c r="M23" s="41">
        <f>L23+'Tilikauden tulos'!M23+'9. Tulorahkorjauserät'!M23</f>
        <v>13216.447594004761</v>
      </c>
      <c r="N23" s="41">
        <f>M23+'Tilikauden tulos'!N23+'9. Tulorahkorjauserät'!N23</f>
        <v>12460.368627577609</v>
      </c>
      <c r="O23" s="41">
        <f>N23+'Tilikauden tulos'!O23+'9. Tulorahkorjauserät'!O23</f>
        <v>11614.97481290016</v>
      </c>
      <c r="P23" s="41">
        <f>O23+'Tilikauden tulos'!P23+'9. Tulorahkorjauserät'!P23</f>
        <v>10823.441877146999</v>
      </c>
      <c r="T23" s="34">
        <v>47</v>
      </c>
      <c r="U23" s="88" t="s">
        <v>336</v>
      </c>
      <c r="V23" s="41">
        <f>C23/'1. Väestöennuste'!E23*1000</f>
        <v>131.64965072541645</v>
      </c>
      <c r="W23" s="41">
        <f>D23/'1. Väestöennuste'!F23*1000</f>
        <v>247.86324786324786</v>
      </c>
      <c r="X23" s="41">
        <f>E23/'1. Väestöennuste'!G23*1000</f>
        <v>668.25145272054942</v>
      </c>
      <c r="Y23" s="41">
        <f>F23/'1. Väestöennuste'!H23*1000</f>
        <v>780.77753779697628</v>
      </c>
      <c r="Z23" s="41">
        <f>G23/'1. Väestöennuste'!I23*1000</f>
        <v>804.1349292709466</v>
      </c>
      <c r="AA23" s="41">
        <f>H23/'1. Väestöennuste'!J23*1000</f>
        <v>1176.4380530973451</v>
      </c>
      <c r="AB23" s="41">
        <f>I23/'1. Väestöennuste'!K23*1000</f>
        <v>6404.8048406931248</v>
      </c>
      <c r="AC23" s="41">
        <f>J23/'1. Väestöennuste'!L23*1000</f>
        <v>7153.5030975013924</v>
      </c>
      <c r="AD23" s="41">
        <f>K23/'1. Väestöennuste'!M23*1000</f>
        <v>7819.4110311096856</v>
      </c>
      <c r="AE23" s="41">
        <f>L23/'1. Väestöennuste'!N23*1000</f>
        <v>7860.5170363758762</v>
      </c>
      <c r="AF23" s="41">
        <f>M23/'1. Väestöennuste'!O23*1000</f>
        <v>7475.3662862017882</v>
      </c>
      <c r="AG23" s="41">
        <f>N23/'1. Väestöennuste'!P23*1000</f>
        <v>7075.7345982837078</v>
      </c>
      <c r="AH23" s="41">
        <f>O23/'1. Väestöennuste'!Q23*1000</f>
        <v>6625.7700016543986</v>
      </c>
      <c r="AI23" s="41">
        <f>P23/'1. Väestöennuste'!R23*1000</f>
        <v>6202.5454883363891</v>
      </c>
      <c r="AK23" s="41">
        <f t="shared" si="5"/>
        <v>0</v>
      </c>
      <c r="AL23" s="41">
        <f t="shared" si="6"/>
        <v>0</v>
      </c>
      <c r="AM23" s="41">
        <f t="shared" si="7"/>
        <v>0</v>
      </c>
      <c r="AN23" s="41">
        <f t="shared" si="8"/>
        <v>0</v>
      </c>
      <c r="AO23" s="41">
        <f t="shared" si="9"/>
        <v>0</v>
      </c>
      <c r="AP23" s="41">
        <f t="shared" si="10"/>
        <v>0</v>
      </c>
      <c r="AQ23" s="41">
        <f t="shared" si="11"/>
        <v>0</v>
      </c>
      <c r="AR23" s="41">
        <f t="shared" si="12"/>
        <v>0</v>
      </c>
      <c r="AS23" s="41">
        <f t="shared" si="13"/>
        <v>0</v>
      </c>
      <c r="AT23" s="41">
        <f t="shared" si="14"/>
        <v>0</v>
      </c>
      <c r="AU23" s="41">
        <f t="shared" si="15"/>
        <v>0</v>
      </c>
      <c r="AV23" s="41">
        <f t="shared" si="16"/>
        <v>0</v>
      </c>
      <c r="AW23" s="41">
        <f t="shared" si="4"/>
        <v>0</v>
      </c>
      <c r="AX23" s="41">
        <f t="shared" si="4"/>
        <v>0</v>
      </c>
    </row>
    <row r="24" spans="1:50" ht="11.25" x14ac:dyDescent="0.2">
      <c r="A24" s="34">
        <v>49</v>
      </c>
      <c r="B24" s="88" t="s">
        <v>337</v>
      </c>
      <c r="C24" s="65">
        <v>397468</v>
      </c>
      <c r="D24" s="65">
        <v>469893</v>
      </c>
      <c r="E24" s="65">
        <v>487912</v>
      </c>
      <c r="F24" s="65">
        <v>525559</v>
      </c>
      <c r="G24" s="41">
        <v>511808</v>
      </c>
      <c r="H24" s="41">
        <v>637571</v>
      </c>
      <c r="I24" s="41">
        <v>819016.24895000004</v>
      </c>
      <c r="J24" s="41">
        <f>I24+'Tilikauden tulos'!J24+'9. Tulorahkorjauserät'!J24</f>
        <v>809023.09321648732</v>
      </c>
      <c r="K24" s="41">
        <f>J24+'Tilikauden tulos'!K24+'9. Tulorahkorjauserät'!K24</f>
        <v>993012.77172587416</v>
      </c>
      <c r="L24" s="41">
        <f>K24+'Tilikauden tulos'!L24+'9. Tulorahkorjauserät'!L24</f>
        <v>1075567.6342350252</v>
      </c>
      <c r="M24" s="41">
        <f>L24+'Tilikauden tulos'!M24+'9. Tulorahkorjauserät'!M24</f>
        <v>1185899.7512550589</v>
      </c>
      <c r="N24" s="41">
        <f>M24+'Tilikauden tulos'!N24+'9. Tulorahkorjauserät'!N24</f>
        <v>1280899.7579090642</v>
      </c>
      <c r="O24" s="41">
        <f>N24+'Tilikauden tulos'!O24+'9. Tulorahkorjauserät'!O24</f>
        <v>1366575.9475355861</v>
      </c>
      <c r="P24" s="41">
        <f>O24+'Tilikauden tulos'!P24+'9. Tulorahkorjauserät'!P24</f>
        <v>1453061.9866744867</v>
      </c>
      <c r="T24" s="34">
        <v>49</v>
      </c>
      <c r="U24" s="88" t="s">
        <v>337</v>
      </c>
      <c r="V24" s="41">
        <f>C24/'1. Väestöennuste'!E24*1000</f>
        <v>1473.1840386653917</v>
      </c>
      <c r="W24" s="41">
        <f>D24/'1. Väestöennuste'!F24*1000</f>
        <v>1711.2967663693676</v>
      </c>
      <c r="X24" s="41">
        <f>E24/'1. Väestöennuste'!G24*1000</f>
        <v>1748.5127793466263</v>
      </c>
      <c r="Y24" s="41">
        <f>F24/'1. Väestöennuste'!H24*1000</f>
        <v>1852.9608788853163</v>
      </c>
      <c r="Z24" s="41">
        <f>G24/'1. Väestöennuste'!I24*1000</f>
        <v>1766.4937476486812</v>
      </c>
      <c r="AA24" s="41">
        <f>H24/'1. Väestöennuste'!J24*1000</f>
        <v>2177.5263323269446</v>
      </c>
      <c r="AB24" s="41">
        <f>I24/'1. Väestöennuste'!K24*1000</f>
        <v>2756.4053987789939</v>
      </c>
      <c r="AC24" s="41">
        <f>J24/'1. Väestöennuste'!L24*1000</f>
        <v>2650.1539378279422</v>
      </c>
      <c r="AD24" s="41">
        <f>K24/'1. Väestöennuste'!M24*1000</f>
        <v>3162.2193581569377</v>
      </c>
      <c r="AE24" s="41">
        <f>L24/'1. Väestöennuste'!N24*1000</f>
        <v>3460.252655701659</v>
      </c>
      <c r="AF24" s="41">
        <f>M24/'1. Väestöennuste'!O24*1000</f>
        <v>3767.7873061699042</v>
      </c>
      <c r="AG24" s="41">
        <f>N24/'1. Väestöennuste'!P24*1000</f>
        <v>4022.0673911007207</v>
      </c>
      <c r="AH24" s="41">
        <f>O24/'1. Väestöennuste'!Q24*1000</f>
        <v>4243.9060632950823</v>
      </c>
      <c r="AI24" s="41">
        <f>P24/'1. Väestöennuste'!R24*1000</f>
        <v>4465.793379580814</v>
      </c>
      <c r="AK24" s="41">
        <f t="shared" si="5"/>
        <v>0</v>
      </c>
      <c r="AL24" s="41">
        <f t="shared" si="6"/>
        <v>0</v>
      </c>
      <c r="AM24" s="41">
        <f t="shared" si="7"/>
        <v>0</v>
      </c>
      <c r="AN24" s="41">
        <f t="shared" si="8"/>
        <v>0</v>
      </c>
      <c r="AO24" s="41">
        <f t="shared" si="9"/>
        <v>0</v>
      </c>
      <c r="AP24" s="41">
        <f t="shared" si="10"/>
        <v>0</v>
      </c>
      <c r="AQ24" s="41">
        <f t="shared" si="11"/>
        <v>0</v>
      </c>
      <c r="AR24" s="41">
        <f t="shared" si="12"/>
        <v>0</v>
      </c>
      <c r="AS24" s="41">
        <f t="shared" si="13"/>
        <v>0</v>
      </c>
      <c r="AT24" s="41">
        <f t="shared" si="14"/>
        <v>0</v>
      </c>
      <c r="AU24" s="41">
        <f t="shared" si="15"/>
        <v>0</v>
      </c>
      <c r="AV24" s="41">
        <f t="shared" si="16"/>
        <v>0</v>
      </c>
      <c r="AW24" s="41">
        <f t="shared" si="4"/>
        <v>0</v>
      </c>
      <c r="AX24" s="41">
        <f t="shared" si="4"/>
        <v>0</v>
      </c>
    </row>
    <row r="25" spans="1:50" ht="11.25" x14ac:dyDescent="0.2">
      <c r="A25" s="34">
        <v>50</v>
      </c>
      <c r="B25" s="88" t="s">
        <v>338</v>
      </c>
      <c r="C25" s="65">
        <v>5717</v>
      </c>
      <c r="D25" s="65">
        <v>6223</v>
      </c>
      <c r="E25" s="65">
        <v>7837</v>
      </c>
      <c r="F25" s="65">
        <v>3931</v>
      </c>
      <c r="G25" s="41">
        <v>-290</v>
      </c>
      <c r="H25" s="41">
        <v>3482</v>
      </c>
      <c r="I25" s="41">
        <v>6456.7515800000001</v>
      </c>
      <c r="J25" s="41">
        <f>I25+'Tilikauden tulos'!J25+'9. Tulorahkorjauserät'!J25</f>
        <v>3887.9823350675165</v>
      </c>
      <c r="K25" s="41">
        <f>J25+'Tilikauden tulos'!K25+'9. Tulorahkorjauserät'!K25</f>
        <v>4420.9222669642459</v>
      </c>
      <c r="L25" s="41">
        <f>K25+'Tilikauden tulos'!L25+'9. Tulorahkorjauserät'!L25</f>
        <v>3473.9624168735691</v>
      </c>
      <c r="M25" s="41">
        <f>L25+'Tilikauden tulos'!M25+'9. Tulorahkorjauserät'!M25</f>
        <v>1107.580811170571</v>
      </c>
      <c r="N25" s="41">
        <f>M25+'Tilikauden tulos'!N25+'9. Tulorahkorjauserät'!N25</f>
        <v>-173.82930099346595</v>
      </c>
      <c r="O25" s="41">
        <f>N25+'Tilikauden tulos'!O25+'9. Tulorahkorjauserät'!O25</f>
        <v>-1592.1792853062962</v>
      </c>
      <c r="P25" s="41">
        <f>O25+'Tilikauden tulos'!P25+'9. Tulorahkorjauserät'!P25</f>
        <v>-1769.2580083415996</v>
      </c>
      <c r="T25" s="34">
        <v>50</v>
      </c>
      <c r="U25" s="88" t="s">
        <v>338</v>
      </c>
      <c r="V25" s="41">
        <f>C25/'1. Väestöennuste'!E25*1000</f>
        <v>471.38852242744059</v>
      </c>
      <c r="W25" s="41">
        <f>D25/'1. Väestöennuste'!F25*1000</f>
        <v>518.41052982339215</v>
      </c>
      <c r="X25" s="41">
        <f>E25/'1. Väestöennuste'!G25*1000</f>
        <v>658.01847187237615</v>
      </c>
      <c r="Y25" s="41">
        <f>F25/'1. Väestöennuste'!H25*1000</f>
        <v>334.61014640789921</v>
      </c>
      <c r="Z25" s="41">
        <f>G25/'1. Väestöennuste'!I25*1000</f>
        <v>-24.931224209078405</v>
      </c>
      <c r="AA25" s="41">
        <f>H25/'1. Väestöennuste'!J25*1000</f>
        <v>303.23086301489161</v>
      </c>
      <c r="AB25" s="41">
        <f>I25/'1. Väestöennuste'!K25*1000</f>
        <v>565.5383708504861</v>
      </c>
      <c r="AC25" s="41">
        <f>J25/'1. Väestöennuste'!L25*1000</f>
        <v>344.80155507870847</v>
      </c>
      <c r="AD25" s="41">
        <f>K25/'1. Väestöennuste'!M25*1000</f>
        <v>395.28990226790467</v>
      </c>
      <c r="AE25" s="41">
        <f>L25/'1. Väestöennuste'!N25*1000</f>
        <v>316.36120725558408</v>
      </c>
      <c r="AF25" s="41">
        <f>M25/'1. Väestöennuste'!O25*1000</f>
        <v>101.94024953249618</v>
      </c>
      <c r="AG25" s="41">
        <f>N25/'1. Väestöennuste'!P25*1000</f>
        <v>-16.164152965730516</v>
      </c>
      <c r="AH25" s="41">
        <f>O25/'1. Väestöennuste'!Q25*1000</f>
        <v>-149.50040237617804</v>
      </c>
      <c r="AI25" s="41">
        <f>P25/'1. Väestöennuste'!R25*1000</f>
        <v>-167.71807833364298</v>
      </c>
      <c r="AK25" s="41">
        <f t="shared" si="5"/>
        <v>0</v>
      </c>
      <c r="AL25" s="41">
        <f t="shared" si="6"/>
        <v>0</v>
      </c>
      <c r="AM25" s="41">
        <f t="shared" si="7"/>
        <v>0</v>
      </c>
      <c r="AN25" s="41">
        <f t="shared" si="8"/>
        <v>0</v>
      </c>
      <c r="AO25" s="41">
        <f t="shared" si="9"/>
        <v>-1</v>
      </c>
      <c r="AP25" s="41">
        <f t="shared" si="10"/>
        <v>0</v>
      </c>
      <c r="AQ25" s="41">
        <f t="shared" si="11"/>
        <v>0</v>
      </c>
      <c r="AR25" s="41">
        <f t="shared" si="12"/>
        <v>0</v>
      </c>
      <c r="AS25" s="41">
        <f t="shared" si="13"/>
        <v>0</v>
      </c>
      <c r="AT25" s="41">
        <f t="shared" si="14"/>
        <v>0</v>
      </c>
      <c r="AU25" s="41">
        <f t="shared" si="15"/>
        <v>0</v>
      </c>
      <c r="AV25" s="41">
        <f t="shared" si="16"/>
        <v>-1</v>
      </c>
      <c r="AW25" s="41">
        <f t="shared" si="4"/>
        <v>-1</v>
      </c>
      <c r="AX25" s="41">
        <f t="shared" si="4"/>
        <v>-1</v>
      </c>
    </row>
    <row r="26" spans="1:50" ht="11.25" x14ac:dyDescent="0.2">
      <c r="A26" s="34">
        <v>51</v>
      </c>
      <c r="B26" s="88" t="s">
        <v>339</v>
      </c>
      <c r="C26" s="65">
        <v>69938</v>
      </c>
      <c r="D26" s="65">
        <v>74506</v>
      </c>
      <c r="E26" s="65">
        <v>75721</v>
      </c>
      <c r="F26" s="65">
        <v>75565</v>
      </c>
      <c r="G26" s="41">
        <v>73816</v>
      </c>
      <c r="H26" s="41">
        <v>73022</v>
      </c>
      <c r="I26" s="41">
        <v>76237.025020000001</v>
      </c>
      <c r="J26" s="41">
        <f>I26+'Tilikauden tulos'!J26+'9. Tulorahkorjauserät'!J26</f>
        <v>77594.222676286765</v>
      </c>
      <c r="K26" s="41">
        <f>J26+'Tilikauden tulos'!K26+'9. Tulorahkorjauserät'!K26</f>
        <v>81052.421866809324</v>
      </c>
      <c r="L26" s="41">
        <f>K26+'Tilikauden tulos'!L26+'9. Tulorahkorjauserät'!L26</f>
        <v>78761.930102305749</v>
      </c>
      <c r="M26" s="41">
        <f>L26+'Tilikauden tulos'!M26+'9. Tulorahkorjauserät'!M26</f>
        <v>79210.472021041947</v>
      </c>
      <c r="N26" s="41">
        <f>M26+'Tilikauden tulos'!N26+'9. Tulorahkorjauserät'!N26</f>
        <v>79946.944060941823</v>
      </c>
      <c r="O26" s="41">
        <f>N26+'Tilikauden tulos'!O26+'9. Tulorahkorjauserät'!O26</f>
        <v>80907.04483681047</v>
      </c>
      <c r="P26" s="41">
        <f>O26+'Tilikauden tulos'!P26+'9. Tulorahkorjauserät'!P26</f>
        <v>82853.978279319985</v>
      </c>
      <c r="T26" s="34">
        <v>51</v>
      </c>
      <c r="U26" s="88" t="s">
        <v>339</v>
      </c>
      <c r="V26" s="41">
        <f>C26/'1. Väestöennuste'!E26*1000</f>
        <v>7530.7418972757623</v>
      </c>
      <c r="W26" s="41">
        <f>D26/'1. Väestöennuste'!F26*1000</f>
        <v>7911.0214482905076</v>
      </c>
      <c r="X26" s="41">
        <f>E26/'1. Väestöennuste'!G26*1000</f>
        <v>7953.0511500892762</v>
      </c>
      <c r="Y26" s="41">
        <f>F26/'1. Väestöennuste'!H26*1000</f>
        <v>7992.9130526761155</v>
      </c>
      <c r="Z26" s="41">
        <f>G26/'1. Väestöennuste'!I26*1000</f>
        <v>7851.0955115932775</v>
      </c>
      <c r="AA26" s="41">
        <f>H26/'1. Väestöennuste'!J26*1000</f>
        <v>7725.5607278882771</v>
      </c>
      <c r="AB26" s="41">
        <f>I26/'1. Väestöennuste'!K26*1000</f>
        <v>8167.6692757660167</v>
      </c>
      <c r="AC26" s="41">
        <f>J26/'1. Väestöennuste'!L26*1000</f>
        <v>8424.0823663322954</v>
      </c>
      <c r="AD26" s="41">
        <f>K26/'1. Väestöennuste'!M26*1000</f>
        <v>8864.9701265240419</v>
      </c>
      <c r="AE26" s="41">
        <f>L26/'1. Väestöennuste'!N26*1000</f>
        <v>8237.8339192872863</v>
      </c>
      <c r="AF26" s="41">
        <f>M26/'1. Väestöennuste'!O26*1000</f>
        <v>8278.6864570486978</v>
      </c>
      <c r="AG26" s="41">
        <f>N26/'1. Väestöennuste'!P26*1000</f>
        <v>8358.2795672704469</v>
      </c>
      <c r="AH26" s="41">
        <f>O26/'1. Väestöennuste'!Q26*1000</f>
        <v>8463.9653558751415</v>
      </c>
      <c r="AI26" s="41">
        <f>P26/'1. Väestöennuste'!R26*1000</f>
        <v>8677.6265478969399</v>
      </c>
      <c r="AK26" s="41">
        <f t="shared" si="5"/>
        <v>0</v>
      </c>
      <c r="AL26" s="41">
        <f t="shared" si="6"/>
        <v>0</v>
      </c>
      <c r="AM26" s="41">
        <f t="shared" si="7"/>
        <v>0</v>
      </c>
      <c r="AN26" s="41">
        <f t="shared" si="8"/>
        <v>0</v>
      </c>
      <c r="AO26" s="41">
        <f t="shared" si="9"/>
        <v>0</v>
      </c>
      <c r="AP26" s="41">
        <f t="shared" si="10"/>
        <v>0</v>
      </c>
      <c r="AQ26" s="41">
        <f t="shared" si="11"/>
        <v>0</v>
      </c>
      <c r="AR26" s="41">
        <f t="shared" si="12"/>
        <v>0</v>
      </c>
      <c r="AS26" s="41">
        <f t="shared" si="13"/>
        <v>0</v>
      </c>
      <c r="AT26" s="41">
        <f t="shared" si="14"/>
        <v>0</v>
      </c>
      <c r="AU26" s="41">
        <f t="shared" si="15"/>
        <v>0</v>
      </c>
      <c r="AV26" s="41">
        <f t="shared" si="16"/>
        <v>0</v>
      </c>
      <c r="AW26" s="41">
        <f t="shared" si="4"/>
        <v>0</v>
      </c>
      <c r="AX26" s="41">
        <f t="shared" si="4"/>
        <v>0</v>
      </c>
    </row>
    <row r="27" spans="1:50" ht="11.25" x14ac:dyDescent="0.2">
      <c r="A27" s="34">
        <v>52</v>
      </c>
      <c r="B27" s="88" t="s">
        <v>340</v>
      </c>
      <c r="C27" s="65">
        <v>4866</v>
      </c>
      <c r="D27" s="65">
        <v>4924</v>
      </c>
      <c r="E27" s="65">
        <v>5147</v>
      </c>
      <c r="F27" s="65">
        <v>4177</v>
      </c>
      <c r="G27" s="41">
        <v>3287</v>
      </c>
      <c r="H27" s="41">
        <v>2838</v>
      </c>
      <c r="I27" s="41">
        <v>3427.5144699999996</v>
      </c>
      <c r="J27" s="41">
        <f>I27+'Tilikauden tulos'!J27+'9. Tulorahkorjauserät'!J27</f>
        <v>3905.7318146866019</v>
      </c>
      <c r="K27" s="41">
        <f>J27+'Tilikauden tulos'!K27+'9. Tulorahkorjauserät'!K27</f>
        <v>5188.3955467023361</v>
      </c>
      <c r="L27" s="41">
        <f>K27+'Tilikauden tulos'!L27+'9. Tulorahkorjauserät'!L27</f>
        <v>5490.5311992608231</v>
      </c>
      <c r="M27" s="41">
        <f>L27+'Tilikauden tulos'!M27+'9. Tulorahkorjauserät'!M27</f>
        <v>4757.6130520419256</v>
      </c>
      <c r="N27" s="41">
        <f>M27+'Tilikauden tulos'!N27+'9. Tulorahkorjauserät'!N27</f>
        <v>3961.2400251219647</v>
      </c>
      <c r="O27" s="41">
        <f>N27+'Tilikauden tulos'!O27+'9. Tulorahkorjauserät'!O27</f>
        <v>2974.8858491354795</v>
      </c>
      <c r="P27" s="41">
        <f>O27+'Tilikauden tulos'!P27+'9. Tulorahkorjauserät'!P27</f>
        <v>2031.8691164142003</v>
      </c>
      <c r="T27" s="34">
        <v>52</v>
      </c>
      <c r="U27" s="88" t="s">
        <v>340</v>
      </c>
      <c r="V27" s="41">
        <f>C27/'1. Väestöennuste'!E27*1000</f>
        <v>1888.975155279503</v>
      </c>
      <c r="W27" s="41">
        <f>D27/'1. Väestöennuste'!F27*1000</f>
        <v>1942.406311637081</v>
      </c>
      <c r="X27" s="41">
        <f>E27/'1. Väestöennuste'!G27*1000</f>
        <v>2059.6238495398161</v>
      </c>
      <c r="Y27" s="41">
        <f>F27/'1. Väestöennuste'!H27*1000</f>
        <v>1689.0416498180348</v>
      </c>
      <c r="Z27" s="41">
        <f>G27/'1. Väestöennuste'!I27*1000</f>
        <v>1355.4639175257732</v>
      </c>
      <c r="AA27" s="41">
        <f>H27/'1. Väestöennuste'!J27*1000</f>
        <v>1178.5714285714287</v>
      </c>
      <c r="AB27" s="41">
        <f>I27/'1. Väestöennuste'!K27*1000</f>
        <v>1425.754771214642</v>
      </c>
      <c r="AC27" s="41">
        <f>J27/'1. Väestöennuste'!L27*1000</f>
        <v>1664.8473208382788</v>
      </c>
      <c r="AD27" s="41">
        <f>K27/'1. Väestöennuste'!M27*1000</f>
        <v>2263.697882505382</v>
      </c>
      <c r="AE27" s="41">
        <f>L27/'1. Väestöennuste'!N27*1000</f>
        <v>2393.4312115347966</v>
      </c>
      <c r="AF27" s="41">
        <f>M27/'1. Väestöennuste'!O27*1000</f>
        <v>2096.7884759990857</v>
      </c>
      <c r="AG27" s="41">
        <f>N27/'1. Väestöennuste'!P27*1000</f>
        <v>1765.2584782183442</v>
      </c>
      <c r="AH27" s="41">
        <f>O27/'1. Väestöennuste'!Q27*1000</f>
        <v>1340.642563828517</v>
      </c>
      <c r="AI27" s="41">
        <f>P27/'1. Väestöennuste'!R27*1000</f>
        <v>925.68069084929402</v>
      </c>
      <c r="AK27" s="41">
        <f t="shared" si="5"/>
        <v>0</v>
      </c>
      <c r="AL27" s="41">
        <f t="shared" si="6"/>
        <v>0</v>
      </c>
      <c r="AM27" s="41">
        <f t="shared" si="7"/>
        <v>0</v>
      </c>
      <c r="AN27" s="41">
        <f t="shared" si="8"/>
        <v>0</v>
      </c>
      <c r="AO27" s="41">
        <f t="shared" si="9"/>
        <v>0</v>
      </c>
      <c r="AP27" s="41">
        <f t="shared" si="10"/>
        <v>0</v>
      </c>
      <c r="AQ27" s="41">
        <f t="shared" si="11"/>
        <v>0</v>
      </c>
      <c r="AR27" s="41">
        <f t="shared" si="12"/>
        <v>0</v>
      </c>
      <c r="AS27" s="41">
        <f t="shared" si="13"/>
        <v>0</v>
      </c>
      <c r="AT27" s="41">
        <f t="shared" si="14"/>
        <v>0</v>
      </c>
      <c r="AU27" s="41">
        <f t="shared" si="15"/>
        <v>0</v>
      </c>
      <c r="AV27" s="41">
        <f t="shared" si="16"/>
        <v>0</v>
      </c>
      <c r="AW27" s="41">
        <f t="shared" si="4"/>
        <v>0</v>
      </c>
      <c r="AX27" s="41">
        <f t="shared" si="4"/>
        <v>0</v>
      </c>
    </row>
    <row r="28" spans="1:50" ht="11.25" x14ac:dyDescent="0.2">
      <c r="A28" s="34">
        <v>61</v>
      </c>
      <c r="B28" s="88" t="s">
        <v>341</v>
      </c>
      <c r="C28" s="65">
        <v>8558</v>
      </c>
      <c r="D28" s="65">
        <v>8750</v>
      </c>
      <c r="E28" s="65">
        <v>9062</v>
      </c>
      <c r="F28" s="65">
        <v>8609</v>
      </c>
      <c r="G28" s="41">
        <v>8139</v>
      </c>
      <c r="H28" s="41">
        <v>9182</v>
      </c>
      <c r="I28" s="41">
        <v>10054.33332</v>
      </c>
      <c r="J28" s="41">
        <f>I28+'Tilikauden tulos'!J28+'9. Tulorahkorjauserät'!J28</f>
        <v>12167.027699074417</v>
      </c>
      <c r="K28" s="41">
        <f>J28+'Tilikauden tulos'!K28+'9. Tulorahkorjauserät'!K28</f>
        <v>17559.911621163257</v>
      </c>
      <c r="L28" s="41">
        <f>K28+'Tilikauden tulos'!L28+'9. Tulorahkorjauserät'!L28</f>
        <v>16031.073475129928</v>
      </c>
      <c r="M28" s="41">
        <f>L28+'Tilikauden tulos'!M28+'9. Tulorahkorjauserät'!M28</f>
        <v>13826.947093498608</v>
      </c>
      <c r="N28" s="41">
        <f>M28+'Tilikauden tulos'!N28+'9. Tulorahkorjauserät'!N28</f>
        <v>12106.082475437406</v>
      </c>
      <c r="O28" s="41">
        <f>N28+'Tilikauden tulos'!O28+'9. Tulorahkorjauserät'!O28</f>
        <v>9353.0537951119331</v>
      </c>
      <c r="P28" s="41">
        <f>O28+'Tilikauden tulos'!P28+'9. Tulorahkorjauserät'!P28</f>
        <v>8587.7206421013561</v>
      </c>
      <c r="T28" s="34">
        <v>61</v>
      </c>
      <c r="U28" s="88" t="s">
        <v>341</v>
      </c>
      <c r="V28" s="41">
        <f>C28/'1. Väestöennuste'!E28*1000</f>
        <v>491.21800022959479</v>
      </c>
      <c r="W28" s="41">
        <f>D28/'1. Väestöennuste'!F28*1000</f>
        <v>504.84652665589658</v>
      </c>
      <c r="X28" s="41">
        <f>E28/'1. Väestöennuste'!G28*1000</f>
        <v>527.32033750363689</v>
      </c>
      <c r="Y28" s="41">
        <f>F28/'1. Väestöennuste'!H28*1000</f>
        <v>505.5790462767207</v>
      </c>
      <c r="Z28" s="41">
        <f>G28/'1. Väestöennuste'!I28*1000</f>
        <v>481.5691379208331</v>
      </c>
      <c r="AA28" s="41">
        <f>H28/'1. Väestöennuste'!J28*1000</f>
        <v>546.54761904761904</v>
      </c>
      <c r="AB28" s="41">
        <f>I28/'1. Väestöennuste'!K28*1000</f>
        <v>606.66948168708132</v>
      </c>
      <c r="AC28" s="41">
        <f>J28/'1. Väestöennuste'!L28*1000</f>
        <v>739.23249888051623</v>
      </c>
      <c r="AD28" s="41">
        <f>K28/'1. Väestöennuste'!M28*1000</f>
        <v>1066.2403073145458</v>
      </c>
      <c r="AE28" s="41">
        <f>L28/'1. Väestöennuste'!N28*1000</f>
        <v>984.34689150988129</v>
      </c>
      <c r="AF28" s="41">
        <f>M28/'1. Väestöennuste'!O28*1000</f>
        <v>855.52203276194825</v>
      </c>
      <c r="AG28" s="41">
        <f>N28/'1. Väestöennuste'!P28*1000</f>
        <v>754.55512811252845</v>
      </c>
      <c r="AH28" s="41">
        <f>O28/'1. Väestöennuste'!Q28*1000</f>
        <v>587.39268951277597</v>
      </c>
      <c r="AI28" s="41">
        <f>P28/'1. Väestöennuste'!R28*1000</f>
        <v>543.42344125174691</v>
      </c>
      <c r="AK28" s="41">
        <f t="shared" si="5"/>
        <v>0</v>
      </c>
      <c r="AL28" s="41">
        <f t="shared" si="6"/>
        <v>0</v>
      </c>
      <c r="AM28" s="41">
        <f t="shared" si="7"/>
        <v>0</v>
      </c>
      <c r="AN28" s="41">
        <f t="shared" si="8"/>
        <v>0</v>
      </c>
      <c r="AO28" s="41">
        <f t="shared" si="9"/>
        <v>0</v>
      </c>
      <c r="AP28" s="41">
        <f t="shared" si="10"/>
        <v>0</v>
      </c>
      <c r="AQ28" s="41">
        <f t="shared" si="11"/>
        <v>0</v>
      </c>
      <c r="AR28" s="41">
        <f t="shared" si="12"/>
        <v>0</v>
      </c>
      <c r="AS28" s="41">
        <f t="shared" si="13"/>
        <v>0</v>
      </c>
      <c r="AT28" s="41">
        <f t="shared" si="14"/>
        <v>0</v>
      </c>
      <c r="AU28" s="41">
        <f t="shared" si="15"/>
        <v>0</v>
      </c>
      <c r="AV28" s="41">
        <f t="shared" si="16"/>
        <v>0</v>
      </c>
      <c r="AW28" s="41">
        <f t="shared" si="4"/>
        <v>0</v>
      </c>
      <c r="AX28" s="41">
        <f t="shared" si="4"/>
        <v>0</v>
      </c>
    </row>
    <row r="29" spans="1:50" ht="11.25" x14ac:dyDescent="0.2">
      <c r="A29" s="34">
        <v>69</v>
      </c>
      <c r="B29" s="88" t="s">
        <v>342</v>
      </c>
      <c r="C29" s="65">
        <v>-2</v>
      </c>
      <c r="D29" s="65">
        <v>-746</v>
      </c>
      <c r="E29" s="65">
        <v>-146</v>
      </c>
      <c r="F29" s="65">
        <v>-2084</v>
      </c>
      <c r="G29" s="41">
        <v>-4277</v>
      </c>
      <c r="H29" s="41">
        <v>-2928</v>
      </c>
      <c r="I29" s="41">
        <v>-5172.6680500000002</v>
      </c>
      <c r="J29" s="41">
        <f>I29+'Tilikauden tulos'!J29+'9. Tulorahkorjauserät'!J29</f>
        <v>-5747.6074661598504</v>
      </c>
      <c r="K29" s="41">
        <f>J29+'Tilikauden tulos'!K29+'9. Tulorahkorjauserät'!K29</f>
        <v>-5868.9445757302756</v>
      </c>
      <c r="L29" s="41">
        <f>K29+'Tilikauden tulos'!L29+'9. Tulorahkorjauserät'!L29</f>
        <v>-5665.9591285117376</v>
      </c>
      <c r="M29" s="41">
        <f>L29+'Tilikauden tulos'!M29+'9. Tulorahkorjauserät'!M29</f>
        <v>-7920.0951640284375</v>
      </c>
      <c r="N29" s="41">
        <f>M29+'Tilikauden tulos'!N29+'9. Tulorahkorjauserät'!N29</f>
        <v>-9403.0119194405088</v>
      </c>
      <c r="O29" s="41">
        <f>N29+'Tilikauden tulos'!O29+'9. Tulorahkorjauserät'!O29</f>
        <v>-11065.779486218136</v>
      </c>
      <c r="P29" s="41">
        <f>O29+'Tilikauden tulos'!P29+'9. Tulorahkorjauserät'!P29</f>
        <v>-12023.733753275048</v>
      </c>
      <c r="T29" s="34">
        <v>69</v>
      </c>
      <c r="U29" s="88" t="s">
        <v>342</v>
      </c>
      <c r="V29" s="41">
        <f>C29/'1. Väestöennuste'!E29*1000</f>
        <v>-0.26888948642108096</v>
      </c>
      <c r="W29" s="41">
        <f>D29/'1. Väestöennuste'!F29*1000</f>
        <v>-101.74577195853792</v>
      </c>
      <c r="X29" s="41">
        <f>E29/'1. Väestöennuste'!G29*1000</f>
        <v>-20.135153771893531</v>
      </c>
      <c r="Y29" s="41">
        <f>F29/'1. Väestöennuste'!H29*1000</f>
        <v>-291.59087729117113</v>
      </c>
      <c r="Z29" s="41">
        <f>G29/'1. Väestöennuste'!I29*1000</f>
        <v>-610.12838801711848</v>
      </c>
      <c r="AA29" s="41">
        <f>H29/'1. Väestöennuste'!J29*1000</f>
        <v>-424.59396751740144</v>
      </c>
      <c r="AB29" s="41">
        <f>I29/'1. Väestöennuste'!K29*1000</f>
        <v>-760.46281240811527</v>
      </c>
      <c r="AC29" s="41">
        <f>J29/'1. Väestöennuste'!L29*1000</f>
        <v>-859.51958518915058</v>
      </c>
      <c r="AD29" s="41">
        <f>K29/'1. Väestöennuste'!M29*1000</f>
        <v>-894.92902954106057</v>
      </c>
      <c r="AE29" s="41">
        <f>L29/'1. Väestöennuste'!N29*1000</f>
        <v>-876.26958374756225</v>
      </c>
      <c r="AF29" s="41">
        <f>M29/'1. Väestöennuste'!O29*1000</f>
        <v>-1243.5382578157382</v>
      </c>
      <c r="AG29" s="41">
        <f>N29/'1. Väestöennuste'!P29*1000</f>
        <v>-1498.7267962130234</v>
      </c>
      <c r="AH29" s="41">
        <f>O29/'1. Väestöennuste'!Q29*1000</f>
        <v>-1789.4210035928422</v>
      </c>
      <c r="AI29" s="41">
        <f>P29/'1. Väestöennuste'!R29*1000</f>
        <v>-1972.7208783059964</v>
      </c>
      <c r="AK29" s="41">
        <f t="shared" si="5"/>
        <v>-1</v>
      </c>
      <c r="AL29" s="41">
        <f t="shared" si="6"/>
        <v>-1</v>
      </c>
      <c r="AM29" s="41">
        <f t="shared" si="7"/>
        <v>-1</v>
      </c>
      <c r="AN29" s="41">
        <f t="shared" si="8"/>
        <v>-1</v>
      </c>
      <c r="AO29" s="41">
        <f t="shared" si="9"/>
        <v>-1</v>
      </c>
      <c r="AP29" s="41">
        <f t="shared" si="10"/>
        <v>-1</v>
      </c>
      <c r="AQ29" s="41">
        <f t="shared" si="11"/>
        <v>-1</v>
      </c>
      <c r="AR29" s="41">
        <f t="shared" si="12"/>
        <v>-1</v>
      </c>
      <c r="AS29" s="41">
        <f t="shared" si="13"/>
        <v>-1</v>
      </c>
      <c r="AT29" s="41">
        <f t="shared" si="14"/>
        <v>-1</v>
      </c>
      <c r="AU29" s="41">
        <f t="shared" si="15"/>
        <v>-1</v>
      </c>
      <c r="AV29" s="41">
        <f t="shared" si="16"/>
        <v>-1</v>
      </c>
      <c r="AW29" s="41">
        <f t="shared" si="4"/>
        <v>-1</v>
      </c>
      <c r="AX29" s="41">
        <f t="shared" si="4"/>
        <v>-1</v>
      </c>
    </row>
    <row r="30" spans="1:50" ht="11.25" x14ac:dyDescent="0.2">
      <c r="A30" s="34">
        <v>71</v>
      </c>
      <c r="B30" s="88" t="s">
        <v>343</v>
      </c>
      <c r="C30" s="65">
        <v>-1410</v>
      </c>
      <c r="D30" s="65">
        <v>-2961</v>
      </c>
      <c r="E30" s="65">
        <v>5004</v>
      </c>
      <c r="F30" s="65">
        <v>3637</v>
      </c>
      <c r="G30" s="41">
        <v>3063</v>
      </c>
      <c r="H30" s="41">
        <v>4938</v>
      </c>
      <c r="I30" s="41">
        <v>3290.9425100000008</v>
      </c>
      <c r="J30" s="41">
        <f>I30+'Tilikauden tulos'!J30+'9. Tulorahkorjauserät'!J30</f>
        <v>2659.4362562341043</v>
      </c>
      <c r="K30" s="41">
        <f>J30+'Tilikauden tulos'!K30+'9. Tulorahkorjauserät'!K30</f>
        <v>4031.9534606847224</v>
      </c>
      <c r="L30" s="41">
        <f>K30+'Tilikauden tulos'!L30+'9. Tulorahkorjauserät'!L30</f>
        <v>4120.4545159732834</v>
      </c>
      <c r="M30" s="41">
        <f>L30+'Tilikauden tulos'!M30+'9. Tulorahkorjauserät'!M30</f>
        <v>2577.1301774676085</v>
      </c>
      <c r="N30" s="41">
        <f>M30+'Tilikauden tulos'!N30+'9. Tulorahkorjauserät'!N30</f>
        <v>1460.5686765064288</v>
      </c>
      <c r="O30" s="41">
        <f>N30+'Tilikauden tulos'!O30+'9. Tulorahkorjauserät'!O30</f>
        <v>615.10986094342957</v>
      </c>
      <c r="P30" s="41">
        <f>O30+'Tilikauden tulos'!P30+'9. Tulorahkorjauserät'!P30</f>
        <v>639.5598649019787</v>
      </c>
      <c r="T30" s="34">
        <v>71</v>
      </c>
      <c r="U30" s="88" t="s">
        <v>343</v>
      </c>
      <c r="V30" s="41">
        <f>C30/'1. Väestöennuste'!E30*1000</f>
        <v>-196.73503557974047</v>
      </c>
      <c r="W30" s="41">
        <f>D30/'1. Väestöennuste'!F30*1000</f>
        <v>-417.15976331360946</v>
      </c>
      <c r="X30" s="41">
        <f>E30/'1. Väestöennuste'!G30*1000</f>
        <v>717.93400286944041</v>
      </c>
      <c r="Y30" s="41">
        <f>F30/'1. Väestöennuste'!H30*1000</f>
        <v>530.63904289466007</v>
      </c>
      <c r="Z30" s="41">
        <f>G30/'1. Väestöennuste'!I30*1000</f>
        <v>453.24060372891387</v>
      </c>
      <c r="AA30" s="41">
        <f>H30/'1. Väestöennuste'!J30*1000</f>
        <v>740.66296685165742</v>
      </c>
      <c r="AB30" s="41">
        <f>I30/'1. Väestöennuste'!K30*1000</f>
        <v>497.64743837895065</v>
      </c>
      <c r="AC30" s="41">
        <f>J30/'1. Väestöennuste'!L30*1000</f>
        <v>403.49510790989297</v>
      </c>
      <c r="AD30" s="41">
        <f>K30/'1. Väestöennuste'!M30*1000</f>
        <v>622.88791297462114</v>
      </c>
      <c r="AE30" s="41">
        <f>L30/'1. Väestöennuste'!N30*1000</f>
        <v>654.35199554919541</v>
      </c>
      <c r="AF30" s="41">
        <f>M30/'1. Väestöennuste'!O30*1000</f>
        <v>414.72967130151403</v>
      </c>
      <c r="AG30" s="41">
        <f>N30/'1. Väestöennuste'!P30*1000</f>
        <v>238.07150391302832</v>
      </c>
      <c r="AH30" s="41">
        <f>O30/'1. Väestöennuste'!Q30*1000</f>
        <v>101.50327738340421</v>
      </c>
      <c r="AI30" s="41">
        <f>P30/'1. Väestöennuste'!R30*1000</f>
        <v>106.77126292186622</v>
      </c>
      <c r="AK30" s="41">
        <f t="shared" si="5"/>
        <v>-1</v>
      </c>
      <c r="AL30" s="41">
        <f t="shared" si="6"/>
        <v>-1</v>
      </c>
      <c r="AM30" s="41">
        <f t="shared" si="7"/>
        <v>0</v>
      </c>
      <c r="AN30" s="41">
        <f t="shared" si="8"/>
        <v>0</v>
      </c>
      <c r="AO30" s="41">
        <f t="shared" si="9"/>
        <v>0</v>
      </c>
      <c r="AP30" s="41">
        <f t="shared" si="10"/>
        <v>0</v>
      </c>
      <c r="AQ30" s="41">
        <f t="shared" si="11"/>
        <v>0</v>
      </c>
      <c r="AR30" s="41">
        <f t="shared" si="12"/>
        <v>0</v>
      </c>
      <c r="AS30" s="41">
        <f t="shared" si="13"/>
        <v>0</v>
      </c>
      <c r="AT30" s="41">
        <f t="shared" si="14"/>
        <v>0</v>
      </c>
      <c r="AU30" s="41">
        <f t="shared" si="15"/>
        <v>0</v>
      </c>
      <c r="AV30" s="41">
        <f t="shared" si="16"/>
        <v>0</v>
      </c>
      <c r="AW30" s="41">
        <f t="shared" si="4"/>
        <v>0</v>
      </c>
      <c r="AX30" s="41">
        <f t="shared" si="4"/>
        <v>0</v>
      </c>
    </row>
    <row r="31" spans="1:50" ht="11.25" x14ac:dyDescent="0.2">
      <c r="A31" s="34">
        <v>72</v>
      </c>
      <c r="B31" s="88" t="s">
        <v>344</v>
      </c>
      <c r="C31" s="65">
        <v>2359</v>
      </c>
      <c r="D31" s="65">
        <v>2851</v>
      </c>
      <c r="E31" s="65">
        <v>3447</v>
      </c>
      <c r="F31" s="65">
        <v>3376</v>
      </c>
      <c r="G31" s="41">
        <v>3048</v>
      </c>
      <c r="H31" s="41">
        <v>3138</v>
      </c>
      <c r="I31" s="41">
        <v>3062.21639</v>
      </c>
      <c r="J31" s="41">
        <f>I31+'Tilikauden tulos'!J31+'9. Tulorahkorjauserät'!J31</f>
        <v>3328.5781184981224</v>
      </c>
      <c r="K31" s="41">
        <f>J31+'Tilikauden tulos'!K31+'9. Tulorahkorjauserät'!K31</f>
        <v>3334.0520352821377</v>
      </c>
      <c r="L31" s="41">
        <f>K31+'Tilikauden tulos'!L31+'9. Tulorahkorjauserät'!L31</f>
        <v>3241.7603761607497</v>
      </c>
      <c r="M31" s="41">
        <f>L31+'Tilikauden tulos'!M31+'9. Tulorahkorjauserät'!M31</f>
        <v>3171.5203377811699</v>
      </c>
      <c r="N31" s="41">
        <f>M31+'Tilikauden tulos'!N31+'9. Tulorahkorjauserät'!N31</f>
        <v>2961.3247485567294</v>
      </c>
      <c r="O31" s="41">
        <f>N31+'Tilikauden tulos'!O31+'9. Tulorahkorjauserät'!O31</f>
        <v>2674.7441157788917</v>
      </c>
      <c r="P31" s="41">
        <f>O31+'Tilikauden tulos'!P31+'9. Tulorahkorjauserät'!P31</f>
        <v>2418.2500910276849</v>
      </c>
      <c r="T31" s="34">
        <v>72</v>
      </c>
      <c r="U31" s="88" t="s">
        <v>344</v>
      </c>
      <c r="V31" s="41">
        <f>C31/'1. Väestöennuste'!E31*1000</f>
        <v>2375.6294058408862</v>
      </c>
      <c r="W31" s="41">
        <f>D31/'1. Väestöennuste'!F31*1000</f>
        <v>2868.2092555331992</v>
      </c>
      <c r="X31" s="41">
        <f>E31/'1. Väestöennuste'!G31*1000</f>
        <v>3564.6328852119959</v>
      </c>
      <c r="Y31" s="41">
        <f>F31/'1. Väestöennuste'!H31*1000</f>
        <v>3466.1190965092401</v>
      </c>
      <c r="Z31" s="41">
        <f>G31/'1. Väestöennuste'!I31*1000</f>
        <v>3178.3107403545359</v>
      </c>
      <c r="AA31" s="41">
        <f>H31/'1. Väestöennuste'!J31*1000</f>
        <v>3306.6385669125393</v>
      </c>
      <c r="AB31" s="41">
        <f>I31/'1. Väestöennuste'!K31*1000</f>
        <v>3223.3856736842104</v>
      </c>
      <c r="AC31" s="41">
        <f>J31/'1. Väestöennuste'!L31*1000</f>
        <v>3467.2688734355443</v>
      </c>
      <c r="AD31" s="41">
        <f>K31/'1. Väestöennuste'!M31*1000</f>
        <v>3516.9325266689216</v>
      </c>
      <c r="AE31" s="41">
        <f>L31/'1. Väestöennuste'!N31*1000</f>
        <v>3500.8211405623647</v>
      </c>
      <c r="AF31" s="41">
        <f>M31/'1. Väestöennuste'!O31*1000</f>
        <v>3447.3047149795325</v>
      </c>
      <c r="AG31" s="41">
        <f>N31/'1. Väestöennuste'!P31*1000</f>
        <v>3239.9614316813231</v>
      </c>
      <c r="AH31" s="41">
        <f>O31/'1. Väestöennuste'!Q31*1000</f>
        <v>2945.7534314745503</v>
      </c>
      <c r="AI31" s="41">
        <f>P31/'1. Väestöennuste'!R31*1000</f>
        <v>2683.96236518056</v>
      </c>
      <c r="AK31" s="41">
        <f t="shared" si="5"/>
        <v>0</v>
      </c>
      <c r="AL31" s="41">
        <f t="shared" si="6"/>
        <v>0</v>
      </c>
      <c r="AM31" s="41">
        <f t="shared" si="7"/>
        <v>0</v>
      </c>
      <c r="AN31" s="41">
        <f t="shared" si="8"/>
        <v>0</v>
      </c>
      <c r="AO31" s="41">
        <f t="shared" si="9"/>
        <v>0</v>
      </c>
      <c r="AP31" s="41">
        <f t="shared" si="10"/>
        <v>0</v>
      </c>
      <c r="AQ31" s="41">
        <f t="shared" si="11"/>
        <v>0</v>
      </c>
      <c r="AR31" s="41">
        <f t="shared" si="12"/>
        <v>0</v>
      </c>
      <c r="AS31" s="41">
        <f t="shared" si="13"/>
        <v>0</v>
      </c>
      <c r="AT31" s="41">
        <f t="shared" si="14"/>
        <v>0</v>
      </c>
      <c r="AU31" s="41">
        <f t="shared" si="15"/>
        <v>0</v>
      </c>
      <c r="AV31" s="41">
        <f t="shared" si="16"/>
        <v>0</v>
      </c>
      <c r="AW31" s="41">
        <f t="shared" si="16"/>
        <v>0</v>
      </c>
      <c r="AX31" s="41">
        <f t="shared" si="16"/>
        <v>0</v>
      </c>
    </row>
    <row r="32" spans="1:50" ht="11.25" x14ac:dyDescent="0.2">
      <c r="A32" s="34">
        <v>74</v>
      </c>
      <c r="B32" s="88" t="s">
        <v>345</v>
      </c>
      <c r="C32" s="65">
        <v>321</v>
      </c>
      <c r="D32" s="65">
        <v>184</v>
      </c>
      <c r="E32" s="65">
        <v>469</v>
      </c>
      <c r="F32" s="65">
        <v>326</v>
      </c>
      <c r="G32" s="41">
        <v>5</v>
      </c>
      <c r="H32" s="41">
        <v>520</v>
      </c>
      <c r="I32" s="41">
        <v>623.6961</v>
      </c>
      <c r="J32" s="41">
        <f>I32+'Tilikauden tulos'!J32+'9. Tulorahkorjauserät'!J32</f>
        <v>1218.8397333669325</v>
      </c>
      <c r="K32" s="41">
        <f>J32+'Tilikauden tulos'!K32+'9. Tulorahkorjauserät'!K32</f>
        <v>1242.6526552331538</v>
      </c>
      <c r="L32" s="41">
        <f>K32+'Tilikauden tulos'!L32+'9. Tulorahkorjauserät'!L32</f>
        <v>1334.5885580603879</v>
      </c>
      <c r="M32" s="41">
        <f>L32+'Tilikauden tulos'!M32+'9. Tulorahkorjauserät'!M32</f>
        <v>1124.0637929497893</v>
      </c>
      <c r="N32" s="41">
        <f>M32+'Tilikauden tulos'!N32+'9. Tulorahkorjauserät'!N32</f>
        <v>797.6535472392975</v>
      </c>
      <c r="O32" s="41">
        <f>N32+'Tilikauden tulos'!O32+'9. Tulorahkorjauserät'!O32</f>
        <v>319.64231433896748</v>
      </c>
      <c r="P32" s="41">
        <f>O32+'Tilikauden tulos'!P32+'9. Tulorahkorjauserät'!P32</f>
        <v>-104.74371249995352</v>
      </c>
      <c r="T32" s="34">
        <v>74</v>
      </c>
      <c r="U32" s="88" t="s">
        <v>345</v>
      </c>
      <c r="V32" s="41">
        <f>C32/'1. Väestöennuste'!E32*1000</f>
        <v>262.0408163265306</v>
      </c>
      <c r="W32" s="41">
        <f>D32/'1. Väestöennuste'!F32*1000</f>
        <v>150.94339622641508</v>
      </c>
      <c r="X32" s="41">
        <f>E32/'1. Väestöennuste'!G32*1000</f>
        <v>400.51238257899229</v>
      </c>
      <c r="Y32" s="41">
        <f>F32/'1. Väestöennuste'!H32*1000</f>
        <v>279.82832618025748</v>
      </c>
      <c r="Z32" s="41">
        <f>G32/'1. Väestöennuste'!I32*1000</f>
        <v>4.4365572315882877</v>
      </c>
      <c r="AA32" s="41">
        <f>H32/'1. Väestöennuste'!J32*1000</f>
        <v>471.44152311876701</v>
      </c>
      <c r="AB32" s="41">
        <f>I32/'1. Väestöennuste'!K32*1000</f>
        <v>575.89667590027705</v>
      </c>
      <c r="AC32" s="41">
        <f>J32/'1. Väestöennuste'!L32*1000</f>
        <v>1158.5929024400498</v>
      </c>
      <c r="AD32" s="41">
        <f>K32/'1. Väestöennuste'!M32*1000</f>
        <v>1226.7054839419088</v>
      </c>
      <c r="AE32" s="41">
        <f>L32/'1. Väestöennuste'!N32*1000</f>
        <v>1333.2553027576303</v>
      </c>
      <c r="AF32" s="41">
        <f>M32/'1. Väestöennuste'!O32*1000</f>
        <v>1148.1754779875275</v>
      </c>
      <c r="AG32" s="41">
        <f>N32/'1. Väestöennuste'!P32*1000</f>
        <v>831.75552371146762</v>
      </c>
      <c r="AH32" s="41">
        <f>O32/'1. Väestöennuste'!Q32*1000</f>
        <v>340.04501525422069</v>
      </c>
      <c r="AI32" s="41">
        <f>P32/'1. Väestöennuste'!R32*1000</f>
        <v>-113.60489425157648</v>
      </c>
      <c r="AK32" s="41">
        <f t="shared" si="5"/>
        <v>0</v>
      </c>
      <c r="AL32" s="41">
        <f t="shared" si="6"/>
        <v>0</v>
      </c>
      <c r="AM32" s="41">
        <f t="shared" si="7"/>
        <v>0</v>
      </c>
      <c r="AN32" s="41">
        <f t="shared" si="8"/>
        <v>0</v>
      </c>
      <c r="AO32" s="41">
        <f t="shared" si="9"/>
        <v>0</v>
      </c>
      <c r="AP32" s="41">
        <f t="shared" si="10"/>
        <v>0</v>
      </c>
      <c r="AQ32" s="41">
        <f t="shared" si="11"/>
        <v>0</v>
      </c>
      <c r="AR32" s="41">
        <f t="shared" si="12"/>
        <v>0</v>
      </c>
      <c r="AS32" s="41">
        <f t="shared" si="13"/>
        <v>0</v>
      </c>
      <c r="AT32" s="41">
        <f t="shared" si="14"/>
        <v>0</v>
      </c>
      <c r="AU32" s="41">
        <f t="shared" si="15"/>
        <v>0</v>
      </c>
      <c r="AV32" s="41">
        <f t="shared" si="16"/>
        <v>0</v>
      </c>
      <c r="AW32" s="41">
        <f t="shared" si="16"/>
        <v>0</v>
      </c>
      <c r="AX32" s="41">
        <f t="shared" si="16"/>
        <v>-1</v>
      </c>
    </row>
    <row r="33" spans="1:50" ht="11.25" x14ac:dyDescent="0.2">
      <c r="A33" s="34">
        <v>75</v>
      </c>
      <c r="B33" s="88" t="s">
        <v>346</v>
      </c>
      <c r="C33" s="65">
        <v>-1104</v>
      </c>
      <c r="D33" s="65">
        <v>376</v>
      </c>
      <c r="E33" s="65">
        <v>6124</v>
      </c>
      <c r="F33" s="65">
        <v>6576</v>
      </c>
      <c r="G33" s="41">
        <v>5507</v>
      </c>
      <c r="H33" s="41">
        <v>14236</v>
      </c>
      <c r="I33" s="41">
        <v>20086.956369999996</v>
      </c>
      <c r="J33" s="41">
        <f>I33+'Tilikauden tulos'!J33+'9. Tulorahkorjauserät'!J33</f>
        <v>12216.187686614425</v>
      </c>
      <c r="K33" s="41">
        <f>J33+'Tilikauden tulos'!K33+'9. Tulorahkorjauserät'!K33</f>
        <v>15760.003491846186</v>
      </c>
      <c r="L33" s="41">
        <f>K33+'Tilikauden tulos'!L33+'9. Tulorahkorjauserät'!L33</f>
        <v>10487.130720160139</v>
      </c>
      <c r="M33" s="41">
        <f>L33+'Tilikauden tulos'!M33+'9. Tulorahkorjauserät'!M33</f>
        <v>-1237.5633930811837</v>
      </c>
      <c r="N33" s="41">
        <f>M33+'Tilikauden tulos'!N33+'9. Tulorahkorjauserät'!N33</f>
        <v>-9485.0279188917339</v>
      </c>
      <c r="O33" s="41">
        <f>N33+'Tilikauden tulos'!O33+'9. Tulorahkorjauserät'!O33</f>
        <v>-17861.106962636128</v>
      </c>
      <c r="P33" s="41">
        <f>O33+'Tilikauden tulos'!P33+'9. Tulorahkorjauserät'!P33</f>
        <v>-24206.22713277497</v>
      </c>
      <c r="T33" s="34">
        <v>75</v>
      </c>
      <c r="U33" s="88" t="s">
        <v>346</v>
      </c>
      <c r="V33" s="41">
        <f>C33/'1. Väestöennuste'!E33*1000</f>
        <v>-52.947100858472012</v>
      </c>
      <c r="W33" s="41">
        <f>D33/'1. Väestöennuste'!F33*1000</f>
        <v>18.22058538476449</v>
      </c>
      <c r="X33" s="41">
        <f>E33/'1. Väestöennuste'!G33*1000</f>
        <v>298.83374810911045</v>
      </c>
      <c r="Y33" s="41">
        <f>F33/'1. Väestöennuste'!H33*1000</f>
        <v>324.16444838805086</v>
      </c>
      <c r="Z33" s="41">
        <f>G33/'1. Väestöennuste'!I33*1000</f>
        <v>273.83024215603405</v>
      </c>
      <c r="AA33" s="41">
        <f>H33/'1. Väestöennuste'!J33*1000</f>
        <v>716.20465865070184</v>
      </c>
      <c r="AB33" s="41">
        <f>I33/'1. Väestöennuste'!K33*1000</f>
        <v>1019.5389488376813</v>
      </c>
      <c r="AC33" s="41">
        <f>J33/'1. Väestöennuste'!L33*1000</f>
        <v>624.90089961708645</v>
      </c>
      <c r="AD33" s="41">
        <f>K33/'1. Väestöennuste'!M33*1000</f>
        <v>806.7985815422436</v>
      </c>
      <c r="AE33" s="41">
        <f>L33/'1. Väestöennuste'!N33*1000</f>
        <v>549.12193528956641</v>
      </c>
      <c r="AF33" s="41">
        <f>M33/'1. Väestöennuste'!O33*1000</f>
        <v>-65.431077142919719</v>
      </c>
      <c r="AG33" s="41">
        <f>N33/'1. Väestöennuste'!P33*1000</f>
        <v>-506.30019851028794</v>
      </c>
      <c r="AH33" s="41">
        <f>O33/'1. Väestöennuste'!Q33*1000</f>
        <v>-962.44783719345446</v>
      </c>
      <c r="AI33" s="41">
        <f>P33/'1. Väestöennuste'!R33*1000</f>
        <v>-1317.2023253400973</v>
      </c>
      <c r="AK33" s="41">
        <f t="shared" si="5"/>
        <v>-1</v>
      </c>
      <c r="AL33" s="41">
        <f t="shared" si="6"/>
        <v>0</v>
      </c>
      <c r="AM33" s="41">
        <f t="shared" si="7"/>
        <v>0</v>
      </c>
      <c r="AN33" s="41">
        <f t="shared" si="8"/>
        <v>0</v>
      </c>
      <c r="AO33" s="41">
        <f t="shared" si="9"/>
        <v>0</v>
      </c>
      <c r="AP33" s="41">
        <f t="shared" si="10"/>
        <v>0</v>
      </c>
      <c r="AQ33" s="41">
        <f t="shared" si="11"/>
        <v>0</v>
      </c>
      <c r="AR33" s="41">
        <f t="shared" si="12"/>
        <v>0</v>
      </c>
      <c r="AS33" s="41">
        <f t="shared" si="13"/>
        <v>0</v>
      </c>
      <c r="AT33" s="41">
        <f t="shared" si="14"/>
        <v>0</v>
      </c>
      <c r="AU33" s="41">
        <f t="shared" si="15"/>
        <v>-1</v>
      </c>
      <c r="AV33" s="41">
        <f t="shared" si="16"/>
        <v>-1</v>
      </c>
      <c r="AW33" s="41">
        <f t="shared" si="16"/>
        <v>-1</v>
      </c>
      <c r="AX33" s="41">
        <f t="shared" si="16"/>
        <v>-1</v>
      </c>
    </row>
    <row r="34" spans="1:50" ht="11.25" x14ac:dyDescent="0.2">
      <c r="A34" s="34">
        <v>77</v>
      </c>
      <c r="B34" s="88" t="s">
        <v>347</v>
      </c>
      <c r="C34" s="65">
        <v>-2447</v>
      </c>
      <c r="D34" s="65">
        <v>-897</v>
      </c>
      <c r="E34" s="65">
        <v>-165</v>
      </c>
      <c r="F34" s="65">
        <v>-872</v>
      </c>
      <c r="G34" s="41">
        <v>-2350</v>
      </c>
      <c r="H34" s="41">
        <v>86</v>
      </c>
      <c r="I34" s="41">
        <v>927.73214999999993</v>
      </c>
      <c r="J34" s="41">
        <f>I34+'Tilikauden tulos'!J34+'9. Tulorahkorjauserät'!J34</f>
        <v>647.95280692121992</v>
      </c>
      <c r="K34" s="41">
        <f>J34+'Tilikauden tulos'!K34+'9. Tulorahkorjauserät'!K34</f>
        <v>2117.586746452786</v>
      </c>
      <c r="L34" s="41">
        <f>K34+'Tilikauden tulos'!L34+'9. Tulorahkorjauserät'!L34</f>
        <v>1882.8128657520701</v>
      </c>
      <c r="M34" s="41">
        <f>L34+'Tilikauden tulos'!M34+'9. Tulorahkorjauserät'!M34</f>
        <v>695.19373350184105</v>
      </c>
      <c r="N34" s="41">
        <f>M34+'Tilikauden tulos'!N34+'9. Tulorahkorjauserät'!N34</f>
        <v>-672.41662442062716</v>
      </c>
      <c r="O34" s="41">
        <f>N34+'Tilikauden tulos'!O34+'9. Tulorahkorjauserät'!O34</f>
        <v>-2263.0606282597291</v>
      </c>
      <c r="P34" s="41">
        <f>O34+'Tilikauden tulos'!P34+'9. Tulorahkorjauserät'!P34</f>
        <v>-3480.2285447965496</v>
      </c>
      <c r="T34" s="34">
        <v>77</v>
      </c>
      <c r="U34" s="88" t="s">
        <v>347</v>
      </c>
      <c r="V34" s="41">
        <f>C34/'1. Väestöennuste'!E34*1000</f>
        <v>-466.98473282442751</v>
      </c>
      <c r="W34" s="41">
        <f>D34/'1. Väestöennuste'!F34*1000</f>
        <v>-173.87090521418881</v>
      </c>
      <c r="X34" s="41">
        <f>E34/'1. Väestöennuste'!G34*1000</f>
        <v>-32.875074716078899</v>
      </c>
      <c r="Y34" s="41">
        <f>F34/'1. Väestöennuste'!H34*1000</f>
        <v>-176.55395829115207</v>
      </c>
      <c r="Z34" s="41">
        <f>G34/'1. Väestöennuste'!I34*1000</f>
        <v>-482.05128205128204</v>
      </c>
      <c r="AA34" s="41">
        <f>H34/'1. Väestöennuste'!J34*1000</f>
        <v>17.984107068172314</v>
      </c>
      <c r="AB34" s="41">
        <f>I34/'1. Väestöennuste'!K34*1000</f>
        <v>198.1063741191544</v>
      </c>
      <c r="AC34" s="41">
        <f>J34/'1. Väestöennuste'!L34*1000</f>
        <v>140.8286909196305</v>
      </c>
      <c r="AD34" s="41">
        <f>K34/'1. Väestöennuste'!M34*1000</f>
        <v>465.50598954776569</v>
      </c>
      <c r="AE34" s="41">
        <f>L34/'1. Väestöennuste'!N34*1000</f>
        <v>421.11672237800718</v>
      </c>
      <c r="AF34" s="41">
        <f>M34/'1. Väestöennuste'!O34*1000</f>
        <v>157.85507118570413</v>
      </c>
      <c r="AG34" s="41">
        <f>N34/'1. Väestöennuste'!P34*1000</f>
        <v>-154.9347060877021</v>
      </c>
      <c r="AH34" s="41">
        <f>O34/'1. Väestöennuste'!Q34*1000</f>
        <v>-528.87605240937819</v>
      </c>
      <c r="AI34" s="41">
        <f>P34/'1. Väestöennuste'!R34*1000</f>
        <v>-825.28540308194215</v>
      </c>
      <c r="AK34" s="41">
        <f t="shared" si="5"/>
        <v>-1</v>
      </c>
      <c r="AL34" s="41">
        <f t="shared" si="6"/>
        <v>-1</v>
      </c>
      <c r="AM34" s="41">
        <f t="shared" si="7"/>
        <v>-1</v>
      </c>
      <c r="AN34" s="41">
        <f t="shared" si="8"/>
        <v>-1</v>
      </c>
      <c r="AO34" s="41">
        <f t="shared" si="9"/>
        <v>-1</v>
      </c>
      <c r="AP34" s="41">
        <f t="shared" si="10"/>
        <v>0</v>
      </c>
      <c r="AQ34" s="41">
        <f t="shared" si="11"/>
        <v>0</v>
      </c>
      <c r="AR34" s="41">
        <f t="shared" si="12"/>
        <v>0</v>
      </c>
      <c r="AS34" s="41">
        <f t="shared" si="13"/>
        <v>0</v>
      </c>
      <c r="AT34" s="41">
        <f t="shared" si="14"/>
        <v>0</v>
      </c>
      <c r="AU34" s="41">
        <f t="shared" si="15"/>
        <v>0</v>
      </c>
      <c r="AV34" s="41">
        <f t="shared" si="16"/>
        <v>-1</v>
      </c>
      <c r="AW34" s="41">
        <f t="shared" si="16"/>
        <v>-1</v>
      </c>
      <c r="AX34" s="41">
        <f t="shared" si="16"/>
        <v>-1</v>
      </c>
    </row>
    <row r="35" spans="1:50" ht="11.25" x14ac:dyDescent="0.2">
      <c r="A35" s="34">
        <v>78</v>
      </c>
      <c r="B35" s="88" t="s">
        <v>348</v>
      </c>
      <c r="C35" s="65">
        <v>2169</v>
      </c>
      <c r="D35" s="65">
        <v>2760</v>
      </c>
      <c r="E35" s="65">
        <v>5985</v>
      </c>
      <c r="F35" s="65">
        <v>6142</v>
      </c>
      <c r="G35" s="41">
        <v>5871</v>
      </c>
      <c r="H35" s="41">
        <v>11446</v>
      </c>
      <c r="I35" s="41">
        <v>15110.084349999999</v>
      </c>
      <c r="J35" s="41">
        <f>I35+'Tilikauden tulos'!J35+'9. Tulorahkorjauserät'!J35</f>
        <v>17054.299777355653</v>
      </c>
      <c r="K35" s="41">
        <f>J35+'Tilikauden tulos'!K35+'9. Tulorahkorjauserät'!K35</f>
        <v>21285.623508722358</v>
      </c>
      <c r="L35" s="41">
        <f>K35+'Tilikauden tulos'!L35+'9. Tulorahkorjauserät'!L35</f>
        <v>21228.15167058165</v>
      </c>
      <c r="M35" s="41">
        <f>L35+'Tilikauden tulos'!M35+'9. Tulorahkorjauserät'!M35</f>
        <v>20739.150501996057</v>
      </c>
      <c r="N35" s="41">
        <f>M35+'Tilikauden tulos'!N35+'9. Tulorahkorjauserät'!N35</f>
        <v>21059.975704368844</v>
      </c>
      <c r="O35" s="41">
        <f>N35+'Tilikauden tulos'!O35+'9. Tulorahkorjauserät'!O35</f>
        <v>21524.740785166265</v>
      </c>
      <c r="P35" s="41">
        <f>O35+'Tilikauden tulos'!P35+'9. Tulorahkorjauserät'!P35</f>
        <v>22742.374757596295</v>
      </c>
      <c r="T35" s="34">
        <v>78</v>
      </c>
      <c r="U35" s="88" t="s">
        <v>348</v>
      </c>
      <c r="V35" s="41">
        <f>C35/'1. Väestöennuste'!E35*1000</f>
        <v>244.69765342960289</v>
      </c>
      <c r="W35" s="41">
        <f>D35/'1. Väestöennuste'!F35*1000</f>
        <v>318.59632921620687</v>
      </c>
      <c r="X35" s="41">
        <f>E35/'1. Väestöennuste'!G35*1000</f>
        <v>702.71222261359628</v>
      </c>
      <c r="Y35" s="41">
        <f>F35/'1. Väestöennuste'!H35*1000</f>
        <v>733.02303377491353</v>
      </c>
      <c r="Z35" s="41">
        <f>G35/'1. Väestöennuste'!I35*1000</f>
        <v>716.06293450420787</v>
      </c>
      <c r="AA35" s="41">
        <f>H35/'1. Väestöennuste'!J35*1000</f>
        <v>1423.2777915941308</v>
      </c>
      <c r="AB35" s="41">
        <f>I35/'1. Väestöennuste'!K35*1000</f>
        <v>1893.7315891715753</v>
      </c>
      <c r="AC35" s="41">
        <f>J35/'1. Väestöennuste'!L35*1000</f>
        <v>2177.5152933293734</v>
      </c>
      <c r="AD35" s="41">
        <f>K35/'1. Väestöennuste'!M35*1000</f>
        <v>2756.8480130452476</v>
      </c>
      <c r="AE35" s="41">
        <f>L35/'1. Väestöennuste'!N35*1000</f>
        <v>2842.9291108318803</v>
      </c>
      <c r="AF35" s="41">
        <f>M35/'1. Väestöennuste'!O35*1000</f>
        <v>2822.4211352743678</v>
      </c>
      <c r="AG35" s="41">
        <f>N35/'1. Väestöennuste'!P35*1000</f>
        <v>2910.4444035888396</v>
      </c>
      <c r="AH35" s="41">
        <f>O35/'1. Väestöennuste'!Q35*1000</f>
        <v>3020.5923077696134</v>
      </c>
      <c r="AI35" s="41">
        <f>P35/'1. Väestöennuste'!R35*1000</f>
        <v>3237.8096181088122</v>
      </c>
      <c r="AK35" s="41">
        <f t="shared" si="5"/>
        <v>0</v>
      </c>
      <c r="AL35" s="41">
        <f t="shared" si="6"/>
        <v>0</v>
      </c>
      <c r="AM35" s="41">
        <f t="shared" si="7"/>
        <v>0</v>
      </c>
      <c r="AN35" s="41">
        <f t="shared" si="8"/>
        <v>0</v>
      </c>
      <c r="AO35" s="41">
        <f t="shared" si="9"/>
        <v>0</v>
      </c>
      <c r="AP35" s="41">
        <f t="shared" si="10"/>
        <v>0</v>
      </c>
      <c r="AQ35" s="41">
        <f t="shared" si="11"/>
        <v>0</v>
      </c>
      <c r="AR35" s="41">
        <f t="shared" si="12"/>
        <v>0</v>
      </c>
      <c r="AS35" s="41">
        <f t="shared" si="13"/>
        <v>0</v>
      </c>
      <c r="AT35" s="41">
        <f t="shared" si="14"/>
        <v>0</v>
      </c>
      <c r="AU35" s="41">
        <f t="shared" si="15"/>
        <v>0</v>
      </c>
      <c r="AV35" s="41">
        <f t="shared" si="16"/>
        <v>0</v>
      </c>
      <c r="AW35" s="41">
        <f t="shared" si="16"/>
        <v>0</v>
      </c>
      <c r="AX35" s="41">
        <f t="shared" si="16"/>
        <v>0</v>
      </c>
    </row>
    <row r="36" spans="1:50" ht="11.25" x14ac:dyDescent="0.2">
      <c r="A36" s="34">
        <v>79</v>
      </c>
      <c r="B36" s="88" t="s">
        <v>349</v>
      </c>
      <c r="C36" s="65">
        <v>9692</v>
      </c>
      <c r="D36" s="65">
        <v>6667</v>
      </c>
      <c r="E36" s="65">
        <v>6955</v>
      </c>
      <c r="F36" s="65">
        <v>4391</v>
      </c>
      <c r="G36" s="41">
        <v>738</v>
      </c>
      <c r="H36" s="41">
        <v>1868</v>
      </c>
      <c r="I36" s="41">
        <v>6131.7354100000002</v>
      </c>
      <c r="J36" s="41">
        <f>I36+'Tilikauden tulos'!J36+'9. Tulorahkorjauserät'!J36</f>
        <v>9118.1419366696737</v>
      </c>
      <c r="K36" s="41">
        <f>J36+'Tilikauden tulos'!K36+'9. Tulorahkorjauserät'!K36</f>
        <v>9685.003811638715</v>
      </c>
      <c r="L36" s="41">
        <f>K36+'Tilikauden tulos'!L36+'9. Tulorahkorjauserät'!L36</f>
        <v>8551.7974799161038</v>
      </c>
      <c r="M36" s="41">
        <f>L36+'Tilikauden tulos'!M36+'9. Tulorahkorjauserät'!M36</f>
        <v>5882.3787400695246</v>
      </c>
      <c r="N36" s="41">
        <f>M36+'Tilikauden tulos'!N36+'9. Tulorahkorjauserät'!N36</f>
        <v>3355.2689801951501</v>
      </c>
      <c r="O36" s="41">
        <f>N36+'Tilikauden tulos'!O36+'9. Tulorahkorjauserät'!O36</f>
        <v>1185.6282987198365</v>
      </c>
      <c r="P36" s="41">
        <f>O36+'Tilikauden tulos'!P36+'9. Tulorahkorjauserät'!P36</f>
        <v>-197.49901602602085</v>
      </c>
      <c r="T36" s="34">
        <v>79</v>
      </c>
      <c r="U36" s="88" t="s">
        <v>349</v>
      </c>
      <c r="V36" s="41">
        <f>C36/'1. Väestöennuste'!E36*1000</f>
        <v>1328.3991228070176</v>
      </c>
      <c r="W36" s="41">
        <f>D36/'1. Väestöennuste'!F36*1000</f>
        <v>920.8563535911602</v>
      </c>
      <c r="X36" s="41">
        <f>E36/'1. Väestöennuste'!G36*1000</f>
        <v>972.59124597958328</v>
      </c>
      <c r="Y36" s="41">
        <f>F36/'1. Väestöennuste'!H36*1000</f>
        <v>625.67683100598458</v>
      </c>
      <c r="Z36" s="41">
        <f>G36/'1. Väestöennuste'!I36*1000</f>
        <v>106.47814168229692</v>
      </c>
      <c r="AA36" s="41">
        <f>H36/'1. Väestöennuste'!J36*1000</f>
        <v>271.94642597175715</v>
      </c>
      <c r="AB36" s="41">
        <f>I36/'1. Väestöennuste'!K36*1000</f>
        <v>903.71929403095066</v>
      </c>
      <c r="AC36" s="41">
        <f>J36/'1. Väestöennuste'!L36*1000</f>
        <v>1350.2357376972714</v>
      </c>
      <c r="AD36" s="41">
        <f>K36/'1. Väestöennuste'!M36*1000</f>
        <v>1444.8759975591101</v>
      </c>
      <c r="AE36" s="41">
        <f>L36/'1. Väestöennuste'!N36*1000</f>
        <v>1304.4230445265564</v>
      </c>
      <c r="AF36" s="41">
        <f>M36/'1. Väestöennuste'!O36*1000</f>
        <v>906.79493449507083</v>
      </c>
      <c r="AG36" s="41">
        <f>N36/'1. Väestöennuste'!P36*1000</f>
        <v>522.46480538697449</v>
      </c>
      <c r="AH36" s="41">
        <f>O36/'1. Väestöennuste'!Q36*1000</f>
        <v>186.44885968231429</v>
      </c>
      <c r="AI36" s="41">
        <f>P36/'1. Väestöennuste'!R36*1000</f>
        <v>-31.349050162860451</v>
      </c>
      <c r="AK36" s="41">
        <f t="shared" si="5"/>
        <v>0</v>
      </c>
      <c r="AL36" s="41">
        <f t="shared" si="6"/>
        <v>0</v>
      </c>
      <c r="AM36" s="41">
        <f t="shared" si="7"/>
        <v>0</v>
      </c>
      <c r="AN36" s="41">
        <f t="shared" si="8"/>
        <v>0</v>
      </c>
      <c r="AO36" s="41">
        <f t="shared" si="9"/>
        <v>0</v>
      </c>
      <c r="AP36" s="41">
        <f t="shared" si="10"/>
        <v>0</v>
      </c>
      <c r="AQ36" s="41">
        <f t="shared" si="11"/>
        <v>0</v>
      </c>
      <c r="AR36" s="41">
        <f t="shared" si="12"/>
        <v>0</v>
      </c>
      <c r="AS36" s="41">
        <f t="shared" si="13"/>
        <v>0</v>
      </c>
      <c r="AT36" s="41">
        <f t="shared" si="14"/>
        <v>0</v>
      </c>
      <c r="AU36" s="41">
        <f t="shared" si="15"/>
        <v>0</v>
      </c>
      <c r="AV36" s="41">
        <f t="shared" si="16"/>
        <v>0</v>
      </c>
      <c r="AW36" s="41">
        <f t="shared" si="16"/>
        <v>0</v>
      </c>
      <c r="AX36" s="41">
        <f t="shared" si="16"/>
        <v>-1</v>
      </c>
    </row>
    <row r="37" spans="1:50" ht="11.25" x14ac:dyDescent="0.2">
      <c r="A37" s="34">
        <v>81</v>
      </c>
      <c r="B37" s="88" t="s">
        <v>350</v>
      </c>
      <c r="C37" s="65">
        <v>227</v>
      </c>
      <c r="D37" s="65">
        <v>642</v>
      </c>
      <c r="E37" s="65">
        <v>963</v>
      </c>
      <c r="F37" s="65">
        <v>292</v>
      </c>
      <c r="G37" s="41">
        <v>-780</v>
      </c>
      <c r="H37" s="41">
        <v>1262</v>
      </c>
      <c r="I37" s="41">
        <v>1717.17183</v>
      </c>
      <c r="J37" s="41">
        <f>I37+'Tilikauden tulos'!J37+'9. Tulorahkorjauserät'!J37</f>
        <v>1331.2035876437365</v>
      </c>
      <c r="K37" s="41">
        <f>J37+'Tilikauden tulos'!K37+'9. Tulorahkorjauserät'!K37</f>
        <v>1387.9713928572201</v>
      </c>
      <c r="L37" s="41">
        <f>K37+'Tilikauden tulos'!L37+'9. Tulorahkorjauserät'!L37</f>
        <v>1180.6470936567018</v>
      </c>
      <c r="M37" s="41">
        <f>L37+'Tilikauden tulos'!M37+'9. Tulorahkorjauserät'!M37</f>
        <v>33.207036066758292</v>
      </c>
      <c r="N37" s="41">
        <f>M37+'Tilikauden tulos'!N37+'9. Tulorahkorjauserät'!N37</f>
        <v>-1586.7080642753392</v>
      </c>
      <c r="O37" s="41">
        <f>N37+'Tilikauden tulos'!O37+'9. Tulorahkorjauserät'!O37</f>
        <v>-3272.8586619441912</v>
      </c>
      <c r="P37" s="41">
        <f>O37+'Tilikauden tulos'!P37+'9. Tulorahkorjauserät'!P37</f>
        <v>-4682.0650070985885</v>
      </c>
      <c r="T37" s="34">
        <v>81</v>
      </c>
      <c r="U37" s="88" t="s">
        <v>350</v>
      </c>
      <c r="V37" s="41">
        <f>C37/'1. Väestöennuste'!E37*1000</f>
        <v>76.123407109322599</v>
      </c>
      <c r="W37" s="41">
        <f>D37/'1. Väestöennuste'!F37*1000</f>
        <v>219.56224350205198</v>
      </c>
      <c r="X37" s="41">
        <f>E37/'1. Väestöennuste'!G37*1000</f>
        <v>334.14295628036086</v>
      </c>
      <c r="Y37" s="41">
        <f>F37/'1. Väestöennuste'!H37*1000</f>
        <v>105.03597122302158</v>
      </c>
      <c r="Z37" s="41">
        <f>G37/'1. Väestöennuste'!I37*1000</f>
        <v>-289.21023359288102</v>
      </c>
      <c r="AA37" s="41">
        <f>H37/'1. Väestöennuste'!J37*1000</f>
        <v>475.32956685499056</v>
      </c>
      <c r="AB37" s="41">
        <f>I37/'1. Väestöennuste'!K37*1000</f>
        <v>655.15903471957267</v>
      </c>
      <c r="AC37" s="41">
        <f>J37/'1. Väestöennuste'!L37*1000</f>
        <v>517.1731109727026</v>
      </c>
      <c r="AD37" s="41">
        <f>K37/'1. Väestöennuste'!M37*1000</f>
        <v>548.38853925611215</v>
      </c>
      <c r="AE37" s="41">
        <f>L37/'1. Väestöennuste'!N37*1000</f>
        <v>487.06563269665912</v>
      </c>
      <c r="AF37" s="41">
        <f>M37/'1. Väestöennuste'!O37*1000</f>
        <v>13.964270843884901</v>
      </c>
      <c r="AG37" s="41">
        <f>N37/'1. Väestöennuste'!P37*1000</f>
        <v>-678.95081911653369</v>
      </c>
      <c r="AH37" s="41">
        <f>O37/'1. Väestöennuste'!Q37*1000</f>
        <v>-1423.6009838817708</v>
      </c>
      <c r="AI37" s="41">
        <f>P37/'1. Väestöennuste'!R37*1000</f>
        <v>-2067.1368684761983</v>
      </c>
      <c r="AK37" s="41">
        <f t="shared" si="5"/>
        <v>0</v>
      </c>
      <c r="AL37" s="41">
        <f t="shared" si="6"/>
        <v>0</v>
      </c>
      <c r="AM37" s="41">
        <f t="shared" si="7"/>
        <v>0</v>
      </c>
      <c r="AN37" s="41">
        <f t="shared" si="8"/>
        <v>0</v>
      </c>
      <c r="AO37" s="41">
        <f t="shared" si="9"/>
        <v>-1</v>
      </c>
      <c r="AP37" s="41">
        <f t="shared" si="10"/>
        <v>0</v>
      </c>
      <c r="AQ37" s="41">
        <f t="shared" si="11"/>
        <v>0</v>
      </c>
      <c r="AR37" s="41">
        <f t="shared" si="12"/>
        <v>0</v>
      </c>
      <c r="AS37" s="41">
        <f t="shared" si="13"/>
        <v>0</v>
      </c>
      <c r="AT37" s="41">
        <f t="shared" si="14"/>
        <v>0</v>
      </c>
      <c r="AU37" s="41">
        <f t="shared" si="15"/>
        <v>0</v>
      </c>
      <c r="AV37" s="41">
        <f t="shared" si="16"/>
        <v>-1</v>
      </c>
      <c r="AW37" s="41">
        <f t="shared" si="16"/>
        <v>-1</v>
      </c>
      <c r="AX37" s="41">
        <f t="shared" si="16"/>
        <v>-1</v>
      </c>
    </row>
    <row r="38" spans="1:50" ht="11.25" x14ac:dyDescent="0.2">
      <c r="A38" s="34">
        <v>82</v>
      </c>
      <c r="B38" s="88" t="s">
        <v>351</v>
      </c>
      <c r="C38" s="65">
        <v>5039</v>
      </c>
      <c r="D38" s="65">
        <v>4838</v>
      </c>
      <c r="E38" s="65">
        <v>5510</v>
      </c>
      <c r="F38" s="65">
        <v>4853</v>
      </c>
      <c r="G38" s="41">
        <v>3175</v>
      </c>
      <c r="H38" s="41">
        <v>4233</v>
      </c>
      <c r="I38" s="41">
        <v>6084.8182900000002</v>
      </c>
      <c r="J38" s="41">
        <f>I38+'Tilikauden tulos'!J38+'9. Tulorahkorjauserät'!J38</f>
        <v>5488.6575169827247</v>
      </c>
      <c r="K38" s="41">
        <f>J38+'Tilikauden tulos'!K38+'9. Tulorahkorjauserät'!K38</f>
        <v>8552.0403540781354</v>
      </c>
      <c r="L38" s="41">
        <f>K38+'Tilikauden tulos'!L38+'9. Tulorahkorjauserät'!L38</f>
        <v>9242.7912202282641</v>
      </c>
      <c r="M38" s="41">
        <f>L38+'Tilikauden tulos'!M38+'9. Tulorahkorjauserät'!M38</f>
        <v>7258.5943889823448</v>
      </c>
      <c r="N38" s="41">
        <f>M38+'Tilikauden tulos'!N38+'9. Tulorahkorjauserät'!N38</f>
        <v>5856.1836186418868</v>
      </c>
      <c r="O38" s="41">
        <f>N38+'Tilikauden tulos'!O38+'9. Tulorahkorjauserät'!O38</f>
        <v>4540.4020339147173</v>
      </c>
      <c r="P38" s="41">
        <f>O38+'Tilikauden tulos'!P38+'9. Tulorahkorjauserät'!P38</f>
        <v>4111.6044953164774</v>
      </c>
      <c r="T38" s="34">
        <v>82</v>
      </c>
      <c r="U38" s="88" t="s">
        <v>351</v>
      </c>
      <c r="V38" s="41">
        <f>C38/'1. Väestöennuste'!E38*1000</f>
        <v>516.97958346157793</v>
      </c>
      <c r="W38" s="41">
        <f>D38/'1. Väestöennuste'!F38*1000</f>
        <v>499.6901466639124</v>
      </c>
      <c r="X38" s="41">
        <f>E38/'1. Väestöennuste'!G38*1000</f>
        <v>573.36108220603546</v>
      </c>
      <c r="Y38" s="41">
        <f>F38/'1. Väestöennuste'!H38*1000</f>
        <v>512.18997361477568</v>
      </c>
      <c r="Z38" s="41">
        <f>G38/'1. Väestöennuste'!I38*1000</f>
        <v>336.97728720016983</v>
      </c>
      <c r="AA38" s="41">
        <f>H38/'1. Väestöennuste'!J38*1000</f>
        <v>450.84673554159122</v>
      </c>
      <c r="AB38" s="41">
        <f>I38/'1. Väestöennuste'!K38*1000</f>
        <v>646.97695800106328</v>
      </c>
      <c r="AC38" s="41">
        <f>J38/'1. Väestöennuste'!L38*1000</f>
        <v>586.45768960174428</v>
      </c>
      <c r="AD38" s="41">
        <f>K38/'1. Väestöennuste'!M38*1000</f>
        <v>912.60701676215297</v>
      </c>
      <c r="AE38" s="41">
        <f>L38/'1. Väestöennuste'!N38*1000</f>
        <v>1007.169142446144</v>
      </c>
      <c r="AF38" s="41">
        <f>M38/'1. Väestöennuste'!O38*1000</f>
        <v>795.72400668519458</v>
      </c>
      <c r="AG38" s="41">
        <f>N38/'1. Väestöennuste'!P38*1000</f>
        <v>645.95010132824689</v>
      </c>
      <c r="AH38" s="41">
        <f>O38/'1. Väestöennuste'!Q38*1000</f>
        <v>503.98512974966337</v>
      </c>
      <c r="AI38" s="41">
        <f>P38/'1. Väestöennuste'!R38*1000</f>
        <v>459.29451466895415</v>
      </c>
      <c r="AK38" s="41">
        <f t="shared" si="5"/>
        <v>0</v>
      </c>
      <c r="AL38" s="41">
        <f t="shared" si="6"/>
        <v>0</v>
      </c>
      <c r="AM38" s="41">
        <f t="shared" si="7"/>
        <v>0</v>
      </c>
      <c r="AN38" s="41">
        <f t="shared" si="8"/>
        <v>0</v>
      </c>
      <c r="AO38" s="41">
        <f t="shared" si="9"/>
        <v>0</v>
      </c>
      <c r="AP38" s="41">
        <f t="shared" si="10"/>
        <v>0</v>
      </c>
      <c r="AQ38" s="41">
        <f t="shared" si="11"/>
        <v>0</v>
      </c>
      <c r="AR38" s="41">
        <f t="shared" si="12"/>
        <v>0</v>
      </c>
      <c r="AS38" s="41">
        <f t="shared" si="13"/>
        <v>0</v>
      </c>
      <c r="AT38" s="41">
        <f t="shared" si="14"/>
        <v>0</v>
      </c>
      <c r="AU38" s="41">
        <f t="shared" si="15"/>
        <v>0</v>
      </c>
      <c r="AV38" s="41">
        <f t="shared" si="16"/>
        <v>0</v>
      </c>
      <c r="AW38" s="41">
        <f t="shared" si="16"/>
        <v>0</v>
      </c>
      <c r="AX38" s="41">
        <f t="shared" si="16"/>
        <v>0</v>
      </c>
    </row>
    <row r="39" spans="1:50" ht="11.25" x14ac:dyDescent="0.2">
      <c r="A39" s="34">
        <v>86</v>
      </c>
      <c r="B39" s="88" t="s">
        <v>352</v>
      </c>
      <c r="C39" s="65">
        <v>3127</v>
      </c>
      <c r="D39" s="65">
        <v>5256</v>
      </c>
      <c r="E39" s="65">
        <v>6137</v>
      </c>
      <c r="F39" s="65">
        <v>5064</v>
      </c>
      <c r="G39" s="41">
        <v>5068</v>
      </c>
      <c r="H39" s="41">
        <v>7938</v>
      </c>
      <c r="I39" s="41">
        <v>9942.8854200000005</v>
      </c>
      <c r="J39" s="41">
        <f>I39+'Tilikauden tulos'!J39+'9. Tulorahkorjauserät'!J39</f>
        <v>10391.296794863436</v>
      </c>
      <c r="K39" s="41">
        <f>J39+'Tilikauden tulos'!K39+'9. Tulorahkorjauserät'!K39</f>
        <v>12121.319434710342</v>
      </c>
      <c r="L39" s="41">
        <f>K39+'Tilikauden tulos'!L39+'9. Tulorahkorjauserät'!L39</f>
        <v>12270.201556189866</v>
      </c>
      <c r="M39" s="41">
        <f>L39+'Tilikauden tulos'!M39+'9. Tulorahkorjauserät'!M39</f>
        <v>10479.311251105482</v>
      </c>
      <c r="N39" s="41">
        <f>M39+'Tilikauden tulos'!N39+'9. Tulorahkorjauserät'!N39</f>
        <v>9045.2208457177439</v>
      </c>
      <c r="O39" s="41">
        <f>N39+'Tilikauden tulos'!O39+'9. Tulorahkorjauserät'!O39</f>
        <v>7890.4784522784321</v>
      </c>
      <c r="P39" s="41">
        <f>O39+'Tilikauden tulos'!P39+'9. Tulorahkorjauserät'!P39</f>
        <v>7639.6622557802702</v>
      </c>
      <c r="T39" s="34">
        <v>86</v>
      </c>
      <c r="U39" s="88" t="s">
        <v>352</v>
      </c>
      <c r="V39" s="41">
        <f>C39/'1. Väestöennuste'!E39*1000</f>
        <v>358.23118341161648</v>
      </c>
      <c r="W39" s="41">
        <f>D39/'1. Väestöennuste'!F39*1000</f>
        <v>608.26293253095707</v>
      </c>
      <c r="X39" s="41">
        <f>E39/'1. Väestöennuste'!G39*1000</f>
        <v>721.66039510818439</v>
      </c>
      <c r="Y39" s="41">
        <f>F39/'1. Väestöennuste'!H39*1000</f>
        <v>601.63953902815729</v>
      </c>
      <c r="Z39" s="41">
        <f>G39/'1. Väestöennuste'!I39*1000</f>
        <v>613.5593220338983</v>
      </c>
      <c r="AA39" s="41">
        <f>H39/'1. Väestöennuste'!J39*1000</f>
        <v>971.00917431192659</v>
      </c>
      <c r="AB39" s="41">
        <f>I39/'1. Väestöennuste'!K39*1000</f>
        <v>1221.0346825494289</v>
      </c>
      <c r="AC39" s="41">
        <f>J39/'1. Väestöennuste'!L39*1000</f>
        <v>1293.8982436637325</v>
      </c>
      <c r="AD39" s="41">
        <f>K39/'1. Väestöennuste'!M39*1000</f>
        <v>1515.543815292616</v>
      </c>
      <c r="AE39" s="41">
        <f>L39/'1. Väestöennuste'!N39*1000</f>
        <v>1571.2897369944765</v>
      </c>
      <c r="AF39" s="41">
        <f>M39/'1. Väestöennuste'!O39*1000</f>
        <v>1355.4923361926635</v>
      </c>
      <c r="AG39" s="41">
        <f>N39/'1. Väestöennuste'!P39*1000</f>
        <v>1180.9924070659022</v>
      </c>
      <c r="AH39" s="41">
        <f>O39/'1. Väestöennuste'!Q39*1000</f>
        <v>1039.3148646309842</v>
      </c>
      <c r="AI39" s="41">
        <f>P39/'1. Väestöennuste'!R39*1000</f>
        <v>1015.23750907379</v>
      </c>
      <c r="AK39" s="41">
        <f t="shared" si="5"/>
        <v>0</v>
      </c>
      <c r="AL39" s="41">
        <f t="shared" si="6"/>
        <v>0</v>
      </c>
      <c r="AM39" s="41">
        <f t="shared" si="7"/>
        <v>0</v>
      </c>
      <c r="AN39" s="41">
        <f t="shared" si="8"/>
        <v>0</v>
      </c>
      <c r="AO39" s="41">
        <f t="shared" si="9"/>
        <v>0</v>
      </c>
      <c r="AP39" s="41">
        <f t="shared" si="10"/>
        <v>0</v>
      </c>
      <c r="AQ39" s="41">
        <f t="shared" si="11"/>
        <v>0</v>
      </c>
      <c r="AR39" s="41">
        <f t="shared" si="12"/>
        <v>0</v>
      </c>
      <c r="AS39" s="41">
        <f t="shared" si="13"/>
        <v>0</v>
      </c>
      <c r="AT39" s="41">
        <f t="shared" si="14"/>
        <v>0</v>
      </c>
      <c r="AU39" s="41">
        <f t="shared" si="15"/>
        <v>0</v>
      </c>
      <c r="AV39" s="41">
        <f t="shared" si="16"/>
        <v>0</v>
      </c>
      <c r="AW39" s="41">
        <f t="shared" si="16"/>
        <v>0</v>
      </c>
      <c r="AX39" s="41">
        <f t="shared" si="16"/>
        <v>0</v>
      </c>
    </row>
    <row r="40" spans="1:50" ht="11.25" x14ac:dyDescent="0.2">
      <c r="A40" s="34">
        <v>90</v>
      </c>
      <c r="B40" s="88" t="s">
        <v>353</v>
      </c>
      <c r="C40" s="65">
        <v>2083</v>
      </c>
      <c r="D40" s="65">
        <v>2175</v>
      </c>
      <c r="E40" s="65">
        <v>2595</v>
      </c>
      <c r="F40" s="65">
        <v>1385</v>
      </c>
      <c r="G40" s="41">
        <v>1788</v>
      </c>
      <c r="H40" s="41">
        <v>3336</v>
      </c>
      <c r="I40" s="41">
        <v>5207.4010299999991</v>
      </c>
      <c r="J40" s="41">
        <f>I40+'Tilikauden tulos'!J40+'9. Tulorahkorjauserät'!J40</f>
        <v>5545.1045696198717</v>
      </c>
      <c r="K40" s="41">
        <f>J40+'Tilikauden tulos'!K40+'9. Tulorahkorjauserät'!K40</f>
        <v>6113.3009396831567</v>
      </c>
      <c r="L40" s="41">
        <f>K40+'Tilikauden tulos'!L40+'9. Tulorahkorjauserät'!L40</f>
        <v>4956.4603590261722</v>
      </c>
      <c r="M40" s="41">
        <f>L40+'Tilikauden tulos'!M40+'9. Tulorahkorjauserät'!M40</f>
        <v>3826.1063969483303</v>
      </c>
      <c r="N40" s="41">
        <f>M40+'Tilikauden tulos'!N40+'9. Tulorahkorjauserät'!N40</f>
        <v>2828.4353502667914</v>
      </c>
      <c r="O40" s="41">
        <f>N40+'Tilikauden tulos'!O40+'9. Tulorahkorjauserät'!O40</f>
        <v>1527.185307308265</v>
      </c>
      <c r="P40" s="41">
        <f>O40+'Tilikauden tulos'!P40+'9. Tulorahkorjauserät'!P40</f>
        <v>553.51664098800006</v>
      </c>
      <c r="T40" s="34">
        <v>90</v>
      </c>
      <c r="U40" s="88" t="s">
        <v>353</v>
      </c>
      <c r="V40" s="41">
        <f>C40/'1. Väestöennuste'!E40*1000</f>
        <v>582.82036933407949</v>
      </c>
      <c r="W40" s="41">
        <f>D40/'1. Väestöennuste'!F40*1000</f>
        <v>618.95276038702332</v>
      </c>
      <c r="X40" s="41">
        <f>E40/'1. Väestöennuste'!G40*1000</f>
        <v>751.08538350217077</v>
      </c>
      <c r="Y40" s="41">
        <f>F40/'1. Väestöennuste'!H40*1000</f>
        <v>416.04085310904179</v>
      </c>
      <c r="Z40" s="41">
        <f>G40/'1. Väestöennuste'!I40*1000</f>
        <v>549.47756607252609</v>
      </c>
      <c r="AA40" s="41">
        <f>H40/'1. Väestöennuste'!J40*1000</f>
        <v>1043.8047559449312</v>
      </c>
      <c r="AB40" s="41">
        <f>I40/'1. Väestöennuste'!K40*1000</f>
        <v>1660.5232876275506</v>
      </c>
      <c r="AC40" s="41">
        <f>J40/'1. Väestöennuste'!L40*1000</f>
        <v>1811.5336718784292</v>
      </c>
      <c r="AD40" s="41">
        <f>K40/'1. Väestöennuste'!M40*1000</f>
        <v>2037.0879505775265</v>
      </c>
      <c r="AE40" s="41">
        <f>L40/'1. Väestöennuste'!N40*1000</f>
        <v>1677.8809610785959</v>
      </c>
      <c r="AF40" s="41">
        <f>M40/'1. Väestöennuste'!O40*1000</f>
        <v>1317.9836021179231</v>
      </c>
      <c r="AG40" s="41">
        <f>N40/'1. Väestöennuste'!P40*1000</f>
        <v>990.69539413898121</v>
      </c>
      <c r="AH40" s="41">
        <f>O40/'1. Väestöennuste'!Q40*1000</f>
        <v>544.25705891242512</v>
      </c>
      <c r="AI40" s="41">
        <f>P40/'1. Väestöennuste'!R40*1000</f>
        <v>200.69493871936189</v>
      </c>
      <c r="AK40" s="41">
        <f t="shared" si="5"/>
        <v>0</v>
      </c>
      <c r="AL40" s="41">
        <f t="shared" si="6"/>
        <v>0</v>
      </c>
      <c r="AM40" s="41">
        <f t="shared" si="7"/>
        <v>0</v>
      </c>
      <c r="AN40" s="41">
        <f t="shared" si="8"/>
        <v>0</v>
      </c>
      <c r="AO40" s="41">
        <f t="shared" si="9"/>
        <v>0</v>
      </c>
      <c r="AP40" s="41">
        <f t="shared" si="10"/>
        <v>0</v>
      </c>
      <c r="AQ40" s="41">
        <f t="shared" si="11"/>
        <v>0</v>
      </c>
      <c r="AR40" s="41">
        <f t="shared" si="12"/>
        <v>0</v>
      </c>
      <c r="AS40" s="41">
        <f t="shared" si="13"/>
        <v>0</v>
      </c>
      <c r="AT40" s="41">
        <f t="shared" si="14"/>
        <v>0</v>
      </c>
      <c r="AU40" s="41">
        <f t="shared" si="15"/>
        <v>0</v>
      </c>
      <c r="AV40" s="41">
        <f t="shared" si="16"/>
        <v>0</v>
      </c>
      <c r="AW40" s="41">
        <f t="shared" si="16"/>
        <v>0</v>
      </c>
      <c r="AX40" s="41">
        <f t="shared" si="16"/>
        <v>0</v>
      </c>
    </row>
    <row r="41" spans="1:50" ht="11.25" x14ac:dyDescent="0.2">
      <c r="A41" s="34">
        <v>91</v>
      </c>
      <c r="B41" s="88" t="s">
        <v>354</v>
      </c>
      <c r="C41" s="65">
        <v>4479253</v>
      </c>
      <c r="D41" s="65">
        <v>4944292</v>
      </c>
      <c r="E41" s="65">
        <v>5395682</v>
      </c>
      <c r="F41" s="65">
        <v>5752870</v>
      </c>
      <c r="G41" s="41">
        <v>6102098</v>
      </c>
      <c r="H41" s="41">
        <v>6540699</v>
      </c>
      <c r="I41" s="41">
        <v>6864432.4613899998</v>
      </c>
      <c r="J41" s="41">
        <f>I41+'Tilikauden tulos'!J41+'9. Tulorahkorjauserät'!J41</f>
        <v>7121053.1370338658</v>
      </c>
      <c r="K41" s="41">
        <f>J41+'Tilikauden tulos'!K41+'9. Tulorahkorjauserät'!K41</f>
        <v>7549219.9479456209</v>
      </c>
      <c r="L41" s="41">
        <f>K41+'Tilikauden tulos'!L41+'9. Tulorahkorjauserät'!L41</f>
        <v>7861295.2202289989</v>
      </c>
      <c r="M41" s="41">
        <f>L41+'Tilikauden tulos'!M41+'9. Tulorahkorjauserät'!M41</f>
        <v>8088108.1203482226</v>
      </c>
      <c r="N41" s="41">
        <f>M41+'Tilikauden tulos'!N41+'9. Tulorahkorjauserät'!N41</f>
        <v>8326885.02171103</v>
      </c>
      <c r="O41" s="41">
        <f>N41+'Tilikauden tulos'!O41+'9. Tulorahkorjauserät'!O41</f>
        <v>8584409.6992924307</v>
      </c>
      <c r="P41" s="41">
        <f>O41+'Tilikauden tulos'!P41+'9. Tulorahkorjauserät'!P41</f>
        <v>8862550.832740372</v>
      </c>
      <c r="T41" s="34">
        <v>91</v>
      </c>
      <c r="U41" s="88" t="s">
        <v>354</v>
      </c>
      <c r="V41" s="41">
        <f>C41/'1. Väestöennuste'!E41*1000</f>
        <v>7130.2068741563307</v>
      </c>
      <c r="W41" s="41">
        <f>D41/'1. Väestöennuste'!F41*1000</f>
        <v>7784.0678483770762</v>
      </c>
      <c r="X41" s="41">
        <f>E41/'1. Väestöennuste'!G41*1000</f>
        <v>8387.8701389147973</v>
      </c>
      <c r="Y41" s="41">
        <f>F41/'1. Väestöennuste'!H41*1000</f>
        <v>8877.3104212381295</v>
      </c>
      <c r="Z41" s="41">
        <f>G41/'1. Väestöennuste'!I41*1000</f>
        <v>9332.7796768297812</v>
      </c>
      <c r="AA41" s="41">
        <f>H41/'1. Väestöennuste'!J41*1000</f>
        <v>9956.6141995981252</v>
      </c>
      <c r="AB41" s="41">
        <f>I41/'1. Väestöennuste'!K41*1000</f>
        <v>10425.027695642995</v>
      </c>
      <c r="AC41" s="41">
        <f>J41/'1. Väestöennuste'!L41*1000</f>
        <v>10724.025398076385</v>
      </c>
      <c r="AD41" s="41">
        <f>K41/'1. Väestöennuste'!M41*1000</f>
        <v>11192.320160037985</v>
      </c>
      <c r="AE41" s="41">
        <f>L41/'1. Väestöennuste'!N41*1000</f>
        <v>11596.147674926207</v>
      </c>
      <c r="AF41" s="41">
        <f>M41/'1. Väestöennuste'!O41*1000</f>
        <v>11849.683500398094</v>
      </c>
      <c r="AG41" s="41">
        <f>N41/'1. Väestöennuste'!P41*1000</f>
        <v>12119.71277574078</v>
      </c>
      <c r="AH41" s="41">
        <f>O41/'1. Väestöennuste'!Q41*1000</f>
        <v>12415.945715072319</v>
      </c>
      <c r="AI41" s="41">
        <f>P41/'1. Väestöennuste'!R41*1000</f>
        <v>12740.890703897463</v>
      </c>
      <c r="AK41" s="41">
        <f t="shared" si="5"/>
        <v>0</v>
      </c>
      <c r="AL41" s="41">
        <f t="shared" si="6"/>
        <v>0</v>
      </c>
      <c r="AM41" s="41">
        <f t="shared" si="7"/>
        <v>0</v>
      </c>
      <c r="AN41" s="41">
        <f t="shared" si="8"/>
        <v>0</v>
      </c>
      <c r="AO41" s="41">
        <f t="shared" si="9"/>
        <v>0</v>
      </c>
      <c r="AP41" s="41">
        <f t="shared" si="10"/>
        <v>0</v>
      </c>
      <c r="AQ41" s="41">
        <f t="shared" si="11"/>
        <v>0</v>
      </c>
      <c r="AR41" s="41">
        <f t="shared" si="12"/>
        <v>0</v>
      </c>
      <c r="AS41" s="41">
        <f t="shared" si="13"/>
        <v>0</v>
      </c>
      <c r="AT41" s="41">
        <f t="shared" si="14"/>
        <v>0</v>
      </c>
      <c r="AU41" s="41">
        <f t="shared" si="15"/>
        <v>0</v>
      </c>
      <c r="AV41" s="41">
        <f t="shared" si="16"/>
        <v>0</v>
      </c>
      <c r="AW41" s="41">
        <f t="shared" si="16"/>
        <v>0</v>
      </c>
      <c r="AX41" s="41">
        <f t="shared" si="16"/>
        <v>0</v>
      </c>
    </row>
    <row r="42" spans="1:50" ht="11.25" x14ac:dyDescent="0.2">
      <c r="A42" s="34">
        <v>92</v>
      </c>
      <c r="B42" s="88" t="s">
        <v>355</v>
      </c>
      <c r="C42" s="65">
        <v>362861</v>
      </c>
      <c r="D42" s="65">
        <v>425062</v>
      </c>
      <c r="E42" s="65">
        <v>467108</v>
      </c>
      <c r="F42" s="65">
        <v>467268</v>
      </c>
      <c r="G42" s="41">
        <v>404794</v>
      </c>
      <c r="H42" s="41">
        <v>459281</v>
      </c>
      <c r="I42" s="41">
        <v>521630.10470000003</v>
      </c>
      <c r="J42" s="41">
        <f>I42+'Tilikauden tulos'!J42+'9. Tulorahkorjauserät'!J42</f>
        <v>487042.02173059777</v>
      </c>
      <c r="K42" s="41">
        <f>J42+'Tilikauden tulos'!K42+'9. Tulorahkorjauserät'!K42</f>
        <v>525517.66450592619</v>
      </c>
      <c r="L42" s="41">
        <f>K42+'Tilikauden tulos'!L42+'9. Tulorahkorjauserät'!L42</f>
        <v>508158.38252845604</v>
      </c>
      <c r="M42" s="41">
        <f>L42+'Tilikauden tulos'!M42+'9. Tulorahkorjauserät'!M42</f>
        <v>445749.28955906472</v>
      </c>
      <c r="N42" s="41">
        <f>M42+'Tilikauden tulos'!N42+'9. Tulorahkorjauserät'!N42</f>
        <v>377099.5251238037</v>
      </c>
      <c r="O42" s="41">
        <f>N42+'Tilikauden tulos'!O42+'9. Tulorahkorjauserät'!O42</f>
        <v>302898.22978036769</v>
      </c>
      <c r="P42" s="41">
        <f>O42+'Tilikauden tulos'!P42+'9. Tulorahkorjauserät'!P42</f>
        <v>234936.75926435427</v>
      </c>
      <c r="T42" s="34">
        <v>92</v>
      </c>
      <c r="U42" s="88" t="s">
        <v>355</v>
      </c>
      <c r="V42" s="41">
        <f>C42/'1. Väestöennuste'!E42*1000</f>
        <v>1690.8319936627759</v>
      </c>
      <c r="W42" s="41">
        <f>D42/'1. Väestöennuste'!F42*1000</f>
        <v>1937.9049060595146</v>
      </c>
      <c r="X42" s="41">
        <f>E42/'1. Väestöennuste'!G42*1000</f>
        <v>2094.4011263210282</v>
      </c>
      <c r="Y42" s="41">
        <f>F42/'1. Väestöennuste'!H42*1000</f>
        <v>2047.9300158656417</v>
      </c>
      <c r="Z42" s="41">
        <f>G42/'1. Väestöennuste'!I42*1000</f>
        <v>1731.5538445086088</v>
      </c>
      <c r="AA42" s="41">
        <f>H42/'1. Väestöennuste'!J42*1000</f>
        <v>1936.0075200964461</v>
      </c>
      <c r="AB42" s="41">
        <f>I42/'1. Väestöennuste'!K42*1000</f>
        <v>2180.6731632985798</v>
      </c>
      <c r="AC42" s="41">
        <f>J42/'1. Väestöennuste'!L42*1000</f>
        <v>2005.7821740909803</v>
      </c>
      <c r="AD42" s="41">
        <f>K42/'1. Väestöennuste'!M42*1000</f>
        <v>2123.7928108935239</v>
      </c>
      <c r="AE42" s="41">
        <f>L42/'1. Väestöennuste'!N42*1000</f>
        <v>2018.4879664449777</v>
      </c>
      <c r="AF42" s="41">
        <f>M42/'1. Väestöennuste'!O42*1000</f>
        <v>1748.5232733783319</v>
      </c>
      <c r="AG42" s="41">
        <f>N42/'1. Väestöennuste'!P42*1000</f>
        <v>1461.830042656354</v>
      </c>
      <c r="AH42" s="41">
        <f>O42/'1. Väestöennuste'!Q42*1000</f>
        <v>1161.1569076795038</v>
      </c>
      <c r="AI42" s="41">
        <f>P42/'1. Väestöennuste'!R42*1000</f>
        <v>891.18122501879293</v>
      </c>
      <c r="AK42" s="41">
        <f t="shared" si="5"/>
        <v>0</v>
      </c>
      <c r="AL42" s="41">
        <f t="shared" si="6"/>
        <v>0</v>
      </c>
      <c r="AM42" s="41">
        <f t="shared" si="7"/>
        <v>0</v>
      </c>
      <c r="AN42" s="41">
        <f t="shared" si="8"/>
        <v>0</v>
      </c>
      <c r="AO42" s="41">
        <f t="shared" si="9"/>
        <v>0</v>
      </c>
      <c r="AP42" s="41">
        <f t="shared" si="10"/>
        <v>0</v>
      </c>
      <c r="AQ42" s="41">
        <f t="shared" si="11"/>
        <v>0</v>
      </c>
      <c r="AR42" s="41">
        <f t="shared" si="12"/>
        <v>0</v>
      </c>
      <c r="AS42" s="41">
        <f t="shared" si="13"/>
        <v>0</v>
      </c>
      <c r="AT42" s="41">
        <f t="shared" si="14"/>
        <v>0</v>
      </c>
      <c r="AU42" s="41">
        <f t="shared" si="15"/>
        <v>0</v>
      </c>
      <c r="AV42" s="41">
        <f t="shared" si="16"/>
        <v>0</v>
      </c>
      <c r="AW42" s="41">
        <f t="shared" si="16"/>
        <v>0</v>
      </c>
      <c r="AX42" s="41">
        <f t="shared" si="16"/>
        <v>0</v>
      </c>
    </row>
    <row r="43" spans="1:50" ht="11.25" x14ac:dyDescent="0.2">
      <c r="A43" s="34">
        <v>97</v>
      </c>
      <c r="B43" s="88" t="s">
        <v>356</v>
      </c>
      <c r="C43" s="65">
        <v>4424</v>
      </c>
      <c r="D43" s="65">
        <v>4552</v>
      </c>
      <c r="E43" s="65">
        <v>5009</v>
      </c>
      <c r="F43" s="65">
        <v>5705</v>
      </c>
      <c r="G43" s="41">
        <v>6686</v>
      </c>
      <c r="H43" s="41">
        <v>6988</v>
      </c>
      <c r="I43" s="41">
        <v>7052.5397899999998</v>
      </c>
      <c r="J43" s="41">
        <f>I43+'Tilikauden tulos'!J43+'9. Tulorahkorjauserät'!J43</f>
        <v>8111.3595615552749</v>
      </c>
      <c r="K43" s="41">
        <f>J43+'Tilikauden tulos'!K43+'9. Tulorahkorjauserät'!K43</f>
        <v>8207.2520370094971</v>
      </c>
      <c r="L43" s="41">
        <f>K43+'Tilikauden tulos'!L43+'9. Tulorahkorjauserät'!L43</f>
        <v>8043.5498935549731</v>
      </c>
      <c r="M43" s="41">
        <f>L43+'Tilikauden tulos'!M43+'9. Tulorahkorjauserät'!M43</f>
        <v>8009.1223263966949</v>
      </c>
      <c r="N43" s="41">
        <f>M43+'Tilikauden tulos'!N43+'9. Tulorahkorjauserät'!N43</f>
        <v>8153.8887418720187</v>
      </c>
      <c r="O43" s="41">
        <f>N43+'Tilikauden tulos'!O43+'9. Tulorahkorjauserät'!O43</f>
        <v>8191.0463556202658</v>
      </c>
      <c r="P43" s="41">
        <f>O43+'Tilikauden tulos'!P43+'9. Tulorahkorjauserät'!P43</f>
        <v>8408.078541502884</v>
      </c>
      <c r="T43" s="34">
        <v>97</v>
      </c>
      <c r="U43" s="88" t="s">
        <v>356</v>
      </c>
      <c r="V43" s="41">
        <f>C43/'1. Väestöennuste'!E43*1000</f>
        <v>1931.8777292576419</v>
      </c>
      <c r="W43" s="41">
        <f>D43/'1. Väestöennuste'!F43*1000</f>
        <v>2001.7590149516268</v>
      </c>
      <c r="X43" s="41">
        <f>E43/'1. Väestöennuste'!G43*1000</f>
        <v>2240.1610017889088</v>
      </c>
      <c r="Y43" s="41">
        <f>F43/'1. Väestöennuste'!H43*1000</f>
        <v>2651.0223048327139</v>
      </c>
      <c r="Z43" s="41">
        <f>G43/'1. Väestöennuste'!I43*1000</f>
        <v>3130.1498127340824</v>
      </c>
      <c r="AA43" s="41">
        <f>H43/'1. Väestöennuste'!J43*1000</f>
        <v>3241.1873840445269</v>
      </c>
      <c r="AB43" s="41">
        <f>I43/'1. Väestöennuste'!K43*1000</f>
        <v>3309.497789770061</v>
      </c>
      <c r="AC43" s="41">
        <f>J43/'1. Väestöennuste'!L43*1000</f>
        <v>3879.1772173865497</v>
      </c>
      <c r="AD43" s="41">
        <f>K43/'1. Väestöennuste'!M43*1000</f>
        <v>3980.2386212461188</v>
      </c>
      <c r="AE43" s="41">
        <f>L43/'1. Väestöennuste'!N43*1000</f>
        <v>3832.0866572439131</v>
      </c>
      <c r="AF43" s="41">
        <f>M43/'1. Väestöennuste'!O43*1000</f>
        <v>3839.4642024912246</v>
      </c>
      <c r="AG43" s="41">
        <f>N43/'1. Väestöennuste'!P43*1000</f>
        <v>3931.4796248177527</v>
      </c>
      <c r="AH43" s="41">
        <f>O43/'1. Väestöennuste'!Q43*1000</f>
        <v>3968.5302110563307</v>
      </c>
      <c r="AI43" s="41">
        <f>P43/'1. Väestöennuste'!R43*1000</f>
        <v>4097.5041625257718</v>
      </c>
      <c r="AK43" s="41">
        <f t="shared" si="5"/>
        <v>0</v>
      </c>
      <c r="AL43" s="41">
        <f t="shared" si="6"/>
        <v>0</v>
      </c>
      <c r="AM43" s="41">
        <f t="shared" si="7"/>
        <v>0</v>
      </c>
      <c r="AN43" s="41">
        <f t="shared" si="8"/>
        <v>0</v>
      </c>
      <c r="AO43" s="41">
        <f t="shared" si="9"/>
        <v>0</v>
      </c>
      <c r="AP43" s="41">
        <f t="shared" si="10"/>
        <v>0</v>
      </c>
      <c r="AQ43" s="41">
        <f t="shared" si="11"/>
        <v>0</v>
      </c>
      <c r="AR43" s="41">
        <f t="shared" si="12"/>
        <v>0</v>
      </c>
      <c r="AS43" s="41">
        <f t="shared" si="13"/>
        <v>0</v>
      </c>
      <c r="AT43" s="41">
        <f t="shared" si="14"/>
        <v>0</v>
      </c>
      <c r="AU43" s="41">
        <f t="shared" si="15"/>
        <v>0</v>
      </c>
      <c r="AV43" s="41">
        <f t="shared" si="16"/>
        <v>0</v>
      </c>
      <c r="AW43" s="41">
        <f t="shared" si="16"/>
        <v>0</v>
      </c>
      <c r="AX43" s="41">
        <f t="shared" si="16"/>
        <v>0</v>
      </c>
    </row>
    <row r="44" spans="1:50" ht="11.25" x14ac:dyDescent="0.2">
      <c r="A44" s="34">
        <v>98</v>
      </c>
      <c r="B44" s="88" t="s">
        <v>357</v>
      </c>
      <c r="C44" s="65">
        <v>11208</v>
      </c>
      <c r="D44" s="65">
        <v>17892</v>
      </c>
      <c r="E44" s="65">
        <v>17959</v>
      </c>
      <c r="F44" s="65">
        <v>15851</v>
      </c>
      <c r="G44" s="41">
        <v>16371</v>
      </c>
      <c r="H44" s="41">
        <v>24560</v>
      </c>
      <c r="I44" s="41">
        <v>24561.862519999999</v>
      </c>
      <c r="J44" s="41">
        <f>I44+'Tilikauden tulos'!J44+'9. Tulorahkorjauserät'!J44</f>
        <v>32760.490190066466</v>
      </c>
      <c r="K44" s="41">
        <f>J44+'Tilikauden tulos'!K44+'9. Tulorahkorjauserät'!K44</f>
        <v>42777.657886047709</v>
      </c>
      <c r="L44" s="41">
        <f>K44+'Tilikauden tulos'!L44+'9. Tulorahkorjauserät'!L44</f>
        <v>44363.867796262275</v>
      </c>
      <c r="M44" s="41">
        <f>L44+'Tilikauden tulos'!M44+'9. Tulorahkorjauserät'!M44</f>
        <v>44879.975132461797</v>
      </c>
      <c r="N44" s="41">
        <f>M44+'Tilikauden tulos'!N44+'9. Tulorahkorjauserät'!N44</f>
        <v>44631.98105820451</v>
      </c>
      <c r="O44" s="41">
        <f>N44+'Tilikauden tulos'!O44+'9. Tulorahkorjauserät'!O44</f>
        <v>44005.265680109405</v>
      </c>
      <c r="P44" s="41">
        <f>O44+'Tilikauden tulos'!P44+'9. Tulorahkorjauserät'!P44</f>
        <v>45467.325550739406</v>
      </c>
      <c r="T44" s="34">
        <v>98</v>
      </c>
      <c r="U44" s="88" t="s">
        <v>357</v>
      </c>
      <c r="V44" s="41">
        <f>C44/'1. Väestöennuste'!E44*1000</f>
        <v>468.65983692243361</v>
      </c>
      <c r="W44" s="41">
        <f>D44/'1. Väestöennuste'!F44*1000</f>
        <v>752.04909419528394</v>
      </c>
      <c r="X44" s="41">
        <f>E44/'1. Väestöennuste'!G44*1000</f>
        <v>755.15095450340596</v>
      </c>
      <c r="Y44" s="41">
        <f>F44/'1. Väestöennuste'!H44*1000</f>
        <v>671.59562748919586</v>
      </c>
      <c r="Z44" s="41">
        <f>G44/'1. Väestöennuste'!I44*1000</f>
        <v>699.31653139683897</v>
      </c>
      <c r="AA44" s="41">
        <f>H44/'1. Väestöennuste'!J44*1000</f>
        <v>1056.2986538213411</v>
      </c>
      <c r="AB44" s="41">
        <f>I44/'1. Väestöennuste'!K44*1000</f>
        <v>1063.7445872672151</v>
      </c>
      <c r="AC44" s="41">
        <f>J44/'1. Väestöennuste'!L44*1000</f>
        <v>1427.9078668904008</v>
      </c>
      <c r="AD44" s="41">
        <f>K44/'1. Väestöennuste'!M44*1000</f>
        <v>1869.2443909131621</v>
      </c>
      <c r="AE44" s="41">
        <f>L44/'1. Väestöennuste'!N44*1000</f>
        <v>1951.3467251489894</v>
      </c>
      <c r="AF44" s="41">
        <f>M44/'1. Väestöennuste'!O44*1000</f>
        <v>1986.1032496553435</v>
      </c>
      <c r="AG44" s="41">
        <f>N44/'1. Väestöennuste'!P44*1000</f>
        <v>1987.0878882598508</v>
      </c>
      <c r="AH44" s="41">
        <f>O44/'1. Väestöennuste'!Q44*1000</f>
        <v>1970.4144396234008</v>
      </c>
      <c r="AI44" s="41">
        <f>P44/'1. Väestöennuste'!R44*1000</f>
        <v>2047.9854759127697</v>
      </c>
      <c r="AK44" s="41">
        <f t="shared" si="5"/>
        <v>0</v>
      </c>
      <c r="AL44" s="41">
        <f t="shared" si="6"/>
        <v>0</v>
      </c>
      <c r="AM44" s="41">
        <f t="shared" si="7"/>
        <v>0</v>
      </c>
      <c r="AN44" s="41">
        <f t="shared" si="8"/>
        <v>0</v>
      </c>
      <c r="AO44" s="41">
        <f t="shared" si="9"/>
        <v>0</v>
      </c>
      <c r="AP44" s="41">
        <f t="shared" si="10"/>
        <v>0</v>
      </c>
      <c r="AQ44" s="41">
        <f t="shared" si="11"/>
        <v>0</v>
      </c>
      <c r="AR44" s="41">
        <f t="shared" si="12"/>
        <v>0</v>
      </c>
      <c r="AS44" s="41">
        <f t="shared" si="13"/>
        <v>0</v>
      </c>
      <c r="AT44" s="41">
        <f t="shared" si="14"/>
        <v>0</v>
      </c>
      <c r="AU44" s="41">
        <f t="shared" si="15"/>
        <v>0</v>
      </c>
      <c r="AV44" s="41">
        <f t="shared" si="16"/>
        <v>0</v>
      </c>
      <c r="AW44" s="41">
        <f t="shared" si="16"/>
        <v>0</v>
      </c>
      <c r="AX44" s="41">
        <f t="shared" si="16"/>
        <v>0</v>
      </c>
    </row>
    <row r="45" spans="1:50" ht="11.25" x14ac:dyDescent="0.2">
      <c r="A45" s="34">
        <v>102</v>
      </c>
      <c r="B45" s="88" t="s">
        <v>359</v>
      </c>
      <c r="C45" s="65">
        <v>8063</v>
      </c>
      <c r="D45" s="65">
        <v>8375</v>
      </c>
      <c r="E45" s="65">
        <v>8236</v>
      </c>
      <c r="F45" s="65">
        <v>4648</v>
      </c>
      <c r="G45" s="41">
        <v>725</v>
      </c>
      <c r="H45" s="41">
        <v>5065</v>
      </c>
      <c r="I45" s="41">
        <v>6415.89984</v>
      </c>
      <c r="J45" s="41">
        <f>I45+'Tilikauden tulos'!J45+'9. Tulorahkorjauserät'!J45</f>
        <v>1059.8159786875303</v>
      </c>
      <c r="K45" s="41">
        <f>J45+'Tilikauden tulos'!K45+'9. Tulorahkorjauserät'!K45</f>
        <v>3886.5124791135945</v>
      </c>
      <c r="L45" s="41">
        <f>K45+'Tilikauden tulos'!L45+'9. Tulorahkorjauserät'!L45</f>
        <v>2371.9947747511123</v>
      </c>
      <c r="M45" s="41">
        <f>L45+'Tilikauden tulos'!M45+'9. Tulorahkorjauserät'!M45</f>
        <v>428.95852156049159</v>
      </c>
      <c r="N45" s="41">
        <f>M45+'Tilikauden tulos'!N45+'9. Tulorahkorjauserät'!N45</f>
        <v>-1293.3276586051861</v>
      </c>
      <c r="O45" s="41">
        <f>N45+'Tilikauden tulos'!O45+'9. Tulorahkorjauserät'!O45</f>
        <v>-3044.1851924924035</v>
      </c>
      <c r="P45" s="41">
        <f>O45+'Tilikauden tulos'!P45+'9. Tulorahkorjauserät'!P45</f>
        <v>-3880.845738070127</v>
      </c>
      <c r="T45" s="34">
        <v>102</v>
      </c>
      <c r="U45" s="88" t="s">
        <v>359</v>
      </c>
      <c r="V45" s="41">
        <f>C45/'1. Väestöennuste'!E45*1000</f>
        <v>769.88446481428434</v>
      </c>
      <c r="W45" s="41">
        <f>D45/'1. Väestöennuste'!F45*1000</f>
        <v>805.05623377871768</v>
      </c>
      <c r="X45" s="41">
        <f>E45/'1. Väestöennuste'!G45*1000</f>
        <v>806.89722739296565</v>
      </c>
      <c r="Y45" s="41">
        <f>F45/'1. Väestöennuste'!H45*1000</f>
        <v>460.60846298681997</v>
      </c>
      <c r="Z45" s="41">
        <f>G45/'1. Väestöennuste'!I45*1000</f>
        <v>72.182397451214655</v>
      </c>
      <c r="AA45" s="41">
        <f>H45/'1. Väestöennuste'!J45*1000</f>
        <v>509.71118043675159</v>
      </c>
      <c r="AB45" s="41">
        <f>I45/'1. Väestöennuste'!K45*1000</f>
        <v>650.04051063829797</v>
      </c>
      <c r="AC45" s="41">
        <f>J45/'1. Väestöennuste'!L45*1000</f>
        <v>108.7548464533125</v>
      </c>
      <c r="AD45" s="41">
        <f>K45/'1. Väestöennuste'!M45*1000</f>
        <v>402.91441831988334</v>
      </c>
      <c r="AE45" s="41">
        <f>L45/'1. Väestöennuste'!N45*1000</f>
        <v>248.81934068510566</v>
      </c>
      <c r="AF45" s="41">
        <f>M45/'1. Väestöennuste'!O45*1000</f>
        <v>45.426085095890244</v>
      </c>
      <c r="AG45" s="41">
        <f>N45/'1. Väestöennuste'!P45*1000</f>
        <v>-138.2498833356693</v>
      </c>
      <c r="AH45" s="41">
        <f>O45/'1. Väestöennuste'!Q45*1000</f>
        <v>-328.28482610723643</v>
      </c>
      <c r="AI45" s="41">
        <f>P45/'1. Väestöennuste'!R45*1000</f>
        <v>-422.15226129338924</v>
      </c>
      <c r="AK45" s="41">
        <f t="shared" si="5"/>
        <v>0</v>
      </c>
      <c r="AL45" s="41">
        <f t="shared" si="6"/>
        <v>0</v>
      </c>
      <c r="AM45" s="41">
        <f t="shared" si="7"/>
        <v>0</v>
      </c>
      <c r="AN45" s="41">
        <f t="shared" si="8"/>
        <v>0</v>
      </c>
      <c r="AO45" s="41">
        <f t="shared" si="9"/>
        <v>0</v>
      </c>
      <c r="AP45" s="41">
        <f t="shared" si="10"/>
        <v>0</v>
      </c>
      <c r="AQ45" s="41">
        <f t="shared" si="11"/>
        <v>0</v>
      </c>
      <c r="AR45" s="41">
        <f t="shared" si="12"/>
        <v>0</v>
      </c>
      <c r="AS45" s="41">
        <f t="shared" si="13"/>
        <v>0</v>
      </c>
      <c r="AT45" s="41">
        <f t="shared" si="14"/>
        <v>0</v>
      </c>
      <c r="AU45" s="41">
        <f t="shared" si="15"/>
        <v>0</v>
      </c>
      <c r="AV45" s="41">
        <f t="shared" si="16"/>
        <v>-1</v>
      </c>
      <c r="AW45" s="41">
        <f t="shared" si="16"/>
        <v>-1</v>
      </c>
      <c r="AX45" s="41">
        <f t="shared" si="16"/>
        <v>-1</v>
      </c>
    </row>
    <row r="46" spans="1:50" ht="11.25" x14ac:dyDescent="0.2">
      <c r="A46" s="34">
        <v>103</v>
      </c>
      <c r="B46" s="88" t="s">
        <v>360</v>
      </c>
      <c r="C46" s="65">
        <v>-21</v>
      </c>
      <c r="D46" s="65">
        <v>-416</v>
      </c>
      <c r="E46" s="65">
        <v>-393</v>
      </c>
      <c r="F46" s="65">
        <v>-278</v>
      </c>
      <c r="G46" s="41">
        <v>-378</v>
      </c>
      <c r="H46" s="41">
        <v>184</v>
      </c>
      <c r="I46" s="41">
        <v>596.32633999999996</v>
      </c>
      <c r="J46" s="41">
        <f>I46+'Tilikauden tulos'!J46+'9. Tulorahkorjauserät'!J46</f>
        <v>369.58143391550959</v>
      </c>
      <c r="K46" s="41">
        <f>J46+'Tilikauden tulos'!K46+'9. Tulorahkorjauserät'!K46</f>
        <v>348.35956865719186</v>
      </c>
      <c r="L46" s="41">
        <f>K46+'Tilikauden tulos'!L46+'9. Tulorahkorjauserät'!L46</f>
        <v>38.60244396824686</v>
      </c>
      <c r="M46" s="41">
        <f>L46+'Tilikauden tulos'!M46+'9. Tulorahkorjauserät'!M46</f>
        <v>-1222.9112433054843</v>
      </c>
      <c r="N46" s="41">
        <f>M46+'Tilikauden tulos'!N46+'9. Tulorahkorjauserät'!N46</f>
        <v>-2536.8752751614538</v>
      </c>
      <c r="O46" s="41">
        <f>N46+'Tilikauden tulos'!O46+'9. Tulorahkorjauserät'!O46</f>
        <v>-3958.7600456220898</v>
      </c>
      <c r="P46" s="41">
        <f>O46+'Tilikauden tulos'!P46+'9. Tulorahkorjauserät'!P46</f>
        <v>-5244.040323664789</v>
      </c>
      <c r="T46" s="34">
        <v>103</v>
      </c>
      <c r="U46" s="88" t="s">
        <v>360</v>
      </c>
      <c r="V46" s="41">
        <f>C46/'1. Väestöennuste'!E46*1000</f>
        <v>-8.7939698492462313</v>
      </c>
      <c r="W46" s="41">
        <f>D46/'1. Väestöennuste'!F46*1000</f>
        <v>-177.39872068230278</v>
      </c>
      <c r="X46" s="41">
        <f>E46/'1. Väestöennuste'!G46*1000</f>
        <v>-171.61572052401746</v>
      </c>
      <c r="Y46" s="41">
        <f>F46/'1. Väestöennuste'!H46*1000</f>
        <v>-124.3847874720358</v>
      </c>
      <c r="Z46" s="41">
        <f>G46/'1. Väestöennuste'!I46*1000</f>
        <v>-173.07692307692307</v>
      </c>
      <c r="AA46" s="41">
        <f>H46/'1. Väestöennuste'!J46*1000</f>
        <v>84.636614535418587</v>
      </c>
      <c r="AB46" s="41">
        <f>I46/'1. Väestöennuste'!K46*1000</f>
        <v>275.31225300092331</v>
      </c>
      <c r="AC46" s="41">
        <f>J46/'1. Väestöennuste'!L46*1000</f>
        <v>171.02333823022192</v>
      </c>
      <c r="AD46" s="41">
        <f>K46/'1. Väestöennuste'!M46*1000</f>
        <v>163.93391466220794</v>
      </c>
      <c r="AE46" s="41">
        <f>L46/'1. Väestöennuste'!N46*1000</f>
        <v>18.523245666145328</v>
      </c>
      <c r="AF46" s="41">
        <f>M46/'1. Väestöennuste'!O46*1000</f>
        <v>-592.49575741544777</v>
      </c>
      <c r="AG46" s="41">
        <f>N46/'1. Väestöennuste'!P46*1000</f>
        <v>-1242.3483228018872</v>
      </c>
      <c r="AH46" s="41">
        <f>O46/'1. Väestöennuste'!Q46*1000</f>
        <v>-1958.8124916487334</v>
      </c>
      <c r="AI46" s="41">
        <f>P46/'1. Väestöennuste'!R46*1000</f>
        <v>-2618.0930222989464</v>
      </c>
      <c r="AK46" s="41">
        <f t="shared" si="5"/>
        <v>-1</v>
      </c>
      <c r="AL46" s="41">
        <f t="shared" si="6"/>
        <v>-1</v>
      </c>
      <c r="AM46" s="41">
        <f t="shared" si="7"/>
        <v>-1</v>
      </c>
      <c r="AN46" s="41">
        <f t="shared" si="8"/>
        <v>-1</v>
      </c>
      <c r="AO46" s="41">
        <f t="shared" si="9"/>
        <v>-1</v>
      </c>
      <c r="AP46" s="41">
        <f t="shared" si="10"/>
        <v>0</v>
      </c>
      <c r="AQ46" s="41">
        <f t="shared" si="11"/>
        <v>0</v>
      </c>
      <c r="AR46" s="41">
        <f t="shared" si="12"/>
        <v>0</v>
      </c>
      <c r="AS46" s="41">
        <f t="shared" si="13"/>
        <v>0</v>
      </c>
      <c r="AT46" s="41">
        <f t="shared" si="14"/>
        <v>0</v>
      </c>
      <c r="AU46" s="41">
        <f t="shared" si="15"/>
        <v>-1</v>
      </c>
      <c r="AV46" s="41">
        <f t="shared" si="16"/>
        <v>-1</v>
      </c>
      <c r="AW46" s="41">
        <f t="shared" si="16"/>
        <v>-1</v>
      </c>
      <c r="AX46" s="41">
        <f t="shared" si="16"/>
        <v>-1</v>
      </c>
    </row>
    <row r="47" spans="1:50" ht="11.25" x14ac:dyDescent="0.2">
      <c r="A47" s="34">
        <v>105</v>
      </c>
      <c r="B47" s="88" t="s">
        <v>361</v>
      </c>
      <c r="C47" s="65">
        <v>-1113</v>
      </c>
      <c r="D47" s="65">
        <v>-1242</v>
      </c>
      <c r="E47" s="65">
        <v>141</v>
      </c>
      <c r="F47" s="65">
        <v>580</v>
      </c>
      <c r="G47" s="41">
        <v>1136</v>
      </c>
      <c r="H47" s="41">
        <v>1573</v>
      </c>
      <c r="I47" s="41">
        <v>1201.0222200000001</v>
      </c>
      <c r="J47" s="41">
        <f>I47+'Tilikauden tulos'!J47+'9. Tulorahkorjauserät'!J47</f>
        <v>2840.3219192061033</v>
      </c>
      <c r="K47" s="41">
        <f>J47+'Tilikauden tulos'!K47+'9. Tulorahkorjauserät'!K47</f>
        <v>3627.3797420703063</v>
      </c>
      <c r="L47" s="41">
        <f>K47+'Tilikauden tulos'!L47+'9. Tulorahkorjauserät'!L47</f>
        <v>4646.9194410883647</v>
      </c>
      <c r="M47" s="41">
        <f>L47+'Tilikauden tulos'!M47+'9. Tulorahkorjauserät'!M47</f>
        <v>5449.159429870534</v>
      </c>
      <c r="N47" s="41">
        <f>M47+'Tilikauden tulos'!N47+'9. Tulorahkorjauserät'!N47</f>
        <v>6076.2913531278818</v>
      </c>
      <c r="O47" s="41">
        <f>N47+'Tilikauden tulos'!O47+'9. Tulorahkorjauserät'!O47</f>
        <v>6619.4960317142677</v>
      </c>
      <c r="P47" s="41">
        <f>O47+'Tilikauden tulos'!P47+'9. Tulorahkorjauserät'!P47</f>
        <v>7451.3812834329092</v>
      </c>
      <c r="T47" s="34">
        <v>105</v>
      </c>
      <c r="U47" s="88" t="s">
        <v>361</v>
      </c>
      <c r="V47" s="41">
        <f>C47/'1. Väestöennuste'!E47*1000</f>
        <v>-459.53757225433526</v>
      </c>
      <c r="W47" s="41">
        <f>D47/'1. Väestöennuste'!F47*1000</f>
        <v>-516.20947630922694</v>
      </c>
      <c r="X47" s="41">
        <f>E47/'1. Väestöennuste'!G47*1000</f>
        <v>60.619088564058465</v>
      </c>
      <c r="Y47" s="41">
        <f>F47/'1. Väestöennuste'!H47*1000</f>
        <v>253.60734586794925</v>
      </c>
      <c r="Z47" s="41">
        <f>G47/'1. Väestöennuste'!I47*1000</f>
        <v>500.22016732716867</v>
      </c>
      <c r="AA47" s="41">
        <f>H47/'1. Väestöennuste'!J47*1000</f>
        <v>715.32514779445205</v>
      </c>
      <c r="AB47" s="41">
        <f>I47/'1. Väestöennuste'!K47*1000</f>
        <v>561.48771388499301</v>
      </c>
      <c r="AC47" s="41">
        <f>J47/'1. Väestöennuste'!L47*1000</f>
        <v>1356.4097035368211</v>
      </c>
      <c r="AD47" s="41">
        <f>K47/'1. Väestöennuste'!M47*1000</f>
        <v>1758.3033165634058</v>
      </c>
      <c r="AE47" s="41">
        <f>L47/'1. Väestöennuste'!N47*1000</f>
        <v>2275.6706371637438</v>
      </c>
      <c r="AF47" s="41">
        <f>M47/'1. Väestöennuste'!O47*1000</f>
        <v>2712.3740317922025</v>
      </c>
      <c r="AG47" s="41">
        <f>N47/'1. Väestöennuste'!P47*1000</f>
        <v>3075.0462313400212</v>
      </c>
      <c r="AH47" s="41">
        <f>O47/'1. Väestöennuste'!Q47*1000</f>
        <v>3403.3398620638909</v>
      </c>
      <c r="AI47" s="41">
        <f>P47/'1. Väestöennuste'!R47*1000</f>
        <v>3889.0298974075727</v>
      </c>
      <c r="AK47" s="41">
        <f t="shared" si="5"/>
        <v>-1</v>
      </c>
      <c r="AL47" s="41">
        <f t="shared" si="6"/>
        <v>-1</v>
      </c>
      <c r="AM47" s="41">
        <f t="shared" si="7"/>
        <v>0</v>
      </c>
      <c r="AN47" s="41">
        <f t="shared" si="8"/>
        <v>0</v>
      </c>
      <c r="AO47" s="41">
        <f t="shared" si="9"/>
        <v>0</v>
      </c>
      <c r="AP47" s="41">
        <f t="shared" si="10"/>
        <v>0</v>
      </c>
      <c r="AQ47" s="41">
        <f t="shared" si="11"/>
        <v>0</v>
      </c>
      <c r="AR47" s="41">
        <f t="shared" si="12"/>
        <v>0</v>
      </c>
      <c r="AS47" s="41">
        <f t="shared" si="13"/>
        <v>0</v>
      </c>
      <c r="AT47" s="41">
        <f t="shared" si="14"/>
        <v>0</v>
      </c>
      <c r="AU47" s="41">
        <f t="shared" si="15"/>
        <v>0</v>
      </c>
      <c r="AV47" s="41">
        <f t="shared" si="16"/>
        <v>0</v>
      </c>
      <c r="AW47" s="41">
        <f t="shared" si="16"/>
        <v>0</v>
      </c>
      <c r="AX47" s="41">
        <f t="shared" si="16"/>
        <v>0</v>
      </c>
    </row>
    <row r="48" spans="1:50" ht="11.25" x14ac:dyDescent="0.2">
      <c r="A48" s="34">
        <v>106</v>
      </c>
      <c r="B48" s="88" t="s">
        <v>362</v>
      </c>
      <c r="C48" s="65">
        <v>25553</v>
      </c>
      <c r="D48" s="65">
        <v>27885</v>
      </c>
      <c r="E48" s="65">
        <v>30160</v>
      </c>
      <c r="F48" s="65">
        <v>27870</v>
      </c>
      <c r="G48" s="41">
        <v>8494</v>
      </c>
      <c r="H48" s="41">
        <v>9259</v>
      </c>
      <c r="I48" s="41">
        <v>23996.697969999997</v>
      </c>
      <c r="J48" s="41">
        <f>I48+'Tilikauden tulos'!J48+'9. Tulorahkorjauserät'!J48</f>
        <v>27686.287381882688</v>
      </c>
      <c r="K48" s="41">
        <f>J48+'Tilikauden tulos'!K48+'9. Tulorahkorjauserät'!K48</f>
        <v>50954.269397896147</v>
      </c>
      <c r="L48" s="41">
        <f>K48+'Tilikauden tulos'!L48+'9. Tulorahkorjauserät'!L48</f>
        <v>51310.468301900626</v>
      </c>
      <c r="M48" s="41">
        <f>L48+'Tilikauden tulos'!M48+'9. Tulorahkorjauserät'!M48</f>
        <v>49477.290869363162</v>
      </c>
      <c r="N48" s="41">
        <f>M48+'Tilikauden tulos'!N48+'9. Tulorahkorjauserät'!N48</f>
        <v>46867.503061360396</v>
      </c>
      <c r="O48" s="41">
        <f>N48+'Tilikauden tulos'!O48+'9. Tulorahkorjauserät'!O48</f>
        <v>44451.706947119135</v>
      </c>
      <c r="P48" s="41">
        <f>O48+'Tilikauden tulos'!P48+'9. Tulorahkorjauserät'!P48</f>
        <v>44847.703143543302</v>
      </c>
      <c r="T48" s="34">
        <v>106</v>
      </c>
      <c r="U48" s="88" t="s">
        <v>362</v>
      </c>
      <c r="V48" s="41">
        <f>C48/'1. Väestöennuste'!E48*1000</f>
        <v>549.96448787207021</v>
      </c>
      <c r="W48" s="41">
        <f>D48/'1. Väestöennuste'!F48*1000</f>
        <v>598.44192634560909</v>
      </c>
      <c r="X48" s="41">
        <f>E48/'1. Väestöennuste'!G48*1000</f>
        <v>645.28552172703735</v>
      </c>
      <c r="Y48" s="41">
        <f>F48/'1. Väestöennuste'!H48*1000</f>
        <v>599.30328573886118</v>
      </c>
      <c r="Z48" s="41">
        <f>G48/'1. Väestöennuste'!I48*1000</f>
        <v>182.78459221002797</v>
      </c>
      <c r="AA48" s="41">
        <f>H48/'1. Väestöennuste'!J48*1000</f>
        <v>198.79336997595328</v>
      </c>
      <c r="AB48" s="41">
        <f>I48/'1. Väestöennuste'!K48*1000</f>
        <v>511.87495669795214</v>
      </c>
      <c r="AC48" s="41">
        <f>J48/'1. Väestöennuste'!L48*1000</f>
        <v>591.62526191599216</v>
      </c>
      <c r="AD48" s="41">
        <f>K48/'1. Väestöennuste'!M48*1000</f>
        <v>1086.4218118568078</v>
      </c>
      <c r="AE48" s="41">
        <f>L48/'1. Väestöennuste'!N48*1000</f>
        <v>1094.0398358614204</v>
      </c>
      <c r="AF48" s="41">
        <f>M48/'1. Väestöennuste'!O48*1000</f>
        <v>1053.0892209812732</v>
      </c>
      <c r="AG48" s="41">
        <f>N48/'1. Väestöennuste'!P48*1000</f>
        <v>995.74027070112174</v>
      </c>
      <c r="AH48" s="41">
        <f>O48/'1. Väestöennuste'!Q48*1000</f>
        <v>942.75215683907311</v>
      </c>
      <c r="AI48" s="41">
        <f>P48/'1. Väestöennuste'!R48*1000</f>
        <v>949.43905376287796</v>
      </c>
      <c r="AK48" s="41">
        <f t="shared" si="5"/>
        <v>0</v>
      </c>
      <c r="AL48" s="41">
        <f t="shared" si="6"/>
        <v>0</v>
      </c>
      <c r="AM48" s="41">
        <f t="shared" si="7"/>
        <v>0</v>
      </c>
      <c r="AN48" s="41">
        <f t="shared" si="8"/>
        <v>0</v>
      </c>
      <c r="AO48" s="41">
        <f t="shared" si="9"/>
        <v>0</v>
      </c>
      <c r="AP48" s="41">
        <f t="shared" si="10"/>
        <v>0</v>
      </c>
      <c r="AQ48" s="41">
        <f t="shared" si="11"/>
        <v>0</v>
      </c>
      <c r="AR48" s="41">
        <f t="shared" si="12"/>
        <v>0</v>
      </c>
      <c r="AS48" s="41">
        <f t="shared" si="13"/>
        <v>0</v>
      </c>
      <c r="AT48" s="41">
        <f t="shared" si="14"/>
        <v>0</v>
      </c>
      <c r="AU48" s="41">
        <f t="shared" si="15"/>
        <v>0</v>
      </c>
      <c r="AV48" s="41">
        <f t="shared" si="16"/>
        <v>0</v>
      </c>
      <c r="AW48" s="41">
        <f t="shared" si="16"/>
        <v>0</v>
      </c>
      <c r="AX48" s="41">
        <f t="shared" si="16"/>
        <v>0</v>
      </c>
    </row>
    <row r="49" spans="1:50" ht="11.25" x14ac:dyDescent="0.2">
      <c r="A49" s="34">
        <v>108</v>
      </c>
      <c r="B49" s="88" t="s">
        <v>363</v>
      </c>
      <c r="C49" s="65">
        <v>2536</v>
      </c>
      <c r="D49" s="65">
        <v>-106</v>
      </c>
      <c r="E49" s="65">
        <v>310</v>
      </c>
      <c r="F49" s="65">
        <v>808</v>
      </c>
      <c r="G49" s="41">
        <v>-733</v>
      </c>
      <c r="H49" s="41">
        <v>1222</v>
      </c>
      <c r="I49" s="41">
        <v>81.709819999999951</v>
      </c>
      <c r="J49" s="41">
        <f>I49+'Tilikauden tulos'!J49+'9. Tulorahkorjauserät'!J49</f>
        <v>1252.7554620507781</v>
      </c>
      <c r="K49" s="41">
        <f>J49+'Tilikauden tulos'!K49+'9. Tulorahkorjauserät'!K49</f>
        <v>3254.8513961893823</v>
      </c>
      <c r="L49" s="41">
        <f>K49+'Tilikauden tulos'!L49+'9. Tulorahkorjauserät'!L49</f>
        <v>3861.2514556549104</v>
      </c>
      <c r="M49" s="41">
        <f>L49+'Tilikauden tulos'!M49+'9. Tulorahkorjauserät'!M49</f>
        <v>2859.13282342823</v>
      </c>
      <c r="N49" s="41">
        <f>M49+'Tilikauden tulos'!N49+'9. Tulorahkorjauserät'!N49</f>
        <v>2747.5109929697683</v>
      </c>
      <c r="O49" s="41">
        <f>N49+'Tilikauden tulos'!O49+'9. Tulorahkorjauserät'!O49</f>
        <v>2671.7413496688314</v>
      </c>
      <c r="P49" s="41">
        <f>O49+'Tilikauden tulos'!P49+'9. Tulorahkorjauserät'!P49</f>
        <v>3878.868621795591</v>
      </c>
      <c r="T49" s="34">
        <v>108</v>
      </c>
      <c r="U49" s="88" t="s">
        <v>363</v>
      </c>
      <c r="V49" s="41">
        <f>C49/'1. Väestöennuste'!E49*1000</f>
        <v>237.74257054467049</v>
      </c>
      <c r="W49" s="41">
        <f>D49/'1. Väestöennuste'!F49*1000</f>
        <v>-9.9241644040820152</v>
      </c>
      <c r="X49" s="41">
        <f>E49/'1. Väestöennuste'!G49*1000</f>
        <v>29.248042268138501</v>
      </c>
      <c r="Y49" s="41">
        <f>F49/'1. Väestöennuste'!H49*1000</f>
        <v>76.879162702188395</v>
      </c>
      <c r="Z49" s="41">
        <f>G49/'1. Väestöennuste'!I49*1000</f>
        <v>-70.45367166474432</v>
      </c>
      <c r="AA49" s="41">
        <f>H49/'1. Väestöennuste'!J49*1000</f>
        <v>118.13611755607114</v>
      </c>
      <c r="AB49" s="41">
        <f>I49/'1. Väestöennuste'!K49*1000</f>
        <v>7.9045970784560273</v>
      </c>
      <c r="AC49" s="41">
        <f>J49/'1. Väestöennuste'!L49*1000</f>
        <v>122.13663469345599</v>
      </c>
      <c r="AD49" s="41">
        <f>K49/'1. Väestöennuste'!M49*1000</f>
        <v>315.42314140802227</v>
      </c>
      <c r="AE49" s="41">
        <f>L49/'1. Väestöennuste'!N49*1000</f>
        <v>384.01307366035905</v>
      </c>
      <c r="AF49" s="41">
        <f>M49/'1. Väestöennuste'!O49*1000</f>
        <v>286.05631049807204</v>
      </c>
      <c r="AG49" s="41">
        <f>N49/'1. Väestöennuste'!P49*1000</f>
        <v>276.35395221985198</v>
      </c>
      <c r="AH49" s="41">
        <f>O49/'1. Väestöennuste'!Q49*1000</f>
        <v>270.03652210115536</v>
      </c>
      <c r="AI49" s="41">
        <f>P49/'1. Väestöennuste'!R49*1000</f>
        <v>393.9137424388739</v>
      </c>
      <c r="AK49" s="41">
        <f t="shared" si="5"/>
        <v>0</v>
      </c>
      <c r="AL49" s="41">
        <f t="shared" si="6"/>
        <v>-1</v>
      </c>
      <c r="AM49" s="41">
        <f t="shared" si="7"/>
        <v>0</v>
      </c>
      <c r="AN49" s="41">
        <f t="shared" si="8"/>
        <v>0</v>
      </c>
      <c r="AO49" s="41">
        <f t="shared" si="9"/>
        <v>-1</v>
      </c>
      <c r="AP49" s="41">
        <f t="shared" si="10"/>
        <v>0</v>
      </c>
      <c r="AQ49" s="41">
        <f t="shared" si="11"/>
        <v>0</v>
      </c>
      <c r="AR49" s="41">
        <f t="shared" si="12"/>
        <v>0</v>
      </c>
      <c r="AS49" s="41">
        <f t="shared" si="13"/>
        <v>0</v>
      </c>
      <c r="AT49" s="41">
        <f t="shared" si="14"/>
        <v>0</v>
      </c>
      <c r="AU49" s="41">
        <f t="shared" si="15"/>
        <v>0</v>
      </c>
      <c r="AV49" s="41">
        <f t="shared" si="16"/>
        <v>0</v>
      </c>
      <c r="AW49" s="41">
        <f t="shared" si="16"/>
        <v>0</v>
      </c>
      <c r="AX49" s="41">
        <f t="shared" si="16"/>
        <v>0</v>
      </c>
    </row>
    <row r="50" spans="1:50" ht="11.25" x14ac:dyDescent="0.2">
      <c r="A50" s="34">
        <v>109</v>
      </c>
      <c r="B50" s="88" t="s">
        <v>364</v>
      </c>
      <c r="C50" s="65">
        <v>-1355</v>
      </c>
      <c r="D50" s="65">
        <v>-4836</v>
      </c>
      <c r="E50" s="65">
        <v>677</v>
      </c>
      <c r="F50" s="65">
        <v>-2233</v>
      </c>
      <c r="G50" s="41">
        <v>-13709</v>
      </c>
      <c r="H50" s="41">
        <v>195</v>
      </c>
      <c r="I50" s="41">
        <v>3594.1124900000004</v>
      </c>
      <c r="J50" s="41">
        <f>I50+'Tilikauden tulos'!J50+'9. Tulorahkorjauserät'!J50</f>
        <v>-1994.8032291719155</v>
      </c>
      <c r="K50" s="41">
        <f>J50+'Tilikauden tulos'!K50+'9. Tulorahkorjauserät'!K50</f>
        <v>27302.745044698997</v>
      </c>
      <c r="L50" s="41">
        <f>K50+'Tilikauden tulos'!L50+'9. Tulorahkorjauserät'!L50</f>
        <v>43408.690017962552</v>
      </c>
      <c r="M50" s="41">
        <f>L50+'Tilikauden tulos'!M50+'9. Tulorahkorjauserät'!M50</f>
        <v>53648.517047670583</v>
      </c>
      <c r="N50" s="41">
        <f>M50+'Tilikauden tulos'!N50+'9. Tulorahkorjauserät'!N50</f>
        <v>62361.747956360618</v>
      </c>
      <c r="O50" s="41">
        <f>N50+'Tilikauden tulos'!O50+'9. Tulorahkorjauserät'!O50</f>
        <v>71607.489453546616</v>
      </c>
      <c r="P50" s="41">
        <f>O50+'Tilikauden tulos'!P50+'9. Tulorahkorjauserät'!P50</f>
        <v>86281.27848414726</v>
      </c>
      <c r="T50" s="34">
        <v>109</v>
      </c>
      <c r="U50" s="88" t="s">
        <v>364</v>
      </c>
      <c r="V50" s="41">
        <f>C50/'1. Väestöennuste'!E50*1000</f>
        <v>-19.923247709929278</v>
      </c>
      <c r="W50" s="41">
        <f>D50/'1. Väestöennuste'!F50*1000</f>
        <v>-71.274871039056748</v>
      </c>
      <c r="X50" s="41">
        <f>E50/'1. Väestöennuste'!G50*1000</f>
        <v>10.005616150867548</v>
      </c>
      <c r="Y50" s="41">
        <f>F50/'1. Väestöennuste'!H50*1000</f>
        <v>-33.06580584019428</v>
      </c>
      <c r="Z50" s="41">
        <f>G50/'1. Väestöennuste'!I50*1000</f>
        <v>-202.69690831398873</v>
      </c>
      <c r="AA50" s="41">
        <f>H50/'1. Väestöennuste'!J50*1000</f>
        <v>2.874071453837991</v>
      </c>
      <c r="AB50" s="41">
        <f>I50/'1. Väestöennuste'!K50*1000</f>
        <v>52.877145988730497</v>
      </c>
      <c r="AC50" s="41">
        <f>J50/'1. Väestöennuste'!L50*1000</f>
        <v>-29.31680303884184</v>
      </c>
      <c r="AD50" s="41">
        <f>K50/'1. Väestöennuste'!M50*1000</f>
        <v>399.63619263600162</v>
      </c>
      <c r="AE50" s="41">
        <f>L50/'1. Väestöennuste'!N50*1000</f>
        <v>637.75347121079199</v>
      </c>
      <c r="AF50" s="41">
        <f>M50/'1. Väestöennuste'!O50*1000</f>
        <v>787.90596339654246</v>
      </c>
      <c r="AG50" s="41">
        <f>N50/'1. Väestöennuste'!P50*1000</f>
        <v>915.61684882116333</v>
      </c>
      <c r="AH50" s="41">
        <f>O50/'1. Väestöennuste'!Q50*1000</f>
        <v>1051.196263264043</v>
      </c>
      <c r="AI50" s="41">
        <f>P50/'1. Väestöennuste'!R50*1000</f>
        <v>1266.6257356119036</v>
      </c>
      <c r="AK50" s="41">
        <f t="shared" si="5"/>
        <v>-1</v>
      </c>
      <c r="AL50" s="41">
        <f t="shared" si="6"/>
        <v>-1</v>
      </c>
      <c r="AM50" s="41">
        <f t="shared" si="7"/>
        <v>0</v>
      </c>
      <c r="AN50" s="41">
        <f t="shared" si="8"/>
        <v>-1</v>
      </c>
      <c r="AO50" s="41">
        <f t="shared" si="9"/>
        <v>-1</v>
      </c>
      <c r="AP50" s="41">
        <f t="shared" si="10"/>
        <v>0</v>
      </c>
      <c r="AQ50" s="41">
        <f t="shared" si="11"/>
        <v>0</v>
      </c>
      <c r="AR50" s="41">
        <f t="shared" si="12"/>
        <v>-1</v>
      </c>
      <c r="AS50" s="41">
        <f t="shared" si="13"/>
        <v>0</v>
      </c>
      <c r="AT50" s="41">
        <f t="shared" si="14"/>
        <v>0</v>
      </c>
      <c r="AU50" s="41">
        <f t="shared" si="15"/>
        <v>0</v>
      </c>
      <c r="AV50" s="41">
        <f t="shared" si="16"/>
        <v>0</v>
      </c>
      <c r="AW50" s="41">
        <f t="shared" si="16"/>
        <v>0</v>
      </c>
      <c r="AX50" s="41">
        <f t="shared" si="16"/>
        <v>0</v>
      </c>
    </row>
    <row r="51" spans="1:50" ht="11.25" x14ac:dyDescent="0.2">
      <c r="A51" s="34">
        <v>111</v>
      </c>
      <c r="B51" s="88" t="s">
        <v>365</v>
      </c>
      <c r="C51" s="65">
        <v>16976</v>
      </c>
      <c r="D51" s="65">
        <v>16521</v>
      </c>
      <c r="E51" s="65">
        <v>20129</v>
      </c>
      <c r="F51" s="65">
        <v>26145</v>
      </c>
      <c r="G51" s="41">
        <v>26269</v>
      </c>
      <c r="H51" s="41">
        <v>28035</v>
      </c>
      <c r="I51" s="41">
        <v>33483.01094</v>
      </c>
      <c r="J51" s="41">
        <f>I51+'Tilikauden tulos'!J51+'9. Tulorahkorjauserät'!J51</f>
        <v>32461.172251130265</v>
      </c>
      <c r="K51" s="41">
        <f>J51+'Tilikauden tulos'!K51+'9. Tulorahkorjauserät'!K51</f>
        <v>35297.188279166599</v>
      </c>
      <c r="L51" s="41">
        <f>K51+'Tilikauden tulos'!L51+'9. Tulorahkorjauserät'!L51</f>
        <v>37100.717435469021</v>
      </c>
      <c r="M51" s="41">
        <f>L51+'Tilikauden tulos'!M51+'9. Tulorahkorjauserät'!M51</f>
        <v>35342.07969823922</v>
      </c>
      <c r="N51" s="41">
        <f>M51+'Tilikauden tulos'!N51+'9. Tulorahkorjauserät'!N51</f>
        <v>32320.619202146667</v>
      </c>
      <c r="O51" s="41">
        <f>N51+'Tilikauden tulos'!O51+'9. Tulorahkorjauserät'!O51</f>
        <v>28478.381391810392</v>
      </c>
      <c r="P51" s="41">
        <f>O51+'Tilikauden tulos'!P51+'9. Tulorahkorjauserät'!P51</f>
        <v>26627.8623764941</v>
      </c>
      <c r="T51" s="34">
        <v>111</v>
      </c>
      <c r="U51" s="88" t="s">
        <v>365</v>
      </c>
      <c r="V51" s="41">
        <f>C51/'1. Väestöennuste'!E51*1000</f>
        <v>867.22860791826304</v>
      </c>
      <c r="W51" s="41">
        <f>D51/'1. Väestöennuste'!F51*1000</f>
        <v>853.79844961240315</v>
      </c>
      <c r="X51" s="41">
        <f>E51/'1. Väestöennuste'!G51*1000</f>
        <v>1052.331660393141</v>
      </c>
      <c r="Y51" s="41">
        <f>F51/'1. Väestöennuste'!H51*1000</f>
        <v>1384.1389168299011</v>
      </c>
      <c r="Z51" s="41">
        <f>G51/'1. Väestöennuste'!I51*1000</f>
        <v>1407.2427278084322</v>
      </c>
      <c r="AA51" s="41">
        <f>H51/'1. Väestöennuste'!J51*1000</f>
        <v>1515.6511866789208</v>
      </c>
      <c r="AB51" s="41">
        <f>I51/'1. Väestöennuste'!K51*1000</f>
        <v>1825.2840678150894</v>
      </c>
      <c r="AC51" s="41">
        <f>J51/'1. Väestöennuste'!L51*1000</f>
        <v>1790.3685539203721</v>
      </c>
      <c r="AD51" s="41">
        <f>K51/'1. Väestöennuste'!M51*1000</f>
        <v>1966.088580135164</v>
      </c>
      <c r="AE51" s="41">
        <f>L51/'1. Väestöennuste'!N51*1000</f>
        <v>2102.619293594164</v>
      </c>
      <c r="AF51" s="41">
        <f>M51/'1. Väestöennuste'!O51*1000</f>
        <v>2023.9422573725356</v>
      </c>
      <c r="AG51" s="41">
        <f>N51/'1. Väestöennuste'!P51*1000</f>
        <v>1869.3244188633123</v>
      </c>
      <c r="AH51" s="41">
        <f>O51/'1. Väestöennuste'!Q51*1000</f>
        <v>1662.7769832317622</v>
      </c>
      <c r="AI51" s="41">
        <f>P51/'1. Väestöennuste'!R51*1000</f>
        <v>1569.2988199253948</v>
      </c>
      <c r="AK51" s="41">
        <f t="shared" si="5"/>
        <v>0</v>
      </c>
      <c r="AL51" s="41">
        <f t="shared" si="6"/>
        <v>0</v>
      </c>
      <c r="AM51" s="41">
        <f t="shared" si="7"/>
        <v>0</v>
      </c>
      <c r="AN51" s="41">
        <f t="shared" si="8"/>
        <v>0</v>
      </c>
      <c r="AO51" s="41">
        <f t="shared" si="9"/>
        <v>0</v>
      </c>
      <c r="AP51" s="41">
        <f t="shared" si="10"/>
        <v>0</v>
      </c>
      <c r="AQ51" s="41">
        <f t="shared" si="11"/>
        <v>0</v>
      </c>
      <c r="AR51" s="41">
        <f t="shared" si="12"/>
        <v>0</v>
      </c>
      <c r="AS51" s="41">
        <f t="shared" si="13"/>
        <v>0</v>
      </c>
      <c r="AT51" s="41">
        <f t="shared" si="14"/>
        <v>0</v>
      </c>
      <c r="AU51" s="41">
        <f t="shared" si="15"/>
        <v>0</v>
      </c>
      <c r="AV51" s="41">
        <f t="shared" si="16"/>
        <v>0</v>
      </c>
      <c r="AW51" s="41">
        <f t="shared" si="16"/>
        <v>0</v>
      </c>
      <c r="AX51" s="41">
        <f t="shared" si="16"/>
        <v>0</v>
      </c>
    </row>
    <row r="52" spans="1:50" ht="11.25" x14ac:dyDescent="0.2">
      <c r="A52" s="34">
        <v>139</v>
      </c>
      <c r="B52" s="88" t="s">
        <v>366</v>
      </c>
      <c r="C52" s="65">
        <v>5548</v>
      </c>
      <c r="D52" s="65">
        <v>5796</v>
      </c>
      <c r="E52" s="65">
        <v>5939</v>
      </c>
      <c r="F52" s="65">
        <v>4089</v>
      </c>
      <c r="G52" s="41">
        <v>1701</v>
      </c>
      <c r="H52" s="41">
        <v>2824</v>
      </c>
      <c r="I52" s="41">
        <v>2064.0831899999998</v>
      </c>
      <c r="J52" s="41">
        <f>I52+'Tilikauden tulos'!J52+'9. Tulorahkorjauserät'!J52</f>
        <v>2552.3811465043664</v>
      </c>
      <c r="K52" s="41">
        <f>J52+'Tilikauden tulos'!K52+'9. Tulorahkorjauserät'!K52</f>
        <v>3347.0069050759703</v>
      </c>
      <c r="L52" s="41">
        <f>K52+'Tilikauden tulos'!L52+'9. Tulorahkorjauserät'!L52</f>
        <v>1781.4607866174456</v>
      </c>
      <c r="M52" s="41">
        <f>L52+'Tilikauden tulos'!M52+'9. Tulorahkorjauserät'!M52</f>
        <v>3907.0148689549815</v>
      </c>
      <c r="N52" s="41">
        <f>M52+'Tilikauden tulos'!N52+'9. Tulorahkorjauserät'!N52</f>
        <v>6100.307807547365</v>
      </c>
      <c r="O52" s="41">
        <f>N52+'Tilikauden tulos'!O52+'9. Tulorahkorjauserät'!O52</f>
        <v>8390.1204660439544</v>
      </c>
      <c r="P52" s="41">
        <f>O52+'Tilikauden tulos'!P52+'9. Tulorahkorjauserät'!P52</f>
        <v>11903.108027707414</v>
      </c>
      <c r="T52" s="34">
        <v>139</v>
      </c>
      <c r="U52" s="88" t="s">
        <v>366</v>
      </c>
      <c r="V52" s="41">
        <f>C52/'1. Väestöennuste'!E52*1000</f>
        <v>574.14881506778431</v>
      </c>
      <c r="W52" s="41">
        <f>D52/'1. Väestöennuste'!F52*1000</f>
        <v>601.994183631076</v>
      </c>
      <c r="X52" s="41">
        <f>E52/'1. Väestöennuste'!G52*1000</f>
        <v>595.92614890628136</v>
      </c>
      <c r="Y52" s="41">
        <f>F52/'1. Väestöennuste'!H52*1000</f>
        <v>414.62178057189209</v>
      </c>
      <c r="Z52" s="41">
        <f>G52/'1. Väestöennuste'!I52*1000</f>
        <v>172.79561154002437</v>
      </c>
      <c r="AA52" s="41">
        <f>H52/'1. Väestöennuste'!J52*1000</f>
        <v>286.75873273761169</v>
      </c>
      <c r="AB52" s="41">
        <f>I52/'1. Väestöennuste'!K52*1000</f>
        <v>208.24083837772395</v>
      </c>
      <c r="AC52" s="41">
        <f>J52/'1. Väestöennuste'!L52*1000</f>
        <v>259.04609220586281</v>
      </c>
      <c r="AD52" s="41">
        <f>K52/'1. Väestöennuste'!M52*1000</f>
        <v>342.72034661846925</v>
      </c>
      <c r="AE52" s="41">
        <f>L52/'1. Väestöennuste'!N52*1000</f>
        <v>183.95918903525873</v>
      </c>
      <c r="AF52" s="41">
        <f>M52/'1. Väestöennuste'!O52*1000</f>
        <v>405.24996047660841</v>
      </c>
      <c r="AG52" s="41">
        <f>N52/'1. Väestöennuste'!P52*1000</f>
        <v>635.64736975589915</v>
      </c>
      <c r="AH52" s="41">
        <f>O52/'1. Väestöennuste'!Q52*1000</f>
        <v>878.45466087780915</v>
      </c>
      <c r="AI52" s="41">
        <f>P52/'1. Väestöennuste'!R52*1000</f>
        <v>1252.0361867789434</v>
      </c>
      <c r="AK52" s="41">
        <f t="shared" si="5"/>
        <v>0</v>
      </c>
      <c r="AL52" s="41">
        <f t="shared" si="6"/>
        <v>0</v>
      </c>
      <c r="AM52" s="41">
        <f t="shared" si="7"/>
        <v>0</v>
      </c>
      <c r="AN52" s="41">
        <f t="shared" si="8"/>
        <v>0</v>
      </c>
      <c r="AO52" s="41">
        <f t="shared" si="9"/>
        <v>0</v>
      </c>
      <c r="AP52" s="41">
        <f t="shared" si="10"/>
        <v>0</v>
      </c>
      <c r="AQ52" s="41">
        <f t="shared" si="11"/>
        <v>0</v>
      </c>
      <c r="AR52" s="41">
        <f t="shared" si="12"/>
        <v>0</v>
      </c>
      <c r="AS52" s="41">
        <f t="shared" si="13"/>
        <v>0</v>
      </c>
      <c r="AT52" s="41">
        <f t="shared" si="14"/>
        <v>0</v>
      </c>
      <c r="AU52" s="41">
        <f t="shared" si="15"/>
        <v>0</v>
      </c>
      <c r="AV52" s="41">
        <f t="shared" si="16"/>
        <v>0</v>
      </c>
      <c r="AW52" s="41">
        <f t="shared" si="16"/>
        <v>0</v>
      </c>
      <c r="AX52" s="41">
        <f t="shared" si="16"/>
        <v>0</v>
      </c>
    </row>
    <row r="53" spans="1:50" ht="11.25" x14ac:dyDescent="0.2">
      <c r="A53" s="34">
        <v>140</v>
      </c>
      <c r="B53" s="88" t="s">
        <v>367</v>
      </c>
      <c r="C53" s="65">
        <v>5441</v>
      </c>
      <c r="D53" s="65">
        <v>7180</v>
      </c>
      <c r="E53" s="65">
        <v>9378</v>
      </c>
      <c r="F53" s="65">
        <v>11156</v>
      </c>
      <c r="G53" s="41">
        <v>12166</v>
      </c>
      <c r="H53" s="41">
        <v>14929</v>
      </c>
      <c r="I53" s="41">
        <v>18155.188190000001</v>
      </c>
      <c r="J53" s="41">
        <f>I53+'Tilikauden tulos'!J53+'9. Tulorahkorjauserät'!J53</f>
        <v>22907.559392873092</v>
      </c>
      <c r="K53" s="41">
        <f>J53+'Tilikauden tulos'!K53+'9. Tulorahkorjauserät'!K53</f>
        <v>30253.027670922362</v>
      </c>
      <c r="L53" s="41">
        <f>K53+'Tilikauden tulos'!L53+'9. Tulorahkorjauserät'!L53</f>
        <v>28746.012329796555</v>
      </c>
      <c r="M53" s="41">
        <f>L53+'Tilikauden tulos'!M53+'9. Tulorahkorjauserät'!M53</f>
        <v>22736.657624455394</v>
      </c>
      <c r="N53" s="41">
        <f>M53+'Tilikauden tulos'!N53+'9. Tulorahkorjauserät'!N53</f>
        <v>15850.334082442812</v>
      </c>
      <c r="O53" s="41">
        <f>N53+'Tilikauden tulos'!O53+'9. Tulorahkorjauserät'!O53</f>
        <v>7704.3091859019169</v>
      </c>
      <c r="P53" s="41">
        <f>O53+'Tilikauden tulos'!P53+'9. Tulorahkorjauserät'!P53</f>
        <v>1497.3290432078302</v>
      </c>
      <c r="T53" s="34">
        <v>140</v>
      </c>
      <c r="U53" s="88" t="s">
        <v>367</v>
      </c>
      <c r="V53" s="41">
        <f>C53/'1. Väestöennuste'!E53*1000</f>
        <v>247.93802688539532</v>
      </c>
      <c r="W53" s="41">
        <f>D53/'1. Väestöennuste'!F53*1000</f>
        <v>329.8571231680985</v>
      </c>
      <c r="X53" s="41">
        <f>E53/'1. Väestöennuste'!G53*1000</f>
        <v>433.38416747539168</v>
      </c>
      <c r="Y53" s="41">
        <f>F53/'1. Väestöennuste'!H53*1000</f>
        <v>519.56035767511173</v>
      </c>
      <c r="Z53" s="41">
        <f>G53/'1. Väestöennuste'!I53*1000</f>
        <v>569.35604642456008</v>
      </c>
      <c r="AA53" s="41">
        <f>H53/'1. Väestöennuste'!J53*1000</f>
        <v>706.73167960613523</v>
      </c>
      <c r="AB53" s="41">
        <f>I53/'1. Väestöennuste'!K53*1000</f>
        <v>866.26530155549199</v>
      </c>
      <c r="AC53" s="41">
        <f>J53/'1. Väestöennuste'!L53*1000</f>
        <v>1101.2720250407717</v>
      </c>
      <c r="AD53" s="41">
        <f>K53/'1. Väestöennuste'!M53*1000</f>
        <v>1467.3114594491396</v>
      </c>
      <c r="AE53" s="41">
        <f>L53/'1. Väestöennuste'!N53*1000</f>
        <v>1405.123293078334</v>
      </c>
      <c r="AF53" s="41">
        <f>M53/'1. Väestöennuste'!O53*1000</f>
        <v>1120.2531348273253</v>
      </c>
      <c r="AG53" s="41">
        <f>N53/'1. Väestöennuste'!P53*1000</f>
        <v>787.16398899696128</v>
      </c>
      <c r="AH53" s="41">
        <f>O53/'1. Väestöennuste'!Q53*1000</f>
        <v>385.65896710726923</v>
      </c>
      <c r="AI53" s="41">
        <f>P53/'1. Väestöennuste'!R53*1000</f>
        <v>75.542558054983616</v>
      </c>
      <c r="AK53" s="41">
        <f t="shared" si="5"/>
        <v>0</v>
      </c>
      <c r="AL53" s="41">
        <f t="shared" si="6"/>
        <v>0</v>
      </c>
      <c r="AM53" s="41">
        <f t="shared" si="7"/>
        <v>0</v>
      </c>
      <c r="AN53" s="41">
        <f t="shared" si="8"/>
        <v>0</v>
      </c>
      <c r="AO53" s="41">
        <f t="shared" si="9"/>
        <v>0</v>
      </c>
      <c r="AP53" s="41">
        <f t="shared" si="10"/>
        <v>0</v>
      </c>
      <c r="AQ53" s="41">
        <f t="shared" si="11"/>
        <v>0</v>
      </c>
      <c r="AR53" s="41">
        <f t="shared" si="12"/>
        <v>0</v>
      </c>
      <c r="AS53" s="41">
        <f t="shared" si="13"/>
        <v>0</v>
      </c>
      <c r="AT53" s="41">
        <f t="shared" si="14"/>
        <v>0</v>
      </c>
      <c r="AU53" s="41">
        <f t="shared" si="15"/>
        <v>0</v>
      </c>
      <c r="AV53" s="41">
        <f t="shared" si="16"/>
        <v>0</v>
      </c>
      <c r="AW53" s="41">
        <f t="shared" si="16"/>
        <v>0</v>
      </c>
      <c r="AX53" s="41">
        <f t="shared" si="16"/>
        <v>0</v>
      </c>
    </row>
    <row r="54" spans="1:50" ht="11.25" x14ac:dyDescent="0.2">
      <c r="A54" s="34">
        <v>142</v>
      </c>
      <c r="B54" s="88" t="s">
        <v>368</v>
      </c>
      <c r="C54" s="65">
        <v>2637</v>
      </c>
      <c r="D54" s="65">
        <v>2104</v>
      </c>
      <c r="E54" s="65">
        <v>1821</v>
      </c>
      <c r="F54" s="65">
        <v>825</v>
      </c>
      <c r="G54" s="41">
        <v>-2169</v>
      </c>
      <c r="H54" s="41">
        <v>2598</v>
      </c>
      <c r="I54" s="41">
        <v>5583.2495699999999</v>
      </c>
      <c r="J54" s="41">
        <f>I54+'Tilikauden tulos'!J54+'9. Tulorahkorjauserät'!J54</f>
        <v>8434.4383135120352</v>
      </c>
      <c r="K54" s="41">
        <f>J54+'Tilikauden tulos'!K54+'9. Tulorahkorjauserät'!K54</f>
        <v>9180.1549446714798</v>
      </c>
      <c r="L54" s="41">
        <f>K54+'Tilikauden tulos'!L54+'9. Tulorahkorjauserät'!L54</f>
        <v>9392.3562416955465</v>
      </c>
      <c r="M54" s="41">
        <f>L54+'Tilikauden tulos'!M54+'9. Tulorahkorjauserät'!M54</f>
        <v>8914.1211844303562</v>
      </c>
      <c r="N54" s="41">
        <f>M54+'Tilikauden tulos'!N54+'9. Tulorahkorjauserät'!N54</f>
        <v>8592.6623341032191</v>
      </c>
      <c r="O54" s="41">
        <f>N54+'Tilikauden tulos'!O54+'9. Tulorahkorjauserät'!O54</f>
        <v>7917.4483303589823</v>
      </c>
      <c r="P54" s="41">
        <f>O54+'Tilikauden tulos'!P54+'9. Tulorahkorjauserät'!P54</f>
        <v>8048.574179168646</v>
      </c>
      <c r="T54" s="34">
        <v>142</v>
      </c>
      <c r="U54" s="88" t="s">
        <v>368</v>
      </c>
      <c r="V54" s="41">
        <f>C54/'1. Väestöennuste'!E54*1000</f>
        <v>381.62083936324171</v>
      </c>
      <c r="W54" s="41">
        <f>D54/'1. Väestöennuste'!F54*1000</f>
        <v>305.41442879953553</v>
      </c>
      <c r="X54" s="41">
        <f>E54/'1. Väestöennuste'!G54*1000</f>
        <v>267.00879765395894</v>
      </c>
      <c r="Y54" s="41">
        <f>F54/'1. Väestöennuste'!H54*1000</f>
        <v>121.95121951219512</v>
      </c>
      <c r="Z54" s="41">
        <f>G54/'1. Väestöennuste'!I54*1000</f>
        <v>-323.20071524362987</v>
      </c>
      <c r="AA54" s="41">
        <f>H54/'1. Väestöennuste'!J54*1000</f>
        <v>392.15094339622641</v>
      </c>
      <c r="AB54" s="41">
        <f>I54/'1. Väestöennuste'!K54*1000</f>
        <v>851.23487879249876</v>
      </c>
      <c r="AC54" s="41">
        <f>J54/'1. Väestöennuste'!L54*1000</f>
        <v>1296.8078587810633</v>
      </c>
      <c r="AD54" s="41">
        <f>K54/'1. Väestöennuste'!M54*1000</f>
        <v>1424.605050383532</v>
      </c>
      <c r="AE54" s="41">
        <f>L54/'1. Väestöennuste'!N54*1000</f>
        <v>1465.4948106873999</v>
      </c>
      <c r="AF54" s="41">
        <f>M54/'1. Väestöennuste'!O54*1000</f>
        <v>1402.6941281558388</v>
      </c>
      <c r="AG54" s="41">
        <f>N54/'1. Väestöennuste'!P54*1000</f>
        <v>1362.833042680923</v>
      </c>
      <c r="AH54" s="41">
        <f>O54/'1. Väestöennuste'!Q54*1000</f>
        <v>1265.5767791494536</v>
      </c>
      <c r="AI54" s="41">
        <f>P54/'1. Väestöennuste'!R54*1000</f>
        <v>1296.4842427784547</v>
      </c>
      <c r="AK54" s="41">
        <f t="shared" si="5"/>
        <v>0</v>
      </c>
      <c r="AL54" s="41">
        <f t="shared" si="6"/>
        <v>0</v>
      </c>
      <c r="AM54" s="41">
        <f t="shared" si="7"/>
        <v>0</v>
      </c>
      <c r="AN54" s="41">
        <f t="shared" si="8"/>
        <v>0</v>
      </c>
      <c r="AO54" s="41">
        <f t="shared" si="9"/>
        <v>-1</v>
      </c>
      <c r="AP54" s="41">
        <f t="shared" si="10"/>
        <v>0</v>
      </c>
      <c r="AQ54" s="41">
        <f t="shared" si="11"/>
        <v>0</v>
      </c>
      <c r="AR54" s="41">
        <f t="shared" si="12"/>
        <v>0</v>
      </c>
      <c r="AS54" s="41">
        <f t="shared" si="13"/>
        <v>0</v>
      </c>
      <c r="AT54" s="41">
        <f t="shared" si="14"/>
        <v>0</v>
      </c>
      <c r="AU54" s="41">
        <f t="shared" si="15"/>
        <v>0</v>
      </c>
      <c r="AV54" s="41">
        <f t="shared" si="16"/>
        <v>0</v>
      </c>
      <c r="AW54" s="41">
        <f t="shared" si="16"/>
        <v>0</v>
      </c>
      <c r="AX54" s="41">
        <f t="shared" si="16"/>
        <v>0</v>
      </c>
    </row>
    <row r="55" spans="1:50" ht="11.25" x14ac:dyDescent="0.2">
      <c r="A55" s="34">
        <v>143</v>
      </c>
      <c r="B55" s="88" t="s">
        <v>369</v>
      </c>
      <c r="C55" s="65">
        <v>-1199</v>
      </c>
      <c r="D55" s="65">
        <v>87</v>
      </c>
      <c r="E55" s="65">
        <v>212</v>
      </c>
      <c r="F55" s="65">
        <v>-1377</v>
      </c>
      <c r="G55" s="41">
        <v>-3610</v>
      </c>
      <c r="H55" s="41">
        <v>-521</v>
      </c>
      <c r="I55" s="41">
        <v>628.51974999999993</v>
      </c>
      <c r="J55" s="41">
        <f>I55+'Tilikauden tulos'!J55+'9. Tulorahkorjauserät'!J55</f>
        <v>644.15434568654837</v>
      </c>
      <c r="K55" s="41">
        <f>J55+'Tilikauden tulos'!K55+'9. Tulorahkorjauserät'!K55</f>
        <v>-1107.5455322542448</v>
      </c>
      <c r="L55" s="41">
        <f>K55+'Tilikauden tulos'!L55+'9. Tulorahkorjauserät'!L55</f>
        <v>-772.27856789972748</v>
      </c>
      <c r="M55" s="41">
        <f>L55+'Tilikauden tulos'!M55+'9. Tulorahkorjauserät'!M55</f>
        <v>-1852.5928333621132</v>
      </c>
      <c r="N55" s="41">
        <f>M55+'Tilikauden tulos'!N55+'9. Tulorahkorjauserät'!N55</f>
        <v>-3028.5581084450564</v>
      </c>
      <c r="O55" s="41">
        <f>N55+'Tilikauden tulos'!O55+'9. Tulorahkorjauserät'!O55</f>
        <v>-3825.0749611118486</v>
      </c>
      <c r="P55" s="41">
        <f>O55+'Tilikauden tulos'!P55+'9. Tulorahkorjauserät'!P55</f>
        <v>-3895.0063180354109</v>
      </c>
      <c r="T55" s="34">
        <v>143</v>
      </c>
      <c r="U55" s="88" t="s">
        <v>369</v>
      </c>
      <c r="V55" s="41">
        <f>C55/'1. Väestöennuste'!E55*1000</f>
        <v>-166.36603302344943</v>
      </c>
      <c r="W55" s="41">
        <f>D55/'1. Väestöennuste'!F55*1000</f>
        <v>12.205387205387206</v>
      </c>
      <c r="X55" s="41">
        <f>E55/'1. Väestöennuste'!G55*1000</f>
        <v>29.779463407781993</v>
      </c>
      <c r="Y55" s="41">
        <f>F55/'1. Väestöennuste'!H55*1000</f>
        <v>-196.63001570755389</v>
      </c>
      <c r="Z55" s="41">
        <f>G55/'1. Väestöennuste'!I55*1000</f>
        <v>-520.02304811293573</v>
      </c>
      <c r="AA55" s="41">
        <f>H55/'1. Väestöennuste'!J55*1000</f>
        <v>-75.881153510049529</v>
      </c>
      <c r="AB55" s="41">
        <f>I55/'1. Väestöennuste'!K55*1000</f>
        <v>91.3944670641268</v>
      </c>
      <c r="AC55" s="41">
        <f>J55/'1. Väestöennuste'!L55*1000</f>
        <v>94.672890312543842</v>
      </c>
      <c r="AD55" s="41">
        <f>K55/'1. Väestöennuste'!M55*1000</f>
        <v>-161.68547916120363</v>
      </c>
      <c r="AE55" s="41">
        <f>L55/'1. Väestöennuste'!N55*1000</f>
        <v>-116.30701323791077</v>
      </c>
      <c r="AF55" s="41">
        <f>M55/'1. Väestöennuste'!O55*1000</f>
        <v>-281.12182600335558</v>
      </c>
      <c r="AG55" s="41">
        <f>N55/'1. Väestöennuste'!P55*1000</f>
        <v>-462.86995391182279</v>
      </c>
      <c r="AH55" s="41">
        <f>O55/'1. Väestöennuste'!Q55*1000</f>
        <v>-588.74479930919631</v>
      </c>
      <c r="AI55" s="41">
        <f>P55/'1. Väestöennuste'!R55*1000</f>
        <v>-603.59620611117487</v>
      </c>
      <c r="AK55" s="41">
        <f t="shared" si="5"/>
        <v>-1</v>
      </c>
      <c r="AL55" s="41">
        <f t="shared" si="6"/>
        <v>0</v>
      </c>
      <c r="AM55" s="41">
        <f t="shared" si="7"/>
        <v>0</v>
      </c>
      <c r="AN55" s="41">
        <f t="shared" si="8"/>
        <v>-1</v>
      </c>
      <c r="AO55" s="41">
        <f t="shared" si="9"/>
        <v>-1</v>
      </c>
      <c r="AP55" s="41">
        <f t="shared" si="10"/>
        <v>-1</v>
      </c>
      <c r="AQ55" s="41">
        <f t="shared" si="11"/>
        <v>0</v>
      </c>
      <c r="AR55" s="41">
        <f t="shared" si="12"/>
        <v>0</v>
      </c>
      <c r="AS55" s="41">
        <f t="shared" si="13"/>
        <v>-1</v>
      </c>
      <c r="AT55" s="41">
        <f t="shared" si="14"/>
        <v>-1</v>
      </c>
      <c r="AU55" s="41">
        <f t="shared" si="15"/>
        <v>-1</v>
      </c>
      <c r="AV55" s="41">
        <f t="shared" si="16"/>
        <v>-1</v>
      </c>
      <c r="AW55" s="41">
        <f t="shared" si="16"/>
        <v>-1</v>
      </c>
      <c r="AX55" s="41">
        <f t="shared" si="16"/>
        <v>-1</v>
      </c>
    </row>
    <row r="56" spans="1:50" ht="11.25" x14ac:dyDescent="0.2">
      <c r="A56" s="34">
        <v>145</v>
      </c>
      <c r="B56" s="88" t="s">
        <v>370</v>
      </c>
      <c r="C56" s="65">
        <v>7223</v>
      </c>
      <c r="D56" s="65">
        <v>8423</v>
      </c>
      <c r="E56" s="65">
        <v>9708</v>
      </c>
      <c r="F56" s="65">
        <v>8934</v>
      </c>
      <c r="G56" s="41">
        <v>5062</v>
      </c>
      <c r="H56" s="41">
        <v>5854</v>
      </c>
      <c r="I56" s="41">
        <v>6006.3445899999997</v>
      </c>
      <c r="J56" s="41">
        <f>I56+'Tilikauden tulos'!J56+'9. Tulorahkorjauserät'!J56</f>
        <v>2929.7862318559064</v>
      </c>
      <c r="K56" s="41">
        <f>J56+'Tilikauden tulos'!K56+'9. Tulorahkorjauserät'!K56</f>
        <v>3553.4142799628466</v>
      </c>
      <c r="L56" s="41">
        <f>K56+'Tilikauden tulos'!L56+'9. Tulorahkorjauserät'!L56</f>
        <v>3775.0425152115226</v>
      </c>
      <c r="M56" s="41">
        <f>L56+'Tilikauden tulos'!M56+'9. Tulorahkorjauserät'!M56</f>
        <v>152.9972231412562</v>
      </c>
      <c r="N56" s="41">
        <f>M56+'Tilikauden tulos'!N56+'9. Tulorahkorjauserät'!N56</f>
        <v>-3342.9899110815018</v>
      </c>
      <c r="O56" s="41">
        <f>N56+'Tilikauden tulos'!O56+'9. Tulorahkorjauserät'!O56</f>
        <v>-7085.3412691295271</v>
      </c>
      <c r="P56" s="41">
        <f>O56+'Tilikauden tulos'!P56+'9. Tulorahkorjauserät'!P56</f>
        <v>-10591.912059128819</v>
      </c>
      <c r="T56" s="34">
        <v>145</v>
      </c>
      <c r="U56" s="88" t="s">
        <v>370</v>
      </c>
      <c r="V56" s="41">
        <f>C56/'1. Väestöennuste'!E56*1000</f>
        <v>594.04556295748</v>
      </c>
      <c r="W56" s="41">
        <f>D56/'1. Väestöennuste'!F56*1000</f>
        <v>692.28240322182955</v>
      </c>
      <c r="X56" s="41">
        <f>E56/'1. Väestöennuste'!G56*1000</f>
        <v>795.41171650962713</v>
      </c>
      <c r="Y56" s="41">
        <f>F56/'1. Väestöennuste'!H56*1000</f>
        <v>733.07622876835978</v>
      </c>
      <c r="Z56" s="41">
        <f>G56/'1. Väestöennuste'!I56*1000</f>
        <v>412.58456271904805</v>
      </c>
      <c r="AA56" s="41">
        <f>H56/'1. Väestöennuste'!J56*1000</f>
        <v>476.16723605010577</v>
      </c>
      <c r="AB56" s="41">
        <f>I56/'1. Väestöennuste'!K56*1000</f>
        <v>485.71442584505905</v>
      </c>
      <c r="AC56" s="41">
        <f>J56/'1. Väestöennuste'!L56*1000</f>
        <v>236.86524633001102</v>
      </c>
      <c r="AD56" s="41">
        <f>K56/'1. Väestöennuste'!M56*1000</f>
        <v>287.889028596196</v>
      </c>
      <c r="AE56" s="41">
        <f>L56/'1. Väestöennuste'!N56*1000</f>
        <v>303.53320858820638</v>
      </c>
      <c r="AF56" s="41">
        <f>M56/'1. Väestöennuste'!O56*1000</f>
        <v>12.283014060794493</v>
      </c>
      <c r="AG56" s="41">
        <f>N56/'1. Väestöennuste'!P56*1000</f>
        <v>-268.10409103228022</v>
      </c>
      <c r="AH56" s="41">
        <f>O56/'1. Väestöennuste'!Q56*1000</f>
        <v>-567.87218635325212</v>
      </c>
      <c r="AI56" s="41">
        <f>P56/'1. Väestöennuste'!R56*1000</f>
        <v>-848.91496827192589</v>
      </c>
      <c r="AK56" s="41">
        <f t="shared" si="5"/>
        <v>0</v>
      </c>
      <c r="AL56" s="41">
        <f t="shared" si="6"/>
        <v>0</v>
      </c>
      <c r="AM56" s="41">
        <f t="shared" si="7"/>
        <v>0</v>
      </c>
      <c r="AN56" s="41">
        <f t="shared" si="8"/>
        <v>0</v>
      </c>
      <c r="AO56" s="41">
        <f t="shared" si="9"/>
        <v>0</v>
      </c>
      <c r="AP56" s="41">
        <f t="shared" si="10"/>
        <v>0</v>
      </c>
      <c r="AQ56" s="41">
        <f t="shared" si="11"/>
        <v>0</v>
      </c>
      <c r="AR56" s="41">
        <f t="shared" si="12"/>
        <v>0</v>
      </c>
      <c r="AS56" s="41">
        <f t="shared" si="13"/>
        <v>0</v>
      </c>
      <c r="AT56" s="41">
        <f t="shared" si="14"/>
        <v>0</v>
      </c>
      <c r="AU56" s="41">
        <f t="shared" si="15"/>
        <v>0</v>
      </c>
      <c r="AV56" s="41">
        <f t="shared" si="16"/>
        <v>-1</v>
      </c>
      <c r="AW56" s="41">
        <f t="shared" si="16"/>
        <v>-1</v>
      </c>
      <c r="AX56" s="41">
        <f t="shared" si="16"/>
        <v>-1</v>
      </c>
    </row>
    <row r="57" spans="1:50" ht="11.25" x14ac:dyDescent="0.2">
      <c r="A57" s="34">
        <v>146</v>
      </c>
      <c r="B57" s="88" t="s">
        <v>371</v>
      </c>
      <c r="C57" s="65">
        <v>5368</v>
      </c>
      <c r="D57" s="65">
        <v>6216</v>
      </c>
      <c r="E57" s="65">
        <v>6201</v>
      </c>
      <c r="F57" s="65">
        <v>5163</v>
      </c>
      <c r="G57" s="41">
        <v>4159</v>
      </c>
      <c r="H57" s="41">
        <v>6112</v>
      </c>
      <c r="I57" s="41">
        <v>6555.3914599999998</v>
      </c>
      <c r="J57" s="41">
        <f>I57+'Tilikauden tulos'!J57+'9. Tulorahkorjauserät'!J57</f>
        <v>6965.6327426844982</v>
      </c>
      <c r="K57" s="41">
        <f>J57+'Tilikauden tulos'!K57+'9. Tulorahkorjauserät'!K57</f>
        <v>8835.5386618116336</v>
      </c>
      <c r="L57" s="41">
        <f>K57+'Tilikauden tulos'!L57+'9. Tulorahkorjauserät'!L57</f>
        <v>8793.3807283892183</v>
      </c>
      <c r="M57" s="41">
        <f>L57+'Tilikauden tulos'!M57+'9. Tulorahkorjauserät'!M57</f>
        <v>8075.2410882040813</v>
      </c>
      <c r="N57" s="41">
        <f>M57+'Tilikauden tulos'!N57+'9. Tulorahkorjauserät'!N57</f>
        <v>7162.8749140568352</v>
      </c>
      <c r="O57" s="41">
        <f>N57+'Tilikauden tulos'!O57+'9. Tulorahkorjauserät'!O57</f>
        <v>6055.3798765786814</v>
      </c>
      <c r="P57" s="41">
        <f>O57+'Tilikauden tulos'!P57+'9. Tulorahkorjauserät'!P57</f>
        <v>5528.466004479008</v>
      </c>
      <c r="T57" s="34">
        <v>146</v>
      </c>
      <c r="U57" s="88" t="s">
        <v>371</v>
      </c>
      <c r="V57" s="41">
        <f>C57/'1. Väestöennuste'!E57*1000</f>
        <v>1005.9970014992504</v>
      </c>
      <c r="W57" s="41">
        <f>D57/'1. Väestöennuste'!F57*1000</f>
        <v>1186.9390872637007</v>
      </c>
      <c r="X57" s="41">
        <f>E57/'1. Väestöennuste'!G57*1000</f>
        <v>1209.2433697347892</v>
      </c>
      <c r="Y57" s="41">
        <f>F57/'1. Väestöennuste'!H57*1000</f>
        <v>1038.2063140961191</v>
      </c>
      <c r="Z57" s="41">
        <f>G57/'1. Väestöennuste'!I57*1000</f>
        <v>856.28989087914351</v>
      </c>
      <c r="AA57" s="41">
        <f>H57/'1. Väestöennuste'!J57*1000</f>
        <v>1287.0077911139185</v>
      </c>
      <c r="AB57" s="41">
        <f>I57/'1. Väestöennuste'!K57*1000</f>
        <v>1411.8870256299804</v>
      </c>
      <c r="AC57" s="41">
        <f>J57/'1. Väestöennuste'!L57*1000</f>
        <v>1550.6751430731297</v>
      </c>
      <c r="AD57" s="41">
        <f>K57/'1. Väestöennuste'!M57*1000</f>
        <v>2005.3424107606977</v>
      </c>
      <c r="AE57" s="41">
        <f>L57/'1. Väestöennuste'!N57*1000</f>
        <v>2020.5378511923757</v>
      </c>
      <c r="AF57" s="41">
        <f>M57/'1. Väestöennuste'!O57*1000</f>
        <v>1891.1571635138364</v>
      </c>
      <c r="AG57" s="41">
        <f>N57/'1. Väestöennuste'!P57*1000</f>
        <v>1709.1087840746445</v>
      </c>
      <c r="AH57" s="41">
        <f>O57/'1. Väestöennuste'!Q57*1000</f>
        <v>1471.5382446120732</v>
      </c>
      <c r="AI57" s="41">
        <f>P57/'1. Väestöennuste'!R57*1000</f>
        <v>1367.7550728547769</v>
      </c>
      <c r="AK57" s="41">
        <f t="shared" si="5"/>
        <v>0</v>
      </c>
      <c r="AL57" s="41">
        <f t="shared" si="6"/>
        <v>0</v>
      </c>
      <c r="AM57" s="41">
        <f t="shared" si="7"/>
        <v>0</v>
      </c>
      <c r="AN57" s="41">
        <f t="shared" si="8"/>
        <v>0</v>
      </c>
      <c r="AO57" s="41">
        <f t="shared" si="9"/>
        <v>0</v>
      </c>
      <c r="AP57" s="41">
        <f t="shared" si="10"/>
        <v>0</v>
      </c>
      <c r="AQ57" s="41">
        <f t="shared" si="11"/>
        <v>0</v>
      </c>
      <c r="AR57" s="41">
        <f t="shared" si="12"/>
        <v>0</v>
      </c>
      <c r="AS57" s="41">
        <f t="shared" si="13"/>
        <v>0</v>
      </c>
      <c r="AT57" s="41">
        <f t="shared" si="14"/>
        <v>0</v>
      </c>
      <c r="AU57" s="41">
        <f t="shared" si="15"/>
        <v>0</v>
      </c>
      <c r="AV57" s="41">
        <f t="shared" si="16"/>
        <v>0</v>
      </c>
      <c r="AW57" s="41">
        <f t="shared" si="16"/>
        <v>0</v>
      </c>
      <c r="AX57" s="41">
        <f t="shared" si="16"/>
        <v>0</v>
      </c>
    </row>
    <row r="58" spans="1:50" ht="11.25" x14ac:dyDescent="0.2">
      <c r="A58" s="34">
        <v>148</v>
      </c>
      <c r="B58" s="88" t="s">
        <v>372</v>
      </c>
      <c r="C58" s="65">
        <v>4689</v>
      </c>
      <c r="D58" s="65">
        <v>6475</v>
      </c>
      <c r="E58" s="65">
        <v>9313</v>
      </c>
      <c r="F58" s="65">
        <v>10966</v>
      </c>
      <c r="G58" s="41">
        <v>11245</v>
      </c>
      <c r="H58" s="41">
        <v>14620</v>
      </c>
      <c r="I58" s="41">
        <v>17150.973449999998</v>
      </c>
      <c r="J58" s="41">
        <f>I58+'Tilikauden tulos'!J58+'9. Tulorahkorjauserät'!J58</f>
        <v>20463.846667150105</v>
      </c>
      <c r="K58" s="41">
        <f>J58+'Tilikauden tulos'!K58+'9. Tulorahkorjauserät'!K58</f>
        <v>21695.62798622845</v>
      </c>
      <c r="L58" s="41">
        <f>K58+'Tilikauden tulos'!L58+'9. Tulorahkorjauserät'!L58</f>
        <v>23378.610616756636</v>
      </c>
      <c r="M58" s="41">
        <f>L58+'Tilikauden tulos'!M58+'9. Tulorahkorjauserät'!M58</f>
        <v>24500.700438229294</v>
      </c>
      <c r="N58" s="41">
        <f>M58+'Tilikauden tulos'!N58+'9. Tulorahkorjauserät'!N58</f>
        <v>25474.170504858273</v>
      </c>
      <c r="O58" s="41">
        <f>N58+'Tilikauden tulos'!O58+'9. Tulorahkorjauserät'!O58</f>
        <v>26360.117445795262</v>
      </c>
      <c r="P58" s="41">
        <f>O58+'Tilikauden tulos'!P58+'9. Tulorahkorjauserät'!P58</f>
        <v>27583.101095776809</v>
      </c>
      <c r="T58" s="34">
        <v>148</v>
      </c>
      <c r="U58" s="88" t="s">
        <v>372</v>
      </c>
      <c r="V58" s="41">
        <f>C58/'1. Väestöennuste'!E58*1000</f>
        <v>689.15343915343919</v>
      </c>
      <c r="W58" s="41">
        <f>D58/'1. Väestöennuste'!F58*1000</f>
        <v>948.71794871794873</v>
      </c>
      <c r="X58" s="41">
        <f>E58/'1. Väestöennuste'!G58*1000</f>
        <v>1355.8014266996652</v>
      </c>
      <c r="Y58" s="41">
        <f>F58/'1. Väestöennuste'!H58*1000</f>
        <v>1582.3953823953825</v>
      </c>
      <c r="Z58" s="41">
        <f>G58/'1. Väestöennuste'!I58*1000</f>
        <v>1628.058491385551</v>
      </c>
      <c r="AA58" s="41">
        <f>H58/'1. Väestöennuste'!J58*1000</f>
        <v>2130.5741766248907</v>
      </c>
      <c r="AB58" s="41">
        <f>I58/'1. Väestöennuste'!K58*1000</f>
        <v>2447.3421018835616</v>
      </c>
      <c r="AC58" s="41">
        <f>J58/'1. Väestöennuste'!L58*1000</f>
        <v>2903.9089920746565</v>
      </c>
      <c r="AD58" s="41">
        <f>K58/'1. Väestöennuste'!M58*1000</f>
        <v>3044.1459220188649</v>
      </c>
      <c r="AE58" s="41">
        <f>L58/'1. Väestöennuste'!N58*1000</f>
        <v>3392.1373500807658</v>
      </c>
      <c r="AF58" s="41">
        <f>M58/'1. Väestöennuste'!O58*1000</f>
        <v>3550.826150468014</v>
      </c>
      <c r="AG58" s="41">
        <f>N58/'1. Väestöennuste'!P58*1000</f>
        <v>3688.7012025569466</v>
      </c>
      <c r="AH58" s="41">
        <f>O58/'1. Väestöennuste'!Q58*1000</f>
        <v>3813.1227319246727</v>
      </c>
      <c r="AI58" s="41">
        <f>P58/'1. Väestöennuste'!R58*1000</f>
        <v>3985.9972681758395</v>
      </c>
      <c r="AK58" s="41">
        <f t="shared" si="5"/>
        <v>0</v>
      </c>
      <c r="AL58" s="41">
        <f t="shared" si="6"/>
        <v>0</v>
      </c>
      <c r="AM58" s="41">
        <f t="shared" si="7"/>
        <v>0</v>
      </c>
      <c r="AN58" s="41">
        <f t="shared" si="8"/>
        <v>0</v>
      </c>
      <c r="AO58" s="41">
        <f t="shared" si="9"/>
        <v>0</v>
      </c>
      <c r="AP58" s="41">
        <f t="shared" si="10"/>
        <v>0</v>
      </c>
      <c r="AQ58" s="41">
        <f t="shared" si="11"/>
        <v>0</v>
      </c>
      <c r="AR58" s="41">
        <f t="shared" si="12"/>
        <v>0</v>
      </c>
      <c r="AS58" s="41">
        <f t="shared" si="13"/>
        <v>0</v>
      </c>
      <c r="AT58" s="41">
        <f t="shared" si="14"/>
        <v>0</v>
      </c>
      <c r="AU58" s="41">
        <f t="shared" si="15"/>
        <v>0</v>
      </c>
      <c r="AV58" s="41">
        <f t="shared" si="16"/>
        <v>0</v>
      </c>
      <c r="AW58" s="41">
        <f t="shared" si="16"/>
        <v>0</v>
      </c>
      <c r="AX58" s="41">
        <f t="shared" si="16"/>
        <v>0</v>
      </c>
    </row>
    <row r="59" spans="1:50" ht="11.25" x14ac:dyDescent="0.2">
      <c r="A59" s="34">
        <v>149</v>
      </c>
      <c r="B59" s="88" t="s">
        <v>373</v>
      </c>
      <c r="C59" s="65">
        <v>6919</v>
      </c>
      <c r="D59" s="65">
        <v>7060</v>
      </c>
      <c r="E59" s="65">
        <v>7380</v>
      </c>
      <c r="F59" s="65">
        <v>8185</v>
      </c>
      <c r="G59" s="41">
        <v>7188</v>
      </c>
      <c r="H59" s="41">
        <v>7804</v>
      </c>
      <c r="I59" s="41">
        <v>8036.1261100000002</v>
      </c>
      <c r="J59" s="41">
        <f>I59+'Tilikauden tulos'!J59+'9. Tulorahkorjauserät'!J59</f>
        <v>8583.1133462885791</v>
      </c>
      <c r="K59" s="41">
        <f>J59+'Tilikauden tulos'!K59+'9. Tulorahkorjauserät'!K59</f>
        <v>8174.9021317742008</v>
      </c>
      <c r="L59" s="41">
        <f>K59+'Tilikauden tulos'!L59+'9. Tulorahkorjauserät'!L59</f>
        <v>5407.7510753928491</v>
      </c>
      <c r="M59" s="41">
        <f>L59+'Tilikauden tulos'!M59+'9. Tulorahkorjauserät'!M59</f>
        <v>2272.9615800792812</v>
      </c>
      <c r="N59" s="41">
        <f>M59+'Tilikauden tulos'!N59+'9. Tulorahkorjauserät'!N59</f>
        <v>-1009.0549633317382</v>
      </c>
      <c r="O59" s="41">
        <f>N59+'Tilikauden tulos'!O59+'9. Tulorahkorjauserät'!O59</f>
        <v>-4105.6784903285916</v>
      </c>
      <c r="P59" s="41">
        <f>O59+'Tilikauden tulos'!P59+'9. Tulorahkorjauserät'!P59</f>
        <v>-7202.5505959169259</v>
      </c>
      <c r="T59" s="34">
        <v>149</v>
      </c>
      <c r="U59" s="88" t="s">
        <v>373</v>
      </c>
      <c r="V59" s="41">
        <f>C59/'1. Väestöennuste'!E59*1000</f>
        <v>1248.6915719184262</v>
      </c>
      <c r="W59" s="41">
        <f>D59/'1. Väestöennuste'!F59*1000</f>
        <v>1264.1002685765443</v>
      </c>
      <c r="X59" s="41">
        <f>E59/'1. Väestöennuste'!G59*1000</f>
        <v>1346.4696223316912</v>
      </c>
      <c r="Y59" s="41">
        <f>F59/'1. Väestöennuste'!H59*1000</f>
        <v>1514.8991301129001</v>
      </c>
      <c r="Z59" s="41">
        <f>G59/'1. Väestöennuste'!I59*1000</f>
        <v>1334.5711102859266</v>
      </c>
      <c r="AA59" s="41">
        <f>H59/'1. Väestöennuste'!J59*1000</f>
        <v>1466.6416087201656</v>
      </c>
      <c r="AB59" s="41">
        <f>I59/'1. Väestöennuste'!K59*1000</f>
        <v>1501.2378311227351</v>
      </c>
      <c r="AC59" s="41">
        <f>J59/'1. Väestöennuste'!L59*1000</f>
        <v>1594.1889573344315</v>
      </c>
      <c r="AD59" s="41">
        <f>K59/'1. Väestöennuste'!M59*1000</f>
        <v>1519.7810246838076</v>
      </c>
      <c r="AE59" s="41">
        <f>L59/'1. Väestöennuste'!N59*1000</f>
        <v>1043.1618586791762</v>
      </c>
      <c r="AF59" s="41">
        <f>M59/'1. Väestöennuste'!O59*1000</f>
        <v>440.41107926356932</v>
      </c>
      <c r="AG59" s="41">
        <f>N59/'1. Väestöennuste'!P59*1000</f>
        <v>-196.42884238499869</v>
      </c>
      <c r="AH59" s="41">
        <f>O59/'1. Väestöennuste'!Q59*1000</f>
        <v>-802.51729678041272</v>
      </c>
      <c r="AI59" s="41">
        <f>P59/'1. Väestöennuste'!R59*1000</f>
        <v>-1413.3733508471205</v>
      </c>
      <c r="AK59" s="41">
        <f t="shared" si="5"/>
        <v>0</v>
      </c>
      <c r="AL59" s="41">
        <f t="shared" si="6"/>
        <v>0</v>
      </c>
      <c r="AM59" s="41">
        <f t="shared" si="7"/>
        <v>0</v>
      </c>
      <c r="AN59" s="41">
        <f t="shared" si="8"/>
        <v>0</v>
      </c>
      <c r="AO59" s="41">
        <f t="shared" si="9"/>
        <v>0</v>
      </c>
      <c r="AP59" s="41">
        <f t="shared" si="10"/>
        <v>0</v>
      </c>
      <c r="AQ59" s="41">
        <f t="shared" si="11"/>
        <v>0</v>
      </c>
      <c r="AR59" s="41">
        <f t="shared" si="12"/>
        <v>0</v>
      </c>
      <c r="AS59" s="41">
        <f t="shared" si="13"/>
        <v>0</v>
      </c>
      <c r="AT59" s="41">
        <f t="shared" si="14"/>
        <v>0</v>
      </c>
      <c r="AU59" s="41">
        <f t="shared" si="15"/>
        <v>0</v>
      </c>
      <c r="AV59" s="41">
        <f t="shared" si="16"/>
        <v>-1</v>
      </c>
      <c r="AW59" s="41">
        <f t="shared" si="16"/>
        <v>-1</v>
      </c>
      <c r="AX59" s="41">
        <f t="shared" si="16"/>
        <v>-1</v>
      </c>
    </row>
    <row r="60" spans="1:50" ht="11.25" x14ac:dyDescent="0.2">
      <c r="A60" s="34">
        <v>151</v>
      </c>
      <c r="B60" s="88" t="s">
        <v>374</v>
      </c>
      <c r="C60" s="65">
        <v>1192</v>
      </c>
      <c r="D60" s="65">
        <v>1822</v>
      </c>
      <c r="E60" s="65">
        <v>2396</v>
      </c>
      <c r="F60" s="65">
        <v>2005</v>
      </c>
      <c r="G60" s="41">
        <v>1589</v>
      </c>
      <c r="H60" s="41">
        <v>2885</v>
      </c>
      <c r="I60" s="41">
        <v>3033.05681</v>
      </c>
      <c r="J60" s="41">
        <f>I60+'Tilikauden tulos'!J60+'9. Tulorahkorjauserät'!J60</f>
        <v>4037.9141902253205</v>
      </c>
      <c r="K60" s="41">
        <f>J60+'Tilikauden tulos'!K60+'9. Tulorahkorjauserät'!K60</f>
        <v>4122.5326988073884</v>
      </c>
      <c r="L60" s="41">
        <f>K60+'Tilikauden tulos'!L60+'9. Tulorahkorjauserät'!L60</f>
        <v>4251.2885573417534</v>
      </c>
      <c r="M60" s="41">
        <f>L60+'Tilikauden tulos'!M60+'9. Tulorahkorjauserät'!M60</f>
        <v>4426.5025625752587</v>
      </c>
      <c r="N60" s="41">
        <f>M60+'Tilikauden tulos'!N60+'9. Tulorahkorjauserät'!N60</f>
        <v>4541.6790199409234</v>
      </c>
      <c r="O60" s="41">
        <f>N60+'Tilikauden tulos'!O60+'9. Tulorahkorjauserät'!O60</f>
        <v>4717.9856685062459</v>
      </c>
      <c r="P60" s="41">
        <f>O60+'Tilikauden tulos'!P60+'9. Tulorahkorjauserät'!P60</f>
        <v>4987.9136595111186</v>
      </c>
      <c r="T60" s="34">
        <v>151</v>
      </c>
      <c r="U60" s="88" t="s">
        <v>374</v>
      </c>
      <c r="V60" s="41">
        <f>C60/'1. Väestöennuste'!E60*1000</f>
        <v>561.46961846443708</v>
      </c>
      <c r="W60" s="41">
        <f>D60/'1. Väestöennuste'!F60*1000</f>
        <v>876.38287638287636</v>
      </c>
      <c r="X60" s="41">
        <f>E60/'1. Väestöennuste'!G60*1000</f>
        <v>1179.1338582677165</v>
      </c>
      <c r="Y60" s="41">
        <f>F60/'1. Väestöennuste'!H60*1000</f>
        <v>1014.6761133603239</v>
      </c>
      <c r="Z60" s="41">
        <f>G60/'1. Väestöennuste'!I60*1000</f>
        <v>814.45412608918502</v>
      </c>
      <c r="AA60" s="41">
        <f>H60/'1. Väestöennuste'!J60*1000</f>
        <v>1498.7012987012986</v>
      </c>
      <c r="AB60" s="41">
        <f>I60/'1. Väestöennuste'!K60*1000</f>
        <v>1603.9433157059757</v>
      </c>
      <c r="AC60" s="41">
        <f>J60/'1. Väestöennuste'!L60*1000</f>
        <v>2180.2992387825702</v>
      </c>
      <c r="AD60" s="41">
        <f>K60/'1. Väestöennuste'!M60*1000</f>
        <v>2272.6200103679098</v>
      </c>
      <c r="AE60" s="41">
        <f>L60/'1. Väestöennuste'!N60*1000</f>
        <v>2367.087170012112</v>
      </c>
      <c r="AF60" s="41">
        <f>M60/'1. Väestöennuste'!O60*1000</f>
        <v>2500.8489054097508</v>
      </c>
      <c r="AG60" s="41">
        <f>N60/'1. Väestöennuste'!P60*1000</f>
        <v>2602.6813867856295</v>
      </c>
      <c r="AH60" s="41">
        <f>O60/'1. Väestöennuste'!Q60*1000</f>
        <v>2735.0641556557948</v>
      </c>
      <c r="AI60" s="41">
        <f>P60/'1. Väestöennuste'!R60*1000</f>
        <v>2927.1793776473701</v>
      </c>
      <c r="AK60" s="41">
        <f t="shared" si="5"/>
        <v>0</v>
      </c>
      <c r="AL60" s="41">
        <f t="shared" si="6"/>
        <v>0</v>
      </c>
      <c r="AM60" s="41">
        <f t="shared" si="7"/>
        <v>0</v>
      </c>
      <c r="AN60" s="41">
        <f t="shared" si="8"/>
        <v>0</v>
      </c>
      <c r="AO60" s="41">
        <f t="shared" si="9"/>
        <v>0</v>
      </c>
      <c r="AP60" s="41">
        <f t="shared" si="10"/>
        <v>0</v>
      </c>
      <c r="AQ60" s="41">
        <f t="shared" si="11"/>
        <v>0</v>
      </c>
      <c r="AR60" s="41">
        <f t="shared" si="12"/>
        <v>0</v>
      </c>
      <c r="AS60" s="41">
        <f t="shared" si="13"/>
        <v>0</v>
      </c>
      <c r="AT60" s="41">
        <f t="shared" si="14"/>
        <v>0</v>
      </c>
      <c r="AU60" s="41">
        <f t="shared" si="15"/>
        <v>0</v>
      </c>
      <c r="AV60" s="41">
        <f t="shared" si="16"/>
        <v>0</v>
      </c>
      <c r="AW60" s="41">
        <f t="shared" si="16"/>
        <v>0</v>
      </c>
      <c r="AX60" s="41">
        <f t="shared" si="16"/>
        <v>0</v>
      </c>
    </row>
    <row r="61" spans="1:50" ht="11.25" x14ac:dyDescent="0.2">
      <c r="A61" s="34">
        <v>152</v>
      </c>
      <c r="B61" s="88" t="s">
        <v>375</v>
      </c>
      <c r="C61" s="65">
        <v>6531</v>
      </c>
      <c r="D61" s="65">
        <v>8361</v>
      </c>
      <c r="E61" s="65">
        <v>9974</v>
      </c>
      <c r="F61" s="65">
        <v>11337</v>
      </c>
      <c r="G61" s="41">
        <v>11238</v>
      </c>
      <c r="H61" s="41">
        <v>12604</v>
      </c>
      <c r="I61" s="41">
        <v>12109.94903</v>
      </c>
      <c r="J61" s="41">
        <f>I61+'Tilikauden tulos'!J61+'9. Tulorahkorjauserät'!J61</f>
        <v>13783.257651983771</v>
      </c>
      <c r="K61" s="41">
        <f>J61+'Tilikauden tulos'!K61+'9. Tulorahkorjauserät'!K61</f>
        <v>15120.419598906228</v>
      </c>
      <c r="L61" s="41">
        <f>K61+'Tilikauden tulos'!L61+'9. Tulorahkorjauserät'!L61</f>
        <v>15309.197928354532</v>
      </c>
      <c r="M61" s="41">
        <f>L61+'Tilikauden tulos'!M61+'9. Tulorahkorjauserät'!M61</f>
        <v>14879.482843523621</v>
      </c>
      <c r="N61" s="41">
        <f>M61+'Tilikauden tulos'!N61+'9. Tulorahkorjauserät'!N61</f>
        <v>14098.125129085656</v>
      </c>
      <c r="O61" s="41">
        <f>N61+'Tilikauden tulos'!O61+'9. Tulorahkorjauserät'!O61</f>
        <v>13311.964097899723</v>
      </c>
      <c r="P61" s="41">
        <f>O61+'Tilikauden tulos'!P61+'9. Tulorahkorjauserät'!P61</f>
        <v>12967.295300041173</v>
      </c>
      <c r="T61" s="34">
        <v>152</v>
      </c>
      <c r="U61" s="88" t="s">
        <v>375</v>
      </c>
      <c r="V61" s="41">
        <f>C61/'1. Väestöennuste'!E61*1000</f>
        <v>1364.8902821316615</v>
      </c>
      <c r="W61" s="41">
        <f>D61/'1. Väestöennuste'!F61*1000</f>
        <v>1774.4057724957556</v>
      </c>
      <c r="X61" s="41">
        <f>E61/'1. Väestöennuste'!G61*1000</f>
        <v>2134.3890434410441</v>
      </c>
      <c r="Y61" s="41">
        <f>F61/'1. Väestöennuste'!H61*1000</f>
        <v>2464.0295587915671</v>
      </c>
      <c r="Z61" s="41">
        <f>G61/'1. Väestöennuste'!I61*1000</f>
        <v>2485.1835471030518</v>
      </c>
      <c r="AA61" s="41">
        <f>H61/'1. Väestöennuste'!J61*1000</f>
        <v>2819.0561395660925</v>
      </c>
      <c r="AB61" s="41">
        <f>I61/'1. Väestöennuste'!K61*1000</f>
        <v>2703.1136227678571</v>
      </c>
      <c r="AC61" s="41">
        <f>J61/'1. Väestöennuste'!L61*1000</f>
        <v>3128.2927035823354</v>
      </c>
      <c r="AD61" s="41">
        <f>K61/'1. Väestöennuste'!M61*1000</f>
        <v>3470.3740185692513</v>
      </c>
      <c r="AE61" s="41">
        <f>L61/'1. Väestöennuste'!N61*1000</f>
        <v>3587.8129665700799</v>
      </c>
      <c r="AF61" s="41">
        <f>M61/'1. Väestöennuste'!O61*1000</f>
        <v>3525.9438017828488</v>
      </c>
      <c r="AG61" s="41">
        <f>N61/'1. Väestöennuste'!P61*1000</f>
        <v>3377.6054453966594</v>
      </c>
      <c r="AH61" s="41">
        <f>O61/'1. Väestöennuste'!Q61*1000</f>
        <v>3225.5788945722616</v>
      </c>
      <c r="AI61" s="41">
        <f>P61/'1. Väestöennuste'!R61*1000</f>
        <v>3173.5916054922104</v>
      </c>
      <c r="AK61" s="41">
        <f t="shared" si="5"/>
        <v>0</v>
      </c>
      <c r="AL61" s="41">
        <f t="shared" si="6"/>
        <v>0</v>
      </c>
      <c r="AM61" s="41">
        <f t="shared" si="7"/>
        <v>0</v>
      </c>
      <c r="AN61" s="41">
        <f t="shared" si="8"/>
        <v>0</v>
      </c>
      <c r="AO61" s="41">
        <f t="shared" si="9"/>
        <v>0</v>
      </c>
      <c r="AP61" s="41">
        <f t="shared" si="10"/>
        <v>0</v>
      </c>
      <c r="AQ61" s="41">
        <f t="shared" si="11"/>
        <v>0</v>
      </c>
      <c r="AR61" s="41">
        <f t="shared" si="12"/>
        <v>0</v>
      </c>
      <c r="AS61" s="41">
        <f t="shared" si="13"/>
        <v>0</v>
      </c>
      <c r="AT61" s="41">
        <f t="shared" si="14"/>
        <v>0</v>
      </c>
      <c r="AU61" s="41">
        <f t="shared" si="15"/>
        <v>0</v>
      </c>
      <c r="AV61" s="41">
        <f t="shared" si="16"/>
        <v>0</v>
      </c>
      <c r="AW61" s="41">
        <f t="shared" si="16"/>
        <v>0</v>
      </c>
      <c r="AX61" s="41">
        <f t="shared" si="16"/>
        <v>0</v>
      </c>
    </row>
    <row r="62" spans="1:50" ht="11.25" x14ac:dyDescent="0.2">
      <c r="A62" s="34">
        <v>153</v>
      </c>
      <c r="B62" s="88" t="s">
        <v>376</v>
      </c>
      <c r="C62" s="65">
        <v>53629</v>
      </c>
      <c r="D62" s="65">
        <v>58856</v>
      </c>
      <c r="E62" s="65">
        <v>65782</v>
      </c>
      <c r="F62" s="65">
        <v>65900</v>
      </c>
      <c r="G62" s="41">
        <v>66544</v>
      </c>
      <c r="H62" s="41">
        <v>70957</v>
      </c>
      <c r="I62" s="41">
        <v>73722.481879999992</v>
      </c>
      <c r="J62" s="41">
        <f>I62+'Tilikauden tulos'!J62+'9. Tulorahkorjauserät'!J62</f>
        <v>70690.371426624668</v>
      </c>
      <c r="K62" s="41">
        <f>J62+'Tilikauden tulos'!K62+'9. Tulorahkorjauserät'!K62</f>
        <v>75728.01401192628</v>
      </c>
      <c r="L62" s="41">
        <f>K62+'Tilikauden tulos'!L62+'9. Tulorahkorjauserät'!L62</f>
        <v>76283.62915157454</v>
      </c>
      <c r="M62" s="41">
        <f>L62+'Tilikauden tulos'!M62+'9. Tulorahkorjauserät'!M62</f>
        <v>74237.542181511875</v>
      </c>
      <c r="N62" s="41">
        <f>M62+'Tilikauden tulos'!N62+'9. Tulorahkorjauserät'!N62</f>
        <v>69986.726041157162</v>
      </c>
      <c r="O62" s="41">
        <f>N62+'Tilikauden tulos'!O62+'9. Tulorahkorjauserät'!O62</f>
        <v>64831.258508089457</v>
      </c>
      <c r="P62" s="41">
        <f>O62+'Tilikauden tulos'!P62+'9. Tulorahkorjauserät'!P62</f>
        <v>62578.792679962156</v>
      </c>
      <c r="T62" s="34">
        <v>153</v>
      </c>
      <c r="U62" s="88" t="s">
        <v>376</v>
      </c>
      <c r="V62" s="41">
        <f>C62/'1. Väestöennuste'!E62*1000</f>
        <v>1926.6750493982397</v>
      </c>
      <c r="W62" s="41">
        <f>D62/'1. Väestöennuste'!F62*1000</f>
        <v>2138.8959552276774</v>
      </c>
      <c r="X62" s="41">
        <f>E62/'1. Väestöennuste'!G62*1000</f>
        <v>2412.3363526348603</v>
      </c>
      <c r="Y62" s="41">
        <f>F62/'1. Väestöennuste'!H62*1000</f>
        <v>2446.9033120451509</v>
      </c>
      <c r="Z62" s="41">
        <f>G62/'1. Väestöennuste'!I62*1000</f>
        <v>2510.336502188019</v>
      </c>
      <c r="AA62" s="41">
        <f>H62/'1. Väestöennuste'!J62*1000</f>
        <v>2721.2655800575262</v>
      </c>
      <c r="AB62" s="41">
        <f>I62/'1. Väestöennuste'!K62*1000</f>
        <v>2873.6106755018509</v>
      </c>
      <c r="AC62" s="41">
        <f>J62/'1. Väestöennuste'!L62*1000</f>
        <v>2804.2832206690205</v>
      </c>
      <c r="AD62" s="41">
        <f>K62/'1. Väestöennuste'!M62*1000</f>
        <v>3038.9668129510123</v>
      </c>
      <c r="AE62" s="41">
        <f>L62/'1. Väestöennuste'!N62*1000</f>
        <v>3086.1570172171919</v>
      </c>
      <c r="AF62" s="41">
        <f>M62/'1. Väestöennuste'!O62*1000</f>
        <v>3043.3953257701746</v>
      </c>
      <c r="AG62" s="41">
        <f>N62/'1. Väestöennuste'!P62*1000</f>
        <v>2906.7876413655008</v>
      </c>
      <c r="AH62" s="41">
        <f>O62/'1. Väestöennuste'!Q62*1000</f>
        <v>2726.8668142203769</v>
      </c>
      <c r="AI62" s="41">
        <f>P62/'1. Väestöennuste'!R62*1000</f>
        <v>2663.9475833281749</v>
      </c>
      <c r="AK62" s="41">
        <f t="shared" si="5"/>
        <v>0</v>
      </c>
      <c r="AL62" s="41">
        <f t="shared" si="6"/>
        <v>0</v>
      </c>
      <c r="AM62" s="41">
        <f t="shared" si="7"/>
        <v>0</v>
      </c>
      <c r="AN62" s="41">
        <f t="shared" si="8"/>
        <v>0</v>
      </c>
      <c r="AO62" s="41">
        <f t="shared" si="9"/>
        <v>0</v>
      </c>
      <c r="AP62" s="41">
        <f t="shared" si="10"/>
        <v>0</v>
      </c>
      <c r="AQ62" s="41">
        <f t="shared" si="11"/>
        <v>0</v>
      </c>
      <c r="AR62" s="41">
        <f t="shared" si="12"/>
        <v>0</v>
      </c>
      <c r="AS62" s="41">
        <f t="shared" si="13"/>
        <v>0</v>
      </c>
      <c r="AT62" s="41">
        <f t="shared" si="14"/>
        <v>0</v>
      </c>
      <c r="AU62" s="41">
        <f t="shared" si="15"/>
        <v>0</v>
      </c>
      <c r="AV62" s="41">
        <f t="shared" si="16"/>
        <v>0</v>
      </c>
      <c r="AW62" s="41">
        <f t="shared" si="16"/>
        <v>0</v>
      </c>
      <c r="AX62" s="41">
        <f t="shared" si="16"/>
        <v>0</v>
      </c>
    </row>
    <row r="63" spans="1:50" ht="11.25" x14ac:dyDescent="0.2">
      <c r="A63" s="34">
        <v>165</v>
      </c>
      <c r="B63" s="88" t="s">
        <v>377</v>
      </c>
      <c r="C63" s="65">
        <v>-40</v>
      </c>
      <c r="D63" s="65">
        <v>661</v>
      </c>
      <c r="E63" s="65">
        <v>4425</v>
      </c>
      <c r="F63" s="65">
        <v>3477</v>
      </c>
      <c r="G63" s="41">
        <v>-939</v>
      </c>
      <c r="H63" s="41">
        <v>2607</v>
      </c>
      <c r="I63" s="41">
        <v>4245.7467699999997</v>
      </c>
      <c r="J63" s="41">
        <f>I63+'Tilikauden tulos'!J63+'9. Tulorahkorjauserät'!J63</f>
        <v>2783.2145260402872</v>
      </c>
      <c r="K63" s="41">
        <f>J63+'Tilikauden tulos'!K63+'9. Tulorahkorjauserät'!K63</f>
        <v>7499.2387860200906</v>
      </c>
      <c r="L63" s="41">
        <f>K63+'Tilikauden tulos'!L63+'9. Tulorahkorjauserät'!L63</f>
        <v>6417.8105043061369</v>
      </c>
      <c r="M63" s="41">
        <f>L63+'Tilikauden tulos'!M63+'9. Tulorahkorjauserät'!M63</f>
        <v>4711.771225675795</v>
      </c>
      <c r="N63" s="41">
        <f>M63+'Tilikauden tulos'!N63+'9. Tulorahkorjauserät'!N63</f>
        <v>2652.2280251694565</v>
      </c>
      <c r="O63" s="41">
        <f>N63+'Tilikauden tulos'!O63+'9. Tulorahkorjauserät'!O63</f>
        <v>285.7603473194813</v>
      </c>
      <c r="P63" s="41">
        <f>O63+'Tilikauden tulos'!P63+'9. Tulorahkorjauserät'!P63</f>
        <v>-890.8624041024741</v>
      </c>
      <c r="T63" s="34">
        <v>165</v>
      </c>
      <c r="U63" s="88" t="s">
        <v>377</v>
      </c>
      <c r="V63" s="41">
        <f>C63/'1. Väestöennuste'!E63*1000</f>
        <v>-2.373464665044799</v>
      </c>
      <c r="W63" s="41">
        <f>D63/'1. Väestöennuste'!F63*1000</f>
        <v>39.559518822191635</v>
      </c>
      <c r="X63" s="41">
        <f>E63/'1. Väestöennuste'!G63*1000</f>
        <v>266.45390497982777</v>
      </c>
      <c r="Y63" s="41">
        <f>F63/'1. Väestöennuste'!H63*1000</f>
        <v>211.40633550191524</v>
      </c>
      <c r="Z63" s="41">
        <f>G63/'1. Väestöennuste'!I63*1000</f>
        <v>-57.210747578139276</v>
      </c>
      <c r="AA63" s="41">
        <f>H63/'1. Väestöennuste'!J63*1000</f>
        <v>160.55921660405247</v>
      </c>
      <c r="AB63" s="41">
        <f>I63/'1. Väestöennuste'!K63*1000</f>
        <v>259.83762362301098</v>
      </c>
      <c r="AC63" s="41">
        <f>J63/'1. Väestöennuste'!L63*1000</f>
        <v>170.95912322114788</v>
      </c>
      <c r="AD63" s="41">
        <f>K63/'1. Väestöennuste'!M63*1000</f>
        <v>465.12676214228679</v>
      </c>
      <c r="AE63" s="41">
        <f>L63/'1. Väestöennuste'!N63*1000</f>
        <v>406.78269026469775</v>
      </c>
      <c r="AF63" s="41">
        <f>M63/'1. Väestöennuste'!O63*1000</f>
        <v>300.6490062325035</v>
      </c>
      <c r="AG63" s="41">
        <f>N63/'1. Väestöennuste'!P63*1000</f>
        <v>170.36408178118299</v>
      </c>
      <c r="AH63" s="41">
        <f>O63/'1. Väestöennuste'!Q63*1000</f>
        <v>18.475486346381413</v>
      </c>
      <c r="AI63" s="41">
        <f>P63/'1. Väestöennuste'!R63*1000</f>
        <v>-57.979980742107003</v>
      </c>
      <c r="AK63" s="41">
        <f t="shared" si="5"/>
        <v>-1</v>
      </c>
      <c r="AL63" s="41">
        <f t="shared" si="6"/>
        <v>0</v>
      </c>
      <c r="AM63" s="41">
        <f t="shared" si="7"/>
        <v>0</v>
      </c>
      <c r="AN63" s="41">
        <f t="shared" si="8"/>
        <v>0</v>
      </c>
      <c r="AO63" s="41">
        <f t="shared" si="9"/>
        <v>-1</v>
      </c>
      <c r="AP63" s="41">
        <f t="shared" si="10"/>
        <v>0</v>
      </c>
      <c r="AQ63" s="41">
        <f t="shared" si="11"/>
        <v>0</v>
      </c>
      <c r="AR63" s="41">
        <f t="shared" si="12"/>
        <v>0</v>
      </c>
      <c r="AS63" s="41">
        <f t="shared" si="13"/>
        <v>0</v>
      </c>
      <c r="AT63" s="41">
        <f t="shared" si="14"/>
        <v>0</v>
      </c>
      <c r="AU63" s="41">
        <f t="shared" si="15"/>
        <v>0</v>
      </c>
      <c r="AV63" s="41">
        <f t="shared" si="16"/>
        <v>0</v>
      </c>
      <c r="AW63" s="41">
        <f t="shared" si="16"/>
        <v>0</v>
      </c>
      <c r="AX63" s="41">
        <f t="shared" si="16"/>
        <v>-1</v>
      </c>
    </row>
    <row r="64" spans="1:50" ht="11.25" x14ac:dyDescent="0.2">
      <c r="A64" s="34">
        <v>167</v>
      </c>
      <c r="B64" s="88" t="s">
        <v>378</v>
      </c>
      <c r="C64" s="65">
        <v>26243</v>
      </c>
      <c r="D64" s="65">
        <v>27585</v>
      </c>
      <c r="E64" s="65">
        <v>31595</v>
      </c>
      <c r="F64" s="65">
        <v>29196</v>
      </c>
      <c r="G64" s="41">
        <v>26156</v>
      </c>
      <c r="H64" s="41">
        <v>30645</v>
      </c>
      <c r="I64" s="41">
        <v>36719.65739</v>
      </c>
      <c r="J64" s="41">
        <f>I64+'Tilikauden tulos'!J64+'9. Tulorahkorjauserät'!J64</f>
        <v>28654.350632881436</v>
      </c>
      <c r="K64" s="41">
        <f>J64+'Tilikauden tulos'!K64+'9. Tulorahkorjauserät'!K64</f>
        <v>48934.468578771324</v>
      </c>
      <c r="L64" s="41">
        <f>K64+'Tilikauden tulos'!L64+'9. Tulorahkorjauserät'!L64</f>
        <v>38333.504874180791</v>
      </c>
      <c r="M64" s="41">
        <f>L64+'Tilikauden tulos'!M64+'9. Tulorahkorjauserät'!M64</f>
        <v>14279.102999742972</v>
      </c>
      <c r="N64" s="41">
        <f>M64+'Tilikauden tulos'!N64+'9. Tulorahkorjauserät'!N64</f>
        <v>-5674.6331968954401</v>
      </c>
      <c r="O64" s="41">
        <f>N64+'Tilikauden tulos'!O64+'9. Tulorahkorjauserät'!O64</f>
        <v>-27055.118899100104</v>
      </c>
      <c r="P64" s="41">
        <f>O64+'Tilikauden tulos'!P64+'9. Tulorahkorjauserät'!P64</f>
        <v>-43317.365848967689</v>
      </c>
      <c r="T64" s="34">
        <v>167</v>
      </c>
      <c r="U64" s="88" t="s">
        <v>378</v>
      </c>
      <c r="V64" s="41">
        <f>C64/'1. Väestöennuste'!E64*1000</f>
        <v>347.52496225865406</v>
      </c>
      <c r="W64" s="41">
        <f>D64/'1. Väestöennuste'!F64*1000</f>
        <v>363.68790212002955</v>
      </c>
      <c r="X64" s="41">
        <f>E64/'1. Väestöennuste'!G64*1000</f>
        <v>415.35751377075474</v>
      </c>
      <c r="Y64" s="41">
        <f>F64/'1. Väestöennuste'!H64*1000</f>
        <v>381.39279695889019</v>
      </c>
      <c r="Z64" s="41">
        <f>G64/'1. Väestöennuste'!I64*1000</f>
        <v>340.3513337670787</v>
      </c>
      <c r="AA64" s="41">
        <f>H64/'1. Väestöennuste'!J64*1000</f>
        <v>398.32325989471633</v>
      </c>
      <c r="AB64" s="41">
        <f>I64/'1. Väestöennuste'!K64*1000</f>
        <v>475.26769508548944</v>
      </c>
      <c r="AC64" s="41">
        <f>J64/'1. Väestöennuste'!L64*1000</f>
        <v>369.67154713249954</v>
      </c>
      <c r="AD64" s="41">
        <f>K64/'1. Väestöennuste'!M64*1000</f>
        <v>626.86670311766704</v>
      </c>
      <c r="AE64" s="41">
        <f>L64/'1. Väestöennuste'!N64*1000</f>
        <v>492.49068392749871</v>
      </c>
      <c r="AF64" s="41">
        <f>M64/'1. Väestöennuste'!O64*1000</f>
        <v>183.08185349637751</v>
      </c>
      <c r="AG64" s="41">
        <f>N64/'1. Väestöennuste'!P64*1000</f>
        <v>-72.619502916427024</v>
      </c>
      <c r="AH64" s="41">
        <f>O64/'1. Väestöennuste'!Q64*1000</f>
        <v>-345.61098207889557</v>
      </c>
      <c r="AI64" s="41">
        <f>P64/'1. Väestöennuste'!R64*1000</f>
        <v>-552.43991084117908</v>
      </c>
      <c r="AK64" s="41">
        <f t="shared" si="5"/>
        <v>0</v>
      </c>
      <c r="AL64" s="41">
        <f t="shared" si="6"/>
        <v>0</v>
      </c>
      <c r="AM64" s="41">
        <f t="shared" si="7"/>
        <v>0</v>
      </c>
      <c r="AN64" s="41">
        <f t="shared" si="8"/>
        <v>0</v>
      </c>
      <c r="AO64" s="41">
        <f t="shared" si="9"/>
        <v>0</v>
      </c>
      <c r="AP64" s="41">
        <f t="shared" si="10"/>
        <v>0</v>
      </c>
      <c r="AQ64" s="41">
        <f t="shared" si="11"/>
        <v>0</v>
      </c>
      <c r="AR64" s="41">
        <f t="shared" si="12"/>
        <v>0</v>
      </c>
      <c r="AS64" s="41">
        <f t="shared" si="13"/>
        <v>0</v>
      </c>
      <c r="AT64" s="41">
        <f t="shared" si="14"/>
        <v>0</v>
      </c>
      <c r="AU64" s="41">
        <f t="shared" si="15"/>
        <v>0</v>
      </c>
      <c r="AV64" s="41">
        <f t="shared" si="16"/>
        <v>-1</v>
      </c>
      <c r="AW64" s="41">
        <f t="shared" si="16"/>
        <v>-1</v>
      </c>
      <c r="AX64" s="41">
        <f t="shared" si="16"/>
        <v>-1</v>
      </c>
    </row>
    <row r="65" spans="1:50" ht="11.25" x14ac:dyDescent="0.2">
      <c r="A65" s="34">
        <v>169</v>
      </c>
      <c r="B65" s="88" t="s">
        <v>379</v>
      </c>
      <c r="C65" s="65">
        <v>6698</v>
      </c>
      <c r="D65" s="65">
        <v>5926</v>
      </c>
      <c r="E65" s="65">
        <v>6193</v>
      </c>
      <c r="F65" s="65">
        <v>6162</v>
      </c>
      <c r="G65" s="41">
        <v>6166</v>
      </c>
      <c r="H65" s="41">
        <v>8549</v>
      </c>
      <c r="I65" s="41">
        <v>9551.9278400000003</v>
      </c>
      <c r="J65" s="41">
        <f>I65+'Tilikauden tulos'!J65+'9. Tulorahkorjauserät'!J65</f>
        <v>9180.454483071584</v>
      </c>
      <c r="K65" s="41">
        <f>J65+'Tilikauden tulos'!K65+'9. Tulorahkorjauserät'!K65</f>
        <v>9279.2633590672995</v>
      </c>
      <c r="L65" s="41">
        <f>K65+'Tilikauden tulos'!L65+'9. Tulorahkorjauserät'!L65</f>
        <v>8782.3727835967547</v>
      </c>
      <c r="M65" s="41">
        <f>L65+'Tilikauden tulos'!M65+'9. Tulorahkorjauserät'!M65</f>
        <v>7640.9506997337976</v>
      </c>
      <c r="N65" s="41">
        <f>M65+'Tilikauden tulos'!N65+'9. Tulorahkorjauserät'!N65</f>
        <v>5784.5820471785464</v>
      </c>
      <c r="O65" s="41">
        <f>N65+'Tilikauden tulos'!O65+'9. Tulorahkorjauserät'!O65</f>
        <v>3545.3778603526316</v>
      </c>
      <c r="P65" s="41">
        <f>O65+'Tilikauden tulos'!P65+'9. Tulorahkorjauserät'!P65</f>
        <v>1264.2303543773551</v>
      </c>
      <c r="T65" s="34">
        <v>169</v>
      </c>
      <c r="U65" s="88" t="s">
        <v>379</v>
      </c>
      <c r="V65" s="41">
        <f>C65/'1. Väestöennuste'!E65*1000</f>
        <v>1234.6543778801845</v>
      </c>
      <c r="W65" s="41">
        <f>D65/'1. Väestöennuste'!F65*1000</f>
        <v>1109.5300505523312</v>
      </c>
      <c r="X65" s="41">
        <f>E65/'1. Väestöennuste'!G65*1000</f>
        <v>1171.5853197124479</v>
      </c>
      <c r="Y65" s="41">
        <f>F65/'1. Väestöennuste'!H65*1000</f>
        <v>1186.1405197305101</v>
      </c>
      <c r="Z65" s="41">
        <f>G65/'1. Väestöennuste'!I65*1000</f>
        <v>1201.2468342100135</v>
      </c>
      <c r="AA65" s="41">
        <f>H65/'1. Väestöennuste'!J65*1000</f>
        <v>1689.1918593163407</v>
      </c>
      <c r="AB65" s="41">
        <f>I65/'1. Väestöennuste'!K65*1000</f>
        <v>1892.9702417756639</v>
      </c>
      <c r="AC65" s="41">
        <f>J65/'1. Väestöennuste'!L65*1000</f>
        <v>1839.7704374892953</v>
      </c>
      <c r="AD65" s="41">
        <f>K65/'1. Väestöennuste'!M65*1000</f>
        <v>1887.563742690663</v>
      </c>
      <c r="AE65" s="41">
        <f>L65/'1. Väestöennuste'!N65*1000</f>
        <v>1822.4471433070669</v>
      </c>
      <c r="AF65" s="41">
        <f>M65/'1. Väestöennuste'!O65*1000</f>
        <v>1603.8939336133076</v>
      </c>
      <c r="AG65" s="41">
        <f>N65/'1. Väestöennuste'!P65*1000</f>
        <v>1227.3672919962969</v>
      </c>
      <c r="AH65" s="41">
        <f>O65/'1. Väestöennuste'!Q65*1000</f>
        <v>760.32122246464326</v>
      </c>
      <c r="AI65" s="41">
        <f>P65/'1. Väestöennuste'!R65*1000</f>
        <v>273.76144529609246</v>
      </c>
      <c r="AK65" s="41">
        <f t="shared" si="5"/>
        <v>0</v>
      </c>
      <c r="AL65" s="41">
        <f t="shared" si="6"/>
        <v>0</v>
      </c>
      <c r="AM65" s="41">
        <f t="shared" si="7"/>
        <v>0</v>
      </c>
      <c r="AN65" s="41">
        <f t="shared" si="8"/>
        <v>0</v>
      </c>
      <c r="AO65" s="41">
        <f t="shared" si="9"/>
        <v>0</v>
      </c>
      <c r="AP65" s="41">
        <f t="shared" si="10"/>
        <v>0</v>
      </c>
      <c r="AQ65" s="41">
        <f t="shared" si="11"/>
        <v>0</v>
      </c>
      <c r="AR65" s="41">
        <f t="shared" si="12"/>
        <v>0</v>
      </c>
      <c r="AS65" s="41">
        <f t="shared" si="13"/>
        <v>0</v>
      </c>
      <c r="AT65" s="41">
        <f t="shared" si="14"/>
        <v>0</v>
      </c>
      <c r="AU65" s="41">
        <f t="shared" si="15"/>
        <v>0</v>
      </c>
      <c r="AV65" s="41">
        <f t="shared" si="16"/>
        <v>0</v>
      </c>
      <c r="AW65" s="41">
        <f t="shared" si="16"/>
        <v>0</v>
      </c>
      <c r="AX65" s="41">
        <f t="shared" si="16"/>
        <v>0</v>
      </c>
    </row>
    <row r="66" spans="1:50" ht="11.25" x14ac:dyDescent="0.2">
      <c r="A66" s="34">
        <v>171</v>
      </c>
      <c r="B66" s="88" t="s">
        <v>380</v>
      </c>
      <c r="C66" s="65">
        <v>6237</v>
      </c>
      <c r="D66" s="65">
        <v>6256</v>
      </c>
      <c r="E66" s="65">
        <v>6580</v>
      </c>
      <c r="F66" s="65">
        <v>4856</v>
      </c>
      <c r="G66" s="41">
        <v>4624</v>
      </c>
      <c r="H66" s="41">
        <v>6601</v>
      </c>
      <c r="I66" s="41">
        <v>7515.82528</v>
      </c>
      <c r="J66" s="41">
        <f>I66+'Tilikauden tulos'!J66+'9. Tulorahkorjauserät'!J66</f>
        <v>8125.1569807773712</v>
      </c>
      <c r="K66" s="41">
        <f>J66+'Tilikauden tulos'!K66+'9. Tulorahkorjauserät'!K66</f>
        <v>8555.9478442463133</v>
      </c>
      <c r="L66" s="41">
        <f>K66+'Tilikauden tulos'!L66+'9. Tulorahkorjauserät'!L66</f>
        <v>9018.0455558696303</v>
      </c>
      <c r="M66" s="41">
        <f>L66+'Tilikauden tulos'!M66+'9. Tulorahkorjauserät'!M66</f>
        <v>8467.0578378541013</v>
      </c>
      <c r="N66" s="41">
        <f>M66+'Tilikauden tulos'!N66+'9. Tulorahkorjauserät'!N66</f>
        <v>8116.7231510884285</v>
      </c>
      <c r="O66" s="41">
        <f>N66+'Tilikauden tulos'!O66+'9. Tulorahkorjauserät'!O66</f>
        <v>7465.8370417694268</v>
      </c>
      <c r="P66" s="41">
        <f>O66+'Tilikauden tulos'!P66+'9. Tulorahkorjauserät'!P66</f>
        <v>7137.3048397514367</v>
      </c>
      <c r="T66" s="34">
        <v>171</v>
      </c>
      <c r="U66" s="88" t="s">
        <v>380</v>
      </c>
      <c r="V66" s="41">
        <f>C66/'1. Väestöennuste'!E66*1000</f>
        <v>1220.5479452054794</v>
      </c>
      <c r="W66" s="41">
        <f>D66/'1. Väestöennuste'!F66*1000</f>
        <v>1241.5161738440165</v>
      </c>
      <c r="X66" s="41">
        <f>E66/'1. Väestöennuste'!G66*1000</f>
        <v>1338.2143583485865</v>
      </c>
      <c r="Y66" s="41">
        <f>F66/'1. Väestöennuste'!H66*1000</f>
        <v>1009.1438071487946</v>
      </c>
      <c r="Z66" s="41">
        <f>G66/'1. Väestöennuste'!I66*1000</f>
        <v>970.00209775540168</v>
      </c>
      <c r="AA66" s="41">
        <f>H66/'1. Väestöennuste'!J66*1000</f>
        <v>1407.7628492215824</v>
      </c>
      <c r="AB66" s="41">
        <f>I66/'1. Väestöennuste'!K66*1000</f>
        <v>1625.3947404844291</v>
      </c>
      <c r="AC66" s="41">
        <f>J66/'1. Väestöennuste'!L66*1000</f>
        <v>1789.6821543562492</v>
      </c>
      <c r="AD66" s="41">
        <f>K66/'1. Väestöennuste'!M66*1000</f>
        <v>1864.0409246723996</v>
      </c>
      <c r="AE66" s="41">
        <f>L66/'1. Väestöennuste'!N66*1000</f>
        <v>2049.0901058554032</v>
      </c>
      <c r="AF66" s="41">
        <f>M66/'1. Väestöennuste'!O66*1000</f>
        <v>1955.4406092041804</v>
      </c>
      <c r="AG66" s="41">
        <f>N66/'1. Väestöennuste'!P66*1000</f>
        <v>1904.8869164722901</v>
      </c>
      <c r="AH66" s="41">
        <f>O66/'1. Väestöennuste'!Q66*1000</f>
        <v>1779.6989372513533</v>
      </c>
      <c r="AI66" s="41">
        <f>P66/'1. Väestöennuste'!R66*1000</f>
        <v>1729.4172134120274</v>
      </c>
      <c r="AK66" s="41">
        <f t="shared" si="5"/>
        <v>0</v>
      </c>
      <c r="AL66" s="41">
        <f t="shared" si="6"/>
        <v>0</v>
      </c>
      <c r="AM66" s="41">
        <f t="shared" si="7"/>
        <v>0</v>
      </c>
      <c r="AN66" s="41">
        <f t="shared" si="8"/>
        <v>0</v>
      </c>
      <c r="AO66" s="41">
        <f t="shared" si="9"/>
        <v>0</v>
      </c>
      <c r="AP66" s="41">
        <f t="shared" si="10"/>
        <v>0</v>
      </c>
      <c r="AQ66" s="41">
        <f t="shared" si="11"/>
        <v>0</v>
      </c>
      <c r="AR66" s="41">
        <f t="shared" si="12"/>
        <v>0</v>
      </c>
      <c r="AS66" s="41">
        <f t="shared" si="13"/>
        <v>0</v>
      </c>
      <c r="AT66" s="41">
        <f t="shared" si="14"/>
        <v>0</v>
      </c>
      <c r="AU66" s="41">
        <f t="shared" si="15"/>
        <v>0</v>
      </c>
      <c r="AV66" s="41">
        <f t="shared" si="16"/>
        <v>0</v>
      </c>
      <c r="AW66" s="41">
        <f t="shared" si="16"/>
        <v>0</v>
      </c>
      <c r="AX66" s="41">
        <f t="shared" si="16"/>
        <v>0</v>
      </c>
    </row>
    <row r="67" spans="1:50" ht="11.25" x14ac:dyDescent="0.2">
      <c r="A67" s="34">
        <v>172</v>
      </c>
      <c r="B67" s="88" t="s">
        <v>381</v>
      </c>
      <c r="C67" s="65">
        <v>3014</v>
      </c>
      <c r="D67" s="65">
        <v>4611</v>
      </c>
      <c r="E67" s="65">
        <v>3780</v>
      </c>
      <c r="F67" s="65">
        <v>3841</v>
      </c>
      <c r="G67" s="41">
        <v>3259</v>
      </c>
      <c r="H67" s="41">
        <v>2734</v>
      </c>
      <c r="I67" s="41">
        <v>4171.3713200000002</v>
      </c>
      <c r="J67" s="41">
        <f>I67+'Tilikauden tulos'!J67+'9. Tulorahkorjauserät'!J67</f>
        <v>2947.3191628732684</v>
      </c>
      <c r="K67" s="41">
        <f>J67+'Tilikauden tulos'!K67+'9. Tulorahkorjauserät'!K67</f>
        <v>3083.9848091359572</v>
      </c>
      <c r="L67" s="41">
        <f>K67+'Tilikauden tulos'!L67+'9. Tulorahkorjauserät'!L67</f>
        <v>3682.6808705087255</v>
      </c>
      <c r="M67" s="41">
        <f>L67+'Tilikauden tulos'!M67+'9. Tulorahkorjauserät'!M67</f>
        <v>4131.9914229725991</v>
      </c>
      <c r="N67" s="41">
        <f>M67+'Tilikauden tulos'!N67+'9. Tulorahkorjauserät'!N67</f>
        <v>4202.1238930137424</v>
      </c>
      <c r="O67" s="41">
        <f>N67+'Tilikauden tulos'!O67+'9. Tulorahkorjauserät'!O67</f>
        <v>4136.1140381681234</v>
      </c>
      <c r="P67" s="41">
        <f>O67+'Tilikauden tulos'!P67+'9. Tulorahkorjauserät'!P67</f>
        <v>4318.8699847259631</v>
      </c>
      <c r="T67" s="34">
        <v>172</v>
      </c>
      <c r="U67" s="88" t="s">
        <v>381</v>
      </c>
      <c r="V67" s="41">
        <f>C67/'1. Väestöennuste'!E67*1000</f>
        <v>642.9180887372014</v>
      </c>
      <c r="W67" s="41">
        <f>D67/'1. Väestöennuste'!F67*1000</f>
        <v>986.73229188957851</v>
      </c>
      <c r="X67" s="41">
        <f>E67/'1. Väestöennuste'!G67*1000</f>
        <v>827.67681191153929</v>
      </c>
      <c r="Y67" s="41">
        <f>F67/'1. Väestöennuste'!H67*1000</f>
        <v>859.8612043877323</v>
      </c>
      <c r="Z67" s="41">
        <f>G67/'1. Väestöennuste'!I67*1000</f>
        <v>744.57390907013928</v>
      </c>
      <c r="AA67" s="41">
        <f>H67/'1. Väestöennuste'!J67*1000</f>
        <v>636.25785431696534</v>
      </c>
      <c r="AB67" s="41">
        <f>I67/'1. Väestöennuste'!K67*1000</f>
        <v>978.50605676753469</v>
      </c>
      <c r="AC67" s="41">
        <f>J67/'1. Väestöennuste'!L67*1000</f>
        <v>706.62171250857557</v>
      </c>
      <c r="AD67" s="41">
        <f>K67/'1. Väestöennuste'!M67*1000</f>
        <v>756.06393947927359</v>
      </c>
      <c r="AE67" s="41">
        <f>L67/'1. Väestöennuste'!N67*1000</f>
        <v>915.17914277055797</v>
      </c>
      <c r="AF67" s="41">
        <f>M67/'1. Väestöennuste'!O67*1000</f>
        <v>1041.3284836120463</v>
      </c>
      <c r="AG67" s="41">
        <f>N67/'1. Väestöennuste'!P67*1000</f>
        <v>1074.7119930981439</v>
      </c>
      <c r="AH67" s="41">
        <f>O67/'1. Väestöennuste'!Q67*1000</f>
        <v>1071.8098051744296</v>
      </c>
      <c r="AI67" s="41">
        <f>P67/'1. Väestöennuste'!R67*1000</f>
        <v>1133.2642311010138</v>
      </c>
      <c r="AK67" s="41">
        <f t="shared" si="5"/>
        <v>0</v>
      </c>
      <c r="AL67" s="41">
        <f t="shared" si="6"/>
        <v>0</v>
      </c>
      <c r="AM67" s="41">
        <f t="shared" si="7"/>
        <v>0</v>
      </c>
      <c r="AN67" s="41">
        <f t="shared" si="8"/>
        <v>0</v>
      </c>
      <c r="AO67" s="41">
        <f t="shared" si="9"/>
        <v>0</v>
      </c>
      <c r="AP67" s="41">
        <f t="shared" si="10"/>
        <v>0</v>
      </c>
      <c r="AQ67" s="41">
        <f t="shared" si="11"/>
        <v>0</v>
      </c>
      <c r="AR67" s="41">
        <f t="shared" si="12"/>
        <v>0</v>
      </c>
      <c r="AS67" s="41">
        <f t="shared" si="13"/>
        <v>0</v>
      </c>
      <c r="AT67" s="41">
        <f t="shared" si="14"/>
        <v>0</v>
      </c>
      <c r="AU67" s="41">
        <f t="shared" si="15"/>
        <v>0</v>
      </c>
      <c r="AV67" s="41">
        <f t="shared" si="16"/>
        <v>0</v>
      </c>
      <c r="AW67" s="41">
        <f t="shared" si="16"/>
        <v>0</v>
      </c>
      <c r="AX67" s="41">
        <f t="shared" si="16"/>
        <v>0</v>
      </c>
    </row>
    <row r="68" spans="1:50" ht="11.25" x14ac:dyDescent="0.2">
      <c r="A68" s="34">
        <v>176</v>
      </c>
      <c r="B68" s="88" t="s">
        <v>382</v>
      </c>
      <c r="C68" s="65">
        <v>10106</v>
      </c>
      <c r="D68" s="65">
        <v>10131</v>
      </c>
      <c r="E68" s="65">
        <v>10169</v>
      </c>
      <c r="F68" s="65">
        <v>10200</v>
      </c>
      <c r="G68" s="41">
        <v>10263</v>
      </c>
      <c r="H68" s="41">
        <v>10957</v>
      </c>
      <c r="I68" s="41">
        <v>11650.612160000001</v>
      </c>
      <c r="J68" s="41">
        <f>I68+'Tilikauden tulos'!J68+'9. Tulorahkorjauserät'!J68</f>
        <v>11308.44458199841</v>
      </c>
      <c r="K68" s="41">
        <f>J68+'Tilikauden tulos'!K68+'9. Tulorahkorjauserät'!K68</f>
        <v>12214.455674510096</v>
      </c>
      <c r="L68" s="41">
        <f>K68+'Tilikauden tulos'!L68+'9. Tulorahkorjauserät'!L68</f>
        <v>11239.038083005822</v>
      </c>
      <c r="M68" s="41">
        <f>L68+'Tilikauden tulos'!M68+'9. Tulorahkorjauserät'!M68</f>
        <v>9814.1387147601417</v>
      </c>
      <c r="N68" s="41">
        <f>M68+'Tilikauden tulos'!N68+'9. Tulorahkorjauserät'!N68</f>
        <v>8165.1194699485623</v>
      </c>
      <c r="O68" s="41">
        <f>N68+'Tilikauden tulos'!O68+'9. Tulorahkorjauserät'!O68</f>
        <v>6353.2353642371709</v>
      </c>
      <c r="P68" s="41">
        <f>O68+'Tilikauden tulos'!P68+'9. Tulorahkorjauserät'!P68</f>
        <v>4981.3452819510021</v>
      </c>
      <c r="T68" s="34">
        <v>176</v>
      </c>
      <c r="U68" s="88" t="s">
        <v>382</v>
      </c>
      <c r="V68" s="41">
        <f>C68/'1. Väestöennuste'!E68*1000</f>
        <v>2007.5486690504567</v>
      </c>
      <c r="W68" s="41">
        <f>D68/'1. Väestöennuste'!F68*1000</f>
        <v>2051.640340218712</v>
      </c>
      <c r="X68" s="41">
        <f>E68/'1. Väestöennuste'!G68*1000</f>
        <v>2111.0649782022006</v>
      </c>
      <c r="Y68" s="41">
        <f>F68/'1. Väestöennuste'!H68*1000</f>
        <v>2166.0649819494588</v>
      </c>
      <c r="Z68" s="41">
        <f>G68/'1. Väestöennuste'!I68*1000</f>
        <v>2228.1806339557097</v>
      </c>
      <c r="AA68" s="41">
        <f>H68/'1. Väestöennuste'!J68*1000</f>
        <v>2420.3666887563504</v>
      </c>
      <c r="AB68" s="41">
        <f>I68/'1. Väestöennuste'!K68*1000</f>
        <v>2621.649900990099</v>
      </c>
      <c r="AC68" s="41">
        <f>J68/'1. Väestöennuste'!L68*1000</f>
        <v>2598.44774402537</v>
      </c>
      <c r="AD68" s="41">
        <f>K68/'1. Väestöennuste'!M68*1000</f>
        <v>2867.9163358793371</v>
      </c>
      <c r="AE68" s="41">
        <f>L68/'1. Väestöennuste'!N68*1000</f>
        <v>2695.8594586245677</v>
      </c>
      <c r="AF68" s="41">
        <f>M68/'1. Väestöennuste'!O68*1000</f>
        <v>2401.8939585805533</v>
      </c>
      <c r="AG68" s="41">
        <f>N68/'1. Väestöennuste'!P68*1000</f>
        <v>2038.7314531706772</v>
      </c>
      <c r="AH68" s="41">
        <f>O68/'1. Väestöennuste'!Q68*1000</f>
        <v>1614.9556086012126</v>
      </c>
      <c r="AI68" s="41">
        <f>P68/'1. Väestöennuste'!R68*1000</f>
        <v>1288.8344843340237</v>
      </c>
      <c r="AK68" s="41">
        <f t="shared" si="5"/>
        <v>0</v>
      </c>
      <c r="AL68" s="41">
        <f t="shared" si="6"/>
        <v>0</v>
      </c>
      <c r="AM68" s="41">
        <f t="shared" si="7"/>
        <v>0</v>
      </c>
      <c r="AN68" s="41">
        <f t="shared" si="8"/>
        <v>0</v>
      </c>
      <c r="AO68" s="41">
        <f t="shared" si="9"/>
        <v>0</v>
      </c>
      <c r="AP68" s="41">
        <f t="shared" si="10"/>
        <v>0</v>
      </c>
      <c r="AQ68" s="41">
        <f t="shared" si="11"/>
        <v>0</v>
      </c>
      <c r="AR68" s="41">
        <f t="shared" si="12"/>
        <v>0</v>
      </c>
      <c r="AS68" s="41">
        <f t="shared" si="13"/>
        <v>0</v>
      </c>
      <c r="AT68" s="41">
        <f t="shared" si="14"/>
        <v>0</v>
      </c>
      <c r="AU68" s="41">
        <f t="shared" si="15"/>
        <v>0</v>
      </c>
      <c r="AV68" s="41">
        <f t="shared" si="16"/>
        <v>0</v>
      </c>
      <c r="AW68" s="41">
        <f t="shared" si="16"/>
        <v>0</v>
      </c>
      <c r="AX68" s="41">
        <f t="shared" si="16"/>
        <v>0</v>
      </c>
    </row>
    <row r="69" spans="1:50" ht="11.25" x14ac:dyDescent="0.2">
      <c r="A69" s="34">
        <v>177</v>
      </c>
      <c r="B69" s="88" t="s">
        <v>383</v>
      </c>
      <c r="C69" s="65">
        <v>1676</v>
      </c>
      <c r="D69" s="65">
        <v>1770</v>
      </c>
      <c r="E69" s="65">
        <v>2276</v>
      </c>
      <c r="F69" s="65">
        <v>2128</v>
      </c>
      <c r="G69" s="41">
        <v>2419</v>
      </c>
      <c r="H69" s="41">
        <v>2651</v>
      </c>
      <c r="I69" s="41">
        <v>3049.0442499999999</v>
      </c>
      <c r="J69" s="41">
        <f>I69+'Tilikauden tulos'!J69+'9. Tulorahkorjauserät'!J69</f>
        <v>3677.1417760836512</v>
      </c>
      <c r="K69" s="41">
        <f>J69+'Tilikauden tulos'!K69+'9. Tulorahkorjauserät'!K69</f>
        <v>3736.643713360595</v>
      </c>
      <c r="L69" s="41">
        <f>K69+'Tilikauden tulos'!L69+'9. Tulorahkorjauserät'!L69</f>
        <v>4158.1372156326952</v>
      </c>
      <c r="M69" s="41">
        <f>L69+'Tilikauden tulos'!M69+'9. Tulorahkorjauserät'!M69</f>
        <v>4406.2104543223959</v>
      </c>
      <c r="N69" s="41">
        <f>M69+'Tilikauden tulos'!N69+'9. Tulorahkorjauserät'!N69</f>
        <v>4082.916606096032</v>
      </c>
      <c r="O69" s="41">
        <f>N69+'Tilikauden tulos'!O69+'9. Tulorahkorjauserät'!O69</f>
        <v>3733.2177296797613</v>
      </c>
      <c r="P69" s="41">
        <f>O69+'Tilikauden tulos'!P69+'9. Tulorahkorjauserät'!P69</f>
        <v>3391.6505798789813</v>
      </c>
      <c r="T69" s="34">
        <v>177</v>
      </c>
      <c r="U69" s="88" t="s">
        <v>383</v>
      </c>
      <c r="V69" s="41">
        <f>C69/'1. Väestöennuste'!E69*1000</f>
        <v>843.05835010060355</v>
      </c>
      <c r="W69" s="41">
        <f>D69/'1. Väestöennuste'!F69*1000</f>
        <v>904.44557996934088</v>
      </c>
      <c r="X69" s="41">
        <f>E69/'1. Väestöennuste'!G69*1000</f>
        <v>1195.3781512605042</v>
      </c>
      <c r="Y69" s="41">
        <f>F69/'1. Väestöennuste'!H69*1000</f>
        <v>1129.5116772823778</v>
      </c>
      <c r="Z69" s="41">
        <f>G69/'1. Väestöennuste'!I69*1000</f>
        <v>1311.822125813449</v>
      </c>
      <c r="AA69" s="41">
        <f>H69/'1. Väestöennuste'!J69*1000</f>
        <v>1472.7777777777778</v>
      </c>
      <c r="AB69" s="41">
        <f>I69/'1. Väestöennuste'!K69*1000</f>
        <v>1707.1916293393058</v>
      </c>
      <c r="AC69" s="41">
        <f>J69/'1. Väestöennuste'!L69*1000</f>
        <v>2079.8313213142824</v>
      </c>
      <c r="AD69" s="41">
        <f>K69/'1. Väestöennuste'!M69*1000</f>
        <v>2187.7305113352431</v>
      </c>
      <c r="AE69" s="41">
        <f>L69/'1. Väestöennuste'!N69*1000</f>
        <v>2483.9529364591967</v>
      </c>
      <c r="AF69" s="41">
        <f>M69/'1. Väestöennuste'!O69*1000</f>
        <v>2675.2947506511209</v>
      </c>
      <c r="AG69" s="41">
        <f>N69/'1. Väestöennuste'!P69*1000</f>
        <v>2517.211224473509</v>
      </c>
      <c r="AH69" s="41">
        <f>O69/'1. Väestöennuste'!Q69*1000</f>
        <v>2333.2610810498504</v>
      </c>
      <c r="AI69" s="41">
        <f>P69/'1. Väestöennuste'!R69*1000</f>
        <v>2149.3349682376306</v>
      </c>
      <c r="AK69" s="41">
        <f t="shared" si="5"/>
        <v>0</v>
      </c>
      <c r="AL69" s="41">
        <f t="shared" si="6"/>
        <v>0</v>
      </c>
      <c r="AM69" s="41">
        <f t="shared" si="7"/>
        <v>0</v>
      </c>
      <c r="AN69" s="41">
        <f t="shared" si="8"/>
        <v>0</v>
      </c>
      <c r="AO69" s="41">
        <f t="shared" si="9"/>
        <v>0</v>
      </c>
      <c r="AP69" s="41">
        <f t="shared" si="10"/>
        <v>0</v>
      </c>
      <c r="AQ69" s="41">
        <f t="shared" si="11"/>
        <v>0</v>
      </c>
      <c r="AR69" s="41">
        <f t="shared" si="12"/>
        <v>0</v>
      </c>
      <c r="AS69" s="41">
        <f t="shared" si="13"/>
        <v>0</v>
      </c>
      <c r="AT69" s="41">
        <f t="shared" si="14"/>
        <v>0</v>
      </c>
      <c r="AU69" s="41">
        <f t="shared" si="15"/>
        <v>0</v>
      </c>
      <c r="AV69" s="41">
        <f t="shared" si="16"/>
        <v>0</v>
      </c>
      <c r="AW69" s="41">
        <f t="shared" si="16"/>
        <v>0</v>
      </c>
      <c r="AX69" s="41">
        <f t="shared" si="16"/>
        <v>0</v>
      </c>
    </row>
    <row r="70" spans="1:50" ht="11.25" x14ac:dyDescent="0.2">
      <c r="A70" s="34">
        <v>178</v>
      </c>
      <c r="B70" s="88" t="s">
        <v>384</v>
      </c>
      <c r="C70" s="65">
        <v>3629</v>
      </c>
      <c r="D70" s="65">
        <v>4953</v>
      </c>
      <c r="E70" s="65">
        <v>5233</v>
      </c>
      <c r="F70" s="65">
        <v>5080</v>
      </c>
      <c r="G70" s="41">
        <v>4330</v>
      </c>
      <c r="H70" s="41">
        <v>5081</v>
      </c>
      <c r="I70" s="41">
        <v>6507.0123200000007</v>
      </c>
      <c r="J70" s="41">
        <f>I70+'Tilikauden tulos'!J70+'9. Tulorahkorjauserät'!J70</f>
        <v>5630.7608343945121</v>
      </c>
      <c r="K70" s="41">
        <f>J70+'Tilikauden tulos'!K70+'9. Tulorahkorjauserät'!K70</f>
        <v>4402.3842001948906</v>
      </c>
      <c r="L70" s="41">
        <f>K70+'Tilikauden tulos'!L70+'9. Tulorahkorjauserät'!L70</f>
        <v>3624.7953511213668</v>
      </c>
      <c r="M70" s="41">
        <f>L70+'Tilikauden tulos'!M70+'9. Tulorahkorjauserät'!M70</f>
        <v>2119.7851021390752</v>
      </c>
      <c r="N70" s="41">
        <f>M70+'Tilikauden tulos'!N70+'9. Tulorahkorjauserät'!N70</f>
        <v>565.25641667264313</v>
      </c>
      <c r="O70" s="41">
        <f>N70+'Tilikauden tulos'!O70+'9. Tulorahkorjauserät'!O70</f>
        <v>-1125.5524356374438</v>
      </c>
      <c r="P70" s="41">
        <f>O70+'Tilikauden tulos'!P70+'9. Tulorahkorjauserät'!P70</f>
        <v>-1719.7925932549654</v>
      </c>
      <c r="T70" s="34">
        <v>178</v>
      </c>
      <c r="U70" s="88" t="s">
        <v>384</v>
      </c>
      <c r="V70" s="41">
        <f>C70/'1. Väestöennuste'!E70*1000</f>
        <v>554.2150274893097</v>
      </c>
      <c r="W70" s="41">
        <f>D70/'1. Väestöennuste'!F70*1000</f>
        <v>771.37517520635413</v>
      </c>
      <c r="X70" s="41">
        <f>E70/'1. Väestöennuste'!G70*1000</f>
        <v>826.17619197979161</v>
      </c>
      <c r="Y70" s="41">
        <f>F70/'1. Väestöennuste'!H70*1000</f>
        <v>816.06425702811248</v>
      </c>
      <c r="Z70" s="41">
        <f>G70/'1. Väestöennuste'!I70*1000</f>
        <v>707.97907128842382</v>
      </c>
      <c r="AA70" s="41">
        <f>H70/'1. Väestöennuste'!J70*1000</f>
        <v>856.54079568442341</v>
      </c>
      <c r="AB70" s="41">
        <f>I70/'1. Väestöennuste'!K70*1000</f>
        <v>1105.318892474945</v>
      </c>
      <c r="AC70" s="41">
        <f>J70/'1. Väestöennuste'!L70*1000</f>
        <v>976.03758613182731</v>
      </c>
      <c r="AD70" s="41">
        <f>K70/'1. Väestöennuste'!M70*1000</f>
        <v>767.76843393702313</v>
      </c>
      <c r="AE70" s="41">
        <f>L70/'1. Väestöennuste'!N70*1000</f>
        <v>656.4279882508813</v>
      </c>
      <c r="AF70" s="41">
        <f>M70/'1. Väestöennuste'!O70*1000</f>
        <v>390.16843403995495</v>
      </c>
      <c r="AG70" s="41">
        <f>N70/'1. Väestöennuste'!P70*1000</f>
        <v>105.71468424773576</v>
      </c>
      <c r="AH70" s="41">
        <f>O70/'1. Väestöennuste'!Q70*1000</f>
        <v>-213.61784696098763</v>
      </c>
      <c r="AI70" s="41">
        <f>P70/'1. Väestöennuste'!R70*1000</f>
        <v>-331.17515756883597</v>
      </c>
      <c r="AK70" s="41">
        <f t="shared" si="5"/>
        <v>0</v>
      </c>
      <c r="AL70" s="41">
        <f t="shared" si="6"/>
        <v>0</v>
      </c>
      <c r="AM70" s="41">
        <f t="shared" si="7"/>
        <v>0</v>
      </c>
      <c r="AN70" s="41">
        <f t="shared" si="8"/>
        <v>0</v>
      </c>
      <c r="AO70" s="41">
        <f t="shared" si="9"/>
        <v>0</v>
      </c>
      <c r="AP70" s="41">
        <f t="shared" si="10"/>
        <v>0</v>
      </c>
      <c r="AQ70" s="41">
        <f t="shared" si="11"/>
        <v>0</v>
      </c>
      <c r="AR70" s="41">
        <f t="shared" si="12"/>
        <v>0</v>
      </c>
      <c r="AS70" s="41">
        <f t="shared" si="13"/>
        <v>0</v>
      </c>
      <c r="AT70" s="41">
        <f t="shared" si="14"/>
        <v>0</v>
      </c>
      <c r="AU70" s="41">
        <f t="shared" si="15"/>
        <v>0</v>
      </c>
      <c r="AV70" s="41">
        <f t="shared" si="16"/>
        <v>0</v>
      </c>
      <c r="AW70" s="41">
        <f t="shared" si="16"/>
        <v>-1</v>
      </c>
      <c r="AX70" s="41">
        <f t="shared" si="16"/>
        <v>-1</v>
      </c>
    </row>
    <row r="71" spans="1:50" ht="11.25" x14ac:dyDescent="0.2">
      <c r="A71" s="34">
        <v>179</v>
      </c>
      <c r="B71" s="88" t="s">
        <v>385</v>
      </c>
      <c r="C71" s="65">
        <v>32044</v>
      </c>
      <c r="D71" s="65">
        <v>36801</v>
      </c>
      <c r="E71" s="65">
        <v>50647</v>
      </c>
      <c r="F71" s="65">
        <v>51010</v>
      </c>
      <c r="G71" s="41">
        <v>19856</v>
      </c>
      <c r="H71" s="41">
        <v>36040</v>
      </c>
      <c r="I71" s="41">
        <v>97816.143509999994</v>
      </c>
      <c r="J71" s="41">
        <f>I71+'Tilikauden tulos'!J71+'9. Tulorahkorjauserät'!J71</f>
        <v>-33964.156157859557</v>
      </c>
      <c r="K71" s="41">
        <f>J71+'Tilikauden tulos'!K71+'9. Tulorahkorjauserät'!K71</f>
        <v>-25417.321499772563</v>
      </c>
      <c r="L71" s="41">
        <f>K71+'Tilikauden tulos'!L71+'9. Tulorahkorjauserät'!L71</f>
        <v>-31706.547865677592</v>
      </c>
      <c r="M71" s="41">
        <f>L71+'Tilikauden tulos'!M71+'9. Tulorahkorjauserät'!M71</f>
        <v>-81451.715109440891</v>
      </c>
      <c r="N71" s="41">
        <f>M71+'Tilikauden tulos'!N71+'9. Tulorahkorjauserät'!N71</f>
        <v>-125627.5378870119</v>
      </c>
      <c r="O71" s="41">
        <f>N71+'Tilikauden tulos'!O71+'9. Tulorahkorjauserät'!O71</f>
        <v>-171715.02918959095</v>
      </c>
      <c r="P71" s="41">
        <f>O71+'Tilikauden tulos'!P71+'9. Tulorahkorjauserät'!P71</f>
        <v>-211651.71654004333</v>
      </c>
      <c r="T71" s="34">
        <v>179</v>
      </c>
      <c r="U71" s="88" t="s">
        <v>385</v>
      </c>
      <c r="V71" s="41">
        <f>C71/'1. Väestöennuste'!E71*1000</f>
        <v>233.27121309184091</v>
      </c>
      <c r="W71" s="41">
        <f>D71/'1. Väestöennuste'!F71*1000</f>
        <v>265.0414115952467</v>
      </c>
      <c r="X71" s="41">
        <f>E71/'1. Väestöennuste'!G71*1000</f>
        <v>361.27913944132166</v>
      </c>
      <c r="Y71" s="41">
        <f>F71/'1. Väestöennuste'!H71*1000</f>
        <v>360.99218003609212</v>
      </c>
      <c r="Z71" s="41">
        <f>G71/'1. Väestöennuste'!I71*1000</f>
        <v>139.43820224719101</v>
      </c>
      <c r="AA71" s="41">
        <f>H71/'1. Väestöennuste'!J71*1000</f>
        <v>251.28991772416674</v>
      </c>
      <c r="AB71" s="41">
        <f>I71/'1. Väestöennuste'!K71*1000</f>
        <v>677.05483730524043</v>
      </c>
      <c r="AC71" s="41">
        <f>J71/'1. Väestöennuste'!L71*1000</f>
        <v>-232.81139620294857</v>
      </c>
      <c r="AD71" s="41">
        <f>K71/'1. Väestöennuste'!M71*1000</f>
        <v>-172.03390616174084</v>
      </c>
      <c r="AE71" s="41">
        <f>L71/'1. Väestöennuste'!N71*1000</f>
        <v>-214.86204819287232</v>
      </c>
      <c r="AF71" s="41">
        <f>M71/'1. Väestöennuste'!O71*1000</f>
        <v>-548.85490933094945</v>
      </c>
      <c r="AG71" s="41">
        <f>N71/'1. Väestöennuste'!P71*1000</f>
        <v>-842.14873730190652</v>
      </c>
      <c r="AH71" s="41">
        <f>O71/'1. Väestöennuste'!Q71*1000</f>
        <v>-1145.5611169717065</v>
      </c>
      <c r="AI71" s="41">
        <f>P71/'1. Väestöennuste'!R71*1000</f>
        <v>-1405.6979055174329</v>
      </c>
      <c r="AK71" s="41">
        <f t="shared" si="5"/>
        <v>0</v>
      </c>
      <c r="AL71" s="41">
        <f t="shared" si="6"/>
        <v>0</v>
      </c>
      <c r="AM71" s="41">
        <f t="shared" si="7"/>
        <v>0</v>
      </c>
      <c r="AN71" s="41">
        <f t="shared" si="8"/>
        <v>0</v>
      </c>
      <c r="AO71" s="41">
        <f t="shared" si="9"/>
        <v>0</v>
      </c>
      <c r="AP71" s="41">
        <f t="shared" si="10"/>
        <v>0</v>
      </c>
      <c r="AQ71" s="41">
        <f t="shared" si="11"/>
        <v>0</v>
      </c>
      <c r="AR71" s="41">
        <f t="shared" si="12"/>
        <v>-1</v>
      </c>
      <c r="AS71" s="41">
        <f t="shared" si="13"/>
        <v>-1</v>
      </c>
      <c r="AT71" s="41">
        <f t="shared" si="14"/>
        <v>-1</v>
      </c>
      <c r="AU71" s="41">
        <f t="shared" si="15"/>
        <v>-1</v>
      </c>
      <c r="AV71" s="41">
        <f t="shared" si="16"/>
        <v>-1</v>
      </c>
      <c r="AW71" s="41">
        <f t="shared" si="16"/>
        <v>-1</v>
      </c>
      <c r="AX71" s="41">
        <f t="shared" si="16"/>
        <v>-1</v>
      </c>
    </row>
    <row r="72" spans="1:50" ht="11.25" x14ac:dyDescent="0.2">
      <c r="A72" s="34">
        <v>181</v>
      </c>
      <c r="B72" s="88" t="s">
        <v>386</v>
      </c>
      <c r="C72" s="65">
        <v>-1088</v>
      </c>
      <c r="D72" s="65">
        <v>-1887</v>
      </c>
      <c r="E72" s="65">
        <v>-1941</v>
      </c>
      <c r="F72" s="65">
        <v>-1125</v>
      </c>
      <c r="G72" s="41">
        <v>-838</v>
      </c>
      <c r="H72" s="41">
        <v>181</v>
      </c>
      <c r="I72" s="41">
        <v>658.15991000000008</v>
      </c>
      <c r="J72" s="41">
        <f>I72+'Tilikauden tulos'!J72+'9. Tulorahkorjauserät'!J72</f>
        <v>554.61820938372944</v>
      </c>
      <c r="K72" s="41">
        <f>J72+'Tilikauden tulos'!K72+'9. Tulorahkorjauserät'!K72</f>
        <v>989.07307888947753</v>
      </c>
      <c r="L72" s="41">
        <f>K72+'Tilikauden tulos'!L72+'9. Tulorahkorjauserät'!L72</f>
        <v>653.31150853683914</v>
      </c>
      <c r="M72" s="41">
        <f>L72+'Tilikauden tulos'!M72+'9. Tulorahkorjauserät'!M72</f>
        <v>788.1956661847064</v>
      </c>
      <c r="N72" s="41">
        <f>M72+'Tilikauden tulos'!N72+'9. Tulorahkorjauserät'!N72</f>
        <v>1092.6642762492606</v>
      </c>
      <c r="O72" s="41">
        <f>N72+'Tilikauden tulos'!O72+'9. Tulorahkorjauserät'!O72</f>
        <v>1321.4762823781534</v>
      </c>
      <c r="P72" s="41">
        <f>O72+'Tilikauden tulos'!P72+'9. Tulorahkorjauserät'!P72</f>
        <v>1699.0731486828599</v>
      </c>
      <c r="T72" s="34">
        <v>181</v>
      </c>
      <c r="U72" s="88" t="s">
        <v>386</v>
      </c>
      <c r="V72" s="41">
        <f>C72/'1. Väestöennuste'!E72*1000</f>
        <v>-558.52156057494858</v>
      </c>
      <c r="W72" s="41">
        <f>D72/'1. Väestöennuste'!F72*1000</f>
        <v>-985.3785900783289</v>
      </c>
      <c r="X72" s="41">
        <f>E72/'1. Väestöennuste'!G72*1000</f>
        <v>-1039.6357793251204</v>
      </c>
      <c r="Y72" s="41">
        <f>F72/'1. Väestöennuste'!H72*1000</f>
        <v>-621.89054726368158</v>
      </c>
      <c r="Z72" s="41">
        <f>G72/'1. Väestöennuste'!I72*1000</f>
        <v>-481.88614146060957</v>
      </c>
      <c r="AA72" s="41">
        <f>H72/'1. Väestöennuste'!J72*1000</f>
        <v>106.03397773872291</v>
      </c>
      <c r="AB72" s="41">
        <f>I72/'1. Väestöennuste'!K72*1000</f>
        <v>390.59935311572707</v>
      </c>
      <c r="AC72" s="41">
        <f>J72/'1. Väestöennuste'!L72*1000</f>
        <v>329.54141971701097</v>
      </c>
      <c r="AD72" s="41">
        <f>K72/'1. Väestöennuste'!M72*1000</f>
        <v>588.03393513048604</v>
      </c>
      <c r="AE72" s="41">
        <f>L72/'1. Väestöennuste'!N72*1000</f>
        <v>417.71835584196873</v>
      </c>
      <c r="AF72" s="41">
        <f>M72/'1. Väestöennuste'!O72*1000</f>
        <v>513.4825186871052</v>
      </c>
      <c r="AG72" s="41">
        <f>N72/'1. Väestöennuste'!P72*1000</f>
        <v>725.05924104131429</v>
      </c>
      <c r="AH72" s="41">
        <f>O72/'1. Väestöennuste'!Q72*1000</f>
        <v>894.09762001228239</v>
      </c>
      <c r="AI72" s="41">
        <f>P72/'1. Väestöennuste'!R72*1000</f>
        <v>1169.3552296509704</v>
      </c>
      <c r="AK72" s="41">
        <f t="shared" si="5"/>
        <v>-1</v>
      </c>
      <c r="AL72" s="41">
        <f t="shared" si="6"/>
        <v>-1</v>
      </c>
      <c r="AM72" s="41">
        <f t="shared" si="7"/>
        <v>-1</v>
      </c>
      <c r="AN72" s="41">
        <f t="shared" si="8"/>
        <v>-1</v>
      </c>
      <c r="AO72" s="41">
        <f t="shared" si="9"/>
        <v>-1</v>
      </c>
      <c r="AP72" s="41">
        <f t="shared" si="10"/>
        <v>0</v>
      </c>
      <c r="AQ72" s="41">
        <f t="shared" si="11"/>
        <v>0</v>
      </c>
      <c r="AR72" s="41">
        <f t="shared" si="12"/>
        <v>0</v>
      </c>
      <c r="AS72" s="41">
        <f t="shared" si="13"/>
        <v>0</v>
      </c>
      <c r="AT72" s="41">
        <f t="shared" si="14"/>
        <v>0</v>
      </c>
      <c r="AU72" s="41">
        <f t="shared" si="15"/>
        <v>0</v>
      </c>
      <c r="AV72" s="41">
        <f t="shared" si="16"/>
        <v>0</v>
      </c>
      <c r="AW72" s="41">
        <f t="shared" si="16"/>
        <v>0</v>
      </c>
      <c r="AX72" s="41">
        <f t="shared" si="16"/>
        <v>0</v>
      </c>
    </row>
    <row r="73" spans="1:50" ht="11.25" x14ac:dyDescent="0.2">
      <c r="A73" s="34">
        <v>182</v>
      </c>
      <c r="B73" s="88" t="s">
        <v>387</v>
      </c>
      <c r="C73" s="65">
        <v>4944</v>
      </c>
      <c r="D73" s="65">
        <v>3532</v>
      </c>
      <c r="E73" s="65">
        <v>252</v>
      </c>
      <c r="F73" s="65">
        <v>1766</v>
      </c>
      <c r="G73" s="41">
        <v>-602</v>
      </c>
      <c r="H73" s="41">
        <v>3613</v>
      </c>
      <c r="I73" s="41">
        <v>4012.9128100000003</v>
      </c>
      <c r="J73" s="41">
        <f>I73+'Tilikauden tulos'!J73+'9. Tulorahkorjauserät'!J73</f>
        <v>-4485.5083020158318</v>
      </c>
      <c r="K73" s="41">
        <f>J73+'Tilikauden tulos'!K73+'9. Tulorahkorjauserät'!K73</f>
        <v>-5263.2963271453109</v>
      </c>
      <c r="L73" s="41">
        <f>K73+'Tilikauden tulos'!L73+'9. Tulorahkorjauserät'!L73</f>
        <v>-5664.0191642549153</v>
      </c>
      <c r="M73" s="41">
        <f>L73+'Tilikauden tulos'!M73+'9. Tulorahkorjauserät'!M73</f>
        <v>-7368.8289318072566</v>
      </c>
      <c r="N73" s="41">
        <f>M73+'Tilikauden tulos'!N73+'9. Tulorahkorjauserät'!N73</f>
        <v>-7921.1755599128101</v>
      </c>
      <c r="O73" s="41">
        <f>N73+'Tilikauden tulos'!O73+'9. Tulorahkorjauserät'!O73</f>
        <v>-7947.0654530800548</v>
      </c>
      <c r="P73" s="41">
        <f>O73+'Tilikauden tulos'!P73+'9. Tulorahkorjauserät'!P73</f>
        <v>-5225.3439698591737</v>
      </c>
      <c r="T73" s="34">
        <v>182</v>
      </c>
      <c r="U73" s="88" t="s">
        <v>387</v>
      </c>
      <c r="V73" s="41">
        <f>C73/'1. Väestöennuste'!E73*1000</f>
        <v>229.50515272490949</v>
      </c>
      <c r="W73" s="41">
        <f>D73/'1. Väestöennuste'!F73*1000</f>
        <v>166.14139893692084</v>
      </c>
      <c r="X73" s="41">
        <f>E73/'1. Väestöennuste'!G73*1000</f>
        <v>12.070699813191551</v>
      </c>
      <c r="Y73" s="41">
        <f>F73/'1. Väestöennuste'!H73*1000</f>
        <v>85.699034308730049</v>
      </c>
      <c r="Z73" s="41">
        <f>G73/'1. Väestöennuste'!I73*1000</f>
        <v>-29.828560103062134</v>
      </c>
      <c r="AA73" s="41">
        <f>H73/'1. Väestöennuste'!J73*1000</f>
        <v>181.67647206717956</v>
      </c>
      <c r="AB73" s="41">
        <f>I73/'1. Väestöennuste'!K73*1000</f>
        <v>203.01071533363688</v>
      </c>
      <c r="AC73" s="41">
        <f>J73/'1. Väestöennuste'!L73*1000</f>
        <v>-231.84515956043995</v>
      </c>
      <c r="AD73" s="41">
        <f>K73/'1. Väestöennuste'!M73*1000</f>
        <v>-274.3872550904656</v>
      </c>
      <c r="AE73" s="41">
        <f>L73/'1. Väestöennuste'!N73*1000</f>
        <v>-304.0920844118391</v>
      </c>
      <c r="AF73" s="41">
        <f>M73/'1. Väestöennuste'!O73*1000</f>
        <v>-401.30862279747612</v>
      </c>
      <c r="AG73" s="41">
        <f>N73/'1. Väestöennuste'!P73*1000</f>
        <v>-437.53731550556842</v>
      </c>
      <c r="AH73" s="41">
        <f>O73/'1. Väestöennuste'!Q73*1000</f>
        <v>-444.98938647628955</v>
      </c>
      <c r="AI73" s="41">
        <f>P73/'1. Väestöennuste'!R73*1000</f>
        <v>-296.57437822005642</v>
      </c>
      <c r="AK73" s="41">
        <f t="shared" si="5"/>
        <v>0</v>
      </c>
      <c r="AL73" s="41">
        <f t="shared" si="6"/>
        <v>0</v>
      </c>
      <c r="AM73" s="41">
        <f t="shared" si="7"/>
        <v>0</v>
      </c>
      <c r="AN73" s="41">
        <f t="shared" si="8"/>
        <v>0</v>
      </c>
      <c r="AO73" s="41">
        <f t="shared" si="9"/>
        <v>-1</v>
      </c>
      <c r="AP73" s="41">
        <f t="shared" si="10"/>
        <v>0</v>
      </c>
      <c r="AQ73" s="41">
        <f t="shared" si="11"/>
        <v>0</v>
      </c>
      <c r="AR73" s="41">
        <f t="shared" si="12"/>
        <v>-1</v>
      </c>
      <c r="AS73" s="41">
        <f t="shared" si="13"/>
        <v>-1</v>
      </c>
      <c r="AT73" s="41">
        <f t="shared" si="14"/>
        <v>-1</v>
      </c>
      <c r="AU73" s="41">
        <f t="shared" si="15"/>
        <v>-1</v>
      </c>
      <c r="AV73" s="41">
        <f t="shared" si="16"/>
        <v>-1</v>
      </c>
      <c r="AW73" s="41">
        <f t="shared" si="16"/>
        <v>-1</v>
      </c>
      <c r="AX73" s="41">
        <f t="shared" si="16"/>
        <v>-1</v>
      </c>
    </row>
    <row r="74" spans="1:50" ht="11.25" x14ac:dyDescent="0.2">
      <c r="A74" s="34">
        <v>186</v>
      </c>
      <c r="B74" s="88" t="s">
        <v>388</v>
      </c>
      <c r="C74" s="65">
        <v>53494</v>
      </c>
      <c r="D74" s="65">
        <v>53702</v>
      </c>
      <c r="E74" s="65">
        <v>54009</v>
      </c>
      <c r="F74" s="65">
        <v>41920</v>
      </c>
      <c r="G74" s="41">
        <v>9677</v>
      </c>
      <c r="H74" s="41">
        <v>10747</v>
      </c>
      <c r="I74" s="41">
        <v>14230.20952</v>
      </c>
      <c r="J74" s="41">
        <f>I74+'Tilikauden tulos'!J74+'9. Tulorahkorjauserät'!J74</f>
        <v>561.5414404421881</v>
      </c>
      <c r="K74" s="41">
        <f>J74+'Tilikauden tulos'!K74+'9. Tulorahkorjauserät'!K74</f>
        <v>5855.1196411580795</v>
      </c>
      <c r="L74" s="41">
        <f>K74+'Tilikauden tulos'!L74+'9. Tulorahkorjauserät'!L74</f>
        <v>2378.3285138578767</v>
      </c>
      <c r="M74" s="41">
        <f>L74+'Tilikauden tulos'!M74+'9. Tulorahkorjauserät'!M74</f>
        <v>-14981.729809319211</v>
      </c>
      <c r="N74" s="41">
        <f>M74+'Tilikauden tulos'!N74+'9. Tulorahkorjauserät'!N74</f>
        <v>-33560.685185710405</v>
      </c>
      <c r="O74" s="41">
        <f>N74+'Tilikauden tulos'!O74+'9. Tulorahkorjauserät'!O74</f>
        <v>-52020.490782456007</v>
      </c>
      <c r="P74" s="41">
        <f>O74+'Tilikauden tulos'!P74+'9. Tulorahkorjauserät'!P74</f>
        <v>-68501.027230593652</v>
      </c>
      <c r="T74" s="34">
        <v>186</v>
      </c>
      <c r="U74" s="88" t="s">
        <v>388</v>
      </c>
      <c r="V74" s="41">
        <f>C74/'1. Väestöennuste'!E74*1000</f>
        <v>1307.9217603911982</v>
      </c>
      <c r="W74" s="41">
        <f>D74/'1. Väestöennuste'!F74*1000</f>
        <v>1293.120470032989</v>
      </c>
      <c r="X74" s="41">
        <f>E74/'1. Väestöennuste'!G74*1000</f>
        <v>1268.6507563656864</v>
      </c>
      <c r="Y74" s="41">
        <f>F74/'1. Väestöennuste'!H74*1000</f>
        <v>965.67611149504717</v>
      </c>
      <c r="Z74" s="41">
        <f>G74/'1. Väestöennuste'!I74*1000</f>
        <v>221.38592116400906</v>
      </c>
      <c r="AA74" s="41">
        <f>H74/'1. Väestöennuste'!J74*1000</f>
        <v>241.75008435496571</v>
      </c>
      <c r="AB74" s="41">
        <f>I74/'1. Väestöennuste'!K74*1000</f>
        <v>314.64665281033035</v>
      </c>
      <c r="AC74" s="41">
        <f>J74/'1. Väestöennuste'!L74*1000</f>
        <v>12.306408951176596</v>
      </c>
      <c r="AD74" s="41">
        <f>K74/'1. Väestöennuste'!M74*1000</f>
        <v>125.94363607567391</v>
      </c>
      <c r="AE74" s="41">
        <f>L74/'1. Väestöennuste'!N74*1000</f>
        <v>50.431054153050816</v>
      </c>
      <c r="AF74" s="41">
        <f>M74/'1. Väestöennuste'!O74*1000</f>
        <v>-313.65497350192004</v>
      </c>
      <c r="AG74" s="41">
        <f>N74/'1. Väestöennuste'!P74*1000</f>
        <v>-694.26324339491941</v>
      </c>
      <c r="AH74" s="41">
        <f>O74/'1. Väestöennuste'!Q74*1000</f>
        <v>-1063.9877849639206</v>
      </c>
      <c r="AI74" s="41">
        <f>P74/'1. Väestöennuste'!R74*1000</f>
        <v>-1386.2676008943549</v>
      </c>
      <c r="AK74" s="41">
        <f t="shared" si="5"/>
        <v>0</v>
      </c>
      <c r="AL74" s="41">
        <f t="shared" si="6"/>
        <v>0</v>
      </c>
      <c r="AM74" s="41">
        <f t="shared" si="7"/>
        <v>0</v>
      </c>
      <c r="AN74" s="41">
        <f t="shared" si="8"/>
        <v>0</v>
      </c>
      <c r="AO74" s="41">
        <f t="shared" si="9"/>
        <v>0</v>
      </c>
      <c r="AP74" s="41">
        <f t="shared" si="10"/>
        <v>0</v>
      </c>
      <c r="AQ74" s="41">
        <f t="shared" si="11"/>
        <v>0</v>
      </c>
      <c r="AR74" s="41">
        <f t="shared" si="12"/>
        <v>0</v>
      </c>
      <c r="AS74" s="41">
        <f t="shared" si="13"/>
        <v>0</v>
      </c>
      <c r="AT74" s="41">
        <f t="shared" si="14"/>
        <v>0</v>
      </c>
      <c r="AU74" s="41">
        <f t="shared" si="15"/>
        <v>-1</v>
      </c>
      <c r="AV74" s="41">
        <f t="shared" si="16"/>
        <v>-1</v>
      </c>
      <c r="AW74" s="41">
        <f t="shared" si="16"/>
        <v>-1</v>
      </c>
      <c r="AX74" s="41">
        <f t="shared" si="16"/>
        <v>-1</v>
      </c>
    </row>
    <row r="75" spans="1:50" ht="11.25" x14ac:dyDescent="0.2">
      <c r="A75" s="34">
        <v>202</v>
      </c>
      <c r="B75" s="88" t="s">
        <v>389</v>
      </c>
      <c r="C75" s="65">
        <v>22610</v>
      </c>
      <c r="D75" s="65">
        <v>27209</v>
      </c>
      <c r="E75" s="65">
        <v>31238</v>
      </c>
      <c r="F75" s="65">
        <v>27350</v>
      </c>
      <c r="G75" s="41">
        <v>17620</v>
      </c>
      <c r="H75" s="41">
        <v>26167</v>
      </c>
      <c r="I75" s="41">
        <v>34563.388049999994</v>
      </c>
      <c r="J75" s="41">
        <f>I75+'Tilikauden tulos'!J75+'9. Tulorahkorjauserät'!J75</f>
        <v>42123.131658266277</v>
      </c>
      <c r="K75" s="41">
        <f>J75+'Tilikauden tulos'!K75+'9. Tulorahkorjauserät'!K75</f>
        <v>51872.079244336972</v>
      </c>
      <c r="L75" s="41">
        <f>K75+'Tilikauden tulos'!L75+'9. Tulorahkorjauserät'!L75</f>
        <v>52501.143772996424</v>
      </c>
      <c r="M75" s="41">
        <f>L75+'Tilikauden tulos'!M75+'9. Tulorahkorjauserät'!M75</f>
        <v>48671.091823149065</v>
      </c>
      <c r="N75" s="41">
        <f>M75+'Tilikauden tulos'!N75+'9. Tulorahkorjauserät'!N75</f>
        <v>43008.725468880381</v>
      </c>
      <c r="O75" s="41">
        <f>N75+'Tilikauden tulos'!O75+'9. Tulorahkorjauserät'!O75</f>
        <v>36077.339754806962</v>
      </c>
      <c r="P75" s="41">
        <f>O75+'Tilikauden tulos'!P75+'9. Tulorahkorjauserät'!P75</f>
        <v>28890.644170495962</v>
      </c>
      <c r="T75" s="34">
        <v>202</v>
      </c>
      <c r="U75" s="88" t="s">
        <v>389</v>
      </c>
      <c r="V75" s="41">
        <f>C75/'1. Väestöennuste'!E75*1000</f>
        <v>693.77109542804533</v>
      </c>
      <c r="W75" s="41">
        <f>D75/'1. Väestöennuste'!F75*1000</f>
        <v>831.11369051255429</v>
      </c>
      <c r="X75" s="41">
        <f>E75/'1. Väestöennuste'!G75*1000</f>
        <v>943.77473639687003</v>
      </c>
      <c r="Y75" s="41">
        <f>F75/'1. Väestöennuste'!H75*1000</f>
        <v>817.44276406240658</v>
      </c>
      <c r="Z75" s="41">
        <f>G75/'1. Väestöennuste'!I75*1000</f>
        <v>519.19733624068135</v>
      </c>
      <c r="AA75" s="41">
        <f>H75/'1. Väestöennuste'!J75*1000</f>
        <v>754.81004990336635</v>
      </c>
      <c r="AB75" s="41">
        <f>I75/'1. Väestöennuste'!K75*1000</f>
        <v>973.6988491985237</v>
      </c>
      <c r="AC75" s="41">
        <f>J75/'1. Väestöennuste'!L75*1000</f>
        <v>1175.0483055753816</v>
      </c>
      <c r="AD75" s="41">
        <f>K75/'1. Väestöennuste'!M75*1000</f>
        <v>1427.4492761038271</v>
      </c>
      <c r="AE75" s="41">
        <f>L75/'1. Väestöennuste'!N75*1000</f>
        <v>1436.7735905693994</v>
      </c>
      <c r="AF75" s="41">
        <f>M75/'1. Väestöennuste'!O75*1000</f>
        <v>1317.2862353347696</v>
      </c>
      <c r="AG75" s="41">
        <f>N75/'1. Väestöennuste'!P75*1000</f>
        <v>1151.9680050590703</v>
      </c>
      <c r="AH75" s="41">
        <f>O75/'1. Väestöennuste'!Q75*1000</f>
        <v>956.93323134152843</v>
      </c>
      <c r="AI75" s="41">
        <f>P75/'1. Väestöennuste'!R75*1000</f>
        <v>759.36088341733591</v>
      </c>
      <c r="AK75" s="41">
        <f t="shared" si="5"/>
        <v>0</v>
      </c>
      <c r="AL75" s="41">
        <f t="shared" si="6"/>
        <v>0</v>
      </c>
      <c r="AM75" s="41">
        <f t="shared" si="7"/>
        <v>0</v>
      </c>
      <c r="AN75" s="41">
        <f t="shared" si="8"/>
        <v>0</v>
      </c>
      <c r="AO75" s="41">
        <f t="shared" si="9"/>
        <v>0</v>
      </c>
      <c r="AP75" s="41">
        <f t="shared" si="10"/>
        <v>0</v>
      </c>
      <c r="AQ75" s="41">
        <f t="shared" si="11"/>
        <v>0</v>
      </c>
      <c r="AR75" s="41">
        <f t="shared" si="12"/>
        <v>0</v>
      </c>
      <c r="AS75" s="41">
        <f t="shared" si="13"/>
        <v>0</v>
      </c>
      <c r="AT75" s="41">
        <f t="shared" si="14"/>
        <v>0</v>
      </c>
      <c r="AU75" s="41">
        <f t="shared" si="15"/>
        <v>0</v>
      </c>
      <c r="AV75" s="41">
        <f t="shared" si="16"/>
        <v>0</v>
      </c>
      <c r="AW75" s="41">
        <f t="shared" si="16"/>
        <v>0</v>
      </c>
      <c r="AX75" s="41">
        <f t="shared" si="16"/>
        <v>0</v>
      </c>
    </row>
    <row r="76" spans="1:50" ht="11.25" x14ac:dyDescent="0.2">
      <c r="A76" s="34">
        <v>204</v>
      </c>
      <c r="B76" s="88" t="s">
        <v>390</v>
      </c>
      <c r="C76" s="65">
        <v>478</v>
      </c>
      <c r="D76" s="65">
        <v>370</v>
      </c>
      <c r="E76" s="65">
        <v>-213</v>
      </c>
      <c r="F76" s="65">
        <v>-490</v>
      </c>
      <c r="G76" s="41">
        <v>-632</v>
      </c>
      <c r="H76" s="41">
        <v>672</v>
      </c>
      <c r="I76" s="41">
        <v>1082.91553</v>
      </c>
      <c r="J76" s="41">
        <f>I76+'Tilikauden tulos'!J76+'9. Tulorahkorjauserät'!J76</f>
        <v>917.51730473910391</v>
      </c>
      <c r="K76" s="41">
        <f>J76+'Tilikauden tulos'!K76+'9. Tulorahkorjauserät'!K76</f>
        <v>596.66551777288873</v>
      </c>
      <c r="L76" s="41">
        <f>K76+'Tilikauden tulos'!L76+'9. Tulorahkorjauserät'!L76</f>
        <v>-367.83552479012917</v>
      </c>
      <c r="M76" s="41">
        <f>L76+'Tilikauden tulos'!M76+'9. Tulorahkorjauserät'!M76</f>
        <v>-2832.7303325939561</v>
      </c>
      <c r="N76" s="41">
        <f>M76+'Tilikauden tulos'!N76+'9. Tulorahkorjauserät'!N76</f>
        <v>-4874.3668822462232</v>
      </c>
      <c r="O76" s="41">
        <f>N76+'Tilikauden tulos'!O76+'9. Tulorahkorjauserät'!O76</f>
        <v>-6835.4881860674323</v>
      </c>
      <c r="P76" s="41">
        <f>O76+'Tilikauden tulos'!P76+'9. Tulorahkorjauserät'!P76</f>
        <v>-8500.3747792392551</v>
      </c>
      <c r="T76" s="34">
        <v>204</v>
      </c>
      <c r="U76" s="88" t="s">
        <v>390</v>
      </c>
      <c r="V76" s="41">
        <f>C76/'1. Väestöennuste'!E76*1000</f>
        <v>149.65560425798373</v>
      </c>
      <c r="W76" s="41">
        <f>D76/'1. Väestöennuste'!F76*1000</f>
        <v>117.31135066582118</v>
      </c>
      <c r="X76" s="41">
        <f>E76/'1. Väestöennuste'!G76*1000</f>
        <v>-69.881889763779526</v>
      </c>
      <c r="Y76" s="41">
        <f>F76/'1. Väestöennuste'!H76*1000</f>
        <v>-163.87959866220737</v>
      </c>
      <c r="Z76" s="41">
        <f>G76/'1. Väestöennuste'!I76*1000</f>
        <v>-218.45834773591426</v>
      </c>
      <c r="AA76" s="41">
        <f>H76/'1. Väestöennuste'!J76*1000</f>
        <v>239.4014962593516</v>
      </c>
      <c r="AB76" s="41">
        <f>I76/'1. Väestöennuste'!K76*1000</f>
        <v>389.81840532757377</v>
      </c>
      <c r="AC76" s="41">
        <f>J76/'1. Väestöennuste'!L76*1000</f>
        <v>341.21134426891183</v>
      </c>
      <c r="AD76" s="41">
        <f>K76/'1. Väestöennuste'!M76*1000</f>
        <v>227.04167342956191</v>
      </c>
      <c r="AE76" s="41">
        <f>L76/'1. Väestöennuste'!N76*1000</f>
        <v>-142.95978421691768</v>
      </c>
      <c r="AF76" s="41">
        <f>M76/'1. Väestöennuste'!O76*1000</f>
        <v>-1120.0989848137431</v>
      </c>
      <c r="AG76" s="41">
        <f>N76/'1. Väestöennuste'!P76*1000</f>
        <v>-1958.3635525296197</v>
      </c>
      <c r="AH76" s="41">
        <f>O76/'1. Väestöennuste'!Q76*1000</f>
        <v>-2788.8568690605598</v>
      </c>
      <c r="AI76" s="41">
        <f>P76/'1. Väestöennuste'!R76*1000</f>
        <v>-3522.7413092578763</v>
      </c>
      <c r="AK76" s="41">
        <f t="shared" si="5"/>
        <v>0</v>
      </c>
      <c r="AL76" s="41">
        <f t="shared" si="6"/>
        <v>0</v>
      </c>
      <c r="AM76" s="41">
        <f t="shared" si="7"/>
        <v>-1</v>
      </c>
      <c r="AN76" s="41">
        <f t="shared" si="8"/>
        <v>-1</v>
      </c>
      <c r="AO76" s="41">
        <f t="shared" si="9"/>
        <v>-1</v>
      </c>
      <c r="AP76" s="41">
        <f t="shared" si="10"/>
        <v>0</v>
      </c>
      <c r="AQ76" s="41">
        <f t="shared" si="11"/>
        <v>0</v>
      </c>
      <c r="AR76" s="41">
        <f t="shared" si="12"/>
        <v>0</v>
      </c>
      <c r="AS76" s="41">
        <f t="shared" si="13"/>
        <v>0</v>
      </c>
      <c r="AT76" s="41">
        <f t="shared" si="14"/>
        <v>-1</v>
      </c>
      <c r="AU76" s="41">
        <f t="shared" si="15"/>
        <v>-1</v>
      </c>
      <c r="AV76" s="41">
        <f t="shared" si="16"/>
        <v>-1</v>
      </c>
      <c r="AW76" s="41">
        <f t="shared" si="16"/>
        <v>-1</v>
      </c>
      <c r="AX76" s="41">
        <f t="shared" si="16"/>
        <v>-1</v>
      </c>
    </row>
    <row r="77" spans="1:50" ht="11.25" x14ac:dyDescent="0.2">
      <c r="A77" s="34">
        <v>205</v>
      </c>
      <c r="B77" s="88" t="s">
        <v>391</v>
      </c>
      <c r="C77" s="65">
        <v>73687</v>
      </c>
      <c r="D77" s="65">
        <v>78455</v>
      </c>
      <c r="E77" s="79">
        <v>69564</v>
      </c>
      <c r="F77" s="65">
        <v>57320</v>
      </c>
      <c r="G77" s="41">
        <v>180314</v>
      </c>
      <c r="H77" s="41">
        <v>168333</v>
      </c>
      <c r="I77" s="41">
        <v>174675.97292999999</v>
      </c>
      <c r="J77" s="41">
        <f>I77+'Tilikauden tulos'!J77+'9. Tulorahkorjauserät'!J77</f>
        <v>168256.64719799181</v>
      </c>
      <c r="K77" s="41">
        <f>J77+'Tilikauden tulos'!K77+'9. Tulorahkorjauserät'!K77</f>
        <v>169369.44821549542</v>
      </c>
      <c r="L77" s="41">
        <f>K77+'Tilikauden tulos'!L77+'9. Tulorahkorjauserät'!L77</f>
        <v>167744.24533888238</v>
      </c>
      <c r="M77" s="41">
        <f>L77+'Tilikauden tulos'!M77+'9. Tulorahkorjauserät'!M77</f>
        <v>157113.44152883993</v>
      </c>
      <c r="N77" s="41">
        <f>M77+'Tilikauden tulos'!N77+'9. Tulorahkorjauserät'!N77</f>
        <v>144215.15995640814</v>
      </c>
      <c r="O77" s="41">
        <f>N77+'Tilikauden tulos'!O77+'9. Tulorahkorjauserät'!O77</f>
        <v>129752.21565139636</v>
      </c>
      <c r="P77" s="41">
        <f>O77+'Tilikauden tulos'!P77+'9. Tulorahkorjauserät'!P77</f>
        <v>117085.53289708107</v>
      </c>
      <c r="T77" s="34">
        <v>205</v>
      </c>
      <c r="U77" s="88" t="s">
        <v>391</v>
      </c>
      <c r="V77" s="41">
        <f>C77/'1. Väestöennuste'!E77*1000</f>
        <v>1958.6146403699963</v>
      </c>
      <c r="W77" s="41">
        <f>D77/'1. Väestöennuste'!F77*1000</f>
        <v>2090.9623943924735</v>
      </c>
      <c r="X77" s="41">
        <f>E77/'1. Väestöennuste'!G77*1000</f>
        <v>1868.0415693224845</v>
      </c>
      <c r="Y77" s="41">
        <f>F77/'1. Väestöennuste'!H77*1000</f>
        <v>1550.3205041516783</v>
      </c>
      <c r="Z77" s="41">
        <f>G77/'1. Väestöennuste'!I77*1000</f>
        <v>4911.983437304204</v>
      </c>
      <c r="AA77" s="41">
        <f>H77/'1. Väestöennuste'!J77*1000</f>
        <v>4603.4129132824683</v>
      </c>
      <c r="AB77" s="41">
        <f>I77/'1. Väestöennuste'!K77*1000</f>
        <v>4786.5610645877287</v>
      </c>
      <c r="AC77" s="41">
        <f>J77/'1. Väestöennuste'!L77*1000</f>
        <v>4635.5524478053785</v>
      </c>
      <c r="AD77" s="41">
        <f>K77/'1. Väestöennuste'!M77*1000</f>
        <v>4638.6067487058153</v>
      </c>
      <c r="AE77" s="41">
        <f>L77/'1. Väestöennuste'!N77*1000</f>
        <v>4674.2342725466706</v>
      </c>
      <c r="AF77" s="41">
        <f>M77/'1. Väestöennuste'!O77*1000</f>
        <v>4400.6902002363986</v>
      </c>
      <c r="AG77" s="41">
        <f>N77/'1. Väestöennuste'!P77*1000</f>
        <v>4061.2548565589454</v>
      </c>
      <c r="AH77" s="41">
        <f>O77/'1. Väestöennuste'!Q77*1000</f>
        <v>3673.5147830298224</v>
      </c>
      <c r="AI77" s="41">
        <f>P77/'1. Väestöennuste'!R77*1000</f>
        <v>3333.3959543652973</v>
      </c>
      <c r="AK77" s="41">
        <f t="shared" si="5"/>
        <v>0</v>
      </c>
      <c r="AL77" s="41">
        <f t="shared" si="6"/>
        <v>0</v>
      </c>
      <c r="AM77" s="41">
        <f t="shared" si="7"/>
        <v>0</v>
      </c>
      <c r="AN77" s="41">
        <f t="shared" si="8"/>
        <v>0</v>
      </c>
      <c r="AO77" s="41">
        <f t="shared" si="9"/>
        <v>0</v>
      </c>
      <c r="AP77" s="41">
        <f t="shared" si="10"/>
        <v>0</v>
      </c>
      <c r="AQ77" s="41">
        <f t="shared" si="11"/>
        <v>0</v>
      </c>
      <c r="AR77" s="41">
        <f t="shared" si="12"/>
        <v>0</v>
      </c>
      <c r="AS77" s="41">
        <f t="shared" si="13"/>
        <v>0</v>
      </c>
      <c r="AT77" s="41">
        <f t="shared" si="14"/>
        <v>0</v>
      </c>
      <c r="AU77" s="41">
        <f t="shared" si="15"/>
        <v>0</v>
      </c>
      <c r="AV77" s="41">
        <f t="shared" si="16"/>
        <v>0</v>
      </c>
      <c r="AW77" s="41">
        <f t="shared" si="16"/>
        <v>0</v>
      </c>
      <c r="AX77" s="41">
        <f t="shared" si="16"/>
        <v>0</v>
      </c>
    </row>
    <row r="78" spans="1:50" ht="11.25" x14ac:dyDescent="0.2">
      <c r="A78" s="34">
        <v>208</v>
      </c>
      <c r="B78" s="88" t="s">
        <v>392</v>
      </c>
      <c r="C78" s="65">
        <v>18382</v>
      </c>
      <c r="D78" s="65">
        <v>18185</v>
      </c>
      <c r="E78" s="65">
        <v>18287</v>
      </c>
      <c r="F78" s="65">
        <v>17271</v>
      </c>
      <c r="G78" s="41">
        <v>17286</v>
      </c>
      <c r="H78" s="41">
        <v>18311</v>
      </c>
      <c r="I78" s="41">
        <v>19482.712329999998</v>
      </c>
      <c r="J78" s="41">
        <f>I78+'Tilikauden tulos'!J78+'9. Tulorahkorjauserät'!J78</f>
        <v>23159.527110976665</v>
      </c>
      <c r="K78" s="41">
        <f>J78+'Tilikauden tulos'!K78+'9. Tulorahkorjauserät'!K78</f>
        <v>28836.582317906072</v>
      </c>
      <c r="L78" s="41">
        <f>K78+'Tilikauden tulos'!L78+'9. Tulorahkorjauserät'!L78</f>
        <v>30980.763826724298</v>
      </c>
      <c r="M78" s="41">
        <f>L78+'Tilikauden tulos'!M78+'9. Tulorahkorjauserät'!M78</f>
        <v>32129.214854759222</v>
      </c>
      <c r="N78" s="41">
        <f>M78+'Tilikauden tulos'!N78+'9. Tulorahkorjauserät'!N78</f>
        <v>32100.743200156852</v>
      </c>
      <c r="O78" s="41">
        <f>N78+'Tilikauden tulos'!O78+'9. Tulorahkorjauserät'!O78</f>
        <v>32067.592649996794</v>
      </c>
      <c r="P78" s="41">
        <f>O78+'Tilikauden tulos'!P78+'9. Tulorahkorjauserät'!P78</f>
        <v>33293.199580798748</v>
      </c>
      <c r="T78" s="34">
        <v>208</v>
      </c>
      <c r="U78" s="88" t="s">
        <v>392</v>
      </c>
      <c r="V78" s="41">
        <f>C78/'1. Väestöennuste'!E78*1000</f>
        <v>1456.4614531336661</v>
      </c>
      <c r="W78" s="41">
        <f>D78/'1. Väestöennuste'!F78*1000</f>
        <v>1444.8593675512473</v>
      </c>
      <c r="X78" s="41">
        <f>E78/'1. Väestöennuste'!G78*1000</f>
        <v>1461.0898050495366</v>
      </c>
      <c r="Y78" s="41">
        <f>F78/'1. Väestöennuste'!H78*1000</f>
        <v>1394.2843303463308</v>
      </c>
      <c r="Z78" s="41">
        <f>G78/'1. Väestöennuste'!I78*1000</f>
        <v>1397.0742746302433</v>
      </c>
      <c r="AA78" s="41">
        <f>H78/'1. Väestöennuste'!J78*1000</f>
        <v>1476.6935483870968</v>
      </c>
      <c r="AB78" s="41">
        <f>I78/'1. Väestöennuste'!K78*1000</f>
        <v>1569.6674452143086</v>
      </c>
      <c r="AC78" s="41">
        <f>J78/'1. Väestöennuste'!L78*1000</f>
        <v>1877.5457730828264</v>
      </c>
      <c r="AD78" s="41">
        <f>K78/'1. Väestöennuste'!M78*1000</f>
        <v>2330.7939151233491</v>
      </c>
      <c r="AE78" s="41">
        <f>L78/'1. Väestöennuste'!N78*1000</f>
        <v>2536.0808633533316</v>
      </c>
      <c r="AF78" s="41">
        <f>M78/'1. Väestöennuste'!O78*1000</f>
        <v>2642.4224734566346</v>
      </c>
      <c r="AG78" s="41">
        <f>N78/'1. Väestöennuste'!P78*1000</f>
        <v>2652.9539834840375</v>
      </c>
      <c r="AH78" s="41">
        <f>O78/'1. Väestöennuste'!Q78*1000</f>
        <v>2663.8638187403881</v>
      </c>
      <c r="AI78" s="41">
        <f>P78/'1. Väestöennuste'!R78*1000</f>
        <v>2780.4576232502714</v>
      </c>
      <c r="AK78" s="41">
        <f t="shared" si="5"/>
        <v>0</v>
      </c>
      <c r="AL78" s="41">
        <f t="shared" si="6"/>
        <v>0</v>
      </c>
      <c r="AM78" s="41">
        <f t="shared" si="7"/>
        <v>0</v>
      </c>
      <c r="AN78" s="41">
        <f t="shared" si="8"/>
        <v>0</v>
      </c>
      <c r="AO78" s="41">
        <f t="shared" si="9"/>
        <v>0</v>
      </c>
      <c r="AP78" s="41">
        <f t="shared" si="10"/>
        <v>0</v>
      </c>
      <c r="AQ78" s="41">
        <f t="shared" si="11"/>
        <v>0</v>
      </c>
      <c r="AR78" s="41">
        <f t="shared" si="12"/>
        <v>0</v>
      </c>
      <c r="AS78" s="41">
        <f t="shared" si="13"/>
        <v>0</v>
      </c>
      <c r="AT78" s="41">
        <f t="shared" si="14"/>
        <v>0</v>
      </c>
      <c r="AU78" s="41">
        <f t="shared" si="15"/>
        <v>0</v>
      </c>
      <c r="AV78" s="41">
        <f t="shared" si="16"/>
        <v>0</v>
      </c>
      <c r="AW78" s="41">
        <f t="shared" si="16"/>
        <v>0</v>
      </c>
      <c r="AX78" s="41">
        <f t="shared" si="16"/>
        <v>0</v>
      </c>
    </row>
    <row r="79" spans="1:50" ht="11.25" x14ac:dyDescent="0.2">
      <c r="A79" s="34">
        <v>211</v>
      </c>
      <c r="B79" s="88" t="s">
        <v>393</v>
      </c>
      <c r="C79" s="65">
        <v>49165</v>
      </c>
      <c r="D79" s="65">
        <v>51179</v>
      </c>
      <c r="E79" s="65">
        <v>54913</v>
      </c>
      <c r="F79" s="65">
        <v>53297</v>
      </c>
      <c r="G79" s="41">
        <v>53725</v>
      </c>
      <c r="H79" s="41">
        <v>64711</v>
      </c>
      <c r="I79" s="41">
        <v>70672.563210000008</v>
      </c>
      <c r="J79" s="41">
        <f>I79+'Tilikauden tulos'!J79+'9. Tulorahkorjauserät'!J79</f>
        <v>69780.546942812696</v>
      </c>
      <c r="K79" s="41">
        <f>J79+'Tilikauden tulos'!K79+'9. Tulorahkorjauserät'!K79</f>
        <v>72150.744163617303</v>
      </c>
      <c r="L79" s="41">
        <f>K79+'Tilikauden tulos'!L79+'9. Tulorahkorjauserät'!L79</f>
        <v>60441.70749643739</v>
      </c>
      <c r="M79" s="41">
        <f>L79+'Tilikauden tulos'!M79+'9. Tulorahkorjauserät'!M79</f>
        <v>50911.538468079343</v>
      </c>
      <c r="N79" s="41">
        <f>M79+'Tilikauden tulos'!N79+'9. Tulorahkorjauserät'!N79</f>
        <v>41061.751183801127</v>
      </c>
      <c r="O79" s="41">
        <f>N79+'Tilikauden tulos'!O79+'9. Tulorahkorjauserät'!O79</f>
        <v>30733.899561615701</v>
      </c>
      <c r="P79" s="41">
        <f>O79+'Tilikauden tulos'!P79+'9. Tulorahkorjauserät'!P79</f>
        <v>20821.743786036175</v>
      </c>
      <c r="T79" s="34">
        <v>211</v>
      </c>
      <c r="U79" s="88" t="s">
        <v>393</v>
      </c>
      <c r="V79" s="41">
        <f>C79/'1. Väestöennuste'!E79*1000</f>
        <v>1606.3318848629397</v>
      </c>
      <c r="W79" s="41">
        <f>D79/'1. Väestöennuste'!F79*1000</f>
        <v>1640.8784866944532</v>
      </c>
      <c r="X79" s="41">
        <f>E79/'1. Väestöennuste'!G79*1000</f>
        <v>1746.763368005853</v>
      </c>
      <c r="Y79" s="41">
        <f>F79/'1. Väestöennuste'!H79*1000</f>
        <v>1682.5672433388054</v>
      </c>
      <c r="Z79" s="41">
        <f>G79/'1. Väestöennuste'!I79*1000</f>
        <v>1685.8604242500314</v>
      </c>
      <c r="AA79" s="41">
        <f>H79/'1. Väestöennuste'!J79*1000</f>
        <v>2008.7850003104243</v>
      </c>
      <c r="AB79" s="41">
        <f>I79/'1. Väestöennuste'!K79*1000</f>
        <v>2166.4080439580653</v>
      </c>
      <c r="AC79" s="41">
        <f>J79/'1. Väestöennuste'!L79*1000</f>
        <v>2117.1924798329042</v>
      </c>
      <c r="AD79" s="41">
        <f>K79/'1. Väestöennuste'!M79*1000</f>
        <v>2155.4908183795092</v>
      </c>
      <c r="AE79" s="41">
        <f>L79/'1. Väestöennuste'!N79*1000</f>
        <v>1819.0540071760131</v>
      </c>
      <c r="AF79" s="41">
        <f>M79/'1. Väestöennuste'!O79*1000</f>
        <v>1521.7461282902721</v>
      </c>
      <c r="AG79" s="41">
        <f>N79/'1. Väestöennuste'!P79*1000</f>
        <v>1219.4627935317512</v>
      </c>
      <c r="AH79" s="41">
        <f>O79/'1. Väestöennuste'!Q79*1000</f>
        <v>907.19344594178233</v>
      </c>
      <c r="AI79" s="41">
        <f>P79/'1. Väestöennuste'!R79*1000</f>
        <v>611.0563106687066</v>
      </c>
      <c r="AK79" s="41">
        <f t="shared" si="5"/>
        <v>0</v>
      </c>
      <c r="AL79" s="41">
        <f t="shared" si="6"/>
        <v>0</v>
      </c>
      <c r="AM79" s="41">
        <f t="shared" si="7"/>
        <v>0</v>
      </c>
      <c r="AN79" s="41">
        <f t="shared" si="8"/>
        <v>0</v>
      </c>
      <c r="AO79" s="41">
        <f t="shared" si="9"/>
        <v>0</v>
      </c>
      <c r="AP79" s="41">
        <f t="shared" si="10"/>
        <v>0</v>
      </c>
      <c r="AQ79" s="41">
        <f t="shared" si="11"/>
        <v>0</v>
      </c>
      <c r="AR79" s="41">
        <f t="shared" si="12"/>
        <v>0</v>
      </c>
      <c r="AS79" s="41">
        <f t="shared" si="13"/>
        <v>0</v>
      </c>
      <c r="AT79" s="41">
        <f t="shared" si="14"/>
        <v>0</v>
      </c>
      <c r="AU79" s="41">
        <f t="shared" si="15"/>
        <v>0</v>
      </c>
      <c r="AV79" s="41">
        <f t="shared" si="16"/>
        <v>0</v>
      </c>
      <c r="AW79" s="41">
        <f t="shared" si="16"/>
        <v>0</v>
      </c>
      <c r="AX79" s="41">
        <f t="shared" si="16"/>
        <v>0</v>
      </c>
    </row>
    <row r="80" spans="1:50" ht="11.25" x14ac:dyDescent="0.2">
      <c r="A80" s="34">
        <v>213</v>
      </c>
      <c r="B80" s="88" t="s">
        <v>394</v>
      </c>
      <c r="C80" s="65">
        <v>5142</v>
      </c>
      <c r="D80" s="65">
        <v>5561</v>
      </c>
      <c r="E80" s="65">
        <v>6763</v>
      </c>
      <c r="F80" s="65">
        <v>5980</v>
      </c>
      <c r="G80" s="41">
        <v>5151</v>
      </c>
      <c r="H80" s="41">
        <v>7528</v>
      </c>
      <c r="I80" s="41">
        <v>8616.2289399999991</v>
      </c>
      <c r="J80" s="41">
        <f>I80+'Tilikauden tulos'!J80+'9. Tulorahkorjauserät'!J80</f>
        <v>7867.1565486185664</v>
      </c>
      <c r="K80" s="41">
        <f>J80+'Tilikauden tulos'!K80+'9. Tulorahkorjauserät'!K80</f>
        <v>7741.3023039276623</v>
      </c>
      <c r="L80" s="41">
        <f>K80+'Tilikauden tulos'!L80+'9. Tulorahkorjauserät'!L80</f>
        <v>7802.2728460409116</v>
      </c>
      <c r="M80" s="41">
        <f>L80+'Tilikauden tulos'!M80+'9. Tulorahkorjauserät'!M80</f>
        <v>7121.5895273211572</v>
      </c>
      <c r="N80" s="41">
        <f>M80+'Tilikauden tulos'!N80+'9. Tulorahkorjauserät'!N80</f>
        <v>6586.9459088115773</v>
      </c>
      <c r="O80" s="41">
        <f>N80+'Tilikauden tulos'!O80+'9. Tulorahkorjauserät'!O80</f>
        <v>6141.5051209176272</v>
      </c>
      <c r="P80" s="41">
        <f>O80+'Tilikauden tulos'!P80+'9. Tulorahkorjauserät'!P80</f>
        <v>6493.966335080102</v>
      </c>
      <c r="T80" s="34">
        <v>213</v>
      </c>
      <c r="U80" s="88" t="s">
        <v>394</v>
      </c>
      <c r="V80" s="41">
        <f>C80/'1. Väestöennuste'!E80*1000</f>
        <v>913.64605543710024</v>
      </c>
      <c r="W80" s="41">
        <f>D80/'1. Väestöennuste'!F80*1000</f>
        <v>992.50401570587189</v>
      </c>
      <c r="X80" s="41">
        <f>E80/'1. Väestöennuste'!G80*1000</f>
        <v>1218.7781582267073</v>
      </c>
      <c r="Y80" s="41">
        <f>F80/'1. Väestöennuste'!H80*1000</f>
        <v>1096.8451944240644</v>
      </c>
      <c r="Z80" s="41">
        <f>G80/'1. Väestöennuste'!I80*1000</f>
        <v>961.72516803584767</v>
      </c>
      <c r="AA80" s="41">
        <f>H80/'1. Väestöennuste'!J80*1000</f>
        <v>1417.1686746987953</v>
      </c>
      <c r="AB80" s="41">
        <f>I80/'1. Väestöennuste'!K80*1000</f>
        <v>1647.4625124282979</v>
      </c>
      <c r="AC80" s="41">
        <f>J80/'1. Väestöennuste'!L80*1000</f>
        <v>1526.4176462201331</v>
      </c>
      <c r="AD80" s="41">
        <f>K80/'1. Väestöennuste'!M80*1000</f>
        <v>1513.7470285349359</v>
      </c>
      <c r="AE80" s="41">
        <f>L80/'1. Väestöennuste'!N80*1000</f>
        <v>1539.8209682338488</v>
      </c>
      <c r="AF80" s="41">
        <f>M80/'1. Väestöennuste'!O80*1000</f>
        <v>1421.1912846380276</v>
      </c>
      <c r="AG80" s="41">
        <f>N80/'1. Väestöennuste'!P80*1000</f>
        <v>1328.8170080313855</v>
      </c>
      <c r="AH80" s="41">
        <f>O80/'1. Väestöennuste'!Q80*1000</f>
        <v>1252.3460687026156</v>
      </c>
      <c r="AI80" s="41">
        <f>P80/'1. Väestöennuste'!R80*1000</f>
        <v>1338.1344189326401</v>
      </c>
      <c r="AK80" s="41">
        <f t="shared" ref="AK80:AK143" si="17">IF(C80&lt;0,-1,0)</f>
        <v>0</v>
      </c>
      <c r="AL80" s="41">
        <f t="shared" ref="AL80:AL143" si="18">IF(D80&lt;0,-1,0)</f>
        <v>0</v>
      </c>
      <c r="AM80" s="41">
        <f t="shared" ref="AM80:AM143" si="19">IF(E80&lt;0,-1,0)</f>
        <v>0</v>
      </c>
      <c r="AN80" s="41">
        <f t="shared" ref="AN80:AN143" si="20">IF(F80&lt;0,-1,0)</f>
        <v>0</v>
      </c>
      <c r="AO80" s="41">
        <f t="shared" ref="AO80:AO143" si="21">IF(G80&lt;0,-1,0)</f>
        <v>0</v>
      </c>
      <c r="AP80" s="41">
        <f t="shared" ref="AP80:AP143" si="22">IF(H80&lt;0,-1,0)</f>
        <v>0</v>
      </c>
      <c r="AQ80" s="41">
        <f t="shared" ref="AQ80:AQ143" si="23">IF(I80&lt;0,-1,0)</f>
        <v>0</v>
      </c>
      <c r="AR80" s="41">
        <f t="shared" ref="AR80:AR143" si="24">IF(J80&lt;0,-1,0)</f>
        <v>0</v>
      </c>
      <c r="AS80" s="41">
        <f t="shared" ref="AS80:AS143" si="25">IF(K80&lt;0,-1,0)</f>
        <v>0</v>
      </c>
      <c r="AT80" s="41">
        <f t="shared" ref="AT80:AT143" si="26">IF(L80&lt;0,-1,0)</f>
        <v>0</v>
      </c>
      <c r="AU80" s="41">
        <f t="shared" ref="AU80:AU143" si="27">IF(M80&lt;0,-1,0)</f>
        <v>0</v>
      </c>
      <c r="AV80" s="41">
        <f t="shared" ref="AV80:AX143" si="28">IF(N80&lt;0,-1,0)</f>
        <v>0</v>
      </c>
      <c r="AW80" s="41">
        <f t="shared" si="28"/>
        <v>0</v>
      </c>
      <c r="AX80" s="41">
        <f t="shared" si="28"/>
        <v>0</v>
      </c>
    </row>
    <row r="81" spans="1:50" ht="11.25" x14ac:dyDescent="0.2">
      <c r="A81" s="34">
        <v>214</v>
      </c>
      <c r="B81" s="88" t="s">
        <v>395</v>
      </c>
      <c r="C81" s="65">
        <v>-722</v>
      </c>
      <c r="D81" s="65">
        <v>1589</v>
      </c>
      <c r="E81" s="65">
        <v>1611</v>
      </c>
      <c r="F81" s="65">
        <v>-2664</v>
      </c>
      <c r="G81" s="41">
        <v>-5737</v>
      </c>
      <c r="H81" s="41">
        <v>-2091</v>
      </c>
      <c r="I81" s="41">
        <v>2270.0209299999997</v>
      </c>
      <c r="J81" s="41">
        <f>I81+'Tilikauden tulos'!J81+'9. Tulorahkorjauserät'!J81</f>
        <v>3948.9999028161624</v>
      </c>
      <c r="K81" s="41">
        <f>J81+'Tilikauden tulos'!K81+'9. Tulorahkorjauserät'!K81</f>
        <v>8775.4596668642553</v>
      </c>
      <c r="L81" s="41">
        <f>K81+'Tilikauden tulos'!L81+'9. Tulorahkorjauserät'!L81</f>
        <v>8809.3117751486297</v>
      </c>
      <c r="M81" s="41">
        <f>L81+'Tilikauden tulos'!M81+'9. Tulorahkorjauserät'!M81</f>
        <v>8067.7891178108166</v>
      </c>
      <c r="N81" s="41">
        <f>M81+'Tilikauden tulos'!N81+'9. Tulorahkorjauserät'!N81</f>
        <v>7824.7438470207608</v>
      </c>
      <c r="O81" s="41">
        <f>N81+'Tilikauden tulos'!O81+'9. Tulorahkorjauserät'!O81</f>
        <v>7745.5867046512276</v>
      </c>
      <c r="P81" s="41">
        <f>O81+'Tilikauden tulos'!P81+'9. Tulorahkorjauserät'!P81</f>
        <v>9357.1449705767154</v>
      </c>
      <c r="T81" s="34">
        <v>214</v>
      </c>
      <c r="U81" s="88" t="s">
        <v>395</v>
      </c>
      <c r="V81" s="41">
        <f>C81/'1. Väestöennuste'!E81*1000</f>
        <v>-53.236985695325174</v>
      </c>
      <c r="W81" s="41">
        <f>D81/'1. Väestöennuste'!F81*1000</f>
        <v>118.61749776052554</v>
      </c>
      <c r="X81" s="41">
        <f>E81/'1. Väestöennuste'!G81*1000</f>
        <v>121.20072223894071</v>
      </c>
      <c r="Y81" s="41">
        <f>F81/'1. Väestöennuste'!H81*1000</f>
        <v>-202.78602420643981</v>
      </c>
      <c r="Z81" s="41">
        <f>G81/'1. Väestöennuste'!I81*1000</f>
        <v>-444.52192778552615</v>
      </c>
      <c r="AA81" s="41">
        <f>H81/'1. Väestöennuste'!J81*1000</f>
        <v>-163.89716256466531</v>
      </c>
      <c r="AB81" s="41">
        <f>I81/'1. Väestöennuste'!K81*1000</f>
        <v>179.27822855788972</v>
      </c>
      <c r="AC81" s="41">
        <f>J81/'1. Väestöennuste'!L81*1000</f>
        <v>315.21391306003846</v>
      </c>
      <c r="AD81" s="41">
        <f>K81/'1. Väestöennuste'!M81*1000</f>
        <v>708.04096069584114</v>
      </c>
      <c r="AE81" s="41">
        <f>L81/'1. Väestöennuste'!N81*1000</f>
        <v>725.82283720430326</v>
      </c>
      <c r="AF81" s="41">
        <f>M81/'1. Väestöennuste'!O81*1000</f>
        <v>672.42783112275515</v>
      </c>
      <c r="AG81" s="41">
        <f>N81/'1. Väestöennuste'!P81*1000</f>
        <v>659.42557281482891</v>
      </c>
      <c r="AH81" s="41">
        <f>O81/'1. Väestöennuste'!Q81*1000</f>
        <v>659.70417380557251</v>
      </c>
      <c r="AI81" s="41">
        <f>P81/'1. Väestöennuste'!R81*1000</f>
        <v>805.33135128468155</v>
      </c>
      <c r="AK81" s="41">
        <f t="shared" si="17"/>
        <v>-1</v>
      </c>
      <c r="AL81" s="41">
        <f t="shared" si="18"/>
        <v>0</v>
      </c>
      <c r="AM81" s="41">
        <f t="shared" si="19"/>
        <v>0</v>
      </c>
      <c r="AN81" s="41">
        <f t="shared" si="20"/>
        <v>-1</v>
      </c>
      <c r="AO81" s="41">
        <f t="shared" si="21"/>
        <v>-1</v>
      </c>
      <c r="AP81" s="41">
        <f t="shared" si="22"/>
        <v>-1</v>
      </c>
      <c r="AQ81" s="41">
        <f t="shared" si="23"/>
        <v>0</v>
      </c>
      <c r="AR81" s="41">
        <f t="shared" si="24"/>
        <v>0</v>
      </c>
      <c r="AS81" s="41">
        <f t="shared" si="25"/>
        <v>0</v>
      </c>
      <c r="AT81" s="41">
        <f t="shared" si="26"/>
        <v>0</v>
      </c>
      <c r="AU81" s="41">
        <f t="shared" si="27"/>
        <v>0</v>
      </c>
      <c r="AV81" s="41">
        <f t="shared" si="28"/>
        <v>0</v>
      </c>
      <c r="AW81" s="41">
        <f t="shared" si="28"/>
        <v>0</v>
      </c>
      <c r="AX81" s="41">
        <f t="shared" si="28"/>
        <v>0</v>
      </c>
    </row>
    <row r="82" spans="1:50" ht="11.25" x14ac:dyDescent="0.2">
      <c r="A82" s="34">
        <v>216</v>
      </c>
      <c r="B82" s="88" t="s">
        <v>396</v>
      </c>
      <c r="C82" s="65">
        <v>10377</v>
      </c>
      <c r="D82" s="65">
        <v>11279</v>
      </c>
      <c r="E82" s="65">
        <v>11652</v>
      </c>
      <c r="F82" s="65">
        <v>11651</v>
      </c>
      <c r="G82" s="41">
        <v>8549</v>
      </c>
      <c r="H82" s="41">
        <v>8047</v>
      </c>
      <c r="I82" s="41">
        <v>2678.6153899999995</v>
      </c>
      <c r="J82" s="41">
        <f>I82+'Tilikauden tulos'!J82+'9. Tulorahkorjauserät'!J82</f>
        <v>1628.2777044860804</v>
      </c>
      <c r="K82" s="41">
        <f>J82+'Tilikauden tulos'!K82+'9. Tulorahkorjauserät'!K82</f>
        <v>321.45495691098017</v>
      </c>
      <c r="L82" s="41">
        <f>K82+'Tilikauden tulos'!L82+'9. Tulorahkorjauserät'!L82</f>
        <v>48.667811111669494</v>
      </c>
      <c r="M82" s="41">
        <f>L82+'Tilikauden tulos'!M82+'9. Tulorahkorjauserät'!M82</f>
        <v>-957.4217552155061</v>
      </c>
      <c r="N82" s="41">
        <f>M82+'Tilikauden tulos'!N82+'9. Tulorahkorjauserät'!N82</f>
        <v>-2088.1948382300575</v>
      </c>
      <c r="O82" s="41">
        <f>N82+'Tilikauden tulos'!O82+'9. Tulorahkorjauserät'!O82</f>
        <v>-3285.0783451201623</v>
      </c>
      <c r="P82" s="41">
        <f>O82+'Tilikauden tulos'!P82+'9. Tulorahkorjauserät'!P82</f>
        <v>-4427.1671627428914</v>
      </c>
      <c r="T82" s="34">
        <v>216</v>
      </c>
      <c r="U82" s="88" t="s">
        <v>396</v>
      </c>
      <c r="V82" s="41">
        <f>C82/'1. Väestöennuste'!E82*1000</f>
        <v>7097.8112175102597</v>
      </c>
      <c r="W82" s="41">
        <f>D82/'1. Väestöennuste'!F82*1000</f>
        <v>7920.6460674157306</v>
      </c>
      <c r="X82" s="41">
        <f>E82/'1. Väestöennuste'!G82*1000</f>
        <v>8275.568181818182</v>
      </c>
      <c r="Y82" s="41">
        <f>F82/'1. Väestöennuste'!H82*1000</f>
        <v>8611.2342941611241</v>
      </c>
      <c r="Z82" s="41">
        <f>G82/'1. Väestöennuste'!I82*1000</f>
        <v>6384.6153846153848</v>
      </c>
      <c r="AA82" s="41">
        <f>H82/'1. Väestöennuste'!J82*1000</f>
        <v>6082.3885109599396</v>
      </c>
      <c r="AB82" s="41">
        <f>I82/'1. Väestöennuste'!K82*1000</f>
        <v>2043.1848893974061</v>
      </c>
      <c r="AC82" s="41">
        <f>J82/'1. Väestöennuste'!L82*1000</f>
        <v>1283.1187584602683</v>
      </c>
      <c r="AD82" s="41">
        <f>K82/'1. Väestöennuste'!M82*1000</f>
        <v>264.1371872727857</v>
      </c>
      <c r="AE82" s="41">
        <f>L82/'1. Väestöennuste'!N82*1000</f>
        <v>39.185033101183166</v>
      </c>
      <c r="AF82" s="41">
        <f>M82/'1. Väestöennuste'!O82*1000</f>
        <v>-782.20731635253776</v>
      </c>
      <c r="AG82" s="41">
        <f>N82/'1. Väestöennuste'!P82*1000</f>
        <v>-1725.7808580413698</v>
      </c>
      <c r="AH82" s="41">
        <f>O82/'1. Väestöennuste'!Q82*1000</f>
        <v>-2751.3218970855633</v>
      </c>
      <c r="AI82" s="41">
        <f>P82/'1. Väestöennuste'!R82*1000</f>
        <v>-3755.0187979159382</v>
      </c>
      <c r="AK82" s="41">
        <f t="shared" si="17"/>
        <v>0</v>
      </c>
      <c r="AL82" s="41">
        <f t="shared" si="18"/>
        <v>0</v>
      </c>
      <c r="AM82" s="41">
        <f t="shared" si="19"/>
        <v>0</v>
      </c>
      <c r="AN82" s="41">
        <f t="shared" si="20"/>
        <v>0</v>
      </c>
      <c r="AO82" s="41">
        <f t="shared" si="21"/>
        <v>0</v>
      </c>
      <c r="AP82" s="41">
        <f t="shared" si="22"/>
        <v>0</v>
      </c>
      <c r="AQ82" s="41">
        <f t="shared" si="23"/>
        <v>0</v>
      </c>
      <c r="AR82" s="41">
        <f t="shared" si="24"/>
        <v>0</v>
      </c>
      <c r="AS82" s="41">
        <f t="shared" si="25"/>
        <v>0</v>
      </c>
      <c r="AT82" s="41">
        <f t="shared" si="26"/>
        <v>0</v>
      </c>
      <c r="AU82" s="41">
        <f t="shared" si="27"/>
        <v>-1</v>
      </c>
      <c r="AV82" s="41">
        <f t="shared" si="28"/>
        <v>-1</v>
      </c>
      <c r="AW82" s="41">
        <f t="shared" si="28"/>
        <v>-1</v>
      </c>
      <c r="AX82" s="41">
        <f t="shared" si="28"/>
        <v>-1</v>
      </c>
    </row>
    <row r="83" spans="1:50" ht="11.25" x14ac:dyDescent="0.2">
      <c r="A83" s="34">
        <v>217</v>
      </c>
      <c r="B83" s="88" t="s">
        <v>397</v>
      </c>
      <c r="C83" s="65">
        <v>6403</v>
      </c>
      <c r="D83" s="65">
        <v>6053</v>
      </c>
      <c r="E83" s="65">
        <v>5798</v>
      </c>
      <c r="F83" s="65">
        <v>4944</v>
      </c>
      <c r="G83" s="41">
        <v>3974</v>
      </c>
      <c r="H83" s="41">
        <v>5337</v>
      </c>
      <c r="I83" s="41">
        <v>5809.7615400000004</v>
      </c>
      <c r="J83" s="41">
        <f>I83+'Tilikauden tulos'!J83+'9. Tulorahkorjauserät'!J83</f>
        <v>5771.6700452085379</v>
      </c>
      <c r="K83" s="41">
        <f>J83+'Tilikauden tulos'!K83+'9. Tulorahkorjauserät'!K83</f>
        <v>6160.7614497497016</v>
      </c>
      <c r="L83" s="41">
        <f>K83+'Tilikauden tulos'!L83+'9. Tulorahkorjauserät'!L83</f>
        <v>5172.4104526057963</v>
      </c>
      <c r="M83" s="41">
        <f>L83+'Tilikauden tulos'!M83+'9. Tulorahkorjauserät'!M83</f>
        <v>3908.286442439517</v>
      </c>
      <c r="N83" s="41">
        <f>M83+'Tilikauden tulos'!N83+'9. Tulorahkorjauserät'!N83</f>
        <v>2539.2367911499841</v>
      </c>
      <c r="O83" s="41">
        <f>N83+'Tilikauden tulos'!O83+'9. Tulorahkorjauserät'!O83</f>
        <v>1250.8595248430004</v>
      </c>
      <c r="P83" s="41">
        <f>O83+'Tilikauden tulos'!P83+'9. Tulorahkorjauserät'!P83</f>
        <v>281.97271999731038</v>
      </c>
      <c r="T83" s="34">
        <v>217</v>
      </c>
      <c r="U83" s="88" t="s">
        <v>397</v>
      </c>
      <c r="V83" s="41">
        <f>C83/'1. Väestöennuste'!E83*1000</f>
        <v>1145.4382826475851</v>
      </c>
      <c r="W83" s="41">
        <f>D83/'1. Väestöennuste'!F83*1000</f>
        <v>1085.1559698816779</v>
      </c>
      <c r="X83" s="41">
        <f>E83/'1. Väestöennuste'!G83*1000</f>
        <v>1050.3623188405797</v>
      </c>
      <c r="Y83" s="41">
        <f>F83/'1. Väestöennuste'!H83*1000</f>
        <v>898.58233369683751</v>
      </c>
      <c r="Z83" s="41">
        <f>G83/'1. Väestöennuste'!I83*1000</f>
        <v>727.30600292825761</v>
      </c>
      <c r="AA83" s="41">
        <f>H83/'1. Väestöennuste'!J83*1000</f>
        <v>983.59749354957614</v>
      </c>
      <c r="AB83" s="41">
        <f>I83/'1. Väestöennuste'!K83*1000</f>
        <v>1077.877836734694</v>
      </c>
      <c r="AC83" s="41">
        <f>J83/'1. Väestöennuste'!L83*1000</f>
        <v>1078.4136855770812</v>
      </c>
      <c r="AD83" s="41">
        <f>K83/'1. Väestöennuste'!M83*1000</f>
        <v>1174.3731318623145</v>
      </c>
      <c r="AE83" s="41">
        <f>L83/'1. Väestöennuste'!N83*1000</f>
        <v>979.80876162261723</v>
      </c>
      <c r="AF83" s="41">
        <f>M83/'1. Väestöennuste'!O83*1000</f>
        <v>745.14517491697177</v>
      </c>
      <c r="AG83" s="41">
        <f>N83/'1. Väestöennuste'!P83*1000</f>
        <v>487.0036039796671</v>
      </c>
      <c r="AH83" s="41">
        <f>O83/'1. Väestöennuste'!Q83*1000</f>
        <v>241.24580999865003</v>
      </c>
      <c r="AI83" s="41">
        <f>P83/'1. Väestöennuste'!R83*1000</f>
        <v>54.698878757965154</v>
      </c>
      <c r="AK83" s="41">
        <f t="shared" si="17"/>
        <v>0</v>
      </c>
      <c r="AL83" s="41">
        <f t="shared" si="18"/>
        <v>0</v>
      </c>
      <c r="AM83" s="41">
        <f t="shared" si="19"/>
        <v>0</v>
      </c>
      <c r="AN83" s="41">
        <f t="shared" si="20"/>
        <v>0</v>
      </c>
      <c r="AO83" s="41">
        <f t="shared" si="21"/>
        <v>0</v>
      </c>
      <c r="AP83" s="41">
        <f t="shared" si="22"/>
        <v>0</v>
      </c>
      <c r="AQ83" s="41">
        <f t="shared" si="23"/>
        <v>0</v>
      </c>
      <c r="AR83" s="41">
        <f t="shared" si="24"/>
        <v>0</v>
      </c>
      <c r="AS83" s="41">
        <f t="shared" si="25"/>
        <v>0</v>
      </c>
      <c r="AT83" s="41">
        <f t="shared" si="26"/>
        <v>0</v>
      </c>
      <c r="AU83" s="41">
        <f t="shared" si="27"/>
        <v>0</v>
      </c>
      <c r="AV83" s="41">
        <f t="shared" si="28"/>
        <v>0</v>
      </c>
      <c r="AW83" s="41">
        <f t="shared" si="28"/>
        <v>0</v>
      </c>
      <c r="AX83" s="41">
        <f t="shared" si="28"/>
        <v>0</v>
      </c>
    </row>
    <row r="84" spans="1:50" ht="11.25" x14ac:dyDescent="0.2">
      <c r="A84" s="34">
        <v>218</v>
      </c>
      <c r="B84" s="88" t="s">
        <v>398</v>
      </c>
      <c r="C84" s="65">
        <v>1175</v>
      </c>
      <c r="D84" s="65">
        <v>1609</v>
      </c>
      <c r="E84" s="65">
        <v>2080</v>
      </c>
      <c r="F84" s="65">
        <v>1857</v>
      </c>
      <c r="G84" s="41">
        <v>1125</v>
      </c>
      <c r="H84" s="41">
        <v>2615</v>
      </c>
      <c r="I84" s="41">
        <v>3108.96486</v>
      </c>
      <c r="J84" s="41">
        <f>I84+'Tilikauden tulos'!J84+'9. Tulorahkorjauserät'!J84</f>
        <v>3532.0391542746734</v>
      </c>
      <c r="K84" s="41">
        <f>J84+'Tilikauden tulos'!K84+'9. Tulorahkorjauserät'!K84</f>
        <v>4038.4221319930994</v>
      </c>
      <c r="L84" s="41">
        <f>K84+'Tilikauden tulos'!L84+'9. Tulorahkorjauserät'!L84</f>
        <v>4184.8510228618552</v>
      </c>
      <c r="M84" s="41">
        <f>L84+'Tilikauden tulos'!M84+'9. Tulorahkorjauserät'!M84</f>
        <v>4110.6924284447168</v>
      </c>
      <c r="N84" s="41">
        <f>M84+'Tilikauden tulos'!N84+'9. Tulorahkorjauserät'!N84</f>
        <v>4120.524050822045</v>
      </c>
      <c r="O84" s="41">
        <f>N84+'Tilikauden tulos'!O84+'9. Tulorahkorjauserät'!O84</f>
        <v>4122.6414741694216</v>
      </c>
      <c r="P84" s="41">
        <f>O84+'Tilikauden tulos'!P84+'9. Tulorahkorjauserät'!P84</f>
        <v>4264.730110626474</v>
      </c>
      <c r="T84" s="34">
        <v>218</v>
      </c>
      <c r="U84" s="88" t="s">
        <v>398</v>
      </c>
      <c r="V84" s="41">
        <f>C84/'1. Väestöennuste'!E84*1000</f>
        <v>858.29072315558813</v>
      </c>
      <c r="W84" s="41">
        <f>D84/'1. Väestöennuste'!F84*1000</f>
        <v>1192.7353595255745</v>
      </c>
      <c r="X84" s="41">
        <f>E84/'1. Väestöennuste'!G84*1000</f>
        <v>1565.0865312264862</v>
      </c>
      <c r="Y84" s="41">
        <f>F84/'1. Väestöennuste'!H84*1000</f>
        <v>1457.6138147566719</v>
      </c>
      <c r="Z84" s="41">
        <f>G84/'1. Väestöennuste'!I84*1000</f>
        <v>903.61445783132535</v>
      </c>
      <c r="AA84" s="41">
        <f>H84/'1. Väestöennuste'!J84*1000</f>
        <v>2166.5285832642917</v>
      </c>
      <c r="AB84" s="41">
        <f>I84/'1. Väestöennuste'!K84*1000</f>
        <v>2608.1919966442952</v>
      </c>
      <c r="AC84" s="41">
        <f>J84/'1. Väestöennuste'!L84*1000</f>
        <v>2943.3659618955612</v>
      </c>
      <c r="AD84" s="41">
        <f>K84/'1. Väestöennuste'!M84*1000</f>
        <v>3399.3452289504203</v>
      </c>
      <c r="AE84" s="41">
        <f>L84/'1. Väestöennuste'!N84*1000</f>
        <v>3780.3532275174844</v>
      </c>
      <c r="AF84" s="41">
        <f>M84/'1. Väestöennuste'!O84*1000</f>
        <v>3778.2099526146294</v>
      </c>
      <c r="AG84" s="41">
        <f>N84/'1. Väestöennuste'!P84*1000</f>
        <v>3847.3613919907052</v>
      </c>
      <c r="AH84" s="41">
        <f>O84/'1. Väestöennuste'!Q84*1000</f>
        <v>3918.8607168910853</v>
      </c>
      <c r="AI84" s="41">
        <f>P84/'1. Väestöennuste'!R84*1000</f>
        <v>4104.6488071477133</v>
      </c>
      <c r="AK84" s="41">
        <f t="shared" si="17"/>
        <v>0</v>
      </c>
      <c r="AL84" s="41">
        <f t="shared" si="18"/>
        <v>0</v>
      </c>
      <c r="AM84" s="41">
        <f t="shared" si="19"/>
        <v>0</v>
      </c>
      <c r="AN84" s="41">
        <f t="shared" si="20"/>
        <v>0</v>
      </c>
      <c r="AO84" s="41">
        <f t="shared" si="21"/>
        <v>0</v>
      </c>
      <c r="AP84" s="41">
        <f t="shared" si="22"/>
        <v>0</v>
      </c>
      <c r="AQ84" s="41">
        <f t="shared" si="23"/>
        <v>0</v>
      </c>
      <c r="AR84" s="41">
        <f t="shared" si="24"/>
        <v>0</v>
      </c>
      <c r="AS84" s="41">
        <f t="shared" si="25"/>
        <v>0</v>
      </c>
      <c r="AT84" s="41">
        <f t="shared" si="26"/>
        <v>0</v>
      </c>
      <c r="AU84" s="41">
        <f t="shared" si="27"/>
        <v>0</v>
      </c>
      <c r="AV84" s="41">
        <f t="shared" si="28"/>
        <v>0</v>
      </c>
      <c r="AW84" s="41">
        <f t="shared" si="28"/>
        <v>0</v>
      </c>
      <c r="AX84" s="41">
        <f t="shared" si="28"/>
        <v>0</v>
      </c>
    </row>
    <row r="85" spans="1:50" ht="11.25" x14ac:dyDescent="0.2">
      <c r="A85" s="34">
        <v>224</v>
      </c>
      <c r="B85" s="88" t="s">
        <v>399</v>
      </c>
      <c r="C85" s="65">
        <v>500</v>
      </c>
      <c r="D85" s="65">
        <v>1467</v>
      </c>
      <c r="E85" s="65">
        <v>1654</v>
      </c>
      <c r="F85" s="65">
        <v>759</v>
      </c>
      <c r="G85" s="41">
        <v>-2742</v>
      </c>
      <c r="H85" s="41">
        <v>-1098</v>
      </c>
      <c r="I85" s="41">
        <v>-494.56022999999988</v>
      </c>
      <c r="J85" s="41">
        <f>I85+'Tilikauden tulos'!J85+'9. Tulorahkorjauserät'!J85</f>
        <v>1739.2875457252089</v>
      </c>
      <c r="K85" s="41">
        <f>J85+'Tilikauden tulos'!K85+'9. Tulorahkorjauserät'!K85</f>
        <v>3057.2107138478677</v>
      </c>
      <c r="L85" s="41">
        <f>K85+'Tilikauden tulos'!L85+'9. Tulorahkorjauserät'!L85</f>
        <v>3420.1134682614993</v>
      </c>
      <c r="M85" s="41">
        <f>L85+'Tilikauden tulos'!M85+'9. Tulorahkorjauserät'!M85</f>
        <v>2995.773383572232</v>
      </c>
      <c r="N85" s="41">
        <f>M85+'Tilikauden tulos'!N85+'9. Tulorahkorjauserät'!N85</f>
        <v>2889.3198367440141</v>
      </c>
      <c r="O85" s="41">
        <f>N85+'Tilikauden tulos'!O85+'9. Tulorahkorjauserät'!O85</f>
        <v>2575.140464320561</v>
      </c>
      <c r="P85" s="41">
        <f>O85+'Tilikauden tulos'!P85+'9. Tulorahkorjauserät'!P85</f>
        <v>3204.9667612082208</v>
      </c>
      <c r="T85" s="34">
        <v>224</v>
      </c>
      <c r="U85" s="88" t="s">
        <v>399</v>
      </c>
      <c r="V85" s="41">
        <f>C85/'1. Väestöennuste'!E85*1000</f>
        <v>55.747574980488352</v>
      </c>
      <c r="W85" s="41">
        <f>D85/'1. Väestöennuste'!F85*1000</f>
        <v>164.62798788014811</v>
      </c>
      <c r="X85" s="41">
        <f>E85/'1. Väestöennuste'!G85*1000</f>
        <v>185.84269662921349</v>
      </c>
      <c r="Y85" s="41">
        <f>F85/'1. Väestöennuste'!H85*1000</f>
        <v>86.46616541353383</v>
      </c>
      <c r="Z85" s="41">
        <f>G85/'1. Väestöennuste'!I85*1000</f>
        <v>-314.66605462474178</v>
      </c>
      <c r="AA85" s="41">
        <f>H85/'1. Väestöennuste'!J85*1000</f>
        <v>-126.26494940202393</v>
      </c>
      <c r="AB85" s="41">
        <f>I85/'1. Väestöennuste'!K85*1000</f>
        <v>-56.735141677182497</v>
      </c>
      <c r="AC85" s="41">
        <f>J85/'1. Väestöennuste'!L85*1000</f>
        <v>202.17221268455293</v>
      </c>
      <c r="AD85" s="41">
        <f>K85/'1. Väestöennuste'!M85*1000</f>
        <v>356.27674092155547</v>
      </c>
      <c r="AE85" s="41">
        <f>L85/'1. Väestöennuste'!N85*1000</f>
        <v>403.8391153927854</v>
      </c>
      <c r="AF85" s="41">
        <f>M85/'1. Väestöennuste'!O85*1000</f>
        <v>355.62362103184142</v>
      </c>
      <c r="AG85" s="41">
        <f>N85/'1. Väestöennuste'!P85*1000</f>
        <v>344.54088203482166</v>
      </c>
      <c r="AH85" s="41">
        <f>O85/'1. Väestöennuste'!Q85*1000</f>
        <v>308.43699416942883</v>
      </c>
      <c r="AI85" s="41">
        <f>P85/'1. Väestöennuste'!R85*1000</f>
        <v>385.44398811884793</v>
      </c>
      <c r="AK85" s="41">
        <f t="shared" si="17"/>
        <v>0</v>
      </c>
      <c r="AL85" s="41">
        <f t="shared" si="18"/>
        <v>0</v>
      </c>
      <c r="AM85" s="41">
        <f t="shared" si="19"/>
        <v>0</v>
      </c>
      <c r="AN85" s="41">
        <f t="shared" si="20"/>
        <v>0</v>
      </c>
      <c r="AO85" s="41">
        <f t="shared" si="21"/>
        <v>-1</v>
      </c>
      <c r="AP85" s="41">
        <f t="shared" si="22"/>
        <v>-1</v>
      </c>
      <c r="AQ85" s="41">
        <f t="shared" si="23"/>
        <v>-1</v>
      </c>
      <c r="AR85" s="41">
        <f t="shared" si="24"/>
        <v>0</v>
      </c>
      <c r="AS85" s="41">
        <f t="shared" si="25"/>
        <v>0</v>
      </c>
      <c r="AT85" s="41">
        <f t="shared" si="26"/>
        <v>0</v>
      </c>
      <c r="AU85" s="41">
        <f t="shared" si="27"/>
        <v>0</v>
      </c>
      <c r="AV85" s="41">
        <f t="shared" si="28"/>
        <v>0</v>
      </c>
      <c r="AW85" s="41">
        <f t="shared" si="28"/>
        <v>0</v>
      </c>
      <c r="AX85" s="41">
        <f t="shared" si="28"/>
        <v>0</v>
      </c>
    </row>
    <row r="86" spans="1:50" ht="11.25" x14ac:dyDescent="0.2">
      <c r="A86" s="34">
        <v>226</v>
      </c>
      <c r="B86" s="88" t="s">
        <v>400</v>
      </c>
      <c r="C86" s="65">
        <v>3299</v>
      </c>
      <c r="D86" s="65">
        <v>3299</v>
      </c>
      <c r="E86" s="65">
        <v>4082</v>
      </c>
      <c r="F86" s="65">
        <v>4052</v>
      </c>
      <c r="G86" s="41">
        <v>-843</v>
      </c>
      <c r="H86" s="41">
        <v>1359</v>
      </c>
      <c r="I86" s="41">
        <v>2990.2258500000003</v>
      </c>
      <c r="J86" s="41">
        <f>I86+'Tilikauden tulos'!J86+'9. Tulorahkorjauserät'!J86</f>
        <v>3283.9576232481008</v>
      </c>
      <c r="K86" s="41">
        <f>J86+'Tilikauden tulos'!K86+'9. Tulorahkorjauserät'!K86</f>
        <v>3466.3611379567919</v>
      </c>
      <c r="L86" s="41">
        <f>K86+'Tilikauden tulos'!L86+'9. Tulorahkorjauserät'!L86</f>
        <v>3086.9436668025446</v>
      </c>
      <c r="M86" s="41">
        <f>L86+'Tilikauden tulos'!M86+'9. Tulorahkorjauserät'!M86</f>
        <v>1213.1419971927385</v>
      </c>
      <c r="N86" s="41">
        <f>M86+'Tilikauden tulos'!N86+'9. Tulorahkorjauserät'!N86</f>
        <v>-772.88333707992797</v>
      </c>
      <c r="O86" s="41">
        <f>N86+'Tilikauden tulos'!O86+'9. Tulorahkorjauserät'!O86</f>
        <v>-3116.7436338907833</v>
      </c>
      <c r="P86" s="41">
        <f>O86+'Tilikauden tulos'!P86+'9. Tulorahkorjauserät'!P86</f>
        <v>-5150.4658156488758</v>
      </c>
      <c r="T86" s="34">
        <v>226</v>
      </c>
      <c r="U86" s="88" t="s">
        <v>400</v>
      </c>
      <c r="V86" s="41">
        <f>C86/'1. Väestöennuste'!E86*1000</f>
        <v>772.96157450796625</v>
      </c>
      <c r="W86" s="41">
        <f>D86/'1. Väestöennuste'!F86*1000</f>
        <v>779.5368620037807</v>
      </c>
      <c r="X86" s="41">
        <f>E86/'1. Väestöennuste'!G86*1000</f>
        <v>984.56343463579356</v>
      </c>
      <c r="Y86" s="41">
        <f>F86/'1. Väestöennuste'!H86*1000</f>
        <v>1005.2096254031258</v>
      </c>
      <c r="Z86" s="41">
        <f>G86/'1. Väestöennuste'!I86*1000</f>
        <v>-213.47176500379845</v>
      </c>
      <c r="AA86" s="41">
        <f>H86/'1. Väestöennuste'!J86*1000</f>
        <v>352.2550544323484</v>
      </c>
      <c r="AB86" s="41">
        <f>I86/'1. Väestöennuste'!K86*1000</f>
        <v>792.32269475357714</v>
      </c>
      <c r="AC86" s="41">
        <f>J86/'1. Väestöennuste'!L86*1000</f>
        <v>896.0320936556891</v>
      </c>
      <c r="AD86" s="41">
        <f>K86/'1. Väestöennuste'!M86*1000</f>
        <v>956.23755529842538</v>
      </c>
      <c r="AE86" s="41">
        <f>L86/'1. Väestöennuste'!N86*1000</f>
        <v>866.14580998949066</v>
      </c>
      <c r="AF86" s="41">
        <f>M86/'1. Väestöennuste'!O86*1000</f>
        <v>346.71105950063975</v>
      </c>
      <c r="AG86" s="41">
        <f>N86/'1. Väestöennuste'!P86*1000</f>
        <v>-224.93694327122469</v>
      </c>
      <c r="AH86" s="41">
        <f>O86/'1. Väestöennuste'!Q86*1000</f>
        <v>-923.47959522689871</v>
      </c>
      <c r="AI86" s="41">
        <f>P86/'1. Väestöennuste'!R86*1000</f>
        <v>-1552.7482109282109</v>
      </c>
      <c r="AK86" s="41">
        <f t="shared" si="17"/>
        <v>0</v>
      </c>
      <c r="AL86" s="41">
        <f t="shared" si="18"/>
        <v>0</v>
      </c>
      <c r="AM86" s="41">
        <f t="shared" si="19"/>
        <v>0</v>
      </c>
      <c r="AN86" s="41">
        <f t="shared" si="20"/>
        <v>0</v>
      </c>
      <c r="AO86" s="41">
        <f t="shared" si="21"/>
        <v>-1</v>
      </c>
      <c r="AP86" s="41">
        <f t="shared" si="22"/>
        <v>0</v>
      </c>
      <c r="AQ86" s="41">
        <f t="shared" si="23"/>
        <v>0</v>
      </c>
      <c r="AR86" s="41">
        <f t="shared" si="24"/>
        <v>0</v>
      </c>
      <c r="AS86" s="41">
        <f t="shared" si="25"/>
        <v>0</v>
      </c>
      <c r="AT86" s="41">
        <f t="shared" si="26"/>
        <v>0</v>
      </c>
      <c r="AU86" s="41">
        <f t="shared" si="27"/>
        <v>0</v>
      </c>
      <c r="AV86" s="41">
        <f t="shared" si="28"/>
        <v>-1</v>
      </c>
      <c r="AW86" s="41">
        <f t="shared" si="28"/>
        <v>-1</v>
      </c>
      <c r="AX86" s="41">
        <f t="shared" si="28"/>
        <v>-1</v>
      </c>
    </row>
    <row r="87" spans="1:50" ht="11.25" x14ac:dyDescent="0.2">
      <c r="A87" s="34">
        <v>230</v>
      </c>
      <c r="B87" s="88" t="s">
        <v>401</v>
      </c>
      <c r="C87" s="65">
        <v>10058</v>
      </c>
      <c r="D87" s="65">
        <v>9356</v>
      </c>
      <c r="E87" s="65">
        <v>9574</v>
      </c>
      <c r="F87" s="65">
        <v>8472</v>
      </c>
      <c r="G87" s="41">
        <v>6992</v>
      </c>
      <c r="H87" s="41">
        <v>7743</v>
      </c>
      <c r="I87" s="41">
        <v>8393.6683200000007</v>
      </c>
      <c r="J87" s="41">
        <f>I87+'Tilikauden tulos'!J87+'9. Tulorahkorjauserät'!J87</f>
        <v>8017.3378196389285</v>
      </c>
      <c r="K87" s="41">
        <f>J87+'Tilikauden tulos'!K87+'9. Tulorahkorjauserät'!K87</f>
        <v>7538.9278522791765</v>
      </c>
      <c r="L87" s="41">
        <f>K87+'Tilikauden tulos'!L87+'9. Tulorahkorjauserät'!L87</f>
        <v>7451.7908013821052</v>
      </c>
      <c r="M87" s="41">
        <f>L87+'Tilikauden tulos'!M87+'9. Tulorahkorjauserät'!M87</f>
        <v>6931.4718674251999</v>
      </c>
      <c r="N87" s="41">
        <f>M87+'Tilikauden tulos'!N87+'9. Tulorahkorjauserät'!N87</f>
        <v>6334.4517255769342</v>
      </c>
      <c r="O87" s="41">
        <f>N87+'Tilikauden tulos'!O87+'9. Tulorahkorjauserät'!O87</f>
        <v>5562.2339922700512</v>
      </c>
      <c r="P87" s="41">
        <f>O87+'Tilikauden tulos'!P87+'9. Tulorahkorjauserät'!P87</f>
        <v>5043.8030204901406</v>
      </c>
      <c r="T87" s="34">
        <v>230</v>
      </c>
      <c r="U87" s="88" t="s">
        <v>401</v>
      </c>
      <c r="V87" s="41">
        <f>C87/'1. Väestöennuste'!E87*1000</f>
        <v>4063.8383838383838</v>
      </c>
      <c r="W87" s="41">
        <f>D87/'1. Väestöennuste'!F87*1000</f>
        <v>3820.3348305430786</v>
      </c>
      <c r="X87" s="41">
        <f>E87/'1. Väestöennuste'!G87*1000</f>
        <v>3984.1864336246358</v>
      </c>
      <c r="Y87" s="41">
        <f>F87/'1. Väestöennuste'!H87*1000</f>
        <v>3544.7698744769873</v>
      </c>
      <c r="Z87" s="41">
        <f>G87/'1. Väestöennuste'!I87*1000</f>
        <v>2985.4824935952179</v>
      </c>
      <c r="AA87" s="41">
        <f>H87/'1. Väestöennuste'!J87*1000</f>
        <v>3334.6253229974159</v>
      </c>
      <c r="AB87" s="41">
        <f>I87/'1. Väestöennuste'!K87*1000</f>
        <v>3665.3573449781661</v>
      </c>
      <c r="AC87" s="41">
        <f>J87/'1. Väestöennuste'!L87*1000</f>
        <v>3579.1686694816644</v>
      </c>
      <c r="AD87" s="41">
        <f>K87/'1. Väestöennuste'!M87*1000</f>
        <v>3402.0432546386178</v>
      </c>
      <c r="AE87" s="41">
        <f>L87/'1. Väestöennuste'!N87*1000</f>
        <v>3373.3774564880514</v>
      </c>
      <c r="AF87" s="41">
        <f>M87/'1. Väestöennuste'!O87*1000</f>
        <v>3175.2047033555659</v>
      </c>
      <c r="AG87" s="41">
        <f>N87/'1. Väestöennuste'!P87*1000</f>
        <v>2931.2594750471699</v>
      </c>
      <c r="AH87" s="41">
        <f>O87/'1. Väestöennuste'!Q87*1000</f>
        <v>2599.1747627430145</v>
      </c>
      <c r="AI87" s="41">
        <f>P87/'1. Väestöennuste'!R87*1000</f>
        <v>2379.1523681557269</v>
      </c>
      <c r="AK87" s="41">
        <f t="shared" si="17"/>
        <v>0</v>
      </c>
      <c r="AL87" s="41">
        <f t="shared" si="18"/>
        <v>0</v>
      </c>
      <c r="AM87" s="41">
        <f t="shared" si="19"/>
        <v>0</v>
      </c>
      <c r="AN87" s="41">
        <f t="shared" si="20"/>
        <v>0</v>
      </c>
      <c r="AO87" s="41">
        <f t="shared" si="21"/>
        <v>0</v>
      </c>
      <c r="AP87" s="41">
        <f t="shared" si="22"/>
        <v>0</v>
      </c>
      <c r="AQ87" s="41">
        <f t="shared" si="23"/>
        <v>0</v>
      </c>
      <c r="AR87" s="41">
        <f t="shared" si="24"/>
        <v>0</v>
      </c>
      <c r="AS87" s="41">
        <f t="shared" si="25"/>
        <v>0</v>
      </c>
      <c r="AT87" s="41">
        <f t="shared" si="26"/>
        <v>0</v>
      </c>
      <c r="AU87" s="41">
        <f t="shared" si="27"/>
        <v>0</v>
      </c>
      <c r="AV87" s="41">
        <f t="shared" si="28"/>
        <v>0</v>
      </c>
      <c r="AW87" s="41">
        <f t="shared" si="28"/>
        <v>0</v>
      </c>
      <c r="AX87" s="41">
        <f t="shared" si="28"/>
        <v>0</v>
      </c>
    </row>
    <row r="88" spans="1:50" ht="11.25" x14ac:dyDescent="0.2">
      <c r="A88" s="34">
        <v>231</v>
      </c>
      <c r="B88" s="88" t="s">
        <v>402</v>
      </c>
      <c r="C88" s="65">
        <v>8795</v>
      </c>
      <c r="D88" s="65">
        <v>7711</v>
      </c>
      <c r="E88" s="65">
        <v>7474</v>
      </c>
      <c r="F88" s="65">
        <v>6080</v>
      </c>
      <c r="G88" s="41">
        <v>5732</v>
      </c>
      <c r="H88" s="41">
        <v>4776</v>
      </c>
      <c r="I88" s="41">
        <v>3594.4021699999998</v>
      </c>
      <c r="J88" s="41">
        <f>I88+'Tilikauden tulos'!J88+'9. Tulorahkorjauserät'!J88</f>
        <v>3113.1592247449935</v>
      </c>
      <c r="K88" s="41">
        <f>J88+'Tilikauden tulos'!K88+'9. Tulorahkorjauserät'!K88</f>
        <v>1918.1297846408775</v>
      </c>
      <c r="L88" s="41">
        <f>K88+'Tilikauden tulos'!L88+'9. Tulorahkorjauserät'!L88</f>
        <v>1099.8611155656663</v>
      </c>
      <c r="M88" s="41">
        <f>L88+'Tilikauden tulos'!M88+'9. Tulorahkorjauserät'!M88</f>
        <v>92.391194573310599</v>
      </c>
      <c r="N88" s="41">
        <f>M88+'Tilikauden tulos'!N88+'9. Tulorahkorjauserät'!N88</f>
        <v>-1001.7673588024301</v>
      </c>
      <c r="O88" s="41">
        <f>N88+'Tilikauden tulos'!O88+'9. Tulorahkorjauserät'!O88</f>
        <v>-2243.8385420436894</v>
      </c>
      <c r="P88" s="41">
        <f>O88+'Tilikauden tulos'!P88+'9. Tulorahkorjauserät'!P88</f>
        <v>-3440.4027091395674</v>
      </c>
      <c r="T88" s="34">
        <v>231</v>
      </c>
      <c r="U88" s="88" t="s">
        <v>402</v>
      </c>
      <c r="V88" s="41">
        <f>C88/'1. Väestöennuste'!E88*1000</f>
        <v>6844.3579766536959</v>
      </c>
      <c r="W88" s="41">
        <f>D88/'1. Väestöennuste'!F88*1000</f>
        <v>5949.8456790123455</v>
      </c>
      <c r="X88" s="41">
        <f>E88/'1. Väestöennuste'!G88*1000</f>
        <v>5866.5620094191527</v>
      </c>
      <c r="Y88" s="41">
        <f>F88/'1. Väestöennuste'!H88*1000</f>
        <v>4817.749603803486</v>
      </c>
      <c r="Z88" s="41">
        <f>G88/'1. Väestöennuste'!I88*1000</f>
        <v>4600.3210272873193</v>
      </c>
      <c r="AA88" s="41">
        <f>H88/'1. Väestöennuste'!J88*1000</f>
        <v>3737.0892018779346</v>
      </c>
      <c r="AB88" s="41">
        <f>I88/'1. Väestöennuste'!K88*1000</f>
        <v>2788.5199146625287</v>
      </c>
      <c r="AC88" s="41">
        <f>J88/'1. Väestöennuste'!L88*1000</f>
        <v>2478.6299560071602</v>
      </c>
      <c r="AD88" s="41">
        <f>K88/'1. Väestöennuste'!M88*1000</f>
        <v>1587.8557819874814</v>
      </c>
      <c r="AE88" s="41">
        <f>L88/'1. Väestöennuste'!N88*1000</f>
        <v>844.74740058806924</v>
      </c>
      <c r="AF88" s="41">
        <f>M88/'1. Väestöennuste'!O88*1000</f>
        <v>70.743640561493564</v>
      </c>
      <c r="AG88" s="41">
        <f>N88/'1. Väestöennuste'!P88*1000</f>
        <v>-764.12460625662095</v>
      </c>
      <c r="AH88" s="41">
        <f>O88/'1. Väestöennuste'!Q88*1000</f>
        <v>-1707.6396819206159</v>
      </c>
      <c r="AI88" s="41">
        <f>P88/'1. Väestöennuste'!R88*1000</f>
        <v>-2612.3027404248801</v>
      </c>
      <c r="AK88" s="41">
        <f t="shared" si="17"/>
        <v>0</v>
      </c>
      <c r="AL88" s="41">
        <f t="shared" si="18"/>
        <v>0</v>
      </c>
      <c r="AM88" s="41">
        <f t="shared" si="19"/>
        <v>0</v>
      </c>
      <c r="AN88" s="41">
        <f t="shared" si="20"/>
        <v>0</v>
      </c>
      <c r="AO88" s="41">
        <f t="shared" si="21"/>
        <v>0</v>
      </c>
      <c r="AP88" s="41">
        <f t="shared" si="22"/>
        <v>0</v>
      </c>
      <c r="AQ88" s="41">
        <f t="shared" si="23"/>
        <v>0</v>
      </c>
      <c r="AR88" s="41">
        <f t="shared" si="24"/>
        <v>0</v>
      </c>
      <c r="AS88" s="41">
        <f t="shared" si="25"/>
        <v>0</v>
      </c>
      <c r="AT88" s="41">
        <f t="shared" si="26"/>
        <v>0</v>
      </c>
      <c r="AU88" s="41">
        <f t="shared" si="27"/>
        <v>0</v>
      </c>
      <c r="AV88" s="41">
        <f t="shared" si="28"/>
        <v>-1</v>
      </c>
      <c r="AW88" s="41">
        <f t="shared" si="28"/>
        <v>-1</v>
      </c>
      <c r="AX88" s="41">
        <f t="shared" si="28"/>
        <v>-1</v>
      </c>
    </row>
    <row r="89" spans="1:50" ht="11.25" x14ac:dyDescent="0.2">
      <c r="A89" s="34">
        <v>232</v>
      </c>
      <c r="B89" s="88" t="s">
        <v>403</v>
      </c>
      <c r="C89" s="65">
        <v>-10393</v>
      </c>
      <c r="D89" s="65">
        <v>-11318</v>
      </c>
      <c r="E89" s="65">
        <v>-10302</v>
      </c>
      <c r="F89" s="65">
        <v>-13200</v>
      </c>
      <c r="G89" s="41">
        <v>-7315</v>
      </c>
      <c r="H89" s="41">
        <v>-6633</v>
      </c>
      <c r="I89" s="41">
        <v>-5087.1281600000002</v>
      </c>
      <c r="J89" s="41">
        <f>I89+'Tilikauden tulos'!J89+'9. Tulorahkorjauserät'!J89</f>
        <v>-2784.0750276567455</v>
      </c>
      <c r="K89" s="41">
        <f>J89+'Tilikauden tulos'!K89+'9. Tulorahkorjauserät'!K89</f>
        <v>706.25986817447085</v>
      </c>
      <c r="L89" s="41">
        <f>K89+'Tilikauden tulos'!L89+'9. Tulorahkorjauserät'!L89</f>
        <v>1064.2002291813556</v>
      </c>
      <c r="M89" s="41">
        <f>L89+'Tilikauden tulos'!M89+'9. Tulorahkorjauserät'!M89</f>
        <v>-1899.8024009660926</v>
      </c>
      <c r="N89" s="41">
        <f>M89+'Tilikauden tulos'!N89+'9. Tulorahkorjauserät'!N89</f>
        <v>-3619.5325070877329</v>
      </c>
      <c r="O89" s="41">
        <f>N89+'Tilikauden tulos'!O89+'9. Tulorahkorjauserät'!O89</f>
        <v>-5646.4804092136637</v>
      </c>
      <c r="P89" s="41">
        <f>O89+'Tilikauden tulos'!P89+'9. Tulorahkorjauserät'!P89</f>
        <v>-6499.7044265806262</v>
      </c>
      <c r="T89" s="34">
        <v>232</v>
      </c>
      <c r="U89" s="88" t="s">
        <v>403</v>
      </c>
      <c r="V89" s="41">
        <f>C89/'1. Väestöennuste'!E89*1000</f>
        <v>-749.04504504504507</v>
      </c>
      <c r="W89" s="41">
        <f>D89/'1. Väestöennuste'!F89*1000</f>
        <v>-821.81237293058382</v>
      </c>
      <c r="X89" s="41">
        <f>E89/'1. Väestöennuste'!G89*1000</f>
        <v>-756.94342395297576</v>
      </c>
      <c r="Y89" s="41">
        <f>F89/'1. Väestöennuste'!H89*1000</f>
        <v>-986.91588785046724</v>
      </c>
      <c r="Z89" s="41">
        <f>G89/'1. Väestöennuste'!I89*1000</f>
        <v>-554.83919902912623</v>
      </c>
      <c r="AA89" s="41">
        <f>H89/'1. Väestöennuste'!J89*1000</f>
        <v>-509.9561774429153</v>
      </c>
      <c r="AB89" s="41">
        <f>I89/'1. Väestöennuste'!K89*1000</f>
        <v>-394.65695577967421</v>
      </c>
      <c r="AC89" s="41">
        <f>J89/'1. Väestöennuste'!L89*1000</f>
        <v>-218.35882569856827</v>
      </c>
      <c r="AD89" s="41">
        <f>K89/'1. Väestöennuste'!M89*1000</f>
        <v>55.972409904459568</v>
      </c>
      <c r="AE89" s="41">
        <f>L89/'1. Väestöennuste'!N89*1000</f>
        <v>85.919605133324367</v>
      </c>
      <c r="AF89" s="41">
        <f>M89/'1. Väestöennuste'!O89*1000</f>
        <v>-155.07325124202862</v>
      </c>
      <c r="AG89" s="41">
        <f>N89/'1. Väestöennuste'!P89*1000</f>
        <v>-298.6412959643344</v>
      </c>
      <c r="AH89" s="41">
        <f>O89/'1. Väestöennuste'!Q89*1000</f>
        <v>-470.97175821283378</v>
      </c>
      <c r="AI89" s="41">
        <f>P89/'1. Väestöennuste'!R89*1000</f>
        <v>-548.26692759009916</v>
      </c>
      <c r="AK89" s="41">
        <f t="shared" si="17"/>
        <v>-1</v>
      </c>
      <c r="AL89" s="41">
        <f t="shared" si="18"/>
        <v>-1</v>
      </c>
      <c r="AM89" s="41">
        <f t="shared" si="19"/>
        <v>-1</v>
      </c>
      <c r="AN89" s="41">
        <f t="shared" si="20"/>
        <v>-1</v>
      </c>
      <c r="AO89" s="41">
        <f t="shared" si="21"/>
        <v>-1</v>
      </c>
      <c r="AP89" s="41">
        <f t="shared" si="22"/>
        <v>-1</v>
      </c>
      <c r="AQ89" s="41">
        <f t="shared" si="23"/>
        <v>-1</v>
      </c>
      <c r="AR89" s="41">
        <f t="shared" si="24"/>
        <v>-1</v>
      </c>
      <c r="AS89" s="41">
        <f t="shared" si="25"/>
        <v>0</v>
      </c>
      <c r="AT89" s="41">
        <f t="shared" si="26"/>
        <v>0</v>
      </c>
      <c r="AU89" s="41">
        <f t="shared" si="27"/>
        <v>-1</v>
      </c>
      <c r="AV89" s="41">
        <f t="shared" si="28"/>
        <v>-1</v>
      </c>
      <c r="AW89" s="41">
        <f t="shared" si="28"/>
        <v>-1</v>
      </c>
      <c r="AX89" s="41">
        <f t="shared" si="28"/>
        <v>-1</v>
      </c>
    </row>
    <row r="90" spans="1:50" ht="11.25" x14ac:dyDescent="0.2">
      <c r="A90" s="34">
        <v>233</v>
      </c>
      <c r="B90" s="88" t="s">
        <v>404</v>
      </c>
      <c r="C90" s="65">
        <v>10272</v>
      </c>
      <c r="D90" s="65">
        <v>10984</v>
      </c>
      <c r="E90" s="65">
        <v>14050</v>
      </c>
      <c r="F90" s="65">
        <v>9227</v>
      </c>
      <c r="G90" s="41">
        <v>2393</v>
      </c>
      <c r="H90" s="41">
        <v>6808</v>
      </c>
      <c r="I90" s="41">
        <v>9484.8641400000015</v>
      </c>
      <c r="J90" s="41">
        <f>I90+'Tilikauden tulos'!J90+'9. Tulorahkorjauserät'!J90</f>
        <v>11374.168914266962</v>
      </c>
      <c r="K90" s="41">
        <f>J90+'Tilikauden tulos'!K90+'9. Tulorahkorjauserät'!K90</f>
        <v>12882.255533148373</v>
      </c>
      <c r="L90" s="41">
        <f>K90+'Tilikauden tulos'!L90+'9. Tulorahkorjauserät'!L90</f>
        <v>13461.736169752085</v>
      </c>
      <c r="M90" s="41">
        <f>L90+'Tilikauden tulos'!M90+'9. Tulorahkorjauserät'!M90</f>
        <v>12056.377534997178</v>
      </c>
      <c r="N90" s="41">
        <f>M90+'Tilikauden tulos'!N90+'9. Tulorahkorjauserät'!N90</f>
        <v>12074.100331420328</v>
      </c>
      <c r="O90" s="41">
        <f>N90+'Tilikauden tulos'!O90+'9. Tulorahkorjauserät'!O90</f>
        <v>11747.222589412733</v>
      </c>
      <c r="P90" s="41">
        <f>O90+'Tilikauden tulos'!P90+'9. Tulorahkorjauserät'!P90</f>
        <v>13592.766969850796</v>
      </c>
      <c r="T90" s="34">
        <v>233</v>
      </c>
      <c r="U90" s="88" t="s">
        <v>404</v>
      </c>
      <c r="V90" s="41">
        <f>C90/'1. Väestöennuste'!E90*1000</f>
        <v>612.01143946615821</v>
      </c>
      <c r="W90" s="41">
        <f>D90/'1. Väestöennuste'!F90*1000</f>
        <v>661.72661003674921</v>
      </c>
      <c r="X90" s="41">
        <f>E90/'1. Väestöennuste'!G90*1000</f>
        <v>863.128148421182</v>
      </c>
      <c r="Y90" s="41">
        <f>F90/'1. Väestöennuste'!H90*1000</f>
        <v>575.895643490201</v>
      </c>
      <c r="Z90" s="41">
        <f>G90/'1. Väestöennuste'!I90*1000</f>
        <v>152.16838356861248</v>
      </c>
      <c r="AA90" s="41">
        <f>H90/'1. Väestöennuste'!J90*1000</f>
        <v>438.82944437282458</v>
      </c>
      <c r="AB90" s="41">
        <f>I90/'1. Väestöennuste'!K90*1000</f>
        <v>619.43992554858937</v>
      </c>
      <c r="AC90" s="41">
        <f>J90/'1. Väestöennuste'!L90*1000</f>
        <v>752.45891203142116</v>
      </c>
      <c r="AD90" s="41">
        <f>K90/'1. Väestöennuste'!M90*1000</f>
        <v>849.47283436520763</v>
      </c>
      <c r="AE90" s="41">
        <f>L90/'1. Väestöennuste'!N90*1000</f>
        <v>921.09039820404269</v>
      </c>
      <c r="AF90" s="41">
        <f>M90/'1. Väestöennuste'!O90*1000</f>
        <v>836.55131383549679</v>
      </c>
      <c r="AG90" s="41">
        <f>N90/'1. Väestöennuste'!P90*1000</f>
        <v>849.3915111797628</v>
      </c>
      <c r="AH90" s="41">
        <f>O90/'1. Väestöennuste'!Q90*1000</f>
        <v>837.53191140829404</v>
      </c>
      <c r="AI90" s="41">
        <f>P90/'1. Väestöennuste'!R90*1000</f>
        <v>981.99443504195892</v>
      </c>
      <c r="AK90" s="41">
        <f t="shared" si="17"/>
        <v>0</v>
      </c>
      <c r="AL90" s="41">
        <f t="shared" si="18"/>
        <v>0</v>
      </c>
      <c r="AM90" s="41">
        <f t="shared" si="19"/>
        <v>0</v>
      </c>
      <c r="AN90" s="41">
        <f t="shared" si="20"/>
        <v>0</v>
      </c>
      <c r="AO90" s="41">
        <f t="shared" si="21"/>
        <v>0</v>
      </c>
      <c r="AP90" s="41">
        <f t="shared" si="22"/>
        <v>0</v>
      </c>
      <c r="AQ90" s="41">
        <f t="shared" si="23"/>
        <v>0</v>
      </c>
      <c r="AR90" s="41">
        <f t="shared" si="24"/>
        <v>0</v>
      </c>
      <c r="AS90" s="41">
        <f t="shared" si="25"/>
        <v>0</v>
      </c>
      <c r="AT90" s="41">
        <f t="shared" si="26"/>
        <v>0</v>
      </c>
      <c r="AU90" s="41">
        <f t="shared" si="27"/>
        <v>0</v>
      </c>
      <c r="AV90" s="41">
        <f t="shared" si="28"/>
        <v>0</v>
      </c>
      <c r="AW90" s="41">
        <f t="shared" si="28"/>
        <v>0</v>
      </c>
      <c r="AX90" s="41">
        <f t="shared" si="28"/>
        <v>0</v>
      </c>
    </row>
    <row r="91" spans="1:50" ht="11.25" x14ac:dyDescent="0.2">
      <c r="A91" s="34">
        <v>235</v>
      </c>
      <c r="B91" s="88" t="s">
        <v>405</v>
      </c>
      <c r="C91" s="65">
        <v>39100</v>
      </c>
      <c r="D91" s="65">
        <v>44746</v>
      </c>
      <c r="E91" s="65">
        <v>50976</v>
      </c>
      <c r="F91" s="65">
        <v>54204</v>
      </c>
      <c r="G91" s="41">
        <v>52713</v>
      </c>
      <c r="H91" s="41">
        <v>54368</v>
      </c>
      <c r="I91" s="41">
        <v>52845.961940000001</v>
      </c>
      <c r="J91" s="41">
        <f>I91+'Tilikauden tulos'!J91+'9. Tulorahkorjauserät'!J91</f>
        <v>64186.35524574569</v>
      </c>
      <c r="K91" s="41">
        <f>J91+'Tilikauden tulos'!K91+'9. Tulorahkorjauserät'!K91</f>
        <v>66294.280060511766</v>
      </c>
      <c r="L91" s="41">
        <f>K91+'Tilikauden tulos'!L91+'9. Tulorahkorjauserät'!L91</f>
        <v>64970.581329617824</v>
      </c>
      <c r="M91" s="41">
        <f>L91+'Tilikauden tulos'!M91+'9. Tulorahkorjauserät'!M91</f>
        <v>62613.274935543122</v>
      </c>
      <c r="N91" s="41">
        <f>M91+'Tilikauden tulos'!N91+'9. Tulorahkorjauserät'!N91</f>
        <v>58424.074156153081</v>
      </c>
      <c r="O91" s="41">
        <f>N91+'Tilikauden tulos'!O91+'9. Tulorahkorjauserät'!O91</f>
        <v>52318.750931816008</v>
      </c>
      <c r="P91" s="41">
        <f>O91+'Tilikauden tulos'!P91+'9. Tulorahkorjauserät'!P91</f>
        <v>44886.297082139536</v>
      </c>
      <c r="T91" s="34">
        <v>235</v>
      </c>
      <c r="U91" s="88" t="s">
        <v>405</v>
      </c>
      <c r="V91" s="41">
        <f>C91/'1. Väestöennuste'!E91*1000</f>
        <v>4121.8637992831536</v>
      </c>
      <c r="W91" s="41">
        <f>D91/'1. Väestöennuste'!F91*1000</f>
        <v>4761.7324678088753</v>
      </c>
      <c r="X91" s="41">
        <f>E91/'1. Väestöennuste'!G91*1000</f>
        <v>5296.7581047381545</v>
      </c>
      <c r="Y91" s="41">
        <f>F91/'1. Väestöennuste'!H91*1000</f>
        <v>5637.4414976599064</v>
      </c>
      <c r="Z91" s="41">
        <f>G91/'1. Väestöennuste'!I91*1000</f>
        <v>5380.5246504031848</v>
      </c>
      <c r="AA91" s="41">
        <f>H91/'1. Väestöennuste'!J91*1000</f>
        <v>5341.7174297504425</v>
      </c>
      <c r="AB91" s="41">
        <f>I91/'1. Väestöennuste'!K91*1000</f>
        <v>5083.2976086956523</v>
      </c>
      <c r="AC91" s="41">
        <f>J91/'1. Väestöennuste'!L91*1000</f>
        <v>6241.3803233902845</v>
      </c>
      <c r="AD91" s="41">
        <f>K91/'1. Väestöennuste'!M91*1000</f>
        <v>6455.1392463984193</v>
      </c>
      <c r="AE91" s="41">
        <f>L91/'1. Väestöennuste'!N91*1000</f>
        <v>6083.9574238803098</v>
      </c>
      <c r="AF91" s="41">
        <f>M91/'1. Väestöennuste'!O91*1000</f>
        <v>5795.9154804723803</v>
      </c>
      <c r="AG91" s="41">
        <f>N91/'1. Väestöennuste'!P91*1000</f>
        <v>5348.2308821084844</v>
      </c>
      <c r="AH91" s="41">
        <f>O91/'1. Väestöennuste'!Q91*1000</f>
        <v>4739.8759677311118</v>
      </c>
      <c r="AI91" s="41">
        <f>P91/'1. Väestöennuste'!R91*1000</f>
        <v>4026.7603016183307</v>
      </c>
      <c r="AK91" s="41">
        <f t="shared" si="17"/>
        <v>0</v>
      </c>
      <c r="AL91" s="41">
        <f t="shared" si="18"/>
        <v>0</v>
      </c>
      <c r="AM91" s="41">
        <f t="shared" si="19"/>
        <v>0</v>
      </c>
      <c r="AN91" s="41">
        <f t="shared" si="20"/>
        <v>0</v>
      </c>
      <c r="AO91" s="41">
        <f t="shared" si="21"/>
        <v>0</v>
      </c>
      <c r="AP91" s="41">
        <f t="shared" si="22"/>
        <v>0</v>
      </c>
      <c r="AQ91" s="41">
        <f t="shared" si="23"/>
        <v>0</v>
      </c>
      <c r="AR91" s="41">
        <f t="shared" si="24"/>
        <v>0</v>
      </c>
      <c r="AS91" s="41">
        <f t="shared" si="25"/>
        <v>0</v>
      </c>
      <c r="AT91" s="41">
        <f t="shared" si="26"/>
        <v>0</v>
      </c>
      <c r="AU91" s="41">
        <f t="shared" si="27"/>
        <v>0</v>
      </c>
      <c r="AV91" s="41">
        <f t="shared" si="28"/>
        <v>0</v>
      </c>
      <c r="AW91" s="41">
        <f t="shared" si="28"/>
        <v>0</v>
      </c>
      <c r="AX91" s="41">
        <f t="shared" si="28"/>
        <v>0</v>
      </c>
    </row>
    <row r="92" spans="1:50" ht="11.25" x14ac:dyDescent="0.2">
      <c r="A92" s="34">
        <v>236</v>
      </c>
      <c r="B92" s="88" t="s">
        <v>406</v>
      </c>
      <c r="C92" s="65">
        <v>-646</v>
      </c>
      <c r="D92" s="65">
        <v>3</v>
      </c>
      <c r="E92" s="65">
        <v>-210</v>
      </c>
      <c r="F92" s="65">
        <v>-522</v>
      </c>
      <c r="G92" s="41">
        <v>-2268</v>
      </c>
      <c r="H92" s="41">
        <v>-535</v>
      </c>
      <c r="I92" s="41">
        <v>297.94698999999997</v>
      </c>
      <c r="J92" s="41">
        <f>I92+'Tilikauden tulos'!J92+'9. Tulorahkorjauserät'!J92</f>
        <v>2562.5884823158244</v>
      </c>
      <c r="K92" s="41">
        <f>J92+'Tilikauden tulos'!K92+'9. Tulorahkorjauserät'!K92</f>
        <v>2581.8820684168963</v>
      </c>
      <c r="L92" s="41">
        <f>K92+'Tilikauden tulos'!L92+'9. Tulorahkorjauserät'!L92</f>
        <v>2625.4136598145205</v>
      </c>
      <c r="M92" s="41">
        <f>L92+'Tilikauden tulos'!M92+'9. Tulorahkorjauserät'!M92</f>
        <v>1810.2542711596861</v>
      </c>
      <c r="N92" s="41">
        <f>M92+'Tilikauden tulos'!N92+'9. Tulorahkorjauserät'!N92</f>
        <v>1345.2716763276721</v>
      </c>
      <c r="O92" s="41">
        <f>N92+'Tilikauden tulos'!O92+'9. Tulorahkorjauserät'!O92</f>
        <v>1056.1105811860418</v>
      </c>
      <c r="P92" s="41">
        <f>O92+'Tilikauden tulos'!P92+'9. Tulorahkorjauserät'!P92</f>
        <v>1005.4333611627658</v>
      </c>
      <c r="T92" s="34">
        <v>236</v>
      </c>
      <c r="U92" s="88" t="s">
        <v>406</v>
      </c>
      <c r="V92" s="41">
        <f>C92/'1. Väestöennuste'!E92*1000</f>
        <v>-150.05807200929152</v>
      </c>
      <c r="W92" s="41">
        <f>D92/'1. Väestöennuste'!F92*1000</f>
        <v>0.69799906933457423</v>
      </c>
      <c r="X92" s="41">
        <f>E92/'1. Väestöennuste'!G92*1000</f>
        <v>-48.735205384079833</v>
      </c>
      <c r="Y92" s="41">
        <f>F92/'1. Väestöennuste'!H92*1000</f>
        <v>-122.16241516498947</v>
      </c>
      <c r="Z92" s="41">
        <f>G92/'1. Väestöennuste'!I92*1000</f>
        <v>-532.26942032386762</v>
      </c>
      <c r="AA92" s="41">
        <f>H92/'1. Väestöennuste'!J92*1000</f>
        <v>-126.53736991485337</v>
      </c>
      <c r="AB92" s="41">
        <f>I92/'1. Väestöennuste'!K92*1000</f>
        <v>71.007385605338413</v>
      </c>
      <c r="AC92" s="41">
        <f>J92/'1. Väestöennuste'!L92*1000</f>
        <v>610.43079616860996</v>
      </c>
      <c r="AD92" s="41">
        <f>K92/'1. Väestöennuste'!M92*1000</f>
        <v>624.09525463304237</v>
      </c>
      <c r="AE92" s="41">
        <f>L92/'1. Väestöennuste'!N92*1000</f>
        <v>637.2363251976991</v>
      </c>
      <c r="AF92" s="41">
        <f>M92/'1. Väestöennuste'!O92*1000</f>
        <v>442.71319910973006</v>
      </c>
      <c r="AG92" s="41">
        <f>N92/'1. Väestöennuste'!P92*1000</f>
        <v>331.51100944496602</v>
      </c>
      <c r="AH92" s="41">
        <f>O92/'1. Väestöennuste'!Q92*1000</f>
        <v>262.25740779390162</v>
      </c>
      <c r="AI92" s="41">
        <f>P92/'1. Väestöennuste'!R92*1000</f>
        <v>251.60995024093236</v>
      </c>
      <c r="AK92" s="41">
        <f t="shared" si="17"/>
        <v>-1</v>
      </c>
      <c r="AL92" s="41">
        <f t="shared" si="18"/>
        <v>0</v>
      </c>
      <c r="AM92" s="41">
        <f t="shared" si="19"/>
        <v>-1</v>
      </c>
      <c r="AN92" s="41">
        <f t="shared" si="20"/>
        <v>-1</v>
      </c>
      <c r="AO92" s="41">
        <f t="shared" si="21"/>
        <v>-1</v>
      </c>
      <c r="AP92" s="41">
        <f t="shared" si="22"/>
        <v>-1</v>
      </c>
      <c r="AQ92" s="41">
        <f t="shared" si="23"/>
        <v>0</v>
      </c>
      <c r="AR92" s="41">
        <f t="shared" si="24"/>
        <v>0</v>
      </c>
      <c r="AS92" s="41">
        <f t="shared" si="25"/>
        <v>0</v>
      </c>
      <c r="AT92" s="41">
        <f t="shared" si="26"/>
        <v>0</v>
      </c>
      <c r="AU92" s="41">
        <f t="shared" si="27"/>
        <v>0</v>
      </c>
      <c r="AV92" s="41">
        <f t="shared" si="28"/>
        <v>0</v>
      </c>
      <c r="AW92" s="41">
        <f t="shared" si="28"/>
        <v>0</v>
      </c>
      <c r="AX92" s="41">
        <f t="shared" si="28"/>
        <v>0</v>
      </c>
    </row>
    <row r="93" spans="1:50" ht="11.25" x14ac:dyDescent="0.2">
      <c r="A93" s="34">
        <v>239</v>
      </c>
      <c r="B93" s="88" t="s">
        <v>407</v>
      </c>
      <c r="C93" s="65">
        <v>123</v>
      </c>
      <c r="D93" s="65">
        <v>137</v>
      </c>
      <c r="E93" s="65">
        <v>-584</v>
      </c>
      <c r="F93" s="65">
        <v>-1095</v>
      </c>
      <c r="G93" s="41">
        <v>-639</v>
      </c>
      <c r="H93" s="41">
        <v>-38</v>
      </c>
      <c r="I93" s="41">
        <v>598.02764999999988</v>
      </c>
      <c r="J93" s="41">
        <f>I93+'Tilikauden tulos'!J93+'9. Tulorahkorjauserät'!J93</f>
        <v>1053.617716315315</v>
      </c>
      <c r="K93" s="41">
        <f>J93+'Tilikauden tulos'!K93+'9. Tulorahkorjauserät'!K93</f>
        <v>588.30933304540531</v>
      </c>
      <c r="L93" s="41">
        <f>K93+'Tilikauden tulos'!L93+'9. Tulorahkorjauserät'!L93</f>
        <v>3383.3758845110974</v>
      </c>
      <c r="M93" s="41">
        <f>L93+'Tilikauden tulos'!M93+'9. Tulorahkorjauserät'!M93</f>
        <v>5019.6689126660258</v>
      </c>
      <c r="N93" s="41">
        <f>M93+'Tilikauden tulos'!N93+'9. Tulorahkorjauserät'!N93</f>
        <v>6427.5876023109749</v>
      </c>
      <c r="O93" s="41">
        <f>N93+'Tilikauden tulos'!O93+'9. Tulorahkorjauserät'!O93</f>
        <v>7981.3692835055226</v>
      </c>
      <c r="P93" s="41">
        <f>O93+'Tilikauden tulos'!P93+'9. Tulorahkorjauserät'!P93</f>
        <v>9574.0668447929347</v>
      </c>
      <c r="T93" s="34">
        <v>239</v>
      </c>
      <c r="U93" s="88" t="s">
        <v>407</v>
      </c>
      <c r="V93" s="41">
        <f>C93/'1. Väestöennuste'!E93*1000</f>
        <v>51.70239596469105</v>
      </c>
      <c r="W93" s="41">
        <f>D93/'1. Väestöennuste'!F93*1000</f>
        <v>58.397271952259167</v>
      </c>
      <c r="X93" s="41">
        <f>E93/'1. Väestöennuste'!G93*1000</f>
        <v>-252.92334343871809</v>
      </c>
      <c r="Y93" s="41">
        <f>F93/'1. Väestöennuste'!H93*1000</f>
        <v>-487.9679144385027</v>
      </c>
      <c r="Z93" s="41">
        <f>G93/'1. Väestöennuste'!I93*1000</f>
        <v>-290.19073569482288</v>
      </c>
      <c r="AA93" s="41">
        <f>H93/'1. Väestöennuste'!J93*1000</f>
        <v>-17.633410672853827</v>
      </c>
      <c r="AB93" s="41">
        <f>I93/'1. Väestöennuste'!K93*1000</f>
        <v>285.45472553699278</v>
      </c>
      <c r="AC93" s="41">
        <f>J93/'1. Väestöennuste'!L93*1000</f>
        <v>519.27930818891821</v>
      </c>
      <c r="AD93" s="41">
        <f>K93/'1. Väestöennuste'!M93*1000</f>
        <v>289.09549535400754</v>
      </c>
      <c r="AE93" s="41">
        <f>L93/'1. Väestöennuste'!N93*1000</f>
        <v>1687.4692690828417</v>
      </c>
      <c r="AF93" s="41">
        <f>M93/'1. Väestöennuste'!O93*1000</f>
        <v>2546.7625127681513</v>
      </c>
      <c r="AG93" s="41">
        <f>N93/'1. Väestöennuste'!P93*1000</f>
        <v>3308.0739075198017</v>
      </c>
      <c r="AH93" s="41">
        <f>O93/'1. Väestöennuste'!Q93*1000</f>
        <v>4169.9944009955707</v>
      </c>
      <c r="AI93" s="41">
        <f>P93/'1. Väestöennuste'!R93*1000</f>
        <v>5068.3254869205584</v>
      </c>
      <c r="AK93" s="41">
        <f t="shared" si="17"/>
        <v>0</v>
      </c>
      <c r="AL93" s="41">
        <f t="shared" si="18"/>
        <v>0</v>
      </c>
      <c r="AM93" s="41">
        <f t="shared" si="19"/>
        <v>-1</v>
      </c>
      <c r="AN93" s="41">
        <f t="shared" si="20"/>
        <v>-1</v>
      </c>
      <c r="AO93" s="41">
        <f t="shared" si="21"/>
        <v>-1</v>
      </c>
      <c r="AP93" s="41">
        <f t="shared" si="22"/>
        <v>-1</v>
      </c>
      <c r="AQ93" s="41">
        <f t="shared" si="23"/>
        <v>0</v>
      </c>
      <c r="AR93" s="41">
        <f t="shared" si="24"/>
        <v>0</v>
      </c>
      <c r="AS93" s="41">
        <f t="shared" si="25"/>
        <v>0</v>
      </c>
      <c r="AT93" s="41">
        <f t="shared" si="26"/>
        <v>0</v>
      </c>
      <c r="AU93" s="41">
        <f t="shared" si="27"/>
        <v>0</v>
      </c>
      <c r="AV93" s="41">
        <f t="shared" si="28"/>
        <v>0</v>
      </c>
      <c r="AW93" s="41">
        <f t="shared" si="28"/>
        <v>0</v>
      </c>
      <c r="AX93" s="41">
        <f t="shared" si="28"/>
        <v>0</v>
      </c>
    </row>
    <row r="94" spans="1:50" ht="11.25" x14ac:dyDescent="0.2">
      <c r="A94" s="34">
        <v>240</v>
      </c>
      <c r="B94" s="88" t="s">
        <v>408</v>
      </c>
      <c r="C94" s="65">
        <v>4787</v>
      </c>
      <c r="D94" s="65">
        <v>3185</v>
      </c>
      <c r="E94" s="65">
        <v>5839</v>
      </c>
      <c r="F94" s="65">
        <v>-2718</v>
      </c>
      <c r="G94" s="41">
        <v>-10795</v>
      </c>
      <c r="H94" s="41">
        <v>-8878</v>
      </c>
      <c r="I94" s="41">
        <v>-15527.626</v>
      </c>
      <c r="J94" s="41">
        <f>I94+'Tilikauden tulos'!J94+'9. Tulorahkorjauserät'!J94</f>
        <v>-23895.274537957783</v>
      </c>
      <c r="K94" s="41">
        <f>J94+'Tilikauden tulos'!K94+'9. Tulorahkorjauserät'!K94</f>
        <v>-18303.96918007436</v>
      </c>
      <c r="L94" s="41">
        <f>K94+'Tilikauden tulos'!L94+'9. Tulorahkorjauserät'!L94</f>
        <v>-15068.422859592483</v>
      </c>
      <c r="M94" s="41">
        <f>L94+'Tilikauden tulos'!M94+'9. Tulorahkorjauserät'!M94</f>
        <v>-11925.977569308912</v>
      </c>
      <c r="N94" s="41">
        <f>M94+'Tilikauden tulos'!N94+'9. Tulorahkorjauserät'!N94</f>
        <v>-10863.906902079889</v>
      </c>
      <c r="O94" s="41">
        <f>N94+'Tilikauden tulos'!O94+'9. Tulorahkorjauserät'!O94</f>
        <v>-8800.4394594991099</v>
      </c>
      <c r="P94" s="41">
        <f>O94+'Tilikauden tulos'!P94+'9. Tulorahkorjauserät'!P94</f>
        <v>-4247.1732097965587</v>
      </c>
      <c r="T94" s="34">
        <v>240</v>
      </c>
      <c r="U94" s="88" t="s">
        <v>408</v>
      </c>
      <c r="V94" s="41">
        <f>C94/'1. Väestöennuste'!E94*1000</f>
        <v>220.01103042559058</v>
      </c>
      <c r="W94" s="41">
        <f>D94/'1. Väestöennuste'!F94*1000</f>
        <v>147.44005184705119</v>
      </c>
      <c r="X94" s="41">
        <f>E94/'1. Väestöennuste'!G94*1000</f>
        <v>274.69890854347005</v>
      </c>
      <c r="Y94" s="41">
        <f>F94/'1. Väestöennuste'!H94*1000</f>
        <v>-129.29927215641501</v>
      </c>
      <c r="Z94" s="41">
        <f>G94/'1. Väestöennuste'!I94*1000</f>
        <v>-521.32129231660792</v>
      </c>
      <c r="AA94" s="41">
        <f>H94/'1. Väestöennuste'!J94*1000</f>
        <v>-434.408181239908</v>
      </c>
      <c r="AB94" s="41">
        <f>I94/'1. Väestöennuste'!K94*1000</f>
        <v>-777.08067260534483</v>
      </c>
      <c r="AC94" s="41">
        <f>J94/'1. Väestöennuste'!L94*1000</f>
        <v>-1225.4615384357035</v>
      </c>
      <c r="AD94" s="41">
        <f>K94/'1. Väestöennuste'!M94*1000</f>
        <v>-944.91606938590462</v>
      </c>
      <c r="AE94" s="41">
        <f>L94/'1. Väestöennuste'!N94*1000</f>
        <v>-779.05195220724249</v>
      </c>
      <c r="AF94" s="41">
        <f>M94/'1. Väestöennuste'!O94*1000</f>
        <v>-624.5929385832676</v>
      </c>
      <c r="AG94" s="41">
        <f>N94/'1. Väestöennuste'!P94*1000</f>
        <v>-576.18175030919599</v>
      </c>
      <c r="AH94" s="41">
        <f>O94/'1. Väestöennuste'!Q94*1000</f>
        <v>-472.53218747310513</v>
      </c>
      <c r="AI94" s="41">
        <f>P94/'1. Väestöennuste'!R94*1000</f>
        <v>-230.78700265155459</v>
      </c>
      <c r="AK94" s="41">
        <f t="shared" si="17"/>
        <v>0</v>
      </c>
      <c r="AL94" s="41">
        <f t="shared" si="18"/>
        <v>0</v>
      </c>
      <c r="AM94" s="41">
        <f t="shared" si="19"/>
        <v>0</v>
      </c>
      <c r="AN94" s="41">
        <f t="shared" si="20"/>
        <v>-1</v>
      </c>
      <c r="AO94" s="41">
        <f t="shared" si="21"/>
        <v>-1</v>
      </c>
      <c r="AP94" s="41">
        <f t="shared" si="22"/>
        <v>-1</v>
      </c>
      <c r="AQ94" s="41">
        <f t="shared" si="23"/>
        <v>-1</v>
      </c>
      <c r="AR94" s="41">
        <f t="shared" si="24"/>
        <v>-1</v>
      </c>
      <c r="AS94" s="41">
        <f t="shared" si="25"/>
        <v>-1</v>
      </c>
      <c r="AT94" s="41">
        <f t="shared" si="26"/>
        <v>-1</v>
      </c>
      <c r="AU94" s="41">
        <f t="shared" si="27"/>
        <v>-1</v>
      </c>
      <c r="AV94" s="41">
        <f t="shared" si="28"/>
        <v>-1</v>
      </c>
      <c r="AW94" s="41">
        <f t="shared" si="28"/>
        <v>-1</v>
      </c>
      <c r="AX94" s="41">
        <f t="shared" si="28"/>
        <v>-1</v>
      </c>
    </row>
    <row r="95" spans="1:50" ht="11.25" x14ac:dyDescent="0.2">
      <c r="A95" s="34">
        <v>241</v>
      </c>
      <c r="B95" s="88" t="s">
        <v>409</v>
      </c>
      <c r="C95" s="65">
        <v>3365</v>
      </c>
      <c r="D95" s="65">
        <v>3226</v>
      </c>
      <c r="E95" s="65">
        <v>3440</v>
      </c>
      <c r="F95" s="65">
        <v>2408</v>
      </c>
      <c r="G95" s="41">
        <v>1461</v>
      </c>
      <c r="H95" s="41">
        <v>4049</v>
      </c>
      <c r="I95" s="41">
        <v>5538.49046</v>
      </c>
      <c r="J95" s="41">
        <f>I95+'Tilikauden tulos'!J95+'9. Tulorahkorjauserät'!J95</f>
        <v>42436.350575695746</v>
      </c>
      <c r="K95" s="41">
        <f>J95+'Tilikauden tulos'!K95+'9. Tulorahkorjauserät'!K95</f>
        <v>45690.278736168169</v>
      </c>
      <c r="L95" s="41">
        <f>K95+'Tilikauden tulos'!L95+'9. Tulorahkorjauserät'!L95</f>
        <v>46046.332695213394</v>
      </c>
      <c r="M95" s="41">
        <f>L95+'Tilikauden tulos'!M95+'9. Tulorahkorjauserät'!M95</f>
        <v>45603.442753809722</v>
      </c>
      <c r="N95" s="41">
        <f>M95+'Tilikauden tulos'!N95+'9. Tulorahkorjauserät'!N95</f>
        <v>45192.702230157069</v>
      </c>
      <c r="O95" s="41">
        <f>N95+'Tilikauden tulos'!O95+'9. Tulorahkorjauserät'!O95</f>
        <v>44796.700791061645</v>
      </c>
      <c r="P95" s="41">
        <f>O95+'Tilikauden tulos'!P95+'9. Tulorahkorjauserät'!P95</f>
        <v>45370.124017916998</v>
      </c>
      <c r="T95" s="34">
        <v>241</v>
      </c>
      <c r="U95" s="88" t="s">
        <v>409</v>
      </c>
      <c r="V95" s="41">
        <f>C95/'1. Väestöennuste'!E95*1000</f>
        <v>401.16833571769195</v>
      </c>
      <c r="W95" s="41">
        <f>D95/'1. Väestöennuste'!F95*1000</f>
        <v>387.92688792688796</v>
      </c>
      <c r="X95" s="41">
        <f>E95/'1. Väestöennuste'!G95*1000</f>
        <v>414.65766634522663</v>
      </c>
      <c r="Y95" s="41">
        <f>F95/'1. Väestöennuste'!H95*1000</f>
        <v>295.56892107524243</v>
      </c>
      <c r="Z95" s="41">
        <f>G95/'1. Väestöennuste'!I95*1000</f>
        <v>180.83921277385815</v>
      </c>
      <c r="AA95" s="41">
        <f>H95/'1. Väestöennuste'!J95*1000</f>
        <v>507.13927855711427</v>
      </c>
      <c r="AB95" s="41">
        <f>I95/'1. Väestöennuste'!K95*1000</f>
        <v>700.71994686234814</v>
      </c>
      <c r="AC95" s="41">
        <f>J95/'1. Väestöennuste'!L95*1000</f>
        <v>5460.8609671465383</v>
      </c>
      <c r="AD95" s="41">
        <f>K95/'1. Väestöennuste'!M95*1000</f>
        <v>5940.7461625494952</v>
      </c>
      <c r="AE95" s="41">
        <f>L95/'1. Väestöennuste'!N95*1000</f>
        <v>5970.7381606863837</v>
      </c>
      <c r="AF95" s="41">
        <f>M95/'1. Väestöennuste'!O95*1000</f>
        <v>5965.1331267246196</v>
      </c>
      <c r="AG95" s="41">
        <f>N95/'1. Väestöennuste'!P95*1000</f>
        <v>5963.671447632234</v>
      </c>
      <c r="AH95" s="41">
        <f>O95/'1. Väestöennuste'!Q95*1000</f>
        <v>5968.1189436532968</v>
      </c>
      <c r="AI95" s="41">
        <f>P95/'1. Väestöennuste'!R95*1000</f>
        <v>6099.7746730192257</v>
      </c>
      <c r="AK95" s="41">
        <f t="shared" si="17"/>
        <v>0</v>
      </c>
      <c r="AL95" s="41">
        <f t="shared" si="18"/>
        <v>0</v>
      </c>
      <c r="AM95" s="41">
        <f t="shared" si="19"/>
        <v>0</v>
      </c>
      <c r="AN95" s="41">
        <f t="shared" si="20"/>
        <v>0</v>
      </c>
      <c r="AO95" s="41">
        <f t="shared" si="21"/>
        <v>0</v>
      </c>
      <c r="AP95" s="41">
        <f t="shared" si="22"/>
        <v>0</v>
      </c>
      <c r="AQ95" s="41">
        <f t="shared" si="23"/>
        <v>0</v>
      </c>
      <c r="AR95" s="41">
        <f t="shared" si="24"/>
        <v>0</v>
      </c>
      <c r="AS95" s="41">
        <f t="shared" si="25"/>
        <v>0</v>
      </c>
      <c r="AT95" s="41">
        <f t="shared" si="26"/>
        <v>0</v>
      </c>
      <c r="AU95" s="41">
        <f t="shared" si="27"/>
        <v>0</v>
      </c>
      <c r="AV95" s="41">
        <f t="shared" si="28"/>
        <v>0</v>
      </c>
      <c r="AW95" s="41">
        <f t="shared" si="28"/>
        <v>0</v>
      </c>
      <c r="AX95" s="41">
        <f t="shared" si="28"/>
        <v>0</v>
      </c>
    </row>
    <row r="96" spans="1:50" ht="11.25" x14ac:dyDescent="0.2">
      <c r="A96" s="34">
        <v>244</v>
      </c>
      <c r="B96" s="88" t="s">
        <v>410</v>
      </c>
      <c r="C96" s="65">
        <v>6120</v>
      </c>
      <c r="D96" s="65">
        <v>8292</v>
      </c>
      <c r="E96" s="65">
        <v>10897</v>
      </c>
      <c r="F96" s="65">
        <v>13033</v>
      </c>
      <c r="G96" s="41">
        <v>10222</v>
      </c>
      <c r="H96" s="41">
        <v>11376</v>
      </c>
      <c r="I96" s="41">
        <v>12405.41274</v>
      </c>
      <c r="J96" s="41">
        <f>I96+'Tilikauden tulos'!J96+'9. Tulorahkorjauserät'!J96</f>
        <v>12787.90037673253</v>
      </c>
      <c r="K96" s="41">
        <f>J96+'Tilikauden tulos'!K96+'9. Tulorahkorjauserät'!K96</f>
        <v>11471.911407142115</v>
      </c>
      <c r="L96" s="41">
        <f>K96+'Tilikauden tulos'!L96+'9. Tulorahkorjauserät'!L96</f>
        <v>9345.8065592772218</v>
      </c>
      <c r="M96" s="41">
        <f>L96+'Tilikauden tulos'!M96+'9. Tulorahkorjauserät'!M96</f>
        <v>6160.8278926841231</v>
      </c>
      <c r="N96" s="41">
        <f>M96+'Tilikauden tulos'!N96+'9. Tulorahkorjauserät'!N96</f>
        <v>1732.7523054862613</v>
      </c>
      <c r="O96" s="41">
        <f>N96+'Tilikauden tulos'!O96+'9. Tulorahkorjauserät'!O96</f>
        <v>-2351.6662102532518</v>
      </c>
      <c r="P96" s="41">
        <f>O96+'Tilikauden tulos'!P96+'9. Tulorahkorjauserät'!P96</f>
        <v>-7625.9258391112999</v>
      </c>
      <c r="T96" s="34">
        <v>244</v>
      </c>
      <c r="U96" s="88" t="s">
        <v>410</v>
      </c>
      <c r="V96" s="41">
        <f>C96/'1. Väestöennuste'!E96*1000</f>
        <v>358.60775811555141</v>
      </c>
      <c r="W96" s="41">
        <f>D96/'1. Väestöennuste'!F96*1000</f>
        <v>479.38948950685091</v>
      </c>
      <c r="X96" s="41">
        <f>E96/'1. Väestöennuste'!G96*1000</f>
        <v>621.44282862845739</v>
      </c>
      <c r="Y96" s="41">
        <f>F96/'1. Väestöennuste'!H96*1000</f>
        <v>727.16621101378121</v>
      </c>
      <c r="Z96" s="41">
        <f>G96/'1. Väestöennuste'!I96*1000</f>
        <v>556.90547534731684</v>
      </c>
      <c r="AA96" s="41">
        <f>H96/'1. Väestöennuste'!J96*1000</f>
        <v>605.23515641625875</v>
      </c>
      <c r="AB96" s="41">
        <f>I96/'1. Väestöennuste'!K96*1000</f>
        <v>648.95442247332085</v>
      </c>
      <c r="AC96" s="41">
        <f>J96/'1. Väestöennuste'!L96*1000</f>
        <v>662.5855117477995</v>
      </c>
      <c r="AD96" s="41">
        <f>K96/'1. Väestöennuste'!M96*1000</f>
        <v>587.88108061607647</v>
      </c>
      <c r="AE96" s="41">
        <f>L96/'1. Väestöennuste'!N96*1000</f>
        <v>463.65067020276933</v>
      </c>
      <c r="AF96" s="41">
        <f>M96/'1. Väestöennuste'!O96*1000</f>
        <v>301.36613474950462</v>
      </c>
      <c r="AG96" s="41">
        <f>N96/'1. Väestöennuste'!P96*1000</f>
        <v>83.667421800398913</v>
      </c>
      <c r="AH96" s="41">
        <f>O96/'1. Väestöennuste'!Q96*1000</f>
        <v>-112.16570687080282</v>
      </c>
      <c r="AI96" s="41">
        <f>P96/'1. Väestöennuste'!R96*1000</f>
        <v>-359.66258732779795</v>
      </c>
      <c r="AK96" s="41">
        <f t="shared" si="17"/>
        <v>0</v>
      </c>
      <c r="AL96" s="41">
        <f t="shared" si="18"/>
        <v>0</v>
      </c>
      <c r="AM96" s="41">
        <f t="shared" si="19"/>
        <v>0</v>
      </c>
      <c r="AN96" s="41">
        <f t="shared" si="20"/>
        <v>0</v>
      </c>
      <c r="AO96" s="41">
        <f t="shared" si="21"/>
        <v>0</v>
      </c>
      <c r="AP96" s="41">
        <f t="shared" si="22"/>
        <v>0</v>
      </c>
      <c r="AQ96" s="41">
        <f t="shared" si="23"/>
        <v>0</v>
      </c>
      <c r="AR96" s="41">
        <f t="shared" si="24"/>
        <v>0</v>
      </c>
      <c r="AS96" s="41">
        <f t="shared" si="25"/>
        <v>0</v>
      </c>
      <c r="AT96" s="41">
        <f t="shared" si="26"/>
        <v>0</v>
      </c>
      <c r="AU96" s="41">
        <f t="shared" si="27"/>
        <v>0</v>
      </c>
      <c r="AV96" s="41">
        <f t="shared" si="28"/>
        <v>0</v>
      </c>
      <c r="AW96" s="41">
        <f t="shared" si="28"/>
        <v>-1</v>
      </c>
      <c r="AX96" s="41">
        <f t="shared" si="28"/>
        <v>-1</v>
      </c>
    </row>
    <row r="97" spans="1:50" ht="11.25" x14ac:dyDescent="0.2">
      <c r="A97" s="34">
        <v>245</v>
      </c>
      <c r="B97" s="88" t="s">
        <v>411</v>
      </c>
      <c r="C97" s="65">
        <v>116705</v>
      </c>
      <c r="D97" s="65">
        <v>131158</v>
      </c>
      <c r="E97" s="65">
        <v>99968</v>
      </c>
      <c r="F97" s="65">
        <v>99893</v>
      </c>
      <c r="G97" s="41">
        <v>101329</v>
      </c>
      <c r="H97" s="41">
        <v>104519</v>
      </c>
      <c r="I97" s="41">
        <v>98541.612840000002</v>
      </c>
      <c r="J97" s="41">
        <f>I97+'Tilikauden tulos'!J97+'9. Tulorahkorjauserät'!J97</f>
        <v>85040.249500834529</v>
      </c>
      <c r="K97" s="41">
        <f>J97+'Tilikauden tulos'!K97+'9. Tulorahkorjauserät'!K97</f>
        <v>90807.478089644035</v>
      </c>
      <c r="L97" s="41">
        <f>K97+'Tilikauden tulos'!L97+'9. Tulorahkorjauserät'!L97</f>
        <v>92629.215434820959</v>
      </c>
      <c r="M97" s="41">
        <f>L97+'Tilikauden tulos'!M97+'9. Tulorahkorjauserät'!M97</f>
        <v>87922.398986558663</v>
      </c>
      <c r="N97" s="41">
        <f>M97+'Tilikauden tulos'!N97+'9. Tulorahkorjauserät'!N97</f>
        <v>82605.651399419643</v>
      </c>
      <c r="O97" s="41">
        <f>N97+'Tilikauden tulos'!O97+'9. Tulorahkorjauserät'!O97</f>
        <v>76909.135376148552</v>
      </c>
      <c r="P97" s="41">
        <f>O97+'Tilikauden tulos'!P97+'9. Tulorahkorjauserät'!P97</f>
        <v>72704.064238024948</v>
      </c>
      <c r="T97" s="34">
        <v>245</v>
      </c>
      <c r="U97" s="88" t="s">
        <v>411</v>
      </c>
      <c r="V97" s="41">
        <f>C97/'1. Väestöennuste'!E97*1000</f>
        <v>3306.7463803020428</v>
      </c>
      <c r="W97" s="41">
        <f>D97/'1. Väestöennuste'!F97*1000</f>
        <v>3693.4471008983132</v>
      </c>
      <c r="X97" s="41">
        <f>E97/'1. Väestöennuste'!G97*1000</f>
        <v>2811.7230128818137</v>
      </c>
      <c r="Y97" s="41">
        <f>F97/'1. Väestöennuste'!H97*1000</f>
        <v>2755.3649252496275</v>
      </c>
      <c r="Z97" s="41">
        <f>G97/'1. Väestöennuste'!I97*1000</f>
        <v>2756.801610621395</v>
      </c>
      <c r="AA97" s="41">
        <f>H97/'1. Väestöennuste'!J97*1000</f>
        <v>2816.8440910928443</v>
      </c>
      <c r="AB97" s="41">
        <f>I97/'1. Väestöennuste'!K97*1000</f>
        <v>2646.6913633433605</v>
      </c>
      <c r="AC97" s="41">
        <f>J97/'1. Väestöennuste'!L97*1000</f>
        <v>2257.1464460355273</v>
      </c>
      <c r="AD97" s="41">
        <f>K97/'1. Väestöennuste'!M97*1000</f>
        <v>2376.4747870938745</v>
      </c>
      <c r="AE97" s="41">
        <f>L97/'1. Väestöennuste'!N97*1000</f>
        <v>2399.7827776579952</v>
      </c>
      <c r="AF97" s="41">
        <f>M97/'1. Väestöennuste'!O97*1000</f>
        <v>2259.3446996417488</v>
      </c>
      <c r="AG97" s="41">
        <f>N97/'1. Väestöennuste'!P97*1000</f>
        <v>2106.3198378147695</v>
      </c>
      <c r="AH97" s="41">
        <f>O97/'1. Väestöennuste'!Q97*1000</f>
        <v>1947.1160124597725</v>
      </c>
      <c r="AI97" s="41">
        <f>P97/'1. Väestöennuste'!R97*1000</f>
        <v>1828.2511690101076</v>
      </c>
      <c r="AK97" s="41">
        <f t="shared" si="17"/>
        <v>0</v>
      </c>
      <c r="AL97" s="41">
        <f t="shared" si="18"/>
        <v>0</v>
      </c>
      <c r="AM97" s="41">
        <f t="shared" si="19"/>
        <v>0</v>
      </c>
      <c r="AN97" s="41">
        <f t="shared" si="20"/>
        <v>0</v>
      </c>
      <c r="AO97" s="41">
        <f t="shared" si="21"/>
        <v>0</v>
      </c>
      <c r="AP97" s="41">
        <f t="shared" si="22"/>
        <v>0</v>
      </c>
      <c r="AQ97" s="41">
        <f t="shared" si="23"/>
        <v>0</v>
      </c>
      <c r="AR97" s="41">
        <f t="shared" si="24"/>
        <v>0</v>
      </c>
      <c r="AS97" s="41">
        <f t="shared" si="25"/>
        <v>0</v>
      </c>
      <c r="AT97" s="41">
        <f t="shared" si="26"/>
        <v>0</v>
      </c>
      <c r="AU97" s="41">
        <f t="shared" si="27"/>
        <v>0</v>
      </c>
      <c r="AV97" s="41">
        <f t="shared" si="28"/>
        <v>0</v>
      </c>
      <c r="AW97" s="41">
        <f t="shared" si="28"/>
        <v>0</v>
      </c>
      <c r="AX97" s="41">
        <f t="shared" si="28"/>
        <v>0</v>
      </c>
    </row>
    <row r="98" spans="1:50" ht="11.25" x14ac:dyDescent="0.2">
      <c r="A98" s="34">
        <v>249</v>
      </c>
      <c r="B98" s="88" t="s">
        <v>412</v>
      </c>
      <c r="C98" s="65">
        <v>8021</v>
      </c>
      <c r="D98" s="65">
        <v>6692</v>
      </c>
      <c r="E98" s="65">
        <v>8624</v>
      </c>
      <c r="F98" s="65">
        <v>9078</v>
      </c>
      <c r="G98" s="41">
        <v>5931</v>
      </c>
      <c r="H98" s="41">
        <v>8194</v>
      </c>
      <c r="I98" s="41">
        <v>5733.7277899999999</v>
      </c>
      <c r="J98" s="41">
        <f>I98+'Tilikauden tulos'!J98+'9. Tulorahkorjauserät'!J98</f>
        <v>4499.549922799024</v>
      </c>
      <c r="K98" s="41">
        <f>J98+'Tilikauden tulos'!K98+'9. Tulorahkorjauserät'!K98</f>
        <v>3059.6941339570039</v>
      </c>
      <c r="L98" s="41">
        <f>K98+'Tilikauden tulos'!L98+'9. Tulorahkorjauserät'!L98</f>
        <v>2951.6531148670347</v>
      </c>
      <c r="M98" s="41">
        <f>L98+'Tilikauden tulos'!M98+'9. Tulorahkorjauserät'!M98</f>
        <v>2325.2939607371309</v>
      </c>
      <c r="N98" s="41">
        <f>M98+'Tilikauden tulos'!N98+'9. Tulorahkorjauserät'!N98</f>
        <v>2154.4523119769447</v>
      </c>
      <c r="O98" s="41">
        <f>N98+'Tilikauden tulos'!O98+'9. Tulorahkorjauserät'!O98</f>
        <v>1744.3009892590781</v>
      </c>
      <c r="P98" s="41">
        <f>O98+'Tilikauden tulos'!P98+'9. Tulorahkorjauserät'!P98</f>
        <v>2552.1058993099923</v>
      </c>
      <c r="T98" s="34">
        <v>249</v>
      </c>
      <c r="U98" s="88" t="s">
        <v>412</v>
      </c>
      <c r="V98" s="41">
        <f>C98/'1. Väestöennuste'!E98*1000</f>
        <v>792.82395967183948</v>
      </c>
      <c r="W98" s="41">
        <f>D98/'1. Väestöennuste'!F98*1000</f>
        <v>669.73578863090472</v>
      </c>
      <c r="X98" s="41">
        <f>E98/'1. Väestöennuste'!G98*1000</f>
        <v>869.44248412138325</v>
      </c>
      <c r="Y98" s="41">
        <f>F98/'1. Väestöennuste'!H98*1000</f>
        <v>929.93239090350335</v>
      </c>
      <c r="Z98" s="41">
        <f>G98/'1. Väestöennuste'!I98*1000</f>
        <v>617.4908901613743</v>
      </c>
      <c r="AA98" s="41">
        <f>H98/'1. Väestöennuste'!J98*1000</f>
        <v>863.79928315412189</v>
      </c>
      <c r="AB98" s="41">
        <f>I98/'1. Väestöennuste'!K98*1000</f>
        <v>607.19345441067446</v>
      </c>
      <c r="AC98" s="41">
        <f>J98/'1. Väestöennuste'!L98*1000</f>
        <v>486.43782949178637</v>
      </c>
      <c r="AD98" s="41">
        <f>K98/'1. Väestöennuste'!M98*1000</f>
        <v>333.15484908068419</v>
      </c>
      <c r="AE98" s="41">
        <f>L98/'1. Väestöennuste'!N98*1000</f>
        <v>328.50897216105005</v>
      </c>
      <c r="AF98" s="41">
        <f>M98/'1. Väestöennuste'!O98*1000</f>
        <v>261.85742801093812</v>
      </c>
      <c r="AG98" s="41">
        <f>N98/'1. Väestöennuste'!P98*1000</f>
        <v>245.4936545096792</v>
      </c>
      <c r="AH98" s="41">
        <f>O98/'1. Väestöennuste'!Q98*1000</f>
        <v>200.97948948716189</v>
      </c>
      <c r="AI98" s="41">
        <f>P98/'1. Väestöennuste'!R98*1000</f>
        <v>297.34427348362954</v>
      </c>
      <c r="AK98" s="41">
        <f t="shared" si="17"/>
        <v>0</v>
      </c>
      <c r="AL98" s="41">
        <f t="shared" si="18"/>
        <v>0</v>
      </c>
      <c r="AM98" s="41">
        <f t="shared" si="19"/>
        <v>0</v>
      </c>
      <c r="AN98" s="41">
        <f t="shared" si="20"/>
        <v>0</v>
      </c>
      <c r="AO98" s="41">
        <f t="shared" si="21"/>
        <v>0</v>
      </c>
      <c r="AP98" s="41">
        <f t="shared" si="22"/>
        <v>0</v>
      </c>
      <c r="AQ98" s="41">
        <f t="shared" si="23"/>
        <v>0</v>
      </c>
      <c r="AR98" s="41">
        <f t="shared" si="24"/>
        <v>0</v>
      </c>
      <c r="AS98" s="41">
        <f t="shared" si="25"/>
        <v>0</v>
      </c>
      <c r="AT98" s="41">
        <f t="shared" si="26"/>
        <v>0</v>
      </c>
      <c r="AU98" s="41">
        <f t="shared" si="27"/>
        <v>0</v>
      </c>
      <c r="AV98" s="41">
        <f t="shared" si="28"/>
        <v>0</v>
      </c>
      <c r="AW98" s="41">
        <f t="shared" si="28"/>
        <v>0</v>
      </c>
      <c r="AX98" s="41">
        <f t="shared" si="28"/>
        <v>0</v>
      </c>
    </row>
    <row r="99" spans="1:50" ht="11.25" x14ac:dyDescent="0.2">
      <c r="A99" s="34">
        <v>250</v>
      </c>
      <c r="B99" s="88" t="s">
        <v>413</v>
      </c>
      <c r="C99" s="65">
        <v>-841</v>
      </c>
      <c r="D99" s="65">
        <v>-1071</v>
      </c>
      <c r="E99" s="65">
        <v>-1167</v>
      </c>
      <c r="F99" s="65">
        <v>-1006</v>
      </c>
      <c r="G99" s="41">
        <v>-1207</v>
      </c>
      <c r="H99" s="41">
        <v>1825</v>
      </c>
      <c r="I99" s="41">
        <v>2445.5202599999998</v>
      </c>
      <c r="J99" s="41">
        <f>I99+'Tilikauden tulos'!J99+'9. Tulorahkorjauserät'!J99</f>
        <v>2721.4378195727286</v>
      </c>
      <c r="K99" s="41">
        <f>J99+'Tilikauden tulos'!K99+'9. Tulorahkorjauserät'!K99</f>
        <v>1978.2124617719985</v>
      </c>
      <c r="L99" s="41">
        <f>K99+'Tilikauden tulos'!L99+'9. Tulorahkorjauserät'!L99</f>
        <v>1553.8078865156003</v>
      </c>
      <c r="M99" s="41">
        <f>L99+'Tilikauden tulos'!M99+'9. Tulorahkorjauserät'!M99</f>
        <v>178.03053610068082</v>
      </c>
      <c r="N99" s="41">
        <f>M99+'Tilikauden tulos'!N99+'9. Tulorahkorjauserät'!N99</f>
        <v>-1273.0790174768485</v>
      </c>
      <c r="O99" s="41">
        <f>N99+'Tilikauden tulos'!O99+'9. Tulorahkorjauserät'!O99</f>
        <v>-2806.7964701821138</v>
      </c>
      <c r="P99" s="41">
        <f>O99+'Tilikauden tulos'!P99+'9. Tulorahkorjauserät'!P99</f>
        <v>-4201.9723584256053</v>
      </c>
      <c r="T99" s="34">
        <v>250</v>
      </c>
      <c r="U99" s="88" t="s">
        <v>413</v>
      </c>
      <c r="V99" s="41">
        <f>C99/'1. Väestöennuste'!E99*1000</f>
        <v>-412.65947006869482</v>
      </c>
      <c r="W99" s="41">
        <f>D99/'1. Väestöennuste'!F99*1000</f>
        <v>-537.11133400200606</v>
      </c>
      <c r="X99" s="41">
        <f>E99/'1. Väestöennuste'!G99*1000</f>
        <v>-593.28927300457542</v>
      </c>
      <c r="Y99" s="41">
        <f>F99/'1. Väestöennuste'!H99*1000</f>
        <v>-526.70157068062827</v>
      </c>
      <c r="Z99" s="41">
        <f>G99/'1. Väestöennuste'!I99*1000</f>
        <v>-647.18498659517434</v>
      </c>
      <c r="AA99" s="41">
        <f>H99/'1. Väestöennuste'!J99*1000</f>
        <v>1001.6465422612513</v>
      </c>
      <c r="AB99" s="41">
        <f>I99/'1. Väestöennuste'!K99*1000</f>
        <v>1352.6107632743363</v>
      </c>
      <c r="AC99" s="41">
        <f>J99/'1. Väestöennuste'!L99*1000</f>
        <v>1536.6673176582319</v>
      </c>
      <c r="AD99" s="41">
        <f>K99/'1. Väestöennuste'!M99*1000</f>
        <v>1131.0534372624347</v>
      </c>
      <c r="AE99" s="41">
        <f>L99/'1. Väestöennuste'!N99*1000</f>
        <v>930.42388414107802</v>
      </c>
      <c r="AF99" s="41">
        <f>M99/'1. Väestöennuste'!O99*1000</f>
        <v>108.68775097721661</v>
      </c>
      <c r="AG99" s="41">
        <f>N99/'1. Väestöennuste'!P99*1000</f>
        <v>-792.20847384993692</v>
      </c>
      <c r="AH99" s="41">
        <f>O99/'1. Väestöennuste'!Q99*1000</f>
        <v>-1778.7049874411366</v>
      </c>
      <c r="AI99" s="41">
        <f>P99/'1. Väestöennuste'!R99*1000</f>
        <v>-2716.2070836623179</v>
      </c>
      <c r="AK99" s="41">
        <f t="shared" si="17"/>
        <v>-1</v>
      </c>
      <c r="AL99" s="41">
        <f t="shared" si="18"/>
        <v>-1</v>
      </c>
      <c r="AM99" s="41">
        <f t="shared" si="19"/>
        <v>-1</v>
      </c>
      <c r="AN99" s="41">
        <f t="shared" si="20"/>
        <v>-1</v>
      </c>
      <c r="AO99" s="41">
        <f t="shared" si="21"/>
        <v>-1</v>
      </c>
      <c r="AP99" s="41">
        <f t="shared" si="22"/>
        <v>0</v>
      </c>
      <c r="AQ99" s="41">
        <f t="shared" si="23"/>
        <v>0</v>
      </c>
      <c r="AR99" s="41">
        <f t="shared" si="24"/>
        <v>0</v>
      </c>
      <c r="AS99" s="41">
        <f t="shared" si="25"/>
        <v>0</v>
      </c>
      <c r="AT99" s="41">
        <f t="shared" si="26"/>
        <v>0</v>
      </c>
      <c r="AU99" s="41">
        <f t="shared" si="27"/>
        <v>0</v>
      </c>
      <c r="AV99" s="41">
        <f t="shared" si="28"/>
        <v>-1</v>
      </c>
      <c r="AW99" s="41">
        <f t="shared" si="28"/>
        <v>-1</v>
      </c>
      <c r="AX99" s="41">
        <f t="shared" si="28"/>
        <v>-1</v>
      </c>
    </row>
    <row r="100" spans="1:50" ht="11.25" x14ac:dyDescent="0.2">
      <c r="A100" s="34">
        <v>256</v>
      </c>
      <c r="B100" s="88" t="s">
        <v>414</v>
      </c>
      <c r="C100" s="65">
        <v>4922</v>
      </c>
      <c r="D100" s="65">
        <v>5127</v>
      </c>
      <c r="E100" s="65">
        <v>5618</v>
      </c>
      <c r="F100" s="65">
        <v>4561</v>
      </c>
      <c r="G100" s="41">
        <v>3402</v>
      </c>
      <c r="H100" s="41">
        <v>3038</v>
      </c>
      <c r="I100" s="41">
        <v>3385.1790000000001</v>
      </c>
      <c r="J100" s="41">
        <f>I100+'Tilikauden tulos'!J100+'9. Tulorahkorjauserät'!J100</f>
        <v>2811.2026642320711</v>
      </c>
      <c r="K100" s="41">
        <f>J100+'Tilikauden tulos'!K100+'9. Tulorahkorjauserät'!K100</f>
        <v>1830.3720673364562</v>
      </c>
      <c r="L100" s="41">
        <f>K100+'Tilikauden tulos'!L100+'9. Tulorahkorjauserät'!L100</f>
        <v>1756.7100479205071</v>
      </c>
      <c r="M100" s="41">
        <f>L100+'Tilikauden tulos'!M100+'9. Tulorahkorjauserät'!M100</f>
        <v>755.16459515410111</v>
      </c>
      <c r="N100" s="41">
        <f>M100+'Tilikauden tulos'!N100+'9. Tulorahkorjauserät'!N100</f>
        <v>-365.54302953068031</v>
      </c>
      <c r="O100" s="41">
        <f>N100+'Tilikauden tulos'!O100+'9. Tulorahkorjauserät'!O100</f>
        <v>-1509.4134645690776</v>
      </c>
      <c r="P100" s="41">
        <f>O100+'Tilikauden tulos'!P100+'9. Tulorahkorjauserät'!P100</f>
        <v>-2536.8428356364793</v>
      </c>
      <c r="T100" s="34">
        <v>256</v>
      </c>
      <c r="U100" s="88" t="s">
        <v>414</v>
      </c>
      <c r="V100" s="41">
        <f>C100/'1. Väestöennuste'!E100*1000</f>
        <v>2820.6303724928366</v>
      </c>
      <c r="W100" s="41">
        <f>D100/'1. Väestöennuste'!F100*1000</f>
        <v>3017.6574455562095</v>
      </c>
      <c r="X100" s="41">
        <f>E100/'1. Väestöennuste'!G100*1000</f>
        <v>3392.5120772946862</v>
      </c>
      <c r="Y100" s="41">
        <f>F100/'1. Väestöennuste'!H100*1000</f>
        <v>2824.1486068111453</v>
      </c>
      <c r="Z100" s="41">
        <f>G100/'1. Väestöennuste'!I100*1000</f>
        <v>2100</v>
      </c>
      <c r="AA100" s="41">
        <f>H100/'1. Väestöennuste'!J100*1000</f>
        <v>1902.3168440826551</v>
      </c>
      <c r="AB100" s="41">
        <f>I100/'1. Väestöennuste'!K100*1000</f>
        <v>2141.1631878557873</v>
      </c>
      <c r="AC100" s="41">
        <f>J100/'1. Väestöennuste'!L100*1000</f>
        <v>1809.0107234440611</v>
      </c>
      <c r="AD100" s="41">
        <f>K100/'1. Väestöennuste'!M100*1000</f>
        <v>1201.8201361368722</v>
      </c>
      <c r="AE100" s="41">
        <f>L100/'1. Väestöennuste'!N100*1000</f>
        <v>1174.2714224067561</v>
      </c>
      <c r="AF100" s="41">
        <f>M100/'1. Väestöennuste'!O100*1000</f>
        <v>512.32333456858953</v>
      </c>
      <c r="AG100" s="41">
        <f>N100/'1. Väestöennuste'!P100*1000</f>
        <v>-252.09864105564162</v>
      </c>
      <c r="AH100" s="41">
        <f>O100/'1. Väestöennuste'!Q100*1000</f>
        <v>-1057.0122300903906</v>
      </c>
      <c r="AI100" s="41">
        <f>P100/'1. Väestöennuste'!R100*1000</f>
        <v>-1800.456235370106</v>
      </c>
      <c r="AK100" s="41">
        <f t="shared" si="17"/>
        <v>0</v>
      </c>
      <c r="AL100" s="41">
        <f t="shared" si="18"/>
        <v>0</v>
      </c>
      <c r="AM100" s="41">
        <f t="shared" si="19"/>
        <v>0</v>
      </c>
      <c r="AN100" s="41">
        <f t="shared" si="20"/>
        <v>0</v>
      </c>
      <c r="AO100" s="41">
        <f t="shared" si="21"/>
        <v>0</v>
      </c>
      <c r="AP100" s="41">
        <f t="shared" si="22"/>
        <v>0</v>
      </c>
      <c r="AQ100" s="41">
        <f t="shared" si="23"/>
        <v>0</v>
      </c>
      <c r="AR100" s="41">
        <f t="shared" si="24"/>
        <v>0</v>
      </c>
      <c r="AS100" s="41">
        <f t="shared" si="25"/>
        <v>0</v>
      </c>
      <c r="AT100" s="41">
        <f t="shared" si="26"/>
        <v>0</v>
      </c>
      <c r="AU100" s="41">
        <f t="shared" si="27"/>
        <v>0</v>
      </c>
      <c r="AV100" s="41">
        <f t="shared" si="28"/>
        <v>-1</v>
      </c>
      <c r="AW100" s="41">
        <f t="shared" si="28"/>
        <v>-1</v>
      </c>
      <c r="AX100" s="41">
        <f t="shared" si="28"/>
        <v>-1</v>
      </c>
    </row>
    <row r="101" spans="1:50" ht="11.25" x14ac:dyDescent="0.2">
      <c r="A101" s="34">
        <v>257</v>
      </c>
      <c r="B101" s="88" t="s">
        <v>415</v>
      </c>
      <c r="C101" s="65">
        <v>20606</v>
      </c>
      <c r="D101" s="65">
        <v>24740</v>
      </c>
      <c r="E101" s="65">
        <v>26954</v>
      </c>
      <c r="F101" s="65">
        <v>22655</v>
      </c>
      <c r="G101" s="41">
        <v>2402</v>
      </c>
      <c r="H101" s="41">
        <v>9778</v>
      </c>
      <c r="I101" s="41">
        <v>8545.8154700000014</v>
      </c>
      <c r="J101" s="41">
        <f>I101+'Tilikauden tulos'!J101+'9. Tulorahkorjauserät'!J101</f>
        <v>9523.6343401067716</v>
      </c>
      <c r="K101" s="41">
        <f>J101+'Tilikauden tulos'!K101+'9. Tulorahkorjauserät'!K101</f>
        <v>29464.342120805399</v>
      </c>
      <c r="L101" s="41">
        <f>K101+'Tilikauden tulos'!L101+'9. Tulorahkorjauserät'!L101</f>
        <v>36816.863291481903</v>
      </c>
      <c r="M101" s="41">
        <f>L101+'Tilikauden tulos'!M101+'9. Tulorahkorjauserät'!M101</f>
        <v>44533.015460592491</v>
      </c>
      <c r="N101" s="41">
        <f>M101+'Tilikauden tulos'!N101+'9. Tulorahkorjauserät'!N101</f>
        <v>47678.326047755734</v>
      </c>
      <c r="O101" s="41">
        <f>N101+'Tilikauden tulos'!O101+'9. Tulorahkorjauserät'!O101</f>
        <v>50206.629748915322</v>
      </c>
      <c r="P101" s="41">
        <f>O101+'Tilikauden tulos'!P101+'9. Tulorahkorjauserät'!P101</f>
        <v>53690.155179893714</v>
      </c>
      <c r="T101" s="34">
        <v>257</v>
      </c>
      <c r="U101" s="88" t="s">
        <v>415</v>
      </c>
      <c r="V101" s="41">
        <f>C101/'1. Väestöennuste'!E101*1000</f>
        <v>533.1573908768662</v>
      </c>
      <c r="W101" s="41">
        <f>D101/'1. Väestöennuste'!F101*1000</f>
        <v>633.82266287500318</v>
      </c>
      <c r="X101" s="41">
        <f>E101/'1. Väestöennuste'!G101*1000</f>
        <v>688.12866990043392</v>
      </c>
      <c r="Y101" s="41">
        <f>F101/'1. Väestöennuste'!H101*1000</f>
        <v>577.02103815394025</v>
      </c>
      <c r="Z101" s="41">
        <f>G101/'1. Väestöennuste'!I101*1000</f>
        <v>60.678017480927608</v>
      </c>
      <c r="AA101" s="41">
        <f>H101/'1. Väestöennuste'!J101*1000</f>
        <v>243.94990269946609</v>
      </c>
      <c r="AB101" s="41">
        <f>I101/'1. Väestöennuste'!K101*1000</f>
        <v>211.35744243563428</v>
      </c>
      <c r="AC101" s="41">
        <f>J101/'1. Väestöennuste'!L101*1000</f>
        <v>233.86951377895906</v>
      </c>
      <c r="AD101" s="41">
        <f>K101/'1. Väestöennuste'!M101*1000</f>
        <v>715.95330030629827</v>
      </c>
      <c r="AE101" s="41">
        <f>L101/'1. Väestöennuste'!N101*1000</f>
        <v>887.94499412685775</v>
      </c>
      <c r="AF101" s="41">
        <f>M101/'1. Väestöennuste'!O101*1000</f>
        <v>1066.3780910560688</v>
      </c>
      <c r="AG101" s="41">
        <f>N101/'1. Väestöennuste'!P101*1000</f>
        <v>1134.0911502522713</v>
      </c>
      <c r="AH101" s="41">
        <f>O101/'1. Väestöennuste'!Q101*1000</f>
        <v>1186.7776799176297</v>
      </c>
      <c r="AI101" s="41">
        <f>P101/'1. Väestöennuste'!R101*1000</f>
        <v>1261.4871638329391</v>
      </c>
      <c r="AK101" s="41">
        <f t="shared" si="17"/>
        <v>0</v>
      </c>
      <c r="AL101" s="41">
        <f t="shared" si="18"/>
        <v>0</v>
      </c>
      <c r="AM101" s="41">
        <f t="shared" si="19"/>
        <v>0</v>
      </c>
      <c r="AN101" s="41">
        <f t="shared" si="20"/>
        <v>0</v>
      </c>
      <c r="AO101" s="41">
        <f t="shared" si="21"/>
        <v>0</v>
      </c>
      <c r="AP101" s="41">
        <f t="shared" si="22"/>
        <v>0</v>
      </c>
      <c r="AQ101" s="41">
        <f t="shared" si="23"/>
        <v>0</v>
      </c>
      <c r="AR101" s="41">
        <f t="shared" si="24"/>
        <v>0</v>
      </c>
      <c r="AS101" s="41">
        <f t="shared" si="25"/>
        <v>0</v>
      </c>
      <c r="AT101" s="41">
        <f t="shared" si="26"/>
        <v>0</v>
      </c>
      <c r="AU101" s="41">
        <f t="shared" si="27"/>
        <v>0</v>
      </c>
      <c r="AV101" s="41">
        <f t="shared" si="28"/>
        <v>0</v>
      </c>
      <c r="AW101" s="41">
        <f t="shared" si="28"/>
        <v>0</v>
      </c>
      <c r="AX101" s="41">
        <f t="shared" si="28"/>
        <v>0</v>
      </c>
    </row>
    <row r="102" spans="1:50" ht="11.25" x14ac:dyDescent="0.2">
      <c r="A102" s="34">
        <v>260</v>
      </c>
      <c r="B102" s="88" t="s">
        <v>416</v>
      </c>
      <c r="C102" s="65">
        <v>4191</v>
      </c>
      <c r="D102" s="65">
        <v>10336</v>
      </c>
      <c r="E102" s="65">
        <v>16857</v>
      </c>
      <c r="F102" s="65">
        <v>19655</v>
      </c>
      <c r="G102" s="41">
        <v>20572</v>
      </c>
      <c r="H102" s="41">
        <v>23665</v>
      </c>
      <c r="I102" s="41">
        <v>26506.486209999995</v>
      </c>
      <c r="J102" s="41">
        <f>I102+'Tilikauden tulos'!J102+'9. Tulorahkorjauserät'!J102</f>
        <v>28278.715844969218</v>
      </c>
      <c r="K102" s="41">
        <f>J102+'Tilikauden tulos'!K102+'9. Tulorahkorjauserät'!K102</f>
        <v>34932.440174061034</v>
      </c>
      <c r="L102" s="41">
        <f>K102+'Tilikauden tulos'!L102+'9. Tulorahkorjauserät'!L102</f>
        <v>36227.779027834891</v>
      </c>
      <c r="M102" s="41">
        <f>L102+'Tilikauden tulos'!M102+'9. Tulorahkorjauserät'!M102</f>
        <v>37847.650227730082</v>
      </c>
      <c r="N102" s="41">
        <f>M102+'Tilikauden tulos'!N102+'9. Tulorahkorjauserät'!N102</f>
        <v>39424.53398588414</v>
      </c>
      <c r="O102" s="41">
        <f>N102+'Tilikauden tulos'!O102+'9. Tulorahkorjauserät'!O102</f>
        <v>40799.069396171632</v>
      </c>
      <c r="P102" s="41">
        <f>O102+'Tilikauden tulos'!P102+'9. Tulorahkorjauserät'!P102</f>
        <v>43908.883829532744</v>
      </c>
      <c r="T102" s="34">
        <v>260</v>
      </c>
      <c r="U102" s="88" t="s">
        <v>416</v>
      </c>
      <c r="V102" s="41">
        <f>C102/'1. Väestöennuste'!E102*1000</f>
        <v>386.90915805022161</v>
      </c>
      <c r="W102" s="41">
        <f>D102/'1. Väestöennuste'!F102*1000</f>
        <v>964.2690549491557</v>
      </c>
      <c r="X102" s="41">
        <f>E102/'1. Väestöennuste'!G102*1000</f>
        <v>1607.572000762922</v>
      </c>
      <c r="Y102" s="41">
        <f>F102/'1. Väestöennuste'!H102*1000</f>
        <v>1897.5670978953465</v>
      </c>
      <c r="Z102" s="41">
        <f>G102/'1. Väestöennuste'!I102*1000</f>
        <v>2029.5974743488557</v>
      </c>
      <c r="AA102" s="41">
        <f>H102/'1. Väestöennuste'!J102*1000</f>
        <v>2382.4624987415682</v>
      </c>
      <c r="AB102" s="41">
        <f>I102/'1. Väestöennuste'!K102*1000</f>
        <v>2683.6576095980558</v>
      </c>
      <c r="AC102" s="41">
        <f>J102/'1. Väestöennuste'!L102*1000</f>
        <v>2907.2392150682858</v>
      </c>
      <c r="AD102" s="41">
        <f>K102/'1. Väestöennuste'!M102*1000</f>
        <v>3605.3710572877526</v>
      </c>
      <c r="AE102" s="41">
        <f>L102/'1. Väestöennuste'!N102*1000</f>
        <v>3919.9068413584605</v>
      </c>
      <c r="AF102" s="41">
        <f>M102/'1. Väestöennuste'!O102*1000</f>
        <v>4162.7419960107882</v>
      </c>
      <c r="AG102" s="41">
        <f>N102/'1. Väestöennuste'!P102*1000</f>
        <v>4405.9604365091791</v>
      </c>
      <c r="AH102" s="41">
        <f>O102/'1. Väestöennuste'!Q102*1000</f>
        <v>4629.4189715388211</v>
      </c>
      <c r="AI102" s="41">
        <f>P102/'1. Väestöennuste'!R102*1000</f>
        <v>5056.2970784814306</v>
      </c>
      <c r="AK102" s="41">
        <f t="shared" si="17"/>
        <v>0</v>
      </c>
      <c r="AL102" s="41">
        <f t="shared" si="18"/>
        <v>0</v>
      </c>
      <c r="AM102" s="41">
        <f t="shared" si="19"/>
        <v>0</v>
      </c>
      <c r="AN102" s="41">
        <f t="shared" si="20"/>
        <v>0</v>
      </c>
      <c r="AO102" s="41">
        <f t="shared" si="21"/>
        <v>0</v>
      </c>
      <c r="AP102" s="41">
        <f t="shared" si="22"/>
        <v>0</v>
      </c>
      <c r="AQ102" s="41">
        <f t="shared" si="23"/>
        <v>0</v>
      </c>
      <c r="AR102" s="41">
        <f t="shared" si="24"/>
        <v>0</v>
      </c>
      <c r="AS102" s="41">
        <f t="shared" si="25"/>
        <v>0</v>
      </c>
      <c r="AT102" s="41">
        <f t="shared" si="26"/>
        <v>0</v>
      </c>
      <c r="AU102" s="41">
        <f t="shared" si="27"/>
        <v>0</v>
      </c>
      <c r="AV102" s="41">
        <f t="shared" si="28"/>
        <v>0</v>
      </c>
      <c r="AW102" s="41">
        <f t="shared" si="28"/>
        <v>0</v>
      </c>
      <c r="AX102" s="41">
        <f t="shared" si="28"/>
        <v>0</v>
      </c>
    </row>
    <row r="103" spans="1:50" ht="11.25" x14ac:dyDescent="0.2">
      <c r="A103" s="34">
        <v>261</v>
      </c>
      <c r="B103" s="88" t="s">
        <v>417</v>
      </c>
      <c r="C103" s="65">
        <v>7146</v>
      </c>
      <c r="D103" s="65">
        <v>10866</v>
      </c>
      <c r="E103" s="65">
        <v>12769</v>
      </c>
      <c r="F103" s="65">
        <v>14464</v>
      </c>
      <c r="G103" s="41">
        <v>18681</v>
      </c>
      <c r="H103" s="41">
        <v>22687</v>
      </c>
      <c r="I103" s="41">
        <v>28842.96241</v>
      </c>
      <c r="J103" s="41">
        <f>I103+'Tilikauden tulos'!J103+'9. Tulorahkorjauserät'!J103</f>
        <v>36586.37064494277</v>
      </c>
      <c r="K103" s="41">
        <f>J103+'Tilikauden tulos'!K103+'9. Tulorahkorjauserät'!K103</f>
        <v>47536.808292283102</v>
      </c>
      <c r="L103" s="41">
        <f>K103+'Tilikauden tulos'!L103+'9. Tulorahkorjauserät'!L103</f>
        <v>55804.566920794954</v>
      </c>
      <c r="M103" s="41">
        <f>L103+'Tilikauden tulos'!M103+'9. Tulorahkorjauserät'!M103</f>
        <v>62755.170311747599</v>
      </c>
      <c r="N103" s="41">
        <f>M103+'Tilikauden tulos'!N103+'9. Tulorahkorjauserät'!N103</f>
        <v>69075.213745350149</v>
      </c>
      <c r="O103" s="41">
        <f>N103+'Tilikauden tulos'!O103+'9. Tulorahkorjauserät'!O103</f>
        <v>75890.449392502982</v>
      </c>
      <c r="P103" s="41">
        <f>O103+'Tilikauden tulos'!P103+'9. Tulorahkorjauserät'!P103</f>
        <v>83220.703513166707</v>
      </c>
      <c r="T103" s="34">
        <v>261</v>
      </c>
      <c r="U103" s="88" t="s">
        <v>417</v>
      </c>
      <c r="V103" s="41">
        <f>C103/'1. Väestöennuste'!E103*1000</f>
        <v>1113.778054862843</v>
      </c>
      <c r="W103" s="41">
        <f>D103/'1. Väestöennuste'!F103*1000</f>
        <v>1702.3343255522482</v>
      </c>
      <c r="X103" s="41">
        <f>E103/'1. Väestöennuste'!G103*1000</f>
        <v>1988.6310543529044</v>
      </c>
      <c r="Y103" s="41">
        <f>F103/'1. Väestöennuste'!H103*1000</f>
        <v>2247.3586078309513</v>
      </c>
      <c r="Z103" s="41">
        <f>G103/'1. Väestöennuste'!I103*1000</f>
        <v>2894.932589493259</v>
      </c>
      <c r="AA103" s="41">
        <f>H103/'1. Väestöennuste'!J103*1000</f>
        <v>3525.0155376009948</v>
      </c>
      <c r="AB103" s="41">
        <f>I103/'1. Väestöennuste'!K103*1000</f>
        <v>4421.7327012110991</v>
      </c>
      <c r="AC103" s="41">
        <f>J103/'1. Väestöennuste'!L103*1000</f>
        <v>5512.4861601541015</v>
      </c>
      <c r="AD103" s="41">
        <f>K103/'1. Väestöennuste'!M103*1000</f>
        <v>6968.1630448963797</v>
      </c>
      <c r="AE103" s="41">
        <f>L103/'1. Väestöennuste'!N103*1000</f>
        <v>8712.6568182349656</v>
      </c>
      <c r="AF103" s="41">
        <f>M103/'1. Väestöennuste'!O103*1000</f>
        <v>9816.231864812702</v>
      </c>
      <c r="AG103" s="41">
        <f>N103/'1. Väestöennuste'!P103*1000</f>
        <v>10828.533272511389</v>
      </c>
      <c r="AH103" s="41">
        <f>O103/'1. Väestöennuste'!Q103*1000</f>
        <v>11923.087100157578</v>
      </c>
      <c r="AI103" s="41">
        <f>P103/'1. Väestöennuste'!R103*1000</f>
        <v>13099.433891573541</v>
      </c>
      <c r="AK103" s="41">
        <f t="shared" si="17"/>
        <v>0</v>
      </c>
      <c r="AL103" s="41">
        <f t="shared" si="18"/>
        <v>0</v>
      </c>
      <c r="AM103" s="41">
        <f t="shared" si="19"/>
        <v>0</v>
      </c>
      <c r="AN103" s="41">
        <f t="shared" si="20"/>
        <v>0</v>
      </c>
      <c r="AO103" s="41">
        <f t="shared" si="21"/>
        <v>0</v>
      </c>
      <c r="AP103" s="41">
        <f t="shared" si="22"/>
        <v>0</v>
      </c>
      <c r="AQ103" s="41">
        <f t="shared" si="23"/>
        <v>0</v>
      </c>
      <c r="AR103" s="41">
        <f t="shared" si="24"/>
        <v>0</v>
      </c>
      <c r="AS103" s="41">
        <f t="shared" si="25"/>
        <v>0</v>
      </c>
      <c r="AT103" s="41">
        <f t="shared" si="26"/>
        <v>0</v>
      </c>
      <c r="AU103" s="41">
        <f t="shared" si="27"/>
        <v>0</v>
      </c>
      <c r="AV103" s="41">
        <f t="shared" si="28"/>
        <v>0</v>
      </c>
      <c r="AW103" s="41">
        <f t="shared" si="28"/>
        <v>0</v>
      </c>
      <c r="AX103" s="41">
        <f t="shared" si="28"/>
        <v>0</v>
      </c>
    </row>
    <row r="104" spans="1:50" ht="11.25" x14ac:dyDescent="0.2">
      <c r="A104" s="34">
        <v>263</v>
      </c>
      <c r="B104" s="88" t="s">
        <v>418</v>
      </c>
      <c r="C104" s="65">
        <v>1732</v>
      </c>
      <c r="D104" s="65">
        <v>1047</v>
      </c>
      <c r="E104" s="65">
        <v>1389</v>
      </c>
      <c r="F104" s="65">
        <v>-141</v>
      </c>
      <c r="G104" s="41">
        <v>-3402</v>
      </c>
      <c r="H104" s="41">
        <v>8</v>
      </c>
      <c r="I104" s="41">
        <v>773.2319</v>
      </c>
      <c r="J104" s="41">
        <f>I104+'Tilikauden tulos'!J104+'9. Tulorahkorjauserät'!J104</f>
        <v>2317.8387038687197</v>
      </c>
      <c r="K104" s="41">
        <f>J104+'Tilikauden tulos'!K104+'9. Tulorahkorjauserät'!K104</f>
        <v>3462.9071693135193</v>
      </c>
      <c r="L104" s="41">
        <f>K104+'Tilikauden tulos'!L104+'9. Tulorahkorjauserät'!L104</f>
        <v>3853.7475137577167</v>
      </c>
      <c r="M104" s="41">
        <f>L104+'Tilikauden tulos'!M104+'9. Tulorahkorjauserät'!M104</f>
        <v>2252.7165209386267</v>
      </c>
      <c r="N104" s="41">
        <f>M104+'Tilikauden tulos'!N104+'9. Tulorahkorjauserät'!N104</f>
        <v>771.65515638822535</v>
      </c>
      <c r="O104" s="41">
        <f>N104+'Tilikauden tulos'!O104+'9. Tulorahkorjauserät'!O104</f>
        <v>-897.77902349680971</v>
      </c>
      <c r="P104" s="41">
        <f>O104+'Tilikauden tulos'!P104+'9. Tulorahkorjauserät'!P104</f>
        <v>-1407.3595582109128</v>
      </c>
      <c r="T104" s="34">
        <v>263</v>
      </c>
      <c r="U104" s="88" t="s">
        <v>418</v>
      </c>
      <c r="V104" s="41">
        <f>C104/'1. Väestöennuste'!E104*1000</f>
        <v>201.3953488372093</v>
      </c>
      <c r="W104" s="41">
        <f>D104/'1. Väestöennuste'!F104*1000</f>
        <v>123.99336807200379</v>
      </c>
      <c r="X104" s="41">
        <f>E104/'1. Väestöennuste'!G104*1000</f>
        <v>167.69286490402027</v>
      </c>
      <c r="Y104" s="41">
        <f>F104/'1. Väestöennuste'!H104*1000</f>
        <v>-17.294247516251687</v>
      </c>
      <c r="Z104" s="41">
        <f>G104/'1. Väestöennuste'!I104*1000</f>
        <v>-425.35633908477121</v>
      </c>
      <c r="AA104" s="41">
        <f>H104/'1. Väestöennuste'!J104*1000</f>
        <v>1.0185892538833714</v>
      </c>
      <c r="AB104" s="41">
        <f>I104/'1. Väestöennuste'!K104*1000</f>
        <v>99.656128367057605</v>
      </c>
      <c r="AC104" s="41">
        <f>J104/'1. Väestöennuste'!L104*1000</f>
        <v>305.09921072380149</v>
      </c>
      <c r="AD104" s="41">
        <f>K104/'1. Väestöennuste'!M104*1000</f>
        <v>463.26517315231024</v>
      </c>
      <c r="AE104" s="41">
        <f>L104/'1. Väestöennuste'!N104*1000</f>
        <v>525.67828587610381</v>
      </c>
      <c r="AF104" s="41">
        <f>M104/'1. Väestöennuste'!O104*1000</f>
        <v>312.22682202891565</v>
      </c>
      <c r="AG104" s="41">
        <f>N104/'1. Väestöennuste'!P104*1000</f>
        <v>108.65321830304497</v>
      </c>
      <c r="AH104" s="41">
        <f>O104/'1. Väestöennuste'!Q104*1000</f>
        <v>-128.36417264752782</v>
      </c>
      <c r="AI104" s="41">
        <f>P104/'1. Väestöennuste'!R104*1000</f>
        <v>-204.23154233215976</v>
      </c>
      <c r="AK104" s="41">
        <f t="shared" si="17"/>
        <v>0</v>
      </c>
      <c r="AL104" s="41">
        <f t="shared" si="18"/>
        <v>0</v>
      </c>
      <c r="AM104" s="41">
        <f t="shared" si="19"/>
        <v>0</v>
      </c>
      <c r="AN104" s="41">
        <f t="shared" si="20"/>
        <v>-1</v>
      </c>
      <c r="AO104" s="41">
        <f t="shared" si="21"/>
        <v>-1</v>
      </c>
      <c r="AP104" s="41">
        <f t="shared" si="22"/>
        <v>0</v>
      </c>
      <c r="AQ104" s="41">
        <f t="shared" si="23"/>
        <v>0</v>
      </c>
      <c r="AR104" s="41">
        <f t="shared" si="24"/>
        <v>0</v>
      </c>
      <c r="AS104" s="41">
        <f t="shared" si="25"/>
        <v>0</v>
      </c>
      <c r="AT104" s="41">
        <f t="shared" si="26"/>
        <v>0</v>
      </c>
      <c r="AU104" s="41">
        <f t="shared" si="27"/>
        <v>0</v>
      </c>
      <c r="AV104" s="41">
        <f t="shared" si="28"/>
        <v>0</v>
      </c>
      <c r="AW104" s="41">
        <f t="shared" si="28"/>
        <v>-1</v>
      </c>
      <c r="AX104" s="41">
        <f t="shared" si="28"/>
        <v>-1</v>
      </c>
    </row>
    <row r="105" spans="1:50" ht="11.25" x14ac:dyDescent="0.2">
      <c r="A105" s="34">
        <v>265</v>
      </c>
      <c r="B105" s="88" t="s">
        <v>419</v>
      </c>
      <c r="C105" s="65">
        <v>4543</v>
      </c>
      <c r="D105" s="65">
        <v>3929</v>
      </c>
      <c r="E105" s="65">
        <v>3841</v>
      </c>
      <c r="F105" s="65">
        <v>3123</v>
      </c>
      <c r="G105" s="41">
        <v>843</v>
      </c>
      <c r="H105" s="41">
        <v>1513</v>
      </c>
      <c r="I105" s="41">
        <v>2613.5292200000004</v>
      </c>
      <c r="J105" s="41">
        <f>I105+'Tilikauden tulos'!J105+'9. Tulorahkorjauserät'!J105</f>
        <v>3891.9242847221904</v>
      </c>
      <c r="K105" s="41">
        <f>J105+'Tilikauden tulos'!K105+'9. Tulorahkorjauserät'!K105</f>
        <v>4520.7931576718038</v>
      </c>
      <c r="L105" s="41">
        <f>K105+'Tilikauden tulos'!L105+'9. Tulorahkorjauserät'!L105</f>
        <v>5035.5887386953382</v>
      </c>
      <c r="M105" s="41">
        <f>L105+'Tilikauden tulos'!M105+'9. Tulorahkorjauserät'!M105</f>
        <v>5680.4115680280302</v>
      </c>
      <c r="N105" s="41">
        <f>M105+'Tilikauden tulos'!N105+'9. Tulorahkorjauserät'!N105</f>
        <v>6716.1962050471284</v>
      </c>
      <c r="O105" s="41">
        <f>N105+'Tilikauden tulos'!O105+'9. Tulorahkorjauserät'!O105</f>
        <v>7697.2020487526388</v>
      </c>
      <c r="P105" s="41">
        <f>O105+'Tilikauden tulos'!P105+'9. Tulorahkorjauserät'!P105</f>
        <v>8790.4437648581952</v>
      </c>
      <c r="T105" s="34">
        <v>265</v>
      </c>
      <c r="U105" s="88" t="s">
        <v>419</v>
      </c>
      <c r="V105" s="41">
        <f>C105/'1. Väestöennuste'!E105*1000</f>
        <v>3785.833333333333</v>
      </c>
      <c r="W105" s="41">
        <f>D105/'1. Väestöennuste'!F105*1000</f>
        <v>3384.1515934539188</v>
      </c>
      <c r="X105" s="41">
        <f>E105/'1. Väestöennuste'!G105*1000</f>
        <v>3393.1095406360423</v>
      </c>
      <c r="Y105" s="41">
        <f>F105/'1. Väestöennuste'!H105*1000</f>
        <v>2831.3689936536716</v>
      </c>
      <c r="Z105" s="41">
        <f>G105/'1. Väestöennuste'!I105*1000</f>
        <v>769.16058394160575</v>
      </c>
      <c r="AA105" s="41">
        <f>H105/'1. Väestöennuste'!J105*1000</f>
        <v>1366.7570009033423</v>
      </c>
      <c r="AB105" s="41">
        <f>I105/'1. Väestöennuste'!K105*1000</f>
        <v>2402.1408272058825</v>
      </c>
      <c r="AC105" s="41">
        <f>J105/'1. Väestöennuste'!L105*1000</f>
        <v>3657.8235758667201</v>
      </c>
      <c r="AD105" s="41">
        <f>K105/'1. Väestöennuste'!M105*1000</f>
        <v>4367.9160943688921</v>
      </c>
      <c r="AE105" s="41">
        <f>L105/'1. Väestöennuste'!N105*1000</f>
        <v>4809.5403425934464</v>
      </c>
      <c r="AF105" s="41">
        <f>M105/'1. Väestöennuste'!O105*1000</f>
        <v>5504.2747752209589</v>
      </c>
      <c r="AG105" s="41">
        <f>N105/'1. Väestöennuste'!P105*1000</f>
        <v>6603.9294051594179</v>
      </c>
      <c r="AH105" s="41">
        <f>O105/'1. Väestöennuste'!Q105*1000</f>
        <v>7674.179510221973</v>
      </c>
      <c r="AI105" s="41">
        <f>P105/'1. Väestöennuste'!R105*1000</f>
        <v>8888.2141201801769</v>
      </c>
      <c r="AK105" s="41">
        <f t="shared" si="17"/>
        <v>0</v>
      </c>
      <c r="AL105" s="41">
        <f t="shared" si="18"/>
        <v>0</v>
      </c>
      <c r="AM105" s="41">
        <f t="shared" si="19"/>
        <v>0</v>
      </c>
      <c r="AN105" s="41">
        <f t="shared" si="20"/>
        <v>0</v>
      </c>
      <c r="AO105" s="41">
        <f t="shared" si="21"/>
        <v>0</v>
      </c>
      <c r="AP105" s="41">
        <f t="shared" si="22"/>
        <v>0</v>
      </c>
      <c r="AQ105" s="41">
        <f t="shared" si="23"/>
        <v>0</v>
      </c>
      <c r="AR105" s="41">
        <f t="shared" si="24"/>
        <v>0</v>
      </c>
      <c r="AS105" s="41">
        <f t="shared" si="25"/>
        <v>0</v>
      </c>
      <c r="AT105" s="41">
        <f t="shared" si="26"/>
        <v>0</v>
      </c>
      <c r="AU105" s="41">
        <f t="shared" si="27"/>
        <v>0</v>
      </c>
      <c r="AV105" s="41">
        <f t="shared" si="28"/>
        <v>0</v>
      </c>
      <c r="AW105" s="41">
        <f t="shared" si="28"/>
        <v>0</v>
      </c>
      <c r="AX105" s="41">
        <f t="shared" si="28"/>
        <v>0</v>
      </c>
    </row>
    <row r="106" spans="1:50" ht="11.25" x14ac:dyDescent="0.2">
      <c r="A106" s="34">
        <v>271</v>
      </c>
      <c r="B106" s="88" t="s">
        <v>420</v>
      </c>
      <c r="C106" s="65">
        <v>-676</v>
      </c>
      <c r="D106" s="65">
        <v>-340</v>
      </c>
      <c r="E106" s="65">
        <v>280</v>
      </c>
      <c r="F106" s="65">
        <v>21</v>
      </c>
      <c r="G106" s="41">
        <v>-744</v>
      </c>
      <c r="H106" s="41">
        <v>2595</v>
      </c>
      <c r="I106" s="41">
        <v>4019.9893399999996</v>
      </c>
      <c r="J106" s="41">
        <f>I106+'Tilikauden tulos'!J106+'9. Tulorahkorjauserät'!J106</f>
        <v>4347.9085199419596</v>
      </c>
      <c r="K106" s="41">
        <f>J106+'Tilikauden tulos'!K106+'9. Tulorahkorjauserät'!K106</f>
        <v>6193.7732151605169</v>
      </c>
      <c r="L106" s="41">
        <f>K106+'Tilikauden tulos'!L106+'9. Tulorahkorjauserät'!L106</f>
        <v>5665.1748738544811</v>
      </c>
      <c r="M106" s="41">
        <f>L106+'Tilikauden tulos'!M106+'9. Tulorahkorjauserät'!M106</f>
        <v>4157.4517819462235</v>
      </c>
      <c r="N106" s="41">
        <f>M106+'Tilikauden tulos'!N106+'9. Tulorahkorjauserät'!N106</f>
        <v>2557.5551907975837</v>
      </c>
      <c r="O106" s="41">
        <f>N106+'Tilikauden tulos'!O106+'9. Tulorahkorjauserät'!O106</f>
        <v>1148.193491685274</v>
      </c>
      <c r="P106" s="41">
        <f>O106+'Tilikauden tulos'!P106+'9. Tulorahkorjauserät'!P106</f>
        <v>532.56877572094959</v>
      </c>
      <c r="T106" s="34">
        <v>271</v>
      </c>
      <c r="U106" s="88" t="s">
        <v>420</v>
      </c>
      <c r="V106" s="41">
        <f>C106/'1. Väestöennuste'!E106*1000</f>
        <v>-89.052825714662092</v>
      </c>
      <c r="W106" s="41">
        <f>D106/'1. Väestöennuste'!F106*1000</f>
        <v>-45.345425446785811</v>
      </c>
      <c r="X106" s="41">
        <f>E106/'1. Väestöennuste'!G106*1000</f>
        <v>37.935239127489503</v>
      </c>
      <c r="Y106" s="41">
        <f>F106/'1. Väestöennuste'!H106*1000</f>
        <v>2.9061721561029614</v>
      </c>
      <c r="Z106" s="41">
        <f>G106/'1. Väestöennuste'!I106*1000</f>
        <v>-104.74447416584542</v>
      </c>
      <c r="AA106" s="41">
        <f>H106/'1. Väestöennuste'!J106*1000</f>
        <v>370.0270925424212</v>
      </c>
      <c r="AB106" s="41">
        <f>I106/'1. Väestöennuste'!K106*1000</f>
        <v>578.33251906200542</v>
      </c>
      <c r="AC106" s="41">
        <f>J106/'1. Väestöennuste'!L106*1000</f>
        <v>629.85781833144426</v>
      </c>
      <c r="AD106" s="41">
        <f>K106/'1. Väestöennuste'!M106*1000</f>
        <v>915.42613289395763</v>
      </c>
      <c r="AE106" s="41">
        <f>L106/'1. Väestöennuste'!N106*1000</f>
        <v>853.96063820537847</v>
      </c>
      <c r="AF106" s="41">
        <f>M106/'1. Väestöennuste'!O106*1000</f>
        <v>634.7254628925532</v>
      </c>
      <c r="AG106" s="41">
        <f>N106/'1. Väestöennuste'!P106*1000</f>
        <v>395.11126074425823</v>
      </c>
      <c r="AH106" s="41">
        <f>O106/'1. Väestöennuste'!Q106*1000</f>
        <v>179.34918645505684</v>
      </c>
      <c r="AI106" s="41">
        <f>P106/'1. Väestöennuste'!R106*1000</f>
        <v>84.080956065827223</v>
      </c>
      <c r="AK106" s="41">
        <f t="shared" si="17"/>
        <v>-1</v>
      </c>
      <c r="AL106" s="41">
        <f t="shared" si="18"/>
        <v>-1</v>
      </c>
      <c r="AM106" s="41">
        <f t="shared" si="19"/>
        <v>0</v>
      </c>
      <c r="AN106" s="41">
        <f t="shared" si="20"/>
        <v>0</v>
      </c>
      <c r="AO106" s="41">
        <f t="shared" si="21"/>
        <v>-1</v>
      </c>
      <c r="AP106" s="41">
        <f t="shared" si="22"/>
        <v>0</v>
      </c>
      <c r="AQ106" s="41">
        <f t="shared" si="23"/>
        <v>0</v>
      </c>
      <c r="AR106" s="41">
        <f t="shared" si="24"/>
        <v>0</v>
      </c>
      <c r="AS106" s="41">
        <f t="shared" si="25"/>
        <v>0</v>
      </c>
      <c r="AT106" s="41">
        <f t="shared" si="26"/>
        <v>0</v>
      </c>
      <c r="AU106" s="41">
        <f t="shared" si="27"/>
        <v>0</v>
      </c>
      <c r="AV106" s="41">
        <f t="shared" si="28"/>
        <v>0</v>
      </c>
      <c r="AW106" s="41">
        <f t="shared" si="28"/>
        <v>0</v>
      </c>
      <c r="AX106" s="41">
        <f t="shared" si="28"/>
        <v>0</v>
      </c>
    </row>
    <row r="107" spans="1:50" ht="11.25" x14ac:dyDescent="0.2">
      <c r="A107" s="34">
        <v>272</v>
      </c>
      <c r="B107" s="88" t="s">
        <v>421</v>
      </c>
      <c r="C107" s="65">
        <v>16875</v>
      </c>
      <c r="D107" s="65">
        <v>11724</v>
      </c>
      <c r="E107" s="65">
        <v>14803</v>
      </c>
      <c r="F107" s="65">
        <v>13759</v>
      </c>
      <c r="G107" s="41">
        <v>11374</v>
      </c>
      <c r="H107" s="41">
        <v>24055</v>
      </c>
      <c r="I107" s="41">
        <v>29735.731880000003</v>
      </c>
      <c r="J107" s="41">
        <f>I107+'Tilikauden tulos'!J107+'9. Tulorahkorjauserät'!J107</f>
        <v>31559.06045711038</v>
      </c>
      <c r="K107" s="41">
        <f>J107+'Tilikauden tulos'!K107+'9. Tulorahkorjauserät'!K107</f>
        <v>38863.226719143961</v>
      </c>
      <c r="L107" s="41">
        <f>K107+'Tilikauden tulos'!L107+'9. Tulorahkorjauserät'!L107</f>
        <v>36206.905808592448</v>
      </c>
      <c r="M107" s="41">
        <f>L107+'Tilikauden tulos'!M107+'9. Tulorahkorjauserät'!M107</f>
        <v>28448.892972645201</v>
      </c>
      <c r="N107" s="41">
        <f>M107+'Tilikauden tulos'!N107+'9. Tulorahkorjauserät'!N107</f>
        <v>23413.512754946805</v>
      </c>
      <c r="O107" s="41">
        <f>N107+'Tilikauden tulos'!O107+'9. Tulorahkorjauserät'!O107</f>
        <v>19584.243607390541</v>
      </c>
      <c r="P107" s="41">
        <f>O107+'Tilikauden tulos'!P107+'9. Tulorahkorjauserät'!P107</f>
        <v>19424.098136614139</v>
      </c>
      <c r="T107" s="34">
        <v>272</v>
      </c>
      <c r="U107" s="88" t="s">
        <v>421</v>
      </c>
      <c r="V107" s="41">
        <f>C107/'1. Väestöennuste'!E107*1000</f>
        <v>354.74038259407189</v>
      </c>
      <c r="W107" s="41">
        <f>D107/'1. Väestöennuste'!F107*1000</f>
        <v>245.66770739475723</v>
      </c>
      <c r="X107" s="41">
        <f>E107/'1. Väestöennuste'!G107*1000</f>
        <v>310.18586425832405</v>
      </c>
      <c r="Y107" s="41">
        <f>F107/'1. Väestöennuste'!H107*1000</f>
        <v>288.70889900749103</v>
      </c>
      <c r="Z107" s="41">
        <f>G107/'1. Väestöennuste'!I107*1000</f>
        <v>238.54365470522851</v>
      </c>
      <c r="AA107" s="41">
        <f>H107/'1. Väestöennuste'!J107*1000</f>
        <v>503.53763710960396</v>
      </c>
      <c r="AB107" s="41">
        <f>I107/'1. Väestöennuste'!K107*1000</f>
        <v>620.67110313302305</v>
      </c>
      <c r="AC107" s="41">
        <f>J107/'1. Väestöennuste'!L107*1000</f>
        <v>657.39825140837354</v>
      </c>
      <c r="AD107" s="41">
        <f>K107/'1. Väestöennuste'!M107*1000</f>
        <v>804.70497399614783</v>
      </c>
      <c r="AE107" s="41">
        <f>L107/'1. Väestöennuste'!N107*1000</f>
        <v>756.10629011803962</v>
      </c>
      <c r="AF107" s="41">
        <f>M107/'1. Väestöennuste'!O107*1000</f>
        <v>594.26999023740814</v>
      </c>
      <c r="AG107" s="41">
        <f>N107/'1. Väestöennuste'!P107*1000</f>
        <v>489.38220335152073</v>
      </c>
      <c r="AH107" s="41">
        <f>O107/'1. Väestöennuste'!Q107*1000</f>
        <v>409.68649681799349</v>
      </c>
      <c r="AI107" s="41">
        <f>P107/'1. Väestöennuste'!R107*1000</f>
        <v>406.80443446037822</v>
      </c>
      <c r="AK107" s="41">
        <f t="shared" si="17"/>
        <v>0</v>
      </c>
      <c r="AL107" s="41">
        <f t="shared" si="18"/>
        <v>0</v>
      </c>
      <c r="AM107" s="41">
        <f t="shared" si="19"/>
        <v>0</v>
      </c>
      <c r="AN107" s="41">
        <f t="shared" si="20"/>
        <v>0</v>
      </c>
      <c r="AO107" s="41">
        <f t="shared" si="21"/>
        <v>0</v>
      </c>
      <c r="AP107" s="41">
        <f t="shared" si="22"/>
        <v>0</v>
      </c>
      <c r="AQ107" s="41">
        <f t="shared" si="23"/>
        <v>0</v>
      </c>
      <c r="AR107" s="41">
        <f t="shared" si="24"/>
        <v>0</v>
      </c>
      <c r="AS107" s="41">
        <f t="shared" si="25"/>
        <v>0</v>
      </c>
      <c r="AT107" s="41">
        <f t="shared" si="26"/>
        <v>0</v>
      </c>
      <c r="AU107" s="41">
        <f t="shared" si="27"/>
        <v>0</v>
      </c>
      <c r="AV107" s="41">
        <f t="shared" si="28"/>
        <v>0</v>
      </c>
      <c r="AW107" s="41">
        <f t="shared" si="28"/>
        <v>0</v>
      </c>
      <c r="AX107" s="41">
        <f t="shared" si="28"/>
        <v>0</v>
      </c>
    </row>
    <row r="108" spans="1:50" ht="11.25" x14ac:dyDescent="0.2">
      <c r="A108" s="34">
        <v>273</v>
      </c>
      <c r="B108" s="88" t="s">
        <v>422</v>
      </c>
      <c r="C108" s="65">
        <v>7275</v>
      </c>
      <c r="D108" s="65">
        <v>9767</v>
      </c>
      <c r="E108" s="65">
        <v>12263</v>
      </c>
      <c r="F108" s="65">
        <v>13426</v>
      </c>
      <c r="G108" s="41">
        <v>14533</v>
      </c>
      <c r="H108" s="41">
        <v>15612</v>
      </c>
      <c r="I108" s="41">
        <v>16610.22321</v>
      </c>
      <c r="J108" s="41">
        <f>I108+'Tilikauden tulos'!J108+'9. Tulorahkorjauserät'!J108</f>
        <v>17907.049454448916</v>
      </c>
      <c r="K108" s="41">
        <f>J108+'Tilikauden tulos'!K108+'9. Tulorahkorjauserät'!K108</f>
        <v>20295.390071328809</v>
      </c>
      <c r="L108" s="41">
        <f>K108+'Tilikauden tulos'!L108+'9. Tulorahkorjauserät'!L108</f>
        <v>22278.391402560301</v>
      </c>
      <c r="M108" s="41">
        <f>L108+'Tilikauden tulos'!M108+'9. Tulorahkorjauserät'!M108</f>
        <v>23571.434221490483</v>
      </c>
      <c r="N108" s="41">
        <f>M108+'Tilikauden tulos'!N108+'9. Tulorahkorjauserät'!N108</f>
        <v>24654.228701188698</v>
      </c>
      <c r="O108" s="41">
        <f>N108+'Tilikauden tulos'!O108+'9. Tulorahkorjauserät'!O108</f>
        <v>25542.151835548015</v>
      </c>
      <c r="P108" s="41">
        <f>O108+'Tilikauden tulos'!P108+'9. Tulorahkorjauserät'!P108</f>
        <v>26689.849517050883</v>
      </c>
      <c r="T108" s="34">
        <v>273</v>
      </c>
      <c r="U108" s="88" t="s">
        <v>422</v>
      </c>
      <c r="V108" s="41">
        <f>C108/'1. Väestöennuste'!E108*1000</f>
        <v>1890.5925155925156</v>
      </c>
      <c r="W108" s="41">
        <f>D108/'1. Väestöennuste'!F108*1000</f>
        <v>2552.1296054350669</v>
      </c>
      <c r="X108" s="41">
        <f>E108/'1. Väestöennuste'!G108*1000</f>
        <v>3181.8889465490397</v>
      </c>
      <c r="Y108" s="41">
        <f>F108/'1. Väestöennuste'!H108*1000</f>
        <v>3501.8257694314034</v>
      </c>
      <c r="Z108" s="41">
        <f>G108/'1. Väestöennuste'!I108*1000</f>
        <v>3778.7311492459698</v>
      </c>
      <c r="AA108" s="41">
        <f>H108/'1. Väestöennuste'!J108*1000</f>
        <v>3977.5796178343949</v>
      </c>
      <c r="AB108" s="41">
        <f>I108/'1. Väestöennuste'!K108*1000</f>
        <v>4164.0068212584611</v>
      </c>
      <c r="AC108" s="41">
        <f>J108/'1. Väestöennuste'!L108*1000</f>
        <v>4477.8818340707467</v>
      </c>
      <c r="AD108" s="41">
        <f>K108/'1. Väestöennuste'!M108*1000</f>
        <v>5059.9327028992293</v>
      </c>
      <c r="AE108" s="41">
        <f>L108/'1. Väestöennuste'!N108*1000</f>
        <v>5614.5139623387849</v>
      </c>
      <c r="AF108" s="41">
        <f>M108/'1. Väestöennuste'!O108*1000</f>
        <v>5931.4127381707303</v>
      </c>
      <c r="AG108" s="41">
        <f>N108/'1. Väestöennuste'!P108*1000</f>
        <v>6197.6442184989191</v>
      </c>
      <c r="AH108" s="41">
        <f>O108/'1. Väestöennuste'!Q108*1000</f>
        <v>6422.4671449705838</v>
      </c>
      <c r="AI108" s="41">
        <f>P108/'1. Väestöennuste'!R108*1000</f>
        <v>6711.0509220645918</v>
      </c>
      <c r="AK108" s="41">
        <f t="shared" si="17"/>
        <v>0</v>
      </c>
      <c r="AL108" s="41">
        <f t="shared" si="18"/>
        <v>0</v>
      </c>
      <c r="AM108" s="41">
        <f t="shared" si="19"/>
        <v>0</v>
      </c>
      <c r="AN108" s="41">
        <f t="shared" si="20"/>
        <v>0</v>
      </c>
      <c r="AO108" s="41">
        <f t="shared" si="21"/>
        <v>0</v>
      </c>
      <c r="AP108" s="41">
        <f t="shared" si="22"/>
        <v>0</v>
      </c>
      <c r="AQ108" s="41">
        <f t="shared" si="23"/>
        <v>0</v>
      </c>
      <c r="AR108" s="41">
        <f t="shared" si="24"/>
        <v>0</v>
      </c>
      <c r="AS108" s="41">
        <f t="shared" si="25"/>
        <v>0</v>
      </c>
      <c r="AT108" s="41">
        <f t="shared" si="26"/>
        <v>0</v>
      </c>
      <c r="AU108" s="41">
        <f t="shared" si="27"/>
        <v>0</v>
      </c>
      <c r="AV108" s="41">
        <f t="shared" si="28"/>
        <v>0</v>
      </c>
      <c r="AW108" s="41">
        <f t="shared" si="28"/>
        <v>0</v>
      </c>
      <c r="AX108" s="41">
        <f t="shared" si="28"/>
        <v>0</v>
      </c>
    </row>
    <row r="109" spans="1:50" ht="11.25" x14ac:dyDescent="0.2">
      <c r="A109" s="34">
        <v>275</v>
      </c>
      <c r="B109" s="88" t="s">
        <v>423</v>
      </c>
      <c r="C109" s="65">
        <v>5713</v>
      </c>
      <c r="D109" s="65">
        <v>5455</v>
      </c>
      <c r="E109" s="65">
        <v>3995</v>
      </c>
      <c r="F109" s="65">
        <v>2601</v>
      </c>
      <c r="G109" s="41">
        <v>-2948</v>
      </c>
      <c r="H109" s="41">
        <v>-1707</v>
      </c>
      <c r="I109" s="41">
        <v>378.35147999999998</v>
      </c>
      <c r="J109" s="41">
        <f>I109+'Tilikauden tulos'!J109+'9. Tulorahkorjauserät'!J109</f>
        <v>686.89242525932389</v>
      </c>
      <c r="K109" s="41">
        <f>J109+'Tilikauden tulos'!K109+'9. Tulorahkorjauserät'!K109</f>
        <v>1397.8998192217614</v>
      </c>
      <c r="L109" s="41">
        <f>K109+'Tilikauden tulos'!L109+'9. Tulorahkorjauserät'!L109</f>
        <v>1816.7022618444073</v>
      </c>
      <c r="M109" s="41">
        <f>L109+'Tilikauden tulos'!M109+'9. Tulorahkorjauserät'!M109</f>
        <v>2231.2268785333599</v>
      </c>
      <c r="N109" s="41">
        <f>M109+'Tilikauden tulos'!N109+'9. Tulorahkorjauserät'!N109</f>
        <v>2200.3996631581781</v>
      </c>
      <c r="O109" s="41">
        <f>N109+'Tilikauden tulos'!O109+'9. Tulorahkorjauserät'!O109</f>
        <v>1999.0392033569904</v>
      </c>
      <c r="P109" s="41">
        <f>O109+'Tilikauden tulos'!P109+'9. Tulorahkorjauserät'!P109</f>
        <v>1945.5284071829806</v>
      </c>
      <c r="T109" s="34">
        <v>275</v>
      </c>
      <c r="U109" s="88" t="s">
        <v>423</v>
      </c>
      <c r="V109" s="41">
        <f>C109/'1. Väestöennuste'!E109*1000</f>
        <v>2072.1799056945956</v>
      </c>
      <c r="W109" s="41">
        <f>D109/'1. Väestöennuste'!F109*1000</f>
        <v>1981.4747548129315</v>
      </c>
      <c r="X109" s="41">
        <f>E109/'1. Väestöennuste'!G109*1000</f>
        <v>1453.7845705967977</v>
      </c>
      <c r="Y109" s="41">
        <f>F109/'1. Väestöennuste'!H109*1000</f>
        <v>964.04744255003709</v>
      </c>
      <c r="Z109" s="41">
        <f>G109/'1. Väestöennuste'!I109*1000</f>
        <v>-1122.1926151503617</v>
      </c>
      <c r="AA109" s="41">
        <f>H109/'1. Väestöennuste'!J109*1000</f>
        <v>-658.31083686849217</v>
      </c>
      <c r="AB109" s="41">
        <f>I109/'1. Väestöennuste'!K109*1000</f>
        <v>146.3076102088167</v>
      </c>
      <c r="AC109" s="41">
        <f>J109/'1. Väestöennuste'!L109*1000</f>
        <v>272.46823691365483</v>
      </c>
      <c r="AD109" s="41">
        <f>K109/'1. Väestöennuste'!M109*1000</f>
        <v>559.38368116116897</v>
      </c>
      <c r="AE109" s="41">
        <f>L109/'1. Väestöennuste'!N109*1000</f>
        <v>741.51112728343162</v>
      </c>
      <c r="AF109" s="41">
        <f>M109/'1. Väestöennuste'!O109*1000</f>
        <v>922.37572490010746</v>
      </c>
      <c r="AG109" s="41">
        <f>N109/'1. Väestöennuste'!P109*1000</f>
        <v>920.66931512894473</v>
      </c>
      <c r="AH109" s="41">
        <f>O109/'1. Väestöennuste'!Q109*1000</f>
        <v>847.05050989702977</v>
      </c>
      <c r="AI109" s="41">
        <f>P109/'1. Väestöennuste'!R109*1000</f>
        <v>834.63252131401998</v>
      </c>
      <c r="AK109" s="41">
        <f t="shared" si="17"/>
        <v>0</v>
      </c>
      <c r="AL109" s="41">
        <f t="shared" si="18"/>
        <v>0</v>
      </c>
      <c r="AM109" s="41">
        <f t="shared" si="19"/>
        <v>0</v>
      </c>
      <c r="AN109" s="41">
        <f t="shared" si="20"/>
        <v>0</v>
      </c>
      <c r="AO109" s="41">
        <f t="shared" si="21"/>
        <v>-1</v>
      </c>
      <c r="AP109" s="41">
        <f t="shared" si="22"/>
        <v>-1</v>
      </c>
      <c r="AQ109" s="41">
        <f t="shared" si="23"/>
        <v>0</v>
      </c>
      <c r="AR109" s="41">
        <f t="shared" si="24"/>
        <v>0</v>
      </c>
      <c r="AS109" s="41">
        <f t="shared" si="25"/>
        <v>0</v>
      </c>
      <c r="AT109" s="41">
        <f t="shared" si="26"/>
        <v>0</v>
      </c>
      <c r="AU109" s="41">
        <f t="shared" si="27"/>
        <v>0</v>
      </c>
      <c r="AV109" s="41">
        <f t="shared" si="28"/>
        <v>0</v>
      </c>
      <c r="AW109" s="41">
        <f t="shared" si="28"/>
        <v>0</v>
      </c>
      <c r="AX109" s="41">
        <f t="shared" si="28"/>
        <v>0</v>
      </c>
    </row>
    <row r="110" spans="1:50" ht="11.25" x14ac:dyDescent="0.2">
      <c r="A110" s="34">
        <v>276</v>
      </c>
      <c r="B110" s="88" t="s">
        <v>424</v>
      </c>
      <c r="C110" s="65">
        <v>14389</v>
      </c>
      <c r="D110" s="65">
        <v>17744</v>
      </c>
      <c r="E110" s="65">
        <v>19289</v>
      </c>
      <c r="F110" s="65">
        <v>15667</v>
      </c>
      <c r="G110" s="41">
        <v>15880</v>
      </c>
      <c r="H110" s="41">
        <v>17366</v>
      </c>
      <c r="I110" s="41">
        <v>17664.85929</v>
      </c>
      <c r="J110" s="41">
        <f>I110+'Tilikauden tulos'!J110+'9. Tulorahkorjauserät'!J110</f>
        <v>17182.117313900108</v>
      </c>
      <c r="K110" s="41">
        <f>J110+'Tilikauden tulos'!K110+'9. Tulorahkorjauserät'!K110</f>
        <v>18154.673955868435</v>
      </c>
      <c r="L110" s="41">
        <f>K110+'Tilikauden tulos'!L110+'9. Tulorahkorjauserät'!L110</f>
        <v>16594.639403116864</v>
      </c>
      <c r="M110" s="41">
        <f>L110+'Tilikauden tulos'!M110+'9. Tulorahkorjauserät'!M110</f>
        <v>11979.365723369385</v>
      </c>
      <c r="N110" s="41">
        <f>M110+'Tilikauden tulos'!N110+'9. Tulorahkorjauserät'!N110</f>
        <v>7475.3348023293875</v>
      </c>
      <c r="O110" s="41">
        <f>N110+'Tilikauden tulos'!O110+'9. Tulorahkorjauserät'!O110</f>
        <v>3072.537155702903</v>
      </c>
      <c r="P110" s="41">
        <f>O110+'Tilikauden tulos'!P110+'9. Tulorahkorjauserät'!P110</f>
        <v>-616.84291172226403</v>
      </c>
      <c r="T110" s="34">
        <v>276</v>
      </c>
      <c r="U110" s="88" t="s">
        <v>424</v>
      </c>
      <c r="V110" s="41">
        <f>C110/'1. Väestöennuste'!E110*1000</f>
        <v>970.45929722802998</v>
      </c>
      <c r="W110" s="41">
        <f>D110/'1. Väestöennuste'!F110*1000</f>
        <v>1198.4330676752668</v>
      </c>
      <c r="X110" s="41">
        <f>E110/'1. Väestöennuste'!G110*1000</f>
        <v>1300.6743088334458</v>
      </c>
      <c r="Y110" s="41">
        <f>F110/'1. Väestöennuste'!H110*1000</f>
        <v>1055.0878847060408</v>
      </c>
      <c r="Z110" s="41">
        <f>G110/'1. Väestöennuste'!I110*1000</f>
        <v>1071.4526685108967</v>
      </c>
      <c r="AA110" s="41">
        <f>H110/'1. Väestöennuste'!J110*1000</f>
        <v>1168.8766238136905</v>
      </c>
      <c r="AB110" s="41">
        <f>I110/'1. Väestöennuste'!K110*1000</f>
        <v>1174.9158157632191</v>
      </c>
      <c r="AC110" s="41">
        <f>J110/'1. Väestöennuste'!L110*1000</f>
        <v>1133.6093761232505</v>
      </c>
      <c r="AD110" s="41">
        <f>K110/'1. Väestöennuste'!M110*1000</f>
        <v>1199.4367042724919</v>
      </c>
      <c r="AE110" s="41">
        <f>L110/'1. Väestöennuste'!N110*1000</f>
        <v>1110.0835777053223</v>
      </c>
      <c r="AF110" s="41">
        <f>M110/'1. Väestöennuste'!O110*1000</f>
        <v>801.50981689879461</v>
      </c>
      <c r="AG110" s="41">
        <f>N110/'1. Väestöennuste'!P110*1000</f>
        <v>500.62515418760967</v>
      </c>
      <c r="AH110" s="41">
        <f>O110/'1. Väestöennuste'!Q110*1000</f>
        <v>206.05842369411192</v>
      </c>
      <c r="AI110" s="41">
        <f>P110/'1. Väestöennuste'!R110*1000</f>
        <v>-41.448925663369437</v>
      </c>
      <c r="AK110" s="41">
        <f t="shared" si="17"/>
        <v>0</v>
      </c>
      <c r="AL110" s="41">
        <f t="shared" si="18"/>
        <v>0</v>
      </c>
      <c r="AM110" s="41">
        <f t="shared" si="19"/>
        <v>0</v>
      </c>
      <c r="AN110" s="41">
        <f t="shared" si="20"/>
        <v>0</v>
      </c>
      <c r="AO110" s="41">
        <f t="shared" si="21"/>
        <v>0</v>
      </c>
      <c r="AP110" s="41">
        <f t="shared" si="22"/>
        <v>0</v>
      </c>
      <c r="AQ110" s="41">
        <f t="shared" si="23"/>
        <v>0</v>
      </c>
      <c r="AR110" s="41">
        <f t="shared" si="24"/>
        <v>0</v>
      </c>
      <c r="AS110" s="41">
        <f t="shared" si="25"/>
        <v>0</v>
      </c>
      <c r="AT110" s="41">
        <f t="shared" si="26"/>
        <v>0</v>
      </c>
      <c r="AU110" s="41">
        <f t="shared" si="27"/>
        <v>0</v>
      </c>
      <c r="AV110" s="41">
        <f t="shared" si="28"/>
        <v>0</v>
      </c>
      <c r="AW110" s="41">
        <f t="shared" si="28"/>
        <v>0</v>
      </c>
      <c r="AX110" s="41">
        <f t="shared" si="28"/>
        <v>-1</v>
      </c>
    </row>
    <row r="111" spans="1:50" ht="11.25" x14ac:dyDescent="0.2">
      <c r="A111" s="34">
        <v>280</v>
      </c>
      <c r="B111" s="88" t="s">
        <v>425</v>
      </c>
      <c r="C111" s="65">
        <v>4718</v>
      </c>
      <c r="D111" s="65">
        <v>5001</v>
      </c>
      <c r="E111" s="65">
        <v>5344</v>
      </c>
      <c r="F111" s="65">
        <v>5130</v>
      </c>
      <c r="G111" s="41">
        <v>5015</v>
      </c>
      <c r="H111" s="41">
        <v>4764</v>
      </c>
      <c r="I111" s="41">
        <v>4548.0047299999997</v>
      </c>
      <c r="J111" s="41">
        <f>I111+'Tilikauden tulos'!J111+'9. Tulorahkorjauserät'!J111</f>
        <v>4763.4130100330722</v>
      </c>
      <c r="K111" s="41">
        <f>J111+'Tilikauden tulos'!K111+'9. Tulorahkorjauserät'!K111</f>
        <v>5593.4255747931211</v>
      </c>
      <c r="L111" s="41">
        <f>K111+'Tilikauden tulos'!L111+'9. Tulorahkorjauserät'!L111</f>
        <v>6008.8545880528782</v>
      </c>
      <c r="M111" s="41">
        <f>L111+'Tilikauden tulos'!M111+'9. Tulorahkorjauserät'!M111</f>
        <v>6286.9466377158114</v>
      </c>
      <c r="N111" s="41">
        <f>M111+'Tilikauden tulos'!N111+'9. Tulorahkorjauserät'!N111</f>
        <v>6694.2783446862049</v>
      </c>
      <c r="O111" s="41">
        <f>N111+'Tilikauden tulos'!O111+'9. Tulorahkorjauserät'!O111</f>
        <v>6868.2438085583253</v>
      </c>
      <c r="P111" s="41">
        <f>O111+'Tilikauden tulos'!P111+'9. Tulorahkorjauserät'!P111</f>
        <v>7070.6113035894268</v>
      </c>
      <c r="T111" s="34">
        <v>280</v>
      </c>
      <c r="U111" s="88" t="s">
        <v>425</v>
      </c>
      <c r="V111" s="41">
        <f>C111/'1. Väestöennuste'!E111*1000</f>
        <v>2143.5711040436163</v>
      </c>
      <c r="W111" s="41">
        <f>D111/'1. Väestöennuste'!F111*1000</f>
        <v>2303.546752648549</v>
      </c>
      <c r="X111" s="41">
        <f>E111/'1. Väestöennuste'!G111*1000</f>
        <v>2480.9656453110492</v>
      </c>
      <c r="Y111" s="41">
        <f>F111/'1. Väestöennuste'!H111*1000</f>
        <v>2417.5306314797363</v>
      </c>
      <c r="Z111" s="41">
        <f>G111/'1. Väestöennuste'!I111*1000</f>
        <v>2414.5402022147327</v>
      </c>
      <c r="AA111" s="41">
        <f>H111/'1. Väestöennuste'!J111*1000</f>
        <v>2303.6750483558994</v>
      </c>
      <c r="AB111" s="41">
        <f>I111/'1. Väestöennuste'!K111*1000</f>
        <v>2218.5388926829269</v>
      </c>
      <c r="AC111" s="41">
        <f>J111/'1. Väestöennuste'!L111*1000</f>
        <v>2353.4649259056678</v>
      </c>
      <c r="AD111" s="41">
        <f>K111/'1. Väestöennuste'!M111*1000</f>
        <v>2775.8935855052709</v>
      </c>
      <c r="AE111" s="41">
        <f>L111/'1. Väestöennuste'!N111*1000</f>
        <v>2982.0618302991952</v>
      </c>
      <c r="AF111" s="41">
        <f>M111/'1. Väestöennuste'!O111*1000</f>
        <v>3135.634233274719</v>
      </c>
      <c r="AG111" s="41">
        <f>N111/'1. Väestöennuste'!P111*1000</f>
        <v>3355.5279923239123</v>
      </c>
      <c r="AH111" s="41">
        <f>O111/'1. Väestöennuste'!Q111*1000</f>
        <v>3465.3096915026867</v>
      </c>
      <c r="AI111" s="41">
        <f>P111/'1. Väestöennuste'!R111*1000</f>
        <v>3587.3218181580046</v>
      </c>
      <c r="AK111" s="41">
        <f t="shared" si="17"/>
        <v>0</v>
      </c>
      <c r="AL111" s="41">
        <f t="shared" si="18"/>
        <v>0</v>
      </c>
      <c r="AM111" s="41">
        <f t="shared" si="19"/>
        <v>0</v>
      </c>
      <c r="AN111" s="41">
        <f t="shared" si="20"/>
        <v>0</v>
      </c>
      <c r="AO111" s="41">
        <f t="shared" si="21"/>
        <v>0</v>
      </c>
      <c r="AP111" s="41">
        <f t="shared" si="22"/>
        <v>0</v>
      </c>
      <c r="AQ111" s="41">
        <f t="shared" si="23"/>
        <v>0</v>
      </c>
      <c r="AR111" s="41">
        <f t="shared" si="24"/>
        <v>0</v>
      </c>
      <c r="AS111" s="41">
        <f t="shared" si="25"/>
        <v>0</v>
      </c>
      <c r="AT111" s="41">
        <f t="shared" si="26"/>
        <v>0</v>
      </c>
      <c r="AU111" s="41">
        <f t="shared" si="27"/>
        <v>0</v>
      </c>
      <c r="AV111" s="41">
        <f t="shared" si="28"/>
        <v>0</v>
      </c>
      <c r="AW111" s="41">
        <f t="shared" si="28"/>
        <v>0</v>
      </c>
      <c r="AX111" s="41">
        <f t="shared" si="28"/>
        <v>0</v>
      </c>
    </row>
    <row r="112" spans="1:50" ht="11.25" x14ac:dyDescent="0.2">
      <c r="A112" s="34">
        <v>284</v>
      </c>
      <c r="B112" s="88" t="s">
        <v>426</v>
      </c>
      <c r="C112" s="65">
        <v>3716</v>
      </c>
      <c r="D112" s="65">
        <v>3959</v>
      </c>
      <c r="E112" s="65">
        <v>4335</v>
      </c>
      <c r="F112" s="65">
        <v>3520</v>
      </c>
      <c r="G112" s="41">
        <v>3260</v>
      </c>
      <c r="H112" s="41">
        <v>4018</v>
      </c>
      <c r="I112" s="41">
        <v>5215.9242999999997</v>
      </c>
      <c r="J112" s="41">
        <f>I112+'Tilikauden tulos'!J112+'9. Tulorahkorjauserät'!J112</f>
        <v>5051.2357979153703</v>
      </c>
      <c r="K112" s="41">
        <f>J112+'Tilikauden tulos'!K112+'9. Tulorahkorjauserät'!K112</f>
        <v>8795.7638223139929</v>
      </c>
      <c r="L112" s="41">
        <f>K112+'Tilikauden tulos'!L112+'9. Tulorahkorjauserät'!L112</f>
        <v>10264.836380294457</v>
      </c>
      <c r="M112" s="41">
        <f>L112+'Tilikauden tulos'!M112+'9. Tulorahkorjauserät'!M112</f>
        <v>12537.909851000113</v>
      </c>
      <c r="N112" s="41">
        <f>M112+'Tilikauden tulos'!N112+'9. Tulorahkorjauserät'!N112</f>
        <v>14358.234591665809</v>
      </c>
      <c r="O112" s="41">
        <f>N112+'Tilikauden tulos'!O112+'9. Tulorahkorjauserät'!O112</f>
        <v>16081.846768677355</v>
      </c>
      <c r="P112" s="41">
        <f>O112+'Tilikauden tulos'!P112+'9. Tulorahkorjauserät'!P112</f>
        <v>18107.951354064131</v>
      </c>
      <c r="T112" s="34">
        <v>284</v>
      </c>
      <c r="U112" s="88" t="s">
        <v>426</v>
      </c>
      <c r="V112" s="41">
        <f>C112/'1. Väestöennuste'!E112*1000</f>
        <v>1548.9787411421426</v>
      </c>
      <c r="W112" s="41">
        <f>D112/'1. Väestöennuste'!F112*1000</f>
        <v>1638.658940397351</v>
      </c>
      <c r="X112" s="41">
        <f>E112/'1. Väestöennuste'!G112*1000</f>
        <v>1837.6430690970751</v>
      </c>
      <c r="Y112" s="41">
        <f>F112/'1. Väestöennuste'!H112*1000</f>
        <v>1504.2735042735042</v>
      </c>
      <c r="Z112" s="41">
        <f>G112/'1. Väestöennuste'!I112*1000</f>
        <v>1412.4783362218373</v>
      </c>
      <c r="AA112" s="41">
        <f>H112/'1. Väestöennuste'!J112*1000</f>
        <v>1753.0541012216406</v>
      </c>
      <c r="AB112" s="41">
        <f>I112/'1. Väestöennuste'!K112*1000</f>
        <v>2296.7522236900045</v>
      </c>
      <c r="AC112" s="41">
        <f>J112/'1. Väestöennuste'!L112*1000</f>
        <v>2268.179523087279</v>
      </c>
      <c r="AD112" s="41">
        <f>K112/'1. Väestöennuste'!M112*1000</f>
        <v>3985.3936666579034</v>
      </c>
      <c r="AE112" s="41">
        <f>L112/'1. Väestöennuste'!N112*1000</f>
        <v>4670.0802458118551</v>
      </c>
      <c r="AF112" s="41">
        <f>M112/'1. Väestöennuste'!O112*1000</f>
        <v>5759.2603817180125</v>
      </c>
      <c r="AG112" s="41">
        <f>N112/'1. Väestöennuste'!P112*1000</f>
        <v>6656.5760740221649</v>
      </c>
      <c r="AH112" s="41">
        <f>O112/'1. Väestöennuste'!Q112*1000</f>
        <v>7518.3949362680478</v>
      </c>
      <c r="AI112" s="41">
        <f>P112/'1. Väestöennuste'!R112*1000</f>
        <v>8549.5521029575684</v>
      </c>
      <c r="AK112" s="41">
        <f t="shared" si="17"/>
        <v>0</v>
      </c>
      <c r="AL112" s="41">
        <f t="shared" si="18"/>
        <v>0</v>
      </c>
      <c r="AM112" s="41">
        <f t="shared" si="19"/>
        <v>0</v>
      </c>
      <c r="AN112" s="41">
        <f t="shared" si="20"/>
        <v>0</v>
      </c>
      <c r="AO112" s="41">
        <f t="shared" si="21"/>
        <v>0</v>
      </c>
      <c r="AP112" s="41">
        <f t="shared" si="22"/>
        <v>0</v>
      </c>
      <c r="AQ112" s="41">
        <f t="shared" si="23"/>
        <v>0</v>
      </c>
      <c r="AR112" s="41">
        <f t="shared" si="24"/>
        <v>0</v>
      </c>
      <c r="AS112" s="41">
        <f t="shared" si="25"/>
        <v>0</v>
      </c>
      <c r="AT112" s="41">
        <f t="shared" si="26"/>
        <v>0</v>
      </c>
      <c r="AU112" s="41">
        <f t="shared" si="27"/>
        <v>0</v>
      </c>
      <c r="AV112" s="41">
        <f t="shared" si="28"/>
        <v>0</v>
      </c>
      <c r="AW112" s="41">
        <f t="shared" si="28"/>
        <v>0</v>
      </c>
      <c r="AX112" s="41">
        <f t="shared" si="28"/>
        <v>0</v>
      </c>
    </row>
    <row r="113" spans="1:50" ht="11.25" x14ac:dyDescent="0.2">
      <c r="A113" s="34">
        <v>285</v>
      </c>
      <c r="B113" s="88" t="s">
        <v>427</v>
      </c>
      <c r="C113" s="65">
        <v>-41277</v>
      </c>
      <c r="D113" s="65">
        <v>-48029</v>
      </c>
      <c r="E113" s="65">
        <v>-6259</v>
      </c>
      <c r="F113" s="65">
        <v>-6211</v>
      </c>
      <c r="G113" s="41">
        <v>9128</v>
      </c>
      <c r="H113" s="41">
        <v>11370</v>
      </c>
      <c r="I113" s="41">
        <v>19204.09662</v>
      </c>
      <c r="J113" s="41">
        <f>I113+'Tilikauden tulos'!J113+'9. Tulorahkorjauserät'!J113</f>
        <v>3229.1864050381064</v>
      </c>
      <c r="K113" s="41">
        <f>J113+'Tilikauden tulos'!K113+'9. Tulorahkorjauserät'!K113</f>
        <v>31395.973331304434</v>
      </c>
      <c r="L113" s="41">
        <f>K113+'Tilikauden tulos'!L113+'9. Tulorahkorjauserät'!L113</f>
        <v>21836.543160200021</v>
      </c>
      <c r="M113" s="41">
        <f>L113+'Tilikauden tulos'!M113+'9. Tulorahkorjauserät'!M113</f>
        <v>14236.740634314112</v>
      </c>
      <c r="N113" s="41">
        <f>M113+'Tilikauden tulos'!N113+'9. Tulorahkorjauserät'!N113</f>
        <v>11470.613473791434</v>
      </c>
      <c r="O113" s="41">
        <f>N113+'Tilikauden tulos'!O113+'9. Tulorahkorjauserät'!O113</f>
        <v>9781.8918442590984</v>
      </c>
      <c r="P113" s="41">
        <f>O113+'Tilikauden tulos'!P113+'9. Tulorahkorjauserät'!P113</f>
        <v>13195.856905268432</v>
      </c>
      <c r="T113" s="34">
        <v>285</v>
      </c>
      <c r="U113" s="88" t="s">
        <v>427</v>
      </c>
      <c r="V113" s="41">
        <f>C113/'1. Väestöennuste'!E113*1000</f>
        <v>-759.89985088090725</v>
      </c>
      <c r="W113" s="41">
        <f>D113/'1. Väestöennuste'!F113*1000</f>
        <v>-886.35650617306737</v>
      </c>
      <c r="X113" s="41">
        <f>E113/'1. Väestöennuste'!G113*1000</f>
        <v>-116.90543342236501</v>
      </c>
      <c r="Y113" s="41">
        <f>F113/'1. Väestöennuste'!H113*1000</f>
        <v>-117.44795113741655</v>
      </c>
      <c r="Z113" s="41">
        <f>G113/'1. Väestöennuste'!I113*1000</f>
        <v>175.11414649119442</v>
      </c>
      <c r="AA113" s="41">
        <f>H113/'1. Väestöennuste'!J113*1000</f>
        <v>220.0588371912983</v>
      </c>
      <c r="AB113" s="41">
        <f>I113/'1. Väestöennuste'!K113*1000</f>
        <v>374.77989539626469</v>
      </c>
      <c r="AC113" s="41">
        <f>J113/'1. Väestöennuste'!L113*1000</f>
        <v>63.796479543199055</v>
      </c>
      <c r="AD113" s="41">
        <f>K113/'1. Väestöennuste'!M113*1000</f>
        <v>621.70244220404822</v>
      </c>
      <c r="AE113" s="41">
        <f>L113/'1. Väestöennuste'!N113*1000</f>
        <v>438.31757281760014</v>
      </c>
      <c r="AF113" s="41">
        <f>M113/'1. Väestöennuste'!O113*1000</f>
        <v>288.26315368741621</v>
      </c>
      <c r="AG113" s="41">
        <f>N113/'1. Väestöennuste'!P113*1000</f>
        <v>234.21843169419355</v>
      </c>
      <c r="AH113" s="41">
        <f>O113/'1. Väestöennuste'!Q113*1000</f>
        <v>201.39781437634542</v>
      </c>
      <c r="AI113" s="41">
        <f>P113/'1. Väestöennuste'!R113*1000</f>
        <v>273.91503695419681</v>
      </c>
      <c r="AK113" s="41">
        <f t="shared" si="17"/>
        <v>-1</v>
      </c>
      <c r="AL113" s="41">
        <f t="shared" si="18"/>
        <v>-1</v>
      </c>
      <c r="AM113" s="41">
        <f t="shared" si="19"/>
        <v>-1</v>
      </c>
      <c r="AN113" s="41">
        <f t="shared" si="20"/>
        <v>-1</v>
      </c>
      <c r="AO113" s="41">
        <f t="shared" si="21"/>
        <v>0</v>
      </c>
      <c r="AP113" s="41">
        <f t="shared" si="22"/>
        <v>0</v>
      </c>
      <c r="AQ113" s="41">
        <f t="shared" si="23"/>
        <v>0</v>
      </c>
      <c r="AR113" s="41">
        <f t="shared" si="24"/>
        <v>0</v>
      </c>
      <c r="AS113" s="41">
        <f t="shared" si="25"/>
        <v>0</v>
      </c>
      <c r="AT113" s="41">
        <f t="shared" si="26"/>
        <v>0</v>
      </c>
      <c r="AU113" s="41">
        <f t="shared" si="27"/>
        <v>0</v>
      </c>
      <c r="AV113" s="41">
        <f t="shared" si="28"/>
        <v>0</v>
      </c>
      <c r="AW113" s="41">
        <f t="shared" si="28"/>
        <v>0</v>
      </c>
      <c r="AX113" s="41">
        <f t="shared" si="28"/>
        <v>0</v>
      </c>
    </row>
    <row r="114" spans="1:50" ht="11.25" x14ac:dyDescent="0.2">
      <c r="A114" s="34">
        <v>286</v>
      </c>
      <c r="B114" s="88" t="s">
        <v>428</v>
      </c>
      <c r="C114" s="65">
        <v>-954</v>
      </c>
      <c r="D114" s="65">
        <v>4843</v>
      </c>
      <c r="E114" s="65">
        <v>2174</v>
      </c>
      <c r="F114" s="65">
        <v>10140</v>
      </c>
      <c r="G114" s="41">
        <v>-13653</v>
      </c>
      <c r="H114" s="41">
        <v>17955</v>
      </c>
      <c r="I114" s="41">
        <v>19930.24021</v>
      </c>
      <c r="J114" s="41">
        <f>I114+'Tilikauden tulos'!J114+'9. Tulorahkorjauserät'!J114</f>
        <v>-12626.621825783976</v>
      </c>
      <c r="K114" s="41">
        <f>J114+'Tilikauden tulos'!K114+'9. Tulorahkorjauserät'!K114</f>
        <v>5286.3032717883125</v>
      </c>
      <c r="L114" s="41">
        <f>K114+'Tilikauden tulos'!L114+'9. Tulorahkorjauserät'!L114</f>
        <v>-2628.4552267743547</v>
      </c>
      <c r="M114" s="41">
        <f>L114+'Tilikauden tulos'!M114+'9. Tulorahkorjauserät'!M114</f>
        <v>-25344.396860693596</v>
      </c>
      <c r="N114" s="41">
        <f>M114+'Tilikauden tulos'!N114+'9. Tulorahkorjauserät'!N114</f>
        <v>-43346.093793230211</v>
      </c>
      <c r="O114" s="41">
        <f>N114+'Tilikauden tulos'!O114+'9. Tulorahkorjauserät'!O114</f>
        <v>-59310.170884151601</v>
      </c>
      <c r="P114" s="41">
        <f>O114+'Tilikauden tulos'!P114+'9. Tulorahkorjauserät'!P114</f>
        <v>-67180.751530698151</v>
      </c>
      <c r="T114" s="34">
        <v>286</v>
      </c>
      <c r="U114" s="88" t="s">
        <v>428</v>
      </c>
      <c r="V114" s="41">
        <f>C114/'1. Väestöennuste'!E114*1000</f>
        <v>-11.111758196959991</v>
      </c>
      <c r="W114" s="41">
        <f>D114/'1. Väestöennuste'!F114*1000</f>
        <v>56.772091060417793</v>
      </c>
      <c r="X114" s="41">
        <f>E114/'1. Väestöennuste'!G114*1000</f>
        <v>25.820704071452326</v>
      </c>
      <c r="Y114" s="41">
        <f>F114/'1. Väestöennuste'!H114*1000</f>
        <v>121.90870072255551</v>
      </c>
      <c r="Z114" s="41">
        <f>G114/'1. Väestöennuste'!I114*1000</f>
        <v>-166.27087062949838</v>
      </c>
      <c r="AA114" s="41">
        <f>H114/'1. Väestöennuste'!J114*1000</f>
        <v>221.15609641937746</v>
      </c>
      <c r="AB114" s="41">
        <f>I114/'1. Väestöennuste'!K114*1000</f>
        <v>247.72217925771247</v>
      </c>
      <c r="AC114" s="41">
        <f>J114/'1. Väestöennuste'!L114*1000</f>
        <v>-158.96740265877671</v>
      </c>
      <c r="AD114" s="41">
        <f>K114/'1. Väestöennuste'!M114*1000</f>
        <v>67.017029307661161</v>
      </c>
      <c r="AE114" s="41">
        <f>L114/'1. Väestöennuste'!N114*1000</f>
        <v>-33.734473365860083</v>
      </c>
      <c r="AF114" s="41">
        <f>M114/'1. Väestöennuste'!O114*1000</f>
        <v>-328.52935200847236</v>
      </c>
      <c r="AG114" s="41">
        <f>N114/'1. Väestöennuste'!P114*1000</f>
        <v>-567.42409175465968</v>
      </c>
      <c r="AH114" s="41">
        <f>O114/'1. Väestöennuste'!Q114*1000</f>
        <v>-783.91428493836293</v>
      </c>
      <c r="AI114" s="41">
        <f>P114/'1. Väestöennuste'!R114*1000</f>
        <v>-896.31699662047913</v>
      </c>
      <c r="AK114" s="41">
        <f t="shared" si="17"/>
        <v>-1</v>
      </c>
      <c r="AL114" s="41">
        <f t="shared" si="18"/>
        <v>0</v>
      </c>
      <c r="AM114" s="41">
        <f t="shared" si="19"/>
        <v>0</v>
      </c>
      <c r="AN114" s="41">
        <f t="shared" si="20"/>
        <v>0</v>
      </c>
      <c r="AO114" s="41">
        <f t="shared" si="21"/>
        <v>-1</v>
      </c>
      <c r="AP114" s="41">
        <f t="shared" si="22"/>
        <v>0</v>
      </c>
      <c r="AQ114" s="41">
        <f t="shared" si="23"/>
        <v>0</v>
      </c>
      <c r="AR114" s="41">
        <f t="shared" si="24"/>
        <v>-1</v>
      </c>
      <c r="AS114" s="41">
        <f t="shared" si="25"/>
        <v>0</v>
      </c>
      <c r="AT114" s="41">
        <f t="shared" si="26"/>
        <v>-1</v>
      </c>
      <c r="AU114" s="41">
        <f t="shared" si="27"/>
        <v>-1</v>
      </c>
      <c r="AV114" s="41">
        <f t="shared" si="28"/>
        <v>-1</v>
      </c>
      <c r="AW114" s="41">
        <f t="shared" si="28"/>
        <v>-1</v>
      </c>
      <c r="AX114" s="41">
        <f t="shared" si="28"/>
        <v>-1</v>
      </c>
    </row>
    <row r="115" spans="1:50" ht="11.25" x14ac:dyDescent="0.2">
      <c r="A115" s="34">
        <v>287</v>
      </c>
      <c r="B115" s="88" t="s">
        <v>429</v>
      </c>
      <c r="C115" s="65">
        <v>843</v>
      </c>
      <c r="D115" s="65">
        <v>6449</v>
      </c>
      <c r="E115" s="65">
        <v>9469</v>
      </c>
      <c r="F115" s="65">
        <v>9746</v>
      </c>
      <c r="G115" s="41">
        <v>7556</v>
      </c>
      <c r="H115" s="41">
        <v>7639</v>
      </c>
      <c r="I115" s="41">
        <v>8645.3359700000001</v>
      </c>
      <c r="J115" s="41">
        <f>I115+'Tilikauden tulos'!J115+'9. Tulorahkorjauserät'!J115</f>
        <v>7647.9327342310607</v>
      </c>
      <c r="K115" s="41">
        <f>J115+'Tilikauden tulos'!K115+'9. Tulorahkorjauserät'!K115</f>
        <v>8432.3676674318394</v>
      </c>
      <c r="L115" s="41">
        <f>K115+'Tilikauden tulos'!L115+'9. Tulorahkorjauserät'!L115</f>
        <v>9557.5503672489285</v>
      </c>
      <c r="M115" s="41">
        <f>L115+'Tilikauden tulos'!M115+'9. Tulorahkorjauserät'!M115</f>
        <v>10138.48614642848</v>
      </c>
      <c r="N115" s="41">
        <f>M115+'Tilikauden tulos'!N115+'9. Tulorahkorjauserät'!N115</f>
        <v>10931.910050487491</v>
      </c>
      <c r="O115" s="41">
        <f>N115+'Tilikauden tulos'!O115+'9. Tulorahkorjauserät'!O115</f>
        <v>11484.14882913176</v>
      </c>
      <c r="P115" s="41">
        <f>O115+'Tilikauden tulos'!P115+'9. Tulorahkorjauserät'!P115</f>
        <v>12518.777871082024</v>
      </c>
      <c r="T115" s="34">
        <v>287</v>
      </c>
      <c r="U115" s="88" t="s">
        <v>429</v>
      </c>
      <c r="V115" s="41">
        <f>C115/'1. Väestöennuste'!E115*1000</f>
        <v>124.0983365228912</v>
      </c>
      <c r="W115" s="41">
        <f>D115/'1. Väestöennuste'!F115*1000</f>
        <v>958.67400029730936</v>
      </c>
      <c r="X115" s="41">
        <f>E115/'1. Väestöennuste'!G115*1000</f>
        <v>1426.4838806869541</v>
      </c>
      <c r="Y115" s="41">
        <f>F115/'1. Väestöennuste'!H115*1000</f>
        <v>1477.5621588841723</v>
      </c>
      <c r="Z115" s="41">
        <f>G115/'1. Väestöennuste'!I115*1000</f>
        <v>1164.9707061362935</v>
      </c>
      <c r="AA115" s="41">
        <f>H115/'1. Väestöennuste'!J115*1000</f>
        <v>1192.8482198625859</v>
      </c>
      <c r="AB115" s="41">
        <f>I115/'1. Väestöennuste'!K115*1000</f>
        <v>1355.0683338557994</v>
      </c>
      <c r="AC115" s="41">
        <f>J115/'1. Väestöennuste'!L115*1000</f>
        <v>1225.2375415301283</v>
      </c>
      <c r="AD115" s="41">
        <f>K115/'1. Väestöennuste'!M115*1000</f>
        <v>1360.2787009891658</v>
      </c>
      <c r="AE115" s="41">
        <f>L115/'1. Väestöennuste'!N115*1000</f>
        <v>1564.5032521278324</v>
      </c>
      <c r="AF115" s="41">
        <f>M115/'1. Väestöennuste'!O115*1000</f>
        <v>1676.6142130690394</v>
      </c>
      <c r="AG115" s="41">
        <f>N115/'1. Väestöennuste'!P115*1000</f>
        <v>1825.6362809765349</v>
      </c>
      <c r="AH115" s="41">
        <f>O115/'1. Väestöennuste'!Q115*1000</f>
        <v>1936.2921647499174</v>
      </c>
      <c r="AI115" s="41">
        <f>P115/'1. Väestöennuste'!R115*1000</f>
        <v>2131.2185684511451</v>
      </c>
      <c r="AK115" s="41">
        <f t="shared" si="17"/>
        <v>0</v>
      </c>
      <c r="AL115" s="41">
        <f t="shared" si="18"/>
        <v>0</v>
      </c>
      <c r="AM115" s="41">
        <f t="shared" si="19"/>
        <v>0</v>
      </c>
      <c r="AN115" s="41">
        <f t="shared" si="20"/>
        <v>0</v>
      </c>
      <c r="AO115" s="41">
        <f t="shared" si="21"/>
        <v>0</v>
      </c>
      <c r="AP115" s="41">
        <f t="shared" si="22"/>
        <v>0</v>
      </c>
      <c r="AQ115" s="41">
        <f t="shared" si="23"/>
        <v>0</v>
      </c>
      <c r="AR115" s="41">
        <f t="shared" si="24"/>
        <v>0</v>
      </c>
      <c r="AS115" s="41">
        <f t="shared" si="25"/>
        <v>0</v>
      </c>
      <c r="AT115" s="41">
        <f t="shared" si="26"/>
        <v>0</v>
      </c>
      <c r="AU115" s="41">
        <f t="shared" si="27"/>
        <v>0</v>
      </c>
      <c r="AV115" s="41">
        <f t="shared" si="28"/>
        <v>0</v>
      </c>
      <c r="AW115" s="41">
        <f t="shared" si="28"/>
        <v>0</v>
      </c>
      <c r="AX115" s="41">
        <f t="shared" si="28"/>
        <v>0</v>
      </c>
    </row>
    <row r="116" spans="1:50" ht="11.25" x14ac:dyDescent="0.2">
      <c r="A116" s="34">
        <v>288</v>
      </c>
      <c r="B116" s="88" t="s">
        <v>430</v>
      </c>
      <c r="C116" s="65">
        <v>5408</v>
      </c>
      <c r="D116" s="65">
        <v>5355</v>
      </c>
      <c r="E116" s="65">
        <v>6287</v>
      </c>
      <c r="F116" s="65">
        <v>5973</v>
      </c>
      <c r="G116" s="41">
        <v>6536</v>
      </c>
      <c r="H116" s="41">
        <v>9693</v>
      </c>
      <c r="I116" s="41">
        <v>12616.474410000001</v>
      </c>
      <c r="J116" s="41">
        <f>I116+'Tilikauden tulos'!J116+'9. Tulorahkorjauserät'!J116</f>
        <v>15877.965899602439</v>
      </c>
      <c r="K116" s="41">
        <f>J116+'Tilikauden tulos'!K116+'9. Tulorahkorjauserät'!K116</f>
        <v>19351.644009266693</v>
      </c>
      <c r="L116" s="41">
        <f>K116+'Tilikauden tulos'!L116+'9. Tulorahkorjauserät'!L116</f>
        <v>21741.73498213906</v>
      </c>
      <c r="M116" s="41">
        <f>L116+'Tilikauden tulos'!M116+'9. Tulorahkorjauserät'!M116</f>
        <v>24202.002348375841</v>
      </c>
      <c r="N116" s="41">
        <f>M116+'Tilikauden tulos'!N116+'9. Tulorahkorjauserät'!N116</f>
        <v>26657.646701986148</v>
      </c>
      <c r="O116" s="41">
        <f>N116+'Tilikauden tulos'!O116+'9. Tulorahkorjauserät'!O116</f>
        <v>29379.05473872738</v>
      </c>
      <c r="P116" s="41">
        <f>O116+'Tilikauden tulos'!P116+'9. Tulorahkorjauserät'!P116</f>
        <v>32595.158615439592</v>
      </c>
      <c r="T116" s="34">
        <v>288</v>
      </c>
      <c r="U116" s="88" t="s">
        <v>430</v>
      </c>
      <c r="V116" s="41">
        <f>C116/'1. Väestöennuste'!E116*1000</f>
        <v>809.33852140077818</v>
      </c>
      <c r="W116" s="41">
        <f>D116/'1. Väestöennuste'!F116*1000</f>
        <v>808.91238670694861</v>
      </c>
      <c r="X116" s="41">
        <f>E116/'1. Väestöennuste'!G116*1000</f>
        <v>962.63971826672787</v>
      </c>
      <c r="Y116" s="41">
        <f>F116/'1. Väestöennuste'!H116*1000</f>
        <v>917.65248117990473</v>
      </c>
      <c r="Z116" s="41">
        <f>G116/'1. Väestöennuste'!I116*1000</f>
        <v>1016.8014934660858</v>
      </c>
      <c r="AA116" s="41">
        <f>H116/'1. Väestöennuste'!J116*1000</f>
        <v>1510.7543640897757</v>
      </c>
      <c r="AB116" s="41">
        <f>I116/'1. Väestöennuste'!K116*1000</f>
        <v>1958.4716563179138</v>
      </c>
      <c r="AC116" s="41">
        <f>J116/'1. Väestöennuste'!L116*1000</f>
        <v>2478.9954566124029</v>
      </c>
      <c r="AD116" s="41">
        <f>K116/'1. Väestöennuste'!M116*1000</f>
        <v>3038.8888205506742</v>
      </c>
      <c r="AE116" s="41">
        <f>L116/'1. Väestöennuste'!N116*1000</f>
        <v>3493.2093480300546</v>
      </c>
      <c r="AF116" s="41">
        <f>M116/'1. Väestöennuste'!O116*1000</f>
        <v>3918.0835920958139</v>
      </c>
      <c r="AG116" s="41">
        <f>N116/'1. Väestöennuste'!P116*1000</f>
        <v>4348.0095746185198</v>
      </c>
      <c r="AH116" s="41">
        <f>O116/'1. Väestöennuste'!Q116*1000</f>
        <v>4828.9044606718244</v>
      </c>
      <c r="AI116" s="41">
        <f>P116/'1. Väestöennuste'!R116*1000</f>
        <v>5400.1256818157044</v>
      </c>
      <c r="AK116" s="41">
        <f t="shared" si="17"/>
        <v>0</v>
      </c>
      <c r="AL116" s="41">
        <f t="shared" si="18"/>
        <v>0</v>
      </c>
      <c r="AM116" s="41">
        <f t="shared" si="19"/>
        <v>0</v>
      </c>
      <c r="AN116" s="41">
        <f t="shared" si="20"/>
        <v>0</v>
      </c>
      <c r="AO116" s="41">
        <f t="shared" si="21"/>
        <v>0</v>
      </c>
      <c r="AP116" s="41">
        <f t="shared" si="22"/>
        <v>0</v>
      </c>
      <c r="AQ116" s="41">
        <f t="shared" si="23"/>
        <v>0</v>
      </c>
      <c r="AR116" s="41">
        <f t="shared" si="24"/>
        <v>0</v>
      </c>
      <c r="AS116" s="41">
        <f t="shared" si="25"/>
        <v>0</v>
      </c>
      <c r="AT116" s="41">
        <f t="shared" si="26"/>
        <v>0</v>
      </c>
      <c r="AU116" s="41">
        <f t="shared" si="27"/>
        <v>0</v>
      </c>
      <c r="AV116" s="41">
        <f t="shared" si="28"/>
        <v>0</v>
      </c>
      <c r="AW116" s="41">
        <f t="shared" si="28"/>
        <v>0</v>
      </c>
      <c r="AX116" s="41">
        <f t="shared" si="28"/>
        <v>0</v>
      </c>
    </row>
    <row r="117" spans="1:50" ht="11.25" x14ac:dyDescent="0.2">
      <c r="A117" s="34">
        <v>290</v>
      </c>
      <c r="B117" s="88" t="s">
        <v>431</v>
      </c>
      <c r="C117" s="65">
        <v>1763</v>
      </c>
      <c r="D117" s="65">
        <v>2327</v>
      </c>
      <c r="E117" s="65">
        <v>2922</v>
      </c>
      <c r="F117" s="65">
        <v>-182</v>
      </c>
      <c r="G117" s="41">
        <v>-1764</v>
      </c>
      <c r="H117" s="41">
        <v>-2625</v>
      </c>
      <c r="I117" s="41">
        <v>3068.6393900000003</v>
      </c>
      <c r="J117" s="41">
        <f>I117+'Tilikauden tulos'!J117+'9. Tulorahkorjauserät'!J117</f>
        <v>4786.8823347838752</v>
      </c>
      <c r="K117" s="41">
        <f>J117+'Tilikauden tulos'!K117+'9. Tulorahkorjauserät'!K117</f>
        <v>6169.8368937369232</v>
      </c>
      <c r="L117" s="41">
        <f>K117+'Tilikauden tulos'!L117+'9. Tulorahkorjauserät'!L117</f>
        <v>6831.5978646050353</v>
      </c>
      <c r="M117" s="41">
        <f>L117+'Tilikauden tulos'!M117+'9. Tulorahkorjauserät'!M117</f>
        <v>5894.2302331346264</v>
      </c>
      <c r="N117" s="41">
        <f>M117+'Tilikauden tulos'!N117+'9. Tulorahkorjauserät'!N117</f>
        <v>5706.0066145691289</v>
      </c>
      <c r="O117" s="41">
        <f>N117+'Tilikauden tulos'!O117+'9. Tulorahkorjauserät'!O117</f>
        <v>5065.8933307949565</v>
      </c>
      <c r="P117" s="41">
        <f>O117+'Tilikauden tulos'!P117+'9. Tulorahkorjauserät'!P117</f>
        <v>5601.5503660458617</v>
      </c>
      <c r="T117" s="34">
        <v>290</v>
      </c>
      <c r="U117" s="88" t="s">
        <v>431</v>
      </c>
      <c r="V117" s="41">
        <f>C117/'1. Väestöennuste'!E117*1000</f>
        <v>200.20440608675901</v>
      </c>
      <c r="W117" s="41">
        <f>D117/'1. Väestöennuste'!F117*1000</f>
        <v>269.11067422227364</v>
      </c>
      <c r="X117" s="41">
        <f>E117/'1. Väestöennuste'!G117*1000</f>
        <v>343.80515354747615</v>
      </c>
      <c r="Y117" s="41">
        <f>F117/'1. Väestöennuste'!H117*1000</f>
        <v>-21.851362708608477</v>
      </c>
      <c r="Z117" s="41">
        <f>G117/'1. Väestöennuste'!I117*1000</f>
        <v>-215.38461538461539</v>
      </c>
      <c r="AA117" s="41">
        <f>H117/'1. Väestöennuste'!J117*1000</f>
        <v>-326.4113404625715</v>
      </c>
      <c r="AB117" s="41">
        <f>I117/'1. Väestöennuste'!K117*1000</f>
        <v>387.06349520686177</v>
      </c>
      <c r="AC117" s="41">
        <f>J117/'1. Väestöennuste'!L117*1000</f>
        <v>617.26400190636684</v>
      </c>
      <c r="AD117" s="41">
        <f>K117/'1. Väestöennuste'!M117*1000</f>
        <v>813.74794166933827</v>
      </c>
      <c r="AE117" s="41">
        <f>L117/'1. Väestöennuste'!N117*1000</f>
        <v>913.68167240939351</v>
      </c>
      <c r="AF117" s="41">
        <f>M117/'1. Väestöennuste'!O117*1000</f>
        <v>802.26354064715213</v>
      </c>
      <c r="AG117" s="41">
        <f>N117/'1. Väestöennuste'!P117*1000</f>
        <v>790.63414362881099</v>
      </c>
      <c r="AH117" s="41">
        <f>O117/'1. Väestöennuste'!Q117*1000</f>
        <v>714.51245850422515</v>
      </c>
      <c r="AI117" s="41">
        <f>P117/'1. Väestöennuste'!R117*1000</f>
        <v>804.0118223117355</v>
      </c>
      <c r="AK117" s="41">
        <f t="shared" si="17"/>
        <v>0</v>
      </c>
      <c r="AL117" s="41">
        <f t="shared" si="18"/>
        <v>0</v>
      </c>
      <c r="AM117" s="41">
        <f t="shared" si="19"/>
        <v>0</v>
      </c>
      <c r="AN117" s="41">
        <f t="shared" si="20"/>
        <v>-1</v>
      </c>
      <c r="AO117" s="41">
        <f t="shared" si="21"/>
        <v>-1</v>
      </c>
      <c r="AP117" s="41">
        <f t="shared" si="22"/>
        <v>-1</v>
      </c>
      <c r="AQ117" s="41">
        <f t="shared" si="23"/>
        <v>0</v>
      </c>
      <c r="AR117" s="41">
        <f t="shared" si="24"/>
        <v>0</v>
      </c>
      <c r="AS117" s="41">
        <f t="shared" si="25"/>
        <v>0</v>
      </c>
      <c r="AT117" s="41">
        <f t="shared" si="26"/>
        <v>0</v>
      </c>
      <c r="AU117" s="41">
        <f t="shared" si="27"/>
        <v>0</v>
      </c>
      <c r="AV117" s="41">
        <f t="shared" si="28"/>
        <v>0</v>
      </c>
      <c r="AW117" s="41">
        <f t="shared" si="28"/>
        <v>0</v>
      </c>
      <c r="AX117" s="41">
        <f t="shared" si="28"/>
        <v>0</v>
      </c>
    </row>
    <row r="118" spans="1:50" ht="11.25" x14ac:dyDescent="0.2">
      <c r="A118" s="34">
        <v>291</v>
      </c>
      <c r="B118" s="88" t="s">
        <v>432</v>
      </c>
      <c r="C118" s="65">
        <v>4199</v>
      </c>
      <c r="D118" s="65">
        <v>4970</v>
      </c>
      <c r="E118" s="65">
        <v>6075</v>
      </c>
      <c r="F118" s="65">
        <v>6210</v>
      </c>
      <c r="G118" s="41">
        <v>5947</v>
      </c>
      <c r="H118" s="41">
        <v>6376</v>
      </c>
      <c r="I118" s="41">
        <v>6518.7259099999992</v>
      </c>
      <c r="J118" s="41">
        <f>I118+'Tilikauden tulos'!J118+'9. Tulorahkorjauserät'!J118</f>
        <v>6335.7882126580962</v>
      </c>
      <c r="K118" s="41">
        <f>J118+'Tilikauden tulos'!K118+'9. Tulorahkorjauserät'!K118</f>
        <v>6509.8957514739668</v>
      </c>
      <c r="L118" s="41">
        <f>K118+'Tilikauden tulos'!L118+'9. Tulorahkorjauserät'!L118</f>
        <v>7238.9278542997499</v>
      </c>
      <c r="M118" s="41">
        <f>L118+'Tilikauden tulos'!M118+'9. Tulorahkorjauserät'!M118</f>
        <v>7158.5620244123784</v>
      </c>
      <c r="N118" s="41">
        <f>M118+'Tilikauden tulos'!N118+'9. Tulorahkorjauserät'!N118</f>
        <v>6879.6515763443385</v>
      </c>
      <c r="O118" s="41">
        <f>N118+'Tilikauden tulos'!O118+'9. Tulorahkorjauserät'!O118</f>
        <v>6361.3362542471059</v>
      </c>
      <c r="P118" s="41">
        <f>O118+'Tilikauden tulos'!P118+'9. Tulorahkorjauserät'!P118</f>
        <v>5960.7521889492127</v>
      </c>
      <c r="T118" s="34">
        <v>291</v>
      </c>
      <c r="U118" s="88" t="s">
        <v>432</v>
      </c>
      <c r="V118" s="41">
        <f>C118/'1. Väestöennuste'!E118*1000</f>
        <v>1799.0574121679522</v>
      </c>
      <c r="W118" s="41">
        <f>D118/'1. Väestöennuste'!F118*1000</f>
        <v>2174.1032370953631</v>
      </c>
      <c r="X118" s="41">
        <f>E118/'1. Väestöennuste'!G118*1000</f>
        <v>2697.6021314387212</v>
      </c>
      <c r="Y118" s="41">
        <f>F118/'1. Väestöennuste'!H118*1000</f>
        <v>2774.798927613941</v>
      </c>
      <c r="Z118" s="41">
        <f>G118/'1. Väestöennuste'!I118*1000</f>
        <v>2695.8295557570264</v>
      </c>
      <c r="AA118" s="41">
        <f>H118/'1. Väestöennuste'!J118*1000</f>
        <v>2950.4858861638131</v>
      </c>
      <c r="AB118" s="41">
        <f>I118/'1. Väestöennuste'!K118*1000</f>
        <v>3020.72563021316</v>
      </c>
      <c r="AC118" s="41">
        <f>J118/'1. Väestöennuste'!L118*1000</f>
        <v>2989.9897181019801</v>
      </c>
      <c r="AD118" s="41">
        <f>K118/'1. Väestöennuste'!M118*1000</f>
        <v>3111.8048525210165</v>
      </c>
      <c r="AE118" s="41">
        <f>L118/'1. Väestöennuste'!N118*1000</f>
        <v>3545.0185378549218</v>
      </c>
      <c r="AF118" s="41">
        <f>M118/'1. Väestöennuste'!O118*1000</f>
        <v>3552.6362404031656</v>
      </c>
      <c r="AG118" s="41">
        <f>N118/'1. Väestöennuste'!P118*1000</f>
        <v>3458.8494602032874</v>
      </c>
      <c r="AH118" s="41">
        <f>O118/'1. Väestöennuste'!Q118*1000</f>
        <v>3234.0296157839889</v>
      </c>
      <c r="AI118" s="41">
        <f>P118/'1. Väestöennuste'!R118*1000</f>
        <v>3063.0792337868515</v>
      </c>
      <c r="AK118" s="41">
        <f t="shared" si="17"/>
        <v>0</v>
      </c>
      <c r="AL118" s="41">
        <f t="shared" si="18"/>
        <v>0</v>
      </c>
      <c r="AM118" s="41">
        <f t="shared" si="19"/>
        <v>0</v>
      </c>
      <c r="AN118" s="41">
        <f t="shared" si="20"/>
        <v>0</v>
      </c>
      <c r="AO118" s="41">
        <f t="shared" si="21"/>
        <v>0</v>
      </c>
      <c r="AP118" s="41">
        <f t="shared" si="22"/>
        <v>0</v>
      </c>
      <c r="AQ118" s="41">
        <f t="shared" si="23"/>
        <v>0</v>
      </c>
      <c r="AR118" s="41">
        <f t="shared" si="24"/>
        <v>0</v>
      </c>
      <c r="AS118" s="41">
        <f t="shared" si="25"/>
        <v>0</v>
      </c>
      <c r="AT118" s="41">
        <f t="shared" si="26"/>
        <v>0</v>
      </c>
      <c r="AU118" s="41">
        <f t="shared" si="27"/>
        <v>0</v>
      </c>
      <c r="AV118" s="41">
        <f t="shared" si="28"/>
        <v>0</v>
      </c>
      <c r="AW118" s="41">
        <f t="shared" si="28"/>
        <v>0</v>
      </c>
      <c r="AX118" s="41">
        <f t="shared" si="28"/>
        <v>0</v>
      </c>
    </row>
    <row r="119" spans="1:50" ht="11.25" x14ac:dyDescent="0.2">
      <c r="A119" s="34">
        <v>297</v>
      </c>
      <c r="B119" s="88" t="s">
        <v>433</v>
      </c>
      <c r="C119" s="65">
        <v>117036</v>
      </c>
      <c r="D119" s="65">
        <v>111214</v>
      </c>
      <c r="E119" s="65">
        <v>106091</v>
      </c>
      <c r="F119" s="65">
        <v>102143</v>
      </c>
      <c r="G119" s="41">
        <v>157061</v>
      </c>
      <c r="H119" s="41">
        <v>176238</v>
      </c>
      <c r="I119" s="41">
        <v>188708.64475000001</v>
      </c>
      <c r="J119" s="41">
        <f>I119+'Tilikauden tulos'!J119+'9. Tulorahkorjauserät'!J119</f>
        <v>180112.54364021632</v>
      </c>
      <c r="K119" s="41">
        <f>J119+'Tilikauden tulos'!K119+'9. Tulorahkorjauserät'!K119</f>
        <v>185039.44398971956</v>
      </c>
      <c r="L119" s="41">
        <f>K119+'Tilikauden tulos'!L119+'9. Tulorahkorjauserät'!L119</f>
        <v>170586.57125759724</v>
      </c>
      <c r="M119" s="41">
        <f>L119+'Tilikauden tulos'!M119+'9. Tulorahkorjauserät'!M119</f>
        <v>129710.88160912396</v>
      </c>
      <c r="N119" s="41">
        <f>M119+'Tilikauden tulos'!N119+'9. Tulorahkorjauserät'!N119</f>
        <v>92758.424182091781</v>
      </c>
      <c r="O119" s="41">
        <f>N119+'Tilikauden tulos'!O119+'9. Tulorahkorjauserät'!O119</f>
        <v>57734.739307897005</v>
      </c>
      <c r="P119" s="41">
        <f>O119+'Tilikauden tulos'!P119+'9. Tulorahkorjauserät'!P119</f>
        <v>28312.212728285616</v>
      </c>
      <c r="T119" s="34">
        <v>297</v>
      </c>
      <c r="U119" s="88" t="s">
        <v>433</v>
      </c>
      <c r="V119" s="41">
        <f>C119/'1. Väestöennuste'!E119*1000</f>
        <v>1000.98357010289</v>
      </c>
      <c r="W119" s="41">
        <f>D119/'1. Väestöennuste'!F119*1000</f>
        <v>944.57278749787667</v>
      </c>
      <c r="X119" s="41">
        <f>E119/'1. Väestöennuste'!G119*1000</f>
        <v>897.48665499242861</v>
      </c>
      <c r="Y119" s="41">
        <f>F119/'1. Väestöennuste'!H119*1000</f>
        <v>860.77496123508388</v>
      </c>
      <c r="Z119" s="41">
        <f>G119/'1. Väestöennuste'!I119*1000</f>
        <v>1316.7200415821333</v>
      </c>
      <c r="AA119" s="41">
        <f>H119/'1. Väestöennuste'!J119*1000</f>
        <v>1466.0843523833291</v>
      </c>
      <c r="AB119" s="41">
        <f>I119/'1. Väestöennuste'!K119*1000</f>
        <v>1552.6080872612986</v>
      </c>
      <c r="AC119" s="41">
        <f>J119/'1. Väestöennuste'!L119*1000</f>
        <v>1469.179108604143</v>
      </c>
      <c r="AD119" s="41">
        <f>K119/'1. Väestöennuste'!M119*1000</f>
        <v>1492.0009029899738</v>
      </c>
      <c r="AE119" s="41">
        <f>L119/'1. Väestöennuste'!N119*1000</f>
        <v>1389.4469570475369</v>
      </c>
      <c r="AF119" s="41">
        <f>M119/'1. Väestöennuste'!O119*1000</f>
        <v>1052.1221690321122</v>
      </c>
      <c r="AG119" s="41">
        <f>N119/'1. Väestöennuste'!P119*1000</f>
        <v>749.44795693664639</v>
      </c>
      <c r="AH119" s="41">
        <f>O119/'1. Väestöennuste'!Q119*1000</f>
        <v>464.75942288506343</v>
      </c>
      <c r="AI119" s="41">
        <f>P119/'1. Väestöennuste'!R119*1000</f>
        <v>227.13185396254838</v>
      </c>
      <c r="AK119" s="41">
        <f t="shared" si="17"/>
        <v>0</v>
      </c>
      <c r="AL119" s="41">
        <f t="shared" si="18"/>
        <v>0</v>
      </c>
      <c r="AM119" s="41">
        <f t="shared" si="19"/>
        <v>0</v>
      </c>
      <c r="AN119" s="41">
        <f t="shared" si="20"/>
        <v>0</v>
      </c>
      <c r="AO119" s="41">
        <f t="shared" si="21"/>
        <v>0</v>
      </c>
      <c r="AP119" s="41">
        <f t="shared" si="22"/>
        <v>0</v>
      </c>
      <c r="AQ119" s="41">
        <f t="shared" si="23"/>
        <v>0</v>
      </c>
      <c r="AR119" s="41">
        <f t="shared" si="24"/>
        <v>0</v>
      </c>
      <c r="AS119" s="41">
        <f t="shared" si="25"/>
        <v>0</v>
      </c>
      <c r="AT119" s="41">
        <f t="shared" si="26"/>
        <v>0</v>
      </c>
      <c r="AU119" s="41">
        <f t="shared" si="27"/>
        <v>0</v>
      </c>
      <c r="AV119" s="41">
        <f t="shared" si="28"/>
        <v>0</v>
      </c>
      <c r="AW119" s="41">
        <f t="shared" si="28"/>
        <v>0</v>
      </c>
      <c r="AX119" s="41">
        <f t="shared" si="28"/>
        <v>0</v>
      </c>
    </row>
    <row r="120" spans="1:50" ht="11.25" x14ac:dyDescent="0.2">
      <c r="A120" s="34">
        <v>300</v>
      </c>
      <c r="B120" s="88" t="s">
        <v>434</v>
      </c>
      <c r="C120" s="65">
        <v>720</v>
      </c>
      <c r="D120" s="65">
        <v>1711</v>
      </c>
      <c r="E120" s="65">
        <v>2365</v>
      </c>
      <c r="F120" s="65">
        <v>2604</v>
      </c>
      <c r="G120" s="41">
        <v>2256</v>
      </c>
      <c r="H120" s="41">
        <v>3591</v>
      </c>
      <c r="I120" s="41">
        <v>5679.57485</v>
      </c>
      <c r="J120" s="41">
        <f>I120+'Tilikauden tulos'!J120+'9. Tulorahkorjauserät'!J120</f>
        <v>7177.7773222679571</v>
      </c>
      <c r="K120" s="41">
        <f>J120+'Tilikauden tulos'!K120+'9. Tulorahkorjauserät'!K120</f>
        <v>8362.9879222762902</v>
      </c>
      <c r="L120" s="41">
        <f>K120+'Tilikauden tulos'!L120+'9. Tulorahkorjauserät'!L120</f>
        <v>9138.0433940169296</v>
      </c>
      <c r="M120" s="41">
        <f>L120+'Tilikauden tulos'!M120+'9. Tulorahkorjauserät'!M120</f>
        <v>9037.6713755039418</v>
      </c>
      <c r="N120" s="41">
        <f>M120+'Tilikauden tulos'!N120+'9. Tulorahkorjauserät'!N120</f>
        <v>8761.9382743191672</v>
      </c>
      <c r="O120" s="41">
        <f>N120+'Tilikauden tulos'!O120+'9. Tulorahkorjauserät'!O120</f>
        <v>8048.8294224696447</v>
      </c>
      <c r="P120" s="41">
        <f>O120+'Tilikauden tulos'!P120+'9. Tulorahkorjauserät'!P120</f>
        <v>7504.0762657276518</v>
      </c>
      <c r="T120" s="34">
        <v>300</v>
      </c>
      <c r="U120" s="88" t="s">
        <v>434</v>
      </c>
      <c r="V120" s="41">
        <f>C120/'1. Väestöennuste'!E120*1000</f>
        <v>193.80888290713324</v>
      </c>
      <c r="W120" s="41">
        <f>D120/'1. Väestöennuste'!F120*1000</f>
        <v>463.68563685636855</v>
      </c>
      <c r="X120" s="41">
        <f>E120/'1. Väestöennuste'!G120*1000</f>
        <v>650.26120428924935</v>
      </c>
      <c r="Y120" s="41">
        <f>F120/'1. Väestöennuste'!H120*1000</f>
        <v>729.00335946248595</v>
      </c>
      <c r="Z120" s="41">
        <f>G120/'1. Väestöennuste'!I120*1000</f>
        <v>635.31399605744866</v>
      </c>
      <c r="AA120" s="41">
        <f>H120/'1. Väestöennuste'!J120*1000</f>
        <v>1016.1290322580645</v>
      </c>
      <c r="AB120" s="41">
        <f>I120/'1. Väestöennuste'!K120*1000</f>
        <v>1609.8568168934239</v>
      </c>
      <c r="AC120" s="41">
        <f>J120/'1. Väestöennuste'!L120*1000</f>
        <v>2088.3844405783993</v>
      </c>
      <c r="AD120" s="41">
        <f>K120/'1. Väestöennuste'!M120*1000</f>
        <v>2473.5249696173587</v>
      </c>
      <c r="AE120" s="41">
        <f>L120/'1. Väestöennuste'!N120*1000</f>
        <v>2697.9756108700703</v>
      </c>
      <c r="AF120" s="41">
        <f>M120/'1. Väestöennuste'!O120*1000</f>
        <v>2694.5949241216285</v>
      </c>
      <c r="AG120" s="41">
        <f>N120/'1. Väestöennuste'!P120*1000</f>
        <v>2639.9331950343981</v>
      </c>
      <c r="AH120" s="41">
        <f>O120/'1. Väestöennuste'!Q120*1000</f>
        <v>2448.6855559688606</v>
      </c>
      <c r="AI120" s="41">
        <f>P120/'1. Väestöennuste'!R120*1000</f>
        <v>2303.9841159741027</v>
      </c>
      <c r="AK120" s="41">
        <f t="shared" si="17"/>
        <v>0</v>
      </c>
      <c r="AL120" s="41">
        <f t="shared" si="18"/>
        <v>0</v>
      </c>
      <c r="AM120" s="41">
        <f t="shared" si="19"/>
        <v>0</v>
      </c>
      <c r="AN120" s="41">
        <f t="shared" si="20"/>
        <v>0</v>
      </c>
      <c r="AO120" s="41">
        <f t="shared" si="21"/>
        <v>0</v>
      </c>
      <c r="AP120" s="41">
        <f t="shared" si="22"/>
        <v>0</v>
      </c>
      <c r="AQ120" s="41">
        <f t="shared" si="23"/>
        <v>0</v>
      </c>
      <c r="AR120" s="41">
        <f t="shared" si="24"/>
        <v>0</v>
      </c>
      <c r="AS120" s="41">
        <f t="shared" si="25"/>
        <v>0</v>
      </c>
      <c r="AT120" s="41">
        <f t="shared" si="26"/>
        <v>0</v>
      </c>
      <c r="AU120" s="41">
        <f t="shared" si="27"/>
        <v>0</v>
      </c>
      <c r="AV120" s="41">
        <f t="shared" si="28"/>
        <v>0</v>
      </c>
      <c r="AW120" s="41">
        <f t="shared" si="28"/>
        <v>0</v>
      </c>
      <c r="AX120" s="41">
        <f t="shared" si="28"/>
        <v>0</v>
      </c>
    </row>
    <row r="121" spans="1:50" ht="11.25" x14ac:dyDescent="0.2">
      <c r="A121" s="34">
        <v>301</v>
      </c>
      <c r="B121" s="88" t="s">
        <v>435</v>
      </c>
      <c r="C121" s="65">
        <v>32356</v>
      </c>
      <c r="D121" s="65">
        <v>14303</v>
      </c>
      <c r="E121" s="65">
        <v>18383</v>
      </c>
      <c r="F121" s="65">
        <v>22516</v>
      </c>
      <c r="G121" s="41">
        <v>11520</v>
      </c>
      <c r="H121" s="41">
        <v>12809</v>
      </c>
      <c r="I121" s="41">
        <v>8303.1360099999984</v>
      </c>
      <c r="J121" s="41">
        <f>I121+'Tilikauden tulos'!J121+'9. Tulorahkorjauserät'!J121</f>
        <v>9126.2705306793214</v>
      </c>
      <c r="K121" s="41">
        <f>J121+'Tilikauden tulos'!K121+'9. Tulorahkorjauserät'!K121</f>
        <v>15564.250546285413</v>
      </c>
      <c r="L121" s="41">
        <f>K121+'Tilikauden tulos'!L121+'9. Tulorahkorjauserät'!L121</f>
        <v>10548.81380147695</v>
      </c>
      <c r="M121" s="41">
        <f>L121+'Tilikauden tulos'!M121+'9. Tulorahkorjauserät'!M121</f>
        <v>4730.6819624824184</v>
      </c>
      <c r="N121" s="41">
        <f>M121+'Tilikauden tulos'!N121+'9. Tulorahkorjauserät'!N121</f>
        <v>-1563.1657469763359</v>
      </c>
      <c r="O121" s="41">
        <f>N121+'Tilikauden tulos'!O121+'9. Tulorahkorjauserät'!O121</f>
        <v>-7348.9418581548389</v>
      </c>
      <c r="P121" s="41">
        <f>O121+'Tilikauden tulos'!P121+'9. Tulorahkorjauserät'!P121</f>
        <v>-10747.653228467789</v>
      </c>
      <c r="T121" s="34">
        <v>301</v>
      </c>
      <c r="U121" s="88" t="s">
        <v>435</v>
      </c>
      <c r="V121" s="41">
        <f>C121/'1. Väestöennuste'!E121*1000</f>
        <v>1488.7273396521578</v>
      </c>
      <c r="W121" s="41">
        <f>D121/'1. Väestöennuste'!F121*1000</f>
        <v>665.22487326170881</v>
      </c>
      <c r="X121" s="41">
        <f>E121/'1. Väestöennuste'!G121*1000</f>
        <v>866.99995283686269</v>
      </c>
      <c r="Y121" s="41">
        <f>F121/'1. Väestöennuste'!H121*1000</f>
        <v>1074.646811760214</v>
      </c>
      <c r="Z121" s="41">
        <f>G121/'1. Väestöennuste'!I121*1000</f>
        <v>557.11384079698234</v>
      </c>
      <c r="AA121" s="41">
        <f>H121/'1. Väestöennuste'!J121*1000</f>
        <v>626.17324990222926</v>
      </c>
      <c r="AB121" s="41">
        <f>I121/'1. Väestöennuste'!K121*1000</f>
        <v>411.10739268208141</v>
      </c>
      <c r="AC121" s="41">
        <f>J121/'1. Väestöennuste'!L121*1000</f>
        <v>458.83713075310817</v>
      </c>
      <c r="AD121" s="41">
        <f>K121/'1. Väestöennuste'!M121*1000</f>
        <v>787.70436491145369</v>
      </c>
      <c r="AE121" s="41">
        <f>L121/'1. Väestöennuste'!N121*1000</f>
        <v>541.10355483339072</v>
      </c>
      <c r="AF121" s="41">
        <f>M121/'1. Väestöennuste'!O121*1000</f>
        <v>245.50739335110379</v>
      </c>
      <c r="AG121" s="41">
        <f>N121/'1. Väestöennuste'!P121*1000</f>
        <v>-82.060252347962404</v>
      </c>
      <c r="AH121" s="41">
        <f>O121/'1. Väestöennuste'!Q121*1000</f>
        <v>-390.19548997317821</v>
      </c>
      <c r="AI121" s="41">
        <f>P121/'1. Väestöennuste'!R121*1000</f>
        <v>-577.1481703612817</v>
      </c>
      <c r="AK121" s="41">
        <f t="shared" si="17"/>
        <v>0</v>
      </c>
      <c r="AL121" s="41">
        <f t="shared" si="18"/>
        <v>0</v>
      </c>
      <c r="AM121" s="41">
        <f t="shared" si="19"/>
        <v>0</v>
      </c>
      <c r="AN121" s="41">
        <f t="shared" si="20"/>
        <v>0</v>
      </c>
      <c r="AO121" s="41">
        <f t="shared" si="21"/>
        <v>0</v>
      </c>
      <c r="AP121" s="41">
        <f t="shared" si="22"/>
        <v>0</v>
      </c>
      <c r="AQ121" s="41">
        <f t="shared" si="23"/>
        <v>0</v>
      </c>
      <c r="AR121" s="41">
        <f t="shared" si="24"/>
        <v>0</v>
      </c>
      <c r="AS121" s="41">
        <f t="shared" si="25"/>
        <v>0</v>
      </c>
      <c r="AT121" s="41">
        <f t="shared" si="26"/>
        <v>0</v>
      </c>
      <c r="AU121" s="41">
        <f t="shared" si="27"/>
        <v>0</v>
      </c>
      <c r="AV121" s="41">
        <f t="shared" si="28"/>
        <v>-1</v>
      </c>
      <c r="AW121" s="41">
        <f t="shared" si="28"/>
        <v>-1</v>
      </c>
      <c r="AX121" s="41">
        <f t="shared" si="28"/>
        <v>-1</v>
      </c>
    </row>
    <row r="122" spans="1:50" ht="11.25" x14ac:dyDescent="0.2">
      <c r="A122" s="34">
        <v>304</v>
      </c>
      <c r="B122" s="88" t="s">
        <v>436</v>
      </c>
      <c r="C122" s="65">
        <v>2584</v>
      </c>
      <c r="D122" s="65">
        <v>2673</v>
      </c>
      <c r="E122" s="65">
        <v>3319</v>
      </c>
      <c r="F122" s="65">
        <v>3633</v>
      </c>
      <c r="G122" s="41">
        <v>3672</v>
      </c>
      <c r="H122" s="41">
        <v>3730</v>
      </c>
      <c r="I122" s="41">
        <v>3733.6817500000002</v>
      </c>
      <c r="J122" s="41">
        <f>I122+'Tilikauden tulos'!J122+'9. Tulorahkorjauserät'!J122</f>
        <v>3528.9671536515525</v>
      </c>
      <c r="K122" s="41">
        <f>J122+'Tilikauden tulos'!K122+'9. Tulorahkorjauserät'!K122</f>
        <v>3141.0327837287955</v>
      </c>
      <c r="L122" s="41">
        <f>K122+'Tilikauden tulos'!L122+'9. Tulorahkorjauserät'!L122</f>
        <v>3070.7300330540274</v>
      </c>
      <c r="M122" s="41">
        <f>L122+'Tilikauden tulos'!M122+'9. Tulorahkorjauserät'!M122</f>
        <v>2681.3844907471012</v>
      </c>
      <c r="N122" s="41">
        <f>M122+'Tilikauden tulos'!N122+'9. Tulorahkorjauserät'!N122</f>
        <v>2301.888166647298</v>
      </c>
      <c r="O122" s="41">
        <f>N122+'Tilikauden tulos'!O122+'9. Tulorahkorjauserät'!O122</f>
        <v>1846.6503180699247</v>
      </c>
      <c r="P122" s="41">
        <f>O122+'Tilikauden tulos'!P122+'9. Tulorahkorjauserät'!P122</f>
        <v>1375.8135689630421</v>
      </c>
      <c r="T122" s="34">
        <v>304</v>
      </c>
      <c r="U122" s="88" t="s">
        <v>436</v>
      </c>
      <c r="V122" s="41">
        <f>C122/'1. Väestöennuste'!E122*1000</f>
        <v>2887.1508379888269</v>
      </c>
      <c r="W122" s="41">
        <f>D122/'1. Väestöennuste'!F122*1000</f>
        <v>2943.8325991189431</v>
      </c>
      <c r="X122" s="41">
        <f>E122/'1. Väestöennuste'!G122*1000</f>
        <v>3595.8829902491875</v>
      </c>
      <c r="Y122" s="41">
        <f>F122/'1. Väestöennuste'!H122*1000</f>
        <v>3923.3261339092869</v>
      </c>
      <c r="Z122" s="41">
        <f>G122/'1. Väestöennuste'!I122*1000</f>
        <v>3869.3361433087457</v>
      </c>
      <c r="AA122" s="41">
        <f>H122/'1. Väestöennuste'!J122*1000</f>
        <v>3877.3388773388774</v>
      </c>
      <c r="AB122" s="41">
        <f>I122/'1. Väestöennuste'!K122*1000</f>
        <v>3845.1923274974256</v>
      </c>
      <c r="AC122" s="41">
        <f>J122/'1. Väestöennuste'!L122*1000</f>
        <v>3714.702267001634</v>
      </c>
      <c r="AD122" s="41">
        <f>K122/'1. Väestöennuste'!M122*1000</f>
        <v>3309.8343348037888</v>
      </c>
      <c r="AE122" s="41">
        <f>L122/'1. Väestöennuste'!N122*1000</f>
        <v>2995.8341785892953</v>
      </c>
      <c r="AF122" s="41">
        <f>M122/'1. Väestöennuste'!O122*1000</f>
        <v>2585.7131058313416</v>
      </c>
      <c r="AG122" s="41">
        <f>N122/'1. Väestöennuste'!P122*1000</f>
        <v>2192.2744444259979</v>
      </c>
      <c r="AH122" s="41">
        <f>O122/'1. Väestöennuste'!Q122*1000</f>
        <v>1735.5736072085758</v>
      </c>
      <c r="AI122" s="41">
        <f>P122/'1. Väestöennuste'!R122*1000</f>
        <v>1279.8265757795741</v>
      </c>
      <c r="AK122" s="41">
        <f t="shared" si="17"/>
        <v>0</v>
      </c>
      <c r="AL122" s="41">
        <f t="shared" si="18"/>
        <v>0</v>
      </c>
      <c r="AM122" s="41">
        <f t="shared" si="19"/>
        <v>0</v>
      </c>
      <c r="AN122" s="41">
        <f t="shared" si="20"/>
        <v>0</v>
      </c>
      <c r="AO122" s="41">
        <f t="shared" si="21"/>
        <v>0</v>
      </c>
      <c r="AP122" s="41">
        <f t="shared" si="22"/>
        <v>0</v>
      </c>
      <c r="AQ122" s="41">
        <f t="shared" si="23"/>
        <v>0</v>
      </c>
      <c r="AR122" s="41">
        <f t="shared" si="24"/>
        <v>0</v>
      </c>
      <c r="AS122" s="41">
        <f t="shared" si="25"/>
        <v>0</v>
      </c>
      <c r="AT122" s="41">
        <f t="shared" si="26"/>
        <v>0</v>
      </c>
      <c r="AU122" s="41">
        <f t="shared" si="27"/>
        <v>0</v>
      </c>
      <c r="AV122" s="41">
        <f t="shared" si="28"/>
        <v>0</v>
      </c>
      <c r="AW122" s="41">
        <f t="shared" si="28"/>
        <v>0</v>
      </c>
      <c r="AX122" s="41">
        <f t="shared" si="28"/>
        <v>0</v>
      </c>
    </row>
    <row r="123" spans="1:50" ht="11.25" x14ac:dyDescent="0.2">
      <c r="A123" s="34">
        <v>305</v>
      </c>
      <c r="B123" s="88" t="s">
        <v>437</v>
      </c>
      <c r="C123" s="65">
        <v>11680</v>
      </c>
      <c r="D123" s="65">
        <v>14582</v>
      </c>
      <c r="E123" s="65">
        <v>15999</v>
      </c>
      <c r="F123" s="65">
        <v>15450</v>
      </c>
      <c r="G123" s="41">
        <v>13192</v>
      </c>
      <c r="H123" s="41">
        <v>14796</v>
      </c>
      <c r="I123" s="41">
        <v>16913.902829999999</v>
      </c>
      <c r="J123" s="41">
        <f>I123+'Tilikauden tulos'!J123+'9. Tulorahkorjauserät'!J123</f>
        <v>14953.424272404638</v>
      </c>
      <c r="K123" s="41">
        <f>J123+'Tilikauden tulos'!K123+'9. Tulorahkorjauserät'!K123</f>
        <v>16340.471801347376</v>
      </c>
      <c r="L123" s="41">
        <f>K123+'Tilikauden tulos'!L123+'9. Tulorahkorjauserät'!L123</f>
        <v>12779.022202072818</v>
      </c>
      <c r="M123" s="41">
        <f>L123+'Tilikauden tulos'!M123+'9. Tulorahkorjauserät'!M123</f>
        <v>8849.4667149468842</v>
      </c>
      <c r="N123" s="41">
        <f>M123+'Tilikauden tulos'!N123+'9. Tulorahkorjauserät'!N123</f>
        <v>4415.0365205780199</v>
      </c>
      <c r="O123" s="41">
        <f>N123+'Tilikauden tulos'!O123+'9. Tulorahkorjauserät'!O123</f>
        <v>-366.70582928862677</v>
      </c>
      <c r="P123" s="41">
        <f>O123+'Tilikauden tulos'!P123+'9. Tulorahkorjauserät'!P123</f>
        <v>-3520.8307380699257</v>
      </c>
      <c r="T123" s="34">
        <v>305</v>
      </c>
      <c r="U123" s="88" t="s">
        <v>437</v>
      </c>
      <c r="V123" s="41">
        <f>C123/'1. Väestöennuste'!E123*1000</f>
        <v>744.51810300866907</v>
      </c>
      <c r="W123" s="41">
        <f>D123/'1. Väestöennuste'!F123*1000</f>
        <v>938.77551020408168</v>
      </c>
      <c r="X123" s="41">
        <f>E123/'1. Väestöennuste'!G123*1000</f>
        <v>1039.8414142727154</v>
      </c>
      <c r="Y123" s="41">
        <f>F123/'1. Väestöennuste'!H123*1000</f>
        <v>1015.9794831327678</v>
      </c>
      <c r="Z123" s="41">
        <f>G123/'1. Väestöennuste'!I123*1000</f>
        <v>871.67966168891246</v>
      </c>
      <c r="AA123" s="41">
        <f>H123/'1. Väestöennuste'!J123*1000</f>
        <v>972.58923289292056</v>
      </c>
      <c r="AB123" s="41">
        <f>I123/'1. Väestöennuste'!K123*1000</f>
        <v>1115.3249475766568</v>
      </c>
      <c r="AC123" s="41">
        <f>J123/'1. Väestöennuste'!L123*1000</f>
        <v>987.28537385478921</v>
      </c>
      <c r="AD123" s="41">
        <f>K123/'1. Väestöennuste'!M123*1000</f>
        <v>1087.9866703074356</v>
      </c>
      <c r="AE123" s="41">
        <f>L123/'1. Väestöennuste'!N123*1000</f>
        <v>864.84990539204227</v>
      </c>
      <c r="AF123" s="41">
        <f>M123/'1. Väestöennuste'!O123*1000</f>
        <v>603.11229570959483</v>
      </c>
      <c r="AG123" s="41">
        <f>N123/'1. Väestöennuste'!P123*1000</f>
        <v>302.93924252628102</v>
      </c>
      <c r="AH123" s="41">
        <f>O123/'1. Väestöennuste'!Q123*1000</f>
        <v>-25.33548634023952</v>
      </c>
      <c r="AI123" s="41">
        <f>P123/'1. Väestöennuste'!R123*1000</f>
        <v>-244.94439530192889</v>
      </c>
      <c r="AK123" s="41">
        <f t="shared" si="17"/>
        <v>0</v>
      </c>
      <c r="AL123" s="41">
        <f t="shared" si="18"/>
        <v>0</v>
      </c>
      <c r="AM123" s="41">
        <f t="shared" si="19"/>
        <v>0</v>
      </c>
      <c r="AN123" s="41">
        <f t="shared" si="20"/>
        <v>0</v>
      </c>
      <c r="AO123" s="41">
        <f t="shared" si="21"/>
        <v>0</v>
      </c>
      <c r="AP123" s="41">
        <f t="shared" si="22"/>
        <v>0</v>
      </c>
      <c r="AQ123" s="41">
        <f t="shared" si="23"/>
        <v>0</v>
      </c>
      <c r="AR123" s="41">
        <f t="shared" si="24"/>
        <v>0</v>
      </c>
      <c r="AS123" s="41">
        <f t="shared" si="25"/>
        <v>0</v>
      </c>
      <c r="AT123" s="41">
        <f t="shared" si="26"/>
        <v>0</v>
      </c>
      <c r="AU123" s="41">
        <f t="shared" si="27"/>
        <v>0</v>
      </c>
      <c r="AV123" s="41">
        <f t="shared" si="28"/>
        <v>0</v>
      </c>
      <c r="AW123" s="41">
        <f t="shared" si="28"/>
        <v>-1</v>
      </c>
      <c r="AX123" s="41">
        <f t="shared" si="28"/>
        <v>-1</v>
      </c>
    </row>
    <row r="124" spans="1:50" ht="11.25" x14ac:dyDescent="0.2">
      <c r="A124" s="34">
        <v>309</v>
      </c>
      <c r="B124" s="88" t="s">
        <v>438</v>
      </c>
      <c r="C124" s="65">
        <v>1121</v>
      </c>
      <c r="D124" s="65">
        <v>2733</v>
      </c>
      <c r="E124" s="65">
        <v>4990</v>
      </c>
      <c r="F124" s="65">
        <v>5503</v>
      </c>
      <c r="G124" s="41">
        <v>3289</v>
      </c>
      <c r="H124" s="41">
        <v>12848</v>
      </c>
      <c r="I124" s="41">
        <v>18025.985539999998</v>
      </c>
      <c r="J124" s="41">
        <f>I124+'Tilikauden tulos'!J124+'9. Tulorahkorjauserät'!J124</f>
        <v>11158.807969806052</v>
      </c>
      <c r="K124" s="41">
        <f>J124+'Tilikauden tulos'!K124+'9. Tulorahkorjauserät'!K124</f>
        <v>11199.769125025145</v>
      </c>
      <c r="L124" s="41">
        <f>K124+'Tilikauden tulos'!L124+'9. Tulorahkorjauserät'!L124</f>
        <v>10554.613998691933</v>
      </c>
      <c r="M124" s="41">
        <f>L124+'Tilikauden tulos'!M124+'9. Tulorahkorjauserät'!M124</f>
        <v>8613.817353865521</v>
      </c>
      <c r="N124" s="41">
        <f>M124+'Tilikauden tulos'!N124+'9. Tulorahkorjauserät'!N124</f>
        <v>7008.1932838422617</v>
      </c>
      <c r="O124" s="41">
        <f>N124+'Tilikauden tulos'!O124+'9. Tulorahkorjauserät'!O124</f>
        <v>5301.3757232077769</v>
      </c>
      <c r="P124" s="41">
        <f>O124+'Tilikauden tulos'!P124+'9. Tulorahkorjauserät'!P124</f>
        <v>4752.8831032435937</v>
      </c>
      <c r="T124" s="34">
        <v>309</v>
      </c>
      <c r="U124" s="88" t="s">
        <v>438</v>
      </c>
      <c r="V124" s="41">
        <f>C124/'1. Väestöennuste'!E124*1000</f>
        <v>157.02479338842974</v>
      </c>
      <c r="W124" s="41">
        <f>D124/'1. Väestöennuste'!F124*1000</f>
        <v>385.41813566492738</v>
      </c>
      <c r="X124" s="41">
        <f>E124/'1. Väestöennuste'!G124*1000</f>
        <v>712.55176352991577</v>
      </c>
      <c r="Y124" s="41">
        <f>F124/'1. Väestöennuste'!H124*1000</f>
        <v>808.90783477877403</v>
      </c>
      <c r="Z124" s="41">
        <f>G124/'1. Väestöennuste'!I124*1000</f>
        <v>491.7763157894737</v>
      </c>
      <c r="AA124" s="41">
        <f>H124/'1. Väestöennuste'!J124*1000</f>
        <v>1960.9279609279608</v>
      </c>
      <c r="AB124" s="41">
        <f>I124/'1. Väestöennuste'!K124*1000</f>
        <v>2770.6710021518597</v>
      </c>
      <c r="AC124" s="41">
        <f>J124/'1. Väestöennuste'!L124*1000</f>
        <v>1728.172211523316</v>
      </c>
      <c r="AD124" s="41">
        <f>K124/'1. Väestöennuste'!M124*1000</f>
        <v>1747.5064947768988</v>
      </c>
      <c r="AE124" s="41">
        <f>L124/'1. Väestöennuste'!N124*1000</f>
        <v>1717.8733721829317</v>
      </c>
      <c r="AF124" s="41">
        <f>M124/'1. Väestöennuste'!O124*1000</f>
        <v>1424.0068364796696</v>
      </c>
      <c r="AG124" s="41">
        <f>N124/'1. Väestöennuste'!P124*1000</f>
        <v>1177.2540372656244</v>
      </c>
      <c r="AH124" s="41">
        <f>O124/'1. Väestöennuste'!Q124*1000</f>
        <v>904.20871963291438</v>
      </c>
      <c r="AI124" s="41">
        <f>P124/'1. Väestöennuste'!R124*1000</f>
        <v>823.43782107477375</v>
      </c>
      <c r="AK124" s="41">
        <f t="shared" si="17"/>
        <v>0</v>
      </c>
      <c r="AL124" s="41">
        <f t="shared" si="18"/>
        <v>0</v>
      </c>
      <c r="AM124" s="41">
        <f t="shared" si="19"/>
        <v>0</v>
      </c>
      <c r="AN124" s="41">
        <f t="shared" si="20"/>
        <v>0</v>
      </c>
      <c r="AO124" s="41">
        <f t="shared" si="21"/>
        <v>0</v>
      </c>
      <c r="AP124" s="41">
        <f t="shared" si="22"/>
        <v>0</v>
      </c>
      <c r="AQ124" s="41">
        <f t="shared" si="23"/>
        <v>0</v>
      </c>
      <c r="AR124" s="41">
        <f t="shared" si="24"/>
        <v>0</v>
      </c>
      <c r="AS124" s="41">
        <f t="shared" si="25"/>
        <v>0</v>
      </c>
      <c r="AT124" s="41">
        <f t="shared" si="26"/>
        <v>0</v>
      </c>
      <c r="AU124" s="41">
        <f t="shared" si="27"/>
        <v>0</v>
      </c>
      <c r="AV124" s="41">
        <f t="shared" si="28"/>
        <v>0</v>
      </c>
      <c r="AW124" s="41">
        <f t="shared" si="28"/>
        <v>0</v>
      </c>
      <c r="AX124" s="41">
        <f t="shared" si="28"/>
        <v>0</v>
      </c>
    </row>
    <row r="125" spans="1:50" ht="11.25" x14ac:dyDescent="0.2">
      <c r="A125" s="34">
        <v>312</v>
      </c>
      <c r="B125" s="88" t="s">
        <v>439</v>
      </c>
      <c r="C125" s="65">
        <v>2008</v>
      </c>
      <c r="D125" s="65">
        <v>574</v>
      </c>
      <c r="E125" s="65">
        <v>596</v>
      </c>
      <c r="F125" s="65">
        <v>211</v>
      </c>
      <c r="G125" s="41">
        <v>-3769</v>
      </c>
      <c r="H125" s="41">
        <v>-4649</v>
      </c>
      <c r="I125" s="41">
        <v>-3883.8243600000005</v>
      </c>
      <c r="J125" s="41">
        <f>I125+'Tilikauden tulos'!J125+'9. Tulorahkorjauserät'!J125</f>
        <v>-3781.3643826929374</v>
      </c>
      <c r="K125" s="41">
        <f>J125+'Tilikauden tulos'!K125+'9. Tulorahkorjauserät'!K125</f>
        <v>-3571.0023156685365</v>
      </c>
      <c r="L125" s="41">
        <f>K125+'Tilikauden tulos'!L125+'9. Tulorahkorjauserät'!L125</f>
        <v>-3688.4273384268849</v>
      </c>
      <c r="M125" s="41">
        <f>L125+'Tilikauden tulos'!M125+'9. Tulorahkorjauserät'!M125</f>
        <v>-3872.4617983473372</v>
      </c>
      <c r="N125" s="41">
        <f>M125+'Tilikauden tulos'!N125+'9. Tulorahkorjauserät'!N125</f>
        <v>-4102.9096734572522</v>
      </c>
      <c r="O125" s="41">
        <f>N125+'Tilikauden tulos'!O125+'9. Tulorahkorjauserät'!O125</f>
        <v>-4322.8797999748631</v>
      </c>
      <c r="P125" s="41">
        <f>O125+'Tilikauden tulos'!P125+'9. Tulorahkorjauserät'!P125</f>
        <v>-4502.2834232881141</v>
      </c>
      <c r="T125" s="34">
        <v>312</v>
      </c>
      <c r="U125" s="88" t="s">
        <v>439</v>
      </c>
      <c r="V125" s="41">
        <f>C125/'1. Väestöennuste'!E125*1000</f>
        <v>1456.1276287164612</v>
      </c>
      <c r="W125" s="41">
        <f>D125/'1. Väestöennuste'!F125*1000</f>
        <v>417.45454545454544</v>
      </c>
      <c r="X125" s="41">
        <f>E125/'1. Väestöennuste'!G125*1000</f>
        <v>440.82840236686388</v>
      </c>
      <c r="Y125" s="41">
        <f>F125/'1. Väestöennuste'!H125*1000</f>
        <v>157.11094564408043</v>
      </c>
      <c r="Z125" s="41">
        <f>G125/'1. Väestöennuste'!I125*1000</f>
        <v>-2870.5255140898703</v>
      </c>
      <c r="AA125" s="41">
        <f>H125/'1. Väestöennuste'!J125*1000</f>
        <v>-3609.4720496894406</v>
      </c>
      <c r="AB125" s="41">
        <f>I125/'1. Väestöennuste'!K125*1000</f>
        <v>-3152.4548376623384</v>
      </c>
      <c r="AC125" s="41">
        <f>J125/'1. Väestöennuste'!L125*1000</f>
        <v>-3161.6759052616535</v>
      </c>
      <c r="AD125" s="41">
        <f>K125/'1. Väestöennuste'!M125*1000</f>
        <v>-3041.7396215234553</v>
      </c>
      <c r="AE125" s="41">
        <f>L125/'1. Väestöennuste'!N125*1000</f>
        <v>-3076.2529928497788</v>
      </c>
      <c r="AF125" s="41">
        <f>M125/'1. Väestöennuste'!O125*1000</f>
        <v>-3284.5307874023219</v>
      </c>
      <c r="AG125" s="41">
        <f>N125/'1. Väestöennuste'!P125*1000</f>
        <v>-3533.9445938477625</v>
      </c>
      <c r="AH125" s="41">
        <f>O125/'1. Väestöennuste'!Q125*1000</f>
        <v>-3782.0470690943685</v>
      </c>
      <c r="AI125" s="41">
        <f>P125/'1. Väestöennuste'!R125*1000</f>
        <v>-4005.590234242095</v>
      </c>
      <c r="AK125" s="41">
        <f t="shared" si="17"/>
        <v>0</v>
      </c>
      <c r="AL125" s="41">
        <f t="shared" si="18"/>
        <v>0</v>
      </c>
      <c r="AM125" s="41">
        <f t="shared" si="19"/>
        <v>0</v>
      </c>
      <c r="AN125" s="41">
        <f t="shared" si="20"/>
        <v>0</v>
      </c>
      <c r="AO125" s="41">
        <f t="shared" si="21"/>
        <v>-1</v>
      </c>
      <c r="AP125" s="41">
        <f t="shared" si="22"/>
        <v>-1</v>
      </c>
      <c r="AQ125" s="41">
        <f t="shared" si="23"/>
        <v>-1</v>
      </c>
      <c r="AR125" s="41">
        <f t="shared" si="24"/>
        <v>-1</v>
      </c>
      <c r="AS125" s="41">
        <f t="shared" si="25"/>
        <v>-1</v>
      </c>
      <c r="AT125" s="41">
        <f t="shared" si="26"/>
        <v>-1</v>
      </c>
      <c r="AU125" s="41">
        <f t="shared" si="27"/>
        <v>-1</v>
      </c>
      <c r="AV125" s="41">
        <f t="shared" si="28"/>
        <v>-1</v>
      </c>
      <c r="AW125" s="41">
        <f t="shared" si="28"/>
        <v>-1</v>
      </c>
      <c r="AX125" s="41">
        <f t="shared" si="28"/>
        <v>-1</v>
      </c>
    </row>
    <row r="126" spans="1:50" ht="11.25" x14ac:dyDescent="0.2">
      <c r="A126" s="34">
        <v>316</v>
      </c>
      <c r="B126" s="88" t="s">
        <v>440</v>
      </c>
      <c r="C126" s="65">
        <v>-1456</v>
      </c>
      <c r="D126" s="65">
        <v>3235</v>
      </c>
      <c r="E126" s="65">
        <v>4626</v>
      </c>
      <c r="F126" s="65">
        <v>3920</v>
      </c>
      <c r="G126" s="41">
        <v>3465</v>
      </c>
      <c r="H126" s="41">
        <v>6917</v>
      </c>
      <c r="I126" s="41">
        <v>7226.5208100000009</v>
      </c>
      <c r="J126" s="41">
        <f>I126+'Tilikauden tulos'!J126+'9. Tulorahkorjauserät'!J126</f>
        <v>7112.7778164585798</v>
      </c>
      <c r="K126" s="41">
        <f>J126+'Tilikauden tulos'!K126+'9. Tulorahkorjauserät'!K126</f>
        <v>7251.0030521974031</v>
      </c>
      <c r="L126" s="41">
        <f>K126+'Tilikauden tulos'!L126+'9. Tulorahkorjauserät'!L126</f>
        <v>8046.2686649662355</v>
      </c>
      <c r="M126" s="41">
        <f>L126+'Tilikauden tulos'!M126+'9. Tulorahkorjauserät'!M126</f>
        <v>6730.0299015128057</v>
      </c>
      <c r="N126" s="41">
        <f>M126+'Tilikauden tulos'!N126+'9. Tulorahkorjauserät'!N126</f>
        <v>4313.7151323798862</v>
      </c>
      <c r="O126" s="41">
        <f>N126+'Tilikauden tulos'!O126+'9. Tulorahkorjauserät'!O126</f>
        <v>1901.3889801206915</v>
      </c>
      <c r="P126" s="41">
        <f>O126+'Tilikauden tulos'!P126+'9. Tulorahkorjauserät'!P126</f>
        <v>-327.53699401079439</v>
      </c>
      <c r="T126" s="34">
        <v>316</v>
      </c>
      <c r="U126" s="88" t="s">
        <v>440</v>
      </c>
      <c r="V126" s="41">
        <f>C126/'1. Väestöennuste'!E126*1000</f>
        <v>-316.24674196350998</v>
      </c>
      <c r="W126" s="41">
        <f>D126/'1. Väestöennuste'!F126*1000</f>
        <v>712.55506607929522</v>
      </c>
      <c r="X126" s="41">
        <f>E126/'1. Väestöennuste'!G126*1000</f>
        <v>1026.1756876663708</v>
      </c>
      <c r="Y126" s="41">
        <f>F126/'1. Väestöennuste'!H126*1000</f>
        <v>880.70096607503933</v>
      </c>
      <c r="Z126" s="41">
        <f>G126/'1. Väestöennuste'!I126*1000</f>
        <v>793.26923076923072</v>
      </c>
      <c r="AA126" s="41">
        <f>H126/'1. Väestöennuste'!J126*1000</f>
        <v>1598.9366620434582</v>
      </c>
      <c r="AB126" s="41">
        <f>I126/'1. Väestöennuste'!K126*1000</f>
        <v>1702.3606148409895</v>
      </c>
      <c r="AC126" s="41">
        <f>J126/'1. Väestöennuste'!L126*1000</f>
        <v>1694.3253493231491</v>
      </c>
      <c r="AD126" s="41">
        <f>K126/'1. Väestöennuste'!M126*1000</f>
        <v>1762.5189723377257</v>
      </c>
      <c r="AE126" s="41">
        <f>L126/'1. Väestöennuste'!N126*1000</f>
        <v>1947.7774546033008</v>
      </c>
      <c r="AF126" s="41">
        <f>M126/'1. Väestöennuste'!O126*1000</f>
        <v>1645.0818629950636</v>
      </c>
      <c r="AG126" s="41">
        <f>N126/'1. Väestöennuste'!P126*1000</f>
        <v>1063.8015123008352</v>
      </c>
      <c r="AH126" s="41">
        <f>O126/'1. Väestöennuste'!Q126*1000</f>
        <v>472.51217199818382</v>
      </c>
      <c r="AI126" s="41">
        <f>P126/'1. Väestöennuste'!R126*1000</f>
        <v>-82.027797147707076</v>
      </c>
      <c r="AK126" s="41">
        <f t="shared" si="17"/>
        <v>-1</v>
      </c>
      <c r="AL126" s="41">
        <f t="shared" si="18"/>
        <v>0</v>
      </c>
      <c r="AM126" s="41">
        <f t="shared" si="19"/>
        <v>0</v>
      </c>
      <c r="AN126" s="41">
        <f t="shared" si="20"/>
        <v>0</v>
      </c>
      <c r="AO126" s="41">
        <f t="shared" si="21"/>
        <v>0</v>
      </c>
      <c r="AP126" s="41">
        <f t="shared" si="22"/>
        <v>0</v>
      </c>
      <c r="AQ126" s="41">
        <f t="shared" si="23"/>
        <v>0</v>
      </c>
      <c r="AR126" s="41">
        <f t="shared" si="24"/>
        <v>0</v>
      </c>
      <c r="AS126" s="41">
        <f t="shared" si="25"/>
        <v>0</v>
      </c>
      <c r="AT126" s="41">
        <f t="shared" si="26"/>
        <v>0</v>
      </c>
      <c r="AU126" s="41">
        <f t="shared" si="27"/>
        <v>0</v>
      </c>
      <c r="AV126" s="41">
        <f t="shared" si="28"/>
        <v>0</v>
      </c>
      <c r="AW126" s="41">
        <f t="shared" si="28"/>
        <v>0</v>
      </c>
      <c r="AX126" s="41">
        <f t="shared" si="28"/>
        <v>-1</v>
      </c>
    </row>
    <row r="127" spans="1:50" ht="11.25" x14ac:dyDescent="0.2">
      <c r="A127" s="34">
        <v>317</v>
      </c>
      <c r="B127" s="88" t="s">
        <v>441</v>
      </c>
      <c r="C127" s="65">
        <v>3219</v>
      </c>
      <c r="D127" s="65">
        <v>4167</v>
      </c>
      <c r="E127" s="65">
        <v>4986</v>
      </c>
      <c r="F127" s="65">
        <v>5457</v>
      </c>
      <c r="G127" s="41">
        <v>6336</v>
      </c>
      <c r="H127" s="41">
        <v>7821</v>
      </c>
      <c r="I127" s="41">
        <v>9215.8635999999988</v>
      </c>
      <c r="J127" s="41">
        <f>I127+'Tilikauden tulos'!J127+'9. Tulorahkorjauserät'!J127</f>
        <v>10062.169686247691</v>
      </c>
      <c r="K127" s="41">
        <f>J127+'Tilikauden tulos'!K127+'9. Tulorahkorjauserät'!K127</f>
        <v>10677.685976181141</v>
      </c>
      <c r="L127" s="41">
        <f>K127+'Tilikauden tulos'!L127+'9. Tulorahkorjauserät'!L127</f>
        <v>10594.464609494176</v>
      </c>
      <c r="M127" s="41">
        <f>L127+'Tilikauden tulos'!M127+'9. Tulorahkorjauserät'!M127</f>
        <v>10078.869883752148</v>
      </c>
      <c r="N127" s="41">
        <f>M127+'Tilikauden tulos'!N127+'9. Tulorahkorjauserät'!N127</f>
        <v>9319.772348771321</v>
      </c>
      <c r="O127" s="41">
        <f>N127+'Tilikauden tulos'!O127+'9. Tulorahkorjauserät'!O127</f>
        <v>8311.3844785557376</v>
      </c>
      <c r="P127" s="41">
        <f>O127+'Tilikauden tulos'!P127+'9. Tulorahkorjauserät'!P127</f>
        <v>7291.224453765265</v>
      </c>
      <c r="T127" s="34">
        <v>317</v>
      </c>
      <c r="U127" s="88" t="s">
        <v>441</v>
      </c>
      <c r="V127" s="41">
        <f>C127/'1. Väestöennuste'!E127*1000</f>
        <v>1211.0609480812641</v>
      </c>
      <c r="W127" s="41">
        <f>D127/'1. Väestöennuste'!F127*1000</f>
        <v>1569.4915254237287</v>
      </c>
      <c r="X127" s="41">
        <f>E127/'1. Väestöennuste'!G127*1000</f>
        <v>1909.6131750287245</v>
      </c>
      <c r="Y127" s="41">
        <f>F127/'1. Väestöennuste'!H127*1000</f>
        <v>2088.4041331802528</v>
      </c>
      <c r="Z127" s="41">
        <f>G127/'1. Väestöennuste'!I127*1000</f>
        <v>2459.6273291925468</v>
      </c>
      <c r="AA127" s="41">
        <f>H127/'1. Väestöennuste'!J127*1000</f>
        <v>3081.5602836879434</v>
      </c>
      <c r="AB127" s="41">
        <f>I127/'1. Väestöennuste'!K127*1000</f>
        <v>3638.3196210027631</v>
      </c>
      <c r="AC127" s="41">
        <f>J127/'1. Väestöennuste'!L127*1000</f>
        <v>4067.1664051122434</v>
      </c>
      <c r="AD127" s="41">
        <f>K127/'1. Väestöennuste'!M127*1000</f>
        <v>4376.1008099103037</v>
      </c>
      <c r="AE127" s="41">
        <f>L127/'1. Väestöennuste'!N127*1000</f>
        <v>4377.8779378075105</v>
      </c>
      <c r="AF127" s="41">
        <f>M127/'1. Väestöennuste'!O127*1000</f>
        <v>4210.0542538647233</v>
      </c>
      <c r="AG127" s="41">
        <f>N127/'1. Väestöennuste'!P127*1000</f>
        <v>3934.0533342217482</v>
      </c>
      <c r="AH127" s="41">
        <f>O127/'1. Väestöennuste'!Q127*1000</f>
        <v>3550.3564624330361</v>
      </c>
      <c r="AI127" s="41">
        <f>P127/'1. Väestöennuste'!R127*1000</f>
        <v>3148.1970871179901</v>
      </c>
      <c r="AK127" s="41">
        <f t="shared" si="17"/>
        <v>0</v>
      </c>
      <c r="AL127" s="41">
        <f t="shared" si="18"/>
        <v>0</v>
      </c>
      <c r="AM127" s="41">
        <f t="shared" si="19"/>
        <v>0</v>
      </c>
      <c r="AN127" s="41">
        <f t="shared" si="20"/>
        <v>0</v>
      </c>
      <c r="AO127" s="41">
        <f t="shared" si="21"/>
        <v>0</v>
      </c>
      <c r="AP127" s="41">
        <f t="shared" si="22"/>
        <v>0</v>
      </c>
      <c r="AQ127" s="41">
        <f t="shared" si="23"/>
        <v>0</v>
      </c>
      <c r="AR127" s="41">
        <f t="shared" si="24"/>
        <v>0</v>
      </c>
      <c r="AS127" s="41">
        <f t="shared" si="25"/>
        <v>0</v>
      </c>
      <c r="AT127" s="41">
        <f t="shared" si="26"/>
        <v>0</v>
      </c>
      <c r="AU127" s="41">
        <f t="shared" si="27"/>
        <v>0</v>
      </c>
      <c r="AV127" s="41">
        <f t="shared" si="28"/>
        <v>0</v>
      </c>
      <c r="AW127" s="41">
        <f t="shared" si="28"/>
        <v>0</v>
      </c>
      <c r="AX127" s="41">
        <f t="shared" si="28"/>
        <v>0</v>
      </c>
    </row>
    <row r="128" spans="1:50" ht="11.25" x14ac:dyDescent="0.2">
      <c r="A128" s="34">
        <v>320</v>
      </c>
      <c r="B128" s="88" t="s">
        <v>442</v>
      </c>
      <c r="C128" s="65">
        <v>-5243</v>
      </c>
      <c r="D128" s="65">
        <v>-1034</v>
      </c>
      <c r="E128" s="65">
        <v>-2878</v>
      </c>
      <c r="F128" s="65">
        <v>-4105</v>
      </c>
      <c r="G128" s="41">
        <v>-4447</v>
      </c>
      <c r="H128" s="41">
        <v>-2028</v>
      </c>
      <c r="I128" s="41">
        <v>2384.6920300000002</v>
      </c>
      <c r="J128" s="41">
        <f>I128+'Tilikauden tulos'!J128+'9. Tulorahkorjauserät'!J128</f>
        <v>11359.636719648417</v>
      </c>
      <c r="K128" s="41">
        <f>J128+'Tilikauden tulos'!K128+'9. Tulorahkorjauserät'!K128</f>
        <v>17034.104247779156</v>
      </c>
      <c r="L128" s="41">
        <f>K128+'Tilikauden tulos'!L128+'9. Tulorahkorjauserät'!L128</f>
        <v>19131.247343536837</v>
      </c>
      <c r="M128" s="41">
        <f>L128+'Tilikauden tulos'!M128+'9. Tulorahkorjauserät'!M128</f>
        <v>22441.833910634181</v>
      </c>
      <c r="N128" s="41">
        <f>M128+'Tilikauden tulos'!N128+'9. Tulorahkorjauserät'!N128</f>
        <v>25133.941005482506</v>
      </c>
      <c r="O128" s="41">
        <f>N128+'Tilikauden tulos'!O128+'9. Tulorahkorjauserät'!O128</f>
        <v>27840.142444172925</v>
      </c>
      <c r="P128" s="41">
        <f>O128+'Tilikauden tulos'!P128+'9. Tulorahkorjauserät'!P128</f>
        <v>31590.916467774012</v>
      </c>
      <c r="T128" s="34">
        <v>320</v>
      </c>
      <c r="U128" s="88" t="s">
        <v>442</v>
      </c>
      <c r="V128" s="41">
        <f>C128/'1. Väestöennuste'!E128*1000</f>
        <v>-675.12232809683235</v>
      </c>
      <c r="W128" s="41">
        <f>D128/'1. Väestöennuste'!F128*1000</f>
        <v>-134.96932515337423</v>
      </c>
      <c r="X128" s="41">
        <f>E128/'1. Väestöennuste'!G128*1000</f>
        <v>-382.00159277940003</v>
      </c>
      <c r="Y128" s="41">
        <f>F128/'1. Väestöennuste'!H128*1000</f>
        <v>-556.9877883310719</v>
      </c>
      <c r="Z128" s="41">
        <f>G128/'1. Väestöennuste'!I128*1000</f>
        <v>-611.35551278526259</v>
      </c>
      <c r="AA128" s="41">
        <f>H128/'1. Väestöennuste'!J128*1000</f>
        <v>-282.01919065498538</v>
      </c>
      <c r="AB128" s="41">
        <f>I128/'1. Väestöennuste'!K128*1000</f>
        <v>335.6357536945813</v>
      </c>
      <c r="AC128" s="41">
        <f>J128/'1. Väestöennuste'!L128*1000</f>
        <v>1623.7330931458571</v>
      </c>
      <c r="AD128" s="41">
        <f>K128/'1. Väestöennuste'!M128*1000</f>
        <v>2423.0589257153852</v>
      </c>
      <c r="AE128" s="41">
        <f>L128/'1. Väestöennuste'!N128*1000</f>
        <v>2837.2011483815568</v>
      </c>
      <c r="AF128" s="41">
        <f>M128/'1. Väestöennuste'!O128*1000</f>
        <v>3374.2044670927953</v>
      </c>
      <c r="AG128" s="41">
        <f>N128/'1. Väestöennuste'!P128*1000</f>
        <v>3831.393445957699</v>
      </c>
      <c r="AH128" s="41">
        <f>O128/'1. Väestöennuste'!Q128*1000</f>
        <v>4299.6358987139647</v>
      </c>
      <c r="AI128" s="41">
        <f>P128/'1. Väestöennuste'!R128*1000</f>
        <v>4939.9400262351855</v>
      </c>
      <c r="AK128" s="41">
        <f t="shared" si="17"/>
        <v>-1</v>
      </c>
      <c r="AL128" s="41">
        <f t="shared" si="18"/>
        <v>-1</v>
      </c>
      <c r="AM128" s="41">
        <f t="shared" si="19"/>
        <v>-1</v>
      </c>
      <c r="AN128" s="41">
        <f t="shared" si="20"/>
        <v>-1</v>
      </c>
      <c r="AO128" s="41">
        <f t="shared" si="21"/>
        <v>-1</v>
      </c>
      <c r="AP128" s="41">
        <f t="shared" si="22"/>
        <v>-1</v>
      </c>
      <c r="AQ128" s="41">
        <f t="shared" si="23"/>
        <v>0</v>
      </c>
      <c r="AR128" s="41">
        <f t="shared" si="24"/>
        <v>0</v>
      </c>
      <c r="AS128" s="41">
        <f t="shared" si="25"/>
        <v>0</v>
      </c>
      <c r="AT128" s="41">
        <f t="shared" si="26"/>
        <v>0</v>
      </c>
      <c r="AU128" s="41">
        <f t="shared" si="27"/>
        <v>0</v>
      </c>
      <c r="AV128" s="41">
        <f t="shared" si="28"/>
        <v>0</v>
      </c>
      <c r="AW128" s="41">
        <f t="shared" si="28"/>
        <v>0</v>
      </c>
      <c r="AX128" s="41">
        <f t="shared" si="28"/>
        <v>0</v>
      </c>
    </row>
    <row r="129" spans="1:50" ht="11.25" x14ac:dyDescent="0.2">
      <c r="A129" s="34">
        <v>322</v>
      </c>
      <c r="B129" s="88" t="s">
        <v>443</v>
      </c>
      <c r="C129" s="65">
        <v>14785</v>
      </c>
      <c r="D129" s="65">
        <v>15444</v>
      </c>
      <c r="E129" s="65">
        <v>17337</v>
      </c>
      <c r="F129" s="65">
        <v>14445</v>
      </c>
      <c r="G129" s="41">
        <v>12009</v>
      </c>
      <c r="H129" s="41">
        <v>13742</v>
      </c>
      <c r="I129" s="41">
        <v>16585.47925</v>
      </c>
      <c r="J129" s="41">
        <f>I129+'Tilikauden tulos'!J129+'9. Tulorahkorjauserät'!J129</f>
        <v>19319.745141016851</v>
      </c>
      <c r="K129" s="41">
        <f>J129+'Tilikauden tulos'!K129+'9. Tulorahkorjauserät'!K129</f>
        <v>22431.301953658593</v>
      </c>
      <c r="L129" s="41">
        <f>K129+'Tilikauden tulos'!L129+'9. Tulorahkorjauserät'!L129</f>
        <v>23593.570272874491</v>
      </c>
      <c r="M129" s="41">
        <f>L129+'Tilikauden tulos'!M129+'9. Tulorahkorjauserät'!M129</f>
        <v>24282.268838748387</v>
      </c>
      <c r="N129" s="41">
        <f>M129+'Tilikauden tulos'!N129+'9. Tulorahkorjauserät'!N129</f>
        <v>25050.786575848302</v>
      </c>
      <c r="O129" s="41">
        <f>N129+'Tilikauden tulos'!O129+'9. Tulorahkorjauserät'!O129</f>
        <v>25534.225653541031</v>
      </c>
      <c r="P129" s="41">
        <f>O129+'Tilikauden tulos'!P129+'9. Tulorahkorjauserät'!P129</f>
        <v>26973.234862168472</v>
      </c>
      <c r="T129" s="34">
        <v>322</v>
      </c>
      <c r="U129" s="88" t="s">
        <v>443</v>
      </c>
      <c r="V129" s="41">
        <f>C129/'1. Väestöennuste'!E129*1000</f>
        <v>2139.9623679258939</v>
      </c>
      <c r="W129" s="41">
        <f>D129/'1. Väestöennuste'!F129*1000</f>
        <v>2247.3806752037249</v>
      </c>
      <c r="X129" s="41">
        <f>E129/'1. Väestöennuste'!G129*1000</f>
        <v>2552.1860738996029</v>
      </c>
      <c r="Y129" s="41">
        <f>F129/'1. Väestöennuste'!H129*1000</f>
        <v>2148.2748364069007</v>
      </c>
      <c r="Z129" s="41">
        <f>G129/'1. Väestöennuste'!I129*1000</f>
        <v>1808.5843373493974</v>
      </c>
      <c r="AA129" s="41">
        <f>H129/'1. Väestöennuste'!J129*1000</f>
        <v>2079.2858223634435</v>
      </c>
      <c r="AB129" s="41">
        <f>I129/'1. Väestöennuste'!K129*1000</f>
        <v>2507.6321817357125</v>
      </c>
      <c r="AC129" s="41">
        <f>J129/'1. Väestöennuste'!L129*1000</f>
        <v>2950.029797070828</v>
      </c>
      <c r="AD129" s="41">
        <f>K129/'1. Väestöennuste'!M129*1000</f>
        <v>3471.2630692755483</v>
      </c>
      <c r="AE129" s="41">
        <f>L129/'1. Väestöennuste'!N129*1000</f>
        <v>3706.7667357226223</v>
      </c>
      <c r="AF129" s="41">
        <f>M129/'1. Väestöennuste'!O129*1000</f>
        <v>3842.1311453715803</v>
      </c>
      <c r="AG129" s="41">
        <f>N129/'1. Väestöennuste'!P129*1000</f>
        <v>3990.249534222412</v>
      </c>
      <c r="AH129" s="41">
        <f>O129/'1. Väestöennuste'!Q129*1000</f>
        <v>4093.335308358613</v>
      </c>
      <c r="AI129" s="41">
        <f>P129/'1. Väestöennuste'!R129*1000</f>
        <v>4350.5217519626567</v>
      </c>
      <c r="AK129" s="41">
        <f t="shared" si="17"/>
        <v>0</v>
      </c>
      <c r="AL129" s="41">
        <f t="shared" si="18"/>
        <v>0</v>
      </c>
      <c r="AM129" s="41">
        <f t="shared" si="19"/>
        <v>0</v>
      </c>
      <c r="AN129" s="41">
        <f t="shared" si="20"/>
        <v>0</v>
      </c>
      <c r="AO129" s="41">
        <f t="shared" si="21"/>
        <v>0</v>
      </c>
      <c r="AP129" s="41">
        <f t="shared" si="22"/>
        <v>0</v>
      </c>
      <c r="AQ129" s="41">
        <f t="shared" si="23"/>
        <v>0</v>
      </c>
      <c r="AR129" s="41">
        <f t="shared" si="24"/>
        <v>0</v>
      </c>
      <c r="AS129" s="41">
        <f t="shared" si="25"/>
        <v>0</v>
      </c>
      <c r="AT129" s="41">
        <f t="shared" si="26"/>
        <v>0</v>
      </c>
      <c r="AU129" s="41">
        <f t="shared" si="27"/>
        <v>0</v>
      </c>
      <c r="AV129" s="41">
        <f t="shared" si="28"/>
        <v>0</v>
      </c>
      <c r="AW129" s="41">
        <f t="shared" si="28"/>
        <v>0</v>
      </c>
      <c r="AX129" s="41">
        <f t="shared" si="28"/>
        <v>0</v>
      </c>
    </row>
    <row r="130" spans="1:50" ht="11.25" x14ac:dyDescent="0.2">
      <c r="A130" s="34">
        <v>398</v>
      </c>
      <c r="B130" s="88" t="s">
        <v>444</v>
      </c>
      <c r="C130" s="65">
        <v>120814</v>
      </c>
      <c r="D130" s="65">
        <v>137950</v>
      </c>
      <c r="E130" s="65">
        <v>152028</v>
      </c>
      <c r="F130" s="65">
        <v>152662</v>
      </c>
      <c r="G130" s="41">
        <v>131404</v>
      </c>
      <c r="H130" s="41">
        <v>173724</v>
      </c>
      <c r="I130" s="41">
        <v>190728.64972999998</v>
      </c>
      <c r="J130" s="41">
        <f>I130+'Tilikauden tulos'!J130+'9. Tulorahkorjauserät'!J130</f>
        <v>184473.77777904281</v>
      </c>
      <c r="K130" s="41">
        <f>J130+'Tilikauden tulos'!K130+'9. Tulorahkorjauserät'!K130</f>
        <v>204377.23877897603</v>
      </c>
      <c r="L130" s="41">
        <f>K130+'Tilikauden tulos'!L130+'9. Tulorahkorjauserät'!L130</f>
        <v>154183.4234055363</v>
      </c>
      <c r="M130" s="41">
        <f>L130+'Tilikauden tulos'!M130+'9. Tulorahkorjauserät'!M130</f>
        <v>132249.4803140593</v>
      </c>
      <c r="N130" s="41">
        <f>M130+'Tilikauden tulos'!N130+'9. Tulorahkorjauserät'!N130</f>
        <v>114817.91183063405</v>
      </c>
      <c r="O130" s="41">
        <f>N130+'Tilikauden tulos'!O130+'9. Tulorahkorjauserät'!O130</f>
        <v>95296.53454287519</v>
      </c>
      <c r="P130" s="41">
        <f>O130+'Tilikauden tulos'!P130+'9. Tulorahkorjauserät'!P130</f>
        <v>81669.419412289193</v>
      </c>
      <c r="T130" s="34">
        <v>398</v>
      </c>
      <c r="U130" s="88" t="s">
        <v>444</v>
      </c>
      <c r="V130" s="41">
        <f>C130/'1. Väestöennuste'!E130*1000</f>
        <v>1017.4410281027093</v>
      </c>
      <c r="W130" s="41">
        <f>D130/'1. Väestöennuste'!F130*1000</f>
        <v>1154.8571811271472</v>
      </c>
      <c r="X130" s="41">
        <f>E130/'1. Väestöennuste'!G130*1000</f>
        <v>1271.4241509370845</v>
      </c>
      <c r="Y130" s="41">
        <f>F130/'1. Väestöennuste'!H130*1000</f>
        <v>1272.7030203999968</v>
      </c>
      <c r="Z130" s="41">
        <f>G130/'1. Väestöennuste'!I130*1000</f>
        <v>1096.6508934010999</v>
      </c>
      <c r="AA130" s="41">
        <f>H130/'1. Väestöennuste'!J130*1000</f>
        <v>1447.8930524069874</v>
      </c>
      <c r="AB130" s="41">
        <f>I130/'1. Väestöennuste'!K130*1000</f>
        <v>1589.0478786439717</v>
      </c>
      <c r="AC130" s="41">
        <f>J130/'1. Väestöennuste'!L130*1000</f>
        <v>1535.0428772959667</v>
      </c>
      <c r="AD130" s="41">
        <f>K130/'1. Väestöennuste'!M130*1000</f>
        <v>1693.3644766388772</v>
      </c>
      <c r="AE130" s="41">
        <f>L130/'1. Väestöennuste'!N130*1000</f>
        <v>1276.395107499721</v>
      </c>
      <c r="AF130" s="41">
        <f>M130/'1. Väestöennuste'!O130*1000</f>
        <v>1093.8568453297655</v>
      </c>
      <c r="AG130" s="41">
        <f>N130/'1. Väestöennuste'!P130*1000</f>
        <v>949.16722602556115</v>
      </c>
      <c r="AH130" s="41">
        <f>O130/'1. Väestöennuste'!Q130*1000</f>
        <v>787.59419277234304</v>
      </c>
      <c r="AI130" s="41">
        <f>P130/'1. Väestöennuste'!R130*1000</f>
        <v>674.99850744089849</v>
      </c>
      <c r="AK130" s="41">
        <f t="shared" si="17"/>
        <v>0</v>
      </c>
      <c r="AL130" s="41">
        <f t="shared" si="18"/>
        <v>0</v>
      </c>
      <c r="AM130" s="41">
        <f t="shared" si="19"/>
        <v>0</v>
      </c>
      <c r="AN130" s="41">
        <f t="shared" si="20"/>
        <v>0</v>
      </c>
      <c r="AO130" s="41">
        <f t="shared" si="21"/>
        <v>0</v>
      </c>
      <c r="AP130" s="41">
        <f t="shared" si="22"/>
        <v>0</v>
      </c>
      <c r="AQ130" s="41">
        <f t="shared" si="23"/>
        <v>0</v>
      </c>
      <c r="AR130" s="41">
        <f t="shared" si="24"/>
        <v>0</v>
      </c>
      <c r="AS130" s="41">
        <f t="shared" si="25"/>
        <v>0</v>
      </c>
      <c r="AT130" s="41">
        <f t="shared" si="26"/>
        <v>0</v>
      </c>
      <c r="AU130" s="41">
        <f t="shared" si="27"/>
        <v>0</v>
      </c>
      <c r="AV130" s="41">
        <f t="shared" si="28"/>
        <v>0</v>
      </c>
      <c r="AW130" s="41">
        <f t="shared" si="28"/>
        <v>0</v>
      </c>
      <c r="AX130" s="41">
        <f t="shared" si="28"/>
        <v>0</v>
      </c>
    </row>
    <row r="131" spans="1:50" ht="11.25" x14ac:dyDescent="0.2">
      <c r="A131" s="34">
        <v>399</v>
      </c>
      <c r="B131" s="88" t="s">
        <v>445</v>
      </c>
      <c r="C131" s="65">
        <v>764</v>
      </c>
      <c r="D131" s="65">
        <v>-1114</v>
      </c>
      <c r="E131" s="65">
        <v>-1168</v>
      </c>
      <c r="F131" s="65">
        <v>-2593</v>
      </c>
      <c r="G131" s="41">
        <v>-2527</v>
      </c>
      <c r="H131" s="41">
        <v>-561</v>
      </c>
      <c r="I131" s="41">
        <v>1576.8538599999999</v>
      </c>
      <c r="J131" s="41">
        <f>I131+'Tilikauden tulos'!J131+'9. Tulorahkorjauserät'!J131</f>
        <v>1600.7251868450246</v>
      </c>
      <c r="K131" s="41">
        <f>J131+'Tilikauden tulos'!K131+'9. Tulorahkorjauserät'!K131</f>
        <v>2307.2571430226553</v>
      </c>
      <c r="L131" s="41">
        <f>K131+'Tilikauden tulos'!L131+'9. Tulorahkorjauserät'!L131</f>
        <v>1058.6809900788498</v>
      </c>
      <c r="M131" s="41">
        <f>L131+'Tilikauden tulos'!M131+'9. Tulorahkorjauserät'!M131</f>
        <v>-693.54666948043587</v>
      </c>
      <c r="N131" s="41">
        <f>M131+'Tilikauden tulos'!N131+'9. Tulorahkorjauserät'!N131</f>
        <v>-1840.5441052214505</v>
      </c>
      <c r="O131" s="41">
        <f>N131+'Tilikauden tulos'!O131+'9. Tulorahkorjauserät'!O131</f>
        <v>-2748.7819456371963</v>
      </c>
      <c r="P131" s="41">
        <f>O131+'Tilikauden tulos'!P131+'9. Tulorahkorjauserät'!P131</f>
        <v>-3194.9066049426883</v>
      </c>
      <c r="T131" s="34">
        <v>399</v>
      </c>
      <c r="U131" s="88" t="s">
        <v>445</v>
      </c>
      <c r="V131" s="41">
        <f>C131/'1. Väestöennuste'!E131*1000</f>
        <v>94.437577255871446</v>
      </c>
      <c r="W131" s="41">
        <f>D131/'1. Väestöennuste'!F131*1000</f>
        <v>-136.87185157881802</v>
      </c>
      <c r="X131" s="41">
        <f>E131/'1. Väestöennuste'!G131*1000</f>
        <v>-145.07514594460315</v>
      </c>
      <c r="Y131" s="41">
        <f>F131/'1. Väestöennuste'!H131*1000</f>
        <v>-321.79200794241746</v>
      </c>
      <c r="Z131" s="41">
        <f>G131/'1. Väestöennuste'!I131*1000</f>
        <v>-315.20518897343146</v>
      </c>
      <c r="AA131" s="41">
        <f>H131/'1. Väestöennuste'!J131*1000</f>
        <v>-70.16008004002002</v>
      </c>
      <c r="AB131" s="41">
        <f>I131/'1. Väestöennuste'!K131*1000</f>
        <v>199.1983148054573</v>
      </c>
      <c r="AC131" s="41">
        <f>J131/'1. Väestöennuste'!L131*1000</f>
        <v>204.77487358897588</v>
      </c>
      <c r="AD131" s="41">
        <f>K131/'1. Väestöennuste'!M131*1000</f>
        <v>300.34589208834353</v>
      </c>
      <c r="AE131" s="41">
        <f>L131/'1. Väestöennuste'!N131*1000</f>
        <v>134.23113859247493</v>
      </c>
      <c r="AF131" s="41">
        <f>M131/'1. Väestöennuste'!O131*1000</f>
        <v>-88.32739040759499</v>
      </c>
      <c r="AG131" s="41">
        <f>N131/'1. Väestöennuste'!P131*1000</f>
        <v>-235.48414856978641</v>
      </c>
      <c r="AH131" s="41">
        <f>O131/'1. Väestöennuste'!Q131*1000</f>
        <v>-353.49562058091516</v>
      </c>
      <c r="AI131" s="41">
        <f>P131/'1. Väestöennuste'!R131*1000</f>
        <v>-413.31262677136976</v>
      </c>
      <c r="AK131" s="41">
        <f t="shared" si="17"/>
        <v>0</v>
      </c>
      <c r="AL131" s="41">
        <f t="shared" si="18"/>
        <v>-1</v>
      </c>
      <c r="AM131" s="41">
        <f t="shared" si="19"/>
        <v>-1</v>
      </c>
      <c r="AN131" s="41">
        <f t="shared" si="20"/>
        <v>-1</v>
      </c>
      <c r="AO131" s="41">
        <f t="shared" si="21"/>
        <v>-1</v>
      </c>
      <c r="AP131" s="41">
        <f t="shared" si="22"/>
        <v>-1</v>
      </c>
      <c r="AQ131" s="41">
        <f t="shared" si="23"/>
        <v>0</v>
      </c>
      <c r="AR131" s="41">
        <f t="shared" si="24"/>
        <v>0</v>
      </c>
      <c r="AS131" s="41">
        <f t="shared" si="25"/>
        <v>0</v>
      </c>
      <c r="AT131" s="41">
        <f t="shared" si="26"/>
        <v>0</v>
      </c>
      <c r="AU131" s="41">
        <f t="shared" si="27"/>
        <v>-1</v>
      </c>
      <c r="AV131" s="41">
        <f t="shared" si="28"/>
        <v>-1</v>
      </c>
      <c r="AW131" s="41">
        <f t="shared" si="28"/>
        <v>-1</v>
      </c>
      <c r="AX131" s="41">
        <f t="shared" si="28"/>
        <v>-1</v>
      </c>
    </row>
    <row r="132" spans="1:50" ht="11.25" x14ac:dyDescent="0.2">
      <c r="A132" s="34">
        <v>400</v>
      </c>
      <c r="B132" s="88" t="s">
        <v>446</v>
      </c>
      <c r="C132" s="65">
        <v>5180</v>
      </c>
      <c r="D132" s="65">
        <v>6210</v>
      </c>
      <c r="E132" s="65">
        <v>5824</v>
      </c>
      <c r="F132" s="65">
        <v>4921</v>
      </c>
      <c r="G132" s="41">
        <v>2372</v>
      </c>
      <c r="H132" s="41">
        <v>5299</v>
      </c>
      <c r="I132" s="41">
        <v>7068.9881399999995</v>
      </c>
      <c r="J132" s="41">
        <f>I132+'Tilikauden tulos'!J132+'9. Tulorahkorjauserät'!J132</f>
        <v>8824.4414155363811</v>
      </c>
      <c r="K132" s="41">
        <f>J132+'Tilikauden tulos'!K132+'9. Tulorahkorjauserät'!K132</f>
        <v>12249.397634541092</v>
      </c>
      <c r="L132" s="41">
        <f>K132+'Tilikauden tulos'!L132+'9. Tulorahkorjauserät'!L132</f>
        <v>12037.785691068011</v>
      </c>
      <c r="M132" s="41">
        <f>L132+'Tilikauden tulos'!M132+'9. Tulorahkorjauserät'!M132</f>
        <v>13131.815273211134</v>
      </c>
      <c r="N132" s="41">
        <f>M132+'Tilikauden tulos'!N132+'9. Tulorahkorjauserät'!N132</f>
        <v>13887.045788103833</v>
      </c>
      <c r="O132" s="41">
        <f>N132+'Tilikauden tulos'!O132+'9. Tulorahkorjauserät'!O132</f>
        <v>14526.464708468295</v>
      </c>
      <c r="P132" s="41">
        <f>O132+'Tilikauden tulos'!P132+'9. Tulorahkorjauserät'!P132</f>
        <v>15922.729879774495</v>
      </c>
      <c r="T132" s="34">
        <v>400</v>
      </c>
      <c r="U132" s="88" t="s">
        <v>446</v>
      </c>
      <c r="V132" s="41">
        <f>C132/'1. Väestöennuste'!E132*1000</f>
        <v>607.98122065727705</v>
      </c>
      <c r="W132" s="41">
        <f>D132/'1. Väestöennuste'!F132*1000</f>
        <v>728.87323943661977</v>
      </c>
      <c r="X132" s="41">
        <f>E132/'1. Väestöennuste'!G132*1000</f>
        <v>676.42276422764223</v>
      </c>
      <c r="Y132" s="41">
        <f>F132/'1. Väestöennuste'!H132*1000</f>
        <v>569.0991095177518</v>
      </c>
      <c r="Z132" s="41">
        <f>G132/'1. Väestöennuste'!I132*1000</f>
        <v>276.19934792734045</v>
      </c>
      <c r="AA132" s="41">
        <f>H132/'1. Väestöennuste'!J132*1000</f>
        <v>625.76759565422765</v>
      </c>
      <c r="AB132" s="41">
        <f>I132/'1. Väestöennuste'!K132*1000</f>
        <v>835.97305345316931</v>
      </c>
      <c r="AC132" s="41">
        <f>J132/'1. Väestöennuste'!L132*1000</f>
        <v>1054.7981610729598</v>
      </c>
      <c r="AD132" s="41">
        <f>K132/'1. Väestöennuste'!M132*1000</f>
        <v>1451.1784900534406</v>
      </c>
      <c r="AE132" s="41">
        <f>L132/'1. Väestöennuste'!N132*1000</f>
        <v>1436.8328588049669</v>
      </c>
      <c r="AF132" s="41">
        <f>M132/'1. Väestöennuste'!O132*1000</f>
        <v>1572.4841663526684</v>
      </c>
      <c r="AG132" s="41">
        <f>N132/'1. Väestöennuste'!P132*1000</f>
        <v>1668.3140062594705</v>
      </c>
      <c r="AH132" s="41">
        <f>O132/'1. Väestöennuste'!Q132*1000</f>
        <v>1751.4425739653116</v>
      </c>
      <c r="AI132" s="41">
        <f>P132/'1. Väestöennuste'!R132*1000</f>
        <v>1926.5250913217781</v>
      </c>
      <c r="AK132" s="41">
        <f t="shared" si="17"/>
        <v>0</v>
      </c>
      <c r="AL132" s="41">
        <f t="shared" si="18"/>
        <v>0</v>
      </c>
      <c r="AM132" s="41">
        <f t="shared" si="19"/>
        <v>0</v>
      </c>
      <c r="AN132" s="41">
        <f t="shared" si="20"/>
        <v>0</v>
      </c>
      <c r="AO132" s="41">
        <f t="shared" si="21"/>
        <v>0</v>
      </c>
      <c r="AP132" s="41">
        <f t="shared" si="22"/>
        <v>0</v>
      </c>
      <c r="AQ132" s="41">
        <f t="shared" si="23"/>
        <v>0</v>
      </c>
      <c r="AR132" s="41">
        <f t="shared" si="24"/>
        <v>0</v>
      </c>
      <c r="AS132" s="41">
        <f t="shared" si="25"/>
        <v>0</v>
      </c>
      <c r="AT132" s="41">
        <f t="shared" si="26"/>
        <v>0</v>
      </c>
      <c r="AU132" s="41">
        <f t="shared" si="27"/>
        <v>0</v>
      </c>
      <c r="AV132" s="41">
        <f t="shared" si="28"/>
        <v>0</v>
      </c>
      <c r="AW132" s="41">
        <f t="shared" si="28"/>
        <v>0</v>
      </c>
      <c r="AX132" s="41">
        <f t="shared" si="28"/>
        <v>0</v>
      </c>
    </row>
    <row r="133" spans="1:50" ht="11.25" x14ac:dyDescent="0.2">
      <c r="A133" s="34">
        <v>402</v>
      </c>
      <c r="B133" s="88" t="s">
        <v>447</v>
      </c>
      <c r="C133" s="65">
        <v>1356</v>
      </c>
      <c r="D133" s="65">
        <v>-308</v>
      </c>
      <c r="E133" s="65">
        <v>1015</v>
      </c>
      <c r="F133" s="65">
        <v>1600</v>
      </c>
      <c r="G133" s="41">
        <v>1113</v>
      </c>
      <c r="H133" s="41">
        <v>3041</v>
      </c>
      <c r="I133" s="41">
        <v>1775.5776899999998</v>
      </c>
      <c r="J133" s="41">
        <f>I133+'Tilikauden tulos'!J133+'9. Tulorahkorjauserät'!J133</f>
        <v>-565.99808358533517</v>
      </c>
      <c r="K133" s="41">
        <f>J133+'Tilikauden tulos'!K133+'9. Tulorahkorjauserät'!K133</f>
        <v>789.62636091269644</v>
      </c>
      <c r="L133" s="41">
        <f>K133+'Tilikauden tulos'!L133+'9. Tulorahkorjauserät'!L133</f>
        <v>-476.94346432743339</v>
      </c>
      <c r="M133" s="41">
        <f>L133+'Tilikauden tulos'!M133+'9. Tulorahkorjauserät'!M133</f>
        <v>3875.1768128967742</v>
      </c>
      <c r="N133" s="41">
        <f>M133+'Tilikauden tulos'!N133+'9. Tulorahkorjauserät'!N133</f>
        <v>2220.4862674017904</v>
      </c>
      <c r="O133" s="41">
        <f>N133+'Tilikauden tulos'!O133+'9. Tulorahkorjauserät'!O133</f>
        <v>576.34085835458927</v>
      </c>
      <c r="P133" s="41">
        <f>O133+'Tilikauden tulos'!P133+'9. Tulorahkorjauserät'!P133</f>
        <v>-192.69829542918706</v>
      </c>
      <c r="T133" s="34">
        <v>402</v>
      </c>
      <c r="U133" s="88" t="s">
        <v>447</v>
      </c>
      <c r="V133" s="41">
        <f>C133/'1. Väestöennuste'!E133*1000</f>
        <v>135.84452013624522</v>
      </c>
      <c r="W133" s="41">
        <f>D133/'1. Väestöennuste'!F133*1000</f>
        <v>-31.167779801659581</v>
      </c>
      <c r="X133" s="41">
        <f>E133/'1. Väestöennuste'!G133*1000</f>
        <v>104.72554684275691</v>
      </c>
      <c r="Y133" s="41">
        <f>F133/'1. Väestöennuste'!H133*1000</f>
        <v>166.37204949568473</v>
      </c>
      <c r="Z133" s="41">
        <f>G133/'1. Väestöennuste'!I133*1000</f>
        <v>117.34317343173433</v>
      </c>
      <c r="AA133" s="41">
        <f>H133/'1. Väestöennuste'!J133*1000</f>
        <v>324.96259884590722</v>
      </c>
      <c r="AB133" s="41">
        <f>I133/'1. Väestöennuste'!K133*1000</f>
        <v>192.01662052557586</v>
      </c>
      <c r="AC133" s="41">
        <f>J133/'1. Väestöennuste'!L133*1000</f>
        <v>-62.204427254130692</v>
      </c>
      <c r="AD133" s="41">
        <f>K133/'1. Väestöennuste'!M133*1000</f>
        <v>87.980653026484276</v>
      </c>
      <c r="AE133" s="41">
        <f>L133/'1. Väestöennuste'!N133*1000</f>
        <v>-53.361318452386818</v>
      </c>
      <c r="AF133" s="41">
        <f>M133/'1. Väestöennuste'!O133*1000</f>
        <v>438.36841774850387</v>
      </c>
      <c r="AG133" s="41">
        <f>N133/'1. Väestöennuste'!P133*1000</f>
        <v>253.94399215482505</v>
      </c>
      <c r="AH133" s="41">
        <f>O133/'1. Väestöennuste'!Q133*1000</f>
        <v>66.613598977645538</v>
      </c>
      <c r="AI133" s="41">
        <f>P133/'1. Väestöennuste'!R133*1000</f>
        <v>-22.511483110886338</v>
      </c>
      <c r="AK133" s="41">
        <f t="shared" si="17"/>
        <v>0</v>
      </c>
      <c r="AL133" s="41">
        <f t="shared" si="18"/>
        <v>-1</v>
      </c>
      <c r="AM133" s="41">
        <f t="shared" si="19"/>
        <v>0</v>
      </c>
      <c r="AN133" s="41">
        <f t="shared" si="20"/>
        <v>0</v>
      </c>
      <c r="AO133" s="41">
        <f t="shared" si="21"/>
        <v>0</v>
      </c>
      <c r="AP133" s="41">
        <f t="shared" si="22"/>
        <v>0</v>
      </c>
      <c r="AQ133" s="41">
        <f t="shared" si="23"/>
        <v>0</v>
      </c>
      <c r="AR133" s="41">
        <f t="shared" si="24"/>
        <v>-1</v>
      </c>
      <c r="AS133" s="41">
        <f t="shared" si="25"/>
        <v>0</v>
      </c>
      <c r="AT133" s="41">
        <f t="shared" si="26"/>
        <v>-1</v>
      </c>
      <c r="AU133" s="41">
        <f t="shared" si="27"/>
        <v>0</v>
      </c>
      <c r="AV133" s="41">
        <f t="shared" si="28"/>
        <v>0</v>
      </c>
      <c r="AW133" s="41">
        <f t="shared" si="28"/>
        <v>0</v>
      </c>
      <c r="AX133" s="41">
        <f t="shared" si="28"/>
        <v>-1</v>
      </c>
    </row>
    <row r="134" spans="1:50" ht="11.25" x14ac:dyDescent="0.2">
      <c r="A134" s="34">
        <v>403</v>
      </c>
      <c r="B134" s="88" t="s">
        <v>448</v>
      </c>
      <c r="C134" s="65">
        <v>91</v>
      </c>
      <c r="D134" s="65">
        <v>1054</v>
      </c>
      <c r="E134" s="65">
        <v>1168</v>
      </c>
      <c r="F134" s="65">
        <v>1297</v>
      </c>
      <c r="G134" s="41">
        <v>894</v>
      </c>
      <c r="H134" s="41">
        <v>1154</v>
      </c>
      <c r="I134" s="41">
        <v>1553.8284100000001</v>
      </c>
      <c r="J134" s="41">
        <f>I134+'Tilikauden tulos'!J134+'9. Tulorahkorjauserät'!J134</f>
        <v>1723.7247271879157</v>
      </c>
      <c r="K134" s="41">
        <f>J134+'Tilikauden tulos'!K134+'9. Tulorahkorjauserät'!K134</f>
        <v>2590.3383839599474</v>
      </c>
      <c r="L134" s="41">
        <f>K134+'Tilikauden tulos'!L134+'9. Tulorahkorjauserät'!L134</f>
        <v>2796.3209688106799</v>
      </c>
      <c r="M134" s="41">
        <f>L134+'Tilikauden tulos'!M134+'9. Tulorahkorjauserät'!M134</f>
        <v>1729.5036862682846</v>
      </c>
      <c r="N134" s="41">
        <f>M134+'Tilikauden tulos'!N134+'9. Tulorahkorjauserät'!N134</f>
        <v>440.47377664395117</v>
      </c>
      <c r="O134" s="41">
        <f>N134+'Tilikauden tulos'!O134+'9. Tulorahkorjauserät'!O134</f>
        <v>-963.89055776806936</v>
      </c>
      <c r="P134" s="41">
        <f>O134+'Tilikauden tulos'!P134+'9. Tulorahkorjauserät'!P134</f>
        <v>-2105.1782290275687</v>
      </c>
      <c r="T134" s="34">
        <v>403</v>
      </c>
      <c r="U134" s="88" t="s">
        <v>448</v>
      </c>
      <c r="V134" s="41">
        <f>C134/'1. Väestöennuste'!E134*1000</f>
        <v>28.304821150855364</v>
      </c>
      <c r="W134" s="41">
        <f>D134/'1. Väestöennuste'!F134*1000</f>
        <v>331.86397984886651</v>
      </c>
      <c r="X134" s="41">
        <f>E134/'1. Väestöennuste'!G134*1000</f>
        <v>371.97452229299358</v>
      </c>
      <c r="Y134" s="41">
        <f>F134/'1. Väestöennuste'!H134*1000</f>
        <v>421.37751786874594</v>
      </c>
      <c r="Z134" s="41">
        <f>G134/'1. Väestöennuste'!I134*1000</f>
        <v>298.39786381842458</v>
      </c>
      <c r="AA134" s="41">
        <f>H134/'1. Väestöennuste'!J134*1000</f>
        <v>394.52991452991455</v>
      </c>
      <c r="AB134" s="41">
        <f>I134/'1. Väestöennuste'!K134*1000</f>
        <v>542.15924982554088</v>
      </c>
      <c r="AC134" s="41">
        <f>J134/'1. Väestöennuste'!L134*1000</f>
        <v>611.2499032581261</v>
      </c>
      <c r="AD134" s="41">
        <f>K134/'1. Väestöennuste'!M134*1000</f>
        <v>928.76958908567497</v>
      </c>
      <c r="AE134" s="41">
        <f>L134/'1. Väestöennuste'!N134*1000</f>
        <v>1031.4721389932424</v>
      </c>
      <c r="AF134" s="41">
        <f>M134/'1. Väestöennuste'!O134*1000</f>
        <v>649.21309544605276</v>
      </c>
      <c r="AG134" s="41">
        <f>N134/'1. Väestöennuste'!P134*1000</f>
        <v>168.24819581510738</v>
      </c>
      <c r="AH134" s="41">
        <f>O134/'1. Väestöennuste'!Q134*1000</f>
        <v>-374.32643020119201</v>
      </c>
      <c r="AI134" s="41">
        <f>P134/'1. Väestöennuste'!R134*1000</f>
        <v>-832.08625653263596</v>
      </c>
      <c r="AK134" s="41">
        <f t="shared" si="17"/>
        <v>0</v>
      </c>
      <c r="AL134" s="41">
        <f t="shared" si="18"/>
        <v>0</v>
      </c>
      <c r="AM134" s="41">
        <f t="shared" si="19"/>
        <v>0</v>
      </c>
      <c r="AN134" s="41">
        <f t="shared" si="20"/>
        <v>0</v>
      </c>
      <c r="AO134" s="41">
        <f t="shared" si="21"/>
        <v>0</v>
      </c>
      <c r="AP134" s="41">
        <f t="shared" si="22"/>
        <v>0</v>
      </c>
      <c r="AQ134" s="41">
        <f t="shared" si="23"/>
        <v>0</v>
      </c>
      <c r="AR134" s="41">
        <f t="shared" si="24"/>
        <v>0</v>
      </c>
      <c r="AS134" s="41">
        <f t="shared" si="25"/>
        <v>0</v>
      </c>
      <c r="AT134" s="41">
        <f t="shared" si="26"/>
        <v>0</v>
      </c>
      <c r="AU134" s="41">
        <f t="shared" si="27"/>
        <v>0</v>
      </c>
      <c r="AV134" s="41">
        <f t="shared" si="28"/>
        <v>0</v>
      </c>
      <c r="AW134" s="41">
        <f t="shared" si="28"/>
        <v>-1</v>
      </c>
      <c r="AX134" s="41">
        <f t="shared" si="28"/>
        <v>-1</v>
      </c>
    </row>
    <row r="135" spans="1:50" ht="11.25" x14ac:dyDescent="0.2">
      <c r="A135" s="34">
        <v>405</v>
      </c>
      <c r="B135" s="88" t="s">
        <v>449</v>
      </c>
      <c r="C135" s="65">
        <v>56791</v>
      </c>
      <c r="D135" s="65">
        <v>60310</v>
      </c>
      <c r="E135" s="65">
        <v>62494</v>
      </c>
      <c r="F135" s="65">
        <v>59210</v>
      </c>
      <c r="G135" s="41">
        <v>59557</v>
      </c>
      <c r="H135" s="41">
        <v>65248</v>
      </c>
      <c r="I135" s="41">
        <v>92454.668340000004</v>
      </c>
      <c r="J135" s="41">
        <f>I135+'Tilikauden tulos'!J135+'9. Tulorahkorjauserät'!J135</f>
        <v>100564.90119660101</v>
      </c>
      <c r="K135" s="41">
        <f>J135+'Tilikauden tulos'!K135+'9. Tulorahkorjauserät'!K135</f>
        <v>127163.18014476741</v>
      </c>
      <c r="L135" s="41">
        <f>K135+'Tilikauden tulos'!L135+'9. Tulorahkorjauserät'!L135</f>
        <v>152624.33188887857</v>
      </c>
      <c r="M135" s="41">
        <f>L135+'Tilikauden tulos'!M135+'9. Tulorahkorjauserät'!M135</f>
        <v>163499.15851757018</v>
      </c>
      <c r="N135" s="41">
        <f>M135+'Tilikauden tulos'!N135+'9. Tulorahkorjauserät'!N135</f>
        <v>167159.84329186348</v>
      </c>
      <c r="O135" s="41">
        <f>N135+'Tilikauden tulos'!O135+'9. Tulorahkorjauserät'!O135</f>
        <v>171990.31565884795</v>
      </c>
      <c r="P135" s="41">
        <f>O135+'Tilikauden tulos'!P135+'9. Tulorahkorjauserät'!P135</f>
        <v>181159.39119212414</v>
      </c>
      <c r="T135" s="34">
        <v>405</v>
      </c>
      <c r="U135" s="88" t="s">
        <v>449</v>
      </c>
      <c r="V135" s="41">
        <f>C135/'1. Väestöennuste'!E135*1000</f>
        <v>779.29331046312177</v>
      </c>
      <c r="W135" s="41">
        <f>D135/'1. Väestöennuste'!F135*1000</f>
        <v>827.61554506532002</v>
      </c>
      <c r="X135" s="41">
        <f>E135/'1. Väestöennuste'!G135*1000</f>
        <v>857.15069470161427</v>
      </c>
      <c r="Y135" s="41">
        <f>F135/'1. Väestöennuste'!H135*1000</f>
        <v>814.4541190387763</v>
      </c>
      <c r="Z135" s="41">
        <f>G135/'1. Väestöennuste'!I135*1000</f>
        <v>819.96034914778204</v>
      </c>
      <c r="AA135" s="41">
        <f>H135/'1. Väestöennuste'!J135*1000</f>
        <v>897.96592441716439</v>
      </c>
      <c r="AB135" s="41">
        <f>I135/'1. Väestöennuste'!K135*1000</f>
        <v>1272.8841636148361</v>
      </c>
      <c r="AC135" s="41">
        <f>J135/'1. Väestöennuste'!L135*1000</f>
        <v>1384.2381444817756</v>
      </c>
      <c r="AD135" s="41">
        <f>K135/'1. Väestöennuste'!M135*1000</f>
        <v>1742.2477687396204</v>
      </c>
      <c r="AE135" s="41">
        <f>L135/'1. Väestöennuste'!N135*1000</f>
        <v>2104.1764122877348</v>
      </c>
      <c r="AF135" s="41">
        <f>M135/'1. Väestöennuste'!O135*1000</f>
        <v>2256.2188960004714</v>
      </c>
      <c r="AG135" s="41">
        <f>N135/'1. Väestöennuste'!P135*1000</f>
        <v>2309.252259271188</v>
      </c>
      <c r="AH135" s="41">
        <f>O135/'1. Väestöennuste'!Q135*1000</f>
        <v>2378.6780396770341</v>
      </c>
      <c r="AI135" s="41">
        <f>P135/'1. Väestöennuste'!R135*1000</f>
        <v>2508.5421880183908</v>
      </c>
      <c r="AK135" s="41">
        <f t="shared" si="17"/>
        <v>0</v>
      </c>
      <c r="AL135" s="41">
        <f t="shared" si="18"/>
        <v>0</v>
      </c>
      <c r="AM135" s="41">
        <f t="shared" si="19"/>
        <v>0</v>
      </c>
      <c r="AN135" s="41">
        <f t="shared" si="20"/>
        <v>0</v>
      </c>
      <c r="AO135" s="41">
        <f t="shared" si="21"/>
        <v>0</v>
      </c>
      <c r="AP135" s="41">
        <f t="shared" si="22"/>
        <v>0</v>
      </c>
      <c r="AQ135" s="41">
        <f t="shared" si="23"/>
        <v>0</v>
      </c>
      <c r="AR135" s="41">
        <f t="shared" si="24"/>
        <v>0</v>
      </c>
      <c r="AS135" s="41">
        <f t="shared" si="25"/>
        <v>0</v>
      </c>
      <c r="AT135" s="41">
        <f t="shared" si="26"/>
        <v>0</v>
      </c>
      <c r="AU135" s="41">
        <f t="shared" si="27"/>
        <v>0</v>
      </c>
      <c r="AV135" s="41">
        <f t="shared" si="28"/>
        <v>0</v>
      </c>
      <c r="AW135" s="41">
        <f t="shared" si="28"/>
        <v>0</v>
      </c>
      <c r="AX135" s="41">
        <f t="shared" si="28"/>
        <v>0</v>
      </c>
    </row>
    <row r="136" spans="1:50" ht="11.25" x14ac:dyDescent="0.2">
      <c r="A136" s="34">
        <v>407</v>
      </c>
      <c r="B136" s="88" t="s">
        <v>450</v>
      </c>
      <c r="C136" s="65">
        <v>2796</v>
      </c>
      <c r="D136" s="65">
        <v>1674</v>
      </c>
      <c r="E136" s="65">
        <v>1413</v>
      </c>
      <c r="F136" s="65">
        <v>816</v>
      </c>
      <c r="G136" s="41">
        <v>407</v>
      </c>
      <c r="H136" s="41">
        <v>1665</v>
      </c>
      <c r="I136" s="41">
        <v>5834.5927099999999</v>
      </c>
      <c r="J136" s="41">
        <f>I136+'Tilikauden tulos'!J136+'9. Tulorahkorjauserät'!J136</f>
        <v>6354.6722777699442</v>
      </c>
      <c r="K136" s="41">
        <f>J136+'Tilikauden tulos'!K136+'9. Tulorahkorjauserät'!K136</f>
        <v>6557.8204868634657</v>
      </c>
      <c r="L136" s="41">
        <f>K136+'Tilikauden tulos'!L136+'9. Tulorahkorjauserät'!L136</f>
        <v>6721.8470409259207</v>
      </c>
      <c r="M136" s="41">
        <f>L136+'Tilikauden tulos'!M136+'9. Tulorahkorjauserät'!M136</f>
        <v>5966.9096152232023</v>
      </c>
      <c r="N136" s="41">
        <f>M136+'Tilikauden tulos'!N136+'9. Tulorahkorjauserät'!N136</f>
        <v>5021.92938190517</v>
      </c>
      <c r="O136" s="41">
        <f>N136+'Tilikauden tulos'!O136+'9. Tulorahkorjauserät'!O136</f>
        <v>4055.2374129785831</v>
      </c>
      <c r="P136" s="41">
        <f>O136+'Tilikauden tulos'!P136+'9. Tulorahkorjauserät'!P136</f>
        <v>3171.821520716107</v>
      </c>
      <c r="T136" s="34">
        <v>407</v>
      </c>
      <c r="U136" s="88" t="s">
        <v>450</v>
      </c>
      <c r="V136" s="41">
        <f>C136/'1. Väestöennuste'!E136*1000</f>
        <v>1007.9307858687816</v>
      </c>
      <c r="W136" s="41">
        <f>D136/'1. Väestöennuste'!F136*1000</f>
        <v>611.17196056955095</v>
      </c>
      <c r="X136" s="41">
        <f>E136/'1. Väestöennuste'!G136*1000</f>
        <v>522.17294900221736</v>
      </c>
      <c r="Y136" s="41">
        <f>F136/'1. Väestöennuste'!H136*1000</f>
        <v>306.19136960600372</v>
      </c>
      <c r="Z136" s="41">
        <f>G136/'1. Väestöennuste'!I136*1000</f>
        <v>156.17805065234074</v>
      </c>
      <c r="AA136" s="41">
        <f>H136/'1. Väestöennuste'!J136*1000</f>
        <v>635.25371995421597</v>
      </c>
      <c r="AB136" s="41">
        <f>I136/'1. Väestöennuste'!K136*1000</f>
        <v>2261.470042635659</v>
      </c>
      <c r="AC136" s="41">
        <f>J136/'1. Väestöennuste'!L136*1000</f>
        <v>2523.6982834670152</v>
      </c>
      <c r="AD136" s="41">
        <f>K136/'1. Väestöennuste'!M136*1000</f>
        <v>2677.7543841827137</v>
      </c>
      <c r="AE136" s="41">
        <f>L136/'1. Väestöennuste'!N136*1000</f>
        <v>2660.0107008017098</v>
      </c>
      <c r="AF136" s="41">
        <f>M136/'1. Väestöennuste'!O136*1000</f>
        <v>2379.1505642835732</v>
      </c>
      <c r="AG136" s="41">
        <f>N136/'1. Väestöennuste'!P136*1000</f>
        <v>2016.0294588137976</v>
      </c>
      <c r="AH136" s="41">
        <f>O136/'1. Väestöennuste'!Q136*1000</f>
        <v>1639.1420424327337</v>
      </c>
      <c r="AI136" s="41">
        <f>P136/'1. Väestöennuste'!R136*1000</f>
        <v>1290.4074535053326</v>
      </c>
      <c r="AK136" s="41">
        <f t="shared" si="17"/>
        <v>0</v>
      </c>
      <c r="AL136" s="41">
        <f t="shared" si="18"/>
        <v>0</v>
      </c>
      <c r="AM136" s="41">
        <f t="shared" si="19"/>
        <v>0</v>
      </c>
      <c r="AN136" s="41">
        <f t="shared" si="20"/>
        <v>0</v>
      </c>
      <c r="AO136" s="41">
        <f t="shared" si="21"/>
        <v>0</v>
      </c>
      <c r="AP136" s="41">
        <f t="shared" si="22"/>
        <v>0</v>
      </c>
      <c r="AQ136" s="41">
        <f t="shared" si="23"/>
        <v>0</v>
      </c>
      <c r="AR136" s="41">
        <f t="shared" si="24"/>
        <v>0</v>
      </c>
      <c r="AS136" s="41">
        <f t="shared" si="25"/>
        <v>0</v>
      </c>
      <c r="AT136" s="41">
        <f t="shared" si="26"/>
        <v>0</v>
      </c>
      <c r="AU136" s="41">
        <f t="shared" si="27"/>
        <v>0</v>
      </c>
      <c r="AV136" s="41">
        <f t="shared" si="28"/>
        <v>0</v>
      </c>
      <c r="AW136" s="41">
        <f t="shared" si="28"/>
        <v>0</v>
      </c>
      <c r="AX136" s="41">
        <f t="shared" si="28"/>
        <v>0</v>
      </c>
    </row>
    <row r="137" spans="1:50" ht="11.25" x14ac:dyDescent="0.2">
      <c r="A137" s="34">
        <v>408</v>
      </c>
      <c r="B137" s="88" t="s">
        <v>451</v>
      </c>
      <c r="C137" s="65">
        <v>11918</v>
      </c>
      <c r="D137" s="65">
        <v>14793</v>
      </c>
      <c r="E137" s="65">
        <v>17605</v>
      </c>
      <c r="F137" s="65">
        <v>16691</v>
      </c>
      <c r="G137" s="41">
        <v>15074</v>
      </c>
      <c r="H137" s="41">
        <v>19485</v>
      </c>
      <c r="I137" s="41">
        <v>20957.380160000001</v>
      </c>
      <c r="J137" s="41">
        <f>I137+'Tilikauden tulos'!J137+'9. Tulorahkorjauserät'!J137</f>
        <v>22255.453092169046</v>
      </c>
      <c r="K137" s="41">
        <f>J137+'Tilikauden tulos'!K137+'9. Tulorahkorjauserät'!K137</f>
        <v>26808.955132102616</v>
      </c>
      <c r="L137" s="41">
        <f>K137+'Tilikauden tulos'!L137+'9. Tulorahkorjauserät'!L137</f>
        <v>25367.689506281109</v>
      </c>
      <c r="M137" s="41">
        <f>L137+'Tilikauden tulos'!M137+'9. Tulorahkorjauserät'!M137</f>
        <v>23492.82096025319</v>
      </c>
      <c r="N137" s="41">
        <f>M137+'Tilikauden tulos'!N137+'9. Tulorahkorjauserät'!N137</f>
        <v>22683.496868638471</v>
      </c>
      <c r="O137" s="41">
        <f>N137+'Tilikauden tulos'!O137+'9. Tulorahkorjauserät'!O137</f>
        <v>21715.768446188235</v>
      </c>
      <c r="P137" s="41">
        <f>O137+'Tilikauden tulos'!P137+'9. Tulorahkorjauserät'!P137</f>
        <v>22622.275657891987</v>
      </c>
      <c r="T137" s="34">
        <v>408</v>
      </c>
      <c r="U137" s="88" t="s">
        <v>451</v>
      </c>
      <c r="V137" s="41">
        <f>C137/'1. Väestöennuste'!E137*1000</f>
        <v>815.79848038880141</v>
      </c>
      <c r="W137" s="41">
        <f>D137/'1. Väestöennuste'!F137*1000</f>
        <v>1014.9571183533448</v>
      </c>
      <c r="X137" s="41">
        <f>E137/'1. Väestöennuste'!G137*1000</f>
        <v>1214.6405409134816</v>
      </c>
      <c r="Y137" s="41">
        <f>F137/'1. Väestöennuste'!H137*1000</f>
        <v>1156.9279822554931</v>
      </c>
      <c r="Z137" s="41">
        <f>G137/'1. Väestöennuste'!I137*1000</f>
        <v>1055.7501050567307</v>
      </c>
      <c r="AA137" s="41">
        <f>H137/'1. Väestöennuste'!J137*1000</f>
        <v>1370.1568103508894</v>
      </c>
      <c r="AB137" s="41">
        <f>I137/'1. Väestöennuste'!K137*1000</f>
        <v>1475.5601042033372</v>
      </c>
      <c r="AC137" s="41">
        <f>J137/'1. Väestöennuste'!L137*1000</f>
        <v>1578.5128797906975</v>
      </c>
      <c r="AD137" s="41">
        <f>K137/'1. Väestöennuste'!M137*1000</f>
        <v>1911.6482552839857</v>
      </c>
      <c r="AE137" s="41">
        <f>L137/'1. Väestöennuste'!N137*1000</f>
        <v>1827.9067233233252</v>
      </c>
      <c r="AF137" s="41">
        <f>M137/'1. Väestöennuste'!O137*1000</f>
        <v>1703.983532331413</v>
      </c>
      <c r="AG137" s="41">
        <f>N137/'1. Väestöennuste'!P137*1000</f>
        <v>1655.7296984407644</v>
      </c>
      <c r="AH137" s="41">
        <f>O137/'1. Väestöennuste'!Q137*1000</f>
        <v>1595.8089687087181</v>
      </c>
      <c r="AI137" s="41">
        <f>P137/'1. Väestöennuste'!R137*1000</f>
        <v>1673.4927990747142</v>
      </c>
      <c r="AK137" s="41">
        <f t="shared" si="17"/>
        <v>0</v>
      </c>
      <c r="AL137" s="41">
        <f t="shared" si="18"/>
        <v>0</v>
      </c>
      <c r="AM137" s="41">
        <f t="shared" si="19"/>
        <v>0</v>
      </c>
      <c r="AN137" s="41">
        <f t="shared" si="20"/>
        <v>0</v>
      </c>
      <c r="AO137" s="41">
        <f t="shared" si="21"/>
        <v>0</v>
      </c>
      <c r="AP137" s="41">
        <f t="shared" si="22"/>
        <v>0</v>
      </c>
      <c r="AQ137" s="41">
        <f t="shared" si="23"/>
        <v>0</v>
      </c>
      <c r="AR137" s="41">
        <f t="shared" si="24"/>
        <v>0</v>
      </c>
      <c r="AS137" s="41">
        <f t="shared" si="25"/>
        <v>0</v>
      </c>
      <c r="AT137" s="41">
        <f t="shared" si="26"/>
        <v>0</v>
      </c>
      <c r="AU137" s="41">
        <f t="shared" si="27"/>
        <v>0</v>
      </c>
      <c r="AV137" s="41">
        <f t="shared" si="28"/>
        <v>0</v>
      </c>
      <c r="AW137" s="41">
        <f t="shared" si="28"/>
        <v>0</v>
      </c>
      <c r="AX137" s="41">
        <f t="shared" si="28"/>
        <v>0</v>
      </c>
    </row>
    <row r="138" spans="1:50" ht="11.25" x14ac:dyDescent="0.2">
      <c r="A138" s="34">
        <v>410</v>
      </c>
      <c r="B138" s="88" t="s">
        <v>452</v>
      </c>
      <c r="C138" s="65">
        <v>7118</v>
      </c>
      <c r="D138" s="65">
        <v>6580</v>
      </c>
      <c r="E138" s="65">
        <v>8956</v>
      </c>
      <c r="F138" s="65">
        <v>4941</v>
      </c>
      <c r="G138" s="41">
        <v>993</v>
      </c>
      <c r="H138" s="41">
        <v>5091</v>
      </c>
      <c r="I138" s="41">
        <v>1841.3273899999997</v>
      </c>
      <c r="J138" s="41">
        <f>I138+'Tilikauden tulos'!J138+'9. Tulorahkorjauserät'!J138</f>
        <v>-4678.970634647716</v>
      </c>
      <c r="K138" s="41">
        <f>J138+'Tilikauden tulos'!K138+'9. Tulorahkorjauserät'!K138</f>
        <v>-2439.8951608528841</v>
      </c>
      <c r="L138" s="41">
        <f>K138+'Tilikauden tulos'!L138+'9. Tulorahkorjauserät'!L138</f>
        <v>-6486.8081545630284</v>
      </c>
      <c r="M138" s="41">
        <f>L138+'Tilikauden tulos'!M138+'9. Tulorahkorjauserät'!M138</f>
        <v>-11106.333565590334</v>
      </c>
      <c r="N138" s="41">
        <f>M138+'Tilikauden tulos'!N138+'9. Tulorahkorjauserät'!N138</f>
        <v>-13973.102075990684</v>
      </c>
      <c r="O138" s="41">
        <f>N138+'Tilikauden tulos'!O138+'9. Tulorahkorjauserät'!O138</f>
        <v>-16401.161258194297</v>
      </c>
      <c r="P138" s="41">
        <f>O138+'Tilikauden tulos'!P138+'9. Tulorahkorjauserät'!P138</f>
        <v>-17385.358847189338</v>
      </c>
      <c r="T138" s="34">
        <v>410</v>
      </c>
      <c r="U138" s="88" t="s">
        <v>452</v>
      </c>
      <c r="V138" s="41">
        <f>C138/'1. Väestöennuste'!E138*1000</f>
        <v>377.3124834349324</v>
      </c>
      <c r="W138" s="41">
        <f>D138/'1. Väestöennuste'!F138*1000</f>
        <v>346.86346863468634</v>
      </c>
      <c r="X138" s="41">
        <f>E138/'1. Väestöennuste'!G138*1000</f>
        <v>471.91484877226264</v>
      </c>
      <c r="Y138" s="41">
        <f>F138/'1. Väestöennuste'!H138*1000</f>
        <v>261.05563480741796</v>
      </c>
      <c r="Z138" s="41">
        <f>G138/'1. Väestöennuste'!I138*1000</f>
        <v>52.531344231074428</v>
      </c>
      <c r="AA138" s="41">
        <f>H138/'1. Väestöennuste'!J138*1000</f>
        <v>270.46698188386546</v>
      </c>
      <c r="AB138" s="41">
        <f>I138/'1. Väestöennuste'!K138*1000</f>
        <v>98.00550298062592</v>
      </c>
      <c r="AC138" s="41">
        <f>J138/'1. Väestöennuste'!L138*1000</f>
        <v>-249.21281675886635</v>
      </c>
      <c r="AD138" s="41">
        <f>K138/'1. Väestöennuste'!M138*1000</f>
        <v>-130.04451342356273</v>
      </c>
      <c r="AE138" s="41">
        <f>L138/'1. Väestöennuste'!N138*1000</f>
        <v>-346.01846453101979</v>
      </c>
      <c r="AF138" s="41">
        <f>M138/'1. Väestöennuste'!O138*1000</f>
        <v>-593.50898122109413</v>
      </c>
      <c r="AG138" s="41">
        <f>N138/'1. Väestöennuste'!P138*1000</f>
        <v>-748.26507850437417</v>
      </c>
      <c r="AH138" s="41">
        <f>O138/'1. Väestöennuste'!Q138*1000</f>
        <v>-880.17394323249425</v>
      </c>
      <c r="AI138" s="41">
        <f>P138/'1. Väestöennuste'!R138*1000</f>
        <v>-935.19950764870032</v>
      </c>
      <c r="AK138" s="41">
        <f t="shared" si="17"/>
        <v>0</v>
      </c>
      <c r="AL138" s="41">
        <f t="shared" si="18"/>
        <v>0</v>
      </c>
      <c r="AM138" s="41">
        <f t="shared" si="19"/>
        <v>0</v>
      </c>
      <c r="AN138" s="41">
        <f t="shared" si="20"/>
        <v>0</v>
      </c>
      <c r="AO138" s="41">
        <f t="shared" si="21"/>
        <v>0</v>
      </c>
      <c r="AP138" s="41">
        <f t="shared" si="22"/>
        <v>0</v>
      </c>
      <c r="AQ138" s="41">
        <f t="shared" si="23"/>
        <v>0</v>
      </c>
      <c r="AR138" s="41">
        <f t="shared" si="24"/>
        <v>-1</v>
      </c>
      <c r="AS138" s="41">
        <f t="shared" si="25"/>
        <v>-1</v>
      </c>
      <c r="AT138" s="41">
        <f t="shared" si="26"/>
        <v>-1</v>
      </c>
      <c r="AU138" s="41">
        <f t="shared" si="27"/>
        <v>-1</v>
      </c>
      <c r="AV138" s="41">
        <f t="shared" si="28"/>
        <v>-1</v>
      </c>
      <c r="AW138" s="41">
        <f t="shared" si="28"/>
        <v>-1</v>
      </c>
      <c r="AX138" s="41">
        <f t="shared" si="28"/>
        <v>-1</v>
      </c>
    </row>
    <row r="139" spans="1:50" ht="11.25" x14ac:dyDescent="0.2">
      <c r="A139" s="34">
        <v>416</v>
      </c>
      <c r="B139" s="88" t="s">
        <v>453</v>
      </c>
      <c r="C139" s="65">
        <v>-127</v>
      </c>
      <c r="D139" s="65">
        <v>169</v>
      </c>
      <c r="E139" s="65">
        <v>-436</v>
      </c>
      <c r="F139" s="65">
        <v>-2206</v>
      </c>
      <c r="G139" s="41">
        <v>-2887</v>
      </c>
      <c r="H139" s="41">
        <v>-2194</v>
      </c>
      <c r="I139" s="41">
        <v>-1566.3972599999997</v>
      </c>
      <c r="J139" s="41">
        <f>I139+'Tilikauden tulos'!J139+'9. Tulorahkorjauserät'!J139</f>
        <v>-1854.3852974797037</v>
      </c>
      <c r="K139" s="41">
        <f>J139+'Tilikauden tulos'!K139+'9. Tulorahkorjauserät'!K139</f>
        <v>-899.41309480062876</v>
      </c>
      <c r="L139" s="41">
        <f>K139+'Tilikauden tulos'!L139+'9. Tulorahkorjauserät'!L139</f>
        <v>-673.98555387844362</v>
      </c>
      <c r="M139" s="41">
        <f>L139+'Tilikauden tulos'!M139+'9. Tulorahkorjauserät'!M139</f>
        <v>-1751.1808418336568</v>
      </c>
      <c r="N139" s="41">
        <f>M139+'Tilikauden tulos'!N139+'9. Tulorahkorjauserät'!N139</f>
        <v>-2680.457401982007</v>
      </c>
      <c r="O139" s="41">
        <f>N139+'Tilikauden tulos'!O139+'9. Tulorahkorjauserät'!O139</f>
        <v>-3659.5323638664222</v>
      </c>
      <c r="P139" s="41">
        <f>O139+'Tilikauden tulos'!P139+'9. Tulorahkorjauserät'!P139</f>
        <v>-4689.2048841379401</v>
      </c>
      <c r="T139" s="34">
        <v>416</v>
      </c>
      <c r="U139" s="88" t="s">
        <v>453</v>
      </c>
      <c r="V139" s="41">
        <f>C139/'1. Väestöennuste'!E139*1000</f>
        <v>-41.327692808330625</v>
      </c>
      <c r="W139" s="41">
        <f>D139/'1. Väestöennuste'!F139*1000</f>
        <v>54.941482444733417</v>
      </c>
      <c r="X139" s="41">
        <f>E139/'1. Väestöennuste'!G139*1000</f>
        <v>-142.34410708455763</v>
      </c>
      <c r="Y139" s="41">
        <f>F139/'1. Väestöennuste'!H139*1000</f>
        <v>-724.94249096286558</v>
      </c>
      <c r="Z139" s="41">
        <f>G139/'1. Väestöennuste'!I139*1000</f>
        <v>-971.72669134971386</v>
      </c>
      <c r="AA139" s="41">
        <f>H139/'1. Väestöennuste'!J139*1000</f>
        <v>-740.21592442645078</v>
      </c>
      <c r="AB139" s="41">
        <f>I139/'1. Väestöennuste'!K139*1000</f>
        <v>-536.98911895783328</v>
      </c>
      <c r="AC139" s="41">
        <f>J139/'1. Väestöennuste'!L139*1000</f>
        <v>-642.54514812186551</v>
      </c>
      <c r="AD139" s="41">
        <f>K139/'1. Väestöennuste'!M139*1000</f>
        <v>-314.26034060119798</v>
      </c>
      <c r="AE139" s="41">
        <f>L139/'1. Väestöennuste'!N139*1000</f>
        <v>-233.69818095646448</v>
      </c>
      <c r="AF139" s="41">
        <f>M139/'1. Väestöennuste'!O139*1000</f>
        <v>-611.01913532228082</v>
      </c>
      <c r="AG139" s="41">
        <f>N139/'1. Väestöennuste'!P139*1000</f>
        <v>-941.83324033099336</v>
      </c>
      <c r="AH139" s="41">
        <f>O139/'1. Väestöennuste'!Q139*1000</f>
        <v>-1295.8684008025573</v>
      </c>
      <c r="AI139" s="41">
        <f>P139/'1. Väestöennuste'!R139*1000</f>
        <v>-1673.5206581505852</v>
      </c>
      <c r="AK139" s="41">
        <f t="shared" si="17"/>
        <v>-1</v>
      </c>
      <c r="AL139" s="41">
        <f t="shared" si="18"/>
        <v>0</v>
      </c>
      <c r="AM139" s="41">
        <f t="shared" si="19"/>
        <v>-1</v>
      </c>
      <c r="AN139" s="41">
        <f t="shared" si="20"/>
        <v>-1</v>
      </c>
      <c r="AO139" s="41">
        <f t="shared" si="21"/>
        <v>-1</v>
      </c>
      <c r="AP139" s="41">
        <f t="shared" si="22"/>
        <v>-1</v>
      </c>
      <c r="AQ139" s="41">
        <f t="shared" si="23"/>
        <v>-1</v>
      </c>
      <c r="AR139" s="41">
        <f t="shared" si="24"/>
        <v>-1</v>
      </c>
      <c r="AS139" s="41">
        <f t="shared" si="25"/>
        <v>-1</v>
      </c>
      <c r="AT139" s="41">
        <f t="shared" si="26"/>
        <v>-1</v>
      </c>
      <c r="AU139" s="41">
        <f t="shared" si="27"/>
        <v>-1</v>
      </c>
      <c r="AV139" s="41">
        <f t="shared" si="28"/>
        <v>-1</v>
      </c>
      <c r="AW139" s="41">
        <f t="shared" si="28"/>
        <v>-1</v>
      </c>
      <c r="AX139" s="41">
        <f t="shared" si="28"/>
        <v>-1</v>
      </c>
    </row>
    <row r="140" spans="1:50" ht="11.25" x14ac:dyDescent="0.2">
      <c r="A140" s="34">
        <v>418</v>
      </c>
      <c r="B140" s="88" t="s">
        <v>454</v>
      </c>
      <c r="C140" s="65">
        <v>13156</v>
      </c>
      <c r="D140" s="65">
        <v>15198</v>
      </c>
      <c r="E140" s="65">
        <v>16273</v>
      </c>
      <c r="F140" s="65">
        <v>11820</v>
      </c>
      <c r="G140" s="41">
        <v>20408</v>
      </c>
      <c r="H140" s="41">
        <v>27034</v>
      </c>
      <c r="I140" s="41">
        <v>32118.75995</v>
      </c>
      <c r="J140" s="41">
        <f>I140+'Tilikauden tulos'!J140+'9. Tulorahkorjauserät'!J140</f>
        <v>28520.819398129956</v>
      </c>
      <c r="K140" s="41">
        <f>J140+'Tilikauden tulos'!K140+'9. Tulorahkorjauserät'!K140</f>
        <v>31061.920881867907</v>
      </c>
      <c r="L140" s="41">
        <f>K140+'Tilikauden tulos'!L140+'9. Tulorahkorjauserät'!L140</f>
        <v>27077.626773993561</v>
      </c>
      <c r="M140" s="41">
        <f>L140+'Tilikauden tulos'!M140+'9. Tulorahkorjauserät'!M140</f>
        <v>18659.727545239337</v>
      </c>
      <c r="N140" s="41">
        <f>M140+'Tilikauden tulos'!N140+'9. Tulorahkorjauserät'!N140</f>
        <v>10923.484216084376</v>
      </c>
      <c r="O140" s="41">
        <f>N140+'Tilikauden tulos'!O140+'9. Tulorahkorjauserät'!O140</f>
        <v>3093.1424467215284</v>
      </c>
      <c r="P140" s="41">
        <f>O140+'Tilikauden tulos'!P140+'9. Tulorahkorjauserät'!P140</f>
        <v>-4424.1295280384302</v>
      </c>
      <c r="T140" s="34">
        <v>418</v>
      </c>
      <c r="U140" s="88" t="s">
        <v>454</v>
      </c>
      <c r="V140" s="41">
        <f>C140/'1. Väestöennuste'!E140*1000</f>
        <v>583.7770678026269</v>
      </c>
      <c r="W140" s="41">
        <f>D140/'1. Väestöennuste'!F140*1000</f>
        <v>668.19081116728955</v>
      </c>
      <c r="X140" s="41">
        <f>E140/'1. Väestöennuste'!G140*1000</f>
        <v>712.82141136274038</v>
      </c>
      <c r="Y140" s="41">
        <f>F140/'1. Väestöennuste'!H140*1000</f>
        <v>509.35102990605873</v>
      </c>
      <c r="Z140" s="41">
        <f>G140/'1. Väestöennuste'!I140*1000</f>
        <v>867.5764145729712</v>
      </c>
      <c r="AA140" s="41">
        <f>H140/'1. Väestöennuste'!J140*1000</f>
        <v>1134.5475910693301</v>
      </c>
      <c r="AB140" s="41">
        <f>I140/'1. Väestöennuste'!K140*1000</f>
        <v>1329.1988060751532</v>
      </c>
      <c r="AC140" s="41">
        <f>J140/'1. Väestöennuste'!L140*1000</f>
        <v>1160.3262570435295</v>
      </c>
      <c r="AD140" s="41">
        <f>K140/'1. Väestöennuste'!M140*1000</f>
        <v>1257.0078459741778</v>
      </c>
      <c r="AE140" s="41">
        <f>L140/'1. Väestöennuste'!N140*1000</f>
        <v>1097.0152240000632</v>
      </c>
      <c r="AF140" s="41">
        <f>M140/'1. Väestöennuste'!O140*1000</f>
        <v>750.71320989858941</v>
      </c>
      <c r="AG140" s="41">
        <f>N140/'1. Väestöennuste'!P140*1000</f>
        <v>436.67736222603941</v>
      </c>
      <c r="AH140" s="41">
        <f>O140/'1. Väestöennuste'!Q140*1000</f>
        <v>122.95354957751435</v>
      </c>
      <c r="AI140" s="41">
        <f>P140/'1. Väestöennuste'!R140*1000</f>
        <v>-174.94284186952549</v>
      </c>
      <c r="AK140" s="41">
        <f t="shared" si="17"/>
        <v>0</v>
      </c>
      <c r="AL140" s="41">
        <f t="shared" si="18"/>
        <v>0</v>
      </c>
      <c r="AM140" s="41">
        <f t="shared" si="19"/>
        <v>0</v>
      </c>
      <c r="AN140" s="41">
        <f t="shared" si="20"/>
        <v>0</v>
      </c>
      <c r="AO140" s="41">
        <f t="shared" si="21"/>
        <v>0</v>
      </c>
      <c r="AP140" s="41">
        <f t="shared" si="22"/>
        <v>0</v>
      </c>
      <c r="AQ140" s="41">
        <f t="shared" si="23"/>
        <v>0</v>
      </c>
      <c r="AR140" s="41">
        <f t="shared" si="24"/>
        <v>0</v>
      </c>
      <c r="AS140" s="41">
        <f t="shared" si="25"/>
        <v>0</v>
      </c>
      <c r="AT140" s="41">
        <f t="shared" si="26"/>
        <v>0</v>
      </c>
      <c r="AU140" s="41">
        <f t="shared" si="27"/>
        <v>0</v>
      </c>
      <c r="AV140" s="41">
        <f t="shared" si="28"/>
        <v>0</v>
      </c>
      <c r="AW140" s="41">
        <f t="shared" si="28"/>
        <v>0</v>
      </c>
      <c r="AX140" s="41">
        <f t="shared" si="28"/>
        <v>-1</v>
      </c>
    </row>
    <row r="141" spans="1:50" ht="11.25" x14ac:dyDescent="0.2">
      <c r="A141" s="34">
        <v>420</v>
      </c>
      <c r="B141" s="88" t="s">
        <v>455</v>
      </c>
      <c r="C141" s="65">
        <v>5330</v>
      </c>
      <c r="D141" s="65">
        <v>5397</v>
      </c>
      <c r="E141" s="65">
        <v>5535</v>
      </c>
      <c r="F141" s="65">
        <v>4175</v>
      </c>
      <c r="G141" s="41">
        <v>721</v>
      </c>
      <c r="H141" s="41">
        <v>1127</v>
      </c>
      <c r="I141" s="41">
        <v>1501.9123599999998</v>
      </c>
      <c r="J141" s="41">
        <f>I141+'Tilikauden tulos'!J141+'9. Tulorahkorjauserät'!J141</f>
        <v>3976.1438328934169</v>
      </c>
      <c r="K141" s="41">
        <f>J141+'Tilikauden tulos'!K141+'9. Tulorahkorjauserät'!K141</f>
        <v>6529.4311339903561</v>
      </c>
      <c r="L141" s="41">
        <f>K141+'Tilikauden tulos'!L141+'9. Tulorahkorjauserät'!L141</f>
        <v>6546.9842201355568</v>
      </c>
      <c r="M141" s="41">
        <f>L141+'Tilikauden tulos'!M141+'9. Tulorahkorjauserät'!M141</f>
        <v>7133.9553259207096</v>
      </c>
      <c r="N141" s="41">
        <f>M141+'Tilikauden tulos'!N141+'9. Tulorahkorjauserät'!N141</f>
        <v>7797.3060609394724</v>
      </c>
      <c r="O141" s="41">
        <f>N141+'Tilikauden tulos'!O141+'9. Tulorahkorjauserät'!O141</f>
        <v>8824.0968304481685</v>
      </c>
      <c r="P141" s="41">
        <f>O141+'Tilikauden tulos'!P141+'9. Tulorahkorjauserät'!P141</f>
        <v>10593.861263953469</v>
      </c>
      <c r="T141" s="34">
        <v>420</v>
      </c>
      <c r="U141" s="88" t="s">
        <v>455</v>
      </c>
      <c r="V141" s="41">
        <f>C141/'1. Väestöennuste'!E141*1000</f>
        <v>535.51692956897421</v>
      </c>
      <c r="W141" s="41">
        <f>D141/'1. Väestöennuste'!F141*1000</f>
        <v>547.08565636087178</v>
      </c>
      <c r="X141" s="41">
        <f>E141/'1. Väestöennuste'!G141*1000</f>
        <v>565.83520752402376</v>
      </c>
      <c r="Y141" s="41">
        <f>F141/'1. Väestöennuste'!H141*1000</f>
        <v>432.64248704663208</v>
      </c>
      <c r="Z141" s="41">
        <f>G141/'1. Väestöennuste'!I141*1000</f>
        <v>76.264015231647988</v>
      </c>
      <c r="AA141" s="41">
        <f>H141/'1. Väestöennuste'!J141*1000</f>
        <v>119.8681131674112</v>
      </c>
      <c r="AB141" s="41">
        <f>I141/'1. Väestöennuste'!K141*1000</f>
        <v>161.84400431034481</v>
      </c>
      <c r="AC141" s="41">
        <f>J141/'1. Väestöennuste'!L141*1000</f>
        <v>433.27272887582183</v>
      </c>
      <c r="AD141" s="41">
        <f>K141/'1. Väestöennuste'!M141*1000</f>
        <v>721.56383401374262</v>
      </c>
      <c r="AE141" s="41">
        <f>L141/'1. Väestöennuste'!N141*1000</f>
        <v>728.41390967240284</v>
      </c>
      <c r="AF141" s="41">
        <f>M141/'1. Väestöennuste'!O141*1000</f>
        <v>802.37940905642893</v>
      </c>
      <c r="AG141" s="41">
        <f>N141/'1. Väestöennuste'!P141*1000</f>
        <v>886.56123489931474</v>
      </c>
      <c r="AH141" s="41">
        <f>O141/'1. Väestöennuste'!Q141*1000</f>
        <v>1013.9143778522541</v>
      </c>
      <c r="AI141" s="41">
        <f>P141/'1. Väestöennuste'!R141*1000</f>
        <v>1230.2707309201569</v>
      </c>
      <c r="AK141" s="41">
        <f t="shared" si="17"/>
        <v>0</v>
      </c>
      <c r="AL141" s="41">
        <f t="shared" si="18"/>
        <v>0</v>
      </c>
      <c r="AM141" s="41">
        <f t="shared" si="19"/>
        <v>0</v>
      </c>
      <c r="AN141" s="41">
        <f t="shared" si="20"/>
        <v>0</v>
      </c>
      <c r="AO141" s="41">
        <f t="shared" si="21"/>
        <v>0</v>
      </c>
      <c r="AP141" s="41">
        <f t="shared" si="22"/>
        <v>0</v>
      </c>
      <c r="AQ141" s="41">
        <f t="shared" si="23"/>
        <v>0</v>
      </c>
      <c r="AR141" s="41">
        <f t="shared" si="24"/>
        <v>0</v>
      </c>
      <c r="AS141" s="41">
        <f t="shared" si="25"/>
        <v>0</v>
      </c>
      <c r="AT141" s="41">
        <f t="shared" si="26"/>
        <v>0</v>
      </c>
      <c r="AU141" s="41">
        <f t="shared" si="27"/>
        <v>0</v>
      </c>
      <c r="AV141" s="41">
        <f t="shared" si="28"/>
        <v>0</v>
      </c>
      <c r="AW141" s="41">
        <f t="shared" si="28"/>
        <v>0</v>
      </c>
      <c r="AX141" s="41">
        <f t="shared" si="28"/>
        <v>0</v>
      </c>
    </row>
    <row r="142" spans="1:50" ht="11.25" x14ac:dyDescent="0.2">
      <c r="A142" s="34">
        <v>421</v>
      </c>
      <c r="B142" s="88" t="s">
        <v>456</v>
      </c>
      <c r="C142" s="65">
        <v>1952</v>
      </c>
      <c r="D142" s="65">
        <v>1742</v>
      </c>
      <c r="E142" s="65">
        <v>1632</v>
      </c>
      <c r="F142" s="65">
        <v>1068</v>
      </c>
      <c r="G142" s="41">
        <v>400</v>
      </c>
      <c r="H142" s="41">
        <v>254</v>
      </c>
      <c r="I142" s="41">
        <v>-242.41014000000001</v>
      </c>
      <c r="J142" s="41">
        <f>I142+'Tilikauden tulos'!J142+'9. Tulorahkorjauserät'!J142</f>
        <v>-1642.3372143572903</v>
      </c>
      <c r="K142" s="41">
        <f>J142+'Tilikauden tulos'!K142+'9. Tulorahkorjauserät'!K142</f>
        <v>-2721.7175603258061</v>
      </c>
      <c r="L142" s="41">
        <f>K142+'Tilikauden tulos'!L142+'9. Tulorahkorjauserät'!L142</f>
        <v>-2956.9907263462869</v>
      </c>
      <c r="M142" s="41">
        <f>L142+'Tilikauden tulos'!M142+'9. Tulorahkorjauserät'!M142</f>
        <v>-3437.784916021365</v>
      </c>
      <c r="N142" s="41">
        <f>M142+'Tilikauden tulos'!N142+'9. Tulorahkorjauserät'!N142</f>
        <v>-4162.0034467374753</v>
      </c>
      <c r="O142" s="41">
        <f>N142+'Tilikauden tulos'!O142+'9. Tulorahkorjauserät'!O142</f>
        <v>-4940.2393416702507</v>
      </c>
      <c r="P142" s="41">
        <f>O142+'Tilikauden tulos'!P142+'9. Tulorahkorjauserät'!P142</f>
        <v>-5648.8356573730052</v>
      </c>
      <c r="T142" s="34">
        <v>421</v>
      </c>
      <c r="U142" s="88" t="s">
        <v>456</v>
      </c>
      <c r="V142" s="41">
        <f>C142/'1. Väestöennuste'!E142*1000</f>
        <v>2446.1152882205511</v>
      </c>
      <c r="W142" s="41">
        <f>D142/'1. Väestöennuste'!F142*1000</f>
        <v>2147.965474722565</v>
      </c>
      <c r="X142" s="41">
        <f>E142/'1. Väestöennuste'!G142*1000</f>
        <v>2068.4410646387832</v>
      </c>
      <c r="Y142" s="41">
        <f>F142/'1. Väestöennuste'!H142*1000</f>
        <v>1449.1180461329716</v>
      </c>
      <c r="Z142" s="41">
        <f>G142/'1. Väestöennuste'!I142*1000</f>
        <v>556.32823365785816</v>
      </c>
      <c r="AA142" s="41">
        <f>H142/'1. Väestöennuste'!J142*1000</f>
        <v>351.80055401662054</v>
      </c>
      <c r="AB142" s="41">
        <f>I142/'1. Väestöennuste'!K142*1000</f>
        <v>-337.14901251738524</v>
      </c>
      <c r="AC142" s="41">
        <f>J142/'1. Väestöennuste'!L142*1000</f>
        <v>-2363.0751285716406</v>
      </c>
      <c r="AD142" s="41">
        <f>K142/'1. Väestöennuste'!M142*1000</f>
        <v>-3990.7882116214164</v>
      </c>
      <c r="AE142" s="41">
        <f>L142/'1. Väestöennuste'!N142*1000</f>
        <v>-4361.3432541980628</v>
      </c>
      <c r="AF142" s="41">
        <f>M142/'1. Väestöennuste'!O142*1000</f>
        <v>-5138.6919521993505</v>
      </c>
      <c r="AG142" s="41">
        <f>N142/'1. Väestöennuste'!P142*1000</f>
        <v>-6306.0658283901139</v>
      </c>
      <c r="AH142" s="41">
        <f>O142/'1. Väestöennuste'!Q142*1000</f>
        <v>-7553.8827854285173</v>
      </c>
      <c r="AI142" s="41">
        <f>P142/'1. Väestöennuste'!R142*1000</f>
        <v>-8730.8124534358649</v>
      </c>
      <c r="AK142" s="41">
        <f t="shared" si="17"/>
        <v>0</v>
      </c>
      <c r="AL142" s="41">
        <f t="shared" si="18"/>
        <v>0</v>
      </c>
      <c r="AM142" s="41">
        <f t="shared" si="19"/>
        <v>0</v>
      </c>
      <c r="AN142" s="41">
        <f t="shared" si="20"/>
        <v>0</v>
      </c>
      <c r="AO142" s="41">
        <f t="shared" si="21"/>
        <v>0</v>
      </c>
      <c r="AP142" s="41">
        <f t="shared" si="22"/>
        <v>0</v>
      </c>
      <c r="AQ142" s="41">
        <f t="shared" si="23"/>
        <v>-1</v>
      </c>
      <c r="AR142" s="41">
        <f t="shared" si="24"/>
        <v>-1</v>
      </c>
      <c r="AS142" s="41">
        <f t="shared" si="25"/>
        <v>-1</v>
      </c>
      <c r="AT142" s="41">
        <f t="shared" si="26"/>
        <v>-1</v>
      </c>
      <c r="AU142" s="41">
        <f t="shared" si="27"/>
        <v>-1</v>
      </c>
      <c r="AV142" s="41">
        <f t="shared" si="28"/>
        <v>-1</v>
      </c>
      <c r="AW142" s="41">
        <f t="shared" si="28"/>
        <v>-1</v>
      </c>
      <c r="AX142" s="41">
        <f t="shared" si="28"/>
        <v>-1</v>
      </c>
    </row>
    <row r="143" spans="1:50" ht="11.25" x14ac:dyDescent="0.2">
      <c r="A143" s="34">
        <v>422</v>
      </c>
      <c r="B143" s="88" t="s">
        <v>457</v>
      </c>
      <c r="C143" s="65">
        <v>10334</v>
      </c>
      <c r="D143" s="65">
        <v>12577</v>
      </c>
      <c r="E143" s="65">
        <v>16179</v>
      </c>
      <c r="F143" s="65">
        <v>17878</v>
      </c>
      <c r="G143" s="41">
        <v>18907</v>
      </c>
      <c r="H143" s="41">
        <v>23454</v>
      </c>
      <c r="I143" s="41">
        <v>26096.791259999998</v>
      </c>
      <c r="J143" s="41">
        <f>I143+'Tilikauden tulos'!J143+'9. Tulorahkorjauserät'!J143</f>
        <v>26292.659676184259</v>
      </c>
      <c r="K143" s="41">
        <f>J143+'Tilikauden tulos'!K143+'9. Tulorahkorjauserät'!K143</f>
        <v>30544.72602935135</v>
      </c>
      <c r="L143" s="41">
        <f>K143+'Tilikauden tulos'!L143+'9. Tulorahkorjauserät'!L143</f>
        <v>33798.285069443453</v>
      </c>
      <c r="M143" s="41">
        <f>L143+'Tilikauden tulos'!M143+'9. Tulorahkorjauserät'!M143</f>
        <v>34242.45908016531</v>
      </c>
      <c r="N143" s="41">
        <f>M143+'Tilikauden tulos'!N143+'9. Tulorahkorjauserät'!N143</f>
        <v>33560.562699082526</v>
      </c>
      <c r="O143" s="41">
        <f>N143+'Tilikauden tulos'!O143+'9. Tulorahkorjauserät'!O143</f>
        <v>32881.342526377877</v>
      </c>
      <c r="P143" s="41">
        <f>O143+'Tilikauden tulos'!P143+'9. Tulorahkorjauserät'!P143</f>
        <v>33988.734293892521</v>
      </c>
      <c r="T143" s="34">
        <v>422</v>
      </c>
      <c r="U143" s="88" t="s">
        <v>457</v>
      </c>
      <c r="V143" s="41">
        <f>C143/'1. Väestöennuste'!E143*1000</f>
        <v>877.84573564390075</v>
      </c>
      <c r="W143" s="41">
        <f>D143/'1. Väestöennuste'!F143*1000</f>
        <v>1086.0967184801382</v>
      </c>
      <c r="X143" s="41">
        <f>E143/'1. Väestöennuste'!G143*1000</f>
        <v>1432.15012835266</v>
      </c>
      <c r="Y143" s="41">
        <f>F143/'1. Väestöennuste'!H143*1000</f>
        <v>1610.9208866462425</v>
      </c>
      <c r="Z143" s="41">
        <f>G143/'1. Väestöennuste'!I143*1000</f>
        <v>1737.1370819551635</v>
      </c>
      <c r="AA143" s="41">
        <f>H143/'1. Väestöennuste'!J143*1000</f>
        <v>2188.0772460117546</v>
      </c>
      <c r="AB143" s="41">
        <f>I143/'1. Väestöennuste'!K143*1000</f>
        <v>2475.2718637958833</v>
      </c>
      <c r="AC143" s="41">
        <f>J143/'1. Väestöennuste'!L143*1000</f>
        <v>2534.9652599483475</v>
      </c>
      <c r="AD143" s="41">
        <f>K143/'1. Väestöennuste'!M143*1000</f>
        <v>2986.3830689627835</v>
      </c>
      <c r="AE143" s="41">
        <f>L143/'1. Väestöennuste'!N143*1000</f>
        <v>3387.9596100083654</v>
      </c>
      <c r="AF143" s="41">
        <f>M143/'1. Väestöennuste'!O143*1000</f>
        <v>3490.2108939114573</v>
      </c>
      <c r="AG143" s="41">
        <f>N143/'1. Väestöennuste'!P143*1000</f>
        <v>3477.7785180396399</v>
      </c>
      <c r="AH143" s="41">
        <f>O143/'1. Väestöennuste'!Q143*1000</f>
        <v>3463.0165904558062</v>
      </c>
      <c r="AI143" s="41">
        <f>P143/'1. Väestöennuste'!R143*1000</f>
        <v>3636.3254834591335</v>
      </c>
      <c r="AK143" s="41">
        <f t="shared" si="17"/>
        <v>0</v>
      </c>
      <c r="AL143" s="41">
        <f t="shared" si="18"/>
        <v>0</v>
      </c>
      <c r="AM143" s="41">
        <f t="shared" si="19"/>
        <v>0</v>
      </c>
      <c r="AN143" s="41">
        <f t="shared" si="20"/>
        <v>0</v>
      </c>
      <c r="AO143" s="41">
        <f t="shared" si="21"/>
        <v>0</v>
      </c>
      <c r="AP143" s="41">
        <f t="shared" si="22"/>
        <v>0</v>
      </c>
      <c r="AQ143" s="41">
        <f t="shared" si="23"/>
        <v>0</v>
      </c>
      <c r="AR143" s="41">
        <f t="shared" si="24"/>
        <v>0</v>
      </c>
      <c r="AS143" s="41">
        <f t="shared" si="25"/>
        <v>0</v>
      </c>
      <c r="AT143" s="41">
        <f t="shared" si="26"/>
        <v>0</v>
      </c>
      <c r="AU143" s="41">
        <f t="shared" si="27"/>
        <v>0</v>
      </c>
      <c r="AV143" s="41">
        <f t="shared" si="28"/>
        <v>0</v>
      </c>
      <c r="AW143" s="41">
        <f t="shared" si="28"/>
        <v>0</v>
      </c>
      <c r="AX143" s="41">
        <f t="shared" si="28"/>
        <v>0</v>
      </c>
    </row>
    <row r="144" spans="1:50" ht="11.25" x14ac:dyDescent="0.2">
      <c r="A144" s="34">
        <v>423</v>
      </c>
      <c r="B144" s="88" t="s">
        <v>458</v>
      </c>
      <c r="C144" s="65">
        <v>5224</v>
      </c>
      <c r="D144" s="65">
        <v>6988</v>
      </c>
      <c r="E144" s="65">
        <v>8516</v>
      </c>
      <c r="F144" s="65">
        <v>3992</v>
      </c>
      <c r="G144" s="41">
        <v>1540</v>
      </c>
      <c r="H144" s="41">
        <v>8558</v>
      </c>
      <c r="I144" s="41">
        <v>13217.728019999999</v>
      </c>
      <c r="J144" s="41">
        <f>I144+'Tilikauden tulos'!J144+'9. Tulorahkorjauserät'!J144</f>
        <v>17921.419014943269</v>
      </c>
      <c r="K144" s="41">
        <f>J144+'Tilikauden tulos'!K144+'9. Tulorahkorjauserät'!K144</f>
        <v>22620.730474055632</v>
      </c>
      <c r="L144" s="41">
        <f>K144+'Tilikauden tulos'!L144+'9. Tulorahkorjauserät'!L144</f>
        <v>23310.469028804226</v>
      </c>
      <c r="M144" s="41">
        <f>L144+'Tilikauden tulos'!M144+'9. Tulorahkorjauserät'!M144</f>
        <v>22272.195960166424</v>
      </c>
      <c r="N144" s="41">
        <f>M144+'Tilikauden tulos'!N144+'9. Tulorahkorjauserät'!N144</f>
        <v>20588.982254635197</v>
      </c>
      <c r="O144" s="41">
        <f>N144+'Tilikauden tulos'!O144+'9. Tulorahkorjauserät'!O144</f>
        <v>18671.049064888044</v>
      </c>
      <c r="P144" s="41">
        <f>O144+'Tilikauden tulos'!P144+'9. Tulorahkorjauserät'!P144</f>
        <v>17592.107178099788</v>
      </c>
      <c r="T144" s="34">
        <v>423</v>
      </c>
      <c r="U144" s="88" t="s">
        <v>458</v>
      </c>
      <c r="V144" s="41">
        <f>C144/'1. Väestöennuste'!E144*1000</f>
        <v>271.1934797279759</v>
      </c>
      <c r="W144" s="41">
        <f>D144/'1. Väestöennuste'!F144*1000</f>
        <v>359.87228344834688</v>
      </c>
      <c r="X144" s="41">
        <f>E144/'1. Väestöennuste'!G144*1000</f>
        <v>434.57848540518472</v>
      </c>
      <c r="Y144" s="41">
        <f>F144/'1. Väestöennuste'!H144*1000</f>
        <v>201.30099339418084</v>
      </c>
      <c r="Z144" s="41">
        <f>G144/'1. Väestöennuste'!I144*1000</f>
        <v>77.023106932079628</v>
      </c>
      <c r="AA144" s="41">
        <f>H144/'1. Väestöennuste'!J144*1000</f>
        <v>424.79896753698006</v>
      </c>
      <c r="AB144" s="41">
        <f>I144/'1. Väestöennuste'!K144*1000</f>
        <v>651.40840865408302</v>
      </c>
      <c r="AC144" s="41">
        <f>J144/'1. Väestöennuste'!L144*1000</f>
        <v>874.34351441397621</v>
      </c>
      <c r="AD144" s="41">
        <f>K144/'1. Väestöennuste'!M144*1000</f>
        <v>1096.1249442290853</v>
      </c>
      <c r="AE144" s="41">
        <f>L144/'1. Väestöennuste'!N144*1000</f>
        <v>1123.3419608117308</v>
      </c>
      <c r="AF144" s="41">
        <f>M144/'1. Väestöennuste'!O144*1000</f>
        <v>1066.0633716334685</v>
      </c>
      <c r="AG144" s="41">
        <f>N144/'1. Väestöennuste'!P144*1000</f>
        <v>979.12223010439402</v>
      </c>
      <c r="AH144" s="41">
        <f>O144/'1. Väestöennuste'!Q144*1000</f>
        <v>882.49983763709611</v>
      </c>
      <c r="AI144" s="41">
        <f>P144/'1. Väestöennuste'!R144*1000</f>
        <v>826.8910541997551</v>
      </c>
      <c r="AK144" s="41">
        <f t="shared" ref="AK144:AK207" si="29">IF(C144&lt;0,-1,0)</f>
        <v>0</v>
      </c>
      <c r="AL144" s="41">
        <f t="shared" ref="AL144:AL207" si="30">IF(D144&lt;0,-1,0)</f>
        <v>0</v>
      </c>
      <c r="AM144" s="41">
        <f t="shared" ref="AM144:AM207" si="31">IF(E144&lt;0,-1,0)</f>
        <v>0</v>
      </c>
      <c r="AN144" s="41">
        <f t="shared" ref="AN144:AN207" si="32">IF(F144&lt;0,-1,0)</f>
        <v>0</v>
      </c>
      <c r="AO144" s="41">
        <f t="shared" ref="AO144:AO207" si="33">IF(G144&lt;0,-1,0)</f>
        <v>0</v>
      </c>
      <c r="AP144" s="41">
        <f t="shared" ref="AP144:AP207" si="34">IF(H144&lt;0,-1,0)</f>
        <v>0</v>
      </c>
      <c r="AQ144" s="41">
        <f t="shared" ref="AQ144:AQ207" si="35">IF(I144&lt;0,-1,0)</f>
        <v>0</v>
      </c>
      <c r="AR144" s="41">
        <f t="shared" ref="AR144:AR207" si="36">IF(J144&lt;0,-1,0)</f>
        <v>0</v>
      </c>
      <c r="AS144" s="41">
        <f t="shared" ref="AS144:AS207" si="37">IF(K144&lt;0,-1,0)</f>
        <v>0</v>
      </c>
      <c r="AT144" s="41">
        <f t="shared" ref="AT144:AT207" si="38">IF(L144&lt;0,-1,0)</f>
        <v>0</v>
      </c>
      <c r="AU144" s="41">
        <f t="shared" ref="AU144:AU207" si="39">IF(M144&lt;0,-1,0)</f>
        <v>0</v>
      </c>
      <c r="AV144" s="41">
        <f t="shared" ref="AV144:AX207" si="40">IF(N144&lt;0,-1,0)</f>
        <v>0</v>
      </c>
      <c r="AW144" s="41">
        <f t="shared" si="40"/>
        <v>0</v>
      </c>
      <c r="AX144" s="41">
        <f t="shared" si="40"/>
        <v>0</v>
      </c>
    </row>
    <row r="145" spans="1:50" ht="11.25" x14ac:dyDescent="0.2">
      <c r="A145" s="34">
        <v>425</v>
      </c>
      <c r="B145" s="88" t="s">
        <v>459</v>
      </c>
      <c r="C145" s="65">
        <v>8770</v>
      </c>
      <c r="D145" s="65">
        <v>8225</v>
      </c>
      <c r="E145" s="65">
        <v>8155</v>
      </c>
      <c r="F145" s="65">
        <v>8264</v>
      </c>
      <c r="G145" s="41">
        <v>8364</v>
      </c>
      <c r="H145" s="41">
        <v>8717</v>
      </c>
      <c r="I145" s="41">
        <v>8949.9093200000007</v>
      </c>
      <c r="J145" s="41">
        <f>I145+'Tilikauden tulos'!J145+'9. Tulorahkorjauserät'!J145</f>
        <v>8816.9085528894921</v>
      </c>
      <c r="K145" s="41">
        <f>J145+'Tilikauden tulos'!K145+'9. Tulorahkorjauserät'!K145</f>
        <v>7755.9641870081632</v>
      </c>
      <c r="L145" s="41">
        <f>K145+'Tilikauden tulos'!L145+'9. Tulorahkorjauserät'!L145</f>
        <v>6565.6053771891766</v>
      </c>
      <c r="M145" s="41">
        <f>L145+'Tilikauden tulos'!M145+'9. Tulorahkorjauserät'!M145</f>
        <v>3336.0672088759184</v>
      </c>
      <c r="N145" s="41">
        <f>M145+'Tilikauden tulos'!N145+'9. Tulorahkorjauserät'!N145</f>
        <v>42.021268103539114</v>
      </c>
      <c r="O145" s="41">
        <f>N145+'Tilikauden tulos'!O145+'9. Tulorahkorjauserät'!O145</f>
        <v>-3210.339034845998</v>
      </c>
      <c r="P145" s="41">
        <f>O145+'Tilikauden tulos'!P145+'9. Tulorahkorjauserät'!P145</f>
        <v>-6239.8561994284955</v>
      </c>
      <c r="T145" s="34">
        <v>425</v>
      </c>
      <c r="U145" s="88" t="s">
        <v>459</v>
      </c>
      <c r="V145" s="41">
        <f>C145/'1. Väestöennuste'!E145*1000</f>
        <v>882.56012881151253</v>
      </c>
      <c r="W145" s="41">
        <f>D145/'1. Väestöennuste'!F145*1000</f>
        <v>822.5</v>
      </c>
      <c r="X145" s="41">
        <f>E145/'1. Väestöennuste'!G145*1000</f>
        <v>804.79621040165796</v>
      </c>
      <c r="Y145" s="41">
        <f>F145/'1. Väestöennuste'!H145*1000</f>
        <v>813.30577699045375</v>
      </c>
      <c r="Z145" s="41">
        <f>G145/'1. Väestöennuste'!I145*1000</f>
        <v>820.72416838386812</v>
      </c>
      <c r="AA145" s="41">
        <f>H145/'1. Väestöennuste'!J145*1000</f>
        <v>851.43582731002152</v>
      </c>
      <c r="AB145" s="41">
        <f>I145/'1. Väestöennuste'!K145*1000</f>
        <v>875.89639068310828</v>
      </c>
      <c r="AC145" s="41">
        <f>J145/'1. Väestöennuste'!L145*1000</f>
        <v>859.51535902607645</v>
      </c>
      <c r="AD145" s="41">
        <f>K145/'1. Väestöennuste'!M145*1000</f>
        <v>756.2367577036041</v>
      </c>
      <c r="AE145" s="41">
        <f>L145/'1. Väestöennuste'!N145*1000</f>
        <v>629.13045009478503</v>
      </c>
      <c r="AF145" s="41">
        <f>M145/'1. Väestöennuste'!O145*1000</f>
        <v>318.8137623161237</v>
      </c>
      <c r="AG145" s="41">
        <f>N145/'1. Väestöennuste'!P145*1000</f>
        <v>4.0062225287004587</v>
      </c>
      <c r="AH145" s="41">
        <f>O145/'1. Väestöennuste'!Q145*1000</f>
        <v>-305.3975489769785</v>
      </c>
      <c r="AI145" s="41">
        <f>P145/'1. Väestöennuste'!R145*1000</f>
        <v>-592.57893631799573</v>
      </c>
      <c r="AK145" s="41">
        <f t="shared" si="29"/>
        <v>0</v>
      </c>
      <c r="AL145" s="41">
        <f t="shared" si="30"/>
        <v>0</v>
      </c>
      <c r="AM145" s="41">
        <f t="shared" si="31"/>
        <v>0</v>
      </c>
      <c r="AN145" s="41">
        <f t="shared" si="32"/>
        <v>0</v>
      </c>
      <c r="AO145" s="41">
        <f t="shared" si="33"/>
        <v>0</v>
      </c>
      <c r="AP145" s="41">
        <f t="shared" si="34"/>
        <v>0</v>
      </c>
      <c r="AQ145" s="41">
        <f t="shared" si="35"/>
        <v>0</v>
      </c>
      <c r="AR145" s="41">
        <f t="shared" si="36"/>
        <v>0</v>
      </c>
      <c r="AS145" s="41">
        <f t="shared" si="37"/>
        <v>0</v>
      </c>
      <c r="AT145" s="41">
        <f t="shared" si="38"/>
        <v>0</v>
      </c>
      <c r="AU145" s="41">
        <f t="shared" si="39"/>
        <v>0</v>
      </c>
      <c r="AV145" s="41">
        <f t="shared" si="40"/>
        <v>0</v>
      </c>
      <c r="AW145" s="41">
        <f t="shared" si="40"/>
        <v>-1</v>
      </c>
      <c r="AX145" s="41">
        <f t="shared" si="40"/>
        <v>-1</v>
      </c>
    </row>
    <row r="146" spans="1:50" ht="11.25" x14ac:dyDescent="0.2">
      <c r="A146" s="34">
        <v>426</v>
      </c>
      <c r="B146" s="88" t="s">
        <v>460</v>
      </c>
      <c r="C146" s="65">
        <v>753</v>
      </c>
      <c r="D146" s="65">
        <v>1780</v>
      </c>
      <c r="E146" s="65">
        <v>3915</v>
      </c>
      <c r="F146" s="65">
        <v>5056</v>
      </c>
      <c r="G146" s="41">
        <v>4522</v>
      </c>
      <c r="H146" s="41">
        <v>5088</v>
      </c>
      <c r="I146" s="41">
        <v>4459.8111600000002</v>
      </c>
      <c r="J146" s="41">
        <f>I146+'Tilikauden tulos'!J146+'9. Tulorahkorjauserät'!J146</f>
        <v>670.43736388429079</v>
      </c>
      <c r="K146" s="41">
        <f>J146+'Tilikauden tulos'!K146+'9. Tulorahkorjauserät'!K146</f>
        <v>973.12601493298644</v>
      </c>
      <c r="L146" s="41">
        <f>K146+'Tilikauden tulos'!L146+'9. Tulorahkorjauserät'!L146</f>
        <v>-898.90669502699802</v>
      </c>
      <c r="M146" s="41">
        <f>L146+'Tilikauden tulos'!M146+'9. Tulorahkorjauserät'!M146</f>
        <v>-5458.9256876090503</v>
      </c>
      <c r="N146" s="41">
        <f>M146+'Tilikauden tulos'!N146+'9. Tulorahkorjauserät'!N146</f>
        <v>-9899.0889335200336</v>
      </c>
      <c r="O146" s="41">
        <f>N146+'Tilikauden tulos'!O146+'9. Tulorahkorjauserät'!O146</f>
        <v>-14084.44394194425</v>
      </c>
      <c r="P146" s="41">
        <f>O146+'Tilikauden tulos'!P146+'9. Tulorahkorjauserät'!P146</f>
        <v>-17149.823532367496</v>
      </c>
      <c r="T146" s="34">
        <v>426</v>
      </c>
      <c r="U146" s="88" t="s">
        <v>460</v>
      </c>
      <c r="V146" s="41">
        <f>C146/'1. Väestöennuste'!E146*1000</f>
        <v>61.030961257902419</v>
      </c>
      <c r="W146" s="41">
        <f>D146/'1. Väestöennuste'!F146*1000</f>
        <v>144.70368262742866</v>
      </c>
      <c r="X146" s="41">
        <f>E146/'1. Väestöennuste'!G146*1000</f>
        <v>322.22222222222223</v>
      </c>
      <c r="Y146" s="41">
        <f>F146/'1. Väestöennuste'!H146*1000</f>
        <v>416.30300535199672</v>
      </c>
      <c r="Z146" s="41">
        <f>G146/'1. Väestöennuste'!I146*1000</f>
        <v>374.2138364779874</v>
      </c>
      <c r="AA146" s="41">
        <f>H146/'1. Väestöennuste'!J146*1000</f>
        <v>424.2121060530265</v>
      </c>
      <c r="AB146" s="41">
        <f>I146/'1. Väestöennuste'!K146*1000</f>
        <v>372.30245930378163</v>
      </c>
      <c r="AC146" s="41">
        <f>J146/'1. Väestöennuste'!L146*1000</f>
        <v>56.047263324217589</v>
      </c>
      <c r="AD146" s="41">
        <f>K146/'1. Väestöennuste'!M146*1000</f>
        <v>81.303869574148763</v>
      </c>
      <c r="AE146" s="41">
        <f>L146/'1. Väestöennuste'!N146*1000</f>
        <v>-76.528749789460079</v>
      </c>
      <c r="AF146" s="41">
        <f>M146/'1. Väestöennuste'!O146*1000</f>
        <v>-467.37377462406255</v>
      </c>
      <c r="AG146" s="41">
        <f>N146/'1. Väestöennuste'!P146*1000</f>
        <v>-852.41444359941727</v>
      </c>
      <c r="AH146" s="41">
        <f>O146/'1. Väestöennuste'!Q146*1000</f>
        <v>-1220.1718740313827</v>
      </c>
      <c r="AI146" s="41">
        <f>P146/'1. Väestöennuste'!R146*1000</f>
        <v>-1495.3198650595079</v>
      </c>
      <c r="AK146" s="41">
        <f t="shared" si="29"/>
        <v>0</v>
      </c>
      <c r="AL146" s="41">
        <f t="shared" si="30"/>
        <v>0</v>
      </c>
      <c r="AM146" s="41">
        <f t="shared" si="31"/>
        <v>0</v>
      </c>
      <c r="AN146" s="41">
        <f t="shared" si="32"/>
        <v>0</v>
      </c>
      <c r="AO146" s="41">
        <f t="shared" si="33"/>
        <v>0</v>
      </c>
      <c r="AP146" s="41">
        <f t="shared" si="34"/>
        <v>0</v>
      </c>
      <c r="AQ146" s="41">
        <f t="shared" si="35"/>
        <v>0</v>
      </c>
      <c r="AR146" s="41">
        <f t="shared" si="36"/>
        <v>0</v>
      </c>
      <c r="AS146" s="41">
        <f t="shared" si="37"/>
        <v>0</v>
      </c>
      <c r="AT146" s="41">
        <f t="shared" si="38"/>
        <v>-1</v>
      </c>
      <c r="AU146" s="41">
        <f t="shared" si="39"/>
        <v>-1</v>
      </c>
      <c r="AV146" s="41">
        <f t="shared" si="40"/>
        <v>-1</v>
      </c>
      <c r="AW146" s="41">
        <f t="shared" si="40"/>
        <v>-1</v>
      </c>
      <c r="AX146" s="41">
        <f t="shared" si="40"/>
        <v>-1</v>
      </c>
    </row>
    <row r="147" spans="1:50" ht="11.25" x14ac:dyDescent="0.2">
      <c r="A147" s="34">
        <v>430</v>
      </c>
      <c r="B147" s="88" t="s">
        <v>461</v>
      </c>
      <c r="C147" s="65">
        <v>2876</v>
      </c>
      <c r="D147" s="65">
        <v>1411</v>
      </c>
      <c r="E147" s="65">
        <v>628</v>
      </c>
      <c r="F147" s="65">
        <v>-4392</v>
      </c>
      <c r="G147" s="41">
        <v>-7586</v>
      </c>
      <c r="H147" s="41">
        <v>136</v>
      </c>
      <c r="I147" s="41">
        <v>2967.8140800000001</v>
      </c>
      <c r="J147" s="41">
        <f>I147+'Tilikauden tulos'!J147+'9. Tulorahkorjauserät'!J147</f>
        <v>4632.2538253534249</v>
      </c>
      <c r="K147" s="41">
        <f>J147+'Tilikauden tulos'!K147+'9. Tulorahkorjauserät'!K147</f>
        <v>8094.3551136385167</v>
      </c>
      <c r="L147" s="41">
        <f>K147+'Tilikauden tulos'!L147+'9. Tulorahkorjauserät'!L147</f>
        <v>9989.0268069666654</v>
      </c>
      <c r="M147" s="41">
        <f>L147+'Tilikauden tulos'!M147+'9. Tulorahkorjauserät'!M147</f>
        <v>9648.2807266122018</v>
      </c>
      <c r="N147" s="41">
        <f>M147+'Tilikauden tulos'!N147+'9. Tulorahkorjauserät'!N147</f>
        <v>9576.7114222515429</v>
      </c>
      <c r="O147" s="41">
        <f>N147+'Tilikauden tulos'!O147+'9. Tulorahkorjauserät'!O147</f>
        <v>9707.5985666452543</v>
      </c>
      <c r="P147" s="41">
        <f>O147+'Tilikauden tulos'!P147+'9. Tulorahkorjauserät'!P147</f>
        <v>11797.751493389211</v>
      </c>
      <c r="T147" s="34">
        <v>430</v>
      </c>
      <c r="U147" s="88" t="s">
        <v>461</v>
      </c>
      <c r="V147" s="41">
        <f>C147/'1. Väestöennuste'!E147*1000</f>
        <v>174.65233497297623</v>
      </c>
      <c r="W147" s="41">
        <f>D147/'1. Väestöennuste'!F147*1000</f>
        <v>86.740025819143042</v>
      </c>
      <c r="X147" s="41">
        <f>E147/'1. Väestöennuste'!G147*1000</f>
        <v>38.88544891640867</v>
      </c>
      <c r="Y147" s="41">
        <f>F147/'1. Väestöennuste'!H147*1000</f>
        <v>-273.95209580838326</v>
      </c>
      <c r="Z147" s="41">
        <f>G147/'1. Väestöennuste'!I147*1000</f>
        <v>-477.85826771653547</v>
      </c>
      <c r="AA147" s="41">
        <f>H147/'1. Väestöennuste'!J147*1000</f>
        <v>8.6239695624603687</v>
      </c>
      <c r="AB147" s="41">
        <f>I147/'1. Väestöennuste'!K147*1000</f>
        <v>189.90363962119275</v>
      </c>
      <c r="AC147" s="41">
        <f>J147/'1. Väestöennuste'!L147*1000</f>
        <v>300.95204166797203</v>
      </c>
      <c r="AD147" s="41">
        <f>K147/'1. Väestöennuste'!M147*1000</f>
        <v>524.92575315424881</v>
      </c>
      <c r="AE147" s="41">
        <f>L147/'1. Väestöennuste'!N147*1000</f>
        <v>656.05062439029723</v>
      </c>
      <c r="AF147" s="41">
        <f>M147/'1. Väestöennuste'!O147*1000</f>
        <v>638.78977268354083</v>
      </c>
      <c r="AG147" s="41">
        <f>N147/'1. Väestöennuste'!P147*1000</f>
        <v>639.00122921542288</v>
      </c>
      <c r="AH147" s="41">
        <f>O147/'1. Väestöennuste'!Q147*1000</f>
        <v>652.65554434888088</v>
      </c>
      <c r="AI147" s="41">
        <f>P147/'1. Väestöennuste'!R147*1000</f>
        <v>799.03498092713926</v>
      </c>
      <c r="AK147" s="41">
        <f t="shared" si="29"/>
        <v>0</v>
      </c>
      <c r="AL147" s="41">
        <f t="shared" si="30"/>
        <v>0</v>
      </c>
      <c r="AM147" s="41">
        <f t="shared" si="31"/>
        <v>0</v>
      </c>
      <c r="AN147" s="41">
        <f t="shared" si="32"/>
        <v>-1</v>
      </c>
      <c r="AO147" s="41">
        <f t="shared" si="33"/>
        <v>-1</v>
      </c>
      <c r="AP147" s="41">
        <f t="shared" si="34"/>
        <v>0</v>
      </c>
      <c r="AQ147" s="41">
        <f t="shared" si="35"/>
        <v>0</v>
      </c>
      <c r="AR147" s="41">
        <f t="shared" si="36"/>
        <v>0</v>
      </c>
      <c r="AS147" s="41">
        <f t="shared" si="37"/>
        <v>0</v>
      </c>
      <c r="AT147" s="41">
        <f t="shared" si="38"/>
        <v>0</v>
      </c>
      <c r="AU147" s="41">
        <f t="shared" si="39"/>
        <v>0</v>
      </c>
      <c r="AV147" s="41">
        <f t="shared" si="40"/>
        <v>0</v>
      </c>
      <c r="AW147" s="41">
        <f t="shared" si="40"/>
        <v>0</v>
      </c>
      <c r="AX147" s="41">
        <f t="shared" si="40"/>
        <v>0</v>
      </c>
    </row>
    <row r="148" spans="1:50" ht="11.25" x14ac:dyDescent="0.2">
      <c r="A148" s="34">
        <v>433</v>
      </c>
      <c r="B148" s="88" t="s">
        <v>462</v>
      </c>
      <c r="C148" s="65">
        <v>11240</v>
      </c>
      <c r="D148" s="65">
        <v>12477</v>
      </c>
      <c r="E148" s="65">
        <v>13743</v>
      </c>
      <c r="F148" s="65">
        <v>12918</v>
      </c>
      <c r="G148" s="41">
        <v>13770</v>
      </c>
      <c r="H148" s="41">
        <v>15894</v>
      </c>
      <c r="I148" s="41">
        <v>18154.19932</v>
      </c>
      <c r="J148" s="41">
        <f>I148+'Tilikauden tulos'!J148+'9. Tulorahkorjauserät'!J148</f>
        <v>18157.644368966277</v>
      </c>
      <c r="K148" s="41">
        <f>J148+'Tilikauden tulos'!K148+'9. Tulorahkorjauserät'!K148</f>
        <v>18923.148980383954</v>
      </c>
      <c r="L148" s="41">
        <f>K148+'Tilikauden tulos'!L148+'9. Tulorahkorjauserät'!L148</f>
        <v>17570.712594247027</v>
      </c>
      <c r="M148" s="41">
        <f>L148+'Tilikauden tulos'!M148+'9. Tulorahkorjauserät'!M148</f>
        <v>15639.378838239056</v>
      </c>
      <c r="N148" s="41">
        <f>M148+'Tilikauden tulos'!N148+'9. Tulorahkorjauserät'!N148</f>
        <v>14224.785994418606</v>
      </c>
      <c r="O148" s="41">
        <f>N148+'Tilikauden tulos'!O148+'9. Tulorahkorjauserät'!O148</f>
        <v>12534.241041097914</v>
      </c>
      <c r="P148" s="41">
        <f>O148+'Tilikauden tulos'!P148+'9. Tulorahkorjauserät'!P148</f>
        <v>11633.723103354987</v>
      </c>
      <c r="T148" s="34">
        <v>433</v>
      </c>
      <c r="U148" s="88" t="s">
        <v>462</v>
      </c>
      <c r="V148" s="41">
        <f>C148/'1. Väestöennuste'!E148*1000</f>
        <v>1374.9235474006116</v>
      </c>
      <c r="W148" s="41">
        <f>D148/'1. Väestöennuste'!F148*1000</f>
        <v>1540.7508026673254</v>
      </c>
      <c r="X148" s="41">
        <f>E148/'1. Väestöennuste'!G148*1000</f>
        <v>1711.8834080717488</v>
      </c>
      <c r="Y148" s="41">
        <f>F148/'1. Väestöennuste'!H148*1000</f>
        <v>1643.3023788322096</v>
      </c>
      <c r="Z148" s="41">
        <f>G148/'1. Väestöennuste'!I148*1000</f>
        <v>1759.070005109862</v>
      </c>
      <c r="AA148" s="41">
        <f>H148/'1. Väestöennuste'!J148*1000</f>
        <v>2023.9398955813065</v>
      </c>
      <c r="AB148" s="41">
        <f>I148/'1. Väestöennuste'!K148*1000</f>
        <v>2327.7598820361582</v>
      </c>
      <c r="AC148" s="41">
        <f>J148/'1. Väestöennuste'!L148*1000</f>
        <v>2343.224205570561</v>
      </c>
      <c r="AD148" s="41">
        <f>K148/'1. Väestöennuste'!M148*1000</f>
        <v>2460.1077717607845</v>
      </c>
      <c r="AE148" s="41">
        <f>L148/'1. Väestöennuste'!N148*1000</f>
        <v>2297.7262448341867</v>
      </c>
      <c r="AF148" s="41">
        <f>M148/'1. Väestöennuste'!O148*1000</f>
        <v>2057.0010309402942</v>
      </c>
      <c r="AG148" s="41">
        <f>N148/'1. Väestöennuste'!P148*1000</f>
        <v>1882.3324063012578</v>
      </c>
      <c r="AH148" s="41">
        <f>O148/'1. Väestöennuste'!Q148*1000</f>
        <v>1667.8963461208136</v>
      </c>
      <c r="AI148" s="41">
        <f>P148/'1. Väestöennuste'!R148*1000</f>
        <v>1557.1841926589464</v>
      </c>
      <c r="AK148" s="41">
        <f t="shared" si="29"/>
        <v>0</v>
      </c>
      <c r="AL148" s="41">
        <f t="shared" si="30"/>
        <v>0</v>
      </c>
      <c r="AM148" s="41">
        <f t="shared" si="31"/>
        <v>0</v>
      </c>
      <c r="AN148" s="41">
        <f t="shared" si="32"/>
        <v>0</v>
      </c>
      <c r="AO148" s="41">
        <f t="shared" si="33"/>
        <v>0</v>
      </c>
      <c r="AP148" s="41">
        <f t="shared" si="34"/>
        <v>0</v>
      </c>
      <c r="AQ148" s="41">
        <f t="shared" si="35"/>
        <v>0</v>
      </c>
      <c r="AR148" s="41">
        <f t="shared" si="36"/>
        <v>0</v>
      </c>
      <c r="AS148" s="41">
        <f t="shared" si="37"/>
        <v>0</v>
      </c>
      <c r="AT148" s="41">
        <f t="shared" si="38"/>
        <v>0</v>
      </c>
      <c r="AU148" s="41">
        <f t="shared" si="39"/>
        <v>0</v>
      </c>
      <c r="AV148" s="41">
        <f t="shared" si="40"/>
        <v>0</v>
      </c>
      <c r="AW148" s="41">
        <f t="shared" si="40"/>
        <v>0</v>
      </c>
      <c r="AX148" s="41">
        <f t="shared" si="40"/>
        <v>0</v>
      </c>
    </row>
    <row r="149" spans="1:50" ht="11.25" x14ac:dyDescent="0.2">
      <c r="A149" s="34">
        <v>434</v>
      </c>
      <c r="B149" s="88" t="s">
        <v>463</v>
      </c>
      <c r="C149" s="65">
        <v>16832</v>
      </c>
      <c r="D149" s="65">
        <v>17367</v>
      </c>
      <c r="E149" s="65">
        <v>17885</v>
      </c>
      <c r="F149" s="65">
        <v>11160</v>
      </c>
      <c r="G149" s="41">
        <v>2049</v>
      </c>
      <c r="H149" s="41">
        <v>6289</v>
      </c>
      <c r="I149" s="41">
        <v>10840.5368</v>
      </c>
      <c r="J149" s="41">
        <f>I149+'Tilikauden tulos'!J149+'9. Tulorahkorjauserät'!J149</f>
        <v>12431.678714059133</v>
      </c>
      <c r="K149" s="41">
        <f>J149+'Tilikauden tulos'!K149+'9. Tulorahkorjauserät'!K149</f>
        <v>15348.077107797544</v>
      </c>
      <c r="L149" s="41">
        <f>K149+'Tilikauden tulos'!L149+'9. Tulorahkorjauserät'!L149</f>
        <v>15438.691778067896</v>
      </c>
      <c r="M149" s="41">
        <f>L149+'Tilikauden tulos'!M149+'9. Tulorahkorjauserät'!M149</f>
        <v>13461.04391782418</v>
      </c>
      <c r="N149" s="41">
        <f>M149+'Tilikauden tulos'!N149+'9. Tulorahkorjauserät'!N149</f>
        <v>-60037.111598996198</v>
      </c>
      <c r="O149" s="41">
        <f>N149+'Tilikauden tulos'!O149+'9. Tulorahkorjauserät'!O149</f>
        <v>-135424.84334935213</v>
      </c>
      <c r="P149" s="41">
        <f>O149+'Tilikauden tulos'!P149+'9. Tulorahkorjauserät'!P149</f>
        <v>-212142.04855486087</v>
      </c>
      <c r="T149" s="34">
        <v>434</v>
      </c>
      <c r="U149" s="88" t="s">
        <v>463</v>
      </c>
      <c r="V149" s="41">
        <f>C149/'1. Väestöennuste'!E149*1000</f>
        <v>1099.3403435438574</v>
      </c>
      <c r="W149" s="41">
        <f>D149/'1. Väestöennuste'!F149*1000</f>
        <v>1141.964755391899</v>
      </c>
      <c r="X149" s="41">
        <f>E149/'1. Väestöennuste'!G149*1000</f>
        <v>1185.6148491879351</v>
      </c>
      <c r="Y149" s="41">
        <f>F149/'1. Väestöennuste'!H149*1000</f>
        <v>749.44597407830236</v>
      </c>
      <c r="Z149" s="41">
        <f>G149/'1. Väestöennuste'!I149*1000</f>
        <v>138.70836718115353</v>
      </c>
      <c r="AA149" s="41">
        <f>H149/'1. Väestöennuste'!J149*1000</f>
        <v>426.51746354696508</v>
      </c>
      <c r="AB149" s="41">
        <f>I149/'1. Väestöennuste'!K149*1000</f>
        <v>740.3221197841973</v>
      </c>
      <c r="AC149" s="41">
        <f>J149/'1. Väestöennuste'!L149*1000</f>
        <v>853.35521101449297</v>
      </c>
      <c r="AD149" s="41">
        <f>K149/'1. Väestöennuste'!M149*1000</f>
        <v>1061.5629483882656</v>
      </c>
      <c r="AE149" s="41">
        <f>L149/'1. Väestöennuste'!N149*1000</f>
        <v>1077.7446267412142</v>
      </c>
      <c r="AF149" s="41">
        <f>M149/'1. Väestöennuste'!O149*1000</f>
        <v>945.4308131636592</v>
      </c>
      <c r="AG149" s="41">
        <f>N149/'1. Väestöennuste'!P149*1000</f>
        <v>-4242.0060481167384</v>
      </c>
      <c r="AH149" s="41">
        <f>O149/'1. Väestöennuste'!Q149*1000</f>
        <v>-9619.608136763185</v>
      </c>
      <c r="AI149" s="41">
        <f>P149/'1. Väestöennuste'!R149*1000</f>
        <v>-15144.349554173392</v>
      </c>
      <c r="AK149" s="41">
        <f t="shared" si="29"/>
        <v>0</v>
      </c>
      <c r="AL149" s="41">
        <f t="shared" si="30"/>
        <v>0</v>
      </c>
      <c r="AM149" s="41">
        <f t="shared" si="31"/>
        <v>0</v>
      </c>
      <c r="AN149" s="41">
        <f t="shared" si="32"/>
        <v>0</v>
      </c>
      <c r="AO149" s="41">
        <f t="shared" si="33"/>
        <v>0</v>
      </c>
      <c r="AP149" s="41">
        <f t="shared" si="34"/>
        <v>0</v>
      </c>
      <c r="AQ149" s="41">
        <f t="shared" si="35"/>
        <v>0</v>
      </c>
      <c r="AR149" s="41">
        <f t="shared" si="36"/>
        <v>0</v>
      </c>
      <c r="AS149" s="41">
        <f t="shared" si="37"/>
        <v>0</v>
      </c>
      <c r="AT149" s="41">
        <f t="shared" si="38"/>
        <v>0</v>
      </c>
      <c r="AU149" s="41">
        <f t="shared" si="39"/>
        <v>0</v>
      </c>
      <c r="AV149" s="41">
        <f t="shared" si="40"/>
        <v>-1</v>
      </c>
      <c r="AW149" s="41">
        <f t="shared" si="40"/>
        <v>-1</v>
      </c>
      <c r="AX149" s="41">
        <f t="shared" si="40"/>
        <v>-1</v>
      </c>
    </row>
    <row r="150" spans="1:50" ht="11.25" x14ac:dyDescent="0.2">
      <c r="A150" s="34">
        <v>435</v>
      </c>
      <c r="B150" s="88" t="s">
        <v>464</v>
      </c>
      <c r="C150" s="65">
        <v>2167</v>
      </c>
      <c r="D150" s="65">
        <v>2268</v>
      </c>
      <c r="E150" s="65">
        <v>2674</v>
      </c>
      <c r="F150" s="65">
        <v>2979</v>
      </c>
      <c r="G150" s="41">
        <v>1677</v>
      </c>
      <c r="H150" s="41">
        <v>2331</v>
      </c>
      <c r="I150" s="41">
        <v>2624.33689</v>
      </c>
      <c r="J150" s="41">
        <f>I150+'Tilikauden tulos'!J150+'9. Tulorahkorjauserät'!J150</f>
        <v>2579.6647255623825</v>
      </c>
      <c r="K150" s="41">
        <f>J150+'Tilikauden tulos'!K150+'9. Tulorahkorjauserät'!K150</f>
        <v>2289.2513784659795</v>
      </c>
      <c r="L150" s="41">
        <f>K150+'Tilikauden tulos'!L150+'9. Tulorahkorjauserät'!L150</f>
        <v>2042.315818268461</v>
      </c>
      <c r="M150" s="41">
        <f>L150+'Tilikauden tulos'!M150+'9. Tulorahkorjauserät'!M150</f>
        <v>1749.4425620581712</v>
      </c>
      <c r="N150" s="41">
        <f>M150+'Tilikauden tulos'!N150+'9. Tulorahkorjauserät'!N150</f>
        <v>1384.3347067724517</v>
      </c>
      <c r="O150" s="41">
        <f>N150+'Tilikauden tulos'!O150+'9. Tulorahkorjauserät'!O150</f>
        <v>964.00456373088298</v>
      </c>
      <c r="P150" s="41">
        <f>O150+'Tilikauden tulos'!P150+'9. Tulorahkorjauserät'!P150</f>
        <v>532.7974446936197</v>
      </c>
      <c r="T150" s="34">
        <v>435</v>
      </c>
      <c r="U150" s="88" t="s">
        <v>464</v>
      </c>
      <c r="V150" s="41">
        <f>C150/'1. Väestöennuste'!E150*1000</f>
        <v>2847.5689881734556</v>
      </c>
      <c r="W150" s="41">
        <f>D150/'1. Väestöennuste'!F150*1000</f>
        <v>3000</v>
      </c>
      <c r="X150" s="41">
        <f>E150/'1. Väestöennuste'!G150*1000</f>
        <v>3643.0517711171665</v>
      </c>
      <c r="Y150" s="41">
        <f>F150/'1. Väestöennuste'!H150*1000</f>
        <v>4213.5785007072136</v>
      </c>
      <c r="Z150" s="41">
        <f>G150/'1. Väestöennuste'!I150*1000</f>
        <v>2430.4347826086955</v>
      </c>
      <c r="AA150" s="41">
        <f>H150/'1. Väestöennuste'!J150*1000</f>
        <v>3334.763948497854</v>
      </c>
      <c r="AB150" s="41">
        <f>I150/'1. Väestöennuste'!K150*1000</f>
        <v>3733.0538975817926</v>
      </c>
      <c r="AC150" s="41">
        <f>J150/'1. Väestöennuste'!L150*1000</f>
        <v>3727.8391987895702</v>
      </c>
      <c r="AD150" s="41">
        <f>K150/'1. Väestöennuste'!M150*1000</f>
        <v>3261.0418496666375</v>
      </c>
      <c r="AE150" s="41">
        <f>L150/'1. Väestöennuste'!N150*1000</f>
        <v>2972.803228920613</v>
      </c>
      <c r="AF150" s="41">
        <f>M150/'1. Väestöennuste'!O150*1000</f>
        <v>2561.4093148728716</v>
      </c>
      <c r="AG150" s="41">
        <f>N150/'1. Väestöennuste'!P150*1000</f>
        <v>2026.8443730196948</v>
      </c>
      <c r="AH150" s="41">
        <f>O150/'1. Väestöennuste'!Q150*1000</f>
        <v>1417.6537701924749</v>
      </c>
      <c r="AI150" s="41">
        <f>P150/'1. Väestöennuste'!R150*1000</f>
        <v>784.67959454141339</v>
      </c>
      <c r="AK150" s="41">
        <f t="shared" si="29"/>
        <v>0</v>
      </c>
      <c r="AL150" s="41">
        <f t="shared" si="30"/>
        <v>0</v>
      </c>
      <c r="AM150" s="41">
        <f t="shared" si="31"/>
        <v>0</v>
      </c>
      <c r="AN150" s="41">
        <f t="shared" si="32"/>
        <v>0</v>
      </c>
      <c r="AO150" s="41">
        <f t="shared" si="33"/>
        <v>0</v>
      </c>
      <c r="AP150" s="41">
        <f t="shared" si="34"/>
        <v>0</v>
      </c>
      <c r="AQ150" s="41">
        <f t="shared" si="35"/>
        <v>0</v>
      </c>
      <c r="AR150" s="41">
        <f t="shared" si="36"/>
        <v>0</v>
      </c>
      <c r="AS150" s="41">
        <f t="shared" si="37"/>
        <v>0</v>
      </c>
      <c r="AT150" s="41">
        <f t="shared" si="38"/>
        <v>0</v>
      </c>
      <c r="AU150" s="41">
        <f t="shared" si="39"/>
        <v>0</v>
      </c>
      <c r="AV150" s="41">
        <f t="shared" si="40"/>
        <v>0</v>
      </c>
      <c r="AW150" s="41">
        <f t="shared" si="40"/>
        <v>0</v>
      </c>
      <c r="AX150" s="41">
        <f t="shared" si="40"/>
        <v>0</v>
      </c>
    </row>
    <row r="151" spans="1:50" ht="11.25" x14ac:dyDescent="0.2">
      <c r="A151" s="34">
        <v>436</v>
      </c>
      <c r="B151" s="88" t="s">
        <v>465</v>
      </c>
      <c r="C151" s="65">
        <v>304</v>
      </c>
      <c r="D151" s="65">
        <v>373</v>
      </c>
      <c r="E151" s="65">
        <v>430</v>
      </c>
      <c r="F151" s="65">
        <v>581</v>
      </c>
      <c r="G151" s="41">
        <v>672</v>
      </c>
      <c r="H151" s="41">
        <v>756</v>
      </c>
      <c r="I151" s="41">
        <v>876.58083999999997</v>
      </c>
      <c r="J151" s="41">
        <f>I151+'Tilikauden tulos'!J151+'9. Tulorahkorjauserät'!J151</f>
        <v>-39.755233789146779</v>
      </c>
      <c r="K151" s="41">
        <f>J151+'Tilikauden tulos'!K151+'9. Tulorahkorjauserät'!K151</f>
        <v>495.36932379070521</v>
      </c>
      <c r="L151" s="41">
        <f>K151+'Tilikauden tulos'!L151+'9. Tulorahkorjauserät'!L151</f>
        <v>-293.74857314783816</v>
      </c>
      <c r="M151" s="41">
        <f>L151+'Tilikauden tulos'!M151+'9. Tulorahkorjauserät'!M151</f>
        <v>-1890.8623679961934</v>
      </c>
      <c r="N151" s="41">
        <f>M151+'Tilikauden tulos'!N151+'9. Tulorahkorjauserät'!N151</f>
        <v>-3042.1571285234695</v>
      </c>
      <c r="O151" s="41">
        <f>N151+'Tilikauden tulos'!O151+'9. Tulorahkorjauserät'!O151</f>
        <v>-4301.5530147380523</v>
      </c>
      <c r="P151" s="41">
        <f>O151+'Tilikauden tulos'!P151+'9. Tulorahkorjauserät'!P151</f>
        <v>-5593.3358677452024</v>
      </c>
      <c r="T151" s="34">
        <v>436</v>
      </c>
      <c r="U151" s="88" t="s">
        <v>465</v>
      </c>
      <c r="V151" s="41">
        <f>C151/'1. Väestöennuste'!E151*1000</f>
        <v>146.43545279383429</v>
      </c>
      <c r="W151" s="41">
        <f>D151/'1. Väestöennuste'!F151*1000</f>
        <v>177.19714964370547</v>
      </c>
      <c r="X151" s="41">
        <f>E151/'1. Väestöennuste'!G151*1000</f>
        <v>206.63142719846229</v>
      </c>
      <c r="Y151" s="41">
        <f>F151/'1. Väestöennuste'!H151*1000</f>
        <v>283.13840155945417</v>
      </c>
      <c r="Z151" s="41">
        <f>G151/'1. Väestöennuste'!I151*1000</f>
        <v>332.67326732673268</v>
      </c>
      <c r="AA151" s="41">
        <f>H151/'1. Väestöennuste'!J151*1000</f>
        <v>371.31630648330059</v>
      </c>
      <c r="AB151" s="41">
        <f>I151/'1. Väestöennuste'!K151*1000</f>
        <v>434.38099108027751</v>
      </c>
      <c r="AC151" s="41">
        <f>J151/'1. Väestöennuste'!L151*1000</f>
        <v>-19.997602509631179</v>
      </c>
      <c r="AD151" s="41">
        <f>K151/'1. Väestöennuste'!M151*1000</f>
        <v>243.66420255322441</v>
      </c>
      <c r="AE151" s="41">
        <f>L151/'1. Väestöennuste'!N151*1000</f>
        <v>-145.56420869565815</v>
      </c>
      <c r="AF151" s="41">
        <f>M151/'1. Väestöennuste'!O151*1000</f>
        <v>-941.19580288511361</v>
      </c>
      <c r="AG151" s="41">
        <f>N151/'1. Väestöennuste'!P151*1000</f>
        <v>-1518.0424793031284</v>
      </c>
      <c r="AH151" s="41">
        <f>O151/'1. Väestöennuste'!Q151*1000</f>
        <v>-2154.0075186469967</v>
      </c>
      <c r="AI151" s="41">
        <f>P151/'1. Väestöennuste'!R151*1000</f>
        <v>-2807.8995320006034</v>
      </c>
      <c r="AK151" s="41">
        <f t="shared" si="29"/>
        <v>0</v>
      </c>
      <c r="AL151" s="41">
        <f t="shared" si="30"/>
        <v>0</v>
      </c>
      <c r="AM151" s="41">
        <f t="shared" si="31"/>
        <v>0</v>
      </c>
      <c r="AN151" s="41">
        <f t="shared" si="32"/>
        <v>0</v>
      </c>
      <c r="AO151" s="41">
        <f t="shared" si="33"/>
        <v>0</v>
      </c>
      <c r="AP151" s="41">
        <f t="shared" si="34"/>
        <v>0</v>
      </c>
      <c r="AQ151" s="41">
        <f t="shared" si="35"/>
        <v>0</v>
      </c>
      <c r="AR151" s="41">
        <f t="shared" si="36"/>
        <v>-1</v>
      </c>
      <c r="AS151" s="41">
        <f t="shared" si="37"/>
        <v>0</v>
      </c>
      <c r="AT151" s="41">
        <f t="shared" si="38"/>
        <v>-1</v>
      </c>
      <c r="AU151" s="41">
        <f t="shared" si="39"/>
        <v>-1</v>
      </c>
      <c r="AV151" s="41">
        <f t="shared" si="40"/>
        <v>-1</v>
      </c>
      <c r="AW151" s="41">
        <f t="shared" si="40"/>
        <v>-1</v>
      </c>
      <c r="AX151" s="41">
        <f t="shared" si="40"/>
        <v>-1</v>
      </c>
    </row>
    <row r="152" spans="1:50" ht="11.25" x14ac:dyDescent="0.2">
      <c r="A152" s="34">
        <v>440</v>
      </c>
      <c r="B152" s="88" t="s">
        <v>466</v>
      </c>
      <c r="C152" s="65">
        <v>13190</v>
      </c>
      <c r="D152" s="65">
        <v>15044</v>
      </c>
      <c r="E152" s="65">
        <v>16215</v>
      </c>
      <c r="F152" s="65">
        <v>16223</v>
      </c>
      <c r="G152" s="41">
        <v>14901</v>
      </c>
      <c r="H152" s="41">
        <v>16423</v>
      </c>
      <c r="I152" s="41">
        <v>18142.498379999997</v>
      </c>
      <c r="J152" s="41">
        <f>I152+'Tilikauden tulos'!J152+'9. Tulorahkorjauserät'!J152</f>
        <v>18878.326274181127</v>
      </c>
      <c r="K152" s="41">
        <f>J152+'Tilikauden tulos'!K152+'9. Tulorahkorjauserät'!K152</f>
        <v>18829.809348069706</v>
      </c>
      <c r="L152" s="41">
        <f>K152+'Tilikauden tulos'!L152+'9. Tulorahkorjauserät'!L152</f>
        <v>19004.578625063579</v>
      </c>
      <c r="M152" s="41">
        <f>L152+'Tilikauden tulos'!M152+'9. Tulorahkorjauserät'!M152</f>
        <v>19624.157042559145</v>
      </c>
      <c r="N152" s="41">
        <f>M152+'Tilikauden tulos'!N152+'9. Tulorahkorjauserät'!N152</f>
        <v>19988.510007213583</v>
      </c>
      <c r="O152" s="41">
        <f>N152+'Tilikauden tulos'!O152+'9. Tulorahkorjauserät'!O152</f>
        <v>20547.936944991936</v>
      </c>
      <c r="P152" s="41">
        <f>O152+'Tilikauden tulos'!P152+'9. Tulorahkorjauserät'!P152</f>
        <v>21713.703353398872</v>
      </c>
      <c r="T152" s="34">
        <v>440</v>
      </c>
      <c r="U152" s="88" t="s">
        <v>466</v>
      </c>
      <c r="V152" s="41">
        <f>C152/'1. Väestöennuste'!E152*1000</f>
        <v>2562.6578589469595</v>
      </c>
      <c r="W152" s="41">
        <f>D152/'1. Väestöennuste'!F152*1000</f>
        <v>2906.4914992272024</v>
      </c>
      <c r="X152" s="41">
        <f>E152/'1. Väestöennuste'!G152*1000</f>
        <v>3080.3571428571427</v>
      </c>
      <c r="Y152" s="41">
        <f>F152/'1. Väestöennuste'!H152*1000</f>
        <v>3038.0149812734085</v>
      </c>
      <c r="Z152" s="41">
        <f>G152/'1. Väestöennuste'!I152*1000</f>
        <v>2750.7845671035625</v>
      </c>
      <c r="AA152" s="41">
        <f>H152/'1. Väestöennuste'!J152*1000</f>
        <v>2967.6544994578967</v>
      </c>
      <c r="AB152" s="41">
        <f>I152/'1. Väestöennuste'!K152*1000</f>
        <v>3227.0541408751328</v>
      </c>
      <c r="AC152" s="41">
        <f>J152/'1. Väestöennuste'!L152*1000</f>
        <v>3293.4972564865889</v>
      </c>
      <c r="AD152" s="41">
        <f>K152/'1. Väestöennuste'!M152*1000</f>
        <v>3222.6269635580534</v>
      </c>
      <c r="AE152" s="41">
        <f>L152/'1. Väestöennuste'!N152*1000</f>
        <v>3240.3373614771663</v>
      </c>
      <c r="AF152" s="41">
        <f>M152/'1. Väestöennuste'!O152*1000</f>
        <v>3305.3995355497968</v>
      </c>
      <c r="AG152" s="41">
        <f>N152/'1. Väestöennuste'!P152*1000</f>
        <v>3327.5362089584787</v>
      </c>
      <c r="AH152" s="41">
        <f>O152/'1. Väestöennuste'!Q152*1000</f>
        <v>3382.3764518505245</v>
      </c>
      <c r="AI152" s="41">
        <f>P152/'1. Väestöennuste'!R152*1000</f>
        <v>3537.0098311449542</v>
      </c>
      <c r="AK152" s="41">
        <f t="shared" si="29"/>
        <v>0</v>
      </c>
      <c r="AL152" s="41">
        <f t="shared" si="30"/>
        <v>0</v>
      </c>
      <c r="AM152" s="41">
        <f t="shared" si="31"/>
        <v>0</v>
      </c>
      <c r="AN152" s="41">
        <f t="shared" si="32"/>
        <v>0</v>
      </c>
      <c r="AO152" s="41">
        <f t="shared" si="33"/>
        <v>0</v>
      </c>
      <c r="AP152" s="41">
        <f t="shared" si="34"/>
        <v>0</v>
      </c>
      <c r="AQ152" s="41">
        <f t="shared" si="35"/>
        <v>0</v>
      </c>
      <c r="AR152" s="41">
        <f t="shared" si="36"/>
        <v>0</v>
      </c>
      <c r="AS152" s="41">
        <f t="shared" si="37"/>
        <v>0</v>
      </c>
      <c r="AT152" s="41">
        <f t="shared" si="38"/>
        <v>0</v>
      </c>
      <c r="AU152" s="41">
        <f t="shared" si="39"/>
        <v>0</v>
      </c>
      <c r="AV152" s="41">
        <f t="shared" si="40"/>
        <v>0</v>
      </c>
      <c r="AW152" s="41">
        <f t="shared" si="40"/>
        <v>0</v>
      </c>
      <c r="AX152" s="41">
        <f t="shared" si="40"/>
        <v>0</v>
      </c>
    </row>
    <row r="153" spans="1:50" ht="11.25" x14ac:dyDescent="0.2">
      <c r="A153" s="34">
        <v>441</v>
      </c>
      <c r="B153" s="88" t="s">
        <v>467</v>
      </c>
      <c r="C153" s="65">
        <v>15346</v>
      </c>
      <c r="D153" s="65">
        <v>14249</v>
      </c>
      <c r="E153" s="65">
        <v>15204</v>
      </c>
      <c r="F153" s="65">
        <v>13391</v>
      </c>
      <c r="G153" s="41">
        <v>12716</v>
      </c>
      <c r="H153" s="41">
        <v>12827</v>
      </c>
      <c r="I153" s="41">
        <v>14207.832039999999</v>
      </c>
      <c r="J153" s="41">
        <f>I153+'Tilikauden tulos'!J153+'9. Tulorahkorjauserät'!J153</f>
        <v>12435.454916334051</v>
      </c>
      <c r="K153" s="41">
        <f>J153+'Tilikauden tulos'!K153+'9. Tulorahkorjauserät'!K153</f>
        <v>11527.449615059833</v>
      </c>
      <c r="L153" s="41">
        <f>K153+'Tilikauden tulos'!L153+'9. Tulorahkorjauserät'!L153</f>
        <v>10347.69884478831</v>
      </c>
      <c r="M153" s="41">
        <f>L153+'Tilikauden tulos'!M153+'9. Tulorahkorjauserät'!M153</f>
        <v>8955.2480563059926</v>
      </c>
      <c r="N153" s="41">
        <f>M153+'Tilikauden tulos'!N153+'9. Tulorahkorjauserät'!N153</f>
        <v>7652.4347799262541</v>
      </c>
      <c r="O153" s="41">
        <f>N153+'Tilikauden tulos'!O153+'9. Tulorahkorjauserät'!O153</f>
        <v>6244.4784737256605</v>
      </c>
      <c r="P153" s="41">
        <f>O153+'Tilikauden tulos'!P153+'9. Tulorahkorjauserät'!P153</f>
        <v>5139.9622963084912</v>
      </c>
      <c r="T153" s="34">
        <v>441</v>
      </c>
      <c r="U153" s="88" t="s">
        <v>467</v>
      </c>
      <c r="V153" s="41">
        <f>C153/'1. Väestöennuste'!E153*1000</f>
        <v>3157.6131687242801</v>
      </c>
      <c r="W153" s="41">
        <f>D153/'1. Väestöennuste'!F153*1000</f>
        <v>2949.4928586214037</v>
      </c>
      <c r="X153" s="41">
        <f>E153/'1. Väestöennuste'!G153*1000</f>
        <v>3202.8649673477985</v>
      </c>
      <c r="Y153" s="41">
        <f>F153/'1. Väestöennuste'!H153*1000</f>
        <v>2872.3723723723724</v>
      </c>
      <c r="Z153" s="41">
        <f>G153/'1. Väestöennuste'!I153*1000</f>
        <v>2742.881794650561</v>
      </c>
      <c r="AA153" s="41">
        <f>H153/'1. Väestöennuste'!J153*1000</f>
        <v>2823.464670922298</v>
      </c>
      <c r="AB153" s="41">
        <f>I153/'1. Väestöennuste'!K153*1000</f>
        <v>3176.3541336910348</v>
      </c>
      <c r="AC153" s="41">
        <f>J153/'1. Väestöennuste'!L153*1000</f>
        <v>2812.8149550631192</v>
      </c>
      <c r="AD153" s="41">
        <f>K153/'1. Väestöennuste'!M153*1000</f>
        <v>2622.2587841355398</v>
      </c>
      <c r="AE153" s="41">
        <f>L153/'1. Väestöennuste'!N153*1000</f>
        <v>2408.6822264404823</v>
      </c>
      <c r="AF153" s="41">
        <f>M153/'1. Väestöennuste'!O153*1000</f>
        <v>2109.5990709790321</v>
      </c>
      <c r="AG153" s="41">
        <f>N153/'1. Väestöennuste'!P153*1000</f>
        <v>1822.8763172763827</v>
      </c>
      <c r="AH153" s="41">
        <f>O153/'1. Väestöennuste'!Q153*1000</f>
        <v>1504.6936081266651</v>
      </c>
      <c r="AI153" s="41">
        <f>P153/'1. Väestöennuste'!R153*1000</f>
        <v>1252.7327068750892</v>
      </c>
      <c r="AK153" s="41">
        <f t="shared" si="29"/>
        <v>0</v>
      </c>
      <c r="AL153" s="41">
        <f t="shared" si="30"/>
        <v>0</v>
      </c>
      <c r="AM153" s="41">
        <f t="shared" si="31"/>
        <v>0</v>
      </c>
      <c r="AN153" s="41">
        <f t="shared" si="32"/>
        <v>0</v>
      </c>
      <c r="AO153" s="41">
        <f t="shared" si="33"/>
        <v>0</v>
      </c>
      <c r="AP153" s="41">
        <f t="shared" si="34"/>
        <v>0</v>
      </c>
      <c r="AQ153" s="41">
        <f t="shared" si="35"/>
        <v>0</v>
      </c>
      <c r="AR153" s="41">
        <f t="shared" si="36"/>
        <v>0</v>
      </c>
      <c r="AS153" s="41">
        <f t="shared" si="37"/>
        <v>0</v>
      </c>
      <c r="AT153" s="41">
        <f t="shared" si="38"/>
        <v>0</v>
      </c>
      <c r="AU153" s="41">
        <f t="shared" si="39"/>
        <v>0</v>
      </c>
      <c r="AV153" s="41">
        <f t="shared" si="40"/>
        <v>0</v>
      </c>
      <c r="AW153" s="41">
        <f t="shared" si="40"/>
        <v>0</v>
      </c>
      <c r="AX153" s="41">
        <f t="shared" si="40"/>
        <v>0</v>
      </c>
    </row>
    <row r="154" spans="1:50" ht="11.25" x14ac:dyDescent="0.2">
      <c r="A154" s="34">
        <v>444</v>
      </c>
      <c r="B154" s="88" t="s">
        <v>468</v>
      </c>
      <c r="C154" s="65">
        <v>6881</v>
      </c>
      <c r="D154" s="65">
        <v>8594</v>
      </c>
      <c r="E154" s="65">
        <v>10033</v>
      </c>
      <c r="F154" s="65">
        <v>235</v>
      </c>
      <c r="G154" s="41">
        <v>-9215</v>
      </c>
      <c r="H154" s="41">
        <v>5198</v>
      </c>
      <c r="I154" s="41">
        <v>21723.52203</v>
      </c>
      <c r="J154" s="41">
        <f>I154+'Tilikauden tulos'!J154+'9. Tulorahkorjauserät'!J154</f>
        <v>29061.711464985216</v>
      </c>
      <c r="K154" s="41">
        <f>J154+'Tilikauden tulos'!K154+'9. Tulorahkorjauserät'!K154</f>
        <v>44898.187124222663</v>
      </c>
      <c r="L154" s="41">
        <f>K154+'Tilikauden tulos'!L154+'9. Tulorahkorjauserät'!L154</f>
        <v>48546.700108538244</v>
      </c>
      <c r="M154" s="41">
        <f>L154+'Tilikauden tulos'!M154+'9. Tulorahkorjauserät'!M154</f>
        <v>48505.522764219437</v>
      </c>
      <c r="N154" s="41">
        <f>M154+'Tilikauden tulos'!N154+'9. Tulorahkorjauserät'!N154</f>
        <v>46915.962781005874</v>
      </c>
      <c r="O154" s="41">
        <f>N154+'Tilikauden tulos'!O154+'9. Tulorahkorjauserät'!O154</f>
        <v>45159.790817536181</v>
      </c>
      <c r="P154" s="41">
        <f>O154+'Tilikauden tulos'!P154+'9. Tulorahkorjauserät'!P154</f>
        <v>47072.192536271948</v>
      </c>
      <c r="T154" s="34">
        <v>444</v>
      </c>
      <c r="U154" s="88" t="s">
        <v>468</v>
      </c>
      <c r="V154" s="41">
        <f>C154/'1. Väestöennuste'!E154*1000</f>
        <v>145.31286296538761</v>
      </c>
      <c r="W154" s="41">
        <f>D154/'1. Väestöennuste'!F154*1000</f>
        <v>182.27321894419819</v>
      </c>
      <c r="X154" s="41">
        <f>E154/'1. Väestöennuste'!G154*1000</f>
        <v>214.44907555840547</v>
      </c>
      <c r="Y154" s="41">
        <f>F154/'1. Väestöennuste'!H154*1000</f>
        <v>5.0760324866079136</v>
      </c>
      <c r="Z154" s="41">
        <f>G154/'1. Väestöennuste'!I154*1000</f>
        <v>-200.47862504079191</v>
      </c>
      <c r="AA154" s="41">
        <f>H154/'1. Väestöennuste'!J154*1000</f>
        <v>113.2807392232925</v>
      </c>
      <c r="AB154" s="41">
        <f>I154/'1. Väestöennuste'!K154*1000</f>
        <v>472.37370683656604</v>
      </c>
      <c r="AC154" s="41">
        <f>J154/'1. Väestöennuste'!L154*1000</f>
        <v>634.38282213846492</v>
      </c>
      <c r="AD154" s="41">
        <f>K154/'1. Väestöennuste'!M154*1000</f>
        <v>983.63867070265439</v>
      </c>
      <c r="AE154" s="41">
        <f>L154/'1. Väestöennuste'!N154*1000</f>
        <v>1081.2905118056494</v>
      </c>
      <c r="AF154" s="41">
        <f>M154/'1. Väestöennuste'!O154*1000</f>
        <v>1085.8878140146285</v>
      </c>
      <c r="AG154" s="41">
        <f>N154/'1. Väestöennuste'!P154*1000</f>
        <v>1055.4534831838625</v>
      </c>
      <c r="AH154" s="41">
        <f>O154/'1. Väestöennuste'!Q154*1000</f>
        <v>1020.7217145658336</v>
      </c>
      <c r="AI154" s="41">
        <f>P154/'1. Väestöennuste'!R154*1000</f>
        <v>1068.6810120160726</v>
      </c>
      <c r="AK154" s="41">
        <f t="shared" si="29"/>
        <v>0</v>
      </c>
      <c r="AL154" s="41">
        <f t="shared" si="30"/>
        <v>0</v>
      </c>
      <c r="AM154" s="41">
        <f t="shared" si="31"/>
        <v>0</v>
      </c>
      <c r="AN154" s="41">
        <f t="shared" si="32"/>
        <v>0</v>
      </c>
      <c r="AO154" s="41">
        <f t="shared" si="33"/>
        <v>-1</v>
      </c>
      <c r="AP154" s="41">
        <f t="shared" si="34"/>
        <v>0</v>
      </c>
      <c r="AQ154" s="41">
        <f t="shared" si="35"/>
        <v>0</v>
      </c>
      <c r="AR154" s="41">
        <f t="shared" si="36"/>
        <v>0</v>
      </c>
      <c r="AS154" s="41">
        <f t="shared" si="37"/>
        <v>0</v>
      </c>
      <c r="AT154" s="41">
        <f t="shared" si="38"/>
        <v>0</v>
      </c>
      <c r="AU154" s="41">
        <f t="shared" si="39"/>
        <v>0</v>
      </c>
      <c r="AV154" s="41">
        <f t="shared" si="40"/>
        <v>0</v>
      </c>
      <c r="AW154" s="41">
        <f t="shared" si="40"/>
        <v>0</v>
      </c>
      <c r="AX154" s="41">
        <f t="shared" si="40"/>
        <v>0</v>
      </c>
    </row>
    <row r="155" spans="1:50" ht="11.25" x14ac:dyDescent="0.2">
      <c r="A155" s="34">
        <v>445</v>
      </c>
      <c r="B155" s="88" t="s">
        <v>469</v>
      </c>
      <c r="C155" s="65">
        <v>10746</v>
      </c>
      <c r="D155" s="65">
        <v>12794</v>
      </c>
      <c r="E155" s="65">
        <v>12725</v>
      </c>
      <c r="F155" s="65">
        <v>10813</v>
      </c>
      <c r="G155" s="41">
        <v>5440</v>
      </c>
      <c r="H155" s="41">
        <v>6807</v>
      </c>
      <c r="I155" s="41">
        <v>9329.0141300000014</v>
      </c>
      <c r="J155" s="41">
        <f>I155+'Tilikauden tulos'!J155+'9. Tulorahkorjauserät'!J155</f>
        <v>10216.821400065179</v>
      </c>
      <c r="K155" s="41">
        <f>J155+'Tilikauden tulos'!K155+'9. Tulorahkorjauserät'!K155</f>
        <v>13079.043573802108</v>
      </c>
      <c r="L155" s="41">
        <f>K155+'Tilikauden tulos'!L155+'9. Tulorahkorjauserät'!L155</f>
        <v>11303.010094910969</v>
      </c>
      <c r="M155" s="41">
        <f>L155+'Tilikauden tulos'!M155+'9. Tulorahkorjauserät'!M155</f>
        <v>8963.0059210853578</v>
      </c>
      <c r="N155" s="41">
        <f>M155+'Tilikauden tulos'!N155+'9. Tulorahkorjauserät'!N155</f>
        <v>7247.3782442318698</v>
      </c>
      <c r="O155" s="41">
        <f>N155+'Tilikauden tulos'!O155+'9. Tulorahkorjauserät'!O155</f>
        <v>5984.1140945841507</v>
      </c>
      <c r="P155" s="41">
        <f>O155+'Tilikauden tulos'!P155+'9. Tulorahkorjauserät'!P155</f>
        <v>6108.3486913528159</v>
      </c>
      <c r="T155" s="34">
        <v>445</v>
      </c>
      <c r="U155" s="88" t="s">
        <v>469</v>
      </c>
      <c r="V155" s="41">
        <f>C155/'1. Väestöennuste'!E155*1000</f>
        <v>695.21899463026455</v>
      </c>
      <c r="W155" s="41">
        <f>D155/'1. Väestöennuste'!F155*1000</f>
        <v>830.88712819846728</v>
      </c>
      <c r="X155" s="41">
        <f>E155/'1. Väestöennuste'!G155*1000</f>
        <v>832.51553810925748</v>
      </c>
      <c r="Y155" s="41">
        <f>F155/'1. Väestöennuste'!H155*1000</f>
        <v>710.58684366169416</v>
      </c>
      <c r="Z155" s="41">
        <f>G155/'1. Väestöennuste'!I155*1000</f>
        <v>359.50303991541102</v>
      </c>
      <c r="AA155" s="41">
        <f>H155/'1. Väestöennuste'!J155*1000</f>
        <v>450.64548162859978</v>
      </c>
      <c r="AB155" s="41">
        <f>I155/'1. Väestöennuste'!K155*1000</f>
        <v>618.38884594988735</v>
      </c>
      <c r="AC155" s="41">
        <f>J155/'1. Väestöennuste'!L155*1000</f>
        <v>681.53034487793877</v>
      </c>
      <c r="AD155" s="41">
        <f>K155/'1. Väestöennuste'!M155*1000</f>
        <v>871.99437121155461</v>
      </c>
      <c r="AE155" s="41">
        <f>L155/'1. Väestöennuste'!N155*1000</f>
        <v>763.40740881473528</v>
      </c>
      <c r="AF155" s="41">
        <f>M155/'1. Väestöennuste'!O155*1000</f>
        <v>608.03242121195024</v>
      </c>
      <c r="AG155" s="41">
        <f>N155/'1. Väestöennuste'!P155*1000</f>
        <v>493.72424853408745</v>
      </c>
      <c r="AH155" s="41">
        <f>O155/'1. Väestöennuste'!Q155*1000</f>
        <v>409.28213491444842</v>
      </c>
      <c r="AI155" s="41">
        <f>P155/'1. Väestöennuste'!R155*1000</f>
        <v>419.44301938836884</v>
      </c>
      <c r="AK155" s="41">
        <f t="shared" si="29"/>
        <v>0</v>
      </c>
      <c r="AL155" s="41">
        <f t="shared" si="30"/>
        <v>0</v>
      </c>
      <c r="AM155" s="41">
        <f t="shared" si="31"/>
        <v>0</v>
      </c>
      <c r="AN155" s="41">
        <f t="shared" si="32"/>
        <v>0</v>
      </c>
      <c r="AO155" s="41">
        <f t="shared" si="33"/>
        <v>0</v>
      </c>
      <c r="AP155" s="41">
        <f t="shared" si="34"/>
        <v>0</v>
      </c>
      <c r="AQ155" s="41">
        <f t="shared" si="35"/>
        <v>0</v>
      </c>
      <c r="AR155" s="41">
        <f t="shared" si="36"/>
        <v>0</v>
      </c>
      <c r="AS155" s="41">
        <f t="shared" si="37"/>
        <v>0</v>
      </c>
      <c r="AT155" s="41">
        <f t="shared" si="38"/>
        <v>0</v>
      </c>
      <c r="AU155" s="41">
        <f t="shared" si="39"/>
        <v>0</v>
      </c>
      <c r="AV155" s="41">
        <f t="shared" si="40"/>
        <v>0</v>
      </c>
      <c r="AW155" s="41">
        <f t="shared" si="40"/>
        <v>0</v>
      </c>
      <c r="AX155" s="41">
        <f t="shared" si="40"/>
        <v>0</v>
      </c>
    </row>
    <row r="156" spans="1:50" ht="11.25" x14ac:dyDescent="0.2">
      <c r="A156" s="34">
        <v>475</v>
      </c>
      <c r="B156" s="88" t="s">
        <v>470</v>
      </c>
      <c r="C156" s="65">
        <v>2791</v>
      </c>
      <c r="D156" s="65">
        <v>3027</v>
      </c>
      <c r="E156" s="65">
        <v>3640</v>
      </c>
      <c r="F156" s="65">
        <v>3533</v>
      </c>
      <c r="G156" s="41">
        <v>2390</v>
      </c>
      <c r="H156" s="41">
        <v>5596</v>
      </c>
      <c r="I156" s="41">
        <v>5660.0197400000006</v>
      </c>
      <c r="J156" s="41">
        <f>I156+'Tilikauden tulos'!J156+'9. Tulorahkorjauserät'!J156</f>
        <v>6144.2354609067979</v>
      </c>
      <c r="K156" s="41">
        <f>J156+'Tilikauden tulos'!K156+'9. Tulorahkorjauserät'!K156</f>
        <v>7583.1321532185902</v>
      </c>
      <c r="L156" s="41">
        <f>K156+'Tilikauden tulos'!L156+'9. Tulorahkorjauserät'!L156</f>
        <v>7806.4361102422054</v>
      </c>
      <c r="M156" s="41">
        <f>L156+'Tilikauden tulos'!M156+'9. Tulorahkorjauserät'!M156</f>
        <v>8242.8414401012051</v>
      </c>
      <c r="N156" s="41">
        <f>M156+'Tilikauden tulos'!N156+'9. Tulorahkorjauserät'!N156</f>
        <v>8547.6981495437431</v>
      </c>
      <c r="O156" s="41">
        <f>N156+'Tilikauden tulos'!O156+'9. Tulorahkorjauserät'!O156</f>
        <v>8485.9914792096606</v>
      </c>
      <c r="P156" s="41">
        <f>O156+'Tilikauden tulos'!P156+'9. Tulorahkorjauserät'!P156</f>
        <v>8951.8634638156382</v>
      </c>
      <c r="T156" s="34">
        <v>475</v>
      </c>
      <c r="U156" s="88" t="s">
        <v>470</v>
      </c>
      <c r="V156" s="41">
        <f>C156/'1. Väestöennuste'!E156*1000</f>
        <v>503.33633904418394</v>
      </c>
      <c r="W156" s="41">
        <f>D156/'1. Väestöennuste'!F156*1000</f>
        <v>548.66775421424688</v>
      </c>
      <c r="X156" s="41">
        <f>E156/'1. Väestöennuste'!G156*1000</f>
        <v>664.59740733978458</v>
      </c>
      <c r="Y156" s="41">
        <f>F156/'1. Väestöennuste'!H156*1000</f>
        <v>645.06116487127986</v>
      </c>
      <c r="Z156" s="41">
        <f>G156/'1. Väestöennuste'!I156*1000</f>
        <v>436.52968036529683</v>
      </c>
      <c r="AA156" s="41">
        <f>H156/'1. Väestöennuste'!J156*1000</f>
        <v>1026.6006237387635</v>
      </c>
      <c r="AB156" s="41">
        <f>I156/'1. Väestöennuste'!K156*1000</f>
        <v>1031.532666302169</v>
      </c>
      <c r="AC156" s="41">
        <f>J156/'1. Väestöennuste'!L156*1000</f>
        <v>1121.4154883932829</v>
      </c>
      <c r="AD156" s="41">
        <f>K156/'1. Väestöennuste'!M156*1000</f>
        <v>1389.8702626866916</v>
      </c>
      <c r="AE156" s="41">
        <f>L156/'1. Väestöennuste'!N156*1000</f>
        <v>1445.6363167115196</v>
      </c>
      <c r="AF156" s="41">
        <f>M156/'1. Väestöennuste'!O156*1000</f>
        <v>1529.8517891798822</v>
      </c>
      <c r="AG156" s="41">
        <f>N156/'1. Väestöennuste'!P156*1000</f>
        <v>1589.9736141264402</v>
      </c>
      <c r="AH156" s="41">
        <f>O156/'1. Väestöennuste'!Q156*1000</f>
        <v>1582.6168368537226</v>
      </c>
      <c r="AI156" s="41">
        <f>P156/'1. Väestöennuste'!R156*1000</f>
        <v>1676.0650559475077</v>
      </c>
      <c r="AK156" s="41">
        <f t="shared" si="29"/>
        <v>0</v>
      </c>
      <c r="AL156" s="41">
        <f t="shared" si="30"/>
        <v>0</v>
      </c>
      <c r="AM156" s="41">
        <f t="shared" si="31"/>
        <v>0</v>
      </c>
      <c r="AN156" s="41">
        <f t="shared" si="32"/>
        <v>0</v>
      </c>
      <c r="AO156" s="41">
        <f t="shared" si="33"/>
        <v>0</v>
      </c>
      <c r="AP156" s="41">
        <f t="shared" si="34"/>
        <v>0</v>
      </c>
      <c r="AQ156" s="41">
        <f t="shared" si="35"/>
        <v>0</v>
      </c>
      <c r="AR156" s="41">
        <f t="shared" si="36"/>
        <v>0</v>
      </c>
      <c r="AS156" s="41">
        <f t="shared" si="37"/>
        <v>0</v>
      </c>
      <c r="AT156" s="41">
        <f t="shared" si="38"/>
        <v>0</v>
      </c>
      <c r="AU156" s="41">
        <f t="shared" si="39"/>
        <v>0</v>
      </c>
      <c r="AV156" s="41">
        <f t="shared" si="40"/>
        <v>0</v>
      </c>
      <c r="AW156" s="41">
        <f t="shared" si="40"/>
        <v>0</v>
      </c>
      <c r="AX156" s="41">
        <f t="shared" si="40"/>
        <v>0</v>
      </c>
    </row>
    <row r="157" spans="1:50" ht="11.25" x14ac:dyDescent="0.2">
      <c r="A157" s="34">
        <v>480</v>
      </c>
      <c r="B157" s="88" t="s">
        <v>471</v>
      </c>
      <c r="C157" s="65">
        <v>2439</v>
      </c>
      <c r="D157" s="65">
        <v>2503</v>
      </c>
      <c r="E157" s="65">
        <v>2925</v>
      </c>
      <c r="F157" s="65">
        <v>2914</v>
      </c>
      <c r="G157" s="41">
        <v>2871</v>
      </c>
      <c r="H157" s="41">
        <v>3274</v>
      </c>
      <c r="I157" s="41">
        <v>3653.7151999999996</v>
      </c>
      <c r="J157" s="41">
        <f>I157+'Tilikauden tulos'!J157+'9. Tulorahkorjauserät'!J157</f>
        <v>3509.2882073911414</v>
      </c>
      <c r="K157" s="41">
        <f>J157+'Tilikauden tulos'!K157+'9. Tulorahkorjauserät'!K157</f>
        <v>3514.6531826800774</v>
      </c>
      <c r="L157" s="41">
        <f>K157+'Tilikauden tulos'!L157+'9. Tulorahkorjauserät'!L157</f>
        <v>3311.8566621250084</v>
      </c>
      <c r="M157" s="41">
        <f>L157+'Tilikauden tulos'!M157+'9. Tulorahkorjauserät'!M157</f>
        <v>3012.7922933141181</v>
      </c>
      <c r="N157" s="41">
        <f>M157+'Tilikauden tulos'!N157+'9. Tulorahkorjauserät'!N157</f>
        <v>2674.7788145622508</v>
      </c>
      <c r="O157" s="41">
        <f>N157+'Tilikauden tulos'!O157+'9. Tulorahkorjauserät'!O157</f>
        <v>2247.3841885386673</v>
      </c>
      <c r="P157" s="41">
        <f>O157+'Tilikauden tulos'!P157+'9. Tulorahkorjauserät'!P157</f>
        <v>2002.1176160197356</v>
      </c>
      <c r="T157" s="34">
        <v>480</v>
      </c>
      <c r="U157" s="88" t="s">
        <v>471</v>
      </c>
      <c r="V157" s="41">
        <f>C157/'1. Väestöennuste'!E157*1000</f>
        <v>1202.6627218934912</v>
      </c>
      <c r="W157" s="41">
        <f>D157/'1. Väestöennuste'!F157*1000</f>
        <v>1238.4957941613061</v>
      </c>
      <c r="X157" s="41">
        <f>E157/'1. Väestöennuste'!G157*1000</f>
        <v>1471.3279678068409</v>
      </c>
      <c r="Y157" s="41">
        <f>F157/'1. Väestöennuste'!H157*1000</f>
        <v>1444.0039643211101</v>
      </c>
      <c r="Z157" s="41">
        <f>G157/'1. Väestöennuste'!I157*1000</f>
        <v>1426.2295081967213</v>
      </c>
      <c r="AA157" s="41">
        <f>H157/'1. Väestöennuste'!J157*1000</f>
        <v>1637.8189094547272</v>
      </c>
      <c r="AB157" s="41">
        <f>I157/'1. Väestöennuste'!K157*1000</f>
        <v>1836.0377889447234</v>
      </c>
      <c r="AC157" s="41">
        <f>J157/'1. Väestöennuste'!L157*1000</f>
        <v>1774.1598621795458</v>
      </c>
      <c r="AD157" s="41">
        <f>K157/'1. Väestöennuste'!M157*1000</f>
        <v>1821.063825222838</v>
      </c>
      <c r="AE157" s="41">
        <f>L157/'1. Väestöennuste'!N157*1000</f>
        <v>1671.8105311080305</v>
      </c>
      <c r="AF157" s="41">
        <f>M157/'1. Väestöennuste'!O157*1000</f>
        <v>1523.9212409277279</v>
      </c>
      <c r="AG157" s="41">
        <f>N157/'1. Väestöennuste'!P157*1000</f>
        <v>1355.004465330421</v>
      </c>
      <c r="AH157" s="41">
        <f>O157/'1. Väestöennuste'!Q157*1000</f>
        <v>1141.3835391257835</v>
      </c>
      <c r="AI157" s="41">
        <f>P157/'1. Väestöennuste'!R157*1000</f>
        <v>1020.9676777255154</v>
      </c>
      <c r="AK157" s="41">
        <f t="shared" si="29"/>
        <v>0</v>
      </c>
      <c r="AL157" s="41">
        <f t="shared" si="30"/>
        <v>0</v>
      </c>
      <c r="AM157" s="41">
        <f t="shared" si="31"/>
        <v>0</v>
      </c>
      <c r="AN157" s="41">
        <f t="shared" si="32"/>
        <v>0</v>
      </c>
      <c r="AO157" s="41">
        <f t="shared" si="33"/>
        <v>0</v>
      </c>
      <c r="AP157" s="41">
        <f t="shared" si="34"/>
        <v>0</v>
      </c>
      <c r="AQ157" s="41">
        <f t="shared" si="35"/>
        <v>0</v>
      </c>
      <c r="AR157" s="41">
        <f t="shared" si="36"/>
        <v>0</v>
      </c>
      <c r="AS157" s="41">
        <f t="shared" si="37"/>
        <v>0</v>
      </c>
      <c r="AT157" s="41">
        <f t="shared" si="38"/>
        <v>0</v>
      </c>
      <c r="AU157" s="41">
        <f t="shared" si="39"/>
        <v>0</v>
      </c>
      <c r="AV157" s="41">
        <f t="shared" si="40"/>
        <v>0</v>
      </c>
      <c r="AW157" s="41">
        <f t="shared" si="40"/>
        <v>0</v>
      </c>
      <c r="AX157" s="41">
        <f t="shared" si="40"/>
        <v>0</v>
      </c>
    </row>
    <row r="158" spans="1:50" ht="11.25" x14ac:dyDescent="0.2">
      <c r="A158" s="34">
        <v>481</v>
      </c>
      <c r="B158" s="88" t="s">
        <v>472</v>
      </c>
      <c r="C158" s="65">
        <v>3391</v>
      </c>
      <c r="D158" s="65">
        <v>435</v>
      </c>
      <c r="E158" s="65">
        <v>2996</v>
      </c>
      <c r="F158" s="65">
        <v>2271</v>
      </c>
      <c r="G158" s="41">
        <v>857</v>
      </c>
      <c r="H158" s="41">
        <v>4238</v>
      </c>
      <c r="I158" s="41">
        <v>5178.8454199999996</v>
      </c>
      <c r="J158" s="41">
        <f>I158+'Tilikauden tulos'!J158+'9. Tulorahkorjauserät'!J158</f>
        <v>6385.7186002905155</v>
      </c>
      <c r="K158" s="41">
        <f>J158+'Tilikauden tulos'!K158+'9. Tulorahkorjauserät'!K158</f>
        <v>5605.9934839374228</v>
      </c>
      <c r="L158" s="41">
        <f>K158+'Tilikauden tulos'!L158+'9. Tulorahkorjauserät'!L158</f>
        <v>4133.5785690083831</v>
      </c>
      <c r="M158" s="41">
        <f>L158+'Tilikauden tulos'!M158+'9. Tulorahkorjauserät'!M158</f>
        <v>-297.02725406128775</v>
      </c>
      <c r="N158" s="41">
        <f>M158+'Tilikauden tulos'!N158+'9. Tulorahkorjauserät'!N158</f>
        <v>-3746.8385530711334</v>
      </c>
      <c r="O158" s="41">
        <f>N158+'Tilikauden tulos'!O158+'9. Tulorahkorjauserät'!O158</f>
        <v>-6947.6541398722138</v>
      </c>
      <c r="P158" s="41">
        <f>O158+'Tilikauden tulos'!P158+'9. Tulorahkorjauserät'!P158</f>
        <v>-10162.070468035357</v>
      </c>
      <c r="T158" s="34">
        <v>481</v>
      </c>
      <c r="U158" s="88" t="s">
        <v>472</v>
      </c>
      <c r="V158" s="41">
        <f>C158/'1. Väestöennuste'!E158*1000</f>
        <v>349.37152276942095</v>
      </c>
      <c r="W158" s="41">
        <f>D158/'1. Väestöennuste'!F158*1000</f>
        <v>44.961240310077521</v>
      </c>
      <c r="X158" s="41">
        <f>E158/'1. Väestöennuste'!G158*1000</f>
        <v>310.27340513670259</v>
      </c>
      <c r="Y158" s="41">
        <f>F158/'1. Väestöennuste'!H158*1000</f>
        <v>237.70148628846559</v>
      </c>
      <c r="Z158" s="41">
        <f>G158/'1. Väestöennuste'!I158*1000</f>
        <v>89.888818963708829</v>
      </c>
      <c r="AA158" s="41">
        <f>H158/'1. Väestöennuste'!J158*1000</f>
        <v>444.09514827622343</v>
      </c>
      <c r="AB158" s="41">
        <f>I158/'1. Väestöennuste'!K158*1000</f>
        <v>538.78957761131915</v>
      </c>
      <c r="AC158" s="41">
        <f>J158/'1. Väestöennuste'!L158*1000</f>
        <v>662.28153912990206</v>
      </c>
      <c r="AD158" s="41">
        <f>K158/'1. Väestöennuste'!M158*1000</f>
        <v>582.80418795482092</v>
      </c>
      <c r="AE158" s="41">
        <f>L158/'1. Väestöennuste'!N158*1000</f>
        <v>436.30763869626168</v>
      </c>
      <c r="AF158" s="41">
        <f>M158/'1. Väestöennuste'!O158*1000</f>
        <v>-31.411511639307083</v>
      </c>
      <c r="AG158" s="41">
        <f>N158/'1. Väestöennuste'!P158*1000</f>
        <v>-396.82679020028951</v>
      </c>
      <c r="AH158" s="41">
        <f>O158/'1. Väestöennuste'!Q158*1000</f>
        <v>-736.68265718080943</v>
      </c>
      <c r="AI158" s="41">
        <f>P158/'1. Väestöennuste'!R158*1000</f>
        <v>-1078.5470672930755</v>
      </c>
      <c r="AK158" s="41">
        <f t="shared" si="29"/>
        <v>0</v>
      </c>
      <c r="AL158" s="41">
        <f t="shared" si="30"/>
        <v>0</v>
      </c>
      <c r="AM158" s="41">
        <f t="shared" si="31"/>
        <v>0</v>
      </c>
      <c r="AN158" s="41">
        <f t="shared" si="32"/>
        <v>0</v>
      </c>
      <c r="AO158" s="41">
        <f t="shared" si="33"/>
        <v>0</v>
      </c>
      <c r="AP158" s="41">
        <f t="shared" si="34"/>
        <v>0</v>
      </c>
      <c r="AQ158" s="41">
        <f t="shared" si="35"/>
        <v>0</v>
      </c>
      <c r="AR158" s="41">
        <f t="shared" si="36"/>
        <v>0</v>
      </c>
      <c r="AS158" s="41">
        <f t="shared" si="37"/>
        <v>0</v>
      </c>
      <c r="AT158" s="41">
        <f t="shared" si="38"/>
        <v>0</v>
      </c>
      <c r="AU158" s="41">
        <f t="shared" si="39"/>
        <v>-1</v>
      </c>
      <c r="AV158" s="41">
        <f t="shared" si="40"/>
        <v>-1</v>
      </c>
      <c r="AW158" s="41">
        <f t="shared" si="40"/>
        <v>-1</v>
      </c>
      <c r="AX158" s="41">
        <f t="shared" si="40"/>
        <v>-1</v>
      </c>
    </row>
    <row r="159" spans="1:50" ht="11.25" x14ac:dyDescent="0.2">
      <c r="A159" s="34">
        <v>483</v>
      </c>
      <c r="B159" s="88" t="s">
        <v>473</v>
      </c>
      <c r="C159" s="65">
        <v>3060</v>
      </c>
      <c r="D159" s="65">
        <v>2907</v>
      </c>
      <c r="E159" s="65">
        <v>2916</v>
      </c>
      <c r="F159" s="65">
        <v>2572</v>
      </c>
      <c r="G159" s="41">
        <v>1781</v>
      </c>
      <c r="H159" s="41">
        <v>2059</v>
      </c>
      <c r="I159" s="41">
        <v>1872.3467800000001</v>
      </c>
      <c r="J159" s="41">
        <f>I159+'Tilikauden tulos'!J159+'9. Tulorahkorjauserät'!J159</f>
        <v>1091.8022627143139</v>
      </c>
      <c r="K159" s="41">
        <f>J159+'Tilikauden tulos'!K159+'9. Tulorahkorjauserät'!K159</f>
        <v>422.69257575103899</v>
      </c>
      <c r="L159" s="41">
        <f>K159+'Tilikauden tulos'!L159+'9. Tulorahkorjauserät'!L159</f>
        <v>-165.30509761381217</v>
      </c>
      <c r="M159" s="41">
        <f>L159+'Tilikauden tulos'!M159+'9. Tulorahkorjauserät'!M159</f>
        <v>-1476.3674289618602</v>
      </c>
      <c r="N159" s="41">
        <f>M159+'Tilikauden tulos'!N159+'9. Tulorahkorjauserät'!N159</f>
        <v>-2748.1940179933272</v>
      </c>
      <c r="O159" s="41">
        <f>N159+'Tilikauden tulos'!O159+'9. Tulorahkorjauserät'!O159</f>
        <v>-4112.45756092997</v>
      </c>
      <c r="P159" s="41">
        <f>O159+'Tilikauden tulos'!P159+'9. Tulorahkorjauserät'!P159</f>
        <v>-5341.6136977529677</v>
      </c>
      <c r="T159" s="34">
        <v>483</v>
      </c>
      <c r="U159" s="88" t="s">
        <v>473</v>
      </c>
      <c r="V159" s="41">
        <f>C159/'1. Väestöennuste'!E159*1000</f>
        <v>2698.4126984126988</v>
      </c>
      <c r="W159" s="41">
        <f>D159/'1. Väestöennuste'!F159*1000</f>
        <v>2570.291777188329</v>
      </c>
      <c r="X159" s="41">
        <f>E159/'1. Väestöennuste'!G159*1000</f>
        <v>2605.8981233243967</v>
      </c>
      <c r="Y159" s="41">
        <f>F159/'1. Väestöennuste'!H159*1000</f>
        <v>2329.710144927536</v>
      </c>
      <c r="Z159" s="41">
        <f>G159/'1. Väestöennuste'!I159*1000</f>
        <v>1635.4453627180901</v>
      </c>
      <c r="AA159" s="41">
        <f>H159/'1. Väestöennuste'!J159*1000</f>
        <v>1910.0185528756956</v>
      </c>
      <c r="AB159" s="41">
        <f>I159/'1. Väestöennuste'!K159*1000</f>
        <v>1740.0992379182157</v>
      </c>
      <c r="AC159" s="41">
        <f>J159/'1. Väestöennuste'!L159*1000</f>
        <v>1023.2448572767703</v>
      </c>
      <c r="AD159" s="41">
        <f>K159/'1. Väestöennuste'!M159*1000</f>
        <v>400.65646990619808</v>
      </c>
      <c r="AE159" s="41">
        <f>L159/'1. Väestöennuste'!N159*1000</f>
        <v>-162.06382119001191</v>
      </c>
      <c r="AF159" s="41">
        <f>M159/'1. Väestöennuste'!O159*1000</f>
        <v>-1467.5620566221276</v>
      </c>
      <c r="AG159" s="41">
        <f>N159/'1. Väestöennuste'!P159*1000</f>
        <v>-2767.5669869016388</v>
      </c>
      <c r="AH159" s="41">
        <f>O159/'1. Väestöennuste'!Q159*1000</f>
        <v>-4200.6716659141675</v>
      </c>
      <c r="AI159" s="41">
        <f>P159/'1. Väestöennuste'!R159*1000</f>
        <v>-5512.5012360711744</v>
      </c>
      <c r="AK159" s="41">
        <f t="shared" si="29"/>
        <v>0</v>
      </c>
      <c r="AL159" s="41">
        <f t="shared" si="30"/>
        <v>0</v>
      </c>
      <c r="AM159" s="41">
        <f t="shared" si="31"/>
        <v>0</v>
      </c>
      <c r="AN159" s="41">
        <f t="shared" si="32"/>
        <v>0</v>
      </c>
      <c r="AO159" s="41">
        <f t="shared" si="33"/>
        <v>0</v>
      </c>
      <c r="AP159" s="41">
        <f t="shared" si="34"/>
        <v>0</v>
      </c>
      <c r="AQ159" s="41">
        <f t="shared" si="35"/>
        <v>0</v>
      </c>
      <c r="AR159" s="41">
        <f t="shared" si="36"/>
        <v>0</v>
      </c>
      <c r="AS159" s="41">
        <f t="shared" si="37"/>
        <v>0</v>
      </c>
      <c r="AT159" s="41">
        <f t="shared" si="38"/>
        <v>-1</v>
      </c>
      <c r="AU159" s="41">
        <f t="shared" si="39"/>
        <v>-1</v>
      </c>
      <c r="AV159" s="41">
        <f t="shared" si="40"/>
        <v>-1</v>
      </c>
      <c r="AW159" s="41">
        <f t="shared" si="40"/>
        <v>-1</v>
      </c>
      <c r="AX159" s="41">
        <f t="shared" si="40"/>
        <v>-1</v>
      </c>
    </row>
    <row r="160" spans="1:50" ht="11.25" x14ac:dyDescent="0.2">
      <c r="A160" s="34">
        <v>484</v>
      </c>
      <c r="B160" s="88" t="s">
        <v>474</v>
      </c>
      <c r="C160" s="65">
        <v>7473</v>
      </c>
      <c r="D160" s="65">
        <v>7653</v>
      </c>
      <c r="E160" s="65">
        <v>7535</v>
      </c>
      <c r="F160" s="65">
        <v>5890</v>
      </c>
      <c r="G160" s="41">
        <v>4883</v>
      </c>
      <c r="H160" s="41">
        <v>5902</v>
      </c>
      <c r="I160" s="41">
        <v>7616.7269699999997</v>
      </c>
      <c r="J160" s="41">
        <f>I160+'Tilikauden tulos'!J160+'9. Tulorahkorjauserät'!J160</f>
        <v>6996.8406267759783</v>
      </c>
      <c r="K160" s="41">
        <f>J160+'Tilikauden tulos'!K160+'9. Tulorahkorjauserät'!K160</f>
        <v>4807.3194303480468</v>
      </c>
      <c r="L160" s="41">
        <f>K160+'Tilikauden tulos'!L160+'9. Tulorahkorjauserät'!L160</f>
        <v>5556.8821338794905</v>
      </c>
      <c r="M160" s="41">
        <f>L160+'Tilikauden tulos'!M160+'9. Tulorahkorjauserät'!M160</f>
        <v>4425.7393367288278</v>
      </c>
      <c r="N160" s="41">
        <f>M160+'Tilikauden tulos'!N160+'9. Tulorahkorjauserät'!N160</f>
        <v>2337.703050378318</v>
      </c>
      <c r="O160" s="41">
        <f>N160+'Tilikauden tulos'!O160+'9. Tulorahkorjauserät'!O160</f>
        <v>495.55660071178227</v>
      </c>
      <c r="P160" s="41">
        <f>O160+'Tilikauden tulos'!P160+'9. Tulorahkorjauserät'!P160</f>
        <v>-1357.4160048346903</v>
      </c>
      <c r="T160" s="34">
        <v>484</v>
      </c>
      <c r="U160" s="88" t="s">
        <v>474</v>
      </c>
      <c r="V160" s="41">
        <f>C160/'1. Väestöennuste'!E160*1000</f>
        <v>2346.3108320251176</v>
      </c>
      <c r="W160" s="41">
        <f>D160/'1. Väestöennuste'!F160*1000</f>
        <v>2414.9573998106657</v>
      </c>
      <c r="X160" s="41">
        <f>E160/'1. Väestöennuste'!G160*1000</f>
        <v>2387.5158428390368</v>
      </c>
      <c r="Y160" s="41">
        <f>F160/'1. Väestöennuste'!H160*1000</f>
        <v>1890.8507223113963</v>
      </c>
      <c r="Z160" s="41">
        <f>G160/'1. Väestöennuste'!I160*1000</f>
        <v>1592.1095533094228</v>
      </c>
      <c r="AA160" s="41">
        <f>H160/'1. Väestöennuste'!J160*1000</f>
        <v>1924.9836921069798</v>
      </c>
      <c r="AB160" s="41">
        <f>I160/'1. Väestöennuste'!K160*1000</f>
        <v>2493.200317512275</v>
      </c>
      <c r="AC160" s="41">
        <f>J160/'1. Väestöennuste'!L160*1000</f>
        <v>2358.2206359204511</v>
      </c>
      <c r="AD160" s="41">
        <f>K160/'1. Väestöennuste'!M160*1000</f>
        <v>1620.8089785394627</v>
      </c>
      <c r="AE160" s="41">
        <f>L160/'1. Väestöennuste'!N160*1000</f>
        <v>1864.1000113651428</v>
      </c>
      <c r="AF160" s="41">
        <f>M160/'1. Väestöennuste'!O160*1000</f>
        <v>1492.6608218309705</v>
      </c>
      <c r="AG160" s="41">
        <f>N160/'1. Väestöennuste'!P160*1000</f>
        <v>792.4417119926502</v>
      </c>
      <c r="AH160" s="41">
        <f>O160/'1. Väestöennuste'!Q160*1000</f>
        <v>168.95895012334887</v>
      </c>
      <c r="AI160" s="41">
        <f>P160/'1. Väestöennuste'!R160*1000</f>
        <v>-465.02775088547116</v>
      </c>
      <c r="AK160" s="41">
        <f t="shared" si="29"/>
        <v>0</v>
      </c>
      <c r="AL160" s="41">
        <f t="shared" si="30"/>
        <v>0</v>
      </c>
      <c r="AM160" s="41">
        <f t="shared" si="31"/>
        <v>0</v>
      </c>
      <c r="AN160" s="41">
        <f t="shared" si="32"/>
        <v>0</v>
      </c>
      <c r="AO160" s="41">
        <f t="shared" si="33"/>
        <v>0</v>
      </c>
      <c r="AP160" s="41">
        <f t="shared" si="34"/>
        <v>0</v>
      </c>
      <c r="AQ160" s="41">
        <f t="shared" si="35"/>
        <v>0</v>
      </c>
      <c r="AR160" s="41">
        <f t="shared" si="36"/>
        <v>0</v>
      </c>
      <c r="AS160" s="41">
        <f t="shared" si="37"/>
        <v>0</v>
      </c>
      <c r="AT160" s="41">
        <f t="shared" si="38"/>
        <v>0</v>
      </c>
      <c r="AU160" s="41">
        <f t="shared" si="39"/>
        <v>0</v>
      </c>
      <c r="AV160" s="41">
        <f t="shared" si="40"/>
        <v>0</v>
      </c>
      <c r="AW160" s="41">
        <f t="shared" si="40"/>
        <v>0</v>
      </c>
      <c r="AX160" s="41">
        <f t="shared" si="40"/>
        <v>-1</v>
      </c>
    </row>
    <row r="161" spans="1:50" ht="11.25" x14ac:dyDescent="0.2">
      <c r="A161" s="34">
        <v>489</v>
      </c>
      <c r="B161" s="88" t="s">
        <v>475</v>
      </c>
      <c r="C161" s="65">
        <v>4811</v>
      </c>
      <c r="D161" s="65">
        <v>7204</v>
      </c>
      <c r="E161" s="65">
        <v>7847</v>
      </c>
      <c r="F161" s="65">
        <v>7382</v>
      </c>
      <c r="G161" s="41">
        <v>7646</v>
      </c>
      <c r="H161" s="41">
        <v>8432</v>
      </c>
      <c r="I161" s="41">
        <v>8265.8063099999999</v>
      </c>
      <c r="J161" s="41">
        <f>I161+'Tilikauden tulos'!J161+'9. Tulorahkorjauserät'!J161</f>
        <v>7208.8614399132948</v>
      </c>
      <c r="K161" s="41">
        <f>J161+'Tilikauden tulos'!K161+'9. Tulorahkorjauserät'!K161</f>
        <v>6778.8623664908719</v>
      </c>
      <c r="L161" s="41">
        <f>K161+'Tilikauden tulos'!L161+'9. Tulorahkorjauserät'!L161</f>
        <v>5471.5405097965177</v>
      </c>
      <c r="M161" s="41">
        <f>L161+'Tilikauden tulos'!M161+'9. Tulorahkorjauserät'!M161</f>
        <v>3748.6112631643837</v>
      </c>
      <c r="N161" s="41">
        <f>M161+'Tilikauden tulos'!N161+'9. Tulorahkorjauserät'!N161</f>
        <v>1912.4284927405563</v>
      </c>
      <c r="O161" s="41">
        <f>N161+'Tilikauden tulos'!O161+'9. Tulorahkorjauserät'!O161</f>
        <v>-110.91348079024419</v>
      </c>
      <c r="P161" s="41">
        <f>O161+'Tilikauden tulos'!P161+'9. Tulorahkorjauserät'!P161</f>
        <v>-2034.1401545557558</v>
      </c>
      <c r="T161" s="34">
        <v>489</v>
      </c>
      <c r="U161" s="88" t="s">
        <v>475</v>
      </c>
      <c r="V161" s="41">
        <f>C161/'1. Väestöennuste'!E161*1000</f>
        <v>2307.4340527577938</v>
      </c>
      <c r="W161" s="41">
        <f>D161/'1. Väestöennuste'!F161*1000</f>
        <v>3541.7895771878075</v>
      </c>
      <c r="X161" s="41">
        <f>E161/'1. Väestöennuste'!G161*1000</f>
        <v>3939.2570281124499</v>
      </c>
      <c r="Y161" s="41">
        <f>F161/'1. Väestöennuste'!H161*1000</f>
        <v>3805.1546391752577</v>
      </c>
      <c r="Z161" s="41">
        <f>G161/'1. Väestöennuste'!I161*1000</f>
        <v>4117.3936456650508</v>
      </c>
      <c r="AA161" s="41">
        <f>H161/'1. Väestöennuste'!J161*1000</f>
        <v>4513.9186295503214</v>
      </c>
      <c r="AB161" s="41">
        <f>I161/'1. Väestöennuste'!K161*1000</f>
        <v>4504.5265994550409</v>
      </c>
      <c r="AC161" s="41">
        <f>J161/'1. Väestöennuste'!L161*1000</f>
        <v>4025.0482634915102</v>
      </c>
      <c r="AD161" s="41">
        <f>K161/'1. Väestöennuste'!M161*1000</f>
        <v>3869.2136795039223</v>
      </c>
      <c r="AE161" s="41">
        <f>L161/'1. Väestöennuste'!N161*1000</f>
        <v>3164.5694099459324</v>
      </c>
      <c r="AF161" s="41">
        <f>M161/'1. Väestöennuste'!O161*1000</f>
        <v>2202.4743026817764</v>
      </c>
      <c r="AG161" s="41">
        <f>N161/'1. Väestöennuste'!P161*1000</f>
        <v>1141.7483538749589</v>
      </c>
      <c r="AH161" s="41">
        <f>O161/'1. Väestöennuste'!Q161*1000</f>
        <v>-67.261055664186898</v>
      </c>
      <c r="AI161" s="41">
        <f>P161/'1. Väestöennuste'!R161*1000</f>
        <v>-1251.7785566496959</v>
      </c>
      <c r="AK161" s="41">
        <f t="shared" si="29"/>
        <v>0</v>
      </c>
      <c r="AL161" s="41">
        <f t="shared" si="30"/>
        <v>0</v>
      </c>
      <c r="AM161" s="41">
        <f t="shared" si="31"/>
        <v>0</v>
      </c>
      <c r="AN161" s="41">
        <f t="shared" si="32"/>
        <v>0</v>
      </c>
      <c r="AO161" s="41">
        <f t="shared" si="33"/>
        <v>0</v>
      </c>
      <c r="AP161" s="41">
        <f t="shared" si="34"/>
        <v>0</v>
      </c>
      <c r="AQ161" s="41">
        <f t="shared" si="35"/>
        <v>0</v>
      </c>
      <c r="AR161" s="41">
        <f t="shared" si="36"/>
        <v>0</v>
      </c>
      <c r="AS161" s="41">
        <f t="shared" si="37"/>
        <v>0</v>
      </c>
      <c r="AT161" s="41">
        <f t="shared" si="38"/>
        <v>0</v>
      </c>
      <c r="AU161" s="41">
        <f t="shared" si="39"/>
        <v>0</v>
      </c>
      <c r="AV161" s="41">
        <f t="shared" si="40"/>
        <v>0</v>
      </c>
      <c r="AW161" s="41">
        <f t="shared" si="40"/>
        <v>-1</v>
      </c>
      <c r="AX161" s="41">
        <f t="shared" si="40"/>
        <v>-1</v>
      </c>
    </row>
    <row r="162" spans="1:50" ht="11.25" x14ac:dyDescent="0.2">
      <c r="A162" s="34">
        <v>491</v>
      </c>
      <c r="B162" s="88" t="s">
        <v>476</v>
      </c>
      <c r="C162" s="65">
        <v>5865</v>
      </c>
      <c r="D162" s="65">
        <v>7993</v>
      </c>
      <c r="E162" s="65">
        <v>4876</v>
      </c>
      <c r="F162" s="65">
        <v>-8454</v>
      </c>
      <c r="G162" s="41">
        <v>-42184</v>
      </c>
      <c r="H162" s="41">
        <v>-32736</v>
      </c>
      <c r="I162" s="41">
        <v>-33549.454969999999</v>
      </c>
      <c r="J162" s="41">
        <f>I162+'Tilikauden tulos'!J162+'9. Tulorahkorjauserät'!J162</f>
        <v>-24491.866903720285</v>
      </c>
      <c r="K162" s="41">
        <f>J162+'Tilikauden tulos'!K162+'9. Tulorahkorjauserät'!K162</f>
        <v>-22482.490455711799</v>
      </c>
      <c r="L162" s="41">
        <f>K162+'Tilikauden tulos'!L162+'9. Tulorahkorjauserät'!L162</f>
        <v>-28691.31888185061</v>
      </c>
      <c r="M162" s="41">
        <f>L162+'Tilikauden tulos'!M162+'9. Tulorahkorjauserät'!M162</f>
        <v>-32147.171634978018</v>
      </c>
      <c r="N162" s="41">
        <f>M162+'Tilikauden tulos'!N162+'9. Tulorahkorjauserät'!N162</f>
        <v>-33515.315651786223</v>
      </c>
      <c r="O162" s="41">
        <f>N162+'Tilikauden tulos'!O162+'9. Tulorahkorjauserät'!O162</f>
        <v>-34284.154171285256</v>
      </c>
      <c r="P162" s="41">
        <f>O162+'Tilikauden tulos'!P162+'9. Tulorahkorjauserät'!P162</f>
        <v>-28787.353012432814</v>
      </c>
      <c r="T162" s="34">
        <v>491</v>
      </c>
      <c r="U162" s="88" t="s">
        <v>476</v>
      </c>
      <c r="V162" s="41">
        <f>C162/'1. Väestöennuste'!E162*1000</f>
        <v>107.28985639806092</v>
      </c>
      <c r="W162" s="41">
        <f>D162/'1. Väestöennuste'!F162*1000</f>
        <v>146.61481739640848</v>
      </c>
      <c r="X162" s="41">
        <f>E162/'1. Väestöennuste'!G162*1000</f>
        <v>89.861963472844209</v>
      </c>
      <c r="Y162" s="41">
        <f>F162/'1. Väestöennuste'!H162*1000</f>
        <v>-157.08499015199376</v>
      </c>
      <c r="Z162" s="41">
        <f>G162/'1. Väestöennuste'!I162*1000</f>
        <v>-793.91726578085593</v>
      </c>
      <c r="AA162" s="41">
        <f>H162/'1. Väestöennuste'!J162*1000</f>
        <v>-622.55862160774404</v>
      </c>
      <c r="AB162" s="41">
        <f>I162/'1. Väestöennuste'!K162*1000</f>
        <v>-643.6716735735389</v>
      </c>
      <c r="AC162" s="41">
        <f>J162/'1. Väestöennuste'!L162*1000</f>
        <v>-471.17866301885891</v>
      </c>
      <c r="AD162" s="41">
        <f>K162/'1. Väestöennuste'!M162*1000</f>
        <v>-433.03011336335055</v>
      </c>
      <c r="AE162" s="41">
        <f>L162/'1. Väestöennuste'!N162*1000</f>
        <v>-562.77350597957332</v>
      </c>
      <c r="AF162" s="41">
        <f>M162/'1. Väestöennuste'!O162*1000</f>
        <v>-635.47030194864431</v>
      </c>
      <c r="AG162" s="41">
        <f>N162/'1. Väestöennuste'!P162*1000</f>
        <v>-667.72887956062038</v>
      </c>
      <c r="AH162" s="41">
        <f>O162/'1. Väestöennuste'!Q162*1000</f>
        <v>-688.28479996959015</v>
      </c>
      <c r="AI162" s="41">
        <f>P162/'1. Väestöennuste'!R162*1000</f>
        <v>-582.37448185213361</v>
      </c>
      <c r="AK162" s="41">
        <f t="shared" si="29"/>
        <v>0</v>
      </c>
      <c r="AL162" s="41">
        <f t="shared" si="30"/>
        <v>0</v>
      </c>
      <c r="AM162" s="41">
        <f t="shared" si="31"/>
        <v>0</v>
      </c>
      <c r="AN162" s="41">
        <f t="shared" si="32"/>
        <v>-1</v>
      </c>
      <c r="AO162" s="41">
        <f t="shared" si="33"/>
        <v>-1</v>
      </c>
      <c r="AP162" s="41">
        <f t="shared" si="34"/>
        <v>-1</v>
      </c>
      <c r="AQ162" s="41">
        <f t="shared" si="35"/>
        <v>-1</v>
      </c>
      <c r="AR162" s="41">
        <f t="shared" si="36"/>
        <v>-1</v>
      </c>
      <c r="AS162" s="41">
        <f t="shared" si="37"/>
        <v>-1</v>
      </c>
      <c r="AT162" s="41">
        <f t="shared" si="38"/>
        <v>-1</v>
      </c>
      <c r="AU162" s="41">
        <f t="shared" si="39"/>
        <v>-1</v>
      </c>
      <c r="AV162" s="41">
        <f t="shared" si="40"/>
        <v>-1</v>
      </c>
      <c r="AW162" s="41">
        <f t="shared" si="40"/>
        <v>-1</v>
      </c>
      <c r="AX162" s="41">
        <f t="shared" si="40"/>
        <v>-1</v>
      </c>
    </row>
    <row r="163" spans="1:50" ht="11.25" x14ac:dyDescent="0.2">
      <c r="A163" s="34">
        <v>494</v>
      </c>
      <c r="B163" s="88" t="s">
        <v>477</v>
      </c>
      <c r="C163" s="65">
        <v>2170</v>
      </c>
      <c r="D163" s="65">
        <v>3912</v>
      </c>
      <c r="E163" s="65">
        <v>4601</v>
      </c>
      <c r="F163" s="65">
        <v>3236</v>
      </c>
      <c r="G163" s="41">
        <v>1311</v>
      </c>
      <c r="H163" s="41">
        <v>-2054</v>
      </c>
      <c r="I163" s="41">
        <v>-854.50058999999987</v>
      </c>
      <c r="J163" s="41">
        <f>I163+'Tilikauden tulos'!J163+'9. Tulorahkorjauserät'!J163</f>
        <v>-580.6417315740166</v>
      </c>
      <c r="K163" s="41">
        <f>J163+'Tilikauden tulos'!K163+'9. Tulorahkorjauserät'!K163</f>
        <v>2241.4789145140189</v>
      </c>
      <c r="L163" s="41">
        <f>K163+'Tilikauden tulos'!L163+'9. Tulorahkorjauserät'!L163</f>
        <v>2102.7331522029367</v>
      </c>
      <c r="M163" s="41">
        <f>L163+'Tilikauden tulos'!M163+'9. Tulorahkorjauserät'!M163</f>
        <v>642.38277993126849</v>
      </c>
      <c r="N163" s="41">
        <f>M163+'Tilikauden tulos'!N163+'9. Tulorahkorjauserät'!N163</f>
        <v>-1092.8893591499959</v>
      </c>
      <c r="O163" s="41">
        <f>N163+'Tilikauden tulos'!O163+'9. Tulorahkorjauserät'!O163</f>
        <v>-2823.4741200617586</v>
      </c>
      <c r="P163" s="41">
        <f>O163+'Tilikauden tulos'!P163+'9. Tulorahkorjauserät'!P163</f>
        <v>-3666.206726657892</v>
      </c>
      <c r="T163" s="34">
        <v>494</v>
      </c>
      <c r="U163" s="88" t="s">
        <v>477</v>
      </c>
      <c r="V163" s="41">
        <f>C163/'1. Väestöennuste'!E163*1000</f>
        <v>239.43506565155025</v>
      </c>
      <c r="W163" s="41">
        <f>D163/'1. Väestöennuste'!F163*1000</f>
        <v>434.90828237909949</v>
      </c>
      <c r="X163" s="41">
        <f>E163/'1. Väestöennuste'!G163*1000</f>
        <v>510.14524891894888</v>
      </c>
      <c r="Y163" s="41">
        <f>F163/'1. Väestöennuste'!H163*1000</f>
        <v>360.35634743875278</v>
      </c>
      <c r="Z163" s="41">
        <f>G163/'1. Väestöennuste'!I163*1000</f>
        <v>147.17108217332733</v>
      </c>
      <c r="AA163" s="41">
        <f>H163/'1. Väestöennuste'!J163*1000</f>
        <v>-230.70874985959787</v>
      </c>
      <c r="AB163" s="41">
        <f>I163/'1. Väestöennuste'!K163*1000</f>
        <v>-95.914310248063742</v>
      </c>
      <c r="AC163" s="41">
        <f>J163/'1. Väestöennuste'!L163*1000</f>
        <v>-65.372858767621778</v>
      </c>
      <c r="AD163" s="41">
        <f>K163/'1. Väestöennuste'!M163*1000</f>
        <v>253.93439611578327</v>
      </c>
      <c r="AE163" s="41">
        <f>L163/'1. Väestöennuste'!N163*1000</f>
        <v>239.49124740352354</v>
      </c>
      <c r="AF163" s="41">
        <f>M163/'1. Väestöennuste'!O163*1000</f>
        <v>73.415174849287823</v>
      </c>
      <c r="AG163" s="41">
        <f>N163/'1. Väestöennuste'!P163*1000</f>
        <v>-125.33134852637568</v>
      </c>
      <c r="AH163" s="41">
        <f>O163/'1. Väestöennuste'!Q163*1000</f>
        <v>-324.87333103920821</v>
      </c>
      <c r="AI163" s="41">
        <f>P163/'1. Väestöennuste'!R163*1000</f>
        <v>-423.2517578686091</v>
      </c>
      <c r="AK163" s="41">
        <f t="shared" si="29"/>
        <v>0</v>
      </c>
      <c r="AL163" s="41">
        <f t="shared" si="30"/>
        <v>0</v>
      </c>
      <c r="AM163" s="41">
        <f t="shared" si="31"/>
        <v>0</v>
      </c>
      <c r="AN163" s="41">
        <f t="shared" si="32"/>
        <v>0</v>
      </c>
      <c r="AO163" s="41">
        <f t="shared" si="33"/>
        <v>0</v>
      </c>
      <c r="AP163" s="41">
        <f t="shared" si="34"/>
        <v>-1</v>
      </c>
      <c r="AQ163" s="41">
        <f t="shared" si="35"/>
        <v>-1</v>
      </c>
      <c r="AR163" s="41">
        <f t="shared" si="36"/>
        <v>-1</v>
      </c>
      <c r="AS163" s="41">
        <f t="shared" si="37"/>
        <v>0</v>
      </c>
      <c r="AT163" s="41">
        <f t="shared" si="38"/>
        <v>0</v>
      </c>
      <c r="AU163" s="41">
        <f t="shared" si="39"/>
        <v>0</v>
      </c>
      <c r="AV163" s="41">
        <f t="shared" si="40"/>
        <v>-1</v>
      </c>
      <c r="AW163" s="41">
        <f t="shared" si="40"/>
        <v>-1</v>
      </c>
      <c r="AX163" s="41">
        <f t="shared" si="40"/>
        <v>-1</v>
      </c>
    </row>
    <row r="164" spans="1:50" ht="11.25" x14ac:dyDescent="0.2">
      <c r="A164" s="34">
        <v>495</v>
      </c>
      <c r="B164" s="88" t="s">
        <v>478</v>
      </c>
      <c r="C164" s="65">
        <v>-34</v>
      </c>
      <c r="D164" s="65">
        <v>436</v>
      </c>
      <c r="E164" s="79">
        <v>539</v>
      </c>
      <c r="F164" s="65">
        <v>579</v>
      </c>
      <c r="G164" s="41">
        <v>-1399</v>
      </c>
      <c r="H164" s="41">
        <v>-506</v>
      </c>
      <c r="I164" s="41">
        <v>-21.723419999999983</v>
      </c>
      <c r="J164" s="41">
        <f>I164+'Tilikauden tulos'!J164+'9. Tulorahkorjauserät'!J164</f>
        <v>106.53708461232964</v>
      </c>
      <c r="K164" s="41">
        <f>J164+'Tilikauden tulos'!K164+'9. Tulorahkorjauserät'!K164</f>
        <v>-752.06710812535732</v>
      </c>
      <c r="L164" s="41">
        <f>K164+'Tilikauden tulos'!L164+'9. Tulorahkorjauserät'!L164</f>
        <v>-586.96929397932945</v>
      </c>
      <c r="M164" s="41">
        <f>L164+'Tilikauden tulos'!M164+'9. Tulorahkorjauserät'!M164</f>
        <v>-1273.7597353484546</v>
      </c>
      <c r="N164" s="41">
        <f>M164+'Tilikauden tulos'!N164+'9. Tulorahkorjauserät'!N164</f>
        <v>-2148.6630101195146</v>
      </c>
      <c r="O164" s="41">
        <f>N164+'Tilikauden tulos'!O164+'9. Tulorahkorjauserät'!O164</f>
        <v>-3088.9960248057159</v>
      </c>
      <c r="P164" s="41">
        <f>O164+'Tilikauden tulos'!P164+'9. Tulorahkorjauserät'!P164</f>
        <v>-3947.2144518436444</v>
      </c>
      <c r="T164" s="34">
        <v>495</v>
      </c>
      <c r="U164" s="88" t="s">
        <v>478</v>
      </c>
      <c r="V164" s="41">
        <f>C164/'1. Väestöennuste'!E164*1000</f>
        <v>-19.883040935672515</v>
      </c>
      <c r="W164" s="41">
        <f>D164/'1. Väestöennuste'!F164*1000</f>
        <v>262.17678893565841</v>
      </c>
      <c r="X164" s="41">
        <f>E164/'1. Väestöennuste'!G164*1000</f>
        <v>329.46210268948658</v>
      </c>
      <c r="Y164" s="41">
        <f>F164/'1. Väestöennuste'!H164*1000</f>
        <v>365.53030303030306</v>
      </c>
      <c r="Z164" s="41">
        <f>G164/'1. Väestöennuste'!I164*1000</f>
        <v>-893.35887611749672</v>
      </c>
      <c r="AA164" s="41">
        <f>H164/'1. Väestöennuste'!J164*1000</f>
        <v>-324.77535301668809</v>
      </c>
      <c r="AB164" s="41">
        <f>I164/'1. Väestöennuste'!K164*1000</f>
        <v>-14.599072580645149</v>
      </c>
      <c r="AC164" s="41">
        <f>J164/'1. Väestöennuste'!L164*1000</f>
        <v>72.130727564204221</v>
      </c>
      <c r="AD164" s="41">
        <f>K164/'1. Väestöennuste'!M164*1000</f>
        <v>-525.92105463311702</v>
      </c>
      <c r="AE164" s="41">
        <f>L164/'1. Väestöennuste'!N164*1000</f>
        <v>-402.86156072706211</v>
      </c>
      <c r="AF164" s="41">
        <f>M164/'1. Väestöennuste'!O164*1000</f>
        <v>-888.25644027088879</v>
      </c>
      <c r="AG164" s="41">
        <f>N164/'1. Väestöennuste'!P164*1000</f>
        <v>-1520.6390729791328</v>
      </c>
      <c r="AH164" s="41">
        <f>O164/'1. Väestöennuste'!Q164*1000</f>
        <v>-2223.8992259220418</v>
      </c>
      <c r="AI164" s="41">
        <f>P164/'1. Väestöennuste'!R164*1000</f>
        <v>-2887.501427830025</v>
      </c>
      <c r="AK164" s="41">
        <f t="shared" si="29"/>
        <v>-1</v>
      </c>
      <c r="AL164" s="41">
        <f t="shared" si="30"/>
        <v>0</v>
      </c>
      <c r="AM164" s="41">
        <f t="shared" si="31"/>
        <v>0</v>
      </c>
      <c r="AN164" s="41">
        <f t="shared" si="32"/>
        <v>0</v>
      </c>
      <c r="AO164" s="41">
        <f t="shared" si="33"/>
        <v>-1</v>
      </c>
      <c r="AP164" s="41">
        <f t="shared" si="34"/>
        <v>-1</v>
      </c>
      <c r="AQ164" s="41">
        <f t="shared" si="35"/>
        <v>-1</v>
      </c>
      <c r="AR164" s="41">
        <f t="shared" si="36"/>
        <v>0</v>
      </c>
      <c r="AS164" s="41">
        <f t="shared" si="37"/>
        <v>-1</v>
      </c>
      <c r="AT164" s="41">
        <f t="shared" si="38"/>
        <v>-1</v>
      </c>
      <c r="AU164" s="41">
        <f t="shared" si="39"/>
        <v>-1</v>
      </c>
      <c r="AV164" s="41">
        <f t="shared" si="40"/>
        <v>-1</v>
      </c>
      <c r="AW164" s="41">
        <f t="shared" si="40"/>
        <v>-1</v>
      </c>
      <c r="AX164" s="41">
        <f t="shared" si="40"/>
        <v>-1</v>
      </c>
    </row>
    <row r="165" spans="1:50" ht="11.25" x14ac:dyDescent="0.2">
      <c r="A165" s="34">
        <v>498</v>
      </c>
      <c r="B165" s="88" t="s">
        <v>479</v>
      </c>
      <c r="C165" s="65">
        <v>-1164</v>
      </c>
      <c r="D165" s="65">
        <v>-887</v>
      </c>
      <c r="E165" s="65">
        <v>-35</v>
      </c>
      <c r="F165" s="65">
        <v>-157</v>
      </c>
      <c r="G165" s="41">
        <v>-923</v>
      </c>
      <c r="H165" s="41">
        <v>570</v>
      </c>
      <c r="I165" s="41">
        <v>1826.21066</v>
      </c>
      <c r="J165" s="41">
        <f>I165+'Tilikauden tulos'!J165+'9. Tulorahkorjauserät'!J165</f>
        <v>3319.0333795890874</v>
      </c>
      <c r="K165" s="41">
        <f>J165+'Tilikauden tulos'!K165+'9. Tulorahkorjauserät'!K165</f>
        <v>4335.2640883904696</v>
      </c>
      <c r="L165" s="41">
        <f>K165+'Tilikauden tulos'!L165+'9. Tulorahkorjauserät'!L165</f>
        <v>4458.4827267836608</v>
      </c>
      <c r="M165" s="41">
        <f>L165+'Tilikauden tulos'!M165+'9. Tulorahkorjauserät'!M165</f>
        <v>4491.376392386931</v>
      </c>
      <c r="N165" s="41">
        <f>M165+'Tilikauden tulos'!N165+'9. Tulorahkorjauserät'!N165</f>
        <v>4344.3151194743568</v>
      </c>
      <c r="O165" s="41">
        <f>N165+'Tilikauden tulos'!O165+'9. Tulorahkorjauserät'!O165</f>
        <v>3993.3336383133537</v>
      </c>
      <c r="P165" s="41">
        <f>O165+'Tilikauden tulos'!P165+'9. Tulorahkorjauserät'!P165</f>
        <v>3685.5486473092437</v>
      </c>
      <c r="T165" s="34">
        <v>498</v>
      </c>
      <c r="U165" s="88" t="s">
        <v>479</v>
      </c>
      <c r="V165" s="41">
        <f>C165/'1. Väestöennuste'!E165*1000</f>
        <v>-493.63867684478373</v>
      </c>
      <c r="W165" s="41">
        <f>D165/'1. Väestöennuste'!F165*1000</f>
        <v>-377.44680851063828</v>
      </c>
      <c r="X165" s="41">
        <f>E165/'1. Väestöennuste'!G165*1000</f>
        <v>-15.008576329331046</v>
      </c>
      <c r="Y165" s="41">
        <f>F165/'1. Väestöennuste'!H165*1000</f>
        <v>-68.290561113527616</v>
      </c>
      <c r="Z165" s="41">
        <f>G165/'1. Väestöennuste'!I165*1000</f>
        <v>-399.91334488734839</v>
      </c>
      <c r="AA165" s="41">
        <f>H165/'1. Väestöennuste'!J165*1000</f>
        <v>248.14976055724858</v>
      </c>
      <c r="AB165" s="41">
        <f>I165/'1. Väestöennuste'!K165*1000</f>
        <v>786.82062042223174</v>
      </c>
      <c r="AC165" s="41">
        <f>J165/'1. Väestöennuste'!L165*1000</f>
        <v>1455.0782023625986</v>
      </c>
      <c r="AD165" s="41">
        <f>K165/'1. Väestöennuste'!M165*1000</f>
        <v>1864.629715436761</v>
      </c>
      <c r="AE165" s="41">
        <f>L165/'1. Väestöennuste'!N165*1000</f>
        <v>1977.1542025648164</v>
      </c>
      <c r="AF165" s="41">
        <f>M165/'1. Väestöennuste'!O165*1000</f>
        <v>2000.6130923772521</v>
      </c>
      <c r="AG165" s="41">
        <f>N165/'1. Väestöennuste'!P165*1000</f>
        <v>1942.8958494965818</v>
      </c>
      <c r="AH165" s="41">
        <f>O165/'1. Väestöennuste'!Q165*1000</f>
        <v>1793.1448757581293</v>
      </c>
      <c r="AI165" s="41">
        <f>P165/'1. Väestöennuste'!R165*1000</f>
        <v>1662.4035396072368</v>
      </c>
      <c r="AK165" s="41">
        <f t="shared" si="29"/>
        <v>-1</v>
      </c>
      <c r="AL165" s="41">
        <f t="shared" si="30"/>
        <v>-1</v>
      </c>
      <c r="AM165" s="41">
        <f t="shared" si="31"/>
        <v>-1</v>
      </c>
      <c r="AN165" s="41">
        <f t="shared" si="32"/>
        <v>-1</v>
      </c>
      <c r="AO165" s="41">
        <f t="shared" si="33"/>
        <v>-1</v>
      </c>
      <c r="AP165" s="41">
        <f t="shared" si="34"/>
        <v>0</v>
      </c>
      <c r="AQ165" s="41">
        <f t="shared" si="35"/>
        <v>0</v>
      </c>
      <c r="AR165" s="41">
        <f t="shared" si="36"/>
        <v>0</v>
      </c>
      <c r="AS165" s="41">
        <f t="shared" si="37"/>
        <v>0</v>
      </c>
      <c r="AT165" s="41">
        <f t="shared" si="38"/>
        <v>0</v>
      </c>
      <c r="AU165" s="41">
        <f t="shared" si="39"/>
        <v>0</v>
      </c>
      <c r="AV165" s="41">
        <f t="shared" si="40"/>
        <v>0</v>
      </c>
      <c r="AW165" s="41">
        <f t="shared" si="40"/>
        <v>0</v>
      </c>
      <c r="AX165" s="41">
        <f t="shared" si="40"/>
        <v>0</v>
      </c>
    </row>
    <row r="166" spans="1:50" ht="11.25" x14ac:dyDescent="0.2">
      <c r="A166" s="34">
        <v>499</v>
      </c>
      <c r="B166" s="88" t="s">
        <v>480</v>
      </c>
      <c r="C166" s="65">
        <v>1068</v>
      </c>
      <c r="D166" s="65">
        <v>3715</v>
      </c>
      <c r="E166" s="65">
        <v>5866</v>
      </c>
      <c r="F166" s="65">
        <v>2821</v>
      </c>
      <c r="G166" s="41">
        <v>1337</v>
      </c>
      <c r="H166" s="41">
        <v>8996</v>
      </c>
      <c r="I166" s="41">
        <v>11231.35029</v>
      </c>
      <c r="J166" s="41">
        <f>I166+'Tilikauden tulos'!J166+'9. Tulorahkorjauserät'!J166</f>
        <v>11837.023182604582</v>
      </c>
      <c r="K166" s="41">
        <f>J166+'Tilikauden tulos'!K166+'9. Tulorahkorjauserät'!K166</f>
        <v>16592.880888523086</v>
      </c>
      <c r="L166" s="41">
        <f>K166+'Tilikauden tulos'!L166+'9. Tulorahkorjauserät'!L166</f>
        <v>14267.436521538719</v>
      </c>
      <c r="M166" s="41">
        <f>L166+'Tilikauden tulos'!M166+'9. Tulorahkorjauserät'!M166</f>
        <v>8199.643998543721</v>
      </c>
      <c r="N166" s="41">
        <f>M166+'Tilikauden tulos'!N166+'9. Tulorahkorjauserät'!N166</f>
        <v>2958.8376874204441</v>
      </c>
      <c r="O166" s="41">
        <f>N166+'Tilikauden tulos'!O166+'9. Tulorahkorjauserät'!O166</f>
        <v>-1967.8767158655319</v>
      </c>
      <c r="P166" s="41">
        <f>O166+'Tilikauden tulos'!P166+'9. Tulorahkorjauserät'!P166</f>
        <v>-5858.5950747357465</v>
      </c>
      <c r="T166" s="34">
        <v>499</v>
      </c>
      <c r="U166" s="88" t="s">
        <v>480</v>
      </c>
      <c r="V166" s="41">
        <f>C166/'1. Väestöennuste'!E166*1000</f>
        <v>55.331053776810691</v>
      </c>
      <c r="W166" s="41">
        <f>D166/'1. Väestöennuste'!F166*1000</f>
        <v>191.69246646026832</v>
      </c>
      <c r="X166" s="41">
        <f>E166/'1. Väestöennuste'!G166*1000</f>
        <v>302.62071811803548</v>
      </c>
      <c r="Y166" s="41">
        <f>F166/'1. Väestöennuste'!H166*1000</f>
        <v>145.08331619008436</v>
      </c>
      <c r="Z166" s="41">
        <f>G166/'1. Väestöennuste'!I166*1000</f>
        <v>68.747429041546695</v>
      </c>
      <c r="AA166" s="41">
        <f>H166/'1. Väestöennuste'!J166*1000</f>
        <v>462.44795147278057</v>
      </c>
      <c r="AB166" s="41">
        <f>I166/'1. Väestöennuste'!K166*1000</f>
        <v>574.90531787469286</v>
      </c>
      <c r="AC166" s="41">
        <f>J166/'1. Väestöennuste'!L166*1000</f>
        <v>602.02538819065114</v>
      </c>
      <c r="AD166" s="41">
        <f>K166/'1. Väestöennuste'!M166*1000</f>
        <v>839.59322413211987</v>
      </c>
      <c r="AE166" s="41">
        <f>L166/'1. Väestöennuste'!N166*1000</f>
        <v>730.8014404312205</v>
      </c>
      <c r="AF166" s="41">
        <f>M166/'1. Väestöennuste'!O166*1000</f>
        <v>420.06372943359224</v>
      </c>
      <c r="AG166" s="41">
        <f>N166/'1. Väestöennuste'!P166*1000</f>
        <v>151.64194789977674</v>
      </c>
      <c r="AH166" s="41">
        <f>O166/'1. Väestöennuste'!Q166*1000</f>
        <v>-100.92193014336796</v>
      </c>
      <c r="AI166" s="41">
        <f>P166/'1. Väestöennuste'!R166*1000</f>
        <v>-300.71835924113265</v>
      </c>
      <c r="AK166" s="41">
        <f t="shared" si="29"/>
        <v>0</v>
      </c>
      <c r="AL166" s="41">
        <f t="shared" si="30"/>
        <v>0</v>
      </c>
      <c r="AM166" s="41">
        <f t="shared" si="31"/>
        <v>0</v>
      </c>
      <c r="AN166" s="41">
        <f t="shared" si="32"/>
        <v>0</v>
      </c>
      <c r="AO166" s="41">
        <f t="shared" si="33"/>
        <v>0</v>
      </c>
      <c r="AP166" s="41">
        <f t="shared" si="34"/>
        <v>0</v>
      </c>
      <c r="AQ166" s="41">
        <f t="shared" si="35"/>
        <v>0</v>
      </c>
      <c r="AR166" s="41">
        <f t="shared" si="36"/>
        <v>0</v>
      </c>
      <c r="AS166" s="41">
        <f t="shared" si="37"/>
        <v>0</v>
      </c>
      <c r="AT166" s="41">
        <f t="shared" si="38"/>
        <v>0</v>
      </c>
      <c r="AU166" s="41">
        <f t="shared" si="39"/>
        <v>0</v>
      </c>
      <c r="AV166" s="41">
        <f t="shared" si="40"/>
        <v>0</v>
      </c>
      <c r="AW166" s="41">
        <f t="shared" si="40"/>
        <v>-1</v>
      </c>
      <c r="AX166" s="41">
        <f t="shared" si="40"/>
        <v>-1</v>
      </c>
    </row>
    <row r="167" spans="1:50" ht="11.25" x14ac:dyDescent="0.2">
      <c r="A167" s="34">
        <v>500</v>
      </c>
      <c r="B167" s="88" t="s">
        <v>481</v>
      </c>
      <c r="C167" s="65">
        <v>8273</v>
      </c>
      <c r="D167" s="65">
        <v>8565</v>
      </c>
      <c r="E167" s="65">
        <v>9039</v>
      </c>
      <c r="F167" s="65">
        <v>9267</v>
      </c>
      <c r="G167" s="41">
        <v>8065</v>
      </c>
      <c r="H167" s="41">
        <v>9589</v>
      </c>
      <c r="I167" s="41">
        <v>11675.206340000001</v>
      </c>
      <c r="J167" s="41">
        <f>I167+'Tilikauden tulos'!J167+'9. Tulorahkorjauserät'!J167</f>
        <v>11432.413499770149</v>
      </c>
      <c r="K167" s="41">
        <f>J167+'Tilikauden tulos'!K167+'9. Tulorahkorjauserät'!K167</f>
        <v>12757.891814438864</v>
      </c>
      <c r="L167" s="41">
        <f>K167+'Tilikauden tulos'!L167+'9. Tulorahkorjauserät'!L167</f>
        <v>13188.387602980834</v>
      </c>
      <c r="M167" s="41">
        <f>L167+'Tilikauden tulos'!M167+'9. Tulorahkorjauserät'!M167</f>
        <v>8913.8626009112559</v>
      </c>
      <c r="N167" s="41">
        <f>M167+'Tilikauden tulos'!N167+'9. Tulorahkorjauserät'!N167</f>
        <v>4228.5852338071054</v>
      </c>
      <c r="O167" s="41">
        <f>N167+'Tilikauden tulos'!O167+'9. Tulorahkorjauserät'!O167</f>
        <v>-810.94237461291414</v>
      </c>
      <c r="P167" s="41">
        <f>O167+'Tilikauden tulos'!P167+'9. Tulorahkorjauserät'!P167</f>
        <v>-5677.7708305759215</v>
      </c>
      <c r="T167" s="34">
        <v>500</v>
      </c>
      <c r="U167" s="88" t="s">
        <v>481</v>
      </c>
      <c r="V167" s="41">
        <f>C167/'1. Väestöennuste'!E167*1000</f>
        <v>844.95965682769895</v>
      </c>
      <c r="W167" s="41">
        <f>D167/'1. Väestöennuste'!F167*1000</f>
        <v>861.58334171612512</v>
      </c>
      <c r="X167" s="41">
        <f>E167/'1. Väestöennuste'!G167*1000</f>
        <v>895.21640091116171</v>
      </c>
      <c r="Y167" s="41">
        <f>F167/'1. Väestöennuste'!H167*1000</f>
        <v>911.20943952802361</v>
      </c>
      <c r="Z167" s="41">
        <f>G167/'1. Väestöennuste'!I167*1000</f>
        <v>793.48681621408889</v>
      </c>
      <c r="AA167" s="41">
        <f>H167/'1. Väestöennuste'!J167*1000</f>
        <v>933.96318301353858</v>
      </c>
      <c r="AB167" s="41">
        <f>I167/'1. Väestöennuste'!K167*1000</f>
        <v>1119.8164530980241</v>
      </c>
      <c r="AC167" s="41">
        <f>J167/'1. Väestöennuste'!L167*1000</f>
        <v>1090.2549589710234</v>
      </c>
      <c r="AD167" s="41">
        <f>K167/'1. Väestöennuste'!M167*1000</f>
        <v>1209.1642322470727</v>
      </c>
      <c r="AE167" s="41">
        <f>L167/'1. Väestöennuste'!N167*1000</f>
        <v>1240.7928876640169</v>
      </c>
      <c r="AF167" s="41">
        <f>M167/'1. Väestöennuste'!O167*1000</f>
        <v>833.07127111320142</v>
      </c>
      <c r="AG167" s="41">
        <f>N167/'1. Väestöennuste'!P167*1000</f>
        <v>392.88165323860494</v>
      </c>
      <c r="AH167" s="41">
        <f>O167/'1. Väestöennuste'!Q167*1000</f>
        <v>-74.955390943055207</v>
      </c>
      <c r="AI167" s="41">
        <f>P167/'1. Väestöennuste'!R167*1000</f>
        <v>-522.38208028115935</v>
      </c>
      <c r="AK167" s="41">
        <f t="shared" si="29"/>
        <v>0</v>
      </c>
      <c r="AL167" s="41">
        <f t="shared" si="30"/>
        <v>0</v>
      </c>
      <c r="AM167" s="41">
        <f t="shared" si="31"/>
        <v>0</v>
      </c>
      <c r="AN167" s="41">
        <f t="shared" si="32"/>
        <v>0</v>
      </c>
      <c r="AO167" s="41">
        <f t="shared" si="33"/>
        <v>0</v>
      </c>
      <c r="AP167" s="41">
        <f t="shared" si="34"/>
        <v>0</v>
      </c>
      <c r="AQ167" s="41">
        <f t="shared" si="35"/>
        <v>0</v>
      </c>
      <c r="AR167" s="41">
        <f t="shared" si="36"/>
        <v>0</v>
      </c>
      <c r="AS167" s="41">
        <f t="shared" si="37"/>
        <v>0</v>
      </c>
      <c r="AT167" s="41">
        <f t="shared" si="38"/>
        <v>0</v>
      </c>
      <c r="AU167" s="41">
        <f t="shared" si="39"/>
        <v>0</v>
      </c>
      <c r="AV167" s="41">
        <f t="shared" si="40"/>
        <v>0</v>
      </c>
      <c r="AW167" s="41">
        <f t="shared" si="40"/>
        <v>-1</v>
      </c>
      <c r="AX167" s="41">
        <f t="shared" si="40"/>
        <v>-1</v>
      </c>
    </row>
    <row r="168" spans="1:50" ht="11.25" x14ac:dyDescent="0.2">
      <c r="A168" s="34">
        <v>503</v>
      </c>
      <c r="B168" s="88" t="s">
        <v>482</v>
      </c>
      <c r="C168" s="65">
        <v>877</v>
      </c>
      <c r="D168" s="65">
        <v>1034</v>
      </c>
      <c r="E168" s="65">
        <v>12019</v>
      </c>
      <c r="F168" s="65">
        <v>8801</v>
      </c>
      <c r="G168" s="41">
        <v>2196</v>
      </c>
      <c r="H168" s="41">
        <v>4353</v>
      </c>
      <c r="I168" s="41">
        <v>4005.9911899999993</v>
      </c>
      <c r="J168" s="41">
        <f>I168+'Tilikauden tulos'!J168+'9. Tulorahkorjauserät'!J168</f>
        <v>4401.7298276961437</v>
      </c>
      <c r="K168" s="41">
        <f>J168+'Tilikauden tulos'!K168+'9. Tulorahkorjauserät'!K168</f>
        <v>4096.0008827142128</v>
      </c>
      <c r="L168" s="41">
        <f>K168+'Tilikauden tulos'!L168+'9. Tulorahkorjauserät'!L168</f>
        <v>2602.7461559866006</v>
      </c>
      <c r="M168" s="41">
        <f>L168+'Tilikauden tulos'!M168+'9. Tulorahkorjauserät'!M168</f>
        <v>1308.6742770522151</v>
      </c>
      <c r="N168" s="41">
        <f>M168+'Tilikauden tulos'!N168+'9. Tulorahkorjauserät'!N168</f>
        <v>11.279022888975305</v>
      </c>
      <c r="O168" s="41">
        <f>N168+'Tilikauden tulos'!O168+'9. Tulorahkorjauserät'!O168</f>
        <v>-1344.4269748802942</v>
      </c>
      <c r="P168" s="41">
        <f>O168+'Tilikauden tulos'!P168+'9. Tulorahkorjauserät'!P168</f>
        <v>-2015.2641225063533</v>
      </c>
      <c r="T168" s="34">
        <v>503</v>
      </c>
      <c r="U168" s="88" t="s">
        <v>482</v>
      </c>
      <c r="V168" s="41">
        <f>C168/'1. Väestöennuste'!E168*1000</f>
        <v>111.59180557322814</v>
      </c>
      <c r="W168" s="41">
        <f>D168/'1. Väestöennuste'!F168*1000</f>
        <v>131.85411884723285</v>
      </c>
      <c r="X168" s="41">
        <f>E168/'1. Väestöennuste'!G168*1000</f>
        <v>1533.4268946159734</v>
      </c>
      <c r="Y168" s="41">
        <f>F168/'1. Väestöennuste'!H168*1000</f>
        <v>1133.2732423383982</v>
      </c>
      <c r="Z168" s="41">
        <f>G168/'1. Väestöennuste'!I168*1000</f>
        <v>286.90880585314869</v>
      </c>
      <c r="AA168" s="41">
        <f>H168/'1. Väestöennuste'!J168*1000</f>
        <v>569.39175931981686</v>
      </c>
      <c r="AB168" s="41">
        <f>I168/'1. Väestöennuste'!K168*1000</f>
        <v>527.52056755333138</v>
      </c>
      <c r="AC168" s="41">
        <f>J168/'1. Väestöennuste'!L168*1000</f>
        <v>583.86123195332846</v>
      </c>
      <c r="AD168" s="41">
        <f>K168/'1. Väestöennuste'!M168*1000</f>
        <v>545.04336429996181</v>
      </c>
      <c r="AE168" s="41">
        <f>L168/'1. Väestöennuste'!N168*1000</f>
        <v>348.84682428449275</v>
      </c>
      <c r="AF168" s="41">
        <f>M168/'1. Väestöennuste'!O168*1000</f>
        <v>176.32366977259704</v>
      </c>
      <c r="AG168" s="41">
        <f>N168/'1. Väestöennuste'!P168*1000</f>
        <v>1.5272881366249567</v>
      </c>
      <c r="AH168" s="41">
        <f>O168/'1. Väestöennuste'!Q168*1000</f>
        <v>-182.89035163655205</v>
      </c>
      <c r="AI168" s="41">
        <f>P168/'1. Väestöennuste'!R168*1000</f>
        <v>-275.45983085105979</v>
      </c>
      <c r="AK168" s="41">
        <f t="shared" si="29"/>
        <v>0</v>
      </c>
      <c r="AL168" s="41">
        <f t="shared" si="30"/>
        <v>0</v>
      </c>
      <c r="AM168" s="41">
        <f t="shared" si="31"/>
        <v>0</v>
      </c>
      <c r="AN168" s="41">
        <f t="shared" si="32"/>
        <v>0</v>
      </c>
      <c r="AO168" s="41">
        <f t="shared" si="33"/>
        <v>0</v>
      </c>
      <c r="AP168" s="41">
        <f t="shared" si="34"/>
        <v>0</v>
      </c>
      <c r="AQ168" s="41">
        <f t="shared" si="35"/>
        <v>0</v>
      </c>
      <c r="AR168" s="41">
        <f t="shared" si="36"/>
        <v>0</v>
      </c>
      <c r="AS168" s="41">
        <f t="shared" si="37"/>
        <v>0</v>
      </c>
      <c r="AT168" s="41">
        <f t="shared" si="38"/>
        <v>0</v>
      </c>
      <c r="AU168" s="41">
        <f t="shared" si="39"/>
        <v>0</v>
      </c>
      <c r="AV168" s="41">
        <f t="shared" si="40"/>
        <v>0</v>
      </c>
      <c r="AW168" s="41">
        <f t="shared" si="40"/>
        <v>-1</v>
      </c>
      <c r="AX168" s="41">
        <f t="shared" si="40"/>
        <v>-1</v>
      </c>
    </row>
    <row r="169" spans="1:50" ht="11.25" x14ac:dyDescent="0.2">
      <c r="A169" s="34">
        <v>504</v>
      </c>
      <c r="B169" s="88" t="s">
        <v>483</v>
      </c>
      <c r="C169" s="65">
        <v>1786</v>
      </c>
      <c r="D169" s="65">
        <v>1504</v>
      </c>
      <c r="E169" s="65">
        <v>1271</v>
      </c>
      <c r="F169" s="65">
        <v>1395</v>
      </c>
      <c r="G169" s="41">
        <v>1743</v>
      </c>
      <c r="H169" s="41">
        <v>2645</v>
      </c>
      <c r="I169" s="41">
        <v>2576.759</v>
      </c>
      <c r="J169" s="41">
        <f>I169+'Tilikauden tulos'!J169+'9. Tulorahkorjauserät'!J169</f>
        <v>1453.201772779013</v>
      </c>
      <c r="K169" s="41">
        <f>J169+'Tilikauden tulos'!K169+'9. Tulorahkorjauserät'!K169</f>
        <v>970.57455464623195</v>
      </c>
      <c r="L169" s="41">
        <f>K169+'Tilikauden tulos'!L169+'9. Tulorahkorjauserät'!L169</f>
        <v>973.93410790835696</v>
      </c>
      <c r="M169" s="41">
        <f>L169+'Tilikauden tulos'!M169+'9. Tulorahkorjauserät'!M169</f>
        <v>-309.17221652422495</v>
      </c>
      <c r="N169" s="41">
        <f>M169+'Tilikauden tulos'!N169+'9. Tulorahkorjauserät'!N169</f>
        <v>-1602.8725729119856</v>
      </c>
      <c r="O169" s="41">
        <f>N169+'Tilikauden tulos'!O169+'9. Tulorahkorjauserät'!O169</f>
        <v>-3002.2864531507903</v>
      </c>
      <c r="P169" s="41">
        <f>O169+'Tilikauden tulos'!P169+'9. Tulorahkorjauserät'!P169</f>
        <v>-4266.0848918158954</v>
      </c>
      <c r="T169" s="34">
        <v>504</v>
      </c>
      <c r="U169" s="88" t="s">
        <v>483</v>
      </c>
      <c r="V169" s="41">
        <f>C169/'1. Väestöennuste'!E169*1000</f>
        <v>907.05942102590143</v>
      </c>
      <c r="W169" s="41">
        <f>D169/'1. Väestöennuste'!F169*1000</f>
        <v>757.30110775428</v>
      </c>
      <c r="X169" s="41">
        <f>E169/'1. Väestöennuste'!G169*1000</f>
        <v>645.50533265617059</v>
      </c>
      <c r="Y169" s="41">
        <f>F169/'1. Väestöennuste'!H169*1000</f>
        <v>725.80645161290329</v>
      </c>
      <c r="Z169" s="41">
        <f>G169/'1. Väestöennuste'!I169*1000</f>
        <v>926.14240170031883</v>
      </c>
      <c r="AA169" s="41">
        <f>H169/'1. Väestöennuste'!J169*1000</f>
        <v>1413.6825227151255</v>
      </c>
      <c r="AB169" s="41">
        <f>I169/'1. Väestöennuste'!K169*1000</f>
        <v>1418.9201541850221</v>
      </c>
      <c r="AC169" s="41">
        <f>J169/'1. Väestöennuste'!L169*1000</f>
        <v>823.81052878628861</v>
      </c>
      <c r="AD169" s="41">
        <f>K169/'1. Väestöennuste'!M169*1000</f>
        <v>565.93268492491654</v>
      </c>
      <c r="AE169" s="41">
        <f>L169/'1. Väestöennuste'!N169*1000</f>
        <v>544.09726698790894</v>
      </c>
      <c r="AF169" s="41">
        <f>M169/'1. Väestöennuste'!O169*1000</f>
        <v>-174.3780127040186</v>
      </c>
      <c r="AG169" s="41">
        <f>N169/'1. Väestöennuste'!P169*1000</f>
        <v>-912.7975927744792</v>
      </c>
      <c r="AH169" s="41">
        <f>O169/'1. Väestöennuste'!Q169*1000</f>
        <v>-1720.5079960749515</v>
      </c>
      <c r="AI169" s="41">
        <f>P169/'1. Väestöennuste'!R169*1000</f>
        <v>-2460.2565696746801</v>
      </c>
      <c r="AK169" s="41">
        <f t="shared" si="29"/>
        <v>0</v>
      </c>
      <c r="AL169" s="41">
        <f t="shared" si="30"/>
        <v>0</v>
      </c>
      <c r="AM169" s="41">
        <f t="shared" si="31"/>
        <v>0</v>
      </c>
      <c r="AN169" s="41">
        <f t="shared" si="32"/>
        <v>0</v>
      </c>
      <c r="AO169" s="41">
        <f t="shared" si="33"/>
        <v>0</v>
      </c>
      <c r="AP169" s="41">
        <f t="shared" si="34"/>
        <v>0</v>
      </c>
      <c r="AQ169" s="41">
        <f t="shared" si="35"/>
        <v>0</v>
      </c>
      <c r="AR169" s="41">
        <f t="shared" si="36"/>
        <v>0</v>
      </c>
      <c r="AS169" s="41">
        <f t="shared" si="37"/>
        <v>0</v>
      </c>
      <c r="AT169" s="41">
        <f t="shared" si="38"/>
        <v>0</v>
      </c>
      <c r="AU169" s="41">
        <f t="shared" si="39"/>
        <v>-1</v>
      </c>
      <c r="AV169" s="41">
        <f t="shared" si="40"/>
        <v>-1</v>
      </c>
      <c r="AW169" s="41">
        <f t="shared" si="40"/>
        <v>-1</v>
      </c>
      <c r="AX169" s="41">
        <f t="shared" si="40"/>
        <v>-1</v>
      </c>
    </row>
    <row r="170" spans="1:50" ht="11.25" x14ac:dyDescent="0.2">
      <c r="A170" s="34">
        <v>505</v>
      </c>
      <c r="B170" s="88" t="s">
        <v>484</v>
      </c>
      <c r="C170" s="65">
        <v>68779</v>
      </c>
      <c r="D170" s="65">
        <v>76348</v>
      </c>
      <c r="E170" s="65">
        <v>81233</v>
      </c>
      <c r="F170" s="65">
        <v>78088</v>
      </c>
      <c r="G170" s="41">
        <v>69805</v>
      </c>
      <c r="H170" s="41">
        <v>70758</v>
      </c>
      <c r="I170" s="41">
        <v>71339.9228</v>
      </c>
      <c r="J170" s="41">
        <f>I170+'Tilikauden tulos'!J170+'9. Tulorahkorjauserät'!J170</f>
        <v>73707.428283189438</v>
      </c>
      <c r="K170" s="41">
        <f>J170+'Tilikauden tulos'!K170+'9. Tulorahkorjauserät'!K170</f>
        <v>78272.887002773175</v>
      </c>
      <c r="L170" s="41">
        <f>K170+'Tilikauden tulos'!L170+'9. Tulorahkorjauserät'!L170</f>
        <v>80199.865816446385</v>
      </c>
      <c r="M170" s="41">
        <f>L170+'Tilikauden tulos'!M170+'9. Tulorahkorjauserät'!M170</f>
        <v>80874.260719392754</v>
      </c>
      <c r="N170" s="41">
        <f>M170+'Tilikauden tulos'!N170+'9. Tulorahkorjauserät'!N170</f>
        <v>80953.284660239457</v>
      </c>
      <c r="O170" s="41">
        <f>N170+'Tilikauden tulos'!O170+'9. Tulorahkorjauserät'!O170</f>
        <v>81254.760545757876</v>
      </c>
      <c r="P170" s="41">
        <f>O170+'Tilikauden tulos'!P170+'9. Tulorahkorjauserät'!P170</f>
        <v>82648.177403378882</v>
      </c>
      <c r="T170" s="34">
        <v>505</v>
      </c>
      <c r="U170" s="88" t="s">
        <v>484</v>
      </c>
      <c r="V170" s="41">
        <f>C170/'1. Väestöennuste'!E170*1000</f>
        <v>3325.0664732898235</v>
      </c>
      <c r="W170" s="41">
        <f>D170/'1. Väestöennuste'!F170*1000</f>
        <v>3661.2477820937033</v>
      </c>
      <c r="X170" s="41">
        <f>E170/'1. Väestöennuste'!G170*1000</f>
        <v>3904.8694899774073</v>
      </c>
      <c r="Y170" s="41">
        <f>F170/'1. Väestöennuste'!H170*1000</f>
        <v>3774.9202359083438</v>
      </c>
      <c r="Z170" s="41">
        <f>G170/'1. Väestöennuste'!I170*1000</f>
        <v>3368.8045943728584</v>
      </c>
      <c r="AA170" s="41">
        <f>H170/'1. Väestöennuste'!J170*1000</f>
        <v>3404.6095366405234</v>
      </c>
      <c r="AB170" s="41">
        <f>I170/'1. Väestöennuste'!K170*1000</f>
        <v>3423.713720785142</v>
      </c>
      <c r="AC170" s="41">
        <f>J170/'1. Väestöennuste'!L170*1000</f>
        <v>3524.6474886758529</v>
      </c>
      <c r="AD170" s="41">
        <f>K170/'1. Väestöennuste'!M170*1000</f>
        <v>3734.9280432682722</v>
      </c>
      <c r="AE170" s="41">
        <f>L170/'1. Väestöennuste'!N170*1000</f>
        <v>3839.1510682836947</v>
      </c>
      <c r="AF170" s="41">
        <f>M170/'1. Väestöennuste'!O170*1000</f>
        <v>3864.5893209438882</v>
      </c>
      <c r="AG170" s="41">
        <f>N170/'1. Väestöennuste'!P170*1000</f>
        <v>3860.4332217567694</v>
      </c>
      <c r="AH170" s="41">
        <f>O170/'1. Väestöennuste'!Q170*1000</f>
        <v>3867.2486100498727</v>
      </c>
      <c r="AI170" s="41">
        <f>P170/'1. Väestöennuste'!R170*1000</f>
        <v>3926.6522901643334</v>
      </c>
      <c r="AK170" s="41">
        <f t="shared" si="29"/>
        <v>0</v>
      </c>
      <c r="AL170" s="41">
        <f t="shared" si="30"/>
        <v>0</v>
      </c>
      <c r="AM170" s="41">
        <f t="shared" si="31"/>
        <v>0</v>
      </c>
      <c r="AN170" s="41">
        <f t="shared" si="32"/>
        <v>0</v>
      </c>
      <c r="AO170" s="41">
        <f t="shared" si="33"/>
        <v>0</v>
      </c>
      <c r="AP170" s="41">
        <f t="shared" si="34"/>
        <v>0</v>
      </c>
      <c r="AQ170" s="41">
        <f t="shared" si="35"/>
        <v>0</v>
      </c>
      <c r="AR170" s="41">
        <f t="shared" si="36"/>
        <v>0</v>
      </c>
      <c r="AS170" s="41">
        <f t="shared" si="37"/>
        <v>0</v>
      </c>
      <c r="AT170" s="41">
        <f t="shared" si="38"/>
        <v>0</v>
      </c>
      <c r="AU170" s="41">
        <f t="shared" si="39"/>
        <v>0</v>
      </c>
      <c r="AV170" s="41">
        <f t="shared" si="40"/>
        <v>0</v>
      </c>
      <c r="AW170" s="41">
        <f t="shared" si="40"/>
        <v>0</v>
      </c>
      <c r="AX170" s="41">
        <f t="shared" si="40"/>
        <v>0</v>
      </c>
    </row>
    <row r="171" spans="1:50" ht="11.25" x14ac:dyDescent="0.2">
      <c r="A171" s="34">
        <v>507</v>
      </c>
      <c r="B171" s="88" t="s">
        <v>485</v>
      </c>
      <c r="C171" s="65">
        <v>4997</v>
      </c>
      <c r="D171" s="65">
        <v>5389</v>
      </c>
      <c r="E171" s="65">
        <v>5562</v>
      </c>
      <c r="F171" s="65">
        <v>5713</v>
      </c>
      <c r="G171" s="41">
        <v>3293</v>
      </c>
      <c r="H171" s="41">
        <v>5454</v>
      </c>
      <c r="I171" s="41">
        <v>5318.5534699999998</v>
      </c>
      <c r="J171" s="41">
        <f>I171+'Tilikauden tulos'!J171+'9. Tulorahkorjauserät'!J171</f>
        <v>6707.3470575627562</v>
      </c>
      <c r="K171" s="41">
        <f>J171+'Tilikauden tulos'!K171+'9. Tulorahkorjauserät'!K171</f>
        <v>7472.5489445684525</v>
      </c>
      <c r="L171" s="41">
        <f>K171+'Tilikauden tulos'!L171+'9. Tulorahkorjauserät'!L171</f>
        <v>7187.265957497094</v>
      </c>
      <c r="M171" s="41">
        <f>L171+'Tilikauden tulos'!M171+'9. Tulorahkorjauserät'!M171</f>
        <v>4903.7548515422113</v>
      </c>
      <c r="N171" s="41">
        <f>M171+'Tilikauden tulos'!N171+'9. Tulorahkorjauserät'!N171</f>
        <v>2115.3224890373917</v>
      </c>
      <c r="O171" s="41">
        <f>N171+'Tilikauden tulos'!O171+'9. Tulorahkorjauserät'!O171</f>
        <v>-610.98758603099213</v>
      </c>
      <c r="P171" s="41">
        <f>O171+'Tilikauden tulos'!P171+'9. Tulorahkorjauserät'!P171</f>
        <v>-2251.2661531364106</v>
      </c>
      <c r="T171" s="34">
        <v>507</v>
      </c>
      <c r="U171" s="88" t="s">
        <v>485</v>
      </c>
      <c r="V171" s="41">
        <f>C171/'1. Väestöennuste'!E171*1000</f>
        <v>811.33300860529312</v>
      </c>
      <c r="W171" s="41">
        <f>D171/'1. Väestöennuste'!F171*1000</f>
        <v>883.87731671313759</v>
      </c>
      <c r="X171" s="41">
        <f>E171/'1. Väestöennuste'!G171*1000</f>
        <v>918.73141724479683</v>
      </c>
      <c r="Y171" s="41">
        <f>F171/'1. Väestöennuste'!H171*1000</f>
        <v>964.38217420661715</v>
      </c>
      <c r="Z171" s="41">
        <f>G171/'1. Väestöennuste'!I171*1000</f>
        <v>568.64099464686581</v>
      </c>
      <c r="AA171" s="41">
        <f>H171/'1. Väestöennuste'!J171*1000</f>
        <v>960.88794926004232</v>
      </c>
      <c r="AB171" s="41">
        <f>I171/'1. Väestöennuste'!K171*1000</f>
        <v>943.84267435669926</v>
      </c>
      <c r="AC171" s="41">
        <f>J171/'1. Väestöennuste'!L171*1000</f>
        <v>1205.4901253707326</v>
      </c>
      <c r="AD171" s="41">
        <f>K171/'1. Väestöennuste'!M171*1000</f>
        <v>1353.2323333155473</v>
      </c>
      <c r="AE171" s="41">
        <f>L171/'1. Väestöennuste'!N171*1000</f>
        <v>1335.923040426969</v>
      </c>
      <c r="AF171" s="41">
        <f>M171/'1. Väestöennuste'!O171*1000</f>
        <v>717.02805257233683</v>
      </c>
      <c r="AG171" s="41">
        <f>N171/'1. Väestöennuste'!P171*1000</f>
        <v>312.96382438783724</v>
      </c>
      <c r="AH171" s="41">
        <f>O171/'1. Väestöennuste'!Q171*1000</f>
        <v>-91.410470680878547</v>
      </c>
      <c r="AI171" s="41">
        <f>P171/'1. Väestöennuste'!R171*1000</f>
        <v>-340.3789164101014</v>
      </c>
      <c r="AK171" s="41">
        <f t="shared" si="29"/>
        <v>0</v>
      </c>
      <c r="AL171" s="41">
        <f t="shared" si="30"/>
        <v>0</v>
      </c>
      <c r="AM171" s="41">
        <f t="shared" si="31"/>
        <v>0</v>
      </c>
      <c r="AN171" s="41">
        <f t="shared" si="32"/>
        <v>0</v>
      </c>
      <c r="AO171" s="41">
        <f t="shared" si="33"/>
        <v>0</v>
      </c>
      <c r="AP171" s="41">
        <f t="shared" si="34"/>
        <v>0</v>
      </c>
      <c r="AQ171" s="41">
        <f t="shared" si="35"/>
        <v>0</v>
      </c>
      <c r="AR171" s="41">
        <f t="shared" si="36"/>
        <v>0</v>
      </c>
      <c r="AS171" s="41">
        <f t="shared" si="37"/>
        <v>0</v>
      </c>
      <c r="AT171" s="41">
        <f t="shared" si="38"/>
        <v>0</v>
      </c>
      <c r="AU171" s="41">
        <f t="shared" si="39"/>
        <v>0</v>
      </c>
      <c r="AV171" s="41">
        <f t="shared" si="40"/>
        <v>0</v>
      </c>
      <c r="AW171" s="41">
        <f t="shared" si="40"/>
        <v>-1</v>
      </c>
      <c r="AX171" s="41">
        <f t="shared" si="40"/>
        <v>-1</v>
      </c>
    </row>
    <row r="172" spans="1:50" ht="11.25" x14ac:dyDescent="0.2">
      <c r="A172" s="34">
        <v>508</v>
      </c>
      <c r="B172" s="88" t="s">
        <v>486</v>
      </c>
      <c r="C172" s="65">
        <v>648</v>
      </c>
      <c r="D172" s="65">
        <v>934</v>
      </c>
      <c r="E172" s="65">
        <v>3945</v>
      </c>
      <c r="F172" s="65">
        <v>2794</v>
      </c>
      <c r="G172" s="41">
        <v>884</v>
      </c>
      <c r="H172" s="41">
        <v>1053</v>
      </c>
      <c r="I172" s="41">
        <v>-1070.5430800000001</v>
      </c>
      <c r="J172" s="41">
        <f>I172+'Tilikauden tulos'!J172+'9. Tulorahkorjauserät'!J172</f>
        <v>-1669.3982019959376</v>
      </c>
      <c r="K172" s="41">
        <f>J172+'Tilikauden tulos'!K172+'9. Tulorahkorjauserät'!K172</f>
        <v>303.10216233349342</v>
      </c>
      <c r="L172" s="41">
        <f>K172+'Tilikauden tulos'!L172+'9. Tulorahkorjauserät'!L172</f>
        <v>3895.8893311044385</v>
      </c>
      <c r="M172" s="41">
        <f>L172+'Tilikauden tulos'!M172+'9. Tulorahkorjauserät'!M172</f>
        <v>6358.0120837774066</v>
      </c>
      <c r="N172" s="41">
        <f>M172+'Tilikauden tulos'!N172+'9. Tulorahkorjauserät'!N172</f>
        <v>7120.2887801225515</v>
      </c>
      <c r="O172" s="41">
        <f>N172+'Tilikauden tulos'!O172+'9. Tulorahkorjauserät'!O172</f>
        <v>8385.4444540545464</v>
      </c>
      <c r="P172" s="41">
        <f>O172+'Tilikauden tulos'!P172+'9. Tulorahkorjauserät'!P172</f>
        <v>11153.574870110686</v>
      </c>
      <c r="T172" s="34">
        <v>508</v>
      </c>
      <c r="U172" s="88" t="s">
        <v>486</v>
      </c>
      <c r="V172" s="41">
        <f>C172/'1. Väestöennuste'!E172*1000</f>
        <v>61.109015465861944</v>
      </c>
      <c r="W172" s="41">
        <f>D172/'1. Väestöennuste'!F172*1000</f>
        <v>89.395099540581938</v>
      </c>
      <c r="X172" s="41">
        <f>E172/'1. Väestöennuste'!G172*1000</f>
        <v>384.65288611544463</v>
      </c>
      <c r="Y172" s="41">
        <f>F172/'1. Väestöennuste'!H172*1000</f>
        <v>279.87578884102976</v>
      </c>
      <c r="Z172" s="41">
        <f>G172/'1. Väestöennuste'!I172*1000</f>
        <v>89.70065956367327</v>
      </c>
      <c r="AA172" s="41">
        <f>H172/'1. Väestöennuste'!J172*1000</f>
        <v>108.85971260208829</v>
      </c>
      <c r="AB172" s="41">
        <f>I172/'1. Väestöennuste'!K172*1000</f>
        <v>-111.94636411168045</v>
      </c>
      <c r="AC172" s="41">
        <f>J172/'1. Väestöennuste'!L172*1000</f>
        <v>-178.35450876024976</v>
      </c>
      <c r="AD172" s="41">
        <f>K172/'1. Väestöennuste'!M172*1000</f>
        <v>32.693578075018166</v>
      </c>
      <c r="AE172" s="41">
        <f>L172/'1. Väestöennuste'!N172*1000</f>
        <v>434.85761034763237</v>
      </c>
      <c r="AF172" s="41">
        <f>M172/'1. Väestöennuste'!O172*1000</f>
        <v>721.43561599652867</v>
      </c>
      <c r="AG172" s="41">
        <f>N172/'1. Väestöennuste'!P172*1000</f>
        <v>820.68796451389483</v>
      </c>
      <c r="AH172" s="41">
        <f>O172/'1. Väestöennuste'!Q172*1000</f>
        <v>981.21278423292142</v>
      </c>
      <c r="AI172" s="41">
        <f>P172/'1. Väestöennuste'!R172*1000</f>
        <v>1323.8664534256006</v>
      </c>
      <c r="AK172" s="41">
        <f t="shared" si="29"/>
        <v>0</v>
      </c>
      <c r="AL172" s="41">
        <f t="shared" si="30"/>
        <v>0</v>
      </c>
      <c r="AM172" s="41">
        <f t="shared" si="31"/>
        <v>0</v>
      </c>
      <c r="AN172" s="41">
        <f t="shared" si="32"/>
        <v>0</v>
      </c>
      <c r="AO172" s="41">
        <f t="shared" si="33"/>
        <v>0</v>
      </c>
      <c r="AP172" s="41">
        <f t="shared" si="34"/>
        <v>0</v>
      </c>
      <c r="AQ172" s="41">
        <f t="shared" si="35"/>
        <v>-1</v>
      </c>
      <c r="AR172" s="41">
        <f t="shared" si="36"/>
        <v>-1</v>
      </c>
      <c r="AS172" s="41">
        <f t="shared" si="37"/>
        <v>0</v>
      </c>
      <c r="AT172" s="41">
        <f t="shared" si="38"/>
        <v>0</v>
      </c>
      <c r="AU172" s="41">
        <f t="shared" si="39"/>
        <v>0</v>
      </c>
      <c r="AV172" s="41">
        <f t="shared" si="40"/>
        <v>0</v>
      </c>
      <c r="AW172" s="41">
        <f t="shared" si="40"/>
        <v>0</v>
      </c>
      <c r="AX172" s="41">
        <f t="shared" si="40"/>
        <v>0</v>
      </c>
    </row>
    <row r="173" spans="1:50" ht="11.25" x14ac:dyDescent="0.2">
      <c r="A173" s="34">
        <v>529</v>
      </c>
      <c r="B173" s="88" t="s">
        <v>487</v>
      </c>
      <c r="C173" s="65">
        <v>43713</v>
      </c>
      <c r="D173" s="65">
        <v>47720</v>
      </c>
      <c r="E173" s="65">
        <v>55718</v>
      </c>
      <c r="F173" s="65">
        <v>60044</v>
      </c>
      <c r="G173" s="41">
        <v>49151</v>
      </c>
      <c r="H173" s="41">
        <v>59415</v>
      </c>
      <c r="I173" s="41">
        <v>61831.995880000002</v>
      </c>
      <c r="J173" s="41">
        <f>I173+'Tilikauden tulos'!J173+'9. Tulorahkorjauserät'!J173</f>
        <v>68071.405708753329</v>
      </c>
      <c r="K173" s="41">
        <f>J173+'Tilikauden tulos'!K173+'9. Tulorahkorjauserät'!K173</f>
        <v>77094.392999330099</v>
      </c>
      <c r="L173" s="41">
        <f>K173+'Tilikauden tulos'!L173+'9. Tulorahkorjauserät'!L173</f>
        <v>81127.521853692961</v>
      </c>
      <c r="M173" s="41">
        <f>L173+'Tilikauden tulos'!M173+'9. Tulorahkorjauserät'!M173</f>
        <v>84700.910456498677</v>
      </c>
      <c r="N173" s="41">
        <f>M173+'Tilikauden tulos'!N173+'9. Tulorahkorjauserät'!N173</f>
        <v>86163.71075889928</v>
      </c>
      <c r="O173" s="41">
        <f>N173+'Tilikauden tulos'!O173+'9. Tulorahkorjauserät'!O173</f>
        <v>87319.549666774721</v>
      </c>
      <c r="P173" s="41">
        <f>O173+'Tilikauden tulos'!P173+'9. Tulorahkorjauserät'!P173</f>
        <v>89395.919371640863</v>
      </c>
      <c r="T173" s="34">
        <v>529</v>
      </c>
      <c r="U173" s="88" t="s">
        <v>487</v>
      </c>
      <c r="V173" s="41">
        <f>C173/'1. Väestöennuste'!E173*1000</f>
        <v>2305.416380992564</v>
      </c>
      <c r="W173" s="41">
        <f>D173/'1. Väestöennuste'!F173*1000</f>
        <v>2502.6221942521502</v>
      </c>
      <c r="X173" s="41">
        <f>E173/'1. Väestöennuste'!G173*1000</f>
        <v>2906.9755308603326</v>
      </c>
      <c r="Y173" s="41">
        <f>F173/'1. Väestöennuste'!H173*1000</f>
        <v>3119.9792153806184</v>
      </c>
      <c r="Z173" s="41">
        <f>G173/'1. Väestöennuste'!I173*1000</f>
        <v>2544.8379413896655</v>
      </c>
      <c r="AA173" s="41">
        <f>H173/'1. Väestöennuste'!J173*1000</f>
        <v>3058.3723683533226</v>
      </c>
      <c r="AB173" s="41">
        <f>I173/'1. Väestöennuste'!K173*1000</f>
        <v>3158.0773216201032</v>
      </c>
      <c r="AC173" s="41">
        <f>J173/'1. Väestöennuste'!L173*1000</f>
        <v>3429.2899601387066</v>
      </c>
      <c r="AD173" s="41">
        <f>K173/'1. Väestöennuste'!M173*1000</f>
        <v>3854.9123955862842</v>
      </c>
      <c r="AE173" s="41">
        <f>L173/'1. Väestöennuste'!N173*1000</f>
        <v>4112.9288645725201</v>
      </c>
      <c r="AF173" s="41">
        <f>M173/'1. Väestöennuste'!O173*1000</f>
        <v>4277.8237604292262</v>
      </c>
      <c r="AG173" s="41">
        <f>N173/'1. Väestöennuste'!P173*1000</f>
        <v>4335.7173430734802</v>
      </c>
      <c r="AH173" s="41">
        <f>O173/'1. Väestöennuste'!Q173*1000</f>
        <v>4378.675642702573</v>
      </c>
      <c r="AI173" s="41">
        <f>P173/'1. Väestöennuste'!R173*1000</f>
        <v>4468.0087650760124</v>
      </c>
      <c r="AK173" s="41">
        <f t="shared" si="29"/>
        <v>0</v>
      </c>
      <c r="AL173" s="41">
        <f t="shared" si="30"/>
        <v>0</v>
      </c>
      <c r="AM173" s="41">
        <f t="shared" si="31"/>
        <v>0</v>
      </c>
      <c r="AN173" s="41">
        <f t="shared" si="32"/>
        <v>0</v>
      </c>
      <c r="AO173" s="41">
        <f t="shared" si="33"/>
        <v>0</v>
      </c>
      <c r="AP173" s="41">
        <f t="shared" si="34"/>
        <v>0</v>
      </c>
      <c r="AQ173" s="41">
        <f t="shared" si="35"/>
        <v>0</v>
      </c>
      <c r="AR173" s="41">
        <f t="shared" si="36"/>
        <v>0</v>
      </c>
      <c r="AS173" s="41">
        <f t="shared" si="37"/>
        <v>0</v>
      </c>
      <c r="AT173" s="41">
        <f t="shared" si="38"/>
        <v>0</v>
      </c>
      <c r="AU173" s="41">
        <f t="shared" si="39"/>
        <v>0</v>
      </c>
      <c r="AV173" s="41">
        <f t="shared" si="40"/>
        <v>0</v>
      </c>
      <c r="AW173" s="41">
        <f t="shared" si="40"/>
        <v>0</v>
      </c>
      <c r="AX173" s="41">
        <f t="shared" si="40"/>
        <v>0</v>
      </c>
    </row>
    <row r="174" spans="1:50" ht="11.25" x14ac:dyDescent="0.2">
      <c r="A174" s="34">
        <v>531</v>
      </c>
      <c r="B174" s="88" t="s">
        <v>488</v>
      </c>
      <c r="C174" s="65">
        <v>1918</v>
      </c>
      <c r="D174" s="65">
        <v>3047</v>
      </c>
      <c r="E174" s="65">
        <v>3128</v>
      </c>
      <c r="F174" s="65">
        <v>4047</v>
      </c>
      <c r="G174" s="41">
        <v>3171</v>
      </c>
      <c r="H174" s="41">
        <v>4452</v>
      </c>
      <c r="I174" s="41">
        <v>4352.9735300000002</v>
      </c>
      <c r="J174" s="41">
        <f>I174+'Tilikauden tulos'!J174+'9. Tulorahkorjauserät'!J174</f>
        <v>4887.9533120709129</v>
      </c>
      <c r="K174" s="41">
        <f>J174+'Tilikauden tulos'!K174+'9. Tulorahkorjauserät'!K174</f>
        <v>6792.6364203008861</v>
      </c>
      <c r="L174" s="41">
        <f>K174+'Tilikauden tulos'!L174+'9. Tulorahkorjauserät'!L174</f>
        <v>6122.3550158890685</v>
      </c>
      <c r="M174" s="41">
        <f>L174+'Tilikauden tulos'!M174+'9. Tulorahkorjauserät'!M174</f>
        <v>4418.3730745488792</v>
      </c>
      <c r="N174" s="41">
        <f>M174+'Tilikauden tulos'!N174+'9. Tulorahkorjauserät'!N174</f>
        <v>2710.6689114264946</v>
      </c>
      <c r="O174" s="41">
        <f>N174+'Tilikauden tulos'!O174+'9. Tulorahkorjauserät'!O174</f>
        <v>709.99578935924069</v>
      </c>
      <c r="P174" s="41">
        <f>O174+'Tilikauden tulos'!P174+'9. Tulorahkorjauserät'!P174</f>
        <v>-657.50502895643103</v>
      </c>
      <c r="T174" s="34">
        <v>531</v>
      </c>
      <c r="U174" s="88" t="s">
        <v>488</v>
      </c>
      <c r="V174" s="41">
        <f>C174/'1. Väestöennuste'!E174*1000</f>
        <v>339.40895416740403</v>
      </c>
      <c r="W174" s="41">
        <f>D174/'1. Väestöennuste'!F174*1000</f>
        <v>549.2069214131219</v>
      </c>
      <c r="X174" s="41">
        <f>E174/'1. Väestöennuste'!G174*1000</f>
        <v>566.56402825575083</v>
      </c>
      <c r="Y174" s="41">
        <f>F174/'1. Väestöennuste'!H174*1000</f>
        <v>744.34430752253081</v>
      </c>
      <c r="Z174" s="41">
        <f>G174/'1. Väestöennuste'!I174*1000</f>
        <v>595.04597485456929</v>
      </c>
      <c r="AA174" s="41">
        <f>H174/'1. Väestöennuste'!J174*1000</f>
        <v>847.03196347031962</v>
      </c>
      <c r="AB174" s="41">
        <f>I174/'1. Väestöennuste'!K174*1000</f>
        <v>842.13068872122278</v>
      </c>
      <c r="AC174" s="41">
        <f>J174/'1. Väestöennuste'!L174*1000</f>
        <v>963.71319244300332</v>
      </c>
      <c r="AD174" s="41">
        <f>K174/'1. Väestöennuste'!M174*1000</f>
        <v>1367.8285179824579</v>
      </c>
      <c r="AE174" s="41">
        <f>L174/'1. Väestöennuste'!N174*1000</f>
        <v>1230.1295993347537</v>
      </c>
      <c r="AF174" s="41">
        <f>M174/'1. Väestöennuste'!O174*1000</f>
        <v>900.42247290582418</v>
      </c>
      <c r="AG174" s="41">
        <f>N174/'1. Väestöennuste'!P174*1000</f>
        <v>560.05556021208565</v>
      </c>
      <c r="AH174" s="41">
        <f>O174/'1. Väestöennuste'!Q174*1000</f>
        <v>148.65908487421285</v>
      </c>
      <c r="AI174" s="41">
        <f>P174/'1. Väestöennuste'!R174*1000</f>
        <v>-139.50881157573332</v>
      </c>
      <c r="AK174" s="41">
        <f t="shared" si="29"/>
        <v>0</v>
      </c>
      <c r="AL174" s="41">
        <f t="shared" si="30"/>
        <v>0</v>
      </c>
      <c r="AM174" s="41">
        <f t="shared" si="31"/>
        <v>0</v>
      </c>
      <c r="AN174" s="41">
        <f t="shared" si="32"/>
        <v>0</v>
      </c>
      <c r="AO174" s="41">
        <f t="shared" si="33"/>
        <v>0</v>
      </c>
      <c r="AP174" s="41">
        <f t="shared" si="34"/>
        <v>0</v>
      </c>
      <c r="AQ174" s="41">
        <f t="shared" si="35"/>
        <v>0</v>
      </c>
      <c r="AR174" s="41">
        <f t="shared" si="36"/>
        <v>0</v>
      </c>
      <c r="AS174" s="41">
        <f t="shared" si="37"/>
        <v>0</v>
      </c>
      <c r="AT174" s="41">
        <f t="shared" si="38"/>
        <v>0</v>
      </c>
      <c r="AU174" s="41">
        <f t="shared" si="39"/>
        <v>0</v>
      </c>
      <c r="AV174" s="41">
        <f t="shared" si="40"/>
        <v>0</v>
      </c>
      <c r="AW174" s="41">
        <f t="shared" si="40"/>
        <v>0</v>
      </c>
      <c r="AX174" s="41">
        <f t="shared" si="40"/>
        <v>-1</v>
      </c>
    </row>
    <row r="175" spans="1:50" ht="11.25" x14ac:dyDescent="0.2">
      <c r="A175" s="34">
        <v>535</v>
      </c>
      <c r="B175" s="88" t="s">
        <v>489</v>
      </c>
      <c r="C175" s="65">
        <v>2588</v>
      </c>
      <c r="D175" s="65">
        <v>3659</v>
      </c>
      <c r="E175" s="65">
        <v>6243</v>
      </c>
      <c r="F175" s="65">
        <v>6626</v>
      </c>
      <c r="G175" s="41">
        <v>6053</v>
      </c>
      <c r="H175" s="41">
        <v>9896</v>
      </c>
      <c r="I175" s="41">
        <v>12238.047759999999</v>
      </c>
      <c r="J175" s="41">
        <f>I175+'Tilikauden tulos'!J175+'9. Tulorahkorjauserät'!J175</f>
        <v>11284.837643972851</v>
      </c>
      <c r="K175" s="41">
        <f>J175+'Tilikauden tulos'!K175+'9. Tulorahkorjauserät'!K175</f>
        <v>11965.164985443385</v>
      </c>
      <c r="L175" s="41">
        <f>K175+'Tilikauden tulos'!L175+'9. Tulorahkorjauserät'!L175</f>
        <v>11160.279657212355</v>
      </c>
      <c r="M175" s="41">
        <f>L175+'Tilikauden tulos'!M175+'9. Tulorahkorjauserät'!M175</f>
        <v>9973.0224105966518</v>
      </c>
      <c r="N175" s="41">
        <f>M175+'Tilikauden tulos'!N175+'9. Tulorahkorjauserät'!N175</f>
        <v>9707.2958273554523</v>
      </c>
      <c r="O175" s="41">
        <f>N175+'Tilikauden tulos'!O175+'9. Tulorahkorjauserät'!O175</f>
        <v>9656.4952202341374</v>
      </c>
      <c r="P175" s="41">
        <f>O175+'Tilikauden tulos'!P175+'9. Tulorahkorjauserät'!P175</f>
        <v>10967.516422578148</v>
      </c>
      <c r="T175" s="34">
        <v>535</v>
      </c>
      <c r="U175" s="88" t="s">
        <v>489</v>
      </c>
      <c r="V175" s="41">
        <f>C175/'1. Väestöennuste'!E175*1000</f>
        <v>237.95513056270687</v>
      </c>
      <c r="W175" s="41">
        <f>D175/'1. Väestöennuste'!F175*1000</f>
        <v>336.02718339608776</v>
      </c>
      <c r="X175" s="41">
        <f>E175/'1. Väestöennuste'!G175*1000</f>
        <v>577.25381414701803</v>
      </c>
      <c r="Y175" s="41">
        <f>F175/'1. Väestöennuste'!H175*1000</f>
        <v>617.1183757101611</v>
      </c>
      <c r="Z175" s="41">
        <f>G175/'1. Väestöennuste'!I175*1000</f>
        <v>568.94444966632204</v>
      </c>
      <c r="AA175" s="41">
        <f>H175/'1. Väestöennuste'!J175*1000</f>
        <v>942.47619047619048</v>
      </c>
      <c r="AB175" s="41">
        <f>I175/'1. Väestöennuste'!K175*1000</f>
        <v>1177.1881262023855</v>
      </c>
      <c r="AC175" s="41">
        <f>J175/'1. Väestöennuste'!L175*1000</f>
        <v>1083.1017990184134</v>
      </c>
      <c r="AD175" s="41">
        <f>K175/'1. Väestöennuste'!M175*1000</f>
        <v>1144.5537579341292</v>
      </c>
      <c r="AE175" s="41">
        <f>L175/'1. Väestöennuste'!N175*1000</f>
        <v>1109.0410073747746</v>
      </c>
      <c r="AF175" s="41">
        <f>M175/'1. Väestöennuste'!O175*1000</f>
        <v>1001.6091604495984</v>
      </c>
      <c r="AG175" s="41">
        <f>N175/'1. Väestöennuste'!P175*1000</f>
        <v>985.81251420284877</v>
      </c>
      <c r="AH175" s="41">
        <f>O175/'1. Väestöennuste'!Q175*1000</f>
        <v>991.73207561200957</v>
      </c>
      <c r="AI175" s="41">
        <f>P175/'1. Väestöennuste'!R175*1000</f>
        <v>1139.0088713862444</v>
      </c>
      <c r="AK175" s="41">
        <f t="shared" si="29"/>
        <v>0</v>
      </c>
      <c r="AL175" s="41">
        <f t="shared" si="30"/>
        <v>0</v>
      </c>
      <c r="AM175" s="41">
        <f t="shared" si="31"/>
        <v>0</v>
      </c>
      <c r="AN175" s="41">
        <f t="shared" si="32"/>
        <v>0</v>
      </c>
      <c r="AO175" s="41">
        <f t="shared" si="33"/>
        <v>0</v>
      </c>
      <c r="AP175" s="41">
        <f t="shared" si="34"/>
        <v>0</v>
      </c>
      <c r="AQ175" s="41">
        <f t="shared" si="35"/>
        <v>0</v>
      </c>
      <c r="AR175" s="41">
        <f t="shared" si="36"/>
        <v>0</v>
      </c>
      <c r="AS175" s="41">
        <f t="shared" si="37"/>
        <v>0</v>
      </c>
      <c r="AT175" s="41">
        <f t="shared" si="38"/>
        <v>0</v>
      </c>
      <c r="AU175" s="41">
        <f t="shared" si="39"/>
        <v>0</v>
      </c>
      <c r="AV175" s="41">
        <f t="shared" si="40"/>
        <v>0</v>
      </c>
      <c r="AW175" s="41">
        <f t="shared" si="40"/>
        <v>0</v>
      </c>
      <c r="AX175" s="41">
        <f t="shared" si="40"/>
        <v>0</v>
      </c>
    </row>
    <row r="176" spans="1:50" ht="11.25" x14ac:dyDescent="0.2">
      <c r="A176" s="34">
        <v>536</v>
      </c>
      <c r="B176" s="88" t="s">
        <v>490</v>
      </c>
      <c r="C176" s="65">
        <v>12729</v>
      </c>
      <c r="D176" s="65">
        <v>11546</v>
      </c>
      <c r="E176" s="65">
        <v>7121</v>
      </c>
      <c r="F176" s="65">
        <v>5626</v>
      </c>
      <c r="G176" s="41">
        <v>-146</v>
      </c>
      <c r="H176" s="41">
        <v>13807</v>
      </c>
      <c r="I176" s="41">
        <v>23646.169959999999</v>
      </c>
      <c r="J176" s="41">
        <f>I176+'Tilikauden tulos'!J176+'9. Tulorahkorjauserät'!J176</f>
        <v>23932.681308394574</v>
      </c>
      <c r="K176" s="41">
        <f>J176+'Tilikauden tulos'!K176+'9. Tulorahkorjauserät'!K176</f>
        <v>30849.668135197215</v>
      </c>
      <c r="L176" s="41">
        <f>K176+'Tilikauden tulos'!L176+'9. Tulorahkorjauserät'!L176</f>
        <v>31956.735271656216</v>
      </c>
      <c r="M176" s="41">
        <f>L176+'Tilikauden tulos'!M176+'9. Tulorahkorjauserät'!M176</f>
        <v>29037.049232751197</v>
      </c>
      <c r="N176" s="41">
        <f>M176+'Tilikauden tulos'!N176+'9. Tulorahkorjauserät'!N176</f>
        <v>25027.64175150669</v>
      </c>
      <c r="O176" s="41">
        <f>N176+'Tilikauden tulos'!O176+'9. Tulorahkorjauserät'!O176</f>
        <v>20834.59022529926</v>
      </c>
      <c r="P176" s="41">
        <f>O176+'Tilikauden tulos'!P176+'9. Tulorahkorjauserät'!P176</f>
        <v>17948.939852912776</v>
      </c>
      <c r="T176" s="34">
        <v>536</v>
      </c>
      <c r="U176" s="88" t="s">
        <v>490</v>
      </c>
      <c r="V176" s="41">
        <f>C176/'1. Väestöennuste'!E176*1000</f>
        <v>383.84295277727523</v>
      </c>
      <c r="W176" s="41">
        <f>D176/'1. Väestöennuste'!F176*1000</f>
        <v>347.66636555254445</v>
      </c>
      <c r="X176" s="41">
        <f>E176/'1. Väestöennuste'!G176*1000</f>
        <v>213.70265890402737</v>
      </c>
      <c r="Y176" s="41">
        <f>F176/'1. Väestöennuste'!H176*1000</f>
        <v>167.80505264413756</v>
      </c>
      <c r="Z176" s="41">
        <f>G176/'1. Väestöennuste'!I176*1000</f>
        <v>-4.303103539744761</v>
      </c>
      <c r="AA176" s="41">
        <f>H176/'1. Väestöennuste'!J176*1000</f>
        <v>400.48149437289709</v>
      </c>
      <c r="AB176" s="41">
        <f>I176/'1. Väestöennuste'!K176*1000</f>
        <v>677.85144937507164</v>
      </c>
      <c r="AC176" s="41">
        <f>J176/'1. Väestöennuste'!L176*1000</f>
        <v>677.09730403424931</v>
      </c>
      <c r="AD176" s="41">
        <f>K176/'1. Väestöennuste'!M176*1000</f>
        <v>865.42116125332325</v>
      </c>
      <c r="AE176" s="41">
        <f>L176/'1. Väestöennuste'!N176*1000</f>
        <v>899.93622280079455</v>
      </c>
      <c r="AF176" s="41">
        <f>M176/'1. Väestöennuste'!O176*1000</f>
        <v>812.65705501528635</v>
      </c>
      <c r="AG176" s="41">
        <f>N176/'1. Väestöennuste'!P176*1000</f>
        <v>696.33414254929301</v>
      </c>
      <c r="AH176" s="41">
        <f>O176/'1. Väestöennuste'!Q176*1000</f>
        <v>576.51263801708023</v>
      </c>
      <c r="AI176" s="41">
        <f>P176/'1. Väestöennuste'!R176*1000</f>
        <v>494.1616610570116</v>
      </c>
      <c r="AK176" s="41">
        <f t="shared" si="29"/>
        <v>0</v>
      </c>
      <c r="AL176" s="41">
        <f t="shared" si="30"/>
        <v>0</v>
      </c>
      <c r="AM176" s="41">
        <f t="shared" si="31"/>
        <v>0</v>
      </c>
      <c r="AN176" s="41">
        <f t="shared" si="32"/>
        <v>0</v>
      </c>
      <c r="AO176" s="41">
        <f t="shared" si="33"/>
        <v>-1</v>
      </c>
      <c r="AP176" s="41">
        <f t="shared" si="34"/>
        <v>0</v>
      </c>
      <c r="AQ176" s="41">
        <f t="shared" si="35"/>
        <v>0</v>
      </c>
      <c r="AR176" s="41">
        <f t="shared" si="36"/>
        <v>0</v>
      </c>
      <c r="AS176" s="41">
        <f t="shared" si="37"/>
        <v>0</v>
      </c>
      <c r="AT176" s="41">
        <f t="shared" si="38"/>
        <v>0</v>
      </c>
      <c r="AU176" s="41">
        <f t="shared" si="39"/>
        <v>0</v>
      </c>
      <c r="AV176" s="41">
        <f t="shared" si="40"/>
        <v>0</v>
      </c>
      <c r="AW176" s="41">
        <f t="shared" si="40"/>
        <v>0</v>
      </c>
      <c r="AX176" s="41">
        <f t="shared" si="40"/>
        <v>0</v>
      </c>
    </row>
    <row r="177" spans="1:50" ht="11.25" x14ac:dyDescent="0.2">
      <c r="A177" s="34">
        <v>538</v>
      </c>
      <c r="B177" s="88" t="s">
        <v>491</v>
      </c>
      <c r="C177" s="65">
        <v>-764</v>
      </c>
      <c r="D177" s="65">
        <v>998</v>
      </c>
      <c r="E177" s="65">
        <v>2255</v>
      </c>
      <c r="F177" s="65">
        <v>1554</v>
      </c>
      <c r="G177" s="41">
        <v>71</v>
      </c>
      <c r="H177" s="41">
        <v>2718</v>
      </c>
      <c r="I177" s="41">
        <v>2654.18127</v>
      </c>
      <c r="J177" s="41">
        <f>I177+'Tilikauden tulos'!J177+'9. Tulorahkorjauserät'!J177</f>
        <v>2315.1048014618195</v>
      </c>
      <c r="K177" s="41">
        <f>J177+'Tilikauden tulos'!K177+'9. Tulorahkorjauserät'!K177</f>
        <v>1603.157672493978</v>
      </c>
      <c r="L177" s="41">
        <f>K177+'Tilikauden tulos'!L177+'9. Tulorahkorjauserät'!L177</f>
        <v>892.01964314285897</v>
      </c>
      <c r="M177" s="41">
        <f>L177+'Tilikauden tulos'!M177+'9. Tulorahkorjauserät'!M177</f>
        <v>-783.691957407671</v>
      </c>
      <c r="N177" s="41">
        <f>M177+'Tilikauden tulos'!N177+'9. Tulorahkorjauserät'!N177</f>
        <v>-2810.3166369128462</v>
      </c>
      <c r="O177" s="41">
        <f>N177+'Tilikauden tulos'!O177+'9. Tulorahkorjauserät'!O177</f>
        <v>-5132.6687135866232</v>
      </c>
      <c r="P177" s="41">
        <f>O177+'Tilikauden tulos'!P177+'9. Tulorahkorjauserät'!P177</f>
        <v>-7416.9477828750123</v>
      </c>
      <c r="T177" s="34">
        <v>538</v>
      </c>
      <c r="U177" s="88" t="s">
        <v>491</v>
      </c>
      <c r="V177" s="41">
        <f>C177/'1. Väestöennuste'!E177*1000</f>
        <v>-157.23399876517803</v>
      </c>
      <c r="W177" s="41">
        <f>D177/'1. Väestöennuste'!F177*1000</f>
        <v>207.26895119418484</v>
      </c>
      <c r="X177" s="41">
        <f>E177/'1. Väestöennuste'!G177*1000</f>
        <v>468.52275088302514</v>
      </c>
      <c r="Y177" s="41">
        <f>F177/'1. Väestöennuste'!H177*1000</f>
        <v>328.33298119585885</v>
      </c>
      <c r="Z177" s="41">
        <f>G177/'1. Väestöennuste'!I177*1000</f>
        <v>15.05832449628844</v>
      </c>
      <c r="AA177" s="41">
        <f>H177/'1. Väestöennuste'!J177*1000</f>
        <v>579.16045173662906</v>
      </c>
      <c r="AB177" s="41">
        <f>I177/'1. Väestöennuste'!K177*1000</f>
        <v>566.0442034548945</v>
      </c>
      <c r="AC177" s="41">
        <f>J177/'1. Väestöennuste'!L177*1000</f>
        <v>498.51524579281215</v>
      </c>
      <c r="AD177" s="41">
        <f>K177/'1. Väestöennuste'!M177*1000</f>
        <v>341.46063311905817</v>
      </c>
      <c r="AE177" s="41">
        <f>L177/'1. Väestöennuste'!N177*1000</f>
        <v>193.37083094360696</v>
      </c>
      <c r="AF177" s="41">
        <f>M177/'1. Väestöennuste'!O177*1000</f>
        <v>-170.47899878348292</v>
      </c>
      <c r="AG177" s="41">
        <f>N177/'1. Väestöennuste'!P177*1000</f>
        <v>-613.4723066825685</v>
      </c>
      <c r="AH177" s="41">
        <f>O177/'1. Väestöennuste'!Q177*1000</f>
        <v>-1123.8600204919253</v>
      </c>
      <c r="AI177" s="41">
        <f>P177/'1. Väestöennuste'!R177*1000</f>
        <v>-1628.6666189888037</v>
      </c>
      <c r="AK177" s="41">
        <f t="shared" si="29"/>
        <v>-1</v>
      </c>
      <c r="AL177" s="41">
        <f t="shared" si="30"/>
        <v>0</v>
      </c>
      <c r="AM177" s="41">
        <f t="shared" si="31"/>
        <v>0</v>
      </c>
      <c r="AN177" s="41">
        <f t="shared" si="32"/>
        <v>0</v>
      </c>
      <c r="AO177" s="41">
        <f t="shared" si="33"/>
        <v>0</v>
      </c>
      <c r="AP177" s="41">
        <f t="shared" si="34"/>
        <v>0</v>
      </c>
      <c r="AQ177" s="41">
        <f t="shared" si="35"/>
        <v>0</v>
      </c>
      <c r="AR177" s="41">
        <f t="shared" si="36"/>
        <v>0</v>
      </c>
      <c r="AS177" s="41">
        <f t="shared" si="37"/>
        <v>0</v>
      </c>
      <c r="AT177" s="41">
        <f t="shared" si="38"/>
        <v>0</v>
      </c>
      <c r="AU177" s="41">
        <f t="shared" si="39"/>
        <v>-1</v>
      </c>
      <c r="AV177" s="41">
        <f t="shared" si="40"/>
        <v>-1</v>
      </c>
      <c r="AW177" s="41">
        <f t="shared" si="40"/>
        <v>-1</v>
      </c>
      <c r="AX177" s="41">
        <f t="shared" si="40"/>
        <v>-1</v>
      </c>
    </row>
    <row r="178" spans="1:50" ht="11.25" x14ac:dyDescent="0.2">
      <c r="A178" s="34">
        <v>541</v>
      </c>
      <c r="B178" s="88" t="s">
        <v>492</v>
      </c>
      <c r="C178" s="65">
        <v>6516</v>
      </c>
      <c r="D178" s="65">
        <v>7033</v>
      </c>
      <c r="E178" s="65">
        <v>8307</v>
      </c>
      <c r="F178" s="35">
        <v>14076</v>
      </c>
      <c r="G178" s="41">
        <v>9809</v>
      </c>
      <c r="H178" s="41">
        <v>14823</v>
      </c>
      <c r="I178" s="41">
        <v>16315.092059999999</v>
      </c>
      <c r="J178" s="41">
        <f>I178+'Tilikauden tulos'!J178+'9. Tulorahkorjauserät'!J178</f>
        <v>15666.925109844929</v>
      </c>
      <c r="K178" s="41">
        <f>J178+'Tilikauden tulos'!K178+'9. Tulorahkorjauserät'!K178</f>
        <v>16066.415629761696</v>
      </c>
      <c r="L178" s="41">
        <f>K178+'Tilikauden tulos'!L178+'9. Tulorahkorjauserät'!L178</f>
        <v>15433.340811522456</v>
      </c>
      <c r="M178" s="41">
        <f>L178+'Tilikauden tulos'!M178+'9. Tulorahkorjauserät'!M178</f>
        <v>13090.411404491999</v>
      </c>
      <c r="N178" s="41">
        <f>M178+'Tilikauden tulos'!N178+'9. Tulorahkorjauserät'!N178</f>
        <v>10815.219626929575</v>
      </c>
      <c r="O178" s="41">
        <f>N178+'Tilikauden tulos'!O178+'9. Tulorahkorjauserät'!O178</f>
        <v>7889.8120276019508</v>
      </c>
      <c r="P178" s="41">
        <f>O178+'Tilikauden tulos'!P178+'9. Tulorahkorjauserät'!P178</f>
        <v>6408.5388254419395</v>
      </c>
      <c r="T178" s="34">
        <v>541</v>
      </c>
      <c r="U178" s="88" t="s">
        <v>492</v>
      </c>
      <c r="V178" s="41">
        <f>C178/'1. Väestöennuste'!E178*1000</f>
        <v>814.90745372686342</v>
      </c>
      <c r="W178" s="41">
        <f>D178/'1. Väestöennuste'!F178*1000</f>
        <v>694.2744323790721</v>
      </c>
      <c r="X178" s="41">
        <f>E178/'1. Väestöennuste'!G178*1000</f>
        <v>832.11459481117902</v>
      </c>
      <c r="Y178" s="41">
        <f>F178/'1. Väestöennuste'!H178*1000</f>
        <v>1438.675388389207</v>
      </c>
      <c r="Z178" s="41">
        <f>G178/'1. Väestöennuste'!I178*1000</f>
        <v>1026.9053601340033</v>
      </c>
      <c r="AA178" s="41">
        <f>H178/'1. Väestöennuste'!J178*1000</f>
        <v>1560.151562993369</v>
      </c>
      <c r="AB178" s="41">
        <f>I178/'1. Väestöennuste'!K178*1000</f>
        <v>1731.4116587074179</v>
      </c>
      <c r="AC178" s="41">
        <f>J178/'1. Väestöennuste'!L178*1000</f>
        <v>1695.0043394833851</v>
      </c>
      <c r="AD178" s="41">
        <f>K178/'1. Väestöennuste'!M178*1000</f>
        <v>1759.7388422521026</v>
      </c>
      <c r="AE178" s="41">
        <f>L178/'1. Väestöennuste'!N178*1000</f>
        <v>1736.8153062708143</v>
      </c>
      <c r="AF178" s="41">
        <f>M178/'1. Väestöennuste'!O178*1000</f>
        <v>1496.7312376505831</v>
      </c>
      <c r="AG178" s="41">
        <f>N178/'1. Väestöennuste'!P178*1000</f>
        <v>1255.5397755896881</v>
      </c>
      <c r="AH178" s="41">
        <f>O178/'1. Väestöennuste'!Q178*1000</f>
        <v>929.30648146077158</v>
      </c>
      <c r="AI178" s="41">
        <f>P178/'1. Väestöennuste'!R178*1000</f>
        <v>765.4728649596201</v>
      </c>
      <c r="AK178" s="41">
        <f t="shared" si="29"/>
        <v>0</v>
      </c>
      <c r="AL178" s="41">
        <f t="shared" si="30"/>
        <v>0</v>
      </c>
      <c r="AM178" s="41">
        <f t="shared" si="31"/>
        <v>0</v>
      </c>
      <c r="AN178" s="41">
        <f t="shared" si="32"/>
        <v>0</v>
      </c>
      <c r="AO178" s="41">
        <f t="shared" si="33"/>
        <v>0</v>
      </c>
      <c r="AP178" s="41">
        <f t="shared" si="34"/>
        <v>0</v>
      </c>
      <c r="AQ178" s="41">
        <f t="shared" si="35"/>
        <v>0</v>
      </c>
      <c r="AR178" s="41">
        <f t="shared" si="36"/>
        <v>0</v>
      </c>
      <c r="AS178" s="41">
        <f t="shared" si="37"/>
        <v>0</v>
      </c>
      <c r="AT178" s="41">
        <f t="shared" si="38"/>
        <v>0</v>
      </c>
      <c r="AU178" s="41">
        <f t="shared" si="39"/>
        <v>0</v>
      </c>
      <c r="AV178" s="41">
        <f t="shared" si="40"/>
        <v>0</v>
      </c>
      <c r="AW178" s="41">
        <f t="shared" si="40"/>
        <v>0</v>
      </c>
      <c r="AX178" s="41">
        <f t="shared" si="40"/>
        <v>0</v>
      </c>
    </row>
    <row r="179" spans="1:50" ht="11.25" x14ac:dyDescent="0.2">
      <c r="A179" s="34">
        <v>543</v>
      </c>
      <c r="B179" s="88" t="s">
        <v>493</v>
      </c>
      <c r="C179" s="65">
        <v>54361</v>
      </c>
      <c r="D179" s="65">
        <v>60480</v>
      </c>
      <c r="E179" s="65">
        <v>65836</v>
      </c>
      <c r="F179" s="65">
        <v>53564</v>
      </c>
      <c r="G179" s="41">
        <v>37569</v>
      </c>
      <c r="H179" s="41">
        <v>40073</v>
      </c>
      <c r="I179" s="41">
        <v>43109.207310000005</v>
      </c>
      <c r="J179" s="41">
        <f>I179+'Tilikauden tulos'!J179+'9. Tulorahkorjauserät'!J179</f>
        <v>48026.608255996056</v>
      </c>
      <c r="K179" s="41">
        <f>J179+'Tilikauden tulos'!K179+'9. Tulorahkorjauserät'!K179</f>
        <v>57143.731293791308</v>
      </c>
      <c r="L179" s="41">
        <f>K179+'Tilikauden tulos'!L179+'9. Tulorahkorjauserät'!L179</f>
        <v>61525.659425606238</v>
      </c>
      <c r="M179" s="41">
        <f>L179+'Tilikauden tulos'!M179+'9. Tulorahkorjauserät'!M179</f>
        <v>74784.706532637341</v>
      </c>
      <c r="N179" s="41">
        <f>M179+'Tilikauden tulos'!N179+'9. Tulorahkorjauserät'!N179</f>
        <v>85485.18755437294</v>
      </c>
      <c r="O179" s="41">
        <f>N179+'Tilikauden tulos'!O179+'9. Tulorahkorjauserät'!O179</f>
        <v>95860.128055057823</v>
      </c>
      <c r="P179" s="41">
        <f>O179+'Tilikauden tulos'!P179+'9. Tulorahkorjauserät'!P179</f>
        <v>109001.37348240105</v>
      </c>
      <c r="T179" s="34">
        <v>543</v>
      </c>
      <c r="U179" s="88" t="s">
        <v>493</v>
      </c>
      <c r="V179" s="41">
        <f>C179/'1. Väestöennuste'!E179*1000</f>
        <v>1297.4914671694871</v>
      </c>
      <c r="W179" s="41">
        <f>D179/'1. Väestöennuste'!F179*1000</f>
        <v>1439.6572244703643</v>
      </c>
      <c r="X179" s="41">
        <f>E179/'1. Väestöennuste'!G179*1000</f>
        <v>1561.611992694324</v>
      </c>
      <c r="Y179" s="41">
        <f>F179/'1. Väestöennuste'!H179*1000</f>
        <v>1255.4552912223135</v>
      </c>
      <c r="Z179" s="41">
        <f>G179/'1. Väestöennuste'!I179*1000</f>
        <v>873.83992743004683</v>
      </c>
      <c r="AA179" s="41">
        <f>H179/'1. Väestöennuste'!J179*1000</f>
        <v>917.77935551840233</v>
      </c>
      <c r="AB179" s="41">
        <f>I179/'1. Väestöennuste'!K179*1000</f>
        <v>976.93492215650292</v>
      </c>
      <c r="AC179" s="41">
        <f>J179/'1. Väestöennuste'!L179*1000</f>
        <v>1080.2692036527972</v>
      </c>
      <c r="AD179" s="41">
        <f>K179/'1. Väestöennuste'!M179*1000</f>
        <v>1275.956934102742</v>
      </c>
      <c r="AE179" s="41">
        <f>L179/'1. Väestöennuste'!N179*1000</f>
        <v>1362.7549265882483</v>
      </c>
      <c r="AF179" s="41">
        <f>M179/'1. Väestöennuste'!O179*1000</f>
        <v>1644.0535203270608</v>
      </c>
      <c r="AG179" s="41">
        <f>N179/'1. Väestöennuste'!P179*1000</f>
        <v>1865.6741063809022</v>
      </c>
      <c r="AH179" s="41">
        <f>O179/'1. Väestöennuste'!Q179*1000</f>
        <v>2077.5026668774181</v>
      </c>
      <c r="AI179" s="41">
        <f>P179/'1. Väestöennuste'!R179*1000</f>
        <v>2346.6893470774626</v>
      </c>
      <c r="AK179" s="41">
        <f t="shared" si="29"/>
        <v>0</v>
      </c>
      <c r="AL179" s="41">
        <f t="shared" si="30"/>
        <v>0</v>
      </c>
      <c r="AM179" s="41">
        <f t="shared" si="31"/>
        <v>0</v>
      </c>
      <c r="AN179" s="41">
        <f t="shared" si="32"/>
        <v>0</v>
      </c>
      <c r="AO179" s="41">
        <f t="shared" si="33"/>
        <v>0</v>
      </c>
      <c r="AP179" s="41">
        <f t="shared" si="34"/>
        <v>0</v>
      </c>
      <c r="AQ179" s="41">
        <f t="shared" si="35"/>
        <v>0</v>
      </c>
      <c r="AR179" s="41">
        <f t="shared" si="36"/>
        <v>0</v>
      </c>
      <c r="AS179" s="41">
        <f t="shared" si="37"/>
        <v>0</v>
      </c>
      <c r="AT179" s="41">
        <f t="shared" si="38"/>
        <v>0</v>
      </c>
      <c r="AU179" s="41">
        <f t="shared" si="39"/>
        <v>0</v>
      </c>
      <c r="AV179" s="41">
        <f t="shared" si="40"/>
        <v>0</v>
      </c>
      <c r="AW179" s="41">
        <f t="shared" si="40"/>
        <v>0</v>
      </c>
      <c r="AX179" s="41">
        <f t="shared" si="40"/>
        <v>0</v>
      </c>
    </row>
    <row r="180" spans="1:50" ht="11.25" x14ac:dyDescent="0.2">
      <c r="A180" s="34">
        <v>545</v>
      </c>
      <c r="B180" s="88" t="s">
        <v>494</v>
      </c>
      <c r="C180" s="65">
        <v>3103</v>
      </c>
      <c r="D180" s="65">
        <v>4355</v>
      </c>
      <c r="E180" s="65">
        <v>6163</v>
      </c>
      <c r="F180" s="65">
        <v>8050</v>
      </c>
      <c r="G180" s="41">
        <v>9903</v>
      </c>
      <c r="H180" s="41">
        <v>11329</v>
      </c>
      <c r="I180" s="41">
        <v>17196.565500000001</v>
      </c>
      <c r="J180" s="41">
        <f>I180+'Tilikauden tulos'!J180+'9. Tulorahkorjauserät'!J180</f>
        <v>22527.701616213799</v>
      </c>
      <c r="K180" s="41">
        <f>J180+'Tilikauden tulos'!K180+'9. Tulorahkorjauserät'!K180</f>
        <v>28308.797241605225</v>
      </c>
      <c r="L180" s="41">
        <f>K180+'Tilikauden tulos'!L180+'9. Tulorahkorjauserät'!L180</f>
        <v>32626.466982005568</v>
      </c>
      <c r="M180" s="41">
        <f>L180+'Tilikauden tulos'!M180+'9. Tulorahkorjauserät'!M180</f>
        <v>36882.673567029742</v>
      </c>
      <c r="N180" s="41">
        <f>M180+'Tilikauden tulos'!N180+'9. Tulorahkorjauserät'!N180</f>
        <v>40034.570589203999</v>
      </c>
      <c r="O180" s="41">
        <f>N180+'Tilikauden tulos'!O180+'9. Tulorahkorjauserät'!O180</f>
        <v>43485.721880102094</v>
      </c>
      <c r="P180" s="41">
        <f>O180+'Tilikauden tulos'!P180+'9. Tulorahkorjauserät'!P180</f>
        <v>47334.215040591655</v>
      </c>
      <c r="T180" s="34">
        <v>545</v>
      </c>
      <c r="U180" s="88" t="s">
        <v>494</v>
      </c>
      <c r="V180" s="41">
        <f>C180/'1. Väestöennuste'!E180*1000</f>
        <v>330.563545328646</v>
      </c>
      <c r="W180" s="41">
        <f>D180/'1. Väestöennuste'!F180*1000</f>
        <v>461.38362114630786</v>
      </c>
      <c r="X180" s="41">
        <f>E180/'1. Väestöennuste'!G180*1000</f>
        <v>648.25917744819606</v>
      </c>
      <c r="Y180" s="41">
        <f>F180/'1. Väestöennuste'!H180*1000</f>
        <v>849.96304508499634</v>
      </c>
      <c r="Z180" s="41">
        <f>G180/'1. Väestöennuste'!I180*1000</f>
        <v>1044.7304567992403</v>
      </c>
      <c r="AA180" s="41">
        <f>H180/'1. Väestöennuste'!J180*1000</f>
        <v>1185.2898095835949</v>
      </c>
      <c r="AB180" s="41">
        <f>I180/'1. Väestöennuste'!K180*1000</f>
        <v>1798.4276824932024</v>
      </c>
      <c r="AC180" s="41">
        <f>J180/'1. Väestöennuste'!L180*1000</f>
        <v>2350.5531736450121</v>
      </c>
      <c r="AD180" s="41">
        <f>K180/'1. Väestöennuste'!M180*1000</f>
        <v>2942.3965535396765</v>
      </c>
      <c r="AE180" s="41">
        <f>L180/'1. Väestöennuste'!N180*1000</f>
        <v>3394.3473764050736</v>
      </c>
      <c r="AF180" s="41">
        <f>M180/'1. Väestöennuste'!O180*1000</f>
        <v>3833.1608363157084</v>
      </c>
      <c r="AG180" s="41">
        <f>N180/'1. Väestöennuste'!P180*1000</f>
        <v>4158.1398617785626</v>
      </c>
      <c r="AH180" s="41">
        <f>O180/'1. Väestöennuste'!Q180*1000</f>
        <v>4513.7764044116766</v>
      </c>
      <c r="AI180" s="41">
        <f>P180/'1. Väestöennuste'!R180*1000</f>
        <v>4911.2072048756645</v>
      </c>
      <c r="AK180" s="41">
        <f t="shared" si="29"/>
        <v>0</v>
      </c>
      <c r="AL180" s="41">
        <f t="shared" si="30"/>
        <v>0</v>
      </c>
      <c r="AM180" s="41">
        <f t="shared" si="31"/>
        <v>0</v>
      </c>
      <c r="AN180" s="41">
        <f t="shared" si="32"/>
        <v>0</v>
      </c>
      <c r="AO180" s="41">
        <f t="shared" si="33"/>
        <v>0</v>
      </c>
      <c r="AP180" s="41">
        <f t="shared" si="34"/>
        <v>0</v>
      </c>
      <c r="AQ180" s="41">
        <f t="shared" si="35"/>
        <v>0</v>
      </c>
      <c r="AR180" s="41">
        <f t="shared" si="36"/>
        <v>0</v>
      </c>
      <c r="AS180" s="41">
        <f t="shared" si="37"/>
        <v>0</v>
      </c>
      <c r="AT180" s="41">
        <f t="shared" si="38"/>
        <v>0</v>
      </c>
      <c r="AU180" s="41">
        <f t="shared" si="39"/>
        <v>0</v>
      </c>
      <c r="AV180" s="41">
        <f t="shared" si="40"/>
        <v>0</v>
      </c>
      <c r="AW180" s="41">
        <f t="shared" si="40"/>
        <v>0</v>
      </c>
      <c r="AX180" s="41">
        <f t="shared" si="40"/>
        <v>0</v>
      </c>
    </row>
    <row r="181" spans="1:50" ht="11.25" x14ac:dyDescent="0.2">
      <c r="A181" s="34">
        <v>560</v>
      </c>
      <c r="B181" s="88" t="s">
        <v>495</v>
      </c>
      <c r="C181" s="65">
        <v>7193</v>
      </c>
      <c r="D181" s="65">
        <v>9879</v>
      </c>
      <c r="E181" s="65">
        <v>12023</v>
      </c>
      <c r="F181" s="65">
        <v>10642</v>
      </c>
      <c r="G181" s="41">
        <v>7176</v>
      </c>
      <c r="H181" s="41">
        <v>7527</v>
      </c>
      <c r="I181" s="41">
        <v>11281.853210000001</v>
      </c>
      <c r="J181" s="41">
        <f>I181+'Tilikauden tulos'!J181+'9. Tulorahkorjauserät'!J181</f>
        <v>10185.321840500525</v>
      </c>
      <c r="K181" s="41">
        <f>J181+'Tilikauden tulos'!K181+'9. Tulorahkorjauserät'!K181</f>
        <v>10332.976195096582</v>
      </c>
      <c r="L181" s="41">
        <f>K181+'Tilikauden tulos'!L181+'9. Tulorahkorjauserät'!L181</f>
        <v>8743.2559921879601</v>
      </c>
      <c r="M181" s="41">
        <f>L181+'Tilikauden tulos'!M181+'9. Tulorahkorjauserät'!M181</f>
        <v>5223.5359670601993</v>
      </c>
      <c r="N181" s="41">
        <f>M181+'Tilikauden tulos'!N181+'9. Tulorahkorjauserät'!N181</f>
        <v>1465.4303245593746</v>
      </c>
      <c r="O181" s="41">
        <f>N181+'Tilikauden tulos'!O181+'9. Tulorahkorjauserät'!O181</f>
        <v>-2013.6114035753221</v>
      </c>
      <c r="P181" s="41">
        <f>O181+'Tilikauden tulos'!P181+'9. Tulorahkorjauserät'!P181</f>
        <v>-4175.1710704193938</v>
      </c>
      <c r="T181" s="34">
        <v>560</v>
      </c>
      <c r="U181" s="88" t="s">
        <v>495</v>
      </c>
      <c r="V181" s="41">
        <f>C181/'1. Väestöennuste'!E181*1000</f>
        <v>440.5855690309935</v>
      </c>
      <c r="W181" s="41">
        <f>D181/'1. Väestöennuste'!F181*1000</f>
        <v>606.85545795196265</v>
      </c>
      <c r="X181" s="41">
        <f>E181/'1. Väestöennuste'!G181*1000</f>
        <v>741.19967942790208</v>
      </c>
      <c r="Y181" s="41">
        <f>F181/'1. Väestöennuste'!H181*1000</f>
        <v>661.3634951214965</v>
      </c>
      <c r="Z181" s="41">
        <f>G181/'1. Väestöennuste'!I181*1000</f>
        <v>448.41592201462225</v>
      </c>
      <c r="AA181" s="41">
        <f>H181/'1. Väestöennuste'!J181*1000</f>
        <v>473.93275406120131</v>
      </c>
      <c r="AB181" s="41">
        <f>I181/'1. Väestöennuste'!K181*1000</f>
        <v>713.67998545040484</v>
      </c>
      <c r="AC181" s="41">
        <f>J181/'1. Väestöennuste'!L181*1000</f>
        <v>647.30358058471711</v>
      </c>
      <c r="AD181" s="41">
        <f>K181/'1. Väestöennuste'!M181*1000</f>
        <v>659.45345555533743</v>
      </c>
      <c r="AE181" s="41">
        <f>L181/'1. Väestöennuste'!N181*1000</f>
        <v>563.24524848212081</v>
      </c>
      <c r="AF181" s="41">
        <f>M181/'1. Väestöennuste'!O181*1000</f>
        <v>338.46536428822651</v>
      </c>
      <c r="AG181" s="41">
        <f>N181/'1. Väestöennuste'!P181*1000</f>
        <v>95.480214005692901</v>
      </c>
      <c r="AH181" s="41">
        <f>O181/'1. Väestöennuste'!Q181*1000</f>
        <v>-131.90170336534274</v>
      </c>
      <c r="AI181" s="41">
        <f>P181/'1. Väestöennuste'!R181*1000</f>
        <v>-274.97175121307913</v>
      </c>
      <c r="AK181" s="41">
        <f t="shared" si="29"/>
        <v>0</v>
      </c>
      <c r="AL181" s="41">
        <f t="shared" si="30"/>
        <v>0</v>
      </c>
      <c r="AM181" s="41">
        <f t="shared" si="31"/>
        <v>0</v>
      </c>
      <c r="AN181" s="41">
        <f t="shared" si="32"/>
        <v>0</v>
      </c>
      <c r="AO181" s="41">
        <f t="shared" si="33"/>
        <v>0</v>
      </c>
      <c r="AP181" s="41">
        <f t="shared" si="34"/>
        <v>0</v>
      </c>
      <c r="AQ181" s="41">
        <f t="shared" si="35"/>
        <v>0</v>
      </c>
      <c r="AR181" s="41">
        <f t="shared" si="36"/>
        <v>0</v>
      </c>
      <c r="AS181" s="41">
        <f t="shared" si="37"/>
        <v>0</v>
      </c>
      <c r="AT181" s="41">
        <f t="shared" si="38"/>
        <v>0</v>
      </c>
      <c r="AU181" s="41">
        <f t="shared" si="39"/>
        <v>0</v>
      </c>
      <c r="AV181" s="41">
        <f t="shared" si="40"/>
        <v>0</v>
      </c>
      <c r="AW181" s="41">
        <f t="shared" si="40"/>
        <v>-1</v>
      </c>
      <c r="AX181" s="41">
        <f t="shared" si="40"/>
        <v>-1</v>
      </c>
    </row>
    <row r="182" spans="1:50" ht="11.25" x14ac:dyDescent="0.2">
      <c r="A182" s="34">
        <v>561</v>
      </c>
      <c r="B182" s="88" t="s">
        <v>496</v>
      </c>
      <c r="C182" s="65">
        <v>1058</v>
      </c>
      <c r="D182" s="65">
        <v>1127</v>
      </c>
      <c r="E182" s="65">
        <v>694</v>
      </c>
      <c r="F182" s="65">
        <v>-638</v>
      </c>
      <c r="G182" s="41">
        <v>-618</v>
      </c>
      <c r="H182" s="41">
        <v>130</v>
      </c>
      <c r="I182" s="41">
        <v>685.23281000000009</v>
      </c>
      <c r="J182" s="41">
        <f>I182+'Tilikauden tulos'!J182+'9. Tulorahkorjauserät'!J182</f>
        <v>748.53256560770183</v>
      </c>
      <c r="K182" s="41">
        <f>J182+'Tilikauden tulos'!K182+'9. Tulorahkorjauserät'!K182</f>
        <v>802.45742681817501</v>
      </c>
      <c r="L182" s="41">
        <f>K182+'Tilikauden tulos'!L182+'9. Tulorahkorjauserät'!L182</f>
        <v>956.18611556916483</v>
      </c>
      <c r="M182" s="41">
        <f>L182+'Tilikauden tulos'!M182+'9. Tulorahkorjauserät'!M182</f>
        <v>777.19621913321464</v>
      </c>
      <c r="N182" s="41">
        <f>M182+'Tilikauden tulos'!N182+'9. Tulorahkorjauserät'!N182</f>
        <v>298.00562505558935</v>
      </c>
      <c r="O182" s="41">
        <f>N182+'Tilikauden tulos'!O182+'9. Tulorahkorjauserät'!O182</f>
        <v>-121.3062430898658</v>
      </c>
      <c r="P182" s="41">
        <f>O182+'Tilikauden tulos'!P182+'9. Tulorahkorjauserät'!P182</f>
        <v>-572.62321110923949</v>
      </c>
      <c r="T182" s="34">
        <v>561</v>
      </c>
      <c r="U182" s="88" t="s">
        <v>496</v>
      </c>
      <c r="V182" s="41">
        <f>C182/'1. Väestöennuste'!E182*1000</f>
        <v>768.33696441539576</v>
      </c>
      <c r="W182" s="41">
        <f>D182/'1. Väestöennuste'!F182*1000</f>
        <v>826.85253118121796</v>
      </c>
      <c r="X182" s="41">
        <f>E182/'1. Väestöennuste'!G182*1000</f>
        <v>502.17076700434149</v>
      </c>
      <c r="Y182" s="41">
        <f>F182/'1. Väestöennuste'!H182*1000</f>
        <v>-467.74193548387092</v>
      </c>
      <c r="Z182" s="41">
        <f>G182/'1. Väestöennuste'!I182*1000</f>
        <v>-465.0112866817156</v>
      </c>
      <c r="AA182" s="41">
        <f>H182/'1. Väestöennuste'!J182*1000</f>
        <v>97.45127436281858</v>
      </c>
      <c r="AB182" s="41">
        <f>I182/'1. Väestöennuste'!K182*1000</f>
        <v>512.51519072550491</v>
      </c>
      <c r="AC182" s="41">
        <f>J182/'1. Väestöennuste'!L182*1000</f>
        <v>568.36185695345625</v>
      </c>
      <c r="AD182" s="41">
        <f>K182/'1. Väestöennuste'!M182*1000</f>
        <v>610.23378465260453</v>
      </c>
      <c r="AE182" s="41">
        <f>L182/'1. Väestöennuste'!N182*1000</f>
        <v>729.91306531997316</v>
      </c>
      <c r="AF182" s="41">
        <f>M182/'1. Väestöennuste'!O182*1000</f>
        <v>595.55265833962812</v>
      </c>
      <c r="AG182" s="41">
        <f>N182/'1. Väestöennuste'!P182*1000</f>
        <v>229.05889704503409</v>
      </c>
      <c r="AH182" s="41">
        <f>O182/'1. Väestöennuste'!Q182*1000</f>
        <v>-93.456273566922803</v>
      </c>
      <c r="AI182" s="41">
        <f>P182/'1. Väestöennuste'!R182*1000</f>
        <v>-442.18008579864056</v>
      </c>
      <c r="AK182" s="41">
        <f t="shared" si="29"/>
        <v>0</v>
      </c>
      <c r="AL182" s="41">
        <f t="shared" si="30"/>
        <v>0</v>
      </c>
      <c r="AM182" s="41">
        <f t="shared" si="31"/>
        <v>0</v>
      </c>
      <c r="AN182" s="41">
        <f t="shared" si="32"/>
        <v>-1</v>
      </c>
      <c r="AO182" s="41">
        <f t="shared" si="33"/>
        <v>-1</v>
      </c>
      <c r="AP182" s="41">
        <f t="shared" si="34"/>
        <v>0</v>
      </c>
      <c r="AQ182" s="41">
        <f t="shared" si="35"/>
        <v>0</v>
      </c>
      <c r="AR182" s="41">
        <f t="shared" si="36"/>
        <v>0</v>
      </c>
      <c r="AS182" s="41">
        <f t="shared" si="37"/>
        <v>0</v>
      </c>
      <c r="AT182" s="41">
        <f t="shared" si="38"/>
        <v>0</v>
      </c>
      <c r="AU182" s="41">
        <f t="shared" si="39"/>
        <v>0</v>
      </c>
      <c r="AV182" s="41">
        <f t="shared" si="40"/>
        <v>0</v>
      </c>
      <c r="AW182" s="41">
        <f t="shared" si="40"/>
        <v>-1</v>
      </c>
      <c r="AX182" s="41">
        <f t="shared" si="40"/>
        <v>-1</v>
      </c>
    </row>
    <row r="183" spans="1:50" ht="11.25" x14ac:dyDescent="0.2">
      <c r="A183" s="34">
        <v>562</v>
      </c>
      <c r="B183" s="88" t="s">
        <v>497</v>
      </c>
      <c r="C183" s="65">
        <v>4418</v>
      </c>
      <c r="D183" s="65">
        <v>6197</v>
      </c>
      <c r="E183" s="65">
        <v>7648</v>
      </c>
      <c r="F183" s="65">
        <v>6225</v>
      </c>
      <c r="G183" s="41">
        <v>3999</v>
      </c>
      <c r="H183" s="41">
        <v>6278</v>
      </c>
      <c r="I183" s="41">
        <v>5844.9414299999999</v>
      </c>
      <c r="J183" s="41">
        <f>I183+'Tilikauden tulos'!J183+'9. Tulorahkorjauserät'!J183</f>
        <v>7157.5765783333991</v>
      </c>
      <c r="K183" s="41">
        <f>J183+'Tilikauden tulos'!K183+'9. Tulorahkorjauserät'!K183</f>
        <v>8593.9324492353262</v>
      </c>
      <c r="L183" s="41">
        <f>K183+'Tilikauden tulos'!L183+'9. Tulorahkorjauserät'!L183</f>
        <v>6473.5565520304735</v>
      </c>
      <c r="M183" s="41">
        <f>L183+'Tilikauden tulos'!M183+'9. Tulorahkorjauserät'!M183</f>
        <v>4837.879581701106</v>
      </c>
      <c r="N183" s="41">
        <f>M183+'Tilikauden tulos'!N183+'9. Tulorahkorjauserät'!N183</f>
        <v>3760.3090322259914</v>
      </c>
      <c r="O183" s="41">
        <f>N183+'Tilikauden tulos'!O183+'9. Tulorahkorjauserät'!O183</f>
        <v>2422.2179688081205</v>
      </c>
      <c r="P183" s="41">
        <f>O183+'Tilikauden tulos'!P183+'9. Tulorahkorjauserät'!P183</f>
        <v>2056.5205077502551</v>
      </c>
      <c r="T183" s="34">
        <v>562</v>
      </c>
      <c r="U183" s="88" t="s">
        <v>497</v>
      </c>
      <c r="V183" s="41">
        <f>C183/'1. Väestöennuste'!E183*1000</f>
        <v>469.6003401360544</v>
      </c>
      <c r="W183" s="41">
        <f>D183/'1. Väestöennuste'!F183*1000</f>
        <v>665.48539518900338</v>
      </c>
      <c r="X183" s="41">
        <f>E183/'1. Väestöennuste'!G183*1000</f>
        <v>823.69413031771671</v>
      </c>
      <c r="Y183" s="41">
        <f>F183/'1. Väestöennuste'!H183*1000</f>
        <v>675.08946968875398</v>
      </c>
      <c r="Z183" s="41">
        <f>G183/'1. Väestöennuste'!I183*1000</f>
        <v>436.66739462764798</v>
      </c>
      <c r="AA183" s="41">
        <f>H183/'1. Väestöennuste'!J183*1000</f>
        <v>696.93605683836586</v>
      </c>
      <c r="AB183" s="41">
        <f>I183/'1. Väestöennuste'!K183*1000</f>
        <v>651.02934172421476</v>
      </c>
      <c r="AC183" s="41">
        <f>J183/'1. Väestöennuste'!L183*1000</f>
        <v>801.07180507368764</v>
      </c>
      <c r="AD183" s="41">
        <f>K183/'1. Väestöennuste'!M183*1000</f>
        <v>972.27428999155177</v>
      </c>
      <c r="AE183" s="41">
        <f>L183/'1. Väestöennuste'!N183*1000</f>
        <v>745.54376966837197</v>
      </c>
      <c r="AF183" s="41">
        <f>M183/'1. Väestöennuste'!O183*1000</f>
        <v>561.69506347394702</v>
      </c>
      <c r="AG183" s="41">
        <f>N183/'1. Väestöennuste'!P183*1000</f>
        <v>440.05957076957185</v>
      </c>
      <c r="AH183" s="41">
        <f>O183/'1. Väestöennuste'!Q183*1000</f>
        <v>285.63891141605194</v>
      </c>
      <c r="AI183" s="41">
        <f>P183/'1. Väestöennuste'!R183*1000</f>
        <v>244.27135143725562</v>
      </c>
      <c r="AK183" s="41">
        <f t="shared" si="29"/>
        <v>0</v>
      </c>
      <c r="AL183" s="41">
        <f t="shared" si="30"/>
        <v>0</v>
      </c>
      <c r="AM183" s="41">
        <f t="shared" si="31"/>
        <v>0</v>
      </c>
      <c r="AN183" s="41">
        <f t="shared" si="32"/>
        <v>0</v>
      </c>
      <c r="AO183" s="41">
        <f t="shared" si="33"/>
        <v>0</v>
      </c>
      <c r="AP183" s="41">
        <f t="shared" si="34"/>
        <v>0</v>
      </c>
      <c r="AQ183" s="41">
        <f t="shared" si="35"/>
        <v>0</v>
      </c>
      <c r="AR183" s="41">
        <f t="shared" si="36"/>
        <v>0</v>
      </c>
      <c r="AS183" s="41">
        <f t="shared" si="37"/>
        <v>0</v>
      </c>
      <c r="AT183" s="41">
        <f t="shared" si="38"/>
        <v>0</v>
      </c>
      <c r="AU183" s="41">
        <f t="shared" si="39"/>
        <v>0</v>
      </c>
      <c r="AV183" s="41">
        <f t="shared" si="40"/>
        <v>0</v>
      </c>
      <c r="AW183" s="41">
        <f t="shared" si="40"/>
        <v>0</v>
      </c>
      <c r="AX183" s="41">
        <f t="shared" si="40"/>
        <v>0</v>
      </c>
    </row>
    <row r="184" spans="1:50" ht="11.25" x14ac:dyDescent="0.2">
      <c r="A184" s="34">
        <v>563</v>
      </c>
      <c r="B184" s="88" t="s">
        <v>498</v>
      </c>
      <c r="C184" s="65">
        <v>3364</v>
      </c>
      <c r="D184" s="65">
        <v>4161</v>
      </c>
      <c r="E184" s="65">
        <v>5769</v>
      </c>
      <c r="F184" s="65">
        <v>3262</v>
      </c>
      <c r="G184" s="41">
        <v>1895</v>
      </c>
      <c r="H184" s="41">
        <v>3809</v>
      </c>
      <c r="I184" s="41">
        <v>3711.8224699999996</v>
      </c>
      <c r="J184" s="41">
        <f>I184+'Tilikauden tulos'!J184+'9. Tulorahkorjauserät'!J184</f>
        <v>-246.411523081665</v>
      </c>
      <c r="K184" s="41">
        <f>J184+'Tilikauden tulos'!K184+'9. Tulorahkorjauserät'!K184</f>
        <v>-144.59358500042541</v>
      </c>
      <c r="L184" s="41">
        <f>K184+'Tilikauden tulos'!L184+'9. Tulorahkorjauserät'!L184</f>
        <v>-1026.4880791073169</v>
      </c>
      <c r="M184" s="41">
        <f>L184+'Tilikauden tulos'!M184+'9. Tulorahkorjauserät'!M184</f>
        <v>-4659.3680915535788</v>
      </c>
      <c r="N184" s="41">
        <f>M184+'Tilikauden tulos'!N184+'9. Tulorahkorjauserät'!N184</f>
        <v>-8129.7314444293506</v>
      </c>
      <c r="O184" s="41">
        <f>N184+'Tilikauden tulos'!O184+'9. Tulorahkorjauserät'!O184</f>
        <v>-11490.750198251413</v>
      </c>
      <c r="P184" s="41">
        <f>O184+'Tilikauden tulos'!P184+'9. Tulorahkorjauserät'!P184</f>
        <v>-13965.591167180975</v>
      </c>
      <c r="T184" s="34">
        <v>563</v>
      </c>
      <c r="U184" s="88" t="s">
        <v>498</v>
      </c>
      <c r="V184" s="41">
        <f>C184/'1. Väestöennuste'!E184*1000</f>
        <v>442.04993429697765</v>
      </c>
      <c r="W184" s="41">
        <f>D184/'1. Väestöennuste'!F184*1000</f>
        <v>553.76630290125092</v>
      </c>
      <c r="X184" s="41">
        <f>E184/'1. Väestöennuste'!G184*1000</f>
        <v>772.08244111349029</v>
      </c>
      <c r="Y184" s="41">
        <f>F184/'1. Väestöennuste'!H184*1000</f>
        <v>439.03095558546437</v>
      </c>
      <c r="Z184" s="41">
        <f>G184/'1. Väestöennuste'!I184*1000</f>
        <v>260.01646542261255</v>
      </c>
      <c r="AA184" s="41">
        <f>H184/'1. Väestöennuste'!J184*1000</f>
        <v>532.35499650593988</v>
      </c>
      <c r="AB184" s="41">
        <f>I184/'1. Väestöennuste'!K184*1000</f>
        <v>522.64467333145592</v>
      </c>
      <c r="AC184" s="41">
        <f>J184/'1. Väestöennuste'!L184*1000</f>
        <v>-35.076373392407831</v>
      </c>
      <c r="AD184" s="41">
        <f>K184/'1. Väestöennuste'!M184*1000</f>
        <v>-20.721350673606391</v>
      </c>
      <c r="AE184" s="41">
        <f>L184/'1. Väestöennuste'!N184*1000</f>
        <v>-150.46732323472835</v>
      </c>
      <c r="AF184" s="41">
        <f>M184/'1. Väestöennuste'!O184*1000</f>
        <v>-691.095830844494</v>
      </c>
      <c r="AG184" s="41">
        <f>N184/'1. Väestöennuste'!P184*1000</f>
        <v>-1220.1307885981316</v>
      </c>
      <c r="AH184" s="41">
        <f>O184/'1. Väestöennuste'!Q184*1000</f>
        <v>-1744.7236863424557</v>
      </c>
      <c r="AI184" s="41">
        <f>P184/'1. Väestöennuste'!R184*1000</f>
        <v>-2144.2639593399317</v>
      </c>
      <c r="AK184" s="41">
        <f t="shared" si="29"/>
        <v>0</v>
      </c>
      <c r="AL184" s="41">
        <f t="shared" si="30"/>
        <v>0</v>
      </c>
      <c r="AM184" s="41">
        <f t="shared" si="31"/>
        <v>0</v>
      </c>
      <c r="AN184" s="41">
        <f t="shared" si="32"/>
        <v>0</v>
      </c>
      <c r="AO184" s="41">
        <f t="shared" si="33"/>
        <v>0</v>
      </c>
      <c r="AP184" s="41">
        <f t="shared" si="34"/>
        <v>0</v>
      </c>
      <c r="AQ184" s="41">
        <f t="shared" si="35"/>
        <v>0</v>
      </c>
      <c r="AR184" s="41">
        <f t="shared" si="36"/>
        <v>-1</v>
      </c>
      <c r="AS184" s="41">
        <f t="shared" si="37"/>
        <v>-1</v>
      </c>
      <c r="AT184" s="41">
        <f t="shared" si="38"/>
        <v>-1</v>
      </c>
      <c r="AU184" s="41">
        <f t="shared" si="39"/>
        <v>-1</v>
      </c>
      <c r="AV184" s="41">
        <f t="shared" si="40"/>
        <v>-1</v>
      </c>
      <c r="AW184" s="41">
        <f t="shared" si="40"/>
        <v>-1</v>
      </c>
      <c r="AX184" s="41">
        <f t="shared" si="40"/>
        <v>-1</v>
      </c>
    </row>
    <row r="185" spans="1:50" ht="11.25" x14ac:dyDescent="0.2">
      <c r="A185" s="34">
        <v>564</v>
      </c>
      <c r="B185" s="88" t="s">
        <v>499</v>
      </c>
      <c r="C185" s="65">
        <v>830251</v>
      </c>
      <c r="D185" s="65">
        <v>812361</v>
      </c>
      <c r="E185" s="65">
        <v>855385</v>
      </c>
      <c r="F185" s="65">
        <v>837326</v>
      </c>
      <c r="G185" s="41">
        <v>791857</v>
      </c>
      <c r="H185" s="41">
        <v>804556</v>
      </c>
      <c r="I185" s="41">
        <v>832511.20640000002</v>
      </c>
      <c r="J185" s="41">
        <f>I185+'Tilikauden tulos'!J185+'9. Tulorahkorjauserät'!J185</f>
        <v>842572.17772285407</v>
      </c>
      <c r="K185" s="41">
        <f>J185+'Tilikauden tulos'!K185+'9. Tulorahkorjauserät'!K185</f>
        <v>883850.6634646412</v>
      </c>
      <c r="L185" s="41">
        <f>K185+'Tilikauden tulos'!L185+'9. Tulorahkorjauserät'!L185</f>
        <v>858149.13594239566</v>
      </c>
      <c r="M185" s="41">
        <f>L185+'Tilikauden tulos'!M185+'9. Tulorahkorjauserät'!M185</f>
        <v>780795.12852612417</v>
      </c>
      <c r="N185" s="41">
        <f>M185+'Tilikauden tulos'!N185+'9. Tulorahkorjauserät'!N185</f>
        <v>709113.80497574212</v>
      </c>
      <c r="O185" s="41">
        <f>N185+'Tilikauden tulos'!O185+'9. Tulorahkorjauserät'!O185</f>
        <v>637784.95258483337</v>
      </c>
      <c r="P185" s="41">
        <f>O185+'Tilikauden tulos'!P185+'9. Tulorahkorjauserät'!P185</f>
        <v>572047.4053899335</v>
      </c>
      <c r="T185" s="34">
        <v>564</v>
      </c>
      <c r="U185" s="88" t="s">
        <v>499</v>
      </c>
      <c r="V185" s="41">
        <f>C185/'1. Väestöennuste'!E185*1000</f>
        <v>4182.0979725475381</v>
      </c>
      <c r="W185" s="41">
        <f>D185/'1. Väestöennuste'!F185*1000</f>
        <v>4051.150474252715</v>
      </c>
      <c r="X185" s="41">
        <f>E185/'1. Väestöennuste'!G185*1000</f>
        <v>4238.5659779000052</v>
      </c>
      <c r="Y185" s="41">
        <f>F185/'1. Väestöennuste'!H185*1000</f>
        <v>4113.2698325367082</v>
      </c>
      <c r="Z185" s="41">
        <f>G185/'1. Väestöennuste'!I185*1000</f>
        <v>3853.5250062047116</v>
      </c>
      <c r="AA185" s="41">
        <f>H185/'1. Väestöennuste'!J185*1000</f>
        <v>3880.6137164961633</v>
      </c>
      <c r="AB185" s="41">
        <f>I185/'1. Väestöennuste'!K185*1000</f>
        <v>3972.8333742143918</v>
      </c>
      <c r="AC185" s="41">
        <f>J185/'1. Väestöennuste'!L185*1000</f>
        <v>3977.2486769894172</v>
      </c>
      <c r="AD185" s="41">
        <f>K185/'1. Väestöennuste'!M185*1000</f>
        <v>4117.9625848058831</v>
      </c>
      <c r="AE185" s="41">
        <f>L185/'1. Väestöennuste'!N185*1000</f>
        <v>3993.3415665436405</v>
      </c>
      <c r="AF185" s="41">
        <f>M185/'1. Väestöennuste'!O185*1000</f>
        <v>3606.4273538049442</v>
      </c>
      <c r="AG185" s="41">
        <f>N185/'1. Väestöennuste'!P185*1000</f>
        <v>3252.5470602232022</v>
      </c>
      <c r="AH185" s="41">
        <f>O185/'1. Väestöennuste'!Q185*1000</f>
        <v>2906.076351620904</v>
      </c>
      <c r="AI185" s="41">
        <f>P185/'1. Väestöennuste'!R185*1000</f>
        <v>2590.2430433283384</v>
      </c>
      <c r="AK185" s="41">
        <f t="shared" si="29"/>
        <v>0</v>
      </c>
      <c r="AL185" s="41">
        <f t="shared" si="30"/>
        <v>0</v>
      </c>
      <c r="AM185" s="41">
        <f t="shared" si="31"/>
        <v>0</v>
      </c>
      <c r="AN185" s="41">
        <f t="shared" si="32"/>
        <v>0</v>
      </c>
      <c r="AO185" s="41">
        <f t="shared" si="33"/>
        <v>0</v>
      </c>
      <c r="AP185" s="41">
        <f t="shared" si="34"/>
        <v>0</v>
      </c>
      <c r="AQ185" s="41">
        <f t="shared" si="35"/>
        <v>0</v>
      </c>
      <c r="AR185" s="41">
        <f t="shared" si="36"/>
        <v>0</v>
      </c>
      <c r="AS185" s="41">
        <f t="shared" si="37"/>
        <v>0</v>
      </c>
      <c r="AT185" s="41">
        <f t="shared" si="38"/>
        <v>0</v>
      </c>
      <c r="AU185" s="41">
        <f t="shared" si="39"/>
        <v>0</v>
      </c>
      <c r="AV185" s="41">
        <f t="shared" si="40"/>
        <v>0</v>
      </c>
      <c r="AW185" s="41">
        <f t="shared" si="40"/>
        <v>0</v>
      </c>
      <c r="AX185" s="41">
        <f t="shared" si="40"/>
        <v>0</v>
      </c>
    </row>
    <row r="186" spans="1:50" ht="11.25" x14ac:dyDescent="0.2">
      <c r="A186" s="34">
        <v>576</v>
      </c>
      <c r="B186" s="88" t="s">
        <v>500</v>
      </c>
      <c r="C186" s="65">
        <v>3143</v>
      </c>
      <c r="D186" s="65">
        <v>2809</v>
      </c>
      <c r="E186" s="65">
        <v>3505</v>
      </c>
      <c r="F186" s="65">
        <v>3285</v>
      </c>
      <c r="G186" s="41">
        <v>2920</v>
      </c>
      <c r="H186" s="41">
        <v>5173</v>
      </c>
      <c r="I186" s="41">
        <v>6322.69578</v>
      </c>
      <c r="J186" s="41">
        <f>I186+'Tilikauden tulos'!J186+'9. Tulorahkorjauserät'!J186</f>
        <v>7814.3074312124572</v>
      </c>
      <c r="K186" s="41">
        <f>J186+'Tilikauden tulos'!K186+'9. Tulorahkorjauserät'!K186</f>
        <v>8048.4914099092402</v>
      </c>
      <c r="L186" s="41">
        <f>K186+'Tilikauden tulos'!L186+'9. Tulorahkorjauserät'!L186</f>
        <v>8109.6802617441317</v>
      </c>
      <c r="M186" s="41">
        <f>L186+'Tilikauden tulos'!M186+'9. Tulorahkorjauserät'!M186</f>
        <v>7502.3176736579344</v>
      </c>
      <c r="N186" s="41">
        <f>M186+'Tilikauden tulos'!N186+'9. Tulorahkorjauserät'!N186</f>
        <v>6821.9701677617068</v>
      </c>
      <c r="O186" s="41">
        <f>N186+'Tilikauden tulos'!O186+'9. Tulorahkorjauserät'!O186</f>
        <v>5986.9711913366318</v>
      </c>
      <c r="P186" s="41">
        <f>O186+'Tilikauden tulos'!P186+'9. Tulorahkorjauserät'!P186</f>
        <v>5417.0635726144938</v>
      </c>
      <c r="T186" s="34">
        <v>576</v>
      </c>
      <c r="U186" s="88" t="s">
        <v>500</v>
      </c>
      <c r="V186" s="41">
        <f>C186/'1. Väestöennuste'!E186*1000</f>
        <v>1000</v>
      </c>
      <c r="W186" s="41">
        <f>D186/'1. Väestöennuste'!F186*1000</f>
        <v>914.09046534331276</v>
      </c>
      <c r="X186" s="41">
        <f>E186/'1. Väestöennuste'!G186*1000</f>
        <v>1157.9121242153947</v>
      </c>
      <c r="Y186" s="41">
        <f>F186/'1. Väestöennuste'!H186*1000</f>
        <v>1108.6736415794803</v>
      </c>
      <c r="Z186" s="41">
        <f>G186/'1. Väestöennuste'!I186*1000</f>
        <v>1008.2872928176796</v>
      </c>
      <c r="AA186" s="41">
        <f>H186/'1. Väestöennuste'!J186*1000</f>
        <v>1808.1090527787487</v>
      </c>
      <c r="AB186" s="41">
        <f>I186/'1. Väestöennuste'!K186*1000</f>
        <v>2247.670024884465</v>
      </c>
      <c r="AC186" s="41">
        <f>J186/'1. Väestöennuste'!L186*1000</f>
        <v>2841.566338622712</v>
      </c>
      <c r="AD186" s="41">
        <f>K186/'1. Väestöennuste'!M186*1000</f>
        <v>2952.4913462616437</v>
      </c>
      <c r="AE186" s="41">
        <f>L186/'1. Väestöennuste'!N186*1000</f>
        <v>3026.0000976657207</v>
      </c>
      <c r="AF186" s="41">
        <f>M186/'1. Väestöennuste'!O186*1000</f>
        <v>2839.6357583868034</v>
      </c>
      <c r="AG186" s="41">
        <f>N186/'1. Väestöennuste'!P186*1000</f>
        <v>2617.7936177136248</v>
      </c>
      <c r="AH186" s="41">
        <f>O186/'1. Väestöennuste'!Q186*1000</f>
        <v>2327.7492967871817</v>
      </c>
      <c r="AI186" s="41">
        <f>P186/'1. Väestöennuste'!R186*1000</f>
        <v>2133.5421711754602</v>
      </c>
      <c r="AK186" s="41">
        <f t="shared" si="29"/>
        <v>0</v>
      </c>
      <c r="AL186" s="41">
        <f t="shared" si="30"/>
        <v>0</v>
      </c>
      <c r="AM186" s="41">
        <f t="shared" si="31"/>
        <v>0</v>
      </c>
      <c r="AN186" s="41">
        <f t="shared" si="32"/>
        <v>0</v>
      </c>
      <c r="AO186" s="41">
        <f t="shared" si="33"/>
        <v>0</v>
      </c>
      <c r="AP186" s="41">
        <f t="shared" si="34"/>
        <v>0</v>
      </c>
      <c r="AQ186" s="41">
        <f t="shared" si="35"/>
        <v>0</v>
      </c>
      <c r="AR186" s="41">
        <f t="shared" si="36"/>
        <v>0</v>
      </c>
      <c r="AS186" s="41">
        <f t="shared" si="37"/>
        <v>0</v>
      </c>
      <c r="AT186" s="41">
        <f t="shared" si="38"/>
        <v>0</v>
      </c>
      <c r="AU186" s="41">
        <f t="shared" si="39"/>
        <v>0</v>
      </c>
      <c r="AV186" s="41">
        <f t="shared" si="40"/>
        <v>0</v>
      </c>
      <c r="AW186" s="41">
        <f t="shared" si="40"/>
        <v>0</v>
      </c>
      <c r="AX186" s="41">
        <f t="shared" si="40"/>
        <v>0</v>
      </c>
    </row>
    <row r="187" spans="1:50" ht="11.25" x14ac:dyDescent="0.2">
      <c r="A187" s="34">
        <v>577</v>
      </c>
      <c r="B187" s="88" t="s">
        <v>501</v>
      </c>
      <c r="C187" s="65">
        <v>7676</v>
      </c>
      <c r="D187" s="65">
        <v>9362</v>
      </c>
      <c r="E187" s="65">
        <v>12998</v>
      </c>
      <c r="F187" s="65">
        <v>11705</v>
      </c>
      <c r="G187" s="41">
        <v>10087</v>
      </c>
      <c r="H187" s="41">
        <v>11877</v>
      </c>
      <c r="I187" s="41">
        <v>12632.876189999999</v>
      </c>
      <c r="J187" s="41">
        <f>I187+'Tilikauden tulos'!J187+'9. Tulorahkorjauserät'!J187</f>
        <v>13379.084134892422</v>
      </c>
      <c r="K187" s="41">
        <f>J187+'Tilikauden tulos'!K187+'9. Tulorahkorjauserät'!K187</f>
        <v>15904.529827924729</v>
      </c>
      <c r="L187" s="41">
        <f>K187+'Tilikauden tulos'!L187+'9. Tulorahkorjauserät'!L187</f>
        <v>15100.808802011963</v>
      </c>
      <c r="M187" s="41">
        <f>L187+'Tilikauden tulos'!M187+'9. Tulorahkorjauserät'!M187</f>
        <v>14324.287196142701</v>
      </c>
      <c r="N187" s="41">
        <f>M187+'Tilikauden tulos'!N187+'9. Tulorahkorjauserät'!N187</f>
        <v>14296.878332544684</v>
      </c>
      <c r="O187" s="41">
        <f>N187+'Tilikauden tulos'!O187+'9. Tulorahkorjauserät'!O187</f>
        <v>14288.730447254909</v>
      </c>
      <c r="P187" s="41">
        <f>O187+'Tilikauden tulos'!P187+'9. Tulorahkorjauserät'!P187</f>
        <v>14453.726653222169</v>
      </c>
      <c r="T187" s="34">
        <v>577</v>
      </c>
      <c r="U187" s="88" t="s">
        <v>501</v>
      </c>
      <c r="V187" s="41">
        <f>C187/'1. Väestöennuste'!E187*1000</f>
        <v>722.78719397363466</v>
      </c>
      <c r="W187" s="41">
        <f>D187/'1. Väestöennuste'!F187*1000</f>
        <v>873.89153365070467</v>
      </c>
      <c r="X187" s="41">
        <f>E187/'1. Väestöennuste'!G187*1000</f>
        <v>1211.3699906803354</v>
      </c>
      <c r="Y187" s="41">
        <f>F187/'1. Väestöennuste'!H187*1000</f>
        <v>1080.5945347119646</v>
      </c>
      <c r="Z187" s="41">
        <f>G187/'1. Väestöennuste'!I187*1000</f>
        <v>929.67741935483878</v>
      </c>
      <c r="AA187" s="41">
        <f>H187/'1. Väestöennuste'!J187*1000</f>
        <v>1087.4381981322103</v>
      </c>
      <c r="AB187" s="41">
        <f>I187/'1. Väestöennuste'!K187*1000</f>
        <v>1144.1786242188207</v>
      </c>
      <c r="AC187" s="41">
        <f>J187/'1. Väestöennuste'!L187*1000</f>
        <v>1201.2106423857444</v>
      </c>
      <c r="AD187" s="41">
        <f>K187/'1. Väestöennuste'!M187*1000</f>
        <v>1415.49749269533</v>
      </c>
      <c r="AE187" s="41">
        <f>L187/'1. Väestöennuste'!N187*1000</f>
        <v>1357.6201386327396</v>
      </c>
      <c r="AF187" s="41">
        <f>M187/'1. Väestöennuste'!O187*1000</f>
        <v>1282.0448577949253</v>
      </c>
      <c r="AG187" s="41">
        <f>N187/'1. Väestöennuste'!P187*1000</f>
        <v>1274.2315804407028</v>
      </c>
      <c r="AH187" s="41">
        <f>O187/'1. Väestöennuste'!Q187*1000</f>
        <v>1268.6433851775644</v>
      </c>
      <c r="AI187" s="41">
        <f>P187/'1. Väestöennuste'!R187*1000</f>
        <v>1279.0908542674485</v>
      </c>
      <c r="AK187" s="41">
        <f t="shared" si="29"/>
        <v>0</v>
      </c>
      <c r="AL187" s="41">
        <f t="shared" si="30"/>
        <v>0</v>
      </c>
      <c r="AM187" s="41">
        <f t="shared" si="31"/>
        <v>0</v>
      </c>
      <c r="AN187" s="41">
        <f t="shared" si="32"/>
        <v>0</v>
      </c>
      <c r="AO187" s="41">
        <f t="shared" si="33"/>
        <v>0</v>
      </c>
      <c r="AP187" s="41">
        <f t="shared" si="34"/>
        <v>0</v>
      </c>
      <c r="AQ187" s="41">
        <f t="shared" si="35"/>
        <v>0</v>
      </c>
      <c r="AR187" s="41">
        <f t="shared" si="36"/>
        <v>0</v>
      </c>
      <c r="AS187" s="41">
        <f t="shared" si="37"/>
        <v>0</v>
      </c>
      <c r="AT187" s="41">
        <f t="shared" si="38"/>
        <v>0</v>
      </c>
      <c r="AU187" s="41">
        <f t="shared" si="39"/>
        <v>0</v>
      </c>
      <c r="AV187" s="41">
        <f t="shared" si="40"/>
        <v>0</v>
      </c>
      <c r="AW187" s="41">
        <f t="shared" si="40"/>
        <v>0</v>
      </c>
      <c r="AX187" s="41">
        <f t="shared" si="40"/>
        <v>0</v>
      </c>
    </row>
    <row r="188" spans="1:50" ht="11.25" x14ac:dyDescent="0.2">
      <c r="A188" s="34">
        <v>578</v>
      </c>
      <c r="B188" s="88" t="s">
        <v>502</v>
      </c>
      <c r="C188" s="65">
        <v>1248</v>
      </c>
      <c r="D188" s="65">
        <v>1879</v>
      </c>
      <c r="E188" s="65">
        <v>2193</v>
      </c>
      <c r="F188" s="65">
        <v>1256</v>
      </c>
      <c r="G188" s="41">
        <v>931</v>
      </c>
      <c r="H188" s="41">
        <v>8</v>
      </c>
      <c r="I188" s="41">
        <v>96.629869999999997</v>
      </c>
      <c r="J188" s="41">
        <f>I188+'Tilikauden tulos'!J188+'9. Tulorahkorjauserät'!J188</f>
        <v>130.19751596767858</v>
      </c>
      <c r="K188" s="41">
        <f>J188+'Tilikauden tulos'!K188+'9. Tulorahkorjauserät'!K188</f>
        <v>-466.59056268686214</v>
      </c>
      <c r="L188" s="41">
        <f>K188+'Tilikauden tulos'!L188+'9. Tulorahkorjauserät'!L188</f>
        <v>-685.02420946531697</v>
      </c>
      <c r="M188" s="41">
        <f>L188+'Tilikauden tulos'!M188+'9. Tulorahkorjauserät'!M188</f>
        <v>-2062.0570108444399</v>
      </c>
      <c r="N188" s="41">
        <f>M188+'Tilikauden tulos'!N188+'9. Tulorahkorjauserät'!N188</f>
        <v>-3569.3282059491457</v>
      </c>
      <c r="O188" s="41">
        <f>N188+'Tilikauden tulos'!O188+'9. Tulorahkorjauserät'!O188</f>
        <v>-5158.4104954152726</v>
      </c>
      <c r="P188" s="41">
        <f>O188+'Tilikauden tulos'!P188+'9. Tulorahkorjauserät'!P188</f>
        <v>-6649.537886224849</v>
      </c>
      <c r="T188" s="34">
        <v>578</v>
      </c>
      <c r="U188" s="88" t="s">
        <v>502</v>
      </c>
      <c r="V188" s="41">
        <f>C188/'1. Väestöennuste'!E188*1000</f>
        <v>357.79816513761472</v>
      </c>
      <c r="W188" s="41">
        <f>D188/'1. Väestöennuste'!F188*1000</f>
        <v>538.24119163563444</v>
      </c>
      <c r="X188" s="41">
        <f>E188/'1. Väestöennuste'!G188*1000</f>
        <v>638.42794759825324</v>
      </c>
      <c r="Y188" s="41">
        <f>F188/'1. Väestöennuste'!H188*1000</f>
        <v>376.4988009592326</v>
      </c>
      <c r="Z188" s="41">
        <f>G188/'1. Väestöennuste'!I188*1000</f>
        <v>284.44851817904066</v>
      </c>
      <c r="AA188" s="41">
        <f>H188/'1. Väestöennuste'!J188*1000</f>
        <v>2.472952086553323</v>
      </c>
      <c r="AB188" s="41">
        <f>I188/'1. Väestöennuste'!K188*1000</f>
        <v>30.358111844172164</v>
      </c>
      <c r="AC188" s="41">
        <f>J188/'1. Väestöennuste'!L188*1000</f>
        <v>41.99919869925116</v>
      </c>
      <c r="AD188" s="41">
        <f>K188/'1. Väestöennuste'!M188*1000</f>
        <v>-153.63535155971752</v>
      </c>
      <c r="AE188" s="41">
        <f>L188/'1. Väestöennuste'!N188*1000</f>
        <v>-224.4509205325416</v>
      </c>
      <c r="AF188" s="41">
        <f>M188/'1. Väestöennuste'!O188*1000</f>
        <v>-684.61388142245687</v>
      </c>
      <c r="AG188" s="41">
        <f>N188/'1. Väestöennuste'!P188*1000</f>
        <v>-1200.1776079183408</v>
      </c>
      <c r="AH188" s="41">
        <f>O188/'1. Väestöennuste'!Q188*1000</f>
        <v>-1755.7557846886564</v>
      </c>
      <c r="AI188" s="41">
        <f>P188/'1. Väestöennuste'!R188*1000</f>
        <v>-2290.5745388304681</v>
      </c>
      <c r="AK188" s="41">
        <f t="shared" si="29"/>
        <v>0</v>
      </c>
      <c r="AL188" s="41">
        <f t="shared" si="30"/>
        <v>0</v>
      </c>
      <c r="AM188" s="41">
        <f t="shared" si="31"/>
        <v>0</v>
      </c>
      <c r="AN188" s="41">
        <f t="shared" si="32"/>
        <v>0</v>
      </c>
      <c r="AO188" s="41">
        <f t="shared" si="33"/>
        <v>0</v>
      </c>
      <c r="AP188" s="41">
        <f t="shared" si="34"/>
        <v>0</v>
      </c>
      <c r="AQ188" s="41">
        <f t="shared" si="35"/>
        <v>0</v>
      </c>
      <c r="AR188" s="41">
        <f t="shared" si="36"/>
        <v>0</v>
      </c>
      <c r="AS188" s="41">
        <f t="shared" si="37"/>
        <v>-1</v>
      </c>
      <c r="AT188" s="41">
        <f t="shared" si="38"/>
        <v>-1</v>
      </c>
      <c r="AU188" s="41">
        <f t="shared" si="39"/>
        <v>-1</v>
      </c>
      <c r="AV188" s="41">
        <f t="shared" si="40"/>
        <v>-1</v>
      </c>
      <c r="AW188" s="41">
        <f t="shared" si="40"/>
        <v>-1</v>
      </c>
      <c r="AX188" s="41">
        <f t="shared" si="40"/>
        <v>-1</v>
      </c>
    </row>
    <row r="189" spans="1:50" ht="11.25" x14ac:dyDescent="0.2">
      <c r="A189" s="34">
        <v>580</v>
      </c>
      <c r="B189" s="88" t="s">
        <v>503</v>
      </c>
      <c r="C189" s="65">
        <v>15810</v>
      </c>
      <c r="D189" s="65">
        <v>17093</v>
      </c>
      <c r="E189" s="65">
        <v>18203</v>
      </c>
      <c r="F189" s="65">
        <v>19990</v>
      </c>
      <c r="G189" s="41">
        <v>18303</v>
      </c>
      <c r="H189" s="41">
        <v>16767</v>
      </c>
      <c r="I189" s="41">
        <v>16943.638219999997</v>
      </c>
      <c r="J189" s="41">
        <f>I189+'Tilikauden tulos'!J189+'9. Tulorahkorjauserät'!J189</f>
        <v>15556.739378563601</v>
      </c>
      <c r="K189" s="41">
        <f>J189+'Tilikauden tulos'!K189+'9. Tulorahkorjauserät'!K189</f>
        <v>15240.008174843433</v>
      </c>
      <c r="L189" s="41">
        <f>K189+'Tilikauden tulos'!L189+'9. Tulorahkorjauserät'!L189</f>
        <v>13737.581581219654</v>
      </c>
      <c r="M189" s="41">
        <f>L189+'Tilikauden tulos'!M189+'9. Tulorahkorjauserät'!M189</f>
        <v>11802.00416704316</v>
      </c>
      <c r="N189" s="41">
        <f>M189+'Tilikauden tulos'!N189+'9. Tulorahkorjauserät'!N189</f>
        <v>9849.6983251479833</v>
      </c>
      <c r="O189" s="41">
        <f>N189+'Tilikauden tulos'!O189+'9. Tulorahkorjauserät'!O189</f>
        <v>7672.8983693670853</v>
      </c>
      <c r="P189" s="41">
        <f>O189+'Tilikauden tulos'!P189+'9. Tulorahkorjauserät'!P189</f>
        <v>6001.5010194569013</v>
      </c>
      <c r="T189" s="34">
        <v>580</v>
      </c>
      <c r="U189" s="88" t="s">
        <v>503</v>
      </c>
      <c r="V189" s="41">
        <f>C189/'1. Väestöennuste'!E189*1000</f>
        <v>3020.0573065902581</v>
      </c>
      <c r="W189" s="41">
        <f>D189/'1. Väestöennuste'!F189*1000</f>
        <v>3334.5688646117828</v>
      </c>
      <c r="X189" s="41">
        <f>E189/'1. Väestöennuste'!G189*1000</f>
        <v>3663.3125377339506</v>
      </c>
      <c r="Y189" s="41">
        <f>F189/'1. Väestöennuste'!H189*1000</f>
        <v>4128.4593143329203</v>
      </c>
      <c r="Z189" s="41">
        <f>G189/'1. Väestöennuste'!I189*1000</f>
        <v>3866.2864385297844</v>
      </c>
      <c r="AA189" s="41">
        <f>H189/'1. Väestöennuste'!J189*1000</f>
        <v>3601.9334049409235</v>
      </c>
      <c r="AB189" s="41">
        <f>I189/'1. Väestöennuste'!K189*1000</f>
        <v>3710.0149375957953</v>
      </c>
      <c r="AC189" s="41">
        <f>J189/'1. Väestöennuste'!L189*1000</f>
        <v>3505.3491163955841</v>
      </c>
      <c r="AD189" s="41">
        <f>K189/'1. Väestöennuste'!M189*1000</f>
        <v>3490.6111257085281</v>
      </c>
      <c r="AE189" s="41">
        <f>L189/'1. Väestöennuste'!N189*1000</f>
        <v>3198.505606803179</v>
      </c>
      <c r="AF189" s="41">
        <f>M189/'1. Väestöennuste'!O189*1000</f>
        <v>2797.3463301832567</v>
      </c>
      <c r="AG189" s="41">
        <f>N189/'1. Väestöennuste'!P189*1000</f>
        <v>2376.8577039449769</v>
      </c>
      <c r="AH189" s="41">
        <f>O189/'1. Väestöennuste'!Q189*1000</f>
        <v>1885.2330145865076</v>
      </c>
      <c r="AI189" s="41">
        <f>P189/'1. Väestöennuste'!R189*1000</f>
        <v>1499.6254421431538</v>
      </c>
      <c r="AK189" s="41">
        <f t="shared" si="29"/>
        <v>0</v>
      </c>
      <c r="AL189" s="41">
        <f t="shared" si="30"/>
        <v>0</v>
      </c>
      <c r="AM189" s="41">
        <f t="shared" si="31"/>
        <v>0</v>
      </c>
      <c r="AN189" s="41">
        <f t="shared" si="32"/>
        <v>0</v>
      </c>
      <c r="AO189" s="41">
        <f t="shared" si="33"/>
        <v>0</v>
      </c>
      <c r="AP189" s="41">
        <f t="shared" si="34"/>
        <v>0</v>
      </c>
      <c r="AQ189" s="41">
        <f t="shared" si="35"/>
        <v>0</v>
      </c>
      <c r="AR189" s="41">
        <f t="shared" si="36"/>
        <v>0</v>
      </c>
      <c r="AS189" s="41">
        <f t="shared" si="37"/>
        <v>0</v>
      </c>
      <c r="AT189" s="41">
        <f t="shared" si="38"/>
        <v>0</v>
      </c>
      <c r="AU189" s="41">
        <f t="shared" si="39"/>
        <v>0</v>
      </c>
      <c r="AV189" s="41">
        <f t="shared" si="40"/>
        <v>0</v>
      </c>
      <c r="AW189" s="41">
        <f t="shared" si="40"/>
        <v>0</v>
      </c>
      <c r="AX189" s="41">
        <f t="shared" si="40"/>
        <v>0</v>
      </c>
    </row>
    <row r="190" spans="1:50" ht="11.25" x14ac:dyDescent="0.2">
      <c r="A190" s="34">
        <v>581</v>
      </c>
      <c r="B190" s="88" t="s">
        <v>504</v>
      </c>
      <c r="C190" s="65">
        <v>8148</v>
      </c>
      <c r="D190" s="65">
        <v>8536</v>
      </c>
      <c r="E190" s="65">
        <v>10322</v>
      </c>
      <c r="F190" s="65">
        <v>11997</v>
      </c>
      <c r="G190" s="41">
        <v>11562</v>
      </c>
      <c r="H190" s="41">
        <v>12055</v>
      </c>
      <c r="I190" s="41">
        <v>11710.48891</v>
      </c>
      <c r="J190" s="41">
        <f>I190+'Tilikauden tulos'!J190+'9. Tulorahkorjauserät'!J190</f>
        <v>10053.623301162846</v>
      </c>
      <c r="K190" s="41">
        <f>J190+'Tilikauden tulos'!K190+'9. Tulorahkorjauserät'!K190</f>
        <v>12418.210750285676</v>
      </c>
      <c r="L190" s="41">
        <f>K190+'Tilikauden tulos'!L190+'9. Tulorahkorjauserät'!L190</f>
        <v>10693.547754765652</v>
      </c>
      <c r="M190" s="41">
        <f>L190+'Tilikauden tulos'!M190+'9. Tulorahkorjauserät'!M190</f>
        <v>9619.1616884268769</v>
      </c>
      <c r="N190" s="41">
        <f>M190+'Tilikauden tulos'!N190+'9. Tulorahkorjauserät'!N190</f>
        <v>8770.9714852613906</v>
      </c>
      <c r="O190" s="41">
        <f>N190+'Tilikauden tulos'!O190+'9. Tulorahkorjauserät'!O190</f>
        <v>7868.9588507743974</v>
      </c>
      <c r="P190" s="41">
        <f>O190+'Tilikauden tulos'!P190+'9. Tulorahkorjauserät'!P190</f>
        <v>7779.8462850083397</v>
      </c>
      <c r="T190" s="34">
        <v>581</v>
      </c>
      <c r="U190" s="88" t="s">
        <v>504</v>
      </c>
      <c r="V190" s="41">
        <f>C190/'1. Väestöennuste'!E190*1000</f>
        <v>1204.2565770026604</v>
      </c>
      <c r="W190" s="41">
        <f>D190/'1. Väestöennuste'!F190*1000</f>
        <v>1275.5528989838613</v>
      </c>
      <c r="X190" s="41">
        <f>E190/'1. Väestöennuste'!G190*1000</f>
        <v>1572.9960377933555</v>
      </c>
      <c r="Y190" s="41">
        <f>F190/'1. Väestöennuste'!H190*1000</f>
        <v>1854.5370227237595</v>
      </c>
      <c r="Z190" s="41">
        <f>G190/'1. Väestöennuste'!I190*1000</f>
        <v>1805.4341036851968</v>
      </c>
      <c r="AA190" s="41">
        <f>H190/'1. Väestöennuste'!J190*1000</f>
        <v>1897.8274559193956</v>
      </c>
      <c r="AB190" s="41">
        <f>I190/'1. Väestöennuste'!K190*1000</f>
        <v>1862.9476471524022</v>
      </c>
      <c r="AC190" s="41">
        <f>J190/'1. Väestöennuste'!L190*1000</f>
        <v>1611.1575803145588</v>
      </c>
      <c r="AD190" s="41">
        <f>K190/'1. Väestöennuste'!M190*1000</f>
        <v>2028.125224609779</v>
      </c>
      <c r="AE190" s="41">
        <f>L190/'1. Väestöennuste'!N190*1000</f>
        <v>1768.6979415755295</v>
      </c>
      <c r="AF190" s="41">
        <f>M190/'1. Väestöennuste'!O190*1000</f>
        <v>1608.2865220576621</v>
      </c>
      <c r="AG190" s="41">
        <f>N190/'1. Väestöennuste'!P190*1000</f>
        <v>1482.0837251202079</v>
      </c>
      <c r="AH190" s="41">
        <f>O190/'1. Väestöennuste'!Q190*1000</f>
        <v>1343.972476648061</v>
      </c>
      <c r="AI190" s="41">
        <f>P190/'1. Väestöennuste'!R190*1000</f>
        <v>1342.7418510542525</v>
      </c>
      <c r="AK190" s="41">
        <f t="shared" si="29"/>
        <v>0</v>
      </c>
      <c r="AL190" s="41">
        <f t="shared" si="30"/>
        <v>0</v>
      </c>
      <c r="AM190" s="41">
        <f t="shared" si="31"/>
        <v>0</v>
      </c>
      <c r="AN190" s="41">
        <f t="shared" si="32"/>
        <v>0</v>
      </c>
      <c r="AO190" s="41">
        <f t="shared" si="33"/>
        <v>0</v>
      </c>
      <c r="AP190" s="41">
        <f t="shared" si="34"/>
        <v>0</v>
      </c>
      <c r="AQ190" s="41">
        <f t="shared" si="35"/>
        <v>0</v>
      </c>
      <c r="AR190" s="41">
        <f t="shared" si="36"/>
        <v>0</v>
      </c>
      <c r="AS190" s="41">
        <f t="shared" si="37"/>
        <v>0</v>
      </c>
      <c r="AT190" s="41">
        <f t="shared" si="38"/>
        <v>0</v>
      </c>
      <c r="AU190" s="41">
        <f t="shared" si="39"/>
        <v>0</v>
      </c>
      <c r="AV190" s="41">
        <f t="shared" si="40"/>
        <v>0</v>
      </c>
      <c r="AW190" s="41">
        <f t="shared" si="40"/>
        <v>0</v>
      </c>
      <c r="AX190" s="41">
        <f t="shared" si="40"/>
        <v>0</v>
      </c>
    </row>
    <row r="191" spans="1:50" ht="11.25" x14ac:dyDescent="0.2">
      <c r="A191" s="34">
        <v>583</v>
      </c>
      <c r="B191" s="88" t="s">
        <v>505</v>
      </c>
      <c r="C191" s="65">
        <v>2096</v>
      </c>
      <c r="D191" s="65">
        <v>2234</v>
      </c>
      <c r="E191" s="65">
        <v>2505</v>
      </c>
      <c r="F191" s="65">
        <v>2596</v>
      </c>
      <c r="G191" s="41">
        <v>2284</v>
      </c>
      <c r="H191" s="41">
        <v>2662</v>
      </c>
      <c r="I191" s="41">
        <v>3622.4357099999997</v>
      </c>
      <c r="J191" s="41">
        <f>I191+'Tilikauden tulos'!J191+'9. Tulorahkorjauserät'!J191</f>
        <v>5670.6296880879672</v>
      </c>
      <c r="K191" s="41">
        <f>J191+'Tilikauden tulos'!K191+'9. Tulorahkorjauserät'!K191</f>
        <v>5989.7167471529465</v>
      </c>
      <c r="L191" s="41">
        <f>K191+'Tilikauden tulos'!L191+'9. Tulorahkorjauserät'!L191</f>
        <v>6644.4216632458138</v>
      </c>
      <c r="M191" s="41">
        <f>L191+'Tilikauden tulos'!M191+'9. Tulorahkorjauserät'!M191</f>
        <v>6814.3090324432487</v>
      </c>
      <c r="N191" s="41">
        <f>M191+'Tilikauden tulos'!N191+'9. Tulorahkorjauserät'!N191</f>
        <v>7015.6267441772816</v>
      </c>
      <c r="O191" s="41">
        <f>N191+'Tilikauden tulos'!O191+'9. Tulorahkorjauserät'!O191</f>
        <v>7155.5511811410861</v>
      </c>
      <c r="P191" s="41">
        <f>O191+'Tilikauden tulos'!P191+'9. Tulorahkorjauserät'!P191</f>
        <v>7396.1414972936982</v>
      </c>
      <c r="T191" s="34">
        <v>583</v>
      </c>
      <c r="U191" s="88" t="s">
        <v>505</v>
      </c>
      <c r="V191" s="41">
        <f>C191/'1. Väestöennuste'!E191*1000</f>
        <v>2187.8914405010437</v>
      </c>
      <c r="W191" s="41">
        <f>D191/'1. Väestöennuste'!F191*1000</f>
        <v>2349.1062039957937</v>
      </c>
      <c r="X191" s="41">
        <f>E191/'1. Väestöennuste'!G191*1000</f>
        <v>2614.82254697286</v>
      </c>
      <c r="Y191" s="41">
        <f>F191/'1. Väestöennuste'!H191*1000</f>
        <v>2721.1740041928724</v>
      </c>
      <c r="Z191" s="41">
        <f>G191/'1. Väestöennuste'!I191*1000</f>
        <v>2432.3748668796593</v>
      </c>
      <c r="AA191" s="41">
        <f>H191/'1. Väestöennuste'!J191*1000</f>
        <v>2859.291084854995</v>
      </c>
      <c r="AB191" s="41">
        <f>I191/'1. Väestöennuste'!K191*1000</f>
        <v>3920.3849675324673</v>
      </c>
      <c r="AC191" s="41">
        <f>J191/'1. Väestöennuste'!L191*1000</f>
        <v>5987.9933348341783</v>
      </c>
      <c r="AD191" s="41">
        <f>K191/'1. Väestöennuste'!M191*1000</f>
        <v>6567.6718718782304</v>
      </c>
      <c r="AE191" s="41">
        <f>L191/'1. Väestöennuste'!N191*1000</f>
        <v>7253.7354402246874</v>
      </c>
      <c r="AF191" s="41">
        <f>M191/'1. Väestöennuste'!O191*1000</f>
        <v>7471.8300794333863</v>
      </c>
      <c r="AG191" s="41">
        <f>N191/'1. Väestöennuste'!P191*1000</f>
        <v>7709.4799386563536</v>
      </c>
      <c r="AH191" s="41">
        <f>O191/'1. Väestöennuste'!Q191*1000</f>
        <v>7889.251577884329</v>
      </c>
      <c r="AI191" s="41">
        <f>P191/'1. Väestöennuste'!R191*1000</f>
        <v>8208.8140924458366</v>
      </c>
      <c r="AK191" s="41">
        <f t="shared" si="29"/>
        <v>0</v>
      </c>
      <c r="AL191" s="41">
        <f t="shared" si="30"/>
        <v>0</v>
      </c>
      <c r="AM191" s="41">
        <f t="shared" si="31"/>
        <v>0</v>
      </c>
      <c r="AN191" s="41">
        <f t="shared" si="32"/>
        <v>0</v>
      </c>
      <c r="AO191" s="41">
        <f t="shared" si="33"/>
        <v>0</v>
      </c>
      <c r="AP191" s="41">
        <f t="shared" si="34"/>
        <v>0</v>
      </c>
      <c r="AQ191" s="41">
        <f t="shared" si="35"/>
        <v>0</v>
      </c>
      <c r="AR191" s="41">
        <f t="shared" si="36"/>
        <v>0</v>
      </c>
      <c r="AS191" s="41">
        <f t="shared" si="37"/>
        <v>0</v>
      </c>
      <c r="AT191" s="41">
        <f t="shared" si="38"/>
        <v>0</v>
      </c>
      <c r="AU191" s="41">
        <f t="shared" si="39"/>
        <v>0</v>
      </c>
      <c r="AV191" s="41">
        <f t="shared" si="40"/>
        <v>0</v>
      </c>
      <c r="AW191" s="41">
        <f t="shared" si="40"/>
        <v>0</v>
      </c>
      <c r="AX191" s="41">
        <f t="shared" si="40"/>
        <v>0</v>
      </c>
    </row>
    <row r="192" spans="1:50" ht="11.25" x14ac:dyDescent="0.2">
      <c r="A192" s="34">
        <v>584</v>
      </c>
      <c r="B192" s="88" t="s">
        <v>506</v>
      </c>
      <c r="C192" s="65">
        <v>3905</v>
      </c>
      <c r="D192" s="65">
        <v>4275</v>
      </c>
      <c r="E192" s="65">
        <v>4472</v>
      </c>
      <c r="F192" s="65">
        <v>3070</v>
      </c>
      <c r="G192" s="41">
        <v>3155</v>
      </c>
      <c r="H192" s="41">
        <v>3998</v>
      </c>
      <c r="I192" s="41">
        <v>5292.4115700000002</v>
      </c>
      <c r="J192" s="41">
        <f>I192+'Tilikauden tulos'!J192+'9. Tulorahkorjauserät'!J192</f>
        <v>4420.7918502886087</v>
      </c>
      <c r="K192" s="41">
        <f>J192+'Tilikauden tulos'!K192+'9. Tulorahkorjauserät'!K192</f>
        <v>4357.5287754294095</v>
      </c>
      <c r="L192" s="41">
        <f>K192+'Tilikauden tulos'!L192+'9. Tulorahkorjauserät'!L192</f>
        <v>3952.4935672022084</v>
      </c>
      <c r="M192" s="41">
        <f>L192+'Tilikauden tulos'!M192+'9. Tulorahkorjauserät'!M192</f>
        <v>2181.3077908214441</v>
      </c>
      <c r="N192" s="41">
        <f>M192+'Tilikauden tulos'!N192+'9. Tulorahkorjauserät'!N192</f>
        <v>269.34392863539597</v>
      </c>
      <c r="O192" s="41">
        <f>N192+'Tilikauden tulos'!O192+'9. Tulorahkorjauserät'!O192</f>
        <v>-2055.2431531390584</v>
      </c>
      <c r="P192" s="41">
        <f>O192+'Tilikauden tulos'!P192+'9. Tulorahkorjauserät'!P192</f>
        <v>-4233.2663674949317</v>
      </c>
      <c r="T192" s="34">
        <v>584</v>
      </c>
      <c r="U192" s="88" t="s">
        <v>506</v>
      </c>
      <c r="V192" s="41">
        <f>C192/'1. Väestöennuste'!E192*1000</f>
        <v>1332.3097918799044</v>
      </c>
      <c r="W192" s="41">
        <f>D192/'1. Väestöennuste'!F192*1000</f>
        <v>1470.5882352941178</v>
      </c>
      <c r="X192" s="41">
        <f>E192/'1. Väestöennuste'!G192*1000</f>
        <v>1563.6363636363637</v>
      </c>
      <c r="Y192" s="41">
        <f>F192/'1. Väestöennuste'!H192*1000</f>
        <v>1086.7256637168141</v>
      </c>
      <c r="Z192" s="41">
        <f>G192/'1. Väestöennuste'!I192*1000</f>
        <v>1143.5302645886193</v>
      </c>
      <c r="AA192" s="41">
        <f>H192/'1. Väestöennuste'!J192*1000</f>
        <v>1477.4575018477458</v>
      </c>
      <c r="AB192" s="41">
        <f>I192/'1. Väestöennuste'!K192*1000</f>
        <v>1977.7322757847535</v>
      </c>
      <c r="AC192" s="41">
        <f>J192/'1. Väestöennuste'!L192*1000</f>
        <v>1666.336920576181</v>
      </c>
      <c r="AD192" s="41">
        <f>K192/'1. Väestöennuste'!M192*1000</f>
        <v>1690.2749322844879</v>
      </c>
      <c r="AE192" s="41">
        <f>L192/'1. Väestöennuste'!N192*1000</f>
        <v>1579.7336399689082</v>
      </c>
      <c r="AF192" s="41">
        <f>M192/'1. Väestöennuste'!O192*1000</f>
        <v>890.69325880826625</v>
      </c>
      <c r="AG192" s="41">
        <f>N192/'1. Väestöennuste'!P192*1000</f>
        <v>112.3202371290225</v>
      </c>
      <c r="AH192" s="41">
        <f>O192/'1. Väestöennuste'!Q192*1000</f>
        <v>-874.94387106813895</v>
      </c>
      <c r="AI192" s="41">
        <f>P192/'1. Väestöennuste'!R192*1000</f>
        <v>-1838.9515062966689</v>
      </c>
      <c r="AK192" s="41">
        <f t="shared" si="29"/>
        <v>0</v>
      </c>
      <c r="AL192" s="41">
        <f t="shared" si="30"/>
        <v>0</v>
      </c>
      <c r="AM192" s="41">
        <f t="shared" si="31"/>
        <v>0</v>
      </c>
      <c r="AN192" s="41">
        <f t="shared" si="32"/>
        <v>0</v>
      </c>
      <c r="AO192" s="41">
        <f t="shared" si="33"/>
        <v>0</v>
      </c>
      <c r="AP192" s="41">
        <f t="shared" si="34"/>
        <v>0</v>
      </c>
      <c r="AQ192" s="41">
        <f t="shared" si="35"/>
        <v>0</v>
      </c>
      <c r="AR192" s="41">
        <f t="shared" si="36"/>
        <v>0</v>
      </c>
      <c r="AS192" s="41">
        <f t="shared" si="37"/>
        <v>0</v>
      </c>
      <c r="AT192" s="41">
        <f t="shared" si="38"/>
        <v>0</v>
      </c>
      <c r="AU192" s="41">
        <f t="shared" si="39"/>
        <v>0</v>
      </c>
      <c r="AV192" s="41">
        <f t="shared" si="40"/>
        <v>0</v>
      </c>
      <c r="AW192" s="41">
        <f t="shared" si="40"/>
        <v>-1</v>
      </c>
      <c r="AX192" s="41">
        <f t="shared" si="40"/>
        <v>-1</v>
      </c>
    </row>
    <row r="193" spans="1:50" ht="11.25" x14ac:dyDescent="0.2">
      <c r="A193" s="34">
        <v>588</v>
      </c>
      <c r="B193" s="88" t="s">
        <v>507</v>
      </c>
      <c r="C193" s="65">
        <v>736</v>
      </c>
      <c r="D193" s="65">
        <v>792</v>
      </c>
      <c r="E193" s="65">
        <v>954</v>
      </c>
      <c r="F193" s="65">
        <v>-396</v>
      </c>
      <c r="G193" s="41">
        <v>-1597</v>
      </c>
      <c r="H193" s="41">
        <v>-2056</v>
      </c>
      <c r="I193" s="41">
        <v>-3016.0045099999998</v>
      </c>
      <c r="J193" s="41">
        <f>I193+'Tilikauden tulos'!J193+'9. Tulorahkorjauserät'!J193</f>
        <v>-4111.5445133578305</v>
      </c>
      <c r="K193" s="41">
        <f>J193+'Tilikauden tulos'!K193+'9. Tulorahkorjauserät'!K193</f>
        <v>-5589.7067720474788</v>
      </c>
      <c r="L193" s="41">
        <f>K193+'Tilikauden tulos'!L193+'9. Tulorahkorjauserät'!L193</f>
        <v>-6678.1363809793957</v>
      </c>
      <c r="M193" s="41">
        <f>L193+'Tilikauden tulos'!M193+'9. Tulorahkorjauserät'!M193</f>
        <v>-6678.1363809793957</v>
      </c>
      <c r="N193" s="41">
        <f>M193+'Tilikauden tulos'!N193+'9. Tulorahkorjauserät'!N193</f>
        <v>-6678.1363809793957</v>
      </c>
      <c r="O193" s="41">
        <f>N193+'Tilikauden tulos'!O193+'9. Tulorahkorjauserät'!O193</f>
        <v>-6678.1363809793957</v>
      </c>
      <c r="P193" s="41">
        <f>O193+'Tilikauden tulos'!P193+'9. Tulorahkorjauserät'!P193</f>
        <v>-6678.1363809793957</v>
      </c>
      <c r="T193" s="34">
        <v>588</v>
      </c>
      <c r="U193" s="88" t="s">
        <v>507</v>
      </c>
      <c r="V193" s="41">
        <f>C193/'1. Väestöennuste'!E193*1000</f>
        <v>405.0632911392405</v>
      </c>
      <c r="W193" s="41">
        <f>D193/'1. Väestöennuste'!F193*1000</f>
        <v>440.97995545657017</v>
      </c>
      <c r="X193" s="41">
        <f>E193/'1. Väestöennuste'!G193*1000</f>
        <v>548.59114433582522</v>
      </c>
      <c r="Y193" s="41">
        <f>F193/'1. Väestöennuste'!H193*1000</f>
        <v>-231.17338003502627</v>
      </c>
      <c r="Z193" s="41">
        <f>G193/'1. Väestöennuste'!I193*1000</f>
        <v>-944.97041420118342</v>
      </c>
      <c r="AA193" s="41">
        <f>H193/'1. Väestöennuste'!J193*1000</f>
        <v>-1243.0471584038694</v>
      </c>
      <c r="AB193" s="41">
        <f>I193/'1. Väestöennuste'!K193*1000</f>
        <v>-1834.5526216545011</v>
      </c>
      <c r="AC193" s="41">
        <f>J193/'1. Väestöennuste'!L193*1000</f>
        <v>-2569.7153208486443</v>
      </c>
      <c r="AD193" s="41">
        <f>K193/'1. Väestöennuste'!M193*1000</f>
        <v>-3544.5191959717686</v>
      </c>
      <c r="AE193" s="41">
        <f>L193/'1. Väestöennuste'!N193*1000</f>
        <v>-4325.2178633286239</v>
      </c>
      <c r="AF193" s="41" t="e">
        <f>M193/'1. Väestöennuste'!O193*1000</f>
        <v>#DIV/0!</v>
      </c>
      <c r="AG193" s="41" t="e">
        <f>N193/'1. Väestöennuste'!P193*1000</f>
        <v>#DIV/0!</v>
      </c>
      <c r="AH193" s="41" t="e">
        <f>O193/'1. Väestöennuste'!Q193*1000</f>
        <v>#DIV/0!</v>
      </c>
      <c r="AI193" s="41" t="e">
        <f>P193/'1. Väestöennuste'!R193*1000</f>
        <v>#DIV/0!</v>
      </c>
      <c r="AK193" s="41">
        <f t="shared" si="29"/>
        <v>0</v>
      </c>
      <c r="AL193" s="41">
        <f t="shared" si="30"/>
        <v>0</v>
      </c>
      <c r="AM193" s="41">
        <f t="shared" si="31"/>
        <v>0</v>
      </c>
      <c r="AN193" s="41">
        <f t="shared" si="32"/>
        <v>-1</v>
      </c>
      <c r="AO193" s="41">
        <f t="shared" si="33"/>
        <v>-1</v>
      </c>
      <c r="AP193" s="41">
        <f t="shared" si="34"/>
        <v>-1</v>
      </c>
      <c r="AQ193" s="41">
        <f t="shared" si="35"/>
        <v>-1</v>
      </c>
      <c r="AR193" s="41">
        <f t="shared" si="36"/>
        <v>-1</v>
      </c>
      <c r="AS193" s="41">
        <f t="shared" si="37"/>
        <v>-1</v>
      </c>
      <c r="AT193" s="41">
        <f t="shared" si="38"/>
        <v>-1</v>
      </c>
      <c r="AU193" s="41">
        <f t="shared" si="39"/>
        <v>-1</v>
      </c>
      <c r="AV193" s="41">
        <f t="shared" si="40"/>
        <v>-1</v>
      </c>
      <c r="AW193" s="41">
        <f t="shared" si="40"/>
        <v>-1</v>
      </c>
      <c r="AX193" s="41">
        <f t="shared" si="40"/>
        <v>-1</v>
      </c>
    </row>
    <row r="194" spans="1:50" ht="11.25" x14ac:dyDescent="0.2">
      <c r="A194" s="34">
        <v>592</v>
      </c>
      <c r="B194" s="88" t="s">
        <v>508</v>
      </c>
      <c r="C194" s="65">
        <v>9008</v>
      </c>
      <c r="D194" s="65">
        <v>8493</v>
      </c>
      <c r="E194" s="65">
        <v>8284</v>
      </c>
      <c r="F194" s="65">
        <v>7901</v>
      </c>
      <c r="G194" s="41">
        <v>4056</v>
      </c>
      <c r="H194" s="41">
        <v>4540</v>
      </c>
      <c r="I194" s="41">
        <v>4134.2806599999994</v>
      </c>
      <c r="J194" s="41">
        <f>I194+'Tilikauden tulos'!J194+'9. Tulorahkorjauserät'!J194</f>
        <v>2033.3715839209028</v>
      </c>
      <c r="K194" s="41">
        <f>J194+'Tilikauden tulos'!K194+'9. Tulorahkorjauserät'!K194</f>
        <v>2124.3918768426624</v>
      </c>
      <c r="L194" s="41">
        <f>K194+'Tilikauden tulos'!L194+'9. Tulorahkorjauserät'!L194</f>
        <v>213.00393197615949</v>
      </c>
      <c r="M194" s="41">
        <f>L194+'Tilikauden tulos'!M194+'9. Tulorahkorjauserät'!M194</f>
        <v>-2533.1005787805934</v>
      </c>
      <c r="N194" s="41">
        <f>M194+'Tilikauden tulos'!N194+'9. Tulorahkorjauserät'!N194</f>
        <v>-4788.7492228082847</v>
      </c>
      <c r="O194" s="41">
        <f>N194+'Tilikauden tulos'!O194+'9. Tulorahkorjauserät'!O194</f>
        <v>-7543.5472666259793</v>
      </c>
      <c r="P194" s="41">
        <f>O194+'Tilikauden tulos'!P194+'9. Tulorahkorjauserät'!P194</f>
        <v>-10170.081198655642</v>
      </c>
      <c r="T194" s="34">
        <v>592</v>
      </c>
      <c r="U194" s="88" t="s">
        <v>508</v>
      </c>
      <c r="V194" s="41">
        <f>C194/'1. Väestöennuste'!E194*1000</f>
        <v>2247.5049900199601</v>
      </c>
      <c r="W194" s="41">
        <f>D194/'1. Väestöennuste'!F194*1000</f>
        <v>2133.3835719668427</v>
      </c>
      <c r="X194" s="41">
        <f>E194/'1. Väestöennuste'!G194*1000</f>
        <v>2113.2653061224487</v>
      </c>
      <c r="Y194" s="41">
        <f>F194/'1. Väestöennuste'!H194*1000</f>
        <v>2025.897435897436</v>
      </c>
      <c r="Z194" s="41">
        <f>G194/'1. Väestöennuste'!I194*1000</f>
        <v>1055.9750065087217</v>
      </c>
      <c r="AA194" s="41">
        <f>H194/'1. Väestöennuste'!J194*1000</f>
        <v>1203.6055143160127</v>
      </c>
      <c r="AB194" s="41">
        <f>I194/'1. Väestöennuste'!K194*1000</f>
        <v>1124.0567319195213</v>
      </c>
      <c r="AC194" s="41">
        <f>J194/'1. Väestöennuste'!L194*1000</f>
        <v>556.93552010980625</v>
      </c>
      <c r="AD194" s="41">
        <f>K194/'1. Väestöennuste'!M194*1000</f>
        <v>590.76526052354347</v>
      </c>
      <c r="AE194" s="41">
        <f>L194/'1. Väestöennuste'!N194*1000</f>
        <v>58.922249509311058</v>
      </c>
      <c r="AF194" s="41">
        <f>M194/'1. Väestöennuste'!O194*1000</f>
        <v>-707.76769454612827</v>
      </c>
      <c r="AG194" s="41">
        <f>N194/'1. Väestöennuste'!P194*1000</f>
        <v>-1350.4650938545642</v>
      </c>
      <c r="AH194" s="41">
        <f>O194/'1. Väestöennuste'!Q194*1000</f>
        <v>-2150.3840554806097</v>
      </c>
      <c r="AI194" s="41">
        <f>P194/'1. Väestöennuste'!R194*1000</f>
        <v>-2927.4845131420961</v>
      </c>
      <c r="AK194" s="41">
        <f t="shared" si="29"/>
        <v>0</v>
      </c>
      <c r="AL194" s="41">
        <f t="shared" si="30"/>
        <v>0</v>
      </c>
      <c r="AM194" s="41">
        <f t="shared" si="31"/>
        <v>0</v>
      </c>
      <c r="AN194" s="41">
        <f t="shared" si="32"/>
        <v>0</v>
      </c>
      <c r="AO194" s="41">
        <f t="shared" si="33"/>
        <v>0</v>
      </c>
      <c r="AP194" s="41">
        <f t="shared" si="34"/>
        <v>0</v>
      </c>
      <c r="AQ194" s="41">
        <f t="shared" si="35"/>
        <v>0</v>
      </c>
      <c r="AR194" s="41">
        <f t="shared" si="36"/>
        <v>0</v>
      </c>
      <c r="AS194" s="41">
        <f t="shared" si="37"/>
        <v>0</v>
      </c>
      <c r="AT194" s="41">
        <f t="shared" si="38"/>
        <v>0</v>
      </c>
      <c r="AU194" s="41">
        <f t="shared" si="39"/>
        <v>-1</v>
      </c>
      <c r="AV194" s="41">
        <f t="shared" si="40"/>
        <v>-1</v>
      </c>
      <c r="AW194" s="41">
        <f t="shared" si="40"/>
        <v>-1</v>
      </c>
      <c r="AX194" s="41">
        <f t="shared" si="40"/>
        <v>-1</v>
      </c>
    </row>
    <row r="195" spans="1:50" ht="11.25" x14ac:dyDescent="0.2">
      <c r="A195" s="34">
        <v>593</v>
      </c>
      <c r="B195" s="88" t="s">
        <v>509</v>
      </c>
      <c r="C195" s="65">
        <v>767</v>
      </c>
      <c r="D195" s="65">
        <v>3151</v>
      </c>
      <c r="E195" s="65">
        <v>7982</v>
      </c>
      <c r="F195" s="65">
        <v>6993</v>
      </c>
      <c r="G195" s="41">
        <v>3953</v>
      </c>
      <c r="H195" s="41">
        <v>8944</v>
      </c>
      <c r="I195" s="41">
        <v>13324.713989999998</v>
      </c>
      <c r="J195" s="41">
        <f>I195+'Tilikauden tulos'!J195+'9. Tulorahkorjauserät'!J195</f>
        <v>10897.375131781817</v>
      </c>
      <c r="K195" s="41">
        <f>J195+'Tilikauden tulos'!K195+'9. Tulorahkorjauserät'!K195</f>
        <v>15880.247469651191</v>
      </c>
      <c r="L195" s="41">
        <f>K195+'Tilikauden tulos'!L195+'9. Tulorahkorjauserät'!L195</f>
        <v>13473.128513333226</v>
      </c>
      <c r="M195" s="41">
        <f>L195+'Tilikauden tulos'!M195+'9. Tulorahkorjauserät'!M195</f>
        <v>9687.0842413810387</v>
      </c>
      <c r="N195" s="41">
        <f>M195+'Tilikauden tulos'!N195+'9. Tulorahkorjauserät'!N195</f>
        <v>7949.7047588186888</v>
      </c>
      <c r="O195" s="41">
        <f>N195+'Tilikauden tulos'!O195+'9. Tulorahkorjauserät'!O195</f>
        <v>6218.2179213607324</v>
      </c>
      <c r="P195" s="41">
        <f>O195+'Tilikauden tulos'!P195+'9. Tulorahkorjauserät'!P195</f>
        <v>7586.3462183956544</v>
      </c>
      <c r="T195" s="34">
        <v>593</v>
      </c>
      <c r="U195" s="88" t="s">
        <v>509</v>
      </c>
      <c r="V195" s="41">
        <f>C195/'1. Väestöennuste'!E195*1000</f>
        <v>40.795702356257642</v>
      </c>
      <c r="W195" s="41">
        <f>D195/'1. Väestöennuste'!F195*1000</f>
        <v>170.55480378890391</v>
      </c>
      <c r="X195" s="41">
        <f>E195/'1. Väestöennuste'!G195*1000</f>
        <v>438.09001097694841</v>
      </c>
      <c r="Y195" s="41">
        <f>F195/'1. Väestöennuste'!H195*1000</f>
        <v>389.95148608710201</v>
      </c>
      <c r="Z195" s="41">
        <f>G195/'1. Väestöennuste'!I195*1000</f>
        <v>223.56068318063569</v>
      </c>
      <c r="AA195" s="41">
        <f>H195/'1. Väestöennuste'!J195*1000</f>
        <v>514.76258992805754</v>
      </c>
      <c r="AB195" s="41">
        <f>I195/'1. Väestöennuste'!K195*1000</f>
        <v>772.31287254390531</v>
      </c>
      <c r="AC195" s="41">
        <f>J195/'1. Väestöennuste'!L195*1000</f>
        <v>638.13170532188428</v>
      </c>
      <c r="AD195" s="41">
        <f>K195/'1. Väestöennuste'!M195*1000</f>
        <v>931.39281346927805</v>
      </c>
      <c r="AE195" s="41">
        <f>L195/'1. Väestöennuste'!N195*1000</f>
        <v>828.50378264255471</v>
      </c>
      <c r="AF195" s="41">
        <f>M195/'1. Väestöennuste'!O195*1000</f>
        <v>605.02680915502083</v>
      </c>
      <c r="AG195" s="41">
        <f>N195/'1. Väestöennuste'!P195*1000</f>
        <v>504.03910466768252</v>
      </c>
      <c r="AH195" s="41">
        <f>O195/'1. Väestöennuste'!Q195*1000</f>
        <v>400.14272338228653</v>
      </c>
      <c r="AI195" s="41">
        <f>P195/'1. Väestöennuste'!R195*1000</f>
        <v>495.28930067217175</v>
      </c>
      <c r="AK195" s="41">
        <f t="shared" si="29"/>
        <v>0</v>
      </c>
      <c r="AL195" s="41">
        <f t="shared" si="30"/>
        <v>0</v>
      </c>
      <c r="AM195" s="41">
        <f t="shared" si="31"/>
        <v>0</v>
      </c>
      <c r="AN195" s="41">
        <f t="shared" si="32"/>
        <v>0</v>
      </c>
      <c r="AO195" s="41">
        <f t="shared" si="33"/>
        <v>0</v>
      </c>
      <c r="AP195" s="41">
        <f t="shared" si="34"/>
        <v>0</v>
      </c>
      <c r="AQ195" s="41">
        <f t="shared" si="35"/>
        <v>0</v>
      </c>
      <c r="AR195" s="41">
        <f t="shared" si="36"/>
        <v>0</v>
      </c>
      <c r="AS195" s="41">
        <f t="shared" si="37"/>
        <v>0</v>
      </c>
      <c r="AT195" s="41">
        <f t="shared" si="38"/>
        <v>0</v>
      </c>
      <c r="AU195" s="41">
        <f t="shared" si="39"/>
        <v>0</v>
      </c>
      <c r="AV195" s="41">
        <f t="shared" si="40"/>
        <v>0</v>
      </c>
      <c r="AW195" s="41">
        <f t="shared" si="40"/>
        <v>0</v>
      </c>
      <c r="AX195" s="41">
        <f t="shared" si="40"/>
        <v>0</v>
      </c>
    </row>
    <row r="196" spans="1:50" ht="11.25" x14ac:dyDescent="0.2">
      <c r="A196" s="34">
        <v>595</v>
      </c>
      <c r="B196" s="88" t="s">
        <v>510</v>
      </c>
      <c r="C196" s="65">
        <v>-1839</v>
      </c>
      <c r="D196" s="65">
        <v>-2092</v>
      </c>
      <c r="E196" s="65">
        <v>-1372</v>
      </c>
      <c r="F196" s="65">
        <v>-1000</v>
      </c>
      <c r="G196" s="41">
        <v>-1306</v>
      </c>
      <c r="H196" s="41">
        <v>881</v>
      </c>
      <c r="I196" s="41">
        <v>3409.6366600000001</v>
      </c>
      <c r="J196" s="41">
        <f>I196+'Tilikauden tulos'!J196+'9. Tulorahkorjauserät'!J196</f>
        <v>4871.5328275830534</v>
      </c>
      <c r="K196" s="41">
        <f>J196+'Tilikauden tulos'!K196+'9. Tulorahkorjauserät'!K196</f>
        <v>6291.2005696846809</v>
      </c>
      <c r="L196" s="41">
        <f>K196+'Tilikauden tulos'!L196+'9. Tulorahkorjauserät'!L196</f>
        <v>6606.110603546098</v>
      </c>
      <c r="M196" s="41">
        <f>L196+'Tilikauden tulos'!M196+'9. Tulorahkorjauserät'!M196</f>
        <v>6049.7653256498525</v>
      </c>
      <c r="N196" s="41">
        <f>M196+'Tilikauden tulos'!N196+'9. Tulorahkorjauserät'!N196</f>
        <v>5095.9856026729185</v>
      </c>
      <c r="O196" s="41">
        <f>N196+'Tilikauden tulos'!O196+'9. Tulorahkorjauserät'!O196</f>
        <v>3734.7658317829619</v>
      </c>
      <c r="P196" s="41">
        <f>O196+'Tilikauden tulos'!P196+'9. Tulorahkorjauserät'!P196</f>
        <v>2681.6433447681793</v>
      </c>
      <c r="T196" s="34">
        <v>595</v>
      </c>
      <c r="U196" s="88" t="s">
        <v>510</v>
      </c>
      <c r="V196" s="41">
        <f>C196/'1. Väestöennuste'!E196*1000</f>
        <v>-387.97468354430379</v>
      </c>
      <c r="W196" s="41">
        <f>D196/'1. Väestöennuste'!F196*1000</f>
        <v>-445.39067489887162</v>
      </c>
      <c r="X196" s="41">
        <f>E196/'1. Väestöennuste'!G196*1000</f>
        <v>-296.71280276816606</v>
      </c>
      <c r="Y196" s="41">
        <f>F196/'1. Väestöennuste'!H196*1000</f>
        <v>-222.32103156958649</v>
      </c>
      <c r="Z196" s="41">
        <f>G196/'1. Väestöennuste'!I196*1000</f>
        <v>-297.4265543156456</v>
      </c>
      <c r="AA196" s="41">
        <f>H196/'1. Väestöennuste'!J196*1000</f>
        <v>203.88798889146031</v>
      </c>
      <c r="AB196" s="41">
        <f>I196/'1. Väestöennuste'!K196*1000</f>
        <v>798.69680487233552</v>
      </c>
      <c r="AC196" s="41">
        <f>J196/'1. Väestöennuste'!L196*1000</f>
        <v>1176.6987506239259</v>
      </c>
      <c r="AD196" s="41">
        <f>K196/'1. Väestöennuste'!M196*1000</f>
        <v>1544.6109918204472</v>
      </c>
      <c r="AE196" s="41">
        <f>L196/'1. Väestöennuste'!N196*1000</f>
        <v>1646.1775737717662</v>
      </c>
      <c r="AF196" s="41">
        <f>M196/'1. Väestöennuste'!O196*1000</f>
        <v>1534.3051802307511</v>
      </c>
      <c r="AG196" s="41">
        <f>N196/'1. Väestöennuste'!P196*1000</f>
        <v>1315.7721669695118</v>
      </c>
      <c r="AH196" s="41">
        <f>O196/'1. Väestöennuste'!Q196*1000</f>
        <v>980.51085108505163</v>
      </c>
      <c r="AI196" s="41">
        <f>P196/'1. Väestöennuste'!R196*1000</f>
        <v>715.67743388528936</v>
      </c>
      <c r="AK196" s="41">
        <f t="shared" si="29"/>
        <v>-1</v>
      </c>
      <c r="AL196" s="41">
        <f t="shared" si="30"/>
        <v>-1</v>
      </c>
      <c r="AM196" s="41">
        <f t="shared" si="31"/>
        <v>-1</v>
      </c>
      <c r="AN196" s="41">
        <f t="shared" si="32"/>
        <v>-1</v>
      </c>
      <c r="AO196" s="41">
        <f t="shared" si="33"/>
        <v>-1</v>
      </c>
      <c r="AP196" s="41">
        <f t="shared" si="34"/>
        <v>0</v>
      </c>
      <c r="AQ196" s="41">
        <f t="shared" si="35"/>
        <v>0</v>
      </c>
      <c r="AR196" s="41">
        <f t="shared" si="36"/>
        <v>0</v>
      </c>
      <c r="AS196" s="41">
        <f t="shared" si="37"/>
        <v>0</v>
      </c>
      <c r="AT196" s="41">
        <f t="shared" si="38"/>
        <v>0</v>
      </c>
      <c r="AU196" s="41">
        <f t="shared" si="39"/>
        <v>0</v>
      </c>
      <c r="AV196" s="41">
        <f t="shared" si="40"/>
        <v>0</v>
      </c>
      <c r="AW196" s="41">
        <f t="shared" si="40"/>
        <v>0</v>
      </c>
      <c r="AX196" s="41">
        <f t="shared" si="40"/>
        <v>0</v>
      </c>
    </row>
    <row r="197" spans="1:50" ht="11.25" x14ac:dyDescent="0.2">
      <c r="A197" s="34">
        <v>598</v>
      </c>
      <c r="B197" s="88" t="s">
        <v>511</v>
      </c>
      <c r="C197" s="65">
        <v>82617</v>
      </c>
      <c r="D197" s="65">
        <v>77743</v>
      </c>
      <c r="E197" s="65">
        <v>74555</v>
      </c>
      <c r="F197" s="65">
        <v>71564</v>
      </c>
      <c r="G197" s="41">
        <v>63500</v>
      </c>
      <c r="H197" s="41">
        <v>63588</v>
      </c>
      <c r="I197" s="41">
        <v>64121.127</v>
      </c>
      <c r="J197" s="41">
        <f>I197+'Tilikauden tulos'!J197+'9. Tulorahkorjauserät'!J197</f>
        <v>63280.199864886425</v>
      </c>
      <c r="K197" s="41">
        <f>J197+'Tilikauden tulos'!K197+'9. Tulorahkorjauserät'!K197</f>
        <v>67614.071408708667</v>
      </c>
      <c r="L197" s="41">
        <f>K197+'Tilikauden tulos'!L197+'9. Tulorahkorjauserät'!L197</f>
        <v>67267.178932494135</v>
      </c>
      <c r="M197" s="41">
        <f>L197+'Tilikauden tulos'!M197+'9. Tulorahkorjauserät'!M197</f>
        <v>63485.215637367204</v>
      </c>
      <c r="N197" s="41">
        <f>M197+'Tilikauden tulos'!N197+'9. Tulorahkorjauserät'!N197</f>
        <v>60853.493602015878</v>
      </c>
      <c r="O197" s="41">
        <f>N197+'Tilikauden tulos'!O197+'9. Tulorahkorjauserät'!O197</f>
        <v>58730.194427094662</v>
      </c>
      <c r="P197" s="41">
        <f>O197+'Tilikauden tulos'!P197+'9. Tulorahkorjauserät'!P197</f>
        <v>57829.215783463384</v>
      </c>
      <c r="T197" s="34">
        <v>598</v>
      </c>
      <c r="U197" s="88" t="s">
        <v>511</v>
      </c>
      <c r="V197" s="41">
        <f>C197/'1. Väestöennuste'!E197*1000</f>
        <v>4250.7203128215679</v>
      </c>
      <c r="W197" s="41">
        <f>D197/'1. Väestöennuste'!F197*1000</f>
        <v>4012.1277803581561</v>
      </c>
      <c r="X197" s="41">
        <f>E197/'1. Väestöennuste'!G197*1000</f>
        <v>3847.2057381701843</v>
      </c>
      <c r="Y197" s="41">
        <f>F197/'1. Väestöennuste'!H197*1000</f>
        <v>3712.210810250026</v>
      </c>
      <c r="Z197" s="41">
        <f>G197/'1. Väestöennuste'!I197*1000</f>
        <v>3305.9142024156604</v>
      </c>
      <c r="AA197" s="41">
        <f>H197/'1. Väestöennuste'!J197*1000</f>
        <v>3335.1515787265289</v>
      </c>
      <c r="AB197" s="41">
        <f>I197/'1. Väestöennuste'!K197*1000</f>
        <v>3357.6544483426715</v>
      </c>
      <c r="AC197" s="41">
        <f>J197/'1. Väestöennuste'!L197*1000</f>
        <v>3294.6425711920874</v>
      </c>
      <c r="AD197" s="41">
        <f>K197/'1. Väestöennuste'!M197*1000</f>
        <v>3471.8393534638594</v>
      </c>
      <c r="AE197" s="41">
        <f>L197/'1. Väestöennuste'!N197*1000</f>
        <v>3584.7151043162344</v>
      </c>
      <c r="AF197" s="41">
        <f>M197/'1. Väestöennuste'!O197*1000</f>
        <v>3397.8385590541216</v>
      </c>
      <c r="AG197" s="41">
        <f>N197/'1. Väestöennuste'!P197*1000</f>
        <v>3271.693204409456</v>
      </c>
      <c r="AH197" s="41">
        <f>O197/'1. Väestöennuste'!Q197*1000</f>
        <v>3171.1768049187185</v>
      </c>
      <c r="AI197" s="41">
        <f>P197/'1. Väestöennuste'!R197*1000</f>
        <v>3135.9045487480821</v>
      </c>
      <c r="AK197" s="41">
        <f t="shared" si="29"/>
        <v>0</v>
      </c>
      <c r="AL197" s="41">
        <f t="shared" si="30"/>
        <v>0</v>
      </c>
      <c r="AM197" s="41">
        <f t="shared" si="31"/>
        <v>0</v>
      </c>
      <c r="AN197" s="41">
        <f t="shared" si="32"/>
        <v>0</v>
      </c>
      <c r="AO197" s="41">
        <f t="shared" si="33"/>
        <v>0</v>
      </c>
      <c r="AP197" s="41">
        <f t="shared" si="34"/>
        <v>0</v>
      </c>
      <c r="AQ197" s="41">
        <f t="shared" si="35"/>
        <v>0</v>
      </c>
      <c r="AR197" s="41">
        <f t="shared" si="36"/>
        <v>0</v>
      </c>
      <c r="AS197" s="41">
        <f t="shared" si="37"/>
        <v>0</v>
      </c>
      <c r="AT197" s="41">
        <f t="shared" si="38"/>
        <v>0</v>
      </c>
      <c r="AU197" s="41">
        <f t="shared" si="39"/>
        <v>0</v>
      </c>
      <c r="AV197" s="41">
        <f t="shared" si="40"/>
        <v>0</v>
      </c>
      <c r="AW197" s="41">
        <f t="shared" si="40"/>
        <v>0</v>
      </c>
      <c r="AX197" s="41">
        <f t="shared" si="40"/>
        <v>0</v>
      </c>
    </row>
    <row r="198" spans="1:50" ht="11.25" x14ac:dyDescent="0.2">
      <c r="A198" s="34">
        <v>599</v>
      </c>
      <c r="B198" s="88" t="s">
        <v>512</v>
      </c>
      <c r="C198" s="65">
        <v>12689</v>
      </c>
      <c r="D198" s="65">
        <v>11833</v>
      </c>
      <c r="E198" s="65">
        <v>12160</v>
      </c>
      <c r="F198" s="65">
        <v>10253</v>
      </c>
      <c r="G198" s="41">
        <v>6290</v>
      </c>
      <c r="H198" s="41">
        <v>10305</v>
      </c>
      <c r="I198" s="41">
        <v>12028.25986</v>
      </c>
      <c r="J198" s="41">
        <f>I198+'Tilikauden tulos'!J198+'9. Tulorahkorjauserät'!J198</f>
        <v>13889.299980201868</v>
      </c>
      <c r="K198" s="41">
        <f>J198+'Tilikauden tulos'!K198+'9. Tulorahkorjauserät'!K198</f>
        <v>15908.174263871331</v>
      </c>
      <c r="L198" s="41">
        <f>K198+'Tilikauden tulos'!L198+'9. Tulorahkorjauserät'!L198</f>
        <v>16531.329105711346</v>
      </c>
      <c r="M198" s="41">
        <f>L198+'Tilikauden tulos'!M198+'9. Tulorahkorjauserät'!M198</f>
        <v>16795.514211176524</v>
      </c>
      <c r="N198" s="41">
        <f>M198+'Tilikauden tulos'!N198+'9. Tulorahkorjauserät'!N198</f>
        <v>17578.112372173076</v>
      </c>
      <c r="O198" s="41">
        <f>N198+'Tilikauden tulos'!O198+'9. Tulorahkorjauserät'!O198</f>
        <v>19091.674407895207</v>
      </c>
      <c r="P198" s="41">
        <f>O198+'Tilikauden tulos'!P198+'9. Tulorahkorjauserät'!P198</f>
        <v>21020.096390591025</v>
      </c>
      <c r="T198" s="34">
        <v>599</v>
      </c>
      <c r="U198" s="88" t="s">
        <v>512</v>
      </c>
      <c r="V198" s="41">
        <f>C198/'1. Väestöennuste'!E198*1000</f>
        <v>1140.1743193458531</v>
      </c>
      <c r="W198" s="41">
        <f>D198/'1. Väestöennuste'!F198*1000</f>
        <v>1069.2147826872683</v>
      </c>
      <c r="X198" s="41">
        <f>E198/'1. Väestöennuste'!G198*1000</f>
        <v>1097.0768675568388</v>
      </c>
      <c r="Y198" s="41">
        <f>F198/'1. Väestöennuste'!H198*1000</f>
        <v>930.73710965867826</v>
      </c>
      <c r="Z198" s="41">
        <f>G198/'1. Väestöennuste'!I198*1000</f>
        <v>567.63829979243746</v>
      </c>
      <c r="AA198" s="41">
        <f>H198/'1. Väestöennuste'!J198*1000</f>
        <v>922.23017719706456</v>
      </c>
      <c r="AB198" s="41">
        <f>I198/'1. Väestöennuste'!K198*1000</f>
        <v>1076.6433816684569</v>
      </c>
      <c r="AC198" s="41">
        <f>J198/'1. Väestöennuste'!L198*1000</f>
        <v>1239.4520774765185</v>
      </c>
      <c r="AD198" s="41">
        <f>K198/'1. Väestöennuste'!M198*1000</f>
        <v>1417.2092885408758</v>
      </c>
      <c r="AE198" s="41">
        <f>L198/'1. Väestöennuste'!N198*1000</f>
        <v>1466.8437538341921</v>
      </c>
      <c r="AF198" s="41">
        <f>M198/'1. Väestöennuste'!O198*1000</f>
        <v>1487.5134364694466</v>
      </c>
      <c r="AG198" s="41">
        <f>N198/'1. Väestöennuste'!P198*1000</f>
        <v>1554.3471900409477</v>
      </c>
      <c r="AH198" s="41">
        <f>O198/'1. Väestöennuste'!Q198*1000</f>
        <v>1686.2457523313201</v>
      </c>
      <c r="AI198" s="41">
        <f>P198/'1. Väestöennuste'!R198*1000</f>
        <v>1854.9326147715342</v>
      </c>
      <c r="AK198" s="41">
        <f t="shared" si="29"/>
        <v>0</v>
      </c>
      <c r="AL198" s="41">
        <f t="shared" si="30"/>
        <v>0</v>
      </c>
      <c r="AM198" s="41">
        <f t="shared" si="31"/>
        <v>0</v>
      </c>
      <c r="AN198" s="41">
        <f t="shared" si="32"/>
        <v>0</v>
      </c>
      <c r="AO198" s="41">
        <f t="shared" si="33"/>
        <v>0</v>
      </c>
      <c r="AP198" s="41">
        <f t="shared" si="34"/>
        <v>0</v>
      </c>
      <c r="AQ198" s="41">
        <f t="shared" si="35"/>
        <v>0</v>
      </c>
      <c r="AR198" s="41">
        <f t="shared" si="36"/>
        <v>0</v>
      </c>
      <c r="AS198" s="41">
        <f t="shared" si="37"/>
        <v>0</v>
      </c>
      <c r="AT198" s="41">
        <f t="shared" si="38"/>
        <v>0</v>
      </c>
      <c r="AU198" s="41">
        <f t="shared" si="39"/>
        <v>0</v>
      </c>
      <c r="AV198" s="41">
        <f t="shared" si="40"/>
        <v>0</v>
      </c>
      <c r="AW198" s="41">
        <f t="shared" si="40"/>
        <v>0</v>
      </c>
      <c r="AX198" s="41">
        <f t="shared" si="40"/>
        <v>0</v>
      </c>
    </row>
    <row r="199" spans="1:50" ht="11.25" x14ac:dyDescent="0.2">
      <c r="A199" s="34">
        <v>601</v>
      </c>
      <c r="B199" s="88" t="s">
        <v>513</v>
      </c>
      <c r="C199" s="65">
        <v>10375</v>
      </c>
      <c r="D199" s="65">
        <v>11592</v>
      </c>
      <c r="E199" s="65">
        <v>12090</v>
      </c>
      <c r="F199" s="65">
        <v>11440</v>
      </c>
      <c r="G199" s="41">
        <v>10316</v>
      </c>
      <c r="H199" s="41">
        <v>6877</v>
      </c>
      <c r="I199" s="41">
        <v>6421.4389399999991</v>
      </c>
      <c r="J199" s="41">
        <f>I199+'Tilikauden tulos'!J199+'9. Tulorahkorjauserät'!J199</f>
        <v>6757.5684032395948</v>
      </c>
      <c r="K199" s="41">
        <f>J199+'Tilikauden tulos'!K199+'9. Tulorahkorjauserät'!K199</f>
        <v>8113.4670708088661</v>
      </c>
      <c r="L199" s="41">
        <f>K199+'Tilikauden tulos'!L199+'9. Tulorahkorjauserät'!L199</f>
        <v>7349.4525995067143</v>
      </c>
      <c r="M199" s="41">
        <f>L199+'Tilikauden tulos'!M199+'9. Tulorahkorjauserät'!M199</f>
        <v>6514.7046011167586</v>
      </c>
      <c r="N199" s="41">
        <f>M199+'Tilikauden tulos'!N199+'9. Tulorahkorjauserät'!N199</f>
        <v>5313.942931461148</v>
      </c>
      <c r="O199" s="41">
        <f>N199+'Tilikauden tulos'!O199+'9. Tulorahkorjauserät'!O199</f>
        <v>3789.8295936585182</v>
      </c>
      <c r="P199" s="41">
        <f>O199+'Tilikauden tulos'!P199+'9. Tulorahkorjauserät'!P199</f>
        <v>2320.1262188905075</v>
      </c>
      <c r="T199" s="34">
        <v>601</v>
      </c>
      <c r="U199" s="88" t="s">
        <v>513</v>
      </c>
      <c r="V199" s="41">
        <f>C199/'1. Väestöennuste'!E199*1000</f>
        <v>2457.9483534707415</v>
      </c>
      <c r="W199" s="41">
        <f>D199/'1. Väestöennuste'!F199*1000</f>
        <v>2758.6863398381724</v>
      </c>
      <c r="X199" s="41">
        <f>E199/'1. Väestöennuste'!G199*1000</f>
        <v>2929.4887327356432</v>
      </c>
      <c r="Y199" s="41">
        <f>F199/'1. Väestöennuste'!H199*1000</f>
        <v>2822.6005428077965</v>
      </c>
      <c r="Z199" s="41">
        <f>G199/'1. Väestöennuste'!I199*1000</f>
        <v>2558.531746031746</v>
      </c>
      <c r="AA199" s="41">
        <f>H199/'1. Väestöennuste'!J199*1000</f>
        <v>1749.4276265581277</v>
      </c>
      <c r="AB199" s="41">
        <f>I199/'1. Väestöennuste'!K199*1000</f>
        <v>1658.0012754970305</v>
      </c>
      <c r="AC199" s="41">
        <f>J199/'1. Väestöennuste'!L199*1000</f>
        <v>1784.8833606021117</v>
      </c>
      <c r="AD199" s="41">
        <f>K199/'1. Väestöennuste'!M199*1000</f>
        <v>2169.9564243939199</v>
      </c>
      <c r="AE199" s="41">
        <f>L199/'1. Väestöennuste'!N199*1000</f>
        <v>1995.5070864802374</v>
      </c>
      <c r="AF199" s="41">
        <f>M199/'1. Väestöennuste'!O199*1000</f>
        <v>1795.6738150817969</v>
      </c>
      <c r="AG199" s="41">
        <f>N199/'1. Väestöennuste'!P199*1000</f>
        <v>1487.2496309714941</v>
      </c>
      <c r="AH199" s="41">
        <f>O199/'1. Väestöennuste'!Q199*1000</f>
        <v>1075.7393112854152</v>
      </c>
      <c r="AI199" s="41">
        <f>P199/'1. Väestöennuste'!R199*1000</f>
        <v>668.04670857774477</v>
      </c>
      <c r="AK199" s="41">
        <f t="shared" si="29"/>
        <v>0</v>
      </c>
      <c r="AL199" s="41">
        <f t="shared" si="30"/>
        <v>0</v>
      </c>
      <c r="AM199" s="41">
        <f t="shared" si="31"/>
        <v>0</v>
      </c>
      <c r="AN199" s="41">
        <f t="shared" si="32"/>
        <v>0</v>
      </c>
      <c r="AO199" s="41">
        <f t="shared" si="33"/>
        <v>0</v>
      </c>
      <c r="AP199" s="41">
        <f t="shared" si="34"/>
        <v>0</v>
      </c>
      <c r="AQ199" s="41">
        <f t="shared" si="35"/>
        <v>0</v>
      </c>
      <c r="AR199" s="41">
        <f t="shared" si="36"/>
        <v>0</v>
      </c>
      <c r="AS199" s="41">
        <f t="shared" si="37"/>
        <v>0</v>
      </c>
      <c r="AT199" s="41">
        <f t="shared" si="38"/>
        <v>0</v>
      </c>
      <c r="AU199" s="41">
        <f t="shared" si="39"/>
        <v>0</v>
      </c>
      <c r="AV199" s="41">
        <f t="shared" si="40"/>
        <v>0</v>
      </c>
      <c r="AW199" s="41">
        <f t="shared" si="40"/>
        <v>0</v>
      </c>
      <c r="AX199" s="41">
        <f t="shared" si="40"/>
        <v>0</v>
      </c>
    </row>
    <row r="200" spans="1:50" ht="11.25" x14ac:dyDescent="0.2">
      <c r="A200" s="34">
        <v>604</v>
      </c>
      <c r="B200" s="88" t="s">
        <v>514</v>
      </c>
      <c r="C200" s="65">
        <v>45621</v>
      </c>
      <c r="D200" s="65">
        <v>45627</v>
      </c>
      <c r="E200" s="65">
        <v>45694</v>
      </c>
      <c r="F200" s="65">
        <v>44280</v>
      </c>
      <c r="G200" s="41">
        <v>43526</v>
      </c>
      <c r="H200" s="41">
        <v>47538</v>
      </c>
      <c r="I200" s="41">
        <v>44820.574860000001</v>
      </c>
      <c r="J200" s="41">
        <f>I200+'Tilikauden tulos'!J200+'9. Tulorahkorjauserät'!J200</f>
        <v>45638.62322710015</v>
      </c>
      <c r="K200" s="41">
        <f>J200+'Tilikauden tulos'!K200+'9. Tulorahkorjauserät'!K200</f>
        <v>53590.250436192669</v>
      </c>
      <c r="L200" s="41">
        <f>K200+'Tilikauden tulos'!L200+'9. Tulorahkorjauserät'!L200</f>
        <v>53715.303214986685</v>
      </c>
      <c r="M200" s="41">
        <f>L200+'Tilikauden tulos'!M200+'9. Tulorahkorjauserät'!M200</f>
        <v>51550.678133242836</v>
      </c>
      <c r="N200" s="41">
        <f>M200+'Tilikauden tulos'!N200+'9. Tulorahkorjauserät'!N200</f>
        <v>49881.242842129228</v>
      </c>
      <c r="O200" s="41">
        <f>N200+'Tilikauden tulos'!O200+'9. Tulorahkorjauserät'!O200</f>
        <v>47481.949247305616</v>
      </c>
      <c r="P200" s="41">
        <f>O200+'Tilikauden tulos'!P200+'9. Tulorahkorjauserät'!P200</f>
        <v>45995.251715222905</v>
      </c>
      <c r="T200" s="34">
        <v>604</v>
      </c>
      <c r="U200" s="88" t="s">
        <v>514</v>
      </c>
      <c r="V200" s="41">
        <f>C200/'1. Väestöennuste'!E200*1000</f>
        <v>2412.1503727594777</v>
      </c>
      <c r="W200" s="41">
        <f>D200/'1. Väestöennuste'!F200*1000</f>
        <v>2380.9946250587068</v>
      </c>
      <c r="X200" s="41">
        <f>E200/'1. Väestöennuste'!G200*1000</f>
        <v>2375.3183968394242</v>
      </c>
      <c r="Y200" s="41">
        <f>F200/'1. Väestöennuste'!H200*1000</f>
        <v>2286.2453531598512</v>
      </c>
      <c r="Z200" s="41">
        <f>G200/'1. Väestöennuste'!I200*1000</f>
        <v>2218.1113998878868</v>
      </c>
      <c r="AA200" s="41">
        <f>H200/'1. Väestöennuste'!J200*1000</f>
        <v>2400.5453719133466</v>
      </c>
      <c r="AB200" s="41">
        <f>I200/'1. Väestöennuste'!K200*1000</f>
        <v>2218.1814738196576</v>
      </c>
      <c r="AC200" s="41">
        <f>J200/'1. Väestöennuste'!L200*1000</f>
        <v>2236.6392172065744</v>
      </c>
      <c r="AD200" s="41">
        <f>K200/'1. Väestöennuste'!M200*1000</f>
        <v>2581.0456309874617</v>
      </c>
      <c r="AE200" s="41">
        <f>L200/'1. Väestöennuste'!N200*1000</f>
        <v>2623.2017978701315</v>
      </c>
      <c r="AF200" s="41">
        <f>M200/'1. Väestöennuste'!O200*1000</f>
        <v>2498.6999240581085</v>
      </c>
      <c r="AG200" s="41">
        <f>N200/'1. Väestöennuste'!P200*1000</f>
        <v>2400.6758514837438</v>
      </c>
      <c r="AH200" s="41">
        <f>O200/'1. Väestöennuste'!Q200*1000</f>
        <v>2270.0171748962862</v>
      </c>
      <c r="AI200" s="41">
        <f>P200/'1. Väestöennuste'!R200*1000</f>
        <v>2185.1513950887406</v>
      </c>
      <c r="AK200" s="41">
        <f t="shared" si="29"/>
        <v>0</v>
      </c>
      <c r="AL200" s="41">
        <f t="shared" si="30"/>
        <v>0</v>
      </c>
      <c r="AM200" s="41">
        <f t="shared" si="31"/>
        <v>0</v>
      </c>
      <c r="AN200" s="41">
        <f t="shared" si="32"/>
        <v>0</v>
      </c>
      <c r="AO200" s="41">
        <f t="shared" si="33"/>
        <v>0</v>
      </c>
      <c r="AP200" s="41">
        <f t="shared" si="34"/>
        <v>0</v>
      </c>
      <c r="AQ200" s="41">
        <f t="shared" si="35"/>
        <v>0</v>
      </c>
      <c r="AR200" s="41">
        <f t="shared" si="36"/>
        <v>0</v>
      </c>
      <c r="AS200" s="41">
        <f t="shared" si="37"/>
        <v>0</v>
      </c>
      <c r="AT200" s="41">
        <f t="shared" si="38"/>
        <v>0</v>
      </c>
      <c r="AU200" s="41">
        <f t="shared" si="39"/>
        <v>0</v>
      </c>
      <c r="AV200" s="41">
        <f t="shared" si="40"/>
        <v>0</v>
      </c>
      <c r="AW200" s="41">
        <f t="shared" si="40"/>
        <v>0</v>
      </c>
      <c r="AX200" s="41">
        <f t="shared" si="40"/>
        <v>0</v>
      </c>
    </row>
    <row r="201" spans="1:50" ht="11.25" x14ac:dyDescent="0.2">
      <c r="A201" s="34">
        <v>607</v>
      </c>
      <c r="B201" s="88" t="s">
        <v>515</v>
      </c>
      <c r="C201" s="65">
        <v>6843</v>
      </c>
      <c r="D201" s="65">
        <v>7744</v>
      </c>
      <c r="E201" s="65">
        <v>8268</v>
      </c>
      <c r="F201" s="65">
        <v>8310</v>
      </c>
      <c r="G201" s="41">
        <v>8108</v>
      </c>
      <c r="H201" s="41">
        <v>8132</v>
      </c>
      <c r="I201" s="41">
        <v>6795.6209499999995</v>
      </c>
      <c r="J201" s="41">
        <f>I201+'Tilikauden tulos'!J201+'9. Tulorahkorjauserät'!J201</f>
        <v>5174.2638033009935</v>
      </c>
      <c r="K201" s="41">
        <f>J201+'Tilikauden tulos'!K201+'9. Tulorahkorjauserät'!K201</f>
        <v>1741.5085916477028</v>
      </c>
      <c r="L201" s="41">
        <f>K201+'Tilikauden tulos'!L201+'9. Tulorahkorjauserät'!L201</f>
        <v>-835.08533890401895</v>
      </c>
      <c r="M201" s="41">
        <f>L201+'Tilikauden tulos'!M201+'9. Tulorahkorjauserät'!M201</f>
        <v>-4579.9977156990062</v>
      </c>
      <c r="N201" s="41">
        <f>M201+'Tilikauden tulos'!N201+'9. Tulorahkorjauserät'!N201</f>
        <v>-8128.8322692534548</v>
      </c>
      <c r="O201" s="41">
        <f>N201+'Tilikauden tulos'!O201+'9. Tulorahkorjauserät'!O201</f>
        <v>-11886.815416669233</v>
      </c>
      <c r="P201" s="41">
        <f>O201+'Tilikauden tulos'!P201+'9. Tulorahkorjauserät'!P201</f>
        <v>-15303.108158796018</v>
      </c>
      <c r="T201" s="34">
        <v>607</v>
      </c>
      <c r="U201" s="88" t="s">
        <v>515</v>
      </c>
      <c r="V201" s="41">
        <f>C201/'1. Väestöennuste'!E201*1000</f>
        <v>1501.9754170324845</v>
      </c>
      <c r="W201" s="41">
        <f>D201/'1. Väestöennuste'!F201*1000</f>
        <v>1715.5516171909615</v>
      </c>
      <c r="X201" s="41">
        <f>E201/'1. Väestöennuste'!G201*1000</f>
        <v>1873.13094698686</v>
      </c>
      <c r="Y201" s="41">
        <f>F201/'1. Väestöennuste'!H201*1000</f>
        <v>1929.4172277687485</v>
      </c>
      <c r="Z201" s="41">
        <f>G201/'1. Väestöennuste'!I201*1000</f>
        <v>1909.5619406500234</v>
      </c>
      <c r="AA201" s="41">
        <f>H201/'1. Väestöennuste'!J201*1000</f>
        <v>1935.7295881932873</v>
      </c>
      <c r="AB201" s="41">
        <f>I201/'1. Väestöennuste'!K201*1000</f>
        <v>1633.1701393895696</v>
      </c>
      <c r="AC201" s="41">
        <f>J201/'1. Väestöennuste'!L201*1000</f>
        <v>1266.9597951275696</v>
      </c>
      <c r="AD201" s="41">
        <f>K201/'1. Väestöennuste'!M201*1000</f>
        <v>428.52081487394264</v>
      </c>
      <c r="AE201" s="41">
        <f>L201/'1. Väestöennuste'!N201*1000</f>
        <v>-211.46754593669763</v>
      </c>
      <c r="AF201" s="41">
        <f>M201/'1. Väestöennuste'!O201*1000</f>
        <v>-1176.7722804982031</v>
      </c>
      <c r="AG201" s="41">
        <f>N201/'1. Väestöennuste'!P201*1000</f>
        <v>-2116.8834034514202</v>
      </c>
      <c r="AH201" s="41">
        <f>O201/'1. Väestöennuste'!Q201*1000</f>
        <v>-3139.6765495692639</v>
      </c>
      <c r="AI201" s="41">
        <f>P201/'1. Väestöennuste'!R201*1000</f>
        <v>-4101.6103347081262</v>
      </c>
      <c r="AK201" s="41">
        <f t="shared" si="29"/>
        <v>0</v>
      </c>
      <c r="AL201" s="41">
        <f t="shared" si="30"/>
        <v>0</v>
      </c>
      <c r="AM201" s="41">
        <f t="shared" si="31"/>
        <v>0</v>
      </c>
      <c r="AN201" s="41">
        <f t="shared" si="32"/>
        <v>0</v>
      </c>
      <c r="AO201" s="41">
        <f t="shared" si="33"/>
        <v>0</v>
      </c>
      <c r="AP201" s="41">
        <f t="shared" si="34"/>
        <v>0</v>
      </c>
      <c r="AQ201" s="41">
        <f t="shared" si="35"/>
        <v>0</v>
      </c>
      <c r="AR201" s="41">
        <f t="shared" si="36"/>
        <v>0</v>
      </c>
      <c r="AS201" s="41">
        <f t="shared" si="37"/>
        <v>0</v>
      </c>
      <c r="AT201" s="41">
        <f t="shared" si="38"/>
        <v>-1</v>
      </c>
      <c r="AU201" s="41">
        <f t="shared" si="39"/>
        <v>-1</v>
      </c>
      <c r="AV201" s="41">
        <f t="shared" si="40"/>
        <v>-1</v>
      </c>
      <c r="AW201" s="41">
        <f t="shared" si="40"/>
        <v>-1</v>
      </c>
      <c r="AX201" s="41">
        <f t="shared" si="40"/>
        <v>-1</v>
      </c>
    </row>
    <row r="202" spans="1:50" ht="11.25" x14ac:dyDescent="0.2">
      <c r="A202" s="34">
        <v>608</v>
      </c>
      <c r="B202" s="88" t="s">
        <v>516</v>
      </c>
      <c r="C202" s="65">
        <v>3879</v>
      </c>
      <c r="D202" s="65">
        <v>3655</v>
      </c>
      <c r="E202" s="65">
        <v>3249</v>
      </c>
      <c r="F202" s="65">
        <v>2506</v>
      </c>
      <c r="G202" s="41">
        <v>2587</v>
      </c>
      <c r="H202" s="41">
        <v>2696</v>
      </c>
      <c r="I202" s="41">
        <v>2760.0982199999999</v>
      </c>
      <c r="J202" s="41">
        <f>I202+'Tilikauden tulos'!J202+'9. Tulorahkorjauserät'!J202</f>
        <v>2871.4955812788166</v>
      </c>
      <c r="K202" s="41">
        <f>J202+'Tilikauden tulos'!K202+'9. Tulorahkorjauserät'!K202</f>
        <v>3058.5796818951467</v>
      </c>
      <c r="L202" s="41">
        <f>K202+'Tilikauden tulos'!L202+'9. Tulorahkorjauserät'!L202</f>
        <v>2252.6695261830446</v>
      </c>
      <c r="M202" s="41">
        <f>L202+'Tilikauden tulos'!M202+'9. Tulorahkorjauserät'!M202</f>
        <v>1325.6407467910244</v>
      </c>
      <c r="N202" s="41">
        <f>M202+'Tilikauden tulos'!N202+'9. Tulorahkorjauserät'!N202</f>
        <v>528.658753129974</v>
      </c>
      <c r="O202" s="41">
        <f>N202+'Tilikauden tulos'!O202+'9. Tulorahkorjauserät'!O202</f>
        <v>-307.21051114308557</v>
      </c>
      <c r="P202" s="41">
        <f>O202+'Tilikauden tulos'!P202+'9. Tulorahkorjauserät'!P202</f>
        <v>-906.88239424600783</v>
      </c>
      <c r="T202" s="34">
        <v>608</v>
      </c>
      <c r="U202" s="88" t="s">
        <v>516</v>
      </c>
      <c r="V202" s="41">
        <f>C202/'1. Väestöennuste'!E202*1000</f>
        <v>1731.6964285714284</v>
      </c>
      <c r="W202" s="41">
        <f>D202/'1. Väestöennuste'!F202*1000</f>
        <v>1636.8114643976712</v>
      </c>
      <c r="X202" s="41">
        <f>E202/'1. Väestöennuste'!G202*1000</f>
        <v>1500</v>
      </c>
      <c r="Y202" s="41">
        <f>F202/'1. Väestöennuste'!H202*1000</f>
        <v>1167.7539608574093</v>
      </c>
      <c r="Z202" s="41">
        <f>G202/'1. Väestöennuste'!I202*1000</f>
        <v>1238.3915749162277</v>
      </c>
      <c r="AA202" s="41">
        <f>H202/'1. Väestöennuste'!J202*1000</f>
        <v>1306.8347067377606</v>
      </c>
      <c r="AB202" s="41">
        <f>I202/'1. Väestöennuste'!K202*1000</f>
        <v>1371.1367213114754</v>
      </c>
      <c r="AC202" s="41">
        <f>J202/'1. Väestöennuste'!L202*1000</f>
        <v>1450.25029357516</v>
      </c>
      <c r="AD202" s="41">
        <f>K202/'1. Väestöennuste'!M202*1000</f>
        <v>1574.153207357255</v>
      </c>
      <c r="AE202" s="41">
        <f>L202/'1. Väestöennuste'!N202*1000</f>
        <v>1156.40119413914</v>
      </c>
      <c r="AF202" s="41">
        <f>M202/'1. Väestöennuste'!O202*1000</f>
        <v>689.36076276184326</v>
      </c>
      <c r="AG202" s="41">
        <f>N202/'1. Väestöennuste'!P202*1000</f>
        <v>278.68147239323883</v>
      </c>
      <c r="AH202" s="41">
        <f>O202/'1. Väestöennuste'!Q202*1000</f>
        <v>-164.19589050939902</v>
      </c>
      <c r="AI202" s="41">
        <f>P202/'1. Väestöennuste'!R202*1000</f>
        <v>-491.00292054467127</v>
      </c>
      <c r="AK202" s="41">
        <f t="shared" si="29"/>
        <v>0</v>
      </c>
      <c r="AL202" s="41">
        <f t="shared" si="30"/>
        <v>0</v>
      </c>
      <c r="AM202" s="41">
        <f t="shared" si="31"/>
        <v>0</v>
      </c>
      <c r="AN202" s="41">
        <f t="shared" si="32"/>
        <v>0</v>
      </c>
      <c r="AO202" s="41">
        <f t="shared" si="33"/>
        <v>0</v>
      </c>
      <c r="AP202" s="41">
        <f t="shared" si="34"/>
        <v>0</v>
      </c>
      <c r="AQ202" s="41">
        <f t="shared" si="35"/>
        <v>0</v>
      </c>
      <c r="AR202" s="41">
        <f t="shared" si="36"/>
        <v>0</v>
      </c>
      <c r="AS202" s="41">
        <f t="shared" si="37"/>
        <v>0</v>
      </c>
      <c r="AT202" s="41">
        <f t="shared" si="38"/>
        <v>0</v>
      </c>
      <c r="AU202" s="41">
        <f t="shared" si="39"/>
        <v>0</v>
      </c>
      <c r="AV202" s="41">
        <f t="shared" si="40"/>
        <v>0</v>
      </c>
      <c r="AW202" s="41">
        <f t="shared" si="40"/>
        <v>-1</v>
      </c>
      <c r="AX202" s="41">
        <f t="shared" si="40"/>
        <v>-1</v>
      </c>
    </row>
    <row r="203" spans="1:50" ht="11.25" x14ac:dyDescent="0.2">
      <c r="A203" s="34">
        <v>609</v>
      </c>
      <c r="B203" s="88" t="s">
        <v>517</v>
      </c>
      <c r="C203" s="65">
        <v>63906</v>
      </c>
      <c r="D203" s="65">
        <v>73725</v>
      </c>
      <c r="E203" s="65">
        <v>91721</v>
      </c>
      <c r="F203" s="65">
        <v>73155</v>
      </c>
      <c r="G203" s="41">
        <v>44460</v>
      </c>
      <c r="H203" s="41">
        <v>48619</v>
      </c>
      <c r="I203" s="41">
        <v>44161.289660000002</v>
      </c>
      <c r="J203" s="41">
        <f>I203+'Tilikauden tulos'!J203+'9. Tulorahkorjauserät'!J203</f>
        <v>31779.731691694753</v>
      </c>
      <c r="K203" s="41">
        <f>J203+'Tilikauden tulos'!K203+'9. Tulorahkorjauserät'!K203</f>
        <v>36623.663353581607</v>
      </c>
      <c r="L203" s="41">
        <f>K203+'Tilikauden tulos'!L203+'9. Tulorahkorjauserät'!L203</f>
        <v>21896.40678525807</v>
      </c>
      <c r="M203" s="41">
        <f>L203+'Tilikauden tulos'!M203+'9. Tulorahkorjauserät'!M203</f>
        <v>2637.0117481270063</v>
      </c>
      <c r="N203" s="41">
        <f>M203+'Tilikauden tulos'!N203+'9. Tulorahkorjauserät'!N203</f>
        <v>2193.8560225534748</v>
      </c>
      <c r="O203" s="41">
        <f>N203+'Tilikauden tulos'!O203+'9. Tulorahkorjauserät'!O203</f>
        <v>3904.4301220590896</v>
      </c>
      <c r="P203" s="41">
        <f>O203+'Tilikauden tulos'!P203+'9. Tulorahkorjauserät'!P203</f>
        <v>13399.903355618088</v>
      </c>
      <c r="T203" s="34">
        <v>609</v>
      </c>
      <c r="U203" s="88" t="s">
        <v>517</v>
      </c>
      <c r="V203" s="41">
        <f>C203/'1. Väestöennuste'!E203*1000</f>
        <v>748.63816876164151</v>
      </c>
      <c r="W203" s="41">
        <f>D203/'1. Väestöennuste'!F203*1000</f>
        <v>866.75131379395475</v>
      </c>
      <c r="X203" s="41">
        <f>E203/'1. Väestöennuste'!G203*1000</f>
        <v>1084.3392010592645</v>
      </c>
      <c r="Y203" s="41">
        <f>F203/'1. Väestöennuste'!H203*1000</f>
        <v>866.73459474189303</v>
      </c>
      <c r="Z203" s="41">
        <f>G203/'1. Väestöennuste'!I203*1000</f>
        <v>529.7019086425048</v>
      </c>
      <c r="AA203" s="41">
        <f>H203/'1. Väestöennuste'!J203*1000</f>
        <v>580.98322259930217</v>
      </c>
      <c r="AB203" s="41">
        <f>I203/'1. Väestöennuste'!K203*1000</f>
        <v>528.99175462974063</v>
      </c>
      <c r="AC203" s="41">
        <f>J203/'1. Väestöennuste'!L203*1000</f>
        <v>381.94497556270363</v>
      </c>
      <c r="AD203" s="41">
        <f>K203/'1. Väestöennuste'!M203*1000</f>
        <v>440.68615206581484</v>
      </c>
      <c r="AE203" s="41">
        <f>L203/'1. Väestöennuste'!N203*1000</f>
        <v>266.22742209756063</v>
      </c>
      <c r="AF203" s="41">
        <f>M203/'1. Väestöennuste'!O203*1000</f>
        <v>32.208170458594992</v>
      </c>
      <c r="AG203" s="41">
        <f>N203/'1. Väestöennuste'!P203*1000</f>
        <v>26.920130346076135</v>
      </c>
      <c r="AH203" s="41">
        <f>O203/'1. Väestöennuste'!Q203*1000</f>
        <v>48.133908502133849</v>
      </c>
      <c r="AI203" s="41">
        <f>P203/'1. Väestöennuste'!R203*1000</f>
        <v>165.96979520688268</v>
      </c>
      <c r="AK203" s="41">
        <f t="shared" si="29"/>
        <v>0</v>
      </c>
      <c r="AL203" s="41">
        <f t="shared" si="30"/>
        <v>0</v>
      </c>
      <c r="AM203" s="41">
        <f t="shared" si="31"/>
        <v>0</v>
      </c>
      <c r="AN203" s="41">
        <f t="shared" si="32"/>
        <v>0</v>
      </c>
      <c r="AO203" s="41">
        <f t="shared" si="33"/>
        <v>0</v>
      </c>
      <c r="AP203" s="41">
        <f t="shared" si="34"/>
        <v>0</v>
      </c>
      <c r="AQ203" s="41">
        <f t="shared" si="35"/>
        <v>0</v>
      </c>
      <c r="AR203" s="41">
        <f t="shared" si="36"/>
        <v>0</v>
      </c>
      <c r="AS203" s="41">
        <f t="shared" si="37"/>
        <v>0</v>
      </c>
      <c r="AT203" s="41">
        <f t="shared" si="38"/>
        <v>0</v>
      </c>
      <c r="AU203" s="41">
        <f t="shared" si="39"/>
        <v>0</v>
      </c>
      <c r="AV203" s="41">
        <f t="shared" si="40"/>
        <v>0</v>
      </c>
      <c r="AW203" s="41">
        <f t="shared" si="40"/>
        <v>0</v>
      </c>
      <c r="AX203" s="41">
        <f t="shared" si="40"/>
        <v>0</v>
      </c>
    </row>
    <row r="204" spans="1:50" ht="11.25" x14ac:dyDescent="0.2">
      <c r="A204" s="34">
        <v>611</v>
      </c>
      <c r="B204" s="88" t="s">
        <v>518</v>
      </c>
      <c r="C204" s="65">
        <v>5580</v>
      </c>
      <c r="D204" s="65">
        <v>7161</v>
      </c>
      <c r="E204" s="65">
        <v>8994</v>
      </c>
      <c r="F204" s="65">
        <v>9887</v>
      </c>
      <c r="G204" s="41">
        <v>9241</v>
      </c>
      <c r="H204" s="41">
        <v>10447</v>
      </c>
      <c r="I204" s="41">
        <v>11742.60672</v>
      </c>
      <c r="J204" s="41">
        <f>I204+'Tilikauden tulos'!J204+'9. Tulorahkorjauserät'!J204</f>
        <v>11107.44364341557</v>
      </c>
      <c r="K204" s="41">
        <f>J204+'Tilikauden tulos'!K204+'9. Tulorahkorjauserät'!K204</f>
        <v>12238.804713943773</v>
      </c>
      <c r="L204" s="41">
        <f>K204+'Tilikauden tulos'!L204+'9. Tulorahkorjauserät'!L204</f>
        <v>12437.124441927859</v>
      </c>
      <c r="M204" s="41">
        <f>L204+'Tilikauden tulos'!M204+'9. Tulorahkorjauserät'!M204</f>
        <v>10708.988593565022</v>
      </c>
      <c r="N204" s="41">
        <f>M204+'Tilikauden tulos'!N204+'9. Tulorahkorjauserät'!N204</f>
        <v>8631.0002776088731</v>
      </c>
      <c r="O204" s="41">
        <f>N204+'Tilikauden tulos'!O204+'9. Tulorahkorjauserät'!O204</f>
        <v>6218.4964964746532</v>
      </c>
      <c r="P204" s="41">
        <f>O204+'Tilikauden tulos'!P204+'9. Tulorahkorjauserät'!P204</f>
        <v>3891.5614206568653</v>
      </c>
      <c r="T204" s="34">
        <v>611</v>
      </c>
      <c r="U204" s="88" t="s">
        <v>518</v>
      </c>
      <c r="V204" s="41">
        <f>C204/'1. Väestöennuste'!E204*1000</f>
        <v>1088.780487804878</v>
      </c>
      <c r="W204" s="41">
        <f>D204/'1. Väestöennuste'!F204*1000</f>
        <v>1401.9185591229443</v>
      </c>
      <c r="X204" s="41">
        <f>E204/'1. Väestöennuste'!G204*1000</f>
        <v>1756.2975981253662</v>
      </c>
      <c r="Y204" s="41">
        <f>F204/'1. Väestöennuste'!H204*1000</f>
        <v>1950.8681925808996</v>
      </c>
      <c r="Z204" s="41">
        <f>G204/'1. Väestöennuste'!I204*1000</f>
        <v>1835.3525322740813</v>
      </c>
      <c r="AA204" s="41">
        <f>H204/'1. Väestöennuste'!J204*1000</f>
        <v>2060.5522682445758</v>
      </c>
      <c r="AB204" s="41">
        <f>I204/'1. Väestöennuste'!K204*1000</f>
        <v>2317.924737465456</v>
      </c>
      <c r="AC204" s="41">
        <f>J204/'1. Väestöennuste'!L204*1000</f>
        <v>2216.6121818829715</v>
      </c>
      <c r="AD204" s="41">
        <f>K204/'1. Väestöennuste'!M204*1000</f>
        <v>2461.05061611578</v>
      </c>
      <c r="AE204" s="41">
        <f>L204/'1. Väestöennuste'!N204*1000</f>
        <v>2456.9586017241918</v>
      </c>
      <c r="AF204" s="41">
        <f>M204/'1. Väestöennuste'!O204*1000</f>
        <v>2113.4771252348573</v>
      </c>
      <c r="AG204" s="41">
        <f>N204/'1. Väestöennuste'!P204*1000</f>
        <v>1700.6897098736695</v>
      </c>
      <c r="AH204" s="41">
        <f>O204/'1. Väestöennuste'!Q204*1000</f>
        <v>1222.4290341015633</v>
      </c>
      <c r="AI204" s="41">
        <f>P204/'1. Väestöennuste'!R204*1000</f>
        <v>763.50037682104482</v>
      </c>
      <c r="AK204" s="41">
        <f t="shared" si="29"/>
        <v>0</v>
      </c>
      <c r="AL204" s="41">
        <f t="shared" si="30"/>
        <v>0</v>
      </c>
      <c r="AM204" s="41">
        <f t="shared" si="31"/>
        <v>0</v>
      </c>
      <c r="AN204" s="41">
        <f t="shared" si="32"/>
        <v>0</v>
      </c>
      <c r="AO204" s="41">
        <f t="shared" si="33"/>
        <v>0</v>
      </c>
      <c r="AP204" s="41">
        <f t="shared" si="34"/>
        <v>0</v>
      </c>
      <c r="AQ204" s="41">
        <f t="shared" si="35"/>
        <v>0</v>
      </c>
      <c r="AR204" s="41">
        <f t="shared" si="36"/>
        <v>0</v>
      </c>
      <c r="AS204" s="41">
        <f t="shared" si="37"/>
        <v>0</v>
      </c>
      <c r="AT204" s="41">
        <f t="shared" si="38"/>
        <v>0</v>
      </c>
      <c r="AU204" s="41">
        <f t="shared" si="39"/>
        <v>0</v>
      </c>
      <c r="AV204" s="41">
        <f t="shared" si="40"/>
        <v>0</v>
      </c>
      <c r="AW204" s="41">
        <f t="shared" si="40"/>
        <v>0</v>
      </c>
      <c r="AX204" s="41">
        <f t="shared" si="40"/>
        <v>0</v>
      </c>
    </row>
    <row r="205" spans="1:50" ht="11.25" x14ac:dyDescent="0.2">
      <c r="A205" s="34">
        <v>614</v>
      </c>
      <c r="B205" s="88" t="s">
        <v>519</v>
      </c>
      <c r="C205" s="65">
        <v>-165</v>
      </c>
      <c r="D205" s="65">
        <v>111</v>
      </c>
      <c r="E205" s="65">
        <v>3159</v>
      </c>
      <c r="F205" s="65">
        <v>4206</v>
      </c>
      <c r="G205" s="41">
        <v>4611</v>
      </c>
      <c r="H205" s="41">
        <v>5332</v>
      </c>
      <c r="I205" s="41">
        <v>6273.7539699999998</v>
      </c>
      <c r="J205" s="41">
        <f>I205+'Tilikauden tulos'!J205+'9. Tulorahkorjauserät'!J205</f>
        <v>5972.0853970750277</v>
      </c>
      <c r="K205" s="41">
        <f>J205+'Tilikauden tulos'!K205+'9. Tulorahkorjauserät'!K205</f>
        <v>5580.9413011125007</v>
      </c>
      <c r="L205" s="41">
        <f>K205+'Tilikauden tulos'!L205+'9. Tulorahkorjauserät'!L205</f>
        <v>5049.1650814855775</v>
      </c>
      <c r="M205" s="41">
        <f>L205+'Tilikauden tulos'!M205+'9. Tulorahkorjauserät'!M205</f>
        <v>3745.8090482400721</v>
      </c>
      <c r="N205" s="41">
        <f>M205+'Tilikauden tulos'!N205+'9. Tulorahkorjauserät'!N205</f>
        <v>2598.6652540452042</v>
      </c>
      <c r="O205" s="41">
        <f>N205+'Tilikauden tulos'!O205+'9. Tulorahkorjauserät'!O205</f>
        <v>1385.6149293601195</v>
      </c>
      <c r="P205" s="41">
        <f>O205+'Tilikauden tulos'!P205+'9. Tulorahkorjauserät'!P205</f>
        <v>462.51185031430146</v>
      </c>
      <c r="T205" s="34">
        <v>614</v>
      </c>
      <c r="U205" s="88" t="s">
        <v>519</v>
      </c>
      <c r="V205" s="41">
        <f>C205/'1. Väestöennuste'!E205*1000</f>
        <v>-47.454702329594475</v>
      </c>
      <c r="W205" s="41">
        <f>D205/'1. Väestöennuste'!F205*1000</f>
        <v>32.418224299065422</v>
      </c>
      <c r="X205" s="41">
        <f>E205/'1. Väestöennuste'!G205*1000</f>
        <v>954.38066465256804</v>
      </c>
      <c r="Y205" s="41">
        <f>F205/'1. Väestöennuste'!H205*1000</f>
        <v>1299.3512511584802</v>
      </c>
      <c r="Z205" s="41">
        <f>G205/'1. Väestöennuste'!I205*1000</f>
        <v>1448.6333647502356</v>
      </c>
      <c r="AA205" s="41">
        <f>H205/'1. Väestöennuste'!J205*1000</f>
        <v>1710.6191851138917</v>
      </c>
      <c r="AB205" s="41">
        <f>I205/'1. Väestöennuste'!K205*1000</f>
        <v>2046.2341715590346</v>
      </c>
      <c r="AC205" s="41">
        <f>J205/'1. Väestöennuste'!L205*1000</f>
        <v>1991.3589186645643</v>
      </c>
      <c r="AD205" s="41">
        <f>K205/'1. Väestöennuste'!M205*1000</f>
        <v>1909.3196377394804</v>
      </c>
      <c r="AE205" s="41">
        <f>L205/'1. Väestöennuste'!N205*1000</f>
        <v>1767.9149444977513</v>
      </c>
      <c r="AF205" s="41">
        <f>M205/'1. Väestöennuste'!O205*1000</f>
        <v>1335.8805450214238</v>
      </c>
      <c r="AG205" s="41">
        <f>N205/'1. Väestöennuste'!P205*1000</f>
        <v>942.56991441610592</v>
      </c>
      <c r="AH205" s="41">
        <f>O205/'1. Väestöennuste'!Q205*1000</f>
        <v>511.29702190410308</v>
      </c>
      <c r="AI205" s="41">
        <f>P205/'1. Väestöennuste'!R205*1000</f>
        <v>173.42026633457121</v>
      </c>
      <c r="AK205" s="41">
        <f t="shared" si="29"/>
        <v>-1</v>
      </c>
      <c r="AL205" s="41">
        <f t="shared" si="30"/>
        <v>0</v>
      </c>
      <c r="AM205" s="41">
        <f t="shared" si="31"/>
        <v>0</v>
      </c>
      <c r="AN205" s="41">
        <f t="shared" si="32"/>
        <v>0</v>
      </c>
      <c r="AO205" s="41">
        <f t="shared" si="33"/>
        <v>0</v>
      </c>
      <c r="AP205" s="41">
        <f t="shared" si="34"/>
        <v>0</v>
      </c>
      <c r="AQ205" s="41">
        <f t="shared" si="35"/>
        <v>0</v>
      </c>
      <c r="AR205" s="41">
        <f t="shared" si="36"/>
        <v>0</v>
      </c>
      <c r="AS205" s="41">
        <f t="shared" si="37"/>
        <v>0</v>
      </c>
      <c r="AT205" s="41">
        <f t="shared" si="38"/>
        <v>0</v>
      </c>
      <c r="AU205" s="41">
        <f t="shared" si="39"/>
        <v>0</v>
      </c>
      <c r="AV205" s="41">
        <f t="shared" si="40"/>
        <v>0</v>
      </c>
      <c r="AW205" s="41">
        <f t="shared" si="40"/>
        <v>0</v>
      </c>
      <c r="AX205" s="41">
        <f t="shared" si="40"/>
        <v>0</v>
      </c>
    </row>
    <row r="206" spans="1:50" ht="11.25" x14ac:dyDescent="0.2">
      <c r="A206" s="34">
        <v>615</v>
      </c>
      <c r="B206" s="88" t="s">
        <v>520</v>
      </c>
      <c r="C206" s="65">
        <v>10239</v>
      </c>
      <c r="D206" s="65">
        <v>8800</v>
      </c>
      <c r="E206" s="65">
        <v>10305</v>
      </c>
      <c r="F206" s="65">
        <v>6099</v>
      </c>
      <c r="G206" s="41">
        <v>2559</v>
      </c>
      <c r="H206" s="41">
        <v>3038</v>
      </c>
      <c r="I206" s="41">
        <v>2783.9369899999997</v>
      </c>
      <c r="J206" s="41">
        <f>I206+'Tilikauden tulos'!J206+'9. Tulorahkorjauserät'!J206</f>
        <v>3343.8113114245452</v>
      </c>
      <c r="K206" s="41">
        <f>J206+'Tilikauden tulos'!K206+'9. Tulorahkorjauserät'!K206</f>
        <v>-1056.8871630199826</v>
      </c>
      <c r="L206" s="41">
        <f>K206+'Tilikauden tulos'!L206+'9. Tulorahkorjauserät'!L206</f>
        <v>-1410.9998248889076</v>
      </c>
      <c r="M206" s="41">
        <f>L206+'Tilikauden tulos'!M206+'9. Tulorahkorjauserät'!M206</f>
        <v>-6317.6651829052771</v>
      </c>
      <c r="N206" s="41">
        <f>M206+'Tilikauden tulos'!N206+'9. Tulorahkorjauserät'!N206</f>
        <v>-10981.841521022288</v>
      </c>
      <c r="O206" s="41">
        <f>N206+'Tilikauden tulos'!O206+'9. Tulorahkorjauserät'!O206</f>
        <v>-15806.504495152578</v>
      </c>
      <c r="P206" s="41">
        <f>O206+'Tilikauden tulos'!P206+'9. Tulorahkorjauserät'!P206</f>
        <v>-19731.265621761871</v>
      </c>
      <c r="T206" s="34">
        <v>615</v>
      </c>
      <c r="U206" s="88" t="s">
        <v>520</v>
      </c>
      <c r="V206" s="41">
        <f>C206/'1. Väestöennuste'!E206*1000</f>
        <v>1240.0387549957611</v>
      </c>
      <c r="W206" s="41">
        <f>D206/'1. Väestöennuste'!F206*1000</f>
        <v>1074.8748015145964</v>
      </c>
      <c r="X206" s="41">
        <f>E206/'1. Väestöennuste'!G206*1000</f>
        <v>1271.7512032580526</v>
      </c>
      <c r="Y206" s="41">
        <f>F206/'1. Väestöennuste'!H206*1000</f>
        <v>763.32916145181468</v>
      </c>
      <c r="Z206" s="41">
        <f>G206/'1. Väestöennuste'!I206*1000</f>
        <v>325.03492950590629</v>
      </c>
      <c r="AA206" s="41">
        <f>H206/'1. Väestöennuste'!J206*1000</f>
        <v>390.53862964391311</v>
      </c>
      <c r="AB206" s="41">
        <f>I206/'1. Väestöennuste'!K206*1000</f>
        <v>361.4563736691768</v>
      </c>
      <c r="AC206" s="41">
        <f>J206/'1. Väestöennuste'!L206*1000</f>
        <v>439.80156667427929</v>
      </c>
      <c r="AD206" s="41">
        <f>K206/'1. Väestöennuste'!M206*1000</f>
        <v>-141.31396751169709</v>
      </c>
      <c r="AE206" s="41">
        <f>L206/'1. Väestöennuste'!N206*1000</f>
        <v>-190.64988851356676</v>
      </c>
      <c r="AF206" s="41">
        <f>M206/'1. Väestöennuste'!O206*1000</f>
        <v>-863.77702801548776</v>
      </c>
      <c r="AG206" s="41">
        <f>N206/'1. Väestöennuste'!P206*1000</f>
        <v>-1519.3471943860388</v>
      </c>
      <c r="AH206" s="41">
        <f>O206/'1. Väestöennuste'!Q206*1000</f>
        <v>-2211.0091614425205</v>
      </c>
      <c r="AI206" s="41">
        <f>P206/'1. Väestöennuste'!R206*1000</f>
        <v>-2790.4491050433985</v>
      </c>
      <c r="AK206" s="41">
        <f t="shared" si="29"/>
        <v>0</v>
      </c>
      <c r="AL206" s="41">
        <f t="shared" si="30"/>
        <v>0</v>
      </c>
      <c r="AM206" s="41">
        <f t="shared" si="31"/>
        <v>0</v>
      </c>
      <c r="AN206" s="41">
        <f t="shared" si="32"/>
        <v>0</v>
      </c>
      <c r="AO206" s="41">
        <f t="shared" si="33"/>
        <v>0</v>
      </c>
      <c r="AP206" s="41">
        <f t="shared" si="34"/>
        <v>0</v>
      </c>
      <c r="AQ206" s="41">
        <f t="shared" si="35"/>
        <v>0</v>
      </c>
      <c r="AR206" s="41">
        <f t="shared" si="36"/>
        <v>0</v>
      </c>
      <c r="AS206" s="41">
        <f t="shared" si="37"/>
        <v>-1</v>
      </c>
      <c r="AT206" s="41">
        <f t="shared" si="38"/>
        <v>-1</v>
      </c>
      <c r="AU206" s="41">
        <f t="shared" si="39"/>
        <v>-1</v>
      </c>
      <c r="AV206" s="41">
        <f t="shared" si="40"/>
        <v>-1</v>
      </c>
      <c r="AW206" s="41">
        <f t="shared" si="40"/>
        <v>-1</v>
      </c>
      <c r="AX206" s="41">
        <f t="shared" si="40"/>
        <v>-1</v>
      </c>
    </row>
    <row r="207" spans="1:50" ht="11.25" x14ac:dyDescent="0.2">
      <c r="A207" s="34">
        <v>616</v>
      </c>
      <c r="B207" s="88" t="s">
        <v>521</v>
      </c>
      <c r="C207" s="65">
        <v>772</v>
      </c>
      <c r="D207" s="65">
        <v>3013</v>
      </c>
      <c r="E207" s="65">
        <v>3624</v>
      </c>
      <c r="F207" s="65">
        <v>2368</v>
      </c>
      <c r="G207" s="41">
        <v>1273</v>
      </c>
      <c r="H207" s="41">
        <v>1576</v>
      </c>
      <c r="I207" s="41">
        <v>1131.80377</v>
      </c>
      <c r="J207" s="41">
        <f>I207+'Tilikauden tulos'!J207+'9. Tulorahkorjauserät'!J207</f>
        <v>498.45947509502332</v>
      </c>
      <c r="K207" s="41">
        <f>J207+'Tilikauden tulos'!K207+'9. Tulorahkorjauserät'!K207</f>
        <v>309.58581111423746</v>
      </c>
      <c r="L207" s="41">
        <f>K207+'Tilikauden tulos'!L207+'9. Tulorahkorjauserät'!L207</f>
        <v>-327.46982626503791</v>
      </c>
      <c r="M207" s="41">
        <f>L207+'Tilikauden tulos'!M207+'9. Tulorahkorjauserät'!M207</f>
        <v>-1755.7752234323495</v>
      </c>
      <c r="N207" s="41">
        <f>M207+'Tilikauden tulos'!N207+'9. Tulorahkorjauserät'!N207</f>
        <v>-3170.3142550831644</v>
      </c>
      <c r="O207" s="41">
        <f>N207+'Tilikauden tulos'!O207+'9. Tulorahkorjauserät'!O207</f>
        <v>-4588.7831744485684</v>
      </c>
      <c r="P207" s="41">
        <f>O207+'Tilikauden tulos'!P207+'9. Tulorahkorjauserät'!P207</f>
        <v>-5950.2087037999891</v>
      </c>
      <c r="T207" s="34">
        <v>616</v>
      </c>
      <c r="U207" s="88" t="s">
        <v>521</v>
      </c>
      <c r="V207" s="41">
        <f>C207/'1. Väestöennuste'!E207*1000</f>
        <v>391.67935058346018</v>
      </c>
      <c r="W207" s="41">
        <f>D207/'1. Väestöennuste'!F207*1000</f>
        <v>1515.5935613682093</v>
      </c>
      <c r="X207" s="41">
        <f>E207/'1. Väestöennuste'!G207*1000</f>
        <v>1868.0412371134021</v>
      </c>
      <c r="Y207" s="41">
        <f>F207/'1. Väestöennuste'!H207*1000</f>
        <v>1246.9720905739862</v>
      </c>
      <c r="Z207" s="41">
        <f>G207/'1. Väestöennuste'!I207*1000</f>
        <v>684.40860215053772</v>
      </c>
      <c r="AA207" s="41">
        <f>H207/'1. Väestöennuste'!J207*1000</f>
        <v>859.7926895799236</v>
      </c>
      <c r="AB207" s="41">
        <f>I207/'1. Väestöennuste'!K207*1000</f>
        <v>612.44792748917757</v>
      </c>
      <c r="AC207" s="41">
        <f>J207/'1. Väestöennuste'!L207*1000</f>
        <v>275.84918378252536</v>
      </c>
      <c r="AD207" s="41">
        <f>K207/'1. Väestöennuste'!M207*1000</f>
        <v>173.8269573914865</v>
      </c>
      <c r="AE207" s="41">
        <f>L207/'1. Väestöennuste'!N207*1000</f>
        <v>-187.76939579417314</v>
      </c>
      <c r="AF207" s="41">
        <f>M207/'1. Väestöennuste'!O207*1000</f>
        <v>-1016.0736246714986</v>
      </c>
      <c r="AG207" s="41">
        <f>N207/'1. Väestöennuste'!P207*1000</f>
        <v>-1846.426473548727</v>
      </c>
      <c r="AH207" s="41">
        <f>O207/'1. Väestöennuste'!Q207*1000</f>
        <v>-2689.7908408256558</v>
      </c>
      <c r="AI207" s="41">
        <f>P207/'1. Väestöennuste'!R207*1000</f>
        <v>-3506.31037348261</v>
      </c>
      <c r="AK207" s="41">
        <f t="shared" si="29"/>
        <v>0</v>
      </c>
      <c r="AL207" s="41">
        <f t="shared" si="30"/>
        <v>0</v>
      </c>
      <c r="AM207" s="41">
        <f t="shared" si="31"/>
        <v>0</v>
      </c>
      <c r="AN207" s="41">
        <f t="shared" si="32"/>
        <v>0</v>
      </c>
      <c r="AO207" s="41">
        <f t="shared" si="33"/>
        <v>0</v>
      </c>
      <c r="AP207" s="41">
        <f t="shared" si="34"/>
        <v>0</v>
      </c>
      <c r="AQ207" s="41">
        <f t="shared" si="35"/>
        <v>0</v>
      </c>
      <c r="AR207" s="41">
        <f t="shared" si="36"/>
        <v>0</v>
      </c>
      <c r="AS207" s="41">
        <f t="shared" si="37"/>
        <v>0</v>
      </c>
      <c r="AT207" s="41">
        <f t="shared" si="38"/>
        <v>-1</v>
      </c>
      <c r="AU207" s="41">
        <f t="shared" si="39"/>
        <v>-1</v>
      </c>
      <c r="AV207" s="41">
        <f t="shared" si="40"/>
        <v>-1</v>
      </c>
      <c r="AW207" s="41">
        <f t="shared" si="40"/>
        <v>-1</v>
      </c>
      <c r="AX207" s="41">
        <f t="shared" si="40"/>
        <v>-1</v>
      </c>
    </row>
    <row r="208" spans="1:50" ht="11.25" x14ac:dyDescent="0.2">
      <c r="A208" s="34">
        <v>619</v>
      </c>
      <c r="B208" s="88" t="s">
        <v>522</v>
      </c>
      <c r="C208" s="65">
        <v>2764</v>
      </c>
      <c r="D208" s="65">
        <v>3126</v>
      </c>
      <c r="E208" s="65">
        <v>3534</v>
      </c>
      <c r="F208" s="65">
        <v>3567</v>
      </c>
      <c r="G208" s="41">
        <v>3244</v>
      </c>
      <c r="H208" s="41">
        <v>4185</v>
      </c>
      <c r="I208" s="41">
        <v>4087.8922299999999</v>
      </c>
      <c r="J208" s="41">
        <f>I208+'Tilikauden tulos'!J208+'9. Tulorahkorjauserät'!J208</f>
        <v>4728.5073081230003</v>
      </c>
      <c r="K208" s="41">
        <f>J208+'Tilikauden tulos'!K208+'9. Tulorahkorjauserät'!K208</f>
        <v>5537.14202269818</v>
      </c>
      <c r="L208" s="41">
        <f>K208+'Tilikauden tulos'!L208+'9. Tulorahkorjauserät'!L208</f>
        <v>5031.6973352138593</v>
      </c>
      <c r="M208" s="41">
        <f>L208+'Tilikauden tulos'!M208+'9. Tulorahkorjauserät'!M208</f>
        <v>4319.5202072388356</v>
      </c>
      <c r="N208" s="41">
        <f>M208+'Tilikauden tulos'!N208+'9. Tulorahkorjauserät'!N208</f>
        <v>3716.3599926576708</v>
      </c>
      <c r="O208" s="41">
        <f>N208+'Tilikauden tulos'!O208+'9. Tulorahkorjauserät'!O208</f>
        <v>2891.8628799216917</v>
      </c>
      <c r="P208" s="41">
        <f>O208+'Tilikauden tulos'!P208+'9. Tulorahkorjauserät'!P208</f>
        <v>2279.5713119986922</v>
      </c>
      <c r="T208" s="34">
        <v>619</v>
      </c>
      <c r="U208" s="88" t="s">
        <v>522</v>
      </c>
      <c r="V208" s="41">
        <f>C208/'1. Väestöennuste'!E208*1000</f>
        <v>906.52673007543456</v>
      </c>
      <c r="W208" s="41">
        <f>D208/'1. Väestöennuste'!F208*1000</f>
        <v>1040.959040959041</v>
      </c>
      <c r="X208" s="41">
        <f>E208/'1. Väestöennuste'!G208*1000</f>
        <v>1198.3723296032554</v>
      </c>
      <c r="Y208" s="41">
        <f>F208/'1. Väestöennuste'!H208*1000</f>
        <v>1231.6988950276245</v>
      </c>
      <c r="Z208" s="41">
        <f>G208/'1. Väestöennuste'!I208*1000</f>
        <v>1147.100424328147</v>
      </c>
      <c r="AA208" s="41">
        <f>H208/'1. Väestöennuste'!J208*1000</f>
        <v>1502.6929982046679</v>
      </c>
      <c r="AB208" s="41">
        <f>I208/'1. Väestöennuste'!K208*1000</f>
        <v>1502.3492208746784</v>
      </c>
      <c r="AC208" s="41">
        <f>J208/'1. Väestöennuste'!L208*1000</f>
        <v>1767.6662834104673</v>
      </c>
      <c r="AD208" s="41">
        <f>K208/'1. Väestöennuste'!M208*1000</f>
        <v>2089.4875557351625</v>
      </c>
      <c r="AE208" s="41">
        <f>L208/'1. Väestöennuste'!N208*1000</f>
        <v>1963.2061393733359</v>
      </c>
      <c r="AF208" s="41">
        <f>M208/'1. Väestöennuste'!O208*1000</f>
        <v>1716.8204321299027</v>
      </c>
      <c r="AG208" s="41">
        <f>N208/'1. Väestöennuste'!P208*1000</f>
        <v>1502.166528964297</v>
      </c>
      <c r="AH208" s="41">
        <f>O208/'1. Väestöennuste'!Q208*1000</f>
        <v>1187.1358291960967</v>
      </c>
      <c r="AI208" s="41">
        <f>P208/'1. Väestöennuste'!R208*1000</f>
        <v>949.82137999945508</v>
      </c>
      <c r="AK208" s="41">
        <f t="shared" ref="AK208:AK271" si="41">IF(C208&lt;0,-1,0)</f>
        <v>0</v>
      </c>
      <c r="AL208" s="41">
        <f t="shared" ref="AL208:AL271" si="42">IF(D208&lt;0,-1,0)</f>
        <v>0</v>
      </c>
      <c r="AM208" s="41">
        <f t="shared" ref="AM208:AM271" si="43">IF(E208&lt;0,-1,0)</f>
        <v>0</v>
      </c>
      <c r="AN208" s="41">
        <f t="shared" ref="AN208:AN271" si="44">IF(F208&lt;0,-1,0)</f>
        <v>0</v>
      </c>
      <c r="AO208" s="41">
        <f t="shared" ref="AO208:AO271" si="45">IF(G208&lt;0,-1,0)</f>
        <v>0</v>
      </c>
      <c r="AP208" s="41">
        <f t="shared" ref="AP208:AP271" si="46">IF(H208&lt;0,-1,0)</f>
        <v>0</v>
      </c>
      <c r="AQ208" s="41">
        <f t="shared" ref="AQ208:AQ271" si="47">IF(I208&lt;0,-1,0)</f>
        <v>0</v>
      </c>
      <c r="AR208" s="41">
        <f t="shared" ref="AR208:AR271" si="48">IF(J208&lt;0,-1,0)</f>
        <v>0</v>
      </c>
      <c r="AS208" s="41">
        <f t="shared" ref="AS208:AS271" si="49">IF(K208&lt;0,-1,0)</f>
        <v>0</v>
      </c>
      <c r="AT208" s="41">
        <f t="shared" ref="AT208:AT271" si="50">IF(L208&lt;0,-1,0)</f>
        <v>0</v>
      </c>
      <c r="AU208" s="41">
        <f t="shared" ref="AU208:AU271" si="51">IF(M208&lt;0,-1,0)</f>
        <v>0</v>
      </c>
      <c r="AV208" s="41">
        <f t="shared" ref="AV208:AX271" si="52">IF(N208&lt;0,-1,0)</f>
        <v>0</v>
      </c>
      <c r="AW208" s="41">
        <f t="shared" si="52"/>
        <v>0</v>
      </c>
      <c r="AX208" s="41">
        <f t="shared" si="52"/>
        <v>0</v>
      </c>
    </row>
    <row r="209" spans="1:50" ht="11.25" x14ac:dyDescent="0.2">
      <c r="A209" s="34">
        <v>620</v>
      </c>
      <c r="B209" s="88" t="s">
        <v>523</v>
      </c>
      <c r="C209" s="65">
        <v>1929</v>
      </c>
      <c r="D209" s="65">
        <v>2338</v>
      </c>
      <c r="E209" s="65">
        <v>2440</v>
      </c>
      <c r="F209" s="65">
        <v>2161</v>
      </c>
      <c r="G209" s="41">
        <v>2653</v>
      </c>
      <c r="H209" s="41">
        <v>3997</v>
      </c>
      <c r="I209" s="41">
        <v>4490.0775300000005</v>
      </c>
      <c r="J209" s="41">
        <f>I209+'Tilikauden tulos'!J209+'9. Tulorahkorjauserät'!J209</f>
        <v>5576.0763980719812</v>
      </c>
      <c r="K209" s="41">
        <f>J209+'Tilikauden tulos'!K209+'9. Tulorahkorjauserät'!K209</f>
        <v>5560.9242543481423</v>
      </c>
      <c r="L209" s="41">
        <f>K209+'Tilikauden tulos'!L209+'9. Tulorahkorjauserät'!L209</f>
        <v>5526.3701518671496</v>
      </c>
      <c r="M209" s="41">
        <f>L209+'Tilikauden tulos'!M209+'9. Tulorahkorjauserät'!M209</f>
        <v>4686.8759517689186</v>
      </c>
      <c r="N209" s="41">
        <f>M209+'Tilikauden tulos'!N209+'9. Tulorahkorjauserät'!N209</f>
        <v>3693.5241833686414</v>
      </c>
      <c r="O209" s="41">
        <f>N209+'Tilikauden tulos'!O209+'9. Tulorahkorjauserät'!O209</f>
        <v>2462.9612172989341</v>
      </c>
      <c r="P209" s="41">
        <f>O209+'Tilikauden tulos'!P209+'9. Tulorahkorjauserät'!P209</f>
        <v>1481.7504781070879</v>
      </c>
      <c r="T209" s="34">
        <v>620</v>
      </c>
      <c r="U209" s="88" t="s">
        <v>523</v>
      </c>
      <c r="V209" s="41">
        <f>C209/'1. Väestöennuste'!E209*1000</f>
        <v>694.88472622478378</v>
      </c>
      <c r="W209" s="41">
        <f>D209/'1. Väestöennuste'!F209*1000</f>
        <v>854.8446069469835</v>
      </c>
      <c r="X209" s="41">
        <f>E209/'1. Väestöennuste'!G209*1000</f>
        <v>914.20007493443234</v>
      </c>
      <c r="Y209" s="41">
        <f>F209/'1. Väestöennuste'!H209*1000</f>
        <v>832.11397766653829</v>
      </c>
      <c r="Z209" s="41">
        <f>G209/'1. Väestöennuste'!I209*1000</f>
        <v>1049.4462025316457</v>
      </c>
      <c r="AA209" s="41">
        <f>H209/'1. Väestöennuste'!J209*1000</f>
        <v>1604.57647531112</v>
      </c>
      <c r="AB209" s="41">
        <f>I209/'1. Väestöennuste'!K209*1000</f>
        <v>1835.6817375306625</v>
      </c>
      <c r="AC209" s="41">
        <f>J209/'1. Väestöennuste'!L209*1000</f>
        <v>2342.8892428873869</v>
      </c>
      <c r="AD209" s="41">
        <f>K209/'1. Väestöennuste'!M209*1000</f>
        <v>2357.3227021399503</v>
      </c>
      <c r="AE209" s="41">
        <f>L209/'1. Väestöennuste'!N209*1000</f>
        <v>2420.661476945751</v>
      </c>
      <c r="AF209" s="41">
        <f>M209/'1. Väestöennuste'!O209*1000</f>
        <v>2094.2251795214115</v>
      </c>
      <c r="AG209" s="41">
        <f>N209/'1. Väestöennuste'!P209*1000</f>
        <v>1681.9326882370863</v>
      </c>
      <c r="AH209" s="41">
        <f>O209/'1. Väestöennuste'!Q209*1000</f>
        <v>1141.8457196564366</v>
      </c>
      <c r="AI209" s="41">
        <f>P209/'1. Väestöennuste'!R209*1000</f>
        <v>699.26874851679463</v>
      </c>
      <c r="AK209" s="41">
        <f t="shared" si="41"/>
        <v>0</v>
      </c>
      <c r="AL209" s="41">
        <f t="shared" si="42"/>
        <v>0</v>
      </c>
      <c r="AM209" s="41">
        <f t="shared" si="43"/>
        <v>0</v>
      </c>
      <c r="AN209" s="41">
        <f t="shared" si="44"/>
        <v>0</v>
      </c>
      <c r="AO209" s="41">
        <f t="shared" si="45"/>
        <v>0</v>
      </c>
      <c r="AP209" s="41">
        <f t="shared" si="46"/>
        <v>0</v>
      </c>
      <c r="AQ209" s="41">
        <f t="shared" si="47"/>
        <v>0</v>
      </c>
      <c r="AR209" s="41">
        <f t="shared" si="48"/>
        <v>0</v>
      </c>
      <c r="AS209" s="41">
        <f t="shared" si="49"/>
        <v>0</v>
      </c>
      <c r="AT209" s="41">
        <f t="shared" si="50"/>
        <v>0</v>
      </c>
      <c r="AU209" s="41">
        <f t="shared" si="51"/>
        <v>0</v>
      </c>
      <c r="AV209" s="41">
        <f t="shared" si="52"/>
        <v>0</v>
      </c>
      <c r="AW209" s="41">
        <f t="shared" si="52"/>
        <v>0</v>
      </c>
      <c r="AX209" s="41">
        <f t="shared" si="52"/>
        <v>0</v>
      </c>
    </row>
    <row r="210" spans="1:50" ht="11.25" x14ac:dyDescent="0.2">
      <c r="A210" s="34">
        <v>623</v>
      </c>
      <c r="B210" s="88" t="s">
        <v>524</v>
      </c>
      <c r="C210" s="65">
        <v>2714</v>
      </c>
      <c r="D210" s="65">
        <v>4328</v>
      </c>
      <c r="E210" s="65">
        <v>6057</v>
      </c>
      <c r="F210" s="65">
        <v>7763</v>
      </c>
      <c r="G210" s="41">
        <v>8615</v>
      </c>
      <c r="H210" s="41">
        <v>10350</v>
      </c>
      <c r="I210" s="41">
        <v>11929.22912</v>
      </c>
      <c r="J210" s="41">
        <f>I210+'Tilikauden tulos'!J210+'9. Tulorahkorjauserät'!J210</f>
        <v>12916.952264445985</v>
      </c>
      <c r="K210" s="41">
        <f>J210+'Tilikauden tulos'!K210+'9. Tulorahkorjauserät'!K210</f>
        <v>14207.404596481689</v>
      </c>
      <c r="L210" s="41">
        <f>K210+'Tilikauden tulos'!L210+'9. Tulorahkorjauserät'!L210</f>
        <v>14390.348565891658</v>
      </c>
      <c r="M210" s="41">
        <f>L210+'Tilikauden tulos'!M210+'9. Tulorahkorjauserät'!M210</f>
        <v>14807.480161918025</v>
      </c>
      <c r="N210" s="41">
        <f>M210+'Tilikauden tulos'!N210+'9. Tulorahkorjauserät'!N210</f>
        <v>15153.82887933197</v>
      </c>
      <c r="O210" s="41">
        <f>N210+'Tilikauden tulos'!O210+'9. Tulorahkorjauserät'!O210</f>
        <v>15379.179173201463</v>
      </c>
      <c r="P210" s="41">
        <f>O210+'Tilikauden tulos'!P210+'9. Tulorahkorjauserät'!P210</f>
        <v>15624.000377612345</v>
      </c>
      <c r="T210" s="34">
        <v>623</v>
      </c>
      <c r="U210" s="88" t="s">
        <v>524</v>
      </c>
      <c r="V210" s="41">
        <f>C210/'1. Väestöennuste'!E210*1000</f>
        <v>1200.8849557522124</v>
      </c>
      <c r="W210" s="41">
        <f>D210/'1. Väestöennuste'!F210*1000</f>
        <v>1937.332139659803</v>
      </c>
      <c r="X210" s="41">
        <f>E210/'1. Väestöennuste'!G210*1000</f>
        <v>2743.2065217391305</v>
      </c>
      <c r="Y210" s="41">
        <f>F210/'1. Väestöennuste'!H210*1000</f>
        <v>3533.454710969504</v>
      </c>
      <c r="Z210" s="41">
        <f>G210/'1. Väestöennuste'!I210*1000</f>
        <v>4005.1139005113905</v>
      </c>
      <c r="AA210" s="41">
        <f>H210/'1. Väestöennuste'!J210*1000</f>
        <v>4843.2381843706135</v>
      </c>
      <c r="AB210" s="41">
        <f>I210/'1. Väestöennuste'!K210*1000</f>
        <v>5634.9688804912612</v>
      </c>
      <c r="AC210" s="41">
        <f>J210/'1. Väestöennuste'!L210*1000</f>
        <v>6130.4946675111469</v>
      </c>
      <c r="AD210" s="41">
        <f>K210/'1. Väestöennuste'!M210*1000</f>
        <v>6739.755501177272</v>
      </c>
      <c r="AE210" s="41">
        <f>L210/'1. Väestöennuste'!N210*1000</f>
        <v>7019.682227264223</v>
      </c>
      <c r="AF210" s="41">
        <f>M210/'1. Väestöennuste'!O210*1000</f>
        <v>7283.5613191923394</v>
      </c>
      <c r="AG210" s="41">
        <f>N210/'1. Väestöennuste'!P210*1000</f>
        <v>7516.7801980813347</v>
      </c>
      <c r="AH210" s="41">
        <f>O210/'1. Väestöennuste'!Q210*1000</f>
        <v>7689.5895866007313</v>
      </c>
      <c r="AI210" s="41">
        <f>P210/'1. Väestöennuste'!R210*1000</f>
        <v>7878.9714460980058</v>
      </c>
      <c r="AK210" s="41">
        <f t="shared" si="41"/>
        <v>0</v>
      </c>
      <c r="AL210" s="41">
        <f t="shared" si="42"/>
        <v>0</v>
      </c>
      <c r="AM210" s="41">
        <f t="shared" si="43"/>
        <v>0</v>
      </c>
      <c r="AN210" s="41">
        <f t="shared" si="44"/>
        <v>0</v>
      </c>
      <c r="AO210" s="41">
        <f t="shared" si="45"/>
        <v>0</v>
      </c>
      <c r="AP210" s="41">
        <f t="shared" si="46"/>
        <v>0</v>
      </c>
      <c r="AQ210" s="41">
        <f t="shared" si="47"/>
        <v>0</v>
      </c>
      <c r="AR210" s="41">
        <f t="shared" si="48"/>
        <v>0</v>
      </c>
      <c r="AS210" s="41">
        <f t="shared" si="49"/>
        <v>0</v>
      </c>
      <c r="AT210" s="41">
        <f t="shared" si="50"/>
        <v>0</v>
      </c>
      <c r="AU210" s="41">
        <f t="shared" si="51"/>
        <v>0</v>
      </c>
      <c r="AV210" s="41">
        <f t="shared" si="52"/>
        <v>0</v>
      </c>
      <c r="AW210" s="41">
        <f t="shared" si="52"/>
        <v>0</v>
      </c>
      <c r="AX210" s="41">
        <f t="shared" si="52"/>
        <v>0</v>
      </c>
    </row>
    <row r="211" spans="1:50" ht="11.25" x14ac:dyDescent="0.2">
      <c r="A211" s="34">
        <v>624</v>
      </c>
      <c r="B211" s="88" t="s">
        <v>525</v>
      </c>
      <c r="C211" s="65">
        <v>1638</v>
      </c>
      <c r="D211" s="65">
        <v>2158</v>
      </c>
      <c r="E211" s="65">
        <v>3999</v>
      </c>
      <c r="F211" s="65">
        <v>2903</v>
      </c>
      <c r="G211" s="41">
        <v>2108</v>
      </c>
      <c r="H211" s="41">
        <v>3225</v>
      </c>
      <c r="I211" s="41">
        <v>4225.6055700000006</v>
      </c>
      <c r="J211" s="41">
        <f>I211+'Tilikauden tulos'!J211+'9. Tulorahkorjauserät'!J211</f>
        <v>3960.3507992291807</v>
      </c>
      <c r="K211" s="41">
        <f>J211+'Tilikauden tulos'!K211+'9. Tulorahkorjauserät'!K211</f>
        <v>6931.9598084059626</v>
      </c>
      <c r="L211" s="41">
        <f>K211+'Tilikauden tulos'!L211+'9. Tulorahkorjauserät'!L211</f>
        <v>7217.3814206932311</v>
      </c>
      <c r="M211" s="41">
        <f>L211+'Tilikauden tulos'!M211+'9. Tulorahkorjauserät'!M211</f>
        <v>6942.4509926478568</v>
      </c>
      <c r="N211" s="41">
        <f>M211+'Tilikauden tulos'!N211+'9. Tulorahkorjauserät'!N211</f>
        <v>6557.7905312396042</v>
      </c>
      <c r="O211" s="41">
        <f>N211+'Tilikauden tulos'!O211+'9. Tulorahkorjauserät'!O211</f>
        <v>6211.0897366712352</v>
      </c>
      <c r="P211" s="41">
        <f>O211+'Tilikauden tulos'!P211+'9. Tulorahkorjauserät'!P211</f>
        <v>6396.5853890073804</v>
      </c>
      <c r="T211" s="34">
        <v>624</v>
      </c>
      <c r="U211" s="88" t="s">
        <v>525</v>
      </c>
      <c r="V211" s="41">
        <f>C211/'1. Väestöennuste'!E211*1000</f>
        <v>307.83687276827663</v>
      </c>
      <c r="W211" s="41">
        <f>D211/'1. Väestöennuste'!F211*1000</f>
        <v>404.11985018726591</v>
      </c>
      <c r="X211" s="41">
        <f>E211/'1. Väestöennuste'!G211*1000</f>
        <v>759.68844984802433</v>
      </c>
      <c r="Y211" s="41">
        <f>F211/'1. Väestöennuste'!H211*1000</f>
        <v>559.66840177366498</v>
      </c>
      <c r="Z211" s="41">
        <f>G211/'1. Väestöennuste'!I211*1000</f>
        <v>410.11673151750972</v>
      </c>
      <c r="AA211" s="41">
        <f>H211/'1. Väestöennuste'!J211*1000</f>
        <v>629.26829268292681</v>
      </c>
      <c r="AB211" s="41">
        <f>I211/'1. Väestöennuste'!K211*1000</f>
        <v>825.47481344012522</v>
      </c>
      <c r="AC211" s="41">
        <f>J211/'1. Väestöennuste'!L211*1000</f>
        <v>773.95950737330088</v>
      </c>
      <c r="AD211" s="41">
        <f>K211/'1. Väestöennuste'!M211*1000</f>
        <v>1368.6001596063104</v>
      </c>
      <c r="AE211" s="41">
        <f>L211/'1. Väestöennuste'!N211*1000</f>
        <v>1447.2391058137619</v>
      </c>
      <c r="AF211" s="41">
        <f>M211/'1. Väestöennuste'!O211*1000</f>
        <v>1403.64961436471</v>
      </c>
      <c r="AG211" s="41">
        <f>N211/'1. Väestöennuste'!P211*1000</f>
        <v>1336.4154333074391</v>
      </c>
      <c r="AH211" s="41">
        <f>O211/'1. Väestöennuste'!Q211*1000</f>
        <v>1275.9017536300812</v>
      </c>
      <c r="AI211" s="41">
        <f>P211/'1. Väestöennuste'!R211*1000</f>
        <v>1325.7171790688872</v>
      </c>
      <c r="AK211" s="41">
        <f t="shared" si="41"/>
        <v>0</v>
      </c>
      <c r="AL211" s="41">
        <f t="shared" si="42"/>
        <v>0</v>
      </c>
      <c r="AM211" s="41">
        <f t="shared" si="43"/>
        <v>0</v>
      </c>
      <c r="AN211" s="41">
        <f t="shared" si="44"/>
        <v>0</v>
      </c>
      <c r="AO211" s="41">
        <f t="shared" si="45"/>
        <v>0</v>
      </c>
      <c r="AP211" s="41">
        <f t="shared" si="46"/>
        <v>0</v>
      </c>
      <c r="AQ211" s="41">
        <f t="shared" si="47"/>
        <v>0</v>
      </c>
      <c r="AR211" s="41">
        <f t="shared" si="48"/>
        <v>0</v>
      </c>
      <c r="AS211" s="41">
        <f t="shared" si="49"/>
        <v>0</v>
      </c>
      <c r="AT211" s="41">
        <f t="shared" si="50"/>
        <v>0</v>
      </c>
      <c r="AU211" s="41">
        <f t="shared" si="51"/>
        <v>0</v>
      </c>
      <c r="AV211" s="41">
        <f t="shared" si="52"/>
        <v>0</v>
      </c>
      <c r="AW211" s="41">
        <f t="shared" si="52"/>
        <v>0</v>
      </c>
      <c r="AX211" s="41">
        <f t="shared" si="52"/>
        <v>0</v>
      </c>
    </row>
    <row r="212" spans="1:50" ht="11.25" x14ac:dyDescent="0.2">
      <c r="A212" s="34">
        <v>625</v>
      </c>
      <c r="B212" s="88" t="s">
        <v>526</v>
      </c>
      <c r="C212" s="65">
        <v>12069</v>
      </c>
      <c r="D212" s="65">
        <v>12554</v>
      </c>
      <c r="E212" s="65">
        <v>13512</v>
      </c>
      <c r="F212" s="65">
        <v>11508</v>
      </c>
      <c r="G212" s="41">
        <v>10631</v>
      </c>
      <c r="H212" s="41">
        <v>11124</v>
      </c>
      <c r="I212" s="41">
        <v>13389.347049999998</v>
      </c>
      <c r="J212" s="41">
        <f>I212+'Tilikauden tulos'!J212+'9. Tulorahkorjauserät'!J212</f>
        <v>15620.000479582382</v>
      </c>
      <c r="K212" s="41">
        <f>J212+'Tilikauden tulos'!K212+'9. Tulorahkorjauserät'!K212</f>
        <v>18827.762344810679</v>
      </c>
      <c r="L212" s="41">
        <f>K212+'Tilikauden tulos'!L212+'9. Tulorahkorjauserät'!L212</f>
        <v>21493.678399664554</v>
      </c>
      <c r="M212" s="41">
        <f>L212+'Tilikauden tulos'!M212+'9. Tulorahkorjauserät'!M212</f>
        <v>23507.697052546118</v>
      </c>
      <c r="N212" s="41">
        <f>M212+'Tilikauden tulos'!N212+'9. Tulorahkorjauserät'!N212</f>
        <v>25404.005927070706</v>
      </c>
      <c r="O212" s="41">
        <f>N212+'Tilikauden tulos'!O212+'9. Tulorahkorjauserät'!O212</f>
        <v>26933.634349863205</v>
      </c>
      <c r="P212" s="41">
        <f>O212+'Tilikauden tulos'!P212+'9. Tulorahkorjauserät'!P212</f>
        <v>28684.467956950732</v>
      </c>
      <c r="T212" s="34">
        <v>625</v>
      </c>
      <c r="U212" s="88" t="s">
        <v>526</v>
      </c>
      <c r="V212" s="41">
        <f>C212/'1. Väestöennuste'!E212*1000</f>
        <v>3758.6421675490501</v>
      </c>
      <c r="W212" s="41">
        <f>D212/'1. Väestöennuste'!F212*1000</f>
        <v>3937.8920953575907</v>
      </c>
      <c r="X212" s="41">
        <f>E212/'1. Väestöennuste'!G212*1000</f>
        <v>4237.0649106302917</v>
      </c>
      <c r="Y212" s="41">
        <f>F212/'1. Väestöennuste'!H212*1000</f>
        <v>3657.9783852511127</v>
      </c>
      <c r="Z212" s="41">
        <f>G212/'1. Väestöennuste'!I212*1000</f>
        <v>3454.988625284368</v>
      </c>
      <c r="AA212" s="41">
        <f>H212/'1. Väestöennuste'!J212*1000</f>
        <v>3646.0176991150443</v>
      </c>
      <c r="AB212" s="41">
        <f>I212/'1. Väestöennuste'!K212*1000</f>
        <v>4392.830396981627</v>
      </c>
      <c r="AC212" s="41">
        <f>J212/'1. Väestöennuste'!L212*1000</f>
        <v>5222.3338280114958</v>
      </c>
      <c r="AD212" s="41">
        <f>K212/'1. Väestöennuste'!M212*1000</f>
        <v>6318.0410553055963</v>
      </c>
      <c r="AE212" s="41">
        <f>L212/'1. Väestöennuste'!N212*1000</f>
        <v>7381.0708790056842</v>
      </c>
      <c r="AF212" s="41">
        <f>M212/'1. Väestöennuste'!O212*1000</f>
        <v>8165.2299592032359</v>
      </c>
      <c r="AG212" s="41">
        <f>N212/'1. Väestöennuste'!P212*1000</f>
        <v>8923.0790049422922</v>
      </c>
      <c r="AH212" s="41">
        <f>O212/'1. Väestöennuste'!Q212*1000</f>
        <v>9571.2986317921841</v>
      </c>
      <c r="AI212" s="41">
        <f>P212/'1. Väestöennuste'!R212*1000</f>
        <v>10314.443709798896</v>
      </c>
      <c r="AK212" s="41">
        <f t="shared" si="41"/>
        <v>0</v>
      </c>
      <c r="AL212" s="41">
        <f t="shared" si="42"/>
        <v>0</v>
      </c>
      <c r="AM212" s="41">
        <f t="shared" si="43"/>
        <v>0</v>
      </c>
      <c r="AN212" s="41">
        <f t="shared" si="44"/>
        <v>0</v>
      </c>
      <c r="AO212" s="41">
        <f t="shared" si="45"/>
        <v>0</v>
      </c>
      <c r="AP212" s="41">
        <f t="shared" si="46"/>
        <v>0</v>
      </c>
      <c r="AQ212" s="41">
        <f t="shared" si="47"/>
        <v>0</v>
      </c>
      <c r="AR212" s="41">
        <f t="shared" si="48"/>
        <v>0</v>
      </c>
      <c r="AS212" s="41">
        <f t="shared" si="49"/>
        <v>0</v>
      </c>
      <c r="AT212" s="41">
        <f t="shared" si="50"/>
        <v>0</v>
      </c>
      <c r="AU212" s="41">
        <f t="shared" si="51"/>
        <v>0</v>
      </c>
      <c r="AV212" s="41">
        <f t="shared" si="52"/>
        <v>0</v>
      </c>
      <c r="AW212" s="41">
        <f t="shared" si="52"/>
        <v>0</v>
      </c>
      <c r="AX212" s="41">
        <f t="shared" si="52"/>
        <v>0</v>
      </c>
    </row>
    <row r="213" spans="1:50" ht="11.25" x14ac:dyDescent="0.2">
      <c r="A213" s="34">
        <v>626</v>
      </c>
      <c r="B213" s="88" t="s">
        <v>527</v>
      </c>
      <c r="C213" s="65">
        <v>10322</v>
      </c>
      <c r="D213" s="65">
        <v>6562</v>
      </c>
      <c r="E213" s="65">
        <v>5398</v>
      </c>
      <c r="F213" s="65">
        <v>3976</v>
      </c>
      <c r="G213" s="41">
        <v>745</v>
      </c>
      <c r="H213" s="41">
        <v>1172</v>
      </c>
      <c r="I213" s="41">
        <v>3341.4671200000003</v>
      </c>
      <c r="J213" s="41">
        <f>I213+'Tilikauden tulos'!J213+'9. Tulorahkorjauserät'!J213</f>
        <v>1980.2142113590321</v>
      </c>
      <c r="K213" s="41">
        <f>J213+'Tilikauden tulos'!K213+'9. Tulorahkorjauserät'!K213</f>
        <v>-870.60340095686706</v>
      </c>
      <c r="L213" s="41">
        <f>K213+'Tilikauden tulos'!L213+'9. Tulorahkorjauserät'!L213</f>
        <v>-3837.1800723937272</v>
      </c>
      <c r="M213" s="41">
        <f>L213+'Tilikauden tulos'!M213+'9. Tulorahkorjauserät'!M213</f>
        <v>-7158.2830014491865</v>
      </c>
      <c r="N213" s="41">
        <f>M213+'Tilikauden tulos'!N213+'9. Tulorahkorjauserät'!N213</f>
        <v>-10476.159938599125</v>
      </c>
      <c r="O213" s="41">
        <f>N213+'Tilikauden tulos'!O213+'9. Tulorahkorjauserät'!O213</f>
        <v>-14108.40344896884</v>
      </c>
      <c r="P213" s="41">
        <f>O213+'Tilikauden tulos'!P213+'9. Tulorahkorjauserät'!P213</f>
        <v>-17161.429754944442</v>
      </c>
      <c r="T213" s="34">
        <v>626</v>
      </c>
      <c r="U213" s="88" t="s">
        <v>527</v>
      </c>
      <c r="V213" s="41">
        <f>C213/'1. Väestöennuste'!E213*1000</f>
        <v>1875.022706630336</v>
      </c>
      <c r="W213" s="41">
        <f>D213/'1. Väestöennuste'!F213*1000</f>
        <v>1204.9210429673153</v>
      </c>
      <c r="X213" s="41">
        <f>E213/'1. Väestöennuste'!G213*1000</f>
        <v>1011.4296421210418</v>
      </c>
      <c r="Y213" s="41">
        <f>F213/'1. Väestöennuste'!H213*1000</f>
        <v>757.6219512195122</v>
      </c>
      <c r="Z213" s="41">
        <f>G213/'1. Väestöennuste'!I213*1000</f>
        <v>145.19586825180278</v>
      </c>
      <c r="AA213" s="41">
        <f>H213/'1. Väestöennuste'!J213*1000</f>
        <v>232.86310351678918</v>
      </c>
      <c r="AB213" s="41">
        <f>I213/'1. Väestöennuste'!K213*1000</f>
        <v>673.14003223207101</v>
      </c>
      <c r="AC213" s="41">
        <f>J213/'1. Väestöennuste'!L213*1000</f>
        <v>409.55826501737994</v>
      </c>
      <c r="AD213" s="41">
        <f>K213/'1. Väestöennuste'!M213*1000</f>
        <v>-183.05370078992158</v>
      </c>
      <c r="AE213" s="41">
        <f>L213/'1. Väestöennuste'!N213*1000</f>
        <v>-817.11671047566597</v>
      </c>
      <c r="AF213" s="41">
        <f>M213/'1. Väestöennuste'!O213*1000</f>
        <v>-1549.7473482245477</v>
      </c>
      <c r="AG213" s="41">
        <f>N213/'1. Väestöennuste'!P213*1000</f>
        <v>-2305.4929442339621</v>
      </c>
      <c r="AH213" s="41">
        <f>O213/'1. Väestöennuste'!Q213*1000</f>
        <v>-3154.8308249035867</v>
      </c>
      <c r="AI213" s="41">
        <f>P213/'1. Väestöennuste'!R213*1000</f>
        <v>-3901.2115833017597</v>
      </c>
      <c r="AK213" s="41">
        <f t="shared" si="41"/>
        <v>0</v>
      </c>
      <c r="AL213" s="41">
        <f t="shared" si="42"/>
        <v>0</v>
      </c>
      <c r="AM213" s="41">
        <f t="shared" si="43"/>
        <v>0</v>
      </c>
      <c r="AN213" s="41">
        <f t="shared" si="44"/>
        <v>0</v>
      </c>
      <c r="AO213" s="41">
        <f t="shared" si="45"/>
        <v>0</v>
      </c>
      <c r="AP213" s="41">
        <f t="shared" si="46"/>
        <v>0</v>
      </c>
      <c r="AQ213" s="41">
        <f t="shared" si="47"/>
        <v>0</v>
      </c>
      <c r="AR213" s="41">
        <f t="shared" si="48"/>
        <v>0</v>
      </c>
      <c r="AS213" s="41">
        <f t="shared" si="49"/>
        <v>-1</v>
      </c>
      <c r="AT213" s="41">
        <f t="shared" si="50"/>
        <v>-1</v>
      </c>
      <c r="AU213" s="41">
        <f t="shared" si="51"/>
        <v>-1</v>
      </c>
      <c r="AV213" s="41">
        <f t="shared" si="52"/>
        <v>-1</v>
      </c>
      <c r="AW213" s="41">
        <f t="shared" si="52"/>
        <v>-1</v>
      </c>
      <c r="AX213" s="41">
        <f t="shared" si="52"/>
        <v>-1</v>
      </c>
    </row>
    <row r="214" spans="1:50" ht="11.25" x14ac:dyDescent="0.2">
      <c r="A214" s="34">
        <v>630</v>
      </c>
      <c r="B214" s="88" t="s">
        <v>528</v>
      </c>
      <c r="C214" s="65">
        <v>3233</v>
      </c>
      <c r="D214" s="65">
        <v>3450</v>
      </c>
      <c r="E214" s="65">
        <v>3745</v>
      </c>
      <c r="F214" s="65">
        <v>4009</v>
      </c>
      <c r="G214" s="41">
        <v>4004</v>
      </c>
      <c r="H214" s="41">
        <v>4021</v>
      </c>
      <c r="I214" s="41">
        <v>3274.9172100000001</v>
      </c>
      <c r="J214" s="41">
        <f>I214+'Tilikauden tulos'!J214+'9. Tulorahkorjauserät'!J214</f>
        <v>4444.3609601412618</v>
      </c>
      <c r="K214" s="41">
        <f>J214+'Tilikauden tulos'!K214+'9. Tulorahkorjauserät'!K214</f>
        <v>4772.1639229032135</v>
      </c>
      <c r="L214" s="41">
        <f>K214+'Tilikauden tulos'!L214+'9. Tulorahkorjauserät'!L214</f>
        <v>5112.8942915341804</v>
      </c>
      <c r="M214" s="41">
        <f>L214+'Tilikauden tulos'!M214+'9. Tulorahkorjauserät'!M214</f>
        <v>5517.2564875263652</v>
      </c>
      <c r="N214" s="41">
        <f>M214+'Tilikauden tulos'!N214+'9. Tulorahkorjauserät'!N214</f>
        <v>5947.0790914747731</v>
      </c>
      <c r="O214" s="41">
        <f>N214+'Tilikauden tulos'!O214+'9. Tulorahkorjauserät'!O214</f>
        <v>6443.4086870456404</v>
      </c>
      <c r="P214" s="41">
        <f>O214+'Tilikauden tulos'!P214+'9. Tulorahkorjauserät'!P214</f>
        <v>7297.8104571024996</v>
      </c>
      <c r="T214" s="34">
        <v>630</v>
      </c>
      <c r="U214" s="88" t="s">
        <v>528</v>
      </c>
      <c r="V214" s="41">
        <f>C214/'1. Väestöennuste'!E214*1000</f>
        <v>2037.1770636420918</v>
      </c>
      <c r="W214" s="41">
        <f>D214/'1. Väestöennuste'!F214*1000</f>
        <v>2184.9271690943633</v>
      </c>
      <c r="X214" s="41">
        <f>E214/'1. Väestöennuste'!G214*1000</f>
        <v>2371.7542748575047</v>
      </c>
      <c r="Y214" s="41">
        <f>F214/'1. Väestöennuste'!H214*1000</f>
        <v>2574.8233782915863</v>
      </c>
      <c r="Z214" s="41">
        <f>G214/'1. Väestöennuste'!I214*1000</f>
        <v>2537.3891001267425</v>
      </c>
      <c r="AA214" s="41">
        <f>H214/'1. Väestöennuste'!J214*1000</f>
        <v>2524.1682360326427</v>
      </c>
      <c r="AB214" s="41">
        <f>I214/'1. Väestöennuste'!K214*1000</f>
        <v>2007.9198099325567</v>
      </c>
      <c r="AC214" s="41">
        <f>J214/'1. Väestöennuste'!L214*1000</f>
        <v>2718.263584184258</v>
      </c>
      <c r="AD214" s="41">
        <f>K214/'1. Väestöennuste'!M214*1000</f>
        <v>2899.2490418610046</v>
      </c>
      <c r="AE214" s="41">
        <f>L214/'1. Väestöennuste'!N214*1000</f>
        <v>3199.5583801840926</v>
      </c>
      <c r="AF214" s="41">
        <f>M214/'1. Väestöennuste'!O214*1000</f>
        <v>3450.4418308482582</v>
      </c>
      <c r="AG214" s="41">
        <f>N214/'1. Väestöennuste'!P214*1000</f>
        <v>3723.9067573417487</v>
      </c>
      <c r="AH214" s="41">
        <f>O214/'1. Väestöennuste'!Q214*1000</f>
        <v>4039.7546627245397</v>
      </c>
      <c r="AI214" s="41">
        <f>P214/'1. Väestöennuste'!R214*1000</f>
        <v>4569.6997226690664</v>
      </c>
      <c r="AK214" s="41">
        <f t="shared" si="41"/>
        <v>0</v>
      </c>
      <c r="AL214" s="41">
        <f t="shared" si="42"/>
        <v>0</v>
      </c>
      <c r="AM214" s="41">
        <f t="shared" si="43"/>
        <v>0</v>
      </c>
      <c r="AN214" s="41">
        <f t="shared" si="44"/>
        <v>0</v>
      </c>
      <c r="AO214" s="41">
        <f t="shared" si="45"/>
        <v>0</v>
      </c>
      <c r="AP214" s="41">
        <f t="shared" si="46"/>
        <v>0</v>
      </c>
      <c r="AQ214" s="41">
        <f t="shared" si="47"/>
        <v>0</v>
      </c>
      <c r="AR214" s="41">
        <f t="shared" si="48"/>
        <v>0</v>
      </c>
      <c r="AS214" s="41">
        <f t="shared" si="49"/>
        <v>0</v>
      </c>
      <c r="AT214" s="41">
        <f t="shared" si="50"/>
        <v>0</v>
      </c>
      <c r="AU214" s="41">
        <f t="shared" si="51"/>
        <v>0</v>
      </c>
      <c r="AV214" s="41">
        <f t="shared" si="52"/>
        <v>0</v>
      </c>
      <c r="AW214" s="41">
        <f t="shared" si="52"/>
        <v>0</v>
      </c>
      <c r="AX214" s="41">
        <f t="shared" si="52"/>
        <v>0</v>
      </c>
    </row>
    <row r="215" spans="1:50" ht="11.25" x14ac:dyDescent="0.2">
      <c r="A215" s="34">
        <v>631</v>
      </c>
      <c r="B215" s="88" t="s">
        <v>529</v>
      </c>
      <c r="C215" s="65">
        <v>722</v>
      </c>
      <c r="D215" s="65">
        <v>-112</v>
      </c>
      <c r="E215" s="65">
        <v>333</v>
      </c>
      <c r="F215" s="65">
        <v>991</v>
      </c>
      <c r="G215" s="41">
        <v>1613</v>
      </c>
      <c r="H215" s="41">
        <v>2688</v>
      </c>
      <c r="I215" s="41">
        <v>2474.3564900000001</v>
      </c>
      <c r="J215" s="41">
        <f>I215+'Tilikauden tulos'!J215+'9. Tulorahkorjauserät'!J215</f>
        <v>1913.1020411622408</v>
      </c>
      <c r="K215" s="41">
        <f>J215+'Tilikauden tulos'!K215+'9. Tulorahkorjauserät'!K215</f>
        <v>2367.9760091585513</v>
      </c>
      <c r="L215" s="41">
        <f>K215+'Tilikauden tulos'!L215+'9. Tulorahkorjauserät'!L215</f>
        <v>1911.6160200342033</v>
      </c>
      <c r="M215" s="41">
        <f>L215+'Tilikauden tulos'!M215+'9. Tulorahkorjauserät'!M215</f>
        <v>1172.9425454187067</v>
      </c>
      <c r="N215" s="41">
        <f>M215+'Tilikauden tulos'!N215+'9. Tulorahkorjauserät'!N215</f>
        <v>511.13352384518475</v>
      </c>
      <c r="O215" s="41">
        <f>N215+'Tilikauden tulos'!O215+'9. Tulorahkorjauserät'!O215</f>
        <v>-211.14242645009415</v>
      </c>
      <c r="P215" s="41">
        <f>O215+'Tilikauden tulos'!P215+'9. Tulorahkorjauserät'!P215</f>
        <v>-742.22664855432117</v>
      </c>
      <c r="T215" s="34">
        <v>631</v>
      </c>
      <c r="U215" s="88" t="s">
        <v>529</v>
      </c>
      <c r="V215" s="41">
        <f>C215/'1. Väestöennuste'!E215*1000</f>
        <v>338.01498127340824</v>
      </c>
      <c r="W215" s="41">
        <f>D215/'1. Väestöennuste'!F215*1000</f>
        <v>-53.975903614457827</v>
      </c>
      <c r="X215" s="41">
        <f>E215/'1. Väestöennuste'!G215*1000</f>
        <v>160.32739528165624</v>
      </c>
      <c r="Y215" s="41">
        <f>F215/'1. Väestöennuste'!H215*1000</f>
        <v>488.65877712031556</v>
      </c>
      <c r="Z215" s="41">
        <f>G215/'1. Väestöennuste'!I215*1000</f>
        <v>804.89021956087822</v>
      </c>
      <c r="AA215" s="41">
        <f>H215/'1. Väestöennuste'!J215*1000</f>
        <v>1348.0441323971918</v>
      </c>
      <c r="AB215" s="41">
        <f>I215/'1. Väestöennuste'!K215*1000</f>
        <v>1246.5271989924433</v>
      </c>
      <c r="AC215" s="41">
        <f>J215/'1. Väestöennuste'!L215*1000</f>
        <v>974.58076472859943</v>
      </c>
      <c r="AD215" s="41">
        <f>K215/'1. Väestöennuste'!M215*1000</f>
        <v>1226.9305746935499</v>
      </c>
      <c r="AE215" s="41">
        <f>L215/'1. Väestöennuste'!N215*1000</f>
        <v>1004.5275985466125</v>
      </c>
      <c r="AF215" s="41">
        <f>M215/'1. Väestöennuste'!O215*1000</f>
        <v>622.91160139070985</v>
      </c>
      <c r="AG215" s="41">
        <f>N215/'1. Väestöennuste'!P215*1000</f>
        <v>274.36045294964288</v>
      </c>
      <c r="AH215" s="41">
        <f>O215/'1. Väestöennuste'!Q215*1000</f>
        <v>-114.62672445716295</v>
      </c>
      <c r="AI215" s="41">
        <f>P215/'1. Väestöennuste'!R215*1000</f>
        <v>-407.59288772889687</v>
      </c>
      <c r="AK215" s="41">
        <f t="shared" si="41"/>
        <v>0</v>
      </c>
      <c r="AL215" s="41">
        <f t="shared" si="42"/>
        <v>-1</v>
      </c>
      <c r="AM215" s="41">
        <f t="shared" si="43"/>
        <v>0</v>
      </c>
      <c r="AN215" s="41">
        <f t="shared" si="44"/>
        <v>0</v>
      </c>
      <c r="AO215" s="41">
        <f t="shared" si="45"/>
        <v>0</v>
      </c>
      <c r="AP215" s="41">
        <f t="shared" si="46"/>
        <v>0</v>
      </c>
      <c r="AQ215" s="41">
        <f t="shared" si="47"/>
        <v>0</v>
      </c>
      <c r="AR215" s="41">
        <f t="shared" si="48"/>
        <v>0</v>
      </c>
      <c r="AS215" s="41">
        <f t="shared" si="49"/>
        <v>0</v>
      </c>
      <c r="AT215" s="41">
        <f t="shared" si="50"/>
        <v>0</v>
      </c>
      <c r="AU215" s="41">
        <f t="shared" si="51"/>
        <v>0</v>
      </c>
      <c r="AV215" s="41">
        <f t="shared" si="52"/>
        <v>0</v>
      </c>
      <c r="AW215" s="41">
        <f t="shared" si="52"/>
        <v>-1</v>
      </c>
      <c r="AX215" s="41">
        <f t="shared" si="52"/>
        <v>-1</v>
      </c>
    </row>
    <row r="216" spans="1:50" ht="11.25" x14ac:dyDescent="0.2">
      <c r="A216" s="34">
        <v>635</v>
      </c>
      <c r="B216" s="88" t="s">
        <v>530</v>
      </c>
      <c r="C216" s="65">
        <v>10441</v>
      </c>
      <c r="D216" s="65">
        <v>10733</v>
      </c>
      <c r="E216" s="65">
        <v>10797</v>
      </c>
      <c r="F216" s="65">
        <v>9306</v>
      </c>
      <c r="G216" s="41">
        <v>9425</v>
      </c>
      <c r="H216" s="41">
        <v>12098</v>
      </c>
      <c r="I216" s="41">
        <v>13939.730029999999</v>
      </c>
      <c r="J216" s="41">
        <f>I216+'Tilikauden tulos'!J216+'9. Tulorahkorjauserät'!J216</f>
        <v>14342.847329828066</v>
      </c>
      <c r="K216" s="41">
        <f>J216+'Tilikauden tulos'!K216+'9. Tulorahkorjauserät'!K216</f>
        <v>15621.779997573201</v>
      </c>
      <c r="L216" s="41">
        <f>K216+'Tilikauden tulos'!L216+'9. Tulorahkorjauserät'!L216</f>
        <v>15577.78658105564</v>
      </c>
      <c r="M216" s="41">
        <f>L216+'Tilikauden tulos'!M216+'9. Tulorahkorjauserät'!M216</f>
        <v>15770.749175252364</v>
      </c>
      <c r="N216" s="41">
        <f>M216+'Tilikauden tulos'!N216+'9. Tulorahkorjauserät'!N216</f>
        <v>15809.18094145638</v>
      </c>
      <c r="O216" s="41">
        <f>N216+'Tilikauden tulos'!O216+'9. Tulorahkorjauserät'!O216</f>
        <v>15983.80830557318</v>
      </c>
      <c r="P216" s="41">
        <f>O216+'Tilikauden tulos'!P216+'9. Tulorahkorjauserät'!P216</f>
        <v>16864.723833906304</v>
      </c>
      <c r="T216" s="34">
        <v>635</v>
      </c>
      <c r="U216" s="88" t="s">
        <v>530</v>
      </c>
      <c r="V216" s="41">
        <f>C216/'1. Väestöennuste'!E216*1000</f>
        <v>1563.9604553624927</v>
      </c>
      <c r="W216" s="41">
        <f>D216/'1. Väestöennuste'!F216*1000</f>
        <v>1619.5865399124793</v>
      </c>
      <c r="X216" s="41">
        <f>E216/'1. Väestöennuste'!G216*1000</f>
        <v>1644.1297396071266</v>
      </c>
      <c r="Y216" s="41">
        <f>F216/'1. Väestöennuste'!H216*1000</f>
        <v>1431.9126019387597</v>
      </c>
      <c r="Z216" s="41">
        <f>G216/'1. Väestöennuste'!I216*1000</f>
        <v>1464.6464646464647</v>
      </c>
      <c r="AA216" s="41">
        <f>H216/'1. Väestöennuste'!J216*1000</f>
        <v>1885.8924395946999</v>
      </c>
      <c r="AB216" s="41">
        <f>I216/'1. Väestöennuste'!K216*1000</f>
        <v>2164.8905156080132</v>
      </c>
      <c r="AC216" s="41">
        <f>J216/'1. Väestöennuste'!L216*1000</f>
        <v>2259.7837292938498</v>
      </c>
      <c r="AD216" s="41">
        <f>K216/'1. Väestöennuste'!M216*1000</f>
        <v>2465.1696382473096</v>
      </c>
      <c r="AE216" s="41">
        <f>L216/'1. Väestöennuste'!N216*1000</f>
        <v>2514.1682667940026</v>
      </c>
      <c r="AF216" s="41">
        <f>M216/'1. Väestöennuste'!O216*1000</f>
        <v>2565.6009720599259</v>
      </c>
      <c r="AG216" s="41">
        <f>N216/'1. Väestöennuste'!P216*1000</f>
        <v>2589.9706653762091</v>
      </c>
      <c r="AH216" s="41">
        <f>O216/'1. Väestöennuste'!Q216*1000</f>
        <v>2636.2870370399437</v>
      </c>
      <c r="AI216" s="41">
        <f>P216/'1. Väestöennuste'!R216*1000</f>
        <v>2799.1242877852787</v>
      </c>
      <c r="AK216" s="41">
        <f t="shared" si="41"/>
        <v>0</v>
      </c>
      <c r="AL216" s="41">
        <f t="shared" si="42"/>
        <v>0</v>
      </c>
      <c r="AM216" s="41">
        <f t="shared" si="43"/>
        <v>0</v>
      </c>
      <c r="AN216" s="41">
        <f t="shared" si="44"/>
        <v>0</v>
      </c>
      <c r="AO216" s="41">
        <f t="shared" si="45"/>
        <v>0</v>
      </c>
      <c r="AP216" s="41">
        <f t="shared" si="46"/>
        <v>0</v>
      </c>
      <c r="AQ216" s="41">
        <f t="shared" si="47"/>
        <v>0</v>
      </c>
      <c r="AR216" s="41">
        <f t="shared" si="48"/>
        <v>0</v>
      </c>
      <c r="AS216" s="41">
        <f t="shared" si="49"/>
        <v>0</v>
      </c>
      <c r="AT216" s="41">
        <f t="shared" si="50"/>
        <v>0</v>
      </c>
      <c r="AU216" s="41">
        <f t="shared" si="51"/>
        <v>0</v>
      </c>
      <c r="AV216" s="41">
        <f t="shared" si="52"/>
        <v>0</v>
      </c>
      <c r="AW216" s="41">
        <f t="shared" si="52"/>
        <v>0</v>
      </c>
      <c r="AX216" s="41">
        <f t="shared" si="52"/>
        <v>0</v>
      </c>
    </row>
    <row r="217" spans="1:50" ht="11.25" x14ac:dyDescent="0.2">
      <c r="A217" s="34">
        <v>636</v>
      </c>
      <c r="B217" s="88" t="s">
        <v>531</v>
      </c>
      <c r="C217" s="65">
        <v>-819</v>
      </c>
      <c r="D217" s="65">
        <v>-155</v>
      </c>
      <c r="E217" s="65">
        <v>2474</v>
      </c>
      <c r="F217" s="65">
        <v>2980</v>
      </c>
      <c r="G217" s="41">
        <v>-60</v>
      </c>
      <c r="H217" s="41">
        <v>2743</v>
      </c>
      <c r="I217" s="41">
        <v>5193.3230700000004</v>
      </c>
      <c r="J217" s="41">
        <f>I217+'Tilikauden tulos'!J217+'9. Tulorahkorjauserät'!J217</f>
        <v>6776.7773601866547</v>
      </c>
      <c r="K217" s="41">
        <f>J217+'Tilikauden tulos'!K217+'9. Tulorahkorjauserät'!K217</f>
        <v>8129.7976348971661</v>
      </c>
      <c r="L217" s="41">
        <f>K217+'Tilikauden tulos'!L217+'9. Tulorahkorjauserät'!L217</f>
        <v>9306.0963809381319</v>
      </c>
      <c r="M217" s="41">
        <f>L217+'Tilikauden tulos'!M217+'9. Tulorahkorjauserät'!M217</f>
        <v>11186.938841156974</v>
      </c>
      <c r="N217" s="41">
        <f>M217+'Tilikauden tulos'!N217+'9. Tulorahkorjauserät'!N217</f>
        <v>12844.283531676403</v>
      </c>
      <c r="O217" s="41">
        <f>N217+'Tilikauden tulos'!O217+'9. Tulorahkorjauserät'!O217</f>
        <v>14770.913752229117</v>
      </c>
      <c r="P217" s="41">
        <f>O217+'Tilikauden tulos'!P217+'9. Tulorahkorjauserät'!P217</f>
        <v>17416.368264865006</v>
      </c>
      <c r="T217" s="34">
        <v>636</v>
      </c>
      <c r="U217" s="88" t="s">
        <v>531</v>
      </c>
      <c r="V217" s="41">
        <f>C217/'1. Väestöennuste'!E217*1000</f>
        <v>-95.655220742817093</v>
      </c>
      <c r="W217" s="41">
        <f>D217/'1. Väestöennuste'!F217*1000</f>
        <v>-18.228860402210984</v>
      </c>
      <c r="X217" s="41">
        <f>E217/'1. Väestöennuste'!G217*1000</f>
        <v>293.75445262407976</v>
      </c>
      <c r="Y217" s="41">
        <f>F217/'1. Väestöennuste'!H217*1000</f>
        <v>357.6143045721829</v>
      </c>
      <c r="Z217" s="41">
        <f>G217/'1. Väestöennuste'!I217*1000</f>
        <v>-7.249879168680522</v>
      </c>
      <c r="AA217" s="41">
        <f>H217/'1. Väestöennuste'!J217*1000</f>
        <v>333.33333333333331</v>
      </c>
      <c r="AB217" s="41">
        <f>I217/'1. Väestöennuste'!K217*1000</f>
        <v>631.63744466066646</v>
      </c>
      <c r="AC217" s="41">
        <f>J217/'1. Väestöennuste'!L217*1000</f>
        <v>831.09852344697754</v>
      </c>
      <c r="AD217" s="41">
        <f>K217/'1. Väestöennuste'!M217*1000</f>
        <v>999.9751088434399</v>
      </c>
      <c r="AE217" s="41">
        <f>L217/'1. Väestöennuste'!N217*1000</f>
        <v>1164.5721913325156</v>
      </c>
      <c r="AF217" s="41">
        <f>M217/'1. Väestöennuste'!O217*1000</f>
        <v>1408.2249296521873</v>
      </c>
      <c r="AG217" s="41">
        <f>N217/'1. Väestöennuste'!P217*1000</f>
        <v>1626.270388918258</v>
      </c>
      <c r="AH217" s="41">
        <f>O217/'1. Väestöennuste'!Q217*1000</f>
        <v>1880.6867522573361</v>
      </c>
      <c r="AI217" s="41">
        <f>P217/'1. Väestöennuste'!R217*1000</f>
        <v>2231.4373177277394</v>
      </c>
      <c r="AK217" s="41">
        <f t="shared" si="41"/>
        <v>-1</v>
      </c>
      <c r="AL217" s="41">
        <f t="shared" si="42"/>
        <v>-1</v>
      </c>
      <c r="AM217" s="41">
        <f t="shared" si="43"/>
        <v>0</v>
      </c>
      <c r="AN217" s="41">
        <f t="shared" si="44"/>
        <v>0</v>
      </c>
      <c r="AO217" s="41">
        <f t="shared" si="45"/>
        <v>-1</v>
      </c>
      <c r="AP217" s="41">
        <f t="shared" si="46"/>
        <v>0</v>
      </c>
      <c r="AQ217" s="41">
        <f t="shared" si="47"/>
        <v>0</v>
      </c>
      <c r="AR217" s="41">
        <f t="shared" si="48"/>
        <v>0</v>
      </c>
      <c r="AS217" s="41">
        <f t="shared" si="49"/>
        <v>0</v>
      </c>
      <c r="AT217" s="41">
        <f t="shared" si="50"/>
        <v>0</v>
      </c>
      <c r="AU217" s="41">
        <f t="shared" si="51"/>
        <v>0</v>
      </c>
      <c r="AV217" s="41">
        <f t="shared" si="52"/>
        <v>0</v>
      </c>
      <c r="AW217" s="41">
        <f t="shared" si="52"/>
        <v>0</v>
      </c>
      <c r="AX217" s="41">
        <f t="shared" si="52"/>
        <v>0</v>
      </c>
    </row>
    <row r="218" spans="1:50" ht="11.25" x14ac:dyDescent="0.2">
      <c r="A218" s="34">
        <v>638</v>
      </c>
      <c r="B218" s="88" t="s">
        <v>532</v>
      </c>
      <c r="C218" s="65">
        <v>43775</v>
      </c>
      <c r="D218" s="65">
        <v>47694</v>
      </c>
      <c r="E218" s="65">
        <v>52748</v>
      </c>
      <c r="F218" s="65">
        <v>55181</v>
      </c>
      <c r="G218" s="41">
        <v>57264</v>
      </c>
      <c r="H218" s="41">
        <v>68867</v>
      </c>
      <c r="I218" s="41">
        <v>98415.434730000008</v>
      </c>
      <c r="J218" s="41">
        <f>I218+'Tilikauden tulos'!J218+'9. Tulorahkorjauserät'!J218</f>
        <v>138587.99755335576</v>
      </c>
      <c r="K218" s="41">
        <f>J218+'Tilikauden tulos'!K218+'9. Tulorahkorjauserät'!K218</f>
        <v>163763.28415269364</v>
      </c>
      <c r="L218" s="41">
        <f>K218+'Tilikauden tulos'!L218+'9. Tulorahkorjauserät'!L218</f>
        <v>168373.48812162617</v>
      </c>
      <c r="M218" s="41">
        <f>L218+'Tilikauden tulos'!M218+'9. Tulorahkorjauserät'!M218</f>
        <v>163790.42172260868</v>
      </c>
      <c r="N218" s="41">
        <f>M218+'Tilikauden tulos'!N218+'9. Tulorahkorjauserät'!N218</f>
        <v>152426.32452969812</v>
      </c>
      <c r="O218" s="41">
        <f>N218+'Tilikauden tulos'!O218+'9. Tulorahkorjauserät'!O218</f>
        <v>140014.65147130343</v>
      </c>
      <c r="P218" s="41">
        <f>O218+'Tilikauden tulos'!P218+'9. Tulorahkorjauserät'!P218</f>
        <v>128899.77057239527</v>
      </c>
      <c r="T218" s="34">
        <v>638</v>
      </c>
      <c r="U218" s="88" t="s">
        <v>532</v>
      </c>
      <c r="V218" s="41">
        <f>C218/'1. Väestöennuste'!E218*1000</f>
        <v>876.76253805479882</v>
      </c>
      <c r="W218" s="41">
        <f>D218/'1. Väestöennuste'!F218*1000</f>
        <v>951.14071474154434</v>
      </c>
      <c r="X218" s="41">
        <f>E218/'1. Väestöennuste'!G218*1000</f>
        <v>1051.6158615602385</v>
      </c>
      <c r="Y218" s="41">
        <f>F218/'1. Väestöennuste'!H218*1000</f>
        <v>1097.8671759977717</v>
      </c>
      <c r="Z218" s="41">
        <f>G218/'1. Väestöennuste'!I218*1000</f>
        <v>1136.64152441445</v>
      </c>
      <c r="AA218" s="41">
        <f>H218/'1. Väestöennuste'!J218*1000</f>
        <v>1360.4970465635433</v>
      </c>
      <c r="AB218" s="41">
        <f>I218/'1. Väestöennuste'!K218*1000</f>
        <v>1924.0930366185069</v>
      </c>
      <c r="AC218" s="41">
        <f>J218/'1. Väestöennuste'!L218*1000</f>
        <v>2705.1061358790553</v>
      </c>
      <c r="AD218" s="41">
        <f>K218/'1. Väestöennuste'!M218*1000</f>
        <v>3192.9513960633594</v>
      </c>
      <c r="AE218" s="41">
        <f>L218/'1. Väestöennuste'!N218*1000</f>
        <v>3279.1938636237714</v>
      </c>
      <c r="AF218" s="41">
        <f>M218/'1. Väestöennuste'!O218*1000</f>
        <v>3181.2613472130029</v>
      </c>
      <c r="AG218" s="41">
        <f>N218/'1. Väestöennuste'!P218*1000</f>
        <v>2952.8540203351049</v>
      </c>
      <c r="AH218" s="41">
        <f>O218/'1. Väestöennuste'!Q218*1000</f>
        <v>2706.1200516293666</v>
      </c>
      <c r="AI218" s="41">
        <f>P218/'1. Väestöennuste'!R218*1000</f>
        <v>2486.0608801017429</v>
      </c>
      <c r="AK218" s="41">
        <f t="shared" si="41"/>
        <v>0</v>
      </c>
      <c r="AL218" s="41">
        <f t="shared" si="42"/>
        <v>0</v>
      </c>
      <c r="AM218" s="41">
        <f t="shared" si="43"/>
        <v>0</v>
      </c>
      <c r="AN218" s="41">
        <f t="shared" si="44"/>
        <v>0</v>
      </c>
      <c r="AO218" s="41">
        <f t="shared" si="45"/>
        <v>0</v>
      </c>
      <c r="AP218" s="41">
        <f t="shared" si="46"/>
        <v>0</v>
      </c>
      <c r="AQ218" s="41">
        <f t="shared" si="47"/>
        <v>0</v>
      </c>
      <c r="AR218" s="41">
        <f t="shared" si="48"/>
        <v>0</v>
      </c>
      <c r="AS218" s="41">
        <f t="shared" si="49"/>
        <v>0</v>
      </c>
      <c r="AT218" s="41">
        <f t="shared" si="50"/>
        <v>0</v>
      </c>
      <c r="AU218" s="41">
        <f t="shared" si="51"/>
        <v>0</v>
      </c>
      <c r="AV218" s="41">
        <f t="shared" si="52"/>
        <v>0</v>
      </c>
      <c r="AW218" s="41">
        <f t="shared" si="52"/>
        <v>0</v>
      </c>
      <c r="AX218" s="41">
        <f t="shared" si="52"/>
        <v>0</v>
      </c>
    </row>
    <row r="219" spans="1:50" ht="11.25" x14ac:dyDescent="0.2">
      <c r="A219" s="34">
        <v>678</v>
      </c>
      <c r="B219" s="88" t="s">
        <v>533</v>
      </c>
      <c r="C219" s="65">
        <v>1187</v>
      </c>
      <c r="D219" s="65">
        <v>7279</v>
      </c>
      <c r="E219" s="65">
        <v>12558</v>
      </c>
      <c r="F219" s="65">
        <v>10935</v>
      </c>
      <c r="G219" s="41">
        <v>4754</v>
      </c>
      <c r="H219" s="41">
        <v>7502</v>
      </c>
      <c r="I219" s="41">
        <v>21034.657740000002</v>
      </c>
      <c r="J219" s="41">
        <f>I219+'Tilikauden tulos'!J219+'9. Tulorahkorjauserät'!J219</f>
        <v>15276.846596960384</v>
      </c>
      <c r="K219" s="41">
        <f>J219+'Tilikauden tulos'!K219+'9. Tulorahkorjauserät'!K219</f>
        <v>34683.573716901832</v>
      </c>
      <c r="L219" s="41">
        <f>K219+'Tilikauden tulos'!L219+'9. Tulorahkorjauserät'!L219</f>
        <v>43252.700123605282</v>
      </c>
      <c r="M219" s="41">
        <f>L219+'Tilikauden tulos'!M219+'9. Tulorahkorjauserät'!M219</f>
        <v>46776.886190798919</v>
      </c>
      <c r="N219" s="41">
        <f>M219+'Tilikauden tulos'!N219+'9. Tulorahkorjauserät'!N219</f>
        <v>48742.712356319484</v>
      </c>
      <c r="O219" s="41">
        <f>N219+'Tilikauden tulos'!O219+'9. Tulorahkorjauserät'!O219</f>
        <v>51280.002175529429</v>
      </c>
      <c r="P219" s="41">
        <f>O219+'Tilikauden tulos'!P219+'9. Tulorahkorjauserät'!P219</f>
        <v>55231.867526899725</v>
      </c>
      <c r="T219" s="34">
        <v>678</v>
      </c>
      <c r="U219" s="88" t="s">
        <v>533</v>
      </c>
      <c r="V219" s="41">
        <f>C219/'1. Väestöennuste'!E219*1000</f>
        <v>47.16868666799126</v>
      </c>
      <c r="W219" s="41">
        <f>D219/'1. Väestöennuste'!F219*1000</f>
        <v>291.04358256697321</v>
      </c>
      <c r="X219" s="41">
        <f>E219/'1. Väestöennuste'!G219*1000</f>
        <v>502.29990800367983</v>
      </c>
      <c r="Y219" s="41">
        <f>F219/'1. Väestöennuste'!H219*1000</f>
        <v>440.73193341662972</v>
      </c>
      <c r="Z219" s="41">
        <f>G219/'1. Väestöennuste'!I219*1000</f>
        <v>192.63341302321811</v>
      </c>
      <c r="AA219" s="41">
        <f>H219/'1. Väestöennuste'!J219*1000</f>
        <v>308.05239600870533</v>
      </c>
      <c r="AB219" s="41">
        <f>I219/'1. Väestöennuste'!K219*1000</f>
        <v>867.05101978565551</v>
      </c>
      <c r="AC219" s="41">
        <f>J219/'1. Väestöennuste'!L219*1000</f>
        <v>634.60501794377035</v>
      </c>
      <c r="AD219" s="41">
        <f>K219/'1. Väestöennuste'!M219*1000</f>
        <v>1457.4767288692622</v>
      </c>
      <c r="AE219" s="41">
        <f>L219/'1. Väestöennuste'!N219*1000</f>
        <v>1829.0214869589513</v>
      </c>
      <c r="AF219" s="41">
        <f>M219/'1. Väestöennuste'!O219*1000</f>
        <v>1993.7296986957174</v>
      </c>
      <c r="AG219" s="41">
        <f>N219/'1. Väestöennuste'!P219*1000</f>
        <v>2094.4788740254162</v>
      </c>
      <c r="AH219" s="41">
        <f>O219/'1. Väestöennuste'!Q219*1000</f>
        <v>2221.8371826485891</v>
      </c>
      <c r="AI219" s="41">
        <f>P219/'1. Väestöennuste'!R219*1000</f>
        <v>2413.5582733306996</v>
      </c>
      <c r="AK219" s="41">
        <f t="shared" si="41"/>
        <v>0</v>
      </c>
      <c r="AL219" s="41">
        <f t="shared" si="42"/>
        <v>0</v>
      </c>
      <c r="AM219" s="41">
        <f t="shared" si="43"/>
        <v>0</v>
      </c>
      <c r="AN219" s="41">
        <f t="shared" si="44"/>
        <v>0</v>
      </c>
      <c r="AO219" s="41">
        <f t="shared" si="45"/>
        <v>0</v>
      </c>
      <c r="AP219" s="41">
        <f t="shared" si="46"/>
        <v>0</v>
      </c>
      <c r="AQ219" s="41">
        <f t="shared" si="47"/>
        <v>0</v>
      </c>
      <c r="AR219" s="41">
        <f t="shared" si="48"/>
        <v>0</v>
      </c>
      <c r="AS219" s="41">
        <f t="shared" si="49"/>
        <v>0</v>
      </c>
      <c r="AT219" s="41">
        <f t="shared" si="50"/>
        <v>0</v>
      </c>
      <c r="AU219" s="41">
        <f t="shared" si="51"/>
        <v>0</v>
      </c>
      <c r="AV219" s="41">
        <f t="shared" si="52"/>
        <v>0</v>
      </c>
      <c r="AW219" s="41">
        <f t="shared" si="52"/>
        <v>0</v>
      </c>
      <c r="AX219" s="41">
        <f t="shared" si="52"/>
        <v>0</v>
      </c>
    </row>
    <row r="220" spans="1:50" ht="11.25" x14ac:dyDescent="0.2">
      <c r="A220" s="34">
        <v>680</v>
      </c>
      <c r="B220" s="88" t="s">
        <v>534</v>
      </c>
      <c r="C220" s="65">
        <v>512</v>
      </c>
      <c r="D220" s="65">
        <v>17037</v>
      </c>
      <c r="E220" s="65">
        <v>19195</v>
      </c>
      <c r="F220" s="65">
        <v>15511</v>
      </c>
      <c r="G220" s="41">
        <v>9851</v>
      </c>
      <c r="H220" s="41">
        <v>17138</v>
      </c>
      <c r="I220" s="41">
        <v>21598.09881</v>
      </c>
      <c r="J220" s="41">
        <f>I220+'Tilikauden tulos'!J220+'9. Tulorahkorjauserät'!J220</f>
        <v>25034.475982783541</v>
      </c>
      <c r="K220" s="41">
        <f>J220+'Tilikauden tulos'!K220+'9. Tulorahkorjauserät'!K220</f>
        <v>33109.879059639366</v>
      </c>
      <c r="L220" s="41">
        <f>K220+'Tilikauden tulos'!L220+'9. Tulorahkorjauserät'!L220</f>
        <v>34083.985023863992</v>
      </c>
      <c r="M220" s="41">
        <f>L220+'Tilikauden tulos'!M220+'9. Tulorahkorjauserät'!M220</f>
        <v>32325.105478866244</v>
      </c>
      <c r="N220" s="41">
        <f>M220+'Tilikauden tulos'!N220+'9. Tulorahkorjauserät'!N220</f>
        <v>28280.001693121725</v>
      </c>
      <c r="O220" s="41">
        <f>N220+'Tilikauden tulos'!O220+'9. Tulorahkorjauserät'!O220</f>
        <v>24092.2693283962</v>
      </c>
      <c r="P220" s="41">
        <f>O220+'Tilikauden tulos'!P220+'9. Tulorahkorjauserät'!P220</f>
        <v>20751.506598267049</v>
      </c>
      <c r="T220" s="34">
        <v>680</v>
      </c>
      <c r="U220" s="88" t="s">
        <v>534</v>
      </c>
      <c r="V220" s="41">
        <f>C220/'1. Väestöennuste'!E220*1000</f>
        <v>21.07863318237958</v>
      </c>
      <c r="W220" s="41">
        <f>D220/'1. Väestöennuste'!F220*1000</f>
        <v>701.60194374665411</v>
      </c>
      <c r="X220" s="41">
        <f>E220/'1. Väestöennuste'!G220*1000</f>
        <v>792.06899397540644</v>
      </c>
      <c r="Y220" s="41">
        <f>F220/'1. Väestöennuste'!H220*1000</f>
        <v>641.53362561005883</v>
      </c>
      <c r="Z220" s="41">
        <f>G220/'1. Väestöennuste'!I220*1000</f>
        <v>409.50282673761222</v>
      </c>
      <c r="AA220" s="41">
        <f>H220/'1. Väestöennuste'!J220*1000</f>
        <v>702.17560535911832</v>
      </c>
      <c r="AB220" s="41">
        <f>I220/'1. Väestöennuste'!K220*1000</f>
        <v>870.54005683192258</v>
      </c>
      <c r="AC220" s="41">
        <f>J220/'1. Väestöennuste'!L220*1000</f>
        <v>1003.7076410385511</v>
      </c>
      <c r="AD220" s="41">
        <f>K220/'1. Väestöennuste'!M220*1000</f>
        <v>1307.0893000528745</v>
      </c>
      <c r="AE220" s="41">
        <f>L220/'1. Väestöennuste'!N220*1000</f>
        <v>1388.5193719747419</v>
      </c>
      <c r="AF220" s="41">
        <f>M220/'1. Väestöennuste'!O220*1000</f>
        <v>1314.3492509907394</v>
      </c>
      <c r="AG220" s="41">
        <f>N220/'1. Väestöennuste'!P220*1000</f>
        <v>1147.8670979876497</v>
      </c>
      <c r="AH220" s="41">
        <f>O220/'1. Väestöennuste'!Q220*1000</f>
        <v>976.22550866713402</v>
      </c>
      <c r="AI220" s="41">
        <f>P220/'1. Väestöennuste'!R220*1000</f>
        <v>839.32642769240613</v>
      </c>
      <c r="AK220" s="41">
        <f t="shared" si="41"/>
        <v>0</v>
      </c>
      <c r="AL220" s="41">
        <f t="shared" si="42"/>
        <v>0</v>
      </c>
      <c r="AM220" s="41">
        <f t="shared" si="43"/>
        <v>0</v>
      </c>
      <c r="AN220" s="41">
        <f t="shared" si="44"/>
        <v>0</v>
      </c>
      <c r="AO220" s="41">
        <f t="shared" si="45"/>
        <v>0</v>
      </c>
      <c r="AP220" s="41">
        <f t="shared" si="46"/>
        <v>0</v>
      </c>
      <c r="AQ220" s="41">
        <f t="shared" si="47"/>
        <v>0</v>
      </c>
      <c r="AR220" s="41">
        <f t="shared" si="48"/>
        <v>0</v>
      </c>
      <c r="AS220" s="41">
        <f t="shared" si="49"/>
        <v>0</v>
      </c>
      <c r="AT220" s="41">
        <f t="shared" si="50"/>
        <v>0</v>
      </c>
      <c r="AU220" s="41">
        <f t="shared" si="51"/>
        <v>0</v>
      </c>
      <c r="AV220" s="41">
        <f t="shared" si="52"/>
        <v>0</v>
      </c>
      <c r="AW220" s="41">
        <f t="shared" si="52"/>
        <v>0</v>
      </c>
      <c r="AX220" s="41">
        <f t="shared" si="52"/>
        <v>0</v>
      </c>
    </row>
    <row r="221" spans="1:50" ht="11.25" x14ac:dyDescent="0.2">
      <c r="A221" s="34">
        <v>681</v>
      </c>
      <c r="B221" s="88" t="s">
        <v>535</v>
      </c>
      <c r="C221" s="65">
        <v>-2253</v>
      </c>
      <c r="D221" s="65">
        <v>-1008</v>
      </c>
      <c r="E221" s="65">
        <v>680</v>
      </c>
      <c r="F221" s="65">
        <v>-676</v>
      </c>
      <c r="G221" s="41">
        <v>684</v>
      </c>
      <c r="H221" s="41">
        <v>1741</v>
      </c>
      <c r="I221" s="41">
        <v>2263.7975300000003</v>
      </c>
      <c r="J221" s="41">
        <f>I221+'Tilikauden tulos'!J221+'9. Tulorahkorjauserät'!J221</f>
        <v>3052.1067246976449</v>
      </c>
      <c r="K221" s="41">
        <f>J221+'Tilikauden tulos'!K221+'9. Tulorahkorjauserät'!K221</f>
        <v>3219.8887115551966</v>
      </c>
      <c r="L221" s="41">
        <f>K221+'Tilikauden tulos'!L221+'9. Tulorahkorjauserät'!L221</f>
        <v>3609.3973200801629</v>
      </c>
      <c r="M221" s="41">
        <f>L221+'Tilikauden tulos'!M221+'9. Tulorahkorjauserät'!M221</f>
        <v>3379.3491432130077</v>
      </c>
      <c r="N221" s="41">
        <f>M221+'Tilikauden tulos'!N221+'9. Tulorahkorjauserät'!N221</f>
        <v>3173.3586702174516</v>
      </c>
      <c r="O221" s="41">
        <f>N221+'Tilikauden tulos'!O221+'9. Tulorahkorjauserät'!O221</f>
        <v>3046.1652161846168</v>
      </c>
      <c r="P221" s="41">
        <f>O221+'Tilikauden tulos'!P221+'9. Tulorahkorjauserät'!P221</f>
        <v>3226.0380384579216</v>
      </c>
      <c r="T221" s="34">
        <v>681</v>
      </c>
      <c r="U221" s="88" t="s">
        <v>535</v>
      </c>
      <c r="V221" s="41">
        <f>C221/'1. Väestöennuste'!E221*1000</f>
        <v>-603.5360300026789</v>
      </c>
      <c r="W221" s="41">
        <f>D221/'1. Väestöennuste'!F221*1000</f>
        <v>-276.24006577144422</v>
      </c>
      <c r="X221" s="41">
        <f>E221/'1. Väestöennuste'!G221*1000</f>
        <v>191.38755980861245</v>
      </c>
      <c r="Y221" s="41">
        <f>F221/'1. Väestöennuste'!H221*1000</f>
        <v>-192.37336368810472</v>
      </c>
      <c r="Z221" s="41">
        <f>G221/'1. Väestöennuste'!I221*1000</f>
        <v>199.35878752550275</v>
      </c>
      <c r="AA221" s="41">
        <f>H221/'1. Väestöennuste'!J221*1000</f>
        <v>517.53864447086801</v>
      </c>
      <c r="AB221" s="41">
        <f>I221/'1. Väestöennuste'!K221*1000</f>
        <v>679.81907807807818</v>
      </c>
      <c r="AC221" s="41">
        <f>J221/'1. Väestöennuste'!L221*1000</f>
        <v>922.64411266555169</v>
      </c>
      <c r="AD221" s="41">
        <f>K221/'1. Väestöennuste'!M221*1000</f>
        <v>976.61168078713877</v>
      </c>
      <c r="AE221" s="41">
        <f>L221/'1. Väestöennuste'!N221*1000</f>
        <v>1162.0725434900719</v>
      </c>
      <c r="AF221" s="41">
        <f>M221/'1. Väestöennuste'!O221*1000</f>
        <v>1107.2572553122568</v>
      </c>
      <c r="AG221" s="41">
        <f>N221/'1. Väestöennuste'!P221*1000</f>
        <v>1056.0261797728624</v>
      </c>
      <c r="AH221" s="41">
        <f>O221/'1. Väestöennuste'!Q221*1000</f>
        <v>1029.4576600826688</v>
      </c>
      <c r="AI221" s="41">
        <f>P221/'1. Väestöennuste'!R221*1000</f>
        <v>1107.0823742134255</v>
      </c>
      <c r="AK221" s="41">
        <f t="shared" si="41"/>
        <v>-1</v>
      </c>
      <c r="AL221" s="41">
        <f t="shared" si="42"/>
        <v>-1</v>
      </c>
      <c r="AM221" s="41">
        <f t="shared" si="43"/>
        <v>0</v>
      </c>
      <c r="AN221" s="41">
        <f t="shared" si="44"/>
        <v>-1</v>
      </c>
      <c r="AO221" s="41">
        <f t="shared" si="45"/>
        <v>0</v>
      </c>
      <c r="AP221" s="41">
        <f t="shared" si="46"/>
        <v>0</v>
      </c>
      <c r="AQ221" s="41">
        <f t="shared" si="47"/>
        <v>0</v>
      </c>
      <c r="AR221" s="41">
        <f t="shared" si="48"/>
        <v>0</v>
      </c>
      <c r="AS221" s="41">
        <f t="shared" si="49"/>
        <v>0</v>
      </c>
      <c r="AT221" s="41">
        <f t="shared" si="50"/>
        <v>0</v>
      </c>
      <c r="AU221" s="41">
        <f t="shared" si="51"/>
        <v>0</v>
      </c>
      <c r="AV221" s="41">
        <f t="shared" si="52"/>
        <v>0</v>
      </c>
      <c r="AW221" s="41">
        <f t="shared" si="52"/>
        <v>0</v>
      </c>
      <c r="AX221" s="41">
        <f t="shared" si="52"/>
        <v>0</v>
      </c>
    </row>
    <row r="222" spans="1:50" ht="11.25" x14ac:dyDescent="0.2">
      <c r="A222" s="34">
        <v>683</v>
      </c>
      <c r="B222" s="88" t="s">
        <v>536</v>
      </c>
      <c r="C222" s="65">
        <v>11305</v>
      </c>
      <c r="D222" s="65">
        <v>11389</v>
      </c>
      <c r="E222" s="65">
        <v>13282</v>
      </c>
      <c r="F222" s="65">
        <v>12326</v>
      </c>
      <c r="G222" s="41">
        <v>11427</v>
      </c>
      <c r="H222" s="41">
        <v>12544</v>
      </c>
      <c r="I222" s="41">
        <v>13745.661169999999</v>
      </c>
      <c r="J222" s="41">
        <f>I222+'Tilikauden tulos'!J222+'9. Tulorahkorjauserät'!J222</f>
        <v>14551.465727087947</v>
      </c>
      <c r="K222" s="41">
        <f>J222+'Tilikauden tulos'!K222+'9. Tulorahkorjauserät'!K222</f>
        <v>13443.975269846562</v>
      </c>
      <c r="L222" s="41">
        <f>K222+'Tilikauden tulos'!L222+'9. Tulorahkorjauserät'!L222</f>
        <v>12811.628068081545</v>
      </c>
      <c r="M222" s="41">
        <f>L222+'Tilikauden tulos'!M222+'9. Tulorahkorjauserät'!M222</f>
        <v>10403.555307422348</v>
      </c>
      <c r="N222" s="41">
        <f>M222+'Tilikauden tulos'!N222+'9. Tulorahkorjauserät'!N222</f>
        <v>7773.3142006036578</v>
      </c>
      <c r="O222" s="41">
        <f>N222+'Tilikauden tulos'!O222+'9. Tulorahkorjauserät'!O222</f>
        <v>4669.2555949694333</v>
      </c>
      <c r="P222" s="41">
        <f>O222+'Tilikauden tulos'!P222+'9. Tulorahkorjauserät'!P222</f>
        <v>1865.631154071285</v>
      </c>
      <c r="T222" s="34">
        <v>683</v>
      </c>
      <c r="U222" s="88" t="s">
        <v>536</v>
      </c>
      <c r="V222" s="41">
        <f>C222/'1. Väestöennuste'!E222*1000</f>
        <v>2812.1890547263683</v>
      </c>
      <c r="W222" s="41">
        <f>D222/'1. Väestöennuste'!F222*1000</f>
        <v>2830.9719115088242</v>
      </c>
      <c r="X222" s="41">
        <f>E222/'1. Väestöennuste'!G222*1000</f>
        <v>3343.9073514602214</v>
      </c>
      <c r="Y222" s="41">
        <f>F222/'1. Väestöennuste'!H222*1000</f>
        <v>3163.757700205339</v>
      </c>
      <c r="Z222" s="41">
        <f>G222/'1. Väestöennuste'!I222*1000</f>
        <v>3020.6185567010307</v>
      </c>
      <c r="AA222" s="41">
        <f>H222/'1. Väestöennuste'!J222*1000</f>
        <v>3379.3103448275865</v>
      </c>
      <c r="AB222" s="41">
        <f>I222/'1. Väestöennuste'!K222*1000</f>
        <v>3745.4117629427792</v>
      </c>
      <c r="AC222" s="41">
        <f>J222/'1. Väestöennuste'!L222*1000</f>
        <v>4021.9639931144134</v>
      </c>
      <c r="AD222" s="41">
        <f>K222/'1. Väestöennuste'!M222*1000</f>
        <v>3735.4752069593114</v>
      </c>
      <c r="AE222" s="41">
        <f>L222/'1. Väestöennuste'!N222*1000</f>
        <v>3710.2890437537053</v>
      </c>
      <c r="AF222" s="41">
        <f>M222/'1. Väestöennuste'!O222*1000</f>
        <v>3065.2785231061721</v>
      </c>
      <c r="AG222" s="41">
        <f>N222/'1. Väestöennuste'!P222*1000</f>
        <v>2329.431885107479</v>
      </c>
      <c r="AH222" s="41">
        <f>O222/'1. Väestöennuste'!Q222*1000</f>
        <v>1421.8196086995838</v>
      </c>
      <c r="AI222" s="41">
        <f>P222/'1. Väestöennuste'!R222*1000</f>
        <v>577.2373620270065</v>
      </c>
      <c r="AK222" s="41">
        <f t="shared" si="41"/>
        <v>0</v>
      </c>
      <c r="AL222" s="41">
        <f t="shared" si="42"/>
        <v>0</v>
      </c>
      <c r="AM222" s="41">
        <f t="shared" si="43"/>
        <v>0</v>
      </c>
      <c r="AN222" s="41">
        <f t="shared" si="44"/>
        <v>0</v>
      </c>
      <c r="AO222" s="41">
        <f t="shared" si="45"/>
        <v>0</v>
      </c>
      <c r="AP222" s="41">
        <f t="shared" si="46"/>
        <v>0</v>
      </c>
      <c r="AQ222" s="41">
        <f t="shared" si="47"/>
        <v>0</v>
      </c>
      <c r="AR222" s="41">
        <f t="shared" si="48"/>
        <v>0</v>
      </c>
      <c r="AS222" s="41">
        <f t="shared" si="49"/>
        <v>0</v>
      </c>
      <c r="AT222" s="41">
        <f t="shared" si="50"/>
        <v>0</v>
      </c>
      <c r="AU222" s="41">
        <f t="shared" si="51"/>
        <v>0</v>
      </c>
      <c r="AV222" s="41">
        <f t="shared" si="52"/>
        <v>0</v>
      </c>
      <c r="AW222" s="41">
        <f t="shared" si="52"/>
        <v>0</v>
      </c>
      <c r="AX222" s="41">
        <f t="shared" si="52"/>
        <v>0</v>
      </c>
    </row>
    <row r="223" spans="1:50" ht="11.25" x14ac:dyDescent="0.2">
      <c r="A223" s="34">
        <v>684</v>
      </c>
      <c r="B223" s="88" t="s">
        <v>537</v>
      </c>
      <c r="C223" s="65">
        <v>104482</v>
      </c>
      <c r="D223" s="65">
        <v>112832</v>
      </c>
      <c r="E223" s="65">
        <v>123384</v>
      </c>
      <c r="F223" s="65">
        <v>107844</v>
      </c>
      <c r="G223" s="41">
        <v>93896</v>
      </c>
      <c r="H223" s="41">
        <v>98538</v>
      </c>
      <c r="I223" s="41">
        <v>101311.473</v>
      </c>
      <c r="J223" s="41">
        <f>I223+'Tilikauden tulos'!J223+'9. Tulorahkorjauserät'!J223</f>
        <v>106760.73198119011</v>
      </c>
      <c r="K223" s="41">
        <f>J223+'Tilikauden tulos'!K223+'9. Tulorahkorjauserät'!K223</f>
        <v>118051.94439061107</v>
      </c>
      <c r="L223" s="41">
        <f>K223+'Tilikauden tulos'!L223+'9. Tulorahkorjauserät'!L223</f>
        <v>114381.16374623777</v>
      </c>
      <c r="M223" s="41">
        <f>L223+'Tilikauden tulos'!M223+'9. Tulorahkorjauserät'!M223</f>
        <v>107855.99923501376</v>
      </c>
      <c r="N223" s="41">
        <f>M223+'Tilikauden tulos'!N223+'9. Tulorahkorjauserät'!N223</f>
        <v>101071.50675149272</v>
      </c>
      <c r="O223" s="41">
        <f>N223+'Tilikauden tulos'!O223+'9. Tulorahkorjauserät'!O223</f>
        <v>94769.335549481053</v>
      </c>
      <c r="P223" s="41">
        <f>O223+'Tilikauden tulos'!P223+'9. Tulorahkorjauserät'!P223</f>
        <v>90297.252964556552</v>
      </c>
      <c r="T223" s="34">
        <v>684</v>
      </c>
      <c r="U223" s="88" t="s">
        <v>537</v>
      </c>
      <c r="V223" s="41">
        <f>C223/'1. Väestöennuste'!E223*1000</f>
        <v>2624.5823808686478</v>
      </c>
      <c r="W223" s="41">
        <f>D223/'1. Väestöennuste'!F223*1000</f>
        <v>2848.2859595092641</v>
      </c>
      <c r="X223" s="41">
        <f>E223/'1. Väestöennuste'!G223*1000</f>
        <v>3114.1847551741548</v>
      </c>
      <c r="Y223" s="41">
        <f>F223/'1. Väestöennuste'!H223*1000</f>
        <v>2739.9390243902435</v>
      </c>
      <c r="Z223" s="41">
        <f>G223/'1. Väestöennuste'!I223*1000</f>
        <v>2395.0006376737661</v>
      </c>
      <c r="AA223" s="41">
        <f>H223/'1. Väestöennuste'!J223*1000</f>
        <v>2524.0266393442621</v>
      </c>
      <c r="AB223" s="41">
        <f>I223/'1. Väestöennuste'!K223*1000</f>
        <v>2600.4638979439924</v>
      </c>
      <c r="AC223" s="41">
        <f>J223/'1. Väestöennuste'!L223*1000</f>
        <v>2761.0296113272329</v>
      </c>
      <c r="AD223" s="41">
        <f>K223/'1. Väestöennuste'!M223*1000</f>
        <v>3040.0686132728438</v>
      </c>
      <c r="AE223" s="41">
        <f>L223/'1. Väestöennuste'!N223*1000</f>
        <v>2972.9470225668701</v>
      </c>
      <c r="AF223" s="41">
        <f>M223/'1. Väestöennuste'!O223*1000</f>
        <v>2815.2749663285681</v>
      </c>
      <c r="AG223" s="41">
        <f>N223/'1. Väestöennuste'!P223*1000</f>
        <v>2649.5270074053719</v>
      </c>
      <c r="AH223" s="41">
        <f>O223/'1. Väestöennuste'!Q223*1000</f>
        <v>2495.1774716168889</v>
      </c>
      <c r="AI223" s="41">
        <f>P223/'1. Väestöennuste'!R223*1000</f>
        <v>2387.6792258859946</v>
      </c>
      <c r="AK223" s="41">
        <f t="shared" si="41"/>
        <v>0</v>
      </c>
      <c r="AL223" s="41">
        <f t="shared" si="42"/>
        <v>0</v>
      </c>
      <c r="AM223" s="41">
        <f t="shared" si="43"/>
        <v>0</v>
      </c>
      <c r="AN223" s="41">
        <f t="shared" si="44"/>
        <v>0</v>
      </c>
      <c r="AO223" s="41">
        <f t="shared" si="45"/>
        <v>0</v>
      </c>
      <c r="AP223" s="41">
        <f t="shared" si="46"/>
        <v>0</v>
      </c>
      <c r="AQ223" s="41">
        <f t="shared" si="47"/>
        <v>0</v>
      </c>
      <c r="AR223" s="41">
        <f t="shared" si="48"/>
        <v>0</v>
      </c>
      <c r="AS223" s="41">
        <f t="shared" si="49"/>
        <v>0</v>
      </c>
      <c r="AT223" s="41">
        <f t="shared" si="50"/>
        <v>0</v>
      </c>
      <c r="AU223" s="41">
        <f t="shared" si="51"/>
        <v>0</v>
      </c>
      <c r="AV223" s="41">
        <f t="shared" si="52"/>
        <v>0</v>
      </c>
      <c r="AW223" s="41">
        <f t="shared" si="52"/>
        <v>0</v>
      </c>
      <c r="AX223" s="41">
        <f t="shared" si="52"/>
        <v>0</v>
      </c>
    </row>
    <row r="224" spans="1:50" ht="11.25" x14ac:dyDescent="0.2">
      <c r="A224" s="34">
        <v>686</v>
      </c>
      <c r="B224" s="88" t="s">
        <v>538</v>
      </c>
      <c r="C224" s="65">
        <v>3041</v>
      </c>
      <c r="D224" s="65">
        <v>4491</v>
      </c>
      <c r="E224" s="65">
        <v>5482</v>
      </c>
      <c r="F224" s="65">
        <v>5268</v>
      </c>
      <c r="G224" s="41">
        <v>4102</v>
      </c>
      <c r="H224" s="41">
        <v>3797</v>
      </c>
      <c r="I224" s="41">
        <v>3818.3880900000004</v>
      </c>
      <c r="J224" s="41">
        <f>I224+'Tilikauden tulos'!J224+'9. Tulorahkorjauserät'!J224</f>
        <v>4384.7403099022422</v>
      </c>
      <c r="K224" s="41">
        <f>J224+'Tilikauden tulos'!K224+'9. Tulorahkorjauserät'!K224</f>
        <v>4116.239580986994</v>
      </c>
      <c r="L224" s="41">
        <f>K224+'Tilikauden tulos'!L224+'9. Tulorahkorjauserät'!L224</f>
        <v>4388.288281096533</v>
      </c>
      <c r="M224" s="41">
        <f>L224+'Tilikauden tulos'!M224+'9. Tulorahkorjauserät'!M224</f>
        <v>3617.7749361385845</v>
      </c>
      <c r="N224" s="41">
        <f>M224+'Tilikauden tulos'!N224+'9. Tulorahkorjauserät'!N224</f>
        <v>2694.5514248463537</v>
      </c>
      <c r="O224" s="41">
        <f>N224+'Tilikauden tulos'!O224+'9. Tulorahkorjauserät'!O224</f>
        <v>1587.1841528721864</v>
      </c>
      <c r="P224" s="41">
        <f>O224+'Tilikauden tulos'!P224+'9. Tulorahkorjauserät'!P224</f>
        <v>734.83528175428353</v>
      </c>
      <c r="T224" s="34">
        <v>686</v>
      </c>
      <c r="U224" s="88" t="s">
        <v>538</v>
      </c>
      <c r="V224" s="41">
        <f>C224/'1. Väestöennuste'!E224*1000</f>
        <v>920.67817135937025</v>
      </c>
      <c r="W224" s="41">
        <f>D224/'1. Väestöennuste'!F224*1000</f>
        <v>1365.8759124087592</v>
      </c>
      <c r="X224" s="41">
        <f>E224/'1. Väestöennuste'!G224*1000</f>
        <v>1684.1781874039939</v>
      </c>
      <c r="Y224" s="41">
        <f>F224/'1. Väestöennuste'!H224*1000</f>
        <v>1648.3103879849812</v>
      </c>
      <c r="Z224" s="41">
        <f>G224/'1. Väestöennuste'!I224*1000</f>
        <v>1314.3223325857095</v>
      </c>
      <c r="AA224" s="41">
        <f>H224/'1. Väestöennuste'!J224*1000</f>
        <v>1243.6947264985261</v>
      </c>
      <c r="AB224" s="41">
        <f>I224/'1. Väestöennuste'!K224*1000</f>
        <v>1258.9476063303662</v>
      </c>
      <c r="AC224" s="41">
        <f>J224/'1. Väestöennuste'!L224*1000</f>
        <v>1479.3320883610804</v>
      </c>
      <c r="AD224" s="41">
        <f>K224/'1. Väestöennuste'!M224*1000</f>
        <v>1403.4229734016346</v>
      </c>
      <c r="AE224" s="41">
        <f>L224/'1. Väestöennuste'!N224*1000</f>
        <v>1530.6202584919893</v>
      </c>
      <c r="AF224" s="41">
        <f>M224/'1. Väestöennuste'!O224*1000</f>
        <v>1282.8989135243207</v>
      </c>
      <c r="AG224" s="41">
        <f>N224/'1. Väestöennuste'!P224*1000</f>
        <v>969.26310246271714</v>
      </c>
      <c r="AH224" s="41">
        <f>O224/'1. Väestöennuste'!Q224*1000</f>
        <v>578.84177712333565</v>
      </c>
      <c r="AI224" s="41">
        <f>P224/'1. Väestöennuste'!R224*1000</f>
        <v>271.75861011622908</v>
      </c>
      <c r="AK224" s="41">
        <f t="shared" si="41"/>
        <v>0</v>
      </c>
      <c r="AL224" s="41">
        <f t="shared" si="42"/>
        <v>0</v>
      </c>
      <c r="AM224" s="41">
        <f t="shared" si="43"/>
        <v>0</v>
      </c>
      <c r="AN224" s="41">
        <f t="shared" si="44"/>
        <v>0</v>
      </c>
      <c r="AO224" s="41">
        <f t="shared" si="45"/>
        <v>0</v>
      </c>
      <c r="AP224" s="41">
        <f t="shared" si="46"/>
        <v>0</v>
      </c>
      <c r="AQ224" s="41">
        <f t="shared" si="47"/>
        <v>0</v>
      </c>
      <c r="AR224" s="41">
        <f t="shared" si="48"/>
        <v>0</v>
      </c>
      <c r="AS224" s="41">
        <f t="shared" si="49"/>
        <v>0</v>
      </c>
      <c r="AT224" s="41">
        <f t="shared" si="50"/>
        <v>0</v>
      </c>
      <c r="AU224" s="41">
        <f t="shared" si="51"/>
        <v>0</v>
      </c>
      <c r="AV224" s="41">
        <f t="shared" si="52"/>
        <v>0</v>
      </c>
      <c r="AW224" s="41">
        <f t="shared" si="52"/>
        <v>0</v>
      </c>
      <c r="AX224" s="41">
        <f t="shared" si="52"/>
        <v>0</v>
      </c>
    </row>
    <row r="225" spans="1:50" ht="11.25" x14ac:dyDescent="0.2">
      <c r="A225" s="34">
        <v>687</v>
      </c>
      <c r="B225" s="88" t="s">
        <v>539</v>
      </c>
      <c r="C225" s="65">
        <v>4973</v>
      </c>
      <c r="D225" s="65">
        <v>4685</v>
      </c>
      <c r="E225" s="65">
        <v>5470</v>
      </c>
      <c r="F225" s="65">
        <v>5948</v>
      </c>
      <c r="G225" s="41">
        <v>5590</v>
      </c>
      <c r="H225" s="41">
        <v>7229</v>
      </c>
      <c r="I225" s="41">
        <v>8574.0720099999999</v>
      </c>
      <c r="J225" s="41">
        <f>I225+'Tilikauden tulos'!J225+'9. Tulorahkorjauserät'!J225</f>
        <v>9714.3499238176246</v>
      </c>
      <c r="K225" s="41">
        <f>J225+'Tilikauden tulos'!K225+'9. Tulorahkorjauserät'!K225</f>
        <v>9892.3939231069471</v>
      </c>
      <c r="L225" s="41">
        <f>K225+'Tilikauden tulos'!L225+'9. Tulorahkorjauserät'!L225</f>
        <v>10050.430257692356</v>
      </c>
      <c r="M225" s="41">
        <f>L225+'Tilikauden tulos'!M225+'9. Tulorahkorjauserät'!M225</f>
        <v>10144.54018818769</v>
      </c>
      <c r="N225" s="41">
        <f>M225+'Tilikauden tulos'!N225+'9. Tulorahkorjauserät'!N225</f>
        <v>10165.205367600582</v>
      </c>
      <c r="O225" s="41">
        <f>N225+'Tilikauden tulos'!O225+'9. Tulorahkorjauserät'!O225</f>
        <v>10147.189563291668</v>
      </c>
      <c r="P225" s="41">
        <f>O225+'Tilikauden tulos'!P225+'9. Tulorahkorjauserät'!P225</f>
        <v>10301.912570367531</v>
      </c>
      <c r="T225" s="34">
        <v>687</v>
      </c>
      <c r="U225" s="88" t="s">
        <v>539</v>
      </c>
      <c r="V225" s="41">
        <f>C225/'1. Väestöennuste'!E225*1000</f>
        <v>2862.9821531375933</v>
      </c>
      <c r="W225" s="41">
        <f>D225/'1. Väestöennuste'!F225*1000</f>
        <v>2719.094602437609</v>
      </c>
      <c r="X225" s="41">
        <f>E225/'1. Väestöennuste'!G225*1000</f>
        <v>3221.4369846878681</v>
      </c>
      <c r="Y225" s="41">
        <f>F225/'1. Väestöennuste'!H225*1000</f>
        <v>3602.6650514839489</v>
      </c>
      <c r="Z225" s="41">
        <f>G225/'1. Väestöennuste'!I225*1000</f>
        <v>3489.3882646691636</v>
      </c>
      <c r="AA225" s="41">
        <f>H225/'1. Väestöennuste'!J225*1000</f>
        <v>4631.0057655349137</v>
      </c>
      <c r="AB225" s="41">
        <f>I225/'1. Väestöennuste'!K225*1000</f>
        <v>5666.9345736946461</v>
      </c>
      <c r="AC225" s="41">
        <f>J225/'1. Väestöennuste'!L225*1000</f>
        <v>6577.0818712373894</v>
      </c>
      <c r="AD225" s="41">
        <f>K225/'1. Väestöennuste'!M225*1000</f>
        <v>6946.9058448784735</v>
      </c>
      <c r="AE225" s="41">
        <f>L225/'1. Väestöennuste'!N225*1000</f>
        <v>7003.7841517019906</v>
      </c>
      <c r="AF225" s="41">
        <f>M225/'1. Väestöennuste'!O225*1000</f>
        <v>7204.9291109287569</v>
      </c>
      <c r="AG225" s="41">
        <f>N225/'1. Väestöennuste'!P225*1000</f>
        <v>7360.756964229241</v>
      </c>
      <c r="AH225" s="41">
        <f>O225/'1. Väestöennuste'!Q225*1000</f>
        <v>7488.700784717098</v>
      </c>
      <c r="AI225" s="41">
        <f>P225/'1. Väestöennuste'!R225*1000</f>
        <v>7739.9793917111429</v>
      </c>
      <c r="AK225" s="41">
        <f t="shared" si="41"/>
        <v>0</v>
      </c>
      <c r="AL225" s="41">
        <f t="shared" si="42"/>
        <v>0</v>
      </c>
      <c r="AM225" s="41">
        <f t="shared" si="43"/>
        <v>0</v>
      </c>
      <c r="AN225" s="41">
        <f t="shared" si="44"/>
        <v>0</v>
      </c>
      <c r="AO225" s="41">
        <f t="shared" si="45"/>
        <v>0</v>
      </c>
      <c r="AP225" s="41">
        <f t="shared" si="46"/>
        <v>0</v>
      </c>
      <c r="AQ225" s="41">
        <f t="shared" si="47"/>
        <v>0</v>
      </c>
      <c r="AR225" s="41">
        <f t="shared" si="48"/>
        <v>0</v>
      </c>
      <c r="AS225" s="41">
        <f t="shared" si="49"/>
        <v>0</v>
      </c>
      <c r="AT225" s="41">
        <f t="shared" si="50"/>
        <v>0</v>
      </c>
      <c r="AU225" s="41">
        <f t="shared" si="51"/>
        <v>0</v>
      </c>
      <c r="AV225" s="41">
        <f t="shared" si="52"/>
        <v>0</v>
      </c>
      <c r="AW225" s="41">
        <f t="shared" si="52"/>
        <v>0</v>
      </c>
      <c r="AX225" s="41">
        <f t="shared" si="52"/>
        <v>0</v>
      </c>
    </row>
    <row r="226" spans="1:50" ht="11.25" x14ac:dyDescent="0.2">
      <c r="A226" s="34">
        <v>689</v>
      </c>
      <c r="B226" s="88" t="s">
        <v>540</v>
      </c>
      <c r="C226" s="65">
        <v>6836</v>
      </c>
      <c r="D226" s="65">
        <v>8894</v>
      </c>
      <c r="E226" s="65">
        <v>9562</v>
      </c>
      <c r="F226" s="65">
        <v>9571</v>
      </c>
      <c r="G226" s="41">
        <v>8971</v>
      </c>
      <c r="H226" s="41">
        <v>7396</v>
      </c>
      <c r="I226" s="41">
        <v>8633.2219400000013</v>
      </c>
      <c r="J226" s="41">
        <f>I226+'Tilikauden tulos'!J226+'9. Tulorahkorjauserät'!J226</f>
        <v>8713.827672349682</v>
      </c>
      <c r="K226" s="41">
        <f>J226+'Tilikauden tulos'!K226+'9. Tulorahkorjauserät'!K226</f>
        <v>10748.500935825601</v>
      </c>
      <c r="L226" s="41">
        <f>K226+'Tilikauden tulos'!L226+'9. Tulorahkorjauserät'!L226</f>
        <v>10140.499426311508</v>
      </c>
      <c r="M226" s="41">
        <f>L226+'Tilikauden tulos'!M226+'9. Tulorahkorjauserät'!M226</f>
        <v>9094.9458382430184</v>
      </c>
      <c r="N226" s="41">
        <f>M226+'Tilikauden tulos'!N226+'9. Tulorahkorjauserät'!N226</f>
        <v>8506.9761000392573</v>
      </c>
      <c r="O226" s="41">
        <f>N226+'Tilikauden tulos'!O226+'9. Tulorahkorjauserät'!O226</f>
        <v>7536.0732963745522</v>
      </c>
      <c r="P226" s="41">
        <f>O226+'Tilikauden tulos'!P226+'9. Tulorahkorjauserät'!P226</f>
        <v>7006.2988582887301</v>
      </c>
      <c r="T226" s="34">
        <v>689</v>
      </c>
      <c r="U226" s="88" t="s">
        <v>540</v>
      </c>
      <c r="V226" s="41">
        <f>C226/'1. Väestöennuste'!E226*1000</f>
        <v>1932.7113372914898</v>
      </c>
      <c r="W226" s="41">
        <f>D226/'1. Väestöennuste'!F226*1000</f>
        <v>2560.8983587676357</v>
      </c>
      <c r="X226" s="41">
        <f>E226/'1. Väestöennuste'!G226*1000</f>
        <v>2782.8870779976714</v>
      </c>
      <c r="Y226" s="41">
        <f>F226/'1. Väestöennuste'!H226*1000</f>
        <v>2869.8650674662667</v>
      </c>
      <c r="Z226" s="41">
        <f>G226/'1. Väestöennuste'!I226*1000</f>
        <v>2780.8431494110355</v>
      </c>
      <c r="AA226" s="41">
        <f>H226/'1. Väestöennuste'!J226*1000</f>
        <v>2350.9218054672601</v>
      </c>
      <c r="AB226" s="41">
        <f>I226/'1. Väestöennuste'!K226*1000</f>
        <v>2792.1157632600261</v>
      </c>
      <c r="AC226" s="41">
        <f>J226/'1. Väestöennuste'!L226*1000</f>
        <v>2817.2737382313876</v>
      </c>
      <c r="AD226" s="41">
        <f>K226/'1. Väestöennuste'!M226*1000</f>
        <v>3545.0200975678104</v>
      </c>
      <c r="AE226" s="41">
        <f>L226/'1. Väestöennuste'!N226*1000</f>
        <v>3546.8693341418357</v>
      </c>
      <c r="AF226" s="41">
        <f>M226/'1. Väestöennuste'!O226*1000</f>
        <v>3249.3554263104743</v>
      </c>
      <c r="AG226" s="41">
        <f>N226/'1. Väestöennuste'!P226*1000</f>
        <v>3102.4712253972493</v>
      </c>
      <c r="AH226" s="41">
        <f>O226/'1. Väestöennuste'!Q226*1000</f>
        <v>2802.5560789790079</v>
      </c>
      <c r="AI226" s="41">
        <f>P226/'1. Väestöennuste'!R226*1000</f>
        <v>2654.9067291734482</v>
      </c>
      <c r="AK226" s="41">
        <f t="shared" si="41"/>
        <v>0</v>
      </c>
      <c r="AL226" s="41">
        <f t="shared" si="42"/>
        <v>0</v>
      </c>
      <c r="AM226" s="41">
        <f t="shared" si="43"/>
        <v>0</v>
      </c>
      <c r="AN226" s="41">
        <f t="shared" si="44"/>
        <v>0</v>
      </c>
      <c r="AO226" s="41">
        <f t="shared" si="45"/>
        <v>0</v>
      </c>
      <c r="AP226" s="41">
        <f t="shared" si="46"/>
        <v>0</v>
      </c>
      <c r="AQ226" s="41">
        <f t="shared" si="47"/>
        <v>0</v>
      </c>
      <c r="AR226" s="41">
        <f t="shared" si="48"/>
        <v>0</v>
      </c>
      <c r="AS226" s="41">
        <f t="shared" si="49"/>
        <v>0</v>
      </c>
      <c r="AT226" s="41">
        <f t="shared" si="50"/>
        <v>0</v>
      </c>
      <c r="AU226" s="41">
        <f t="shared" si="51"/>
        <v>0</v>
      </c>
      <c r="AV226" s="41">
        <f t="shared" si="52"/>
        <v>0</v>
      </c>
      <c r="AW226" s="41">
        <f t="shared" si="52"/>
        <v>0</v>
      </c>
      <c r="AX226" s="41">
        <f t="shared" si="52"/>
        <v>0</v>
      </c>
    </row>
    <row r="227" spans="1:50" ht="11.25" x14ac:dyDescent="0.2">
      <c r="A227" s="34">
        <v>691</v>
      </c>
      <c r="B227" s="88" t="s">
        <v>541</v>
      </c>
      <c r="C227" s="65">
        <v>2651</v>
      </c>
      <c r="D227" s="65">
        <v>1257</v>
      </c>
      <c r="E227" s="65">
        <v>718</v>
      </c>
      <c r="F227" s="65">
        <v>-1129</v>
      </c>
      <c r="G227" s="41">
        <v>-1746</v>
      </c>
      <c r="H227" s="41">
        <v>-597</v>
      </c>
      <c r="I227" s="41">
        <v>468.23222999999996</v>
      </c>
      <c r="J227" s="41">
        <f>I227+'Tilikauden tulos'!J227+'9. Tulorahkorjauserät'!J227</f>
        <v>948.20286100989586</v>
      </c>
      <c r="K227" s="41">
        <f>J227+'Tilikauden tulos'!K227+'9. Tulorahkorjauserät'!K227</f>
        <v>1182.6055365426407</v>
      </c>
      <c r="L227" s="41">
        <f>K227+'Tilikauden tulos'!L227+'9. Tulorahkorjauserät'!L227</f>
        <v>1765.0552083922373</v>
      </c>
      <c r="M227" s="41">
        <f>L227+'Tilikauden tulos'!M227+'9. Tulorahkorjauserät'!M227</f>
        <v>1161.0444580694532</v>
      </c>
      <c r="N227" s="41">
        <f>M227+'Tilikauden tulos'!N227+'9. Tulorahkorjauserät'!N227</f>
        <v>714.66479140290085</v>
      </c>
      <c r="O227" s="41">
        <f>N227+'Tilikauden tulos'!O227+'9. Tulorahkorjauserät'!O227</f>
        <v>107.06634793974763</v>
      </c>
      <c r="P227" s="41">
        <f>O227+'Tilikauden tulos'!P227+'9. Tulorahkorjauserät'!P227</f>
        <v>-265.17478748355552</v>
      </c>
      <c r="T227" s="34">
        <v>691</v>
      </c>
      <c r="U227" s="88" t="s">
        <v>541</v>
      </c>
      <c r="V227" s="41">
        <f>C227/'1. Väestöennuste'!E227*1000</f>
        <v>916.03317208016585</v>
      </c>
      <c r="W227" s="41">
        <f>D227/'1. Väestöennuste'!F227*1000</f>
        <v>440.43447792571828</v>
      </c>
      <c r="X227" s="41">
        <f>E227/'1. Väestöennuste'!G227*1000</f>
        <v>255.24351226448633</v>
      </c>
      <c r="Y227" s="41">
        <f>F227/'1. Väestöennuste'!H227*1000</f>
        <v>-411.59314619030255</v>
      </c>
      <c r="Z227" s="41">
        <f>G227/'1. Väestöennuste'!I227*1000</f>
        <v>-642.38410596026483</v>
      </c>
      <c r="AA227" s="41">
        <f>H227/'1. Väestöennuste'!J227*1000</f>
        <v>-220.29520295202954</v>
      </c>
      <c r="AB227" s="41">
        <f>I227/'1. Väestöennuste'!K227*1000</f>
        <v>174.0640260223048</v>
      </c>
      <c r="AC227" s="41">
        <f>J227/'1. Väestöennuste'!L227*1000</f>
        <v>359.71276973061299</v>
      </c>
      <c r="AD227" s="41">
        <f>K227/'1. Väestöennuste'!M227*1000</f>
        <v>455.19843592865311</v>
      </c>
      <c r="AE227" s="41">
        <f>L227/'1. Väestöennuste'!N227*1000</f>
        <v>684.66067043919213</v>
      </c>
      <c r="AF227" s="41">
        <f>M227/'1. Väestöennuste'!O227*1000</f>
        <v>456.02688847975384</v>
      </c>
      <c r="AG227" s="41">
        <f>N227/'1. Väestöennuste'!P227*1000</f>
        <v>284.16095085602421</v>
      </c>
      <c r="AH227" s="41">
        <f>O227/'1. Väestöennuste'!Q227*1000</f>
        <v>43.067718398933081</v>
      </c>
      <c r="AI227" s="41">
        <f>P227/'1. Väestöennuste'!R227*1000</f>
        <v>-108.01417005440143</v>
      </c>
      <c r="AK227" s="41">
        <f t="shared" si="41"/>
        <v>0</v>
      </c>
      <c r="AL227" s="41">
        <f t="shared" si="42"/>
        <v>0</v>
      </c>
      <c r="AM227" s="41">
        <f t="shared" si="43"/>
        <v>0</v>
      </c>
      <c r="AN227" s="41">
        <f t="shared" si="44"/>
        <v>-1</v>
      </c>
      <c r="AO227" s="41">
        <f t="shared" si="45"/>
        <v>-1</v>
      </c>
      <c r="AP227" s="41">
        <f t="shared" si="46"/>
        <v>-1</v>
      </c>
      <c r="AQ227" s="41">
        <f t="shared" si="47"/>
        <v>0</v>
      </c>
      <c r="AR227" s="41">
        <f t="shared" si="48"/>
        <v>0</v>
      </c>
      <c r="AS227" s="41">
        <f t="shared" si="49"/>
        <v>0</v>
      </c>
      <c r="AT227" s="41">
        <f t="shared" si="50"/>
        <v>0</v>
      </c>
      <c r="AU227" s="41">
        <f t="shared" si="51"/>
        <v>0</v>
      </c>
      <c r="AV227" s="41">
        <f t="shared" si="52"/>
        <v>0</v>
      </c>
      <c r="AW227" s="41">
        <f t="shared" si="52"/>
        <v>0</v>
      </c>
      <c r="AX227" s="41">
        <f t="shared" si="52"/>
        <v>-1</v>
      </c>
    </row>
    <row r="228" spans="1:50" ht="11.25" x14ac:dyDescent="0.2">
      <c r="A228" s="34">
        <v>694</v>
      </c>
      <c r="B228" s="88" t="s">
        <v>542</v>
      </c>
      <c r="C228" s="65">
        <v>16869</v>
      </c>
      <c r="D228" s="65">
        <v>15928</v>
      </c>
      <c r="E228" s="65">
        <v>20964</v>
      </c>
      <c r="F228" s="65">
        <v>20339</v>
      </c>
      <c r="G228" s="41">
        <v>80076</v>
      </c>
      <c r="H228" s="41">
        <v>94442</v>
      </c>
      <c r="I228" s="41">
        <v>104061.60740000001</v>
      </c>
      <c r="J228" s="41">
        <f>I228+'Tilikauden tulos'!J228+'9. Tulorahkorjauserät'!J228</f>
        <v>108607.71654265933</v>
      </c>
      <c r="K228" s="41">
        <f>J228+'Tilikauden tulos'!K228+'9. Tulorahkorjauserät'!K228</f>
        <v>120990.60252162044</v>
      </c>
      <c r="L228" s="41">
        <f>K228+'Tilikauden tulos'!L228+'9. Tulorahkorjauserät'!L228</f>
        <v>126180.33762841609</v>
      </c>
      <c r="M228" s="41">
        <f>L228+'Tilikauden tulos'!M228+'9. Tulorahkorjauserät'!M228</f>
        <v>129333.39924792963</v>
      </c>
      <c r="N228" s="41">
        <f>M228+'Tilikauden tulos'!N228+'9. Tulorahkorjauserät'!N228</f>
        <v>132173.07159987037</v>
      </c>
      <c r="O228" s="41">
        <f>N228+'Tilikauden tulos'!O228+'9. Tulorahkorjauserät'!O228</f>
        <v>135540.28672006624</v>
      </c>
      <c r="P228" s="41">
        <f>O228+'Tilikauden tulos'!P228+'9. Tulorahkorjauserät'!P228</f>
        <v>140123.57622061469</v>
      </c>
      <c r="T228" s="34">
        <v>694</v>
      </c>
      <c r="U228" s="88" t="s">
        <v>542</v>
      </c>
      <c r="V228" s="41">
        <f>C228/'1. Väestöennuste'!E228*1000</f>
        <v>576.3435716970173</v>
      </c>
      <c r="W228" s="41">
        <f>D228/'1. Väestöennuste'!F228*1000</f>
        <v>546.22770919067216</v>
      </c>
      <c r="X228" s="41">
        <f>E228/'1. Väestöennuste'!G228*1000</f>
        <v>722.3734537059371</v>
      </c>
      <c r="Y228" s="41">
        <f>F228/'1. Väestöennuste'!H228*1000</f>
        <v>707.788140311804</v>
      </c>
      <c r="Z228" s="41">
        <f>G228/'1. Väestöennuste'!I228*1000</f>
        <v>2781.0926266800961</v>
      </c>
      <c r="AA228" s="41">
        <f>H228/'1. Väestöennuste'!J228*1000</f>
        <v>3289.5158481365374</v>
      </c>
      <c r="AB228" s="41">
        <f>I228/'1. Väestöennuste'!K228*1000</f>
        <v>3648.5960309947059</v>
      </c>
      <c r="AC228" s="41">
        <f>J228/'1. Väestöennuste'!L228*1000</f>
        <v>3831.0951547729842</v>
      </c>
      <c r="AD228" s="41">
        <f>K228/'1. Väestöennuste'!M228*1000</f>
        <v>4247.818085230504</v>
      </c>
      <c r="AE228" s="41">
        <f>L228/'1. Väestöennuste'!N228*1000</f>
        <v>4459.45706408963</v>
      </c>
      <c r="AF228" s="41">
        <f>M228/'1. Väestöennuste'!O228*1000</f>
        <v>4585.8029021001184</v>
      </c>
      <c r="AG228" s="41">
        <f>N228/'1. Väestöennuste'!P228*1000</f>
        <v>4701.9947207353389</v>
      </c>
      <c r="AH228" s="41">
        <f>O228/'1. Väestöennuste'!Q228*1000</f>
        <v>4837.787297714468</v>
      </c>
      <c r="AI228" s="41">
        <f>P228/'1. Väestöennuste'!R228*1000</f>
        <v>5017.6744331667505</v>
      </c>
      <c r="AK228" s="41">
        <f t="shared" si="41"/>
        <v>0</v>
      </c>
      <c r="AL228" s="41">
        <f t="shared" si="42"/>
        <v>0</v>
      </c>
      <c r="AM228" s="41">
        <f t="shared" si="43"/>
        <v>0</v>
      </c>
      <c r="AN228" s="41">
        <f t="shared" si="44"/>
        <v>0</v>
      </c>
      <c r="AO228" s="41">
        <f t="shared" si="45"/>
        <v>0</v>
      </c>
      <c r="AP228" s="41">
        <f t="shared" si="46"/>
        <v>0</v>
      </c>
      <c r="AQ228" s="41">
        <f t="shared" si="47"/>
        <v>0</v>
      </c>
      <c r="AR228" s="41">
        <f t="shared" si="48"/>
        <v>0</v>
      </c>
      <c r="AS228" s="41">
        <f t="shared" si="49"/>
        <v>0</v>
      </c>
      <c r="AT228" s="41">
        <f t="shared" si="50"/>
        <v>0</v>
      </c>
      <c r="AU228" s="41">
        <f t="shared" si="51"/>
        <v>0</v>
      </c>
      <c r="AV228" s="41">
        <f t="shared" si="52"/>
        <v>0</v>
      </c>
      <c r="AW228" s="41">
        <f t="shared" si="52"/>
        <v>0</v>
      </c>
      <c r="AX228" s="41">
        <f t="shared" si="52"/>
        <v>0</v>
      </c>
    </row>
    <row r="229" spans="1:50" ht="11.25" x14ac:dyDescent="0.2">
      <c r="A229" s="89">
        <v>697</v>
      </c>
      <c r="B229" s="90" t="s">
        <v>543</v>
      </c>
      <c r="C229" s="65">
        <v>1939</v>
      </c>
      <c r="D229" s="65">
        <v>1911</v>
      </c>
      <c r="E229" s="65">
        <v>1862</v>
      </c>
      <c r="F229" s="65">
        <v>1315</v>
      </c>
      <c r="G229" s="41">
        <v>1273</v>
      </c>
      <c r="H229" s="41">
        <v>1190</v>
      </c>
      <c r="I229" s="41">
        <v>1226.81124</v>
      </c>
      <c r="J229" s="41">
        <f>I229+'Tilikauden tulos'!J229+'9. Tulorahkorjauserät'!J229</f>
        <v>1299.2848385991313</v>
      </c>
      <c r="K229" s="41">
        <f>J229+'Tilikauden tulos'!K229+'9. Tulorahkorjauserät'!K229</f>
        <v>1198.5480384181544</v>
      </c>
      <c r="L229" s="41">
        <f>K229+'Tilikauden tulos'!L229+'9. Tulorahkorjauserät'!L229</f>
        <v>939.34187597877099</v>
      </c>
      <c r="M229" s="41">
        <f>L229+'Tilikauden tulos'!M229+'9. Tulorahkorjauserät'!M229</f>
        <v>466.330184851838</v>
      </c>
      <c r="N229" s="41">
        <f>M229+'Tilikauden tulos'!N229+'9. Tulorahkorjauserät'!N229</f>
        <v>-6.15032242086113</v>
      </c>
      <c r="O229" s="41">
        <f>N229+'Tilikauden tulos'!O229+'9. Tulorahkorjauserät'!O229</f>
        <v>-541.60497527905625</v>
      </c>
      <c r="P229" s="41">
        <f>O229+'Tilikauden tulos'!P229+'9. Tulorahkorjauserät'!P229</f>
        <v>-949.01312749912927</v>
      </c>
      <c r="T229" s="89">
        <v>697</v>
      </c>
      <c r="U229" s="90" t="s">
        <v>543</v>
      </c>
      <c r="V229" s="41">
        <f>C229/'1. Väestöennuste'!E229*1000</f>
        <v>1435.2331606217617</v>
      </c>
      <c r="W229" s="41">
        <f>D229/'1. Väestöennuste'!F229*1000</f>
        <v>1420.817843866171</v>
      </c>
      <c r="X229" s="41">
        <f>E229/'1. Väestöennuste'!G229*1000</f>
        <v>1413.8192862566439</v>
      </c>
      <c r="Y229" s="41">
        <f>F229/'1. Väestöennuste'!H229*1000</f>
        <v>1020.9627329192548</v>
      </c>
      <c r="Z229" s="41">
        <f>G229/'1. Väestöennuste'!I229*1000</f>
        <v>1000.7861635220125</v>
      </c>
      <c r="AA229" s="41">
        <f>H229/'1. Väestöennuste'!J229*1000</f>
        <v>963.56275303643724</v>
      </c>
      <c r="AB229" s="41">
        <f>I229/'1. Väestöennuste'!K229*1000</f>
        <v>1013.8935867768595</v>
      </c>
      <c r="AC229" s="41">
        <f>J229/'1. Väestöennuste'!L229*1000</f>
        <v>1106.7162168646773</v>
      </c>
      <c r="AD229" s="41">
        <f>K229/'1. Väestöennuste'!M229*1000</f>
        <v>1029.6804453764212</v>
      </c>
      <c r="AE229" s="41">
        <f>L229/'1. Väestöennuste'!N229*1000</f>
        <v>800.12084836351869</v>
      </c>
      <c r="AF229" s="41">
        <f>M229/'1. Väestöennuste'!O229*1000</f>
        <v>399.94012422970673</v>
      </c>
      <c r="AG229" s="41">
        <f>N229/'1. Väestöennuste'!P229*1000</f>
        <v>-5.3203481149317735</v>
      </c>
      <c r="AH229" s="41">
        <f>O229/'1. Väestöennuste'!Q229*1000</f>
        <v>-473.01744565856438</v>
      </c>
      <c r="AI229" s="41">
        <f>P229/'1. Väestöennuste'!R229*1000</f>
        <v>-834.66414028067663</v>
      </c>
      <c r="AK229" s="41">
        <f t="shared" si="41"/>
        <v>0</v>
      </c>
      <c r="AL229" s="41">
        <f t="shared" si="42"/>
        <v>0</v>
      </c>
      <c r="AM229" s="41">
        <f t="shared" si="43"/>
        <v>0</v>
      </c>
      <c r="AN229" s="41">
        <f t="shared" si="44"/>
        <v>0</v>
      </c>
      <c r="AO229" s="41">
        <f t="shared" si="45"/>
        <v>0</v>
      </c>
      <c r="AP229" s="41">
        <f t="shared" si="46"/>
        <v>0</v>
      </c>
      <c r="AQ229" s="41">
        <f t="shared" si="47"/>
        <v>0</v>
      </c>
      <c r="AR229" s="41">
        <f t="shared" si="48"/>
        <v>0</v>
      </c>
      <c r="AS229" s="41">
        <f t="shared" si="49"/>
        <v>0</v>
      </c>
      <c r="AT229" s="41">
        <f t="shared" si="50"/>
        <v>0</v>
      </c>
      <c r="AU229" s="41">
        <f t="shared" si="51"/>
        <v>0</v>
      </c>
      <c r="AV229" s="41">
        <f t="shared" si="52"/>
        <v>-1</v>
      </c>
      <c r="AW229" s="41">
        <f t="shared" si="52"/>
        <v>-1</v>
      </c>
      <c r="AX229" s="41">
        <f t="shared" si="52"/>
        <v>-1</v>
      </c>
    </row>
    <row r="230" spans="1:50" ht="11.25" x14ac:dyDescent="0.2">
      <c r="A230" s="34">
        <v>698</v>
      </c>
      <c r="B230" s="88" t="s">
        <v>544</v>
      </c>
      <c r="C230" s="65">
        <v>65529</v>
      </c>
      <c r="D230" s="65">
        <v>65653</v>
      </c>
      <c r="E230" s="65">
        <v>67308</v>
      </c>
      <c r="F230" s="65">
        <v>45168</v>
      </c>
      <c r="G230" s="41">
        <v>13921</v>
      </c>
      <c r="H230" s="41">
        <v>26195</v>
      </c>
      <c r="I230" s="41">
        <v>38871.239129999994</v>
      </c>
      <c r="J230" s="41">
        <f>I230+'Tilikauden tulos'!J230+'9. Tulorahkorjauserät'!J230</f>
        <v>33970.599431409348</v>
      </c>
      <c r="K230" s="41">
        <f>J230+'Tilikauden tulos'!K230+'9. Tulorahkorjauserät'!K230</f>
        <v>53804.940203903891</v>
      </c>
      <c r="L230" s="41">
        <f>K230+'Tilikauden tulos'!L230+'9. Tulorahkorjauserät'!L230</f>
        <v>55897.641267470332</v>
      </c>
      <c r="M230" s="41">
        <f>L230+'Tilikauden tulos'!M230+'9. Tulorahkorjauserät'!M230</f>
        <v>47811.054550497443</v>
      </c>
      <c r="N230" s="41">
        <f>M230+'Tilikauden tulos'!N230+'9. Tulorahkorjauserät'!N230</f>
        <v>39837.748605049885</v>
      </c>
      <c r="O230" s="41">
        <f>N230+'Tilikauden tulos'!O230+'9. Tulorahkorjauserät'!O230</f>
        <v>32590.645706917101</v>
      </c>
      <c r="P230" s="41">
        <f>O230+'Tilikauden tulos'!P230+'9. Tulorahkorjauserät'!P230</f>
        <v>29131.961682417204</v>
      </c>
      <c r="T230" s="34">
        <v>698</v>
      </c>
      <c r="U230" s="88" t="s">
        <v>544</v>
      </c>
      <c r="V230" s="41">
        <f>C230/'1. Väestöennuste'!E230*1000</f>
        <v>1059.688217600828</v>
      </c>
      <c r="W230" s="41">
        <f>D230/'1. Väestöennuste'!F230*1000</f>
        <v>1054.9886712410212</v>
      </c>
      <c r="X230" s="41">
        <f>E230/'1. Väestöennuste'!G230*1000</f>
        <v>1078.3082345402115</v>
      </c>
      <c r="Y230" s="41">
        <f>F230/'1. Väestöennuste'!H230*1000</f>
        <v>717.8411366453704</v>
      </c>
      <c r="Z230" s="41">
        <f>G230/'1. Väestöennuste'!I230*1000</f>
        <v>220.82103994162622</v>
      </c>
      <c r="AA230" s="41">
        <f>H230/'1. Väestöennuste'!J230*1000</f>
        <v>412.33786676740965</v>
      </c>
      <c r="AB230" s="41">
        <f>I230/'1. Väestöennuste'!K230*1000</f>
        <v>605.65969351822991</v>
      </c>
      <c r="AC230" s="41">
        <f>J230/'1. Väestöennuste'!L230*1000</f>
        <v>526.39032201765463</v>
      </c>
      <c r="AD230" s="41">
        <f>K230/'1. Väestöennuste'!M230*1000</f>
        <v>824.14208565241995</v>
      </c>
      <c r="AE230" s="41">
        <f>L230/'1. Väestöennuste'!N230*1000</f>
        <v>860.58598167090565</v>
      </c>
      <c r="AF230" s="41">
        <f>M230/'1. Väestöennuste'!O230*1000</f>
        <v>732.70278072268627</v>
      </c>
      <c r="AG230" s="41">
        <f>N230/'1. Väestöennuste'!P230*1000</f>
        <v>607.8572523581721</v>
      </c>
      <c r="AH230" s="41">
        <f>O230/'1. Väestöennuste'!Q230*1000</f>
        <v>495.28351276430959</v>
      </c>
      <c r="AI230" s="41">
        <f>P230/'1. Väestöennuste'!R230*1000</f>
        <v>441.09929262941682</v>
      </c>
      <c r="AK230" s="41">
        <f t="shared" si="41"/>
        <v>0</v>
      </c>
      <c r="AL230" s="41">
        <f t="shared" si="42"/>
        <v>0</v>
      </c>
      <c r="AM230" s="41">
        <f t="shared" si="43"/>
        <v>0</v>
      </c>
      <c r="AN230" s="41">
        <f t="shared" si="44"/>
        <v>0</v>
      </c>
      <c r="AO230" s="41">
        <f t="shared" si="45"/>
        <v>0</v>
      </c>
      <c r="AP230" s="41">
        <f t="shared" si="46"/>
        <v>0</v>
      </c>
      <c r="AQ230" s="41">
        <f t="shared" si="47"/>
        <v>0</v>
      </c>
      <c r="AR230" s="41">
        <f t="shared" si="48"/>
        <v>0</v>
      </c>
      <c r="AS230" s="41">
        <f t="shared" si="49"/>
        <v>0</v>
      </c>
      <c r="AT230" s="41">
        <f t="shared" si="50"/>
        <v>0</v>
      </c>
      <c r="AU230" s="41">
        <f t="shared" si="51"/>
        <v>0</v>
      </c>
      <c r="AV230" s="41">
        <f t="shared" si="52"/>
        <v>0</v>
      </c>
      <c r="AW230" s="41">
        <f t="shared" si="52"/>
        <v>0</v>
      </c>
      <c r="AX230" s="41">
        <f t="shared" si="52"/>
        <v>0</v>
      </c>
    </row>
    <row r="231" spans="1:50" ht="11.25" x14ac:dyDescent="0.2">
      <c r="A231" s="34">
        <v>700</v>
      </c>
      <c r="B231" s="88" t="s">
        <v>545</v>
      </c>
      <c r="C231" s="65">
        <v>5117</v>
      </c>
      <c r="D231" s="65">
        <v>6236</v>
      </c>
      <c r="E231" s="65">
        <v>7325</v>
      </c>
      <c r="F231" s="65">
        <v>7620</v>
      </c>
      <c r="G231" s="41">
        <v>8497</v>
      </c>
      <c r="H231" s="41">
        <v>10612</v>
      </c>
      <c r="I231" s="41">
        <v>12163.079379999999</v>
      </c>
      <c r="J231" s="41">
        <f>I231+'Tilikauden tulos'!J231+'9. Tulorahkorjauserät'!J231</f>
        <v>11631.520568735239</v>
      </c>
      <c r="K231" s="41">
        <f>J231+'Tilikauden tulos'!K231+'9. Tulorahkorjauserät'!K231</f>
        <v>10042.652819220137</v>
      </c>
      <c r="L231" s="41">
        <f>K231+'Tilikauden tulos'!L231+'9. Tulorahkorjauserät'!L231</f>
        <v>10257.17601456599</v>
      </c>
      <c r="M231" s="41">
        <f>L231+'Tilikauden tulos'!M231+'9. Tulorahkorjauserät'!M231</f>
        <v>9811.6146794290653</v>
      </c>
      <c r="N231" s="41">
        <f>M231+'Tilikauden tulos'!N231+'9. Tulorahkorjauserät'!N231</f>
        <v>8786.9971484085509</v>
      </c>
      <c r="O231" s="41">
        <f>N231+'Tilikauden tulos'!O231+'9. Tulorahkorjauserät'!O231</f>
        <v>7383.8794528194567</v>
      </c>
      <c r="P231" s="41">
        <f>O231+'Tilikauden tulos'!P231+'9. Tulorahkorjauserät'!P231</f>
        <v>6313.0077476783299</v>
      </c>
      <c r="T231" s="34">
        <v>700</v>
      </c>
      <c r="U231" s="88" t="s">
        <v>545</v>
      </c>
      <c r="V231" s="41">
        <f>C231/'1. Väestöennuste'!E231*1000</f>
        <v>963.29066265060237</v>
      </c>
      <c r="W231" s="41">
        <f>D231/'1. Väestöennuste'!F231*1000</f>
        <v>1188.9418493803623</v>
      </c>
      <c r="X231" s="41">
        <f>E231/'1. Väestöennuste'!G231*1000</f>
        <v>1403.7945573016482</v>
      </c>
      <c r="Y231" s="41">
        <f>F231/'1. Väestöennuste'!H231*1000</f>
        <v>1494.4106687585802</v>
      </c>
      <c r="Z231" s="41">
        <f>G231/'1. Väestöennuste'!I231*1000</f>
        <v>1701.4417300760913</v>
      </c>
      <c r="AA231" s="41">
        <f>H231/'1. Väestöennuste'!J231*1000</f>
        <v>2156.0341324664769</v>
      </c>
      <c r="AB231" s="41">
        <f>I231/'1. Väestöennuste'!K231*1000</f>
        <v>2475.6929330348053</v>
      </c>
      <c r="AC231" s="41">
        <f>J231/'1. Väestöennuste'!L231*1000</f>
        <v>2402.2140786318128</v>
      </c>
      <c r="AD231" s="41">
        <f>K231/'1. Väestöennuste'!M231*1000</f>
        <v>2110.6878560782129</v>
      </c>
      <c r="AE231" s="41">
        <f>L231/'1. Väestöennuste'!N231*1000</f>
        <v>2211.5515339728308</v>
      </c>
      <c r="AF231" s="41">
        <f>M231/'1. Väestöennuste'!O231*1000</f>
        <v>2145.0841013181166</v>
      </c>
      <c r="AG231" s="41">
        <f>N231/'1. Väestöennuste'!P231*1000</f>
        <v>1947.4727722536682</v>
      </c>
      <c r="AH231" s="41">
        <f>O231/'1. Väestöennuste'!Q231*1000</f>
        <v>1658.9259610917675</v>
      </c>
      <c r="AI231" s="41">
        <f>P231/'1. Väestöennuste'!R231*1000</f>
        <v>1438.3704141440717</v>
      </c>
      <c r="AK231" s="41">
        <f t="shared" si="41"/>
        <v>0</v>
      </c>
      <c r="AL231" s="41">
        <f t="shared" si="42"/>
        <v>0</v>
      </c>
      <c r="AM231" s="41">
        <f t="shared" si="43"/>
        <v>0</v>
      </c>
      <c r="AN231" s="41">
        <f t="shared" si="44"/>
        <v>0</v>
      </c>
      <c r="AO231" s="41">
        <f t="shared" si="45"/>
        <v>0</v>
      </c>
      <c r="AP231" s="41">
        <f t="shared" si="46"/>
        <v>0</v>
      </c>
      <c r="AQ231" s="41">
        <f t="shared" si="47"/>
        <v>0</v>
      </c>
      <c r="AR231" s="41">
        <f t="shared" si="48"/>
        <v>0</v>
      </c>
      <c r="AS231" s="41">
        <f t="shared" si="49"/>
        <v>0</v>
      </c>
      <c r="AT231" s="41">
        <f t="shared" si="50"/>
        <v>0</v>
      </c>
      <c r="AU231" s="41">
        <f t="shared" si="51"/>
        <v>0</v>
      </c>
      <c r="AV231" s="41">
        <f t="shared" si="52"/>
        <v>0</v>
      </c>
      <c r="AW231" s="41">
        <f t="shared" si="52"/>
        <v>0</v>
      </c>
      <c r="AX231" s="41">
        <f t="shared" si="52"/>
        <v>0</v>
      </c>
    </row>
    <row r="232" spans="1:50" ht="11.25" x14ac:dyDescent="0.2">
      <c r="A232" s="34">
        <v>702</v>
      </c>
      <c r="B232" s="88" t="s">
        <v>546</v>
      </c>
      <c r="C232" s="65">
        <v>-733</v>
      </c>
      <c r="D232" s="65">
        <v>1190</v>
      </c>
      <c r="E232" s="65">
        <v>2925</v>
      </c>
      <c r="F232" s="65">
        <v>3145</v>
      </c>
      <c r="G232" s="41">
        <v>2348</v>
      </c>
      <c r="H232" s="41">
        <v>4132</v>
      </c>
      <c r="I232" s="41">
        <v>4032.4357800000002</v>
      </c>
      <c r="J232" s="41">
        <f>I232+'Tilikauden tulos'!J232+'9. Tulorahkorjauserät'!J232</f>
        <v>3759.2227395450668</v>
      </c>
      <c r="K232" s="41">
        <f>J232+'Tilikauden tulos'!K232+'9. Tulorahkorjauserät'!K232</f>
        <v>4159.1145738491787</v>
      </c>
      <c r="L232" s="41">
        <f>K232+'Tilikauden tulos'!L232+'9. Tulorahkorjauserät'!L232</f>
        <v>4091.167919382493</v>
      </c>
      <c r="M232" s="41">
        <f>L232+'Tilikauden tulos'!M232+'9. Tulorahkorjauserät'!M232</f>
        <v>3321.2566252528113</v>
      </c>
      <c r="N232" s="41">
        <f>M232+'Tilikauden tulos'!N232+'9. Tulorahkorjauserät'!N232</f>
        <v>2241.9817017933146</v>
      </c>
      <c r="O232" s="41">
        <f>N232+'Tilikauden tulos'!O232+'9. Tulorahkorjauserät'!O232</f>
        <v>743.82438184841317</v>
      </c>
      <c r="P232" s="41">
        <f>O232+'Tilikauden tulos'!P232+'9. Tulorahkorjauserät'!P232</f>
        <v>-386.80299800896751</v>
      </c>
      <c r="T232" s="34">
        <v>702</v>
      </c>
      <c r="U232" s="88" t="s">
        <v>546</v>
      </c>
      <c r="V232" s="41">
        <f>C232/'1. Väestöennuste'!E232*1000</f>
        <v>-158.55505083279257</v>
      </c>
      <c r="W232" s="41">
        <f>D232/'1. Väestöennuste'!F232*1000</f>
        <v>260.67907995618839</v>
      </c>
      <c r="X232" s="41">
        <f>E232/'1. Väestöennuste'!G232*1000</f>
        <v>655.97667638483972</v>
      </c>
      <c r="Y232" s="41">
        <f>F232/'1. Väestöennuste'!H232*1000</f>
        <v>715.09777171441567</v>
      </c>
      <c r="Z232" s="41">
        <f>G232/'1. Väestöennuste'!I232*1000</f>
        <v>548.21386878356293</v>
      </c>
      <c r="AA232" s="41">
        <f>H232/'1. Väestöennuste'!J232*1000</f>
        <v>980.30842230130486</v>
      </c>
      <c r="AB232" s="41">
        <f>I232/'1. Väestöennuste'!K232*1000</f>
        <v>970.50199277978345</v>
      </c>
      <c r="AC232" s="41">
        <f>J232/'1. Väestöennuste'!L232*1000</f>
        <v>913.76342721076014</v>
      </c>
      <c r="AD232" s="41">
        <f>K232/'1. Väestöennuste'!M232*1000</f>
        <v>1008.5146881302567</v>
      </c>
      <c r="AE232" s="41">
        <f>L232/'1. Väestöennuste'!N232*1000</f>
        <v>1048.2110989962832</v>
      </c>
      <c r="AF232" s="41">
        <f>M232/'1. Väestöennuste'!O232*1000</f>
        <v>864.4603397326423</v>
      </c>
      <c r="AG232" s="41">
        <f>N232/'1. Väestöennuste'!P232*1000</f>
        <v>591.86422961808728</v>
      </c>
      <c r="AH232" s="41">
        <f>O232/'1. Väestöennuste'!Q232*1000</f>
        <v>198.98993628903509</v>
      </c>
      <c r="AI232" s="41">
        <f>P232/'1. Väestöennuste'!R232*1000</f>
        <v>-104.76787595042457</v>
      </c>
      <c r="AK232" s="41">
        <f t="shared" si="41"/>
        <v>-1</v>
      </c>
      <c r="AL232" s="41">
        <f t="shared" si="42"/>
        <v>0</v>
      </c>
      <c r="AM232" s="41">
        <f t="shared" si="43"/>
        <v>0</v>
      </c>
      <c r="AN232" s="41">
        <f t="shared" si="44"/>
        <v>0</v>
      </c>
      <c r="AO232" s="41">
        <f t="shared" si="45"/>
        <v>0</v>
      </c>
      <c r="AP232" s="41">
        <f t="shared" si="46"/>
        <v>0</v>
      </c>
      <c r="AQ232" s="41">
        <f t="shared" si="47"/>
        <v>0</v>
      </c>
      <c r="AR232" s="41">
        <f t="shared" si="48"/>
        <v>0</v>
      </c>
      <c r="AS232" s="41">
        <f t="shared" si="49"/>
        <v>0</v>
      </c>
      <c r="AT232" s="41">
        <f t="shared" si="50"/>
        <v>0</v>
      </c>
      <c r="AU232" s="41">
        <f t="shared" si="51"/>
        <v>0</v>
      </c>
      <c r="AV232" s="41">
        <f t="shared" si="52"/>
        <v>0</v>
      </c>
      <c r="AW232" s="41">
        <f t="shared" si="52"/>
        <v>0</v>
      </c>
      <c r="AX232" s="41">
        <f t="shared" si="52"/>
        <v>-1</v>
      </c>
    </row>
    <row r="233" spans="1:50" ht="11.25" x14ac:dyDescent="0.2">
      <c r="A233" s="34">
        <v>704</v>
      </c>
      <c r="B233" s="88" t="s">
        <v>547</v>
      </c>
      <c r="C233" s="65">
        <v>9159</v>
      </c>
      <c r="D233" s="65">
        <v>11374</v>
      </c>
      <c r="E233" s="65">
        <v>14065</v>
      </c>
      <c r="F233" s="65">
        <v>14968</v>
      </c>
      <c r="G233" s="41">
        <v>13271</v>
      </c>
      <c r="H233" s="41">
        <v>15565</v>
      </c>
      <c r="I233" s="41">
        <v>16606.549759999998</v>
      </c>
      <c r="J233" s="41">
        <f>I233+'Tilikauden tulos'!J233+'9. Tulorahkorjauserät'!J233</f>
        <v>16846.126674013853</v>
      </c>
      <c r="K233" s="41">
        <f>J233+'Tilikauden tulos'!K233+'9. Tulorahkorjauserät'!K233</f>
        <v>16833.313034206058</v>
      </c>
      <c r="L233" s="41">
        <f>K233+'Tilikauden tulos'!L233+'9. Tulorahkorjauserät'!L233</f>
        <v>16763.320671907917</v>
      </c>
      <c r="M233" s="41">
        <f>L233+'Tilikauden tulos'!M233+'9. Tulorahkorjauserät'!M233</f>
        <v>14793.130965834123</v>
      </c>
      <c r="N233" s="41">
        <f>M233+'Tilikauden tulos'!N233+'9. Tulorahkorjauserät'!N233</f>
        <v>13302.147943387308</v>
      </c>
      <c r="O233" s="41">
        <f>N233+'Tilikauden tulos'!O233+'9. Tulorahkorjauserät'!O233</f>
        <v>11792.946889677645</v>
      </c>
      <c r="P233" s="41">
        <f>O233+'Tilikauden tulos'!P233+'9. Tulorahkorjauserät'!P233</f>
        <v>10488.02733157677</v>
      </c>
      <c r="T233" s="34">
        <v>704</v>
      </c>
      <c r="U233" s="88" t="s">
        <v>547</v>
      </c>
      <c r="V233" s="41">
        <f>C233/'1. Väestöennuste'!E233*1000</f>
        <v>1499.0180032733224</v>
      </c>
      <c r="W233" s="41">
        <f>D233/'1. Väestöennuste'!F233*1000</f>
        <v>1853.3485416327196</v>
      </c>
      <c r="X233" s="41">
        <f>E233/'1. Väestöennuste'!G233*1000</f>
        <v>2245.7288839214434</v>
      </c>
      <c r="Y233" s="41">
        <f>F233/'1. Väestöennuste'!H233*1000</f>
        <v>2394.4968804991199</v>
      </c>
      <c r="Z233" s="41">
        <f>G233/'1. Väestöennuste'!I233*1000</f>
        <v>2097.5185712027815</v>
      </c>
      <c r="AA233" s="41">
        <f>H233/'1. Väestöennuste'!J233*1000</f>
        <v>2449.6380232924143</v>
      </c>
      <c r="AB233" s="41">
        <f>I233/'1. Väestöennuste'!K233*1000</f>
        <v>2603.3155290797927</v>
      </c>
      <c r="AC233" s="41">
        <f>J233/'1. Väestöennuste'!L233*1000</f>
        <v>2620.7415485398028</v>
      </c>
      <c r="AD233" s="41">
        <f>K233/'1. Väestöennuste'!M233*1000</f>
        <v>2615.4930133943535</v>
      </c>
      <c r="AE233" s="41">
        <f>L233/'1. Väestöennuste'!N233*1000</f>
        <v>2549.5544748148923</v>
      </c>
      <c r="AF233" s="41">
        <f>M233/'1. Väestöennuste'!O233*1000</f>
        <v>2229.5600551370189</v>
      </c>
      <c r="AG233" s="41">
        <f>N233/'1. Väestöennuste'!P233*1000</f>
        <v>1988.065751515066</v>
      </c>
      <c r="AH233" s="41">
        <f>O233/'1. Väestöennuste'!Q233*1000</f>
        <v>1747.8800785056537</v>
      </c>
      <c r="AI233" s="41">
        <f>P233/'1. Väestöennuste'!R233*1000</f>
        <v>1543.0377124579625</v>
      </c>
      <c r="AK233" s="41">
        <f t="shared" si="41"/>
        <v>0</v>
      </c>
      <c r="AL233" s="41">
        <f t="shared" si="42"/>
        <v>0</v>
      </c>
      <c r="AM233" s="41">
        <f t="shared" si="43"/>
        <v>0</v>
      </c>
      <c r="AN233" s="41">
        <f t="shared" si="44"/>
        <v>0</v>
      </c>
      <c r="AO233" s="41">
        <f t="shared" si="45"/>
        <v>0</v>
      </c>
      <c r="AP233" s="41">
        <f t="shared" si="46"/>
        <v>0</v>
      </c>
      <c r="AQ233" s="41">
        <f t="shared" si="47"/>
        <v>0</v>
      </c>
      <c r="AR233" s="41">
        <f t="shared" si="48"/>
        <v>0</v>
      </c>
      <c r="AS233" s="41">
        <f t="shared" si="49"/>
        <v>0</v>
      </c>
      <c r="AT233" s="41">
        <f t="shared" si="50"/>
        <v>0</v>
      </c>
      <c r="AU233" s="41">
        <f t="shared" si="51"/>
        <v>0</v>
      </c>
      <c r="AV233" s="41">
        <f t="shared" si="52"/>
        <v>0</v>
      </c>
      <c r="AW233" s="41">
        <f t="shared" si="52"/>
        <v>0</v>
      </c>
      <c r="AX233" s="41">
        <f t="shared" si="52"/>
        <v>0</v>
      </c>
    </row>
    <row r="234" spans="1:50" ht="11.25" x14ac:dyDescent="0.2">
      <c r="A234" s="34">
        <v>707</v>
      </c>
      <c r="B234" s="88" t="s">
        <v>548</v>
      </c>
      <c r="C234" s="65">
        <v>619</v>
      </c>
      <c r="D234" s="65">
        <v>1185</v>
      </c>
      <c r="E234" s="65">
        <v>2066</v>
      </c>
      <c r="F234" s="65">
        <v>2108</v>
      </c>
      <c r="G234" s="41">
        <v>1700</v>
      </c>
      <c r="H234" s="41">
        <v>87</v>
      </c>
      <c r="I234" s="41">
        <v>84.049229999999994</v>
      </c>
      <c r="J234" s="41">
        <f>I234+'Tilikauden tulos'!J234+'9. Tulorahkorjauserät'!J234</f>
        <v>454.26025263843985</v>
      </c>
      <c r="K234" s="41">
        <f>J234+'Tilikauden tulos'!K234+'9. Tulorahkorjauserät'!K234</f>
        <v>1094.5078181089634</v>
      </c>
      <c r="L234" s="41">
        <f>K234+'Tilikauden tulos'!L234+'9. Tulorahkorjauserät'!L234</f>
        <v>1577.718330447824</v>
      </c>
      <c r="M234" s="41">
        <f>L234+'Tilikauden tulos'!M234+'9. Tulorahkorjauserät'!M234</f>
        <v>708.01457869704996</v>
      </c>
      <c r="N234" s="41">
        <f>M234+'Tilikauden tulos'!N234+'9. Tulorahkorjauserät'!N234</f>
        <v>-257.147242699652</v>
      </c>
      <c r="O234" s="41">
        <f>N234+'Tilikauden tulos'!O234+'9. Tulorahkorjauserät'!O234</f>
        <v>-1362.2071262310367</v>
      </c>
      <c r="P234" s="41">
        <f>O234+'Tilikauden tulos'!P234+'9. Tulorahkorjauserät'!P234</f>
        <v>-2206.7966564553853</v>
      </c>
      <c r="T234" s="34">
        <v>707</v>
      </c>
      <c r="U234" s="88" t="s">
        <v>548</v>
      </c>
      <c r="V234" s="41">
        <f>C234/'1. Väestöennuste'!E234*1000</f>
        <v>263.51638995317154</v>
      </c>
      <c r="W234" s="41">
        <f>D234/'1. Väestöennuste'!F234*1000</f>
        <v>522.48677248677245</v>
      </c>
      <c r="X234" s="41">
        <f>E234/'1. Väestöennuste'!G234*1000</f>
        <v>922.32142857142867</v>
      </c>
      <c r="Y234" s="41">
        <f>F234/'1. Väestöennuste'!H234*1000</f>
        <v>966.52911508482339</v>
      </c>
      <c r="Z234" s="41">
        <f>G234/'1. Väestöennuste'!I234*1000</f>
        <v>799.6237064910631</v>
      </c>
      <c r="AA234" s="41">
        <f>H234/'1. Väestöennuste'!J234*1000</f>
        <v>42.110358180058078</v>
      </c>
      <c r="AB234" s="41">
        <f>I234/'1. Väestöennuste'!K234*1000</f>
        <v>41.362810039370075</v>
      </c>
      <c r="AC234" s="41">
        <f>J234/'1. Väestöennuste'!L234*1000</f>
        <v>231.76543501961217</v>
      </c>
      <c r="AD234" s="41">
        <f>K234/'1. Väestöennuste'!M234*1000</f>
        <v>575.45100846948662</v>
      </c>
      <c r="AE234" s="41">
        <f>L234/'1. Väestöennuste'!N234*1000</f>
        <v>827.7640768351647</v>
      </c>
      <c r="AF234" s="41">
        <f>M234/'1. Väestöennuste'!O234*1000</f>
        <v>377.40649184277714</v>
      </c>
      <c r="AG234" s="41">
        <f>N234/'1. Väestöennuste'!P234*1000</f>
        <v>-139.22427866792202</v>
      </c>
      <c r="AH234" s="41">
        <f>O234/'1. Väestöennuste'!Q234*1000</f>
        <v>-748.87692481090528</v>
      </c>
      <c r="AI234" s="41">
        <f>P234/'1. Väestöennuste'!R234*1000</f>
        <v>-1230.7845267458927</v>
      </c>
      <c r="AK234" s="41">
        <f t="shared" si="41"/>
        <v>0</v>
      </c>
      <c r="AL234" s="41">
        <f t="shared" si="42"/>
        <v>0</v>
      </c>
      <c r="AM234" s="41">
        <f t="shared" si="43"/>
        <v>0</v>
      </c>
      <c r="AN234" s="41">
        <f t="shared" si="44"/>
        <v>0</v>
      </c>
      <c r="AO234" s="41">
        <f t="shared" si="45"/>
        <v>0</v>
      </c>
      <c r="AP234" s="41">
        <f t="shared" si="46"/>
        <v>0</v>
      </c>
      <c r="AQ234" s="41">
        <f t="shared" si="47"/>
        <v>0</v>
      </c>
      <c r="AR234" s="41">
        <f t="shared" si="48"/>
        <v>0</v>
      </c>
      <c r="AS234" s="41">
        <f t="shared" si="49"/>
        <v>0</v>
      </c>
      <c r="AT234" s="41">
        <f t="shared" si="50"/>
        <v>0</v>
      </c>
      <c r="AU234" s="41">
        <f t="shared" si="51"/>
        <v>0</v>
      </c>
      <c r="AV234" s="41">
        <f t="shared" si="52"/>
        <v>-1</v>
      </c>
      <c r="AW234" s="41">
        <f t="shared" si="52"/>
        <v>-1</v>
      </c>
      <c r="AX234" s="41">
        <f t="shared" si="52"/>
        <v>-1</v>
      </c>
    </row>
    <row r="235" spans="1:50" ht="11.25" x14ac:dyDescent="0.2">
      <c r="A235" s="34">
        <v>710</v>
      </c>
      <c r="B235" s="88" t="s">
        <v>549</v>
      </c>
      <c r="C235" s="65">
        <v>-14182</v>
      </c>
      <c r="D235" s="65">
        <v>-11757</v>
      </c>
      <c r="E235" s="65">
        <v>-2342</v>
      </c>
      <c r="F235" s="65">
        <v>-5033</v>
      </c>
      <c r="G235" s="41">
        <v>-11206</v>
      </c>
      <c r="H235" s="41">
        <v>-1213</v>
      </c>
      <c r="I235" s="41">
        <v>6413.0890300000001</v>
      </c>
      <c r="J235" s="41">
        <f>I235+'Tilikauden tulos'!J235+'9. Tulorahkorjauserät'!J235</f>
        <v>9531.158129873982</v>
      </c>
      <c r="K235" s="41">
        <f>J235+'Tilikauden tulos'!K235+'9. Tulorahkorjauserät'!K235</f>
        <v>21435.800328160687</v>
      </c>
      <c r="L235" s="41">
        <f>K235+'Tilikauden tulos'!L235+'9. Tulorahkorjauserät'!L235</f>
        <v>22568.074070200997</v>
      </c>
      <c r="M235" s="41">
        <f>L235+'Tilikauden tulos'!M235+'9. Tulorahkorjauserät'!M235</f>
        <v>23336.73101442436</v>
      </c>
      <c r="N235" s="41">
        <f>M235+'Tilikauden tulos'!N235+'9. Tulorahkorjauserät'!N235</f>
        <v>23650.568173475345</v>
      </c>
      <c r="O235" s="41">
        <f>N235+'Tilikauden tulos'!O235+'9. Tulorahkorjauserät'!O235</f>
        <v>24839.966078097536</v>
      </c>
      <c r="P235" s="41">
        <f>O235+'Tilikauden tulos'!P235+'9. Tulorahkorjauserät'!P235</f>
        <v>28483.58047253143</v>
      </c>
      <c r="T235" s="34">
        <v>710</v>
      </c>
      <c r="U235" s="88" t="s">
        <v>549</v>
      </c>
      <c r="V235" s="41">
        <f>C235/'1. Väestöennuste'!E235*1000</f>
        <v>-499.27829607463474</v>
      </c>
      <c r="W235" s="41">
        <f>D235/'1. Väestöennuste'!F235*1000</f>
        <v>-418.74131851693556</v>
      </c>
      <c r="X235" s="41">
        <f>E235/'1. Väestöennuste'!G235*1000</f>
        <v>-84.090337869376327</v>
      </c>
      <c r="Y235" s="41">
        <f>F235/'1. Väestöennuste'!H235*1000</f>
        <v>-182.40794433169035</v>
      </c>
      <c r="Z235" s="41">
        <f>G235/'1. Väestöennuste'!I235*1000</f>
        <v>-406.95816385822195</v>
      </c>
      <c r="AA235" s="41">
        <f>H235/'1. Väestöennuste'!J235*1000</f>
        <v>-44.064225515838416</v>
      </c>
      <c r="AB235" s="41">
        <f>I235/'1. Väestöennuste'!K235*1000</f>
        <v>233.33899832629896</v>
      </c>
      <c r="AC235" s="41">
        <f>J235/'1. Väestöennuste'!L235*1000</f>
        <v>349.0499571476592</v>
      </c>
      <c r="AD235" s="41">
        <f>K235/'1. Väestöennuste'!M235*1000</f>
        <v>787.82021861004398</v>
      </c>
      <c r="AE235" s="41">
        <f>L235/'1. Väestöennuste'!N235*1000</f>
        <v>840.21124609832452</v>
      </c>
      <c r="AF235" s="41">
        <f>M235/'1. Väestöennuste'!O235*1000</f>
        <v>873.74035023491558</v>
      </c>
      <c r="AG235" s="41">
        <f>N235/'1. Väestöennuste'!P235*1000</f>
        <v>890.32405411366301</v>
      </c>
      <c r="AH235" s="41">
        <f>O235/'1. Väestöennuste'!Q235*1000</f>
        <v>939.94649707108385</v>
      </c>
      <c r="AI235" s="41">
        <f>P235/'1. Väestöennuste'!R235*1000</f>
        <v>1083.1494266468203</v>
      </c>
      <c r="AK235" s="41">
        <f t="shared" si="41"/>
        <v>-1</v>
      </c>
      <c r="AL235" s="41">
        <f t="shared" si="42"/>
        <v>-1</v>
      </c>
      <c r="AM235" s="41">
        <f t="shared" si="43"/>
        <v>-1</v>
      </c>
      <c r="AN235" s="41">
        <f t="shared" si="44"/>
        <v>-1</v>
      </c>
      <c r="AO235" s="41">
        <f t="shared" si="45"/>
        <v>-1</v>
      </c>
      <c r="AP235" s="41">
        <f t="shared" si="46"/>
        <v>-1</v>
      </c>
      <c r="AQ235" s="41">
        <f t="shared" si="47"/>
        <v>0</v>
      </c>
      <c r="AR235" s="41">
        <f t="shared" si="48"/>
        <v>0</v>
      </c>
      <c r="AS235" s="41">
        <f t="shared" si="49"/>
        <v>0</v>
      </c>
      <c r="AT235" s="41">
        <f t="shared" si="50"/>
        <v>0</v>
      </c>
      <c r="AU235" s="41">
        <f t="shared" si="51"/>
        <v>0</v>
      </c>
      <c r="AV235" s="41">
        <f t="shared" si="52"/>
        <v>0</v>
      </c>
      <c r="AW235" s="41">
        <f t="shared" si="52"/>
        <v>0</v>
      </c>
      <c r="AX235" s="41">
        <f t="shared" si="52"/>
        <v>0</v>
      </c>
    </row>
    <row r="236" spans="1:50" ht="11.25" x14ac:dyDescent="0.2">
      <c r="A236" s="34">
        <v>729</v>
      </c>
      <c r="B236" s="88" t="s">
        <v>550</v>
      </c>
      <c r="C236" s="65">
        <v>4365</v>
      </c>
      <c r="D236" s="65">
        <v>3731</v>
      </c>
      <c r="E236" s="65">
        <v>4521</v>
      </c>
      <c r="F236" s="65">
        <v>3731</v>
      </c>
      <c r="G236" s="41">
        <v>1401</v>
      </c>
      <c r="H236" s="41">
        <v>3902</v>
      </c>
      <c r="I236" s="41">
        <v>5525.8443399999996</v>
      </c>
      <c r="J236" s="41">
        <f>I236+'Tilikauden tulos'!J236+'9. Tulorahkorjauserät'!J236</f>
        <v>6241.8192829802247</v>
      </c>
      <c r="K236" s="41">
        <f>J236+'Tilikauden tulos'!K236+'9. Tulorahkorjauserät'!K236</f>
        <v>6161.5873526450041</v>
      </c>
      <c r="L236" s="41">
        <f>K236+'Tilikauden tulos'!L236+'9. Tulorahkorjauserät'!L236</f>
        <v>6231.717333065907</v>
      </c>
      <c r="M236" s="41">
        <f>L236+'Tilikauden tulos'!M236+'9. Tulorahkorjauserät'!M236</f>
        <v>4145.0824115463392</v>
      </c>
      <c r="N236" s="41">
        <f>M236+'Tilikauden tulos'!N236+'9. Tulorahkorjauserät'!N236</f>
        <v>2244.2011959777619</v>
      </c>
      <c r="O236" s="41">
        <f>N236+'Tilikauden tulos'!O236+'9. Tulorahkorjauserät'!O236</f>
        <v>305.75341482238673</v>
      </c>
      <c r="P236" s="41">
        <f>O236+'Tilikauden tulos'!P236+'9. Tulorahkorjauserät'!P236</f>
        <v>-501.85305757046081</v>
      </c>
      <c r="T236" s="34">
        <v>729</v>
      </c>
      <c r="U236" s="88" t="s">
        <v>550</v>
      </c>
      <c r="V236" s="41">
        <f>C236/'1. Väestöennuste'!E236*1000</f>
        <v>440.24205748865359</v>
      </c>
      <c r="W236" s="41">
        <f>D236/'1. Väestöennuste'!F236*1000</f>
        <v>385.03611971104232</v>
      </c>
      <c r="X236" s="41">
        <f>E236/'1. Väestöennuste'!G236*1000</f>
        <v>471.4777349045782</v>
      </c>
      <c r="Y236" s="41">
        <f>F236/'1. Väestöennuste'!H236*1000</f>
        <v>396.28252788104089</v>
      </c>
      <c r="Z236" s="41">
        <f>G236/'1. Väestöennuste'!I236*1000</f>
        <v>150.49951659684177</v>
      </c>
      <c r="AA236" s="41">
        <f>H236/'1. Väestöennuste'!J236*1000</f>
        <v>423.7619461337967</v>
      </c>
      <c r="AB236" s="41">
        <f>I236/'1. Väestöennuste'!K236*1000</f>
        <v>606.10336075463408</v>
      </c>
      <c r="AC236" s="41">
        <f>J236/'1. Väestöennuste'!L236*1000</f>
        <v>695.46732957996937</v>
      </c>
      <c r="AD236" s="41">
        <f>K236/'1. Väestöennuste'!M236*1000</f>
        <v>696.46064797615054</v>
      </c>
      <c r="AE236" s="41">
        <f>L236/'1. Väestöennuste'!N236*1000</f>
        <v>714.97445308236661</v>
      </c>
      <c r="AF236" s="41">
        <f>M236/'1. Väestöennuste'!O236*1000</f>
        <v>481.87426314186695</v>
      </c>
      <c r="AG236" s="41">
        <f>N236/'1. Väestöennuste'!P236*1000</f>
        <v>264.36579054986004</v>
      </c>
      <c r="AH236" s="41">
        <f>O236/'1. Väestöennuste'!Q236*1000</f>
        <v>36.477381868573936</v>
      </c>
      <c r="AI236" s="41">
        <f>P236/'1. Väestöennuste'!R236*1000</f>
        <v>-60.624916353039481</v>
      </c>
      <c r="AK236" s="41">
        <f t="shared" si="41"/>
        <v>0</v>
      </c>
      <c r="AL236" s="41">
        <f t="shared" si="42"/>
        <v>0</v>
      </c>
      <c r="AM236" s="41">
        <f t="shared" si="43"/>
        <v>0</v>
      </c>
      <c r="AN236" s="41">
        <f t="shared" si="44"/>
        <v>0</v>
      </c>
      <c r="AO236" s="41">
        <f t="shared" si="45"/>
        <v>0</v>
      </c>
      <c r="AP236" s="41">
        <f t="shared" si="46"/>
        <v>0</v>
      </c>
      <c r="AQ236" s="41">
        <f t="shared" si="47"/>
        <v>0</v>
      </c>
      <c r="AR236" s="41">
        <f t="shared" si="48"/>
        <v>0</v>
      </c>
      <c r="AS236" s="41">
        <f t="shared" si="49"/>
        <v>0</v>
      </c>
      <c r="AT236" s="41">
        <f t="shared" si="50"/>
        <v>0</v>
      </c>
      <c r="AU236" s="41">
        <f t="shared" si="51"/>
        <v>0</v>
      </c>
      <c r="AV236" s="41">
        <f t="shared" si="52"/>
        <v>0</v>
      </c>
      <c r="AW236" s="41">
        <f t="shared" si="52"/>
        <v>0</v>
      </c>
      <c r="AX236" s="41">
        <f t="shared" si="52"/>
        <v>-1</v>
      </c>
    </row>
    <row r="237" spans="1:50" ht="11.25" x14ac:dyDescent="0.2">
      <c r="A237" s="34">
        <v>732</v>
      </c>
      <c r="B237" s="88" t="s">
        <v>551</v>
      </c>
      <c r="C237" s="65">
        <v>5492</v>
      </c>
      <c r="D237" s="65">
        <v>5795</v>
      </c>
      <c r="E237" s="65">
        <v>6267</v>
      </c>
      <c r="F237" s="65">
        <v>8025</v>
      </c>
      <c r="G237" s="41">
        <v>8461</v>
      </c>
      <c r="H237" s="41">
        <v>9248</v>
      </c>
      <c r="I237" s="41">
        <v>10206.36384</v>
      </c>
      <c r="J237" s="41">
        <f>I237+'Tilikauden tulos'!J237+'9. Tulorahkorjauserät'!J237</f>
        <v>13161.123379476974</v>
      </c>
      <c r="K237" s="41">
        <f>J237+'Tilikauden tulos'!K237+'9. Tulorahkorjauserät'!K237</f>
        <v>12689.609775894589</v>
      </c>
      <c r="L237" s="41">
        <f>K237+'Tilikauden tulos'!L237+'9. Tulorahkorjauserät'!L237</f>
        <v>11827.743486225416</v>
      </c>
      <c r="M237" s="41">
        <f>L237+'Tilikauden tulos'!M237+'9. Tulorahkorjauserät'!M237</f>
        <v>10539.539202240672</v>
      </c>
      <c r="N237" s="41">
        <f>M237+'Tilikauden tulos'!N237+'9. Tulorahkorjauserät'!N237</f>
        <v>9313.911455220079</v>
      </c>
      <c r="O237" s="41">
        <f>N237+'Tilikauden tulos'!O237+'9. Tulorahkorjauserät'!O237</f>
        <v>7682.8012858876227</v>
      </c>
      <c r="P237" s="41">
        <f>O237+'Tilikauden tulos'!P237+'9. Tulorahkorjauserät'!P237</f>
        <v>6373.7125049445949</v>
      </c>
      <c r="T237" s="34">
        <v>732</v>
      </c>
      <c r="U237" s="88" t="s">
        <v>551</v>
      </c>
      <c r="V237" s="41">
        <f>C237/'1. Väestöennuste'!E237*1000</f>
        <v>1473.5712369197747</v>
      </c>
      <c r="W237" s="41">
        <f>D237/'1. Väestöennuste'!F237*1000</f>
        <v>1586.3673692855186</v>
      </c>
      <c r="X237" s="41">
        <f>E237/'1. Väestöennuste'!G237*1000</f>
        <v>1753.0069930069928</v>
      </c>
      <c r="Y237" s="41">
        <f>F237/'1. Väestöennuste'!H237*1000</f>
        <v>2298.7682612431968</v>
      </c>
      <c r="Z237" s="41">
        <f>G237/'1. Väestöennuste'!I237*1000</f>
        <v>2488.5294117647063</v>
      </c>
      <c r="AA237" s="41">
        <f>H237/'1. Väestöennuste'!J237*1000</f>
        <v>2714.4115057235103</v>
      </c>
      <c r="AB237" s="41">
        <f>I237/'1. Väestöennuste'!K237*1000</f>
        <v>2987.8114285714287</v>
      </c>
      <c r="AC237" s="41">
        <f>J237/'1. Väestöennuste'!L237*1000</f>
        <v>3945.180869147774</v>
      </c>
      <c r="AD237" s="41">
        <f>K237/'1. Väestöennuste'!M237*1000</f>
        <v>3794.7397655187169</v>
      </c>
      <c r="AE237" s="41">
        <f>L237/'1. Väestöennuste'!N237*1000</f>
        <v>3726.4472231334012</v>
      </c>
      <c r="AF237" s="41">
        <f>M237/'1. Väestöennuste'!O237*1000</f>
        <v>3370.4954276433236</v>
      </c>
      <c r="AG237" s="41">
        <f>N237/'1. Väestöennuste'!P237*1000</f>
        <v>3023.0157271081075</v>
      </c>
      <c r="AH237" s="41">
        <f>O237/'1. Väestöennuste'!Q237*1000</f>
        <v>2528.9010157628782</v>
      </c>
      <c r="AI237" s="41">
        <f>P237/'1. Väestöennuste'!R237*1000</f>
        <v>2126.6975325140456</v>
      </c>
      <c r="AK237" s="41">
        <f t="shared" si="41"/>
        <v>0</v>
      </c>
      <c r="AL237" s="41">
        <f t="shared" si="42"/>
        <v>0</v>
      </c>
      <c r="AM237" s="41">
        <f t="shared" si="43"/>
        <v>0</v>
      </c>
      <c r="AN237" s="41">
        <f t="shared" si="44"/>
        <v>0</v>
      </c>
      <c r="AO237" s="41">
        <f t="shared" si="45"/>
        <v>0</v>
      </c>
      <c r="AP237" s="41">
        <f t="shared" si="46"/>
        <v>0</v>
      </c>
      <c r="AQ237" s="41">
        <f t="shared" si="47"/>
        <v>0</v>
      </c>
      <c r="AR237" s="41">
        <f t="shared" si="48"/>
        <v>0</v>
      </c>
      <c r="AS237" s="41">
        <f t="shared" si="49"/>
        <v>0</v>
      </c>
      <c r="AT237" s="41">
        <f t="shared" si="50"/>
        <v>0</v>
      </c>
      <c r="AU237" s="41">
        <f t="shared" si="51"/>
        <v>0</v>
      </c>
      <c r="AV237" s="41">
        <f t="shared" si="52"/>
        <v>0</v>
      </c>
      <c r="AW237" s="41">
        <f t="shared" si="52"/>
        <v>0</v>
      </c>
      <c r="AX237" s="41">
        <f t="shared" si="52"/>
        <v>0</v>
      </c>
    </row>
    <row r="238" spans="1:50" ht="11.25" x14ac:dyDescent="0.2">
      <c r="A238" s="34">
        <v>734</v>
      </c>
      <c r="B238" s="88" t="s">
        <v>552</v>
      </c>
      <c r="C238" s="65">
        <v>15201</v>
      </c>
      <c r="D238" s="65">
        <v>21486</v>
      </c>
      <c r="E238" s="65">
        <v>28967</v>
      </c>
      <c r="F238" s="65">
        <v>14127</v>
      </c>
      <c r="G238" s="41">
        <v>-3379</v>
      </c>
      <c r="H238" s="41">
        <v>11292</v>
      </c>
      <c r="I238" s="41">
        <v>19441.939189999997</v>
      </c>
      <c r="J238" s="41">
        <f>I238+'Tilikauden tulos'!J238+'9. Tulorahkorjauserät'!J238</f>
        <v>28095.956634204184</v>
      </c>
      <c r="K238" s="41">
        <f>J238+'Tilikauden tulos'!K238+'9. Tulorahkorjauserät'!K238</f>
        <v>43285.497416324208</v>
      </c>
      <c r="L238" s="41">
        <f>K238+'Tilikauden tulos'!L238+'9. Tulorahkorjauserät'!L238</f>
        <v>46256.341243801318</v>
      </c>
      <c r="M238" s="41">
        <f>L238+'Tilikauden tulos'!M238+'9. Tulorahkorjauserät'!M238</f>
        <v>48138.021220933486</v>
      </c>
      <c r="N238" s="41">
        <f>M238+'Tilikauden tulos'!N238+'9. Tulorahkorjauserät'!N238</f>
        <v>53690.113522806962</v>
      </c>
      <c r="O238" s="41">
        <f>N238+'Tilikauden tulos'!O238+'9. Tulorahkorjauserät'!O238</f>
        <v>60277.960769588099</v>
      </c>
      <c r="P238" s="41">
        <f>O238+'Tilikauden tulos'!P238+'9. Tulorahkorjauserät'!P238</f>
        <v>71895.602653243957</v>
      </c>
      <c r="T238" s="34">
        <v>734</v>
      </c>
      <c r="U238" s="88" t="s">
        <v>552</v>
      </c>
      <c r="V238" s="41">
        <f>C238/'1. Väestöennuste'!E238*1000</f>
        <v>282.0745964000742</v>
      </c>
      <c r="W238" s="41">
        <f>D238/'1. Väestöennuste'!F238*1000</f>
        <v>401.26246591715534</v>
      </c>
      <c r="X238" s="41">
        <f>E238/'1. Väestöennuste'!G238*1000</f>
        <v>546.71221500830438</v>
      </c>
      <c r="Y238" s="41">
        <f>F238/'1. Väestöennuste'!H238*1000</f>
        <v>270.00630721889871</v>
      </c>
      <c r="Z238" s="41">
        <f>G238/'1. Väestöennuste'!I238*1000</f>
        <v>-65.190129840063278</v>
      </c>
      <c r="AA238" s="41">
        <f>H238/'1. Väestöennuste'!J238*1000</f>
        <v>218.99848725805825</v>
      </c>
      <c r="AB238" s="41">
        <f>I238/'1. Väestöennuste'!K238*1000</f>
        <v>378.24784416342408</v>
      </c>
      <c r="AC238" s="41">
        <f>J238/'1. Väestöennuste'!L238*1000</f>
        <v>551.62579534298357</v>
      </c>
      <c r="AD238" s="41">
        <f>K238/'1. Väestöennuste'!M238*1000</f>
        <v>847.07431343100211</v>
      </c>
      <c r="AE238" s="41">
        <f>L238/'1. Väestöennuste'!N238*1000</f>
        <v>928.07811327624484</v>
      </c>
      <c r="AF238" s="41">
        <f>M238/'1. Väestöennuste'!O238*1000</f>
        <v>973.58670861850749</v>
      </c>
      <c r="AG238" s="41">
        <f>N238/'1. Väestöennuste'!P238*1000</f>
        <v>1094.4880954603398</v>
      </c>
      <c r="AH238" s="41">
        <f>O238/'1. Väestöennuste'!Q238*1000</f>
        <v>1238.223552712313</v>
      </c>
      <c r="AI238" s="41">
        <f>P238/'1. Väestöennuste'!R238*1000</f>
        <v>1487.9364774362871</v>
      </c>
      <c r="AK238" s="41">
        <f t="shared" si="41"/>
        <v>0</v>
      </c>
      <c r="AL238" s="41">
        <f t="shared" si="42"/>
        <v>0</v>
      </c>
      <c r="AM238" s="41">
        <f t="shared" si="43"/>
        <v>0</v>
      </c>
      <c r="AN238" s="41">
        <f t="shared" si="44"/>
        <v>0</v>
      </c>
      <c r="AO238" s="41">
        <f t="shared" si="45"/>
        <v>-1</v>
      </c>
      <c r="AP238" s="41">
        <f t="shared" si="46"/>
        <v>0</v>
      </c>
      <c r="AQ238" s="41">
        <f t="shared" si="47"/>
        <v>0</v>
      </c>
      <c r="AR238" s="41">
        <f t="shared" si="48"/>
        <v>0</v>
      </c>
      <c r="AS238" s="41">
        <f t="shared" si="49"/>
        <v>0</v>
      </c>
      <c r="AT238" s="41">
        <f t="shared" si="50"/>
        <v>0</v>
      </c>
      <c r="AU238" s="41">
        <f t="shared" si="51"/>
        <v>0</v>
      </c>
      <c r="AV238" s="41">
        <f t="shared" si="52"/>
        <v>0</v>
      </c>
      <c r="AW238" s="41">
        <f t="shared" si="52"/>
        <v>0</v>
      </c>
      <c r="AX238" s="41">
        <f t="shared" si="52"/>
        <v>0</v>
      </c>
    </row>
    <row r="239" spans="1:50" ht="11.25" x14ac:dyDescent="0.2">
      <c r="A239" s="34">
        <v>738</v>
      </c>
      <c r="B239" s="88" t="s">
        <v>553</v>
      </c>
      <c r="C239" s="65">
        <v>2078</v>
      </c>
      <c r="D239" s="65">
        <v>2292</v>
      </c>
      <c r="E239" s="65">
        <v>2638</v>
      </c>
      <c r="F239" s="65">
        <v>2481</v>
      </c>
      <c r="G239" s="41">
        <v>1764</v>
      </c>
      <c r="H239" s="41">
        <v>3615</v>
      </c>
      <c r="I239" s="41">
        <v>4452.5922300000002</v>
      </c>
      <c r="J239" s="41">
        <f>I239+'Tilikauden tulos'!J239+'9. Tulorahkorjauserät'!J239</f>
        <v>4980.4851596190756</v>
      </c>
      <c r="K239" s="41">
        <f>J239+'Tilikauden tulos'!K239+'9. Tulorahkorjauserät'!K239</f>
        <v>5371.2104711499051</v>
      </c>
      <c r="L239" s="41">
        <f>K239+'Tilikauden tulos'!L239+'9. Tulorahkorjauserät'!L239</f>
        <v>5431.2559167848876</v>
      </c>
      <c r="M239" s="41">
        <f>L239+'Tilikauden tulos'!M239+'9. Tulorahkorjauserät'!M239</f>
        <v>5309.827532479354</v>
      </c>
      <c r="N239" s="41">
        <f>M239+'Tilikauden tulos'!N239+'9. Tulorahkorjauserät'!N239</f>
        <v>4948.6353342560024</v>
      </c>
      <c r="O239" s="41">
        <f>N239+'Tilikauden tulos'!O239+'9. Tulorahkorjauserät'!O239</f>
        <v>4638.8801682512185</v>
      </c>
      <c r="P239" s="41">
        <f>O239+'Tilikauden tulos'!P239+'9. Tulorahkorjauserät'!P239</f>
        <v>4292.2528641823519</v>
      </c>
      <c r="T239" s="34">
        <v>738</v>
      </c>
      <c r="U239" s="88" t="s">
        <v>553</v>
      </c>
      <c r="V239" s="41">
        <f>C239/'1. Väestöennuste'!E239*1000</f>
        <v>688.30738655183836</v>
      </c>
      <c r="W239" s="41">
        <f>D239/'1. Väestöennuste'!F239*1000</f>
        <v>752.21529373153919</v>
      </c>
      <c r="X239" s="41">
        <f>E239/'1. Väestöennuste'!G239*1000</f>
        <v>877.28633189225138</v>
      </c>
      <c r="Y239" s="41">
        <f>F239/'1. Väestöennuste'!H239*1000</f>
        <v>828.65731462925851</v>
      </c>
      <c r="Z239" s="41">
        <f>G239/'1. Väestöennuste'!I239*1000</f>
        <v>598.98132427843802</v>
      </c>
      <c r="AA239" s="41">
        <f>H239/'1. Väestöennuste'!J239*1000</f>
        <v>1225.4237288135594</v>
      </c>
      <c r="AB239" s="41">
        <f>I239/'1. Väestöennuste'!K239*1000</f>
        <v>1504.76249746536</v>
      </c>
      <c r="AC239" s="41">
        <f>J239/'1. Väestöennuste'!L239*1000</f>
        <v>1707.3997804659155</v>
      </c>
      <c r="AD239" s="41">
        <f>K239/'1. Väestöennuste'!M239*1000</f>
        <v>1806.0559755043394</v>
      </c>
      <c r="AE239" s="41">
        <f>L239/'1. Väestöennuste'!N239*1000</f>
        <v>1872.8468678568577</v>
      </c>
      <c r="AF239" s="41">
        <f>M239/'1. Väestöennuste'!O239*1000</f>
        <v>1834.7710893156027</v>
      </c>
      <c r="AG239" s="41">
        <f>N239/'1. Väestöennuste'!P239*1000</f>
        <v>1712.330565486506</v>
      </c>
      <c r="AH239" s="41">
        <f>O239/'1. Väestöennuste'!Q239*1000</f>
        <v>1610.1631961996595</v>
      </c>
      <c r="AI239" s="41">
        <f>P239/'1. Väestöennuste'!R239*1000</f>
        <v>1492.4384089646564</v>
      </c>
      <c r="AK239" s="41">
        <f t="shared" si="41"/>
        <v>0</v>
      </c>
      <c r="AL239" s="41">
        <f t="shared" si="42"/>
        <v>0</v>
      </c>
      <c r="AM239" s="41">
        <f t="shared" si="43"/>
        <v>0</v>
      </c>
      <c r="AN239" s="41">
        <f t="shared" si="44"/>
        <v>0</v>
      </c>
      <c r="AO239" s="41">
        <f t="shared" si="45"/>
        <v>0</v>
      </c>
      <c r="AP239" s="41">
        <f t="shared" si="46"/>
        <v>0</v>
      </c>
      <c r="AQ239" s="41">
        <f t="shared" si="47"/>
        <v>0</v>
      </c>
      <c r="AR239" s="41">
        <f t="shared" si="48"/>
        <v>0</v>
      </c>
      <c r="AS239" s="41">
        <f t="shared" si="49"/>
        <v>0</v>
      </c>
      <c r="AT239" s="41">
        <f t="shared" si="50"/>
        <v>0</v>
      </c>
      <c r="AU239" s="41">
        <f t="shared" si="51"/>
        <v>0</v>
      </c>
      <c r="AV239" s="41">
        <f t="shared" si="52"/>
        <v>0</v>
      </c>
      <c r="AW239" s="41">
        <f t="shared" si="52"/>
        <v>0</v>
      </c>
      <c r="AX239" s="41">
        <f t="shared" si="52"/>
        <v>0</v>
      </c>
    </row>
    <row r="240" spans="1:50" ht="11.25" x14ac:dyDescent="0.2">
      <c r="A240" s="34">
        <v>739</v>
      </c>
      <c r="B240" s="88" t="s">
        <v>554</v>
      </c>
      <c r="C240" s="65">
        <v>4707</v>
      </c>
      <c r="D240" s="65">
        <v>3578</v>
      </c>
      <c r="E240" s="65">
        <v>3868</v>
      </c>
      <c r="F240" s="65">
        <v>3710</v>
      </c>
      <c r="G240" s="41">
        <v>6361</v>
      </c>
      <c r="H240" s="41">
        <v>7373</v>
      </c>
      <c r="I240" s="41">
        <v>7644.1642200000006</v>
      </c>
      <c r="J240" s="41">
        <f>I240+'Tilikauden tulos'!J240+'9. Tulorahkorjauserät'!J240</f>
        <v>7556.8408557130151</v>
      </c>
      <c r="K240" s="41">
        <f>J240+'Tilikauden tulos'!K240+'9. Tulorahkorjauserät'!K240</f>
        <v>8410.9779049402568</v>
      </c>
      <c r="L240" s="41">
        <f>K240+'Tilikauden tulos'!L240+'9. Tulorahkorjauserät'!L240</f>
        <v>8247.0875699387834</v>
      </c>
      <c r="M240" s="41">
        <f>L240+'Tilikauden tulos'!M240+'9. Tulorahkorjauserät'!M240</f>
        <v>8015.0778418826958</v>
      </c>
      <c r="N240" s="41">
        <f>M240+'Tilikauden tulos'!N240+'9. Tulorahkorjauserät'!N240</f>
        <v>6936.179747532391</v>
      </c>
      <c r="O240" s="41">
        <f>N240+'Tilikauden tulos'!O240+'9. Tulorahkorjauserät'!O240</f>
        <v>5710.6020842127891</v>
      </c>
      <c r="P240" s="41">
        <f>O240+'Tilikauden tulos'!P240+'9. Tulorahkorjauserät'!P240</f>
        <v>4782.274298390852</v>
      </c>
      <c r="T240" s="34">
        <v>739</v>
      </c>
      <c r="U240" s="88" t="s">
        <v>554</v>
      </c>
      <c r="V240" s="41">
        <f>C240/'1. Väestöennuste'!E240*1000</f>
        <v>1302.7954608358705</v>
      </c>
      <c r="W240" s="41">
        <f>D240/'1. Väestöennuste'!F240*1000</f>
        <v>1012.4504810413129</v>
      </c>
      <c r="X240" s="41">
        <f>E240/'1. Väestöennuste'!G240*1000</f>
        <v>1111.4942528735633</v>
      </c>
      <c r="Y240" s="41">
        <f>F240/'1. Väestöennuste'!H240*1000</f>
        <v>1081.9480898221057</v>
      </c>
      <c r="Z240" s="41">
        <f>G240/'1. Väestöennuste'!I240*1000</f>
        <v>1880.2837718001772</v>
      </c>
      <c r="AA240" s="41">
        <f>H240/'1. Väestöennuste'!J240*1000</f>
        <v>2216.7769092002409</v>
      </c>
      <c r="AB240" s="41">
        <f>I240/'1. Väestöennuste'!K240*1000</f>
        <v>2344.1165961361548</v>
      </c>
      <c r="AC240" s="41">
        <f>J240/'1. Väestöennuste'!L240*1000</f>
        <v>2320.8970687079286</v>
      </c>
      <c r="AD240" s="41">
        <f>K240/'1. Väestöennuste'!M240*1000</f>
        <v>2615.3538261630151</v>
      </c>
      <c r="AE240" s="41">
        <f>L240/'1. Väestöennuste'!N240*1000</f>
        <v>2651.7966462825671</v>
      </c>
      <c r="AF240" s="41">
        <f>M240/'1. Väestöennuste'!O240*1000</f>
        <v>2616.7410518715951</v>
      </c>
      <c r="AG240" s="41">
        <f>N240/'1. Väestöennuste'!P240*1000</f>
        <v>2298.2702940796521</v>
      </c>
      <c r="AH240" s="41">
        <f>O240/'1. Väestöennuste'!Q240*1000</f>
        <v>1919.5301123404333</v>
      </c>
      <c r="AI240" s="41">
        <f>P240/'1. Väestöennuste'!R240*1000</f>
        <v>1630.5060683228271</v>
      </c>
      <c r="AK240" s="41">
        <f t="shared" si="41"/>
        <v>0</v>
      </c>
      <c r="AL240" s="41">
        <f t="shared" si="42"/>
        <v>0</v>
      </c>
      <c r="AM240" s="41">
        <f t="shared" si="43"/>
        <v>0</v>
      </c>
      <c r="AN240" s="41">
        <f t="shared" si="44"/>
        <v>0</v>
      </c>
      <c r="AO240" s="41">
        <f t="shared" si="45"/>
        <v>0</v>
      </c>
      <c r="AP240" s="41">
        <f t="shared" si="46"/>
        <v>0</v>
      </c>
      <c r="AQ240" s="41">
        <f t="shared" si="47"/>
        <v>0</v>
      </c>
      <c r="AR240" s="41">
        <f t="shared" si="48"/>
        <v>0</v>
      </c>
      <c r="AS240" s="41">
        <f t="shared" si="49"/>
        <v>0</v>
      </c>
      <c r="AT240" s="41">
        <f t="shared" si="50"/>
        <v>0</v>
      </c>
      <c r="AU240" s="41">
        <f t="shared" si="51"/>
        <v>0</v>
      </c>
      <c r="AV240" s="41">
        <f t="shared" si="52"/>
        <v>0</v>
      </c>
      <c r="AW240" s="41">
        <f t="shared" si="52"/>
        <v>0</v>
      </c>
      <c r="AX240" s="41">
        <f t="shared" si="52"/>
        <v>0</v>
      </c>
    </row>
    <row r="241" spans="1:50" ht="11.25" x14ac:dyDescent="0.2">
      <c r="A241" s="34">
        <v>740</v>
      </c>
      <c r="B241" s="88" t="s">
        <v>555</v>
      </c>
      <c r="C241" s="65">
        <v>-8665</v>
      </c>
      <c r="D241" s="65">
        <v>-2561</v>
      </c>
      <c r="E241" s="65">
        <v>1226</v>
      </c>
      <c r="F241" s="65">
        <v>-3660</v>
      </c>
      <c r="G241" s="41">
        <v>-9713</v>
      </c>
      <c r="H241" s="41">
        <v>12407</v>
      </c>
      <c r="I241" s="41">
        <v>23022.918670000003</v>
      </c>
      <c r="J241" s="41">
        <f>I241+'Tilikauden tulos'!J241+'9. Tulorahkorjauserät'!J241</f>
        <v>29260.384698589722</v>
      </c>
      <c r="K241" s="41">
        <f>J241+'Tilikauden tulos'!K241+'9. Tulorahkorjauserät'!K241</f>
        <v>39238.981731672284</v>
      </c>
      <c r="L241" s="41">
        <f>K241+'Tilikauden tulos'!L241+'9. Tulorahkorjauserät'!L241</f>
        <v>34611.545336662661</v>
      </c>
      <c r="M241" s="41">
        <f>L241+'Tilikauden tulos'!M241+'9. Tulorahkorjauserät'!M241</f>
        <v>28962.667641153079</v>
      </c>
      <c r="N241" s="41">
        <f>M241+'Tilikauden tulos'!N241+'9. Tulorahkorjauserät'!N241</f>
        <v>25320.383303976247</v>
      </c>
      <c r="O241" s="41">
        <f>N241+'Tilikauden tulos'!O241+'9. Tulorahkorjauserät'!O241</f>
        <v>22178.348595686595</v>
      </c>
      <c r="P241" s="41">
        <f>O241+'Tilikauden tulos'!P241+'9. Tulorahkorjauserät'!P241</f>
        <v>23513.192213967086</v>
      </c>
      <c r="T241" s="34">
        <v>740</v>
      </c>
      <c r="U241" s="88" t="s">
        <v>555</v>
      </c>
      <c r="V241" s="41">
        <f>C241/'1. Väestöennuste'!E241*1000</f>
        <v>-243.92647017425332</v>
      </c>
      <c r="W241" s="41">
        <f>D241/'1. Väestöennuste'!F241*1000</f>
        <v>-72.668974519039779</v>
      </c>
      <c r="X241" s="41">
        <f>E241/'1. Väestöennuste'!G241*1000</f>
        <v>35.36810523886453</v>
      </c>
      <c r="Y241" s="41">
        <f>F241/'1. Väestöennuste'!H241*1000</f>
        <v>-108.8929219600726</v>
      </c>
      <c r="Z241" s="41">
        <f>G241/'1. Väestöennuste'!I241*1000</f>
        <v>-294.56541517559288</v>
      </c>
      <c r="AA241" s="41">
        <f>H241/'1. Väestöennuste'!J241*1000</f>
        <v>379.86038821872512</v>
      </c>
      <c r="AB241" s="41">
        <f>I241/'1. Väestöennuste'!K241*1000</f>
        <v>707.37452514824724</v>
      </c>
      <c r="AC241" s="41">
        <f>J241/'1. Väestöennuste'!L241*1000</f>
        <v>911.9646158201565</v>
      </c>
      <c r="AD241" s="41">
        <f>K241/'1. Väestöennuste'!M241*1000</f>
        <v>1232.2639742383658</v>
      </c>
      <c r="AE241" s="41">
        <f>L241/'1. Väestöennuste'!N241*1000</f>
        <v>1129.1037168611815</v>
      </c>
      <c r="AF241" s="41">
        <f>M241/'1. Väestöennuste'!O241*1000</f>
        <v>958.80648992462272</v>
      </c>
      <c r="AG241" s="41">
        <f>N241/'1. Väestöennuste'!P241*1000</f>
        <v>850.39070710247677</v>
      </c>
      <c r="AH241" s="41">
        <f>O241/'1. Väestöennuste'!Q241*1000</f>
        <v>755.4448053575378</v>
      </c>
      <c r="AI241" s="41">
        <f>P241/'1. Väestöennuste'!R241*1000</f>
        <v>812.05982434698967</v>
      </c>
      <c r="AK241" s="41">
        <f t="shared" si="41"/>
        <v>-1</v>
      </c>
      <c r="AL241" s="41">
        <f t="shared" si="42"/>
        <v>-1</v>
      </c>
      <c r="AM241" s="41">
        <f t="shared" si="43"/>
        <v>0</v>
      </c>
      <c r="AN241" s="41">
        <f t="shared" si="44"/>
        <v>-1</v>
      </c>
      <c r="AO241" s="41">
        <f t="shared" si="45"/>
        <v>-1</v>
      </c>
      <c r="AP241" s="41">
        <f t="shared" si="46"/>
        <v>0</v>
      </c>
      <c r="AQ241" s="41">
        <f t="shared" si="47"/>
        <v>0</v>
      </c>
      <c r="AR241" s="41">
        <f t="shared" si="48"/>
        <v>0</v>
      </c>
      <c r="AS241" s="41">
        <f t="shared" si="49"/>
        <v>0</v>
      </c>
      <c r="AT241" s="41">
        <f t="shared" si="50"/>
        <v>0</v>
      </c>
      <c r="AU241" s="41">
        <f t="shared" si="51"/>
        <v>0</v>
      </c>
      <c r="AV241" s="41">
        <f t="shared" si="52"/>
        <v>0</v>
      </c>
      <c r="AW241" s="41">
        <f t="shared" si="52"/>
        <v>0</v>
      </c>
      <c r="AX241" s="41">
        <f t="shared" si="52"/>
        <v>0</v>
      </c>
    </row>
    <row r="242" spans="1:50" ht="11.25" x14ac:dyDescent="0.2">
      <c r="A242" s="34">
        <v>742</v>
      </c>
      <c r="B242" s="88" t="s">
        <v>556</v>
      </c>
      <c r="C242" s="65">
        <v>321</v>
      </c>
      <c r="D242" s="65">
        <v>1559</v>
      </c>
      <c r="E242" s="65">
        <v>1992</v>
      </c>
      <c r="F242" s="65">
        <v>1635</v>
      </c>
      <c r="G242" s="41">
        <v>1459</v>
      </c>
      <c r="H242" s="41">
        <v>962</v>
      </c>
      <c r="I242" s="41">
        <v>1919.6268399999999</v>
      </c>
      <c r="J242" s="41">
        <f>I242+'Tilikauden tulos'!J242+'9. Tulorahkorjauserät'!J242</f>
        <v>2552.6283688612202</v>
      </c>
      <c r="K242" s="41">
        <f>J242+'Tilikauden tulos'!K242+'9. Tulorahkorjauserät'!K242</f>
        <v>2666.0100309250938</v>
      </c>
      <c r="L242" s="41">
        <f>K242+'Tilikauden tulos'!L242+'9. Tulorahkorjauserät'!L242</f>
        <v>2413.2724679321559</v>
      </c>
      <c r="M242" s="41">
        <f>L242+'Tilikauden tulos'!M242+'9. Tulorahkorjauserät'!M242</f>
        <v>2132.9893423395324</v>
      </c>
      <c r="N242" s="41">
        <f>M242+'Tilikauden tulos'!N242+'9. Tulorahkorjauserät'!N242</f>
        <v>1865.3636694719808</v>
      </c>
      <c r="O242" s="41">
        <f>N242+'Tilikauden tulos'!O242+'9. Tulorahkorjauserät'!O242</f>
        <v>1559.8775563827335</v>
      </c>
      <c r="P242" s="41">
        <f>O242+'Tilikauden tulos'!P242+'9. Tulorahkorjauserät'!P242</f>
        <v>1295.8137410051436</v>
      </c>
      <c r="T242" s="34">
        <v>742</v>
      </c>
      <c r="U242" s="88" t="s">
        <v>556</v>
      </c>
      <c r="V242" s="41">
        <f>C242/'1. Väestöennuste'!E242*1000</f>
        <v>302.54476908576817</v>
      </c>
      <c r="W242" s="41">
        <f>D242/'1. Väestöennuste'!F242*1000</f>
        <v>1493.2950191570881</v>
      </c>
      <c r="X242" s="41">
        <f>E242/'1. Väestöennuste'!G242*1000</f>
        <v>1968.3794466403162</v>
      </c>
      <c r="Y242" s="41">
        <f>F242/'1. Väestöennuste'!H242*1000</f>
        <v>1610.8374384236452</v>
      </c>
      <c r="Z242" s="41">
        <f>G242/'1. Väestöennuste'!I242*1000</f>
        <v>1451.7412935323384</v>
      </c>
      <c r="AA242" s="41">
        <f>H242/'1. Väestöennuste'!J242*1000</f>
        <v>953.41922695738356</v>
      </c>
      <c r="AB242" s="41">
        <f>I242/'1. Väestöennuste'!K242*1000</f>
        <v>1902.5043012884041</v>
      </c>
      <c r="AC242" s="41">
        <f>J242/'1. Väestöennuste'!L242*1000</f>
        <v>2583.6319522886843</v>
      </c>
      <c r="AD242" s="41">
        <f>K242/'1. Väestöennuste'!M242*1000</f>
        <v>2725.9816267127749</v>
      </c>
      <c r="AE242" s="41">
        <f>L242/'1. Väestöennuste'!N242*1000</f>
        <v>2470.0844093471401</v>
      </c>
      <c r="AF242" s="41">
        <f>M242/'1. Väestöennuste'!O242*1000</f>
        <v>2194.4334797731817</v>
      </c>
      <c r="AG242" s="41">
        <f>N242/'1. Väestöennuste'!P242*1000</f>
        <v>1929.0213748417589</v>
      </c>
      <c r="AH242" s="41">
        <f>O242/'1. Väestöennuste'!Q242*1000</f>
        <v>1618.1302452103043</v>
      </c>
      <c r="AI242" s="41">
        <f>P242/'1. Väestöennuste'!R242*1000</f>
        <v>1349.8059802136913</v>
      </c>
      <c r="AK242" s="41">
        <f t="shared" si="41"/>
        <v>0</v>
      </c>
      <c r="AL242" s="41">
        <f t="shared" si="42"/>
        <v>0</v>
      </c>
      <c r="AM242" s="41">
        <f t="shared" si="43"/>
        <v>0</v>
      </c>
      <c r="AN242" s="41">
        <f t="shared" si="44"/>
        <v>0</v>
      </c>
      <c r="AO242" s="41">
        <f t="shared" si="45"/>
        <v>0</v>
      </c>
      <c r="AP242" s="41">
        <f t="shared" si="46"/>
        <v>0</v>
      </c>
      <c r="AQ242" s="41">
        <f t="shared" si="47"/>
        <v>0</v>
      </c>
      <c r="AR242" s="41">
        <f t="shared" si="48"/>
        <v>0</v>
      </c>
      <c r="AS242" s="41">
        <f t="shared" si="49"/>
        <v>0</v>
      </c>
      <c r="AT242" s="41">
        <f t="shared" si="50"/>
        <v>0</v>
      </c>
      <c r="AU242" s="41">
        <f t="shared" si="51"/>
        <v>0</v>
      </c>
      <c r="AV242" s="41">
        <f t="shared" si="52"/>
        <v>0</v>
      </c>
      <c r="AW242" s="41">
        <f t="shared" si="52"/>
        <v>0</v>
      </c>
      <c r="AX242" s="41">
        <f t="shared" si="52"/>
        <v>0</v>
      </c>
    </row>
    <row r="243" spans="1:50" ht="11.25" x14ac:dyDescent="0.2">
      <c r="A243" s="34">
        <v>743</v>
      </c>
      <c r="B243" s="88" t="s">
        <v>557</v>
      </c>
      <c r="C243" s="65">
        <v>25039</v>
      </c>
      <c r="D243" s="65">
        <v>33584</v>
      </c>
      <c r="E243" s="65">
        <v>43477</v>
      </c>
      <c r="F243" s="65">
        <v>35939</v>
      </c>
      <c r="G243" s="41">
        <v>13541</v>
      </c>
      <c r="H243" s="41">
        <v>26749</v>
      </c>
      <c r="I243" s="41">
        <v>21193.558700000001</v>
      </c>
      <c r="J243" s="41">
        <f>I243+'Tilikauden tulos'!J243+'9. Tulorahkorjauserät'!J243</f>
        <v>14064.586515760762</v>
      </c>
      <c r="K243" s="41">
        <f>J243+'Tilikauden tulos'!K243+'9. Tulorahkorjauserät'!K243</f>
        <v>8005.7800590607039</v>
      </c>
      <c r="L243" s="41">
        <f>K243+'Tilikauden tulos'!L243+'9. Tulorahkorjauserät'!L243</f>
        <v>7218.6345266012577</v>
      </c>
      <c r="M243" s="41">
        <f>L243+'Tilikauden tulos'!M243+'9. Tulorahkorjauserät'!M243</f>
        <v>-22122.489731353955</v>
      </c>
      <c r="N243" s="41">
        <f>M243+'Tilikauden tulos'!N243+'9. Tulorahkorjauserät'!N243</f>
        <v>-49675.7938402441</v>
      </c>
      <c r="O243" s="41">
        <f>N243+'Tilikauden tulos'!O243+'9. Tulorahkorjauserät'!O243</f>
        <v>-76937.46513253107</v>
      </c>
      <c r="P243" s="41">
        <f>O243+'Tilikauden tulos'!P243+'9. Tulorahkorjauserät'!P243</f>
        <v>-102425.74366802217</v>
      </c>
      <c r="T243" s="34">
        <v>743</v>
      </c>
      <c r="U243" s="88" t="s">
        <v>557</v>
      </c>
      <c r="V243" s="41">
        <f>C243/'1. Väestöennuste'!E243*1000</f>
        <v>406.9397042093288</v>
      </c>
      <c r="W243" s="41">
        <f>D243/'1. Väestöennuste'!F243*1000</f>
        <v>541.22348997614904</v>
      </c>
      <c r="X243" s="41">
        <f>E243/'1. Väestöennuste'!G243*1000</f>
        <v>693.67860105941668</v>
      </c>
      <c r="Y243" s="41">
        <f>F243/'1. Väestöennuste'!H243*1000</f>
        <v>567.86436607255723</v>
      </c>
      <c r="Z243" s="41">
        <f>G243/'1. Väestöennuste'!I243*1000</f>
        <v>212.30460481961714</v>
      </c>
      <c r="AA243" s="41">
        <f>H243/'1. Väestöennuste'!J243*1000</f>
        <v>417.10587868392327</v>
      </c>
      <c r="AB243" s="41">
        <f>I243/'1. Väestöennuste'!K243*1000</f>
        <v>327.38443369995059</v>
      </c>
      <c r="AC243" s="41">
        <f>J243/'1. Väestöennuste'!L243*1000</f>
        <v>215.30833727417237</v>
      </c>
      <c r="AD243" s="41">
        <f>K243/'1. Väestöennuste'!M243*1000</f>
        <v>121.00634913936976</v>
      </c>
      <c r="AE243" s="41">
        <f>L243/'1. Väestöennuste'!N243*1000</f>
        <v>109.22430816464303</v>
      </c>
      <c r="AF243" s="41">
        <f>M243/'1. Väestöennuste'!O243*1000</f>
        <v>-332.74407357078974</v>
      </c>
      <c r="AG243" s="41">
        <f>N243/'1. Väestöennuste'!P243*1000</f>
        <v>-743.03782574592924</v>
      </c>
      <c r="AH243" s="41">
        <f>O243/'1. Väestöennuste'!Q243*1000</f>
        <v>-1144.8686814757161</v>
      </c>
      <c r="AI243" s="41">
        <f>P243/'1. Väestöennuste'!R243*1000</f>
        <v>-1517.0588255824127</v>
      </c>
      <c r="AK243" s="41">
        <f t="shared" si="41"/>
        <v>0</v>
      </c>
      <c r="AL243" s="41">
        <f t="shared" si="42"/>
        <v>0</v>
      </c>
      <c r="AM243" s="41">
        <f t="shared" si="43"/>
        <v>0</v>
      </c>
      <c r="AN243" s="41">
        <f t="shared" si="44"/>
        <v>0</v>
      </c>
      <c r="AO243" s="41">
        <f t="shared" si="45"/>
        <v>0</v>
      </c>
      <c r="AP243" s="41">
        <f t="shared" si="46"/>
        <v>0</v>
      </c>
      <c r="AQ243" s="41">
        <f t="shared" si="47"/>
        <v>0</v>
      </c>
      <c r="AR243" s="41">
        <f t="shared" si="48"/>
        <v>0</v>
      </c>
      <c r="AS243" s="41">
        <f t="shared" si="49"/>
        <v>0</v>
      </c>
      <c r="AT243" s="41">
        <f t="shared" si="50"/>
        <v>0</v>
      </c>
      <c r="AU243" s="41">
        <f t="shared" si="51"/>
        <v>-1</v>
      </c>
      <c r="AV243" s="41">
        <f t="shared" si="52"/>
        <v>-1</v>
      </c>
      <c r="AW243" s="41">
        <f t="shared" si="52"/>
        <v>-1</v>
      </c>
      <c r="AX243" s="41">
        <f t="shared" si="52"/>
        <v>-1</v>
      </c>
    </row>
    <row r="244" spans="1:50" ht="11.25" x14ac:dyDescent="0.2">
      <c r="A244" s="34">
        <v>746</v>
      </c>
      <c r="B244" s="88" t="s">
        <v>558</v>
      </c>
      <c r="C244" s="65">
        <v>109</v>
      </c>
      <c r="D244" s="65">
        <v>1521</v>
      </c>
      <c r="E244" s="65">
        <v>2632</v>
      </c>
      <c r="F244" s="65">
        <v>3304</v>
      </c>
      <c r="G244" s="41">
        <v>2457</v>
      </c>
      <c r="H244" s="41">
        <v>5577</v>
      </c>
      <c r="I244" s="41">
        <v>7594.2314799999995</v>
      </c>
      <c r="J244" s="41">
        <f>I244+'Tilikauden tulos'!J244+'9. Tulorahkorjauserät'!J244</f>
        <v>11140.599312974753</v>
      </c>
      <c r="K244" s="41">
        <f>J244+'Tilikauden tulos'!K244+'9. Tulorahkorjauserät'!K244</f>
        <v>12261.484920872905</v>
      </c>
      <c r="L244" s="41">
        <f>K244+'Tilikauden tulos'!L244+'9. Tulorahkorjauserät'!L244</f>
        <v>11368.997732076223</v>
      </c>
      <c r="M244" s="41">
        <f>L244+'Tilikauden tulos'!M244+'9. Tulorahkorjauserät'!M244</f>
        <v>11064.749704900936</v>
      </c>
      <c r="N244" s="41">
        <f>M244+'Tilikauden tulos'!N244+'9. Tulorahkorjauserät'!N244</f>
        <v>10917.692334036055</v>
      </c>
      <c r="O244" s="41">
        <f>N244+'Tilikauden tulos'!O244+'9. Tulorahkorjauserät'!O244</f>
        <v>10523.555801204113</v>
      </c>
      <c r="P244" s="41">
        <f>O244+'Tilikauden tulos'!P244+'9. Tulorahkorjauserät'!P244</f>
        <v>10264.929671777387</v>
      </c>
      <c r="T244" s="34">
        <v>746</v>
      </c>
      <c r="U244" s="88" t="s">
        <v>558</v>
      </c>
      <c r="V244" s="41">
        <f>C244/'1. Väestöennuste'!E244*1000</f>
        <v>21.272443403590945</v>
      </c>
      <c r="W244" s="41">
        <f>D244/'1. Väestöennuste'!F244*1000</f>
        <v>300.05918327086209</v>
      </c>
      <c r="X244" s="41">
        <f>E244/'1. Väestöennuste'!G244*1000</f>
        <v>522.74081429990076</v>
      </c>
      <c r="Y244" s="41">
        <f>F244/'1. Väestöennuste'!H244*1000</f>
        <v>663.45381526104416</v>
      </c>
      <c r="Z244" s="41">
        <f>G244/'1. Väestöennuste'!I244*1000</f>
        <v>500.40733197556011</v>
      </c>
      <c r="AA244" s="41">
        <f>H244/'1. Väestöennuste'!J244*1000</f>
        <v>1153.7029375258585</v>
      </c>
      <c r="AB244" s="41">
        <f>I244/'1. Väestöennuste'!K244*1000</f>
        <v>1588.4190504078645</v>
      </c>
      <c r="AC244" s="41">
        <f>J244/'1. Väestöennuste'!L244*1000</f>
        <v>2352.819284683158</v>
      </c>
      <c r="AD244" s="41">
        <f>K244/'1. Väestöennuste'!M244*1000</f>
        <v>2601.6305794340983</v>
      </c>
      <c r="AE244" s="41">
        <f>L244/'1. Väestöennuste'!N244*1000</f>
        <v>2487.2014290256452</v>
      </c>
      <c r="AF244" s="41">
        <f>M244/'1. Väestöennuste'!O244*1000</f>
        <v>2457.7409384497855</v>
      </c>
      <c r="AG244" s="41">
        <f>N244/'1. Väestöennuste'!P244*1000</f>
        <v>2463.9341760406355</v>
      </c>
      <c r="AH244" s="41">
        <f>O244/'1. Väestöennuste'!Q244*1000</f>
        <v>2411.4472505050671</v>
      </c>
      <c r="AI244" s="41">
        <f>P244/'1. Väestöennuste'!R244*1000</f>
        <v>2387.7482372126979</v>
      </c>
      <c r="AK244" s="41">
        <f t="shared" si="41"/>
        <v>0</v>
      </c>
      <c r="AL244" s="41">
        <f t="shared" si="42"/>
        <v>0</v>
      </c>
      <c r="AM244" s="41">
        <f t="shared" si="43"/>
        <v>0</v>
      </c>
      <c r="AN244" s="41">
        <f t="shared" si="44"/>
        <v>0</v>
      </c>
      <c r="AO244" s="41">
        <f t="shared" si="45"/>
        <v>0</v>
      </c>
      <c r="AP244" s="41">
        <f t="shared" si="46"/>
        <v>0</v>
      </c>
      <c r="AQ244" s="41">
        <f t="shared" si="47"/>
        <v>0</v>
      </c>
      <c r="AR244" s="41">
        <f t="shared" si="48"/>
        <v>0</v>
      </c>
      <c r="AS244" s="41">
        <f t="shared" si="49"/>
        <v>0</v>
      </c>
      <c r="AT244" s="41">
        <f t="shared" si="50"/>
        <v>0</v>
      </c>
      <c r="AU244" s="41">
        <f t="shared" si="51"/>
        <v>0</v>
      </c>
      <c r="AV244" s="41">
        <f t="shared" si="52"/>
        <v>0</v>
      </c>
      <c r="AW244" s="41">
        <f t="shared" si="52"/>
        <v>0</v>
      </c>
      <c r="AX244" s="41">
        <f t="shared" si="52"/>
        <v>0</v>
      </c>
    </row>
    <row r="245" spans="1:50" ht="11.25" x14ac:dyDescent="0.2">
      <c r="A245" s="34">
        <v>747</v>
      </c>
      <c r="B245" s="88" t="s">
        <v>559</v>
      </c>
      <c r="C245" s="65">
        <v>1152</v>
      </c>
      <c r="D245" s="65">
        <v>1465</v>
      </c>
      <c r="E245" s="65">
        <v>1789</v>
      </c>
      <c r="F245" s="65">
        <v>2181</v>
      </c>
      <c r="G245" s="41">
        <v>3227</v>
      </c>
      <c r="H245" s="41">
        <v>4179</v>
      </c>
      <c r="I245" s="41">
        <v>4900.3639000000003</v>
      </c>
      <c r="J245" s="41">
        <f>I245+'Tilikauden tulos'!J245+'9. Tulorahkorjauserät'!J245</f>
        <v>5204.2216393754616</v>
      </c>
      <c r="K245" s="41">
        <f>J245+'Tilikauden tulos'!K245+'9. Tulorahkorjauserät'!K245</f>
        <v>5899.0365141251032</v>
      </c>
      <c r="L245" s="41">
        <f>K245+'Tilikauden tulos'!L245+'9. Tulorahkorjauserät'!L245</f>
        <v>5281.2496982428574</v>
      </c>
      <c r="M245" s="41">
        <f>L245+'Tilikauden tulos'!M245+'9. Tulorahkorjauserät'!M245</f>
        <v>5374.5257856149192</v>
      </c>
      <c r="N245" s="41">
        <f>M245+'Tilikauden tulos'!N245+'9. Tulorahkorjauserät'!N245</f>
        <v>5594.6801300372235</v>
      </c>
      <c r="O245" s="41">
        <f>N245+'Tilikauden tulos'!O245+'9. Tulorahkorjauserät'!O245</f>
        <v>5751.3376844878221</v>
      </c>
      <c r="P245" s="41">
        <f>O245+'Tilikauden tulos'!P245+'9. Tulorahkorjauserät'!P245</f>
        <v>5997.4126864791024</v>
      </c>
      <c r="T245" s="34">
        <v>747</v>
      </c>
      <c r="U245" s="88" t="s">
        <v>559</v>
      </c>
      <c r="V245" s="41">
        <f>C245/'1. Väestöennuste'!E245*1000</f>
        <v>754.42043222003929</v>
      </c>
      <c r="W245" s="41">
        <f>D245/'1. Väestöennuste'!F245*1000</f>
        <v>980.58902275769742</v>
      </c>
      <c r="X245" s="41">
        <f>E245/'1. Väestöennuste'!G245*1000</f>
        <v>1212.0596205962061</v>
      </c>
      <c r="Y245" s="41">
        <f>F245/'1. Väestöennuste'!H245*1000</f>
        <v>1495.8847736625514</v>
      </c>
      <c r="Z245" s="41">
        <f>G245/'1. Väestöennuste'!I245*1000</f>
        <v>2245.6506610995129</v>
      </c>
      <c r="AA245" s="41">
        <f>H245/'1. Väestöennuste'!J245*1000</f>
        <v>3017.3285198555955</v>
      </c>
      <c r="AB245" s="41">
        <f>I245/'1. Väestöennuste'!K245*1000</f>
        <v>3624.5295118343197</v>
      </c>
      <c r="AC245" s="41">
        <f>J245/'1. Väestöennuste'!L245*1000</f>
        <v>3978.7627212350626</v>
      </c>
      <c r="AD245" s="41">
        <f>K245/'1. Väestöennuste'!M245*1000</f>
        <v>4597.8460749221385</v>
      </c>
      <c r="AE245" s="41">
        <f>L245/'1. Väestöennuste'!N245*1000</f>
        <v>4087.6545652034501</v>
      </c>
      <c r="AF245" s="41">
        <f>M245/'1. Väestöennuste'!O245*1000</f>
        <v>4215.31434165876</v>
      </c>
      <c r="AG245" s="41">
        <f>N245/'1. Väestöennuste'!P245*1000</f>
        <v>4447.2815024143274</v>
      </c>
      <c r="AH245" s="41">
        <f>O245/'1. Väestöennuste'!Q245*1000</f>
        <v>4626.9812425485297</v>
      </c>
      <c r="AI245" s="41">
        <f>P245/'1. Väestöennuste'!R245*1000</f>
        <v>4895.8470910033484</v>
      </c>
      <c r="AK245" s="41">
        <f t="shared" si="41"/>
        <v>0</v>
      </c>
      <c r="AL245" s="41">
        <f t="shared" si="42"/>
        <v>0</v>
      </c>
      <c r="AM245" s="41">
        <f t="shared" si="43"/>
        <v>0</v>
      </c>
      <c r="AN245" s="41">
        <f t="shared" si="44"/>
        <v>0</v>
      </c>
      <c r="AO245" s="41">
        <f t="shared" si="45"/>
        <v>0</v>
      </c>
      <c r="AP245" s="41">
        <f t="shared" si="46"/>
        <v>0</v>
      </c>
      <c r="AQ245" s="41">
        <f t="shared" si="47"/>
        <v>0</v>
      </c>
      <c r="AR245" s="41">
        <f t="shared" si="48"/>
        <v>0</v>
      </c>
      <c r="AS245" s="41">
        <f t="shared" si="49"/>
        <v>0</v>
      </c>
      <c r="AT245" s="41">
        <f t="shared" si="50"/>
        <v>0</v>
      </c>
      <c r="AU245" s="41">
        <f t="shared" si="51"/>
        <v>0</v>
      </c>
      <c r="AV245" s="41">
        <f t="shared" si="52"/>
        <v>0</v>
      </c>
      <c r="AW245" s="41">
        <f t="shared" si="52"/>
        <v>0</v>
      </c>
      <c r="AX245" s="41">
        <f t="shared" si="52"/>
        <v>0</v>
      </c>
    </row>
    <row r="246" spans="1:50" ht="11.25" x14ac:dyDescent="0.2">
      <c r="A246" s="34">
        <v>748</v>
      </c>
      <c r="B246" s="88" t="s">
        <v>560</v>
      </c>
      <c r="C246" s="65">
        <v>2991</v>
      </c>
      <c r="D246" s="65">
        <v>4192</v>
      </c>
      <c r="E246" s="65">
        <v>5442</v>
      </c>
      <c r="F246" s="65">
        <v>5620</v>
      </c>
      <c r="G246" s="41">
        <v>6965</v>
      </c>
      <c r="H246" s="41">
        <v>8200</v>
      </c>
      <c r="I246" s="41">
        <v>8720.2731000000003</v>
      </c>
      <c r="J246" s="41">
        <f>I246+'Tilikauden tulos'!J246+'9. Tulorahkorjauserät'!J246</f>
        <v>10946.733879173606</v>
      </c>
      <c r="K246" s="41">
        <f>J246+'Tilikauden tulos'!K246+'9. Tulorahkorjauserät'!K246</f>
        <v>10373.490485483462</v>
      </c>
      <c r="L246" s="41">
        <f>K246+'Tilikauden tulos'!L246+'9. Tulorahkorjauserät'!L246</f>
        <v>9334.2108762625194</v>
      </c>
      <c r="M246" s="41">
        <f>L246+'Tilikauden tulos'!M246+'9. Tulorahkorjauserät'!M246</f>
        <v>6552.3213797410217</v>
      </c>
      <c r="N246" s="41">
        <f>M246+'Tilikauden tulos'!N246+'9. Tulorahkorjauserät'!N246</f>
        <v>3649.8995840418002</v>
      </c>
      <c r="O246" s="41">
        <f>N246+'Tilikauden tulos'!O246+'9. Tulorahkorjauserät'!O246</f>
        <v>523.26357097125492</v>
      </c>
      <c r="P246" s="41">
        <f>O246+'Tilikauden tulos'!P246+'9. Tulorahkorjauserät'!P246</f>
        <v>-2535.6365946828291</v>
      </c>
      <c r="T246" s="34">
        <v>748</v>
      </c>
      <c r="U246" s="88" t="s">
        <v>560</v>
      </c>
      <c r="V246" s="41">
        <f>C246/'1. Väestöennuste'!E246*1000</f>
        <v>547.20087815587272</v>
      </c>
      <c r="W246" s="41">
        <f>D246/'1. Väestöennuste'!F246*1000</f>
        <v>781.21505777115169</v>
      </c>
      <c r="X246" s="41">
        <f>E246/'1. Väestöennuste'!G246*1000</f>
        <v>1018.5289163391353</v>
      </c>
      <c r="Y246" s="41">
        <f>F246/'1. Väestöennuste'!H246*1000</f>
        <v>1070.6801295484854</v>
      </c>
      <c r="Z246" s="41">
        <f>G246/'1. Väestöennuste'!I246*1000</f>
        <v>1353.7414965986395</v>
      </c>
      <c r="AA246" s="41">
        <f>H246/'1. Väestöennuste'!J246*1000</f>
        <v>1628.9233214143821</v>
      </c>
      <c r="AB246" s="41">
        <f>I246/'1. Väestöennuste'!K246*1000</f>
        <v>1734.3423031026252</v>
      </c>
      <c r="AC246" s="41">
        <f>J246/'1. Väestöennuste'!L246*1000</f>
        <v>2235.3959320346344</v>
      </c>
      <c r="AD246" s="41">
        <f>K246/'1. Väestöennuste'!M246*1000</f>
        <v>2144.6124634036514</v>
      </c>
      <c r="AE246" s="41">
        <f>L246/'1. Väestöennuste'!N246*1000</f>
        <v>2003.9095912972348</v>
      </c>
      <c r="AF246" s="41">
        <f>M246/'1. Väestöennuste'!O246*1000</f>
        <v>1432.5145124051205</v>
      </c>
      <c r="AG246" s="41">
        <f>N246/'1. Väestöennuste'!P246*1000</f>
        <v>811.44944064957758</v>
      </c>
      <c r="AH246" s="41">
        <f>O246/'1. Väestöennuste'!Q246*1000</f>
        <v>118.25165445678078</v>
      </c>
      <c r="AI246" s="41">
        <f>P246/'1. Väestöennuste'!R246*1000</f>
        <v>-582.36945215499054</v>
      </c>
      <c r="AK246" s="41">
        <f t="shared" si="41"/>
        <v>0</v>
      </c>
      <c r="AL246" s="41">
        <f t="shared" si="42"/>
        <v>0</v>
      </c>
      <c r="AM246" s="41">
        <f t="shared" si="43"/>
        <v>0</v>
      </c>
      <c r="AN246" s="41">
        <f t="shared" si="44"/>
        <v>0</v>
      </c>
      <c r="AO246" s="41">
        <f t="shared" si="45"/>
        <v>0</v>
      </c>
      <c r="AP246" s="41">
        <f t="shared" si="46"/>
        <v>0</v>
      </c>
      <c r="AQ246" s="41">
        <f t="shared" si="47"/>
        <v>0</v>
      </c>
      <c r="AR246" s="41">
        <f t="shared" si="48"/>
        <v>0</v>
      </c>
      <c r="AS246" s="41">
        <f t="shared" si="49"/>
        <v>0</v>
      </c>
      <c r="AT246" s="41">
        <f t="shared" si="50"/>
        <v>0</v>
      </c>
      <c r="AU246" s="41">
        <f t="shared" si="51"/>
        <v>0</v>
      </c>
      <c r="AV246" s="41">
        <f t="shared" si="52"/>
        <v>0</v>
      </c>
      <c r="AW246" s="41">
        <f t="shared" si="52"/>
        <v>0</v>
      </c>
      <c r="AX246" s="41">
        <f t="shared" si="52"/>
        <v>-1</v>
      </c>
    </row>
    <row r="247" spans="1:50" ht="11.25" x14ac:dyDescent="0.2">
      <c r="A247" s="34">
        <v>749</v>
      </c>
      <c r="B247" s="88" t="s">
        <v>561</v>
      </c>
      <c r="C247" s="65">
        <v>3512</v>
      </c>
      <c r="D247" s="65">
        <v>4417</v>
      </c>
      <c r="E247" s="65">
        <v>6186</v>
      </c>
      <c r="F247" s="65">
        <v>1721</v>
      </c>
      <c r="G247" s="41">
        <v>4976</v>
      </c>
      <c r="H247" s="41">
        <v>5485</v>
      </c>
      <c r="I247" s="41">
        <v>6053.79846</v>
      </c>
      <c r="J247" s="41">
        <f>I247+'Tilikauden tulos'!J247+'9. Tulorahkorjauserät'!J247</f>
        <v>3069.7801859989604</v>
      </c>
      <c r="K247" s="41">
        <f>J247+'Tilikauden tulos'!K247+'9. Tulorahkorjauserät'!K247</f>
        <v>2589.7422574204779</v>
      </c>
      <c r="L247" s="41">
        <f>K247+'Tilikauden tulos'!L247+'9. Tulorahkorjauserät'!L247</f>
        <v>4093.6643374393511</v>
      </c>
      <c r="M247" s="41">
        <f>L247+'Tilikauden tulos'!M247+'9. Tulorahkorjauserät'!M247</f>
        <v>2018.6712294364111</v>
      </c>
      <c r="N247" s="41">
        <f>M247+'Tilikauden tulos'!N247+'9. Tulorahkorjauserät'!N247</f>
        <v>-2051.4720857403818</v>
      </c>
      <c r="O247" s="41">
        <f>N247+'Tilikauden tulos'!O247+'9. Tulorahkorjauserät'!O247</f>
        <v>-5820.2192471067092</v>
      </c>
      <c r="P247" s="41">
        <f>O247+'Tilikauden tulos'!P247+'9. Tulorahkorjauserät'!P247</f>
        <v>-7523.6074330312485</v>
      </c>
      <c r="T247" s="34">
        <v>749</v>
      </c>
      <c r="U247" s="88" t="s">
        <v>561</v>
      </c>
      <c r="V247" s="41">
        <f>C247/'1. Väestöennuste'!E247*1000</f>
        <v>161.14526934018537</v>
      </c>
      <c r="W247" s="41">
        <f>D247/'1. Väestöennuste'!F247*1000</f>
        <v>202.91253215729509</v>
      </c>
      <c r="X247" s="41">
        <f>E247/'1. Väestöennuste'!G247*1000</f>
        <v>285.63512951932404</v>
      </c>
      <c r="Y247" s="41">
        <f>F247/'1. Väestöennuste'!H247*1000</f>
        <v>79.403894066623593</v>
      </c>
      <c r="Z247" s="41">
        <f>G247/'1. Väestöennuste'!I247*1000</f>
        <v>232.27372450170378</v>
      </c>
      <c r="AA247" s="41">
        <f>H247/'1. Väestöennuste'!J247*1000</f>
        <v>258.10550091760388</v>
      </c>
      <c r="AB247" s="41">
        <f>I247/'1. Väestöennuste'!K247*1000</f>
        <v>284.30932513032451</v>
      </c>
      <c r="AC247" s="41">
        <f>J247/'1. Väestöennuste'!L247*1000</f>
        <v>144.58271411072724</v>
      </c>
      <c r="AD247" s="41">
        <f>K247/'1. Väestöennuste'!M247*1000</f>
        <v>121.64125210993321</v>
      </c>
      <c r="AE247" s="41">
        <f>L247/'1. Väestöennuste'!N247*1000</f>
        <v>196.39533378619032</v>
      </c>
      <c r="AF247" s="41">
        <f>M247/'1. Väestöennuste'!O247*1000</f>
        <v>97.327574824570235</v>
      </c>
      <c r="AG247" s="41">
        <f>N247/'1. Väestöennuste'!P247*1000</f>
        <v>-99.455669061927651</v>
      </c>
      <c r="AH247" s="41">
        <f>O247/'1. Väestöennuste'!Q247*1000</f>
        <v>-283.80238185618828</v>
      </c>
      <c r="AI247" s="41">
        <f>P247/'1. Väestöennuste'!R247*1000</f>
        <v>-369.03945813661886</v>
      </c>
      <c r="AK247" s="41">
        <f t="shared" si="41"/>
        <v>0</v>
      </c>
      <c r="AL247" s="41">
        <f t="shared" si="42"/>
        <v>0</v>
      </c>
      <c r="AM247" s="41">
        <f t="shared" si="43"/>
        <v>0</v>
      </c>
      <c r="AN247" s="41">
        <f t="shared" si="44"/>
        <v>0</v>
      </c>
      <c r="AO247" s="41">
        <f t="shared" si="45"/>
        <v>0</v>
      </c>
      <c r="AP247" s="41">
        <f t="shared" si="46"/>
        <v>0</v>
      </c>
      <c r="AQ247" s="41">
        <f t="shared" si="47"/>
        <v>0</v>
      </c>
      <c r="AR247" s="41">
        <f t="shared" si="48"/>
        <v>0</v>
      </c>
      <c r="AS247" s="41">
        <f t="shared" si="49"/>
        <v>0</v>
      </c>
      <c r="AT247" s="41">
        <f t="shared" si="50"/>
        <v>0</v>
      </c>
      <c r="AU247" s="41">
        <f t="shared" si="51"/>
        <v>0</v>
      </c>
      <c r="AV247" s="41">
        <f t="shared" si="52"/>
        <v>-1</v>
      </c>
      <c r="AW247" s="41">
        <f t="shared" si="52"/>
        <v>-1</v>
      </c>
      <c r="AX247" s="41">
        <f t="shared" si="52"/>
        <v>-1</v>
      </c>
    </row>
    <row r="248" spans="1:50" ht="11.25" x14ac:dyDescent="0.2">
      <c r="A248" s="34">
        <v>751</v>
      </c>
      <c r="B248" s="88" t="s">
        <v>562</v>
      </c>
      <c r="C248" s="65">
        <v>1389</v>
      </c>
      <c r="D248" s="65">
        <v>1877</v>
      </c>
      <c r="E248" s="65">
        <v>2865</v>
      </c>
      <c r="F248" s="65">
        <v>2303</v>
      </c>
      <c r="G248" s="41">
        <v>650</v>
      </c>
      <c r="H248" s="41">
        <v>2102</v>
      </c>
      <c r="I248" s="41">
        <v>2628.0072099999998</v>
      </c>
      <c r="J248" s="41">
        <f>I248+'Tilikauden tulos'!J248+'9. Tulorahkorjauserät'!J248</f>
        <v>3900.2432090112302</v>
      </c>
      <c r="K248" s="41">
        <f>J248+'Tilikauden tulos'!K248+'9. Tulorahkorjauserät'!K248</f>
        <v>7084.7152423657053</v>
      </c>
      <c r="L248" s="41">
        <f>K248+'Tilikauden tulos'!L248+'9. Tulorahkorjauserät'!L248</f>
        <v>7730.0134068851621</v>
      </c>
      <c r="M248" s="41">
        <f>L248+'Tilikauden tulos'!M248+'9. Tulorahkorjauserät'!M248</f>
        <v>9001.8097776433697</v>
      </c>
      <c r="N248" s="41">
        <f>M248+'Tilikauden tulos'!N248+'9. Tulorahkorjauserät'!N248</f>
        <v>10019.714861067958</v>
      </c>
      <c r="O248" s="41">
        <f>N248+'Tilikauden tulos'!O248+'9. Tulorahkorjauserät'!O248</f>
        <v>10805.466571955259</v>
      </c>
      <c r="P248" s="41">
        <f>O248+'Tilikauden tulos'!P248+'9. Tulorahkorjauserät'!P248</f>
        <v>11834.515125380722</v>
      </c>
      <c r="T248" s="34">
        <v>751</v>
      </c>
      <c r="U248" s="88" t="s">
        <v>562</v>
      </c>
      <c r="V248" s="41">
        <f>C248/'1. Väestöennuste'!E248*1000</f>
        <v>428.96849907350213</v>
      </c>
      <c r="W248" s="41">
        <f>D248/'1. Väestöennuste'!F248*1000</f>
        <v>592.11356466876975</v>
      </c>
      <c r="X248" s="41">
        <f>E248/'1. Väestöennuste'!G248*1000</f>
        <v>921.22186495176845</v>
      </c>
      <c r="Y248" s="41">
        <f>F248/'1. Väestöennuste'!H248*1000</f>
        <v>756.32183908045977</v>
      </c>
      <c r="Z248" s="41">
        <f>G248/'1. Väestöennuste'!I248*1000</f>
        <v>217.53681392235612</v>
      </c>
      <c r="AA248" s="41">
        <f>H248/'1. Väestöennuste'!J248*1000</f>
        <v>712.54237288135596</v>
      </c>
      <c r="AB248" s="41">
        <f>I248/'1. Väestöennuste'!K248*1000</f>
        <v>904.96116046831946</v>
      </c>
      <c r="AC248" s="41">
        <f>J248/'1. Väestöennuste'!L248*1000</f>
        <v>1355.6632634727948</v>
      </c>
      <c r="AD248" s="41">
        <f>K248/'1. Väestöennuste'!M248*1000</f>
        <v>2505.2034096059779</v>
      </c>
      <c r="AE248" s="41">
        <f>L248/'1. Väestöennuste'!N248*1000</f>
        <v>2795.6648849494259</v>
      </c>
      <c r="AF248" s="41">
        <f>M248/'1. Väestöennuste'!O248*1000</f>
        <v>3309.4888888394739</v>
      </c>
      <c r="AG248" s="41">
        <f>N248/'1. Väestöennuste'!P248*1000</f>
        <v>3741.491733035085</v>
      </c>
      <c r="AH248" s="41">
        <f>O248/'1. Väestöennuste'!Q248*1000</f>
        <v>4091.4299780216811</v>
      </c>
      <c r="AI248" s="41">
        <f>P248/'1. Väestöennuste'!R248*1000</f>
        <v>4551.7365866848922</v>
      </c>
      <c r="AK248" s="41">
        <f t="shared" si="41"/>
        <v>0</v>
      </c>
      <c r="AL248" s="41">
        <f t="shared" si="42"/>
        <v>0</v>
      </c>
      <c r="AM248" s="41">
        <f t="shared" si="43"/>
        <v>0</v>
      </c>
      <c r="AN248" s="41">
        <f t="shared" si="44"/>
        <v>0</v>
      </c>
      <c r="AO248" s="41">
        <f t="shared" si="45"/>
        <v>0</v>
      </c>
      <c r="AP248" s="41">
        <f t="shared" si="46"/>
        <v>0</v>
      </c>
      <c r="AQ248" s="41">
        <f t="shared" si="47"/>
        <v>0</v>
      </c>
      <c r="AR248" s="41">
        <f t="shared" si="48"/>
        <v>0</v>
      </c>
      <c r="AS248" s="41">
        <f t="shared" si="49"/>
        <v>0</v>
      </c>
      <c r="AT248" s="41">
        <f t="shared" si="50"/>
        <v>0</v>
      </c>
      <c r="AU248" s="41">
        <f t="shared" si="51"/>
        <v>0</v>
      </c>
      <c r="AV248" s="41">
        <f t="shared" si="52"/>
        <v>0</v>
      </c>
      <c r="AW248" s="41">
        <f t="shared" si="52"/>
        <v>0</v>
      </c>
      <c r="AX248" s="41">
        <f t="shared" si="52"/>
        <v>0</v>
      </c>
    </row>
    <row r="249" spans="1:50" ht="11.25" x14ac:dyDescent="0.2">
      <c r="A249" s="34">
        <v>753</v>
      </c>
      <c r="B249" s="88" t="s">
        <v>563</v>
      </c>
      <c r="C249" s="65">
        <v>9160</v>
      </c>
      <c r="D249" s="65">
        <v>10207</v>
      </c>
      <c r="E249" s="65">
        <v>14583</v>
      </c>
      <c r="F249" s="65">
        <v>16115</v>
      </c>
      <c r="G249" s="41">
        <v>17057</v>
      </c>
      <c r="H249" s="41">
        <v>19787</v>
      </c>
      <c r="I249" s="41">
        <v>22329.833490000001</v>
      </c>
      <c r="J249" s="41">
        <f>I249+'Tilikauden tulos'!J249+'9. Tulorahkorjauserät'!J249</f>
        <v>21994.764978813</v>
      </c>
      <c r="K249" s="41">
        <f>J249+'Tilikauden tulos'!K249+'9. Tulorahkorjauserät'!K249</f>
        <v>21833.958936059134</v>
      </c>
      <c r="L249" s="41">
        <f>K249+'Tilikauden tulos'!L249+'9. Tulorahkorjauserät'!L249</f>
        <v>22693.561881084086</v>
      </c>
      <c r="M249" s="41">
        <f>L249+'Tilikauden tulos'!M249+'9. Tulorahkorjauserät'!M249</f>
        <v>22178.722518721595</v>
      </c>
      <c r="N249" s="41">
        <f>M249+'Tilikauden tulos'!N249+'9. Tulorahkorjauserät'!N249</f>
        <v>19875.503960607577</v>
      </c>
      <c r="O249" s="41">
        <f>N249+'Tilikauden tulos'!O249+'9. Tulorahkorjauserät'!O249</f>
        <v>16741.77690991541</v>
      </c>
      <c r="P249" s="41">
        <f>O249+'Tilikauden tulos'!P249+'9. Tulorahkorjauserät'!P249</f>
        <v>13963.11143330067</v>
      </c>
      <c r="T249" s="34">
        <v>753</v>
      </c>
      <c r="U249" s="88" t="s">
        <v>563</v>
      </c>
      <c r="V249" s="41">
        <f>C249/'1. Väestöennuste'!E249*1000</f>
        <v>472.18928810763447</v>
      </c>
      <c r="W249" s="41">
        <f>D249/'1. Väestöennuste'!F249*1000</f>
        <v>512.34815781548036</v>
      </c>
      <c r="X249" s="41">
        <f>E249/'1. Väestöennuste'!G249*1000</f>
        <v>718.02067946824218</v>
      </c>
      <c r="Y249" s="41">
        <f>F249/'1. Väestöennuste'!H249*1000</f>
        <v>779.78321881351008</v>
      </c>
      <c r="Z249" s="41">
        <f>G249/'1. Väestöennuste'!I249*1000</f>
        <v>805.71563533301833</v>
      </c>
      <c r="AA249" s="41">
        <f>H249/'1. Väestöennuste'!J249*1000</f>
        <v>912.38991100659382</v>
      </c>
      <c r="AB249" s="41">
        <f>I249/'1. Väestöennuste'!K249*1000</f>
        <v>1006.3016444344299</v>
      </c>
      <c r="AC249" s="41">
        <f>J249/'1. Väestöennuste'!L249*1000</f>
        <v>985.42853847728497</v>
      </c>
      <c r="AD249" s="41">
        <f>K249/'1. Väestöennuste'!M249*1000</f>
        <v>966.31816490635697</v>
      </c>
      <c r="AE249" s="41">
        <f>L249/'1. Väestöennuste'!N249*1000</f>
        <v>976.48717216368698</v>
      </c>
      <c r="AF249" s="41">
        <f>M249/'1. Väestöennuste'!O249*1000</f>
        <v>939.617120772818</v>
      </c>
      <c r="AG249" s="41">
        <f>N249/'1. Väestöennuste'!P249*1000</f>
        <v>829.52854593520772</v>
      </c>
      <c r="AH249" s="41">
        <f>O249/'1. Väestöennuste'!Q249*1000</f>
        <v>688.9053127279816</v>
      </c>
      <c r="AI249" s="41">
        <f>P249/'1. Väestöennuste'!R249*1000</f>
        <v>566.89178000489915</v>
      </c>
      <c r="AK249" s="41">
        <f t="shared" si="41"/>
        <v>0</v>
      </c>
      <c r="AL249" s="41">
        <f t="shared" si="42"/>
        <v>0</v>
      </c>
      <c r="AM249" s="41">
        <f t="shared" si="43"/>
        <v>0</v>
      </c>
      <c r="AN249" s="41">
        <f t="shared" si="44"/>
        <v>0</v>
      </c>
      <c r="AO249" s="41">
        <f t="shared" si="45"/>
        <v>0</v>
      </c>
      <c r="AP249" s="41">
        <f t="shared" si="46"/>
        <v>0</v>
      </c>
      <c r="AQ249" s="41">
        <f t="shared" si="47"/>
        <v>0</v>
      </c>
      <c r="AR249" s="41">
        <f t="shared" si="48"/>
        <v>0</v>
      </c>
      <c r="AS249" s="41">
        <f t="shared" si="49"/>
        <v>0</v>
      </c>
      <c r="AT249" s="41">
        <f t="shared" si="50"/>
        <v>0</v>
      </c>
      <c r="AU249" s="41">
        <f t="shared" si="51"/>
        <v>0</v>
      </c>
      <c r="AV249" s="41">
        <f t="shared" si="52"/>
        <v>0</v>
      </c>
      <c r="AW249" s="41">
        <f t="shared" si="52"/>
        <v>0</v>
      </c>
      <c r="AX249" s="41">
        <f t="shared" si="52"/>
        <v>0</v>
      </c>
    </row>
    <row r="250" spans="1:50" ht="11.25" x14ac:dyDescent="0.2">
      <c r="A250" s="34">
        <v>755</v>
      </c>
      <c r="B250" s="88" t="s">
        <v>564</v>
      </c>
      <c r="C250" s="65">
        <v>-2259</v>
      </c>
      <c r="D250" s="65">
        <v>461</v>
      </c>
      <c r="E250" s="65">
        <v>2019</v>
      </c>
      <c r="F250" s="65">
        <v>2824</v>
      </c>
      <c r="G250" s="41">
        <v>1341</v>
      </c>
      <c r="H250" s="41">
        <v>3222</v>
      </c>
      <c r="I250" s="41">
        <v>4961.0581400000001</v>
      </c>
      <c r="J250" s="41">
        <f>I250+'Tilikauden tulos'!J250+'9. Tulorahkorjauserät'!J250</f>
        <v>5483.0176589422153</v>
      </c>
      <c r="K250" s="41">
        <f>J250+'Tilikauden tulos'!K250+'9. Tulorahkorjauserät'!K250</f>
        <v>5817.4244943374315</v>
      </c>
      <c r="L250" s="41">
        <f>K250+'Tilikauden tulos'!L250+'9. Tulorahkorjauserät'!L250</f>
        <v>5655.7920917203564</v>
      </c>
      <c r="M250" s="41">
        <f>L250+'Tilikauden tulos'!M250+'9. Tulorahkorjauserät'!M250</f>
        <v>5049.7792386178171</v>
      </c>
      <c r="N250" s="41">
        <f>M250+'Tilikauden tulos'!N250+'9. Tulorahkorjauserät'!N250</f>
        <v>4405.9737600292847</v>
      </c>
      <c r="O250" s="41">
        <f>N250+'Tilikauden tulos'!O250+'9. Tulorahkorjauserät'!O250</f>
        <v>3418.2105395646531</v>
      </c>
      <c r="P250" s="41">
        <f>O250+'Tilikauden tulos'!P250+'9. Tulorahkorjauserät'!P250</f>
        <v>2497.6905784388059</v>
      </c>
      <c r="T250" s="34">
        <v>755</v>
      </c>
      <c r="U250" s="88" t="s">
        <v>564</v>
      </c>
      <c r="V250" s="41">
        <f>C250/'1. Väestöennuste'!E250*1000</f>
        <v>-365.41572306696861</v>
      </c>
      <c r="W250" s="41">
        <f>D250/'1. Väestöennuste'!F250*1000</f>
        <v>74.619617999352542</v>
      </c>
      <c r="X250" s="41">
        <f>E250/'1. Väestöennuste'!G250*1000</f>
        <v>328.50634559062803</v>
      </c>
      <c r="Y250" s="41">
        <f>F250/'1. Väestöennuste'!H250*1000</f>
        <v>460.38474078904466</v>
      </c>
      <c r="Z250" s="41">
        <f>G250/'1. Väestöennuste'!I250*1000</f>
        <v>218.22620016273393</v>
      </c>
      <c r="AA250" s="41">
        <f>H250/'1. Väestöennuste'!J250*1000</f>
        <v>523.98764026671006</v>
      </c>
      <c r="AB250" s="41">
        <f>I250/'1. Väestöennuste'!K250*1000</f>
        <v>800.42887060342048</v>
      </c>
      <c r="AC250" s="41">
        <f>J250/'1. Väestöennuste'!L250*1000</f>
        <v>881.93946581023249</v>
      </c>
      <c r="AD250" s="41">
        <f>K250/'1. Väestöennuste'!M250*1000</f>
        <v>944.69381200672808</v>
      </c>
      <c r="AE250" s="41">
        <f>L250/'1. Väestöennuste'!N250*1000</f>
        <v>913.55065283804822</v>
      </c>
      <c r="AF250" s="41">
        <f>M250/'1. Väestöennuste'!O250*1000</f>
        <v>814.4805223577124</v>
      </c>
      <c r="AG250" s="41">
        <f>N250/'1. Väestöennuste'!P250*1000</f>
        <v>709.83949734642897</v>
      </c>
      <c r="AH250" s="41">
        <f>O250/'1. Väestöennuste'!Q250*1000</f>
        <v>550.25926264723967</v>
      </c>
      <c r="AI250" s="41">
        <f>P250/'1. Väestöennuste'!R250*1000</f>
        <v>401.75174174663113</v>
      </c>
      <c r="AK250" s="41">
        <f t="shared" si="41"/>
        <v>-1</v>
      </c>
      <c r="AL250" s="41">
        <f t="shared" si="42"/>
        <v>0</v>
      </c>
      <c r="AM250" s="41">
        <f t="shared" si="43"/>
        <v>0</v>
      </c>
      <c r="AN250" s="41">
        <f t="shared" si="44"/>
        <v>0</v>
      </c>
      <c r="AO250" s="41">
        <f t="shared" si="45"/>
        <v>0</v>
      </c>
      <c r="AP250" s="41">
        <f t="shared" si="46"/>
        <v>0</v>
      </c>
      <c r="AQ250" s="41">
        <f t="shared" si="47"/>
        <v>0</v>
      </c>
      <c r="AR250" s="41">
        <f t="shared" si="48"/>
        <v>0</v>
      </c>
      <c r="AS250" s="41">
        <f t="shared" si="49"/>
        <v>0</v>
      </c>
      <c r="AT250" s="41">
        <f t="shared" si="50"/>
        <v>0</v>
      </c>
      <c r="AU250" s="41">
        <f t="shared" si="51"/>
        <v>0</v>
      </c>
      <c r="AV250" s="41">
        <f t="shared" si="52"/>
        <v>0</v>
      </c>
      <c r="AW250" s="41">
        <f t="shared" si="52"/>
        <v>0</v>
      </c>
      <c r="AX250" s="41">
        <f t="shared" si="52"/>
        <v>0</v>
      </c>
    </row>
    <row r="251" spans="1:50" ht="11.25" x14ac:dyDescent="0.2">
      <c r="A251" s="34">
        <v>758</v>
      </c>
      <c r="B251" s="88" t="s">
        <v>565</v>
      </c>
      <c r="C251" s="65">
        <v>2576</v>
      </c>
      <c r="D251" s="65">
        <v>2624</v>
      </c>
      <c r="E251" s="65">
        <v>2788</v>
      </c>
      <c r="F251" s="65">
        <v>1155</v>
      </c>
      <c r="G251" s="41">
        <v>-1895</v>
      </c>
      <c r="H251" s="41">
        <v>2721</v>
      </c>
      <c r="I251" s="41">
        <v>7341.4073099999996</v>
      </c>
      <c r="J251" s="41">
        <f>I251+'Tilikauden tulos'!J251+'9. Tulorahkorjauserät'!J251</f>
        <v>13615.023611309096</v>
      </c>
      <c r="K251" s="41">
        <f>J251+'Tilikauden tulos'!K251+'9. Tulorahkorjauserät'!K251</f>
        <v>21212.624924425018</v>
      </c>
      <c r="L251" s="41">
        <f>K251+'Tilikauden tulos'!L251+'9. Tulorahkorjauserät'!L251</f>
        <v>29566.166842991912</v>
      </c>
      <c r="M251" s="41">
        <f>L251+'Tilikauden tulos'!M251+'9. Tulorahkorjauserät'!M251</f>
        <v>37642.020553205199</v>
      </c>
      <c r="N251" s="41">
        <f>M251+'Tilikauden tulos'!N251+'9. Tulorahkorjauserät'!N251</f>
        <v>45486.269304501075</v>
      </c>
      <c r="O251" s="41">
        <f>N251+'Tilikauden tulos'!O251+'9. Tulorahkorjauserät'!O251</f>
        <v>54036.1562874761</v>
      </c>
      <c r="P251" s="41">
        <f>O251+'Tilikauden tulos'!P251+'9. Tulorahkorjauserät'!P251</f>
        <v>63393.783663033202</v>
      </c>
      <c r="T251" s="34">
        <v>758</v>
      </c>
      <c r="U251" s="88" t="s">
        <v>565</v>
      </c>
      <c r="V251" s="41">
        <f>C251/'1. Väestöennuste'!E251*1000</f>
        <v>293.32726030516966</v>
      </c>
      <c r="W251" s="41">
        <f>D251/'1. Väestöennuste'!F251*1000</f>
        <v>303.24742863746678</v>
      </c>
      <c r="X251" s="41">
        <f>E251/'1. Väestöennuste'!G251*1000</f>
        <v>326.27267407840844</v>
      </c>
      <c r="Y251" s="41">
        <f>F251/'1. Väestöennuste'!H251*1000</f>
        <v>136.78351492183799</v>
      </c>
      <c r="Z251" s="41">
        <f>G251/'1. Väestöennuste'!I251*1000</f>
        <v>-228.23075996627725</v>
      </c>
      <c r="AA251" s="41">
        <f>H251/'1. Väestöennuste'!J251*1000</f>
        <v>329.17977256230341</v>
      </c>
      <c r="AB251" s="41">
        <f>I251/'1. Väestöennuste'!K251*1000</f>
        <v>896.71519604250636</v>
      </c>
      <c r="AC251" s="41">
        <f>J251/'1. Väestöennuste'!L251*1000</f>
        <v>1673.8411127746615</v>
      </c>
      <c r="AD251" s="41">
        <f>K251/'1. Väestöennuste'!M251*1000</f>
        <v>2610.4633182900589</v>
      </c>
      <c r="AE251" s="41">
        <f>L251/'1. Väestöennuste'!N251*1000</f>
        <v>3752.527838937925</v>
      </c>
      <c r="AF251" s="41">
        <f>M251/'1. Väestöennuste'!O251*1000</f>
        <v>4827.1377985644012</v>
      </c>
      <c r="AG251" s="41">
        <f>N251/'1. Väestöennuste'!P251*1000</f>
        <v>5894.294324802524</v>
      </c>
      <c r="AH251" s="41">
        <f>O251/'1. Väestöennuste'!Q251*1000</f>
        <v>7077.4271496366864</v>
      </c>
      <c r="AI251" s="41">
        <f>P251/'1. Väestöennuste'!R251*1000</f>
        <v>8388.7499884918889</v>
      </c>
      <c r="AK251" s="41">
        <f t="shared" si="41"/>
        <v>0</v>
      </c>
      <c r="AL251" s="41">
        <f t="shared" si="42"/>
        <v>0</v>
      </c>
      <c r="AM251" s="41">
        <f t="shared" si="43"/>
        <v>0</v>
      </c>
      <c r="AN251" s="41">
        <f t="shared" si="44"/>
        <v>0</v>
      </c>
      <c r="AO251" s="41">
        <f t="shared" si="45"/>
        <v>-1</v>
      </c>
      <c r="AP251" s="41">
        <f t="shared" si="46"/>
        <v>0</v>
      </c>
      <c r="AQ251" s="41">
        <f t="shared" si="47"/>
        <v>0</v>
      </c>
      <c r="AR251" s="41">
        <f t="shared" si="48"/>
        <v>0</v>
      </c>
      <c r="AS251" s="41">
        <f t="shared" si="49"/>
        <v>0</v>
      </c>
      <c r="AT251" s="41">
        <f t="shared" si="50"/>
        <v>0</v>
      </c>
      <c r="AU251" s="41">
        <f t="shared" si="51"/>
        <v>0</v>
      </c>
      <c r="AV251" s="41">
        <f t="shared" si="52"/>
        <v>0</v>
      </c>
      <c r="AW251" s="41">
        <f t="shared" si="52"/>
        <v>0</v>
      </c>
      <c r="AX251" s="41">
        <f t="shared" si="52"/>
        <v>0</v>
      </c>
    </row>
    <row r="252" spans="1:50" ht="11.25" x14ac:dyDescent="0.2">
      <c r="A252" s="34">
        <v>759</v>
      </c>
      <c r="B252" s="88" t="s">
        <v>566</v>
      </c>
      <c r="C252" s="65">
        <v>1188</v>
      </c>
      <c r="D252" s="65">
        <v>1545</v>
      </c>
      <c r="E252" s="65">
        <v>2508</v>
      </c>
      <c r="F252" s="65">
        <v>2880</v>
      </c>
      <c r="G252" s="41">
        <v>4743</v>
      </c>
      <c r="H252" s="41">
        <v>4810</v>
      </c>
      <c r="I252" s="41">
        <v>3779.8360600000001</v>
      </c>
      <c r="J252" s="41">
        <f>I252+'Tilikauden tulos'!J252+'9. Tulorahkorjauserät'!J252</f>
        <v>4471.9007650293497</v>
      </c>
      <c r="K252" s="41">
        <f>J252+'Tilikauden tulos'!K252+'9. Tulorahkorjauserät'!K252</f>
        <v>5639.6600012215695</v>
      </c>
      <c r="L252" s="41">
        <f>K252+'Tilikauden tulos'!L252+'9. Tulorahkorjauserät'!L252</f>
        <v>6140.0070324892467</v>
      </c>
      <c r="M252" s="41">
        <f>L252+'Tilikauden tulos'!M252+'9. Tulorahkorjauserät'!M252</f>
        <v>6362.9609600098256</v>
      </c>
      <c r="N252" s="41">
        <f>M252+'Tilikauden tulos'!N252+'9. Tulorahkorjauserät'!N252</f>
        <v>6597.5182404580028</v>
      </c>
      <c r="O252" s="41">
        <f>N252+'Tilikauden tulos'!O252+'9. Tulorahkorjauserät'!O252</f>
        <v>6808.4974748800723</v>
      </c>
      <c r="P252" s="41">
        <f>O252+'Tilikauden tulos'!P252+'9. Tulorahkorjauserät'!P252</f>
        <v>7269.8220431727641</v>
      </c>
      <c r="T252" s="34">
        <v>759</v>
      </c>
      <c r="U252" s="88" t="s">
        <v>566</v>
      </c>
      <c r="V252" s="41">
        <f>C252/'1. Väestöennuste'!E252*1000</f>
        <v>534.17266187050359</v>
      </c>
      <c r="W252" s="41">
        <f>D252/'1. Väestöennuste'!F252*1000</f>
        <v>706.77035681610244</v>
      </c>
      <c r="X252" s="41">
        <f>E252/'1. Väestöennuste'!G252*1000</f>
        <v>1186.3765373699148</v>
      </c>
      <c r="Y252" s="41">
        <f>F252/'1. Väestöennuste'!H252*1000</f>
        <v>1381.294964028777</v>
      </c>
      <c r="Z252" s="41">
        <f>G252/'1. Väestöennuste'!I252*1000</f>
        <v>2311.4035087719299</v>
      </c>
      <c r="AA252" s="41">
        <f>H252/'1. Väestöennuste'!J252*1000</f>
        <v>2396.6118584952665</v>
      </c>
      <c r="AB252" s="41">
        <f>I252/'1. Väestöennuste'!K252*1000</f>
        <v>1892.757165748623</v>
      </c>
      <c r="AC252" s="41">
        <f>J252/'1. Väestöennuste'!L252*1000</f>
        <v>2302.7295391500256</v>
      </c>
      <c r="AD252" s="41">
        <f>K252/'1. Väestöennuste'!M252*1000</f>
        <v>3011.0304331134917</v>
      </c>
      <c r="AE252" s="41">
        <f>L252/'1. Väestöennuste'!N252*1000</f>
        <v>3304.63241791671</v>
      </c>
      <c r="AF252" s="41">
        <f>M252/'1. Väestöennuste'!O252*1000</f>
        <v>3480.8320350163158</v>
      </c>
      <c r="AG252" s="41">
        <f>N252/'1. Väestöennuste'!P252*1000</f>
        <v>3675.4976269961016</v>
      </c>
      <c r="AH252" s="41">
        <f>O252/'1. Väestöennuste'!Q252*1000</f>
        <v>3855.3213334541747</v>
      </c>
      <c r="AI252" s="41">
        <f>P252/'1. Väestöennuste'!R252*1000</f>
        <v>4185.27463625375</v>
      </c>
      <c r="AK252" s="41">
        <f t="shared" si="41"/>
        <v>0</v>
      </c>
      <c r="AL252" s="41">
        <f t="shared" si="42"/>
        <v>0</v>
      </c>
      <c r="AM252" s="41">
        <f t="shared" si="43"/>
        <v>0</v>
      </c>
      <c r="AN252" s="41">
        <f t="shared" si="44"/>
        <v>0</v>
      </c>
      <c r="AO252" s="41">
        <f t="shared" si="45"/>
        <v>0</v>
      </c>
      <c r="AP252" s="41">
        <f t="shared" si="46"/>
        <v>0</v>
      </c>
      <c r="AQ252" s="41">
        <f t="shared" si="47"/>
        <v>0</v>
      </c>
      <c r="AR252" s="41">
        <f t="shared" si="48"/>
        <v>0</v>
      </c>
      <c r="AS252" s="41">
        <f t="shared" si="49"/>
        <v>0</v>
      </c>
      <c r="AT252" s="41">
        <f t="shared" si="50"/>
        <v>0</v>
      </c>
      <c r="AU252" s="41">
        <f t="shared" si="51"/>
        <v>0</v>
      </c>
      <c r="AV252" s="41">
        <f t="shared" si="52"/>
        <v>0</v>
      </c>
      <c r="AW252" s="41">
        <f t="shared" si="52"/>
        <v>0</v>
      </c>
      <c r="AX252" s="41">
        <f t="shared" si="52"/>
        <v>0</v>
      </c>
    </row>
    <row r="253" spans="1:50" ht="11.25" x14ac:dyDescent="0.2">
      <c r="A253" s="34">
        <v>761</v>
      </c>
      <c r="B253" s="88" t="s">
        <v>567</v>
      </c>
      <c r="C253" s="65">
        <v>24734</v>
      </c>
      <c r="D253" s="65">
        <v>28523</v>
      </c>
      <c r="E253" s="65">
        <v>30411</v>
      </c>
      <c r="F253" s="65">
        <v>29694</v>
      </c>
      <c r="G253" s="41">
        <v>27548</v>
      </c>
      <c r="H253" s="41">
        <v>30515</v>
      </c>
      <c r="I253" s="41">
        <v>31764.186099999999</v>
      </c>
      <c r="J253" s="41">
        <f>I253+'Tilikauden tulos'!J253+'9. Tulorahkorjauserät'!J253</f>
        <v>29083.450918235591</v>
      </c>
      <c r="K253" s="41">
        <f>J253+'Tilikauden tulos'!K253+'9. Tulorahkorjauserät'!K253</f>
        <v>31851.376744232366</v>
      </c>
      <c r="L253" s="41">
        <f>K253+'Tilikauden tulos'!L253+'9. Tulorahkorjauserät'!L253</f>
        <v>32196.538342641648</v>
      </c>
      <c r="M253" s="41">
        <f>L253+'Tilikauden tulos'!M253+'9. Tulorahkorjauserät'!M253</f>
        <v>31805.0381266615</v>
      </c>
      <c r="N253" s="41">
        <f>M253+'Tilikauden tulos'!N253+'9. Tulorahkorjauserät'!N253</f>
        <v>31168.094444844824</v>
      </c>
      <c r="O253" s="41">
        <f>N253+'Tilikauden tulos'!O253+'9. Tulorahkorjauserät'!O253</f>
        <v>30406.353167135436</v>
      </c>
      <c r="P253" s="41">
        <f>O253+'Tilikauden tulos'!P253+'9. Tulorahkorjauserät'!P253</f>
        <v>30778.666803611683</v>
      </c>
      <c r="T253" s="34">
        <v>761</v>
      </c>
      <c r="U253" s="88" t="s">
        <v>567</v>
      </c>
      <c r="V253" s="41">
        <f>C253/'1. Väestöennuste'!E253*1000</f>
        <v>2720.1143736940503</v>
      </c>
      <c r="W253" s="41">
        <f>D253/'1. Väestöennuste'!F253*1000</f>
        <v>3159.7429932424943</v>
      </c>
      <c r="X253" s="41">
        <f>E253/'1. Väestöennuste'!G253*1000</f>
        <v>3409.6871846619574</v>
      </c>
      <c r="Y253" s="41">
        <f>F253/'1. Väestöennuste'!H253*1000</f>
        <v>3363.6157680108745</v>
      </c>
      <c r="Z253" s="41">
        <f>G253/'1. Väestöennuste'!I253*1000</f>
        <v>3162.4382964068423</v>
      </c>
      <c r="AA253" s="41">
        <f>H253/'1. Väestöennuste'!J253*1000</f>
        <v>3529.3777469349989</v>
      </c>
      <c r="AB253" s="41">
        <f>I253/'1. Väestöennuste'!K253*1000</f>
        <v>3709.4693565339248</v>
      </c>
      <c r="AC253" s="41">
        <f>J253/'1. Väestöennuste'!L253*1000</f>
        <v>3451.6319627623534</v>
      </c>
      <c r="AD253" s="41">
        <f>K253/'1. Väestöennuste'!M253*1000</f>
        <v>3787.3218483034916</v>
      </c>
      <c r="AE253" s="41">
        <f>L253/'1. Väestöennuste'!N253*1000</f>
        <v>3885.1862365924517</v>
      </c>
      <c r="AF253" s="41">
        <f>M253/'1. Väestöennuste'!O253*1000</f>
        <v>3872.995388049379</v>
      </c>
      <c r="AG253" s="41">
        <f>N253/'1. Väestöennuste'!P253*1000</f>
        <v>3828.5338956939963</v>
      </c>
      <c r="AH253" s="41">
        <f>O253/'1. Väestöennuste'!Q253*1000</f>
        <v>3765.9590249114981</v>
      </c>
      <c r="AI253" s="41">
        <f>P253/'1. Väestöennuste'!R253*1000</f>
        <v>3840.6122789632745</v>
      </c>
      <c r="AK253" s="41">
        <f t="shared" si="41"/>
        <v>0</v>
      </c>
      <c r="AL253" s="41">
        <f t="shared" si="42"/>
        <v>0</v>
      </c>
      <c r="AM253" s="41">
        <f t="shared" si="43"/>
        <v>0</v>
      </c>
      <c r="AN253" s="41">
        <f t="shared" si="44"/>
        <v>0</v>
      </c>
      <c r="AO253" s="41">
        <f t="shared" si="45"/>
        <v>0</v>
      </c>
      <c r="AP253" s="41">
        <f t="shared" si="46"/>
        <v>0</v>
      </c>
      <c r="AQ253" s="41">
        <f t="shared" si="47"/>
        <v>0</v>
      </c>
      <c r="AR253" s="41">
        <f t="shared" si="48"/>
        <v>0</v>
      </c>
      <c r="AS253" s="41">
        <f t="shared" si="49"/>
        <v>0</v>
      </c>
      <c r="AT253" s="41">
        <f t="shared" si="50"/>
        <v>0</v>
      </c>
      <c r="AU253" s="41">
        <f t="shared" si="51"/>
        <v>0</v>
      </c>
      <c r="AV253" s="41">
        <f t="shared" si="52"/>
        <v>0</v>
      </c>
      <c r="AW253" s="41">
        <f t="shared" si="52"/>
        <v>0</v>
      </c>
      <c r="AX253" s="41">
        <f t="shared" si="52"/>
        <v>0</v>
      </c>
    </row>
    <row r="254" spans="1:50" ht="11.25" x14ac:dyDescent="0.2">
      <c r="A254" s="34">
        <v>762</v>
      </c>
      <c r="B254" s="88" t="s">
        <v>568</v>
      </c>
      <c r="C254" s="65">
        <v>1860</v>
      </c>
      <c r="D254" s="65">
        <v>1000</v>
      </c>
      <c r="E254" s="65">
        <v>2815</v>
      </c>
      <c r="F254" s="65">
        <v>2922</v>
      </c>
      <c r="G254" s="41">
        <v>3352</v>
      </c>
      <c r="H254" s="41">
        <v>5409</v>
      </c>
      <c r="I254" s="41">
        <v>7953.7547300000006</v>
      </c>
      <c r="J254" s="41">
        <f>I254+'Tilikauden tulos'!J254+'9. Tulorahkorjauserät'!J254</f>
        <v>9164.9119296801364</v>
      </c>
      <c r="K254" s="41">
        <f>J254+'Tilikauden tulos'!K254+'9. Tulorahkorjauserät'!K254</f>
        <v>11054.100796393883</v>
      </c>
      <c r="L254" s="41">
        <f>K254+'Tilikauden tulos'!L254+'9. Tulorahkorjauserät'!L254</f>
        <v>12591.115915276885</v>
      </c>
      <c r="M254" s="41">
        <f>L254+'Tilikauden tulos'!M254+'9. Tulorahkorjauserät'!M254</f>
        <v>12346.532087533231</v>
      </c>
      <c r="N254" s="41">
        <f>M254+'Tilikauden tulos'!N254+'9. Tulorahkorjauserät'!N254</f>
        <v>12011.939512218461</v>
      </c>
      <c r="O254" s="41">
        <f>N254+'Tilikauden tulos'!O254+'9. Tulorahkorjauserät'!O254</f>
        <v>11509.05077711165</v>
      </c>
      <c r="P254" s="41">
        <f>O254+'Tilikauden tulos'!P254+'9. Tulorahkorjauserät'!P254</f>
        <v>11430.954078253139</v>
      </c>
      <c r="T254" s="34">
        <v>762</v>
      </c>
      <c r="U254" s="88" t="s">
        <v>568</v>
      </c>
      <c r="V254" s="41">
        <f>C254/'1. Väestöennuste'!E254*1000</f>
        <v>434.78260869565219</v>
      </c>
      <c r="W254" s="41">
        <f>D254/'1. Väestöennuste'!F254*1000</f>
        <v>238.15194093831866</v>
      </c>
      <c r="X254" s="41">
        <f>E254/'1. Väestöennuste'!G254*1000</f>
        <v>690.79754601227</v>
      </c>
      <c r="Y254" s="41">
        <f>F254/'1. Väestöennuste'!H254*1000</f>
        <v>736.57675825560875</v>
      </c>
      <c r="Z254" s="41">
        <f>G254/'1. Väestöennuste'!I254*1000</f>
        <v>860.1488324352066</v>
      </c>
      <c r="AA254" s="41">
        <f>H254/'1. Väestöennuste'!J254*1000</f>
        <v>1408.2270242124446</v>
      </c>
      <c r="AB254" s="41">
        <f>I254/'1. Väestöennuste'!K254*1000</f>
        <v>2105.8392189568444</v>
      </c>
      <c r="AC254" s="41">
        <f>J254/'1. Väestöennuste'!L254*1000</f>
        <v>2495.8910483878367</v>
      </c>
      <c r="AD254" s="41">
        <f>K254/'1. Väestöennuste'!M254*1000</f>
        <v>3039.3458334874572</v>
      </c>
      <c r="AE254" s="41">
        <f>L254/'1. Väestöennuste'!N254*1000</f>
        <v>3540.8087500778638</v>
      </c>
      <c r="AF254" s="41">
        <f>M254/'1. Väestöennuste'!O254*1000</f>
        <v>3530.6068308645213</v>
      </c>
      <c r="AG254" s="41">
        <f>N254/'1. Väestöennuste'!P254*1000</f>
        <v>3489.8139198775307</v>
      </c>
      <c r="AH254" s="41">
        <f>O254/'1. Väestöennuste'!Q254*1000</f>
        <v>3393.9990495758334</v>
      </c>
      <c r="AI254" s="41">
        <f>P254/'1. Väestöennuste'!R254*1000</f>
        <v>3421.4169644576891</v>
      </c>
      <c r="AK254" s="41">
        <f t="shared" si="41"/>
        <v>0</v>
      </c>
      <c r="AL254" s="41">
        <f t="shared" si="42"/>
        <v>0</v>
      </c>
      <c r="AM254" s="41">
        <f t="shared" si="43"/>
        <v>0</v>
      </c>
      <c r="AN254" s="41">
        <f t="shared" si="44"/>
        <v>0</v>
      </c>
      <c r="AO254" s="41">
        <f t="shared" si="45"/>
        <v>0</v>
      </c>
      <c r="AP254" s="41">
        <f t="shared" si="46"/>
        <v>0</v>
      </c>
      <c r="AQ254" s="41">
        <f t="shared" si="47"/>
        <v>0</v>
      </c>
      <c r="AR254" s="41">
        <f t="shared" si="48"/>
        <v>0</v>
      </c>
      <c r="AS254" s="41">
        <f t="shared" si="49"/>
        <v>0</v>
      </c>
      <c r="AT254" s="41">
        <f t="shared" si="50"/>
        <v>0</v>
      </c>
      <c r="AU254" s="41">
        <f t="shared" si="51"/>
        <v>0</v>
      </c>
      <c r="AV254" s="41">
        <f t="shared" si="52"/>
        <v>0</v>
      </c>
      <c r="AW254" s="41">
        <f t="shared" si="52"/>
        <v>0</v>
      </c>
      <c r="AX254" s="41">
        <f t="shared" si="52"/>
        <v>0</v>
      </c>
    </row>
    <row r="255" spans="1:50" ht="11.25" x14ac:dyDescent="0.2">
      <c r="A255" s="34">
        <v>765</v>
      </c>
      <c r="B255" s="88" t="s">
        <v>569</v>
      </c>
      <c r="C255" s="65">
        <v>14288</v>
      </c>
      <c r="D255" s="65">
        <v>13025</v>
      </c>
      <c r="E255" s="65">
        <v>13840</v>
      </c>
      <c r="F255" s="65">
        <v>10435</v>
      </c>
      <c r="G255" s="41">
        <v>60821</v>
      </c>
      <c r="H255" s="41">
        <v>55850</v>
      </c>
      <c r="I255" s="41">
        <v>52408.160759999999</v>
      </c>
      <c r="J255" s="41">
        <f>I255+'Tilikauden tulos'!J255+'9. Tulorahkorjauserät'!J255</f>
        <v>50614.855453422526</v>
      </c>
      <c r="K255" s="41">
        <f>J255+'Tilikauden tulos'!K255+'9. Tulorahkorjauserät'!K255</f>
        <v>43544.34204130961</v>
      </c>
      <c r="L255" s="41">
        <f>K255+'Tilikauden tulos'!L255+'9. Tulorahkorjauserät'!L255</f>
        <v>39345.694501945487</v>
      </c>
      <c r="M255" s="41">
        <f>L255+'Tilikauden tulos'!M255+'9. Tulorahkorjauserät'!M255</f>
        <v>31652.135826351063</v>
      </c>
      <c r="N255" s="41">
        <f>M255+'Tilikauden tulos'!N255+'9. Tulorahkorjauserät'!N255</f>
        <v>23096.55812917872</v>
      </c>
      <c r="O255" s="41">
        <f>N255+'Tilikauden tulos'!O255+'9. Tulorahkorjauserät'!O255</f>
        <v>14369.302899073062</v>
      </c>
      <c r="P255" s="41">
        <f>O255+'Tilikauden tulos'!P255+'9. Tulorahkorjauserät'!P255</f>
        <v>6168.8651706037017</v>
      </c>
      <c r="T255" s="34">
        <v>765</v>
      </c>
      <c r="U255" s="88" t="s">
        <v>569</v>
      </c>
      <c r="V255" s="41">
        <f>C255/'1. Väestöennuste'!E255*1000</f>
        <v>1357.787703126485</v>
      </c>
      <c r="W255" s="41">
        <f>D255/'1. Väestöennuste'!F255*1000</f>
        <v>1243.9117562792474</v>
      </c>
      <c r="X255" s="41">
        <f>E255/'1. Väestöennuste'!G255*1000</f>
        <v>1327.8326777319389</v>
      </c>
      <c r="Y255" s="41">
        <f>F255/'1. Väestöennuste'!H255*1000</f>
        <v>1004.4277601309077</v>
      </c>
      <c r="Z255" s="41">
        <f>G255/'1. Väestöennuste'!I255*1000</f>
        <v>5884.3846749226004</v>
      </c>
      <c r="AA255" s="41">
        <f>H255/'1. Väestöennuste'!J255*1000</f>
        <v>5421.8037083778272</v>
      </c>
      <c r="AB255" s="41">
        <f>I255/'1. Väestöennuste'!K255*1000</f>
        <v>5064.5690722844993</v>
      </c>
      <c r="AC255" s="41">
        <f>J255/'1. Väestöennuste'!L255*1000</f>
        <v>4888.434948176794</v>
      </c>
      <c r="AD255" s="41">
        <f>K255/'1. Väestöennuste'!M255*1000</f>
        <v>4238.304656541718</v>
      </c>
      <c r="AE255" s="41">
        <f>L255/'1. Väestöennuste'!N255*1000</f>
        <v>3896.3848783863623</v>
      </c>
      <c r="AF255" s="41">
        <f>M255/'1. Väestöennuste'!O255*1000</f>
        <v>3150.40667128009</v>
      </c>
      <c r="AG255" s="41">
        <f>N255/'1. Väestöennuste'!P255*1000</f>
        <v>2309.8868015980315</v>
      </c>
      <c r="AH255" s="41">
        <f>O255/'1. Väestöennuste'!Q255*1000</f>
        <v>1444.2962005300094</v>
      </c>
      <c r="AI255" s="41">
        <f>P255/'1. Väestöennuste'!R255*1000</f>
        <v>623.11769400037383</v>
      </c>
      <c r="AK255" s="41">
        <f t="shared" si="41"/>
        <v>0</v>
      </c>
      <c r="AL255" s="41">
        <f t="shared" si="42"/>
        <v>0</v>
      </c>
      <c r="AM255" s="41">
        <f t="shared" si="43"/>
        <v>0</v>
      </c>
      <c r="AN255" s="41">
        <f t="shared" si="44"/>
        <v>0</v>
      </c>
      <c r="AO255" s="41">
        <f t="shared" si="45"/>
        <v>0</v>
      </c>
      <c r="AP255" s="41">
        <f t="shared" si="46"/>
        <v>0</v>
      </c>
      <c r="AQ255" s="41">
        <f t="shared" si="47"/>
        <v>0</v>
      </c>
      <c r="AR255" s="41">
        <f t="shared" si="48"/>
        <v>0</v>
      </c>
      <c r="AS255" s="41">
        <f t="shared" si="49"/>
        <v>0</v>
      </c>
      <c r="AT255" s="41">
        <f t="shared" si="50"/>
        <v>0</v>
      </c>
      <c r="AU255" s="41">
        <f t="shared" si="51"/>
        <v>0</v>
      </c>
      <c r="AV255" s="41">
        <f t="shared" si="52"/>
        <v>0</v>
      </c>
      <c r="AW255" s="41">
        <f t="shared" si="52"/>
        <v>0</v>
      </c>
      <c r="AX255" s="41">
        <f t="shared" si="52"/>
        <v>0</v>
      </c>
    </row>
    <row r="256" spans="1:50" ht="11.25" x14ac:dyDescent="0.2">
      <c r="A256" s="34">
        <v>768</v>
      </c>
      <c r="B256" s="88" t="s">
        <v>570</v>
      </c>
      <c r="C256" s="65">
        <v>773</v>
      </c>
      <c r="D256" s="65">
        <v>797</v>
      </c>
      <c r="E256" s="65">
        <v>2843</v>
      </c>
      <c r="F256" s="65">
        <v>3610</v>
      </c>
      <c r="G256" s="41">
        <v>4485</v>
      </c>
      <c r="H256" s="41">
        <v>5279</v>
      </c>
      <c r="I256" s="41">
        <v>5571.5881300000001</v>
      </c>
      <c r="J256" s="41">
        <f>I256+'Tilikauden tulos'!J256+'9. Tulorahkorjauserät'!J256</f>
        <v>6432.8179417260826</v>
      </c>
      <c r="K256" s="41">
        <f>J256+'Tilikauden tulos'!K256+'9. Tulorahkorjauserät'!K256</f>
        <v>6351.7627589577614</v>
      </c>
      <c r="L256" s="41">
        <f>K256+'Tilikauden tulos'!L256+'9. Tulorahkorjauserät'!L256</f>
        <v>6611.0091380447111</v>
      </c>
      <c r="M256" s="41">
        <f>L256+'Tilikauden tulos'!M256+'9. Tulorahkorjauserät'!M256</f>
        <v>6389.7943344393725</v>
      </c>
      <c r="N256" s="41">
        <f>M256+'Tilikauden tulos'!N256+'9. Tulorahkorjauserät'!N256</f>
        <v>5549.4120815353399</v>
      </c>
      <c r="O256" s="41">
        <f>N256+'Tilikauden tulos'!O256+'9. Tulorahkorjauserät'!O256</f>
        <v>4653.3253308525391</v>
      </c>
      <c r="P256" s="41">
        <f>O256+'Tilikauden tulos'!P256+'9. Tulorahkorjauserät'!P256</f>
        <v>4033.4885839768608</v>
      </c>
      <c r="T256" s="34">
        <v>768</v>
      </c>
      <c r="U256" s="88" t="s">
        <v>570</v>
      </c>
      <c r="V256" s="41">
        <f>C256/'1. Väestöennuste'!E256*1000</f>
        <v>283.77386196769453</v>
      </c>
      <c r="W256" s="41">
        <f>D256/'1. Väestöennuste'!F256*1000</f>
        <v>299.51146185644495</v>
      </c>
      <c r="X256" s="41">
        <f>E256/'1. Väestöennuste'!G256*1000</f>
        <v>1098.5316846986091</v>
      </c>
      <c r="Y256" s="41">
        <f>F256/'1. Väestöennuste'!H256*1000</f>
        <v>1426.8774703557312</v>
      </c>
      <c r="Z256" s="41">
        <f>G256/'1. Väestöennuste'!I256*1000</f>
        <v>1799.7592295345105</v>
      </c>
      <c r="AA256" s="41">
        <f>H256/'1. Väestöennuste'!J256*1000</f>
        <v>2126.9137792103143</v>
      </c>
      <c r="AB256" s="41">
        <f>I256/'1. Väestöennuste'!K256*1000</f>
        <v>2292.8346213991772</v>
      </c>
      <c r="AC256" s="41">
        <f>J256/'1. Väestöennuste'!L256*1000</f>
        <v>2708.5549228320347</v>
      </c>
      <c r="AD256" s="41">
        <f>K256/'1. Väestöennuste'!M256*1000</f>
        <v>2682.3322461814869</v>
      </c>
      <c r="AE256" s="41">
        <f>L256/'1. Väestöennuste'!N256*1000</f>
        <v>2883.1265320735765</v>
      </c>
      <c r="AF256" s="41">
        <f>M256/'1. Väestöennuste'!O256*1000</f>
        <v>2834.8688262818864</v>
      </c>
      <c r="AG256" s="41">
        <f>N256/'1. Väestöennuste'!P256*1000</f>
        <v>2501.9892162016863</v>
      </c>
      <c r="AH256" s="41">
        <f>O256/'1. Väestöennuste'!Q256*1000</f>
        <v>2129.6683436396056</v>
      </c>
      <c r="AI256" s="41">
        <f>P256/'1. Väestöennuste'!R256*1000</f>
        <v>1869.9529828358186</v>
      </c>
      <c r="AK256" s="41">
        <f t="shared" si="41"/>
        <v>0</v>
      </c>
      <c r="AL256" s="41">
        <f t="shared" si="42"/>
        <v>0</v>
      </c>
      <c r="AM256" s="41">
        <f t="shared" si="43"/>
        <v>0</v>
      </c>
      <c r="AN256" s="41">
        <f t="shared" si="44"/>
        <v>0</v>
      </c>
      <c r="AO256" s="41">
        <f t="shared" si="45"/>
        <v>0</v>
      </c>
      <c r="AP256" s="41">
        <f t="shared" si="46"/>
        <v>0</v>
      </c>
      <c r="AQ256" s="41">
        <f t="shared" si="47"/>
        <v>0</v>
      </c>
      <c r="AR256" s="41">
        <f t="shared" si="48"/>
        <v>0</v>
      </c>
      <c r="AS256" s="41">
        <f t="shared" si="49"/>
        <v>0</v>
      </c>
      <c r="AT256" s="41">
        <f t="shared" si="50"/>
        <v>0</v>
      </c>
      <c r="AU256" s="41">
        <f t="shared" si="51"/>
        <v>0</v>
      </c>
      <c r="AV256" s="41">
        <f t="shared" si="52"/>
        <v>0</v>
      </c>
      <c r="AW256" s="41">
        <f t="shared" si="52"/>
        <v>0</v>
      </c>
      <c r="AX256" s="41">
        <f t="shared" si="52"/>
        <v>0</v>
      </c>
    </row>
    <row r="257" spans="1:50" ht="11.25" x14ac:dyDescent="0.2">
      <c r="A257" s="34">
        <v>777</v>
      </c>
      <c r="B257" s="88" t="s">
        <v>571</v>
      </c>
      <c r="C257" s="65">
        <v>17487</v>
      </c>
      <c r="D257" s="65">
        <v>18113</v>
      </c>
      <c r="E257" s="65">
        <v>17940</v>
      </c>
      <c r="F257" s="65">
        <v>12107</v>
      </c>
      <c r="G257" s="41">
        <v>9750</v>
      </c>
      <c r="H257" s="41">
        <v>9508</v>
      </c>
      <c r="I257" s="41">
        <v>11465.74107</v>
      </c>
      <c r="J257" s="41">
        <f>I257+'Tilikauden tulos'!J257+'9. Tulorahkorjauserät'!J257</f>
        <v>16368.337709636708</v>
      </c>
      <c r="K257" s="41">
        <f>J257+'Tilikauden tulos'!K257+'9. Tulorahkorjauserät'!K257</f>
        <v>16542.995318479236</v>
      </c>
      <c r="L257" s="41">
        <f>K257+'Tilikauden tulos'!L257+'9. Tulorahkorjauserät'!L257</f>
        <v>16990.347036180356</v>
      </c>
      <c r="M257" s="41">
        <f>L257+'Tilikauden tulos'!M257+'9. Tulorahkorjauserät'!M257</f>
        <v>16415.349594051309</v>
      </c>
      <c r="N257" s="41">
        <f>M257+'Tilikauden tulos'!N257+'9. Tulorahkorjauserät'!N257</f>
        <v>16385.488862820046</v>
      </c>
      <c r="O257" s="41">
        <f>N257+'Tilikauden tulos'!O257+'9. Tulorahkorjauserät'!O257</f>
        <v>16135.276278835583</v>
      </c>
      <c r="P257" s="41">
        <f>O257+'Tilikauden tulos'!P257+'9. Tulorahkorjauserät'!P257</f>
        <v>17078.976146263321</v>
      </c>
      <c r="T257" s="34">
        <v>777</v>
      </c>
      <c r="U257" s="88" t="s">
        <v>571</v>
      </c>
      <c r="V257" s="41">
        <f>C257/'1. Väestöennuste'!E257*1000</f>
        <v>2097.7687140115163</v>
      </c>
      <c r="W257" s="41">
        <f>D257/'1. Väestöennuste'!F257*1000</f>
        <v>2212.4099181629413</v>
      </c>
      <c r="X257" s="41">
        <f>E257/'1. Väestöennuste'!G257*1000</f>
        <v>2228.2946217861136</v>
      </c>
      <c r="Y257" s="41">
        <f>F257/'1. Väestöennuste'!H257*1000</f>
        <v>1539.938946832867</v>
      </c>
      <c r="Z257" s="41">
        <f>G257/'1. Väestöennuste'!I257*1000</f>
        <v>1261.8092403261292</v>
      </c>
      <c r="AA257" s="41">
        <f>H257/'1. Väestöennuste'!J257*1000</f>
        <v>1252.0410850671583</v>
      </c>
      <c r="AB257" s="41">
        <f>I257/'1. Väestöennuste'!K257*1000</f>
        <v>1527.136530367608</v>
      </c>
      <c r="AC257" s="41">
        <f>J257/'1. Väestöennuste'!L257*1000</f>
        <v>2221.8457594185843</v>
      </c>
      <c r="AD257" s="41">
        <f>K257/'1. Väestöennuste'!M257*1000</f>
        <v>2306.6083823869544</v>
      </c>
      <c r="AE257" s="41">
        <f>L257/'1. Väestöennuste'!N257*1000</f>
        <v>2415.8036451273078</v>
      </c>
      <c r="AF257" s="41">
        <f>M257/'1. Väestöennuste'!O257*1000</f>
        <v>2375.9371246274873</v>
      </c>
      <c r="AG257" s="41">
        <f>N257/'1. Väestöennuste'!P257*1000</f>
        <v>2412.8241588602627</v>
      </c>
      <c r="AH257" s="41">
        <f>O257/'1. Väestöennuste'!Q257*1000</f>
        <v>2416.18392914579</v>
      </c>
      <c r="AI257" s="41">
        <f>P257/'1. Väestöennuste'!R257*1000</f>
        <v>2599.1441403535719</v>
      </c>
      <c r="AK257" s="41">
        <f t="shared" si="41"/>
        <v>0</v>
      </c>
      <c r="AL257" s="41">
        <f t="shared" si="42"/>
        <v>0</v>
      </c>
      <c r="AM257" s="41">
        <f t="shared" si="43"/>
        <v>0</v>
      </c>
      <c r="AN257" s="41">
        <f t="shared" si="44"/>
        <v>0</v>
      </c>
      <c r="AO257" s="41">
        <f t="shared" si="45"/>
        <v>0</v>
      </c>
      <c r="AP257" s="41">
        <f t="shared" si="46"/>
        <v>0</v>
      </c>
      <c r="AQ257" s="41">
        <f t="shared" si="47"/>
        <v>0</v>
      </c>
      <c r="AR257" s="41">
        <f t="shared" si="48"/>
        <v>0</v>
      </c>
      <c r="AS257" s="41">
        <f t="shared" si="49"/>
        <v>0</v>
      </c>
      <c r="AT257" s="41">
        <f t="shared" si="50"/>
        <v>0</v>
      </c>
      <c r="AU257" s="41">
        <f t="shared" si="51"/>
        <v>0</v>
      </c>
      <c r="AV257" s="41">
        <f t="shared" si="52"/>
        <v>0</v>
      </c>
      <c r="AW257" s="41">
        <f t="shared" si="52"/>
        <v>0</v>
      </c>
      <c r="AX257" s="41">
        <f t="shared" si="52"/>
        <v>0</v>
      </c>
    </row>
    <row r="258" spans="1:50" ht="11.25" x14ac:dyDescent="0.2">
      <c r="A258" s="34">
        <v>778</v>
      </c>
      <c r="B258" s="88" t="s">
        <v>572</v>
      </c>
      <c r="C258" s="65">
        <v>335</v>
      </c>
      <c r="D258" s="65">
        <v>3465</v>
      </c>
      <c r="E258" s="65">
        <v>6865</v>
      </c>
      <c r="F258" s="65">
        <v>7506</v>
      </c>
      <c r="G258" s="41">
        <v>7679</v>
      </c>
      <c r="H258" s="41">
        <v>8379</v>
      </c>
      <c r="I258" s="41">
        <v>7841.0297799999989</v>
      </c>
      <c r="J258" s="41">
        <f>I258+'Tilikauden tulos'!J258+'9. Tulorahkorjauserät'!J258</f>
        <v>8797.8023050865704</v>
      </c>
      <c r="K258" s="41">
        <f>J258+'Tilikauden tulos'!K258+'9. Tulorahkorjauserät'!K258</f>
        <v>9330.3627619437684</v>
      </c>
      <c r="L258" s="41">
        <f>K258+'Tilikauden tulos'!L258+'9. Tulorahkorjauserät'!L258</f>
        <v>10675.950150131926</v>
      </c>
      <c r="M258" s="41">
        <f>L258+'Tilikauden tulos'!M258+'9. Tulorahkorjauserät'!M258</f>
        <v>10206.840179515882</v>
      </c>
      <c r="N258" s="41">
        <f>M258+'Tilikauden tulos'!N258+'9. Tulorahkorjauserät'!N258</f>
        <v>9215.1614494371279</v>
      </c>
      <c r="O258" s="41">
        <f>N258+'Tilikauden tulos'!O258+'9. Tulorahkorjauserät'!O258</f>
        <v>8180.8819840609922</v>
      </c>
      <c r="P258" s="41">
        <f>O258+'Tilikauden tulos'!P258+'9. Tulorahkorjauserät'!P258</f>
        <v>8023.9416552537768</v>
      </c>
      <c r="T258" s="34">
        <v>778</v>
      </c>
      <c r="U258" s="88" t="s">
        <v>572</v>
      </c>
      <c r="V258" s="41">
        <f>C258/'1. Väestöennuste'!E258*1000</f>
        <v>45.331529093369419</v>
      </c>
      <c r="W258" s="41">
        <f>D258/'1. Väestöennuste'!F258*1000</f>
        <v>473.8785557986871</v>
      </c>
      <c r="X258" s="41">
        <f>E258/'1. Väestöennuste'!G258*1000</f>
        <v>944.81145059179744</v>
      </c>
      <c r="Y258" s="41">
        <f>F258/'1. Väestöennuste'!H258*1000</f>
        <v>1050.5248425472357</v>
      </c>
      <c r="Z258" s="41">
        <f>G258/'1. Väestöennuste'!I258*1000</f>
        <v>1087.061155152888</v>
      </c>
      <c r="AA258" s="41">
        <f>H258/'1. Väestöennuste'!J258*1000</f>
        <v>1208.9164622709566</v>
      </c>
      <c r="AB258" s="41">
        <f>I258/'1. Väestöennuste'!K258*1000</f>
        <v>1137.8652996662311</v>
      </c>
      <c r="AC258" s="41">
        <f>J258/'1. Väestöennuste'!L258*1000</f>
        <v>1300.8727347459073</v>
      </c>
      <c r="AD258" s="41">
        <f>K258/'1. Väestöennuste'!M258*1000</f>
        <v>1390.9306442969244</v>
      </c>
      <c r="AE258" s="41">
        <f>L258/'1. Väestöennuste'!N258*1000</f>
        <v>1626.4396938043765</v>
      </c>
      <c r="AF258" s="41">
        <f>M258/'1. Väestöennuste'!O258*1000</f>
        <v>1573.1874506035576</v>
      </c>
      <c r="AG258" s="41">
        <f>N258/'1. Väestöennuste'!P258*1000</f>
        <v>1436.2782807726198</v>
      </c>
      <c r="AH258" s="41">
        <f>O258/'1. Väestöennuste'!Q258*1000</f>
        <v>1288.5307897402729</v>
      </c>
      <c r="AI258" s="41">
        <f>P258/'1. Väestöennuste'!R258*1000</f>
        <v>1277.4942931465971</v>
      </c>
      <c r="AK258" s="41">
        <f t="shared" si="41"/>
        <v>0</v>
      </c>
      <c r="AL258" s="41">
        <f t="shared" si="42"/>
        <v>0</v>
      </c>
      <c r="AM258" s="41">
        <f t="shared" si="43"/>
        <v>0</v>
      </c>
      <c r="AN258" s="41">
        <f t="shared" si="44"/>
        <v>0</v>
      </c>
      <c r="AO258" s="41">
        <f t="shared" si="45"/>
        <v>0</v>
      </c>
      <c r="AP258" s="41">
        <f t="shared" si="46"/>
        <v>0</v>
      </c>
      <c r="AQ258" s="41">
        <f t="shared" si="47"/>
        <v>0</v>
      </c>
      <c r="AR258" s="41">
        <f t="shared" si="48"/>
        <v>0</v>
      </c>
      <c r="AS258" s="41">
        <f t="shared" si="49"/>
        <v>0</v>
      </c>
      <c r="AT258" s="41">
        <f t="shared" si="50"/>
        <v>0</v>
      </c>
      <c r="AU258" s="41">
        <f t="shared" si="51"/>
        <v>0</v>
      </c>
      <c r="AV258" s="41">
        <f t="shared" si="52"/>
        <v>0</v>
      </c>
      <c r="AW258" s="41">
        <f t="shared" si="52"/>
        <v>0</v>
      </c>
      <c r="AX258" s="41">
        <f t="shared" si="52"/>
        <v>0</v>
      </c>
    </row>
    <row r="259" spans="1:50" ht="11.25" x14ac:dyDescent="0.2">
      <c r="A259" s="34">
        <v>781</v>
      </c>
      <c r="B259" s="88" t="s">
        <v>573</v>
      </c>
      <c r="C259" s="65">
        <v>4276</v>
      </c>
      <c r="D259" s="65">
        <v>4441</v>
      </c>
      <c r="E259" s="65">
        <v>4735</v>
      </c>
      <c r="F259" s="65">
        <v>4769</v>
      </c>
      <c r="G259" s="41">
        <v>4761</v>
      </c>
      <c r="H259" s="41">
        <v>4825</v>
      </c>
      <c r="I259" s="41">
        <v>5483.5590000000002</v>
      </c>
      <c r="J259" s="41">
        <f>I259+'Tilikauden tulos'!J259+'9. Tulorahkorjauserät'!J259</f>
        <v>6654.7077075663456</v>
      </c>
      <c r="K259" s="41">
        <f>J259+'Tilikauden tulos'!K259+'9. Tulorahkorjauserät'!K259</f>
        <v>7432.8843165209382</v>
      </c>
      <c r="L259" s="41">
        <f>K259+'Tilikauden tulos'!L259+'9. Tulorahkorjauserät'!L259</f>
        <v>9349.4257936221857</v>
      </c>
      <c r="M259" s="41">
        <f>L259+'Tilikauden tulos'!M259+'9. Tulorahkorjauserät'!M259</f>
        <v>11018.257322819045</v>
      </c>
      <c r="N259" s="41">
        <f>M259+'Tilikauden tulos'!N259+'9. Tulorahkorjauserät'!N259</f>
        <v>12455.022280934547</v>
      </c>
      <c r="O259" s="41">
        <f>N259+'Tilikauden tulos'!O259+'9. Tulorahkorjauserät'!O259</f>
        <v>13779.579869572462</v>
      </c>
      <c r="P259" s="41">
        <f>O259+'Tilikauden tulos'!P259+'9. Tulorahkorjauserät'!P259</f>
        <v>15634.538203754551</v>
      </c>
      <c r="T259" s="34">
        <v>781</v>
      </c>
      <c r="U259" s="88" t="s">
        <v>573</v>
      </c>
      <c r="V259" s="41">
        <f>C259/'1. Väestöennuste'!E259*1000</f>
        <v>1058.4158415841584</v>
      </c>
      <c r="W259" s="41">
        <f>D259/'1. Väestöennuste'!F259*1000</f>
        <v>1123.4505438907158</v>
      </c>
      <c r="X259" s="41">
        <f>E259/'1. Väestöennuste'!G259*1000</f>
        <v>1227.0018139414356</v>
      </c>
      <c r="Y259" s="41">
        <f>F259/'1. Väestöennuste'!H259*1000</f>
        <v>1270.716759925393</v>
      </c>
      <c r="Z259" s="41">
        <f>G259/'1. Väestöennuste'!I259*1000</f>
        <v>1301.8867924528302</v>
      </c>
      <c r="AA259" s="41">
        <f>H259/'1. Väestöennuste'!J259*1000</f>
        <v>1328.8350316717156</v>
      </c>
      <c r="AB259" s="41">
        <f>I259/'1. Väestöennuste'!K259*1000</f>
        <v>1530.0108816964287</v>
      </c>
      <c r="AC259" s="41">
        <f>J259/'1. Väestöennuste'!L259*1000</f>
        <v>1899.1745740771535</v>
      </c>
      <c r="AD259" s="41">
        <f>K259/'1. Väestöennuste'!M259*1000</f>
        <v>2126.1110745197193</v>
      </c>
      <c r="AE259" s="41">
        <f>L259/'1. Väestöennuste'!N259*1000</f>
        <v>2806.7924928316379</v>
      </c>
      <c r="AF259" s="41">
        <f>M259/'1. Väestöennuste'!O259*1000</f>
        <v>3369.4976522382399</v>
      </c>
      <c r="AG259" s="41">
        <f>N259/'1. Väestöennuste'!P259*1000</f>
        <v>3870.4233315520655</v>
      </c>
      <c r="AH259" s="41">
        <f>O259/'1. Väestöennuste'!Q259*1000</f>
        <v>4348.2423065864505</v>
      </c>
      <c r="AI259" s="41">
        <f>P259/'1. Väestöennuste'!R259*1000</f>
        <v>5004.6537143900614</v>
      </c>
      <c r="AK259" s="41">
        <f t="shared" si="41"/>
        <v>0</v>
      </c>
      <c r="AL259" s="41">
        <f t="shared" si="42"/>
        <v>0</v>
      </c>
      <c r="AM259" s="41">
        <f t="shared" si="43"/>
        <v>0</v>
      </c>
      <c r="AN259" s="41">
        <f t="shared" si="44"/>
        <v>0</v>
      </c>
      <c r="AO259" s="41">
        <f t="shared" si="45"/>
        <v>0</v>
      </c>
      <c r="AP259" s="41">
        <f t="shared" si="46"/>
        <v>0</v>
      </c>
      <c r="AQ259" s="41">
        <f t="shared" si="47"/>
        <v>0</v>
      </c>
      <c r="AR259" s="41">
        <f t="shared" si="48"/>
        <v>0</v>
      </c>
      <c r="AS259" s="41">
        <f t="shared" si="49"/>
        <v>0</v>
      </c>
      <c r="AT259" s="41">
        <f t="shared" si="50"/>
        <v>0</v>
      </c>
      <c r="AU259" s="41">
        <f t="shared" si="51"/>
        <v>0</v>
      </c>
      <c r="AV259" s="41">
        <f t="shared" si="52"/>
        <v>0</v>
      </c>
      <c r="AW259" s="41">
        <f t="shared" si="52"/>
        <v>0</v>
      </c>
      <c r="AX259" s="41">
        <f t="shared" si="52"/>
        <v>0</v>
      </c>
    </row>
    <row r="260" spans="1:50" ht="11.25" x14ac:dyDescent="0.2">
      <c r="A260" s="34">
        <v>783</v>
      </c>
      <c r="B260" s="88" t="s">
        <v>574</v>
      </c>
      <c r="C260" s="65">
        <v>-3032</v>
      </c>
      <c r="D260" s="65">
        <v>-1231</v>
      </c>
      <c r="E260" s="65">
        <v>1592</v>
      </c>
      <c r="F260" s="65">
        <v>2001</v>
      </c>
      <c r="G260" s="41">
        <v>299</v>
      </c>
      <c r="H260" s="41">
        <v>2023</v>
      </c>
      <c r="I260" s="41">
        <v>4685.5014700000011</v>
      </c>
      <c r="J260" s="41">
        <f>I260+'Tilikauden tulos'!J260+'9. Tulorahkorjauserät'!J260</f>
        <v>5597.9335271326318</v>
      </c>
      <c r="K260" s="41">
        <f>J260+'Tilikauden tulos'!K260+'9. Tulorahkorjauserät'!K260</f>
        <v>9771.4286222535848</v>
      </c>
      <c r="L260" s="41">
        <f>K260+'Tilikauden tulos'!L260+'9. Tulorahkorjauserät'!L260</f>
        <v>9364.6016947546668</v>
      </c>
      <c r="M260" s="41">
        <f>L260+'Tilikauden tulos'!M260+'9. Tulorahkorjauserät'!M260</f>
        <v>11734.403743813349</v>
      </c>
      <c r="N260" s="41">
        <f>M260+'Tilikauden tulos'!N260+'9. Tulorahkorjauserät'!N260</f>
        <v>14313.933092747598</v>
      </c>
      <c r="O260" s="41">
        <f>N260+'Tilikauden tulos'!O260+'9. Tulorahkorjauserät'!O260</f>
        <v>16970.107764160151</v>
      </c>
      <c r="P260" s="41">
        <f>O260+'Tilikauden tulos'!P260+'9. Tulorahkorjauserät'!P260</f>
        <v>20392.25673840956</v>
      </c>
      <c r="T260" s="34">
        <v>783</v>
      </c>
      <c r="U260" s="88" t="s">
        <v>574</v>
      </c>
      <c r="V260" s="41">
        <f>C260/'1. Väestöennuste'!E260*1000</f>
        <v>-428.85431400282886</v>
      </c>
      <c r="W260" s="41">
        <f>D260/'1. Väestöennuste'!F260*1000</f>
        <v>-176.15912993703492</v>
      </c>
      <c r="X260" s="41">
        <f>E260/'1. Väestöennuste'!G260*1000</f>
        <v>230.62436621758656</v>
      </c>
      <c r="Y260" s="41">
        <f>F260/'1. Väestöennuste'!H260*1000</f>
        <v>293.78945822933491</v>
      </c>
      <c r="Z260" s="41">
        <f>G260/'1. Väestöennuste'!I260*1000</f>
        <v>44.487427466150869</v>
      </c>
      <c r="AA260" s="41">
        <f>H260/'1. Väestöennuste'!J260*1000</f>
        <v>304.39362022269034</v>
      </c>
      <c r="AB260" s="41">
        <f>I260/'1. Väestöennuste'!K260*1000</f>
        <v>711.21758803885871</v>
      </c>
      <c r="AC260" s="41">
        <f>J260/'1. Väestöennuste'!L260*1000</f>
        <v>872.08810206147871</v>
      </c>
      <c r="AD260" s="41">
        <f>K260/'1. Väestöennuste'!M260*1000</f>
        <v>1532.292398032552</v>
      </c>
      <c r="AE260" s="41">
        <f>L260/'1. Väestöennuste'!N260*1000</f>
        <v>1480.3353927844873</v>
      </c>
      <c r="AF260" s="41">
        <f>M260/'1. Väestöennuste'!O260*1000</f>
        <v>1875.7039232438217</v>
      </c>
      <c r="AG260" s="41">
        <f>N260/'1. Väestöennuste'!P260*1000</f>
        <v>2314.2979939769762</v>
      </c>
      <c r="AH260" s="41">
        <f>O260/'1. Väestöennuste'!Q260*1000</f>
        <v>2773.7998960706364</v>
      </c>
      <c r="AI260" s="41">
        <f>P260/'1. Väestöennuste'!R260*1000</f>
        <v>3369.5070618654263</v>
      </c>
      <c r="AK260" s="41">
        <f t="shared" si="41"/>
        <v>-1</v>
      </c>
      <c r="AL260" s="41">
        <f t="shared" si="42"/>
        <v>-1</v>
      </c>
      <c r="AM260" s="41">
        <f t="shared" si="43"/>
        <v>0</v>
      </c>
      <c r="AN260" s="41">
        <f t="shared" si="44"/>
        <v>0</v>
      </c>
      <c r="AO260" s="41">
        <f t="shared" si="45"/>
        <v>0</v>
      </c>
      <c r="AP260" s="41">
        <f t="shared" si="46"/>
        <v>0</v>
      </c>
      <c r="AQ260" s="41">
        <f t="shared" si="47"/>
        <v>0</v>
      </c>
      <c r="AR260" s="41">
        <f t="shared" si="48"/>
        <v>0</v>
      </c>
      <c r="AS260" s="41">
        <f t="shared" si="49"/>
        <v>0</v>
      </c>
      <c r="AT260" s="41">
        <f t="shared" si="50"/>
        <v>0</v>
      </c>
      <c r="AU260" s="41">
        <f t="shared" si="51"/>
        <v>0</v>
      </c>
      <c r="AV260" s="41">
        <f t="shared" si="52"/>
        <v>0</v>
      </c>
      <c r="AW260" s="41">
        <f t="shared" si="52"/>
        <v>0</v>
      </c>
      <c r="AX260" s="41">
        <f t="shared" si="52"/>
        <v>0</v>
      </c>
    </row>
    <row r="261" spans="1:50" ht="11.25" x14ac:dyDescent="0.2">
      <c r="A261" s="34">
        <v>785</v>
      </c>
      <c r="B261" s="88" t="s">
        <v>575</v>
      </c>
      <c r="C261" s="65">
        <v>1952</v>
      </c>
      <c r="D261" s="65">
        <v>2693</v>
      </c>
      <c r="E261" s="65">
        <v>2790</v>
      </c>
      <c r="F261" s="65">
        <v>2581</v>
      </c>
      <c r="G261" s="41">
        <v>2093</v>
      </c>
      <c r="H261" s="41">
        <v>1802</v>
      </c>
      <c r="I261" s="41">
        <v>2945.8040000000001</v>
      </c>
      <c r="J261" s="41">
        <f>I261+'Tilikauden tulos'!J261+'9. Tulorahkorjauserät'!J261</f>
        <v>4547.2709772203689</v>
      </c>
      <c r="K261" s="41">
        <f>J261+'Tilikauden tulos'!K261+'9. Tulorahkorjauserät'!K261</f>
        <v>5274.7259876441367</v>
      </c>
      <c r="L261" s="41">
        <f>K261+'Tilikauden tulos'!L261+'9. Tulorahkorjauserät'!L261</f>
        <v>6573.7500882480317</v>
      </c>
      <c r="M261" s="41">
        <f>L261+'Tilikauden tulos'!M261+'9. Tulorahkorjauserät'!M261</f>
        <v>8430.6149979066831</v>
      </c>
      <c r="N261" s="41">
        <f>M261+'Tilikauden tulos'!N261+'9. Tulorahkorjauserät'!N261</f>
        <v>9950.3465444820831</v>
      </c>
      <c r="O261" s="41">
        <f>N261+'Tilikauden tulos'!O261+'9. Tulorahkorjauserät'!O261</f>
        <v>11304.443800761608</v>
      </c>
      <c r="P261" s="41">
        <f>O261+'Tilikauden tulos'!P261+'9. Tulorahkorjauserät'!P261</f>
        <v>12880.312113801911</v>
      </c>
      <c r="T261" s="34">
        <v>785</v>
      </c>
      <c r="U261" s="88" t="s">
        <v>575</v>
      </c>
      <c r="V261" s="41">
        <f>C261/'1. Väestöennuste'!E261*1000</f>
        <v>635.00325309043592</v>
      </c>
      <c r="W261" s="41">
        <f>D261/'1. Väestöennuste'!F261*1000</f>
        <v>885.8552631578948</v>
      </c>
      <c r="X261" s="41">
        <f>E261/'1. Väestöennuste'!G261*1000</f>
        <v>948.65691941516491</v>
      </c>
      <c r="Y261" s="41">
        <f>F261/'1. Väestöennuste'!H261*1000</f>
        <v>899.61659114674103</v>
      </c>
      <c r="Z261" s="41">
        <f>G261/'1. Väestöennuste'!I261*1000</f>
        <v>749.64183381088822</v>
      </c>
      <c r="AA261" s="41">
        <f>H261/'1. Väestöennuste'!J261*1000</f>
        <v>658.38509316770194</v>
      </c>
      <c r="AB261" s="41">
        <f>I261/'1. Väestöennuste'!K261*1000</f>
        <v>1102.0591096146652</v>
      </c>
      <c r="AC261" s="41">
        <f>J261/'1. Väestöennuste'!L261*1000</f>
        <v>1731.6340354989982</v>
      </c>
      <c r="AD261" s="41">
        <f>K261/'1. Väestöennuste'!M261*1000</f>
        <v>2037.3603660270905</v>
      </c>
      <c r="AE261" s="41">
        <f>L261/'1. Väestöennuste'!N261*1000</f>
        <v>2635.8260177417933</v>
      </c>
      <c r="AF261" s="41">
        <f>M261/'1. Väestöennuste'!O261*1000</f>
        <v>3445.2860637133972</v>
      </c>
      <c r="AG261" s="41">
        <f>N261/'1. Väestöennuste'!P261*1000</f>
        <v>4140.801724711645</v>
      </c>
      <c r="AH261" s="41">
        <f>O261/'1. Väestöennuste'!Q261*1000</f>
        <v>4785.9626590862008</v>
      </c>
      <c r="AI261" s="41">
        <f>P261/'1. Väestöennuste'!R261*1000</f>
        <v>5539.9191887320048</v>
      </c>
      <c r="AK261" s="41">
        <f t="shared" si="41"/>
        <v>0</v>
      </c>
      <c r="AL261" s="41">
        <f t="shared" si="42"/>
        <v>0</v>
      </c>
      <c r="AM261" s="41">
        <f t="shared" si="43"/>
        <v>0</v>
      </c>
      <c r="AN261" s="41">
        <f t="shared" si="44"/>
        <v>0</v>
      </c>
      <c r="AO261" s="41">
        <f t="shared" si="45"/>
        <v>0</v>
      </c>
      <c r="AP261" s="41">
        <f t="shared" si="46"/>
        <v>0</v>
      </c>
      <c r="AQ261" s="41">
        <f t="shared" si="47"/>
        <v>0</v>
      </c>
      <c r="AR261" s="41">
        <f t="shared" si="48"/>
        <v>0</v>
      </c>
      <c r="AS261" s="41">
        <f t="shared" si="49"/>
        <v>0</v>
      </c>
      <c r="AT261" s="41">
        <f t="shared" si="50"/>
        <v>0</v>
      </c>
      <c r="AU261" s="41">
        <f t="shared" si="51"/>
        <v>0</v>
      </c>
      <c r="AV261" s="41">
        <f t="shared" si="52"/>
        <v>0</v>
      </c>
      <c r="AW261" s="41">
        <f t="shared" si="52"/>
        <v>0</v>
      </c>
      <c r="AX261" s="41">
        <f t="shared" si="52"/>
        <v>0</v>
      </c>
    </row>
    <row r="262" spans="1:50" ht="11.25" x14ac:dyDescent="0.2">
      <c r="A262" s="34">
        <v>790</v>
      </c>
      <c r="B262" s="88" t="s">
        <v>576</v>
      </c>
      <c r="C262" s="65">
        <v>18949</v>
      </c>
      <c r="D262" s="65">
        <v>19343</v>
      </c>
      <c r="E262" s="65">
        <v>24296</v>
      </c>
      <c r="F262" s="65">
        <v>24630</v>
      </c>
      <c r="G262" s="41">
        <v>19387</v>
      </c>
      <c r="H262" s="41">
        <v>23976</v>
      </c>
      <c r="I262" s="41">
        <v>27885.987240000002</v>
      </c>
      <c r="J262" s="41">
        <f>I262+'Tilikauden tulos'!J262+'9. Tulorahkorjauserät'!J262</f>
        <v>34297.734453231773</v>
      </c>
      <c r="K262" s="41">
        <f>J262+'Tilikauden tulos'!K262+'9. Tulorahkorjauserät'!K262</f>
        <v>43697.143431740136</v>
      </c>
      <c r="L262" s="41">
        <f>K262+'Tilikauden tulos'!L262+'9. Tulorahkorjauserät'!L262</f>
        <v>47383.511100574862</v>
      </c>
      <c r="M262" s="41">
        <f>L262+'Tilikauden tulos'!M262+'9. Tulorahkorjauserät'!M262</f>
        <v>47928.455639778367</v>
      </c>
      <c r="N262" s="41">
        <f>M262+'Tilikauden tulos'!N262+'9. Tulorahkorjauserät'!N262</f>
        <v>47996.81031266728</v>
      </c>
      <c r="O262" s="41">
        <f>N262+'Tilikauden tulos'!O262+'9. Tulorahkorjauserät'!O262</f>
        <v>47898.421113537413</v>
      </c>
      <c r="P262" s="41">
        <f>O262+'Tilikauden tulos'!P262+'9. Tulorahkorjauserät'!P262</f>
        <v>50571.60518826577</v>
      </c>
      <c r="T262" s="34">
        <v>790</v>
      </c>
      <c r="U262" s="88" t="s">
        <v>576</v>
      </c>
      <c r="V262" s="41">
        <f>C262/'1. Väestöennuste'!E262*1000</f>
        <v>751.34813639968274</v>
      </c>
      <c r="W262" s="41">
        <f>D262/'1. Väestöennuste'!F262*1000</f>
        <v>771.80592131513845</v>
      </c>
      <c r="X262" s="41">
        <f>E262/'1. Väestöennuste'!G262*1000</f>
        <v>978.88799355358583</v>
      </c>
      <c r="Y262" s="41">
        <f>F262/'1. Väestöennuste'!H262*1000</f>
        <v>999.14810758184251</v>
      </c>
      <c r="Z262" s="41">
        <f>G262/'1. Väestöennuste'!I262*1000</f>
        <v>798.57478271615116</v>
      </c>
      <c r="AA262" s="41">
        <f>H262/'1. Väestöennuste'!J262*1000</f>
        <v>996.84017961084317</v>
      </c>
      <c r="AB262" s="41">
        <f>I262/'1. Väestöennuste'!K262*1000</f>
        <v>1162.0129694141178</v>
      </c>
      <c r="AC262" s="41">
        <f>J262/'1. Väestöennuste'!L262*1000</f>
        <v>1445.0886682915555</v>
      </c>
      <c r="AD262" s="41">
        <f>K262/'1. Väestöennuste'!M262*1000</f>
        <v>1858.2667842543115</v>
      </c>
      <c r="AE262" s="41">
        <f>L262/'1. Väestöennuste'!N262*1000</f>
        <v>2060.1526565467329</v>
      </c>
      <c r="AF262" s="41">
        <f>M262/'1. Väestöennuste'!O262*1000</f>
        <v>2104.802408316647</v>
      </c>
      <c r="AG262" s="41">
        <f>N262/'1. Väestöennuste'!P262*1000</f>
        <v>2127.706814108843</v>
      </c>
      <c r="AH262" s="41">
        <f>O262/'1. Väestöennuste'!Q262*1000</f>
        <v>2143.0102059656128</v>
      </c>
      <c r="AI262" s="41">
        <f>P262/'1. Väestöennuste'!R262*1000</f>
        <v>2282.9363122185705</v>
      </c>
      <c r="AK262" s="41">
        <f t="shared" si="41"/>
        <v>0</v>
      </c>
      <c r="AL262" s="41">
        <f t="shared" si="42"/>
        <v>0</v>
      </c>
      <c r="AM262" s="41">
        <f t="shared" si="43"/>
        <v>0</v>
      </c>
      <c r="AN262" s="41">
        <f t="shared" si="44"/>
        <v>0</v>
      </c>
      <c r="AO262" s="41">
        <f t="shared" si="45"/>
        <v>0</v>
      </c>
      <c r="AP262" s="41">
        <f t="shared" si="46"/>
        <v>0</v>
      </c>
      <c r="AQ262" s="41">
        <f t="shared" si="47"/>
        <v>0</v>
      </c>
      <c r="AR262" s="41">
        <f t="shared" si="48"/>
        <v>0</v>
      </c>
      <c r="AS262" s="41">
        <f t="shared" si="49"/>
        <v>0</v>
      </c>
      <c r="AT262" s="41">
        <f t="shared" si="50"/>
        <v>0</v>
      </c>
      <c r="AU262" s="41">
        <f t="shared" si="51"/>
        <v>0</v>
      </c>
      <c r="AV262" s="41">
        <f t="shared" si="52"/>
        <v>0</v>
      </c>
      <c r="AW262" s="41">
        <f t="shared" si="52"/>
        <v>0</v>
      </c>
      <c r="AX262" s="41">
        <f t="shared" si="52"/>
        <v>0</v>
      </c>
    </row>
    <row r="263" spans="1:50" ht="11.25" x14ac:dyDescent="0.2">
      <c r="A263" s="34">
        <v>791</v>
      </c>
      <c r="B263" s="88" t="s">
        <v>577</v>
      </c>
      <c r="C263" s="65">
        <v>705</v>
      </c>
      <c r="D263" s="65">
        <v>-10</v>
      </c>
      <c r="E263" s="65">
        <v>1195</v>
      </c>
      <c r="F263" s="65">
        <v>1129</v>
      </c>
      <c r="G263" s="41">
        <v>809</v>
      </c>
      <c r="H263" s="41">
        <v>-1286</v>
      </c>
      <c r="I263" s="41">
        <v>975.149</v>
      </c>
      <c r="J263" s="41">
        <f>I263+'Tilikauden tulos'!J263+'9. Tulorahkorjauserät'!J263</f>
        <v>2174.9684694583939</v>
      </c>
      <c r="K263" s="41">
        <f>J263+'Tilikauden tulos'!K263+'9. Tulorahkorjauserät'!K263</f>
        <v>3931.7808655044028</v>
      </c>
      <c r="L263" s="41">
        <f>K263+'Tilikauden tulos'!L263+'9. Tulorahkorjauserät'!L263</f>
        <v>4410.6101541494863</v>
      </c>
      <c r="M263" s="41">
        <f>L263+'Tilikauden tulos'!M263+'9. Tulorahkorjauserät'!M263</f>
        <v>3921.3104705645574</v>
      </c>
      <c r="N263" s="41">
        <f>M263+'Tilikauden tulos'!N263+'9. Tulorahkorjauserät'!N263</f>
        <v>3050.1296127652449</v>
      </c>
      <c r="O263" s="41">
        <f>N263+'Tilikauden tulos'!O263+'9. Tulorahkorjauserät'!O263</f>
        <v>2102.1624842771698</v>
      </c>
      <c r="P263" s="41">
        <f>O263+'Tilikauden tulos'!P263+'9. Tulorahkorjauserät'!P263</f>
        <v>1426.9608053816009</v>
      </c>
      <c r="T263" s="34">
        <v>791</v>
      </c>
      <c r="U263" s="88" t="s">
        <v>577</v>
      </c>
      <c r="V263" s="41">
        <f>C263/'1. Väestöennuste'!E263*1000</f>
        <v>124.18530914215255</v>
      </c>
      <c r="W263" s="41">
        <f>D263/'1. Väestöennuste'!F263*1000</f>
        <v>-1.7911517105498835</v>
      </c>
      <c r="X263" s="41">
        <f>E263/'1. Väestöennuste'!G263*1000</f>
        <v>219.38681843216449</v>
      </c>
      <c r="Y263" s="41">
        <f>F263/'1. Väestöennuste'!H263*1000</f>
        <v>212.97868326730807</v>
      </c>
      <c r="Z263" s="41">
        <f>G263/'1. Väestöennuste'!I263*1000</f>
        <v>154.65494169374881</v>
      </c>
      <c r="AA263" s="41">
        <f>H263/'1. Väestöennuste'!J263*1000</f>
        <v>-247.16509705938881</v>
      </c>
      <c r="AB263" s="41">
        <f>I263/'1. Väestöennuste'!K263*1000</f>
        <v>190.05047748976807</v>
      </c>
      <c r="AC263" s="41">
        <f>J263/'1. Väestöennuste'!L263*1000</f>
        <v>432.48527927190173</v>
      </c>
      <c r="AD263" s="41">
        <f>K263/'1. Väestöennuste'!M263*1000</f>
        <v>797.35973747807793</v>
      </c>
      <c r="AE263" s="41">
        <f>L263/'1. Väestöennuste'!N263*1000</f>
        <v>911.84828491823168</v>
      </c>
      <c r="AF263" s="41">
        <f>M263/'1. Väestöennuste'!O263*1000</f>
        <v>824.32425279893994</v>
      </c>
      <c r="AG263" s="41">
        <f>N263/'1. Väestöennuste'!P263*1000</f>
        <v>651.87638657090088</v>
      </c>
      <c r="AH263" s="41">
        <f>O263/'1. Väestöennuste'!Q263*1000</f>
        <v>456.39654456734041</v>
      </c>
      <c r="AI263" s="41">
        <f>P263/'1. Väestöennuste'!R263*1000</f>
        <v>314.51637764637445</v>
      </c>
      <c r="AK263" s="41">
        <f t="shared" si="41"/>
        <v>0</v>
      </c>
      <c r="AL263" s="41">
        <f t="shared" si="42"/>
        <v>-1</v>
      </c>
      <c r="AM263" s="41">
        <f t="shared" si="43"/>
        <v>0</v>
      </c>
      <c r="AN263" s="41">
        <f t="shared" si="44"/>
        <v>0</v>
      </c>
      <c r="AO263" s="41">
        <f t="shared" si="45"/>
        <v>0</v>
      </c>
      <c r="AP263" s="41">
        <f t="shared" si="46"/>
        <v>-1</v>
      </c>
      <c r="AQ263" s="41">
        <f t="shared" si="47"/>
        <v>0</v>
      </c>
      <c r="AR263" s="41">
        <f t="shared" si="48"/>
        <v>0</v>
      </c>
      <c r="AS263" s="41">
        <f t="shared" si="49"/>
        <v>0</v>
      </c>
      <c r="AT263" s="41">
        <f t="shared" si="50"/>
        <v>0</v>
      </c>
      <c r="AU263" s="41">
        <f t="shared" si="51"/>
        <v>0</v>
      </c>
      <c r="AV263" s="41">
        <f t="shared" si="52"/>
        <v>0</v>
      </c>
      <c r="AW263" s="41">
        <f t="shared" si="52"/>
        <v>0</v>
      </c>
      <c r="AX263" s="41">
        <f t="shared" si="52"/>
        <v>0</v>
      </c>
    </row>
    <row r="264" spans="1:50" ht="11.25" x14ac:dyDescent="0.2">
      <c r="A264" s="34">
        <v>831</v>
      </c>
      <c r="B264" s="88" t="s">
        <v>578</v>
      </c>
      <c r="C264" s="65">
        <v>4107</v>
      </c>
      <c r="D264" s="65">
        <v>2041</v>
      </c>
      <c r="E264" s="65">
        <v>141</v>
      </c>
      <c r="F264" s="65">
        <v>-849</v>
      </c>
      <c r="G264" s="41">
        <v>-747</v>
      </c>
      <c r="H264" s="41">
        <v>511</v>
      </c>
      <c r="I264" s="41">
        <v>2530.4318900000003</v>
      </c>
      <c r="J264" s="41">
        <f>I264+'Tilikauden tulos'!J264+'9. Tulorahkorjauserät'!J264</f>
        <v>1630.4332815944963</v>
      </c>
      <c r="K264" s="41">
        <f>J264+'Tilikauden tulos'!K264+'9. Tulorahkorjauserät'!K264</f>
        <v>2780.8099702552659</v>
      </c>
      <c r="L264" s="41">
        <f>K264+'Tilikauden tulos'!L264+'9. Tulorahkorjauserät'!L264</f>
        <v>2922.7372075135722</v>
      </c>
      <c r="M264" s="41">
        <f>L264+'Tilikauden tulos'!M264+'9. Tulorahkorjauserät'!M264</f>
        <v>2492.6570620023981</v>
      </c>
      <c r="N264" s="41">
        <f>M264+'Tilikauden tulos'!N264+'9. Tulorahkorjauserät'!N264</f>
        <v>1499.7538502533484</v>
      </c>
      <c r="O264" s="41">
        <f>N264+'Tilikauden tulos'!O264+'9. Tulorahkorjauserät'!O264</f>
        <v>332.40504889133581</v>
      </c>
      <c r="P264" s="41">
        <f>O264+'Tilikauden tulos'!P264+'9. Tulorahkorjauserät'!P264</f>
        <v>-688.64899354243403</v>
      </c>
      <c r="T264" s="34">
        <v>831</v>
      </c>
      <c r="U264" s="88" t="s">
        <v>578</v>
      </c>
      <c r="V264" s="41">
        <f>C264/'1. Väestöennuste'!E264*1000</f>
        <v>852.95950155763239</v>
      </c>
      <c r="W264" s="41">
        <f>D264/'1. Väestöennuste'!F264*1000</f>
        <v>422.39238410596028</v>
      </c>
      <c r="X264" s="41">
        <f>E264/'1. Väestöennuste'!G264*1000</f>
        <v>29.534981147884373</v>
      </c>
      <c r="Y264" s="41">
        <f>F264/'1. Väestöennuste'!H264*1000</f>
        <v>-180.06362672322376</v>
      </c>
      <c r="Z264" s="41">
        <f>G264/'1. Väestöennuste'!I264*1000</f>
        <v>-159.9229287090559</v>
      </c>
      <c r="AA264" s="41">
        <f>H264/'1. Väestöennuste'!J264*1000</f>
        <v>110.41486603284356</v>
      </c>
      <c r="AB264" s="41">
        <f>I264/'1. Väestöennuste'!K264*1000</f>
        <v>550.6924678998912</v>
      </c>
      <c r="AC264" s="41">
        <f>J264/'1. Väestöennuste'!L264*1000</f>
        <v>357.6295857851494</v>
      </c>
      <c r="AD264" s="41">
        <f>K264/'1. Väestöennuste'!M264*1000</f>
        <v>601.25620978492236</v>
      </c>
      <c r="AE264" s="41">
        <f>L264/'1. Väestöennuste'!N264*1000</f>
        <v>649.35285659044041</v>
      </c>
      <c r="AF264" s="41">
        <f>M264/'1. Väestöennuste'!O264*1000</f>
        <v>557.76618080161063</v>
      </c>
      <c r="AG264" s="41">
        <f>N264/'1. Väestöennuste'!P264*1000</f>
        <v>338.08698157199018</v>
      </c>
      <c r="AH264" s="41">
        <f>O264/'1. Väestöennuste'!Q264*1000</f>
        <v>75.443724215010405</v>
      </c>
      <c r="AI264" s="41">
        <f>P264/'1. Väestöennuste'!R264*1000</f>
        <v>-157.40548423827065</v>
      </c>
      <c r="AK264" s="41">
        <f t="shared" si="41"/>
        <v>0</v>
      </c>
      <c r="AL264" s="41">
        <f t="shared" si="42"/>
        <v>0</v>
      </c>
      <c r="AM264" s="41">
        <f t="shared" si="43"/>
        <v>0</v>
      </c>
      <c r="AN264" s="41">
        <f t="shared" si="44"/>
        <v>-1</v>
      </c>
      <c r="AO264" s="41">
        <f t="shared" si="45"/>
        <v>-1</v>
      </c>
      <c r="AP264" s="41">
        <f t="shared" si="46"/>
        <v>0</v>
      </c>
      <c r="AQ264" s="41">
        <f t="shared" si="47"/>
        <v>0</v>
      </c>
      <c r="AR264" s="41">
        <f t="shared" si="48"/>
        <v>0</v>
      </c>
      <c r="AS264" s="41">
        <f t="shared" si="49"/>
        <v>0</v>
      </c>
      <c r="AT264" s="41">
        <f t="shared" si="50"/>
        <v>0</v>
      </c>
      <c r="AU264" s="41">
        <f t="shared" si="51"/>
        <v>0</v>
      </c>
      <c r="AV264" s="41">
        <f t="shared" si="52"/>
        <v>0</v>
      </c>
      <c r="AW264" s="41">
        <f t="shared" si="52"/>
        <v>0</v>
      </c>
      <c r="AX264" s="41">
        <f t="shared" si="52"/>
        <v>-1</v>
      </c>
    </row>
    <row r="265" spans="1:50" ht="11.25" x14ac:dyDescent="0.2">
      <c r="A265" s="34">
        <v>832</v>
      </c>
      <c r="B265" s="88" t="s">
        <v>579</v>
      </c>
      <c r="C265" s="65">
        <v>8476</v>
      </c>
      <c r="D265" s="65">
        <v>11293</v>
      </c>
      <c r="E265" s="65">
        <v>11504</v>
      </c>
      <c r="F265" s="65">
        <v>10611</v>
      </c>
      <c r="G265" s="41">
        <v>9860</v>
      </c>
      <c r="H265" s="41">
        <v>11546</v>
      </c>
      <c r="I265" s="41">
        <v>13737.17765</v>
      </c>
      <c r="J265" s="41">
        <f>I265+'Tilikauden tulos'!J265+'9. Tulorahkorjauserät'!J265</f>
        <v>15909.939741786129</v>
      </c>
      <c r="K265" s="41">
        <f>J265+'Tilikauden tulos'!K265+'9. Tulorahkorjauserät'!K265</f>
        <v>16479.868377760777</v>
      </c>
      <c r="L265" s="41">
        <f>K265+'Tilikauden tulos'!L265+'9. Tulorahkorjauserät'!L265</f>
        <v>16196.498020525294</v>
      </c>
      <c r="M265" s="41">
        <f>L265+'Tilikauden tulos'!M265+'9. Tulorahkorjauserät'!M265</f>
        <v>15467.639430923477</v>
      </c>
      <c r="N265" s="41">
        <f>M265+'Tilikauden tulos'!N265+'9. Tulorahkorjauserät'!N265</f>
        <v>13699.392814478229</v>
      </c>
      <c r="O265" s="41">
        <f>N265+'Tilikauden tulos'!O265+'9. Tulorahkorjauserät'!O265</f>
        <v>11362.834231470726</v>
      </c>
      <c r="P265" s="41">
        <f>O265+'Tilikauden tulos'!P265+'9. Tulorahkorjauserät'!P265</f>
        <v>9225.6058077177004</v>
      </c>
      <c r="T265" s="34">
        <v>832</v>
      </c>
      <c r="U265" s="88" t="s">
        <v>579</v>
      </c>
      <c r="V265" s="41">
        <f>C265/'1. Väestöennuste'!E265*1000</f>
        <v>2018.5758513931892</v>
      </c>
      <c r="W265" s="41">
        <f>D265/'1. Väestöennuste'!F265*1000</f>
        <v>2732.3977740140335</v>
      </c>
      <c r="X265" s="41">
        <f>E265/'1. Väestöennuste'!G265*1000</f>
        <v>2834.894036471168</v>
      </c>
      <c r="Y265" s="41">
        <f>F265/'1. Väestöennuste'!H265*1000</f>
        <v>2636.928429423459</v>
      </c>
      <c r="Z265" s="41">
        <f>G265/'1. Väestöennuste'!I265*1000</f>
        <v>2479.8792756539237</v>
      </c>
      <c r="AA265" s="41">
        <f>H265/'1. Väestöennuste'!J265*1000</f>
        <v>2948.4167517875385</v>
      </c>
      <c r="AB265" s="41">
        <f>I265/'1. Väestöennuste'!K265*1000</f>
        <v>3510.6510733452592</v>
      </c>
      <c r="AC265" s="41">
        <f>J265/'1. Väestöennuste'!L265*1000</f>
        <v>4159.4613704016019</v>
      </c>
      <c r="AD265" s="41">
        <f>K265/'1. Väestöennuste'!M265*1000</f>
        <v>4417.0110902601918</v>
      </c>
      <c r="AE265" s="41">
        <f>L265/'1. Väestöennuste'!N265*1000</f>
        <v>4397.637257813004</v>
      </c>
      <c r="AF265" s="41">
        <f>M265/'1. Väestöennuste'!O265*1000</f>
        <v>4261.0576944692766</v>
      </c>
      <c r="AG265" s="41">
        <f>N265/'1. Väestöennuste'!P265*1000</f>
        <v>3828.7850236104609</v>
      </c>
      <c r="AH265" s="41">
        <f>O265/'1. Väestöennuste'!Q265*1000</f>
        <v>3221.6711742190887</v>
      </c>
      <c r="AI265" s="41">
        <f>P265/'1. Väestöennuste'!R265*1000</f>
        <v>2654.0868261558403</v>
      </c>
      <c r="AK265" s="41">
        <f t="shared" si="41"/>
        <v>0</v>
      </c>
      <c r="AL265" s="41">
        <f t="shared" si="42"/>
        <v>0</v>
      </c>
      <c r="AM265" s="41">
        <f t="shared" si="43"/>
        <v>0</v>
      </c>
      <c r="AN265" s="41">
        <f t="shared" si="44"/>
        <v>0</v>
      </c>
      <c r="AO265" s="41">
        <f t="shared" si="45"/>
        <v>0</v>
      </c>
      <c r="AP265" s="41">
        <f t="shared" si="46"/>
        <v>0</v>
      </c>
      <c r="AQ265" s="41">
        <f t="shared" si="47"/>
        <v>0</v>
      </c>
      <c r="AR265" s="41">
        <f t="shared" si="48"/>
        <v>0</v>
      </c>
      <c r="AS265" s="41">
        <f t="shared" si="49"/>
        <v>0</v>
      </c>
      <c r="AT265" s="41">
        <f t="shared" si="50"/>
        <v>0</v>
      </c>
      <c r="AU265" s="41">
        <f t="shared" si="51"/>
        <v>0</v>
      </c>
      <c r="AV265" s="41">
        <f t="shared" si="52"/>
        <v>0</v>
      </c>
      <c r="AW265" s="41">
        <f t="shared" si="52"/>
        <v>0</v>
      </c>
      <c r="AX265" s="41">
        <f t="shared" si="52"/>
        <v>0</v>
      </c>
    </row>
    <row r="266" spans="1:50" ht="11.25" x14ac:dyDescent="0.2">
      <c r="A266" s="34">
        <v>833</v>
      </c>
      <c r="B266" s="88" t="s">
        <v>580</v>
      </c>
      <c r="C266" s="65">
        <v>2633</v>
      </c>
      <c r="D266" s="65">
        <v>4070</v>
      </c>
      <c r="E266" s="65">
        <v>4972</v>
      </c>
      <c r="F266" s="65">
        <v>5507</v>
      </c>
      <c r="G266" s="41">
        <v>5882</v>
      </c>
      <c r="H266" s="41">
        <v>7906</v>
      </c>
      <c r="I266" s="41">
        <v>8721.4814600000009</v>
      </c>
      <c r="J266" s="41">
        <f>I266+'Tilikauden tulos'!J266+'9. Tulorahkorjauserät'!J266</f>
        <v>8558.971954016235</v>
      </c>
      <c r="K266" s="41">
        <f>J266+'Tilikauden tulos'!K266+'9. Tulorahkorjauserät'!K266</f>
        <v>8699.5167579213357</v>
      </c>
      <c r="L266" s="41">
        <f>K266+'Tilikauden tulos'!L266+'9. Tulorahkorjauserät'!L266</f>
        <v>8396.023149789642</v>
      </c>
      <c r="M266" s="41">
        <f>L266+'Tilikauden tulos'!M266+'9. Tulorahkorjauserät'!M266</f>
        <v>8064.940420063509</v>
      </c>
      <c r="N266" s="41">
        <f>M266+'Tilikauden tulos'!N266+'9. Tulorahkorjauserät'!N266</f>
        <v>7591.8443303560698</v>
      </c>
      <c r="O266" s="41">
        <f>N266+'Tilikauden tulos'!O266+'9. Tulorahkorjauserät'!O266</f>
        <v>6988.9794326426208</v>
      </c>
      <c r="P266" s="41">
        <f>O266+'Tilikauden tulos'!P266+'9. Tulorahkorjauserät'!P266</f>
        <v>6450.8599884032556</v>
      </c>
      <c r="T266" s="34">
        <v>833</v>
      </c>
      <c r="U266" s="88" t="s">
        <v>580</v>
      </c>
      <c r="V266" s="41">
        <f>C266/'1. Väestöennuste'!E266*1000</f>
        <v>1612.3698714023269</v>
      </c>
      <c r="W266" s="41">
        <f>D266/'1. Väestöennuste'!F266*1000</f>
        <v>2509.2478421701603</v>
      </c>
      <c r="X266" s="41">
        <f>E266/'1. Väestöennuste'!G266*1000</f>
        <v>3006.0459492140267</v>
      </c>
      <c r="Y266" s="41">
        <f>F266/'1. Väestöennuste'!H266*1000</f>
        <v>3313.4777376654633</v>
      </c>
      <c r="Z266" s="41">
        <f>G266/'1. Väestöennuste'!I266*1000</f>
        <v>3588.7736424649174</v>
      </c>
      <c r="AA266" s="41">
        <f>H266/'1. Väestöennuste'!J266*1000</f>
        <v>4765.5213984327902</v>
      </c>
      <c r="AB266" s="41">
        <f>I266/'1. Väestöennuste'!K266*1000</f>
        <v>5200.6448777579017</v>
      </c>
      <c r="AC266" s="41">
        <f>J266/'1. Väestöennuste'!L266*1000</f>
        <v>5061.485484338401</v>
      </c>
      <c r="AD266" s="41">
        <f>K266/'1. Väestöennuste'!M266*1000</f>
        <v>5102.3558697485832</v>
      </c>
      <c r="AE266" s="41">
        <f>L266/'1. Väestöennuste'!N266*1000</f>
        <v>4991.6903387572193</v>
      </c>
      <c r="AF266" s="41">
        <f>M266/'1. Väestöennuste'!O266*1000</f>
        <v>4786.3147893551977</v>
      </c>
      <c r="AG266" s="41">
        <f>N266/'1. Väestöennuste'!P266*1000</f>
        <v>4497.5381104005146</v>
      </c>
      <c r="AH266" s="41">
        <f>O266/'1. Väestöennuste'!Q266*1000</f>
        <v>4128.1626890978268</v>
      </c>
      <c r="AI266" s="41">
        <f>P266/'1. Väestöennuste'!R266*1000</f>
        <v>3805.8171023028058</v>
      </c>
      <c r="AK266" s="41">
        <f t="shared" si="41"/>
        <v>0</v>
      </c>
      <c r="AL266" s="41">
        <f t="shared" si="42"/>
        <v>0</v>
      </c>
      <c r="AM266" s="41">
        <f t="shared" si="43"/>
        <v>0</v>
      </c>
      <c r="AN266" s="41">
        <f t="shared" si="44"/>
        <v>0</v>
      </c>
      <c r="AO266" s="41">
        <f t="shared" si="45"/>
        <v>0</v>
      </c>
      <c r="AP266" s="41">
        <f t="shared" si="46"/>
        <v>0</v>
      </c>
      <c r="AQ266" s="41">
        <f t="shared" si="47"/>
        <v>0</v>
      </c>
      <c r="AR266" s="41">
        <f t="shared" si="48"/>
        <v>0</v>
      </c>
      <c r="AS266" s="41">
        <f t="shared" si="49"/>
        <v>0</v>
      </c>
      <c r="AT266" s="41">
        <f t="shared" si="50"/>
        <v>0</v>
      </c>
      <c r="AU266" s="41">
        <f t="shared" si="51"/>
        <v>0</v>
      </c>
      <c r="AV266" s="41">
        <f t="shared" si="52"/>
        <v>0</v>
      </c>
      <c r="AW266" s="41">
        <f t="shared" si="52"/>
        <v>0</v>
      </c>
      <c r="AX266" s="41">
        <f t="shared" si="52"/>
        <v>0</v>
      </c>
    </row>
    <row r="267" spans="1:50" ht="11.25" x14ac:dyDescent="0.2">
      <c r="A267" s="34">
        <v>834</v>
      </c>
      <c r="B267" s="88" t="s">
        <v>581</v>
      </c>
      <c r="C267" s="65">
        <v>8039</v>
      </c>
      <c r="D267" s="65">
        <v>8075</v>
      </c>
      <c r="E267" s="65">
        <v>8476</v>
      </c>
      <c r="F267" s="65">
        <v>7404</v>
      </c>
      <c r="G267" s="41">
        <v>5292</v>
      </c>
      <c r="H267" s="41">
        <v>6550</v>
      </c>
      <c r="I267" s="41">
        <v>7032.6204299999999</v>
      </c>
      <c r="J267" s="41">
        <f>I267+'Tilikauden tulos'!J267+'9. Tulorahkorjauserät'!J267</f>
        <v>9734.6797186586537</v>
      </c>
      <c r="K267" s="41">
        <f>J267+'Tilikauden tulos'!K267+'9. Tulorahkorjauserät'!K267</f>
        <v>11051.599109961851</v>
      </c>
      <c r="L267" s="41">
        <f>K267+'Tilikauden tulos'!L267+'9. Tulorahkorjauserät'!L267</f>
        <v>11322.742528707025</v>
      </c>
      <c r="M267" s="41">
        <f>L267+'Tilikauden tulos'!M267+'9. Tulorahkorjauserät'!M267</f>
        <v>10955.841744786045</v>
      </c>
      <c r="N267" s="41">
        <f>M267+'Tilikauden tulos'!N267+'9. Tulorahkorjauserät'!N267</f>
        <v>10391.219894553991</v>
      </c>
      <c r="O267" s="41">
        <f>N267+'Tilikauden tulos'!O267+'9. Tulorahkorjauserät'!O267</f>
        <v>9375.9286351105311</v>
      </c>
      <c r="P267" s="41">
        <f>O267+'Tilikauden tulos'!P267+'9. Tulorahkorjauserät'!P267</f>
        <v>8913.0234490590065</v>
      </c>
      <c r="T267" s="34">
        <v>834</v>
      </c>
      <c r="U267" s="88" t="s">
        <v>581</v>
      </c>
      <c r="V267" s="41">
        <f>C267/'1. Väestöennuste'!E267*1000</f>
        <v>1280.0955414012737</v>
      </c>
      <c r="W267" s="41">
        <f>D267/'1. Väestöennuste'!F267*1000</f>
        <v>1293.8631629546546</v>
      </c>
      <c r="X267" s="41">
        <f>E267/'1. Väestöennuste'!G267*1000</f>
        <v>1377.0917952883835</v>
      </c>
      <c r="Y267" s="41">
        <f>F267/'1. Väestöennuste'!H267*1000</f>
        <v>1217.5629008386779</v>
      </c>
      <c r="Z267" s="41">
        <f>G267/'1. Väestöennuste'!I267*1000</f>
        <v>879.80049875311715</v>
      </c>
      <c r="AA267" s="41">
        <f>H267/'1. Väestöennuste'!J267*1000</f>
        <v>1088.7632978723404</v>
      </c>
      <c r="AB267" s="41">
        <f>I267/'1. Väestöennuste'!K267*1000</f>
        <v>1178.5856259426848</v>
      </c>
      <c r="AC267" s="41">
        <f>J267/'1. Väestöennuste'!L267*1000</f>
        <v>1655.839380618924</v>
      </c>
      <c r="AD267" s="41">
        <f>K267/'1. Väestöennuste'!M267*1000</f>
        <v>1891.1018326423427</v>
      </c>
      <c r="AE267" s="41">
        <f>L267/'1. Väestöennuste'!N267*1000</f>
        <v>1953.8813681979336</v>
      </c>
      <c r="AF267" s="41">
        <f>M267/'1. Väestöennuste'!O267*1000</f>
        <v>1907.3540642036985</v>
      </c>
      <c r="AG267" s="41">
        <f>N267/'1. Väestöennuste'!P267*1000</f>
        <v>1824.621579377347</v>
      </c>
      <c r="AH267" s="41">
        <f>O267/'1. Väestöennuste'!Q267*1000</f>
        <v>1660.0440217971905</v>
      </c>
      <c r="AI267" s="41">
        <f>P267/'1. Väestöennuste'!R267*1000</f>
        <v>1589.9078574846603</v>
      </c>
      <c r="AK267" s="41">
        <f t="shared" si="41"/>
        <v>0</v>
      </c>
      <c r="AL267" s="41">
        <f t="shared" si="42"/>
        <v>0</v>
      </c>
      <c r="AM267" s="41">
        <f t="shared" si="43"/>
        <v>0</v>
      </c>
      <c r="AN267" s="41">
        <f t="shared" si="44"/>
        <v>0</v>
      </c>
      <c r="AO267" s="41">
        <f t="shared" si="45"/>
        <v>0</v>
      </c>
      <c r="AP267" s="41">
        <f t="shared" si="46"/>
        <v>0</v>
      </c>
      <c r="AQ267" s="41">
        <f t="shared" si="47"/>
        <v>0</v>
      </c>
      <c r="AR267" s="41">
        <f t="shared" si="48"/>
        <v>0</v>
      </c>
      <c r="AS267" s="41">
        <f t="shared" si="49"/>
        <v>0</v>
      </c>
      <c r="AT267" s="41">
        <f t="shared" si="50"/>
        <v>0</v>
      </c>
      <c r="AU267" s="41">
        <f t="shared" si="51"/>
        <v>0</v>
      </c>
      <c r="AV267" s="41">
        <f t="shared" si="52"/>
        <v>0</v>
      </c>
      <c r="AW267" s="41">
        <f t="shared" si="52"/>
        <v>0</v>
      </c>
      <c r="AX267" s="41">
        <f t="shared" si="52"/>
        <v>0</v>
      </c>
    </row>
    <row r="268" spans="1:50" ht="11.25" x14ac:dyDescent="0.2">
      <c r="A268" s="34">
        <v>837</v>
      </c>
      <c r="B268" s="88" t="s">
        <v>582</v>
      </c>
      <c r="C268" s="65">
        <v>541369</v>
      </c>
      <c r="D268" s="65">
        <v>524405</v>
      </c>
      <c r="E268" s="65">
        <v>517654</v>
      </c>
      <c r="F268" s="65">
        <v>462976</v>
      </c>
      <c r="G268" s="41">
        <v>451494</v>
      </c>
      <c r="H268" s="41">
        <v>517303</v>
      </c>
      <c r="I268" s="41">
        <v>593671.95065000001</v>
      </c>
      <c r="J268" s="41">
        <f>I268+'Tilikauden tulos'!J268+'9. Tulorahkorjauserät'!J268</f>
        <v>594501.05979721749</v>
      </c>
      <c r="K268" s="41">
        <f>J268+'Tilikauden tulos'!K268+'9. Tulorahkorjauserät'!K268</f>
        <v>627394.10231322818</v>
      </c>
      <c r="L268" s="41">
        <f>K268+'Tilikauden tulos'!L268+'9. Tulorahkorjauserät'!L268</f>
        <v>624663.8620173455</v>
      </c>
      <c r="M268" s="41">
        <f>L268+'Tilikauden tulos'!M268+'9. Tulorahkorjauserät'!M268</f>
        <v>611533.55387730792</v>
      </c>
      <c r="N268" s="41">
        <f>M268+'Tilikauden tulos'!N268+'9. Tulorahkorjauserät'!N268</f>
        <v>612314.95201561507</v>
      </c>
      <c r="O268" s="41">
        <f>N268+'Tilikauden tulos'!O268+'9. Tulorahkorjauserät'!O268</f>
        <v>614685.98249895498</v>
      </c>
      <c r="P268" s="41">
        <f>O268+'Tilikauden tulos'!P268+'9. Tulorahkorjauserät'!P268</f>
        <v>624987.73454477463</v>
      </c>
      <c r="T268" s="34">
        <v>837</v>
      </c>
      <c r="U268" s="88" t="s">
        <v>582</v>
      </c>
      <c r="V268" s="41">
        <f>C268/'1. Väestöennuste'!E268*1000</f>
        <v>2404.823248252028</v>
      </c>
      <c r="W268" s="41">
        <f>D268/'1. Väestöennuste'!F268*1000</f>
        <v>2297.2611861184364</v>
      </c>
      <c r="X268" s="41">
        <f>E268/'1. Väestöennuste'!G268*1000</f>
        <v>2232.6819148339682</v>
      </c>
      <c r="Y268" s="41">
        <f>F268/'1. Väestöennuste'!H268*1000</f>
        <v>1968.1090295401698</v>
      </c>
      <c r="Z268" s="41">
        <f>G268/'1. Väestöennuste'!I268*1000</f>
        <v>1895.9183673469388</v>
      </c>
      <c r="AA268" s="41">
        <f>H268/'1. Väestöennuste'!J268*1000</f>
        <v>2146.4053209631174</v>
      </c>
      <c r="AB268" s="41">
        <f>I268/'1. Väestöennuste'!K268*1000</f>
        <v>2430.8601182116349</v>
      </c>
      <c r="AC268" s="41">
        <f>J268/'1. Väestöennuste'!L268*1000</f>
        <v>2387.4681629869501</v>
      </c>
      <c r="AD268" s="41">
        <f>K268/'1. Väestöennuste'!M268*1000</f>
        <v>2459.8866979542372</v>
      </c>
      <c r="AE268" s="41">
        <f>L268/'1. Väestöennuste'!N268*1000</f>
        <v>2460.8276061082856</v>
      </c>
      <c r="AF268" s="41">
        <f>M268/'1. Väestöennuste'!O268*1000</f>
        <v>2383.3473138725726</v>
      </c>
      <c r="AG268" s="41">
        <f>N268/'1. Väestöennuste'!P268*1000</f>
        <v>2362.4082318275523</v>
      </c>
      <c r="AH268" s="41">
        <f>O268/'1. Väestöennuste'!Q268*1000</f>
        <v>2349.0256403847297</v>
      </c>
      <c r="AI268" s="41">
        <f>P268/'1. Väestöennuste'!R268*1000</f>
        <v>2366.8219378205672</v>
      </c>
      <c r="AK268" s="41">
        <f t="shared" si="41"/>
        <v>0</v>
      </c>
      <c r="AL268" s="41">
        <f t="shared" si="42"/>
        <v>0</v>
      </c>
      <c r="AM268" s="41">
        <f t="shared" si="43"/>
        <v>0</v>
      </c>
      <c r="AN268" s="41">
        <f t="shared" si="44"/>
        <v>0</v>
      </c>
      <c r="AO268" s="41">
        <f t="shared" si="45"/>
        <v>0</v>
      </c>
      <c r="AP268" s="41">
        <f t="shared" si="46"/>
        <v>0</v>
      </c>
      <c r="AQ268" s="41">
        <f t="shared" si="47"/>
        <v>0</v>
      </c>
      <c r="AR268" s="41">
        <f t="shared" si="48"/>
        <v>0</v>
      </c>
      <c r="AS268" s="41">
        <f t="shared" si="49"/>
        <v>0</v>
      </c>
      <c r="AT268" s="41">
        <f t="shared" si="50"/>
        <v>0</v>
      </c>
      <c r="AU268" s="41">
        <f t="shared" si="51"/>
        <v>0</v>
      </c>
      <c r="AV268" s="41">
        <f t="shared" si="52"/>
        <v>0</v>
      </c>
      <c r="AW268" s="41">
        <f t="shared" si="52"/>
        <v>0</v>
      </c>
      <c r="AX268" s="41">
        <f t="shared" si="52"/>
        <v>0</v>
      </c>
    </row>
    <row r="269" spans="1:50" ht="11.25" x14ac:dyDescent="0.2">
      <c r="A269" s="34">
        <v>844</v>
      </c>
      <c r="B269" s="88" t="s">
        <v>583</v>
      </c>
      <c r="C269" s="65">
        <v>841</v>
      </c>
      <c r="D269" s="65">
        <v>1246</v>
      </c>
      <c r="E269" s="65">
        <v>1446</v>
      </c>
      <c r="F269" s="65">
        <v>1329</v>
      </c>
      <c r="G269" s="41">
        <v>623</v>
      </c>
      <c r="H269" s="41">
        <v>562</v>
      </c>
      <c r="I269" s="41">
        <v>633.81386999999995</v>
      </c>
      <c r="J269" s="41">
        <f>I269+'Tilikauden tulos'!J269+'9. Tulorahkorjauserät'!J269</f>
        <v>614.48971351457146</v>
      </c>
      <c r="K269" s="41">
        <f>J269+'Tilikauden tulos'!K269+'9. Tulorahkorjauserät'!K269</f>
        <v>742.35603577856114</v>
      </c>
      <c r="L269" s="41">
        <f>K269+'Tilikauden tulos'!L269+'9. Tulorahkorjauserät'!L269</f>
        <v>905.2991375666063</v>
      </c>
      <c r="M269" s="41">
        <f>L269+'Tilikauden tulos'!M269+'9. Tulorahkorjauserät'!M269</f>
        <v>762.92610607618042</v>
      </c>
      <c r="N269" s="41">
        <f>M269+'Tilikauden tulos'!N269+'9. Tulorahkorjauserät'!N269</f>
        <v>825.65991526339951</v>
      </c>
      <c r="O269" s="41">
        <f>N269+'Tilikauden tulos'!O269+'9. Tulorahkorjauserät'!O269</f>
        <v>1040.6017792627235</v>
      </c>
      <c r="P269" s="41">
        <f>O269+'Tilikauden tulos'!P269+'9. Tulorahkorjauserät'!P269</f>
        <v>1428.4351605535244</v>
      </c>
      <c r="T269" s="34">
        <v>844</v>
      </c>
      <c r="U269" s="88" t="s">
        <v>583</v>
      </c>
      <c r="V269" s="41">
        <f>C269/'1. Väestöennuste'!E269*1000</f>
        <v>523.00995024875624</v>
      </c>
      <c r="W269" s="41">
        <f>D269/'1. Väestöennuste'!F269*1000</f>
        <v>773.43265052762251</v>
      </c>
      <c r="X269" s="41">
        <f>E269/'1. Väestöennuste'!G269*1000</f>
        <v>912.30283911671927</v>
      </c>
      <c r="Y269" s="41">
        <f>F269/'1. Väestöennuste'!H269*1000</f>
        <v>848.11742182514365</v>
      </c>
      <c r="Z269" s="41">
        <f>G269/'1. Väestöennuste'!I269*1000</f>
        <v>409.86842105263162</v>
      </c>
      <c r="AA269" s="41">
        <f>H269/'1. Väestöennuste'!J269*1000</f>
        <v>373.91882900864937</v>
      </c>
      <c r="AB269" s="41">
        <f>I269/'1. Väestöennuste'!K269*1000</f>
        <v>428.54217038539548</v>
      </c>
      <c r="AC269" s="41">
        <f>J269/'1. Väestöennuste'!L269*1000</f>
        <v>426.43283380608705</v>
      </c>
      <c r="AD269" s="41">
        <f>K269/'1. Väestöennuste'!M269*1000</f>
        <v>525.74790069303197</v>
      </c>
      <c r="AE269" s="41">
        <f>L269/'1. Väestöennuste'!N269*1000</f>
        <v>631.31041671311459</v>
      </c>
      <c r="AF269" s="41">
        <f>M269/'1. Väestöennuste'!O269*1000</f>
        <v>536.51624899872036</v>
      </c>
      <c r="AG269" s="41">
        <f>N269/'1. Väestöennuste'!P269*1000</f>
        <v>584.74498248116117</v>
      </c>
      <c r="AH269" s="41">
        <f>O269/'1. Väestöennuste'!Q269*1000</f>
        <v>742.22666138568013</v>
      </c>
      <c r="AI269" s="41">
        <f>P269/'1. Väestöennuste'!R269*1000</f>
        <v>1026.912408737257</v>
      </c>
      <c r="AK269" s="41">
        <f t="shared" si="41"/>
        <v>0</v>
      </c>
      <c r="AL269" s="41">
        <f t="shared" si="42"/>
        <v>0</v>
      </c>
      <c r="AM269" s="41">
        <f t="shared" si="43"/>
        <v>0</v>
      </c>
      <c r="AN269" s="41">
        <f t="shared" si="44"/>
        <v>0</v>
      </c>
      <c r="AO269" s="41">
        <f t="shared" si="45"/>
        <v>0</v>
      </c>
      <c r="AP269" s="41">
        <f t="shared" si="46"/>
        <v>0</v>
      </c>
      <c r="AQ269" s="41">
        <f t="shared" si="47"/>
        <v>0</v>
      </c>
      <c r="AR269" s="41">
        <f t="shared" si="48"/>
        <v>0</v>
      </c>
      <c r="AS269" s="41">
        <f t="shared" si="49"/>
        <v>0</v>
      </c>
      <c r="AT269" s="41">
        <f t="shared" si="50"/>
        <v>0</v>
      </c>
      <c r="AU269" s="41">
        <f t="shared" si="51"/>
        <v>0</v>
      </c>
      <c r="AV269" s="41">
        <f t="shared" si="52"/>
        <v>0</v>
      </c>
      <c r="AW269" s="41">
        <f t="shared" si="52"/>
        <v>0</v>
      </c>
      <c r="AX269" s="41">
        <f t="shared" si="52"/>
        <v>0</v>
      </c>
    </row>
    <row r="270" spans="1:50" ht="11.25" x14ac:dyDescent="0.2">
      <c r="A270" s="34">
        <v>845</v>
      </c>
      <c r="B270" s="88" t="s">
        <v>584</v>
      </c>
      <c r="C270" s="65">
        <v>10889</v>
      </c>
      <c r="D270" s="65">
        <v>12872</v>
      </c>
      <c r="E270" s="65">
        <v>13277</v>
      </c>
      <c r="F270" s="65">
        <v>13688</v>
      </c>
      <c r="G270" s="41">
        <v>14017</v>
      </c>
      <c r="H270" s="41">
        <v>14821</v>
      </c>
      <c r="I270" s="41">
        <v>16738.775259999999</v>
      </c>
      <c r="J270" s="41">
        <f>I270+'Tilikauden tulos'!J270+'9. Tulorahkorjauserät'!J270</f>
        <v>18462.559247081284</v>
      </c>
      <c r="K270" s="41">
        <f>J270+'Tilikauden tulos'!K270+'9. Tulorahkorjauserät'!K270</f>
        <v>20453.092298049087</v>
      </c>
      <c r="L270" s="41">
        <f>K270+'Tilikauden tulos'!L270+'9. Tulorahkorjauserät'!L270</f>
        <v>20536.237608727221</v>
      </c>
      <c r="M270" s="41">
        <f>L270+'Tilikauden tulos'!M270+'9. Tulorahkorjauserät'!M270</f>
        <v>23179.766454750221</v>
      </c>
      <c r="N270" s="41">
        <f>M270+'Tilikauden tulos'!N270+'9. Tulorahkorjauserät'!N270</f>
        <v>25609.385918452044</v>
      </c>
      <c r="O270" s="41">
        <f>N270+'Tilikauden tulos'!O270+'9. Tulorahkorjauserät'!O270</f>
        <v>27918.674908110526</v>
      </c>
      <c r="P270" s="41">
        <f>O270+'Tilikauden tulos'!P270+'9. Tulorahkorjauserät'!P270</f>
        <v>30481.14641126987</v>
      </c>
      <c r="T270" s="34">
        <v>845</v>
      </c>
      <c r="U270" s="88" t="s">
        <v>584</v>
      </c>
      <c r="V270" s="41">
        <f>C270/'1. Väestöennuste'!E270*1000</f>
        <v>3408.1377151799684</v>
      </c>
      <c r="W270" s="41">
        <f>D270/'1. Väestöennuste'!F270*1000</f>
        <v>4153.5979348176834</v>
      </c>
      <c r="X270" s="41">
        <f>E270/'1. Väestöennuste'!G270*1000</f>
        <v>4327.5749674054759</v>
      </c>
      <c r="Y270" s="41">
        <f>F270/'1. Väestöennuste'!H270*1000</f>
        <v>4470.2808621815811</v>
      </c>
      <c r="Z270" s="41">
        <f>G270/'1. Väestöennuste'!I270*1000</f>
        <v>4670.7764078640457</v>
      </c>
      <c r="AA270" s="41">
        <f>H270/'1. Väestöennuste'!J270*1000</f>
        <v>5067.0085470085469</v>
      </c>
      <c r="AB270" s="41">
        <f>I270/'1. Väestöennuste'!K270*1000</f>
        <v>5808.0413809854263</v>
      </c>
      <c r="AC270" s="41">
        <f>J270/'1. Väestöennuste'!L270*1000</f>
        <v>6448.6759507793522</v>
      </c>
      <c r="AD270" s="41">
        <f>K270/'1. Väestöennuste'!M270*1000</f>
        <v>7224.6882013596214</v>
      </c>
      <c r="AE270" s="41">
        <f>L270/'1. Väestöennuste'!N270*1000</f>
        <v>7555.6429759849962</v>
      </c>
      <c r="AF270" s="41">
        <f>M270/'1. Väestöennuste'!O270*1000</f>
        <v>8662.0950877242976</v>
      </c>
      <c r="AG270" s="41">
        <f>N270/'1. Väestöennuste'!P270*1000</f>
        <v>9711.5608336943678</v>
      </c>
      <c r="AH270" s="41">
        <f>O270/'1. Väestöennuste'!Q270*1000</f>
        <v>10746.218209434384</v>
      </c>
      <c r="AI270" s="41">
        <f>P270/'1. Väestöennuste'!R270*1000</f>
        <v>11902.048579176051</v>
      </c>
      <c r="AK270" s="41">
        <f t="shared" si="41"/>
        <v>0</v>
      </c>
      <c r="AL270" s="41">
        <f t="shared" si="42"/>
        <v>0</v>
      </c>
      <c r="AM270" s="41">
        <f t="shared" si="43"/>
        <v>0</v>
      </c>
      <c r="AN270" s="41">
        <f t="shared" si="44"/>
        <v>0</v>
      </c>
      <c r="AO270" s="41">
        <f t="shared" si="45"/>
        <v>0</v>
      </c>
      <c r="AP270" s="41">
        <f t="shared" si="46"/>
        <v>0</v>
      </c>
      <c r="AQ270" s="41">
        <f t="shared" si="47"/>
        <v>0</v>
      </c>
      <c r="AR270" s="41">
        <f t="shared" si="48"/>
        <v>0</v>
      </c>
      <c r="AS270" s="41">
        <f t="shared" si="49"/>
        <v>0</v>
      </c>
      <c r="AT270" s="41">
        <f t="shared" si="50"/>
        <v>0</v>
      </c>
      <c r="AU270" s="41">
        <f t="shared" si="51"/>
        <v>0</v>
      </c>
      <c r="AV270" s="41">
        <f t="shared" si="52"/>
        <v>0</v>
      </c>
      <c r="AW270" s="41">
        <f t="shared" si="52"/>
        <v>0</v>
      </c>
      <c r="AX270" s="41">
        <f t="shared" si="52"/>
        <v>0</v>
      </c>
    </row>
    <row r="271" spans="1:50" ht="11.25" x14ac:dyDescent="0.2">
      <c r="A271" s="34">
        <v>846</v>
      </c>
      <c r="B271" s="88" t="s">
        <v>585</v>
      </c>
      <c r="C271" s="65">
        <v>-3783</v>
      </c>
      <c r="D271" s="65">
        <v>-5772</v>
      </c>
      <c r="E271" s="65">
        <v>-5031</v>
      </c>
      <c r="F271" s="65">
        <v>-5025</v>
      </c>
      <c r="G271" s="41">
        <v>-4689</v>
      </c>
      <c r="H271" s="41">
        <v>-1545</v>
      </c>
      <c r="I271" s="41">
        <v>530.46480000000008</v>
      </c>
      <c r="J271" s="41">
        <f>I271+'Tilikauden tulos'!J271+'9. Tulorahkorjauserät'!J271</f>
        <v>3511.3933403077635</v>
      </c>
      <c r="K271" s="41">
        <f>J271+'Tilikauden tulos'!K271+'9. Tulorahkorjauserät'!K271</f>
        <v>7833.4914311400144</v>
      </c>
      <c r="L271" s="41">
        <f>K271+'Tilikauden tulos'!L271+'9. Tulorahkorjauserät'!L271</f>
        <v>10571.349425186405</v>
      </c>
      <c r="M271" s="41">
        <f>L271+'Tilikauden tulos'!M271+'9. Tulorahkorjauserät'!M271</f>
        <v>12126.403801908073</v>
      </c>
      <c r="N271" s="41">
        <f>M271+'Tilikauden tulos'!N271+'9. Tulorahkorjauserät'!N271</f>
        <v>13738.516452478096</v>
      </c>
      <c r="O271" s="41">
        <f>N271+'Tilikauden tulos'!O271+'9. Tulorahkorjauserät'!O271</f>
        <v>14892.706389303517</v>
      </c>
      <c r="P271" s="41">
        <f>O271+'Tilikauden tulos'!P271+'9. Tulorahkorjauserät'!P271</f>
        <v>16538.159122863515</v>
      </c>
      <c r="T271" s="34">
        <v>846</v>
      </c>
      <c r="U271" s="88" t="s">
        <v>585</v>
      </c>
      <c r="V271" s="41">
        <f>C271/'1. Väestöennuste'!E271*1000</f>
        <v>-690.07661437431591</v>
      </c>
      <c r="W271" s="41">
        <f>D271/'1. Väestöennuste'!F271*1000</f>
        <v>-1076.2632854745477</v>
      </c>
      <c r="X271" s="41">
        <f>E271/'1. Väestöennuste'!G271*1000</f>
        <v>-954.83013854621367</v>
      </c>
      <c r="Y271" s="41">
        <f>F271/'1. Väestöennuste'!H271*1000</f>
        <v>-974.21481194261344</v>
      </c>
      <c r="Z271" s="41">
        <f>G271/'1. Väestöennuste'!I271*1000</f>
        <v>-923.75886524822693</v>
      </c>
      <c r="AA271" s="41">
        <f>H271/'1. Väestöennuste'!J271*1000</f>
        <v>-309.3712454945935</v>
      </c>
      <c r="AB271" s="41">
        <f>I271/'1. Väestöennuste'!K271*1000</f>
        <v>107.12132471728596</v>
      </c>
      <c r="AC271" s="41">
        <f>J271/'1. Väestöennuste'!L271*1000</f>
        <v>722.21171129324637</v>
      </c>
      <c r="AD271" s="41">
        <f>K271/'1. Väestöennuste'!M271*1000</f>
        <v>1646.3832347919324</v>
      </c>
      <c r="AE271" s="41">
        <f>L271/'1. Väestöennuste'!N271*1000</f>
        <v>2282.2429674409336</v>
      </c>
      <c r="AF271" s="41">
        <f>M271/'1. Väestöennuste'!O271*1000</f>
        <v>2662.8027672174071</v>
      </c>
      <c r="AG271" s="41">
        <f>N271/'1. Väestöennuste'!P271*1000</f>
        <v>3067.317805866956</v>
      </c>
      <c r="AH271" s="41">
        <f>O271/'1. Väestöennuste'!Q271*1000</f>
        <v>3379.329791083167</v>
      </c>
      <c r="AI271" s="41">
        <f>P271/'1. Väestöennuste'!R271*1000</f>
        <v>3815.9111958614476</v>
      </c>
      <c r="AK271" s="41">
        <f t="shared" si="41"/>
        <v>-1</v>
      </c>
      <c r="AL271" s="41">
        <f t="shared" si="42"/>
        <v>-1</v>
      </c>
      <c r="AM271" s="41">
        <f t="shared" si="43"/>
        <v>-1</v>
      </c>
      <c r="AN271" s="41">
        <f t="shared" si="44"/>
        <v>-1</v>
      </c>
      <c r="AO271" s="41">
        <f t="shared" si="45"/>
        <v>-1</v>
      </c>
      <c r="AP271" s="41">
        <f t="shared" si="46"/>
        <v>-1</v>
      </c>
      <c r="AQ271" s="41">
        <f t="shared" si="47"/>
        <v>0</v>
      </c>
      <c r="AR271" s="41">
        <f t="shared" si="48"/>
        <v>0</v>
      </c>
      <c r="AS271" s="41">
        <f t="shared" si="49"/>
        <v>0</v>
      </c>
      <c r="AT271" s="41">
        <f t="shared" si="50"/>
        <v>0</v>
      </c>
      <c r="AU271" s="41">
        <f t="shared" si="51"/>
        <v>0</v>
      </c>
      <c r="AV271" s="41">
        <f t="shared" si="52"/>
        <v>0</v>
      </c>
      <c r="AW271" s="41">
        <f t="shared" si="52"/>
        <v>0</v>
      </c>
      <c r="AX271" s="41">
        <f t="shared" si="52"/>
        <v>0</v>
      </c>
    </row>
    <row r="272" spans="1:50" ht="11.25" x14ac:dyDescent="0.2">
      <c r="A272" s="34">
        <v>848</v>
      </c>
      <c r="B272" s="88" t="s">
        <v>586</v>
      </c>
      <c r="C272" s="65">
        <v>2037</v>
      </c>
      <c r="D272" s="65">
        <v>2564</v>
      </c>
      <c r="E272" s="65">
        <v>2895</v>
      </c>
      <c r="F272" s="65">
        <v>2427</v>
      </c>
      <c r="G272" s="41">
        <v>1755</v>
      </c>
      <c r="H272" s="41">
        <v>1903</v>
      </c>
      <c r="I272" s="41">
        <v>1687.0603899999999</v>
      </c>
      <c r="J272" s="41">
        <f>I272+'Tilikauden tulos'!J272+'9. Tulorahkorjauserät'!J272</f>
        <v>1089.9830742343856</v>
      </c>
      <c r="K272" s="41">
        <f>J272+'Tilikauden tulos'!K272+'9. Tulorahkorjauserät'!K272</f>
        <v>1964.1799217215892</v>
      </c>
      <c r="L272" s="41">
        <f>K272+'Tilikauden tulos'!L272+'9. Tulorahkorjauserät'!L272</f>
        <v>1628.2739890711798</v>
      </c>
      <c r="M272" s="41">
        <f>L272+'Tilikauden tulos'!M272+'9. Tulorahkorjauserät'!M272</f>
        <v>-340.29880251198506</v>
      </c>
      <c r="N272" s="41">
        <f>M272+'Tilikauden tulos'!N272+'9. Tulorahkorjauserät'!N272</f>
        <v>-2732.0856574846102</v>
      </c>
      <c r="O272" s="41">
        <f>N272+'Tilikauden tulos'!O272+'9. Tulorahkorjauserät'!O272</f>
        <v>-5535.3776344908447</v>
      </c>
      <c r="P272" s="41">
        <f>O272+'Tilikauden tulos'!P272+'9. Tulorahkorjauserät'!P272</f>
        <v>-8066.7287467659471</v>
      </c>
      <c r="T272" s="34">
        <v>848</v>
      </c>
      <c r="U272" s="88" t="s">
        <v>586</v>
      </c>
      <c r="V272" s="41">
        <f>C272/'1. Väestöennuste'!E272*1000</f>
        <v>429.92823976361331</v>
      </c>
      <c r="W272" s="41">
        <f>D272/'1. Väestöennuste'!F272*1000</f>
        <v>551.04233827638086</v>
      </c>
      <c r="X272" s="41">
        <f>E272/'1. Väestöennuste'!G272*1000</f>
        <v>633.34062568365778</v>
      </c>
      <c r="Y272" s="41">
        <f>F272/'1. Väestöennuste'!H272*1000</f>
        <v>541.49933065595712</v>
      </c>
      <c r="Z272" s="41">
        <f>G272/'1. Väestöennuste'!I272*1000</f>
        <v>402.4306351754185</v>
      </c>
      <c r="AA272" s="41">
        <f>H272/'1. Väestöennuste'!J272*1000</f>
        <v>441.83886696076161</v>
      </c>
      <c r="AB272" s="41">
        <f>I272/'1. Väestöennuste'!K272*1000</f>
        <v>397.79778118368307</v>
      </c>
      <c r="AC272" s="41">
        <f>J272/'1. Väestöennuste'!L272*1000</f>
        <v>262.01516207557347</v>
      </c>
      <c r="AD272" s="41">
        <f>K272/'1. Väestöennuste'!M272*1000</f>
        <v>483.07425521927917</v>
      </c>
      <c r="AE272" s="41">
        <f>L272/'1. Väestöennuste'!N272*1000</f>
        <v>407.27213333446218</v>
      </c>
      <c r="AF272" s="41">
        <f>M272/'1. Väestöennuste'!O272*1000</f>
        <v>-86.392181394258714</v>
      </c>
      <c r="AG272" s="41">
        <f>N272/'1. Väestöennuste'!P272*1000</f>
        <v>-703.6017660274556</v>
      </c>
      <c r="AH272" s="41">
        <f>O272/'1. Väestöennuste'!Q272*1000</f>
        <v>-1445.6457650798759</v>
      </c>
      <c r="AI272" s="41">
        <f>P272/'1. Väestöennuste'!R272*1000</f>
        <v>-2135.7502639041427</v>
      </c>
      <c r="AK272" s="41">
        <f t="shared" ref="AK272:AK307" si="53">IF(C272&lt;0,-1,0)</f>
        <v>0</v>
      </c>
      <c r="AL272" s="41">
        <f t="shared" ref="AL272:AL307" si="54">IF(D272&lt;0,-1,0)</f>
        <v>0</v>
      </c>
      <c r="AM272" s="41">
        <f t="shared" ref="AM272:AM307" si="55">IF(E272&lt;0,-1,0)</f>
        <v>0</v>
      </c>
      <c r="AN272" s="41">
        <f t="shared" ref="AN272:AN307" si="56">IF(F272&lt;0,-1,0)</f>
        <v>0</v>
      </c>
      <c r="AO272" s="41">
        <f t="shared" ref="AO272:AO307" si="57">IF(G272&lt;0,-1,0)</f>
        <v>0</v>
      </c>
      <c r="AP272" s="41">
        <f t="shared" ref="AP272:AP307" si="58">IF(H272&lt;0,-1,0)</f>
        <v>0</v>
      </c>
      <c r="AQ272" s="41">
        <f t="shared" ref="AQ272:AQ307" si="59">IF(I272&lt;0,-1,0)</f>
        <v>0</v>
      </c>
      <c r="AR272" s="41">
        <f t="shared" ref="AR272:AR307" si="60">IF(J272&lt;0,-1,0)</f>
        <v>0</v>
      </c>
      <c r="AS272" s="41">
        <f t="shared" ref="AS272:AS307" si="61">IF(K272&lt;0,-1,0)</f>
        <v>0</v>
      </c>
      <c r="AT272" s="41">
        <f t="shared" ref="AT272:AT307" si="62">IF(L272&lt;0,-1,0)</f>
        <v>0</v>
      </c>
      <c r="AU272" s="41">
        <f t="shared" ref="AU272:AU307" si="63">IF(M272&lt;0,-1,0)</f>
        <v>-1</v>
      </c>
      <c r="AV272" s="41">
        <f t="shared" ref="AV272:AX307" si="64">IF(N272&lt;0,-1,0)</f>
        <v>-1</v>
      </c>
      <c r="AW272" s="41">
        <f t="shared" si="64"/>
        <v>-1</v>
      </c>
      <c r="AX272" s="41">
        <f t="shared" si="64"/>
        <v>-1</v>
      </c>
    </row>
    <row r="273" spans="1:50" ht="11.25" x14ac:dyDescent="0.2">
      <c r="A273" s="34">
        <v>849</v>
      </c>
      <c r="B273" s="88" t="s">
        <v>587</v>
      </c>
      <c r="C273" s="65">
        <v>1424</v>
      </c>
      <c r="D273" s="65">
        <v>823</v>
      </c>
      <c r="E273" s="65">
        <v>1513</v>
      </c>
      <c r="F273" s="65">
        <v>1201</v>
      </c>
      <c r="G273" s="41">
        <v>451</v>
      </c>
      <c r="H273" s="41">
        <v>1756</v>
      </c>
      <c r="I273" s="41">
        <v>3338.1962100000001</v>
      </c>
      <c r="J273" s="41">
        <f>I273+'Tilikauden tulos'!J273+'9. Tulorahkorjauserät'!J273</f>
        <v>4249.533058400526</v>
      </c>
      <c r="K273" s="41">
        <f>J273+'Tilikauden tulos'!K273+'9. Tulorahkorjauserät'!K273</f>
        <v>4134.7700359370065</v>
      </c>
      <c r="L273" s="41">
        <f>K273+'Tilikauden tulos'!L273+'9. Tulorahkorjauserät'!L273</f>
        <v>4073.2679631535038</v>
      </c>
      <c r="M273" s="41">
        <f>L273+'Tilikauden tulos'!M273+'9. Tulorahkorjauserät'!M273</f>
        <v>3812.5144621895383</v>
      </c>
      <c r="N273" s="41">
        <f>M273+'Tilikauden tulos'!N273+'9. Tulorahkorjauserät'!N273</f>
        <v>3120.5942808080208</v>
      </c>
      <c r="O273" s="41">
        <f>N273+'Tilikauden tulos'!O273+'9. Tulorahkorjauserät'!O273</f>
        <v>2038.6032222959625</v>
      </c>
      <c r="P273" s="41">
        <f>O273+'Tilikauden tulos'!P273+'9. Tulorahkorjauserät'!P273</f>
        <v>1222.8174653164504</v>
      </c>
      <c r="T273" s="34">
        <v>849</v>
      </c>
      <c r="U273" s="88" t="s">
        <v>587</v>
      </c>
      <c r="V273" s="41">
        <f>C273/'1. Väestöennuste'!E273*1000</f>
        <v>430.08154636061613</v>
      </c>
      <c r="W273" s="41">
        <f>D273/'1. Väestöennuste'!F273*1000</f>
        <v>254.64108910891088</v>
      </c>
      <c r="X273" s="41">
        <f>E273/'1. Väestöennuste'!G273*1000</f>
        <v>473.99749373433588</v>
      </c>
      <c r="Y273" s="41">
        <f>F273/'1. Väestöennuste'!H273*1000</f>
        <v>385.92544987146533</v>
      </c>
      <c r="Z273" s="41">
        <f>G273/'1. Väestöennuste'!I273*1000</f>
        <v>148.69765908341574</v>
      </c>
      <c r="AA273" s="41">
        <f>H273/'1. Väestöennuste'!J273*1000</f>
        <v>592.04315576534054</v>
      </c>
      <c r="AB273" s="41">
        <f>I273/'1. Väestöennuste'!K273*1000</f>
        <v>1136.2138223281145</v>
      </c>
      <c r="AC273" s="41">
        <f>J273/'1. Väestöennuste'!L273*1000</f>
        <v>1463.8419078196782</v>
      </c>
      <c r="AD273" s="41">
        <f>K273/'1. Väestöennuste'!M273*1000</f>
        <v>1451.3057339196232</v>
      </c>
      <c r="AE273" s="41">
        <f>L273/'1. Väestöennuste'!N273*1000</f>
        <v>1509.1767184711018</v>
      </c>
      <c r="AF273" s="41">
        <f>M273/'1. Väestöennuste'!O273*1000</f>
        <v>1445.7771946111257</v>
      </c>
      <c r="AG273" s="41">
        <f>N273/'1. Väestöennuste'!P273*1000</f>
        <v>1210.0016598712759</v>
      </c>
      <c r="AH273" s="41">
        <f>O273/'1. Väestöennuste'!Q273*1000</f>
        <v>807.68748902375694</v>
      </c>
      <c r="AI273" s="41">
        <f>P273/'1. Väestöennuste'!R273*1000</f>
        <v>494.86744852952256</v>
      </c>
      <c r="AK273" s="41">
        <f t="shared" si="53"/>
        <v>0</v>
      </c>
      <c r="AL273" s="41">
        <f t="shared" si="54"/>
        <v>0</v>
      </c>
      <c r="AM273" s="41">
        <f t="shared" si="55"/>
        <v>0</v>
      </c>
      <c r="AN273" s="41">
        <f t="shared" si="56"/>
        <v>0</v>
      </c>
      <c r="AO273" s="41">
        <f t="shared" si="57"/>
        <v>0</v>
      </c>
      <c r="AP273" s="41">
        <f t="shared" si="58"/>
        <v>0</v>
      </c>
      <c r="AQ273" s="41">
        <f t="shared" si="59"/>
        <v>0</v>
      </c>
      <c r="AR273" s="41">
        <f t="shared" si="60"/>
        <v>0</v>
      </c>
      <c r="AS273" s="41">
        <f t="shared" si="61"/>
        <v>0</v>
      </c>
      <c r="AT273" s="41">
        <f t="shared" si="62"/>
        <v>0</v>
      </c>
      <c r="AU273" s="41">
        <f t="shared" si="63"/>
        <v>0</v>
      </c>
      <c r="AV273" s="41">
        <f t="shared" si="64"/>
        <v>0</v>
      </c>
      <c r="AW273" s="41">
        <f t="shared" si="64"/>
        <v>0</v>
      </c>
      <c r="AX273" s="41">
        <f t="shared" si="64"/>
        <v>0</v>
      </c>
    </row>
    <row r="274" spans="1:50" ht="11.25" x14ac:dyDescent="0.2">
      <c r="A274" s="34">
        <v>850</v>
      </c>
      <c r="B274" s="88" t="s">
        <v>588</v>
      </c>
      <c r="C274" s="65">
        <v>1654</v>
      </c>
      <c r="D274" s="65">
        <v>1748</v>
      </c>
      <c r="E274" s="65">
        <v>1830</v>
      </c>
      <c r="F274" s="65">
        <v>373</v>
      </c>
      <c r="G274" s="41">
        <v>-3631</v>
      </c>
      <c r="H274" s="41">
        <v>-2088</v>
      </c>
      <c r="I274" s="41">
        <v>-2035.7879499999999</v>
      </c>
      <c r="J274" s="41">
        <f>I274+'Tilikauden tulos'!J274+'9. Tulorahkorjauserät'!J274</f>
        <v>-2206.2861928114944</v>
      </c>
      <c r="K274" s="41">
        <f>J274+'Tilikauden tulos'!K274+'9. Tulorahkorjauserät'!K274</f>
        <v>1001.6312635134346</v>
      </c>
      <c r="L274" s="41">
        <f>K274+'Tilikauden tulos'!L274+'9. Tulorahkorjauserät'!L274</f>
        <v>1989.741426702629</v>
      </c>
      <c r="M274" s="41">
        <f>L274+'Tilikauden tulos'!M274+'9. Tulorahkorjauserät'!M274</f>
        <v>1079.8016708625087</v>
      </c>
      <c r="N274" s="41">
        <f>M274+'Tilikauden tulos'!N274+'9. Tulorahkorjauserät'!N274</f>
        <v>152.98260559163543</v>
      </c>
      <c r="O274" s="41">
        <f>N274+'Tilikauden tulos'!O274+'9. Tulorahkorjauserät'!O274</f>
        <v>-1006.7982042753737</v>
      </c>
      <c r="P274" s="41">
        <f>O274+'Tilikauden tulos'!P274+'9. Tulorahkorjauserät'!P274</f>
        <v>-2257.6265589719651</v>
      </c>
      <c r="T274" s="34">
        <v>850</v>
      </c>
      <c r="U274" s="88" t="s">
        <v>588</v>
      </c>
      <c r="V274" s="41">
        <f>C274/'1. Väestöennuste'!E274*1000</f>
        <v>680.37844508432738</v>
      </c>
      <c r="W274" s="41">
        <f>D274/'1. Väestöennuste'!F274*1000</f>
        <v>718.75</v>
      </c>
      <c r="X274" s="41">
        <f>E274/'1. Väestöennuste'!G274*1000</f>
        <v>767.61744966442961</v>
      </c>
      <c r="Y274" s="41">
        <f>F274/'1. Väestöennuste'!H274*1000</f>
        <v>155.02909393183708</v>
      </c>
      <c r="Z274" s="41">
        <f>G274/'1. Väestöennuste'!I274*1000</f>
        <v>-1520.5192629815745</v>
      </c>
      <c r="AA274" s="41">
        <f>H274/'1. Väestöennuste'!J274*1000</f>
        <v>-869.63765097875887</v>
      </c>
      <c r="AB274" s="41">
        <f>I274/'1. Väestöennuste'!K274*1000</f>
        <v>-852.86466275659825</v>
      </c>
      <c r="AC274" s="41">
        <f>J274/'1. Väestöennuste'!L274*1000</f>
        <v>-916.61246066119418</v>
      </c>
      <c r="AD274" s="41">
        <f>K274/'1. Väestöennuste'!M274*1000</f>
        <v>422.98617547020046</v>
      </c>
      <c r="AE274" s="41">
        <f>L274/'1. Väestöennuste'!N274*1000</f>
        <v>832.52779359942645</v>
      </c>
      <c r="AF274" s="41">
        <f>M274/'1. Väestöennuste'!O274*1000</f>
        <v>453.12701253147657</v>
      </c>
      <c r="AG274" s="41">
        <f>N274/'1. Väestöennuste'!P274*1000</f>
        <v>64.359531170229474</v>
      </c>
      <c r="AH274" s="41">
        <f>O274/'1. Väestöennuste'!Q274*1000</f>
        <v>-425.16816058926253</v>
      </c>
      <c r="AI274" s="41">
        <f>P274/'1. Väestöennuste'!R274*1000</f>
        <v>-958.65246665476218</v>
      </c>
      <c r="AK274" s="41">
        <f t="shared" si="53"/>
        <v>0</v>
      </c>
      <c r="AL274" s="41">
        <f t="shared" si="54"/>
        <v>0</v>
      </c>
      <c r="AM274" s="41">
        <f t="shared" si="55"/>
        <v>0</v>
      </c>
      <c r="AN274" s="41">
        <f t="shared" si="56"/>
        <v>0</v>
      </c>
      <c r="AO274" s="41">
        <f t="shared" si="57"/>
        <v>-1</v>
      </c>
      <c r="AP274" s="41">
        <f t="shared" si="58"/>
        <v>-1</v>
      </c>
      <c r="AQ274" s="41">
        <f t="shared" si="59"/>
        <v>-1</v>
      </c>
      <c r="AR274" s="41">
        <f t="shared" si="60"/>
        <v>-1</v>
      </c>
      <c r="AS274" s="41">
        <f t="shared" si="61"/>
        <v>0</v>
      </c>
      <c r="AT274" s="41">
        <f t="shared" si="62"/>
        <v>0</v>
      </c>
      <c r="AU274" s="41">
        <f t="shared" si="63"/>
        <v>0</v>
      </c>
      <c r="AV274" s="41">
        <f t="shared" si="64"/>
        <v>0</v>
      </c>
      <c r="AW274" s="41">
        <f t="shared" si="64"/>
        <v>-1</v>
      </c>
      <c r="AX274" s="41">
        <f t="shared" si="64"/>
        <v>-1</v>
      </c>
    </row>
    <row r="275" spans="1:50" ht="11.25" x14ac:dyDescent="0.2">
      <c r="A275" s="34">
        <v>851</v>
      </c>
      <c r="B275" s="88" t="s">
        <v>589</v>
      </c>
      <c r="C275" s="65">
        <v>10210</v>
      </c>
      <c r="D275" s="65">
        <v>12856</v>
      </c>
      <c r="E275" s="65">
        <v>14702</v>
      </c>
      <c r="F275" s="65">
        <v>13688</v>
      </c>
      <c r="G275" s="41">
        <v>7868</v>
      </c>
      <c r="H275" s="41">
        <v>14467</v>
      </c>
      <c r="I275" s="41">
        <v>13714.786320000001</v>
      </c>
      <c r="J275" s="41">
        <f>I275+'Tilikauden tulos'!J275+'9. Tulorahkorjauserät'!J275</f>
        <v>11263.006936335203</v>
      </c>
      <c r="K275" s="41">
        <f>J275+'Tilikauden tulos'!K275+'9. Tulorahkorjauserät'!K275</f>
        <v>19248.035783341958</v>
      </c>
      <c r="L275" s="41">
        <f>K275+'Tilikauden tulos'!L275+'9. Tulorahkorjauserät'!L275</f>
        <v>17366.581495619102</v>
      </c>
      <c r="M275" s="41">
        <f>L275+'Tilikauden tulos'!M275+'9. Tulorahkorjauserät'!M275</f>
        <v>16482.717683362906</v>
      </c>
      <c r="N275" s="41">
        <f>M275+'Tilikauden tulos'!N275+'9. Tulorahkorjauserät'!N275</f>
        <v>14371.384078498884</v>
      </c>
      <c r="O275" s="41">
        <f>N275+'Tilikauden tulos'!O275+'9. Tulorahkorjauserät'!O275</f>
        <v>12697.099874849711</v>
      </c>
      <c r="P275" s="41">
        <f>O275+'Tilikauden tulos'!P275+'9. Tulorahkorjauserät'!P275</f>
        <v>13015.204859088688</v>
      </c>
      <c r="T275" s="34">
        <v>851</v>
      </c>
      <c r="U275" s="88" t="s">
        <v>589</v>
      </c>
      <c r="V275" s="41">
        <f>C275/'1. Väestöennuste'!E275*1000</f>
        <v>459.93062750574347</v>
      </c>
      <c r="W275" s="41">
        <f>D275/'1. Väestöennuste'!F275*1000</f>
        <v>581.27232445630057</v>
      </c>
      <c r="X275" s="41">
        <f>E275/'1. Väestöennuste'!G275*1000</f>
        <v>670.46698285297339</v>
      </c>
      <c r="Y275" s="41">
        <f>F275/'1. Väestöennuste'!H275*1000</f>
        <v>625.73714285714289</v>
      </c>
      <c r="Z275" s="41">
        <f>G275/'1. Väestöennuste'!I275*1000</f>
        <v>364.22553467271553</v>
      </c>
      <c r="AA275" s="41">
        <f>H275/'1. Väestöennuste'!J275*1000</f>
        <v>673.9181068616947</v>
      </c>
      <c r="AB275" s="41">
        <f>I275/'1. Väestöennuste'!K275*1000</f>
        <v>642.8906539164675</v>
      </c>
      <c r="AC275" s="41">
        <f>J275/'1. Väestöennuste'!L275*1000</f>
        <v>530.59815029609467</v>
      </c>
      <c r="AD275" s="41">
        <f>K275/'1. Väestöennuste'!M275*1000</f>
        <v>915.78817125044998</v>
      </c>
      <c r="AE275" s="41">
        <f>L275/'1. Väestöennuste'!N275*1000</f>
        <v>831.41428071711516</v>
      </c>
      <c r="AF275" s="41">
        <f>M275/'1. Väestöennuste'!O275*1000</f>
        <v>794.42441118965223</v>
      </c>
      <c r="AG275" s="41">
        <f>N275/'1. Väestöennuste'!P275*1000</f>
        <v>697.23384817091426</v>
      </c>
      <c r="AH275" s="41">
        <f>O275/'1. Väestöennuste'!Q275*1000</f>
        <v>620.09669246189242</v>
      </c>
      <c r="AI275" s="41">
        <f>P275/'1. Väestöennuste'!R275*1000</f>
        <v>639.88224479295422</v>
      </c>
      <c r="AK275" s="41">
        <f t="shared" si="53"/>
        <v>0</v>
      </c>
      <c r="AL275" s="41">
        <f t="shared" si="54"/>
        <v>0</v>
      </c>
      <c r="AM275" s="41">
        <f t="shared" si="55"/>
        <v>0</v>
      </c>
      <c r="AN275" s="41">
        <f t="shared" si="56"/>
        <v>0</v>
      </c>
      <c r="AO275" s="41">
        <f t="shared" si="57"/>
        <v>0</v>
      </c>
      <c r="AP275" s="41">
        <f t="shared" si="58"/>
        <v>0</v>
      </c>
      <c r="AQ275" s="41">
        <f t="shared" si="59"/>
        <v>0</v>
      </c>
      <c r="AR275" s="41">
        <f t="shared" si="60"/>
        <v>0</v>
      </c>
      <c r="AS275" s="41">
        <f t="shared" si="61"/>
        <v>0</v>
      </c>
      <c r="AT275" s="41">
        <f t="shared" si="62"/>
        <v>0</v>
      </c>
      <c r="AU275" s="41">
        <f t="shared" si="63"/>
        <v>0</v>
      </c>
      <c r="AV275" s="41">
        <f t="shared" si="64"/>
        <v>0</v>
      </c>
      <c r="AW275" s="41">
        <f t="shared" si="64"/>
        <v>0</v>
      </c>
      <c r="AX275" s="41">
        <f t="shared" si="64"/>
        <v>0</v>
      </c>
    </row>
    <row r="276" spans="1:50" ht="11.25" x14ac:dyDescent="0.2">
      <c r="A276" s="34">
        <v>853</v>
      </c>
      <c r="B276" s="88" t="s">
        <v>590</v>
      </c>
      <c r="C276" s="65">
        <v>210558</v>
      </c>
      <c r="D276" s="65">
        <v>238375</v>
      </c>
      <c r="E276" s="65">
        <v>256072</v>
      </c>
      <c r="F276" s="65">
        <v>208271</v>
      </c>
      <c r="G276" s="41">
        <v>171820</v>
      </c>
      <c r="H276" s="41">
        <v>182056</v>
      </c>
      <c r="I276" s="41">
        <v>218556.35281000001</v>
      </c>
      <c r="J276" s="41">
        <f>I276+'Tilikauden tulos'!J276+'9. Tulorahkorjauserät'!J276</f>
        <v>202624.36396933204</v>
      </c>
      <c r="K276" s="41">
        <f>J276+'Tilikauden tulos'!K276+'9. Tulorahkorjauserät'!K276</f>
        <v>214741.43026001644</v>
      </c>
      <c r="L276" s="41">
        <f>K276+'Tilikauden tulos'!L276+'9. Tulorahkorjauserät'!L276</f>
        <v>192337.77287190428</v>
      </c>
      <c r="M276" s="41">
        <f>L276+'Tilikauden tulos'!M276+'9. Tulorahkorjauserät'!M276</f>
        <v>107293.26871003846</v>
      </c>
      <c r="N276" s="41">
        <f>M276+'Tilikauden tulos'!N276+'9. Tulorahkorjauserät'!N276</f>
        <v>12639.248350865411</v>
      </c>
      <c r="O276" s="41">
        <f>N276+'Tilikauden tulos'!O276+'9. Tulorahkorjauserät'!O276</f>
        <v>-84507.756484255457</v>
      </c>
      <c r="P276" s="41">
        <f>O276+'Tilikauden tulos'!P276+'9. Tulorahkorjauserät'!P276</f>
        <v>-177411.39780484553</v>
      </c>
      <c r="T276" s="34">
        <v>853</v>
      </c>
      <c r="U276" s="88" t="s">
        <v>590</v>
      </c>
      <c r="V276" s="41">
        <f>C276/'1. Väestöennuste'!E276*1000</f>
        <v>1132.5924650902598</v>
      </c>
      <c r="W276" s="41">
        <f>D276/'1. Väestöennuste'!F276*1000</f>
        <v>1270.6285580264814</v>
      </c>
      <c r="X276" s="41">
        <f>E276/'1. Väestöennuste'!G276*1000</f>
        <v>1350.0993836631183</v>
      </c>
      <c r="Y276" s="41">
        <f>F276/'1. Väestöennuste'!H276*1000</f>
        <v>1088.5376650934768</v>
      </c>
      <c r="Z276" s="41">
        <f>G276/'1. Väestöennuste'!I276*1000</f>
        <v>890.43438604492076</v>
      </c>
      <c r="AA276" s="41">
        <f>H276/'1. Väestöennuste'!J276*1000</f>
        <v>936.54541619725194</v>
      </c>
      <c r="AB276" s="41">
        <f>I276/'1. Väestöennuste'!K276*1000</f>
        <v>1120.0149270000052</v>
      </c>
      <c r="AC276" s="41">
        <f>J276/'1. Väestöennuste'!L276*1000</f>
        <v>1023.8724808960689</v>
      </c>
      <c r="AD276" s="41">
        <f>K276/'1. Väestöennuste'!M276*1000</f>
        <v>1063.7978741028144</v>
      </c>
      <c r="AE276" s="41">
        <f>L276/'1. Väestöennuste'!N276*1000</f>
        <v>961.59751259582481</v>
      </c>
      <c r="AF276" s="41">
        <f>M276/'1. Väestöennuste'!O276*1000</f>
        <v>533.15014961955865</v>
      </c>
      <c r="AG276" s="41">
        <f>N276/'1. Väestöennuste'!P276*1000</f>
        <v>62.434540361911736</v>
      </c>
      <c r="AH276" s="41">
        <f>O276/'1. Väestöennuste'!Q276*1000</f>
        <v>-415.05737326811942</v>
      </c>
      <c r="AI276" s="41">
        <f>P276/'1. Väestöennuste'!R276*1000</f>
        <v>-866.50775755383836</v>
      </c>
      <c r="AK276" s="41">
        <f t="shared" si="53"/>
        <v>0</v>
      </c>
      <c r="AL276" s="41">
        <f t="shared" si="54"/>
        <v>0</v>
      </c>
      <c r="AM276" s="41">
        <f t="shared" si="55"/>
        <v>0</v>
      </c>
      <c r="AN276" s="41">
        <f t="shared" si="56"/>
        <v>0</v>
      </c>
      <c r="AO276" s="41">
        <f t="shared" si="57"/>
        <v>0</v>
      </c>
      <c r="AP276" s="41">
        <f t="shared" si="58"/>
        <v>0</v>
      </c>
      <c r="AQ276" s="41">
        <f t="shared" si="59"/>
        <v>0</v>
      </c>
      <c r="AR276" s="41">
        <f t="shared" si="60"/>
        <v>0</v>
      </c>
      <c r="AS276" s="41">
        <f t="shared" si="61"/>
        <v>0</v>
      </c>
      <c r="AT276" s="41">
        <f t="shared" si="62"/>
        <v>0</v>
      </c>
      <c r="AU276" s="41">
        <f t="shared" si="63"/>
        <v>0</v>
      </c>
      <c r="AV276" s="41">
        <f t="shared" si="64"/>
        <v>0</v>
      </c>
      <c r="AW276" s="41">
        <f t="shared" si="64"/>
        <v>-1</v>
      </c>
      <c r="AX276" s="41">
        <f t="shared" si="64"/>
        <v>-1</v>
      </c>
    </row>
    <row r="277" spans="1:50" ht="11.25" x14ac:dyDescent="0.2">
      <c r="A277" s="34">
        <v>854</v>
      </c>
      <c r="B277" s="88" t="s">
        <v>591</v>
      </c>
      <c r="C277" s="65">
        <v>3783</v>
      </c>
      <c r="D277" s="65">
        <v>3372</v>
      </c>
      <c r="E277" s="65">
        <v>1532</v>
      </c>
      <c r="F277" s="65">
        <v>1010</v>
      </c>
      <c r="G277" s="41">
        <v>-1000</v>
      </c>
      <c r="H277" s="41">
        <v>-2</v>
      </c>
      <c r="I277" s="41">
        <v>743.54051000000004</v>
      </c>
      <c r="J277" s="41">
        <f>I277+'Tilikauden tulos'!J277+'9. Tulorahkorjauserät'!J277</f>
        <v>1429.8180328917804</v>
      </c>
      <c r="K277" s="41">
        <f>J277+'Tilikauden tulos'!K277+'9. Tulorahkorjauserät'!K277</f>
        <v>2323.2608455774066</v>
      </c>
      <c r="L277" s="41">
        <f>K277+'Tilikauden tulos'!L277+'9. Tulorahkorjauserät'!L277</f>
        <v>2055.5608345491401</v>
      </c>
      <c r="M277" s="41">
        <f>L277+'Tilikauden tulos'!M277+'9. Tulorahkorjauserät'!M277</f>
        <v>729.75866066462709</v>
      </c>
      <c r="N277" s="41">
        <f>M277+'Tilikauden tulos'!N277+'9. Tulorahkorjauserät'!N277</f>
        <v>-760.31293265659906</v>
      </c>
      <c r="O277" s="41">
        <f>N277+'Tilikauden tulos'!O277+'9. Tulorahkorjauserät'!O277</f>
        <v>-2269.1157139611146</v>
      </c>
      <c r="P277" s="41">
        <f>O277+'Tilikauden tulos'!P277+'9. Tulorahkorjauserät'!P277</f>
        <v>-3420.5628839219971</v>
      </c>
      <c r="T277" s="34">
        <v>854</v>
      </c>
      <c r="U277" s="88" t="s">
        <v>591</v>
      </c>
      <c r="V277" s="41">
        <f>C277/'1. Väestöennuste'!E277*1000</f>
        <v>1044.1622964394148</v>
      </c>
      <c r="W277" s="41">
        <f>D277/'1. Väestöennuste'!F277*1000</f>
        <v>945.86255259467043</v>
      </c>
      <c r="X277" s="41">
        <f>E277/'1. Väestöennuste'!G277*1000</f>
        <v>436.46723646723643</v>
      </c>
      <c r="Y277" s="41">
        <f>F277/'1. Väestöennuste'!H277*1000</f>
        <v>293.77545084351368</v>
      </c>
      <c r="Z277" s="41">
        <f>G277/'1. Väestöennuste'!I277*1000</f>
        <v>-296.47198339756892</v>
      </c>
      <c r="AA277" s="41">
        <f>H277/'1. Väestöennuste'!J277*1000</f>
        <v>-0.60532687651331718</v>
      </c>
      <c r="AB277" s="41">
        <f>I277/'1. Väestöennuste'!K277*1000</f>
        <v>225.58874696601944</v>
      </c>
      <c r="AC277" s="41">
        <f>J277/'1. Väestöennuste'!L277*1000</f>
        <v>438.32557722004304</v>
      </c>
      <c r="AD277" s="41">
        <f>K277/'1. Väestöennuste'!M277*1000</f>
        <v>714.19023841912292</v>
      </c>
      <c r="AE277" s="41">
        <f>L277/'1. Väestöennuste'!N277*1000</f>
        <v>670.87494600167747</v>
      </c>
      <c r="AF277" s="41">
        <f>M277/'1. Väestöennuste'!O277*1000</f>
        <v>242.12297964984307</v>
      </c>
      <c r="AG277" s="41">
        <f>N277/'1. Väestöennuste'!P277*1000</f>
        <v>-256.1701255581533</v>
      </c>
      <c r="AH277" s="41">
        <f>O277/'1. Väestöennuste'!Q277*1000</f>
        <v>-776.29685732504777</v>
      </c>
      <c r="AI277" s="41">
        <f>P277/'1. Väestöennuste'!R277*1000</f>
        <v>-1187.2831946969793</v>
      </c>
      <c r="AK277" s="41">
        <f t="shared" si="53"/>
        <v>0</v>
      </c>
      <c r="AL277" s="41">
        <f t="shared" si="54"/>
        <v>0</v>
      </c>
      <c r="AM277" s="41">
        <f t="shared" si="55"/>
        <v>0</v>
      </c>
      <c r="AN277" s="41">
        <f t="shared" si="56"/>
        <v>0</v>
      </c>
      <c r="AO277" s="41">
        <f t="shared" si="57"/>
        <v>-1</v>
      </c>
      <c r="AP277" s="41">
        <f t="shared" si="58"/>
        <v>-1</v>
      </c>
      <c r="AQ277" s="41">
        <f t="shared" si="59"/>
        <v>0</v>
      </c>
      <c r="AR277" s="41">
        <f t="shared" si="60"/>
        <v>0</v>
      </c>
      <c r="AS277" s="41">
        <f t="shared" si="61"/>
        <v>0</v>
      </c>
      <c r="AT277" s="41">
        <f t="shared" si="62"/>
        <v>0</v>
      </c>
      <c r="AU277" s="41">
        <f t="shared" si="63"/>
        <v>0</v>
      </c>
      <c r="AV277" s="41">
        <f t="shared" si="64"/>
        <v>-1</v>
      </c>
      <c r="AW277" s="41">
        <f t="shared" si="64"/>
        <v>-1</v>
      </c>
      <c r="AX277" s="41">
        <f t="shared" si="64"/>
        <v>-1</v>
      </c>
    </row>
    <row r="278" spans="1:50" ht="11.25" x14ac:dyDescent="0.2">
      <c r="A278" s="34">
        <v>857</v>
      </c>
      <c r="B278" s="88" t="s">
        <v>592</v>
      </c>
      <c r="C278" s="65">
        <v>5158</v>
      </c>
      <c r="D278" s="65">
        <v>5288</v>
      </c>
      <c r="E278" s="65">
        <v>5528</v>
      </c>
      <c r="F278" s="65">
        <v>4562</v>
      </c>
      <c r="G278" s="41">
        <v>3430</v>
      </c>
      <c r="H278" s="41">
        <v>3274</v>
      </c>
      <c r="I278" s="41">
        <v>3168.1132000000002</v>
      </c>
      <c r="J278" s="41">
        <f>I278+'Tilikauden tulos'!J278+'9. Tulorahkorjauserät'!J278</f>
        <v>2909.2421619814163</v>
      </c>
      <c r="K278" s="41">
        <f>J278+'Tilikauden tulos'!K278+'9. Tulorahkorjauserät'!K278</f>
        <v>2148.2652248382392</v>
      </c>
      <c r="L278" s="41">
        <f>K278+'Tilikauden tulos'!L278+'9. Tulorahkorjauserät'!L278</f>
        <v>853.99456792488763</v>
      </c>
      <c r="M278" s="41">
        <f>L278+'Tilikauden tulos'!M278+'9. Tulorahkorjauserät'!M278</f>
        <v>-639.57139264111538</v>
      </c>
      <c r="N278" s="41">
        <f>M278+'Tilikauden tulos'!N278+'9. Tulorahkorjauserät'!N278</f>
        <v>-2293.1279641265724</v>
      </c>
      <c r="O278" s="41">
        <f>N278+'Tilikauden tulos'!O278+'9. Tulorahkorjauserät'!O278</f>
        <v>-3966.4619243694051</v>
      </c>
      <c r="P278" s="41">
        <f>O278+'Tilikauden tulos'!P278+'9. Tulorahkorjauserät'!P278</f>
        <v>-5447.5931984916897</v>
      </c>
      <c r="T278" s="34">
        <v>857</v>
      </c>
      <c r="U278" s="88" t="s">
        <v>592</v>
      </c>
      <c r="V278" s="41">
        <f>C278/'1. Väestöennuste'!E278*1000</f>
        <v>1897.0209635895549</v>
      </c>
      <c r="W278" s="41">
        <f>D278/'1. Väestöennuste'!F278*1000</f>
        <v>2000.7567158531972</v>
      </c>
      <c r="X278" s="41">
        <f>E278/'1. Väestöennuste'!G278*1000</f>
        <v>2128.6099345398534</v>
      </c>
      <c r="Y278" s="41">
        <f>F278/'1. Väestöennuste'!H278*1000</f>
        <v>1788.3183065464523</v>
      </c>
      <c r="Z278" s="41">
        <f>G278/'1. Väestöennuste'!I278*1000</f>
        <v>1384.7396043601129</v>
      </c>
      <c r="AA278" s="41">
        <f>H278/'1. Väestöennuste'!J278*1000</f>
        <v>1345.6637895602137</v>
      </c>
      <c r="AB278" s="41">
        <f>I278/'1. Väestöennuste'!K278*1000</f>
        <v>1309.1376859504132</v>
      </c>
      <c r="AC278" s="41">
        <f>J278/'1. Väestöennuste'!L278*1000</f>
        <v>1215.2222898836324</v>
      </c>
      <c r="AD278" s="41">
        <f>K278/'1. Väestöennuste'!M278*1000</f>
        <v>928.77873966201435</v>
      </c>
      <c r="AE278" s="41">
        <f>L278/'1. Väestöennuste'!N278*1000</f>
        <v>380.56798927134025</v>
      </c>
      <c r="AF278" s="41">
        <f>M278/'1. Väestöennuste'!O278*1000</f>
        <v>-289.79220328097659</v>
      </c>
      <c r="AG278" s="41">
        <f>N278/'1. Väestöennuste'!P278*1000</f>
        <v>-1054.7966716313579</v>
      </c>
      <c r="AH278" s="41">
        <f>O278/'1. Väestöennuste'!Q278*1000</f>
        <v>-1851.7562672126073</v>
      </c>
      <c r="AI278" s="41">
        <f>P278/'1. Väestöennuste'!R278*1000</f>
        <v>-2578.1321336922338</v>
      </c>
      <c r="AK278" s="41">
        <f t="shared" si="53"/>
        <v>0</v>
      </c>
      <c r="AL278" s="41">
        <f t="shared" si="54"/>
        <v>0</v>
      </c>
      <c r="AM278" s="41">
        <f t="shared" si="55"/>
        <v>0</v>
      </c>
      <c r="AN278" s="41">
        <f t="shared" si="56"/>
        <v>0</v>
      </c>
      <c r="AO278" s="41">
        <f t="shared" si="57"/>
        <v>0</v>
      </c>
      <c r="AP278" s="41">
        <f t="shared" si="58"/>
        <v>0</v>
      </c>
      <c r="AQ278" s="41">
        <f t="shared" si="59"/>
        <v>0</v>
      </c>
      <c r="AR278" s="41">
        <f t="shared" si="60"/>
        <v>0</v>
      </c>
      <c r="AS278" s="41">
        <f t="shared" si="61"/>
        <v>0</v>
      </c>
      <c r="AT278" s="41">
        <f t="shared" si="62"/>
        <v>0</v>
      </c>
      <c r="AU278" s="41">
        <f t="shared" si="63"/>
        <v>-1</v>
      </c>
      <c r="AV278" s="41">
        <f t="shared" si="64"/>
        <v>-1</v>
      </c>
      <c r="AW278" s="41">
        <f t="shared" si="64"/>
        <v>-1</v>
      </c>
      <c r="AX278" s="41">
        <f t="shared" si="64"/>
        <v>-1</v>
      </c>
    </row>
    <row r="279" spans="1:50" ht="11.25" x14ac:dyDescent="0.2">
      <c r="A279" s="34">
        <v>858</v>
      </c>
      <c r="B279" s="88" t="s">
        <v>593</v>
      </c>
      <c r="C279" s="65">
        <v>46336</v>
      </c>
      <c r="D279" s="65">
        <v>49487</v>
      </c>
      <c r="E279" s="65">
        <v>53512</v>
      </c>
      <c r="F279" s="65">
        <v>51196</v>
      </c>
      <c r="G279" s="41">
        <v>40835</v>
      </c>
      <c r="H279" s="41">
        <v>43839</v>
      </c>
      <c r="I279" s="41">
        <v>54654.568120000004</v>
      </c>
      <c r="J279" s="41">
        <f>I279+'Tilikauden tulos'!J279+'9. Tulorahkorjauserät'!J279</f>
        <v>50681.428178431946</v>
      </c>
      <c r="K279" s="41">
        <f>J279+'Tilikauden tulos'!K279+'9. Tulorahkorjauserät'!K279</f>
        <v>56286.940323438852</v>
      </c>
      <c r="L279" s="41">
        <f>K279+'Tilikauden tulos'!L279+'9. Tulorahkorjauserät'!L279</f>
        <v>60538.663380144921</v>
      </c>
      <c r="M279" s="41">
        <f>L279+'Tilikauden tulos'!M279+'9. Tulorahkorjauserät'!M279</f>
        <v>57872.370786087355</v>
      </c>
      <c r="N279" s="41">
        <f>M279+'Tilikauden tulos'!N279+'9. Tulorahkorjauserät'!N279</f>
        <v>51239.224366064664</v>
      </c>
      <c r="O279" s="41">
        <f>N279+'Tilikauden tulos'!O279+'9. Tulorahkorjauserät'!O279</f>
        <v>43589.22371231619</v>
      </c>
      <c r="P279" s="41">
        <f>O279+'Tilikauden tulos'!P279+'9. Tulorahkorjauserät'!P279</f>
        <v>36210.115957295842</v>
      </c>
      <c r="T279" s="34">
        <v>858</v>
      </c>
      <c r="U279" s="88" t="s">
        <v>593</v>
      </c>
      <c r="V279" s="41">
        <f>C279/'1. Väestöennuste'!E279*1000</f>
        <v>1204.8155178241764</v>
      </c>
      <c r="W279" s="41">
        <f>D279/'1. Väestöennuste'!F279*1000</f>
        <v>1282.4453197885352</v>
      </c>
      <c r="X279" s="41">
        <f>E279/'1. Väestöennuste'!G279*1000</f>
        <v>1384.6711173213268</v>
      </c>
      <c r="Y279" s="41">
        <f>F279/'1. Väestöennuste'!H279*1000</f>
        <v>1324.125801779433</v>
      </c>
      <c r="Z279" s="41">
        <f>G279/'1. Väestöennuste'!I279*1000</f>
        <v>1057.9289618902044</v>
      </c>
      <c r="AA279" s="41">
        <f>H279/'1. Väestöennuste'!J279*1000</f>
        <v>1130.366397648454</v>
      </c>
      <c r="AB279" s="41">
        <f>I279/'1. Väestöennuste'!K279*1000</f>
        <v>1376.0654645249006</v>
      </c>
      <c r="AC279" s="41">
        <f>J279/'1. Väestöennuste'!L279*1000</f>
        <v>1254.9878213755931</v>
      </c>
      <c r="AD279" s="41">
        <f>K279/'1. Väestöennuste'!M279*1000</f>
        <v>1361.6270821868222</v>
      </c>
      <c r="AE279" s="41">
        <f>L279/'1. Väestöennuste'!N279*1000</f>
        <v>1542.2684477656464</v>
      </c>
      <c r="AF279" s="41">
        <f>M279/'1. Väestöennuste'!O279*1000</f>
        <v>1470.3719806419715</v>
      </c>
      <c r="AG279" s="41">
        <f>N279/'1. Väestöennuste'!P279*1000</f>
        <v>1298.3459867240508</v>
      </c>
      <c r="AH279" s="41">
        <f>O279/'1. Väestöennuste'!Q279*1000</f>
        <v>1101.572497152292</v>
      </c>
      <c r="AI279" s="41">
        <f>P279/'1. Väestöennuste'!R279*1000</f>
        <v>912.87540859415731</v>
      </c>
      <c r="AK279" s="41">
        <f t="shared" si="53"/>
        <v>0</v>
      </c>
      <c r="AL279" s="41">
        <f t="shared" si="54"/>
        <v>0</v>
      </c>
      <c r="AM279" s="41">
        <f t="shared" si="55"/>
        <v>0</v>
      </c>
      <c r="AN279" s="41">
        <f t="shared" si="56"/>
        <v>0</v>
      </c>
      <c r="AO279" s="41">
        <f t="shared" si="57"/>
        <v>0</v>
      </c>
      <c r="AP279" s="41">
        <f t="shared" si="58"/>
        <v>0</v>
      </c>
      <c r="AQ279" s="41">
        <f t="shared" si="59"/>
        <v>0</v>
      </c>
      <c r="AR279" s="41">
        <f t="shared" si="60"/>
        <v>0</v>
      </c>
      <c r="AS279" s="41">
        <f t="shared" si="61"/>
        <v>0</v>
      </c>
      <c r="AT279" s="41">
        <f t="shared" si="62"/>
        <v>0</v>
      </c>
      <c r="AU279" s="41">
        <f t="shared" si="63"/>
        <v>0</v>
      </c>
      <c r="AV279" s="41">
        <f t="shared" si="64"/>
        <v>0</v>
      </c>
      <c r="AW279" s="41">
        <f t="shared" si="64"/>
        <v>0</v>
      </c>
      <c r="AX279" s="41">
        <f t="shared" si="64"/>
        <v>0</v>
      </c>
    </row>
    <row r="280" spans="1:50" ht="11.25" x14ac:dyDescent="0.2">
      <c r="A280" s="34">
        <v>859</v>
      </c>
      <c r="B280" s="88" t="s">
        <v>594</v>
      </c>
      <c r="C280" s="65">
        <v>5101</v>
      </c>
      <c r="D280" s="65">
        <v>4429</v>
      </c>
      <c r="E280" s="65">
        <v>4075</v>
      </c>
      <c r="F280" s="65">
        <v>1762</v>
      </c>
      <c r="G280" s="41">
        <v>1946</v>
      </c>
      <c r="H280" s="41">
        <v>2922</v>
      </c>
      <c r="I280" s="41">
        <v>3127.9024199999999</v>
      </c>
      <c r="J280" s="41">
        <f>I280+'Tilikauden tulos'!J280+'9. Tulorahkorjauserät'!J280</f>
        <v>3188.5806600167057</v>
      </c>
      <c r="K280" s="41">
        <f>J280+'Tilikauden tulos'!K280+'9. Tulorahkorjauserät'!K280</f>
        <v>3740.085128991695</v>
      </c>
      <c r="L280" s="41">
        <f>K280+'Tilikauden tulos'!L280+'9. Tulorahkorjauserät'!L280</f>
        <v>3325.1567882529598</v>
      </c>
      <c r="M280" s="41">
        <f>L280+'Tilikauden tulos'!M280+'9. Tulorahkorjauserät'!M280</f>
        <v>1567.7039903891582</v>
      </c>
      <c r="N280" s="41">
        <f>M280+'Tilikauden tulos'!N280+'9. Tulorahkorjauserät'!N280</f>
        <v>-351.33503744214431</v>
      </c>
      <c r="O280" s="41">
        <f>N280+'Tilikauden tulos'!O280+'9. Tulorahkorjauserät'!O280</f>
        <v>-2292.7250259249868</v>
      </c>
      <c r="P280" s="41">
        <f>O280+'Tilikauden tulos'!P280+'9. Tulorahkorjauserät'!P280</f>
        <v>-3922.3887958876585</v>
      </c>
      <c r="T280" s="34">
        <v>859</v>
      </c>
      <c r="U280" s="88" t="s">
        <v>594</v>
      </c>
      <c r="V280" s="41">
        <f>C280/'1. Väestöennuste'!E280*1000</f>
        <v>750.92006477256007</v>
      </c>
      <c r="W280" s="41">
        <f>D280/'1. Väestöennuste'!F280*1000</f>
        <v>656.14814814814815</v>
      </c>
      <c r="X280" s="41">
        <f>E280/'1. Väestöennuste'!G280*1000</f>
        <v>605.49777117384838</v>
      </c>
      <c r="Y280" s="41">
        <f>F280/'1. Väestöennuste'!H280*1000</f>
        <v>260.72802604320805</v>
      </c>
      <c r="Z280" s="41">
        <f>G280/'1. Väestöennuste'!I280*1000</f>
        <v>293.2047611872834</v>
      </c>
      <c r="AA280" s="41">
        <f>H280/'1. Väestöennuste'!J280*1000</f>
        <v>442.52612448886867</v>
      </c>
      <c r="AB280" s="41">
        <f>I280/'1. Väestöennuste'!K280*1000</f>
        <v>474.42779008038826</v>
      </c>
      <c r="AC280" s="41">
        <f>J280/'1. Väestöennuste'!L280*1000</f>
        <v>485.91597988672748</v>
      </c>
      <c r="AD280" s="41">
        <f>K280/'1. Väestöennuste'!M280*1000</f>
        <v>573.193123217118</v>
      </c>
      <c r="AE280" s="41">
        <f>L280/'1. Väestöennuste'!N280*1000</f>
        <v>513.69639861779081</v>
      </c>
      <c r="AF280" s="41">
        <f>M280/'1. Väestöennuste'!O280*1000</f>
        <v>243.81088497498573</v>
      </c>
      <c r="AG280" s="41">
        <f>N280/'1. Väestöennuste'!P280*1000</f>
        <v>-55.042305724916865</v>
      </c>
      <c r="AH280" s="41">
        <f>O280/'1. Väestöennuste'!Q280*1000</f>
        <v>-361.79975160564726</v>
      </c>
      <c r="AI280" s="41">
        <f>P280/'1. Väestöennuste'!R280*1000</f>
        <v>-623.78956677602719</v>
      </c>
      <c r="AK280" s="41">
        <f t="shared" si="53"/>
        <v>0</v>
      </c>
      <c r="AL280" s="41">
        <f t="shared" si="54"/>
        <v>0</v>
      </c>
      <c r="AM280" s="41">
        <f t="shared" si="55"/>
        <v>0</v>
      </c>
      <c r="AN280" s="41">
        <f t="shared" si="56"/>
        <v>0</v>
      </c>
      <c r="AO280" s="41">
        <f t="shared" si="57"/>
        <v>0</v>
      </c>
      <c r="AP280" s="41">
        <f t="shared" si="58"/>
        <v>0</v>
      </c>
      <c r="AQ280" s="41">
        <f t="shared" si="59"/>
        <v>0</v>
      </c>
      <c r="AR280" s="41">
        <f t="shared" si="60"/>
        <v>0</v>
      </c>
      <c r="AS280" s="41">
        <f t="shared" si="61"/>
        <v>0</v>
      </c>
      <c r="AT280" s="41">
        <f t="shared" si="62"/>
        <v>0</v>
      </c>
      <c r="AU280" s="41">
        <f t="shared" si="63"/>
        <v>0</v>
      </c>
      <c r="AV280" s="41">
        <f t="shared" si="64"/>
        <v>-1</v>
      </c>
      <c r="AW280" s="41">
        <f t="shared" si="64"/>
        <v>-1</v>
      </c>
      <c r="AX280" s="41">
        <f t="shared" si="64"/>
        <v>-1</v>
      </c>
    </row>
    <row r="281" spans="1:50" ht="11.25" x14ac:dyDescent="0.2">
      <c r="A281" s="34">
        <v>886</v>
      </c>
      <c r="B281" s="88" t="s">
        <v>595</v>
      </c>
      <c r="C281" s="65">
        <v>4928</v>
      </c>
      <c r="D281" s="65">
        <v>3316</v>
      </c>
      <c r="E281" s="65">
        <v>2836</v>
      </c>
      <c r="F281" s="65">
        <v>2537</v>
      </c>
      <c r="G281" s="41">
        <v>2171</v>
      </c>
      <c r="H281" s="41">
        <v>5940</v>
      </c>
      <c r="I281" s="41">
        <v>6703.8812099999996</v>
      </c>
      <c r="J281" s="41">
        <f>I281+'Tilikauden tulos'!J281+'9. Tulorahkorjauserät'!J281</f>
        <v>7169.4627246125983</v>
      </c>
      <c r="K281" s="41">
        <f>J281+'Tilikauden tulos'!K281+'9. Tulorahkorjauserät'!K281</f>
        <v>12078.16682873293</v>
      </c>
      <c r="L281" s="41">
        <f>K281+'Tilikauden tulos'!L281+'9. Tulorahkorjauserät'!L281</f>
        <v>11257.83600869685</v>
      </c>
      <c r="M281" s="41">
        <f>L281+'Tilikauden tulos'!M281+'9. Tulorahkorjauserät'!M281</f>
        <v>11470.065915876065</v>
      </c>
      <c r="N281" s="41">
        <f>M281+'Tilikauden tulos'!N281+'9. Tulorahkorjauserät'!N281</f>
        <v>12244.163366669503</v>
      </c>
      <c r="O281" s="41">
        <f>N281+'Tilikauden tulos'!O281+'9. Tulorahkorjauserät'!O281</f>
        <v>13115.127292467769</v>
      </c>
      <c r="P281" s="41">
        <f>O281+'Tilikauden tulos'!P281+'9. Tulorahkorjauserät'!P281</f>
        <v>15278.971450484012</v>
      </c>
      <c r="T281" s="34">
        <v>886</v>
      </c>
      <c r="U281" s="88" t="s">
        <v>595</v>
      </c>
      <c r="V281" s="41">
        <f>C281/'1. Väestöennuste'!E281*1000</f>
        <v>369.0832834032355</v>
      </c>
      <c r="W281" s="41">
        <f>D281/'1. Väestöennuste'!F281*1000</f>
        <v>249.09855769230768</v>
      </c>
      <c r="X281" s="41">
        <f>E281/'1. Väestöennuste'!G281*1000</f>
        <v>214.24794137644483</v>
      </c>
      <c r="Y281" s="41">
        <f>F281/'1. Väestöennuste'!H281*1000</f>
        <v>194.83910605944243</v>
      </c>
      <c r="Z281" s="41">
        <f>G281/'1. Väestöennuste'!I281*1000</f>
        <v>168.6737627223992</v>
      </c>
      <c r="AA281" s="41">
        <f>H281/'1. Väestöennuste'!J281*1000</f>
        <v>466.43109540636038</v>
      </c>
      <c r="AB281" s="41">
        <f>I281/'1. Väestöennuste'!K281*1000</f>
        <v>529.15630357565715</v>
      </c>
      <c r="AC281" s="41">
        <f>J281/'1. Väestöennuste'!L281*1000</f>
        <v>569.05014085344851</v>
      </c>
      <c r="AD281" s="41">
        <f>K281/'1. Väestöennuste'!M281*1000</f>
        <v>963.70915413172668</v>
      </c>
      <c r="AE281" s="41">
        <f>L281/'1. Väestöennuste'!N281*1000</f>
        <v>916.46336768942115</v>
      </c>
      <c r="AF281" s="41">
        <f>M281/'1. Väestöennuste'!O281*1000</f>
        <v>942.71931584417405</v>
      </c>
      <c r="AG281" s="41">
        <f>N281/'1. Väestöennuste'!P281*1000</f>
        <v>1016.281819942688</v>
      </c>
      <c r="AH281" s="41">
        <f>O281/'1. Väestöennuste'!Q281*1000</f>
        <v>1099.6166087421623</v>
      </c>
      <c r="AI281" s="41">
        <f>P281/'1. Väestöennuste'!R281*1000</f>
        <v>1294.7183671285493</v>
      </c>
      <c r="AK281" s="41">
        <f t="shared" si="53"/>
        <v>0</v>
      </c>
      <c r="AL281" s="41">
        <f t="shared" si="54"/>
        <v>0</v>
      </c>
      <c r="AM281" s="41">
        <f t="shared" si="55"/>
        <v>0</v>
      </c>
      <c r="AN281" s="41">
        <f t="shared" si="56"/>
        <v>0</v>
      </c>
      <c r="AO281" s="41">
        <f t="shared" si="57"/>
        <v>0</v>
      </c>
      <c r="AP281" s="41">
        <f t="shared" si="58"/>
        <v>0</v>
      </c>
      <c r="AQ281" s="41">
        <f t="shared" si="59"/>
        <v>0</v>
      </c>
      <c r="AR281" s="41">
        <f t="shared" si="60"/>
        <v>0</v>
      </c>
      <c r="AS281" s="41">
        <f t="shared" si="61"/>
        <v>0</v>
      </c>
      <c r="AT281" s="41">
        <f t="shared" si="62"/>
        <v>0</v>
      </c>
      <c r="AU281" s="41">
        <f t="shared" si="63"/>
        <v>0</v>
      </c>
      <c r="AV281" s="41">
        <f t="shared" si="64"/>
        <v>0</v>
      </c>
      <c r="AW281" s="41">
        <f t="shared" si="64"/>
        <v>0</v>
      </c>
      <c r="AX281" s="41">
        <f t="shared" si="64"/>
        <v>0</v>
      </c>
    </row>
    <row r="282" spans="1:50" ht="11.25" x14ac:dyDescent="0.2">
      <c r="A282" s="34">
        <v>887</v>
      </c>
      <c r="B282" s="88" t="s">
        <v>596</v>
      </c>
      <c r="C282" s="65">
        <v>620</v>
      </c>
      <c r="D282" s="65">
        <v>1258</v>
      </c>
      <c r="E282" s="65">
        <v>319</v>
      </c>
      <c r="F282" s="65">
        <v>1228</v>
      </c>
      <c r="G282" s="41">
        <v>253</v>
      </c>
      <c r="H282" s="41">
        <v>109</v>
      </c>
      <c r="I282" s="41">
        <v>524.17155999999989</v>
      </c>
      <c r="J282" s="41">
        <f>I282+'Tilikauden tulos'!J282+'9. Tulorahkorjauserät'!J282</f>
        <v>-181.47894106745642</v>
      </c>
      <c r="K282" s="41">
        <f>J282+'Tilikauden tulos'!K282+'9. Tulorahkorjauserät'!K282</f>
        <v>-461.62450535749605</v>
      </c>
      <c r="L282" s="41">
        <f>K282+'Tilikauden tulos'!L282+'9. Tulorahkorjauserät'!L282</f>
        <v>-528.81472237837352</v>
      </c>
      <c r="M282" s="41">
        <f>L282+'Tilikauden tulos'!M282+'9. Tulorahkorjauserät'!M282</f>
        <v>-1511.3834227615901</v>
      </c>
      <c r="N282" s="41">
        <f>M282+'Tilikauden tulos'!N282+'9. Tulorahkorjauserät'!N282</f>
        <v>-2448.4524287131167</v>
      </c>
      <c r="O282" s="41">
        <f>N282+'Tilikauden tulos'!O282+'9. Tulorahkorjauserät'!O282</f>
        <v>-3477.029919901559</v>
      </c>
      <c r="P282" s="41">
        <f>O282+'Tilikauden tulos'!P282+'9. Tulorahkorjauserät'!P282</f>
        <v>-4125.9917393932783</v>
      </c>
      <c r="T282" s="34">
        <v>887</v>
      </c>
      <c r="U282" s="88" t="s">
        <v>596</v>
      </c>
      <c r="V282" s="41">
        <f>C282/'1. Väestöennuste'!E282*1000</f>
        <v>125.81168831168831</v>
      </c>
      <c r="W282" s="41">
        <f>D282/'1. Väestöennuste'!F282*1000</f>
        <v>258.95430218196793</v>
      </c>
      <c r="X282" s="41">
        <f>E282/'1. Väestöennuste'!G282*1000</f>
        <v>66.059225512528471</v>
      </c>
      <c r="Y282" s="41">
        <f>F282/'1. Väestöennuste'!H282*1000</f>
        <v>256.26043405676126</v>
      </c>
      <c r="Z282" s="41">
        <f>G282/'1. Väestöennuste'!I282*1000</f>
        <v>53.967576791808874</v>
      </c>
      <c r="AA282" s="41">
        <f>H282/'1. Väestöennuste'!J282*1000</f>
        <v>23.471145564168822</v>
      </c>
      <c r="AB282" s="41">
        <f>I282/'1. Väestöennuste'!K282*1000</f>
        <v>112.26634397087167</v>
      </c>
      <c r="AC282" s="41">
        <f>J282/'1. Väestöennuste'!L282*1000</f>
        <v>-39.719619406315694</v>
      </c>
      <c r="AD282" s="41">
        <f>K282/'1. Väestöennuste'!M282*1000</f>
        <v>-101.05615266144835</v>
      </c>
      <c r="AE282" s="41">
        <f>L282/'1. Väestöennuste'!N282*1000</f>
        <v>-119.15608886398682</v>
      </c>
      <c r="AF282" s="41">
        <f>M282/'1. Väestöennuste'!O282*1000</f>
        <v>-344.2786840003622</v>
      </c>
      <c r="AG282" s="41">
        <f>N282/'1. Väestöennuste'!P282*1000</f>
        <v>-563.3806784889822</v>
      </c>
      <c r="AH282" s="41">
        <f>O282/'1. Väestöennuste'!Q282*1000</f>
        <v>-807.48488618243357</v>
      </c>
      <c r="AI282" s="41">
        <f>P282/'1. Väestöennuste'!R282*1000</f>
        <v>-967.18043586340332</v>
      </c>
      <c r="AK282" s="41">
        <f t="shared" si="53"/>
        <v>0</v>
      </c>
      <c r="AL282" s="41">
        <f t="shared" si="54"/>
        <v>0</v>
      </c>
      <c r="AM282" s="41">
        <f t="shared" si="55"/>
        <v>0</v>
      </c>
      <c r="AN282" s="41">
        <f t="shared" si="56"/>
        <v>0</v>
      </c>
      <c r="AO282" s="41">
        <f t="shared" si="57"/>
        <v>0</v>
      </c>
      <c r="AP282" s="41">
        <f t="shared" si="58"/>
        <v>0</v>
      </c>
      <c r="AQ282" s="41">
        <f t="shared" si="59"/>
        <v>0</v>
      </c>
      <c r="AR282" s="41">
        <f t="shared" si="60"/>
        <v>-1</v>
      </c>
      <c r="AS282" s="41">
        <f t="shared" si="61"/>
        <v>-1</v>
      </c>
      <c r="AT282" s="41">
        <f t="shared" si="62"/>
        <v>-1</v>
      </c>
      <c r="AU282" s="41">
        <f t="shared" si="63"/>
        <v>-1</v>
      </c>
      <c r="AV282" s="41">
        <f t="shared" si="64"/>
        <v>-1</v>
      </c>
      <c r="AW282" s="41">
        <f t="shared" si="64"/>
        <v>-1</v>
      </c>
      <c r="AX282" s="41">
        <f t="shared" si="64"/>
        <v>-1</v>
      </c>
    </row>
    <row r="283" spans="1:50" ht="11.25" x14ac:dyDescent="0.2">
      <c r="A283" s="34">
        <v>889</v>
      </c>
      <c r="B283" s="88" t="s">
        <v>597</v>
      </c>
      <c r="C283" s="65">
        <v>4092</v>
      </c>
      <c r="D283" s="65">
        <v>4286</v>
      </c>
      <c r="E283" s="65">
        <v>5064</v>
      </c>
      <c r="F283" s="65">
        <v>5089</v>
      </c>
      <c r="G283" s="41">
        <v>5278</v>
      </c>
      <c r="H283" s="41">
        <v>5384</v>
      </c>
      <c r="I283" s="41">
        <v>5789.4921599999998</v>
      </c>
      <c r="J283" s="41">
        <f>I283+'Tilikauden tulos'!J283+'9. Tulorahkorjauserät'!J283</f>
        <v>7210.6120387324199</v>
      </c>
      <c r="K283" s="41">
        <f>J283+'Tilikauden tulos'!K283+'9. Tulorahkorjauserät'!K283</f>
        <v>8119.9303065376052</v>
      </c>
      <c r="L283" s="41">
        <f>K283+'Tilikauden tulos'!L283+'9. Tulorahkorjauserät'!L283</f>
        <v>7908.2874999770556</v>
      </c>
      <c r="M283" s="41">
        <f>L283+'Tilikauden tulos'!M283+'9. Tulorahkorjauserät'!M283</f>
        <v>7304.7945330640277</v>
      </c>
      <c r="N283" s="41">
        <f>M283+'Tilikauden tulos'!N283+'9. Tulorahkorjauserät'!N283</f>
        <v>6367.5700371490339</v>
      </c>
      <c r="O283" s="41">
        <f>N283+'Tilikauden tulos'!O283+'9. Tulorahkorjauserät'!O283</f>
        <v>5190.6958512257606</v>
      </c>
      <c r="P283" s="41">
        <f>O283+'Tilikauden tulos'!P283+'9. Tulorahkorjauserät'!P283</f>
        <v>4192.9282937472881</v>
      </c>
      <c r="T283" s="34">
        <v>889</v>
      </c>
      <c r="U283" s="88" t="s">
        <v>597</v>
      </c>
      <c r="V283" s="41">
        <f>C283/'1. Väestöennuste'!E283*1000</f>
        <v>1430.2691366655015</v>
      </c>
      <c r="W283" s="41">
        <f>D283/'1. Väestöennuste'!F283*1000</f>
        <v>1517.7053824362606</v>
      </c>
      <c r="X283" s="41">
        <f>E283/'1. Väestöennuste'!G283*1000</f>
        <v>1829.4797687861271</v>
      </c>
      <c r="Y283" s="41">
        <f>F283/'1. Väestöennuste'!H283*1000</f>
        <v>1883.4196891191709</v>
      </c>
      <c r="Z283" s="41">
        <f>G283/'1. Väestöennuste'!I283*1000</f>
        <v>1972.3467862481316</v>
      </c>
      <c r="AA283" s="41">
        <f>H283/'1. Väestöennuste'!J283*1000</f>
        <v>2055.746468117602</v>
      </c>
      <c r="AB283" s="41">
        <f>I283/'1. Väestöennuste'!K283*1000</f>
        <v>2254.4751401869157</v>
      </c>
      <c r="AC283" s="41">
        <f>J283/'1. Väestöennuste'!L283*1000</f>
        <v>2857.9516602189537</v>
      </c>
      <c r="AD283" s="41">
        <f>K283/'1. Väestöennuste'!M283*1000</f>
        <v>3259.7070680600582</v>
      </c>
      <c r="AE283" s="41">
        <f>L283/'1. Väestöennuste'!N283*1000</f>
        <v>3250.4264282684157</v>
      </c>
      <c r="AF283" s="41">
        <f>M283/'1. Väestöennuste'!O283*1000</f>
        <v>3047.4737309403536</v>
      </c>
      <c r="AG283" s="41">
        <f>N283/'1. Väestöennuste'!P283*1000</f>
        <v>2694.697434256891</v>
      </c>
      <c r="AH283" s="41">
        <f>O283/'1. Väestöennuste'!Q283*1000</f>
        <v>2225.8558538703951</v>
      </c>
      <c r="AI283" s="41">
        <f>P283/'1. Väestöennuste'!R283*1000</f>
        <v>1819.8473497167049</v>
      </c>
      <c r="AK283" s="41">
        <f t="shared" si="53"/>
        <v>0</v>
      </c>
      <c r="AL283" s="41">
        <f t="shared" si="54"/>
        <v>0</v>
      </c>
      <c r="AM283" s="41">
        <f t="shared" si="55"/>
        <v>0</v>
      </c>
      <c r="AN283" s="41">
        <f t="shared" si="56"/>
        <v>0</v>
      </c>
      <c r="AO283" s="41">
        <f t="shared" si="57"/>
        <v>0</v>
      </c>
      <c r="AP283" s="41">
        <f t="shared" si="58"/>
        <v>0</v>
      </c>
      <c r="AQ283" s="41">
        <f t="shared" si="59"/>
        <v>0</v>
      </c>
      <c r="AR283" s="41">
        <f t="shared" si="60"/>
        <v>0</v>
      </c>
      <c r="AS283" s="41">
        <f t="shared" si="61"/>
        <v>0</v>
      </c>
      <c r="AT283" s="41">
        <f t="shared" si="62"/>
        <v>0</v>
      </c>
      <c r="AU283" s="41">
        <f t="shared" si="63"/>
        <v>0</v>
      </c>
      <c r="AV283" s="41">
        <f t="shared" si="64"/>
        <v>0</v>
      </c>
      <c r="AW283" s="41">
        <f t="shared" si="64"/>
        <v>0</v>
      </c>
      <c r="AX283" s="41">
        <f t="shared" si="64"/>
        <v>0</v>
      </c>
    </row>
    <row r="284" spans="1:50" ht="11.25" x14ac:dyDescent="0.2">
      <c r="A284" s="34">
        <v>890</v>
      </c>
      <c r="B284" s="88" t="s">
        <v>598</v>
      </c>
      <c r="C284" s="65">
        <v>1040</v>
      </c>
      <c r="D284" s="65">
        <v>1734</v>
      </c>
      <c r="E284" s="65">
        <v>3158</v>
      </c>
      <c r="F284" s="65">
        <v>3877</v>
      </c>
      <c r="G284" s="41">
        <v>4457</v>
      </c>
      <c r="H284" s="41">
        <v>5080</v>
      </c>
      <c r="I284" s="41">
        <v>4630.5274099999988</v>
      </c>
      <c r="J284" s="41">
        <f>I284+'Tilikauden tulos'!J284+'9. Tulorahkorjauserät'!J284</f>
        <v>4902.6583555734724</v>
      </c>
      <c r="K284" s="41">
        <f>J284+'Tilikauden tulos'!K284+'9. Tulorahkorjauserät'!K284</f>
        <v>5589.4184117886934</v>
      </c>
      <c r="L284" s="41">
        <f>K284+'Tilikauden tulos'!L284+'9. Tulorahkorjauserät'!L284</f>
        <v>5787.1505229138156</v>
      </c>
      <c r="M284" s="41">
        <f>L284+'Tilikauden tulos'!M284+'9. Tulorahkorjauserät'!M284</f>
        <v>5525.4848616360168</v>
      </c>
      <c r="N284" s="41">
        <f>M284+'Tilikauden tulos'!N284+'9. Tulorahkorjauserät'!N284</f>
        <v>5158.5557044058778</v>
      </c>
      <c r="O284" s="41">
        <f>N284+'Tilikauden tulos'!O284+'9. Tulorahkorjauserät'!O284</f>
        <v>4685.5468368889124</v>
      </c>
      <c r="P284" s="41">
        <f>O284+'Tilikauden tulos'!P284+'9. Tulorahkorjauserät'!P284</f>
        <v>4229.2841517076822</v>
      </c>
      <c r="T284" s="34">
        <v>890</v>
      </c>
      <c r="U284" s="88" t="s">
        <v>598</v>
      </c>
      <c r="V284" s="41">
        <f>C284/'1. Väestöennuste'!E284*1000</f>
        <v>832</v>
      </c>
      <c r="W284" s="41">
        <f>D284/'1. Väestöennuste'!F284*1000</f>
        <v>1397.2602739726028</v>
      </c>
      <c r="X284" s="41">
        <f>E284/'1. Väestöennuste'!G284*1000</f>
        <v>2542.6731078904995</v>
      </c>
      <c r="Y284" s="41">
        <f>F284/'1. Väestöennuste'!H284*1000</f>
        <v>3146.9155844155844</v>
      </c>
      <c r="Z284" s="41">
        <f>G284/'1. Väestöennuste'!I284*1000</f>
        <v>3677.392739273927</v>
      </c>
      <c r="AA284" s="41">
        <f>H284/'1. Väestöennuste'!J284*1000</f>
        <v>4167.3502871205901</v>
      </c>
      <c r="AB284" s="41">
        <f>I284/'1. Väestöennuste'!K284*1000</f>
        <v>3937.5233078231286</v>
      </c>
      <c r="AC284" s="41">
        <f>J284/'1. Väestöennuste'!L284*1000</f>
        <v>4154.7952165876886</v>
      </c>
      <c r="AD284" s="41">
        <f>K284/'1. Väestöennuste'!M284*1000</f>
        <v>4907.303258813602</v>
      </c>
      <c r="AE284" s="41">
        <f>L284/'1. Väestöennuste'!N284*1000</f>
        <v>4830.6765633671248</v>
      </c>
      <c r="AF284" s="41">
        <f>M284/'1. Väestöennuste'!O284*1000</f>
        <v>4623.8367042979216</v>
      </c>
      <c r="AG284" s="41">
        <f>N284/'1. Väestöennuste'!P284*1000</f>
        <v>4324.0198695774334</v>
      </c>
      <c r="AH284" s="41">
        <f>O284/'1. Väestöennuste'!Q284*1000</f>
        <v>3930.8278832960673</v>
      </c>
      <c r="AI284" s="41">
        <f>P284/'1. Väestöennuste'!R284*1000</f>
        <v>3548.0571742514112</v>
      </c>
      <c r="AK284" s="41">
        <f t="shared" si="53"/>
        <v>0</v>
      </c>
      <c r="AL284" s="41">
        <f t="shared" si="54"/>
        <v>0</v>
      </c>
      <c r="AM284" s="41">
        <f t="shared" si="55"/>
        <v>0</v>
      </c>
      <c r="AN284" s="41">
        <f t="shared" si="56"/>
        <v>0</v>
      </c>
      <c r="AO284" s="41">
        <f t="shared" si="57"/>
        <v>0</v>
      </c>
      <c r="AP284" s="41">
        <f t="shared" si="58"/>
        <v>0</v>
      </c>
      <c r="AQ284" s="41">
        <f t="shared" si="59"/>
        <v>0</v>
      </c>
      <c r="AR284" s="41">
        <f t="shared" si="60"/>
        <v>0</v>
      </c>
      <c r="AS284" s="41">
        <f t="shared" si="61"/>
        <v>0</v>
      </c>
      <c r="AT284" s="41">
        <f t="shared" si="62"/>
        <v>0</v>
      </c>
      <c r="AU284" s="41">
        <f t="shared" si="63"/>
        <v>0</v>
      </c>
      <c r="AV284" s="41">
        <f t="shared" si="64"/>
        <v>0</v>
      </c>
      <c r="AW284" s="41">
        <f t="shared" si="64"/>
        <v>0</v>
      </c>
      <c r="AX284" s="41">
        <f t="shared" si="64"/>
        <v>0</v>
      </c>
    </row>
    <row r="285" spans="1:50" ht="11.25" x14ac:dyDescent="0.2">
      <c r="A285" s="34">
        <v>892</v>
      </c>
      <c r="B285" s="88" t="s">
        <v>599</v>
      </c>
      <c r="C285" s="65">
        <v>3221</v>
      </c>
      <c r="D285" s="65">
        <v>3463</v>
      </c>
      <c r="E285" s="65">
        <v>3623</v>
      </c>
      <c r="F285" s="65">
        <v>1992</v>
      </c>
      <c r="G285" s="41">
        <v>670</v>
      </c>
      <c r="H285" s="41">
        <v>1198</v>
      </c>
      <c r="I285" s="41">
        <v>2012.2801299999999</v>
      </c>
      <c r="J285" s="41">
        <f>I285+'Tilikauden tulos'!J285+'9. Tulorahkorjauserät'!J285</f>
        <v>1368.0546283381168</v>
      </c>
      <c r="K285" s="41">
        <f>J285+'Tilikauden tulos'!K285+'9. Tulorahkorjauserät'!K285</f>
        <v>817.29774670952827</v>
      </c>
      <c r="L285" s="41">
        <f>K285+'Tilikauden tulos'!L285+'9. Tulorahkorjauserät'!L285</f>
        <v>604.50224852514395</v>
      </c>
      <c r="M285" s="41">
        <f>L285+'Tilikauden tulos'!M285+'9. Tulorahkorjauserät'!M285</f>
        <v>-410.67709324927171</v>
      </c>
      <c r="N285" s="41">
        <f>M285+'Tilikauden tulos'!N285+'9. Tulorahkorjauserät'!N285</f>
        <v>-1450.179466850379</v>
      </c>
      <c r="O285" s="41">
        <f>N285+'Tilikauden tulos'!O285+'9. Tulorahkorjauserät'!O285</f>
        <v>-2884.4033419966772</v>
      </c>
      <c r="P285" s="41">
        <f>O285+'Tilikauden tulos'!P285+'9. Tulorahkorjauserät'!P285</f>
        <v>-4312.1082609595342</v>
      </c>
      <c r="T285" s="34">
        <v>892</v>
      </c>
      <c r="U285" s="88" t="s">
        <v>599</v>
      </c>
      <c r="V285" s="41">
        <f>C285/'1. Väestöennuste'!E285*1000</f>
        <v>878.61429350791059</v>
      </c>
      <c r="W285" s="41">
        <f>D285/'1. Väestöennuste'!F285*1000</f>
        <v>931.66532149582997</v>
      </c>
      <c r="X285" s="41">
        <f>E285/'1. Väestöennuste'!G285*1000</f>
        <v>966.90685882038963</v>
      </c>
      <c r="Y285" s="41">
        <f>F285/'1. Väestöennuste'!H285*1000</f>
        <v>526.56621728786683</v>
      </c>
      <c r="Z285" s="41">
        <f>G285/'1. Väestöennuste'!I285*1000</f>
        <v>182.01575658788371</v>
      </c>
      <c r="AA285" s="41">
        <f>H285/'1. Väestöennuste'!J285*1000</f>
        <v>328.57926494788808</v>
      </c>
      <c r="AB285" s="41">
        <f>I285/'1. Väestöennuste'!K285*1000</f>
        <v>553.73696477710507</v>
      </c>
      <c r="AC285" s="41">
        <f>J285/'1. Väestöennuste'!L285*1000</f>
        <v>380.86153350170287</v>
      </c>
      <c r="AD285" s="41">
        <f>K285/'1. Väestöennuste'!M285*1000</f>
        <v>226.08513048672981</v>
      </c>
      <c r="AE285" s="41">
        <f>L285/'1. Väestöennuste'!N285*1000</f>
        <v>165.07434421767994</v>
      </c>
      <c r="AF285" s="41">
        <f>M285/'1. Väestöennuste'!O285*1000</f>
        <v>-112.3603538301701</v>
      </c>
      <c r="AG285" s="41">
        <f>N285/'1. Väestöennuste'!P285*1000</f>
        <v>-398.29153168096099</v>
      </c>
      <c r="AH285" s="41">
        <f>O285/'1. Väestöennuste'!Q285*1000</f>
        <v>-795.69747365425576</v>
      </c>
      <c r="AI285" s="41">
        <f>P285/'1. Väestöennuste'!R285*1000</f>
        <v>-1196.4784297889939</v>
      </c>
      <c r="AK285" s="41">
        <f t="shared" si="53"/>
        <v>0</v>
      </c>
      <c r="AL285" s="41">
        <f t="shared" si="54"/>
        <v>0</v>
      </c>
      <c r="AM285" s="41">
        <f t="shared" si="55"/>
        <v>0</v>
      </c>
      <c r="AN285" s="41">
        <f t="shared" si="56"/>
        <v>0</v>
      </c>
      <c r="AO285" s="41">
        <f t="shared" si="57"/>
        <v>0</v>
      </c>
      <c r="AP285" s="41">
        <f t="shared" si="58"/>
        <v>0</v>
      </c>
      <c r="AQ285" s="41">
        <f t="shared" si="59"/>
        <v>0</v>
      </c>
      <c r="AR285" s="41">
        <f t="shared" si="60"/>
        <v>0</v>
      </c>
      <c r="AS285" s="41">
        <f t="shared" si="61"/>
        <v>0</v>
      </c>
      <c r="AT285" s="41">
        <f t="shared" si="62"/>
        <v>0</v>
      </c>
      <c r="AU285" s="41">
        <f t="shared" si="63"/>
        <v>-1</v>
      </c>
      <c r="AV285" s="41">
        <f t="shared" si="64"/>
        <v>-1</v>
      </c>
      <c r="AW285" s="41">
        <f t="shared" si="64"/>
        <v>-1</v>
      </c>
      <c r="AX285" s="41">
        <f t="shared" si="64"/>
        <v>-1</v>
      </c>
    </row>
    <row r="286" spans="1:50" ht="11.25" x14ac:dyDescent="0.2">
      <c r="A286" s="34">
        <v>893</v>
      </c>
      <c r="B286" s="88" t="s">
        <v>600</v>
      </c>
      <c r="C286" s="65">
        <v>9956</v>
      </c>
      <c r="D286" s="65">
        <v>9831</v>
      </c>
      <c r="E286" s="65">
        <v>8496</v>
      </c>
      <c r="F286" s="65">
        <v>6066</v>
      </c>
      <c r="G286" s="41">
        <v>4542</v>
      </c>
      <c r="H286" s="41">
        <v>7658</v>
      </c>
      <c r="I286" s="41">
        <v>9560.0922699999992</v>
      </c>
      <c r="J286" s="41">
        <f>I286+'Tilikauden tulos'!J286+'9. Tulorahkorjauserät'!J286</f>
        <v>12956.81250179412</v>
      </c>
      <c r="K286" s="41">
        <f>J286+'Tilikauden tulos'!K286+'9. Tulorahkorjauserät'!K286</f>
        <v>15882.983221830698</v>
      </c>
      <c r="L286" s="41">
        <f>K286+'Tilikauden tulos'!L286+'9. Tulorahkorjauserät'!L286</f>
        <v>17740.243923696311</v>
      </c>
      <c r="M286" s="41">
        <f>L286+'Tilikauden tulos'!M286+'9. Tulorahkorjauserät'!M286</f>
        <v>19871.874449480565</v>
      </c>
      <c r="N286" s="41">
        <f>M286+'Tilikauden tulos'!N286+'9. Tulorahkorjauserät'!N286</f>
        <v>21930.731074463511</v>
      </c>
      <c r="O286" s="41">
        <f>N286+'Tilikauden tulos'!O286+'9. Tulorahkorjauserät'!O286</f>
        <v>24261.236414321189</v>
      </c>
      <c r="P286" s="41">
        <f>O286+'Tilikauden tulos'!P286+'9. Tulorahkorjauserät'!P286</f>
        <v>27180.792972573498</v>
      </c>
      <c r="T286" s="34">
        <v>893</v>
      </c>
      <c r="U286" s="88" t="s">
        <v>600</v>
      </c>
      <c r="V286" s="41">
        <f>C286/'1. Väestöennuste'!E286*1000</f>
        <v>1316.2347964040191</v>
      </c>
      <c r="W286" s="41">
        <f>D286/'1. Väestöennuste'!F286*1000</f>
        <v>1308.0095795635978</v>
      </c>
      <c r="X286" s="41">
        <f>E286/'1. Väestöennuste'!G286*1000</f>
        <v>1129.6370163542083</v>
      </c>
      <c r="Y286" s="41">
        <f>F286/'1. Väestöennuste'!H286*1000</f>
        <v>813.68209255533202</v>
      </c>
      <c r="Z286" s="41">
        <f>G286/'1. Väestöennuste'!I286*1000</f>
        <v>608.52090032154342</v>
      </c>
      <c r="AA286" s="41">
        <f>H286/'1. Väestöennuste'!J286*1000</f>
        <v>1023.9336809733921</v>
      </c>
      <c r="AB286" s="41">
        <f>I286/'1. Väestöennuste'!K286*1000</f>
        <v>1275.1890449513137</v>
      </c>
      <c r="AC286" s="41">
        <f>J286/'1. Väestöennuste'!L286*1000</f>
        <v>1742.9126313954964</v>
      </c>
      <c r="AD286" s="41">
        <f>K286/'1. Väestöennuste'!M286*1000</f>
        <v>2117.7310962440934</v>
      </c>
      <c r="AE286" s="41">
        <f>L286/'1. Väestöennuste'!N286*1000</f>
        <v>2386.3658762034315</v>
      </c>
      <c r="AF286" s="41">
        <f>M286/'1. Väestöennuste'!O286*1000</f>
        <v>2678.8722633432953</v>
      </c>
      <c r="AG286" s="41">
        <f>N286/'1. Väestöennuste'!P286*1000</f>
        <v>2965.6161020234631</v>
      </c>
      <c r="AH286" s="41">
        <f>O286/'1. Väestöennuste'!Q286*1000</f>
        <v>3291.8909653081669</v>
      </c>
      <c r="AI286" s="41">
        <f>P286/'1. Väestöennuste'!R286*1000</f>
        <v>3704.1146051476558</v>
      </c>
      <c r="AK286" s="41">
        <f t="shared" si="53"/>
        <v>0</v>
      </c>
      <c r="AL286" s="41">
        <f t="shared" si="54"/>
        <v>0</v>
      </c>
      <c r="AM286" s="41">
        <f t="shared" si="55"/>
        <v>0</v>
      </c>
      <c r="AN286" s="41">
        <f t="shared" si="56"/>
        <v>0</v>
      </c>
      <c r="AO286" s="41">
        <f t="shared" si="57"/>
        <v>0</v>
      </c>
      <c r="AP286" s="41">
        <f t="shared" si="58"/>
        <v>0</v>
      </c>
      <c r="AQ286" s="41">
        <f t="shared" si="59"/>
        <v>0</v>
      </c>
      <c r="AR286" s="41">
        <f t="shared" si="60"/>
        <v>0</v>
      </c>
      <c r="AS286" s="41">
        <f t="shared" si="61"/>
        <v>0</v>
      </c>
      <c r="AT286" s="41">
        <f t="shared" si="62"/>
        <v>0</v>
      </c>
      <c r="AU286" s="41">
        <f t="shared" si="63"/>
        <v>0</v>
      </c>
      <c r="AV286" s="41">
        <f t="shared" si="64"/>
        <v>0</v>
      </c>
      <c r="AW286" s="41">
        <f t="shared" si="64"/>
        <v>0</v>
      </c>
      <c r="AX286" s="41">
        <f t="shared" si="64"/>
        <v>0</v>
      </c>
    </row>
    <row r="287" spans="1:50" ht="11.25" x14ac:dyDescent="0.2">
      <c r="A287" s="34">
        <v>895</v>
      </c>
      <c r="B287" s="88" t="s">
        <v>601</v>
      </c>
      <c r="C287" s="65">
        <v>4016</v>
      </c>
      <c r="D287" s="65">
        <v>7697</v>
      </c>
      <c r="E287" s="65">
        <v>9399</v>
      </c>
      <c r="F287" s="65">
        <v>12269</v>
      </c>
      <c r="G287" s="41">
        <v>9560</v>
      </c>
      <c r="H287" s="41">
        <v>14548</v>
      </c>
      <c r="I287" s="41">
        <v>17615.998030000002</v>
      </c>
      <c r="J287" s="41">
        <f>I287+'Tilikauden tulos'!J287+'9. Tulorahkorjauserät'!J287</f>
        <v>15751.29737435397</v>
      </c>
      <c r="K287" s="41">
        <f>J287+'Tilikauden tulos'!K287+'9. Tulorahkorjauserät'!K287</f>
        <v>20191.499189028789</v>
      </c>
      <c r="L287" s="41">
        <f>K287+'Tilikauden tulos'!L287+'9. Tulorahkorjauserät'!L287</f>
        <v>22069.097049814849</v>
      </c>
      <c r="M287" s="41">
        <f>L287+'Tilikauden tulos'!M287+'9. Tulorahkorjauserät'!M287</f>
        <v>19776.456379968367</v>
      </c>
      <c r="N287" s="41">
        <f>M287+'Tilikauden tulos'!N287+'9. Tulorahkorjauserät'!N287</f>
        <v>18518.014840873817</v>
      </c>
      <c r="O287" s="41">
        <f>N287+'Tilikauden tulos'!O287+'9. Tulorahkorjauserät'!O287</f>
        <v>17774.132356822323</v>
      </c>
      <c r="P287" s="41">
        <f>O287+'Tilikauden tulos'!P287+'9. Tulorahkorjauserät'!P287</f>
        <v>17880.571686483476</v>
      </c>
      <c r="T287" s="34">
        <v>895</v>
      </c>
      <c r="U287" s="88" t="s">
        <v>601</v>
      </c>
      <c r="V287" s="41">
        <f>C287/'1. Väestöennuste'!E287*1000</f>
        <v>258.92972275950996</v>
      </c>
      <c r="W287" s="41">
        <f>D287/'1. Väestöennuste'!F287*1000</f>
        <v>499.67540898467934</v>
      </c>
      <c r="X287" s="41">
        <f>E287/'1. Väestöennuste'!G287*1000</f>
        <v>596.6861350939563</v>
      </c>
      <c r="Y287" s="41">
        <f>F287/'1. Väestöennuste'!H287*1000</f>
        <v>781.46496815286628</v>
      </c>
      <c r="Z287" s="41">
        <f>G287/'1. Väestöennuste'!I287*1000</f>
        <v>615.9000128849375</v>
      </c>
      <c r="AA287" s="41">
        <f>H287/'1. Väestöennuste'!J287*1000</f>
        <v>946.02679152035375</v>
      </c>
      <c r="AB287" s="41">
        <f>I287/'1. Väestöennuste'!K287*1000</f>
        <v>1139.2354672443901</v>
      </c>
      <c r="AC287" s="41">
        <f>J287/'1. Väestöennuste'!L287*1000</f>
        <v>1043.6852222604009</v>
      </c>
      <c r="AD287" s="41">
        <f>K287/'1. Väestöennuste'!M287*1000</f>
        <v>1351.686918531851</v>
      </c>
      <c r="AE287" s="41">
        <f>L287/'1. Väestöennuste'!N287*1000</f>
        <v>1466.4826267403048</v>
      </c>
      <c r="AF287" s="41">
        <f>M287/'1. Väestöennuste'!O287*1000</f>
        <v>1321.8672802599003</v>
      </c>
      <c r="AG287" s="41">
        <f>N287/'1. Väestöennuste'!P287*1000</f>
        <v>1244.8248750251289</v>
      </c>
      <c r="AH287" s="41">
        <f>O287/'1. Väestöennuste'!Q287*1000</f>
        <v>1201.766893632341</v>
      </c>
      <c r="AI287" s="41">
        <f>P287/'1. Väestöennuste'!R287*1000</f>
        <v>1215.7038133317567</v>
      </c>
      <c r="AK287" s="41">
        <f t="shared" si="53"/>
        <v>0</v>
      </c>
      <c r="AL287" s="41">
        <f t="shared" si="54"/>
        <v>0</v>
      </c>
      <c r="AM287" s="41">
        <f t="shared" si="55"/>
        <v>0</v>
      </c>
      <c r="AN287" s="41">
        <f t="shared" si="56"/>
        <v>0</v>
      </c>
      <c r="AO287" s="41">
        <f t="shared" si="57"/>
        <v>0</v>
      </c>
      <c r="AP287" s="41">
        <f t="shared" si="58"/>
        <v>0</v>
      </c>
      <c r="AQ287" s="41">
        <f t="shared" si="59"/>
        <v>0</v>
      </c>
      <c r="AR287" s="41">
        <f t="shared" si="60"/>
        <v>0</v>
      </c>
      <c r="AS287" s="41">
        <f t="shared" si="61"/>
        <v>0</v>
      </c>
      <c r="AT287" s="41">
        <f t="shared" si="62"/>
        <v>0</v>
      </c>
      <c r="AU287" s="41">
        <f t="shared" si="63"/>
        <v>0</v>
      </c>
      <c r="AV287" s="41">
        <f t="shared" si="64"/>
        <v>0</v>
      </c>
      <c r="AW287" s="41">
        <f t="shared" si="64"/>
        <v>0</v>
      </c>
      <c r="AX287" s="41">
        <f t="shared" si="64"/>
        <v>0</v>
      </c>
    </row>
    <row r="288" spans="1:50" ht="11.25" x14ac:dyDescent="0.2">
      <c r="A288" s="34">
        <v>905</v>
      </c>
      <c r="B288" s="88" t="s">
        <v>602</v>
      </c>
      <c r="C288" s="65">
        <v>-21283</v>
      </c>
      <c r="D288" s="65">
        <v>-24516</v>
      </c>
      <c r="E288" s="65">
        <v>-23687</v>
      </c>
      <c r="F288" s="65">
        <v>-32932</v>
      </c>
      <c r="G288" s="41">
        <v>-25799</v>
      </c>
      <c r="H288" s="41">
        <v>1707</v>
      </c>
      <c r="I288" s="41">
        <v>9225.3177400000004</v>
      </c>
      <c r="J288" s="41">
        <f>I288+'Tilikauden tulos'!J288+'9. Tulorahkorjauserät'!J288</f>
        <v>17336.083781994759</v>
      </c>
      <c r="K288" s="41">
        <f>J288+'Tilikauden tulos'!K288+'9. Tulorahkorjauserät'!K288</f>
        <v>29044.269712629684</v>
      </c>
      <c r="L288" s="41">
        <f>K288+'Tilikauden tulos'!L288+'9. Tulorahkorjauserät'!L288</f>
        <v>25920.9684010368</v>
      </c>
      <c r="M288" s="41">
        <f>L288+'Tilikauden tulos'!M288+'9. Tulorahkorjauserät'!M288</f>
        <v>9683.4587920118865</v>
      </c>
      <c r="N288" s="41">
        <f>M288+'Tilikauden tulos'!N288+'9. Tulorahkorjauserät'!N288</f>
        <v>-1955.9836794793664</v>
      </c>
      <c r="O288" s="41">
        <f>N288+'Tilikauden tulos'!O288+'9. Tulorahkorjauserät'!O288</f>
        <v>-12675.911929589103</v>
      </c>
      <c r="P288" s="41">
        <f>O288+'Tilikauden tulos'!P288+'9. Tulorahkorjauserät'!P288</f>
        <v>-21239.01124730588</v>
      </c>
      <c r="T288" s="34">
        <v>905</v>
      </c>
      <c r="U288" s="88" t="s">
        <v>602</v>
      </c>
      <c r="V288" s="41">
        <f>C288/'1. Väestöennuste'!E288*1000</f>
        <v>-314.7488132033896</v>
      </c>
      <c r="W288" s="41">
        <f>D288/'1. Väestöennuste'!F288*1000</f>
        <v>-362.55545696539485</v>
      </c>
      <c r="X288" s="41">
        <f>E288/'1. Väestöennuste'!G288*1000</f>
        <v>-351.48088793922125</v>
      </c>
      <c r="Y288" s="41">
        <f>F288/'1. Väestöennuste'!H288*1000</f>
        <v>-487.50592136428236</v>
      </c>
      <c r="Z288" s="41">
        <f>G288/'1. Väestöennuste'!I288*1000</f>
        <v>-381.43887870364898</v>
      </c>
      <c r="AA288" s="41">
        <f>H288/'1. Väestöennuste'!J288*1000</f>
        <v>25.269796154016966</v>
      </c>
      <c r="AB288" s="41">
        <f>I288/'1. Väestöennuste'!K288*1000</f>
        <v>136.43892242845524</v>
      </c>
      <c r="AC288" s="41">
        <f>J288/'1. Väestöennuste'!L288*1000</f>
        <v>254.9874063363352</v>
      </c>
      <c r="AD288" s="41">
        <f>K288/'1. Väestöennuste'!M288*1000</f>
        <v>421.20003643815892</v>
      </c>
      <c r="AE288" s="41">
        <f>L288/'1. Väestöennuste'!N288*1000</f>
        <v>383.01000932424313</v>
      </c>
      <c r="AF288" s="41">
        <f>M288/'1. Väestöennuste'!O288*1000</f>
        <v>143.08768070944791</v>
      </c>
      <c r="AG288" s="41">
        <f>N288/'1. Väestöennuste'!P288*1000</f>
        <v>-28.900468077413805</v>
      </c>
      <c r="AH288" s="41">
        <f>O288/'1. Väestöennuste'!Q288*1000</f>
        <v>-187.25587475202906</v>
      </c>
      <c r="AI288" s="41">
        <f>P288/'1. Väestöennuste'!R288*1000</f>
        <v>-313.68076987262958</v>
      </c>
      <c r="AK288" s="41">
        <f t="shared" si="53"/>
        <v>-1</v>
      </c>
      <c r="AL288" s="41">
        <f t="shared" si="54"/>
        <v>-1</v>
      </c>
      <c r="AM288" s="41">
        <f t="shared" si="55"/>
        <v>-1</v>
      </c>
      <c r="AN288" s="41">
        <f t="shared" si="56"/>
        <v>-1</v>
      </c>
      <c r="AO288" s="41">
        <f t="shared" si="57"/>
        <v>-1</v>
      </c>
      <c r="AP288" s="41">
        <f t="shared" si="58"/>
        <v>0</v>
      </c>
      <c r="AQ288" s="41">
        <f t="shared" si="59"/>
        <v>0</v>
      </c>
      <c r="AR288" s="41">
        <f t="shared" si="60"/>
        <v>0</v>
      </c>
      <c r="AS288" s="41">
        <f t="shared" si="61"/>
        <v>0</v>
      </c>
      <c r="AT288" s="41">
        <f t="shared" si="62"/>
        <v>0</v>
      </c>
      <c r="AU288" s="41">
        <f t="shared" si="63"/>
        <v>0</v>
      </c>
      <c r="AV288" s="41">
        <f t="shared" si="64"/>
        <v>-1</v>
      </c>
      <c r="AW288" s="41">
        <f t="shared" si="64"/>
        <v>-1</v>
      </c>
      <c r="AX288" s="41">
        <f t="shared" si="64"/>
        <v>-1</v>
      </c>
    </row>
    <row r="289" spans="1:50" ht="11.25" x14ac:dyDescent="0.2">
      <c r="A289" s="34">
        <v>908</v>
      </c>
      <c r="B289" s="88" t="s">
        <v>603</v>
      </c>
      <c r="C289" s="65">
        <v>7339</v>
      </c>
      <c r="D289" s="65">
        <v>7773</v>
      </c>
      <c r="E289" s="65">
        <v>9257</v>
      </c>
      <c r="F289" s="65">
        <v>3961</v>
      </c>
      <c r="G289" s="41">
        <v>107</v>
      </c>
      <c r="H289" s="41">
        <v>6028</v>
      </c>
      <c r="I289" s="41">
        <v>7354.2902899999999</v>
      </c>
      <c r="J289" s="41">
        <f>I289+'Tilikauden tulos'!J289+'9. Tulorahkorjauserät'!J289</f>
        <v>954.77248145713156</v>
      </c>
      <c r="K289" s="41">
        <f>J289+'Tilikauden tulos'!K289+'9. Tulorahkorjauserät'!K289</f>
        <v>188.10687081967387</v>
      </c>
      <c r="L289" s="41">
        <f>K289+'Tilikauden tulos'!L289+'9. Tulorahkorjauserät'!L289</f>
        <v>-1543.951064423502</v>
      </c>
      <c r="M289" s="41">
        <f>L289+'Tilikauden tulos'!M289+'9. Tulorahkorjauserät'!M289</f>
        <v>-5893.5814131780735</v>
      </c>
      <c r="N289" s="41">
        <f>M289+'Tilikauden tulos'!N289+'9. Tulorahkorjauserät'!N289</f>
        <v>-8967.7545962836211</v>
      </c>
      <c r="O289" s="41">
        <f>N289+'Tilikauden tulos'!O289+'9. Tulorahkorjauserät'!O289</f>
        <v>-11375.284214880854</v>
      </c>
      <c r="P289" s="41">
        <f>O289+'Tilikauden tulos'!P289+'9. Tulorahkorjauserät'!P289</f>
        <v>-12241.022789517399</v>
      </c>
      <c r="T289" s="34">
        <v>908</v>
      </c>
      <c r="U289" s="88" t="s">
        <v>603</v>
      </c>
      <c r="V289" s="41">
        <f>C289/'1. Väestöennuste'!E289*1000</f>
        <v>344.03712732045756</v>
      </c>
      <c r="W289" s="41">
        <f>D289/'1. Väestöennuste'!F289*1000</f>
        <v>364.14316499578376</v>
      </c>
      <c r="X289" s="41">
        <f>E289/'1. Väestöennuste'!G289*1000</f>
        <v>437.97312641937924</v>
      </c>
      <c r="Y289" s="41">
        <f>F289/'1. Väestöennuste'!H289*1000</f>
        <v>187.39650849221746</v>
      </c>
      <c r="Z289" s="41">
        <f>G289/'1. Väestöennuste'!I289*1000</f>
        <v>5.1020408163265305</v>
      </c>
      <c r="AA289" s="41">
        <f>H289/'1. Väestöennuste'!J289*1000</f>
        <v>290.29617144233083</v>
      </c>
      <c r="AB289" s="41">
        <f>I289/'1. Väestöennuste'!K289*1000</f>
        <v>355.36556124667794</v>
      </c>
      <c r="AC289" s="41">
        <f>J289/'1. Väestöennuste'!L289*1000</f>
        <v>46.117590757722631</v>
      </c>
      <c r="AD289" s="41">
        <f>K289/'1. Väestöennuste'!M289*1000</f>
        <v>9.0899232057443644</v>
      </c>
      <c r="AE289" s="41">
        <f>L289/'1. Väestöennuste'!N289*1000</f>
        <v>-76.22567585403614</v>
      </c>
      <c r="AF289" s="41">
        <f>M289/'1. Väestöennuste'!O289*1000</f>
        <v>-292.65971860055981</v>
      </c>
      <c r="AG289" s="41">
        <f>N289/'1. Väestöennuste'!P289*1000</f>
        <v>-447.89504526439021</v>
      </c>
      <c r="AH289" s="41">
        <f>O289/'1. Väestöennuste'!Q289*1000</f>
        <v>-571.50744648718126</v>
      </c>
      <c r="AI289" s="41">
        <f>P289/'1. Väestöennuste'!R289*1000</f>
        <v>-618.76473687091948</v>
      </c>
      <c r="AK289" s="41">
        <f t="shared" si="53"/>
        <v>0</v>
      </c>
      <c r="AL289" s="41">
        <f t="shared" si="54"/>
        <v>0</v>
      </c>
      <c r="AM289" s="41">
        <f t="shared" si="55"/>
        <v>0</v>
      </c>
      <c r="AN289" s="41">
        <f t="shared" si="56"/>
        <v>0</v>
      </c>
      <c r="AO289" s="41">
        <f t="shared" si="57"/>
        <v>0</v>
      </c>
      <c r="AP289" s="41">
        <f t="shared" si="58"/>
        <v>0</v>
      </c>
      <c r="AQ289" s="41">
        <f t="shared" si="59"/>
        <v>0</v>
      </c>
      <c r="AR289" s="41">
        <f t="shared" si="60"/>
        <v>0</v>
      </c>
      <c r="AS289" s="41">
        <f t="shared" si="61"/>
        <v>0</v>
      </c>
      <c r="AT289" s="41">
        <f t="shared" si="62"/>
        <v>-1</v>
      </c>
      <c r="AU289" s="41">
        <f t="shared" si="63"/>
        <v>-1</v>
      </c>
      <c r="AV289" s="41">
        <f t="shared" si="64"/>
        <v>-1</v>
      </c>
      <c r="AW289" s="41">
        <f t="shared" si="64"/>
        <v>-1</v>
      </c>
      <c r="AX289" s="41">
        <f t="shared" si="64"/>
        <v>-1</v>
      </c>
    </row>
    <row r="290" spans="1:50" ht="11.25" x14ac:dyDescent="0.2">
      <c r="A290" s="34">
        <v>915</v>
      </c>
      <c r="B290" s="88" t="s">
        <v>604</v>
      </c>
      <c r="C290" s="65">
        <v>18997</v>
      </c>
      <c r="D290" s="65">
        <v>20497</v>
      </c>
      <c r="E290" s="65">
        <v>21128</v>
      </c>
      <c r="F290" s="65">
        <v>17468</v>
      </c>
      <c r="G290" s="41">
        <v>23799</v>
      </c>
      <c r="H290" s="41">
        <v>22100</v>
      </c>
      <c r="I290" s="41">
        <v>19126.25705</v>
      </c>
      <c r="J290" s="41">
        <f>I290+'Tilikauden tulos'!J290+'9. Tulorahkorjauserät'!J290</f>
        <v>16149.04263030057</v>
      </c>
      <c r="K290" s="41">
        <f>J290+'Tilikauden tulos'!K290+'9. Tulorahkorjauserät'!K290</f>
        <v>19952.918244165332</v>
      </c>
      <c r="L290" s="41">
        <f>K290+'Tilikauden tulos'!L290+'9. Tulorahkorjauserät'!L290</f>
        <v>17507.701385806438</v>
      </c>
      <c r="M290" s="41">
        <f>L290+'Tilikauden tulos'!M290+'9. Tulorahkorjauserät'!M290</f>
        <v>10614.554859693924</v>
      </c>
      <c r="N290" s="41">
        <f>M290+'Tilikauden tulos'!N290+'9. Tulorahkorjauserät'!N290</f>
        <v>4891.6771935513807</v>
      </c>
      <c r="O290" s="41">
        <f>N290+'Tilikauden tulos'!O290+'9. Tulorahkorjauserät'!O290</f>
        <v>-791.24199034360754</v>
      </c>
      <c r="P290" s="41">
        <f>O290+'Tilikauden tulos'!P290+'9. Tulorahkorjauserät'!P290</f>
        <v>-4231.93697765243</v>
      </c>
      <c r="T290" s="34">
        <v>915</v>
      </c>
      <c r="U290" s="88" t="s">
        <v>604</v>
      </c>
      <c r="V290" s="41">
        <f>C290/'1. Väestöennuste'!E290*1000</f>
        <v>877.94620574914507</v>
      </c>
      <c r="W290" s="41">
        <f>D290/'1. Väestöennuste'!F290*1000</f>
        <v>954.76989006893984</v>
      </c>
      <c r="X290" s="41">
        <f>E290/'1. Väestöennuste'!G290*1000</f>
        <v>998.72370597967381</v>
      </c>
      <c r="Y290" s="41">
        <f>F290/'1. Väestöennuste'!H290*1000</f>
        <v>838.63843679485331</v>
      </c>
      <c r="Z290" s="41">
        <f>G290/'1. Väestöennuste'!I290*1000</f>
        <v>1162.8554676048079</v>
      </c>
      <c r="AA290" s="41">
        <f>H290/'1. Väestöennuste'!J290*1000</f>
        <v>1089.8510701252587</v>
      </c>
      <c r="AB290" s="41">
        <f>I290/'1. Väestöennuste'!K290*1000</f>
        <v>957.60562008711759</v>
      </c>
      <c r="AC290" s="41">
        <f>J290/'1. Väestöennuste'!L290*1000</f>
        <v>817.30060379070642</v>
      </c>
      <c r="AD290" s="41">
        <f>K290/'1. Väestöennuste'!M290*1000</f>
        <v>1011.4522352190061</v>
      </c>
      <c r="AE290" s="41">
        <f>L290/'1. Väestöennuste'!N290*1000</f>
        <v>909.30203520340899</v>
      </c>
      <c r="AF290" s="41">
        <f>M290/'1. Väestöennuste'!O290*1000</f>
        <v>558.04399661920638</v>
      </c>
      <c r="AG290" s="41">
        <f>N290/'1. Väestöennuste'!P290*1000</f>
        <v>260.23712260208441</v>
      </c>
      <c r="AH290" s="41">
        <f>O290/'1. Väestöennuste'!Q290*1000</f>
        <v>-42.581099469573111</v>
      </c>
      <c r="AI290" s="41">
        <f>P290/'1. Väestöennuste'!R290*1000</f>
        <v>-230.37218169038812</v>
      </c>
      <c r="AK290" s="41">
        <f t="shared" si="53"/>
        <v>0</v>
      </c>
      <c r="AL290" s="41">
        <f t="shared" si="54"/>
        <v>0</v>
      </c>
      <c r="AM290" s="41">
        <f t="shared" si="55"/>
        <v>0</v>
      </c>
      <c r="AN290" s="41">
        <f t="shared" si="56"/>
        <v>0</v>
      </c>
      <c r="AO290" s="41">
        <f t="shared" si="57"/>
        <v>0</v>
      </c>
      <c r="AP290" s="41">
        <f t="shared" si="58"/>
        <v>0</v>
      </c>
      <c r="AQ290" s="41">
        <f t="shared" si="59"/>
        <v>0</v>
      </c>
      <c r="AR290" s="41">
        <f t="shared" si="60"/>
        <v>0</v>
      </c>
      <c r="AS290" s="41">
        <f t="shared" si="61"/>
        <v>0</v>
      </c>
      <c r="AT290" s="41">
        <f t="shared" si="62"/>
        <v>0</v>
      </c>
      <c r="AU290" s="41">
        <f t="shared" si="63"/>
        <v>0</v>
      </c>
      <c r="AV290" s="41">
        <f t="shared" si="64"/>
        <v>0</v>
      </c>
      <c r="AW290" s="41">
        <f t="shared" si="64"/>
        <v>-1</v>
      </c>
      <c r="AX290" s="41">
        <f t="shared" si="64"/>
        <v>-1</v>
      </c>
    </row>
    <row r="291" spans="1:50" ht="11.25" x14ac:dyDescent="0.2">
      <c r="A291" s="34">
        <v>918</v>
      </c>
      <c r="B291" s="88" t="s">
        <v>605</v>
      </c>
      <c r="C291" s="65">
        <v>-61</v>
      </c>
      <c r="D291" s="65">
        <v>0</v>
      </c>
      <c r="E291" s="65">
        <v>332</v>
      </c>
      <c r="F291" s="65">
        <v>-1030</v>
      </c>
      <c r="G291" s="41">
        <v>-1489</v>
      </c>
      <c r="H291" s="41">
        <v>274</v>
      </c>
      <c r="I291" s="41">
        <v>1100.0588500000001</v>
      </c>
      <c r="J291" s="41">
        <f>I291+'Tilikauden tulos'!J291+'9. Tulorahkorjauserät'!J291</f>
        <v>1578.3367395476359</v>
      </c>
      <c r="K291" s="41">
        <f>J291+'Tilikauden tulos'!K291+'9. Tulorahkorjauserät'!K291</f>
        <v>2271.5439536522099</v>
      </c>
      <c r="L291" s="41">
        <f>K291+'Tilikauden tulos'!L291+'9. Tulorahkorjauserät'!L291</f>
        <v>2559.0820036762193</v>
      </c>
      <c r="M291" s="41">
        <f>L291+'Tilikauden tulos'!M291+'9. Tulorahkorjauserät'!M291</f>
        <v>3442.747103705814</v>
      </c>
      <c r="N291" s="41">
        <f>M291+'Tilikauden tulos'!N291+'9. Tulorahkorjauserät'!N291</f>
        <v>4340.9808272158762</v>
      </c>
      <c r="O291" s="41">
        <f>N291+'Tilikauden tulos'!O291+'9. Tulorahkorjauserät'!O291</f>
        <v>5114.839357205783</v>
      </c>
      <c r="P291" s="41">
        <f>O291+'Tilikauden tulos'!P291+'9. Tulorahkorjauserät'!P291</f>
        <v>6159.3802479240821</v>
      </c>
      <c r="T291" s="34">
        <v>918</v>
      </c>
      <c r="U291" s="88" t="s">
        <v>605</v>
      </c>
      <c r="V291" s="41">
        <f>C291/'1. Väestöennuste'!E291*1000</f>
        <v>-26.801405975395433</v>
      </c>
      <c r="W291" s="41">
        <f>D291/'1. Väestöennuste'!F291*1000</f>
        <v>0</v>
      </c>
      <c r="X291" s="41">
        <f>E291/'1. Väestöennuste'!G291*1000</f>
        <v>143.35060449050084</v>
      </c>
      <c r="Y291" s="41">
        <f>F291/'1. Väestöennuste'!H291*1000</f>
        <v>-450.76586433260394</v>
      </c>
      <c r="Z291" s="41">
        <f>G291/'1. Väestöennuste'!I291*1000</f>
        <v>-649.36764064544263</v>
      </c>
      <c r="AA291" s="41">
        <f>H291/'1. Väestöennuste'!J291*1000</f>
        <v>119.54624781849913</v>
      </c>
      <c r="AB291" s="41">
        <f>I291/'1. Väestöennuste'!K291*1000</f>
        <v>484.39403346543378</v>
      </c>
      <c r="AC291" s="41">
        <f>J291/'1. Väestöennuste'!L291*1000</f>
        <v>708.40966766051883</v>
      </c>
      <c r="AD291" s="41">
        <f>K291/'1. Väestöennuste'!M291*1000</f>
        <v>1011.823587372922</v>
      </c>
      <c r="AE291" s="41">
        <f>L291/'1. Väestöennuste'!N291*1000</f>
        <v>1102.1024994298962</v>
      </c>
      <c r="AF291" s="41">
        <f>M291/'1. Väestöennuste'!O291*1000</f>
        <v>1480.1148339233939</v>
      </c>
      <c r="AG291" s="41">
        <f>N291/'1. Väestöennuste'!P291*1000</f>
        <v>1862.282637158248</v>
      </c>
      <c r="AH291" s="41">
        <f>O291/'1. Väestöennuste'!Q291*1000</f>
        <v>2188.6347270884821</v>
      </c>
      <c r="AI291" s="41">
        <f>P291/'1. Väestöennuste'!R291*1000</f>
        <v>2629.9659470213842</v>
      </c>
      <c r="AK291" s="41">
        <f t="shared" si="53"/>
        <v>-1</v>
      </c>
      <c r="AL291" s="41">
        <f t="shared" si="54"/>
        <v>0</v>
      </c>
      <c r="AM291" s="41">
        <f t="shared" si="55"/>
        <v>0</v>
      </c>
      <c r="AN291" s="41">
        <f t="shared" si="56"/>
        <v>-1</v>
      </c>
      <c r="AO291" s="41">
        <f t="shared" si="57"/>
        <v>-1</v>
      </c>
      <c r="AP291" s="41">
        <f t="shared" si="58"/>
        <v>0</v>
      </c>
      <c r="AQ291" s="41">
        <f t="shared" si="59"/>
        <v>0</v>
      </c>
      <c r="AR291" s="41">
        <f t="shared" si="60"/>
        <v>0</v>
      </c>
      <c r="AS291" s="41">
        <f t="shared" si="61"/>
        <v>0</v>
      </c>
      <c r="AT291" s="41">
        <f t="shared" si="62"/>
        <v>0</v>
      </c>
      <c r="AU291" s="41">
        <f t="shared" si="63"/>
        <v>0</v>
      </c>
      <c r="AV291" s="41">
        <f t="shared" si="64"/>
        <v>0</v>
      </c>
      <c r="AW291" s="41">
        <f t="shared" si="64"/>
        <v>0</v>
      </c>
      <c r="AX291" s="41">
        <f t="shared" si="64"/>
        <v>0</v>
      </c>
    </row>
    <row r="292" spans="1:50" ht="11.25" x14ac:dyDescent="0.2">
      <c r="A292" s="34">
        <v>921</v>
      </c>
      <c r="B292" s="88" t="s">
        <v>606</v>
      </c>
      <c r="C292" s="65">
        <v>979</v>
      </c>
      <c r="D292" s="65">
        <v>546</v>
      </c>
      <c r="E292" s="65">
        <v>701</v>
      </c>
      <c r="F292" s="65">
        <v>-423</v>
      </c>
      <c r="G292" s="41">
        <v>-1162</v>
      </c>
      <c r="H292" s="41">
        <v>-67</v>
      </c>
      <c r="I292" s="41">
        <v>1674.5322200000001</v>
      </c>
      <c r="J292" s="41">
        <f>I292+'Tilikauden tulos'!J292+'9. Tulorahkorjauserät'!J292</f>
        <v>2112.2117326920493</v>
      </c>
      <c r="K292" s="41">
        <f>J292+'Tilikauden tulos'!K292+'9. Tulorahkorjauserät'!K292</f>
        <v>2464.9568474279536</v>
      </c>
      <c r="L292" s="41">
        <f>K292+'Tilikauden tulos'!L292+'9. Tulorahkorjauserät'!L292</f>
        <v>2803.6848820980817</v>
      </c>
      <c r="M292" s="41">
        <f>L292+'Tilikauden tulos'!M292+'9. Tulorahkorjauserät'!M292</f>
        <v>2172.3118275544607</v>
      </c>
      <c r="N292" s="41">
        <f>M292+'Tilikauden tulos'!N292+'9. Tulorahkorjauserät'!N292</f>
        <v>1315.5880597735579</v>
      </c>
      <c r="O292" s="41">
        <f>N292+'Tilikauden tulos'!O292+'9. Tulorahkorjauserät'!O292</f>
        <v>237.25105732865609</v>
      </c>
      <c r="P292" s="41">
        <f>O292+'Tilikauden tulos'!P292+'9. Tulorahkorjauserät'!P292</f>
        <v>-666.93004680472461</v>
      </c>
      <c r="T292" s="34">
        <v>921</v>
      </c>
      <c r="U292" s="88" t="s">
        <v>606</v>
      </c>
      <c r="V292" s="41">
        <f>C292/'1. Väestöennuste'!E292*1000</f>
        <v>446.82793245093563</v>
      </c>
      <c r="W292" s="41">
        <f>D292/'1. Väestöennuste'!F292*1000</f>
        <v>254.18994413407819</v>
      </c>
      <c r="X292" s="41">
        <f>E292/'1. Väestöennuste'!G292*1000</f>
        <v>334.76599808978028</v>
      </c>
      <c r="Y292" s="41">
        <f>F292/'1. Väestöennuste'!H292*1000</f>
        <v>-205.53935860058309</v>
      </c>
      <c r="Z292" s="41">
        <f>G292/'1. Väestöennuste'!I292*1000</f>
        <v>-576.96127110228406</v>
      </c>
      <c r="AA292" s="41">
        <f>H292/'1. Väestöennuste'!J292*1000</f>
        <v>-33.975659229208929</v>
      </c>
      <c r="AB292" s="41">
        <f>I292/'1. Väestöennuste'!K292*1000</f>
        <v>862.71623905203512</v>
      </c>
      <c r="AC292" s="41">
        <f>J292/'1. Väestöennuste'!L292*1000</f>
        <v>1115.2121080739437</v>
      </c>
      <c r="AD292" s="41">
        <f>K292/'1. Väestöennuste'!M292*1000</f>
        <v>1300.768784922403</v>
      </c>
      <c r="AE292" s="41">
        <f>L292/'1. Väestöennuste'!N292*1000</f>
        <v>1546.4340221169784</v>
      </c>
      <c r="AF292" s="41">
        <f>M292/'1. Väestöennuste'!O292*1000</f>
        <v>1220.3999031204835</v>
      </c>
      <c r="AG292" s="41">
        <f>N292/'1. Väestöennuste'!P292*1000</f>
        <v>752.62474815420933</v>
      </c>
      <c r="AH292" s="41">
        <f>O292/'1. Väestöennuste'!Q292*1000</f>
        <v>138.09723942296628</v>
      </c>
      <c r="AI292" s="41">
        <f>P292/'1. Väestöennuste'!R292*1000</f>
        <v>-394.8668127914296</v>
      </c>
      <c r="AK292" s="41">
        <f t="shared" si="53"/>
        <v>0</v>
      </c>
      <c r="AL292" s="41">
        <f t="shared" si="54"/>
        <v>0</v>
      </c>
      <c r="AM292" s="41">
        <f t="shared" si="55"/>
        <v>0</v>
      </c>
      <c r="AN292" s="41">
        <f t="shared" si="56"/>
        <v>-1</v>
      </c>
      <c r="AO292" s="41">
        <f t="shared" si="57"/>
        <v>-1</v>
      </c>
      <c r="AP292" s="41">
        <f t="shared" si="58"/>
        <v>-1</v>
      </c>
      <c r="AQ292" s="41">
        <f t="shared" si="59"/>
        <v>0</v>
      </c>
      <c r="AR292" s="41">
        <f t="shared" si="60"/>
        <v>0</v>
      </c>
      <c r="AS292" s="41">
        <f t="shared" si="61"/>
        <v>0</v>
      </c>
      <c r="AT292" s="41">
        <f t="shared" si="62"/>
        <v>0</v>
      </c>
      <c r="AU292" s="41">
        <f t="shared" si="63"/>
        <v>0</v>
      </c>
      <c r="AV292" s="41">
        <f t="shared" si="64"/>
        <v>0</v>
      </c>
      <c r="AW292" s="41">
        <f t="shared" si="64"/>
        <v>0</v>
      </c>
      <c r="AX292" s="41">
        <f t="shared" si="64"/>
        <v>-1</v>
      </c>
    </row>
    <row r="293" spans="1:50" ht="11.25" x14ac:dyDescent="0.2">
      <c r="A293" s="34">
        <v>922</v>
      </c>
      <c r="B293" s="88" t="s">
        <v>607</v>
      </c>
      <c r="C293" s="65">
        <v>542</v>
      </c>
      <c r="D293" s="65">
        <v>1881</v>
      </c>
      <c r="E293" s="65">
        <v>2286</v>
      </c>
      <c r="F293" s="65">
        <v>655</v>
      </c>
      <c r="G293" s="41">
        <v>669</v>
      </c>
      <c r="H293" s="41">
        <v>2273</v>
      </c>
      <c r="I293" s="41">
        <v>2761.5956900000006</v>
      </c>
      <c r="J293" s="41">
        <f>I293+'Tilikauden tulos'!J293+'9. Tulorahkorjauserät'!J293</f>
        <v>3036.6105738916394</v>
      </c>
      <c r="K293" s="41">
        <f>J293+'Tilikauden tulos'!K293+'9. Tulorahkorjauserät'!K293</f>
        <v>3538.4121128759643</v>
      </c>
      <c r="L293" s="41">
        <f>K293+'Tilikauden tulos'!L293+'9. Tulorahkorjauserät'!L293</f>
        <v>2963.0430473745159</v>
      </c>
      <c r="M293" s="41">
        <f>L293+'Tilikauden tulos'!M293+'9. Tulorahkorjauserät'!M293</f>
        <v>1809.9564252996927</v>
      </c>
      <c r="N293" s="41">
        <f>M293+'Tilikauden tulos'!N293+'9. Tulorahkorjauserät'!N293</f>
        <v>-588.58024870130043</v>
      </c>
      <c r="O293" s="41">
        <f>N293+'Tilikauden tulos'!O293+'9. Tulorahkorjauserät'!O293</f>
        <v>-3089.5998970524342</v>
      </c>
      <c r="P293" s="41">
        <f>O293+'Tilikauden tulos'!P293+'9. Tulorahkorjauserät'!P293</f>
        <v>-5603.890535602146</v>
      </c>
      <c r="T293" s="34">
        <v>922</v>
      </c>
      <c r="U293" s="88" t="s">
        <v>607</v>
      </c>
      <c r="V293" s="41">
        <f>C293/'1. Väestöennuste'!E293*1000</f>
        <v>120.73958565382046</v>
      </c>
      <c r="W293" s="41">
        <f>D293/'1. Väestöennuste'!F293*1000</f>
        <v>421.55983863738231</v>
      </c>
      <c r="X293" s="41">
        <f>E293/'1. Väestöennuste'!G293*1000</f>
        <v>512.55605381165913</v>
      </c>
      <c r="Y293" s="41">
        <f>F293/'1. Väestöennuste'!H293*1000</f>
        <v>149.10084224903255</v>
      </c>
      <c r="Z293" s="41">
        <f>G293/'1. Väestöennuste'!I293*1000</f>
        <v>153.61653272101034</v>
      </c>
      <c r="AA293" s="41">
        <f>H293/'1. Väestöennuste'!J293*1000</f>
        <v>520.49461873139455</v>
      </c>
      <c r="AB293" s="41">
        <f>I293/'1. Väestöennuste'!K293*1000</f>
        <v>621.42117236723686</v>
      </c>
      <c r="AC293" s="41">
        <f>J293/'1. Väestöennuste'!L293*1000</f>
        <v>674.65242699214389</v>
      </c>
      <c r="AD293" s="41">
        <f>K293/'1. Väestöennuste'!M293*1000</f>
        <v>791.76820605861803</v>
      </c>
      <c r="AE293" s="41">
        <f>L293/'1. Väestöennuste'!N293*1000</f>
        <v>688.91956460695553</v>
      </c>
      <c r="AF293" s="41">
        <f>M293/'1. Väestöennuste'!O293*1000</f>
        <v>421.90126463862299</v>
      </c>
      <c r="AG293" s="41">
        <f>N293/'1. Väestöennuste'!P293*1000</f>
        <v>-137.39034750263781</v>
      </c>
      <c r="AH293" s="41">
        <f>O293/'1. Väestöennuste'!Q293*1000</f>
        <v>-722.20661455176116</v>
      </c>
      <c r="AI293" s="41">
        <f>P293/'1. Väestöennuste'!R293*1000</f>
        <v>-1311.7721291203525</v>
      </c>
      <c r="AK293" s="41">
        <f t="shared" si="53"/>
        <v>0</v>
      </c>
      <c r="AL293" s="41">
        <f t="shared" si="54"/>
        <v>0</v>
      </c>
      <c r="AM293" s="41">
        <f t="shared" si="55"/>
        <v>0</v>
      </c>
      <c r="AN293" s="41">
        <f t="shared" si="56"/>
        <v>0</v>
      </c>
      <c r="AO293" s="41">
        <f t="shared" si="57"/>
        <v>0</v>
      </c>
      <c r="AP293" s="41">
        <f t="shared" si="58"/>
        <v>0</v>
      </c>
      <c r="AQ293" s="41">
        <f t="shared" si="59"/>
        <v>0</v>
      </c>
      <c r="AR293" s="41">
        <f t="shared" si="60"/>
        <v>0</v>
      </c>
      <c r="AS293" s="41">
        <f t="shared" si="61"/>
        <v>0</v>
      </c>
      <c r="AT293" s="41">
        <f t="shared" si="62"/>
        <v>0</v>
      </c>
      <c r="AU293" s="41">
        <f t="shared" si="63"/>
        <v>0</v>
      </c>
      <c r="AV293" s="41">
        <f t="shared" si="64"/>
        <v>-1</v>
      </c>
      <c r="AW293" s="41">
        <f t="shared" si="64"/>
        <v>-1</v>
      </c>
      <c r="AX293" s="41">
        <f t="shared" si="64"/>
        <v>-1</v>
      </c>
    </row>
    <row r="294" spans="1:50" ht="11.25" x14ac:dyDescent="0.2">
      <c r="A294" s="34">
        <v>924</v>
      </c>
      <c r="B294" s="88" t="s">
        <v>608</v>
      </c>
      <c r="C294" s="65">
        <v>1987</v>
      </c>
      <c r="D294" s="65">
        <v>1732</v>
      </c>
      <c r="E294" s="65">
        <v>1354</v>
      </c>
      <c r="F294" s="65">
        <v>1899</v>
      </c>
      <c r="G294" s="41">
        <v>1214</v>
      </c>
      <c r="H294" s="41">
        <v>1312</v>
      </c>
      <c r="I294" s="41">
        <v>2494.2419500000001</v>
      </c>
      <c r="J294" s="41">
        <f>I294+'Tilikauden tulos'!J294+'9. Tulorahkorjauserät'!J294</f>
        <v>3878.6073977651249</v>
      </c>
      <c r="K294" s="41">
        <f>J294+'Tilikauden tulos'!K294+'9. Tulorahkorjauserät'!K294</f>
        <v>3599.6824204095929</v>
      </c>
      <c r="L294" s="41">
        <f>K294+'Tilikauden tulos'!L294+'9. Tulorahkorjauserät'!L294</f>
        <v>3322.5234923511525</v>
      </c>
      <c r="M294" s="41">
        <f>L294+'Tilikauden tulos'!M294+'9. Tulorahkorjauserät'!M294</f>
        <v>2699.1072631657216</v>
      </c>
      <c r="N294" s="41">
        <f>M294+'Tilikauden tulos'!N294+'9. Tulorahkorjauserät'!N294</f>
        <v>2155.2193349203053</v>
      </c>
      <c r="O294" s="41">
        <f>N294+'Tilikauden tulos'!O294+'9. Tulorahkorjauserät'!O294</f>
        <v>1259.1127312685292</v>
      </c>
      <c r="P294" s="41">
        <f>O294+'Tilikauden tulos'!P294+'9. Tulorahkorjauserät'!P294</f>
        <v>560.27460725174979</v>
      </c>
      <c r="T294" s="34">
        <v>924</v>
      </c>
      <c r="U294" s="88" t="s">
        <v>608</v>
      </c>
      <c r="V294" s="41">
        <f>C294/'1. Väestöennuste'!E294*1000</f>
        <v>601.75651120533018</v>
      </c>
      <c r="W294" s="41">
        <f>D294/'1. Väestöennuste'!F294*1000</f>
        <v>531.45136544952447</v>
      </c>
      <c r="X294" s="41">
        <f>E294/'1. Väestöennuste'!G294*1000</f>
        <v>421.01990049751242</v>
      </c>
      <c r="Y294" s="41">
        <f>F294/'1. Väestöennuste'!H294*1000</f>
        <v>599.81048641819336</v>
      </c>
      <c r="Z294" s="41">
        <f>G294/'1. Väestöennuste'!I294*1000</f>
        <v>389.85228002569045</v>
      </c>
      <c r="AA294" s="41">
        <f>H294/'1. Väestöennuste'!J294*1000</f>
        <v>428.05872756933115</v>
      </c>
      <c r="AB294" s="41">
        <f>I294/'1. Väestöennuste'!K294*1000</f>
        <v>830.30690745672439</v>
      </c>
      <c r="AC294" s="41">
        <f>J294/'1. Väestöennuste'!L294*1000</f>
        <v>1316.5673447946792</v>
      </c>
      <c r="AD294" s="41">
        <f>K294/'1. Väestöennuste'!M294*1000</f>
        <v>1226.0498707117142</v>
      </c>
      <c r="AE294" s="41">
        <f>L294/'1. Väestöennuste'!N294*1000</f>
        <v>1150.8567690859552</v>
      </c>
      <c r="AF294" s="41">
        <f>M294/'1. Väestöennuste'!O294*1000</f>
        <v>949.38700779659564</v>
      </c>
      <c r="AG294" s="41">
        <f>N294/'1. Väestöennuste'!P294*1000</f>
        <v>769.44638876126567</v>
      </c>
      <c r="AH294" s="41">
        <f>O294/'1. Väestöennuste'!Q294*1000</f>
        <v>456.53108457887208</v>
      </c>
      <c r="AI294" s="41">
        <f>P294/'1. Väestöennuste'!R294*1000</f>
        <v>206.2866742458578</v>
      </c>
      <c r="AK294" s="41">
        <f t="shared" si="53"/>
        <v>0</v>
      </c>
      <c r="AL294" s="41">
        <f t="shared" si="54"/>
        <v>0</v>
      </c>
      <c r="AM294" s="41">
        <f t="shared" si="55"/>
        <v>0</v>
      </c>
      <c r="AN294" s="41">
        <f t="shared" si="56"/>
        <v>0</v>
      </c>
      <c r="AO294" s="41">
        <f t="shared" si="57"/>
        <v>0</v>
      </c>
      <c r="AP294" s="41">
        <f t="shared" si="58"/>
        <v>0</v>
      </c>
      <c r="AQ294" s="41">
        <f t="shared" si="59"/>
        <v>0</v>
      </c>
      <c r="AR294" s="41">
        <f t="shared" si="60"/>
        <v>0</v>
      </c>
      <c r="AS294" s="41">
        <f t="shared" si="61"/>
        <v>0</v>
      </c>
      <c r="AT294" s="41">
        <f t="shared" si="62"/>
        <v>0</v>
      </c>
      <c r="AU294" s="41">
        <f t="shared" si="63"/>
        <v>0</v>
      </c>
      <c r="AV294" s="41">
        <f t="shared" si="64"/>
        <v>0</v>
      </c>
      <c r="AW294" s="41">
        <f t="shared" si="64"/>
        <v>0</v>
      </c>
      <c r="AX294" s="41">
        <f t="shared" si="64"/>
        <v>0</v>
      </c>
    </row>
    <row r="295" spans="1:50" ht="11.25" x14ac:dyDescent="0.2">
      <c r="A295" s="34">
        <v>925</v>
      </c>
      <c r="B295" s="88" t="s">
        <v>609</v>
      </c>
      <c r="C295" s="65">
        <v>784</v>
      </c>
      <c r="D295" s="65">
        <v>1452</v>
      </c>
      <c r="E295" s="65">
        <v>4023</v>
      </c>
      <c r="F295" s="65">
        <v>5142</v>
      </c>
      <c r="G295" s="41">
        <v>6679</v>
      </c>
      <c r="H295" s="41">
        <v>7743</v>
      </c>
      <c r="I295" s="41">
        <v>9449.5608300000004</v>
      </c>
      <c r="J295" s="41">
        <f>I295+'Tilikauden tulos'!J295+'9. Tulorahkorjauserät'!J295</f>
        <v>12911.428416547178</v>
      </c>
      <c r="K295" s="41">
        <f>J295+'Tilikauden tulos'!K295+'9. Tulorahkorjauserät'!K295</f>
        <v>15376.395361976829</v>
      </c>
      <c r="L295" s="41">
        <f>K295+'Tilikauden tulos'!L295+'9. Tulorahkorjauserät'!L295</f>
        <v>15866.344801818837</v>
      </c>
      <c r="M295" s="41">
        <f>L295+'Tilikauden tulos'!M295+'9. Tulorahkorjauserät'!M295</f>
        <v>15895.691809312364</v>
      </c>
      <c r="N295" s="41">
        <f>M295+'Tilikauden tulos'!N295+'9. Tulorahkorjauserät'!N295</f>
        <v>15858.942437189504</v>
      </c>
      <c r="O295" s="41">
        <f>N295+'Tilikauden tulos'!O295+'9. Tulorahkorjauserät'!O295</f>
        <v>15771.924042299121</v>
      </c>
      <c r="P295" s="41">
        <f>O295+'Tilikauden tulos'!P295+'9. Tulorahkorjauserät'!P295</f>
        <v>15891.303466036152</v>
      </c>
      <c r="T295" s="34">
        <v>925</v>
      </c>
      <c r="U295" s="88" t="s">
        <v>609</v>
      </c>
      <c r="V295" s="41">
        <f>C295/'1. Väestöennuste'!E295*1000</f>
        <v>208.67713601277615</v>
      </c>
      <c r="W295" s="41">
        <f>D295/'1. Väestöennuste'!F295*1000</f>
        <v>390.21768341843585</v>
      </c>
      <c r="X295" s="41">
        <f>E295/'1. Väestöennuste'!G295*1000</f>
        <v>1091.7232021709633</v>
      </c>
      <c r="Y295" s="41">
        <f>F295/'1. Väestöennuste'!H295*1000</f>
        <v>1398.8030467899889</v>
      </c>
      <c r="Z295" s="41">
        <f>G295/'1. Väestöennuste'!I295*1000</f>
        <v>1866.163732886281</v>
      </c>
      <c r="AA295" s="41">
        <f>H295/'1. Väestöennuste'!J295*1000</f>
        <v>2198.4667802385006</v>
      </c>
      <c r="AB295" s="41">
        <f>I295/'1. Väestöennuste'!K295*1000</f>
        <v>2707.6105530085961</v>
      </c>
      <c r="AC295" s="41">
        <f>J295/'1. Väestöennuste'!L295*1000</f>
        <v>3767.5600865325878</v>
      </c>
      <c r="AD295" s="41">
        <f>K295/'1. Väestöennuste'!M295*1000</f>
        <v>4539.8273876518533</v>
      </c>
      <c r="AE295" s="41">
        <f>L295/'1. Väestöennuste'!N295*1000</f>
        <v>4741.8842802805848</v>
      </c>
      <c r="AF295" s="41">
        <f>M295/'1. Väestöennuste'!O295*1000</f>
        <v>4803.7751010312377</v>
      </c>
      <c r="AG295" s="41">
        <f>N295/'1. Väestöennuste'!P295*1000</f>
        <v>4848.3468166277908</v>
      </c>
      <c r="AH295" s="41">
        <f>O295/'1. Väestöennuste'!Q295*1000</f>
        <v>4873.8949450862547</v>
      </c>
      <c r="AI295" s="41">
        <f>P295/'1. Väestöennuste'!R295*1000</f>
        <v>4964.4809328447836</v>
      </c>
      <c r="AK295" s="41">
        <f t="shared" si="53"/>
        <v>0</v>
      </c>
      <c r="AL295" s="41">
        <f t="shared" si="54"/>
        <v>0</v>
      </c>
      <c r="AM295" s="41">
        <f t="shared" si="55"/>
        <v>0</v>
      </c>
      <c r="AN295" s="41">
        <f t="shared" si="56"/>
        <v>0</v>
      </c>
      <c r="AO295" s="41">
        <f t="shared" si="57"/>
        <v>0</v>
      </c>
      <c r="AP295" s="41">
        <f t="shared" si="58"/>
        <v>0</v>
      </c>
      <c r="AQ295" s="41">
        <f t="shared" si="59"/>
        <v>0</v>
      </c>
      <c r="AR295" s="41">
        <f t="shared" si="60"/>
        <v>0</v>
      </c>
      <c r="AS295" s="41">
        <f t="shared" si="61"/>
        <v>0</v>
      </c>
      <c r="AT295" s="41">
        <f t="shared" si="62"/>
        <v>0</v>
      </c>
      <c r="AU295" s="41">
        <f t="shared" si="63"/>
        <v>0</v>
      </c>
      <c r="AV295" s="41">
        <f t="shared" si="64"/>
        <v>0</v>
      </c>
      <c r="AW295" s="41">
        <f t="shared" si="64"/>
        <v>0</v>
      </c>
      <c r="AX295" s="41">
        <f t="shared" si="64"/>
        <v>0</v>
      </c>
    </row>
    <row r="296" spans="1:50" ht="11.25" x14ac:dyDescent="0.2">
      <c r="A296" s="34">
        <v>927</v>
      </c>
      <c r="B296" s="88" t="s">
        <v>610</v>
      </c>
      <c r="C296" s="65">
        <v>9415</v>
      </c>
      <c r="D296" s="65">
        <v>16402</v>
      </c>
      <c r="E296" s="65">
        <v>21508</v>
      </c>
      <c r="F296" s="65">
        <v>16416</v>
      </c>
      <c r="G296" s="41">
        <v>6662</v>
      </c>
      <c r="H296" s="41">
        <v>9795</v>
      </c>
      <c r="I296" s="41">
        <v>12932.5751</v>
      </c>
      <c r="J296" s="41">
        <f>I296+'Tilikauden tulos'!J296+'9. Tulorahkorjauserät'!J296</f>
        <v>21109.01920518151</v>
      </c>
      <c r="K296" s="41">
        <f>J296+'Tilikauden tulos'!K296+'9. Tulorahkorjauserät'!K296</f>
        <v>35242.800603047872</v>
      </c>
      <c r="L296" s="41">
        <f>K296+'Tilikauden tulos'!L296+'9. Tulorahkorjauserät'!L296</f>
        <v>37737.435950017483</v>
      </c>
      <c r="M296" s="41">
        <f>L296+'Tilikauden tulos'!M296+'9. Tulorahkorjauserät'!M296</f>
        <v>49750.616608441291</v>
      </c>
      <c r="N296" s="41">
        <f>M296+'Tilikauden tulos'!N296+'9. Tulorahkorjauserät'!N296</f>
        <v>60194.073092955405</v>
      </c>
      <c r="O296" s="41">
        <f>N296+'Tilikauden tulos'!O296+'9. Tulorahkorjauserät'!O296</f>
        <v>71300.895101945775</v>
      </c>
      <c r="P296" s="41">
        <f>O296+'Tilikauden tulos'!P296+'9. Tulorahkorjauserät'!P296</f>
        <v>83518.792320568784</v>
      </c>
      <c r="T296" s="34">
        <v>927</v>
      </c>
      <c r="U296" s="88" t="s">
        <v>610</v>
      </c>
      <c r="V296" s="41">
        <f>C296/'1. Väestöennuste'!E296*1000</f>
        <v>325.56450776306235</v>
      </c>
      <c r="W296" s="41">
        <f>D296/'1. Väestöennuste'!F296*1000</f>
        <v>566.23053819863981</v>
      </c>
      <c r="X296" s="41">
        <f>E296/'1. Väestöennuste'!G296*1000</f>
        <v>740.2767260962346</v>
      </c>
      <c r="Y296" s="41">
        <f>F296/'1. Väestöennuste'!H296*1000</f>
        <v>561.98007599876757</v>
      </c>
      <c r="Z296" s="41">
        <f>G296/'1. Väestöennuste'!I296*1000</f>
        <v>228.47931956924344</v>
      </c>
      <c r="AA296" s="41">
        <f>H296/'1. Väestöennuste'!J296*1000</f>
        <v>335.9053497942387</v>
      </c>
      <c r="AB296" s="41">
        <f>I296/'1. Väestöennuste'!K296*1000</f>
        <v>442.3056568282089</v>
      </c>
      <c r="AC296" s="41">
        <f>J296/'1. Väestöennuste'!L296*1000</f>
        <v>730.0874764009792</v>
      </c>
      <c r="AD296" s="41">
        <f>K296/'1. Väestöennuste'!M296*1000</f>
        <v>1223.2411441132856</v>
      </c>
      <c r="AE296" s="41">
        <f>L296/'1. Väestöennuste'!N296*1000</f>
        <v>1286.6497084901971</v>
      </c>
      <c r="AF296" s="41">
        <f>M296/'1. Väestöennuste'!O296*1000</f>
        <v>1693.4074205535005</v>
      </c>
      <c r="AG296" s="41">
        <f>N296/'1. Väestöennuste'!P296*1000</f>
        <v>2045.8865166526884</v>
      </c>
      <c r="AH296" s="41">
        <f>O296/'1. Väestöennuste'!Q296*1000</f>
        <v>2420.0969079473821</v>
      </c>
      <c r="AI296" s="41">
        <f>P296/'1. Väestöennuste'!R296*1000</f>
        <v>2831.6254389072315</v>
      </c>
      <c r="AK296" s="41">
        <f t="shared" si="53"/>
        <v>0</v>
      </c>
      <c r="AL296" s="41">
        <f t="shared" si="54"/>
        <v>0</v>
      </c>
      <c r="AM296" s="41">
        <f t="shared" si="55"/>
        <v>0</v>
      </c>
      <c r="AN296" s="41">
        <f t="shared" si="56"/>
        <v>0</v>
      </c>
      <c r="AO296" s="41">
        <f t="shared" si="57"/>
        <v>0</v>
      </c>
      <c r="AP296" s="41">
        <f t="shared" si="58"/>
        <v>0</v>
      </c>
      <c r="AQ296" s="41">
        <f t="shared" si="59"/>
        <v>0</v>
      </c>
      <c r="AR296" s="41">
        <f t="shared" si="60"/>
        <v>0</v>
      </c>
      <c r="AS296" s="41">
        <f t="shared" si="61"/>
        <v>0</v>
      </c>
      <c r="AT296" s="41">
        <f t="shared" si="62"/>
        <v>0</v>
      </c>
      <c r="AU296" s="41">
        <f t="shared" si="63"/>
        <v>0</v>
      </c>
      <c r="AV296" s="41">
        <f t="shared" si="64"/>
        <v>0</v>
      </c>
      <c r="AW296" s="41">
        <f t="shared" si="64"/>
        <v>0</v>
      </c>
      <c r="AX296" s="41">
        <f t="shared" si="64"/>
        <v>0</v>
      </c>
    </row>
    <row r="297" spans="1:50" ht="11.25" x14ac:dyDescent="0.2">
      <c r="A297" s="34">
        <v>931</v>
      </c>
      <c r="B297" s="88" t="s">
        <v>611</v>
      </c>
      <c r="C297" s="65">
        <v>11862</v>
      </c>
      <c r="D297" s="65">
        <v>12265</v>
      </c>
      <c r="E297" s="65">
        <v>15010</v>
      </c>
      <c r="F297" s="65">
        <v>26229</v>
      </c>
      <c r="G297" s="41">
        <v>25187</v>
      </c>
      <c r="H297" s="41">
        <v>26174</v>
      </c>
      <c r="I297" s="41">
        <v>27315.478650000001</v>
      </c>
      <c r="J297" s="41">
        <f>I297+'Tilikauden tulos'!J297+'9. Tulorahkorjauserät'!J297</f>
        <v>26311.328319675784</v>
      </c>
      <c r="K297" s="41">
        <f>J297+'Tilikauden tulos'!K297+'9. Tulorahkorjauserät'!K297</f>
        <v>29805.348900768768</v>
      </c>
      <c r="L297" s="41">
        <f>K297+'Tilikauden tulos'!L297+'9. Tulorahkorjauserät'!L297</f>
        <v>30538.553014291207</v>
      </c>
      <c r="M297" s="41">
        <f>L297+'Tilikauden tulos'!M297+'9. Tulorahkorjauserät'!M297</f>
        <v>31117.735003951027</v>
      </c>
      <c r="N297" s="41">
        <f>M297+'Tilikauden tulos'!N297+'9. Tulorahkorjauserät'!N297</f>
        <v>31678.210423854136</v>
      </c>
      <c r="O297" s="41">
        <f>N297+'Tilikauden tulos'!O297+'9. Tulorahkorjauserät'!O297</f>
        <v>31993.812147660836</v>
      </c>
      <c r="P297" s="41">
        <f>O297+'Tilikauden tulos'!P297+'9. Tulorahkorjauserät'!P297</f>
        <v>33012.719949123479</v>
      </c>
      <c r="T297" s="34">
        <v>931</v>
      </c>
      <c r="U297" s="88" t="s">
        <v>611</v>
      </c>
      <c r="V297" s="41">
        <f>C297/'1. Väestöennuste'!E297*1000</f>
        <v>1779.4779477947795</v>
      </c>
      <c r="W297" s="41">
        <f>D297/'1. Väestöennuste'!F297*1000</f>
        <v>1856.364461934312</v>
      </c>
      <c r="X297" s="41">
        <f>E297/'1. Väestöennuste'!G297*1000</f>
        <v>2341.2884105443768</v>
      </c>
      <c r="Y297" s="41">
        <f>F297/'1. Väestöennuste'!H297*1000</f>
        <v>4187.2605363984676</v>
      </c>
      <c r="Z297" s="41">
        <f>G297/'1. Väestöennuste'!I297*1000</f>
        <v>4078.2059585492229</v>
      </c>
      <c r="AA297" s="41">
        <f>H297/'1. Väestöennuste'!J297*1000</f>
        <v>4292.9309496473679</v>
      </c>
      <c r="AB297" s="41">
        <f>I297/'1. Väestöennuste'!K297*1000</f>
        <v>4500.0788550247116</v>
      </c>
      <c r="AC297" s="41">
        <f>J297/'1. Väestöennuste'!L297*1000</f>
        <v>4421.3289060117258</v>
      </c>
      <c r="AD297" s="41">
        <f>K297/'1. Väestöennuste'!M297*1000</f>
        <v>5071.5244003349953</v>
      </c>
      <c r="AE297" s="41">
        <f>L297/'1. Väestöennuste'!N297*1000</f>
        <v>5372.7222051884601</v>
      </c>
      <c r="AF297" s="41">
        <f>M297/'1. Väestöennuste'!O297*1000</f>
        <v>5559.7168132840852</v>
      </c>
      <c r="AG297" s="41">
        <f>N297/'1. Väestöennuste'!P297*1000</f>
        <v>5745.0508567018751</v>
      </c>
      <c r="AH297" s="41">
        <f>O297/'1. Väestöennuste'!Q297*1000</f>
        <v>5887.709265303798</v>
      </c>
      <c r="AI297" s="41">
        <f>P297/'1. Väestöennuste'!R297*1000</f>
        <v>6159.0895427469177</v>
      </c>
      <c r="AK297" s="41">
        <f t="shared" si="53"/>
        <v>0</v>
      </c>
      <c r="AL297" s="41">
        <f t="shared" si="54"/>
        <v>0</v>
      </c>
      <c r="AM297" s="41">
        <f t="shared" si="55"/>
        <v>0</v>
      </c>
      <c r="AN297" s="41">
        <f t="shared" si="56"/>
        <v>0</v>
      </c>
      <c r="AO297" s="41">
        <f t="shared" si="57"/>
        <v>0</v>
      </c>
      <c r="AP297" s="41">
        <f t="shared" si="58"/>
        <v>0</v>
      </c>
      <c r="AQ297" s="41">
        <f t="shared" si="59"/>
        <v>0</v>
      </c>
      <c r="AR297" s="41">
        <f t="shared" si="60"/>
        <v>0</v>
      </c>
      <c r="AS297" s="41">
        <f t="shared" si="61"/>
        <v>0</v>
      </c>
      <c r="AT297" s="41">
        <f t="shared" si="62"/>
        <v>0</v>
      </c>
      <c r="AU297" s="41">
        <f t="shared" si="63"/>
        <v>0</v>
      </c>
      <c r="AV297" s="41">
        <f t="shared" si="64"/>
        <v>0</v>
      </c>
      <c r="AW297" s="41">
        <f t="shared" si="64"/>
        <v>0</v>
      </c>
      <c r="AX297" s="41">
        <f t="shared" si="64"/>
        <v>0</v>
      </c>
    </row>
    <row r="298" spans="1:50" ht="11.25" x14ac:dyDescent="0.2">
      <c r="A298" s="34">
        <v>934</v>
      </c>
      <c r="B298" s="88" t="s">
        <v>612</v>
      </c>
      <c r="C298" s="65">
        <v>-2193</v>
      </c>
      <c r="D298" s="65">
        <v>-711</v>
      </c>
      <c r="E298" s="65">
        <v>251</v>
      </c>
      <c r="F298" s="65">
        <v>-253</v>
      </c>
      <c r="G298" s="41">
        <v>-1406</v>
      </c>
      <c r="H298" s="41">
        <v>-166</v>
      </c>
      <c r="I298" s="41">
        <v>805.91197</v>
      </c>
      <c r="J298" s="41">
        <f>I298+'Tilikauden tulos'!J298+'9. Tulorahkorjauserät'!J298</f>
        <v>1579.6518555989578</v>
      </c>
      <c r="K298" s="41">
        <f>J298+'Tilikauden tulos'!K298+'9. Tulorahkorjauserät'!K298</f>
        <v>2023.3551683942178</v>
      </c>
      <c r="L298" s="41">
        <f>K298+'Tilikauden tulos'!L298+'9. Tulorahkorjauserät'!L298</f>
        <v>1942.7782574378869</v>
      </c>
      <c r="M298" s="41">
        <f>L298+'Tilikauden tulos'!M298+'9. Tulorahkorjauserät'!M298</f>
        <v>1164.3550533862979</v>
      </c>
      <c r="N298" s="41">
        <f>M298+'Tilikauden tulos'!N298+'9. Tulorahkorjauserät'!N298</f>
        <v>166.50762762355203</v>
      </c>
      <c r="O298" s="41">
        <f>N298+'Tilikauden tulos'!O298+'9. Tulorahkorjauserät'!O298</f>
        <v>-996.29340471006776</v>
      </c>
      <c r="P298" s="41">
        <f>O298+'Tilikauden tulos'!P298+'9. Tulorahkorjauserät'!P298</f>
        <v>-1956.3027953106341</v>
      </c>
      <c r="T298" s="34">
        <v>934</v>
      </c>
      <c r="U298" s="88" t="s">
        <v>612</v>
      </c>
      <c r="V298" s="41">
        <f>C298/'1. Väestöennuste'!E298*1000</f>
        <v>-713.63488447770908</v>
      </c>
      <c r="W298" s="41">
        <f>D298/'1. Väestöennuste'!F298*1000</f>
        <v>-235.04132231404958</v>
      </c>
      <c r="X298" s="41">
        <f>E298/'1. Väestöennuste'!G298*1000</f>
        <v>84.398117014122391</v>
      </c>
      <c r="Y298" s="41">
        <f>F298/'1. Väestöennuste'!H298*1000</f>
        <v>-87.211306446053086</v>
      </c>
      <c r="Z298" s="41">
        <f>G298/'1. Väestöennuste'!I298*1000</f>
        <v>-497.34701096568801</v>
      </c>
      <c r="AA298" s="41">
        <f>H298/'1. Väestöennuste'!J298*1000</f>
        <v>-59.626436781609193</v>
      </c>
      <c r="AB298" s="41">
        <f>I298/'1. Väestöennuste'!K298*1000</f>
        <v>292.42088896952106</v>
      </c>
      <c r="AC298" s="41">
        <f>J298/'1. Väestöennuste'!L298*1000</f>
        <v>591.40840718792879</v>
      </c>
      <c r="AD298" s="41">
        <f>K298/'1. Väestöennuste'!M298*1000</f>
        <v>761.80540978697968</v>
      </c>
      <c r="AE298" s="41">
        <f>L298/'1. Väestöennuste'!N298*1000</f>
        <v>760.38287962343907</v>
      </c>
      <c r="AF298" s="41">
        <f>M298/'1. Väestöennuste'!O298*1000</f>
        <v>465.36972557405994</v>
      </c>
      <c r="AG298" s="41">
        <f>N298/'1. Väestöennuste'!P298*1000</f>
        <v>67.851518999002451</v>
      </c>
      <c r="AH298" s="41">
        <f>O298/'1. Väestöennuste'!Q298*1000</f>
        <v>-413.57135936490982</v>
      </c>
      <c r="AI298" s="41">
        <f>P298/'1. Väestöennuste'!R298*1000</f>
        <v>-826.14138315482853</v>
      </c>
      <c r="AK298" s="41">
        <f t="shared" si="53"/>
        <v>-1</v>
      </c>
      <c r="AL298" s="41">
        <f t="shared" si="54"/>
        <v>-1</v>
      </c>
      <c r="AM298" s="41">
        <f t="shared" si="55"/>
        <v>0</v>
      </c>
      <c r="AN298" s="41">
        <f t="shared" si="56"/>
        <v>-1</v>
      </c>
      <c r="AO298" s="41">
        <f t="shared" si="57"/>
        <v>-1</v>
      </c>
      <c r="AP298" s="41">
        <f t="shared" si="58"/>
        <v>-1</v>
      </c>
      <c r="AQ298" s="41">
        <f t="shared" si="59"/>
        <v>0</v>
      </c>
      <c r="AR298" s="41">
        <f t="shared" si="60"/>
        <v>0</v>
      </c>
      <c r="AS298" s="41">
        <f t="shared" si="61"/>
        <v>0</v>
      </c>
      <c r="AT298" s="41">
        <f t="shared" si="62"/>
        <v>0</v>
      </c>
      <c r="AU298" s="41">
        <f t="shared" si="63"/>
        <v>0</v>
      </c>
      <c r="AV298" s="41">
        <f t="shared" si="64"/>
        <v>0</v>
      </c>
      <c r="AW298" s="41">
        <f t="shared" si="64"/>
        <v>-1</v>
      </c>
      <c r="AX298" s="41">
        <f t="shared" si="64"/>
        <v>-1</v>
      </c>
    </row>
    <row r="299" spans="1:50" ht="11.25" x14ac:dyDescent="0.2">
      <c r="A299" s="34">
        <v>935</v>
      </c>
      <c r="B299" s="88" t="s">
        <v>613</v>
      </c>
      <c r="C299" s="65">
        <v>8181</v>
      </c>
      <c r="D299" s="65">
        <v>9251</v>
      </c>
      <c r="E299" s="65">
        <v>10113</v>
      </c>
      <c r="F299" s="65">
        <v>9418</v>
      </c>
      <c r="G299" s="41">
        <v>9131</v>
      </c>
      <c r="H299" s="41">
        <v>9945</v>
      </c>
      <c r="I299" s="41">
        <v>8392.8033400000004</v>
      </c>
      <c r="J299" s="41">
        <f>I299+'Tilikauden tulos'!J299+'9. Tulorahkorjauserät'!J299</f>
        <v>5133.260030215456</v>
      </c>
      <c r="K299" s="41">
        <f>J299+'Tilikauden tulos'!K299+'9. Tulorahkorjauserät'!K299</f>
        <v>3398.3016885100551</v>
      </c>
      <c r="L299" s="41">
        <f>K299+'Tilikauden tulos'!L299+'9. Tulorahkorjauserät'!L299</f>
        <v>1832.0798894105621</v>
      </c>
      <c r="M299" s="41">
        <f>L299+'Tilikauden tulos'!M299+'9. Tulorahkorjauserät'!M299</f>
        <v>-600.9454141698186</v>
      </c>
      <c r="N299" s="41">
        <f>M299+'Tilikauden tulos'!N299+'9. Tulorahkorjauserät'!N299</f>
        <v>-3283.8409712232824</v>
      </c>
      <c r="O299" s="41">
        <f>N299+'Tilikauden tulos'!O299+'9. Tulorahkorjauserät'!O299</f>
        <v>-6234.1031231048037</v>
      </c>
      <c r="P299" s="41">
        <f>O299+'Tilikauden tulos'!P299+'9. Tulorahkorjauserät'!P299</f>
        <v>-9121.8533573733675</v>
      </c>
      <c r="T299" s="34">
        <v>935</v>
      </c>
      <c r="U299" s="88" t="s">
        <v>613</v>
      </c>
      <c r="V299" s="41">
        <f>C299/'1. Väestöennuste'!E299*1000</f>
        <v>2444.2784583208845</v>
      </c>
      <c r="W299" s="41">
        <f>D299/'1. Väestöennuste'!F299*1000</f>
        <v>2831.6498316498319</v>
      </c>
      <c r="X299" s="41">
        <f>E299/'1. Väestöennuste'!G299*1000</f>
        <v>3153.4144059869036</v>
      </c>
      <c r="Y299" s="41">
        <f>F299/'1. Väestöennuste'!H299*1000</f>
        <v>2989.8412698412699</v>
      </c>
      <c r="Z299" s="41">
        <f>G299/'1. Väestöennuste'!I299*1000</f>
        <v>2936.9572209713733</v>
      </c>
      <c r="AA299" s="41">
        <f>H299/'1. Väestöennuste'!J299*1000</f>
        <v>3221.5743440233236</v>
      </c>
      <c r="AB299" s="41">
        <f>I299/'1. Väestöennuste'!K299*1000</f>
        <v>2760.7905723684212</v>
      </c>
      <c r="AC299" s="41">
        <f>J299/'1. Väestöennuste'!L299*1000</f>
        <v>1719.685102249734</v>
      </c>
      <c r="AD299" s="41">
        <f>K299/'1. Väestöennuste'!M299*1000</f>
        <v>1161.0186841510265</v>
      </c>
      <c r="AE299" s="41">
        <f>L299/'1. Väestöennuste'!N299*1000</f>
        <v>629.14831367120951</v>
      </c>
      <c r="AF299" s="41">
        <f>M299/'1. Väestöennuste'!O299*1000</f>
        <v>-208.95181299367823</v>
      </c>
      <c r="AG299" s="41">
        <f>N299/'1. Väestöennuste'!P299*1000</f>
        <v>-1155.4683220349341</v>
      </c>
      <c r="AH299" s="41">
        <f>O299/'1. Väestöennuste'!Q299*1000</f>
        <v>-2219.3318344979721</v>
      </c>
      <c r="AI299" s="41">
        <f>P299/'1. Väestöennuste'!R299*1000</f>
        <v>-3285.9702296013575</v>
      </c>
      <c r="AK299" s="41">
        <f t="shared" si="53"/>
        <v>0</v>
      </c>
      <c r="AL299" s="41">
        <f t="shared" si="54"/>
        <v>0</v>
      </c>
      <c r="AM299" s="41">
        <f t="shared" si="55"/>
        <v>0</v>
      </c>
      <c r="AN299" s="41">
        <f t="shared" si="56"/>
        <v>0</v>
      </c>
      <c r="AO299" s="41">
        <f t="shared" si="57"/>
        <v>0</v>
      </c>
      <c r="AP299" s="41">
        <f t="shared" si="58"/>
        <v>0</v>
      </c>
      <c r="AQ299" s="41">
        <f t="shared" si="59"/>
        <v>0</v>
      </c>
      <c r="AR299" s="41">
        <f t="shared" si="60"/>
        <v>0</v>
      </c>
      <c r="AS299" s="41">
        <f t="shared" si="61"/>
        <v>0</v>
      </c>
      <c r="AT299" s="41">
        <f t="shared" si="62"/>
        <v>0</v>
      </c>
      <c r="AU299" s="41">
        <f t="shared" si="63"/>
        <v>-1</v>
      </c>
      <c r="AV299" s="41">
        <f t="shared" si="64"/>
        <v>-1</v>
      </c>
      <c r="AW299" s="41">
        <f t="shared" si="64"/>
        <v>-1</v>
      </c>
      <c r="AX299" s="41">
        <f t="shared" si="64"/>
        <v>-1</v>
      </c>
    </row>
    <row r="300" spans="1:50" ht="11.25" x14ac:dyDescent="0.2">
      <c r="A300" s="34">
        <v>936</v>
      </c>
      <c r="B300" s="88" t="s">
        <v>614</v>
      </c>
      <c r="C300" s="65">
        <v>14267</v>
      </c>
      <c r="D300" s="65">
        <v>16598</v>
      </c>
      <c r="E300" s="65">
        <v>17060</v>
      </c>
      <c r="F300" s="65">
        <v>16618</v>
      </c>
      <c r="G300" s="41">
        <v>15406</v>
      </c>
      <c r="H300" s="41">
        <v>16572</v>
      </c>
      <c r="I300" s="41">
        <v>18615.251789999998</v>
      </c>
      <c r="J300" s="41">
        <f>I300+'Tilikauden tulos'!J300+'9. Tulorahkorjauserät'!J300</f>
        <v>21347.703729553334</v>
      </c>
      <c r="K300" s="41">
        <f>J300+'Tilikauden tulos'!K300+'9. Tulorahkorjauserät'!K300</f>
        <v>23338.100951795961</v>
      </c>
      <c r="L300" s="41">
        <f>K300+'Tilikauden tulos'!L300+'9. Tulorahkorjauserät'!L300</f>
        <v>23241.960706649497</v>
      </c>
      <c r="M300" s="41">
        <f>L300+'Tilikauden tulos'!M300+'9. Tulorahkorjauserät'!M300</f>
        <v>24208.437642516139</v>
      </c>
      <c r="N300" s="41">
        <f>M300+'Tilikauden tulos'!N300+'9. Tulorahkorjauserät'!N300</f>
        <v>24900.399467048526</v>
      </c>
      <c r="O300" s="41">
        <f>N300+'Tilikauden tulos'!O300+'9. Tulorahkorjauserät'!O300</f>
        <v>25235.246241671382</v>
      </c>
      <c r="P300" s="41">
        <f>O300+'Tilikauden tulos'!P300+'9. Tulorahkorjauserät'!P300</f>
        <v>26391.002308148498</v>
      </c>
      <c r="T300" s="34">
        <v>936</v>
      </c>
      <c r="U300" s="88" t="s">
        <v>614</v>
      </c>
      <c r="V300" s="41">
        <f>C300/'1. Väestöennuste'!E300*1000</f>
        <v>2037.5606969437304</v>
      </c>
      <c r="W300" s="41">
        <f>D300/'1. Väestöennuste'!F300*1000</f>
        <v>2399.5952002313143</v>
      </c>
      <c r="X300" s="41">
        <f>E300/'1. Väestöennuste'!G300*1000</f>
        <v>2492.6943308007012</v>
      </c>
      <c r="Y300" s="41">
        <f>F300/'1. Väestöennuste'!H300*1000</f>
        <v>2465.9445021516544</v>
      </c>
      <c r="Z300" s="41">
        <f>G300/'1. Väestöennuste'!I300*1000</f>
        <v>2354.2176039119809</v>
      </c>
      <c r="AA300" s="41">
        <f>H300/'1. Väestöennuste'!J300*1000</f>
        <v>2545.6221198156682</v>
      </c>
      <c r="AB300" s="41">
        <f>I300/'1. Väestöennuste'!K300*1000</f>
        <v>2879.3892946635729</v>
      </c>
      <c r="AC300" s="41">
        <f>J300/'1. Väestöennuste'!L300*1000</f>
        <v>3338.18666607558</v>
      </c>
      <c r="AD300" s="41">
        <f>K300/'1. Väestöennuste'!M300*1000</f>
        <v>3719.2192751866078</v>
      </c>
      <c r="AE300" s="41">
        <f>L300/'1. Väestöennuste'!N300*1000</f>
        <v>3790.8923025035879</v>
      </c>
      <c r="AF300" s="41">
        <f>M300/'1. Väestöennuste'!O300*1000</f>
        <v>4002.7178641726423</v>
      </c>
      <c r="AG300" s="41">
        <f>N300/'1. Väestöennuste'!P300*1000</f>
        <v>4172.3189455510264</v>
      </c>
      <c r="AH300" s="41">
        <f>O300/'1. Väestöennuste'!Q300*1000</f>
        <v>4281.5144624484874</v>
      </c>
      <c r="AI300" s="41">
        <f>P300/'1. Väestöennuste'!R300*1000</f>
        <v>4533.7574829322284</v>
      </c>
      <c r="AK300" s="41">
        <f t="shared" si="53"/>
        <v>0</v>
      </c>
      <c r="AL300" s="41">
        <f t="shared" si="54"/>
        <v>0</v>
      </c>
      <c r="AM300" s="41">
        <f t="shared" si="55"/>
        <v>0</v>
      </c>
      <c r="AN300" s="41">
        <f t="shared" si="56"/>
        <v>0</v>
      </c>
      <c r="AO300" s="41">
        <f t="shared" si="57"/>
        <v>0</v>
      </c>
      <c r="AP300" s="41">
        <f t="shared" si="58"/>
        <v>0</v>
      </c>
      <c r="AQ300" s="41">
        <f t="shared" si="59"/>
        <v>0</v>
      </c>
      <c r="AR300" s="41">
        <f t="shared" si="60"/>
        <v>0</v>
      </c>
      <c r="AS300" s="41">
        <f t="shared" si="61"/>
        <v>0</v>
      </c>
      <c r="AT300" s="41">
        <f t="shared" si="62"/>
        <v>0</v>
      </c>
      <c r="AU300" s="41">
        <f t="shared" si="63"/>
        <v>0</v>
      </c>
      <c r="AV300" s="41">
        <f t="shared" si="64"/>
        <v>0</v>
      </c>
      <c r="AW300" s="41">
        <f t="shared" si="64"/>
        <v>0</v>
      </c>
      <c r="AX300" s="41">
        <f t="shared" si="64"/>
        <v>0</v>
      </c>
    </row>
    <row r="301" spans="1:50" ht="11.25" x14ac:dyDescent="0.2">
      <c r="A301" s="34">
        <v>946</v>
      </c>
      <c r="B301" s="88" t="s">
        <v>615</v>
      </c>
      <c r="C301" s="65">
        <v>5608</v>
      </c>
      <c r="D301" s="65">
        <v>5700</v>
      </c>
      <c r="E301" s="65">
        <v>7636</v>
      </c>
      <c r="F301" s="65">
        <v>5746</v>
      </c>
      <c r="G301" s="41">
        <v>2604</v>
      </c>
      <c r="H301" s="41">
        <v>3892</v>
      </c>
      <c r="I301" s="41">
        <v>1680.7427299999999</v>
      </c>
      <c r="J301" s="41">
        <f>I301+'Tilikauden tulos'!J301+'9. Tulorahkorjauserät'!J301</f>
        <v>1954.3653949200295</v>
      </c>
      <c r="K301" s="41">
        <f>J301+'Tilikauden tulos'!K301+'9. Tulorahkorjauserät'!K301</f>
        <v>2923.6262111162841</v>
      </c>
      <c r="L301" s="41">
        <f>K301+'Tilikauden tulos'!L301+'9. Tulorahkorjauserät'!L301</f>
        <v>3139.003332334908</v>
      </c>
      <c r="M301" s="41">
        <f>L301+'Tilikauden tulos'!M301+'9. Tulorahkorjauserät'!M301</f>
        <v>3440.4513484456575</v>
      </c>
      <c r="N301" s="41">
        <f>M301+'Tilikauden tulos'!N301+'9. Tulorahkorjauserät'!N301</f>
        <v>4064.1440346755371</v>
      </c>
      <c r="O301" s="41">
        <f>N301+'Tilikauden tulos'!O301+'9. Tulorahkorjauserät'!O301</f>
        <v>4764.8015882227137</v>
      </c>
      <c r="P301" s="41">
        <f>O301+'Tilikauden tulos'!P301+'9. Tulorahkorjauserät'!P301</f>
        <v>6035.4111153624972</v>
      </c>
      <c r="T301" s="34">
        <v>946</v>
      </c>
      <c r="U301" s="88" t="s">
        <v>615</v>
      </c>
      <c r="V301" s="41">
        <f>C301/'1. Väestöennuste'!E301*1000</f>
        <v>835.26958593982727</v>
      </c>
      <c r="W301" s="41">
        <f>D301/'1. Väestöennuste'!F301*1000</f>
        <v>852.78276481149021</v>
      </c>
      <c r="X301" s="41">
        <f>E301/'1. Väestöennuste'!G301*1000</f>
        <v>1154.1717049576782</v>
      </c>
      <c r="Y301" s="41">
        <f>F301/'1. Väestöennuste'!H301*1000</f>
        <v>868.89460154241647</v>
      </c>
      <c r="Z301" s="41">
        <f>G301/'1. Väestöennuste'!I301*1000</f>
        <v>403.03358613217767</v>
      </c>
      <c r="AA301" s="41">
        <f>H301/'1. Väestöennuste'!J301*1000</f>
        <v>609.26737633061987</v>
      </c>
      <c r="AB301" s="41">
        <f>I301/'1. Väestöennuste'!K301*1000</f>
        <v>263.60456869510665</v>
      </c>
      <c r="AC301" s="41">
        <f>J301/'1. Väestöennuste'!L301*1000</f>
        <v>310.85818274535228</v>
      </c>
      <c r="AD301" s="41">
        <f>K301/'1. Väestöennuste'!M301*1000</f>
        <v>464.73155477925354</v>
      </c>
      <c r="AE301" s="41">
        <f>L301/'1. Väestöennuste'!N301*1000</f>
        <v>509.33041251580522</v>
      </c>
      <c r="AF301" s="41">
        <f>M301/'1. Väestöennuste'!O301*1000</f>
        <v>563.26970341284505</v>
      </c>
      <c r="AG301" s="41">
        <f>N301/'1. Väestöennuste'!P301*1000</f>
        <v>671.20463000421751</v>
      </c>
      <c r="AH301" s="41">
        <f>O301/'1. Väestöennuste'!Q301*1000</f>
        <v>794.26597569973558</v>
      </c>
      <c r="AI301" s="41">
        <f>P301/'1. Väestöennuste'!R301*1000</f>
        <v>1015.8914518368116</v>
      </c>
      <c r="AK301" s="41">
        <f t="shared" si="53"/>
        <v>0</v>
      </c>
      <c r="AL301" s="41">
        <f t="shared" si="54"/>
        <v>0</v>
      </c>
      <c r="AM301" s="41">
        <f t="shared" si="55"/>
        <v>0</v>
      </c>
      <c r="AN301" s="41">
        <f t="shared" si="56"/>
        <v>0</v>
      </c>
      <c r="AO301" s="41">
        <f t="shared" si="57"/>
        <v>0</v>
      </c>
      <c r="AP301" s="41">
        <f t="shared" si="58"/>
        <v>0</v>
      </c>
      <c r="AQ301" s="41">
        <f t="shared" si="59"/>
        <v>0</v>
      </c>
      <c r="AR301" s="41">
        <f t="shared" si="60"/>
        <v>0</v>
      </c>
      <c r="AS301" s="41">
        <f t="shared" si="61"/>
        <v>0</v>
      </c>
      <c r="AT301" s="41">
        <f t="shared" si="62"/>
        <v>0</v>
      </c>
      <c r="AU301" s="41">
        <f t="shared" si="63"/>
        <v>0</v>
      </c>
      <c r="AV301" s="41">
        <f t="shared" si="64"/>
        <v>0</v>
      </c>
      <c r="AW301" s="41">
        <f t="shared" si="64"/>
        <v>0</v>
      </c>
      <c r="AX301" s="41">
        <f t="shared" si="64"/>
        <v>0</v>
      </c>
    </row>
    <row r="302" spans="1:50" ht="11.25" x14ac:dyDescent="0.2">
      <c r="A302" s="34">
        <v>976</v>
      </c>
      <c r="B302" s="88" t="s">
        <v>616</v>
      </c>
      <c r="C302" s="65">
        <v>6791</v>
      </c>
      <c r="D302" s="65">
        <v>7441</v>
      </c>
      <c r="E302" s="65">
        <v>7968</v>
      </c>
      <c r="F302" s="65">
        <v>7470</v>
      </c>
      <c r="G302" s="41">
        <v>7905</v>
      </c>
      <c r="H302" s="41">
        <v>9246</v>
      </c>
      <c r="I302" s="41">
        <v>10122.092980000001</v>
      </c>
      <c r="J302" s="41">
        <f>I302+'Tilikauden tulos'!J302+'9. Tulorahkorjauserät'!J302</f>
        <v>7877.0396607214398</v>
      </c>
      <c r="K302" s="41">
        <f>J302+'Tilikauden tulos'!K302+'9. Tulorahkorjauserät'!K302</f>
        <v>9473.8417845216609</v>
      </c>
      <c r="L302" s="41">
        <f>K302+'Tilikauden tulos'!L302+'9. Tulorahkorjauserät'!L302</f>
        <v>8971.1047913675357</v>
      </c>
      <c r="M302" s="41">
        <f>L302+'Tilikauden tulos'!M302+'9. Tulorahkorjauserät'!M302</f>
        <v>8313.0035250202527</v>
      </c>
      <c r="N302" s="41">
        <f>M302+'Tilikauden tulos'!N302+'9. Tulorahkorjauserät'!N302</f>
        <v>7491.4083357068248</v>
      </c>
      <c r="O302" s="41">
        <f>N302+'Tilikauden tulos'!O302+'9. Tulorahkorjauserät'!O302</f>
        <v>6366.9024692470994</v>
      </c>
      <c r="P302" s="41">
        <f>O302+'Tilikauden tulos'!P302+'9. Tulorahkorjauserät'!P302</f>
        <v>5642.8067863684882</v>
      </c>
      <c r="T302" s="34">
        <v>976</v>
      </c>
      <c r="U302" s="88" t="s">
        <v>616</v>
      </c>
      <c r="V302" s="41">
        <f>C302/'1. Väestöennuste'!E302*1000</f>
        <v>1582.6147751106967</v>
      </c>
      <c r="W302" s="41">
        <f>D302/'1. Väestöennuste'!F302*1000</f>
        <v>1771.6666666666667</v>
      </c>
      <c r="X302" s="41">
        <f>E302/'1. Väestöennuste'!G302*1000</f>
        <v>1934.919864011656</v>
      </c>
      <c r="Y302" s="41">
        <f>F302/'1. Väestöennuste'!H302*1000</f>
        <v>1857.2849328692193</v>
      </c>
      <c r="Z302" s="41">
        <f>G302/'1. Väestöennuste'!I302*1000</f>
        <v>2017.6110260336909</v>
      </c>
      <c r="AA302" s="41">
        <f>H302/'1. Väestöennuste'!J302*1000</f>
        <v>2376.8637532133675</v>
      </c>
      <c r="AB302" s="41">
        <f>I302/'1. Väestöennuste'!K302*1000</f>
        <v>2642.8441201044388</v>
      </c>
      <c r="AC302" s="41">
        <f>J302/'1. Väestöennuste'!L302*1000</f>
        <v>2079.4719273287856</v>
      </c>
      <c r="AD302" s="41">
        <f>K302/'1. Väestöennuste'!M302*1000</f>
        <v>2516.2926386511713</v>
      </c>
      <c r="AE302" s="41">
        <f>L302/'1. Väestöennuste'!N302*1000</f>
        <v>2495.4394412705242</v>
      </c>
      <c r="AF302" s="41">
        <f>M302/'1. Väestöennuste'!O302*1000</f>
        <v>2349.6335571001282</v>
      </c>
      <c r="AG302" s="41">
        <f>N302/'1. Väestöennuste'!P302*1000</f>
        <v>2151.46706941609</v>
      </c>
      <c r="AH302" s="41">
        <f>O302/'1. Väestöennuste'!Q302*1000</f>
        <v>1856.2397869525071</v>
      </c>
      <c r="AI302" s="41">
        <f>P302/'1. Väestöennuste'!R302*1000</f>
        <v>1670.4579000498779</v>
      </c>
      <c r="AK302" s="41">
        <f t="shared" si="53"/>
        <v>0</v>
      </c>
      <c r="AL302" s="41">
        <f t="shared" si="54"/>
        <v>0</v>
      </c>
      <c r="AM302" s="41">
        <f t="shared" si="55"/>
        <v>0</v>
      </c>
      <c r="AN302" s="41">
        <f t="shared" si="56"/>
        <v>0</v>
      </c>
      <c r="AO302" s="41">
        <f t="shared" si="57"/>
        <v>0</v>
      </c>
      <c r="AP302" s="41">
        <f t="shared" si="58"/>
        <v>0</v>
      </c>
      <c r="AQ302" s="41">
        <f t="shared" si="59"/>
        <v>0</v>
      </c>
      <c r="AR302" s="41">
        <f t="shared" si="60"/>
        <v>0</v>
      </c>
      <c r="AS302" s="41">
        <f t="shared" si="61"/>
        <v>0</v>
      </c>
      <c r="AT302" s="41">
        <f t="shared" si="62"/>
        <v>0</v>
      </c>
      <c r="AU302" s="41">
        <f t="shared" si="63"/>
        <v>0</v>
      </c>
      <c r="AV302" s="41">
        <f t="shared" si="64"/>
        <v>0</v>
      </c>
      <c r="AW302" s="41">
        <f t="shared" si="64"/>
        <v>0</v>
      </c>
      <c r="AX302" s="41">
        <f t="shared" si="64"/>
        <v>0</v>
      </c>
    </row>
    <row r="303" spans="1:50" ht="11.25" x14ac:dyDescent="0.2">
      <c r="A303" s="34">
        <v>977</v>
      </c>
      <c r="B303" s="88" t="s">
        <v>617</v>
      </c>
      <c r="C303" s="65">
        <v>-6194</v>
      </c>
      <c r="D303" s="65">
        <v>-2008</v>
      </c>
      <c r="E303" s="65">
        <v>1092</v>
      </c>
      <c r="F303" s="65">
        <v>-6186</v>
      </c>
      <c r="G303" s="41">
        <v>-10862</v>
      </c>
      <c r="H303" s="41">
        <v>-5139</v>
      </c>
      <c r="I303" s="41">
        <v>-985.43151000000023</v>
      </c>
      <c r="J303" s="41">
        <f>I303+'Tilikauden tulos'!J303+'9. Tulorahkorjauserät'!J303</f>
        <v>808.75755705317454</v>
      </c>
      <c r="K303" s="41">
        <f>J303+'Tilikauden tulos'!K303+'9. Tulorahkorjauserät'!K303</f>
        <v>2614.9404255048407</v>
      </c>
      <c r="L303" s="41">
        <f>K303+'Tilikauden tulos'!L303+'9. Tulorahkorjauserät'!L303</f>
        <v>2624.4651593215526</v>
      </c>
      <c r="M303" s="41">
        <f>L303+'Tilikauden tulos'!M303+'9. Tulorahkorjauserät'!M303</f>
        <v>-365.25278167252191</v>
      </c>
      <c r="N303" s="41">
        <f>M303+'Tilikauden tulos'!N303+'9. Tulorahkorjauserät'!N303</f>
        <v>-2297.576223558423</v>
      </c>
      <c r="O303" s="41">
        <f>N303+'Tilikauden tulos'!O303+'9. Tulorahkorjauserät'!O303</f>
        <v>-3520.1642358050517</v>
      </c>
      <c r="P303" s="41">
        <f>O303+'Tilikauden tulos'!P303+'9. Tulorahkorjauserät'!P303</f>
        <v>-3734.0383823286315</v>
      </c>
      <c r="T303" s="34">
        <v>977</v>
      </c>
      <c r="U303" s="88" t="s">
        <v>617</v>
      </c>
      <c r="V303" s="41">
        <f>C303/'1. Väestöennuste'!E303*1000</f>
        <v>-411.86249085710483</v>
      </c>
      <c r="W303" s="41">
        <f>D303/'1. Väestöennuste'!F303*1000</f>
        <v>-132.11395486545169</v>
      </c>
      <c r="X303" s="41">
        <f>E303/'1. Väestöennuste'!G303*1000</f>
        <v>71.601862172972261</v>
      </c>
      <c r="Y303" s="41">
        <f>F303/'1. Väestöennuste'!H303*1000</f>
        <v>-406.65264265053906</v>
      </c>
      <c r="Z303" s="41">
        <f>G303/'1. Väestöennuste'!I303*1000</f>
        <v>-712.02884300229425</v>
      </c>
      <c r="AA303" s="41">
        <f>H303/'1. Väestöennuste'!J303*1000</f>
        <v>-335.79456351280714</v>
      </c>
      <c r="AB303" s="41">
        <f>I303/'1. Väestöennuste'!K303*1000</f>
        <v>-64.168230123070927</v>
      </c>
      <c r="AC303" s="41">
        <f>J303/'1. Väestöennuste'!L303*1000</f>
        <v>52.884166419484373</v>
      </c>
      <c r="AD303" s="41">
        <f>K303/'1. Väestöennuste'!M303*1000</f>
        <v>170.14382363880804</v>
      </c>
      <c r="AE303" s="41">
        <f>L303/'1. Väestöennuste'!N303*1000</f>
        <v>169.69256170448418</v>
      </c>
      <c r="AF303" s="41">
        <f>M303/'1. Väestöennuste'!O303*1000</f>
        <v>-23.585999074810921</v>
      </c>
      <c r="AG303" s="41">
        <f>N303/'1. Väestöennuste'!P303*1000</f>
        <v>-148.24985311384842</v>
      </c>
      <c r="AH303" s="41">
        <f>O303/'1. Väestöennuste'!Q303*1000</f>
        <v>-227.12202308568627</v>
      </c>
      <c r="AI303" s="41">
        <f>P303/'1. Väestöennuste'!R303*1000</f>
        <v>-241.06122545698071</v>
      </c>
      <c r="AK303" s="41">
        <f t="shared" si="53"/>
        <v>-1</v>
      </c>
      <c r="AL303" s="41">
        <f t="shared" si="54"/>
        <v>-1</v>
      </c>
      <c r="AM303" s="41">
        <f t="shared" si="55"/>
        <v>0</v>
      </c>
      <c r="AN303" s="41">
        <f t="shared" si="56"/>
        <v>-1</v>
      </c>
      <c r="AO303" s="41">
        <f t="shared" si="57"/>
        <v>-1</v>
      </c>
      <c r="AP303" s="41">
        <f t="shared" si="58"/>
        <v>-1</v>
      </c>
      <c r="AQ303" s="41">
        <f t="shared" si="59"/>
        <v>-1</v>
      </c>
      <c r="AR303" s="41">
        <f t="shared" si="60"/>
        <v>0</v>
      </c>
      <c r="AS303" s="41">
        <f t="shared" si="61"/>
        <v>0</v>
      </c>
      <c r="AT303" s="41">
        <f t="shared" si="62"/>
        <v>0</v>
      </c>
      <c r="AU303" s="41">
        <f t="shared" si="63"/>
        <v>-1</v>
      </c>
      <c r="AV303" s="41">
        <f t="shared" si="64"/>
        <v>-1</v>
      </c>
      <c r="AW303" s="41">
        <f t="shared" si="64"/>
        <v>-1</v>
      </c>
      <c r="AX303" s="41">
        <f t="shared" si="64"/>
        <v>-1</v>
      </c>
    </row>
    <row r="304" spans="1:50" ht="11.25" x14ac:dyDescent="0.2">
      <c r="A304" s="34">
        <v>980</v>
      </c>
      <c r="B304" s="88" t="s">
        <v>618</v>
      </c>
      <c r="C304" s="65">
        <v>32481</v>
      </c>
      <c r="D304" s="65">
        <v>38824</v>
      </c>
      <c r="E304" s="65">
        <v>48803</v>
      </c>
      <c r="F304" s="65">
        <v>51268</v>
      </c>
      <c r="G304" s="41">
        <v>45690</v>
      </c>
      <c r="H304" s="41">
        <v>49120</v>
      </c>
      <c r="I304" s="41">
        <v>51925.722990000002</v>
      </c>
      <c r="J304" s="41">
        <f>I304+'Tilikauden tulos'!J304+'9. Tulorahkorjauserät'!J304</f>
        <v>45795.458621688653</v>
      </c>
      <c r="K304" s="41">
        <f>J304+'Tilikauden tulos'!K304+'9. Tulorahkorjauserät'!K304</f>
        <v>44587.42679600096</v>
      </c>
      <c r="L304" s="41">
        <f>K304+'Tilikauden tulos'!L304+'9. Tulorahkorjauserät'!L304</f>
        <v>41353.373067494751</v>
      </c>
      <c r="M304" s="41">
        <f>L304+'Tilikauden tulos'!M304+'9. Tulorahkorjauserät'!M304</f>
        <v>36728.506889742122</v>
      </c>
      <c r="N304" s="41">
        <f>M304+'Tilikauden tulos'!N304+'9. Tulorahkorjauserät'!N304</f>
        <v>32535.644838028078</v>
      </c>
      <c r="O304" s="41">
        <f>N304+'Tilikauden tulos'!O304+'9. Tulorahkorjauserät'!O304</f>
        <v>27964.0228037212</v>
      </c>
      <c r="P304" s="41">
        <f>O304+'Tilikauden tulos'!P304+'9. Tulorahkorjauserät'!P304</f>
        <v>24936.436377492577</v>
      </c>
      <c r="T304" s="34">
        <v>980</v>
      </c>
      <c r="U304" s="88" t="s">
        <v>618</v>
      </c>
      <c r="V304" s="41">
        <f>C304/'1. Väestöennuste'!E304*1000</f>
        <v>992.14979534485917</v>
      </c>
      <c r="W304" s="41">
        <f>D304/'1. Väestöennuste'!F304*1000</f>
        <v>1183.694624836123</v>
      </c>
      <c r="X304" s="41">
        <f>E304/'1. Väestöennuste'!G304*1000</f>
        <v>1484.3664456475453</v>
      </c>
      <c r="Y304" s="41">
        <f>F304/'1. Väestöennuste'!H304*1000</f>
        <v>1554.3764969832946</v>
      </c>
      <c r="Z304" s="41">
        <f>G304/'1. Väestöennuste'!I304*1000</f>
        <v>1373.9700487159439</v>
      </c>
      <c r="AA304" s="41">
        <f>H304/'1. Väestöennuste'!J304*1000</f>
        <v>1472.7752458623172</v>
      </c>
      <c r="AB304" s="41">
        <f>I304/'1. Väestöennuste'!K304*1000</f>
        <v>1548.496197477112</v>
      </c>
      <c r="AC304" s="41">
        <f>J304/'1. Väestöennuste'!L304*1000</f>
        <v>1362.6761871541241</v>
      </c>
      <c r="AD304" s="41">
        <f>K304/'1. Väestöennuste'!M304*1000</f>
        <v>1323.9726459007916</v>
      </c>
      <c r="AE304" s="41">
        <f>L304/'1. Väestöennuste'!N304*1000</f>
        <v>1220.3314860416901</v>
      </c>
      <c r="AF304" s="41">
        <f>M304/'1. Väestöennuste'!O304*1000</f>
        <v>1080.1866622475773</v>
      </c>
      <c r="AG304" s="41">
        <f>N304/'1. Väestöennuste'!P304*1000</f>
        <v>953.90069303471557</v>
      </c>
      <c r="AH304" s="41">
        <f>O304/'1. Väestöennuste'!Q304*1000</f>
        <v>817.56586375047357</v>
      </c>
      <c r="AI304" s="41">
        <f>P304/'1. Väestöennuste'!R304*1000</f>
        <v>727.30666678797695</v>
      </c>
      <c r="AK304" s="41">
        <f t="shared" si="53"/>
        <v>0</v>
      </c>
      <c r="AL304" s="41">
        <f t="shared" si="54"/>
        <v>0</v>
      </c>
      <c r="AM304" s="41">
        <f t="shared" si="55"/>
        <v>0</v>
      </c>
      <c r="AN304" s="41">
        <f t="shared" si="56"/>
        <v>0</v>
      </c>
      <c r="AO304" s="41">
        <f t="shared" si="57"/>
        <v>0</v>
      </c>
      <c r="AP304" s="41">
        <f t="shared" si="58"/>
        <v>0</v>
      </c>
      <c r="AQ304" s="41">
        <f t="shared" si="59"/>
        <v>0</v>
      </c>
      <c r="AR304" s="41">
        <f t="shared" si="60"/>
        <v>0</v>
      </c>
      <c r="AS304" s="41">
        <f t="shared" si="61"/>
        <v>0</v>
      </c>
      <c r="AT304" s="41">
        <f t="shared" si="62"/>
        <v>0</v>
      </c>
      <c r="AU304" s="41">
        <f t="shared" si="63"/>
        <v>0</v>
      </c>
      <c r="AV304" s="41">
        <f t="shared" si="64"/>
        <v>0</v>
      </c>
      <c r="AW304" s="41">
        <f t="shared" si="64"/>
        <v>0</v>
      </c>
      <c r="AX304" s="41">
        <f t="shared" si="64"/>
        <v>0</v>
      </c>
    </row>
    <row r="305" spans="1:50" ht="11.25" x14ac:dyDescent="0.2">
      <c r="A305" s="34">
        <v>981</v>
      </c>
      <c r="B305" s="88" t="s">
        <v>619</v>
      </c>
      <c r="C305" s="65">
        <v>1813</v>
      </c>
      <c r="D305" s="65">
        <v>1685</v>
      </c>
      <c r="E305" s="65">
        <v>1899</v>
      </c>
      <c r="F305" s="65">
        <v>933</v>
      </c>
      <c r="G305" s="41">
        <v>493</v>
      </c>
      <c r="H305" s="41">
        <v>1844</v>
      </c>
      <c r="I305" s="41">
        <v>2597.4798500000002</v>
      </c>
      <c r="J305" s="41">
        <f>I305+'Tilikauden tulos'!J305+'9. Tulorahkorjauserät'!J305</f>
        <v>3741.4021233573562</v>
      </c>
      <c r="K305" s="41">
        <f>J305+'Tilikauden tulos'!K305+'9. Tulorahkorjauserät'!K305</f>
        <v>4732.9623034080651</v>
      </c>
      <c r="L305" s="41">
        <f>K305+'Tilikauden tulos'!L305+'9. Tulorahkorjauserät'!L305</f>
        <v>4925.3267312899588</v>
      </c>
      <c r="M305" s="41">
        <f>L305+'Tilikauden tulos'!M305+'9. Tulorahkorjauserät'!M305</f>
        <v>5141.4290228496839</v>
      </c>
      <c r="N305" s="41">
        <f>M305+'Tilikauden tulos'!N305+'9. Tulorahkorjauserät'!N305</f>
        <v>4979.9863673796026</v>
      </c>
      <c r="O305" s="41">
        <f>N305+'Tilikauden tulos'!O305+'9. Tulorahkorjauserät'!O305</f>
        <v>4805.9061571023758</v>
      </c>
      <c r="P305" s="41">
        <f>O305+'Tilikauden tulos'!P305+'9. Tulorahkorjauserät'!P305</f>
        <v>4781.1506957145984</v>
      </c>
      <c r="T305" s="34">
        <v>981</v>
      </c>
      <c r="U305" s="88" t="s">
        <v>619</v>
      </c>
      <c r="V305" s="41">
        <f>C305/'1. Väestöennuste'!E305*1000</f>
        <v>751.9701368726669</v>
      </c>
      <c r="W305" s="41">
        <f>D305/'1. Väestöennuste'!F305*1000</f>
        <v>707.38874895046183</v>
      </c>
      <c r="X305" s="41">
        <f>E305/'1. Väestöennuste'!G305*1000</f>
        <v>800.59021922428326</v>
      </c>
      <c r="Y305" s="41">
        <f>F305/'1. Väestöennuste'!H305*1000</f>
        <v>395.84217225286386</v>
      </c>
      <c r="Z305" s="41">
        <f>G305/'1. Väestöennuste'!I305*1000</f>
        <v>210.41399914639351</v>
      </c>
      <c r="AA305" s="41">
        <f>H305/'1. Väestöennuste'!J305*1000</f>
        <v>796.88850475367337</v>
      </c>
      <c r="AB305" s="41">
        <f>I305/'1. Väestöennuste'!K305*1000</f>
        <v>1138.2470858895706</v>
      </c>
      <c r="AC305" s="41">
        <f>J305/'1. Väestöennuste'!L305*1000</f>
        <v>1672.5087721758409</v>
      </c>
      <c r="AD305" s="41">
        <f>K305/'1. Väestöennuste'!M305*1000</f>
        <v>2144.523019215254</v>
      </c>
      <c r="AE305" s="41">
        <f>L305/'1. Väestöennuste'!N305*1000</f>
        <v>2195.8656849264194</v>
      </c>
      <c r="AF305" s="41">
        <f>M305/'1. Väestöennuste'!O305*1000</f>
        <v>2309.7165421606846</v>
      </c>
      <c r="AG305" s="41">
        <f>N305/'1. Väestöennuste'!P305*1000</f>
        <v>2254.407590484202</v>
      </c>
      <c r="AH305" s="41">
        <f>O305/'1. Väestöennuste'!Q305*1000</f>
        <v>2189.4788870625857</v>
      </c>
      <c r="AI305" s="41">
        <f>P305/'1. Väestöennuste'!R305*1000</f>
        <v>2193.1883925296324</v>
      </c>
      <c r="AK305" s="41">
        <f t="shared" si="53"/>
        <v>0</v>
      </c>
      <c r="AL305" s="41">
        <f t="shared" si="54"/>
        <v>0</v>
      </c>
      <c r="AM305" s="41">
        <f t="shared" si="55"/>
        <v>0</v>
      </c>
      <c r="AN305" s="41">
        <f t="shared" si="56"/>
        <v>0</v>
      </c>
      <c r="AO305" s="41">
        <f t="shared" si="57"/>
        <v>0</v>
      </c>
      <c r="AP305" s="41">
        <f t="shared" si="58"/>
        <v>0</v>
      </c>
      <c r="AQ305" s="41">
        <f t="shared" si="59"/>
        <v>0</v>
      </c>
      <c r="AR305" s="41">
        <f t="shared" si="60"/>
        <v>0</v>
      </c>
      <c r="AS305" s="41">
        <f t="shared" si="61"/>
        <v>0</v>
      </c>
      <c r="AT305" s="41">
        <f t="shared" si="62"/>
        <v>0</v>
      </c>
      <c r="AU305" s="41">
        <f t="shared" si="63"/>
        <v>0</v>
      </c>
      <c r="AV305" s="41">
        <f t="shared" si="64"/>
        <v>0</v>
      </c>
      <c r="AW305" s="41">
        <f t="shared" si="64"/>
        <v>0</v>
      </c>
      <c r="AX305" s="41">
        <f t="shared" si="64"/>
        <v>0</v>
      </c>
    </row>
    <row r="306" spans="1:50" ht="11.25" x14ac:dyDescent="0.2">
      <c r="A306" s="34">
        <v>989</v>
      </c>
      <c r="B306" s="88" t="s">
        <v>620</v>
      </c>
      <c r="C306" s="65">
        <v>-6012</v>
      </c>
      <c r="D306" s="65">
        <v>-4010</v>
      </c>
      <c r="E306" s="65">
        <v>-1112</v>
      </c>
      <c r="F306" s="65">
        <v>-110</v>
      </c>
      <c r="G306" s="41">
        <v>2535</v>
      </c>
      <c r="H306" s="41">
        <v>3077</v>
      </c>
      <c r="I306" s="41">
        <v>2590.1794799999998</v>
      </c>
      <c r="J306" s="41">
        <f>I306+'Tilikauden tulos'!J306+'9. Tulorahkorjauserät'!J306</f>
        <v>4424.5985252955461</v>
      </c>
      <c r="K306" s="41">
        <f>J306+'Tilikauden tulos'!K306+'9. Tulorahkorjauserät'!K306</f>
        <v>-3165.9733006685465</v>
      </c>
      <c r="L306" s="41">
        <f>K306+'Tilikauden tulos'!L306+'9. Tulorahkorjauserät'!L306</f>
        <v>-4000.7436834810082</v>
      </c>
      <c r="M306" s="41">
        <f>L306+'Tilikauden tulos'!M306+'9. Tulorahkorjauserät'!M306</f>
        <v>-13636.530511682671</v>
      </c>
      <c r="N306" s="41">
        <f>M306+'Tilikauden tulos'!N306+'9. Tulorahkorjauserät'!N306</f>
        <v>-23591.940446326193</v>
      </c>
      <c r="O306" s="41">
        <f>N306+'Tilikauden tulos'!O306+'9. Tulorahkorjauserät'!O306</f>
        <v>-33863.494324652303</v>
      </c>
      <c r="P306" s="41">
        <f>O306+'Tilikauden tulos'!P306+'9. Tulorahkorjauserät'!P306</f>
        <v>-43530.706946628648</v>
      </c>
      <c r="T306" s="34">
        <v>989</v>
      </c>
      <c r="U306" s="88" t="s">
        <v>620</v>
      </c>
      <c r="V306" s="41">
        <f>C306/'1. Väestöennuste'!E306*1000</f>
        <v>-990.77125906394201</v>
      </c>
      <c r="W306" s="41">
        <f>D306/'1. Väestöennuste'!F306*1000</f>
        <v>-670.00835421888053</v>
      </c>
      <c r="X306" s="41">
        <f>E306/'1. Väestöennuste'!G306*1000</f>
        <v>-188.28310193024043</v>
      </c>
      <c r="Y306" s="41">
        <f>F306/'1. Väestöennuste'!H306*1000</f>
        <v>-19.288093985621604</v>
      </c>
      <c r="Z306" s="41">
        <f>G306/'1. Väestöennuste'!I306*1000</f>
        <v>451.38888888888891</v>
      </c>
      <c r="AA306" s="41">
        <f>H306/'1. Väestöennuste'!J306*1000</f>
        <v>557.22564288301339</v>
      </c>
      <c r="AB306" s="41">
        <f>I306/'1. Väestöennuste'!K306*1000</f>
        <v>472.31573304157547</v>
      </c>
      <c r="AC306" s="41">
        <f>J306/'1. Väestöennuste'!L306*1000</f>
        <v>818.4606965030606</v>
      </c>
      <c r="AD306" s="41">
        <f>K306/'1. Väestöennuste'!M306*1000</f>
        <v>-595.55554941093806</v>
      </c>
      <c r="AE306" s="41">
        <f>L306/'1. Väestöennuste'!N306*1000</f>
        <v>-774.58735401374804</v>
      </c>
      <c r="AF306" s="41">
        <f>M306/'1. Väestöennuste'!O306*1000</f>
        <v>-2680.6625735566486</v>
      </c>
      <c r="AG306" s="41">
        <f>N306/'1. Väestöennuste'!P306*1000</f>
        <v>-4708.9701489673043</v>
      </c>
      <c r="AH306" s="41">
        <f>O306/'1. Väestöennuste'!Q306*1000</f>
        <v>-6863.2943503551478</v>
      </c>
      <c r="AI306" s="41">
        <f>P306/'1. Väestöennuste'!R306*1000</f>
        <v>-8951.4100239828585</v>
      </c>
      <c r="AK306" s="41">
        <f t="shared" si="53"/>
        <v>-1</v>
      </c>
      <c r="AL306" s="41">
        <f t="shared" si="54"/>
        <v>-1</v>
      </c>
      <c r="AM306" s="41">
        <f t="shared" si="55"/>
        <v>-1</v>
      </c>
      <c r="AN306" s="41">
        <f t="shared" si="56"/>
        <v>-1</v>
      </c>
      <c r="AO306" s="41">
        <f t="shared" si="57"/>
        <v>0</v>
      </c>
      <c r="AP306" s="41">
        <f t="shared" si="58"/>
        <v>0</v>
      </c>
      <c r="AQ306" s="41">
        <f t="shared" si="59"/>
        <v>0</v>
      </c>
      <c r="AR306" s="41">
        <f t="shared" si="60"/>
        <v>0</v>
      </c>
      <c r="AS306" s="41">
        <f t="shared" si="61"/>
        <v>-1</v>
      </c>
      <c r="AT306" s="41">
        <f t="shared" si="62"/>
        <v>-1</v>
      </c>
      <c r="AU306" s="41">
        <f t="shared" si="63"/>
        <v>-1</v>
      </c>
      <c r="AV306" s="41">
        <f t="shared" si="64"/>
        <v>-1</v>
      </c>
      <c r="AW306" s="41">
        <f t="shared" si="64"/>
        <v>-1</v>
      </c>
      <c r="AX306" s="41">
        <f t="shared" si="64"/>
        <v>-1</v>
      </c>
    </row>
    <row r="307" spans="1:50" ht="11.25" x14ac:dyDescent="0.2">
      <c r="A307" s="34">
        <v>992</v>
      </c>
      <c r="B307" s="88" t="s">
        <v>621</v>
      </c>
      <c r="C307" s="65">
        <v>-5536</v>
      </c>
      <c r="D307" s="65">
        <v>260</v>
      </c>
      <c r="E307" s="65">
        <v>7861</v>
      </c>
      <c r="F307" s="65">
        <v>8470</v>
      </c>
      <c r="G307" s="41">
        <v>7550</v>
      </c>
      <c r="H307" s="41">
        <v>10042</v>
      </c>
      <c r="I307" s="41">
        <v>11012.041150000001</v>
      </c>
      <c r="J307" s="41">
        <f>I307+'Tilikauden tulos'!J307+'9. Tulorahkorjauserät'!J307</f>
        <v>1323.8334048968661</v>
      </c>
      <c r="K307" s="41">
        <f>J307+'Tilikauden tulos'!K307+'9. Tulorahkorjauserät'!K307</f>
        <v>5973.1035224315292</v>
      </c>
      <c r="L307" s="41">
        <f>K307+'Tilikauden tulos'!L307+'9. Tulorahkorjauserät'!L307</f>
        <v>7822.1130248320624</v>
      </c>
      <c r="M307" s="41">
        <f>L307+'Tilikauden tulos'!M307+'9. Tulorahkorjauserät'!M307</f>
        <v>3832.7049809975324</v>
      </c>
      <c r="N307" s="41">
        <f>M307+'Tilikauden tulos'!N307+'9. Tulorahkorjauserät'!N307</f>
        <v>-427.53472551467712</v>
      </c>
      <c r="O307" s="41">
        <f>N307+'Tilikauden tulos'!O307+'9. Tulorahkorjauserät'!O307</f>
        <v>-4538.8822900473469</v>
      </c>
      <c r="P307" s="41">
        <f>O307+'Tilikauden tulos'!P307+'9. Tulorahkorjauserät'!P307</f>
        <v>-6418.2307798140264</v>
      </c>
      <c r="T307" s="34">
        <v>992</v>
      </c>
      <c r="U307" s="88" t="s">
        <v>621</v>
      </c>
      <c r="V307" s="41">
        <f>C307/'1. Väestöennuste'!E307*1000</f>
        <v>-281.78764125012725</v>
      </c>
      <c r="W307" s="41">
        <f>D307/'1. Väestöennuste'!F307*1000</f>
        <v>13.420047486321874</v>
      </c>
      <c r="X307" s="41">
        <f>E307/'1. Väestöennuste'!G307*1000</f>
        <v>410.62473882156291</v>
      </c>
      <c r="Y307" s="41">
        <f>F307/'1. Väestöennuste'!H307*1000</f>
        <v>449.31303379131083</v>
      </c>
      <c r="Z307" s="41">
        <f>G307/'1. Väestöennuste'!I307*1000</f>
        <v>402.34479083399947</v>
      </c>
      <c r="AA307" s="41">
        <f>H307/'1. Väestöennuste'!J307*1000</f>
        <v>540.56090865048179</v>
      </c>
      <c r="AB307" s="41">
        <f>I307/'1. Väestöennuste'!K307*1000</f>
        <v>601.15957801069987</v>
      </c>
      <c r="AC307" s="41">
        <f>J307/'1. Väestöennuste'!L307*1000</f>
        <v>73.059238680842512</v>
      </c>
      <c r="AD307" s="41">
        <f>K307/'1. Väestöennuste'!M307*1000</f>
        <v>332.37457695351009</v>
      </c>
      <c r="AE307" s="41">
        <f>L307/'1. Väestöennuste'!N307*1000</f>
        <v>440.13690213999899</v>
      </c>
      <c r="AF307" s="41">
        <f>M307/'1. Väestöennuste'!O307*1000</f>
        <v>218.03987831366095</v>
      </c>
      <c r="AG307" s="41">
        <f>N307/'1. Väestöennuste'!P307*1000</f>
        <v>-24.585090598888851</v>
      </c>
      <c r="AH307" s="41">
        <f>O307/'1. Väestöennuste'!Q307*1000</f>
        <v>-263.7811524407129</v>
      </c>
      <c r="AI307" s="41">
        <f>P307/'1. Väestöennuste'!R307*1000</f>
        <v>-376.85577945006321</v>
      </c>
      <c r="AK307" s="41">
        <f t="shared" si="53"/>
        <v>-1</v>
      </c>
      <c r="AL307" s="41">
        <f t="shared" si="54"/>
        <v>0</v>
      </c>
      <c r="AM307" s="41">
        <f t="shared" si="55"/>
        <v>0</v>
      </c>
      <c r="AN307" s="41">
        <f t="shared" si="56"/>
        <v>0</v>
      </c>
      <c r="AO307" s="41">
        <f t="shared" si="57"/>
        <v>0</v>
      </c>
      <c r="AP307" s="41">
        <f t="shared" si="58"/>
        <v>0</v>
      </c>
      <c r="AQ307" s="41">
        <f t="shared" si="59"/>
        <v>0</v>
      </c>
      <c r="AR307" s="41">
        <f t="shared" si="60"/>
        <v>0</v>
      </c>
      <c r="AS307" s="41">
        <f t="shared" si="61"/>
        <v>0</v>
      </c>
      <c r="AT307" s="41">
        <f t="shared" si="62"/>
        <v>0</v>
      </c>
      <c r="AU307" s="41">
        <f t="shared" si="63"/>
        <v>0</v>
      </c>
      <c r="AV307" s="41">
        <f t="shared" si="64"/>
        <v>-1</v>
      </c>
      <c r="AW307" s="41">
        <f t="shared" si="64"/>
        <v>-1</v>
      </c>
      <c r="AX307" s="41">
        <f t="shared" si="64"/>
        <v>-1</v>
      </c>
    </row>
  </sheetData>
  <sortState xmlns:xlrd2="http://schemas.microsoft.com/office/spreadsheetml/2017/richdata2" ref="AL15:BC308">
    <sortCondition ref="AL15"/>
  </sortState>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J307"/>
  <sheetViews>
    <sheetView workbookViewId="0">
      <pane xSplit="2" ySplit="14" topLeftCell="E15" activePane="bottomRight" state="frozen"/>
      <selection pane="topRight" activeCell="C1" sqref="C1"/>
      <selection pane="bottomLeft" activeCell="A15" sqref="A15"/>
      <selection pane="bottomRight" activeCell="K7" sqref="K7"/>
    </sheetView>
  </sheetViews>
  <sheetFormatPr defaultColWidth="9.140625" defaultRowHeight="11.25" x14ac:dyDescent="0.2"/>
  <cols>
    <col min="1" max="1" width="9.140625" style="4"/>
    <col min="2" max="2" width="20.5703125" style="4" bestFit="1" customWidth="1"/>
    <col min="3" max="13" width="22.85546875" style="4" bestFit="1" customWidth="1"/>
    <col min="14" max="14" width="20.140625" style="4" bestFit="1" customWidth="1"/>
    <col min="15" max="16" width="20.140625" style="4" customWidth="1"/>
    <col min="17" max="18" width="9.140625" style="4"/>
    <col min="19" max="19" width="9.140625" style="117"/>
    <col min="20" max="21" width="9.140625" style="4"/>
    <col min="22" max="22" width="20.5703125" style="4" bestFit="1" customWidth="1"/>
    <col min="23" max="16384" width="9.140625" style="4"/>
  </cols>
  <sheetData>
    <row r="1" spans="1:36" x14ac:dyDescent="0.2">
      <c r="A1" s="1" t="s">
        <v>813</v>
      </c>
      <c r="B1" s="1"/>
    </row>
    <row r="2" spans="1:36" x14ac:dyDescent="0.2">
      <c r="A2" s="395" t="s">
        <v>641</v>
      </c>
      <c r="B2" s="1"/>
    </row>
    <row r="3" spans="1:36" x14ac:dyDescent="0.2">
      <c r="A3" s="1"/>
      <c r="B3" s="1"/>
      <c r="I3" s="121"/>
    </row>
    <row r="4" spans="1:36" x14ac:dyDescent="0.2">
      <c r="A4" s="1"/>
      <c r="B4" s="1"/>
    </row>
    <row r="5" spans="1:36" x14ac:dyDescent="0.2">
      <c r="A5" s="1"/>
      <c r="B5" s="1"/>
    </row>
    <row r="6" spans="1:36" x14ac:dyDescent="0.2">
      <c r="A6" s="1"/>
      <c r="B6" s="1"/>
      <c r="H6" s="82"/>
    </row>
    <row r="7" spans="1:36" x14ac:dyDescent="0.2">
      <c r="A7" s="1"/>
      <c r="B7" s="1"/>
      <c r="S7" s="123" t="s">
        <v>319</v>
      </c>
    </row>
    <row r="8" spans="1:36" x14ac:dyDescent="0.2">
      <c r="A8" s="1"/>
      <c r="B8" s="1"/>
    </row>
    <row r="9" spans="1:36" x14ac:dyDescent="0.2">
      <c r="A9" s="1"/>
      <c r="B9" s="1"/>
      <c r="S9" s="107"/>
      <c r="T9" s="120"/>
      <c r="U9" s="120"/>
      <c r="V9" s="120"/>
      <c r="W9" s="120"/>
      <c r="X9" s="120"/>
      <c r="Y9" s="120"/>
      <c r="Z9" s="120"/>
      <c r="AA9" s="120"/>
      <c r="AB9" s="120"/>
      <c r="AC9" s="120"/>
      <c r="AD9" s="120"/>
      <c r="AE9" s="120"/>
      <c r="AF9" s="120"/>
    </row>
    <row r="10" spans="1:36" x14ac:dyDescent="0.2">
      <c r="A10" s="1"/>
      <c r="B10" s="1"/>
      <c r="C10" s="268" t="s">
        <v>323</v>
      </c>
      <c r="D10" s="268" t="s">
        <v>323</v>
      </c>
      <c r="E10" s="268" t="s">
        <v>323</v>
      </c>
      <c r="F10" s="268" t="s">
        <v>323</v>
      </c>
      <c r="G10" s="268" t="s">
        <v>323</v>
      </c>
      <c r="H10" s="268" t="s">
        <v>323</v>
      </c>
      <c r="I10" s="268" t="s">
        <v>323</v>
      </c>
      <c r="J10" s="268" t="s">
        <v>323</v>
      </c>
      <c r="K10" s="268" t="s">
        <v>323</v>
      </c>
    </row>
    <row r="11" spans="1:36" ht="12" thickBot="1" x14ac:dyDescent="0.25">
      <c r="A11" s="43"/>
      <c r="B11" s="43"/>
      <c r="C11" s="4">
        <v>2015</v>
      </c>
      <c r="D11" s="4">
        <v>2016</v>
      </c>
      <c r="E11" s="4">
        <v>2017</v>
      </c>
      <c r="F11" s="4">
        <v>2018</v>
      </c>
      <c r="G11" s="4">
        <v>2019</v>
      </c>
      <c r="H11" s="4">
        <v>2020</v>
      </c>
      <c r="I11" s="4">
        <v>2021</v>
      </c>
      <c r="J11" s="4">
        <v>2022</v>
      </c>
      <c r="K11" s="4">
        <v>2023</v>
      </c>
      <c r="L11" s="4">
        <v>2024</v>
      </c>
      <c r="M11" s="4">
        <v>2025</v>
      </c>
      <c r="N11" s="4">
        <v>2026</v>
      </c>
      <c r="O11" s="4">
        <v>2027</v>
      </c>
      <c r="P11" s="4">
        <v>2028</v>
      </c>
    </row>
    <row r="12" spans="1:36" ht="12" thickBot="1" x14ac:dyDescent="0.25">
      <c r="A12" s="49" t="s">
        <v>326</v>
      </c>
      <c r="B12" s="50" t="s">
        <v>327</v>
      </c>
      <c r="C12" s="45" t="s">
        <v>640</v>
      </c>
      <c r="D12" s="45" t="s">
        <v>640</v>
      </c>
      <c r="E12" s="45" t="s">
        <v>640</v>
      </c>
      <c r="F12" s="45" t="s">
        <v>640</v>
      </c>
      <c r="G12" s="45" t="s">
        <v>640</v>
      </c>
      <c r="H12" s="45" t="s">
        <v>640</v>
      </c>
      <c r="I12" s="45" t="s">
        <v>640</v>
      </c>
      <c r="J12" s="45" t="s">
        <v>640</v>
      </c>
      <c r="K12" s="45" t="s">
        <v>640</v>
      </c>
      <c r="L12" s="45" t="s">
        <v>640</v>
      </c>
      <c r="M12" s="45" t="s">
        <v>640</v>
      </c>
      <c r="N12" s="45" t="s">
        <v>640</v>
      </c>
      <c r="O12" s="45" t="s">
        <v>640</v>
      </c>
      <c r="P12" s="45" t="s">
        <v>640</v>
      </c>
      <c r="U12" s="94" t="s">
        <v>326</v>
      </c>
      <c r="V12" s="94" t="s">
        <v>327</v>
      </c>
      <c r="W12" s="345">
        <v>2015</v>
      </c>
      <c r="X12" s="345">
        <v>2016</v>
      </c>
      <c r="Y12" s="345">
        <v>2017</v>
      </c>
      <c r="Z12" s="345">
        <v>2018</v>
      </c>
      <c r="AA12" s="345">
        <v>2019</v>
      </c>
      <c r="AB12" s="345">
        <v>2020</v>
      </c>
      <c r="AC12" s="345">
        <v>2021</v>
      </c>
      <c r="AD12" s="345">
        <v>2022</v>
      </c>
      <c r="AE12" s="345">
        <v>2023</v>
      </c>
      <c r="AF12" s="345">
        <v>2024</v>
      </c>
      <c r="AG12" s="345">
        <v>2025</v>
      </c>
      <c r="AH12" s="345">
        <v>2026</v>
      </c>
      <c r="AI12" s="345">
        <v>2027</v>
      </c>
      <c r="AJ12" s="345">
        <v>2028</v>
      </c>
    </row>
    <row r="13" spans="1:36" x14ac:dyDescent="0.2">
      <c r="A13" s="37">
        <v>1</v>
      </c>
      <c r="B13" s="38" t="s">
        <v>312</v>
      </c>
      <c r="C13" s="80">
        <f t="shared" ref="C13:I13" si="0">SUM(C15:C307)</f>
        <v>15205489</v>
      </c>
      <c r="D13" s="80">
        <f t="shared" si="0"/>
        <v>16043713</v>
      </c>
      <c r="E13" s="80">
        <f t="shared" si="0"/>
        <v>16120604</v>
      </c>
      <c r="F13" s="80">
        <f t="shared" si="0"/>
        <v>16729981</v>
      </c>
      <c r="G13" s="80">
        <f t="shared" si="0"/>
        <v>18415677</v>
      </c>
      <c r="H13" s="80">
        <f t="shared" si="0"/>
        <v>19033385</v>
      </c>
      <c r="I13" s="80">
        <f t="shared" si="0"/>
        <v>19123711.991770018</v>
      </c>
      <c r="J13" s="80">
        <f>I13-'Toim ja inv rahavirta'!J13</f>
        <v>18478188.540758993</v>
      </c>
      <c r="K13" s="80">
        <f>J13-'Toim ja inv rahavirta'!K13</f>
        <v>18199874.85046285</v>
      </c>
      <c r="L13" s="80">
        <f>K13-'Toim ja inv rahavirta'!L13</f>
        <v>19116723.683050457</v>
      </c>
      <c r="M13" s="80">
        <f>L13-'Toim ja inv rahavirta'!M13</f>
        <v>20973357.997442383</v>
      </c>
      <c r="N13" s="80">
        <f>M13-'Toim ja inv rahavirta'!N13</f>
        <v>22888308.578726269</v>
      </c>
      <c r="O13" s="80">
        <f>N13-'Toim ja inv rahavirta'!O13</f>
        <v>24919319.922648873</v>
      </c>
      <c r="P13" s="80">
        <f>O13-'Toim ja inv rahavirta'!P13</f>
        <v>26738833.552966375</v>
      </c>
      <c r="T13" s="8"/>
      <c r="U13" s="39"/>
      <c r="V13" s="86" t="s">
        <v>312</v>
      </c>
      <c r="W13" s="41">
        <f>C13/'1. Väestöennuste'!E13*1000</f>
        <v>2786.9292912519627</v>
      </c>
      <c r="X13" s="41">
        <f>D13/'1. Väestöennuste'!F13*1000</f>
        <v>2930.8494226338912</v>
      </c>
      <c r="Y13" s="41">
        <f>E13/'1. Väestöennuste'!G13*1000</f>
        <v>2939.7628327602042</v>
      </c>
      <c r="Z13" s="41">
        <f>F13/'1. Väestöennuste'!H13*1000</f>
        <v>3048.3937151634527</v>
      </c>
      <c r="AA13" s="41">
        <f>G13/'1. Väestöennuste'!I13*1000</f>
        <v>3351.1027752625469</v>
      </c>
      <c r="AB13" s="41">
        <f>H13/'1. Väestöennuste'!J13*1000</f>
        <v>3458.3115902424274</v>
      </c>
      <c r="AC13" s="41">
        <f>I13/'1. Väestöennuste'!K13*1000</f>
        <v>3465.760957801499</v>
      </c>
      <c r="AD13" s="41">
        <f>J13/'1. Väestöennuste'!L13*1000</f>
        <v>3339.2640973062603</v>
      </c>
      <c r="AE13" s="41">
        <f>K13/'1. Väestöennuste'!M13*1000</f>
        <v>3265.5414556991896</v>
      </c>
      <c r="AF13" s="41">
        <f>L13/'1. Väestöennuste'!N13*1000</f>
        <v>3451.5730429008108</v>
      </c>
      <c r="AG13" s="41">
        <f>M13/'1. Väestöennuste'!O13*1000</f>
        <v>3782.4639713412657</v>
      </c>
      <c r="AH13" s="41">
        <f>N13/'1. Väestöennuste'!P13*1000</f>
        <v>4123.582686866016</v>
      </c>
      <c r="AI13" s="41">
        <f>O13/'1. Väestöennuste'!Q13*1000</f>
        <v>4485.3633887249198</v>
      </c>
      <c r="AJ13" s="41">
        <f>P13/'1. Väestöennuste'!R13*1000</f>
        <v>4809.115046993682</v>
      </c>
    </row>
    <row r="14" spans="1:36" x14ac:dyDescent="0.2">
      <c r="A14" s="37"/>
      <c r="B14" s="38"/>
      <c r="C14" s="80"/>
      <c r="D14" s="80"/>
      <c r="E14" s="80"/>
      <c r="F14" s="80"/>
      <c r="G14" s="80"/>
      <c r="H14" s="80"/>
      <c r="I14" s="80"/>
      <c r="J14" s="80"/>
      <c r="K14" s="80"/>
      <c r="L14" s="80"/>
      <c r="M14" s="80"/>
      <c r="U14" s="39"/>
      <c r="V14" s="86"/>
      <c r="W14" s="41"/>
      <c r="X14" s="41"/>
      <c r="Y14" s="41"/>
      <c r="Z14" s="41"/>
      <c r="AA14" s="41"/>
      <c r="AB14" s="41"/>
      <c r="AC14" s="41"/>
      <c r="AD14" s="41"/>
      <c r="AE14" s="41"/>
      <c r="AF14" s="41"/>
    </row>
    <row r="15" spans="1:36" x14ac:dyDescent="0.2">
      <c r="A15" s="30">
        <v>5</v>
      </c>
      <c r="B15" s="31" t="s">
        <v>328</v>
      </c>
      <c r="C15" s="81">
        <v>24115</v>
      </c>
      <c r="D15" s="46">
        <v>18695</v>
      </c>
      <c r="E15" s="46">
        <v>21157</v>
      </c>
      <c r="F15" s="46">
        <v>23626</v>
      </c>
      <c r="G15" s="80">
        <v>27858</v>
      </c>
      <c r="H15" s="80">
        <v>27715</v>
      </c>
      <c r="I15" s="80">
        <v>29419.923999999999</v>
      </c>
      <c r="J15" s="80">
        <v>24975.492999999999</v>
      </c>
      <c r="K15" s="80">
        <v>24462.649000000001</v>
      </c>
      <c r="L15" s="80">
        <f>K15-'Toim ja inv rahavirta'!L15</f>
        <v>24128.981039198203</v>
      </c>
      <c r="M15" s="80">
        <f>L15-'Toim ja inv rahavirta'!M15</f>
        <v>24123.540311220651</v>
      </c>
      <c r="N15" s="80">
        <f>M15-'Toim ja inv rahavirta'!N15</f>
        <v>24462.981188945669</v>
      </c>
      <c r="O15" s="80">
        <f>N15-'Toim ja inv rahavirta'!O15</f>
        <v>24833.060031309393</v>
      </c>
      <c r="P15" s="80">
        <f>O15-'Toim ja inv rahavirta'!P15</f>
        <v>24332.715181709715</v>
      </c>
      <c r="U15" s="34">
        <v>5</v>
      </c>
      <c r="V15" s="88" t="s">
        <v>328</v>
      </c>
      <c r="W15" s="41">
        <f>C15/'1. Väestöennuste'!E15*1000</f>
        <v>2410.053967619428</v>
      </c>
      <c r="X15" s="41">
        <f>D15/'1. Väestöennuste'!F15*1000</f>
        <v>1888.5746034953027</v>
      </c>
      <c r="Y15" s="41">
        <f>E15/'1. Väestöennuste'!G15*1000</f>
        <v>2152.069982707761</v>
      </c>
      <c r="Z15" s="41">
        <f>F15/'1. Väestöennuste'!H15*1000</f>
        <v>2435.6701030927838</v>
      </c>
      <c r="AA15" s="41">
        <f>G15/'1. Väestöennuste'!I15*1000</f>
        <v>2913.4072369797113</v>
      </c>
      <c r="AB15" s="41">
        <f>H15/'1. Väestöennuste'!J15*1000</f>
        <v>2942.4567363839051</v>
      </c>
      <c r="AC15" s="41">
        <f>I15/'1. Väestöennuste'!K15*1000</f>
        <v>3159.6954140264206</v>
      </c>
      <c r="AD15" s="41">
        <f>J15/'1. Väestöennuste'!L15*1000</f>
        <v>2719.7531307851459</v>
      </c>
      <c r="AE15" s="41">
        <f>K15/'1. Väestöennuste'!M15*1000</f>
        <v>2684.3683748491167</v>
      </c>
      <c r="AF15" s="41">
        <f>L15/'1. Väestöennuste'!N15*1000</f>
        <v>2695.6743424419847</v>
      </c>
      <c r="AG15" s="41">
        <f>M15/'1. Väestöennuste'!O15*1000</f>
        <v>2728.5986100238265</v>
      </c>
      <c r="AH15" s="41">
        <f>N15/'1. Väestöennuste'!P15*1000</f>
        <v>2802.1742484473848</v>
      </c>
      <c r="AI15" s="41">
        <f>O15/'1. Väestöennuste'!Q15*1000</f>
        <v>2880.5312645063673</v>
      </c>
      <c r="AJ15" s="41">
        <f>P15/'1. Väestöennuste'!R15*1000</f>
        <v>2858.6366519865737</v>
      </c>
    </row>
    <row r="16" spans="1:36" x14ac:dyDescent="0.2">
      <c r="A16" s="30">
        <v>9</v>
      </c>
      <c r="B16" s="31" t="s">
        <v>329</v>
      </c>
      <c r="C16" s="81">
        <v>11124</v>
      </c>
      <c r="D16" s="46">
        <v>10399</v>
      </c>
      <c r="E16" s="46">
        <v>7801</v>
      </c>
      <c r="F16" s="46">
        <v>8807</v>
      </c>
      <c r="G16" s="80">
        <v>9463</v>
      </c>
      <c r="H16" s="80">
        <v>10000</v>
      </c>
      <c r="I16" s="80">
        <v>11000</v>
      </c>
      <c r="J16" s="80">
        <v>11000</v>
      </c>
      <c r="K16" s="80">
        <v>9000</v>
      </c>
      <c r="L16" s="80">
        <f>K16-'Toim ja inv rahavirta'!L16</f>
        <v>9257.5213430758231</v>
      </c>
      <c r="M16" s="80">
        <f>L16-'Toim ja inv rahavirta'!M16</f>
        <v>9714.7565563253429</v>
      </c>
      <c r="N16" s="80">
        <f>M16-'Toim ja inv rahavirta'!N16</f>
        <v>10526.757613416768</v>
      </c>
      <c r="O16" s="80">
        <f>N16-'Toim ja inv rahavirta'!O16</f>
        <v>11500.355357764252</v>
      </c>
      <c r="P16" s="80">
        <f>O16-'Toim ja inv rahavirta'!P16</f>
        <v>12436.542573687824</v>
      </c>
      <c r="U16" s="34">
        <v>9</v>
      </c>
      <c r="V16" s="88" t="s">
        <v>329</v>
      </c>
      <c r="W16" s="41">
        <f>C16/'1. Väestöennuste'!E16*1000</f>
        <v>4139.9330107927053</v>
      </c>
      <c r="X16" s="41">
        <f>D16/'1. Väestöennuste'!F16*1000</f>
        <v>3940.5077680939748</v>
      </c>
      <c r="Y16" s="41">
        <f>E16/'1. Väestöennuste'!G16*1000</f>
        <v>2988.8888888888891</v>
      </c>
      <c r="Z16" s="41">
        <f>F16/'1. Väestöennuste'!H16*1000</f>
        <v>3422.8527011270889</v>
      </c>
      <c r="AA16" s="41">
        <f>G16/'1. Väestöennuste'!I16*1000</f>
        <v>3756.6494640730448</v>
      </c>
      <c r="AB16" s="41">
        <f>H16/'1. Väestöennuste'!J16*1000</f>
        <v>3972.9837107667859</v>
      </c>
      <c r="AC16" s="41">
        <f>I16/'1. Väestöennuste'!K16*1000</f>
        <v>4415.8972300281011</v>
      </c>
      <c r="AD16" s="41">
        <f>J16/'1. Väestöennuste'!L16*1000</f>
        <v>4495.3003677973029</v>
      </c>
      <c r="AE16" s="41">
        <f>K16/'1. Väestöennuste'!M16*1000</f>
        <v>3693.0652441526468</v>
      </c>
      <c r="AF16" s="41">
        <f>L16/'1. Väestöennuste'!N16*1000</f>
        <v>3823.8419426170271</v>
      </c>
      <c r="AG16" s="41">
        <f>M16/'1. Väestöennuste'!O16*1000</f>
        <v>4052.8813334690622</v>
      </c>
      <c r="AH16" s="41">
        <f>N16/'1. Väestöennuste'!P16*1000</f>
        <v>4432.3189951228496</v>
      </c>
      <c r="AI16" s="41">
        <f>O16/'1. Väestöennuste'!Q16*1000</f>
        <v>4889.6068697977262</v>
      </c>
      <c r="AJ16" s="41">
        <f>P16/'1. Väestöennuste'!R16*1000</f>
        <v>5339.8637070364211</v>
      </c>
    </row>
    <row r="17" spans="1:36" x14ac:dyDescent="0.2">
      <c r="A17" s="30">
        <v>10</v>
      </c>
      <c r="B17" s="31" t="s">
        <v>330</v>
      </c>
      <c r="C17" s="81">
        <v>34139</v>
      </c>
      <c r="D17" s="46">
        <v>38719</v>
      </c>
      <c r="E17" s="46">
        <v>38742</v>
      </c>
      <c r="F17" s="46">
        <v>38419</v>
      </c>
      <c r="G17" s="80">
        <v>45243</v>
      </c>
      <c r="H17" s="80">
        <v>45665</v>
      </c>
      <c r="I17" s="80">
        <v>52499.695</v>
      </c>
      <c r="J17" s="80">
        <v>56443.387000000002</v>
      </c>
      <c r="K17" s="80">
        <v>63261.745840000003</v>
      </c>
      <c r="L17" s="80">
        <f>K17-'Toim ja inv rahavirta'!L17</f>
        <v>65267.967691259313</v>
      </c>
      <c r="M17" s="80">
        <f>L17-'Toim ja inv rahavirta'!M17</f>
        <v>69081.067090924596</v>
      </c>
      <c r="N17" s="80">
        <f>M17-'Toim ja inv rahavirta'!N17</f>
        <v>73290.078502408403</v>
      </c>
      <c r="O17" s="80">
        <f>N17-'Toim ja inv rahavirta'!O17</f>
        <v>77310.098643906633</v>
      </c>
      <c r="P17" s="80">
        <f>O17-'Toim ja inv rahavirta'!P17</f>
        <v>80304.890709026862</v>
      </c>
      <c r="U17" s="34">
        <v>10</v>
      </c>
      <c r="V17" s="88" t="s">
        <v>330</v>
      </c>
      <c r="W17" s="41">
        <f>C17/'1. Väestöennuste'!E17*1000</f>
        <v>2834.5234141481237</v>
      </c>
      <c r="X17" s="41">
        <f>D17/'1. Väestöennuste'!F17*1000</f>
        <v>3251.7846644830774</v>
      </c>
      <c r="Y17" s="41">
        <f>E17/'1. Väestöennuste'!G17*1000</f>
        <v>3307.6069324681976</v>
      </c>
      <c r="Z17" s="41">
        <f>F17/'1. Väestöennuste'!H17*1000</f>
        <v>3328.0492030492032</v>
      </c>
      <c r="AA17" s="41">
        <f>G17/'1. Väestöennuste'!I17*1000</f>
        <v>3945.151726543425</v>
      </c>
      <c r="AB17" s="41">
        <f>H17/'1. Väestöennuste'!J17*1000</f>
        <v>4029.7387927991526</v>
      </c>
      <c r="AC17" s="41">
        <f>I17/'1. Väestöennuste'!K17*1000</f>
        <v>4688.7286773242831</v>
      </c>
      <c r="AD17" s="41">
        <f>J17/'1. Väestöennuste'!L17*1000</f>
        <v>5084.0737704918038</v>
      </c>
      <c r="AE17" s="41">
        <f>K17/'1. Väestöennuste'!M17*1000</f>
        <v>5786.3117021860426</v>
      </c>
      <c r="AF17" s="41">
        <f>L17/'1. Väestöennuste'!N17*1000</f>
        <v>6034.9484689097835</v>
      </c>
      <c r="AG17" s="41">
        <f>M17/'1. Väestöennuste'!O17*1000</f>
        <v>6464.632892656241</v>
      </c>
      <c r="AH17" s="41">
        <f>N17/'1. Väestöennuste'!P17*1000</f>
        <v>6939.0341320212456</v>
      </c>
      <c r="AI17" s="41">
        <f>O17/'1. Väestöennuste'!Q17*1000</f>
        <v>7403.0545479179</v>
      </c>
      <c r="AJ17" s="41">
        <f>P17/'1. Väestöennuste'!R17*1000</f>
        <v>7777.7133858621655</v>
      </c>
    </row>
    <row r="18" spans="1:36" x14ac:dyDescent="0.2">
      <c r="A18" s="30">
        <v>16</v>
      </c>
      <c r="B18" s="31" t="s">
        <v>331</v>
      </c>
      <c r="C18" s="81">
        <v>17044</v>
      </c>
      <c r="D18" s="46">
        <v>15016</v>
      </c>
      <c r="E18" s="46">
        <v>11990</v>
      </c>
      <c r="F18" s="46">
        <v>10470</v>
      </c>
      <c r="G18" s="80">
        <v>7455</v>
      </c>
      <c r="H18" s="80">
        <v>1945</v>
      </c>
      <c r="I18" s="80">
        <v>1434.9</v>
      </c>
      <c r="J18" s="80">
        <v>7125.0000000000009</v>
      </c>
      <c r="K18" s="80">
        <v>6374.2118099999998</v>
      </c>
      <c r="L18" s="80">
        <f>K18-'Toim ja inv rahavirta'!L18</f>
        <v>10565.531710079547</v>
      </c>
      <c r="M18" s="80">
        <f>L18-'Toim ja inv rahavirta'!M18</f>
        <v>14481.783091250527</v>
      </c>
      <c r="N18" s="80">
        <f>M18-'Toim ja inv rahavirta'!N18</f>
        <v>19628.706396620564</v>
      </c>
      <c r="O18" s="80">
        <f>N18-'Toim ja inv rahavirta'!O18</f>
        <v>25540.258410566163</v>
      </c>
      <c r="P18" s="80">
        <f>O18-'Toim ja inv rahavirta'!P18</f>
        <v>30838.907393535083</v>
      </c>
      <c r="U18" s="34">
        <v>16</v>
      </c>
      <c r="V18" s="88" t="s">
        <v>331</v>
      </c>
      <c r="W18" s="41">
        <f>C18/'1. Väestöennuste'!E18*1000</f>
        <v>2056.7153372752505</v>
      </c>
      <c r="X18" s="41">
        <f>D18/'1. Väestöennuste'!F18*1000</f>
        <v>1804.1571548720415</v>
      </c>
      <c r="Y18" s="41">
        <f>E18/'1. Väestöennuste'!G18*1000</f>
        <v>1453.6857419980602</v>
      </c>
      <c r="Z18" s="41">
        <f>F18/'1. Väestöennuste'!H18*1000</f>
        <v>1284.8202233402872</v>
      </c>
      <c r="AA18" s="41">
        <f>G18/'1. Väestöennuste'!I18*1000</f>
        <v>922.30607447729801</v>
      </c>
      <c r="AB18" s="41">
        <f>H18/'1. Väestöennuste'!J18*1000</f>
        <v>241.34508003474375</v>
      </c>
      <c r="AC18" s="41">
        <f>I18/'1. Väestöennuste'!K18*1000</f>
        <v>178.62566911490106</v>
      </c>
      <c r="AD18" s="41">
        <f>J18/'1. Väestöennuste'!L18*1000</f>
        <v>889.06912902420777</v>
      </c>
      <c r="AE18" s="41">
        <f>K18/'1. Väestöennuste'!M18*1000</f>
        <v>799.97638177710837</v>
      </c>
      <c r="AF18" s="41">
        <f>L18/'1. Väestöennuste'!N18*1000</f>
        <v>1339.7833768804903</v>
      </c>
      <c r="AG18" s="41">
        <f>M18/'1. Väestöennuste'!O18*1000</f>
        <v>1847.8733049956013</v>
      </c>
      <c r="AH18" s="41">
        <f>N18/'1. Väestöennuste'!P18*1000</f>
        <v>2519.4078291131518</v>
      </c>
      <c r="AI18" s="41">
        <f>O18/'1. Väestöennuste'!Q18*1000</f>
        <v>3298.4965014291829</v>
      </c>
      <c r="AJ18" s="41">
        <f>P18/'1. Väestöennuste'!R18*1000</f>
        <v>4005.5731125516409</v>
      </c>
    </row>
    <row r="19" spans="1:36" x14ac:dyDescent="0.2">
      <c r="A19" s="30">
        <v>18</v>
      </c>
      <c r="B19" s="31" t="s">
        <v>332</v>
      </c>
      <c r="C19" s="81">
        <v>16221</v>
      </c>
      <c r="D19" s="46">
        <v>16573</v>
      </c>
      <c r="E19" s="46">
        <v>19431</v>
      </c>
      <c r="F19" s="46">
        <v>21209</v>
      </c>
      <c r="G19" s="80">
        <v>22972</v>
      </c>
      <c r="H19" s="80">
        <v>24997</v>
      </c>
      <c r="I19" s="80">
        <v>23473.241090000003</v>
      </c>
      <c r="J19" s="80">
        <v>20699.336490000002</v>
      </c>
      <c r="K19" s="80">
        <v>18827.648730000001</v>
      </c>
      <c r="L19" s="80">
        <f>K19-'Toim ja inv rahavirta'!L19</f>
        <v>20162.26729887586</v>
      </c>
      <c r="M19" s="80">
        <f>L19-'Toim ja inv rahavirta'!M19</f>
        <v>22089.661379012487</v>
      </c>
      <c r="N19" s="80">
        <f>M19-'Toim ja inv rahavirta'!N19</f>
        <v>23872.597313053495</v>
      </c>
      <c r="O19" s="80">
        <f>N19-'Toim ja inv rahavirta'!O19</f>
        <v>25942.886798938878</v>
      </c>
      <c r="P19" s="80">
        <f>O19-'Toim ja inv rahavirta'!P19</f>
        <v>28106.615629650154</v>
      </c>
      <c r="U19" s="34">
        <v>18</v>
      </c>
      <c r="V19" s="88" t="s">
        <v>332</v>
      </c>
      <c r="W19" s="41">
        <f>C19/'1. Väestöennuste'!E19*1000</f>
        <v>3178.0956112852664</v>
      </c>
      <c r="X19" s="41">
        <f>D19/'1. Väestöennuste'!F19*1000</f>
        <v>3284.3836702338485</v>
      </c>
      <c r="Y19" s="41">
        <f>E19/'1. Väestöennuste'!G19*1000</f>
        <v>3893.987975951904</v>
      </c>
      <c r="Z19" s="41">
        <f>F19/'1. Väestöennuste'!H19*1000</f>
        <v>4277.7329568374344</v>
      </c>
      <c r="AA19" s="41">
        <f>G19/'1. Väestöennuste'!I19*1000</f>
        <v>4647.3801335221524</v>
      </c>
      <c r="AB19" s="41">
        <f>H19/'1. Väestöennuste'!J19*1000</f>
        <v>5124.4362443624432</v>
      </c>
      <c r="AC19" s="41">
        <f>I19/'1. Väestöennuste'!K19*1000</f>
        <v>4842.8390942851256</v>
      </c>
      <c r="AD19" s="41">
        <f>J19/'1. Väestöennuste'!L19*1000</f>
        <v>4345.8611148435866</v>
      </c>
      <c r="AE19" s="41">
        <f>K19/'1. Väestöennuste'!M19*1000</f>
        <v>4005.8827085106382</v>
      </c>
      <c r="AF19" s="41">
        <f>L19/'1. Väestöennuste'!N19*1000</f>
        <v>4259.0340724283606</v>
      </c>
      <c r="AG19" s="41">
        <f>M19/'1. Väestöennuste'!O19*1000</f>
        <v>4690.9452917843464</v>
      </c>
      <c r="AH19" s="41">
        <f>N19/'1. Väestöennuste'!P19*1000</f>
        <v>5094.4509844330978</v>
      </c>
      <c r="AI19" s="41">
        <f>O19/'1. Väestöennuste'!Q19*1000</f>
        <v>5561.1761626878624</v>
      </c>
      <c r="AJ19" s="41">
        <f>P19/'1. Väestöennuste'!R19*1000</f>
        <v>6054.8504156936997</v>
      </c>
    </row>
    <row r="20" spans="1:36" x14ac:dyDescent="0.2">
      <c r="A20" s="30">
        <v>19</v>
      </c>
      <c r="B20" s="31" t="s">
        <v>333</v>
      </c>
      <c r="C20" s="81">
        <v>13870</v>
      </c>
      <c r="D20" s="46">
        <v>13280</v>
      </c>
      <c r="E20" s="46">
        <v>11976</v>
      </c>
      <c r="F20" s="46">
        <v>11462</v>
      </c>
      <c r="G20" s="80">
        <v>13047</v>
      </c>
      <c r="H20" s="80">
        <v>12333</v>
      </c>
      <c r="I20" s="80">
        <v>9357.1540000000005</v>
      </c>
      <c r="J20" s="80">
        <v>8619.06</v>
      </c>
      <c r="K20" s="80">
        <v>8000</v>
      </c>
      <c r="L20" s="80">
        <f>K20-'Toim ja inv rahavirta'!L20</f>
        <v>8840.6017480914579</v>
      </c>
      <c r="M20" s="80">
        <f>L20-'Toim ja inv rahavirta'!M20</f>
        <v>10446.199377994968</v>
      </c>
      <c r="N20" s="80">
        <f>M20-'Toim ja inv rahavirta'!N20</f>
        <v>11987.150605960423</v>
      </c>
      <c r="O20" s="80">
        <f>N20-'Toim ja inv rahavirta'!O20</f>
        <v>13249.726688245673</v>
      </c>
      <c r="P20" s="80">
        <f>O20-'Toim ja inv rahavirta'!P20</f>
        <v>14609.435444307705</v>
      </c>
      <c r="U20" s="34">
        <v>19</v>
      </c>
      <c r="V20" s="88" t="s">
        <v>333</v>
      </c>
      <c r="W20" s="41">
        <f>C20/'1. Väestöennuste'!E20*1000</f>
        <v>3479.6788760662316</v>
      </c>
      <c r="X20" s="41">
        <f>D20/'1. Väestöennuste'!F20*1000</f>
        <v>3333.3333333333335</v>
      </c>
      <c r="Y20" s="41">
        <f>E20/'1. Väestöennuste'!G20*1000</f>
        <v>3000.7516913054369</v>
      </c>
      <c r="Z20" s="41">
        <f>F20/'1. Väestöennuste'!H20*1000</f>
        <v>2877.0080321285141</v>
      </c>
      <c r="AA20" s="41">
        <f>G20/'1. Väestöennuste'!I20*1000</f>
        <v>3310.5810707942146</v>
      </c>
      <c r="AB20" s="41">
        <f>H20/'1. Väestöennuste'!J20*1000</f>
        <v>3115.1806011619096</v>
      </c>
      <c r="AC20" s="41">
        <f>I20/'1. Väestöennuste'!K20*1000</f>
        <v>2365.9049304677624</v>
      </c>
      <c r="AD20" s="41">
        <f>J20/'1. Väestöennuste'!L20*1000</f>
        <v>2173.7856242118532</v>
      </c>
      <c r="AE20" s="41">
        <f>K20/'1. Väestöennuste'!M20*1000</f>
        <v>2019.691996970462</v>
      </c>
      <c r="AF20" s="41">
        <f>L20/'1. Väestöennuste'!N20*1000</f>
        <v>2231.3482453537249</v>
      </c>
      <c r="AG20" s="41">
        <f>M20/'1. Väestöennuste'!O20*1000</f>
        <v>2633.2743579518446</v>
      </c>
      <c r="AH20" s="41">
        <f>N20/'1. Väestöennuste'!P20*1000</f>
        <v>3017.1534371911457</v>
      </c>
      <c r="AI20" s="41">
        <f>O20/'1. Väestöennuste'!Q20*1000</f>
        <v>3327.4049945368342</v>
      </c>
      <c r="AJ20" s="41">
        <f>P20/'1. Väestöennuste'!R20*1000</f>
        <v>3663.3489078003267</v>
      </c>
    </row>
    <row r="21" spans="1:36" x14ac:dyDescent="0.2">
      <c r="A21" s="30">
        <v>20</v>
      </c>
      <c r="B21" s="31" t="s">
        <v>334</v>
      </c>
      <c r="C21" s="81">
        <v>61822</v>
      </c>
      <c r="D21" s="46">
        <v>57802</v>
      </c>
      <c r="E21" s="46">
        <v>52640</v>
      </c>
      <c r="F21" s="46">
        <v>54097</v>
      </c>
      <c r="G21" s="80">
        <v>53609</v>
      </c>
      <c r="H21" s="80">
        <v>52444</v>
      </c>
      <c r="I21" s="80">
        <v>68557.508930000011</v>
      </c>
      <c r="J21" s="80">
        <v>81662.728049999991</v>
      </c>
      <c r="K21" s="80">
        <v>91054.925479999991</v>
      </c>
      <c r="L21" s="80">
        <f>K21-'Toim ja inv rahavirta'!L21</f>
        <v>99680.451848337922</v>
      </c>
      <c r="M21" s="80">
        <f>L21-'Toim ja inv rahavirta'!M21</f>
        <v>116500.27180314169</v>
      </c>
      <c r="N21" s="80">
        <f>M21-'Toim ja inv rahavirta'!N21</f>
        <v>133352.14682417459</v>
      </c>
      <c r="O21" s="80">
        <f>N21-'Toim ja inv rahavirta'!O21</f>
        <v>150168.69445356415</v>
      </c>
      <c r="P21" s="80">
        <f>O21-'Toim ja inv rahavirta'!P21</f>
        <v>165936.98344493937</v>
      </c>
      <c r="U21" s="34">
        <v>20</v>
      </c>
      <c r="V21" s="88" t="s">
        <v>334</v>
      </c>
      <c r="W21" s="41">
        <f>C21/'1. Väestöennuste'!E21*1000</f>
        <v>3627.4130141407031</v>
      </c>
      <c r="X21" s="41">
        <f>D21/'1. Väestöennuste'!F21*1000</f>
        <v>3415.5882526738756</v>
      </c>
      <c r="Y21" s="41">
        <f>E21/'1. Väestöennuste'!G21*1000</f>
        <v>3139.1257677857952</v>
      </c>
      <c r="Z21" s="41">
        <f>F21/'1. Väestöennuste'!H21*1000</f>
        <v>3256.6973692131719</v>
      </c>
      <c r="AA21" s="41">
        <f>G21/'1. Väestöennuste'!I21*1000</f>
        <v>3253.960546282246</v>
      </c>
      <c r="AB21" s="41">
        <f>H21/'1. Väestöennuste'!J21*1000</f>
        <v>3199.5607345494477</v>
      </c>
      <c r="AC21" s="41">
        <f>I21/'1. Väestöennuste'!K21*1000</f>
        <v>4163.3271956033286</v>
      </c>
      <c r="AD21" s="41">
        <f>J21/'1. Väestöennuste'!L21*1000</f>
        <v>4957.3683026771068</v>
      </c>
      <c r="AE21" s="41">
        <f>K21/'1. Väestöennuste'!M21*1000</f>
        <v>5550.4373959158784</v>
      </c>
      <c r="AF21" s="41">
        <f>L21/'1. Väestöennuste'!N21*1000</f>
        <v>6266.8459605392882</v>
      </c>
      <c r="AG21" s="41">
        <f>M21/'1. Väestöennuste'!O21*1000</f>
        <v>7375.7690283723769</v>
      </c>
      <c r="AH21" s="41">
        <f>N21/'1. Väestöennuste'!P21*1000</f>
        <v>8498.0975544337616</v>
      </c>
      <c r="AI21" s="41">
        <f>O21/'1. Väestöennuste'!Q21*1000</f>
        <v>9629.284671597572</v>
      </c>
      <c r="AJ21" s="41">
        <f>P21/'1. Väestöennuste'!R21*1000</f>
        <v>10704.230644106525</v>
      </c>
    </row>
    <row r="22" spans="1:36" x14ac:dyDescent="0.2">
      <c r="A22" s="30">
        <v>46</v>
      </c>
      <c r="B22" s="31" t="s">
        <v>335</v>
      </c>
      <c r="C22" s="81">
        <v>0</v>
      </c>
      <c r="D22" s="46">
        <v>0</v>
      </c>
      <c r="E22" s="46">
        <v>0</v>
      </c>
      <c r="F22" s="46">
        <v>0</v>
      </c>
      <c r="G22" s="80">
        <v>0</v>
      </c>
      <c r="H22" s="80">
        <v>0</v>
      </c>
      <c r="I22" s="80">
        <v>0</v>
      </c>
      <c r="J22" s="80">
        <v>0</v>
      </c>
      <c r="K22" s="80">
        <v>0</v>
      </c>
      <c r="L22" s="80">
        <f>K22-'Toim ja inv rahavirta'!L22</f>
        <v>135.93907555085354</v>
      </c>
      <c r="M22" s="80">
        <f>L22-'Toim ja inv rahavirta'!M22</f>
        <v>17.877288015853992</v>
      </c>
      <c r="N22" s="80">
        <f>M22-'Toim ja inv rahavirta'!N22</f>
        <v>41.875293753045071</v>
      </c>
      <c r="O22" s="80">
        <f>N22-'Toim ja inv rahavirta'!O22</f>
        <v>128.33779635437338</v>
      </c>
      <c r="P22" s="80">
        <f>O22-'Toim ja inv rahavirta'!P22</f>
        <v>180.66007029601883</v>
      </c>
      <c r="U22" s="34">
        <v>46</v>
      </c>
      <c r="V22" s="88" t="s">
        <v>335</v>
      </c>
      <c r="W22" s="41">
        <f>C22/'1. Väestöennuste'!E22*1000</f>
        <v>0</v>
      </c>
      <c r="X22" s="41">
        <f>D22/'1. Väestöennuste'!F22*1000</f>
        <v>0</v>
      </c>
      <c r="Y22" s="41">
        <f>E22/'1. Väestöennuste'!G22*1000</f>
        <v>0</v>
      </c>
      <c r="Z22" s="41">
        <f>F22/'1. Väestöennuste'!H22*1000</f>
        <v>0</v>
      </c>
      <c r="AA22" s="41">
        <f>G22/'1. Väestöennuste'!I22*1000</f>
        <v>0</v>
      </c>
      <c r="AB22" s="41">
        <f>H22/'1. Väestöennuste'!J22*1000</f>
        <v>0</v>
      </c>
      <c r="AC22" s="41">
        <f>I22/'1. Väestöennuste'!K22*1000</f>
        <v>0</v>
      </c>
      <c r="AD22" s="41">
        <f>J22/'1. Väestöennuste'!L22*1000</f>
        <v>0</v>
      </c>
      <c r="AE22" s="41">
        <f>K22/'1. Väestöennuste'!M22*1000</f>
        <v>0</v>
      </c>
      <c r="AF22" s="41">
        <f>L22/'1. Väestöennuste'!N22*1000</f>
        <v>103.45439539638778</v>
      </c>
      <c r="AG22" s="41">
        <f>M22/'1. Väestöennuste'!O22*1000</f>
        <v>13.751760012195378</v>
      </c>
      <c r="AH22" s="41">
        <f>N22/'1. Väestöennuste'!P22*1000</f>
        <v>32.537135783251806</v>
      </c>
      <c r="AI22" s="41">
        <f>O22/'1. Väestöennuste'!Q22*1000</f>
        <v>100.73610388883311</v>
      </c>
      <c r="AJ22" s="41">
        <f>P22/'1. Väestöennuste'!R22*1000</f>
        <v>143.49489300716348</v>
      </c>
    </row>
    <row r="23" spans="1:36" x14ac:dyDescent="0.2">
      <c r="A23" s="30">
        <v>47</v>
      </c>
      <c r="B23" s="31" t="s">
        <v>336</v>
      </c>
      <c r="C23" s="81">
        <v>5812</v>
      </c>
      <c r="D23" s="46">
        <v>5481</v>
      </c>
      <c r="E23" s="46">
        <v>4511</v>
      </c>
      <c r="F23" s="46">
        <v>3953</v>
      </c>
      <c r="G23" s="80">
        <v>4145</v>
      </c>
      <c r="H23" s="80">
        <v>4995</v>
      </c>
      <c r="I23" s="80">
        <v>4803</v>
      </c>
      <c r="J23" s="80">
        <v>4311</v>
      </c>
      <c r="K23" s="80">
        <v>554</v>
      </c>
      <c r="L23" s="80">
        <f>K23-'Toim ja inv rahavirta'!L23</f>
        <v>2808.7806534663591</v>
      </c>
      <c r="M23" s="80">
        <f>L23-'Toim ja inv rahavirta'!M23</f>
        <v>5831.5792744761002</v>
      </c>
      <c r="N23" s="80">
        <f>M23-'Toim ja inv rahavirta'!N23</f>
        <v>9034.2991114910456</v>
      </c>
      <c r="O23" s="80">
        <f>N23-'Toim ja inv rahavirta'!O23</f>
        <v>12442.586863698309</v>
      </c>
      <c r="P23" s="80">
        <f>O23-'Toim ja inv rahavirta'!P23</f>
        <v>15909.599985235713</v>
      </c>
      <c r="U23" s="34">
        <v>47</v>
      </c>
      <c r="V23" s="88" t="s">
        <v>336</v>
      </c>
      <c r="W23" s="41">
        <f>C23/'1. Väestöennuste'!E23*1000</f>
        <v>3123.0521225147768</v>
      </c>
      <c r="X23" s="41">
        <f>D23/'1. Väestöennuste'!F23*1000</f>
        <v>2927.8846153846152</v>
      </c>
      <c r="Y23" s="41">
        <f>E23/'1. Väestöennuste'!G23*1000</f>
        <v>2382.9899630216587</v>
      </c>
      <c r="Z23" s="41">
        <f>F23/'1. Väestöennuste'!H23*1000</f>
        <v>2134.4492440604749</v>
      </c>
      <c r="AA23" s="41">
        <f>G23/'1. Väestöennuste'!I23*1000</f>
        <v>2255.1686615886833</v>
      </c>
      <c r="AB23" s="41">
        <f>H23/'1. Väestöennuste'!J23*1000</f>
        <v>2762.7212389380529</v>
      </c>
      <c r="AC23" s="41">
        <f>I23/'1. Väestöennuste'!K23*1000</f>
        <v>2684.7400782560089</v>
      </c>
      <c r="AD23" s="41">
        <f>J23/'1. Väestöennuste'!L23*1000</f>
        <v>2380.4527885146326</v>
      </c>
      <c r="AE23" s="41">
        <f>K23/'1. Väestöennuste'!M23*1000</f>
        <v>312.81761716544327</v>
      </c>
      <c r="AF23" s="41">
        <f>L23/'1. Väestöennuste'!N23*1000</f>
        <v>1583.3036378051631</v>
      </c>
      <c r="AG23" s="41">
        <f>M23/'1. Väestöennuste'!O23*1000</f>
        <v>3298.4045670113692</v>
      </c>
      <c r="AH23" s="41">
        <f>N23/'1. Väestöennuste'!P23*1000</f>
        <v>5130.2096033452844</v>
      </c>
      <c r="AI23" s="41">
        <f>O23/'1. Väestöennuste'!Q23*1000</f>
        <v>7097.881838960815</v>
      </c>
      <c r="AJ23" s="41">
        <f>P23/'1. Väestöennuste'!R23*1000</f>
        <v>9117.2492752067119</v>
      </c>
    </row>
    <row r="24" spans="1:36" x14ac:dyDescent="0.2">
      <c r="A24" s="30">
        <v>49</v>
      </c>
      <c r="B24" s="31" t="s">
        <v>337</v>
      </c>
      <c r="C24" s="81">
        <v>615322</v>
      </c>
      <c r="D24" s="46">
        <v>857204</v>
      </c>
      <c r="E24" s="46">
        <v>805600</v>
      </c>
      <c r="F24" s="46">
        <v>798266</v>
      </c>
      <c r="G24" s="80">
        <v>988922</v>
      </c>
      <c r="H24" s="80">
        <v>1240501</v>
      </c>
      <c r="I24" s="80">
        <v>1392438.51627</v>
      </c>
      <c r="J24" s="80">
        <v>1286426.9868899998</v>
      </c>
      <c r="K24" s="80">
        <v>947770.46345000004</v>
      </c>
      <c r="L24" s="80">
        <f>K24-'Toim ja inv rahavirta'!L24</f>
        <v>875655.65920013317</v>
      </c>
      <c r="M24" s="80">
        <f>L24-'Toim ja inv rahavirta'!M24</f>
        <v>775745.08565042086</v>
      </c>
      <c r="N24" s="80">
        <f>M24-'Toim ja inv rahavirta'!N24</f>
        <v>690611.13075480494</v>
      </c>
      <c r="O24" s="80">
        <f>N24-'Toim ja inv rahavirta'!O24</f>
        <v>617957.77846797265</v>
      </c>
      <c r="P24" s="80">
        <f>O24-'Toim ja inv rahavirta'!P24</f>
        <v>547372.39249132085</v>
      </c>
      <c r="U24" s="34">
        <v>49</v>
      </c>
      <c r="V24" s="88" t="s">
        <v>337</v>
      </c>
      <c r="W24" s="41">
        <f>C24/'1. Väestöennuste'!E24*1000</f>
        <v>2280.6428417876814</v>
      </c>
      <c r="X24" s="41">
        <f>D24/'1. Väestöennuste'!F24*1000</f>
        <v>3121.8392981357183</v>
      </c>
      <c r="Y24" s="41">
        <f>E24/'1. Väestöennuste'!G24*1000</f>
        <v>2886.9998996574018</v>
      </c>
      <c r="Z24" s="41">
        <f>F24/'1. Väestöennuste'!H24*1000</f>
        <v>2814.4426580921759</v>
      </c>
      <c r="AA24" s="41">
        <f>G24/'1. Väestöennuste'!I24*1000</f>
        <v>3413.2419382116518</v>
      </c>
      <c r="AB24" s="41">
        <f>H24/'1. Väestöennuste'!J24*1000</f>
        <v>4236.7416221533076</v>
      </c>
      <c r="AC24" s="41">
        <f>I24/'1. Väestöennuste'!K24*1000</f>
        <v>4686.2623893421105</v>
      </c>
      <c r="AD24" s="41">
        <f>J24/'1. Väestöennuste'!L24*1000</f>
        <v>4214.007700917864</v>
      </c>
      <c r="AE24" s="41">
        <f>K24/'1. Väestöennuste'!M24*1000</f>
        <v>3018.1465857705143</v>
      </c>
      <c r="AF24" s="41">
        <f>L24/'1. Väestöennuste'!N24*1000</f>
        <v>2817.1076590478333</v>
      </c>
      <c r="AG24" s="41">
        <f>M24/'1. Väestöennuste'!O24*1000</f>
        <v>2464.6623658062535</v>
      </c>
      <c r="AH24" s="41">
        <f>N24/'1. Väestöennuste'!P24*1000</f>
        <v>2168.5416768868608</v>
      </c>
      <c r="AI24" s="41">
        <f>O24/'1. Väestöennuste'!Q24*1000</f>
        <v>1919.0698970152157</v>
      </c>
      <c r="AJ24" s="41">
        <f>P24/'1. Väestöennuste'!R24*1000</f>
        <v>1682.2764816437625</v>
      </c>
    </row>
    <row r="25" spans="1:36" x14ac:dyDescent="0.2">
      <c r="A25" s="30">
        <v>50</v>
      </c>
      <c r="B25" s="31" t="s">
        <v>338</v>
      </c>
      <c r="C25" s="81">
        <v>26630</v>
      </c>
      <c r="D25" s="46">
        <v>28923</v>
      </c>
      <c r="E25" s="46">
        <v>28641</v>
      </c>
      <c r="F25" s="46">
        <v>31082</v>
      </c>
      <c r="G25" s="80">
        <v>40882</v>
      </c>
      <c r="H25" s="80">
        <v>39601</v>
      </c>
      <c r="I25" s="80">
        <v>37717.40266</v>
      </c>
      <c r="J25" s="80">
        <v>35357.844069999999</v>
      </c>
      <c r="K25" s="80">
        <v>38722.813689999995</v>
      </c>
      <c r="L25" s="80">
        <f>K25-'Toim ja inv rahavirta'!L25</f>
        <v>39455.548559947711</v>
      </c>
      <c r="M25" s="80">
        <f>L25-'Toim ja inv rahavirta'!M25</f>
        <v>41884.042821128729</v>
      </c>
      <c r="N25" s="80">
        <f>M25-'Toim ja inv rahavirta'!N25</f>
        <v>43394.769709823049</v>
      </c>
      <c r="O25" s="80">
        <f>N25-'Toim ja inv rahavirta'!O25</f>
        <v>45102.916975356879</v>
      </c>
      <c r="P25" s="80">
        <f>O25-'Toim ja inv rahavirta'!P25</f>
        <v>45625.056515408432</v>
      </c>
      <c r="U25" s="34">
        <v>50</v>
      </c>
      <c r="V25" s="88" t="s">
        <v>338</v>
      </c>
      <c r="W25" s="41">
        <f>C25/'1. Väestöennuste'!E25*1000</f>
        <v>2195.7453825857519</v>
      </c>
      <c r="X25" s="41">
        <f>D25/'1. Väestöennuste'!F25*1000</f>
        <v>2409.4468510496504</v>
      </c>
      <c r="Y25" s="41">
        <f>E25/'1. Väestöennuste'!G25*1000</f>
        <v>2404.7858942065491</v>
      </c>
      <c r="Z25" s="41">
        <f>F25/'1. Väestöennuste'!H25*1000</f>
        <v>2645.726932243786</v>
      </c>
      <c r="AA25" s="41">
        <f>G25/'1. Väestöennuste'!I25*1000</f>
        <v>3514.6148555708392</v>
      </c>
      <c r="AB25" s="41">
        <f>H25/'1. Väestöennuste'!J25*1000</f>
        <v>3448.6632413132456</v>
      </c>
      <c r="AC25" s="41">
        <f>I25/'1. Väestöennuste'!K25*1000</f>
        <v>3303.6176456161861</v>
      </c>
      <c r="AD25" s="41">
        <f>J25/'1. Väestöennuste'!L25*1000</f>
        <v>3135.6725851365732</v>
      </c>
      <c r="AE25" s="41">
        <f>K25/'1. Väestöennuste'!M25*1000</f>
        <v>3462.3402798640914</v>
      </c>
      <c r="AF25" s="41">
        <f>L25/'1. Väestöennuste'!N25*1000</f>
        <v>3593.0742700981432</v>
      </c>
      <c r="AG25" s="41">
        <f>M25/'1. Väestöennuste'!O25*1000</f>
        <v>3854.9510189718112</v>
      </c>
      <c r="AH25" s="41">
        <f>N25/'1. Väestöennuste'!P25*1000</f>
        <v>4035.2212860166496</v>
      </c>
      <c r="AI25" s="41">
        <f>O25/'1. Väestöennuste'!Q25*1000</f>
        <v>4235.0156784372648</v>
      </c>
      <c r="AJ25" s="41">
        <f>P25/'1. Väestöennuste'!R25*1000</f>
        <v>4325.0598649548238</v>
      </c>
    </row>
    <row r="26" spans="1:36" x14ac:dyDescent="0.2">
      <c r="A26" s="30">
        <v>51</v>
      </c>
      <c r="B26" s="31" t="s">
        <v>339</v>
      </c>
      <c r="C26" s="81">
        <v>2983</v>
      </c>
      <c r="D26" s="46">
        <v>2565</v>
      </c>
      <c r="E26" s="46">
        <v>15454</v>
      </c>
      <c r="F26" s="46">
        <v>13642</v>
      </c>
      <c r="G26" s="80">
        <v>12112</v>
      </c>
      <c r="H26" s="80">
        <v>10455</v>
      </c>
      <c r="I26" s="80">
        <v>8781.6615200000015</v>
      </c>
      <c r="J26" s="80">
        <v>7282.3542199999993</v>
      </c>
      <c r="K26" s="80">
        <v>6123.1949199999999</v>
      </c>
      <c r="L26" s="80">
        <f>K26-'Toim ja inv rahavirta'!L26</f>
        <v>9801.0435368862527</v>
      </c>
      <c r="M26" s="80">
        <f>L26-'Toim ja inv rahavirta'!M26</f>
        <v>10716.251605908519</v>
      </c>
      <c r="N26" s="80">
        <f>M26-'Toim ja inv rahavirta'!N26</f>
        <v>10814.492740632617</v>
      </c>
      <c r="O26" s="80">
        <f>N26-'Toim ja inv rahavirta'!O26</f>
        <v>10806.152325908237</v>
      </c>
      <c r="P26" s="80">
        <f>O26-'Toim ja inv rahavirta'!P26</f>
        <v>9919.1697855896018</v>
      </c>
      <c r="U26" s="34">
        <v>51</v>
      </c>
      <c r="V26" s="88" t="s">
        <v>339</v>
      </c>
      <c r="W26" s="41">
        <f>C26/'1. Väestöennuste'!E26*1000</f>
        <v>321.20167976741681</v>
      </c>
      <c r="X26" s="41">
        <f>D26/'1. Väestöennuste'!F26*1000</f>
        <v>272.35081758335104</v>
      </c>
      <c r="Y26" s="41">
        <f>E26/'1. Väestöennuste'!G26*1000</f>
        <v>1623.1488289045269</v>
      </c>
      <c r="Z26" s="41">
        <f>F26/'1. Väestöennuste'!H26*1000</f>
        <v>1442.9870954093503</v>
      </c>
      <c r="AA26" s="41">
        <f>G26/'1. Väestöennuste'!I26*1000</f>
        <v>1288.2365454158692</v>
      </c>
      <c r="AB26" s="41">
        <f>H26/'1. Väestöennuste'!J26*1000</f>
        <v>1106.1151079136691</v>
      </c>
      <c r="AC26" s="41">
        <f>I26/'1. Väestöennuste'!K26*1000</f>
        <v>940.82510392114864</v>
      </c>
      <c r="AD26" s="41">
        <f>J26/'1. Väestöennuste'!L26*1000</f>
        <v>790.61494083161438</v>
      </c>
      <c r="AE26" s="41">
        <f>K26/'1. Väestöennuste'!M26*1000</f>
        <v>669.71398009406107</v>
      </c>
      <c r="AF26" s="41">
        <f>L26/'1. Väestöennuste'!N26*1000</f>
        <v>1025.106530371954</v>
      </c>
      <c r="AG26" s="41">
        <f>M26/'1. Väestöennuste'!O26*1000</f>
        <v>1120.0095741961245</v>
      </c>
      <c r="AH26" s="41">
        <f>N26/'1. Väestöennuste'!P26*1000</f>
        <v>1130.631755424215</v>
      </c>
      <c r="AI26" s="41">
        <f>O26/'1. Väestöennuste'!Q26*1000</f>
        <v>1130.4689115920323</v>
      </c>
      <c r="AJ26" s="41">
        <f>P26/'1. Väestöennuste'!R26*1000</f>
        <v>1038.8740873051531</v>
      </c>
    </row>
    <row r="27" spans="1:36" x14ac:dyDescent="0.2">
      <c r="A27" s="30">
        <v>52</v>
      </c>
      <c r="B27" s="31" t="s">
        <v>340</v>
      </c>
      <c r="C27" s="81">
        <v>3734</v>
      </c>
      <c r="D27" s="46">
        <v>4000</v>
      </c>
      <c r="E27" s="46">
        <v>4950</v>
      </c>
      <c r="F27" s="46">
        <v>5500</v>
      </c>
      <c r="G27" s="80">
        <v>6500</v>
      </c>
      <c r="H27" s="80">
        <v>9700</v>
      </c>
      <c r="I27" s="80">
        <v>9500</v>
      </c>
      <c r="J27" s="80">
        <v>9950</v>
      </c>
      <c r="K27" s="80">
        <v>8750</v>
      </c>
      <c r="L27" s="80">
        <f>K27-'Toim ja inv rahavirta'!L27</f>
        <v>9785.7230380186265</v>
      </c>
      <c r="M27" s="80">
        <f>L27-'Toim ja inv rahavirta'!M27</f>
        <v>11941.15872615122</v>
      </c>
      <c r="N27" s="80">
        <f>M27-'Toim ja inv rahavirta'!N27</f>
        <v>14231.797050547317</v>
      </c>
      <c r="O27" s="80">
        <f>N27-'Toim ja inv rahavirta'!O27</f>
        <v>16789.42688302754</v>
      </c>
      <c r="P27" s="80">
        <f>O27-'Toim ja inv rahavirta'!P27</f>
        <v>19377.899495870137</v>
      </c>
      <c r="U27" s="34">
        <v>52</v>
      </c>
      <c r="V27" s="88" t="s">
        <v>340</v>
      </c>
      <c r="W27" s="41">
        <f>C27/'1. Väestöennuste'!E27*1000</f>
        <v>1449.5341614906831</v>
      </c>
      <c r="X27" s="41">
        <f>D27/'1. Väestöennuste'!F27*1000</f>
        <v>1577.9092702169626</v>
      </c>
      <c r="Y27" s="41">
        <f>E27/'1. Väestöennuste'!G27*1000</f>
        <v>1980.7923169267708</v>
      </c>
      <c r="Z27" s="41">
        <f>F27/'1. Väestöennuste'!H27*1000</f>
        <v>2224.0194096239384</v>
      </c>
      <c r="AA27" s="41">
        <f>G27/'1. Väestöennuste'!I27*1000</f>
        <v>2680.4123711340203</v>
      </c>
      <c r="AB27" s="41">
        <f>H27/'1. Väestöennuste'!J27*1000</f>
        <v>4028.2392026578073</v>
      </c>
      <c r="AC27" s="41">
        <f>I27/'1. Väestöennuste'!K27*1000</f>
        <v>3951.747088186356</v>
      </c>
      <c r="AD27" s="41">
        <f>J27/'1. Väestöennuste'!L27*1000</f>
        <v>4241.2617220801367</v>
      </c>
      <c r="AE27" s="41">
        <f>K27/'1. Väestöennuste'!M27*1000</f>
        <v>3817.626527050611</v>
      </c>
      <c r="AF27" s="41">
        <f>L27/'1. Väestöennuste'!N27*1000</f>
        <v>4265.7903391537166</v>
      </c>
      <c r="AG27" s="41">
        <f>M27/'1. Väestöennuste'!O27*1000</f>
        <v>5262.7407343108061</v>
      </c>
      <c r="AH27" s="41">
        <f>N27/'1. Väestöennuste'!P27*1000</f>
        <v>6342.1555483722441</v>
      </c>
      <c r="AI27" s="41">
        <f>O27/'1. Väestöennuste'!Q27*1000</f>
        <v>7566.2131063666238</v>
      </c>
      <c r="AJ27" s="41">
        <f>P27/'1. Väestöennuste'!R27*1000</f>
        <v>8828.2002259089459</v>
      </c>
    </row>
    <row r="28" spans="1:36" x14ac:dyDescent="0.2">
      <c r="A28" s="30">
        <v>61</v>
      </c>
      <c r="B28" s="31" t="s">
        <v>341</v>
      </c>
      <c r="C28" s="81">
        <v>44485</v>
      </c>
      <c r="D28" s="46">
        <v>44959</v>
      </c>
      <c r="E28" s="46">
        <v>43225</v>
      </c>
      <c r="F28" s="46">
        <v>44942</v>
      </c>
      <c r="G28" s="80">
        <v>53650</v>
      </c>
      <c r="H28" s="80">
        <v>52814</v>
      </c>
      <c r="I28" s="80">
        <v>61574.165720000005</v>
      </c>
      <c r="J28" s="80">
        <v>65552.254310000004</v>
      </c>
      <c r="K28" s="80">
        <v>54312.897959999995</v>
      </c>
      <c r="L28" s="80">
        <f>K28-'Toim ja inv rahavirta'!L28</f>
        <v>58386.291963647731</v>
      </c>
      <c r="M28" s="80">
        <f>L28-'Toim ja inv rahavirta'!M28</f>
        <v>63424.776278781705</v>
      </c>
      <c r="N28" s="80">
        <f>M28-'Toim ja inv rahavirta'!N28</f>
        <v>68184.211834316811</v>
      </c>
      <c r="O28" s="80">
        <f>N28-'Toim ja inv rahavirta'!O28</f>
        <v>74209.700678758338</v>
      </c>
      <c r="P28" s="80">
        <f>O28-'Toim ja inv rahavirta'!P28</f>
        <v>78468.031953693717</v>
      </c>
      <c r="U28" s="34">
        <v>61</v>
      </c>
      <c r="V28" s="88" t="s">
        <v>341</v>
      </c>
      <c r="W28" s="41">
        <f>C28/'1. Väestöennuste'!E28*1000</f>
        <v>2553.3807829181496</v>
      </c>
      <c r="X28" s="41">
        <f>D28/'1. Väestöennuste'!F28*1000</f>
        <v>2593.9879990768522</v>
      </c>
      <c r="Y28" s="41">
        <f>E28/'1. Väestöennuste'!G28*1000</f>
        <v>2515.2749490835031</v>
      </c>
      <c r="Z28" s="41">
        <f>F28/'1. Väestöennuste'!H28*1000</f>
        <v>2639.2999765092791</v>
      </c>
      <c r="AA28" s="41">
        <f>G28/'1. Väestöennuste'!I28*1000</f>
        <v>3174.3683805691967</v>
      </c>
      <c r="AB28" s="41">
        <f>H28/'1. Väestöennuste'!J28*1000</f>
        <v>3143.6904761904761</v>
      </c>
      <c r="AC28" s="41">
        <f>I28/'1. Väestöennuste'!K28*1000</f>
        <v>3715.3300983527424</v>
      </c>
      <c r="AD28" s="41">
        <f>J28/'1. Väestöennuste'!L28*1000</f>
        <v>3982.760453855034</v>
      </c>
      <c r="AE28" s="41">
        <f>K28/'1. Väestöennuste'!M28*1000</f>
        <v>3297.8868152286109</v>
      </c>
      <c r="AF28" s="41">
        <f>L28/'1. Väestöennuste'!N28*1000</f>
        <v>3585.060294955651</v>
      </c>
      <c r="AG28" s="41">
        <f>M28/'1. Väestöennuste'!O28*1000</f>
        <v>3924.314829772411</v>
      </c>
      <c r="AH28" s="41">
        <f>N28/'1. Väestöennuste'!P28*1000</f>
        <v>4249.8262175465479</v>
      </c>
      <c r="AI28" s="41">
        <f>O28/'1. Väestöennuste'!Q28*1000</f>
        <v>4660.5351176762133</v>
      </c>
      <c r="AJ28" s="41">
        <f>P28/'1. Väestöennuste'!R28*1000</f>
        <v>4965.388341055098</v>
      </c>
    </row>
    <row r="29" spans="1:36" x14ac:dyDescent="0.2">
      <c r="A29" s="30">
        <v>69</v>
      </c>
      <c r="B29" s="31" t="s">
        <v>342</v>
      </c>
      <c r="C29" s="81">
        <v>29908</v>
      </c>
      <c r="D29" s="46">
        <v>32615</v>
      </c>
      <c r="E29" s="46">
        <v>34361</v>
      </c>
      <c r="F29" s="46">
        <v>34091</v>
      </c>
      <c r="G29" s="80">
        <v>39056</v>
      </c>
      <c r="H29" s="80">
        <v>41851</v>
      </c>
      <c r="I29" s="80">
        <v>41550.938999999998</v>
      </c>
      <c r="J29" s="80">
        <v>42914.695</v>
      </c>
      <c r="K29" s="80">
        <v>56813.516240000004</v>
      </c>
      <c r="L29" s="80">
        <f>K29-'Toim ja inv rahavirta'!L29</f>
        <v>58316.210706929247</v>
      </c>
      <c r="M29" s="80">
        <f>L29-'Toim ja inv rahavirta'!M29</f>
        <v>62861.140638847522</v>
      </c>
      <c r="N29" s="80">
        <f>M29-'Toim ja inv rahavirta'!N29</f>
        <v>66524.408879655763</v>
      </c>
      <c r="O29" s="80">
        <f>N29-'Toim ja inv rahavirta'!O29</f>
        <v>70495.494082252524</v>
      </c>
      <c r="P29" s="80">
        <f>O29-'Toim ja inv rahavirta'!P29</f>
        <v>73884.069661786431</v>
      </c>
      <c r="U29" s="34">
        <v>69</v>
      </c>
      <c r="V29" s="88" t="s">
        <v>342</v>
      </c>
      <c r="W29" s="41">
        <f>C29/'1. Väestöennuste'!E29*1000</f>
        <v>4020.9733799408446</v>
      </c>
      <c r="X29" s="41">
        <f>D29/'1. Väestöennuste'!F29*1000</f>
        <v>4448.3087834151665</v>
      </c>
      <c r="Y29" s="41">
        <f>E29/'1. Väestöennuste'!G29*1000</f>
        <v>4738.7946490139293</v>
      </c>
      <c r="Z29" s="41">
        <f>F29/'1. Väestöennuste'!H29*1000</f>
        <v>4769.9734154190564</v>
      </c>
      <c r="AA29" s="41">
        <f>G29/'1. Väestöennuste'!I29*1000</f>
        <v>5571.4693295292445</v>
      </c>
      <c r="AB29" s="41">
        <f>H29/'1. Väestöennuste'!J29*1000</f>
        <v>6068.8805104408357</v>
      </c>
      <c r="AC29" s="41">
        <f>I29/'1. Väestöennuste'!K29*1000</f>
        <v>6108.6355483681264</v>
      </c>
      <c r="AD29" s="41">
        <f>J29/'1. Väestöennuste'!L29*1000</f>
        <v>6417.6304770450124</v>
      </c>
      <c r="AE29" s="41">
        <f>K29/'1. Väestöennuste'!M29*1000</f>
        <v>8663.238218969198</v>
      </c>
      <c r="AF29" s="41">
        <f>L29/'1. Väestöennuste'!N29*1000</f>
        <v>9018.9005114335359</v>
      </c>
      <c r="AG29" s="41">
        <f>M29/'1. Väestöennuste'!O29*1000</f>
        <v>9869.8603609432448</v>
      </c>
      <c r="AH29" s="41">
        <f>N29/'1. Väestöennuste'!P29*1000</f>
        <v>10603.18917431555</v>
      </c>
      <c r="AI29" s="41">
        <f>O29/'1. Väestöennuste'!Q29*1000</f>
        <v>11399.659457026604</v>
      </c>
      <c r="AJ29" s="41">
        <f>P29/'1. Väestöennuste'!R29*1000</f>
        <v>12122.078697585961</v>
      </c>
    </row>
    <row r="30" spans="1:36" x14ac:dyDescent="0.2">
      <c r="A30" s="30">
        <v>71</v>
      </c>
      <c r="B30" s="31" t="s">
        <v>343</v>
      </c>
      <c r="C30" s="81">
        <v>25977</v>
      </c>
      <c r="D30" s="46">
        <v>27774</v>
      </c>
      <c r="E30" s="46">
        <v>30900</v>
      </c>
      <c r="F30" s="46">
        <v>28246</v>
      </c>
      <c r="G30" s="80">
        <v>27424</v>
      </c>
      <c r="H30" s="80">
        <v>31001</v>
      </c>
      <c r="I30" s="80">
        <v>39444</v>
      </c>
      <c r="J30" s="80">
        <v>42592</v>
      </c>
      <c r="K30" s="80">
        <v>42655.384610000001</v>
      </c>
      <c r="L30" s="80">
        <f>K30-'Toim ja inv rahavirta'!L30</f>
        <v>44013.216717126408</v>
      </c>
      <c r="M30" s="80">
        <f>L30-'Toim ja inv rahavirta'!M30</f>
        <v>47246.419299025074</v>
      </c>
      <c r="N30" s="80">
        <f>M30-'Toim ja inv rahavirta'!N30</f>
        <v>50175.598726973592</v>
      </c>
      <c r="O30" s="80">
        <f>N30-'Toim ja inv rahavirta'!O30</f>
        <v>52932.546244804238</v>
      </c>
      <c r="P30" s="80">
        <f>O30-'Toim ja inv rahavirta'!P30</f>
        <v>54914.486650292813</v>
      </c>
      <c r="U30" s="34">
        <v>71</v>
      </c>
      <c r="V30" s="88" t="s">
        <v>343</v>
      </c>
      <c r="W30" s="41">
        <f>C30/'1. Väestöennuste'!E30*1000</f>
        <v>3624.5290916701551</v>
      </c>
      <c r="X30" s="41">
        <f>D30/'1. Väestöennuste'!F30*1000</f>
        <v>3912.9332206255281</v>
      </c>
      <c r="Y30" s="41">
        <f>E30/'1. Väestöennuste'!G30*1000</f>
        <v>4433.2855093256821</v>
      </c>
      <c r="Z30" s="41">
        <f>F30/'1. Väestöennuste'!H30*1000</f>
        <v>4121.0971695360377</v>
      </c>
      <c r="AA30" s="41">
        <f>G30/'1. Väestöennuste'!I30*1000</f>
        <v>4058.0053270198287</v>
      </c>
      <c r="AB30" s="41">
        <f>H30/'1. Väestöennuste'!J30*1000</f>
        <v>4649.9175041247936</v>
      </c>
      <c r="AC30" s="41">
        <f>I30/'1. Väestöennuste'!K30*1000</f>
        <v>5964.6151519733858</v>
      </c>
      <c r="AD30" s="41">
        <f>J30/'1. Väestöennuste'!L30*1000</f>
        <v>6462.1453497193143</v>
      </c>
      <c r="AE30" s="41">
        <f>K30/'1. Väestöennuste'!M30*1000</f>
        <v>6589.7396276842273</v>
      </c>
      <c r="AF30" s="41">
        <f>L30/'1. Väestöennuste'!N30*1000</f>
        <v>6989.5532344174062</v>
      </c>
      <c r="AG30" s="41">
        <f>M30/'1. Väestöennuste'!O30*1000</f>
        <v>7603.2216445164267</v>
      </c>
      <c r="AH30" s="41">
        <f>N30/'1. Väestöennuste'!P30*1000</f>
        <v>8178.5816995881987</v>
      </c>
      <c r="AI30" s="41">
        <f>O30/'1. Väestöennuste'!Q30*1000</f>
        <v>8734.7436047531755</v>
      </c>
      <c r="AJ30" s="41">
        <f>P30/'1. Väestöennuste'!R30*1000</f>
        <v>9167.6939316014723</v>
      </c>
    </row>
    <row r="31" spans="1:36" x14ac:dyDescent="0.2">
      <c r="A31" s="30">
        <v>72</v>
      </c>
      <c r="B31" s="31" t="s">
        <v>344</v>
      </c>
      <c r="C31" s="81">
        <v>2190</v>
      </c>
      <c r="D31" s="46">
        <v>2508</v>
      </c>
      <c r="E31" s="46">
        <v>2232</v>
      </c>
      <c r="F31" s="46">
        <v>1956</v>
      </c>
      <c r="G31" s="80">
        <v>2580</v>
      </c>
      <c r="H31" s="80">
        <v>2244</v>
      </c>
      <c r="I31" s="80">
        <v>2208.3389999999999</v>
      </c>
      <c r="J31" s="80">
        <v>1842.4169999999997</v>
      </c>
      <c r="K31" s="80">
        <v>1501.4949999999999</v>
      </c>
      <c r="L31" s="80">
        <f>K31-'Toim ja inv rahavirta'!L31</f>
        <v>1359.8827838092</v>
      </c>
      <c r="M31" s="80">
        <f>L31-'Toim ja inv rahavirta'!M31</f>
        <v>1228.210827513695</v>
      </c>
      <c r="N31" s="80">
        <f>M31-'Toim ja inv rahavirta'!N31</f>
        <v>1243.8196188583929</v>
      </c>
      <c r="O31" s="80">
        <f>N31-'Toim ja inv rahavirta'!O31</f>
        <v>1332.6001892973022</v>
      </c>
      <c r="P31" s="80">
        <f>O31-'Toim ja inv rahavirta'!P31</f>
        <v>1387.7796176307968</v>
      </c>
      <c r="U31" s="34">
        <v>72</v>
      </c>
      <c r="V31" s="88" t="s">
        <v>344</v>
      </c>
      <c r="W31" s="41">
        <f>C31/'1. Väestöennuste'!E31*1000</f>
        <v>2205.4380664652567</v>
      </c>
      <c r="X31" s="41">
        <f>D31/'1. Väestöennuste'!F31*1000</f>
        <v>2523.1388329979877</v>
      </c>
      <c r="Y31" s="41">
        <f>E31/'1. Väestöennuste'!G31*1000</f>
        <v>2308.1695966907964</v>
      </c>
      <c r="Z31" s="41">
        <f>F31/'1. Väestöennuste'!H31*1000</f>
        <v>2008.2135523613963</v>
      </c>
      <c r="AA31" s="41">
        <f>G31/'1. Väestöennuste'!I31*1000</f>
        <v>2690.3023983315952</v>
      </c>
      <c r="AB31" s="41">
        <f>H31/'1. Väestöennuste'!J31*1000</f>
        <v>2364.5943097997892</v>
      </c>
      <c r="AC31" s="41">
        <f>I31/'1. Väestöennuste'!K31*1000</f>
        <v>2324.5673684210524</v>
      </c>
      <c r="AD31" s="41">
        <f>J31/'1. Väestöennuste'!L31*1000</f>
        <v>1919.1843749999998</v>
      </c>
      <c r="AE31" s="41">
        <f>K31/'1. Väestöennuste'!M31*1000</f>
        <v>1583.8554852320674</v>
      </c>
      <c r="AF31" s="41">
        <f>L31/'1. Väestöennuste'!N31*1000</f>
        <v>1468.5559220401726</v>
      </c>
      <c r="AG31" s="41">
        <f>M31/'1. Väestöennuste'!O31*1000</f>
        <v>1335.0117690366251</v>
      </c>
      <c r="AH31" s="41">
        <f>N31/'1. Väestöennuste'!P31*1000</f>
        <v>1360.852974680955</v>
      </c>
      <c r="AI31" s="41">
        <f>O31/'1. Väestöennuste'!Q31*1000</f>
        <v>1467.6213538516545</v>
      </c>
      <c r="AJ31" s="41">
        <f>P31/'1. Väestöennuste'!R31*1000</f>
        <v>1540.2659463160896</v>
      </c>
    </row>
    <row r="32" spans="1:36" x14ac:dyDescent="0.2">
      <c r="A32" s="30">
        <v>74</v>
      </c>
      <c r="B32" s="31" t="s">
        <v>345</v>
      </c>
      <c r="C32" s="81">
        <v>3708</v>
      </c>
      <c r="D32" s="46">
        <v>4054</v>
      </c>
      <c r="E32" s="46">
        <v>3952</v>
      </c>
      <c r="F32" s="46">
        <v>4396</v>
      </c>
      <c r="G32" s="80">
        <v>4939</v>
      </c>
      <c r="H32" s="80">
        <v>4682</v>
      </c>
      <c r="I32" s="80">
        <v>5501.1397800000004</v>
      </c>
      <c r="J32" s="80">
        <v>5294.3656899999996</v>
      </c>
      <c r="K32" s="80">
        <v>5083.1761099999994</v>
      </c>
      <c r="L32" s="80">
        <f>K32-'Toim ja inv rahavirta'!L32</f>
        <v>5309.6396936373449</v>
      </c>
      <c r="M32" s="80">
        <f>L32-'Toim ja inv rahavirta'!M32</f>
        <v>5858.1878678655776</v>
      </c>
      <c r="N32" s="80">
        <f>M32-'Toim ja inv rahavirta'!N32</f>
        <v>6539.4811900406057</v>
      </c>
      <c r="O32" s="80">
        <f>N32-'Toim ja inv rahavirta'!O32</f>
        <v>7390.2751730757263</v>
      </c>
      <c r="P32" s="80">
        <f>O32-'Toim ja inv rahavirta'!P32</f>
        <v>8204.7098093179939</v>
      </c>
      <c r="U32" s="34">
        <v>74</v>
      </c>
      <c r="V32" s="88" t="s">
        <v>345</v>
      </c>
      <c r="W32" s="41">
        <f>C32/'1. Väestöennuste'!E32*1000</f>
        <v>3026.9387755102039</v>
      </c>
      <c r="X32" s="41">
        <f>D32/'1. Väestöennuste'!F32*1000</f>
        <v>3325.6767842493846</v>
      </c>
      <c r="Y32" s="41">
        <f>E32/'1. Väestöennuste'!G32*1000</f>
        <v>3374.8932536293769</v>
      </c>
      <c r="Z32" s="41">
        <f>F32/'1. Väestöennuste'!H32*1000</f>
        <v>3773.3905579399143</v>
      </c>
      <c r="AA32" s="41">
        <f>G32/'1. Väestöennuste'!I32*1000</f>
        <v>4382.4312333629105</v>
      </c>
      <c r="AB32" s="41">
        <f>H32/'1. Väestöennuste'!J32*1000</f>
        <v>4244.7869446962823</v>
      </c>
      <c r="AC32" s="41">
        <f>I32/'1. Väestöennuste'!K32*1000</f>
        <v>5079.5381163434904</v>
      </c>
      <c r="AD32" s="41">
        <f>J32/'1. Väestöennuste'!L32*1000</f>
        <v>5032.6670057034216</v>
      </c>
      <c r="AE32" s="41">
        <f>K32/'1. Väestöennuste'!M32*1000</f>
        <v>5017.9428529121415</v>
      </c>
      <c r="AF32" s="41">
        <f>L32/'1. Väestöennuste'!N32*1000</f>
        <v>5304.335358279066</v>
      </c>
      <c r="AG32" s="41">
        <f>M32/'1. Väestöennuste'!O32*1000</f>
        <v>5983.8486903632047</v>
      </c>
      <c r="AH32" s="41">
        <f>N32/'1. Väestöennuste'!P32*1000</f>
        <v>6819.0627633374406</v>
      </c>
      <c r="AI32" s="41">
        <f>O32/'1. Väestöennuste'!Q32*1000</f>
        <v>7861.9948649741773</v>
      </c>
      <c r="AJ32" s="41">
        <f>P32/'1. Väestöennuste'!R32*1000</f>
        <v>8898.8175806051986</v>
      </c>
    </row>
    <row r="33" spans="1:36" x14ac:dyDescent="0.2">
      <c r="A33" s="30">
        <v>75</v>
      </c>
      <c r="B33" s="31" t="s">
        <v>346</v>
      </c>
      <c r="C33" s="81">
        <v>81902</v>
      </c>
      <c r="D33" s="46">
        <v>81816</v>
      </c>
      <c r="E33" s="46">
        <v>86021</v>
      </c>
      <c r="F33" s="46">
        <v>83868</v>
      </c>
      <c r="G33" s="80">
        <v>87192</v>
      </c>
      <c r="H33" s="80">
        <v>84601</v>
      </c>
      <c r="I33" s="80">
        <v>75440.040979999991</v>
      </c>
      <c r="J33" s="80">
        <v>63001.755020000011</v>
      </c>
      <c r="K33" s="80">
        <v>77871.547539999985</v>
      </c>
      <c r="L33" s="80">
        <f>K33-'Toim ja inv rahavirta'!L33</f>
        <v>86541.938097533377</v>
      </c>
      <c r="M33" s="80">
        <f>L33-'Toim ja inv rahavirta'!M33</f>
        <v>102296.30740164623</v>
      </c>
      <c r="N33" s="80">
        <f>M33-'Toim ja inv rahavirta'!N33</f>
        <v>115054.90677177257</v>
      </c>
      <c r="O33" s="80">
        <f>N33-'Toim ja inv rahavirta'!O33</f>
        <v>128281.38713267032</v>
      </c>
      <c r="P33" s="80">
        <f>O33-'Toim ja inv rahavirta'!P33</f>
        <v>139797.13689641719</v>
      </c>
      <c r="U33" s="34">
        <v>75</v>
      </c>
      <c r="V33" s="88" t="s">
        <v>346</v>
      </c>
      <c r="W33" s="41">
        <f>C33/'1. Väestöennuste'!E33*1000</f>
        <v>3927.9650856074049</v>
      </c>
      <c r="X33" s="41">
        <f>D33/'1. Väestöennuste'!F33*1000</f>
        <v>3964.7218453188602</v>
      </c>
      <c r="Y33" s="41">
        <f>E33/'1. Väestöennuste'!G33*1000</f>
        <v>4197.5796613477778</v>
      </c>
      <c r="Z33" s="41">
        <f>F33/'1. Väestöennuste'!H33*1000</f>
        <v>4134.2797988760722</v>
      </c>
      <c r="AA33" s="41">
        <f>G33/'1. Väestöennuste'!I33*1000</f>
        <v>4335.5377654020185</v>
      </c>
      <c r="AB33" s="41">
        <f>H33/'1. Väestöennuste'!J33*1000</f>
        <v>4256.2257885998888</v>
      </c>
      <c r="AC33" s="41">
        <f>I33/'1. Väestöennuste'!K33*1000</f>
        <v>3829.0549680235504</v>
      </c>
      <c r="AD33" s="41">
        <f>J33/'1. Väestöennuste'!L33*1000</f>
        <v>3222.7610118164616</v>
      </c>
      <c r="AE33" s="41">
        <f>K33/'1. Väestöennuste'!M33*1000</f>
        <v>3986.4619402068179</v>
      </c>
      <c r="AF33" s="41">
        <f>L33/'1. Väestöennuste'!N33*1000</f>
        <v>4531.4660224910131</v>
      </c>
      <c r="AG33" s="41">
        <f>M33/'1. Väestöennuste'!O33*1000</f>
        <v>5408.4967432402573</v>
      </c>
      <c r="AH33" s="41">
        <f>N33/'1. Väestöennuste'!P33*1000</f>
        <v>6141.5024432461078</v>
      </c>
      <c r="AI33" s="41">
        <f>O33/'1. Väestöennuste'!Q33*1000</f>
        <v>6912.4575456768143</v>
      </c>
      <c r="AJ33" s="41">
        <f>P33/'1. Väestöennuste'!R33*1000</f>
        <v>7607.1794578232129</v>
      </c>
    </row>
    <row r="34" spans="1:36" x14ac:dyDescent="0.2">
      <c r="A34" s="30">
        <v>77</v>
      </c>
      <c r="B34" s="31" t="s">
        <v>347</v>
      </c>
      <c r="C34" s="81">
        <v>9185</v>
      </c>
      <c r="D34" s="46">
        <v>10417</v>
      </c>
      <c r="E34" s="46">
        <v>11601</v>
      </c>
      <c r="F34" s="46">
        <v>11916</v>
      </c>
      <c r="G34" s="80">
        <v>13189</v>
      </c>
      <c r="H34" s="80">
        <v>6258</v>
      </c>
      <c r="I34" s="80">
        <v>5501.496000000001</v>
      </c>
      <c r="J34" s="80">
        <v>4920.0039999999999</v>
      </c>
      <c r="K34" s="80">
        <v>4338.5119999999997</v>
      </c>
      <c r="L34" s="80">
        <f>K34-'Toim ja inv rahavirta'!L34</f>
        <v>4040.4800509870765</v>
      </c>
      <c r="M34" s="80">
        <f>L34-'Toim ja inv rahavirta'!M34</f>
        <v>4684.8884839132916</v>
      </c>
      <c r="N34" s="80">
        <f>M34-'Toim ja inv rahavirta'!N34</f>
        <v>5591.8807480701644</v>
      </c>
      <c r="O34" s="80">
        <f>N34-'Toim ja inv rahavirta'!O34</f>
        <v>6722.4238381881514</v>
      </c>
      <c r="P34" s="80">
        <f>O34-'Toim ja inv rahavirta'!P34</f>
        <v>7478.4964695572335</v>
      </c>
      <c r="U34" s="34">
        <v>77</v>
      </c>
      <c r="V34" s="88" t="s">
        <v>347</v>
      </c>
      <c r="W34" s="41">
        <f>C34/'1. Väestöennuste'!E34*1000</f>
        <v>1752.8625954198474</v>
      </c>
      <c r="X34" s="41">
        <f>D34/'1. Väestöennuste'!F34*1000</f>
        <v>2019.1897654584222</v>
      </c>
      <c r="Y34" s="41">
        <f>E34/'1. Väestöennuste'!G34*1000</f>
        <v>2311.4166168559477</v>
      </c>
      <c r="Z34" s="41">
        <f>F34/'1. Väestöennuste'!H34*1000</f>
        <v>2412.6341364648715</v>
      </c>
      <c r="AA34" s="41">
        <f>G34/'1. Väestöennuste'!I34*1000</f>
        <v>2705.4358974358975</v>
      </c>
      <c r="AB34" s="41">
        <f>H34/'1. Väestöennuste'!J34*1000</f>
        <v>1308.6574654956084</v>
      </c>
      <c r="AC34" s="41">
        <f>I34/'1. Väestöennuste'!K34*1000</f>
        <v>1174.7802690582962</v>
      </c>
      <c r="AD34" s="41">
        <f>J34/'1. Väestöennuste'!L34*1000</f>
        <v>1069.3336231254075</v>
      </c>
      <c r="AE34" s="41">
        <f>K34/'1. Väestöennuste'!M34*1000</f>
        <v>953.72873158936022</v>
      </c>
      <c r="AF34" s="41">
        <f>L34/'1. Väestöennuste'!N34*1000</f>
        <v>903.70835405660398</v>
      </c>
      <c r="AG34" s="41">
        <f>M34/'1. Väestöennuste'!O34*1000</f>
        <v>1063.7803096987493</v>
      </c>
      <c r="AH34" s="41">
        <f>N34/'1. Väestöennuste'!P34*1000</f>
        <v>1288.4517852696231</v>
      </c>
      <c r="AI34" s="41">
        <f>O34/'1. Väestöennuste'!Q34*1000</f>
        <v>1571.0268376228444</v>
      </c>
      <c r="AJ34" s="41">
        <f>P34/'1. Väestöennuste'!R34*1000</f>
        <v>1773.4162839832188</v>
      </c>
    </row>
    <row r="35" spans="1:36" x14ac:dyDescent="0.2">
      <c r="A35" s="30">
        <v>78</v>
      </c>
      <c r="B35" s="31" t="s">
        <v>348</v>
      </c>
      <c r="C35" s="81">
        <v>65638</v>
      </c>
      <c r="D35" s="46">
        <v>65412</v>
      </c>
      <c r="E35" s="46">
        <v>61921</v>
      </c>
      <c r="F35" s="46">
        <v>60350</v>
      </c>
      <c r="G35" s="80">
        <v>64286</v>
      </c>
      <c r="H35" s="80">
        <v>61403</v>
      </c>
      <c r="I35" s="80">
        <v>55520.006000000001</v>
      </c>
      <c r="J35" s="80">
        <v>48636.673999999999</v>
      </c>
      <c r="K35" s="80">
        <v>49253.341999999997</v>
      </c>
      <c r="L35" s="80">
        <f>K35-'Toim ja inv rahavirta'!L35</f>
        <v>48689.19257232159</v>
      </c>
      <c r="M35" s="80">
        <f>L35-'Toim ja inv rahavirta'!M35</f>
        <v>48696.505639085008</v>
      </c>
      <c r="N35" s="80">
        <f>M35-'Toim ja inv rahavirta'!N35</f>
        <v>47996.991679933875</v>
      </c>
      <c r="O35" s="80">
        <f>N35-'Toim ja inv rahavirta'!O35</f>
        <v>47178.510676559228</v>
      </c>
      <c r="P35" s="80">
        <f>O35-'Toim ja inv rahavirta'!P35</f>
        <v>45628.478314286018</v>
      </c>
      <c r="U35" s="34">
        <v>78</v>
      </c>
      <c r="V35" s="88" t="s">
        <v>348</v>
      </c>
      <c r="W35" s="41">
        <f>C35/'1. Väestöennuste'!E35*1000</f>
        <v>7405.0090252707587</v>
      </c>
      <c r="X35" s="41">
        <f>D35/'1. Väestöennuste'!F35*1000</f>
        <v>7550.7330024241028</v>
      </c>
      <c r="Y35" s="41">
        <f>E35/'1. Väestöennuste'!G35*1000</f>
        <v>7270.2829634847949</v>
      </c>
      <c r="Z35" s="41">
        <f>F35/'1. Väestöennuste'!H35*1000</f>
        <v>7202.5301348609619</v>
      </c>
      <c r="AA35" s="41">
        <f>G35/'1. Väestöennuste'!I35*1000</f>
        <v>7840.7122819856077</v>
      </c>
      <c r="AB35" s="41">
        <f>H35/'1. Väestöennuste'!J35*1000</f>
        <v>7635.2897289231532</v>
      </c>
      <c r="AC35" s="41">
        <f>I35/'1. Väestöennuste'!K35*1000</f>
        <v>6958.2661987717756</v>
      </c>
      <c r="AD35" s="41">
        <f>J35/'1. Väestöennuste'!L35*1000</f>
        <v>6209.9941266598571</v>
      </c>
      <c r="AE35" s="41">
        <f>K35/'1. Väestöennuste'!M35*1000</f>
        <v>6379.1402668048177</v>
      </c>
      <c r="AF35" s="41">
        <f>L35/'1. Väestöennuste'!N35*1000</f>
        <v>6520.582907770402</v>
      </c>
      <c r="AG35" s="41">
        <f>M35/'1. Väestöennuste'!O35*1000</f>
        <v>6627.1782306865825</v>
      </c>
      <c r="AH35" s="41">
        <f>N35/'1. Väestöennuste'!P35*1000</f>
        <v>6633.0834272987659</v>
      </c>
      <c r="AI35" s="41">
        <f>O35/'1. Väestöennuste'!Q35*1000</f>
        <v>6620.6161488295293</v>
      </c>
      <c r="AJ35" s="41">
        <f>P35/'1. Väestöennuste'!R35*1000</f>
        <v>6496.0817645623601</v>
      </c>
    </row>
    <row r="36" spans="1:36" x14ac:dyDescent="0.2">
      <c r="A36" s="30">
        <v>79</v>
      </c>
      <c r="B36" s="31" t="s">
        <v>349</v>
      </c>
      <c r="C36" s="81">
        <v>11857</v>
      </c>
      <c r="D36" s="46">
        <v>15714</v>
      </c>
      <c r="E36" s="46">
        <v>16429</v>
      </c>
      <c r="F36" s="46">
        <v>17643</v>
      </c>
      <c r="G36" s="80">
        <v>21214</v>
      </c>
      <c r="H36" s="80">
        <v>19572</v>
      </c>
      <c r="I36" s="80">
        <v>20714.296349999997</v>
      </c>
      <c r="J36" s="80">
        <v>16857.157469999998</v>
      </c>
      <c r="K36" s="80">
        <v>19142.865730000001</v>
      </c>
      <c r="L36" s="80">
        <f>K36-'Toim ja inv rahavirta'!L36</f>
        <v>21993.596279728306</v>
      </c>
      <c r="M36" s="80">
        <f>L36-'Toim ja inv rahavirta'!M36</f>
        <v>26584.695638187291</v>
      </c>
      <c r="N36" s="80">
        <f>M36-'Toim ja inv rahavirta'!N36</f>
        <v>31208.816799655287</v>
      </c>
      <c r="O36" s="80">
        <f>N36-'Toim ja inv rahavirta'!O36</f>
        <v>35606.441450462284</v>
      </c>
      <c r="P36" s="80">
        <f>O36-'Toim ja inv rahavirta'!P36</f>
        <v>39342.303060107515</v>
      </c>
      <c r="U36" s="34">
        <v>79</v>
      </c>
      <c r="V36" s="88" t="s">
        <v>349</v>
      </c>
      <c r="W36" s="41">
        <f>C36/'1. Väestöennuste'!E36*1000</f>
        <v>1625.1370614035088</v>
      </c>
      <c r="X36" s="41">
        <f>D36/'1. Väestöennuste'!F36*1000</f>
        <v>2170.441988950276</v>
      </c>
      <c r="Y36" s="41">
        <f>E36/'1. Väestöennuste'!G36*1000</f>
        <v>2297.4409173542163</v>
      </c>
      <c r="Z36" s="41">
        <f>F36/'1. Väestöennuste'!H36*1000</f>
        <v>2513.9640923339985</v>
      </c>
      <c r="AA36" s="41">
        <f>G36/'1. Väestöennuste'!I36*1000</f>
        <v>3060.7415957293319</v>
      </c>
      <c r="AB36" s="41">
        <f>H36/'1. Väestöennuste'!J36*1000</f>
        <v>2849.3230455670405</v>
      </c>
      <c r="AC36" s="41">
        <f>I36/'1. Väestöennuste'!K36*1000</f>
        <v>3052.9545099484153</v>
      </c>
      <c r="AD36" s="41">
        <f>J36/'1. Väestöennuste'!L36*1000</f>
        <v>2496.2472190137714</v>
      </c>
      <c r="AE36" s="41">
        <f>K36/'1. Väestöennuste'!M36*1000</f>
        <v>2855.8653931075642</v>
      </c>
      <c r="AF36" s="41">
        <f>L36/'1. Väestöennuste'!N36*1000</f>
        <v>3354.7279255229269</v>
      </c>
      <c r="AG36" s="41">
        <f>M36/'1. Väestöennuste'!O36*1000</f>
        <v>4098.1494740538446</v>
      </c>
      <c r="AH36" s="41">
        <f>N36/'1. Väestöennuste'!P36*1000</f>
        <v>4859.672500724897</v>
      </c>
      <c r="AI36" s="41">
        <f>O36/'1. Väestöennuste'!Q36*1000</f>
        <v>5599.3774886715337</v>
      </c>
      <c r="AJ36" s="41">
        <f>P36/'1. Väestöennuste'!R36*1000</f>
        <v>6244.8100095408754</v>
      </c>
    </row>
    <row r="37" spans="1:36" x14ac:dyDescent="0.2">
      <c r="A37" s="30">
        <v>81</v>
      </c>
      <c r="B37" s="31" t="s">
        <v>350</v>
      </c>
      <c r="C37" s="81">
        <v>14152</v>
      </c>
      <c r="D37" s="46">
        <v>15397</v>
      </c>
      <c r="E37" s="46">
        <v>13468</v>
      </c>
      <c r="F37" s="46">
        <v>12556</v>
      </c>
      <c r="G37" s="80">
        <v>11159</v>
      </c>
      <c r="H37" s="80">
        <v>11269</v>
      </c>
      <c r="I37" s="80">
        <v>13656.548000000001</v>
      </c>
      <c r="J37" s="80">
        <v>10853.821</v>
      </c>
      <c r="K37" s="80">
        <v>10529.801039999998</v>
      </c>
      <c r="L37" s="80">
        <f>K37-'Toim ja inv rahavirta'!L37</f>
        <v>11188.18563891371</v>
      </c>
      <c r="M37" s="80">
        <f>L37-'Toim ja inv rahavirta'!M37</f>
        <v>12839.691178838711</v>
      </c>
      <c r="N37" s="80">
        <f>M37-'Toim ja inv rahavirta'!N37</f>
        <v>15009.192941079848</v>
      </c>
      <c r="O37" s="80">
        <f>N37-'Toim ja inv rahavirta'!O37</f>
        <v>17279.100461694848</v>
      </c>
      <c r="P37" s="80">
        <f>O37-'Toim ja inv rahavirta'!P37</f>
        <v>19304.618508390922</v>
      </c>
      <c r="U37" s="34">
        <v>81</v>
      </c>
      <c r="V37" s="88" t="s">
        <v>350</v>
      </c>
      <c r="W37" s="41">
        <f>C37/'1. Väestöennuste'!E37*1000</f>
        <v>4745.8081824279006</v>
      </c>
      <c r="X37" s="41">
        <f>D37/'1. Väestöennuste'!F37*1000</f>
        <v>5265.7318741450072</v>
      </c>
      <c r="Y37" s="41">
        <f>E37/'1. Väestöennuste'!G37*1000</f>
        <v>4673.1436502428869</v>
      </c>
      <c r="Z37" s="41">
        <f>F37/'1. Väestöennuste'!H37*1000</f>
        <v>4516.5467625899282</v>
      </c>
      <c r="AA37" s="41">
        <f>G37/'1. Väestöennuste'!I37*1000</f>
        <v>4137.5602521319988</v>
      </c>
      <c r="AB37" s="41">
        <f>H37/'1. Väestöennuste'!J37*1000</f>
        <v>4244.4444444444443</v>
      </c>
      <c r="AC37" s="41">
        <f>I37/'1. Väestöennuste'!K37*1000</f>
        <v>5210.4341854254108</v>
      </c>
      <c r="AD37" s="41">
        <f>J37/'1. Väestöennuste'!L37*1000</f>
        <v>4216.7136752136757</v>
      </c>
      <c r="AE37" s="41">
        <f>K37/'1. Väestöennuste'!M37*1000</f>
        <v>4160.3322955353606</v>
      </c>
      <c r="AF37" s="41">
        <f>L37/'1. Väestöennuste'!N37*1000</f>
        <v>4615.5881348653911</v>
      </c>
      <c r="AG37" s="41">
        <f>M37/'1. Väestöennuste'!O37*1000</f>
        <v>5399.3655083426038</v>
      </c>
      <c r="AH37" s="41">
        <f>N37/'1. Väestöennuste'!P37*1000</f>
        <v>6422.4188879246249</v>
      </c>
      <c r="AI37" s="41">
        <f>O37/'1. Väestöennuste'!Q37*1000</f>
        <v>7515.920166026468</v>
      </c>
      <c r="AJ37" s="41">
        <f>P37/'1. Väestöennuste'!R37*1000</f>
        <v>8523.0103789805398</v>
      </c>
    </row>
    <row r="38" spans="1:36" x14ac:dyDescent="0.2">
      <c r="A38" s="30">
        <v>82</v>
      </c>
      <c r="B38" s="31" t="s">
        <v>351</v>
      </c>
      <c r="C38" s="81">
        <v>28387</v>
      </c>
      <c r="D38" s="46">
        <v>36148</v>
      </c>
      <c r="E38" s="46">
        <v>35161</v>
      </c>
      <c r="F38" s="46">
        <v>34533</v>
      </c>
      <c r="G38" s="80">
        <v>36137</v>
      </c>
      <c r="H38" s="80">
        <v>31551</v>
      </c>
      <c r="I38" s="80">
        <v>32081.96111</v>
      </c>
      <c r="J38" s="80">
        <v>32616.083439999999</v>
      </c>
      <c r="K38" s="80">
        <v>29356.66332</v>
      </c>
      <c r="L38" s="80">
        <f>K38-'Toim ja inv rahavirta'!L38</f>
        <v>29679.719484488938</v>
      </c>
      <c r="M38" s="80">
        <f>L38-'Toim ja inv rahavirta'!M38</f>
        <v>32761.603745164935</v>
      </c>
      <c r="N38" s="80">
        <f>M38-'Toim ja inv rahavirta'!N38</f>
        <v>35226.679261718615</v>
      </c>
      <c r="O38" s="80">
        <f>N38-'Toim ja inv rahavirta'!O38</f>
        <v>37680.930720956625</v>
      </c>
      <c r="P38" s="80">
        <f>O38-'Toim ja inv rahavirta'!P38</f>
        <v>39319.922879575082</v>
      </c>
      <c r="U38" s="34">
        <v>82</v>
      </c>
      <c r="V38" s="88" t="s">
        <v>351</v>
      </c>
      <c r="W38" s="41">
        <f>C38/'1. Väestöennuste'!E38*1000</f>
        <v>2912.3832974248485</v>
      </c>
      <c r="X38" s="41">
        <f>D38/'1. Väestöennuste'!F38*1000</f>
        <v>3733.5261309646767</v>
      </c>
      <c r="Y38" s="41">
        <f>E38/'1. Väestöennuste'!G38*1000</f>
        <v>3658.792924037461</v>
      </c>
      <c r="Z38" s="41">
        <f>F38/'1. Väestöennuste'!H38*1000</f>
        <v>3644.6437994722955</v>
      </c>
      <c r="AA38" s="41">
        <f>G38/'1. Väestöennuste'!I38*1000</f>
        <v>3835.3852685204843</v>
      </c>
      <c r="AB38" s="41">
        <f>H38/'1. Väestöennuste'!J38*1000</f>
        <v>3360.4217701565663</v>
      </c>
      <c r="AC38" s="41">
        <f>I38/'1. Väestöennuste'!K38*1000</f>
        <v>3411.1601392876132</v>
      </c>
      <c r="AD38" s="41">
        <f>J38/'1. Väestöennuste'!L38*1000</f>
        <v>3484.9966278448551</v>
      </c>
      <c r="AE38" s="41">
        <f>K38/'1. Väestöennuste'!M38*1000</f>
        <v>3132.7140454593959</v>
      </c>
      <c r="AF38" s="41">
        <f>L38/'1. Väestöennuste'!N38*1000</f>
        <v>3234.1418202559594</v>
      </c>
      <c r="AG38" s="41">
        <f>M38/'1. Väestöennuste'!O38*1000</f>
        <v>3591.4935041838339</v>
      </c>
      <c r="AH38" s="41">
        <f>N38/'1. Väestöennuste'!P38*1000</f>
        <v>3885.5812113080315</v>
      </c>
      <c r="AI38" s="41">
        <f>O38/'1. Väestöennuste'!Q38*1000</f>
        <v>4182.5874926136776</v>
      </c>
      <c r="AJ38" s="41">
        <f>P38/'1. Väestöennuste'!R38*1000</f>
        <v>4392.3059516951616</v>
      </c>
    </row>
    <row r="39" spans="1:36" x14ac:dyDescent="0.2">
      <c r="A39" s="30">
        <v>86</v>
      </c>
      <c r="B39" s="31" t="s">
        <v>352</v>
      </c>
      <c r="C39" s="81">
        <v>29216</v>
      </c>
      <c r="D39" s="46">
        <v>24309</v>
      </c>
      <c r="E39" s="46">
        <v>23777</v>
      </c>
      <c r="F39" s="46">
        <v>21707</v>
      </c>
      <c r="G39" s="80">
        <v>23332</v>
      </c>
      <c r="H39" s="80">
        <v>29528</v>
      </c>
      <c r="I39" s="80">
        <v>27528.973050000001</v>
      </c>
      <c r="J39" s="80">
        <v>23891.713810000001</v>
      </c>
      <c r="K39" s="80">
        <v>25946.89057</v>
      </c>
      <c r="L39" s="80">
        <f>K39-'Toim ja inv rahavirta'!L39</f>
        <v>27369.671634567923</v>
      </c>
      <c r="M39" s="80">
        <f>L39-'Toim ja inv rahavirta'!M39</f>
        <v>30918.30051161928</v>
      </c>
      <c r="N39" s="80">
        <f>M39-'Toim ja inv rahavirta'!N39</f>
        <v>34269.932184406745</v>
      </c>
      <c r="O39" s="80">
        <f>N39-'Toim ja inv rahavirta'!O39</f>
        <v>37461.790576436404</v>
      </c>
      <c r="P39" s="80">
        <f>O39-'Toim ja inv rahavirta'!P39</f>
        <v>39863.626330468695</v>
      </c>
      <c r="U39" s="34">
        <v>86</v>
      </c>
      <c r="V39" s="88" t="s">
        <v>352</v>
      </c>
      <c r="W39" s="41">
        <f>C39/'1. Väestöennuste'!E39*1000</f>
        <v>3347.004238744415</v>
      </c>
      <c r="X39" s="41">
        <f>D39/'1. Väestöennuste'!F39*1000</f>
        <v>2813.2160629556765</v>
      </c>
      <c r="Y39" s="41">
        <f>E39/'1. Väestöennuste'!G39*1000</f>
        <v>2795.9783631232362</v>
      </c>
      <c r="Z39" s="41">
        <f>F39/'1. Väestöennuste'!H39*1000</f>
        <v>2578.9473684210525</v>
      </c>
      <c r="AA39" s="41">
        <f>G39/'1. Väestöennuste'!I39*1000</f>
        <v>2824.6973365617432</v>
      </c>
      <c r="AB39" s="41">
        <f>H39/'1. Väestöennuste'!J39*1000</f>
        <v>3611.9877675840976</v>
      </c>
      <c r="AC39" s="41">
        <f>I39/'1. Väestöennuste'!K39*1000</f>
        <v>3380.691765933931</v>
      </c>
      <c r="AD39" s="41">
        <f>J39/'1. Väestöennuste'!L39*1000</f>
        <v>2974.9363479018803</v>
      </c>
      <c r="AE39" s="41">
        <f>K39/'1. Väestöennuste'!M39*1000</f>
        <v>3244.1723643410851</v>
      </c>
      <c r="AF39" s="41">
        <f>L39/'1. Väestöennuste'!N39*1000</f>
        <v>3504.8881591199802</v>
      </c>
      <c r="AG39" s="41">
        <f>M39/'1. Väestöennuste'!O39*1000</f>
        <v>3999.2627747534962</v>
      </c>
      <c r="AH39" s="41">
        <f>N39/'1. Väestöennuste'!P39*1000</f>
        <v>4474.4656201079442</v>
      </c>
      <c r="AI39" s="41">
        <f>O39/'1. Väestöennuste'!Q39*1000</f>
        <v>4934.3770516907798</v>
      </c>
      <c r="AJ39" s="41">
        <f>P39/'1. Väestöennuste'!R39*1000</f>
        <v>5297.4918711586306</v>
      </c>
    </row>
    <row r="40" spans="1:36" x14ac:dyDescent="0.2">
      <c r="A40" s="30">
        <v>90</v>
      </c>
      <c r="B40" s="31" t="s">
        <v>353</v>
      </c>
      <c r="C40" s="81">
        <v>14980</v>
      </c>
      <c r="D40" s="46">
        <v>15528</v>
      </c>
      <c r="E40" s="46">
        <v>17399</v>
      </c>
      <c r="F40" s="46">
        <v>18184</v>
      </c>
      <c r="G40" s="80">
        <v>16971</v>
      </c>
      <c r="H40" s="80">
        <v>14457</v>
      </c>
      <c r="I40" s="80">
        <v>11744.308000000001</v>
      </c>
      <c r="J40" s="80">
        <v>8930.8940000000002</v>
      </c>
      <c r="K40" s="80">
        <v>8909.35</v>
      </c>
      <c r="L40" s="80">
        <f>K40-'Toim ja inv rahavirta'!L40</f>
        <v>9344.9156219677316</v>
      </c>
      <c r="M40" s="80">
        <f>L40-'Toim ja inv rahavirta'!M40</f>
        <v>9817.6658693943045</v>
      </c>
      <c r="N40" s="80">
        <f>M40-'Toim ja inv rahavirta'!N40</f>
        <v>10182.170741478545</v>
      </c>
      <c r="O40" s="80">
        <f>N40-'Toim ja inv rahavirta'!O40</f>
        <v>10838.648734821358</v>
      </c>
      <c r="P40" s="80">
        <f>O40-'Toim ja inv rahavirta'!P40</f>
        <v>11155.07222268202</v>
      </c>
      <c r="U40" s="34">
        <v>90</v>
      </c>
      <c r="V40" s="88" t="s">
        <v>353</v>
      </c>
      <c r="W40" s="41">
        <f>C40/'1. Väestöennuste'!E40*1000</f>
        <v>4191.3822048125348</v>
      </c>
      <c r="X40" s="41">
        <f>D40/'1. Väestöennuste'!F40*1000</f>
        <v>4418.8958451906656</v>
      </c>
      <c r="Y40" s="41">
        <f>E40/'1. Väestöennuste'!G40*1000</f>
        <v>5035.89001447178</v>
      </c>
      <c r="Z40" s="41">
        <f>F40/'1. Väestöennuste'!H40*1000</f>
        <v>5462.3009912886755</v>
      </c>
      <c r="AA40" s="41">
        <f>G40/'1. Väestöennuste'!I40*1000</f>
        <v>5215.4271665642282</v>
      </c>
      <c r="AB40" s="41">
        <f>H40/'1. Väestöennuste'!J40*1000</f>
        <v>4523.4668335419274</v>
      </c>
      <c r="AC40" s="41">
        <f>I40/'1. Väestöennuste'!K40*1000</f>
        <v>3744.9961734693884</v>
      </c>
      <c r="AD40" s="41">
        <f>J40/'1. Väestöennuste'!L40*1000</f>
        <v>2917.639333551127</v>
      </c>
      <c r="AE40" s="41">
        <f>K40/'1. Väestöennuste'!M40*1000</f>
        <v>2968.793735421526</v>
      </c>
      <c r="AF40" s="41">
        <f>L40/'1. Väestöennuste'!N40*1000</f>
        <v>3163.4785450127733</v>
      </c>
      <c r="AG40" s="41">
        <f>M40/'1. Väestöennuste'!O40*1000</f>
        <v>3381.9035030638324</v>
      </c>
      <c r="AH40" s="41">
        <f>N40/'1. Väestöennuste'!P40*1000</f>
        <v>3566.4345854565831</v>
      </c>
      <c r="AI40" s="41">
        <f>O40/'1. Väestöennuste'!Q40*1000</f>
        <v>3862.6688292307049</v>
      </c>
      <c r="AJ40" s="41">
        <f>P40/'1. Väestöennuste'!R40*1000</f>
        <v>4044.6237210594704</v>
      </c>
    </row>
    <row r="41" spans="1:36" x14ac:dyDescent="0.2">
      <c r="A41" s="30">
        <v>91</v>
      </c>
      <c r="B41" s="31" t="s">
        <v>354</v>
      </c>
      <c r="C41" s="81">
        <v>1323924</v>
      </c>
      <c r="D41" s="46">
        <v>1371264</v>
      </c>
      <c r="E41" s="46">
        <v>1205956</v>
      </c>
      <c r="F41" s="46">
        <v>1100107</v>
      </c>
      <c r="G41" s="80">
        <v>1013566</v>
      </c>
      <c r="H41" s="80">
        <v>992024</v>
      </c>
      <c r="I41" s="80">
        <v>913102.95161000011</v>
      </c>
      <c r="J41" s="80">
        <v>951181.06888000015</v>
      </c>
      <c r="K41" s="80">
        <v>1059756.4996100001</v>
      </c>
      <c r="L41" s="80">
        <f>K41-'Toim ja inv rahavirta'!L41</f>
        <v>1129054.3939186358</v>
      </c>
      <c r="M41" s="80">
        <f>L41-'Toim ja inv rahavirta'!M41</f>
        <v>1308751.167999553</v>
      </c>
      <c r="N41" s="80">
        <f>M41-'Toim ja inv rahavirta'!N41</f>
        <v>1497671.8258330785</v>
      </c>
      <c r="O41" s="80">
        <f>N41-'Toim ja inv rahavirta'!O41</f>
        <v>1691670.5752329913</v>
      </c>
      <c r="P41" s="80">
        <f>O41-'Toim ja inv rahavirta'!P41</f>
        <v>1887893.391011674</v>
      </c>
      <c r="U41" s="34">
        <v>91</v>
      </c>
      <c r="V41" s="88" t="s">
        <v>354</v>
      </c>
      <c r="W41" s="41">
        <f>C41/'1. Väestöennuste'!E41*1000</f>
        <v>2107.4612230344092</v>
      </c>
      <c r="X41" s="41">
        <f>D41/'1. Väestöennuste'!F41*1000</f>
        <v>2158.8555073278326</v>
      </c>
      <c r="Y41" s="41">
        <f>E41/'1. Väestöennuste'!G41*1000</f>
        <v>1874.7217351291522</v>
      </c>
      <c r="Z41" s="41">
        <f>F41/'1. Väestöennuste'!H41*1000</f>
        <v>1697.5859589347604</v>
      </c>
      <c r="AA41" s="41">
        <f>G41/'1. Väestöennuste'!I41*1000</f>
        <v>1550.1862090588604</v>
      </c>
      <c r="AB41" s="41">
        <f>H41/'1. Väestöennuste'!J41*1000</f>
        <v>1510.1138647019422</v>
      </c>
      <c r="AC41" s="41">
        <f>I41/'1. Väestöennuste'!K41*1000</f>
        <v>1386.7313303830015</v>
      </c>
      <c r="AD41" s="41">
        <f>J41/'1. Väestöennuste'!L41*1000</f>
        <v>1432.4412056118119</v>
      </c>
      <c r="AE41" s="41">
        <f>K41/'1. Väestöennuste'!M41*1000</f>
        <v>1571.173461245367</v>
      </c>
      <c r="AF41" s="41">
        <f>L41/'1. Väestöennuste'!N41*1000</f>
        <v>1665.461112720229</v>
      </c>
      <c r="AG41" s="41">
        <f>M41/'1. Väestöennuste'!O41*1000</f>
        <v>1917.4183740886178</v>
      </c>
      <c r="AH41" s="41">
        <f>N41/'1. Väestöennuste'!P41*1000</f>
        <v>2179.8490448816592</v>
      </c>
      <c r="AI41" s="41">
        <f>O41/'1. Väestöennuste'!Q41*1000</f>
        <v>2446.7250242738537</v>
      </c>
      <c r="AJ41" s="41">
        <f>P41/'1. Väestöennuste'!R41*1000</f>
        <v>2714.0542050975832</v>
      </c>
    </row>
    <row r="42" spans="1:36" x14ac:dyDescent="0.2">
      <c r="A42" s="30">
        <v>92</v>
      </c>
      <c r="B42" s="31" t="s">
        <v>355</v>
      </c>
      <c r="C42" s="81">
        <v>1140064</v>
      </c>
      <c r="D42" s="46">
        <v>1097502</v>
      </c>
      <c r="E42" s="46">
        <v>1007413</v>
      </c>
      <c r="F42" s="46">
        <v>911655</v>
      </c>
      <c r="G42" s="80">
        <v>954892</v>
      </c>
      <c r="H42" s="80">
        <v>906317</v>
      </c>
      <c r="I42" s="80">
        <v>890161.79699000006</v>
      </c>
      <c r="J42" s="80">
        <v>807202.69078999991</v>
      </c>
      <c r="K42" s="80">
        <v>854068.92072000005</v>
      </c>
      <c r="L42" s="80">
        <f>K42-'Toim ja inv rahavirta'!L42</f>
        <v>902037.62797296839</v>
      </c>
      <c r="M42" s="80">
        <f>L42-'Toim ja inv rahavirta'!M42</f>
        <v>995934.27248526865</v>
      </c>
      <c r="N42" s="80">
        <f>M42-'Toim ja inv rahavirta'!N42</f>
        <v>1089904.6924146055</v>
      </c>
      <c r="O42" s="80">
        <f>N42-'Toim ja inv rahavirta'!O42</f>
        <v>1192189.3022861464</v>
      </c>
      <c r="P42" s="80">
        <f>O42-'Toim ja inv rahavirta'!P42</f>
        <v>1290805.5223596259</v>
      </c>
      <c r="U42" s="34">
        <v>92</v>
      </c>
      <c r="V42" s="88" t="s">
        <v>355</v>
      </c>
      <c r="W42" s="41">
        <f>C42/'1. Väestöennuste'!E42*1000</f>
        <v>5312.3832156753106</v>
      </c>
      <c r="X42" s="41">
        <f>D42/'1. Väestöennuste'!F42*1000</f>
        <v>5003.6336115910844</v>
      </c>
      <c r="Y42" s="41">
        <f>E42/'1. Väestöennuste'!G42*1000</f>
        <v>4517.0001838342441</v>
      </c>
      <c r="Z42" s="41">
        <f>F42/'1. Väestöennuste'!H42*1000</f>
        <v>3995.5777810892068</v>
      </c>
      <c r="AA42" s="41">
        <f>G42/'1. Väestöennuste'!I42*1000</f>
        <v>4084.6626029301678</v>
      </c>
      <c r="AB42" s="41">
        <f>H42/'1. Väestöennuste'!J42*1000</f>
        <v>3820.3986831400616</v>
      </c>
      <c r="AC42" s="41">
        <f>I42/'1. Väestöennuste'!K42*1000</f>
        <v>3721.31885065592</v>
      </c>
      <c r="AD42" s="41">
        <f>J42/'1. Väestöennuste'!L42*1000</f>
        <v>3324.2978959224765</v>
      </c>
      <c r="AE42" s="41">
        <f>K42/'1. Väestöennuste'!M42*1000</f>
        <v>3451.5784270316803</v>
      </c>
      <c r="AF42" s="41">
        <f>L42/'1. Väestöennuste'!N42*1000</f>
        <v>3583.0405636220103</v>
      </c>
      <c r="AG42" s="41">
        <f>M42/'1. Väestöennuste'!O42*1000</f>
        <v>3906.7123492630053</v>
      </c>
      <c r="AH42" s="41">
        <f>N42/'1. Väestöennuste'!P42*1000</f>
        <v>4225.0263308624671</v>
      </c>
      <c r="AI42" s="41">
        <f>O42/'1. Väestöennuste'!Q42*1000</f>
        <v>4570.2440869824177</v>
      </c>
      <c r="AJ42" s="41">
        <f>P42/'1. Väestöennuste'!R42*1000</f>
        <v>4896.3885016524519</v>
      </c>
    </row>
    <row r="43" spans="1:36" x14ac:dyDescent="0.2">
      <c r="A43" s="30">
        <v>97</v>
      </c>
      <c r="B43" s="31" t="s">
        <v>356</v>
      </c>
      <c r="C43" s="81">
        <v>700</v>
      </c>
      <c r="D43" s="46">
        <v>566</v>
      </c>
      <c r="E43" s="46">
        <v>433</v>
      </c>
      <c r="F43" s="46">
        <v>300</v>
      </c>
      <c r="G43" s="80">
        <v>166</v>
      </c>
      <c r="H43" s="80">
        <v>33</v>
      </c>
      <c r="I43" s="80">
        <v>0</v>
      </c>
      <c r="J43" s="80">
        <v>0</v>
      </c>
      <c r="K43" s="80">
        <v>0</v>
      </c>
      <c r="L43" s="80">
        <f>K43-'Toim ja inv rahavirta'!L43</f>
        <v>276.00796307632248</v>
      </c>
      <c r="M43" s="80">
        <f>L43-'Toim ja inv rahavirta'!M43</f>
        <v>467.7912955516868</v>
      </c>
      <c r="N43" s="80">
        <f>M43-'Toim ja inv rahavirta'!N43</f>
        <v>501.9168818791332</v>
      </c>
      <c r="O43" s="80">
        <f>N43-'Toim ja inv rahavirta'!O43</f>
        <v>657.19991732899973</v>
      </c>
      <c r="P43" s="80">
        <f>O43-'Toim ja inv rahavirta'!P43</f>
        <v>645.39273738548809</v>
      </c>
      <c r="U43" s="34">
        <v>97</v>
      </c>
      <c r="V43" s="88" t="s">
        <v>356</v>
      </c>
      <c r="W43" s="41">
        <f>C43/'1. Väestöennuste'!E43*1000</f>
        <v>305.67685589519652</v>
      </c>
      <c r="X43" s="41">
        <f>D43/'1. Väestöennuste'!F43*1000</f>
        <v>248.90061565523308</v>
      </c>
      <c r="Y43" s="41">
        <f>E43/'1. Väestöennuste'!G43*1000</f>
        <v>193.64937388193201</v>
      </c>
      <c r="Z43" s="41">
        <f>F43/'1. Väestöennuste'!H43*1000</f>
        <v>139.40520446096656</v>
      </c>
      <c r="AA43" s="41">
        <f>G43/'1. Väestöennuste'!I43*1000</f>
        <v>77.715355805243448</v>
      </c>
      <c r="AB43" s="41">
        <f>H43/'1. Väestöennuste'!J43*1000</f>
        <v>15.306122448979592</v>
      </c>
      <c r="AC43" s="41">
        <f>I43/'1. Väestöennuste'!K43*1000</f>
        <v>0</v>
      </c>
      <c r="AD43" s="41">
        <f>J43/'1. Väestöennuste'!L43*1000</f>
        <v>0</v>
      </c>
      <c r="AE43" s="41">
        <f>K43/'1. Väestöennuste'!M43*1000</f>
        <v>0</v>
      </c>
      <c r="AF43" s="41">
        <f>L43/'1. Väestöennuste'!N43*1000</f>
        <v>131.49498002683302</v>
      </c>
      <c r="AG43" s="41">
        <f>M43/'1. Väestöennuste'!O43*1000</f>
        <v>224.25277830857468</v>
      </c>
      <c r="AH43" s="41">
        <f>N43/'1. Väestöennuste'!P43*1000</f>
        <v>242.00428248752806</v>
      </c>
      <c r="AI43" s="41">
        <f>O43/'1. Väestöennuste'!Q43*1000</f>
        <v>318.41081265939908</v>
      </c>
      <c r="AJ43" s="41">
        <f>P43/'1. Väestöennuste'!R43*1000</f>
        <v>314.51887786817156</v>
      </c>
    </row>
    <row r="44" spans="1:36" x14ac:dyDescent="0.2">
      <c r="A44" s="30">
        <v>98</v>
      </c>
      <c r="B44" s="31" t="s">
        <v>357</v>
      </c>
      <c r="C44" s="81">
        <v>63062</v>
      </c>
      <c r="D44" s="46">
        <v>62027</v>
      </c>
      <c r="E44" s="46">
        <v>53193</v>
      </c>
      <c r="F44" s="46">
        <v>45145</v>
      </c>
      <c r="G44" s="80">
        <v>40484</v>
      </c>
      <c r="H44" s="80">
        <v>45429</v>
      </c>
      <c r="I44" s="80">
        <v>37336.758299999994</v>
      </c>
      <c r="J44" s="80">
        <v>29559.214959999998</v>
      </c>
      <c r="K44" s="80">
        <v>23866.66662</v>
      </c>
      <c r="L44" s="80">
        <f>K44-'Toim ja inv rahavirta'!L44</f>
        <v>28461.771176996132</v>
      </c>
      <c r="M44" s="80">
        <f>L44-'Toim ja inv rahavirta'!M44</f>
        <v>34162.805537034597</v>
      </c>
      <c r="N44" s="80">
        <f>M44-'Toim ja inv rahavirta'!N44</f>
        <v>40596.786836338113</v>
      </c>
      <c r="O44" s="80">
        <f>N44-'Toim ja inv rahavirta'!O44</f>
        <v>47802.322756222886</v>
      </c>
      <c r="P44" s="80">
        <f>O44-'Toim ja inv rahavirta'!P44</f>
        <v>53292.925184172738</v>
      </c>
      <c r="U44" s="34">
        <v>98</v>
      </c>
      <c r="V44" s="88" t="s">
        <v>357</v>
      </c>
      <c r="W44" s="41">
        <f>C44/'1. Väestöennuste'!E44*1000</f>
        <v>2636.9224336190673</v>
      </c>
      <c r="X44" s="41">
        <f>D44/'1. Väestöennuste'!F44*1000</f>
        <v>2607.1623723256694</v>
      </c>
      <c r="Y44" s="41">
        <f>E44/'1. Väestöennuste'!G44*1000</f>
        <v>2236.6916155075269</v>
      </c>
      <c r="Z44" s="41">
        <f>F44/'1. Väestöennuste'!H44*1000</f>
        <v>1912.7616303703076</v>
      </c>
      <c r="AA44" s="41">
        <f>G44/'1. Väestöennuste'!I44*1000</f>
        <v>1729.3464331482273</v>
      </c>
      <c r="AB44" s="41">
        <f>H44/'1. Väestöennuste'!J44*1000</f>
        <v>1953.8514472495808</v>
      </c>
      <c r="AC44" s="41">
        <f>I44/'1. Väestöennuste'!K44*1000</f>
        <v>1617.0098873971415</v>
      </c>
      <c r="AD44" s="41">
        <f>J44/'1. Väestöennuste'!L44*1000</f>
        <v>1288.3761914309375</v>
      </c>
      <c r="AE44" s="41">
        <f>K44/'1. Väestöennuste'!M44*1000</f>
        <v>1042.89563556915</v>
      </c>
      <c r="AF44" s="41">
        <f>L44/'1. Väestöennuste'!N44*1000</f>
        <v>1251.8922884097706</v>
      </c>
      <c r="AG44" s="41">
        <f>M44/'1. Väestöennuste'!O44*1000</f>
        <v>1511.8292488841262</v>
      </c>
      <c r="AH44" s="41">
        <f>N44/'1. Väestöennuste'!P44*1000</f>
        <v>1807.4345236782917</v>
      </c>
      <c r="AI44" s="41">
        <f>O44/'1. Väestöennuste'!Q44*1000</f>
        <v>2140.4344582556255</v>
      </c>
      <c r="AJ44" s="41">
        <f>P44/'1. Väestöennuste'!R44*1000</f>
        <v>2400.4740860399415</v>
      </c>
    </row>
    <row r="45" spans="1:36" x14ac:dyDescent="0.2">
      <c r="A45" s="30">
        <v>102</v>
      </c>
      <c r="B45" s="31" t="s">
        <v>359</v>
      </c>
      <c r="C45" s="81">
        <v>20360</v>
      </c>
      <c r="D45" s="46">
        <v>21049</v>
      </c>
      <c r="E45" s="46">
        <v>23330</v>
      </c>
      <c r="F45" s="46">
        <v>25430</v>
      </c>
      <c r="G45" s="80">
        <v>27681</v>
      </c>
      <c r="H45" s="80">
        <v>28859</v>
      </c>
      <c r="I45" s="80">
        <v>25440.167630000004</v>
      </c>
      <c r="J45" s="80">
        <v>22169.713469999999</v>
      </c>
      <c r="K45" s="80">
        <v>29931.943669999997</v>
      </c>
      <c r="L45" s="80">
        <f>K45-'Toim ja inv rahavirta'!L45</f>
        <v>33033.10726373129</v>
      </c>
      <c r="M45" s="80">
        <f>L45-'Toim ja inv rahavirta'!M45</f>
        <v>36748.236033779991</v>
      </c>
      <c r="N45" s="80">
        <f>M45-'Toim ja inv rahavirta'!N45</f>
        <v>40253.79068942384</v>
      </c>
      <c r="O45" s="80">
        <f>N45-'Toim ja inv rahavirta'!O45</f>
        <v>43927.006308595264</v>
      </c>
      <c r="P45" s="80">
        <f>O45-'Toim ja inv rahavirta'!P45</f>
        <v>46817.099594764994</v>
      </c>
      <c r="U45" s="34">
        <v>102</v>
      </c>
      <c r="V45" s="88" t="s">
        <v>359</v>
      </c>
      <c r="W45" s="41">
        <f>C45/'1. Väestöennuste'!E45*1000</f>
        <v>1944.0465960087845</v>
      </c>
      <c r="X45" s="41">
        <f>D45/'1. Väestöennuste'!F45*1000</f>
        <v>2023.3586465442661</v>
      </c>
      <c r="Y45" s="41">
        <f>E45/'1. Väestöennuste'!G45*1000</f>
        <v>2285.6862937199958</v>
      </c>
      <c r="Z45" s="41">
        <f>F45/'1. Väestöennuste'!H45*1000</f>
        <v>2520.0673867802993</v>
      </c>
      <c r="AA45" s="41">
        <f>G45/'1. Väestöennuste'!I45*1000</f>
        <v>2755.9737156511346</v>
      </c>
      <c r="AB45" s="41">
        <f>H45/'1. Väestöennuste'!J45*1000</f>
        <v>2904.1964375566067</v>
      </c>
      <c r="AC45" s="41">
        <f>I45/'1. Väestöennuste'!K45*1000</f>
        <v>2577.5245825734551</v>
      </c>
      <c r="AD45" s="41">
        <f>J45/'1. Väestöennuste'!L45*1000</f>
        <v>2274.983424320164</v>
      </c>
      <c r="AE45" s="41">
        <f>K45/'1. Väestöennuste'!M45*1000</f>
        <v>3103.0420557744137</v>
      </c>
      <c r="AF45" s="41">
        <f>L45/'1. Väestöennuste'!N45*1000</f>
        <v>3465.1324099162161</v>
      </c>
      <c r="AG45" s="41">
        <f>M45/'1. Väestöennuste'!O45*1000</f>
        <v>3891.5848812644276</v>
      </c>
      <c r="AH45" s="41">
        <f>N45/'1. Väestöennuste'!P45*1000</f>
        <v>4302.9172302965089</v>
      </c>
      <c r="AI45" s="41">
        <f>O45/'1. Väestöennuste'!Q45*1000</f>
        <v>4737.0868444511225</v>
      </c>
      <c r="AJ45" s="41">
        <f>P45/'1. Väestöennuste'!R45*1000</f>
        <v>5092.6900462052636</v>
      </c>
    </row>
    <row r="46" spans="1:36" x14ac:dyDescent="0.2">
      <c r="A46" s="30">
        <v>103</v>
      </c>
      <c r="B46" s="31" t="s">
        <v>360</v>
      </c>
      <c r="C46" s="81">
        <v>3605</v>
      </c>
      <c r="D46" s="46">
        <v>3858</v>
      </c>
      <c r="E46" s="46">
        <v>4775</v>
      </c>
      <c r="F46" s="46">
        <v>6525</v>
      </c>
      <c r="G46" s="80">
        <v>5875</v>
      </c>
      <c r="H46" s="80">
        <v>5225</v>
      </c>
      <c r="I46" s="80">
        <v>4575</v>
      </c>
      <c r="J46" s="80">
        <v>3925.0000000000005</v>
      </c>
      <c r="K46" s="80">
        <v>3725</v>
      </c>
      <c r="L46" s="80">
        <f>K46-'Toim ja inv rahavirta'!L46</f>
        <v>4185.0395855617926</v>
      </c>
      <c r="M46" s="80">
        <f>L46-'Toim ja inv rahavirta'!M46</f>
        <v>5616.7085603744872</v>
      </c>
      <c r="N46" s="80">
        <f>M46-'Toim ja inv rahavirta'!N46</f>
        <v>7117.7745536896155</v>
      </c>
      <c r="O46" s="80">
        <f>N46-'Toim ja inv rahavirta'!O46</f>
        <v>8738.9176065310639</v>
      </c>
      <c r="P46" s="80">
        <f>O46-'Toim ja inv rahavirta'!P46</f>
        <v>10235.011074323394</v>
      </c>
      <c r="U46" s="34">
        <v>103</v>
      </c>
      <c r="V46" s="88" t="s">
        <v>360</v>
      </c>
      <c r="W46" s="41">
        <f>C46/'1. Väestöennuste'!E46*1000</f>
        <v>1509.6314907872697</v>
      </c>
      <c r="X46" s="41">
        <f>D46/'1. Väestöennuste'!F46*1000</f>
        <v>1645.2025586353946</v>
      </c>
      <c r="Y46" s="41">
        <f>E46/'1. Väestöennuste'!G46*1000</f>
        <v>2085.1528384279472</v>
      </c>
      <c r="Z46" s="41">
        <f>F46/'1. Väestöennuste'!H46*1000</f>
        <v>2919.4630872483222</v>
      </c>
      <c r="AA46" s="41">
        <f>G46/'1. Väestöennuste'!I46*1000</f>
        <v>2690.0183150183152</v>
      </c>
      <c r="AB46" s="41">
        <f>H46/'1. Väestöennuste'!J46*1000</f>
        <v>2403.4038638454463</v>
      </c>
      <c r="AC46" s="41">
        <f>I46/'1. Väestöennuste'!K46*1000</f>
        <v>2112.1883656509699</v>
      </c>
      <c r="AD46" s="41">
        <f>J46/'1. Väestöennuste'!L46*1000</f>
        <v>1816.2887552059235</v>
      </c>
      <c r="AE46" s="41">
        <f>K46/'1. Väestöennuste'!M46*1000</f>
        <v>1752.9411764705883</v>
      </c>
      <c r="AF46" s="41">
        <f>L46/'1. Väestöennuste'!N46*1000</f>
        <v>2008.1763846265801</v>
      </c>
      <c r="AG46" s="41">
        <f>M46/'1. Väestöennuste'!O46*1000</f>
        <v>2721.2735273132207</v>
      </c>
      <c r="AH46" s="41">
        <f>N46/'1. Väestöennuste'!P46*1000</f>
        <v>3485.6878323651399</v>
      </c>
      <c r="AI46" s="41">
        <f>O46/'1. Väestöennuste'!Q46*1000</f>
        <v>4324.0562130287308</v>
      </c>
      <c r="AJ46" s="41">
        <f>P46/'1. Väestöennuste'!R46*1000</f>
        <v>5109.8407759977008</v>
      </c>
    </row>
    <row r="47" spans="1:36" x14ac:dyDescent="0.2">
      <c r="A47" s="30">
        <v>105</v>
      </c>
      <c r="B47" s="31" t="s">
        <v>361</v>
      </c>
      <c r="C47" s="81">
        <v>5419</v>
      </c>
      <c r="D47" s="46">
        <v>4815</v>
      </c>
      <c r="E47" s="46">
        <v>4189</v>
      </c>
      <c r="F47" s="46">
        <v>3710</v>
      </c>
      <c r="G47" s="80">
        <v>3243</v>
      </c>
      <c r="H47" s="80">
        <v>2778</v>
      </c>
      <c r="I47" s="80">
        <v>2812.752</v>
      </c>
      <c r="J47" s="80">
        <v>2992</v>
      </c>
      <c r="K47" s="80">
        <v>2900</v>
      </c>
      <c r="L47" s="80">
        <f>K47-'Toim ja inv rahavirta'!L47</f>
        <v>2051.7609705237733</v>
      </c>
      <c r="M47" s="80">
        <f>L47-'Toim ja inv rahavirta'!M47</f>
        <v>1453.8394879794246</v>
      </c>
      <c r="N47" s="80">
        <f>M47-'Toim ja inv rahavirta'!N47</f>
        <v>1068.039843217319</v>
      </c>
      <c r="O47" s="80">
        <f>N47-'Toim ja inv rahavirta'!O47</f>
        <v>783.09988440497295</v>
      </c>
      <c r="P47" s="80">
        <f>O47-'Toim ja inv rahavirta'!P47</f>
        <v>225.5129468285337</v>
      </c>
      <c r="U47" s="34">
        <v>105</v>
      </c>
      <c r="V47" s="88" t="s">
        <v>361</v>
      </c>
      <c r="W47" s="41">
        <f>C47/'1. Väestöennuste'!E47*1000</f>
        <v>2237.407101568951</v>
      </c>
      <c r="X47" s="41">
        <f>D47/'1. Väestöennuste'!F47*1000</f>
        <v>2001.2468827930174</v>
      </c>
      <c r="Y47" s="41">
        <f>E47/'1. Väestöennuste'!G47*1000</f>
        <v>1800.9458297506449</v>
      </c>
      <c r="Z47" s="41">
        <f>F47/'1. Väestöennuste'!H47*1000</f>
        <v>1622.2125054656756</v>
      </c>
      <c r="AA47" s="41">
        <f>G47/'1. Väestöennuste'!I47*1000</f>
        <v>1428.0052840158521</v>
      </c>
      <c r="AB47" s="41">
        <f>H47/'1. Väestöennuste'!J47*1000</f>
        <v>1263.3015006821281</v>
      </c>
      <c r="AC47" s="41">
        <f>I47/'1. Väestöennuste'!K47*1000</f>
        <v>1314.984572230014</v>
      </c>
      <c r="AD47" s="41">
        <f>J47/'1. Väestöennuste'!L47*1000</f>
        <v>1428.8443170964663</v>
      </c>
      <c r="AE47" s="41">
        <f>K47/'1. Väestöennuste'!M47*1000</f>
        <v>1405.7198254968494</v>
      </c>
      <c r="AF47" s="41">
        <f>L47/'1. Väestöennuste'!N47*1000</f>
        <v>1004.7801030968526</v>
      </c>
      <c r="AG47" s="41">
        <f>M47/'1. Väestöennuste'!O47*1000</f>
        <v>723.66325932275993</v>
      </c>
      <c r="AH47" s="41">
        <f>N47/'1. Väestöennuste'!P47*1000</f>
        <v>540.50599353103189</v>
      </c>
      <c r="AI47" s="41">
        <f>O47/'1. Väestöennuste'!Q47*1000</f>
        <v>402.62204853726115</v>
      </c>
      <c r="AJ47" s="41">
        <f>P47/'1. Väestöennuste'!R47*1000</f>
        <v>117.69986786457918</v>
      </c>
    </row>
    <row r="48" spans="1:36" x14ac:dyDescent="0.2">
      <c r="A48" s="30">
        <v>106</v>
      </c>
      <c r="B48" s="31" t="s">
        <v>362</v>
      </c>
      <c r="C48" s="81">
        <v>111240</v>
      </c>
      <c r="D48" s="46">
        <v>113497</v>
      </c>
      <c r="E48" s="46">
        <v>104740</v>
      </c>
      <c r="F48" s="46">
        <v>111782</v>
      </c>
      <c r="G48" s="80">
        <v>139547</v>
      </c>
      <c r="H48" s="80">
        <v>153614</v>
      </c>
      <c r="I48" s="80">
        <v>134623.23860999997</v>
      </c>
      <c r="J48" s="80">
        <v>114226.22190999999</v>
      </c>
      <c r="K48" s="80">
        <v>103222.06723</v>
      </c>
      <c r="L48" s="80">
        <f>K48-'Toim ja inv rahavirta'!L48</f>
        <v>112611.31924347028</v>
      </c>
      <c r="M48" s="80">
        <f>L48-'Toim ja inv rahavirta'!M48</f>
        <v>123896.21113575583</v>
      </c>
      <c r="N48" s="80">
        <f>M48-'Toim ja inv rahavirta'!N48</f>
        <v>136572.48094490619</v>
      </c>
      <c r="O48" s="80">
        <f>N48-'Toim ja inv rahavirta'!O48</f>
        <v>149800.1501285586</v>
      </c>
      <c r="P48" s="80">
        <f>O48-'Toim ja inv rahavirta'!P48</f>
        <v>160920.08211275956</v>
      </c>
      <c r="U48" s="34">
        <v>106</v>
      </c>
      <c r="V48" s="88" t="s">
        <v>362</v>
      </c>
      <c r="W48" s="41">
        <f>C48/'1. Väestöennuste'!E48*1000</f>
        <v>2394.1630975184553</v>
      </c>
      <c r="X48" s="41">
        <f>D48/'1. Väestöennuste'!F48*1000</f>
        <v>2435.7670186282085</v>
      </c>
      <c r="Y48" s="41">
        <f>E48/'1. Väestöennuste'!G48*1000</f>
        <v>2240.9550910374633</v>
      </c>
      <c r="Z48" s="41">
        <f>F48/'1. Väestöennuste'!H48*1000</f>
        <v>2403.7072079821091</v>
      </c>
      <c r="AA48" s="41">
        <f>G48/'1. Väestöennuste'!I48*1000</f>
        <v>3002.9481385840327</v>
      </c>
      <c r="AB48" s="41">
        <f>H48/'1. Väestöennuste'!J48*1000</f>
        <v>3298.1363792511161</v>
      </c>
      <c r="AC48" s="41">
        <f>I48/'1. Väestöennuste'!K48*1000</f>
        <v>2871.6561136945384</v>
      </c>
      <c r="AD48" s="41">
        <f>J48/'1. Väestöennuste'!L48*1000</f>
        <v>2440.8877045537106</v>
      </c>
      <c r="AE48" s="41">
        <f>K48/'1. Väestöennuste'!M48*1000</f>
        <v>2200.8500294236796</v>
      </c>
      <c r="AF48" s="41">
        <f>L48/'1. Väestöennuste'!N48*1000</f>
        <v>2401.0942269396651</v>
      </c>
      <c r="AG48" s="41">
        <f>M48/'1. Väestöennuste'!O48*1000</f>
        <v>2637.0434228498784</v>
      </c>
      <c r="AH48" s="41">
        <f>N48/'1. Väestöennuste'!P48*1000</f>
        <v>2901.5994081946587</v>
      </c>
      <c r="AI48" s="41">
        <f>O48/'1. Väestöennuste'!Q48*1000</f>
        <v>3177.0301823621685</v>
      </c>
      <c r="AJ48" s="41">
        <f>P48/'1. Väestöennuste'!R48*1000</f>
        <v>3406.7254236760004</v>
      </c>
    </row>
    <row r="49" spans="1:36" x14ac:dyDescent="0.2">
      <c r="A49" s="30">
        <v>108</v>
      </c>
      <c r="B49" s="31" t="s">
        <v>363</v>
      </c>
      <c r="C49" s="81">
        <v>38639</v>
      </c>
      <c r="D49" s="46">
        <v>44299</v>
      </c>
      <c r="E49" s="46">
        <v>47727</v>
      </c>
      <c r="F49" s="46">
        <v>51471</v>
      </c>
      <c r="G49" s="80">
        <v>50415</v>
      </c>
      <c r="H49" s="80">
        <v>47748</v>
      </c>
      <c r="I49" s="80">
        <v>46122.881000000001</v>
      </c>
      <c r="J49" s="80">
        <v>41247.447</v>
      </c>
      <c r="K49" s="80">
        <v>37937.792999999998</v>
      </c>
      <c r="L49" s="80">
        <f>K49-'Toim ja inv rahavirta'!L49</f>
        <v>36049.524646878803</v>
      </c>
      <c r="M49" s="80">
        <f>L49-'Toim ja inv rahavirta'!M49</f>
        <v>35933.412812776623</v>
      </c>
      <c r="N49" s="80">
        <f>M49-'Toim ja inv rahavirta'!N49</f>
        <v>35067.337357865967</v>
      </c>
      <c r="O49" s="80">
        <f>N49-'Toim ja inv rahavirta'!O49</f>
        <v>34184.607720688662</v>
      </c>
      <c r="P49" s="80">
        <f>O49-'Toim ja inv rahavirta'!P49</f>
        <v>32033.191848615192</v>
      </c>
      <c r="U49" s="34">
        <v>108</v>
      </c>
      <c r="V49" s="88" t="s">
        <v>363</v>
      </c>
      <c r="W49" s="41">
        <f>C49/'1. Väestöennuste'!E49*1000</f>
        <v>3622.2930533420831</v>
      </c>
      <c r="X49" s="41">
        <f>D49/'1. Väestöennuste'!F49*1000</f>
        <v>4147.4581031738599</v>
      </c>
      <c r="Y49" s="41">
        <f>E49/'1. Väestöennuste'!G49*1000</f>
        <v>4502.9719784885365</v>
      </c>
      <c r="Z49" s="41">
        <f>F49/'1. Väestöennuste'!H49*1000</f>
        <v>4897.3358705994287</v>
      </c>
      <c r="AA49" s="41">
        <f>G49/'1. Väestöennuste'!I49*1000</f>
        <v>4845.7324106113028</v>
      </c>
      <c r="AB49" s="41">
        <f>H49/'1. Väestöennuste'!J49*1000</f>
        <v>4616.0092807424599</v>
      </c>
      <c r="AC49" s="41">
        <f>I49/'1. Väestöennuste'!K49*1000</f>
        <v>4461.9213504885365</v>
      </c>
      <c r="AD49" s="41">
        <f>J49/'1. Väestöennuste'!L49*1000</f>
        <v>4021.3948522959927</v>
      </c>
      <c r="AE49" s="41">
        <f>K49/'1. Väestöennuste'!M49*1000</f>
        <v>3676.4989824595405</v>
      </c>
      <c r="AF49" s="41">
        <f>L49/'1. Väestöennuste'!N49*1000</f>
        <v>3585.2336794509001</v>
      </c>
      <c r="AG49" s="41">
        <f>M49/'1. Väestöennuste'!O49*1000</f>
        <v>3595.1388507030138</v>
      </c>
      <c r="AH49" s="41">
        <f>N49/'1. Väestöennuste'!P49*1000</f>
        <v>3527.1914461744082</v>
      </c>
      <c r="AI49" s="41">
        <f>O49/'1. Väestöennuste'!Q49*1000</f>
        <v>3455.0846695662685</v>
      </c>
      <c r="AJ49" s="41">
        <f>P49/'1. Väestöennuste'!R49*1000</f>
        <v>3253.0914845755246</v>
      </c>
    </row>
    <row r="50" spans="1:36" x14ac:dyDescent="0.2">
      <c r="A50" s="30">
        <v>109</v>
      </c>
      <c r="B50" s="31" t="s">
        <v>364</v>
      </c>
      <c r="C50" s="81">
        <v>209601</v>
      </c>
      <c r="D50" s="46">
        <v>230609</v>
      </c>
      <c r="E50" s="46">
        <v>222264</v>
      </c>
      <c r="F50" s="46">
        <v>237865</v>
      </c>
      <c r="G50" s="80">
        <v>271609</v>
      </c>
      <c r="H50" s="80">
        <v>301795</v>
      </c>
      <c r="I50" s="80">
        <v>317022.21009000001</v>
      </c>
      <c r="J50" s="80">
        <v>245289.94665000003</v>
      </c>
      <c r="K50" s="80">
        <v>240555.00460999997</v>
      </c>
      <c r="L50" s="80">
        <f>K50-'Toim ja inv rahavirta'!L50</f>
        <v>231412.19828545116</v>
      </c>
      <c r="M50" s="80">
        <f>L50-'Toim ja inv rahavirta'!M50</f>
        <v>229548.71396117005</v>
      </c>
      <c r="N50" s="80">
        <f>M50-'Toim ja inv rahavirta'!N50</f>
        <v>229678.29770107087</v>
      </c>
      <c r="O50" s="80">
        <f>N50-'Toim ja inv rahavirta'!O50</f>
        <v>229935.67494210441</v>
      </c>
      <c r="P50" s="80">
        <f>O50-'Toim ja inv rahavirta'!P50</f>
        <v>225388.45483493403</v>
      </c>
      <c r="U50" s="34">
        <v>109</v>
      </c>
      <c r="V50" s="88" t="s">
        <v>364</v>
      </c>
      <c r="W50" s="41">
        <f>C50/'1. Väestöennuste'!E50*1000</f>
        <v>3081.8691094087721</v>
      </c>
      <c r="X50" s="41">
        <f>D50/'1. Väestöennuste'!F50*1000</f>
        <v>3398.8061901252763</v>
      </c>
      <c r="Y50" s="41">
        <f>E50/'1. Väestöennuste'!G50*1000</f>
        <v>3284.9162011173185</v>
      </c>
      <c r="Z50" s="41">
        <f>F50/'1. Väestöennuste'!H50*1000</f>
        <v>3522.2561156192619</v>
      </c>
      <c r="AA50" s="41">
        <f>G50/'1. Väestöennuste'!I50*1000</f>
        <v>4015.9241790250321</v>
      </c>
      <c r="AB50" s="41">
        <f>H50/'1. Väestöennuste'!J50*1000</f>
        <v>4448.1045867232633</v>
      </c>
      <c r="AC50" s="41">
        <f>I50/'1. Väestöennuste'!K50*1000</f>
        <v>4664.0804179723709</v>
      </c>
      <c r="AD50" s="41">
        <f>J50/'1. Väestöennuste'!L50*1000</f>
        <v>3604.9255125435388</v>
      </c>
      <c r="AE50" s="41">
        <f>K50/'1. Väestöennuste'!M50*1000</f>
        <v>3521.0557035378147</v>
      </c>
      <c r="AF50" s="41">
        <f>L50/'1. Väestöennuste'!N50*1000</f>
        <v>3399.8706866297089</v>
      </c>
      <c r="AG50" s="41">
        <f>M50/'1. Väestöennuste'!O50*1000</f>
        <v>3371.2544273927165</v>
      </c>
      <c r="AH50" s="41">
        <f>N50/'1. Väestöennuste'!P50*1000</f>
        <v>3372.2165602353707</v>
      </c>
      <c r="AI50" s="41">
        <f>O50/'1. Väestöennuste'!Q50*1000</f>
        <v>3375.4503074296008</v>
      </c>
      <c r="AJ50" s="41">
        <f>P50/'1. Väestöennuste'!R50*1000</f>
        <v>3308.7457953718349</v>
      </c>
    </row>
    <row r="51" spans="1:36" x14ac:dyDescent="0.2">
      <c r="A51" s="30">
        <v>111</v>
      </c>
      <c r="B51" s="31" t="s">
        <v>365</v>
      </c>
      <c r="C51" s="81">
        <v>48211</v>
      </c>
      <c r="D51" s="46">
        <v>59925</v>
      </c>
      <c r="E51" s="46">
        <v>66937</v>
      </c>
      <c r="F51" s="46">
        <v>66202</v>
      </c>
      <c r="G51" s="80">
        <v>80414</v>
      </c>
      <c r="H51" s="80">
        <v>99361</v>
      </c>
      <c r="I51" s="80">
        <v>108308</v>
      </c>
      <c r="J51" s="80">
        <v>118034.70741</v>
      </c>
      <c r="K51" s="80">
        <v>113053</v>
      </c>
      <c r="L51" s="80">
        <f>K51-'Toim ja inv rahavirta'!L51</f>
        <v>116273.16345091186</v>
      </c>
      <c r="M51" s="80">
        <f>L51-'Toim ja inv rahavirta'!M51</f>
        <v>123691.66271386354</v>
      </c>
      <c r="N51" s="80">
        <f>M51-'Toim ja inv rahavirta'!N51</f>
        <v>133173.94860255139</v>
      </c>
      <c r="O51" s="80">
        <f>N51-'Toim ja inv rahavirta'!O51</f>
        <v>143875.46998190414</v>
      </c>
      <c r="P51" s="80">
        <f>O51-'Toim ja inv rahavirta'!P51</f>
        <v>152965.05792921758</v>
      </c>
      <c r="U51" s="34">
        <v>111</v>
      </c>
      <c r="V51" s="88" t="s">
        <v>365</v>
      </c>
      <c r="W51" s="41">
        <f>C51/'1. Väestöennuste'!E51*1000</f>
        <v>2462.8863346104722</v>
      </c>
      <c r="X51" s="41">
        <f>D51/'1. Väestöennuste'!F51*1000</f>
        <v>3096.8992248062018</v>
      </c>
      <c r="Y51" s="41">
        <f>E51/'1. Väestöennuste'!G51*1000</f>
        <v>3499.4249268088665</v>
      </c>
      <c r="Z51" s="41">
        <f>F51/'1. Väestöennuste'!H51*1000</f>
        <v>3504.7911482873628</v>
      </c>
      <c r="AA51" s="41">
        <f>G51/'1. Väestöennuste'!I51*1000</f>
        <v>4307.8159318583603</v>
      </c>
      <c r="AB51" s="41">
        <f>H51/'1. Väestöennuste'!J51*1000</f>
        <v>5371.7359571822453</v>
      </c>
      <c r="AC51" s="41">
        <f>I51/'1. Väestöennuste'!K51*1000</f>
        <v>5904.2738770170081</v>
      </c>
      <c r="AD51" s="41">
        <f>J51/'1. Väestöennuste'!L51*1000</f>
        <v>6510.104650046881</v>
      </c>
      <c r="AE51" s="41">
        <f>K51/'1. Väestöennuste'!M51*1000</f>
        <v>6297.1648192502644</v>
      </c>
      <c r="AF51" s="41">
        <f>L51/'1. Väestöennuste'!N51*1000</f>
        <v>6589.581380046011</v>
      </c>
      <c r="AG51" s="41">
        <f>M51/'1. Väestöennuste'!O51*1000</f>
        <v>7083.4762749893225</v>
      </c>
      <c r="AH51" s="41">
        <f>N51/'1. Väestöennuste'!P51*1000</f>
        <v>7702.368340228536</v>
      </c>
      <c r="AI51" s="41">
        <f>O51/'1. Väestöennuste'!Q51*1000</f>
        <v>8400.5062171953141</v>
      </c>
      <c r="AJ51" s="41">
        <f>P51/'1. Väestöennuste'!R51*1000</f>
        <v>9014.9138336408287</v>
      </c>
    </row>
    <row r="52" spans="1:36" x14ac:dyDescent="0.2">
      <c r="A52" s="30">
        <v>139</v>
      </c>
      <c r="B52" s="31" t="s">
        <v>366</v>
      </c>
      <c r="C52" s="81">
        <v>27586</v>
      </c>
      <c r="D52" s="46">
        <v>29718</v>
      </c>
      <c r="E52" s="46">
        <v>35135</v>
      </c>
      <c r="F52" s="46">
        <v>38285</v>
      </c>
      <c r="G52" s="80">
        <v>44564</v>
      </c>
      <c r="H52" s="80">
        <v>48243</v>
      </c>
      <c r="I52" s="80">
        <v>43367</v>
      </c>
      <c r="J52" s="80">
        <v>42241</v>
      </c>
      <c r="K52" s="80">
        <v>41615</v>
      </c>
      <c r="L52" s="80">
        <f>K52-'Toim ja inv rahavirta'!L52</f>
        <v>44503.41363973757</v>
      </c>
      <c r="M52" s="80">
        <f>L52-'Toim ja inv rahavirta'!M52</f>
        <v>47431.701774008245</v>
      </c>
      <c r="N52" s="80">
        <f>M52-'Toim ja inv rahavirta'!N52</f>
        <v>50436.551559144456</v>
      </c>
      <c r="O52" s="80">
        <f>N52-'Toim ja inv rahavirta'!O52</f>
        <v>53583.48824841046</v>
      </c>
      <c r="P52" s="80">
        <f>O52-'Toim ja inv rahavirta'!P52</f>
        <v>55738.890230442928</v>
      </c>
      <c r="U52" s="34">
        <v>139</v>
      </c>
      <c r="V52" s="88" t="s">
        <v>366</v>
      </c>
      <c r="W52" s="41">
        <f>C52/'1. Väestöennuste'!E52*1000</f>
        <v>2854.8069957570115</v>
      </c>
      <c r="X52" s="41">
        <f>D52/'1. Väestöennuste'!F52*1000</f>
        <v>3086.6223514748649</v>
      </c>
      <c r="Y52" s="41">
        <f>E52/'1. Väestöennuste'!G52*1000</f>
        <v>3525.4866546257272</v>
      </c>
      <c r="Z52" s="41">
        <f>F52/'1. Väestöennuste'!H52*1000</f>
        <v>3882.0726019063068</v>
      </c>
      <c r="AA52" s="41">
        <f>G52/'1. Väestöennuste'!I52*1000</f>
        <v>4527.021535960992</v>
      </c>
      <c r="AB52" s="41">
        <f>H52/'1. Väestöennuste'!J52*1000</f>
        <v>4898.761169780666</v>
      </c>
      <c r="AC52" s="41">
        <f>I52/'1. Väestöennuste'!K52*1000</f>
        <v>4375.2017756255045</v>
      </c>
      <c r="AD52" s="41">
        <f>J52/'1. Väestöennuste'!L52*1000</f>
        <v>4287.1206739064246</v>
      </c>
      <c r="AE52" s="41">
        <f>K52/'1. Väestöennuste'!M52*1000</f>
        <v>4261.2123694450138</v>
      </c>
      <c r="AF52" s="41">
        <f>L52/'1. Väestöennuste'!N52*1000</f>
        <v>4595.5610945619137</v>
      </c>
      <c r="AG52" s="41">
        <f>M52/'1. Väestöennuste'!O52*1000</f>
        <v>4919.7906621728289</v>
      </c>
      <c r="AH52" s="41">
        <f>N52/'1. Väestöennuste'!P52*1000</f>
        <v>5255.4497821344639</v>
      </c>
      <c r="AI52" s="41">
        <f>O52/'1. Väestöennuste'!Q52*1000</f>
        <v>5610.2490051733284</v>
      </c>
      <c r="AJ52" s="41">
        <f>P52/'1. Väestöennuste'!R52*1000</f>
        <v>5862.931548379398</v>
      </c>
    </row>
    <row r="53" spans="1:36" x14ac:dyDescent="0.2">
      <c r="A53" s="30">
        <v>140</v>
      </c>
      <c r="B53" s="31" t="s">
        <v>367</v>
      </c>
      <c r="C53" s="81">
        <v>35981</v>
      </c>
      <c r="D53" s="46">
        <v>46867</v>
      </c>
      <c r="E53" s="46">
        <v>53965</v>
      </c>
      <c r="F53" s="46">
        <v>61618</v>
      </c>
      <c r="G53" s="80">
        <v>55346</v>
      </c>
      <c r="H53" s="80">
        <v>61342</v>
      </c>
      <c r="I53" s="80">
        <v>68820.224700000006</v>
      </c>
      <c r="J53" s="80">
        <v>65661.547500000001</v>
      </c>
      <c r="K53" s="80">
        <v>86955.903299999991</v>
      </c>
      <c r="L53" s="80">
        <f>K53-'Toim ja inv rahavirta'!L53</f>
        <v>97659.909028201917</v>
      </c>
      <c r="M53" s="80">
        <f>L53-'Toim ja inv rahavirta'!M53</f>
        <v>113194.03531307042</v>
      </c>
      <c r="N53" s="80">
        <f>M53-'Toim ja inv rahavirta'!N53</f>
        <v>130042.37015101239</v>
      </c>
      <c r="O53" s="80">
        <f>N53-'Toim ja inv rahavirta'!O53</f>
        <v>148735.27137205997</v>
      </c>
      <c r="P53" s="80">
        <f>O53-'Toim ja inv rahavirta'!P53</f>
        <v>166048.10253237511</v>
      </c>
      <c r="U53" s="34">
        <v>140</v>
      </c>
      <c r="V53" s="88" t="s">
        <v>367</v>
      </c>
      <c r="W53" s="41">
        <f>C53/'1. Väestöennuste'!E53*1000</f>
        <v>1639.5989974937345</v>
      </c>
      <c r="X53" s="41">
        <f>D53/'1. Väestöennuste'!F53*1000</f>
        <v>2153.1216979831856</v>
      </c>
      <c r="Y53" s="41">
        <f>E53/'1. Väestöennuste'!G53*1000</f>
        <v>2493.876796524793</v>
      </c>
      <c r="Z53" s="41">
        <f>F53/'1. Väestöennuste'!H53*1000</f>
        <v>2869.6907600596123</v>
      </c>
      <c r="AA53" s="41">
        <f>G53/'1. Väestöennuste'!I53*1000</f>
        <v>2590.1347809809063</v>
      </c>
      <c r="AB53" s="41">
        <f>H53/'1. Väestöennuste'!J53*1000</f>
        <v>2903.900776368112</v>
      </c>
      <c r="AC53" s="41">
        <f>I53/'1. Väestöennuste'!K53*1000</f>
        <v>3283.7209991411396</v>
      </c>
      <c r="AD53" s="41">
        <f>J53/'1. Väestöennuste'!L53*1000</f>
        <v>3156.6534060862459</v>
      </c>
      <c r="AE53" s="41">
        <f>K53/'1. Väestöennuste'!M53*1000</f>
        <v>4217.4751818799105</v>
      </c>
      <c r="AF53" s="41">
        <f>L53/'1. Väestöennuste'!N53*1000</f>
        <v>4773.6782201682427</v>
      </c>
      <c r="AG53" s="41">
        <f>M53/'1. Väestöennuste'!O53*1000</f>
        <v>5577.1598006045724</v>
      </c>
      <c r="AH53" s="41">
        <f>N53/'1. Väestöennuste'!P53*1000</f>
        <v>6458.202728993464</v>
      </c>
      <c r="AI53" s="41">
        <f>O53/'1. Väestöennuste'!Q53*1000</f>
        <v>7445.325693150121</v>
      </c>
      <c r="AJ53" s="41">
        <f>P53/'1. Väestöennuste'!R53*1000</f>
        <v>8377.3827017998628</v>
      </c>
    </row>
    <row r="54" spans="1:36" x14ac:dyDescent="0.2">
      <c r="A54" s="30">
        <v>142</v>
      </c>
      <c r="B54" s="31" t="s">
        <v>368</v>
      </c>
      <c r="C54" s="81">
        <v>9814</v>
      </c>
      <c r="D54" s="46">
        <v>8746</v>
      </c>
      <c r="E54" s="46">
        <v>8977</v>
      </c>
      <c r="F54" s="46">
        <v>9577</v>
      </c>
      <c r="G54" s="80">
        <v>9894</v>
      </c>
      <c r="H54" s="80">
        <v>8341</v>
      </c>
      <c r="I54" s="80">
        <v>6787.4549999999999</v>
      </c>
      <c r="J54" s="80">
        <v>5924.5590000000002</v>
      </c>
      <c r="K54" s="80">
        <v>5313.7860000000001</v>
      </c>
      <c r="L54" s="80">
        <f>K54-'Toim ja inv rahavirta'!L54</f>
        <v>1339.2439148412323</v>
      </c>
      <c r="M54" s="80">
        <f>L54-'Toim ja inv rahavirta'!M54</f>
        <v>3515.6837129917931</v>
      </c>
      <c r="N54" s="80">
        <f>M54-'Toim ja inv rahavirta'!N54</f>
        <v>5651.7546451549933</v>
      </c>
      <c r="O54" s="80">
        <f>N54-'Toim ja inv rahavirta'!O54</f>
        <v>8242.164811147848</v>
      </c>
      <c r="P54" s="80">
        <f>O54-'Toim ja inv rahavirta'!P54</f>
        <v>10122.688072670573</v>
      </c>
      <c r="U54" s="34">
        <v>142</v>
      </c>
      <c r="V54" s="88" t="s">
        <v>368</v>
      </c>
      <c r="W54" s="41">
        <f>C54/'1. Väestöennuste'!E54*1000</f>
        <v>1420.2604920405211</v>
      </c>
      <c r="X54" s="41">
        <f>D54/'1. Väestöennuste'!F54*1000</f>
        <v>1269.5601683843809</v>
      </c>
      <c r="Y54" s="41">
        <f>E54/'1. Väestöennuste'!G54*1000</f>
        <v>1316.2756598240469</v>
      </c>
      <c r="Z54" s="41">
        <f>F54/'1. Väestöennuste'!H54*1000</f>
        <v>1415.668883961567</v>
      </c>
      <c r="AA54" s="41">
        <f>G54/'1. Väestöennuste'!I54*1000</f>
        <v>1474.2959320518551</v>
      </c>
      <c r="AB54" s="41">
        <f>H54/'1. Väestöennuste'!J54*1000</f>
        <v>1259.0188679245282</v>
      </c>
      <c r="AC54" s="41">
        <f>I54/'1. Väestöennuste'!K54*1000</f>
        <v>1034.830766885196</v>
      </c>
      <c r="AD54" s="41">
        <f>J54/'1. Väestöennuste'!L54*1000</f>
        <v>910.91005535055353</v>
      </c>
      <c r="AE54" s="41">
        <f>K54/'1. Väestöennuste'!M54*1000</f>
        <v>824.60986964618257</v>
      </c>
      <c r="AF54" s="41">
        <f>L54/'1. Väestöennuste'!N54*1000</f>
        <v>208.96300746469532</v>
      </c>
      <c r="AG54" s="41">
        <f>M54/'1. Väestöennuste'!O54*1000</f>
        <v>553.21537576582114</v>
      </c>
      <c r="AH54" s="41">
        <f>N54/'1. Väestöennuste'!P54*1000</f>
        <v>896.39248931879354</v>
      </c>
      <c r="AI54" s="41">
        <f>O54/'1. Väestöennuste'!Q54*1000</f>
        <v>1317.4815874596943</v>
      </c>
      <c r="AJ54" s="41">
        <f>P54/'1. Väestöennuste'!R54*1000</f>
        <v>1630.587640571935</v>
      </c>
    </row>
    <row r="55" spans="1:36" x14ac:dyDescent="0.2">
      <c r="A55" s="30">
        <v>143</v>
      </c>
      <c r="B55" s="31" t="s">
        <v>369</v>
      </c>
      <c r="C55" s="81">
        <v>20943</v>
      </c>
      <c r="D55" s="46">
        <v>25986</v>
      </c>
      <c r="E55" s="46">
        <v>26928</v>
      </c>
      <c r="F55" s="46">
        <v>28771</v>
      </c>
      <c r="G55" s="80">
        <v>29714</v>
      </c>
      <c r="H55" s="80">
        <v>24157</v>
      </c>
      <c r="I55" s="80">
        <v>27000</v>
      </c>
      <c r="J55" s="80">
        <v>27000</v>
      </c>
      <c r="K55" s="80">
        <v>27000</v>
      </c>
      <c r="L55" s="80">
        <f>K55-'Toim ja inv rahavirta'!L55</f>
        <v>27138.410448947121</v>
      </c>
      <c r="M55" s="80">
        <f>L55-'Toim ja inv rahavirta'!M55</f>
        <v>28797.393319628714</v>
      </c>
      <c r="N55" s="80">
        <f>M55-'Toim ja inv rahavirta'!N55</f>
        <v>30642.19428668559</v>
      </c>
      <c r="O55" s="80">
        <f>N55-'Toim ja inv rahavirta'!O55</f>
        <v>32161.685883261467</v>
      </c>
      <c r="P55" s="80">
        <f>O55-'Toim ja inv rahavirta'!P55</f>
        <v>33005.531133307988</v>
      </c>
      <c r="U55" s="34">
        <v>143</v>
      </c>
      <c r="V55" s="88" t="s">
        <v>369</v>
      </c>
      <c r="W55" s="41">
        <f>C55/'1. Väestöennuste'!E55*1000</f>
        <v>2905.9247953378658</v>
      </c>
      <c r="X55" s="41">
        <f>D55/'1. Väestöennuste'!F55*1000</f>
        <v>3645.6228956228956</v>
      </c>
      <c r="Y55" s="41">
        <f>E55/'1. Väestöennuste'!G55*1000</f>
        <v>3782.5537294563842</v>
      </c>
      <c r="Z55" s="41">
        <f>F55/'1. Väestöennuste'!H55*1000</f>
        <v>4108.3821219477368</v>
      </c>
      <c r="AA55" s="41">
        <f>G55/'1. Väestöennuste'!I55*1000</f>
        <v>4280.3226735811004</v>
      </c>
      <c r="AB55" s="41">
        <f>H55/'1. Väestöennuste'!J55*1000</f>
        <v>3518.3512962423538</v>
      </c>
      <c r="AC55" s="41">
        <f>I55/'1. Väestöennuste'!K55*1000</f>
        <v>3926.1305801948524</v>
      </c>
      <c r="AD55" s="41">
        <f>J55/'1. Väestöennuste'!L55*1000</f>
        <v>3968.2539682539682</v>
      </c>
      <c r="AE55" s="41">
        <f>K55/'1. Väestöennuste'!M55*1000</f>
        <v>3941.6058394160586</v>
      </c>
      <c r="AF55" s="41">
        <f>L55/'1. Väestöennuste'!N55*1000</f>
        <v>4087.1100073715543</v>
      </c>
      <c r="AG55" s="41">
        <f>M55/'1. Väestöennuste'!O55*1000</f>
        <v>4369.8624157251461</v>
      </c>
      <c r="AH55" s="41">
        <f>N55/'1. Väestöennuste'!P55*1000</f>
        <v>4683.202550311109</v>
      </c>
      <c r="AI55" s="41">
        <f>O55/'1. Väestöennuste'!Q55*1000</f>
        <v>4950.2363988396901</v>
      </c>
      <c r="AJ55" s="41">
        <f>P55/'1. Väestöennuste'!R55*1000</f>
        <v>5114.7576527673928</v>
      </c>
    </row>
    <row r="56" spans="1:36" x14ac:dyDescent="0.2">
      <c r="A56" s="30">
        <v>145</v>
      </c>
      <c r="B56" s="31" t="s">
        <v>370</v>
      </c>
      <c r="C56" s="81">
        <v>45927</v>
      </c>
      <c r="D56" s="46">
        <v>44648</v>
      </c>
      <c r="E56" s="46">
        <v>43630</v>
      </c>
      <c r="F56" s="46">
        <v>43476</v>
      </c>
      <c r="G56" s="80">
        <v>48459</v>
      </c>
      <c r="H56" s="80">
        <v>55720</v>
      </c>
      <c r="I56" s="80">
        <v>61309.129529999998</v>
      </c>
      <c r="J56" s="80">
        <v>65764.391159999999</v>
      </c>
      <c r="K56" s="80">
        <v>66770.265280000007</v>
      </c>
      <c r="L56" s="80">
        <f>K56-'Toim ja inv rahavirta'!L56</f>
        <v>71662.740613706599</v>
      </c>
      <c r="M56" s="80">
        <f>L56-'Toim ja inv rahavirta'!M56</f>
        <v>80760.425226778912</v>
      </c>
      <c r="N56" s="80">
        <f>M56-'Toim ja inv rahavirta'!N56</f>
        <v>90020.01575604768</v>
      </c>
      <c r="O56" s="80">
        <f>N56-'Toim ja inv rahavirta'!O56</f>
        <v>99833.975366070954</v>
      </c>
      <c r="P56" s="80">
        <f>O56-'Toim ja inv rahavirta'!P56</f>
        <v>109708.16539671137</v>
      </c>
      <c r="U56" s="34">
        <v>145</v>
      </c>
      <c r="V56" s="88" t="s">
        <v>370</v>
      </c>
      <c r="W56" s="41">
        <f>C56/'1. Väestöennuste'!E56*1000</f>
        <v>3777.2020725388602</v>
      </c>
      <c r="X56" s="41">
        <f>D56/'1. Väestöennuste'!F56*1000</f>
        <v>3669.5980932029261</v>
      </c>
      <c r="Y56" s="41">
        <f>E56/'1. Väestöennuste'!G56*1000</f>
        <v>3574.7644408029496</v>
      </c>
      <c r="Z56" s="41">
        <f>F56/'1. Väestöennuste'!H56*1000</f>
        <v>3567.4078936571755</v>
      </c>
      <c r="AA56" s="41">
        <f>G56/'1. Väestöennuste'!I56*1000</f>
        <v>3949.7106528649442</v>
      </c>
      <c r="AB56" s="41">
        <f>H56/'1. Väestöennuste'!J56*1000</f>
        <v>4532.2921750447367</v>
      </c>
      <c r="AC56" s="41">
        <f>I56/'1. Väestöennuste'!K56*1000</f>
        <v>4957.8788233867053</v>
      </c>
      <c r="AD56" s="41">
        <f>J56/'1. Väestöennuste'!L56*1000</f>
        <v>5316.8721125394131</v>
      </c>
      <c r="AE56" s="41">
        <f>K56/'1. Väestöennuste'!M56*1000</f>
        <v>5409.5653633638503</v>
      </c>
      <c r="AF56" s="41">
        <f>L56/'1. Väestöennuste'!N56*1000</f>
        <v>5762.060031656074</v>
      </c>
      <c r="AG56" s="41">
        <f>M56/'1. Väestöennuste'!O56*1000</f>
        <v>6483.6564889835354</v>
      </c>
      <c r="AH56" s="41">
        <f>N56/'1. Väestöennuste'!P56*1000</f>
        <v>7219.5056344572686</v>
      </c>
      <c r="AI56" s="41">
        <f>O56/'1. Väestöennuste'!Q56*1000</f>
        <v>8001.4406801371297</v>
      </c>
      <c r="AJ56" s="41">
        <f>P56/'1. Väestöennuste'!R56*1000</f>
        <v>8792.8320426954688</v>
      </c>
    </row>
    <row r="57" spans="1:36" x14ac:dyDescent="0.2">
      <c r="A57" s="30">
        <v>146</v>
      </c>
      <c r="B57" s="31" t="s">
        <v>371</v>
      </c>
      <c r="C57" s="81">
        <v>8556</v>
      </c>
      <c r="D57" s="46">
        <v>10650</v>
      </c>
      <c r="E57" s="46">
        <v>11641</v>
      </c>
      <c r="F57" s="46">
        <v>10864</v>
      </c>
      <c r="G57" s="80">
        <v>9086</v>
      </c>
      <c r="H57" s="80">
        <v>9492</v>
      </c>
      <c r="I57" s="80">
        <v>8011.4104100000004</v>
      </c>
      <c r="J57" s="80">
        <v>6880.3359400000018</v>
      </c>
      <c r="K57" s="80">
        <v>5749.1220999999996</v>
      </c>
      <c r="L57" s="80">
        <f>K57-'Toim ja inv rahavirta'!L57</f>
        <v>5516.0483996757548</v>
      </c>
      <c r="M57" s="80">
        <f>L57-'Toim ja inv rahavirta'!M57</f>
        <v>6210.6400682607373</v>
      </c>
      <c r="N57" s="80">
        <f>M57-'Toim ja inv rahavirta'!N57</f>
        <v>7037.3940875959834</v>
      </c>
      <c r="O57" s="80">
        <f>N57-'Toim ja inv rahavirta'!O57</f>
        <v>8066.6018423325895</v>
      </c>
      <c r="P57" s="80">
        <f>O57-'Toim ja inv rahavirta'!P57</f>
        <v>8521.5619010289847</v>
      </c>
      <c r="U57" s="34">
        <v>146</v>
      </c>
      <c r="V57" s="88" t="s">
        <v>371</v>
      </c>
      <c r="W57" s="41">
        <f>C57/'1. Väestöennuste'!E57*1000</f>
        <v>1603.4482758620688</v>
      </c>
      <c r="X57" s="41">
        <f>D57/'1. Väestöennuste'!F57*1000</f>
        <v>2033.6070269238112</v>
      </c>
      <c r="Y57" s="41">
        <f>E57/'1. Väestöennuste'!G57*1000</f>
        <v>2270.0858034321373</v>
      </c>
      <c r="Z57" s="41">
        <f>F57/'1. Väestöennuste'!H57*1000</f>
        <v>2184.5968228433544</v>
      </c>
      <c r="AA57" s="41">
        <f>G57/'1. Väestöennuste'!I57*1000</f>
        <v>1870.7020794729256</v>
      </c>
      <c r="AB57" s="41">
        <f>H57/'1. Väestöennuste'!J57*1000</f>
        <v>1998.7365761212886</v>
      </c>
      <c r="AC57" s="41">
        <f>I57/'1. Väestöennuste'!K57*1000</f>
        <v>1725.4814581089815</v>
      </c>
      <c r="AD57" s="41">
        <f>J57/'1. Väestöennuste'!L57*1000</f>
        <v>1531.6865405164742</v>
      </c>
      <c r="AE57" s="41">
        <f>K57/'1. Väestöennuste'!M57*1000</f>
        <v>1304.839332728098</v>
      </c>
      <c r="AF57" s="41">
        <f>L57/'1. Väestöennuste'!N57*1000</f>
        <v>1267.4743565431422</v>
      </c>
      <c r="AG57" s="41">
        <f>M57/'1. Väestöennuste'!O57*1000</f>
        <v>1454.4824515833109</v>
      </c>
      <c r="AH57" s="41">
        <f>N57/'1. Väestöennuste'!P57*1000</f>
        <v>1679.1682385101367</v>
      </c>
      <c r="AI57" s="41">
        <f>O57/'1. Väestöennuste'!Q57*1000</f>
        <v>1960.2920637503255</v>
      </c>
      <c r="AJ57" s="41">
        <f>P57/'1. Väestöennuste'!R57*1000</f>
        <v>2108.2538102496251</v>
      </c>
    </row>
    <row r="58" spans="1:36" x14ac:dyDescent="0.2">
      <c r="A58" s="30">
        <v>148</v>
      </c>
      <c r="B58" s="31" t="s">
        <v>372</v>
      </c>
      <c r="C58" s="81">
        <v>13157</v>
      </c>
      <c r="D58" s="46">
        <v>15030</v>
      </c>
      <c r="E58" s="46">
        <v>13833</v>
      </c>
      <c r="F58" s="46">
        <v>13119</v>
      </c>
      <c r="G58" s="80">
        <v>13280</v>
      </c>
      <c r="H58" s="80">
        <v>12136</v>
      </c>
      <c r="I58" s="80">
        <v>10401.993819999998</v>
      </c>
      <c r="J58" s="80">
        <v>11143.249290000002</v>
      </c>
      <c r="K58" s="80">
        <v>10159.05917</v>
      </c>
      <c r="L58" s="80">
        <f>K58-'Toim ja inv rahavirta'!L58</f>
        <v>9770.642005614367</v>
      </c>
      <c r="M58" s="80">
        <f>L58-'Toim ja inv rahavirta'!M58</f>
        <v>10168.139570755589</v>
      </c>
      <c r="N58" s="80">
        <f>M58-'Toim ja inv rahavirta'!N58</f>
        <v>10827.889498803961</v>
      </c>
      <c r="O58" s="80">
        <f>N58-'Toim ja inv rahavirta'!O58</f>
        <v>11668.891853845824</v>
      </c>
      <c r="P58" s="80">
        <f>O58-'Toim ja inv rahavirta'!P58</f>
        <v>12262.55414017204</v>
      </c>
      <c r="U58" s="34">
        <v>148</v>
      </c>
      <c r="V58" s="88" t="s">
        <v>372</v>
      </c>
      <c r="W58" s="41">
        <f>C58/'1. Väestöennuste'!E58*1000</f>
        <v>1933.7154614932392</v>
      </c>
      <c r="X58" s="41">
        <f>D58/'1. Väestöennuste'!F58*1000</f>
        <v>2202.1978021978025</v>
      </c>
      <c r="Y58" s="41">
        <f>E58/'1. Väestöennuste'!G58*1000</f>
        <v>2013.8302518561652</v>
      </c>
      <c r="Z58" s="41">
        <f>F58/'1. Väestöennuste'!H58*1000</f>
        <v>1893.0735930735932</v>
      </c>
      <c r="AA58" s="41">
        <f>G58/'1. Väestöennuste'!I58*1000</f>
        <v>1922.6871289995656</v>
      </c>
      <c r="AB58" s="41">
        <f>H58/'1. Väestöennuste'!J58*1000</f>
        <v>1768.5805887496358</v>
      </c>
      <c r="AC58" s="41">
        <f>I58/'1. Väestöennuste'!K58*1000</f>
        <v>1484.302771118721</v>
      </c>
      <c r="AD58" s="41">
        <f>J58/'1. Väestöennuste'!L58*1000</f>
        <v>1581.2756194125161</v>
      </c>
      <c r="AE58" s="41">
        <f>K58/'1. Väestöennuste'!M58*1000</f>
        <v>1425.4327444927742</v>
      </c>
      <c r="AF58" s="41">
        <f>L58/'1. Väestöennuste'!N58*1000</f>
        <v>1417.6787587948877</v>
      </c>
      <c r="AG58" s="41">
        <f>M58/'1. Väestöennuste'!O58*1000</f>
        <v>1473.6434160515346</v>
      </c>
      <c r="AH58" s="41">
        <f>N58/'1. Väestöennuste'!P58*1000</f>
        <v>1567.8959598615641</v>
      </c>
      <c r="AI58" s="41">
        <f>O58/'1. Väestöennuste'!Q58*1000</f>
        <v>1687.9635257986147</v>
      </c>
      <c r="AJ58" s="41">
        <f>P58/'1. Väestöennuste'!R58*1000</f>
        <v>1772.0453959786184</v>
      </c>
    </row>
    <row r="59" spans="1:36" x14ac:dyDescent="0.2">
      <c r="A59" s="30">
        <v>149</v>
      </c>
      <c r="B59" s="31" t="s">
        <v>373</v>
      </c>
      <c r="C59" s="81">
        <v>17572</v>
      </c>
      <c r="D59" s="46">
        <v>15899</v>
      </c>
      <c r="E59" s="46">
        <v>15143</v>
      </c>
      <c r="F59" s="46">
        <v>16676</v>
      </c>
      <c r="G59" s="80">
        <v>15365</v>
      </c>
      <c r="H59" s="80">
        <v>13297</v>
      </c>
      <c r="I59" s="80">
        <v>15130.316000000001</v>
      </c>
      <c r="J59" s="80">
        <v>22945.119999999999</v>
      </c>
      <c r="K59" s="80">
        <v>30775.317999999999</v>
      </c>
      <c r="L59" s="80">
        <f>K59-'Toim ja inv rahavirta'!L59</f>
        <v>36506.236607742365</v>
      </c>
      <c r="M59" s="80">
        <f>L59-'Toim ja inv rahavirta'!M59</f>
        <v>42581.313154956806</v>
      </c>
      <c r="N59" s="80">
        <f>M59-'Toim ja inv rahavirta'!N59</f>
        <v>49054.477787511227</v>
      </c>
      <c r="O59" s="80">
        <f>N59-'Toim ja inv rahavirta'!O59</f>
        <v>55531.408661793415</v>
      </c>
      <c r="P59" s="80">
        <f>O59-'Toim ja inv rahavirta'!P59</f>
        <v>62189.276138726374</v>
      </c>
      <c r="U59" s="34">
        <v>149</v>
      </c>
      <c r="V59" s="88" t="s">
        <v>373</v>
      </c>
      <c r="W59" s="41">
        <f>C59/'1. Väestöennuste'!E59*1000</f>
        <v>3171.2687240570294</v>
      </c>
      <c r="X59" s="41">
        <f>D59/'1. Väestöennuste'!F59*1000</f>
        <v>2846.7323187108327</v>
      </c>
      <c r="Y59" s="41">
        <f>E59/'1. Väestöennuste'!G59*1000</f>
        <v>2762.8170041963144</v>
      </c>
      <c r="Z59" s="41">
        <f>F59/'1. Väestöennuste'!H59*1000</f>
        <v>3086.4334628909864</v>
      </c>
      <c r="AA59" s="41">
        <f>G59/'1. Väestöennuste'!I59*1000</f>
        <v>2852.7664314890458</v>
      </c>
      <c r="AB59" s="41">
        <f>H59/'1. Väestöennuste'!J59*1000</f>
        <v>2498.966359706822</v>
      </c>
      <c r="AC59" s="41">
        <f>I59/'1. Väestöennuste'!K59*1000</f>
        <v>2826.5114888847374</v>
      </c>
      <c r="AD59" s="41">
        <f>J59/'1. Väestöennuste'!L59*1000</f>
        <v>4261.7236255572061</v>
      </c>
      <c r="AE59" s="41">
        <f>K59/'1. Väestöennuste'!M59*1000</f>
        <v>5721.3827849042573</v>
      </c>
      <c r="AF59" s="41">
        <f>L59/'1. Väestöennuste'!N59*1000</f>
        <v>7042.098111061413</v>
      </c>
      <c r="AG59" s="41">
        <f>M59/'1. Väestöennuste'!O59*1000</f>
        <v>8250.5935196583632</v>
      </c>
      <c r="AH59" s="41">
        <f>N59/'1. Väestöennuste'!P59*1000</f>
        <v>9549.2462113122892</v>
      </c>
      <c r="AI59" s="41">
        <f>O59/'1. Väestöennuste'!Q59*1000</f>
        <v>10854.458299803247</v>
      </c>
      <c r="AJ59" s="41">
        <f>P59/'1. Väestöennuste'!R59*1000</f>
        <v>12203.547122983982</v>
      </c>
    </row>
    <row r="60" spans="1:36" x14ac:dyDescent="0.2">
      <c r="A60" s="30">
        <v>151</v>
      </c>
      <c r="B60" s="31" t="s">
        <v>374</v>
      </c>
      <c r="C60" s="81">
        <v>2088</v>
      </c>
      <c r="D60" s="46">
        <v>1862</v>
      </c>
      <c r="E60" s="46">
        <v>1587</v>
      </c>
      <c r="F60" s="46">
        <v>1062</v>
      </c>
      <c r="G60" s="80">
        <v>837</v>
      </c>
      <c r="H60" s="80">
        <v>612</v>
      </c>
      <c r="I60" s="80">
        <v>387.5</v>
      </c>
      <c r="J60" s="80">
        <v>0</v>
      </c>
      <c r="K60" s="80">
        <v>0</v>
      </c>
      <c r="L60" s="80">
        <f>K60-'Toim ja inv rahavirta'!L60</f>
        <v>-214.07280778925832</v>
      </c>
      <c r="M60" s="80">
        <f>L60-'Toim ja inv rahavirta'!M60</f>
        <v>-445.74772519317099</v>
      </c>
      <c r="N60" s="80">
        <f>M60-'Toim ja inv rahavirta'!N60</f>
        <v>-599.90492144911991</v>
      </c>
      <c r="O60" s="80">
        <f>N60-'Toim ja inv rahavirta'!O60</f>
        <v>-810.13820965870082</v>
      </c>
      <c r="P60" s="80">
        <f>O60-'Toim ja inv rahavirta'!P60</f>
        <v>-1109.5590877543825</v>
      </c>
      <c r="U60" s="34">
        <v>151</v>
      </c>
      <c r="V60" s="88" t="s">
        <v>374</v>
      </c>
      <c r="W60" s="41">
        <f>C60/'1. Väestöennuste'!E60*1000</f>
        <v>983.5138954309939</v>
      </c>
      <c r="X60" s="41">
        <f>D60/'1. Väestöennuste'!F60*1000</f>
        <v>895.62289562289561</v>
      </c>
      <c r="Y60" s="41">
        <f>E60/'1. Väestöennuste'!G60*1000</f>
        <v>781.00393700787401</v>
      </c>
      <c r="Z60" s="41">
        <f>F60/'1. Väestöennuste'!H60*1000</f>
        <v>537.44939271255066</v>
      </c>
      <c r="AA60" s="41">
        <f>G60/'1. Väestöennuste'!I60*1000</f>
        <v>429.01076371091744</v>
      </c>
      <c r="AB60" s="41">
        <f>H60/'1. Väestöennuste'!J60*1000</f>
        <v>317.92207792207796</v>
      </c>
      <c r="AC60" s="41">
        <f>I60/'1. Väestöennuste'!K60*1000</f>
        <v>204.91803278688525</v>
      </c>
      <c r="AD60" s="41">
        <f>J60/'1. Väestöennuste'!L60*1000</f>
        <v>0</v>
      </c>
      <c r="AE60" s="41">
        <f>K60/'1. Väestöennuste'!M60*1000</f>
        <v>0</v>
      </c>
      <c r="AF60" s="41">
        <f>L60/'1. Väestöennuste'!N60*1000</f>
        <v>-119.19421369112379</v>
      </c>
      <c r="AG60" s="41">
        <f>M60/'1. Väestöennuste'!O60*1000</f>
        <v>-251.83487299049207</v>
      </c>
      <c r="AH60" s="41">
        <f>N60/'1. Väestöennuste'!P60*1000</f>
        <v>-343.78505527170194</v>
      </c>
      <c r="AI60" s="41">
        <f>O60/'1. Väestöennuste'!Q60*1000</f>
        <v>-469.64533893258022</v>
      </c>
      <c r="AJ60" s="41">
        <f>P60/'1. Väestöennuste'!R60*1000</f>
        <v>-651.14969938637466</v>
      </c>
    </row>
    <row r="61" spans="1:36" x14ac:dyDescent="0.2">
      <c r="A61" s="30">
        <v>152</v>
      </c>
      <c r="B61" s="31" t="s">
        <v>375</v>
      </c>
      <c r="C61" s="81">
        <v>4255</v>
      </c>
      <c r="D61" s="46">
        <v>2425</v>
      </c>
      <c r="E61" s="46">
        <v>1875</v>
      </c>
      <c r="F61" s="46">
        <v>1325</v>
      </c>
      <c r="G61" s="80">
        <v>3575</v>
      </c>
      <c r="H61" s="80">
        <v>4000</v>
      </c>
      <c r="I61" s="80">
        <v>3270</v>
      </c>
      <c r="J61" s="80">
        <v>2715</v>
      </c>
      <c r="K61" s="80">
        <v>2335</v>
      </c>
      <c r="L61" s="80">
        <f>K61-'Toim ja inv rahavirta'!L61</f>
        <v>2752.6664126786673</v>
      </c>
      <c r="M61" s="80">
        <f>L61-'Toim ja inv rahavirta'!M61</f>
        <v>3859.5131945185299</v>
      </c>
      <c r="N61" s="80">
        <f>M61-'Toim ja inv rahavirta'!N61</f>
        <v>5372.4041941460609</v>
      </c>
      <c r="O61" s="80">
        <f>N61-'Toim ja inv rahavirta'!O61</f>
        <v>6947.7502496916532</v>
      </c>
      <c r="P61" s="80">
        <f>O61-'Toim ja inv rahavirta'!P61</f>
        <v>8135.909500132414</v>
      </c>
      <c r="U61" s="34">
        <v>152</v>
      </c>
      <c r="V61" s="88" t="s">
        <v>375</v>
      </c>
      <c r="W61" s="41">
        <f>C61/'1. Väestöennuste'!E61*1000</f>
        <v>889.23719958202719</v>
      </c>
      <c r="X61" s="41">
        <f>D61/'1. Väestöennuste'!F61*1000</f>
        <v>514.64346349745324</v>
      </c>
      <c r="Y61" s="41">
        <f>E61/'1. Väestöennuste'!G61*1000</f>
        <v>401.24117269420071</v>
      </c>
      <c r="Z61" s="41">
        <f>F61/'1. Väestöennuste'!H61*1000</f>
        <v>287.98087372310368</v>
      </c>
      <c r="AA61" s="41">
        <f>G61/'1. Väestöennuste'!I61*1000</f>
        <v>790.57938965059702</v>
      </c>
      <c r="AB61" s="41">
        <f>H61/'1. Väestöennuste'!J61*1000</f>
        <v>894.65443972265712</v>
      </c>
      <c r="AC61" s="41">
        <f>I61/'1. Väestöennuste'!K61*1000</f>
        <v>729.91071428571433</v>
      </c>
      <c r="AD61" s="41">
        <f>J61/'1. Väestöennuste'!L61*1000</f>
        <v>616.20517476168857</v>
      </c>
      <c r="AE61" s="41">
        <f>K61/'1. Väestöennuste'!M61*1000</f>
        <v>535.91921046591699</v>
      </c>
      <c r="AF61" s="41">
        <f>L61/'1. Väestöennuste'!N61*1000</f>
        <v>645.10579158159533</v>
      </c>
      <c r="AG61" s="41">
        <f>M61/'1. Väestöennuste'!O61*1000</f>
        <v>914.57658637879854</v>
      </c>
      <c r="AH61" s="41">
        <f>N61/'1. Väestöennuste'!P61*1000</f>
        <v>1287.1116900206184</v>
      </c>
      <c r="AI61" s="41">
        <f>O61/'1. Väestöennuste'!Q61*1000</f>
        <v>1683.486854783536</v>
      </c>
      <c r="AJ61" s="41">
        <f>P61/'1. Väestöennuste'!R61*1000</f>
        <v>1991.1672785443991</v>
      </c>
    </row>
    <row r="62" spans="1:36" x14ac:dyDescent="0.2">
      <c r="A62" s="30">
        <v>153</v>
      </c>
      <c r="B62" s="31" t="s">
        <v>376</v>
      </c>
      <c r="C62" s="81">
        <v>60784</v>
      </c>
      <c r="D62" s="46">
        <v>61153</v>
      </c>
      <c r="E62" s="46">
        <v>61146</v>
      </c>
      <c r="F62" s="46">
        <v>63108</v>
      </c>
      <c r="G62" s="80">
        <v>90418</v>
      </c>
      <c r="H62" s="80">
        <v>101622</v>
      </c>
      <c r="I62" s="80">
        <v>104099.19653999999</v>
      </c>
      <c r="J62" s="80">
        <v>118798.50430999999</v>
      </c>
      <c r="K62" s="80">
        <v>129087.36629999999</v>
      </c>
      <c r="L62" s="80">
        <f>K62-'Toim ja inv rahavirta'!L62</f>
        <v>136695.68074650937</v>
      </c>
      <c r="M62" s="80">
        <f>L62-'Toim ja inv rahavirta'!M62</f>
        <v>147881.07580633266</v>
      </c>
      <c r="N62" s="80">
        <f>M62-'Toim ja inv rahavirta'!N62</f>
        <v>161164.18505575621</v>
      </c>
      <c r="O62" s="80">
        <f>N62-'Toim ja inv rahavirta'!O62</f>
        <v>175903.43642889423</v>
      </c>
      <c r="P62" s="80">
        <f>O62-'Toim ja inv rahavirta'!P62</f>
        <v>188265.6182647032</v>
      </c>
      <c r="U62" s="34">
        <v>153</v>
      </c>
      <c r="V62" s="88" t="s">
        <v>376</v>
      </c>
      <c r="W62" s="41">
        <f>C62/'1. Väestöennuste'!E62*1000</f>
        <v>2183.7255254176393</v>
      </c>
      <c r="X62" s="41">
        <f>D62/'1. Väestöennuste'!F62*1000</f>
        <v>2222.3716248137512</v>
      </c>
      <c r="Y62" s="41">
        <f>E62/'1. Väestöennuste'!G62*1000</f>
        <v>2242.326451281675</v>
      </c>
      <c r="Z62" s="41">
        <f>F62/'1. Väestöennuste'!H62*1000</f>
        <v>2343.2348136046339</v>
      </c>
      <c r="AA62" s="41">
        <f>G62/'1. Väestöennuste'!I62*1000</f>
        <v>3410.9702731250945</v>
      </c>
      <c r="AB62" s="41">
        <f>H62/'1. Väestöennuste'!J62*1000</f>
        <v>3897.2962607861937</v>
      </c>
      <c r="AC62" s="41">
        <f>I62/'1. Väestöennuste'!K62*1000</f>
        <v>4057.6572418631845</v>
      </c>
      <c r="AD62" s="41">
        <f>J62/'1. Väestöennuste'!L62*1000</f>
        <v>4712.7302566645503</v>
      </c>
      <c r="AE62" s="41">
        <f>K62/'1. Väestöennuste'!M62*1000</f>
        <v>5180.2787551667398</v>
      </c>
      <c r="AF62" s="41">
        <f>L62/'1. Väestöennuste'!N62*1000</f>
        <v>5530.2079758277123</v>
      </c>
      <c r="AG62" s="41">
        <f>M62/'1. Väestöennuste'!O62*1000</f>
        <v>6062.4390524467135</v>
      </c>
      <c r="AH62" s="41">
        <f>N62/'1. Väestöennuste'!P62*1000</f>
        <v>6693.6987604666783</v>
      </c>
      <c r="AI62" s="41">
        <f>O62/'1. Väestöennuste'!Q62*1000</f>
        <v>7398.6724050008088</v>
      </c>
      <c r="AJ62" s="41">
        <f>P62/'1. Väestöennuste'!R62*1000</f>
        <v>8014.3722389299392</v>
      </c>
    </row>
    <row r="63" spans="1:36" x14ac:dyDescent="0.2">
      <c r="A63" s="30">
        <v>165</v>
      </c>
      <c r="B63" s="31" t="s">
        <v>377</v>
      </c>
      <c r="C63" s="81">
        <v>46851</v>
      </c>
      <c r="D63" s="46">
        <v>51524</v>
      </c>
      <c r="E63" s="46">
        <v>47001</v>
      </c>
      <c r="F63" s="46">
        <v>45811</v>
      </c>
      <c r="G63" s="80">
        <v>48374</v>
      </c>
      <c r="H63" s="80">
        <v>52921</v>
      </c>
      <c r="I63" s="80">
        <v>51457.836620000002</v>
      </c>
      <c r="J63" s="80">
        <v>48130.462209999998</v>
      </c>
      <c r="K63" s="80">
        <v>49437.143960000001</v>
      </c>
      <c r="L63" s="80">
        <f>K63-'Toim ja inv rahavirta'!L63</f>
        <v>53783.115689675986</v>
      </c>
      <c r="M63" s="80">
        <f>L63-'Toim ja inv rahavirta'!M63</f>
        <v>58679.209591447136</v>
      </c>
      <c r="N63" s="80">
        <f>M63-'Toim ja inv rahavirta'!N63</f>
        <v>63747.422607616179</v>
      </c>
      <c r="O63" s="80">
        <f>N63-'Toim ja inv rahavirta'!O63</f>
        <v>69346.688153277588</v>
      </c>
      <c r="P63" s="80">
        <f>O63-'Toim ja inv rahavirta'!P63</f>
        <v>73967.750086661821</v>
      </c>
      <c r="U63" s="34">
        <v>165</v>
      </c>
      <c r="V63" s="88" t="s">
        <v>377</v>
      </c>
      <c r="W63" s="41">
        <f>C63/'1. Väestöennuste'!E63*1000</f>
        <v>2779.979825550347</v>
      </c>
      <c r="X63" s="41">
        <f>D63/'1. Väestöennuste'!F63*1000</f>
        <v>3083.6076366030284</v>
      </c>
      <c r="Y63" s="41">
        <f>E63/'1. Väestöennuste'!G63*1000</f>
        <v>2830.1920876738723</v>
      </c>
      <c r="Z63" s="41">
        <f>F63/'1. Väestöennuste'!H63*1000</f>
        <v>2785.371192314708</v>
      </c>
      <c r="AA63" s="41">
        <f>G63/'1. Väestöennuste'!I63*1000</f>
        <v>2947.2978736367513</v>
      </c>
      <c r="AB63" s="41">
        <f>H63/'1. Väestöennuste'!J63*1000</f>
        <v>3259.2843505573692</v>
      </c>
      <c r="AC63" s="41">
        <f>I63/'1. Väestöennuste'!K63*1000</f>
        <v>3149.1944075887391</v>
      </c>
      <c r="AD63" s="41">
        <f>J63/'1. Väestöennuste'!L63*1000</f>
        <v>2956.4165976658473</v>
      </c>
      <c r="AE63" s="41">
        <f>K63/'1. Väestöennuste'!M63*1000</f>
        <v>3066.2497029088881</v>
      </c>
      <c r="AF63" s="41">
        <f>L63/'1. Väestöennuste'!N63*1000</f>
        <v>3408.9570697645931</v>
      </c>
      <c r="AG63" s="41">
        <f>M63/'1. Väestöennuste'!O63*1000</f>
        <v>3744.2068396788627</v>
      </c>
      <c r="AH63" s="41">
        <f>N63/'1. Väestöennuste'!P63*1000</f>
        <v>4094.7727779815118</v>
      </c>
      <c r="AI63" s="41">
        <f>O63/'1. Väestöennuste'!Q63*1000</f>
        <v>4483.5254511720177</v>
      </c>
      <c r="AJ63" s="41">
        <f>P63/'1. Väestöennuste'!R63*1000</f>
        <v>4814.0416587479212</v>
      </c>
    </row>
    <row r="64" spans="1:36" x14ac:dyDescent="0.2">
      <c r="A64" s="30">
        <v>167</v>
      </c>
      <c r="B64" s="31" t="s">
        <v>378</v>
      </c>
      <c r="C64" s="81">
        <v>158147</v>
      </c>
      <c r="D64" s="46">
        <v>183746</v>
      </c>
      <c r="E64" s="46">
        <v>228879</v>
      </c>
      <c r="F64" s="46">
        <v>234631</v>
      </c>
      <c r="G64" s="80">
        <v>251951</v>
      </c>
      <c r="H64" s="80">
        <v>238557</v>
      </c>
      <c r="I64" s="80">
        <v>234929.78166999997</v>
      </c>
      <c r="J64" s="80">
        <v>235160.60934999998</v>
      </c>
      <c r="K64" s="80">
        <v>223384.51420999996</v>
      </c>
      <c r="L64" s="80">
        <f>K64-'Toim ja inv rahavirta'!L64</f>
        <v>236634.58044059871</v>
      </c>
      <c r="M64" s="80">
        <f>L64-'Toim ja inv rahavirta'!M64</f>
        <v>265161.88382471097</v>
      </c>
      <c r="N64" s="80">
        <f>M64-'Toim ja inv rahavirta'!N64</f>
        <v>291580.74302142928</v>
      </c>
      <c r="O64" s="80">
        <f>N64-'Toim ja inv rahavirta'!O64</f>
        <v>320161.14146362367</v>
      </c>
      <c r="P64" s="80">
        <f>O64-'Toim ja inv rahavirta'!P64</f>
        <v>344306.37615821994</v>
      </c>
      <c r="U64" s="34">
        <v>167</v>
      </c>
      <c r="V64" s="88" t="s">
        <v>378</v>
      </c>
      <c r="W64" s="41">
        <f>C64/'1. Väestöennuste'!E64*1000</f>
        <v>2094.2739094737403</v>
      </c>
      <c r="X64" s="41">
        <f>D64/'1. Väestöennuste'!F64*1000</f>
        <v>2422.5556375909714</v>
      </c>
      <c r="Y64" s="41">
        <f>E64/'1. Väestöennuste'!G64*1000</f>
        <v>3008.9131949465605</v>
      </c>
      <c r="Z64" s="41">
        <f>F64/'1. Väestöennuste'!H64*1000</f>
        <v>3065.0285430627946</v>
      </c>
      <c r="AA64" s="41">
        <f>G64/'1. Väestöennuste'!I64*1000</f>
        <v>3278.4775536759921</v>
      </c>
      <c r="AB64" s="41">
        <f>H64/'1. Väestöennuste'!J64*1000</f>
        <v>3100.7603821407679</v>
      </c>
      <c r="AC64" s="41">
        <f>I64/'1. Väestöennuste'!K64*1000</f>
        <v>3040.729238166733</v>
      </c>
      <c r="AD64" s="41">
        <f>J64/'1. Väestöennuste'!L64*1000</f>
        <v>3033.8215441280813</v>
      </c>
      <c r="AE64" s="41">
        <f>K64/'1. Väestöennuste'!M64*1000</f>
        <v>2861.629399836027</v>
      </c>
      <c r="AF64" s="41">
        <f>L64/'1. Väestöennuste'!N64*1000</f>
        <v>3040.1688221465483</v>
      </c>
      <c r="AG64" s="41">
        <f>M64/'1. Väestöennuste'!O64*1000</f>
        <v>3399.8164428180858</v>
      </c>
      <c r="AH64" s="41">
        <f>N64/'1. Väestöennuste'!P64*1000</f>
        <v>3731.4215533442871</v>
      </c>
      <c r="AI64" s="41">
        <f>O64/'1. Väestöennuste'!Q64*1000</f>
        <v>4089.8436609134114</v>
      </c>
      <c r="AJ64" s="41">
        <f>P64/'1. Väestöennuste'!R64*1000</f>
        <v>4391.0468704419018</v>
      </c>
    </row>
    <row r="65" spans="1:36" x14ac:dyDescent="0.2">
      <c r="A65" s="30">
        <v>169</v>
      </c>
      <c r="B65" s="31" t="s">
        <v>379</v>
      </c>
      <c r="C65" s="81">
        <v>18541</v>
      </c>
      <c r="D65" s="46">
        <v>17833</v>
      </c>
      <c r="E65" s="46">
        <v>17022</v>
      </c>
      <c r="F65" s="46">
        <v>15085</v>
      </c>
      <c r="G65" s="80">
        <v>16094</v>
      </c>
      <c r="H65" s="80">
        <v>12378</v>
      </c>
      <c r="I65" s="80">
        <v>10155.2781</v>
      </c>
      <c r="J65" s="80">
        <v>10898.188119999999</v>
      </c>
      <c r="K65" s="80">
        <v>10946.09814</v>
      </c>
      <c r="L65" s="80">
        <f>K65-'Toim ja inv rahavirta'!L65</f>
        <v>11273.536363813837</v>
      </c>
      <c r="M65" s="80">
        <f>L65-'Toim ja inv rahavirta'!M65</f>
        <v>12303.922855869059</v>
      </c>
      <c r="N65" s="80">
        <f>M65-'Toim ja inv rahavirta'!N65</f>
        <v>14099.424592264793</v>
      </c>
      <c r="O65" s="80">
        <f>N65-'Toim ja inv rahavirta'!O65</f>
        <v>16293.913171787715</v>
      </c>
      <c r="P65" s="80">
        <f>O65-'Toim ja inv rahavirta'!P65</f>
        <v>18544.715963784565</v>
      </c>
      <c r="U65" s="34">
        <v>169</v>
      </c>
      <c r="V65" s="88" t="s">
        <v>379</v>
      </c>
      <c r="W65" s="41">
        <f>C65/'1. Väestöennuste'!E65*1000</f>
        <v>3417.6958525345622</v>
      </c>
      <c r="X65" s="41">
        <f>D65/'1. Väestöennuste'!F65*1000</f>
        <v>3338.8878487174684</v>
      </c>
      <c r="Y65" s="41">
        <f>E65/'1. Väestöennuste'!G65*1000</f>
        <v>3220.2043132803633</v>
      </c>
      <c r="Z65" s="41">
        <f>F65/'1. Väestöennuste'!H65*1000</f>
        <v>2903.7536092396535</v>
      </c>
      <c r="AA65" s="41">
        <f>G65/'1. Väestöennuste'!I65*1000</f>
        <v>3135.3984024936685</v>
      </c>
      <c r="AB65" s="41">
        <f>H65/'1. Väestöennuste'!J65*1000</f>
        <v>2445.7617071724958</v>
      </c>
      <c r="AC65" s="41">
        <f>I65/'1. Väestöennuste'!K65*1000</f>
        <v>2012.5402497027349</v>
      </c>
      <c r="AD65" s="41">
        <f>J65/'1. Väestöennuste'!L65*1000</f>
        <v>2184.005635270541</v>
      </c>
      <c r="AE65" s="41">
        <f>K65/'1. Väestöennuste'!M65*1000</f>
        <v>2226.6269609438568</v>
      </c>
      <c r="AF65" s="41">
        <f>L65/'1. Väestöennuste'!N65*1000</f>
        <v>2339.3933106067307</v>
      </c>
      <c r="AG65" s="41">
        <f>M65/'1. Väestöennuste'!O65*1000</f>
        <v>2582.6874172689045</v>
      </c>
      <c r="AH65" s="41">
        <f>N65/'1. Väestöennuste'!P65*1000</f>
        <v>2991.6029264300432</v>
      </c>
      <c r="AI65" s="41">
        <f>O65/'1. Väestöennuste'!Q65*1000</f>
        <v>3494.2983426523087</v>
      </c>
      <c r="AJ65" s="41">
        <f>P65/'1. Väestöennuste'!R65*1000</f>
        <v>4015.7462026384937</v>
      </c>
    </row>
    <row r="66" spans="1:36" x14ac:dyDescent="0.2">
      <c r="A66" s="30">
        <v>171</v>
      </c>
      <c r="B66" s="31" t="s">
        <v>380</v>
      </c>
      <c r="C66" s="81">
        <v>17024</v>
      </c>
      <c r="D66" s="46">
        <v>16172</v>
      </c>
      <c r="E66" s="46">
        <v>17959</v>
      </c>
      <c r="F66" s="46">
        <v>20635</v>
      </c>
      <c r="G66" s="80">
        <v>22790</v>
      </c>
      <c r="H66" s="80">
        <v>22769</v>
      </c>
      <c r="I66" s="80">
        <v>22166.48072</v>
      </c>
      <c r="J66" s="80">
        <v>20421.748400000004</v>
      </c>
      <c r="K66" s="80">
        <v>17145.45608</v>
      </c>
      <c r="L66" s="80">
        <f>K66-'Toim ja inv rahavirta'!L66</f>
        <v>16605.743398134488</v>
      </c>
      <c r="M66" s="80">
        <f>L66-'Toim ja inv rahavirta'!M66</f>
        <v>17064.316202439732</v>
      </c>
      <c r="N66" s="80">
        <f>M66-'Toim ja inv rahavirta'!N66</f>
        <v>17367.177899747127</v>
      </c>
      <c r="O66" s="80">
        <f>N66-'Toim ja inv rahavirta'!O66</f>
        <v>17983.28496101233</v>
      </c>
      <c r="P66" s="80">
        <f>O66-'Toim ja inv rahavirta'!P66</f>
        <v>18288.333915111703</v>
      </c>
      <c r="U66" s="34">
        <v>171</v>
      </c>
      <c r="V66" s="88" t="s">
        <v>380</v>
      </c>
      <c r="W66" s="41">
        <f>C66/'1. Väestöennuste'!E66*1000</f>
        <v>3331.5068493150684</v>
      </c>
      <c r="X66" s="41">
        <f>D66/'1. Väestöennuste'!F66*1000</f>
        <v>3209.3669378845011</v>
      </c>
      <c r="Y66" s="41">
        <f>E66/'1. Väestöennuste'!G66*1000</f>
        <v>3652.4303437055114</v>
      </c>
      <c r="Z66" s="41">
        <f>F66/'1. Väestöennuste'!H66*1000</f>
        <v>4288.2377389858684</v>
      </c>
      <c r="AA66" s="41">
        <f>G66/'1. Väestöennuste'!I66*1000</f>
        <v>4780.7845605202428</v>
      </c>
      <c r="AB66" s="41">
        <f>H66/'1. Väestöennuste'!J66*1000</f>
        <v>4855.8328001706122</v>
      </c>
      <c r="AC66" s="41">
        <f>I66/'1. Väestöennuste'!K66*1000</f>
        <v>4793.7890830449824</v>
      </c>
      <c r="AD66" s="41">
        <f>J66/'1. Väestöennuste'!L66*1000</f>
        <v>4498.1824669603529</v>
      </c>
      <c r="AE66" s="41">
        <f>K66/'1. Väestöennuste'!M66*1000</f>
        <v>3735.3934814814816</v>
      </c>
      <c r="AF66" s="41">
        <f>L66/'1. Väestöennuste'!N66*1000</f>
        <v>3773.1750507008605</v>
      </c>
      <c r="AG66" s="41">
        <f>M66/'1. Väestöennuste'!O66*1000</f>
        <v>3940.9506241200302</v>
      </c>
      <c r="AH66" s="41">
        <f>N66/'1. Väestöennuste'!P66*1000</f>
        <v>4075.8455526278167</v>
      </c>
      <c r="AI66" s="41">
        <f>O66/'1. Väestöennuste'!Q66*1000</f>
        <v>4286.8378929707578</v>
      </c>
      <c r="AJ66" s="41">
        <f>P66/'1. Väestöennuste'!R66*1000</f>
        <v>4431.3869433272848</v>
      </c>
    </row>
    <row r="67" spans="1:36" x14ac:dyDescent="0.2">
      <c r="A67" s="30">
        <v>172</v>
      </c>
      <c r="B67" s="31" t="s">
        <v>381</v>
      </c>
      <c r="C67" s="81">
        <v>13815</v>
      </c>
      <c r="D67" s="46">
        <v>11714</v>
      </c>
      <c r="E67" s="46">
        <v>13467</v>
      </c>
      <c r="F67" s="46">
        <v>11169</v>
      </c>
      <c r="G67" s="80">
        <v>12488</v>
      </c>
      <c r="H67" s="80">
        <v>16604</v>
      </c>
      <c r="I67" s="80">
        <v>15892.913</v>
      </c>
      <c r="J67" s="80">
        <v>18158.025000000001</v>
      </c>
      <c r="K67" s="80">
        <v>17946.136999999999</v>
      </c>
      <c r="L67" s="80">
        <f>K67-'Toim ja inv rahavirta'!L67</f>
        <v>18354.216372377858</v>
      </c>
      <c r="M67" s="80">
        <f>L67-'Toim ja inv rahavirta'!M67</f>
        <v>19055.776887176686</v>
      </c>
      <c r="N67" s="80">
        <f>M67-'Toim ja inv rahavirta'!N67</f>
        <v>20265.487492164146</v>
      </c>
      <c r="O67" s="80">
        <f>N67-'Toim ja inv rahavirta'!O67</f>
        <v>21684.762918695058</v>
      </c>
      <c r="P67" s="80">
        <f>O67-'Toim ja inv rahavirta'!P67</f>
        <v>22925.537549425488</v>
      </c>
      <c r="U67" s="34">
        <v>172</v>
      </c>
      <c r="V67" s="88" t="s">
        <v>381</v>
      </c>
      <c r="W67" s="41">
        <f>C67/'1. Väestöennuste'!E67*1000</f>
        <v>2946.8856655290101</v>
      </c>
      <c r="X67" s="41">
        <f>D67/'1. Väestöennuste'!F67*1000</f>
        <v>2506.7408517012627</v>
      </c>
      <c r="Y67" s="41">
        <f>E67/'1. Väestöennuste'!G67*1000</f>
        <v>2948.7628640245239</v>
      </c>
      <c r="Z67" s="41">
        <f>F67/'1. Väestöennuste'!H67*1000</f>
        <v>2500.3357958361316</v>
      </c>
      <c r="AA67" s="41">
        <f>G67/'1. Väestöennuste'!I67*1000</f>
        <v>2853.0957276673516</v>
      </c>
      <c r="AB67" s="41">
        <f>H67/'1. Väestöennuste'!J67*1000</f>
        <v>3864.0912264370495</v>
      </c>
      <c r="AC67" s="41">
        <f>I67/'1. Väestöennuste'!K67*1000</f>
        <v>3728.1053248885764</v>
      </c>
      <c r="AD67" s="41">
        <f>J67/'1. Väestöennuste'!L67*1000</f>
        <v>4353.3984655957811</v>
      </c>
      <c r="AE67" s="41">
        <f>K67/'1. Väestöennuste'!M67*1000</f>
        <v>4399.6413336602109</v>
      </c>
      <c r="AF67" s="41">
        <f>L67/'1. Väestöennuste'!N67*1000</f>
        <v>4561.1869712668631</v>
      </c>
      <c r="AG67" s="41">
        <f>M67/'1. Väestöennuste'!O67*1000</f>
        <v>4802.363126808641</v>
      </c>
      <c r="AH67" s="41">
        <f>N67/'1. Väestöennuste'!P67*1000</f>
        <v>5182.9891284307278</v>
      </c>
      <c r="AI67" s="41">
        <f>O67/'1. Väestöennuste'!Q67*1000</f>
        <v>5619.2699970704998</v>
      </c>
      <c r="AJ67" s="41">
        <f>P67/'1. Väestöennuste'!R67*1000</f>
        <v>6015.6225529849089</v>
      </c>
    </row>
    <row r="68" spans="1:36" x14ac:dyDescent="0.2">
      <c r="A68" s="30">
        <v>176</v>
      </c>
      <c r="B68" s="31" t="s">
        <v>382</v>
      </c>
      <c r="C68" s="81">
        <v>5000</v>
      </c>
      <c r="D68" s="46">
        <v>5000</v>
      </c>
      <c r="E68" s="46">
        <v>4643</v>
      </c>
      <c r="F68" s="46">
        <v>3928</v>
      </c>
      <c r="G68" s="80">
        <v>3214</v>
      </c>
      <c r="H68" s="80">
        <v>5500</v>
      </c>
      <c r="I68" s="80">
        <v>6785.7219999999998</v>
      </c>
      <c r="J68" s="80">
        <v>8071.4380000000001</v>
      </c>
      <c r="K68" s="80">
        <v>6620.3119999999999</v>
      </c>
      <c r="L68" s="80">
        <f>K68-'Toim ja inv rahavirta'!L68</f>
        <v>8164.2314414626771</v>
      </c>
      <c r="M68" s="80">
        <f>L68-'Toim ja inv rahavirta'!M68</f>
        <v>10259.171265531273</v>
      </c>
      <c r="N68" s="80">
        <f>M68-'Toim ja inv rahavirta'!N68</f>
        <v>12665.432950605831</v>
      </c>
      <c r="O68" s="80">
        <f>N68-'Toim ja inv rahavirta'!O68</f>
        <v>15290.48045057594</v>
      </c>
      <c r="P68" s="80">
        <f>O68-'Toim ja inv rahavirta'!P68</f>
        <v>17528.360205693931</v>
      </c>
      <c r="U68" s="34">
        <v>176</v>
      </c>
      <c r="V68" s="88" t="s">
        <v>382</v>
      </c>
      <c r="W68" s="41">
        <f>C68/'1. Väestöennuste'!E68*1000</f>
        <v>993.24592769169647</v>
      </c>
      <c r="X68" s="41">
        <f>D68/'1. Väestöennuste'!F68*1000</f>
        <v>1012.5556905629809</v>
      </c>
      <c r="Y68" s="41">
        <f>E68/'1. Väestöennuste'!G68*1000</f>
        <v>963.87793232302261</v>
      </c>
      <c r="Z68" s="41">
        <f>F68/'1. Väestöennuste'!H68*1000</f>
        <v>834.14737736249731</v>
      </c>
      <c r="AA68" s="41">
        <f>G68/'1. Väestöennuste'!I68*1000</f>
        <v>697.78549717759438</v>
      </c>
      <c r="AB68" s="41">
        <f>H68/'1. Väestöennuste'!J68*1000</f>
        <v>1214.9326264634415</v>
      </c>
      <c r="AC68" s="41">
        <f>I68/'1. Väestöennuste'!K68*1000</f>
        <v>1526.9401440144015</v>
      </c>
      <c r="AD68" s="41">
        <f>J68/'1. Väestöennuste'!L68*1000</f>
        <v>1854.6502757352941</v>
      </c>
      <c r="AE68" s="41">
        <f>K68/'1. Väestöennuste'!M68*1000</f>
        <v>1554.4287391406433</v>
      </c>
      <c r="AF68" s="41">
        <f>L68/'1. Väestöennuste'!N68*1000</f>
        <v>1958.318887374113</v>
      </c>
      <c r="AG68" s="41">
        <f>M68/'1. Väestöennuste'!O68*1000</f>
        <v>2510.8103929347217</v>
      </c>
      <c r="AH68" s="41">
        <f>N68/'1. Väestöennuste'!P68*1000</f>
        <v>3162.405231112567</v>
      </c>
      <c r="AI68" s="41">
        <f>O68/'1. Väestöennuste'!Q68*1000</f>
        <v>3886.7515126019166</v>
      </c>
      <c r="AJ68" s="41">
        <f>P68/'1. Väestöennuste'!R68*1000</f>
        <v>4535.1514115637601</v>
      </c>
    </row>
    <row r="69" spans="1:36" x14ac:dyDescent="0.2">
      <c r="A69" s="30">
        <v>177</v>
      </c>
      <c r="B69" s="31" t="s">
        <v>383</v>
      </c>
      <c r="C69" s="81">
        <v>3946</v>
      </c>
      <c r="D69" s="46">
        <v>3559</v>
      </c>
      <c r="E69" s="46">
        <v>3273</v>
      </c>
      <c r="F69" s="46">
        <v>3176</v>
      </c>
      <c r="G69" s="80">
        <v>3210</v>
      </c>
      <c r="H69" s="80">
        <v>3197</v>
      </c>
      <c r="I69" s="80">
        <v>3034.2899699999998</v>
      </c>
      <c r="J69" s="80">
        <v>2465.9061000000006</v>
      </c>
      <c r="K69" s="80">
        <v>1839.9691699999998</v>
      </c>
      <c r="L69" s="80">
        <f>K69-'Toim ja inv rahavirta'!L69</f>
        <v>1042.6532727764597</v>
      </c>
      <c r="M69" s="80">
        <f>L69-'Toim ja inv rahavirta'!M69</f>
        <v>431.00766398450241</v>
      </c>
      <c r="N69" s="80">
        <f>M69-'Toim ja inv rahavirta'!N69</f>
        <v>401.24953942147232</v>
      </c>
      <c r="O69" s="80">
        <f>N69-'Toim ja inv rahavirta'!O69</f>
        <v>390.30352758411141</v>
      </c>
      <c r="P69" s="80">
        <f>O69-'Toim ja inv rahavirta'!P69</f>
        <v>363.25951960622297</v>
      </c>
      <c r="U69" s="34">
        <v>177</v>
      </c>
      <c r="V69" s="88" t="s">
        <v>383</v>
      </c>
      <c r="W69" s="41">
        <f>C69/'1. Väestöennuste'!E69*1000</f>
        <v>1984.9094567404427</v>
      </c>
      <c r="X69" s="41">
        <f>D69/'1. Väestöennuste'!F69*1000</f>
        <v>1818.5998978027594</v>
      </c>
      <c r="Y69" s="41">
        <f>E69/'1. Väestöennuste'!G69*1000</f>
        <v>1719.012605042017</v>
      </c>
      <c r="Z69" s="41">
        <f>F69/'1. Väestöennuste'!H69*1000</f>
        <v>1685.7749469214439</v>
      </c>
      <c r="AA69" s="41">
        <f>G69/'1. Väestöennuste'!I69*1000</f>
        <v>1740.7809110629066</v>
      </c>
      <c r="AB69" s="41">
        <f>H69/'1. Väestöennuste'!J69*1000</f>
        <v>1776.1111111111111</v>
      </c>
      <c r="AC69" s="41">
        <f>I69/'1. Väestöennuste'!K69*1000</f>
        <v>1698.9305543113101</v>
      </c>
      <c r="AD69" s="41">
        <f>J69/'1. Väestöennuste'!L69*1000</f>
        <v>1394.7432692307696</v>
      </c>
      <c r="AE69" s="41">
        <f>K69/'1. Väestöennuste'!M69*1000</f>
        <v>1077.2653220140514</v>
      </c>
      <c r="AF69" s="41">
        <f>L69/'1. Väestöennuste'!N69*1000</f>
        <v>622.85141742918734</v>
      </c>
      <c r="AG69" s="41">
        <f>M69/'1. Väestöennuste'!O69*1000</f>
        <v>261.69257072525954</v>
      </c>
      <c r="AH69" s="41">
        <f>N69/'1. Väestöennuste'!P69*1000</f>
        <v>247.37949409461919</v>
      </c>
      <c r="AI69" s="41">
        <f>O69/'1. Väestöennuste'!Q69*1000</f>
        <v>243.93970474006963</v>
      </c>
      <c r="AJ69" s="41">
        <f>P69/'1. Väestöennuste'!R69*1000</f>
        <v>230.2024839076191</v>
      </c>
    </row>
    <row r="70" spans="1:36" x14ac:dyDescent="0.2">
      <c r="A70" s="30">
        <v>178</v>
      </c>
      <c r="B70" s="31" t="s">
        <v>384</v>
      </c>
      <c r="C70" s="81">
        <v>17248</v>
      </c>
      <c r="D70" s="46">
        <v>17492</v>
      </c>
      <c r="E70" s="46">
        <v>19657</v>
      </c>
      <c r="F70" s="46">
        <v>19200</v>
      </c>
      <c r="G70" s="80">
        <v>20587</v>
      </c>
      <c r="H70" s="80">
        <v>21442</v>
      </c>
      <c r="I70" s="80">
        <v>19666.738539999998</v>
      </c>
      <c r="J70" s="80">
        <v>17890.734390000001</v>
      </c>
      <c r="K70" s="80">
        <v>18657.69945</v>
      </c>
      <c r="L70" s="80">
        <f>K70-'Toim ja inv rahavirta'!L70</f>
        <v>19906.806155238955</v>
      </c>
      <c r="M70" s="80">
        <f>L70-'Toim ja inv rahavirta'!M70</f>
        <v>22402.67787419086</v>
      </c>
      <c r="N70" s="80">
        <f>M70-'Toim ja inv rahavirta'!N70</f>
        <v>24850.365792176453</v>
      </c>
      <c r="O70" s="80">
        <f>N70-'Toim ja inv rahavirta'!O70</f>
        <v>27499.365113068998</v>
      </c>
      <c r="P70" s="80">
        <f>O70-'Toim ja inv rahavirta'!P70</f>
        <v>29113.26793959162</v>
      </c>
      <c r="U70" s="34">
        <v>178</v>
      </c>
      <c r="V70" s="88" t="s">
        <v>384</v>
      </c>
      <c r="W70" s="41">
        <f>C70/'1. Väestöennuste'!E70*1000</f>
        <v>2634.0867440439829</v>
      </c>
      <c r="X70" s="41">
        <f>D70/'1. Väestöennuste'!F70*1000</f>
        <v>2724.1862638218345</v>
      </c>
      <c r="Y70" s="41">
        <f>E70/'1. Väestöennuste'!G70*1000</f>
        <v>3103.4101673508048</v>
      </c>
      <c r="Z70" s="41">
        <f>F70/'1. Väestöennuste'!H70*1000</f>
        <v>3084.3373493975905</v>
      </c>
      <c r="AA70" s="41">
        <f>G70/'1. Väestöennuste'!I70*1000</f>
        <v>3366.0889470241991</v>
      </c>
      <c r="AB70" s="41">
        <f>H70/'1. Väestöennuste'!J70*1000</f>
        <v>3614.6325016857718</v>
      </c>
      <c r="AC70" s="41">
        <f>I70/'1. Väestöennuste'!K70*1000</f>
        <v>3340.7063937489384</v>
      </c>
      <c r="AD70" s="41">
        <f>J70/'1. Väestöennuste'!L70*1000</f>
        <v>3101.1846749869997</v>
      </c>
      <c r="AE70" s="41">
        <f>K70/'1. Väestöennuste'!M70*1000</f>
        <v>3253.8715469131498</v>
      </c>
      <c r="AF70" s="41">
        <f>L70/'1. Väestöennuste'!N70*1000</f>
        <v>3604.9993037375871</v>
      </c>
      <c r="AG70" s="41">
        <f>M70/'1. Väestöennuste'!O70*1000</f>
        <v>4123.4452188829118</v>
      </c>
      <c r="AH70" s="41">
        <f>N70/'1. Väestöennuste'!P70*1000</f>
        <v>4647.5342794420148</v>
      </c>
      <c r="AI70" s="41">
        <f>O70/'1. Väestöennuste'!Q70*1000</f>
        <v>5219.0861858168528</v>
      </c>
      <c r="AJ70" s="41">
        <f>P70/'1. Väestöennuste'!R70*1000</f>
        <v>5606.2522510286199</v>
      </c>
    </row>
    <row r="71" spans="1:36" x14ac:dyDescent="0.2">
      <c r="A71" s="30">
        <v>179</v>
      </c>
      <c r="B71" s="31" t="s">
        <v>385</v>
      </c>
      <c r="C71" s="81">
        <v>402281</v>
      </c>
      <c r="D71" s="46">
        <v>393130</v>
      </c>
      <c r="E71" s="46">
        <v>365843</v>
      </c>
      <c r="F71" s="46">
        <v>341144</v>
      </c>
      <c r="G71" s="80">
        <v>407036</v>
      </c>
      <c r="H71" s="80">
        <v>382892</v>
      </c>
      <c r="I71" s="80">
        <v>352279.95021000004</v>
      </c>
      <c r="J71" s="80">
        <v>339485.61392999999</v>
      </c>
      <c r="K71" s="80">
        <v>344636.68472000002</v>
      </c>
      <c r="L71" s="80">
        <f>K71-'Toim ja inv rahavirta'!L71</f>
        <v>346712.6704347909</v>
      </c>
      <c r="M71" s="80">
        <f>L71-'Toim ja inv rahavirta'!M71</f>
        <v>392620.83354758366</v>
      </c>
      <c r="N71" s="80">
        <f>M71-'Toim ja inv rahavirta'!N71</f>
        <v>433548.93636317342</v>
      </c>
      <c r="O71" s="80">
        <f>N71-'Toim ja inv rahavirta'!O71</f>
        <v>477002.22051315894</v>
      </c>
      <c r="P71" s="80">
        <f>O71-'Toim ja inv rahavirta'!P71</f>
        <v>514847.61663128738</v>
      </c>
      <c r="U71" s="34">
        <v>179</v>
      </c>
      <c r="V71" s="88" t="s">
        <v>385</v>
      </c>
      <c r="W71" s="41">
        <f>C71/'1. Väestöennuste'!E71*1000</f>
        <v>2928.4913516976299</v>
      </c>
      <c r="X71" s="41">
        <f>D71/'1. Väestöennuste'!F71*1000</f>
        <v>2831.3287720561761</v>
      </c>
      <c r="Y71" s="41">
        <f>E71/'1. Väestöennuste'!G71*1000</f>
        <v>2609.6598852968873</v>
      </c>
      <c r="Z71" s="41">
        <f>F71/'1. Väestöennuste'!H71*1000</f>
        <v>2414.2387035136762</v>
      </c>
      <c r="AA71" s="41">
        <f>G71/'1. Väestöennuste'!I71*1000</f>
        <v>2858.3988764044943</v>
      </c>
      <c r="AB71" s="41">
        <f>H71/'1. Väestöennuste'!J71*1000</f>
        <v>2669.7252823873937</v>
      </c>
      <c r="AC71" s="41">
        <f>I71/'1. Väestöennuste'!K71*1000</f>
        <v>2438.3791449613423</v>
      </c>
      <c r="AD71" s="41">
        <f>J71/'1. Väestöennuste'!L71*1000</f>
        <v>2327.0450001028189</v>
      </c>
      <c r="AE71" s="41">
        <f>K71/'1. Väestöennuste'!M71*1000</f>
        <v>2332.6295447592493</v>
      </c>
      <c r="AF71" s="41">
        <f>L71/'1. Väestöennuste'!N71*1000</f>
        <v>2349.5271329957977</v>
      </c>
      <c r="AG71" s="41">
        <f>M71/'1. Väestöennuste'!O71*1000</f>
        <v>2645.6394651562546</v>
      </c>
      <c r="AH71" s="41">
        <f>N71/'1. Väestöennuste'!P71*1000</f>
        <v>2906.3109526607905</v>
      </c>
      <c r="AI71" s="41">
        <f>O71/'1. Väestöennuste'!Q71*1000</f>
        <v>3182.2211434138262</v>
      </c>
      <c r="AJ71" s="41">
        <f>P71/'1. Väestöennuste'!R71*1000</f>
        <v>3419.3921419121548</v>
      </c>
    </row>
    <row r="72" spans="1:36" x14ac:dyDescent="0.2">
      <c r="A72" s="30">
        <v>181</v>
      </c>
      <c r="B72" s="31" t="s">
        <v>386</v>
      </c>
      <c r="C72" s="81">
        <v>4891</v>
      </c>
      <c r="D72" s="46">
        <v>5642</v>
      </c>
      <c r="E72" s="46">
        <v>5876</v>
      </c>
      <c r="F72" s="46">
        <v>4831</v>
      </c>
      <c r="G72" s="80">
        <v>5259</v>
      </c>
      <c r="H72" s="80">
        <v>4909</v>
      </c>
      <c r="I72" s="80">
        <v>12705.652600000001</v>
      </c>
      <c r="J72" s="80">
        <v>12102.773640000001</v>
      </c>
      <c r="K72" s="80">
        <v>11246.894679999999</v>
      </c>
      <c r="L72" s="80">
        <f>K72-'Toim ja inv rahavirta'!L72</f>
        <v>12952.540745460563</v>
      </c>
      <c r="M72" s="80">
        <f>L72-'Toim ja inv rahavirta'!M72</f>
        <v>14454.760520431133</v>
      </c>
      <c r="N72" s="80">
        <f>M72-'Toim ja inv rahavirta'!N72</f>
        <v>16036.81867750765</v>
      </c>
      <c r="O72" s="80">
        <f>N72-'Toim ja inv rahavirta'!O72</f>
        <v>17786.145482979227</v>
      </c>
      <c r="P72" s="80">
        <f>O72-'Toim ja inv rahavirta'!P72</f>
        <v>19475.278193035039</v>
      </c>
      <c r="U72" s="34">
        <v>181</v>
      </c>
      <c r="V72" s="88" t="s">
        <v>386</v>
      </c>
      <c r="W72" s="41">
        <f>C72/'1. Väestöennuste'!E72*1000</f>
        <v>2510.7802874743329</v>
      </c>
      <c r="X72" s="41">
        <f>D72/'1. Väestöennuste'!F72*1000</f>
        <v>2946.2140992167101</v>
      </c>
      <c r="Y72" s="41">
        <f>E72/'1. Väestöennuste'!G72*1000</f>
        <v>3147.2951258703802</v>
      </c>
      <c r="Z72" s="41">
        <f>F72/'1. Väestöennuste'!H72*1000</f>
        <v>2670.536207849641</v>
      </c>
      <c r="AA72" s="41">
        <f>G72/'1. Väestöennuste'!I72*1000</f>
        <v>3024.1518113858538</v>
      </c>
      <c r="AB72" s="41">
        <f>H72/'1. Väestöennuste'!J72*1000</f>
        <v>2875.8055067369655</v>
      </c>
      <c r="AC72" s="41">
        <f>I72/'1. Väestöennuste'!K72*1000</f>
        <v>7540.4466468842738</v>
      </c>
      <c r="AD72" s="41">
        <f>J72/'1. Väestöennuste'!L72*1000</f>
        <v>7191.1905169340471</v>
      </c>
      <c r="AE72" s="41">
        <f>K72/'1. Väestöennuste'!M72*1000</f>
        <v>6686.6199048751487</v>
      </c>
      <c r="AF72" s="41">
        <f>L72/'1. Väestöennuste'!N72*1000</f>
        <v>8281.6756684530465</v>
      </c>
      <c r="AG72" s="41">
        <f>M72/'1. Väestöennuste'!O72*1000</f>
        <v>9416.7820980007382</v>
      </c>
      <c r="AH72" s="41">
        <f>N72/'1. Väestöennuste'!P72*1000</f>
        <v>10641.55187624927</v>
      </c>
      <c r="AI72" s="41">
        <f>O72/'1. Väestöennuste'!Q72*1000</f>
        <v>12033.927931650358</v>
      </c>
      <c r="AJ72" s="41">
        <f>P72/'1. Väestöennuste'!R72*1000</f>
        <v>13403.494971118402</v>
      </c>
    </row>
    <row r="73" spans="1:36" x14ac:dyDescent="0.2">
      <c r="A73" s="30">
        <v>182</v>
      </c>
      <c r="B73" s="31" t="s">
        <v>387</v>
      </c>
      <c r="C73" s="81">
        <v>38685</v>
      </c>
      <c r="D73" s="46">
        <v>37713</v>
      </c>
      <c r="E73" s="46">
        <v>43449</v>
      </c>
      <c r="F73" s="46">
        <v>42918</v>
      </c>
      <c r="G73" s="80">
        <v>41217</v>
      </c>
      <c r="H73" s="80">
        <v>39912</v>
      </c>
      <c r="I73" s="80">
        <v>35464.857170000003</v>
      </c>
      <c r="J73" s="80">
        <v>31663.933979999998</v>
      </c>
      <c r="K73" s="80">
        <v>27543.524890000001</v>
      </c>
      <c r="L73" s="80">
        <f>K73-'Toim ja inv rahavirta'!L73</f>
        <v>25629.784738378446</v>
      </c>
      <c r="M73" s="80">
        <f>L73-'Toim ja inv rahavirta'!M73</f>
        <v>25397.40985235172</v>
      </c>
      <c r="N73" s="80">
        <f>M73-'Toim ja inv rahavirta'!N73</f>
        <v>24147.31139622999</v>
      </c>
      <c r="O73" s="80">
        <f>N73-'Toim ja inv rahavirta'!O73</f>
        <v>22387.357215468681</v>
      </c>
      <c r="P73" s="80">
        <f>O73-'Toim ja inv rahavirta'!P73</f>
        <v>17889.045126347002</v>
      </c>
      <c r="U73" s="34">
        <v>182</v>
      </c>
      <c r="V73" s="88" t="s">
        <v>387</v>
      </c>
      <c r="W73" s="41">
        <f>C73/'1. Väestöennuste'!E73*1000</f>
        <v>1795.7942623711817</v>
      </c>
      <c r="X73" s="41">
        <f>D73/'1. Väestöennuste'!F73*1000</f>
        <v>1773.9780798720542</v>
      </c>
      <c r="Y73" s="41">
        <f>E73/'1. Väestöennuste'!G73*1000</f>
        <v>2081.1898261244432</v>
      </c>
      <c r="Z73" s="41">
        <f>F73/'1. Väestöennuste'!H73*1000</f>
        <v>2082.6903479400203</v>
      </c>
      <c r="AA73" s="41">
        <f>G73/'1. Väestöennuste'!I73*1000</f>
        <v>2042.2653849965316</v>
      </c>
      <c r="AB73" s="41">
        <f>H73/'1. Väestöennuste'!J73*1000</f>
        <v>2006.9392065168201</v>
      </c>
      <c r="AC73" s="41">
        <f>I73/'1. Väestöennuste'!K73*1000</f>
        <v>1794.1446435979158</v>
      </c>
      <c r="AD73" s="41">
        <f>J73/'1. Väestöennuste'!L73*1000</f>
        <v>1636.6327585672195</v>
      </c>
      <c r="AE73" s="41">
        <f>K73/'1. Väestöennuste'!M73*1000</f>
        <v>1435.904748722761</v>
      </c>
      <c r="AF73" s="41">
        <f>L73/'1. Väestöennuste'!N73*1000</f>
        <v>1376.0219445065202</v>
      </c>
      <c r="AG73" s="41">
        <f>M73/'1. Väestöennuste'!O73*1000</f>
        <v>1383.1505202239257</v>
      </c>
      <c r="AH73" s="41">
        <f>N73/'1. Väestöennuste'!P73*1000</f>
        <v>1333.8108371757617</v>
      </c>
      <c r="AI73" s="41">
        <f>O73/'1. Väestöennuste'!Q73*1000</f>
        <v>1253.5616336563457</v>
      </c>
      <c r="AJ73" s="41">
        <f>P73/'1. Väestöennuste'!R73*1000</f>
        <v>1015.3269269735514</v>
      </c>
    </row>
    <row r="74" spans="1:36" x14ac:dyDescent="0.2">
      <c r="A74" s="30">
        <v>186</v>
      </c>
      <c r="B74" s="31" t="s">
        <v>388</v>
      </c>
      <c r="C74" s="81">
        <v>73593</v>
      </c>
      <c r="D74" s="46">
        <v>79471</v>
      </c>
      <c r="E74" s="46">
        <v>91273</v>
      </c>
      <c r="F74" s="46">
        <v>135667</v>
      </c>
      <c r="G74" s="80">
        <v>191852</v>
      </c>
      <c r="H74" s="80">
        <v>229575</v>
      </c>
      <c r="I74" s="80">
        <v>216839.96483000001</v>
      </c>
      <c r="J74" s="80">
        <v>251411.09263</v>
      </c>
      <c r="K74" s="80">
        <v>254751.09382999997</v>
      </c>
      <c r="L74" s="80">
        <f>K74-'Toim ja inv rahavirta'!L74</f>
        <v>264419.39954713878</v>
      </c>
      <c r="M74" s="80">
        <f>L74-'Toim ja inv rahavirta'!M74</f>
        <v>287894.53233428131</v>
      </c>
      <c r="N74" s="80">
        <f>M74-'Toim ja inv rahavirta'!N74</f>
        <v>312083.50474267686</v>
      </c>
      <c r="O74" s="80">
        <f>N74-'Toim ja inv rahavirta'!O74</f>
        <v>336795.85313317354</v>
      </c>
      <c r="P74" s="80">
        <f>O74-'Toim ja inv rahavirta'!P74</f>
        <v>360126.09961818007</v>
      </c>
      <c r="U74" s="34">
        <v>186</v>
      </c>
      <c r="V74" s="88" t="s">
        <v>388</v>
      </c>
      <c r="W74" s="41">
        <f>C74/'1. Väestöennuste'!E74*1000</f>
        <v>1799.3398533007335</v>
      </c>
      <c r="X74" s="41">
        <f>D74/'1. Väestöennuste'!F74*1000</f>
        <v>1913.6266223602784</v>
      </c>
      <c r="Y74" s="41">
        <f>E74/'1. Väestöennuste'!G74*1000</f>
        <v>2143.9678662031379</v>
      </c>
      <c r="Z74" s="41">
        <f>F74/'1. Väestöennuste'!H74*1000</f>
        <v>3125.2476387929046</v>
      </c>
      <c r="AA74" s="41">
        <f>G74/'1. Väestöennuste'!I74*1000</f>
        <v>4389.1011415890744</v>
      </c>
      <c r="AB74" s="41">
        <f>H74/'1. Väestöennuste'!J74*1000</f>
        <v>5164.2109998875267</v>
      </c>
      <c r="AC74" s="41">
        <f>I74/'1. Väestöennuste'!K74*1000</f>
        <v>4794.5864067129532</v>
      </c>
      <c r="AD74" s="41">
        <f>J74/'1. Väestöennuste'!L74*1000</f>
        <v>5509.7763013368394</v>
      </c>
      <c r="AE74" s="41">
        <f>K74/'1. Väestöennuste'!M74*1000</f>
        <v>5479.6965762529571</v>
      </c>
      <c r="AF74" s="41">
        <f>L74/'1. Väestöennuste'!N74*1000</f>
        <v>5606.8574967586674</v>
      </c>
      <c r="AG74" s="41">
        <f>M74/'1. Väestöennuste'!O74*1000</f>
        <v>6027.3114693663001</v>
      </c>
      <c r="AH74" s="41">
        <f>N74/'1. Väestöennuste'!P74*1000</f>
        <v>6456.0096140396536</v>
      </c>
      <c r="AI74" s="41">
        <f>O74/'1. Väestöennuste'!Q74*1000</f>
        <v>6888.5677234143322</v>
      </c>
      <c r="AJ74" s="41">
        <f>P74/'1. Väestöennuste'!R74*1000</f>
        <v>7287.9366094260749</v>
      </c>
    </row>
    <row r="75" spans="1:36" x14ac:dyDescent="0.2">
      <c r="A75" s="30">
        <v>202</v>
      </c>
      <c r="B75" s="31" t="s">
        <v>389</v>
      </c>
      <c r="C75" s="81">
        <v>64080</v>
      </c>
      <c r="D75" s="46">
        <v>63657</v>
      </c>
      <c r="E75" s="46">
        <v>69300</v>
      </c>
      <c r="F75" s="46">
        <v>69234</v>
      </c>
      <c r="G75" s="80">
        <v>84792</v>
      </c>
      <c r="H75" s="80">
        <v>88975</v>
      </c>
      <c r="I75" s="80">
        <v>98158.342999999993</v>
      </c>
      <c r="J75" s="80">
        <v>93375</v>
      </c>
      <c r="K75" s="80">
        <v>113875</v>
      </c>
      <c r="L75" s="80">
        <f>K75-'Toim ja inv rahavirta'!L75</f>
        <v>121800.76931571326</v>
      </c>
      <c r="M75" s="80">
        <f>L75-'Toim ja inv rahavirta'!M75</f>
        <v>134292.31085520284</v>
      </c>
      <c r="N75" s="80">
        <f>M75-'Toim ja inv rahavirta'!N75</f>
        <v>148594.80837606214</v>
      </c>
      <c r="O75" s="80">
        <f>N75-'Toim ja inv rahavirta'!O75</f>
        <v>164726.26809916378</v>
      </c>
      <c r="P75" s="80">
        <f>O75-'Toim ja inv rahavirta'!P75</f>
        <v>181645.34764370887</v>
      </c>
      <c r="U75" s="34">
        <v>202</v>
      </c>
      <c r="V75" s="88" t="s">
        <v>389</v>
      </c>
      <c r="W75" s="41">
        <f>C75/'1. Väestöennuste'!E75*1000</f>
        <v>1966.2473151273396</v>
      </c>
      <c r="X75" s="41">
        <f>D75/'1. Väestöennuste'!F75*1000</f>
        <v>1944.4376565459102</v>
      </c>
      <c r="Y75" s="41">
        <f>E75/'1. Väestöennuste'!G75*1000</f>
        <v>2093.7188434695909</v>
      </c>
      <c r="Z75" s="41">
        <f>F75/'1. Väestöennuste'!H75*1000</f>
        <v>2069.2808894733698</v>
      </c>
      <c r="AA75" s="41">
        <f>G75/'1. Väestöennuste'!I75*1000</f>
        <v>2498.511948610661</v>
      </c>
      <c r="AB75" s="41">
        <f>H75/'1. Väestöennuste'!J75*1000</f>
        <v>2566.5618599821155</v>
      </c>
      <c r="AC75" s="41">
        <f>I75/'1. Väestöennuste'!K75*1000</f>
        <v>2765.257430205369</v>
      </c>
      <c r="AD75" s="41">
        <f>J75/'1. Väestöennuste'!L75*1000</f>
        <v>2604.7478241463959</v>
      </c>
      <c r="AE75" s="41">
        <f>K75/'1. Väestöennuste'!M75*1000</f>
        <v>3133.6855719750129</v>
      </c>
      <c r="AF75" s="41">
        <f>L75/'1. Väestöennuste'!N75*1000</f>
        <v>3333.2631650943667</v>
      </c>
      <c r="AG75" s="41">
        <f>M75/'1. Väestöennuste'!O75*1000</f>
        <v>3634.6300437155692</v>
      </c>
      <c r="AH75" s="41">
        <f>N75/'1. Väestöennuste'!P75*1000</f>
        <v>3980.0404011266141</v>
      </c>
      <c r="AI75" s="41">
        <f>O75/'1. Väestöennuste'!Q75*1000</f>
        <v>4369.2811357567116</v>
      </c>
      <c r="AJ75" s="41">
        <f>P75/'1. Väestöennuste'!R75*1000</f>
        <v>4774.3612375468865</v>
      </c>
    </row>
    <row r="76" spans="1:36" x14ac:dyDescent="0.2">
      <c r="A76" s="30">
        <v>204</v>
      </c>
      <c r="B76" s="31" t="s">
        <v>390</v>
      </c>
      <c r="C76" s="81">
        <v>5698</v>
      </c>
      <c r="D76" s="46">
        <v>8422</v>
      </c>
      <c r="E76" s="46">
        <v>8746</v>
      </c>
      <c r="F76" s="46">
        <v>7982</v>
      </c>
      <c r="G76" s="80">
        <v>7897</v>
      </c>
      <c r="H76" s="80">
        <v>7239</v>
      </c>
      <c r="I76" s="80">
        <v>6191.8410000000003</v>
      </c>
      <c r="J76" s="80">
        <v>8700.6839999999993</v>
      </c>
      <c r="K76" s="80">
        <v>8687.1720000000005</v>
      </c>
      <c r="L76" s="80">
        <f>K76-'Toim ja inv rahavirta'!L76</f>
        <v>10047.030599395308</v>
      </c>
      <c r="M76" s="80">
        <f>L76-'Toim ja inv rahavirta'!M76</f>
        <v>12943.543232541515</v>
      </c>
      <c r="N76" s="80">
        <f>M76-'Toim ja inv rahavirta'!N76</f>
        <v>15445.213862867724</v>
      </c>
      <c r="O76" s="80">
        <f>N76-'Toim ja inv rahavirta'!O76</f>
        <v>17897.698315135742</v>
      </c>
      <c r="P76" s="80">
        <f>O76-'Toim ja inv rahavirta'!P76</f>
        <v>20083.65689101351</v>
      </c>
      <c r="U76" s="34">
        <v>204</v>
      </c>
      <c r="V76" s="88" t="s">
        <v>390</v>
      </c>
      <c r="W76" s="41">
        <f>C76/'1. Väestöennuste'!E76*1000</f>
        <v>1783.9699436443329</v>
      </c>
      <c r="X76" s="41">
        <f>D76/'1. Väestöennuste'!F76*1000</f>
        <v>2670.2599873176919</v>
      </c>
      <c r="Y76" s="41">
        <f>E76/'1. Väestöennuste'!G76*1000</f>
        <v>2869.4225721784778</v>
      </c>
      <c r="Z76" s="41">
        <f>F76/'1. Väestöennuste'!H76*1000</f>
        <v>2669.5652173913045</v>
      </c>
      <c r="AA76" s="41">
        <f>G76/'1. Väestöennuste'!I76*1000</f>
        <v>2729.6923608710681</v>
      </c>
      <c r="AB76" s="41">
        <f>H76/'1. Väestöennuste'!J76*1000</f>
        <v>2578.9098681866762</v>
      </c>
      <c r="AC76" s="41">
        <f>I76/'1. Väestöennuste'!K76*1000</f>
        <v>2228.8844492440603</v>
      </c>
      <c r="AD76" s="41">
        <f>J76/'1. Väestöennuste'!L76*1000</f>
        <v>3235.6578653774636</v>
      </c>
      <c r="AE76" s="41">
        <f>K76/'1. Väestöennuste'!M76*1000</f>
        <v>3305.6210045662106</v>
      </c>
      <c r="AF76" s="41">
        <f>L76/'1. Väestöennuste'!N76*1000</f>
        <v>3904.7923044676672</v>
      </c>
      <c r="AG76" s="41">
        <f>M76/'1. Väestöennuste'!O76*1000</f>
        <v>5118.047936948009</v>
      </c>
      <c r="AH76" s="41">
        <f>N76/'1. Väestöennuste'!P76*1000</f>
        <v>6205.3892578817695</v>
      </c>
      <c r="AI76" s="41">
        <f>O76/'1. Väestöennuste'!Q76*1000</f>
        <v>7302.2024949554225</v>
      </c>
      <c r="AJ76" s="41">
        <f>P76/'1. Väestöennuste'!R76*1000</f>
        <v>8323.1068756790337</v>
      </c>
    </row>
    <row r="77" spans="1:36" x14ac:dyDescent="0.2">
      <c r="A77" s="30">
        <v>205</v>
      </c>
      <c r="B77" s="31" t="s">
        <v>391</v>
      </c>
      <c r="C77" s="81">
        <v>85796</v>
      </c>
      <c r="D77" s="46">
        <v>110372</v>
      </c>
      <c r="E77" s="46">
        <v>118627</v>
      </c>
      <c r="F77" s="46">
        <v>126450</v>
      </c>
      <c r="G77" s="80">
        <v>141463</v>
      </c>
      <c r="H77" s="80">
        <v>134206</v>
      </c>
      <c r="I77" s="80">
        <v>132002.90052</v>
      </c>
      <c r="J77" s="80">
        <v>153304.42720999997</v>
      </c>
      <c r="K77" s="80">
        <v>129510.54149</v>
      </c>
      <c r="L77" s="80">
        <f>K77-'Toim ja inv rahavirta'!L77</f>
        <v>137475.05127517955</v>
      </c>
      <c r="M77" s="80">
        <f>L77-'Toim ja inv rahavirta'!M77</f>
        <v>155005.15639310947</v>
      </c>
      <c r="N77" s="80">
        <f>M77-'Toim ja inv rahavirta'!N77</f>
        <v>175567.41982419422</v>
      </c>
      <c r="O77" s="80">
        <f>N77-'Toim ja inv rahavirta'!O77</f>
        <v>198246.99897277204</v>
      </c>
      <c r="P77" s="80">
        <f>O77-'Toim ja inv rahavirta'!P77</f>
        <v>219652.9575457176</v>
      </c>
      <c r="U77" s="34">
        <v>205</v>
      </c>
      <c r="V77" s="88" t="s">
        <v>391</v>
      </c>
      <c r="W77" s="41">
        <f>C77/'1. Väestöennuste'!E77*1000</f>
        <v>2280.4741906331401</v>
      </c>
      <c r="X77" s="41">
        <f>D77/'1. Väestöennuste'!F77*1000</f>
        <v>2941.6060339543192</v>
      </c>
      <c r="Y77" s="41">
        <f>E77/'1. Väestöennuste'!G77*1000</f>
        <v>3185.5581514004134</v>
      </c>
      <c r="Z77" s="41">
        <f>F77/'1. Väestöennuste'!H77*1000</f>
        <v>3420.0632894274199</v>
      </c>
      <c r="AA77" s="41">
        <f>G77/'1. Väestöennuste'!I77*1000</f>
        <v>3853.6326241521156</v>
      </c>
      <c r="AB77" s="41">
        <f>H77/'1. Väestöennuste'!J77*1000</f>
        <v>3670.1397434845626</v>
      </c>
      <c r="AC77" s="41">
        <f>I77/'1. Väestöennuste'!K77*1000</f>
        <v>3617.2115342668458</v>
      </c>
      <c r="AD77" s="41">
        <f>J77/'1. Väestöennuste'!L77*1000</f>
        <v>4223.6115163787626</v>
      </c>
      <c r="AE77" s="41">
        <f>K77/'1. Väestöennuste'!M77*1000</f>
        <v>3546.9707087886509</v>
      </c>
      <c r="AF77" s="41">
        <f>L77/'1. Väestöennuste'!N77*1000</f>
        <v>3830.7758039172836</v>
      </c>
      <c r="AG77" s="41">
        <f>M77/'1. Väestöennuste'!O77*1000</f>
        <v>4341.6379024455064</v>
      </c>
      <c r="AH77" s="41">
        <f>N77/'1. Väestöennuste'!P77*1000</f>
        <v>4944.1683983158046</v>
      </c>
      <c r="AI77" s="41">
        <f>O77/'1. Väestöennuste'!Q77*1000</f>
        <v>5612.7232799969433</v>
      </c>
      <c r="AJ77" s="41">
        <f>P77/'1. Väestöennuste'!R77*1000</f>
        <v>6253.4649835079736</v>
      </c>
    </row>
    <row r="78" spans="1:36" x14ac:dyDescent="0.2">
      <c r="A78" s="30">
        <v>208</v>
      </c>
      <c r="B78" s="31" t="s">
        <v>392</v>
      </c>
      <c r="C78" s="81">
        <v>32666</v>
      </c>
      <c r="D78" s="46">
        <v>32599</v>
      </c>
      <c r="E78" s="46">
        <v>36309</v>
      </c>
      <c r="F78" s="46">
        <v>43830</v>
      </c>
      <c r="G78" s="80">
        <v>44946</v>
      </c>
      <c r="H78" s="80">
        <v>39746</v>
      </c>
      <c r="I78" s="80">
        <v>44228.277499999997</v>
      </c>
      <c r="J78" s="80">
        <v>41196.994599999998</v>
      </c>
      <c r="K78" s="80">
        <v>33565.7117</v>
      </c>
      <c r="L78" s="80">
        <f>K78-'Toim ja inv rahavirta'!L78</f>
        <v>36091.642829223565</v>
      </c>
      <c r="M78" s="80">
        <f>L78-'Toim ja inv rahavirta'!M78</f>
        <v>39970.108299545522</v>
      </c>
      <c r="N78" s="80">
        <f>M78-'Toim ja inv rahavirta'!N78</f>
        <v>44764.709146170077</v>
      </c>
      <c r="O78" s="80">
        <f>N78-'Toim ja inv rahavirta'!O78</f>
        <v>49844.701134657509</v>
      </c>
      <c r="P78" s="80">
        <f>O78-'Toim ja inv rahavirta'!P78</f>
        <v>53934.173198825774</v>
      </c>
      <c r="U78" s="34">
        <v>208</v>
      </c>
      <c r="V78" s="88" t="s">
        <v>392</v>
      </c>
      <c r="W78" s="41">
        <f>C78/'1. Väestöennuste'!E78*1000</f>
        <v>2588.2259725853737</v>
      </c>
      <c r="X78" s="41">
        <f>D78/'1. Väestöennuste'!F78*1000</f>
        <v>2590.1001112347049</v>
      </c>
      <c r="Y78" s="41">
        <f>E78/'1. Väestöennuste'!G78*1000</f>
        <v>2901.0067114093958</v>
      </c>
      <c r="Z78" s="41">
        <f>F78/'1. Väestöennuste'!H78*1000</f>
        <v>3538.3870186485833</v>
      </c>
      <c r="AA78" s="41">
        <f>G78/'1. Väestöennuste'!I78*1000</f>
        <v>3632.587084781379</v>
      </c>
      <c r="AB78" s="41">
        <f>H78/'1. Väestöennuste'!J78*1000</f>
        <v>3205.3225806451615</v>
      </c>
      <c r="AC78" s="41">
        <f>I78/'1. Väestöennuste'!K78*1000</f>
        <v>3563.3481711247177</v>
      </c>
      <c r="AD78" s="41">
        <f>J78/'1. Väestöennuste'!L78*1000</f>
        <v>3339.8455289825697</v>
      </c>
      <c r="AE78" s="41">
        <f>K78/'1. Väestöennuste'!M78*1000</f>
        <v>2713.0384497251862</v>
      </c>
      <c r="AF78" s="41">
        <f>L78/'1. Väestöennuste'!N78*1000</f>
        <v>2954.4566821564804</v>
      </c>
      <c r="AG78" s="41">
        <f>M78/'1. Väestöennuste'!O78*1000</f>
        <v>3287.2858211650237</v>
      </c>
      <c r="AH78" s="41">
        <f>N78/'1. Väestöennuste'!P78*1000</f>
        <v>3699.5627393528989</v>
      </c>
      <c r="AI78" s="41">
        <f>O78/'1. Väestöennuste'!Q78*1000</f>
        <v>4140.6131529039294</v>
      </c>
      <c r="AJ78" s="41">
        <f>P78/'1. Väestöennuste'!R78*1000</f>
        <v>4504.273692903439</v>
      </c>
    </row>
    <row r="79" spans="1:36" x14ac:dyDescent="0.2">
      <c r="A79" s="30">
        <v>211</v>
      </c>
      <c r="B79" s="31" t="s">
        <v>393</v>
      </c>
      <c r="C79" s="81">
        <v>66303</v>
      </c>
      <c r="D79" s="46">
        <v>61953</v>
      </c>
      <c r="E79" s="46">
        <v>53582</v>
      </c>
      <c r="F79" s="46">
        <v>47983</v>
      </c>
      <c r="G79" s="80">
        <v>68842</v>
      </c>
      <c r="H79" s="80">
        <v>72906</v>
      </c>
      <c r="I79" s="80">
        <v>58882.355190000002</v>
      </c>
      <c r="J79" s="80">
        <v>86459.311550000013</v>
      </c>
      <c r="K79" s="80">
        <v>111600.01295</v>
      </c>
      <c r="L79" s="80">
        <f>K79-'Toim ja inv rahavirta'!L79</f>
        <v>138816.26431954378</v>
      </c>
      <c r="M79" s="80">
        <f>L79-'Toim ja inv rahavirta'!M79</f>
        <v>164161.50007590576</v>
      </c>
      <c r="N79" s="80">
        <f>M79-'Toim ja inv rahavirta'!N79</f>
        <v>188411.77137224749</v>
      </c>
      <c r="O79" s="80">
        <f>N79-'Toim ja inv rahavirta'!O79</f>
        <v>214069.79957688408</v>
      </c>
      <c r="P79" s="80">
        <f>O79-'Toim ja inv rahavirta'!P79</f>
        <v>240196.11898932417</v>
      </c>
      <c r="U79" s="34">
        <v>211</v>
      </c>
      <c r="V79" s="88" t="s">
        <v>393</v>
      </c>
      <c r="W79" s="41">
        <f>C79/'1. Väestöennuste'!E79*1000</f>
        <v>2166.2691541150716</v>
      </c>
      <c r="X79" s="41">
        <f>D79/'1. Väestöennuste'!F79*1000</f>
        <v>1986.309714652132</v>
      </c>
      <c r="Y79" s="41">
        <f>E79/'1. Väestöennuste'!G79*1000</f>
        <v>1704.4247224607948</v>
      </c>
      <c r="Z79" s="41">
        <f>F79/'1. Väestöennuste'!H79*1000</f>
        <v>1514.8061623942417</v>
      </c>
      <c r="AA79" s="41">
        <f>G79/'1. Väestöennuste'!I79*1000</f>
        <v>2160.2234216141583</v>
      </c>
      <c r="AB79" s="41">
        <f>H79/'1. Väestöennuste'!J79*1000</f>
        <v>2263.1775004656361</v>
      </c>
      <c r="AC79" s="41">
        <f>I79/'1. Väestöennuste'!K79*1000</f>
        <v>1804.9891235975724</v>
      </c>
      <c r="AD79" s="41">
        <f>J79/'1. Väestöennuste'!L79*1000</f>
        <v>2623.238312752208</v>
      </c>
      <c r="AE79" s="41">
        <f>K79/'1. Väestöennuste'!M79*1000</f>
        <v>3334.0307994503037</v>
      </c>
      <c r="AF79" s="41">
        <f>L79/'1. Väestöennuste'!N79*1000</f>
        <v>4177.8151599465427</v>
      </c>
      <c r="AG79" s="41">
        <f>M79/'1. Väestöennuste'!O79*1000</f>
        <v>4906.7880223549073</v>
      </c>
      <c r="AH79" s="41">
        <f>N79/'1. Väestöennuste'!P79*1000</f>
        <v>5595.5028323903389</v>
      </c>
      <c r="AI79" s="41">
        <f>O79/'1. Väestöennuste'!Q79*1000</f>
        <v>6318.8440751190765</v>
      </c>
      <c r="AJ79" s="41">
        <f>P79/'1. Väestöennuste'!R79*1000</f>
        <v>7049.0423767960137</v>
      </c>
    </row>
    <row r="80" spans="1:36" x14ac:dyDescent="0.2">
      <c r="A80" s="30">
        <v>213</v>
      </c>
      <c r="B80" s="31" t="s">
        <v>394</v>
      </c>
      <c r="C80" s="81">
        <v>17490</v>
      </c>
      <c r="D80" s="46">
        <v>22330</v>
      </c>
      <c r="E80" s="46">
        <v>21828</v>
      </c>
      <c r="F80" s="46">
        <v>21350</v>
      </c>
      <c r="G80" s="80">
        <v>21743</v>
      </c>
      <c r="H80" s="80">
        <v>17929</v>
      </c>
      <c r="I80" s="80">
        <v>15267.144</v>
      </c>
      <c r="J80" s="80">
        <v>10803.804</v>
      </c>
      <c r="K80" s="80">
        <v>10840.464</v>
      </c>
      <c r="L80" s="80">
        <f>K80-'Toim ja inv rahavirta'!L80</f>
        <v>10510.953385966903</v>
      </c>
      <c r="M80" s="80">
        <f>L80-'Toim ja inv rahavirta'!M80</f>
        <v>10973.588429707654</v>
      </c>
      <c r="N80" s="80">
        <f>M80-'Toim ja inv rahavirta'!N80</f>
        <v>11333.546441591798</v>
      </c>
      <c r="O80" s="80">
        <f>N80-'Toim ja inv rahavirta'!O80</f>
        <v>11614.322857661078</v>
      </c>
      <c r="P80" s="80">
        <f>O80-'Toim ja inv rahavirta'!P80</f>
        <v>11105.679626541227</v>
      </c>
      <c r="U80" s="34">
        <v>213</v>
      </c>
      <c r="V80" s="88" t="s">
        <v>394</v>
      </c>
      <c r="W80" s="41">
        <f>C80/'1. Väestöennuste'!E80*1000</f>
        <v>3107.6759061833686</v>
      </c>
      <c r="X80" s="41">
        <f>D80/'1. Väestöennuste'!F80*1000</f>
        <v>3985.3649830447971</v>
      </c>
      <c r="Y80" s="41">
        <f>E80/'1. Väestöennuste'!G80*1000</f>
        <v>3933.6817444584613</v>
      </c>
      <c r="Z80" s="41">
        <f>F80/'1. Väestöennuste'!H80*1000</f>
        <v>3915.9941305942771</v>
      </c>
      <c r="AA80" s="41">
        <f>G80/'1. Väestöennuste'!I80*1000</f>
        <v>4059.5593726661691</v>
      </c>
      <c r="AB80" s="41">
        <f>H80/'1. Väestöennuste'!J80*1000</f>
        <v>3375.1882530120483</v>
      </c>
      <c r="AC80" s="41">
        <f>I80/'1. Väestöennuste'!K80*1000</f>
        <v>2919.1479923518164</v>
      </c>
      <c r="AD80" s="41">
        <f>J80/'1. Väestöennuste'!L80*1000</f>
        <v>2096.1979045401627</v>
      </c>
      <c r="AE80" s="41">
        <f>K80/'1. Väestöennuste'!M80*1000</f>
        <v>2119.7622213531486</v>
      </c>
      <c r="AF80" s="41">
        <f>L80/'1. Väestöennuste'!N80*1000</f>
        <v>2074.3938002697655</v>
      </c>
      <c r="AG80" s="41">
        <f>M80/'1. Väestöennuste'!O80*1000</f>
        <v>2189.8999061480049</v>
      </c>
      <c r="AH80" s="41">
        <f>N80/'1. Väestöennuste'!P80*1000</f>
        <v>2286.372088277546</v>
      </c>
      <c r="AI80" s="41">
        <f>O80/'1. Väestöennuste'!Q80*1000</f>
        <v>2368.3366349227317</v>
      </c>
      <c r="AJ80" s="41">
        <f>P80/'1. Väestöennuste'!R80*1000</f>
        <v>2288.415336192299</v>
      </c>
    </row>
    <row r="81" spans="1:36" x14ac:dyDescent="0.2">
      <c r="A81" s="30">
        <v>214</v>
      </c>
      <c r="B81" s="31" t="s">
        <v>395</v>
      </c>
      <c r="C81" s="81">
        <v>37308</v>
      </c>
      <c r="D81" s="46">
        <v>40397</v>
      </c>
      <c r="E81" s="46">
        <v>44821</v>
      </c>
      <c r="F81" s="46">
        <v>46588</v>
      </c>
      <c r="G81" s="80">
        <v>57731</v>
      </c>
      <c r="H81" s="80">
        <v>60535</v>
      </c>
      <c r="I81" s="80">
        <v>58292.59672999999</v>
      </c>
      <c r="J81" s="80">
        <v>59421.469859999997</v>
      </c>
      <c r="K81" s="80">
        <v>55097.249159999999</v>
      </c>
      <c r="L81" s="80">
        <f>K81-'Toim ja inv rahavirta'!L81</f>
        <v>56046.104485811033</v>
      </c>
      <c r="M81" s="80">
        <f>L81-'Toim ja inv rahavirta'!M81</f>
        <v>58013.027404719091</v>
      </c>
      <c r="N81" s="80">
        <f>M81-'Toim ja inv rahavirta'!N81</f>
        <v>59689.898873862672</v>
      </c>
      <c r="O81" s="80">
        <f>N81-'Toim ja inv rahavirta'!O81</f>
        <v>61324.406513501453</v>
      </c>
      <c r="P81" s="80">
        <f>O81-'Toim ja inv rahavirta'!P81</f>
        <v>61382.326295587227</v>
      </c>
      <c r="U81" s="34">
        <v>214</v>
      </c>
      <c r="V81" s="88" t="s">
        <v>395</v>
      </c>
      <c r="W81" s="41">
        <f>C81/'1. Väestöennuste'!E81*1000</f>
        <v>2750.9216929656395</v>
      </c>
      <c r="X81" s="41">
        <f>D81/'1. Väestöennuste'!F81*1000</f>
        <v>3015.6016721409378</v>
      </c>
      <c r="Y81" s="41">
        <f>E81/'1. Väestöennuste'!G81*1000</f>
        <v>3372.028287691845</v>
      </c>
      <c r="Z81" s="41">
        <f>F81/'1. Väestöennuste'!H81*1000</f>
        <v>3546.3195554540612</v>
      </c>
      <c r="AA81" s="41">
        <f>G81/'1. Väestöennuste'!I81*1000</f>
        <v>4473.1907639857427</v>
      </c>
      <c r="AB81" s="41">
        <f>H81/'1. Väestöennuste'!J81*1000</f>
        <v>4744.8659664524221</v>
      </c>
      <c r="AC81" s="41">
        <f>I81/'1. Väestöennuste'!K81*1000</f>
        <v>4603.7432261885942</v>
      </c>
      <c r="AD81" s="41">
        <f>J81/'1. Väestöennuste'!L81*1000</f>
        <v>4743.0930603448278</v>
      </c>
      <c r="AE81" s="41">
        <f>K81/'1. Väestöennuste'!M81*1000</f>
        <v>4445.4775827013073</v>
      </c>
      <c r="AF81" s="41">
        <f>L81/'1. Väestöennuste'!N81*1000</f>
        <v>4617.7889499720714</v>
      </c>
      <c r="AG81" s="41">
        <f>M81/'1. Väestöennuste'!O81*1000</f>
        <v>4835.2248211967908</v>
      </c>
      <c r="AH81" s="41">
        <f>N81/'1. Väestöennuste'!P81*1000</f>
        <v>5030.3302607334126</v>
      </c>
      <c r="AI81" s="41">
        <f>O81/'1. Väestöennuste'!Q81*1000</f>
        <v>5223.0990983307602</v>
      </c>
      <c r="AJ81" s="41">
        <f>P81/'1. Väestöennuste'!R81*1000</f>
        <v>5282.9267833365375</v>
      </c>
    </row>
    <row r="82" spans="1:36" x14ac:dyDescent="0.2">
      <c r="A82" s="30">
        <v>216</v>
      </c>
      <c r="B82" s="31" t="s">
        <v>396</v>
      </c>
      <c r="C82" s="81">
        <v>9082</v>
      </c>
      <c r="D82" s="46">
        <v>8665</v>
      </c>
      <c r="E82" s="46">
        <v>8323</v>
      </c>
      <c r="F82" s="46">
        <v>8126</v>
      </c>
      <c r="G82" s="80">
        <v>8366</v>
      </c>
      <c r="H82" s="80">
        <v>9938</v>
      </c>
      <c r="I82" s="80">
        <v>9524.2294699999984</v>
      </c>
      <c r="J82" s="80">
        <v>9302.795329999999</v>
      </c>
      <c r="K82" s="80">
        <v>8766.1650000000009</v>
      </c>
      <c r="L82" s="80">
        <f>K82-'Toim ja inv rahavirta'!L82</f>
        <v>8826.8907961714885</v>
      </c>
      <c r="M82" s="80">
        <f>L82-'Toim ja inv rahavirta'!M82</f>
        <v>9655.3894586187271</v>
      </c>
      <c r="N82" s="80">
        <f>M82-'Toim ja inv rahavirta'!N82</f>
        <v>10638.175070340942</v>
      </c>
      <c r="O82" s="80">
        <f>N82-'Toim ja inv rahavirta'!O82</f>
        <v>11692.985509352829</v>
      </c>
      <c r="P82" s="80">
        <f>O82-'Toim ja inv rahavirta'!P82</f>
        <v>12697.865078446857</v>
      </c>
      <c r="U82" s="34">
        <v>216</v>
      </c>
      <c r="V82" s="88" t="s">
        <v>396</v>
      </c>
      <c r="W82" s="41">
        <f>C82/'1. Väestöennuste'!E82*1000</f>
        <v>6212.03830369357</v>
      </c>
      <c r="X82" s="41">
        <f>D82/'1. Väestöennuste'!F82*1000</f>
        <v>6084.9719101123592</v>
      </c>
      <c r="Y82" s="41">
        <f>E82/'1. Väestöennuste'!G82*1000</f>
        <v>5911.221590909091</v>
      </c>
      <c r="Z82" s="41">
        <f>F82/'1. Väestöennuste'!H82*1000</f>
        <v>6005.9127864005914</v>
      </c>
      <c r="AA82" s="41">
        <f>G82/'1. Väestöennuste'!I82*1000</f>
        <v>6247.9462285287527</v>
      </c>
      <c r="AB82" s="41">
        <f>H82/'1. Väestöennuste'!J82*1000</f>
        <v>7511.7157974300835</v>
      </c>
      <c r="AC82" s="41">
        <f>I82/'1. Väestöennuste'!K82*1000</f>
        <v>7264.858482074751</v>
      </c>
      <c r="AD82" s="41">
        <f>J82/'1. Väestöennuste'!L82*1000</f>
        <v>7330.8079826635139</v>
      </c>
      <c r="AE82" s="41">
        <f>K82/'1. Väestöennuste'!M82*1000</f>
        <v>7203.0936729663108</v>
      </c>
      <c r="AF82" s="41">
        <f>L82/'1. Väestöennuste'!N82*1000</f>
        <v>7106.9974204279297</v>
      </c>
      <c r="AG82" s="41">
        <f>M82/'1. Väestöennuste'!O82*1000</f>
        <v>7888.3900805708554</v>
      </c>
      <c r="AH82" s="41">
        <f>N82/'1. Väestöennuste'!P82*1000</f>
        <v>8791.8802234222658</v>
      </c>
      <c r="AI82" s="41">
        <f>O82/'1. Väestöennuste'!Q82*1000</f>
        <v>9793.1201920877957</v>
      </c>
      <c r="AJ82" s="41">
        <f>P82/'1. Väestöennuste'!R82*1000</f>
        <v>10770.0297527115</v>
      </c>
    </row>
    <row r="83" spans="1:36" x14ac:dyDescent="0.2">
      <c r="A83" s="30">
        <v>217</v>
      </c>
      <c r="B83" s="31" t="s">
        <v>397</v>
      </c>
      <c r="C83" s="81">
        <v>14089</v>
      </c>
      <c r="D83" s="46">
        <v>14063</v>
      </c>
      <c r="E83" s="46">
        <v>14700</v>
      </c>
      <c r="F83" s="46">
        <v>16000</v>
      </c>
      <c r="G83" s="80">
        <v>16500</v>
      </c>
      <c r="H83" s="80">
        <v>15000</v>
      </c>
      <c r="I83" s="80">
        <v>14000</v>
      </c>
      <c r="J83" s="80">
        <v>15200</v>
      </c>
      <c r="K83" s="80">
        <v>20900</v>
      </c>
      <c r="L83" s="80">
        <f>K83-'Toim ja inv rahavirta'!L83</f>
        <v>25588.700132040882</v>
      </c>
      <c r="M83" s="80">
        <f>L83-'Toim ja inv rahavirta'!M83</f>
        <v>30765.79721444859</v>
      </c>
      <c r="N83" s="80">
        <f>M83-'Toim ja inv rahavirta'!N83</f>
        <v>36230.422694025227</v>
      </c>
      <c r="O83" s="80">
        <f>N83-'Toim ja inv rahavirta'!O83</f>
        <v>41812.460532494326</v>
      </c>
      <c r="P83" s="80">
        <f>O83-'Toim ja inv rahavirta'!P83</f>
        <v>47266.612339140382</v>
      </c>
      <c r="U83" s="34">
        <v>217</v>
      </c>
      <c r="V83" s="88" t="s">
        <v>397</v>
      </c>
      <c r="W83" s="41">
        <f>C83/'1. Väestöennuste'!E83*1000</f>
        <v>2520.3935599284437</v>
      </c>
      <c r="X83" s="41">
        <f>D83/'1. Väestöennuste'!F83*1000</f>
        <v>2521.1545356758697</v>
      </c>
      <c r="Y83" s="41">
        <f>E83/'1. Väestöennuste'!G83*1000</f>
        <v>2663.0434782608695</v>
      </c>
      <c r="Z83" s="41">
        <f>F83/'1. Väestöennuste'!H83*1000</f>
        <v>2908.0334423845875</v>
      </c>
      <c r="AA83" s="41">
        <f>G83/'1. Väestöennuste'!I83*1000</f>
        <v>3019.7657393850659</v>
      </c>
      <c r="AB83" s="41">
        <f>H83/'1. Väestöennuste'!J83*1000</f>
        <v>2764.4673792849244</v>
      </c>
      <c r="AC83" s="41">
        <f>I83/'1. Väestöennuste'!K83*1000</f>
        <v>2597.4025974025972</v>
      </c>
      <c r="AD83" s="41">
        <f>J83/'1. Väestöennuste'!L83*1000</f>
        <v>2840.0597907324363</v>
      </c>
      <c r="AE83" s="41">
        <f>K83/'1. Väestöennuste'!M83*1000</f>
        <v>3983.987800228746</v>
      </c>
      <c r="AF83" s="41">
        <f>L83/'1. Väestöennuste'!N83*1000</f>
        <v>4847.2627641676236</v>
      </c>
      <c r="AG83" s="41">
        <f>M83/'1. Väestöennuste'!O83*1000</f>
        <v>5865.7382677690357</v>
      </c>
      <c r="AH83" s="41">
        <f>N83/'1. Väestöennuste'!P83*1000</f>
        <v>6948.6809923331848</v>
      </c>
      <c r="AI83" s="41">
        <f>O83/'1. Väestöennuste'!Q83*1000</f>
        <v>8064.1196783981341</v>
      </c>
      <c r="AJ83" s="41">
        <f>P83/'1. Väestöennuste'!R83*1000</f>
        <v>9169.0809581261656</v>
      </c>
    </row>
    <row r="84" spans="1:36" x14ac:dyDescent="0.2">
      <c r="A84" s="30">
        <v>218</v>
      </c>
      <c r="B84" s="31" t="s">
        <v>398</v>
      </c>
      <c r="C84" s="81">
        <v>2580</v>
      </c>
      <c r="D84" s="46">
        <v>2273</v>
      </c>
      <c r="E84" s="46">
        <v>2006</v>
      </c>
      <c r="F84" s="46">
        <v>1740</v>
      </c>
      <c r="G84" s="80">
        <v>1878</v>
      </c>
      <c r="H84" s="80">
        <v>2399</v>
      </c>
      <c r="I84" s="80">
        <v>1699.856</v>
      </c>
      <c r="J84" s="80">
        <v>1430.83</v>
      </c>
      <c r="K84" s="80">
        <v>1191.796</v>
      </c>
      <c r="L84" s="80">
        <f>K84-'Toim ja inv rahavirta'!L84</f>
        <v>1021.0327206771229</v>
      </c>
      <c r="M84" s="80">
        <f>L84-'Toim ja inv rahavirta'!M84</f>
        <v>1080.9502470283824</v>
      </c>
      <c r="N84" s="80">
        <f>M84-'Toim ja inv rahavirta'!N84</f>
        <v>1065.5457627315</v>
      </c>
      <c r="O84" s="80">
        <f>N84-'Toim ja inv rahavirta'!O84</f>
        <v>1060.8056390066963</v>
      </c>
      <c r="P84" s="80">
        <f>O84-'Toim ja inv rahavirta'!P84</f>
        <v>918.73684130538595</v>
      </c>
      <c r="U84" s="34">
        <v>218</v>
      </c>
      <c r="V84" s="88" t="s">
        <v>398</v>
      </c>
      <c r="W84" s="41">
        <f>C84/'1. Väestöennuste'!E84*1000</f>
        <v>1884.5872899926953</v>
      </c>
      <c r="X84" s="41">
        <f>D84/'1. Väestöennuste'!F84*1000</f>
        <v>1684.9518161601186</v>
      </c>
      <c r="Y84" s="41">
        <f>E84/'1. Väestöennuste'!G84*1000</f>
        <v>1509.4055680963129</v>
      </c>
      <c r="Z84" s="41">
        <f>F84/'1. Väestöennuste'!H84*1000</f>
        <v>1365.7770800627943</v>
      </c>
      <c r="AA84" s="41">
        <f>G84/'1. Väestöennuste'!I84*1000</f>
        <v>1508.433734939759</v>
      </c>
      <c r="AB84" s="41">
        <f>H84/'1. Väestöennuste'!J84*1000</f>
        <v>1987.5724937862469</v>
      </c>
      <c r="AC84" s="41">
        <f>I84/'1. Väestöennuste'!K84*1000</f>
        <v>1426.0536912751677</v>
      </c>
      <c r="AD84" s="41">
        <f>J84/'1. Väestöennuste'!L84*1000</f>
        <v>1192.3583333333331</v>
      </c>
      <c r="AE84" s="41">
        <f>K84/'1. Väestöennuste'!M84*1000</f>
        <v>1003.1952861952861</v>
      </c>
      <c r="AF84" s="41">
        <f>L84/'1. Väestöennuste'!N84*1000</f>
        <v>922.34211443281197</v>
      </c>
      <c r="AG84" s="41">
        <f>M84/'1. Väestöennuste'!O84*1000</f>
        <v>993.52044763638082</v>
      </c>
      <c r="AH84" s="41">
        <f>N84/'1. Väestöennuste'!P84*1000</f>
        <v>994.90734148599438</v>
      </c>
      <c r="AI84" s="41">
        <f>O84/'1. Väestöennuste'!Q84*1000</f>
        <v>1008.3703792839318</v>
      </c>
      <c r="AJ84" s="41">
        <f>P84/'1. Väestöennuste'!R84*1000</f>
        <v>884.25105034204614</v>
      </c>
    </row>
    <row r="85" spans="1:36" x14ac:dyDescent="0.2">
      <c r="A85" s="30">
        <v>224</v>
      </c>
      <c r="B85" s="31" t="s">
        <v>399</v>
      </c>
      <c r="C85" s="81">
        <v>50310</v>
      </c>
      <c r="D85" s="46">
        <v>57945</v>
      </c>
      <c r="E85" s="46">
        <v>59205</v>
      </c>
      <c r="F85" s="46">
        <v>59075</v>
      </c>
      <c r="G85" s="80">
        <v>59939</v>
      </c>
      <c r="H85" s="80">
        <v>58007</v>
      </c>
      <c r="I85" s="80">
        <v>55901.163180000003</v>
      </c>
      <c r="J85" s="80">
        <v>50795.248</v>
      </c>
      <c r="K85" s="80">
        <v>45650</v>
      </c>
      <c r="L85" s="80">
        <f>K85-'Toim ja inv rahavirta'!L85</f>
        <v>44264.028660184762</v>
      </c>
      <c r="M85" s="80">
        <f>L85-'Toim ja inv rahavirta'!M85</f>
        <v>43639.062047171021</v>
      </c>
      <c r="N85" s="80">
        <f>M85-'Toim ja inv rahavirta'!N85</f>
        <v>42700.307559037472</v>
      </c>
      <c r="O85" s="80">
        <f>N85-'Toim ja inv rahavirta'!O85</f>
        <v>41963.234312125627</v>
      </c>
      <c r="P85" s="80">
        <f>O85-'Toim ja inv rahavirta'!P85</f>
        <v>40273.390303721419</v>
      </c>
      <c r="U85" s="34">
        <v>224</v>
      </c>
      <c r="V85" s="88" t="s">
        <v>399</v>
      </c>
      <c r="W85" s="41">
        <f>C85/'1. Väestöennuste'!E85*1000</f>
        <v>5609.320994536738</v>
      </c>
      <c r="X85" s="41">
        <f>D85/'1. Väestöennuste'!F85*1000</f>
        <v>6502.6371899899004</v>
      </c>
      <c r="Y85" s="41">
        <f>E85/'1. Väestöennuste'!G85*1000</f>
        <v>6652.2471910112363</v>
      </c>
      <c r="Z85" s="41">
        <f>F85/'1. Väestöennuste'!H85*1000</f>
        <v>6729.8929141034405</v>
      </c>
      <c r="AA85" s="41">
        <f>G85/'1. Väestöennuste'!I85*1000</f>
        <v>6878.4714252926324</v>
      </c>
      <c r="AB85" s="41">
        <f>H85/'1. Väestöennuste'!J85*1000</f>
        <v>6670.5381784728606</v>
      </c>
      <c r="AC85" s="41">
        <f>I85/'1. Väestöennuste'!K85*1000</f>
        <v>6412.8901204542844</v>
      </c>
      <c r="AD85" s="41">
        <f>J85/'1. Väestöennuste'!L85*1000</f>
        <v>5904.3645240032547</v>
      </c>
      <c r="AE85" s="41">
        <f>K85/'1. Väestöennuste'!M85*1000</f>
        <v>5319.8927863885328</v>
      </c>
      <c r="AF85" s="41">
        <f>L85/'1. Väestöennuste'!N85*1000</f>
        <v>5226.5944810703468</v>
      </c>
      <c r="AG85" s="41">
        <f>M85/'1. Väestöennuste'!O85*1000</f>
        <v>5180.3255041750972</v>
      </c>
      <c r="AH85" s="41">
        <f>N85/'1. Väestöennuste'!P85*1000</f>
        <v>5091.8563747957869</v>
      </c>
      <c r="AI85" s="41">
        <f>O85/'1. Väestöennuste'!Q85*1000</f>
        <v>5026.1389761798573</v>
      </c>
      <c r="AJ85" s="41">
        <f>P85/'1. Väestöennuste'!R85*1000</f>
        <v>4843.4624538450298</v>
      </c>
    </row>
    <row r="86" spans="1:36" x14ac:dyDescent="0.2">
      <c r="A86" s="30">
        <v>226</v>
      </c>
      <c r="B86" s="31" t="s">
        <v>400</v>
      </c>
      <c r="C86" s="81">
        <v>14600</v>
      </c>
      <c r="D86" s="46">
        <v>13000</v>
      </c>
      <c r="E86" s="46">
        <v>13000</v>
      </c>
      <c r="F86" s="46">
        <v>13000</v>
      </c>
      <c r="G86" s="80">
        <v>13000</v>
      </c>
      <c r="H86" s="80">
        <v>13000</v>
      </c>
      <c r="I86" s="80">
        <v>13000</v>
      </c>
      <c r="J86" s="80">
        <v>12999.999999999998</v>
      </c>
      <c r="K86" s="80">
        <v>13510.47638</v>
      </c>
      <c r="L86" s="80">
        <f>K86-'Toim ja inv rahavirta'!L86</f>
        <v>14333.485698932447</v>
      </c>
      <c r="M86" s="80">
        <f>L86-'Toim ja inv rahavirta'!M86</f>
        <v>16841.92426102687</v>
      </c>
      <c r="N86" s="80">
        <f>M86-'Toim ja inv rahavirta'!N86</f>
        <v>19515.632576668671</v>
      </c>
      <c r="O86" s="80">
        <f>N86-'Toim ja inv rahavirta'!O86</f>
        <v>22598.990652288237</v>
      </c>
      <c r="P86" s="80">
        <f>O86-'Toim ja inv rahavirta'!P86</f>
        <v>25421.113710332458</v>
      </c>
      <c r="U86" s="34">
        <v>226</v>
      </c>
      <c r="V86" s="88" t="s">
        <v>400</v>
      </c>
      <c r="W86" s="41">
        <f>C86/'1. Väestöennuste'!E86*1000</f>
        <v>3420.805998125586</v>
      </c>
      <c r="X86" s="41">
        <f>D86/'1. Väestöennuste'!F86*1000</f>
        <v>3071.8336483931944</v>
      </c>
      <c r="Y86" s="41">
        <f>E86/'1. Väestöennuste'!G86*1000</f>
        <v>3135.5523396044382</v>
      </c>
      <c r="Z86" s="41">
        <f>F86/'1. Väestöennuste'!H86*1000</f>
        <v>3225.0062019350039</v>
      </c>
      <c r="AA86" s="41">
        <f>G86/'1. Väestöennuste'!I86*1000</f>
        <v>3291.9726513041273</v>
      </c>
      <c r="AB86" s="41">
        <f>H86/'1. Väestöennuste'!J86*1000</f>
        <v>3369.6215655780197</v>
      </c>
      <c r="AC86" s="41">
        <f>I86/'1. Väestöennuste'!K86*1000</f>
        <v>3444.6210916799155</v>
      </c>
      <c r="AD86" s="41">
        <f>J86/'1. Väestöennuste'!L86*1000</f>
        <v>3547.0668485675301</v>
      </c>
      <c r="AE86" s="41">
        <f>K86/'1. Väestöennuste'!M86*1000</f>
        <v>3727.0279668965518</v>
      </c>
      <c r="AF86" s="41">
        <f>L86/'1. Väestöennuste'!N86*1000</f>
        <v>4021.7412174333463</v>
      </c>
      <c r="AG86" s="41">
        <f>M86/'1. Väestöennuste'!O86*1000</f>
        <v>4813.3536041803</v>
      </c>
      <c r="AH86" s="41">
        <f>N86/'1. Väestöennuste'!P86*1000</f>
        <v>5679.7533692283678</v>
      </c>
      <c r="AI86" s="41">
        <f>O86/'1. Väestöennuste'!Q86*1000</f>
        <v>6695.9972303076256</v>
      </c>
      <c r="AJ86" s="41">
        <f>P86/'1. Väestöennuste'!R86*1000</f>
        <v>7663.8871601846422</v>
      </c>
    </row>
    <row r="87" spans="1:36" x14ac:dyDescent="0.2">
      <c r="A87" s="30">
        <v>230</v>
      </c>
      <c r="B87" s="31" t="s">
        <v>401</v>
      </c>
      <c r="C87" s="81">
        <v>0</v>
      </c>
      <c r="D87" s="46">
        <v>0</v>
      </c>
      <c r="E87" s="46">
        <v>3300</v>
      </c>
      <c r="F87" s="46">
        <v>3126</v>
      </c>
      <c r="G87" s="80">
        <v>2779</v>
      </c>
      <c r="H87" s="80">
        <v>2431</v>
      </c>
      <c r="I87" s="80">
        <v>2084.212</v>
      </c>
      <c r="J87" s="80">
        <v>1736.8440000000005</v>
      </c>
      <c r="K87" s="80">
        <v>1389.4760000000001</v>
      </c>
      <c r="L87" s="80">
        <f>K87-'Toim ja inv rahavirta'!L87</f>
        <v>1064.1861666133032</v>
      </c>
      <c r="M87" s="80">
        <f>L87-'Toim ja inv rahavirta'!M87</f>
        <v>1166.388918844229</v>
      </c>
      <c r="N87" s="80">
        <f>M87-'Toim ja inv rahavirta'!N87</f>
        <v>1352.877030084542</v>
      </c>
      <c r="O87" s="80">
        <f>N87-'Toim ja inv rahavirta'!O87</f>
        <v>1707.304689461389</v>
      </c>
      <c r="P87" s="80">
        <f>O87-'Toim ja inv rahavirta'!P87</f>
        <v>1800.0989958592286</v>
      </c>
      <c r="U87" s="34">
        <v>230</v>
      </c>
      <c r="V87" s="88" t="s">
        <v>401</v>
      </c>
      <c r="W87" s="41">
        <f>C87/'1. Väestöennuste'!E87*1000</f>
        <v>0</v>
      </c>
      <c r="X87" s="41">
        <f>D87/'1. Väestöennuste'!F87*1000</f>
        <v>0</v>
      </c>
      <c r="Y87" s="41">
        <f>E87/'1. Väestöennuste'!G87*1000</f>
        <v>1373.2833957553059</v>
      </c>
      <c r="Z87" s="41">
        <f>F87/'1. Väestöennuste'!H87*1000</f>
        <v>1307.949790794979</v>
      </c>
      <c r="AA87" s="41">
        <f>G87/'1. Väestöennuste'!I87*1000</f>
        <v>1186.592655849701</v>
      </c>
      <c r="AB87" s="41">
        <f>H87/'1. Väestöennuste'!J87*1000</f>
        <v>1046.9422911283377</v>
      </c>
      <c r="AC87" s="41">
        <f>I87/'1. Väestöennuste'!K87*1000</f>
        <v>910.13624454148464</v>
      </c>
      <c r="AD87" s="41">
        <f>J87/'1. Väestöennuste'!L87*1000</f>
        <v>775.37678571428592</v>
      </c>
      <c r="AE87" s="41">
        <f>K87/'1. Väestöennuste'!M87*1000</f>
        <v>627.01985559566799</v>
      </c>
      <c r="AF87" s="41">
        <f>L87/'1. Väestöennuste'!N87*1000</f>
        <v>481.75018859814537</v>
      </c>
      <c r="AG87" s="41">
        <f>M87/'1. Väestöennuste'!O87*1000</f>
        <v>534.30550565470867</v>
      </c>
      <c r="AH87" s="41">
        <f>N87/'1. Väestöennuste'!P87*1000</f>
        <v>626.04212405578062</v>
      </c>
      <c r="AI87" s="41">
        <f>O87/'1. Väestöennuste'!Q87*1000</f>
        <v>797.80592965485459</v>
      </c>
      <c r="AJ87" s="41">
        <f>P87/'1. Väestöennuste'!R87*1000</f>
        <v>849.10329993359835</v>
      </c>
    </row>
    <row r="88" spans="1:36" x14ac:dyDescent="0.2">
      <c r="A88" s="30">
        <v>231</v>
      </c>
      <c r="B88" s="31" t="s">
        <v>402</v>
      </c>
      <c r="C88" s="81">
        <v>3104</v>
      </c>
      <c r="D88" s="46">
        <v>3423</v>
      </c>
      <c r="E88" s="46">
        <v>3941</v>
      </c>
      <c r="F88" s="46">
        <v>4040</v>
      </c>
      <c r="G88" s="80">
        <v>4882</v>
      </c>
      <c r="H88" s="80">
        <v>5948</v>
      </c>
      <c r="I88" s="80">
        <v>6770.9058299999997</v>
      </c>
      <c r="J88" s="80">
        <v>7242.1610099999998</v>
      </c>
      <c r="K88" s="80">
        <v>6635.3444500000005</v>
      </c>
      <c r="L88" s="80">
        <f>K88-'Toim ja inv rahavirta'!L88</f>
        <v>7400.9092669129113</v>
      </c>
      <c r="M88" s="80">
        <f>L88-'Toim ja inv rahavirta'!M88</f>
        <v>8382.8643421159431</v>
      </c>
      <c r="N88" s="80">
        <f>M88-'Toim ja inv rahavirta'!N88</f>
        <v>9479.3581369966505</v>
      </c>
      <c r="O88" s="80">
        <f>N88-'Toim ja inv rahavirta'!O88</f>
        <v>10732.271326701535</v>
      </c>
      <c r="P88" s="80">
        <f>O88-'Toim ja inv rahavirta'!P88</f>
        <v>11947.355603558724</v>
      </c>
      <c r="U88" s="34">
        <v>231</v>
      </c>
      <c r="V88" s="88" t="s">
        <v>402</v>
      </c>
      <c r="W88" s="41">
        <f>C88/'1. Väestöennuste'!E88*1000</f>
        <v>2415.5642023346304</v>
      </c>
      <c r="X88" s="41">
        <f>D88/'1. Väestöennuste'!F88*1000</f>
        <v>2641.2037037037039</v>
      </c>
      <c r="Y88" s="41">
        <f>E88/'1. Väestöennuste'!G88*1000</f>
        <v>3093.4065934065934</v>
      </c>
      <c r="Z88" s="41">
        <f>F88/'1. Väestöennuste'!H88*1000</f>
        <v>3201.2678288431061</v>
      </c>
      <c r="AA88" s="41">
        <f>G88/'1. Väestöennuste'!I88*1000</f>
        <v>3918.1380417335472</v>
      </c>
      <c r="AB88" s="41">
        <f>H88/'1. Väestöennuste'!J88*1000</f>
        <v>4654.1471048513304</v>
      </c>
      <c r="AC88" s="41">
        <f>I88/'1. Väestöennuste'!K88*1000</f>
        <v>5252.8361753297131</v>
      </c>
      <c r="AD88" s="41">
        <f>J88/'1. Väestöennuste'!L88*1000</f>
        <v>5766.0517595541396</v>
      </c>
      <c r="AE88" s="41">
        <f>K88/'1. Väestöennuste'!M88*1000</f>
        <v>5492.8348096026493</v>
      </c>
      <c r="AF88" s="41">
        <f>L88/'1. Väestöennuste'!N88*1000</f>
        <v>5684.2621097641404</v>
      </c>
      <c r="AG88" s="41">
        <f>M88/'1. Väestöennuste'!O88*1000</f>
        <v>6418.7322680826519</v>
      </c>
      <c r="AH88" s="41">
        <f>N88/'1. Väestöennuste'!P88*1000</f>
        <v>7230.6316834451945</v>
      </c>
      <c r="AI88" s="41">
        <f>O88/'1. Väestöennuste'!Q88*1000</f>
        <v>8167.6341907926453</v>
      </c>
      <c r="AJ88" s="41">
        <f>P88/'1. Väestöennuste'!R88*1000</f>
        <v>9071.6443459063958</v>
      </c>
    </row>
    <row r="89" spans="1:36" x14ac:dyDescent="0.2">
      <c r="A89" s="30">
        <v>232</v>
      </c>
      <c r="B89" s="31" t="s">
        <v>403</v>
      </c>
      <c r="C89" s="81">
        <v>59132</v>
      </c>
      <c r="D89" s="46">
        <v>64321</v>
      </c>
      <c r="E89" s="46">
        <v>65694</v>
      </c>
      <c r="F89" s="46">
        <v>62889</v>
      </c>
      <c r="G89" s="80">
        <v>65179</v>
      </c>
      <c r="H89" s="80">
        <v>65420</v>
      </c>
      <c r="I89" s="80">
        <v>66826.98146000001</v>
      </c>
      <c r="J89" s="80">
        <v>65867.456279999999</v>
      </c>
      <c r="K89" s="80">
        <v>71574.599099999992</v>
      </c>
      <c r="L89" s="80">
        <f>K89-'Toim ja inv rahavirta'!L89</f>
        <v>71718.946966309188</v>
      </c>
      <c r="M89" s="80">
        <f>L89-'Toim ja inv rahavirta'!M89</f>
        <v>75498.913138307689</v>
      </c>
      <c r="N89" s="80">
        <f>M89-'Toim ja inv rahavirta'!N89</f>
        <v>78261.052781668463</v>
      </c>
      <c r="O89" s="80">
        <f>N89-'Toim ja inv rahavirta'!O89</f>
        <v>81445.811689543349</v>
      </c>
      <c r="P89" s="80">
        <f>O89-'Toim ja inv rahavirta'!P89</f>
        <v>83564.211932212362</v>
      </c>
      <c r="U89" s="34">
        <v>232</v>
      </c>
      <c r="V89" s="88" t="s">
        <v>403</v>
      </c>
      <c r="W89" s="41">
        <f>C89/'1. Väestöennuste'!E89*1000</f>
        <v>4261.7657657657655</v>
      </c>
      <c r="X89" s="41">
        <f>D89/'1. Väestöennuste'!F89*1000</f>
        <v>4670.4182399070578</v>
      </c>
      <c r="Y89" s="41">
        <f>E89/'1. Väestöennuste'!G89*1000</f>
        <v>4826.8919911829535</v>
      </c>
      <c r="Z89" s="41">
        <f>F89/'1. Väestöennuste'!H89*1000</f>
        <v>4701.9813084112147</v>
      </c>
      <c r="AA89" s="41">
        <f>G89/'1. Väestöennuste'!I89*1000</f>
        <v>4943.7955097087379</v>
      </c>
      <c r="AB89" s="41">
        <f>H89/'1. Väestöennuste'!J89*1000</f>
        <v>5029.5994464519099</v>
      </c>
      <c r="AC89" s="41">
        <f>I89/'1. Väestöennuste'!K89*1000</f>
        <v>5184.4050783553148</v>
      </c>
      <c r="AD89" s="41">
        <f>J89/'1. Väestöennuste'!L89*1000</f>
        <v>5166.0750023529408</v>
      </c>
      <c r="AE89" s="41">
        <f>K89/'1. Väestöennuste'!M89*1000</f>
        <v>5672.4202805515924</v>
      </c>
      <c r="AF89" s="41">
        <f>L89/'1. Väestöennuste'!N89*1000</f>
        <v>5790.3235076949122</v>
      </c>
      <c r="AG89" s="41">
        <f>M89/'1. Väestöennuste'!O89*1000</f>
        <v>6162.6735073306418</v>
      </c>
      <c r="AH89" s="41">
        <f>N89/'1. Väestöennuste'!P89*1000</f>
        <v>6457.1825727449232</v>
      </c>
      <c r="AI89" s="41">
        <f>O89/'1. Väestöennuste'!Q89*1000</f>
        <v>6793.3782375129995</v>
      </c>
      <c r="AJ89" s="41">
        <f>P89/'1. Väestöennuste'!R89*1000</f>
        <v>7048.8580288665007</v>
      </c>
    </row>
    <row r="90" spans="1:36" x14ac:dyDescent="0.2">
      <c r="A90" s="30">
        <v>233</v>
      </c>
      <c r="B90" s="31" t="s">
        <v>404</v>
      </c>
      <c r="C90" s="81">
        <v>40381</v>
      </c>
      <c r="D90" s="46">
        <v>41261</v>
      </c>
      <c r="E90" s="46">
        <v>42653</v>
      </c>
      <c r="F90" s="46">
        <v>48127</v>
      </c>
      <c r="G90" s="80">
        <v>53463</v>
      </c>
      <c r="H90" s="80">
        <v>63621</v>
      </c>
      <c r="I90" s="80">
        <v>67285.167189999993</v>
      </c>
      <c r="J90" s="80">
        <v>67546.590649999998</v>
      </c>
      <c r="K90" s="80">
        <v>67039.223110000006</v>
      </c>
      <c r="L90" s="80">
        <f>K90-'Toim ja inv rahavirta'!L90</f>
        <v>71434.895908849125</v>
      </c>
      <c r="M90" s="80">
        <f>L90-'Toim ja inv rahavirta'!M90</f>
        <v>77714.436996978053</v>
      </c>
      <c r="N90" s="80">
        <f>M90-'Toim ja inv rahavirta'!N90</f>
        <v>82849.127012650701</v>
      </c>
      <c r="O90" s="80">
        <f>N90-'Toim ja inv rahavirta'!O90</f>
        <v>88637.379656719364</v>
      </c>
      <c r="P90" s="80">
        <f>O90-'Toim ja inv rahavirta'!P90</f>
        <v>92548.146100379585</v>
      </c>
      <c r="U90" s="34">
        <v>233</v>
      </c>
      <c r="V90" s="88" t="s">
        <v>404</v>
      </c>
      <c r="W90" s="41">
        <f>C90/'1. Väestöennuste'!E90*1000</f>
        <v>2405.9223069590089</v>
      </c>
      <c r="X90" s="41">
        <f>D90/'1. Väestöennuste'!F90*1000</f>
        <v>2485.7521537442017</v>
      </c>
      <c r="Y90" s="41">
        <f>E90/'1. Väestöennuste'!G90*1000</f>
        <v>2620.2850473031085</v>
      </c>
      <c r="Z90" s="41">
        <f>F90/'1. Väestöennuste'!H90*1000</f>
        <v>3003.8072650106105</v>
      </c>
      <c r="AA90" s="41">
        <f>G90/'1. Väestöennuste'!I90*1000</f>
        <v>3399.6566196108356</v>
      </c>
      <c r="AB90" s="41">
        <f>H90/'1. Väestöennuste'!J90*1000</f>
        <v>4100.876627562202</v>
      </c>
      <c r="AC90" s="41">
        <f>I90/'1. Väestöennuste'!K90*1000</f>
        <v>4394.2768541013584</v>
      </c>
      <c r="AD90" s="41">
        <f>J90/'1. Väestöennuste'!L90*1000</f>
        <v>4468.549262370997</v>
      </c>
      <c r="AE90" s="41">
        <f>K90/'1. Väestöennuste'!M90*1000</f>
        <v>4420.6543428948244</v>
      </c>
      <c r="AF90" s="41">
        <f>L90/'1. Väestöennuste'!N90*1000</f>
        <v>4887.7793984843738</v>
      </c>
      <c r="AG90" s="41">
        <f>M90/'1. Väestöennuste'!O90*1000</f>
        <v>5392.3422839979221</v>
      </c>
      <c r="AH90" s="41">
        <f>N90/'1. Väestöennuste'!P90*1000</f>
        <v>5828.2889210447202</v>
      </c>
      <c r="AI90" s="41">
        <f>O90/'1. Väestöennuste'!Q90*1000</f>
        <v>6319.5051801453983</v>
      </c>
      <c r="AJ90" s="41">
        <f>P90/'1. Väestöennuste'!R90*1000</f>
        <v>6686.0385854919505</v>
      </c>
    </row>
    <row r="91" spans="1:36" x14ac:dyDescent="0.2">
      <c r="A91" s="30">
        <v>235</v>
      </c>
      <c r="B91" s="31" t="s">
        <v>405</v>
      </c>
      <c r="C91" s="81">
        <v>0</v>
      </c>
      <c r="D91" s="46">
        <v>0</v>
      </c>
      <c r="E91" s="46">
        <v>2000</v>
      </c>
      <c r="F91" s="46">
        <v>0</v>
      </c>
      <c r="G91" s="80">
        <v>2000</v>
      </c>
      <c r="H91" s="80">
        <v>4000</v>
      </c>
      <c r="I91" s="80">
        <v>0</v>
      </c>
      <c r="J91" s="80">
        <v>0</v>
      </c>
      <c r="K91" s="80">
        <v>0</v>
      </c>
      <c r="L91" s="80">
        <f>K91-'Toim ja inv rahavirta'!L91</f>
        <v>2149.8745693432265</v>
      </c>
      <c r="M91" s="80">
        <f>L91-'Toim ja inv rahavirta'!M91</f>
        <v>5982.7041942093365</v>
      </c>
      <c r="N91" s="80">
        <f>M91-'Toim ja inv rahavirta'!N91</f>
        <v>11940.576516215975</v>
      </c>
      <c r="O91" s="80">
        <f>N91-'Toim ja inv rahavirta'!O91</f>
        <v>20030.210631099784</v>
      </c>
      <c r="P91" s="80">
        <f>O91-'Toim ja inv rahavirta'!P91</f>
        <v>29647.029965119109</v>
      </c>
      <c r="U91" s="34">
        <v>235</v>
      </c>
      <c r="V91" s="88" t="s">
        <v>405</v>
      </c>
      <c r="W91" s="41">
        <f>C91/'1. Väestöennuste'!E91*1000</f>
        <v>0</v>
      </c>
      <c r="X91" s="41">
        <f>D91/'1. Väestöennuste'!F91*1000</f>
        <v>0</v>
      </c>
      <c r="Y91" s="41">
        <f>E91/'1. Väestöennuste'!G91*1000</f>
        <v>207.81379883624274</v>
      </c>
      <c r="Z91" s="41">
        <f>F91/'1. Väestöennuste'!H91*1000</f>
        <v>0</v>
      </c>
      <c r="AA91" s="41">
        <f>G91/'1. Väestöennuste'!I91*1000</f>
        <v>204.14412575278146</v>
      </c>
      <c r="AB91" s="41">
        <f>H91/'1. Väestöennuste'!J91*1000</f>
        <v>393.00451955197485</v>
      </c>
      <c r="AC91" s="41">
        <f>I91/'1. Väestöennuste'!K91*1000</f>
        <v>0</v>
      </c>
      <c r="AD91" s="41">
        <f>J91/'1. Väestöennuste'!L91*1000</f>
        <v>0</v>
      </c>
      <c r="AE91" s="41">
        <f>K91/'1. Väestöennuste'!M91*1000</f>
        <v>0</v>
      </c>
      <c r="AF91" s="41">
        <f>L91/'1. Väestöennuste'!N91*1000</f>
        <v>201.31796697661079</v>
      </c>
      <c r="AG91" s="41">
        <f>M91/'1. Väestöennuste'!O91*1000</f>
        <v>553.80025865123912</v>
      </c>
      <c r="AH91" s="41">
        <f>N91/'1. Väestöennuste'!P91*1000</f>
        <v>1093.0590000197706</v>
      </c>
      <c r="AI91" s="41">
        <f>O91/'1. Väestöennuste'!Q91*1000</f>
        <v>1814.659415754646</v>
      </c>
      <c r="AJ91" s="41">
        <f>P91/'1. Väestöennuste'!R91*1000</f>
        <v>2659.6420530294349</v>
      </c>
    </row>
    <row r="92" spans="1:36" x14ac:dyDescent="0.2">
      <c r="A92" s="30">
        <v>236</v>
      </c>
      <c r="B92" s="31" t="s">
        <v>406</v>
      </c>
      <c r="C92" s="81">
        <v>25749</v>
      </c>
      <c r="D92" s="46">
        <v>27335</v>
      </c>
      <c r="E92" s="46">
        <v>27988</v>
      </c>
      <c r="F92" s="46">
        <v>28835</v>
      </c>
      <c r="G92" s="80">
        <v>29379</v>
      </c>
      <c r="H92" s="80">
        <v>30924</v>
      </c>
      <c r="I92" s="80">
        <v>32262.643599999999</v>
      </c>
      <c r="J92" s="80">
        <v>32107.32012</v>
      </c>
      <c r="K92" s="80">
        <v>33447.655639999997</v>
      </c>
      <c r="L92" s="80">
        <f>K92-'Toim ja inv rahavirta'!L92</f>
        <v>33920.932268128345</v>
      </c>
      <c r="M92" s="80">
        <f>L92-'Toim ja inv rahavirta'!M92</f>
        <v>35369.226482529528</v>
      </c>
      <c r="N92" s="80">
        <f>M92-'Toim ja inv rahavirta'!N92</f>
        <v>36546.160504099047</v>
      </c>
      <c r="O92" s="80">
        <f>N92-'Toim ja inv rahavirta'!O92</f>
        <v>37598.704750929966</v>
      </c>
      <c r="P92" s="80">
        <f>O92-'Toim ja inv rahavirta'!P92</f>
        <v>38461.399757602041</v>
      </c>
      <c r="U92" s="34">
        <v>236</v>
      </c>
      <c r="V92" s="88" t="s">
        <v>406</v>
      </c>
      <c r="W92" s="41">
        <f>C92/'1. Väestöennuste'!E92*1000</f>
        <v>5981.1846689895474</v>
      </c>
      <c r="X92" s="41">
        <f>D92/'1. Väestöennuste'!F92*1000</f>
        <v>6359.9348534201954</v>
      </c>
      <c r="Y92" s="41">
        <f>E92/'1. Väestöennuste'!G92*1000</f>
        <v>6495.2425156648878</v>
      </c>
      <c r="Z92" s="41">
        <f>F92/'1. Väestöennuste'!H92*1000</f>
        <v>6748.1862859817456</v>
      </c>
      <c r="AA92" s="41">
        <f>G92/'1. Väestöennuste'!I92*1000</f>
        <v>6894.8603614175081</v>
      </c>
      <c r="AB92" s="41">
        <f>H92/'1. Väestöennuste'!J92*1000</f>
        <v>7314.0964995269633</v>
      </c>
      <c r="AC92" s="41">
        <f>I92/'1. Väestöennuste'!K92*1000</f>
        <v>7688.9045757864633</v>
      </c>
      <c r="AD92" s="41">
        <f>J92/'1. Väestöennuste'!L92*1000</f>
        <v>7648.2420485945686</v>
      </c>
      <c r="AE92" s="41">
        <f>K92/'1. Väestöennuste'!M92*1000</f>
        <v>8085.0025719120122</v>
      </c>
      <c r="AF92" s="41">
        <f>L92/'1. Väestöennuste'!N92*1000</f>
        <v>8233.2359874097911</v>
      </c>
      <c r="AG92" s="41">
        <f>M92/'1. Väestöennuste'!O92*1000</f>
        <v>8649.8475134579421</v>
      </c>
      <c r="AH92" s="41">
        <f>N92/'1. Väestöennuste'!P92*1000</f>
        <v>9005.9537959830068</v>
      </c>
      <c r="AI92" s="41">
        <f>O92/'1. Väestöennuste'!Q92*1000</f>
        <v>9336.6537747529092</v>
      </c>
      <c r="AJ92" s="41">
        <f>P92/'1. Väestöennuste'!R92*1000</f>
        <v>9624.9749143148238</v>
      </c>
    </row>
    <row r="93" spans="1:36" x14ac:dyDescent="0.2">
      <c r="A93" s="30">
        <v>239</v>
      </c>
      <c r="B93" s="31" t="s">
        <v>407</v>
      </c>
      <c r="C93" s="81">
        <v>5994</v>
      </c>
      <c r="D93" s="46">
        <v>6035</v>
      </c>
      <c r="E93" s="46">
        <v>6726</v>
      </c>
      <c r="F93" s="46">
        <v>8143</v>
      </c>
      <c r="G93" s="80">
        <v>7883</v>
      </c>
      <c r="H93" s="80">
        <v>7623</v>
      </c>
      <c r="I93" s="80">
        <v>7024.9999999999991</v>
      </c>
      <c r="J93" s="80">
        <v>5725</v>
      </c>
      <c r="K93" s="80">
        <v>6075</v>
      </c>
      <c r="L93" s="80">
        <f>K93-'Toim ja inv rahavirta'!L93</f>
        <v>3724.9743394167831</v>
      </c>
      <c r="M93" s="80">
        <f>L93-'Toim ja inv rahavirta'!M93</f>
        <v>2582.1905994452582</v>
      </c>
      <c r="N93" s="80">
        <f>M93-'Toim ja inv rahavirta'!N93</f>
        <v>1709.552155232077</v>
      </c>
      <c r="O93" s="80">
        <f>N93-'Toim ja inv rahavirta'!O93</f>
        <v>723.40520791694871</v>
      </c>
      <c r="P93" s="80">
        <f>O93-'Toim ja inv rahavirta'!P93</f>
        <v>-270.78552339497287</v>
      </c>
      <c r="U93" s="34">
        <v>239</v>
      </c>
      <c r="V93" s="88" t="s">
        <v>407</v>
      </c>
      <c r="W93" s="41">
        <f>C93/'1. Väestöennuste'!E93*1000</f>
        <v>2519.5460277427492</v>
      </c>
      <c r="X93" s="41">
        <f>D93/'1. Väestöennuste'!F93*1000</f>
        <v>2572.463768115942</v>
      </c>
      <c r="Y93" s="41">
        <f>E93/'1. Väestöennuste'!G93*1000</f>
        <v>2912.9493287137288</v>
      </c>
      <c r="Z93" s="41">
        <f>F93/'1. Väestöennuste'!H93*1000</f>
        <v>3628.787878787879</v>
      </c>
      <c r="AA93" s="41">
        <f>G93/'1. Väestöennuste'!I93*1000</f>
        <v>3579.9273387829244</v>
      </c>
      <c r="AB93" s="41">
        <f>H93/'1. Väestöennuste'!J93*1000</f>
        <v>3537.3549883990722</v>
      </c>
      <c r="AC93" s="41">
        <f>I93/'1. Väestöennuste'!K93*1000</f>
        <v>3353.2219570405728</v>
      </c>
      <c r="AD93" s="41">
        <f>J93/'1. Väestöennuste'!L93*1000</f>
        <v>2821.5869886643668</v>
      </c>
      <c r="AE93" s="41">
        <f>K93/'1. Väestöennuste'!M93*1000</f>
        <v>2985.2579852579852</v>
      </c>
      <c r="AF93" s="41">
        <f>L93/'1. Väestöennuste'!N93*1000</f>
        <v>1857.8425633001411</v>
      </c>
      <c r="AG93" s="41">
        <f>M93/'1. Väestöennuste'!O93*1000</f>
        <v>1310.0916283334643</v>
      </c>
      <c r="AH93" s="41">
        <f>N93/'1. Väestöennuste'!P93*1000</f>
        <v>879.85185549772359</v>
      </c>
      <c r="AI93" s="41">
        <f>O93/'1. Väestöennuste'!Q93*1000</f>
        <v>377.95465408409024</v>
      </c>
      <c r="AJ93" s="41">
        <f>P93/'1. Väestöennuste'!R93*1000</f>
        <v>-143.34860952618996</v>
      </c>
    </row>
    <row r="94" spans="1:36" x14ac:dyDescent="0.2">
      <c r="A94" s="30">
        <v>240</v>
      </c>
      <c r="B94" s="31" t="s">
        <v>408</v>
      </c>
      <c r="C94" s="81">
        <v>86052</v>
      </c>
      <c r="D94" s="46">
        <v>88276</v>
      </c>
      <c r="E94" s="46">
        <v>85581</v>
      </c>
      <c r="F94" s="46">
        <v>95995</v>
      </c>
      <c r="G94" s="80">
        <v>106504</v>
      </c>
      <c r="H94" s="80">
        <v>107184</v>
      </c>
      <c r="I94" s="80">
        <v>120107.143</v>
      </c>
      <c r="J94" s="80">
        <v>129778.57136000002</v>
      </c>
      <c r="K94" s="80">
        <v>124035.71416</v>
      </c>
      <c r="L94" s="80">
        <f>K94-'Toim ja inv rahavirta'!L94</f>
        <v>124600.35078274405</v>
      </c>
      <c r="M94" s="80">
        <f>L94-'Toim ja inv rahavirta'!M94</f>
        <v>125630.9616479461</v>
      </c>
      <c r="N94" s="80">
        <f>M94-'Toim ja inv rahavirta'!N94</f>
        <v>129162.17296338189</v>
      </c>
      <c r="O94" s="80">
        <f>N94-'Toim ja inv rahavirta'!O94</f>
        <v>131955.82531901638</v>
      </c>
      <c r="P94" s="80">
        <f>O94-'Toim ja inv rahavirta'!P94</f>
        <v>132512.15232017625</v>
      </c>
      <c r="U94" s="34">
        <v>240</v>
      </c>
      <c r="V94" s="88" t="s">
        <v>408</v>
      </c>
      <c r="W94" s="41">
        <f>C94/'1. Väestöennuste'!E94*1000</f>
        <v>3954.9590955051017</v>
      </c>
      <c r="X94" s="41">
        <f>D94/'1. Väestöennuste'!F94*1000</f>
        <v>4086.4734746782706</v>
      </c>
      <c r="Y94" s="41">
        <f>E94/'1. Väestöennuste'!G94*1000</f>
        <v>4026.2043658261196</v>
      </c>
      <c r="Z94" s="41">
        <f>F94/'1. Väestöennuste'!H94*1000</f>
        <v>4566.623852338138</v>
      </c>
      <c r="AA94" s="41">
        <f>G94/'1. Väestöennuste'!I94*1000</f>
        <v>5143.3814652050032</v>
      </c>
      <c r="AB94" s="41">
        <f>H94/'1. Väestöennuste'!J94*1000</f>
        <v>5244.6053726085038</v>
      </c>
      <c r="AC94" s="41">
        <f>I94/'1. Väestöennuste'!K94*1000</f>
        <v>6010.7668401561405</v>
      </c>
      <c r="AD94" s="41">
        <f>J94/'1. Väestöennuste'!L94*1000</f>
        <v>6655.6526673162734</v>
      </c>
      <c r="AE94" s="41">
        <f>K94/'1. Väestöennuste'!M94*1000</f>
        <v>6403.165255278509</v>
      </c>
      <c r="AF94" s="41">
        <f>L94/'1. Väestöennuste'!N94*1000</f>
        <v>6441.9579558858468</v>
      </c>
      <c r="AG94" s="41">
        <f>M94/'1. Väestöennuste'!O94*1000</f>
        <v>6579.6041504109189</v>
      </c>
      <c r="AH94" s="41">
        <f>N94/'1. Väestöennuste'!P94*1000</f>
        <v>6850.2876140748813</v>
      </c>
      <c r="AI94" s="41">
        <f>O94/'1. Väestöennuste'!Q94*1000</f>
        <v>7085.2569436757076</v>
      </c>
      <c r="AJ94" s="41">
        <f>P94/'1. Väestöennuste'!R94*1000</f>
        <v>7200.5734021722683</v>
      </c>
    </row>
    <row r="95" spans="1:36" x14ac:dyDescent="0.2">
      <c r="A95" s="30">
        <v>241</v>
      </c>
      <c r="B95" s="31" t="s">
        <v>409</v>
      </c>
      <c r="C95" s="81">
        <v>17358</v>
      </c>
      <c r="D95" s="46">
        <v>19384</v>
      </c>
      <c r="E95" s="46">
        <v>19282</v>
      </c>
      <c r="F95" s="46">
        <v>16274</v>
      </c>
      <c r="G95" s="80">
        <v>18514</v>
      </c>
      <c r="H95" s="80">
        <v>14803</v>
      </c>
      <c r="I95" s="80">
        <v>17119.48</v>
      </c>
      <c r="J95" s="80">
        <v>15520.123330000002</v>
      </c>
      <c r="K95" s="80">
        <v>15897.509</v>
      </c>
      <c r="L95" s="80">
        <f>K95-'Toim ja inv rahavirta'!L95</f>
        <v>18027.627949770707</v>
      </c>
      <c r="M95" s="80">
        <f>L95-'Toim ja inv rahavirta'!M95</f>
        <v>21139.488031653455</v>
      </c>
      <c r="N95" s="80">
        <f>M95-'Toim ja inv rahavirta'!N95</f>
        <v>24404.120152478041</v>
      </c>
      <c r="O95" s="80">
        <f>N95-'Toim ja inv rahavirta'!O95</f>
        <v>27803.807293038422</v>
      </c>
      <c r="P95" s="80">
        <f>O95-'Toim ja inv rahavirta'!P95</f>
        <v>30378.192033883537</v>
      </c>
      <c r="U95" s="34">
        <v>241</v>
      </c>
      <c r="V95" s="88" t="s">
        <v>409</v>
      </c>
      <c r="W95" s="41">
        <f>C95/'1. Väestöennuste'!E95*1000</f>
        <v>2069.3848354792558</v>
      </c>
      <c r="X95" s="41">
        <f>D95/'1. Väestöennuste'!F95*1000</f>
        <v>2330.928330928331</v>
      </c>
      <c r="Y95" s="41">
        <f>E95/'1. Väestöennuste'!G95*1000</f>
        <v>2324.2526518804243</v>
      </c>
      <c r="Z95" s="41">
        <f>F95/'1. Väestöennuste'!H95*1000</f>
        <v>1997.5451086289431</v>
      </c>
      <c r="AA95" s="41">
        <f>G95/'1. Väestöennuste'!I95*1000</f>
        <v>2291.6202500309446</v>
      </c>
      <c r="AB95" s="41">
        <f>H95/'1. Väestöennuste'!J95*1000</f>
        <v>1854.0831663326653</v>
      </c>
      <c r="AC95" s="41">
        <f>I95/'1. Väestöennuste'!K95*1000</f>
        <v>2165.9261133603241</v>
      </c>
      <c r="AD95" s="41">
        <f>J95/'1. Väestöennuste'!L95*1000</f>
        <v>1997.1848320679453</v>
      </c>
      <c r="AE95" s="41">
        <f>K95/'1. Väestöennuste'!M95*1000</f>
        <v>2067.0275646859964</v>
      </c>
      <c r="AF95" s="41">
        <f>L95/'1. Väestöennuste'!N95*1000</f>
        <v>2337.607358632094</v>
      </c>
      <c r="AG95" s="41">
        <f>M95/'1. Väestöennuste'!O95*1000</f>
        <v>2765.139049267947</v>
      </c>
      <c r="AH95" s="41">
        <f>N95/'1. Väestöennuste'!P95*1000</f>
        <v>3220.3906245022486</v>
      </c>
      <c r="AI95" s="41">
        <f>O95/'1. Väestöennuste'!Q95*1000</f>
        <v>3704.2109369888653</v>
      </c>
      <c r="AJ95" s="41">
        <f>P95/'1. Väestöennuste'!R95*1000</f>
        <v>4084.188227195958</v>
      </c>
    </row>
    <row r="96" spans="1:36" x14ac:dyDescent="0.2">
      <c r="A96" s="30">
        <v>244</v>
      </c>
      <c r="B96" s="31" t="s">
        <v>410</v>
      </c>
      <c r="C96" s="81">
        <v>35360</v>
      </c>
      <c r="D96" s="46">
        <v>37486</v>
      </c>
      <c r="E96" s="46">
        <v>44958</v>
      </c>
      <c r="F96" s="46">
        <v>56563</v>
      </c>
      <c r="G96" s="80">
        <v>65317</v>
      </c>
      <c r="H96" s="80">
        <v>64822</v>
      </c>
      <c r="I96" s="80">
        <v>68985.231</v>
      </c>
      <c r="J96" s="80">
        <v>66610.955000000002</v>
      </c>
      <c r="K96" s="80">
        <v>75106.679000000004</v>
      </c>
      <c r="L96" s="80">
        <f>K96-'Toim ja inv rahavirta'!L96</f>
        <v>82293.805879218271</v>
      </c>
      <c r="M96" s="80">
        <f>L96-'Toim ja inv rahavirta'!M96</f>
        <v>90528.605270606437</v>
      </c>
      <c r="N96" s="80">
        <f>M96-'Toim ja inv rahavirta'!N96</f>
        <v>99887.74272111115</v>
      </c>
      <c r="O96" s="80">
        <f>N96-'Toim ja inv rahavirta'!O96</f>
        <v>109211.36592167831</v>
      </c>
      <c r="P96" s="80">
        <f>O96-'Toim ja inv rahavirta'!P96</f>
        <v>120018.32545608231</v>
      </c>
      <c r="U96" s="34">
        <v>244</v>
      </c>
      <c r="V96" s="88" t="s">
        <v>410</v>
      </c>
      <c r="W96" s="41">
        <f>C96/'1. Väestöennuste'!E96*1000</f>
        <v>2071.9559357787411</v>
      </c>
      <c r="X96" s="41">
        <f>D96/'1. Väestöennuste'!F96*1000</f>
        <v>2167.1966236919698</v>
      </c>
      <c r="Y96" s="41">
        <f>E96/'1. Väestöennuste'!G96*1000</f>
        <v>2563.900769888794</v>
      </c>
      <c r="Z96" s="41">
        <f>F96/'1. Väestöennuste'!H96*1000</f>
        <v>3155.8890810690173</v>
      </c>
      <c r="AA96" s="41">
        <f>G96/'1. Väestöennuste'!I96*1000</f>
        <v>3558.5399073821845</v>
      </c>
      <c r="AB96" s="41">
        <f>H96/'1. Väestöennuste'!J96*1000</f>
        <v>3448.7124920195783</v>
      </c>
      <c r="AC96" s="41">
        <f>I96/'1. Väestöennuste'!K96*1000</f>
        <v>3608.7691462649086</v>
      </c>
      <c r="AD96" s="41">
        <f>J96/'1. Väestöennuste'!L96*1000</f>
        <v>3451.3448186528499</v>
      </c>
      <c r="AE96" s="41">
        <f>K96/'1. Väestöennuste'!M96*1000</f>
        <v>3848.8612790816851</v>
      </c>
      <c r="AF96" s="41">
        <f>L96/'1. Väestöennuste'!N96*1000</f>
        <v>4082.641557732712</v>
      </c>
      <c r="AG96" s="41">
        <f>M96/'1. Väestöennuste'!O96*1000</f>
        <v>4428.3424776503662</v>
      </c>
      <c r="AH96" s="41">
        <f>N96/'1. Väestöennuste'!P96*1000</f>
        <v>4823.1647861473266</v>
      </c>
      <c r="AI96" s="41">
        <f>O96/'1. Väestöennuste'!Q96*1000</f>
        <v>5208.9748126337072</v>
      </c>
      <c r="AJ96" s="41">
        <f>P96/'1. Väestöennuste'!R96*1000</f>
        <v>5660.440761028266</v>
      </c>
    </row>
    <row r="97" spans="1:36" x14ac:dyDescent="0.2">
      <c r="A97" s="30">
        <v>245</v>
      </c>
      <c r="B97" s="31" t="s">
        <v>411</v>
      </c>
      <c r="C97" s="81">
        <v>42387</v>
      </c>
      <c r="D97" s="46">
        <v>37928</v>
      </c>
      <c r="E97" s="46">
        <v>40542</v>
      </c>
      <c r="F97" s="46">
        <v>46655</v>
      </c>
      <c r="G97" s="80">
        <v>53768</v>
      </c>
      <c r="H97" s="80">
        <v>70006</v>
      </c>
      <c r="I97" s="80">
        <v>90744.077999999994</v>
      </c>
      <c r="J97" s="80">
        <v>92148.846000000005</v>
      </c>
      <c r="K97" s="80">
        <v>88875</v>
      </c>
      <c r="L97" s="80">
        <f>K97-'Toim ja inv rahavirta'!L97</f>
        <v>88734.127323695633</v>
      </c>
      <c r="M97" s="80">
        <f>L97-'Toim ja inv rahavirta'!M97</f>
        <v>95847.120253370129</v>
      </c>
      <c r="N97" s="80">
        <f>M97-'Toim ja inv rahavirta'!N97</f>
        <v>103367.28484757183</v>
      </c>
      <c r="O97" s="80">
        <f>N97-'Toim ja inv rahavirta'!O97</f>
        <v>111619.31802844188</v>
      </c>
      <c r="P97" s="80">
        <f>O97-'Toim ja inv rahavirta'!P97</f>
        <v>118704.38866793993</v>
      </c>
      <c r="U97" s="34">
        <v>245</v>
      </c>
      <c r="V97" s="88" t="s">
        <v>411</v>
      </c>
      <c r="W97" s="41">
        <f>C97/'1. Väestöennuste'!E97*1000</f>
        <v>1201.0030317626724</v>
      </c>
      <c r="X97" s="41">
        <f>D97/'1. Väestöennuste'!F97*1000</f>
        <v>1068.0634169693897</v>
      </c>
      <c r="Y97" s="41">
        <f>E97/'1. Väestöennuste'!G97*1000</f>
        <v>1140.2936378466557</v>
      </c>
      <c r="Z97" s="41">
        <f>F97/'1. Väestöennuste'!H97*1000</f>
        <v>1286.8924808297015</v>
      </c>
      <c r="AA97" s="41">
        <f>G97/'1. Väestöennuste'!I97*1000</f>
        <v>1462.835999564697</v>
      </c>
      <c r="AB97" s="41">
        <f>H97/'1. Väestöennuste'!J97*1000</f>
        <v>1886.6999056730899</v>
      </c>
      <c r="AC97" s="41">
        <f>I97/'1. Väestöennuste'!K97*1000</f>
        <v>2437.2603674258698</v>
      </c>
      <c r="AD97" s="41">
        <f>J97/'1. Väestöennuste'!L97*1000</f>
        <v>2445.8234950631704</v>
      </c>
      <c r="AE97" s="41">
        <f>K97/'1. Väestöennuste'!M97*1000</f>
        <v>2325.9009185836539</v>
      </c>
      <c r="AF97" s="41">
        <f>L97/'1. Väestöennuste'!N97*1000</f>
        <v>2298.8711449440566</v>
      </c>
      <c r="AG97" s="41">
        <f>M97/'1. Väestöennuste'!O97*1000</f>
        <v>2462.9865155690641</v>
      </c>
      <c r="AH97" s="41">
        <f>N97/'1. Väestöennuste'!P97*1000</f>
        <v>2635.710256707936</v>
      </c>
      <c r="AI97" s="41">
        <f>O97/'1. Väestöennuste'!Q97*1000</f>
        <v>2825.8770608988043</v>
      </c>
      <c r="AJ97" s="41">
        <f>P97/'1. Väestöennuste'!R97*1000</f>
        <v>2984.9973261231657</v>
      </c>
    </row>
    <row r="98" spans="1:36" x14ac:dyDescent="0.2">
      <c r="A98" s="30">
        <v>249</v>
      </c>
      <c r="B98" s="31" t="s">
        <v>412</v>
      </c>
      <c r="C98" s="81">
        <v>47626</v>
      </c>
      <c r="D98" s="46">
        <v>54645</v>
      </c>
      <c r="E98" s="46">
        <v>56062</v>
      </c>
      <c r="F98" s="46">
        <v>54798</v>
      </c>
      <c r="G98" s="80">
        <v>58683</v>
      </c>
      <c r="H98" s="80">
        <v>57758</v>
      </c>
      <c r="I98" s="80">
        <v>59239.677000000011</v>
      </c>
      <c r="J98" s="80">
        <v>56501.637659999993</v>
      </c>
      <c r="K98" s="80">
        <v>57106.131000000001</v>
      </c>
      <c r="L98" s="80">
        <f>K98-'Toim ja inv rahavirta'!L98</f>
        <v>55278.798287606653</v>
      </c>
      <c r="M98" s="80">
        <f>L98-'Toim ja inv rahavirta'!M98</f>
        <v>54180.065127001981</v>
      </c>
      <c r="N98" s="80">
        <f>M98-'Toim ja inv rahavirta'!N98</f>
        <v>52820.52482567633</v>
      </c>
      <c r="O98" s="80">
        <f>N98-'Toim ja inv rahavirta'!O98</f>
        <v>51685.113063800396</v>
      </c>
      <c r="P98" s="80">
        <f>O98-'Toim ja inv rahavirta'!P98</f>
        <v>49313.202797402628</v>
      </c>
      <c r="U98" s="34">
        <v>249</v>
      </c>
      <c r="V98" s="88" t="s">
        <v>412</v>
      </c>
      <c r="W98" s="41">
        <f>C98/'1. Väestöennuste'!E98*1000</f>
        <v>4707.5219926855789</v>
      </c>
      <c r="X98" s="41">
        <f>D98/'1. Väestöennuste'!F98*1000</f>
        <v>5468.8751000800639</v>
      </c>
      <c r="Y98" s="41">
        <f>E98/'1. Väestöennuste'!G98*1000</f>
        <v>5651.9810464764596</v>
      </c>
      <c r="Z98" s="41">
        <f>F98/'1. Väestöennuste'!H98*1000</f>
        <v>5613.3988936693295</v>
      </c>
      <c r="AA98" s="41">
        <f>G98/'1. Väestöennuste'!I98*1000</f>
        <v>6109.6304008328998</v>
      </c>
      <c r="AB98" s="41">
        <f>H98/'1. Väestöennuste'!J98*1000</f>
        <v>6088.7623866751001</v>
      </c>
      <c r="AC98" s="41">
        <f>I98/'1. Väestöennuste'!K98*1000</f>
        <v>6273.3958487768723</v>
      </c>
      <c r="AD98" s="41">
        <f>J98/'1. Väestöennuste'!L98*1000</f>
        <v>6108.2851524324315</v>
      </c>
      <c r="AE98" s="41">
        <f>K98/'1. Väestöennuste'!M98*1000</f>
        <v>6218.0020688153318</v>
      </c>
      <c r="AF98" s="41">
        <f>L98/'1. Väestöennuste'!N98*1000</f>
        <v>6152.3426029612301</v>
      </c>
      <c r="AG98" s="41">
        <f>M98/'1. Väestöennuste'!O98*1000</f>
        <v>6101.3586854731957</v>
      </c>
      <c r="AH98" s="41">
        <f>N98/'1. Väestöennuste'!P98*1000</f>
        <v>6018.7471314581053</v>
      </c>
      <c r="AI98" s="41">
        <f>O98/'1. Väestöennuste'!Q98*1000</f>
        <v>5955.1921953912197</v>
      </c>
      <c r="AJ98" s="41">
        <f>P98/'1. Väestöennuste'!R98*1000</f>
        <v>5745.4506346734979</v>
      </c>
    </row>
    <row r="99" spans="1:36" x14ac:dyDescent="0.2">
      <c r="A99" s="30">
        <v>250</v>
      </c>
      <c r="B99" s="31" t="s">
        <v>413</v>
      </c>
      <c r="C99" s="81">
        <v>8580</v>
      </c>
      <c r="D99" s="46">
        <v>7944</v>
      </c>
      <c r="E99" s="46">
        <v>9465</v>
      </c>
      <c r="F99" s="46">
        <v>8807</v>
      </c>
      <c r="G99" s="80">
        <v>8147</v>
      </c>
      <c r="H99" s="80">
        <v>8006</v>
      </c>
      <c r="I99" s="80">
        <v>7365.1734099999994</v>
      </c>
      <c r="J99" s="80">
        <v>6723.6710800000001</v>
      </c>
      <c r="K99" s="80">
        <v>6085.0339999999997</v>
      </c>
      <c r="L99" s="80">
        <f>K99-'Toim ja inv rahavirta'!L99</f>
        <v>6419.492095899076</v>
      </c>
      <c r="M99" s="80">
        <f>L99-'Toim ja inv rahavirta'!M99</f>
        <v>7720.5010528081521</v>
      </c>
      <c r="N99" s="80">
        <f>M99-'Toim ja inv rahavirta'!N99</f>
        <v>9109.8772471407628</v>
      </c>
      <c r="O99" s="80">
        <f>N99-'Toim ja inv rahavirta'!O99</f>
        <v>10584.57621370044</v>
      </c>
      <c r="P99" s="80">
        <f>O99-'Toim ja inv rahavirta'!P99</f>
        <v>11922.985893918678</v>
      </c>
      <c r="U99" s="34">
        <v>250</v>
      </c>
      <c r="V99" s="88" t="s">
        <v>413</v>
      </c>
      <c r="W99" s="41">
        <f>C99/'1. Väestöennuste'!E99*1000</f>
        <v>4210.0098135426888</v>
      </c>
      <c r="X99" s="41">
        <f>D99/'1. Väestöennuste'!F99*1000</f>
        <v>3983.9518555667</v>
      </c>
      <c r="Y99" s="41">
        <f>E99/'1. Väestöennuste'!G99*1000</f>
        <v>4811.8962887646157</v>
      </c>
      <c r="Z99" s="41">
        <f>F99/'1. Väestöennuste'!H99*1000</f>
        <v>4610.9947643979058</v>
      </c>
      <c r="AA99" s="41">
        <f>G99/'1. Väestöennuste'!I99*1000</f>
        <v>4368.3646112600536</v>
      </c>
      <c r="AB99" s="41">
        <f>H99/'1. Väestöennuste'!J99*1000</f>
        <v>4394.0724478594948</v>
      </c>
      <c r="AC99" s="41">
        <f>I99/'1. Väestöennuste'!K99*1000</f>
        <v>4073.6578595132737</v>
      </c>
      <c r="AD99" s="41">
        <f>J99/'1. Väestöennuste'!L99*1000</f>
        <v>3796.5392885375495</v>
      </c>
      <c r="AE99" s="41">
        <f>K99/'1. Väestöennuste'!M99*1000</f>
        <v>3479.1503716409375</v>
      </c>
      <c r="AF99" s="41">
        <f>L99/'1. Väestöennuste'!N99*1000</f>
        <v>3844.0072430533387</v>
      </c>
      <c r="AG99" s="41">
        <f>M99/'1. Väestöennuste'!O99*1000</f>
        <v>4713.3706061099829</v>
      </c>
      <c r="AH99" s="41">
        <f>N99/'1. Väestöennuste'!P99*1000</f>
        <v>5668.8719646177742</v>
      </c>
      <c r="AI99" s="41">
        <f>O99/'1. Väestöennuste'!Q99*1000</f>
        <v>6707.5894890370346</v>
      </c>
      <c r="AJ99" s="41">
        <f>P99/'1. Väestöennuste'!R99*1000</f>
        <v>7707.1660594173745</v>
      </c>
    </row>
    <row r="100" spans="1:36" x14ac:dyDescent="0.2">
      <c r="A100" s="30">
        <v>256</v>
      </c>
      <c r="B100" s="31" t="s">
        <v>414</v>
      </c>
      <c r="C100" s="81">
        <v>5900</v>
      </c>
      <c r="D100" s="46">
        <v>5900</v>
      </c>
      <c r="E100" s="46">
        <v>5900</v>
      </c>
      <c r="F100" s="46">
        <v>5900</v>
      </c>
      <c r="G100" s="80">
        <v>6000</v>
      </c>
      <c r="H100" s="80">
        <v>6000</v>
      </c>
      <c r="I100" s="80">
        <v>5700</v>
      </c>
      <c r="J100" s="80">
        <v>5400</v>
      </c>
      <c r="K100" s="80">
        <v>5600</v>
      </c>
      <c r="L100" s="80">
        <f>K100-'Toim ja inv rahavirta'!L100</f>
        <v>5447.3812731292937</v>
      </c>
      <c r="M100" s="80">
        <f>L100-'Toim ja inv rahavirta'!M100</f>
        <v>6253.5684872002985</v>
      </c>
      <c r="N100" s="80">
        <f>M100-'Toim ja inv rahavirta'!N100</f>
        <v>7205.4743144847089</v>
      </c>
      <c r="O100" s="80">
        <f>N100-'Toim ja inv rahavirta'!O100</f>
        <v>8184.685524157775</v>
      </c>
      <c r="P100" s="80">
        <f>O100-'Toim ja inv rahavirta'!P100</f>
        <v>9050.6557912532389</v>
      </c>
      <c r="U100" s="34">
        <v>256</v>
      </c>
      <c r="V100" s="88" t="s">
        <v>414</v>
      </c>
      <c r="W100" s="41">
        <f>C100/'1. Väestöennuste'!E100*1000</f>
        <v>3381.0888252148998</v>
      </c>
      <c r="X100" s="41">
        <f>D100/'1. Väestöennuste'!F100*1000</f>
        <v>3472.630959387875</v>
      </c>
      <c r="Y100" s="41">
        <f>E100/'1. Väestöennuste'!G100*1000</f>
        <v>3562.8019323671497</v>
      </c>
      <c r="Z100" s="41">
        <f>F100/'1. Väestöennuste'!H100*1000</f>
        <v>3653.2507739938083</v>
      </c>
      <c r="AA100" s="41">
        <f>G100/'1. Väestöennuste'!I100*1000</f>
        <v>3703.7037037037039</v>
      </c>
      <c r="AB100" s="41">
        <f>H100/'1. Väestöennuste'!J100*1000</f>
        <v>3757.044458359424</v>
      </c>
      <c r="AC100" s="41">
        <f>I100/'1. Väestöennuste'!K100*1000</f>
        <v>3605.3130929791273</v>
      </c>
      <c r="AD100" s="41">
        <f>J100/'1. Väestöennuste'!L100*1000</f>
        <v>3474.9034749034749</v>
      </c>
      <c r="AE100" s="41">
        <f>K100/'1. Väestöennuste'!M100*1000</f>
        <v>3676.9533814839133</v>
      </c>
      <c r="AF100" s="41">
        <f>L100/'1. Väestöennuste'!N100*1000</f>
        <v>3641.2976424661056</v>
      </c>
      <c r="AG100" s="41">
        <f>M100/'1. Väestöennuste'!O100*1000</f>
        <v>4242.5837769337168</v>
      </c>
      <c r="AH100" s="41">
        <f>N100/'1. Väestöennuste'!P100*1000</f>
        <v>4969.2926306791096</v>
      </c>
      <c r="AI100" s="41">
        <f>O100/'1. Väestöennuste'!Q100*1000</f>
        <v>5731.5724959088066</v>
      </c>
      <c r="AJ100" s="41">
        <f>P100/'1. Väestöennuste'!R100*1000</f>
        <v>6423.4604622095376</v>
      </c>
    </row>
    <row r="101" spans="1:36" x14ac:dyDescent="0.2">
      <c r="A101" s="30">
        <v>257</v>
      </c>
      <c r="B101" s="31" t="s">
        <v>415</v>
      </c>
      <c r="C101" s="81">
        <v>92587</v>
      </c>
      <c r="D101" s="46">
        <v>111077</v>
      </c>
      <c r="E101" s="46">
        <v>109562</v>
      </c>
      <c r="F101" s="46">
        <v>123405</v>
      </c>
      <c r="G101" s="80">
        <v>167849</v>
      </c>
      <c r="H101" s="80">
        <v>211576</v>
      </c>
      <c r="I101" s="80">
        <v>240033.18852999998</v>
      </c>
      <c r="J101" s="80">
        <v>206288.49217000001</v>
      </c>
      <c r="K101" s="80">
        <v>161164.86729000002</v>
      </c>
      <c r="L101" s="80">
        <f>K101-'Toim ja inv rahavirta'!L101</f>
        <v>188595.94328889952</v>
      </c>
      <c r="M101" s="80">
        <f>L101-'Toim ja inv rahavirta'!M101</f>
        <v>218242.3184812832</v>
      </c>
      <c r="N101" s="80">
        <f>M101-'Toim ja inv rahavirta'!N101</f>
        <v>251259.42880496618</v>
      </c>
      <c r="O101" s="80">
        <f>N101-'Toim ja inv rahavirta'!O101</f>
        <v>286756.5110471613</v>
      </c>
      <c r="P101" s="80">
        <f>O101-'Toim ja inv rahavirta'!P101</f>
        <v>323092.91851137695</v>
      </c>
      <c r="U101" s="34">
        <v>257</v>
      </c>
      <c r="V101" s="88" t="s">
        <v>415</v>
      </c>
      <c r="W101" s="41">
        <f>C101/'1. Väestöennuste'!E101*1000</f>
        <v>2395.5859142539266</v>
      </c>
      <c r="X101" s="41">
        <f>D101/'1. Väestöennuste'!F101*1000</f>
        <v>2845.7202879614683</v>
      </c>
      <c r="Y101" s="41">
        <f>E101/'1. Väestöennuste'!G101*1000</f>
        <v>2797.0896093949455</v>
      </c>
      <c r="Z101" s="41">
        <f>F101/'1. Väestöennuste'!H101*1000</f>
        <v>3143.1154806173909</v>
      </c>
      <c r="AA101" s="41">
        <f>G101/'1. Väestöennuste'!I101*1000</f>
        <v>4240.1101399484669</v>
      </c>
      <c r="AB101" s="41">
        <f>H101/'1. Väestöennuste'!J101*1000</f>
        <v>5278.5789132278833</v>
      </c>
      <c r="AC101" s="41">
        <f>I101/'1. Väestöennuste'!K101*1000</f>
        <v>5936.5663821630842</v>
      </c>
      <c r="AD101" s="41">
        <f>J101/'1. Väestöennuste'!L101*1000</f>
        <v>5065.7750643386871</v>
      </c>
      <c r="AE101" s="41">
        <f>K101/'1. Väestöennuste'!M101*1000</f>
        <v>3916.1410139962099</v>
      </c>
      <c r="AF101" s="41">
        <f>L101/'1. Väestöennuste'!N101*1000</f>
        <v>4548.5358823263996</v>
      </c>
      <c r="AG101" s="41">
        <f>M101/'1. Väestöennuste'!O101*1000</f>
        <v>5225.9840157391636</v>
      </c>
      <c r="AH101" s="41">
        <f>N101/'1. Väestöennuste'!P101*1000</f>
        <v>5976.533117788972</v>
      </c>
      <c r="AI101" s="41">
        <f>O101/'1. Väestöennuste'!Q101*1000</f>
        <v>6778.3125173658273</v>
      </c>
      <c r="AJ101" s="41">
        <f>P101/'1. Väestöennuste'!R101*1000</f>
        <v>7591.2905831953412</v>
      </c>
    </row>
    <row r="102" spans="1:36" x14ac:dyDescent="0.2">
      <c r="A102" s="30">
        <v>260</v>
      </c>
      <c r="B102" s="31" t="s">
        <v>416</v>
      </c>
      <c r="C102" s="81">
        <v>17360</v>
      </c>
      <c r="D102" s="46">
        <v>12929</v>
      </c>
      <c r="E102" s="46">
        <v>8101</v>
      </c>
      <c r="F102" s="46">
        <v>4805</v>
      </c>
      <c r="G102" s="80">
        <v>3493</v>
      </c>
      <c r="H102" s="80">
        <v>4293</v>
      </c>
      <c r="I102" s="80">
        <v>3361.1590000000001</v>
      </c>
      <c r="J102" s="80">
        <v>2480.2930000000001</v>
      </c>
      <c r="K102" s="80">
        <v>1599.425</v>
      </c>
      <c r="L102" s="80">
        <f>K102-'Toim ja inv rahavirta'!L102</f>
        <v>1356.0150431816116</v>
      </c>
      <c r="M102" s="80">
        <f>L102-'Toim ja inv rahavirta'!M102</f>
        <v>1076.6856126289565</v>
      </c>
      <c r="N102" s="80">
        <f>M102-'Toim ja inv rahavirta'!N102</f>
        <v>1002.3255283655351</v>
      </c>
      <c r="O102" s="80">
        <f>N102-'Toim ja inv rahavirta'!O102</f>
        <v>1237.2843084312278</v>
      </c>
      <c r="P102" s="80">
        <f>O102-'Toim ja inv rahavirta'!P102</f>
        <v>-161.81392741857167</v>
      </c>
      <c r="U102" s="34">
        <v>260</v>
      </c>
      <c r="V102" s="88" t="s">
        <v>416</v>
      </c>
      <c r="W102" s="41">
        <f>C102/'1. Väestöennuste'!E102*1000</f>
        <v>1602.6587887740029</v>
      </c>
      <c r="X102" s="41">
        <f>D102/'1. Väestöennuste'!F102*1000</f>
        <v>1206.1759492489971</v>
      </c>
      <c r="Y102" s="41">
        <f>E102/'1. Väestöennuste'!G102*1000</f>
        <v>772.55388136563045</v>
      </c>
      <c r="Z102" s="41">
        <f>F102/'1. Väestöennuste'!H102*1000</f>
        <v>463.89264336744543</v>
      </c>
      <c r="AA102" s="41">
        <f>G102/'1. Väestöennuste'!I102*1000</f>
        <v>344.61325966850831</v>
      </c>
      <c r="AB102" s="41">
        <f>H102/'1. Väestöennuste'!J102*1000</f>
        <v>432.19571126547874</v>
      </c>
      <c r="AC102" s="41">
        <f>I102/'1. Väestöennuste'!K102*1000</f>
        <v>340.30160980054677</v>
      </c>
      <c r="AD102" s="41">
        <f>J102/'1. Väestöennuste'!L102*1000</f>
        <v>254.99054179089137</v>
      </c>
      <c r="AE102" s="41">
        <f>K102/'1. Väestöennuste'!M102*1000</f>
        <v>165.07637527092578</v>
      </c>
      <c r="AF102" s="41">
        <f>L102/'1. Väestöennuste'!N102*1000</f>
        <v>146.72311655286859</v>
      </c>
      <c r="AG102" s="41">
        <f>M102/'1. Väestöennuste'!O102*1000</f>
        <v>118.42120684436388</v>
      </c>
      <c r="AH102" s="41">
        <f>N102/'1. Väestöennuste'!P102*1000</f>
        <v>112.01671081420822</v>
      </c>
      <c r="AI102" s="41">
        <f>O102/'1. Väestöennuste'!Q102*1000</f>
        <v>140.39309071045363</v>
      </c>
      <c r="AJ102" s="41">
        <f>P102/'1. Väestöennuste'!R102*1000</f>
        <v>-18.633570637790381</v>
      </c>
    </row>
    <row r="103" spans="1:36" x14ac:dyDescent="0.2">
      <c r="A103" s="30">
        <v>261</v>
      </c>
      <c r="B103" s="31" t="s">
        <v>417</v>
      </c>
      <c r="C103" s="81">
        <v>30929</v>
      </c>
      <c r="D103" s="46">
        <v>26662</v>
      </c>
      <c r="E103" s="46">
        <v>21400</v>
      </c>
      <c r="F103" s="46">
        <v>17380</v>
      </c>
      <c r="G103" s="80">
        <v>16620</v>
      </c>
      <c r="H103" s="80">
        <v>12734</v>
      </c>
      <c r="I103" s="80">
        <v>8693.45298</v>
      </c>
      <c r="J103" s="80">
        <v>6645.5141099999992</v>
      </c>
      <c r="K103" s="80">
        <v>4591.4488499999998</v>
      </c>
      <c r="L103" s="80">
        <f>K103-'Toim ja inv rahavirta'!L103</f>
        <v>1691.1165137811704</v>
      </c>
      <c r="M103" s="80">
        <f>L103-'Toim ja inv rahavirta'!M103</f>
        <v>206.84631896457086</v>
      </c>
      <c r="N103" s="80">
        <f>M103-'Toim ja inv rahavirta'!N103</f>
        <v>-290.29705460048444</v>
      </c>
      <c r="O103" s="80">
        <f>N103-'Toim ja inv rahavirta'!O103</f>
        <v>-966.19947976721505</v>
      </c>
      <c r="P103" s="80">
        <f>O103-'Toim ja inv rahavirta'!P103</f>
        <v>-1853.3213979208658</v>
      </c>
      <c r="U103" s="34">
        <v>261</v>
      </c>
      <c r="V103" s="88" t="s">
        <v>417</v>
      </c>
      <c r="W103" s="41">
        <f>C103/'1. Väestöennuste'!E103*1000</f>
        <v>4820.6047381546132</v>
      </c>
      <c r="X103" s="41">
        <f>D103/'1. Väestöennuste'!F103*1000</f>
        <v>4177.0327432241893</v>
      </c>
      <c r="Y103" s="41">
        <f>E103/'1. Väestöennuste'!G103*1000</f>
        <v>3332.8142033951094</v>
      </c>
      <c r="Z103" s="41">
        <f>F103/'1. Väestöennuste'!H103*1000</f>
        <v>2700.4350528278437</v>
      </c>
      <c r="AA103" s="41">
        <f>G103/'1. Väestöennuste'!I103*1000</f>
        <v>2575.5462575546258</v>
      </c>
      <c r="AB103" s="41">
        <f>H103/'1. Väestöennuste'!J103*1000</f>
        <v>1978.5581106277191</v>
      </c>
      <c r="AC103" s="41">
        <f>I103/'1. Väestöennuste'!K103*1000</f>
        <v>1332.738460830906</v>
      </c>
      <c r="AD103" s="41">
        <f>J103/'1. Väestöennuste'!L103*1000</f>
        <v>1001.2828250715684</v>
      </c>
      <c r="AE103" s="41">
        <f>K103/'1. Väestöennuste'!M103*1000</f>
        <v>673.03559806508349</v>
      </c>
      <c r="AF103" s="41">
        <f>L103/'1. Väestöennuste'!N103*1000</f>
        <v>264.03068130853558</v>
      </c>
      <c r="AG103" s="41">
        <f>M103/'1. Väestöennuste'!O103*1000</f>
        <v>32.355125757010924</v>
      </c>
      <c r="AH103" s="41">
        <f>N103/'1. Väestöennuste'!P103*1000</f>
        <v>-45.508238689525697</v>
      </c>
      <c r="AI103" s="41">
        <f>O103/'1. Väestöennuste'!Q103*1000</f>
        <v>-151.79881850231186</v>
      </c>
      <c r="AJ103" s="41">
        <f>P103/'1. Väestöennuste'!R103*1000</f>
        <v>-291.72381519295857</v>
      </c>
    </row>
    <row r="104" spans="1:36" x14ac:dyDescent="0.2">
      <c r="A104" s="30">
        <v>263</v>
      </c>
      <c r="B104" s="31" t="s">
        <v>418</v>
      </c>
      <c r="C104" s="81">
        <v>30373</v>
      </c>
      <c r="D104" s="46">
        <v>29173</v>
      </c>
      <c r="E104" s="46">
        <v>31379</v>
      </c>
      <c r="F104" s="46">
        <v>30242</v>
      </c>
      <c r="G104" s="80">
        <v>32975</v>
      </c>
      <c r="H104" s="80">
        <v>31747</v>
      </c>
      <c r="I104" s="80">
        <v>32628.354739999999</v>
      </c>
      <c r="J104" s="80">
        <v>28700.879000000001</v>
      </c>
      <c r="K104" s="80">
        <v>23472.562999999998</v>
      </c>
      <c r="L104" s="80">
        <f>K104-'Toim ja inv rahavirta'!L104</f>
        <v>21597.859467063681</v>
      </c>
      <c r="M104" s="80">
        <f>L104-'Toim ja inv rahavirta'!M104</f>
        <v>21804.541556435728</v>
      </c>
      <c r="N104" s="80">
        <f>M104-'Toim ja inv rahavirta'!N104</f>
        <v>21968.360869522858</v>
      </c>
      <c r="O104" s="80">
        <f>N104-'Toim ja inv rahavirta'!O104</f>
        <v>22304.450885912527</v>
      </c>
      <c r="P104" s="80">
        <f>O104-'Toim ja inv rahavirta'!P104</f>
        <v>21461.990437625005</v>
      </c>
      <c r="U104" s="34">
        <v>263</v>
      </c>
      <c r="V104" s="88" t="s">
        <v>418</v>
      </c>
      <c r="W104" s="41">
        <f>C104/'1. Väestöennuste'!E104*1000</f>
        <v>3531.7441860465119</v>
      </c>
      <c r="X104" s="41">
        <f>D104/'1. Väestöennuste'!F104*1000</f>
        <v>3454.8792041686402</v>
      </c>
      <c r="Y104" s="41">
        <f>E104/'1. Väestöennuste'!G104*1000</f>
        <v>3788.3617046963664</v>
      </c>
      <c r="Z104" s="41">
        <f>F104/'1. Väestöennuste'!H104*1000</f>
        <v>3709.3094566417267</v>
      </c>
      <c r="AA104" s="41">
        <f>G104/'1. Väestöennuste'!I104*1000</f>
        <v>4122.9057264316079</v>
      </c>
      <c r="AB104" s="41">
        <f>H104/'1. Väestöennuste'!J104*1000</f>
        <v>4042.144130379424</v>
      </c>
      <c r="AC104" s="41">
        <f>I104/'1. Väestöennuste'!K104*1000</f>
        <v>4205.2267998453408</v>
      </c>
      <c r="AD104" s="41">
        <f>J104/'1. Väestöennuste'!L104*1000</f>
        <v>3777.9227326576283</v>
      </c>
      <c r="AE104" s="41">
        <f>K104/'1. Väestöennuste'!M104*1000</f>
        <v>3140.1422073578592</v>
      </c>
      <c r="AF104" s="41">
        <f>L104/'1. Väestöennuste'!N104*1000</f>
        <v>2946.1000500700698</v>
      </c>
      <c r="AG104" s="41">
        <f>M104/'1. Väestöennuste'!O104*1000</f>
        <v>3022.1124818344738</v>
      </c>
      <c r="AH104" s="41">
        <f>N104/'1. Väestöennuste'!P104*1000</f>
        <v>3093.2639917661022</v>
      </c>
      <c r="AI104" s="41">
        <f>O104/'1. Väestöennuste'!Q104*1000</f>
        <v>3189.083626810484</v>
      </c>
      <c r="AJ104" s="41">
        <f>P104/'1. Väestöennuste'!R104*1000</f>
        <v>3114.495782560587</v>
      </c>
    </row>
    <row r="105" spans="1:36" x14ac:dyDescent="0.2">
      <c r="A105" s="30">
        <v>265</v>
      </c>
      <c r="B105" s="31" t="s">
        <v>419</v>
      </c>
      <c r="C105" s="81">
        <v>5174</v>
      </c>
      <c r="D105" s="46">
        <v>4866</v>
      </c>
      <c r="E105" s="46">
        <v>4558</v>
      </c>
      <c r="F105" s="46">
        <v>4250</v>
      </c>
      <c r="G105" s="80">
        <v>3942</v>
      </c>
      <c r="H105" s="80">
        <v>5285</v>
      </c>
      <c r="I105" s="80">
        <v>4704.7352999999994</v>
      </c>
      <c r="J105" s="80">
        <v>4270.4012200000006</v>
      </c>
      <c r="K105" s="80">
        <v>3944.6840000000002</v>
      </c>
      <c r="L105" s="80">
        <f>K105-'Toim ja inv rahavirta'!L105</f>
        <v>3054.2830851796284</v>
      </c>
      <c r="M105" s="80">
        <f>L105-'Toim ja inv rahavirta'!M105</f>
        <v>2053.7701032457899</v>
      </c>
      <c r="N105" s="80">
        <f>M105-'Toim ja inv rahavirta'!N105</f>
        <v>1262.6827302484764</v>
      </c>
      <c r="O105" s="80">
        <f>N105-'Toim ja inv rahavirta'!O105</f>
        <v>538.02039795236487</v>
      </c>
      <c r="P105" s="80">
        <f>O105-'Toim ja inv rahavirta'!P105</f>
        <v>-287.60019411987219</v>
      </c>
      <c r="U105" s="34">
        <v>265</v>
      </c>
      <c r="V105" s="88" t="s">
        <v>419</v>
      </c>
      <c r="W105" s="41">
        <f>C105/'1. Väestöennuste'!E105*1000</f>
        <v>4311.666666666667</v>
      </c>
      <c r="X105" s="41">
        <f>D105/'1. Väestöennuste'!F105*1000</f>
        <v>4191.2144702842379</v>
      </c>
      <c r="Y105" s="41">
        <f>E105/'1. Väestöennuste'!G105*1000</f>
        <v>4026.5017667844527</v>
      </c>
      <c r="Z105" s="41">
        <f>F105/'1. Väestöennuste'!H105*1000</f>
        <v>3853.12783318223</v>
      </c>
      <c r="AA105" s="41">
        <f>G105/'1. Väestöennuste'!I105*1000</f>
        <v>3596.7153284671531</v>
      </c>
      <c r="AB105" s="41">
        <f>H105/'1. Väestöennuste'!J105*1000</f>
        <v>4774.1644083107494</v>
      </c>
      <c r="AC105" s="41">
        <f>I105/'1. Väestöennuste'!K105*1000</f>
        <v>4324.2052389705877</v>
      </c>
      <c r="AD105" s="41">
        <f>J105/'1. Väestöennuste'!L105*1000</f>
        <v>4013.5349812030086</v>
      </c>
      <c r="AE105" s="41">
        <f>K105/'1. Väestöennuste'!M105*1000</f>
        <v>3811.2888888888888</v>
      </c>
      <c r="AF105" s="41">
        <f>L105/'1. Väestöennuste'!N105*1000</f>
        <v>2917.1758215660252</v>
      </c>
      <c r="AG105" s="41">
        <f>M105/'1. Väestöennuste'!O105*1000</f>
        <v>1990.0873093466955</v>
      </c>
      <c r="AH105" s="41">
        <f>N105/'1. Väestöennuste'!P105*1000</f>
        <v>1241.5759392807045</v>
      </c>
      <c r="AI105" s="41">
        <f>O105/'1. Väestöennuste'!Q105*1000</f>
        <v>536.41116445898797</v>
      </c>
      <c r="AJ105" s="41">
        <f>P105/'1. Väestöennuste'!R105*1000</f>
        <v>-290.79898293212557</v>
      </c>
    </row>
    <row r="106" spans="1:36" x14ac:dyDescent="0.2">
      <c r="A106" s="30">
        <v>271</v>
      </c>
      <c r="B106" s="31" t="s">
        <v>420</v>
      </c>
      <c r="C106" s="81">
        <v>21843</v>
      </c>
      <c r="D106" s="46">
        <v>24704</v>
      </c>
      <c r="E106" s="46">
        <v>23274</v>
      </c>
      <c r="F106" s="46">
        <v>22202</v>
      </c>
      <c r="G106" s="80">
        <v>22838</v>
      </c>
      <c r="H106" s="80">
        <v>23867</v>
      </c>
      <c r="I106" s="80">
        <v>26078.079090000003</v>
      </c>
      <c r="J106" s="80">
        <v>21902.588609999999</v>
      </c>
      <c r="K106" s="80">
        <v>15682.478120000002</v>
      </c>
      <c r="L106" s="80">
        <f>K106-'Toim ja inv rahavirta'!L106</f>
        <v>17377.668867612032</v>
      </c>
      <c r="M106" s="80">
        <f>L106-'Toim ja inv rahavirta'!M106</f>
        <v>20150.555890651616</v>
      </c>
      <c r="N106" s="80">
        <f>M106-'Toim ja inv rahavirta'!N106</f>
        <v>23093.210559864645</v>
      </c>
      <c r="O106" s="80">
        <f>N106-'Toim ja inv rahavirta'!O106</f>
        <v>25934.728826767623</v>
      </c>
      <c r="P106" s="80">
        <f>O106-'Toim ja inv rahavirta'!P106</f>
        <v>28067.380463955655</v>
      </c>
      <c r="U106" s="34">
        <v>271</v>
      </c>
      <c r="V106" s="88" t="s">
        <v>420</v>
      </c>
      <c r="W106" s="41">
        <f>C106/'1. Väestöennuste'!E106*1000</f>
        <v>2877.4864971676989</v>
      </c>
      <c r="X106" s="41">
        <f>D106/'1. Väestöennuste'!F106*1000</f>
        <v>3294.7452654041076</v>
      </c>
      <c r="Y106" s="41">
        <f>E106/'1. Väestöennuste'!G106*1000</f>
        <v>3153.2312694756806</v>
      </c>
      <c r="Z106" s="41">
        <f>F106/'1. Väestöennuste'!H106*1000</f>
        <v>3072.5159147522832</v>
      </c>
      <c r="AA106" s="41">
        <f>G106/'1. Väestöennuste'!I106*1000</f>
        <v>3215.2611572574965</v>
      </c>
      <c r="AB106" s="41">
        <f>H106/'1. Väestöennuste'!J106*1000</f>
        <v>3403.2511050905459</v>
      </c>
      <c r="AC106" s="41">
        <f>I106/'1. Väestöennuste'!K106*1000</f>
        <v>3751.7017824773416</v>
      </c>
      <c r="AD106" s="41">
        <f>J106/'1. Väestöennuste'!L106*1000</f>
        <v>3172.9086788352888</v>
      </c>
      <c r="AE106" s="41">
        <f>K106/'1. Väestöennuste'!M106*1000</f>
        <v>2317.8359621637601</v>
      </c>
      <c r="AF106" s="41">
        <f>L106/'1. Väestöennuste'!N106*1000</f>
        <v>2619.4858106138126</v>
      </c>
      <c r="AG106" s="41">
        <f>M106/'1. Väestöennuste'!O106*1000</f>
        <v>3076.4207466643688</v>
      </c>
      <c r="AH106" s="41">
        <f>N106/'1. Väestöennuste'!P106*1000</f>
        <v>3567.6209732526872</v>
      </c>
      <c r="AI106" s="41">
        <f>O106/'1. Väestöennuste'!Q106*1000</f>
        <v>4051.0354306103754</v>
      </c>
      <c r="AJ106" s="41">
        <f>P106/'1. Väestöennuste'!R106*1000</f>
        <v>4431.2252074448461</v>
      </c>
    </row>
    <row r="107" spans="1:36" x14ac:dyDescent="0.2">
      <c r="A107" s="30">
        <v>272</v>
      </c>
      <c r="B107" s="31" t="s">
        <v>421</v>
      </c>
      <c r="C107" s="81">
        <v>255759</v>
      </c>
      <c r="D107" s="46">
        <v>242833</v>
      </c>
      <c r="E107" s="46">
        <v>245489</v>
      </c>
      <c r="F107" s="46">
        <v>220573</v>
      </c>
      <c r="G107" s="80">
        <v>222890</v>
      </c>
      <c r="H107" s="80">
        <v>246315</v>
      </c>
      <c r="I107" s="80">
        <v>228118.85538999998</v>
      </c>
      <c r="J107" s="80">
        <v>235633.32913000003</v>
      </c>
      <c r="K107" s="80">
        <v>232491.96648000003</v>
      </c>
      <c r="L107" s="80">
        <f>K107-'Toim ja inv rahavirta'!L107</f>
        <v>252320.12561932468</v>
      </c>
      <c r="M107" s="80">
        <f>L107-'Toim ja inv rahavirta'!M107</f>
        <v>278675.95665937813</v>
      </c>
      <c r="N107" s="80">
        <f>M107-'Toim ja inv rahavirta'!N107</f>
        <v>303534.17340239114</v>
      </c>
      <c r="O107" s="80">
        <f>N107-'Toim ja inv rahavirta'!O107</f>
        <v>328268.22778077202</v>
      </c>
      <c r="P107" s="80">
        <f>O107-'Toim ja inv rahavirta'!P107</f>
        <v>350371.63301564648</v>
      </c>
      <c r="U107" s="34">
        <v>272</v>
      </c>
      <c r="V107" s="88" t="s">
        <v>421</v>
      </c>
      <c r="W107" s="41">
        <f>C107/'1. Väestöennuste'!E107*1000</f>
        <v>5376.4767710742062</v>
      </c>
      <c r="X107" s="41">
        <f>D107/'1. Väestöennuste'!F107*1000</f>
        <v>5088.3850554240089</v>
      </c>
      <c r="Y107" s="41">
        <f>E107/'1. Väestöennuste'!G107*1000</f>
        <v>5144.0395616369469</v>
      </c>
      <c r="Z107" s="41">
        <f>F107/'1. Väestöennuste'!H107*1000</f>
        <v>4628.3442096648969</v>
      </c>
      <c r="AA107" s="41">
        <f>G107/'1. Väestöennuste'!I107*1000</f>
        <v>4674.6083345567413</v>
      </c>
      <c r="AB107" s="41">
        <f>H107/'1. Väestöennuste'!J107*1000</f>
        <v>5156.0537553378545</v>
      </c>
      <c r="AC107" s="41">
        <f>I107/'1. Väestöennuste'!K107*1000</f>
        <v>4761.503170385522</v>
      </c>
      <c r="AD107" s="41">
        <f>J107/'1. Väestöennuste'!L107*1000</f>
        <v>4908.4141384410286</v>
      </c>
      <c r="AE107" s="41">
        <f>K107/'1. Väestöennuste'!M107*1000</f>
        <v>4813.996614142251</v>
      </c>
      <c r="AF107" s="41">
        <f>L107/'1. Väestöennuste'!N107*1000</f>
        <v>5269.1835947735181</v>
      </c>
      <c r="AG107" s="41">
        <f>M107/'1. Väestöennuste'!O107*1000</f>
        <v>5821.2724903780527</v>
      </c>
      <c r="AH107" s="41">
        <f>N107/'1. Väestöennuste'!P107*1000</f>
        <v>6344.3800222057807</v>
      </c>
      <c r="AI107" s="41">
        <f>O107/'1. Väestöennuste'!Q107*1000</f>
        <v>6867.1051561778968</v>
      </c>
      <c r="AJ107" s="41">
        <f>P107/'1. Väestöennuste'!R107*1000</f>
        <v>7337.9331703033949</v>
      </c>
    </row>
    <row r="108" spans="1:36" x14ac:dyDescent="0.2">
      <c r="A108" s="30">
        <v>273</v>
      </c>
      <c r="B108" s="31" t="s">
        <v>422</v>
      </c>
      <c r="C108" s="81">
        <v>9343</v>
      </c>
      <c r="D108" s="46">
        <v>8124</v>
      </c>
      <c r="E108" s="46">
        <v>7030</v>
      </c>
      <c r="F108" s="46">
        <v>6111</v>
      </c>
      <c r="G108" s="80">
        <v>5191</v>
      </c>
      <c r="H108" s="80">
        <v>4510</v>
      </c>
      <c r="I108" s="80">
        <v>3689.7469999999989</v>
      </c>
      <c r="J108" s="80">
        <v>3689.7469999999998</v>
      </c>
      <c r="K108" s="80">
        <v>3504.6950000000002</v>
      </c>
      <c r="L108" s="80">
        <f>K108-'Toim ja inv rahavirta'!L108</f>
        <v>1364.6484339389658</v>
      </c>
      <c r="M108" s="80">
        <f>L108-'Toim ja inv rahavirta'!M108</f>
        <v>-177.88314537920792</v>
      </c>
      <c r="N108" s="80">
        <f>M108-'Toim ja inv rahavirta'!N108</f>
        <v>-1230.7365282604233</v>
      </c>
      <c r="O108" s="80">
        <f>N108-'Toim ja inv rahavirta'!O108</f>
        <v>-2069.903992478743</v>
      </c>
      <c r="P108" s="80">
        <f>O108-'Toim ja inv rahavirta'!P108</f>
        <v>-3151.7856264241873</v>
      </c>
      <c r="U108" s="34">
        <v>273</v>
      </c>
      <c r="V108" s="88" t="s">
        <v>422</v>
      </c>
      <c r="W108" s="41">
        <f>C108/'1. Väestöennuste'!E108*1000</f>
        <v>2428.0145530145528</v>
      </c>
      <c r="X108" s="41">
        <f>D108/'1. Väestöennuste'!F108*1000</f>
        <v>2122.8116017768489</v>
      </c>
      <c r="Y108" s="41">
        <f>E108/'1. Väestöennuste'!G108*1000</f>
        <v>1824.0788790866632</v>
      </c>
      <c r="Z108" s="41">
        <f>F108/'1. Väestöennuste'!H108*1000</f>
        <v>1593.8967136150236</v>
      </c>
      <c r="AA108" s="41">
        <f>G108/'1. Väestöennuste'!I108*1000</f>
        <v>1349.7139885595425</v>
      </c>
      <c r="AB108" s="41">
        <f>H108/'1. Väestöennuste'!J108*1000</f>
        <v>1149.0445859872611</v>
      </c>
      <c r="AC108" s="41">
        <f>I108/'1. Väestöennuste'!K108*1000</f>
        <v>924.98044622712428</v>
      </c>
      <c r="AD108" s="41">
        <f>J108/'1. Väestöennuste'!L108*1000</f>
        <v>922.66741685421346</v>
      </c>
      <c r="AE108" s="41">
        <f>K108/'1. Väestöennuste'!M108*1000</f>
        <v>873.77088007978068</v>
      </c>
      <c r="AF108" s="41">
        <f>L108/'1. Väestöennuste'!N108*1000</f>
        <v>343.91341581123129</v>
      </c>
      <c r="AG108" s="41">
        <f>M108/'1. Väestöennuste'!O108*1000</f>
        <v>-44.76173763945846</v>
      </c>
      <c r="AH108" s="41">
        <f>N108/'1. Väestöennuste'!P108*1000</f>
        <v>-309.38575371051365</v>
      </c>
      <c r="AI108" s="41">
        <f>O108/'1. Väestöennuste'!Q108*1000</f>
        <v>-520.46869310503973</v>
      </c>
      <c r="AJ108" s="41">
        <f>P108/'1. Väestöennuste'!R108*1000</f>
        <v>-792.50330058440716</v>
      </c>
    </row>
    <row r="109" spans="1:36" x14ac:dyDescent="0.2">
      <c r="A109" s="30">
        <v>275</v>
      </c>
      <c r="B109" s="31" t="s">
        <v>423</v>
      </c>
      <c r="C109" s="81">
        <v>11057</v>
      </c>
      <c r="D109" s="46">
        <v>18308</v>
      </c>
      <c r="E109" s="46">
        <v>21543</v>
      </c>
      <c r="F109" s="46">
        <v>21604</v>
      </c>
      <c r="G109" s="80">
        <v>21875</v>
      </c>
      <c r="H109" s="80">
        <v>24949</v>
      </c>
      <c r="I109" s="80">
        <v>22446.095209999999</v>
      </c>
      <c r="J109" s="80">
        <v>20397.121999999999</v>
      </c>
      <c r="K109" s="80">
        <v>19853.923999999999</v>
      </c>
      <c r="L109" s="80">
        <f>K109-'Toim ja inv rahavirta'!L109</f>
        <v>19355.799258921357</v>
      </c>
      <c r="M109" s="80">
        <f>L109-'Toim ja inv rahavirta'!M109</f>
        <v>18897.149511772059</v>
      </c>
      <c r="N109" s="80">
        <f>M109-'Toim ja inv rahavirta'!N109</f>
        <v>18914.235445576607</v>
      </c>
      <c r="O109" s="80">
        <f>N109-'Toim ja inv rahavirta'!O109</f>
        <v>19112.382458759774</v>
      </c>
      <c r="P109" s="80">
        <f>O109-'Toim ja inv rahavirta'!P109</f>
        <v>19172.129363330048</v>
      </c>
      <c r="U109" s="34">
        <v>275</v>
      </c>
      <c r="V109" s="88" t="s">
        <v>423</v>
      </c>
      <c r="W109" s="41">
        <f>C109/'1. Väestöennuste'!E109*1000</f>
        <v>4010.5186797243382</v>
      </c>
      <c r="X109" s="41">
        <f>D109/'1. Väestöennuste'!F109*1000</f>
        <v>6650.1997820559391</v>
      </c>
      <c r="Y109" s="41">
        <f>E109/'1. Väestöennuste'!G109*1000</f>
        <v>7839.5196506550219</v>
      </c>
      <c r="Z109" s="41">
        <f>F109/'1. Väestöennuste'!H109*1000</f>
        <v>8007.4128984432919</v>
      </c>
      <c r="AA109" s="41">
        <f>G109/'1. Väestöennuste'!I109*1000</f>
        <v>8326.9889607917776</v>
      </c>
      <c r="AB109" s="41">
        <f>H109/'1. Väestöennuste'!J109*1000</f>
        <v>9621.6737369841885</v>
      </c>
      <c r="AC109" s="41">
        <f>I109/'1. Väestöennuste'!K109*1000</f>
        <v>8679.851202629543</v>
      </c>
      <c r="AD109" s="41">
        <f>J109/'1. Väestöennuste'!L109*1000</f>
        <v>8090.8853629512087</v>
      </c>
      <c r="AE109" s="41">
        <f>K109/'1. Väestöennuste'!M109*1000</f>
        <v>7944.747498999599</v>
      </c>
      <c r="AF109" s="41">
        <f>L109/'1. Väestöennuste'!N109*1000</f>
        <v>7900.3262281311663</v>
      </c>
      <c r="AG109" s="41">
        <f>M109/'1. Väestöennuste'!O109*1000</f>
        <v>7811.9675534402895</v>
      </c>
      <c r="AH109" s="41">
        <f>N109/'1. Väestöennuste'!P109*1000</f>
        <v>7913.9060441743131</v>
      </c>
      <c r="AI109" s="41">
        <f>O109/'1. Väestöennuste'!Q109*1000</f>
        <v>8098.4671435422761</v>
      </c>
      <c r="AJ109" s="41">
        <f>P109/'1. Väestöennuste'!R109*1000</f>
        <v>8224.8517217203134</v>
      </c>
    </row>
    <row r="110" spans="1:36" x14ac:dyDescent="0.2">
      <c r="A110" s="30">
        <v>276</v>
      </c>
      <c r="B110" s="31" t="s">
        <v>424</v>
      </c>
      <c r="C110" s="81">
        <v>45661</v>
      </c>
      <c r="D110" s="46">
        <v>39131</v>
      </c>
      <c r="E110" s="46">
        <v>32452</v>
      </c>
      <c r="F110" s="46">
        <v>36971</v>
      </c>
      <c r="G110" s="80">
        <v>39821</v>
      </c>
      <c r="H110" s="80">
        <v>43674</v>
      </c>
      <c r="I110" s="80">
        <v>51506.841350000002</v>
      </c>
      <c r="J110" s="80">
        <v>62547.612609999996</v>
      </c>
      <c r="K110" s="80">
        <v>63345.807710000001</v>
      </c>
      <c r="L110" s="80">
        <f>K110-'Toim ja inv rahavirta'!L110</f>
        <v>67043.323501528343</v>
      </c>
      <c r="M110" s="80">
        <f>L110-'Toim ja inv rahavirta'!M110</f>
        <v>74389.193434554385</v>
      </c>
      <c r="N110" s="80">
        <f>M110-'Toim ja inv rahavirta'!N110</f>
        <v>82311.43022135357</v>
      </c>
      <c r="O110" s="80">
        <f>N110-'Toim ja inv rahavirta'!O110</f>
        <v>90364.633203668694</v>
      </c>
      <c r="P110" s="80">
        <f>O110-'Toim ja inv rahavirta'!P110</f>
        <v>97924.636787789466</v>
      </c>
      <c r="U110" s="34">
        <v>276</v>
      </c>
      <c r="V110" s="88" t="s">
        <v>424</v>
      </c>
      <c r="W110" s="41">
        <f>C110/'1. Väestöennuste'!E110*1000</f>
        <v>3079.5845417144401</v>
      </c>
      <c r="X110" s="41">
        <f>D110/'1. Väestöennuste'!F110*1000</f>
        <v>2642.9150344454952</v>
      </c>
      <c r="Y110" s="41">
        <f>E110/'1. Väestöennuste'!G110*1000</f>
        <v>2188.2670262980446</v>
      </c>
      <c r="Z110" s="41">
        <f>F110/'1. Väestöennuste'!H110*1000</f>
        <v>2489.7972927469864</v>
      </c>
      <c r="AA110" s="41">
        <f>G110/'1. Väestöennuste'!I110*1000</f>
        <v>2686.7957627690439</v>
      </c>
      <c r="AB110" s="41">
        <f>H110/'1. Väestöennuste'!J110*1000</f>
        <v>2939.6244194655719</v>
      </c>
      <c r="AC110" s="41">
        <f>I110/'1. Väestöennuste'!K110*1000</f>
        <v>3425.7958995676754</v>
      </c>
      <c r="AD110" s="41">
        <f>J110/'1. Väestöennuste'!L110*1000</f>
        <v>4126.6485854720586</v>
      </c>
      <c r="AE110" s="41">
        <f>K110/'1. Väestöennuste'!M110*1000</f>
        <v>4185.1088603329817</v>
      </c>
      <c r="AF110" s="41">
        <f>L110/'1. Väestöennuste'!N110*1000</f>
        <v>4484.8032310875878</v>
      </c>
      <c r="AG110" s="41">
        <f>M110/'1. Väestöennuste'!O110*1000</f>
        <v>4977.1974732071712</v>
      </c>
      <c r="AH110" s="41">
        <f>N110/'1. Väestöennuste'!P110*1000</f>
        <v>5512.4183111005605</v>
      </c>
      <c r="AI110" s="41">
        <f>O110/'1. Väestöennuste'!Q110*1000</f>
        <v>6060.2664612479839</v>
      </c>
      <c r="AJ110" s="41">
        <f>P110/'1. Väestöennuste'!R110*1000</f>
        <v>6580.0723550456569</v>
      </c>
    </row>
    <row r="111" spans="1:36" x14ac:dyDescent="0.2">
      <c r="A111" s="30">
        <v>280</v>
      </c>
      <c r="B111" s="31" t="s">
        <v>425</v>
      </c>
      <c r="C111" s="81">
        <v>1546</v>
      </c>
      <c r="D111" s="46">
        <v>1818</v>
      </c>
      <c r="E111" s="46">
        <v>1590</v>
      </c>
      <c r="F111" s="46">
        <v>862</v>
      </c>
      <c r="G111" s="80">
        <v>2184</v>
      </c>
      <c r="H111" s="80">
        <v>3006</v>
      </c>
      <c r="I111" s="80">
        <v>6293</v>
      </c>
      <c r="J111" s="80">
        <v>5926.7340000000004</v>
      </c>
      <c r="K111" s="80">
        <v>5455.0540000000001</v>
      </c>
      <c r="L111" s="80">
        <f>K111-'Toim ja inv rahavirta'!L111</f>
        <v>5615.1054023260604</v>
      </c>
      <c r="M111" s="80">
        <f>L111-'Toim ja inv rahavirta'!M111</f>
        <v>5984.301656509977</v>
      </c>
      <c r="N111" s="80">
        <f>M111-'Toim ja inv rahavirta'!N111</f>
        <v>6285.9273131642249</v>
      </c>
      <c r="O111" s="80">
        <f>N111-'Toim ja inv rahavirta'!O111</f>
        <v>6866.0625745125162</v>
      </c>
      <c r="P111" s="80">
        <f>O111-'Toim ja inv rahavirta'!P111</f>
        <v>7460.7506183550586</v>
      </c>
      <c r="U111" s="34">
        <v>280</v>
      </c>
      <c r="V111" s="88" t="s">
        <v>425</v>
      </c>
      <c r="W111" s="41">
        <f>C111/'1. Väestöennuste'!E111*1000</f>
        <v>702.40799636528845</v>
      </c>
      <c r="X111" s="41">
        <f>D111/'1. Väestöennuste'!F111*1000</f>
        <v>837.40211883924451</v>
      </c>
      <c r="Y111" s="41">
        <f>E111/'1. Väestöennuste'!G111*1000</f>
        <v>738.16155988857929</v>
      </c>
      <c r="Z111" s="41">
        <f>F111/'1. Väestöennuste'!H111*1000</f>
        <v>406.22054665409991</v>
      </c>
      <c r="AA111" s="41">
        <f>G111/'1. Väestöennuste'!I111*1000</f>
        <v>1051.5166104959076</v>
      </c>
      <c r="AB111" s="41">
        <f>H111/'1. Väestöennuste'!J111*1000</f>
        <v>1453.5783365570601</v>
      </c>
      <c r="AC111" s="41">
        <f>I111/'1. Väestöennuste'!K111*1000</f>
        <v>3069.7560975609758</v>
      </c>
      <c r="AD111" s="41">
        <f>J111/'1. Väestöennuste'!L111*1000</f>
        <v>2928.2282608695655</v>
      </c>
      <c r="AE111" s="41">
        <f>K111/'1. Väestöennuste'!M111*1000</f>
        <v>2707.2228287841194</v>
      </c>
      <c r="AF111" s="41">
        <f>L111/'1. Väestöennuste'!N111*1000</f>
        <v>2786.6528051245955</v>
      </c>
      <c r="AG111" s="41">
        <f>M111/'1. Väestöennuste'!O111*1000</f>
        <v>2984.6891054912608</v>
      </c>
      <c r="AH111" s="41">
        <f>N111/'1. Väestöennuste'!P111*1000</f>
        <v>3150.8407584783081</v>
      </c>
      <c r="AI111" s="41">
        <f>O111/'1. Väestöennuste'!Q111*1000</f>
        <v>3464.2091697843171</v>
      </c>
      <c r="AJ111" s="41">
        <f>P111/'1. Väestöennuste'!R111*1000</f>
        <v>3785.2616024125109</v>
      </c>
    </row>
    <row r="112" spans="1:36" s="7" customFormat="1" x14ac:dyDescent="0.2">
      <c r="A112" s="30">
        <v>284</v>
      </c>
      <c r="B112" s="31" t="s">
        <v>426</v>
      </c>
      <c r="C112" s="275">
        <v>200</v>
      </c>
      <c r="D112" s="179">
        <v>100</v>
      </c>
      <c r="E112" s="179">
        <v>0</v>
      </c>
      <c r="F112" s="179">
        <v>0</v>
      </c>
      <c r="G112" s="80">
        <v>0</v>
      </c>
      <c r="H112" s="276">
        <v>500</v>
      </c>
      <c r="I112" s="276">
        <v>400</v>
      </c>
      <c r="J112" s="276">
        <v>300.00000000000091</v>
      </c>
      <c r="K112" s="276">
        <v>200</v>
      </c>
      <c r="L112" s="276">
        <f>K112-'Toim ja inv rahavirta'!L112</f>
        <v>-814.0700878355201</v>
      </c>
      <c r="M112" s="276">
        <f>L112-'Toim ja inv rahavirta'!M112</f>
        <v>-2682.4786285544096</v>
      </c>
      <c r="N112" s="80">
        <f>M112-'Toim ja inv rahavirta'!N112</f>
        <v>-4182.8313317634147</v>
      </c>
      <c r="O112" s="80">
        <f>N112-'Toim ja inv rahavirta'!O112</f>
        <v>-5561.7386472974322</v>
      </c>
      <c r="P112" s="80">
        <f>O112-'Toim ja inv rahavirta'!P112</f>
        <v>-7219.8216521835329</v>
      </c>
      <c r="U112" s="34">
        <v>284</v>
      </c>
      <c r="V112" s="88" t="s">
        <v>426</v>
      </c>
      <c r="W112" s="165">
        <f>C112/'1. Väestöennuste'!E112*1000</f>
        <v>83.368070029178824</v>
      </c>
      <c r="X112" s="165">
        <f>D112/'1. Väestöennuste'!F112*1000</f>
        <v>41.390728476821195</v>
      </c>
      <c r="Y112" s="165">
        <f>E112/'1. Väestöennuste'!G112*1000</f>
        <v>0</v>
      </c>
      <c r="Z112" s="165">
        <f>F112/'1. Väestöennuste'!H112*1000</f>
        <v>0</v>
      </c>
      <c r="AA112" s="165">
        <f>G112/'1. Väestöennuste'!I112*1000</f>
        <v>0</v>
      </c>
      <c r="AB112" s="165">
        <f>H112/'1. Väestöennuste'!J112*1000</f>
        <v>218.15008726003489</v>
      </c>
      <c r="AC112" s="165">
        <f>I112/'1. Väestöennuste'!K112*1000</f>
        <v>176.13386173491855</v>
      </c>
      <c r="AD112" s="165">
        <f>J112/'1. Väestöennuste'!L112*1000</f>
        <v>134.71037269869819</v>
      </c>
      <c r="AE112" s="165">
        <f>K112/'1. Väestöennuste'!M112*1000</f>
        <v>90.620752152242872</v>
      </c>
      <c r="AF112" s="165">
        <f>L112/'1. Väestöennuste'!N112*1000</f>
        <v>-370.3685567950501</v>
      </c>
      <c r="AG112" s="41">
        <f>M112/'1. Väestöennuste'!O112*1000</f>
        <v>-1232.1904586836977</v>
      </c>
      <c r="AH112" s="41">
        <f>N112/'1. Väestöennuste'!P112*1000</f>
        <v>-1939.1893054072391</v>
      </c>
      <c r="AI112" s="41">
        <f>O112/'1. Väestöennuste'!Q112*1000</f>
        <v>-2600.1583203821565</v>
      </c>
      <c r="AJ112" s="41">
        <f>P112/'1. Väestöennuste'!R112*1000</f>
        <v>-3408.7920926267861</v>
      </c>
    </row>
    <row r="113" spans="1:36" x14ac:dyDescent="0.2">
      <c r="A113" s="30">
        <v>285</v>
      </c>
      <c r="B113" s="31" t="s">
        <v>427</v>
      </c>
      <c r="C113" s="81">
        <v>286442</v>
      </c>
      <c r="D113" s="46">
        <v>310433</v>
      </c>
      <c r="E113" s="46">
        <v>300666</v>
      </c>
      <c r="F113" s="46">
        <v>322101</v>
      </c>
      <c r="G113" s="80">
        <v>297061</v>
      </c>
      <c r="H113" s="80">
        <v>294264</v>
      </c>
      <c r="I113" s="80">
        <v>261127.86336999998</v>
      </c>
      <c r="J113" s="80">
        <v>267622.92103000003</v>
      </c>
      <c r="K113" s="80">
        <v>305870.6813</v>
      </c>
      <c r="L113" s="80">
        <f>K113-'Toim ja inv rahavirta'!L113</f>
        <v>319751.49752155883</v>
      </c>
      <c r="M113" s="80">
        <f>L113-'Toim ja inv rahavirta'!M113</f>
        <v>331838.29295273824</v>
      </c>
      <c r="N113" s="80">
        <f>M113-'Toim ja inv rahavirta'!N113</f>
        <v>339522.86670210218</v>
      </c>
      <c r="O113" s="80">
        <f>N113-'Toim ja inv rahavirta'!O113</f>
        <v>346563.57780558482</v>
      </c>
      <c r="P113" s="80">
        <f>O113-'Toim ja inv rahavirta'!P113</f>
        <v>348908.13284904172</v>
      </c>
      <c r="U113" s="34">
        <v>285</v>
      </c>
      <c r="V113" s="88" t="s">
        <v>427</v>
      </c>
      <c r="W113" s="41">
        <f>C113/'1. Väestöennuste'!E113*1000</f>
        <v>5273.3297741121887</v>
      </c>
      <c r="X113" s="41">
        <f>D113/'1. Väestöennuste'!F113*1000</f>
        <v>5728.9202207171465</v>
      </c>
      <c r="Y113" s="41">
        <f>E113/'1. Väestöennuste'!G113*1000</f>
        <v>5615.8314499710486</v>
      </c>
      <c r="Z113" s="41">
        <f>F113/'1. Väestöennuste'!H113*1000</f>
        <v>6090.8231378703931</v>
      </c>
      <c r="AA113" s="41">
        <f>G113/'1. Väestöennuste'!I113*1000</f>
        <v>5698.9026589417945</v>
      </c>
      <c r="AB113" s="41">
        <f>H113/'1. Väestöennuste'!J113*1000</f>
        <v>5695.2852829604399</v>
      </c>
      <c r="AC113" s="41">
        <f>I113/'1. Väestöennuste'!K113*1000</f>
        <v>5096.0727419449267</v>
      </c>
      <c r="AD113" s="41">
        <f>J113/'1. Väestöennuste'!L113*1000</f>
        <v>5287.2141974040351</v>
      </c>
      <c r="AE113" s="41">
        <f>K113/'1. Väestöennuste'!M113*1000</f>
        <v>6056.8451742574252</v>
      </c>
      <c r="AF113" s="41">
        <f>L113/'1. Väestöennuste'!N113*1000</f>
        <v>6418.2640663513685</v>
      </c>
      <c r="AG113" s="41">
        <f>M113/'1. Väestöennuste'!O113*1000</f>
        <v>6719.0064985975987</v>
      </c>
      <c r="AH113" s="41">
        <f>N113/'1. Väestöennuste'!P113*1000</f>
        <v>6932.7166803222563</v>
      </c>
      <c r="AI113" s="41">
        <f>O113/'1. Väestöennuste'!Q113*1000</f>
        <v>7135.3423472428422</v>
      </c>
      <c r="AJ113" s="41">
        <f>P113/'1. Väestöennuste'!R113*1000</f>
        <v>7242.5144338150849</v>
      </c>
    </row>
    <row r="114" spans="1:36" x14ac:dyDescent="0.2">
      <c r="A114" s="30">
        <v>286</v>
      </c>
      <c r="B114" s="31" t="s">
        <v>428</v>
      </c>
      <c r="C114" s="81">
        <v>203513</v>
      </c>
      <c r="D114" s="46">
        <v>182451</v>
      </c>
      <c r="E114" s="46">
        <v>199712</v>
      </c>
      <c r="F114" s="46">
        <v>232688</v>
      </c>
      <c r="G114" s="80">
        <v>312755</v>
      </c>
      <c r="H114" s="80">
        <v>266903</v>
      </c>
      <c r="I114" s="80">
        <v>257083.75723999998</v>
      </c>
      <c r="J114" s="80">
        <v>349539.27743999998</v>
      </c>
      <c r="K114" s="80">
        <v>299092.98868999997</v>
      </c>
      <c r="L114" s="80">
        <f>K114-'Toim ja inv rahavirta'!L114</f>
        <v>316227.14761342289</v>
      </c>
      <c r="M114" s="80">
        <f>L114-'Toim ja inv rahavirta'!M114</f>
        <v>349457.62823015585</v>
      </c>
      <c r="N114" s="80">
        <f>M114-'Toim ja inv rahavirta'!N114</f>
        <v>378850.47626965534</v>
      </c>
      <c r="O114" s="80">
        <f>N114-'Toim ja inv rahavirta'!O114</f>
        <v>407062.60484207165</v>
      </c>
      <c r="P114" s="80">
        <f>O114-'Toim ja inv rahavirta'!P114</f>
        <v>427990.04277799057</v>
      </c>
      <c r="U114" s="34">
        <v>286</v>
      </c>
      <c r="V114" s="88" t="s">
        <v>428</v>
      </c>
      <c r="W114" s="41">
        <f>C114/'1. Väestöennuste'!E114*1000</f>
        <v>2370.4268825345061</v>
      </c>
      <c r="X114" s="41">
        <f>D114/'1. Väestöennuste'!F114*1000</f>
        <v>2138.7827350948351</v>
      </c>
      <c r="Y114" s="41">
        <f>E114/'1. Väestöennuste'!G114*1000</f>
        <v>2371.9891681315025</v>
      </c>
      <c r="Z114" s="41">
        <f>F114/'1. Väestöennuste'!H114*1000</f>
        <v>2797.5041177248518</v>
      </c>
      <c r="AA114" s="41">
        <f>G114/'1. Väestöennuste'!I114*1000</f>
        <v>3808.8366032175172</v>
      </c>
      <c r="AB114" s="41">
        <f>H114/'1. Väestöennuste'!J114*1000</f>
        <v>3287.5090839666445</v>
      </c>
      <c r="AC114" s="41">
        <f>I114/'1. Väestöennuste'!K114*1000</f>
        <v>3195.4129967434806</v>
      </c>
      <c r="AD114" s="41">
        <f>J114/'1. Väestöennuste'!L114*1000</f>
        <v>4400.6506117413037</v>
      </c>
      <c r="AE114" s="41">
        <f>K114/'1. Väestöennuste'!M114*1000</f>
        <v>3791.7468140212977</v>
      </c>
      <c r="AF114" s="41">
        <f>L114/'1. Väestöennuste'!N114*1000</f>
        <v>4058.5649624393304</v>
      </c>
      <c r="AG114" s="41">
        <f>M114/'1. Väestöennuste'!O114*1000</f>
        <v>4529.8804618595614</v>
      </c>
      <c r="AH114" s="41">
        <f>N114/'1. Väestöennuste'!P114*1000</f>
        <v>4959.3600852149511</v>
      </c>
      <c r="AI114" s="41">
        <f>O114/'1. Väestöennuste'!Q114*1000</f>
        <v>5380.2271354640116</v>
      </c>
      <c r="AJ114" s="41">
        <f>P114/'1. Väestöennuste'!R114*1000</f>
        <v>5710.1884242980914</v>
      </c>
    </row>
    <row r="115" spans="1:36" x14ac:dyDescent="0.2">
      <c r="A115" s="30">
        <v>287</v>
      </c>
      <c r="B115" s="31" t="s">
        <v>429</v>
      </c>
      <c r="C115" s="81">
        <v>24726</v>
      </c>
      <c r="D115" s="46">
        <v>20981</v>
      </c>
      <c r="E115" s="46">
        <v>19382</v>
      </c>
      <c r="F115" s="46">
        <v>27716</v>
      </c>
      <c r="G115" s="80">
        <v>26737</v>
      </c>
      <c r="H115" s="80">
        <v>29799</v>
      </c>
      <c r="I115" s="80">
        <v>30848.401800000003</v>
      </c>
      <c r="J115" s="80">
        <v>32624.673000000003</v>
      </c>
      <c r="K115" s="80">
        <v>28902.458070000001</v>
      </c>
      <c r="L115" s="80">
        <f>K115-'Toim ja inv rahavirta'!L115</f>
        <v>28194.131995476106</v>
      </c>
      <c r="M115" s="80">
        <f>L115-'Toim ja inv rahavirta'!M115</f>
        <v>28179.06427122284</v>
      </c>
      <c r="N115" s="80">
        <f>M115-'Toim ja inv rahavirta'!N115</f>
        <v>28079.480362000286</v>
      </c>
      <c r="O115" s="80">
        <f>N115-'Toim ja inv rahavirta'!O115</f>
        <v>28289.678272199097</v>
      </c>
      <c r="P115" s="80">
        <f>O115-'Toim ja inv rahavirta'!P115</f>
        <v>28081.541069465438</v>
      </c>
      <c r="U115" s="34">
        <v>287</v>
      </c>
      <c r="V115" s="88" t="s">
        <v>429</v>
      </c>
      <c r="W115" s="41">
        <f>C115/'1. Väestöennuste'!E115*1000</f>
        <v>3639.9234506109228</v>
      </c>
      <c r="X115" s="41">
        <f>D115/'1. Väestöennuste'!F115*1000</f>
        <v>3118.9237401516275</v>
      </c>
      <c r="Y115" s="41">
        <f>E115/'1. Väestöennuste'!G115*1000</f>
        <v>2919.8553781259416</v>
      </c>
      <c r="Z115" s="41">
        <f>F115/'1. Väestöennuste'!H115*1000</f>
        <v>4201.9405700424504</v>
      </c>
      <c r="AA115" s="41">
        <f>G115/'1. Väestöennuste'!I115*1000</f>
        <v>4122.2633364168978</v>
      </c>
      <c r="AB115" s="41">
        <f>H115/'1. Väestöennuste'!J115*1000</f>
        <v>4653.1855090568397</v>
      </c>
      <c r="AC115" s="41">
        <f>I115/'1. Väestöennuste'!K115*1000</f>
        <v>4835.1726959247662</v>
      </c>
      <c r="AD115" s="41">
        <f>J115/'1. Väestöennuste'!L115*1000</f>
        <v>5226.6377763537339</v>
      </c>
      <c r="AE115" s="41">
        <f>K115/'1. Väestöennuste'!M115*1000</f>
        <v>4662.4387917406038</v>
      </c>
      <c r="AF115" s="41">
        <f>L115/'1. Väestöennuste'!N115*1000</f>
        <v>4615.1795703840407</v>
      </c>
      <c r="AG115" s="41">
        <f>M115/'1. Väestöennuste'!O115*1000</f>
        <v>4660.0073211878353</v>
      </c>
      <c r="AH115" s="41">
        <f>N115/'1. Väestöennuste'!P115*1000</f>
        <v>4689.2919776219587</v>
      </c>
      <c r="AI115" s="41">
        <f>O115/'1. Väestöennuste'!Q115*1000</f>
        <v>4769.7990679816376</v>
      </c>
      <c r="AJ115" s="41">
        <f>P115/'1. Väestöennuste'!R115*1000</f>
        <v>4780.6505055269727</v>
      </c>
    </row>
    <row r="116" spans="1:36" x14ac:dyDescent="0.2">
      <c r="A116" s="30">
        <v>288</v>
      </c>
      <c r="B116" s="31" t="s">
        <v>430</v>
      </c>
      <c r="C116" s="81">
        <v>20114</v>
      </c>
      <c r="D116" s="46">
        <v>20906</v>
      </c>
      <c r="E116" s="46">
        <v>22392</v>
      </c>
      <c r="F116" s="46">
        <v>21600</v>
      </c>
      <c r="G116" s="80">
        <v>24196</v>
      </c>
      <c r="H116" s="80">
        <v>24755</v>
      </c>
      <c r="I116" s="80">
        <v>24892.60471</v>
      </c>
      <c r="J116" s="80">
        <v>22065.8305</v>
      </c>
      <c r="K116" s="80">
        <v>17975.895499999999</v>
      </c>
      <c r="L116" s="80">
        <f>K116-'Toim ja inv rahavirta'!L116</f>
        <v>16963.429541130521</v>
      </c>
      <c r="M116" s="80">
        <f>L116-'Toim ja inv rahavirta'!M116</f>
        <v>15780.188149200494</v>
      </c>
      <c r="N116" s="80">
        <f>M116-'Toim ja inv rahavirta'!N116</f>
        <v>14708.406086117606</v>
      </c>
      <c r="O116" s="80">
        <f>N116-'Toim ja inv rahavirta'!O116</f>
        <v>13454.089727294881</v>
      </c>
      <c r="P116" s="80">
        <f>O116-'Toim ja inv rahavirta'!P116</f>
        <v>11784.515445730476</v>
      </c>
      <c r="U116" s="34">
        <v>288</v>
      </c>
      <c r="V116" s="88" t="s">
        <v>430</v>
      </c>
      <c r="W116" s="41">
        <f>C116/'1. Väestöennuste'!E116*1000</f>
        <v>3010.1765938341814</v>
      </c>
      <c r="X116" s="41">
        <f>D116/'1. Väestöennuste'!F116*1000</f>
        <v>3158.0060422960723</v>
      </c>
      <c r="Y116" s="41">
        <f>E116/'1. Väestöennuste'!G116*1000</f>
        <v>3428.5714285714284</v>
      </c>
      <c r="Z116" s="41">
        <f>F116/'1. Väestöennuste'!H116*1000</f>
        <v>3318.4821017053314</v>
      </c>
      <c r="AA116" s="41">
        <f>G116/'1. Väestöennuste'!I116*1000</f>
        <v>3764.156813939017</v>
      </c>
      <c r="AB116" s="41">
        <f>H116/'1. Väestöennuste'!J116*1000</f>
        <v>3858.3229426433918</v>
      </c>
      <c r="AC116" s="41">
        <f>I116/'1. Väestöennuste'!K116*1000</f>
        <v>3864.1112558211735</v>
      </c>
      <c r="AD116" s="41">
        <f>J116/'1. Väestöennuste'!L116*1000</f>
        <v>3445.0945355191257</v>
      </c>
      <c r="AE116" s="41">
        <f>K116/'1. Väestöennuste'!M116*1000</f>
        <v>2822.8479114321608</v>
      </c>
      <c r="AF116" s="41">
        <f>L116/'1. Väestöennuste'!N116*1000</f>
        <v>2725.4867514669859</v>
      </c>
      <c r="AG116" s="41">
        <f>M116/'1. Väestöennuste'!O116*1000</f>
        <v>2554.6686335114932</v>
      </c>
      <c r="AH116" s="41">
        <f>N116/'1. Väestöennuste'!P116*1000</f>
        <v>2399.0223595037687</v>
      </c>
      <c r="AI116" s="41">
        <f>O116/'1. Väestöennuste'!Q116*1000</f>
        <v>2211.3888440655624</v>
      </c>
      <c r="AJ116" s="41">
        <f>P116/'1. Väestöennuste'!R116*1000</f>
        <v>1952.3716775564076</v>
      </c>
    </row>
    <row r="117" spans="1:36" x14ac:dyDescent="0.2">
      <c r="A117" s="30">
        <v>290</v>
      </c>
      <c r="B117" s="31" t="s">
        <v>431</v>
      </c>
      <c r="C117" s="81">
        <v>20389</v>
      </c>
      <c r="D117" s="46">
        <v>26239</v>
      </c>
      <c r="E117" s="46">
        <v>36524</v>
      </c>
      <c r="F117" s="46">
        <v>36486</v>
      </c>
      <c r="G117" s="80">
        <v>40260</v>
      </c>
      <c r="H117" s="80">
        <v>39621</v>
      </c>
      <c r="I117" s="80">
        <v>37187.667999999998</v>
      </c>
      <c r="J117" s="80">
        <v>41605.002</v>
      </c>
      <c r="K117" s="80">
        <v>33283.336000000003</v>
      </c>
      <c r="L117" s="80">
        <f>K117-'Toim ja inv rahavirta'!L117</f>
        <v>32044.961224428855</v>
      </c>
      <c r="M117" s="80">
        <f>L117-'Toim ja inv rahavirta'!M117</f>
        <v>32503.700907740676</v>
      </c>
      <c r="N117" s="80">
        <f>M117-'Toim ja inv rahavirta'!N117</f>
        <v>32737.447439438085</v>
      </c>
      <c r="O117" s="80">
        <f>N117-'Toim ja inv rahavirta'!O117</f>
        <v>33454.938284467906</v>
      </c>
      <c r="P117" s="80">
        <f>O117-'Toim ja inv rahavirta'!P117</f>
        <v>33025.527063230482</v>
      </c>
      <c r="U117" s="34">
        <v>290</v>
      </c>
      <c r="V117" s="88" t="s">
        <v>431</v>
      </c>
      <c r="W117" s="41">
        <f>C117/'1. Väestöennuste'!E117*1000</f>
        <v>2315.3531682943449</v>
      </c>
      <c r="X117" s="41">
        <f>D117/'1. Väestöennuste'!F117*1000</f>
        <v>3034.4628194749625</v>
      </c>
      <c r="Y117" s="41">
        <f>E117/'1. Väestöennuste'!G117*1000</f>
        <v>4297.4467584421691</v>
      </c>
      <c r="Z117" s="41">
        <f>F117/'1. Väestöennuste'!H117*1000</f>
        <v>4380.5979109136752</v>
      </c>
      <c r="AA117" s="41">
        <f>G117/'1. Väestöennuste'!I117*1000</f>
        <v>4915.7509157509157</v>
      </c>
      <c r="AB117" s="41">
        <f>H117/'1. Väestöennuste'!J117*1000</f>
        <v>4926.7595125590651</v>
      </c>
      <c r="AC117" s="41">
        <f>I117/'1. Väestöennuste'!K117*1000</f>
        <v>4690.6745711402618</v>
      </c>
      <c r="AD117" s="41">
        <f>J117/'1. Väestöennuste'!L117*1000</f>
        <v>5364.9261121856871</v>
      </c>
      <c r="AE117" s="41">
        <f>K117/'1. Väestöennuste'!M117*1000</f>
        <v>4389.7831706673705</v>
      </c>
      <c r="AF117" s="41">
        <f>L117/'1. Väestöennuste'!N117*1000</f>
        <v>4285.8046307916084</v>
      </c>
      <c r="AG117" s="41">
        <f>M117/'1. Väestöennuste'!O117*1000</f>
        <v>4424.0779784593278</v>
      </c>
      <c r="AH117" s="41">
        <f>N117/'1. Väestöennuste'!P117*1000</f>
        <v>4536.157328452</v>
      </c>
      <c r="AI117" s="41">
        <f>O117/'1. Väestöennuste'!Q117*1000</f>
        <v>4718.6090669207206</v>
      </c>
      <c r="AJ117" s="41">
        <f>P117/'1. Väestöennuste'!R117*1000</f>
        <v>4740.2794693886153</v>
      </c>
    </row>
    <row r="118" spans="1:36" x14ac:dyDescent="0.2">
      <c r="A118" s="30">
        <v>291</v>
      </c>
      <c r="B118" s="31" t="s">
        <v>432</v>
      </c>
      <c r="C118" s="81">
        <v>2670</v>
      </c>
      <c r="D118" s="46">
        <v>1459</v>
      </c>
      <c r="E118" s="46">
        <v>812</v>
      </c>
      <c r="F118" s="46">
        <v>465</v>
      </c>
      <c r="G118" s="80">
        <v>2418</v>
      </c>
      <c r="H118" s="80">
        <v>3871</v>
      </c>
      <c r="I118" s="80">
        <v>6324</v>
      </c>
      <c r="J118" s="80">
        <v>6277</v>
      </c>
      <c r="K118" s="80">
        <v>5230</v>
      </c>
      <c r="L118" s="80">
        <f>K118-'Toim ja inv rahavirta'!L118</f>
        <v>4902.4593811259465</v>
      </c>
      <c r="M118" s="80">
        <f>L118-'Toim ja inv rahavirta'!M118</f>
        <v>5456.9702191041906</v>
      </c>
      <c r="N118" s="80">
        <f>M118-'Toim ja inv rahavirta'!N118</f>
        <v>6272.4209723774929</v>
      </c>
      <c r="O118" s="80">
        <f>N118-'Toim ja inv rahavirta'!O118</f>
        <v>7367.1189286773933</v>
      </c>
      <c r="P118" s="80">
        <f>O118-'Toim ja inv rahavirta'!P118</f>
        <v>8381.7136360941604</v>
      </c>
      <c r="U118" s="34">
        <v>291</v>
      </c>
      <c r="V118" s="88" t="s">
        <v>432</v>
      </c>
      <c r="W118" s="41">
        <f>C118/'1. Väestöennuste'!E118*1000</f>
        <v>1143.9588688946017</v>
      </c>
      <c r="X118" s="41">
        <f>D118/'1. Väestöennuste'!F118*1000</f>
        <v>638.23272090988621</v>
      </c>
      <c r="Y118" s="41">
        <f>E118/'1. Väestöennuste'!G118*1000</f>
        <v>360.56838365896982</v>
      </c>
      <c r="Z118" s="41">
        <f>F118/'1. Väestöennuste'!H118*1000</f>
        <v>207.77479892761394</v>
      </c>
      <c r="AA118" s="41">
        <f>G118/'1. Väestöennuste'!I118*1000</f>
        <v>1096.1015412511333</v>
      </c>
      <c r="AB118" s="41">
        <f>H118/'1. Väestöennuste'!J118*1000</f>
        <v>1791.3003239241093</v>
      </c>
      <c r="AC118" s="41">
        <f>I118/'1. Väestöennuste'!K118*1000</f>
        <v>2930.4911955514362</v>
      </c>
      <c r="AD118" s="41">
        <f>J118/'1. Väestöennuste'!L118*1000</f>
        <v>2962.2463426144409</v>
      </c>
      <c r="AE118" s="41">
        <f>K118/'1. Väestöennuste'!M118*1000</f>
        <v>2500</v>
      </c>
      <c r="AF118" s="41">
        <f>L118/'1. Väestöennuste'!N118*1000</f>
        <v>2400.8126254289646</v>
      </c>
      <c r="AG118" s="41">
        <f>M118/'1. Väestöennuste'!O118*1000</f>
        <v>2708.1738060070425</v>
      </c>
      <c r="AH118" s="41">
        <f>N118/'1. Väestöennuste'!P118*1000</f>
        <v>3153.5550389027117</v>
      </c>
      <c r="AI118" s="41">
        <f>O118/'1. Väestöennuste'!Q118*1000</f>
        <v>3745.3578691801695</v>
      </c>
      <c r="AJ118" s="41">
        <f>P118/'1. Väestöennuste'!R118*1000</f>
        <v>4307.1498643854884</v>
      </c>
    </row>
    <row r="119" spans="1:36" x14ac:dyDescent="0.2">
      <c r="A119" s="30">
        <v>297</v>
      </c>
      <c r="B119" s="31" t="s">
        <v>433</v>
      </c>
      <c r="C119" s="81">
        <v>294885</v>
      </c>
      <c r="D119" s="46">
        <v>314432</v>
      </c>
      <c r="E119" s="46">
        <v>329808</v>
      </c>
      <c r="F119" s="46">
        <v>343027</v>
      </c>
      <c r="G119" s="80">
        <v>396294</v>
      </c>
      <c r="H119" s="80">
        <v>459505</v>
      </c>
      <c r="I119" s="80">
        <v>436608.18360999995</v>
      </c>
      <c r="J119" s="80">
        <v>453004.95521999995</v>
      </c>
      <c r="K119" s="80">
        <v>542477.71961000003</v>
      </c>
      <c r="L119" s="80">
        <f>K119-'Toim ja inv rahavirta'!L119</f>
        <v>575753.97816818766</v>
      </c>
      <c r="M119" s="80">
        <f>L119-'Toim ja inv rahavirta'!M119</f>
        <v>636881.62857867044</v>
      </c>
      <c r="N119" s="80">
        <f>M119-'Toim ja inv rahavirta'!N119</f>
        <v>694804.58934884251</v>
      </c>
      <c r="O119" s="80">
        <f>N119-'Toim ja inv rahavirta'!O119</f>
        <v>752496.76920182491</v>
      </c>
      <c r="P119" s="80">
        <f>O119-'Toim ja inv rahavirta'!P119</f>
        <v>806185.40140954533</v>
      </c>
      <c r="U119" s="34">
        <v>297</v>
      </c>
      <c r="V119" s="88" t="s">
        <v>433</v>
      </c>
      <c r="W119" s="41">
        <f>C119/'1. Väestöennuste'!E119*1000</f>
        <v>2522.0875633975079</v>
      </c>
      <c r="X119" s="41">
        <f>D119/'1. Väestöennuste'!F119*1000</f>
        <v>2670.5622558179039</v>
      </c>
      <c r="Y119" s="41">
        <f>E119/'1. Väestöennuste'!G119*1000</f>
        <v>2790.041367408573</v>
      </c>
      <c r="Z119" s="41">
        <f>F119/'1. Väestöennuste'!H119*1000</f>
        <v>2890.7419267848718</v>
      </c>
      <c r="AA119" s="41">
        <f>G119/'1. Väestöennuste'!I119*1000</f>
        <v>3322.3285994533958</v>
      </c>
      <c r="AB119" s="41">
        <f>H119/'1. Väestöennuste'!J119*1000</f>
        <v>3822.5189252142086</v>
      </c>
      <c r="AC119" s="41">
        <f>I119/'1. Väestöennuste'!K119*1000</f>
        <v>3592.2116749627698</v>
      </c>
      <c r="AD119" s="41">
        <f>J119/'1. Väestöennuste'!L119*1000</f>
        <v>3695.1641615413473</v>
      </c>
      <c r="AE119" s="41">
        <f>K119/'1. Väestöennuste'!M119*1000</f>
        <v>4374.0795478991467</v>
      </c>
      <c r="AF119" s="41">
        <f>L119/'1. Väestöennuste'!N119*1000</f>
        <v>4689.5814077051764</v>
      </c>
      <c r="AG119" s="41">
        <f>M119/'1. Väestöennuste'!O119*1000</f>
        <v>5165.9295825012814</v>
      </c>
      <c r="AH119" s="41">
        <f>N119/'1. Väestöennuste'!P119*1000</f>
        <v>5613.7206356102288</v>
      </c>
      <c r="AI119" s="41">
        <f>O119/'1. Väestöennuste'!Q119*1000</f>
        <v>6057.5308448526866</v>
      </c>
      <c r="AJ119" s="41">
        <f>P119/'1. Väestöennuste'!R119*1000</f>
        <v>6467.5405845885334</v>
      </c>
    </row>
    <row r="120" spans="1:36" x14ac:dyDescent="0.2">
      <c r="A120" s="30">
        <v>300</v>
      </c>
      <c r="B120" s="31" t="s">
        <v>434</v>
      </c>
      <c r="C120" s="81">
        <v>7482</v>
      </c>
      <c r="D120" s="46">
        <v>8010</v>
      </c>
      <c r="E120" s="46">
        <v>6979</v>
      </c>
      <c r="F120" s="46">
        <v>6874</v>
      </c>
      <c r="G120" s="80">
        <v>8096</v>
      </c>
      <c r="H120" s="80">
        <v>8998</v>
      </c>
      <c r="I120" s="80">
        <v>9660.1479999999992</v>
      </c>
      <c r="J120" s="80">
        <v>8822.2620000000006</v>
      </c>
      <c r="K120" s="80">
        <v>8303.7781500000001</v>
      </c>
      <c r="L120" s="80">
        <f>K120-'Toim ja inv rahavirta'!L120</f>
        <v>8097.1712353906842</v>
      </c>
      <c r="M120" s="80">
        <f>L120-'Toim ja inv rahavirta'!M120</f>
        <v>8828.8055983011072</v>
      </c>
      <c r="N120" s="80">
        <f>M120-'Toim ja inv rahavirta'!N120</f>
        <v>9772.1986038732357</v>
      </c>
      <c r="O120" s="80">
        <f>N120-'Toim ja inv rahavirta'!O120</f>
        <v>11198.48560424041</v>
      </c>
      <c r="P120" s="80">
        <f>O120-'Toim ja inv rahavirta'!P120</f>
        <v>12499.578797885202</v>
      </c>
      <c r="U120" s="34">
        <v>300</v>
      </c>
      <c r="V120" s="88" t="s">
        <v>434</v>
      </c>
      <c r="W120" s="41">
        <f>C120/'1. Väestöennuste'!E120*1000</f>
        <v>2013.9973082099596</v>
      </c>
      <c r="X120" s="41">
        <f>D120/'1. Väestöennuste'!F120*1000</f>
        <v>2170.7317073170734</v>
      </c>
      <c r="Y120" s="41">
        <f>E120/'1. Väestöennuste'!G120*1000</f>
        <v>1918.8891943909816</v>
      </c>
      <c r="Z120" s="41">
        <f>F120/'1. Väestöennuste'!H120*1000</f>
        <v>1924.4120940649495</v>
      </c>
      <c r="AA120" s="41">
        <f>G120/'1. Väestöennuste'!I120*1000</f>
        <v>2279.9211489721206</v>
      </c>
      <c r="AB120" s="41">
        <f>H120/'1. Väestöennuste'!J120*1000</f>
        <v>2546.1233729485002</v>
      </c>
      <c r="AC120" s="41">
        <f>I120/'1. Väestöennuste'!K120*1000</f>
        <v>2738.1371882086169</v>
      </c>
      <c r="AD120" s="41">
        <f>J120/'1. Väestöennuste'!L120*1000</f>
        <v>2566.8495781204542</v>
      </c>
      <c r="AE120" s="41">
        <f>K120/'1. Väestöennuste'!M120*1000</f>
        <v>2456.012466725821</v>
      </c>
      <c r="AF120" s="41">
        <f>L120/'1. Väestöennuste'!N120*1000</f>
        <v>2390.6617169739252</v>
      </c>
      <c r="AG120" s="41">
        <f>M120/'1. Väestöennuste'!O120*1000</f>
        <v>2632.3212875077838</v>
      </c>
      <c r="AH120" s="41">
        <f>N120/'1. Väestöennuste'!P120*1000</f>
        <v>2944.3201578406856</v>
      </c>
      <c r="AI120" s="41">
        <f>O120/'1. Väestöennuste'!Q120*1000</f>
        <v>3406.9016137025892</v>
      </c>
      <c r="AJ120" s="41">
        <f>P120/'1. Väestöennuste'!R120*1000</f>
        <v>3837.7583045395154</v>
      </c>
    </row>
    <row r="121" spans="1:36" x14ac:dyDescent="0.2">
      <c r="A121" s="30">
        <v>301</v>
      </c>
      <c r="B121" s="31" t="s">
        <v>435</v>
      </c>
      <c r="C121" s="81">
        <v>71620</v>
      </c>
      <c r="D121" s="46">
        <v>80719</v>
      </c>
      <c r="E121" s="46">
        <v>80288</v>
      </c>
      <c r="F121" s="46">
        <v>81362</v>
      </c>
      <c r="G121" s="80">
        <v>81568</v>
      </c>
      <c r="H121" s="80">
        <v>76737</v>
      </c>
      <c r="I121" s="80">
        <v>81851.728699999992</v>
      </c>
      <c r="J121" s="80">
        <v>115307.3961</v>
      </c>
      <c r="K121" s="80">
        <v>120589.40102</v>
      </c>
      <c r="L121" s="80">
        <f>K121-'Toim ja inv rahavirta'!L121</f>
        <v>133770.50949541762</v>
      </c>
      <c r="M121" s="80">
        <f>L121-'Toim ja inv rahavirta'!M121</f>
        <v>148235.58075405483</v>
      </c>
      <c r="N121" s="80">
        <f>M121-'Toim ja inv rahavirta'!N121</f>
        <v>163582.89268626444</v>
      </c>
      <c r="O121" s="80">
        <f>N121-'Toim ja inv rahavirta'!O121</f>
        <v>178929.65259042248</v>
      </c>
      <c r="P121" s="80">
        <f>O121-'Toim ja inv rahavirta'!P121</f>
        <v>192375.69750012571</v>
      </c>
      <c r="U121" s="34">
        <v>301</v>
      </c>
      <c r="V121" s="88" t="s">
        <v>435</v>
      </c>
      <c r="W121" s="41">
        <f>C121/'1. Väestöennuste'!E121*1000</f>
        <v>3295.2976902548999</v>
      </c>
      <c r="X121" s="41">
        <f>D121/'1. Väestöennuste'!F121*1000</f>
        <v>3754.1974791870143</v>
      </c>
      <c r="Y121" s="41">
        <f>E121/'1. Väestöennuste'!G121*1000</f>
        <v>3786.6339668914775</v>
      </c>
      <c r="Z121" s="41">
        <f>F121/'1. Väestöennuste'!H121*1000</f>
        <v>3883.2569683085144</v>
      </c>
      <c r="AA121" s="41">
        <f>G121/'1. Väestöennuste'!I121*1000</f>
        <v>3944.6755005319665</v>
      </c>
      <c r="AB121" s="41">
        <f>H121/'1. Väestöennuste'!J121*1000</f>
        <v>3751.3199061400078</v>
      </c>
      <c r="AC121" s="41">
        <f>I121/'1. Väestöennuste'!K121*1000</f>
        <v>4052.6676585631531</v>
      </c>
      <c r="AD121" s="41">
        <f>J121/'1. Väestöennuste'!L121*1000</f>
        <v>5797.2547058823529</v>
      </c>
      <c r="AE121" s="41">
        <f>K121/'1. Väestöennuste'!M121*1000</f>
        <v>6103.0113376183008</v>
      </c>
      <c r="AF121" s="41">
        <f>L121/'1. Väestöennuste'!N121*1000</f>
        <v>6861.7855601650481</v>
      </c>
      <c r="AG121" s="41">
        <f>M121/'1. Väestöennuste'!O121*1000</f>
        <v>7692.9566014870943</v>
      </c>
      <c r="AH121" s="41">
        <f>N121/'1. Väestöennuste'!P121*1000</f>
        <v>8587.4792737815351</v>
      </c>
      <c r="AI121" s="41">
        <f>O121/'1. Väestöennuste'!Q121*1000</f>
        <v>9500.3532223862421</v>
      </c>
      <c r="AJ121" s="41">
        <f>P121/'1. Väestöennuste'!R121*1000</f>
        <v>10330.560492972059</v>
      </c>
    </row>
    <row r="122" spans="1:36" x14ac:dyDescent="0.2">
      <c r="A122" s="30">
        <v>304</v>
      </c>
      <c r="B122" s="31" t="s">
        <v>436</v>
      </c>
      <c r="C122" s="81">
        <v>1476</v>
      </c>
      <c r="D122" s="46">
        <v>1884</v>
      </c>
      <c r="E122" s="46">
        <v>1999</v>
      </c>
      <c r="F122" s="46">
        <v>1656</v>
      </c>
      <c r="G122" s="80">
        <v>2084</v>
      </c>
      <c r="H122" s="80">
        <v>2505</v>
      </c>
      <c r="I122" s="80">
        <v>2055.5709999999999</v>
      </c>
      <c r="J122" s="80">
        <v>2398.8760000000002</v>
      </c>
      <c r="K122" s="80">
        <v>2492.2719999999999</v>
      </c>
      <c r="L122" s="80">
        <f>K122-'Toim ja inv rahavirta'!L122</f>
        <v>2747.8175241084546</v>
      </c>
      <c r="M122" s="80">
        <f>L122-'Toim ja inv rahavirta'!M122</f>
        <v>3358.4872407090711</v>
      </c>
      <c r="N122" s="80">
        <f>M122-'Toim ja inv rahavirta'!N122</f>
        <v>3990.2946699312979</v>
      </c>
      <c r="O122" s="80">
        <f>N122-'Toim ja inv rahavirta'!O122</f>
        <v>4872.0137117039321</v>
      </c>
      <c r="P122" s="80">
        <f>O122-'Toim ja inv rahavirta'!P122</f>
        <v>5792.4020596132623</v>
      </c>
      <c r="U122" s="34">
        <v>304</v>
      </c>
      <c r="V122" s="88" t="s">
        <v>436</v>
      </c>
      <c r="W122" s="41">
        <f>C122/'1. Väestöennuste'!E122*1000</f>
        <v>1649.1620111731843</v>
      </c>
      <c r="X122" s="41">
        <f>D122/'1. Väestöennuste'!F122*1000</f>
        <v>2074.8898678414098</v>
      </c>
      <c r="Y122" s="41">
        <f>E122/'1. Väestöennuste'!G122*1000</f>
        <v>2165.7638136511378</v>
      </c>
      <c r="Z122" s="41">
        <f>F122/'1. Väestöennuste'!H122*1000</f>
        <v>1788.3369330453565</v>
      </c>
      <c r="AA122" s="41">
        <f>G122/'1. Väestöennuste'!I122*1000</f>
        <v>2195.9957850368805</v>
      </c>
      <c r="AB122" s="41">
        <f>H122/'1. Väestöennuste'!J122*1000</f>
        <v>2603.9501039501038</v>
      </c>
      <c r="AC122" s="41">
        <f>I122/'1. Väestöennuste'!K122*1000</f>
        <v>2116.9629248197734</v>
      </c>
      <c r="AD122" s="41">
        <f>J122/'1. Väestöennuste'!L122*1000</f>
        <v>2525.1326315789474</v>
      </c>
      <c r="AE122" s="41">
        <f>K122/'1. Väestöennuste'!M122*1000</f>
        <v>2626.2086406743942</v>
      </c>
      <c r="AF122" s="41">
        <f>L122/'1. Väestöennuste'!N122*1000</f>
        <v>2680.7975844960533</v>
      </c>
      <c r="AG122" s="41">
        <f>M122/'1. Väestöennuste'!O122*1000</f>
        <v>3238.6569341456811</v>
      </c>
      <c r="AH122" s="41">
        <f>N122/'1. Väestöennuste'!P122*1000</f>
        <v>3800.2806380298075</v>
      </c>
      <c r="AI122" s="41">
        <f>O122/'1. Väestöennuste'!Q122*1000</f>
        <v>4578.9602553608383</v>
      </c>
      <c r="AJ122" s="41">
        <f>P122/'1. Väestöennuste'!R122*1000</f>
        <v>5388.2809856867552</v>
      </c>
    </row>
    <row r="123" spans="1:36" x14ac:dyDescent="0.2">
      <c r="A123" s="30">
        <v>305</v>
      </c>
      <c r="B123" s="31" t="s">
        <v>437</v>
      </c>
      <c r="C123" s="81">
        <v>29369</v>
      </c>
      <c r="D123" s="46">
        <v>32260</v>
      </c>
      <c r="E123" s="46">
        <v>28066</v>
      </c>
      <c r="F123" s="46">
        <v>34637</v>
      </c>
      <c r="G123" s="80">
        <v>29381</v>
      </c>
      <c r="H123" s="80">
        <v>31076</v>
      </c>
      <c r="I123" s="80">
        <v>36746.041540000006</v>
      </c>
      <c r="J123" s="80">
        <v>42359.317960000008</v>
      </c>
      <c r="K123" s="80">
        <v>64889.787819999998</v>
      </c>
      <c r="L123" s="80">
        <f>K123-'Toim ja inv rahavirta'!L123</f>
        <v>79903.887084157774</v>
      </c>
      <c r="M123" s="80">
        <f>L123-'Toim ja inv rahavirta'!M123</f>
        <v>95721.222016890693</v>
      </c>
      <c r="N123" s="80">
        <f>M123-'Toim ja inv rahavirta'!N123</f>
        <v>112674.76567169081</v>
      </c>
      <c r="O123" s="80">
        <f>N123-'Toim ja inv rahavirta'!O123</f>
        <v>130607.534028136</v>
      </c>
      <c r="P123" s="80">
        <f>O123-'Toim ja inv rahavirta'!P123</f>
        <v>147522.19233600248</v>
      </c>
      <c r="U123" s="34">
        <v>305</v>
      </c>
      <c r="V123" s="88" t="s">
        <v>437</v>
      </c>
      <c r="W123" s="41">
        <f>C123/'1. Väestöennuste'!E123*1000</f>
        <v>1872.0678225395206</v>
      </c>
      <c r="X123" s="41">
        <f>D123/'1. Väestöennuste'!F123*1000</f>
        <v>2076.8686023305222</v>
      </c>
      <c r="Y123" s="41">
        <f>E123/'1. Väestöennuste'!G123*1000</f>
        <v>1824.1258286754191</v>
      </c>
      <c r="Z123" s="41">
        <f>F123/'1. Väestöennuste'!H123*1000</f>
        <v>2277.7010587229565</v>
      </c>
      <c r="AA123" s="41">
        <f>G123/'1. Väestöennuste'!I123*1000</f>
        <v>1941.3902471256772</v>
      </c>
      <c r="AB123" s="41">
        <f>H123/'1. Väestöennuste'!J123*1000</f>
        <v>2042.726615394728</v>
      </c>
      <c r="AC123" s="41">
        <f>I123/'1. Väestöennuste'!K123*1000</f>
        <v>2423.0821984833501</v>
      </c>
      <c r="AD123" s="41">
        <f>J123/'1. Väestöennuste'!L123*1000</f>
        <v>2796.7329961706064</v>
      </c>
      <c r="AE123" s="41">
        <f>K123/'1. Väestöennuste'!M123*1000</f>
        <v>4320.5132046074968</v>
      </c>
      <c r="AF123" s="41">
        <f>L123/'1. Väestöennuste'!N123*1000</f>
        <v>5407.680501093515</v>
      </c>
      <c r="AG123" s="41">
        <f>M123/'1. Väestöennuste'!O123*1000</f>
        <v>6523.6299336802758</v>
      </c>
      <c r="AH123" s="41">
        <f>N123/'1. Väestöennuste'!P123*1000</f>
        <v>7731.2176253390153</v>
      </c>
      <c r="AI123" s="41">
        <f>O123/'1. Väestöennuste'!Q123*1000</f>
        <v>9023.5963816592521</v>
      </c>
      <c r="AJ123" s="41">
        <f>P123/'1. Väestöennuste'!R123*1000</f>
        <v>10263.127336580108</v>
      </c>
    </row>
    <row r="124" spans="1:36" x14ac:dyDescent="0.2">
      <c r="A124" s="30">
        <v>309</v>
      </c>
      <c r="B124" s="31" t="s">
        <v>438</v>
      </c>
      <c r="C124" s="81">
        <v>14236</v>
      </c>
      <c r="D124" s="46">
        <v>13537</v>
      </c>
      <c r="E124" s="46">
        <v>12758</v>
      </c>
      <c r="F124" s="46">
        <v>11637</v>
      </c>
      <c r="G124" s="80">
        <v>15875</v>
      </c>
      <c r="H124" s="80">
        <v>13352</v>
      </c>
      <c r="I124" s="80">
        <v>12322.79016</v>
      </c>
      <c r="J124" s="80">
        <v>12389.5578</v>
      </c>
      <c r="K124" s="80">
        <v>20554.91057</v>
      </c>
      <c r="L124" s="80">
        <f>K124-'Toim ja inv rahavirta'!L124</f>
        <v>22781.297428718695</v>
      </c>
      <c r="M124" s="80">
        <f>L124-'Toim ja inv rahavirta'!M124</f>
        <v>26072.876485080735</v>
      </c>
      <c r="N124" s="80">
        <f>M124-'Toim ja inv rahavirta'!N124</f>
        <v>29067.213350420407</v>
      </c>
      <c r="O124" s="80">
        <f>N124-'Toim ja inv rahavirta'!O124</f>
        <v>32256.600790954122</v>
      </c>
      <c r="P124" s="80">
        <f>O124-'Toim ja inv rahavirta'!P124</f>
        <v>34376.699769236286</v>
      </c>
      <c r="U124" s="34">
        <v>309</v>
      </c>
      <c r="V124" s="88" t="s">
        <v>438</v>
      </c>
      <c r="W124" s="41">
        <f>C124/'1. Väestöennuste'!E124*1000</f>
        <v>1994.1168230844658</v>
      </c>
      <c r="X124" s="41">
        <f>D124/'1. Väestöennuste'!F124*1000</f>
        <v>1909.039627697081</v>
      </c>
      <c r="Y124" s="41">
        <f>E124/'1. Väestöennuste'!G124*1000</f>
        <v>1821.7906611452236</v>
      </c>
      <c r="Z124" s="41">
        <f>F124/'1. Väestöennuste'!H124*1000</f>
        <v>1710.5688666764663</v>
      </c>
      <c r="AA124" s="41">
        <f>G124/'1. Väestöennuste'!I124*1000</f>
        <v>2373.6543062200958</v>
      </c>
      <c r="AB124" s="41">
        <f>H124/'1. Väestöennuste'!J124*1000</f>
        <v>2037.8510378510377</v>
      </c>
      <c r="AC124" s="41">
        <f>I124/'1. Väestöennuste'!K124*1000</f>
        <v>1894.0655026129728</v>
      </c>
      <c r="AD124" s="41">
        <f>J124/'1. Väestöennuste'!L124*1000</f>
        <v>1918.7792783026175</v>
      </c>
      <c r="AE124" s="41">
        <f>K124/'1. Väestöennuste'!M124*1000</f>
        <v>3207.1946590731782</v>
      </c>
      <c r="AF124" s="41">
        <f>L124/'1. Väestöennuste'!N124*1000</f>
        <v>3707.893461705517</v>
      </c>
      <c r="AG124" s="41">
        <f>M124/'1. Väestöennuste'!O124*1000</f>
        <v>4310.278803947881</v>
      </c>
      <c r="AH124" s="41">
        <f>N124/'1. Väestöennuste'!P124*1000</f>
        <v>4882.7840333311615</v>
      </c>
      <c r="AI124" s="41">
        <f>O124/'1. Väestöennuste'!Q124*1000</f>
        <v>5501.722802482368</v>
      </c>
      <c r="AJ124" s="41">
        <f>P124/'1. Väestöennuste'!R124*1000</f>
        <v>5955.7691907893777</v>
      </c>
    </row>
    <row r="125" spans="1:36" x14ac:dyDescent="0.2">
      <c r="A125" s="30">
        <v>312</v>
      </c>
      <c r="B125" s="31" t="s">
        <v>439</v>
      </c>
      <c r="C125" s="81">
        <v>10152</v>
      </c>
      <c r="D125" s="46">
        <v>10122</v>
      </c>
      <c r="E125" s="46">
        <v>10272</v>
      </c>
      <c r="F125" s="46">
        <v>11192</v>
      </c>
      <c r="G125" s="80">
        <v>10952</v>
      </c>
      <c r="H125" s="80">
        <v>13052</v>
      </c>
      <c r="I125" s="80">
        <v>11500</v>
      </c>
      <c r="J125" s="80">
        <v>10700</v>
      </c>
      <c r="K125" s="80">
        <v>10200</v>
      </c>
      <c r="L125" s="80">
        <f>K125-'Toim ja inv rahavirta'!L125</f>
        <v>10216.036454111438</v>
      </c>
      <c r="M125" s="80">
        <f>L125-'Toim ja inv rahavirta'!M125</f>
        <v>10304.381694523476</v>
      </c>
      <c r="N125" s="80">
        <f>M125-'Toim ja inv rahavirta'!N125</f>
        <v>10448.11603358245</v>
      </c>
      <c r="O125" s="80">
        <f>N125-'Toim ja inv rahavirta'!O125</f>
        <v>10581.815699053901</v>
      </c>
      <c r="P125" s="80">
        <f>O125-'Toim ja inv rahavirta'!P125</f>
        <v>10675.073401980766</v>
      </c>
      <c r="U125" s="34">
        <v>312</v>
      </c>
      <c r="V125" s="88" t="s">
        <v>439</v>
      </c>
      <c r="W125" s="41">
        <f>C125/'1. Väestöennuste'!E125*1000</f>
        <v>7361.8564176939808</v>
      </c>
      <c r="X125" s="41">
        <f>D125/'1. Väestöennuste'!F125*1000</f>
        <v>7361.454545454546</v>
      </c>
      <c r="Y125" s="41">
        <f>E125/'1. Väestöennuste'!G125*1000</f>
        <v>7597.6331360946742</v>
      </c>
      <c r="Z125" s="41">
        <f>F125/'1. Väestöennuste'!H125*1000</f>
        <v>8333.5815338793745</v>
      </c>
      <c r="AA125" s="41">
        <f>G125/'1. Väestöennuste'!I125*1000</f>
        <v>8341.203351104341</v>
      </c>
      <c r="AB125" s="41">
        <f>H125/'1. Väestöennuste'!J125*1000</f>
        <v>10133.540372670808</v>
      </c>
      <c r="AC125" s="41">
        <f>I125/'1. Väestöennuste'!K125*1000</f>
        <v>9334.4155844155848</v>
      </c>
      <c r="AD125" s="41">
        <f>J125/'1. Väestöennuste'!L125*1000</f>
        <v>8946.4882943143821</v>
      </c>
      <c r="AE125" s="41">
        <f>K125/'1. Väestöennuste'!M125*1000</f>
        <v>8688.2453151618392</v>
      </c>
      <c r="AF125" s="41">
        <f>L125/'1. Väestöennuste'!N125*1000</f>
        <v>8520.4640985082879</v>
      </c>
      <c r="AG125" s="41">
        <f>M125/'1. Väestöennuste'!O125*1000</f>
        <v>8739.9335831411991</v>
      </c>
      <c r="AH125" s="41">
        <f>N125/'1. Väestöennuste'!P125*1000</f>
        <v>8999.2386163500851</v>
      </c>
      <c r="AI125" s="41">
        <f>O125/'1. Väestöennuste'!Q125*1000</f>
        <v>9257.9314952352579</v>
      </c>
      <c r="AJ125" s="41">
        <f>P125/'1. Väestöennuste'!R125*1000</f>
        <v>9497.3962651074435</v>
      </c>
    </row>
    <row r="126" spans="1:36" x14ac:dyDescent="0.2">
      <c r="A126" s="30">
        <v>316</v>
      </c>
      <c r="B126" s="31" t="s">
        <v>440</v>
      </c>
      <c r="C126" s="81">
        <v>16087</v>
      </c>
      <c r="D126" s="46">
        <v>9488</v>
      </c>
      <c r="E126" s="46">
        <v>8890</v>
      </c>
      <c r="F126" s="46">
        <v>8292</v>
      </c>
      <c r="G126" s="80">
        <v>17694</v>
      </c>
      <c r="H126" s="80">
        <v>16229</v>
      </c>
      <c r="I126" s="80">
        <v>19664.052</v>
      </c>
      <c r="J126" s="80">
        <v>21649.129000000001</v>
      </c>
      <c r="K126" s="80">
        <v>21999.205999999998</v>
      </c>
      <c r="L126" s="80">
        <f>K126-'Toim ja inv rahavirta'!L126</f>
        <v>23340.516702646681</v>
      </c>
      <c r="M126" s="80">
        <f>L126-'Toim ja inv rahavirta'!M126</f>
        <v>26929.17710578597</v>
      </c>
      <c r="N126" s="80">
        <f>M126-'Toim ja inv rahavirta'!N126</f>
        <v>31744.950529643465</v>
      </c>
      <c r="O126" s="80">
        <f>N126-'Toim ja inv rahavirta'!O126</f>
        <v>36683.08692164503</v>
      </c>
      <c r="P126" s="80">
        <f>O126-'Toim ja inv rahavirta'!P126</f>
        <v>41559.365767716074</v>
      </c>
      <c r="U126" s="34">
        <v>316</v>
      </c>
      <c r="V126" s="88" t="s">
        <v>440</v>
      </c>
      <c r="W126" s="41">
        <f>C126/'1. Väestöennuste'!E126*1000</f>
        <v>3494.1355343179844</v>
      </c>
      <c r="X126" s="41">
        <f>D126/'1. Väestöennuste'!F126*1000</f>
        <v>2089.8678414096917</v>
      </c>
      <c r="Y126" s="41">
        <f>E126/'1. Väestöennuste'!G126*1000</f>
        <v>1972.0496894409937</v>
      </c>
      <c r="Z126" s="41">
        <f>F126/'1. Väestöennuste'!H126*1000</f>
        <v>1862.9521455852619</v>
      </c>
      <c r="AA126" s="41">
        <f>G126/'1. Väestöennuste'!I126*1000</f>
        <v>4050.8241758241761</v>
      </c>
      <c r="AB126" s="41">
        <f>H126/'1. Väestöennuste'!J126*1000</f>
        <v>3751.5025427646788</v>
      </c>
      <c r="AC126" s="41">
        <f>I126/'1. Väestöennuste'!K126*1000</f>
        <v>4632.2855123674908</v>
      </c>
      <c r="AD126" s="41">
        <f>J126/'1. Väestöennuste'!L126*1000</f>
        <v>5157.010242972844</v>
      </c>
      <c r="AE126" s="41">
        <f>K126/'1. Väestöennuste'!M126*1000</f>
        <v>5347.4005833738447</v>
      </c>
      <c r="AF126" s="41">
        <f>L126/'1. Väestöennuste'!N126*1000</f>
        <v>5650.0887684935078</v>
      </c>
      <c r="AG126" s="41">
        <f>M126/'1. Väestöennuste'!O126*1000</f>
        <v>6582.5414582708308</v>
      </c>
      <c r="AH126" s="41">
        <f>N126/'1. Väestöennuste'!P126*1000</f>
        <v>7828.5944586050473</v>
      </c>
      <c r="AI126" s="41">
        <f>O126/'1. Väestöennuste'!Q126*1000</f>
        <v>9116.0752787388246</v>
      </c>
      <c r="AJ126" s="41">
        <f>P126/'1. Väestöennuste'!R126*1000</f>
        <v>10408.055539122483</v>
      </c>
    </row>
    <row r="127" spans="1:36" x14ac:dyDescent="0.2">
      <c r="A127" s="30">
        <v>317</v>
      </c>
      <c r="B127" s="31" t="s">
        <v>441</v>
      </c>
      <c r="C127" s="81">
        <v>14669</v>
      </c>
      <c r="D127" s="46">
        <v>11828</v>
      </c>
      <c r="E127" s="46">
        <v>12908</v>
      </c>
      <c r="F127" s="46">
        <v>12490</v>
      </c>
      <c r="G127" s="80">
        <v>12445</v>
      </c>
      <c r="H127" s="80">
        <v>11774</v>
      </c>
      <c r="I127" s="80">
        <v>10335.412</v>
      </c>
      <c r="J127" s="80">
        <v>9396.8359999999993</v>
      </c>
      <c r="K127" s="80">
        <v>9343.6367100000007</v>
      </c>
      <c r="L127" s="80">
        <f>K127-'Toim ja inv rahavirta'!L127</f>
        <v>9267.2063499519918</v>
      </c>
      <c r="M127" s="80">
        <f>L127-'Toim ja inv rahavirta'!M127</f>
        <v>9664.8196219691399</v>
      </c>
      <c r="N127" s="80">
        <f>M127-'Toim ja inv rahavirta'!N127</f>
        <v>10376.417911493874</v>
      </c>
      <c r="O127" s="80">
        <f>N127-'Toim ja inv rahavirta'!O127</f>
        <v>11344.664671153616</v>
      </c>
      <c r="P127" s="80">
        <f>O127-'Toim ja inv rahavirta'!P127</f>
        <v>12331.167912848565</v>
      </c>
      <c r="U127" s="34">
        <v>317</v>
      </c>
      <c r="V127" s="88" t="s">
        <v>441</v>
      </c>
      <c r="W127" s="41">
        <f>C127/'1. Väestöennuste'!E127*1000</f>
        <v>5518.8111361926267</v>
      </c>
      <c r="X127" s="41">
        <f>D127/'1. Väestöennuste'!F127*1000</f>
        <v>4454.9905838041432</v>
      </c>
      <c r="Y127" s="41">
        <f>E127/'1. Väestöennuste'!G127*1000</f>
        <v>4943.6997319034854</v>
      </c>
      <c r="Z127" s="41">
        <f>F127/'1. Väestöennuste'!H127*1000</f>
        <v>4779.9464217374662</v>
      </c>
      <c r="AA127" s="41">
        <f>G127/'1. Väestöennuste'!I127*1000</f>
        <v>4831.1335403726707</v>
      </c>
      <c r="AB127" s="41">
        <f>H127/'1. Väestöennuste'!J127*1000</f>
        <v>4639.0858944050433</v>
      </c>
      <c r="AC127" s="41">
        <f>I127/'1. Väestöennuste'!K127*1000</f>
        <v>4080.3047769443347</v>
      </c>
      <c r="AD127" s="41">
        <f>J127/'1. Väestöennuste'!L127*1000</f>
        <v>3798.2360549717055</v>
      </c>
      <c r="AE127" s="41">
        <f>K127/'1. Väestöennuste'!M127*1000</f>
        <v>3829.3593073770494</v>
      </c>
      <c r="AF127" s="41">
        <f>L127/'1. Väestöennuste'!N127*1000</f>
        <v>3829.4241115504096</v>
      </c>
      <c r="AG127" s="41">
        <f>M127/'1. Väestöennuste'!O127*1000</f>
        <v>4037.1009281408269</v>
      </c>
      <c r="AH127" s="41">
        <f>N127/'1. Väestöennuste'!P127*1000</f>
        <v>4380.0835422093187</v>
      </c>
      <c r="AI127" s="41">
        <f>O127/'1. Väestöennuste'!Q127*1000</f>
        <v>4846.0763225773662</v>
      </c>
      <c r="AJ127" s="41">
        <f>P127/'1. Väestöennuste'!R127*1000</f>
        <v>5324.3384770503299</v>
      </c>
    </row>
    <row r="128" spans="1:36" x14ac:dyDescent="0.2">
      <c r="A128" s="30">
        <v>320</v>
      </c>
      <c r="B128" s="31" t="s">
        <v>442</v>
      </c>
      <c r="C128" s="81">
        <v>32653</v>
      </c>
      <c r="D128" s="46">
        <v>32911</v>
      </c>
      <c r="E128" s="46">
        <v>34459</v>
      </c>
      <c r="F128" s="46">
        <v>32698</v>
      </c>
      <c r="G128" s="80">
        <v>34414</v>
      </c>
      <c r="H128" s="80">
        <v>40080</v>
      </c>
      <c r="I128" s="80">
        <v>38569.212</v>
      </c>
      <c r="J128" s="80">
        <v>32255.316999999995</v>
      </c>
      <c r="K128" s="80">
        <v>27491.421999999999</v>
      </c>
      <c r="L128" s="80">
        <f>K128-'Toim ja inv rahavirta'!L128</f>
        <v>26305.326076758978</v>
      </c>
      <c r="M128" s="80">
        <f>L128-'Toim ja inv rahavirta'!M128</f>
        <v>24305.526854899021</v>
      </c>
      <c r="N128" s="80">
        <f>M128-'Toim ja inv rahavirta'!N128</f>
        <v>23100.80561955606</v>
      </c>
      <c r="O128" s="80">
        <f>N128-'Toim ja inv rahavirta'!O128</f>
        <v>21980.281435388028</v>
      </c>
      <c r="P128" s="80">
        <f>O128-'Toim ja inv rahavirta'!P128</f>
        <v>19908.532553546305</v>
      </c>
      <c r="U128" s="34">
        <v>320</v>
      </c>
      <c r="V128" s="88" t="s">
        <v>442</v>
      </c>
      <c r="W128" s="41">
        <f>C128/'1. Väestöennuste'!E128*1000</f>
        <v>4204.609837754314</v>
      </c>
      <c r="X128" s="41">
        <f>D128/'1. Väestöennuste'!F128*1000</f>
        <v>4295.9143714919719</v>
      </c>
      <c r="Y128" s="41">
        <f>E128/'1. Väestöennuste'!G128*1000</f>
        <v>4573.7987788691262</v>
      </c>
      <c r="Z128" s="41">
        <f>F128/'1. Väestöennuste'!H128*1000</f>
        <v>4436.6350067842604</v>
      </c>
      <c r="AA128" s="41">
        <f>G128/'1. Väestöennuste'!I128*1000</f>
        <v>4731.0970580148469</v>
      </c>
      <c r="AB128" s="41">
        <f>H128/'1. Väestöennuste'!J128*1000</f>
        <v>5573.6337088026703</v>
      </c>
      <c r="AC128" s="41">
        <f>I128/'1. Väestöennuste'!K128*1000</f>
        <v>5428.460520760028</v>
      </c>
      <c r="AD128" s="41">
        <f>J128/'1. Väestöennuste'!L128*1000</f>
        <v>4610.5370211549453</v>
      </c>
      <c r="AE128" s="41">
        <f>K128/'1. Väestöennuste'!M128*1000</f>
        <v>3910.5863442389755</v>
      </c>
      <c r="AF128" s="41">
        <f>L128/'1. Väestöennuste'!N128*1000</f>
        <v>3901.1309619989584</v>
      </c>
      <c r="AG128" s="41">
        <f>M128/'1. Väestöennuste'!O128*1000</f>
        <v>3654.4169079685794</v>
      </c>
      <c r="AH128" s="41">
        <f>N128/'1. Väestöennuste'!P128*1000</f>
        <v>3521.4642712737896</v>
      </c>
      <c r="AI128" s="41">
        <f>O128/'1. Väestöennuste'!Q128*1000</f>
        <v>3394.6380595193864</v>
      </c>
      <c r="AJ128" s="41">
        <f>P128/'1. Väestöennuste'!R128*1000</f>
        <v>3113.1403523919166</v>
      </c>
    </row>
    <row r="129" spans="1:36" x14ac:dyDescent="0.2">
      <c r="A129" s="30">
        <v>322</v>
      </c>
      <c r="B129" s="31" t="s">
        <v>443</v>
      </c>
      <c r="C129" s="81">
        <v>22720</v>
      </c>
      <c r="D129" s="46">
        <v>21236</v>
      </c>
      <c r="E129" s="46">
        <v>24196</v>
      </c>
      <c r="F129" s="46">
        <v>20001</v>
      </c>
      <c r="G129" s="80">
        <v>21425</v>
      </c>
      <c r="H129" s="80">
        <v>16003</v>
      </c>
      <c r="I129" s="80">
        <v>14377.769960000001</v>
      </c>
      <c r="J129" s="80">
        <v>12783.553960000001</v>
      </c>
      <c r="K129" s="80">
        <v>9509.348</v>
      </c>
      <c r="L129" s="80">
        <f>K129-'Toim ja inv rahavirta'!L129</f>
        <v>9648.9091206030207</v>
      </c>
      <c r="M129" s="80">
        <f>L129-'Toim ja inv rahavirta'!M129</f>
        <v>10462.908546386871</v>
      </c>
      <c r="N129" s="80">
        <f>M129-'Toim ja inv rahavirta'!N129</f>
        <v>11254.595959013417</v>
      </c>
      <c r="O129" s="80">
        <f>N129-'Toim ja inv rahavirta'!O129</f>
        <v>12443.994250905103</v>
      </c>
      <c r="P129" s="80">
        <f>O129-'Toim ja inv rahavirta'!P129</f>
        <v>12784.332596014852</v>
      </c>
      <c r="U129" s="34">
        <v>322</v>
      </c>
      <c r="V129" s="88" t="s">
        <v>443</v>
      </c>
      <c r="W129" s="41">
        <f>C129/'1. Väestöennuste'!E129*1000</f>
        <v>3288.4643218989722</v>
      </c>
      <c r="X129" s="41">
        <f>D129/'1. Väestöennuste'!F129*1000</f>
        <v>3090.2211874272411</v>
      </c>
      <c r="Y129" s="41">
        <f>E129/'1. Väestöennuste'!G129*1000</f>
        <v>3561.9019578978359</v>
      </c>
      <c r="Z129" s="41">
        <f>F129/'1. Väestöennuste'!H129*1000</f>
        <v>2974.5687091017248</v>
      </c>
      <c r="AA129" s="41">
        <f>G129/'1. Väestöennuste'!I129*1000</f>
        <v>3226.6566265060242</v>
      </c>
      <c r="AB129" s="41">
        <f>H129/'1. Väestöennuste'!J129*1000</f>
        <v>2421.3950673324252</v>
      </c>
      <c r="AC129" s="41">
        <f>I129/'1. Väestöennuste'!K129*1000</f>
        <v>2173.8388206833988</v>
      </c>
      <c r="AD129" s="41">
        <f>J129/'1. Väestöennuste'!L129*1000</f>
        <v>1951.9856405558103</v>
      </c>
      <c r="AE129" s="41">
        <f>K129/'1. Väestöennuste'!M129*1000</f>
        <v>1471.579696688332</v>
      </c>
      <c r="AF129" s="41">
        <f>L129/'1. Väestöennuste'!N129*1000</f>
        <v>1515.9323048865706</v>
      </c>
      <c r="AG129" s="41">
        <f>M129/'1. Väestöennuste'!O129*1000</f>
        <v>1655.5235041751378</v>
      </c>
      <c r="AH129" s="41">
        <f>N129/'1. Väestöennuste'!P129*1000</f>
        <v>1792.7040393458774</v>
      </c>
      <c r="AI129" s="41">
        <f>O129/'1. Väestöennuste'!Q129*1000</f>
        <v>1994.8692290646206</v>
      </c>
      <c r="AJ129" s="41">
        <f>P129/'1. Väestöennuste'!R129*1000</f>
        <v>2061.9891283894926</v>
      </c>
    </row>
    <row r="130" spans="1:36" x14ac:dyDescent="0.2">
      <c r="A130" s="30">
        <v>398</v>
      </c>
      <c r="B130" s="31" t="s">
        <v>444</v>
      </c>
      <c r="C130" s="81">
        <v>734104</v>
      </c>
      <c r="D130" s="46">
        <v>744458</v>
      </c>
      <c r="E130" s="46">
        <v>755017</v>
      </c>
      <c r="F130" s="46">
        <v>797162</v>
      </c>
      <c r="G130" s="80">
        <v>841790</v>
      </c>
      <c r="H130" s="80">
        <v>873709</v>
      </c>
      <c r="I130" s="80">
        <v>841546.57873000007</v>
      </c>
      <c r="J130" s="80">
        <v>813547.17286000005</v>
      </c>
      <c r="K130" s="80">
        <v>744244.2154300001</v>
      </c>
      <c r="L130" s="80">
        <f>K130-'Toim ja inv rahavirta'!L130</f>
        <v>795711.09441767435</v>
      </c>
      <c r="M130" s="80">
        <f>L130-'Toim ja inv rahavirta'!M130</f>
        <v>817771.00151839468</v>
      </c>
      <c r="N130" s="80">
        <f>M130-'Toim ja inv rahavirta'!N130</f>
        <v>836565.90067186882</v>
      </c>
      <c r="O130" s="80">
        <f>N130-'Toim ja inv rahavirta'!O130</f>
        <v>858244.70862060343</v>
      </c>
      <c r="P130" s="80">
        <f>O130-'Toim ja inv rahavirta'!P130</f>
        <v>874749.63159058639</v>
      </c>
      <c r="U130" s="34">
        <v>398</v>
      </c>
      <c r="V130" s="88" t="s">
        <v>444</v>
      </c>
      <c r="W130" s="41">
        <f>C130/'1. Väestöennuste'!E130*1000</f>
        <v>6182.292850947003</v>
      </c>
      <c r="X130" s="41">
        <f>D130/'1. Väestöennuste'!F130*1000</f>
        <v>6232.2774001272473</v>
      </c>
      <c r="Y130" s="41">
        <f>E130/'1. Väestöennuste'!G130*1000</f>
        <v>6314.2766343572539</v>
      </c>
      <c r="Z130" s="41">
        <f>F130/'1. Väestöennuste'!H130*1000</f>
        <v>6645.730339888788</v>
      </c>
      <c r="AA130" s="41">
        <f>G130/'1. Väestöennuste'!I130*1000</f>
        <v>7025.2789531225226</v>
      </c>
      <c r="AB130" s="41">
        <f>H130/'1. Väestöennuste'!J130*1000</f>
        <v>7281.8792505667425</v>
      </c>
      <c r="AC130" s="41">
        <f>I130/'1. Väestöennuste'!K130*1000</f>
        <v>7011.310611195815</v>
      </c>
      <c r="AD130" s="41">
        <f>J130/'1. Väestöennuste'!L130*1000</f>
        <v>6769.6873131682969</v>
      </c>
      <c r="AE130" s="41">
        <f>K130/'1. Väestöennuste'!M130*1000</f>
        <v>6166.4240298111754</v>
      </c>
      <c r="AF130" s="41">
        <f>L130/'1. Väestöennuste'!N130*1000</f>
        <v>6587.2304912221789</v>
      </c>
      <c r="AG130" s="41">
        <f>M130/'1. Väestöennuste'!O130*1000</f>
        <v>6763.916242232508</v>
      </c>
      <c r="AH130" s="41">
        <f>N130/'1. Väestöennuste'!P130*1000</f>
        <v>6915.6538615644668</v>
      </c>
      <c r="AI130" s="41">
        <f>O130/'1. Väestöennuste'!Q130*1000</f>
        <v>7093.1073383687481</v>
      </c>
      <c r="AJ130" s="41">
        <f>P130/'1. Väestöennuste'!R130*1000</f>
        <v>7229.8138024876553</v>
      </c>
    </row>
    <row r="131" spans="1:36" x14ac:dyDescent="0.2">
      <c r="A131" s="30">
        <v>399</v>
      </c>
      <c r="B131" s="31" t="s">
        <v>445</v>
      </c>
      <c r="C131" s="81">
        <v>19538</v>
      </c>
      <c r="D131" s="46">
        <v>23227</v>
      </c>
      <c r="E131" s="46">
        <v>27203</v>
      </c>
      <c r="F131" s="46">
        <v>31285</v>
      </c>
      <c r="G131" s="80">
        <v>32575</v>
      </c>
      <c r="H131" s="80">
        <v>29865</v>
      </c>
      <c r="I131" s="80">
        <v>27555.023880000004</v>
      </c>
      <c r="J131" s="80">
        <v>27145.026520000003</v>
      </c>
      <c r="K131" s="80">
        <v>27391.675159999999</v>
      </c>
      <c r="L131" s="80">
        <f>K131-'Toim ja inv rahavirta'!L131</f>
        <v>29584.89874967626</v>
      </c>
      <c r="M131" s="80">
        <f>L131-'Toim ja inv rahavirta'!M131</f>
        <v>31371.546431600138</v>
      </c>
      <c r="N131" s="80">
        <f>M131-'Toim ja inv rahavirta'!N131</f>
        <v>32630.061142999562</v>
      </c>
      <c r="O131" s="80">
        <f>N131-'Toim ja inv rahavirta'!O131</f>
        <v>33681.253336933376</v>
      </c>
      <c r="P131" s="80">
        <f>O131-'Toim ja inv rahavirta'!P131</f>
        <v>34299.033354848834</v>
      </c>
      <c r="U131" s="34">
        <v>399</v>
      </c>
      <c r="V131" s="88" t="s">
        <v>445</v>
      </c>
      <c r="W131" s="41">
        <f>C131/'1. Väestöennuste'!E131*1000</f>
        <v>2415.0803461063042</v>
      </c>
      <c r="X131" s="41">
        <f>D131/'1. Väestöennuste'!F131*1000</f>
        <v>2853.7903919400419</v>
      </c>
      <c r="Y131" s="41">
        <f>E131/'1. Väestöennuste'!G131*1000</f>
        <v>3378.8349273382191</v>
      </c>
      <c r="Z131" s="41">
        <f>F131/'1. Väestöennuste'!H131*1000</f>
        <v>3882.477041449491</v>
      </c>
      <c r="AA131" s="41">
        <f>G131/'1. Väestöennuste'!I131*1000</f>
        <v>4063.2406136958962</v>
      </c>
      <c r="AB131" s="41">
        <f>H131/'1. Väestöennuste'!J131*1000</f>
        <v>3734.9924962481241</v>
      </c>
      <c r="AC131" s="41">
        <f>I131/'1. Väestöennuste'!K131*1000</f>
        <v>3480.927726124306</v>
      </c>
      <c r="AD131" s="41">
        <f>J131/'1. Väestöennuste'!L131*1000</f>
        <v>3472.5631981578613</v>
      </c>
      <c r="AE131" s="41">
        <f>K131/'1. Väestöennuste'!M131*1000</f>
        <v>3565.695803176256</v>
      </c>
      <c r="AF131" s="41">
        <f>L131/'1. Väestöennuste'!N131*1000</f>
        <v>3751.0965829436113</v>
      </c>
      <c r="AG131" s="41">
        <f>M131/'1. Väestöennuste'!O131*1000</f>
        <v>3995.3574161487695</v>
      </c>
      <c r="AH131" s="41">
        <f>N131/'1. Väestöennuste'!P131*1000</f>
        <v>4174.7775259723085</v>
      </c>
      <c r="AI131" s="41">
        <f>O131/'1. Väestöennuste'!Q131*1000</f>
        <v>4331.4369003257943</v>
      </c>
      <c r="AJ131" s="41">
        <f>P131/'1. Väestöennuste'!R131*1000</f>
        <v>4437.1323874319323</v>
      </c>
    </row>
    <row r="132" spans="1:36" x14ac:dyDescent="0.2">
      <c r="A132" s="30">
        <v>400</v>
      </c>
      <c r="B132" s="31" t="s">
        <v>446</v>
      </c>
      <c r="C132" s="81">
        <v>13425</v>
      </c>
      <c r="D132" s="46">
        <v>15545</v>
      </c>
      <c r="E132" s="46">
        <v>14315</v>
      </c>
      <c r="F132" s="46">
        <v>23085</v>
      </c>
      <c r="G132" s="80">
        <v>27455</v>
      </c>
      <c r="H132" s="80">
        <v>27400</v>
      </c>
      <c r="I132" s="80">
        <v>27500</v>
      </c>
      <c r="J132" s="80">
        <v>23450</v>
      </c>
      <c r="K132" s="80">
        <v>22450</v>
      </c>
      <c r="L132" s="80">
        <f>K132-'Toim ja inv rahavirta'!L132</f>
        <v>23856.980672648991</v>
      </c>
      <c r="M132" s="80">
        <f>L132-'Toim ja inv rahavirta'!M132</f>
        <v>24097.222113567579</v>
      </c>
      <c r="N132" s="80">
        <f>M132-'Toim ja inv rahavirta'!N132</f>
        <v>24783.187751047317</v>
      </c>
      <c r="O132" s="80">
        <f>N132-'Toim ja inv rahavirta'!O132</f>
        <v>25698.329014485778</v>
      </c>
      <c r="P132" s="80">
        <f>O132-'Toim ja inv rahavirta'!P132</f>
        <v>25963.416694535343</v>
      </c>
      <c r="U132" s="34">
        <v>400</v>
      </c>
      <c r="V132" s="88" t="s">
        <v>446</v>
      </c>
      <c r="W132" s="41">
        <f>C132/'1. Väestöennuste'!E132*1000</f>
        <v>1575.7042253521126</v>
      </c>
      <c r="X132" s="41">
        <f>D132/'1. Väestöennuste'!F132*1000</f>
        <v>1824.530516431925</v>
      </c>
      <c r="Y132" s="41">
        <f>E132/'1. Väestöennuste'!G132*1000</f>
        <v>1662.6016260162601</v>
      </c>
      <c r="Z132" s="41">
        <f>F132/'1. Väestöennuste'!H132*1000</f>
        <v>2669.7120388574072</v>
      </c>
      <c r="AA132" s="41">
        <f>G132/'1. Väestöennuste'!I132*1000</f>
        <v>3196.9026548672564</v>
      </c>
      <c r="AB132" s="41">
        <f>H132/'1. Väestöennuste'!J132*1000</f>
        <v>3235.7109116674542</v>
      </c>
      <c r="AC132" s="41">
        <f>I132/'1. Väestöennuste'!K132*1000</f>
        <v>3252.1286660359506</v>
      </c>
      <c r="AD132" s="41">
        <f>J132/'1. Väestöennuste'!L132*1000</f>
        <v>2803.0121922065505</v>
      </c>
      <c r="AE132" s="41">
        <f>K132/'1. Väestöennuste'!M132*1000</f>
        <v>2659.6374837104609</v>
      </c>
      <c r="AF132" s="41">
        <f>L132/'1. Väestöennuste'!N132*1000</f>
        <v>2847.5746804307701</v>
      </c>
      <c r="AG132" s="41">
        <f>M132/'1. Väestöennuste'!O132*1000</f>
        <v>2885.5492891351432</v>
      </c>
      <c r="AH132" s="41">
        <f>N132/'1. Väestöennuste'!P132*1000</f>
        <v>2977.3171253060209</v>
      </c>
      <c r="AI132" s="41">
        <f>O132/'1. Väestöennuste'!Q132*1000</f>
        <v>3098.4240432223028</v>
      </c>
      <c r="AJ132" s="41">
        <f>P132/'1. Väestöennuste'!R132*1000</f>
        <v>3141.3692310387587</v>
      </c>
    </row>
    <row r="133" spans="1:36" x14ac:dyDescent="0.2">
      <c r="A133" s="30">
        <v>402</v>
      </c>
      <c r="B133" s="31" t="s">
        <v>447</v>
      </c>
      <c r="C133" s="81">
        <v>29099</v>
      </c>
      <c r="D133" s="46">
        <v>30508</v>
      </c>
      <c r="E133" s="46">
        <v>29230</v>
      </c>
      <c r="F133" s="46">
        <v>28443</v>
      </c>
      <c r="G133" s="80">
        <v>30231</v>
      </c>
      <c r="H133" s="80">
        <v>33935</v>
      </c>
      <c r="I133" s="80">
        <v>37942.942630000005</v>
      </c>
      <c r="J133" s="80">
        <v>37917.440109999996</v>
      </c>
      <c r="K133" s="80">
        <v>37867.873050000002</v>
      </c>
      <c r="L133" s="80">
        <f>K133-'Toim ja inv rahavirta'!L133</f>
        <v>39157.295976384848</v>
      </c>
      <c r="M133" s="80">
        <f>L133-'Toim ja inv rahavirta'!M133</f>
        <v>34906.240237801248</v>
      </c>
      <c r="N133" s="80">
        <f>M133-'Toim ja inv rahavirta'!N133</f>
        <v>36746.150673252705</v>
      </c>
      <c r="O133" s="80">
        <f>N133-'Toim ja inv rahavirta'!O133</f>
        <v>38629.934106807923</v>
      </c>
      <c r="P133" s="80">
        <f>O133-'Toim ja inv rahavirta'!P133</f>
        <v>39688.268435469559</v>
      </c>
      <c r="U133" s="34">
        <v>402</v>
      </c>
      <c r="V133" s="88" t="s">
        <v>447</v>
      </c>
      <c r="W133" s="41">
        <f>C133/'1. Väestöennuste'!E133*1000</f>
        <v>2915.1472650771389</v>
      </c>
      <c r="X133" s="41">
        <f>D133/'1. Väestöennuste'!F133*1000</f>
        <v>3087.2293058085411</v>
      </c>
      <c r="Y133" s="41">
        <f>E133/'1. Väestöennuste'!G133*1000</f>
        <v>3015.8893933140735</v>
      </c>
      <c r="Z133" s="41">
        <f>F133/'1. Väestöennuste'!H133*1000</f>
        <v>2957.5751273786004</v>
      </c>
      <c r="AA133" s="41">
        <f>G133/'1. Väestöennuste'!I133*1000</f>
        <v>3187.2430152872957</v>
      </c>
      <c r="AB133" s="41">
        <f>H133/'1. Väestöennuste'!J133*1000</f>
        <v>3626.3090403932465</v>
      </c>
      <c r="AC133" s="41">
        <f>I133/'1. Väestöennuste'!K133*1000</f>
        <v>4103.2705342273175</v>
      </c>
      <c r="AD133" s="41">
        <f>J133/'1. Väestöennuste'!L133*1000</f>
        <v>4167.2095955599516</v>
      </c>
      <c r="AE133" s="41">
        <f>K133/'1. Väestöennuste'!M133*1000</f>
        <v>4219.2616211699169</v>
      </c>
      <c r="AF133" s="41">
        <f>L133/'1. Väestöennuste'!N133*1000</f>
        <v>4380.990823045966</v>
      </c>
      <c r="AG133" s="41">
        <f>M133/'1. Väestöennuste'!O133*1000</f>
        <v>3948.6697101585123</v>
      </c>
      <c r="AH133" s="41">
        <f>N133/'1. Väestöennuste'!P133*1000</f>
        <v>4202.4417512869059</v>
      </c>
      <c r="AI133" s="41">
        <f>O133/'1. Väestöennuste'!Q133*1000</f>
        <v>4464.8559993998988</v>
      </c>
      <c r="AJ133" s="41">
        <f>P133/'1. Väestöennuste'!R133*1000</f>
        <v>4636.4799574146682</v>
      </c>
    </row>
    <row r="134" spans="1:36" x14ac:dyDescent="0.2">
      <c r="A134" s="30">
        <v>403</v>
      </c>
      <c r="B134" s="31" t="s">
        <v>448</v>
      </c>
      <c r="C134" s="81">
        <v>10712</v>
      </c>
      <c r="D134" s="46">
        <v>10899</v>
      </c>
      <c r="E134" s="46">
        <v>11636</v>
      </c>
      <c r="F134" s="46">
        <v>7700</v>
      </c>
      <c r="G134" s="80">
        <v>7400</v>
      </c>
      <c r="H134" s="80">
        <v>12475</v>
      </c>
      <c r="I134" s="80">
        <v>13625</v>
      </c>
      <c r="J134" s="80">
        <v>13575</v>
      </c>
      <c r="K134" s="80">
        <v>12725</v>
      </c>
      <c r="L134" s="80">
        <f>K134-'Toim ja inv rahavirta'!L134</f>
        <v>13322.529243162006</v>
      </c>
      <c r="M134" s="80">
        <f>L134-'Toim ja inv rahavirta'!M134</f>
        <v>15070.031576327412</v>
      </c>
      <c r="N134" s="80">
        <f>M134-'Toim ja inv rahavirta'!N134</f>
        <v>17056.735488751816</v>
      </c>
      <c r="O134" s="80">
        <f>N134-'Toim ja inv rahavirta'!O134</f>
        <v>19206.196233500967</v>
      </c>
      <c r="P134" s="80">
        <f>O134-'Toim ja inv rahavirta'!P134</f>
        <v>21137.554402036145</v>
      </c>
      <c r="U134" s="34">
        <v>403</v>
      </c>
      <c r="V134" s="88" t="s">
        <v>448</v>
      </c>
      <c r="W134" s="41">
        <f>C134/'1. Väestöennuste'!E134*1000</f>
        <v>3331.8818040435463</v>
      </c>
      <c r="X134" s="41">
        <f>D134/'1. Väestöennuste'!F134*1000</f>
        <v>3431.6750629722919</v>
      </c>
      <c r="Y134" s="41">
        <f>E134/'1. Väestöennuste'!G134*1000</f>
        <v>3705.7324840764331</v>
      </c>
      <c r="Z134" s="41">
        <f>F134/'1. Väestöennuste'!H134*1000</f>
        <v>2501.6244314489932</v>
      </c>
      <c r="AA134" s="41">
        <f>G134/'1. Väestöennuste'!I134*1000</f>
        <v>2469.9599465954607</v>
      </c>
      <c r="AB134" s="41">
        <f>H134/'1. Väestöennuste'!J134*1000</f>
        <v>4264.9572649572647</v>
      </c>
      <c r="AC134" s="41">
        <f>I134/'1. Väestöennuste'!K134*1000</f>
        <v>4754.012561060712</v>
      </c>
      <c r="AD134" s="41">
        <f>J134/'1. Väestöennuste'!L134*1000</f>
        <v>4813.8297872340427</v>
      </c>
      <c r="AE134" s="41">
        <f>K134/'1. Väestöennuste'!M134*1000</f>
        <v>4562.5672283972754</v>
      </c>
      <c r="AF134" s="41">
        <f>L134/'1. Väestöennuste'!N134*1000</f>
        <v>4914.2490753087441</v>
      </c>
      <c r="AG134" s="41">
        <f>M134/'1. Väestöennuste'!O134*1000</f>
        <v>5656.918759882662</v>
      </c>
      <c r="AH134" s="41">
        <f>N134/'1. Väestöennuste'!P134*1000</f>
        <v>6515.1778031901513</v>
      </c>
      <c r="AI134" s="41">
        <f>O134/'1. Väestöennuste'!Q134*1000</f>
        <v>7458.7169838838699</v>
      </c>
      <c r="AJ134" s="41">
        <f>P134/'1. Väestöennuste'!R134*1000</f>
        <v>8354.7645857850384</v>
      </c>
    </row>
    <row r="135" spans="1:36" x14ac:dyDescent="0.2">
      <c r="A135" s="30">
        <v>405</v>
      </c>
      <c r="B135" s="31" t="s">
        <v>449</v>
      </c>
      <c r="C135" s="81">
        <v>233156</v>
      </c>
      <c r="D135" s="46">
        <v>226973</v>
      </c>
      <c r="E135" s="46">
        <v>218041</v>
      </c>
      <c r="F135" s="46">
        <v>204647</v>
      </c>
      <c r="G135" s="80">
        <v>227324</v>
      </c>
      <c r="H135" s="80">
        <v>227993</v>
      </c>
      <c r="I135" s="80">
        <v>246128.27847999995</v>
      </c>
      <c r="J135" s="80">
        <v>189818.57657999999</v>
      </c>
      <c r="K135" s="80">
        <v>190078.77922999999</v>
      </c>
      <c r="L135" s="80">
        <f>K135-'Toim ja inv rahavirta'!L135</f>
        <v>189493.26629598159</v>
      </c>
      <c r="M135" s="80">
        <f>L135-'Toim ja inv rahavirta'!M135</f>
        <v>204417.36258583408</v>
      </c>
      <c r="N135" s="80">
        <f>M135-'Toim ja inv rahavirta'!N135</f>
        <v>224207.32905027451</v>
      </c>
      <c r="O135" s="80">
        <f>N135-'Toim ja inv rahavirta'!O135</f>
        <v>244180.59240793172</v>
      </c>
      <c r="P135" s="80">
        <f>O135-'Toim ja inv rahavirta'!P135</f>
        <v>261109.71957701215</v>
      </c>
      <c r="U135" s="34">
        <v>405</v>
      </c>
      <c r="V135" s="88" t="s">
        <v>449</v>
      </c>
      <c r="W135" s="41">
        <f>C135/'1. Väestöennuste'!E135*1000</f>
        <v>3199.3962264150941</v>
      </c>
      <c r="X135" s="41">
        <f>D135/'1. Väestöennuste'!F135*1000</f>
        <v>3114.6805357338894</v>
      </c>
      <c r="Y135" s="41">
        <f>E135/'1. Väestöennuste'!G135*1000</f>
        <v>2990.5910107119835</v>
      </c>
      <c r="Z135" s="41">
        <f>F135/'1. Väestöennuste'!H135*1000</f>
        <v>2814.9905775870366</v>
      </c>
      <c r="AA135" s="41">
        <f>G135/'1. Väestöennuste'!I135*1000</f>
        <v>3129.7188644436492</v>
      </c>
      <c r="AB135" s="41">
        <f>H135/'1. Väestöennuste'!J135*1000</f>
        <v>3137.7198535685779</v>
      </c>
      <c r="AC135" s="41">
        <f>I135/'1. Väestöennuste'!K135*1000</f>
        <v>3388.6097210672679</v>
      </c>
      <c r="AD135" s="41">
        <f>J135/'1. Väestöennuste'!L135*1000</f>
        <v>2612.7815083275977</v>
      </c>
      <c r="AE135" s="41">
        <f>K135/'1. Väestöennuste'!M135*1000</f>
        <v>2604.2469889570884</v>
      </c>
      <c r="AF135" s="41">
        <f>L135/'1. Väestöennuste'!N135*1000</f>
        <v>2612.4750640524662</v>
      </c>
      <c r="AG135" s="41">
        <f>M135/'1. Väestöennuste'!O135*1000</f>
        <v>2820.8727208047098</v>
      </c>
      <c r="AH135" s="41">
        <f>N135/'1. Väestöennuste'!P135*1000</f>
        <v>3097.3424655017407</v>
      </c>
      <c r="AI135" s="41">
        <f>O135/'1. Väestöennuste'!Q135*1000</f>
        <v>3377.0913824484023</v>
      </c>
      <c r="AJ135" s="41">
        <f>P135/'1. Väestöennuste'!R135*1000</f>
        <v>3615.6267856185127</v>
      </c>
    </row>
    <row r="136" spans="1:36" x14ac:dyDescent="0.2">
      <c r="A136" s="30">
        <v>407</v>
      </c>
      <c r="B136" s="31" t="s">
        <v>450</v>
      </c>
      <c r="C136" s="81">
        <v>5117</v>
      </c>
      <c r="D136" s="46">
        <v>5642</v>
      </c>
      <c r="E136" s="46">
        <v>6995</v>
      </c>
      <c r="F136" s="46">
        <v>7258</v>
      </c>
      <c r="G136" s="80">
        <v>7956</v>
      </c>
      <c r="H136" s="80">
        <v>7554</v>
      </c>
      <c r="I136" s="80">
        <v>6602.8280000000004</v>
      </c>
      <c r="J136" s="80">
        <v>1563.979</v>
      </c>
      <c r="K136" s="80">
        <v>1159.1010000000001</v>
      </c>
      <c r="L136" s="80">
        <f>K136-'Toim ja inv rahavirta'!L136</f>
        <v>1634.3577849996384</v>
      </c>
      <c r="M136" s="80">
        <f>L136-'Toim ja inv rahavirta'!M136</f>
        <v>3031.691865030517</v>
      </c>
      <c r="N136" s="80">
        <f>M136-'Toim ja inv rahavirta'!N136</f>
        <v>4514.6827972261472</v>
      </c>
      <c r="O136" s="80">
        <f>N136-'Toim ja inv rahavirta'!O136</f>
        <v>6053.2157444600289</v>
      </c>
      <c r="P136" s="80">
        <f>O136-'Toim ja inv rahavirta'!P136</f>
        <v>7540.6841163605741</v>
      </c>
      <c r="U136" s="34">
        <v>407</v>
      </c>
      <c r="V136" s="88" t="s">
        <v>450</v>
      </c>
      <c r="W136" s="41">
        <f>C136/'1. Väestöennuste'!E136*1000</f>
        <v>1844.6286950252345</v>
      </c>
      <c r="X136" s="41">
        <f>D136/'1. Väestöennuste'!F136*1000</f>
        <v>2059.8758671047831</v>
      </c>
      <c r="Y136" s="41">
        <f>E136/'1. Väestöennuste'!G136*1000</f>
        <v>2584.9963045084996</v>
      </c>
      <c r="Z136" s="41">
        <f>F136/'1. Väestöennuste'!H136*1000</f>
        <v>2723.4521575984991</v>
      </c>
      <c r="AA136" s="41">
        <f>G136/'1. Väestöennuste'!I136*1000</f>
        <v>3052.9547198772066</v>
      </c>
      <c r="AB136" s="41">
        <f>H136/'1. Väestöennuste'!J136*1000</f>
        <v>2882.1060663868752</v>
      </c>
      <c r="AC136" s="41">
        <f>I136/'1. Väestöennuste'!K136*1000</f>
        <v>2559.2356589147289</v>
      </c>
      <c r="AD136" s="41">
        <f>J136/'1. Väestöennuste'!L136*1000</f>
        <v>621.11953931691824</v>
      </c>
      <c r="AE136" s="41">
        <f>K136/'1. Väestöennuste'!M136*1000</f>
        <v>473.29563086974281</v>
      </c>
      <c r="AF136" s="41">
        <f>L136/'1. Väestöennuste'!N136*1000</f>
        <v>646.7581262365012</v>
      </c>
      <c r="AG136" s="41">
        <f>M136/'1. Väestöennuste'!O136*1000</f>
        <v>1208.8085586246079</v>
      </c>
      <c r="AH136" s="41">
        <f>N136/'1. Väestöennuste'!P136*1000</f>
        <v>1812.3977507933148</v>
      </c>
      <c r="AI136" s="41">
        <f>O136/'1. Väestöennuste'!Q136*1000</f>
        <v>2446.732313848031</v>
      </c>
      <c r="AJ136" s="41">
        <f>P136/'1. Väestöennuste'!R136*1000</f>
        <v>3067.8129033200057</v>
      </c>
    </row>
    <row r="137" spans="1:36" x14ac:dyDescent="0.2">
      <c r="A137" s="30">
        <v>408</v>
      </c>
      <c r="B137" s="31" t="s">
        <v>451</v>
      </c>
      <c r="C137" s="81">
        <v>46139</v>
      </c>
      <c r="D137" s="46">
        <v>45907</v>
      </c>
      <c r="E137" s="46">
        <v>47424</v>
      </c>
      <c r="F137" s="46">
        <v>55292</v>
      </c>
      <c r="G137" s="80">
        <v>67858</v>
      </c>
      <c r="H137" s="80">
        <v>70776</v>
      </c>
      <c r="I137" s="80">
        <v>67029.186000000002</v>
      </c>
      <c r="J137" s="80">
        <v>67500</v>
      </c>
      <c r="K137" s="80">
        <v>63100</v>
      </c>
      <c r="L137" s="80">
        <f>K137-'Toim ja inv rahavirta'!L137</f>
        <v>66431.637092161167</v>
      </c>
      <c r="M137" s="80">
        <f>L137-'Toim ja inv rahavirta'!M137</f>
        <v>70465.044006772121</v>
      </c>
      <c r="N137" s="80">
        <f>M137-'Toim ja inv rahavirta'!N137</f>
        <v>73749.090485919398</v>
      </c>
      <c r="O137" s="80">
        <f>N137-'Toim ja inv rahavirta'!O137</f>
        <v>77385.561501188</v>
      </c>
      <c r="P137" s="80">
        <f>O137-'Toim ja inv rahavirta'!P137</f>
        <v>79330.596162757924</v>
      </c>
      <c r="U137" s="34">
        <v>408</v>
      </c>
      <c r="V137" s="88" t="s">
        <v>451</v>
      </c>
      <c r="W137" s="41">
        <f>C137/'1. Väestöennuste'!E137*1000</f>
        <v>3158.2586077075775</v>
      </c>
      <c r="X137" s="41">
        <f>D137/'1. Väestöennuste'!F137*1000</f>
        <v>3149.7084048027446</v>
      </c>
      <c r="Y137" s="41">
        <f>E137/'1. Väestöennuste'!G137*1000</f>
        <v>3271.9746101835244</v>
      </c>
      <c r="Z137" s="41">
        <f>F137/'1. Väestöennuste'!H137*1000</f>
        <v>3832.5362168156926</v>
      </c>
      <c r="AA137" s="41">
        <f>G137/'1. Väestöennuste'!I137*1000</f>
        <v>4752.6264182658642</v>
      </c>
      <c r="AB137" s="41">
        <f>H137/'1. Väestöennuste'!J137*1000</f>
        <v>4976.8651993530693</v>
      </c>
      <c r="AC137" s="41">
        <f>I137/'1. Väestöennuste'!K137*1000</f>
        <v>4719.3681616559879</v>
      </c>
      <c r="AD137" s="41">
        <f>J137/'1. Väestöennuste'!L137*1000</f>
        <v>4787.5735867792037</v>
      </c>
      <c r="AE137" s="41">
        <f>K137/'1. Väestöennuste'!M137*1000</f>
        <v>4499.4295493439822</v>
      </c>
      <c r="AF137" s="41">
        <f>L137/'1. Väestöennuste'!N137*1000</f>
        <v>4786.8307459404214</v>
      </c>
      <c r="AG137" s="41">
        <f>M137/'1. Väestöennuste'!O137*1000</f>
        <v>5110.9772979453192</v>
      </c>
      <c r="AH137" s="41">
        <f>N137/'1. Väestöennuste'!P137*1000</f>
        <v>5383.1452909430218</v>
      </c>
      <c r="AI137" s="41">
        <f>O137/'1. Väestöennuste'!Q137*1000</f>
        <v>5686.7696576416811</v>
      </c>
      <c r="AJ137" s="41">
        <f>P137/'1. Väestöennuste'!R137*1000</f>
        <v>5868.515768808842</v>
      </c>
    </row>
    <row r="138" spans="1:36" x14ac:dyDescent="0.2">
      <c r="A138" s="30">
        <v>410</v>
      </c>
      <c r="B138" s="31" t="s">
        <v>452</v>
      </c>
      <c r="C138" s="81">
        <v>73969</v>
      </c>
      <c r="D138" s="46">
        <v>80958</v>
      </c>
      <c r="E138" s="46">
        <v>84102</v>
      </c>
      <c r="F138" s="46">
        <v>88091</v>
      </c>
      <c r="G138" s="80">
        <v>98080</v>
      </c>
      <c r="H138" s="80">
        <v>94067</v>
      </c>
      <c r="I138" s="80">
        <v>104051.82414</v>
      </c>
      <c r="J138" s="80">
        <v>109033.90810000002</v>
      </c>
      <c r="K138" s="80">
        <v>110461.43027</v>
      </c>
      <c r="L138" s="80">
        <f>K138-'Toim ja inv rahavirta'!L138</f>
        <v>113044.70654466585</v>
      </c>
      <c r="M138" s="80">
        <f>L138-'Toim ja inv rahavirta'!M138</f>
        <v>118381.80438133593</v>
      </c>
      <c r="N138" s="80">
        <f>M138-'Toim ja inv rahavirta'!N138</f>
        <v>119272.05993997939</v>
      </c>
      <c r="O138" s="80">
        <f>N138-'Toim ja inv rahavirta'!O138</f>
        <v>122867.09217544923</v>
      </c>
      <c r="P138" s="80">
        <f>O138-'Toim ja inv rahavirta'!P138</f>
        <v>125150.89234429377</v>
      </c>
      <c r="U138" s="34">
        <v>410</v>
      </c>
      <c r="V138" s="88" t="s">
        <v>452</v>
      </c>
      <c r="W138" s="41">
        <f>C138/'1. Väestöennuste'!E138*1000</f>
        <v>3920.9647495361783</v>
      </c>
      <c r="X138" s="41">
        <f>D138/'1. Väestöennuste'!F138*1000</f>
        <v>4267.6858197153406</v>
      </c>
      <c r="Y138" s="41">
        <f>E138/'1. Väestöennuste'!G138*1000</f>
        <v>4431.5523237432817</v>
      </c>
      <c r="Z138" s="41">
        <f>F138/'1. Väestöennuste'!H138*1000</f>
        <v>4654.2505415543937</v>
      </c>
      <c r="AA138" s="41">
        <f>G138/'1. Väestöennuste'!I138*1000</f>
        <v>5188.594403004814</v>
      </c>
      <c r="AB138" s="41">
        <f>H138/'1. Väestöennuste'!J138*1000</f>
        <v>4997.4499282792331</v>
      </c>
      <c r="AC138" s="41">
        <f>I138/'1. Väestöennuste'!K138*1000</f>
        <v>5538.2065222482433</v>
      </c>
      <c r="AD138" s="41">
        <f>J138/'1. Väestöennuste'!L138*1000</f>
        <v>5807.3985672436756</v>
      </c>
      <c r="AE138" s="41">
        <f>K138/'1. Väestöennuste'!M138*1000</f>
        <v>5887.508275770173</v>
      </c>
      <c r="AF138" s="41">
        <f>L138/'1. Väestöennuste'!N138*1000</f>
        <v>6030.0158182464311</v>
      </c>
      <c r="AG138" s="41">
        <f>M138/'1. Väestöennuste'!O138*1000</f>
        <v>6326.1798953313701</v>
      </c>
      <c r="AH138" s="41">
        <f>N138/'1. Väestöennuste'!P138*1000</f>
        <v>6387.0654353635746</v>
      </c>
      <c r="AI138" s="41">
        <f>O138/'1. Väestöennuste'!Q138*1000</f>
        <v>6593.7046353681026</v>
      </c>
      <c r="AJ138" s="41">
        <f>P138/'1. Väestöennuste'!R138*1000</f>
        <v>6732.1620411131671</v>
      </c>
    </row>
    <row r="139" spans="1:36" x14ac:dyDescent="0.2">
      <c r="A139" s="30">
        <v>416</v>
      </c>
      <c r="B139" s="31" t="s">
        <v>453</v>
      </c>
      <c r="C139" s="81">
        <v>4250</v>
      </c>
      <c r="D139" s="46">
        <v>4117</v>
      </c>
      <c r="E139" s="46">
        <v>4587</v>
      </c>
      <c r="F139" s="46">
        <v>5476</v>
      </c>
      <c r="G139" s="80">
        <v>7599</v>
      </c>
      <c r="H139" s="80">
        <v>6543</v>
      </c>
      <c r="I139" s="80">
        <v>6273.0330000000004</v>
      </c>
      <c r="J139" s="80">
        <v>6433.2709999999997</v>
      </c>
      <c r="K139" s="80">
        <v>5738.509</v>
      </c>
      <c r="L139" s="80">
        <f>K139-'Toim ja inv rahavirta'!L139</f>
        <v>5187.7762408373228</v>
      </c>
      <c r="M139" s="80">
        <f>L139-'Toim ja inv rahavirta'!M139</f>
        <v>5985.4692641232477</v>
      </c>
      <c r="N139" s="80">
        <f>M139-'Toim ja inv rahavirta'!N139</f>
        <v>6672.1987860738909</v>
      </c>
      <c r="O139" s="80">
        <f>N139-'Toim ja inv rahavirta'!O139</f>
        <v>7405.3980259991349</v>
      </c>
      <c r="P139" s="80">
        <f>O139-'Toim ja inv rahavirta'!P139</f>
        <v>8185.4241221316015</v>
      </c>
      <c r="U139" s="34">
        <v>416</v>
      </c>
      <c r="V139" s="88" t="s">
        <v>453</v>
      </c>
      <c r="W139" s="41">
        <f>C139/'1. Väestöennuste'!E139*1000</f>
        <v>1383.0133420110642</v>
      </c>
      <c r="X139" s="41">
        <f>D139/'1. Väestöennuste'!F139*1000</f>
        <v>1338.4265279583876</v>
      </c>
      <c r="Y139" s="41">
        <f>E139/'1. Väestöennuste'!G139*1000</f>
        <v>1497.5514201762978</v>
      </c>
      <c r="Z139" s="41">
        <f>F139/'1. Väestöennuste'!H139*1000</f>
        <v>1799.5399277029246</v>
      </c>
      <c r="AA139" s="41">
        <f>G139/'1. Väestöennuste'!I139*1000</f>
        <v>2557.7246718276674</v>
      </c>
      <c r="AB139" s="41">
        <f>H139/'1. Väestöennuste'!J139*1000</f>
        <v>2207.4898785425103</v>
      </c>
      <c r="AC139" s="41">
        <f>I139/'1. Väestöennuste'!K139*1000</f>
        <v>2150.5083990401099</v>
      </c>
      <c r="AD139" s="41">
        <f>J139/'1. Väestöennuste'!L139*1000</f>
        <v>2229.1306306306305</v>
      </c>
      <c r="AE139" s="41">
        <f>K139/'1. Väestöennuste'!M139*1000</f>
        <v>2005.0695317959471</v>
      </c>
      <c r="AF139" s="41">
        <f>L139/'1. Väestöennuste'!N139*1000</f>
        <v>1798.8128435635656</v>
      </c>
      <c r="AG139" s="41">
        <f>M139/'1. Väestöennuste'!O139*1000</f>
        <v>2088.4400782007147</v>
      </c>
      <c r="AH139" s="41">
        <f>N139/'1. Väestöennuste'!P139*1000</f>
        <v>2344.4127849873121</v>
      </c>
      <c r="AI139" s="41">
        <f>O139/'1. Väestöennuste'!Q139*1000</f>
        <v>2622.3080828608831</v>
      </c>
      <c r="AJ139" s="41">
        <f>P139/'1. Väestöennuste'!R139*1000</f>
        <v>2921.2791299541759</v>
      </c>
    </row>
    <row r="140" spans="1:36" x14ac:dyDescent="0.2">
      <c r="A140" s="30">
        <v>418</v>
      </c>
      <c r="B140" s="31" t="s">
        <v>454</v>
      </c>
      <c r="C140" s="81">
        <v>78146</v>
      </c>
      <c r="D140" s="46">
        <v>73892</v>
      </c>
      <c r="E140" s="46">
        <v>69990</v>
      </c>
      <c r="F140" s="46">
        <v>75113</v>
      </c>
      <c r="G140" s="80">
        <v>86827</v>
      </c>
      <c r="H140" s="80">
        <v>90749</v>
      </c>
      <c r="I140" s="80">
        <v>89434.980689999997</v>
      </c>
      <c r="J140" s="80">
        <v>88914.96974</v>
      </c>
      <c r="K140" s="80">
        <v>91617.970849999998</v>
      </c>
      <c r="L140" s="80">
        <f>K140-'Toim ja inv rahavirta'!L140</f>
        <v>98843.355671770318</v>
      </c>
      <c r="M140" s="80">
        <f>L140-'Toim ja inv rahavirta'!M140</f>
        <v>110707.8347126467</v>
      </c>
      <c r="N140" s="80">
        <f>M140-'Toim ja inv rahavirta'!N140</f>
        <v>121678.27296444612</v>
      </c>
      <c r="O140" s="80">
        <f>N140-'Toim ja inv rahavirta'!O140</f>
        <v>133040.8217582792</v>
      </c>
      <c r="P140" s="80">
        <f>O140-'Toim ja inv rahavirta'!P140</f>
        <v>144369.27979257665</v>
      </c>
      <c r="U140" s="34">
        <v>418</v>
      </c>
      <c r="V140" s="88" t="s">
        <v>454</v>
      </c>
      <c r="W140" s="41">
        <f>C140/'1. Väestöennuste'!E140*1000</f>
        <v>3467.6073837415688</v>
      </c>
      <c r="X140" s="41">
        <f>D140/'1. Väestöennuste'!F140*1000</f>
        <v>3248.7140030775995</v>
      </c>
      <c r="Y140" s="41">
        <f>E140/'1. Väestöennuste'!G140*1000</f>
        <v>3065.8373121906347</v>
      </c>
      <c r="Z140" s="41">
        <f>F140/'1. Väestöennuste'!H140*1000</f>
        <v>3236.7922089114886</v>
      </c>
      <c r="AA140" s="41">
        <f>G140/'1. Väestöennuste'!I140*1000</f>
        <v>3691.1533392849551</v>
      </c>
      <c r="AB140" s="41">
        <f>H140/'1. Väestöennuste'!J140*1000</f>
        <v>3808.5026019808629</v>
      </c>
      <c r="AC140" s="41">
        <f>I140/'1. Väestöennuste'!K140*1000</f>
        <v>3701.1662262042705</v>
      </c>
      <c r="AD140" s="41">
        <f>J140/'1. Väestöennuste'!L140*1000</f>
        <v>3617.3706159479252</v>
      </c>
      <c r="AE140" s="41">
        <f>K140/'1. Väestöennuste'!M140*1000</f>
        <v>3707.5784407753631</v>
      </c>
      <c r="AF140" s="41">
        <f>L140/'1. Väestöennuste'!N140*1000</f>
        <v>4004.5114318263709</v>
      </c>
      <c r="AG140" s="41">
        <f>M140/'1. Väestöennuste'!O140*1000</f>
        <v>4453.9682456005276</v>
      </c>
      <c r="AH140" s="41">
        <f>N140/'1. Väestöennuste'!P140*1000</f>
        <v>4864.212391143159</v>
      </c>
      <c r="AI140" s="41">
        <f>O140/'1. Väestöennuste'!Q140*1000</f>
        <v>5288.4215827912385</v>
      </c>
      <c r="AJ140" s="41">
        <f>P140/'1. Väestöennuste'!R140*1000</f>
        <v>5708.7777212454685</v>
      </c>
    </row>
    <row r="141" spans="1:36" x14ac:dyDescent="0.2">
      <c r="A141" s="30">
        <v>420</v>
      </c>
      <c r="B141" s="31" t="s">
        <v>455</v>
      </c>
      <c r="C141" s="81">
        <v>7974</v>
      </c>
      <c r="D141" s="46">
        <v>6662</v>
      </c>
      <c r="E141" s="46">
        <v>8036</v>
      </c>
      <c r="F141" s="46">
        <v>8565</v>
      </c>
      <c r="G141" s="80">
        <v>10483</v>
      </c>
      <c r="H141" s="80">
        <v>10450</v>
      </c>
      <c r="I141" s="80">
        <v>5516.991</v>
      </c>
      <c r="J141" s="80">
        <v>4784.4650000000001</v>
      </c>
      <c r="K141" s="80">
        <v>4107.8780500000003</v>
      </c>
      <c r="L141" s="80">
        <f>K141-'Toim ja inv rahavirta'!L141</f>
        <v>5236.1640388917194</v>
      </c>
      <c r="M141" s="80">
        <f>L141-'Toim ja inv rahavirta'!M141</f>
        <v>5998.8572949238478</v>
      </c>
      <c r="N141" s="80">
        <f>M141-'Toim ja inv rahavirta'!N141</f>
        <v>6795.2481752078247</v>
      </c>
      <c r="O141" s="80">
        <f>N141-'Toim ja inv rahavirta'!O141</f>
        <v>7333.2819156147907</v>
      </c>
      <c r="P141" s="80">
        <f>O141-'Toim ja inv rahavirta'!P141</f>
        <v>7227.7262264185092</v>
      </c>
      <c r="U141" s="34">
        <v>420</v>
      </c>
      <c r="V141" s="88" t="s">
        <v>455</v>
      </c>
      <c r="W141" s="41">
        <f>C141/'1. Väestöennuste'!E141*1000</f>
        <v>801.16547774540334</v>
      </c>
      <c r="X141" s="41">
        <f>D141/'1. Väestöennuste'!F141*1000</f>
        <v>675.316776482514</v>
      </c>
      <c r="Y141" s="41">
        <f>E141/'1. Väestöennuste'!G141*1000</f>
        <v>821.50889388673079</v>
      </c>
      <c r="Z141" s="41">
        <f>F141/'1. Väestöennuste'!H141*1000</f>
        <v>887.56476683937819</v>
      </c>
      <c r="AA141" s="41">
        <f>G141/'1. Väestöennuste'!I141*1000</f>
        <v>1108.8428178548761</v>
      </c>
      <c r="AB141" s="41">
        <f>H141/'1. Väestöennuste'!J141*1000</f>
        <v>1111.4656456073176</v>
      </c>
      <c r="AC141" s="41">
        <f>I141/'1. Väestöennuste'!K141*1000</f>
        <v>594.50334051724144</v>
      </c>
      <c r="AD141" s="41">
        <f>J141/'1. Väestöennuste'!L141*1000</f>
        <v>521.35392829900843</v>
      </c>
      <c r="AE141" s="41">
        <f>K141/'1. Väestöennuste'!M141*1000</f>
        <v>453.95933804840314</v>
      </c>
      <c r="AF141" s="41">
        <f>L141/'1. Väestöennuste'!N141*1000</f>
        <v>582.57276801198475</v>
      </c>
      <c r="AG141" s="41">
        <f>M141/'1. Väestöennuste'!O141*1000</f>
        <v>674.71120176851286</v>
      </c>
      <c r="AH141" s="41">
        <f>N141/'1. Väestöennuste'!P141*1000</f>
        <v>772.62628484455092</v>
      </c>
      <c r="AI141" s="41">
        <f>O141/'1. Väestöennuste'!Q141*1000</f>
        <v>842.61541027401938</v>
      </c>
      <c r="AJ141" s="41">
        <f>P141/'1. Väestöennuste'!R141*1000</f>
        <v>839.3596825477307</v>
      </c>
    </row>
    <row r="142" spans="1:36" x14ac:dyDescent="0.2">
      <c r="A142" s="30">
        <v>421</v>
      </c>
      <c r="B142" s="31" t="s">
        <v>456</v>
      </c>
      <c r="C142" s="81">
        <v>1770</v>
      </c>
      <c r="D142" s="46">
        <v>1767</v>
      </c>
      <c r="E142" s="46">
        <v>1838</v>
      </c>
      <c r="F142" s="46">
        <v>1774</v>
      </c>
      <c r="G142" s="80">
        <v>2662</v>
      </c>
      <c r="H142" s="80">
        <v>6436</v>
      </c>
      <c r="I142" s="80">
        <v>11860.31616</v>
      </c>
      <c r="J142" s="80">
        <v>10265.805</v>
      </c>
      <c r="K142" s="80">
        <v>10606.841100000001</v>
      </c>
      <c r="L142" s="80">
        <f>K142-'Toim ja inv rahavirta'!L142</f>
        <v>11481.519713696285</v>
      </c>
      <c r="M142" s="80">
        <f>L142-'Toim ja inv rahavirta'!M142</f>
        <v>12650.867055541265</v>
      </c>
      <c r="N142" s="80">
        <f>M142-'Toim ja inv rahavirta'!N142</f>
        <v>14105.872856037819</v>
      </c>
      <c r="O142" s="80">
        <f>N142-'Toim ja inv rahavirta'!O142</f>
        <v>15653.726046665482</v>
      </c>
      <c r="P142" s="80">
        <f>O142-'Toim ja inv rahavirta'!P142</f>
        <v>17169.270854718063</v>
      </c>
      <c r="U142" s="34">
        <v>421</v>
      </c>
      <c r="V142" s="88" t="s">
        <v>456</v>
      </c>
      <c r="W142" s="41">
        <f>C142/'1. Väestöennuste'!E142*1000</f>
        <v>2218.0451127819551</v>
      </c>
      <c r="X142" s="41">
        <f>D142/'1. Väestöennuste'!F142*1000</f>
        <v>2178.7916152897656</v>
      </c>
      <c r="Y142" s="41">
        <f>E142/'1. Väestöennuste'!G142*1000</f>
        <v>2329.5310519645122</v>
      </c>
      <c r="Z142" s="41">
        <f>F142/'1. Väestöennuste'!H142*1000</f>
        <v>2407.0556309362278</v>
      </c>
      <c r="AA142" s="41">
        <f>G142/'1. Väestöennuste'!I142*1000</f>
        <v>3702.3643949930461</v>
      </c>
      <c r="AB142" s="41">
        <f>H142/'1. Väestöennuste'!J142*1000</f>
        <v>8914.1274238227143</v>
      </c>
      <c r="AC142" s="41">
        <f>I142/'1. Väestöennuste'!K142*1000</f>
        <v>16495.57184979138</v>
      </c>
      <c r="AD142" s="41">
        <f>J142/'1. Väestöennuste'!L142*1000</f>
        <v>14770.942446043167</v>
      </c>
      <c r="AE142" s="41">
        <f>K142/'1. Väestöennuste'!M142*1000</f>
        <v>15552.552932551322</v>
      </c>
      <c r="AF142" s="41">
        <f>L142/'1. Väestöennuste'!N142*1000</f>
        <v>16934.394857959123</v>
      </c>
      <c r="AG142" s="41">
        <f>M142/'1. Väestöennuste'!O142*1000</f>
        <v>18910.115180181263</v>
      </c>
      <c r="AH142" s="41">
        <f>N142/'1. Väestöennuste'!P142*1000</f>
        <v>21372.534630360329</v>
      </c>
      <c r="AI142" s="41">
        <f>O142/'1. Väestöennuste'!Q142*1000</f>
        <v>23935.360927623064</v>
      </c>
      <c r="AJ142" s="41">
        <f>P142/'1. Väestöennuste'!R142*1000</f>
        <v>26536.74011548387</v>
      </c>
    </row>
    <row r="143" spans="1:36" x14ac:dyDescent="0.2">
      <c r="A143" s="30">
        <v>422</v>
      </c>
      <c r="B143" s="31" t="s">
        <v>457</v>
      </c>
      <c r="C143" s="81">
        <v>15193</v>
      </c>
      <c r="D143" s="46">
        <v>12744</v>
      </c>
      <c r="E143" s="46">
        <v>10423</v>
      </c>
      <c r="F143" s="46">
        <v>8255</v>
      </c>
      <c r="G143" s="80">
        <v>9385</v>
      </c>
      <c r="H143" s="80">
        <v>6893</v>
      </c>
      <c r="I143" s="80">
        <v>4725</v>
      </c>
      <c r="J143" s="80">
        <v>3275.0000000000009</v>
      </c>
      <c r="K143" s="80">
        <v>2425</v>
      </c>
      <c r="L143" s="80">
        <f>K143-'Toim ja inv rahavirta'!L143</f>
        <v>916.41669588248624</v>
      </c>
      <c r="M143" s="80">
        <f>L143-'Toim ja inv rahavirta'!M143</f>
        <v>2284.97046825912</v>
      </c>
      <c r="N143" s="80">
        <f>M143-'Toim ja inv rahavirta'!N143</f>
        <v>4642.2710427424809</v>
      </c>
      <c r="O143" s="80">
        <f>N143-'Toim ja inv rahavirta'!O143</f>
        <v>7126.4493654523922</v>
      </c>
      <c r="P143" s="80">
        <f>O143-'Toim ja inv rahavirta'!P143</f>
        <v>7946.1498776645067</v>
      </c>
      <c r="U143" s="34">
        <v>422</v>
      </c>
      <c r="V143" s="88" t="s">
        <v>457</v>
      </c>
      <c r="W143" s="41">
        <f>C143/'1. Väestöennuste'!E143*1000</f>
        <v>1290.6048250084948</v>
      </c>
      <c r="X143" s="41">
        <f>D143/'1. Väestöennuste'!F143*1000</f>
        <v>1100.518134715026</v>
      </c>
      <c r="Y143" s="41">
        <f>E143/'1. Väestöennuste'!G143*1000</f>
        <v>922.63432769761891</v>
      </c>
      <c r="Z143" s="41">
        <f>F143/'1. Väestöennuste'!H143*1000</f>
        <v>743.82771670571276</v>
      </c>
      <c r="AA143" s="41">
        <f>G143/'1. Väestöennuste'!I143*1000</f>
        <v>862.27489893421534</v>
      </c>
      <c r="AB143" s="41">
        <f>H143/'1. Väestöennuste'!J143*1000</f>
        <v>643.06371863046934</v>
      </c>
      <c r="AC143" s="41">
        <f>I143/'1. Väestöennuste'!K143*1000</f>
        <v>448.16465901546047</v>
      </c>
      <c r="AD143" s="41">
        <f>J143/'1. Väestöennuste'!L143*1000</f>
        <v>315.75395295025078</v>
      </c>
      <c r="AE143" s="41">
        <f>K143/'1. Väestöennuste'!M143*1000</f>
        <v>237.09425107547906</v>
      </c>
      <c r="AF143" s="41">
        <f>L143/'1. Väestöennuste'!N143*1000</f>
        <v>91.862138721179463</v>
      </c>
      <c r="AG143" s="41">
        <f>M143/'1. Väestöennuste'!O143*1000</f>
        <v>232.89883480370196</v>
      </c>
      <c r="AH143" s="41">
        <f>N143/'1. Väestöennuste'!P143*1000</f>
        <v>481.06435676087881</v>
      </c>
      <c r="AI143" s="41">
        <f>O143/'1. Väestöennuste'!Q143*1000</f>
        <v>750.54758983174224</v>
      </c>
      <c r="AJ143" s="41">
        <f>P143/'1. Väestöennuste'!R143*1000</f>
        <v>850.12837035032703</v>
      </c>
    </row>
    <row r="144" spans="1:36" x14ac:dyDescent="0.2">
      <c r="A144" s="30">
        <v>423</v>
      </c>
      <c r="B144" s="31" t="s">
        <v>458</v>
      </c>
      <c r="C144" s="81">
        <v>47402</v>
      </c>
      <c r="D144" s="46">
        <v>53687</v>
      </c>
      <c r="E144" s="46">
        <v>60199</v>
      </c>
      <c r="F144" s="46">
        <v>69233</v>
      </c>
      <c r="G144" s="80">
        <v>73792</v>
      </c>
      <c r="H144" s="80">
        <v>71351</v>
      </c>
      <c r="I144" s="80">
        <v>64915.030769999998</v>
      </c>
      <c r="J144" s="80">
        <v>61626.668169999997</v>
      </c>
      <c r="K144" s="80">
        <v>53112.482000000004</v>
      </c>
      <c r="L144" s="80">
        <f>K144-'Toim ja inv rahavirta'!L144</f>
        <v>57125.700528484682</v>
      </c>
      <c r="M144" s="80">
        <f>L144-'Toim ja inv rahavirta'!M144</f>
        <v>63228.473290158989</v>
      </c>
      <c r="N144" s="80">
        <f>M144-'Toim ja inv rahavirta'!N144</f>
        <v>69437.287132633443</v>
      </c>
      <c r="O144" s="80">
        <f>N144-'Toim ja inv rahavirta'!O144</f>
        <v>76193.34243593493</v>
      </c>
      <c r="P144" s="80">
        <f>O144-'Toim ja inv rahavirta'!P144</f>
        <v>82406.564608552217</v>
      </c>
      <c r="U144" s="34">
        <v>423</v>
      </c>
      <c r="V144" s="88" t="s">
        <v>458</v>
      </c>
      <c r="W144" s="41">
        <f>C144/'1. Väestöennuste'!E144*1000</f>
        <v>2460.7797331672118</v>
      </c>
      <c r="X144" s="41">
        <f>D144/'1. Väestöennuste'!F144*1000</f>
        <v>2764.8058502420436</v>
      </c>
      <c r="Y144" s="41">
        <f>E144/'1. Väestöennuste'!G144*1000</f>
        <v>3072.0044907123906</v>
      </c>
      <c r="Z144" s="41">
        <f>F144/'1. Väestöennuste'!H144*1000</f>
        <v>3491.1502193535375</v>
      </c>
      <c r="AA144" s="41">
        <f>G144/'1. Väestöennuste'!I144*1000</f>
        <v>3690.7072121636493</v>
      </c>
      <c r="AB144" s="41">
        <f>H144/'1. Väestöennuste'!J144*1000</f>
        <v>3541.6956219596941</v>
      </c>
      <c r="AC144" s="41">
        <f>I144/'1. Väestöennuste'!K144*1000</f>
        <v>3199.2031329160709</v>
      </c>
      <c r="AD144" s="41">
        <f>J144/'1. Väestöennuste'!L144*1000</f>
        <v>3006.6189281358247</v>
      </c>
      <c r="AE144" s="41">
        <f>K144/'1. Väestöennuste'!M144*1000</f>
        <v>2573.6532441730874</v>
      </c>
      <c r="AF144" s="41">
        <f>L144/'1. Väestöennuste'!N144*1000</f>
        <v>2752.9131380889926</v>
      </c>
      <c r="AG144" s="41">
        <f>M144/'1. Väestöennuste'!O144*1000</f>
        <v>3026.444250917049</v>
      </c>
      <c r="AH144" s="41">
        <f>N144/'1. Väestöennuste'!P144*1000</f>
        <v>3302.1346363245884</v>
      </c>
      <c r="AI144" s="41">
        <f>O144/'1. Väestöennuste'!Q144*1000</f>
        <v>3601.3301713822816</v>
      </c>
      <c r="AJ144" s="41">
        <f>P144/'1. Väestöennuste'!R144*1000</f>
        <v>3873.3990415300686</v>
      </c>
    </row>
    <row r="145" spans="1:36" x14ac:dyDescent="0.2">
      <c r="A145" s="30">
        <v>425</v>
      </c>
      <c r="B145" s="31" t="s">
        <v>459</v>
      </c>
      <c r="C145" s="81">
        <v>19265</v>
      </c>
      <c r="D145" s="46">
        <v>17601</v>
      </c>
      <c r="E145" s="46">
        <v>17950</v>
      </c>
      <c r="F145" s="46">
        <v>30550</v>
      </c>
      <c r="G145" s="80">
        <v>36152</v>
      </c>
      <c r="H145" s="80">
        <v>31453</v>
      </c>
      <c r="I145" s="80">
        <v>31158.853039999998</v>
      </c>
      <c r="J145" s="80">
        <v>28350</v>
      </c>
      <c r="K145" s="80">
        <v>30050</v>
      </c>
      <c r="L145" s="80">
        <f>K145-'Toim ja inv rahavirta'!L145</f>
        <v>31426.704661137192</v>
      </c>
      <c r="M145" s="80">
        <f>L145-'Toim ja inv rahavirta'!M145</f>
        <v>35014.707455959317</v>
      </c>
      <c r="N145" s="80">
        <f>M145-'Toim ja inv rahavirta'!N145</f>
        <v>38771.046338235748</v>
      </c>
      <c r="O145" s="80">
        <f>N145-'Toim ja inv rahavirta'!O145</f>
        <v>42556.161504056363</v>
      </c>
      <c r="P145" s="80">
        <f>O145-'Toim ja inv rahavirta'!P145</f>
        <v>46183.436302964517</v>
      </c>
      <c r="U145" s="34">
        <v>425</v>
      </c>
      <c r="V145" s="88" t="s">
        <v>459</v>
      </c>
      <c r="W145" s="41">
        <f>C145/'1. Väestöennuste'!E145*1000</f>
        <v>1938.7138975545938</v>
      </c>
      <c r="X145" s="41">
        <f>D145/'1. Väestöennuste'!F145*1000</f>
        <v>1760.1</v>
      </c>
      <c r="Y145" s="41">
        <f>E145/'1. Väestöennuste'!G145*1000</f>
        <v>1771.4398499950657</v>
      </c>
      <c r="Z145" s="41">
        <f>F145/'1. Väestöennuste'!H145*1000</f>
        <v>3006.5938391890559</v>
      </c>
      <c r="AA145" s="41">
        <f>G145/'1. Väestöennuste'!I145*1000</f>
        <v>3547.4438229810617</v>
      </c>
      <c r="AB145" s="41">
        <f>H145/'1. Väestöennuste'!J145*1000</f>
        <v>3072.182066809924</v>
      </c>
      <c r="AC145" s="41">
        <f>I145/'1. Väestöennuste'!K145*1000</f>
        <v>3049.4082051282048</v>
      </c>
      <c r="AD145" s="41">
        <f>J145/'1. Väestöennuste'!L145*1000</f>
        <v>2763.6966270228113</v>
      </c>
      <c r="AE145" s="41">
        <f>K145/'1. Väestöennuste'!M145*1000</f>
        <v>2929.9921996879875</v>
      </c>
      <c r="AF145" s="41">
        <f>L145/'1. Väestöennuste'!N145*1000</f>
        <v>3011.3745363297426</v>
      </c>
      <c r="AG145" s="41">
        <f>M145/'1. Väestöennuste'!O145*1000</f>
        <v>3346.20675228969</v>
      </c>
      <c r="AH145" s="41">
        <f>N145/'1. Väestöennuste'!P145*1000</f>
        <v>3696.3529734231811</v>
      </c>
      <c r="AI145" s="41">
        <f>O145/'1. Väestöennuste'!Q145*1000</f>
        <v>4048.3410867633529</v>
      </c>
      <c r="AJ145" s="41">
        <f>P145/'1. Väestöennuste'!R145*1000</f>
        <v>4385.8913867962501</v>
      </c>
    </row>
    <row r="146" spans="1:36" x14ac:dyDescent="0.2">
      <c r="A146" s="30">
        <v>426</v>
      </c>
      <c r="B146" s="31" t="s">
        <v>460</v>
      </c>
      <c r="C146" s="81">
        <v>28824</v>
      </c>
      <c r="D146" s="46">
        <v>32958</v>
      </c>
      <c r="E146" s="46">
        <v>33167</v>
      </c>
      <c r="F146" s="46">
        <v>33442</v>
      </c>
      <c r="G146" s="80">
        <v>35076</v>
      </c>
      <c r="H146" s="80">
        <v>42298</v>
      </c>
      <c r="I146" s="80">
        <v>48838.033879999995</v>
      </c>
      <c r="J146" s="80">
        <v>51277.895230000002</v>
      </c>
      <c r="K146" s="80">
        <v>49931.236530000002</v>
      </c>
      <c r="L146" s="80">
        <f>K146-'Toim ja inv rahavirta'!L146</f>
        <v>54457.297916125339</v>
      </c>
      <c r="M146" s="80">
        <f>L146-'Toim ja inv rahavirta'!M146</f>
        <v>61932.53186712903</v>
      </c>
      <c r="N146" s="80">
        <f>M146-'Toim ja inv rahavirta'!N146</f>
        <v>69439.035552950139</v>
      </c>
      <c r="O146" s="80">
        <f>N146-'Toim ja inv rahavirta'!O146</f>
        <v>76880.348757651591</v>
      </c>
      <c r="P146" s="80">
        <f>O146-'Toim ja inv rahavirta'!P146</f>
        <v>83382.392211613071</v>
      </c>
      <c r="U146" s="34">
        <v>426</v>
      </c>
      <c r="V146" s="88" t="s">
        <v>460</v>
      </c>
      <c r="W146" s="41">
        <f>C146/'1. Väestöennuste'!E146*1000</f>
        <v>2336.1971146052847</v>
      </c>
      <c r="X146" s="41">
        <f>D146/'1. Väestöennuste'!F146*1000</f>
        <v>2679.2943663116821</v>
      </c>
      <c r="Y146" s="41">
        <f>E146/'1. Väestöennuste'!G146*1000</f>
        <v>2729.7942386831273</v>
      </c>
      <c r="Z146" s="41">
        <f>F146/'1. Väestöennuste'!H146*1000</f>
        <v>2753.5611362700697</v>
      </c>
      <c r="AA146" s="41">
        <f>G146/'1. Väestöennuste'!I146*1000</f>
        <v>2902.681231380338</v>
      </c>
      <c r="AB146" s="41">
        <f>H146/'1. Väestöennuste'!J146*1000</f>
        <v>3526.5966316491581</v>
      </c>
      <c r="AC146" s="41">
        <f>I146/'1. Väestöennuste'!K146*1000</f>
        <v>4076.9708556640785</v>
      </c>
      <c r="AD146" s="41">
        <f>J146/'1. Väestöennuste'!L146*1000</f>
        <v>4286.7325890319353</v>
      </c>
      <c r="AE146" s="41">
        <f>K146/'1. Väestöennuste'!M146*1000</f>
        <v>4171.7133035341294</v>
      </c>
      <c r="AF146" s="41">
        <f>L146/'1. Väestöennuste'!N146*1000</f>
        <v>4636.2419475672859</v>
      </c>
      <c r="AG146" s="41">
        <f>M146/'1. Väestöennuste'!O146*1000</f>
        <v>5302.4427968432383</v>
      </c>
      <c r="AH146" s="41">
        <f>N146/'1. Väestöennuste'!P146*1000</f>
        <v>5979.4226774261724</v>
      </c>
      <c r="AI146" s="41">
        <f>O146/'1. Väestöennuste'!Q146*1000</f>
        <v>6660.3438237591263</v>
      </c>
      <c r="AJ146" s="41">
        <f>P146/'1. Väestöennuste'!R146*1000</f>
        <v>7270.2408415391983</v>
      </c>
    </row>
    <row r="147" spans="1:36" x14ac:dyDescent="0.2">
      <c r="A147" s="30">
        <v>430</v>
      </c>
      <c r="B147" s="31" t="s">
        <v>461</v>
      </c>
      <c r="C147" s="81">
        <v>41582</v>
      </c>
      <c r="D147" s="46">
        <v>33709</v>
      </c>
      <c r="E147" s="46">
        <v>36662</v>
      </c>
      <c r="F147" s="46">
        <v>37675</v>
      </c>
      <c r="G147" s="80">
        <v>42991</v>
      </c>
      <c r="H147" s="80">
        <v>40555</v>
      </c>
      <c r="I147" s="80">
        <v>32406.1633</v>
      </c>
      <c r="J147" s="80">
        <v>31446.186000000002</v>
      </c>
      <c r="K147" s="80">
        <v>24575.008000000002</v>
      </c>
      <c r="L147" s="80">
        <f>K147-'Toim ja inv rahavirta'!L147</f>
        <v>23022.043921266879</v>
      </c>
      <c r="M147" s="80">
        <f>L147-'Toim ja inv rahavirta'!M147</f>
        <v>23949.27997286605</v>
      </c>
      <c r="N147" s="80">
        <f>M147-'Toim ja inv rahavirta'!N147</f>
        <v>24612.608574260492</v>
      </c>
      <c r="O147" s="80">
        <f>N147-'Toim ja inv rahavirta'!O147</f>
        <v>25156.232240433139</v>
      </c>
      <c r="P147" s="80">
        <f>O147-'Toim ja inv rahavirta'!P147</f>
        <v>23817.085200842641</v>
      </c>
      <c r="U147" s="34">
        <v>430</v>
      </c>
      <c r="V147" s="88" t="s">
        <v>461</v>
      </c>
      <c r="W147" s="41">
        <f>C147/'1. Väestöennuste'!E147*1000</f>
        <v>2525.1715552316755</v>
      </c>
      <c r="X147" s="41">
        <f>D147/'1. Väestöennuste'!F147*1000</f>
        <v>2072.2321263908525</v>
      </c>
      <c r="Y147" s="41">
        <f>E147/'1. Väestöennuste'!G147*1000</f>
        <v>2270.0928792569657</v>
      </c>
      <c r="Z147" s="41">
        <f>F147/'1. Väestöennuste'!H147*1000</f>
        <v>2349.9875249500997</v>
      </c>
      <c r="AA147" s="41">
        <f>G147/'1. Väestöennuste'!I147*1000</f>
        <v>2708.0944881889764</v>
      </c>
      <c r="AB147" s="41">
        <f>H147/'1. Väestöennuste'!J147*1000</f>
        <v>2571.6550412175015</v>
      </c>
      <c r="AC147" s="41">
        <f>I147/'1. Väestöennuste'!K147*1000</f>
        <v>2073.5963207064242</v>
      </c>
      <c r="AD147" s="41">
        <f>J147/'1. Väestöennuste'!L147*1000</f>
        <v>2043.0214397089399</v>
      </c>
      <c r="AE147" s="41">
        <f>K147/'1. Väestöennuste'!M147*1000</f>
        <v>1593.7099870298314</v>
      </c>
      <c r="AF147" s="41">
        <f>L147/'1. Väestöennuste'!N147*1000</f>
        <v>1512.0217996366005</v>
      </c>
      <c r="AG147" s="41">
        <f>M147/'1. Väestöennuste'!O147*1000</f>
        <v>1585.6249982035256</v>
      </c>
      <c r="AH147" s="41">
        <f>N147/'1. Väestöennuste'!P147*1000</f>
        <v>1642.263866968739</v>
      </c>
      <c r="AI147" s="41">
        <f>O147/'1. Väestöennuste'!Q147*1000</f>
        <v>1691.2889767670524</v>
      </c>
      <c r="AJ147" s="41">
        <f>P147/'1. Väestöennuste'!R147*1000</f>
        <v>1613.0772232199554</v>
      </c>
    </row>
    <row r="148" spans="1:36" x14ac:dyDescent="0.2">
      <c r="A148" s="30">
        <v>433</v>
      </c>
      <c r="B148" s="31" t="s">
        <v>462</v>
      </c>
      <c r="C148" s="81">
        <v>16144</v>
      </c>
      <c r="D148" s="46">
        <v>21328</v>
      </c>
      <c r="E148" s="46">
        <v>20033</v>
      </c>
      <c r="F148" s="46">
        <v>19798</v>
      </c>
      <c r="G148" s="80">
        <v>20822</v>
      </c>
      <c r="H148" s="80">
        <v>18598</v>
      </c>
      <c r="I148" s="80">
        <v>15621.875</v>
      </c>
      <c r="J148" s="80">
        <v>15896.874999999998</v>
      </c>
      <c r="K148" s="80">
        <v>17050</v>
      </c>
      <c r="L148" s="80">
        <f>K148-'Toim ja inv rahavirta'!L148</f>
        <v>18372.999457528491</v>
      </c>
      <c r="M148" s="80">
        <f>L148-'Toim ja inv rahavirta'!M148</f>
        <v>20412.708443955496</v>
      </c>
      <c r="N148" s="80">
        <f>M148-'Toim ja inv rahavirta'!N148</f>
        <v>22073.989850393362</v>
      </c>
      <c r="O148" s="80">
        <f>N148-'Toim ja inv rahavirta'!O148</f>
        <v>24051.6857564245</v>
      </c>
      <c r="P148" s="80">
        <f>O148-'Toim ja inv rahavirta'!P148</f>
        <v>25276.622590781946</v>
      </c>
      <c r="U148" s="34">
        <v>433</v>
      </c>
      <c r="V148" s="88" t="s">
        <v>462</v>
      </c>
      <c r="W148" s="41">
        <f>C148/'1. Väestöennuste'!E148*1000</f>
        <v>1974.8012232415902</v>
      </c>
      <c r="X148" s="41">
        <f>D148/'1. Väestöennuste'!F148*1000</f>
        <v>2633.7367251173127</v>
      </c>
      <c r="Y148" s="41">
        <f>E148/'1. Väestöennuste'!G148*1000</f>
        <v>2495.391131041355</v>
      </c>
      <c r="Z148" s="41">
        <f>F148/'1. Väestöennuste'!H148*1000</f>
        <v>2518.5090955349192</v>
      </c>
      <c r="AA148" s="41">
        <f>G148/'1. Väestöennuste'!I148*1000</f>
        <v>2659.9386816555952</v>
      </c>
      <c r="AB148" s="41">
        <f>H148/'1. Väestöennuste'!J148*1000</f>
        <v>2368.2669043677574</v>
      </c>
      <c r="AC148" s="41">
        <f>I148/'1. Väestöennuste'!K148*1000</f>
        <v>2003.0612899089629</v>
      </c>
      <c r="AD148" s="41">
        <f>J148/'1. Väestöennuste'!L148*1000</f>
        <v>2051.4743837914566</v>
      </c>
      <c r="AE148" s="41">
        <f>K148/'1. Väestöennuste'!M148*1000</f>
        <v>2216.5886635465417</v>
      </c>
      <c r="AF148" s="41">
        <f>L148/'1. Väestöennuste'!N148*1000</f>
        <v>2402.6414878420937</v>
      </c>
      <c r="AG148" s="41">
        <f>M148/'1. Väestöennuste'!O148*1000</f>
        <v>2684.8228914843476</v>
      </c>
      <c r="AH148" s="41">
        <f>N148/'1. Väestöennuste'!P148*1000</f>
        <v>2920.9990539094033</v>
      </c>
      <c r="AI148" s="41">
        <f>O148/'1. Väestöennuste'!Q148*1000</f>
        <v>3200.4904532833666</v>
      </c>
      <c r="AJ148" s="41">
        <f>P148/'1. Väestöennuste'!R148*1000</f>
        <v>3383.2984327107411</v>
      </c>
    </row>
    <row r="149" spans="1:36" x14ac:dyDescent="0.2">
      <c r="A149" s="30">
        <v>434</v>
      </c>
      <c r="B149" s="31" t="s">
        <v>463</v>
      </c>
      <c r="C149" s="81">
        <v>36085</v>
      </c>
      <c r="D149" s="46">
        <v>34440</v>
      </c>
      <c r="E149" s="46">
        <v>35709</v>
      </c>
      <c r="F149" s="46">
        <v>44635</v>
      </c>
      <c r="G149" s="80">
        <v>63855</v>
      </c>
      <c r="H149" s="80">
        <v>84379</v>
      </c>
      <c r="I149" s="80">
        <v>75495.678759999995</v>
      </c>
      <c r="J149" s="80">
        <v>66594.950559999997</v>
      </c>
      <c r="K149" s="80">
        <v>64226.688799999996</v>
      </c>
      <c r="L149" s="80">
        <f>K149-'Toim ja inv rahavirta'!L149</f>
        <v>65359.522819509591</v>
      </c>
      <c r="M149" s="80">
        <f>L149-'Toim ja inv rahavirta'!M149</f>
        <v>69237.203973018171</v>
      </c>
      <c r="N149" s="80">
        <f>M149-'Toim ja inv rahavirta'!N149</f>
        <v>73965.88659722406</v>
      </c>
      <c r="O149" s="80">
        <f>N149-'Toim ja inv rahavirta'!O149</f>
        <v>78543.117265603913</v>
      </c>
      <c r="P149" s="80">
        <f>O149-'Toim ja inv rahavirta'!P149</f>
        <v>82346.380326960571</v>
      </c>
      <c r="U149" s="34">
        <v>434</v>
      </c>
      <c r="V149" s="88" t="s">
        <v>463</v>
      </c>
      <c r="W149" s="41">
        <f>C149/'1. Väestöennuste'!E149*1000</f>
        <v>2356.8022990007184</v>
      </c>
      <c r="X149" s="41">
        <f>D149/'1. Väestöennuste'!F149*1000</f>
        <v>2264.5975802209364</v>
      </c>
      <c r="Y149" s="41">
        <f>E149/'1. Väestöennuste'!G149*1000</f>
        <v>2367.1859463042761</v>
      </c>
      <c r="Z149" s="41">
        <f>F149/'1. Väestöennuste'!H149*1000</f>
        <v>2997.4481230273318</v>
      </c>
      <c r="AA149" s="41">
        <f>G149/'1. Väestöennuste'!I149*1000</f>
        <v>4322.7051177904141</v>
      </c>
      <c r="AB149" s="41">
        <f>H149/'1. Väestöennuste'!J149*1000</f>
        <v>5722.5500169548995</v>
      </c>
      <c r="AC149" s="41">
        <f>I149/'1. Väestöennuste'!K149*1000</f>
        <v>5155.7521518814447</v>
      </c>
      <c r="AD149" s="41">
        <f>J149/'1. Väestöennuste'!L149*1000</f>
        <v>4571.3173091707858</v>
      </c>
      <c r="AE149" s="41">
        <f>K149/'1. Väestöennuste'!M149*1000</f>
        <v>4442.2941485682668</v>
      </c>
      <c r="AF149" s="41">
        <f>L149/'1. Väestöennuste'!N149*1000</f>
        <v>4562.6193940320827</v>
      </c>
      <c r="AG149" s="41">
        <f>M149/'1. Väestöennuste'!O149*1000</f>
        <v>4862.8461843670575</v>
      </c>
      <c r="AH149" s="41">
        <f>N149/'1. Väestöennuste'!P149*1000</f>
        <v>5226.1631171641393</v>
      </c>
      <c r="AI149" s="41">
        <f>O149/'1. Väestöennuste'!Q149*1000</f>
        <v>5579.1388880241457</v>
      </c>
      <c r="AJ149" s="41">
        <f>P149/'1. Väestöennuste'!R149*1000</f>
        <v>5878.5251518389905</v>
      </c>
    </row>
    <row r="150" spans="1:36" x14ac:dyDescent="0.2">
      <c r="A150" s="30">
        <v>435</v>
      </c>
      <c r="B150" s="31" t="s">
        <v>464</v>
      </c>
      <c r="C150" s="81">
        <v>1422</v>
      </c>
      <c r="D150" s="46">
        <v>1231</v>
      </c>
      <c r="E150" s="46">
        <v>2235</v>
      </c>
      <c r="F150" s="46">
        <v>2087</v>
      </c>
      <c r="G150" s="80">
        <v>1959</v>
      </c>
      <c r="H150" s="80">
        <v>2896</v>
      </c>
      <c r="I150" s="80">
        <v>2694.7849999999999</v>
      </c>
      <c r="J150" s="80">
        <v>2494.087</v>
      </c>
      <c r="K150" s="80">
        <v>2290.9450000000002</v>
      </c>
      <c r="L150" s="80">
        <f>K150-'Toim ja inv rahavirta'!L150</f>
        <v>2594.0197020095907</v>
      </c>
      <c r="M150" s="80">
        <f>L150-'Toim ja inv rahavirta'!M150</f>
        <v>2953.5598098753326</v>
      </c>
      <c r="N150" s="80">
        <f>M150-'Toim ja inv rahavirta'!N150</f>
        <v>3394.3757793209047</v>
      </c>
      <c r="O150" s="80">
        <f>N150-'Toim ja inv rahavirta'!O150</f>
        <v>3896.1215435599997</v>
      </c>
      <c r="P150" s="80">
        <f>O150-'Toim ja inv rahavirta'!P150</f>
        <v>4414.1309291795815</v>
      </c>
      <c r="U150" s="34">
        <v>435</v>
      </c>
      <c r="V150" s="88" t="s">
        <v>464</v>
      </c>
      <c r="W150" s="41">
        <f>C150/'1. Väestöennuste'!E150*1000</f>
        <v>1868.5939553219448</v>
      </c>
      <c r="X150" s="41">
        <f>D150/'1. Väestöennuste'!F150*1000</f>
        <v>1628.3068783068784</v>
      </c>
      <c r="Y150" s="41">
        <f>E150/'1. Väestöennuste'!G150*1000</f>
        <v>3044.9591280653954</v>
      </c>
      <c r="Z150" s="41">
        <f>F150/'1. Väestöennuste'!H150*1000</f>
        <v>2951.9094766619519</v>
      </c>
      <c r="AA150" s="41">
        <f>G150/'1. Väestöennuste'!I150*1000</f>
        <v>2839.1304347826085</v>
      </c>
      <c r="AB150" s="41">
        <f>H150/'1. Väestöennuste'!J150*1000</f>
        <v>4143.0615164520741</v>
      </c>
      <c r="AC150" s="41">
        <f>I150/'1. Väestöennuste'!K150*1000</f>
        <v>3833.2645803698433</v>
      </c>
      <c r="AD150" s="41">
        <f>J150/'1. Väestöennuste'!L150*1000</f>
        <v>3604.1719653179189</v>
      </c>
      <c r="AE150" s="41">
        <f>K150/'1. Väestöennuste'!M150*1000</f>
        <v>3263.4544159544162</v>
      </c>
      <c r="AF150" s="41">
        <f>L150/'1. Väestöennuste'!N150*1000</f>
        <v>3775.8656506689822</v>
      </c>
      <c r="AG150" s="41">
        <f>M150/'1. Väestöennuste'!O150*1000</f>
        <v>4324.3921081630051</v>
      </c>
      <c r="AH150" s="41">
        <f>N150/'1. Väestöennuste'!P150*1000</f>
        <v>4969.8034836323641</v>
      </c>
      <c r="AI150" s="41">
        <f>O150/'1. Väestöennuste'!Q150*1000</f>
        <v>5729.5905052352937</v>
      </c>
      <c r="AJ150" s="41">
        <f>P150/'1. Väestöennuste'!R150*1000</f>
        <v>6500.9292035045382</v>
      </c>
    </row>
    <row r="151" spans="1:36" x14ac:dyDescent="0.2">
      <c r="A151" s="30">
        <v>436</v>
      </c>
      <c r="B151" s="31" t="s">
        <v>465</v>
      </c>
      <c r="C151" s="81">
        <v>5299</v>
      </c>
      <c r="D151" s="46">
        <v>4905</v>
      </c>
      <c r="E151" s="46">
        <v>6287</v>
      </c>
      <c r="F151" s="46">
        <v>7176</v>
      </c>
      <c r="G151" s="80">
        <v>6942</v>
      </c>
      <c r="H151" s="80">
        <v>5967</v>
      </c>
      <c r="I151" s="80">
        <v>5161.2820000000002</v>
      </c>
      <c r="J151" s="80">
        <v>6371.0479999999998</v>
      </c>
      <c r="K151" s="80">
        <v>8218.3140000000003</v>
      </c>
      <c r="L151" s="80">
        <f>K151-'Toim ja inv rahavirta'!L151</f>
        <v>9208.5366988156256</v>
      </c>
      <c r="M151" s="80">
        <f>L151-'Toim ja inv rahavirta'!M151</f>
        <v>10986.335242818266</v>
      </c>
      <c r="N151" s="80">
        <f>M151-'Toim ja inv rahavirta'!N151</f>
        <v>12356.008825734931</v>
      </c>
      <c r="O151" s="80">
        <f>N151-'Toim ja inv rahavirta'!O151</f>
        <v>13855.163097498049</v>
      </c>
      <c r="P151" s="80">
        <f>O151-'Toim ja inv rahavirta'!P151</f>
        <v>15406.675186993542</v>
      </c>
      <c r="U151" s="34">
        <v>436</v>
      </c>
      <c r="V151" s="88" t="s">
        <v>465</v>
      </c>
      <c r="W151" s="41">
        <f>C151/'1. Väestöennuste'!E151*1000</f>
        <v>2552.504816955684</v>
      </c>
      <c r="X151" s="41">
        <f>D151/'1. Väestöennuste'!F151*1000</f>
        <v>2330.1662707838482</v>
      </c>
      <c r="Y151" s="41">
        <f>E151/'1. Väestöennuste'!G151*1000</f>
        <v>3021.1436809226334</v>
      </c>
      <c r="Z151" s="41">
        <f>F151/'1. Väestöennuste'!H151*1000</f>
        <v>3497.0760233918127</v>
      </c>
      <c r="AA151" s="41">
        <f>G151/'1. Väestöennuste'!I151*1000</f>
        <v>3436.6336633663368</v>
      </c>
      <c r="AB151" s="41">
        <f>H151/'1. Väestöennuste'!J151*1000</f>
        <v>2930.746561886051</v>
      </c>
      <c r="AC151" s="41">
        <f>I151/'1. Väestöennuste'!K151*1000</f>
        <v>2557.6223984142716</v>
      </c>
      <c r="AD151" s="41">
        <f>J151/'1. Väestöennuste'!L151*1000</f>
        <v>3204.7525150905431</v>
      </c>
      <c r="AE151" s="41">
        <f>K151/'1. Väestöennuste'!M151*1000</f>
        <v>4042.4564682734881</v>
      </c>
      <c r="AF151" s="41">
        <f>L151/'1. Väestöennuste'!N151*1000</f>
        <v>4563.1995534269699</v>
      </c>
      <c r="AG151" s="41">
        <f>M151/'1. Väestöennuste'!O151*1000</f>
        <v>5468.5591054346769</v>
      </c>
      <c r="AH151" s="41">
        <f>N151/'1. Väestöennuste'!P151*1000</f>
        <v>6165.6730667339971</v>
      </c>
      <c r="AI151" s="41">
        <f>O151/'1. Väestöennuste'!Q151*1000</f>
        <v>6937.9885315463434</v>
      </c>
      <c r="AJ151" s="41">
        <f>P151/'1. Väestöennuste'!R151*1000</f>
        <v>7734.2746922658343</v>
      </c>
    </row>
    <row r="152" spans="1:36" x14ac:dyDescent="0.2">
      <c r="A152" s="30">
        <v>440</v>
      </c>
      <c r="B152" s="31" t="s">
        <v>466</v>
      </c>
      <c r="C152" s="81">
        <v>11132</v>
      </c>
      <c r="D152" s="46">
        <v>13183</v>
      </c>
      <c r="E152" s="46">
        <v>23322</v>
      </c>
      <c r="F152" s="46">
        <v>25775</v>
      </c>
      <c r="G152" s="80">
        <v>25550</v>
      </c>
      <c r="H152" s="80">
        <v>27550</v>
      </c>
      <c r="I152" s="80">
        <v>25500</v>
      </c>
      <c r="J152" s="80">
        <v>22500</v>
      </c>
      <c r="K152" s="80">
        <v>31200</v>
      </c>
      <c r="L152" s="80">
        <f>K152-'Toim ja inv rahavirta'!L152</f>
        <v>33331.989344195594</v>
      </c>
      <c r="M152" s="80">
        <f>L152-'Toim ja inv rahavirta'!M152</f>
        <v>35021.101675071215</v>
      </c>
      <c r="N152" s="80">
        <f>M152-'Toim ja inv rahavirta'!N152</f>
        <v>37028.812032862406</v>
      </c>
      <c r="O152" s="80">
        <f>N152-'Toim ja inv rahavirta'!O152</f>
        <v>38971.189008139394</v>
      </c>
      <c r="P152" s="80">
        <f>O152-'Toim ja inv rahavirta'!P152</f>
        <v>40431.738193549114</v>
      </c>
      <c r="U152" s="34">
        <v>440</v>
      </c>
      <c r="V152" s="88" t="s">
        <v>466</v>
      </c>
      <c r="W152" s="41">
        <f>C152/'1. Väestöennuste'!E152*1000</f>
        <v>2162.8132892947347</v>
      </c>
      <c r="X152" s="41">
        <f>D152/'1. Väestöennuste'!F152*1000</f>
        <v>2546.9474497681608</v>
      </c>
      <c r="Y152" s="41">
        <f>E152/'1. Väestöennuste'!G152*1000</f>
        <v>4430.4711246200604</v>
      </c>
      <c r="Z152" s="41">
        <f>F152/'1. Väestöennuste'!H152*1000</f>
        <v>4826.7790262172284</v>
      </c>
      <c r="AA152" s="41">
        <f>G152/'1. Väestöennuste'!I152*1000</f>
        <v>4716.6328225955331</v>
      </c>
      <c r="AB152" s="41">
        <f>H152/'1. Väestöennuste'!J152*1000</f>
        <v>4978.3158655583666</v>
      </c>
      <c r="AC152" s="41">
        <f>I152/'1. Väestöennuste'!K152*1000</f>
        <v>4535.7524012806825</v>
      </c>
      <c r="AD152" s="41">
        <f>J152/'1. Väestöennuste'!L152*1000</f>
        <v>3925.33147243545</v>
      </c>
      <c r="AE152" s="41">
        <f>K152/'1. Väestöennuste'!M152*1000</f>
        <v>5339.7227451651543</v>
      </c>
      <c r="AF152" s="41">
        <f>L152/'1. Väestöennuste'!N152*1000</f>
        <v>5683.2036392490354</v>
      </c>
      <c r="AG152" s="41">
        <f>M152/'1. Väestöennuste'!O152*1000</f>
        <v>5898.7875484371252</v>
      </c>
      <c r="AH152" s="41">
        <f>N152/'1. Väestöennuste'!P152*1000</f>
        <v>6164.2770156255046</v>
      </c>
      <c r="AI152" s="41">
        <f>O152/'1. Väestöennuste'!Q152*1000</f>
        <v>6415.0105363192424</v>
      </c>
      <c r="AJ152" s="41">
        <f>P152/'1. Väestöennuste'!R152*1000</f>
        <v>6586.0462931339171</v>
      </c>
    </row>
    <row r="153" spans="1:36" x14ac:dyDescent="0.2">
      <c r="A153" s="30">
        <v>441</v>
      </c>
      <c r="B153" s="31" t="s">
        <v>467</v>
      </c>
      <c r="C153" s="81">
        <v>2819</v>
      </c>
      <c r="D153" s="46">
        <v>2809</v>
      </c>
      <c r="E153" s="46">
        <v>2800</v>
      </c>
      <c r="F153" s="46">
        <v>2790</v>
      </c>
      <c r="G153" s="80">
        <v>3780</v>
      </c>
      <c r="H153" s="80">
        <v>4141</v>
      </c>
      <c r="I153" s="80">
        <v>3972.4505399999998</v>
      </c>
      <c r="J153" s="80">
        <v>3803.8160999999996</v>
      </c>
      <c r="K153" s="80">
        <v>3635.1816600000002</v>
      </c>
      <c r="L153" s="80">
        <f>K153-'Toim ja inv rahavirta'!L153</f>
        <v>5035.8019041121888</v>
      </c>
      <c r="M153" s="80">
        <f>L153-'Toim ja inv rahavirta'!M153</f>
        <v>6818.8867167390817</v>
      </c>
      <c r="N153" s="80">
        <f>M153-'Toim ja inv rahavirta'!N153</f>
        <v>8641.2054048971331</v>
      </c>
      <c r="O153" s="80">
        <f>N153-'Toim ja inv rahavirta'!O153</f>
        <v>10610.742368063326</v>
      </c>
      <c r="P153" s="80">
        <f>O153-'Toim ja inv rahavirta'!P153</f>
        <v>12316.426648269686</v>
      </c>
      <c r="U153" s="34">
        <v>441</v>
      </c>
      <c r="V153" s="88" t="s">
        <v>467</v>
      </c>
      <c r="W153" s="41">
        <f>C153/'1. Väestöennuste'!E153*1000</f>
        <v>580.04115226337444</v>
      </c>
      <c r="X153" s="41">
        <f>D153/'1. Väestöennuste'!F153*1000</f>
        <v>581.45311529703986</v>
      </c>
      <c r="Y153" s="41">
        <f>E153/'1. Väestöennuste'!G153*1000</f>
        <v>589.84621866441967</v>
      </c>
      <c r="Z153" s="41">
        <f>F153/'1. Väestöennuste'!H153*1000</f>
        <v>598.45559845559853</v>
      </c>
      <c r="AA153" s="41">
        <f>G153/'1. Väestöennuste'!I153*1000</f>
        <v>815.35806729939611</v>
      </c>
      <c r="AB153" s="41">
        <f>H153/'1. Väestöennuste'!J153*1000</f>
        <v>911.51221659696239</v>
      </c>
      <c r="AC153" s="41">
        <f>I153/'1. Väestöennuste'!K153*1000</f>
        <v>888.09535881958413</v>
      </c>
      <c r="AD153" s="41">
        <f>J153/'1. Väestöennuste'!L153*1000</f>
        <v>860.3972178240216</v>
      </c>
      <c r="AE153" s="41">
        <f>K153/'1. Väestöennuste'!M153*1000</f>
        <v>826.92940400363966</v>
      </c>
      <c r="AF153" s="41">
        <f>L153/'1. Väestöennuste'!N153*1000</f>
        <v>1172.2071471397089</v>
      </c>
      <c r="AG153" s="41">
        <f>M153/'1. Väestöennuste'!O153*1000</f>
        <v>1606.3337377477226</v>
      </c>
      <c r="AH153" s="41">
        <f>N153/'1. Väestöennuste'!P153*1000</f>
        <v>2058.4100535724474</v>
      </c>
      <c r="AI153" s="41">
        <f>O153/'1. Väestöennuste'!Q153*1000</f>
        <v>2556.8053898947769</v>
      </c>
      <c r="AJ153" s="41">
        <f>P153/'1. Väestöennuste'!R153*1000</f>
        <v>3001.8100531975833</v>
      </c>
    </row>
    <row r="154" spans="1:36" x14ac:dyDescent="0.2">
      <c r="A154" s="30">
        <v>444</v>
      </c>
      <c r="B154" s="31" t="s">
        <v>468</v>
      </c>
      <c r="C154" s="81">
        <v>107770</v>
      </c>
      <c r="D154" s="46">
        <v>118856</v>
      </c>
      <c r="E154" s="46">
        <v>143481</v>
      </c>
      <c r="F154" s="46">
        <v>157001</v>
      </c>
      <c r="G154" s="80">
        <v>173920</v>
      </c>
      <c r="H154" s="80">
        <v>178390</v>
      </c>
      <c r="I154" s="80">
        <v>193194.27662000002</v>
      </c>
      <c r="J154" s="80">
        <v>179685.70137</v>
      </c>
      <c r="K154" s="80">
        <v>184014.99906</v>
      </c>
      <c r="L154" s="80">
        <f>K154-'Toim ja inv rahavirta'!L154</f>
        <v>193786.32062726055</v>
      </c>
      <c r="M154" s="80">
        <f>L154-'Toim ja inv rahavirta'!M154</f>
        <v>208073.0189639036</v>
      </c>
      <c r="N154" s="80">
        <f>M154-'Toim ja inv rahavirta'!N154</f>
        <v>223571.17827331662</v>
      </c>
      <c r="O154" s="80">
        <f>N154-'Toim ja inv rahavirta'!O154</f>
        <v>240095.67456895721</v>
      </c>
      <c r="P154" s="80">
        <f>O154-'Toim ja inv rahavirta'!P154</f>
        <v>253770.93339364204</v>
      </c>
      <c r="U154" s="34">
        <v>444</v>
      </c>
      <c r="V154" s="88" t="s">
        <v>468</v>
      </c>
      <c r="W154" s="41">
        <f>C154/'1. Väestöennuste'!E154*1000</f>
        <v>2275.885371570967</v>
      </c>
      <c r="X154" s="41">
        <f>D154/'1. Väestöennuste'!F154*1000</f>
        <v>2520.859403168678</v>
      </c>
      <c r="Y154" s="41">
        <f>E154/'1. Väestöennuste'!G154*1000</f>
        <v>3066.8162872715616</v>
      </c>
      <c r="Z154" s="41">
        <f>F154/'1. Väestöennuste'!H154*1000</f>
        <v>3391.2433039571456</v>
      </c>
      <c r="AA154" s="41">
        <f>G154/'1. Väestöennuste'!I154*1000</f>
        <v>3783.7485042967478</v>
      </c>
      <c r="AB154" s="41">
        <f>H154/'1. Väestöennuste'!J154*1000</f>
        <v>3887.6781589155735</v>
      </c>
      <c r="AC154" s="41">
        <f>I154/'1. Väestöennuste'!K154*1000</f>
        <v>4200.9714843002521</v>
      </c>
      <c r="AD154" s="41">
        <f>J154/'1. Väestöennuste'!L154*1000</f>
        <v>3922.3265453711988</v>
      </c>
      <c r="AE154" s="41">
        <f>K154/'1. Väestöennuste'!M154*1000</f>
        <v>4031.4382530397629</v>
      </c>
      <c r="AF154" s="41">
        <f>L154/'1. Väestöennuste'!N154*1000</f>
        <v>4316.2420791424938</v>
      </c>
      <c r="AG154" s="41">
        <f>M154/'1. Väestöennuste'!O154*1000</f>
        <v>4658.1078368421859</v>
      </c>
      <c r="AH154" s="41">
        <f>N154/'1. Väestöennuste'!P154*1000</f>
        <v>5029.6096437271744</v>
      </c>
      <c r="AI154" s="41">
        <f>O154/'1. Väestöennuste'!Q154*1000</f>
        <v>5426.7494195456275</v>
      </c>
      <c r="AJ154" s="41">
        <f>P154/'1. Väestöennuste'!R154*1000</f>
        <v>5761.3670259868331</v>
      </c>
    </row>
    <row r="155" spans="1:36" x14ac:dyDescent="0.2">
      <c r="A155" s="30">
        <v>445</v>
      </c>
      <c r="B155" s="31" t="s">
        <v>469</v>
      </c>
      <c r="C155" s="81">
        <v>41370</v>
      </c>
      <c r="D155" s="46">
        <v>40187</v>
      </c>
      <c r="E155" s="46">
        <v>43904</v>
      </c>
      <c r="F155" s="46">
        <v>41283</v>
      </c>
      <c r="G155" s="80">
        <v>44959</v>
      </c>
      <c r="H155" s="80">
        <v>42802</v>
      </c>
      <c r="I155" s="80">
        <v>40732.527439999998</v>
      </c>
      <c r="J155" s="80">
        <v>41507.533360000001</v>
      </c>
      <c r="K155" s="80">
        <v>45999.381820000002</v>
      </c>
      <c r="L155" s="80">
        <f>K155-'Toim ja inv rahavirta'!L155</f>
        <v>51117.613786777947</v>
      </c>
      <c r="M155" s="80">
        <f>L155-'Toim ja inv rahavirta'!M155</f>
        <v>56970.204557820107</v>
      </c>
      <c r="N155" s="80">
        <f>M155-'Toim ja inv rahavirta'!N155</f>
        <v>62216.510437260942</v>
      </c>
      <c r="O155" s="80">
        <f>N155-'Toim ja inv rahavirta'!O155</f>
        <v>67239.23362960518</v>
      </c>
      <c r="P155" s="80">
        <f>O155-'Toim ja inv rahavirta'!P155</f>
        <v>71091.950293260394</v>
      </c>
      <c r="U155" s="34">
        <v>445</v>
      </c>
      <c r="V155" s="88" t="s">
        <v>469</v>
      </c>
      <c r="W155" s="41">
        <f>C155/'1. Väestöennuste'!E155*1000</f>
        <v>2676.4572685514649</v>
      </c>
      <c r="X155" s="41">
        <f>D155/'1. Väestöennuste'!F155*1000</f>
        <v>2609.8844005715027</v>
      </c>
      <c r="Y155" s="41">
        <f>E155/'1. Väestöennuste'!G155*1000</f>
        <v>2872.3585214262348</v>
      </c>
      <c r="Z155" s="41">
        <f>F155/'1. Väestöennuste'!H155*1000</f>
        <v>2712.9526187816259</v>
      </c>
      <c r="AA155" s="41">
        <f>G155/'1. Väestöennuste'!I155*1000</f>
        <v>2971.1208035950303</v>
      </c>
      <c r="AB155" s="41">
        <f>H155/'1. Väestöennuste'!J155*1000</f>
        <v>2833.6312479311487</v>
      </c>
      <c r="AC155" s="41">
        <f>I155/'1. Väestöennuste'!K155*1000</f>
        <v>2700.0217048919526</v>
      </c>
      <c r="AD155" s="41">
        <f>J155/'1. Väestöennuste'!L155*1000</f>
        <v>2768.8301887799348</v>
      </c>
      <c r="AE155" s="41">
        <f>K155/'1. Väestöennuste'!M155*1000</f>
        <v>3066.829909994</v>
      </c>
      <c r="AF155" s="41">
        <f>L155/'1. Väestöennuste'!N155*1000</f>
        <v>3452.4931640401155</v>
      </c>
      <c r="AG155" s="41">
        <f>M155/'1. Väestöennuste'!O155*1000</f>
        <v>3864.7448991126862</v>
      </c>
      <c r="AH155" s="41">
        <f>N155/'1. Väestöennuste'!P155*1000</f>
        <v>4238.4706340527928</v>
      </c>
      <c r="AI155" s="41">
        <f>O155/'1. Väestöennuste'!Q155*1000</f>
        <v>4598.8122310105455</v>
      </c>
      <c r="AJ155" s="41">
        <f>P155/'1. Väestöennuste'!R155*1000</f>
        <v>4881.6830524795978</v>
      </c>
    </row>
    <row r="156" spans="1:36" x14ac:dyDescent="0.2">
      <c r="A156" s="30">
        <v>475</v>
      </c>
      <c r="B156" s="31" t="s">
        <v>470</v>
      </c>
      <c r="C156" s="81">
        <v>15530</v>
      </c>
      <c r="D156" s="46">
        <v>18416</v>
      </c>
      <c r="E156" s="46">
        <v>20419</v>
      </c>
      <c r="F156" s="46">
        <v>23335</v>
      </c>
      <c r="G156" s="80">
        <v>28188</v>
      </c>
      <c r="H156" s="80">
        <v>28185</v>
      </c>
      <c r="I156" s="80">
        <v>29338.363040000004</v>
      </c>
      <c r="J156" s="80">
        <v>26558.612799999995</v>
      </c>
      <c r="K156" s="80">
        <v>28083.682200000003</v>
      </c>
      <c r="L156" s="80">
        <f>K156-'Toim ja inv rahavirta'!L156</f>
        <v>28349.632240630592</v>
      </c>
      <c r="M156" s="80">
        <f>L156-'Toim ja inv rahavirta'!M156</f>
        <v>28530.59462139471</v>
      </c>
      <c r="N156" s="80">
        <f>M156-'Toim ja inv rahavirta'!N156</f>
        <v>28853.130473810503</v>
      </c>
      <c r="O156" s="80">
        <f>N156-'Toim ja inv rahavirta'!O156</f>
        <v>29602.201922337095</v>
      </c>
      <c r="P156" s="80">
        <f>O156-'Toim ja inv rahavirta'!P156</f>
        <v>29879.762305486031</v>
      </c>
      <c r="U156" s="34">
        <v>475</v>
      </c>
      <c r="V156" s="88" t="s">
        <v>470</v>
      </c>
      <c r="W156" s="41">
        <f>C156/'1. Väestöennuste'!E156*1000</f>
        <v>2800.721370604148</v>
      </c>
      <c r="X156" s="41">
        <f>D156/'1. Väestöennuste'!F156*1000</f>
        <v>3338.0460395142286</v>
      </c>
      <c r="Y156" s="41">
        <f>E156/'1. Väestöennuste'!G156*1000</f>
        <v>3728.1358407887528</v>
      </c>
      <c r="Z156" s="41">
        <f>F156/'1. Väestöennuste'!H156*1000</f>
        <v>4260.5440934818334</v>
      </c>
      <c r="AA156" s="41">
        <f>G156/'1. Väestöennuste'!I156*1000</f>
        <v>5148.4931506849316</v>
      </c>
      <c r="AB156" s="41">
        <f>H156/'1. Väestöennuste'!J156*1000</f>
        <v>5170.6108970831037</v>
      </c>
      <c r="AC156" s="41">
        <f>I156/'1. Väestöennuste'!K156*1000</f>
        <v>5346.8859194459637</v>
      </c>
      <c r="AD156" s="41">
        <f>J156/'1. Väestöennuste'!L156*1000</f>
        <v>4847.3467421062223</v>
      </c>
      <c r="AE156" s="41">
        <f>K156/'1. Väestöennuste'!M156*1000</f>
        <v>5147.3024560117301</v>
      </c>
      <c r="AF156" s="41">
        <f>L156/'1. Väestöennuste'!N156*1000</f>
        <v>5249.9318964130725</v>
      </c>
      <c r="AG156" s="41">
        <f>M156/'1. Väestöennuste'!O156*1000</f>
        <v>5295.2105830353948</v>
      </c>
      <c r="AH156" s="41">
        <f>N156/'1. Väestöennuste'!P156*1000</f>
        <v>5367.0257577772518</v>
      </c>
      <c r="AI156" s="41">
        <f>O156/'1. Väestöennuste'!Q156*1000</f>
        <v>5520.7388889103122</v>
      </c>
      <c r="AJ156" s="41">
        <f>P156/'1. Väestöennuste'!R156*1000</f>
        <v>5594.413462925675</v>
      </c>
    </row>
    <row r="157" spans="1:36" x14ac:dyDescent="0.2">
      <c r="A157" s="30">
        <v>480</v>
      </c>
      <c r="B157" s="31" t="s">
        <v>471</v>
      </c>
      <c r="C157" s="81">
        <v>2144</v>
      </c>
      <c r="D157" s="46">
        <v>2436</v>
      </c>
      <c r="E157" s="46">
        <v>2097</v>
      </c>
      <c r="F157" s="46">
        <v>1758</v>
      </c>
      <c r="G157" s="80">
        <v>2879</v>
      </c>
      <c r="H157" s="80">
        <v>2489</v>
      </c>
      <c r="I157" s="80">
        <v>2319.29819</v>
      </c>
      <c r="J157" s="80">
        <v>1957.3899699999997</v>
      </c>
      <c r="K157" s="80">
        <v>1623.3987999999999</v>
      </c>
      <c r="L157" s="80">
        <f>K157-'Toim ja inv rahavirta'!L157</f>
        <v>1928.4412989847917</v>
      </c>
      <c r="M157" s="80">
        <f>L157-'Toim ja inv rahavirta'!M157</f>
        <v>2364.024373168018</v>
      </c>
      <c r="N157" s="80">
        <f>M157-'Toim ja inv rahavirta'!N157</f>
        <v>2862.4337116178976</v>
      </c>
      <c r="O157" s="80">
        <f>N157-'Toim ja inv rahavirta'!O157</f>
        <v>3464.0213171437304</v>
      </c>
      <c r="P157" s="80">
        <f>O157-'Toim ja inv rahavirta'!P157</f>
        <v>3896.4306224427028</v>
      </c>
      <c r="U157" s="34">
        <v>480</v>
      </c>
      <c r="V157" s="88" t="s">
        <v>471</v>
      </c>
      <c r="W157" s="41">
        <f>C157/'1. Väestöennuste'!E157*1000</f>
        <v>1057.199211045365</v>
      </c>
      <c r="X157" s="41">
        <f>D157/'1. Väestöennuste'!F157*1000</f>
        <v>1205.3438891637802</v>
      </c>
      <c r="Y157" s="41">
        <f>E157/'1. Väestöennuste'!G157*1000</f>
        <v>1054.8289738430583</v>
      </c>
      <c r="Z157" s="41">
        <f>F157/'1. Väestöennuste'!H157*1000</f>
        <v>871.15956392467785</v>
      </c>
      <c r="AA157" s="41">
        <f>G157/'1. Väestöennuste'!I157*1000</f>
        <v>1430.2036761053155</v>
      </c>
      <c r="AB157" s="41">
        <f>H157/'1. Väestöennuste'!J157*1000</f>
        <v>1245.1225612806402</v>
      </c>
      <c r="AC157" s="41">
        <f>I157/'1. Väestöennuste'!K157*1000</f>
        <v>1165.4764773869347</v>
      </c>
      <c r="AD157" s="41">
        <f>J157/'1. Väestöennuste'!L157*1000</f>
        <v>989.58036905965605</v>
      </c>
      <c r="AE157" s="41">
        <f>K157/'1. Väestöennuste'!M157*1000</f>
        <v>841.13927461139895</v>
      </c>
      <c r="AF157" s="41">
        <f>L157/'1. Väestöennuste'!N157*1000</f>
        <v>973.46860120383224</v>
      </c>
      <c r="AG157" s="41">
        <f>M157/'1. Väestöennuste'!O157*1000</f>
        <v>1195.7634664481629</v>
      </c>
      <c r="AH157" s="41">
        <f>N157/'1. Väestöennuste'!P157*1000</f>
        <v>1450.0677363819136</v>
      </c>
      <c r="AI157" s="41">
        <f>O157/'1. Väestöennuste'!Q157*1000</f>
        <v>1759.2794906773643</v>
      </c>
      <c r="AJ157" s="41">
        <f>P157/'1. Väestöennuste'!R157*1000</f>
        <v>1986.9610517300882</v>
      </c>
    </row>
    <row r="158" spans="1:36" x14ac:dyDescent="0.2">
      <c r="A158" s="30">
        <v>481</v>
      </c>
      <c r="B158" s="31" t="s">
        <v>472</v>
      </c>
      <c r="C158" s="81">
        <v>30053</v>
      </c>
      <c r="D158" s="46">
        <v>32483</v>
      </c>
      <c r="E158" s="46">
        <v>35141</v>
      </c>
      <c r="F158" s="46">
        <v>42505</v>
      </c>
      <c r="G158" s="80">
        <v>52574</v>
      </c>
      <c r="H158" s="80">
        <v>48154</v>
      </c>
      <c r="I158" s="80">
        <v>43774.317229999993</v>
      </c>
      <c r="J158" s="80">
        <v>40647.829010000001</v>
      </c>
      <c r="K158" s="80">
        <v>38243.56179</v>
      </c>
      <c r="L158" s="80">
        <f>K158-'Toim ja inv rahavirta'!L158</f>
        <v>38697.756341441476</v>
      </c>
      <c r="M158" s="80">
        <f>L158-'Toim ja inv rahavirta'!M158</f>
        <v>42193.451475427508</v>
      </c>
      <c r="N158" s="80">
        <f>M158-'Toim ja inv rahavirta'!N158</f>
        <v>44779.120013177919</v>
      </c>
      <c r="O158" s="80">
        <f>N158-'Toim ja inv rahavirta'!O158</f>
        <v>47113.463499759891</v>
      </c>
      <c r="P158" s="80">
        <f>O158-'Toim ja inv rahavirta'!P158</f>
        <v>49456.566934809402</v>
      </c>
      <c r="U158" s="34">
        <v>481</v>
      </c>
      <c r="V158" s="88" t="s">
        <v>472</v>
      </c>
      <c r="W158" s="41">
        <f>C158/'1. Väestöennuste'!E158*1000</f>
        <v>3096.3321656707194</v>
      </c>
      <c r="X158" s="41">
        <f>D158/'1. Väestöennuste'!F158*1000</f>
        <v>3357.4160206718348</v>
      </c>
      <c r="Y158" s="41">
        <f>E158/'1. Väestöennuste'!G158*1000</f>
        <v>3639.291632145816</v>
      </c>
      <c r="Z158" s="41">
        <f>F158/'1. Väestöennuste'!H158*1000</f>
        <v>4448.9219175214575</v>
      </c>
      <c r="AA158" s="41">
        <f>G158/'1. Väestöennuste'!I158*1000</f>
        <v>5514.3696245017827</v>
      </c>
      <c r="AB158" s="41">
        <f>H158/'1. Väestöennuste'!J158*1000</f>
        <v>5046.0023053547102</v>
      </c>
      <c r="AC158" s="41">
        <f>I158/'1. Väestöennuste'!K158*1000</f>
        <v>4554.1320464003329</v>
      </c>
      <c r="AD158" s="41">
        <f>J158/'1. Väestöennuste'!L158*1000</f>
        <v>4215.7051451980915</v>
      </c>
      <c r="AE158" s="41">
        <f>K158/'1. Väestöennuste'!M158*1000</f>
        <v>3975.8355120074852</v>
      </c>
      <c r="AF158" s="41">
        <f>L158/'1. Väestöennuste'!N158*1000</f>
        <v>4084.6270151405397</v>
      </c>
      <c r="AG158" s="41">
        <f>M158/'1. Väestöennuste'!O158*1000</f>
        <v>4462.0824318345503</v>
      </c>
      <c r="AH158" s="41">
        <f>N158/'1. Väestöennuste'!P158*1000</f>
        <v>4742.5460721433938</v>
      </c>
      <c r="AI158" s="41">
        <f>O158/'1. Väestöennuste'!Q158*1000</f>
        <v>4995.5957480394327</v>
      </c>
      <c r="AJ158" s="41">
        <f>P158/'1. Väestöennuste'!R158*1000</f>
        <v>5249.051892889981</v>
      </c>
    </row>
    <row r="159" spans="1:36" x14ac:dyDescent="0.2">
      <c r="A159" s="30">
        <v>483</v>
      </c>
      <c r="B159" s="31" t="s">
        <v>473</v>
      </c>
      <c r="C159" s="81">
        <v>2816</v>
      </c>
      <c r="D159" s="46">
        <v>2781</v>
      </c>
      <c r="E159" s="46">
        <v>2994</v>
      </c>
      <c r="F159" s="46">
        <v>3380</v>
      </c>
      <c r="G159" s="80">
        <v>4011</v>
      </c>
      <c r="H159" s="80">
        <v>3933</v>
      </c>
      <c r="I159" s="80">
        <v>3572.8245600000005</v>
      </c>
      <c r="J159" s="80">
        <v>3240.4169999999999</v>
      </c>
      <c r="K159" s="80">
        <v>4266.723</v>
      </c>
      <c r="L159" s="80">
        <f>K159-'Toim ja inv rahavirta'!L159</f>
        <v>5636.3858933744805</v>
      </c>
      <c r="M159" s="80">
        <f>L159-'Toim ja inv rahavirta'!M159</f>
        <v>7776.1234202007217</v>
      </c>
      <c r="N159" s="80">
        <f>M159-'Toim ja inv rahavirta'!N159</f>
        <v>9916.9976631899408</v>
      </c>
      <c r="O159" s="80">
        <f>N159-'Toim ja inv rahavirta'!O159</f>
        <v>12192.92782155175</v>
      </c>
      <c r="P159" s="80">
        <f>O159-'Toim ja inv rahavirta'!P159</f>
        <v>14374.936773664362</v>
      </c>
      <c r="U159" s="34">
        <v>483</v>
      </c>
      <c r="V159" s="88" t="s">
        <v>473</v>
      </c>
      <c r="W159" s="41">
        <f>C159/'1. Väestöennuste'!E159*1000</f>
        <v>2483.2451499118165</v>
      </c>
      <c r="X159" s="41">
        <f>D159/'1. Väestöennuste'!F159*1000</f>
        <v>2458.8859416445625</v>
      </c>
      <c r="Y159" s="41">
        <f>E159/'1. Väestöennuste'!G159*1000</f>
        <v>2675.6032171581769</v>
      </c>
      <c r="Z159" s="41">
        <f>F159/'1. Väestöennuste'!H159*1000</f>
        <v>3061.594202898551</v>
      </c>
      <c r="AA159" s="41">
        <f>G159/'1. Väestöennuste'!I159*1000</f>
        <v>3683.1955922865013</v>
      </c>
      <c r="AB159" s="41">
        <f>H159/'1. Väestöennuste'!J159*1000</f>
        <v>3648.4230055658627</v>
      </c>
      <c r="AC159" s="41">
        <f>I159/'1. Väestöennuste'!K159*1000</f>
        <v>3320.4689219330858</v>
      </c>
      <c r="AD159" s="41">
        <f>J159/'1. Väestöennuste'!L159*1000</f>
        <v>3036.9418931583878</v>
      </c>
      <c r="AE159" s="41">
        <f>K159/'1. Väestöennuste'!M159*1000</f>
        <v>4044.287203791469</v>
      </c>
      <c r="AF159" s="41">
        <f>L159/'1. Väestöennuste'!N159*1000</f>
        <v>5525.8685229161574</v>
      </c>
      <c r="AG159" s="41">
        <f>M159/'1. Väestöennuste'!O159*1000</f>
        <v>7729.7449504977349</v>
      </c>
      <c r="AH159" s="41">
        <f>N159/'1. Väestöennuste'!P159*1000</f>
        <v>9986.9060052265268</v>
      </c>
      <c r="AI159" s="41">
        <f>O159/'1. Väestöennuste'!Q159*1000</f>
        <v>12454.471727836311</v>
      </c>
      <c r="AJ159" s="41">
        <f>P159/'1. Väestöennuste'!R159*1000</f>
        <v>14834.816071893047</v>
      </c>
    </row>
    <row r="160" spans="1:36" x14ac:dyDescent="0.2">
      <c r="A160" s="30">
        <v>484</v>
      </c>
      <c r="B160" s="31" t="s">
        <v>474</v>
      </c>
      <c r="C160" s="81">
        <v>1431</v>
      </c>
      <c r="D160" s="46">
        <v>1251</v>
      </c>
      <c r="E160" s="46">
        <v>1096</v>
      </c>
      <c r="F160" s="46">
        <v>950</v>
      </c>
      <c r="G160" s="80">
        <v>3418</v>
      </c>
      <c r="H160" s="80">
        <v>3149</v>
      </c>
      <c r="I160" s="80">
        <v>2806.0650000000001</v>
      </c>
      <c r="J160" s="80">
        <v>2525.1809999999991</v>
      </c>
      <c r="K160" s="80">
        <v>3241.3069999999998</v>
      </c>
      <c r="L160" s="80">
        <f>K160-'Toim ja inv rahavirta'!L160</f>
        <v>2860.2542317969364</v>
      </c>
      <c r="M160" s="80">
        <f>L160-'Toim ja inv rahavirta'!M160</f>
        <v>4554.6423085524784</v>
      </c>
      <c r="N160" s="80">
        <f>M160-'Toim ja inv rahavirta'!N160</f>
        <v>7271.6855374662164</v>
      </c>
      <c r="O160" s="80">
        <f>N160-'Toim ja inv rahavirta'!O160</f>
        <v>9786.8803699813852</v>
      </c>
      <c r="P160" s="80">
        <f>O160-'Toim ja inv rahavirta'!P160</f>
        <v>12354.609010005415</v>
      </c>
      <c r="U160" s="34">
        <v>484</v>
      </c>
      <c r="V160" s="88" t="s">
        <v>474</v>
      </c>
      <c r="W160" s="41">
        <f>C160/'1. Väestöennuste'!E160*1000</f>
        <v>449.29356357927787</v>
      </c>
      <c r="X160" s="41">
        <f>D160/'1. Väestöennuste'!F160*1000</f>
        <v>394.76175449668665</v>
      </c>
      <c r="Y160" s="41">
        <f>E160/'1. Väestöennuste'!G160*1000</f>
        <v>347.27503168567807</v>
      </c>
      <c r="Z160" s="41">
        <f>F160/'1. Väestöennuste'!H160*1000</f>
        <v>304.97592295345106</v>
      </c>
      <c r="AA160" s="41">
        <f>G160/'1. Väestöennuste'!I160*1000</f>
        <v>1114.4440821649821</v>
      </c>
      <c r="AB160" s="41">
        <f>H160/'1. Väestöennuste'!J160*1000</f>
        <v>1027.071102413568</v>
      </c>
      <c r="AC160" s="41">
        <f>I160/'1. Väestöennuste'!K160*1000</f>
        <v>918.51554828150574</v>
      </c>
      <c r="AD160" s="41">
        <f>J160/'1. Väestöennuste'!L160*1000</f>
        <v>851.08897876643039</v>
      </c>
      <c r="AE160" s="41">
        <f>K160/'1. Väestöennuste'!M160*1000</f>
        <v>1092.8209710047201</v>
      </c>
      <c r="AF160" s="41">
        <f>L160/'1. Väestöennuste'!N160*1000</f>
        <v>959.49487816066301</v>
      </c>
      <c r="AG160" s="41">
        <f>M160/'1. Väestöennuste'!O160*1000</f>
        <v>1536.135685852438</v>
      </c>
      <c r="AH160" s="41">
        <f>N160/'1. Väestöennuste'!P160*1000</f>
        <v>2464.9781482936328</v>
      </c>
      <c r="AI160" s="41">
        <f>O160/'1. Väestöennuste'!Q160*1000</f>
        <v>3336.8156733656274</v>
      </c>
      <c r="AJ160" s="41">
        <f>P160/'1. Väestöennuste'!R160*1000</f>
        <v>4232.4799623177169</v>
      </c>
    </row>
    <row r="161" spans="1:36" x14ac:dyDescent="0.2">
      <c r="A161" s="30">
        <v>489</v>
      </c>
      <c r="B161" s="31" t="s">
        <v>475</v>
      </c>
      <c r="C161" s="81">
        <v>8203</v>
      </c>
      <c r="D161" s="46">
        <v>7073</v>
      </c>
      <c r="E161" s="46">
        <v>8508</v>
      </c>
      <c r="F161" s="46">
        <v>7944</v>
      </c>
      <c r="G161" s="80">
        <v>9379</v>
      </c>
      <c r="H161" s="80">
        <v>8815</v>
      </c>
      <c r="I161" s="80">
        <v>8250.8080000000009</v>
      </c>
      <c r="J161" s="80">
        <v>7686.2559999999994</v>
      </c>
      <c r="K161" s="80">
        <v>8821.7039999999997</v>
      </c>
      <c r="L161" s="80">
        <f>K161-'Toim ja inv rahavirta'!L161</f>
        <v>9763.354614830374</v>
      </c>
      <c r="M161" s="80">
        <f>L161-'Toim ja inv rahavirta'!M161</f>
        <v>11151.540248920928</v>
      </c>
      <c r="N161" s="80">
        <f>M161-'Toim ja inv rahavirta'!N161</f>
        <v>12679.540246672679</v>
      </c>
      <c r="O161" s="80">
        <f>N161-'Toim ja inv rahavirta'!O161</f>
        <v>14394.346293814839</v>
      </c>
      <c r="P161" s="80">
        <f>O161-'Toim ja inv rahavirta'!P161</f>
        <v>16007.741280734293</v>
      </c>
      <c r="U161" s="34">
        <v>489</v>
      </c>
      <c r="V161" s="88" t="s">
        <v>475</v>
      </c>
      <c r="W161" s="41">
        <f>C161/'1. Väestöennuste'!E161*1000</f>
        <v>3934.2925659472421</v>
      </c>
      <c r="X161" s="41">
        <f>D161/'1. Väestöennuste'!F161*1000</f>
        <v>3477.3844641101277</v>
      </c>
      <c r="Y161" s="41">
        <f>E161/'1. Väestöennuste'!G161*1000</f>
        <v>4271.0843373493972</v>
      </c>
      <c r="Z161" s="41">
        <f>F161/'1. Väestöennuste'!H161*1000</f>
        <v>4094.8453608247419</v>
      </c>
      <c r="AA161" s="41">
        <f>G161/'1. Väestöennuste'!I161*1000</f>
        <v>5050.6192784060313</v>
      </c>
      <c r="AB161" s="41">
        <f>H161/'1. Väestöennuste'!J161*1000</f>
        <v>4718.9507494646687</v>
      </c>
      <c r="AC161" s="41">
        <f>I161/'1. Väestöennuste'!K161*1000</f>
        <v>4496.3531335149864</v>
      </c>
      <c r="AD161" s="41">
        <f>J161/'1. Väestöennuste'!L161*1000</f>
        <v>4291.6002233389163</v>
      </c>
      <c r="AE161" s="41">
        <f>K161/'1. Väestöennuste'!M161*1000</f>
        <v>5035.2191780821913</v>
      </c>
      <c r="AF161" s="41">
        <f>L161/'1. Väestöennuste'!N161*1000</f>
        <v>5646.8216395780064</v>
      </c>
      <c r="AG161" s="41">
        <f>M161/'1. Väestöennuste'!O161*1000</f>
        <v>6552.0212978383834</v>
      </c>
      <c r="AH161" s="41">
        <f>N161/'1. Väestöennuste'!P161*1000</f>
        <v>7569.8747741329435</v>
      </c>
      <c r="AI161" s="41">
        <f>O161/'1. Väestöennuste'!Q161*1000</f>
        <v>8729.1366245086956</v>
      </c>
      <c r="AJ161" s="41">
        <f>P161/'1. Väestöennuste'!R161*1000</f>
        <v>9850.9177112211037</v>
      </c>
    </row>
    <row r="162" spans="1:36" x14ac:dyDescent="0.2">
      <c r="A162" s="30">
        <v>491</v>
      </c>
      <c r="B162" s="31" t="s">
        <v>476</v>
      </c>
      <c r="C162" s="81">
        <v>171427</v>
      </c>
      <c r="D162" s="46">
        <v>200698</v>
      </c>
      <c r="E162" s="46">
        <v>197705</v>
      </c>
      <c r="F162" s="46">
        <v>216579</v>
      </c>
      <c r="G162" s="80">
        <v>251835</v>
      </c>
      <c r="H162" s="80">
        <v>278517</v>
      </c>
      <c r="I162" s="80">
        <v>298179.18981000007</v>
      </c>
      <c r="J162" s="80">
        <v>320551.57650000002</v>
      </c>
      <c r="K162" s="80">
        <v>315042.68810999999</v>
      </c>
      <c r="L162" s="80">
        <f>K162-'Toim ja inv rahavirta'!L162</f>
        <v>327557.31800136535</v>
      </c>
      <c r="M162" s="80">
        <f>L162-'Toim ja inv rahavirta'!M162</f>
        <v>339219.24734294269</v>
      </c>
      <c r="N162" s="80">
        <f>M162-'Toim ja inv rahavirta'!N162</f>
        <v>349824.27166790899</v>
      </c>
      <c r="O162" s="80">
        <f>N162-'Toim ja inv rahavirta'!O162</f>
        <v>360500.2407454268</v>
      </c>
      <c r="P162" s="80">
        <f>O162-'Toim ja inv rahavirta'!P162</f>
        <v>365544.23862446973</v>
      </c>
      <c r="U162" s="34">
        <v>491</v>
      </c>
      <c r="V162" s="88" t="s">
        <v>476</v>
      </c>
      <c r="W162" s="41">
        <f>C162/'1. Väestöennuste'!E162*1000</f>
        <v>3135.9553644928201</v>
      </c>
      <c r="X162" s="41">
        <f>D162/'1. Väestöennuste'!F162*1000</f>
        <v>3681.383788543023</v>
      </c>
      <c r="Y162" s="41">
        <f>E162/'1. Väestöennuste'!G162*1000</f>
        <v>3643.5930041834836</v>
      </c>
      <c r="Z162" s="41">
        <f>F162/'1. Väestöennuste'!H162*1000</f>
        <v>4024.2855550187669</v>
      </c>
      <c r="AA162" s="41">
        <f>G162/'1. Väestöennuste'!I162*1000</f>
        <v>4739.6205819249444</v>
      </c>
      <c r="AB162" s="41">
        <f>H162/'1. Väestöennuste'!J162*1000</f>
        <v>5296.7118650514421</v>
      </c>
      <c r="AC162" s="41">
        <f>I162/'1. Väestöennuste'!K162*1000</f>
        <v>5720.7933273857498</v>
      </c>
      <c r="AD162" s="41">
        <f>J162/'1. Väestöennuste'!L162*1000</f>
        <v>6166.8252500961908</v>
      </c>
      <c r="AE162" s="41">
        <f>K162/'1. Väestöennuste'!M162*1000</f>
        <v>6067.9652556867431</v>
      </c>
      <c r="AF162" s="41">
        <f>L162/'1. Väestöennuste'!N162*1000</f>
        <v>6424.9601428222768</v>
      </c>
      <c r="AG162" s="41">
        <f>M162/'1. Väestöennuste'!O162*1000</f>
        <v>6705.5279383043944</v>
      </c>
      <c r="AH162" s="41">
        <f>N162/'1. Väestöennuste'!P162*1000</f>
        <v>6969.582843581954</v>
      </c>
      <c r="AI162" s="41">
        <f>O162/'1. Väestöennuste'!Q162*1000</f>
        <v>7237.3620434327113</v>
      </c>
      <c r="AJ162" s="41">
        <f>P162/'1. Väestöennuste'!R162*1000</f>
        <v>7395.040331461425</v>
      </c>
    </row>
    <row r="163" spans="1:36" x14ac:dyDescent="0.2">
      <c r="A163" s="30">
        <v>494</v>
      </c>
      <c r="B163" s="31" t="s">
        <v>477</v>
      </c>
      <c r="C163" s="81">
        <v>39226</v>
      </c>
      <c r="D163" s="46">
        <v>41333</v>
      </c>
      <c r="E163" s="46">
        <v>42408</v>
      </c>
      <c r="F163" s="46">
        <v>43854</v>
      </c>
      <c r="G163" s="80">
        <v>49967</v>
      </c>
      <c r="H163" s="80">
        <v>50743</v>
      </c>
      <c r="I163" s="80">
        <v>53467.069109999997</v>
      </c>
      <c r="J163" s="80">
        <v>53141.699489999999</v>
      </c>
      <c r="K163" s="80">
        <v>52917.49</v>
      </c>
      <c r="L163" s="80">
        <f>K163-'Toim ja inv rahavirta'!L163</f>
        <v>54462.190549692968</v>
      </c>
      <c r="M163" s="80">
        <f>L163-'Toim ja inv rahavirta'!M163</f>
        <v>57362.431126722091</v>
      </c>
      <c r="N163" s="80">
        <f>M163-'Toim ja inv rahavirta'!N163</f>
        <v>60406.192983405279</v>
      </c>
      <c r="O163" s="80">
        <f>N163-'Toim ja inv rahavirta'!O163</f>
        <v>63556.310661795156</v>
      </c>
      <c r="P163" s="80">
        <f>O163-'Toim ja inv rahavirta'!P163</f>
        <v>65922.855277890092</v>
      </c>
      <c r="U163" s="34">
        <v>494</v>
      </c>
      <c r="V163" s="88" t="s">
        <v>477</v>
      </c>
      <c r="W163" s="41">
        <f>C163/'1. Väestöennuste'!E163*1000</f>
        <v>4328.1474125565483</v>
      </c>
      <c r="X163" s="41">
        <f>D163/'1. Väestöennuste'!F163*1000</f>
        <v>4595.1083935519728</v>
      </c>
      <c r="Y163" s="41">
        <f>E163/'1. Väestöennuste'!G163*1000</f>
        <v>4702.073400598736</v>
      </c>
      <c r="Z163" s="41">
        <f>F163/'1. Väestöennuste'!H163*1000</f>
        <v>4883.5189309576836</v>
      </c>
      <c r="AA163" s="41">
        <f>G163/'1. Väestöennuste'!I163*1000</f>
        <v>5609.2276605298612</v>
      </c>
      <c r="AB163" s="41">
        <f>H163/'1. Väestöennuste'!J163*1000</f>
        <v>5699.5394810737953</v>
      </c>
      <c r="AC163" s="41">
        <f>I163/'1. Väestöennuste'!K163*1000</f>
        <v>6001.4669558873038</v>
      </c>
      <c r="AD163" s="41">
        <f>J163/'1. Väestöennuste'!L163*1000</f>
        <v>5983.0780781355552</v>
      </c>
      <c r="AE163" s="41">
        <f>K163/'1. Väestöennuste'!M163*1000</f>
        <v>5994.9575167100938</v>
      </c>
      <c r="AF163" s="41">
        <f>L163/'1. Väestöennuste'!N163*1000</f>
        <v>6202.9829783249397</v>
      </c>
      <c r="AG163" s="41">
        <f>M163/'1. Väestöennuste'!O163*1000</f>
        <v>6555.7064144825245</v>
      </c>
      <c r="AH163" s="41">
        <f>N163/'1. Väestöennuste'!P163*1000</f>
        <v>6927.3157091061103</v>
      </c>
      <c r="AI163" s="41">
        <f>O163/'1. Väestöennuste'!Q163*1000</f>
        <v>7312.8881212513124</v>
      </c>
      <c r="AJ163" s="41">
        <f>P163/'1. Väestöennuste'!R163*1000</f>
        <v>7610.5813066139563</v>
      </c>
    </row>
    <row r="164" spans="1:36" x14ac:dyDescent="0.2">
      <c r="A164" s="30">
        <v>495</v>
      </c>
      <c r="B164" s="31" t="s">
        <v>478</v>
      </c>
      <c r="C164" s="81">
        <v>1855</v>
      </c>
      <c r="D164" s="46">
        <v>1770</v>
      </c>
      <c r="E164" s="46">
        <v>1399</v>
      </c>
      <c r="F164" s="46">
        <v>1033</v>
      </c>
      <c r="G164" s="80">
        <v>781</v>
      </c>
      <c r="H164" s="80">
        <v>1935</v>
      </c>
      <c r="I164" s="80">
        <v>363.52835999999985</v>
      </c>
      <c r="J164" s="80">
        <v>0</v>
      </c>
      <c r="K164" s="80">
        <v>900</v>
      </c>
      <c r="L164" s="80">
        <f>K164-'Toim ja inv rahavirta'!L164</f>
        <v>543.36788939460416</v>
      </c>
      <c r="M164" s="80">
        <f>L164-'Toim ja inv rahavirta'!M164</f>
        <v>1042.5297609975328</v>
      </c>
      <c r="N164" s="80">
        <f>M164-'Toim ja inv rahavirta'!N164</f>
        <v>1732.4527593181583</v>
      </c>
      <c r="O164" s="80">
        <f>N164-'Toim ja inv rahavirta'!O164</f>
        <v>2484.5985609898748</v>
      </c>
      <c r="P164" s="80">
        <f>O164-'Toim ja inv rahavirta'!P164</f>
        <v>3151.1514113080011</v>
      </c>
      <c r="U164" s="34">
        <v>495</v>
      </c>
      <c r="V164" s="88" t="s">
        <v>478</v>
      </c>
      <c r="W164" s="41">
        <f>C164/'1. Väestöennuste'!E164*1000</f>
        <v>1084.7953216374269</v>
      </c>
      <c r="X164" s="41">
        <f>D164/'1. Väestöennuste'!F164*1000</f>
        <v>1064.3415514131088</v>
      </c>
      <c r="Y164" s="41">
        <f>E164/'1. Väestöennuste'!G164*1000</f>
        <v>855.13447432762837</v>
      </c>
      <c r="Z164" s="41">
        <f>F164/'1. Väestöennuste'!H164*1000</f>
        <v>652.14646464646466</v>
      </c>
      <c r="AA164" s="41">
        <f>G164/'1. Väestöennuste'!I164*1000</f>
        <v>498.72286079182629</v>
      </c>
      <c r="AB164" s="41">
        <f>H164/'1. Väestöennuste'!J164*1000</f>
        <v>1241.9768934531451</v>
      </c>
      <c r="AC164" s="41">
        <f>I164/'1. Väestöennuste'!K164*1000</f>
        <v>244.30669354838699</v>
      </c>
      <c r="AD164" s="41">
        <f>J164/'1. Väestöennuste'!L164*1000</f>
        <v>0</v>
      </c>
      <c r="AE164" s="41">
        <f>K164/'1. Väestöennuste'!M164*1000</f>
        <v>629.37062937062933</v>
      </c>
      <c r="AF164" s="41">
        <f>L164/'1. Väestöennuste'!N164*1000</f>
        <v>372.93609429965966</v>
      </c>
      <c r="AG164" s="41">
        <f>M164/'1. Väestöennuste'!O164*1000</f>
        <v>727.00820153244956</v>
      </c>
      <c r="AH164" s="41">
        <f>N164/'1. Väestöennuste'!P164*1000</f>
        <v>1226.0812167856748</v>
      </c>
      <c r="AI164" s="41">
        <f>O164/'1. Väestöennuste'!Q164*1000</f>
        <v>1788.767862483711</v>
      </c>
      <c r="AJ164" s="41">
        <f>P164/'1. Väestöennuste'!R164*1000</f>
        <v>2305.1583111250925</v>
      </c>
    </row>
    <row r="165" spans="1:36" x14ac:dyDescent="0.2">
      <c r="A165" s="30">
        <v>498</v>
      </c>
      <c r="B165" s="31" t="s">
        <v>479</v>
      </c>
      <c r="C165" s="81">
        <v>8975</v>
      </c>
      <c r="D165" s="46">
        <v>9253</v>
      </c>
      <c r="E165" s="46">
        <v>7754</v>
      </c>
      <c r="F165" s="46">
        <v>7211</v>
      </c>
      <c r="G165" s="80">
        <v>7905</v>
      </c>
      <c r="H165" s="80">
        <v>6385</v>
      </c>
      <c r="I165" s="80">
        <v>6665</v>
      </c>
      <c r="J165" s="80">
        <v>5045</v>
      </c>
      <c r="K165" s="80">
        <v>3937.5</v>
      </c>
      <c r="L165" s="80">
        <f>K165-'Toim ja inv rahavirta'!L165</f>
        <v>4338.9061855986783</v>
      </c>
      <c r="M165" s="80">
        <f>L165-'Toim ja inv rahavirta'!M165</f>
        <v>4791.6940410536727</v>
      </c>
      <c r="N165" s="80">
        <f>M165-'Toim ja inv rahavirta'!N165</f>
        <v>5476.8727051274527</v>
      </c>
      <c r="O165" s="80">
        <f>N165-'Toim ja inv rahavirta'!O165</f>
        <v>6402.2685726416094</v>
      </c>
      <c r="P165" s="80">
        <f>O165-'Toim ja inv rahavirta'!P165</f>
        <v>7318.9040701257163</v>
      </c>
      <c r="U165" s="34">
        <v>498</v>
      </c>
      <c r="V165" s="88" t="s">
        <v>479</v>
      </c>
      <c r="W165" s="41">
        <f>C165/'1. Väestöennuste'!E165*1000</f>
        <v>3806.1916878710772</v>
      </c>
      <c r="X165" s="41">
        <f>D165/'1. Väestöennuste'!F165*1000</f>
        <v>3937.4468085106382</v>
      </c>
      <c r="Y165" s="41">
        <f>E165/'1. Väestöennuste'!G165*1000</f>
        <v>3325.0428816466551</v>
      </c>
      <c r="Z165" s="41">
        <f>F165/'1. Väestöennuste'!H165*1000</f>
        <v>3136.5811222270554</v>
      </c>
      <c r="AA165" s="41">
        <f>G165/'1. Väestöennuste'!I165*1000</f>
        <v>3425.0433275563255</v>
      </c>
      <c r="AB165" s="41">
        <f>H165/'1. Väestöennuste'!J165*1000</f>
        <v>2779.712668698302</v>
      </c>
      <c r="AC165" s="41">
        <f>I165/'1. Väestöennuste'!K165*1000</f>
        <v>2871.6070659198622</v>
      </c>
      <c r="AD165" s="41">
        <f>J165/'1. Väestöennuste'!L165*1000</f>
        <v>2211.7492327926348</v>
      </c>
      <c r="AE165" s="41">
        <f>K165/'1. Väestöennuste'!M165*1000</f>
        <v>1693.5483870967741</v>
      </c>
      <c r="AF165" s="41">
        <f>L165/'1. Väestöennuste'!N165*1000</f>
        <v>1924.1269115736932</v>
      </c>
      <c r="AG165" s="41">
        <f>M165/'1. Väestöennuste'!O165*1000</f>
        <v>2134.384873520567</v>
      </c>
      <c r="AH165" s="41">
        <f>N165/'1. Väestöennuste'!P165*1000</f>
        <v>2449.4063976419734</v>
      </c>
      <c r="AI165" s="41">
        <f>O165/'1. Väestöennuste'!Q165*1000</f>
        <v>2874.8399517923704</v>
      </c>
      <c r="AJ165" s="41">
        <f>P165/'1. Väestöennuste'!R165*1000</f>
        <v>3301.2648038456095</v>
      </c>
    </row>
    <row r="166" spans="1:36" x14ac:dyDescent="0.2">
      <c r="A166" s="30">
        <v>499</v>
      </c>
      <c r="B166" s="31" t="s">
        <v>480</v>
      </c>
      <c r="C166" s="81">
        <v>67700</v>
      </c>
      <c r="D166" s="46">
        <v>67700</v>
      </c>
      <c r="E166" s="46">
        <v>67000</v>
      </c>
      <c r="F166" s="46">
        <v>82000</v>
      </c>
      <c r="G166" s="80">
        <v>96500</v>
      </c>
      <c r="H166" s="80">
        <v>90714</v>
      </c>
      <c r="I166" s="80">
        <v>89571.43</v>
      </c>
      <c r="J166" s="80">
        <v>88071.432000000001</v>
      </c>
      <c r="K166" s="80">
        <v>95431.433999999994</v>
      </c>
      <c r="L166" s="80">
        <f>K166-'Toim ja inv rahavirta'!L166</f>
        <v>102505.98102189797</v>
      </c>
      <c r="M166" s="80">
        <f>L166-'Toim ja inv rahavirta'!M166</f>
        <v>113742.13712298093</v>
      </c>
      <c r="N166" s="80">
        <f>M166-'Toim ja inv rahavirta'!N166</f>
        <v>124483.1321335558</v>
      </c>
      <c r="O166" s="80">
        <f>N166-'Toim ja inv rahavirta'!O166</f>
        <v>135279.54138794419</v>
      </c>
      <c r="P166" s="80">
        <f>O166-'Toim ja inv rahavirta'!P166</f>
        <v>145390.58702619091</v>
      </c>
      <c r="U166" s="34">
        <v>499</v>
      </c>
      <c r="V166" s="88" t="s">
        <v>480</v>
      </c>
      <c r="W166" s="41">
        <f>C166/'1. Väestöennuste'!E166*1000</f>
        <v>3507.4085586985807</v>
      </c>
      <c r="X166" s="41">
        <f>D166/'1. Väestöennuste'!F166*1000</f>
        <v>3493.2920536635706</v>
      </c>
      <c r="Y166" s="41">
        <f>E166/'1. Väestöennuste'!G166*1000</f>
        <v>3456.4589352042922</v>
      </c>
      <c r="Z166" s="41">
        <f>F166/'1. Väestöennuste'!H166*1000</f>
        <v>4217.2392511828848</v>
      </c>
      <c r="AA166" s="41">
        <f>G166/'1. Väestöennuste'!I166*1000</f>
        <v>4961.9498148909915</v>
      </c>
      <c r="AB166" s="41">
        <f>H166/'1. Väestöennuste'!J166*1000</f>
        <v>4663.2396031460439</v>
      </c>
      <c r="AC166" s="41">
        <f>I166/'1. Väestöennuste'!K166*1000</f>
        <v>4584.9421580671578</v>
      </c>
      <c r="AD166" s="41">
        <f>J166/'1. Väestöennuste'!L166*1000</f>
        <v>4479.2712847116263</v>
      </c>
      <c r="AE166" s="41">
        <f>K166/'1. Väestöennuste'!M166*1000</f>
        <v>4828.7928958154116</v>
      </c>
      <c r="AF166" s="41">
        <f>L166/'1. Väestöennuste'!N166*1000</f>
        <v>5250.5240496797614</v>
      </c>
      <c r="AG166" s="41">
        <f>M166/'1. Väestöennuste'!O166*1000</f>
        <v>5826.9537460543515</v>
      </c>
      <c r="AH166" s="41">
        <f>N166/'1. Väestöennuste'!P166*1000</f>
        <v>6379.824320087936</v>
      </c>
      <c r="AI166" s="41">
        <f>O166/'1. Väestöennuste'!Q166*1000</f>
        <v>6937.7681618515917</v>
      </c>
      <c r="AJ166" s="41">
        <f>P166/'1. Väestöennuste'!R166*1000</f>
        <v>7462.8162933061758</v>
      </c>
    </row>
    <row r="167" spans="1:36" x14ac:dyDescent="0.2">
      <c r="A167" s="30">
        <v>500</v>
      </c>
      <c r="B167" s="31" t="s">
        <v>481</v>
      </c>
      <c r="C167" s="81">
        <v>25453</v>
      </c>
      <c r="D167" s="46">
        <v>21445</v>
      </c>
      <c r="E167" s="46">
        <v>21864</v>
      </c>
      <c r="F167" s="46">
        <v>19688</v>
      </c>
      <c r="G167" s="80">
        <v>21590</v>
      </c>
      <c r="H167" s="80">
        <v>17577</v>
      </c>
      <c r="I167" s="80">
        <v>18064.10253</v>
      </c>
      <c r="J167" s="80">
        <v>14304.487140000001</v>
      </c>
      <c r="K167" s="80">
        <v>26591.66662</v>
      </c>
      <c r="L167" s="80">
        <f>K167-'Toim ja inv rahavirta'!L167</f>
        <v>28102.328328167525</v>
      </c>
      <c r="M167" s="80">
        <f>L167-'Toim ja inv rahavirta'!M167</f>
        <v>33934.552779615704</v>
      </c>
      <c r="N167" s="80">
        <f>M167-'Toim ja inv rahavirta'!N167</f>
        <v>40379.562522835047</v>
      </c>
      <c r="O167" s="80">
        <f>N167-'Toim ja inv rahavirta'!O167</f>
        <v>47332.195931458235</v>
      </c>
      <c r="P167" s="80">
        <f>O167-'Toim ja inv rahavirta'!P167</f>
        <v>54256.010168221706</v>
      </c>
      <c r="U167" s="34">
        <v>500</v>
      </c>
      <c r="V167" s="88" t="s">
        <v>481</v>
      </c>
      <c r="W167" s="41">
        <f>C167/'1. Väestöennuste'!E167*1000</f>
        <v>2599.6323153916865</v>
      </c>
      <c r="X167" s="41">
        <f>D167/'1. Väestöennuste'!F167*1000</f>
        <v>2157.2276430942561</v>
      </c>
      <c r="Y167" s="41">
        <f>E167/'1. Väestöennuste'!G167*1000</f>
        <v>2165.3956620778449</v>
      </c>
      <c r="Z167" s="41">
        <f>F167/'1. Väestöennuste'!H167*1000</f>
        <v>1935.8898721730579</v>
      </c>
      <c r="AA167" s="41">
        <f>G167/'1. Väestöennuste'!I167*1000</f>
        <v>2124.1637150728061</v>
      </c>
      <c r="AB167" s="41">
        <f>H167/'1. Väestöennuste'!J167*1000</f>
        <v>1711.9898704587513</v>
      </c>
      <c r="AC167" s="41">
        <f>I167/'1. Väestöennuste'!K167*1000</f>
        <v>1732.6014319969308</v>
      </c>
      <c r="AD167" s="41">
        <f>J167/'1. Väestöennuste'!L167*1000</f>
        <v>1364.150976540149</v>
      </c>
      <c r="AE167" s="41">
        <f>K167/'1. Väestöennuste'!M167*1000</f>
        <v>2520.2982295517013</v>
      </c>
      <c r="AF167" s="41">
        <f>L167/'1. Väestöennuste'!N167*1000</f>
        <v>2643.9296573682873</v>
      </c>
      <c r="AG167" s="41">
        <f>M167/'1. Väestöennuste'!O167*1000</f>
        <v>3171.4535308052059</v>
      </c>
      <c r="AH167" s="41">
        <f>N167/'1. Väestöennuste'!P167*1000</f>
        <v>3751.7014329494609</v>
      </c>
      <c r="AI167" s="41">
        <f>O167/'1. Väestöennuste'!Q167*1000</f>
        <v>4374.9141262092835</v>
      </c>
      <c r="AJ167" s="41">
        <f>P167/'1. Väestöennuste'!R167*1000</f>
        <v>4991.812509726903</v>
      </c>
    </row>
    <row r="168" spans="1:36" x14ac:dyDescent="0.2">
      <c r="A168" s="30">
        <v>503</v>
      </c>
      <c r="B168" s="31" t="s">
        <v>482</v>
      </c>
      <c r="C168" s="81">
        <v>16429</v>
      </c>
      <c r="D168" s="46">
        <v>16825</v>
      </c>
      <c r="E168" s="46">
        <v>15947</v>
      </c>
      <c r="F168" s="46">
        <v>19386</v>
      </c>
      <c r="G168" s="80">
        <v>29426</v>
      </c>
      <c r="H168" s="80">
        <v>34697</v>
      </c>
      <c r="I168" s="80">
        <v>38710.904179999998</v>
      </c>
      <c r="J168" s="80">
        <v>42950.007140000002</v>
      </c>
      <c r="K168" s="80">
        <v>42189.110099999991</v>
      </c>
      <c r="L168" s="80">
        <f>K168-'Toim ja inv rahavirta'!L168</f>
        <v>45862.114635889033</v>
      </c>
      <c r="M168" s="80">
        <f>L168-'Toim ja inv rahavirta'!M168</f>
        <v>49519.358220906266</v>
      </c>
      <c r="N168" s="80">
        <f>M168-'Toim ja inv rahavirta'!N168</f>
        <v>53337.449043777087</v>
      </c>
      <c r="O168" s="80">
        <f>N168-'Toim ja inv rahavirta'!O168</f>
        <v>57352.06406643417</v>
      </c>
      <c r="P168" s="80">
        <f>O168-'Toim ja inv rahavirta'!P168</f>
        <v>60814.43339544331</v>
      </c>
      <c r="U168" s="34">
        <v>503</v>
      </c>
      <c r="V168" s="88" t="s">
        <v>482</v>
      </c>
      <c r="W168" s="41">
        <f>C168/'1. Väestöennuste'!E168*1000</f>
        <v>2090.469525384909</v>
      </c>
      <c r="X168" s="41">
        <f>D168/'1. Väestöennuste'!F168*1000</f>
        <v>2145.4985972966083</v>
      </c>
      <c r="Y168" s="41">
        <f>E168/'1. Väestöennuste'!G168*1000</f>
        <v>2034.5751467211021</v>
      </c>
      <c r="Z168" s="41">
        <f>F168/'1. Väestöennuste'!H168*1000</f>
        <v>2496.2657738861703</v>
      </c>
      <c r="AA168" s="41">
        <f>G168/'1. Väestöennuste'!I168*1000</f>
        <v>3844.5257381761171</v>
      </c>
      <c r="AB168" s="41">
        <f>H168/'1. Väestöennuste'!J168*1000</f>
        <v>4538.5219097449308</v>
      </c>
      <c r="AC168" s="41">
        <f>I168/'1. Väestöennuste'!K168*1000</f>
        <v>5097.5644166447191</v>
      </c>
      <c r="AD168" s="41">
        <f>J168/'1. Väestöennuste'!L168*1000</f>
        <v>5697.042995092188</v>
      </c>
      <c r="AE168" s="41">
        <f>K168/'1. Väestöennuste'!M168*1000</f>
        <v>5613.9867065868248</v>
      </c>
      <c r="AF168" s="41">
        <f>L168/'1. Väestöennuste'!N168*1000</f>
        <v>6146.9125634484699</v>
      </c>
      <c r="AG168" s="41">
        <f>M168/'1. Väestöennuste'!O168*1000</f>
        <v>6671.9695797502382</v>
      </c>
      <c r="AH168" s="41">
        <f>N168/'1. Väestöennuste'!P168*1000</f>
        <v>7222.40339116819</v>
      </c>
      <c r="AI168" s="41">
        <f>O168/'1. Väestöennuste'!Q168*1000</f>
        <v>7801.940425307328</v>
      </c>
      <c r="AJ168" s="41">
        <f>P168/'1. Väestöennuste'!R168*1000</f>
        <v>8312.5250677205186</v>
      </c>
    </row>
    <row r="169" spans="1:36" x14ac:dyDescent="0.2">
      <c r="A169" s="30">
        <v>504</v>
      </c>
      <c r="B169" s="31" t="s">
        <v>483</v>
      </c>
      <c r="C169" s="81">
        <v>3748</v>
      </c>
      <c r="D169" s="46">
        <v>2964</v>
      </c>
      <c r="E169" s="46">
        <v>1922</v>
      </c>
      <c r="F169" s="46">
        <v>1880</v>
      </c>
      <c r="G169" s="80">
        <v>1837</v>
      </c>
      <c r="H169" s="80">
        <v>5293</v>
      </c>
      <c r="I169" s="80">
        <v>8343.2049999999999</v>
      </c>
      <c r="J169" s="80">
        <v>9213.4549999999999</v>
      </c>
      <c r="K169" s="80">
        <v>13097.039000000001</v>
      </c>
      <c r="L169" s="80">
        <f>K169-'Toim ja inv rahavirta'!L169</f>
        <v>14349.641392760788</v>
      </c>
      <c r="M169" s="80">
        <f>L169-'Toim ja inv rahavirta'!M169</f>
        <v>17032.274323770198</v>
      </c>
      <c r="N169" s="80">
        <f>M169-'Toim ja inv rahavirta'!N169</f>
        <v>19823.646142993879</v>
      </c>
      <c r="O169" s="80">
        <f>N169-'Toim ja inv rahavirta'!O169</f>
        <v>22799.04590061033</v>
      </c>
      <c r="P169" s="80">
        <f>O169-'Toim ja inv rahavirta'!P169</f>
        <v>25714.197131501463</v>
      </c>
      <c r="U169" s="34">
        <v>504</v>
      </c>
      <c r="V169" s="88" t="s">
        <v>483</v>
      </c>
      <c r="W169" s="41">
        <f>C169/'1. Väestöennuste'!E169*1000</f>
        <v>1903.5043169121382</v>
      </c>
      <c r="X169" s="41">
        <f>D169/'1. Väestöennuste'!F169*1000</f>
        <v>1492.4471299093655</v>
      </c>
      <c r="Y169" s="41">
        <f>E169/'1. Väestöennuste'!G169*1000</f>
        <v>976.13001523616049</v>
      </c>
      <c r="Z169" s="41">
        <f>F169/'1. Väestöennuste'!H169*1000</f>
        <v>978.14776274713847</v>
      </c>
      <c r="AA169" s="41">
        <f>G169/'1. Väestöennuste'!I169*1000</f>
        <v>976.0892667375133</v>
      </c>
      <c r="AB169" s="41">
        <f>H169/'1. Väestöennuste'!J169*1000</f>
        <v>2828.96846606093</v>
      </c>
      <c r="AC169" s="41">
        <f>I169/'1. Väestöennuste'!K169*1000</f>
        <v>4594.2758810572686</v>
      </c>
      <c r="AD169" s="41">
        <f>J169/'1. Väestöennuste'!L169*1000</f>
        <v>5223.0470521541947</v>
      </c>
      <c r="AE169" s="41">
        <f>K169/'1. Väestöennuste'!M169*1000</f>
        <v>7636.7574344023333</v>
      </c>
      <c r="AF169" s="41">
        <f>L169/'1. Väestöennuste'!N169*1000</f>
        <v>8016.5594372965306</v>
      </c>
      <c r="AG169" s="41">
        <f>M169/'1. Väestöennuste'!O169*1000</f>
        <v>9606.4716998139866</v>
      </c>
      <c r="AH169" s="41">
        <f>N169/'1. Väestöennuste'!P169*1000</f>
        <v>11289.092336556878</v>
      </c>
      <c r="AI169" s="41">
        <f>O169/'1. Väestöennuste'!Q169*1000</f>
        <v>13065.355816968671</v>
      </c>
      <c r="AJ169" s="41">
        <f>P169/'1. Väestöennuste'!R169*1000</f>
        <v>14829.410110439136</v>
      </c>
    </row>
    <row r="170" spans="1:36" x14ac:dyDescent="0.2">
      <c r="A170" s="30">
        <v>505</v>
      </c>
      <c r="B170" s="31" t="s">
        <v>484</v>
      </c>
      <c r="C170" s="81">
        <v>54933</v>
      </c>
      <c r="D170" s="46">
        <v>57982</v>
      </c>
      <c r="E170" s="46">
        <v>62683</v>
      </c>
      <c r="F170" s="46">
        <v>74188</v>
      </c>
      <c r="G170" s="80">
        <v>81844</v>
      </c>
      <c r="H170" s="80">
        <v>89116</v>
      </c>
      <c r="I170" s="80">
        <v>98820.539480000007</v>
      </c>
      <c r="J170" s="80">
        <v>96391.417000000001</v>
      </c>
      <c r="K170" s="80">
        <v>87723.494999999995</v>
      </c>
      <c r="L170" s="80">
        <f>K170-'Toim ja inv rahavirta'!L170</f>
        <v>84826.022625168043</v>
      </c>
      <c r="M170" s="80">
        <f>L170-'Toim ja inv rahavirta'!M170</f>
        <v>83527.90163271864</v>
      </c>
      <c r="N170" s="80">
        <f>M170-'Toim ja inv rahavirta'!N170</f>
        <v>83122.957657614432</v>
      </c>
      <c r="O170" s="80">
        <f>N170-'Toim ja inv rahavirta'!O170</f>
        <v>82592.579415285334</v>
      </c>
      <c r="P170" s="80">
        <f>O170-'Toim ja inv rahavirta'!P170</f>
        <v>81056.709161478284</v>
      </c>
      <c r="U170" s="34">
        <v>505</v>
      </c>
      <c r="V170" s="88" t="s">
        <v>484</v>
      </c>
      <c r="W170" s="41">
        <f>C170/'1. Väestöennuste'!E170*1000</f>
        <v>2655.6925308194345</v>
      </c>
      <c r="X170" s="41">
        <f>D170/'1. Väestöennuste'!F170*1000</f>
        <v>2780.5111974296265</v>
      </c>
      <c r="Y170" s="41">
        <f>E170/'1. Väestöennuste'!G170*1000</f>
        <v>3013.1711772340527</v>
      </c>
      <c r="Z170" s="41">
        <f>F170/'1. Väestöennuste'!H170*1000</f>
        <v>3586.3869283573431</v>
      </c>
      <c r="AA170" s="41">
        <f>G170/'1. Väestöennuste'!I170*1000</f>
        <v>3949.8093721345494</v>
      </c>
      <c r="AB170" s="41">
        <f>H170/'1. Väestöennuste'!J170*1000</f>
        <v>4287.9276331617184</v>
      </c>
      <c r="AC170" s="41">
        <f>I170/'1. Väestöennuste'!K170*1000</f>
        <v>4742.5512060277397</v>
      </c>
      <c r="AD170" s="41">
        <f>J170/'1. Väestöennuste'!L170*1000</f>
        <v>4609.3829858454483</v>
      </c>
      <c r="AE170" s="41">
        <f>K170/'1. Väestöennuste'!M170*1000</f>
        <v>4185.8803740993462</v>
      </c>
      <c r="AF170" s="41">
        <f>L170/'1. Väestöennuste'!N170*1000</f>
        <v>4060.6042424685515</v>
      </c>
      <c r="AG170" s="41">
        <f>M170/'1. Väestöennuste'!O170*1000</f>
        <v>3991.3939710765349</v>
      </c>
      <c r="AH170" s="41">
        <f>N170/'1. Väestöennuste'!P170*1000</f>
        <v>3963.8987914932968</v>
      </c>
      <c r="AI170" s="41">
        <f>O170/'1. Väestöennuste'!Q170*1000</f>
        <v>3930.9209183420749</v>
      </c>
      <c r="AJ170" s="41">
        <f>P170/'1. Väestöennuste'!R170*1000</f>
        <v>3851.0409141713362</v>
      </c>
    </row>
    <row r="171" spans="1:36" x14ac:dyDescent="0.2">
      <c r="A171" s="30">
        <v>507</v>
      </c>
      <c r="B171" s="31" t="s">
        <v>485</v>
      </c>
      <c r="C171" s="81">
        <v>13688</v>
      </c>
      <c r="D171" s="46">
        <v>14810</v>
      </c>
      <c r="E171" s="46">
        <v>13206</v>
      </c>
      <c r="F171" s="46">
        <v>11586</v>
      </c>
      <c r="G171" s="80">
        <v>18277</v>
      </c>
      <c r="H171" s="80">
        <v>20241</v>
      </c>
      <c r="I171" s="80">
        <v>22180.911310000003</v>
      </c>
      <c r="J171" s="80">
        <v>20277.92009</v>
      </c>
      <c r="K171" s="80">
        <v>20074.002489999999</v>
      </c>
      <c r="L171" s="80">
        <f>K171-'Toim ja inv rahavirta'!L171</f>
        <v>21227.423702467793</v>
      </c>
      <c r="M171" s="80">
        <f>L171-'Toim ja inv rahavirta'!M171</f>
        <v>23044.415588157197</v>
      </c>
      <c r="N171" s="80">
        <f>M171-'Toim ja inv rahavirta'!N171</f>
        <v>25657.150494958718</v>
      </c>
      <c r="O171" s="80">
        <f>N171-'Toim ja inv rahavirta'!O171</f>
        <v>29177.499393326088</v>
      </c>
      <c r="P171" s="80">
        <f>O171-'Toim ja inv rahavirta'!P171</f>
        <v>31665.315021212034</v>
      </c>
      <c r="U171" s="34">
        <v>507</v>
      </c>
      <c r="V171" s="88" t="s">
        <v>485</v>
      </c>
      <c r="W171" s="41">
        <f>C171/'1. Väestöennuste'!E171*1000</f>
        <v>2222.4387075823997</v>
      </c>
      <c r="X171" s="41">
        <f>D171/'1. Väestöennuste'!F171*1000</f>
        <v>2429.0634738395929</v>
      </c>
      <c r="Y171" s="41">
        <f>E171/'1. Väestöennuste'!G171*1000</f>
        <v>2181.3676907829536</v>
      </c>
      <c r="Z171" s="41">
        <f>F171/'1. Väestöennuste'!H171*1000</f>
        <v>1955.7731262660366</v>
      </c>
      <c r="AA171" s="41">
        <f>G171/'1. Väestöennuste'!I171*1000</f>
        <v>3156.1042997755139</v>
      </c>
      <c r="AB171" s="41">
        <f>H171/'1. Väestöennuste'!J171*1000</f>
        <v>3566.0676532769553</v>
      </c>
      <c r="AC171" s="41">
        <f>I171/'1. Väestöennuste'!K171*1000</f>
        <v>3936.2752990239578</v>
      </c>
      <c r="AD171" s="41">
        <f>J171/'1. Väestöennuste'!L171*1000</f>
        <v>3644.4859974838246</v>
      </c>
      <c r="AE171" s="41">
        <f>K171/'1. Väestöennuste'!M171*1000</f>
        <v>3635.2775244476638</v>
      </c>
      <c r="AF171" s="41">
        <f>L171/'1. Väestöennuste'!N171*1000</f>
        <v>3945.6177885627872</v>
      </c>
      <c r="AG171" s="41">
        <f>M171/'1. Väestöennuste'!O171*1000</f>
        <v>3369.5592320744549</v>
      </c>
      <c r="AH171" s="41">
        <f>N171/'1. Väestöennuste'!P171*1000</f>
        <v>3795.998001917254</v>
      </c>
      <c r="AI171" s="41">
        <f>O171/'1. Väestöennuste'!Q171*1000</f>
        <v>4365.2751934958242</v>
      </c>
      <c r="AJ171" s="41">
        <f>P171/'1. Väestöennuste'!R171*1000</f>
        <v>4787.6194468116173</v>
      </c>
    </row>
    <row r="172" spans="1:36" x14ac:dyDescent="0.2">
      <c r="A172" s="30">
        <v>508</v>
      </c>
      <c r="B172" s="31" t="s">
        <v>486</v>
      </c>
      <c r="C172" s="81">
        <v>35857</v>
      </c>
      <c r="D172" s="46">
        <v>42373</v>
      </c>
      <c r="E172" s="46">
        <v>42357</v>
      </c>
      <c r="F172" s="46">
        <v>41342</v>
      </c>
      <c r="G172" s="80">
        <v>54326</v>
      </c>
      <c r="H172" s="80">
        <v>42710</v>
      </c>
      <c r="I172" s="80">
        <v>39986.681360000002</v>
      </c>
      <c r="J172" s="80">
        <v>38656.073960000002</v>
      </c>
      <c r="K172" s="80">
        <v>33425.510999999999</v>
      </c>
      <c r="L172" s="80">
        <f>K172-'Toim ja inv rahavirta'!L172</f>
        <v>28668.543648140963</v>
      </c>
      <c r="M172" s="80">
        <f>L172-'Toim ja inv rahavirta'!M172</f>
        <v>25051.163037117221</v>
      </c>
      <c r="N172" s="80">
        <f>M172-'Toim ja inv rahavirta'!N172</f>
        <v>23132.995197385702</v>
      </c>
      <c r="O172" s="80">
        <f>N172-'Toim ja inv rahavirta'!O172</f>
        <v>20693.376793470288</v>
      </c>
      <c r="P172" s="80">
        <f>O172-'Toim ja inv rahavirta'!P172</f>
        <v>16730.371739167505</v>
      </c>
      <c r="U172" s="34">
        <v>508</v>
      </c>
      <c r="V172" s="88" t="s">
        <v>486</v>
      </c>
      <c r="W172" s="41">
        <f>C172/'1. Väestöennuste'!E172*1000</f>
        <v>3381.4598264805732</v>
      </c>
      <c r="X172" s="41">
        <f>D172/'1. Väestöennuste'!F172*1000</f>
        <v>4055.6087289433381</v>
      </c>
      <c r="Y172" s="41">
        <f>E172/'1. Väestöennuste'!G172*1000</f>
        <v>4129.9726989079563</v>
      </c>
      <c r="Z172" s="41">
        <f>F172/'1. Väestöennuste'!H172*1000</f>
        <v>4141.2401081839125</v>
      </c>
      <c r="AA172" s="41">
        <f>G172/'1. Väestöennuste'!I172*1000</f>
        <v>5512.5317097919833</v>
      </c>
      <c r="AB172" s="41">
        <f>H172/'1. Väestöennuste'!J172*1000</f>
        <v>4415.3830249147113</v>
      </c>
      <c r="AC172" s="41">
        <f>I172/'1. Väestöennuste'!K172*1000</f>
        <v>4181.3951019554534</v>
      </c>
      <c r="AD172" s="41">
        <f>J172/'1. Väestöennuste'!L172*1000</f>
        <v>4129.9224316239315</v>
      </c>
      <c r="AE172" s="41">
        <f>K172/'1. Väestöennuste'!M172*1000</f>
        <v>3605.3835616438355</v>
      </c>
      <c r="AF172" s="41">
        <f>L172/'1. Väestöennuste'!N172*1000</f>
        <v>3199.9713861079322</v>
      </c>
      <c r="AG172" s="41">
        <f>M172/'1. Väestöennuste'!O172*1000</f>
        <v>2842.5238893812802</v>
      </c>
      <c r="AH172" s="41">
        <f>N172/'1. Väestöennuste'!P172*1000</f>
        <v>2666.3203316488825</v>
      </c>
      <c r="AI172" s="41">
        <f>O172/'1. Väestöennuste'!Q172*1000</f>
        <v>2421.4108113117586</v>
      </c>
      <c r="AJ172" s="41">
        <f>P172/'1. Väestöennuste'!R172*1000</f>
        <v>1985.8007999011875</v>
      </c>
    </row>
    <row r="173" spans="1:36" x14ac:dyDescent="0.2">
      <c r="A173" s="30">
        <v>529</v>
      </c>
      <c r="B173" s="31" t="s">
        <v>487</v>
      </c>
      <c r="C173" s="81">
        <v>30966</v>
      </c>
      <c r="D173" s="46">
        <v>27849</v>
      </c>
      <c r="E173" s="46">
        <v>22732</v>
      </c>
      <c r="F173" s="46">
        <v>20616</v>
      </c>
      <c r="G173" s="80">
        <v>14500</v>
      </c>
      <c r="H173" s="80">
        <v>15000</v>
      </c>
      <c r="I173" s="80">
        <v>12000</v>
      </c>
      <c r="J173" s="80">
        <v>5500</v>
      </c>
      <c r="K173" s="80">
        <v>0</v>
      </c>
      <c r="L173" s="80">
        <f>K173-'Toim ja inv rahavirta'!L173</f>
        <v>1329.2883664753772</v>
      </c>
      <c r="M173" s="80">
        <f>L173-'Toim ja inv rahavirta'!M173</f>
        <v>3315.293104183962</v>
      </c>
      <c r="N173" s="80">
        <f>M173-'Toim ja inv rahavirta'!N173</f>
        <v>7510.4535563922182</v>
      </c>
      <c r="O173" s="80">
        <f>N173-'Toim ja inv rahavirta'!O173</f>
        <v>12411.272062445072</v>
      </c>
      <c r="P173" s="80">
        <f>O173-'Toim ja inv rahavirta'!P173</f>
        <v>16769.014117626069</v>
      </c>
      <c r="U173" s="34">
        <v>529</v>
      </c>
      <c r="V173" s="88" t="s">
        <v>487</v>
      </c>
      <c r="W173" s="41">
        <f>C173/'1. Väestöennuste'!E173*1000</f>
        <v>1633.1417119350244</v>
      </c>
      <c r="X173" s="41">
        <f>D173/'1. Väestöennuste'!F173*1000</f>
        <v>1460.5097545626179</v>
      </c>
      <c r="Y173" s="41">
        <f>E173/'1. Väestöennuste'!G173*1000</f>
        <v>1185.9967652736475</v>
      </c>
      <c r="Z173" s="41">
        <f>F173/'1. Väestöennuste'!H173*1000</f>
        <v>1071.2392829306314</v>
      </c>
      <c r="AA173" s="41">
        <f>G173/'1. Väestöennuste'!I173*1000</f>
        <v>750.75075075075074</v>
      </c>
      <c r="AB173" s="41">
        <f>H173/'1. Väestöennuste'!J173*1000</f>
        <v>772.12127451485048</v>
      </c>
      <c r="AC173" s="41">
        <f>I173/'1. Väestöennuste'!K173*1000</f>
        <v>612.90157822156391</v>
      </c>
      <c r="AD173" s="41">
        <f>J173/'1. Väestöennuste'!L173*1000</f>
        <v>277.07808564231738</v>
      </c>
      <c r="AE173" s="41">
        <f>K173/'1. Väestöennuste'!M173*1000</f>
        <v>0</v>
      </c>
      <c r="AF173" s="41">
        <f>L173/'1. Väestöennuste'!N173*1000</f>
        <v>67.391045195202906</v>
      </c>
      <c r="AG173" s="41">
        <f>M173/'1. Väestöennuste'!O173*1000</f>
        <v>167.43904566585667</v>
      </c>
      <c r="AH173" s="41">
        <f>N173/'1. Väestöennuste'!P173*1000</f>
        <v>377.92248560319121</v>
      </c>
      <c r="AI173" s="41">
        <f>O173/'1. Väestöennuste'!Q173*1000</f>
        <v>622.36847169015505</v>
      </c>
      <c r="AJ173" s="41">
        <f>P173/'1. Väestöennuste'!R173*1000</f>
        <v>838.11545969742451</v>
      </c>
    </row>
    <row r="174" spans="1:36" x14ac:dyDescent="0.2">
      <c r="A174" s="30">
        <v>531</v>
      </c>
      <c r="B174" s="31" t="s">
        <v>488</v>
      </c>
      <c r="C174" s="81">
        <v>5450</v>
      </c>
      <c r="D174" s="46">
        <v>4600</v>
      </c>
      <c r="E174" s="46">
        <v>3800</v>
      </c>
      <c r="F174" s="46">
        <v>7750</v>
      </c>
      <c r="G174" s="80">
        <v>8550</v>
      </c>
      <c r="H174" s="80">
        <v>7250</v>
      </c>
      <c r="I174" s="80">
        <v>7950</v>
      </c>
      <c r="J174" s="80">
        <v>6450</v>
      </c>
      <c r="K174" s="80">
        <v>3950</v>
      </c>
      <c r="L174" s="80">
        <f>K174-'Toim ja inv rahavirta'!L174</f>
        <v>5769.5873774632901</v>
      </c>
      <c r="M174" s="80">
        <f>L174-'Toim ja inv rahavirta'!M174</f>
        <v>8701.9748931880349</v>
      </c>
      <c r="N174" s="80">
        <f>M174-'Toim ja inv rahavirta'!N174</f>
        <v>11723.793147258462</v>
      </c>
      <c r="O174" s="80">
        <f>N174-'Toim ja inv rahavirta'!O174</f>
        <v>15111.930252634651</v>
      </c>
      <c r="P174" s="80">
        <f>O174-'Toim ja inv rahavirta'!P174</f>
        <v>17937.2032722658</v>
      </c>
      <c r="U174" s="34">
        <v>531</v>
      </c>
      <c r="V174" s="88" t="s">
        <v>488</v>
      </c>
      <c r="W174" s="41">
        <f>C174/'1. Väestöennuste'!E174*1000</f>
        <v>964.43107414616884</v>
      </c>
      <c r="X174" s="41">
        <f>D174/'1. Väestöennuste'!F174*1000</f>
        <v>829.12761355443399</v>
      </c>
      <c r="Y174" s="41">
        <f>E174/'1. Väestöennuste'!G174*1000</f>
        <v>688.28110849483789</v>
      </c>
      <c r="Z174" s="41">
        <f>F174/'1. Väestöennuste'!H174*1000</f>
        <v>1425.4184292808534</v>
      </c>
      <c r="AA174" s="41">
        <f>G174/'1. Väestöennuste'!I174*1000</f>
        <v>1604.4285982360668</v>
      </c>
      <c r="AB174" s="41">
        <f>H174/'1. Väestöennuste'!J174*1000</f>
        <v>1379.3759512937595</v>
      </c>
      <c r="AC174" s="41">
        <f>I174/'1. Väestöennuste'!K174*1000</f>
        <v>1538.0150899593732</v>
      </c>
      <c r="AD174" s="41">
        <f>J174/'1. Väestöennuste'!L174*1000</f>
        <v>1271.6876971608833</v>
      </c>
      <c r="AE174" s="41">
        <f>K174/'1. Väestöennuste'!M174*1000</f>
        <v>795.40877970197346</v>
      </c>
      <c r="AF174" s="41">
        <f>L174/'1. Väestöennuste'!N174*1000</f>
        <v>1159.2500256104661</v>
      </c>
      <c r="AG174" s="41">
        <f>M174/'1. Väestöennuste'!O174*1000</f>
        <v>1773.3798437310036</v>
      </c>
      <c r="AH174" s="41">
        <f>N174/'1. Väestöennuste'!P174*1000</f>
        <v>2422.2713114170379</v>
      </c>
      <c r="AI174" s="41">
        <f>O174/'1. Väestöennuste'!Q174*1000</f>
        <v>3164.1395001328838</v>
      </c>
      <c r="AJ174" s="41">
        <f>P174/'1. Väestöennuste'!R174*1000</f>
        <v>3805.8992727065138</v>
      </c>
    </row>
    <row r="175" spans="1:36" x14ac:dyDescent="0.2">
      <c r="A175" s="30">
        <v>535</v>
      </c>
      <c r="B175" s="31" t="s">
        <v>489</v>
      </c>
      <c r="C175" s="81">
        <v>50015</v>
      </c>
      <c r="D175" s="46">
        <v>50384</v>
      </c>
      <c r="E175" s="46">
        <v>50004</v>
      </c>
      <c r="F175" s="46">
        <v>53172</v>
      </c>
      <c r="G175" s="80">
        <v>57221</v>
      </c>
      <c r="H175" s="80">
        <v>64650</v>
      </c>
      <c r="I175" s="80">
        <v>58499.63</v>
      </c>
      <c r="J175" s="80">
        <v>63799.256000000001</v>
      </c>
      <c r="K175" s="80">
        <v>73648.881999999998</v>
      </c>
      <c r="L175" s="80">
        <f>K175-'Toim ja inv rahavirta'!L175</f>
        <v>77646.073681741109</v>
      </c>
      <c r="M175" s="80">
        <f>L175-'Toim ja inv rahavirta'!M175</f>
        <v>82253.367011733251</v>
      </c>
      <c r="N175" s="80">
        <f>M175-'Toim ja inv rahavirta'!N175</f>
        <v>86141.473383512333</v>
      </c>
      <c r="O175" s="80">
        <f>N175-'Toim ja inv rahavirta'!O175</f>
        <v>90012.035731449942</v>
      </c>
      <c r="P175" s="80">
        <f>O175-'Toim ja inv rahavirta'!P175</f>
        <v>92710.24637104955</v>
      </c>
      <c r="U175" s="34">
        <v>535</v>
      </c>
      <c r="V175" s="88" t="s">
        <v>489</v>
      </c>
      <c r="W175" s="41">
        <f>C175/'1. Väestöennuste'!E175*1000</f>
        <v>4598.6575947039355</v>
      </c>
      <c r="X175" s="41">
        <f>D175/'1. Väestöennuste'!F175*1000</f>
        <v>4627.0548259711641</v>
      </c>
      <c r="Y175" s="41">
        <f>E175/'1. Väestöennuste'!G175*1000</f>
        <v>4623.5783633841884</v>
      </c>
      <c r="Z175" s="41">
        <f>F175/'1. Väestöennuste'!H175*1000</f>
        <v>4952.2212908633692</v>
      </c>
      <c r="AA175" s="41">
        <f>G175/'1. Väestöennuste'!I175*1000</f>
        <v>5378.4190243443936</v>
      </c>
      <c r="AB175" s="41">
        <f>H175/'1. Väestöennuste'!J175*1000</f>
        <v>6157.1428571428578</v>
      </c>
      <c r="AC175" s="41">
        <f>I175/'1. Väestöennuste'!K175*1000</f>
        <v>5627.1287033474409</v>
      </c>
      <c r="AD175" s="41">
        <f>J175/'1. Väestöennuste'!L175*1000</f>
        <v>6123.3569440445344</v>
      </c>
      <c r="AE175" s="41">
        <f>K175/'1. Väestöennuste'!M175*1000</f>
        <v>7045.0432370384542</v>
      </c>
      <c r="AF175" s="41">
        <f>L175/'1. Väestöennuste'!N175*1000</f>
        <v>7715.9965896592576</v>
      </c>
      <c r="AG175" s="41">
        <f>M175/'1. Väestöennuste'!O175*1000</f>
        <v>8260.8583922600446</v>
      </c>
      <c r="AH175" s="41">
        <f>N175/'1. Väestöennuste'!P175*1000</f>
        <v>8747.9916099839884</v>
      </c>
      <c r="AI175" s="41">
        <f>O175/'1. Väestöennuste'!Q175*1000</f>
        <v>9244.3294373472254</v>
      </c>
      <c r="AJ175" s="41">
        <f>P175/'1. Väestöennuste'!R175*1000</f>
        <v>9628.2320460120009</v>
      </c>
    </row>
    <row r="176" spans="1:36" x14ac:dyDescent="0.2">
      <c r="A176" s="30">
        <v>536</v>
      </c>
      <c r="B176" s="31" t="s">
        <v>490</v>
      </c>
      <c r="C176" s="81">
        <v>66126</v>
      </c>
      <c r="D176" s="46">
        <v>82221</v>
      </c>
      <c r="E176" s="46">
        <v>88396</v>
      </c>
      <c r="F176" s="46">
        <v>92335</v>
      </c>
      <c r="G176" s="80">
        <v>91600</v>
      </c>
      <c r="H176" s="80">
        <v>101665</v>
      </c>
      <c r="I176" s="80">
        <v>107978.78285999998</v>
      </c>
      <c r="J176" s="80">
        <v>111543.00087999999</v>
      </c>
      <c r="K176" s="80">
        <v>102057.1133</v>
      </c>
      <c r="L176" s="80">
        <f>K176-'Toim ja inv rahavirta'!L176</f>
        <v>112078.03967394712</v>
      </c>
      <c r="M176" s="80">
        <f>L176-'Toim ja inv rahavirta'!M176</f>
        <v>126049.5644395331</v>
      </c>
      <c r="N176" s="80">
        <f>M176-'Toim ja inv rahavirta'!N176</f>
        <v>139242.69400825561</v>
      </c>
      <c r="O176" s="80">
        <f>N176-'Toim ja inv rahavirta'!O176</f>
        <v>153266.80056981216</v>
      </c>
      <c r="P176" s="80">
        <f>O176-'Toim ja inv rahavirta'!P176</f>
        <v>166596.34095167718</v>
      </c>
      <c r="U176" s="34">
        <v>536</v>
      </c>
      <c r="V176" s="88" t="s">
        <v>490</v>
      </c>
      <c r="W176" s="41">
        <f>C176/'1. Väestöennuste'!E176*1000</f>
        <v>1994.0293106567758</v>
      </c>
      <c r="X176" s="41">
        <f>D176/'1. Väestöennuste'!F176*1000</f>
        <v>2475.7904245709124</v>
      </c>
      <c r="Y176" s="41">
        <f>E176/'1. Väestöennuste'!G176*1000</f>
        <v>2652.7819458615932</v>
      </c>
      <c r="Z176" s="41">
        <f>F176/'1. Väestöennuste'!H176*1000</f>
        <v>2754.0489754526202</v>
      </c>
      <c r="AA176" s="41">
        <f>G176/'1. Väestöennuste'!I176*1000</f>
        <v>2699.7553715110967</v>
      </c>
      <c r="AB176" s="41">
        <f>H176/'1. Väestöennuste'!J176*1000</f>
        <v>2948.8629771435199</v>
      </c>
      <c r="AC176" s="41">
        <f>I176/'1. Väestöennuste'!K176*1000</f>
        <v>3095.3670123839001</v>
      </c>
      <c r="AD176" s="41">
        <f>J176/'1. Väestöennuste'!L176*1000</f>
        <v>3155.7460781983818</v>
      </c>
      <c r="AE176" s="41">
        <f>K176/'1. Väestöennuste'!M176*1000</f>
        <v>2862.9930513086656</v>
      </c>
      <c r="AF176" s="41">
        <f>L176/'1. Väestöennuste'!N176*1000</f>
        <v>3156.2387967881477</v>
      </c>
      <c r="AG176" s="41">
        <f>M176/'1. Väestöennuste'!O176*1000</f>
        <v>3527.7368234735413</v>
      </c>
      <c r="AH176" s="41">
        <f>N176/'1. Väestöennuste'!P176*1000</f>
        <v>3874.0942075637304</v>
      </c>
      <c r="AI176" s="41">
        <f>O176/'1. Väestöennuste'!Q176*1000</f>
        <v>4241.036015656553</v>
      </c>
      <c r="AJ176" s="41">
        <f>P176/'1. Väestöennuste'!R176*1000</f>
        <v>4586.6510916710859</v>
      </c>
    </row>
    <row r="177" spans="1:36" x14ac:dyDescent="0.2">
      <c r="A177" s="30">
        <v>538</v>
      </c>
      <c r="B177" s="31" t="s">
        <v>491</v>
      </c>
      <c r="C177" s="81">
        <v>9723</v>
      </c>
      <c r="D177" s="46">
        <v>8842</v>
      </c>
      <c r="E177" s="46">
        <v>8933</v>
      </c>
      <c r="F177" s="46">
        <v>8980</v>
      </c>
      <c r="G177" s="80">
        <v>12287</v>
      </c>
      <c r="H177" s="80">
        <v>16355</v>
      </c>
      <c r="I177" s="80">
        <v>18857.909660000001</v>
      </c>
      <c r="J177" s="80">
        <v>19306.305660000002</v>
      </c>
      <c r="K177" s="80">
        <v>29754.701659999999</v>
      </c>
      <c r="L177" s="80">
        <f>K177-'Toim ja inv rahavirta'!L177</f>
        <v>33298.98751931468</v>
      </c>
      <c r="M177" s="80">
        <f>L177-'Toim ja inv rahavirta'!M177</f>
        <v>38212.10171251429</v>
      </c>
      <c r="N177" s="80">
        <f>M177-'Toim ja inv rahavirta'!N177</f>
        <v>43588.943727332677</v>
      </c>
      <c r="O177" s="80">
        <f>N177-'Toim ja inv rahavirta'!O177</f>
        <v>49431.4184953121</v>
      </c>
      <c r="P177" s="80">
        <f>O177-'Toim ja inv rahavirta'!P177</f>
        <v>55399.651145645337</v>
      </c>
      <c r="U177" s="34">
        <v>538</v>
      </c>
      <c r="V177" s="88" t="s">
        <v>491</v>
      </c>
      <c r="W177" s="41">
        <f>C177/'1. Väestöennuste'!E177*1000</f>
        <v>2001.0290183165259</v>
      </c>
      <c r="X177" s="41">
        <f>D177/'1. Väestöennuste'!F177*1000</f>
        <v>1836.3447559709243</v>
      </c>
      <c r="Y177" s="41">
        <f>E177/'1. Väestöennuste'!G177*1000</f>
        <v>1856.0149594847289</v>
      </c>
      <c r="Z177" s="41">
        <f>F177/'1. Väestöennuste'!H177*1000</f>
        <v>1897.3167124445383</v>
      </c>
      <c r="AA177" s="41">
        <f>G177/'1. Väestöennuste'!I177*1000</f>
        <v>2605.9384941675507</v>
      </c>
      <c r="AB177" s="41">
        <f>H177/'1. Väestöennuste'!J177*1000</f>
        <v>3484.9776262518644</v>
      </c>
      <c r="AC177" s="41">
        <f>I177/'1. Väestöennuste'!K177*1000</f>
        <v>4021.733772659416</v>
      </c>
      <c r="AD177" s="41">
        <f>J177/'1. Väestöennuste'!L177*1000</f>
        <v>4157.2578940568474</v>
      </c>
      <c r="AE177" s="41">
        <f>K177/'1. Väestöennuste'!M177*1000</f>
        <v>6337.5296400425987</v>
      </c>
      <c r="AF177" s="41">
        <f>L177/'1. Väestöennuste'!N177*1000</f>
        <v>7218.5101927844526</v>
      </c>
      <c r="AG177" s="41">
        <f>M177/'1. Väestöennuste'!O177*1000</f>
        <v>8312.399763435782</v>
      </c>
      <c r="AH177" s="41">
        <f>N177/'1. Väestöennuste'!P177*1000</f>
        <v>9515.1590760385679</v>
      </c>
      <c r="AI177" s="41">
        <f>O177/'1. Väestöennuste'!Q177*1000</f>
        <v>10823.608166260588</v>
      </c>
      <c r="AJ177" s="41">
        <f>P177/'1. Väestöennuste'!R177*1000</f>
        <v>12165.052952491291</v>
      </c>
    </row>
    <row r="178" spans="1:36" x14ac:dyDescent="0.2">
      <c r="A178" s="30">
        <v>541</v>
      </c>
      <c r="B178" s="31" t="s">
        <v>492</v>
      </c>
      <c r="C178" s="81">
        <v>13263</v>
      </c>
      <c r="D178" s="46">
        <v>11366</v>
      </c>
      <c r="E178" s="46">
        <v>9455</v>
      </c>
      <c r="F178" s="35">
        <v>14244</v>
      </c>
      <c r="G178" s="80">
        <v>13155</v>
      </c>
      <c r="H178" s="80">
        <v>14524</v>
      </c>
      <c r="I178" s="80">
        <v>17783.024000000001</v>
      </c>
      <c r="J178" s="80">
        <v>17223.430769999999</v>
      </c>
      <c r="K178" s="80">
        <v>18369.28673</v>
      </c>
      <c r="L178" s="80">
        <f>K178-'Toim ja inv rahavirta'!L178</f>
        <v>17078.774786794809</v>
      </c>
      <c r="M178" s="80">
        <f>L178-'Toim ja inv rahavirta'!M178</f>
        <v>17630.504871683854</v>
      </c>
      <c r="N178" s="80">
        <f>M178-'Toim ja inv rahavirta'!N178</f>
        <v>18519.238626753082</v>
      </c>
      <c r="O178" s="80">
        <f>N178-'Toim ja inv rahavirta'!O178</f>
        <v>20049.792551654355</v>
      </c>
      <c r="P178" s="80">
        <f>O178-'Toim ja inv rahavirta'!P178</f>
        <v>20124.244809692682</v>
      </c>
      <c r="U178" s="34">
        <v>541</v>
      </c>
      <c r="V178" s="88" t="s">
        <v>492</v>
      </c>
      <c r="W178" s="41">
        <f>C178/'1. Väestöennuste'!E178*1000</f>
        <v>1658.7043521760879</v>
      </c>
      <c r="X178" s="41">
        <f>D178/'1. Väestöennuste'!F178*1000</f>
        <v>1122.0138203356366</v>
      </c>
      <c r="Y178" s="41">
        <f>E178/'1. Väestöennuste'!G178*1000</f>
        <v>947.11008714815182</v>
      </c>
      <c r="Z178" s="41">
        <f>F178/'1. Väestöennuste'!H178*1000</f>
        <v>1455.8462796402289</v>
      </c>
      <c r="AA178" s="41">
        <f>G178/'1. Väestöennuste'!I178*1000</f>
        <v>1377.1984924623116</v>
      </c>
      <c r="AB178" s="41">
        <f>H178/'1. Väestöennuste'!J178*1000</f>
        <v>1528.6811914535313</v>
      </c>
      <c r="AC178" s="41">
        <f>I178/'1. Väestöennuste'!K178*1000</f>
        <v>1887.1934628037782</v>
      </c>
      <c r="AD178" s="41">
        <f>J178/'1. Väestöennuste'!L178*1000</f>
        <v>1863.402658227848</v>
      </c>
      <c r="AE178" s="41">
        <f>K178/'1. Väestöennuste'!M178*1000</f>
        <v>2011.970069003286</v>
      </c>
      <c r="AF178" s="41">
        <f>L178/'1. Väestöennuste'!N178*1000</f>
        <v>1921.9868092274151</v>
      </c>
      <c r="AG178" s="41">
        <f>M178/'1. Väestöennuste'!O178*1000</f>
        <v>2015.8363676748058</v>
      </c>
      <c r="AH178" s="41">
        <f>N178/'1. Väestöennuste'!P178*1000</f>
        <v>2149.9000031057676</v>
      </c>
      <c r="AI178" s="41">
        <f>O178/'1. Väestöennuste'!Q178*1000</f>
        <v>2361.5774501359665</v>
      </c>
      <c r="AJ178" s="41">
        <f>P178/'1. Väestöennuste'!R178*1000</f>
        <v>2403.7559495571763</v>
      </c>
    </row>
    <row r="179" spans="1:36" x14ac:dyDescent="0.2">
      <c r="A179" s="30">
        <v>543</v>
      </c>
      <c r="B179" s="31" t="s">
        <v>493</v>
      </c>
      <c r="C179" s="81">
        <v>113089</v>
      </c>
      <c r="D179" s="46">
        <v>132362</v>
      </c>
      <c r="E179" s="46">
        <v>153813</v>
      </c>
      <c r="F179" s="46">
        <v>169248</v>
      </c>
      <c r="G179" s="80">
        <v>199528</v>
      </c>
      <c r="H179" s="80">
        <v>206720</v>
      </c>
      <c r="I179" s="80">
        <v>217264.56701999999</v>
      </c>
      <c r="J179" s="80">
        <v>227920.10756000003</v>
      </c>
      <c r="K179" s="80">
        <v>194195.18935</v>
      </c>
      <c r="L179" s="80">
        <f>K179-'Toim ja inv rahavirta'!L179</f>
        <v>200973.85597662209</v>
      </c>
      <c r="M179" s="80">
        <f>L179-'Toim ja inv rahavirta'!M179</f>
        <v>199432.24228383624</v>
      </c>
      <c r="N179" s="80">
        <f>M179-'Toim ja inv rahavirta'!N179</f>
        <v>199770.12726617086</v>
      </c>
      <c r="O179" s="80">
        <f>N179-'Toim ja inv rahavirta'!O179</f>
        <v>201263.08129124946</v>
      </c>
      <c r="P179" s="80">
        <f>O179-'Toim ja inv rahavirta'!P179</f>
        <v>200772.73576292186</v>
      </c>
      <c r="U179" s="34">
        <v>543</v>
      </c>
      <c r="V179" s="88" t="s">
        <v>493</v>
      </c>
      <c r="W179" s="41">
        <f>C179/'1. Väestöennuste'!E179*1000</f>
        <v>2699.2147409122372</v>
      </c>
      <c r="X179" s="41">
        <f>D179/'1. Väestöennuste'!F179*1000</f>
        <v>3150.7260176148538</v>
      </c>
      <c r="Y179" s="41">
        <f>E179/'1. Väestöennuste'!G179*1000</f>
        <v>3648.4024763395719</v>
      </c>
      <c r="Z179" s="41">
        <f>F179/'1. Väestöennuste'!H179*1000</f>
        <v>3966.9049572248919</v>
      </c>
      <c r="AA179" s="41">
        <f>G179/'1. Väestöennuste'!I179*1000</f>
        <v>4640.9415486241951</v>
      </c>
      <c r="AB179" s="41">
        <f>H179/'1. Väestöennuste'!J179*1000</f>
        <v>4734.4433502049797</v>
      </c>
      <c r="AC179" s="41">
        <f>I179/'1. Väestöennuste'!K179*1000</f>
        <v>4923.6197117411111</v>
      </c>
      <c r="AD179" s="41">
        <f>J179/'1. Väestöennuste'!L179*1000</f>
        <v>5126.6387952674449</v>
      </c>
      <c r="AE179" s="41">
        <f>K179/'1. Väestöennuste'!M179*1000</f>
        <v>4336.1658892486321</v>
      </c>
      <c r="AF179" s="41">
        <f>L179/'1. Väestöennuste'!N179*1000</f>
        <v>4451.4453791224878</v>
      </c>
      <c r="AG179" s="41">
        <f>M179/'1. Väestöennuste'!O179*1000</f>
        <v>4384.2824983256296</v>
      </c>
      <c r="AH179" s="41">
        <f>N179/'1. Väestöennuste'!P179*1000</f>
        <v>4359.8892899644452</v>
      </c>
      <c r="AI179" s="41">
        <f>O179/'1. Väestöennuste'!Q179*1000</f>
        <v>4361.8196283483476</v>
      </c>
      <c r="AJ179" s="41">
        <f>P179/'1. Väestöennuste'!R179*1000</f>
        <v>4322.433976251843</v>
      </c>
    </row>
    <row r="180" spans="1:36" x14ac:dyDescent="0.2">
      <c r="A180" s="30">
        <v>545</v>
      </c>
      <c r="B180" s="31" t="s">
        <v>494</v>
      </c>
      <c r="C180" s="81">
        <v>21293</v>
      </c>
      <c r="D180" s="46">
        <v>19654</v>
      </c>
      <c r="E180" s="46">
        <v>19631</v>
      </c>
      <c r="F180" s="46">
        <v>24910</v>
      </c>
      <c r="G180" s="80">
        <v>32500</v>
      </c>
      <c r="H180" s="80">
        <v>35715</v>
      </c>
      <c r="I180" s="80">
        <v>44969.801100000004</v>
      </c>
      <c r="J180" s="80">
        <v>47350.677120000008</v>
      </c>
      <c r="K180" s="80">
        <v>47411.674010000002</v>
      </c>
      <c r="L180" s="80">
        <f>K180-'Toim ja inv rahavirta'!L180</f>
        <v>48687.713126222618</v>
      </c>
      <c r="M180" s="80">
        <f>L180-'Toim ja inv rahavirta'!M180</f>
        <v>50037.196293423942</v>
      </c>
      <c r="N180" s="80">
        <f>M180-'Toim ja inv rahavirta'!N180</f>
        <v>52493.543176438019</v>
      </c>
      <c r="O180" s="80">
        <f>N180-'Toim ja inv rahavirta'!O180</f>
        <v>54976.950409604877</v>
      </c>
      <c r="P180" s="80">
        <f>O180-'Toim ja inv rahavirta'!P180</f>
        <v>57375.044313001999</v>
      </c>
      <c r="U180" s="34">
        <v>545</v>
      </c>
      <c r="V180" s="88" t="s">
        <v>494</v>
      </c>
      <c r="W180" s="41">
        <f>C180/'1. Väestöennuste'!E180*1000</f>
        <v>2268.3498455310537</v>
      </c>
      <c r="X180" s="41">
        <f>D180/'1. Väestöennuste'!F180*1000</f>
        <v>2082.2120987392732</v>
      </c>
      <c r="Y180" s="41">
        <f>E180/'1. Väestöennuste'!G180*1000</f>
        <v>2064.8995477016933</v>
      </c>
      <c r="Z180" s="41">
        <f>F180/'1. Väestöennuste'!H180*1000</f>
        <v>2630.1340935487278</v>
      </c>
      <c r="AA180" s="41">
        <f>G180/'1. Väestöennuste'!I180*1000</f>
        <v>3428.631712205929</v>
      </c>
      <c r="AB180" s="41">
        <f>H180/'1. Väestöennuste'!J180*1000</f>
        <v>3736.660389202762</v>
      </c>
      <c r="AC180" s="41">
        <f>I180/'1. Väestöennuste'!K180*1000</f>
        <v>4702.970204978039</v>
      </c>
      <c r="AD180" s="41">
        <f>J180/'1. Väestöennuste'!L180*1000</f>
        <v>4940.5965275459102</v>
      </c>
      <c r="AE180" s="41">
        <f>K180/'1. Väestöennuste'!M180*1000</f>
        <v>4927.9361823095314</v>
      </c>
      <c r="AF180" s="41">
        <f>L180/'1. Väestöennuste'!N180*1000</f>
        <v>5065.3051525408473</v>
      </c>
      <c r="AG180" s="41">
        <f>M180/'1. Väestöennuste'!O180*1000</f>
        <v>5200.2906145732632</v>
      </c>
      <c r="AH180" s="41">
        <f>N180/'1. Väestöennuste'!P180*1000</f>
        <v>5452.175236439346</v>
      </c>
      <c r="AI180" s="41">
        <f>O180/'1. Väestöennuste'!Q180*1000</f>
        <v>5706.5549522114261</v>
      </c>
      <c r="AJ180" s="41">
        <f>P180/'1. Väestöennuste'!R180*1000</f>
        <v>5953.0031451548039</v>
      </c>
    </row>
    <row r="181" spans="1:36" x14ac:dyDescent="0.2">
      <c r="A181" s="30">
        <v>560</v>
      </c>
      <c r="B181" s="31" t="s">
        <v>495</v>
      </c>
      <c r="C181" s="81">
        <v>36045</v>
      </c>
      <c r="D181" s="46">
        <v>34419</v>
      </c>
      <c r="E181" s="46">
        <v>40663</v>
      </c>
      <c r="F181" s="46">
        <v>45760</v>
      </c>
      <c r="G181" s="80">
        <v>49497</v>
      </c>
      <c r="H181" s="80">
        <v>58911</v>
      </c>
      <c r="I181" s="80">
        <v>64997.955699999999</v>
      </c>
      <c r="J181" s="80">
        <v>72331.624459999992</v>
      </c>
      <c r="K181" s="80">
        <v>68894.765469999998</v>
      </c>
      <c r="L181" s="80">
        <f>K181-'Toim ja inv rahavirta'!L181</f>
        <v>73868.505653526779</v>
      </c>
      <c r="M181" s="80">
        <f>L181-'Toim ja inv rahavirta'!M181</f>
        <v>81416.998967344785</v>
      </c>
      <c r="N181" s="80">
        <f>M181-'Toim ja inv rahavirta'!N181</f>
        <v>89912.246735767607</v>
      </c>
      <c r="O181" s="80">
        <f>N181-'Toim ja inv rahavirta'!O181</f>
        <v>98416.099501037475</v>
      </c>
      <c r="P181" s="80">
        <f>O181-'Toim ja inv rahavirta'!P181</f>
        <v>105876.88878286217</v>
      </c>
      <c r="U181" s="34">
        <v>560</v>
      </c>
      <c r="V181" s="88" t="s">
        <v>495</v>
      </c>
      <c r="W181" s="41">
        <f>C181/'1. Väestöennuste'!E181*1000</f>
        <v>2207.8280044101434</v>
      </c>
      <c r="X181" s="41">
        <f>D181/'1. Väestöennuste'!F181*1000</f>
        <v>2114.319061367406</v>
      </c>
      <c r="Y181" s="41">
        <f>E181/'1. Väestöennuste'!G181*1000</f>
        <v>2506.8121570803278</v>
      </c>
      <c r="Z181" s="41">
        <f>F181/'1. Väestöennuste'!H181*1000</f>
        <v>2843.8257410975079</v>
      </c>
      <c r="AA181" s="41">
        <f>G181/'1. Väestöennuste'!I181*1000</f>
        <v>3092.9825657689184</v>
      </c>
      <c r="AB181" s="41">
        <f>H181/'1. Väestöennuste'!J181*1000</f>
        <v>3709.2935398564409</v>
      </c>
      <c r="AC181" s="41">
        <f>I181/'1. Väestöennuste'!K181*1000</f>
        <v>4111.7127846659914</v>
      </c>
      <c r="AD181" s="41">
        <f>J181/'1. Väestöennuste'!L181*1000</f>
        <v>4596.8620565618048</v>
      </c>
      <c r="AE181" s="41">
        <f>K181/'1. Väestöennuste'!M181*1000</f>
        <v>4396.8833665198799</v>
      </c>
      <c r="AF181" s="41">
        <f>L181/'1. Väestöennuste'!N181*1000</f>
        <v>4758.6488213313651</v>
      </c>
      <c r="AG181" s="41">
        <f>M181/'1. Väestöennuste'!O181*1000</f>
        <v>5275.5134430988655</v>
      </c>
      <c r="AH181" s="41">
        <f>N181/'1. Väestöennuste'!P181*1000</f>
        <v>5858.2386458019027</v>
      </c>
      <c r="AI181" s="41">
        <f>O181/'1. Väestöennuste'!Q181*1000</f>
        <v>6446.7509171385746</v>
      </c>
      <c r="AJ181" s="41">
        <f>P181/'1. Väestöennuste'!R181*1000</f>
        <v>6972.9247090926083</v>
      </c>
    </row>
    <row r="182" spans="1:36" x14ac:dyDescent="0.2">
      <c r="A182" s="30">
        <v>561</v>
      </c>
      <c r="B182" s="31" t="s">
        <v>496</v>
      </c>
      <c r="C182" s="81">
        <v>3246</v>
      </c>
      <c r="D182" s="46">
        <v>3409</v>
      </c>
      <c r="E182" s="46">
        <v>3707</v>
      </c>
      <c r="F182" s="46">
        <v>4427</v>
      </c>
      <c r="G182" s="80">
        <v>4374</v>
      </c>
      <c r="H182" s="80">
        <v>3639</v>
      </c>
      <c r="I182" s="80">
        <v>3314.0885399999997</v>
      </c>
      <c r="J182" s="80">
        <v>2829.3390800000002</v>
      </c>
      <c r="K182" s="80">
        <v>2808.8561199999999</v>
      </c>
      <c r="L182" s="80">
        <f>K182-'Toim ja inv rahavirta'!L182</f>
        <v>2691.9974507798643</v>
      </c>
      <c r="M182" s="80">
        <f>L182-'Toim ja inv rahavirta'!M182</f>
        <v>2938.3923243782606</v>
      </c>
      <c r="N182" s="80">
        <f>M182-'Toim ja inv rahavirta'!N182</f>
        <v>3505.5433856725149</v>
      </c>
      <c r="O182" s="80">
        <f>N182-'Toim ja inv rahavirta'!O182</f>
        <v>4023.0762056815774</v>
      </c>
      <c r="P182" s="80">
        <f>O182-'Toim ja inv rahavirta'!P182</f>
        <v>4582.1451248646217</v>
      </c>
      <c r="U182" s="34">
        <v>561</v>
      </c>
      <c r="V182" s="88" t="s">
        <v>496</v>
      </c>
      <c r="W182" s="41">
        <f>C182/'1. Väestöennuste'!E182*1000</f>
        <v>2357.2984749455336</v>
      </c>
      <c r="X182" s="41">
        <f>D182/'1. Väestöennuste'!F182*1000</f>
        <v>2501.1005135730006</v>
      </c>
      <c r="Y182" s="41">
        <f>E182/'1. Väestöennuste'!G182*1000</f>
        <v>2682.3444283646886</v>
      </c>
      <c r="Z182" s="41">
        <f>F182/'1. Väestöennuste'!H182*1000</f>
        <v>3245.6011730205278</v>
      </c>
      <c r="AA182" s="41">
        <f>G182/'1. Väestöennuste'!I182*1000</f>
        <v>3291.1963882618511</v>
      </c>
      <c r="AB182" s="41">
        <f>H182/'1. Väestöennuste'!J182*1000</f>
        <v>2727.8860569715143</v>
      </c>
      <c r="AC182" s="41">
        <f>I182/'1. Väestöennuste'!K182*1000</f>
        <v>2478.7498429319367</v>
      </c>
      <c r="AD182" s="41">
        <f>J182/'1. Väestöennuste'!L182*1000</f>
        <v>2148.3212452543662</v>
      </c>
      <c r="AE182" s="41">
        <f>K182/'1. Väestöennuste'!M182*1000</f>
        <v>2136.012258555133</v>
      </c>
      <c r="AF182" s="41">
        <f>L182/'1. Väestöennuste'!N182*1000</f>
        <v>2054.9598860914994</v>
      </c>
      <c r="AG182" s="41">
        <f>M182/'1. Väestöennuste'!O182*1000</f>
        <v>2251.6416278760616</v>
      </c>
      <c r="AH182" s="41">
        <f>N182/'1. Väestöennuste'!P182*1000</f>
        <v>2694.4991434838703</v>
      </c>
      <c r="AI182" s="41">
        <f>O182/'1. Väestöennuste'!Q182*1000</f>
        <v>3099.4423772585346</v>
      </c>
      <c r="AJ182" s="41">
        <f>P182/'1. Väestöennuste'!R182*1000</f>
        <v>3538.3360037564648</v>
      </c>
    </row>
    <row r="183" spans="1:36" x14ac:dyDescent="0.2">
      <c r="A183" s="30">
        <v>562</v>
      </c>
      <c r="B183" s="31" t="s">
        <v>497</v>
      </c>
      <c r="C183" s="81">
        <v>24567</v>
      </c>
      <c r="D183" s="46">
        <v>27979</v>
      </c>
      <c r="E183" s="46">
        <v>23690</v>
      </c>
      <c r="F183" s="46">
        <v>19728</v>
      </c>
      <c r="G183" s="80">
        <v>22863</v>
      </c>
      <c r="H183" s="80">
        <v>20955</v>
      </c>
      <c r="I183" s="80">
        <v>17081.2199</v>
      </c>
      <c r="J183" s="80">
        <v>18322.948840000001</v>
      </c>
      <c r="K183" s="80">
        <v>21199.135380000003</v>
      </c>
      <c r="L183" s="80">
        <f>K183-'Toim ja inv rahavirta'!L183</f>
        <v>23369.686877164786</v>
      </c>
      <c r="M183" s="80">
        <f>L183-'Toim ja inv rahavirta'!M183</f>
        <v>25136.675882402684</v>
      </c>
      <c r="N183" s="80">
        <f>M183-'Toim ja inv rahavirta'!N183</f>
        <v>26564.03226670394</v>
      </c>
      <c r="O183" s="80">
        <f>N183-'Toim ja inv rahavirta'!O183</f>
        <v>28310.096643663252</v>
      </c>
      <c r="P183" s="80">
        <f>O183-'Toim ja inv rahavirta'!P183</f>
        <v>29137.345326686976</v>
      </c>
      <c r="U183" s="34">
        <v>562</v>
      </c>
      <c r="V183" s="88" t="s">
        <v>497</v>
      </c>
      <c r="W183" s="41">
        <f>C183/'1. Väestöennuste'!E183*1000</f>
        <v>2611.2882653061224</v>
      </c>
      <c r="X183" s="41">
        <f>D183/'1. Väestöennuste'!F183*1000</f>
        <v>3004.6176975945018</v>
      </c>
      <c r="Y183" s="41">
        <f>E183/'1. Väestöennuste'!G183*1000</f>
        <v>2551.4270328486805</v>
      </c>
      <c r="Z183" s="41">
        <f>F183/'1. Väestöennuste'!H183*1000</f>
        <v>2139.4642663485524</v>
      </c>
      <c r="AA183" s="41">
        <f>G183/'1. Väestöennuste'!I183*1000</f>
        <v>2496.5057872898014</v>
      </c>
      <c r="AB183" s="41">
        <f>H183/'1. Väestöennuste'!J183*1000</f>
        <v>2326.265541740675</v>
      </c>
      <c r="AC183" s="41">
        <f>I183/'1. Väestöennuste'!K183*1000</f>
        <v>1902.5640343060813</v>
      </c>
      <c r="AD183" s="41">
        <f>J183/'1. Väestöennuste'!L183*1000</f>
        <v>2050.6937705651935</v>
      </c>
      <c r="AE183" s="41">
        <f>K183/'1. Väestöennuste'!M183*1000</f>
        <v>2398.3635456499605</v>
      </c>
      <c r="AF183" s="41">
        <f>L183/'1. Väestöennuste'!N183*1000</f>
        <v>2691.4300215553135</v>
      </c>
      <c r="AG183" s="41">
        <f>M183/'1. Väestöennuste'!O183*1000</f>
        <v>2918.4576665973159</v>
      </c>
      <c r="AH183" s="41">
        <f>N183/'1. Väestöennuste'!P183*1000</f>
        <v>3108.7223249507242</v>
      </c>
      <c r="AI183" s="41">
        <f>O183/'1. Väestöennuste'!Q183*1000</f>
        <v>3338.4547928848174</v>
      </c>
      <c r="AJ183" s="41">
        <f>P183/'1. Väestöennuste'!R183*1000</f>
        <v>3460.9033527363076</v>
      </c>
    </row>
    <row r="184" spans="1:36" x14ac:dyDescent="0.2">
      <c r="A184" s="30">
        <v>563</v>
      </c>
      <c r="B184" s="31" t="s">
        <v>498</v>
      </c>
      <c r="C184" s="81">
        <v>29049</v>
      </c>
      <c r="D184" s="46">
        <v>32306</v>
      </c>
      <c r="E184" s="46">
        <v>31821</v>
      </c>
      <c r="F184" s="46">
        <v>32536</v>
      </c>
      <c r="G184" s="80">
        <v>34701</v>
      </c>
      <c r="H184" s="80">
        <v>32966</v>
      </c>
      <c r="I184" s="80">
        <v>34905.531999999999</v>
      </c>
      <c r="J184" s="80">
        <v>36773.436000000002</v>
      </c>
      <c r="K184" s="80">
        <v>51867.173329999998</v>
      </c>
      <c r="L184" s="80">
        <f>K184-'Toim ja inv rahavirta'!L184</f>
        <v>52894.303018303355</v>
      </c>
      <c r="M184" s="80">
        <f>L184-'Toim ja inv rahavirta'!M184</f>
        <v>56894.575805995119</v>
      </c>
      <c r="N184" s="80">
        <f>M184-'Toim ja inv rahavirta'!N184</f>
        <v>60744.122377608932</v>
      </c>
      <c r="O184" s="80">
        <f>N184-'Toim ja inv rahavirta'!O184</f>
        <v>64536.925291884676</v>
      </c>
      <c r="P184" s="80">
        <f>O184-'Toim ja inv rahavirta'!P184</f>
        <v>67492.184077833066</v>
      </c>
      <c r="U184" s="34">
        <v>563</v>
      </c>
      <c r="V184" s="88" t="s">
        <v>498</v>
      </c>
      <c r="W184" s="41">
        <f>C184/'1. Väestöennuste'!E184*1000</f>
        <v>3817.214191852825</v>
      </c>
      <c r="X184" s="41">
        <f>D184/'1. Väestöennuste'!F184*1000</f>
        <v>4299.4410433856801</v>
      </c>
      <c r="Y184" s="41">
        <f>E184/'1. Väestöennuste'!G184*1000</f>
        <v>4258.6991434689508</v>
      </c>
      <c r="Z184" s="41">
        <f>F184/'1. Väestöennuste'!H184*1000</f>
        <v>4379.0040376850602</v>
      </c>
      <c r="AA184" s="41">
        <f>G184/'1. Väestöennuste'!I184*1000</f>
        <v>4761.3885839736558</v>
      </c>
      <c r="AB184" s="41">
        <f>H184/'1. Väestöennuste'!J184*1000</f>
        <v>4607.4074074074078</v>
      </c>
      <c r="AC184" s="41">
        <f>I184/'1. Väestöennuste'!K184*1000</f>
        <v>4914.8876372852719</v>
      </c>
      <c r="AD184" s="41">
        <f>J184/'1. Väestöennuste'!L184*1000</f>
        <v>5234.6528113879003</v>
      </c>
      <c r="AE184" s="41">
        <f>K184/'1. Väestöennuste'!M184*1000</f>
        <v>7432.9569117225565</v>
      </c>
      <c r="AF184" s="41">
        <f>L184/'1. Väestöennuste'!N184*1000</f>
        <v>7753.4891554241212</v>
      </c>
      <c r="AG184" s="41">
        <f>M184/'1. Väestöennuste'!O184*1000</f>
        <v>8438.8276188067521</v>
      </c>
      <c r="AH184" s="41">
        <f>N184/'1. Väestöennuste'!P184*1000</f>
        <v>9116.632504518826</v>
      </c>
      <c r="AI184" s="41">
        <f>O184/'1. Väestöennuste'!Q184*1000</f>
        <v>9799.1080005898384</v>
      </c>
      <c r="AJ184" s="41">
        <f>P184/'1. Väestöennuste'!R184*1000</f>
        <v>10362.687559931379</v>
      </c>
    </row>
    <row r="185" spans="1:36" x14ac:dyDescent="0.2">
      <c r="A185" s="30">
        <v>564</v>
      </c>
      <c r="B185" s="31" t="s">
        <v>499</v>
      </c>
      <c r="C185" s="81">
        <v>655700</v>
      </c>
      <c r="D185" s="46">
        <v>671141</v>
      </c>
      <c r="E185" s="46">
        <v>632599</v>
      </c>
      <c r="F185" s="46">
        <v>645507</v>
      </c>
      <c r="G185" s="80">
        <v>701165</v>
      </c>
      <c r="H185" s="80">
        <v>750777</v>
      </c>
      <c r="I185" s="80">
        <v>675315.56649</v>
      </c>
      <c r="J185" s="80">
        <v>584435.91824999999</v>
      </c>
      <c r="K185" s="80">
        <v>667390.16024999996</v>
      </c>
      <c r="L185" s="80">
        <f>K185-'Toim ja inv rahavirta'!L185</f>
        <v>750886.65973904147</v>
      </c>
      <c r="M185" s="80">
        <f>L185-'Toim ja inv rahavirta'!M185</f>
        <v>890040.28961720481</v>
      </c>
      <c r="N185" s="80">
        <f>M185-'Toim ja inv rahavirta'!N185</f>
        <v>1026511.1725214579</v>
      </c>
      <c r="O185" s="80">
        <f>N185-'Toim ja inv rahavirta'!O185</f>
        <v>1166699.1094138853</v>
      </c>
      <c r="P185" s="80">
        <f>O185-'Toim ja inv rahavirta'!P185</f>
        <v>1305170.7646240192</v>
      </c>
      <c r="U185" s="34">
        <v>564</v>
      </c>
      <c r="V185" s="88" t="s">
        <v>499</v>
      </c>
      <c r="W185" s="41">
        <f>C185/'1. Väestöennuste'!E185*1000</f>
        <v>3302.8585820425642</v>
      </c>
      <c r="X185" s="41">
        <f>D185/'1. Väestöennuste'!F185*1000</f>
        <v>3346.9026460409123</v>
      </c>
      <c r="Y185" s="41">
        <f>E185/'1. Väestöennuste'!G185*1000</f>
        <v>3134.6266290074823</v>
      </c>
      <c r="Z185" s="41">
        <f>F185/'1. Väestöennuste'!H185*1000</f>
        <v>3170.9805616823946</v>
      </c>
      <c r="AA185" s="41">
        <f>G185/'1. Väestöennuste'!I185*1000</f>
        <v>3412.177780805785</v>
      </c>
      <c r="AB185" s="41">
        <f>H185/'1. Väestöennuste'!J185*1000</f>
        <v>3621.2215485682041</v>
      </c>
      <c r="AC185" s="41">
        <f>I185/'1. Väestöennuste'!K185*1000</f>
        <v>3222.6788060663034</v>
      </c>
      <c r="AD185" s="41">
        <f>J185/'1. Väestöennuste'!L185*1000</f>
        <v>2758.7511718307469</v>
      </c>
      <c r="AE185" s="41">
        <f>K185/'1. Väestöennuste'!M185*1000</f>
        <v>3109.4480357167813</v>
      </c>
      <c r="AF185" s="41">
        <f>L185/'1. Väestöennuste'!N185*1000</f>
        <v>3494.202562828551</v>
      </c>
      <c r="AG185" s="41">
        <f>M185/'1. Väestöennuste'!O185*1000</f>
        <v>4111.0216101413153</v>
      </c>
      <c r="AH185" s="41">
        <f>N185/'1. Väestöennuste'!P185*1000</f>
        <v>4708.3780812660325</v>
      </c>
      <c r="AI185" s="41">
        <f>O185/'1. Väestöennuste'!Q185*1000</f>
        <v>5316.0813493383266</v>
      </c>
      <c r="AJ185" s="41">
        <f>P185/'1. Väestöennuste'!R185*1000</f>
        <v>5909.8414948992704</v>
      </c>
    </row>
    <row r="186" spans="1:36" x14ac:dyDescent="0.2">
      <c r="A186" s="30">
        <v>576</v>
      </c>
      <c r="B186" s="31" t="s">
        <v>500</v>
      </c>
      <c r="C186" s="81">
        <v>8620</v>
      </c>
      <c r="D186" s="46">
        <v>8914</v>
      </c>
      <c r="E186" s="46">
        <v>8558</v>
      </c>
      <c r="F186" s="46">
        <v>8547</v>
      </c>
      <c r="G186" s="80">
        <v>8865</v>
      </c>
      <c r="H186" s="80">
        <v>8785</v>
      </c>
      <c r="I186" s="80">
        <v>7225.27</v>
      </c>
      <c r="J186" s="80">
        <v>5540.3239999999996</v>
      </c>
      <c r="K186" s="80">
        <v>4339.3779999999997</v>
      </c>
      <c r="L186" s="80">
        <f>K186-'Toim ja inv rahavirta'!L186</f>
        <v>4367.5547305815662</v>
      </c>
      <c r="M186" s="80">
        <f>L186-'Toim ja inv rahavirta'!M186</f>
        <v>5116.2126578025391</v>
      </c>
      <c r="N186" s="80">
        <f>M186-'Toim ja inv rahavirta'!N186</f>
        <v>5982.4530999619619</v>
      </c>
      <c r="O186" s="80">
        <f>N186-'Toim ja inv rahavirta'!O186</f>
        <v>7025.4467143734819</v>
      </c>
      <c r="P186" s="80">
        <f>O186-'Toim ja inv rahavirta'!P186</f>
        <v>7823.8679669915873</v>
      </c>
      <c r="U186" s="34">
        <v>576</v>
      </c>
      <c r="V186" s="88" t="s">
        <v>500</v>
      </c>
      <c r="W186" s="41">
        <f>C186/'1. Väestöennuste'!E186*1000</f>
        <v>2742.6026089723196</v>
      </c>
      <c r="X186" s="41">
        <f>D186/'1. Väestöennuste'!F186*1000</f>
        <v>2900.7484542792058</v>
      </c>
      <c r="Y186" s="41">
        <f>E186/'1. Väestöennuste'!G186*1000</f>
        <v>2827.2216716220678</v>
      </c>
      <c r="Z186" s="41">
        <f>F186/'1. Väestöennuste'!H186*1000</f>
        <v>2884.576442794465</v>
      </c>
      <c r="AA186" s="41">
        <f>G186/'1. Väestöennuste'!I186*1000</f>
        <v>3061.1187845303871</v>
      </c>
      <c r="AB186" s="41">
        <f>H186/'1. Väestöennuste'!J186*1000</f>
        <v>3070.6046836770361</v>
      </c>
      <c r="AC186" s="41">
        <f>I186/'1. Väestöennuste'!K186*1000</f>
        <v>2568.5282616423751</v>
      </c>
      <c r="AD186" s="41">
        <f>J186/'1. Väestöennuste'!L186*1000</f>
        <v>2014.6632727272724</v>
      </c>
      <c r="AE186" s="41">
        <f>K186/'1. Väestöennuste'!M186*1000</f>
        <v>1591.8481291269256</v>
      </c>
      <c r="AF186" s="41">
        <f>L186/'1. Väestöennuste'!N186*1000</f>
        <v>1629.6846009632711</v>
      </c>
      <c r="AG186" s="41">
        <f>M186/'1. Väestöennuste'!O186*1000</f>
        <v>1936.4923004551624</v>
      </c>
      <c r="AH186" s="41">
        <f>N186/'1. Väestöennuste'!P186*1000</f>
        <v>2295.6458557029787</v>
      </c>
      <c r="AI186" s="41">
        <f>O186/'1. Väestöennuste'!Q186*1000</f>
        <v>2731.5111642198608</v>
      </c>
      <c r="AJ186" s="41">
        <f>P186/'1. Väestöennuste'!R186*1000</f>
        <v>3081.476158720594</v>
      </c>
    </row>
    <row r="187" spans="1:36" x14ac:dyDescent="0.2">
      <c r="A187" s="30">
        <v>577</v>
      </c>
      <c r="B187" s="31" t="s">
        <v>501</v>
      </c>
      <c r="C187" s="81">
        <v>48295</v>
      </c>
      <c r="D187" s="46">
        <v>49548</v>
      </c>
      <c r="E187" s="46">
        <v>46700</v>
      </c>
      <c r="F187" s="46">
        <v>50653</v>
      </c>
      <c r="G187" s="80">
        <v>60871</v>
      </c>
      <c r="H187" s="80">
        <v>54725</v>
      </c>
      <c r="I187" s="80">
        <v>53975</v>
      </c>
      <c r="J187" s="80">
        <v>51375</v>
      </c>
      <c r="K187" s="80">
        <v>53501.94</v>
      </c>
      <c r="L187" s="80">
        <f>K187-'Toim ja inv rahavirta'!L187</f>
        <v>56994.826861327441</v>
      </c>
      <c r="M187" s="80">
        <f>L187-'Toim ja inv rahavirta'!M187</f>
        <v>60691.483649987684</v>
      </c>
      <c r="N187" s="80">
        <f>M187-'Toim ja inv rahavirta'!N187</f>
        <v>63837.385604332543</v>
      </c>
      <c r="O187" s="80">
        <f>N187-'Toim ja inv rahavirta'!O187</f>
        <v>67136.273421931561</v>
      </c>
      <c r="P187" s="80">
        <f>O187-'Toim ja inv rahavirta'!P187</f>
        <v>70427.224547481761</v>
      </c>
      <c r="U187" s="34">
        <v>577</v>
      </c>
      <c r="V187" s="88" t="s">
        <v>501</v>
      </c>
      <c r="W187" s="41">
        <f>C187/'1. Väestöennuste'!E187*1000</f>
        <v>4547.5517890772126</v>
      </c>
      <c r="X187" s="41">
        <f>D187/'1. Väestöennuste'!F187*1000</f>
        <v>4625.0350042005048</v>
      </c>
      <c r="Y187" s="41">
        <f>E187/'1. Väestöennuste'!G187*1000</f>
        <v>4352.2833178005594</v>
      </c>
      <c r="Z187" s="41">
        <f>F187/'1. Väestöennuste'!H187*1000</f>
        <v>4676.2370753323485</v>
      </c>
      <c r="AA187" s="41">
        <f>G187/'1. Väestöennuste'!I187*1000</f>
        <v>5610.2304147465438</v>
      </c>
      <c r="AB187" s="41">
        <f>H187/'1. Väestöennuste'!J187*1000</f>
        <v>5010.5292071049262</v>
      </c>
      <c r="AC187" s="41">
        <f>I187/'1. Väestöennuste'!K187*1000</f>
        <v>4888.5970473688976</v>
      </c>
      <c r="AD187" s="41">
        <f>J187/'1. Väestöennuste'!L187*1000</f>
        <v>4612.5875381576589</v>
      </c>
      <c r="AE187" s="41">
        <f>K187/'1. Väestöennuste'!M187*1000</f>
        <v>4761.653613385547</v>
      </c>
      <c r="AF187" s="41">
        <f>L187/'1. Väestöennuste'!N187*1000</f>
        <v>5124.051682219495</v>
      </c>
      <c r="AG187" s="41">
        <f>M187/'1. Väestöennuste'!O187*1000</f>
        <v>5431.9774143012337</v>
      </c>
      <c r="AH187" s="41">
        <f>N187/'1. Väestöennuste'!P187*1000</f>
        <v>5689.6065601009395</v>
      </c>
      <c r="AI187" s="41">
        <f>O187/'1. Väestöennuste'!Q187*1000</f>
        <v>5960.7807353219887</v>
      </c>
      <c r="AJ187" s="41">
        <f>P187/'1. Väestöennuste'!R187*1000</f>
        <v>6232.4977475647584</v>
      </c>
    </row>
    <row r="188" spans="1:36" x14ac:dyDescent="0.2">
      <c r="A188" s="30">
        <v>578</v>
      </c>
      <c r="B188" s="31" t="s">
        <v>502</v>
      </c>
      <c r="C188" s="81">
        <v>11151</v>
      </c>
      <c r="D188" s="46">
        <v>12283</v>
      </c>
      <c r="E188" s="46">
        <v>13616</v>
      </c>
      <c r="F188" s="46">
        <v>14700</v>
      </c>
      <c r="G188" s="80">
        <v>17366</v>
      </c>
      <c r="H188" s="80">
        <v>17033</v>
      </c>
      <c r="I188" s="80">
        <v>18323.343000000001</v>
      </c>
      <c r="J188" s="80">
        <v>19750</v>
      </c>
      <c r="K188" s="80">
        <v>18810</v>
      </c>
      <c r="L188" s="80">
        <f>K188-'Toim ja inv rahavirta'!L188</f>
        <v>18692.643709874286</v>
      </c>
      <c r="M188" s="80">
        <f>L188-'Toim ja inv rahavirta'!M188</f>
        <v>19753.951499816427</v>
      </c>
      <c r="N188" s="80">
        <f>M188-'Toim ja inv rahavirta'!N188</f>
        <v>21030.857583348308</v>
      </c>
      <c r="O188" s="80">
        <f>N188-'Toim ja inv rahavirta'!O188</f>
        <v>22397.316010142942</v>
      </c>
      <c r="P188" s="80">
        <f>O188-'Toim ja inv rahavirta'!P188</f>
        <v>23672.069418254137</v>
      </c>
      <c r="U188" s="34">
        <v>578</v>
      </c>
      <c r="V188" s="88" t="s">
        <v>502</v>
      </c>
      <c r="W188" s="41">
        <f>C188/'1. Väestöennuste'!E188*1000</f>
        <v>3196.961009174312</v>
      </c>
      <c r="X188" s="41">
        <f>D188/'1. Väestöennuste'!F188*1000</f>
        <v>3518.4760813520479</v>
      </c>
      <c r="Y188" s="41">
        <f>E188/'1. Väestöennuste'!G188*1000</f>
        <v>3963.9010189228529</v>
      </c>
      <c r="Z188" s="41">
        <f>F188/'1. Väestöennuste'!H188*1000</f>
        <v>4406.4748201438842</v>
      </c>
      <c r="AA188" s="41">
        <f>G188/'1. Väestöennuste'!I188*1000</f>
        <v>5305.835624809044</v>
      </c>
      <c r="AB188" s="41">
        <f>H188/'1. Väestöennuste'!J188*1000</f>
        <v>5265.2241112828442</v>
      </c>
      <c r="AC188" s="41">
        <f>I188/'1. Väestöennuste'!K188*1000</f>
        <v>5756.6267672007543</v>
      </c>
      <c r="AD188" s="41">
        <f>J188/'1. Väestöennuste'!L188*1000</f>
        <v>6370.9677419354839</v>
      </c>
      <c r="AE188" s="41">
        <f>K188/'1. Väestöennuste'!M188*1000</f>
        <v>6193.6121172209414</v>
      </c>
      <c r="AF188" s="41">
        <f>L188/'1. Väestöennuste'!N188*1000</f>
        <v>6124.7194331173941</v>
      </c>
      <c r="AG188" s="41">
        <f>M188/'1. Väestöennuste'!O188*1000</f>
        <v>6558.4168326083754</v>
      </c>
      <c r="AH188" s="41">
        <f>N188/'1. Väestöennuste'!P188*1000</f>
        <v>7071.5728256046768</v>
      </c>
      <c r="AI188" s="41">
        <f>O188/'1. Väestöennuste'!Q188*1000</f>
        <v>7623.320629728707</v>
      </c>
      <c r="AJ188" s="41">
        <f>P188/'1. Väestöennuste'!R188*1000</f>
        <v>8154.3470266118284</v>
      </c>
    </row>
    <row r="189" spans="1:36" x14ac:dyDescent="0.2">
      <c r="A189" s="30">
        <v>580</v>
      </c>
      <c r="B189" s="31" t="s">
        <v>503</v>
      </c>
      <c r="C189" s="81">
        <v>2755</v>
      </c>
      <c r="D189" s="46">
        <v>2417</v>
      </c>
      <c r="E189" s="46">
        <v>2079</v>
      </c>
      <c r="F189" s="46">
        <v>1741</v>
      </c>
      <c r="G189" s="80">
        <v>1403</v>
      </c>
      <c r="H189" s="80">
        <v>1115</v>
      </c>
      <c r="I189" s="80">
        <v>5377.5861599999998</v>
      </c>
      <c r="J189" s="80">
        <v>10839.655120000001</v>
      </c>
      <c r="K189" s="80">
        <v>16962.194079999997</v>
      </c>
      <c r="L189" s="80">
        <f>K189-'Toim ja inv rahavirta'!L189</f>
        <v>19332.503014370723</v>
      </c>
      <c r="M189" s="80">
        <f>L189-'Toim ja inv rahavirta'!M189</f>
        <v>22411.901909385051</v>
      </c>
      <c r="N189" s="80">
        <f>M189-'Toim ja inv rahavirta'!N189</f>
        <v>25813.538366593362</v>
      </c>
      <c r="O189" s="80">
        <f>N189-'Toim ja inv rahavirta'!O189</f>
        <v>29533.763795062507</v>
      </c>
      <c r="P189" s="80">
        <f>O189-'Toim ja inv rahavirta'!P189</f>
        <v>32838.029732427953</v>
      </c>
      <c r="U189" s="34">
        <v>580</v>
      </c>
      <c r="V189" s="88" t="s">
        <v>503</v>
      </c>
      <c r="W189" s="41">
        <f>C189/'1. Väestöennuste'!E189*1000</f>
        <v>526.26552053486148</v>
      </c>
      <c r="X189" s="41">
        <f>D189/'1. Väestöennuste'!F189*1000</f>
        <v>471.51775263363243</v>
      </c>
      <c r="Y189" s="41">
        <f>E189/'1. Väestöennuste'!G189*1000</f>
        <v>418.3940430670155</v>
      </c>
      <c r="Z189" s="41">
        <f>F189/'1. Väestöennuste'!H189*1000</f>
        <v>359.56216439487815</v>
      </c>
      <c r="AA189" s="41">
        <f>G189/'1. Väestöennuste'!I189*1000</f>
        <v>296.36670891423745</v>
      </c>
      <c r="AB189" s="41">
        <f>H189/'1. Väestöennuste'!J189*1000</f>
        <v>239.52738990332975</v>
      </c>
      <c r="AC189" s="41">
        <f>I189/'1. Väestöennuste'!K189*1000</f>
        <v>1177.4876636741842</v>
      </c>
      <c r="AD189" s="41">
        <f>J189/'1. Väestöennuste'!L189*1000</f>
        <v>2442.4639747634074</v>
      </c>
      <c r="AE189" s="41">
        <f>K189/'1. Väestöennuste'!M189*1000</f>
        <v>3885.065066422354</v>
      </c>
      <c r="AF189" s="41">
        <f>L189/'1. Väestöennuste'!N189*1000</f>
        <v>4501.1648461864315</v>
      </c>
      <c r="AG189" s="41">
        <f>M189/'1. Väestöennuste'!O189*1000</f>
        <v>5312.1360297191395</v>
      </c>
      <c r="AH189" s="41">
        <f>N189/'1. Väestöennuste'!P189*1000</f>
        <v>6229.1357062242669</v>
      </c>
      <c r="AI189" s="41">
        <f>O189/'1. Väestöennuste'!Q189*1000</f>
        <v>7256.4530208998785</v>
      </c>
      <c r="AJ189" s="41">
        <f>P189/'1. Väestöennuste'!R189*1000</f>
        <v>8205.4047307416186</v>
      </c>
    </row>
    <row r="190" spans="1:36" x14ac:dyDescent="0.2">
      <c r="A190" s="30">
        <v>581</v>
      </c>
      <c r="B190" s="31" t="s">
        <v>504</v>
      </c>
      <c r="C190" s="81">
        <v>19161</v>
      </c>
      <c r="D190" s="46">
        <v>18778</v>
      </c>
      <c r="E190" s="46">
        <v>17942</v>
      </c>
      <c r="F190" s="46">
        <v>15770</v>
      </c>
      <c r="G190" s="80">
        <v>20076</v>
      </c>
      <c r="H190" s="80">
        <v>21883</v>
      </c>
      <c r="I190" s="80">
        <v>20897.554</v>
      </c>
      <c r="J190" s="80">
        <v>20663.196</v>
      </c>
      <c r="K190" s="80">
        <v>17005.297999999999</v>
      </c>
      <c r="L190" s="80">
        <f>K190-'Toim ja inv rahavirta'!L190</f>
        <v>18716.764184842959</v>
      </c>
      <c r="M190" s="80">
        <f>L190-'Toim ja inv rahavirta'!M190</f>
        <v>19833.67524830257</v>
      </c>
      <c r="N190" s="80">
        <f>M190-'Toim ja inv rahavirta'!N190</f>
        <v>20789.420806738352</v>
      </c>
      <c r="O190" s="80">
        <f>N190-'Toim ja inv rahavirta'!O190</f>
        <v>21825.940837532205</v>
      </c>
      <c r="P190" s="80">
        <f>O190-'Toim ja inv rahavirta'!P190</f>
        <v>22074.205004961314</v>
      </c>
      <c r="U190" s="34">
        <v>581</v>
      </c>
      <c r="V190" s="88" t="s">
        <v>504</v>
      </c>
      <c r="W190" s="41">
        <f>C190/'1. Väestöennuste'!E190*1000</f>
        <v>2831.9538870824708</v>
      </c>
      <c r="X190" s="41">
        <f>D190/'1. Väestöennuste'!F190*1000</f>
        <v>2806.0370591751343</v>
      </c>
      <c r="Y190" s="41">
        <f>E190/'1. Väestöennuste'!G190*1000</f>
        <v>2734.2273697043584</v>
      </c>
      <c r="Z190" s="41">
        <f>F190/'1. Väestöennuste'!H190*1000</f>
        <v>2437.7801824084095</v>
      </c>
      <c r="AA190" s="41">
        <f>G190/'1. Väestöennuste'!I190*1000</f>
        <v>3134.9156777014368</v>
      </c>
      <c r="AB190" s="41">
        <f>H190/'1. Väestöennuste'!J190*1000</f>
        <v>3445.0566750629723</v>
      </c>
      <c r="AC190" s="41">
        <f>I190/'1. Väestöennuste'!K190*1000</f>
        <v>3324.4597518294622</v>
      </c>
      <c r="AD190" s="41">
        <f>J190/'1. Väestöennuste'!L190*1000</f>
        <v>3311.4096153846153</v>
      </c>
      <c r="AE190" s="41">
        <f>K190/'1. Väestöennuste'!M190*1000</f>
        <v>2777.2820512820513</v>
      </c>
      <c r="AF190" s="41">
        <f>L190/'1. Väestöennuste'!N190*1000</f>
        <v>3095.7267920679719</v>
      </c>
      <c r="AG190" s="41">
        <f>M190/'1. Väestöennuste'!O190*1000</f>
        <v>3316.1135676814197</v>
      </c>
      <c r="AH190" s="41">
        <f>N190/'1. Väestöennuste'!P190*1000</f>
        <v>3512.9132826526447</v>
      </c>
      <c r="AI190" s="41">
        <f>O190/'1. Väestöennuste'!Q190*1000</f>
        <v>3727.7439517561406</v>
      </c>
      <c r="AJ190" s="41">
        <f>P190/'1. Väestöennuste'!R190*1000</f>
        <v>3809.8386270212832</v>
      </c>
    </row>
    <row r="191" spans="1:36" x14ac:dyDescent="0.2">
      <c r="A191" s="30">
        <v>583</v>
      </c>
      <c r="B191" s="31" t="s">
        <v>505</v>
      </c>
      <c r="C191" s="81">
        <v>2877</v>
      </c>
      <c r="D191" s="46">
        <v>2893</v>
      </c>
      <c r="E191" s="46">
        <v>2416</v>
      </c>
      <c r="F191" s="46">
        <v>1977</v>
      </c>
      <c r="G191" s="80">
        <v>2310</v>
      </c>
      <c r="H191" s="80">
        <v>4768</v>
      </c>
      <c r="I191" s="80">
        <v>5955.9750000000004</v>
      </c>
      <c r="J191" s="80">
        <v>6930.991</v>
      </c>
      <c r="K191" s="80">
        <v>7177.8922499999999</v>
      </c>
      <c r="L191" s="80">
        <f>K191-'Toim ja inv rahavirta'!L191</f>
        <v>7468.5919795323598</v>
      </c>
      <c r="M191" s="80">
        <f>L191-'Toim ja inv rahavirta'!M191</f>
        <v>8306.6878785412282</v>
      </c>
      <c r="N191" s="80">
        <f>M191-'Toim ja inv rahavirta'!N191</f>
        <v>9167.0963441871481</v>
      </c>
      <c r="O191" s="80">
        <f>N191-'Toim ja inv rahavirta'!O191</f>
        <v>10142.56197417321</v>
      </c>
      <c r="P191" s="80">
        <f>O191-'Toim ja inv rahavirta'!P191</f>
        <v>11069.118354502332</v>
      </c>
      <c r="U191" s="34">
        <v>583</v>
      </c>
      <c r="V191" s="88" t="s">
        <v>505</v>
      </c>
      <c r="W191" s="41">
        <f>C191/'1. Väestöennuste'!E191*1000</f>
        <v>3003.1315240083509</v>
      </c>
      <c r="X191" s="41">
        <f>D191/'1. Väestöennuste'!F191*1000</f>
        <v>3042.0609884332284</v>
      </c>
      <c r="Y191" s="41">
        <f>E191/'1. Väestöennuste'!G191*1000</f>
        <v>2521.9206680584548</v>
      </c>
      <c r="Z191" s="41">
        <f>F191/'1. Väestöennuste'!H191*1000</f>
        <v>2072.3270440251572</v>
      </c>
      <c r="AA191" s="41">
        <f>G191/'1. Väestöennuste'!I191*1000</f>
        <v>2460.0638977635786</v>
      </c>
      <c r="AB191" s="41">
        <f>H191/'1. Väestöennuste'!J191*1000</f>
        <v>5121.3748657357683</v>
      </c>
      <c r="AC191" s="41">
        <f>I191/'1. Väestöennuste'!K191*1000</f>
        <v>6445.8603896103896</v>
      </c>
      <c r="AD191" s="41">
        <f>J191/'1. Väestöennuste'!L191*1000</f>
        <v>7318.8922914466739</v>
      </c>
      <c r="AE191" s="41">
        <f>K191/'1. Väestöennuste'!M191*1000</f>
        <v>7870.495888157895</v>
      </c>
      <c r="AF191" s="41">
        <f>L191/'1. Väestöennuste'!N191*1000</f>
        <v>8153.4846938126202</v>
      </c>
      <c r="AG191" s="41">
        <f>M191/'1. Väestöennuste'!O191*1000</f>
        <v>9108.2103931373113</v>
      </c>
      <c r="AH191" s="41">
        <f>N191/'1. Väestöennuste'!P191*1000</f>
        <v>10073.732246359503</v>
      </c>
      <c r="AI191" s="41">
        <f>O191/'1. Väestöennuste'!Q191*1000</f>
        <v>11182.538009011258</v>
      </c>
      <c r="AJ191" s="41">
        <f>P191/'1. Väestöennuste'!R191*1000</f>
        <v>12285.369982799481</v>
      </c>
    </row>
    <row r="192" spans="1:36" x14ac:dyDescent="0.2">
      <c r="A192" s="30">
        <v>584</v>
      </c>
      <c r="B192" s="31" t="s">
        <v>506</v>
      </c>
      <c r="C192" s="81">
        <v>6629</v>
      </c>
      <c r="D192" s="46">
        <v>8730</v>
      </c>
      <c r="E192" s="46">
        <v>13147</v>
      </c>
      <c r="F192" s="46">
        <v>16612</v>
      </c>
      <c r="G192" s="80">
        <v>18576</v>
      </c>
      <c r="H192" s="80">
        <v>18739</v>
      </c>
      <c r="I192" s="80">
        <v>18488.310000000001</v>
      </c>
      <c r="J192" s="80">
        <v>17097.328000000001</v>
      </c>
      <c r="K192" s="80">
        <v>19504.324000000001</v>
      </c>
      <c r="L192" s="80">
        <f>K192-'Toim ja inv rahavirta'!L192</f>
        <v>20268.219340092201</v>
      </c>
      <c r="M192" s="80">
        <f>L192-'Toim ja inv rahavirta'!M192</f>
        <v>22263.736213160722</v>
      </c>
      <c r="N192" s="80">
        <f>M192-'Toim ja inv rahavirta'!N192</f>
        <v>24456.258042663107</v>
      </c>
      <c r="O192" s="80">
        <f>N192-'Toim ja inv rahavirta'!O192</f>
        <v>27090.75846823211</v>
      </c>
      <c r="P192" s="80">
        <f>O192-'Toim ja inv rahavirta'!P192</f>
        <v>29606.054990534489</v>
      </c>
      <c r="U192" s="34">
        <v>584</v>
      </c>
      <c r="V192" s="88" t="s">
        <v>506</v>
      </c>
      <c r="W192" s="41">
        <f>C192/'1. Väestöennuste'!E192*1000</f>
        <v>2261.6854315933128</v>
      </c>
      <c r="X192" s="41">
        <f>D192/'1. Väestöennuste'!F192*1000</f>
        <v>3003.0959752321983</v>
      </c>
      <c r="Y192" s="41">
        <f>E192/'1. Väestöennuste'!G192*1000</f>
        <v>4596.8531468531464</v>
      </c>
      <c r="Z192" s="41">
        <f>F192/'1. Väestöennuste'!H192*1000</f>
        <v>5880.3539823008841</v>
      </c>
      <c r="AA192" s="41">
        <f>G192/'1. Väestöennuste'!I192*1000</f>
        <v>6732.8742297934041</v>
      </c>
      <c r="AB192" s="41">
        <f>H192/'1. Väestöennuste'!J192*1000</f>
        <v>6924.9815225424982</v>
      </c>
      <c r="AC192" s="41">
        <f>I192/'1. Väestöennuste'!K192*1000</f>
        <v>6908.9349775784758</v>
      </c>
      <c r="AD192" s="41">
        <f>J192/'1. Väestöennuste'!L192*1000</f>
        <v>6444.5261967583874</v>
      </c>
      <c r="AE192" s="41">
        <f>K192/'1. Väestöennuste'!M192*1000</f>
        <v>7565.6803723816911</v>
      </c>
      <c r="AF192" s="41">
        <f>L192/'1. Väestöennuste'!N192*1000</f>
        <v>8100.8070903645885</v>
      </c>
      <c r="AG192" s="41">
        <f>M192/'1. Väestöennuste'!O192*1000</f>
        <v>9090.9498624584412</v>
      </c>
      <c r="AH192" s="41">
        <f>N192/'1. Väestöennuste'!P192*1000</f>
        <v>10198.606356406633</v>
      </c>
      <c r="AI192" s="41">
        <f>O192/'1. Väestöennuste'!Q192*1000</f>
        <v>11532.889939647557</v>
      </c>
      <c r="AJ192" s="41">
        <f>P192/'1. Väestöennuste'!R192*1000</f>
        <v>12861.014331248691</v>
      </c>
    </row>
    <row r="193" spans="1:36" x14ac:dyDescent="0.2">
      <c r="A193" s="30">
        <v>588</v>
      </c>
      <c r="B193" s="31" t="s">
        <v>507</v>
      </c>
      <c r="C193" s="81">
        <v>5303</v>
      </c>
      <c r="D193" s="46">
        <v>5832</v>
      </c>
      <c r="E193" s="46">
        <v>6692</v>
      </c>
      <c r="F193" s="46">
        <v>6831</v>
      </c>
      <c r="G193" s="80">
        <v>7251</v>
      </c>
      <c r="H193" s="80">
        <v>8072</v>
      </c>
      <c r="I193" s="80">
        <v>8192.0995999999996</v>
      </c>
      <c r="J193" s="80">
        <v>7812.5129199999992</v>
      </c>
      <c r="K193" s="80">
        <v>7732.9262399999998</v>
      </c>
      <c r="L193" s="80">
        <f>K193-'Toim ja inv rahavirta'!L193</f>
        <v>7267.5460242455947</v>
      </c>
      <c r="M193" s="80">
        <f>L193-'Toim ja inv rahavirta'!M193</f>
        <v>7267.5460242455947</v>
      </c>
      <c r="N193" s="80">
        <f>M193-'Toim ja inv rahavirta'!N193</f>
        <v>7267.5460242455947</v>
      </c>
      <c r="O193" s="80">
        <f>N193-'Toim ja inv rahavirta'!O193</f>
        <v>7267.5460242455947</v>
      </c>
      <c r="P193" s="80">
        <f>O193-'Toim ja inv rahavirta'!P193</f>
        <v>7267.5460242455947</v>
      </c>
      <c r="U193" s="34">
        <v>588</v>
      </c>
      <c r="V193" s="88" t="s">
        <v>507</v>
      </c>
      <c r="W193" s="41">
        <f>C193/'1. Väestöennuste'!E193*1000</f>
        <v>2918.5470555861311</v>
      </c>
      <c r="X193" s="41">
        <f>D193/'1. Väestöennuste'!F193*1000</f>
        <v>3247.216035634744</v>
      </c>
      <c r="Y193" s="41">
        <f>E193/'1. Väestöennuste'!G193*1000</f>
        <v>3848.1886141460609</v>
      </c>
      <c r="Z193" s="41">
        <f>F193/'1. Väestöennuste'!H193*1000</f>
        <v>3987.7408056042032</v>
      </c>
      <c r="AA193" s="41">
        <f>G193/'1. Väestöennuste'!I193*1000</f>
        <v>4290.5325443786987</v>
      </c>
      <c r="AB193" s="41">
        <f>H193/'1. Väestöennuste'!J193*1000</f>
        <v>4880.2902055622735</v>
      </c>
      <c r="AC193" s="41">
        <f>I193/'1. Väestöennuste'!K193*1000</f>
        <v>4983.0289537712897</v>
      </c>
      <c r="AD193" s="41">
        <f>J193/'1. Väestöennuste'!L193*1000</f>
        <v>4882.8205749999997</v>
      </c>
      <c r="AE193" s="41">
        <f>K193/'1. Väestöennuste'!M193*1000</f>
        <v>4903.5676854787571</v>
      </c>
      <c r="AF193" s="41">
        <f>L193/'1. Väestöennuste'!N193*1000</f>
        <v>4706.9598602626911</v>
      </c>
      <c r="AG193" s="41" t="e">
        <f>M193/'1. Väestöennuste'!O193*1000</f>
        <v>#DIV/0!</v>
      </c>
      <c r="AH193" s="41" t="e">
        <f>N193/'1. Väestöennuste'!P193*1000</f>
        <v>#DIV/0!</v>
      </c>
      <c r="AI193" s="41" t="e">
        <f>O193/'1. Väestöennuste'!Q193*1000</f>
        <v>#DIV/0!</v>
      </c>
      <c r="AJ193" s="41" t="e">
        <f>P193/'1. Väestöennuste'!R193*1000</f>
        <v>#DIV/0!</v>
      </c>
    </row>
    <row r="194" spans="1:36" x14ac:dyDescent="0.2">
      <c r="A194" s="30">
        <v>592</v>
      </c>
      <c r="B194" s="31" t="s">
        <v>508</v>
      </c>
      <c r="C194" s="81">
        <v>6853</v>
      </c>
      <c r="D194" s="46">
        <v>8437</v>
      </c>
      <c r="E194" s="46">
        <v>8689</v>
      </c>
      <c r="F194" s="46">
        <v>9370</v>
      </c>
      <c r="G194" s="80">
        <v>12720</v>
      </c>
      <c r="H194" s="80">
        <v>14126</v>
      </c>
      <c r="I194" s="80">
        <v>13832.003000000002</v>
      </c>
      <c r="J194" s="80">
        <v>15728.272999999999</v>
      </c>
      <c r="K194" s="80">
        <v>17254.543000000001</v>
      </c>
      <c r="L194" s="80">
        <f>K194-'Toim ja inv rahavirta'!L194</f>
        <v>19173.008899716511</v>
      </c>
      <c r="M194" s="80">
        <f>L194-'Toim ja inv rahavirta'!M194</f>
        <v>21978.310614743936</v>
      </c>
      <c r="N194" s="80">
        <f>M194-'Toim ja inv rahavirta'!N194</f>
        <v>24434.069345894561</v>
      </c>
      <c r="O194" s="80">
        <f>N194-'Toim ja inv rahavirta'!O194</f>
        <v>27410.207411205109</v>
      </c>
      <c r="P194" s="80">
        <f>O194-'Toim ja inv rahavirta'!P194</f>
        <v>30277.859358595902</v>
      </c>
      <c r="U194" s="34">
        <v>592</v>
      </c>
      <c r="V194" s="88" t="s">
        <v>508</v>
      </c>
      <c r="W194" s="41">
        <f>C194/'1. Väestöennuste'!E194*1000</f>
        <v>1709.8303393213571</v>
      </c>
      <c r="X194" s="41">
        <f>D194/'1. Väestöennuste'!F194*1000</f>
        <v>2119.3167545842753</v>
      </c>
      <c r="Y194" s="41">
        <f>E194/'1. Väestöennuste'!G194*1000</f>
        <v>2216.5816326530612</v>
      </c>
      <c r="Z194" s="41">
        <f>F194/'1. Väestöennuste'!H194*1000</f>
        <v>2402.5641025641025</v>
      </c>
      <c r="AA194" s="41">
        <f>G194/'1. Väestöennuste'!I194*1000</f>
        <v>3311.6375943764647</v>
      </c>
      <c r="AB194" s="41">
        <f>H194/'1. Väestöennuste'!J194*1000</f>
        <v>3744.9628844114527</v>
      </c>
      <c r="AC194" s="41">
        <f>I194/'1. Väestöennuste'!K194*1000</f>
        <v>3760.7403480152261</v>
      </c>
      <c r="AD194" s="41">
        <f>J194/'1. Väestöennuste'!L194*1000</f>
        <v>4307.9356340728573</v>
      </c>
      <c r="AE194" s="41">
        <f>K194/'1. Väestöennuste'!M194*1000</f>
        <v>4798.2600111234706</v>
      </c>
      <c r="AF194" s="41">
        <f>L194/'1. Väestöennuste'!N194*1000</f>
        <v>5303.7369017196434</v>
      </c>
      <c r="AG194" s="41">
        <f>M194/'1. Väestöennuste'!O194*1000</f>
        <v>6140.9082466454138</v>
      </c>
      <c r="AH194" s="41">
        <f>N194/'1. Väestöennuste'!P194*1000</f>
        <v>6890.6004923560522</v>
      </c>
      <c r="AI194" s="41">
        <f>O194/'1. Väestöennuste'!Q194*1000</f>
        <v>7813.6281103777392</v>
      </c>
      <c r="AJ194" s="41">
        <f>P194/'1. Väestöennuste'!R194*1000</f>
        <v>8715.5611279780951</v>
      </c>
    </row>
    <row r="195" spans="1:36" x14ac:dyDescent="0.2">
      <c r="A195" s="30">
        <v>593</v>
      </c>
      <c r="B195" s="31" t="s">
        <v>509</v>
      </c>
      <c r="C195" s="81">
        <v>71531</v>
      </c>
      <c r="D195" s="46">
        <v>68686</v>
      </c>
      <c r="E195" s="46">
        <v>61919</v>
      </c>
      <c r="F195" s="46">
        <v>68957</v>
      </c>
      <c r="G195" s="80">
        <v>80385</v>
      </c>
      <c r="H195" s="80">
        <v>82488</v>
      </c>
      <c r="I195" s="80">
        <v>80614.793999999994</v>
      </c>
      <c r="J195" s="80">
        <v>78891.538</v>
      </c>
      <c r="K195" s="80">
        <v>81189.532000000007</v>
      </c>
      <c r="L195" s="80">
        <f>K195-'Toim ja inv rahavirta'!L195</f>
        <v>85853.651938505529</v>
      </c>
      <c r="M195" s="80">
        <f>L195-'Toim ja inv rahavirta'!M195</f>
        <v>92197.174353696682</v>
      </c>
      <c r="N195" s="80">
        <f>M195-'Toim ja inv rahavirta'!N195</f>
        <v>96826.859605563528</v>
      </c>
      <c r="O195" s="80">
        <f>N195-'Toim ja inv rahavirta'!O195</f>
        <v>101655.04875824079</v>
      </c>
      <c r="P195" s="80">
        <f>O195-'Toim ja inv rahavirta'!P195</f>
        <v>103577.10283257245</v>
      </c>
      <c r="U195" s="34">
        <v>593</v>
      </c>
      <c r="V195" s="88" t="s">
        <v>509</v>
      </c>
      <c r="W195" s="41">
        <f>C195/'1. Väestöennuste'!E195*1000</f>
        <v>3804.6380511674911</v>
      </c>
      <c r="X195" s="41">
        <f>D195/'1. Väestöennuste'!F195*1000</f>
        <v>3717.7807848443845</v>
      </c>
      <c r="Y195" s="41">
        <f>E195/'1. Väestöennuste'!G195*1000</f>
        <v>3398.4083424807905</v>
      </c>
      <c r="Z195" s="41">
        <f>F195/'1. Väestöennuste'!H195*1000</f>
        <v>3845.2573467908328</v>
      </c>
      <c r="AA195" s="41">
        <f>G195/'1. Väestöennuste'!I195*1000</f>
        <v>4546.1486257210718</v>
      </c>
      <c r="AB195" s="41">
        <f>H195/'1. Väestöennuste'!J195*1000</f>
        <v>4747.5107913669062</v>
      </c>
      <c r="AC195" s="41">
        <f>I195/'1. Väestöennuste'!K195*1000</f>
        <v>4672.5087810815512</v>
      </c>
      <c r="AD195" s="41">
        <f>J195/'1. Väestöennuste'!L195*1000</f>
        <v>4619.7539380453245</v>
      </c>
      <c r="AE195" s="41">
        <f>K195/'1. Väestöennuste'!M195*1000</f>
        <v>4761.849384164223</v>
      </c>
      <c r="AF195" s="41">
        <f>L195/'1. Väestöennuste'!N195*1000</f>
        <v>5279.4030216766405</v>
      </c>
      <c r="AG195" s="41">
        <f>M195/'1. Väestöennuste'!O195*1000</f>
        <v>5758.3645214975131</v>
      </c>
      <c r="AH195" s="41">
        <f>N195/'1. Väestöennuste'!P195*1000</f>
        <v>6139.1617807230241</v>
      </c>
      <c r="AI195" s="41">
        <f>O195/'1. Väestöennuste'!Q195*1000</f>
        <v>6541.5089291017239</v>
      </c>
      <c r="AJ195" s="41">
        <f>P195/'1. Väestöennuste'!R195*1000</f>
        <v>6762.2316924053303</v>
      </c>
    </row>
    <row r="196" spans="1:36" x14ac:dyDescent="0.2">
      <c r="A196" s="30">
        <v>595</v>
      </c>
      <c r="B196" s="31" t="s">
        <v>510</v>
      </c>
      <c r="C196" s="81">
        <v>9161</v>
      </c>
      <c r="D196" s="46">
        <v>17197</v>
      </c>
      <c r="E196" s="46">
        <v>17213</v>
      </c>
      <c r="F196" s="46">
        <v>16001</v>
      </c>
      <c r="G196" s="80">
        <v>14948</v>
      </c>
      <c r="H196" s="80">
        <v>13896</v>
      </c>
      <c r="I196" s="80">
        <v>11502.39414</v>
      </c>
      <c r="J196" s="80">
        <v>10837.14214</v>
      </c>
      <c r="K196" s="80">
        <v>10332.77614</v>
      </c>
      <c r="L196" s="80">
        <f>K196-'Toim ja inv rahavirta'!L196</f>
        <v>11008.258970644209</v>
      </c>
      <c r="M196" s="80">
        <f>L196-'Toim ja inv rahavirta'!M196</f>
        <v>12897.474948375799</v>
      </c>
      <c r="N196" s="80">
        <f>M196-'Toim ja inv rahavirta'!N196</f>
        <v>15117.159117488745</v>
      </c>
      <c r="O196" s="80">
        <f>N196-'Toim ja inv rahavirta'!O196</f>
        <v>17821.0369312164</v>
      </c>
      <c r="P196" s="80">
        <f>O196-'Toim ja inv rahavirta'!P196</f>
        <v>20290.041974976037</v>
      </c>
      <c r="U196" s="34">
        <v>595</v>
      </c>
      <c r="V196" s="88" t="s">
        <v>510</v>
      </c>
      <c r="W196" s="41">
        <f>C196/'1. Väestöennuste'!E196*1000</f>
        <v>1932.7004219409282</v>
      </c>
      <c r="X196" s="41">
        <f>D196/'1. Väestöennuste'!F196*1000</f>
        <v>3661.2731530764318</v>
      </c>
      <c r="Y196" s="41">
        <f>E196/'1. Väestöennuste'!G196*1000</f>
        <v>3722.5346020761244</v>
      </c>
      <c r="Z196" s="41">
        <f>F196/'1. Väestöennuste'!H196*1000</f>
        <v>3557.3588261449531</v>
      </c>
      <c r="AA196" s="41">
        <f>G196/'1. Väestöennuste'!I196*1000</f>
        <v>3404.2359371441585</v>
      </c>
      <c r="AB196" s="41">
        <f>H196/'1. Väestöennuste'!J196*1000</f>
        <v>3215.9222402221708</v>
      </c>
      <c r="AC196" s="41">
        <f>I196/'1. Väestöennuste'!K196*1000</f>
        <v>2694.400126493324</v>
      </c>
      <c r="AD196" s="41">
        <f>J196/'1. Väestöennuste'!L196*1000</f>
        <v>2617.6671835748793</v>
      </c>
      <c r="AE196" s="41">
        <f>K196/'1. Väestöennuste'!M196*1000</f>
        <v>2536.8956886815613</v>
      </c>
      <c r="AF196" s="41">
        <f>L196/'1. Väestöennuste'!N196*1000</f>
        <v>2743.149506764069</v>
      </c>
      <c r="AG196" s="41">
        <f>M196/'1. Väestöennuste'!O196*1000</f>
        <v>3270.9802050154194</v>
      </c>
      <c r="AH196" s="41">
        <f>N196/'1. Väestöennuste'!P196*1000</f>
        <v>3903.2169164701122</v>
      </c>
      <c r="AI196" s="41">
        <f>O196/'1. Väestöennuste'!Q196*1000</f>
        <v>4678.6655109520607</v>
      </c>
      <c r="AJ196" s="41">
        <f>P196/'1. Väestöennuste'!R196*1000</f>
        <v>5415.0098678879203</v>
      </c>
    </row>
    <row r="197" spans="1:36" x14ac:dyDescent="0.2">
      <c r="A197" s="30">
        <v>598</v>
      </c>
      <c r="B197" s="31" t="s">
        <v>511</v>
      </c>
      <c r="C197" s="81">
        <v>43900</v>
      </c>
      <c r="D197" s="46">
        <v>43700</v>
      </c>
      <c r="E197" s="46">
        <v>60400</v>
      </c>
      <c r="F197" s="46">
        <v>60450</v>
      </c>
      <c r="G197" s="80">
        <v>69650</v>
      </c>
      <c r="H197" s="80">
        <v>74900</v>
      </c>
      <c r="I197" s="80">
        <v>73500</v>
      </c>
      <c r="J197" s="80">
        <v>66500</v>
      </c>
      <c r="K197" s="80">
        <v>79000</v>
      </c>
      <c r="L197" s="80">
        <f>K197-'Toim ja inv rahavirta'!L197</f>
        <v>80703.184028042902</v>
      </c>
      <c r="M197" s="80">
        <f>L197-'Toim ja inv rahavirta'!M197</f>
        <v>86193.144846198775</v>
      </c>
      <c r="N197" s="80">
        <f>M197-'Toim ja inv rahavirta'!N197</f>
        <v>90834.911673861352</v>
      </c>
      <c r="O197" s="80">
        <f>N197-'Toim ja inv rahavirta'!O197</f>
        <v>95142.177802913429</v>
      </c>
      <c r="P197" s="80">
        <f>O197-'Toim ja inv rahavirta'!P197</f>
        <v>98390.326330969372</v>
      </c>
      <c r="U197" s="34">
        <v>598</v>
      </c>
      <c r="V197" s="88" t="s">
        <v>511</v>
      </c>
      <c r="W197" s="41">
        <f>C197/'1. Väestöennuste'!E197*1000</f>
        <v>2258.6952047746449</v>
      </c>
      <c r="X197" s="41">
        <f>D197/'1. Väestöennuste'!F197*1000</f>
        <v>2255.2510708572017</v>
      </c>
      <c r="Y197" s="41">
        <f>E197/'1. Väestöennuste'!G197*1000</f>
        <v>3116.7758914288665</v>
      </c>
      <c r="Z197" s="41">
        <f>F197/'1. Väestöennuste'!H197*1000</f>
        <v>3135.6987239340183</v>
      </c>
      <c r="AA197" s="41">
        <f>G197/'1. Väestöennuste'!I197*1000</f>
        <v>3626.0932944606411</v>
      </c>
      <c r="AB197" s="41">
        <f>H197/'1. Väestöennuste'!J197*1000</f>
        <v>3928.4590370292667</v>
      </c>
      <c r="AC197" s="41">
        <f>I197/'1. Väestöennuste'!K197*1000</f>
        <v>3848.7720584384983</v>
      </c>
      <c r="AD197" s="41">
        <f>J197/'1. Väestöennuste'!L197*1000</f>
        <v>3462.2793773103554</v>
      </c>
      <c r="AE197" s="41">
        <f>K197/'1. Väestöennuste'!M197*1000</f>
        <v>4056.4826700898589</v>
      </c>
      <c r="AF197" s="41">
        <f>L197/'1. Väestöennuste'!N197*1000</f>
        <v>4300.7292314438</v>
      </c>
      <c r="AG197" s="41">
        <f>M197/'1. Väestöennuste'!O197*1000</f>
        <v>4613.2062109932976</v>
      </c>
      <c r="AH197" s="41">
        <f>N197/'1. Väestöennuste'!P197*1000</f>
        <v>4883.5974018205034</v>
      </c>
      <c r="AI197" s="41">
        <f>O197/'1. Väestöennuste'!Q197*1000</f>
        <v>5137.2666200277226</v>
      </c>
      <c r="AJ197" s="41">
        <f>P197/'1. Väestöennuste'!R197*1000</f>
        <v>5335.4116550604285</v>
      </c>
    </row>
    <row r="198" spans="1:36" x14ac:dyDescent="0.2">
      <c r="A198" s="30">
        <v>599</v>
      </c>
      <c r="B198" s="31" t="s">
        <v>512</v>
      </c>
      <c r="C198" s="81">
        <v>20588</v>
      </c>
      <c r="D198" s="46">
        <v>20452</v>
      </c>
      <c r="E198" s="46">
        <v>26568</v>
      </c>
      <c r="F198" s="46">
        <v>29050</v>
      </c>
      <c r="G198" s="80">
        <v>35059</v>
      </c>
      <c r="H198" s="80">
        <v>37032</v>
      </c>
      <c r="I198" s="80">
        <v>34997.724969999996</v>
      </c>
      <c r="J198" s="80">
        <v>32964.207470000008</v>
      </c>
      <c r="K198" s="80">
        <v>46930.689969999999</v>
      </c>
      <c r="L198" s="80">
        <f>K198-'Toim ja inv rahavirta'!L198</f>
        <v>50817.659439823401</v>
      </c>
      <c r="M198" s="80">
        <f>L198-'Toim ja inv rahavirta'!M198</f>
        <v>55333.416245928362</v>
      </c>
      <c r="N198" s="80">
        <f>M198-'Toim ja inv rahavirta'!N198</f>
        <v>59605.417040720327</v>
      </c>
      <c r="O198" s="80">
        <f>N198-'Toim ja inv rahavirta'!O198</f>
        <v>63408.722487310493</v>
      </c>
      <c r="P198" s="80">
        <f>O198-'Toim ja inv rahavirta'!P198</f>
        <v>67049.689322376435</v>
      </c>
      <c r="U198" s="34">
        <v>599</v>
      </c>
      <c r="V198" s="88" t="s">
        <v>512</v>
      </c>
      <c r="W198" s="41">
        <f>C198/'1. Väestöennuste'!E198*1000</f>
        <v>1849.941594033606</v>
      </c>
      <c r="X198" s="41">
        <f>D198/'1. Väestöennuste'!F198*1000</f>
        <v>1848.0166260052408</v>
      </c>
      <c r="Y198" s="41">
        <f>E198/'1. Väestöennuste'!G198*1000</f>
        <v>2396.9686033922771</v>
      </c>
      <c r="Z198" s="41">
        <f>F198/'1. Väestöennuste'!H198*1000</f>
        <v>2637.0733478576617</v>
      </c>
      <c r="AA198" s="41">
        <f>G198/'1. Väestöennuste'!I198*1000</f>
        <v>3163.8841259814099</v>
      </c>
      <c r="AB198" s="41">
        <f>H198/'1. Väestöennuste'!J198*1000</f>
        <v>3314.1220690889568</v>
      </c>
      <c r="AC198" s="41">
        <f>I198/'1. Väestöennuste'!K198*1000</f>
        <v>3132.6284434300032</v>
      </c>
      <c r="AD198" s="41">
        <f>J198/'1. Väestöennuste'!L198*1000</f>
        <v>2941.6569221845448</v>
      </c>
      <c r="AE198" s="41">
        <f>K198/'1. Väestöennuste'!M198*1000</f>
        <v>4180.9077924276171</v>
      </c>
      <c r="AF198" s="41">
        <f>L198/'1. Väestöennuste'!N198*1000</f>
        <v>4509.1090896027863</v>
      </c>
      <c r="AG198" s="41">
        <f>M198/'1. Väestöennuste'!O198*1000</f>
        <v>4900.6656846982878</v>
      </c>
      <c r="AH198" s="41">
        <f>N198/'1. Väestöennuste'!P198*1000</f>
        <v>5270.6178301105601</v>
      </c>
      <c r="AI198" s="41">
        <f>O198/'1. Väestöennuste'!Q198*1000</f>
        <v>5600.4877660581606</v>
      </c>
      <c r="AJ198" s="41">
        <f>P198/'1. Väestöennuste'!R198*1000</f>
        <v>5916.8451572870135</v>
      </c>
    </row>
    <row r="199" spans="1:36" x14ac:dyDescent="0.2">
      <c r="A199" s="30">
        <v>601</v>
      </c>
      <c r="B199" s="31" t="s">
        <v>513</v>
      </c>
      <c r="C199" s="81">
        <v>16995</v>
      </c>
      <c r="D199" s="46">
        <v>15600</v>
      </c>
      <c r="E199" s="46">
        <v>14605</v>
      </c>
      <c r="F199" s="46">
        <v>14815</v>
      </c>
      <c r="G199" s="80">
        <v>16975</v>
      </c>
      <c r="H199" s="80">
        <v>21456</v>
      </c>
      <c r="I199" s="80">
        <v>22191.151000000002</v>
      </c>
      <c r="J199" s="80">
        <v>20931.066999999999</v>
      </c>
      <c r="K199" s="80">
        <v>18170.983</v>
      </c>
      <c r="L199" s="80">
        <f>K199-'Toim ja inv rahavirta'!L199</f>
        <v>18432.300945857995</v>
      </c>
      <c r="M199" s="80">
        <f>L199-'Toim ja inv rahavirta'!M199</f>
        <v>18820.254344276014</v>
      </c>
      <c r="N199" s="80">
        <f>M199-'Toim ja inv rahavirta'!N199</f>
        <v>19622.230334248616</v>
      </c>
      <c r="O199" s="80">
        <f>N199-'Toim ja inv rahavirta'!O199</f>
        <v>20752.026039513403</v>
      </c>
      <c r="P199" s="80">
        <f>O199-'Toim ja inv rahavirta'!P199</f>
        <v>21830.176060027978</v>
      </c>
      <c r="U199" s="34">
        <v>601</v>
      </c>
      <c r="V199" s="88" t="s">
        <v>513</v>
      </c>
      <c r="W199" s="41">
        <f>C199/'1. Väestöennuste'!E199*1000</f>
        <v>4026.2970859985785</v>
      </c>
      <c r="X199" s="41">
        <f>D199/'1. Väestöennuste'!F199*1000</f>
        <v>3712.5178486435029</v>
      </c>
      <c r="Y199" s="41">
        <f>E199/'1. Väestöennuste'!G199*1000</f>
        <v>3538.8902350375579</v>
      </c>
      <c r="Z199" s="41">
        <f>F199/'1. Väestöennuste'!H199*1000</f>
        <v>3655.3170490994326</v>
      </c>
      <c r="AA199" s="41">
        <f>G199/'1. Väestöennuste'!I199*1000</f>
        <v>4210.0694444444443</v>
      </c>
      <c r="AB199" s="41">
        <f>H199/'1. Väestöennuste'!J199*1000</f>
        <v>5458.1531416942253</v>
      </c>
      <c r="AC199" s="41">
        <f>I199/'1. Väestöennuste'!K199*1000</f>
        <v>5729.7059127291514</v>
      </c>
      <c r="AD199" s="41">
        <f>J199/'1. Väestöennuste'!L199*1000</f>
        <v>5528.5438457474911</v>
      </c>
      <c r="AE199" s="41">
        <f>K199/'1. Väestöennuste'!M199*1000</f>
        <v>4859.8510296870818</v>
      </c>
      <c r="AF199" s="41">
        <f>L199/'1. Väestöennuste'!N199*1000</f>
        <v>5004.6975144876451</v>
      </c>
      <c r="AG199" s="41">
        <f>M199/'1. Väestöennuste'!O199*1000</f>
        <v>5187.5011974299923</v>
      </c>
      <c r="AH199" s="41">
        <f>N199/'1. Väestöennuste'!P199*1000</f>
        <v>5491.8080980264813</v>
      </c>
      <c r="AI199" s="41">
        <f>O199/'1. Väestöennuste'!Q199*1000</f>
        <v>5890.4416802479145</v>
      </c>
      <c r="AJ199" s="41">
        <f>P199/'1. Väestöennuste'!R199*1000</f>
        <v>6285.6827123604889</v>
      </c>
    </row>
    <row r="200" spans="1:36" x14ac:dyDescent="0.2">
      <c r="A200" s="30">
        <v>604</v>
      </c>
      <c r="B200" s="31" t="s">
        <v>514</v>
      </c>
      <c r="C200" s="81">
        <v>44850</v>
      </c>
      <c r="D200" s="46">
        <v>44100</v>
      </c>
      <c r="E200" s="46">
        <v>39000</v>
      </c>
      <c r="F200" s="46">
        <v>44250</v>
      </c>
      <c r="G200" s="80">
        <v>54775</v>
      </c>
      <c r="H200" s="80">
        <v>58125</v>
      </c>
      <c r="I200" s="80">
        <v>67825.000020000007</v>
      </c>
      <c r="J200" s="80">
        <v>66275.000019999992</v>
      </c>
      <c r="K200" s="80">
        <v>65425.000020000007</v>
      </c>
      <c r="L200" s="80">
        <f>K200-'Toim ja inv rahavirta'!L200</f>
        <v>67230.295906564381</v>
      </c>
      <c r="M200" s="80">
        <f>L200-'Toim ja inv rahavirta'!M200</f>
        <v>71474.029306748489</v>
      </c>
      <c r="N200" s="80">
        <f>M200-'Toim ja inv rahavirta'!N200</f>
        <v>75737.236283727776</v>
      </c>
      <c r="O200" s="80">
        <f>N200-'Toim ja inv rahavirta'!O200</f>
        <v>80991.788532856546</v>
      </c>
      <c r="P200" s="80">
        <f>O200-'Toim ja inv rahavirta'!P200</f>
        <v>85577.757483587236</v>
      </c>
      <c r="U200" s="34">
        <v>604</v>
      </c>
      <c r="V200" s="88" t="s">
        <v>514</v>
      </c>
      <c r="W200" s="41">
        <f>C200/'1. Väestöennuste'!E200*1000</f>
        <v>2371.38476180405</v>
      </c>
      <c r="X200" s="41">
        <f>D200/'1. Väestöennuste'!F200*1000</f>
        <v>2301.3098157908471</v>
      </c>
      <c r="Y200" s="41">
        <f>E200/'1. Väestöennuste'!G200*1000</f>
        <v>2027.3431408223735</v>
      </c>
      <c r="Z200" s="41">
        <f>F200/'1. Väestöennuste'!H200*1000</f>
        <v>2284.6964064436183</v>
      </c>
      <c r="AA200" s="41">
        <f>G200/'1. Väestöennuste'!I200*1000</f>
        <v>2791.3672730978951</v>
      </c>
      <c r="AB200" s="41">
        <f>H200/'1. Väestöennuste'!J200*1000</f>
        <v>2935.1613391910314</v>
      </c>
      <c r="AC200" s="41">
        <f>I200/'1. Väestöennuste'!K200*1000</f>
        <v>3356.6762357715534</v>
      </c>
      <c r="AD200" s="41">
        <f>J200/'1. Väestöennuste'!L200*1000</f>
        <v>3247.9784376378334</v>
      </c>
      <c r="AE200" s="41">
        <f>K200/'1. Väestöennuste'!M200*1000</f>
        <v>3151.0379049270337</v>
      </c>
      <c r="AF200" s="41">
        <f>L200/'1. Väestöennuste'!N200*1000</f>
        <v>3283.210231311441</v>
      </c>
      <c r="AG200" s="41">
        <f>M200/'1. Väestöennuste'!O200*1000</f>
        <v>3464.3996561847944</v>
      </c>
      <c r="AH200" s="41">
        <f>N200/'1. Väestöennuste'!P200*1000</f>
        <v>3645.0686439372303</v>
      </c>
      <c r="AI200" s="41">
        <f>O200/'1. Väestöennuste'!Q200*1000</f>
        <v>3872.0556739903691</v>
      </c>
      <c r="AJ200" s="41">
        <f>P200/'1. Väestöennuste'!R200*1000</f>
        <v>4065.644804199118</v>
      </c>
    </row>
    <row r="201" spans="1:36" x14ac:dyDescent="0.2">
      <c r="A201" s="30">
        <v>607</v>
      </c>
      <c r="B201" s="31" t="s">
        <v>515</v>
      </c>
      <c r="C201" s="81">
        <v>1690</v>
      </c>
      <c r="D201" s="46">
        <v>1350</v>
      </c>
      <c r="E201" s="46">
        <v>1050</v>
      </c>
      <c r="F201" s="46">
        <v>750</v>
      </c>
      <c r="G201" s="80">
        <v>450</v>
      </c>
      <c r="H201" s="80">
        <v>150</v>
      </c>
      <c r="I201" s="80">
        <v>0</v>
      </c>
      <c r="J201" s="80">
        <v>5408.3689299999996</v>
      </c>
      <c r="K201" s="80">
        <v>10007.7976</v>
      </c>
      <c r="L201" s="80">
        <f>K201-'Toim ja inv rahavirta'!L201</f>
        <v>13398.146156911</v>
      </c>
      <c r="M201" s="80">
        <f>L201-'Toim ja inv rahavirta'!M201</f>
        <v>18071.319456818026</v>
      </c>
      <c r="N201" s="80">
        <f>M201-'Toim ja inv rahavirta'!N201</f>
        <v>22646.753651282615</v>
      </c>
      <c r="O201" s="80">
        <f>N201-'Toim ja inv rahavirta'!O201</f>
        <v>27499.969895511429</v>
      </c>
      <c r="P201" s="80">
        <f>O201-'Toim ja inv rahavirta'!P201</f>
        <v>32076.639287973849</v>
      </c>
      <c r="U201" s="34">
        <v>607</v>
      </c>
      <c r="V201" s="88" t="s">
        <v>515</v>
      </c>
      <c r="W201" s="41">
        <f>C201/'1. Väestöennuste'!E201*1000</f>
        <v>370.93942054433717</v>
      </c>
      <c r="X201" s="41">
        <f>D201/'1. Väestöennuste'!F201*1000</f>
        <v>299.06956136464333</v>
      </c>
      <c r="Y201" s="41">
        <f>E201/'1. Väestöennuste'!G201*1000</f>
        <v>237.87947439963753</v>
      </c>
      <c r="Z201" s="41">
        <f>F201/'1. Väestöennuste'!H201*1000</f>
        <v>174.13512885999535</v>
      </c>
      <c r="AA201" s="41">
        <f>G201/'1. Väestöennuste'!I201*1000</f>
        <v>105.98210080075366</v>
      </c>
      <c r="AB201" s="41">
        <f>H201/'1. Väestöennuste'!J201*1000</f>
        <v>35.705784337062603</v>
      </c>
      <c r="AC201" s="41">
        <f>I201/'1. Väestöennuste'!K201*1000</f>
        <v>0</v>
      </c>
      <c r="AD201" s="41">
        <f>J201/'1. Väestöennuste'!L201*1000</f>
        <v>1324.2823041136139</v>
      </c>
      <c r="AE201" s="41">
        <f>K201/'1. Väestöennuste'!M201*1000</f>
        <v>2462.548622047244</v>
      </c>
      <c r="AF201" s="41">
        <f>L201/'1. Väestöennuste'!N201*1000</f>
        <v>3392.7946712866546</v>
      </c>
      <c r="AG201" s="41">
        <f>M201/'1. Väestöennuste'!O201*1000</f>
        <v>4643.1961605390607</v>
      </c>
      <c r="AH201" s="41">
        <f>N201/'1. Väestöennuste'!P201*1000</f>
        <v>5897.5920966881813</v>
      </c>
      <c r="AI201" s="41">
        <f>O201/'1. Väestöennuste'!Q201*1000</f>
        <v>7263.5947954335525</v>
      </c>
      <c r="AJ201" s="41">
        <f>P201/'1. Väestöennuste'!R201*1000</f>
        <v>8597.3302835630802</v>
      </c>
    </row>
    <row r="202" spans="1:36" x14ac:dyDescent="0.2">
      <c r="A202" s="30">
        <v>608</v>
      </c>
      <c r="B202" s="31" t="s">
        <v>516</v>
      </c>
      <c r="C202" s="81">
        <v>3857</v>
      </c>
      <c r="D202" s="46">
        <v>4149</v>
      </c>
      <c r="E202" s="46">
        <v>4239</v>
      </c>
      <c r="F202" s="46">
        <v>3892</v>
      </c>
      <c r="G202" s="80">
        <v>4222</v>
      </c>
      <c r="H202" s="80">
        <v>4102</v>
      </c>
      <c r="I202" s="80">
        <v>4075.44868</v>
      </c>
      <c r="J202" s="80">
        <v>5433.482</v>
      </c>
      <c r="K202" s="80">
        <v>6664.1580000000004</v>
      </c>
      <c r="L202" s="80">
        <f>K202-'Toim ja inv rahavirta'!L202</f>
        <v>7514.102230171985</v>
      </c>
      <c r="M202" s="80">
        <f>L202-'Toim ja inv rahavirta'!M202</f>
        <v>8544.2188187454631</v>
      </c>
      <c r="N202" s="80">
        <f>M202-'Toim ja inv rahavirta'!N202</f>
        <v>9495.9111312196073</v>
      </c>
      <c r="O202" s="80">
        <f>N202-'Toim ja inv rahavirta'!O202</f>
        <v>10501.093293662769</v>
      </c>
      <c r="P202" s="80">
        <f>O202-'Toim ja inv rahavirta'!P202</f>
        <v>11283.736094978203</v>
      </c>
      <c r="U202" s="34">
        <v>608</v>
      </c>
      <c r="V202" s="88" t="s">
        <v>516</v>
      </c>
      <c r="W202" s="41">
        <f>C202/'1. Väestöennuste'!E202*1000</f>
        <v>1721.875</v>
      </c>
      <c r="X202" s="41">
        <f>D202/'1. Väestöennuste'!F202*1000</f>
        <v>1858.038513210927</v>
      </c>
      <c r="Y202" s="41">
        <f>E202/'1. Väestöennuste'!G202*1000</f>
        <v>1957.0637119113574</v>
      </c>
      <c r="Z202" s="41">
        <f>F202/'1. Väestöennuste'!H202*1000</f>
        <v>1813.6067101584342</v>
      </c>
      <c r="AA202" s="41">
        <f>G202/'1. Väestöennuste'!I202*1000</f>
        <v>2021.0627094303493</v>
      </c>
      <c r="AB202" s="41">
        <f>H202/'1. Väestöennuste'!J202*1000</f>
        <v>1988.3664566165778</v>
      </c>
      <c r="AC202" s="41">
        <f>I202/'1. Väestöennuste'!K202*1000</f>
        <v>2024.5646696472925</v>
      </c>
      <c r="AD202" s="41">
        <f>J202/'1. Väestöennuste'!L202*1000</f>
        <v>2744.1828282828283</v>
      </c>
      <c r="AE202" s="41">
        <f>K202/'1. Väestöennuste'!M202*1000</f>
        <v>3429.8291302110142</v>
      </c>
      <c r="AF202" s="41">
        <f>L202/'1. Väestöennuste'!N202*1000</f>
        <v>3857.3420072751464</v>
      </c>
      <c r="AG202" s="41">
        <f>M202/'1. Väestöennuste'!O202*1000</f>
        <v>4443.1715126081444</v>
      </c>
      <c r="AH202" s="41">
        <f>N202/'1. Väestöennuste'!P202*1000</f>
        <v>5005.7517824035885</v>
      </c>
      <c r="AI202" s="41">
        <f>O202/'1. Väestöennuste'!Q202*1000</f>
        <v>5612.5565439138263</v>
      </c>
      <c r="AJ202" s="41">
        <f>P202/'1. Väestöennuste'!R202*1000</f>
        <v>6109.2236572702786</v>
      </c>
    </row>
    <row r="203" spans="1:36" x14ac:dyDescent="0.2">
      <c r="A203" s="30">
        <v>609</v>
      </c>
      <c r="B203" s="31" t="s">
        <v>517</v>
      </c>
      <c r="C203" s="81">
        <v>237586</v>
      </c>
      <c r="D203" s="46">
        <v>221519</v>
      </c>
      <c r="E203" s="46">
        <v>243497</v>
      </c>
      <c r="F203" s="46">
        <v>257586</v>
      </c>
      <c r="G203" s="80">
        <v>271895</v>
      </c>
      <c r="H203" s="80">
        <v>284881</v>
      </c>
      <c r="I203" s="80">
        <v>316943.01136</v>
      </c>
      <c r="J203" s="80">
        <v>359571.39989</v>
      </c>
      <c r="K203" s="80">
        <v>328052.43044000003</v>
      </c>
      <c r="L203" s="80">
        <f>K203-'Toim ja inv rahavirta'!L203</f>
        <v>354753.42074264406</v>
      </c>
      <c r="M203" s="80">
        <f>L203-'Toim ja inv rahavirta'!M203</f>
        <v>387783.53488199919</v>
      </c>
      <c r="N203" s="80">
        <f>M203-'Toim ja inv rahavirta'!N203</f>
        <v>405812.61288832268</v>
      </c>
      <c r="O203" s="80">
        <f>N203-'Toim ja inv rahavirta'!O203</f>
        <v>422812.64648910688</v>
      </c>
      <c r="P203" s="80">
        <f>O203-'Toim ja inv rahavirta'!P203</f>
        <v>433097.69817755226</v>
      </c>
      <c r="U203" s="34">
        <v>609</v>
      </c>
      <c r="V203" s="88" t="s">
        <v>517</v>
      </c>
      <c r="W203" s="41">
        <f>C203/'1. Väestöennuste'!E203*1000</f>
        <v>2783.2433255625974</v>
      </c>
      <c r="X203" s="41">
        <f>D203/'1. Väestöennuste'!F203*1000</f>
        <v>2604.2981930189635</v>
      </c>
      <c r="Y203" s="41">
        <f>E203/'1. Väestöennuste'!G203*1000</f>
        <v>2878.6574769172566</v>
      </c>
      <c r="Z203" s="41">
        <f>F203/'1. Väestöennuste'!H203*1000</f>
        <v>3051.8583462673128</v>
      </c>
      <c r="AA203" s="41">
        <f>G203/'1. Väestöennuste'!I203*1000</f>
        <v>3239.3904734672483</v>
      </c>
      <c r="AB203" s="41">
        <f>H203/'1. Väestöennuste'!J203*1000</f>
        <v>3404.2469289230912</v>
      </c>
      <c r="AC203" s="41">
        <f>I203/'1. Väestöennuste'!K203*1000</f>
        <v>3796.5431034234925</v>
      </c>
      <c r="AD203" s="41">
        <f>J203/'1. Väestöennuste'!L203*1000</f>
        <v>4321.5119270476525</v>
      </c>
      <c r="AE203" s="41">
        <f>K203/'1. Väestöennuste'!M203*1000</f>
        <v>3947.3976661131569</v>
      </c>
      <c r="AF203" s="41">
        <f>L203/'1. Väestöennuste'!N203*1000</f>
        <v>4313.2688212657486</v>
      </c>
      <c r="AG203" s="41">
        <f>M203/'1. Väestöennuste'!O203*1000</f>
        <v>4736.3452974326301</v>
      </c>
      <c r="AH203" s="41">
        <f>N203/'1. Väestöennuste'!P203*1000</f>
        <v>4979.6013606763936</v>
      </c>
      <c r="AI203" s="41">
        <f>O203/'1. Väestöennuste'!Q203*1000</f>
        <v>5212.4444806093361</v>
      </c>
      <c r="AJ203" s="41">
        <f>P203/'1. Väestöennuste'!R203*1000</f>
        <v>5364.3025896125973</v>
      </c>
    </row>
    <row r="204" spans="1:36" x14ac:dyDescent="0.2">
      <c r="A204" s="30">
        <v>611</v>
      </c>
      <c r="B204" s="31" t="s">
        <v>518</v>
      </c>
      <c r="C204" s="81">
        <v>14759</v>
      </c>
      <c r="D204" s="46">
        <v>14986</v>
      </c>
      <c r="E204" s="46">
        <v>14486</v>
      </c>
      <c r="F204" s="46">
        <v>13452</v>
      </c>
      <c r="G204" s="80">
        <v>11737</v>
      </c>
      <c r="H204" s="80">
        <v>9477</v>
      </c>
      <c r="I204" s="80">
        <v>6051.826</v>
      </c>
      <c r="J204" s="80">
        <v>5827.2839999999997</v>
      </c>
      <c r="K204" s="80">
        <v>5136.3739999999998</v>
      </c>
      <c r="L204" s="80">
        <f>K204-'Toim ja inv rahavirta'!L204</f>
        <v>4967.0073519450052</v>
      </c>
      <c r="M204" s="80">
        <f>L204-'Toim ja inv rahavirta'!M204</f>
        <v>6596.5353048825073</v>
      </c>
      <c r="N204" s="80">
        <f>M204-'Toim ja inv rahavirta'!N204</f>
        <v>8561.0056865620645</v>
      </c>
      <c r="O204" s="80">
        <f>N204-'Toim ja inv rahavirta'!O204</f>
        <v>10882.190574248754</v>
      </c>
      <c r="P204" s="80">
        <f>O204-'Toim ja inv rahavirta'!P204</f>
        <v>13137.464026912843</v>
      </c>
      <c r="U204" s="34">
        <v>611</v>
      </c>
      <c r="V204" s="88" t="s">
        <v>518</v>
      </c>
      <c r="W204" s="41">
        <f>C204/'1. Väestöennuste'!E204*1000</f>
        <v>2879.8048780487802</v>
      </c>
      <c r="X204" s="41">
        <f>D204/'1. Väestöennuste'!F204*1000</f>
        <v>2933.8292873923256</v>
      </c>
      <c r="Y204" s="41">
        <f>E204/'1. Väestöennuste'!G204*1000</f>
        <v>2828.7443858621364</v>
      </c>
      <c r="Z204" s="41">
        <f>F204/'1. Väestöennuste'!H204*1000</f>
        <v>2654.3014996053671</v>
      </c>
      <c r="AA204" s="41">
        <f>G204/'1. Väestöennuste'!I204*1000</f>
        <v>2331.0824230387288</v>
      </c>
      <c r="AB204" s="41">
        <f>H204/'1. Väestöennuste'!J204*1000</f>
        <v>1869.2307692307693</v>
      </c>
      <c r="AC204" s="41">
        <f>I204/'1. Väestöennuste'!K204*1000</f>
        <v>1194.5965258586657</v>
      </c>
      <c r="AD204" s="41">
        <f>J204/'1. Väestöennuste'!L204*1000</f>
        <v>1162.8984234683694</v>
      </c>
      <c r="AE204" s="41">
        <f>K204/'1. Väestöennuste'!M204*1000</f>
        <v>1032.8522018902072</v>
      </c>
      <c r="AF204" s="41">
        <f>L204/'1. Väestöennuste'!N204*1000</f>
        <v>981.23416672165251</v>
      </c>
      <c r="AG204" s="41">
        <f>M204/'1. Väestöennuste'!O204*1000</f>
        <v>1301.862108719658</v>
      </c>
      <c r="AH204" s="41">
        <f>N204/'1. Väestöennuste'!P204*1000</f>
        <v>1686.8976722289781</v>
      </c>
      <c r="AI204" s="41">
        <f>O204/'1. Väestöennuste'!Q204*1000</f>
        <v>2139.215760615049</v>
      </c>
      <c r="AJ204" s="41">
        <f>P204/'1. Väestöennuste'!R204*1000</f>
        <v>2577.4895089097199</v>
      </c>
    </row>
    <row r="205" spans="1:36" x14ac:dyDescent="0.2">
      <c r="A205" s="30">
        <v>614</v>
      </c>
      <c r="B205" s="31" t="s">
        <v>519</v>
      </c>
      <c r="C205" s="81">
        <v>14674</v>
      </c>
      <c r="D205" s="46">
        <v>14364</v>
      </c>
      <c r="E205" s="46">
        <v>13103</v>
      </c>
      <c r="F205" s="46">
        <v>11887</v>
      </c>
      <c r="G205" s="80">
        <v>11152</v>
      </c>
      <c r="H205" s="80">
        <v>10370</v>
      </c>
      <c r="I205" s="80">
        <v>9585.3782800000008</v>
      </c>
      <c r="J205" s="80">
        <v>9814.8781099999997</v>
      </c>
      <c r="K205" s="80">
        <v>9093.3165399999998</v>
      </c>
      <c r="L205" s="80">
        <f>K205-'Toim ja inv rahavirta'!L205</f>
        <v>9540.5697061533938</v>
      </c>
      <c r="M205" s="80">
        <f>L205-'Toim ja inv rahavirta'!M205</f>
        <v>10805.904344169405</v>
      </c>
      <c r="N205" s="80">
        <f>M205-'Toim ja inv rahavirta'!N205</f>
        <v>11954.962655629422</v>
      </c>
      <c r="O205" s="80">
        <f>N205-'Toim ja inv rahavirta'!O205</f>
        <v>13184.409614797474</v>
      </c>
      <c r="P205" s="80">
        <f>O205-'Toim ja inv rahavirta'!P205</f>
        <v>14136.974176342334</v>
      </c>
      <c r="U205" s="34">
        <v>614</v>
      </c>
      <c r="V205" s="88" t="s">
        <v>519</v>
      </c>
      <c r="W205" s="41">
        <f>C205/'1. Väestöennuste'!E205*1000</f>
        <v>4220.3048605119357</v>
      </c>
      <c r="X205" s="41">
        <f>D205/'1. Väestöennuste'!F205*1000</f>
        <v>4195.0934579439254</v>
      </c>
      <c r="Y205" s="41">
        <f>E205/'1. Väestöennuste'!G205*1000</f>
        <v>3958.6102719033233</v>
      </c>
      <c r="Z205" s="41">
        <f>F205/'1. Väestöennuste'!H205*1000</f>
        <v>3672.2273710225518</v>
      </c>
      <c r="AA205" s="41">
        <f>G205/'1. Väestöennuste'!I205*1000</f>
        <v>3503.6129437637451</v>
      </c>
      <c r="AB205" s="41">
        <f>H205/'1. Väestöennuste'!J205*1000</f>
        <v>3326.9169072826435</v>
      </c>
      <c r="AC205" s="41">
        <f>I205/'1. Väestöennuste'!K205*1000</f>
        <v>3126.3464709719506</v>
      </c>
      <c r="AD205" s="41">
        <f>J205/'1. Väestöennuste'!L205*1000</f>
        <v>3272.7169423141045</v>
      </c>
      <c r="AE205" s="41">
        <f>K205/'1. Väestöennuste'!M205*1000</f>
        <v>3110.9533150872394</v>
      </c>
      <c r="AF205" s="41">
        <f>L205/'1. Väestöennuste'!N205*1000</f>
        <v>3340.5356113982471</v>
      </c>
      <c r="AG205" s="41">
        <f>M205/'1. Väestöennuste'!O205*1000</f>
        <v>3853.7461997751084</v>
      </c>
      <c r="AH205" s="41">
        <f>N205/'1. Väestöennuste'!P205*1000</f>
        <v>4336.2214927926816</v>
      </c>
      <c r="AI205" s="41">
        <f>O205/'1. Väestöennuste'!Q205*1000</f>
        <v>4865.0957988182563</v>
      </c>
      <c r="AJ205" s="41">
        <f>P205/'1. Väestöennuste'!R205*1000</f>
        <v>5300.7027282873387</v>
      </c>
    </row>
    <row r="206" spans="1:36" x14ac:dyDescent="0.2">
      <c r="A206" s="30">
        <v>615</v>
      </c>
      <c r="B206" s="31" t="s">
        <v>520</v>
      </c>
      <c r="C206" s="81">
        <v>20758</v>
      </c>
      <c r="D206" s="46">
        <v>23256</v>
      </c>
      <c r="E206" s="46">
        <v>21946</v>
      </c>
      <c r="F206" s="46">
        <v>25420</v>
      </c>
      <c r="G206" s="80">
        <v>32275</v>
      </c>
      <c r="H206" s="80">
        <v>36608</v>
      </c>
      <c r="I206" s="80">
        <v>36071.723859999998</v>
      </c>
      <c r="J206" s="80">
        <v>34065.082719999999</v>
      </c>
      <c r="K206" s="80">
        <v>34432.16704</v>
      </c>
      <c r="L206" s="80">
        <f>K206-'Toim ja inv rahavirta'!L206</f>
        <v>32053.310100371877</v>
      </c>
      <c r="M206" s="80">
        <f>L206-'Toim ja inv rahavirta'!M206</f>
        <v>34870.41948384951</v>
      </c>
      <c r="N206" s="80">
        <f>M206-'Toim ja inv rahavirta'!N206</f>
        <v>38028.245482788137</v>
      </c>
      <c r="O206" s="80">
        <f>N206-'Toim ja inv rahavirta'!O206</f>
        <v>41327.801393593247</v>
      </c>
      <c r="P206" s="80">
        <f>O206-'Toim ja inv rahavirta'!P206</f>
        <v>43705.765223380848</v>
      </c>
      <c r="U206" s="34">
        <v>615</v>
      </c>
      <c r="V206" s="88" t="s">
        <v>520</v>
      </c>
      <c r="W206" s="41">
        <f>C206/'1. Väestöennuste'!E206*1000</f>
        <v>2513.9881312825482</v>
      </c>
      <c r="X206" s="41">
        <f>D206/'1. Väestöennuste'!F206*1000</f>
        <v>2840.6009527299379</v>
      </c>
      <c r="Y206" s="41">
        <f>E206/'1. Väestöennuste'!G206*1000</f>
        <v>2708.3796124892015</v>
      </c>
      <c r="Z206" s="41">
        <f>F206/'1. Väestöennuste'!H206*1000</f>
        <v>3181.4768460575719</v>
      </c>
      <c r="AA206" s="41">
        <f>G206/'1. Väestöennuste'!I206*1000</f>
        <v>4099.4538295440107</v>
      </c>
      <c r="AB206" s="41">
        <f>H206/'1. Väestöennuste'!J206*1000</f>
        <v>4706.0033423319192</v>
      </c>
      <c r="AC206" s="41">
        <f>I206/'1. Väestöennuste'!K206*1000</f>
        <v>4683.4229888340687</v>
      </c>
      <c r="AD206" s="41">
        <f>J206/'1. Väestöennuste'!L206*1000</f>
        <v>4480.4791161383664</v>
      </c>
      <c r="AE206" s="41">
        <f>K206/'1. Väestöennuste'!M206*1000</f>
        <v>4603.8463751838481</v>
      </c>
      <c r="AF206" s="41">
        <f>L206/'1. Väestöennuste'!N206*1000</f>
        <v>4330.943129357097</v>
      </c>
      <c r="AG206" s="41">
        <f>M206/'1. Väestöennuste'!O206*1000</f>
        <v>4767.6263992137692</v>
      </c>
      <c r="AH206" s="41">
        <f>N206/'1. Väestöennuste'!P206*1000</f>
        <v>5261.2403822341084</v>
      </c>
      <c r="AI206" s="41">
        <f>O206/'1. Väestöennuste'!Q206*1000</f>
        <v>5780.9206033841447</v>
      </c>
      <c r="AJ206" s="41">
        <f>P206/'1. Väestöennuste'!R206*1000</f>
        <v>6180.9878692378516</v>
      </c>
    </row>
    <row r="207" spans="1:36" x14ac:dyDescent="0.2">
      <c r="A207" s="30">
        <v>616</v>
      </c>
      <c r="B207" s="31" t="s">
        <v>521</v>
      </c>
      <c r="C207" s="81">
        <v>5646</v>
      </c>
      <c r="D207" s="46">
        <v>5199</v>
      </c>
      <c r="E207" s="46">
        <v>5293</v>
      </c>
      <c r="F207" s="46">
        <v>5097</v>
      </c>
      <c r="G207" s="80">
        <v>5661</v>
      </c>
      <c r="H207" s="80">
        <v>5816</v>
      </c>
      <c r="I207" s="80">
        <v>6045.067680000001</v>
      </c>
      <c r="J207" s="80">
        <v>5450.7258900000006</v>
      </c>
      <c r="K207" s="80">
        <v>5860.00252</v>
      </c>
      <c r="L207" s="80">
        <f>K207-'Toim ja inv rahavirta'!L207</f>
        <v>6586.6183180063072</v>
      </c>
      <c r="M207" s="80">
        <f>L207-'Toim ja inv rahavirta'!M207</f>
        <v>8086.7239579818224</v>
      </c>
      <c r="N207" s="80">
        <f>M207-'Toim ja inv rahavirta'!N207</f>
        <v>9614.3370597995981</v>
      </c>
      <c r="O207" s="80">
        <f>N207-'Toim ja inv rahavirta'!O207</f>
        <v>11156.407904846041</v>
      </c>
      <c r="P207" s="80">
        <f>O207-'Toim ja inv rahavirta'!P207</f>
        <v>12651.287092913692</v>
      </c>
      <c r="U207" s="34">
        <v>616</v>
      </c>
      <c r="V207" s="88" t="s">
        <v>521</v>
      </c>
      <c r="W207" s="41">
        <f>C207/'1. Väestöennuste'!E207*1000</f>
        <v>2864.5357686453576</v>
      </c>
      <c r="X207" s="41">
        <f>D207/'1. Väestöennuste'!F207*1000</f>
        <v>2615.1911468812878</v>
      </c>
      <c r="Y207" s="41">
        <f>E207/'1. Väestöennuste'!G207*1000</f>
        <v>2728.3505154639174</v>
      </c>
      <c r="Z207" s="41">
        <f>F207/'1. Väestöennuste'!H207*1000</f>
        <v>2684.0442338072671</v>
      </c>
      <c r="AA207" s="41">
        <f>G207/'1. Väestöennuste'!I207*1000</f>
        <v>3043.5483870967741</v>
      </c>
      <c r="AB207" s="41">
        <f>H207/'1. Väestöennuste'!J207*1000</f>
        <v>3172.9405346426624</v>
      </c>
      <c r="AC207" s="41">
        <f>I207/'1. Väestöennuste'!K207*1000</f>
        <v>3271.1405194805197</v>
      </c>
      <c r="AD207" s="41">
        <f>J207/'1. Väestöennuste'!L207*1000</f>
        <v>3016.4504095185393</v>
      </c>
      <c r="AE207" s="41">
        <f>K207/'1. Väestöennuste'!M207*1000</f>
        <v>3290.2877709152162</v>
      </c>
      <c r="AF207" s="41">
        <f>L207/'1. Väestöennuste'!N207*1000</f>
        <v>3776.730686930222</v>
      </c>
      <c r="AG207" s="41">
        <f>M207/'1. Väestöennuste'!O207*1000</f>
        <v>4679.8171053135538</v>
      </c>
      <c r="AH207" s="41">
        <f>N207/'1. Väestöennuste'!P207*1000</f>
        <v>5599.4974139776341</v>
      </c>
      <c r="AI207" s="41">
        <f>O207/'1. Väestöennuste'!Q207*1000</f>
        <v>6539.5122537198367</v>
      </c>
      <c r="AJ207" s="41">
        <f>P207/'1. Väestöennuste'!R207*1000</f>
        <v>7455.0896245808444</v>
      </c>
    </row>
    <row r="208" spans="1:36" x14ac:dyDescent="0.2">
      <c r="A208" s="30">
        <v>619</v>
      </c>
      <c r="B208" s="31" t="s">
        <v>522</v>
      </c>
      <c r="C208" s="81">
        <v>4686</v>
      </c>
      <c r="D208" s="46">
        <v>2291</v>
      </c>
      <c r="E208" s="46">
        <v>941</v>
      </c>
      <c r="F208" s="46">
        <v>3150</v>
      </c>
      <c r="G208" s="80">
        <v>7800</v>
      </c>
      <c r="H208" s="80">
        <v>8115</v>
      </c>
      <c r="I208" s="80">
        <v>7265</v>
      </c>
      <c r="J208" s="80">
        <v>6865</v>
      </c>
      <c r="K208" s="80">
        <v>6465</v>
      </c>
      <c r="L208" s="80">
        <f>K208-'Toim ja inv rahavirta'!L208</f>
        <v>6890.3125170973963</v>
      </c>
      <c r="M208" s="80">
        <f>L208-'Toim ja inv rahavirta'!M208</f>
        <v>7685.7793173696664</v>
      </c>
      <c r="N208" s="80">
        <f>M208-'Toim ja inv rahavirta'!N208</f>
        <v>8482.900645839356</v>
      </c>
      <c r="O208" s="80">
        <f>N208-'Toim ja inv rahavirta'!O208</f>
        <v>9522.7726338723223</v>
      </c>
      <c r="P208" s="80">
        <f>O208-'Toim ja inv rahavirta'!P208</f>
        <v>10370.363331242661</v>
      </c>
      <c r="U208" s="34">
        <v>619</v>
      </c>
      <c r="V208" s="88" t="s">
        <v>522</v>
      </c>
      <c r="W208" s="41">
        <f>C208/'1. Väestöennuste'!E208*1000</f>
        <v>1536.8973433912759</v>
      </c>
      <c r="X208" s="41">
        <f>D208/'1. Väestöennuste'!F208*1000</f>
        <v>762.90376290376298</v>
      </c>
      <c r="Y208" s="41">
        <f>E208/'1. Väestöennuste'!G208*1000</f>
        <v>319.09121736181754</v>
      </c>
      <c r="Z208" s="41">
        <f>F208/'1. Väestöennuste'!H208*1000</f>
        <v>1087.7071823204421</v>
      </c>
      <c r="AA208" s="41">
        <f>G208/'1. Väestöennuste'!I208*1000</f>
        <v>2758.1329561527582</v>
      </c>
      <c r="AB208" s="41">
        <f>H208/'1. Väestöennuste'!J208*1000</f>
        <v>2913.8240574506281</v>
      </c>
      <c r="AC208" s="41">
        <f>I208/'1. Väestöennuste'!K208*1000</f>
        <v>2669.9742741639106</v>
      </c>
      <c r="AD208" s="41">
        <f>J208/'1. Väestöennuste'!L208*1000</f>
        <v>2566.3551401869158</v>
      </c>
      <c r="AE208" s="41">
        <f>K208/'1. Väestöennuste'!M208*1000</f>
        <v>2439.6226415094338</v>
      </c>
      <c r="AF208" s="41">
        <f>L208/'1. Väestöennuste'!N208*1000</f>
        <v>2688.3778841581725</v>
      </c>
      <c r="AG208" s="41">
        <f>M208/'1. Väestöennuste'!O208*1000</f>
        <v>3054.7612549164014</v>
      </c>
      <c r="AH208" s="41">
        <f>N208/'1. Väestöennuste'!P208*1000</f>
        <v>3428.8199861921407</v>
      </c>
      <c r="AI208" s="41">
        <f>O208/'1. Väestöennuste'!Q208*1000</f>
        <v>3909.1841682562899</v>
      </c>
      <c r="AJ208" s="41">
        <f>P208/'1. Väestöennuste'!R208*1000</f>
        <v>4320.9847213511084</v>
      </c>
    </row>
    <row r="209" spans="1:36" x14ac:dyDescent="0.2">
      <c r="A209" s="30">
        <v>620</v>
      </c>
      <c r="B209" s="31" t="s">
        <v>523</v>
      </c>
      <c r="C209" s="81">
        <v>7566</v>
      </c>
      <c r="D209" s="46">
        <v>6984</v>
      </c>
      <c r="E209" s="46">
        <v>6402</v>
      </c>
      <c r="F209" s="46">
        <v>7013</v>
      </c>
      <c r="G209" s="80">
        <v>6231</v>
      </c>
      <c r="H209" s="80">
        <v>4650</v>
      </c>
      <c r="I209" s="80">
        <v>5069.0740500000011</v>
      </c>
      <c r="J209" s="80">
        <v>5862.7777500000011</v>
      </c>
      <c r="K209" s="80">
        <v>5031.4814500000002</v>
      </c>
      <c r="L209" s="80">
        <f>K209-'Toim ja inv rahavirta'!L209</f>
        <v>5587.3820753239397</v>
      </c>
      <c r="M209" s="80">
        <f>L209-'Toim ja inv rahavirta'!M209</f>
        <v>7027.5623572514205</v>
      </c>
      <c r="N209" s="80">
        <f>M209-'Toim ja inv rahavirta'!N209</f>
        <v>8725.6658184427779</v>
      </c>
      <c r="O209" s="80">
        <f>N209-'Toim ja inv rahavirta'!O209</f>
        <v>10703.906308109747</v>
      </c>
      <c r="P209" s="80">
        <f>O209-'Toim ja inv rahavirta'!P209</f>
        <v>12473.736461408367</v>
      </c>
      <c r="U209" s="34">
        <v>620</v>
      </c>
      <c r="V209" s="88" t="s">
        <v>523</v>
      </c>
      <c r="W209" s="41">
        <f>C209/'1. Väestöennuste'!E209*1000</f>
        <v>2725.5043227665706</v>
      </c>
      <c r="X209" s="41">
        <f>D209/'1. Väestöennuste'!F209*1000</f>
        <v>2553.5648994515536</v>
      </c>
      <c r="Y209" s="41">
        <f>E209/'1. Väestöennuste'!G209*1000</f>
        <v>2398.65118021731</v>
      </c>
      <c r="Z209" s="41">
        <f>F209/'1. Väestöennuste'!H209*1000</f>
        <v>2700.4235656526762</v>
      </c>
      <c r="AA209" s="41">
        <f>G209/'1. Väestöennuste'!I209*1000</f>
        <v>2464.7943037974683</v>
      </c>
      <c r="AB209" s="41">
        <f>H209/'1. Väestöennuste'!J209*1000</f>
        <v>1866.7201926936973</v>
      </c>
      <c r="AC209" s="41">
        <f>I209/'1. Väestöennuste'!K209*1000</f>
        <v>2072.3933156173348</v>
      </c>
      <c r="AD209" s="41">
        <f>J209/'1. Väestöennuste'!L209*1000</f>
        <v>2463.3519957983199</v>
      </c>
      <c r="AE209" s="41">
        <f>K209/'1. Väestöennuste'!M209*1000</f>
        <v>2132.8874311148793</v>
      </c>
      <c r="AF209" s="41">
        <f>L209/'1. Väestöennuste'!N209*1000</f>
        <v>2447.385928744608</v>
      </c>
      <c r="AG209" s="41">
        <f>M209/'1. Väestöennuste'!O209*1000</f>
        <v>3140.1082918907155</v>
      </c>
      <c r="AH209" s="41">
        <f>N209/'1. Väestöennuste'!P209*1000</f>
        <v>3973.4361650468022</v>
      </c>
      <c r="AI209" s="41">
        <f>O209/'1. Väestöennuste'!Q209*1000</f>
        <v>4962.4044080249168</v>
      </c>
      <c r="AJ209" s="41">
        <f>P209/'1. Väestöennuste'!R209*1000</f>
        <v>5886.6146585221177</v>
      </c>
    </row>
    <row r="210" spans="1:36" x14ac:dyDescent="0.2">
      <c r="A210" s="30">
        <v>623</v>
      </c>
      <c r="B210" s="31" t="s">
        <v>524</v>
      </c>
      <c r="C210" s="81">
        <v>2708</v>
      </c>
      <c r="D210" s="46">
        <v>2168</v>
      </c>
      <c r="E210" s="46">
        <v>1628</v>
      </c>
      <c r="F210" s="46">
        <v>1088</v>
      </c>
      <c r="G210" s="80">
        <v>613</v>
      </c>
      <c r="H210" s="80">
        <v>300</v>
      </c>
      <c r="I210" s="80">
        <v>99.999999999999773</v>
      </c>
      <c r="J210" s="80">
        <v>50</v>
      </c>
      <c r="K210" s="80">
        <v>0</v>
      </c>
      <c r="L210" s="80">
        <f>K210-'Toim ja inv rahavirta'!L210</f>
        <v>34.145601846825457</v>
      </c>
      <c r="M210" s="80">
        <f>L210-'Toim ja inv rahavirta'!M210</f>
        <v>-138.88553605915899</v>
      </c>
      <c r="N210" s="80">
        <f>M210-'Toim ja inv rahavirta'!N210</f>
        <v>-211.45962240973813</v>
      </c>
      <c r="O210" s="80">
        <f>N210-'Toim ja inv rahavirta'!O210</f>
        <v>-139.87574774814448</v>
      </c>
      <c r="P210" s="80">
        <f>O210-'Toim ja inv rahavirta'!P210</f>
        <v>-66.011226594476739</v>
      </c>
      <c r="U210" s="34">
        <v>623</v>
      </c>
      <c r="V210" s="88" t="s">
        <v>524</v>
      </c>
      <c r="W210" s="41">
        <f>C210/'1. Väestöennuste'!E210*1000</f>
        <v>1198.2300884955753</v>
      </c>
      <c r="X210" s="41">
        <f>D210/'1. Väestöennuste'!F210*1000</f>
        <v>970.45658012533579</v>
      </c>
      <c r="Y210" s="41">
        <f>E210/'1. Väestöennuste'!G210*1000</f>
        <v>737.31884057971024</v>
      </c>
      <c r="Z210" s="41">
        <f>F210/'1. Väestöennuste'!H210*1000</f>
        <v>495.22075557578518</v>
      </c>
      <c r="AA210" s="41">
        <f>G210/'1. Väestöennuste'!I210*1000</f>
        <v>284.98372849837284</v>
      </c>
      <c r="AB210" s="41">
        <f>H210/'1. Väestöennuste'!J210*1000</f>
        <v>140.38371548900327</v>
      </c>
      <c r="AC210" s="41">
        <f>I210/'1. Väestöennuste'!K210*1000</f>
        <v>47.236655644780242</v>
      </c>
      <c r="AD210" s="41">
        <f>J210/'1. Väestöennuste'!L210*1000</f>
        <v>23.730422401518748</v>
      </c>
      <c r="AE210" s="41">
        <f>K210/'1. Väestöennuste'!M210*1000</f>
        <v>0</v>
      </c>
      <c r="AF210" s="41">
        <f>L210/'1. Väestöennuste'!N210*1000</f>
        <v>16.656391144792906</v>
      </c>
      <c r="AG210" s="41">
        <f>M210/'1. Väestöennuste'!O210*1000</f>
        <v>-68.315561268646817</v>
      </c>
      <c r="AH210" s="41">
        <f>N210/'1. Väestöennuste'!P210*1000</f>
        <v>-104.89068571911614</v>
      </c>
      <c r="AI210" s="41">
        <f>O210/'1. Väestöennuste'!Q210*1000</f>
        <v>-69.937873874072238</v>
      </c>
      <c r="AJ210" s="41">
        <f>P210/'1. Väestöennuste'!R210*1000</f>
        <v>-33.288566109166283</v>
      </c>
    </row>
    <row r="211" spans="1:36" x14ac:dyDescent="0.2">
      <c r="A211" s="30">
        <v>624</v>
      </c>
      <c r="B211" s="31" t="s">
        <v>525</v>
      </c>
      <c r="C211" s="81">
        <v>14287</v>
      </c>
      <c r="D211" s="46">
        <v>14509</v>
      </c>
      <c r="E211" s="46">
        <v>13358</v>
      </c>
      <c r="F211" s="46">
        <v>14525</v>
      </c>
      <c r="G211" s="80">
        <v>16642</v>
      </c>
      <c r="H211" s="80">
        <v>14175</v>
      </c>
      <c r="I211" s="80">
        <v>12525</v>
      </c>
      <c r="J211" s="80">
        <v>12881.730930000002</v>
      </c>
      <c r="K211" s="80">
        <v>10736.04205</v>
      </c>
      <c r="L211" s="80">
        <f>K211-'Toim ja inv rahavirta'!L211</f>
        <v>9732.5058098165991</v>
      </c>
      <c r="M211" s="80">
        <f>L211-'Toim ja inv rahavirta'!M211</f>
        <v>9325.8696001232001</v>
      </c>
      <c r="N211" s="80">
        <f>M211-'Toim ja inv rahavirta'!N211</f>
        <v>9060.3196526788652</v>
      </c>
      <c r="O211" s="80">
        <f>N211-'Toim ja inv rahavirta'!O211</f>
        <v>8747.1525586859261</v>
      </c>
      <c r="P211" s="80">
        <f>O211-'Toim ja inv rahavirta'!P211</f>
        <v>7891.0187398101616</v>
      </c>
      <c r="U211" s="34">
        <v>624</v>
      </c>
      <c r="V211" s="88" t="s">
        <v>525</v>
      </c>
      <c r="W211" s="41">
        <f>C211/'1. Väestöennuste'!E211*1000</f>
        <v>2685.0216124788572</v>
      </c>
      <c r="X211" s="41">
        <f>D211/'1. Väestöennuste'!F211*1000</f>
        <v>2717.0411985018727</v>
      </c>
      <c r="Y211" s="41">
        <f>E211/'1. Väestöennuste'!G211*1000</f>
        <v>2537.6139817629178</v>
      </c>
      <c r="Z211" s="41">
        <f>F211/'1. Väestöennuste'!H211*1000</f>
        <v>2800.2699055330631</v>
      </c>
      <c r="AA211" s="41">
        <f>G211/'1. Väestöennuste'!I211*1000</f>
        <v>3237.7431906614788</v>
      </c>
      <c r="AB211" s="41">
        <f>H211/'1. Väestöennuste'!J211*1000</f>
        <v>2765.853658536585</v>
      </c>
      <c r="AC211" s="41">
        <f>I211/'1. Väestöennuste'!K211*1000</f>
        <v>2446.7669466692714</v>
      </c>
      <c r="AD211" s="41">
        <f>J211/'1. Väestöennuste'!L211*1000</f>
        <v>2517.4381336720735</v>
      </c>
      <c r="AE211" s="41">
        <f>K211/'1. Väestöennuste'!M211*1000</f>
        <v>2119.6529220138204</v>
      </c>
      <c r="AF211" s="41">
        <f>L211/'1. Väestöennuste'!N211*1000</f>
        <v>1951.5752576331661</v>
      </c>
      <c r="AG211" s="41">
        <f>M211/'1. Väestöennuste'!O211*1000</f>
        <v>1885.5377274814396</v>
      </c>
      <c r="AH211" s="41">
        <f>N211/'1. Väestöennuste'!P211*1000</f>
        <v>1846.4071026449697</v>
      </c>
      <c r="AI211" s="41">
        <f>O211/'1. Väestöennuste'!Q211*1000</f>
        <v>1796.8678222444382</v>
      </c>
      <c r="AJ211" s="41">
        <f>P211/'1. Väestöennuste'!R211*1000</f>
        <v>1635.4442984062512</v>
      </c>
    </row>
    <row r="212" spans="1:36" x14ac:dyDescent="0.2">
      <c r="A212" s="30">
        <v>625</v>
      </c>
      <c r="B212" s="31" t="s">
        <v>526</v>
      </c>
      <c r="C212" s="81">
        <v>8844</v>
      </c>
      <c r="D212" s="46">
        <v>9344</v>
      </c>
      <c r="E212" s="46">
        <v>10242</v>
      </c>
      <c r="F212" s="46">
        <v>10500</v>
      </c>
      <c r="G212" s="80">
        <v>12450</v>
      </c>
      <c r="H212" s="80">
        <v>10950</v>
      </c>
      <c r="I212" s="80">
        <v>9950</v>
      </c>
      <c r="J212" s="80">
        <v>8500</v>
      </c>
      <c r="K212" s="80">
        <v>6900</v>
      </c>
      <c r="L212" s="80">
        <f>K212-'Toim ja inv rahavirta'!L212</f>
        <v>5873.4587279767602</v>
      </c>
      <c r="M212" s="80">
        <f>L212-'Toim ja inv rahavirta'!M212</f>
        <v>5726.1260271017927</v>
      </c>
      <c r="N212" s="80">
        <f>M212-'Toim ja inv rahavirta'!N212</f>
        <v>5912.0338935193622</v>
      </c>
      <c r="O212" s="80">
        <f>N212-'Toim ja inv rahavirta'!O212</f>
        <v>6571.4517635897673</v>
      </c>
      <c r="P212" s="80">
        <f>O212-'Toim ja inv rahavirta'!P212</f>
        <v>7112.5976810549646</v>
      </c>
      <c r="U212" s="34">
        <v>625</v>
      </c>
      <c r="V212" s="88" t="s">
        <v>526</v>
      </c>
      <c r="W212" s="41">
        <f>C212/'1. Väestöennuste'!E212*1000</f>
        <v>2754.2821550918716</v>
      </c>
      <c r="X212" s="41">
        <f>D212/'1. Väestöennuste'!F212*1000</f>
        <v>2930.99121706399</v>
      </c>
      <c r="Y212" s="41">
        <f>E212/'1. Väestöennuste'!G212*1000</f>
        <v>3211.6650987770463</v>
      </c>
      <c r="Z212" s="41">
        <f>F212/'1. Väestöennuste'!H212*1000</f>
        <v>3337.5715193897013</v>
      </c>
      <c r="AA212" s="41">
        <f>G212/'1. Väestöennuste'!I212*1000</f>
        <v>4046.1488462788429</v>
      </c>
      <c r="AB212" s="41">
        <f>H212/'1. Väestöennuste'!J212*1000</f>
        <v>3588.9872173058011</v>
      </c>
      <c r="AC212" s="41">
        <f>I212/'1. Väestöennuste'!K212*1000</f>
        <v>3264.4356955380576</v>
      </c>
      <c r="AD212" s="41">
        <f>J212/'1. Väestöennuste'!L212*1000</f>
        <v>2841.858910063524</v>
      </c>
      <c r="AE212" s="41">
        <f>K212/'1. Väestöennuste'!M212*1000</f>
        <v>2315.4362416107383</v>
      </c>
      <c r="AF212" s="41">
        <f>L212/'1. Väestöennuste'!N212*1000</f>
        <v>2016.9844532887225</v>
      </c>
      <c r="AG212" s="41">
        <f>M212/'1. Väestöennuste'!O212*1000</f>
        <v>1988.9288041340023</v>
      </c>
      <c r="AH212" s="41">
        <f>N212/'1. Väestöennuste'!P212*1000</f>
        <v>2076.5837349909948</v>
      </c>
      <c r="AI212" s="41">
        <f>O212/'1. Väestöennuste'!Q212*1000</f>
        <v>2335.2707049004148</v>
      </c>
      <c r="AJ212" s="41">
        <f>P212/'1. Väestöennuste'!R212*1000</f>
        <v>2557.5683858521988</v>
      </c>
    </row>
    <row r="213" spans="1:36" x14ac:dyDescent="0.2">
      <c r="A213" s="30">
        <v>626</v>
      </c>
      <c r="B213" s="31" t="s">
        <v>527</v>
      </c>
      <c r="C213" s="81">
        <v>10385</v>
      </c>
      <c r="D213" s="46">
        <v>17914</v>
      </c>
      <c r="E213" s="46">
        <v>22631</v>
      </c>
      <c r="F213" s="46">
        <v>25086</v>
      </c>
      <c r="G213" s="80">
        <v>29099</v>
      </c>
      <c r="H213" s="80">
        <v>30252</v>
      </c>
      <c r="I213" s="80">
        <v>28183.753000000001</v>
      </c>
      <c r="J213" s="80">
        <v>26115.187000000002</v>
      </c>
      <c r="K213" s="80">
        <v>31986.620999999999</v>
      </c>
      <c r="L213" s="80">
        <f>K213-'Toim ja inv rahavirta'!L213</f>
        <v>35822.294606401207</v>
      </c>
      <c r="M213" s="80">
        <f>L213-'Toim ja inv rahavirta'!M213</f>
        <v>40161.359318477465</v>
      </c>
      <c r="N213" s="80">
        <f>M213-'Toim ja inv rahavirta'!N213</f>
        <v>44699.785006555649</v>
      </c>
      <c r="O213" s="80">
        <f>N213-'Toim ja inv rahavirta'!O213</f>
        <v>49621.780998140151</v>
      </c>
      <c r="P213" s="80">
        <f>O213-'Toim ja inv rahavirta'!P213</f>
        <v>54030.832620621353</v>
      </c>
      <c r="U213" s="34">
        <v>626</v>
      </c>
      <c r="V213" s="88" t="s">
        <v>527</v>
      </c>
      <c r="W213" s="41">
        <f>C213/'1. Väestöennuste'!E213*1000</f>
        <v>1886.4668483197092</v>
      </c>
      <c r="X213" s="41">
        <f>D213/'1. Väestöennuste'!F213*1000</f>
        <v>3289.3867058391479</v>
      </c>
      <c r="Y213" s="41">
        <f>E213/'1. Väestöennuste'!G213*1000</f>
        <v>4240.3972269065016</v>
      </c>
      <c r="Z213" s="41">
        <f>F213/'1. Väestöennuste'!H213*1000</f>
        <v>4780.1067073170734</v>
      </c>
      <c r="AA213" s="41">
        <f>G213/'1. Väestöennuste'!I213*1000</f>
        <v>5671.2141882673941</v>
      </c>
      <c r="AB213" s="41">
        <f>H213/'1. Väestöennuste'!J213*1000</f>
        <v>6010.7291873634013</v>
      </c>
      <c r="AC213" s="41">
        <f>I213/'1. Väestöennuste'!K213*1000</f>
        <v>5677.6295326349718</v>
      </c>
      <c r="AD213" s="41">
        <f>J213/'1. Väestöennuste'!L213*1000</f>
        <v>5401.2796277145817</v>
      </c>
      <c r="AE213" s="41">
        <f>K213/'1. Väestöennuste'!M213*1000</f>
        <v>6725.530067283431</v>
      </c>
      <c r="AF213" s="41">
        <f>L213/'1. Väestöennuste'!N213*1000</f>
        <v>7628.2569434414836</v>
      </c>
      <c r="AG213" s="41">
        <f>M213/'1. Väestöennuste'!O213*1000</f>
        <v>8694.8169124220531</v>
      </c>
      <c r="AH213" s="41">
        <f>N213/'1. Väestöennuste'!P213*1000</f>
        <v>9837.100573625803</v>
      </c>
      <c r="AI213" s="41">
        <f>O213/'1. Väestöennuste'!Q213*1000</f>
        <v>11096.104874360499</v>
      </c>
      <c r="AJ213" s="41">
        <f>P213/'1. Väestöennuste'!R213*1000</f>
        <v>12282.526169725244</v>
      </c>
    </row>
    <row r="214" spans="1:36" x14ac:dyDescent="0.2">
      <c r="A214" s="30">
        <v>630</v>
      </c>
      <c r="B214" s="31" t="s">
        <v>528</v>
      </c>
      <c r="C214" s="81">
        <v>3893</v>
      </c>
      <c r="D214" s="46">
        <v>4297</v>
      </c>
      <c r="E214" s="46">
        <v>3099</v>
      </c>
      <c r="F214" s="46">
        <v>3303</v>
      </c>
      <c r="G214" s="80">
        <v>4657</v>
      </c>
      <c r="H214" s="80">
        <v>4391</v>
      </c>
      <c r="I214" s="80">
        <v>5258.3519999999999</v>
      </c>
      <c r="J214" s="80">
        <v>8300.0000000000018</v>
      </c>
      <c r="K214" s="80">
        <v>10850</v>
      </c>
      <c r="L214" s="80">
        <f>K214-'Toim ja inv rahavirta'!L214</f>
        <v>11171.485686078673</v>
      </c>
      <c r="M214" s="80">
        <f>L214-'Toim ja inv rahavirta'!M214</f>
        <v>11557.694213601444</v>
      </c>
      <c r="N214" s="80">
        <f>M214-'Toim ja inv rahavirta'!N214</f>
        <v>11972.173258752482</v>
      </c>
      <c r="O214" s="80">
        <f>N214-'Toim ja inv rahavirta'!O214</f>
        <v>12366.789380849088</v>
      </c>
      <c r="P214" s="80">
        <f>O214-'Toim ja inv rahavirta'!P214</f>
        <v>12448.070562270361</v>
      </c>
      <c r="U214" s="34">
        <v>630</v>
      </c>
      <c r="V214" s="88" t="s">
        <v>528</v>
      </c>
      <c r="W214" s="41">
        <f>C214/'1. Väestöennuste'!E214*1000</f>
        <v>2453.0560806553244</v>
      </c>
      <c r="X214" s="41">
        <f>D214/'1. Väestöennuste'!F214*1000</f>
        <v>2721.3426219126031</v>
      </c>
      <c r="Y214" s="41">
        <f>E214/'1. Väestöennuste'!G214*1000</f>
        <v>1962.6345788473718</v>
      </c>
      <c r="Z214" s="41">
        <f>F214/'1. Väestöennuste'!H214*1000</f>
        <v>2121.3872832369943</v>
      </c>
      <c r="AA214" s="41">
        <f>G214/'1. Väestöennuste'!I214*1000</f>
        <v>2951.2040557667938</v>
      </c>
      <c r="AB214" s="41">
        <f>H214/'1. Väestöennuste'!J214*1000</f>
        <v>2756.4344005021971</v>
      </c>
      <c r="AC214" s="41">
        <f>I214/'1. Väestöennuste'!K214*1000</f>
        <v>3224.0049049662784</v>
      </c>
      <c r="AD214" s="41">
        <f>J214/'1. Väestöennuste'!L214*1000</f>
        <v>5076.4525993883808</v>
      </c>
      <c r="AE214" s="41">
        <f>K214/'1. Väestöennuste'!M214*1000</f>
        <v>6591.7375455650053</v>
      </c>
      <c r="AF214" s="41">
        <f>L214/'1. Väestöennuste'!N214*1000</f>
        <v>6990.9172002995456</v>
      </c>
      <c r="AG214" s="41">
        <f>M214/'1. Väestöennuste'!O214*1000</f>
        <v>7228.0764312704468</v>
      </c>
      <c r="AH214" s="41">
        <f>N214/'1. Väestöennuste'!P214*1000</f>
        <v>7496.66453271915</v>
      </c>
      <c r="AI214" s="41">
        <f>O214/'1. Väestöennuste'!Q214*1000</f>
        <v>7753.472966049585</v>
      </c>
      <c r="AJ214" s="41">
        <f>P214/'1. Väestöennuste'!R214*1000</f>
        <v>7794.6590872074894</v>
      </c>
    </row>
    <row r="215" spans="1:36" x14ac:dyDescent="0.2">
      <c r="A215" s="30">
        <v>631</v>
      </c>
      <c r="B215" s="31" t="s">
        <v>529</v>
      </c>
      <c r="C215" s="81">
        <v>2465</v>
      </c>
      <c r="D215" s="46">
        <v>3185</v>
      </c>
      <c r="E215" s="46">
        <v>2955</v>
      </c>
      <c r="F215" s="46">
        <v>2575</v>
      </c>
      <c r="G215" s="80">
        <v>2325</v>
      </c>
      <c r="H215" s="80">
        <v>2075</v>
      </c>
      <c r="I215" s="80">
        <v>1825</v>
      </c>
      <c r="J215" s="80">
        <v>1574.9999999999995</v>
      </c>
      <c r="K215" s="80">
        <v>400</v>
      </c>
      <c r="L215" s="80">
        <f>K215-'Toim ja inv rahavirta'!L215</f>
        <v>675.13075930415869</v>
      </c>
      <c r="M215" s="80">
        <f>L215-'Toim ja inv rahavirta'!M215</f>
        <v>1223.4288643528616</v>
      </c>
      <c r="N215" s="80">
        <f>M215-'Toim ja inv rahavirta'!N215</f>
        <v>1823.1999287361982</v>
      </c>
      <c r="O215" s="80">
        <f>N215-'Toim ja inv rahavirta'!O215</f>
        <v>2486.4359448488103</v>
      </c>
      <c r="P215" s="80">
        <f>O215-'Toim ja inv rahavirta'!P215</f>
        <v>2960.9868661340788</v>
      </c>
      <c r="U215" s="34">
        <v>631</v>
      </c>
      <c r="V215" s="88" t="s">
        <v>529</v>
      </c>
      <c r="W215" s="41">
        <f>C215/'1. Väestöennuste'!E215*1000</f>
        <v>1154.0262172284642</v>
      </c>
      <c r="X215" s="41">
        <f>D215/'1. Väestöennuste'!F215*1000</f>
        <v>1534.9397590361446</v>
      </c>
      <c r="Y215" s="41">
        <f>E215/'1. Väestöennuste'!G215*1000</f>
        <v>1422.7250842561386</v>
      </c>
      <c r="Z215" s="41">
        <f>F215/'1. Väestöennuste'!H215*1000</f>
        <v>1269.7238658777121</v>
      </c>
      <c r="AA215" s="41">
        <f>G215/'1. Väestöennuste'!I215*1000</f>
        <v>1160.179640718563</v>
      </c>
      <c r="AB215" s="41">
        <f>H215/'1. Väestöennuste'!J215*1000</f>
        <v>1040.6218655967903</v>
      </c>
      <c r="AC215" s="41">
        <f>I215/'1. Väestöennuste'!K215*1000</f>
        <v>919.39546599496225</v>
      </c>
      <c r="AD215" s="41">
        <f>J215/'1. Väestöennuste'!L215*1000</f>
        <v>802.34335201222598</v>
      </c>
      <c r="AE215" s="41">
        <f>K215/'1. Väestöennuste'!M215*1000</f>
        <v>207.25388601036269</v>
      </c>
      <c r="AF215" s="41">
        <f>L215/'1. Väestöennuste'!N215*1000</f>
        <v>354.77181256130251</v>
      </c>
      <c r="AG215" s="41">
        <f>M215/'1. Väestöennuste'!O215*1000</f>
        <v>649.72324182308103</v>
      </c>
      <c r="AH215" s="41">
        <f>N215/'1. Väestöennuste'!P215*1000</f>
        <v>978.63656936994005</v>
      </c>
      <c r="AI215" s="41">
        <f>O215/'1. Väestöennuste'!Q215*1000</f>
        <v>1349.8566475835019</v>
      </c>
      <c r="AJ215" s="41">
        <f>P215/'1. Väestöennuste'!R215*1000</f>
        <v>1626.0224415892799</v>
      </c>
    </row>
    <row r="216" spans="1:36" x14ac:dyDescent="0.2">
      <c r="A216" s="30">
        <v>635</v>
      </c>
      <c r="B216" s="31" t="s">
        <v>530</v>
      </c>
      <c r="C216" s="81">
        <v>5146</v>
      </c>
      <c r="D216" s="46">
        <v>4482</v>
      </c>
      <c r="E216" s="46">
        <v>7861</v>
      </c>
      <c r="F216" s="46">
        <v>11473</v>
      </c>
      <c r="G216" s="80">
        <v>10424</v>
      </c>
      <c r="H216" s="80">
        <v>9527</v>
      </c>
      <c r="I216" s="80">
        <v>8630.3077699999994</v>
      </c>
      <c r="J216" s="80">
        <v>7732.8719299999993</v>
      </c>
      <c r="K216" s="80">
        <v>6836.4226499999995</v>
      </c>
      <c r="L216" s="80">
        <f>K216-'Toim ja inv rahavirta'!L216</f>
        <v>8386.1780782532551</v>
      </c>
      <c r="M216" s="80">
        <f>L216-'Toim ja inv rahavirta'!M216</f>
        <v>9898.5083497357773</v>
      </c>
      <c r="N216" s="80">
        <f>M216-'Toim ja inv rahavirta'!N216</f>
        <v>11587.851096566763</v>
      </c>
      <c r="O216" s="80">
        <f>N216-'Toim ja inv rahavirta'!O216</f>
        <v>13251.875387350981</v>
      </c>
      <c r="P216" s="80">
        <f>O216-'Toim ja inv rahavirta'!P216</f>
        <v>14315.070513208644</v>
      </c>
      <c r="U216" s="34">
        <v>635</v>
      </c>
      <c r="V216" s="88" t="s">
        <v>530</v>
      </c>
      <c r="W216" s="41">
        <f>C216/'1. Väestöennuste'!E216*1000</f>
        <v>770.82085080886748</v>
      </c>
      <c r="X216" s="41">
        <f>D216/'1. Väestöennuste'!F216*1000</f>
        <v>676.32412856496148</v>
      </c>
      <c r="Y216" s="41">
        <f>E216/'1. Väestöennuste'!G216*1000</f>
        <v>1197.04583523679</v>
      </c>
      <c r="Z216" s="41">
        <f>F216/'1. Väestöennuste'!H216*1000</f>
        <v>1765.3485151561779</v>
      </c>
      <c r="AA216" s="41">
        <f>G216/'1. Väestöennuste'!I216*1000</f>
        <v>1619.8912198912199</v>
      </c>
      <c r="AB216" s="41">
        <f>H216/'1. Väestöennuste'!J216*1000</f>
        <v>1485.1130163678879</v>
      </c>
      <c r="AC216" s="41">
        <f>I216/'1. Väestöennuste'!K216*1000</f>
        <v>1340.3180260910078</v>
      </c>
      <c r="AD216" s="41">
        <f>J216/'1. Väestöennuste'!L216*1000</f>
        <v>1218.3507058452813</v>
      </c>
      <c r="AE216" s="41">
        <f>K216/'1. Väestöennuste'!M216*1000</f>
        <v>1078.8105807164272</v>
      </c>
      <c r="AF216" s="41">
        <f>L216/'1. Väestöennuste'!N216*1000</f>
        <v>1353.4825820292535</v>
      </c>
      <c r="AG216" s="41">
        <f>M216/'1. Väestöennuste'!O216*1000</f>
        <v>1610.2990645413661</v>
      </c>
      <c r="AH216" s="41">
        <f>N216/'1. Väestöennuste'!P216*1000</f>
        <v>1898.4028664100201</v>
      </c>
      <c r="AI216" s="41">
        <f>O216/'1. Väestöennuste'!Q216*1000</f>
        <v>2185.6960889577736</v>
      </c>
      <c r="AJ216" s="41">
        <f>P216/'1. Väestöennuste'!R216*1000</f>
        <v>2375.9453133956258</v>
      </c>
    </row>
    <row r="217" spans="1:36" x14ac:dyDescent="0.2">
      <c r="A217" s="30">
        <v>636</v>
      </c>
      <c r="B217" s="31" t="s">
        <v>531</v>
      </c>
      <c r="C217" s="81">
        <v>11198</v>
      </c>
      <c r="D217" s="46">
        <v>9900</v>
      </c>
      <c r="E217" s="46">
        <v>7896</v>
      </c>
      <c r="F217" s="46">
        <v>12112</v>
      </c>
      <c r="G217" s="80">
        <v>21298</v>
      </c>
      <c r="H217" s="80">
        <v>16748</v>
      </c>
      <c r="I217" s="80">
        <v>14879.50801</v>
      </c>
      <c r="J217" s="80">
        <v>13180.0895</v>
      </c>
      <c r="K217" s="80">
        <v>10904.122300000001</v>
      </c>
      <c r="L217" s="80">
        <f>K217-'Toim ja inv rahavirta'!L217</f>
        <v>9973.6269980955658</v>
      </c>
      <c r="M217" s="80">
        <f>L217-'Toim ja inv rahavirta'!M217</f>
        <v>8472.5051707660768</v>
      </c>
      <c r="N217" s="80">
        <f>M217-'Toim ja inv rahavirta'!N217</f>
        <v>7309.890025366517</v>
      </c>
      <c r="O217" s="80">
        <f>N217-'Toim ja inv rahavirta'!O217</f>
        <v>5935.4806963072915</v>
      </c>
      <c r="P217" s="80">
        <f>O217-'Toim ja inv rahavirta'!P217</f>
        <v>3895.6569174724104</v>
      </c>
      <c r="U217" s="34">
        <v>636</v>
      </c>
      <c r="V217" s="88" t="s">
        <v>531</v>
      </c>
      <c r="W217" s="41">
        <f>C217/'1. Väestöennuste'!E217*1000</f>
        <v>1307.871992525111</v>
      </c>
      <c r="X217" s="41">
        <f>D217/'1. Väestöennuste'!F217*1000</f>
        <v>1164.294954721863</v>
      </c>
      <c r="Y217" s="41">
        <f>E217/'1. Väestöennuste'!G217*1000</f>
        <v>937.54452624079784</v>
      </c>
      <c r="Z217" s="41">
        <f>F217/'1. Väestöennuste'!H217*1000</f>
        <v>1453.4981399255971</v>
      </c>
      <c r="AA217" s="41">
        <f>G217/'1. Väestöennuste'!I217*1000</f>
        <v>2573.4654422426293</v>
      </c>
      <c r="AB217" s="41">
        <f>H217/'1. Väestöennuste'!J217*1000</f>
        <v>2035.2412200753433</v>
      </c>
      <c r="AC217" s="41">
        <f>I217/'1. Väestöennuste'!K217*1000</f>
        <v>1809.7188044271466</v>
      </c>
      <c r="AD217" s="41">
        <f>J217/'1. Väestöennuste'!L217*1000</f>
        <v>1616.3955727250429</v>
      </c>
      <c r="AE217" s="41">
        <f>K217/'1. Väestöennuste'!M217*1000</f>
        <v>1341.2204551045513</v>
      </c>
      <c r="AF217" s="41">
        <f>L217/'1. Väestöennuste'!N217*1000</f>
        <v>1248.1074956946022</v>
      </c>
      <c r="AG217" s="41">
        <f>M217/'1. Väestöennuste'!O217*1000</f>
        <v>1066.5288482837459</v>
      </c>
      <c r="AH217" s="41">
        <f>N217/'1. Väestöennuste'!P217*1000</f>
        <v>925.53684798259269</v>
      </c>
      <c r="AI217" s="41">
        <f>O217/'1. Väestöennuste'!Q217*1000</f>
        <v>755.72710673634981</v>
      </c>
      <c r="AJ217" s="41">
        <f>P217/'1. Väestöennuste'!R217*1000</f>
        <v>499.12324375046899</v>
      </c>
    </row>
    <row r="218" spans="1:36" x14ac:dyDescent="0.2">
      <c r="A218" s="30">
        <v>638</v>
      </c>
      <c r="B218" s="31" t="s">
        <v>532</v>
      </c>
      <c r="C218" s="81">
        <v>120162</v>
      </c>
      <c r="D218" s="46">
        <v>117863</v>
      </c>
      <c r="E218" s="46">
        <v>144999</v>
      </c>
      <c r="F218" s="46">
        <v>163048</v>
      </c>
      <c r="G218" s="80">
        <v>171672</v>
      </c>
      <c r="H218" s="80">
        <v>155280</v>
      </c>
      <c r="I218" s="80">
        <v>140324.32004000002</v>
      </c>
      <c r="J218" s="80">
        <v>86930.961779999998</v>
      </c>
      <c r="K218" s="80">
        <v>74597.607810000001</v>
      </c>
      <c r="L218" s="80">
        <f>K218-'Toim ja inv rahavirta'!L218</f>
        <v>76109.332499890166</v>
      </c>
      <c r="M218" s="80">
        <f>L218-'Toim ja inv rahavirta'!M218</f>
        <v>87187.929487148533</v>
      </c>
      <c r="N218" s="80">
        <f>M218-'Toim ja inv rahavirta'!N218</f>
        <v>103251.45963577571</v>
      </c>
      <c r="O218" s="80">
        <f>N218-'Toim ja inv rahavirta'!O218</f>
        <v>120985.7436504644</v>
      </c>
      <c r="P218" s="80">
        <f>O218-'Toim ja inv rahavirta'!P218</f>
        <v>138000.0688732985</v>
      </c>
      <c r="U218" s="34">
        <v>638</v>
      </c>
      <c r="V218" s="88" t="s">
        <v>532</v>
      </c>
      <c r="W218" s="41">
        <f>C218/'1. Väestöennuste'!E218*1000</f>
        <v>2406.7056561448489</v>
      </c>
      <c r="X218" s="41">
        <f>D218/'1. Väestöennuste'!F218*1000</f>
        <v>2350.4905871091255</v>
      </c>
      <c r="Y218" s="41">
        <f>E218/'1. Väestöennuste'!G218*1000</f>
        <v>2890.787296397456</v>
      </c>
      <c r="Z218" s="41">
        <f>F218/'1. Väestöennuste'!H218*1000</f>
        <v>3243.961641001154</v>
      </c>
      <c r="AA218" s="41">
        <f>G218/'1. Väestöennuste'!I218*1000</f>
        <v>3407.5426756649467</v>
      </c>
      <c r="AB218" s="41">
        <f>H218/'1. Väestöennuste'!J218*1000</f>
        <v>3067.6228293723698</v>
      </c>
      <c r="AC218" s="41">
        <f>I218/'1. Väestöennuste'!K218*1000</f>
        <v>2743.442101311854</v>
      </c>
      <c r="AD218" s="41">
        <f>J218/'1. Väestöennuste'!L218*1000</f>
        <v>1696.8098411149281</v>
      </c>
      <c r="AE218" s="41">
        <f>K218/'1. Väestöennuste'!M218*1000</f>
        <v>1454.4562734699448</v>
      </c>
      <c r="AF218" s="41">
        <f>L218/'1. Väestöennuste'!N218*1000</f>
        <v>1482.2835761284261</v>
      </c>
      <c r="AG218" s="41">
        <f>M218/'1. Väestöennuste'!O218*1000</f>
        <v>1693.4298544681765</v>
      </c>
      <c r="AH218" s="41">
        <f>N218/'1. Väestöennuste'!P218*1000</f>
        <v>2000.2219999181659</v>
      </c>
      <c r="AI218" s="41">
        <f>O218/'1. Väestöennuste'!Q218*1000</f>
        <v>2338.3406194523463</v>
      </c>
      <c r="AJ218" s="41">
        <f>P218/'1. Väestöennuste'!R218*1000</f>
        <v>2661.5762863950799</v>
      </c>
    </row>
    <row r="219" spans="1:36" x14ac:dyDescent="0.2">
      <c r="A219" s="30">
        <v>678</v>
      </c>
      <c r="B219" s="31" t="s">
        <v>533</v>
      </c>
      <c r="C219" s="81">
        <v>153403</v>
      </c>
      <c r="D219" s="46">
        <v>144269</v>
      </c>
      <c r="E219" s="46">
        <v>144609</v>
      </c>
      <c r="F219" s="46">
        <v>148522</v>
      </c>
      <c r="G219" s="80">
        <v>159883</v>
      </c>
      <c r="H219" s="80">
        <v>171020</v>
      </c>
      <c r="I219" s="80">
        <v>168213.72576</v>
      </c>
      <c r="J219" s="80">
        <v>165374.51180000001</v>
      </c>
      <c r="K219" s="80">
        <v>156805.35313999999</v>
      </c>
      <c r="L219" s="80">
        <f>K219-'Toim ja inv rahavirta'!L219</f>
        <v>154111.39975738217</v>
      </c>
      <c r="M219" s="80">
        <f>L219-'Toim ja inv rahavirta'!M219</f>
        <v>157070.87608698025</v>
      </c>
      <c r="N219" s="80">
        <f>M219-'Toim ja inv rahavirta'!N219</f>
        <v>162111.28676526973</v>
      </c>
      <c r="O219" s="80">
        <f>N219-'Toim ja inv rahavirta'!O219</f>
        <v>166994.99430473917</v>
      </c>
      <c r="P219" s="80">
        <f>O219-'Toim ja inv rahavirta'!P219</f>
        <v>170860.34139692463</v>
      </c>
      <c r="U219" s="34">
        <v>678</v>
      </c>
      <c r="V219" s="88" t="s">
        <v>533</v>
      </c>
      <c r="W219" s="41">
        <f>C219/'1. Väestöennuste'!E219*1000</f>
        <v>6095.8871448440295</v>
      </c>
      <c r="X219" s="41">
        <f>D219/'1. Väestöennuste'!F219*1000</f>
        <v>5768.4526189524186</v>
      </c>
      <c r="Y219" s="41">
        <f>E219/'1. Väestöennuste'!G219*1000</f>
        <v>5784.1286348546064</v>
      </c>
      <c r="Z219" s="41">
        <f>F219/'1. Väestöennuste'!H219*1000</f>
        <v>5986.1351819757365</v>
      </c>
      <c r="AA219" s="41">
        <f>G219/'1. Väestöennuste'!I219*1000</f>
        <v>6478.5039912476186</v>
      </c>
      <c r="AB219" s="41">
        <f>H219/'1. Väestöennuste'!J219*1000</f>
        <v>7022.5434238081552</v>
      </c>
      <c r="AC219" s="41">
        <f>I219/'1. Väestöennuste'!K219*1000</f>
        <v>6933.7891904369326</v>
      </c>
      <c r="AD219" s="41">
        <f>J219/'1. Väestöennuste'!L219*1000</f>
        <v>6869.7092925684383</v>
      </c>
      <c r="AE219" s="41">
        <f>K219/'1. Väestöennuste'!M219*1000</f>
        <v>6589.2907988401894</v>
      </c>
      <c r="AF219" s="41">
        <f>L219/'1. Väestöennuste'!N219*1000</f>
        <v>6516.8893672776621</v>
      </c>
      <c r="AG219" s="41">
        <f>M219/'1. Väestöennuste'!O219*1000</f>
        <v>6694.6925277887749</v>
      </c>
      <c r="AH219" s="41">
        <f>N219/'1. Väestöennuste'!P219*1000</f>
        <v>6965.937038727644</v>
      </c>
      <c r="AI219" s="41">
        <f>O219/'1. Väestöennuste'!Q219*1000</f>
        <v>7235.4850218691154</v>
      </c>
      <c r="AJ219" s="41">
        <f>P219/'1. Väestöennuste'!R219*1000</f>
        <v>7466.3669549433944</v>
      </c>
    </row>
    <row r="220" spans="1:36" x14ac:dyDescent="0.2">
      <c r="A220" s="30">
        <v>680</v>
      </c>
      <c r="B220" s="31" t="s">
        <v>534</v>
      </c>
      <c r="C220" s="81">
        <v>55265</v>
      </c>
      <c r="D220" s="46">
        <v>51182</v>
      </c>
      <c r="E220" s="46">
        <v>58980</v>
      </c>
      <c r="F220" s="46">
        <v>61430</v>
      </c>
      <c r="G220" s="80">
        <v>63528</v>
      </c>
      <c r="H220" s="80">
        <v>57094</v>
      </c>
      <c r="I220" s="80">
        <v>49925.641920000002</v>
      </c>
      <c r="J220" s="80">
        <v>41929.082240000003</v>
      </c>
      <c r="K220" s="80">
        <v>49737.284939999998</v>
      </c>
      <c r="L220" s="80">
        <f>K220-'Toim ja inv rahavirta'!L220</f>
        <v>63363.886925217092</v>
      </c>
      <c r="M220" s="80">
        <f>L220-'Toim ja inv rahavirta'!M220</f>
        <v>78691.857837662683</v>
      </c>
      <c r="N220" s="80">
        <f>M220-'Toim ja inv rahavirta'!N220</f>
        <v>95264.668812767777</v>
      </c>
      <c r="O220" s="80">
        <f>N220-'Toim ja inv rahavirta'!O220</f>
        <v>112689.1309664305</v>
      </c>
      <c r="P220" s="80">
        <f>O220-'Toim ja inv rahavirta'!P220</f>
        <v>129945.68960524444</v>
      </c>
      <c r="U220" s="34">
        <v>680</v>
      </c>
      <c r="V220" s="88" t="s">
        <v>534</v>
      </c>
      <c r="W220" s="41">
        <f>C220/'1. Väestöennuste'!E220*1000</f>
        <v>2275.2161383285302</v>
      </c>
      <c r="X220" s="41">
        <f>D220/'1. Väestöennuste'!F220*1000</f>
        <v>2107.7296874356548</v>
      </c>
      <c r="Y220" s="41">
        <f>E220/'1. Väestöennuste'!G220*1000</f>
        <v>2433.7707353305277</v>
      </c>
      <c r="Z220" s="41">
        <f>F220/'1. Väestöennuste'!H220*1000</f>
        <v>2540.7395152618083</v>
      </c>
      <c r="AA220" s="41">
        <f>G220/'1. Väestöennuste'!I220*1000</f>
        <v>2640.8380445626867</v>
      </c>
      <c r="AB220" s="41">
        <f>H220/'1. Väestöennuste'!J220*1000</f>
        <v>2339.2469373540375</v>
      </c>
      <c r="AC220" s="41">
        <f>I220/'1. Väestöennuste'!K220*1000</f>
        <v>2012.3193035066506</v>
      </c>
      <c r="AD220" s="41">
        <f>J220/'1. Väestöennuste'!L220*1000</f>
        <v>1681.0633565872827</v>
      </c>
      <c r="AE220" s="41">
        <f>K220/'1. Väestöennuste'!M220*1000</f>
        <v>1963.4947274091035</v>
      </c>
      <c r="AF220" s="41">
        <f>L220/'1. Väestöennuste'!N220*1000</f>
        <v>2581.329161413496</v>
      </c>
      <c r="AG220" s="41">
        <f>M220/'1. Väestöennuste'!O220*1000</f>
        <v>3199.6364087851784</v>
      </c>
      <c r="AH220" s="41">
        <f>N220/'1. Väestöennuste'!P220*1000</f>
        <v>3866.7316967474849</v>
      </c>
      <c r="AI220" s="41">
        <f>O220/'1. Väestöennuste'!Q220*1000</f>
        <v>4566.1951848304434</v>
      </c>
      <c r="AJ220" s="41">
        <f>P220/'1. Väestöennuste'!R220*1000</f>
        <v>5255.8521924140287</v>
      </c>
    </row>
    <row r="221" spans="1:36" x14ac:dyDescent="0.2">
      <c r="A221" s="30">
        <v>681</v>
      </c>
      <c r="B221" s="31" t="s">
        <v>535</v>
      </c>
      <c r="C221" s="81">
        <v>12259</v>
      </c>
      <c r="D221" s="46">
        <v>10912</v>
      </c>
      <c r="E221" s="46">
        <v>10539</v>
      </c>
      <c r="F221" s="46">
        <v>11073</v>
      </c>
      <c r="G221" s="80">
        <v>11102</v>
      </c>
      <c r="H221" s="80">
        <v>8639</v>
      </c>
      <c r="I221" s="80">
        <v>6759.3902800000005</v>
      </c>
      <c r="J221" s="80">
        <v>5714.8651999999993</v>
      </c>
      <c r="K221" s="80">
        <v>6443.2881200000002</v>
      </c>
      <c r="L221" s="80">
        <f>K221-'Toim ja inv rahavirta'!L221</f>
        <v>6908.236323929812</v>
      </c>
      <c r="M221" s="80">
        <f>L221-'Toim ja inv rahavirta'!M221</f>
        <v>8067.7663314950105</v>
      </c>
      <c r="N221" s="80">
        <f>M221-'Toim ja inv rahavirta'!N221</f>
        <v>9267.6362338991148</v>
      </c>
      <c r="O221" s="80">
        <f>N221-'Toim ja inv rahavirta'!O221</f>
        <v>10444.031111558092</v>
      </c>
      <c r="P221" s="80">
        <f>O221-'Toim ja inv rahavirta'!P221</f>
        <v>11366.39632718808</v>
      </c>
      <c r="U221" s="34">
        <v>681</v>
      </c>
      <c r="V221" s="88" t="s">
        <v>535</v>
      </c>
      <c r="W221" s="41">
        <f>C221/'1. Väestöennuste'!E221*1000</f>
        <v>3283.9539244575408</v>
      </c>
      <c r="X221" s="41">
        <f>D221/'1. Väestöennuste'!F221*1000</f>
        <v>2990.408331049603</v>
      </c>
      <c r="Y221" s="41">
        <f>E221/'1. Väestöennuste'!G221*1000</f>
        <v>2966.2257247396569</v>
      </c>
      <c r="Z221" s="41">
        <f>F221/'1. Väestöennuste'!H221*1000</f>
        <v>3151.10984632897</v>
      </c>
      <c r="AA221" s="41">
        <f>G221/'1. Väestöennuste'!I221*1000</f>
        <v>3235.7913144855725</v>
      </c>
      <c r="AB221" s="41">
        <f>H221/'1. Väestöennuste'!J221*1000</f>
        <v>2568.0737217598098</v>
      </c>
      <c r="AC221" s="41">
        <f>I221/'1. Väestöennuste'!K221*1000</f>
        <v>2029.846930930931</v>
      </c>
      <c r="AD221" s="41">
        <f>J221/'1. Väestöennuste'!L221*1000</f>
        <v>1727.5892382103989</v>
      </c>
      <c r="AE221" s="41">
        <f>K221/'1. Väestöennuste'!M221*1000</f>
        <v>1954.288177130725</v>
      </c>
      <c r="AF221" s="41">
        <f>L221/'1. Väestöennuste'!N221*1000</f>
        <v>2224.1585073824249</v>
      </c>
      <c r="AG221" s="41">
        <f>M221/'1. Väestöennuste'!O221*1000</f>
        <v>2643.4358884321791</v>
      </c>
      <c r="AH221" s="41">
        <f>N221/'1. Väestöennuste'!P221*1000</f>
        <v>3084.0719580363111</v>
      </c>
      <c r="AI221" s="41">
        <f>O221/'1. Väestöennuste'!Q221*1000</f>
        <v>3529.5813151598827</v>
      </c>
      <c r="AJ221" s="41">
        <f>P221/'1. Väestöennuste'!R221*1000</f>
        <v>3900.6164472162254</v>
      </c>
    </row>
    <row r="222" spans="1:36" x14ac:dyDescent="0.2">
      <c r="A222" s="30">
        <v>683</v>
      </c>
      <c r="B222" s="31" t="s">
        <v>536</v>
      </c>
      <c r="C222" s="81">
        <v>5134</v>
      </c>
      <c r="D222" s="46">
        <v>4651</v>
      </c>
      <c r="E222" s="46">
        <v>4160</v>
      </c>
      <c r="F222" s="46">
        <v>3741</v>
      </c>
      <c r="G222" s="80">
        <v>3380</v>
      </c>
      <c r="H222" s="80">
        <v>3035</v>
      </c>
      <c r="I222" s="80">
        <v>2689.6779999999999</v>
      </c>
      <c r="J222" s="80">
        <v>2344.8539999999998</v>
      </c>
      <c r="K222" s="80">
        <v>11500.03</v>
      </c>
      <c r="L222" s="80">
        <f>K222-'Toim ja inv rahavirta'!L222</f>
        <v>14050.816609825371</v>
      </c>
      <c r="M222" s="80">
        <f>L222-'Toim ja inv rahavirta'!M222</f>
        <v>18131.57444590444</v>
      </c>
      <c r="N222" s="80">
        <f>M222-'Toim ja inv rahavirta'!N222</f>
        <v>22532.615515801815</v>
      </c>
      <c r="O222" s="80">
        <f>N222-'Toim ja inv rahavirta'!O222</f>
        <v>27500.039339305582</v>
      </c>
      <c r="P222" s="80">
        <f>O222-'Toim ja inv rahavirta'!P222</f>
        <v>32256.112293899751</v>
      </c>
      <c r="U222" s="34">
        <v>683</v>
      </c>
      <c r="V222" s="88" t="s">
        <v>536</v>
      </c>
      <c r="W222" s="41">
        <f>C222/'1. Väestöennuste'!E222*1000</f>
        <v>1277.1144278606964</v>
      </c>
      <c r="X222" s="41">
        <f>D222/'1. Väestöennuste'!F222*1000</f>
        <v>1156.1024111359682</v>
      </c>
      <c r="Y222" s="41">
        <f>E222/'1. Väestöennuste'!G222*1000</f>
        <v>1047.3313192346425</v>
      </c>
      <c r="Z222" s="41">
        <f>F222/'1. Väestöennuste'!H222*1000</f>
        <v>960.2156057494866</v>
      </c>
      <c r="AA222" s="41">
        <f>G222/'1. Väestöennuste'!I222*1000</f>
        <v>893.47079037800688</v>
      </c>
      <c r="AB222" s="41">
        <f>H222/'1. Väestöennuste'!J222*1000</f>
        <v>817.61853448275872</v>
      </c>
      <c r="AC222" s="41">
        <f>I222/'1. Väestöennuste'!K222*1000</f>
        <v>732.88228882833789</v>
      </c>
      <c r="AD222" s="41">
        <f>J222/'1. Väestöennuste'!L222*1000</f>
        <v>648.10779436152563</v>
      </c>
      <c r="AE222" s="41">
        <f>K222/'1. Väestöennuste'!M222*1000</f>
        <v>3195.3403723256461</v>
      </c>
      <c r="AF222" s="41">
        <f>L222/'1. Väestöennuste'!N222*1000</f>
        <v>4069.162064820554</v>
      </c>
      <c r="AG222" s="41">
        <f>M222/'1. Väestöennuste'!O222*1000</f>
        <v>5342.2435020343073</v>
      </c>
      <c r="AH222" s="41">
        <f>N222/'1. Väestöennuste'!P222*1000</f>
        <v>6752.357061972375</v>
      </c>
      <c r="AI222" s="41">
        <f>O222/'1. Väestöennuste'!Q222*1000</f>
        <v>8373.9462056350731</v>
      </c>
      <c r="AJ222" s="41">
        <f>P222/'1. Väestöennuste'!R222*1000</f>
        <v>9980.2327642016553</v>
      </c>
    </row>
    <row r="223" spans="1:36" x14ac:dyDescent="0.2">
      <c r="A223" s="30">
        <v>684</v>
      </c>
      <c r="B223" s="31" t="s">
        <v>537</v>
      </c>
      <c r="C223" s="81">
        <v>1797</v>
      </c>
      <c r="D223" s="46">
        <v>14726</v>
      </c>
      <c r="E223" s="46">
        <v>11490</v>
      </c>
      <c r="F223" s="46">
        <v>21254</v>
      </c>
      <c r="G223" s="80">
        <v>60926</v>
      </c>
      <c r="H223" s="80">
        <v>50334</v>
      </c>
      <c r="I223" s="80">
        <v>64766.67</v>
      </c>
      <c r="J223" s="80">
        <v>57200.004000000001</v>
      </c>
      <c r="K223" s="80">
        <v>79633.338000000003</v>
      </c>
      <c r="L223" s="80">
        <f>K223-'Toim ja inv rahavirta'!L223</f>
        <v>100860.72156633582</v>
      </c>
      <c r="M223" s="80">
        <f>L223-'Toim ja inv rahavirta'!M223</f>
        <v>124971.70502943266</v>
      </c>
      <c r="N223" s="80">
        <f>M223-'Toim ja inv rahavirta'!N223</f>
        <v>148405.6535535733</v>
      </c>
      <c r="O223" s="80">
        <f>N223-'Toim ja inv rahavirta'!O223</f>
        <v>172410.05258984538</v>
      </c>
      <c r="P223" s="80">
        <f>O223-'Toim ja inv rahavirta'!P223</f>
        <v>195586.46472387275</v>
      </c>
      <c r="U223" s="34">
        <v>684</v>
      </c>
      <c r="V223" s="88" t="s">
        <v>537</v>
      </c>
      <c r="W223" s="41">
        <f>C223/'1. Väestöennuste'!E223*1000</f>
        <v>45.140546107664093</v>
      </c>
      <c r="X223" s="41">
        <f>D223/'1. Väestöennuste'!F223*1000</f>
        <v>371.73726460342306</v>
      </c>
      <c r="Y223" s="41">
        <f>E223/'1. Väestöennuste'!G223*1000</f>
        <v>290.00504795557799</v>
      </c>
      <c r="Z223" s="41">
        <f>F223/'1. Väestöennuste'!H223*1000</f>
        <v>539.98983739837399</v>
      </c>
      <c r="AA223" s="41">
        <f>G223/'1. Väestöennuste'!I223*1000</f>
        <v>1554.0364749394212</v>
      </c>
      <c r="AB223" s="41">
        <f>H223/'1. Väestöennuste'!J223*1000</f>
        <v>1289.2930327868853</v>
      </c>
      <c r="AC223" s="41">
        <f>I223/'1. Väestöennuste'!K223*1000</f>
        <v>1662.4315305834339</v>
      </c>
      <c r="AD223" s="41">
        <f>J223/'1. Väestöennuste'!L223*1000</f>
        <v>1479.2976957095198</v>
      </c>
      <c r="AE223" s="41">
        <f>K223/'1. Väestöennuste'!M223*1000</f>
        <v>2050.7143077873916</v>
      </c>
      <c r="AF223" s="41">
        <f>L223/'1. Väestöennuste'!N223*1000</f>
        <v>2621.5293852039254</v>
      </c>
      <c r="AG223" s="41">
        <f>M223/'1. Väestöennuste'!O223*1000</f>
        <v>3262.0319237146682</v>
      </c>
      <c r="AH223" s="41">
        <f>N223/'1. Väestöennuste'!P223*1000</f>
        <v>3890.3623759030406</v>
      </c>
      <c r="AI223" s="41">
        <f>O223/'1. Väestöennuste'!Q223*1000</f>
        <v>4539.3763352688284</v>
      </c>
      <c r="AJ223" s="41">
        <f>P223/'1. Väestöennuste'!R223*1000</f>
        <v>5171.7823450175247</v>
      </c>
    </row>
    <row r="224" spans="1:36" x14ac:dyDescent="0.2">
      <c r="A224" s="30">
        <v>686</v>
      </c>
      <c r="B224" s="31" t="s">
        <v>538</v>
      </c>
      <c r="C224" s="81">
        <v>10183</v>
      </c>
      <c r="D224" s="46">
        <v>8880</v>
      </c>
      <c r="E224" s="46">
        <v>10126</v>
      </c>
      <c r="F224" s="46">
        <v>11702</v>
      </c>
      <c r="G224" s="80">
        <v>12343</v>
      </c>
      <c r="H224" s="80">
        <v>12552</v>
      </c>
      <c r="I224" s="80">
        <v>16441.930559999997</v>
      </c>
      <c r="J224" s="80">
        <v>11351.102140000001</v>
      </c>
      <c r="K224" s="80">
        <v>10102.574000000001</v>
      </c>
      <c r="L224" s="80">
        <f>K224-'Toim ja inv rahavirta'!L224</f>
        <v>9276.6078516093112</v>
      </c>
      <c r="M224" s="80">
        <f>L224-'Toim ja inv rahavirta'!M224</f>
        <v>9512.3182832004786</v>
      </c>
      <c r="N224" s="80">
        <f>M224-'Toim ja inv rahavirta'!N224</f>
        <v>9917.154562255193</v>
      </c>
      <c r="O224" s="80">
        <f>N224-'Toim ja inv rahavirta'!O224</f>
        <v>10495.335633660057</v>
      </c>
      <c r="P224" s="80">
        <f>O224-'Toim ja inv rahavirta'!P224</f>
        <v>10807.11676650918</v>
      </c>
      <c r="U224" s="34">
        <v>686</v>
      </c>
      <c r="V224" s="88" t="s">
        <v>538</v>
      </c>
      <c r="W224" s="41">
        <f>C224/'1. Väestöennuste'!E224*1000</f>
        <v>3082.9548894943991</v>
      </c>
      <c r="X224" s="41">
        <f>D224/'1. Väestöennuste'!F224*1000</f>
        <v>2700.7299270072995</v>
      </c>
      <c r="Y224" s="41">
        <f>E224/'1. Väestöennuste'!G224*1000</f>
        <v>3110.9062980030726</v>
      </c>
      <c r="Z224" s="41">
        <f>F224/'1. Väestöennuste'!H224*1000</f>
        <v>3661.4518147684607</v>
      </c>
      <c r="AA224" s="41">
        <f>G224/'1. Väestöennuste'!I224*1000</f>
        <v>3954.8221723806473</v>
      </c>
      <c r="AB224" s="41">
        <f>H224/'1. Väestöennuste'!J224*1000</f>
        <v>4111.3658696364237</v>
      </c>
      <c r="AC224" s="41">
        <f>I224/'1. Väestöennuste'!K224*1000</f>
        <v>5421.0123837784358</v>
      </c>
      <c r="AD224" s="41">
        <f>J224/'1. Väestöennuste'!L224*1000</f>
        <v>3829.6565924426454</v>
      </c>
      <c r="AE224" s="41">
        <f>K224/'1. Väestöennuste'!M224*1000</f>
        <v>3444.4507330378451</v>
      </c>
      <c r="AF224" s="41">
        <f>L224/'1. Väestöennuste'!N224*1000</f>
        <v>3235.6497564036663</v>
      </c>
      <c r="AG224" s="41">
        <f>M224/'1. Väestöennuste'!O224*1000</f>
        <v>3373.1625117732196</v>
      </c>
      <c r="AH224" s="41">
        <f>N224/'1. Väestöennuste'!P224*1000</f>
        <v>3567.3217849838825</v>
      </c>
      <c r="AI224" s="41">
        <f>O224/'1. Väestöennuste'!Q224*1000</f>
        <v>3827.6205812035219</v>
      </c>
      <c r="AJ224" s="41">
        <f>P224/'1. Väestöennuste'!R224*1000</f>
        <v>3996.7147805137502</v>
      </c>
    </row>
    <row r="225" spans="1:36" x14ac:dyDescent="0.2">
      <c r="A225" s="30">
        <v>687</v>
      </c>
      <c r="B225" s="31" t="s">
        <v>539</v>
      </c>
      <c r="C225" s="81">
        <v>10930</v>
      </c>
      <c r="D225" s="46">
        <v>13744</v>
      </c>
      <c r="E225" s="46">
        <v>12643</v>
      </c>
      <c r="F225" s="46">
        <v>11114</v>
      </c>
      <c r="G225" s="80">
        <v>10782</v>
      </c>
      <c r="H225" s="80">
        <v>9351</v>
      </c>
      <c r="I225" s="80">
        <v>7917.5547099999994</v>
      </c>
      <c r="J225" s="80">
        <v>6480.5887100000009</v>
      </c>
      <c r="K225" s="80">
        <v>5539.3227100000004</v>
      </c>
      <c r="L225" s="80">
        <f>K225-'Toim ja inv rahavirta'!L225</f>
        <v>5062.9935294677134</v>
      </c>
      <c r="M225" s="80">
        <f>L225-'Toim ja inv rahavirta'!M225</f>
        <v>4629.441076432061</v>
      </c>
      <c r="N225" s="80">
        <f>M225-'Toim ja inv rahavirta'!N225</f>
        <v>4284.8680661498774</v>
      </c>
      <c r="O225" s="80">
        <f>N225-'Toim ja inv rahavirta'!O225</f>
        <v>3974.3814405955718</v>
      </c>
      <c r="P225" s="80">
        <f>O225-'Toim ja inv rahavirta'!P225</f>
        <v>3485.9857906842835</v>
      </c>
      <c r="U225" s="34">
        <v>687</v>
      </c>
      <c r="V225" s="88" t="s">
        <v>539</v>
      </c>
      <c r="W225" s="41">
        <f>C225/'1. Väestöennuste'!E225*1000</f>
        <v>6292.4582613701787</v>
      </c>
      <c r="X225" s="41">
        <f>D225/'1. Väestöennuste'!F225*1000</f>
        <v>7976.7846778874064</v>
      </c>
      <c r="Y225" s="41">
        <f>E225/'1. Väestöennuste'!G225*1000</f>
        <v>7445.8186101295641</v>
      </c>
      <c r="Z225" s="41">
        <f>F225/'1. Väestöennuste'!H225*1000</f>
        <v>6731.67777104785</v>
      </c>
      <c r="AA225" s="41">
        <f>G225/'1. Väestöennuste'!I225*1000</f>
        <v>6730.3370786516853</v>
      </c>
      <c r="AB225" s="41">
        <f>H225/'1. Väestöennuste'!J225*1000</f>
        <v>5990.3907751441384</v>
      </c>
      <c r="AC225" s="41">
        <f>I225/'1. Väestöennuste'!K225*1000</f>
        <v>5233.0169927296756</v>
      </c>
      <c r="AD225" s="41">
        <f>J225/'1. Väestöennuste'!L225*1000</f>
        <v>4387.6700812457693</v>
      </c>
      <c r="AE225" s="41">
        <f>K225/'1. Väestöennuste'!M225*1000</f>
        <v>3889.9738132022476</v>
      </c>
      <c r="AF225" s="41">
        <f>L225/'1. Väestöennuste'!N225*1000</f>
        <v>3528.2184874339468</v>
      </c>
      <c r="AG225" s="41">
        <f>M225/'1. Väestöennuste'!O225*1000</f>
        <v>3287.955309965952</v>
      </c>
      <c r="AH225" s="41">
        <f>N225/'1. Väestöennuste'!P225*1000</f>
        <v>3102.7285055393754</v>
      </c>
      <c r="AI225" s="41">
        <f>O225/'1. Väestöennuste'!Q225*1000</f>
        <v>2933.1228343878756</v>
      </c>
      <c r="AJ225" s="41">
        <f>P225/'1. Väestöennuste'!R225*1000</f>
        <v>2619.0727202736916</v>
      </c>
    </row>
    <row r="226" spans="1:36" x14ac:dyDescent="0.2">
      <c r="A226" s="30">
        <v>689</v>
      </c>
      <c r="B226" s="31" t="s">
        <v>540</v>
      </c>
      <c r="C226" s="81">
        <v>5300</v>
      </c>
      <c r="D226" s="46">
        <v>7776</v>
      </c>
      <c r="E226" s="46">
        <v>6120</v>
      </c>
      <c r="F226" s="46">
        <v>5864</v>
      </c>
      <c r="G226" s="80">
        <v>7008</v>
      </c>
      <c r="H226" s="80">
        <v>4716</v>
      </c>
      <c r="I226" s="80">
        <v>4232.3897000000006</v>
      </c>
      <c r="J226" s="80">
        <v>4133.8757000000005</v>
      </c>
      <c r="K226" s="80">
        <v>3570.7617</v>
      </c>
      <c r="L226" s="80">
        <f>K226-'Toim ja inv rahavirta'!L226</f>
        <v>3692.4213924422156</v>
      </c>
      <c r="M226" s="80">
        <f>L226-'Toim ja inv rahavirta'!M226</f>
        <v>4225.3725212939416</v>
      </c>
      <c r="N226" s="80">
        <f>M226-'Toim ja inv rahavirta'!N226</f>
        <v>4293.3221057584597</v>
      </c>
      <c r="O226" s="80">
        <f>N226-'Toim ja inv rahavirta'!O226</f>
        <v>4741.8265942383305</v>
      </c>
      <c r="P226" s="80">
        <f>O226-'Toim ja inv rahavirta'!P226</f>
        <v>4745.4091889294059</v>
      </c>
      <c r="U226" s="34">
        <v>689</v>
      </c>
      <c r="V226" s="88" t="s">
        <v>540</v>
      </c>
      <c r="W226" s="41">
        <f>C226/'1. Väestöennuste'!E226*1000</f>
        <v>1498.4450098953916</v>
      </c>
      <c r="X226" s="41">
        <f>D226/'1. Väestöennuste'!F226*1000</f>
        <v>2238.986467031385</v>
      </c>
      <c r="Y226" s="41">
        <f>E226/'1. Väestöennuste'!G226*1000</f>
        <v>1781.1408614668219</v>
      </c>
      <c r="Z226" s="41">
        <f>F226/'1. Väestöennuste'!H226*1000</f>
        <v>1758.3208395802098</v>
      </c>
      <c r="AA226" s="41">
        <f>G226/'1. Väestöennuste'!I226*1000</f>
        <v>2172.3496590204586</v>
      </c>
      <c r="AB226" s="41">
        <f>H226/'1. Väestöennuste'!J226*1000</f>
        <v>1499.0464081373173</v>
      </c>
      <c r="AC226" s="41">
        <f>I226/'1. Väestöennuste'!K226*1000</f>
        <v>1368.8194372574387</v>
      </c>
      <c r="AD226" s="41">
        <f>J226/'1. Väestöennuste'!L226*1000</f>
        <v>1336.5262528289688</v>
      </c>
      <c r="AE226" s="41">
        <f>K226/'1. Väestöennuste'!M226*1000</f>
        <v>1177.6918535620052</v>
      </c>
      <c r="AF226" s="41">
        <f>L226/'1. Väestöennuste'!N226*1000</f>
        <v>1291.5080071501279</v>
      </c>
      <c r="AG226" s="41">
        <f>M226/'1. Väestöennuste'!O226*1000</f>
        <v>1509.6007578756489</v>
      </c>
      <c r="AH226" s="41">
        <f>N226/'1. Väestöennuste'!P226*1000</f>
        <v>1565.7629853240189</v>
      </c>
      <c r="AI226" s="41">
        <f>O226/'1. Väestöennuste'!Q226*1000</f>
        <v>1763.416360817527</v>
      </c>
      <c r="AJ226" s="41">
        <f>P226/'1. Väestöennuste'!R226*1000</f>
        <v>1798.1846111896195</v>
      </c>
    </row>
    <row r="227" spans="1:36" x14ac:dyDescent="0.2">
      <c r="A227" s="30">
        <v>691</v>
      </c>
      <c r="B227" s="31" t="s">
        <v>541</v>
      </c>
      <c r="C227" s="81">
        <v>19710</v>
      </c>
      <c r="D227" s="46">
        <v>26569</v>
      </c>
      <c r="E227" s="46">
        <v>29560</v>
      </c>
      <c r="F227" s="46">
        <v>30188</v>
      </c>
      <c r="G227" s="80">
        <v>29976</v>
      </c>
      <c r="H227" s="80">
        <v>29533</v>
      </c>
      <c r="I227" s="80">
        <v>31968.89918</v>
      </c>
      <c r="J227" s="80">
        <v>28454.558609999996</v>
      </c>
      <c r="K227" s="80">
        <v>28538.409019999999</v>
      </c>
      <c r="L227" s="80">
        <f>K227-'Toim ja inv rahavirta'!L227</f>
        <v>27712.585199961381</v>
      </c>
      <c r="M227" s="80">
        <f>L227-'Toim ja inv rahavirta'!M227</f>
        <v>28189.866803146877</v>
      </c>
      <c r="N227" s="80">
        <f>M227-'Toim ja inv rahavirta'!N227</f>
        <v>28520.59791023401</v>
      </c>
      <c r="O227" s="80">
        <f>N227-'Toim ja inv rahavirta'!O227</f>
        <v>29020.161449610292</v>
      </c>
      <c r="P227" s="80">
        <f>O227-'Toim ja inv rahavirta'!P227</f>
        <v>29290.866299241716</v>
      </c>
      <c r="U227" s="34">
        <v>691</v>
      </c>
      <c r="V227" s="88" t="s">
        <v>541</v>
      </c>
      <c r="W227" s="41">
        <f>C227/'1. Väestöennuste'!E227*1000</f>
        <v>6810.6427090532134</v>
      </c>
      <c r="X227" s="41">
        <f>D227/'1. Väestöennuste'!F227*1000</f>
        <v>9309.3903293622971</v>
      </c>
      <c r="Y227" s="41">
        <f>E227/'1. Väestöennuste'!G227*1000</f>
        <v>10508.354070387486</v>
      </c>
      <c r="Z227" s="41">
        <f>F227/'1. Väestöennuste'!H227*1000</f>
        <v>11005.468465184105</v>
      </c>
      <c r="AA227" s="41">
        <f>G227/'1. Väestöennuste'!I227*1000</f>
        <v>11028.697571743929</v>
      </c>
      <c r="AB227" s="41">
        <f>H227/'1. Väestöennuste'!J227*1000</f>
        <v>10897.785977859778</v>
      </c>
      <c r="AC227" s="41">
        <f>I227/'1. Väestöennuste'!K227*1000</f>
        <v>11884.349137546469</v>
      </c>
      <c r="AD227" s="41">
        <f>J227/'1. Väestöennuste'!L227*1000</f>
        <v>10794.597348254931</v>
      </c>
      <c r="AE227" s="41">
        <f>K227/'1. Väestöennuste'!M227*1000</f>
        <v>10984.760977675136</v>
      </c>
      <c r="AF227" s="41">
        <f>L227/'1. Väestöennuste'!N227*1000</f>
        <v>10749.645151265082</v>
      </c>
      <c r="AG227" s="41">
        <f>M227/'1. Väestöennuste'!O227*1000</f>
        <v>11072.217911683769</v>
      </c>
      <c r="AH227" s="41">
        <f>N227/'1. Väestöennuste'!P227*1000</f>
        <v>11340.197976236186</v>
      </c>
      <c r="AI227" s="41">
        <f>O227/'1. Väestöennuste'!Q227*1000</f>
        <v>11673.435820438574</v>
      </c>
      <c r="AJ227" s="41">
        <f>P227/'1. Väestöennuste'!R227*1000</f>
        <v>11931.106435536341</v>
      </c>
    </row>
    <row r="228" spans="1:36" x14ac:dyDescent="0.2">
      <c r="A228" s="30">
        <v>694</v>
      </c>
      <c r="B228" s="31" t="s">
        <v>542</v>
      </c>
      <c r="C228" s="81">
        <v>118306</v>
      </c>
      <c r="D228" s="46">
        <v>120524</v>
      </c>
      <c r="E228" s="46">
        <v>118829</v>
      </c>
      <c r="F228" s="46">
        <v>115437</v>
      </c>
      <c r="G228" s="80">
        <v>76655</v>
      </c>
      <c r="H228" s="80">
        <v>69388</v>
      </c>
      <c r="I228" s="80">
        <v>64115.748000000007</v>
      </c>
      <c r="J228" s="80">
        <v>57493.341999999997</v>
      </c>
      <c r="K228" s="80">
        <v>69208.436000000002</v>
      </c>
      <c r="L228" s="80">
        <f>K228-'Toim ja inv rahavirta'!L228</f>
        <v>72069.481584804656</v>
      </c>
      <c r="M228" s="80">
        <f>L228-'Toim ja inv rahavirta'!M228</f>
        <v>81467.367106551566</v>
      </c>
      <c r="N228" s="80">
        <f>M228-'Toim ja inv rahavirta'!N228</f>
        <v>91850.972458032047</v>
      </c>
      <c r="O228" s="80">
        <f>N228-'Toim ja inv rahavirta'!O228</f>
        <v>102376.47171501021</v>
      </c>
      <c r="P228" s="80">
        <f>O228-'Toim ja inv rahavirta'!P228</f>
        <v>112331.47320211181</v>
      </c>
      <c r="U228" s="34">
        <v>694</v>
      </c>
      <c r="V228" s="88" t="s">
        <v>542</v>
      </c>
      <c r="W228" s="41">
        <f>C228/'1. Väestöennuste'!E228*1000</f>
        <v>4042.0239844203766</v>
      </c>
      <c r="X228" s="41">
        <f>D228/'1. Väestöennuste'!F228*1000</f>
        <v>4133.1961591220852</v>
      </c>
      <c r="Y228" s="41">
        <f>E228/'1. Väestöennuste'!G228*1000</f>
        <v>4094.58667861204</v>
      </c>
      <c r="Z228" s="41">
        <f>F228/'1. Väestöennuste'!H228*1000</f>
        <v>4017.1561804008907</v>
      </c>
      <c r="AA228" s="41">
        <f>G228/'1. Väestöennuste'!I228*1000</f>
        <v>2662.2790261521895</v>
      </c>
      <c r="AB228" s="41">
        <f>H228/'1. Väestöennuste'!J228*1000</f>
        <v>2416.8582375478927</v>
      </c>
      <c r="AC228" s="41">
        <f>I228/'1. Väestöennuste'!K228*1000</f>
        <v>2248.018933417482</v>
      </c>
      <c r="AD228" s="41">
        <f>J228/'1. Väestöennuste'!L228*1000</f>
        <v>2028.0553811421917</v>
      </c>
      <c r="AE228" s="41">
        <f>K228/'1. Väestöennuste'!M228*1000</f>
        <v>2429.8155390934944</v>
      </c>
      <c r="AF228" s="41">
        <f>L228/'1. Väestöennuste'!N228*1000</f>
        <v>2547.0748041987863</v>
      </c>
      <c r="AG228" s="41">
        <f>M228/'1. Väestöennuste'!O228*1000</f>
        <v>2888.6064286264432</v>
      </c>
      <c r="AH228" s="41">
        <f>N228/'1. Väestöennuste'!P228*1000</f>
        <v>3267.5550500900763</v>
      </c>
      <c r="AI228" s="41">
        <f>O228/'1. Väestöennuste'!Q228*1000</f>
        <v>3654.0840102441448</v>
      </c>
      <c r="AJ228" s="41">
        <f>P228/'1. Väestöennuste'!R228*1000</f>
        <v>4022.4691399452768</v>
      </c>
    </row>
    <row r="229" spans="1:36" x14ac:dyDescent="0.2">
      <c r="A229" s="32">
        <v>697</v>
      </c>
      <c r="B229" s="33" t="s">
        <v>543</v>
      </c>
      <c r="C229" s="81">
        <v>5732</v>
      </c>
      <c r="D229" s="46">
        <v>5048</v>
      </c>
      <c r="E229" s="46">
        <v>5037</v>
      </c>
      <c r="F229" s="46">
        <v>4606</v>
      </c>
      <c r="G229" s="80">
        <v>5151</v>
      </c>
      <c r="H229" s="80">
        <v>4631</v>
      </c>
      <c r="I229" s="80">
        <v>4071.4872499999997</v>
      </c>
      <c r="J229" s="80">
        <v>2985</v>
      </c>
      <c r="K229" s="80">
        <v>2525</v>
      </c>
      <c r="L229" s="80">
        <f>K229-'Toim ja inv rahavirta'!L229</f>
        <v>2585.6028086727229</v>
      </c>
      <c r="M229" s="80">
        <f>L229-'Toim ja inv rahavirta'!M229</f>
        <v>2878.7925635003289</v>
      </c>
      <c r="N229" s="80">
        <f>M229-'Toim ja inv rahavirta'!N229</f>
        <v>3206.8755980696519</v>
      </c>
      <c r="O229" s="80">
        <f>N229-'Toim ja inv rahavirta'!O229</f>
        <v>3594.1977894721576</v>
      </c>
      <c r="P229" s="80">
        <f>O229-'Toim ja inv rahavirta'!P229</f>
        <v>3849.6476597315291</v>
      </c>
      <c r="U229" s="89">
        <v>697</v>
      </c>
      <c r="V229" s="90" t="s">
        <v>543</v>
      </c>
      <c r="W229" s="41">
        <f>C229/'1. Väestöennuste'!E229*1000</f>
        <v>4242.7831236121392</v>
      </c>
      <c r="X229" s="41">
        <f>D229/'1. Väestöennuste'!F229*1000</f>
        <v>3753.1598513011149</v>
      </c>
      <c r="Y229" s="41">
        <f>E229/'1. Väestöennuste'!G229*1000</f>
        <v>3824.6013667425968</v>
      </c>
      <c r="Z229" s="41">
        <f>F229/'1. Väestöennuste'!H229*1000</f>
        <v>3576.0869565217395</v>
      </c>
      <c r="AA229" s="41">
        <f>G229/'1. Väestöennuste'!I229*1000</f>
        <v>4049.5283018867926</v>
      </c>
      <c r="AB229" s="41">
        <f>H229/'1. Väestöennuste'!J229*1000</f>
        <v>3749.7975708502022</v>
      </c>
      <c r="AC229" s="41">
        <f>I229/'1. Väestöennuste'!K229*1000</f>
        <v>3364.865495867768</v>
      </c>
      <c r="AD229" s="41">
        <f>J229/'1. Väestöennuste'!L229*1000</f>
        <v>2542.5894378194207</v>
      </c>
      <c r="AE229" s="41">
        <f>K229/'1. Väestöennuste'!M229*1000</f>
        <v>2169.2439862542956</v>
      </c>
      <c r="AF229" s="41">
        <f>L229/'1. Väestöennuste'!N229*1000</f>
        <v>2202.387400913733</v>
      </c>
      <c r="AG229" s="41">
        <f>M229/'1. Väestöennuste'!O229*1000</f>
        <v>2468.9473100345872</v>
      </c>
      <c r="AH229" s="41">
        <f>N229/'1. Väestöennuste'!P229*1000</f>
        <v>2774.1138391605987</v>
      </c>
      <c r="AI229" s="41">
        <f>O229/'1. Väestöennuste'!Q229*1000</f>
        <v>3139.0373707180415</v>
      </c>
      <c r="AJ229" s="41">
        <f>P229/'1. Väestöennuste'!R229*1000</f>
        <v>3385.7938959819958</v>
      </c>
    </row>
    <row r="230" spans="1:36" x14ac:dyDescent="0.2">
      <c r="A230" s="30">
        <v>698</v>
      </c>
      <c r="B230" s="31" t="s">
        <v>544</v>
      </c>
      <c r="C230" s="81">
        <v>118819</v>
      </c>
      <c r="D230" s="46">
        <v>142534</v>
      </c>
      <c r="E230" s="46">
        <v>154210</v>
      </c>
      <c r="F230" s="46">
        <v>200024</v>
      </c>
      <c r="G230" s="80">
        <v>251457</v>
      </c>
      <c r="H230" s="80">
        <v>268890</v>
      </c>
      <c r="I230" s="80">
        <v>290009.48633000004</v>
      </c>
      <c r="J230" s="80">
        <v>285037.49751000002</v>
      </c>
      <c r="K230" s="80">
        <v>275091.40747000003</v>
      </c>
      <c r="L230" s="80">
        <f>K230-'Toim ja inv rahavirta'!L230</f>
        <v>289556.80504833563</v>
      </c>
      <c r="M230" s="80">
        <f>L230-'Toim ja inv rahavirta'!M230</f>
        <v>315978.18129922042</v>
      </c>
      <c r="N230" s="80">
        <f>M230-'Toim ja inv rahavirta'!N230</f>
        <v>340182.09401274897</v>
      </c>
      <c r="O230" s="80">
        <f>N230-'Toim ja inv rahavirta'!O230</f>
        <v>364598.32904625364</v>
      </c>
      <c r="P230" s="80">
        <f>O230-'Toim ja inv rahavirta'!P230</f>
        <v>386123.90067027119</v>
      </c>
      <c r="U230" s="34">
        <v>698</v>
      </c>
      <c r="V230" s="88" t="s">
        <v>544</v>
      </c>
      <c r="W230" s="41">
        <f>C230/'1. Väestöennuste'!E230*1000</f>
        <v>1921.4560626152204</v>
      </c>
      <c r="X230" s="41">
        <f>D230/'1. Väestöennuste'!F230*1000</f>
        <v>2290.4018897334122</v>
      </c>
      <c r="Y230" s="41">
        <f>E230/'1. Väestöennuste'!G230*1000</f>
        <v>2470.5222685036847</v>
      </c>
      <c r="Z230" s="41">
        <f>F230/'1. Väestöennuste'!H230*1000</f>
        <v>3178.9199326149837</v>
      </c>
      <c r="AA230" s="41">
        <f>G230/'1. Väestöennuste'!I230*1000</f>
        <v>3988.7218045112782</v>
      </c>
      <c r="AB230" s="41">
        <f>H230/'1. Väestöennuste'!J230*1000</f>
        <v>4232.6218360408011</v>
      </c>
      <c r="AC230" s="41">
        <f>I230/'1. Väestöennuste'!K230*1000</f>
        <v>4518.6894099407928</v>
      </c>
      <c r="AD230" s="41">
        <f>J230/'1. Väestöennuste'!L230*1000</f>
        <v>4416.7893005345941</v>
      </c>
      <c r="AE230" s="41">
        <f>K230/'1. Väestöennuste'!M230*1000</f>
        <v>4213.6355033238369</v>
      </c>
      <c r="AF230" s="41">
        <f>L230/'1. Väestöennuste'!N230*1000</f>
        <v>4457.9435137458722</v>
      </c>
      <c r="AG230" s="41">
        <f>M230/'1. Väestöennuste'!O230*1000</f>
        <v>4842.3548541710024</v>
      </c>
      <c r="AH230" s="41">
        <f>N230/'1. Väestöennuste'!P230*1000</f>
        <v>5190.6084105823948</v>
      </c>
      <c r="AI230" s="41">
        <f>O230/'1. Väestöennuste'!Q230*1000</f>
        <v>5540.8396256383339</v>
      </c>
      <c r="AJ230" s="41">
        <f>P230/'1. Väestöennuste'!R230*1000</f>
        <v>5846.4644883754945</v>
      </c>
    </row>
    <row r="231" spans="1:36" x14ac:dyDescent="0.2">
      <c r="A231" s="30">
        <v>700</v>
      </c>
      <c r="B231" s="31" t="s">
        <v>545</v>
      </c>
      <c r="C231" s="81">
        <v>6160</v>
      </c>
      <c r="D231" s="46">
        <v>5632</v>
      </c>
      <c r="E231" s="46">
        <v>12102</v>
      </c>
      <c r="F231" s="46">
        <v>17975</v>
      </c>
      <c r="G231" s="80">
        <v>16837</v>
      </c>
      <c r="H231" s="80">
        <v>15164</v>
      </c>
      <c r="I231" s="80">
        <v>12173.91308</v>
      </c>
      <c r="J231" s="80">
        <v>11565.217440000002</v>
      </c>
      <c r="K231" s="80">
        <v>10956.5218</v>
      </c>
      <c r="L231" s="80">
        <f>K231-'Toim ja inv rahavirta'!L231</f>
        <v>11867.544029690413</v>
      </c>
      <c r="M231" s="80">
        <f>L231-'Toim ja inv rahavirta'!M231</f>
        <v>13470.540465120537</v>
      </c>
      <c r="N231" s="80">
        <f>M231-'Toim ja inv rahavirta'!N231</f>
        <v>15467.554957079277</v>
      </c>
      <c r="O231" s="80">
        <f>N231-'Toim ja inv rahavirta'!O231</f>
        <v>17912.583635204905</v>
      </c>
      <c r="P231" s="80">
        <f>O231-'Toim ja inv rahavirta'!P231</f>
        <v>20091.132009122972</v>
      </c>
      <c r="U231" s="34">
        <v>700</v>
      </c>
      <c r="V231" s="88" t="s">
        <v>545</v>
      </c>
      <c r="W231" s="41">
        <f>C231/'1. Väestöennuste'!E231*1000</f>
        <v>1159.6385542168675</v>
      </c>
      <c r="X231" s="41">
        <f>D231/'1. Väestöennuste'!F231*1000</f>
        <v>1073.7845567206864</v>
      </c>
      <c r="Y231" s="41">
        <f>E231/'1. Väestöennuste'!G231*1000</f>
        <v>2319.2794174013034</v>
      </c>
      <c r="Z231" s="41">
        <f>F231/'1. Väestöennuste'!H231*1000</f>
        <v>3525.2010198078056</v>
      </c>
      <c r="AA231" s="41">
        <f>G231/'1. Väestöennuste'!I231*1000</f>
        <v>3371.4457348818582</v>
      </c>
      <c r="AB231" s="41">
        <f>H231/'1. Väestöennuste'!J231*1000</f>
        <v>3080.8614384396587</v>
      </c>
      <c r="AC231" s="41">
        <f>I231/'1. Väestöennuste'!K231*1000</f>
        <v>2477.8980419295744</v>
      </c>
      <c r="AD231" s="41">
        <f>J231/'1. Väestöennuste'!L231*1000</f>
        <v>2388.5207434944246</v>
      </c>
      <c r="AE231" s="41">
        <f>K231/'1. Väestöennuste'!M231*1000</f>
        <v>2302.7578394283314</v>
      </c>
      <c r="AF231" s="41">
        <f>L231/'1. Väestöennuste'!N231*1000</f>
        <v>2558.7632664274283</v>
      </c>
      <c r="AG231" s="41">
        <f>M231/'1. Väestöennuste'!O231*1000</f>
        <v>2945.0241506603711</v>
      </c>
      <c r="AH231" s="41">
        <f>N231/'1. Väestöennuste'!P231*1000</f>
        <v>3428.0928539626057</v>
      </c>
      <c r="AI231" s="41">
        <f>O231/'1. Väestöennuste'!Q231*1000</f>
        <v>4024.3953348022706</v>
      </c>
      <c r="AJ231" s="41">
        <f>P231/'1. Väestöennuste'!R231*1000</f>
        <v>4577.6103916889888</v>
      </c>
    </row>
    <row r="232" spans="1:36" x14ac:dyDescent="0.2">
      <c r="A232" s="30">
        <v>702</v>
      </c>
      <c r="B232" s="31" t="s">
        <v>546</v>
      </c>
      <c r="C232" s="81">
        <v>9006</v>
      </c>
      <c r="D232" s="46">
        <v>6799</v>
      </c>
      <c r="E232" s="46">
        <v>6072</v>
      </c>
      <c r="F232" s="46">
        <v>5614</v>
      </c>
      <c r="G232" s="80">
        <v>10792</v>
      </c>
      <c r="H232" s="80">
        <v>10469</v>
      </c>
      <c r="I232" s="80">
        <v>7812.6115799999998</v>
      </c>
      <c r="J232" s="80">
        <v>6815.766169999999</v>
      </c>
      <c r="K232" s="80">
        <v>7063.2069499999998</v>
      </c>
      <c r="L232" s="80">
        <f>K232-'Toim ja inv rahavirta'!L232</f>
        <v>7137.8637680136735</v>
      </c>
      <c r="M232" s="80">
        <f>L232-'Toim ja inv rahavirta'!M232</f>
        <v>7879.9884250939012</v>
      </c>
      <c r="N232" s="80">
        <f>M232-'Toim ja inv rahavirta'!N232</f>
        <v>8983.437234381352</v>
      </c>
      <c r="O232" s="80">
        <f>N232-'Toim ja inv rahavirta'!O232</f>
        <v>10525.31071740802</v>
      </c>
      <c r="P232" s="80">
        <f>O232-'Toim ja inv rahavirta'!P232</f>
        <v>11717.352531938395</v>
      </c>
      <c r="U232" s="34">
        <v>702</v>
      </c>
      <c r="V232" s="88" t="s">
        <v>546</v>
      </c>
      <c r="W232" s="41">
        <f>C232/'1. Väestöennuste'!E232*1000</f>
        <v>1948.0856586632058</v>
      </c>
      <c r="X232" s="41">
        <f>D232/'1. Väestöennuste'!F232*1000</f>
        <v>1489.3756845564074</v>
      </c>
      <c r="Y232" s="41">
        <f>E232/'1. Väestöennuste'!G232*1000</f>
        <v>1361.7403005158105</v>
      </c>
      <c r="Z232" s="41">
        <f>F232/'1. Väestöennuste'!H232*1000</f>
        <v>1276.4893133242383</v>
      </c>
      <c r="AA232" s="41">
        <f>G232/'1. Väestöennuste'!I232*1000</f>
        <v>2519.7291618024747</v>
      </c>
      <c r="AB232" s="41">
        <f>H232/'1. Väestöennuste'!J232*1000</f>
        <v>2483.7485172004745</v>
      </c>
      <c r="AC232" s="41">
        <f>I232/'1. Väestöennuste'!K232*1000</f>
        <v>1880.2915956678701</v>
      </c>
      <c r="AD232" s="41">
        <f>J232/'1. Väestöennuste'!L232*1000</f>
        <v>1656.7248833252306</v>
      </c>
      <c r="AE232" s="41">
        <f>K232/'1. Väestöennuste'!M232*1000</f>
        <v>1712.7077958292921</v>
      </c>
      <c r="AF232" s="41">
        <f>L232/'1. Väestöennuste'!N232*1000</f>
        <v>1828.814698440603</v>
      </c>
      <c r="AG232" s="41">
        <f>M232/'1. Väestöennuste'!O232*1000</f>
        <v>2051.0120835746748</v>
      </c>
      <c r="AH232" s="41">
        <f>N232/'1. Väestöennuste'!P232*1000</f>
        <v>2371.5515402273895</v>
      </c>
      <c r="AI232" s="41">
        <f>O232/'1. Väestöennuste'!Q232*1000</f>
        <v>2815.7599565029477</v>
      </c>
      <c r="AJ232" s="41">
        <f>P232/'1. Väestöennuste'!R232*1000</f>
        <v>3173.7141202433359</v>
      </c>
    </row>
    <row r="233" spans="1:36" x14ac:dyDescent="0.2">
      <c r="A233" s="30">
        <v>704</v>
      </c>
      <c r="B233" s="31" t="s">
        <v>547</v>
      </c>
      <c r="C233" s="81">
        <v>10001</v>
      </c>
      <c r="D233" s="46">
        <v>8383</v>
      </c>
      <c r="E233" s="46">
        <v>7834</v>
      </c>
      <c r="F233" s="46">
        <v>7285</v>
      </c>
      <c r="G233" s="80">
        <v>8736</v>
      </c>
      <c r="H233" s="80">
        <v>8187</v>
      </c>
      <c r="I233" s="80">
        <v>7738.4</v>
      </c>
      <c r="J233" s="80">
        <v>7789.5999999999995</v>
      </c>
      <c r="K233" s="80">
        <v>6890.8</v>
      </c>
      <c r="L233" s="80">
        <f>K233-'Toim ja inv rahavirta'!L233</f>
        <v>7555.3952765334552</v>
      </c>
      <c r="M233" s="80">
        <f>L233-'Toim ja inv rahavirta'!M233</f>
        <v>10211.850779606533</v>
      </c>
      <c r="N233" s="80">
        <f>M233-'Toim ja inv rahavirta'!N233</f>
        <v>12322.528964478957</v>
      </c>
      <c r="O233" s="80">
        <f>N233-'Toim ja inv rahavirta'!O233</f>
        <v>14508.767485205515</v>
      </c>
      <c r="P233" s="80">
        <f>O233-'Toim ja inv rahavirta'!P233</f>
        <v>16544.396252630711</v>
      </c>
      <c r="U233" s="34">
        <v>704</v>
      </c>
      <c r="V233" s="88" t="s">
        <v>547</v>
      </c>
      <c r="W233" s="41">
        <f>C233/'1. Väestöennuste'!E233*1000</f>
        <v>1636.8248772504094</v>
      </c>
      <c r="X233" s="41">
        <f>D233/'1. Väestöennuste'!F233*1000</f>
        <v>1365.9768616587908</v>
      </c>
      <c r="Y233" s="41">
        <f>E233/'1. Väestöennuste'!G233*1000</f>
        <v>1250.8382564266326</v>
      </c>
      <c r="Z233" s="41">
        <f>F233/'1. Väestöennuste'!H233*1000</f>
        <v>1165.4135338345866</v>
      </c>
      <c r="AA233" s="41">
        <f>G233/'1. Väestöennuste'!I233*1000</f>
        <v>1380.7491702228544</v>
      </c>
      <c r="AB233" s="41">
        <f>H233/'1. Väestöennuste'!J233*1000</f>
        <v>1288.4796978281397</v>
      </c>
      <c r="AC233" s="41">
        <f>I233/'1. Väestöennuste'!K233*1000</f>
        <v>1213.1055024298478</v>
      </c>
      <c r="AD233" s="41">
        <f>J233/'1. Väestöennuste'!L233*1000</f>
        <v>1211.8232731798382</v>
      </c>
      <c r="AE233" s="41">
        <f>K233/'1. Väestöennuste'!M233*1000</f>
        <v>1070.6650093225608</v>
      </c>
      <c r="AF233" s="41">
        <f>L233/'1. Väestöennuste'!N233*1000</f>
        <v>1149.1095477617423</v>
      </c>
      <c r="AG233" s="41">
        <f>M233/'1. Väestöennuste'!O233*1000</f>
        <v>1539.0882863009092</v>
      </c>
      <c r="AH233" s="41">
        <f>N233/'1. Väestöennuste'!P233*1000</f>
        <v>1841.6572955431111</v>
      </c>
      <c r="AI233" s="41">
        <f>O233/'1. Väestöennuste'!Q233*1000</f>
        <v>2150.4027694094434</v>
      </c>
      <c r="AJ233" s="41">
        <f>P233/'1. Väestöennuste'!R233*1000</f>
        <v>2434.0733047860394</v>
      </c>
    </row>
    <row r="234" spans="1:36" x14ac:dyDescent="0.2">
      <c r="A234" s="30">
        <v>707</v>
      </c>
      <c r="B234" s="31" t="s">
        <v>548</v>
      </c>
      <c r="C234" s="81">
        <v>5048</v>
      </c>
      <c r="D234" s="46">
        <v>4599</v>
      </c>
      <c r="E234" s="46">
        <v>4171</v>
      </c>
      <c r="F234" s="46">
        <v>4125</v>
      </c>
      <c r="G234" s="80">
        <v>3785</v>
      </c>
      <c r="H234" s="80">
        <v>6214</v>
      </c>
      <c r="I234" s="80">
        <v>5852.61</v>
      </c>
      <c r="J234" s="80">
        <v>5176.5659999999998</v>
      </c>
      <c r="K234" s="80">
        <v>3815.5219999999999</v>
      </c>
      <c r="L234" s="80">
        <f>K234-'Toim ja inv rahavirta'!L234</f>
        <v>3379.8560262208321</v>
      </c>
      <c r="M234" s="80">
        <f>L234-'Toim ja inv rahavirta'!M234</f>
        <v>4311.3385394632951</v>
      </c>
      <c r="N234" s="80">
        <f>M234-'Toim ja inv rahavirta'!N234</f>
        <v>5350.5035612836964</v>
      </c>
      <c r="O234" s="80">
        <f>N234-'Toim ja inv rahavirta'!O234</f>
        <v>6536.3685448880715</v>
      </c>
      <c r="P234" s="80">
        <f>O234-'Toim ja inv rahavirta'!P234</f>
        <v>7468.1312467405196</v>
      </c>
      <c r="U234" s="34">
        <v>707</v>
      </c>
      <c r="V234" s="88" t="s">
        <v>548</v>
      </c>
      <c r="W234" s="41">
        <f>C234/'1. Väestöennuste'!E234*1000</f>
        <v>2148.999574286931</v>
      </c>
      <c r="X234" s="41">
        <f>D234/'1. Väestöennuste'!F234*1000</f>
        <v>2027.7777777777776</v>
      </c>
      <c r="Y234" s="41">
        <f>E234/'1. Väestöennuste'!G234*1000</f>
        <v>1862.0535714285716</v>
      </c>
      <c r="Z234" s="41">
        <f>F234/'1. Väestöennuste'!H234*1000</f>
        <v>1891.3342503438789</v>
      </c>
      <c r="AA234" s="41">
        <f>G234/'1. Väestöennuste'!I234*1000</f>
        <v>1780.3386641580432</v>
      </c>
      <c r="AB234" s="41">
        <f>H234/'1. Väestöennuste'!J234*1000</f>
        <v>3007.7444336882863</v>
      </c>
      <c r="AC234" s="41">
        <f>I234/'1. Väestöennuste'!K234*1000</f>
        <v>2880.2214566929133</v>
      </c>
      <c r="AD234" s="41">
        <f>J234/'1. Väestöennuste'!L234*1000</f>
        <v>2641.1051020408163</v>
      </c>
      <c r="AE234" s="41">
        <f>K234/'1. Väestöennuste'!M234*1000</f>
        <v>2006.0578338590958</v>
      </c>
      <c r="AF234" s="41">
        <f>L234/'1. Väestöennuste'!N234*1000</f>
        <v>1773.2717871043192</v>
      </c>
      <c r="AG234" s="41">
        <f>M234/'1. Väestöennuste'!O234*1000</f>
        <v>2298.1548717821402</v>
      </c>
      <c r="AH234" s="41">
        <f>N234/'1. Väestöennuste'!P234*1000</f>
        <v>2896.8617007491589</v>
      </c>
      <c r="AI234" s="41">
        <f>O234/'1. Väestöennuste'!Q234*1000</f>
        <v>3593.385676134179</v>
      </c>
      <c r="AJ234" s="41">
        <f>P234/'1. Väestöennuste'!R234*1000</f>
        <v>4165.1596468156831</v>
      </c>
    </row>
    <row r="235" spans="1:36" x14ac:dyDescent="0.2">
      <c r="A235" s="30">
        <v>710</v>
      </c>
      <c r="B235" s="31" t="s">
        <v>549</v>
      </c>
      <c r="C235" s="81">
        <v>120955</v>
      </c>
      <c r="D235" s="46">
        <v>118991</v>
      </c>
      <c r="E235" s="46">
        <v>108867</v>
      </c>
      <c r="F235" s="46">
        <v>107297</v>
      </c>
      <c r="G235" s="80">
        <v>115792</v>
      </c>
      <c r="H235" s="80">
        <v>111170</v>
      </c>
      <c r="I235" s="80">
        <v>111900.90747999999</v>
      </c>
      <c r="J235" s="80">
        <v>108358.20904</v>
      </c>
      <c r="K235" s="80">
        <v>98790.502819999994</v>
      </c>
      <c r="L235" s="80">
        <f>K235-'Toim ja inv rahavirta'!L235</f>
        <v>105583.43150780589</v>
      </c>
      <c r="M235" s="80">
        <f>L235-'Toim ja inv rahavirta'!M235</f>
        <v>113333.43661007147</v>
      </c>
      <c r="N235" s="80">
        <f>M235-'Toim ja inv rahavirta'!N235</f>
        <v>121579.20309528391</v>
      </c>
      <c r="O235" s="80">
        <f>N235-'Toim ja inv rahavirta'!O235</f>
        <v>129439.55504746863</v>
      </c>
      <c r="P235" s="80">
        <f>O235-'Toim ja inv rahavirta'!P235</f>
        <v>135314.80825690588</v>
      </c>
      <c r="U235" s="34">
        <v>710</v>
      </c>
      <c r="V235" s="88" t="s">
        <v>549</v>
      </c>
      <c r="W235" s="41">
        <f>C235/'1. Väestöennuste'!E235*1000</f>
        <v>4258.2291850026404</v>
      </c>
      <c r="X235" s="41">
        <f>D235/'1. Väestöennuste'!F235*1000</f>
        <v>4238.0240054136839</v>
      </c>
      <c r="Y235" s="41">
        <f>E235/'1. Väestöennuste'!G235*1000</f>
        <v>3908.9081182004234</v>
      </c>
      <c r="Z235" s="41">
        <f>F235/'1. Väestöennuste'!H235*1000</f>
        <v>3888.6996230791533</v>
      </c>
      <c r="AA235" s="41">
        <f>G235/'1. Väestöennuste'!I235*1000</f>
        <v>4205.1133062173158</v>
      </c>
      <c r="AB235" s="41">
        <f>H235/'1. Väestöennuste'!J235*1000</f>
        <v>4038.4335948852081</v>
      </c>
      <c r="AC235" s="41">
        <f>I235/'1. Väestöennuste'!K235*1000</f>
        <v>4071.4927768883717</v>
      </c>
      <c r="AD235" s="41">
        <f>J235/'1. Väestöennuste'!L235*1000</f>
        <v>3968.2930139895993</v>
      </c>
      <c r="AE235" s="41">
        <f>K235/'1. Väestöennuste'!M235*1000</f>
        <v>3630.8024117020104</v>
      </c>
      <c r="AF235" s="41">
        <f>L235/'1. Väestöennuste'!N235*1000</f>
        <v>3930.8798029711797</v>
      </c>
      <c r="AG235" s="41">
        <f>M235/'1. Väestöennuste'!O235*1000</f>
        <v>4243.2676854270649</v>
      </c>
      <c r="AH235" s="41">
        <f>N235/'1. Väestöennuste'!P235*1000</f>
        <v>4576.8409537450652</v>
      </c>
      <c r="AI235" s="41">
        <f>O235/'1. Väestöennuste'!Q235*1000</f>
        <v>4898.0041263657868</v>
      </c>
      <c r="AJ235" s="41">
        <f>P235/'1. Väestöennuste'!R235*1000</f>
        <v>5145.636698365056</v>
      </c>
    </row>
    <row r="236" spans="1:36" x14ac:dyDescent="0.2">
      <c r="A236" s="30">
        <v>729</v>
      </c>
      <c r="B236" s="31" t="s">
        <v>550</v>
      </c>
      <c r="C236" s="81">
        <v>28196</v>
      </c>
      <c r="D236" s="46">
        <v>27282</v>
      </c>
      <c r="E236" s="46">
        <v>16864</v>
      </c>
      <c r="F236" s="46">
        <v>14396</v>
      </c>
      <c r="G236" s="80">
        <v>14048</v>
      </c>
      <c r="H236" s="80">
        <v>12336</v>
      </c>
      <c r="I236" s="80">
        <v>9663.2727400000003</v>
      </c>
      <c r="J236" s="80">
        <v>3736.6084299999998</v>
      </c>
      <c r="K236" s="80">
        <v>2518.9795100000001</v>
      </c>
      <c r="L236" s="80">
        <f>K236-'Toim ja inv rahavirta'!L236</f>
        <v>2155.8808516635163</v>
      </c>
      <c r="M236" s="80">
        <f>L236-'Toim ja inv rahavirta'!M236</f>
        <v>4056.351125748658</v>
      </c>
      <c r="N236" s="80">
        <f>M236-'Toim ja inv rahavirta'!N236</f>
        <v>5875.673750666052</v>
      </c>
      <c r="O236" s="80">
        <f>N236-'Toim ja inv rahavirta'!O236</f>
        <v>7767.7032413910638</v>
      </c>
      <c r="P236" s="80">
        <f>O236-'Toim ja inv rahavirta'!P236</f>
        <v>8560.3194021740619</v>
      </c>
      <c r="U236" s="34">
        <v>729</v>
      </c>
      <c r="V236" s="88" t="s">
        <v>550</v>
      </c>
      <c r="W236" s="41">
        <f>C236/'1. Väestöennuste'!E236*1000</f>
        <v>2843.7720625315178</v>
      </c>
      <c r="X236" s="41">
        <f>D236/'1. Väestöennuste'!F236*1000</f>
        <v>2815.4798761609909</v>
      </c>
      <c r="Y236" s="41">
        <f>E236/'1. Väestöennuste'!G236*1000</f>
        <v>1758.6818229220983</v>
      </c>
      <c r="Z236" s="41">
        <f>F236/'1. Väestöennuste'!H236*1000</f>
        <v>1529.0493892724376</v>
      </c>
      <c r="AA236" s="41">
        <f>G236/'1. Väestöennuste'!I236*1000</f>
        <v>1509.0772370823934</v>
      </c>
      <c r="AB236" s="41">
        <f>H236/'1. Väestöennuste'!J236*1000</f>
        <v>1339.7046046915725</v>
      </c>
      <c r="AC236" s="41">
        <f>I236/'1. Väestöennuste'!K236*1000</f>
        <v>1059.918036634858</v>
      </c>
      <c r="AD236" s="41">
        <f>J236/'1. Väestöennuste'!L236*1000</f>
        <v>416.33520111420609</v>
      </c>
      <c r="AE236" s="41">
        <f>K236/'1. Väestöennuste'!M236*1000</f>
        <v>284.7269707245394</v>
      </c>
      <c r="AF236" s="41">
        <f>L236/'1. Väestöennuste'!N236*1000</f>
        <v>247.34750478011887</v>
      </c>
      <c r="AG236" s="41">
        <f>M236/'1. Väestöennuste'!O236*1000</f>
        <v>471.55907065201791</v>
      </c>
      <c r="AH236" s="41">
        <f>N236/'1. Väestöennuste'!P236*1000</f>
        <v>692.15146079232557</v>
      </c>
      <c r="AI236" s="41">
        <f>O236/'1. Väestöennuste'!Q236*1000</f>
        <v>926.71238861740198</v>
      </c>
      <c r="AJ236" s="41">
        <f>P236/'1. Väestöennuste'!R236*1000</f>
        <v>1034.1047840268257</v>
      </c>
    </row>
    <row r="237" spans="1:36" x14ac:dyDescent="0.2">
      <c r="A237" s="30">
        <v>732</v>
      </c>
      <c r="B237" s="31" t="s">
        <v>551</v>
      </c>
      <c r="C237" s="81">
        <v>13801</v>
      </c>
      <c r="D237" s="46">
        <v>12351</v>
      </c>
      <c r="E237" s="46">
        <v>13203</v>
      </c>
      <c r="F237" s="46">
        <v>13073</v>
      </c>
      <c r="G237" s="80">
        <v>11798</v>
      </c>
      <c r="H237" s="80">
        <v>12532</v>
      </c>
      <c r="I237" s="80">
        <v>13635.40294</v>
      </c>
      <c r="J237" s="80">
        <v>12011.177589999999</v>
      </c>
      <c r="K237" s="80">
        <v>13320.452960000001</v>
      </c>
      <c r="L237" s="80">
        <f>K237-'Toim ja inv rahavirta'!L237</f>
        <v>14618.017380420366</v>
      </c>
      <c r="M237" s="80">
        <f>L237-'Toim ja inv rahavirta'!M237</f>
        <v>16316.086153116201</v>
      </c>
      <c r="N237" s="80">
        <f>M237-'Toim ja inv rahavirta'!N237</f>
        <v>17955.287736009181</v>
      </c>
      <c r="O237" s="80">
        <f>N237-'Toim ja inv rahavirta'!O237</f>
        <v>20039.344622108041</v>
      </c>
      <c r="P237" s="80">
        <f>O237-'Toim ja inv rahavirta'!P237</f>
        <v>21838.194864399869</v>
      </c>
      <c r="U237" s="34">
        <v>732</v>
      </c>
      <c r="V237" s="88" t="s">
        <v>551</v>
      </c>
      <c r="W237" s="41">
        <f>C237/'1. Väestöennuste'!E237*1000</f>
        <v>3702.9782667024419</v>
      </c>
      <c r="X237" s="41">
        <f>D237/'1. Väestöennuste'!F237*1000</f>
        <v>3381.0566657541744</v>
      </c>
      <c r="Y237" s="41">
        <f>E237/'1. Väestöennuste'!G237*1000</f>
        <v>3693.1468531468531</v>
      </c>
      <c r="Z237" s="41">
        <f>F237/'1. Väestöennuste'!H237*1000</f>
        <v>3744.7722715554282</v>
      </c>
      <c r="AA237" s="41">
        <f>G237/'1. Väestöennuste'!I237*1000</f>
        <v>3470</v>
      </c>
      <c r="AB237" s="41">
        <f>H237/'1. Väestöennuste'!J237*1000</f>
        <v>3678.30936307602</v>
      </c>
      <c r="AC237" s="41">
        <f>I237/'1. Väestöennuste'!K237*1000</f>
        <v>3991.6284953161589</v>
      </c>
      <c r="AD237" s="41">
        <f>J237/'1. Väestöennuste'!L237*1000</f>
        <v>3600.4728986810546</v>
      </c>
      <c r="AE237" s="41">
        <f>K237/'1. Väestöennuste'!M237*1000</f>
        <v>3983.3890430622014</v>
      </c>
      <c r="AF237" s="41">
        <f>L237/'1. Väestöennuste'!N237*1000</f>
        <v>4605.5505294330078</v>
      </c>
      <c r="AG237" s="41">
        <f>M237/'1. Väestöennuste'!O237*1000</f>
        <v>5217.808171767254</v>
      </c>
      <c r="AH237" s="41">
        <f>N237/'1. Väestöennuste'!P237*1000</f>
        <v>5827.7467497595526</v>
      </c>
      <c r="AI237" s="41">
        <f>O237/'1. Väestöennuste'!Q237*1000</f>
        <v>6596.2293028663726</v>
      </c>
      <c r="AJ237" s="41">
        <f>P237/'1. Väestöennuste'!R237*1000</f>
        <v>7286.6849731063967</v>
      </c>
    </row>
    <row r="238" spans="1:36" x14ac:dyDescent="0.2">
      <c r="A238" s="30">
        <v>734</v>
      </c>
      <c r="B238" s="31" t="s">
        <v>552</v>
      </c>
      <c r="C238" s="81">
        <v>110575</v>
      </c>
      <c r="D238" s="46">
        <v>97138</v>
      </c>
      <c r="E238" s="46">
        <v>87529</v>
      </c>
      <c r="F238" s="46">
        <v>98185</v>
      </c>
      <c r="G238" s="80">
        <v>112032</v>
      </c>
      <c r="H238" s="80">
        <v>109178</v>
      </c>
      <c r="I238" s="80">
        <v>101202.67968</v>
      </c>
      <c r="J238" s="80">
        <v>84655.962249999982</v>
      </c>
      <c r="K238" s="80">
        <v>60474.096910000007</v>
      </c>
      <c r="L238" s="80">
        <f>K238-'Toim ja inv rahavirta'!L238</f>
        <v>59108.735188417879</v>
      </c>
      <c r="M238" s="80">
        <f>L238-'Toim ja inv rahavirta'!M238</f>
        <v>59590.002975428433</v>
      </c>
      <c r="N238" s="80">
        <f>M238-'Toim ja inv rahavirta'!N238</f>
        <v>58351.151353050016</v>
      </c>
      <c r="O238" s="80">
        <f>N238-'Toim ja inv rahavirta'!O238</f>
        <v>56450.52966028513</v>
      </c>
      <c r="P238" s="80">
        <f>O238-'Toim ja inv rahavirta'!P238</f>
        <v>49871.020226889304</v>
      </c>
      <c r="U238" s="34">
        <v>734</v>
      </c>
      <c r="V238" s="88" t="s">
        <v>552</v>
      </c>
      <c r="W238" s="41">
        <f>C238/'1. Väestöennuste'!E238*1000</f>
        <v>2051.8649100018556</v>
      </c>
      <c r="X238" s="41">
        <f>D238/'1. Väestöennuste'!F238*1000</f>
        <v>1814.1037612520076</v>
      </c>
      <c r="Y238" s="41">
        <f>E238/'1. Väestöennuste'!G238*1000</f>
        <v>1651.989279782576</v>
      </c>
      <c r="Z238" s="41">
        <f>F238/'1. Väestöennuste'!H238*1000</f>
        <v>1876.588750215019</v>
      </c>
      <c r="AA238" s="41">
        <f>G238/'1. Väestöennuste'!I238*1000</f>
        <v>2161.4029672216543</v>
      </c>
      <c r="AB238" s="41">
        <f>H238/'1. Väestöennuste'!J238*1000</f>
        <v>2117.4120476319767</v>
      </c>
      <c r="AC238" s="41">
        <f>I238/'1. Väestöennuste'!K238*1000</f>
        <v>1968.9237291828795</v>
      </c>
      <c r="AD238" s="41">
        <f>J238/'1. Väestöennuste'!L238*1000</f>
        <v>1662.104377319223</v>
      </c>
      <c r="AE238" s="41">
        <f>K238/'1. Väestöennuste'!M238*1000</f>
        <v>1183.4461234833661</v>
      </c>
      <c r="AF238" s="41">
        <f>L238/'1. Väestöennuste'!N238*1000</f>
        <v>1185.9460120867934</v>
      </c>
      <c r="AG238" s="41">
        <f>M238/'1. Väestöennuste'!O238*1000</f>
        <v>1205.2019046887069</v>
      </c>
      <c r="AH238" s="41">
        <f>N238/'1. Väestöennuste'!P238*1000</f>
        <v>1189.5046652339213</v>
      </c>
      <c r="AI238" s="41">
        <f>O238/'1. Väestöennuste'!Q238*1000</f>
        <v>1159.6008639979691</v>
      </c>
      <c r="AJ238" s="41">
        <f>P238/'1. Väestöennuste'!R238*1000</f>
        <v>1032.1202886419276</v>
      </c>
    </row>
    <row r="239" spans="1:36" x14ac:dyDescent="0.2">
      <c r="A239" s="30">
        <v>738</v>
      </c>
      <c r="B239" s="31" t="s">
        <v>553</v>
      </c>
      <c r="C239" s="81">
        <v>7898</v>
      </c>
      <c r="D239" s="46">
        <v>7699</v>
      </c>
      <c r="E239" s="46">
        <v>7957</v>
      </c>
      <c r="F239" s="46">
        <v>7635</v>
      </c>
      <c r="G239" s="80">
        <v>9045</v>
      </c>
      <c r="H239" s="80">
        <v>10135</v>
      </c>
      <c r="I239" s="80">
        <v>11053.948</v>
      </c>
      <c r="J239" s="80">
        <v>10572.896000000001</v>
      </c>
      <c r="K239" s="80">
        <v>10236.843999999999</v>
      </c>
      <c r="L239" s="80">
        <f>K239-'Toim ja inv rahavirta'!L239</f>
        <v>10708.489697375171</v>
      </c>
      <c r="M239" s="80">
        <f>L239-'Toim ja inv rahavirta'!M239</f>
        <v>11546.57726088157</v>
      </c>
      <c r="N239" s="80">
        <f>M239-'Toim ja inv rahavirta'!N239</f>
        <v>12605.45220155756</v>
      </c>
      <c r="O239" s="80">
        <f>N239-'Toim ja inv rahavirta'!O239</f>
        <v>13654.091128412912</v>
      </c>
      <c r="P239" s="80">
        <f>O239-'Toim ja inv rahavirta'!P239</f>
        <v>14778.966373329928</v>
      </c>
      <c r="U239" s="34">
        <v>738</v>
      </c>
      <c r="V239" s="88" t="s">
        <v>553</v>
      </c>
      <c r="W239" s="41">
        <f>C239/'1. Väestöennuste'!E239*1000</f>
        <v>2616.0980457105002</v>
      </c>
      <c r="X239" s="41">
        <f>D239/'1. Väestöennuste'!F239*1000</f>
        <v>2526.7476206104366</v>
      </c>
      <c r="Y239" s="41">
        <f>E239/'1. Väestöennuste'!G239*1000</f>
        <v>2646.1589624210178</v>
      </c>
      <c r="Z239" s="41">
        <f>F239/'1. Väestöennuste'!H239*1000</f>
        <v>2550.1002004008019</v>
      </c>
      <c r="AA239" s="41">
        <f>G239/'1. Väestöennuste'!I239*1000</f>
        <v>3071.3073005093379</v>
      </c>
      <c r="AB239" s="41">
        <f>H239/'1. Väestöennuste'!J239*1000</f>
        <v>3435.593220338983</v>
      </c>
      <c r="AC239" s="41">
        <f>I239/'1. Väestöennuste'!K239*1000</f>
        <v>3735.7039540385267</v>
      </c>
      <c r="AD239" s="41">
        <f>J239/'1. Väestöennuste'!L239*1000</f>
        <v>3624.5786767226605</v>
      </c>
      <c r="AE239" s="41">
        <f>K239/'1. Väestöennuste'!M239*1000</f>
        <v>3442.112979152656</v>
      </c>
      <c r="AF239" s="41">
        <f>L239/'1. Väestöennuste'!N239*1000</f>
        <v>3692.5826542673008</v>
      </c>
      <c r="AG239" s="41">
        <f>M239/'1. Väestöennuste'!O239*1000</f>
        <v>3989.8331931173357</v>
      </c>
      <c r="AH239" s="41">
        <f>N239/'1. Väestöennuste'!P239*1000</f>
        <v>4361.7481666289141</v>
      </c>
      <c r="AI239" s="41">
        <f>O239/'1. Väestöennuste'!Q239*1000</f>
        <v>4739.3582535275646</v>
      </c>
      <c r="AJ239" s="41">
        <f>P239/'1. Väestöennuste'!R239*1000</f>
        <v>5138.7226611021997</v>
      </c>
    </row>
    <row r="240" spans="1:36" x14ac:dyDescent="0.2">
      <c r="A240" s="30">
        <v>739</v>
      </c>
      <c r="B240" s="31" t="s">
        <v>554</v>
      </c>
      <c r="C240" s="81">
        <v>7549</v>
      </c>
      <c r="D240" s="46">
        <v>6901</v>
      </c>
      <c r="E240" s="46">
        <v>7450</v>
      </c>
      <c r="F240" s="46">
        <v>7599</v>
      </c>
      <c r="G240" s="80">
        <v>6880</v>
      </c>
      <c r="H240" s="80">
        <v>6088</v>
      </c>
      <c r="I240" s="80">
        <v>5295.8786</v>
      </c>
      <c r="J240" s="80">
        <v>4684.39084</v>
      </c>
      <c r="K240" s="80">
        <v>4072.90308</v>
      </c>
      <c r="L240" s="80">
        <f>K240-'Toim ja inv rahavirta'!L240</f>
        <v>4519.2692118277955</v>
      </c>
      <c r="M240" s="80">
        <f>L240-'Toim ja inv rahavirta'!M240</f>
        <v>5070.0107195306264</v>
      </c>
      <c r="N240" s="80">
        <f>M240-'Toim ja inv rahavirta'!N240</f>
        <v>6402.4836353163473</v>
      </c>
      <c r="O240" s="80">
        <f>N240-'Toim ja inv rahavirta'!O240</f>
        <v>7907.9659431767423</v>
      </c>
      <c r="P240" s="80">
        <f>O240-'Toim ja inv rahavirta'!P240</f>
        <v>9140.7445741460342</v>
      </c>
      <c r="U240" s="34">
        <v>739</v>
      </c>
      <c r="V240" s="88" t="s">
        <v>554</v>
      </c>
      <c r="W240" s="41">
        <f>C240/'1. Väestöennuste'!E240*1000</f>
        <v>2089.3993910877389</v>
      </c>
      <c r="X240" s="41">
        <f>D240/'1. Väestöennuste'!F240*1000</f>
        <v>1952.7447651386531</v>
      </c>
      <c r="Y240" s="41">
        <f>E240/'1. Väestöennuste'!G240*1000</f>
        <v>2140.8045977011498</v>
      </c>
      <c r="Z240" s="41">
        <f>F240/'1. Väestöennuste'!H240*1000</f>
        <v>2216.097987751531</v>
      </c>
      <c r="AA240" s="41">
        <f>G240/'1. Väestöennuste'!I240*1000</f>
        <v>2033.697901271061</v>
      </c>
      <c r="AB240" s="41">
        <f>H240/'1. Väestöennuste'!J240*1000</f>
        <v>1830.4269392663862</v>
      </c>
      <c r="AC240" s="41">
        <f>I240/'1. Väestöennuste'!K240*1000</f>
        <v>1624.0044771542473</v>
      </c>
      <c r="AD240" s="41">
        <f>J240/'1. Väestöennuste'!L240*1000</f>
        <v>1438.6949754299753</v>
      </c>
      <c r="AE240" s="41">
        <f>K240/'1. Väestöennuste'!M240*1000</f>
        <v>1266.4499626865672</v>
      </c>
      <c r="AF240" s="41">
        <f>L240/'1. Väestöennuste'!N240*1000</f>
        <v>1453.1412256681015</v>
      </c>
      <c r="AG240" s="41">
        <f>M240/'1. Väestöennuste'!O240*1000</f>
        <v>1655.2434605062442</v>
      </c>
      <c r="AH240" s="41">
        <f>N240/'1. Väestöennuste'!P240*1000</f>
        <v>2121.4326160756614</v>
      </c>
      <c r="AI240" s="41">
        <f>O240/'1. Väestöennuste'!Q240*1000</f>
        <v>2658.1398128325186</v>
      </c>
      <c r="AJ240" s="41">
        <f>P240/'1. Väestöennuste'!R240*1000</f>
        <v>3116.5170726716788</v>
      </c>
    </row>
    <row r="241" spans="1:36" x14ac:dyDescent="0.2">
      <c r="A241" s="30">
        <v>740</v>
      </c>
      <c r="B241" s="31" t="s">
        <v>555</v>
      </c>
      <c r="C241" s="81">
        <v>103151</v>
      </c>
      <c r="D241" s="46">
        <v>107297</v>
      </c>
      <c r="E241" s="46">
        <v>104790</v>
      </c>
      <c r="F241" s="46">
        <v>110348</v>
      </c>
      <c r="G241" s="80">
        <v>123872</v>
      </c>
      <c r="H241" s="80">
        <v>116842</v>
      </c>
      <c r="I241" s="80">
        <v>96689.675000000003</v>
      </c>
      <c r="J241" s="80">
        <v>95393.125</v>
      </c>
      <c r="K241" s="80">
        <v>110296.575</v>
      </c>
      <c r="L241" s="80">
        <f>K241-'Toim ja inv rahavirta'!L241</f>
        <v>124407.1395376718</v>
      </c>
      <c r="M241" s="80">
        <f>L241-'Toim ja inv rahavirta'!M241</f>
        <v>140459.87118726783</v>
      </c>
      <c r="N241" s="80">
        <f>M241-'Toim ja inv rahavirta'!N241</f>
        <v>155296.73451555317</v>
      </c>
      <c r="O241" s="80">
        <f>N241-'Toim ja inv rahavirta'!O241</f>
        <v>170280.07692245083</v>
      </c>
      <c r="P241" s="80">
        <f>O241-'Toim ja inv rahavirta'!P241</f>
        <v>181405.20799409278</v>
      </c>
      <c r="U241" s="34">
        <v>740</v>
      </c>
      <c r="V241" s="88" t="s">
        <v>555</v>
      </c>
      <c r="W241" s="41">
        <f>C241/'1. Väestöennuste'!E241*1000</f>
        <v>2903.780649156884</v>
      </c>
      <c r="X241" s="41">
        <f>D241/'1. Väestöennuste'!F241*1000</f>
        <v>3044.5774927643156</v>
      </c>
      <c r="Y241" s="41">
        <f>E241/'1. Väestöennuste'!G241*1000</f>
        <v>3023.0210016155088</v>
      </c>
      <c r="Z241" s="41">
        <f>F241/'1. Väestöennuste'!H241*1000</f>
        <v>3283.0918449317187</v>
      </c>
      <c r="AA241" s="41">
        <f>G241/'1. Väestöennuste'!I241*1000</f>
        <v>3756.6567598714137</v>
      </c>
      <c r="AB241" s="41">
        <f>H241/'1. Väestöennuste'!J241*1000</f>
        <v>3577.3069622190924</v>
      </c>
      <c r="AC241" s="41">
        <f>I241/'1. Väestöennuste'!K241*1000</f>
        <v>2970.7707315574403</v>
      </c>
      <c r="AD241" s="41">
        <f>J241/'1. Väestöennuste'!L241*1000</f>
        <v>2973.1377590774505</v>
      </c>
      <c r="AE241" s="41">
        <f>K241/'1. Väestöennuste'!M241*1000</f>
        <v>3463.7620513142606</v>
      </c>
      <c r="AF241" s="41">
        <f>L241/'1. Väestöennuste'!N241*1000</f>
        <v>4058.4308585395643</v>
      </c>
      <c r="AG241" s="41">
        <f>M241/'1. Väestöennuste'!O241*1000</f>
        <v>4649.9113181470457</v>
      </c>
      <c r="AH241" s="41">
        <f>N241/'1. Väestöennuste'!P241*1000</f>
        <v>5215.6753825542619</v>
      </c>
      <c r="AI241" s="41">
        <f>O241/'1. Väestöennuste'!Q241*1000</f>
        <v>5800.1252443099265</v>
      </c>
      <c r="AJ241" s="41">
        <f>P241/'1. Väestöennuste'!R241*1000</f>
        <v>6265.0736658294863</v>
      </c>
    </row>
    <row r="242" spans="1:36" x14ac:dyDescent="0.2">
      <c r="A242" s="30">
        <v>742</v>
      </c>
      <c r="B242" s="31" t="s">
        <v>556</v>
      </c>
      <c r="C242" s="81">
        <v>2794</v>
      </c>
      <c r="D242" s="46">
        <v>2496</v>
      </c>
      <c r="E242" s="46">
        <v>1972</v>
      </c>
      <c r="F242" s="46">
        <v>1728</v>
      </c>
      <c r="G242" s="80">
        <v>1509</v>
      </c>
      <c r="H242" s="80">
        <v>1289</v>
      </c>
      <c r="I242" s="80">
        <v>1081.3979999999999</v>
      </c>
      <c r="J242" s="80">
        <v>1135.39311</v>
      </c>
      <c r="K242" s="80">
        <v>930.19</v>
      </c>
      <c r="L242" s="80">
        <f>K242-'Toim ja inv rahavirta'!L242</f>
        <v>1363.7235655810671</v>
      </c>
      <c r="M242" s="80">
        <f>L242-'Toim ja inv rahavirta'!M242</f>
        <v>1845.0043972022447</v>
      </c>
      <c r="N242" s="80">
        <f>M242-'Toim ja inv rahavirta'!N242</f>
        <v>2330.9908651994383</v>
      </c>
      <c r="O242" s="80">
        <f>N242-'Toim ja inv rahavirta'!O242</f>
        <v>2868.153064662949</v>
      </c>
      <c r="P242" s="80">
        <f>O242-'Toim ja inv rahavirta'!P242</f>
        <v>3376.5920661192063</v>
      </c>
      <c r="U242" s="34">
        <v>742</v>
      </c>
      <c r="V242" s="88" t="s">
        <v>556</v>
      </c>
      <c r="W242" s="41">
        <f>C242/'1. Väestöennuste'!E242*1000</f>
        <v>2633.3647502356266</v>
      </c>
      <c r="X242" s="41">
        <f>D242/'1. Väestöennuste'!F242*1000</f>
        <v>2390.8045977011498</v>
      </c>
      <c r="Y242" s="41">
        <f>E242/'1. Väestöennuste'!G242*1000</f>
        <v>1948.616600790514</v>
      </c>
      <c r="Z242" s="41">
        <f>F242/'1. Väestöennuste'!H242*1000</f>
        <v>1702.463054187192</v>
      </c>
      <c r="AA242" s="41">
        <f>G242/'1. Väestöennuste'!I242*1000</f>
        <v>1501.4925373134329</v>
      </c>
      <c r="AB242" s="41">
        <f>H242/'1. Väestöennuste'!J242*1000</f>
        <v>1277.5024777006938</v>
      </c>
      <c r="AC242" s="41">
        <f>I242/'1. Väestöennuste'!K242*1000</f>
        <v>1071.7522299306243</v>
      </c>
      <c r="AD242" s="41">
        <f>J242/'1. Väestöennuste'!L242*1000</f>
        <v>1149.1833097165991</v>
      </c>
      <c r="AE242" s="41">
        <f>K242/'1. Väestöennuste'!M242*1000</f>
        <v>951.11451942740291</v>
      </c>
      <c r="AF242" s="41">
        <f>L242/'1. Väestöennuste'!N242*1000</f>
        <v>1395.827600390038</v>
      </c>
      <c r="AG242" s="41">
        <f>M242/'1. Väestöennuste'!O242*1000</f>
        <v>1898.1526720187703</v>
      </c>
      <c r="AH242" s="41">
        <f>N242/'1. Väestöennuste'!P242*1000</f>
        <v>2410.5386403303396</v>
      </c>
      <c r="AI242" s="41">
        <f>O242/'1. Väestöennuste'!Q242*1000</f>
        <v>2975.2625152105279</v>
      </c>
      <c r="AJ242" s="41">
        <f>P242/'1. Väestöennuste'!R242*1000</f>
        <v>3517.2834022075062</v>
      </c>
    </row>
    <row r="243" spans="1:36" x14ac:dyDescent="0.2">
      <c r="A243" s="30">
        <v>743</v>
      </c>
      <c r="B243" s="31" t="s">
        <v>557</v>
      </c>
      <c r="C243" s="81">
        <v>230391</v>
      </c>
      <c r="D243" s="46">
        <v>236847</v>
      </c>
      <c r="E243" s="46">
        <v>266508</v>
      </c>
      <c r="F243" s="46">
        <v>293349</v>
      </c>
      <c r="G243" s="80">
        <v>331737</v>
      </c>
      <c r="H243" s="80">
        <v>332644</v>
      </c>
      <c r="I243" s="80">
        <v>351777.12599999999</v>
      </c>
      <c r="J243" s="80">
        <v>324592.26899999997</v>
      </c>
      <c r="K243" s="80">
        <v>360270.82699999999</v>
      </c>
      <c r="L243" s="80">
        <f>K243-'Toim ja inv rahavirta'!L243</f>
        <v>366657.43445937161</v>
      </c>
      <c r="M243" s="80">
        <f>L243-'Toim ja inv rahavirta'!M243</f>
        <v>402168.0234048792</v>
      </c>
      <c r="N243" s="80">
        <f>M243-'Toim ja inv rahavirta'!N243</f>
        <v>436695.59782829985</v>
      </c>
      <c r="O243" s="80">
        <f>N243-'Toim ja inv rahavirta'!O243</f>
        <v>471519.39596443844</v>
      </c>
      <c r="P243" s="80">
        <f>O243-'Toim ja inv rahavirta'!P243</f>
        <v>505121.99873875687</v>
      </c>
      <c r="U243" s="34">
        <v>743</v>
      </c>
      <c r="V243" s="88" t="s">
        <v>557</v>
      </c>
      <c r="W243" s="41">
        <f>C243/'1. Väestöennuste'!E243*1000</f>
        <v>3744.3686006825942</v>
      </c>
      <c r="X243" s="41">
        <f>D243/'1. Väestöennuste'!F243*1000</f>
        <v>3816.9116225101529</v>
      </c>
      <c r="Y243" s="41">
        <f>E243/'1. Väestöennuste'!G243*1000</f>
        <v>4252.153934520391</v>
      </c>
      <c r="Z243" s="41">
        <f>F243/'1. Väestöennuste'!H243*1000</f>
        <v>4635.144103147516</v>
      </c>
      <c r="AA243" s="41">
        <f>G243/'1. Väestöennuste'!I243*1000</f>
        <v>5201.1884416989387</v>
      </c>
      <c r="AB243" s="41">
        <f>H243/'1. Väestöennuste'!J243*1000</f>
        <v>5187.0263527210345</v>
      </c>
      <c r="AC243" s="41">
        <f>I243/'1. Väestöennuste'!K243*1000</f>
        <v>5434.0262913989127</v>
      </c>
      <c r="AD243" s="41">
        <f>J243/'1. Väestöennuste'!L243*1000</f>
        <v>4969.0349340967186</v>
      </c>
      <c r="AE243" s="41">
        <f>K243/'1. Väestöennuste'!M243*1000</f>
        <v>5445.4478083434096</v>
      </c>
      <c r="AF243" s="41">
        <f>L243/'1. Väestöennuste'!N243*1000</f>
        <v>5547.8504230499566</v>
      </c>
      <c r="AG243" s="41">
        <f>M243/'1. Väestöennuste'!O243*1000</f>
        <v>6049.0038866643481</v>
      </c>
      <c r="AH243" s="41">
        <f>N243/'1. Väestöennuste'!P243*1000</f>
        <v>6531.9811207583552</v>
      </c>
      <c r="AI243" s="41">
        <f>O243/'1. Väestöennuste'!Q243*1000</f>
        <v>7016.4488551596451</v>
      </c>
      <c r="AJ243" s="41">
        <f>P243/'1. Väestöennuste'!R243*1000</f>
        <v>7481.5154739433156</v>
      </c>
    </row>
    <row r="244" spans="1:36" x14ac:dyDescent="0.2">
      <c r="A244" s="30">
        <v>746</v>
      </c>
      <c r="B244" s="31" t="s">
        <v>558</v>
      </c>
      <c r="C244" s="81">
        <v>18686</v>
      </c>
      <c r="D244" s="46">
        <v>16998</v>
      </c>
      <c r="E244" s="46">
        <v>17442</v>
      </c>
      <c r="F244" s="46">
        <v>20890</v>
      </c>
      <c r="G244" s="80">
        <v>21853</v>
      </c>
      <c r="H244" s="80">
        <v>20838</v>
      </c>
      <c r="I244" s="80">
        <v>20222.858</v>
      </c>
      <c r="J244" s="80">
        <v>13607.337999999998</v>
      </c>
      <c r="K244" s="80">
        <v>10491.817999999999</v>
      </c>
      <c r="L244" s="80">
        <f>K244-'Toim ja inv rahavirta'!L244</f>
        <v>10854.863566469567</v>
      </c>
      <c r="M244" s="80">
        <f>L244-'Toim ja inv rahavirta'!M244</f>
        <v>10622.215384591884</v>
      </c>
      <c r="N244" s="80">
        <f>M244-'Toim ja inv rahavirta'!N244</f>
        <v>10311.114360592408</v>
      </c>
      <c r="O244" s="80">
        <f>N244-'Toim ja inv rahavirta'!O244</f>
        <v>10244.513358393075</v>
      </c>
      <c r="P244" s="80">
        <f>O244-'Toim ja inv rahavirta'!P244</f>
        <v>10038.623375870484</v>
      </c>
      <c r="U244" s="34">
        <v>746</v>
      </c>
      <c r="V244" s="88" t="s">
        <v>558</v>
      </c>
      <c r="W244" s="41">
        <f>C244/'1. Väestöennuste'!E244*1000</f>
        <v>3646.7603434816551</v>
      </c>
      <c r="X244" s="41">
        <f>D244/'1. Väestöennuste'!F244*1000</f>
        <v>3353.3241270467547</v>
      </c>
      <c r="Y244" s="41">
        <f>E244/'1. Väestöennuste'!G244*1000</f>
        <v>3464.1509433962265</v>
      </c>
      <c r="Z244" s="41">
        <f>F244/'1. Väestöennuste'!H244*1000</f>
        <v>4194.7791164658629</v>
      </c>
      <c r="AA244" s="41">
        <f>G244/'1. Väestöennuste'!I244*1000</f>
        <v>4450.7128309572299</v>
      </c>
      <c r="AB244" s="41">
        <f>H244/'1. Väestöennuste'!J244*1000</f>
        <v>4310.715763342987</v>
      </c>
      <c r="AC244" s="41">
        <f>I244/'1. Väestöennuste'!K244*1000</f>
        <v>4229.8385275047067</v>
      </c>
      <c r="AD244" s="41">
        <f>J244/'1. Väestöennuste'!L244*1000</f>
        <v>2873.7778247096089</v>
      </c>
      <c r="AE244" s="41">
        <f>K244/'1. Väestöennuste'!M244*1000</f>
        <v>2226.1442817738171</v>
      </c>
      <c r="AF244" s="41">
        <f>L244/'1. Väestöennuste'!N244*1000</f>
        <v>2374.7240355435501</v>
      </c>
      <c r="AG244" s="41">
        <f>M244/'1. Väestöennuste'!O244*1000</f>
        <v>2359.4436660577267</v>
      </c>
      <c r="AH244" s="41">
        <f>N244/'1. Väestöennuste'!P244*1000</f>
        <v>2327.0400272156189</v>
      </c>
      <c r="AI244" s="41">
        <f>O244/'1. Väestöennuste'!Q244*1000</f>
        <v>2347.505352519036</v>
      </c>
      <c r="AJ244" s="41">
        <f>P244/'1. Väestöennuste'!R244*1000</f>
        <v>2335.1066238358885</v>
      </c>
    </row>
    <row r="245" spans="1:36" x14ac:dyDescent="0.2">
      <c r="A245" s="30">
        <v>747</v>
      </c>
      <c r="B245" s="31" t="s">
        <v>559</v>
      </c>
      <c r="C245" s="81">
        <v>2350</v>
      </c>
      <c r="D245" s="46">
        <v>2238</v>
      </c>
      <c r="E245" s="46">
        <v>2126</v>
      </c>
      <c r="F245" s="46">
        <v>2013</v>
      </c>
      <c r="G245" s="80">
        <v>1900</v>
      </c>
      <c r="H245" s="80">
        <v>1530</v>
      </c>
      <c r="I245" s="80">
        <v>0</v>
      </c>
      <c r="J245" s="80">
        <v>0</v>
      </c>
      <c r="K245" s="80">
        <v>0</v>
      </c>
      <c r="L245" s="80">
        <f>K245-'Toim ja inv rahavirta'!L245</f>
        <v>478.27572990965223</v>
      </c>
      <c r="M245" s="80">
        <f>L245-'Toim ja inv rahavirta'!M245</f>
        <v>262.22788417647422</v>
      </c>
      <c r="N245" s="80">
        <f>M245-'Toim ja inv rahavirta'!N245</f>
        <v>-66.627479731258006</v>
      </c>
      <c r="O245" s="80">
        <f>N245-'Toim ja inv rahavirta'!O245</f>
        <v>-330.4126755162539</v>
      </c>
      <c r="P245" s="80">
        <f>O245-'Toim ja inv rahavirta'!P245</f>
        <v>-682.54129136573397</v>
      </c>
      <c r="U245" s="34">
        <v>747</v>
      </c>
      <c r="V245" s="88" t="s">
        <v>559</v>
      </c>
      <c r="W245" s="41">
        <f>C245/'1. Väestöennuste'!E245*1000</f>
        <v>1538.9652914210872</v>
      </c>
      <c r="X245" s="41">
        <f>D245/'1. Väestöennuste'!F245*1000</f>
        <v>1497.9919678714859</v>
      </c>
      <c r="Y245" s="41">
        <f>E245/'1. Väestöennuste'!G245*1000</f>
        <v>1440.3794037940379</v>
      </c>
      <c r="Z245" s="41">
        <f>F245/'1. Väestöennuste'!H245*1000</f>
        <v>1380.6584362139918</v>
      </c>
      <c r="AA245" s="41">
        <f>G245/'1. Väestöennuste'!I245*1000</f>
        <v>1322.1990257480863</v>
      </c>
      <c r="AB245" s="41">
        <f>H245/'1. Väestöennuste'!J245*1000</f>
        <v>1104.6931407942238</v>
      </c>
      <c r="AC245" s="41">
        <f>I245/'1. Väestöennuste'!K245*1000</f>
        <v>0</v>
      </c>
      <c r="AD245" s="41">
        <f>J245/'1. Väestöennuste'!L245*1000</f>
        <v>0</v>
      </c>
      <c r="AE245" s="41">
        <f>K245/'1. Väestöennuste'!M245*1000</f>
        <v>0</v>
      </c>
      <c r="AF245" s="41">
        <f>L245/'1. Väestöennuste'!N245*1000</f>
        <v>370.18245349044287</v>
      </c>
      <c r="AG245" s="41">
        <f>M245/'1. Väestöennuste'!O245*1000</f>
        <v>205.66892876586212</v>
      </c>
      <c r="AH245" s="41">
        <f>N245/'1. Väestöennuste'!P245*1000</f>
        <v>-52.963020454100167</v>
      </c>
      <c r="AI245" s="41">
        <f>O245/'1. Väestöennuste'!Q245*1000</f>
        <v>-265.81872527454055</v>
      </c>
      <c r="AJ245" s="41">
        <f>P245/'1. Väestöennuste'!R245*1000</f>
        <v>-557.17656438019105</v>
      </c>
    </row>
    <row r="246" spans="1:36" x14ac:dyDescent="0.2">
      <c r="A246" s="30">
        <v>748</v>
      </c>
      <c r="B246" s="31" t="s">
        <v>560</v>
      </c>
      <c r="C246" s="81">
        <v>16497</v>
      </c>
      <c r="D246" s="46">
        <v>18240</v>
      </c>
      <c r="E246" s="46">
        <v>16751</v>
      </c>
      <c r="F246" s="46">
        <v>14793</v>
      </c>
      <c r="G246" s="80">
        <v>13301</v>
      </c>
      <c r="H246" s="80">
        <v>11478</v>
      </c>
      <c r="I246" s="80">
        <v>9968.0191799999993</v>
      </c>
      <c r="J246" s="80">
        <v>7342.3448499999995</v>
      </c>
      <c r="K246" s="80">
        <v>11107.048130000001</v>
      </c>
      <c r="L246" s="80">
        <f>K246-'Toim ja inv rahavirta'!L246</f>
        <v>12462.905597526451</v>
      </c>
      <c r="M246" s="80">
        <f>L246-'Toim ja inv rahavirta'!M246</f>
        <v>15626.386352497051</v>
      </c>
      <c r="N246" s="80">
        <f>M246-'Toim ja inv rahavirta'!N246</f>
        <v>18966.233317889753</v>
      </c>
      <c r="O246" s="80">
        <f>N246-'Toim ja inv rahavirta'!O246</f>
        <v>22564.569515147836</v>
      </c>
      <c r="P246" s="80">
        <f>O246-'Toim ja inv rahavirta'!P246</f>
        <v>26127.463412731493</v>
      </c>
      <c r="U246" s="34">
        <v>748</v>
      </c>
      <c r="V246" s="88" t="s">
        <v>560</v>
      </c>
      <c r="W246" s="41">
        <f>C246/'1. Väestöennuste'!E246*1000</f>
        <v>3018.1119648737649</v>
      </c>
      <c r="X246" s="41">
        <f>D246/'1. Väestöennuste'!F246*1000</f>
        <v>3399.1800223630262</v>
      </c>
      <c r="Y246" s="41">
        <f>E246/'1. Väestöennuste'!G246*1000</f>
        <v>3135.1300767359162</v>
      </c>
      <c r="Z246" s="41">
        <f>F246/'1. Väestöennuste'!H246*1000</f>
        <v>2818.2510954467521</v>
      </c>
      <c r="AA246" s="41">
        <f>G246/'1. Väestöennuste'!I246*1000</f>
        <v>2585.228377065112</v>
      </c>
      <c r="AB246" s="41">
        <f>H246/'1. Väestöennuste'!J246*1000</f>
        <v>2280.0953516090585</v>
      </c>
      <c r="AC246" s="41">
        <f>I246/'1. Väestöennuste'!K246*1000</f>
        <v>1982.5018257756562</v>
      </c>
      <c r="AD246" s="41">
        <f>J246/'1. Väestöennuste'!L246*1000</f>
        <v>1499.3556973657339</v>
      </c>
      <c r="AE246" s="41">
        <f>K246/'1. Väestöennuste'!M246*1000</f>
        <v>2296.2679615464135</v>
      </c>
      <c r="AF246" s="41">
        <f>L246/'1. Väestöennuste'!N246*1000</f>
        <v>2675.5915838399424</v>
      </c>
      <c r="AG246" s="41">
        <f>M246/'1. Väestöennuste'!O246*1000</f>
        <v>3416.3503175551054</v>
      </c>
      <c r="AH246" s="41">
        <f>N246/'1. Väestöennuste'!P246*1000</f>
        <v>4216.5925562227112</v>
      </c>
      <c r="AI246" s="41">
        <f>O246/'1. Väestöennuste'!Q246*1000</f>
        <v>5099.3377435362336</v>
      </c>
      <c r="AJ246" s="41">
        <f>P246/'1. Väestöennuste'!R246*1000</f>
        <v>6000.7954553816016</v>
      </c>
    </row>
    <row r="247" spans="1:36" x14ac:dyDescent="0.2">
      <c r="A247" s="30">
        <v>749</v>
      </c>
      <c r="B247" s="31" t="s">
        <v>561</v>
      </c>
      <c r="C247" s="81">
        <v>58683</v>
      </c>
      <c r="D247" s="46">
        <v>61061</v>
      </c>
      <c r="E247" s="46">
        <v>63389</v>
      </c>
      <c r="F247" s="46">
        <v>69795</v>
      </c>
      <c r="G247" s="80">
        <v>78282</v>
      </c>
      <c r="H247" s="80">
        <v>80950</v>
      </c>
      <c r="I247" s="80">
        <v>74118.467329999999</v>
      </c>
      <c r="J247" s="80">
        <v>67349.81035</v>
      </c>
      <c r="K247" s="80">
        <v>66702.665590000004</v>
      </c>
      <c r="L247" s="80">
        <f>K247-'Toim ja inv rahavirta'!L247</f>
        <v>62456.257485760638</v>
      </c>
      <c r="M247" s="80">
        <f>L247-'Toim ja inv rahavirta'!M247</f>
        <v>61986.398303105161</v>
      </c>
      <c r="N247" s="80">
        <f>M247-'Toim ja inv rahavirta'!N247</f>
        <v>63277.254210136118</v>
      </c>
      <c r="O247" s="80">
        <f>N247-'Toim ja inv rahavirta'!O247</f>
        <v>64237.02073774414</v>
      </c>
      <c r="P247" s="80">
        <f>O247-'Toim ja inv rahavirta'!P247</f>
        <v>63095.839658567078</v>
      </c>
      <c r="U247" s="34">
        <v>749</v>
      </c>
      <c r="V247" s="88" t="s">
        <v>561</v>
      </c>
      <c r="W247" s="41">
        <f>C247/'1. Väestöennuste'!E247*1000</f>
        <v>2692.6218225199596</v>
      </c>
      <c r="X247" s="41">
        <f>D247/'1. Väestöennuste'!F247*1000</f>
        <v>2805.0808526277106</v>
      </c>
      <c r="Y247" s="41">
        <f>E247/'1. Väestöennuste'!G247*1000</f>
        <v>2926.9520247495038</v>
      </c>
      <c r="Z247" s="41">
        <f>F247/'1. Väestöennuste'!H247*1000</f>
        <v>3220.217772446249</v>
      </c>
      <c r="AA247" s="41">
        <f>G247/'1. Väestöennuste'!I247*1000</f>
        <v>3654.1100686178406</v>
      </c>
      <c r="AB247" s="41">
        <f>H247/'1. Väestöennuste'!J247*1000</f>
        <v>3809.2325067055672</v>
      </c>
      <c r="AC247" s="41">
        <f>I247/'1. Väestöennuste'!K247*1000</f>
        <v>3480.884202789649</v>
      </c>
      <c r="AD247" s="41">
        <f>J247/'1. Väestöennuste'!L247*1000</f>
        <v>3172.0897866428036</v>
      </c>
      <c r="AE247" s="41">
        <f>K247/'1. Väestöennuste'!M247*1000</f>
        <v>3133.0514603100046</v>
      </c>
      <c r="AF247" s="41">
        <f>L247/'1. Väestöennuste'!N247*1000</f>
        <v>2996.3662198119669</v>
      </c>
      <c r="AG247" s="41">
        <f>M247/'1. Väestöennuste'!O247*1000</f>
        <v>2988.5925607784175</v>
      </c>
      <c r="AH247" s="41">
        <f>N247/'1. Väestöennuste'!P247*1000</f>
        <v>3067.6906098868531</v>
      </c>
      <c r="AI247" s="41">
        <f>O247/'1. Väestöennuste'!Q247*1000</f>
        <v>3132.2908493146156</v>
      </c>
      <c r="AJ247" s="41">
        <f>P247/'1. Väestöennuste'!R247*1000</f>
        <v>3094.9055603358552</v>
      </c>
    </row>
    <row r="248" spans="1:36" x14ac:dyDescent="0.2">
      <c r="A248" s="30">
        <v>751</v>
      </c>
      <c r="B248" s="31" t="s">
        <v>562</v>
      </c>
      <c r="C248" s="81">
        <v>7343</v>
      </c>
      <c r="D248" s="46">
        <v>6432</v>
      </c>
      <c r="E248" s="46">
        <v>5527</v>
      </c>
      <c r="F248" s="46">
        <v>4663</v>
      </c>
      <c r="G248" s="80">
        <v>4750</v>
      </c>
      <c r="H248" s="80">
        <v>4832</v>
      </c>
      <c r="I248" s="80">
        <v>5123.991</v>
      </c>
      <c r="J248" s="80">
        <v>4212</v>
      </c>
      <c r="K248" s="80">
        <v>3414.3719999999998</v>
      </c>
      <c r="L248" s="80">
        <f>K248-'Toim ja inv rahavirta'!L248</f>
        <v>4653.6837713461628</v>
      </c>
      <c r="M248" s="80">
        <f>L248-'Toim ja inv rahavirta'!M248</f>
        <v>5343.5104483760042</v>
      </c>
      <c r="N248" s="80">
        <f>M248-'Toim ja inv rahavirta'!N248</f>
        <v>6391.7563881006135</v>
      </c>
      <c r="O248" s="80">
        <f>N248-'Toim ja inv rahavirta'!O248</f>
        <v>7776.5665362798081</v>
      </c>
      <c r="P248" s="80">
        <f>O248-'Toim ja inv rahavirta'!P248</f>
        <v>9018.7811274373653</v>
      </c>
      <c r="U248" s="34">
        <v>751</v>
      </c>
      <c r="V248" s="88" t="s">
        <v>562</v>
      </c>
      <c r="W248" s="41">
        <f>C248/'1. Väestöennuste'!E248*1000</f>
        <v>2267.7578752316244</v>
      </c>
      <c r="X248" s="41">
        <f>D248/'1. Väestöennuste'!F248*1000</f>
        <v>2029.0220820189274</v>
      </c>
      <c r="Y248" s="41">
        <f>E248/'1. Väestöennuste'!G248*1000</f>
        <v>1777.170418006431</v>
      </c>
      <c r="Z248" s="41">
        <f>F248/'1. Väestöennuste'!H248*1000</f>
        <v>1531.3628899835796</v>
      </c>
      <c r="AA248" s="41">
        <f>G248/'1. Väestöennuste'!I248*1000</f>
        <v>1589.6921017402944</v>
      </c>
      <c r="AB248" s="41">
        <f>H248/'1. Väestöennuste'!J248*1000</f>
        <v>1637.9661016949151</v>
      </c>
      <c r="AC248" s="41">
        <f>I248/'1. Väestöennuste'!K248*1000</f>
        <v>1764.4597107438017</v>
      </c>
      <c r="AD248" s="41">
        <f>J248/'1. Väestöennuste'!L248*1000</f>
        <v>1464.0250260688217</v>
      </c>
      <c r="AE248" s="41">
        <f>K248/'1. Väestöennuste'!M248*1000</f>
        <v>1207.3451202263084</v>
      </c>
      <c r="AF248" s="41">
        <f>L248/'1. Väestöennuste'!N248*1000</f>
        <v>1683.0682717345978</v>
      </c>
      <c r="AG248" s="41">
        <f>M248/'1. Väestöennuste'!O248*1000</f>
        <v>1964.5259001382369</v>
      </c>
      <c r="AH248" s="41">
        <f>N248/'1. Väestöennuste'!P248*1000</f>
        <v>2386.7648947351058</v>
      </c>
      <c r="AI248" s="41">
        <f>O248/'1. Väestöennuste'!Q248*1000</f>
        <v>2944.553781249454</v>
      </c>
      <c r="AJ248" s="41">
        <f>P248/'1. Väestöennuste'!R248*1000</f>
        <v>3468.7619720912944</v>
      </c>
    </row>
    <row r="249" spans="1:36" x14ac:dyDescent="0.2">
      <c r="A249" s="30">
        <v>753</v>
      </c>
      <c r="B249" s="31" t="s">
        <v>563</v>
      </c>
      <c r="C249" s="81">
        <v>38728</v>
      </c>
      <c r="D249" s="46">
        <v>46846</v>
      </c>
      <c r="E249" s="46">
        <v>51589</v>
      </c>
      <c r="F249" s="46">
        <v>69035</v>
      </c>
      <c r="G249" s="80">
        <v>105729</v>
      </c>
      <c r="H249" s="80">
        <v>109374</v>
      </c>
      <c r="I249" s="80">
        <v>131198.18885999999</v>
      </c>
      <c r="J249" s="80">
        <v>107228.78544999998</v>
      </c>
      <c r="K249" s="80">
        <v>101331.42875000001</v>
      </c>
      <c r="L249" s="80">
        <f>K249-'Toim ja inv rahavirta'!L249</f>
        <v>105848.06208399874</v>
      </c>
      <c r="M249" s="80">
        <f>L249-'Toim ja inv rahavirta'!M249</f>
        <v>111935.70577243849</v>
      </c>
      <c r="N249" s="80">
        <f>M249-'Toim ja inv rahavirta'!N249</f>
        <v>119660.84232859995</v>
      </c>
      <c r="O249" s="80">
        <f>N249-'Toim ja inv rahavirta'!O249</f>
        <v>128603.09980204557</v>
      </c>
      <c r="P249" s="80">
        <f>O249-'Toim ja inv rahavirta'!P249</f>
        <v>137556.1049395731</v>
      </c>
      <c r="U249" s="34">
        <v>753</v>
      </c>
      <c r="V249" s="88" t="s">
        <v>563</v>
      </c>
      <c r="W249" s="41">
        <f>C249/'1. Väestöennuste'!E249*1000</f>
        <v>1996.3915665755967</v>
      </c>
      <c r="X249" s="41">
        <f>D249/'1. Väestöennuste'!F249*1000</f>
        <v>2351.4707358698925</v>
      </c>
      <c r="Y249" s="41">
        <f>E249/'1. Väestöennuste'!G249*1000</f>
        <v>2540.0787789266374</v>
      </c>
      <c r="Z249" s="41">
        <f>F249/'1. Väestöennuste'!H249*1000</f>
        <v>3340.5109842252978</v>
      </c>
      <c r="AA249" s="41">
        <f>G249/'1. Väestöennuste'!I249*1000</f>
        <v>4994.2843646669817</v>
      </c>
      <c r="AB249" s="41">
        <f>H249/'1. Väestöennuste'!J249*1000</f>
        <v>5043.297828192005</v>
      </c>
      <c r="AC249" s="41">
        <f>I249/'1. Väestöennuste'!K249*1000</f>
        <v>5912.4916115367278</v>
      </c>
      <c r="AD249" s="41">
        <f>J249/'1. Väestöennuste'!L249*1000</f>
        <v>4804.1570542114687</v>
      </c>
      <c r="AE249" s="41">
        <f>K249/'1. Väestöennuste'!M249*1000</f>
        <v>4484.6837242752827</v>
      </c>
      <c r="AF249" s="41">
        <f>L249/'1. Väestöennuste'!N249*1000</f>
        <v>4554.5637729775708</v>
      </c>
      <c r="AG249" s="41">
        <f>M249/'1. Väestöennuste'!O249*1000</f>
        <v>4742.2346116098324</v>
      </c>
      <c r="AH249" s="41">
        <f>N249/'1. Väestöennuste'!P249*1000</f>
        <v>4994.1920838313836</v>
      </c>
      <c r="AI249" s="41">
        <f>O249/'1. Väestöennuste'!Q249*1000</f>
        <v>5291.8730887188531</v>
      </c>
      <c r="AJ249" s="41">
        <f>P249/'1. Väestöennuste'!R249*1000</f>
        <v>5584.6739856105351</v>
      </c>
    </row>
    <row r="250" spans="1:36" x14ac:dyDescent="0.2">
      <c r="A250" s="30">
        <v>755</v>
      </c>
      <c r="B250" s="31" t="s">
        <v>564</v>
      </c>
      <c r="C250" s="81">
        <v>22380</v>
      </c>
      <c r="D250" s="46">
        <v>20395</v>
      </c>
      <c r="E250" s="46">
        <v>21295</v>
      </c>
      <c r="F250" s="46">
        <v>22000</v>
      </c>
      <c r="G250" s="80">
        <v>22280</v>
      </c>
      <c r="H250" s="80">
        <v>22010</v>
      </c>
      <c r="I250" s="80">
        <v>20988.227060000001</v>
      </c>
      <c r="J250" s="80">
        <v>20898.227060000001</v>
      </c>
      <c r="K250" s="80">
        <v>23550</v>
      </c>
      <c r="L250" s="80">
        <f>K250-'Toim ja inv rahavirta'!L250</f>
        <v>27666.559274882093</v>
      </c>
      <c r="M250" s="80">
        <f>L250-'Toim ja inv rahavirta'!M250</f>
        <v>32382.715784324515</v>
      </c>
      <c r="N250" s="80">
        <f>M250-'Toim ja inv rahavirta'!N250</f>
        <v>37205.846676223628</v>
      </c>
      <c r="O250" s="80">
        <f>N250-'Toim ja inv rahavirta'!O250</f>
        <v>42586.930551803111</v>
      </c>
      <c r="P250" s="80">
        <f>O250-'Toim ja inv rahavirta'!P250</f>
        <v>48106.987958466016</v>
      </c>
      <c r="U250" s="34">
        <v>755</v>
      </c>
      <c r="V250" s="88" t="s">
        <v>564</v>
      </c>
      <c r="W250" s="41">
        <f>C250/'1. Väestöennuste'!E250*1000</f>
        <v>3620.1876415399547</v>
      </c>
      <c r="X250" s="41">
        <f>D250/'1. Väestöennuste'!F250*1000</f>
        <v>3301.230171576562</v>
      </c>
      <c r="Y250" s="41">
        <f>E250/'1. Väestöennuste'!G250*1000</f>
        <v>3464.8551903677189</v>
      </c>
      <c r="Z250" s="41">
        <f>F250/'1. Väestöennuste'!H250*1000</f>
        <v>3586.5666775350505</v>
      </c>
      <c r="AA250" s="41">
        <f>G250/'1. Väestöennuste'!I250*1000</f>
        <v>3625.7119609438569</v>
      </c>
      <c r="AB250" s="41">
        <f>H250/'1. Väestöennuste'!J250*1000</f>
        <v>3579.4438120019513</v>
      </c>
      <c r="AC250" s="41">
        <f>I250/'1. Väestöennuste'!K250*1000</f>
        <v>3386.2902646014845</v>
      </c>
      <c r="AD250" s="41">
        <f>J250/'1. Väestöennuste'!L250*1000</f>
        <v>3361.4648640823548</v>
      </c>
      <c r="AE250" s="41">
        <f>K250/'1. Väestöennuste'!M250*1000</f>
        <v>3824.2936018187725</v>
      </c>
      <c r="AF250" s="41">
        <f>L250/'1. Väestöennuste'!N250*1000</f>
        <v>4468.8352891103359</v>
      </c>
      <c r="AG250" s="41">
        <f>M250/'1. Väestöennuste'!O250*1000</f>
        <v>5223.018674891051</v>
      </c>
      <c r="AH250" s="41">
        <f>N250/'1. Väestöennuste'!P250*1000</f>
        <v>5994.1753949127797</v>
      </c>
      <c r="AI250" s="41">
        <f>O250/'1. Väestöennuste'!Q250*1000</f>
        <v>6855.590880844029</v>
      </c>
      <c r="AJ250" s="41">
        <f>P250/'1. Väestöennuste'!R250*1000</f>
        <v>7737.9745791323812</v>
      </c>
    </row>
    <row r="251" spans="1:36" x14ac:dyDescent="0.2">
      <c r="A251" s="30">
        <v>758</v>
      </c>
      <c r="B251" s="31" t="s">
        <v>565</v>
      </c>
      <c r="C251" s="81">
        <v>28449</v>
      </c>
      <c r="D251" s="46">
        <v>27953</v>
      </c>
      <c r="E251" s="46">
        <v>27506</v>
      </c>
      <c r="F251" s="46">
        <v>30511</v>
      </c>
      <c r="G251" s="80">
        <v>33706</v>
      </c>
      <c r="H251" s="80">
        <v>32906</v>
      </c>
      <c r="I251" s="80">
        <v>24002.816609999994</v>
      </c>
      <c r="J251" s="80">
        <v>24882.181329999996</v>
      </c>
      <c r="K251" s="80">
        <v>22369.561060000004</v>
      </c>
      <c r="L251" s="80">
        <f>K251-'Toim ja inv rahavirta'!L251</f>
        <v>15705.307628647712</v>
      </c>
      <c r="M251" s="80">
        <f>L251-'Toim ja inv rahavirta'!M251</f>
        <v>9519.7163475592461</v>
      </c>
      <c r="N251" s="80">
        <f>M251-'Toim ja inv rahavirta'!N251</f>
        <v>3738.3276931038345</v>
      </c>
      <c r="O251" s="80">
        <f>N251-'Toim ja inv rahavirta'!O251</f>
        <v>-2619.8154555834208</v>
      </c>
      <c r="P251" s="80">
        <f>O251-'Toim ja inv rahavirta'!P251</f>
        <v>-9662.9405071703241</v>
      </c>
      <c r="U251" s="34">
        <v>758</v>
      </c>
      <c r="V251" s="88" t="s">
        <v>565</v>
      </c>
      <c r="W251" s="41">
        <f>C251/'1. Väestöennuste'!E251*1000</f>
        <v>3239.4670917786384</v>
      </c>
      <c r="X251" s="41">
        <f>D251/'1. Väestöennuste'!F251*1000</f>
        <v>3230.4403097191725</v>
      </c>
      <c r="Y251" s="41">
        <f>E251/'1. Väestöennuste'!G251*1000</f>
        <v>3218.9584552369806</v>
      </c>
      <c r="Z251" s="41">
        <f>F251/'1. Väestöennuste'!H251*1000</f>
        <v>3613.3349123638086</v>
      </c>
      <c r="AA251" s="41">
        <f>G251/'1. Väestöennuste'!I251*1000</f>
        <v>4059.496567505721</v>
      </c>
      <c r="AB251" s="41">
        <f>H251/'1. Väestöennuste'!J251*1000</f>
        <v>3980.8855552867167</v>
      </c>
      <c r="AC251" s="41">
        <f>I251/'1. Väestöennuste'!K251*1000</f>
        <v>2931.8207658482957</v>
      </c>
      <c r="AD251" s="41">
        <f>J251/'1. Väestöennuste'!L251*1000</f>
        <v>3059.0338492746491</v>
      </c>
      <c r="AE251" s="41">
        <f>K251/'1. Väestöennuste'!M251*1000</f>
        <v>2752.8379350233822</v>
      </c>
      <c r="AF251" s="41">
        <f>L251/'1. Väestöennuste'!N251*1000</f>
        <v>1993.3123021509978</v>
      </c>
      <c r="AG251" s="41">
        <f>M251/'1. Väestöennuste'!O251*1000</f>
        <v>1220.7894777583028</v>
      </c>
      <c r="AH251" s="41">
        <f>N251/'1. Väestöennuste'!P251*1000</f>
        <v>484.42758754747109</v>
      </c>
      <c r="AI251" s="41">
        <f>O251/'1. Väestöennuste'!Q251*1000</f>
        <v>-343.13234519756656</v>
      </c>
      <c r="AJ251" s="41">
        <f>P251/'1. Väestöennuste'!R251*1000</f>
        <v>-1278.6741441273421</v>
      </c>
    </row>
    <row r="252" spans="1:36" x14ac:dyDescent="0.2">
      <c r="A252" s="30">
        <v>759</v>
      </c>
      <c r="B252" s="31" t="s">
        <v>566</v>
      </c>
      <c r="C252" s="81">
        <v>9173</v>
      </c>
      <c r="D252" s="46">
        <v>8827</v>
      </c>
      <c r="E252" s="46">
        <v>9461</v>
      </c>
      <c r="F252" s="46">
        <v>8183</v>
      </c>
      <c r="G252" s="80">
        <v>8031</v>
      </c>
      <c r="H252" s="80">
        <v>6375</v>
      </c>
      <c r="I252" s="80">
        <v>7792.3850000000002</v>
      </c>
      <c r="J252" s="80">
        <v>6613.0879999999997</v>
      </c>
      <c r="K252" s="80">
        <v>5571.28352</v>
      </c>
      <c r="L252" s="80">
        <f>K252-'Toim ja inv rahavirta'!L252</f>
        <v>5121.3343319912856</v>
      </c>
      <c r="M252" s="80">
        <f>L252-'Toim ja inv rahavirta'!M252</f>
        <v>4967.0590996431565</v>
      </c>
      <c r="N252" s="80">
        <f>M252-'Toim ja inv rahavirta'!N252</f>
        <v>4821.2515469324253</v>
      </c>
      <c r="O252" s="80">
        <f>N252-'Toim ja inv rahavirta'!O252</f>
        <v>4709.1330600946485</v>
      </c>
      <c r="P252" s="80">
        <f>O252-'Toim ja inv rahavirta'!P252</f>
        <v>4356.0679665991074</v>
      </c>
      <c r="U252" s="34">
        <v>759</v>
      </c>
      <c r="V252" s="88" t="s">
        <v>566</v>
      </c>
      <c r="W252" s="41">
        <f>C252/'1. Väestöennuste'!E252*1000</f>
        <v>4124.5503597122297</v>
      </c>
      <c r="X252" s="41">
        <f>D252/'1. Väestöennuste'!F252*1000</f>
        <v>4037.9688929551694</v>
      </c>
      <c r="Y252" s="41">
        <f>E252/'1. Väestöennuste'!G252*1000</f>
        <v>4475.4020813623465</v>
      </c>
      <c r="Z252" s="41">
        <f>F252/'1. Väestöennuste'!H252*1000</f>
        <v>3924.7002398081536</v>
      </c>
      <c r="AA252" s="41">
        <f>G252/'1. Väestöennuste'!I252*1000</f>
        <v>3913.7426900584796</v>
      </c>
      <c r="AB252" s="41">
        <f>H252/'1. Väestöennuste'!J252*1000</f>
        <v>3176.3826606875932</v>
      </c>
      <c r="AC252" s="41">
        <f>I252/'1. Väestöennuste'!K252*1000</f>
        <v>3902.0455683525288</v>
      </c>
      <c r="AD252" s="41">
        <f>J252/'1. Väestöennuste'!L252*1000</f>
        <v>3405.2976313079298</v>
      </c>
      <c r="AE252" s="41">
        <f>K252/'1. Väestöennuste'!M252*1000</f>
        <v>2974.5240363053922</v>
      </c>
      <c r="AF252" s="41">
        <f>L252/'1. Väestöennuste'!N252*1000</f>
        <v>2756.3693928908965</v>
      </c>
      <c r="AG252" s="41">
        <f>M252/'1. Väestöennuste'!O252*1000</f>
        <v>2717.209573108948</v>
      </c>
      <c r="AH252" s="41">
        <f>N252/'1. Väestöennuste'!P252*1000</f>
        <v>2685.934009433106</v>
      </c>
      <c r="AI252" s="41">
        <f>O252/'1. Väestöennuste'!Q252*1000</f>
        <v>2666.5532616617488</v>
      </c>
      <c r="AJ252" s="41">
        <f>P252/'1. Väestöennuste'!R252*1000</f>
        <v>2507.811149452566</v>
      </c>
    </row>
    <row r="253" spans="1:36" x14ac:dyDescent="0.2">
      <c r="A253" s="30">
        <v>761</v>
      </c>
      <c r="B253" s="31" t="s">
        <v>567</v>
      </c>
      <c r="C253" s="81">
        <v>10396</v>
      </c>
      <c r="D253" s="46">
        <v>14296</v>
      </c>
      <c r="E253" s="46">
        <v>18958</v>
      </c>
      <c r="F253" s="46">
        <v>22969</v>
      </c>
      <c r="G253" s="80">
        <v>21697</v>
      </c>
      <c r="H253" s="80">
        <v>17580</v>
      </c>
      <c r="I253" s="80">
        <v>15263.86017</v>
      </c>
      <c r="J253" s="80">
        <v>12945.944439999999</v>
      </c>
      <c r="K253" s="80">
        <v>12735.43584</v>
      </c>
      <c r="L253" s="80">
        <f>K253-'Toim ja inv rahavirta'!L253</f>
        <v>13789.240774303571</v>
      </c>
      <c r="M253" s="80">
        <f>L253-'Toim ja inv rahavirta'!M253</f>
        <v>15800.715587999714</v>
      </c>
      <c r="N253" s="80">
        <f>M253-'Toim ja inv rahavirta'!N253</f>
        <v>18304.326057418322</v>
      </c>
      <c r="O253" s="80">
        <f>N253-'Toim ja inv rahavirta'!O253</f>
        <v>21046.149938484348</v>
      </c>
      <c r="P253" s="80">
        <f>O253-'Toim ja inv rahavirta'!P253</f>
        <v>22762.107529067413</v>
      </c>
      <c r="U253" s="34">
        <v>761</v>
      </c>
      <c r="V253" s="88" t="s">
        <v>567</v>
      </c>
      <c r="W253" s="41">
        <f>C253/'1. Väestöennuste'!E253*1000</f>
        <v>1143.2970416804135</v>
      </c>
      <c r="X253" s="41">
        <f>D253/'1. Väestöennuste'!F253*1000</f>
        <v>1583.6933643513903</v>
      </c>
      <c r="Y253" s="41">
        <f>E253/'1. Väestöennuste'!G253*1000</f>
        <v>2125.5746159883392</v>
      </c>
      <c r="Z253" s="41">
        <f>F253/'1. Väestöennuste'!H253*1000</f>
        <v>2601.8350702310831</v>
      </c>
      <c r="AA253" s="41">
        <f>G253/'1. Väestöennuste'!I253*1000</f>
        <v>2490.7588106991157</v>
      </c>
      <c r="AB253" s="41">
        <f>H253/'1. Väestöennuste'!J253*1000</f>
        <v>2033.3102012491327</v>
      </c>
      <c r="AC253" s="41">
        <f>I253/'1. Väestöennuste'!K253*1000</f>
        <v>1782.536514072171</v>
      </c>
      <c r="AD253" s="41">
        <f>J253/'1. Väestöennuste'!L253*1000</f>
        <v>1536.4282506527413</v>
      </c>
      <c r="AE253" s="41">
        <f>K253/'1. Väestöennuste'!M253*1000</f>
        <v>1514.3205517241381</v>
      </c>
      <c r="AF253" s="41">
        <f>L253/'1. Väestöennuste'!N253*1000</f>
        <v>1663.9605133707701</v>
      </c>
      <c r="AG253" s="41">
        <f>M253/'1. Väestöennuste'!O253*1000</f>
        <v>1924.1007778859855</v>
      </c>
      <c r="AH253" s="41">
        <f>N253/'1. Väestöennuste'!P253*1000</f>
        <v>2248.4124870922888</v>
      </c>
      <c r="AI253" s="41">
        <f>O253/'1. Väestöennuste'!Q253*1000</f>
        <v>2606.6571635477271</v>
      </c>
      <c r="AJ253" s="41">
        <f>P253/'1. Väestöennuste'!R253*1000</f>
        <v>2840.2929285085365</v>
      </c>
    </row>
    <row r="254" spans="1:36" x14ac:dyDescent="0.2">
      <c r="A254" s="30">
        <v>762</v>
      </c>
      <c r="B254" s="31" t="s">
        <v>568</v>
      </c>
      <c r="C254" s="81">
        <v>9058</v>
      </c>
      <c r="D254" s="46">
        <v>10692</v>
      </c>
      <c r="E254" s="46">
        <v>11853</v>
      </c>
      <c r="F254" s="46">
        <v>10543</v>
      </c>
      <c r="G254" s="80">
        <v>10832</v>
      </c>
      <c r="H254" s="80">
        <v>8752</v>
      </c>
      <c r="I254" s="80">
        <v>7906.2104499999996</v>
      </c>
      <c r="J254" s="80">
        <v>7185.9741699999995</v>
      </c>
      <c r="K254" s="80">
        <v>5485.1607100000001</v>
      </c>
      <c r="L254" s="80">
        <f>K254-'Toim ja inv rahavirta'!L254</f>
        <v>3899.6460909111479</v>
      </c>
      <c r="M254" s="80">
        <f>L254-'Toim ja inv rahavirta'!M254</f>
        <v>4125.0207956522554</v>
      </c>
      <c r="N254" s="80">
        <f>M254-'Toim ja inv rahavirta'!N254</f>
        <v>4561.9515607607509</v>
      </c>
      <c r="O254" s="80">
        <f>N254-'Toim ja inv rahavirta'!O254</f>
        <v>5187.5239885245355</v>
      </c>
      <c r="P254" s="80">
        <f>O254-'Toim ja inv rahavirta'!P254</f>
        <v>5406.9748103818183</v>
      </c>
      <c r="U254" s="34">
        <v>762</v>
      </c>
      <c r="V254" s="88" t="s">
        <v>568</v>
      </c>
      <c r="W254" s="41">
        <f>C254/'1. Väestöennuste'!E254*1000</f>
        <v>2117.3445535296864</v>
      </c>
      <c r="X254" s="41">
        <f>D254/'1. Väestöennuste'!F254*1000</f>
        <v>2546.3205525125031</v>
      </c>
      <c r="Y254" s="41">
        <f>E254/'1. Väestöennuste'!G254*1000</f>
        <v>2908.7116564417179</v>
      </c>
      <c r="Z254" s="41">
        <f>F254/'1. Väestöennuste'!H254*1000</f>
        <v>2657.675825560877</v>
      </c>
      <c r="AA254" s="41">
        <f>G254/'1. Väestöennuste'!I254*1000</f>
        <v>2779.5740313061328</v>
      </c>
      <c r="AB254" s="41">
        <f>H254/'1. Väestöennuste'!J254*1000</f>
        <v>2278.5732882061966</v>
      </c>
      <c r="AC254" s="41">
        <f>I254/'1. Väestöennuste'!K254*1000</f>
        <v>2093.2513767540372</v>
      </c>
      <c r="AD254" s="41">
        <f>J254/'1. Väestöennuste'!L254*1000</f>
        <v>1956.9646432461871</v>
      </c>
      <c r="AE254" s="41">
        <f>K254/'1. Väestöennuste'!M254*1000</f>
        <v>1508.1552680780862</v>
      </c>
      <c r="AF254" s="41">
        <f>L254/'1. Väestöennuste'!N254*1000</f>
        <v>1096.6383832708516</v>
      </c>
      <c r="AG254" s="41">
        <f>M254/'1. Väestöennuste'!O254*1000</f>
        <v>1179.5884459972135</v>
      </c>
      <c r="AH254" s="41">
        <f>N254/'1. Väestöennuste'!P254*1000</f>
        <v>1325.3781408369409</v>
      </c>
      <c r="AI254" s="41">
        <f>O254/'1. Väestöennuste'!Q254*1000</f>
        <v>1529.7917984442745</v>
      </c>
      <c r="AJ254" s="41">
        <f>P254/'1. Väestöennuste'!R254*1000</f>
        <v>1618.3701916736959</v>
      </c>
    </row>
    <row r="255" spans="1:36" x14ac:dyDescent="0.2">
      <c r="A255" s="30">
        <v>765</v>
      </c>
      <c r="B255" s="31" t="s">
        <v>569</v>
      </c>
      <c r="C255" s="81">
        <v>22412</v>
      </c>
      <c r="D255" s="46">
        <v>29002</v>
      </c>
      <c r="E255" s="46">
        <v>30492</v>
      </c>
      <c r="F255" s="46">
        <v>31732</v>
      </c>
      <c r="G255" s="80">
        <v>31455</v>
      </c>
      <c r="H255" s="80">
        <v>25077</v>
      </c>
      <c r="I255" s="80">
        <v>23591.050709999996</v>
      </c>
      <c r="J255" s="80">
        <v>23737.817950000004</v>
      </c>
      <c r="K255" s="80">
        <v>49655.419190000001</v>
      </c>
      <c r="L255" s="80">
        <f>K255-'Toim ja inv rahavirta'!L255</f>
        <v>64770.670945792459</v>
      </c>
      <c r="M255" s="80">
        <f>L255-'Toim ja inv rahavirta'!M255</f>
        <v>83477.766976466097</v>
      </c>
      <c r="N255" s="80">
        <f>M255-'Toim ja inv rahavirta'!N255</f>
        <v>103161.05382208616</v>
      </c>
      <c r="O255" s="80">
        <f>N255-'Toim ja inv rahavirta'!O255</f>
        <v>123574.81185163131</v>
      </c>
      <c r="P255" s="80">
        <f>O255-'Toim ja inv rahavirta'!P255</f>
        <v>144000.91474387687</v>
      </c>
      <c r="U255" s="34">
        <v>765</v>
      </c>
      <c r="V255" s="88" t="s">
        <v>569</v>
      </c>
      <c r="W255" s="41">
        <f>C255/'1. Väestöennuste'!E255*1000</f>
        <v>2129.8108904304859</v>
      </c>
      <c r="X255" s="41">
        <f>D255/'1. Väestöennuste'!F255*1000</f>
        <v>2769.7450100276956</v>
      </c>
      <c r="Y255" s="41">
        <f>E255/'1. Väestöennuste'!G255*1000</f>
        <v>2925.4533243787778</v>
      </c>
      <c r="Z255" s="41">
        <f>F255/'1. Väestöennuste'!H255*1000</f>
        <v>3054.3844450861484</v>
      </c>
      <c r="AA255" s="41">
        <f>G255/'1. Väestöennuste'!I255*1000</f>
        <v>3043.2469040247679</v>
      </c>
      <c r="AB255" s="41">
        <f>H255/'1. Väestöennuste'!J255*1000</f>
        <v>2434.4238423454035</v>
      </c>
      <c r="AC255" s="41">
        <f>I255/'1. Väestöennuste'!K255*1000</f>
        <v>2279.7691061074602</v>
      </c>
      <c r="AD255" s="41">
        <f>J255/'1. Väestöennuste'!L255*1000</f>
        <v>2292.6229428240295</v>
      </c>
      <c r="AE255" s="41">
        <f>K255/'1. Väestöennuste'!M255*1000</f>
        <v>4833.1145795211214</v>
      </c>
      <c r="AF255" s="41">
        <f>L255/'1. Väestöennuste'!N255*1000</f>
        <v>6414.2078575750111</v>
      </c>
      <c r="AG255" s="41">
        <f>M255/'1. Väestöennuste'!O255*1000</f>
        <v>8308.7256869180947</v>
      </c>
      <c r="AH255" s="41">
        <f>N255/'1. Väestöennuste'!P255*1000</f>
        <v>10317.137095918208</v>
      </c>
      <c r="AI255" s="41">
        <f>O255/'1. Väestöennuste'!Q255*1000</f>
        <v>12420.827404928266</v>
      </c>
      <c r="AJ255" s="41">
        <f>P255/'1. Väestöennuste'!R255*1000</f>
        <v>14545.546943825948</v>
      </c>
    </row>
    <row r="256" spans="1:36" x14ac:dyDescent="0.2">
      <c r="A256" s="30">
        <v>768</v>
      </c>
      <c r="B256" s="31" t="s">
        <v>570</v>
      </c>
      <c r="C256" s="81">
        <v>4269</v>
      </c>
      <c r="D256" s="46">
        <v>4651</v>
      </c>
      <c r="E256" s="46">
        <v>5034</v>
      </c>
      <c r="F256" s="46">
        <v>4417</v>
      </c>
      <c r="G256" s="80">
        <v>3800</v>
      </c>
      <c r="H256" s="80">
        <v>2966</v>
      </c>
      <c r="I256" s="80">
        <v>2433.35</v>
      </c>
      <c r="J256" s="80">
        <v>2600.018</v>
      </c>
      <c r="K256" s="80">
        <v>2641.6860000000001</v>
      </c>
      <c r="L256" s="80">
        <f>K256-'Toim ja inv rahavirta'!L256</f>
        <v>3936.5635578698643</v>
      </c>
      <c r="M256" s="80">
        <f>L256-'Toim ja inv rahavirta'!M256</f>
        <v>5749.5089075435117</v>
      </c>
      <c r="N256" s="80">
        <f>M256-'Toim ja inv rahavirta'!N256</f>
        <v>8201.6440456036307</v>
      </c>
      <c r="O256" s="80">
        <f>N256-'Toim ja inv rahavirta'!O256</f>
        <v>10790.022996088661</v>
      </c>
      <c r="P256" s="80">
        <f>O256-'Toim ja inv rahavirta'!P256</f>
        <v>13179.886866065608</v>
      </c>
      <c r="U256" s="34">
        <v>768</v>
      </c>
      <c r="V256" s="88" t="s">
        <v>570</v>
      </c>
      <c r="W256" s="41">
        <f>C256/'1. Väestöennuste'!E256*1000</f>
        <v>1567.1806167400882</v>
      </c>
      <c r="X256" s="41">
        <f>D256/'1. Väestöennuste'!F256*1000</f>
        <v>1747.8391582111988</v>
      </c>
      <c r="Y256" s="41">
        <f>E256/'1. Väestöennuste'!G256*1000</f>
        <v>1945.1313755795982</v>
      </c>
      <c r="Z256" s="41">
        <f>F256/'1. Väestöennuste'!H256*1000</f>
        <v>1745.8498023715415</v>
      </c>
      <c r="AA256" s="41">
        <f>G256/'1. Väestöennuste'!I256*1000</f>
        <v>1524.8796147672551</v>
      </c>
      <c r="AB256" s="41">
        <f>H256/'1. Väestöennuste'!J256*1000</f>
        <v>1195.0040290088637</v>
      </c>
      <c r="AC256" s="41">
        <f>I256/'1. Väestöennuste'!K256*1000</f>
        <v>1001.3786008230452</v>
      </c>
      <c r="AD256" s="41">
        <f>J256/'1. Väestöennuste'!L256*1000</f>
        <v>1094.7444210526317</v>
      </c>
      <c r="AE256" s="41">
        <f>K256/'1. Väestöennuste'!M256*1000</f>
        <v>1115.5768581081084</v>
      </c>
      <c r="AF256" s="41">
        <f>L256/'1. Väestöennuste'!N256*1000</f>
        <v>1716.7743383645286</v>
      </c>
      <c r="AG256" s="41">
        <f>M256/'1. Väestöennuste'!O256*1000</f>
        <v>2550.8025321843443</v>
      </c>
      <c r="AH256" s="41">
        <f>N256/'1. Väestöennuste'!P256*1000</f>
        <v>3697.7655751143511</v>
      </c>
      <c r="AI256" s="41">
        <f>O256/'1. Väestöennuste'!Q256*1000</f>
        <v>4938.225627500532</v>
      </c>
      <c r="AJ256" s="41">
        <f>P256/'1. Väestöennuste'!R256*1000</f>
        <v>6110.2859833405691</v>
      </c>
    </row>
    <row r="257" spans="1:36" x14ac:dyDescent="0.2">
      <c r="A257" s="30">
        <v>777</v>
      </c>
      <c r="B257" s="31" t="s">
        <v>571</v>
      </c>
      <c r="C257" s="81">
        <v>11716</v>
      </c>
      <c r="D257" s="46">
        <v>12765</v>
      </c>
      <c r="E257" s="46">
        <v>15712</v>
      </c>
      <c r="F257" s="46">
        <v>12966</v>
      </c>
      <c r="G257" s="80">
        <v>15271</v>
      </c>
      <c r="H257" s="80">
        <v>23066</v>
      </c>
      <c r="I257" s="80">
        <v>25880.812979999999</v>
      </c>
      <c r="J257" s="80">
        <v>27330.858929999999</v>
      </c>
      <c r="K257" s="80">
        <v>28437.22595</v>
      </c>
      <c r="L257" s="80">
        <f>K257-'Toim ja inv rahavirta'!L257</f>
        <v>29170.896306901443</v>
      </c>
      <c r="M257" s="80">
        <f>L257-'Toim ja inv rahavirta'!M257</f>
        <v>31245.472312034079</v>
      </c>
      <c r="N257" s="80">
        <f>M257-'Toim ja inv rahavirta'!N257</f>
        <v>32984.473621046578</v>
      </c>
      <c r="O257" s="80">
        <f>N257-'Toim ja inv rahavirta'!O257</f>
        <v>35074.644634596603</v>
      </c>
      <c r="P257" s="80">
        <f>O257-'Toim ja inv rahavirta'!P257</f>
        <v>36094.283988217721</v>
      </c>
      <c r="U257" s="34">
        <v>777</v>
      </c>
      <c r="V257" s="88" t="s">
        <v>571</v>
      </c>
      <c r="W257" s="41">
        <f>C257/'1. Väestöennuste'!E257*1000</f>
        <v>1405.4702495201536</v>
      </c>
      <c r="X257" s="41">
        <f>D257/'1. Väestöennuste'!F257*1000</f>
        <v>1559.179186515207</v>
      </c>
      <c r="Y257" s="41">
        <f>E257/'1. Väestöennuste'!G257*1000</f>
        <v>1951.5588125698671</v>
      </c>
      <c r="Z257" s="41">
        <f>F257/'1. Väestöennuste'!H257*1000</f>
        <v>1649.1986771813788</v>
      </c>
      <c r="AA257" s="41">
        <f>G257/'1. Väestöennuste'!I257*1000</f>
        <v>1976.3168111815712</v>
      </c>
      <c r="AB257" s="41">
        <f>H257/'1. Väestöennuste'!J257*1000</f>
        <v>3037.3979457466421</v>
      </c>
      <c r="AC257" s="41">
        <f>I257/'1. Väestöennuste'!K257*1000</f>
        <v>3447.0981592967501</v>
      </c>
      <c r="AD257" s="41">
        <f>J257/'1. Väestöennuste'!L257*1000</f>
        <v>3709.9034790280984</v>
      </c>
      <c r="AE257" s="41">
        <f>K257/'1. Väestöennuste'!M257*1000</f>
        <v>3965.0342930842162</v>
      </c>
      <c r="AF257" s="41">
        <f>L257/'1. Väestöennuste'!N257*1000</f>
        <v>4147.7173762123475</v>
      </c>
      <c r="AG257" s="41">
        <f>M257/'1. Väestöennuste'!O257*1000</f>
        <v>4522.4304981956984</v>
      </c>
      <c r="AH257" s="41">
        <f>N257/'1. Väestöennuste'!P257*1000</f>
        <v>4857.0863821302573</v>
      </c>
      <c r="AI257" s="41">
        <f>O257/'1. Väestöennuste'!Q257*1000</f>
        <v>5252.2678398617254</v>
      </c>
      <c r="AJ257" s="41">
        <f>P257/'1. Väestöennuste'!R257*1000</f>
        <v>5492.9666699463887</v>
      </c>
    </row>
    <row r="258" spans="1:36" x14ac:dyDescent="0.2">
      <c r="A258" s="30">
        <v>778</v>
      </c>
      <c r="B258" s="31" t="s">
        <v>572</v>
      </c>
      <c r="C258" s="81">
        <v>33094</v>
      </c>
      <c r="D258" s="46">
        <v>30111</v>
      </c>
      <c r="E258" s="46">
        <v>27509</v>
      </c>
      <c r="F258" s="46">
        <v>24834</v>
      </c>
      <c r="G258" s="80">
        <v>27078</v>
      </c>
      <c r="H258" s="80">
        <v>21243</v>
      </c>
      <c r="I258" s="80">
        <v>23407.847149999998</v>
      </c>
      <c r="J258" s="80">
        <v>20561.224949999996</v>
      </c>
      <c r="K258" s="80">
        <v>16203.413349999999</v>
      </c>
      <c r="L258" s="80">
        <f>K258-'Toim ja inv rahavirta'!L258</f>
        <v>14745.406337051218</v>
      </c>
      <c r="M258" s="80">
        <f>L258-'Toim ja inv rahavirta'!M258</f>
        <v>15100.13800552985</v>
      </c>
      <c r="N258" s="80">
        <f>M258-'Toim ja inv rahavirta'!N258</f>
        <v>16461.636929374123</v>
      </c>
      <c r="O258" s="80">
        <f>N258-'Toim ja inv rahavirta'!O258</f>
        <v>17908.072323393313</v>
      </c>
      <c r="P258" s="80">
        <f>O258-'Toim ja inv rahavirta'!P258</f>
        <v>18516.516229870016</v>
      </c>
      <c r="U258" s="34">
        <v>778</v>
      </c>
      <c r="V258" s="88" t="s">
        <v>572</v>
      </c>
      <c r="W258" s="41">
        <f>C258/'1. Väestöennuste'!E258*1000</f>
        <v>4478.2138024357246</v>
      </c>
      <c r="X258" s="41">
        <f>D258/'1. Väestöennuste'!F258*1000</f>
        <v>4118.0251641137856</v>
      </c>
      <c r="Y258" s="41">
        <f>E258/'1. Väestöennuste'!G258*1000</f>
        <v>3785.9895403248001</v>
      </c>
      <c r="Z258" s="41">
        <f>F258/'1. Väestöennuste'!H258*1000</f>
        <v>3475.7172848145556</v>
      </c>
      <c r="AA258" s="41">
        <f>G258/'1. Väestöennuste'!I258*1000</f>
        <v>3833.2389580973954</v>
      </c>
      <c r="AB258" s="41">
        <f>H258/'1. Väestöennuste'!J258*1000</f>
        <v>3064.9256961477422</v>
      </c>
      <c r="AC258" s="41">
        <f>I258/'1. Väestöennuste'!K258*1000</f>
        <v>3396.8723189667676</v>
      </c>
      <c r="AD258" s="41">
        <f>J258/'1. Väestöennuste'!L258*1000</f>
        <v>3040.2520996599137</v>
      </c>
      <c r="AE258" s="41">
        <f>K258/'1. Väestöennuste'!M258*1000</f>
        <v>2415.5356812760883</v>
      </c>
      <c r="AF258" s="41">
        <f>L258/'1. Väestöennuste'!N258*1000</f>
        <v>2246.4055967475956</v>
      </c>
      <c r="AG258" s="41">
        <f>M258/'1. Väestöennuste'!O258*1000</f>
        <v>2327.3948837129856</v>
      </c>
      <c r="AH258" s="41">
        <f>N258/'1. Väestöennuste'!P258*1000</f>
        <v>2565.7164790171637</v>
      </c>
      <c r="AI258" s="41">
        <f>O258/'1. Väestöennuste'!Q258*1000</f>
        <v>2820.6130608589247</v>
      </c>
      <c r="AJ258" s="41">
        <f>P258/'1. Väestöennuste'!R258*1000</f>
        <v>2948.0204155182323</v>
      </c>
    </row>
    <row r="259" spans="1:36" x14ac:dyDescent="0.2">
      <c r="A259" s="30">
        <v>781</v>
      </c>
      <c r="B259" s="31" t="s">
        <v>573</v>
      </c>
      <c r="C259" s="81">
        <v>516</v>
      </c>
      <c r="D259" s="46">
        <v>400</v>
      </c>
      <c r="E259" s="46">
        <v>285</v>
      </c>
      <c r="F259" s="46">
        <v>2171</v>
      </c>
      <c r="G259" s="80">
        <v>3476</v>
      </c>
      <c r="H259" s="80">
        <v>3369</v>
      </c>
      <c r="I259" s="80">
        <v>4847.3999999999996</v>
      </c>
      <c r="J259" s="80">
        <v>3307.737619999999</v>
      </c>
      <c r="K259" s="80">
        <v>8.801639999999999</v>
      </c>
      <c r="L259" s="80">
        <f>K259-'Toim ja inv rahavirta'!L259</f>
        <v>958.96143076321562</v>
      </c>
      <c r="M259" s="80">
        <f>L259-'Toim ja inv rahavirta'!M259</f>
        <v>2279.6925066363619</v>
      </c>
      <c r="N259" s="80">
        <f>M259-'Toim ja inv rahavirta'!N259</f>
        <v>3938.0042319462345</v>
      </c>
      <c r="O259" s="80">
        <f>N259-'Toim ja inv rahavirta'!O259</f>
        <v>5846.4898975174165</v>
      </c>
      <c r="P259" s="80">
        <f>O259-'Toim ja inv rahavirta'!P259</f>
        <v>7358.796842523082</v>
      </c>
      <c r="U259" s="34">
        <v>781</v>
      </c>
      <c r="V259" s="88" t="s">
        <v>573</v>
      </c>
      <c r="W259" s="41">
        <f>C259/'1. Väestöennuste'!E259*1000</f>
        <v>127.72277227722772</v>
      </c>
      <c r="X259" s="41">
        <f>D259/'1. Väestöennuste'!F259*1000</f>
        <v>101.18897040222616</v>
      </c>
      <c r="Y259" s="41">
        <f>E259/'1. Väestöennuste'!G259*1000</f>
        <v>73.853329878206793</v>
      </c>
      <c r="Z259" s="41">
        <f>F259/'1. Väestöennuste'!H259*1000</f>
        <v>578.47055688782314</v>
      </c>
      <c r="AA259" s="41">
        <f>G259/'1. Väestöennuste'!I259*1000</f>
        <v>950.5058791359038</v>
      </c>
      <c r="AB259" s="41">
        <f>H259/'1. Väestöennuste'!J259*1000</f>
        <v>927.84356926466535</v>
      </c>
      <c r="AC259" s="41">
        <f>I259/'1. Väestöennuste'!K259*1000</f>
        <v>1352.5111607142858</v>
      </c>
      <c r="AD259" s="41">
        <f>J259/'1. Väestöennuste'!L259*1000</f>
        <v>943.98904680365274</v>
      </c>
      <c r="AE259" s="41">
        <f>K259/'1. Väestöennuste'!M259*1000</f>
        <v>2.517631578947368</v>
      </c>
      <c r="AF259" s="41">
        <f>L259/'1. Väestöennuste'!N259*1000</f>
        <v>287.88995219550156</v>
      </c>
      <c r="AG259" s="41">
        <f>M259/'1. Väestöennuste'!O259*1000</f>
        <v>697.1536717542391</v>
      </c>
      <c r="AH259" s="41">
        <f>N259/'1. Väestöennuste'!P259*1000</f>
        <v>1223.7427694052935</v>
      </c>
      <c r="AI259" s="41">
        <f>O259/'1. Väestöennuste'!Q259*1000</f>
        <v>1844.9005672191279</v>
      </c>
      <c r="AJ259" s="41">
        <f>P259/'1. Väestöennuste'!R259*1000</f>
        <v>2355.5687716143029</v>
      </c>
    </row>
    <row r="260" spans="1:36" x14ac:dyDescent="0.2">
      <c r="A260" s="30">
        <v>783</v>
      </c>
      <c r="B260" s="31" t="s">
        <v>574</v>
      </c>
      <c r="C260" s="81">
        <v>11482</v>
      </c>
      <c r="D260" s="46">
        <v>12711</v>
      </c>
      <c r="E260" s="46">
        <v>10203</v>
      </c>
      <c r="F260" s="46">
        <v>7611</v>
      </c>
      <c r="G260" s="80">
        <v>9941</v>
      </c>
      <c r="H260" s="80">
        <v>9398</v>
      </c>
      <c r="I260" s="80">
        <v>8909.7450000000008</v>
      </c>
      <c r="J260" s="80">
        <v>5420.6589999999978</v>
      </c>
      <c r="K260" s="80">
        <v>4931.5730000000003</v>
      </c>
      <c r="L260" s="80">
        <f>K260-'Toim ja inv rahavirta'!L260</f>
        <v>5319.5375662002516</v>
      </c>
      <c r="M260" s="80">
        <f>L260-'Toim ja inv rahavirta'!M260</f>
        <v>3037.0062456634373</v>
      </c>
      <c r="N260" s="80">
        <f>M260-'Toim ja inv rahavirta'!N260</f>
        <v>635.56903464999687</v>
      </c>
      <c r="O260" s="80">
        <f>N260-'Toim ja inv rahavirta'!O260</f>
        <v>-1803.9726780999686</v>
      </c>
      <c r="P260" s="80">
        <f>O260-'Toim ja inv rahavirta'!P260</f>
        <v>-4974.1709966539593</v>
      </c>
      <c r="U260" s="34">
        <v>783</v>
      </c>
      <c r="V260" s="88" t="s">
        <v>574</v>
      </c>
      <c r="W260" s="41">
        <f>C260/'1. Väestöennuste'!E260*1000</f>
        <v>1624.0452616690241</v>
      </c>
      <c r="X260" s="41">
        <f>D260/'1. Väestöennuste'!F260*1000</f>
        <v>1818.9753863766455</v>
      </c>
      <c r="Y260" s="41">
        <f>E260/'1. Väestöennuste'!G260*1000</f>
        <v>1478.0530204259017</v>
      </c>
      <c r="Z260" s="41">
        <f>F260/'1. Väestöennuste'!H260*1000</f>
        <v>1117.4570547643518</v>
      </c>
      <c r="AA260" s="41">
        <f>G260/'1. Väestöennuste'!I260*1000</f>
        <v>1479.0953727123938</v>
      </c>
      <c r="AB260" s="41">
        <f>H260/'1. Väestöennuste'!J260*1000</f>
        <v>1414.0836593439662</v>
      </c>
      <c r="AC260" s="41">
        <f>I260/'1. Väestöennuste'!K260*1000</f>
        <v>1352.4203096539163</v>
      </c>
      <c r="AD260" s="41">
        <f>J260/'1. Väestöennuste'!L260*1000</f>
        <v>844.47094563016014</v>
      </c>
      <c r="AE260" s="41">
        <f>K260/'1. Väestöennuste'!M260*1000</f>
        <v>773.33746275678232</v>
      </c>
      <c r="AF260" s="41">
        <f>L260/'1. Väestöennuste'!N260*1000</f>
        <v>840.9006585836629</v>
      </c>
      <c r="AG260" s="41">
        <f>M260/'1. Väestöennuste'!O260*1000</f>
        <v>485.45496254210957</v>
      </c>
      <c r="AH260" s="41">
        <f>N260/'1. Väestöennuste'!P260*1000</f>
        <v>102.75974691188308</v>
      </c>
      <c r="AI260" s="41">
        <f>O260/'1. Väestöennuste'!Q260*1000</f>
        <v>-294.86313796991971</v>
      </c>
      <c r="AJ260" s="41">
        <f>P260/'1. Väestöennuste'!R260*1000</f>
        <v>-821.90532000230655</v>
      </c>
    </row>
    <row r="261" spans="1:36" x14ac:dyDescent="0.2">
      <c r="A261" s="30">
        <v>785</v>
      </c>
      <c r="B261" s="31" t="s">
        <v>575</v>
      </c>
      <c r="C261" s="81">
        <v>13486</v>
      </c>
      <c r="D261" s="46">
        <v>10873</v>
      </c>
      <c r="E261" s="46">
        <v>10389</v>
      </c>
      <c r="F261" s="46">
        <v>10066</v>
      </c>
      <c r="G261" s="80">
        <v>10481</v>
      </c>
      <c r="H261" s="80">
        <v>8645</v>
      </c>
      <c r="I261" s="80">
        <v>8882.1723799999982</v>
      </c>
      <c r="J261" s="80">
        <v>6475.6790000000001</v>
      </c>
      <c r="K261" s="80">
        <v>4965.527</v>
      </c>
      <c r="L261" s="80">
        <f>K261-'Toim ja inv rahavirta'!L261</f>
        <v>4122.0700655411019</v>
      </c>
      <c r="M261" s="80">
        <f>L261-'Toim ja inv rahavirta'!M261</f>
        <v>3558.846802440522</v>
      </c>
      <c r="N261" s="80">
        <f>M261-'Toim ja inv rahavirta'!N261</f>
        <v>3378.4148879181985</v>
      </c>
      <c r="O261" s="80">
        <f>N261-'Toim ja inv rahavirta'!O261</f>
        <v>3423.3180712600351</v>
      </c>
      <c r="P261" s="80">
        <f>O261-'Toim ja inv rahavirta'!P261</f>
        <v>3304.5306679082814</v>
      </c>
      <c r="U261" s="34">
        <v>785</v>
      </c>
      <c r="V261" s="88" t="s">
        <v>575</v>
      </c>
      <c r="W261" s="41">
        <f>C261/'1. Väestöennuste'!E261*1000</f>
        <v>4387.1177618737802</v>
      </c>
      <c r="X261" s="41">
        <f>D261/'1. Väestöennuste'!F261*1000</f>
        <v>3576.644736842105</v>
      </c>
      <c r="Y261" s="41">
        <f>E261/'1. Väestöennuste'!G261*1000</f>
        <v>3532.4719483168988</v>
      </c>
      <c r="Z261" s="41">
        <f>F261/'1. Väestöennuste'!H261*1000</f>
        <v>3508.5395608225863</v>
      </c>
      <c r="AA261" s="41">
        <f>G261/'1. Väestöennuste'!I261*1000</f>
        <v>3753.9398280802293</v>
      </c>
      <c r="AB261" s="41">
        <f>H261/'1. Väestöennuste'!J261*1000</f>
        <v>3158.5677749360611</v>
      </c>
      <c r="AC261" s="41">
        <f>I261/'1. Väestöennuste'!K261*1000</f>
        <v>3322.9227010849227</v>
      </c>
      <c r="AD261" s="41">
        <f>J261/'1. Väestöennuste'!L261*1000</f>
        <v>2465.9859101294742</v>
      </c>
      <c r="AE261" s="41">
        <f>K261/'1. Väestöennuste'!M261*1000</f>
        <v>1917.932406334492</v>
      </c>
      <c r="AF261" s="41">
        <f>L261/'1. Väestöennuste'!N261*1000</f>
        <v>1652.7947335770257</v>
      </c>
      <c r="AG261" s="41">
        <f>M261/'1. Väestöennuste'!O261*1000</f>
        <v>1454.3713945404666</v>
      </c>
      <c r="AH261" s="41">
        <f>N261/'1. Väestöennuste'!P261*1000</f>
        <v>1405.9154756213891</v>
      </c>
      <c r="AI261" s="41">
        <f>O261/'1. Väestöennuste'!Q261*1000</f>
        <v>1449.3302587891765</v>
      </c>
      <c r="AJ261" s="41">
        <f>P261/'1. Väestöennuste'!R261*1000</f>
        <v>1421.3035130788307</v>
      </c>
    </row>
    <row r="262" spans="1:36" x14ac:dyDescent="0.2">
      <c r="A262" s="30">
        <v>790</v>
      </c>
      <c r="B262" s="31" t="s">
        <v>576</v>
      </c>
      <c r="C262" s="81">
        <v>52958</v>
      </c>
      <c r="D262" s="46">
        <v>53573</v>
      </c>
      <c r="E262" s="46">
        <v>53033</v>
      </c>
      <c r="F262" s="46">
        <v>53387</v>
      </c>
      <c r="G262" s="80">
        <v>61567</v>
      </c>
      <c r="H262" s="80">
        <v>62017</v>
      </c>
      <c r="I262" s="80">
        <v>57914.233</v>
      </c>
      <c r="J262" s="80">
        <v>54478.937800000007</v>
      </c>
      <c r="K262" s="80">
        <v>52381.517599999992</v>
      </c>
      <c r="L262" s="80">
        <f>K262-'Toim ja inv rahavirta'!L262</f>
        <v>55719.048248458988</v>
      </c>
      <c r="M262" s="80">
        <f>L262-'Toim ja inv rahavirta'!M262</f>
        <v>62605.855728247421</v>
      </c>
      <c r="N262" s="80">
        <f>M262-'Toim ja inv rahavirta'!N262</f>
        <v>69958.844905511898</v>
      </c>
      <c r="O262" s="80">
        <f>N262-'Toim ja inv rahavirta'!O262</f>
        <v>77931.653740670095</v>
      </c>
      <c r="P262" s="80">
        <f>O262-'Toim ja inv rahavirta'!P262</f>
        <v>83564.9703282431</v>
      </c>
      <c r="U262" s="34">
        <v>790</v>
      </c>
      <c r="V262" s="88" t="s">
        <v>576</v>
      </c>
      <c r="W262" s="41">
        <f>C262/'1. Väestöennuste'!E262*1000</f>
        <v>2099.8413957176845</v>
      </c>
      <c r="X262" s="41">
        <f>D262/'1. Väestöennuste'!F262*1000</f>
        <v>2137.6187056100871</v>
      </c>
      <c r="Y262" s="41">
        <f>E262/'1. Väestöennuste'!G262*1000</f>
        <v>2136.7042707493956</v>
      </c>
      <c r="Z262" s="41">
        <f>F262/'1. Väestöennuste'!H262*1000</f>
        <v>2165.7133584844428</v>
      </c>
      <c r="AA262" s="41">
        <f>G262/'1. Väestöennuste'!I262*1000</f>
        <v>2536.0217489805163</v>
      </c>
      <c r="AB262" s="41">
        <f>H262/'1. Väestöennuste'!J262*1000</f>
        <v>2578.4550141360387</v>
      </c>
      <c r="AC262" s="41">
        <f>I262/'1. Väestöennuste'!K262*1000</f>
        <v>2413.2941495124592</v>
      </c>
      <c r="AD262" s="41">
        <f>J262/'1. Väestöennuste'!L262*1000</f>
        <v>2295.396384933008</v>
      </c>
      <c r="AE262" s="41">
        <f>K262/'1. Väestöennuste'!M262*1000</f>
        <v>2227.5788900701677</v>
      </c>
      <c r="AF262" s="41">
        <f>L262/'1. Väestöennuste'!N262*1000</f>
        <v>2422.5673151503906</v>
      </c>
      <c r="AG262" s="41">
        <f>M262/'1. Väestöennuste'!O262*1000</f>
        <v>2749.3678682643463</v>
      </c>
      <c r="AH262" s="41">
        <f>N262/'1. Väestöennuste'!P262*1000</f>
        <v>3101.2875656313458</v>
      </c>
      <c r="AI262" s="41">
        <f>O262/'1. Väestöennuste'!Q262*1000</f>
        <v>3486.7188824066079</v>
      </c>
      <c r="AJ262" s="41">
        <f>P262/'1. Väestöennuste'!R262*1000</f>
        <v>3772.3442726725848</v>
      </c>
    </row>
    <row r="263" spans="1:36" x14ac:dyDescent="0.2">
      <c r="A263" s="30">
        <v>791</v>
      </c>
      <c r="B263" s="31" t="s">
        <v>577</v>
      </c>
      <c r="C263" s="81">
        <v>14030</v>
      </c>
      <c r="D263" s="46">
        <v>14256</v>
      </c>
      <c r="E263" s="46">
        <v>16351</v>
      </c>
      <c r="F263" s="46">
        <v>14594</v>
      </c>
      <c r="G263" s="80">
        <v>16226</v>
      </c>
      <c r="H263" s="80">
        <v>17971</v>
      </c>
      <c r="I263" s="80">
        <v>15373.857</v>
      </c>
      <c r="J263" s="80">
        <v>12403.89</v>
      </c>
      <c r="K263" s="80">
        <v>10906.992</v>
      </c>
      <c r="L263" s="80">
        <f>K263-'Toim ja inv rahavirta'!L263</f>
        <v>10500.129716610125</v>
      </c>
      <c r="M263" s="80">
        <f>L263-'Toim ja inv rahavirta'!M263</f>
        <v>11119.637376715962</v>
      </c>
      <c r="N263" s="80">
        <f>M263-'Toim ja inv rahavirta'!N263</f>
        <v>12171.043918358879</v>
      </c>
      <c r="O263" s="80">
        <f>N263-'Toim ja inv rahavirta'!O263</f>
        <v>13323.112702778317</v>
      </c>
      <c r="P263" s="80">
        <f>O263-'Toim ja inv rahavirta'!P263</f>
        <v>14224.51695181397</v>
      </c>
      <c r="U263" s="34">
        <v>791</v>
      </c>
      <c r="V263" s="88" t="s">
        <v>577</v>
      </c>
      <c r="W263" s="41">
        <f>C263/'1. Väestöennuste'!E263*1000</f>
        <v>2471.3757266161706</v>
      </c>
      <c r="X263" s="41">
        <f>D263/'1. Väestöennuste'!F263*1000</f>
        <v>2553.465878559914</v>
      </c>
      <c r="Y263" s="41">
        <f>E263/'1. Väestöennuste'!G263*1000</f>
        <v>3001.8358729575912</v>
      </c>
      <c r="Z263" s="41">
        <f>F263/'1. Väestöennuste'!H263*1000</f>
        <v>2753.0654593472927</v>
      </c>
      <c r="AA263" s="41">
        <f>G263/'1. Väestöennuste'!I263*1000</f>
        <v>3101.8925635633723</v>
      </c>
      <c r="AB263" s="41">
        <f>H263/'1. Väestöennuste'!J263*1000</f>
        <v>3453.9688641168555</v>
      </c>
      <c r="AC263" s="41">
        <f>I263/'1. Väestöennuste'!K263*1000</f>
        <v>2996.2691483141689</v>
      </c>
      <c r="AD263" s="41">
        <f>J263/'1. Väestöennuste'!L263*1000</f>
        <v>2466.4724597335453</v>
      </c>
      <c r="AE263" s="41">
        <f>K263/'1. Väestöennuste'!M263*1000</f>
        <v>2211.9229365240317</v>
      </c>
      <c r="AF263" s="41">
        <f>L263/'1. Väestöennuste'!N263*1000</f>
        <v>2170.793821916503</v>
      </c>
      <c r="AG263" s="41">
        <f>M263/'1. Väestöennuste'!O263*1000</f>
        <v>2337.5315065621112</v>
      </c>
      <c r="AH263" s="41">
        <f>N263/'1. Väestöennuste'!P263*1000</f>
        <v>2601.2062232012991</v>
      </c>
      <c r="AI263" s="41">
        <f>O263/'1. Väestöennuste'!Q263*1000</f>
        <v>2892.5559493656788</v>
      </c>
      <c r="AJ263" s="41">
        <f>P263/'1. Väestöennuste'!R263*1000</f>
        <v>3135.2252483610246</v>
      </c>
    </row>
    <row r="264" spans="1:36" x14ac:dyDescent="0.2">
      <c r="A264" s="30">
        <v>831</v>
      </c>
      <c r="B264" s="31" t="s">
        <v>578</v>
      </c>
      <c r="C264" s="81">
        <v>15388</v>
      </c>
      <c r="D264" s="46">
        <v>16535</v>
      </c>
      <c r="E264" s="46">
        <v>17582</v>
      </c>
      <c r="F264" s="46">
        <v>17484</v>
      </c>
      <c r="G264" s="80">
        <v>17284</v>
      </c>
      <c r="H264" s="80">
        <v>15467</v>
      </c>
      <c r="I264" s="80">
        <v>13424.100640000001</v>
      </c>
      <c r="J264" s="80">
        <v>11574.044019999999</v>
      </c>
      <c r="K264" s="80">
        <v>9839.7644</v>
      </c>
      <c r="L264" s="80">
        <f>K264-'Toim ja inv rahavirta'!L264</f>
        <v>9299.5664289126653</v>
      </c>
      <c r="M264" s="80">
        <f>L264-'Toim ja inv rahavirta'!M264</f>
        <v>9377.5965434803202</v>
      </c>
      <c r="N264" s="80">
        <f>M264-'Toim ja inv rahavirta'!N264</f>
        <v>10058.14435057616</v>
      </c>
      <c r="O264" s="80">
        <f>N264-'Toim ja inv rahavirta'!O264</f>
        <v>10917.392398829157</v>
      </c>
      <c r="P264" s="80">
        <f>O264-'Toim ja inv rahavirta'!P264</f>
        <v>11633.191633403403</v>
      </c>
      <c r="U264" s="34">
        <v>831</v>
      </c>
      <c r="V264" s="88" t="s">
        <v>578</v>
      </c>
      <c r="W264" s="41">
        <f>C264/'1. Väestöennuste'!E264*1000</f>
        <v>3195.8463136033229</v>
      </c>
      <c r="X264" s="41">
        <f>D264/'1. Väestöennuste'!F264*1000</f>
        <v>3421.9784768211921</v>
      </c>
      <c r="Y264" s="41">
        <f>E264/'1. Väestöennuste'!G264*1000</f>
        <v>3682.8655215751992</v>
      </c>
      <c r="Z264" s="41">
        <f>F264/'1. Väestöennuste'!H264*1000</f>
        <v>3708.1654294803816</v>
      </c>
      <c r="AA264" s="41">
        <f>G264/'1. Väestöennuste'!I264*1000</f>
        <v>3700.2783129950762</v>
      </c>
      <c r="AB264" s="41">
        <f>H264/'1. Väestöennuste'!J264*1000</f>
        <v>3342.0484010371651</v>
      </c>
      <c r="AC264" s="41">
        <f>I264/'1. Väestöennuste'!K264*1000</f>
        <v>2921.458245919478</v>
      </c>
      <c r="AD264" s="41">
        <f>J264/'1. Väestöennuste'!L264*1000</f>
        <v>2538.7242860276374</v>
      </c>
      <c r="AE264" s="41">
        <f>K264/'1. Väestöennuste'!M264*1000</f>
        <v>2127.516627027027</v>
      </c>
      <c r="AF264" s="41">
        <f>L264/'1. Väestöennuste'!N264*1000</f>
        <v>2066.1111817179885</v>
      </c>
      <c r="AG264" s="41">
        <f>M264/'1. Väestöennuste'!O264*1000</f>
        <v>2098.3657515060013</v>
      </c>
      <c r="AH264" s="41">
        <f>N264/'1. Väestöennuste'!P264*1000</f>
        <v>2267.3905208692877</v>
      </c>
      <c r="AI264" s="41">
        <f>O264/'1. Väestöennuste'!Q264*1000</f>
        <v>2477.8466633747521</v>
      </c>
      <c r="AJ264" s="41">
        <f>P264/'1. Väestöennuste'!R264*1000</f>
        <v>2659.0152304922062</v>
      </c>
    </row>
    <row r="265" spans="1:36" x14ac:dyDescent="0.2">
      <c r="A265" s="30">
        <v>832</v>
      </c>
      <c r="B265" s="31" t="s">
        <v>579</v>
      </c>
      <c r="C265" s="81">
        <v>1962</v>
      </c>
      <c r="D265" s="46">
        <v>2500</v>
      </c>
      <c r="E265" s="46">
        <v>1986</v>
      </c>
      <c r="F265" s="46">
        <v>3919</v>
      </c>
      <c r="G265" s="80">
        <v>6504</v>
      </c>
      <c r="H265" s="80">
        <v>5966</v>
      </c>
      <c r="I265" s="80">
        <v>6807.9809999999998</v>
      </c>
      <c r="J265" s="80">
        <v>5991.7070000000003</v>
      </c>
      <c r="K265" s="80">
        <v>5175.433</v>
      </c>
      <c r="L265" s="80">
        <f>K265-'Toim ja inv rahavirta'!L265</f>
        <v>6529.7990183082784</v>
      </c>
      <c r="M265" s="80">
        <f>L265-'Toim ja inv rahavirta'!M265</f>
        <v>8314.5969632552569</v>
      </c>
      <c r="N265" s="80">
        <f>M265-'Toim ja inv rahavirta'!N265</f>
        <v>11106.632919140211</v>
      </c>
      <c r="O265" s="80">
        <f>N265-'Toim ja inv rahavirta'!O265</f>
        <v>14541.289193197079</v>
      </c>
      <c r="P265" s="80">
        <f>O265-'Toim ja inv rahavirta'!P265</f>
        <v>17846.867101471042</v>
      </c>
      <c r="U265" s="34">
        <v>832</v>
      </c>
      <c r="V265" s="88" t="s">
        <v>579</v>
      </c>
      <c r="W265" s="41">
        <f>C265/'1. Väestöennuste'!E265*1000</f>
        <v>467.25410812098119</v>
      </c>
      <c r="X265" s="41">
        <f>D265/'1. Väestöennuste'!F265*1000</f>
        <v>604.88749092668763</v>
      </c>
      <c r="Y265" s="41">
        <f>E265/'1. Väestöennuste'!G265*1000</f>
        <v>489.40364711680627</v>
      </c>
      <c r="Z265" s="41">
        <f>F265/'1. Väestöennuste'!H265*1000</f>
        <v>973.90656063618292</v>
      </c>
      <c r="AA265" s="41">
        <f>G265/'1. Väestöennuste'!I265*1000</f>
        <v>1635.814889336016</v>
      </c>
      <c r="AB265" s="41">
        <f>H265/'1. Väestöennuste'!J265*1000</f>
        <v>1523.4933605720123</v>
      </c>
      <c r="AC265" s="41">
        <f>I265/'1. Väestöennuste'!K265*1000</f>
        <v>1739.8366981855354</v>
      </c>
      <c r="AD265" s="41">
        <f>J265/'1. Väestöennuste'!L265*1000</f>
        <v>1566.4593464052289</v>
      </c>
      <c r="AE265" s="41">
        <f>K265/'1. Väestöennuste'!M265*1000</f>
        <v>1387.143661216832</v>
      </c>
      <c r="AF265" s="41">
        <f>L265/'1. Väestöennuste'!N265*1000</f>
        <v>1772.9565621255167</v>
      </c>
      <c r="AG265" s="41">
        <f>M265/'1. Väestöennuste'!O265*1000</f>
        <v>2290.5225794091616</v>
      </c>
      <c r="AH265" s="41">
        <f>N265/'1. Väestöennuste'!P265*1000</f>
        <v>3104.1455894746259</v>
      </c>
      <c r="AI265" s="41">
        <f>O265/'1. Väestöennuste'!Q265*1000</f>
        <v>4122.8492183717262</v>
      </c>
      <c r="AJ265" s="41">
        <f>P265/'1. Väestöennuste'!R265*1000</f>
        <v>5134.3115942091608</v>
      </c>
    </row>
    <row r="266" spans="1:36" x14ac:dyDescent="0.2">
      <c r="A266" s="30">
        <v>833</v>
      </c>
      <c r="B266" s="31" t="s">
        <v>580</v>
      </c>
      <c r="C266" s="81">
        <v>8308</v>
      </c>
      <c r="D266" s="46">
        <v>8074</v>
      </c>
      <c r="E266" s="46">
        <v>8039</v>
      </c>
      <c r="F266" s="46">
        <v>7961</v>
      </c>
      <c r="G266" s="80">
        <v>7822</v>
      </c>
      <c r="H266" s="80">
        <v>7622</v>
      </c>
      <c r="I266" s="80">
        <v>7329.6270000000004</v>
      </c>
      <c r="J266" s="80">
        <v>7037.893</v>
      </c>
      <c r="K266" s="80">
        <v>6746.1589999999997</v>
      </c>
      <c r="L266" s="80">
        <f>K266-'Toim ja inv rahavirta'!L266</f>
        <v>7214.2990774266491</v>
      </c>
      <c r="M266" s="80">
        <f>L266-'Toim ja inv rahavirta'!M266</f>
        <v>7741.085280816973</v>
      </c>
      <c r="N266" s="80">
        <f>M266-'Toim ja inv rahavirta'!N266</f>
        <v>8436.5567577984402</v>
      </c>
      <c r="O266" s="80">
        <f>N266-'Toim ja inv rahavirta'!O266</f>
        <v>9278.6031666563613</v>
      </c>
      <c r="P266" s="80">
        <f>O266-'Toim ja inv rahavirta'!P266</f>
        <v>10071.763697319424</v>
      </c>
      <c r="U266" s="34">
        <v>833</v>
      </c>
      <c r="V266" s="88" t="s">
        <v>580</v>
      </c>
      <c r="W266" s="41">
        <f>C266/'1. Väestöennuste'!E266*1000</f>
        <v>5087.5688916105328</v>
      </c>
      <c r="X266" s="41">
        <f>D266/'1. Väestöennuste'!F266*1000</f>
        <v>4977.8051787916156</v>
      </c>
      <c r="Y266" s="41">
        <f>E266/'1. Väestöennuste'!G266*1000</f>
        <v>4860.3385731559856</v>
      </c>
      <c r="Z266" s="41">
        <f>F266/'1. Väestöennuste'!H266*1000</f>
        <v>4790.0120336943437</v>
      </c>
      <c r="AA266" s="41">
        <f>G266/'1. Väestöennuste'!I266*1000</f>
        <v>4772.4222086638192</v>
      </c>
      <c r="AB266" s="41">
        <f>H266/'1. Väestöennuste'!J266*1000</f>
        <v>4594.333936106088</v>
      </c>
      <c r="AC266" s="41">
        <f>I266/'1. Väestöennuste'!K266*1000</f>
        <v>4370.6779964221823</v>
      </c>
      <c r="AD266" s="41">
        <f>J266/'1. Väestöennuste'!L266*1000</f>
        <v>4161.9710230632763</v>
      </c>
      <c r="AE266" s="41">
        <f>K266/'1. Väestöennuste'!M266*1000</f>
        <v>3956.6914956011728</v>
      </c>
      <c r="AF266" s="41">
        <f>L266/'1. Väestöennuste'!N266*1000</f>
        <v>4289.1195466270201</v>
      </c>
      <c r="AG266" s="41">
        <f>M266/'1. Väestöennuste'!O266*1000</f>
        <v>4594.115893659924</v>
      </c>
      <c r="AH266" s="41">
        <f>N266/'1. Väestöennuste'!P266*1000</f>
        <v>4997.9601645725361</v>
      </c>
      <c r="AI266" s="41">
        <f>O266/'1. Väestöennuste'!Q266*1000</f>
        <v>5480.568911196905</v>
      </c>
      <c r="AJ266" s="41">
        <f>P266/'1. Väestöennuste'!R266*1000</f>
        <v>5942.0434792444985</v>
      </c>
    </row>
    <row r="267" spans="1:36" s="24" customFormat="1" x14ac:dyDescent="0.2">
      <c r="A267" s="419">
        <v>834</v>
      </c>
      <c r="B267" s="420" t="s">
        <v>581</v>
      </c>
      <c r="C267" s="421">
        <v>8371</v>
      </c>
      <c r="D267" s="422">
        <v>8627</v>
      </c>
      <c r="E267" s="422">
        <v>8080</v>
      </c>
      <c r="F267" s="422">
        <v>8083</v>
      </c>
      <c r="G267" s="423">
        <v>10256</v>
      </c>
      <c r="H267" s="423">
        <v>9399</v>
      </c>
      <c r="I267" s="423">
        <v>7341.9940000000006</v>
      </c>
      <c r="J267" s="423">
        <v>4682.0959999999995</v>
      </c>
      <c r="K267" s="423">
        <v>6072.1980000000003</v>
      </c>
      <c r="L267" s="423">
        <f>K267-'Toim ja inv rahavirta'!L267</f>
        <v>8801.452631843269</v>
      </c>
      <c r="M267" s="423">
        <f>L267-'Toim ja inv rahavirta'!M267</f>
        <v>12090.093801886982</v>
      </c>
      <c r="N267" s="423">
        <f>M267-'Toim ja inv rahavirta'!N267</f>
        <v>15202.073420115788</v>
      </c>
      <c r="O267" s="423">
        <f>N267-'Toim ja inv rahavirta'!O267</f>
        <v>18912.825004633902</v>
      </c>
      <c r="P267" s="423">
        <f>O267-'Toim ja inv rahavirta'!P267</f>
        <v>22212.815398035669</v>
      </c>
      <c r="U267" s="424">
        <v>834</v>
      </c>
      <c r="V267" s="425" t="s">
        <v>581</v>
      </c>
      <c r="W267" s="115">
        <f>C267/'1. Väestöennuste'!E267*1000</f>
        <v>1332.9617834394905</v>
      </c>
      <c r="X267" s="115">
        <f>D267/'1. Väestöennuste'!F267*1000</f>
        <v>1382.3105271591091</v>
      </c>
      <c r="Y267" s="115">
        <f>E267/'1. Väestöennuste'!G267*1000</f>
        <v>1312.7538586515029</v>
      </c>
      <c r="Z267" s="115">
        <f>F267/'1. Väestöennuste'!H267*1000</f>
        <v>1329.2221674066764</v>
      </c>
      <c r="AA267" s="115">
        <f>G267/'1. Väestöennuste'!I267*1000</f>
        <v>1705.0706566916042</v>
      </c>
      <c r="AB267" s="115">
        <f>H267/'1. Väestöennuste'!J267*1000</f>
        <v>1562.3337765957447</v>
      </c>
      <c r="AC267" s="115">
        <f>I267/'1. Väestöennuste'!K267*1000</f>
        <v>1230.4330484330485</v>
      </c>
      <c r="AD267" s="115">
        <f>J267/'1. Väestöennuste'!L267*1000</f>
        <v>796.41027385609789</v>
      </c>
      <c r="AE267" s="115">
        <f>K267/'1. Väestöennuste'!M267*1000</f>
        <v>1039.0482546201231</v>
      </c>
      <c r="AF267" s="115">
        <f>L267/'1. Väestöennuste'!N267*1000</f>
        <v>1518.8011444078118</v>
      </c>
      <c r="AG267" s="115">
        <f>M267/'1. Väestöennuste'!O267*1000</f>
        <v>2104.8213443396558</v>
      </c>
      <c r="AH267" s="115">
        <f>N267/'1. Väestöennuste'!P267*1000</f>
        <v>2669.3719789492166</v>
      </c>
      <c r="AI267" s="115">
        <f>O267/'1. Väestöennuste'!Q267*1000</f>
        <v>3348.5879965711583</v>
      </c>
      <c r="AJ267" s="115">
        <f>P267/'1. Väestöennuste'!R267*1000</f>
        <v>3962.3288259071833</v>
      </c>
    </row>
    <row r="268" spans="1:36" x14ac:dyDescent="0.2">
      <c r="A268" s="30">
        <v>837</v>
      </c>
      <c r="B268" s="31" t="s">
        <v>582</v>
      </c>
      <c r="C268" s="81">
        <v>398955</v>
      </c>
      <c r="D268" s="46">
        <v>488317</v>
      </c>
      <c r="E268" s="46">
        <v>527733</v>
      </c>
      <c r="F268" s="46">
        <v>670543</v>
      </c>
      <c r="G268" s="80">
        <v>794832</v>
      </c>
      <c r="H268" s="80">
        <v>914729</v>
      </c>
      <c r="I268" s="80">
        <v>891008.29541999998</v>
      </c>
      <c r="J268" s="80">
        <v>925885.41750999994</v>
      </c>
      <c r="K268" s="80">
        <v>853716.04978999996</v>
      </c>
      <c r="L268" s="80">
        <f>K268-'Toim ja inv rahavirta'!L268</f>
        <v>754418.7138870887</v>
      </c>
      <c r="M268" s="80">
        <f>L268-'Toim ja inv rahavirta'!M268</f>
        <v>841103.21722006588</v>
      </c>
      <c r="N268" s="80">
        <f>M268-'Toim ja inv rahavirta'!N268</f>
        <v>922592.66343505098</v>
      </c>
      <c r="O268" s="80">
        <f>N268-'Toim ja inv rahavirta'!O268</f>
        <v>1007701.6209248705</v>
      </c>
      <c r="P268" s="80">
        <f>O268-'Toim ja inv rahavirta'!P268</f>
        <v>1089837.9311527163</v>
      </c>
      <c r="U268" s="34">
        <v>837</v>
      </c>
      <c r="V268" s="88" t="s">
        <v>582</v>
      </c>
      <c r="W268" s="41">
        <f>C268/'1. Väestöennuste'!E268*1000</f>
        <v>1772.2039108378717</v>
      </c>
      <c r="X268" s="41">
        <f>D268/'1. Väestöennuste'!F268*1000</f>
        <v>2139.1704705748357</v>
      </c>
      <c r="Y268" s="41">
        <f>E268/'1. Väestöennuste'!G268*1000</f>
        <v>2276.1534247993341</v>
      </c>
      <c r="Z268" s="41">
        <f>F268/'1. Väestöennuste'!H268*1000</f>
        <v>2850.475473879756</v>
      </c>
      <c r="AA268" s="41">
        <f>G268/'1. Väestöennuste'!I268*1000</f>
        <v>3337.6669186192998</v>
      </c>
      <c r="AB268" s="41">
        <f>H268/'1. Väestöennuste'!J268*1000</f>
        <v>3795.414279134804</v>
      </c>
      <c r="AC268" s="41">
        <f>I268/'1. Väestöennuste'!K268*1000</f>
        <v>3648.3389992752527</v>
      </c>
      <c r="AD268" s="41">
        <f>J268/'1. Väestöennuste'!L268*1000</f>
        <v>3718.2809356689918</v>
      </c>
      <c r="AE268" s="41">
        <f>K268/'1. Väestöennuste'!M268*1000</f>
        <v>3347.2497541266416</v>
      </c>
      <c r="AF268" s="41">
        <f>L268/'1. Väestöennuste'!N268*1000</f>
        <v>2971.9894339693774</v>
      </c>
      <c r="AG268" s="41">
        <f>M268/'1. Väestöennuste'!O268*1000</f>
        <v>3278.0557677350512</v>
      </c>
      <c r="AH268" s="41">
        <f>N268/'1. Väestöennuste'!P268*1000</f>
        <v>3559.5088696561647</v>
      </c>
      <c r="AI268" s="41">
        <f>O268/'1. Väestöennuste'!Q268*1000</f>
        <v>3850.9369219490841</v>
      </c>
      <c r="AJ268" s="41">
        <f>P268/'1. Väestöennuste'!R268*1000</f>
        <v>4127.2047138653661</v>
      </c>
    </row>
    <row r="269" spans="1:36" x14ac:dyDescent="0.2">
      <c r="A269" s="30">
        <v>844</v>
      </c>
      <c r="B269" s="31" t="s">
        <v>583</v>
      </c>
      <c r="C269" s="81">
        <v>3716</v>
      </c>
      <c r="D269" s="46">
        <v>4248</v>
      </c>
      <c r="E269" s="46">
        <v>5451</v>
      </c>
      <c r="F269" s="46">
        <v>5587</v>
      </c>
      <c r="G269" s="80">
        <v>5543</v>
      </c>
      <c r="H269" s="80">
        <v>5829</v>
      </c>
      <c r="I269" s="80">
        <v>5261.6710000000003</v>
      </c>
      <c r="J269" s="80">
        <v>4845.0050000000001</v>
      </c>
      <c r="K269" s="80">
        <v>4301.7042899999997</v>
      </c>
      <c r="L269" s="80">
        <f>K269-'Toim ja inv rahavirta'!L269</f>
        <v>3901.6439737372784</v>
      </c>
      <c r="M269" s="80">
        <f>L269-'Toim ja inv rahavirta'!M269</f>
        <v>3814.4898633530906</v>
      </c>
      <c r="N269" s="80">
        <f>M269-'Toim ja inv rahavirta'!N269</f>
        <v>3657.5423137124153</v>
      </c>
      <c r="O269" s="80">
        <f>N269-'Toim ja inv rahavirta'!O269</f>
        <v>3347.7004872750149</v>
      </c>
      <c r="P269" s="80">
        <f>O269-'Toim ja inv rahavirta'!P269</f>
        <v>2864.0495926897906</v>
      </c>
      <c r="U269" s="34">
        <v>844</v>
      </c>
      <c r="V269" s="88" t="s">
        <v>583</v>
      </c>
      <c r="W269" s="41">
        <f>C269/'1. Väestöennuste'!E269*1000</f>
        <v>2310.9452736318408</v>
      </c>
      <c r="X269" s="41">
        <f>D269/'1. Väestöennuste'!F269*1000</f>
        <v>2636.8715083798879</v>
      </c>
      <c r="Y269" s="41">
        <f>E269/'1. Väestöennuste'!G269*1000</f>
        <v>3439.1167192429025</v>
      </c>
      <c r="Z269" s="41">
        <f>F269/'1. Väestöennuste'!H269*1000</f>
        <v>3565.4116145500957</v>
      </c>
      <c r="AA269" s="41">
        <f>G269/'1. Väestöennuste'!I269*1000</f>
        <v>3646.7105263157891</v>
      </c>
      <c r="AB269" s="41">
        <f>H269/'1. Väestöennuste'!J269*1000</f>
        <v>3878.243512974052</v>
      </c>
      <c r="AC269" s="41">
        <f>I269/'1. Väestöennuste'!K269*1000</f>
        <v>3557.5868830290742</v>
      </c>
      <c r="AD269" s="41">
        <f>J269/'1. Väestöennuste'!L269*1000</f>
        <v>3362.2519083969469</v>
      </c>
      <c r="AE269" s="41">
        <f>K269/'1. Väestöennuste'!M269*1000</f>
        <v>3046.5327832861185</v>
      </c>
      <c r="AF269" s="41">
        <f>L269/'1. Väestöennuste'!N269*1000</f>
        <v>2720.811697166861</v>
      </c>
      <c r="AG269" s="41">
        <f>M269/'1. Väestöennuste'!O269*1000</f>
        <v>2682.4823230331158</v>
      </c>
      <c r="AH269" s="41">
        <f>N269/'1. Väestöennuste'!P269*1000</f>
        <v>2590.3274176433533</v>
      </c>
      <c r="AI269" s="41">
        <f>O269/'1. Väestöennuste'!Q269*1000</f>
        <v>2387.8034859308241</v>
      </c>
      <c r="AJ269" s="41">
        <f>P269/'1. Väestöennuste'!R269*1000</f>
        <v>2058.9860479437748</v>
      </c>
    </row>
    <row r="270" spans="1:36" x14ac:dyDescent="0.2">
      <c r="A270" s="30">
        <v>845</v>
      </c>
      <c r="B270" s="31" t="s">
        <v>584</v>
      </c>
      <c r="C270" s="81">
        <v>3097</v>
      </c>
      <c r="D270" s="46">
        <v>2789</v>
      </c>
      <c r="E270" s="46">
        <v>2596</v>
      </c>
      <c r="F270" s="46">
        <v>2453</v>
      </c>
      <c r="G270" s="80">
        <v>2943</v>
      </c>
      <c r="H270" s="80">
        <v>2882</v>
      </c>
      <c r="I270" s="80">
        <v>2851.8117400000001</v>
      </c>
      <c r="J270" s="80">
        <v>2821.9162199999996</v>
      </c>
      <c r="K270" s="80">
        <v>1429.1223799999998</v>
      </c>
      <c r="L270" s="80">
        <f>K270-'Toim ja inv rahavirta'!L270</f>
        <v>2165.7770674279809</v>
      </c>
      <c r="M270" s="80">
        <f>L270-'Toim ja inv rahavirta'!M270</f>
        <v>3151.7588700033698</v>
      </c>
      <c r="N270" s="80">
        <f>M270-'Toim ja inv rahavirta'!N270</f>
        <v>4434.5587458196987</v>
      </c>
      <c r="O270" s="80">
        <f>N270-'Toim ja inv rahavirta'!O270</f>
        <v>5986.690366920132</v>
      </c>
      <c r="P270" s="80">
        <f>O270-'Toim ja inv rahavirta'!P270</f>
        <v>7431.7694104476832</v>
      </c>
      <c r="U270" s="34">
        <v>845</v>
      </c>
      <c r="V270" s="88" t="s">
        <v>584</v>
      </c>
      <c r="W270" s="41">
        <f>C270/'1. Väestöennuste'!E270*1000</f>
        <v>969.32707355242565</v>
      </c>
      <c r="X270" s="41">
        <f>D270/'1. Väestöennuste'!F270*1000</f>
        <v>899.96773152629885</v>
      </c>
      <c r="Y270" s="41">
        <f>E270/'1. Väestöennuste'!G270*1000</f>
        <v>846.15384615384619</v>
      </c>
      <c r="Z270" s="41">
        <f>F270/'1. Väestöennuste'!H270*1000</f>
        <v>801.11038536903993</v>
      </c>
      <c r="AA270" s="41">
        <f>G270/'1. Väestöennuste'!I270*1000</f>
        <v>980.67310896367871</v>
      </c>
      <c r="AB270" s="41">
        <f>H270/'1. Väestöennuste'!J270*1000</f>
        <v>985.29914529914527</v>
      </c>
      <c r="AC270" s="41">
        <f>I270/'1. Väestöennuste'!K270*1000</f>
        <v>989.52523941707148</v>
      </c>
      <c r="AD270" s="41">
        <f>J270/'1. Väestöennuste'!L270*1000</f>
        <v>985.65009430667112</v>
      </c>
      <c r="AE270" s="41">
        <f>K270/'1. Väestöennuste'!M270*1000</f>
        <v>504.81186153302713</v>
      </c>
      <c r="AF270" s="41">
        <f>L270/'1. Väestöennuste'!N270*1000</f>
        <v>796.82747145988992</v>
      </c>
      <c r="AG270" s="41">
        <f>M270/'1. Väestöennuste'!O270*1000</f>
        <v>1177.7873206290619</v>
      </c>
      <c r="AH270" s="41">
        <f>N270/'1. Väestöennuste'!P270*1000</f>
        <v>1681.6680871519525</v>
      </c>
      <c r="AI270" s="41">
        <f>O270/'1. Väestöennuste'!Q270*1000</f>
        <v>2304.3457917321525</v>
      </c>
      <c r="AJ270" s="41">
        <f>P270/'1. Väestöennuste'!R270*1000</f>
        <v>2901.9013707331837</v>
      </c>
    </row>
    <row r="271" spans="1:36" x14ac:dyDescent="0.2">
      <c r="A271" s="30">
        <v>846</v>
      </c>
      <c r="B271" s="31" t="s">
        <v>585</v>
      </c>
      <c r="C271" s="81">
        <v>21367</v>
      </c>
      <c r="D271" s="46">
        <v>26670</v>
      </c>
      <c r="E271" s="46">
        <v>25483</v>
      </c>
      <c r="F271" s="46">
        <v>23347</v>
      </c>
      <c r="G271" s="80">
        <v>21787</v>
      </c>
      <c r="H271" s="80">
        <v>18469</v>
      </c>
      <c r="I271" s="80">
        <v>16652.458559999999</v>
      </c>
      <c r="J271" s="80">
        <v>13675.352840000001</v>
      </c>
      <c r="K271" s="80">
        <v>11698.247120000002</v>
      </c>
      <c r="L271" s="80">
        <f>K271-'Toim ja inv rahavirta'!L271</f>
        <v>9533.1414394567328</v>
      </c>
      <c r="M271" s="80">
        <f>L271-'Toim ja inv rahavirta'!M271</f>
        <v>8626.8161521278726</v>
      </c>
      <c r="N271" s="80">
        <f>M271-'Toim ja inv rahavirta'!N271</f>
        <v>7728.6819172786027</v>
      </c>
      <c r="O271" s="80">
        <f>N271-'Toim ja inv rahavirta'!O271</f>
        <v>7335.0685568056952</v>
      </c>
      <c r="P271" s="80">
        <f>O271-'Toim ja inv rahavirta'!P271</f>
        <v>6494.4749536778136</v>
      </c>
      <c r="U271" s="34">
        <v>846</v>
      </c>
      <c r="V271" s="88" t="s">
        <v>585</v>
      </c>
      <c r="W271" s="41">
        <f>C271/'1. Väestöennuste'!E271*1000</f>
        <v>3897.6650857351333</v>
      </c>
      <c r="X271" s="41">
        <f>D271/'1. Väestöennuste'!F271*1000</f>
        <v>4972.9628939026661</v>
      </c>
      <c r="Y271" s="41">
        <f>E271/'1. Väestöennuste'!G271*1000</f>
        <v>4836.401594230404</v>
      </c>
      <c r="Z271" s="41">
        <f>F271/'1. Väestöennuste'!H271*1000</f>
        <v>4526.3668088406357</v>
      </c>
      <c r="AA271" s="41">
        <f>G271/'1. Väestöennuste'!I271*1000</f>
        <v>4292.1591804570526</v>
      </c>
      <c r="AB271" s="41">
        <f>H271/'1. Väestöennuste'!J271*1000</f>
        <v>3698.2378854625549</v>
      </c>
      <c r="AC271" s="41">
        <f>I271/'1. Väestöennuste'!K271*1000</f>
        <v>3362.7743457189013</v>
      </c>
      <c r="AD271" s="41">
        <f>J271/'1. Väestöennuste'!L271*1000</f>
        <v>2812.7011188811193</v>
      </c>
      <c r="AE271" s="41">
        <f>K271/'1. Väestöennuste'!M271*1000</f>
        <v>2458.6479865489705</v>
      </c>
      <c r="AF271" s="41">
        <f>L271/'1. Väestöennuste'!N271*1000</f>
        <v>2058.1048012644069</v>
      </c>
      <c r="AG271" s="41">
        <f>M271/'1. Väestöennuste'!O271*1000</f>
        <v>1894.3381976565377</v>
      </c>
      <c r="AH271" s="41">
        <f>N271/'1. Väestöennuste'!P271*1000</f>
        <v>1725.5373782716238</v>
      </c>
      <c r="AI271" s="41">
        <f>O271/'1. Väestöennuste'!Q271*1000</f>
        <v>1664.4131056967767</v>
      </c>
      <c r="AJ271" s="41">
        <f>P271/'1. Väestöennuste'!R271*1000</f>
        <v>1498.4944517023105</v>
      </c>
    </row>
    <row r="272" spans="1:36" x14ac:dyDescent="0.2">
      <c r="A272" s="30">
        <v>848</v>
      </c>
      <c r="B272" s="31" t="s">
        <v>586</v>
      </c>
      <c r="C272" s="81">
        <v>7287</v>
      </c>
      <c r="D272" s="46">
        <v>6388</v>
      </c>
      <c r="E272" s="46">
        <v>6348</v>
      </c>
      <c r="F272" s="46">
        <v>7554</v>
      </c>
      <c r="G272" s="80">
        <v>10033</v>
      </c>
      <c r="H272" s="80">
        <v>9252</v>
      </c>
      <c r="I272" s="80">
        <v>9171.7460900000005</v>
      </c>
      <c r="J272" s="80">
        <v>8498.7820300000003</v>
      </c>
      <c r="K272" s="80">
        <v>9395.1104299999988</v>
      </c>
      <c r="L272" s="80">
        <f>K272-'Toim ja inv rahavirta'!L272</f>
        <v>9946.5683052051754</v>
      </c>
      <c r="M272" s="80">
        <f>L272-'Toim ja inv rahavirta'!M272</f>
        <v>12180.64636787792</v>
      </c>
      <c r="N272" s="80">
        <f>M272-'Toim ja inv rahavirta'!N272</f>
        <v>14880.83872228711</v>
      </c>
      <c r="O272" s="80">
        <f>N272-'Toim ja inv rahavirta'!O272</f>
        <v>18017.978034575601</v>
      </c>
      <c r="P272" s="80">
        <f>O272-'Toim ja inv rahavirta'!P272</f>
        <v>20907.095849388708</v>
      </c>
      <c r="U272" s="34">
        <v>848</v>
      </c>
      <c r="V272" s="88" t="s">
        <v>586</v>
      </c>
      <c r="W272" s="41">
        <f>C272/'1. Väestöennuste'!E272*1000</f>
        <v>1537.9907133811735</v>
      </c>
      <c r="X272" s="41">
        <f>D272/'1. Väestöennuste'!F272*1000</f>
        <v>1372.8777133032452</v>
      </c>
      <c r="Y272" s="41">
        <f>E272/'1. Väestöennuste'!G272*1000</f>
        <v>1388.7551957996063</v>
      </c>
      <c r="Z272" s="41">
        <f>F272/'1. Väestöennuste'!H272*1000</f>
        <v>1685.4082998661313</v>
      </c>
      <c r="AA272" s="41">
        <f>G272/'1. Väestöennuste'!I272*1000</f>
        <v>2300.6191240541161</v>
      </c>
      <c r="AB272" s="41">
        <f>H272/'1. Väestöennuste'!J272*1000</f>
        <v>2148.1309496169024</v>
      </c>
      <c r="AC272" s="41">
        <f>I272/'1. Väestöennuste'!K272*1000</f>
        <v>2162.637606696534</v>
      </c>
      <c r="AD272" s="41">
        <f>J272/'1. Väestöennuste'!L272*1000</f>
        <v>2042.9764495192305</v>
      </c>
      <c r="AE272" s="41">
        <f>K272/'1. Väestöennuste'!M272*1000</f>
        <v>2310.651851942941</v>
      </c>
      <c r="AF272" s="41">
        <f>L272/'1. Väestöennuste'!N272*1000</f>
        <v>2487.8860193109495</v>
      </c>
      <c r="AG272" s="41">
        <f>M272/'1. Väestöennuste'!O272*1000</f>
        <v>3092.3194637923129</v>
      </c>
      <c r="AH272" s="41">
        <f>N272/'1. Väestöennuste'!P272*1000</f>
        <v>3832.3045898241335</v>
      </c>
      <c r="AI272" s="41">
        <f>O272/'1. Väestöennuste'!Q272*1000</f>
        <v>4705.6615394556284</v>
      </c>
      <c r="AJ272" s="41">
        <f>P272/'1. Väestöennuste'!R272*1000</f>
        <v>5535.3708894330703</v>
      </c>
    </row>
    <row r="273" spans="1:36" x14ac:dyDescent="0.2">
      <c r="A273" s="30">
        <v>849</v>
      </c>
      <c r="B273" s="31" t="s">
        <v>587</v>
      </c>
      <c r="C273" s="81">
        <v>17739</v>
      </c>
      <c r="D273" s="46">
        <v>15436</v>
      </c>
      <c r="E273" s="46">
        <v>15433</v>
      </c>
      <c r="F273" s="46">
        <v>14280</v>
      </c>
      <c r="G273" s="80">
        <v>15026</v>
      </c>
      <c r="H273" s="80">
        <v>15970</v>
      </c>
      <c r="I273" s="80">
        <v>16402.960999999999</v>
      </c>
      <c r="J273" s="80">
        <v>17336.032999999999</v>
      </c>
      <c r="K273" s="80">
        <v>10888.022999999999</v>
      </c>
      <c r="L273" s="80">
        <f>K273-'Toim ja inv rahavirta'!L273</f>
        <v>11393.2223041669</v>
      </c>
      <c r="M273" s="80">
        <f>L273-'Toim ja inv rahavirta'!M273</f>
        <v>12157.729306892668</v>
      </c>
      <c r="N273" s="80">
        <f>M273-'Toim ja inv rahavirta'!N273</f>
        <v>13406.120881293005</v>
      </c>
      <c r="O273" s="80">
        <f>N273-'Toim ja inv rahavirta'!O273</f>
        <v>15080.852204494959</v>
      </c>
      <c r="P273" s="80">
        <f>O273-'Toim ja inv rahavirta'!P273</f>
        <v>16523.847191416236</v>
      </c>
      <c r="U273" s="34">
        <v>849</v>
      </c>
      <c r="V273" s="88" t="s">
        <v>587</v>
      </c>
      <c r="W273" s="41">
        <f>C273/'1. Väestöennuste'!E273*1000</f>
        <v>5357.5958924796132</v>
      </c>
      <c r="X273" s="41">
        <f>D273/'1. Väestöennuste'!F273*1000</f>
        <v>4775.9900990099013</v>
      </c>
      <c r="Y273" s="41">
        <f>E273/'1. Väestöennuste'!G273*1000</f>
        <v>4834.8997493734332</v>
      </c>
      <c r="Z273" s="41">
        <f>F273/'1. Väestöennuste'!H273*1000</f>
        <v>4588.6889460154243</v>
      </c>
      <c r="AA273" s="41">
        <f>G273/'1. Väestöennuste'!I273*1000</f>
        <v>4954.1707879986807</v>
      </c>
      <c r="AB273" s="41">
        <f>H273/'1. Väestöennuste'!J273*1000</f>
        <v>5384.3560350640591</v>
      </c>
      <c r="AC273" s="41">
        <f>I273/'1. Väestöennuste'!K273*1000</f>
        <v>5583.0364193328796</v>
      </c>
      <c r="AD273" s="41">
        <f>J273/'1. Väestöennuste'!L273*1000</f>
        <v>5971.7647261453667</v>
      </c>
      <c r="AE273" s="41">
        <f>K273/'1. Väestöennuste'!M273*1000</f>
        <v>3821.6998946998942</v>
      </c>
      <c r="AF273" s="41">
        <f>L273/'1. Väestöennuste'!N273*1000</f>
        <v>4221.2753998395337</v>
      </c>
      <c r="AG273" s="41">
        <f>M273/'1. Väestöennuste'!O273*1000</f>
        <v>4610.4396309793965</v>
      </c>
      <c r="AH273" s="41">
        <f>N273/'1. Väestöennuste'!P273*1000</f>
        <v>5198.1856848751477</v>
      </c>
      <c r="AI273" s="41">
        <f>O273/'1. Väestöennuste'!Q273*1000</f>
        <v>5974.9810635875428</v>
      </c>
      <c r="AJ273" s="41">
        <f>P273/'1. Väestöennuste'!R273*1000</f>
        <v>6687.1093449681248</v>
      </c>
    </row>
    <row r="274" spans="1:36" x14ac:dyDescent="0.2">
      <c r="A274" s="30">
        <v>850</v>
      </c>
      <c r="B274" s="31" t="s">
        <v>588</v>
      </c>
      <c r="C274" s="81">
        <v>3958</v>
      </c>
      <c r="D274" s="46">
        <v>5989</v>
      </c>
      <c r="E274" s="46">
        <v>6937</v>
      </c>
      <c r="F274" s="46">
        <v>6999</v>
      </c>
      <c r="G274" s="80">
        <v>8092</v>
      </c>
      <c r="H274" s="80">
        <v>11469</v>
      </c>
      <c r="I274" s="80">
        <v>10576.961800000001</v>
      </c>
      <c r="J274" s="80">
        <v>9684.842419999999</v>
      </c>
      <c r="K274" s="80">
        <v>8842.7230399999989</v>
      </c>
      <c r="L274" s="80">
        <f>K274-'Toim ja inv rahavirta'!L274</f>
        <v>7676.0537562251266</v>
      </c>
      <c r="M274" s="80">
        <f>L274-'Toim ja inv rahavirta'!M274</f>
        <v>8365.8398196963517</v>
      </c>
      <c r="N274" s="80">
        <f>M274-'Toim ja inv rahavirta'!N274</f>
        <v>9067.3571443142901</v>
      </c>
      <c r="O274" s="80">
        <f>N274-'Toim ja inv rahavirta'!O274</f>
        <v>10003.065079334141</v>
      </c>
      <c r="P274" s="80">
        <f>O274-'Toim ja inv rahavirta'!P274</f>
        <v>11030.214167262233</v>
      </c>
      <c r="U274" s="34">
        <v>850</v>
      </c>
      <c r="V274" s="88" t="s">
        <v>588</v>
      </c>
      <c r="W274" s="41">
        <f>C274/'1. Väestöennuste'!E274*1000</f>
        <v>1628.1365693130399</v>
      </c>
      <c r="X274" s="41">
        <f>D274/'1. Väestöennuste'!F274*1000</f>
        <v>2462.5822368421054</v>
      </c>
      <c r="Y274" s="41">
        <f>E274/'1. Väestöennuste'!G274*1000</f>
        <v>2909.8154362416108</v>
      </c>
      <c r="Z274" s="41">
        <f>F274/'1. Väestöennuste'!H274*1000</f>
        <v>2908.9775561097254</v>
      </c>
      <c r="AA274" s="41">
        <f>G274/'1. Väestöennuste'!I274*1000</f>
        <v>3388.6097152428811</v>
      </c>
      <c r="AB274" s="41">
        <f>H274/'1. Väestöennuste'!J274*1000</f>
        <v>4776.7596834652222</v>
      </c>
      <c r="AC274" s="41">
        <f>I274/'1. Väestöennuste'!K274*1000</f>
        <v>4431.069040636783</v>
      </c>
      <c r="AD274" s="41">
        <f>J274/'1. Väestöennuste'!L274*1000</f>
        <v>4023.6154632322387</v>
      </c>
      <c r="AE274" s="41">
        <f>K274/'1. Väestöennuste'!M274*1000</f>
        <v>3734.2580405405397</v>
      </c>
      <c r="AF274" s="41">
        <f>L274/'1. Väestöennuste'!N274*1000</f>
        <v>3211.7379733159528</v>
      </c>
      <c r="AG274" s="41">
        <f>M274/'1. Väestöennuste'!O274*1000</f>
        <v>3510.6335793941885</v>
      </c>
      <c r="AH274" s="41">
        <f>N274/'1. Väestöennuste'!P274*1000</f>
        <v>3814.6222735861552</v>
      </c>
      <c r="AI274" s="41">
        <f>O274/'1. Väestöennuste'!Q274*1000</f>
        <v>4224.2673476917826</v>
      </c>
      <c r="AJ274" s="41">
        <f>P274/'1. Väestöennuste'!R274*1000</f>
        <v>4683.7427461835387</v>
      </c>
    </row>
    <row r="275" spans="1:36" x14ac:dyDescent="0.2">
      <c r="A275" s="30">
        <v>851</v>
      </c>
      <c r="B275" s="31" t="s">
        <v>589</v>
      </c>
      <c r="C275" s="81">
        <v>56334</v>
      </c>
      <c r="D275" s="46">
        <v>52318</v>
      </c>
      <c r="E275" s="46">
        <v>50422</v>
      </c>
      <c r="F275" s="46">
        <v>59936</v>
      </c>
      <c r="G275" s="80">
        <v>65700</v>
      </c>
      <c r="H275" s="80">
        <v>64350</v>
      </c>
      <c r="I275" s="80">
        <v>64050</v>
      </c>
      <c r="J275" s="80">
        <v>62149.999999999993</v>
      </c>
      <c r="K275" s="80">
        <v>56550</v>
      </c>
      <c r="L275" s="80">
        <f>K275-'Toim ja inv rahavirta'!L275</f>
        <v>59872.289444779868</v>
      </c>
      <c r="M275" s="80">
        <f>L275-'Toim ja inv rahavirta'!M275</f>
        <v>62515.888387232961</v>
      </c>
      <c r="N275" s="80">
        <f>M275-'Toim ja inv rahavirta'!N275</f>
        <v>66660.830396984951</v>
      </c>
      <c r="O275" s="80">
        <f>N275-'Toim ja inv rahavirta'!O275</f>
        <v>70533.23221294253</v>
      </c>
      <c r="P275" s="80">
        <f>O275-'Toim ja inv rahavirta'!P275</f>
        <v>72568.034672233029</v>
      </c>
      <c r="U275" s="34">
        <v>851</v>
      </c>
      <c r="V275" s="88" t="s">
        <v>589</v>
      </c>
      <c r="W275" s="41">
        <f>C275/'1. Väestöennuste'!E275*1000</f>
        <v>2537.6818775620523</v>
      </c>
      <c r="X275" s="41">
        <f>D275/'1. Väestöennuste'!F275*1000</f>
        <v>2365.5106931319797</v>
      </c>
      <c r="Y275" s="41">
        <f>E275/'1. Väestöennuste'!G275*1000</f>
        <v>2299.4345129514777</v>
      </c>
      <c r="Z275" s="41">
        <f>F275/'1. Väestöennuste'!H275*1000</f>
        <v>2739.9314285714286</v>
      </c>
      <c r="AA275" s="41">
        <f>G275/'1. Väestöennuste'!I275*1000</f>
        <v>3041.3850569391725</v>
      </c>
      <c r="AB275" s="41">
        <f>H275/'1. Väestöennuste'!J275*1000</f>
        <v>2997.6242604928498</v>
      </c>
      <c r="AC275" s="41">
        <f>I275/'1. Väestöennuste'!K275*1000</f>
        <v>3002.3906623540993</v>
      </c>
      <c r="AD275" s="41">
        <f>J275/'1. Väestöennuste'!L275*1000</f>
        <v>2927.8748763367407</v>
      </c>
      <c r="AE275" s="41">
        <f>K275/'1. Väestöennuste'!M275*1000</f>
        <v>2690.5509563231517</v>
      </c>
      <c r="AF275" s="41">
        <f>L275/'1. Väestöennuste'!N275*1000</f>
        <v>2866.3485946371061</v>
      </c>
      <c r="AG275" s="41">
        <f>M275/'1. Väestöennuste'!O275*1000</f>
        <v>3013.1043178731907</v>
      </c>
      <c r="AH275" s="41">
        <f>N275/'1. Väestöennuste'!P275*1000</f>
        <v>3234.0787112839585</v>
      </c>
      <c r="AI275" s="41">
        <f>O275/'1. Väestöennuste'!Q275*1000</f>
        <v>3444.6782678717782</v>
      </c>
      <c r="AJ275" s="41">
        <f>P275/'1. Väestöennuste'!R275*1000</f>
        <v>3567.7499838855961</v>
      </c>
    </row>
    <row r="276" spans="1:36" x14ac:dyDescent="0.2">
      <c r="A276" s="30">
        <v>853</v>
      </c>
      <c r="B276" s="31" t="s">
        <v>590</v>
      </c>
      <c r="C276" s="81">
        <v>554498</v>
      </c>
      <c r="D276" s="46">
        <v>675255</v>
      </c>
      <c r="E276" s="46">
        <v>757056</v>
      </c>
      <c r="F276" s="46">
        <v>820824</v>
      </c>
      <c r="G276" s="80">
        <v>741540</v>
      </c>
      <c r="H276" s="80">
        <v>712782</v>
      </c>
      <c r="I276" s="80">
        <v>795758.99378000014</v>
      </c>
      <c r="J276" s="80">
        <v>716424.82276999997</v>
      </c>
      <c r="K276" s="80">
        <v>863229.62972000008</v>
      </c>
      <c r="L276" s="80">
        <f>K276-'Toim ja inv rahavirta'!L276</f>
        <v>1023547.6654363746</v>
      </c>
      <c r="M276" s="80">
        <f>L276-'Toim ja inv rahavirta'!M276</f>
        <v>1253983.8805070017</v>
      </c>
      <c r="N276" s="80">
        <f>M276-'Toim ja inv rahavirta'!N276</f>
        <v>1497384.6306815452</v>
      </c>
      <c r="O276" s="80">
        <f>N276-'Toim ja inv rahavirta'!O276</f>
        <v>1750680.360586178</v>
      </c>
      <c r="P276" s="80">
        <f>O276-'Toim ja inv rahavirta'!P276</f>
        <v>2006878.9433968691</v>
      </c>
      <c r="U276" s="34">
        <v>853</v>
      </c>
      <c r="V276" s="88" t="s">
        <v>590</v>
      </c>
      <c r="W276" s="41">
        <f>C276/'1. Väestöennuste'!E276*1000</f>
        <v>2982.6473309378835</v>
      </c>
      <c r="X276" s="41">
        <f>D276/'1. Väestöennuste'!F276*1000</f>
        <v>3599.3635530159272</v>
      </c>
      <c r="Y276" s="41">
        <f>E276/'1. Väestöennuste'!G276*1000</f>
        <v>3991.4588045489772</v>
      </c>
      <c r="Z276" s="41">
        <f>F276/'1. Väestöennuste'!H276*1000</f>
        <v>4290.0732238894898</v>
      </c>
      <c r="AA276" s="41">
        <f>G276/'1. Väestöennuste'!I276*1000</f>
        <v>3842.9328054228295</v>
      </c>
      <c r="AB276" s="41">
        <f>H276/'1. Väestöennuste'!J276*1000</f>
        <v>3666.7438307329039</v>
      </c>
      <c r="AC276" s="41">
        <f>I276/'1. Väestöennuste'!K276*1000</f>
        <v>4077.9503312032066</v>
      </c>
      <c r="AD276" s="41">
        <f>J276/'1. Väestöennuste'!L276*1000</f>
        <v>3620.1355369883777</v>
      </c>
      <c r="AE276" s="41">
        <f>K276/'1. Väestöennuste'!M276*1000</f>
        <v>4276.3142810718164</v>
      </c>
      <c r="AF276" s="41">
        <f>L276/'1. Väestöennuste'!N276*1000</f>
        <v>5117.2521882239917</v>
      </c>
      <c r="AG276" s="41">
        <f>M276/'1. Väestöennuste'!O276*1000</f>
        <v>6231.1615775228165</v>
      </c>
      <c r="AH276" s="41">
        <f>N276/'1. Väestöennuste'!P276*1000</f>
        <v>7396.6836133251591</v>
      </c>
      <c r="AI276" s="41">
        <f>O276/'1. Väestöennuste'!Q276*1000</f>
        <v>8598.4153659594704</v>
      </c>
      <c r="AJ276" s="41">
        <f>P276/'1. Väestöennuste'!R276*1000</f>
        <v>9801.9416702738017</v>
      </c>
    </row>
    <row r="277" spans="1:36" x14ac:dyDescent="0.2">
      <c r="A277" s="30">
        <v>854</v>
      </c>
      <c r="B277" s="31" t="s">
        <v>591</v>
      </c>
      <c r="C277" s="81">
        <v>3261</v>
      </c>
      <c r="D277" s="46">
        <v>2923</v>
      </c>
      <c r="E277" s="46">
        <v>4566</v>
      </c>
      <c r="F277" s="46">
        <v>3891</v>
      </c>
      <c r="G277" s="80">
        <v>5112</v>
      </c>
      <c r="H277" s="80">
        <v>4644</v>
      </c>
      <c r="I277" s="80">
        <v>4415.1229999999996</v>
      </c>
      <c r="J277" s="80">
        <v>3476.6109999999999</v>
      </c>
      <c r="K277" s="80">
        <v>2248.0990000000002</v>
      </c>
      <c r="L277" s="80">
        <f>K277-'Toim ja inv rahavirta'!L277</f>
        <v>2150.9766704408407</v>
      </c>
      <c r="M277" s="80">
        <f>L277-'Toim ja inv rahavirta'!M277</f>
        <v>3145.6077175078271</v>
      </c>
      <c r="N277" s="80">
        <f>M277-'Toim ja inv rahavirta'!N277</f>
        <v>4333.4080550957078</v>
      </c>
      <c r="O277" s="80">
        <f>N277-'Toim ja inv rahavirta'!O277</f>
        <v>5540.6217639628858</v>
      </c>
      <c r="P277" s="80">
        <f>O277-'Toim ja inv rahavirta'!P277</f>
        <v>6390.136429123163</v>
      </c>
      <c r="U277" s="34">
        <v>854</v>
      </c>
      <c r="V277" s="88" t="s">
        <v>591</v>
      </c>
      <c r="W277" s="41">
        <f>C277/'1. Väestöennuste'!E277*1000</f>
        <v>900.08280430582386</v>
      </c>
      <c r="X277" s="41">
        <f>D277/'1. Väestöennuste'!F277*1000</f>
        <v>819.91584852734923</v>
      </c>
      <c r="Y277" s="41">
        <f>E277/'1. Väestöennuste'!G277*1000</f>
        <v>1300.8547008547009</v>
      </c>
      <c r="Z277" s="41">
        <f>F277/'1. Väestöennuste'!H277*1000</f>
        <v>1131.7626527050611</v>
      </c>
      <c r="AA277" s="41">
        <f>G277/'1. Väestöennuste'!I277*1000</f>
        <v>1515.5647791283725</v>
      </c>
      <c r="AB277" s="41">
        <f>H277/'1. Väestöennuste'!J277*1000</f>
        <v>1405.5690072639225</v>
      </c>
      <c r="AC277" s="41">
        <f>I277/'1. Väestöennuste'!K277*1000</f>
        <v>1339.5397451456311</v>
      </c>
      <c r="AD277" s="41">
        <f>J277/'1. Väestöennuste'!L277*1000</f>
        <v>1065.7912323727774</v>
      </c>
      <c r="AE277" s="41">
        <f>K277/'1. Väestöennuste'!M277*1000</f>
        <v>691.08484475868431</v>
      </c>
      <c r="AF277" s="41">
        <f>L277/'1. Väestöennuste'!N277*1000</f>
        <v>702.01588460862956</v>
      </c>
      <c r="AG277" s="41">
        <f>M277/'1. Väestöennuste'!O277*1000</f>
        <v>1043.6654669899892</v>
      </c>
      <c r="AH277" s="41">
        <f>N277/'1. Väestöennuste'!P277*1000</f>
        <v>1460.0431452478799</v>
      </c>
      <c r="AI277" s="41">
        <f>O277/'1. Väestöennuste'!Q277*1000</f>
        <v>1895.5257488754314</v>
      </c>
      <c r="AJ277" s="41">
        <f>P277/'1. Väestöennuste'!R277*1000</f>
        <v>2218.0272228820418</v>
      </c>
    </row>
    <row r="278" spans="1:36" x14ac:dyDescent="0.2">
      <c r="A278" s="30">
        <v>857</v>
      </c>
      <c r="B278" s="31" t="s">
        <v>592</v>
      </c>
      <c r="C278" s="81">
        <v>5550</v>
      </c>
      <c r="D278" s="46">
        <v>4925</v>
      </c>
      <c r="E278" s="46">
        <v>4300</v>
      </c>
      <c r="F278" s="46">
        <v>3675</v>
      </c>
      <c r="G278" s="80">
        <v>3050</v>
      </c>
      <c r="H278" s="80">
        <v>3925</v>
      </c>
      <c r="I278" s="80">
        <v>3750</v>
      </c>
      <c r="J278" s="80">
        <v>3175</v>
      </c>
      <c r="K278" s="80">
        <v>3725</v>
      </c>
      <c r="L278" s="80">
        <f>K278-'Toim ja inv rahavirta'!L278</f>
        <v>4706.9254776382413</v>
      </c>
      <c r="M278" s="80">
        <f>L278-'Toim ja inv rahavirta'!M278</f>
        <v>5927.9584361312245</v>
      </c>
      <c r="N278" s="80">
        <f>M278-'Toim ja inv rahavirta'!N278</f>
        <v>7385.7137904299107</v>
      </c>
      <c r="O278" s="80">
        <f>N278-'Toim ja inv rahavirta'!O278</f>
        <v>8864.3443127823539</v>
      </c>
      <c r="P278" s="80">
        <f>O278-'Toim ja inv rahavirta'!P278</f>
        <v>10151.141106783742</v>
      </c>
      <c r="U278" s="34">
        <v>857</v>
      </c>
      <c r="V278" s="88" t="s">
        <v>592</v>
      </c>
      <c r="W278" s="41">
        <f>C278/'1. Väestöennuste'!E278*1000</f>
        <v>2041.1916145641783</v>
      </c>
      <c r="X278" s="41">
        <f>D278/'1. Väestöennuste'!F278*1000</f>
        <v>1863.4127884979191</v>
      </c>
      <c r="Y278" s="41">
        <f>E278/'1. Väestöennuste'!G278*1000</f>
        <v>1655.7566422795533</v>
      </c>
      <c r="Z278" s="41">
        <f>F278/'1. Väestöennuste'!H278*1000</f>
        <v>1440.6115248921992</v>
      </c>
      <c r="AA278" s="41">
        <f>G278/'1. Väestöennuste'!I278*1000</f>
        <v>1231.3282196205087</v>
      </c>
      <c r="AB278" s="41">
        <f>H278/'1. Väestöennuste'!J278*1000</f>
        <v>1613.2346896835184</v>
      </c>
      <c r="AC278" s="41">
        <f>I278/'1. Väestöennuste'!K278*1000</f>
        <v>1549.5867768595042</v>
      </c>
      <c r="AD278" s="41">
        <f>J278/'1. Väestöennuste'!L278*1000</f>
        <v>1326.2322472848789</v>
      </c>
      <c r="AE278" s="41">
        <f>K278/'1. Väestöennuste'!M278*1000</f>
        <v>1610.4626026805015</v>
      </c>
      <c r="AF278" s="41">
        <f>L278/'1. Väestöennuste'!N278*1000</f>
        <v>2097.5603732790737</v>
      </c>
      <c r="AG278" s="41">
        <f>M278/'1. Väestöennuste'!O278*1000</f>
        <v>2685.9802610472248</v>
      </c>
      <c r="AH278" s="41">
        <f>N278/'1. Väestöennuste'!P278*1000</f>
        <v>3397.2924518996829</v>
      </c>
      <c r="AI278" s="41">
        <f>O278/'1. Väestöennuste'!Q278*1000</f>
        <v>4138.3493523727138</v>
      </c>
      <c r="AJ278" s="41">
        <f>P278/'1. Väestöennuste'!R278*1000</f>
        <v>4804.1368228981264</v>
      </c>
    </row>
    <row r="279" spans="1:36" x14ac:dyDescent="0.2">
      <c r="A279" s="30">
        <v>858</v>
      </c>
      <c r="B279" s="31" t="s">
        <v>593</v>
      </c>
      <c r="C279" s="81">
        <v>50200</v>
      </c>
      <c r="D279" s="46">
        <v>69338</v>
      </c>
      <c r="E279" s="46">
        <v>78891</v>
      </c>
      <c r="F279" s="46">
        <v>98599</v>
      </c>
      <c r="G279" s="80">
        <v>126386</v>
      </c>
      <c r="H279" s="80">
        <v>131400</v>
      </c>
      <c r="I279" s="80">
        <v>144174.94902999999</v>
      </c>
      <c r="J279" s="80">
        <v>163088.38167999999</v>
      </c>
      <c r="K279" s="80">
        <v>199818.32037999999</v>
      </c>
      <c r="L279" s="80">
        <f>K279-'Toim ja inv rahavirta'!L279</f>
        <v>219428.55688058253</v>
      </c>
      <c r="M279" s="80">
        <f>L279-'Toim ja inv rahavirta'!M279</f>
        <v>246733.5876925636</v>
      </c>
      <c r="N279" s="80">
        <f>M279-'Toim ja inv rahavirta'!N279</f>
        <v>277730.5706481727</v>
      </c>
      <c r="O279" s="80">
        <f>N279-'Toim ja inv rahavirta'!O279</f>
        <v>311143.70107905229</v>
      </c>
      <c r="P279" s="80">
        <f>O279-'Toim ja inv rahavirta'!P279</f>
        <v>345624.96873875358</v>
      </c>
      <c r="U279" s="34">
        <v>858</v>
      </c>
      <c r="V279" s="88" t="s">
        <v>593</v>
      </c>
      <c r="W279" s="41">
        <f>C279/'1. Väestöennuste'!E279*1000</f>
        <v>1305.2861488858266</v>
      </c>
      <c r="X279" s="41">
        <f>D279/'1. Väestöennuste'!F279*1000</f>
        <v>1796.8798590235306</v>
      </c>
      <c r="Y279" s="41">
        <f>E279/'1. Väestöennuste'!G279*1000</f>
        <v>2041.3755628008073</v>
      </c>
      <c r="Z279" s="41">
        <f>F279/'1. Väestöennuste'!H279*1000</f>
        <v>2550.1500103455414</v>
      </c>
      <c r="AA279" s="41">
        <f>G279/'1. Väestöennuste'!I279*1000</f>
        <v>3274.3335319567864</v>
      </c>
      <c r="AB279" s="41">
        <f>H279/'1. Väestöennuste'!J279*1000</f>
        <v>3388.0824072402856</v>
      </c>
      <c r="AC279" s="41">
        <f>I279/'1. Väestöennuste'!K279*1000</f>
        <v>3629.9649788508987</v>
      </c>
      <c r="AD279" s="41">
        <f>J279/'1. Väestöennuste'!L279*1000</f>
        <v>4038.4405130744849</v>
      </c>
      <c r="AE279" s="41">
        <f>K279/'1. Väestöennuste'!M279*1000</f>
        <v>4833.7684546905994</v>
      </c>
      <c r="AF279" s="41">
        <f>L279/'1. Väestöennuste'!N279*1000</f>
        <v>5590.1092115400743</v>
      </c>
      <c r="AG279" s="41">
        <f>M279/'1. Väestöennuste'!O279*1000</f>
        <v>6268.7971669138842</v>
      </c>
      <c r="AH279" s="41">
        <f>N279/'1. Väestöennuste'!P279*1000</f>
        <v>7037.3893487437654</v>
      </c>
      <c r="AI279" s="41">
        <f>O279/'1. Väestöennuste'!Q279*1000</f>
        <v>7863.1210785709445</v>
      </c>
      <c r="AJ279" s="41">
        <f>P279/'1. Väestöennuste'!R279*1000</f>
        <v>8713.3809493962999</v>
      </c>
    </row>
    <row r="280" spans="1:36" x14ac:dyDescent="0.2">
      <c r="A280" s="30">
        <v>859</v>
      </c>
      <c r="B280" s="31" t="s">
        <v>594</v>
      </c>
      <c r="C280" s="81">
        <v>15885</v>
      </c>
      <c r="D280" s="46">
        <v>23032</v>
      </c>
      <c r="E280" s="46">
        <v>30385</v>
      </c>
      <c r="F280" s="46">
        <v>33492</v>
      </c>
      <c r="G280" s="80">
        <v>31939</v>
      </c>
      <c r="H280" s="80">
        <v>31310</v>
      </c>
      <c r="I280" s="80">
        <v>30100.501959999998</v>
      </c>
      <c r="J280" s="80">
        <v>29139.635279999999</v>
      </c>
      <c r="K280" s="80">
        <v>30365.451940000003</v>
      </c>
      <c r="L280" s="80">
        <f>K280-'Toim ja inv rahavirta'!L280</f>
        <v>31557.05363568234</v>
      </c>
      <c r="M280" s="80">
        <f>L280-'Toim ja inv rahavirta'!M280</f>
        <v>33832.927832674497</v>
      </c>
      <c r="N280" s="80">
        <f>M280-'Toim ja inv rahavirta'!N280</f>
        <v>36091.038545648436</v>
      </c>
      <c r="O280" s="80">
        <f>N280-'Toim ja inv rahavirta'!O280</f>
        <v>38426.006083410495</v>
      </c>
      <c r="P280" s="80">
        <f>O280-'Toim ja inv rahavirta'!P280</f>
        <v>40499.471558324876</v>
      </c>
      <c r="U280" s="34">
        <v>859</v>
      </c>
      <c r="V280" s="88" t="s">
        <v>594</v>
      </c>
      <c r="W280" s="41">
        <f>C280/'1. Väestöennuste'!E280*1000</f>
        <v>2338.436625938466</v>
      </c>
      <c r="X280" s="41">
        <f>D280/'1. Väestöennuste'!F280*1000</f>
        <v>3412.1481481481483</v>
      </c>
      <c r="Y280" s="41">
        <f>E280/'1. Väestöennuste'!G280*1000</f>
        <v>4514.8588410104012</v>
      </c>
      <c r="Z280" s="41">
        <f>F280/'1. Väestöennuste'!H280*1000</f>
        <v>4955.9041136430897</v>
      </c>
      <c r="AA280" s="41">
        <f>G280/'1. Väestöennuste'!I280*1000</f>
        <v>4812.2645773692939</v>
      </c>
      <c r="AB280" s="41">
        <f>H280/'1. Väestöennuste'!J280*1000</f>
        <v>4741.7840375586848</v>
      </c>
      <c r="AC280" s="41">
        <f>I280/'1. Väestöennuste'!K280*1000</f>
        <v>4565.5243379341719</v>
      </c>
      <c r="AD280" s="41">
        <f>J280/'1. Väestöennuste'!L280*1000</f>
        <v>4440.6637122828406</v>
      </c>
      <c r="AE280" s="41">
        <f>K280/'1. Väestöennuste'!M280*1000</f>
        <v>4653.7091095785445</v>
      </c>
      <c r="AF280" s="41">
        <f>L280/'1. Väestöennuste'!N280*1000</f>
        <v>4875.1820849192554</v>
      </c>
      <c r="AG280" s="41">
        <f>M280/'1. Väestöennuste'!O280*1000</f>
        <v>5261.7306116134523</v>
      </c>
      <c r="AH280" s="41">
        <f>N280/'1. Väestöennuste'!P280*1000</f>
        <v>5654.2438580053949</v>
      </c>
      <c r="AI280" s="41">
        <f>O280/'1. Väestöennuste'!Q280*1000</f>
        <v>6063.7535242875956</v>
      </c>
      <c r="AJ280" s="41">
        <f>P280/'1. Väestöennuste'!R280*1000</f>
        <v>6440.755654949885</v>
      </c>
    </row>
    <row r="281" spans="1:36" x14ac:dyDescent="0.2">
      <c r="A281" s="30">
        <v>886</v>
      </c>
      <c r="B281" s="31" t="s">
        <v>595</v>
      </c>
      <c r="C281" s="81">
        <v>16200</v>
      </c>
      <c r="D281" s="46">
        <v>17317</v>
      </c>
      <c r="E281" s="46">
        <v>20464</v>
      </c>
      <c r="F281" s="46">
        <v>22697</v>
      </c>
      <c r="G281" s="80">
        <v>25567</v>
      </c>
      <c r="H281" s="80">
        <v>23523</v>
      </c>
      <c r="I281" s="80">
        <v>21778.429680000001</v>
      </c>
      <c r="J281" s="80">
        <v>17576.706910000001</v>
      </c>
      <c r="K281" s="80">
        <v>16025.836949999999</v>
      </c>
      <c r="L281" s="80">
        <f>K281-'Toim ja inv rahavirta'!L281</f>
        <v>19027.606577860111</v>
      </c>
      <c r="M281" s="80">
        <f>L281-'Toim ja inv rahavirta'!M281</f>
        <v>21227.356015738034</v>
      </c>
      <c r="N281" s="80">
        <f>M281-'Toim ja inv rahavirta'!N281</f>
        <v>23069.369631772071</v>
      </c>
      <c r="O281" s="80">
        <f>N281-'Toim ja inv rahavirta'!O281</f>
        <v>24969.207200787609</v>
      </c>
      <c r="P281" s="80">
        <f>O281-'Toim ja inv rahavirta'!P281</f>
        <v>25723.947849385317</v>
      </c>
      <c r="U281" s="34">
        <v>886</v>
      </c>
      <c r="V281" s="88" t="s">
        <v>595</v>
      </c>
      <c r="W281" s="41">
        <f>C281/'1. Väestöennuste'!E281*1000</f>
        <v>1213.3013780707008</v>
      </c>
      <c r="X281" s="41">
        <f>D281/'1. Väestöennuste'!F281*1000</f>
        <v>1300.8563701923076</v>
      </c>
      <c r="Y281" s="41">
        <f>E281/'1. Väestöennuste'!G281*1000</f>
        <v>1545.9696305809473</v>
      </c>
      <c r="Z281" s="41">
        <f>F281/'1. Väestöennuste'!H281*1000</f>
        <v>1743.1072882267106</v>
      </c>
      <c r="AA281" s="41">
        <f>G281/'1. Väestöennuste'!I281*1000</f>
        <v>1986.4035428482637</v>
      </c>
      <c r="AB281" s="41">
        <f>H281/'1. Väestöennuste'!J281*1000</f>
        <v>1847.1142520612484</v>
      </c>
      <c r="AC281" s="41">
        <f>I281/'1. Väestöennuste'!K281*1000</f>
        <v>1719.0330475964954</v>
      </c>
      <c r="AD281" s="41">
        <f>J281/'1. Väestöennuste'!L281*1000</f>
        <v>1395.0874601158823</v>
      </c>
      <c r="AE281" s="41">
        <f>K281/'1. Väestöennuste'!M281*1000</f>
        <v>1278.6912112024256</v>
      </c>
      <c r="AF281" s="41">
        <f>L281/'1. Väestöennuste'!N281*1000</f>
        <v>1548.9748109622362</v>
      </c>
      <c r="AG281" s="41">
        <f>M281/'1. Väestöennuste'!O281*1000</f>
        <v>1744.6663939950715</v>
      </c>
      <c r="AH281" s="41">
        <f>N281/'1. Väestöennuste'!P281*1000</f>
        <v>1914.7883160501387</v>
      </c>
      <c r="AI281" s="41">
        <f>O281/'1. Väestöennuste'!Q281*1000</f>
        <v>2093.5027417445804</v>
      </c>
      <c r="AJ281" s="41">
        <f>P281/'1. Väestöennuste'!R281*1000</f>
        <v>2179.810850723271</v>
      </c>
    </row>
    <row r="282" spans="1:36" x14ac:dyDescent="0.2">
      <c r="A282" s="30">
        <v>887</v>
      </c>
      <c r="B282" s="31" t="s">
        <v>596</v>
      </c>
      <c r="C282" s="81">
        <v>7440</v>
      </c>
      <c r="D282" s="46">
        <v>13235</v>
      </c>
      <c r="E282" s="46">
        <v>13562</v>
      </c>
      <c r="F282" s="46">
        <v>13234</v>
      </c>
      <c r="G282" s="80">
        <v>12147</v>
      </c>
      <c r="H282" s="80">
        <v>12704</v>
      </c>
      <c r="I282" s="80">
        <v>11596.896000000001</v>
      </c>
      <c r="J282" s="80">
        <v>10589.672</v>
      </c>
      <c r="K282" s="80">
        <v>10982.448</v>
      </c>
      <c r="L282" s="80">
        <f>K282-'Toim ja inv rahavirta'!L282</f>
        <v>11143.547391354454</v>
      </c>
      <c r="M282" s="80">
        <f>L282-'Toim ja inv rahavirta'!M282</f>
        <v>12275.533227125212</v>
      </c>
      <c r="N282" s="80">
        <f>M282-'Toim ja inv rahavirta'!N282</f>
        <v>13409.689949667514</v>
      </c>
      <c r="O282" s="80">
        <f>N282-'Toim ja inv rahavirta'!O282</f>
        <v>14658.927688666885</v>
      </c>
      <c r="P282" s="80">
        <f>O282-'Toim ja inv rahavirta'!P282</f>
        <v>15550.430525505826</v>
      </c>
      <c r="U282" s="34">
        <v>887</v>
      </c>
      <c r="V282" s="88" t="s">
        <v>596</v>
      </c>
      <c r="W282" s="41">
        <f>C282/'1. Väestöennuste'!E282*1000</f>
        <v>1509.7402597402597</v>
      </c>
      <c r="X282" s="41">
        <f>D282/'1. Väestöennuste'!F282*1000</f>
        <v>2724.3721696171265</v>
      </c>
      <c r="Y282" s="41">
        <f>E282/'1. Väestöennuste'!G282*1000</f>
        <v>2808.4489542348315</v>
      </c>
      <c r="Z282" s="41">
        <f>F282/'1. Väestöennuste'!H282*1000</f>
        <v>2761.6861435726209</v>
      </c>
      <c r="AA282" s="41">
        <f>G282/'1. Väestöennuste'!I282*1000</f>
        <v>2591.0836177474403</v>
      </c>
      <c r="AB282" s="41">
        <f>H282/'1. Väestöennuste'!J282*1000</f>
        <v>2735.5727820844099</v>
      </c>
      <c r="AC282" s="41">
        <f>I282/'1. Väestöennuste'!K282*1000</f>
        <v>2483.8072392375243</v>
      </c>
      <c r="AD282" s="41">
        <f>J282/'1. Väestöennuste'!L282*1000</f>
        <v>2317.7220398336617</v>
      </c>
      <c r="AE282" s="41">
        <f>K282/'1. Väestöennuste'!M282*1000</f>
        <v>2404.2136602451837</v>
      </c>
      <c r="AF282" s="41">
        <f>L282/'1. Väestöennuste'!N282*1000</f>
        <v>2510.939024640481</v>
      </c>
      <c r="AG282" s="41">
        <f>M282/'1. Väestöennuste'!O282*1000</f>
        <v>2796.2490266800028</v>
      </c>
      <c r="AH282" s="41">
        <f>N282/'1. Väestöennuste'!P282*1000</f>
        <v>3085.5246087592068</v>
      </c>
      <c r="AI282" s="41">
        <f>O282/'1. Väestöennuste'!Q282*1000</f>
        <v>3404.3027609537585</v>
      </c>
      <c r="AJ282" s="41">
        <f>P282/'1. Väestöennuste'!R282*1000</f>
        <v>3645.2017171837379</v>
      </c>
    </row>
    <row r="283" spans="1:36" x14ac:dyDescent="0.2">
      <c r="A283" s="30">
        <v>889</v>
      </c>
      <c r="B283" s="31" t="s">
        <v>597</v>
      </c>
      <c r="C283" s="81">
        <v>6614</v>
      </c>
      <c r="D283" s="46">
        <v>6933</v>
      </c>
      <c r="E283" s="46">
        <v>9388</v>
      </c>
      <c r="F283" s="46">
        <v>9172</v>
      </c>
      <c r="G283" s="80">
        <v>10022</v>
      </c>
      <c r="H283" s="80">
        <v>10869</v>
      </c>
      <c r="I283" s="80">
        <v>12857.703669999999</v>
      </c>
      <c r="J283" s="80">
        <v>11600.426750000001</v>
      </c>
      <c r="K283" s="80">
        <v>10393.14983</v>
      </c>
      <c r="L283" s="80">
        <f>K283-'Toim ja inv rahavirta'!L283</f>
        <v>11450.396397742421</v>
      </c>
      <c r="M283" s="80">
        <f>L283-'Toim ja inv rahavirta'!M283</f>
        <v>12901.467906486518</v>
      </c>
      <c r="N283" s="80">
        <f>M283-'Toim ja inv rahavirta'!N283</f>
        <v>14686.228425255584</v>
      </c>
      <c r="O283" s="80">
        <f>N283-'Toim ja inv rahavirta'!O283</f>
        <v>16764.956733404753</v>
      </c>
      <c r="P283" s="80">
        <f>O283-'Toim ja inv rahavirta'!P283</f>
        <v>18716.245710711777</v>
      </c>
      <c r="U283" s="34">
        <v>889</v>
      </c>
      <c r="V283" s="88" t="s">
        <v>597</v>
      </c>
      <c r="W283" s="41">
        <f>C283/'1. Väestöennuste'!E283*1000</f>
        <v>2311.7790982174065</v>
      </c>
      <c r="X283" s="41">
        <f>D283/'1. Väestöennuste'!F283*1000</f>
        <v>2455.0283286118979</v>
      </c>
      <c r="Y283" s="41">
        <f>E283/'1. Väestöennuste'!G283*1000</f>
        <v>3391.6184971098264</v>
      </c>
      <c r="Z283" s="41">
        <f>F283/'1. Väestöennuste'!H283*1000</f>
        <v>3394.5225758697261</v>
      </c>
      <c r="AA283" s="41">
        <f>G283/'1. Väestöennuste'!I283*1000</f>
        <v>3745.1420029895366</v>
      </c>
      <c r="AB283" s="41">
        <f>H283/'1. Väestöennuste'!J283*1000</f>
        <v>4150.0572737686143</v>
      </c>
      <c r="AC283" s="41">
        <f>I283/'1. Väestöennuste'!K283*1000</f>
        <v>5006.8939524922107</v>
      </c>
      <c r="AD283" s="41">
        <f>J283/'1. Väestöennuste'!L283*1000</f>
        <v>4597.8702933016248</v>
      </c>
      <c r="AE283" s="41">
        <f>K283/'1. Väestöennuste'!M283*1000</f>
        <v>4172.2801405058208</v>
      </c>
      <c r="AF283" s="41">
        <f>L283/'1. Väestöennuste'!N283*1000</f>
        <v>4706.2870520930628</v>
      </c>
      <c r="AG283" s="41">
        <f>M283/'1. Väestöennuste'!O283*1000</f>
        <v>5382.3395521428938</v>
      </c>
      <c r="AH283" s="41">
        <f>N283/'1. Väestöennuste'!P283*1000</f>
        <v>6215.0776238914868</v>
      </c>
      <c r="AI283" s="41">
        <f>O283/'1. Väestöennuste'!Q283*1000</f>
        <v>7189.089508321078</v>
      </c>
      <c r="AJ283" s="41">
        <f>P283/'1. Väestöennuste'!R283*1000</f>
        <v>8123.3705341630975</v>
      </c>
    </row>
    <row r="284" spans="1:36" x14ac:dyDescent="0.2">
      <c r="A284" s="30">
        <v>890</v>
      </c>
      <c r="B284" s="31" t="s">
        <v>598</v>
      </c>
      <c r="C284" s="81">
        <v>4281</v>
      </c>
      <c r="D284" s="46">
        <v>5160</v>
      </c>
      <c r="E284" s="46">
        <v>5106</v>
      </c>
      <c r="F284" s="46">
        <v>4452</v>
      </c>
      <c r="G284" s="80">
        <v>8517</v>
      </c>
      <c r="H284" s="80">
        <v>12374</v>
      </c>
      <c r="I284" s="80">
        <v>11325.17116</v>
      </c>
      <c r="J284" s="80">
        <v>11325.17116</v>
      </c>
      <c r="K284" s="80">
        <v>10836.056079999998</v>
      </c>
      <c r="L284" s="80">
        <f>K284-'Toim ja inv rahavirta'!L284</f>
        <v>11542.125314636574</v>
      </c>
      <c r="M284" s="80">
        <f>L284-'Toim ja inv rahavirta'!M284</f>
        <v>12802.185343778812</v>
      </c>
      <c r="N284" s="80">
        <f>M284-'Toim ja inv rahavirta'!N284</f>
        <v>14262.275787858249</v>
      </c>
      <c r="O284" s="80">
        <f>N284-'Toim ja inv rahavirta'!O284</f>
        <v>15885.299319964603</v>
      </c>
      <c r="P284" s="80">
        <f>O284-'Toim ja inv rahavirta'!P284</f>
        <v>17546.309003826398</v>
      </c>
      <c r="U284" s="34">
        <v>890</v>
      </c>
      <c r="V284" s="88" t="s">
        <v>598</v>
      </c>
      <c r="W284" s="41">
        <f>C284/'1. Väestöennuste'!E284*1000</f>
        <v>3424.7999999999997</v>
      </c>
      <c r="X284" s="41">
        <f>D284/'1. Väestöennuste'!F284*1000</f>
        <v>4157.9371474617237</v>
      </c>
      <c r="Y284" s="41">
        <f>E284/'1. Väestöennuste'!G284*1000</f>
        <v>4111.1111111111104</v>
      </c>
      <c r="Z284" s="41">
        <f>F284/'1. Väestöennuste'!H284*1000</f>
        <v>3613.636363636364</v>
      </c>
      <c r="AA284" s="41">
        <f>G284/'1. Väestöennuste'!I284*1000</f>
        <v>7027.227722772277</v>
      </c>
      <c r="AB284" s="41">
        <f>H284/'1. Väestöennuste'!J284*1000</f>
        <v>10150.943396226416</v>
      </c>
      <c r="AC284" s="41">
        <f>I284/'1. Väestöennuste'!K284*1000</f>
        <v>9630.2475850340124</v>
      </c>
      <c r="AD284" s="41">
        <f>J284/'1. Väestöennuste'!L284*1000</f>
        <v>9597.6026779661006</v>
      </c>
      <c r="AE284" s="41">
        <f>K284/'1. Väestöennuste'!M284*1000</f>
        <v>9513.6576646180856</v>
      </c>
      <c r="AF284" s="41">
        <f>L284/'1. Väestöennuste'!N284*1000</f>
        <v>9634.4952542876254</v>
      </c>
      <c r="AG284" s="41">
        <f>M284/'1. Väestöennuste'!O284*1000</f>
        <v>10713.125810693567</v>
      </c>
      <c r="AH284" s="41">
        <f>N284/'1. Väestöennuste'!P284*1000</f>
        <v>11954.967131482186</v>
      </c>
      <c r="AI284" s="41">
        <f>O284/'1. Väestöennuste'!Q284*1000</f>
        <v>13326.593389232048</v>
      </c>
      <c r="AJ284" s="41">
        <f>P284/'1. Väestöennuste'!R284*1000</f>
        <v>14720.057889116106</v>
      </c>
    </row>
    <row r="285" spans="1:36" x14ac:dyDescent="0.2">
      <c r="A285" s="30">
        <v>892</v>
      </c>
      <c r="B285" s="31" t="s">
        <v>599</v>
      </c>
      <c r="C285" s="81">
        <v>11008</v>
      </c>
      <c r="D285" s="46">
        <v>12294</v>
      </c>
      <c r="E285" s="46">
        <v>14359</v>
      </c>
      <c r="F285" s="46">
        <v>15100</v>
      </c>
      <c r="G285" s="80">
        <v>17042</v>
      </c>
      <c r="H285" s="80">
        <v>16928</v>
      </c>
      <c r="I285" s="80">
        <v>15010.101970000003</v>
      </c>
      <c r="J285" s="80">
        <v>14173.966630000001</v>
      </c>
      <c r="K285" s="80">
        <v>15825.738959999999</v>
      </c>
      <c r="L285" s="80">
        <f>K285-'Toim ja inv rahavirta'!L285</f>
        <v>15816.430902186803</v>
      </c>
      <c r="M285" s="80">
        <f>L285-'Toim ja inv rahavirta'!M285</f>
        <v>16530.919816740803</v>
      </c>
      <c r="N285" s="80">
        <f>M285-'Toim ja inv rahavirta'!N285</f>
        <v>17302.354486098255</v>
      </c>
      <c r="O285" s="80">
        <f>N285-'Toim ja inv rahavirta'!O285</f>
        <v>18471.640737525166</v>
      </c>
      <c r="P285" s="80">
        <f>O285-'Toim ja inv rahavirta'!P285</f>
        <v>19636.38037887133</v>
      </c>
      <c r="U285" s="34">
        <v>892</v>
      </c>
      <c r="V285" s="88" t="s">
        <v>599</v>
      </c>
      <c r="W285" s="41">
        <f>C285/'1. Väestöennuste'!E285*1000</f>
        <v>3002.7277686852158</v>
      </c>
      <c r="X285" s="41">
        <f>D285/'1. Väestöennuste'!F285*1000</f>
        <v>3307.5060532687648</v>
      </c>
      <c r="Y285" s="41">
        <f>E285/'1. Väestöennuste'!G285*1000</f>
        <v>3832.1323725647185</v>
      </c>
      <c r="Z285" s="41">
        <f>F285/'1. Väestöennuste'!H285*1000</f>
        <v>3991.5411049431668</v>
      </c>
      <c r="AA285" s="41">
        <f>G285/'1. Väestöennuste'!I285*1000</f>
        <v>4629.7201847324095</v>
      </c>
      <c r="AB285" s="41">
        <f>H285/'1. Väestöennuste'!J285*1000</f>
        <v>4642.8963247394404</v>
      </c>
      <c r="AC285" s="41">
        <f>I285/'1. Väestöennuste'!K285*1000</f>
        <v>4130.4628425976889</v>
      </c>
      <c r="AD285" s="41">
        <f>J285/'1. Väestöennuste'!L285*1000</f>
        <v>3945.9818012249443</v>
      </c>
      <c r="AE285" s="41">
        <f>K285/'1. Väestöennuste'!M285*1000</f>
        <v>4377.79777593361</v>
      </c>
      <c r="AF285" s="41">
        <f>L285/'1. Väestöennuste'!N285*1000</f>
        <v>4319.0690612197714</v>
      </c>
      <c r="AG285" s="41">
        <f>M285/'1. Väestöennuste'!O285*1000</f>
        <v>4522.8234792724488</v>
      </c>
      <c r="AH285" s="41">
        <f>N285/'1. Väestöennuste'!P285*1000</f>
        <v>4752.0885707493153</v>
      </c>
      <c r="AI285" s="41">
        <f>O285/'1. Väestöennuste'!Q285*1000</f>
        <v>5095.6250310414243</v>
      </c>
      <c r="AJ285" s="41">
        <f>P285/'1. Väestöennuste'!R285*1000</f>
        <v>5448.4962205525335</v>
      </c>
    </row>
    <row r="286" spans="1:36" x14ac:dyDescent="0.2">
      <c r="A286" s="30">
        <v>893</v>
      </c>
      <c r="B286" s="31" t="s">
        <v>600</v>
      </c>
      <c r="C286" s="81">
        <v>19868</v>
      </c>
      <c r="D286" s="46">
        <v>28002</v>
      </c>
      <c r="E286" s="46">
        <v>33145</v>
      </c>
      <c r="F286" s="46">
        <v>37589</v>
      </c>
      <c r="G286" s="80">
        <v>48707</v>
      </c>
      <c r="H286" s="80">
        <v>47090</v>
      </c>
      <c r="I286" s="80">
        <v>46688.341999999997</v>
      </c>
      <c r="J286" s="80">
        <v>40411.675999999999</v>
      </c>
      <c r="K286" s="80">
        <v>38735</v>
      </c>
      <c r="L286" s="80">
        <f>K286-'Toim ja inv rahavirta'!L286</f>
        <v>37789.697277707142</v>
      </c>
      <c r="M286" s="80">
        <f>L286-'Toim ja inv rahavirta'!M286</f>
        <v>36594.112486867103</v>
      </c>
      <c r="N286" s="80">
        <f>M286-'Toim ja inv rahavirta'!N286</f>
        <v>35420.809240801376</v>
      </c>
      <c r="O286" s="80">
        <f>N286-'Toim ja inv rahavirta'!O286</f>
        <v>34058.416128099299</v>
      </c>
      <c r="P286" s="80">
        <f>O286-'Toim ja inv rahavirta'!P286</f>
        <v>32184.224829848463</v>
      </c>
      <c r="U286" s="34">
        <v>893</v>
      </c>
      <c r="V286" s="88" t="s">
        <v>600</v>
      </c>
      <c r="W286" s="41">
        <f>C286/'1. Väestöennuste'!E286*1000</f>
        <v>2626.6525647805393</v>
      </c>
      <c r="X286" s="41">
        <f>D286/'1. Väestöennuste'!F286*1000</f>
        <v>3725.6519425226184</v>
      </c>
      <c r="Y286" s="41">
        <f>E286/'1. Väestöennuste'!G286*1000</f>
        <v>4406.9937508310059</v>
      </c>
      <c r="Z286" s="41">
        <f>F286/'1. Väestöennuste'!H286*1000</f>
        <v>5042.1193829644535</v>
      </c>
      <c r="AA286" s="41">
        <f>G286/'1. Väestöennuste'!I286*1000</f>
        <v>6525.58949624866</v>
      </c>
      <c r="AB286" s="41">
        <f>H286/'1. Väestöennuste'!J286*1000</f>
        <v>6296.2962962962965</v>
      </c>
      <c r="AC286" s="41">
        <f>I286/'1. Väestöennuste'!K286*1000</f>
        <v>6227.6033079898625</v>
      </c>
      <c r="AD286" s="41">
        <f>J286/'1. Väestöennuste'!L286*1000</f>
        <v>5436.0608017218183</v>
      </c>
      <c r="AE286" s="41">
        <f>K286/'1. Väestöennuste'!M286*1000</f>
        <v>5164.6666666666661</v>
      </c>
      <c r="AF286" s="41">
        <f>L286/'1. Väestöennuste'!N286*1000</f>
        <v>5083.3598705551703</v>
      </c>
      <c r="AG286" s="41">
        <f>M286/'1. Väestöennuste'!O286*1000</f>
        <v>4933.1507801114994</v>
      </c>
      <c r="AH286" s="41">
        <f>N286/'1. Väestöennuste'!P286*1000</f>
        <v>4789.8322164707743</v>
      </c>
      <c r="AI286" s="41">
        <f>O286/'1. Väestöennuste'!Q286*1000</f>
        <v>4621.2233552373536</v>
      </c>
      <c r="AJ286" s="41">
        <f>P286/'1. Väestöennuste'!R286*1000</f>
        <v>4385.9668615220035</v>
      </c>
    </row>
    <row r="287" spans="1:36" x14ac:dyDescent="0.2">
      <c r="A287" s="30">
        <v>895</v>
      </c>
      <c r="B287" s="31" t="s">
        <v>601</v>
      </c>
      <c r="C287" s="81">
        <v>30827</v>
      </c>
      <c r="D287" s="46">
        <v>29650</v>
      </c>
      <c r="E287" s="46">
        <v>30177</v>
      </c>
      <c r="F287" s="46">
        <v>36385</v>
      </c>
      <c r="G287" s="80">
        <v>42950</v>
      </c>
      <c r="H287" s="80">
        <v>43653</v>
      </c>
      <c r="I287" s="80">
        <v>43902.501490000002</v>
      </c>
      <c r="J287" s="80">
        <v>55593.044780000011</v>
      </c>
      <c r="K287" s="80">
        <v>64225.346709999991</v>
      </c>
      <c r="L287" s="80">
        <f>K287-'Toim ja inv rahavirta'!L287</f>
        <v>70372.491018867731</v>
      </c>
      <c r="M287" s="80">
        <f>L287-'Toim ja inv rahavirta'!M287</f>
        <v>76050.774277341203</v>
      </c>
      <c r="N287" s="80">
        <f>M287-'Toim ja inv rahavirta'!N287</f>
        <v>84102.966907834503</v>
      </c>
      <c r="O287" s="80">
        <f>N287-'Toim ja inv rahavirta'!O287</f>
        <v>92070.746762607931</v>
      </c>
      <c r="P287" s="80">
        <f>O287-'Toim ja inv rahavirta'!P287</f>
        <v>99597.619660377604</v>
      </c>
      <c r="U287" s="34">
        <v>895</v>
      </c>
      <c r="V287" s="88" t="s">
        <v>601</v>
      </c>
      <c r="W287" s="41">
        <f>C287/'1. Väestöennuste'!E287*1000</f>
        <v>1987.5564152159898</v>
      </c>
      <c r="X287" s="41">
        <f>D287/'1. Väestöennuste'!F287*1000</f>
        <v>1924.8247208517269</v>
      </c>
      <c r="Y287" s="41">
        <f>E287/'1. Väestöennuste'!G287*1000</f>
        <v>1915.7567293042152</v>
      </c>
      <c r="Z287" s="41">
        <f>F287/'1. Väestöennuste'!H287*1000</f>
        <v>2317.5159235668793</v>
      </c>
      <c r="AA287" s="41">
        <f>G287/'1. Väestöennuste'!I287*1000</f>
        <v>2767.0403298544006</v>
      </c>
      <c r="AB287" s="41">
        <f>H287/'1. Väestöennuste'!J287*1000</f>
        <v>2838.6656262192746</v>
      </c>
      <c r="AC287" s="41">
        <f>I287/'1. Väestöennuste'!K287*1000</f>
        <v>2839.1968887020635</v>
      </c>
      <c r="AD287" s="41">
        <f>J287/'1. Väestöennuste'!L287*1000</f>
        <v>3683.6101762523199</v>
      </c>
      <c r="AE287" s="41">
        <f>K287/'1. Väestöennuste'!M287*1000</f>
        <v>4299.4608856607301</v>
      </c>
      <c r="AF287" s="41">
        <f>L287/'1. Väestöennuste'!N287*1000</f>
        <v>4676.2237370501516</v>
      </c>
      <c r="AG287" s="41">
        <f>M287/'1. Väestöennuste'!O287*1000</f>
        <v>5083.2681155899481</v>
      </c>
      <c r="AH287" s="41">
        <f>N287/'1. Väestöennuste'!P287*1000</f>
        <v>5653.6008945841959</v>
      </c>
      <c r="AI287" s="41">
        <f>O287/'1. Väestöennuste'!Q287*1000</f>
        <v>6225.2026208659854</v>
      </c>
      <c r="AJ287" s="41">
        <f>P287/'1. Väestöennuste'!R287*1000</f>
        <v>6771.6630174311667</v>
      </c>
    </row>
    <row r="288" spans="1:36" x14ac:dyDescent="0.2">
      <c r="A288" s="30">
        <v>905</v>
      </c>
      <c r="B288" s="31" t="s">
        <v>602</v>
      </c>
      <c r="C288" s="81">
        <v>244886</v>
      </c>
      <c r="D288" s="46">
        <v>266372</v>
      </c>
      <c r="E288" s="46">
        <v>258521</v>
      </c>
      <c r="F288" s="46">
        <v>252068</v>
      </c>
      <c r="G288" s="80">
        <v>275226</v>
      </c>
      <c r="H288" s="80">
        <v>279756</v>
      </c>
      <c r="I288" s="80">
        <v>304240.10350000003</v>
      </c>
      <c r="J288" s="80">
        <v>326455.55255999998</v>
      </c>
      <c r="K288" s="80">
        <v>352442.10354000004</v>
      </c>
      <c r="L288" s="80">
        <f>K288-'Toim ja inv rahavirta'!L288</f>
        <v>376023.06552940584</v>
      </c>
      <c r="M288" s="80">
        <f>L288-'Toim ja inv rahavirta'!M288</f>
        <v>415164.03528718406</v>
      </c>
      <c r="N288" s="80">
        <f>M288-'Toim ja inv rahavirta'!N288</f>
        <v>451197.65022887534</v>
      </c>
      <c r="O288" s="80">
        <f>N288-'Toim ja inv rahavirta'!O288</f>
        <v>487817.68216181069</v>
      </c>
      <c r="P288" s="80">
        <f>O288-'Toim ja inv rahavirta'!P288</f>
        <v>523716.16880274424</v>
      </c>
      <c r="U288" s="34">
        <v>905</v>
      </c>
      <c r="V288" s="88" t="s">
        <v>602</v>
      </c>
      <c r="W288" s="41">
        <f>C288/'1. Väestöennuste'!E288*1000</f>
        <v>3621.5560715183601</v>
      </c>
      <c r="X288" s="41">
        <f>D288/'1. Väestöennuste'!F288*1000</f>
        <v>3939.248742975451</v>
      </c>
      <c r="Y288" s="41">
        <f>E288/'1. Väestöennuste'!G288*1000</f>
        <v>3836.0784662867995</v>
      </c>
      <c r="Z288" s="41">
        <f>F288/'1. Väestöennuste'!H288*1000</f>
        <v>3731.4661297963048</v>
      </c>
      <c r="AA288" s="41">
        <f>G288/'1. Väestöennuste'!I288*1000</f>
        <v>4069.2234904488737</v>
      </c>
      <c r="AB288" s="41">
        <f>H288/'1. Väestöennuste'!J288*1000</f>
        <v>4141.4042723275743</v>
      </c>
      <c r="AC288" s="41">
        <f>I288/'1. Väestöennuste'!K288*1000</f>
        <v>4499.5948162390014</v>
      </c>
      <c r="AD288" s="41">
        <f>J288/'1. Väestöennuste'!L288*1000</f>
        <v>4801.6643019356352</v>
      </c>
      <c r="AE288" s="41">
        <f>K288/'1. Väestöennuste'!M288*1000</f>
        <v>5111.1158353152741</v>
      </c>
      <c r="AF288" s="41">
        <f>L288/'1. Väestöennuste'!N288*1000</f>
        <v>5556.142641213497</v>
      </c>
      <c r="AG288" s="41">
        <f>M288/'1. Väestöennuste'!O288*1000</f>
        <v>6134.6735912402519</v>
      </c>
      <c r="AH288" s="41">
        <f>N288/'1. Väestöennuste'!P288*1000</f>
        <v>6666.6319478261721</v>
      </c>
      <c r="AI288" s="41">
        <f>O288/'1. Väestöennuste'!Q288*1000</f>
        <v>7206.3238763507406</v>
      </c>
      <c r="AJ288" s="41">
        <f>P288/'1. Väestöennuste'!R288*1000</f>
        <v>7734.8087965077648</v>
      </c>
    </row>
    <row r="289" spans="1:36" x14ac:dyDescent="0.2">
      <c r="A289" s="30">
        <v>908</v>
      </c>
      <c r="B289" s="31" t="s">
        <v>603</v>
      </c>
      <c r="C289" s="81">
        <v>51521</v>
      </c>
      <c r="D289" s="46">
        <v>58402</v>
      </c>
      <c r="E289" s="46">
        <v>59505</v>
      </c>
      <c r="F289" s="46">
        <v>59454</v>
      </c>
      <c r="G289" s="80">
        <v>75549</v>
      </c>
      <c r="H289" s="80">
        <v>80660</v>
      </c>
      <c r="I289" s="80">
        <v>80457.089030000003</v>
      </c>
      <c r="J289" s="80">
        <v>80079.374890000021</v>
      </c>
      <c r="K289" s="80">
        <v>85943.09298999999</v>
      </c>
      <c r="L289" s="80">
        <f>K289-'Toim ja inv rahavirta'!L289</f>
        <v>92069.992285733926</v>
      </c>
      <c r="M289" s="80">
        <f>L289-'Toim ja inv rahavirta'!M289</f>
        <v>100697.11291182695</v>
      </c>
      <c r="N289" s="80">
        <f>M289-'Toim ja inv rahavirta'!N289</f>
        <v>108549.15887554035</v>
      </c>
      <c r="O289" s="80">
        <f>N289-'Toim ja inv rahavirta'!O289</f>
        <v>116069.40741122064</v>
      </c>
      <c r="P289" s="80">
        <f>O289-'Toim ja inv rahavirta'!P289</f>
        <v>122364.95317020263</v>
      </c>
      <c r="U289" s="34">
        <v>908</v>
      </c>
      <c r="V289" s="88" t="s">
        <v>603</v>
      </c>
      <c r="W289" s="41">
        <f>C289/'1. Väestöennuste'!E289*1000</f>
        <v>2415.1978248640539</v>
      </c>
      <c r="X289" s="41">
        <f>D289/'1. Väestöennuste'!F289*1000</f>
        <v>2735.9692682469781</v>
      </c>
      <c r="Y289" s="41">
        <f>E289/'1. Väestöennuste'!G289*1000</f>
        <v>2815.3387585162759</v>
      </c>
      <c r="Z289" s="41">
        <f>F289/'1. Väestöennuste'!H289*1000</f>
        <v>2812.7927331220139</v>
      </c>
      <c r="AA289" s="41">
        <f>G289/'1. Väestöennuste'!I289*1000</f>
        <v>3602.3745946976924</v>
      </c>
      <c r="AB289" s="41">
        <f>H289/'1. Väestöennuste'!J289*1000</f>
        <v>3884.4209005538164</v>
      </c>
      <c r="AC289" s="41">
        <f>I289/'1. Väestöennuste'!K289*1000</f>
        <v>3887.7549664170092</v>
      </c>
      <c r="AD289" s="41">
        <f>J289/'1. Väestöennuste'!L289*1000</f>
        <v>3868.0082543592725</v>
      </c>
      <c r="AE289" s="41">
        <f>K289/'1. Väestöennuste'!M289*1000</f>
        <v>4153.0440219387256</v>
      </c>
      <c r="AF289" s="41">
        <f>L289/'1. Väestöennuste'!N289*1000</f>
        <v>4545.54392918953</v>
      </c>
      <c r="AG289" s="41">
        <f>M289/'1. Väestöennuste'!O289*1000</f>
        <v>5000.3532084530216</v>
      </c>
      <c r="AH289" s="41">
        <f>N289/'1. Väestöennuste'!P289*1000</f>
        <v>5421.4943000469657</v>
      </c>
      <c r="AI289" s="41">
        <f>O289/'1. Väestöennuste'!Q289*1000</f>
        <v>5831.461385210041</v>
      </c>
      <c r="AJ289" s="41">
        <f>P289/'1. Väestöennuste'!R289*1000</f>
        <v>6185.358801506477</v>
      </c>
    </row>
    <row r="290" spans="1:36" x14ac:dyDescent="0.2">
      <c r="A290" s="30">
        <v>915</v>
      </c>
      <c r="B290" s="31" t="s">
        <v>604</v>
      </c>
      <c r="C290" s="81">
        <v>51339</v>
      </c>
      <c r="D290" s="46">
        <v>51621</v>
      </c>
      <c r="E290" s="46">
        <v>60307</v>
      </c>
      <c r="F290" s="46">
        <v>73587</v>
      </c>
      <c r="G290" s="80">
        <v>73567</v>
      </c>
      <c r="H290" s="80">
        <v>87767</v>
      </c>
      <c r="I290" s="80">
        <v>113867.64619</v>
      </c>
      <c r="J290" s="80">
        <v>114855.54768</v>
      </c>
      <c r="K290" s="80">
        <v>108713.63209999999</v>
      </c>
      <c r="L290" s="80">
        <f>K290-'Toim ja inv rahavirta'!L290</f>
        <v>114000.63015809588</v>
      </c>
      <c r="M290" s="80">
        <f>L290-'Toim ja inv rahavirta'!M290</f>
        <v>124204.3306259118</v>
      </c>
      <c r="N290" s="80">
        <f>M290-'Toim ja inv rahavirta'!N290</f>
        <v>133519.31157269294</v>
      </c>
      <c r="O290" s="80">
        <f>N290-'Toim ja inv rahavirta'!O290</f>
        <v>143048.01060868814</v>
      </c>
      <c r="P290" s="80">
        <f>O290-'Toim ja inv rahavirta'!P290</f>
        <v>150574.62137172482</v>
      </c>
      <c r="U290" s="34">
        <v>915</v>
      </c>
      <c r="V290" s="88" t="s">
        <v>604</v>
      </c>
      <c r="W290" s="41">
        <f>C290/'1. Väestöennuste'!E290*1000</f>
        <v>2372.6314816526483</v>
      </c>
      <c r="X290" s="41">
        <f>D290/'1. Väestöennuste'!F290*1000</f>
        <v>2404.5556176634991</v>
      </c>
      <c r="Y290" s="41">
        <f>E290/'1. Väestöennuste'!G290*1000</f>
        <v>2850.7208697707397</v>
      </c>
      <c r="Z290" s="41">
        <f>F290/'1. Väestöennuste'!H290*1000</f>
        <v>3532.910845455855</v>
      </c>
      <c r="AA290" s="41">
        <f>G290/'1. Väestöennuste'!I290*1000</f>
        <v>3594.59591517639</v>
      </c>
      <c r="AB290" s="41">
        <f>H290/'1. Väestöennuste'!J290*1000</f>
        <v>4328.1881842390776</v>
      </c>
      <c r="AC290" s="41">
        <f>I290/'1. Väestöennuste'!K290*1000</f>
        <v>5701.078765833875</v>
      </c>
      <c r="AD290" s="41">
        <f>J290/'1. Väestöennuste'!L290*1000</f>
        <v>5812.8218877473564</v>
      </c>
      <c r="AE290" s="41">
        <f>K290/'1. Väestöennuste'!M290*1000</f>
        <v>5510.9054645916758</v>
      </c>
      <c r="AF290" s="41">
        <f>L290/'1. Väestöennuste'!N290*1000</f>
        <v>5920.8803447645105</v>
      </c>
      <c r="AG290" s="41">
        <f>M290/'1. Väestöennuste'!O290*1000</f>
        <v>6529.8528271863624</v>
      </c>
      <c r="AH290" s="41">
        <f>N290/'1. Väestöennuste'!P290*1000</f>
        <v>7103.2245343774512</v>
      </c>
      <c r="AI290" s="41">
        <f>O290/'1. Väestöennuste'!Q290*1000</f>
        <v>7698.2031325308435</v>
      </c>
      <c r="AJ290" s="41">
        <f>P290/'1. Väestöennuste'!R290*1000</f>
        <v>8196.7676304695051</v>
      </c>
    </row>
    <row r="291" spans="1:36" x14ac:dyDescent="0.2">
      <c r="A291" s="30">
        <v>918</v>
      </c>
      <c r="B291" s="31" t="s">
        <v>605</v>
      </c>
      <c r="C291" s="81">
        <v>4767</v>
      </c>
      <c r="D291" s="46">
        <v>4423</v>
      </c>
      <c r="E291" s="46">
        <v>8450</v>
      </c>
      <c r="F291" s="46">
        <v>13422</v>
      </c>
      <c r="G291" s="80">
        <v>18408</v>
      </c>
      <c r="H291" s="80">
        <v>16484</v>
      </c>
      <c r="I291" s="80">
        <v>15507.112999999999</v>
      </c>
      <c r="J291" s="80">
        <v>14529.985000000001</v>
      </c>
      <c r="K291" s="80">
        <v>11552.857</v>
      </c>
      <c r="L291" s="80">
        <f>K291-'Toim ja inv rahavirta'!L291</f>
        <v>10795.737563771305</v>
      </c>
      <c r="M291" s="80">
        <f>L291-'Toim ja inv rahavirta'!M291</f>
        <v>9450.2726327173641</v>
      </c>
      <c r="N291" s="80">
        <f>M291-'Toim ja inv rahavirta'!N291</f>
        <v>8096.9219260315949</v>
      </c>
      <c r="O291" s="80">
        <f>N291-'Toim ja inv rahavirta'!O291</f>
        <v>6855.674543414385</v>
      </c>
      <c r="P291" s="80">
        <f>O291-'Toim ja inv rahavirta'!P291</f>
        <v>5331.235765773712</v>
      </c>
      <c r="U291" s="34">
        <v>918</v>
      </c>
      <c r="V291" s="88" t="s">
        <v>605</v>
      </c>
      <c r="W291" s="41">
        <f>C291/'1. Väestöennuste'!E291*1000</f>
        <v>2094.4639718804924</v>
      </c>
      <c r="X291" s="41">
        <f>D291/'1. Väestöennuste'!F291*1000</f>
        <v>1942.4681598594641</v>
      </c>
      <c r="Y291" s="41">
        <f>E291/'1. Väestöennuste'!G291*1000</f>
        <v>3648.5319516407599</v>
      </c>
      <c r="Z291" s="41">
        <f>F291/'1. Väestöennuste'!H291*1000</f>
        <v>5873.9606126914659</v>
      </c>
      <c r="AA291" s="41">
        <f>G291/'1. Väestöennuste'!I291*1000</f>
        <v>8027.9110335804626</v>
      </c>
      <c r="AB291" s="41">
        <f>H291/'1. Väestöennuste'!J291*1000</f>
        <v>7191.9720767888311</v>
      </c>
      <c r="AC291" s="41">
        <f>I291/'1. Väestöennuste'!K291*1000</f>
        <v>6828.3192426243941</v>
      </c>
      <c r="AD291" s="41">
        <f>J291/'1. Väestöennuste'!L291*1000</f>
        <v>6521.5372531418316</v>
      </c>
      <c r="AE291" s="41">
        <f>K291/'1. Väestöennuste'!M291*1000</f>
        <v>5146.0387527839639</v>
      </c>
      <c r="AF291" s="41">
        <f>L291/'1. Väestöennuste'!N291*1000</f>
        <v>4649.3271161805797</v>
      </c>
      <c r="AG291" s="41">
        <f>M291/'1. Väestöennuste'!O291*1000</f>
        <v>4062.885912604198</v>
      </c>
      <c r="AH291" s="41">
        <f>N291/'1. Väestöennuste'!P291*1000</f>
        <v>3473.5829798505338</v>
      </c>
      <c r="AI291" s="41">
        <f>O291/'1. Väestöennuste'!Q291*1000</f>
        <v>2933.5363899933182</v>
      </c>
      <c r="AJ291" s="41">
        <f>P291/'1. Väestöennuste'!R291*1000</f>
        <v>2276.3602757360004</v>
      </c>
    </row>
    <row r="292" spans="1:36" x14ac:dyDescent="0.2">
      <c r="A292" s="30">
        <v>921</v>
      </c>
      <c r="B292" s="31" t="s">
        <v>606</v>
      </c>
      <c r="C292" s="81">
        <v>5843</v>
      </c>
      <c r="D292" s="46">
        <v>6866</v>
      </c>
      <c r="E292" s="46">
        <v>7337</v>
      </c>
      <c r="F292" s="46">
        <v>6778</v>
      </c>
      <c r="G292" s="80">
        <v>7232</v>
      </c>
      <c r="H292" s="80">
        <v>7603</v>
      </c>
      <c r="I292" s="80">
        <v>8081.9549999999999</v>
      </c>
      <c r="J292" s="80">
        <v>7374.6409999999987</v>
      </c>
      <c r="K292" s="80">
        <v>6722.3270000000002</v>
      </c>
      <c r="L292" s="80">
        <f>K292-'Toim ja inv rahavirta'!L292</f>
        <v>6237.464589128127</v>
      </c>
      <c r="M292" s="80">
        <f>L292-'Toim ja inv rahavirta'!M292</f>
        <v>6762.6515295785093</v>
      </c>
      <c r="N292" s="80">
        <f>M292-'Toim ja inv rahavirta'!N292</f>
        <v>7483.5966372729054</v>
      </c>
      <c r="O292" s="80">
        <f>N292-'Toim ja inv rahavirta'!O292</f>
        <v>8430.0996482961782</v>
      </c>
      <c r="P292" s="80">
        <f>O292-'Toim ja inv rahavirta'!P292</f>
        <v>9205.5731531544297</v>
      </c>
      <c r="U292" s="34">
        <v>921</v>
      </c>
      <c r="V292" s="88" t="s">
        <v>606</v>
      </c>
      <c r="W292" s="41">
        <f>C292/'1. Väestöennuste'!E292*1000</f>
        <v>2666.8188041989961</v>
      </c>
      <c r="X292" s="41">
        <f>D292/'1. Väestöennuste'!F292*1000</f>
        <v>3196.4618249534451</v>
      </c>
      <c r="Y292" s="41">
        <f>E292/'1. Väestöennuste'!G292*1000</f>
        <v>3503.8204393505252</v>
      </c>
      <c r="Z292" s="41">
        <f>F292/'1. Väestöennuste'!H292*1000</f>
        <v>3293.488824101069</v>
      </c>
      <c r="AA292" s="41">
        <f>G292/'1. Väestöennuste'!I292*1000</f>
        <v>3590.8639523336647</v>
      </c>
      <c r="AB292" s="41">
        <f>H292/'1. Väestöennuste'!J292*1000</f>
        <v>3855.476673427992</v>
      </c>
      <c r="AC292" s="41">
        <f>I292/'1. Väestöennuste'!K292*1000</f>
        <v>4163.809891808346</v>
      </c>
      <c r="AD292" s="41">
        <f>J292/'1. Väestöennuste'!L292*1000</f>
        <v>3893.6858500527974</v>
      </c>
      <c r="AE292" s="41">
        <f>K292/'1. Väestöennuste'!M292*1000</f>
        <v>3547.4021108179418</v>
      </c>
      <c r="AF292" s="41">
        <f>L292/'1. Väestöennuste'!N292*1000</f>
        <v>3440.4106944997939</v>
      </c>
      <c r="AG292" s="41">
        <f>M292/'1. Väestöennuste'!O292*1000</f>
        <v>3799.242432347477</v>
      </c>
      <c r="AH292" s="41">
        <f>N292/'1. Väestöennuste'!P292*1000</f>
        <v>4281.2337741835845</v>
      </c>
      <c r="AI292" s="41">
        <f>O292/'1. Väestöennuste'!Q292*1000</f>
        <v>4906.9264541886951</v>
      </c>
      <c r="AJ292" s="41">
        <f>P292/'1. Väestöennuste'!R292*1000</f>
        <v>5450.3097413584546</v>
      </c>
    </row>
    <row r="293" spans="1:36" x14ac:dyDescent="0.2">
      <c r="A293" s="30">
        <v>922</v>
      </c>
      <c r="B293" s="31" t="s">
        <v>607</v>
      </c>
      <c r="C293" s="81">
        <v>14093</v>
      </c>
      <c r="D293" s="46">
        <v>13914</v>
      </c>
      <c r="E293" s="46">
        <v>13901</v>
      </c>
      <c r="F293" s="46">
        <v>14190</v>
      </c>
      <c r="G293" s="80">
        <v>17080</v>
      </c>
      <c r="H293" s="80">
        <v>13484</v>
      </c>
      <c r="I293" s="80">
        <v>12196.668</v>
      </c>
      <c r="J293" s="80">
        <v>10910.002</v>
      </c>
      <c r="K293" s="80">
        <v>13273.335999999999</v>
      </c>
      <c r="L293" s="80">
        <f>K293-'Toim ja inv rahavirta'!L293</f>
        <v>14877.686986659053</v>
      </c>
      <c r="M293" s="80">
        <f>L293-'Toim ja inv rahavirta'!M293</f>
        <v>16691.707245009526</v>
      </c>
      <c r="N293" s="80">
        <f>M293-'Toim ja inv rahavirta'!N293</f>
        <v>19814.300613928746</v>
      </c>
      <c r="O293" s="80">
        <f>N293-'Toim ja inv rahavirta'!O293</f>
        <v>23097.526047153351</v>
      </c>
      <c r="P293" s="80">
        <f>O293-'Toim ja inv rahavirta'!P293</f>
        <v>26448.752658722835</v>
      </c>
      <c r="U293" s="34">
        <v>922</v>
      </c>
      <c r="V293" s="88" t="s">
        <v>607</v>
      </c>
      <c r="W293" s="41">
        <f>C293/'1. Väestöennuste'!E293*1000</f>
        <v>3139.4519937625305</v>
      </c>
      <c r="X293" s="41">
        <f>D293/'1. Väestöennuste'!F293*1000</f>
        <v>3118.3325862841775</v>
      </c>
      <c r="Y293" s="41">
        <f>E293/'1. Väestöennuste'!G293*1000</f>
        <v>3116.8161434977578</v>
      </c>
      <c r="Z293" s="41">
        <f>F293/'1. Väestöennuste'!H293*1000</f>
        <v>3230.1388572729343</v>
      </c>
      <c r="AA293" s="41">
        <f>G293/'1. Väestöennuste'!I293*1000</f>
        <v>3921.9288174512058</v>
      </c>
      <c r="AB293" s="41">
        <f>H293/'1. Väestöennuste'!J293*1000</f>
        <v>3087.7032287611632</v>
      </c>
      <c r="AC293" s="41">
        <f>I293/'1. Väestöennuste'!K293*1000</f>
        <v>2744.5247524752476</v>
      </c>
      <c r="AD293" s="41">
        <f>J293/'1. Väestöennuste'!L293*1000</f>
        <v>2423.9062430570984</v>
      </c>
      <c r="AE293" s="41">
        <f>K293/'1. Väestöennuste'!M293*1000</f>
        <v>2970.0908480644439</v>
      </c>
      <c r="AF293" s="41">
        <f>L293/'1. Väestöennuste'!N293*1000</f>
        <v>3459.1227590465128</v>
      </c>
      <c r="AG293" s="41">
        <f>M293/'1. Väestöennuste'!O293*1000</f>
        <v>3890.8408496525699</v>
      </c>
      <c r="AH293" s="41">
        <f>N293/'1. Väestöennuste'!P293*1000</f>
        <v>4625.1868846705756</v>
      </c>
      <c r="AI293" s="41">
        <f>O293/'1. Väestöennuste'!Q293*1000</f>
        <v>5399.1411984930692</v>
      </c>
      <c r="AJ293" s="41">
        <f>P293/'1. Väestöennuste'!R293*1000</f>
        <v>6191.1874201130231</v>
      </c>
    </row>
    <row r="294" spans="1:36" x14ac:dyDescent="0.2">
      <c r="A294" s="30">
        <v>924</v>
      </c>
      <c r="B294" s="31" t="s">
        <v>608</v>
      </c>
      <c r="C294" s="81">
        <v>13104</v>
      </c>
      <c r="D294" s="46">
        <v>14189</v>
      </c>
      <c r="E294" s="46">
        <v>15977</v>
      </c>
      <c r="F294" s="46">
        <v>16965</v>
      </c>
      <c r="G294" s="80">
        <v>16438</v>
      </c>
      <c r="H294" s="80">
        <v>16830</v>
      </c>
      <c r="I294" s="80">
        <v>16867.986000000001</v>
      </c>
      <c r="J294" s="80">
        <v>14405.406000000001</v>
      </c>
      <c r="K294" s="80">
        <v>13422.825999999999</v>
      </c>
      <c r="L294" s="80">
        <f>K294-'Toim ja inv rahavirta'!L294</f>
        <v>14598.712835981913</v>
      </c>
      <c r="M294" s="80">
        <f>L294-'Toim ja inv rahavirta'!M294</f>
        <v>16201.413550605826</v>
      </c>
      <c r="N294" s="80">
        <f>M294-'Toim ja inv rahavirta'!N294</f>
        <v>17796.482309711231</v>
      </c>
      <c r="O294" s="80">
        <f>N294-'Toim ja inv rahavirta'!O294</f>
        <v>19803.121158502083</v>
      </c>
      <c r="P294" s="80">
        <f>O294-'Toim ja inv rahavirta'!P294</f>
        <v>21669.343255393924</v>
      </c>
      <c r="U294" s="34">
        <v>924</v>
      </c>
      <c r="V294" s="88" t="s">
        <v>608</v>
      </c>
      <c r="W294" s="41">
        <f>C294/'1. Väestöennuste'!E294*1000</f>
        <v>3968.5039370078739</v>
      </c>
      <c r="X294" s="41">
        <f>D294/'1. Väestöennuste'!F294*1000</f>
        <v>4353.78950598343</v>
      </c>
      <c r="Y294" s="41">
        <f>E294/'1. Väestöennuste'!G294*1000</f>
        <v>4967.9726368159209</v>
      </c>
      <c r="Z294" s="41">
        <f>F294/'1. Väestöennuste'!H294*1000</f>
        <v>5358.4965255843335</v>
      </c>
      <c r="AA294" s="41">
        <f>G294/'1. Väestöennuste'!I294*1000</f>
        <v>5278.7411689145792</v>
      </c>
      <c r="AB294" s="41">
        <f>H294/'1. Väestöennuste'!J294*1000</f>
        <v>5491.0277324632953</v>
      </c>
      <c r="AC294" s="41">
        <f>I294/'1. Väestöennuste'!K294*1000</f>
        <v>5615.175099866844</v>
      </c>
      <c r="AD294" s="41">
        <f>J294/'1. Väestöennuste'!L294*1000</f>
        <v>4889.8187372708762</v>
      </c>
      <c r="AE294" s="41">
        <f>K294/'1. Väestöennuste'!M294*1000</f>
        <v>4571.8072207084469</v>
      </c>
      <c r="AF294" s="41">
        <f>L294/'1. Väestöennuste'!N294*1000</f>
        <v>5056.7069054319054</v>
      </c>
      <c r="AG294" s="41">
        <f>M294/'1. Väestöennuste'!O294*1000</f>
        <v>5698.7033241666641</v>
      </c>
      <c r="AH294" s="41">
        <f>N294/'1. Väestöennuste'!P294*1000</f>
        <v>6353.617390114684</v>
      </c>
      <c r="AI294" s="41">
        <f>O294/'1. Väestöennuste'!Q294*1000</f>
        <v>7180.2469755264983</v>
      </c>
      <c r="AJ294" s="41">
        <f>P294/'1. Väestöennuste'!R294*1000</f>
        <v>7978.4032604543172</v>
      </c>
    </row>
    <row r="295" spans="1:36" x14ac:dyDescent="0.2">
      <c r="A295" s="30">
        <v>925</v>
      </c>
      <c r="B295" s="31" t="s">
        <v>609</v>
      </c>
      <c r="C295" s="81">
        <v>4175</v>
      </c>
      <c r="D295" s="46">
        <v>6769</v>
      </c>
      <c r="E295" s="46">
        <v>8945</v>
      </c>
      <c r="F295" s="46">
        <v>8279</v>
      </c>
      <c r="G295" s="80">
        <v>7613</v>
      </c>
      <c r="H295" s="80">
        <v>6946</v>
      </c>
      <c r="I295" s="80">
        <v>6362.5195600000006</v>
      </c>
      <c r="J295" s="80">
        <v>5937.5195599999997</v>
      </c>
      <c r="K295" s="80">
        <v>5475.0195599999997</v>
      </c>
      <c r="L295" s="80">
        <f>K295-'Toim ja inv rahavirta'!L295</f>
        <v>5953.129004840689</v>
      </c>
      <c r="M295" s="80">
        <f>L295-'Toim ja inv rahavirta'!M295</f>
        <v>6859.1739019377674</v>
      </c>
      <c r="N295" s="80">
        <f>M295-'Toim ja inv rahavirta'!N295</f>
        <v>7799.5306204400404</v>
      </c>
      <c r="O295" s="80">
        <f>N295-'Toim ja inv rahavirta'!O295</f>
        <v>8848.7683036588369</v>
      </c>
      <c r="P295" s="80">
        <f>O295-'Toim ja inv rahavirta'!P295</f>
        <v>9747.3251128386055</v>
      </c>
      <c r="U295" s="34">
        <v>925</v>
      </c>
      <c r="V295" s="88" t="s">
        <v>609</v>
      </c>
      <c r="W295" s="41">
        <f>C295/'1. Väestöennuste'!E295*1000</f>
        <v>1111.2589832313015</v>
      </c>
      <c r="X295" s="41">
        <f>D295/'1. Väestöennuste'!F295*1000</f>
        <v>1819.134641225477</v>
      </c>
      <c r="Y295" s="41">
        <f>E295/'1. Väestöennuste'!G295*1000</f>
        <v>2427.4084124830397</v>
      </c>
      <c r="Z295" s="41">
        <f>F295/'1. Väestöennuste'!H295*1000</f>
        <v>2252.1762785636561</v>
      </c>
      <c r="AA295" s="41">
        <f>G295/'1. Väestöennuste'!I295*1000</f>
        <v>2127.1304833752442</v>
      </c>
      <c r="AB295" s="41">
        <f>H295/'1. Väestöennuste'!J295*1000</f>
        <v>1972.1749006246453</v>
      </c>
      <c r="AC295" s="41">
        <f>I295/'1. Väestöennuste'!K295*1000</f>
        <v>1823.071507163324</v>
      </c>
      <c r="AD295" s="41">
        <f>J295/'1. Väestöennuste'!L295*1000</f>
        <v>1732.5706332068864</v>
      </c>
      <c r="AE295" s="41">
        <f>K295/'1. Väestöennuste'!M295*1000</f>
        <v>1616.4805314437554</v>
      </c>
      <c r="AF295" s="41">
        <f>L295/'1. Väestöennuste'!N295*1000</f>
        <v>1779.1778257144917</v>
      </c>
      <c r="AG295" s="41">
        <f>M295/'1. Väestöennuste'!O295*1000</f>
        <v>2072.8842254269471</v>
      </c>
      <c r="AH295" s="41">
        <f>N295/'1. Väestöennuste'!P295*1000</f>
        <v>2384.4483706634182</v>
      </c>
      <c r="AI295" s="41">
        <f>O295/'1. Väestöennuste'!Q295*1000</f>
        <v>2734.4772260997643</v>
      </c>
      <c r="AJ295" s="41">
        <f>P295/'1. Väestöennuste'!R295*1000</f>
        <v>3045.0875079158404</v>
      </c>
    </row>
    <row r="296" spans="1:36" x14ac:dyDescent="0.2">
      <c r="A296" s="30">
        <v>927</v>
      </c>
      <c r="B296" s="31" t="s">
        <v>610</v>
      </c>
      <c r="C296" s="81">
        <v>81452</v>
      </c>
      <c r="D296" s="46">
        <v>83648</v>
      </c>
      <c r="E296" s="46">
        <v>79941</v>
      </c>
      <c r="F296" s="46">
        <v>89999</v>
      </c>
      <c r="G296" s="80">
        <v>114129</v>
      </c>
      <c r="H296" s="80">
        <v>102397</v>
      </c>
      <c r="I296" s="80">
        <v>105645.85663999998</v>
      </c>
      <c r="J296" s="80">
        <v>112895.0313</v>
      </c>
      <c r="K296" s="80">
        <v>99956.701960000006</v>
      </c>
      <c r="L296" s="80">
        <f>K296-'Toim ja inv rahavirta'!L296</f>
        <v>100711.35948741451</v>
      </c>
      <c r="M296" s="80">
        <f>L296-'Toim ja inv rahavirta'!M296</f>
        <v>91029.394856418439</v>
      </c>
      <c r="N296" s="80">
        <f>M296-'Toim ja inv rahavirta'!N296</f>
        <v>82400.372499486504</v>
      </c>
      <c r="O296" s="80">
        <f>N296-'Toim ja inv rahavirta'!O296</f>
        <v>73392.375340146289</v>
      </c>
      <c r="P296" s="80">
        <f>O296-'Toim ja inv rahavirta'!P296</f>
        <v>63535.496996546761</v>
      </c>
      <c r="U296" s="34">
        <v>927</v>
      </c>
      <c r="V296" s="88" t="s">
        <v>610</v>
      </c>
      <c r="W296" s="41">
        <f>C296/'1. Väestöennuste'!E296*1000</f>
        <v>2816.5565890936755</v>
      </c>
      <c r="X296" s="41">
        <f>D296/'1. Väestöennuste'!F296*1000</f>
        <v>2887.6997963199506</v>
      </c>
      <c r="Y296" s="41">
        <f>E296/'1. Väestöennuste'!G296*1000</f>
        <v>2751.4627934191503</v>
      </c>
      <c r="Z296" s="41">
        <f>F296/'1. Väestöennuste'!H296*1000</f>
        <v>3080.9968847352025</v>
      </c>
      <c r="AA296" s="41">
        <f>G296/'1. Väestöennuste'!I296*1000</f>
        <v>3914.1573496124561</v>
      </c>
      <c r="AB296" s="41">
        <f>H296/'1. Väestöennuste'!J296*1000</f>
        <v>3511.5569272976682</v>
      </c>
      <c r="AC296" s="41">
        <f>I296/'1. Väestöennuste'!K296*1000</f>
        <v>3613.1829624816164</v>
      </c>
      <c r="AD296" s="41">
        <f>J296/'1. Väestöennuste'!L296*1000</f>
        <v>3904.6460519489506</v>
      </c>
      <c r="AE296" s="41">
        <f>K296/'1. Väestöennuste'!M296*1000</f>
        <v>3469.3937024053316</v>
      </c>
      <c r="AF296" s="41">
        <f>L296/'1. Väestöennuste'!N296*1000</f>
        <v>3433.7319975252135</v>
      </c>
      <c r="AG296" s="41">
        <f>M296/'1. Väestöennuste'!O296*1000</f>
        <v>3098.4510996432296</v>
      </c>
      <c r="AH296" s="41">
        <f>N296/'1. Väestöennuste'!P296*1000</f>
        <v>2800.6380429435967</v>
      </c>
      <c r="AI296" s="41">
        <f>O296/'1. Väestöennuste'!Q296*1000</f>
        <v>2491.0859866996907</v>
      </c>
      <c r="AJ296" s="41">
        <f>P296/'1. Väestöennuste'!R296*1000</f>
        <v>2154.110764419283</v>
      </c>
    </row>
    <row r="297" spans="1:36" x14ac:dyDescent="0.2">
      <c r="A297" s="30">
        <v>931</v>
      </c>
      <c r="B297" s="31" t="s">
        <v>611</v>
      </c>
      <c r="C297" s="81">
        <v>25019</v>
      </c>
      <c r="D297" s="46">
        <v>22222</v>
      </c>
      <c r="E297" s="46">
        <v>20937</v>
      </c>
      <c r="F297" s="46">
        <v>19791</v>
      </c>
      <c r="G297" s="80">
        <v>14268</v>
      </c>
      <c r="H297" s="80">
        <v>13601</v>
      </c>
      <c r="I297" s="80">
        <v>12933.340179999999</v>
      </c>
      <c r="J297" s="80">
        <v>12288.12472</v>
      </c>
      <c r="K297" s="80">
        <v>10671.447529999999</v>
      </c>
      <c r="L297" s="80">
        <f>K297-'Toim ja inv rahavirta'!L297</f>
        <v>9809.4115252293232</v>
      </c>
      <c r="M297" s="80">
        <f>L297-'Toim ja inv rahavirta'!M297</f>
        <v>8919.2076070694984</v>
      </c>
      <c r="N297" s="80">
        <f>M297-'Toim ja inv rahavirta'!N297</f>
        <v>7896.1448759139348</v>
      </c>
      <c r="O297" s="80">
        <f>N297-'Toim ja inv rahavirta'!O297</f>
        <v>7138.5733114086333</v>
      </c>
      <c r="P297" s="80">
        <f>O297-'Toim ja inv rahavirta'!P297</f>
        <v>5694.8198340847675</v>
      </c>
      <c r="U297" s="34">
        <v>931</v>
      </c>
      <c r="V297" s="88" t="s">
        <v>611</v>
      </c>
      <c r="W297" s="41">
        <f>C297/'1. Väestöennuste'!E297*1000</f>
        <v>3753.2253225322534</v>
      </c>
      <c r="X297" s="41">
        <f>D297/'1. Väestöennuste'!F297*1000</f>
        <v>3363.4024519449072</v>
      </c>
      <c r="Y297" s="41">
        <f>E297/'1. Väestöennuste'!G297*1000</f>
        <v>3265.7931679925127</v>
      </c>
      <c r="Z297" s="41">
        <f>F297/'1. Väestöennuste'!H297*1000</f>
        <v>3159.4827586206893</v>
      </c>
      <c r="AA297" s="41">
        <f>G297/'1. Väestöennuste'!I297*1000</f>
        <v>2310.2331606217617</v>
      </c>
      <c r="AB297" s="41">
        <f>H297/'1. Väestöennuste'!J297*1000</f>
        <v>2230.7692307692309</v>
      </c>
      <c r="AC297" s="41">
        <f>I297/'1. Väestöennuste'!K297*1000</f>
        <v>2130.6985469522238</v>
      </c>
      <c r="AD297" s="41">
        <f>J297/'1. Väestöennuste'!L297*1000</f>
        <v>2064.8840060494035</v>
      </c>
      <c r="AE297" s="41">
        <f>K297/'1. Väestöennuste'!M297*1000</f>
        <v>1815.7984566955929</v>
      </c>
      <c r="AF297" s="41">
        <f>L297/'1. Väestöennuste'!N297*1000</f>
        <v>1725.793723650479</v>
      </c>
      <c r="AG297" s="41">
        <f>M297/'1. Väestöennuste'!O297*1000</f>
        <v>1593.569341981329</v>
      </c>
      <c r="AH297" s="41">
        <f>N297/'1. Väestöennuste'!P297*1000</f>
        <v>1432.0175690812359</v>
      </c>
      <c r="AI297" s="41">
        <f>O297/'1. Väestöennuste'!Q297*1000</f>
        <v>1313.6866601782542</v>
      </c>
      <c r="AJ297" s="41">
        <f>P297/'1. Väestöennuste'!R297*1000</f>
        <v>1062.4663869561132</v>
      </c>
    </row>
    <row r="298" spans="1:36" x14ac:dyDescent="0.2">
      <c r="A298" s="30">
        <v>934</v>
      </c>
      <c r="B298" s="31" t="s">
        <v>612</v>
      </c>
      <c r="C298" s="81">
        <v>12143</v>
      </c>
      <c r="D298" s="46">
        <v>10606</v>
      </c>
      <c r="E298" s="46">
        <v>9541</v>
      </c>
      <c r="F298" s="46">
        <v>9479</v>
      </c>
      <c r="G298" s="80">
        <v>11447</v>
      </c>
      <c r="H298" s="80">
        <v>11640</v>
      </c>
      <c r="I298" s="80">
        <v>11129.302</v>
      </c>
      <c r="J298" s="80">
        <v>11418.093999999999</v>
      </c>
      <c r="K298" s="80">
        <v>10640.22</v>
      </c>
      <c r="L298" s="80">
        <f>K298-'Toim ja inv rahavirta'!L298</f>
        <v>12568.222679320095</v>
      </c>
      <c r="M298" s="80">
        <f>L298-'Toim ja inv rahavirta'!M298</f>
        <v>15136.836241127545</v>
      </c>
      <c r="N298" s="80">
        <f>M298-'Toim ja inv rahavirta'!N298</f>
        <v>18025.469077656897</v>
      </c>
      <c r="O298" s="80">
        <f>N298-'Toim ja inv rahavirta'!O298</f>
        <v>21176.387822578781</v>
      </c>
      <c r="P298" s="80">
        <f>O298-'Toim ja inv rahavirta'!P298</f>
        <v>24218.277251055017</v>
      </c>
      <c r="U298" s="34">
        <v>934</v>
      </c>
      <c r="V298" s="88" t="s">
        <v>612</v>
      </c>
      <c r="W298" s="41">
        <f>C298/'1. Väestöennuste'!E298*1000</f>
        <v>3951.5131793036121</v>
      </c>
      <c r="X298" s="41">
        <f>D298/'1. Väestöennuste'!F298*1000</f>
        <v>3506.1157024793392</v>
      </c>
      <c r="Y298" s="41">
        <f>E298/'1. Väestöennuste'!G298*1000</f>
        <v>3208.1371889710827</v>
      </c>
      <c r="Z298" s="41">
        <f>F298/'1. Väestöennuste'!H298*1000</f>
        <v>3267.4939675973806</v>
      </c>
      <c r="AA298" s="41">
        <f>G298/'1. Väestöennuste'!I298*1000</f>
        <v>4049.1687301025818</v>
      </c>
      <c r="AB298" s="41">
        <f>H298/'1. Väestöennuste'!J298*1000</f>
        <v>4181.0344827586214</v>
      </c>
      <c r="AC298" s="41">
        <f>I298/'1. Väestöennuste'!K298*1000</f>
        <v>4038.2082728592163</v>
      </c>
      <c r="AD298" s="41">
        <f>J298/'1. Väestöennuste'!L298*1000</f>
        <v>4274.838637214526</v>
      </c>
      <c r="AE298" s="41">
        <f>K298/'1. Väestöennuste'!M298*1000</f>
        <v>4006.1069277108431</v>
      </c>
      <c r="AF298" s="41">
        <f>L298/'1. Väestöennuste'!N298*1000</f>
        <v>4919.069541808256</v>
      </c>
      <c r="AG298" s="41">
        <f>M298/'1. Väestöennuste'!O298*1000</f>
        <v>6049.8945807863893</v>
      </c>
      <c r="AH298" s="41">
        <f>N298/'1. Väestöennuste'!P298*1000</f>
        <v>7345.3419224355739</v>
      </c>
      <c r="AI298" s="41">
        <f>O298/'1. Väestöennuste'!Q298*1000</f>
        <v>8790.5304369359837</v>
      </c>
      <c r="AJ298" s="41">
        <f>P298/'1. Väestöennuste'!R298*1000</f>
        <v>10227.313028317152</v>
      </c>
    </row>
    <row r="299" spans="1:36" x14ac:dyDescent="0.2">
      <c r="A299" s="30">
        <v>935</v>
      </c>
      <c r="B299" s="31" t="s">
        <v>613</v>
      </c>
      <c r="C299" s="81">
        <v>14753</v>
      </c>
      <c r="D299" s="46">
        <v>16800</v>
      </c>
      <c r="E299" s="46">
        <v>16000</v>
      </c>
      <c r="F299" s="46">
        <v>18500</v>
      </c>
      <c r="G299" s="80">
        <v>18100</v>
      </c>
      <c r="H299" s="80">
        <v>17700</v>
      </c>
      <c r="I299" s="80">
        <v>18300</v>
      </c>
      <c r="J299" s="80">
        <v>22400</v>
      </c>
      <c r="K299" s="80">
        <v>23000</v>
      </c>
      <c r="L299" s="80">
        <f>K299-'Toim ja inv rahavirta'!L299</f>
        <v>24330.663112313461</v>
      </c>
      <c r="M299" s="80">
        <f>L299-'Toim ja inv rahavirta'!M299</f>
        <v>26582.458412945343</v>
      </c>
      <c r="N299" s="80">
        <f>M299-'Toim ja inv rahavirta'!N299</f>
        <v>29076.365777666408</v>
      </c>
      <c r="O299" s="80">
        <f>N299-'Toim ja inv rahavirta'!O299</f>
        <v>31848.389313271859</v>
      </c>
      <c r="P299" s="80">
        <f>O299-'Toim ja inv rahavirta'!P299</f>
        <v>34566.994687436367</v>
      </c>
      <c r="U299" s="34">
        <v>935</v>
      </c>
      <c r="V299" s="88" t="s">
        <v>613</v>
      </c>
      <c r="W299" s="41">
        <f>C299/'1. Väestöennuste'!E299*1000</f>
        <v>4407.8279055870926</v>
      </c>
      <c r="X299" s="41">
        <f>D299/'1. Väestöennuste'!F299*1000</f>
        <v>5142.3324150596873</v>
      </c>
      <c r="Y299" s="41">
        <f>E299/'1. Väestöennuste'!G299*1000</f>
        <v>4989.0863735578423</v>
      </c>
      <c r="Z299" s="41">
        <f>F299/'1. Väestöennuste'!H299*1000</f>
        <v>5873.0158730158728</v>
      </c>
      <c r="AA299" s="41">
        <f>G299/'1. Väestöennuste'!I299*1000</f>
        <v>5821.807655194596</v>
      </c>
      <c r="AB299" s="41">
        <f>H299/'1. Väestöennuste'!J299*1000</f>
        <v>5733.7220602526722</v>
      </c>
      <c r="AC299" s="41">
        <f>I299/'1. Väestöennuste'!K299*1000</f>
        <v>6019.7368421052624</v>
      </c>
      <c r="AD299" s="41">
        <f>J299/'1. Väestöennuste'!L299*1000</f>
        <v>7504.187604690117</v>
      </c>
      <c r="AE299" s="41">
        <f>K299/'1. Väestöennuste'!M299*1000</f>
        <v>7857.8749572941579</v>
      </c>
      <c r="AF299" s="41">
        <f>L299/'1. Väestöennuste'!N299*1000</f>
        <v>8355.3101347230277</v>
      </c>
      <c r="AG299" s="41">
        <f>M299/'1. Väestöennuste'!O299*1000</f>
        <v>9242.8575844733477</v>
      </c>
      <c r="AH299" s="41">
        <f>N299/'1. Väestöennuste'!P299*1000</f>
        <v>10230.952068144408</v>
      </c>
      <c r="AI299" s="41">
        <f>O299/'1. Väestöennuste'!Q299*1000</f>
        <v>11337.981243599808</v>
      </c>
      <c r="AJ299" s="41">
        <f>P299/'1. Väestöennuste'!R299*1000</f>
        <v>12452.087423428085</v>
      </c>
    </row>
    <row r="300" spans="1:36" x14ac:dyDescent="0.2">
      <c r="A300" s="30">
        <v>936</v>
      </c>
      <c r="B300" s="31" t="s">
        <v>614</v>
      </c>
      <c r="C300" s="81">
        <v>4964</v>
      </c>
      <c r="D300" s="46">
        <v>4901</v>
      </c>
      <c r="E300" s="46">
        <v>5688</v>
      </c>
      <c r="F300" s="46">
        <v>7477</v>
      </c>
      <c r="G300" s="80">
        <v>11662</v>
      </c>
      <c r="H300" s="80">
        <v>15333</v>
      </c>
      <c r="I300" s="80">
        <v>20491.201089999995</v>
      </c>
      <c r="J300" s="80">
        <v>17475.076809999999</v>
      </c>
      <c r="K300" s="80">
        <v>14601.10945</v>
      </c>
      <c r="L300" s="80">
        <f>K300-'Toim ja inv rahavirta'!L300</f>
        <v>17693.44434746994</v>
      </c>
      <c r="M300" s="80">
        <f>L300-'Toim ja inv rahavirta'!M300</f>
        <v>19997.148020282824</v>
      </c>
      <c r="N300" s="80">
        <f>M300-'Toim ja inv rahavirta'!N300</f>
        <v>22814.961673967737</v>
      </c>
      <c r="O300" s="80">
        <f>N300-'Toim ja inv rahavirta'!O300</f>
        <v>26189.652604697229</v>
      </c>
      <c r="P300" s="80">
        <f>O300-'Toim ja inv rahavirta'!P300</f>
        <v>28934.693586754696</v>
      </c>
      <c r="U300" s="34">
        <v>936</v>
      </c>
      <c r="V300" s="88" t="s">
        <v>614</v>
      </c>
      <c r="W300" s="41">
        <f>C300/'1. Väestöennuste'!E300*1000</f>
        <v>708.94030277063689</v>
      </c>
      <c r="X300" s="41">
        <f>D300/'1. Väestöennuste'!F300*1000</f>
        <v>708.54416654619058</v>
      </c>
      <c r="Y300" s="41">
        <f>E300/'1. Väestöennuste'!G300*1000</f>
        <v>831.09292811221508</v>
      </c>
      <c r="Z300" s="41">
        <f>F300/'1. Väestöennuste'!H300*1000</f>
        <v>1109.5117970025226</v>
      </c>
      <c r="AA300" s="41">
        <f>G300/'1. Väestöennuste'!I300*1000</f>
        <v>1782.0904645476771</v>
      </c>
      <c r="AB300" s="41">
        <f>H300/'1. Väestöennuste'!J300*1000</f>
        <v>2355.2995391705072</v>
      </c>
      <c r="AC300" s="41">
        <f>I300/'1. Väestöennuste'!K300*1000</f>
        <v>3169.5593333333327</v>
      </c>
      <c r="AD300" s="41">
        <f>J300/'1. Väestöennuste'!L300*1000</f>
        <v>2732.6156075058639</v>
      </c>
      <c r="AE300" s="41">
        <f>K300/'1. Väestöennuste'!M300*1000</f>
        <v>2326.87003187251</v>
      </c>
      <c r="AF300" s="41">
        <f>L300/'1. Väestöennuste'!N300*1000</f>
        <v>2885.8986050350582</v>
      </c>
      <c r="AG300" s="41">
        <f>M300/'1. Väestöennuste'!O300*1000</f>
        <v>3306.4067493853877</v>
      </c>
      <c r="AH300" s="41">
        <f>N300/'1. Väestöennuste'!P300*1000</f>
        <v>3822.8823180240847</v>
      </c>
      <c r="AI300" s="41">
        <f>O300/'1. Väestöennuste'!Q300*1000</f>
        <v>4443.4429258054342</v>
      </c>
      <c r="AJ300" s="41">
        <f>P300/'1. Väestöennuste'!R300*1000</f>
        <v>4970.7427567006862</v>
      </c>
    </row>
    <row r="301" spans="1:36" x14ac:dyDescent="0.2">
      <c r="A301" s="30">
        <v>946</v>
      </c>
      <c r="B301" s="31" t="s">
        <v>615</v>
      </c>
      <c r="C301" s="81">
        <v>6259</v>
      </c>
      <c r="D301" s="46">
        <v>7398</v>
      </c>
      <c r="E301" s="46">
        <v>6243</v>
      </c>
      <c r="F301" s="46">
        <v>6613</v>
      </c>
      <c r="G301" s="80">
        <v>17238</v>
      </c>
      <c r="H301" s="80">
        <v>27336</v>
      </c>
      <c r="I301" s="80">
        <v>200</v>
      </c>
      <c r="J301" s="80">
        <v>28221.997840000004</v>
      </c>
      <c r="K301" s="80">
        <v>36887.159700000004</v>
      </c>
      <c r="L301" s="80">
        <f>K301-'Toim ja inv rahavirta'!L301</f>
        <v>41667.065866054378</v>
      </c>
      <c r="M301" s="80">
        <f>L301-'Toim ja inv rahavirta'!M301</f>
        <v>46950.417019970228</v>
      </c>
      <c r="N301" s="80">
        <f>M301-'Toim ja inv rahavirta'!N301</f>
        <v>52109.720198316842</v>
      </c>
      <c r="O301" s="80">
        <f>N301-'Toim ja inv rahavirta'!O301</f>
        <v>57471.380596782299</v>
      </c>
      <c r="P301" s="80">
        <f>O301-'Toim ja inv rahavirta'!P301</f>
        <v>62533.297756633321</v>
      </c>
      <c r="U301" s="34">
        <v>946</v>
      </c>
      <c r="V301" s="88" t="s">
        <v>615</v>
      </c>
      <c r="W301" s="41">
        <f>C301/'1. Väestöennuste'!E301*1000</f>
        <v>932.2311587727138</v>
      </c>
      <c r="X301" s="41">
        <f>D301/'1. Väestöennuste'!F301*1000</f>
        <v>1106.8222621184921</v>
      </c>
      <c r="Y301" s="41">
        <f>E301/'1. Väestöennuste'!G301*1000</f>
        <v>943.62152357920195</v>
      </c>
      <c r="Z301" s="41">
        <f>F301/'1. Väestöennuste'!H301*1000</f>
        <v>1000</v>
      </c>
      <c r="AA301" s="41">
        <f>G301/'1. Väestöennuste'!I301*1000</f>
        <v>2668.0080482897383</v>
      </c>
      <c r="AB301" s="41">
        <f>H301/'1. Väestöennuste'!J301*1000</f>
        <v>4279.2736380713841</v>
      </c>
      <c r="AC301" s="41">
        <f>I301/'1. Väestöennuste'!K301*1000</f>
        <v>31.367628607277293</v>
      </c>
      <c r="AD301" s="41">
        <f>J301/'1. Väestöennuste'!L301*1000</f>
        <v>4488.945099411485</v>
      </c>
      <c r="AE301" s="41">
        <f>K301/'1. Väestöennuste'!M301*1000</f>
        <v>5863.4811158798284</v>
      </c>
      <c r="AF301" s="41">
        <f>L301/'1. Väestöennuste'!N301*1000</f>
        <v>6760.841451574619</v>
      </c>
      <c r="AG301" s="41">
        <f>M301/'1. Väestöennuste'!O301*1000</f>
        <v>7686.7087459021332</v>
      </c>
      <c r="AH301" s="41">
        <f>N301/'1. Väestöennuste'!P301*1000</f>
        <v>8606.0644423314352</v>
      </c>
      <c r="AI301" s="41">
        <f>O301/'1. Väestöennuste'!Q301*1000</f>
        <v>9580.1601261514079</v>
      </c>
      <c r="AJ301" s="41">
        <f>P301/'1. Väestöennuste'!R301*1000</f>
        <v>10525.719198221397</v>
      </c>
    </row>
    <row r="302" spans="1:36" x14ac:dyDescent="0.2">
      <c r="A302" s="30">
        <v>976</v>
      </c>
      <c r="B302" s="31" t="s">
        <v>616</v>
      </c>
      <c r="C302" s="81">
        <v>658</v>
      </c>
      <c r="D302" s="46">
        <v>679</v>
      </c>
      <c r="E302" s="46">
        <v>653</v>
      </c>
      <c r="F302" s="46">
        <v>577</v>
      </c>
      <c r="G302" s="80">
        <v>557</v>
      </c>
      <c r="H302" s="80">
        <v>534</v>
      </c>
      <c r="I302" s="80">
        <v>3512.567</v>
      </c>
      <c r="J302" s="80">
        <v>3550.4340500000008</v>
      </c>
      <c r="K302" s="80">
        <v>4626.7269999999999</v>
      </c>
      <c r="L302" s="80">
        <f>K302-'Toim ja inv rahavirta'!L302</f>
        <v>5309.5508560094713</v>
      </c>
      <c r="M302" s="80">
        <f>L302-'Toim ja inv rahavirta'!M302</f>
        <v>6218.8657061805025</v>
      </c>
      <c r="N302" s="80">
        <f>M302-'Toim ja inv rahavirta'!N302</f>
        <v>7352.7585484000865</v>
      </c>
      <c r="O302" s="80">
        <f>N302-'Toim ja inv rahavirta'!O302</f>
        <v>8821.6954394441564</v>
      </c>
      <c r="P302" s="80">
        <f>O302-'Toim ja inv rahavirta'!P302</f>
        <v>9920.1877311373701</v>
      </c>
      <c r="U302" s="34">
        <v>976</v>
      </c>
      <c r="V302" s="88" t="s">
        <v>616</v>
      </c>
      <c r="W302" s="41">
        <f>C302/'1. Väestöennuste'!E302*1000</f>
        <v>153.34420880913541</v>
      </c>
      <c r="X302" s="41">
        <f>D302/'1. Väestöennuste'!F302*1000</f>
        <v>161.66666666666666</v>
      </c>
      <c r="Y302" s="41">
        <f>E302/'1. Väestöennuste'!G302*1000</f>
        <v>158.57212238950947</v>
      </c>
      <c r="Z302" s="41">
        <f>F302/'1. Väestöennuste'!H302*1000</f>
        <v>143.460964694182</v>
      </c>
      <c r="AA302" s="41">
        <f>G302/'1. Väestöennuste'!I302*1000</f>
        <v>142.16436957631444</v>
      </c>
      <c r="AB302" s="41">
        <f>H302/'1. Väestöennuste'!J302*1000</f>
        <v>137.27506426735221</v>
      </c>
      <c r="AC302" s="41">
        <f>I302/'1. Väestöennuste'!K302*1000</f>
        <v>917.11932114882507</v>
      </c>
      <c r="AD302" s="41">
        <f>J302/'1. Väestöennuste'!L302*1000</f>
        <v>937.2845960929252</v>
      </c>
      <c r="AE302" s="41">
        <f>K302/'1. Väestöennuste'!M302*1000</f>
        <v>1228.878353253652</v>
      </c>
      <c r="AF302" s="41">
        <f>L302/'1. Väestöennuste'!N302*1000</f>
        <v>1476.9265246201589</v>
      </c>
      <c r="AG302" s="41">
        <f>M302/'1. Väestöennuste'!O302*1000</f>
        <v>1757.734795415631</v>
      </c>
      <c r="AH302" s="41">
        <f>N302/'1. Väestöennuste'!P302*1000</f>
        <v>2111.6480609994505</v>
      </c>
      <c r="AI302" s="41">
        <f>O302/'1. Väestöennuste'!Q302*1000</f>
        <v>2571.9228686426109</v>
      </c>
      <c r="AJ302" s="41">
        <f>P302/'1. Väestöennuste'!R302*1000</f>
        <v>2936.7044793183454</v>
      </c>
    </row>
    <row r="303" spans="1:36" x14ac:dyDescent="0.2">
      <c r="A303" s="30">
        <v>977</v>
      </c>
      <c r="B303" s="31" t="s">
        <v>617</v>
      </c>
      <c r="C303" s="81">
        <v>55180</v>
      </c>
      <c r="D303" s="46">
        <v>66317</v>
      </c>
      <c r="E303" s="46">
        <v>72927</v>
      </c>
      <c r="F303" s="46">
        <v>83145</v>
      </c>
      <c r="G303" s="80">
        <v>109044</v>
      </c>
      <c r="H303" s="80">
        <v>121316</v>
      </c>
      <c r="I303" s="80">
        <v>125900.00200000001</v>
      </c>
      <c r="J303" s="80">
        <v>118666.66999999998</v>
      </c>
      <c r="K303" s="80">
        <v>114299.40656</v>
      </c>
      <c r="L303" s="80">
        <f>K303-'Toim ja inv rahavirta'!L303</f>
        <v>115919.34385035771</v>
      </c>
      <c r="M303" s="80">
        <f>L303-'Toim ja inv rahavirta'!M303</f>
        <v>120708.66525668165</v>
      </c>
      <c r="N303" s="80">
        <f>M303-'Toim ja inv rahavirta'!N303</f>
        <v>124758.47192911037</v>
      </c>
      <c r="O303" s="80">
        <f>N303-'Toim ja inv rahavirta'!O303</f>
        <v>128281.6488889709</v>
      </c>
      <c r="P303" s="80">
        <f>O303-'Toim ja inv rahavirta'!P303</f>
        <v>130967.93659570604</v>
      </c>
      <c r="U303" s="34">
        <v>977</v>
      </c>
      <c r="V303" s="88" t="s">
        <v>617</v>
      </c>
      <c r="W303" s="41">
        <f>C303/'1. Väestöennuste'!E303*1000</f>
        <v>3669.1269366314245</v>
      </c>
      <c r="X303" s="41">
        <f>D303/'1. Väestöennuste'!F303*1000</f>
        <v>4363.2475820777681</v>
      </c>
      <c r="Y303" s="41">
        <f>E303/'1. Väestöennuste'!G303*1000</f>
        <v>4781.7848009966556</v>
      </c>
      <c r="Z303" s="41">
        <f>F303/'1. Väestöennuste'!H303*1000</f>
        <v>5465.7507231133313</v>
      </c>
      <c r="AA303" s="41">
        <f>G303/'1. Väestöennuste'!I303*1000</f>
        <v>7148.0825958702062</v>
      </c>
      <c r="AB303" s="41">
        <f>H303/'1. Väestöennuste'!J303*1000</f>
        <v>7927.077888133821</v>
      </c>
      <c r="AC303" s="41">
        <f>I303/'1. Väestöennuste'!K303*1000</f>
        <v>8198.2159275900231</v>
      </c>
      <c r="AD303" s="41">
        <f>J303/'1. Väestöennuste'!L303*1000</f>
        <v>7759.5416203491786</v>
      </c>
      <c r="AE303" s="41">
        <f>K303/'1. Väestöennuste'!M303*1000</f>
        <v>7437.0099915414148</v>
      </c>
      <c r="AF303" s="41">
        <f>L303/'1. Väestöennuste'!N303*1000</f>
        <v>7495.1082277484611</v>
      </c>
      <c r="AG303" s="41">
        <f>M303/'1. Väestöennuste'!O303*1000</f>
        <v>7794.6961937673796</v>
      </c>
      <c r="AH303" s="41">
        <f>N303/'1. Väestöennuste'!P303*1000</f>
        <v>8049.9723789592445</v>
      </c>
      <c r="AI303" s="41">
        <f>O303/'1. Väestöennuste'!Q303*1000</f>
        <v>8276.7693973140777</v>
      </c>
      <c r="AJ303" s="41">
        <f>P303/'1. Väestöennuste'!R303*1000</f>
        <v>8454.9991346485494</v>
      </c>
    </row>
    <row r="304" spans="1:36" x14ac:dyDescent="0.2">
      <c r="A304" s="30">
        <v>980</v>
      </c>
      <c r="B304" s="31" t="s">
        <v>618</v>
      </c>
      <c r="C304" s="81">
        <v>107028</v>
      </c>
      <c r="D304" s="46">
        <v>96014</v>
      </c>
      <c r="E304" s="46">
        <v>92647</v>
      </c>
      <c r="F304" s="46">
        <v>85642</v>
      </c>
      <c r="G304" s="80">
        <v>85350</v>
      </c>
      <c r="H304" s="80">
        <v>82160</v>
      </c>
      <c r="I304" s="80">
        <v>84570</v>
      </c>
      <c r="J304" s="80">
        <v>90830</v>
      </c>
      <c r="K304" s="80">
        <v>102190</v>
      </c>
      <c r="L304" s="80">
        <f>K304-'Toim ja inv rahavirta'!L304</f>
        <v>111154.12534893265</v>
      </c>
      <c r="M304" s="80">
        <f>L304-'Toim ja inv rahavirta'!M304</f>
        <v>121796.25769478895</v>
      </c>
      <c r="N304" s="80">
        <f>M304-'Toim ja inv rahavirta'!N304</f>
        <v>132002.29011272805</v>
      </c>
      <c r="O304" s="80">
        <f>N304-'Toim ja inv rahavirta'!O304</f>
        <v>143032.38754376944</v>
      </c>
      <c r="P304" s="80">
        <f>O304-'Toim ja inv rahavirta'!P304</f>
        <v>152939.05773887737</v>
      </c>
      <c r="U304" s="34">
        <v>980</v>
      </c>
      <c r="V304" s="88" t="s">
        <v>618</v>
      </c>
      <c r="W304" s="41">
        <f>C304/'1. Väestöennuste'!E304*1000</f>
        <v>3269.2284195735842</v>
      </c>
      <c r="X304" s="41">
        <f>D304/'1. Väestöennuste'!F304*1000</f>
        <v>2927.3453458946919</v>
      </c>
      <c r="Y304" s="41">
        <f>E304/'1. Väestöennuste'!G304*1000</f>
        <v>2817.9025488168377</v>
      </c>
      <c r="Z304" s="41">
        <f>F304/'1. Väestöennuste'!H304*1000</f>
        <v>2596.5497377436859</v>
      </c>
      <c r="AA304" s="41">
        <f>G304/'1. Väestöennuste'!I304*1000</f>
        <v>2566.6085282973477</v>
      </c>
      <c r="AB304" s="41">
        <f>H304/'1. Väestöennuste'!J304*1000</f>
        <v>2463.420484528664</v>
      </c>
      <c r="AC304" s="41">
        <f>I304/'1. Väestöennuste'!K304*1000</f>
        <v>2521.9932603703814</v>
      </c>
      <c r="AD304" s="41">
        <f>J304/'1. Väestöennuste'!L304*1000</f>
        <v>2702.7107447853127</v>
      </c>
      <c r="AE304" s="41">
        <f>K304/'1. Väestöennuste'!M304*1000</f>
        <v>3034.4151794993618</v>
      </c>
      <c r="AF304" s="41">
        <f>L304/'1. Väestöennuste'!N304*1000</f>
        <v>3280.1406246918477</v>
      </c>
      <c r="AG304" s="41">
        <f>M304/'1. Väestöennuste'!O304*1000</f>
        <v>3582.0321656016986</v>
      </c>
      <c r="AH304" s="41">
        <f>N304/'1. Väestöennuste'!P304*1000</f>
        <v>3870.1269529942551</v>
      </c>
      <c r="AI304" s="41">
        <f>O304/'1. Väestöennuste'!Q304*1000</f>
        <v>4181.744460991973</v>
      </c>
      <c r="AJ304" s="41">
        <f>P304/'1. Väestöennuste'!R304*1000</f>
        <v>4460.685345006048</v>
      </c>
    </row>
    <row r="305" spans="1:36" x14ac:dyDescent="0.2">
      <c r="A305" s="30">
        <v>981</v>
      </c>
      <c r="B305" s="31" t="s">
        <v>619</v>
      </c>
      <c r="C305" s="81">
        <v>2517</v>
      </c>
      <c r="D305" s="46">
        <v>2284</v>
      </c>
      <c r="E305" s="46">
        <v>2253</v>
      </c>
      <c r="F305" s="46">
        <v>2219</v>
      </c>
      <c r="G305" s="80">
        <v>3833</v>
      </c>
      <c r="H305" s="80">
        <v>3485</v>
      </c>
      <c r="I305" s="80">
        <v>3449.6249299999995</v>
      </c>
      <c r="J305" s="80">
        <v>1373.23965</v>
      </c>
      <c r="K305" s="80">
        <v>1350.086</v>
      </c>
      <c r="L305" s="80">
        <f>K305-'Toim ja inv rahavirta'!L305</f>
        <v>1310.612615245054</v>
      </c>
      <c r="M305" s="80">
        <f>L305-'Toim ja inv rahavirta'!M305</f>
        <v>1350.7845481362883</v>
      </c>
      <c r="N305" s="80">
        <f>M305-'Toim ja inv rahavirta'!N305</f>
        <v>1833.2546631523351</v>
      </c>
      <c r="O305" s="80">
        <f>N305-'Toim ja inv rahavirta'!O305</f>
        <v>2348.6698320275091</v>
      </c>
      <c r="P305" s="80">
        <f>O305-'Toim ja inv rahavirta'!P305</f>
        <v>2734.0899256176608</v>
      </c>
      <c r="U305" s="34">
        <v>981</v>
      </c>
      <c r="V305" s="88" t="s">
        <v>619</v>
      </c>
      <c r="W305" s="41">
        <f>C305/'1. Väestöennuste'!E305*1000</f>
        <v>1043.9651596847782</v>
      </c>
      <c r="X305" s="41">
        <f>D305/'1. Väestöennuste'!F305*1000</f>
        <v>958.85810243492858</v>
      </c>
      <c r="Y305" s="41">
        <f>E305/'1. Väestöennuste'!G305*1000</f>
        <v>949.83136593591905</v>
      </c>
      <c r="Z305" s="41">
        <f>F305/'1. Väestöennuste'!H305*1000</f>
        <v>941.45099703012306</v>
      </c>
      <c r="AA305" s="41">
        <f>G305/'1. Väestöennuste'!I305*1000</f>
        <v>1635.9368331199319</v>
      </c>
      <c r="AB305" s="41">
        <f>H305/'1. Väestöennuste'!J305*1000</f>
        <v>1506.0501296456353</v>
      </c>
      <c r="AC305" s="41">
        <f>I305/'1. Väestöennuste'!K305*1000</f>
        <v>1511.6673663453109</v>
      </c>
      <c r="AD305" s="41">
        <f>J305/'1. Väestöennuste'!L305*1000</f>
        <v>613.87556995976752</v>
      </c>
      <c r="AE305" s="41">
        <f>K305/'1. Väestöennuste'!M305*1000</f>
        <v>611.7290439510648</v>
      </c>
      <c r="AF305" s="41">
        <f>L305/'1. Väestöennuste'!N305*1000</f>
        <v>584.31235632860194</v>
      </c>
      <c r="AG305" s="41">
        <f>M305/'1. Väestöennuste'!O305*1000</f>
        <v>606.82145019599659</v>
      </c>
      <c r="AH305" s="41">
        <f>N305/'1. Väestöennuste'!P305*1000</f>
        <v>829.90251840304893</v>
      </c>
      <c r="AI305" s="41">
        <f>O305/'1. Väestöennuste'!Q305*1000</f>
        <v>1070.0090350922594</v>
      </c>
      <c r="AJ305" s="41">
        <f>P305/'1. Väestöennuste'!R305*1000</f>
        <v>1254.169690650303</v>
      </c>
    </row>
    <row r="306" spans="1:36" x14ac:dyDescent="0.2">
      <c r="A306" s="30">
        <v>989</v>
      </c>
      <c r="B306" s="31" t="s">
        <v>620</v>
      </c>
      <c r="C306" s="81">
        <v>15300</v>
      </c>
      <c r="D306" s="46">
        <v>16200</v>
      </c>
      <c r="E306" s="46">
        <v>17500</v>
      </c>
      <c r="F306" s="46">
        <v>20100</v>
      </c>
      <c r="G306" s="80">
        <v>26500</v>
      </c>
      <c r="H306" s="80">
        <v>20000</v>
      </c>
      <c r="I306" s="80">
        <v>22500</v>
      </c>
      <c r="J306" s="80">
        <v>24500</v>
      </c>
      <c r="K306" s="80">
        <v>41612.01453</v>
      </c>
      <c r="L306" s="80">
        <f>K306-'Toim ja inv rahavirta'!L306</f>
        <v>46073.276008806257</v>
      </c>
      <c r="M306" s="80">
        <f>L306-'Toim ja inv rahavirta'!M306</f>
        <v>59148.893399401539</v>
      </c>
      <c r="N306" s="80">
        <f>M306-'Toim ja inv rahavirta'!N306</f>
        <v>72760.586953284917</v>
      </c>
      <c r="O306" s="80">
        <f>N306-'Toim ja inv rahavirta'!O306</f>
        <v>86884.557749574611</v>
      </c>
      <c r="P306" s="80">
        <f>O306-'Toim ja inv rahavirta'!P306</f>
        <v>100592.63897457455</v>
      </c>
      <c r="U306" s="34">
        <v>989</v>
      </c>
      <c r="V306" s="88" t="s">
        <v>620</v>
      </c>
      <c r="W306" s="41">
        <f>C306/'1. Väestöennuste'!E306*1000</f>
        <v>2521.4238628872777</v>
      </c>
      <c r="X306" s="41">
        <f>D306/'1. Väestöennuste'!F306*1000</f>
        <v>2706.7669172932328</v>
      </c>
      <c r="Y306" s="41">
        <f>E306/'1. Väestöennuste'!G306*1000</f>
        <v>2963.0883846935321</v>
      </c>
      <c r="Z306" s="41">
        <f>F306/'1. Väestöennuste'!H306*1000</f>
        <v>3524.4608100999476</v>
      </c>
      <c r="AA306" s="41">
        <f>G306/'1. Väestöennuste'!I306*1000</f>
        <v>4718.660968660969</v>
      </c>
      <c r="AB306" s="41">
        <f>H306/'1. Väestöennuste'!J306*1000</f>
        <v>3621.8761318362913</v>
      </c>
      <c r="AC306" s="41">
        <f>I306/'1. Väestöennuste'!K306*1000</f>
        <v>4102.8446389496721</v>
      </c>
      <c r="AD306" s="41">
        <f>J306/'1. Väestöennuste'!L306*1000</f>
        <v>4532.0014798372185</v>
      </c>
      <c r="AE306" s="41">
        <f>K306/'1. Väestöennuste'!M306*1000</f>
        <v>7827.6927257336338</v>
      </c>
      <c r="AF306" s="41">
        <f>L306/'1. Väestöennuste'!N306*1000</f>
        <v>8920.285771308083</v>
      </c>
      <c r="AG306" s="41">
        <f>M306/'1. Väestöennuste'!O306*1000</f>
        <v>11627.460860900637</v>
      </c>
      <c r="AH306" s="41">
        <f>N306/'1. Väestöennuste'!P306*1000</f>
        <v>14523.071248160662</v>
      </c>
      <c r="AI306" s="41">
        <f>O306/'1. Väestöennuste'!Q306*1000</f>
        <v>17609.35503639534</v>
      </c>
      <c r="AJ306" s="41">
        <f>P306/'1. Väestöennuste'!R306*1000</f>
        <v>20685.305156194645</v>
      </c>
    </row>
    <row r="307" spans="1:36" x14ac:dyDescent="0.2">
      <c r="A307" s="30">
        <v>992</v>
      </c>
      <c r="B307" s="31" t="s">
        <v>621</v>
      </c>
      <c r="C307" s="81">
        <v>83049</v>
      </c>
      <c r="D307" s="46">
        <v>72004</v>
      </c>
      <c r="E307" s="46">
        <v>68288</v>
      </c>
      <c r="F307" s="46">
        <v>64573</v>
      </c>
      <c r="G307" s="80">
        <v>78224</v>
      </c>
      <c r="H307" s="80">
        <v>74135</v>
      </c>
      <c r="I307" s="80">
        <v>71256.774000000005</v>
      </c>
      <c r="J307" s="80">
        <v>73312.491999999998</v>
      </c>
      <c r="K307" s="80">
        <v>73168.210000000006</v>
      </c>
      <c r="L307" s="80">
        <f>K307-'Toim ja inv rahavirta'!L307</f>
        <v>68717.699062611719</v>
      </c>
      <c r="M307" s="80">
        <f>L307-'Toim ja inv rahavirta'!M307</f>
        <v>70358.4040461361</v>
      </c>
      <c r="N307" s="80">
        <f>M307-'Toim ja inv rahavirta'!N307</f>
        <v>72687.045504319976</v>
      </c>
      <c r="O307" s="80">
        <f>N307-'Toim ja inv rahavirta'!O307</f>
        <v>74882.862960094382</v>
      </c>
      <c r="P307" s="80">
        <f>O307-'Toim ja inv rahavirta'!P307</f>
        <v>74855.044737138756</v>
      </c>
      <c r="U307" s="34">
        <v>992</v>
      </c>
      <c r="V307" s="88" t="s">
        <v>621</v>
      </c>
      <c r="W307" s="41">
        <f>C307/'1. Väestöennuste'!E307*1000</f>
        <v>4227.2727272727279</v>
      </c>
      <c r="X307" s="41">
        <f>D307/'1. Väestöennuste'!F307*1000</f>
        <v>3716.5273046350776</v>
      </c>
      <c r="Y307" s="41">
        <f>E307/'1. Väestöennuste'!G307*1000</f>
        <v>3567.070622649394</v>
      </c>
      <c r="Z307" s="41">
        <f>F307/'1. Väestöennuste'!H307*1000</f>
        <v>3425.4416211341572</v>
      </c>
      <c r="AA307" s="41">
        <f>G307/'1. Väestöennuste'!I307*1000</f>
        <v>4168.6117772448706</v>
      </c>
      <c r="AB307" s="41">
        <f>H307/'1. Väestöennuste'!J307*1000</f>
        <v>3990.687409161867</v>
      </c>
      <c r="AC307" s="41">
        <f>I307/'1. Väestöennuste'!K307*1000</f>
        <v>3889.986570586309</v>
      </c>
      <c r="AD307" s="41">
        <f>J307/'1. Väestöennuste'!L307*1000</f>
        <v>4045.9432671081677</v>
      </c>
      <c r="AE307" s="41">
        <f>K307/'1. Väestöennuste'!M307*1000</f>
        <v>4071.4601302097826</v>
      </c>
      <c r="AF307" s="41">
        <f>L307/'1. Väestöennuste'!N307*1000</f>
        <v>3866.6272261203981</v>
      </c>
      <c r="AG307" s="41">
        <f>M307/'1. Väestöennuste'!O307*1000</f>
        <v>4002.6398933972073</v>
      </c>
      <c r="AH307" s="41">
        <f>N307/'1. Väestöennuste'!P307*1000</f>
        <v>4179.8186028936161</v>
      </c>
      <c r="AI307" s="41">
        <f>O307/'1. Väestöennuste'!Q307*1000</f>
        <v>4351.8837077988246</v>
      </c>
      <c r="AJ307" s="41">
        <f>P307/'1. Väestöennuste'!R307*1000</f>
        <v>4395.2231071069673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O307"/>
  <sheetViews>
    <sheetView zoomScaleNormal="100" workbookViewId="0">
      <selection activeCell="M24" sqref="M24"/>
    </sheetView>
  </sheetViews>
  <sheetFormatPr defaultRowHeight="15" x14ac:dyDescent="0.25"/>
  <cols>
    <col min="2" max="2" width="20.5703125" bestFit="1" customWidth="1"/>
    <col min="3" max="3" width="5.7109375" style="113" bestFit="1" customWidth="1"/>
    <col min="4" max="7" width="6.28515625" style="113" bestFit="1" customWidth="1"/>
    <col min="8" max="8" width="6.42578125" customWidth="1"/>
    <col min="9" max="12" width="6.28515625" style="113" bestFit="1" customWidth="1"/>
    <col min="13" max="13" width="5.5703125" style="203" bestFit="1" customWidth="1"/>
    <col min="14" max="14" width="7.140625" style="203" bestFit="1" customWidth="1"/>
    <col min="15" max="16" width="7.7109375" style="203" bestFit="1" customWidth="1"/>
    <col min="17" max="17" width="6.140625" style="113" customWidth="1"/>
    <col min="18" max="18" width="19.7109375" style="141" bestFit="1" customWidth="1"/>
    <col min="19" max="23" width="9.140625" style="113" bestFit="1" customWidth="1"/>
    <col min="24" max="28" width="10" style="113" bestFit="1" customWidth="1"/>
    <col min="29" max="29" width="10" style="203" bestFit="1" customWidth="1"/>
    <col min="30" max="32" width="10" style="203" customWidth="1"/>
    <col min="34" max="34" width="19.7109375" style="141" bestFit="1" customWidth="1"/>
    <col min="35" max="45" width="12.5703125" style="4" bestFit="1" customWidth="1"/>
    <col min="46" max="48" width="12.5703125" style="4" customWidth="1"/>
    <col min="50" max="50" width="13.28515625" style="117" bestFit="1" customWidth="1"/>
    <col min="51" max="52" width="9.140625" style="4"/>
    <col min="53" max="53" width="20.5703125" style="4" bestFit="1" customWidth="1"/>
    <col min="54" max="64" width="9.140625" style="4"/>
    <col min="66" max="67" width="9.140625" style="203"/>
  </cols>
  <sheetData>
    <row r="1" spans="1:67" s="4" customFormat="1" ht="11.25" x14ac:dyDescent="0.2">
      <c r="R1" s="117"/>
      <c r="AH1" s="117"/>
      <c r="AX1" s="117"/>
    </row>
    <row r="2" spans="1:67" s="4" customFormat="1" ht="11.25" x14ac:dyDescent="0.2">
      <c r="J2" s="279"/>
      <c r="R2" s="117"/>
      <c r="AH2" s="117"/>
      <c r="AX2" s="117"/>
    </row>
    <row r="3" spans="1:67" s="4" customFormat="1" ht="11.25" x14ac:dyDescent="0.2">
      <c r="R3" s="117"/>
      <c r="AH3" s="117"/>
      <c r="AX3" s="117"/>
    </row>
    <row r="4" spans="1:67" s="4" customFormat="1" ht="11.25" x14ac:dyDescent="0.2">
      <c r="R4" s="117"/>
      <c r="AH4" s="117"/>
      <c r="AX4" s="117"/>
    </row>
    <row r="5" spans="1:67" s="4" customFormat="1" ht="11.25" x14ac:dyDescent="0.2">
      <c r="R5" s="117"/>
      <c r="AH5" s="117"/>
      <c r="AX5" s="117"/>
    </row>
    <row r="6" spans="1:67" s="4" customFormat="1" ht="11.25" x14ac:dyDescent="0.2">
      <c r="R6" s="117"/>
      <c r="AH6" s="117"/>
      <c r="AX6" s="142" t="s">
        <v>698</v>
      </c>
    </row>
    <row r="7" spans="1:67" s="4" customFormat="1" ht="11.25" x14ac:dyDescent="0.2">
      <c r="R7" s="142"/>
      <c r="AH7" s="142" t="s">
        <v>701</v>
      </c>
      <c r="AX7" s="143" t="s">
        <v>699</v>
      </c>
    </row>
    <row r="8" spans="1:67" s="4" customFormat="1" ht="11.25" x14ac:dyDescent="0.2">
      <c r="R8" s="144" t="s">
        <v>702</v>
      </c>
      <c r="AH8" s="144" t="s">
        <v>700</v>
      </c>
      <c r="AX8" s="117"/>
    </row>
    <row r="9" spans="1:67" s="4" customFormat="1" ht="11.25" x14ac:dyDescent="0.2">
      <c r="A9" s="1" t="s">
        <v>622</v>
      </c>
      <c r="K9" s="337">
        <v>12.64</v>
      </c>
      <c r="R9" s="107" t="s">
        <v>703</v>
      </c>
      <c r="AH9" s="117"/>
      <c r="AX9" s="107"/>
      <c r="AY9" s="120"/>
      <c r="AZ9" s="120"/>
      <c r="BA9" s="120"/>
      <c r="BB9" s="120"/>
      <c r="BC9" s="120"/>
      <c r="BD9" s="120"/>
      <c r="BE9" s="120"/>
      <c r="BF9" s="120"/>
      <c r="BG9" s="120"/>
      <c r="BH9" s="120"/>
      <c r="BI9" s="120"/>
      <c r="BJ9" s="120"/>
      <c r="BK9" s="120"/>
      <c r="BL9" s="120"/>
    </row>
    <row r="10" spans="1:67" s="107" customFormat="1" ht="11.25" x14ac:dyDescent="0.2">
      <c r="A10" s="106" t="s">
        <v>311</v>
      </c>
      <c r="C10" s="107">
        <v>2015</v>
      </c>
      <c r="D10" s="107">
        <v>2016</v>
      </c>
      <c r="E10" s="107">
        <v>2017</v>
      </c>
      <c r="F10" s="107">
        <v>2018</v>
      </c>
      <c r="G10" s="107">
        <v>2019</v>
      </c>
      <c r="H10" s="107">
        <v>2020</v>
      </c>
      <c r="I10" s="107">
        <v>2021</v>
      </c>
      <c r="J10" s="107">
        <v>2022</v>
      </c>
      <c r="K10" s="107">
        <v>2023</v>
      </c>
      <c r="L10" s="107">
        <v>2024</v>
      </c>
      <c r="M10" s="107">
        <v>2025</v>
      </c>
      <c r="N10" s="107">
        <v>2026</v>
      </c>
      <c r="O10" s="107">
        <v>2027</v>
      </c>
      <c r="P10" s="107">
        <v>2028</v>
      </c>
      <c r="S10" s="107">
        <v>2015</v>
      </c>
      <c r="T10" s="107">
        <v>2016</v>
      </c>
      <c r="U10" s="107">
        <v>2017</v>
      </c>
      <c r="V10" s="107">
        <v>2018</v>
      </c>
      <c r="W10" s="107">
        <v>2019</v>
      </c>
      <c r="X10" s="107">
        <v>2020</v>
      </c>
      <c r="Y10" s="107">
        <v>2021</v>
      </c>
      <c r="Z10" s="107">
        <v>2022</v>
      </c>
      <c r="AA10" s="107">
        <v>2023</v>
      </c>
      <c r="AB10" s="107">
        <v>2024</v>
      </c>
      <c r="AC10" s="107">
        <v>2025</v>
      </c>
      <c r="AD10" s="107">
        <v>2026</v>
      </c>
      <c r="AE10" s="107">
        <v>2027</v>
      </c>
      <c r="AF10" s="107">
        <v>2028</v>
      </c>
      <c r="AI10" s="107">
        <v>2015</v>
      </c>
      <c r="AJ10" s="107">
        <v>2016</v>
      </c>
      <c r="AK10" s="107">
        <v>2017</v>
      </c>
      <c r="AL10" s="107">
        <v>2018</v>
      </c>
      <c r="AM10" s="107">
        <v>2019</v>
      </c>
      <c r="AN10" s="107">
        <v>2020</v>
      </c>
      <c r="AO10" s="107">
        <v>2021</v>
      </c>
      <c r="AP10" s="107">
        <v>2022</v>
      </c>
      <c r="AQ10" s="107">
        <v>2023</v>
      </c>
      <c r="AR10" s="107">
        <v>2024</v>
      </c>
      <c r="AS10" s="107">
        <v>2025</v>
      </c>
      <c r="AT10" s="107">
        <v>2026</v>
      </c>
      <c r="AU10" s="107">
        <v>2027</v>
      </c>
      <c r="AV10" s="107">
        <v>2028</v>
      </c>
    </row>
    <row r="11" spans="1:67" ht="15.75" thickBot="1" x14ac:dyDescent="0.3">
      <c r="H11" s="4"/>
      <c r="X11" s="4"/>
    </row>
    <row r="12" spans="1:67" ht="15.75" thickBot="1" x14ac:dyDescent="0.3">
      <c r="A12" s="49" t="s">
        <v>326</v>
      </c>
      <c r="B12" s="51" t="s">
        <v>327</v>
      </c>
      <c r="C12" s="138" t="s">
        <v>696</v>
      </c>
      <c r="D12" s="138" t="s">
        <v>696</v>
      </c>
      <c r="E12" s="138" t="s">
        <v>696</v>
      </c>
      <c r="F12" s="138" t="s">
        <v>696</v>
      </c>
      <c r="G12" s="138" t="s">
        <v>696</v>
      </c>
      <c r="H12" s="138" t="s">
        <v>696</v>
      </c>
      <c r="I12" s="138" t="s">
        <v>696</v>
      </c>
      <c r="J12" s="138" t="s">
        <v>696</v>
      </c>
      <c r="K12" s="138" t="s">
        <v>696</v>
      </c>
      <c r="L12" s="138" t="s">
        <v>696</v>
      </c>
      <c r="M12" s="138" t="s">
        <v>696</v>
      </c>
      <c r="N12" s="138" t="s">
        <v>696</v>
      </c>
      <c r="O12" s="138" t="s">
        <v>696</v>
      </c>
      <c r="P12" s="138" t="s">
        <v>696</v>
      </c>
      <c r="Q12" s="138"/>
      <c r="S12" s="138"/>
      <c r="T12" s="138"/>
      <c r="U12" s="138"/>
      <c r="V12" s="138"/>
      <c r="W12" s="138"/>
      <c r="X12" s="138"/>
      <c r="Y12" s="138"/>
      <c r="Z12" s="138"/>
      <c r="AA12" s="138"/>
      <c r="AB12" s="138"/>
      <c r="AC12" s="138"/>
      <c r="AD12" s="138"/>
      <c r="AE12" s="138"/>
      <c r="AF12" s="138"/>
      <c r="AG12" s="141"/>
      <c r="AI12" s="140" t="s">
        <v>697</v>
      </c>
      <c r="AJ12" s="140" t="s">
        <v>697</v>
      </c>
      <c r="AK12" s="140" t="s">
        <v>697</v>
      </c>
      <c r="AL12" s="140" t="s">
        <v>697</v>
      </c>
      <c r="AM12" s="140" t="s">
        <v>697</v>
      </c>
      <c r="AN12" s="140" t="s">
        <v>697</v>
      </c>
      <c r="AO12" s="140" t="s">
        <v>697</v>
      </c>
      <c r="AP12" s="140" t="s">
        <v>697</v>
      </c>
      <c r="AQ12" s="140" t="s">
        <v>697</v>
      </c>
      <c r="AR12" s="140" t="s">
        <v>697</v>
      </c>
      <c r="AS12" s="140" t="s">
        <v>697</v>
      </c>
      <c r="AT12" s="140" t="s">
        <v>697</v>
      </c>
      <c r="AU12" s="140" t="s">
        <v>697</v>
      </c>
      <c r="AV12" s="140" t="s">
        <v>697</v>
      </c>
      <c r="AZ12" s="94" t="s">
        <v>326</v>
      </c>
      <c r="BA12" s="94" t="s">
        <v>327</v>
      </c>
      <c r="BB12" s="345">
        <v>2015</v>
      </c>
      <c r="BC12" s="345">
        <v>2016</v>
      </c>
      <c r="BD12" s="345">
        <v>2017</v>
      </c>
      <c r="BE12" s="345">
        <v>2018</v>
      </c>
      <c r="BF12" s="345">
        <v>2019</v>
      </c>
      <c r="BG12" s="345">
        <v>2020</v>
      </c>
      <c r="BH12" s="345">
        <v>2021</v>
      </c>
      <c r="BI12" s="345">
        <v>2022</v>
      </c>
      <c r="BJ12" s="345">
        <v>2023</v>
      </c>
      <c r="BK12" s="345">
        <v>2024</v>
      </c>
      <c r="BL12" s="345">
        <v>2025</v>
      </c>
      <c r="BM12" s="345">
        <v>2026</v>
      </c>
      <c r="BN12" s="345">
        <v>2027</v>
      </c>
      <c r="BO12" s="345">
        <v>2028</v>
      </c>
    </row>
    <row r="13" spans="1:67" x14ac:dyDescent="0.25">
      <c r="A13" s="4">
        <v>1</v>
      </c>
      <c r="B13" s="37" t="s">
        <v>312</v>
      </c>
      <c r="C13" s="149">
        <f>'3. Verotulot'!D13/'Veroposentin tuotto'!S13</f>
        <v>0.19836296474571277</v>
      </c>
      <c r="D13" s="149">
        <f>'3. Verotulot'!I13/T13</f>
        <v>0.19861404844055228</v>
      </c>
      <c r="E13" s="149">
        <f>'3. Verotulot'!N13/U13</f>
        <v>0.19902415078480873</v>
      </c>
      <c r="F13" s="149">
        <f>'3. Verotulot'!S13/V13</f>
        <v>0.19842117190619257</v>
      </c>
      <c r="G13" s="149">
        <f>'3. Verotulot'!X13/W13</f>
        <v>0.19879081910999197</v>
      </c>
      <c r="H13" s="149">
        <f>'3. Verotulot'!AC13/X13</f>
        <v>0.19959459303450608</v>
      </c>
      <c r="I13" s="149">
        <f>'3. Verotulot'!AH13/Y13</f>
        <v>0.2002866692280377</v>
      </c>
      <c r="J13" s="149">
        <f>'3. Verotulot'!AM13/Z13</f>
        <v>0.20009126687043649</v>
      </c>
      <c r="K13" s="149">
        <f>'3. Verotulot'!AR13/AA13</f>
        <v>7.3264109021531409E-2</v>
      </c>
      <c r="L13" s="149">
        <f>'3. Verotulot'!AW13/AB13</f>
        <v>7.4420324309766792E-2</v>
      </c>
      <c r="M13" s="149">
        <f>'3. Verotulot'!BB13/AC13</f>
        <v>7.4472039444042903E-2</v>
      </c>
      <c r="N13" s="149">
        <f>'3. Verotulot'!BG13/AD13</f>
        <v>7.4467598802036225E-2</v>
      </c>
      <c r="O13" s="149">
        <f>'3. Verotulot'!BL13/AE13</f>
        <v>7.4441537220309606E-2</v>
      </c>
      <c r="P13" s="149">
        <f>'3. Verotulot'!BQ13/AF13</f>
        <v>7.4417887038186872E-2</v>
      </c>
      <c r="Q13" s="37"/>
      <c r="S13" s="39">
        <f t="shared" ref="S13:AB13" si="0">SUM(S15:S307)</f>
        <v>92335007.107146353</v>
      </c>
      <c r="T13" s="39">
        <f t="shared" si="0"/>
        <v>94549399.437979564</v>
      </c>
      <c r="U13" s="39">
        <f t="shared" si="0"/>
        <v>94466213.903499097</v>
      </c>
      <c r="V13" s="39">
        <f t="shared" si="0"/>
        <v>94065405.524487242</v>
      </c>
      <c r="W13" s="39">
        <f t="shared" si="0"/>
        <v>96295221.709450766</v>
      </c>
      <c r="X13" s="39">
        <f t="shared" si="0"/>
        <v>100824700.17873147</v>
      </c>
      <c r="Y13" s="39">
        <f t="shared" si="0"/>
        <v>102865184.5341382</v>
      </c>
      <c r="Z13" s="39">
        <f t="shared" si="0"/>
        <v>108338432.53837118</v>
      </c>
      <c r="AA13" s="39">
        <f t="shared" si="0"/>
        <v>139484731.48791984</v>
      </c>
      <c r="AB13" s="39">
        <f t="shared" si="0"/>
        <v>129666899.40612581</v>
      </c>
      <c r="AC13" s="39">
        <f>SUM(AC15:AC307)</f>
        <v>136586559.66064736</v>
      </c>
      <c r="AD13" s="39">
        <f>SUM(AD15:AD307)</f>
        <v>142858724.15129519</v>
      </c>
      <c r="AE13" s="39">
        <f>SUM(AE15:AE307)</f>
        <v>148258174.10998195</v>
      </c>
      <c r="AF13" s="39">
        <f>SUM(AF15:AF307)</f>
        <v>154337307.90387818</v>
      </c>
      <c r="AI13" s="41">
        <f t="shared" ref="AI13:AR13" si="1">SUM(AI15:AI307)</f>
        <v>923350.07107146375</v>
      </c>
      <c r="AJ13" s="41">
        <f t="shared" si="1"/>
        <v>945493.99437979562</v>
      </c>
      <c r="AK13" s="41">
        <f t="shared" si="1"/>
        <v>944662.13903499057</v>
      </c>
      <c r="AL13" s="41">
        <f t="shared" si="1"/>
        <v>940654.05524487293</v>
      </c>
      <c r="AM13" s="41">
        <f t="shared" si="1"/>
        <v>962952.21709450637</v>
      </c>
      <c r="AN13" s="41">
        <f t="shared" si="1"/>
        <v>1008247.0017873137</v>
      </c>
      <c r="AO13" s="41">
        <f t="shared" si="1"/>
        <v>1028651.8453413817</v>
      </c>
      <c r="AP13" s="41">
        <f t="shared" si="1"/>
        <v>1083384.3253837125</v>
      </c>
      <c r="AQ13" s="41">
        <f t="shared" si="1"/>
        <v>1394847.3148792007</v>
      </c>
      <c r="AR13" s="41">
        <f t="shared" si="1"/>
        <v>1296668.9940612603</v>
      </c>
      <c r="AS13" s="41">
        <f>SUM(AS15:AS307)</f>
        <v>1365865.5966064744</v>
      </c>
      <c r="AT13" s="41">
        <f>SUM(AT15:AT307)</f>
        <v>1428587.2415129503</v>
      </c>
      <c r="AU13" s="41">
        <f>SUM(AU15:AU307)</f>
        <v>1482581.7410998198</v>
      </c>
      <c r="AV13" s="41">
        <f>SUM(AV15:AV307)</f>
        <v>1543373.0790387818</v>
      </c>
      <c r="AY13" s="8"/>
      <c r="AZ13" s="39"/>
      <c r="BA13" s="86" t="s">
        <v>312</v>
      </c>
      <c r="BB13" s="41">
        <f>AI13/'1. Väestöennuste'!E13*1000</f>
        <v>169.23568582034054</v>
      </c>
      <c r="BC13" s="41">
        <f>AJ13/'1. Väestöennuste'!F13*1000</f>
        <v>172.7218959558698</v>
      </c>
      <c r="BD13" s="41">
        <f>AK13/'1. Väestöennuste'!G13*1000</f>
        <v>172.26914362829197</v>
      </c>
      <c r="BE13" s="41">
        <f>AL13/'1. Väestöennuste'!H13*1000</f>
        <v>171.39791791463995</v>
      </c>
      <c r="BF13" s="41">
        <f>AM13/'1. Väestöennuste'!I13*1000</f>
        <v>175.22852117522601</v>
      </c>
      <c r="BG13" s="41">
        <f>AN13/'1. Väestöennuste'!J13*1000</f>
        <v>183.19559511396656</v>
      </c>
      <c r="BH13" s="41">
        <f>AO13/'1. Väestöennuste'!K13*1000</f>
        <v>186.42099432834317</v>
      </c>
      <c r="BI13" s="41">
        <f>AP13/'1. Väestöennuste'!L13*1000</f>
        <v>195.78252345235552</v>
      </c>
      <c r="BJ13" s="41">
        <f>AQ13/'1. Väestöennuste'!M13*1000</f>
        <v>250.27269519893935</v>
      </c>
      <c r="BK13" s="41">
        <f>AR13/'1. Väestöennuste'!N13*1000</f>
        <v>234.11688214311178</v>
      </c>
      <c r="BL13" s="41">
        <f>AS13/'1. Väestöennuste'!O13*1000</f>
        <v>246.32857597188519</v>
      </c>
      <c r="BM13" s="41">
        <f>AT13/'1. Väestöennuste'!P13*1000</f>
        <v>257.3758386522203</v>
      </c>
      <c r="BN13" s="41">
        <f>AU13/'1. Väestöennuste'!Q13*1000</f>
        <v>266.85791919534483</v>
      </c>
      <c r="BO13" s="41">
        <f>AV13/'1. Väestöennuste'!R13*1000</f>
        <v>277.58348855524247</v>
      </c>
    </row>
    <row r="14" spans="1:67" x14ac:dyDescent="0.25">
      <c r="A14" s="4"/>
      <c r="B14" s="1"/>
      <c r="C14" s="1"/>
      <c r="D14" s="1"/>
      <c r="E14" s="1"/>
      <c r="F14" s="1"/>
      <c r="G14" s="1"/>
      <c r="I14" s="1"/>
      <c r="J14" s="1"/>
      <c r="K14" s="1"/>
      <c r="L14" s="1"/>
      <c r="M14" s="1"/>
      <c r="N14" s="1"/>
      <c r="O14" s="1"/>
      <c r="P14" s="1"/>
      <c r="Q14" s="1"/>
      <c r="S14" s="1"/>
      <c r="T14" s="1"/>
      <c r="U14" s="1"/>
      <c r="V14" s="1"/>
      <c r="W14" s="1"/>
      <c r="X14" s="1"/>
      <c r="Y14" s="1"/>
      <c r="Z14" s="1"/>
      <c r="AA14" s="1"/>
      <c r="AB14" s="1"/>
      <c r="AC14" s="1"/>
      <c r="AD14" s="1"/>
      <c r="AE14" s="1"/>
      <c r="AF14" s="1"/>
      <c r="AZ14" s="39"/>
      <c r="BA14" s="86"/>
      <c r="BB14" s="41"/>
      <c r="BC14" s="41"/>
      <c r="BD14" s="41"/>
      <c r="BE14" s="41"/>
      <c r="BF14" s="41"/>
      <c r="BG14" s="41"/>
      <c r="BH14" s="41"/>
      <c r="BI14" s="41"/>
      <c r="BJ14" s="41"/>
      <c r="BK14" s="41"/>
      <c r="BL14" s="41"/>
    </row>
    <row r="15" spans="1:67" x14ac:dyDescent="0.25">
      <c r="A15" s="53">
        <v>5</v>
      </c>
      <c r="B15" s="54" t="s">
        <v>328</v>
      </c>
      <c r="C15" s="54">
        <v>21.5</v>
      </c>
      <c r="D15" s="54">
        <v>22</v>
      </c>
      <c r="E15" s="54">
        <v>21.75</v>
      </c>
      <c r="F15" s="54">
        <v>21.75</v>
      </c>
      <c r="G15" s="54">
        <v>21.75</v>
      </c>
      <c r="H15" s="58">
        <v>21.75</v>
      </c>
      <c r="I15" s="139">
        <v>21.75</v>
      </c>
      <c r="J15" s="139">
        <v>21.75</v>
      </c>
      <c r="K15" s="139">
        <f t="shared" ref="K15:K78" si="2">J15-$K$9</f>
        <v>9.11</v>
      </c>
      <c r="L15" s="139">
        <v>9.1</v>
      </c>
      <c r="M15" s="139">
        <f t="shared" ref="M15:P34" si="3">L15</f>
        <v>9.1</v>
      </c>
      <c r="N15" s="147">
        <f t="shared" si="3"/>
        <v>9.1</v>
      </c>
      <c r="O15" s="147">
        <f>N15</f>
        <v>9.1</v>
      </c>
      <c r="P15" s="147">
        <f>O15</f>
        <v>9.1</v>
      </c>
      <c r="Q15" s="147"/>
      <c r="S15" s="41">
        <f>'3. Verotulot'!D15*100/'Veroposentin tuotto'!C15</f>
        <v>112325.42148837211</v>
      </c>
      <c r="T15" s="41">
        <f>'3. Verotulot'!I15*100/'Veroposentin tuotto'!D15</f>
        <v>114018.18181818182</v>
      </c>
      <c r="U15" s="41">
        <f>'3. Verotulot'!N15*100/'Veroposentin tuotto'!E15</f>
        <v>115241.37931034483</v>
      </c>
      <c r="V15" s="41">
        <f>'3. Verotulot'!S15*100/'Veroposentin tuotto'!F15</f>
        <v>113163.2183908046</v>
      </c>
      <c r="W15" s="41">
        <f>'3. Verotulot'!X15*100/'Veroposentin tuotto'!G15</f>
        <v>116285.05747126437</v>
      </c>
      <c r="X15" s="41">
        <f>'3. Verotulot'!AC15*100/'Veroposentin tuotto'!H15</f>
        <v>117296.55172413793</v>
      </c>
      <c r="Y15" s="41">
        <f>'3. Verotulot'!AH15*100/'Veroposentin tuotto'!I15</f>
        <v>120526.22896551724</v>
      </c>
      <c r="Z15" s="41">
        <f>'3. Verotulot'!AM15*100/'Veroposentin tuotto'!J15</f>
        <v>123552.64781609195</v>
      </c>
      <c r="AA15" s="41">
        <f>'3. Verotulot'!AR15*100/'Veroposentin tuotto'!K15</f>
        <v>152212.94522502748</v>
      </c>
      <c r="AB15" s="41">
        <f>'3. Verotulot'!AW15*100/'Veroposentin tuotto'!L15</f>
        <v>146350.27573686058</v>
      </c>
      <c r="AC15" s="41">
        <f>'3. Verotulot'!BB15*100/'Veroposentin tuotto'!M15</f>
        <v>152839.32859761344</v>
      </c>
      <c r="AD15" s="41">
        <f>'3. Verotulot'!BG15*100/'Veroposentin tuotto'!N15</f>
        <v>158539.44524866855</v>
      </c>
      <c r="AE15" s="41">
        <f>'3. Verotulot'!BL15*100/'Veroposentin tuotto'!O15</f>
        <v>162469.93637743633</v>
      </c>
      <c r="AF15" s="41">
        <f>'3. Verotulot'!BQ15*100/'Veroposentin tuotto'!P15</f>
        <v>166976.81022173274</v>
      </c>
      <c r="AI15" s="41">
        <f>'3. Verotulot'!D15/'Veroposentin tuotto'!C15</f>
        <v>1123.254214883721</v>
      </c>
      <c r="AJ15" s="41">
        <f>'3. Verotulot'!I15/'Veroposentin tuotto'!D15</f>
        <v>1140.1818181818182</v>
      </c>
      <c r="AK15" s="41">
        <f>'3. Verotulot'!N15/'Veroposentin tuotto'!E15</f>
        <v>1152.4137931034484</v>
      </c>
      <c r="AL15" s="41">
        <f>'3. Verotulot'!S15/'Veroposentin tuotto'!F15</f>
        <v>1131.632183908046</v>
      </c>
      <c r="AM15" s="41">
        <f>'3. Verotulot'!X15/'Veroposentin tuotto'!G15</f>
        <v>1162.8505747126437</v>
      </c>
      <c r="AN15" s="41">
        <f>'3. Verotulot'!AC15/'Veroposentin tuotto'!H15</f>
        <v>1172.9655172413793</v>
      </c>
      <c r="AO15" s="41">
        <f>'3. Verotulot'!AH15/'Veroposentin tuotto'!I15</f>
        <v>1205.2622896551725</v>
      </c>
      <c r="AP15" s="41">
        <f>'3. Verotulot'!AM15/'Veroposentin tuotto'!J15</f>
        <v>1235.5264781609196</v>
      </c>
      <c r="AQ15" s="41">
        <f>'3. Verotulot'!AR15/'Veroposentin tuotto'!K15</f>
        <v>1522.1294522502747</v>
      </c>
      <c r="AR15" s="41">
        <f>'3. Verotulot'!AW15/'Veroposentin tuotto'!L15</f>
        <v>1463.5027573686057</v>
      </c>
      <c r="AS15" s="41">
        <f>'3. Verotulot'!BB15/'Veroposentin tuotto'!M15</f>
        <v>1528.3932859761344</v>
      </c>
      <c r="AT15" s="41">
        <f>'3. Verotulot'!BG15/'Veroposentin tuotto'!N15</f>
        <v>1585.3944524866854</v>
      </c>
      <c r="AU15" s="41">
        <f>'3. Verotulot'!BL15/'Veroposentin tuotto'!O15</f>
        <v>1624.6993637743633</v>
      </c>
      <c r="AV15" s="41">
        <f>'3. Verotulot'!BQ15/'Veroposentin tuotto'!P15</f>
        <v>1669.7681022173274</v>
      </c>
      <c r="AX15" s="146"/>
      <c r="AZ15" s="34">
        <v>5</v>
      </c>
      <c r="BA15" s="88" t="s">
        <v>328</v>
      </c>
      <c r="BB15" s="41">
        <f>AI15/'1. Väestöennuste'!E15*1000</f>
        <v>112.25806664838308</v>
      </c>
      <c r="BC15" s="41">
        <f>AJ15/'1. Väestöennuste'!F15*1000</f>
        <v>115.18151512090294</v>
      </c>
      <c r="BD15" s="41">
        <f>AK15/'1. Väestöennuste'!G15*1000</f>
        <v>117.22243852135576</v>
      </c>
      <c r="BE15" s="41">
        <f>AL15/'1. Väestöennuste'!H15*1000</f>
        <v>116.66311174309753</v>
      </c>
      <c r="BF15" s="41">
        <f>AM15/'1. Väestöennuste'!I15*1000</f>
        <v>121.6116476378</v>
      </c>
      <c r="BG15" s="41">
        <f>AN15/'1. Väestöennuste'!J15*1000</f>
        <v>124.53185234540602</v>
      </c>
      <c r="BH15" s="41">
        <f>AO15/'1. Väestöennuste'!K15*1000</f>
        <v>129.44498868598137</v>
      </c>
      <c r="BI15" s="41">
        <f>AP15/'1. Väestöennuste'!L15*1000</f>
        <v>134.54497203102687</v>
      </c>
      <c r="BJ15" s="41">
        <f>AQ15/'1. Väestöennuste'!M15*1000</f>
        <v>167.02836083071156</v>
      </c>
      <c r="BK15" s="41">
        <f>AR15/'1. Väestöennuste'!N15*1000</f>
        <v>163.50159282410968</v>
      </c>
      <c r="BL15" s="41">
        <f>AS15/'1. Väestöennuste'!O15*1000</f>
        <v>172.87561203213826</v>
      </c>
      <c r="BM15" s="41">
        <f>AT15/'1. Väestöennuste'!P15*1000</f>
        <v>181.60303006720338</v>
      </c>
      <c r="BN15" s="41">
        <f>AU15/'1. Väestöennuste'!Q15*1000</f>
        <v>188.45834169752504</v>
      </c>
      <c r="BO15" s="41">
        <f>AV15/'1. Väestöennuste'!R15*1000</f>
        <v>196.16636539207323</v>
      </c>
    </row>
    <row r="16" spans="1:67" x14ac:dyDescent="0.25">
      <c r="A16" s="30">
        <v>9</v>
      </c>
      <c r="B16" s="47" t="s">
        <v>329</v>
      </c>
      <c r="C16" s="47">
        <v>21.5</v>
      </c>
      <c r="D16" s="47">
        <v>21.5</v>
      </c>
      <c r="E16" s="47">
        <v>21.5</v>
      </c>
      <c r="F16" s="47">
        <v>21.5</v>
      </c>
      <c r="G16" s="47">
        <v>22</v>
      </c>
      <c r="H16" s="58">
        <v>22</v>
      </c>
      <c r="I16" s="139">
        <v>22</v>
      </c>
      <c r="J16" s="139">
        <v>22</v>
      </c>
      <c r="K16" s="139">
        <f t="shared" si="2"/>
        <v>9.36</v>
      </c>
      <c r="L16" s="139">
        <v>9.3000000000000007</v>
      </c>
      <c r="M16" s="139">
        <f t="shared" si="3"/>
        <v>9.3000000000000007</v>
      </c>
      <c r="N16" s="147">
        <f t="shared" si="3"/>
        <v>9.3000000000000007</v>
      </c>
      <c r="O16" s="147">
        <f t="shared" si="3"/>
        <v>9.3000000000000007</v>
      </c>
      <c r="P16" s="147">
        <f t="shared" si="3"/>
        <v>9.3000000000000007</v>
      </c>
      <c r="Q16" s="147"/>
      <c r="S16" s="41">
        <f>'3. Verotulot'!D16*100/'Veroposentin tuotto'!C16</f>
        <v>33019.714325581393</v>
      </c>
      <c r="T16" s="41">
        <f>'3. Verotulot'!I16*100/'Veroposentin tuotto'!D16</f>
        <v>32055.81395348837</v>
      </c>
      <c r="U16" s="41">
        <f>'3. Verotulot'!N16*100/'Veroposentin tuotto'!E16</f>
        <v>30204.651162790698</v>
      </c>
      <c r="V16" s="41">
        <f>'3. Verotulot'!S16*100/'Veroposentin tuotto'!F16</f>
        <v>30404.651162790698</v>
      </c>
      <c r="W16" s="41">
        <f>'3. Verotulot'!X16*100/'Veroposentin tuotto'!G16</f>
        <v>31504.545454545456</v>
      </c>
      <c r="X16" s="41">
        <f>'3. Verotulot'!AC16*100/'Veroposentin tuotto'!H16</f>
        <v>30504.545454545456</v>
      </c>
      <c r="Y16" s="41">
        <f>'3. Verotulot'!AH16*100/'Veroposentin tuotto'!I16</f>
        <v>32440.139636363638</v>
      </c>
      <c r="Z16" s="41">
        <f>'3. Verotulot'!AM16*100/'Veroposentin tuotto'!J16</f>
        <v>35782.435136363638</v>
      </c>
      <c r="AA16" s="41">
        <f>'3. Verotulot'!AR16*100/'Veroposentin tuotto'!K16</f>
        <v>41541.480021367519</v>
      </c>
      <c r="AB16" s="41">
        <f>'3. Verotulot'!AW16*100/'Veroposentin tuotto'!L16</f>
        <v>41105.185183234193</v>
      </c>
      <c r="AC16" s="41">
        <f>'3. Verotulot'!BB16*100/'Veroposentin tuotto'!M16</f>
        <v>43085.686671381431</v>
      </c>
      <c r="AD16" s="41">
        <f>'3. Verotulot'!BG16*100/'Veroposentin tuotto'!N16</f>
        <v>44845.838739016552</v>
      </c>
      <c r="AE16" s="41">
        <f>'3. Verotulot'!BL16*100/'Veroposentin tuotto'!O16</f>
        <v>46138.663610150972</v>
      </c>
      <c r="AF16" s="41">
        <f>'3. Verotulot'!BQ16*100/'Veroposentin tuotto'!P16</f>
        <v>47493.92174621296</v>
      </c>
      <c r="AI16" s="41">
        <f>'3. Verotulot'!D16/'Veroposentin tuotto'!C16</f>
        <v>330.19714325581396</v>
      </c>
      <c r="AJ16" s="41">
        <f>'3. Verotulot'!I16/'Veroposentin tuotto'!D16</f>
        <v>320.55813953488371</v>
      </c>
      <c r="AK16" s="41">
        <f>'3. Verotulot'!N16/'Veroposentin tuotto'!E16</f>
        <v>302.04651162790697</v>
      </c>
      <c r="AL16" s="41">
        <f>'3. Verotulot'!S16/'Veroposentin tuotto'!F16</f>
        <v>304.04651162790697</v>
      </c>
      <c r="AM16" s="41">
        <f>'3. Verotulot'!X16/'Veroposentin tuotto'!G16</f>
        <v>315.04545454545456</v>
      </c>
      <c r="AN16" s="41">
        <f>'3. Verotulot'!AC16/'Veroposentin tuotto'!H16</f>
        <v>305.04545454545456</v>
      </c>
      <c r="AO16" s="41">
        <f>'3. Verotulot'!AH16/'Veroposentin tuotto'!I16</f>
        <v>324.40139636363637</v>
      </c>
      <c r="AP16" s="41">
        <f>'3. Verotulot'!AM16/'Veroposentin tuotto'!J16</f>
        <v>357.82435136363642</v>
      </c>
      <c r="AQ16" s="41">
        <f>'3. Verotulot'!AR16/'Veroposentin tuotto'!K16</f>
        <v>415.41480021367522</v>
      </c>
      <c r="AR16" s="41">
        <f>'3. Verotulot'!AW16/'Veroposentin tuotto'!L16</f>
        <v>411.05185183234198</v>
      </c>
      <c r="AS16" s="41">
        <f>'3. Verotulot'!BB16/'Veroposentin tuotto'!M16</f>
        <v>430.85686671381427</v>
      </c>
      <c r="AT16" s="41">
        <f>'3. Verotulot'!BG16/'Veroposentin tuotto'!N16</f>
        <v>448.45838739016557</v>
      </c>
      <c r="AU16" s="41">
        <f>'3. Verotulot'!BL16/'Veroposentin tuotto'!O16</f>
        <v>461.38663610150974</v>
      </c>
      <c r="AV16" s="41">
        <f>'3. Verotulot'!BQ16/'Veroposentin tuotto'!P16</f>
        <v>474.93921746212959</v>
      </c>
      <c r="AX16" s="146"/>
      <c r="AZ16" s="34">
        <v>9</v>
      </c>
      <c r="BA16" s="88" t="s">
        <v>329</v>
      </c>
      <c r="BB16" s="41">
        <f>AI16/'1. Väestöennuste'!E16*1000</f>
        <v>122.88691598653293</v>
      </c>
      <c r="BC16" s="41">
        <f>AJ16/'1. Väestöennuste'!F16*1000</f>
        <v>121.46954889537086</v>
      </c>
      <c r="BD16" s="41">
        <f>AK16/'1. Väestöennuste'!G16*1000</f>
        <v>115.72663280762718</v>
      </c>
      <c r="BE16" s="41">
        <f>AL16/'1. Väestöennuste'!H16*1000</f>
        <v>118.1680962409277</v>
      </c>
      <c r="BF16" s="41">
        <f>AM16/'1. Väestöennuste'!I16*1000</f>
        <v>125.06766754484103</v>
      </c>
      <c r="BG16" s="41">
        <f>AN16/'1. Väestöennuste'!J16*1000</f>
        <v>121.19406219525409</v>
      </c>
      <c r="BH16" s="41">
        <f>AO16/'1. Väestöennuste'!K16*1000</f>
        <v>130.22938432903908</v>
      </c>
      <c r="BI16" s="41">
        <f>AP16/'1. Väestöennuste'!L16*1000</f>
        <v>146.22981257198057</v>
      </c>
      <c r="BJ16" s="41">
        <f>AQ16/'1. Väestöennuste'!M16*1000</f>
        <v>170.46155117508215</v>
      </c>
      <c r="BK16" s="41">
        <f>AR16/'1. Väestöennuste'!N16*1000</f>
        <v>169.78597762591573</v>
      </c>
      <c r="BL16" s="41">
        <f>AS16/'1. Väestöennuste'!O16*1000</f>
        <v>179.74837993901303</v>
      </c>
      <c r="BM16" s="41">
        <f>AT16/'1. Väestöennuste'!P16*1000</f>
        <v>188.82458416428025</v>
      </c>
      <c r="BN16" s="41">
        <f>AU16/'1. Väestöennuste'!Q16*1000</f>
        <v>196.16778745812488</v>
      </c>
      <c r="BO16" s="41">
        <f>AV16/'1. Väestöennuste'!R16*1000</f>
        <v>203.92409508893499</v>
      </c>
    </row>
    <row r="17" spans="1:67" x14ac:dyDescent="0.25">
      <c r="A17" s="30">
        <v>10</v>
      </c>
      <c r="B17" s="47" t="s">
        <v>330</v>
      </c>
      <c r="C17" s="47">
        <v>20.75</v>
      </c>
      <c r="D17" s="47">
        <v>21.25</v>
      </c>
      <c r="E17" s="47">
        <v>21.25</v>
      </c>
      <c r="F17" s="47">
        <v>21.25</v>
      </c>
      <c r="G17" s="47">
        <v>21.25</v>
      </c>
      <c r="H17" s="58">
        <v>21.25</v>
      </c>
      <c r="I17" s="139">
        <v>21.25</v>
      </c>
      <c r="J17" s="139">
        <v>21.25</v>
      </c>
      <c r="K17" s="139">
        <f t="shared" si="2"/>
        <v>8.61</v>
      </c>
      <c r="L17" s="139">
        <v>9.6</v>
      </c>
      <c r="M17" s="139">
        <f t="shared" si="3"/>
        <v>9.6</v>
      </c>
      <c r="N17" s="147">
        <f t="shared" si="3"/>
        <v>9.6</v>
      </c>
      <c r="O17" s="147">
        <f t="shared" si="3"/>
        <v>9.6</v>
      </c>
      <c r="P17" s="147">
        <f t="shared" si="3"/>
        <v>9.6</v>
      </c>
      <c r="Q17" s="147"/>
      <c r="S17" s="41">
        <f>'3. Verotulot'!D17*100/'Veroposentin tuotto'!C17</f>
        <v>140635.26920481928</v>
      </c>
      <c r="T17" s="41">
        <f>'3. Verotulot'!I17*100/'Veroposentin tuotto'!D17</f>
        <v>139614.11764705883</v>
      </c>
      <c r="U17" s="41">
        <f>'3. Verotulot'!N17*100/'Veroposentin tuotto'!E17</f>
        <v>140183.5294117647</v>
      </c>
      <c r="V17" s="41">
        <f>'3. Verotulot'!S17*100/'Veroposentin tuotto'!F17</f>
        <v>135280</v>
      </c>
      <c r="W17" s="41">
        <f>'3. Verotulot'!X17*100/'Veroposentin tuotto'!G17</f>
        <v>137783.5294117647</v>
      </c>
      <c r="X17" s="41">
        <f>'3. Verotulot'!AC17*100/'Veroposentin tuotto'!H17</f>
        <v>140047.0588235294</v>
      </c>
      <c r="Y17" s="41">
        <f>'3. Verotulot'!AH17*100/'Veroposentin tuotto'!I17</f>
        <v>141980.06390588236</v>
      </c>
      <c r="Z17" s="41">
        <f>'3. Verotulot'!AM17*100/'Veroposentin tuotto'!J17</f>
        <v>145031.69967058822</v>
      </c>
      <c r="AA17" s="41">
        <f>'3. Verotulot'!AR17*100/'Veroposentin tuotto'!K17</f>
        <v>176282.95795586531</v>
      </c>
      <c r="AB17" s="41">
        <f>'3. Verotulot'!AW17*100/'Veroposentin tuotto'!L17</f>
        <v>171684.2471645746</v>
      </c>
      <c r="AC17" s="41">
        <f>'3. Verotulot'!BB17*100/'Veroposentin tuotto'!M17</f>
        <v>182861.74515750399</v>
      </c>
      <c r="AD17" s="41">
        <f>'3. Verotulot'!BG17*100/'Veroposentin tuotto'!N17</f>
        <v>190522.45228398722</v>
      </c>
      <c r="AE17" s="41">
        <f>'3. Verotulot'!BL17*100/'Veroposentin tuotto'!O17</f>
        <v>195786.55476221954</v>
      </c>
      <c r="AF17" s="41">
        <f>'3. Verotulot'!BQ17*100/'Veroposentin tuotto'!P17</f>
        <v>201911.13314067008</v>
      </c>
      <c r="AI17" s="41">
        <f>'3. Verotulot'!D17/'Veroposentin tuotto'!C17</f>
        <v>1406.3526920481929</v>
      </c>
      <c r="AJ17" s="41">
        <f>'3. Verotulot'!I17/'Veroposentin tuotto'!D17</f>
        <v>1396.1411764705883</v>
      </c>
      <c r="AK17" s="41">
        <f>'3. Verotulot'!N17/'Veroposentin tuotto'!E17</f>
        <v>1401.835294117647</v>
      </c>
      <c r="AL17" s="41">
        <f>'3. Verotulot'!S17/'Veroposentin tuotto'!F17</f>
        <v>1352.8</v>
      </c>
      <c r="AM17" s="41">
        <f>'3. Verotulot'!X17/'Veroposentin tuotto'!G17</f>
        <v>1377.835294117647</v>
      </c>
      <c r="AN17" s="41">
        <f>'3. Verotulot'!AC17/'Veroposentin tuotto'!H17</f>
        <v>1400.4705882352941</v>
      </c>
      <c r="AO17" s="41">
        <f>'3. Verotulot'!AH17/'Veroposentin tuotto'!I17</f>
        <v>1419.8006390588234</v>
      </c>
      <c r="AP17" s="41">
        <f>'3. Verotulot'!AM17/'Veroposentin tuotto'!J17</f>
        <v>1450.3169967058823</v>
      </c>
      <c r="AQ17" s="41">
        <f>'3. Verotulot'!AR17/'Veroposentin tuotto'!K17</f>
        <v>1762.829579558653</v>
      </c>
      <c r="AR17" s="41">
        <f>'3. Verotulot'!AW17/'Veroposentin tuotto'!L17</f>
        <v>1716.8424716457457</v>
      </c>
      <c r="AS17" s="41">
        <f>'3. Verotulot'!BB17/'Veroposentin tuotto'!M17</f>
        <v>1828.6174515750399</v>
      </c>
      <c r="AT17" s="41">
        <f>'3. Verotulot'!BG17/'Veroposentin tuotto'!N17</f>
        <v>1905.2245228398724</v>
      </c>
      <c r="AU17" s="41">
        <f>'3. Verotulot'!BL17/'Veroposentin tuotto'!O17</f>
        <v>1957.8655476221954</v>
      </c>
      <c r="AV17" s="41">
        <f>'3. Verotulot'!BQ17/'Veroposentin tuotto'!P17</f>
        <v>2019.1113314067006</v>
      </c>
      <c r="AX17" s="146"/>
      <c r="AZ17" s="34">
        <v>10</v>
      </c>
      <c r="BA17" s="88" t="s">
        <v>330</v>
      </c>
      <c r="BB17" s="41">
        <f>AI17/'1. Väestöennuste'!E17*1000</f>
        <v>116.76790867221794</v>
      </c>
      <c r="BC17" s="41">
        <f>AJ17/'1. Väestöennuste'!F17*1000</f>
        <v>117.25381510628944</v>
      </c>
      <c r="BD17" s="41">
        <f>AK17/'1. Väestöennuste'!G17*1000</f>
        <v>119.6820024005504</v>
      </c>
      <c r="BE17" s="41">
        <f>AL17/'1. Väestöennuste'!H17*1000</f>
        <v>117.18641718641719</v>
      </c>
      <c r="BF17" s="41">
        <f>AM17/'1. Väestöennuste'!I17*1000</f>
        <v>120.14608424465007</v>
      </c>
      <c r="BG17" s="41">
        <f>AN17/'1. Väestöennuste'!J17*1000</f>
        <v>123.58547372355225</v>
      </c>
      <c r="BH17" s="41">
        <f>AO17/'1. Väestöennuste'!K17*1000</f>
        <v>126.80187899069603</v>
      </c>
      <c r="BI17" s="41">
        <f>AP17/'1. Väestöennuste'!L17*1000</f>
        <v>130.63565093729798</v>
      </c>
      <c r="BJ17" s="41">
        <f>AQ17/'1. Väestöennuste'!M17*1000</f>
        <v>161.23932859769991</v>
      </c>
      <c r="BK17" s="41">
        <f>AR17/'1. Väestöennuste'!N17*1000</f>
        <v>158.74641439165472</v>
      </c>
      <c r="BL17" s="41">
        <f>AS17/'1. Väestöennuste'!O17*1000</f>
        <v>171.12272614402397</v>
      </c>
      <c r="BM17" s="41">
        <f>AT17/'1. Väestöennuste'!P17*1000</f>
        <v>180.38482511265596</v>
      </c>
      <c r="BN17" s="41">
        <f>AU17/'1. Väestöennuste'!Q17*1000</f>
        <v>187.48114024918084</v>
      </c>
      <c r="BO17" s="41">
        <f>AV17/'1. Väestöennuste'!R17*1000</f>
        <v>195.55557689169015</v>
      </c>
    </row>
    <row r="18" spans="1:67" x14ac:dyDescent="0.25">
      <c r="A18" s="30">
        <v>16</v>
      </c>
      <c r="B18" s="47" t="s">
        <v>331</v>
      </c>
      <c r="C18" s="47">
        <v>20.75</v>
      </c>
      <c r="D18" s="47">
        <v>20.75</v>
      </c>
      <c r="E18" s="47">
        <v>20.75</v>
      </c>
      <c r="F18" s="47">
        <v>20.75</v>
      </c>
      <c r="G18" s="47">
        <v>20.75</v>
      </c>
      <c r="H18" s="58">
        <v>20.75</v>
      </c>
      <c r="I18" s="139">
        <v>20.75</v>
      </c>
      <c r="J18" s="139">
        <v>20.75</v>
      </c>
      <c r="K18" s="139">
        <f t="shared" si="2"/>
        <v>8.11</v>
      </c>
      <c r="L18" s="139">
        <v>8.1</v>
      </c>
      <c r="M18" s="139">
        <f t="shared" si="3"/>
        <v>8.1</v>
      </c>
      <c r="N18" s="147">
        <f t="shared" si="3"/>
        <v>8.1</v>
      </c>
      <c r="O18" s="147">
        <f t="shared" si="3"/>
        <v>8.1</v>
      </c>
      <c r="P18" s="147">
        <f t="shared" si="3"/>
        <v>8.1</v>
      </c>
      <c r="Q18" s="147"/>
      <c r="S18" s="41">
        <f>'3. Verotulot'!D18*100/'Veroposentin tuotto'!C18</f>
        <v>122144.60366265061</v>
      </c>
      <c r="T18" s="41">
        <f>'3. Verotulot'!I18*100/'Veroposentin tuotto'!D18</f>
        <v>124510.84337349398</v>
      </c>
      <c r="U18" s="41">
        <f>'3. Verotulot'!N18*100/'Veroposentin tuotto'!E18</f>
        <v>121918.07228915663</v>
      </c>
      <c r="V18" s="41">
        <f>'3. Verotulot'!S18*100/'Veroposentin tuotto'!F18</f>
        <v>118115.6626506024</v>
      </c>
      <c r="W18" s="41">
        <f>'3. Verotulot'!X18*100/'Veroposentin tuotto'!G18</f>
        <v>121908.43373493975</v>
      </c>
      <c r="X18" s="41">
        <f>'3. Verotulot'!AC18*100/'Veroposentin tuotto'!H18</f>
        <v>132433.73493975904</v>
      </c>
      <c r="Y18" s="41">
        <f>'3. Verotulot'!AH18*100/'Veroposentin tuotto'!I18</f>
        <v>130965.00086746986</v>
      </c>
      <c r="Z18" s="41">
        <f>'3. Verotulot'!AM18*100/'Veroposentin tuotto'!J18</f>
        <v>134722.28756626506</v>
      </c>
      <c r="AA18" s="41">
        <f>'3. Verotulot'!AR18*100/'Veroposentin tuotto'!K18</f>
        <v>164669.07348951913</v>
      </c>
      <c r="AB18" s="41">
        <f>'3. Verotulot'!AW18*100/'Veroposentin tuotto'!L18</f>
        <v>157785.72529949984</v>
      </c>
      <c r="AC18" s="41">
        <f>'3. Verotulot'!BB18*100/'Veroposentin tuotto'!M18</f>
        <v>166419.2820381209</v>
      </c>
      <c r="AD18" s="41">
        <f>'3. Verotulot'!BG18*100/'Veroposentin tuotto'!N18</f>
        <v>171894.81749133996</v>
      </c>
      <c r="AE18" s="41">
        <f>'3. Verotulot'!BL18*100/'Veroposentin tuotto'!O18</f>
        <v>176913.41886040254</v>
      </c>
      <c r="AF18" s="41">
        <f>'3. Verotulot'!BQ18*100/'Veroposentin tuotto'!P18</f>
        <v>182623.71072235671</v>
      </c>
      <c r="AI18" s="41">
        <f>'3. Verotulot'!D18/'Veroposentin tuotto'!C18</f>
        <v>1221.4460366265062</v>
      </c>
      <c r="AJ18" s="41">
        <f>'3. Verotulot'!I18/'Veroposentin tuotto'!D18</f>
        <v>1245.1084337349398</v>
      </c>
      <c r="AK18" s="41">
        <f>'3. Verotulot'!N18/'Veroposentin tuotto'!E18</f>
        <v>1219.1807228915663</v>
      </c>
      <c r="AL18" s="41">
        <f>'3. Verotulot'!S18/'Veroposentin tuotto'!F18</f>
        <v>1181.1566265060242</v>
      </c>
      <c r="AM18" s="41">
        <f>'3. Verotulot'!X18/'Veroposentin tuotto'!G18</f>
        <v>1219.0843373493976</v>
      </c>
      <c r="AN18" s="41">
        <f>'3. Verotulot'!AC18/'Veroposentin tuotto'!H18</f>
        <v>1324.3373493975903</v>
      </c>
      <c r="AO18" s="41">
        <f>'3. Verotulot'!AH18/'Veroposentin tuotto'!I18</f>
        <v>1309.6500086746987</v>
      </c>
      <c r="AP18" s="41">
        <f>'3. Verotulot'!AM18/'Veroposentin tuotto'!J18</f>
        <v>1347.2228756626507</v>
      </c>
      <c r="AQ18" s="41">
        <f>'3. Verotulot'!AR18/'Veroposentin tuotto'!K18</f>
        <v>1646.6907348951913</v>
      </c>
      <c r="AR18" s="41">
        <f>'3. Verotulot'!AW18/'Veroposentin tuotto'!L18</f>
        <v>1577.8572529949984</v>
      </c>
      <c r="AS18" s="41">
        <f>'3. Verotulot'!BB18/'Veroposentin tuotto'!M18</f>
        <v>1664.1928203812092</v>
      </c>
      <c r="AT18" s="41">
        <f>'3. Verotulot'!BG18/'Veroposentin tuotto'!N18</f>
        <v>1718.9481749133995</v>
      </c>
      <c r="AU18" s="41">
        <f>'3. Verotulot'!BL18/'Veroposentin tuotto'!O18</f>
        <v>1769.1341886040254</v>
      </c>
      <c r="AV18" s="41">
        <f>'3. Verotulot'!BQ18/'Veroposentin tuotto'!P18</f>
        <v>1826.2371072235669</v>
      </c>
      <c r="AX18" s="146"/>
      <c r="AZ18" s="34">
        <v>16</v>
      </c>
      <c r="BA18" s="88" t="s">
        <v>331</v>
      </c>
      <c r="BB18" s="41">
        <f>AI18/'1. Väestöennuste'!E18*1000</f>
        <v>147.39302963997903</v>
      </c>
      <c r="BC18" s="41">
        <f>AJ18/'1. Väestöennuste'!F18*1000</f>
        <v>149.59851420580796</v>
      </c>
      <c r="BD18" s="41">
        <f>AK18/'1. Väestöennuste'!G18*1000</f>
        <v>147.81531557851193</v>
      </c>
      <c r="BE18" s="41">
        <f>AL18/'1. Väestöennuste'!H18*1000</f>
        <v>144.94497809621109</v>
      </c>
      <c r="BF18" s="41">
        <f>AM18/'1. Väestöennuste'!I18*1000</f>
        <v>150.82077661133215</v>
      </c>
      <c r="BG18" s="41">
        <f>AN18/'1. Väestöennuste'!J18*1000</f>
        <v>164.33023320481331</v>
      </c>
      <c r="BH18" s="41">
        <f>AO18/'1. Väestöennuste'!K18*1000</f>
        <v>163.03373691954422</v>
      </c>
      <c r="BI18" s="41">
        <f>AP18/'1. Väestöennuste'!L18*1000</f>
        <v>168.10866928657984</v>
      </c>
      <c r="BJ18" s="41">
        <f>AQ18/'1. Väestöennuste'!M18*1000</f>
        <v>206.66299383724791</v>
      </c>
      <c r="BK18" s="41">
        <f>AR18/'1. Väestöennuste'!N18*1000</f>
        <v>200.08334428037006</v>
      </c>
      <c r="BL18" s="41">
        <f>AS18/'1. Väestöennuste'!O18*1000</f>
        <v>212.35074905974344</v>
      </c>
      <c r="BM18" s="41">
        <f>AT18/'1. Väestöennuste'!P18*1000</f>
        <v>220.63254715869587</v>
      </c>
      <c r="BN18" s="41">
        <f>AU18/'1. Väestöennuste'!Q18*1000</f>
        <v>228.48174978742421</v>
      </c>
      <c r="BO18" s="41">
        <f>AV18/'1. Väestöennuste'!R18*1000</f>
        <v>237.20445606228952</v>
      </c>
    </row>
    <row r="19" spans="1:67" x14ac:dyDescent="0.25">
      <c r="A19" s="30">
        <v>18</v>
      </c>
      <c r="B19" s="47" t="s">
        <v>332</v>
      </c>
      <c r="C19" s="47">
        <v>20.25</v>
      </c>
      <c r="D19" s="47">
        <v>20.25</v>
      </c>
      <c r="E19" s="47">
        <v>20.75</v>
      </c>
      <c r="F19" s="47">
        <v>20.75</v>
      </c>
      <c r="G19" s="47">
        <v>21.5</v>
      </c>
      <c r="H19" s="58">
        <v>21.5</v>
      </c>
      <c r="I19" s="139">
        <v>21.5</v>
      </c>
      <c r="J19" s="139">
        <v>21.5</v>
      </c>
      <c r="K19" s="139">
        <f t="shared" si="2"/>
        <v>8.86</v>
      </c>
      <c r="L19" s="139">
        <v>8.9</v>
      </c>
      <c r="M19" s="139">
        <f t="shared" si="3"/>
        <v>8.9</v>
      </c>
      <c r="N19" s="147">
        <f t="shared" si="3"/>
        <v>8.9</v>
      </c>
      <c r="O19" s="147">
        <f t="shared" si="3"/>
        <v>8.9</v>
      </c>
      <c r="P19" s="147">
        <f t="shared" si="3"/>
        <v>8.9</v>
      </c>
      <c r="Q19" s="147"/>
      <c r="S19" s="41">
        <f>'3. Verotulot'!D19*100/'Veroposentin tuotto'!C19</f>
        <v>80938.441333333321</v>
      </c>
      <c r="T19" s="41">
        <f>'3. Verotulot'!I19*100/'Veroposentin tuotto'!D19</f>
        <v>85244.444444444438</v>
      </c>
      <c r="U19" s="41">
        <f>'3. Verotulot'!N19*100/'Veroposentin tuotto'!E19</f>
        <v>79898.795180722896</v>
      </c>
      <c r="V19" s="41">
        <f>'3. Verotulot'!S19*100/'Veroposentin tuotto'!F19</f>
        <v>79296.385542168675</v>
      </c>
      <c r="W19" s="41">
        <f>'3. Verotulot'!X19*100/'Veroposentin tuotto'!G19</f>
        <v>81627.906976744183</v>
      </c>
      <c r="X19" s="41">
        <f>'3. Verotulot'!AC19*100/'Veroposentin tuotto'!H19</f>
        <v>85437.209302325587</v>
      </c>
      <c r="Y19" s="41">
        <f>'3. Verotulot'!AH19*100/'Veroposentin tuotto'!I19</f>
        <v>86678.394418604657</v>
      </c>
      <c r="Z19" s="41">
        <f>'3. Verotulot'!AM19*100/'Veroposentin tuotto'!J19</f>
        <v>93089.342279069766</v>
      </c>
      <c r="AA19" s="41">
        <f>'3. Verotulot'!AR19*100/'Veroposentin tuotto'!K19</f>
        <v>106337.10361173816</v>
      </c>
      <c r="AB19" s="41">
        <f>'3. Verotulot'!AW19*100/'Veroposentin tuotto'!L19</f>
        <v>104728.37346179907</v>
      </c>
      <c r="AC19" s="41">
        <f>'3. Verotulot'!BB19*100/'Veroposentin tuotto'!M19</f>
        <v>111545.06657251342</v>
      </c>
      <c r="AD19" s="41">
        <f>'3. Verotulot'!BG19*100/'Veroposentin tuotto'!N19</f>
        <v>116707.7413928934</v>
      </c>
      <c r="AE19" s="41">
        <f>'3. Verotulot'!BL19*100/'Veroposentin tuotto'!O19</f>
        <v>120909.45785815136</v>
      </c>
      <c r="AF19" s="41">
        <f>'3. Verotulot'!BQ19*100/'Veroposentin tuotto'!P19</f>
        <v>125616.18443639396</v>
      </c>
      <c r="AI19" s="41">
        <f>'3. Verotulot'!D19/'Veroposentin tuotto'!C19</f>
        <v>809.38441333333321</v>
      </c>
      <c r="AJ19" s="41">
        <f>'3. Verotulot'!I19/'Veroposentin tuotto'!D19</f>
        <v>852.44444444444446</v>
      </c>
      <c r="AK19" s="41">
        <f>'3. Verotulot'!N19/'Veroposentin tuotto'!E19</f>
        <v>798.98795180722891</v>
      </c>
      <c r="AL19" s="41">
        <f>'3. Verotulot'!S19/'Veroposentin tuotto'!F19</f>
        <v>792.96385542168673</v>
      </c>
      <c r="AM19" s="41">
        <f>'3. Verotulot'!X19/'Veroposentin tuotto'!G19</f>
        <v>816.27906976744191</v>
      </c>
      <c r="AN19" s="41">
        <f>'3. Verotulot'!AC19/'Veroposentin tuotto'!H19</f>
        <v>854.37209302325584</v>
      </c>
      <c r="AO19" s="41">
        <f>'3. Verotulot'!AH19/'Veroposentin tuotto'!I19</f>
        <v>866.7839441860466</v>
      </c>
      <c r="AP19" s="41">
        <f>'3. Verotulot'!AM19/'Veroposentin tuotto'!J19</f>
        <v>930.89342279069763</v>
      </c>
      <c r="AQ19" s="41">
        <f>'3. Verotulot'!AR19/'Veroposentin tuotto'!K19</f>
        <v>1063.3710361173817</v>
      </c>
      <c r="AR19" s="41">
        <f>'3. Verotulot'!AW19/'Veroposentin tuotto'!L19</f>
        <v>1047.2837346179908</v>
      </c>
      <c r="AS19" s="41">
        <f>'3. Verotulot'!BB19/'Veroposentin tuotto'!M19</f>
        <v>1115.4506657251341</v>
      </c>
      <c r="AT19" s="41">
        <f>'3. Verotulot'!BG19/'Veroposentin tuotto'!N19</f>
        <v>1167.077413928934</v>
      </c>
      <c r="AU19" s="41">
        <f>'3. Verotulot'!BL19/'Veroposentin tuotto'!O19</f>
        <v>1209.0945785815136</v>
      </c>
      <c r="AV19" s="41">
        <f>'3. Verotulot'!BQ19/'Veroposentin tuotto'!P19</f>
        <v>1256.1618443639397</v>
      </c>
      <c r="AX19" s="146"/>
      <c r="AZ19" s="34">
        <v>18</v>
      </c>
      <c r="BA19" s="88" t="s">
        <v>332</v>
      </c>
      <c r="BB19" s="41">
        <f>AI19/'1. Väestöennuste'!E19*1000</f>
        <v>158.57845088819226</v>
      </c>
      <c r="BC19" s="41">
        <f>AJ19/'1. Väestöennuste'!F19*1000</f>
        <v>168.934689743251</v>
      </c>
      <c r="BD19" s="41">
        <f>AK19/'1. Väestöennuste'!G19*1000</f>
        <v>160.11782601347272</v>
      </c>
      <c r="BE19" s="41">
        <f>AL19/'1. Väestöennuste'!H19*1000</f>
        <v>159.93623546222</v>
      </c>
      <c r="BF19" s="41">
        <f>AM19/'1. Väestöennuste'!I19*1000</f>
        <v>165.13839161793283</v>
      </c>
      <c r="BG19" s="41">
        <f>AN19/'1. Väestöennuste'!J19*1000</f>
        <v>175.14803055007295</v>
      </c>
      <c r="BH19" s="41">
        <f>AO19/'1. Väestöennuste'!K19*1000</f>
        <v>178.8289548557967</v>
      </c>
      <c r="BI19" s="41">
        <f>AP19/'1. Väestöennuste'!L19*1000</f>
        <v>195.4426669726428</v>
      </c>
      <c r="BJ19" s="41">
        <f>AQ19/'1. Väestöennuste'!M19*1000</f>
        <v>226.2491566207195</v>
      </c>
      <c r="BK19" s="41">
        <f>AR19/'1. Väestöennuste'!N19*1000</f>
        <v>221.22596844486498</v>
      </c>
      <c r="BL19" s="41">
        <f>AS19/'1. Väestöennuste'!O19*1000</f>
        <v>236.87633589406119</v>
      </c>
      <c r="BM19" s="41">
        <f>AT19/'1. Väestöennuste'!P19*1000</f>
        <v>249.05621295965298</v>
      </c>
      <c r="BN19" s="41">
        <f>AU19/'1. Väestöennuste'!Q19*1000</f>
        <v>259.18426121790219</v>
      </c>
      <c r="BO19" s="41">
        <f>AV19/'1. Väestöennuste'!R19*1000</f>
        <v>270.60789408960358</v>
      </c>
    </row>
    <row r="20" spans="1:67" x14ac:dyDescent="0.25">
      <c r="A20" s="30">
        <v>19</v>
      </c>
      <c r="B20" s="47" t="s">
        <v>333</v>
      </c>
      <c r="C20" s="47">
        <v>21</v>
      </c>
      <c r="D20" s="47">
        <v>21.75</v>
      </c>
      <c r="E20" s="47">
        <v>21.75</v>
      </c>
      <c r="F20" s="47">
        <v>21.75</v>
      </c>
      <c r="G20" s="47">
        <v>21.75</v>
      </c>
      <c r="H20" s="58">
        <v>21.5</v>
      </c>
      <c r="I20" s="139">
        <v>21.5</v>
      </c>
      <c r="J20" s="139">
        <v>21.5</v>
      </c>
      <c r="K20" s="139">
        <f t="shared" si="2"/>
        <v>8.86</v>
      </c>
      <c r="L20" s="139">
        <v>8.9</v>
      </c>
      <c r="M20" s="139">
        <f t="shared" si="3"/>
        <v>8.9</v>
      </c>
      <c r="N20" s="147">
        <f t="shared" si="3"/>
        <v>8.9</v>
      </c>
      <c r="O20" s="147">
        <f t="shared" si="3"/>
        <v>8.9</v>
      </c>
      <c r="P20" s="147">
        <f t="shared" si="3"/>
        <v>8.9</v>
      </c>
      <c r="Q20" s="147"/>
      <c r="S20" s="41">
        <f>'3. Verotulot'!D20*100/'Veroposentin tuotto'!C20</f>
        <v>60174.412095238091</v>
      </c>
      <c r="T20" s="41">
        <f>'3. Verotulot'!I20*100/'Veroposentin tuotto'!D20</f>
        <v>61020.689655172413</v>
      </c>
      <c r="U20" s="41">
        <f>'3. Verotulot'!N20*100/'Veroposentin tuotto'!E20</f>
        <v>62514.942528735635</v>
      </c>
      <c r="V20" s="41">
        <f>'3. Verotulot'!S20*100/'Veroposentin tuotto'!F20</f>
        <v>59733.333333333336</v>
      </c>
      <c r="W20" s="41">
        <f>'3. Verotulot'!X20*100/'Veroposentin tuotto'!G20</f>
        <v>61393.103448275862</v>
      </c>
      <c r="X20" s="41">
        <f>'3. Verotulot'!AC20*100/'Veroposentin tuotto'!H20</f>
        <v>66697.674418604656</v>
      </c>
      <c r="Y20" s="41">
        <f>'3. Verotulot'!AH20*100/'Veroposentin tuotto'!I20</f>
        <v>67011.736093023253</v>
      </c>
      <c r="Z20" s="41">
        <f>'3. Verotulot'!AM20*100/'Veroposentin tuotto'!J20</f>
        <v>69465.955162790706</v>
      </c>
      <c r="AA20" s="41">
        <f>'3. Verotulot'!AR20*100/'Veroposentin tuotto'!K20</f>
        <v>83085.926410835222</v>
      </c>
      <c r="AB20" s="41">
        <f>'3. Verotulot'!AW20*100/'Veroposentin tuotto'!L20</f>
        <v>83083.948735780126</v>
      </c>
      <c r="AC20" s="41">
        <f>'3. Verotulot'!BB20*100/'Veroposentin tuotto'!M20</f>
        <v>89259.211203763261</v>
      </c>
      <c r="AD20" s="41">
        <f>'3. Verotulot'!BG20*100/'Veroposentin tuotto'!N20</f>
        <v>94685.164013244779</v>
      </c>
      <c r="AE20" s="41">
        <f>'3. Verotulot'!BL20*100/'Veroposentin tuotto'!O20</f>
        <v>98979.339214881795</v>
      </c>
      <c r="AF20" s="41">
        <f>'3. Verotulot'!BQ20*100/'Veroposentin tuotto'!P20</f>
        <v>103861.22817263727</v>
      </c>
      <c r="AI20" s="41">
        <f>'3. Verotulot'!D20/'Veroposentin tuotto'!C20</f>
        <v>601.74412095238097</v>
      </c>
      <c r="AJ20" s="41">
        <f>'3. Verotulot'!I20/'Veroposentin tuotto'!D20</f>
        <v>610.20689655172418</v>
      </c>
      <c r="AK20" s="41">
        <f>'3. Verotulot'!N20/'Veroposentin tuotto'!E20</f>
        <v>625.14942528735628</v>
      </c>
      <c r="AL20" s="41">
        <f>'3. Verotulot'!S20/'Veroposentin tuotto'!F20</f>
        <v>597.33333333333337</v>
      </c>
      <c r="AM20" s="41">
        <f>'3. Verotulot'!X20/'Veroposentin tuotto'!G20</f>
        <v>613.93103448275861</v>
      </c>
      <c r="AN20" s="41">
        <f>'3. Verotulot'!AC20/'Veroposentin tuotto'!H20</f>
        <v>666.97674418604652</v>
      </c>
      <c r="AO20" s="41">
        <f>'3. Verotulot'!AH20/'Veroposentin tuotto'!I20</f>
        <v>670.11736093023251</v>
      </c>
      <c r="AP20" s="41">
        <f>'3. Verotulot'!AM20/'Veroposentin tuotto'!J20</f>
        <v>694.65955162790704</v>
      </c>
      <c r="AQ20" s="41">
        <f>'3. Verotulot'!AR20/'Veroposentin tuotto'!K20</f>
        <v>830.85926410835225</v>
      </c>
      <c r="AR20" s="41">
        <f>'3. Verotulot'!AW20/'Veroposentin tuotto'!L20</f>
        <v>830.8394873578012</v>
      </c>
      <c r="AS20" s="41">
        <f>'3. Verotulot'!BB20/'Veroposentin tuotto'!M20</f>
        <v>892.59211203763255</v>
      </c>
      <c r="AT20" s="41">
        <f>'3. Verotulot'!BG20/'Veroposentin tuotto'!N20</f>
        <v>946.85164013244787</v>
      </c>
      <c r="AU20" s="41">
        <f>'3. Verotulot'!BL20/'Veroposentin tuotto'!O20</f>
        <v>989.79339214881793</v>
      </c>
      <c r="AV20" s="41">
        <f>'3. Verotulot'!BQ20/'Veroposentin tuotto'!P20</f>
        <v>1038.6122817263727</v>
      </c>
      <c r="AX20" s="146"/>
      <c r="AZ20" s="34">
        <v>19</v>
      </c>
      <c r="BA20" s="88" t="s">
        <v>333</v>
      </c>
      <c r="BB20" s="41">
        <f>AI20/'1. Väestöennuste'!E20*1000</f>
        <v>150.96440565789788</v>
      </c>
      <c r="BC20" s="41">
        <f>AJ20/'1. Väestöennuste'!F20*1000</f>
        <v>153.1643816645894</v>
      </c>
      <c r="BD20" s="41">
        <f>AK20/'1. Väestöennuste'!G20*1000</f>
        <v>156.63979586252978</v>
      </c>
      <c r="BE20" s="41">
        <f>AL20/'1. Väestöennuste'!H20*1000</f>
        <v>149.93306559571622</v>
      </c>
      <c r="BF20" s="41">
        <f>AM20/'1. Väestöennuste'!I20*1000</f>
        <v>155.78052131001232</v>
      </c>
      <c r="BG20" s="41">
        <f>AN20/'1. Väestöennuste'!J20*1000</f>
        <v>168.47101393939036</v>
      </c>
      <c r="BH20" s="41">
        <f>AO20/'1. Väestöennuste'!K20*1000</f>
        <v>169.43548948931289</v>
      </c>
      <c r="BI20" s="41">
        <f>AP20/'1. Väestöennuste'!L20*1000</f>
        <v>175.19786926302825</v>
      </c>
      <c r="BJ20" s="41">
        <f>AQ20/'1. Väestöennuste'!M20*1000</f>
        <v>209.75997579105081</v>
      </c>
      <c r="BK20" s="41">
        <f>AR20/'1. Väestöennuste'!N20*1000</f>
        <v>209.70204123114618</v>
      </c>
      <c r="BL20" s="41">
        <f>AS20/'1. Väestöennuste'!O20*1000</f>
        <v>225.00431359657992</v>
      </c>
      <c r="BM20" s="41">
        <f>AT20/'1. Väestöennuste'!P20*1000</f>
        <v>238.32158070285624</v>
      </c>
      <c r="BN20" s="41">
        <f>AU20/'1. Väestöennuste'!Q20*1000</f>
        <v>248.56689908307834</v>
      </c>
      <c r="BO20" s="41">
        <f>AV20/'1. Väestöennuste'!R20*1000</f>
        <v>260.43437355224989</v>
      </c>
    </row>
    <row r="21" spans="1:67" x14ac:dyDescent="0.25">
      <c r="A21" s="30">
        <v>20</v>
      </c>
      <c r="B21" s="47" t="s">
        <v>334</v>
      </c>
      <c r="C21" s="47">
        <v>21.25</v>
      </c>
      <c r="D21" s="47">
        <v>21.25</v>
      </c>
      <c r="E21" s="47">
        <v>21.25</v>
      </c>
      <c r="F21" s="47">
        <v>21.75</v>
      </c>
      <c r="G21" s="47">
        <v>22.25</v>
      </c>
      <c r="H21" s="58">
        <v>22.25</v>
      </c>
      <c r="I21" s="139">
        <v>22.25</v>
      </c>
      <c r="J21" s="139">
        <v>22</v>
      </c>
      <c r="K21" s="139">
        <f t="shared" si="2"/>
        <v>9.36</v>
      </c>
      <c r="L21" s="139">
        <v>9.9</v>
      </c>
      <c r="M21" s="139">
        <f t="shared" si="3"/>
        <v>9.9</v>
      </c>
      <c r="N21" s="147">
        <f t="shared" si="3"/>
        <v>9.9</v>
      </c>
      <c r="O21" s="147">
        <f t="shared" si="3"/>
        <v>9.9</v>
      </c>
      <c r="P21" s="147">
        <f t="shared" si="3"/>
        <v>9.9</v>
      </c>
      <c r="Q21" s="147"/>
      <c r="S21" s="41">
        <f>'3. Verotulot'!D21*100/'Veroposentin tuotto'!C21</f>
        <v>254786.22870588236</v>
      </c>
      <c r="T21" s="41">
        <f>'3. Verotulot'!I21*100/'Veroposentin tuotto'!D21</f>
        <v>259600</v>
      </c>
      <c r="U21" s="41">
        <f>'3. Verotulot'!N21*100/'Veroposentin tuotto'!E21</f>
        <v>254197.64705882352</v>
      </c>
      <c r="V21" s="41">
        <f>'3. Verotulot'!S21*100/'Veroposentin tuotto'!F21</f>
        <v>251462.06896551725</v>
      </c>
      <c r="W21" s="41">
        <f>'3. Verotulot'!X21*100/'Veroposentin tuotto'!G21</f>
        <v>259955.05617977527</v>
      </c>
      <c r="X21" s="41">
        <f>'3. Verotulot'!AC21*100/'Veroposentin tuotto'!H21</f>
        <v>265635.95505617978</v>
      </c>
      <c r="Y21" s="41">
        <f>'3. Verotulot'!AH21*100/'Veroposentin tuotto'!I21</f>
        <v>273695.00040449441</v>
      </c>
      <c r="Z21" s="41">
        <f>'3. Verotulot'!AM21*100/'Veroposentin tuotto'!J21</f>
        <v>285960.43654545455</v>
      </c>
      <c r="AA21" s="41">
        <f>'3. Verotulot'!AR21*100/'Veroposentin tuotto'!K21</f>
        <v>353470.00844017096</v>
      </c>
      <c r="AB21" s="41">
        <f>'3. Verotulot'!AW21*100/'Veroposentin tuotto'!L21</f>
        <v>335891.350480614</v>
      </c>
      <c r="AC21" s="41">
        <f>'3. Verotulot'!BB21*100/'Veroposentin tuotto'!M21</f>
        <v>355187.3926146687</v>
      </c>
      <c r="AD21" s="41">
        <f>'3. Verotulot'!BG21*100/'Veroposentin tuotto'!N21</f>
        <v>371102.40721045388</v>
      </c>
      <c r="AE21" s="41">
        <f>'3. Verotulot'!BL21*100/'Veroposentin tuotto'!O21</f>
        <v>383766.09669561201</v>
      </c>
      <c r="AF21" s="41">
        <f>'3. Verotulot'!BQ21*100/'Veroposentin tuotto'!P21</f>
        <v>397981.68441689812</v>
      </c>
      <c r="AI21" s="41">
        <f>'3. Verotulot'!D21/'Veroposentin tuotto'!C21</f>
        <v>2547.8622870588238</v>
      </c>
      <c r="AJ21" s="41">
        <f>'3. Verotulot'!I21/'Veroposentin tuotto'!D21</f>
        <v>2596</v>
      </c>
      <c r="AK21" s="41">
        <f>'3. Verotulot'!N21/'Veroposentin tuotto'!E21</f>
        <v>2541.9764705882353</v>
      </c>
      <c r="AL21" s="41">
        <f>'3. Verotulot'!S21/'Veroposentin tuotto'!F21</f>
        <v>2514.6206896551726</v>
      </c>
      <c r="AM21" s="41">
        <f>'3. Verotulot'!X21/'Veroposentin tuotto'!G21</f>
        <v>2599.5505617977528</v>
      </c>
      <c r="AN21" s="41">
        <f>'3. Verotulot'!AC21/'Veroposentin tuotto'!H21</f>
        <v>2656.3595505617977</v>
      </c>
      <c r="AO21" s="41">
        <f>'3. Verotulot'!AH21/'Veroposentin tuotto'!I21</f>
        <v>2736.9500040449439</v>
      </c>
      <c r="AP21" s="41">
        <f>'3. Verotulot'!AM21/'Veroposentin tuotto'!J21</f>
        <v>2859.6043654545456</v>
      </c>
      <c r="AQ21" s="41">
        <f>'3. Verotulot'!AR21/'Veroposentin tuotto'!K21</f>
        <v>3534.7000844017098</v>
      </c>
      <c r="AR21" s="41">
        <f>'3. Verotulot'!AW21/'Veroposentin tuotto'!L21</f>
        <v>3358.9135048061398</v>
      </c>
      <c r="AS21" s="41">
        <f>'3. Verotulot'!BB21/'Veroposentin tuotto'!M21</f>
        <v>3551.8739261466867</v>
      </c>
      <c r="AT21" s="41">
        <f>'3. Verotulot'!BG21/'Veroposentin tuotto'!N21</f>
        <v>3711.0240721045388</v>
      </c>
      <c r="AU21" s="41">
        <f>'3. Verotulot'!BL21/'Veroposentin tuotto'!O21</f>
        <v>3837.6609669561199</v>
      </c>
      <c r="AV21" s="41">
        <f>'3. Verotulot'!BQ21/'Veroposentin tuotto'!P21</f>
        <v>3979.8168441689813</v>
      </c>
      <c r="AX21" s="146"/>
      <c r="AZ21" s="34">
        <v>20</v>
      </c>
      <c r="BA21" s="88" t="s">
        <v>334</v>
      </c>
      <c r="BB21" s="41">
        <f>AI21/'1. Väestöennuste'!E21*1000</f>
        <v>149.49611494800348</v>
      </c>
      <c r="BC21" s="41">
        <f>AJ21/'1. Väestöennuste'!F21*1000</f>
        <v>153.4006972758967</v>
      </c>
      <c r="BD21" s="41">
        <f>AK21/'1. Väestöennuste'!G21*1000</f>
        <v>151.58783890442098</v>
      </c>
      <c r="BE21" s="41">
        <f>AL21/'1. Väestöennuste'!H21*1000</f>
        <v>151.38286013215173</v>
      </c>
      <c r="BF21" s="41">
        <f>AM21/'1. Väestöennuste'!I21*1000</f>
        <v>157.78759100441596</v>
      </c>
      <c r="BG21" s="41">
        <f>AN21/'1. Väestöennuste'!J21*1000</f>
        <v>162.06207983416496</v>
      </c>
      <c r="BH21" s="41">
        <f>AO21/'1. Väestöennuste'!K21*1000</f>
        <v>166.20817416924419</v>
      </c>
      <c r="BI21" s="41">
        <f>AP21/'1. Väestöennuste'!L21*1000</f>
        <v>173.59341743790117</v>
      </c>
      <c r="BJ21" s="41">
        <f>AQ21/'1. Väestöennuste'!M21*1000</f>
        <v>215.46480246276806</v>
      </c>
      <c r="BK21" s="41">
        <f>AR21/'1. Väestöennuste'!N21*1000</f>
        <v>211.17273386182194</v>
      </c>
      <c r="BL21" s="41">
        <f>AS21/'1. Väestöennuste'!O21*1000</f>
        <v>224.87330966424102</v>
      </c>
      <c r="BM21" s="41">
        <f>AT21/'1. Väestöennuste'!P21*1000</f>
        <v>236.49146521186202</v>
      </c>
      <c r="BN21" s="41">
        <f>AU21/'1. Väestöennuste'!Q21*1000</f>
        <v>246.08278082437445</v>
      </c>
      <c r="BO21" s="41">
        <f>AV21/'1. Väestöennuste'!R21*1000</f>
        <v>256.72925068823253</v>
      </c>
    </row>
    <row r="22" spans="1:67" x14ac:dyDescent="0.25">
      <c r="A22" s="30">
        <v>46</v>
      </c>
      <c r="B22" s="47" t="s">
        <v>335</v>
      </c>
      <c r="C22" s="47">
        <v>21</v>
      </c>
      <c r="D22" s="47">
        <v>21</v>
      </c>
      <c r="E22" s="47">
        <v>21</v>
      </c>
      <c r="F22" s="47">
        <v>21</v>
      </c>
      <c r="G22" s="47">
        <v>21</v>
      </c>
      <c r="H22" s="58">
        <v>21</v>
      </c>
      <c r="I22" s="139">
        <v>21</v>
      </c>
      <c r="J22" s="139">
        <v>21</v>
      </c>
      <c r="K22" s="139">
        <f t="shared" si="2"/>
        <v>8.36</v>
      </c>
      <c r="L22" s="139">
        <v>8.4</v>
      </c>
      <c r="M22" s="139">
        <f t="shared" si="3"/>
        <v>8.4</v>
      </c>
      <c r="N22" s="147">
        <f t="shared" si="3"/>
        <v>8.4</v>
      </c>
      <c r="O22" s="147">
        <f t="shared" si="3"/>
        <v>8.4</v>
      </c>
      <c r="P22" s="147">
        <f t="shared" si="3"/>
        <v>8.4</v>
      </c>
      <c r="Q22" s="147"/>
      <c r="S22" s="41">
        <f>'3. Verotulot'!D22*100/'Veroposentin tuotto'!C22</f>
        <v>18101.141761904764</v>
      </c>
      <c r="T22" s="41">
        <f>'3. Verotulot'!I22*100/'Veroposentin tuotto'!D22</f>
        <v>17000</v>
      </c>
      <c r="U22" s="41">
        <f>'3. Verotulot'!N22*100/'Veroposentin tuotto'!E22</f>
        <v>17728.571428571428</v>
      </c>
      <c r="V22" s="41">
        <f>'3. Verotulot'!S22*100/'Veroposentin tuotto'!F22</f>
        <v>16090.476190476191</v>
      </c>
      <c r="W22" s="41">
        <f>'3. Verotulot'!X22*100/'Veroposentin tuotto'!G22</f>
        <v>17047.619047619046</v>
      </c>
      <c r="X22" s="41">
        <f>'3. Verotulot'!AC22*100/'Veroposentin tuotto'!H22</f>
        <v>16533.333333333332</v>
      </c>
      <c r="Y22" s="41">
        <f>'3. Verotulot'!AH22*100/'Veroposentin tuotto'!I22</f>
        <v>16727.717666666667</v>
      </c>
      <c r="Z22" s="41">
        <f>'3. Verotulot'!AM22*100/'Veroposentin tuotto'!J22</f>
        <v>17541.468761904762</v>
      </c>
      <c r="AA22" s="41">
        <f>'3. Verotulot'!AR22*100/'Veroposentin tuotto'!K22</f>
        <v>21025.413157894738</v>
      </c>
      <c r="AB22" s="41">
        <f>'3. Verotulot'!AW22*100/'Veroposentin tuotto'!L22</f>
        <v>20469.255051894943</v>
      </c>
      <c r="AC22" s="41">
        <f>'3. Verotulot'!BB22*100/'Veroposentin tuotto'!M22</f>
        <v>21645.322496583252</v>
      </c>
      <c r="AD22" s="41">
        <f>'3. Verotulot'!BG22*100/'Veroposentin tuotto'!N22</f>
        <v>22376.970998897945</v>
      </c>
      <c r="AE22" s="41">
        <f>'3. Verotulot'!BL22*100/'Veroposentin tuotto'!O22</f>
        <v>23016.786478120503</v>
      </c>
      <c r="AF22" s="41">
        <f>'3. Verotulot'!BQ22*100/'Veroposentin tuotto'!P22</f>
        <v>23731.749853179674</v>
      </c>
      <c r="AI22" s="41">
        <f>'3. Verotulot'!D22/'Veroposentin tuotto'!C22</f>
        <v>181.01141761904762</v>
      </c>
      <c r="AJ22" s="41">
        <f>'3. Verotulot'!I22/'Veroposentin tuotto'!D22</f>
        <v>170</v>
      </c>
      <c r="AK22" s="41">
        <f>'3. Verotulot'!N22/'Veroposentin tuotto'!E22</f>
        <v>177.28571428571428</v>
      </c>
      <c r="AL22" s="41">
        <f>'3. Verotulot'!S22/'Veroposentin tuotto'!F22</f>
        <v>160.9047619047619</v>
      </c>
      <c r="AM22" s="41">
        <f>'3. Verotulot'!X22/'Veroposentin tuotto'!G22</f>
        <v>170.47619047619048</v>
      </c>
      <c r="AN22" s="41">
        <f>'3. Verotulot'!AC22/'Veroposentin tuotto'!H22</f>
        <v>165.33333333333334</v>
      </c>
      <c r="AO22" s="41">
        <f>'3. Verotulot'!AH22/'Veroposentin tuotto'!I22</f>
        <v>167.27717666666666</v>
      </c>
      <c r="AP22" s="41">
        <f>'3. Verotulot'!AM22/'Veroposentin tuotto'!J22</f>
        <v>175.41468761904761</v>
      </c>
      <c r="AQ22" s="41">
        <f>'3. Verotulot'!AR22/'Veroposentin tuotto'!K22</f>
        <v>210.25413157894738</v>
      </c>
      <c r="AR22" s="41">
        <f>'3. Verotulot'!AW22/'Veroposentin tuotto'!L22</f>
        <v>204.69255051894942</v>
      </c>
      <c r="AS22" s="41">
        <f>'3. Verotulot'!BB22/'Veroposentin tuotto'!M22</f>
        <v>216.4532249658325</v>
      </c>
      <c r="AT22" s="41">
        <f>'3. Verotulot'!BG22/'Veroposentin tuotto'!N22</f>
        <v>223.76970998897946</v>
      </c>
      <c r="AU22" s="41">
        <f>'3. Verotulot'!BL22/'Veroposentin tuotto'!O22</f>
        <v>230.16786478120503</v>
      </c>
      <c r="AV22" s="41">
        <f>'3. Verotulot'!BQ22/'Veroposentin tuotto'!P22</f>
        <v>237.31749853179676</v>
      </c>
      <c r="AX22" s="146"/>
      <c r="AZ22" s="34">
        <v>46</v>
      </c>
      <c r="BA22" s="88" t="s">
        <v>335</v>
      </c>
      <c r="BB22" s="41">
        <f>AI22/'1. Väestöennuste'!E22*1000</f>
        <v>122.88623056282934</v>
      </c>
      <c r="BC22" s="41">
        <f>AJ22/'1. Väestöennuste'!F22*1000</f>
        <v>116.99931176875431</v>
      </c>
      <c r="BD22" s="41">
        <f>AK22/'1. Väestöennuste'!G22*1000</f>
        <v>125.20177562550444</v>
      </c>
      <c r="BE22" s="41">
        <f>AL22/'1. Väestöennuste'!H22*1000</f>
        <v>114.52296220979495</v>
      </c>
      <c r="BF22" s="41">
        <f>AM22/'1. Väestöennuste'!I22*1000</f>
        <v>125.25803855708337</v>
      </c>
      <c r="BG22" s="41">
        <f>AN22/'1. Väestöennuste'!J22*1000</f>
        <v>120.76941806671537</v>
      </c>
      <c r="BH22" s="41">
        <f>AO22/'1. Väestöennuste'!K22*1000</f>
        <v>122.8173103279491</v>
      </c>
      <c r="BI22" s="41">
        <f>AP22/'1. Väestöennuste'!L22*1000</f>
        <v>130.8088647420191</v>
      </c>
      <c r="BJ22" s="41">
        <f>AQ22/'1. Väestöennuste'!M22*1000</f>
        <v>159.28343301435407</v>
      </c>
      <c r="BK22" s="41">
        <f>AR22/'1. Väestöennuste'!N22*1000</f>
        <v>155.77819674197062</v>
      </c>
      <c r="BL22" s="41">
        <f>AS22/'1. Väestöennuste'!O22*1000</f>
        <v>166.50248074294808</v>
      </c>
      <c r="BM22" s="41">
        <f>AT22/'1. Väestöennuste'!P22*1000</f>
        <v>173.86923853067557</v>
      </c>
      <c r="BN22" s="41">
        <f>AU22/'1. Väestöennuste'!Q22*1000</f>
        <v>180.66551395698983</v>
      </c>
      <c r="BO22" s="41">
        <f>AV22/'1. Väestöennuste'!R22*1000</f>
        <v>188.49682170913164</v>
      </c>
    </row>
    <row r="23" spans="1:67" x14ac:dyDescent="0.25">
      <c r="A23" s="30">
        <v>47</v>
      </c>
      <c r="B23" s="47" t="s">
        <v>336</v>
      </c>
      <c r="C23" s="47">
        <v>20.75</v>
      </c>
      <c r="D23" s="47">
        <v>21.25</v>
      </c>
      <c r="E23" s="47">
        <v>21.25</v>
      </c>
      <c r="F23" s="47">
        <v>21.25</v>
      </c>
      <c r="G23" s="47">
        <v>21.25</v>
      </c>
      <c r="H23" s="58">
        <v>21.25</v>
      </c>
      <c r="I23" s="139">
        <v>21.25</v>
      </c>
      <c r="J23" s="139">
        <v>21.25</v>
      </c>
      <c r="K23" s="139">
        <f t="shared" si="2"/>
        <v>8.61</v>
      </c>
      <c r="L23" s="139">
        <v>8.6</v>
      </c>
      <c r="M23" s="139">
        <f t="shared" si="3"/>
        <v>8.6</v>
      </c>
      <c r="N23" s="147">
        <f t="shared" si="3"/>
        <v>8.6</v>
      </c>
      <c r="O23" s="147">
        <f t="shared" si="3"/>
        <v>8.6</v>
      </c>
      <c r="P23" s="147">
        <f t="shared" si="3"/>
        <v>8.6</v>
      </c>
      <c r="Q23" s="147"/>
      <c r="S23" s="41">
        <f>'3. Verotulot'!D23*100/'Veroposentin tuotto'!C23</f>
        <v>23442.008192771085</v>
      </c>
      <c r="T23" s="41">
        <f>'3. Verotulot'!I23*100/'Veroposentin tuotto'!D23</f>
        <v>23543.529411764706</v>
      </c>
      <c r="U23" s="41">
        <f>'3. Verotulot'!N23*100/'Veroposentin tuotto'!E23</f>
        <v>23355.294117647059</v>
      </c>
      <c r="V23" s="41">
        <f>'3. Verotulot'!S23*100/'Veroposentin tuotto'!F23</f>
        <v>24258.823529411766</v>
      </c>
      <c r="W23" s="41">
        <f>'3. Verotulot'!X23*100/'Veroposentin tuotto'!G23</f>
        <v>23731.764705882353</v>
      </c>
      <c r="X23" s="41">
        <f>'3. Verotulot'!AC23*100/'Veroposentin tuotto'!H23</f>
        <v>24343.529411764706</v>
      </c>
      <c r="Y23" s="41">
        <f>'3. Verotulot'!AH23*100/'Veroposentin tuotto'!I23</f>
        <v>24562.900376470589</v>
      </c>
      <c r="Z23" s="41">
        <f>'3. Verotulot'!AM23*100/'Veroposentin tuotto'!J23</f>
        <v>25379.643105882358</v>
      </c>
      <c r="AA23" s="41">
        <f>'3. Verotulot'!AR23*100/'Veroposentin tuotto'!K23</f>
        <v>35218.280255516846</v>
      </c>
      <c r="AB23" s="41">
        <f>'3. Verotulot'!AW23*100/'Veroposentin tuotto'!L23</f>
        <v>30985.060663877543</v>
      </c>
      <c r="AC23" s="41">
        <f>'3. Verotulot'!BB23*100/'Veroposentin tuotto'!M23</f>
        <v>33141.724431698574</v>
      </c>
      <c r="AD23" s="41">
        <f>'3. Verotulot'!BG23*100/'Veroposentin tuotto'!N23</f>
        <v>34659.982658386551</v>
      </c>
      <c r="AE23" s="41">
        <f>'3. Verotulot'!BL23*100/'Veroposentin tuotto'!O23</f>
        <v>35953.046653782323</v>
      </c>
      <c r="AF23" s="41">
        <f>'3. Verotulot'!BQ23*100/'Veroposentin tuotto'!P23</f>
        <v>37353.733589706571</v>
      </c>
      <c r="AI23" s="41">
        <f>'3. Verotulot'!D23/'Veroposentin tuotto'!C23</f>
        <v>234.42008192771084</v>
      </c>
      <c r="AJ23" s="41">
        <f>'3. Verotulot'!I23/'Veroposentin tuotto'!D23</f>
        <v>235.43529411764706</v>
      </c>
      <c r="AK23" s="41">
        <f>'3. Verotulot'!N23/'Veroposentin tuotto'!E23</f>
        <v>233.5529411764706</v>
      </c>
      <c r="AL23" s="41">
        <f>'3. Verotulot'!S23/'Veroposentin tuotto'!F23</f>
        <v>242.58823529411765</v>
      </c>
      <c r="AM23" s="41">
        <f>'3. Verotulot'!X23/'Veroposentin tuotto'!G23</f>
        <v>237.31764705882352</v>
      </c>
      <c r="AN23" s="41">
        <f>'3. Verotulot'!AC23/'Veroposentin tuotto'!H23</f>
        <v>243.43529411764706</v>
      </c>
      <c r="AO23" s="41">
        <f>'3. Verotulot'!AH23/'Veroposentin tuotto'!I23</f>
        <v>245.62900376470589</v>
      </c>
      <c r="AP23" s="41">
        <f>'3. Verotulot'!AM23/'Veroposentin tuotto'!J23</f>
        <v>253.79643105882354</v>
      </c>
      <c r="AQ23" s="41">
        <f>'3. Verotulot'!AR23/'Veroposentin tuotto'!K23</f>
        <v>352.18280255516845</v>
      </c>
      <c r="AR23" s="41">
        <f>'3. Verotulot'!AW23/'Veroposentin tuotto'!L23</f>
        <v>309.85060663877545</v>
      </c>
      <c r="AS23" s="41">
        <f>'3. Verotulot'!BB23/'Veroposentin tuotto'!M23</f>
        <v>331.41724431698577</v>
      </c>
      <c r="AT23" s="41">
        <f>'3. Verotulot'!BG23/'Veroposentin tuotto'!N23</f>
        <v>346.59982658386548</v>
      </c>
      <c r="AU23" s="41">
        <f>'3. Verotulot'!BL23/'Veroposentin tuotto'!O23</f>
        <v>359.5304665378232</v>
      </c>
      <c r="AV23" s="41">
        <f>'3. Verotulot'!BQ23/'Veroposentin tuotto'!P23</f>
        <v>373.5373358970657</v>
      </c>
      <c r="AX23" s="146"/>
      <c r="AZ23" s="34">
        <v>47</v>
      </c>
      <c r="BA23" s="88" t="s">
        <v>336</v>
      </c>
      <c r="BB23" s="41">
        <f>AI23/'1. Väestöennuste'!E23*1000</f>
        <v>125.96457921961893</v>
      </c>
      <c r="BC23" s="41">
        <f>AJ23/'1. Väestöennuste'!F23*1000</f>
        <v>125.76671694318753</v>
      </c>
      <c r="BD23" s="41">
        <f>AK23/'1. Väestöennuste'!G23*1000</f>
        <v>123.37714800658773</v>
      </c>
      <c r="BE23" s="41">
        <f>AL23/'1. Väestöennuste'!H23*1000</f>
        <v>130.98716808537668</v>
      </c>
      <c r="BF23" s="41">
        <f>AM23/'1. Väestöennuste'!I23*1000</f>
        <v>129.11732701785829</v>
      </c>
      <c r="BG23" s="41">
        <f>AN23/'1. Väestöennuste'!J23*1000</f>
        <v>134.64341488807912</v>
      </c>
      <c r="BH23" s="41">
        <f>AO23/'1. Väestöennuste'!K23*1000</f>
        <v>137.29961082431853</v>
      </c>
      <c r="BI23" s="41">
        <f>AP23/'1. Väestöennuste'!L23*1000</f>
        <v>140.14159638808587</v>
      </c>
      <c r="BJ23" s="41">
        <f>AQ23/'1. Väestöennuste'!M23*1000</f>
        <v>198.86098393854797</v>
      </c>
      <c r="BK23" s="41">
        <f>AR23/'1. Väestöennuste'!N23*1000</f>
        <v>174.66212324620938</v>
      </c>
      <c r="BL23" s="41">
        <f>AS23/'1. Väestöennuste'!O23*1000</f>
        <v>187.45319248698291</v>
      </c>
      <c r="BM23" s="41">
        <f>AT23/'1. Väestöennuste'!P23*1000</f>
        <v>196.81989016687422</v>
      </c>
      <c r="BN23" s="41">
        <f>AU23/'1. Väestöennuste'!Q23*1000</f>
        <v>205.09439049505033</v>
      </c>
      <c r="BO23" s="41">
        <f>AV23/'1. Väestöennuste'!R23*1000</f>
        <v>214.06151054273107</v>
      </c>
    </row>
    <row r="24" spans="1:67" x14ac:dyDescent="0.25">
      <c r="A24" s="30">
        <v>49</v>
      </c>
      <c r="B24" s="47" t="s">
        <v>337</v>
      </c>
      <c r="C24" s="47">
        <v>18</v>
      </c>
      <c r="D24" s="47">
        <v>18</v>
      </c>
      <c r="E24" s="47">
        <v>18</v>
      </c>
      <c r="F24" s="47">
        <v>18</v>
      </c>
      <c r="G24" s="47">
        <v>18</v>
      </c>
      <c r="H24" s="58">
        <v>18</v>
      </c>
      <c r="I24" s="139">
        <v>18</v>
      </c>
      <c r="J24" s="139">
        <v>18</v>
      </c>
      <c r="K24" s="139">
        <f t="shared" si="2"/>
        <v>5.3599999999999994</v>
      </c>
      <c r="L24" s="139">
        <v>5.3</v>
      </c>
      <c r="M24" s="139">
        <f t="shared" si="3"/>
        <v>5.3</v>
      </c>
      <c r="N24" s="147">
        <f t="shared" si="3"/>
        <v>5.3</v>
      </c>
      <c r="O24" s="147">
        <f t="shared" si="3"/>
        <v>5.3</v>
      </c>
      <c r="P24" s="147">
        <f t="shared" si="3"/>
        <v>5.3</v>
      </c>
      <c r="Q24" s="147"/>
      <c r="S24" s="41">
        <f>'3. Verotulot'!D24*100/'Veroposentin tuotto'!C24</f>
        <v>6452446.5258888882</v>
      </c>
      <c r="T24" s="41">
        <f>'3. Verotulot'!I24*100/'Veroposentin tuotto'!D24</f>
        <v>6811961.111111111</v>
      </c>
      <c r="U24" s="41">
        <f>'3. Verotulot'!N24*100/'Veroposentin tuotto'!E24</f>
        <v>6872005.555555556</v>
      </c>
      <c r="V24" s="41">
        <f>'3. Verotulot'!S24*100/'Veroposentin tuotto'!F24</f>
        <v>6998244.444444444</v>
      </c>
      <c r="W24" s="41">
        <f>'3. Verotulot'!X24*100/'Veroposentin tuotto'!G24</f>
        <v>7068261.111111111</v>
      </c>
      <c r="X24" s="41">
        <f>'3. Verotulot'!AC24*100/'Veroposentin tuotto'!H24</f>
        <v>7537911.111111111</v>
      </c>
      <c r="Y24" s="41">
        <f>'3. Verotulot'!AH24*100/'Veroposentin tuotto'!I24</f>
        <v>7638822.8293888904</v>
      </c>
      <c r="Z24" s="41">
        <f>'3. Verotulot'!AM24*100/'Veroposentin tuotto'!J24</f>
        <v>8248364.4427222228</v>
      </c>
      <c r="AA24" s="41">
        <f>'3. Verotulot'!AR24*100/'Veroposentin tuotto'!K24</f>
        <v>11489688.733768659</v>
      </c>
      <c r="AB24" s="41">
        <f>'3. Verotulot'!AW24*100/'Veroposentin tuotto'!L24</f>
        <v>9991687.1148113925</v>
      </c>
      <c r="AC24" s="41">
        <f>'3. Verotulot'!BB24*100/'Veroposentin tuotto'!M24</f>
        <v>10373168.997836715</v>
      </c>
      <c r="AD24" s="41">
        <f>'3. Verotulot'!BG24*100/'Veroposentin tuotto'!N24</f>
        <v>10812983.056439264</v>
      </c>
      <c r="AE24" s="41">
        <f>'3. Verotulot'!BL24*100/'Veroposentin tuotto'!O24</f>
        <v>11221832.688599607</v>
      </c>
      <c r="AF24" s="41">
        <f>'3. Verotulot'!BQ24*100/'Veroposentin tuotto'!P24</f>
        <v>11671455.654890165</v>
      </c>
      <c r="AI24" s="41">
        <f>'3. Verotulot'!D24/'Veroposentin tuotto'!C24</f>
        <v>64524.465258888886</v>
      </c>
      <c r="AJ24" s="41">
        <f>'3. Verotulot'!I24/'Veroposentin tuotto'!D24</f>
        <v>68119.611111111109</v>
      </c>
      <c r="AK24" s="41">
        <f>'3. Verotulot'!N24/'Veroposentin tuotto'!E24</f>
        <v>68720.055555555562</v>
      </c>
      <c r="AL24" s="41">
        <f>'3. Verotulot'!S24/'Veroposentin tuotto'!F24</f>
        <v>69982.444444444438</v>
      </c>
      <c r="AM24" s="41">
        <f>'3. Verotulot'!X24/'Veroposentin tuotto'!G24</f>
        <v>70682.611111111109</v>
      </c>
      <c r="AN24" s="41">
        <f>'3. Verotulot'!AC24/'Veroposentin tuotto'!H24</f>
        <v>75379.111111111109</v>
      </c>
      <c r="AO24" s="41">
        <f>'3. Verotulot'!AH24/'Veroposentin tuotto'!I24</f>
        <v>76388.228293888897</v>
      </c>
      <c r="AP24" s="41">
        <f>'3. Verotulot'!AM24/'Veroposentin tuotto'!J24</f>
        <v>82483.644427222229</v>
      </c>
      <c r="AQ24" s="41">
        <f>'3. Verotulot'!AR24/'Veroposentin tuotto'!K24</f>
        <v>114896.8873376866</v>
      </c>
      <c r="AR24" s="41">
        <f>'3. Verotulot'!AW24/'Veroposentin tuotto'!L24</f>
        <v>99916.871148113933</v>
      </c>
      <c r="AS24" s="41">
        <f>'3. Verotulot'!BB24/'Veroposentin tuotto'!M24</f>
        <v>103731.68997836715</v>
      </c>
      <c r="AT24" s="41">
        <f>'3. Verotulot'!BG24/'Veroposentin tuotto'!N24</f>
        <v>108129.83056439263</v>
      </c>
      <c r="AU24" s="41">
        <f>'3. Verotulot'!BL24/'Veroposentin tuotto'!O24</f>
        <v>112218.32688599608</v>
      </c>
      <c r="AV24" s="41">
        <f>'3. Verotulot'!BQ24/'Veroposentin tuotto'!P24</f>
        <v>116714.55654890164</v>
      </c>
      <c r="AX24" s="146"/>
      <c r="AZ24" s="34">
        <v>49</v>
      </c>
      <c r="BA24" s="88" t="s">
        <v>337</v>
      </c>
      <c r="BB24" s="41">
        <f>AI24/'1. Väestöennuste'!E24*1000</f>
        <v>239.15488120506478</v>
      </c>
      <c r="BC24" s="41">
        <f>AJ24/'1. Väestöennuste'!F24*1000</f>
        <v>248.08386211495653</v>
      </c>
      <c r="BD24" s="41">
        <f>AK24/'1. Väestöennuste'!G24*1000</f>
        <v>246.26960463423532</v>
      </c>
      <c r="BE24" s="41">
        <f>AL24/'1. Väestöennuste'!H24*1000</f>
        <v>246.73677315833348</v>
      </c>
      <c r="BF24" s="41">
        <f>AM24/'1. Väestöennuste'!I24*1000</f>
        <v>243.95943516955765</v>
      </c>
      <c r="BG24" s="41">
        <f>AN24/'1. Väestöennuste'!J24*1000</f>
        <v>257.44583638817164</v>
      </c>
      <c r="BH24" s="41">
        <f>AO24/'1. Väestöennuste'!K24*1000</f>
        <v>257.08516179303774</v>
      </c>
      <c r="BI24" s="41">
        <f>AP24/'1. Väestöennuste'!L24*1000</f>
        <v>270.1954454923191</v>
      </c>
      <c r="BJ24" s="41">
        <f>AQ24/'1. Väestöennuste'!M24*1000</f>
        <v>365.88568815659499</v>
      </c>
      <c r="BK24" s="41">
        <f>AR24/'1. Väestöennuste'!N24*1000</f>
        <v>321.4466554542247</v>
      </c>
      <c r="BL24" s="41">
        <f>AS24/'1. Väestöennuste'!O24*1000</f>
        <v>329.57165589621872</v>
      </c>
      <c r="BM24" s="41">
        <f>AT24/'1. Väestöennuste'!P24*1000</f>
        <v>339.53122625944405</v>
      </c>
      <c r="BN24" s="41">
        <f>AU24/'1. Väestöennuste'!Q24*1000</f>
        <v>348.49438023780726</v>
      </c>
      <c r="BO24" s="41">
        <f>AV24/'1. Väestöennuste'!R24*1000</f>
        <v>358.70671638013141</v>
      </c>
    </row>
    <row r="25" spans="1:67" ht="12.95" customHeight="1" x14ac:dyDescent="0.25">
      <c r="A25" s="30">
        <v>50</v>
      </c>
      <c r="B25" s="47" t="s">
        <v>338</v>
      </c>
      <c r="C25" s="47">
        <v>20.5</v>
      </c>
      <c r="D25" s="47">
        <v>20.5</v>
      </c>
      <c r="E25" s="47">
        <v>20.5</v>
      </c>
      <c r="F25" s="47">
        <v>20.5</v>
      </c>
      <c r="G25" s="47">
        <v>20.5</v>
      </c>
      <c r="H25" s="58">
        <v>21</v>
      </c>
      <c r="I25" s="139">
        <v>21</v>
      </c>
      <c r="J25" s="139">
        <v>21</v>
      </c>
      <c r="K25" s="139">
        <f t="shared" si="2"/>
        <v>8.36</v>
      </c>
      <c r="L25" s="139">
        <v>9</v>
      </c>
      <c r="M25" s="139">
        <f t="shared" si="3"/>
        <v>9</v>
      </c>
      <c r="N25" s="147">
        <f t="shared" si="3"/>
        <v>9</v>
      </c>
      <c r="O25" s="147">
        <f t="shared" si="3"/>
        <v>9</v>
      </c>
      <c r="P25" s="147">
        <f t="shared" si="3"/>
        <v>9</v>
      </c>
      <c r="Q25" s="147"/>
      <c r="S25" s="41">
        <f>'3. Verotulot'!D25*100/'Veroposentin tuotto'!C25</f>
        <v>197571.48770731708</v>
      </c>
      <c r="T25" s="41">
        <f>'3. Verotulot'!I25*100/'Veroposentin tuotto'!D25</f>
        <v>187029.26829268291</v>
      </c>
      <c r="U25" s="41">
        <f>'3. Verotulot'!N25*100/'Veroposentin tuotto'!E25</f>
        <v>190326.82926829267</v>
      </c>
      <c r="V25" s="41">
        <f>'3. Verotulot'!S25*100/'Veroposentin tuotto'!F25</f>
        <v>187673.17073170733</v>
      </c>
      <c r="W25" s="41">
        <f>'3. Verotulot'!X25*100/'Veroposentin tuotto'!G25</f>
        <v>185541.46341463414</v>
      </c>
      <c r="X25" s="41">
        <f>'3. Verotulot'!AC25*100/'Veroposentin tuotto'!H25</f>
        <v>193019.04761904763</v>
      </c>
      <c r="Y25" s="41">
        <f>'3. Verotulot'!AH25*100/'Veroposentin tuotto'!I25</f>
        <v>197804.4911904762</v>
      </c>
      <c r="Z25" s="41">
        <f>'3. Verotulot'!AM25*100/'Veroposentin tuotto'!J25</f>
        <v>196136.11966666667</v>
      </c>
      <c r="AA25" s="41">
        <f>'3. Verotulot'!AR25*100/'Veroposentin tuotto'!K25</f>
        <v>241833.28409090909</v>
      </c>
      <c r="AB25" s="41">
        <f>'3. Verotulot'!AW25*100/'Veroposentin tuotto'!L25</f>
        <v>230366.29966357083</v>
      </c>
      <c r="AC25" s="41">
        <f>'3. Verotulot'!BB25*100/'Veroposentin tuotto'!M25</f>
        <v>242411.21173072193</v>
      </c>
      <c r="AD25" s="41">
        <f>'3. Verotulot'!BG25*100/'Veroposentin tuotto'!N25</f>
        <v>251101.88288812697</v>
      </c>
      <c r="AE25" s="41">
        <f>'3. Verotulot'!BL25*100/'Veroposentin tuotto'!O25</f>
        <v>257549.07644905295</v>
      </c>
      <c r="AF25" s="41">
        <f>'3. Verotulot'!BQ25*100/'Veroposentin tuotto'!P25</f>
        <v>265203.05053594208</v>
      </c>
      <c r="AI25" s="41">
        <f>'3. Verotulot'!D25/'Veroposentin tuotto'!C25</f>
        <v>1975.7148770731708</v>
      </c>
      <c r="AJ25" s="41">
        <f>'3. Verotulot'!I25/'Veroposentin tuotto'!D25</f>
        <v>1870.2926829268292</v>
      </c>
      <c r="AK25" s="41">
        <f>'3. Verotulot'!N25/'Veroposentin tuotto'!E25</f>
        <v>1903.2682926829268</v>
      </c>
      <c r="AL25" s="41">
        <f>'3. Verotulot'!S25/'Veroposentin tuotto'!F25</f>
        <v>1876.7317073170732</v>
      </c>
      <c r="AM25" s="41">
        <f>'3. Verotulot'!X25/'Veroposentin tuotto'!G25</f>
        <v>1855.4146341463415</v>
      </c>
      <c r="AN25" s="41">
        <f>'3. Verotulot'!AC25/'Veroposentin tuotto'!H25</f>
        <v>1930.1904761904761</v>
      </c>
      <c r="AO25" s="41">
        <f>'3. Verotulot'!AH25/'Veroposentin tuotto'!I25</f>
        <v>1978.0449119047619</v>
      </c>
      <c r="AP25" s="41">
        <f>'3. Verotulot'!AM25/'Veroposentin tuotto'!J25</f>
        <v>1961.3611966666667</v>
      </c>
      <c r="AQ25" s="41">
        <f>'3. Verotulot'!AR25/'Veroposentin tuotto'!K25</f>
        <v>2418.3328409090909</v>
      </c>
      <c r="AR25" s="41">
        <f>'3. Verotulot'!AW25/'Veroposentin tuotto'!L25</f>
        <v>2303.6629966357082</v>
      </c>
      <c r="AS25" s="41">
        <f>'3. Verotulot'!BB25/'Veroposentin tuotto'!M25</f>
        <v>2424.1121173072193</v>
      </c>
      <c r="AT25" s="41">
        <f>'3. Verotulot'!BG25/'Veroposentin tuotto'!N25</f>
        <v>2511.0188288812697</v>
      </c>
      <c r="AU25" s="41">
        <f>'3. Verotulot'!BL25/'Veroposentin tuotto'!O25</f>
        <v>2575.4907644905293</v>
      </c>
      <c r="AV25" s="41">
        <f>'3. Verotulot'!BQ25/'Veroposentin tuotto'!P25</f>
        <v>2652.0305053594207</v>
      </c>
      <c r="AX25" s="146"/>
      <c r="AZ25" s="34">
        <v>50</v>
      </c>
      <c r="BA25" s="88" t="s">
        <v>338</v>
      </c>
      <c r="BB25" s="41">
        <f>AI25/'1. Väestöennuste'!E25*1000</f>
        <v>162.90525041830233</v>
      </c>
      <c r="BC25" s="41">
        <f>AJ25/'1. Väestöennuste'!F25*1000</f>
        <v>155.80578831446428</v>
      </c>
      <c r="BD25" s="41">
        <f>AK25/'1. Väestöennuste'!G25*1000</f>
        <v>159.80422272736581</v>
      </c>
      <c r="BE25" s="41">
        <f>AL25/'1. Väestöennuste'!H25*1000</f>
        <v>159.74903875698615</v>
      </c>
      <c r="BF25" s="41">
        <f>AM25/'1. Väestöennuste'!I25*1000</f>
        <v>159.50951118864697</v>
      </c>
      <c r="BG25" s="41">
        <f>AN25/'1. Väestöennuste'!J25*1000</f>
        <v>168.09113264743326</v>
      </c>
      <c r="BH25" s="41">
        <f>AO25/'1. Väestöennuste'!K25*1000</f>
        <v>173.25434982086028</v>
      </c>
      <c r="BI25" s="41">
        <f>AP25/'1. Väestöennuste'!L25*1000</f>
        <v>173.94121999527022</v>
      </c>
      <c r="BJ25" s="41">
        <f>AQ25/'1. Väestöennuste'!M25*1000</f>
        <v>216.23147719144231</v>
      </c>
      <c r="BK25" s="41">
        <f>AR25/'1. Väestöennuste'!N25*1000</f>
        <v>209.78626688240672</v>
      </c>
      <c r="BL25" s="41">
        <f>AS25/'1. Väestöennuste'!O25*1000</f>
        <v>223.11202184143758</v>
      </c>
      <c r="BM25" s="41">
        <f>AT25/'1. Väestöennuste'!P25*1000</f>
        <v>233.49626454168398</v>
      </c>
      <c r="BN25" s="41">
        <f>AU25/'1. Väestöennuste'!Q25*1000</f>
        <v>241.83011873150508</v>
      </c>
      <c r="BO25" s="41">
        <f>AV25/'1. Väestöennuste'!R25*1000</f>
        <v>251.40112857706137</v>
      </c>
    </row>
    <row r="26" spans="1:67" x14ac:dyDescent="0.25">
      <c r="A26" s="30">
        <v>51</v>
      </c>
      <c r="B26" s="47" t="s">
        <v>339</v>
      </c>
      <c r="C26" s="47">
        <v>18</v>
      </c>
      <c r="D26" s="47">
        <v>18</v>
      </c>
      <c r="E26" s="47">
        <v>18</v>
      </c>
      <c r="F26" s="47">
        <v>18</v>
      </c>
      <c r="G26" s="47">
        <v>18</v>
      </c>
      <c r="H26" s="58">
        <v>18</v>
      </c>
      <c r="I26" s="139">
        <v>18</v>
      </c>
      <c r="J26" s="139">
        <v>18</v>
      </c>
      <c r="K26" s="139">
        <f t="shared" si="2"/>
        <v>5.3599999999999994</v>
      </c>
      <c r="L26" s="139">
        <v>5.4</v>
      </c>
      <c r="M26" s="139">
        <f t="shared" si="3"/>
        <v>5.4</v>
      </c>
      <c r="N26" s="147">
        <f t="shared" si="3"/>
        <v>5.4</v>
      </c>
      <c r="O26" s="147">
        <f t="shared" si="3"/>
        <v>5.4</v>
      </c>
      <c r="P26" s="147">
        <f t="shared" si="3"/>
        <v>5.4</v>
      </c>
      <c r="Q26" s="147"/>
      <c r="S26" s="41">
        <f>'3. Verotulot'!D26*100/'Veroposentin tuotto'!C26</f>
        <v>90758.580444444451</v>
      </c>
      <c r="T26" s="41">
        <f>'3. Verotulot'!I26*100/'Veroposentin tuotto'!D26</f>
        <v>102716.66666666667</v>
      </c>
      <c r="U26" s="41">
        <f>'3. Verotulot'!N26*100/'Veroposentin tuotto'!E26</f>
        <v>169788.88888888888</v>
      </c>
      <c r="V26" s="41">
        <f>'3. Verotulot'!S26*100/'Veroposentin tuotto'!F26</f>
        <v>160633.33333333334</v>
      </c>
      <c r="W26" s="41">
        <f>'3. Verotulot'!X26*100/'Veroposentin tuotto'!G26</f>
        <v>160844.44444444444</v>
      </c>
      <c r="X26" s="41">
        <f>'3. Verotulot'!AC26*100/'Veroposentin tuotto'!H26</f>
        <v>159866.66666666666</v>
      </c>
      <c r="Y26" s="41">
        <f>'3. Verotulot'!AH26*100/'Veroposentin tuotto'!I26</f>
        <v>171715.24016666666</v>
      </c>
      <c r="Z26" s="41">
        <f>'3. Verotulot'!AM26*100/'Veroposentin tuotto'!J26</f>
        <v>178954.32622222221</v>
      </c>
      <c r="AA26" s="41">
        <f>'3. Verotulot'!AR26*100/'Veroposentin tuotto'!K26</f>
        <v>222674.09608208959</v>
      </c>
      <c r="AB26" s="41">
        <f>'3. Verotulot'!AW26*100/'Veroposentin tuotto'!L26</f>
        <v>210333.63807038791</v>
      </c>
      <c r="AC26" s="41">
        <f>'3. Verotulot'!BB26*100/'Veroposentin tuotto'!M26</f>
        <v>225036.24605851396</v>
      </c>
      <c r="AD26" s="41">
        <f>'3. Verotulot'!BG26*100/'Veroposentin tuotto'!N26</f>
        <v>235350.5824927497</v>
      </c>
      <c r="AE26" s="41">
        <f>'3. Verotulot'!BL26*100/'Veroposentin tuotto'!O26</f>
        <v>243813.56216346318</v>
      </c>
      <c r="AF26" s="41">
        <f>'3. Verotulot'!BQ26*100/'Veroposentin tuotto'!P26</f>
        <v>253287.99649384027</v>
      </c>
      <c r="AI26" s="41">
        <f>'3. Verotulot'!D26/'Veroposentin tuotto'!C26</f>
        <v>907.58580444444442</v>
      </c>
      <c r="AJ26" s="41">
        <f>'3. Verotulot'!I26/'Veroposentin tuotto'!D26</f>
        <v>1027.1666666666667</v>
      </c>
      <c r="AK26" s="41">
        <f>'3. Verotulot'!N26/'Veroposentin tuotto'!E26</f>
        <v>1697.8888888888889</v>
      </c>
      <c r="AL26" s="41">
        <f>'3. Verotulot'!S26/'Veroposentin tuotto'!F26</f>
        <v>1606.3333333333333</v>
      </c>
      <c r="AM26" s="41">
        <f>'3. Verotulot'!X26/'Veroposentin tuotto'!G26</f>
        <v>1608.4444444444443</v>
      </c>
      <c r="AN26" s="41">
        <f>'3. Verotulot'!AC26/'Veroposentin tuotto'!H26</f>
        <v>1598.6666666666667</v>
      </c>
      <c r="AO26" s="41">
        <f>'3. Verotulot'!AH26/'Veroposentin tuotto'!I26</f>
        <v>1717.1524016666667</v>
      </c>
      <c r="AP26" s="41">
        <f>'3. Verotulot'!AM26/'Veroposentin tuotto'!J26</f>
        <v>1789.5432622222222</v>
      </c>
      <c r="AQ26" s="41">
        <f>'3. Verotulot'!AR26/'Veroposentin tuotto'!K26</f>
        <v>2226.7409608208959</v>
      </c>
      <c r="AR26" s="41">
        <f>'3. Verotulot'!AW26/'Veroposentin tuotto'!L26</f>
        <v>2103.3363807038791</v>
      </c>
      <c r="AS26" s="41">
        <f>'3. Verotulot'!BB26/'Veroposentin tuotto'!M26</f>
        <v>2250.3624605851396</v>
      </c>
      <c r="AT26" s="41">
        <f>'3. Verotulot'!BG26/'Veroposentin tuotto'!N26</f>
        <v>2353.5058249274971</v>
      </c>
      <c r="AU26" s="41">
        <f>'3. Verotulot'!BL26/'Veroposentin tuotto'!O26</f>
        <v>2438.1356216346317</v>
      </c>
      <c r="AV26" s="41">
        <f>'3. Verotulot'!BQ26/'Veroposentin tuotto'!P26</f>
        <v>2532.8799649384027</v>
      </c>
      <c r="AX26" s="146"/>
      <c r="AZ26" s="34">
        <v>51</v>
      </c>
      <c r="BA26" s="88" t="s">
        <v>339</v>
      </c>
      <c r="BB26" s="41">
        <f>AI26/'1. Väestöennuste'!E26*1000</f>
        <v>97.726478350860816</v>
      </c>
      <c r="BC26" s="41">
        <f>AJ26/'1. Väestöennuste'!F26*1000</f>
        <v>109.064203298648</v>
      </c>
      <c r="BD26" s="41">
        <f>AK26/'1. Väestöennuste'!G26*1000</f>
        <v>178.33094096091682</v>
      </c>
      <c r="BE26" s="41">
        <f>AL26/'1. Väestöennuste'!H26*1000</f>
        <v>169.91044355123049</v>
      </c>
      <c r="BF26" s="41">
        <f>AM26/'1. Väestöennuste'!I26*1000</f>
        <v>171.07471223616724</v>
      </c>
      <c r="BG26" s="41">
        <f>AN26/'1. Väestöennuste'!J26*1000</f>
        <v>169.13528001128512</v>
      </c>
      <c r="BH26" s="41">
        <f>AO26/'1. Väestöennuste'!K26*1000</f>
        <v>183.96747393043356</v>
      </c>
      <c r="BI26" s="41">
        <f>AP26/'1. Väestöennuste'!L26*1000</f>
        <v>194.28327675846512</v>
      </c>
      <c r="BJ26" s="41">
        <f>AQ26/'1. Väestöennuste'!M26*1000</f>
        <v>243.54598718373575</v>
      </c>
      <c r="BK26" s="41">
        <f>AR26/'1. Väestöennuste'!N26*1000</f>
        <v>219.99125412654317</v>
      </c>
      <c r="BL26" s="41">
        <f>AS26/'1. Väestöennuste'!O26*1000</f>
        <v>235.19674546249371</v>
      </c>
      <c r="BM26" s="41">
        <f>AT26/'1. Väestöennuste'!P26*1000</f>
        <v>246.05392837715601</v>
      </c>
      <c r="BN26" s="41">
        <f>AU26/'1. Väestöennuste'!Q26*1000</f>
        <v>255.06178696878666</v>
      </c>
      <c r="BO26" s="41">
        <f>AV26/'1. Väestöennuste'!R26*1000</f>
        <v>265.27858870322609</v>
      </c>
    </row>
    <row r="27" spans="1:67" x14ac:dyDescent="0.25">
      <c r="A27" s="30">
        <v>52</v>
      </c>
      <c r="B27" s="47" t="s">
        <v>340</v>
      </c>
      <c r="C27" s="47">
        <v>21.5</v>
      </c>
      <c r="D27" s="47">
        <v>21.5</v>
      </c>
      <c r="E27" s="47">
        <v>21.5</v>
      </c>
      <c r="F27" s="47">
        <v>21.5</v>
      </c>
      <c r="G27" s="47">
        <v>21.5</v>
      </c>
      <c r="H27" s="58">
        <v>21.5</v>
      </c>
      <c r="I27" s="139">
        <v>22.5</v>
      </c>
      <c r="J27" s="139">
        <v>22.5</v>
      </c>
      <c r="K27" s="139">
        <f t="shared" si="2"/>
        <v>9.86</v>
      </c>
      <c r="L27" s="139">
        <v>9.8000000000000007</v>
      </c>
      <c r="M27" s="139">
        <f t="shared" si="3"/>
        <v>9.8000000000000007</v>
      </c>
      <c r="N27" s="147">
        <f t="shared" si="3"/>
        <v>9.8000000000000007</v>
      </c>
      <c r="O27" s="147">
        <f t="shared" si="3"/>
        <v>9.8000000000000007</v>
      </c>
      <c r="P27" s="147">
        <f t="shared" si="3"/>
        <v>9.8000000000000007</v>
      </c>
      <c r="Q27" s="147"/>
      <c r="S27" s="41">
        <f>'3. Verotulot'!D27*100/'Veroposentin tuotto'!C27</f>
        <v>32780.829255813951</v>
      </c>
      <c r="T27" s="41">
        <f>'3. Verotulot'!I27*100/'Veroposentin tuotto'!D27</f>
        <v>32376.744186046511</v>
      </c>
      <c r="U27" s="41">
        <f>'3. Verotulot'!N27*100/'Veroposentin tuotto'!E27</f>
        <v>31041.860465116279</v>
      </c>
      <c r="V27" s="41">
        <f>'3. Verotulot'!S27*100/'Veroposentin tuotto'!F27</f>
        <v>30632.558139534885</v>
      </c>
      <c r="W27" s="41">
        <f>'3. Verotulot'!X27*100/'Veroposentin tuotto'!G27</f>
        <v>31158.139534883721</v>
      </c>
      <c r="X27" s="41">
        <f>'3. Verotulot'!AC27*100/'Veroposentin tuotto'!H27</f>
        <v>31316.279069767443</v>
      </c>
      <c r="Y27" s="41">
        <f>'3. Verotulot'!AH27*100/'Veroposentin tuotto'!I27</f>
        <v>31638.229511111109</v>
      </c>
      <c r="Z27" s="41">
        <f>'3. Verotulot'!AM27*100/'Veroposentin tuotto'!J27</f>
        <v>32561.694355555563</v>
      </c>
      <c r="AA27" s="41">
        <f>'3. Verotulot'!AR27*100/'Veroposentin tuotto'!K27</f>
        <v>37432.054056795132</v>
      </c>
      <c r="AB27" s="41">
        <f>'3. Verotulot'!AW27*100/'Veroposentin tuotto'!L27</f>
        <v>37785.738353157867</v>
      </c>
      <c r="AC27" s="41">
        <f>'3. Verotulot'!BB27*100/'Veroposentin tuotto'!M27</f>
        <v>40157.88867085411</v>
      </c>
      <c r="AD27" s="41">
        <f>'3. Verotulot'!BG27*100/'Veroposentin tuotto'!N27</f>
        <v>41898.240321950485</v>
      </c>
      <c r="AE27" s="41">
        <f>'3. Verotulot'!BL27*100/'Veroposentin tuotto'!O27</f>
        <v>43059.63345198828</v>
      </c>
      <c r="AF27" s="41">
        <f>'3. Verotulot'!BQ27*100/'Veroposentin tuotto'!P27</f>
        <v>44426.019740876465</v>
      </c>
      <c r="AI27" s="41">
        <f>'3. Verotulot'!D27/'Veroposentin tuotto'!C27</f>
        <v>327.8082925581395</v>
      </c>
      <c r="AJ27" s="41">
        <f>'3. Verotulot'!I27/'Veroposentin tuotto'!D27</f>
        <v>323.76744186046511</v>
      </c>
      <c r="AK27" s="41">
        <f>'3. Verotulot'!N27/'Veroposentin tuotto'!E27</f>
        <v>310.41860465116281</v>
      </c>
      <c r="AL27" s="41">
        <f>'3. Verotulot'!S27/'Veroposentin tuotto'!F27</f>
        <v>306.32558139534882</v>
      </c>
      <c r="AM27" s="41">
        <f>'3. Verotulot'!X27/'Veroposentin tuotto'!G27</f>
        <v>311.58139534883719</v>
      </c>
      <c r="AN27" s="41">
        <f>'3. Verotulot'!AC27/'Veroposentin tuotto'!H27</f>
        <v>313.16279069767444</v>
      </c>
      <c r="AO27" s="41">
        <f>'3. Verotulot'!AH27/'Veroposentin tuotto'!I27</f>
        <v>316.38229511111109</v>
      </c>
      <c r="AP27" s="41">
        <f>'3. Verotulot'!AM27/'Veroposentin tuotto'!J27</f>
        <v>325.61694355555562</v>
      </c>
      <c r="AQ27" s="41">
        <f>'3. Verotulot'!AR27/'Veroposentin tuotto'!K27</f>
        <v>374.32054056795135</v>
      </c>
      <c r="AR27" s="41">
        <f>'3. Verotulot'!AW27/'Veroposentin tuotto'!L27</f>
        <v>377.85738353157865</v>
      </c>
      <c r="AS27" s="41">
        <f>'3. Verotulot'!BB27/'Veroposentin tuotto'!M27</f>
        <v>401.57888670854112</v>
      </c>
      <c r="AT27" s="41">
        <f>'3. Verotulot'!BG27/'Veroposentin tuotto'!N27</f>
        <v>418.98240321950482</v>
      </c>
      <c r="AU27" s="41">
        <f>'3. Verotulot'!BL27/'Veroposentin tuotto'!O27</f>
        <v>430.59633451988282</v>
      </c>
      <c r="AV27" s="41">
        <f>'3. Verotulot'!BQ27/'Veroposentin tuotto'!P27</f>
        <v>444.26019740876467</v>
      </c>
      <c r="AX27" s="146"/>
      <c r="AZ27" s="34">
        <v>52</v>
      </c>
      <c r="BA27" s="88" t="s">
        <v>340</v>
      </c>
      <c r="BB27" s="41">
        <f>AI27/'1. Väestöennuste'!E27*1000</f>
        <v>127.25477195579948</v>
      </c>
      <c r="BC27" s="41">
        <f>AJ27/'1. Väestöennuste'!F27*1000</f>
        <v>127.71891197651483</v>
      </c>
      <c r="BD27" s="41">
        <f>AK27/'1. Väestöennuste'!G27*1000</f>
        <v>124.2171287119499</v>
      </c>
      <c r="BE27" s="41">
        <f>AL27/'1. Väestöennuste'!H27*1000</f>
        <v>123.8680070341079</v>
      </c>
      <c r="BF27" s="41">
        <f>AM27/'1. Väestöennuste'!I27*1000</f>
        <v>128.48717333972667</v>
      </c>
      <c r="BG27" s="41">
        <f>AN27/'1. Väestöennuste'!J27*1000</f>
        <v>130.05099281464885</v>
      </c>
      <c r="BH27" s="41">
        <f>AO27/'1. Väestöennuste'!K27*1000</f>
        <v>131.60661194305786</v>
      </c>
      <c r="BI27" s="41">
        <f>AP27/'1. Väestöennuste'!L27*1000</f>
        <v>138.7966511319504</v>
      </c>
      <c r="BJ27" s="41">
        <f>AQ27/'1. Väestöennuste'!M27*1000</f>
        <v>163.31611717624406</v>
      </c>
      <c r="BK27" s="41">
        <f>AR27/'1. Väestöennuste'!N27*1000</f>
        <v>164.71551156564021</v>
      </c>
      <c r="BL27" s="41">
        <f>AS27/'1. Väestöennuste'!O27*1000</f>
        <v>176.98496549517017</v>
      </c>
      <c r="BM27" s="41">
        <f>AT27/'1. Väestöennuste'!P27*1000</f>
        <v>186.71230089995757</v>
      </c>
      <c r="BN27" s="41">
        <f>AU27/'1. Väestöennuste'!Q27*1000</f>
        <v>194.0497226317633</v>
      </c>
      <c r="BO27" s="41">
        <f>AV27/'1. Väestöennuste'!R27*1000</f>
        <v>202.39644528873106</v>
      </c>
    </row>
    <row r="28" spans="1:67" x14ac:dyDescent="0.25">
      <c r="A28" s="30">
        <v>61</v>
      </c>
      <c r="B28" s="47" t="s">
        <v>341</v>
      </c>
      <c r="C28" s="47">
        <v>20</v>
      </c>
      <c r="D28" s="47">
        <v>20</v>
      </c>
      <c r="E28" s="47">
        <v>20.5</v>
      </c>
      <c r="F28" s="47">
        <v>20.5</v>
      </c>
      <c r="G28" s="47">
        <v>20.5</v>
      </c>
      <c r="H28" s="58">
        <v>20.5</v>
      </c>
      <c r="I28" s="139">
        <v>20.5</v>
      </c>
      <c r="J28" s="139">
        <v>20.5</v>
      </c>
      <c r="K28" s="139">
        <f t="shared" si="2"/>
        <v>7.8599999999999994</v>
      </c>
      <c r="L28" s="139">
        <v>8.1999999999999993</v>
      </c>
      <c r="M28" s="139">
        <f t="shared" si="3"/>
        <v>8.1999999999999993</v>
      </c>
      <c r="N28" s="147">
        <f t="shared" si="3"/>
        <v>8.1999999999999993</v>
      </c>
      <c r="O28" s="147">
        <f t="shared" si="3"/>
        <v>8.1999999999999993</v>
      </c>
      <c r="P28" s="147">
        <f t="shared" si="3"/>
        <v>8.1999999999999993</v>
      </c>
      <c r="Q28" s="147"/>
      <c r="S28" s="41">
        <f>'3. Verotulot'!D28*100/'Veroposentin tuotto'!C28</f>
        <v>259313.35304999998</v>
      </c>
      <c r="T28" s="41">
        <f>'3. Verotulot'!I28*100/'Veroposentin tuotto'!D28</f>
        <v>259430</v>
      </c>
      <c r="U28" s="41">
        <f>'3. Verotulot'!N28*100/'Veroposentin tuotto'!E28</f>
        <v>253131.70731707316</v>
      </c>
      <c r="V28" s="41">
        <f>'3. Verotulot'!S28*100/'Veroposentin tuotto'!F28</f>
        <v>250102.43902439025</v>
      </c>
      <c r="W28" s="41">
        <f>'3. Verotulot'!X28*100/'Veroposentin tuotto'!G28</f>
        <v>252302.43902439025</v>
      </c>
      <c r="X28" s="41">
        <f>'3. Verotulot'!AC28*100/'Veroposentin tuotto'!H28</f>
        <v>257868.29268292684</v>
      </c>
      <c r="Y28" s="41">
        <f>'3. Verotulot'!AH28*100/'Veroposentin tuotto'!I28</f>
        <v>262158.71858536586</v>
      </c>
      <c r="Z28" s="41">
        <f>'3. Verotulot'!AM28*100/'Veroposentin tuotto'!J28</f>
        <v>268708.95804878045</v>
      </c>
      <c r="AA28" s="41">
        <f>'3. Verotulot'!AR28*100/'Veroposentin tuotto'!K28</f>
        <v>332615.26972010179</v>
      </c>
      <c r="AB28" s="41">
        <f>'3. Verotulot'!AW28*100/'Veroposentin tuotto'!L28</f>
        <v>317858.27037389623</v>
      </c>
      <c r="AC28" s="41">
        <f>'3. Verotulot'!BB28*100/'Veroposentin tuotto'!M28</f>
        <v>333835.00862861902</v>
      </c>
      <c r="AD28" s="41">
        <f>'3. Verotulot'!BG28*100/'Veroposentin tuotto'!N28</f>
        <v>346634.97367215063</v>
      </c>
      <c r="AE28" s="41">
        <f>'3. Verotulot'!BL28*100/'Veroposentin tuotto'!O28</f>
        <v>357879.9267362649</v>
      </c>
      <c r="AF28" s="41">
        <f>'3. Verotulot'!BQ28*100/'Veroposentin tuotto'!P28</f>
        <v>370655.57693843247</v>
      </c>
      <c r="AI28" s="41">
        <f>'3. Verotulot'!D28/'Veroposentin tuotto'!C28</f>
        <v>2593.1335305000002</v>
      </c>
      <c r="AJ28" s="41">
        <f>'3. Verotulot'!I28/'Veroposentin tuotto'!D28</f>
        <v>2594.3000000000002</v>
      </c>
      <c r="AK28" s="41">
        <f>'3. Verotulot'!N28/'Veroposentin tuotto'!E28</f>
        <v>2531.3170731707319</v>
      </c>
      <c r="AL28" s="41">
        <f>'3. Verotulot'!S28/'Veroposentin tuotto'!F28</f>
        <v>2501.0243902439024</v>
      </c>
      <c r="AM28" s="41">
        <f>'3. Verotulot'!X28/'Veroposentin tuotto'!G28</f>
        <v>2523.0243902439024</v>
      </c>
      <c r="AN28" s="41">
        <f>'3. Verotulot'!AC28/'Veroposentin tuotto'!H28</f>
        <v>2578.6829268292681</v>
      </c>
      <c r="AO28" s="41">
        <f>'3. Verotulot'!AH28/'Veroposentin tuotto'!I28</f>
        <v>2621.5871858536584</v>
      </c>
      <c r="AP28" s="41">
        <f>'3. Verotulot'!AM28/'Veroposentin tuotto'!J28</f>
        <v>2687.0895804878051</v>
      </c>
      <c r="AQ28" s="41">
        <f>'3. Verotulot'!AR28/'Veroposentin tuotto'!K28</f>
        <v>3326.1526972010179</v>
      </c>
      <c r="AR28" s="41">
        <f>'3. Verotulot'!AW28/'Veroposentin tuotto'!L28</f>
        <v>3178.5827037389627</v>
      </c>
      <c r="AS28" s="41">
        <f>'3. Verotulot'!BB28/'Veroposentin tuotto'!M28</f>
        <v>3338.3500862861902</v>
      </c>
      <c r="AT28" s="41">
        <f>'3. Verotulot'!BG28/'Veroposentin tuotto'!N28</f>
        <v>3466.3497367215059</v>
      </c>
      <c r="AU28" s="41">
        <f>'3. Verotulot'!BL28/'Veroposentin tuotto'!O28</f>
        <v>3578.7992673626491</v>
      </c>
      <c r="AV28" s="41">
        <f>'3. Verotulot'!BQ28/'Veroposentin tuotto'!P28</f>
        <v>3706.5557693843248</v>
      </c>
      <c r="AX28" s="146"/>
      <c r="AZ28" s="34">
        <v>61</v>
      </c>
      <c r="BA28" s="88" t="s">
        <v>341</v>
      </c>
      <c r="BB28" s="41">
        <f>AI28/'1. Väestöennuste'!E28*1000</f>
        <v>148.84247104236024</v>
      </c>
      <c r="BC28" s="41">
        <f>AJ28/'1. Väestöennuste'!F28*1000</f>
        <v>149.68266789753059</v>
      </c>
      <c r="BD28" s="41">
        <f>AK28/'1. Väestöennuste'!G28*1000</f>
        <v>147.29805488337109</v>
      </c>
      <c r="BE28" s="41">
        <f>AL28/'1. Väestöennuste'!H28*1000</f>
        <v>146.87716644608307</v>
      </c>
      <c r="BF28" s="41">
        <f>AM28/'1. Väestöennuste'!I28*1000</f>
        <v>149.28255075107404</v>
      </c>
      <c r="BG28" s="41">
        <f>AN28/'1. Väestöennuste'!J28*1000</f>
        <v>153.49303135888502</v>
      </c>
      <c r="BH28" s="41">
        <f>AO28/'1. Väestöennuste'!K28*1000</f>
        <v>158.18422650417295</v>
      </c>
      <c r="BI28" s="41">
        <f>AP28/'1. Väestöennuste'!L28*1000</f>
        <v>163.25958931209703</v>
      </c>
      <c r="BJ28" s="41">
        <f>AQ28/'1. Väestöennuste'!M28*1000</f>
        <v>201.96446033159376</v>
      </c>
      <c r="BK28" s="41">
        <f>AR28/'1. Väestöennuste'!N28*1000</f>
        <v>195.17270684876351</v>
      </c>
      <c r="BL28" s="41">
        <f>AS28/'1. Väestöennuste'!O28*1000</f>
        <v>206.55550589569299</v>
      </c>
      <c r="BM28" s="41">
        <f>AT28/'1. Väestöennuste'!P28*1000</f>
        <v>216.05271358274157</v>
      </c>
      <c r="BN28" s="41">
        <f>AU28/'1. Väestöennuste'!Q28*1000</f>
        <v>224.75659532516792</v>
      </c>
      <c r="BO28" s="41">
        <f>AV28/'1. Väestöennuste'!R28*1000</f>
        <v>234.54760294781528</v>
      </c>
    </row>
    <row r="29" spans="1:67" x14ac:dyDescent="0.25">
      <c r="A29" s="30">
        <v>69</v>
      </c>
      <c r="B29" s="47" t="s">
        <v>342</v>
      </c>
      <c r="C29" s="47">
        <v>22</v>
      </c>
      <c r="D29" s="47">
        <v>22</v>
      </c>
      <c r="E29" s="47">
        <v>22</v>
      </c>
      <c r="F29" s="47">
        <v>22</v>
      </c>
      <c r="G29" s="47">
        <v>22.5</v>
      </c>
      <c r="H29" s="58">
        <v>22.5</v>
      </c>
      <c r="I29" s="139">
        <v>22.5</v>
      </c>
      <c r="J29" s="139">
        <v>22.5</v>
      </c>
      <c r="K29" s="139">
        <f t="shared" si="2"/>
        <v>9.86</v>
      </c>
      <c r="L29" s="139">
        <v>10.199999999999999</v>
      </c>
      <c r="M29" s="139">
        <f t="shared" si="3"/>
        <v>10.199999999999999</v>
      </c>
      <c r="N29" s="147">
        <f t="shared" si="3"/>
        <v>10.199999999999999</v>
      </c>
      <c r="O29" s="147">
        <f t="shared" si="3"/>
        <v>10.199999999999999</v>
      </c>
      <c r="P29" s="147">
        <f t="shared" si="3"/>
        <v>10.199999999999999</v>
      </c>
      <c r="Q29" s="147"/>
      <c r="S29" s="41">
        <f>'3. Verotulot'!D29*100/'Veroposentin tuotto'!C29</f>
        <v>91158.808954545442</v>
      </c>
      <c r="T29" s="41">
        <f>'3. Verotulot'!I29*100/'Veroposentin tuotto'!D29</f>
        <v>90295.454545454544</v>
      </c>
      <c r="U29" s="41">
        <f>'3. Verotulot'!N29*100/'Veroposentin tuotto'!E29</f>
        <v>87645.454545454544</v>
      </c>
      <c r="V29" s="41">
        <f>'3. Verotulot'!S29*100/'Veroposentin tuotto'!F29</f>
        <v>87990.909090909088</v>
      </c>
      <c r="W29" s="41">
        <f>'3. Verotulot'!X29*100/'Veroposentin tuotto'!G29</f>
        <v>89413.333333333328</v>
      </c>
      <c r="X29" s="41">
        <f>'3. Verotulot'!AC29*100/'Veroposentin tuotto'!H29</f>
        <v>89871.111111111109</v>
      </c>
      <c r="Y29" s="41">
        <f>'3. Verotulot'!AH29*100/'Veroposentin tuotto'!I29</f>
        <v>94922.63937777777</v>
      </c>
      <c r="Z29" s="41">
        <f>'3. Verotulot'!AM29*100/'Veroposentin tuotto'!J29</f>
        <v>99201.073288888874</v>
      </c>
      <c r="AA29" s="41">
        <f>'3. Verotulot'!AR29*100/'Veroposentin tuotto'!K29</f>
        <v>115721.59878296149</v>
      </c>
      <c r="AB29" s="41">
        <f>'3. Verotulot'!AW29*100/'Veroposentin tuotto'!L29</f>
        <v>111986.96328617168</v>
      </c>
      <c r="AC29" s="41">
        <f>'3. Verotulot'!BB29*100/'Veroposentin tuotto'!M29</f>
        <v>117449.4091582468</v>
      </c>
      <c r="AD29" s="41">
        <f>'3. Verotulot'!BG29*100/'Veroposentin tuotto'!N29</f>
        <v>121718.37320274615</v>
      </c>
      <c r="AE29" s="41">
        <f>'3. Verotulot'!BL29*100/'Veroposentin tuotto'!O29</f>
        <v>124363.01105014396</v>
      </c>
      <c r="AF29" s="41">
        <f>'3. Verotulot'!BQ29*100/'Veroposentin tuotto'!P29</f>
        <v>127641.51749125936</v>
      </c>
      <c r="AI29" s="41">
        <f>'3. Verotulot'!D29/'Veroposentin tuotto'!C29</f>
        <v>911.58808954545452</v>
      </c>
      <c r="AJ29" s="41">
        <f>'3. Verotulot'!I29/'Veroposentin tuotto'!D29</f>
        <v>902.9545454545455</v>
      </c>
      <c r="AK29" s="41">
        <f>'3. Verotulot'!N29/'Veroposentin tuotto'!E29</f>
        <v>876.4545454545455</v>
      </c>
      <c r="AL29" s="41">
        <f>'3. Verotulot'!S29/'Veroposentin tuotto'!F29</f>
        <v>879.90909090909088</v>
      </c>
      <c r="AM29" s="41">
        <f>'3. Verotulot'!X29/'Veroposentin tuotto'!G29</f>
        <v>894.13333333333333</v>
      </c>
      <c r="AN29" s="41">
        <f>'3. Verotulot'!AC29/'Veroposentin tuotto'!H29</f>
        <v>898.71111111111111</v>
      </c>
      <c r="AO29" s="41">
        <f>'3. Verotulot'!AH29/'Veroposentin tuotto'!I29</f>
        <v>949.22639377777784</v>
      </c>
      <c r="AP29" s="41">
        <f>'3. Verotulot'!AM29/'Veroposentin tuotto'!J29</f>
        <v>992.0107328888887</v>
      </c>
      <c r="AQ29" s="41">
        <f>'3. Verotulot'!AR29/'Veroposentin tuotto'!K29</f>
        <v>1157.2159878296147</v>
      </c>
      <c r="AR29" s="41">
        <f>'3. Verotulot'!AW29/'Veroposentin tuotto'!L29</f>
        <v>1119.8696328617168</v>
      </c>
      <c r="AS29" s="41">
        <f>'3. Verotulot'!BB29/'Veroposentin tuotto'!M29</f>
        <v>1174.4940915824679</v>
      </c>
      <c r="AT29" s="41">
        <f>'3. Verotulot'!BG29/'Veroposentin tuotto'!N29</f>
        <v>1217.1837320274617</v>
      </c>
      <c r="AU29" s="41">
        <f>'3. Verotulot'!BL29/'Veroposentin tuotto'!O29</f>
        <v>1243.6301105014395</v>
      </c>
      <c r="AV29" s="41">
        <f>'3. Verotulot'!BQ29/'Veroposentin tuotto'!P29</f>
        <v>1276.4151749125938</v>
      </c>
      <c r="AX29" s="146"/>
      <c r="AZ29" s="34">
        <v>69</v>
      </c>
      <c r="BA29" s="88" t="s">
        <v>342</v>
      </c>
      <c r="BB29" s="41">
        <f>AI29/'1. Väestöennuste'!E29*1000</f>
        <v>122.5582266127258</v>
      </c>
      <c r="BC29" s="41">
        <f>AJ29/'1. Väestöennuste'!F29*1000</f>
        <v>123.15255666319497</v>
      </c>
      <c r="BD29" s="41">
        <f>AK29/'1. Väestöennuste'!G29*1000</f>
        <v>120.87360990960495</v>
      </c>
      <c r="BE29" s="41">
        <f>AL29/'1. Väestöennuste'!H29*1000</f>
        <v>123.11586552526806</v>
      </c>
      <c r="BF29" s="41">
        <f>AM29/'1. Väestöennuste'!I29*1000</f>
        <v>127.5511174512601</v>
      </c>
      <c r="BG29" s="41">
        <f>AN29/'1. Väestöennuste'!J29*1000</f>
        <v>130.32353699407065</v>
      </c>
      <c r="BH29" s="41">
        <f>AO29/'1. Väestöennuste'!K29*1000</f>
        <v>139.55107229899704</v>
      </c>
      <c r="BI29" s="41">
        <f>AP29/'1. Väestöennuste'!L29*1000</f>
        <v>148.3491450409584</v>
      </c>
      <c r="BJ29" s="41">
        <f>AQ29/'1. Väestöennuste'!M29*1000</f>
        <v>176.4586745699321</v>
      </c>
      <c r="BK29" s="41">
        <f>AR29/'1. Väestöennuste'!N29*1000</f>
        <v>173.19357142927882</v>
      </c>
      <c r="BL29" s="41">
        <f>AS29/'1. Väestöennuste'!O29*1000</f>
        <v>184.40792770960402</v>
      </c>
      <c r="BM29" s="41">
        <f>AT29/'1. Väestöennuste'!P29*1000</f>
        <v>194.00442015101399</v>
      </c>
      <c r="BN29" s="41">
        <f>AU29/'1. Väestöennuste'!Q29*1000</f>
        <v>201.10448099958595</v>
      </c>
      <c r="BO29" s="41">
        <f>AV29/'1. Väestöennuste'!R29*1000</f>
        <v>209.42004510460933</v>
      </c>
    </row>
    <row r="30" spans="1:67" x14ac:dyDescent="0.25">
      <c r="A30" s="30">
        <v>71</v>
      </c>
      <c r="B30" s="47" t="s">
        <v>343</v>
      </c>
      <c r="C30" s="47">
        <v>21.25</v>
      </c>
      <c r="D30" s="47">
        <v>22</v>
      </c>
      <c r="E30" s="47">
        <v>22</v>
      </c>
      <c r="F30" s="47">
        <v>22</v>
      </c>
      <c r="G30" s="47">
        <v>22</v>
      </c>
      <c r="H30" s="58">
        <v>22</v>
      </c>
      <c r="I30" s="139">
        <v>22</v>
      </c>
      <c r="J30" s="139">
        <v>22</v>
      </c>
      <c r="K30" s="139">
        <f t="shared" si="2"/>
        <v>9.36</v>
      </c>
      <c r="L30" s="139">
        <v>9.4</v>
      </c>
      <c r="M30" s="139">
        <f t="shared" si="3"/>
        <v>9.4</v>
      </c>
      <c r="N30" s="147">
        <f t="shared" si="3"/>
        <v>9.4</v>
      </c>
      <c r="O30" s="147">
        <f t="shared" si="3"/>
        <v>9.4</v>
      </c>
      <c r="P30" s="147">
        <f t="shared" si="3"/>
        <v>9.4</v>
      </c>
      <c r="Q30" s="147"/>
      <c r="S30" s="41">
        <f>'3. Verotulot'!D30*100/'Veroposentin tuotto'!C30</f>
        <v>87460.038070588227</v>
      </c>
      <c r="T30" s="41">
        <f>'3. Verotulot'!I30*100/'Veroposentin tuotto'!D30</f>
        <v>82450</v>
      </c>
      <c r="U30" s="41">
        <f>'3. Verotulot'!N30*100/'Veroposentin tuotto'!E30</f>
        <v>80927.272727272721</v>
      </c>
      <c r="V30" s="41">
        <f>'3. Verotulot'!S30*100/'Veroposentin tuotto'!F30</f>
        <v>78390.909090909088</v>
      </c>
      <c r="W30" s="41">
        <f>'3. Verotulot'!X30*100/'Veroposentin tuotto'!G30</f>
        <v>83381.818181818177</v>
      </c>
      <c r="X30" s="41">
        <f>'3. Verotulot'!AC30*100/'Veroposentin tuotto'!H30</f>
        <v>85745.454545454544</v>
      </c>
      <c r="Y30" s="41">
        <f>'3. Verotulot'!AH30*100/'Veroposentin tuotto'!I30</f>
        <v>86895.015863636349</v>
      </c>
      <c r="Z30" s="41">
        <f>'3. Verotulot'!AM30*100/'Veroposentin tuotto'!J30</f>
        <v>90718.844454545469</v>
      </c>
      <c r="AA30" s="41">
        <f>'3. Verotulot'!AR30*100/'Veroposentin tuotto'!K30</f>
        <v>110288.65897435899</v>
      </c>
      <c r="AB30" s="41">
        <f>'3. Verotulot'!AW30*100/'Veroposentin tuotto'!L30</f>
        <v>105033.15279406692</v>
      </c>
      <c r="AC30" s="41">
        <f>'3. Verotulot'!BB30*100/'Veroposentin tuotto'!M30</f>
        <v>110305.02100386076</v>
      </c>
      <c r="AD30" s="41">
        <f>'3. Verotulot'!BG30*100/'Veroposentin tuotto'!N30</f>
        <v>114380.17171342403</v>
      </c>
      <c r="AE30" s="41">
        <f>'3. Verotulot'!BL30*100/'Veroposentin tuotto'!O30</f>
        <v>117188.42992059438</v>
      </c>
      <c r="AF30" s="41">
        <f>'3. Verotulot'!BQ30*100/'Veroposentin tuotto'!P30</f>
        <v>120516.47446645408</v>
      </c>
      <c r="AI30" s="41">
        <f>'3. Verotulot'!D30/'Veroposentin tuotto'!C30</f>
        <v>874.60038070588234</v>
      </c>
      <c r="AJ30" s="41">
        <f>'3. Verotulot'!I30/'Veroposentin tuotto'!D30</f>
        <v>824.5</v>
      </c>
      <c r="AK30" s="41">
        <f>'3. Verotulot'!N30/'Veroposentin tuotto'!E30</f>
        <v>809.27272727272725</v>
      </c>
      <c r="AL30" s="41">
        <f>'3. Verotulot'!S30/'Veroposentin tuotto'!F30</f>
        <v>783.90909090909088</v>
      </c>
      <c r="AM30" s="41">
        <f>'3. Verotulot'!X30/'Veroposentin tuotto'!G30</f>
        <v>833.81818181818187</v>
      </c>
      <c r="AN30" s="41">
        <f>'3. Verotulot'!AC30/'Veroposentin tuotto'!H30</f>
        <v>857.4545454545455</v>
      </c>
      <c r="AO30" s="41">
        <f>'3. Verotulot'!AH30/'Veroposentin tuotto'!I30</f>
        <v>868.95015863636354</v>
      </c>
      <c r="AP30" s="41">
        <f>'3. Verotulot'!AM30/'Veroposentin tuotto'!J30</f>
        <v>907.18844454545467</v>
      </c>
      <c r="AQ30" s="41">
        <f>'3. Verotulot'!AR30/'Veroposentin tuotto'!K30</f>
        <v>1102.8865897435899</v>
      </c>
      <c r="AR30" s="41">
        <f>'3. Verotulot'!AW30/'Veroposentin tuotto'!L30</f>
        <v>1050.3315279406693</v>
      </c>
      <c r="AS30" s="41">
        <f>'3. Verotulot'!BB30/'Veroposentin tuotto'!M30</f>
        <v>1103.0502100386075</v>
      </c>
      <c r="AT30" s="41">
        <f>'3. Verotulot'!BG30/'Veroposentin tuotto'!N30</f>
        <v>1143.8017171342403</v>
      </c>
      <c r="AU30" s="41">
        <f>'3. Verotulot'!BL30/'Veroposentin tuotto'!O30</f>
        <v>1171.8842992059438</v>
      </c>
      <c r="AV30" s="41">
        <f>'3. Verotulot'!BQ30/'Veroposentin tuotto'!P30</f>
        <v>1205.1647446645409</v>
      </c>
      <c r="AX30" s="146"/>
      <c r="AZ30" s="34">
        <v>71</v>
      </c>
      <c r="BA30" s="88" t="s">
        <v>343</v>
      </c>
      <c r="BB30" s="41">
        <f>AI30/'1. Väestöennuste'!E30*1000</f>
        <v>122.03158653633072</v>
      </c>
      <c r="BC30" s="41">
        <f>AJ30/'1. Väestöennuste'!F30*1000</f>
        <v>116.15948154409693</v>
      </c>
      <c r="BD30" s="41">
        <f>AK30/'1. Väestöennuste'!G30*1000</f>
        <v>116.10799530455198</v>
      </c>
      <c r="BE30" s="41">
        <f>AL30/'1. Väestöennuste'!H30*1000</f>
        <v>114.37249648513144</v>
      </c>
      <c r="BF30" s="41">
        <f>AM30/'1. Väestöennuste'!I30*1000</f>
        <v>123.38238854959779</v>
      </c>
      <c r="BG30" s="41">
        <f>AN30/'1. Väestöennuste'!J30*1000</f>
        <v>128.61175123062029</v>
      </c>
      <c r="BH30" s="41">
        <f>AO30/'1. Väestöennuste'!K30*1000</f>
        <v>131.40029617970112</v>
      </c>
      <c r="BI30" s="41">
        <f>AP30/'1. Väestöennuste'!L30*1000</f>
        <v>137.64048620019037</v>
      </c>
      <c r="BJ30" s="41">
        <f>AQ30/'1. Väestöennuste'!M30*1000</f>
        <v>170.38260308104279</v>
      </c>
      <c r="BK30" s="41">
        <f>AR30/'1. Väestöennuste'!N30*1000</f>
        <v>166.79871811031748</v>
      </c>
      <c r="BL30" s="41">
        <f>AS30/'1. Väestöennuste'!O30*1000</f>
        <v>177.51049405191625</v>
      </c>
      <c r="BM30" s="41">
        <f>AT30/'1. Väestöennuste'!P30*1000</f>
        <v>186.43874769914268</v>
      </c>
      <c r="BN30" s="41">
        <f>AU30/'1. Väestöennuste'!Q30*1000</f>
        <v>193.38024739372008</v>
      </c>
      <c r="BO30" s="41">
        <f>AV30/'1. Väestöennuste'!R30*1000</f>
        <v>201.19611764015707</v>
      </c>
    </row>
    <row r="31" spans="1:67" x14ac:dyDescent="0.25">
      <c r="A31" s="30">
        <v>72</v>
      </c>
      <c r="B31" s="47" t="s">
        <v>344</v>
      </c>
      <c r="C31" s="47">
        <v>20</v>
      </c>
      <c r="D31" s="47">
        <v>20</v>
      </c>
      <c r="E31" s="47">
        <v>20</v>
      </c>
      <c r="F31" s="47">
        <v>20.5</v>
      </c>
      <c r="G31" s="47">
        <v>20.5</v>
      </c>
      <c r="H31" s="58">
        <v>20.5</v>
      </c>
      <c r="I31" s="139">
        <v>20.5</v>
      </c>
      <c r="J31" s="139">
        <v>20.5</v>
      </c>
      <c r="K31" s="139">
        <f t="shared" si="2"/>
        <v>7.8599999999999994</v>
      </c>
      <c r="L31" s="139">
        <v>7.9</v>
      </c>
      <c r="M31" s="139">
        <f t="shared" si="3"/>
        <v>7.9</v>
      </c>
      <c r="N31" s="147">
        <f t="shared" si="3"/>
        <v>7.9</v>
      </c>
      <c r="O31" s="147">
        <f t="shared" si="3"/>
        <v>7.9</v>
      </c>
      <c r="P31" s="147">
        <f t="shared" si="3"/>
        <v>7.9</v>
      </c>
      <c r="Q31" s="147"/>
      <c r="S31" s="41">
        <f>'3. Verotulot'!D31*100/'Veroposentin tuotto'!C31</f>
        <v>15238.118200000001</v>
      </c>
      <c r="T31" s="41">
        <f>'3. Verotulot'!I31*100/'Veroposentin tuotto'!D31</f>
        <v>14580</v>
      </c>
      <c r="U31" s="41">
        <f>'3. Verotulot'!N31*100/'Veroposentin tuotto'!E31</f>
        <v>16225</v>
      </c>
      <c r="V31" s="41">
        <f>'3. Verotulot'!S31*100/'Veroposentin tuotto'!F31</f>
        <v>14790.243902439024</v>
      </c>
      <c r="W31" s="41">
        <f>'3. Verotulot'!X31*100/'Veroposentin tuotto'!G31</f>
        <v>15380.487804878048</v>
      </c>
      <c r="X31" s="41">
        <f>'3. Verotulot'!AC31*100/'Veroposentin tuotto'!H31</f>
        <v>15492.682926829268</v>
      </c>
      <c r="Y31" s="41">
        <f>'3. Verotulot'!AH31*100/'Veroposentin tuotto'!I31</f>
        <v>15851.080731707316</v>
      </c>
      <c r="Z31" s="41">
        <f>'3. Verotulot'!AM31*100/'Veroposentin tuotto'!J31</f>
        <v>17978.521024390244</v>
      </c>
      <c r="AA31" s="41">
        <f>'3. Verotulot'!AR31*100/'Veroposentin tuotto'!K31</f>
        <v>20412.72748091603</v>
      </c>
      <c r="AB31" s="41">
        <f>'3. Verotulot'!AW31*100/'Veroposentin tuotto'!L31</f>
        <v>19662.427952584374</v>
      </c>
      <c r="AC31" s="41">
        <f>'3. Verotulot'!BB31*100/'Veroposentin tuotto'!M31</f>
        <v>20698.938940010932</v>
      </c>
      <c r="AD31" s="41">
        <f>'3. Verotulot'!BG31*100/'Veroposentin tuotto'!N31</f>
        <v>21338.93852441572</v>
      </c>
      <c r="AE31" s="41">
        <f>'3. Verotulot'!BL31*100/'Veroposentin tuotto'!O31</f>
        <v>21854.991041779387</v>
      </c>
      <c r="AF31" s="41">
        <f>'3. Verotulot'!BQ31*100/'Veroposentin tuotto'!P31</f>
        <v>22446.197296267073</v>
      </c>
      <c r="AI31" s="41">
        <f>'3. Verotulot'!D31/'Veroposentin tuotto'!C31</f>
        <v>152.38118200000002</v>
      </c>
      <c r="AJ31" s="41">
        <f>'3. Verotulot'!I31/'Veroposentin tuotto'!D31</f>
        <v>145.80000000000001</v>
      </c>
      <c r="AK31" s="41">
        <f>'3. Verotulot'!N31/'Veroposentin tuotto'!E31</f>
        <v>162.25</v>
      </c>
      <c r="AL31" s="41">
        <f>'3. Verotulot'!S31/'Veroposentin tuotto'!F31</f>
        <v>147.90243902439025</v>
      </c>
      <c r="AM31" s="41">
        <f>'3. Verotulot'!X31/'Veroposentin tuotto'!G31</f>
        <v>153.80487804878049</v>
      </c>
      <c r="AN31" s="41">
        <f>'3. Verotulot'!AC31/'Veroposentin tuotto'!H31</f>
        <v>154.92682926829269</v>
      </c>
      <c r="AO31" s="41">
        <f>'3. Verotulot'!AH31/'Veroposentin tuotto'!I31</f>
        <v>158.51080731707316</v>
      </c>
      <c r="AP31" s="41">
        <f>'3. Verotulot'!AM31/'Veroposentin tuotto'!J31</f>
        <v>179.78521024390244</v>
      </c>
      <c r="AQ31" s="41">
        <f>'3. Verotulot'!AR31/'Veroposentin tuotto'!K31</f>
        <v>204.1272748091603</v>
      </c>
      <c r="AR31" s="41">
        <f>'3. Verotulot'!AW31/'Veroposentin tuotto'!L31</f>
        <v>196.62427952584372</v>
      </c>
      <c r="AS31" s="41">
        <f>'3. Verotulot'!BB31/'Veroposentin tuotto'!M31</f>
        <v>206.9893894001093</v>
      </c>
      <c r="AT31" s="41">
        <f>'3. Verotulot'!BG31/'Veroposentin tuotto'!N31</f>
        <v>213.38938524415721</v>
      </c>
      <c r="AU31" s="41">
        <f>'3. Verotulot'!BL31/'Veroposentin tuotto'!O31</f>
        <v>218.54991041779388</v>
      </c>
      <c r="AV31" s="41">
        <f>'3. Verotulot'!BQ31/'Veroposentin tuotto'!P31</f>
        <v>224.46197296267073</v>
      </c>
      <c r="AX31" s="146"/>
      <c r="AZ31" s="34">
        <v>72</v>
      </c>
      <c r="BA31" s="88" t="s">
        <v>344</v>
      </c>
      <c r="BB31" s="41">
        <f>AI31/'1. Väestöennuste'!E31*1000</f>
        <v>153.45536958710977</v>
      </c>
      <c r="BC31" s="41">
        <f>AJ31/'1. Väestöennuste'!F31*1000</f>
        <v>146.68008048289741</v>
      </c>
      <c r="BD31" s="41">
        <f>AK31/'1. Väestöennuste'!G31*1000</f>
        <v>167.78697001034126</v>
      </c>
      <c r="BE31" s="41">
        <f>AL31/'1. Väestöennuste'!H31*1000</f>
        <v>151.85055341313168</v>
      </c>
      <c r="BF31" s="41">
        <f>AM31/'1. Väestöennuste'!I31*1000</f>
        <v>160.38047763167935</v>
      </c>
      <c r="BG31" s="41">
        <f>AN31/'1. Väestöennuste'!J31*1000</f>
        <v>163.25271788018196</v>
      </c>
      <c r="BH31" s="41">
        <f>AO31/'1. Väestöennuste'!K31*1000</f>
        <v>166.85348138639282</v>
      </c>
      <c r="BI31" s="41">
        <f>AP31/'1. Väestöennuste'!L31*1000</f>
        <v>187.27626067073172</v>
      </c>
      <c r="BJ31" s="41">
        <f>AQ31/'1. Väestöennuste'!M31*1000</f>
        <v>215.32412954552774</v>
      </c>
      <c r="BK31" s="41">
        <f>AR31/'1. Väestöennuste'!N31*1000</f>
        <v>212.33723490911848</v>
      </c>
      <c r="BL31" s="41">
        <f>AS31/'1. Väestöennuste'!O31*1000</f>
        <v>224.98846673924925</v>
      </c>
      <c r="BM31" s="41">
        <f>AT31/'1. Väestöennuste'!P31*1000</f>
        <v>233.46759873540176</v>
      </c>
      <c r="BN31" s="41">
        <f>AU31/'1. Väestöennuste'!Q31*1000</f>
        <v>240.69373394030163</v>
      </c>
      <c r="BO31" s="41">
        <f>AV31/'1. Väestöennuste'!R31*1000</f>
        <v>249.12538619608293</v>
      </c>
    </row>
    <row r="32" spans="1:67" x14ac:dyDescent="0.25">
      <c r="A32" s="30">
        <v>74</v>
      </c>
      <c r="B32" s="47" t="s">
        <v>345</v>
      </c>
      <c r="C32" s="47">
        <v>21.5</v>
      </c>
      <c r="D32" s="47">
        <v>21.5</v>
      </c>
      <c r="E32" s="47">
        <v>22</v>
      </c>
      <c r="F32" s="47">
        <v>22</v>
      </c>
      <c r="G32" s="47">
        <v>22</v>
      </c>
      <c r="H32" s="58">
        <v>23.5</v>
      </c>
      <c r="I32" s="139">
        <v>23.500000000000004</v>
      </c>
      <c r="J32" s="139">
        <v>23.500000000000004</v>
      </c>
      <c r="K32" s="139">
        <f t="shared" si="2"/>
        <v>10.860000000000003</v>
      </c>
      <c r="L32" s="139">
        <v>10.8</v>
      </c>
      <c r="M32" s="139">
        <f t="shared" si="3"/>
        <v>10.8</v>
      </c>
      <c r="N32" s="147">
        <f t="shared" si="3"/>
        <v>10.8</v>
      </c>
      <c r="O32" s="147">
        <f t="shared" si="3"/>
        <v>10.8</v>
      </c>
      <c r="P32" s="147">
        <f t="shared" si="3"/>
        <v>10.8</v>
      </c>
      <c r="Q32" s="147"/>
      <c r="S32" s="41">
        <f>'3. Verotulot'!D32*100/'Veroposentin tuotto'!C32</f>
        <v>14478.770186046511</v>
      </c>
      <c r="T32" s="41">
        <f>'3. Verotulot'!I32*100/'Veroposentin tuotto'!D32</f>
        <v>13446.511627906977</v>
      </c>
      <c r="U32" s="41">
        <f>'3. Verotulot'!N32*100/'Veroposentin tuotto'!E32</f>
        <v>12750</v>
      </c>
      <c r="V32" s="41">
        <f>'3. Verotulot'!S32*100/'Veroposentin tuotto'!F32</f>
        <v>11922.727272727272</v>
      </c>
      <c r="W32" s="41">
        <f>'3. Verotulot'!X32*100/'Veroposentin tuotto'!G32</f>
        <v>13713.636363636364</v>
      </c>
      <c r="X32" s="41">
        <f>'3. Verotulot'!AC32*100/'Veroposentin tuotto'!H32</f>
        <v>13642.553191489362</v>
      </c>
      <c r="Y32" s="41">
        <f>'3. Verotulot'!AH32*100/'Veroposentin tuotto'!I32</f>
        <v>13164.979106382978</v>
      </c>
      <c r="Z32" s="41">
        <f>'3. Verotulot'!AM32*100/'Veroposentin tuotto'!J32</f>
        <v>13932.390553191486</v>
      </c>
      <c r="AA32" s="41">
        <f>'3. Verotulot'!AR32*100/'Veroposentin tuotto'!K32</f>
        <v>16965.415377532227</v>
      </c>
      <c r="AB32" s="41">
        <f>'3. Verotulot'!AW32*100/'Veroposentin tuotto'!L32</f>
        <v>15690.377705017801</v>
      </c>
      <c r="AC32" s="41">
        <f>'3. Verotulot'!BB32*100/'Veroposentin tuotto'!M32</f>
        <v>16361.736532174717</v>
      </c>
      <c r="AD32" s="41">
        <f>'3. Verotulot'!BG32*100/'Veroposentin tuotto'!N32</f>
        <v>16719.492134464741</v>
      </c>
      <c r="AE32" s="41">
        <f>'3. Verotulot'!BL32*100/'Veroposentin tuotto'!O32</f>
        <v>16897.519224331605</v>
      </c>
      <c r="AF32" s="41">
        <f>'3. Verotulot'!BQ32*100/'Veroposentin tuotto'!P32</f>
        <v>17135.31507834914</v>
      </c>
      <c r="AI32" s="41">
        <f>'3. Verotulot'!D32/'Veroposentin tuotto'!C32</f>
        <v>144.78770186046512</v>
      </c>
      <c r="AJ32" s="41">
        <f>'3. Verotulot'!I32/'Veroposentin tuotto'!D32</f>
        <v>134.46511627906978</v>
      </c>
      <c r="AK32" s="41">
        <f>'3. Verotulot'!N32/'Veroposentin tuotto'!E32</f>
        <v>127.5</v>
      </c>
      <c r="AL32" s="41">
        <f>'3. Verotulot'!S32/'Veroposentin tuotto'!F32</f>
        <v>119.22727272727273</v>
      </c>
      <c r="AM32" s="41">
        <f>'3. Verotulot'!X32/'Veroposentin tuotto'!G32</f>
        <v>137.13636363636363</v>
      </c>
      <c r="AN32" s="41">
        <f>'3. Verotulot'!AC32/'Veroposentin tuotto'!H32</f>
        <v>136.42553191489361</v>
      </c>
      <c r="AO32" s="41">
        <f>'3. Verotulot'!AH32/'Veroposentin tuotto'!I32</f>
        <v>131.64979106382975</v>
      </c>
      <c r="AP32" s="41">
        <f>'3. Verotulot'!AM32/'Veroposentin tuotto'!J32</f>
        <v>139.32390553191487</v>
      </c>
      <c r="AQ32" s="41">
        <f>'3. Verotulot'!AR32/'Veroposentin tuotto'!K32</f>
        <v>169.65415377532224</v>
      </c>
      <c r="AR32" s="41">
        <f>'3. Verotulot'!AW32/'Veroposentin tuotto'!L32</f>
        <v>156.90377705017801</v>
      </c>
      <c r="AS32" s="41">
        <f>'3. Verotulot'!BB32/'Veroposentin tuotto'!M32</f>
        <v>163.61736532174717</v>
      </c>
      <c r="AT32" s="41">
        <f>'3. Verotulot'!BG32/'Veroposentin tuotto'!N32</f>
        <v>167.19492134464741</v>
      </c>
      <c r="AU32" s="41">
        <f>'3. Verotulot'!BL32/'Veroposentin tuotto'!O32</f>
        <v>168.97519224331603</v>
      </c>
      <c r="AV32" s="41">
        <f>'3. Verotulot'!BQ32/'Veroposentin tuotto'!P32</f>
        <v>171.35315078349143</v>
      </c>
      <c r="AX32" s="146"/>
      <c r="AZ32" s="34">
        <v>74</v>
      </c>
      <c r="BA32" s="88" t="s">
        <v>345</v>
      </c>
      <c r="BB32" s="41">
        <f>AI32/'1. Väestöennuste'!E32*1000</f>
        <v>118.19404233507356</v>
      </c>
      <c r="BC32" s="41">
        <f>AJ32/'1. Väestöennuste'!F32*1000</f>
        <v>110.30772459316634</v>
      </c>
      <c r="BD32" s="41">
        <f>AK32/'1. Väestöennuste'!G32*1000</f>
        <v>108.88129803586678</v>
      </c>
      <c r="BE32" s="41">
        <f>AL32/'1. Väestöennuste'!H32*1000</f>
        <v>102.34100663285213</v>
      </c>
      <c r="BF32" s="41">
        <f>AM32/'1. Väestöennuste'!I32*1000</f>
        <v>121.68266516092602</v>
      </c>
      <c r="BG32" s="41">
        <f>AN32/'1. Väestöennuste'!J32*1000</f>
        <v>123.68588568893347</v>
      </c>
      <c r="BH32" s="41">
        <f>AO32/'1. Väestöennuste'!K32*1000</f>
        <v>121.56028722421954</v>
      </c>
      <c r="BI32" s="41">
        <f>AP32/'1. Väestöennuste'!L32*1000</f>
        <v>132.43717255885446</v>
      </c>
      <c r="BJ32" s="41">
        <f>AQ32/'1. Väestöennuste'!M32*1000</f>
        <v>167.4769533813645</v>
      </c>
      <c r="BK32" s="41">
        <f>AR32/'1. Väestöennuste'!N32*1000</f>
        <v>156.74703002015787</v>
      </c>
      <c r="BL32" s="41">
        <f>AS32/'1. Väestöennuste'!O32*1000</f>
        <v>167.12703301506352</v>
      </c>
      <c r="BM32" s="41">
        <f>AT32/'1. Väestöennuste'!P32*1000</f>
        <v>174.34298367533617</v>
      </c>
      <c r="BN32" s="41">
        <f>AU32/'1. Väestöennuste'!Q32*1000</f>
        <v>179.76084281203833</v>
      </c>
      <c r="BO32" s="41">
        <f>AV32/'1. Väestöennuste'!R32*1000</f>
        <v>185.84940432048964</v>
      </c>
    </row>
    <row r="33" spans="1:67" x14ac:dyDescent="0.25">
      <c r="A33" s="30">
        <v>75</v>
      </c>
      <c r="B33" s="47" t="s">
        <v>346</v>
      </c>
      <c r="C33" s="47">
        <v>21</v>
      </c>
      <c r="D33" s="47">
        <v>21</v>
      </c>
      <c r="E33" s="47">
        <v>21</v>
      </c>
      <c r="F33" s="47">
        <v>21</v>
      </c>
      <c r="G33" s="47">
        <v>21</v>
      </c>
      <c r="H33" s="58">
        <v>21</v>
      </c>
      <c r="I33" s="139">
        <v>21</v>
      </c>
      <c r="J33" s="139">
        <v>21</v>
      </c>
      <c r="K33" s="139">
        <f t="shared" si="2"/>
        <v>8.36</v>
      </c>
      <c r="L33" s="139">
        <v>9.4</v>
      </c>
      <c r="M33" s="139">
        <f t="shared" si="3"/>
        <v>9.4</v>
      </c>
      <c r="N33" s="147">
        <f t="shared" si="3"/>
        <v>9.4</v>
      </c>
      <c r="O33" s="147">
        <f t="shared" si="3"/>
        <v>9.4</v>
      </c>
      <c r="P33" s="147">
        <f t="shared" si="3"/>
        <v>9.4</v>
      </c>
      <c r="Q33" s="147"/>
      <c r="S33" s="41">
        <f>'3. Verotulot'!D33*100/'Veroposentin tuotto'!C33</f>
        <v>344899.42595238099</v>
      </c>
      <c r="T33" s="41">
        <f>'3. Verotulot'!I33*100/'Veroposentin tuotto'!D33</f>
        <v>338780.95238095237</v>
      </c>
      <c r="U33" s="41">
        <f>'3. Verotulot'!N33*100/'Veroposentin tuotto'!E33</f>
        <v>336019.04761904763</v>
      </c>
      <c r="V33" s="41">
        <f>'3. Verotulot'!S33*100/'Veroposentin tuotto'!F33</f>
        <v>329476.19047619047</v>
      </c>
      <c r="W33" s="41">
        <f>'3. Verotulot'!X33*100/'Veroposentin tuotto'!G33</f>
        <v>339266.66666666669</v>
      </c>
      <c r="X33" s="41">
        <f>'3. Verotulot'!AC33*100/'Veroposentin tuotto'!H33</f>
        <v>354571.42857142858</v>
      </c>
      <c r="Y33" s="41">
        <f>'3. Verotulot'!AH33*100/'Veroposentin tuotto'!I33</f>
        <v>369204.68919047626</v>
      </c>
      <c r="Z33" s="41">
        <f>'3. Verotulot'!AM33*100/'Veroposentin tuotto'!J33</f>
        <v>355721.22876190481</v>
      </c>
      <c r="AA33" s="41">
        <f>'3. Verotulot'!AR33*100/'Veroposentin tuotto'!K33</f>
        <v>447617.51794258377</v>
      </c>
      <c r="AB33" s="41">
        <f>'3. Verotulot'!AW33*100/'Veroposentin tuotto'!L33</f>
        <v>417407.67557892285</v>
      </c>
      <c r="AC33" s="41">
        <f>'3. Verotulot'!BB33*100/'Veroposentin tuotto'!M33</f>
        <v>437543.76905441325</v>
      </c>
      <c r="AD33" s="41">
        <f>'3. Verotulot'!BG33*100/'Veroposentin tuotto'!N33</f>
        <v>451697.09644556075</v>
      </c>
      <c r="AE33" s="41">
        <f>'3. Verotulot'!BL33*100/'Veroposentin tuotto'!O33</f>
        <v>463440.62857521803</v>
      </c>
      <c r="AF33" s="41">
        <f>'3. Verotulot'!BQ33*100/'Veroposentin tuotto'!P33</f>
        <v>477110.91941800888</v>
      </c>
      <c r="AI33" s="41">
        <f>'3. Verotulot'!D33/'Veroposentin tuotto'!C33</f>
        <v>3448.9942595238099</v>
      </c>
      <c r="AJ33" s="41">
        <f>'3. Verotulot'!I33/'Veroposentin tuotto'!D33</f>
        <v>3387.8095238095239</v>
      </c>
      <c r="AK33" s="41">
        <f>'3. Verotulot'!N33/'Veroposentin tuotto'!E33</f>
        <v>3360.1904761904761</v>
      </c>
      <c r="AL33" s="41">
        <f>'3. Verotulot'!S33/'Veroposentin tuotto'!F33</f>
        <v>3294.7619047619046</v>
      </c>
      <c r="AM33" s="41">
        <f>'3. Verotulot'!X33/'Veroposentin tuotto'!G33</f>
        <v>3392.6666666666665</v>
      </c>
      <c r="AN33" s="41">
        <f>'3. Verotulot'!AC33/'Veroposentin tuotto'!H33</f>
        <v>3545.7142857142858</v>
      </c>
      <c r="AO33" s="41">
        <f>'3. Verotulot'!AH33/'Veroposentin tuotto'!I33</f>
        <v>3692.0468919047626</v>
      </c>
      <c r="AP33" s="41">
        <f>'3. Verotulot'!AM33/'Veroposentin tuotto'!J33</f>
        <v>3557.2122876190483</v>
      </c>
      <c r="AQ33" s="41">
        <f>'3. Verotulot'!AR33/'Veroposentin tuotto'!K33</f>
        <v>4476.175179425838</v>
      </c>
      <c r="AR33" s="41">
        <f>'3. Verotulot'!AW33/'Veroposentin tuotto'!L33</f>
        <v>4174.0767557892277</v>
      </c>
      <c r="AS33" s="41">
        <f>'3. Verotulot'!BB33/'Veroposentin tuotto'!M33</f>
        <v>4375.4376905441331</v>
      </c>
      <c r="AT33" s="41">
        <f>'3. Verotulot'!BG33/'Veroposentin tuotto'!N33</f>
        <v>4516.9709644556078</v>
      </c>
      <c r="AU33" s="41">
        <f>'3. Verotulot'!BL33/'Veroposentin tuotto'!O33</f>
        <v>4634.4062857521803</v>
      </c>
      <c r="AV33" s="41">
        <f>'3. Verotulot'!BQ33/'Veroposentin tuotto'!P33</f>
        <v>4771.1091941800896</v>
      </c>
      <c r="AX33" s="146"/>
      <c r="AZ33" s="34">
        <v>75</v>
      </c>
      <c r="BA33" s="88" t="s">
        <v>346</v>
      </c>
      <c r="BB33" s="41">
        <f>AI33/'1. Väestöennuste'!E33*1000</f>
        <v>165.41145554284253</v>
      </c>
      <c r="BC33" s="41">
        <f>AJ33/'1. Väestöennuste'!F33*1000</f>
        <v>164.16987419119616</v>
      </c>
      <c r="BD33" s="41">
        <f>AK33/'1. Väestöennuste'!G33*1000</f>
        <v>163.96771952327506</v>
      </c>
      <c r="BE33" s="41">
        <f>AL33/'1. Väestöennuste'!H33*1000</f>
        <v>162.41555283258921</v>
      </c>
      <c r="BF33" s="41">
        <f>AM33/'1. Väestöennuste'!I33*1000</f>
        <v>168.69706462466644</v>
      </c>
      <c r="BG33" s="41">
        <f>AN33/'1. Väestöennuste'!J33*1000</f>
        <v>178.38276831082587</v>
      </c>
      <c r="BH33" s="41">
        <f>AO33/'1. Väestöennuste'!K33*1000</f>
        <v>187.39452298775569</v>
      </c>
      <c r="BI33" s="41">
        <f>AP33/'1. Väestöennuste'!L33*1000</f>
        <v>181.9639003334722</v>
      </c>
      <c r="BJ33" s="41">
        <f>AQ33/'1. Väestöennuste'!M33*1000</f>
        <v>229.14790516155617</v>
      </c>
      <c r="BK33" s="41">
        <f>AR33/'1. Väestöennuste'!N33*1000</f>
        <v>218.56093600320597</v>
      </c>
      <c r="BL33" s="41">
        <f>AS33/'1. Väestöennuste'!O33*1000</f>
        <v>231.33328172486691</v>
      </c>
      <c r="BM33" s="41">
        <f>AT33/'1. Väestöennuste'!P33*1000</f>
        <v>241.11086604332272</v>
      </c>
      <c r="BN33" s="41">
        <f>AU33/'1. Väestöennuste'!Q33*1000</f>
        <v>249.72552461214465</v>
      </c>
      <c r="BO33" s="41">
        <f>AV33/'1. Väestöennuste'!R33*1000</f>
        <v>259.62394265549813</v>
      </c>
    </row>
    <row r="34" spans="1:67" x14ac:dyDescent="0.25">
      <c r="A34" s="30">
        <v>77</v>
      </c>
      <c r="B34" s="47" t="s">
        <v>347</v>
      </c>
      <c r="C34" s="47">
        <v>22</v>
      </c>
      <c r="D34" s="47">
        <v>22</v>
      </c>
      <c r="E34" s="47">
        <v>22</v>
      </c>
      <c r="F34" s="47">
        <v>22</v>
      </c>
      <c r="G34" s="47">
        <v>22</v>
      </c>
      <c r="H34" s="58">
        <v>22</v>
      </c>
      <c r="I34" s="139">
        <v>22</v>
      </c>
      <c r="J34" s="139">
        <v>22</v>
      </c>
      <c r="K34" s="139">
        <f t="shared" si="2"/>
        <v>9.36</v>
      </c>
      <c r="L34" s="139">
        <v>9.4</v>
      </c>
      <c r="M34" s="139">
        <f t="shared" si="3"/>
        <v>9.4</v>
      </c>
      <c r="N34" s="147">
        <f t="shared" si="3"/>
        <v>9.4</v>
      </c>
      <c r="O34" s="147">
        <f t="shared" si="3"/>
        <v>9.4</v>
      </c>
      <c r="P34" s="147">
        <f t="shared" si="3"/>
        <v>9.4</v>
      </c>
      <c r="Q34" s="147"/>
      <c r="S34" s="41">
        <f>'3. Verotulot'!D34*100/'Veroposentin tuotto'!C34</f>
        <v>60051.295681818185</v>
      </c>
      <c r="T34" s="41">
        <f>'3. Verotulot'!I34*100/'Veroposentin tuotto'!D34</f>
        <v>61518.181818181816</v>
      </c>
      <c r="U34" s="41">
        <f>'3. Verotulot'!N34*100/'Veroposentin tuotto'!E34</f>
        <v>59736.36363636364</v>
      </c>
      <c r="V34" s="41">
        <f>'3. Verotulot'!S34*100/'Veroposentin tuotto'!F34</f>
        <v>56390.909090909088</v>
      </c>
      <c r="W34" s="41">
        <f>'3. Verotulot'!X34*100/'Veroposentin tuotto'!G34</f>
        <v>59727.272727272728</v>
      </c>
      <c r="X34" s="41">
        <f>'3. Verotulot'!AC34*100/'Veroposentin tuotto'!H34</f>
        <v>59481.818181818184</v>
      </c>
      <c r="Y34" s="41">
        <f>'3. Verotulot'!AH34*100/'Veroposentin tuotto'!I34</f>
        <v>62626.740363636374</v>
      </c>
      <c r="Z34" s="41">
        <f>'3. Verotulot'!AM34*100/'Veroposentin tuotto'!J34</f>
        <v>62975.600681818185</v>
      </c>
      <c r="AA34" s="41">
        <f>'3. Verotulot'!AR34*100/'Veroposentin tuotto'!K34</f>
        <v>78271.327029914537</v>
      </c>
      <c r="AB34" s="41">
        <f>'3. Verotulot'!AW34*100/'Veroposentin tuotto'!L34</f>
        <v>73524.831040579505</v>
      </c>
      <c r="AC34" s="41">
        <f>'3. Verotulot'!BB34*100/'Veroposentin tuotto'!M34</f>
        <v>76421.809402701852</v>
      </c>
      <c r="AD34" s="41">
        <f>'3. Verotulot'!BG34*100/'Veroposentin tuotto'!N34</f>
        <v>78370.396755690585</v>
      </c>
      <c r="AE34" s="41">
        <f>'3. Verotulot'!BL34*100/'Veroposentin tuotto'!O34</f>
        <v>80032.82786087897</v>
      </c>
      <c r="AF34" s="41">
        <f>'3. Verotulot'!BQ34*100/'Veroposentin tuotto'!P34</f>
        <v>82070.435367331054</v>
      </c>
      <c r="AI34" s="41">
        <f>'3. Verotulot'!D34/'Veroposentin tuotto'!C34</f>
        <v>600.51295681818181</v>
      </c>
      <c r="AJ34" s="41">
        <f>'3. Verotulot'!I34/'Veroposentin tuotto'!D34</f>
        <v>615.18181818181813</v>
      </c>
      <c r="AK34" s="41">
        <f>'3. Verotulot'!N34/'Veroposentin tuotto'!E34</f>
        <v>597.36363636363637</v>
      </c>
      <c r="AL34" s="41">
        <f>'3. Verotulot'!S34/'Veroposentin tuotto'!F34</f>
        <v>563.90909090909088</v>
      </c>
      <c r="AM34" s="41">
        <f>'3. Verotulot'!X34/'Veroposentin tuotto'!G34</f>
        <v>597.27272727272725</v>
      </c>
      <c r="AN34" s="41">
        <f>'3. Verotulot'!AC34/'Veroposentin tuotto'!H34</f>
        <v>594.81818181818187</v>
      </c>
      <c r="AO34" s="41">
        <f>'3. Verotulot'!AH34/'Veroposentin tuotto'!I34</f>
        <v>626.26740363636372</v>
      </c>
      <c r="AP34" s="41">
        <f>'3. Verotulot'!AM34/'Veroposentin tuotto'!J34</f>
        <v>629.75600681818185</v>
      </c>
      <c r="AQ34" s="41">
        <f>'3. Verotulot'!AR34/'Veroposentin tuotto'!K34</f>
        <v>782.71327029914539</v>
      </c>
      <c r="AR34" s="41">
        <f>'3. Verotulot'!AW34/'Veroposentin tuotto'!L34</f>
        <v>735.24831040579511</v>
      </c>
      <c r="AS34" s="41">
        <f>'3. Verotulot'!BB34/'Veroposentin tuotto'!M34</f>
        <v>764.21809402701854</v>
      </c>
      <c r="AT34" s="41">
        <f>'3. Verotulot'!BG34/'Veroposentin tuotto'!N34</f>
        <v>783.70396755690581</v>
      </c>
      <c r="AU34" s="41">
        <f>'3. Verotulot'!BL34/'Veroposentin tuotto'!O34</f>
        <v>800.32827860878967</v>
      </c>
      <c r="AV34" s="41">
        <f>'3. Verotulot'!BQ34/'Veroposentin tuotto'!P34</f>
        <v>820.70435367331049</v>
      </c>
      <c r="AX34" s="146"/>
      <c r="AZ34" s="34">
        <v>77</v>
      </c>
      <c r="BA34" s="88" t="s">
        <v>347</v>
      </c>
      <c r="BB34" s="41">
        <f>AI34/'1. Väestöennuste'!E34*1000</f>
        <v>114.6017093164469</v>
      </c>
      <c r="BC34" s="41">
        <f>AJ34/'1. Väestöennuste'!F34*1000</f>
        <v>119.24439197166468</v>
      </c>
      <c r="BD34" s="41">
        <f>AK34/'1. Väestöennuste'!G34*1000</f>
        <v>119.02044956438263</v>
      </c>
      <c r="BE34" s="41">
        <f>AL34/'1. Väestöennuste'!H34*1000</f>
        <v>114.17475013344622</v>
      </c>
      <c r="BF34" s="41">
        <f>AM34/'1. Väestöennuste'!I34*1000</f>
        <v>122.51748251748251</v>
      </c>
      <c r="BG34" s="41">
        <f>AN34/'1. Väestöennuste'!J34*1000</f>
        <v>124.38690544085777</v>
      </c>
      <c r="BH34" s="41">
        <f>AO34/'1. Väestöennuste'!K34*1000</f>
        <v>133.7320955875216</v>
      </c>
      <c r="BI34" s="41">
        <f>AP34/'1. Väestöennuste'!L34*1000</f>
        <v>136.87372458556442</v>
      </c>
      <c r="BJ34" s="41">
        <f>AQ34/'1. Väestöennuste'!M34*1000</f>
        <v>172.06271055158177</v>
      </c>
      <c r="BK34" s="41">
        <f>AR34/'1. Väestöennuste'!N34*1000</f>
        <v>164.44829130078173</v>
      </c>
      <c r="BL34" s="41">
        <f>AS34/'1. Väestöennuste'!O34*1000</f>
        <v>173.5281775719842</v>
      </c>
      <c r="BM34" s="41">
        <f>AT34/'1. Väestöennuste'!P34*1000</f>
        <v>180.57695104997828</v>
      </c>
      <c r="BN34" s="41">
        <f>AU34/'1. Väestöennuste'!Q34*1000</f>
        <v>187.03628852741053</v>
      </c>
      <c r="BO34" s="41">
        <f>AV34/'1. Väestöennuste'!R34*1000</f>
        <v>194.61805873211063</v>
      </c>
    </row>
    <row r="35" spans="1:67" x14ac:dyDescent="0.25">
      <c r="A35" s="30">
        <v>78</v>
      </c>
      <c r="B35" s="47" t="s">
        <v>348</v>
      </c>
      <c r="C35" s="47">
        <v>21.75</v>
      </c>
      <c r="D35" s="47">
        <v>21.75</v>
      </c>
      <c r="E35" s="47">
        <v>21.75</v>
      </c>
      <c r="F35" s="47">
        <v>21.75</v>
      </c>
      <c r="G35" s="47">
        <v>21.75</v>
      </c>
      <c r="H35" s="58">
        <v>21.75</v>
      </c>
      <c r="I35" s="139">
        <v>21.75</v>
      </c>
      <c r="J35" s="139">
        <v>21.75</v>
      </c>
      <c r="K35" s="139">
        <f t="shared" si="2"/>
        <v>9.11</v>
      </c>
      <c r="L35" s="139">
        <v>9.1</v>
      </c>
      <c r="M35" s="139">
        <f t="shared" ref="M35:P54" si="4">L35</f>
        <v>9.1</v>
      </c>
      <c r="N35" s="147">
        <f t="shared" si="4"/>
        <v>9.1</v>
      </c>
      <c r="O35" s="147">
        <f t="shared" si="4"/>
        <v>9.1</v>
      </c>
      <c r="P35" s="147">
        <f t="shared" si="4"/>
        <v>9.1</v>
      </c>
      <c r="Q35" s="147"/>
      <c r="S35" s="41">
        <f>'3. Verotulot'!D35*100/'Veroposentin tuotto'!C35</f>
        <v>158659.467908046</v>
      </c>
      <c r="T35" s="41">
        <f>'3. Verotulot'!I35*100/'Veroposentin tuotto'!D35</f>
        <v>155898.85057471265</v>
      </c>
      <c r="U35" s="41">
        <f>'3. Verotulot'!N35*100/'Veroposentin tuotto'!E35</f>
        <v>154583.908045977</v>
      </c>
      <c r="V35" s="41">
        <f>'3. Verotulot'!S35*100/'Veroposentin tuotto'!F35</f>
        <v>151737.93103448275</v>
      </c>
      <c r="W35" s="41">
        <f>'3. Verotulot'!X35*100/'Veroposentin tuotto'!G35</f>
        <v>153475.86206896551</v>
      </c>
      <c r="X35" s="41">
        <f>'3. Verotulot'!AC35*100/'Veroposentin tuotto'!H35</f>
        <v>158248.27586206896</v>
      </c>
      <c r="Y35" s="41">
        <f>'3. Verotulot'!AH35*100/'Veroposentin tuotto'!I35</f>
        <v>156609.89388505748</v>
      </c>
      <c r="Z35" s="41">
        <f>'3. Verotulot'!AM35*100/'Veroposentin tuotto'!J35</f>
        <v>162472.69517241381</v>
      </c>
      <c r="AA35" s="41">
        <f>'3. Verotulot'!AR35*100/'Veroposentin tuotto'!K35</f>
        <v>196764.85565312844</v>
      </c>
      <c r="AB35" s="41">
        <f>'3. Verotulot'!AW35*100/'Veroposentin tuotto'!L35</f>
        <v>181988.00314782461</v>
      </c>
      <c r="AC35" s="41">
        <f>'3. Verotulot'!BB35*100/'Veroposentin tuotto'!M35</f>
        <v>188128.25533378046</v>
      </c>
      <c r="AD35" s="41">
        <f>'3. Verotulot'!BG35*100/'Veroposentin tuotto'!N35</f>
        <v>192761.70395392214</v>
      </c>
      <c r="AE35" s="41">
        <f>'3. Verotulot'!BL35*100/'Veroposentin tuotto'!O35</f>
        <v>196441.938530402</v>
      </c>
      <c r="AF35" s="41">
        <f>'3. Verotulot'!BQ35*100/'Veroposentin tuotto'!P35</f>
        <v>200751.76693407845</v>
      </c>
      <c r="AI35" s="41">
        <f>'3. Verotulot'!D35/'Veroposentin tuotto'!C35</f>
        <v>1586.5946790804601</v>
      </c>
      <c r="AJ35" s="41">
        <f>'3. Verotulot'!I35/'Veroposentin tuotto'!D35</f>
        <v>1558.9885057471265</v>
      </c>
      <c r="AK35" s="41">
        <f>'3. Verotulot'!N35/'Veroposentin tuotto'!E35</f>
        <v>1545.83908045977</v>
      </c>
      <c r="AL35" s="41">
        <f>'3. Verotulot'!S35/'Veroposentin tuotto'!F35</f>
        <v>1517.3793103448277</v>
      </c>
      <c r="AM35" s="41">
        <f>'3. Verotulot'!X35/'Veroposentin tuotto'!G35</f>
        <v>1534.7586206896551</v>
      </c>
      <c r="AN35" s="41">
        <f>'3. Verotulot'!AC35/'Veroposentin tuotto'!H35</f>
        <v>1582.4827586206898</v>
      </c>
      <c r="AO35" s="41">
        <f>'3. Verotulot'!AH35/'Veroposentin tuotto'!I35</f>
        <v>1566.098938850575</v>
      </c>
      <c r="AP35" s="41">
        <f>'3. Verotulot'!AM35/'Veroposentin tuotto'!J35</f>
        <v>1624.7269517241382</v>
      </c>
      <c r="AQ35" s="41">
        <f>'3. Verotulot'!AR35/'Veroposentin tuotto'!K35</f>
        <v>1967.6485565312844</v>
      </c>
      <c r="AR35" s="41">
        <f>'3. Verotulot'!AW35/'Veroposentin tuotto'!L35</f>
        <v>1819.8800314782461</v>
      </c>
      <c r="AS35" s="41">
        <f>'3. Verotulot'!BB35/'Veroposentin tuotto'!M35</f>
        <v>1881.2825533378048</v>
      </c>
      <c r="AT35" s="41">
        <f>'3. Verotulot'!BG35/'Veroposentin tuotto'!N35</f>
        <v>1927.6170395392214</v>
      </c>
      <c r="AU35" s="41">
        <f>'3. Verotulot'!BL35/'Veroposentin tuotto'!O35</f>
        <v>1964.4193853040201</v>
      </c>
      <c r="AV35" s="41">
        <f>'3. Verotulot'!BQ35/'Veroposentin tuotto'!P35</f>
        <v>2007.5176693407843</v>
      </c>
      <c r="AX35" s="146"/>
      <c r="AZ35" s="34">
        <v>78</v>
      </c>
      <c r="BA35" s="88" t="s">
        <v>348</v>
      </c>
      <c r="BB35" s="41">
        <f>AI35/'1. Väestöennuste'!E35*1000</f>
        <v>178.99308202622518</v>
      </c>
      <c r="BC35" s="41">
        <f>AJ35/'1. Väestöennuste'!F35*1000</f>
        <v>179.95942580481665</v>
      </c>
      <c r="BD35" s="41">
        <f>AK35/'1. Väestöennuste'!G35*1000</f>
        <v>181.50042038978162</v>
      </c>
      <c r="BE35" s="41">
        <f>AL35/'1. Väestöennuste'!H35*1000</f>
        <v>181.09312690593478</v>
      </c>
      <c r="BF35" s="41">
        <f>AM35/'1. Väestöennuste'!I35*1000</f>
        <v>187.18851331743568</v>
      </c>
      <c r="BG35" s="41">
        <f>AN35/'1. Väestöennuste'!J35*1000</f>
        <v>196.77726419058564</v>
      </c>
      <c r="BH35" s="41">
        <f>AO35/'1. Väestöennuste'!K35*1000</f>
        <v>196.27759604594246</v>
      </c>
      <c r="BI35" s="41">
        <f>AP35/'1. Väestöennuste'!L35*1000</f>
        <v>207.44726145609528</v>
      </c>
      <c r="BJ35" s="41">
        <f>AQ35/'1. Väestöennuste'!M35*1000</f>
        <v>254.84374517954728</v>
      </c>
      <c r="BK35" s="41">
        <f>AR35/'1. Väestöennuste'!N35*1000</f>
        <v>243.72305229385913</v>
      </c>
      <c r="BL35" s="41">
        <f>AS35/'1. Väestöennuste'!O35*1000</f>
        <v>256.02647704651673</v>
      </c>
      <c r="BM35" s="41">
        <f>AT35/'1. Väestöennuste'!P35*1000</f>
        <v>266.39262569640982</v>
      </c>
      <c r="BN35" s="41">
        <f>AU35/'1. Väestöennuste'!Q35*1000</f>
        <v>275.66929347516424</v>
      </c>
      <c r="BO35" s="41">
        <f>AV35/'1. Väestöennuste'!R35*1000</f>
        <v>285.80832422277678</v>
      </c>
    </row>
    <row r="36" spans="1:67" x14ac:dyDescent="0.25">
      <c r="A36" s="30">
        <v>79</v>
      </c>
      <c r="B36" s="47" t="s">
        <v>349</v>
      </c>
      <c r="C36" s="47">
        <v>19.75</v>
      </c>
      <c r="D36" s="47">
        <v>19.75</v>
      </c>
      <c r="E36" s="47">
        <v>20.75</v>
      </c>
      <c r="F36" s="47">
        <v>20.75</v>
      </c>
      <c r="G36" s="47">
        <v>21.5</v>
      </c>
      <c r="H36" s="58">
        <v>21.5</v>
      </c>
      <c r="I36" s="139">
        <v>21.5</v>
      </c>
      <c r="J36" s="139">
        <v>21.5</v>
      </c>
      <c r="K36" s="139">
        <f t="shared" si="2"/>
        <v>8.86</v>
      </c>
      <c r="L36" s="139">
        <v>8.9</v>
      </c>
      <c r="M36" s="139">
        <f t="shared" si="4"/>
        <v>8.9</v>
      </c>
      <c r="N36" s="147">
        <f t="shared" si="4"/>
        <v>8.9</v>
      </c>
      <c r="O36" s="147">
        <f t="shared" si="4"/>
        <v>8.9</v>
      </c>
      <c r="P36" s="147">
        <f t="shared" si="4"/>
        <v>8.9</v>
      </c>
      <c r="Q36" s="147"/>
      <c r="S36" s="41">
        <f>'3. Verotulot'!D36*100/'Veroposentin tuotto'!C36</f>
        <v>118696.04141772151</v>
      </c>
      <c r="T36" s="41">
        <f>'3. Verotulot'!I36*100/'Veroposentin tuotto'!D36</f>
        <v>118997.46835443038</v>
      </c>
      <c r="U36" s="41">
        <f>'3. Verotulot'!N36*100/'Veroposentin tuotto'!E36</f>
        <v>116322.89156626505</v>
      </c>
      <c r="V36" s="41">
        <f>'3. Verotulot'!S36*100/'Veroposentin tuotto'!F36</f>
        <v>115893.97590361445</v>
      </c>
      <c r="W36" s="41">
        <f>'3. Verotulot'!X36*100/'Veroposentin tuotto'!G36</f>
        <v>114911.62790697675</v>
      </c>
      <c r="X36" s="41">
        <f>'3. Verotulot'!AC36*100/'Veroposentin tuotto'!H36</f>
        <v>116055.81395348837</v>
      </c>
      <c r="Y36" s="41">
        <f>'3. Verotulot'!AH36*100/'Veroposentin tuotto'!I36</f>
        <v>118936.10720930234</v>
      </c>
      <c r="Z36" s="41">
        <f>'3. Verotulot'!AM36*100/'Veroposentin tuotto'!J36</f>
        <v>122030.01348837209</v>
      </c>
      <c r="AA36" s="41">
        <f>'3. Verotulot'!AR36*100/'Veroposentin tuotto'!K36</f>
        <v>152232.87471783298</v>
      </c>
      <c r="AB36" s="41">
        <f>'3. Verotulot'!AW36*100/'Veroposentin tuotto'!L36</f>
        <v>140920.68390158017</v>
      </c>
      <c r="AC36" s="41">
        <f>'3. Verotulot'!BB36*100/'Veroposentin tuotto'!M36</f>
        <v>146768.52143617009</v>
      </c>
      <c r="AD36" s="41">
        <f>'3. Verotulot'!BG36*100/'Veroposentin tuotto'!N36</f>
        <v>151383.14405167647</v>
      </c>
      <c r="AE36" s="41">
        <f>'3. Verotulot'!BL36*100/'Veroposentin tuotto'!O36</f>
        <v>155415.75367980593</v>
      </c>
      <c r="AF36" s="41">
        <f>'3. Verotulot'!BQ36*100/'Veroposentin tuotto'!P36</f>
        <v>160128.75355855847</v>
      </c>
      <c r="AI36" s="41">
        <f>'3. Verotulot'!D36/'Veroposentin tuotto'!C36</f>
        <v>1186.9604141772152</v>
      </c>
      <c r="AJ36" s="41">
        <f>'3. Verotulot'!I36/'Veroposentin tuotto'!D36</f>
        <v>1189.9746835443038</v>
      </c>
      <c r="AK36" s="41">
        <f>'3. Verotulot'!N36/'Veroposentin tuotto'!E36</f>
        <v>1163.2289156626507</v>
      </c>
      <c r="AL36" s="41">
        <f>'3. Verotulot'!S36/'Veroposentin tuotto'!F36</f>
        <v>1158.9397590361446</v>
      </c>
      <c r="AM36" s="41">
        <f>'3. Verotulot'!X36/'Veroposentin tuotto'!G36</f>
        <v>1149.1162790697674</v>
      </c>
      <c r="AN36" s="41">
        <f>'3. Verotulot'!AC36/'Veroposentin tuotto'!H36</f>
        <v>1160.5581395348838</v>
      </c>
      <c r="AO36" s="41">
        <f>'3. Verotulot'!AH36/'Veroposentin tuotto'!I36</f>
        <v>1189.3610720930233</v>
      </c>
      <c r="AP36" s="41">
        <f>'3. Verotulot'!AM36/'Veroposentin tuotto'!J36</f>
        <v>1220.3001348837208</v>
      </c>
      <c r="AQ36" s="41">
        <f>'3. Verotulot'!AR36/'Veroposentin tuotto'!K36</f>
        <v>1522.3287471783296</v>
      </c>
      <c r="AR36" s="41">
        <f>'3. Verotulot'!AW36/'Veroposentin tuotto'!L36</f>
        <v>1409.2068390158017</v>
      </c>
      <c r="AS36" s="41">
        <f>'3. Verotulot'!BB36/'Veroposentin tuotto'!M36</f>
        <v>1467.6852143617009</v>
      </c>
      <c r="AT36" s="41">
        <f>'3. Verotulot'!BG36/'Veroposentin tuotto'!N36</f>
        <v>1513.8314405167648</v>
      </c>
      <c r="AU36" s="41">
        <f>'3. Verotulot'!BL36/'Veroposentin tuotto'!O36</f>
        <v>1554.157536798059</v>
      </c>
      <c r="AV36" s="41">
        <f>'3. Verotulot'!BQ36/'Veroposentin tuotto'!P36</f>
        <v>1601.2875355855847</v>
      </c>
      <c r="AX36" s="146"/>
      <c r="AZ36" s="34">
        <v>79</v>
      </c>
      <c r="BA36" s="88" t="s">
        <v>349</v>
      </c>
      <c r="BB36" s="41">
        <f>AI36/'1. Väestöennuste'!E36*1000</f>
        <v>162.68646027648234</v>
      </c>
      <c r="BC36" s="41">
        <f>AJ36/'1. Väestöennuste'!F36*1000</f>
        <v>164.36114413595357</v>
      </c>
      <c r="BD36" s="41">
        <f>AK36/'1. Väestöennuste'!G36*1000</f>
        <v>162.66660825935546</v>
      </c>
      <c r="BE36" s="41">
        <f>AL36/'1. Väestöennuste'!H36*1000</f>
        <v>165.13818168084134</v>
      </c>
      <c r="BF36" s="41">
        <f>AM36/'1. Väestöennuste'!I36*1000</f>
        <v>165.79372082957255</v>
      </c>
      <c r="BG36" s="41">
        <f>AN36/'1. Väestöennuste'!J36*1000</f>
        <v>168.95590908937018</v>
      </c>
      <c r="BH36" s="41">
        <f>AO36/'1. Väestöennuste'!K36*1000</f>
        <v>175.29271512056349</v>
      </c>
      <c r="BI36" s="41">
        <f>AP36/'1. Väestöennuste'!L36*1000</f>
        <v>180.70489188267746</v>
      </c>
      <c r="BJ36" s="41">
        <f>AQ36/'1. Väestöennuste'!M36*1000</f>
        <v>227.111554106867</v>
      </c>
      <c r="BK36" s="41">
        <f>AR36/'1. Väestöennuste'!N36*1000</f>
        <v>214.94918227818818</v>
      </c>
      <c r="BL36" s="41">
        <f>AS36/'1. Väestöennuste'!O36*1000</f>
        <v>226.2502257378913</v>
      </c>
      <c r="BM36" s="41">
        <f>AT36/'1. Väestöennuste'!P36*1000</f>
        <v>235.72585495433896</v>
      </c>
      <c r="BN36" s="41">
        <f>AU36/'1. Väestöennuste'!Q36*1000</f>
        <v>244.40282069477263</v>
      </c>
      <c r="BO36" s="41">
        <f>AV36/'1. Väestöennuste'!R36*1000</f>
        <v>254.17262469612456</v>
      </c>
    </row>
    <row r="37" spans="1:67" x14ac:dyDescent="0.25">
      <c r="A37" s="30">
        <v>81</v>
      </c>
      <c r="B37" s="47" t="s">
        <v>350</v>
      </c>
      <c r="C37" s="47">
        <v>21.5</v>
      </c>
      <c r="D37" s="47">
        <v>21.5</v>
      </c>
      <c r="E37" s="47">
        <v>21.5</v>
      </c>
      <c r="F37" s="47">
        <v>21.5</v>
      </c>
      <c r="G37" s="47">
        <v>21.5</v>
      </c>
      <c r="H37" s="58">
        <v>21.5</v>
      </c>
      <c r="I37" s="139">
        <v>21.5</v>
      </c>
      <c r="J37" s="139">
        <v>21.5</v>
      </c>
      <c r="K37" s="139">
        <f t="shared" si="2"/>
        <v>8.86</v>
      </c>
      <c r="L37" s="139">
        <v>8.9</v>
      </c>
      <c r="M37" s="139">
        <f t="shared" si="4"/>
        <v>8.9</v>
      </c>
      <c r="N37" s="147">
        <f t="shared" si="4"/>
        <v>8.9</v>
      </c>
      <c r="O37" s="147">
        <f t="shared" si="4"/>
        <v>8.9</v>
      </c>
      <c r="P37" s="147">
        <f t="shared" si="4"/>
        <v>8.9</v>
      </c>
      <c r="Q37" s="147"/>
      <c r="S37" s="41">
        <f>'3. Verotulot'!D37*100/'Veroposentin tuotto'!C37</f>
        <v>35330.230604651159</v>
      </c>
      <c r="T37" s="41">
        <f>'3. Verotulot'!I37*100/'Veroposentin tuotto'!D37</f>
        <v>33288.372093023259</v>
      </c>
      <c r="U37" s="41">
        <f>'3. Verotulot'!N37*100/'Veroposentin tuotto'!E37</f>
        <v>33837.20930232558</v>
      </c>
      <c r="V37" s="41">
        <f>'3. Verotulot'!S37*100/'Veroposentin tuotto'!F37</f>
        <v>33572.093023255817</v>
      </c>
      <c r="W37" s="41">
        <f>'3. Verotulot'!X37*100/'Veroposentin tuotto'!G37</f>
        <v>31320.930232558141</v>
      </c>
      <c r="X37" s="41">
        <f>'3. Verotulot'!AC37*100/'Veroposentin tuotto'!H37</f>
        <v>35255.813953488374</v>
      </c>
      <c r="Y37" s="41">
        <f>'3. Verotulot'!AH37*100/'Veroposentin tuotto'!I37</f>
        <v>34346.80734883721</v>
      </c>
      <c r="Z37" s="41">
        <f>'3. Verotulot'!AM37*100/'Veroposentin tuotto'!J37</f>
        <v>36397.989441860467</v>
      </c>
      <c r="AA37" s="41">
        <f>'3. Verotulot'!AR37*100/'Veroposentin tuotto'!K37</f>
        <v>42984.903950338601</v>
      </c>
      <c r="AB37" s="41">
        <f>'3. Verotulot'!AW37*100/'Veroposentin tuotto'!L37</f>
        <v>40790.632692443643</v>
      </c>
      <c r="AC37" s="41">
        <f>'3. Verotulot'!BB37*100/'Veroposentin tuotto'!M37</f>
        <v>41982.457299109301</v>
      </c>
      <c r="AD37" s="41">
        <f>'3. Verotulot'!BG37*100/'Veroposentin tuotto'!N37</f>
        <v>42504.047423826072</v>
      </c>
      <c r="AE37" s="41">
        <f>'3. Verotulot'!BL37*100/'Veroposentin tuotto'!O37</f>
        <v>43174.480777870675</v>
      </c>
      <c r="AF37" s="41">
        <f>'3. Verotulot'!BQ37*100/'Veroposentin tuotto'!P37</f>
        <v>44074.852204287956</v>
      </c>
      <c r="AI37" s="41">
        <f>'3. Verotulot'!D37/'Veroposentin tuotto'!C37</f>
        <v>353.3023060465116</v>
      </c>
      <c r="AJ37" s="41">
        <f>'3. Verotulot'!I37/'Veroposentin tuotto'!D37</f>
        <v>332.88372093023258</v>
      </c>
      <c r="AK37" s="41">
        <f>'3. Verotulot'!N37/'Veroposentin tuotto'!E37</f>
        <v>338.37209302325579</v>
      </c>
      <c r="AL37" s="41">
        <f>'3. Verotulot'!S37/'Veroposentin tuotto'!F37</f>
        <v>335.72093023255815</v>
      </c>
      <c r="AM37" s="41">
        <f>'3. Verotulot'!X37/'Veroposentin tuotto'!G37</f>
        <v>313.2093023255814</v>
      </c>
      <c r="AN37" s="41">
        <f>'3. Verotulot'!AC37/'Veroposentin tuotto'!H37</f>
        <v>352.55813953488371</v>
      </c>
      <c r="AO37" s="41">
        <f>'3. Verotulot'!AH37/'Veroposentin tuotto'!I37</f>
        <v>343.46807348837211</v>
      </c>
      <c r="AP37" s="41">
        <f>'3. Verotulot'!AM37/'Veroposentin tuotto'!J37</f>
        <v>363.97989441860466</v>
      </c>
      <c r="AQ37" s="41">
        <f>'3. Verotulot'!AR37/'Veroposentin tuotto'!K37</f>
        <v>429.84903950338605</v>
      </c>
      <c r="AR37" s="41">
        <f>'3. Verotulot'!AW37/'Veroposentin tuotto'!L37</f>
        <v>407.90632692443637</v>
      </c>
      <c r="AS37" s="41">
        <f>'3. Verotulot'!BB37/'Veroposentin tuotto'!M37</f>
        <v>419.82457299109302</v>
      </c>
      <c r="AT37" s="41">
        <f>'3. Verotulot'!BG37/'Veroposentin tuotto'!N37</f>
        <v>425.04047423826074</v>
      </c>
      <c r="AU37" s="41">
        <f>'3. Verotulot'!BL37/'Veroposentin tuotto'!O37</f>
        <v>431.74480777870673</v>
      </c>
      <c r="AV37" s="41">
        <f>'3. Verotulot'!BQ37/'Veroposentin tuotto'!P37</f>
        <v>440.74852204287953</v>
      </c>
      <c r="AX37" s="146"/>
      <c r="AZ37" s="34">
        <v>81</v>
      </c>
      <c r="BA37" s="88" t="s">
        <v>350</v>
      </c>
      <c r="BB37" s="41">
        <f>AI37/'1. Väestöennuste'!E37*1000</f>
        <v>118.4783051799167</v>
      </c>
      <c r="BC37" s="41">
        <f>AJ37/'1. Väestöennuste'!F37*1000</f>
        <v>113.84532179556518</v>
      </c>
      <c r="BD37" s="41">
        <f>AK37/'1. Väestöennuste'!G37*1000</f>
        <v>117.40877620515468</v>
      </c>
      <c r="BE37" s="41">
        <f>AL37/'1. Väestöennuste'!H37*1000</f>
        <v>120.76292454408566</v>
      </c>
      <c r="BF37" s="41">
        <f>AM37/'1. Väestöennuste'!I37*1000</f>
        <v>116.13248139621113</v>
      </c>
      <c r="BG37" s="41">
        <f>AN37/'1. Väestöennuste'!J37*1000</f>
        <v>132.7902597118206</v>
      </c>
      <c r="BH37" s="41">
        <f>AO37/'1. Väestöennuste'!K37*1000</f>
        <v>131.04466748888674</v>
      </c>
      <c r="BI37" s="41">
        <f>AP37/'1. Väestöennuste'!L37*1000</f>
        <v>141.40633038795829</v>
      </c>
      <c r="BJ37" s="41">
        <f>AQ37/'1. Väestöennuste'!M37*1000</f>
        <v>169.83367819177639</v>
      </c>
      <c r="BK37" s="41">
        <f>AR37/'1. Väestöennuste'!N37*1000</f>
        <v>168.27818767509751</v>
      </c>
      <c r="BL37" s="41">
        <f>AS37/'1. Väestöennuste'!O37*1000</f>
        <v>176.54523674982886</v>
      </c>
      <c r="BM37" s="41">
        <f>AT37/'1. Väestöennuste'!P37*1000</f>
        <v>181.87440061543037</v>
      </c>
      <c r="BN37" s="41">
        <f>AU37/'1. Väestöennuste'!Q37*1000</f>
        <v>187.7967845927389</v>
      </c>
      <c r="BO37" s="41">
        <f>AV37/'1. Väestöennuste'!R37*1000</f>
        <v>194.5909589593287</v>
      </c>
    </row>
    <row r="38" spans="1:67" x14ac:dyDescent="0.25">
      <c r="A38" s="30">
        <v>82</v>
      </c>
      <c r="B38" s="47" t="s">
        <v>351</v>
      </c>
      <c r="C38" s="47">
        <v>20</v>
      </c>
      <c r="D38" s="47">
        <v>20</v>
      </c>
      <c r="E38" s="47">
        <v>20.5</v>
      </c>
      <c r="F38" s="47">
        <v>20.5</v>
      </c>
      <c r="G38" s="47">
        <v>20.5</v>
      </c>
      <c r="H38" s="58">
        <v>20.75</v>
      </c>
      <c r="I38" s="139">
        <v>20.75</v>
      </c>
      <c r="J38" s="139">
        <v>20.75</v>
      </c>
      <c r="K38" s="139">
        <f t="shared" si="2"/>
        <v>8.11</v>
      </c>
      <c r="L38" s="139">
        <v>8.1</v>
      </c>
      <c r="M38" s="139">
        <f t="shared" si="4"/>
        <v>8.1</v>
      </c>
      <c r="N38" s="147">
        <f t="shared" si="4"/>
        <v>8.1</v>
      </c>
      <c r="O38" s="147">
        <f t="shared" si="4"/>
        <v>8.1</v>
      </c>
      <c r="P38" s="147">
        <f t="shared" si="4"/>
        <v>8.1</v>
      </c>
      <c r="Q38" s="147"/>
      <c r="S38" s="41">
        <f>'3. Verotulot'!D38*100/'Veroposentin tuotto'!C38</f>
        <v>166577.97845</v>
      </c>
      <c r="T38" s="41">
        <f>'3. Verotulot'!I38*100/'Veroposentin tuotto'!D38</f>
        <v>166450</v>
      </c>
      <c r="U38" s="41">
        <f>'3. Verotulot'!N38*100/'Veroposentin tuotto'!E38</f>
        <v>166292.68292682926</v>
      </c>
      <c r="V38" s="41">
        <f>'3. Verotulot'!S38*100/'Veroposentin tuotto'!F38</f>
        <v>166141.46341463414</v>
      </c>
      <c r="W38" s="41">
        <f>'3. Verotulot'!X38*100/'Veroposentin tuotto'!G38</f>
        <v>162970.73170731709</v>
      </c>
      <c r="X38" s="41">
        <f>'3. Verotulot'!AC38*100/'Veroposentin tuotto'!H38</f>
        <v>172067.46987951806</v>
      </c>
      <c r="Y38" s="41">
        <f>'3. Verotulot'!AH38*100/'Veroposentin tuotto'!I38</f>
        <v>174036.75812048194</v>
      </c>
      <c r="Z38" s="41">
        <f>'3. Verotulot'!AM38*100/'Veroposentin tuotto'!J38</f>
        <v>184317.08139759037</v>
      </c>
      <c r="AA38" s="41">
        <f>'3. Verotulot'!AR38*100/'Veroposentin tuotto'!K38</f>
        <v>231457.93070283602</v>
      </c>
      <c r="AB38" s="41">
        <f>'3. Verotulot'!AW38*100/'Veroposentin tuotto'!L38</f>
        <v>216118.23030321146</v>
      </c>
      <c r="AC38" s="41">
        <f>'3. Verotulot'!BB38*100/'Veroposentin tuotto'!M38</f>
        <v>226089.33526538711</v>
      </c>
      <c r="AD38" s="41">
        <f>'3. Verotulot'!BG38*100/'Veroposentin tuotto'!N38</f>
        <v>235054.87793569028</v>
      </c>
      <c r="AE38" s="41">
        <f>'3. Verotulot'!BL38*100/'Veroposentin tuotto'!O38</f>
        <v>241863.9086806745</v>
      </c>
      <c r="AF38" s="41">
        <f>'3. Verotulot'!BQ38*100/'Veroposentin tuotto'!P38</f>
        <v>249535.52896669446</v>
      </c>
      <c r="AI38" s="41">
        <f>'3. Verotulot'!D38/'Veroposentin tuotto'!C38</f>
        <v>1665.7797845</v>
      </c>
      <c r="AJ38" s="41">
        <f>'3. Verotulot'!I38/'Veroposentin tuotto'!D38</f>
        <v>1664.5</v>
      </c>
      <c r="AK38" s="41">
        <f>'3. Verotulot'!N38/'Veroposentin tuotto'!E38</f>
        <v>1662.9268292682927</v>
      </c>
      <c r="AL38" s="41">
        <f>'3. Verotulot'!S38/'Veroposentin tuotto'!F38</f>
        <v>1661.4146341463415</v>
      </c>
      <c r="AM38" s="41">
        <f>'3. Verotulot'!X38/'Veroposentin tuotto'!G38</f>
        <v>1629.7073170731708</v>
      </c>
      <c r="AN38" s="41">
        <f>'3. Verotulot'!AC38/'Veroposentin tuotto'!H38</f>
        <v>1720.6746987951808</v>
      </c>
      <c r="AO38" s="41">
        <f>'3. Verotulot'!AH38/'Veroposentin tuotto'!I38</f>
        <v>1740.3675812048195</v>
      </c>
      <c r="AP38" s="41">
        <f>'3. Verotulot'!AM38/'Veroposentin tuotto'!J38</f>
        <v>1843.1708139759037</v>
      </c>
      <c r="AQ38" s="41">
        <f>'3. Verotulot'!AR38/'Veroposentin tuotto'!K38</f>
        <v>2314.5793070283603</v>
      </c>
      <c r="AR38" s="41">
        <f>'3. Verotulot'!AW38/'Veroposentin tuotto'!L38</f>
        <v>2161.1823030321148</v>
      </c>
      <c r="AS38" s="41">
        <f>'3. Verotulot'!BB38/'Veroposentin tuotto'!M38</f>
        <v>2260.8933526538708</v>
      </c>
      <c r="AT38" s="41">
        <f>'3. Verotulot'!BG38/'Veroposentin tuotto'!N38</f>
        <v>2350.5487793569027</v>
      </c>
      <c r="AU38" s="41">
        <f>'3. Verotulot'!BL38/'Veroposentin tuotto'!O38</f>
        <v>2418.6390868067451</v>
      </c>
      <c r="AV38" s="41">
        <f>'3. Verotulot'!BQ38/'Veroposentin tuotto'!P38</f>
        <v>2495.3552896669444</v>
      </c>
      <c r="AX38" s="146"/>
      <c r="AZ38" s="34">
        <v>82</v>
      </c>
      <c r="BA38" s="88" t="s">
        <v>351</v>
      </c>
      <c r="BB38" s="41">
        <f>AI38/'1. Väestöennuste'!E38*1000</f>
        <v>170.90179383400019</v>
      </c>
      <c r="BC38" s="41">
        <f>AJ38/'1. Väestöennuste'!F38*1000</f>
        <v>171.91695930592854</v>
      </c>
      <c r="BD38" s="41">
        <f>AK38/'1. Väestöennuste'!G38*1000</f>
        <v>173.04129336818863</v>
      </c>
      <c r="BE38" s="41">
        <f>AL38/'1. Väestöennuste'!H38*1000</f>
        <v>175.34719093892787</v>
      </c>
      <c r="BF38" s="41">
        <f>AM38/'1. Väestöennuste'!I38*1000</f>
        <v>172.9682994134123</v>
      </c>
      <c r="BG38" s="41">
        <f>AN38/'1. Väestöennuste'!J38*1000</f>
        <v>183.26495886624568</v>
      </c>
      <c r="BH38" s="41">
        <f>AO38/'1. Väestöennuste'!K38*1000</f>
        <v>185.04705807600422</v>
      </c>
      <c r="BI38" s="41">
        <f>AP38/'1. Väestöennuste'!L38*1000</f>
        <v>196.94099946318022</v>
      </c>
      <c r="BJ38" s="41">
        <f>AQ38/'1. Väestöennuste'!M38*1000</f>
        <v>246.99384345623309</v>
      </c>
      <c r="BK38" s="41">
        <f>AR38/'1. Väestöennuste'!N38*1000</f>
        <v>235.49986956871689</v>
      </c>
      <c r="BL38" s="41">
        <f>AS38/'1. Väestöennuste'!O38*1000</f>
        <v>247.85061967264534</v>
      </c>
      <c r="BM38" s="41">
        <f>AT38/'1. Väestöennuste'!P38*1000</f>
        <v>259.27076763257259</v>
      </c>
      <c r="BN38" s="41">
        <f>AU38/'1. Väestöennuste'!Q38*1000</f>
        <v>268.46920710475581</v>
      </c>
      <c r="BO38" s="41">
        <f>AV38/'1. Väestöennuste'!R38*1000</f>
        <v>278.74835675457376</v>
      </c>
    </row>
    <row r="39" spans="1:67" x14ac:dyDescent="0.25">
      <c r="A39" s="30">
        <v>86</v>
      </c>
      <c r="B39" s="47" t="s">
        <v>352</v>
      </c>
      <c r="C39" s="47">
        <v>21</v>
      </c>
      <c r="D39" s="47">
        <v>21.5</v>
      </c>
      <c r="E39" s="47">
        <v>21.5</v>
      </c>
      <c r="F39" s="47">
        <v>21.5</v>
      </c>
      <c r="G39" s="47">
        <v>21.5</v>
      </c>
      <c r="H39" s="58">
        <v>21.5</v>
      </c>
      <c r="I39" s="139">
        <v>21.5</v>
      </c>
      <c r="J39" s="139">
        <v>21.5</v>
      </c>
      <c r="K39" s="139">
        <f t="shared" si="2"/>
        <v>8.86</v>
      </c>
      <c r="L39" s="139">
        <v>8.9</v>
      </c>
      <c r="M39" s="139">
        <f t="shared" si="4"/>
        <v>8.9</v>
      </c>
      <c r="N39" s="147">
        <f t="shared" si="4"/>
        <v>8.9</v>
      </c>
      <c r="O39" s="147">
        <f t="shared" si="4"/>
        <v>8.9</v>
      </c>
      <c r="P39" s="147">
        <f t="shared" si="4"/>
        <v>8.9</v>
      </c>
      <c r="Q39" s="147"/>
      <c r="S39" s="41">
        <f>'3. Verotulot'!D39*100/'Veroposentin tuotto'!C39</f>
        <v>139359.44395238097</v>
      </c>
      <c r="T39" s="41">
        <f>'3. Verotulot'!I39*100/'Veroposentin tuotto'!D39</f>
        <v>138316.27906976745</v>
      </c>
      <c r="U39" s="41">
        <f>'3. Verotulot'!N39*100/'Veroposentin tuotto'!E39</f>
        <v>136567.44186046513</v>
      </c>
      <c r="V39" s="41">
        <f>'3. Verotulot'!S39*100/'Veroposentin tuotto'!F39</f>
        <v>134637.20930232559</v>
      </c>
      <c r="W39" s="41">
        <f>'3. Verotulot'!X39*100/'Veroposentin tuotto'!G39</f>
        <v>138506.97674418605</v>
      </c>
      <c r="X39" s="41">
        <f>'3. Verotulot'!AC39*100/'Veroposentin tuotto'!H39</f>
        <v>140148.83720930232</v>
      </c>
      <c r="Y39" s="41">
        <f>'3. Verotulot'!AH39*100/'Veroposentin tuotto'!I39</f>
        <v>145006.72288372091</v>
      </c>
      <c r="Z39" s="41">
        <f>'3. Verotulot'!AM39*100/'Veroposentin tuotto'!J39</f>
        <v>150311.35348837209</v>
      </c>
      <c r="AA39" s="41">
        <f>'3. Verotulot'!AR39*100/'Veroposentin tuotto'!K39</f>
        <v>182200.81264108352</v>
      </c>
      <c r="AB39" s="41">
        <f>'3. Verotulot'!AW39*100/'Veroposentin tuotto'!L39</f>
        <v>173947.97443592429</v>
      </c>
      <c r="AC39" s="41">
        <f>'3. Verotulot'!BB39*100/'Veroposentin tuotto'!M39</f>
        <v>181698.42866884344</v>
      </c>
      <c r="AD39" s="41">
        <f>'3. Verotulot'!BG39*100/'Veroposentin tuotto'!N39</f>
        <v>188882.13596196554</v>
      </c>
      <c r="AE39" s="41">
        <f>'3. Verotulot'!BL39*100/'Veroposentin tuotto'!O39</f>
        <v>194514.02278202129</v>
      </c>
      <c r="AF39" s="41">
        <f>'3. Verotulot'!BQ39*100/'Veroposentin tuotto'!P39</f>
        <v>200956.45207330669</v>
      </c>
      <c r="AI39" s="41">
        <f>'3. Verotulot'!D39/'Veroposentin tuotto'!C39</f>
        <v>1393.5944395238096</v>
      </c>
      <c r="AJ39" s="41">
        <f>'3. Verotulot'!I39/'Veroposentin tuotto'!D39</f>
        <v>1383.1627906976744</v>
      </c>
      <c r="AK39" s="41">
        <f>'3. Verotulot'!N39/'Veroposentin tuotto'!E39</f>
        <v>1365.6744186046512</v>
      </c>
      <c r="AL39" s="41">
        <f>'3. Verotulot'!S39/'Veroposentin tuotto'!F39</f>
        <v>1346.3720930232557</v>
      </c>
      <c r="AM39" s="41">
        <f>'3. Verotulot'!X39/'Veroposentin tuotto'!G39</f>
        <v>1385.0697674418604</v>
      </c>
      <c r="AN39" s="41">
        <f>'3. Verotulot'!AC39/'Veroposentin tuotto'!H39</f>
        <v>1401.4883720930231</v>
      </c>
      <c r="AO39" s="41">
        <f>'3. Verotulot'!AH39/'Veroposentin tuotto'!I39</f>
        <v>1450.0672288372093</v>
      </c>
      <c r="AP39" s="41">
        <f>'3. Verotulot'!AM39/'Veroposentin tuotto'!J39</f>
        <v>1503.1135348837208</v>
      </c>
      <c r="AQ39" s="41">
        <f>'3. Verotulot'!AR39/'Veroposentin tuotto'!K39</f>
        <v>1822.0081264108353</v>
      </c>
      <c r="AR39" s="41">
        <f>'3. Verotulot'!AW39/'Veroposentin tuotto'!L39</f>
        <v>1739.4797443592429</v>
      </c>
      <c r="AS39" s="41">
        <f>'3. Verotulot'!BB39/'Veroposentin tuotto'!M39</f>
        <v>1816.9842866884346</v>
      </c>
      <c r="AT39" s="41">
        <f>'3. Verotulot'!BG39/'Veroposentin tuotto'!N39</f>
        <v>1888.8213596196554</v>
      </c>
      <c r="AU39" s="41">
        <f>'3. Verotulot'!BL39/'Veroposentin tuotto'!O39</f>
        <v>1945.1402278202131</v>
      </c>
      <c r="AV39" s="41">
        <f>'3. Verotulot'!BQ39/'Veroposentin tuotto'!P39</f>
        <v>2009.564520733067</v>
      </c>
      <c r="AX39" s="146"/>
      <c r="AZ39" s="34">
        <v>86</v>
      </c>
      <c r="BA39" s="88" t="s">
        <v>352</v>
      </c>
      <c r="BB39" s="41">
        <f>AI39/'1. Väestöennuste'!E39*1000</f>
        <v>159.65109858217548</v>
      </c>
      <c r="BC39" s="41">
        <f>AJ39/'1. Väestöennuste'!F39*1000</f>
        <v>160.06975936785955</v>
      </c>
      <c r="BD39" s="41">
        <f>AK39/'1. Väestöennuste'!G39*1000</f>
        <v>160.59200595068808</v>
      </c>
      <c r="BE39" s="41">
        <f>AL39/'1. Väestöennuste'!H39*1000</f>
        <v>159.95866615459852</v>
      </c>
      <c r="BF39" s="41">
        <f>AM39/'1. Väestöennuste'!I39*1000</f>
        <v>167.68399121572162</v>
      </c>
      <c r="BG39" s="41">
        <f>AN39/'1. Väestöennuste'!J39*1000</f>
        <v>171.43588649455941</v>
      </c>
      <c r="BH39" s="41">
        <f>AO39/'1. Väestöennuste'!K39*1000</f>
        <v>178.07530748338564</v>
      </c>
      <c r="BI39" s="41">
        <f>AP39/'1. Väestöennuste'!L39*1000</f>
        <v>187.16393162541661</v>
      </c>
      <c r="BJ39" s="41">
        <f>AQ39/'1. Väestöennuste'!M39*1000</f>
        <v>227.80796779330274</v>
      </c>
      <c r="BK39" s="41">
        <f>AR39/'1. Väestöennuste'!N39*1000</f>
        <v>222.75320071190202</v>
      </c>
      <c r="BL39" s="41">
        <f>AS39/'1. Väestöennuste'!O39*1000</f>
        <v>235.02577760812761</v>
      </c>
      <c r="BM39" s="41">
        <f>AT39/'1. Väestöennuste'!P39*1000</f>
        <v>246.61461804669742</v>
      </c>
      <c r="BN39" s="41">
        <f>AU39/'1. Väestöennuste'!Q39*1000</f>
        <v>256.20919755271507</v>
      </c>
      <c r="BO39" s="41">
        <f>AV39/'1. Väestöennuste'!R39*1000</f>
        <v>267.05176355256702</v>
      </c>
    </row>
    <row r="40" spans="1:67" x14ac:dyDescent="0.25">
      <c r="A40" s="30">
        <v>90</v>
      </c>
      <c r="B40" s="47" t="s">
        <v>353</v>
      </c>
      <c r="C40" s="47">
        <v>20.75</v>
      </c>
      <c r="D40" s="47">
        <v>20.75</v>
      </c>
      <c r="E40" s="47">
        <v>20.75</v>
      </c>
      <c r="F40" s="47">
        <v>21</v>
      </c>
      <c r="G40" s="47">
        <v>21</v>
      </c>
      <c r="H40" s="58">
        <v>21</v>
      </c>
      <c r="I40" s="139">
        <v>20.999999999999996</v>
      </c>
      <c r="J40" s="139">
        <v>21.5</v>
      </c>
      <c r="K40" s="139">
        <f t="shared" si="2"/>
        <v>8.86</v>
      </c>
      <c r="L40" s="139">
        <v>8.8000000000000007</v>
      </c>
      <c r="M40" s="139">
        <f t="shared" si="4"/>
        <v>8.8000000000000007</v>
      </c>
      <c r="N40" s="147">
        <f t="shared" si="4"/>
        <v>8.8000000000000007</v>
      </c>
      <c r="O40" s="147">
        <f t="shared" si="4"/>
        <v>8.8000000000000007</v>
      </c>
      <c r="P40" s="147">
        <f t="shared" si="4"/>
        <v>8.8000000000000007</v>
      </c>
      <c r="Q40" s="147"/>
      <c r="S40" s="41">
        <f>'3. Verotulot'!D40*100/'Veroposentin tuotto'!C40</f>
        <v>41592.301204819276</v>
      </c>
      <c r="T40" s="41">
        <f>'3. Verotulot'!I40*100/'Veroposentin tuotto'!D40</f>
        <v>41638.554216867473</v>
      </c>
      <c r="U40" s="41">
        <f>'3. Verotulot'!N40*100/'Veroposentin tuotto'!E40</f>
        <v>41416.867469879515</v>
      </c>
      <c r="V40" s="41">
        <f>'3. Verotulot'!S40*100/'Veroposentin tuotto'!F40</f>
        <v>38704.761904761908</v>
      </c>
      <c r="W40" s="41">
        <f>'3. Verotulot'!X40*100/'Veroposentin tuotto'!G40</f>
        <v>39966.666666666664</v>
      </c>
      <c r="X40" s="41">
        <f>'3. Verotulot'!AC40*100/'Veroposentin tuotto'!H40</f>
        <v>40142.857142857145</v>
      </c>
      <c r="Y40" s="41">
        <f>'3. Verotulot'!AH40*100/'Veroposentin tuotto'!I40</f>
        <v>42233.562428571437</v>
      </c>
      <c r="Z40" s="41">
        <f>'3. Verotulot'!AM40*100/'Veroposentin tuotto'!J40</f>
        <v>43735.774186046503</v>
      </c>
      <c r="AA40" s="41">
        <f>'3. Verotulot'!AR40*100/'Veroposentin tuotto'!K40</f>
        <v>50402.668623024838</v>
      </c>
      <c r="AB40" s="41">
        <f>'3. Verotulot'!AW40*100/'Veroposentin tuotto'!L40</f>
        <v>48476.834587696096</v>
      </c>
      <c r="AC40" s="41">
        <f>'3. Verotulot'!BB40*100/'Veroposentin tuotto'!M40</f>
        <v>49959.819702055036</v>
      </c>
      <c r="AD40" s="41">
        <f>'3. Verotulot'!BG40*100/'Veroposentin tuotto'!N40</f>
        <v>50778.18562439199</v>
      </c>
      <c r="AE40" s="41">
        <f>'3. Verotulot'!BL40*100/'Veroposentin tuotto'!O40</f>
        <v>51578.394095150863</v>
      </c>
      <c r="AF40" s="41">
        <f>'3. Verotulot'!BQ40*100/'Veroposentin tuotto'!P40</f>
        <v>52480.818396302515</v>
      </c>
      <c r="AI40" s="41">
        <f>'3. Verotulot'!D40/'Veroposentin tuotto'!C40</f>
        <v>415.92301204819279</v>
      </c>
      <c r="AJ40" s="41">
        <f>'3. Verotulot'!I40/'Veroposentin tuotto'!D40</f>
        <v>416.3855421686747</v>
      </c>
      <c r="AK40" s="41">
        <f>'3. Verotulot'!N40/'Veroposentin tuotto'!E40</f>
        <v>414.1686746987952</v>
      </c>
      <c r="AL40" s="41">
        <f>'3. Verotulot'!S40/'Veroposentin tuotto'!F40</f>
        <v>387.04761904761904</v>
      </c>
      <c r="AM40" s="41">
        <f>'3. Verotulot'!X40/'Veroposentin tuotto'!G40</f>
        <v>399.66666666666669</v>
      </c>
      <c r="AN40" s="41">
        <f>'3. Verotulot'!AC40/'Veroposentin tuotto'!H40</f>
        <v>401.42857142857144</v>
      </c>
      <c r="AO40" s="41">
        <f>'3. Verotulot'!AH40/'Veroposentin tuotto'!I40</f>
        <v>422.33562428571435</v>
      </c>
      <c r="AP40" s="41">
        <f>'3. Verotulot'!AM40/'Veroposentin tuotto'!J40</f>
        <v>437.35774186046507</v>
      </c>
      <c r="AQ40" s="41">
        <f>'3. Verotulot'!AR40/'Veroposentin tuotto'!K40</f>
        <v>504.02668623024834</v>
      </c>
      <c r="AR40" s="41">
        <f>'3. Verotulot'!AW40/'Veroposentin tuotto'!L40</f>
        <v>484.76834587696095</v>
      </c>
      <c r="AS40" s="41">
        <f>'3. Verotulot'!BB40/'Veroposentin tuotto'!M40</f>
        <v>499.59819702055034</v>
      </c>
      <c r="AT40" s="41">
        <f>'3. Verotulot'!BG40/'Veroposentin tuotto'!N40</f>
        <v>507.78185624391989</v>
      </c>
      <c r="AU40" s="41">
        <f>'3. Verotulot'!BL40/'Veroposentin tuotto'!O40</f>
        <v>515.78394095150861</v>
      </c>
      <c r="AV40" s="41">
        <f>'3. Verotulot'!BQ40/'Veroposentin tuotto'!P40</f>
        <v>524.80818396302516</v>
      </c>
      <c r="AX40" s="146"/>
      <c r="AZ40" s="34">
        <v>90</v>
      </c>
      <c r="BA40" s="88" t="s">
        <v>353</v>
      </c>
      <c r="BB40" s="41">
        <f>AI40/'1. Väestöennuste'!E40*1000</f>
        <v>116.3746536228855</v>
      </c>
      <c r="BC40" s="41">
        <f>AJ40/'1. Väestöennuste'!F40*1000</f>
        <v>118.49332446462</v>
      </c>
      <c r="BD40" s="41">
        <f>AK40/'1. Väestöennuste'!G40*1000</f>
        <v>119.87515910240093</v>
      </c>
      <c r="BE40" s="41">
        <f>AL40/'1. Väestöennuste'!H40*1000</f>
        <v>116.26543077429228</v>
      </c>
      <c r="BF40" s="41">
        <f>AM40/'1. Väestöennuste'!I40*1000</f>
        <v>122.82319196885885</v>
      </c>
      <c r="BG40" s="41">
        <f>AN40/'1. Väestöennuste'!J40*1000</f>
        <v>125.60343286250672</v>
      </c>
      <c r="BH40" s="41">
        <f>AO40/'1. Väestöennuste'!K40*1000</f>
        <v>134.67334958090382</v>
      </c>
      <c r="BI40" s="41">
        <f>AP40/'1. Väestöennuste'!L40*1000</f>
        <v>142.8806735904819</v>
      </c>
      <c r="BJ40" s="41">
        <f>AQ40/'1. Väestöennuste'!M40*1000</f>
        <v>167.95291110638067</v>
      </c>
      <c r="BK40" s="41">
        <f>AR40/'1. Väestöennuste'!N40*1000</f>
        <v>164.10573658664893</v>
      </c>
      <c r="BL40" s="41">
        <f>AS40/'1. Väestöennuste'!O40*1000</f>
        <v>172.0972087566484</v>
      </c>
      <c r="BM40" s="41">
        <f>AT40/'1. Väestöennuste'!P40*1000</f>
        <v>177.85704246722236</v>
      </c>
      <c r="BN40" s="41">
        <f>AU40/'1. Väestöennuste'!Q40*1000</f>
        <v>183.81466177886981</v>
      </c>
      <c r="BO40" s="41">
        <f>AV40/'1. Väestöennuste'!R40*1000</f>
        <v>190.28578098731876</v>
      </c>
    </row>
    <row r="41" spans="1:67" x14ac:dyDescent="0.25">
      <c r="A41" s="30">
        <v>91</v>
      </c>
      <c r="B41" s="47" t="s">
        <v>354</v>
      </c>
      <c r="C41" s="47">
        <v>18.5</v>
      </c>
      <c r="D41" s="47">
        <v>18.5</v>
      </c>
      <c r="E41" s="47">
        <v>18.5</v>
      </c>
      <c r="F41" s="47">
        <v>18</v>
      </c>
      <c r="G41" s="47">
        <v>18</v>
      </c>
      <c r="H41" s="58">
        <v>18</v>
      </c>
      <c r="I41" s="139">
        <v>18</v>
      </c>
      <c r="J41" s="139">
        <v>18</v>
      </c>
      <c r="K41" s="139">
        <f t="shared" si="2"/>
        <v>5.3599999999999994</v>
      </c>
      <c r="L41" s="139">
        <v>5.3</v>
      </c>
      <c r="M41" s="139">
        <f t="shared" si="4"/>
        <v>5.3</v>
      </c>
      <c r="N41" s="147">
        <f t="shared" si="4"/>
        <v>5.3</v>
      </c>
      <c r="O41" s="147">
        <f t="shared" si="4"/>
        <v>5.3</v>
      </c>
      <c r="P41" s="147">
        <f t="shared" si="4"/>
        <v>5.3</v>
      </c>
      <c r="Q41" s="147"/>
      <c r="S41" s="41">
        <f>'3. Verotulot'!D41*100/'Veroposentin tuotto'!C41</f>
        <v>13411367.887405407</v>
      </c>
      <c r="T41" s="41">
        <f>'3. Verotulot'!I41*100/'Veroposentin tuotto'!D41</f>
        <v>13978718.918918919</v>
      </c>
      <c r="U41" s="41">
        <f>'3. Verotulot'!N41*100/'Veroposentin tuotto'!E41</f>
        <v>14027848.648648649</v>
      </c>
      <c r="V41" s="41">
        <f>'3. Verotulot'!S41*100/'Veroposentin tuotto'!F41</f>
        <v>14336016.666666666</v>
      </c>
      <c r="W41" s="41">
        <f>'3. Verotulot'!X41*100/'Veroposentin tuotto'!G41</f>
        <v>14627416.666666666</v>
      </c>
      <c r="X41" s="41">
        <f>'3. Verotulot'!AC41*100/'Veroposentin tuotto'!H41</f>
        <v>15510777.777777778</v>
      </c>
      <c r="Y41" s="41">
        <f>'3. Verotulot'!AH41*100/'Veroposentin tuotto'!I41</f>
        <v>15672863.139222221</v>
      </c>
      <c r="Z41" s="41">
        <f>'3. Verotulot'!AM41*100/'Veroposentin tuotto'!J41</f>
        <v>16825050.44688889</v>
      </c>
      <c r="AA41" s="41">
        <f>'3. Verotulot'!AR41*100/'Veroposentin tuotto'!K41</f>
        <v>22236579.375559703</v>
      </c>
      <c r="AB41" s="41">
        <f>'3. Verotulot'!AW41*100/'Veroposentin tuotto'!L41</f>
        <v>20160521.267896023</v>
      </c>
      <c r="AC41" s="41">
        <f>'3. Verotulot'!BB41*100/'Veroposentin tuotto'!M41</f>
        <v>21001597.476251684</v>
      </c>
      <c r="AD41" s="41">
        <f>'3. Verotulot'!BG41*100/'Veroposentin tuotto'!N41</f>
        <v>21836581.112337187</v>
      </c>
      <c r="AE41" s="41">
        <f>'3. Verotulot'!BL41*100/'Veroposentin tuotto'!O41</f>
        <v>22619135.91398637</v>
      </c>
      <c r="AF41" s="41">
        <f>'3. Verotulot'!BQ41*100/'Veroposentin tuotto'!P41</f>
        <v>23490929.687225368</v>
      </c>
      <c r="AI41" s="41">
        <f>'3. Verotulot'!D41/'Veroposentin tuotto'!C41</f>
        <v>134113.67887405408</v>
      </c>
      <c r="AJ41" s="41">
        <f>'3. Verotulot'!I41/'Veroposentin tuotto'!D41</f>
        <v>139787.1891891892</v>
      </c>
      <c r="AK41" s="41">
        <f>'3. Verotulot'!N41/'Veroposentin tuotto'!E41</f>
        <v>140278.48648648648</v>
      </c>
      <c r="AL41" s="41">
        <f>'3. Verotulot'!S41/'Veroposentin tuotto'!F41</f>
        <v>143360.16666666666</v>
      </c>
      <c r="AM41" s="41">
        <f>'3. Verotulot'!X41/'Veroposentin tuotto'!G41</f>
        <v>146274.16666666666</v>
      </c>
      <c r="AN41" s="41">
        <f>'3. Verotulot'!AC41/'Veroposentin tuotto'!H41</f>
        <v>155107.77777777778</v>
      </c>
      <c r="AO41" s="41">
        <f>'3. Verotulot'!AH41/'Veroposentin tuotto'!I41</f>
        <v>156728.63139222222</v>
      </c>
      <c r="AP41" s="41">
        <f>'3. Verotulot'!AM41/'Veroposentin tuotto'!J41</f>
        <v>168250.50446888889</v>
      </c>
      <c r="AQ41" s="41">
        <f>'3. Verotulot'!AR41/'Veroposentin tuotto'!K41</f>
        <v>222365.79375559703</v>
      </c>
      <c r="AR41" s="41">
        <f>'3. Verotulot'!AW41/'Veroposentin tuotto'!L41</f>
        <v>201605.21267896023</v>
      </c>
      <c r="AS41" s="41">
        <f>'3. Verotulot'!BB41/'Veroposentin tuotto'!M41</f>
        <v>210015.97476251682</v>
      </c>
      <c r="AT41" s="41">
        <f>'3. Verotulot'!BG41/'Veroposentin tuotto'!N41</f>
        <v>218365.81112337185</v>
      </c>
      <c r="AU41" s="41">
        <f>'3. Verotulot'!BL41/'Veroposentin tuotto'!O41</f>
        <v>226191.35913986372</v>
      </c>
      <c r="AV41" s="41">
        <f>'3. Verotulot'!BQ41/'Veroposentin tuotto'!P41</f>
        <v>234909.2968722537</v>
      </c>
      <c r="AX41" s="146"/>
      <c r="AZ41" s="34">
        <v>91</v>
      </c>
      <c r="BA41" s="88" t="s">
        <v>354</v>
      </c>
      <c r="BB41" s="41">
        <f>AI41/'1. Väestöennuste'!E41*1000</f>
        <v>213.48610472017879</v>
      </c>
      <c r="BC41" s="41">
        <f>AJ41/'1. Väestöennuste'!F41*1000</f>
        <v>220.0745758912644</v>
      </c>
      <c r="BD41" s="41">
        <f>AK41/'1. Väestöennuste'!G41*1000</f>
        <v>218.07025097701512</v>
      </c>
      <c r="BE41" s="41">
        <f>AL41/'1. Väestöennuste'!H41*1000</f>
        <v>221.22048673799949</v>
      </c>
      <c r="BF41" s="41">
        <f>AM41/'1. Väestöennuste'!I41*1000</f>
        <v>223.71724772559844</v>
      </c>
      <c r="BG41" s="41">
        <f>AN41/'1. Väestöennuste'!J41*1000</f>
        <v>236.1136482034004</v>
      </c>
      <c r="BH41" s="41">
        <f>AO41/'1. Väestöennuste'!K41*1000</f>
        <v>238.02409480379467</v>
      </c>
      <c r="BI41" s="41">
        <f>AP41/'1. Väestöennuste'!L41*1000</f>
        <v>253.37862931817469</v>
      </c>
      <c r="BJ41" s="41">
        <f>AQ41/'1. Väestöennuste'!M41*1000</f>
        <v>329.67500927442114</v>
      </c>
      <c r="BK41" s="41">
        <f>AR41/'1. Väestöennuste'!N41*1000</f>
        <v>297.38659505424692</v>
      </c>
      <c r="BL41" s="41">
        <f>AS41/'1. Väestöennuste'!O41*1000</f>
        <v>307.68911517175343</v>
      </c>
      <c r="BM41" s="41">
        <f>AT41/'1. Väestöennuste'!P41*1000</f>
        <v>317.82964505412514</v>
      </c>
      <c r="BN41" s="41">
        <f>AU41/'1. Väestöennuste'!Q41*1000</f>
        <v>327.14883546744687</v>
      </c>
      <c r="BO41" s="41">
        <f>AV41/'1. Väestöennuste'!R41*1000</f>
        <v>337.70792780359619</v>
      </c>
    </row>
    <row r="42" spans="1:67" x14ac:dyDescent="0.25">
      <c r="A42" s="30">
        <v>92</v>
      </c>
      <c r="B42" s="47" t="s">
        <v>355</v>
      </c>
      <c r="C42" s="47">
        <v>19</v>
      </c>
      <c r="D42" s="47">
        <v>19</v>
      </c>
      <c r="E42" s="47">
        <v>19</v>
      </c>
      <c r="F42" s="47">
        <v>19</v>
      </c>
      <c r="G42" s="47">
        <v>19</v>
      </c>
      <c r="H42" s="58">
        <v>19</v>
      </c>
      <c r="I42" s="139">
        <v>19</v>
      </c>
      <c r="J42" s="139">
        <v>19</v>
      </c>
      <c r="K42" s="139">
        <f t="shared" si="2"/>
        <v>6.3599999999999994</v>
      </c>
      <c r="L42" s="139">
        <v>6.4</v>
      </c>
      <c r="M42" s="139">
        <f t="shared" si="4"/>
        <v>6.4</v>
      </c>
      <c r="N42" s="147">
        <f t="shared" si="4"/>
        <v>6.4</v>
      </c>
      <c r="O42" s="147">
        <f t="shared" si="4"/>
        <v>6.4</v>
      </c>
      <c r="P42" s="147">
        <f t="shared" si="4"/>
        <v>6.4</v>
      </c>
      <c r="Q42" s="147"/>
      <c r="S42" s="41">
        <f>'3. Verotulot'!D42*100/'Veroposentin tuotto'!C42</f>
        <v>4138759.4195263158</v>
      </c>
      <c r="T42" s="41">
        <f>'3. Verotulot'!I42*100/'Veroposentin tuotto'!D42</f>
        <v>4282878.9473684207</v>
      </c>
      <c r="U42" s="41">
        <f>'3. Verotulot'!N42*100/'Veroposentin tuotto'!E42</f>
        <v>4310421.0526315793</v>
      </c>
      <c r="V42" s="41">
        <f>'3. Verotulot'!S42*100/'Veroposentin tuotto'!F42</f>
        <v>4346010.5263157897</v>
      </c>
      <c r="W42" s="41">
        <f>'3. Verotulot'!X42*100/'Veroposentin tuotto'!G42</f>
        <v>4534210.5263157897</v>
      </c>
      <c r="X42" s="41">
        <f>'3. Verotulot'!AC42*100/'Veroposentin tuotto'!H42</f>
        <v>4815631.5789473681</v>
      </c>
      <c r="Y42" s="41">
        <f>'3. Verotulot'!AH42*100/'Veroposentin tuotto'!I42</f>
        <v>4776012.9659473682</v>
      </c>
      <c r="Z42" s="41">
        <f>'3. Verotulot'!AM42*100/'Veroposentin tuotto'!J42</f>
        <v>5038789.3168421062</v>
      </c>
      <c r="AA42" s="41">
        <f>'3. Verotulot'!AR42*100/'Veroposentin tuotto'!K42</f>
        <v>6780650.1872641519</v>
      </c>
      <c r="AB42" s="41">
        <f>'3. Verotulot'!AW42*100/'Veroposentin tuotto'!L42</f>
        <v>6296376.9044141406</v>
      </c>
      <c r="AC42" s="41">
        <f>'3. Verotulot'!BB42*100/'Veroposentin tuotto'!M42</f>
        <v>6722499.4625612497</v>
      </c>
      <c r="AD42" s="41">
        <f>'3. Verotulot'!BG42*100/'Veroposentin tuotto'!N42</f>
        <v>7166304.9359504795</v>
      </c>
      <c r="AE42" s="41">
        <f>'3. Verotulot'!BL42*100/'Veroposentin tuotto'!O42</f>
        <v>7502331.0250084903</v>
      </c>
      <c r="AF42" s="41">
        <f>'3. Verotulot'!BQ42*100/'Veroposentin tuotto'!P42</f>
        <v>7909213.7927928707</v>
      </c>
      <c r="AI42" s="41">
        <f>'3. Verotulot'!D42/'Veroposentin tuotto'!C42</f>
        <v>41387.594195263162</v>
      </c>
      <c r="AJ42" s="41">
        <f>'3. Verotulot'!I42/'Veroposentin tuotto'!D42</f>
        <v>42828.789473684214</v>
      </c>
      <c r="AK42" s="41">
        <f>'3. Verotulot'!N42/'Veroposentin tuotto'!E42</f>
        <v>43104.210526315786</v>
      </c>
      <c r="AL42" s="41">
        <f>'3. Verotulot'!S42/'Veroposentin tuotto'!F42</f>
        <v>43460.105263157893</v>
      </c>
      <c r="AM42" s="41">
        <f>'3. Verotulot'!X42/'Veroposentin tuotto'!G42</f>
        <v>45342.105263157893</v>
      </c>
      <c r="AN42" s="41">
        <f>'3. Verotulot'!AC42/'Veroposentin tuotto'!H42</f>
        <v>48156.315789473687</v>
      </c>
      <c r="AO42" s="41">
        <f>'3. Verotulot'!AH42/'Veroposentin tuotto'!I42</f>
        <v>47760.129659473685</v>
      </c>
      <c r="AP42" s="41">
        <f>'3. Verotulot'!AM42/'Veroposentin tuotto'!J42</f>
        <v>50387.893168421055</v>
      </c>
      <c r="AQ42" s="41">
        <f>'3. Verotulot'!AR42/'Veroposentin tuotto'!K42</f>
        <v>67806.501872641515</v>
      </c>
      <c r="AR42" s="41">
        <f>'3. Verotulot'!AW42/'Veroposentin tuotto'!L42</f>
        <v>62963.769044141409</v>
      </c>
      <c r="AS42" s="41">
        <f>'3. Verotulot'!BB42/'Veroposentin tuotto'!M42</f>
        <v>67224.994625612497</v>
      </c>
      <c r="AT42" s="41">
        <f>'3. Verotulot'!BG42/'Veroposentin tuotto'!N42</f>
        <v>71663.049359504788</v>
      </c>
      <c r="AU42" s="41">
        <f>'3. Verotulot'!BL42/'Veroposentin tuotto'!O42</f>
        <v>75023.310250084905</v>
      </c>
      <c r="AV42" s="41">
        <f>'3. Verotulot'!BQ42/'Veroposentin tuotto'!P42</f>
        <v>79092.137927928707</v>
      </c>
      <c r="AX42" s="146"/>
      <c r="AZ42" s="34">
        <v>92</v>
      </c>
      <c r="BA42" s="88" t="s">
        <v>355</v>
      </c>
      <c r="BB42" s="41">
        <f>AI42/'1. Väestöennuste'!E42*1000</f>
        <v>192.85475266309339</v>
      </c>
      <c r="BC42" s="41">
        <f>AJ42/'1. Väestöennuste'!F42*1000</f>
        <v>195.26121187413304</v>
      </c>
      <c r="BD42" s="41">
        <f>AK42/'1. Väestöennuste'!G42*1000</f>
        <v>193.26902359945561</v>
      </c>
      <c r="BE42" s="41">
        <f>AL42/'1. Väestöennuste'!H42*1000</f>
        <v>190.47581700673146</v>
      </c>
      <c r="BF42" s="41">
        <f>AM42/'1. Väestöennuste'!I42*1000</f>
        <v>193.95617693576256</v>
      </c>
      <c r="BG42" s="41">
        <f>AN42/'1. Väestöennuste'!J42*1000</f>
        <v>202.99335158336677</v>
      </c>
      <c r="BH42" s="41">
        <f>AO42/'1. Väestöennuste'!K42*1000</f>
        <v>199.66108567290823</v>
      </c>
      <c r="BI42" s="41">
        <f>AP42/'1. Väestöennuste'!L42*1000</f>
        <v>207.51215171968033</v>
      </c>
      <c r="BJ42" s="41">
        <f>AQ42/'1. Väestöennuste'!M42*1000</f>
        <v>274.02877378887871</v>
      </c>
      <c r="BK42" s="41">
        <f>AR42/'1. Väestöennuste'!N42*1000</f>
        <v>250.10235884577446</v>
      </c>
      <c r="BL42" s="41">
        <f>AS42/'1. Väestöennuste'!O42*1000</f>
        <v>263.70085249466518</v>
      </c>
      <c r="BM42" s="41">
        <f>AT42/'1. Väestöennuste'!P42*1000</f>
        <v>277.80252034975729</v>
      </c>
      <c r="BN42" s="41">
        <f>AU42/'1. Väestöennuste'!Q42*1000</f>
        <v>287.60100379931271</v>
      </c>
      <c r="BO42" s="41">
        <f>AV42/'1. Väestöennuste'!R42*1000</f>
        <v>300.0187309498707</v>
      </c>
    </row>
    <row r="43" spans="1:67" x14ac:dyDescent="0.25">
      <c r="A43" s="30">
        <v>97</v>
      </c>
      <c r="B43" s="47" t="s">
        <v>356</v>
      </c>
      <c r="C43" s="47">
        <v>19.5</v>
      </c>
      <c r="D43" s="47">
        <v>19.5</v>
      </c>
      <c r="E43" s="47">
        <v>20</v>
      </c>
      <c r="F43" s="47">
        <v>20</v>
      </c>
      <c r="G43" s="47">
        <v>20</v>
      </c>
      <c r="H43" s="58">
        <v>20</v>
      </c>
      <c r="I43" s="139">
        <v>20</v>
      </c>
      <c r="J43" s="139">
        <v>20</v>
      </c>
      <c r="K43" s="139">
        <f t="shared" si="2"/>
        <v>7.3599999999999994</v>
      </c>
      <c r="L43" s="139">
        <v>7.4</v>
      </c>
      <c r="M43" s="139">
        <f t="shared" si="4"/>
        <v>7.4</v>
      </c>
      <c r="N43" s="147">
        <f t="shared" si="4"/>
        <v>7.4</v>
      </c>
      <c r="O43" s="147">
        <f t="shared" si="4"/>
        <v>7.4</v>
      </c>
      <c r="P43" s="147">
        <f t="shared" si="4"/>
        <v>7.4</v>
      </c>
      <c r="Q43" s="147"/>
      <c r="S43" s="41">
        <f>'3. Verotulot'!D43*100/'Veroposentin tuotto'!C43</f>
        <v>27812.1121025641</v>
      </c>
      <c r="T43" s="41">
        <f>'3. Verotulot'!I43*100/'Veroposentin tuotto'!D43</f>
        <v>27779.48717948718</v>
      </c>
      <c r="U43" s="41">
        <f>'3. Verotulot'!N43*100/'Veroposentin tuotto'!E43</f>
        <v>26895</v>
      </c>
      <c r="V43" s="41">
        <f>'3. Verotulot'!S43*100/'Veroposentin tuotto'!F43</f>
        <v>27285</v>
      </c>
      <c r="W43" s="41">
        <f>'3. Verotulot'!X43*100/'Veroposentin tuotto'!G43</f>
        <v>27845</v>
      </c>
      <c r="X43" s="41">
        <f>'3. Verotulot'!AC43*100/'Veroposentin tuotto'!H43</f>
        <v>27975</v>
      </c>
      <c r="Y43" s="41">
        <f>'3. Verotulot'!AH43*100/'Veroposentin tuotto'!I43</f>
        <v>29600.383999999998</v>
      </c>
      <c r="Z43" s="41">
        <f>'3. Verotulot'!AM43*100/'Veroposentin tuotto'!J43</f>
        <v>30360.989249999995</v>
      </c>
      <c r="AA43" s="41">
        <f>'3. Verotulot'!AR43*100/'Veroposentin tuotto'!K43</f>
        <v>45014.837228260869</v>
      </c>
      <c r="AB43" s="41">
        <f>'3. Verotulot'!AW43*100/'Veroposentin tuotto'!L43</f>
        <v>36596.938558058522</v>
      </c>
      <c r="AC43" s="41">
        <f>'3. Verotulot'!BB43*100/'Veroposentin tuotto'!M43</f>
        <v>38726.946349226309</v>
      </c>
      <c r="AD43" s="41">
        <f>'3. Verotulot'!BG43*100/'Veroposentin tuotto'!N43</f>
        <v>39941.91374788856</v>
      </c>
      <c r="AE43" s="41">
        <f>'3. Verotulot'!BL43*100/'Veroposentin tuotto'!O43</f>
        <v>41204.22322402845</v>
      </c>
      <c r="AF43" s="41">
        <f>'3. Verotulot'!BQ43*100/'Veroposentin tuotto'!P43</f>
        <v>42732.557536666325</v>
      </c>
      <c r="AI43" s="41">
        <f>'3. Verotulot'!D43/'Veroposentin tuotto'!C43</f>
        <v>278.121121025641</v>
      </c>
      <c r="AJ43" s="41">
        <f>'3. Verotulot'!I43/'Veroposentin tuotto'!D43</f>
        <v>277.79487179487177</v>
      </c>
      <c r="AK43" s="41">
        <f>'3. Verotulot'!N43/'Veroposentin tuotto'!E43</f>
        <v>268.95</v>
      </c>
      <c r="AL43" s="41">
        <f>'3. Verotulot'!S43/'Veroposentin tuotto'!F43</f>
        <v>272.85000000000002</v>
      </c>
      <c r="AM43" s="41">
        <f>'3. Verotulot'!X43/'Veroposentin tuotto'!G43</f>
        <v>278.45</v>
      </c>
      <c r="AN43" s="41">
        <f>'3. Verotulot'!AC43/'Veroposentin tuotto'!H43</f>
        <v>279.75</v>
      </c>
      <c r="AO43" s="41">
        <f>'3. Verotulot'!AH43/'Veroposentin tuotto'!I43</f>
        <v>296.00383999999997</v>
      </c>
      <c r="AP43" s="41">
        <f>'3. Verotulot'!AM43/'Veroposentin tuotto'!J43</f>
        <v>303.6098925</v>
      </c>
      <c r="AQ43" s="41">
        <f>'3. Verotulot'!AR43/'Veroposentin tuotto'!K43</f>
        <v>450.14837228260876</v>
      </c>
      <c r="AR43" s="41">
        <f>'3. Verotulot'!AW43/'Veroposentin tuotto'!L43</f>
        <v>365.96938558058525</v>
      </c>
      <c r="AS43" s="41">
        <f>'3. Verotulot'!BB43/'Veroposentin tuotto'!M43</f>
        <v>387.26946349226313</v>
      </c>
      <c r="AT43" s="41">
        <f>'3. Verotulot'!BG43/'Veroposentin tuotto'!N43</f>
        <v>399.4191374788856</v>
      </c>
      <c r="AU43" s="41">
        <f>'3. Verotulot'!BL43/'Veroposentin tuotto'!O43</f>
        <v>412.04223224028448</v>
      </c>
      <c r="AV43" s="41">
        <f>'3. Verotulot'!BQ43/'Veroposentin tuotto'!P43</f>
        <v>427.32557536666332</v>
      </c>
      <c r="AX43" s="146"/>
      <c r="AZ43" s="34">
        <v>97</v>
      </c>
      <c r="BA43" s="88" t="s">
        <v>356</v>
      </c>
      <c r="BB43" s="41">
        <f>AI43/'1. Väestöennuste'!E43*1000</f>
        <v>121.45027119023624</v>
      </c>
      <c r="BC43" s="41">
        <f>AJ43/'1. Väestöennuste'!F43*1000</f>
        <v>122.16133324312743</v>
      </c>
      <c r="BD43" s="41">
        <f>AK43/'1. Väestöennuste'!G43*1000</f>
        <v>120.28175313059033</v>
      </c>
      <c r="BE43" s="41">
        <f>AL43/'1. Väestöennuste'!H43*1000</f>
        <v>126.78903345724906</v>
      </c>
      <c r="BF43" s="41">
        <f>AM43/'1. Väestöennuste'!I43*1000</f>
        <v>130.36048689138576</v>
      </c>
      <c r="BG43" s="41">
        <f>AN43/'1. Väestöennuste'!J43*1000</f>
        <v>129.75417439703153</v>
      </c>
      <c r="BH43" s="41">
        <f>AO43/'1. Väestöennuste'!K43*1000</f>
        <v>138.90372595025806</v>
      </c>
      <c r="BI43" s="41">
        <f>AP43/'1. Väestöennuste'!L43*1000</f>
        <v>145.19841822094693</v>
      </c>
      <c r="BJ43" s="41">
        <f>AQ43/'1. Väestöennuste'!M43*1000</f>
        <v>218.30667908952898</v>
      </c>
      <c r="BK43" s="41">
        <f>AR43/'1. Väestöennuste'!N43*1000</f>
        <v>174.3541617820797</v>
      </c>
      <c r="BL43" s="41">
        <f>AS43/'1. Väestöennuste'!O43*1000</f>
        <v>185.6517082896755</v>
      </c>
      <c r="BM43" s="41">
        <f>AT43/'1. Väestöennuste'!P43*1000</f>
        <v>192.58396214025342</v>
      </c>
      <c r="BN43" s="41">
        <f>AU43/'1. Väestöennuste'!Q43*1000</f>
        <v>199.63286445750217</v>
      </c>
      <c r="BO43" s="41">
        <f>AV43/'1. Väestöennuste'!R43*1000</f>
        <v>208.24833107537199</v>
      </c>
    </row>
    <row r="44" spans="1:67" x14ac:dyDescent="0.25">
      <c r="A44" s="30">
        <v>98</v>
      </c>
      <c r="B44" s="47" t="s">
        <v>357</v>
      </c>
      <c r="C44" s="47">
        <v>21</v>
      </c>
      <c r="D44" s="47">
        <v>21</v>
      </c>
      <c r="E44" s="47">
        <v>21</v>
      </c>
      <c r="F44" s="47">
        <v>21</v>
      </c>
      <c r="G44" s="47">
        <v>21</v>
      </c>
      <c r="H44" s="58">
        <v>21</v>
      </c>
      <c r="I44" s="139">
        <v>21</v>
      </c>
      <c r="J44" s="139">
        <v>21</v>
      </c>
      <c r="K44" s="139">
        <f t="shared" si="2"/>
        <v>8.36</v>
      </c>
      <c r="L44" s="139">
        <v>8.3000000000000007</v>
      </c>
      <c r="M44" s="139">
        <f t="shared" si="4"/>
        <v>8.3000000000000007</v>
      </c>
      <c r="N44" s="147">
        <f t="shared" si="4"/>
        <v>8.3000000000000007</v>
      </c>
      <c r="O44" s="147">
        <f t="shared" si="4"/>
        <v>8.3000000000000007</v>
      </c>
      <c r="P44" s="147">
        <f t="shared" si="4"/>
        <v>8.3000000000000007</v>
      </c>
      <c r="Q44" s="147"/>
      <c r="S44" s="41">
        <f>'3. Verotulot'!D44*100/'Veroposentin tuotto'!C44</f>
        <v>360496.76333333331</v>
      </c>
      <c r="T44" s="41">
        <f>'3. Verotulot'!I44*100/'Veroposentin tuotto'!D44</f>
        <v>394576.19047619047</v>
      </c>
      <c r="U44" s="41">
        <f>'3. Verotulot'!N44*100/'Veroposentin tuotto'!E44</f>
        <v>398085.71428571426</v>
      </c>
      <c r="V44" s="41">
        <f>'3. Verotulot'!S44*100/'Veroposentin tuotto'!F44</f>
        <v>388404.76190476189</v>
      </c>
      <c r="W44" s="41">
        <f>'3. Verotulot'!X44*100/'Veroposentin tuotto'!G44</f>
        <v>399423.80952380953</v>
      </c>
      <c r="X44" s="41">
        <f>'3. Verotulot'!AC44*100/'Veroposentin tuotto'!H44</f>
        <v>426385.71428571426</v>
      </c>
      <c r="Y44" s="41">
        <f>'3. Verotulot'!AH44*100/'Veroposentin tuotto'!I44</f>
        <v>423012.76404761907</v>
      </c>
      <c r="Z44" s="41">
        <f>'3. Verotulot'!AM44*100/'Veroposentin tuotto'!J44</f>
        <v>438025.36109523813</v>
      </c>
      <c r="AA44" s="41">
        <f>'3. Verotulot'!AR44*100/'Veroposentin tuotto'!K44</f>
        <v>555124.84102870815</v>
      </c>
      <c r="AB44" s="41">
        <f>'3. Verotulot'!AW44*100/'Veroposentin tuotto'!L44</f>
        <v>514517.1220192819</v>
      </c>
      <c r="AC44" s="41">
        <f>'3. Verotulot'!BB44*100/'Veroposentin tuotto'!M44</f>
        <v>539737.0952491744</v>
      </c>
      <c r="AD44" s="41">
        <f>'3. Verotulot'!BG44*100/'Veroposentin tuotto'!N44</f>
        <v>559994.65748785948</v>
      </c>
      <c r="AE44" s="41">
        <f>'3. Verotulot'!BL44*100/'Veroposentin tuotto'!O44</f>
        <v>576656.45927544741</v>
      </c>
      <c r="AF44" s="41">
        <f>'3. Verotulot'!BQ44*100/'Veroposentin tuotto'!P44</f>
        <v>595962.59276630415</v>
      </c>
      <c r="AI44" s="41">
        <f>'3. Verotulot'!D44/'Veroposentin tuotto'!C44</f>
        <v>3604.9676333333327</v>
      </c>
      <c r="AJ44" s="41">
        <f>'3. Verotulot'!I44/'Veroposentin tuotto'!D44</f>
        <v>3945.7619047619046</v>
      </c>
      <c r="AK44" s="41">
        <f>'3. Verotulot'!N44/'Veroposentin tuotto'!E44</f>
        <v>3980.8571428571427</v>
      </c>
      <c r="AL44" s="41">
        <f>'3. Verotulot'!S44/'Veroposentin tuotto'!F44</f>
        <v>3884.0476190476193</v>
      </c>
      <c r="AM44" s="41">
        <f>'3. Verotulot'!X44/'Veroposentin tuotto'!G44</f>
        <v>3994.2380952380954</v>
      </c>
      <c r="AN44" s="41">
        <f>'3. Verotulot'!AC44/'Veroposentin tuotto'!H44</f>
        <v>4263.8571428571431</v>
      </c>
      <c r="AO44" s="41">
        <f>'3. Verotulot'!AH44/'Veroposentin tuotto'!I44</f>
        <v>4230.1276404761902</v>
      </c>
      <c r="AP44" s="41">
        <f>'3. Verotulot'!AM44/'Veroposentin tuotto'!J44</f>
        <v>4380.2536109523808</v>
      </c>
      <c r="AQ44" s="41">
        <f>'3. Verotulot'!AR44/'Veroposentin tuotto'!K44</f>
        <v>5551.2484102870822</v>
      </c>
      <c r="AR44" s="41">
        <f>'3. Verotulot'!AW44/'Veroposentin tuotto'!L44</f>
        <v>5145.1712201928185</v>
      </c>
      <c r="AS44" s="41">
        <f>'3. Verotulot'!BB44/'Veroposentin tuotto'!M44</f>
        <v>5397.370952491744</v>
      </c>
      <c r="AT44" s="41">
        <f>'3. Verotulot'!BG44/'Veroposentin tuotto'!N44</f>
        <v>5599.9465748785942</v>
      </c>
      <c r="AU44" s="41">
        <f>'3. Verotulot'!BL44/'Veroposentin tuotto'!O44</f>
        <v>5766.5645927544747</v>
      </c>
      <c r="AV44" s="41">
        <f>'3. Verotulot'!BQ44/'Veroposentin tuotto'!P44</f>
        <v>5959.6259276630426</v>
      </c>
      <c r="AX44" s="146"/>
      <c r="AZ44" s="34">
        <v>98</v>
      </c>
      <c r="BA44" s="88" t="s">
        <v>357</v>
      </c>
      <c r="BB44" s="41">
        <f>AI44/'1. Väestöennuste'!E44*1000</f>
        <v>150.74085859641784</v>
      </c>
      <c r="BC44" s="41">
        <f>AJ44/'1. Väestöennuste'!F44*1000</f>
        <v>165.85103210297612</v>
      </c>
      <c r="BD44" s="41">
        <f>AK44/'1. Väestöennuste'!G44*1000</f>
        <v>167.38950226461787</v>
      </c>
      <c r="BE44" s="41">
        <f>AL44/'1. Väestöennuste'!H44*1000</f>
        <v>164.56434281194896</v>
      </c>
      <c r="BF44" s="41">
        <f>AM44/'1. Väestöennuste'!I44*1000</f>
        <v>170.62102072781272</v>
      </c>
      <c r="BG44" s="41">
        <f>AN44/'1. Väestöennuste'!J44*1000</f>
        <v>183.38381759309894</v>
      </c>
      <c r="BH44" s="41">
        <f>AO44/'1. Väestöennuste'!K44*1000</f>
        <v>183.20171678112558</v>
      </c>
      <c r="BI44" s="41">
        <f>AP44/'1. Väestöennuste'!L44*1000</f>
        <v>190.91895615012774</v>
      </c>
      <c r="BJ44" s="41">
        <f>AQ44/'1. Väestöennuste'!M44*1000</f>
        <v>242.57148395399091</v>
      </c>
      <c r="BK44" s="41">
        <f>AR44/'1. Väestöennuste'!N44*1000</f>
        <v>226.3105880885339</v>
      </c>
      <c r="BL44" s="41">
        <f>AS44/'1. Väestöennuste'!O44*1000</f>
        <v>238.85342976907307</v>
      </c>
      <c r="BM44" s="41">
        <f>AT44/'1. Väestöennuste'!P44*1000</f>
        <v>249.31866679482633</v>
      </c>
      <c r="BN44" s="41">
        <f>AU44/'1. Väestöennuste'!Q44*1000</f>
        <v>258.20823860450787</v>
      </c>
      <c r="BO44" s="41">
        <f>AV44/'1. Väestöennuste'!R44*1000</f>
        <v>268.43952649263736</v>
      </c>
    </row>
    <row r="45" spans="1:67" x14ac:dyDescent="0.25">
      <c r="A45" s="30">
        <v>102</v>
      </c>
      <c r="B45" s="47" t="s">
        <v>359</v>
      </c>
      <c r="C45" s="47">
        <v>20.25</v>
      </c>
      <c r="D45" s="47">
        <v>20.5</v>
      </c>
      <c r="E45" s="47">
        <v>20.75</v>
      </c>
      <c r="F45" s="47">
        <v>20.75</v>
      </c>
      <c r="G45" s="47">
        <v>21</v>
      </c>
      <c r="H45" s="58">
        <v>21</v>
      </c>
      <c r="I45" s="139">
        <v>21</v>
      </c>
      <c r="J45" s="139">
        <v>21</v>
      </c>
      <c r="K45" s="139">
        <f t="shared" si="2"/>
        <v>8.36</v>
      </c>
      <c r="L45" s="139">
        <v>9</v>
      </c>
      <c r="M45" s="139">
        <f t="shared" si="4"/>
        <v>9</v>
      </c>
      <c r="N45" s="147">
        <f t="shared" si="4"/>
        <v>9</v>
      </c>
      <c r="O45" s="147">
        <f t="shared" si="4"/>
        <v>9</v>
      </c>
      <c r="P45" s="147">
        <f t="shared" si="4"/>
        <v>9</v>
      </c>
      <c r="Q45" s="147"/>
      <c r="S45" s="41">
        <f>'3. Verotulot'!D45*100/'Veroposentin tuotto'!C45</f>
        <v>143993.21402469138</v>
      </c>
      <c r="T45" s="41">
        <f>'3. Verotulot'!I45*100/'Veroposentin tuotto'!D45</f>
        <v>140551.21951219512</v>
      </c>
      <c r="U45" s="41">
        <f>'3. Verotulot'!N45*100/'Veroposentin tuotto'!E45</f>
        <v>143436.14457831325</v>
      </c>
      <c r="V45" s="41">
        <f>'3. Verotulot'!S45*100/'Veroposentin tuotto'!F45</f>
        <v>137493.97590361445</v>
      </c>
      <c r="W45" s="41">
        <f>'3. Verotulot'!X45*100/'Veroposentin tuotto'!G45</f>
        <v>138304.76190476189</v>
      </c>
      <c r="X45" s="41">
        <f>'3. Verotulot'!AC45*100/'Veroposentin tuotto'!H45</f>
        <v>148319.04761904763</v>
      </c>
      <c r="Y45" s="41">
        <f>'3. Verotulot'!AH45*100/'Veroposentin tuotto'!I45</f>
        <v>149571.82485714287</v>
      </c>
      <c r="Z45" s="41">
        <f>'3. Verotulot'!AM45*100/'Veroposentin tuotto'!J45</f>
        <v>148465.98580952382</v>
      </c>
      <c r="AA45" s="41">
        <f>'3. Verotulot'!AR45*100/'Veroposentin tuotto'!K45</f>
        <v>192508.82655502393</v>
      </c>
      <c r="AB45" s="41">
        <f>'3. Verotulot'!AW45*100/'Veroposentin tuotto'!L45</f>
        <v>179858.86630358209</v>
      </c>
      <c r="AC45" s="41">
        <f>'3. Verotulot'!BB45*100/'Veroposentin tuotto'!M45</f>
        <v>190877.9177324794</v>
      </c>
      <c r="AD45" s="41">
        <f>'3. Verotulot'!BG45*100/'Veroposentin tuotto'!N45</f>
        <v>198987.8944399672</v>
      </c>
      <c r="AE45" s="41">
        <f>'3. Verotulot'!BL45*100/'Veroposentin tuotto'!O45</f>
        <v>204926.00790061749</v>
      </c>
      <c r="AF45" s="41">
        <f>'3. Verotulot'!BQ45*100/'Veroposentin tuotto'!P45</f>
        <v>211965.26031115573</v>
      </c>
      <c r="AI45" s="41">
        <f>'3. Verotulot'!D45/'Veroposentin tuotto'!C45</f>
        <v>1439.9321402469136</v>
      </c>
      <c r="AJ45" s="41">
        <f>'3. Verotulot'!I45/'Veroposentin tuotto'!D45</f>
        <v>1405.5121951219512</v>
      </c>
      <c r="AK45" s="41">
        <f>'3. Verotulot'!N45/'Veroposentin tuotto'!E45</f>
        <v>1434.3614457831325</v>
      </c>
      <c r="AL45" s="41">
        <f>'3. Verotulot'!S45/'Veroposentin tuotto'!F45</f>
        <v>1374.9397590361446</v>
      </c>
      <c r="AM45" s="41">
        <f>'3. Verotulot'!X45/'Veroposentin tuotto'!G45</f>
        <v>1383.047619047619</v>
      </c>
      <c r="AN45" s="41">
        <f>'3. Verotulot'!AC45/'Veroposentin tuotto'!H45</f>
        <v>1483.1904761904761</v>
      </c>
      <c r="AO45" s="41">
        <f>'3. Verotulot'!AH45/'Veroposentin tuotto'!I45</f>
        <v>1495.7182485714286</v>
      </c>
      <c r="AP45" s="41">
        <f>'3. Verotulot'!AM45/'Veroposentin tuotto'!J45</f>
        <v>1484.6598580952382</v>
      </c>
      <c r="AQ45" s="41">
        <f>'3. Verotulot'!AR45/'Veroposentin tuotto'!K45</f>
        <v>1925.0882655502394</v>
      </c>
      <c r="AR45" s="41">
        <f>'3. Verotulot'!AW45/'Veroposentin tuotto'!L45</f>
        <v>1798.5886630358209</v>
      </c>
      <c r="AS45" s="41">
        <f>'3. Verotulot'!BB45/'Veroposentin tuotto'!M45</f>
        <v>1908.7791773247943</v>
      </c>
      <c r="AT45" s="41">
        <f>'3. Verotulot'!BG45/'Veroposentin tuotto'!N45</f>
        <v>1989.878944399672</v>
      </c>
      <c r="AU45" s="41">
        <f>'3. Verotulot'!BL45/'Veroposentin tuotto'!O45</f>
        <v>2049.2600790061751</v>
      </c>
      <c r="AV45" s="41">
        <f>'3. Verotulot'!BQ45/'Veroposentin tuotto'!P45</f>
        <v>2119.6526031115573</v>
      </c>
      <c r="AX45" s="146"/>
      <c r="AZ45" s="34">
        <v>102</v>
      </c>
      <c r="BA45" s="88" t="s">
        <v>359</v>
      </c>
      <c r="BB45" s="41">
        <f>AI45/'1. Väestöennuste'!E45*1000</f>
        <v>137.48993986889275</v>
      </c>
      <c r="BC45" s="41">
        <f>AJ45/'1. Väestöennuste'!F45*1000</f>
        <v>135.1064303683506</v>
      </c>
      <c r="BD45" s="41">
        <f>AK45/'1. Väestöennuste'!G45*1000</f>
        <v>140.52723089870994</v>
      </c>
      <c r="BE45" s="41">
        <f>AL45/'1. Väestöennuste'!H45*1000</f>
        <v>136.25406392192494</v>
      </c>
      <c r="BF45" s="41">
        <f>AM45/'1. Väestöennuste'!I45*1000</f>
        <v>137.69888680282946</v>
      </c>
      <c r="BG45" s="41">
        <f>AN45/'1. Väestöennuste'!J45*1000</f>
        <v>149.25938172390823</v>
      </c>
      <c r="BH45" s="41">
        <f>AO45/'1. Väestöennuste'!K45*1000</f>
        <v>151.54186915617311</v>
      </c>
      <c r="BI45" s="41">
        <f>AP45/'1. Väestöennuste'!L45*1000</f>
        <v>152.35093464291825</v>
      </c>
      <c r="BJ45" s="41">
        <f>AQ45/'1. Väestöennuste'!M45*1000</f>
        <v>199.57373683912911</v>
      </c>
      <c r="BK45" s="41">
        <f>AR45/'1. Väestöennuste'!N45*1000</f>
        <v>188.6697433164608</v>
      </c>
      <c r="BL45" s="41">
        <f>AS45/'1. Väestöennuste'!O45*1000</f>
        <v>202.13694560254098</v>
      </c>
      <c r="BM45" s="41">
        <f>AT45/'1. Väestöennuste'!P45*1000</f>
        <v>212.7075301335833</v>
      </c>
      <c r="BN45" s="41">
        <f>AU45/'1. Väestöennuste'!Q45*1000</f>
        <v>220.99213620254235</v>
      </c>
      <c r="BO45" s="41">
        <f>AV45/'1. Väestöennuste'!R45*1000</f>
        <v>230.57245764294106</v>
      </c>
    </row>
    <row r="46" spans="1:67" x14ac:dyDescent="0.25">
      <c r="A46" s="30">
        <v>103</v>
      </c>
      <c r="B46" s="47" t="s">
        <v>360</v>
      </c>
      <c r="C46" s="47">
        <v>21.5</v>
      </c>
      <c r="D46" s="47">
        <v>21.5</v>
      </c>
      <c r="E46" s="47">
        <v>22</v>
      </c>
      <c r="F46" s="47">
        <v>22</v>
      </c>
      <c r="G46" s="47">
        <v>22</v>
      </c>
      <c r="H46" s="58">
        <v>22</v>
      </c>
      <c r="I46" s="139">
        <v>22</v>
      </c>
      <c r="J46" s="139">
        <v>22</v>
      </c>
      <c r="K46" s="139">
        <f t="shared" si="2"/>
        <v>9.36</v>
      </c>
      <c r="L46" s="139">
        <v>9.3000000000000007</v>
      </c>
      <c r="M46" s="139">
        <f t="shared" si="4"/>
        <v>9.3000000000000007</v>
      </c>
      <c r="N46" s="147">
        <f t="shared" si="4"/>
        <v>9.3000000000000007</v>
      </c>
      <c r="O46" s="147">
        <f t="shared" si="4"/>
        <v>9.3000000000000007</v>
      </c>
      <c r="P46" s="147">
        <f t="shared" si="4"/>
        <v>9.3000000000000007</v>
      </c>
      <c r="Q46" s="147"/>
      <c r="S46" s="41">
        <f>'3. Verotulot'!D46*100/'Veroposentin tuotto'!C46</f>
        <v>31437.862837209301</v>
      </c>
      <c r="T46" s="41">
        <f>'3. Verotulot'!I46*100/'Veroposentin tuotto'!D46</f>
        <v>30432.558139534885</v>
      </c>
      <c r="U46" s="41">
        <f>'3. Verotulot'!N46*100/'Veroposentin tuotto'!E46</f>
        <v>30377.272727272728</v>
      </c>
      <c r="V46" s="41">
        <f>'3. Verotulot'!S46*100/'Veroposentin tuotto'!F46</f>
        <v>28754.545454545456</v>
      </c>
      <c r="W46" s="41">
        <f>'3. Verotulot'!X46*100/'Veroposentin tuotto'!G46</f>
        <v>30713.636363636364</v>
      </c>
      <c r="X46" s="41">
        <f>'3. Verotulot'!AC46*100/'Veroposentin tuotto'!H46</f>
        <v>29836.363636363636</v>
      </c>
      <c r="Y46" s="41">
        <f>'3. Verotulot'!AH46*100/'Veroposentin tuotto'!I46</f>
        <v>31934.79777272727</v>
      </c>
      <c r="Z46" s="41">
        <f>'3. Verotulot'!AM46*100/'Veroposentin tuotto'!J46</f>
        <v>31402.538772727272</v>
      </c>
      <c r="AA46" s="41">
        <f>'3. Verotulot'!AR46*100/'Veroposentin tuotto'!K46</f>
        <v>38502.494764957264</v>
      </c>
      <c r="AB46" s="41">
        <f>'3. Verotulot'!AW46*100/'Veroposentin tuotto'!L46</f>
        <v>37324.348038659045</v>
      </c>
      <c r="AC46" s="41">
        <f>'3. Verotulot'!BB46*100/'Veroposentin tuotto'!M46</f>
        <v>39548.723540935403</v>
      </c>
      <c r="AD46" s="41">
        <f>'3. Verotulot'!BG46*100/'Veroposentin tuotto'!N46</f>
        <v>41039.09240420266</v>
      </c>
      <c r="AE46" s="41">
        <f>'3. Verotulot'!BL46*100/'Veroposentin tuotto'!O46</f>
        <v>42103.875868197654</v>
      </c>
      <c r="AF46" s="41">
        <f>'3. Verotulot'!BQ46*100/'Veroposentin tuotto'!P46</f>
        <v>43412.53280292471</v>
      </c>
      <c r="AI46" s="41">
        <f>'3. Verotulot'!D46/'Veroposentin tuotto'!C46</f>
        <v>314.37862837209303</v>
      </c>
      <c r="AJ46" s="41">
        <f>'3. Verotulot'!I46/'Veroposentin tuotto'!D46</f>
        <v>304.32558139534882</v>
      </c>
      <c r="AK46" s="41">
        <f>'3. Verotulot'!N46/'Veroposentin tuotto'!E46</f>
        <v>303.77272727272725</v>
      </c>
      <c r="AL46" s="41">
        <f>'3. Verotulot'!S46/'Veroposentin tuotto'!F46</f>
        <v>287.54545454545456</v>
      </c>
      <c r="AM46" s="41">
        <f>'3. Verotulot'!X46/'Veroposentin tuotto'!G46</f>
        <v>307.13636363636363</v>
      </c>
      <c r="AN46" s="41">
        <f>'3. Verotulot'!AC46/'Veroposentin tuotto'!H46</f>
        <v>298.36363636363637</v>
      </c>
      <c r="AO46" s="41">
        <f>'3. Verotulot'!AH46/'Veroposentin tuotto'!I46</f>
        <v>319.34797772727273</v>
      </c>
      <c r="AP46" s="41">
        <f>'3. Verotulot'!AM46/'Veroposentin tuotto'!J46</f>
        <v>314.02538772727274</v>
      </c>
      <c r="AQ46" s="41">
        <f>'3. Verotulot'!AR46/'Veroposentin tuotto'!K46</f>
        <v>385.02494764957265</v>
      </c>
      <c r="AR46" s="41">
        <f>'3. Verotulot'!AW46/'Veroposentin tuotto'!L46</f>
        <v>373.24348038659042</v>
      </c>
      <c r="AS46" s="41">
        <f>'3. Verotulot'!BB46/'Veroposentin tuotto'!M46</f>
        <v>395.48723540935407</v>
      </c>
      <c r="AT46" s="41">
        <f>'3. Verotulot'!BG46/'Veroposentin tuotto'!N46</f>
        <v>410.39092404202654</v>
      </c>
      <c r="AU46" s="41">
        <f>'3. Verotulot'!BL46/'Veroposentin tuotto'!O46</f>
        <v>421.03875868197656</v>
      </c>
      <c r="AV46" s="41">
        <f>'3. Verotulot'!BQ46/'Veroposentin tuotto'!P46</f>
        <v>434.12532802924704</v>
      </c>
      <c r="AX46" s="146"/>
      <c r="AZ46" s="34">
        <v>103</v>
      </c>
      <c r="BA46" s="88" t="s">
        <v>360</v>
      </c>
      <c r="BB46" s="41">
        <f>AI46/'1. Väestöennuste'!E46*1000</f>
        <v>131.64934186436057</v>
      </c>
      <c r="BC46" s="41">
        <f>AJ46/'1. Väestöennuste'!F46*1000</f>
        <v>129.77636733277134</v>
      </c>
      <c r="BD46" s="41">
        <f>AK46/'1. Väestöennuste'!G46*1000</f>
        <v>132.65184597062327</v>
      </c>
      <c r="BE46" s="41">
        <f>AL46/'1. Väestöennuste'!H46*1000</f>
        <v>128.65568436038237</v>
      </c>
      <c r="BF46" s="41">
        <f>AM46/'1. Väestöennuste'!I46*1000</f>
        <v>140.63020313020314</v>
      </c>
      <c r="BG46" s="41">
        <f>AN46/'1. Väestöennuste'!J46*1000</f>
        <v>137.24178305595049</v>
      </c>
      <c r="BH46" s="41">
        <f>AO46/'1. Väestöennuste'!K46*1000</f>
        <v>147.43673948627551</v>
      </c>
      <c r="BI46" s="41">
        <f>AP46/'1. Väestöennuste'!L46*1000</f>
        <v>145.31484855496194</v>
      </c>
      <c r="BJ46" s="41">
        <f>AQ46/'1. Väestöennuste'!M46*1000</f>
        <v>181.18821065862241</v>
      </c>
      <c r="BK46" s="41">
        <f>AR46/'1. Väestöennuste'!N46*1000</f>
        <v>179.09955872677082</v>
      </c>
      <c r="BL46" s="41">
        <f>AS46/'1. Väestöennuste'!O46*1000</f>
        <v>191.61203265957079</v>
      </c>
      <c r="BM46" s="41">
        <f>AT46/'1. Väestöennuste'!P46*1000</f>
        <v>200.97498728796597</v>
      </c>
      <c r="BN46" s="41">
        <f>AU46/'1. Väestöennuste'!Q46*1000</f>
        <v>208.33189444927095</v>
      </c>
      <c r="BO46" s="41">
        <f>AV46/'1. Väestöennuste'!R46*1000</f>
        <v>216.73755767810638</v>
      </c>
    </row>
    <row r="47" spans="1:67" x14ac:dyDescent="0.25">
      <c r="A47" s="30">
        <v>105</v>
      </c>
      <c r="B47" s="47" t="s">
        <v>361</v>
      </c>
      <c r="C47" s="47">
        <v>21.75</v>
      </c>
      <c r="D47" s="47">
        <v>21.75</v>
      </c>
      <c r="E47" s="47">
        <v>21.75</v>
      </c>
      <c r="F47" s="47">
        <v>21.75</v>
      </c>
      <c r="G47" s="47">
        <v>21.75</v>
      </c>
      <c r="H47" s="58">
        <v>21.75</v>
      </c>
      <c r="I47" s="139">
        <v>21.75</v>
      </c>
      <c r="J47" s="139">
        <v>21.75</v>
      </c>
      <c r="K47" s="139">
        <f t="shared" si="2"/>
        <v>9.11</v>
      </c>
      <c r="L47" s="139">
        <v>9</v>
      </c>
      <c r="M47" s="139">
        <f t="shared" si="4"/>
        <v>9</v>
      </c>
      <c r="N47" s="147">
        <f t="shared" si="4"/>
        <v>9</v>
      </c>
      <c r="O47" s="147">
        <f t="shared" si="4"/>
        <v>9</v>
      </c>
      <c r="P47" s="147">
        <f t="shared" si="4"/>
        <v>9</v>
      </c>
      <c r="Q47" s="147"/>
      <c r="S47" s="41">
        <f>'3. Verotulot'!D47*100/'Veroposentin tuotto'!C47</f>
        <v>30860.716551724137</v>
      </c>
      <c r="T47" s="41">
        <f>'3. Verotulot'!I47*100/'Veroposentin tuotto'!D47</f>
        <v>27903.448275862069</v>
      </c>
      <c r="U47" s="41">
        <f>'3. Verotulot'!N47*100/'Veroposentin tuotto'!E47</f>
        <v>28721.839080459769</v>
      </c>
      <c r="V47" s="41">
        <f>'3. Verotulot'!S47*100/'Veroposentin tuotto'!F47</f>
        <v>26786.206896551725</v>
      </c>
      <c r="W47" s="41">
        <f>'3. Verotulot'!X47*100/'Veroposentin tuotto'!G47</f>
        <v>28491.954022988506</v>
      </c>
      <c r="X47" s="41">
        <f>'3. Verotulot'!AC47*100/'Veroposentin tuotto'!H47</f>
        <v>28262.068965517243</v>
      </c>
      <c r="Y47" s="41">
        <f>'3. Verotulot'!AH47*100/'Veroposentin tuotto'!I47</f>
        <v>28447.995080459768</v>
      </c>
      <c r="Z47" s="41">
        <f>'3. Verotulot'!AM47*100/'Veroposentin tuotto'!J47</f>
        <v>29215.02294252874</v>
      </c>
      <c r="AA47" s="41">
        <f>'3. Verotulot'!AR47*100/'Veroposentin tuotto'!K47</f>
        <v>33341.359934138309</v>
      </c>
      <c r="AB47" s="41">
        <f>'3. Verotulot'!AW47*100/'Veroposentin tuotto'!L47</f>
        <v>32555.909456863865</v>
      </c>
      <c r="AC47" s="41">
        <f>'3. Verotulot'!BB47*100/'Veroposentin tuotto'!M47</f>
        <v>33547.753691820923</v>
      </c>
      <c r="AD47" s="41">
        <f>'3. Verotulot'!BG47*100/'Veroposentin tuotto'!N47</f>
        <v>34217.829133990308</v>
      </c>
      <c r="AE47" s="41">
        <f>'3. Verotulot'!BL47*100/'Veroposentin tuotto'!O47</f>
        <v>34716.015626748092</v>
      </c>
      <c r="AF47" s="41">
        <f>'3. Verotulot'!BQ47*100/'Veroposentin tuotto'!P47</f>
        <v>35409.791791447431</v>
      </c>
      <c r="AI47" s="41">
        <f>'3. Verotulot'!D47/'Veroposentin tuotto'!C47</f>
        <v>308.60716551724136</v>
      </c>
      <c r="AJ47" s="41">
        <f>'3. Verotulot'!I47/'Veroposentin tuotto'!D47</f>
        <v>279.0344827586207</v>
      </c>
      <c r="AK47" s="41">
        <f>'3. Verotulot'!N47/'Veroposentin tuotto'!E47</f>
        <v>287.21839080459768</v>
      </c>
      <c r="AL47" s="41">
        <f>'3. Verotulot'!S47/'Veroposentin tuotto'!F47</f>
        <v>267.86206896551727</v>
      </c>
      <c r="AM47" s="41">
        <f>'3. Verotulot'!X47/'Veroposentin tuotto'!G47</f>
        <v>284.91954022988506</v>
      </c>
      <c r="AN47" s="41">
        <f>'3. Verotulot'!AC47/'Veroposentin tuotto'!H47</f>
        <v>282.62068965517244</v>
      </c>
      <c r="AO47" s="41">
        <f>'3. Verotulot'!AH47/'Veroposentin tuotto'!I47</f>
        <v>284.47995080459765</v>
      </c>
      <c r="AP47" s="41">
        <f>'3. Verotulot'!AM47/'Veroposentin tuotto'!J47</f>
        <v>292.15022942528736</v>
      </c>
      <c r="AQ47" s="41">
        <f>'3. Verotulot'!AR47/'Veroposentin tuotto'!K47</f>
        <v>333.41359934138313</v>
      </c>
      <c r="AR47" s="41">
        <f>'3. Verotulot'!AW47/'Veroposentin tuotto'!L47</f>
        <v>325.55909456863861</v>
      </c>
      <c r="AS47" s="41">
        <f>'3. Verotulot'!BB47/'Veroposentin tuotto'!M47</f>
        <v>335.47753691820924</v>
      </c>
      <c r="AT47" s="41">
        <f>'3. Verotulot'!BG47/'Veroposentin tuotto'!N47</f>
        <v>342.17829133990307</v>
      </c>
      <c r="AU47" s="41">
        <f>'3. Verotulot'!BL47/'Veroposentin tuotto'!O47</f>
        <v>347.16015626748094</v>
      </c>
      <c r="AV47" s="41">
        <f>'3. Verotulot'!BQ47/'Veroposentin tuotto'!P47</f>
        <v>354.09791791447435</v>
      </c>
      <c r="AX47" s="146"/>
      <c r="AZ47" s="34">
        <v>105</v>
      </c>
      <c r="BA47" s="88" t="s">
        <v>361</v>
      </c>
      <c r="BB47" s="41">
        <f>AI47/'1. Väestöennuste'!E47*1000</f>
        <v>127.41831771975285</v>
      </c>
      <c r="BC47" s="41">
        <f>AJ47/'1. Väestöennuste'!F47*1000</f>
        <v>115.97443173675008</v>
      </c>
      <c r="BD47" s="41">
        <f>AK47/'1. Väestöennuste'!G47*1000</f>
        <v>123.4816813433352</v>
      </c>
      <c r="BE47" s="41">
        <f>AL47/'1. Väestöennuste'!H47*1000</f>
        <v>117.12377305007314</v>
      </c>
      <c r="BF47" s="41">
        <f>AM47/'1. Väestöennuste'!I47*1000</f>
        <v>125.45994726106785</v>
      </c>
      <c r="BG47" s="41">
        <f>AN47/'1. Väestöennuste'!J47*1000</f>
        <v>128.5223691019429</v>
      </c>
      <c r="BH47" s="41">
        <f>AO47/'1. Väestöennuste'!K47*1000</f>
        <v>132.99670444347717</v>
      </c>
      <c r="BI47" s="41">
        <f>AP47/'1. Väestöennuste'!L47*1000</f>
        <v>139.51777909517065</v>
      </c>
      <c r="BJ47" s="41">
        <f>AQ47/'1. Väestöennuste'!M47*1000</f>
        <v>161.61589885670534</v>
      </c>
      <c r="BK47" s="41">
        <f>AR47/'1. Väestöennuste'!N47*1000</f>
        <v>159.43148607670844</v>
      </c>
      <c r="BL47" s="41">
        <f>AS47/'1. Väestöennuste'!O47*1000</f>
        <v>166.98732549437992</v>
      </c>
      <c r="BM47" s="41">
        <f>AT47/'1. Väestöennuste'!P47*1000</f>
        <v>173.1671514878052</v>
      </c>
      <c r="BN47" s="41">
        <f>AU47/'1. Väestöennuste'!Q47*1000</f>
        <v>178.48851221978455</v>
      </c>
      <c r="BO47" s="41">
        <f>AV47/'1. Väestöennuste'!R47*1000</f>
        <v>184.81102187603045</v>
      </c>
    </row>
    <row r="48" spans="1:67" x14ac:dyDescent="0.25">
      <c r="A48" s="30">
        <v>106</v>
      </c>
      <c r="B48" s="47" t="s">
        <v>362</v>
      </c>
      <c r="C48" s="47">
        <v>19.75</v>
      </c>
      <c r="D48" s="47">
        <v>19.75</v>
      </c>
      <c r="E48" s="47">
        <v>19.75</v>
      </c>
      <c r="F48" s="47">
        <v>19.75</v>
      </c>
      <c r="G48" s="47">
        <v>19.75</v>
      </c>
      <c r="H48" s="58">
        <v>19.75</v>
      </c>
      <c r="I48" s="139">
        <v>20.250000000000004</v>
      </c>
      <c r="J48" s="139">
        <v>20.250000000000004</v>
      </c>
      <c r="K48" s="139">
        <f t="shared" si="2"/>
        <v>7.610000000000003</v>
      </c>
      <c r="L48" s="139">
        <v>7.6</v>
      </c>
      <c r="M48" s="139">
        <f t="shared" si="4"/>
        <v>7.6</v>
      </c>
      <c r="N48" s="147">
        <f t="shared" si="4"/>
        <v>7.6</v>
      </c>
      <c r="O48" s="147">
        <f t="shared" si="4"/>
        <v>7.6</v>
      </c>
      <c r="P48" s="147">
        <f t="shared" si="4"/>
        <v>7.6</v>
      </c>
      <c r="Q48" s="147"/>
      <c r="S48" s="41">
        <f>'3. Verotulot'!D48*100/'Veroposentin tuotto'!C48</f>
        <v>851145.87311392406</v>
      </c>
      <c r="T48" s="41">
        <f>'3. Verotulot'!I48*100/'Veroposentin tuotto'!D48</f>
        <v>880597.4683544304</v>
      </c>
      <c r="U48" s="41">
        <f>'3. Verotulot'!N48*100/'Veroposentin tuotto'!E48</f>
        <v>878562.02531645575</v>
      </c>
      <c r="V48" s="41">
        <f>'3. Verotulot'!S48*100/'Veroposentin tuotto'!F48</f>
        <v>882313.92405063286</v>
      </c>
      <c r="W48" s="41">
        <f>'3. Verotulot'!X48*100/'Veroposentin tuotto'!G48</f>
        <v>870415.18987341772</v>
      </c>
      <c r="X48" s="41">
        <f>'3. Verotulot'!AC48*100/'Veroposentin tuotto'!H48</f>
        <v>929736.70886075951</v>
      </c>
      <c r="Y48" s="41">
        <f>'3. Verotulot'!AH48*100/'Veroposentin tuotto'!I48</f>
        <v>954324.93135802448</v>
      </c>
      <c r="Z48" s="41">
        <f>'3. Verotulot'!AM48*100/'Veroposentin tuotto'!J48</f>
        <v>999234.4059259257</v>
      </c>
      <c r="AA48" s="41">
        <f>'3. Verotulot'!AR48*100/'Veroposentin tuotto'!K48</f>
        <v>1255000.8441524303</v>
      </c>
      <c r="AB48" s="41">
        <f>'3. Verotulot'!AW48*100/'Veroposentin tuotto'!L48</f>
        <v>1178161.8152302701</v>
      </c>
      <c r="AC48" s="41">
        <f>'3. Verotulot'!BB48*100/'Veroposentin tuotto'!M48</f>
        <v>1247585.3445140109</v>
      </c>
      <c r="AD48" s="41">
        <f>'3. Verotulot'!BG48*100/'Veroposentin tuotto'!N48</f>
        <v>1304993.8731431498</v>
      </c>
      <c r="AE48" s="41">
        <f>'3. Verotulot'!BL48*100/'Veroposentin tuotto'!O48</f>
        <v>1356504.8143938144</v>
      </c>
      <c r="AF48" s="41">
        <f>'3. Verotulot'!BQ48*100/'Veroposentin tuotto'!P48</f>
        <v>1413748.0672764862</v>
      </c>
      <c r="AI48" s="41">
        <f>'3. Verotulot'!D48/'Veroposentin tuotto'!C48</f>
        <v>8511.4587311392406</v>
      </c>
      <c r="AJ48" s="41">
        <f>'3. Verotulot'!I48/'Veroposentin tuotto'!D48</f>
        <v>8805.9746835443038</v>
      </c>
      <c r="AK48" s="41">
        <f>'3. Verotulot'!N48/'Veroposentin tuotto'!E48</f>
        <v>8785.6202531645577</v>
      </c>
      <c r="AL48" s="41">
        <f>'3. Verotulot'!S48/'Veroposentin tuotto'!F48</f>
        <v>8823.1392405063289</v>
      </c>
      <c r="AM48" s="41">
        <f>'3. Verotulot'!X48/'Veroposentin tuotto'!G48</f>
        <v>8704.1518987341769</v>
      </c>
      <c r="AN48" s="41">
        <f>'3. Verotulot'!AC48/'Veroposentin tuotto'!H48</f>
        <v>9297.3670886075943</v>
      </c>
      <c r="AO48" s="41">
        <f>'3. Verotulot'!AH48/'Veroposentin tuotto'!I48</f>
        <v>9543.2493135802451</v>
      </c>
      <c r="AP48" s="41">
        <f>'3. Verotulot'!AM48/'Veroposentin tuotto'!J48</f>
        <v>9992.344059259256</v>
      </c>
      <c r="AQ48" s="41">
        <f>'3. Verotulot'!AR48/'Veroposentin tuotto'!K48</f>
        <v>12550.008441524304</v>
      </c>
      <c r="AR48" s="41">
        <f>'3. Verotulot'!AW48/'Veroposentin tuotto'!L48</f>
        <v>11781.618152302704</v>
      </c>
      <c r="AS48" s="41">
        <f>'3. Verotulot'!BB48/'Veroposentin tuotto'!M48</f>
        <v>12475.853445140108</v>
      </c>
      <c r="AT48" s="41">
        <f>'3. Verotulot'!BG48/'Veroposentin tuotto'!N48</f>
        <v>13049.938731431497</v>
      </c>
      <c r="AU48" s="41">
        <f>'3. Verotulot'!BL48/'Veroposentin tuotto'!O48</f>
        <v>13565.048143938144</v>
      </c>
      <c r="AV48" s="41">
        <f>'3. Verotulot'!BQ48/'Veroposentin tuotto'!P48</f>
        <v>14137.480672764861</v>
      </c>
      <c r="AX48" s="146"/>
      <c r="AZ48" s="34">
        <v>106</v>
      </c>
      <c r="BA48" s="88" t="s">
        <v>362</v>
      </c>
      <c r="BB48" s="41">
        <f>AI48/'1. Väestöennuste'!E48*1000</f>
        <v>183.18788565394487</v>
      </c>
      <c r="BC48" s="41">
        <f>AJ48/'1. Väestöennuste'!F48*1000</f>
        <v>188.98563575294668</v>
      </c>
      <c r="BD48" s="41">
        <f>AK48/'1. Väestöennuste'!G48*1000</f>
        <v>187.97193464054769</v>
      </c>
      <c r="BE48" s="41">
        <f>AL48/'1. Väestöennuste'!H48*1000</f>
        <v>189.72860916278879</v>
      </c>
      <c r="BF48" s="41">
        <f>AM48/'1. Väestöennuste'!I48*1000</f>
        <v>187.30690550321017</v>
      </c>
      <c r="BG48" s="41">
        <f>AN48/'1. Väestöennuste'!J48*1000</f>
        <v>199.61712230778932</v>
      </c>
      <c r="BH48" s="41">
        <f>AO48/'1. Väestöennuste'!K48*1000</f>
        <v>203.56760481186532</v>
      </c>
      <c r="BI48" s="41">
        <f>AP48/'1. Väestöennuste'!L48*1000</f>
        <v>213.52531271789337</v>
      </c>
      <c r="BJ48" s="41">
        <f>AQ48/'1. Väestöennuste'!M48*1000</f>
        <v>267.58509288766345</v>
      </c>
      <c r="BK48" s="41">
        <f>AR48/'1. Väestöennuste'!N48*1000</f>
        <v>251.20721007042013</v>
      </c>
      <c r="BL48" s="41">
        <f>AS48/'1. Väestöennuste'!O48*1000</f>
        <v>265.53973660983991</v>
      </c>
      <c r="BM48" s="41">
        <f>AT48/'1. Väestöennuste'!P48*1000</f>
        <v>277.25713290200343</v>
      </c>
      <c r="BN48" s="41">
        <f>AU48/'1. Väestöennuste'!Q48*1000</f>
        <v>287.6937529201532</v>
      </c>
      <c r="BO48" s="41">
        <f>AV48/'1. Väestöennuste'!R48*1000</f>
        <v>299.29462005175844</v>
      </c>
    </row>
    <row r="49" spans="1:67" x14ac:dyDescent="0.25">
      <c r="A49" s="30">
        <v>108</v>
      </c>
      <c r="B49" s="47" t="s">
        <v>363</v>
      </c>
      <c r="C49" s="47">
        <v>21</v>
      </c>
      <c r="D49" s="47">
        <v>21</v>
      </c>
      <c r="E49" s="47">
        <v>22</v>
      </c>
      <c r="F49" s="47">
        <v>22</v>
      </c>
      <c r="G49" s="47">
        <v>22</v>
      </c>
      <c r="H49" s="58">
        <v>22</v>
      </c>
      <c r="I49" s="139">
        <v>22.000000000000004</v>
      </c>
      <c r="J49" s="139">
        <v>22.000000000000004</v>
      </c>
      <c r="K49" s="139">
        <f t="shared" si="2"/>
        <v>9.360000000000003</v>
      </c>
      <c r="L49" s="139">
        <v>9.4</v>
      </c>
      <c r="M49" s="139">
        <f t="shared" si="4"/>
        <v>9.4</v>
      </c>
      <c r="N49" s="147">
        <f t="shared" si="4"/>
        <v>9.4</v>
      </c>
      <c r="O49" s="147">
        <f t="shared" si="4"/>
        <v>9.4</v>
      </c>
      <c r="P49" s="147">
        <f t="shared" si="4"/>
        <v>9.4</v>
      </c>
      <c r="Q49" s="147"/>
      <c r="S49" s="41">
        <f>'3. Verotulot'!D49*100/'Veroposentin tuotto'!C49</f>
        <v>153892.50366666666</v>
      </c>
      <c r="T49" s="41">
        <f>'3. Verotulot'!I49*100/'Veroposentin tuotto'!D49</f>
        <v>155042.85714285713</v>
      </c>
      <c r="U49" s="41">
        <f>'3. Verotulot'!N49*100/'Veroposentin tuotto'!E49</f>
        <v>156690.90909090909</v>
      </c>
      <c r="V49" s="41">
        <f>'3. Verotulot'!S49*100/'Veroposentin tuotto'!F49</f>
        <v>152981.81818181818</v>
      </c>
      <c r="W49" s="41">
        <f>'3. Verotulot'!X49*100/'Veroposentin tuotto'!G49</f>
        <v>153750</v>
      </c>
      <c r="X49" s="41">
        <f>'3. Verotulot'!AC49*100/'Veroposentin tuotto'!H49</f>
        <v>160390.90909090909</v>
      </c>
      <c r="Y49" s="41">
        <f>'3. Verotulot'!AH49*100/'Veroposentin tuotto'!I49</f>
        <v>164085.34645454542</v>
      </c>
      <c r="Z49" s="41">
        <f>'3. Verotulot'!AM49*100/'Veroposentin tuotto'!J49</f>
        <v>174254.66490909088</v>
      </c>
      <c r="AA49" s="41">
        <f>'3. Verotulot'!AR49*100/'Veroposentin tuotto'!K49</f>
        <v>207393.34572649567</v>
      </c>
      <c r="AB49" s="41">
        <f>'3. Verotulot'!AW49*100/'Veroposentin tuotto'!L49</f>
        <v>203680.812506285</v>
      </c>
      <c r="AC49" s="41">
        <f>'3. Verotulot'!BB49*100/'Veroposentin tuotto'!M49</f>
        <v>213225.22195061811</v>
      </c>
      <c r="AD49" s="41">
        <f>'3. Verotulot'!BG49*100/'Veroposentin tuotto'!N49</f>
        <v>222727.15429986408</v>
      </c>
      <c r="AE49" s="41">
        <f>'3. Verotulot'!BL49*100/'Veroposentin tuotto'!O49</f>
        <v>230856.300330887</v>
      </c>
      <c r="AF49" s="41">
        <f>'3. Verotulot'!BQ49*100/'Veroposentin tuotto'!P49</f>
        <v>239995.58061060667</v>
      </c>
      <c r="AI49" s="41">
        <f>'3. Verotulot'!D49/'Veroposentin tuotto'!C49</f>
        <v>1538.9250366666665</v>
      </c>
      <c r="AJ49" s="41">
        <f>'3. Verotulot'!I49/'Veroposentin tuotto'!D49</f>
        <v>1550.4285714285713</v>
      </c>
      <c r="AK49" s="41">
        <f>'3. Verotulot'!N49/'Veroposentin tuotto'!E49</f>
        <v>1566.909090909091</v>
      </c>
      <c r="AL49" s="41">
        <f>'3. Verotulot'!S49/'Veroposentin tuotto'!F49</f>
        <v>1529.8181818181818</v>
      </c>
      <c r="AM49" s="41">
        <f>'3. Verotulot'!X49/'Veroposentin tuotto'!G49</f>
        <v>1537.5</v>
      </c>
      <c r="AN49" s="41">
        <f>'3. Verotulot'!AC49/'Veroposentin tuotto'!H49</f>
        <v>1603.909090909091</v>
      </c>
      <c r="AO49" s="41">
        <f>'3. Verotulot'!AH49/'Veroposentin tuotto'!I49</f>
        <v>1640.8534645454542</v>
      </c>
      <c r="AP49" s="41">
        <f>'3. Verotulot'!AM49/'Veroposentin tuotto'!J49</f>
        <v>1742.5466490909087</v>
      </c>
      <c r="AQ49" s="41">
        <f>'3. Verotulot'!AR49/'Veroposentin tuotto'!K49</f>
        <v>2073.9334572649564</v>
      </c>
      <c r="AR49" s="41">
        <f>'3. Verotulot'!AW49/'Veroposentin tuotto'!L49</f>
        <v>2036.8081250628502</v>
      </c>
      <c r="AS49" s="41">
        <f>'3. Verotulot'!BB49/'Veroposentin tuotto'!M49</f>
        <v>2132.2522195061811</v>
      </c>
      <c r="AT49" s="41">
        <f>'3. Verotulot'!BG49/'Veroposentin tuotto'!N49</f>
        <v>2227.2715429986406</v>
      </c>
      <c r="AU49" s="41">
        <f>'3. Verotulot'!BL49/'Veroposentin tuotto'!O49</f>
        <v>2308.5630033088696</v>
      </c>
      <c r="AV49" s="41">
        <f>'3. Verotulot'!BQ49/'Veroposentin tuotto'!P49</f>
        <v>2399.9558061060666</v>
      </c>
      <c r="AX49" s="146"/>
      <c r="AZ49" s="34">
        <v>108</v>
      </c>
      <c r="BA49" s="88" t="s">
        <v>363</v>
      </c>
      <c r="BB49" s="41">
        <f>AI49/'1. Väestöennuste'!E49*1000</f>
        <v>144.26971375894502</v>
      </c>
      <c r="BC49" s="41">
        <f>AJ49/'1. Väestöennuste'!F49*1000</f>
        <v>145.15762301550149</v>
      </c>
      <c r="BD49" s="41">
        <f>AK49/'1. Väestöennuste'!G49*1000</f>
        <v>147.8355591007728</v>
      </c>
      <c r="BE49" s="41">
        <f>AL49/'1. Väestöennuste'!H49*1000</f>
        <v>145.55834270391836</v>
      </c>
      <c r="BF49" s="41">
        <f>AM49/'1. Väestöennuste'!I49*1000</f>
        <v>147.77970011534026</v>
      </c>
      <c r="BG49" s="41">
        <f>AN49/'1. Väestöennuste'!J49*1000</f>
        <v>155.0569500105463</v>
      </c>
      <c r="BH49" s="41">
        <f>AO49/'1. Väestöennuste'!K49*1000</f>
        <v>158.73594510452298</v>
      </c>
      <c r="BI49" s="41">
        <f>AP49/'1. Väestöennuste'!L49*1000</f>
        <v>169.8885296959061</v>
      </c>
      <c r="BJ49" s="41">
        <f>AQ49/'1. Väestöennuste'!M49*1000</f>
        <v>200.98201931049098</v>
      </c>
      <c r="BK49" s="41">
        <f>AR49/'1. Väestöennuste'!N49*1000</f>
        <v>202.56669568004477</v>
      </c>
      <c r="BL49" s="41">
        <f>AS49/'1. Väestöennuste'!O49*1000</f>
        <v>213.3318878945654</v>
      </c>
      <c r="BM49" s="41">
        <f>AT49/'1. Väestöennuste'!P49*1000</f>
        <v>224.02650804653396</v>
      </c>
      <c r="BN49" s="41">
        <f>AU49/'1. Väestöennuste'!Q49*1000</f>
        <v>233.3295940275793</v>
      </c>
      <c r="BO49" s="41">
        <f>AV49/'1. Väestöennuste'!R49*1000</f>
        <v>243.72456647771571</v>
      </c>
    </row>
    <row r="50" spans="1:67" x14ac:dyDescent="0.25">
      <c r="A50" s="30">
        <v>109</v>
      </c>
      <c r="B50" s="47" t="s">
        <v>364</v>
      </c>
      <c r="C50" s="47">
        <v>20.5</v>
      </c>
      <c r="D50" s="47">
        <v>20.5</v>
      </c>
      <c r="E50" s="47">
        <v>20.75</v>
      </c>
      <c r="F50" s="47">
        <v>20.75</v>
      </c>
      <c r="G50" s="47">
        <v>20.75</v>
      </c>
      <c r="H50" s="58">
        <v>21</v>
      </c>
      <c r="I50" s="139">
        <v>21</v>
      </c>
      <c r="J50" s="139">
        <v>21</v>
      </c>
      <c r="K50" s="139">
        <f t="shared" si="2"/>
        <v>8.36</v>
      </c>
      <c r="L50" s="139">
        <v>8.4</v>
      </c>
      <c r="M50" s="139">
        <f t="shared" si="4"/>
        <v>8.4</v>
      </c>
      <c r="N50" s="147">
        <f t="shared" si="4"/>
        <v>8.4</v>
      </c>
      <c r="O50" s="147">
        <f t="shared" si="4"/>
        <v>8.4</v>
      </c>
      <c r="P50" s="147">
        <f t="shared" si="4"/>
        <v>8.4</v>
      </c>
      <c r="Q50" s="147"/>
      <c r="S50" s="41">
        <f>'3. Verotulot'!D50*100/'Veroposentin tuotto'!C50</f>
        <v>1163318.7818536586</v>
      </c>
      <c r="T50" s="41">
        <f>'3. Verotulot'!I50*100/'Veroposentin tuotto'!D50</f>
        <v>1157039.0243902439</v>
      </c>
      <c r="U50" s="41">
        <f>'3. Verotulot'!N50*100/'Veroposentin tuotto'!E50</f>
        <v>1147662.6506024096</v>
      </c>
      <c r="V50" s="41">
        <f>'3. Verotulot'!S50*100/'Veroposentin tuotto'!F50</f>
        <v>1145995.1807228916</v>
      </c>
      <c r="W50" s="41">
        <f>'3. Verotulot'!X50*100/'Veroposentin tuotto'!G50</f>
        <v>1155421.686746988</v>
      </c>
      <c r="X50" s="41">
        <f>'3. Verotulot'!AC50*100/'Veroposentin tuotto'!H50</f>
        <v>1215119.0476190476</v>
      </c>
      <c r="Y50" s="41">
        <f>'3. Verotulot'!AH50*100/'Veroposentin tuotto'!I50</f>
        <v>1247021.4371428571</v>
      </c>
      <c r="Z50" s="41">
        <f>'3. Verotulot'!AM50*100/'Veroposentin tuotto'!J50</f>
        <v>1299550.8623809526</v>
      </c>
      <c r="AA50" s="41">
        <f>'3. Verotulot'!AR50*100/'Veroposentin tuotto'!K50</f>
        <v>1653614.7811004785</v>
      </c>
      <c r="AB50" s="41">
        <f>'3. Verotulot'!AW50*100/'Veroposentin tuotto'!L50</f>
        <v>1546826.0477290847</v>
      </c>
      <c r="AC50" s="41">
        <f>'3. Verotulot'!BB50*100/'Veroposentin tuotto'!M50</f>
        <v>1636250.5502575666</v>
      </c>
      <c r="AD50" s="41">
        <f>'3. Verotulot'!BG50*100/'Veroposentin tuotto'!N50</f>
        <v>1710595.8203737973</v>
      </c>
      <c r="AE50" s="41">
        <f>'3. Verotulot'!BL50*100/'Veroposentin tuotto'!O50</f>
        <v>1776049.4485596882</v>
      </c>
      <c r="AF50" s="41">
        <f>'3. Verotulot'!BQ50*100/'Veroposentin tuotto'!P50</f>
        <v>1849703.4900770287</v>
      </c>
      <c r="AI50" s="41">
        <f>'3. Verotulot'!D50/'Veroposentin tuotto'!C50</f>
        <v>11633.187818536586</v>
      </c>
      <c r="AJ50" s="41">
        <f>'3. Verotulot'!I50/'Veroposentin tuotto'!D50</f>
        <v>11570.390243902439</v>
      </c>
      <c r="AK50" s="41">
        <f>'3. Verotulot'!N50/'Veroposentin tuotto'!E50</f>
        <v>11476.626506024097</v>
      </c>
      <c r="AL50" s="41">
        <f>'3. Verotulot'!S50/'Veroposentin tuotto'!F50</f>
        <v>11459.951807228916</v>
      </c>
      <c r="AM50" s="41">
        <f>'3. Verotulot'!X50/'Veroposentin tuotto'!G50</f>
        <v>11554.216867469879</v>
      </c>
      <c r="AN50" s="41">
        <f>'3. Verotulot'!AC50/'Veroposentin tuotto'!H50</f>
        <v>12151.190476190477</v>
      </c>
      <c r="AO50" s="41">
        <f>'3. Verotulot'!AH50/'Veroposentin tuotto'!I50</f>
        <v>12470.214371428572</v>
      </c>
      <c r="AP50" s="41">
        <f>'3. Verotulot'!AM50/'Veroposentin tuotto'!J50</f>
        <v>12995.508623809526</v>
      </c>
      <c r="AQ50" s="41">
        <f>'3. Verotulot'!AR50/'Veroposentin tuotto'!K50</f>
        <v>16536.147811004783</v>
      </c>
      <c r="AR50" s="41">
        <f>'3. Verotulot'!AW50/'Veroposentin tuotto'!L50</f>
        <v>15468.260477290847</v>
      </c>
      <c r="AS50" s="41">
        <f>'3. Verotulot'!BB50/'Veroposentin tuotto'!M50</f>
        <v>16362.505502575665</v>
      </c>
      <c r="AT50" s="41">
        <f>'3. Verotulot'!BG50/'Veroposentin tuotto'!N50</f>
        <v>17105.958203737973</v>
      </c>
      <c r="AU50" s="41">
        <f>'3. Verotulot'!BL50/'Veroposentin tuotto'!O50</f>
        <v>17760.494485596882</v>
      </c>
      <c r="AV50" s="41">
        <f>'3. Verotulot'!BQ50/'Veroposentin tuotto'!P50</f>
        <v>18497.034900770286</v>
      </c>
      <c r="AX50" s="146"/>
      <c r="AZ50" s="34">
        <v>109</v>
      </c>
      <c r="BA50" s="88" t="s">
        <v>364</v>
      </c>
      <c r="BB50" s="41">
        <f>AI50/'1. Väestöennuste'!E50*1000</f>
        <v>171.04862181906731</v>
      </c>
      <c r="BC50" s="41">
        <f>AJ50/'1. Väestöennuste'!F50*1000</f>
        <v>170.52896453798729</v>
      </c>
      <c r="BD50" s="41">
        <f>AK50/'1. Väestöennuste'!G50*1000</f>
        <v>169.61701554822642</v>
      </c>
      <c r="BE50" s="41">
        <f>AL50/'1. Väestöennuste'!H50*1000</f>
        <v>169.69661504514772</v>
      </c>
      <c r="BF50" s="41">
        <f>AM50/'1. Väestöennuste'!I50*1000</f>
        <v>170.83697111572573</v>
      </c>
      <c r="BG50" s="41">
        <f>AN50/'1. Väestöennuste'!J50*1000</f>
        <v>179.09430603983134</v>
      </c>
      <c r="BH50" s="41">
        <f>AO50/'1. Väestöennuste'!K50*1000</f>
        <v>183.46374735443899</v>
      </c>
      <c r="BI50" s="41">
        <f>AP50/'1. Väestöennuste'!L50*1000</f>
        <v>190.98964807268237</v>
      </c>
      <c r="BJ50" s="41">
        <f>AQ50/'1. Väestöennuste'!M50*1000</f>
        <v>242.04317702256742</v>
      </c>
      <c r="BK50" s="41">
        <f>AR50/'1. Väestöennuste'!N50*1000</f>
        <v>227.25718764843674</v>
      </c>
      <c r="BL50" s="41">
        <f>AS50/'1. Väestöennuste'!O50*1000</f>
        <v>240.30702750147839</v>
      </c>
      <c r="BM50" s="41">
        <f>AT50/'1. Väestöennuste'!P50*1000</f>
        <v>251.15562119158957</v>
      </c>
      <c r="BN50" s="41">
        <f>AU50/'1. Väestöennuste'!Q50*1000</f>
        <v>260.72364189073522</v>
      </c>
      <c r="BO50" s="41">
        <f>AV50/'1. Väestöennuste'!R50*1000</f>
        <v>271.54002408682288</v>
      </c>
    </row>
    <row r="51" spans="1:67" x14ac:dyDescent="0.25">
      <c r="A51" s="30">
        <v>111</v>
      </c>
      <c r="B51" s="47" t="s">
        <v>365</v>
      </c>
      <c r="C51" s="47">
        <v>20.5</v>
      </c>
      <c r="D51" s="47">
        <v>20.5</v>
      </c>
      <c r="E51" s="47">
        <v>20.5</v>
      </c>
      <c r="F51" s="47">
        <v>20.5</v>
      </c>
      <c r="G51" s="47">
        <v>20.5</v>
      </c>
      <c r="H51" s="58">
        <v>20.5</v>
      </c>
      <c r="I51" s="139">
        <v>20.5</v>
      </c>
      <c r="J51" s="139">
        <v>20.5</v>
      </c>
      <c r="K51" s="139">
        <f t="shared" si="2"/>
        <v>7.8599999999999994</v>
      </c>
      <c r="L51" s="139">
        <v>8.1999999999999993</v>
      </c>
      <c r="M51" s="139">
        <f t="shared" si="4"/>
        <v>8.1999999999999993</v>
      </c>
      <c r="N51" s="147">
        <f t="shared" si="4"/>
        <v>8.1999999999999993</v>
      </c>
      <c r="O51" s="147">
        <f t="shared" si="4"/>
        <v>8.1999999999999993</v>
      </c>
      <c r="P51" s="147">
        <f t="shared" si="4"/>
        <v>8.1999999999999993</v>
      </c>
      <c r="Q51" s="147"/>
      <c r="S51" s="41">
        <f>'3. Verotulot'!D51*100/'Veroposentin tuotto'!C51</f>
        <v>300332.86897560977</v>
      </c>
      <c r="T51" s="41">
        <f>'3. Verotulot'!I51*100/'Veroposentin tuotto'!D51</f>
        <v>302848.78048780491</v>
      </c>
      <c r="U51" s="41">
        <f>'3. Verotulot'!N51*100/'Veroposentin tuotto'!E51</f>
        <v>294229.26829268294</v>
      </c>
      <c r="V51" s="41">
        <f>'3. Verotulot'!S51*100/'Veroposentin tuotto'!F51</f>
        <v>291151.21951219509</v>
      </c>
      <c r="W51" s="41">
        <f>'3. Verotulot'!X51*100/'Veroposentin tuotto'!G51</f>
        <v>287312.19512195123</v>
      </c>
      <c r="X51" s="41">
        <f>'3. Verotulot'!AC51*100/'Veroposentin tuotto'!H51</f>
        <v>310951.21951219509</v>
      </c>
      <c r="Y51" s="41">
        <f>'3. Verotulot'!AH51*100/'Veroposentin tuotto'!I51</f>
        <v>302173.65336585365</v>
      </c>
      <c r="Z51" s="41">
        <f>'3. Verotulot'!AM51*100/'Veroposentin tuotto'!J51</f>
        <v>316629.47575609753</v>
      </c>
      <c r="AA51" s="41">
        <f>'3. Verotulot'!AR51*100/'Veroposentin tuotto'!K51</f>
        <v>391644.6218829517</v>
      </c>
      <c r="AB51" s="41">
        <f>'3. Verotulot'!AW51*100/'Veroposentin tuotto'!L51</f>
        <v>363777.61437987478</v>
      </c>
      <c r="AC51" s="41">
        <f>'3. Verotulot'!BB51*100/'Veroposentin tuotto'!M51</f>
        <v>380657.87096711888</v>
      </c>
      <c r="AD51" s="41">
        <f>'3. Verotulot'!BG51*100/'Veroposentin tuotto'!N51</f>
        <v>391406.83788712654</v>
      </c>
      <c r="AE51" s="41">
        <f>'3. Verotulot'!BL51*100/'Veroposentin tuotto'!O51</f>
        <v>401415.79315089481</v>
      </c>
      <c r="AF51" s="41">
        <f>'3. Verotulot'!BQ51*100/'Veroposentin tuotto'!P51</f>
        <v>413278.10662448825</v>
      </c>
      <c r="AI51" s="41">
        <f>'3. Verotulot'!D51/'Veroposentin tuotto'!C51</f>
        <v>3003.3286897560974</v>
      </c>
      <c r="AJ51" s="41">
        <f>'3. Verotulot'!I51/'Veroposentin tuotto'!D51</f>
        <v>3028.4878048780488</v>
      </c>
      <c r="AK51" s="41">
        <f>'3. Verotulot'!N51/'Veroposentin tuotto'!E51</f>
        <v>2942.2926829268295</v>
      </c>
      <c r="AL51" s="41">
        <f>'3. Verotulot'!S51/'Veroposentin tuotto'!F51</f>
        <v>2911.5121951219512</v>
      </c>
      <c r="AM51" s="41">
        <f>'3. Verotulot'!X51/'Veroposentin tuotto'!G51</f>
        <v>2873.1219512195121</v>
      </c>
      <c r="AN51" s="41">
        <f>'3. Verotulot'!AC51/'Veroposentin tuotto'!H51</f>
        <v>3109.5121951219512</v>
      </c>
      <c r="AO51" s="41">
        <f>'3. Verotulot'!AH51/'Veroposentin tuotto'!I51</f>
        <v>3021.7365336585362</v>
      </c>
      <c r="AP51" s="41">
        <f>'3. Verotulot'!AM51/'Veroposentin tuotto'!J51</f>
        <v>3166.2947575609755</v>
      </c>
      <c r="AQ51" s="41">
        <f>'3. Verotulot'!AR51/'Veroposentin tuotto'!K51</f>
        <v>3916.446218829517</v>
      </c>
      <c r="AR51" s="41">
        <f>'3. Verotulot'!AW51/'Veroposentin tuotto'!L51</f>
        <v>3637.7761437987483</v>
      </c>
      <c r="AS51" s="41">
        <f>'3. Verotulot'!BB51/'Veroposentin tuotto'!M51</f>
        <v>3806.5787096711888</v>
      </c>
      <c r="AT51" s="41">
        <f>'3. Verotulot'!BG51/'Veroposentin tuotto'!N51</f>
        <v>3914.0683788712654</v>
      </c>
      <c r="AU51" s="41">
        <f>'3. Verotulot'!BL51/'Veroposentin tuotto'!O51</f>
        <v>4014.1579315089484</v>
      </c>
      <c r="AV51" s="41">
        <f>'3. Verotulot'!BQ51/'Veroposentin tuotto'!P51</f>
        <v>4132.7810662448828</v>
      </c>
      <c r="AX51" s="146"/>
      <c r="AZ51" s="34">
        <v>111</v>
      </c>
      <c r="BA51" s="88" t="s">
        <v>365</v>
      </c>
      <c r="BB51" s="41">
        <f>AI51/'1. Väestöennuste'!E51*1000</f>
        <v>153.42675298881724</v>
      </c>
      <c r="BC51" s="41">
        <f>AJ51/'1. Väestöennuste'!F51*1000</f>
        <v>156.5109976681162</v>
      </c>
      <c r="BD51" s="41">
        <f>AK51/'1. Väestöennuste'!G51*1000</f>
        <v>153.82124021993044</v>
      </c>
      <c r="BE51" s="41">
        <f>AL51/'1. Väestöennuste'!H51*1000</f>
        <v>154.13797422425492</v>
      </c>
      <c r="BF51" s="41">
        <f>AM51/'1. Väestöennuste'!I51*1000</f>
        <v>153.91449891356467</v>
      </c>
      <c r="BG51" s="41">
        <f>AN51/'1. Väestöennuste'!J51*1000</f>
        <v>168.10900119597508</v>
      </c>
      <c r="BH51" s="41">
        <f>AO51/'1. Väestöennuste'!K51*1000</f>
        <v>164.72615207471304</v>
      </c>
      <c r="BI51" s="41">
        <f>AP51/'1. Väestöennuste'!L51*1000</f>
        <v>174.63431457509105</v>
      </c>
      <c r="BJ51" s="41">
        <f>AQ51/'1. Väestöennuste'!M51*1000</f>
        <v>218.1499592730751</v>
      </c>
      <c r="BK51" s="41">
        <f>AR51/'1. Väestöennuste'!N51*1000</f>
        <v>206.1647006970104</v>
      </c>
      <c r="BL51" s="41">
        <f>AS51/'1. Väestöennuste'!O51*1000</f>
        <v>217.99213776607425</v>
      </c>
      <c r="BM51" s="41">
        <f>AT51/'1. Väestöennuste'!P51*1000</f>
        <v>226.37758119556193</v>
      </c>
      <c r="BN51" s="41">
        <f>AU51/'1. Väestöennuste'!Q51*1000</f>
        <v>234.37601048105032</v>
      </c>
      <c r="BO51" s="41">
        <f>AV51/'1. Väestöennuste'!R51*1000</f>
        <v>243.56324058491765</v>
      </c>
    </row>
    <row r="52" spans="1:67" x14ac:dyDescent="0.25">
      <c r="A52" s="30">
        <v>139</v>
      </c>
      <c r="B52" s="47" t="s">
        <v>366</v>
      </c>
      <c r="C52" s="47">
        <v>21.25</v>
      </c>
      <c r="D52" s="47">
        <v>21.25</v>
      </c>
      <c r="E52" s="47">
        <v>21.25</v>
      </c>
      <c r="F52" s="47">
        <v>21.25</v>
      </c>
      <c r="G52" s="47">
        <v>21.25</v>
      </c>
      <c r="H52" s="58">
        <v>21.25</v>
      </c>
      <c r="I52" s="139">
        <v>21.5</v>
      </c>
      <c r="J52" s="139">
        <v>21.5</v>
      </c>
      <c r="K52" s="139">
        <f t="shared" si="2"/>
        <v>8.86</v>
      </c>
      <c r="L52" s="139">
        <v>8.9</v>
      </c>
      <c r="M52" s="139">
        <f t="shared" si="4"/>
        <v>8.9</v>
      </c>
      <c r="N52" s="147">
        <f t="shared" si="4"/>
        <v>8.9</v>
      </c>
      <c r="O52" s="147">
        <f t="shared" si="4"/>
        <v>8.9</v>
      </c>
      <c r="P52" s="147">
        <f t="shared" si="4"/>
        <v>8.9</v>
      </c>
      <c r="Q52" s="147"/>
      <c r="S52" s="41">
        <f>'3. Verotulot'!D52*100/'Veroposentin tuotto'!C52</f>
        <v>127794.89703529411</v>
      </c>
      <c r="T52" s="41">
        <f>'3. Verotulot'!I52*100/'Veroposentin tuotto'!D52</f>
        <v>123807.05882352941</v>
      </c>
      <c r="U52" s="41">
        <f>'3. Verotulot'!N52*100/'Veroposentin tuotto'!E52</f>
        <v>125138.82352941176</v>
      </c>
      <c r="V52" s="41">
        <f>'3. Verotulot'!S52*100/'Veroposentin tuotto'!F52</f>
        <v>124654.11764705883</v>
      </c>
      <c r="W52" s="41">
        <f>'3. Verotulot'!X52*100/'Veroposentin tuotto'!G52</f>
        <v>132489.41176470587</v>
      </c>
      <c r="X52" s="41">
        <f>'3. Verotulot'!AC52*100/'Veroposentin tuotto'!H52</f>
        <v>136103.5294117647</v>
      </c>
      <c r="Y52" s="41">
        <f>'3. Verotulot'!AH52*100/'Veroposentin tuotto'!I52</f>
        <v>143707.08730232558</v>
      </c>
      <c r="Z52" s="41">
        <f>'3. Verotulot'!AM52*100/'Veroposentin tuotto'!J52</f>
        <v>148082.71330232557</v>
      </c>
      <c r="AA52" s="41">
        <f>'3. Verotulot'!AR52*100/'Veroposentin tuotto'!K52</f>
        <v>188091.91478555309</v>
      </c>
      <c r="AB52" s="41">
        <f>'3. Verotulot'!AW52*100/'Veroposentin tuotto'!L52</f>
        <v>177240.99390724042</v>
      </c>
      <c r="AC52" s="41">
        <f>'3. Verotulot'!BB52*100/'Veroposentin tuotto'!M52</f>
        <v>188264.21516768608</v>
      </c>
      <c r="AD52" s="41">
        <f>'3. Verotulot'!BG52*100/'Veroposentin tuotto'!N52</f>
        <v>196781.92390292851</v>
      </c>
      <c r="AE52" s="41">
        <f>'3. Verotulot'!BL52*100/'Veroposentin tuotto'!O52</f>
        <v>203679.72844891978</v>
      </c>
      <c r="AF52" s="41">
        <f>'3. Verotulot'!BQ52*100/'Veroposentin tuotto'!P52</f>
        <v>211246.98524996953</v>
      </c>
      <c r="AI52" s="41">
        <f>'3. Verotulot'!D52/'Veroposentin tuotto'!C52</f>
        <v>1277.9489703529412</v>
      </c>
      <c r="AJ52" s="41">
        <f>'3. Verotulot'!I52/'Veroposentin tuotto'!D52</f>
        <v>1238.0705882352941</v>
      </c>
      <c r="AK52" s="41">
        <f>'3. Verotulot'!N52/'Veroposentin tuotto'!E52</f>
        <v>1251.3882352941177</v>
      </c>
      <c r="AL52" s="41">
        <f>'3. Verotulot'!S52/'Veroposentin tuotto'!F52</f>
        <v>1246.5411764705882</v>
      </c>
      <c r="AM52" s="41">
        <f>'3. Verotulot'!X52/'Veroposentin tuotto'!G52</f>
        <v>1324.8941176470589</v>
      </c>
      <c r="AN52" s="41">
        <f>'3. Verotulot'!AC52/'Veroposentin tuotto'!H52</f>
        <v>1361.035294117647</v>
      </c>
      <c r="AO52" s="41">
        <f>'3. Verotulot'!AH52/'Veroposentin tuotto'!I52</f>
        <v>1437.0708730232559</v>
      </c>
      <c r="AP52" s="41">
        <f>'3. Verotulot'!AM52/'Veroposentin tuotto'!J52</f>
        <v>1480.8271330232558</v>
      </c>
      <c r="AQ52" s="41">
        <f>'3. Verotulot'!AR52/'Veroposentin tuotto'!K52</f>
        <v>1880.9191478555308</v>
      </c>
      <c r="AR52" s="41">
        <f>'3. Verotulot'!AW52/'Veroposentin tuotto'!L52</f>
        <v>1772.4099390724043</v>
      </c>
      <c r="AS52" s="41">
        <f>'3. Verotulot'!BB52/'Veroposentin tuotto'!M52</f>
        <v>1882.6421516768605</v>
      </c>
      <c r="AT52" s="41">
        <f>'3. Verotulot'!BG52/'Veroposentin tuotto'!N52</f>
        <v>1967.819239029285</v>
      </c>
      <c r="AU52" s="41">
        <f>'3. Verotulot'!BL52/'Veroposentin tuotto'!O52</f>
        <v>2036.7972844891976</v>
      </c>
      <c r="AV52" s="41">
        <f>'3. Verotulot'!BQ52/'Veroposentin tuotto'!P52</f>
        <v>2112.4698524996952</v>
      </c>
      <c r="AX52" s="146"/>
      <c r="AZ52" s="34">
        <v>139</v>
      </c>
      <c r="BA52" s="88" t="s">
        <v>366</v>
      </c>
      <c r="BB52" s="41">
        <f>AI52/'1. Väestöennuste'!E52*1000</f>
        <v>132.25178209178733</v>
      </c>
      <c r="BC52" s="41">
        <f>AJ52/'1. Väestöennuste'!F52*1000</f>
        <v>128.59063026955693</v>
      </c>
      <c r="BD52" s="41">
        <f>AK52/'1. Väestöennuste'!G52*1000</f>
        <v>125.56574706944789</v>
      </c>
      <c r="BE52" s="41">
        <f>AL52/'1. Väestöennuste'!H52*1000</f>
        <v>126.3984157848903</v>
      </c>
      <c r="BF52" s="41">
        <f>AM52/'1. Väestöennuste'!I52*1000</f>
        <v>134.58900016731602</v>
      </c>
      <c r="BG52" s="41">
        <f>AN52/'1. Väestöennuste'!J52*1000</f>
        <v>138.20423376499258</v>
      </c>
      <c r="BH52" s="41">
        <f>AO52/'1. Väestöennuste'!K52*1000</f>
        <v>144.98293714923889</v>
      </c>
      <c r="BI52" s="41">
        <f>AP52/'1. Väestöennuste'!L52*1000</f>
        <v>150.29200578740037</v>
      </c>
      <c r="BJ52" s="41">
        <f>AQ52/'1. Väestöennuste'!M52*1000</f>
        <v>192.59872494936832</v>
      </c>
      <c r="BK52" s="41">
        <f>AR52/'1. Väestöennuste'!N52*1000</f>
        <v>183.02457032965759</v>
      </c>
      <c r="BL52" s="41">
        <f>AS52/'1. Väestöennuste'!O52*1000</f>
        <v>195.27457231374967</v>
      </c>
      <c r="BM52" s="41">
        <f>AT52/'1. Väestöennuste'!P52*1000</f>
        <v>205.04524737202092</v>
      </c>
      <c r="BN52" s="41">
        <f>AU52/'1. Väestöennuste'!Q52*1000</f>
        <v>213.25487221120275</v>
      </c>
      <c r="BO52" s="41">
        <f>AV52/'1. Väestöennuste'!R52*1000</f>
        <v>222.20152019561326</v>
      </c>
    </row>
    <row r="53" spans="1:67" x14ac:dyDescent="0.25">
      <c r="A53" s="30">
        <v>140</v>
      </c>
      <c r="B53" s="47" t="s">
        <v>367</v>
      </c>
      <c r="C53" s="47">
        <v>20.5</v>
      </c>
      <c r="D53" s="47">
        <v>20.5</v>
      </c>
      <c r="E53" s="47">
        <v>20.5</v>
      </c>
      <c r="F53" s="47">
        <v>20.5</v>
      </c>
      <c r="G53" s="47">
        <v>20.5</v>
      </c>
      <c r="H53" s="58">
        <v>20.5</v>
      </c>
      <c r="I53" s="139">
        <v>20.5</v>
      </c>
      <c r="J53" s="139">
        <v>20.5</v>
      </c>
      <c r="K53" s="139">
        <f t="shared" si="2"/>
        <v>7.8599999999999994</v>
      </c>
      <c r="L53" s="139">
        <v>7.9</v>
      </c>
      <c r="M53" s="139">
        <f t="shared" si="4"/>
        <v>7.9</v>
      </c>
      <c r="N53" s="147">
        <f t="shared" si="4"/>
        <v>7.9</v>
      </c>
      <c r="O53" s="147">
        <f t="shared" si="4"/>
        <v>7.9</v>
      </c>
      <c r="P53" s="147">
        <f t="shared" si="4"/>
        <v>7.9</v>
      </c>
      <c r="Q53" s="147"/>
      <c r="S53" s="41">
        <f>'3. Verotulot'!D53*100/'Veroposentin tuotto'!C53</f>
        <v>321525.66819512192</v>
      </c>
      <c r="T53" s="41">
        <f>'3. Verotulot'!I53*100/'Veroposentin tuotto'!D53</f>
        <v>316078.04878048779</v>
      </c>
      <c r="U53" s="41">
        <f>'3. Verotulot'!N53*100/'Veroposentin tuotto'!E53</f>
        <v>314848.78048780491</v>
      </c>
      <c r="V53" s="41">
        <f>'3. Verotulot'!S53*100/'Veroposentin tuotto'!F53</f>
        <v>310946.34146341466</v>
      </c>
      <c r="W53" s="41">
        <f>'3. Verotulot'!X53*100/'Veroposentin tuotto'!G53</f>
        <v>318785.36585365853</v>
      </c>
      <c r="X53" s="41">
        <f>'3. Verotulot'!AC53*100/'Veroposentin tuotto'!H53</f>
        <v>322936.58536585368</v>
      </c>
      <c r="Y53" s="41">
        <f>'3. Verotulot'!AH53*100/'Veroposentin tuotto'!I53</f>
        <v>327704.32609756093</v>
      </c>
      <c r="Z53" s="41">
        <f>'3. Verotulot'!AM53*100/'Veroposentin tuotto'!J53</f>
        <v>341144.5265365853</v>
      </c>
      <c r="AA53" s="41">
        <f>'3. Verotulot'!AR53*100/'Veroposentin tuotto'!K53</f>
        <v>424317.16043257003</v>
      </c>
      <c r="AB53" s="41">
        <f>'3. Verotulot'!AW53*100/'Veroposentin tuotto'!L53</f>
        <v>400754.28778807609</v>
      </c>
      <c r="AC53" s="41">
        <f>'3. Verotulot'!BB53*100/'Veroposentin tuotto'!M53</f>
        <v>421115.64798409719</v>
      </c>
      <c r="AD53" s="41">
        <f>'3. Verotulot'!BG53*100/'Veroposentin tuotto'!N53</f>
        <v>438086.39471376914</v>
      </c>
      <c r="AE53" s="41">
        <f>'3. Verotulot'!BL53*100/'Veroposentin tuotto'!O53</f>
        <v>451772.83737041987</v>
      </c>
      <c r="AF53" s="41">
        <f>'3. Verotulot'!BQ53*100/'Veroposentin tuotto'!P53</f>
        <v>467496.58527114277</v>
      </c>
      <c r="AI53" s="41">
        <f>'3. Verotulot'!D53/'Veroposentin tuotto'!C53</f>
        <v>3215.2566819512194</v>
      </c>
      <c r="AJ53" s="41">
        <f>'3. Verotulot'!I53/'Veroposentin tuotto'!D53</f>
        <v>3160.7804878048782</v>
      </c>
      <c r="AK53" s="41">
        <f>'3. Verotulot'!N53/'Veroposentin tuotto'!E53</f>
        <v>3148.4878048780488</v>
      </c>
      <c r="AL53" s="41">
        <f>'3. Verotulot'!S53/'Veroposentin tuotto'!F53</f>
        <v>3109.4634146341464</v>
      </c>
      <c r="AM53" s="41">
        <f>'3. Verotulot'!X53/'Veroposentin tuotto'!G53</f>
        <v>3187.8536585365855</v>
      </c>
      <c r="AN53" s="41">
        <f>'3. Verotulot'!AC53/'Veroposentin tuotto'!H53</f>
        <v>3229.3658536585367</v>
      </c>
      <c r="AO53" s="41">
        <f>'3. Verotulot'!AH53/'Veroposentin tuotto'!I53</f>
        <v>3277.0432609756094</v>
      </c>
      <c r="AP53" s="41">
        <f>'3. Verotulot'!AM53/'Veroposentin tuotto'!J53</f>
        <v>3411.4452653658532</v>
      </c>
      <c r="AQ53" s="41">
        <f>'3. Verotulot'!AR53/'Veroposentin tuotto'!K53</f>
        <v>4243.1716043257002</v>
      </c>
      <c r="AR53" s="41">
        <f>'3. Verotulot'!AW53/'Veroposentin tuotto'!L53</f>
        <v>4007.5428778807604</v>
      </c>
      <c r="AS53" s="41">
        <f>'3. Verotulot'!BB53/'Veroposentin tuotto'!M53</f>
        <v>4211.1564798409718</v>
      </c>
      <c r="AT53" s="41">
        <f>'3. Verotulot'!BG53/'Veroposentin tuotto'!N53</f>
        <v>4380.8639471376919</v>
      </c>
      <c r="AU53" s="41">
        <f>'3. Verotulot'!BL53/'Veroposentin tuotto'!O53</f>
        <v>4517.728373704198</v>
      </c>
      <c r="AV53" s="41">
        <f>'3. Verotulot'!BQ53/'Veroposentin tuotto'!P53</f>
        <v>4674.9658527114279</v>
      </c>
      <c r="AX53" s="146"/>
      <c r="AZ53" s="34">
        <v>140</v>
      </c>
      <c r="BA53" s="88" t="s">
        <v>367</v>
      </c>
      <c r="BB53" s="41">
        <f>AI53/'1. Väestöennuste'!E53*1000</f>
        <v>146.51431678975709</v>
      </c>
      <c r="BC53" s="41">
        <f>AJ53/'1. Väestöennuste'!F53*1000</f>
        <v>145.20974354779611</v>
      </c>
      <c r="BD53" s="41">
        <f>AK53/'1. Väestöennuste'!G53*1000</f>
        <v>145.50061485641891</v>
      </c>
      <c r="BE53" s="41">
        <f>AL53/'1. Väestöennuste'!H53*1000</f>
        <v>144.81480135218641</v>
      </c>
      <c r="BF53" s="41">
        <f>AM53/'1. Väestöennuste'!I53*1000</f>
        <v>149.18820940362156</v>
      </c>
      <c r="BG53" s="41">
        <f>AN53/'1. Väestöennuste'!J53*1000</f>
        <v>152.87662628567205</v>
      </c>
      <c r="BH53" s="41">
        <f>AO53/'1. Väestöennuste'!K53*1000</f>
        <v>156.36240390188038</v>
      </c>
      <c r="BI53" s="41">
        <f>AP53/'1. Väestöennuste'!L53*1000</f>
        <v>164.00390680091598</v>
      </c>
      <c r="BJ53" s="41">
        <f>AQ53/'1. Väestöennuste'!M53*1000</f>
        <v>205.79937939304008</v>
      </c>
      <c r="BK53" s="41">
        <f>AR53/'1. Väestöennuste'!N53*1000</f>
        <v>195.89123462121228</v>
      </c>
      <c r="BL53" s="41">
        <f>AS53/'1. Väestöennuste'!O53*1000</f>
        <v>207.48701615298444</v>
      </c>
      <c r="BM53" s="41">
        <f>AT53/'1. Väestöennuste'!P53*1000</f>
        <v>217.56376376329419</v>
      </c>
      <c r="BN53" s="41">
        <f>AU53/'1. Väestöennuste'!Q53*1000</f>
        <v>226.14648714542716</v>
      </c>
      <c r="BO53" s="41">
        <f>AV53/'1. Väestöennuste'!R53*1000</f>
        <v>235.85923276885262</v>
      </c>
    </row>
    <row r="54" spans="1:67" x14ac:dyDescent="0.25">
      <c r="A54" s="30">
        <v>142</v>
      </c>
      <c r="B54" s="47" t="s">
        <v>368</v>
      </c>
      <c r="C54" s="47">
        <v>20.25</v>
      </c>
      <c r="D54" s="47">
        <v>20.25</v>
      </c>
      <c r="E54" s="47">
        <v>20.25</v>
      </c>
      <c r="F54" s="47">
        <v>20.75</v>
      </c>
      <c r="G54" s="47">
        <v>20.75</v>
      </c>
      <c r="H54" s="58">
        <v>21.25</v>
      </c>
      <c r="I54" s="139">
        <v>21.25</v>
      </c>
      <c r="J54" s="139">
        <v>21.25</v>
      </c>
      <c r="K54" s="139">
        <f t="shared" si="2"/>
        <v>8.61</v>
      </c>
      <c r="L54" s="139">
        <v>8.6</v>
      </c>
      <c r="M54" s="139">
        <f t="shared" si="4"/>
        <v>8.6</v>
      </c>
      <c r="N54" s="147">
        <f t="shared" si="4"/>
        <v>8.6</v>
      </c>
      <c r="O54" s="147">
        <f t="shared" si="4"/>
        <v>8.6</v>
      </c>
      <c r="P54" s="147">
        <f t="shared" si="4"/>
        <v>8.6</v>
      </c>
      <c r="Q54" s="147"/>
      <c r="S54" s="41">
        <f>'3. Verotulot'!D54*100/'Veroposentin tuotto'!C54</f>
        <v>97495.68207407408</v>
      </c>
      <c r="T54" s="41">
        <f>'3. Verotulot'!I54*100/'Veroposentin tuotto'!D54</f>
        <v>98607.407407407401</v>
      </c>
      <c r="U54" s="41">
        <f>'3. Verotulot'!N54*100/'Veroposentin tuotto'!E54</f>
        <v>99817.28395061729</v>
      </c>
      <c r="V54" s="41">
        <f>'3. Verotulot'!S54*100/'Veroposentin tuotto'!F54</f>
        <v>93310.843373493975</v>
      </c>
      <c r="W54" s="41">
        <f>'3. Verotulot'!X54*100/'Veroposentin tuotto'!G54</f>
        <v>96284.337349397596</v>
      </c>
      <c r="X54" s="41">
        <f>'3. Verotulot'!AC54*100/'Veroposentin tuotto'!H54</f>
        <v>99844.705882352937</v>
      </c>
      <c r="Y54" s="41">
        <f>'3. Verotulot'!AH54*100/'Veroposentin tuotto'!I54</f>
        <v>99643.794635294122</v>
      </c>
      <c r="Z54" s="41">
        <f>'3. Verotulot'!AM54*100/'Veroposentin tuotto'!J54</f>
        <v>104039.04028235293</v>
      </c>
      <c r="AA54" s="41">
        <f>'3. Verotulot'!AR54*100/'Veroposentin tuotto'!K54</f>
        <v>128029.97781649245</v>
      </c>
      <c r="AB54" s="41">
        <f>'3. Verotulot'!AW54*100/'Veroposentin tuotto'!L54</f>
        <v>121487.44968667137</v>
      </c>
      <c r="AC54" s="41">
        <f>'3. Verotulot'!BB54*100/'Veroposentin tuotto'!M54</f>
        <v>127706.79863348558</v>
      </c>
      <c r="AD54" s="41">
        <f>'3. Verotulot'!BG54*100/'Veroposentin tuotto'!N54</f>
        <v>132019.23097695186</v>
      </c>
      <c r="AE54" s="41">
        <f>'3. Verotulot'!BL54*100/'Veroposentin tuotto'!O54</f>
        <v>135835.6360417617</v>
      </c>
      <c r="AF54" s="41">
        <f>'3. Verotulot'!BQ54*100/'Veroposentin tuotto'!P54</f>
        <v>140145.9803632744</v>
      </c>
      <c r="AI54" s="41">
        <f>'3. Verotulot'!D54/'Veroposentin tuotto'!C54</f>
        <v>974.95682074074091</v>
      </c>
      <c r="AJ54" s="41">
        <f>'3. Verotulot'!I54/'Veroposentin tuotto'!D54</f>
        <v>986.07407407407402</v>
      </c>
      <c r="AK54" s="41">
        <f>'3. Verotulot'!N54/'Veroposentin tuotto'!E54</f>
        <v>998.17283950617286</v>
      </c>
      <c r="AL54" s="41">
        <f>'3. Verotulot'!S54/'Veroposentin tuotto'!F54</f>
        <v>933.10843373493981</v>
      </c>
      <c r="AM54" s="41">
        <f>'3. Verotulot'!X54/'Veroposentin tuotto'!G54</f>
        <v>962.84337349397595</v>
      </c>
      <c r="AN54" s="41">
        <f>'3. Verotulot'!AC54/'Veroposentin tuotto'!H54</f>
        <v>998.44705882352946</v>
      </c>
      <c r="AO54" s="41">
        <f>'3. Verotulot'!AH54/'Veroposentin tuotto'!I54</f>
        <v>996.43794635294114</v>
      </c>
      <c r="AP54" s="41">
        <f>'3. Verotulot'!AM54/'Veroposentin tuotto'!J54</f>
        <v>1040.3904028235293</v>
      </c>
      <c r="AQ54" s="41">
        <f>'3. Verotulot'!AR54/'Veroposentin tuotto'!K54</f>
        <v>1280.2997781649244</v>
      </c>
      <c r="AR54" s="41">
        <f>'3. Verotulot'!AW54/'Veroposentin tuotto'!L54</f>
        <v>1214.8744968667136</v>
      </c>
      <c r="AS54" s="41">
        <f>'3. Verotulot'!BB54/'Veroposentin tuotto'!M54</f>
        <v>1277.0679863348557</v>
      </c>
      <c r="AT54" s="41">
        <f>'3. Verotulot'!BG54/'Veroposentin tuotto'!N54</f>
        <v>1320.1923097695187</v>
      </c>
      <c r="AU54" s="41">
        <f>'3. Verotulot'!BL54/'Veroposentin tuotto'!O54</f>
        <v>1358.3563604176168</v>
      </c>
      <c r="AV54" s="41">
        <f>'3. Verotulot'!BQ54/'Veroposentin tuotto'!P54</f>
        <v>1401.4598036327441</v>
      </c>
      <c r="AX54" s="146"/>
      <c r="AZ54" s="34">
        <v>142</v>
      </c>
      <c r="BA54" s="88" t="s">
        <v>368</v>
      </c>
      <c r="BB54" s="41">
        <f>AI54/'1. Väestöennuste'!E54*1000</f>
        <v>141.09360647478161</v>
      </c>
      <c r="BC54" s="41">
        <f>AJ54/'1. Väestöennuste'!F54*1000</f>
        <v>143.13747627726434</v>
      </c>
      <c r="BD54" s="41">
        <f>AK54/'1. Väestöennuste'!G54*1000</f>
        <v>146.3596538865356</v>
      </c>
      <c r="BE54" s="41">
        <f>AL54/'1. Väestöennuste'!H54*1000</f>
        <v>137.93177143162453</v>
      </c>
      <c r="BF54" s="41">
        <f>AM54/'1. Väestöennuste'!I54*1000</f>
        <v>143.47241446788496</v>
      </c>
      <c r="BG54" s="41">
        <f>AN54/'1. Väestöennuste'!J54*1000</f>
        <v>150.70899001109876</v>
      </c>
      <c r="BH54" s="41">
        <f>AO54/'1. Väestöennuste'!K54*1000</f>
        <v>151.91918682008554</v>
      </c>
      <c r="BI54" s="41">
        <f>AP54/'1. Väestöennuste'!L54*1000</f>
        <v>159.96162405035813</v>
      </c>
      <c r="BJ54" s="41">
        <f>AQ54/'1. Väestöennuste'!M54*1000</f>
        <v>198.68090908828748</v>
      </c>
      <c r="BK54" s="41">
        <f>AR54/'1. Väestöennuste'!N54*1000</f>
        <v>189.55757479586728</v>
      </c>
      <c r="BL54" s="41">
        <f>AS54/'1. Väestöennuste'!O54*1000</f>
        <v>200.95483655937934</v>
      </c>
      <c r="BM54" s="41">
        <f>AT54/'1. Väestöennuste'!P54*1000</f>
        <v>209.38815380959852</v>
      </c>
      <c r="BN54" s="41">
        <f>AU54/'1. Väestöennuste'!Q54*1000</f>
        <v>217.12857423555255</v>
      </c>
      <c r="BO54" s="41">
        <f>AV54/'1. Väestöennuste'!R54*1000</f>
        <v>225.75061269857346</v>
      </c>
    </row>
    <row r="55" spans="1:67" x14ac:dyDescent="0.25">
      <c r="A55" s="30">
        <v>143</v>
      </c>
      <c r="B55" s="47" t="s">
        <v>369</v>
      </c>
      <c r="C55" s="47">
        <v>21.25</v>
      </c>
      <c r="D55" s="47">
        <v>21.25</v>
      </c>
      <c r="E55" s="47">
        <v>21.25</v>
      </c>
      <c r="F55" s="47">
        <v>21.25</v>
      </c>
      <c r="G55" s="47">
        <v>21.75</v>
      </c>
      <c r="H55" s="58">
        <v>22</v>
      </c>
      <c r="I55" s="139">
        <v>22</v>
      </c>
      <c r="J55" s="139">
        <v>22</v>
      </c>
      <c r="K55" s="139">
        <f t="shared" si="2"/>
        <v>9.36</v>
      </c>
      <c r="L55" s="139">
        <v>9.4</v>
      </c>
      <c r="M55" s="139">
        <f t="shared" ref="M55:P74" si="5">L55</f>
        <v>9.4</v>
      </c>
      <c r="N55" s="147">
        <f t="shared" si="5"/>
        <v>9.4</v>
      </c>
      <c r="O55" s="147">
        <f t="shared" si="5"/>
        <v>9.4</v>
      </c>
      <c r="P55" s="147">
        <f t="shared" si="5"/>
        <v>9.4</v>
      </c>
      <c r="Q55" s="147"/>
      <c r="S55" s="41">
        <f>'3. Verotulot'!D55*100/'Veroposentin tuotto'!C55</f>
        <v>99321.20367058822</v>
      </c>
      <c r="T55" s="41">
        <f>'3. Verotulot'!I55*100/'Veroposentin tuotto'!D55</f>
        <v>97251.76470588235</v>
      </c>
      <c r="U55" s="41">
        <f>'3. Verotulot'!N55*100/'Veroposentin tuotto'!E55</f>
        <v>97637.647058823524</v>
      </c>
      <c r="V55" s="41">
        <f>'3. Verotulot'!S55*100/'Veroposentin tuotto'!F55</f>
        <v>95327.058823529413</v>
      </c>
      <c r="W55" s="41">
        <f>'3. Verotulot'!X55*100/'Veroposentin tuotto'!G55</f>
        <v>91756.321839080454</v>
      </c>
      <c r="X55" s="41">
        <f>'3. Verotulot'!AC55*100/'Veroposentin tuotto'!H55</f>
        <v>95981.818181818177</v>
      </c>
      <c r="Y55" s="41">
        <f>'3. Verotulot'!AH55*100/'Veroposentin tuotto'!I55</f>
        <v>98577.425000000003</v>
      </c>
      <c r="Z55" s="41">
        <f>'3. Verotulot'!AM55*100/'Veroposentin tuotto'!J55</f>
        <v>101808.7606818182</v>
      </c>
      <c r="AA55" s="41">
        <f>'3. Verotulot'!AR55*100/'Veroposentin tuotto'!K55</f>
        <v>122947.55170940173</v>
      </c>
      <c r="AB55" s="41">
        <f>'3. Verotulot'!AW55*100/'Veroposentin tuotto'!L55</f>
        <v>120934.90740722526</v>
      </c>
      <c r="AC55" s="41">
        <f>'3. Verotulot'!BB55*100/'Veroposentin tuotto'!M55</f>
        <v>126213.27712805777</v>
      </c>
      <c r="AD55" s="41">
        <f>'3. Verotulot'!BG55*100/'Veroposentin tuotto'!N55</f>
        <v>130926.6099911065</v>
      </c>
      <c r="AE55" s="41">
        <f>'3. Verotulot'!BL55*100/'Veroposentin tuotto'!O55</f>
        <v>135088.1732905785</v>
      </c>
      <c r="AF55" s="41">
        <f>'3. Verotulot'!BQ55*100/'Veroposentin tuotto'!P55</f>
        <v>139900.92396862342</v>
      </c>
      <c r="AI55" s="41">
        <f>'3. Verotulot'!D55/'Veroposentin tuotto'!C55</f>
        <v>993.21203670588238</v>
      </c>
      <c r="AJ55" s="41">
        <f>'3. Verotulot'!I55/'Veroposentin tuotto'!D55</f>
        <v>972.51764705882351</v>
      </c>
      <c r="AK55" s="41">
        <f>'3. Verotulot'!N55/'Veroposentin tuotto'!E55</f>
        <v>976.37647058823529</v>
      </c>
      <c r="AL55" s="41">
        <f>'3. Verotulot'!S55/'Veroposentin tuotto'!F55</f>
        <v>953.2705882352941</v>
      </c>
      <c r="AM55" s="41">
        <f>'3. Verotulot'!X55/'Veroposentin tuotto'!G55</f>
        <v>917.56321839080465</v>
      </c>
      <c r="AN55" s="41">
        <f>'3. Verotulot'!AC55/'Veroposentin tuotto'!H55</f>
        <v>959.81818181818187</v>
      </c>
      <c r="AO55" s="41">
        <f>'3. Verotulot'!AH55/'Veroposentin tuotto'!I55</f>
        <v>985.77425000000005</v>
      </c>
      <c r="AP55" s="41">
        <f>'3. Verotulot'!AM55/'Veroposentin tuotto'!J55</f>
        <v>1018.0876068181819</v>
      </c>
      <c r="AQ55" s="41">
        <f>'3. Verotulot'!AR55/'Veroposentin tuotto'!K55</f>
        <v>1229.4755170940173</v>
      </c>
      <c r="AR55" s="41">
        <f>'3. Verotulot'!AW55/'Veroposentin tuotto'!L55</f>
        <v>1209.3490740722525</v>
      </c>
      <c r="AS55" s="41">
        <f>'3. Verotulot'!BB55/'Veroposentin tuotto'!M55</f>
        <v>1262.1327712805778</v>
      </c>
      <c r="AT55" s="41">
        <f>'3. Verotulot'!BG55/'Veroposentin tuotto'!N55</f>
        <v>1309.2660999110649</v>
      </c>
      <c r="AU55" s="41">
        <f>'3. Verotulot'!BL55/'Veroposentin tuotto'!O55</f>
        <v>1350.8817329057849</v>
      </c>
      <c r="AV55" s="41">
        <f>'3. Verotulot'!BQ55/'Veroposentin tuotto'!P55</f>
        <v>1399.0092396862342</v>
      </c>
      <c r="AX55" s="146"/>
      <c r="AZ55" s="34">
        <v>143</v>
      </c>
      <c r="BA55" s="88" t="s">
        <v>369</v>
      </c>
      <c r="BB55" s="41">
        <f>AI55/'1. Väestöennuste'!E55*1000</f>
        <v>137.81213219174168</v>
      </c>
      <c r="BC55" s="41">
        <f>AJ55/'1. Väestöennuste'!F55*1000</f>
        <v>136.43625800488545</v>
      </c>
      <c r="BD55" s="41">
        <f>AK55/'1. Väestöennuste'!G55*1000</f>
        <v>137.15078951934757</v>
      </c>
      <c r="BE55" s="41">
        <f>AL55/'1. Väestöennuste'!H55*1000</f>
        <v>136.12317410185551</v>
      </c>
      <c r="BF55" s="41">
        <f>AM55/'1. Väestöennuste'!I55*1000</f>
        <v>132.17562926977882</v>
      </c>
      <c r="BG55" s="41">
        <f>AN55/'1. Väestöennuste'!J55*1000</f>
        <v>139.79291899478326</v>
      </c>
      <c r="BH55" s="41">
        <f>AO55/'1. Väestöennuste'!K55*1000</f>
        <v>143.34364548494986</v>
      </c>
      <c r="BI55" s="41">
        <f>AP55/'1. Väestöennuste'!L55*1000</f>
        <v>149.63074762171985</v>
      </c>
      <c r="BJ55" s="41">
        <f>AQ55/'1. Väestöennuste'!M55*1000</f>
        <v>179.4854769480317</v>
      </c>
      <c r="BK55" s="41">
        <f>AR55/'1. Väestöennuste'!N55*1000</f>
        <v>182.13088464943561</v>
      </c>
      <c r="BL55" s="41">
        <f>AS55/'1. Väestöennuste'!O55*1000</f>
        <v>191.52242356306186</v>
      </c>
      <c r="BM55" s="41">
        <f>AT55/'1. Väestöennuste'!P55*1000</f>
        <v>200.10180344048064</v>
      </c>
      <c r="BN55" s="41">
        <f>AU55/'1. Väestöennuste'!Q55*1000</f>
        <v>207.92392379648837</v>
      </c>
      <c r="BO55" s="41">
        <f>AV55/'1. Väestöennuste'!R55*1000</f>
        <v>216.79982019002546</v>
      </c>
    </row>
    <row r="56" spans="1:67" x14ac:dyDescent="0.25">
      <c r="A56" s="30">
        <v>145</v>
      </c>
      <c r="B56" s="47" t="s">
        <v>370</v>
      </c>
      <c r="C56" s="47">
        <v>20.25</v>
      </c>
      <c r="D56" s="47">
        <v>20.25</v>
      </c>
      <c r="E56" s="47">
        <v>20.25</v>
      </c>
      <c r="F56" s="47">
        <v>20.75</v>
      </c>
      <c r="G56" s="47">
        <v>20.75</v>
      </c>
      <c r="H56" s="58">
        <v>21</v>
      </c>
      <c r="I56" s="139">
        <v>21</v>
      </c>
      <c r="J56" s="139">
        <v>21</v>
      </c>
      <c r="K56" s="139">
        <f t="shared" si="2"/>
        <v>8.36</v>
      </c>
      <c r="L56" s="139">
        <v>8.4</v>
      </c>
      <c r="M56" s="139">
        <f t="shared" si="5"/>
        <v>8.4</v>
      </c>
      <c r="N56" s="147">
        <f t="shared" si="5"/>
        <v>8.4</v>
      </c>
      <c r="O56" s="147">
        <f t="shared" si="5"/>
        <v>8.4</v>
      </c>
      <c r="P56" s="147">
        <f t="shared" si="5"/>
        <v>8.4</v>
      </c>
      <c r="Q56" s="147"/>
      <c r="S56" s="41">
        <f>'3. Verotulot'!D56*100/'Veroposentin tuotto'!C56</f>
        <v>175993.52320987656</v>
      </c>
      <c r="T56" s="41">
        <f>'3. Verotulot'!I56*100/'Veroposentin tuotto'!D56</f>
        <v>173195.06172839506</v>
      </c>
      <c r="U56" s="41">
        <f>'3. Verotulot'!N56*100/'Veroposentin tuotto'!E56</f>
        <v>173856.7901234568</v>
      </c>
      <c r="V56" s="41">
        <f>'3. Verotulot'!S56*100/'Veroposentin tuotto'!F56</f>
        <v>168973.49397590361</v>
      </c>
      <c r="W56" s="41">
        <f>'3. Verotulot'!X56*100/'Veroposentin tuotto'!G56</f>
        <v>176419.27710843374</v>
      </c>
      <c r="X56" s="41">
        <f>'3. Verotulot'!AC56*100/'Veroposentin tuotto'!H56</f>
        <v>186000</v>
      </c>
      <c r="Y56" s="41">
        <f>'3. Verotulot'!AH56*100/'Veroposentin tuotto'!I56</f>
        <v>192316.42676190476</v>
      </c>
      <c r="Z56" s="41">
        <f>'3. Verotulot'!AM56*100/'Veroposentin tuotto'!J56</f>
        <v>197893.5840952381</v>
      </c>
      <c r="AA56" s="41">
        <f>'3. Verotulot'!AR56*100/'Veroposentin tuotto'!K56</f>
        <v>253910.39210526319</v>
      </c>
      <c r="AB56" s="41">
        <f>'3. Verotulot'!AW56*100/'Veroposentin tuotto'!L56</f>
        <v>243176.27326862299</v>
      </c>
      <c r="AC56" s="41">
        <f>'3. Verotulot'!BB56*100/'Veroposentin tuotto'!M56</f>
        <v>261979.78256487031</v>
      </c>
      <c r="AD56" s="41">
        <f>'3. Verotulot'!BG56*100/'Veroposentin tuotto'!N56</f>
        <v>277459.68814400374</v>
      </c>
      <c r="AE56" s="41">
        <f>'3. Verotulot'!BL56*100/'Veroposentin tuotto'!O56</f>
        <v>289377.28530088061</v>
      </c>
      <c r="AF56" s="41">
        <f>'3. Verotulot'!BQ56*100/'Veroposentin tuotto'!P56</f>
        <v>302544.81518324203</v>
      </c>
      <c r="AI56" s="41">
        <f>'3. Verotulot'!D56/'Veroposentin tuotto'!C56</f>
        <v>1759.9352320987655</v>
      </c>
      <c r="AJ56" s="41">
        <f>'3. Verotulot'!I56/'Veroposentin tuotto'!D56</f>
        <v>1731.9506172839506</v>
      </c>
      <c r="AK56" s="41">
        <f>'3. Verotulot'!N56/'Veroposentin tuotto'!E56</f>
        <v>1738.5679012345679</v>
      </c>
      <c r="AL56" s="41">
        <f>'3. Verotulot'!S56/'Veroposentin tuotto'!F56</f>
        <v>1689.7349397590363</v>
      </c>
      <c r="AM56" s="41">
        <f>'3. Verotulot'!X56/'Veroposentin tuotto'!G56</f>
        <v>1764.1927710843374</v>
      </c>
      <c r="AN56" s="41">
        <f>'3. Verotulot'!AC56/'Veroposentin tuotto'!H56</f>
        <v>1860</v>
      </c>
      <c r="AO56" s="41">
        <f>'3. Verotulot'!AH56/'Veroposentin tuotto'!I56</f>
        <v>1923.1642676190477</v>
      </c>
      <c r="AP56" s="41">
        <f>'3. Verotulot'!AM56/'Veroposentin tuotto'!J56</f>
        <v>1978.9358409523809</v>
      </c>
      <c r="AQ56" s="41">
        <f>'3. Verotulot'!AR56/'Veroposentin tuotto'!K56</f>
        <v>2539.1039210526319</v>
      </c>
      <c r="AR56" s="41">
        <f>'3. Verotulot'!AW56/'Veroposentin tuotto'!L56</f>
        <v>2431.7627326862298</v>
      </c>
      <c r="AS56" s="41">
        <f>'3. Verotulot'!BB56/'Veroposentin tuotto'!M56</f>
        <v>2619.7978256487031</v>
      </c>
      <c r="AT56" s="41">
        <f>'3. Verotulot'!BG56/'Veroposentin tuotto'!N56</f>
        <v>2774.5968814400376</v>
      </c>
      <c r="AU56" s="41">
        <f>'3. Verotulot'!BL56/'Veroposentin tuotto'!O56</f>
        <v>2893.7728530088061</v>
      </c>
      <c r="AV56" s="41">
        <f>'3. Verotulot'!BQ56/'Veroposentin tuotto'!P56</f>
        <v>3025.4481518324201</v>
      </c>
      <c r="AX56" s="146"/>
      <c r="AZ56" s="34">
        <v>145</v>
      </c>
      <c r="BA56" s="88" t="s">
        <v>370</v>
      </c>
      <c r="BB56" s="41">
        <f>AI56/'1. Väestöennuste'!E56*1000</f>
        <v>144.74341903929317</v>
      </c>
      <c r="BC56" s="41">
        <f>AJ56/'1. Väestöennuste'!F56*1000</f>
        <v>142.34820557934992</v>
      </c>
      <c r="BD56" s="41">
        <f>AK56/'1. Väestöennuste'!G56*1000</f>
        <v>142.44718568083309</v>
      </c>
      <c r="BE56" s="41">
        <f>AL56/'1. Väestöennuste'!H56*1000</f>
        <v>138.65060636407944</v>
      </c>
      <c r="BF56" s="41">
        <f>AM56/'1. Väestöennuste'!I56*1000</f>
        <v>143.7927109857639</v>
      </c>
      <c r="BG56" s="41">
        <f>AN56/'1. Väestöennuste'!J56*1000</f>
        <v>151.29331381161543</v>
      </c>
      <c r="BH56" s="41">
        <f>AO56/'1. Väestöennuste'!K56*1000</f>
        <v>155.52031923168749</v>
      </c>
      <c r="BI56" s="41">
        <f>AP56/'1. Väestöennuste'!L56*1000</f>
        <v>159.99157902436585</v>
      </c>
      <c r="BJ56" s="41">
        <f>AQ56/'1. Väestöennuste'!M56*1000</f>
        <v>205.71205712165857</v>
      </c>
      <c r="BK56" s="41">
        <f>AR56/'1. Väestöennuste'!N56*1000</f>
        <v>195.52647203394949</v>
      </c>
      <c r="BL56" s="41">
        <f>AS56/'1. Väestöennuste'!O56*1000</f>
        <v>210.32416712015922</v>
      </c>
      <c r="BM56" s="41">
        <f>AT56/'1. Väestöennuste'!P56*1000</f>
        <v>222.51959912102313</v>
      </c>
      <c r="BN56" s="41">
        <f>AU56/'1. Väestöennuste'!Q56*1000</f>
        <v>231.9285768220571</v>
      </c>
      <c r="BO56" s="41">
        <f>AV56/'1. Väestöennuste'!R56*1000</f>
        <v>242.48201906166707</v>
      </c>
    </row>
    <row r="57" spans="1:67" x14ac:dyDescent="0.25">
      <c r="A57" s="30">
        <v>146</v>
      </c>
      <c r="B57" s="47" t="s">
        <v>371</v>
      </c>
      <c r="C57" s="47">
        <v>20.75</v>
      </c>
      <c r="D57" s="47">
        <v>20.75</v>
      </c>
      <c r="E57" s="47">
        <v>20.75</v>
      </c>
      <c r="F57" s="47">
        <v>20.75</v>
      </c>
      <c r="G57" s="47">
        <v>21</v>
      </c>
      <c r="H57" s="58">
        <v>21</v>
      </c>
      <c r="I57" s="139">
        <v>21</v>
      </c>
      <c r="J57" s="139">
        <v>21</v>
      </c>
      <c r="K57" s="139">
        <f t="shared" si="2"/>
        <v>8.36</v>
      </c>
      <c r="L57" s="139">
        <v>8.4</v>
      </c>
      <c r="M57" s="139">
        <f t="shared" si="5"/>
        <v>8.4</v>
      </c>
      <c r="N57" s="147">
        <f t="shared" si="5"/>
        <v>8.4</v>
      </c>
      <c r="O57" s="147">
        <f t="shared" si="5"/>
        <v>8.4</v>
      </c>
      <c r="P57" s="147">
        <f t="shared" si="5"/>
        <v>8.4</v>
      </c>
      <c r="Q57" s="147"/>
      <c r="S57" s="41">
        <f>'3. Verotulot'!D57*100/'Veroposentin tuotto'!C57</f>
        <v>67649.657397590359</v>
      </c>
      <c r="T57" s="41">
        <f>'3. Verotulot'!I57*100/'Veroposentin tuotto'!D57</f>
        <v>65479.51807228916</v>
      </c>
      <c r="U57" s="41">
        <f>'3. Verotulot'!N57*100/'Veroposentin tuotto'!E57</f>
        <v>65412.048192771086</v>
      </c>
      <c r="V57" s="41">
        <f>'3. Verotulot'!S57*100/'Veroposentin tuotto'!F57</f>
        <v>60665.060240963852</v>
      </c>
      <c r="W57" s="41">
        <f>'3. Verotulot'!X57*100/'Veroposentin tuotto'!G57</f>
        <v>60971.428571428572</v>
      </c>
      <c r="X57" s="41">
        <f>'3. Verotulot'!AC57*100/'Veroposentin tuotto'!H57</f>
        <v>61742.857142857145</v>
      </c>
      <c r="Y57" s="41">
        <f>'3. Verotulot'!AH57*100/'Veroposentin tuotto'!I57</f>
        <v>62757.044904761904</v>
      </c>
      <c r="Z57" s="41">
        <f>'3. Verotulot'!AM57*100/'Veroposentin tuotto'!J57</f>
        <v>62839.421095238104</v>
      </c>
      <c r="AA57" s="41">
        <f>'3. Verotulot'!AR57*100/'Veroposentin tuotto'!K57</f>
        <v>75781.358971291862</v>
      </c>
      <c r="AB57" s="41">
        <f>'3. Verotulot'!AW57*100/'Veroposentin tuotto'!L57</f>
        <v>71097.00819853165</v>
      </c>
      <c r="AC57" s="41">
        <f>'3. Verotulot'!BB57*100/'Veroposentin tuotto'!M57</f>
        <v>72854.365149021993</v>
      </c>
      <c r="AD57" s="41">
        <f>'3. Verotulot'!BG57*100/'Veroposentin tuotto'!N57</f>
        <v>73552.659942251543</v>
      </c>
      <c r="AE57" s="41">
        <f>'3. Verotulot'!BL57*100/'Veroposentin tuotto'!O57</f>
        <v>74242.399510123607</v>
      </c>
      <c r="AF57" s="41">
        <f>'3. Verotulot'!BQ57*100/'Veroposentin tuotto'!P57</f>
        <v>75301.032174671316</v>
      </c>
      <c r="AI57" s="41">
        <f>'3. Verotulot'!D57/'Veroposentin tuotto'!C57</f>
        <v>676.49657397590363</v>
      </c>
      <c r="AJ57" s="41">
        <f>'3. Verotulot'!I57/'Veroposentin tuotto'!D57</f>
        <v>654.79518072289159</v>
      </c>
      <c r="AK57" s="41">
        <f>'3. Verotulot'!N57/'Veroposentin tuotto'!E57</f>
        <v>654.1204819277109</v>
      </c>
      <c r="AL57" s="41">
        <f>'3. Verotulot'!S57/'Veroposentin tuotto'!F57</f>
        <v>606.65060240963851</v>
      </c>
      <c r="AM57" s="41">
        <f>'3. Verotulot'!X57/'Veroposentin tuotto'!G57</f>
        <v>609.71428571428567</v>
      </c>
      <c r="AN57" s="41">
        <f>'3. Verotulot'!AC57/'Veroposentin tuotto'!H57</f>
        <v>617.42857142857144</v>
      </c>
      <c r="AO57" s="41">
        <f>'3. Verotulot'!AH57/'Veroposentin tuotto'!I57</f>
        <v>627.57044904761904</v>
      </c>
      <c r="AP57" s="41">
        <f>'3. Verotulot'!AM57/'Veroposentin tuotto'!J57</f>
        <v>628.39421095238094</v>
      </c>
      <c r="AQ57" s="41">
        <f>'3. Verotulot'!AR57/'Veroposentin tuotto'!K57</f>
        <v>757.81358971291866</v>
      </c>
      <c r="AR57" s="41">
        <f>'3. Verotulot'!AW57/'Veroposentin tuotto'!L57</f>
        <v>710.97008198531648</v>
      </c>
      <c r="AS57" s="41">
        <f>'3. Verotulot'!BB57/'Veroposentin tuotto'!M57</f>
        <v>728.54365149021999</v>
      </c>
      <c r="AT57" s="41">
        <f>'3. Verotulot'!BG57/'Veroposentin tuotto'!N57</f>
        <v>735.52659942251546</v>
      </c>
      <c r="AU57" s="41">
        <f>'3. Verotulot'!BL57/'Veroposentin tuotto'!O57</f>
        <v>742.42399510123607</v>
      </c>
      <c r="AV57" s="41">
        <f>'3. Verotulot'!BQ57/'Veroposentin tuotto'!P57</f>
        <v>753.01032174671309</v>
      </c>
      <c r="AX57" s="146"/>
      <c r="AZ57" s="34">
        <v>146</v>
      </c>
      <c r="BA57" s="88" t="s">
        <v>371</v>
      </c>
      <c r="BB57" s="41">
        <f>AI57/'1. Väestöennuste'!E57*1000</f>
        <v>126.77971776160113</v>
      </c>
      <c r="BC57" s="41">
        <f>AJ57/'1. Väestöennuste'!F57*1000</f>
        <v>125.03249584168255</v>
      </c>
      <c r="BD57" s="41">
        <f>AK57/'1. Väestöennuste'!G57*1000</f>
        <v>127.55859631975642</v>
      </c>
      <c r="BE57" s="41">
        <f>AL57/'1. Väestöennuste'!H57*1000</f>
        <v>121.98886032769727</v>
      </c>
      <c r="BF57" s="41">
        <f>AM57/'1. Väestöennuste'!I57*1000</f>
        <v>125.533103914821</v>
      </c>
      <c r="BG57" s="41">
        <f>AN57/'1. Väestöennuste'!J57*1000</f>
        <v>130.0123334235779</v>
      </c>
      <c r="BH57" s="41">
        <f>AO57/'1. Väestöennuste'!K57*1000</f>
        <v>135.16486087607561</v>
      </c>
      <c r="BI57" s="41">
        <f>AP57/'1. Väestöennuste'!L57*1000</f>
        <v>139.89185461985329</v>
      </c>
      <c r="BJ57" s="41">
        <f>AQ57/'1. Väestöennuste'!M57*1000</f>
        <v>171.99582154174277</v>
      </c>
      <c r="BK57" s="41">
        <f>AR57/'1. Väestöennuste'!N57*1000</f>
        <v>163.36628722089074</v>
      </c>
      <c r="BL57" s="41">
        <f>AS57/'1. Väestöennuste'!O57*1000</f>
        <v>170.61912212885713</v>
      </c>
      <c r="BM57" s="41">
        <f>AT57/'1. Väestöennuste'!P57*1000</f>
        <v>175.5014553620891</v>
      </c>
      <c r="BN57" s="41">
        <f>AU57/'1. Väestöennuste'!Q57*1000</f>
        <v>180.41895385206223</v>
      </c>
      <c r="BO57" s="41">
        <f>AV57/'1. Väestöennuste'!R57*1000</f>
        <v>186.29646752763807</v>
      </c>
    </row>
    <row r="58" spans="1:67" x14ac:dyDescent="0.25">
      <c r="A58" s="30">
        <v>148</v>
      </c>
      <c r="B58" s="47" t="s">
        <v>372</v>
      </c>
      <c r="C58" s="47">
        <v>19</v>
      </c>
      <c r="D58" s="47">
        <v>19</v>
      </c>
      <c r="E58" s="47">
        <v>19</v>
      </c>
      <c r="F58" s="47">
        <v>19</v>
      </c>
      <c r="G58" s="47">
        <v>19</v>
      </c>
      <c r="H58" s="58">
        <v>19</v>
      </c>
      <c r="I58" s="139">
        <v>19</v>
      </c>
      <c r="J58" s="139">
        <v>19</v>
      </c>
      <c r="K58" s="139">
        <f t="shared" si="2"/>
        <v>6.3599999999999994</v>
      </c>
      <c r="L58" s="139">
        <v>6.4</v>
      </c>
      <c r="M58" s="139">
        <f t="shared" si="5"/>
        <v>6.4</v>
      </c>
      <c r="N58" s="147">
        <f t="shared" si="5"/>
        <v>6.4</v>
      </c>
      <c r="O58" s="147">
        <f t="shared" si="5"/>
        <v>6.4</v>
      </c>
      <c r="P58" s="147">
        <f t="shared" si="5"/>
        <v>6.4</v>
      </c>
      <c r="Q58" s="147"/>
      <c r="S58" s="41">
        <f>'3. Verotulot'!D58*100/'Veroposentin tuotto'!C58</f>
        <v>99234.849578947382</v>
      </c>
      <c r="T58" s="41">
        <f>'3. Verotulot'!I58*100/'Veroposentin tuotto'!D58</f>
        <v>103942.10526315789</v>
      </c>
      <c r="U58" s="41">
        <f>'3. Verotulot'!N58*100/'Veroposentin tuotto'!E58</f>
        <v>104494.73684210527</v>
      </c>
      <c r="V58" s="41">
        <f>'3. Verotulot'!S58*100/'Veroposentin tuotto'!F58</f>
        <v>111131.57894736843</v>
      </c>
      <c r="W58" s="41">
        <f>'3. Verotulot'!X58*100/'Veroposentin tuotto'!G58</f>
        <v>107578.94736842105</v>
      </c>
      <c r="X58" s="41">
        <f>'3. Verotulot'!AC58*100/'Veroposentin tuotto'!H58</f>
        <v>110400</v>
      </c>
      <c r="Y58" s="41">
        <f>'3. Verotulot'!AH58*100/'Veroposentin tuotto'!I58</f>
        <v>110801.11342105262</v>
      </c>
      <c r="Z58" s="41">
        <f>'3. Verotulot'!AM58*100/'Veroposentin tuotto'!J58</f>
        <v>120002.83836842106</v>
      </c>
      <c r="AA58" s="41">
        <f>'3. Verotulot'!AR58*100/'Veroposentin tuotto'!K58</f>
        <v>175036.47798742139</v>
      </c>
      <c r="AB58" s="41">
        <f>'3. Verotulot'!AW58*100/'Veroposentin tuotto'!L58</f>
        <v>152686.86649916257</v>
      </c>
      <c r="AC58" s="41">
        <f>'3. Verotulot'!BB58*100/'Veroposentin tuotto'!M58</f>
        <v>161146.51429224396</v>
      </c>
      <c r="AD58" s="41">
        <f>'3. Verotulot'!BG58*100/'Veroposentin tuotto'!N58</f>
        <v>169175.55433480148</v>
      </c>
      <c r="AE58" s="41">
        <f>'3. Verotulot'!BL58*100/'Veroposentin tuotto'!O58</f>
        <v>176057.31974171635</v>
      </c>
      <c r="AF58" s="41">
        <f>'3. Verotulot'!BQ58*100/'Veroposentin tuotto'!P58</f>
        <v>183914.88713168894</v>
      </c>
      <c r="AI58" s="41">
        <f>'3. Verotulot'!D58/'Veroposentin tuotto'!C58</f>
        <v>992.34849578947387</v>
      </c>
      <c r="AJ58" s="41">
        <f>'3. Verotulot'!I58/'Veroposentin tuotto'!D58</f>
        <v>1039.421052631579</v>
      </c>
      <c r="AK58" s="41">
        <f>'3. Verotulot'!N58/'Veroposentin tuotto'!E58</f>
        <v>1044.9473684210527</v>
      </c>
      <c r="AL58" s="41">
        <f>'3. Verotulot'!S58/'Veroposentin tuotto'!F58</f>
        <v>1111.3157894736842</v>
      </c>
      <c r="AM58" s="41">
        <f>'3. Verotulot'!X58/'Veroposentin tuotto'!G58</f>
        <v>1075.7894736842106</v>
      </c>
      <c r="AN58" s="41">
        <f>'3. Verotulot'!AC58/'Veroposentin tuotto'!H58</f>
        <v>1104</v>
      </c>
      <c r="AO58" s="41">
        <f>'3. Verotulot'!AH58/'Veroposentin tuotto'!I58</f>
        <v>1108.0111342105263</v>
      </c>
      <c r="AP58" s="41">
        <f>'3. Verotulot'!AM58/'Veroposentin tuotto'!J58</f>
        <v>1200.0283836842107</v>
      </c>
      <c r="AQ58" s="41">
        <f>'3. Verotulot'!AR58/'Veroposentin tuotto'!K58</f>
        <v>1750.364779874214</v>
      </c>
      <c r="AR58" s="41">
        <f>'3. Verotulot'!AW58/'Veroposentin tuotto'!L58</f>
        <v>1526.8686649916256</v>
      </c>
      <c r="AS58" s="41">
        <f>'3. Verotulot'!BB58/'Veroposentin tuotto'!M58</f>
        <v>1611.4651429224393</v>
      </c>
      <c r="AT58" s="41">
        <f>'3. Verotulot'!BG58/'Veroposentin tuotto'!N58</f>
        <v>1691.7555433480147</v>
      </c>
      <c r="AU58" s="41">
        <f>'3. Verotulot'!BL58/'Veroposentin tuotto'!O58</f>
        <v>1760.5731974171636</v>
      </c>
      <c r="AV58" s="41">
        <f>'3. Verotulot'!BQ58/'Veroposentin tuotto'!P58</f>
        <v>1839.1488713168897</v>
      </c>
      <c r="AX58" s="146"/>
      <c r="AZ58" s="34">
        <v>148</v>
      </c>
      <c r="BA58" s="88" t="s">
        <v>372</v>
      </c>
      <c r="BB58" s="41">
        <f>AI58/'1. Väestöennuste'!E58*1000</f>
        <v>145.84780949286798</v>
      </c>
      <c r="BC58" s="41">
        <f>AJ58/'1. Väestöennuste'!F58*1000</f>
        <v>152.29612492770386</v>
      </c>
      <c r="BD58" s="41">
        <f>AK58/'1. Väestöennuste'!G58*1000</f>
        <v>152.1251082284252</v>
      </c>
      <c r="BE58" s="41">
        <f>AL58/'1. Väestöennuste'!H58*1000</f>
        <v>160.36302878408139</v>
      </c>
      <c r="BF58" s="41">
        <f>AM58/'1. Väestöennuste'!I58*1000</f>
        <v>155.75350712092234</v>
      </c>
      <c r="BG58" s="41">
        <f>AN58/'1. Väestöennuste'!J58*1000</f>
        <v>160.8860390556689</v>
      </c>
      <c r="BH58" s="41">
        <f>AO58/'1. Väestöennuste'!K58*1000</f>
        <v>158.10661161679883</v>
      </c>
      <c r="BI58" s="41">
        <f>AP58/'1. Väestöennuste'!L58*1000</f>
        <v>170.28925552493411</v>
      </c>
      <c r="BJ58" s="41">
        <f>AQ58/'1. Väestöennuste'!M58*1000</f>
        <v>245.59629295274507</v>
      </c>
      <c r="BK58" s="41">
        <f>AR58/'1. Väestöennuste'!N58*1000</f>
        <v>221.54217425879651</v>
      </c>
      <c r="BL58" s="41">
        <f>AS58/'1. Väestöennuste'!O58*1000</f>
        <v>233.54567288731005</v>
      </c>
      <c r="BM58" s="41">
        <f>AT58/'1. Väestöennuste'!P58*1000</f>
        <v>244.96894632899142</v>
      </c>
      <c r="BN58" s="41">
        <f>AU58/'1. Väestöennuste'!Q58*1000</f>
        <v>254.67571205224411</v>
      </c>
      <c r="BO58" s="41">
        <f>AV58/'1. Väestöennuste'!R58*1000</f>
        <v>265.7729582827875</v>
      </c>
    </row>
    <row r="59" spans="1:67" x14ac:dyDescent="0.25">
      <c r="A59" s="30">
        <v>149</v>
      </c>
      <c r="B59" s="47" t="s">
        <v>373</v>
      </c>
      <c r="C59" s="47">
        <v>20.75</v>
      </c>
      <c r="D59" s="47">
        <v>20.75</v>
      </c>
      <c r="E59" s="47">
        <v>20.75</v>
      </c>
      <c r="F59" s="47">
        <v>20.75</v>
      </c>
      <c r="G59" s="47">
        <v>20.75</v>
      </c>
      <c r="H59" s="58">
        <v>20.75</v>
      </c>
      <c r="I59" s="139">
        <v>20.75</v>
      </c>
      <c r="J59" s="139">
        <v>20.75</v>
      </c>
      <c r="K59" s="139">
        <f t="shared" si="2"/>
        <v>8.11</v>
      </c>
      <c r="L59" s="139">
        <v>8.1</v>
      </c>
      <c r="M59" s="139">
        <f t="shared" si="5"/>
        <v>8.1</v>
      </c>
      <c r="N59" s="147">
        <f t="shared" si="5"/>
        <v>8.1</v>
      </c>
      <c r="O59" s="147">
        <f t="shared" si="5"/>
        <v>8.1</v>
      </c>
      <c r="P59" s="147">
        <f t="shared" si="5"/>
        <v>8.1</v>
      </c>
      <c r="Q59" s="147"/>
      <c r="S59" s="41">
        <f>'3. Verotulot'!D59*100/'Veroposentin tuotto'!C59</f>
        <v>103014.89720481931</v>
      </c>
      <c r="T59" s="41">
        <f>'3. Verotulot'!I59*100/'Veroposentin tuotto'!D59</f>
        <v>102554.21686746988</v>
      </c>
      <c r="U59" s="41">
        <f>'3. Verotulot'!N59*100/'Veroposentin tuotto'!E59</f>
        <v>103291.56626506025</v>
      </c>
      <c r="V59" s="41">
        <f>'3. Verotulot'!S59*100/'Veroposentin tuotto'!F59</f>
        <v>105995.18072289157</v>
      </c>
      <c r="W59" s="41">
        <f>'3. Verotulot'!X59*100/'Veroposentin tuotto'!G59</f>
        <v>105662.65060240965</v>
      </c>
      <c r="X59" s="41">
        <f>'3. Verotulot'!AC59*100/'Veroposentin tuotto'!H59</f>
        <v>109889.15662650602</v>
      </c>
      <c r="Y59" s="41">
        <f>'3. Verotulot'!AH59*100/'Veroposentin tuotto'!I59</f>
        <v>109604.78057831324</v>
      </c>
      <c r="Z59" s="41">
        <f>'3. Verotulot'!AM59*100/'Veroposentin tuotto'!J59</f>
        <v>117610.08043373495</v>
      </c>
      <c r="AA59" s="41">
        <f>'3. Verotulot'!AR59*100/'Veroposentin tuotto'!K59</f>
        <v>147932.68803945748</v>
      </c>
      <c r="AB59" s="41">
        <f>'3. Verotulot'!AW59*100/'Veroposentin tuotto'!L59</f>
        <v>135642.25682814576</v>
      </c>
      <c r="AC59" s="41">
        <f>'3. Verotulot'!BB59*100/'Veroposentin tuotto'!M59</f>
        <v>141919.07221838768</v>
      </c>
      <c r="AD59" s="41">
        <f>'3. Verotulot'!BG59*100/'Veroposentin tuotto'!N59</f>
        <v>146957.31222106412</v>
      </c>
      <c r="AE59" s="41">
        <f>'3. Verotulot'!BL59*100/'Veroposentin tuotto'!O59</f>
        <v>151079.21615894797</v>
      </c>
      <c r="AF59" s="41">
        <f>'3. Verotulot'!BQ59*100/'Veroposentin tuotto'!P59</f>
        <v>155857.17944666336</v>
      </c>
      <c r="AI59" s="41">
        <f>'3. Verotulot'!D59/'Veroposentin tuotto'!C59</f>
        <v>1030.1489720481929</v>
      </c>
      <c r="AJ59" s="41">
        <f>'3. Verotulot'!I59/'Veroposentin tuotto'!D59</f>
        <v>1025.5421686746988</v>
      </c>
      <c r="AK59" s="41">
        <f>'3. Verotulot'!N59/'Veroposentin tuotto'!E59</f>
        <v>1032.9156626506024</v>
      </c>
      <c r="AL59" s="41">
        <f>'3. Verotulot'!S59/'Veroposentin tuotto'!F59</f>
        <v>1059.9518072289156</v>
      </c>
      <c r="AM59" s="41">
        <f>'3. Verotulot'!X59/'Veroposentin tuotto'!G59</f>
        <v>1056.6265060240964</v>
      </c>
      <c r="AN59" s="41">
        <f>'3. Verotulot'!AC59/'Veroposentin tuotto'!H59</f>
        <v>1098.8915662650602</v>
      </c>
      <c r="AO59" s="41">
        <f>'3. Verotulot'!AH59/'Veroposentin tuotto'!I59</f>
        <v>1096.0478057831324</v>
      </c>
      <c r="AP59" s="41">
        <f>'3. Verotulot'!AM59/'Veroposentin tuotto'!J59</f>
        <v>1176.1008043373495</v>
      </c>
      <c r="AQ59" s="41">
        <f>'3. Verotulot'!AR59/'Veroposentin tuotto'!K59</f>
        <v>1479.3268803945748</v>
      </c>
      <c r="AR59" s="41">
        <f>'3. Verotulot'!AW59/'Veroposentin tuotto'!L59</f>
        <v>1356.4225682814579</v>
      </c>
      <c r="AS59" s="41">
        <f>'3. Verotulot'!BB59/'Veroposentin tuotto'!M59</f>
        <v>1419.1907221838771</v>
      </c>
      <c r="AT59" s="41">
        <f>'3. Verotulot'!BG59/'Veroposentin tuotto'!N59</f>
        <v>1469.573122210641</v>
      </c>
      <c r="AU59" s="41">
        <f>'3. Verotulot'!BL59/'Veroposentin tuotto'!O59</f>
        <v>1510.7921615894795</v>
      </c>
      <c r="AV59" s="41">
        <f>'3. Verotulot'!BQ59/'Veroposentin tuotto'!P59</f>
        <v>1558.5717944666335</v>
      </c>
      <c r="AX59" s="146"/>
      <c r="AZ59" s="34">
        <v>149</v>
      </c>
      <c r="BA59" s="88" t="s">
        <v>373</v>
      </c>
      <c r="BB59" s="41">
        <f>AI59/'1. Väestöennuste'!E59*1000</f>
        <v>185.91390941133244</v>
      </c>
      <c r="BC59" s="41">
        <f>AJ59/'1. Väestöennuste'!F59*1000</f>
        <v>183.62438114139638</v>
      </c>
      <c r="BD59" s="41">
        <f>AK59/'1. Väestöennuste'!G59*1000</f>
        <v>188.45387021539909</v>
      </c>
      <c r="BE59" s="41">
        <f>AL59/'1. Väestöennuste'!H59*1000</f>
        <v>196.17838371810396</v>
      </c>
      <c r="BF59" s="41">
        <f>AM59/'1. Väestöennuste'!I59*1000</f>
        <v>196.18019049834689</v>
      </c>
      <c r="BG59" s="41">
        <f>AN59/'1. Väestöennuste'!J59*1000</f>
        <v>206.51974558636726</v>
      </c>
      <c r="BH59" s="41">
        <f>AO59/'1. Väestöennuste'!K59*1000</f>
        <v>204.75393345472304</v>
      </c>
      <c r="BI59" s="41">
        <f>AP59/'1. Väestöennuste'!L59*1000</f>
        <v>218.44368579817041</v>
      </c>
      <c r="BJ59" s="41">
        <f>AQ59/'1. Väestöennuste'!M59*1000</f>
        <v>275.01894039683486</v>
      </c>
      <c r="BK59" s="41">
        <f>AR59/'1. Väestöennuste'!N59*1000</f>
        <v>261.65558801725655</v>
      </c>
      <c r="BL59" s="41">
        <f>AS59/'1. Väestöennuste'!O59*1000</f>
        <v>274.98367025457804</v>
      </c>
      <c r="BM59" s="41">
        <f>AT59/'1. Väestöennuste'!P59*1000</f>
        <v>286.07613825396942</v>
      </c>
      <c r="BN59" s="41">
        <f>AU59/'1. Väestöennuste'!Q59*1000</f>
        <v>295.30730289082868</v>
      </c>
      <c r="BO59" s="41">
        <f>AV59/'1. Väestöennuste'!R59*1000</f>
        <v>305.84218886707879</v>
      </c>
    </row>
    <row r="60" spans="1:67" x14ac:dyDescent="0.25">
      <c r="A60" s="30">
        <v>151</v>
      </c>
      <c r="B60" s="47" t="s">
        <v>374</v>
      </c>
      <c r="C60" s="47">
        <v>22</v>
      </c>
      <c r="D60" s="47">
        <v>22</v>
      </c>
      <c r="E60" s="47">
        <v>22</v>
      </c>
      <c r="F60" s="47">
        <v>22</v>
      </c>
      <c r="G60" s="47">
        <v>22</v>
      </c>
      <c r="H60" s="58">
        <v>22</v>
      </c>
      <c r="I60" s="139">
        <v>22.5</v>
      </c>
      <c r="J60" s="139">
        <v>22.5</v>
      </c>
      <c r="K60" s="139">
        <f t="shared" si="2"/>
        <v>9.86</v>
      </c>
      <c r="L60" s="139">
        <v>9.8000000000000007</v>
      </c>
      <c r="M60" s="139">
        <f t="shared" si="5"/>
        <v>9.8000000000000007</v>
      </c>
      <c r="N60" s="147">
        <f t="shared" si="5"/>
        <v>9.8000000000000007</v>
      </c>
      <c r="O60" s="147">
        <f t="shared" si="5"/>
        <v>9.8000000000000007</v>
      </c>
      <c r="P60" s="147">
        <f t="shared" si="5"/>
        <v>9.8000000000000007</v>
      </c>
      <c r="Q60" s="147"/>
      <c r="S60" s="41">
        <f>'3. Verotulot'!D60*100/'Veroposentin tuotto'!C60</f>
        <v>25059.412727272724</v>
      </c>
      <c r="T60" s="41">
        <f>'3. Verotulot'!I60*100/'Veroposentin tuotto'!D60</f>
        <v>23559.090909090908</v>
      </c>
      <c r="U60" s="41">
        <f>'3. Verotulot'!N60*100/'Veroposentin tuotto'!E60</f>
        <v>24586.363636363636</v>
      </c>
      <c r="V60" s="41">
        <f>'3. Verotulot'!S60*100/'Veroposentin tuotto'!F60</f>
        <v>23177.272727272728</v>
      </c>
      <c r="W60" s="41">
        <f>'3. Verotulot'!X60*100/'Veroposentin tuotto'!G60</f>
        <v>22650</v>
      </c>
      <c r="X60" s="41">
        <f>'3. Verotulot'!AC60*100/'Veroposentin tuotto'!H60</f>
        <v>25127.272727272728</v>
      </c>
      <c r="Y60" s="41">
        <f>'3. Verotulot'!AH60*100/'Veroposentin tuotto'!I60</f>
        <v>23807.153111111107</v>
      </c>
      <c r="Z60" s="41">
        <f>'3. Verotulot'!AM60*100/'Veroposentin tuotto'!J60</f>
        <v>26416.0072</v>
      </c>
      <c r="AA60" s="41">
        <f>'3. Verotulot'!AR60*100/'Veroposentin tuotto'!K60</f>
        <v>30860.735699797162</v>
      </c>
      <c r="AB60" s="41">
        <f>'3. Verotulot'!AW60*100/'Veroposentin tuotto'!L60</f>
        <v>29630.025321088833</v>
      </c>
      <c r="AC60" s="41">
        <f>'3. Verotulot'!BB60*100/'Veroposentin tuotto'!M60</f>
        <v>31003.318962494861</v>
      </c>
      <c r="AD60" s="41">
        <f>'3. Verotulot'!BG60*100/'Veroposentin tuotto'!N60</f>
        <v>32010.911520468439</v>
      </c>
      <c r="AE60" s="41">
        <f>'3. Verotulot'!BL60*100/'Veroposentin tuotto'!O60</f>
        <v>32758.134142762494</v>
      </c>
      <c r="AF60" s="41">
        <f>'3. Verotulot'!BQ60*100/'Veroposentin tuotto'!P60</f>
        <v>33847.369560811785</v>
      </c>
      <c r="AI60" s="41">
        <f>'3. Verotulot'!D60/'Veroposentin tuotto'!C60</f>
        <v>250.59412727272726</v>
      </c>
      <c r="AJ60" s="41">
        <f>'3. Verotulot'!I60/'Veroposentin tuotto'!D60</f>
        <v>235.59090909090909</v>
      </c>
      <c r="AK60" s="41">
        <f>'3. Verotulot'!N60/'Veroposentin tuotto'!E60</f>
        <v>245.86363636363637</v>
      </c>
      <c r="AL60" s="41">
        <f>'3. Verotulot'!S60/'Veroposentin tuotto'!F60</f>
        <v>231.77272727272728</v>
      </c>
      <c r="AM60" s="41">
        <f>'3. Verotulot'!X60/'Veroposentin tuotto'!G60</f>
        <v>226.5</v>
      </c>
      <c r="AN60" s="41">
        <f>'3. Verotulot'!AC60/'Veroposentin tuotto'!H60</f>
        <v>251.27272727272728</v>
      </c>
      <c r="AO60" s="41">
        <f>'3. Verotulot'!AH60/'Veroposentin tuotto'!I60</f>
        <v>238.07153111111111</v>
      </c>
      <c r="AP60" s="41">
        <f>'3. Verotulot'!AM60/'Veroposentin tuotto'!J60</f>
        <v>264.16007200000001</v>
      </c>
      <c r="AQ60" s="41">
        <f>'3. Verotulot'!AR60/'Veroposentin tuotto'!K60</f>
        <v>308.60735699797164</v>
      </c>
      <c r="AR60" s="41">
        <f>'3. Verotulot'!AW60/'Veroposentin tuotto'!L60</f>
        <v>296.30025321088829</v>
      </c>
      <c r="AS60" s="41">
        <f>'3. Verotulot'!BB60/'Veroposentin tuotto'!M60</f>
        <v>310.03318962494859</v>
      </c>
      <c r="AT60" s="41">
        <f>'3. Verotulot'!BG60/'Veroposentin tuotto'!N60</f>
        <v>320.10911520468437</v>
      </c>
      <c r="AU60" s="41">
        <f>'3. Verotulot'!BL60/'Veroposentin tuotto'!O60</f>
        <v>327.58134142762498</v>
      </c>
      <c r="AV60" s="41">
        <f>'3. Verotulot'!BQ60/'Veroposentin tuotto'!P60</f>
        <v>338.47369560811785</v>
      </c>
      <c r="AX60" s="146"/>
      <c r="AZ60" s="34">
        <v>151</v>
      </c>
      <c r="BA60" s="88" t="s">
        <v>374</v>
      </c>
      <c r="BB60" s="41">
        <f>AI60/'1. Väestöennuste'!E60*1000</f>
        <v>118.03774247420031</v>
      </c>
      <c r="BC60" s="41">
        <f>AJ60/'1. Väestöennuste'!F60*1000</f>
        <v>113.31934059206787</v>
      </c>
      <c r="BD60" s="41">
        <f>AK60/'1. Väestöennuste'!G60*1000</f>
        <v>120.99588403722262</v>
      </c>
      <c r="BE60" s="41">
        <f>AL60/'1. Väestöennuste'!H60*1000</f>
        <v>117.2938903202061</v>
      </c>
      <c r="BF60" s="41">
        <f>AM60/'1. Väestöennuste'!I60*1000</f>
        <v>116.09431060994362</v>
      </c>
      <c r="BG60" s="41">
        <f>AN60/'1. Väestöennuste'!J60*1000</f>
        <v>130.53128689492328</v>
      </c>
      <c r="BH60" s="41">
        <f>AO60/'1. Väestöennuste'!K60*1000</f>
        <v>125.8971608202597</v>
      </c>
      <c r="BI60" s="41">
        <f>AP60/'1. Väestöennuste'!L60*1000</f>
        <v>142.63502807775379</v>
      </c>
      <c r="BJ60" s="41">
        <f>AQ60/'1. Väestöennuste'!M60*1000</f>
        <v>170.12533461850697</v>
      </c>
      <c r="BK60" s="41">
        <f>AR60/'1. Väestöennuste'!N60*1000</f>
        <v>164.97786927109593</v>
      </c>
      <c r="BL60" s="41">
        <f>AS60/'1. Väestöennuste'!O60*1000</f>
        <v>175.15999413838904</v>
      </c>
      <c r="BM60" s="41">
        <f>AT60/'1. Väestöennuste'!P60*1000</f>
        <v>183.44361902847243</v>
      </c>
      <c r="BN60" s="41">
        <f>AU60/'1. Väestöennuste'!Q60*1000</f>
        <v>189.9022269145652</v>
      </c>
      <c r="BO60" s="41">
        <f>AV60/'1. Väestöennuste'!R60*1000</f>
        <v>198.63479789208793</v>
      </c>
    </row>
    <row r="61" spans="1:67" x14ac:dyDescent="0.25">
      <c r="A61" s="30">
        <v>152</v>
      </c>
      <c r="B61" s="47" t="s">
        <v>375</v>
      </c>
      <c r="C61" s="47">
        <v>21.5</v>
      </c>
      <c r="D61" s="47">
        <v>21.5</v>
      </c>
      <c r="E61" s="47">
        <v>21.5</v>
      </c>
      <c r="F61" s="47">
        <v>21.5</v>
      </c>
      <c r="G61" s="47">
        <v>21.5</v>
      </c>
      <c r="H61" s="58">
        <v>21.5</v>
      </c>
      <c r="I61" s="139">
        <v>21.5</v>
      </c>
      <c r="J61" s="139">
        <v>21.5</v>
      </c>
      <c r="K61" s="139">
        <f t="shared" si="2"/>
        <v>8.86</v>
      </c>
      <c r="L61" s="139">
        <v>9.5</v>
      </c>
      <c r="M61" s="139">
        <f t="shared" si="5"/>
        <v>9.5</v>
      </c>
      <c r="N61" s="147">
        <f t="shared" si="5"/>
        <v>9.5</v>
      </c>
      <c r="O61" s="147">
        <f t="shared" si="5"/>
        <v>9.5</v>
      </c>
      <c r="P61" s="147">
        <f t="shared" si="5"/>
        <v>9.5</v>
      </c>
      <c r="Q61" s="147"/>
      <c r="S61" s="41">
        <f>'3. Verotulot'!D61*100/'Veroposentin tuotto'!C61</f>
        <v>66510.042186046499</v>
      </c>
      <c r="T61" s="41">
        <f>'3. Verotulot'!I61*100/'Veroposentin tuotto'!D61</f>
        <v>65153.488372093023</v>
      </c>
      <c r="U61" s="41">
        <f>'3. Verotulot'!N61*100/'Veroposentin tuotto'!E61</f>
        <v>62981.395348837206</v>
      </c>
      <c r="V61" s="41">
        <f>'3. Verotulot'!S61*100/'Veroposentin tuotto'!F61</f>
        <v>61279.069767441862</v>
      </c>
      <c r="W61" s="41">
        <f>'3. Verotulot'!X61*100/'Veroposentin tuotto'!G61</f>
        <v>63525.58139534884</v>
      </c>
      <c r="X61" s="41">
        <f>'3. Verotulot'!AC61*100/'Veroposentin tuotto'!H61</f>
        <v>64427.906976744183</v>
      </c>
      <c r="Y61" s="41">
        <f>'3. Verotulot'!AH61*100/'Veroposentin tuotto'!I61</f>
        <v>65335.168186046511</v>
      </c>
      <c r="Z61" s="41">
        <f>'3. Verotulot'!AM61*100/'Veroposentin tuotto'!J61</f>
        <v>70825.608790697675</v>
      </c>
      <c r="AA61" s="41">
        <f>'3. Verotulot'!AR61*100/'Veroposentin tuotto'!K61</f>
        <v>84702.805643340864</v>
      </c>
      <c r="AB61" s="41">
        <f>'3. Verotulot'!AW61*100/'Veroposentin tuotto'!L61</f>
        <v>80923.409226368196</v>
      </c>
      <c r="AC61" s="41">
        <f>'3. Verotulot'!BB61*100/'Veroposentin tuotto'!M61</f>
        <v>85562.281635043895</v>
      </c>
      <c r="AD61" s="41">
        <f>'3. Verotulot'!BG61*100/'Veroposentin tuotto'!N61</f>
        <v>88879.909578942679</v>
      </c>
      <c r="AE61" s="41">
        <f>'3. Verotulot'!BL61*100/'Veroposentin tuotto'!O61</f>
        <v>91157.628048457758</v>
      </c>
      <c r="AF61" s="41">
        <f>'3. Verotulot'!BQ61*100/'Veroposentin tuotto'!P61</f>
        <v>93654.446897222195</v>
      </c>
      <c r="AI61" s="41">
        <f>'3. Verotulot'!D61/'Veroposentin tuotto'!C61</f>
        <v>665.10042186046508</v>
      </c>
      <c r="AJ61" s="41">
        <f>'3. Verotulot'!I61/'Veroposentin tuotto'!D61</f>
        <v>651.53488372093022</v>
      </c>
      <c r="AK61" s="41">
        <f>'3. Verotulot'!N61/'Veroposentin tuotto'!E61</f>
        <v>629.81395348837214</v>
      </c>
      <c r="AL61" s="41">
        <f>'3. Verotulot'!S61/'Veroposentin tuotto'!F61</f>
        <v>612.79069767441865</v>
      </c>
      <c r="AM61" s="41">
        <f>'3. Verotulot'!X61/'Veroposentin tuotto'!G61</f>
        <v>635.25581395348843</v>
      </c>
      <c r="AN61" s="41">
        <f>'3. Verotulot'!AC61/'Veroposentin tuotto'!H61</f>
        <v>644.27906976744191</v>
      </c>
      <c r="AO61" s="41">
        <f>'3. Verotulot'!AH61/'Veroposentin tuotto'!I61</f>
        <v>653.35168186046508</v>
      </c>
      <c r="AP61" s="41">
        <f>'3. Verotulot'!AM61/'Veroposentin tuotto'!J61</f>
        <v>708.25608790697675</v>
      </c>
      <c r="AQ61" s="41">
        <f>'3. Verotulot'!AR61/'Veroposentin tuotto'!K61</f>
        <v>847.02805643340866</v>
      </c>
      <c r="AR61" s="41">
        <f>'3. Verotulot'!AW61/'Veroposentin tuotto'!L61</f>
        <v>809.23409226368187</v>
      </c>
      <c r="AS61" s="41">
        <f>'3. Verotulot'!BB61/'Veroposentin tuotto'!M61</f>
        <v>855.62281635043894</v>
      </c>
      <c r="AT61" s="41">
        <f>'3. Verotulot'!BG61/'Veroposentin tuotto'!N61</f>
        <v>888.79909578942681</v>
      </c>
      <c r="AU61" s="41">
        <f>'3. Verotulot'!BL61/'Veroposentin tuotto'!O61</f>
        <v>911.57628048457764</v>
      </c>
      <c r="AV61" s="41">
        <f>'3. Verotulot'!BQ61/'Veroposentin tuotto'!P61</f>
        <v>936.54446897222192</v>
      </c>
      <c r="AX61" s="146"/>
      <c r="AZ61" s="34">
        <v>152</v>
      </c>
      <c r="BA61" s="88" t="s">
        <v>375</v>
      </c>
      <c r="BB61" s="41">
        <f>AI61/'1. Väestöennuste'!E61*1000</f>
        <v>138.99695336686835</v>
      </c>
      <c r="BC61" s="41">
        <f>AJ61/'1. Väestöennuste'!F61*1000</f>
        <v>138.27140995775258</v>
      </c>
      <c r="BD61" s="41">
        <f>AK61/'1. Väestöennuste'!G61*1000</f>
        <v>134.77722094765079</v>
      </c>
      <c r="BE61" s="41">
        <f>AL61/'1. Väestöennuste'!H61*1000</f>
        <v>133.18641549107122</v>
      </c>
      <c r="BF61" s="41">
        <f>AM61/'1. Väestöennuste'!I61*1000</f>
        <v>140.48116186499078</v>
      </c>
      <c r="BG61" s="41">
        <f>AN61/'1. Väestöennuste'!J61*1000</f>
        <v>144.10178254695634</v>
      </c>
      <c r="BH61" s="41">
        <f>AO61/'1. Väestöennuste'!K61*1000</f>
        <v>145.83742898671096</v>
      </c>
      <c r="BI61" s="41">
        <f>AP61/'1. Väestöennuste'!L61*1000</f>
        <v>160.74809076417992</v>
      </c>
      <c r="BJ61" s="41">
        <f>AQ61/'1. Väestöennuste'!M61*1000</f>
        <v>194.40625577998821</v>
      </c>
      <c r="BK61" s="41">
        <f>AR61/'1. Väestöennuste'!N61*1000</f>
        <v>189.64942401304941</v>
      </c>
      <c r="BL61" s="41">
        <f>AS61/'1. Väestöennuste'!O61*1000</f>
        <v>202.75422188399028</v>
      </c>
      <c r="BM61" s="41">
        <f>AT61/'1. Väestöennuste'!P61*1000</f>
        <v>212.93701384509507</v>
      </c>
      <c r="BN61" s="41">
        <f>AU61/'1. Väestöennuste'!Q61*1000</f>
        <v>220.88109534397327</v>
      </c>
      <c r="BO61" s="41">
        <f>AV61/'1. Väestöennuste'!R61*1000</f>
        <v>229.20814218605528</v>
      </c>
    </row>
    <row r="62" spans="1:67" x14ac:dyDescent="0.25">
      <c r="A62" s="30">
        <v>153</v>
      </c>
      <c r="B62" s="47" t="s">
        <v>376</v>
      </c>
      <c r="C62" s="47">
        <v>20</v>
      </c>
      <c r="D62" s="47">
        <v>20</v>
      </c>
      <c r="E62" s="47">
        <v>20</v>
      </c>
      <c r="F62" s="47">
        <v>20</v>
      </c>
      <c r="G62" s="47">
        <v>20</v>
      </c>
      <c r="H62" s="58">
        <v>20</v>
      </c>
      <c r="I62" s="139">
        <v>20</v>
      </c>
      <c r="J62" s="139">
        <v>20</v>
      </c>
      <c r="K62" s="139">
        <f t="shared" si="2"/>
        <v>7.3599999999999994</v>
      </c>
      <c r="L62" s="139">
        <v>8.6</v>
      </c>
      <c r="M62" s="139">
        <f t="shared" si="5"/>
        <v>8.6</v>
      </c>
      <c r="N62" s="147">
        <f t="shared" si="5"/>
        <v>8.6</v>
      </c>
      <c r="O62" s="147">
        <f t="shared" si="5"/>
        <v>8.6</v>
      </c>
      <c r="P62" s="147">
        <f t="shared" si="5"/>
        <v>8.6</v>
      </c>
      <c r="Q62" s="147"/>
      <c r="S62" s="41">
        <f>'3. Verotulot'!D62*100/'Veroposentin tuotto'!C62</f>
        <v>468947.20744999999</v>
      </c>
      <c r="T62" s="41">
        <f>'3. Verotulot'!I62*100/'Veroposentin tuotto'!D62</f>
        <v>467335</v>
      </c>
      <c r="U62" s="41">
        <f>'3. Verotulot'!N62*100/'Veroposentin tuotto'!E62</f>
        <v>455915</v>
      </c>
      <c r="V62" s="41">
        <f>'3. Verotulot'!S62*100/'Veroposentin tuotto'!F62</f>
        <v>447545</v>
      </c>
      <c r="W62" s="41">
        <f>'3. Verotulot'!X62*100/'Veroposentin tuotto'!G62</f>
        <v>453120</v>
      </c>
      <c r="X62" s="41">
        <f>'3. Verotulot'!AC62*100/'Veroposentin tuotto'!H62</f>
        <v>453505</v>
      </c>
      <c r="Y62" s="41">
        <f>'3. Verotulot'!AH62*100/'Veroposentin tuotto'!I62</f>
        <v>462719.99369999999</v>
      </c>
      <c r="Z62" s="41">
        <f>'3. Verotulot'!AM62*100/'Veroposentin tuotto'!J62</f>
        <v>467981.35574999999</v>
      </c>
      <c r="AA62" s="41">
        <f>'3. Verotulot'!AR62*100/'Veroposentin tuotto'!K62</f>
        <v>578475.49646739126</v>
      </c>
      <c r="AB62" s="41">
        <f>'3. Verotulot'!AW62*100/'Veroposentin tuotto'!L62</f>
        <v>528787.59446344827</v>
      </c>
      <c r="AC62" s="41">
        <f>'3. Verotulot'!BB62*100/'Veroposentin tuotto'!M62</f>
        <v>553905.75837229635</v>
      </c>
      <c r="AD62" s="41">
        <f>'3. Verotulot'!BG62*100/'Veroposentin tuotto'!N62</f>
        <v>568425.36567686824</v>
      </c>
      <c r="AE62" s="41">
        <f>'3. Verotulot'!BL62*100/'Veroposentin tuotto'!O62</f>
        <v>580444.05403117719</v>
      </c>
      <c r="AF62" s="41">
        <f>'3. Verotulot'!BQ62*100/'Veroposentin tuotto'!P62</f>
        <v>595055.82818707998</v>
      </c>
      <c r="AI62" s="41">
        <f>'3. Verotulot'!D62/'Veroposentin tuotto'!C62</f>
        <v>4689.4720744999995</v>
      </c>
      <c r="AJ62" s="41">
        <f>'3. Verotulot'!I62/'Veroposentin tuotto'!D62</f>
        <v>4673.3500000000004</v>
      </c>
      <c r="AK62" s="41">
        <f>'3. Verotulot'!N62/'Veroposentin tuotto'!E62</f>
        <v>4559.1499999999996</v>
      </c>
      <c r="AL62" s="41">
        <f>'3. Verotulot'!S62/'Veroposentin tuotto'!F62</f>
        <v>4475.45</v>
      </c>
      <c r="AM62" s="41">
        <f>'3. Verotulot'!X62/'Veroposentin tuotto'!G62</f>
        <v>4531.2</v>
      </c>
      <c r="AN62" s="41">
        <f>'3. Verotulot'!AC62/'Veroposentin tuotto'!H62</f>
        <v>4535.05</v>
      </c>
      <c r="AO62" s="41">
        <f>'3. Verotulot'!AH62/'Veroposentin tuotto'!I62</f>
        <v>4627.1999369999994</v>
      </c>
      <c r="AP62" s="41">
        <f>'3. Verotulot'!AM62/'Veroposentin tuotto'!J62</f>
        <v>4679.8135574999997</v>
      </c>
      <c r="AQ62" s="41">
        <f>'3. Verotulot'!AR62/'Veroposentin tuotto'!K62</f>
        <v>5784.7549646739126</v>
      </c>
      <c r="AR62" s="41">
        <f>'3. Verotulot'!AW62/'Veroposentin tuotto'!L62</f>
        <v>5287.875944634482</v>
      </c>
      <c r="AS62" s="41">
        <f>'3. Verotulot'!BB62/'Veroposentin tuotto'!M62</f>
        <v>5539.0575837229626</v>
      </c>
      <c r="AT62" s="41">
        <f>'3. Verotulot'!BG62/'Veroposentin tuotto'!N62</f>
        <v>5684.253656768682</v>
      </c>
      <c r="AU62" s="41">
        <f>'3. Verotulot'!BL62/'Veroposentin tuotto'!O62</f>
        <v>5804.4405403117717</v>
      </c>
      <c r="AV62" s="41">
        <f>'3. Verotulot'!BQ62/'Veroposentin tuotto'!P62</f>
        <v>5950.5582818707999</v>
      </c>
      <c r="AX62" s="146"/>
      <c r="AZ62" s="34">
        <v>153</v>
      </c>
      <c r="BA62" s="88" t="s">
        <v>376</v>
      </c>
      <c r="BB62" s="41">
        <f>AI62/'1. Väestöennuste'!E62*1000</f>
        <v>168.47393836895995</v>
      </c>
      <c r="BC62" s="41">
        <f>AJ62/'1. Väestöennuste'!F62*1000</f>
        <v>169.83501108405713</v>
      </c>
      <c r="BD62" s="41">
        <f>AK62/'1. Väestöennuste'!G62*1000</f>
        <v>167.19168286332464</v>
      </c>
      <c r="BE62" s="41">
        <f>AL62/'1. Väestöennuste'!H62*1000</f>
        <v>166.17592455072034</v>
      </c>
      <c r="BF62" s="41">
        <f>AM62/'1. Väestöennuste'!I62*1000</f>
        <v>170.93707559981891</v>
      </c>
      <c r="BG62" s="41">
        <f>AN62/'1. Väestöennuste'!J62*1000</f>
        <v>173.92329817833175</v>
      </c>
      <c r="BH62" s="41">
        <f>AO62/'1. Väestöennuste'!K62*1000</f>
        <v>180.36249998051059</v>
      </c>
      <c r="BI62" s="41">
        <f>AP62/'1. Väestöennuste'!L62*1000</f>
        <v>185.64795134481116</v>
      </c>
      <c r="BJ62" s="41">
        <f>AQ62/'1. Väestöennuste'!M62*1000</f>
        <v>232.14233976780417</v>
      </c>
      <c r="BK62" s="41">
        <f>AR62/'1. Väestöennuste'!N62*1000</f>
        <v>213.92814728677408</v>
      </c>
      <c r="BL62" s="41">
        <f>AS62/'1. Väestöennuste'!O62*1000</f>
        <v>227.0757013783857</v>
      </c>
      <c r="BM62" s="41">
        <f>AT62/'1. Väestöennuste'!P62*1000</f>
        <v>236.08645831161198</v>
      </c>
      <c r="BN62" s="41">
        <f>AU62/'1. Väestöennuste'!Q62*1000</f>
        <v>244.14050642741418</v>
      </c>
      <c r="BO62" s="41">
        <f>AV62/'1. Väestöennuste'!R62*1000</f>
        <v>253.31225924272272</v>
      </c>
    </row>
    <row r="63" spans="1:67" x14ac:dyDescent="0.25">
      <c r="A63" s="30">
        <v>165</v>
      </c>
      <c r="B63" s="47" t="s">
        <v>377</v>
      </c>
      <c r="C63" s="47">
        <v>20.5</v>
      </c>
      <c r="D63" s="47">
        <v>20.5</v>
      </c>
      <c r="E63" s="47">
        <v>21</v>
      </c>
      <c r="F63" s="47">
        <v>21</v>
      </c>
      <c r="G63" s="47">
        <v>21</v>
      </c>
      <c r="H63" s="58">
        <v>21</v>
      </c>
      <c r="I63" s="139">
        <v>21</v>
      </c>
      <c r="J63" s="139">
        <v>21</v>
      </c>
      <c r="K63" s="139">
        <f t="shared" si="2"/>
        <v>8.36</v>
      </c>
      <c r="L63" s="139">
        <v>8.4</v>
      </c>
      <c r="M63" s="139">
        <f t="shared" si="5"/>
        <v>8.4</v>
      </c>
      <c r="N63" s="147">
        <f t="shared" si="5"/>
        <v>8.4</v>
      </c>
      <c r="O63" s="147">
        <f t="shared" si="5"/>
        <v>8.4</v>
      </c>
      <c r="P63" s="147">
        <f t="shared" si="5"/>
        <v>8.4</v>
      </c>
      <c r="Q63" s="147"/>
      <c r="S63" s="41">
        <f>'3. Verotulot'!D63*100/'Veroposentin tuotto'!C63</f>
        <v>279345.17853658536</v>
      </c>
      <c r="T63" s="41">
        <f>'3. Verotulot'!I63*100/'Veroposentin tuotto'!D63</f>
        <v>278341.46341463417</v>
      </c>
      <c r="U63" s="41">
        <f>'3. Verotulot'!N63*100/'Veroposentin tuotto'!E63</f>
        <v>278533.33333333331</v>
      </c>
      <c r="V63" s="41">
        <f>'3. Verotulot'!S63*100/'Veroposentin tuotto'!F63</f>
        <v>273828.57142857142</v>
      </c>
      <c r="W63" s="41">
        <f>'3. Verotulot'!X63*100/'Veroposentin tuotto'!G63</f>
        <v>271561.90476190473</v>
      </c>
      <c r="X63" s="41">
        <f>'3. Verotulot'!AC63*100/'Veroposentin tuotto'!H63</f>
        <v>289519.04761904763</v>
      </c>
      <c r="Y63" s="41">
        <f>'3. Verotulot'!AH63*100/'Veroposentin tuotto'!I63</f>
        <v>289847.72628571431</v>
      </c>
      <c r="Z63" s="41">
        <f>'3. Verotulot'!AM63*100/'Veroposentin tuotto'!J63</f>
        <v>302579.55252380954</v>
      </c>
      <c r="AA63" s="41">
        <f>'3. Verotulot'!AR63*100/'Veroposentin tuotto'!K63</f>
        <v>378735.68779904308</v>
      </c>
      <c r="AB63" s="41">
        <f>'3. Verotulot'!AW63*100/'Veroposentin tuotto'!L63</f>
        <v>353919.53431975242</v>
      </c>
      <c r="AC63" s="41">
        <f>'3. Verotulot'!BB63*100/'Veroposentin tuotto'!M63</f>
        <v>374023.71509298752</v>
      </c>
      <c r="AD63" s="41">
        <f>'3. Verotulot'!BG63*100/'Veroposentin tuotto'!N63</f>
        <v>389405.96612420538</v>
      </c>
      <c r="AE63" s="41">
        <f>'3. Verotulot'!BL63*100/'Veroposentin tuotto'!O63</f>
        <v>401687.00605720229</v>
      </c>
      <c r="AF63" s="41">
        <f>'3. Verotulot'!BQ63*100/'Veroposentin tuotto'!P63</f>
        <v>415638.71809510526</v>
      </c>
      <c r="AI63" s="41">
        <f>'3. Verotulot'!D63/'Veroposentin tuotto'!C63</f>
        <v>2793.4517853658535</v>
      </c>
      <c r="AJ63" s="41">
        <f>'3. Verotulot'!I63/'Veroposentin tuotto'!D63</f>
        <v>2783.4146341463415</v>
      </c>
      <c r="AK63" s="41">
        <f>'3. Verotulot'!N63/'Veroposentin tuotto'!E63</f>
        <v>2785.3333333333335</v>
      </c>
      <c r="AL63" s="41">
        <f>'3. Verotulot'!S63/'Veroposentin tuotto'!F63</f>
        <v>2738.2857142857142</v>
      </c>
      <c r="AM63" s="41">
        <f>'3. Verotulot'!X63/'Veroposentin tuotto'!G63</f>
        <v>2715.6190476190477</v>
      </c>
      <c r="AN63" s="41">
        <f>'3. Verotulot'!AC63/'Veroposentin tuotto'!H63</f>
        <v>2895.1904761904761</v>
      </c>
      <c r="AO63" s="41">
        <f>'3. Verotulot'!AH63/'Veroposentin tuotto'!I63</f>
        <v>2898.4772628571432</v>
      </c>
      <c r="AP63" s="41">
        <f>'3. Verotulot'!AM63/'Veroposentin tuotto'!J63</f>
        <v>3025.7955252380953</v>
      </c>
      <c r="AQ63" s="41">
        <f>'3. Verotulot'!AR63/'Veroposentin tuotto'!K63</f>
        <v>3787.3568779904313</v>
      </c>
      <c r="AR63" s="41">
        <f>'3. Verotulot'!AW63/'Veroposentin tuotto'!L63</f>
        <v>3539.1953431975239</v>
      </c>
      <c r="AS63" s="41">
        <f>'3. Verotulot'!BB63/'Veroposentin tuotto'!M63</f>
        <v>3740.2371509298755</v>
      </c>
      <c r="AT63" s="41">
        <f>'3. Verotulot'!BG63/'Veroposentin tuotto'!N63</f>
        <v>3894.0596612420541</v>
      </c>
      <c r="AU63" s="41">
        <f>'3. Verotulot'!BL63/'Veroposentin tuotto'!O63</f>
        <v>4016.8700605720228</v>
      </c>
      <c r="AV63" s="41">
        <f>'3. Verotulot'!BQ63/'Veroposentin tuotto'!P63</f>
        <v>4156.387180951052</v>
      </c>
      <c r="AX63" s="146"/>
      <c r="AZ63" s="34">
        <v>165</v>
      </c>
      <c r="BA63" s="88" t="s">
        <v>377</v>
      </c>
      <c r="BB63" s="41">
        <f>AI63/'1. Väestöennuste'!E63*1000</f>
        <v>165.75397765180406</v>
      </c>
      <c r="BC63" s="41">
        <f>AJ63/'1. Väestöennuste'!F63*1000</f>
        <v>166.58176037742183</v>
      </c>
      <c r="BD63" s="41">
        <f>AK63/'1. Väestöennuste'!G63*1000</f>
        <v>167.72043917223661</v>
      </c>
      <c r="BE63" s="41">
        <f>AL63/'1. Väestöennuste'!H63*1000</f>
        <v>166.49150083819021</v>
      </c>
      <c r="BF63" s="41">
        <f>AM63/'1. Väestöennuste'!I63*1000</f>
        <v>165.45537364400462</v>
      </c>
      <c r="BG63" s="41">
        <f>AN63/'1. Väestöennuste'!J63*1000</f>
        <v>178.30821433703738</v>
      </c>
      <c r="BH63" s="41">
        <f>AO63/'1. Väestöennuste'!K63*1000</f>
        <v>177.38538940374193</v>
      </c>
      <c r="BI63" s="41">
        <f>AP63/'1. Väestöennuste'!L63*1000</f>
        <v>185.859675997426</v>
      </c>
      <c r="BJ63" s="41">
        <f>AQ63/'1. Väestöennuste'!M63*1000</f>
        <v>234.90398052412274</v>
      </c>
      <c r="BK63" s="41">
        <f>AR63/'1. Väestöennuste'!N63*1000</f>
        <v>224.32625614486429</v>
      </c>
      <c r="BL63" s="41">
        <f>AS63/'1. Väestöennuste'!O63*1000</f>
        <v>238.6572965116051</v>
      </c>
      <c r="BM63" s="41">
        <f>AT63/'1. Väestöennuste'!P63*1000</f>
        <v>250.13230095336937</v>
      </c>
      <c r="BN63" s="41">
        <f>AU63/'1. Väestöennuste'!Q63*1000</f>
        <v>259.70582922169928</v>
      </c>
      <c r="BO63" s="41">
        <f>AV63/'1. Väestöennuste'!R63*1000</f>
        <v>270.51006709736754</v>
      </c>
    </row>
    <row r="64" spans="1:67" x14ac:dyDescent="0.25">
      <c r="A64" s="30">
        <v>167</v>
      </c>
      <c r="B64" s="47" t="s">
        <v>378</v>
      </c>
      <c r="C64" s="47">
        <v>20.5</v>
      </c>
      <c r="D64" s="47">
        <v>20.5</v>
      </c>
      <c r="E64" s="47">
        <v>20.5</v>
      </c>
      <c r="F64" s="47">
        <v>20.5</v>
      </c>
      <c r="G64" s="47">
        <v>20.5</v>
      </c>
      <c r="H64" s="58">
        <v>20.5</v>
      </c>
      <c r="I64" s="139">
        <v>20.5</v>
      </c>
      <c r="J64" s="139">
        <v>20.5</v>
      </c>
      <c r="K64" s="139">
        <f t="shared" si="2"/>
        <v>7.8599999999999994</v>
      </c>
      <c r="L64" s="139">
        <v>7.9</v>
      </c>
      <c r="M64" s="139">
        <f t="shared" si="5"/>
        <v>7.9</v>
      </c>
      <c r="N64" s="147">
        <f t="shared" si="5"/>
        <v>7.9</v>
      </c>
      <c r="O64" s="147">
        <f t="shared" si="5"/>
        <v>7.9</v>
      </c>
      <c r="P64" s="147">
        <f t="shared" si="5"/>
        <v>7.9</v>
      </c>
      <c r="Q64" s="147"/>
      <c r="S64" s="41">
        <f>'3. Verotulot'!D64*100/'Veroposentin tuotto'!C64</f>
        <v>1091625.2088780489</v>
      </c>
      <c r="T64" s="41">
        <f>'3. Verotulot'!I64*100/'Veroposentin tuotto'!D64</f>
        <v>1094863.4146341463</v>
      </c>
      <c r="U64" s="41">
        <f>'3. Verotulot'!N64*100/'Veroposentin tuotto'!E64</f>
        <v>1074380.487804878</v>
      </c>
      <c r="V64" s="41">
        <f>'3. Verotulot'!S64*100/'Veroposentin tuotto'!F64</f>
        <v>1065209.756097561</v>
      </c>
      <c r="W64" s="41">
        <f>'3. Verotulot'!X64*100/'Veroposentin tuotto'!G64</f>
        <v>1101868.2926829269</v>
      </c>
      <c r="X64" s="41">
        <f>'3. Verotulot'!AC64*100/'Veroposentin tuotto'!H64</f>
        <v>1131585.3658536586</v>
      </c>
      <c r="Y64" s="41">
        <f>'3. Verotulot'!AH64*100/'Veroposentin tuotto'!I64</f>
        <v>1179163.5602439025</v>
      </c>
      <c r="Z64" s="41">
        <f>'3. Verotulot'!AM64*100/'Veroposentin tuotto'!J64</f>
        <v>1230365.4878536584</v>
      </c>
      <c r="AA64" s="41">
        <f>'3. Verotulot'!AR64*100/'Veroposentin tuotto'!K64</f>
        <v>1525709.48346056</v>
      </c>
      <c r="AB64" s="41">
        <f>'3. Verotulot'!AW64*100/'Veroposentin tuotto'!L64</f>
        <v>1491261.8367166722</v>
      </c>
      <c r="AC64" s="41">
        <f>'3. Verotulot'!BB64*100/'Veroposentin tuotto'!M64</f>
        <v>1584936.0067181992</v>
      </c>
      <c r="AD64" s="41">
        <f>'3. Verotulot'!BG64*100/'Veroposentin tuotto'!N64</f>
        <v>1671399.0659041698</v>
      </c>
      <c r="AE64" s="41">
        <f>'3. Verotulot'!BL64*100/'Veroposentin tuotto'!O64</f>
        <v>1747560.3464579855</v>
      </c>
      <c r="AF64" s="41">
        <f>'3. Verotulot'!BQ64*100/'Veroposentin tuotto'!P64</f>
        <v>1832846.6983813872</v>
      </c>
      <c r="AI64" s="41">
        <f>'3. Verotulot'!D64/'Veroposentin tuotto'!C64</f>
        <v>10916.252088780488</v>
      </c>
      <c r="AJ64" s="41">
        <f>'3. Verotulot'!I64/'Veroposentin tuotto'!D64</f>
        <v>10948.634146341463</v>
      </c>
      <c r="AK64" s="41">
        <f>'3. Verotulot'!N64/'Veroposentin tuotto'!E64</f>
        <v>10743.804878048781</v>
      </c>
      <c r="AL64" s="41">
        <f>'3. Verotulot'!S64/'Veroposentin tuotto'!F64</f>
        <v>10652.09756097561</v>
      </c>
      <c r="AM64" s="41">
        <f>'3. Verotulot'!X64/'Veroposentin tuotto'!G64</f>
        <v>11018.682926829268</v>
      </c>
      <c r="AN64" s="41">
        <f>'3. Verotulot'!AC64/'Veroposentin tuotto'!H64</f>
        <v>11315.853658536585</v>
      </c>
      <c r="AO64" s="41">
        <f>'3. Verotulot'!AH64/'Veroposentin tuotto'!I64</f>
        <v>11791.635602439024</v>
      </c>
      <c r="AP64" s="41">
        <f>'3. Verotulot'!AM64/'Veroposentin tuotto'!J64</f>
        <v>12303.654878536585</v>
      </c>
      <c r="AQ64" s="41">
        <f>'3. Verotulot'!AR64/'Veroposentin tuotto'!K64</f>
        <v>15257.094834605599</v>
      </c>
      <c r="AR64" s="41">
        <f>'3. Verotulot'!AW64/'Veroposentin tuotto'!L64</f>
        <v>14912.618367166724</v>
      </c>
      <c r="AS64" s="41">
        <f>'3. Verotulot'!BB64/'Veroposentin tuotto'!M64</f>
        <v>15849.360067181995</v>
      </c>
      <c r="AT64" s="41">
        <f>'3. Verotulot'!BG64/'Veroposentin tuotto'!N64</f>
        <v>16713.990659041698</v>
      </c>
      <c r="AU64" s="41">
        <f>'3. Verotulot'!BL64/'Veroposentin tuotto'!O64</f>
        <v>17475.603464579857</v>
      </c>
      <c r="AV64" s="41">
        <f>'3. Verotulot'!BQ64/'Veroposentin tuotto'!P64</f>
        <v>18328.466983813873</v>
      </c>
      <c r="AX64" s="146"/>
      <c r="AZ64" s="34">
        <v>167</v>
      </c>
      <c r="BA64" s="88" t="s">
        <v>378</v>
      </c>
      <c r="BB64" s="41">
        <f>AI64/'1. Väestöennuste'!E64*1000</f>
        <v>144.55931468046307</v>
      </c>
      <c r="BC64" s="41">
        <f>AJ64/'1. Väestöennuste'!F64*1000</f>
        <v>144.34967495967544</v>
      </c>
      <c r="BD64" s="41">
        <f>AK64/'1. Väestöennuste'!G64*1000</f>
        <v>141.2413382682212</v>
      </c>
      <c r="BE64" s="41">
        <f>AL64/'1. Väestöennuste'!H64*1000</f>
        <v>139.15033847991026</v>
      </c>
      <c r="BF64" s="41">
        <f>AM64/'1. Väestöennuste'!I64*1000</f>
        <v>143.37908818255391</v>
      </c>
      <c r="BG64" s="41">
        <f>AN64/'1. Väestöennuste'!J64*1000</f>
        <v>147.08329964952992</v>
      </c>
      <c r="BH64" s="41">
        <f>AO64/'1. Väestöennuste'!K64*1000</f>
        <v>152.62079965880619</v>
      </c>
      <c r="BI64" s="41">
        <f>AP64/'1. Väestöennuste'!L64*1000</f>
        <v>158.7302114295226</v>
      </c>
      <c r="BJ64" s="41">
        <f>AQ64/'1. Väestöennuste'!M64*1000</f>
        <v>195.44842349165535</v>
      </c>
      <c r="BK64" s="41">
        <f>AR64/'1. Väestöennuste'!N64*1000</f>
        <v>191.59024573676351</v>
      </c>
      <c r="BL64" s="41">
        <f>AS64/'1. Väestöennuste'!O64*1000</f>
        <v>203.21516119628677</v>
      </c>
      <c r="BM64" s="41">
        <f>AT64/'1. Väestöennuste'!P64*1000</f>
        <v>213.89253741959121</v>
      </c>
      <c r="BN64" s="41">
        <f>AU64/'1. Väestöennuste'!Q64*1000</f>
        <v>223.23910304514266</v>
      </c>
      <c r="BO64" s="41">
        <f>AV64/'1. Väestöennuste'!R64*1000</f>
        <v>233.7486702607271</v>
      </c>
    </row>
    <row r="65" spans="1:67" x14ac:dyDescent="0.25">
      <c r="A65" s="30">
        <v>169</v>
      </c>
      <c r="B65" s="47" t="s">
        <v>379</v>
      </c>
      <c r="C65" s="47">
        <v>20.5</v>
      </c>
      <c r="D65" s="47">
        <v>20.5</v>
      </c>
      <c r="E65" s="47">
        <v>20.5</v>
      </c>
      <c r="F65" s="47">
        <v>21.25</v>
      </c>
      <c r="G65" s="47">
        <v>21.25</v>
      </c>
      <c r="H65" s="58">
        <v>21.25</v>
      </c>
      <c r="I65" s="139">
        <v>21.249999999999996</v>
      </c>
      <c r="J65" s="139">
        <v>21.249999999999996</v>
      </c>
      <c r="K65" s="139">
        <f t="shared" si="2"/>
        <v>8.6099999999999959</v>
      </c>
      <c r="L65" s="139">
        <v>8.6999999999999993</v>
      </c>
      <c r="M65" s="139">
        <f t="shared" si="5"/>
        <v>8.6999999999999993</v>
      </c>
      <c r="N65" s="147">
        <f t="shared" si="5"/>
        <v>8.6999999999999993</v>
      </c>
      <c r="O65" s="147">
        <f t="shared" si="5"/>
        <v>8.6999999999999993</v>
      </c>
      <c r="P65" s="147">
        <f t="shared" si="5"/>
        <v>8.6999999999999993</v>
      </c>
      <c r="Q65" s="147"/>
      <c r="S65" s="41">
        <f>'3. Verotulot'!D65*100/'Veroposentin tuotto'!C65</f>
        <v>85335.031512195113</v>
      </c>
      <c r="T65" s="41">
        <f>'3. Verotulot'!I65*100/'Veroposentin tuotto'!D65</f>
        <v>81341.463414634141</v>
      </c>
      <c r="U65" s="41">
        <f>'3. Verotulot'!N65*100/'Veroposentin tuotto'!E65</f>
        <v>81326.829268292684</v>
      </c>
      <c r="V65" s="41">
        <f>'3. Verotulot'!S65*100/'Veroposentin tuotto'!F65</f>
        <v>78992.941176470587</v>
      </c>
      <c r="W65" s="41">
        <f>'3. Verotulot'!X65*100/'Veroposentin tuotto'!G65</f>
        <v>80997.647058823524</v>
      </c>
      <c r="X65" s="41">
        <f>'3. Verotulot'!AC65*100/'Veroposentin tuotto'!H65</f>
        <v>84978.823529411762</v>
      </c>
      <c r="Y65" s="41">
        <f>'3. Verotulot'!AH65*100/'Veroposentin tuotto'!I65</f>
        <v>84453.855952941187</v>
      </c>
      <c r="Z65" s="41">
        <f>'3. Verotulot'!AM65*100/'Veroposentin tuotto'!J65</f>
        <v>88560.695529411794</v>
      </c>
      <c r="AA65" s="41">
        <f>'3. Verotulot'!AR65*100/'Veroposentin tuotto'!K65</f>
        <v>108722.07804878053</v>
      </c>
      <c r="AB65" s="41">
        <f>'3. Verotulot'!AW65*100/'Veroposentin tuotto'!L65</f>
        <v>101744.62497701096</v>
      </c>
      <c r="AC65" s="41">
        <f>'3. Verotulot'!BB65*100/'Veroposentin tuotto'!M65</f>
        <v>106902.33569514781</v>
      </c>
      <c r="AD65" s="41">
        <f>'3. Verotulot'!BG65*100/'Veroposentin tuotto'!N65</f>
        <v>110932.45568201864</v>
      </c>
      <c r="AE65" s="41">
        <f>'3. Verotulot'!BL65*100/'Veroposentin tuotto'!O65</f>
        <v>113904.11493850355</v>
      </c>
      <c r="AF65" s="41">
        <f>'3. Verotulot'!BQ65*100/'Veroposentin tuotto'!P65</f>
        <v>117273.85524420092</v>
      </c>
      <c r="AI65" s="41">
        <f>'3. Verotulot'!D65/'Veroposentin tuotto'!C65</f>
        <v>853.35031512195121</v>
      </c>
      <c r="AJ65" s="41">
        <f>'3. Verotulot'!I65/'Veroposentin tuotto'!D65</f>
        <v>813.41463414634143</v>
      </c>
      <c r="AK65" s="41">
        <f>'3. Verotulot'!N65/'Veroposentin tuotto'!E65</f>
        <v>813.26829268292681</v>
      </c>
      <c r="AL65" s="41">
        <f>'3. Verotulot'!S65/'Veroposentin tuotto'!F65</f>
        <v>789.92941176470583</v>
      </c>
      <c r="AM65" s="41">
        <f>'3. Verotulot'!X65/'Veroposentin tuotto'!G65</f>
        <v>809.97647058823532</v>
      </c>
      <c r="AN65" s="41">
        <f>'3. Verotulot'!AC65/'Veroposentin tuotto'!H65</f>
        <v>849.78823529411761</v>
      </c>
      <c r="AO65" s="41">
        <f>'3. Verotulot'!AH65/'Veroposentin tuotto'!I65</f>
        <v>844.53855952941194</v>
      </c>
      <c r="AP65" s="41">
        <f>'3. Verotulot'!AM65/'Veroposentin tuotto'!J65</f>
        <v>885.60695529411794</v>
      </c>
      <c r="AQ65" s="41">
        <f>'3. Verotulot'!AR65/'Veroposentin tuotto'!K65</f>
        <v>1087.2207804878053</v>
      </c>
      <c r="AR65" s="41">
        <f>'3. Verotulot'!AW65/'Veroposentin tuotto'!L65</f>
        <v>1017.4462497701096</v>
      </c>
      <c r="AS65" s="41">
        <f>'3. Verotulot'!BB65/'Veroposentin tuotto'!M65</f>
        <v>1069.023356951478</v>
      </c>
      <c r="AT65" s="41">
        <f>'3. Verotulot'!BG65/'Veroposentin tuotto'!N65</f>
        <v>1109.3245568201864</v>
      </c>
      <c r="AU65" s="41">
        <f>'3. Verotulot'!BL65/'Veroposentin tuotto'!O65</f>
        <v>1139.0411493850354</v>
      </c>
      <c r="AV65" s="41">
        <f>'3. Verotulot'!BQ65/'Veroposentin tuotto'!P65</f>
        <v>1172.7385524420092</v>
      </c>
      <c r="AX65" s="146"/>
      <c r="AZ65" s="34">
        <v>169</v>
      </c>
      <c r="BA65" s="88" t="s">
        <v>379</v>
      </c>
      <c r="BB65" s="41">
        <f>AI65/'1. Väestöennuste'!E65*1000</f>
        <v>157.29959725750254</v>
      </c>
      <c r="BC65" s="41">
        <f>AJ65/'1. Väestöennuste'!F65*1000</f>
        <v>152.29631794539253</v>
      </c>
      <c r="BD65" s="41">
        <f>AK65/'1. Väestöennuste'!G65*1000</f>
        <v>153.85325249393242</v>
      </c>
      <c r="BE65" s="41">
        <f>AL65/'1. Väestöennuste'!H65*1000</f>
        <v>152.05570967559305</v>
      </c>
      <c r="BF65" s="41">
        <f>AM65/'1. Väestöennuste'!I65*1000</f>
        <v>157.79787075554944</v>
      </c>
      <c r="BG65" s="41">
        <f>AN65/'1. Väestöennuste'!J65*1000</f>
        <v>167.90915536339017</v>
      </c>
      <c r="BH65" s="41">
        <f>AO65/'1. Väestöennuste'!K65*1000</f>
        <v>167.36792697768766</v>
      </c>
      <c r="BI65" s="41">
        <f>AP65/'1. Väestöennuste'!L65*1000</f>
        <v>177.47634374631622</v>
      </c>
      <c r="BJ65" s="41">
        <f>AQ65/'1. Väestöennuste'!M65*1000</f>
        <v>221.15963801623377</v>
      </c>
      <c r="BK65" s="41">
        <f>AR65/'1. Väestöennuste'!N65*1000</f>
        <v>211.13223693092127</v>
      </c>
      <c r="BL65" s="41">
        <f>AS65/'1. Väestöennuste'!O65*1000</f>
        <v>224.39617064472668</v>
      </c>
      <c r="BM65" s="41">
        <f>AT65/'1. Väestöennuste'!P65*1000</f>
        <v>235.37546293659801</v>
      </c>
      <c r="BN65" s="41">
        <f>AU65/'1. Väestöennuste'!Q65*1000</f>
        <v>244.27217443384848</v>
      </c>
      <c r="BO65" s="41">
        <f>AV65/'1. Väestöennuste'!R65*1000</f>
        <v>253.94944834170835</v>
      </c>
    </row>
    <row r="66" spans="1:67" x14ac:dyDescent="0.25">
      <c r="A66" s="30">
        <v>171</v>
      </c>
      <c r="B66" s="47" t="s">
        <v>380</v>
      </c>
      <c r="C66" s="47">
        <v>20.25</v>
      </c>
      <c r="D66" s="47">
        <v>20.25</v>
      </c>
      <c r="E66" s="47">
        <v>20.75</v>
      </c>
      <c r="F66" s="47">
        <v>20.75</v>
      </c>
      <c r="G66" s="47">
        <v>21.25</v>
      </c>
      <c r="H66" s="58">
        <v>21.25</v>
      </c>
      <c r="I66" s="139">
        <v>21.25</v>
      </c>
      <c r="J66" s="139">
        <v>21.25</v>
      </c>
      <c r="K66" s="139">
        <f t="shared" si="2"/>
        <v>8.61</v>
      </c>
      <c r="L66" s="139">
        <v>8.6</v>
      </c>
      <c r="M66" s="139">
        <f t="shared" si="5"/>
        <v>8.6</v>
      </c>
      <c r="N66" s="147">
        <f t="shared" si="5"/>
        <v>8.6</v>
      </c>
      <c r="O66" s="147">
        <f t="shared" si="5"/>
        <v>8.6</v>
      </c>
      <c r="P66" s="147">
        <f t="shared" si="5"/>
        <v>8.6</v>
      </c>
      <c r="Q66" s="147"/>
      <c r="S66" s="41">
        <f>'3. Verotulot'!D66*100/'Veroposentin tuotto'!C66</f>
        <v>72515.733333333323</v>
      </c>
      <c r="T66" s="41">
        <f>'3. Verotulot'!I66*100/'Veroposentin tuotto'!D66</f>
        <v>70785.185185185182</v>
      </c>
      <c r="U66" s="41">
        <f>'3. Verotulot'!N66*100/'Veroposentin tuotto'!E66</f>
        <v>71079.518072289153</v>
      </c>
      <c r="V66" s="41">
        <f>'3. Verotulot'!S66*100/'Veroposentin tuotto'!F66</f>
        <v>66048.19277108433</v>
      </c>
      <c r="W66" s="41">
        <f>'3. Verotulot'!X66*100/'Veroposentin tuotto'!G66</f>
        <v>67891.76470588235</v>
      </c>
      <c r="X66" s="41">
        <f>'3. Verotulot'!AC66*100/'Veroposentin tuotto'!H66</f>
        <v>70715.294117647063</v>
      </c>
      <c r="Y66" s="41">
        <f>'3. Verotulot'!AH66*100/'Veroposentin tuotto'!I66</f>
        <v>71752.811858823523</v>
      </c>
      <c r="Z66" s="41">
        <f>'3. Verotulot'!AM66*100/'Veroposentin tuotto'!J66</f>
        <v>75792.972894117658</v>
      </c>
      <c r="AA66" s="41">
        <f>'3. Verotulot'!AR66*100/'Veroposentin tuotto'!K66</f>
        <v>92735.484668989564</v>
      </c>
      <c r="AB66" s="41">
        <f>'3. Verotulot'!AW66*100/'Veroposentin tuotto'!L66</f>
        <v>88515.344116084481</v>
      </c>
      <c r="AC66" s="41">
        <f>'3. Verotulot'!BB66*100/'Veroposentin tuotto'!M66</f>
        <v>89776.128306595012</v>
      </c>
      <c r="AD66" s="41">
        <f>'3. Verotulot'!BG66*100/'Veroposentin tuotto'!N66</f>
        <v>91534.005631863241</v>
      </c>
      <c r="AE66" s="41">
        <f>'3. Verotulot'!BL66*100/'Veroposentin tuotto'!O66</f>
        <v>92980.044925855182</v>
      </c>
      <c r="AF66" s="41">
        <f>'3. Verotulot'!BQ66*100/'Veroposentin tuotto'!P66</f>
        <v>94788.832041148693</v>
      </c>
      <c r="AI66" s="41">
        <f>'3. Verotulot'!D66/'Veroposentin tuotto'!C66</f>
        <v>725.15733333333333</v>
      </c>
      <c r="AJ66" s="41">
        <f>'3. Verotulot'!I66/'Veroposentin tuotto'!D66</f>
        <v>707.85185185185185</v>
      </c>
      <c r="AK66" s="41">
        <f>'3. Verotulot'!N66/'Veroposentin tuotto'!E66</f>
        <v>710.79518072289159</v>
      </c>
      <c r="AL66" s="41">
        <f>'3. Verotulot'!S66/'Veroposentin tuotto'!F66</f>
        <v>660.48192771084337</v>
      </c>
      <c r="AM66" s="41">
        <f>'3. Verotulot'!X66/'Veroposentin tuotto'!G66</f>
        <v>678.91764705882349</v>
      </c>
      <c r="AN66" s="41">
        <f>'3. Verotulot'!AC66/'Veroposentin tuotto'!H66</f>
        <v>707.15294117647056</v>
      </c>
      <c r="AO66" s="41">
        <f>'3. Verotulot'!AH66/'Veroposentin tuotto'!I66</f>
        <v>717.52811858823532</v>
      </c>
      <c r="AP66" s="41">
        <f>'3. Verotulot'!AM66/'Veroposentin tuotto'!J66</f>
        <v>757.92972894117645</v>
      </c>
      <c r="AQ66" s="41">
        <f>'3. Verotulot'!AR66/'Veroposentin tuotto'!K66</f>
        <v>927.35484668989557</v>
      </c>
      <c r="AR66" s="41">
        <f>'3. Verotulot'!AW66/'Veroposentin tuotto'!L66</f>
        <v>885.15344116084475</v>
      </c>
      <c r="AS66" s="41">
        <f>'3. Verotulot'!BB66/'Veroposentin tuotto'!M66</f>
        <v>897.76128306595012</v>
      </c>
      <c r="AT66" s="41">
        <f>'3. Verotulot'!BG66/'Veroposentin tuotto'!N66</f>
        <v>915.34005631863238</v>
      </c>
      <c r="AU66" s="41">
        <f>'3. Verotulot'!BL66/'Veroposentin tuotto'!O66</f>
        <v>929.80044925855191</v>
      </c>
      <c r="AV66" s="41">
        <f>'3. Verotulot'!BQ66/'Veroposentin tuotto'!P66</f>
        <v>947.88832041148692</v>
      </c>
      <c r="AX66" s="146"/>
      <c r="AZ66" s="34">
        <v>171</v>
      </c>
      <c r="BA66" s="88" t="s">
        <v>380</v>
      </c>
      <c r="BB66" s="41">
        <f>AI66/'1. Väestöennuste'!E66*1000</f>
        <v>141.90945857795174</v>
      </c>
      <c r="BC66" s="41">
        <f>AJ66/'1. Väestöennuste'!F66*1000</f>
        <v>140.47466796028019</v>
      </c>
      <c r="BD66" s="41">
        <f>AK66/'1. Väestöennuste'!G66*1000</f>
        <v>144.55871074291062</v>
      </c>
      <c r="BE66" s="41">
        <f>AL66/'1. Väestöennuste'!H66*1000</f>
        <v>137.25725846027501</v>
      </c>
      <c r="BF66" s="41">
        <f>AM66/'1. Väestöennuste'!I66*1000</f>
        <v>142.42031614407875</v>
      </c>
      <c r="BG66" s="41">
        <f>AN66/'1. Väestöennuste'!J66*1000</f>
        <v>150.81103458657935</v>
      </c>
      <c r="BH66" s="41">
        <f>AO66/'1. Väestöennuste'!K66*1000</f>
        <v>155.1747661306737</v>
      </c>
      <c r="BI66" s="41">
        <f>AP66/'1. Väestöennuste'!L66*1000</f>
        <v>166.94487421611817</v>
      </c>
      <c r="BJ66" s="41">
        <f>AQ66/'1. Väestöennuste'!M66*1000</f>
        <v>202.03809296076156</v>
      </c>
      <c r="BK66" s="41">
        <f>AR66/'1. Väestöennuste'!N66*1000</f>
        <v>201.12552628058279</v>
      </c>
      <c r="BL66" s="41">
        <f>AS66/'1. Väestöennuste'!O66*1000</f>
        <v>207.33516929929564</v>
      </c>
      <c r="BM66" s="41">
        <f>AT66/'1. Väestöennuste'!P66*1000</f>
        <v>214.81813102995361</v>
      </c>
      <c r="BN66" s="41">
        <f>AU66/'1. Väestöennuste'!Q66*1000</f>
        <v>221.64492235007197</v>
      </c>
      <c r="BO66" s="41">
        <f>AV66/'1. Väestöennuste'!R66*1000</f>
        <v>229.67974810067528</v>
      </c>
    </row>
    <row r="67" spans="1:67" x14ac:dyDescent="0.25">
      <c r="A67" s="30">
        <v>172</v>
      </c>
      <c r="B67" s="47" t="s">
        <v>381</v>
      </c>
      <c r="C67" s="47">
        <v>21</v>
      </c>
      <c r="D67" s="47">
        <v>21</v>
      </c>
      <c r="E67" s="47">
        <v>21</v>
      </c>
      <c r="F67" s="47">
        <v>21</v>
      </c>
      <c r="G67" s="47">
        <v>21</v>
      </c>
      <c r="H67" s="58">
        <v>21</v>
      </c>
      <c r="I67" s="139">
        <v>21</v>
      </c>
      <c r="J67" s="139">
        <v>21</v>
      </c>
      <c r="K67" s="139">
        <f t="shared" si="2"/>
        <v>8.36</v>
      </c>
      <c r="L67" s="139">
        <v>9</v>
      </c>
      <c r="M67" s="139">
        <f t="shared" si="5"/>
        <v>9</v>
      </c>
      <c r="N67" s="147">
        <f t="shared" si="5"/>
        <v>9</v>
      </c>
      <c r="O67" s="147">
        <f t="shared" si="5"/>
        <v>9</v>
      </c>
      <c r="P67" s="147">
        <f t="shared" si="5"/>
        <v>9</v>
      </c>
      <c r="Q67" s="147"/>
      <c r="S67" s="41">
        <f>'3. Verotulot'!D67*100/'Veroposentin tuotto'!C67</f>
        <v>57775.61295238095</v>
      </c>
      <c r="T67" s="41">
        <f>'3. Verotulot'!I67*100/'Veroposentin tuotto'!D67</f>
        <v>58376.190476190473</v>
      </c>
      <c r="U67" s="41">
        <f>'3. Verotulot'!N67*100/'Veroposentin tuotto'!E67</f>
        <v>58876.190476190473</v>
      </c>
      <c r="V67" s="41">
        <f>'3. Verotulot'!S67*100/'Veroposentin tuotto'!F67</f>
        <v>55561.904761904763</v>
      </c>
      <c r="W67" s="41">
        <f>'3. Verotulot'!X67*100/'Veroposentin tuotto'!G67</f>
        <v>57980.952380952382</v>
      </c>
      <c r="X67" s="41">
        <f>'3. Verotulot'!AC67*100/'Veroposentin tuotto'!H67</f>
        <v>55857.142857142855</v>
      </c>
      <c r="Y67" s="41">
        <f>'3. Verotulot'!AH67*100/'Veroposentin tuotto'!I67</f>
        <v>56577.389190476191</v>
      </c>
      <c r="Z67" s="41">
        <f>'3. Verotulot'!AM67*100/'Veroposentin tuotto'!J67</f>
        <v>57087.706857142861</v>
      </c>
      <c r="AA67" s="41">
        <f>'3. Verotulot'!AR67*100/'Veroposentin tuotto'!K67</f>
        <v>73480.729306220106</v>
      </c>
      <c r="AB67" s="41">
        <f>'3. Verotulot'!AW67*100/'Veroposentin tuotto'!L67</f>
        <v>66873.90209607713</v>
      </c>
      <c r="AC67" s="41">
        <f>'3. Verotulot'!BB67*100/'Veroposentin tuotto'!M67</f>
        <v>70547.382621830431</v>
      </c>
      <c r="AD67" s="41">
        <f>'3. Verotulot'!BG67*100/'Veroposentin tuotto'!N67</f>
        <v>72467.868316879205</v>
      </c>
      <c r="AE67" s="41">
        <f>'3. Verotulot'!BL67*100/'Veroposentin tuotto'!O67</f>
        <v>74041.397160482506</v>
      </c>
      <c r="AF67" s="41">
        <f>'3. Verotulot'!BQ67*100/'Veroposentin tuotto'!P67</f>
        <v>76249.530687511797</v>
      </c>
      <c r="AI67" s="41">
        <f>'3. Verotulot'!D67/'Veroposentin tuotto'!C67</f>
        <v>577.75612952380959</v>
      </c>
      <c r="AJ67" s="41">
        <f>'3. Verotulot'!I67/'Veroposentin tuotto'!D67</f>
        <v>583.76190476190482</v>
      </c>
      <c r="AK67" s="41">
        <f>'3. Verotulot'!N67/'Veroposentin tuotto'!E67</f>
        <v>588.76190476190482</v>
      </c>
      <c r="AL67" s="41">
        <f>'3. Verotulot'!S67/'Veroposentin tuotto'!F67</f>
        <v>555.61904761904759</v>
      </c>
      <c r="AM67" s="41">
        <f>'3. Verotulot'!X67/'Veroposentin tuotto'!G67</f>
        <v>579.80952380952385</v>
      </c>
      <c r="AN67" s="41">
        <f>'3. Verotulot'!AC67/'Veroposentin tuotto'!H67</f>
        <v>558.57142857142856</v>
      </c>
      <c r="AO67" s="41">
        <f>'3. Verotulot'!AH67/'Veroposentin tuotto'!I67</f>
        <v>565.77389190476185</v>
      </c>
      <c r="AP67" s="41">
        <f>'3. Verotulot'!AM67/'Veroposentin tuotto'!J67</f>
        <v>570.87706857142859</v>
      </c>
      <c r="AQ67" s="41">
        <f>'3. Verotulot'!AR67/'Veroposentin tuotto'!K67</f>
        <v>734.80729306220098</v>
      </c>
      <c r="AR67" s="41">
        <f>'3. Verotulot'!AW67/'Veroposentin tuotto'!L67</f>
        <v>668.73902096077131</v>
      </c>
      <c r="AS67" s="41">
        <f>'3. Verotulot'!BB67/'Veroposentin tuotto'!M67</f>
        <v>705.47382621830434</v>
      </c>
      <c r="AT67" s="41">
        <f>'3. Verotulot'!BG67/'Veroposentin tuotto'!N67</f>
        <v>724.67868316879208</v>
      </c>
      <c r="AU67" s="41">
        <f>'3. Verotulot'!BL67/'Veroposentin tuotto'!O67</f>
        <v>740.41397160482506</v>
      </c>
      <c r="AV67" s="41">
        <f>'3. Verotulot'!BQ67/'Veroposentin tuotto'!P67</f>
        <v>762.49530687511788</v>
      </c>
      <c r="AX67" s="146"/>
      <c r="AZ67" s="34">
        <v>172</v>
      </c>
      <c r="BA67" s="88" t="s">
        <v>381</v>
      </c>
      <c r="BB67" s="41">
        <f>AI67/'1. Väestöennuste'!E67*1000</f>
        <v>123.24149520559078</v>
      </c>
      <c r="BC67" s="41">
        <f>AJ67/'1. Väestöennuste'!F67*1000</f>
        <v>124.92229932846242</v>
      </c>
      <c r="BD67" s="41">
        <f>AK67/'1. Väestöennuste'!G67*1000</f>
        <v>128.91655457891503</v>
      </c>
      <c r="BE67" s="41">
        <f>AL67/'1. Väestöennuste'!H67*1000</f>
        <v>124.38304177726609</v>
      </c>
      <c r="BF67" s="41">
        <f>AM67/'1. Väestöennuste'!I67*1000</f>
        <v>132.46733466061775</v>
      </c>
      <c r="BG67" s="41">
        <f>AN67/'1. Väestöennuste'!J67*1000</f>
        <v>129.99102363775393</v>
      </c>
      <c r="BH67" s="41">
        <f>AO67/'1. Väestöennuste'!K67*1000</f>
        <v>132.71730985333377</v>
      </c>
      <c r="BI67" s="41">
        <f>AP67/'1. Väestöennuste'!L67*1000</f>
        <v>136.86815357742236</v>
      </c>
      <c r="BJ67" s="41">
        <f>AQ67/'1. Väestöennuste'!M67*1000</f>
        <v>180.14397966712454</v>
      </c>
      <c r="BK67" s="41">
        <f>AR67/'1. Väestöennuste'!N67*1000</f>
        <v>166.18762946341238</v>
      </c>
      <c r="BL67" s="41">
        <f>AS67/'1. Väestöennuste'!O67*1000</f>
        <v>177.79078281711298</v>
      </c>
      <c r="BM67" s="41">
        <f>AT67/'1. Väestöennuste'!P67*1000</f>
        <v>185.33981666721024</v>
      </c>
      <c r="BN67" s="41">
        <f>AU67/'1. Väestöennuste'!Q67*1000</f>
        <v>191.86679751355922</v>
      </c>
      <c r="BO67" s="41">
        <f>AV67/'1. Väestöennuste'!R67*1000</f>
        <v>200.07748802810755</v>
      </c>
    </row>
    <row r="68" spans="1:67" x14ac:dyDescent="0.25">
      <c r="A68" s="30">
        <v>176</v>
      </c>
      <c r="B68" s="47" t="s">
        <v>382</v>
      </c>
      <c r="C68" s="47">
        <v>20.75</v>
      </c>
      <c r="D68" s="47">
        <v>20.75</v>
      </c>
      <c r="E68" s="47">
        <v>20.75</v>
      </c>
      <c r="F68" s="47">
        <v>20.75</v>
      </c>
      <c r="G68" s="47">
        <v>20.75</v>
      </c>
      <c r="H68" s="58">
        <v>20.75</v>
      </c>
      <c r="I68" s="139">
        <v>20.75</v>
      </c>
      <c r="J68" s="139">
        <v>20.75</v>
      </c>
      <c r="K68" s="139">
        <f t="shared" si="2"/>
        <v>8.11</v>
      </c>
      <c r="L68" s="139">
        <v>8.5</v>
      </c>
      <c r="M68" s="139">
        <f t="shared" si="5"/>
        <v>8.5</v>
      </c>
      <c r="N68" s="147">
        <f t="shared" si="5"/>
        <v>8.5</v>
      </c>
      <c r="O68" s="147">
        <f t="shared" si="5"/>
        <v>8.5</v>
      </c>
      <c r="P68" s="147">
        <f t="shared" si="5"/>
        <v>8.5</v>
      </c>
      <c r="Q68" s="147"/>
      <c r="S68" s="41">
        <f>'3. Verotulot'!D68*100/'Veroposentin tuotto'!C68</f>
        <v>60056.418650602405</v>
      </c>
      <c r="T68" s="41">
        <f>'3. Verotulot'!I68*100/'Veroposentin tuotto'!D68</f>
        <v>55720.48192771084</v>
      </c>
      <c r="U68" s="41">
        <f>'3. Verotulot'!N68*100/'Veroposentin tuotto'!E68</f>
        <v>56424.096385542165</v>
      </c>
      <c r="V68" s="41">
        <f>'3. Verotulot'!S68*100/'Veroposentin tuotto'!F68</f>
        <v>52067.469879518074</v>
      </c>
      <c r="W68" s="41">
        <f>'3. Verotulot'!X68*100/'Veroposentin tuotto'!G68</f>
        <v>52838.554216867473</v>
      </c>
      <c r="X68" s="41">
        <f>'3. Verotulot'!AC68*100/'Veroposentin tuotto'!H68</f>
        <v>52809.638554216865</v>
      </c>
      <c r="Y68" s="41">
        <f>'3. Verotulot'!AH68*100/'Veroposentin tuotto'!I68</f>
        <v>55050.969638554212</v>
      </c>
      <c r="Z68" s="41">
        <f>'3. Verotulot'!AM68*100/'Veroposentin tuotto'!J68</f>
        <v>55017.769156626506</v>
      </c>
      <c r="AA68" s="41">
        <f>'3. Verotulot'!AR68*100/'Veroposentin tuotto'!K68</f>
        <v>69116.402342786692</v>
      </c>
      <c r="AB68" s="41">
        <f>'3. Verotulot'!AW68*100/'Veroposentin tuotto'!L68</f>
        <v>64054.352270809424</v>
      </c>
      <c r="AC68" s="41">
        <f>'3. Verotulot'!BB68*100/'Veroposentin tuotto'!M68</f>
        <v>66209.343075278928</v>
      </c>
      <c r="AD68" s="41">
        <f>'3. Verotulot'!BG68*100/'Veroposentin tuotto'!N68</f>
        <v>67157.458845760746</v>
      </c>
      <c r="AE68" s="41">
        <f>'3. Verotulot'!BL68*100/'Veroposentin tuotto'!O68</f>
        <v>67852.51380501216</v>
      </c>
      <c r="AF68" s="41">
        <f>'3. Verotulot'!BQ68*100/'Veroposentin tuotto'!P68</f>
        <v>69069.538344580258</v>
      </c>
      <c r="AI68" s="41">
        <f>'3. Verotulot'!D68/'Veroposentin tuotto'!C68</f>
        <v>600.56418650602404</v>
      </c>
      <c r="AJ68" s="41">
        <f>'3. Verotulot'!I68/'Veroposentin tuotto'!D68</f>
        <v>557.20481927710841</v>
      </c>
      <c r="AK68" s="41">
        <f>'3. Verotulot'!N68/'Veroposentin tuotto'!E68</f>
        <v>564.24096385542168</v>
      </c>
      <c r="AL68" s="41">
        <f>'3. Verotulot'!S68/'Veroposentin tuotto'!F68</f>
        <v>520.67469879518069</v>
      </c>
      <c r="AM68" s="41">
        <f>'3. Verotulot'!X68/'Veroposentin tuotto'!G68</f>
        <v>528.38554216867465</v>
      </c>
      <c r="AN68" s="41">
        <f>'3. Verotulot'!AC68/'Veroposentin tuotto'!H68</f>
        <v>528.09638554216872</v>
      </c>
      <c r="AO68" s="41">
        <f>'3. Verotulot'!AH68/'Veroposentin tuotto'!I68</f>
        <v>550.50969638554216</v>
      </c>
      <c r="AP68" s="41">
        <f>'3. Verotulot'!AM68/'Veroposentin tuotto'!J68</f>
        <v>550.17769156626503</v>
      </c>
      <c r="AQ68" s="41">
        <f>'3. Verotulot'!AR68/'Veroposentin tuotto'!K68</f>
        <v>691.16402342786694</v>
      </c>
      <c r="AR68" s="41">
        <f>'3. Verotulot'!AW68/'Veroposentin tuotto'!L68</f>
        <v>640.5435227080942</v>
      </c>
      <c r="AS68" s="41">
        <f>'3. Verotulot'!BB68/'Veroposentin tuotto'!M68</f>
        <v>662.09343075278923</v>
      </c>
      <c r="AT68" s="41">
        <f>'3. Verotulot'!BG68/'Veroposentin tuotto'!N68</f>
        <v>671.57458845760743</v>
      </c>
      <c r="AU68" s="41">
        <f>'3. Verotulot'!BL68/'Veroposentin tuotto'!O68</f>
        <v>678.52513805012165</v>
      </c>
      <c r="AV68" s="41">
        <f>'3. Verotulot'!BQ68/'Veroposentin tuotto'!P68</f>
        <v>690.69538344580258</v>
      </c>
      <c r="AX68" s="146"/>
      <c r="AZ68" s="34">
        <v>176</v>
      </c>
      <c r="BA68" s="88" t="s">
        <v>382</v>
      </c>
      <c r="BB68" s="41">
        <f>AI68/'1. Väestöennuste'!E68*1000</f>
        <v>119.30158651291697</v>
      </c>
      <c r="BC68" s="41">
        <f>AJ68/'1. Väestöennuste'!F68*1000</f>
        <v>112.8401821136307</v>
      </c>
      <c r="BD68" s="41">
        <f>AK68/'1. Väestöennuste'!G68*1000</f>
        <v>117.13534645119819</v>
      </c>
      <c r="BE68" s="41">
        <f>AL68/'1. Väestöennuste'!H68*1000</f>
        <v>110.57012078895322</v>
      </c>
      <c r="BF68" s="41">
        <f>AM68/'1. Väestöennuste'!I68*1000</f>
        <v>114.71679161282557</v>
      </c>
      <c r="BG68" s="41">
        <f>AN68/'1. Väestöennuste'!J68*1000</f>
        <v>116.65482340229042</v>
      </c>
      <c r="BH68" s="41">
        <f>AO68/'1. Väestöennuste'!K68*1000</f>
        <v>123.87706939368636</v>
      </c>
      <c r="BI68" s="41">
        <f>AP68/'1. Väestöennuste'!L68*1000</f>
        <v>126.41950633416016</v>
      </c>
      <c r="BJ68" s="41">
        <f>AQ68/'1. Väestöennuste'!M68*1000</f>
        <v>162.28317056301174</v>
      </c>
      <c r="BK68" s="41">
        <f>AR68/'1. Väestöennuste'!N68*1000</f>
        <v>153.64440458337592</v>
      </c>
      <c r="BL68" s="41">
        <f>AS68/'1. Väestöennuste'!O68*1000</f>
        <v>162.03950826059452</v>
      </c>
      <c r="BM68" s="41">
        <f>AT68/'1. Väestöennuste'!P68*1000</f>
        <v>167.68404206182458</v>
      </c>
      <c r="BN68" s="41">
        <f>AU68/'1. Väestöennuste'!Q68*1000</f>
        <v>172.47715761314737</v>
      </c>
      <c r="BO68" s="41">
        <f>AV68/'1. Väestöennuste'!R68*1000</f>
        <v>178.70514448791789</v>
      </c>
    </row>
    <row r="69" spans="1:67" x14ac:dyDescent="0.25">
      <c r="A69" s="30">
        <v>177</v>
      </c>
      <c r="B69" s="47" t="s">
        <v>383</v>
      </c>
      <c r="C69" s="47">
        <v>21</v>
      </c>
      <c r="D69" s="47">
        <v>21</v>
      </c>
      <c r="E69" s="47">
        <v>21</v>
      </c>
      <c r="F69" s="47">
        <v>21</v>
      </c>
      <c r="G69" s="47">
        <v>21</v>
      </c>
      <c r="H69" s="58">
        <v>21</v>
      </c>
      <c r="I69" s="139">
        <v>21</v>
      </c>
      <c r="J69" s="139">
        <v>21</v>
      </c>
      <c r="K69" s="139">
        <f t="shared" si="2"/>
        <v>8.36</v>
      </c>
      <c r="L69" s="139">
        <v>8.4</v>
      </c>
      <c r="M69" s="139">
        <f t="shared" si="5"/>
        <v>8.4</v>
      </c>
      <c r="N69" s="147">
        <f t="shared" si="5"/>
        <v>8.4</v>
      </c>
      <c r="O69" s="147">
        <f t="shared" si="5"/>
        <v>8.4</v>
      </c>
      <c r="P69" s="147">
        <f t="shared" si="5"/>
        <v>8.4</v>
      </c>
      <c r="Q69" s="147"/>
      <c r="S69" s="41">
        <f>'3. Verotulot'!D69*100/'Veroposentin tuotto'!C69</f>
        <v>28508.862904761907</v>
      </c>
      <c r="T69" s="41">
        <f>'3. Verotulot'!I69*100/'Veroposentin tuotto'!D69</f>
        <v>26709.523809523809</v>
      </c>
      <c r="U69" s="41">
        <f>'3. Verotulot'!N69*100/'Veroposentin tuotto'!E69</f>
        <v>27176.190476190477</v>
      </c>
      <c r="V69" s="41">
        <f>'3. Verotulot'!S69*100/'Veroposentin tuotto'!F69</f>
        <v>25828.571428571428</v>
      </c>
      <c r="W69" s="41">
        <f>'3. Verotulot'!X69*100/'Veroposentin tuotto'!G69</f>
        <v>26390.476190476191</v>
      </c>
      <c r="X69" s="41">
        <f>'3. Verotulot'!AC69*100/'Veroposentin tuotto'!H69</f>
        <v>25961.904761904763</v>
      </c>
      <c r="Y69" s="41">
        <f>'3. Verotulot'!AH69*100/'Veroposentin tuotto'!I69</f>
        <v>27441.641333333333</v>
      </c>
      <c r="Z69" s="41">
        <f>'3. Verotulot'!AM69*100/'Veroposentin tuotto'!J69</f>
        <v>28687.959857142858</v>
      </c>
      <c r="AA69" s="41">
        <f>'3. Verotulot'!AR69*100/'Veroposentin tuotto'!K69</f>
        <v>32240.085287081343</v>
      </c>
      <c r="AB69" s="41">
        <f>'3. Verotulot'!AW69*100/'Veroposentin tuotto'!L69</f>
        <v>31343.378292332378</v>
      </c>
      <c r="AC69" s="41">
        <f>'3. Verotulot'!BB69*100/'Veroposentin tuotto'!M69</f>
        <v>32997.24960109697</v>
      </c>
      <c r="AD69" s="41">
        <f>'3. Verotulot'!BG69*100/'Veroposentin tuotto'!N69</f>
        <v>33815.55722903549</v>
      </c>
      <c r="AE69" s="41">
        <f>'3. Verotulot'!BL69*100/'Veroposentin tuotto'!O69</f>
        <v>34581.626961160706</v>
      </c>
      <c r="AF69" s="41">
        <f>'3. Verotulot'!BQ69*100/'Veroposentin tuotto'!P69</f>
        <v>35577.99459565321</v>
      </c>
      <c r="AI69" s="41">
        <f>'3. Verotulot'!D69/'Veroposentin tuotto'!C69</f>
        <v>285.08862904761907</v>
      </c>
      <c r="AJ69" s="41">
        <f>'3. Verotulot'!I69/'Veroposentin tuotto'!D69</f>
        <v>267.09523809523807</v>
      </c>
      <c r="AK69" s="41">
        <f>'3. Verotulot'!N69/'Veroposentin tuotto'!E69</f>
        <v>271.76190476190476</v>
      </c>
      <c r="AL69" s="41">
        <f>'3. Verotulot'!S69/'Veroposentin tuotto'!F69</f>
        <v>258.28571428571428</v>
      </c>
      <c r="AM69" s="41">
        <f>'3. Verotulot'!X69/'Veroposentin tuotto'!G69</f>
        <v>263.90476190476193</v>
      </c>
      <c r="AN69" s="41">
        <f>'3. Verotulot'!AC69/'Veroposentin tuotto'!H69</f>
        <v>259.61904761904759</v>
      </c>
      <c r="AO69" s="41">
        <f>'3. Verotulot'!AH69/'Veroposentin tuotto'!I69</f>
        <v>274.41641333333331</v>
      </c>
      <c r="AP69" s="41">
        <f>'3. Verotulot'!AM69/'Veroposentin tuotto'!J69</f>
        <v>286.87959857142857</v>
      </c>
      <c r="AQ69" s="41">
        <f>'3. Verotulot'!AR69/'Veroposentin tuotto'!K69</f>
        <v>322.40085287081342</v>
      </c>
      <c r="AR69" s="41">
        <f>'3. Verotulot'!AW69/'Veroposentin tuotto'!L69</f>
        <v>313.4337829233238</v>
      </c>
      <c r="AS69" s="41">
        <f>'3. Verotulot'!BB69/'Veroposentin tuotto'!M69</f>
        <v>329.97249601096968</v>
      </c>
      <c r="AT69" s="41">
        <f>'3. Verotulot'!BG69/'Veroposentin tuotto'!N69</f>
        <v>338.15557229035488</v>
      </c>
      <c r="AU69" s="41">
        <f>'3. Verotulot'!BL69/'Veroposentin tuotto'!O69</f>
        <v>345.81626961160708</v>
      </c>
      <c r="AV69" s="41">
        <f>'3. Verotulot'!BQ69/'Veroposentin tuotto'!P69</f>
        <v>355.77994595653212</v>
      </c>
      <c r="AX69" s="146"/>
      <c r="AZ69" s="34">
        <v>177</v>
      </c>
      <c r="BA69" s="88" t="s">
        <v>383</v>
      </c>
      <c r="BB69" s="41">
        <f>AI69/'1. Väestöennuste'!E69*1000</f>
        <v>143.40474298169971</v>
      </c>
      <c r="BC69" s="41">
        <f>AJ69/'1. Väestöennuste'!F69*1000</f>
        <v>136.48198165316202</v>
      </c>
      <c r="BD69" s="41">
        <f>AK69/'1. Väestöennuste'!G69*1000</f>
        <v>142.73209283713487</v>
      </c>
      <c r="BE69" s="41">
        <f>AL69/'1. Väestöennuste'!H69*1000</f>
        <v>137.09432817713071</v>
      </c>
      <c r="BF69" s="41">
        <f>AM69/'1. Väestöennuste'!I69*1000</f>
        <v>143.11538064249564</v>
      </c>
      <c r="BG69" s="41">
        <f>AN69/'1. Väestöennuste'!J69*1000</f>
        <v>144.2328042328042</v>
      </c>
      <c r="BH69" s="41">
        <f>AO69/'1. Väestöennuste'!K69*1000</f>
        <v>153.64860768943635</v>
      </c>
      <c r="BI69" s="41">
        <f>AP69/'1. Väestöennuste'!L69*1000</f>
        <v>162.26221638655463</v>
      </c>
      <c r="BJ69" s="41">
        <f>AQ69/'1. Väestöennuste'!M69*1000</f>
        <v>188.7592815402889</v>
      </c>
      <c r="BK69" s="41">
        <f>AR69/'1. Väestöennuste'!N69*1000</f>
        <v>187.23642946435115</v>
      </c>
      <c r="BL69" s="41">
        <f>AS69/'1. Väestöennuste'!O69*1000</f>
        <v>200.34759927806294</v>
      </c>
      <c r="BM69" s="41">
        <f>AT69/'1. Väestöennuste'!P69*1000</f>
        <v>208.4806241000955</v>
      </c>
      <c r="BN69" s="41">
        <f>AU69/'1. Väestöennuste'!Q69*1000</f>
        <v>216.13516850725443</v>
      </c>
      <c r="BO69" s="41">
        <f>AV69/'1. Väestöennuste'!R69*1000</f>
        <v>225.46257665179476</v>
      </c>
    </row>
    <row r="70" spans="1:67" x14ac:dyDescent="0.25">
      <c r="A70" s="30">
        <v>178</v>
      </c>
      <c r="B70" s="47" t="s">
        <v>384</v>
      </c>
      <c r="C70" s="47">
        <v>19.75</v>
      </c>
      <c r="D70" s="47">
        <v>19.75</v>
      </c>
      <c r="E70" s="47">
        <v>19.75</v>
      </c>
      <c r="F70" s="47">
        <v>20.75</v>
      </c>
      <c r="G70" s="47">
        <v>20.75</v>
      </c>
      <c r="H70" s="58">
        <v>20.75</v>
      </c>
      <c r="I70" s="139">
        <v>20.75</v>
      </c>
      <c r="J70" s="139">
        <v>20.75</v>
      </c>
      <c r="K70" s="139">
        <f t="shared" si="2"/>
        <v>8.11</v>
      </c>
      <c r="L70" s="139">
        <v>8.1</v>
      </c>
      <c r="M70" s="139">
        <f t="shared" si="5"/>
        <v>8.1</v>
      </c>
      <c r="N70" s="147">
        <f t="shared" si="5"/>
        <v>8.1</v>
      </c>
      <c r="O70" s="147">
        <f t="shared" si="5"/>
        <v>8.1</v>
      </c>
      <c r="P70" s="147">
        <f t="shared" si="5"/>
        <v>8.1</v>
      </c>
      <c r="Q70" s="147"/>
      <c r="S70" s="41">
        <f>'3. Verotulot'!D70*100/'Veroposentin tuotto'!C70</f>
        <v>80450.157063291132</v>
      </c>
      <c r="T70" s="41">
        <f>'3. Verotulot'!I70*100/'Veroposentin tuotto'!D70</f>
        <v>78197.468354430384</v>
      </c>
      <c r="U70" s="41">
        <f>'3. Verotulot'!N70*100/'Veroposentin tuotto'!E70</f>
        <v>77164.556962025323</v>
      </c>
      <c r="V70" s="41">
        <f>'3. Verotulot'!S70*100/'Veroposentin tuotto'!F70</f>
        <v>75007.22891566265</v>
      </c>
      <c r="W70" s="41">
        <f>'3. Verotulot'!X70*100/'Veroposentin tuotto'!G70</f>
        <v>75826.506024096379</v>
      </c>
      <c r="X70" s="41">
        <f>'3. Verotulot'!AC70*100/'Veroposentin tuotto'!H70</f>
        <v>76472.289156626503</v>
      </c>
      <c r="Y70" s="41">
        <f>'3. Verotulot'!AH70*100/'Veroposentin tuotto'!I70</f>
        <v>79076.119180722904</v>
      </c>
      <c r="Z70" s="41">
        <f>'3. Verotulot'!AM70*100/'Veroposentin tuotto'!J70</f>
        <v>80652.149686746998</v>
      </c>
      <c r="AA70" s="41">
        <f>'3. Verotulot'!AR70*100/'Veroposentin tuotto'!K70</f>
        <v>102339.37644882861</v>
      </c>
      <c r="AB70" s="41">
        <f>'3. Verotulot'!AW70*100/'Veroposentin tuotto'!L70</f>
        <v>95868.309497561437</v>
      </c>
      <c r="AC70" s="41">
        <f>'3. Verotulot'!BB70*100/'Veroposentin tuotto'!M70</f>
        <v>98829.079754103062</v>
      </c>
      <c r="AD70" s="41">
        <f>'3. Verotulot'!BG70*100/'Veroposentin tuotto'!N70</f>
        <v>100996.08602091516</v>
      </c>
      <c r="AE70" s="41">
        <f>'3. Verotulot'!BL70*100/'Veroposentin tuotto'!O70</f>
        <v>102788.38732859438</v>
      </c>
      <c r="AF70" s="41">
        <f>'3. Verotulot'!BQ70*100/'Veroposentin tuotto'!P70</f>
        <v>105244.74687574888</v>
      </c>
      <c r="AI70" s="41">
        <f>'3. Verotulot'!D70/'Veroposentin tuotto'!C70</f>
        <v>804.50157063291147</v>
      </c>
      <c r="AJ70" s="41">
        <f>'3. Verotulot'!I70/'Veroposentin tuotto'!D70</f>
        <v>781.97468354430384</v>
      </c>
      <c r="AK70" s="41">
        <f>'3. Verotulot'!N70/'Veroposentin tuotto'!E70</f>
        <v>771.64556962025313</v>
      </c>
      <c r="AL70" s="41">
        <f>'3. Verotulot'!S70/'Veroposentin tuotto'!F70</f>
        <v>750.07228915662654</v>
      </c>
      <c r="AM70" s="41">
        <f>'3. Verotulot'!X70/'Veroposentin tuotto'!G70</f>
        <v>758.26506024096386</v>
      </c>
      <c r="AN70" s="41">
        <f>'3. Verotulot'!AC70/'Veroposentin tuotto'!H70</f>
        <v>764.72289156626505</v>
      </c>
      <c r="AO70" s="41">
        <f>'3. Verotulot'!AH70/'Veroposentin tuotto'!I70</f>
        <v>790.76119180722901</v>
      </c>
      <c r="AP70" s="41">
        <f>'3. Verotulot'!AM70/'Veroposentin tuotto'!J70</f>
        <v>806.52149686746998</v>
      </c>
      <c r="AQ70" s="41">
        <f>'3. Verotulot'!AR70/'Veroposentin tuotto'!K70</f>
        <v>1023.3937644882861</v>
      </c>
      <c r="AR70" s="41">
        <f>'3. Verotulot'!AW70/'Veroposentin tuotto'!L70</f>
        <v>958.68309497561427</v>
      </c>
      <c r="AS70" s="41">
        <f>'3. Verotulot'!BB70/'Veroposentin tuotto'!M70</f>
        <v>988.29079754103054</v>
      </c>
      <c r="AT70" s="41">
        <f>'3. Verotulot'!BG70/'Veroposentin tuotto'!N70</f>
        <v>1009.9608602091515</v>
      </c>
      <c r="AU70" s="41">
        <f>'3. Verotulot'!BL70/'Veroposentin tuotto'!O70</f>
        <v>1027.8838732859438</v>
      </c>
      <c r="AV70" s="41">
        <f>'3. Verotulot'!BQ70/'Veroposentin tuotto'!P70</f>
        <v>1052.4474687574889</v>
      </c>
      <c r="AX70" s="146"/>
      <c r="AZ70" s="34">
        <v>178</v>
      </c>
      <c r="BA70" s="88" t="s">
        <v>384</v>
      </c>
      <c r="BB70" s="41">
        <f>AI70/'1. Väestöennuste'!E70*1000</f>
        <v>122.86218244241165</v>
      </c>
      <c r="BC70" s="41">
        <f>AJ70/'1. Väestöennuste'!F70*1000</f>
        <v>121.78394074821739</v>
      </c>
      <c r="BD70" s="41">
        <f>AK70/'1. Väestöennuste'!G70*1000</f>
        <v>121.8259503663172</v>
      </c>
      <c r="BE70" s="41">
        <f>AL70/'1. Väestöennuste'!H70*1000</f>
        <v>120.49354042676731</v>
      </c>
      <c r="BF70" s="41">
        <f>AM70/'1. Väestöennuste'!I70*1000</f>
        <v>123.98055268818898</v>
      </c>
      <c r="BG70" s="41">
        <f>AN70/'1. Väestöennuste'!J70*1000</f>
        <v>128.91485023032115</v>
      </c>
      <c r="BH70" s="41">
        <f>AO70/'1. Väestöennuste'!K70*1000</f>
        <v>134.32328721033275</v>
      </c>
      <c r="BI70" s="41">
        <f>AP70/'1. Väestöennuste'!L70*1000</f>
        <v>139.80265156309065</v>
      </c>
      <c r="BJ70" s="41">
        <f>AQ70/'1. Väestöennuste'!M70*1000</f>
        <v>178.47815913642938</v>
      </c>
      <c r="BK70" s="41">
        <f>AR70/'1. Väestöennuste'!N70*1000</f>
        <v>173.61157098435609</v>
      </c>
      <c r="BL70" s="41">
        <f>AS70/'1. Väestöennuste'!O70*1000</f>
        <v>181.9051716438488</v>
      </c>
      <c r="BM70" s="41">
        <f>AT70/'1. Väestöennuste'!P70*1000</f>
        <v>188.88364694392212</v>
      </c>
      <c r="BN70" s="41">
        <f>AU70/'1. Väestöennuste'!Q70*1000</f>
        <v>195.08139557524078</v>
      </c>
      <c r="BO70" s="41">
        <f>AV70/'1. Väestöennuste'!R70*1000</f>
        <v>202.66656436693413</v>
      </c>
    </row>
    <row r="71" spans="1:67" x14ac:dyDescent="0.25">
      <c r="A71" s="30">
        <v>179</v>
      </c>
      <c r="B71" s="47" t="s">
        <v>385</v>
      </c>
      <c r="C71" s="47">
        <v>20</v>
      </c>
      <c r="D71" s="47">
        <v>20</v>
      </c>
      <c r="E71" s="47">
        <v>20</v>
      </c>
      <c r="F71" s="47">
        <v>20</v>
      </c>
      <c r="G71" s="47">
        <v>20</v>
      </c>
      <c r="H71" s="58">
        <v>20</v>
      </c>
      <c r="I71" s="139">
        <v>20</v>
      </c>
      <c r="J71" s="139">
        <v>20</v>
      </c>
      <c r="K71" s="139">
        <f t="shared" si="2"/>
        <v>7.3599999999999994</v>
      </c>
      <c r="L71" s="139">
        <v>8</v>
      </c>
      <c r="M71" s="139">
        <f t="shared" si="5"/>
        <v>8</v>
      </c>
      <c r="N71" s="147">
        <f t="shared" si="5"/>
        <v>8</v>
      </c>
      <c r="O71" s="147">
        <f t="shared" si="5"/>
        <v>8</v>
      </c>
      <c r="P71" s="147">
        <f t="shared" si="5"/>
        <v>8</v>
      </c>
      <c r="Q71" s="147"/>
      <c r="S71" s="41">
        <f>'3. Verotulot'!D71*100/'Veroposentin tuotto'!C71</f>
        <v>2135206.3405999998</v>
      </c>
      <c r="T71" s="41">
        <f>'3. Verotulot'!I71*100/'Veroposentin tuotto'!D71</f>
        <v>2195725</v>
      </c>
      <c r="U71" s="41">
        <f>'3. Verotulot'!N71*100/'Veroposentin tuotto'!E71</f>
        <v>2201300</v>
      </c>
      <c r="V71" s="41">
        <f>'3. Verotulot'!S71*100/'Veroposentin tuotto'!F71</f>
        <v>2194105</v>
      </c>
      <c r="W71" s="41">
        <f>'3. Verotulot'!X71*100/'Veroposentin tuotto'!G71</f>
        <v>2240935</v>
      </c>
      <c r="X71" s="41">
        <f>'3. Verotulot'!AC71*100/'Veroposentin tuotto'!H71</f>
        <v>2363135</v>
      </c>
      <c r="Y71" s="41">
        <f>'3. Verotulot'!AH71*100/'Veroposentin tuotto'!I71</f>
        <v>2439490.9989999998</v>
      </c>
      <c r="Z71" s="41">
        <f>'3. Verotulot'!AM71*100/'Veroposentin tuotto'!J71</f>
        <v>2520360.6864499999</v>
      </c>
      <c r="AA71" s="41">
        <f>'3. Verotulot'!AR71*100/'Veroposentin tuotto'!K71</f>
        <v>3286094.0396739133</v>
      </c>
      <c r="AB71" s="41">
        <f>'3. Verotulot'!AW71*100/'Veroposentin tuotto'!L71</f>
        <v>3089407.6443624822</v>
      </c>
      <c r="AC71" s="41">
        <f>'3. Verotulot'!BB71*100/'Veroposentin tuotto'!M71</f>
        <v>3303422.2301548072</v>
      </c>
      <c r="AD71" s="41">
        <f>'3. Verotulot'!BG71*100/'Veroposentin tuotto'!N71</f>
        <v>3496217.6474079811</v>
      </c>
      <c r="AE71" s="41">
        <f>'3. Verotulot'!BL71*100/'Veroposentin tuotto'!O71</f>
        <v>3663677.4967016727</v>
      </c>
      <c r="AF71" s="41">
        <f>'3. Verotulot'!BQ71*100/'Veroposentin tuotto'!P71</f>
        <v>3849927.4351562336</v>
      </c>
      <c r="AI71" s="41">
        <f>'3. Verotulot'!D71/'Veroposentin tuotto'!C71</f>
        <v>21352.063406000001</v>
      </c>
      <c r="AJ71" s="41">
        <f>'3. Verotulot'!I71/'Veroposentin tuotto'!D71</f>
        <v>21957.25</v>
      </c>
      <c r="AK71" s="41">
        <f>'3. Verotulot'!N71/'Veroposentin tuotto'!E71</f>
        <v>22013</v>
      </c>
      <c r="AL71" s="41">
        <f>'3. Verotulot'!S71/'Veroposentin tuotto'!F71</f>
        <v>21941.05</v>
      </c>
      <c r="AM71" s="41">
        <f>'3. Verotulot'!X71/'Veroposentin tuotto'!G71</f>
        <v>22409.35</v>
      </c>
      <c r="AN71" s="41">
        <f>'3. Verotulot'!AC71/'Veroposentin tuotto'!H71</f>
        <v>23631.35</v>
      </c>
      <c r="AO71" s="41">
        <f>'3. Verotulot'!AH71/'Veroposentin tuotto'!I71</f>
        <v>24394.90999</v>
      </c>
      <c r="AP71" s="41">
        <f>'3. Verotulot'!AM71/'Veroposentin tuotto'!J71</f>
        <v>25203.606864500001</v>
      </c>
      <c r="AQ71" s="41">
        <f>'3. Verotulot'!AR71/'Veroposentin tuotto'!K71</f>
        <v>32860.940396739134</v>
      </c>
      <c r="AR71" s="41">
        <f>'3. Verotulot'!AW71/'Veroposentin tuotto'!L71</f>
        <v>30894.076443624821</v>
      </c>
      <c r="AS71" s="41">
        <f>'3. Verotulot'!BB71/'Veroposentin tuotto'!M71</f>
        <v>33034.22230154807</v>
      </c>
      <c r="AT71" s="41">
        <f>'3. Verotulot'!BG71/'Veroposentin tuotto'!N71</f>
        <v>34962.17647407981</v>
      </c>
      <c r="AU71" s="41">
        <f>'3. Verotulot'!BL71/'Veroposentin tuotto'!O71</f>
        <v>36636.774967016725</v>
      </c>
      <c r="AV71" s="41">
        <f>'3. Verotulot'!BQ71/'Veroposentin tuotto'!P71</f>
        <v>38499.274351562337</v>
      </c>
      <c r="AX71" s="146"/>
      <c r="AZ71" s="34">
        <v>179</v>
      </c>
      <c r="BA71" s="88" t="s">
        <v>385</v>
      </c>
      <c r="BB71" s="41">
        <f>AI71/'1. Väestöennuste'!E71*1000</f>
        <v>155.43695333702172</v>
      </c>
      <c r="BC71" s="41">
        <f>AJ71/'1. Väestöennuste'!F71*1000</f>
        <v>158.13647821389989</v>
      </c>
      <c r="BD71" s="41">
        <f>AK71/'1. Väestöennuste'!G71*1000</f>
        <v>157.02485234114189</v>
      </c>
      <c r="BE71" s="41">
        <f>AL71/'1. Väestöennuste'!H71*1000</f>
        <v>155.27440642581649</v>
      </c>
      <c r="BF71" s="41">
        <f>AM71/'1. Väestöennuste'!I71*1000</f>
        <v>157.36903089887639</v>
      </c>
      <c r="BG71" s="41">
        <f>AN71/'1. Väestöennuste'!J71*1000</f>
        <v>164.77025519453352</v>
      </c>
      <c r="BH71" s="41">
        <f>AO71/'1. Väestöennuste'!K71*1000</f>
        <v>168.85445716500661</v>
      </c>
      <c r="BI71" s="41">
        <f>AP71/'1. Väestöennuste'!L71*1000</f>
        <v>172.76115667948483</v>
      </c>
      <c r="BJ71" s="41">
        <f>AQ71/'1. Väestöennuste'!M71*1000</f>
        <v>222.4150934491569</v>
      </c>
      <c r="BK71" s="41">
        <f>AR71/'1. Väestöennuste'!N71*1000</f>
        <v>209.35626829592539</v>
      </c>
      <c r="BL71" s="41">
        <f>AS71/'1. Väestöennuste'!O71*1000</f>
        <v>222.59807619487523</v>
      </c>
      <c r="BM71" s="41">
        <f>AT71/'1. Väestöennuste'!P71*1000</f>
        <v>234.37021266351474</v>
      </c>
      <c r="BN71" s="41">
        <f>AU71/'1. Väestöennuste'!Q71*1000</f>
        <v>244.41462725500833</v>
      </c>
      <c r="BO71" s="41">
        <f>AV71/'1. Väestöennuste'!R71*1000</f>
        <v>255.69530077349179</v>
      </c>
    </row>
    <row r="72" spans="1:67" x14ac:dyDescent="0.25">
      <c r="A72" s="30">
        <v>181</v>
      </c>
      <c r="B72" s="47" t="s">
        <v>386</v>
      </c>
      <c r="C72" s="47">
        <v>21.5</v>
      </c>
      <c r="D72" s="47">
        <v>21.5</v>
      </c>
      <c r="E72" s="47">
        <v>22.5</v>
      </c>
      <c r="F72" s="47">
        <v>22.5</v>
      </c>
      <c r="G72" s="47">
        <v>22.5</v>
      </c>
      <c r="H72" s="58">
        <v>22.5</v>
      </c>
      <c r="I72" s="139">
        <v>22.5</v>
      </c>
      <c r="J72" s="139">
        <v>22.5</v>
      </c>
      <c r="K72" s="139">
        <f t="shared" si="2"/>
        <v>9.86</v>
      </c>
      <c r="L72" s="139">
        <v>9.9</v>
      </c>
      <c r="M72" s="139">
        <f t="shared" si="5"/>
        <v>9.9</v>
      </c>
      <c r="N72" s="147">
        <f t="shared" si="5"/>
        <v>9.9</v>
      </c>
      <c r="O72" s="147">
        <f t="shared" si="5"/>
        <v>9.9</v>
      </c>
      <c r="P72" s="147">
        <f t="shared" si="5"/>
        <v>9.9</v>
      </c>
      <c r="Q72" s="147"/>
      <c r="S72" s="41">
        <f>'3. Verotulot'!D72*100/'Veroposentin tuotto'!C72</f>
        <v>24190.97772093023</v>
      </c>
      <c r="T72" s="41">
        <f>'3. Verotulot'!I72*100/'Veroposentin tuotto'!D72</f>
        <v>21902.325581395347</v>
      </c>
      <c r="U72" s="41">
        <f>'3. Verotulot'!N72*100/'Veroposentin tuotto'!E72</f>
        <v>22257.777777777777</v>
      </c>
      <c r="V72" s="41">
        <f>'3. Verotulot'!S72*100/'Veroposentin tuotto'!F72</f>
        <v>21222.222222222223</v>
      </c>
      <c r="W72" s="41">
        <f>'3. Verotulot'!X72*100/'Veroposentin tuotto'!G72</f>
        <v>22844.444444444445</v>
      </c>
      <c r="X72" s="41">
        <f>'3. Verotulot'!AC72*100/'Veroposentin tuotto'!H72</f>
        <v>22702.222222222223</v>
      </c>
      <c r="Y72" s="41">
        <f>'3. Verotulot'!AH72*100/'Veroposentin tuotto'!I72</f>
        <v>23041.073555555555</v>
      </c>
      <c r="Z72" s="41">
        <f>'3. Verotulot'!AM72*100/'Veroposentin tuotto'!J72</f>
        <v>23707.489644444446</v>
      </c>
      <c r="AA72" s="41">
        <f>'3. Verotulot'!AR72*100/'Veroposentin tuotto'!K72</f>
        <v>29097.521501014206</v>
      </c>
      <c r="AB72" s="41">
        <f>'3. Verotulot'!AW72*100/'Veroposentin tuotto'!L72</f>
        <v>27760.438299017507</v>
      </c>
      <c r="AC72" s="41">
        <f>'3. Verotulot'!BB72*100/'Veroposentin tuotto'!M72</f>
        <v>28207.234198565111</v>
      </c>
      <c r="AD72" s="41">
        <f>'3. Verotulot'!BG72*100/'Veroposentin tuotto'!N72</f>
        <v>28917.942204286446</v>
      </c>
      <c r="AE72" s="41">
        <f>'3. Verotulot'!BL72*100/'Veroposentin tuotto'!O72</f>
        <v>29354.823279912544</v>
      </c>
      <c r="AF72" s="41">
        <f>'3. Verotulot'!BQ72*100/'Veroposentin tuotto'!P72</f>
        <v>29801.451591767189</v>
      </c>
      <c r="AI72" s="41">
        <f>'3. Verotulot'!D72/'Veroposentin tuotto'!C72</f>
        <v>241.90977720930232</v>
      </c>
      <c r="AJ72" s="41">
        <f>'3. Verotulot'!I72/'Veroposentin tuotto'!D72</f>
        <v>219.02325581395348</v>
      </c>
      <c r="AK72" s="41">
        <f>'3. Verotulot'!N72/'Veroposentin tuotto'!E72</f>
        <v>222.57777777777778</v>
      </c>
      <c r="AL72" s="41">
        <f>'3. Verotulot'!S72/'Veroposentin tuotto'!F72</f>
        <v>212.22222222222223</v>
      </c>
      <c r="AM72" s="41">
        <f>'3. Verotulot'!X72/'Veroposentin tuotto'!G72</f>
        <v>228.44444444444446</v>
      </c>
      <c r="AN72" s="41">
        <f>'3. Verotulot'!AC72/'Veroposentin tuotto'!H72</f>
        <v>227.02222222222221</v>
      </c>
      <c r="AO72" s="41">
        <f>'3. Verotulot'!AH72/'Veroposentin tuotto'!I72</f>
        <v>230.41073555555553</v>
      </c>
      <c r="AP72" s="41">
        <f>'3. Verotulot'!AM72/'Veroposentin tuotto'!J72</f>
        <v>237.07489644444442</v>
      </c>
      <c r="AQ72" s="41">
        <f>'3. Verotulot'!AR72/'Veroposentin tuotto'!K72</f>
        <v>290.97521501014199</v>
      </c>
      <c r="AR72" s="41">
        <f>'3. Verotulot'!AW72/'Veroposentin tuotto'!L72</f>
        <v>277.60438299017511</v>
      </c>
      <c r="AS72" s="41">
        <f>'3. Verotulot'!BB72/'Veroposentin tuotto'!M72</f>
        <v>282.07234198565112</v>
      </c>
      <c r="AT72" s="41">
        <f>'3. Verotulot'!BG72/'Veroposentin tuotto'!N72</f>
        <v>289.17942204286442</v>
      </c>
      <c r="AU72" s="41">
        <f>'3. Verotulot'!BL72/'Veroposentin tuotto'!O72</f>
        <v>293.5482327991254</v>
      </c>
      <c r="AV72" s="41">
        <f>'3. Verotulot'!BQ72/'Veroposentin tuotto'!P72</f>
        <v>298.01451591767187</v>
      </c>
      <c r="AX72" s="146"/>
      <c r="AZ72" s="34">
        <v>181</v>
      </c>
      <c r="BA72" s="88" t="s">
        <v>386</v>
      </c>
      <c r="BB72" s="41">
        <f>AI72/'1. Väestöennuste'!E72*1000</f>
        <v>124.18366386514492</v>
      </c>
      <c r="BC72" s="41">
        <f>AJ72/'1. Väestöennuste'!F72*1000</f>
        <v>114.37245734410104</v>
      </c>
      <c r="BD72" s="41">
        <f>AK72/'1. Väestöennuste'!G72*1000</f>
        <v>119.21680652264477</v>
      </c>
      <c r="BE72" s="41">
        <f>AL72/'1. Väestöennuste'!H72*1000</f>
        <v>117.31466126159327</v>
      </c>
      <c r="BF72" s="41">
        <f>AM72/'1. Väestöennuste'!I72*1000</f>
        <v>131.36540796115264</v>
      </c>
      <c r="BG72" s="41">
        <f>AN72/'1. Väestöennuste'!J72*1000</f>
        <v>132.99485777517413</v>
      </c>
      <c r="BH72" s="41">
        <f>AO72/'1. Väestöennuste'!K72*1000</f>
        <v>136.74227629409825</v>
      </c>
      <c r="BI72" s="41">
        <f>AP72/'1. Väestöennuste'!L72*1000</f>
        <v>140.86446609889748</v>
      </c>
      <c r="BJ72" s="41">
        <f>AQ72/'1. Väestöennuste'!M72*1000</f>
        <v>172.99358799651722</v>
      </c>
      <c r="BK72" s="41">
        <f>AR72/'1. Väestöennuste'!N72*1000</f>
        <v>177.49640856149304</v>
      </c>
      <c r="BL72" s="41">
        <f>AS72/'1. Väestöennuste'!O72*1000</f>
        <v>183.76048337827436</v>
      </c>
      <c r="BM72" s="41">
        <f>AT72/'1. Väestöennuste'!P72*1000</f>
        <v>191.89079100389145</v>
      </c>
      <c r="BN72" s="41">
        <f>AU72/'1. Väestöennuste'!Q72*1000</f>
        <v>198.61179485732436</v>
      </c>
      <c r="BO72" s="41">
        <f>AV72/'1. Väestöennuste'!R72*1000</f>
        <v>205.1029015262711</v>
      </c>
    </row>
    <row r="73" spans="1:67" x14ac:dyDescent="0.25">
      <c r="A73" s="30">
        <v>182</v>
      </c>
      <c r="B73" s="47" t="s">
        <v>387</v>
      </c>
      <c r="C73" s="47">
        <v>21</v>
      </c>
      <c r="D73" s="47">
        <v>21</v>
      </c>
      <c r="E73" s="47">
        <v>21</v>
      </c>
      <c r="F73" s="47">
        <v>21</v>
      </c>
      <c r="G73" s="47">
        <v>21</v>
      </c>
      <c r="H73" s="58">
        <v>21</v>
      </c>
      <c r="I73" s="139">
        <v>21</v>
      </c>
      <c r="J73" s="139">
        <v>21</v>
      </c>
      <c r="K73" s="139">
        <f t="shared" si="2"/>
        <v>8.36</v>
      </c>
      <c r="L73" s="139">
        <v>9.4</v>
      </c>
      <c r="M73" s="139">
        <f t="shared" si="5"/>
        <v>9.4</v>
      </c>
      <c r="N73" s="147">
        <f t="shared" si="5"/>
        <v>9.4</v>
      </c>
      <c r="O73" s="147">
        <f t="shared" si="5"/>
        <v>9.4</v>
      </c>
      <c r="P73" s="147">
        <f t="shared" si="5"/>
        <v>9.4</v>
      </c>
      <c r="Q73" s="147"/>
      <c r="S73" s="41">
        <f>'3. Verotulot'!D73*100/'Veroposentin tuotto'!C73</f>
        <v>343103.76390476193</v>
      </c>
      <c r="T73" s="41">
        <f>'3. Verotulot'!I73*100/'Veroposentin tuotto'!D73</f>
        <v>342014.28571428574</v>
      </c>
      <c r="U73" s="41">
        <f>'3. Verotulot'!N73*100/'Veroposentin tuotto'!E73</f>
        <v>332809.52380952379</v>
      </c>
      <c r="V73" s="41">
        <f>'3. Verotulot'!S73*100/'Veroposentin tuotto'!F73</f>
        <v>330819.04761904763</v>
      </c>
      <c r="W73" s="41">
        <f>'3. Verotulot'!X73*100/'Veroposentin tuotto'!G73</f>
        <v>328747.61904761905</v>
      </c>
      <c r="X73" s="41">
        <f>'3. Verotulot'!AC73*100/'Veroposentin tuotto'!H73</f>
        <v>334538.09523809527</v>
      </c>
      <c r="Y73" s="41">
        <f>'3. Verotulot'!AH73*100/'Veroposentin tuotto'!I73</f>
        <v>339181.09900000005</v>
      </c>
      <c r="Z73" s="41">
        <f>'3. Verotulot'!AM73*100/'Veroposentin tuotto'!J73</f>
        <v>341542.43738095229</v>
      </c>
      <c r="AA73" s="41">
        <f>'3. Verotulot'!AR73*100/'Veroposentin tuotto'!K73</f>
        <v>393498.09389952151</v>
      </c>
      <c r="AB73" s="41">
        <f>'3. Verotulot'!AW73*100/'Veroposentin tuotto'!L73</f>
        <v>383462.68166994333</v>
      </c>
      <c r="AC73" s="41">
        <f>'3. Verotulot'!BB73*100/'Veroposentin tuotto'!M73</f>
        <v>399305.38433142431</v>
      </c>
      <c r="AD73" s="41">
        <f>'3. Verotulot'!BG73*100/'Veroposentin tuotto'!N73</f>
        <v>409590.34761355893</v>
      </c>
      <c r="AE73" s="41">
        <f>'3. Verotulot'!BL73*100/'Veroposentin tuotto'!O73</f>
        <v>417871.76576468966</v>
      </c>
      <c r="AF73" s="41">
        <f>'3. Verotulot'!BQ73*100/'Veroposentin tuotto'!P73</f>
        <v>428347.0381888547</v>
      </c>
      <c r="AI73" s="41">
        <f>'3. Verotulot'!D73/'Veroposentin tuotto'!C73</f>
        <v>3431.0376390476195</v>
      </c>
      <c r="AJ73" s="41">
        <f>'3. Verotulot'!I73/'Veroposentin tuotto'!D73</f>
        <v>3420.1428571428573</v>
      </c>
      <c r="AK73" s="41">
        <f>'3. Verotulot'!N73/'Veroposentin tuotto'!E73</f>
        <v>3328.0952380952381</v>
      </c>
      <c r="AL73" s="41">
        <f>'3. Verotulot'!S73/'Veroposentin tuotto'!F73</f>
        <v>3308.1904761904761</v>
      </c>
      <c r="AM73" s="41">
        <f>'3. Verotulot'!X73/'Veroposentin tuotto'!G73</f>
        <v>3287.4761904761904</v>
      </c>
      <c r="AN73" s="41">
        <f>'3. Verotulot'!AC73/'Veroposentin tuotto'!H73</f>
        <v>3345.3809523809523</v>
      </c>
      <c r="AO73" s="41">
        <f>'3. Verotulot'!AH73/'Veroposentin tuotto'!I73</f>
        <v>3391.8109900000004</v>
      </c>
      <c r="AP73" s="41">
        <f>'3. Verotulot'!AM73/'Veroposentin tuotto'!J73</f>
        <v>3415.4243738095233</v>
      </c>
      <c r="AQ73" s="41">
        <f>'3. Verotulot'!AR73/'Veroposentin tuotto'!K73</f>
        <v>3934.9809389952152</v>
      </c>
      <c r="AR73" s="41">
        <f>'3. Verotulot'!AW73/'Veroposentin tuotto'!L73</f>
        <v>3834.6268166994332</v>
      </c>
      <c r="AS73" s="41">
        <f>'3. Verotulot'!BB73/'Veroposentin tuotto'!M73</f>
        <v>3993.0538433142428</v>
      </c>
      <c r="AT73" s="41">
        <f>'3. Verotulot'!BG73/'Veroposentin tuotto'!N73</f>
        <v>4095.9034761355892</v>
      </c>
      <c r="AU73" s="41">
        <f>'3. Verotulot'!BL73/'Veroposentin tuotto'!O73</f>
        <v>4178.7176576468964</v>
      </c>
      <c r="AV73" s="41">
        <f>'3. Verotulot'!BQ73/'Veroposentin tuotto'!P73</f>
        <v>4283.4703818885473</v>
      </c>
      <c r="AX73" s="146"/>
      <c r="AZ73" s="34">
        <v>182</v>
      </c>
      <c r="BA73" s="88" t="s">
        <v>387</v>
      </c>
      <c r="BB73" s="41">
        <f>AI73/'1. Väestöennuste'!E73*1000</f>
        <v>159.27200998271374</v>
      </c>
      <c r="BC73" s="41">
        <f>AJ73/'1. Väestöennuste'!F73*1000</f>
        <v>160.8797618487632</v>
      </c>
      <c r="BD73" s="41">
        <f>AK73/'1. Väestöennuste'!G73*1000</f>
        <v>159.41443876492013</v>
      </c>
      <c r="BE73" s="41">
        <f>AL73/'1. Väestöennuste'!H73*1000</f>
        <v>160.5372192066034</v>
      </c>
      <c r="BF73" s="41">
        <f>AM73/'1. Väestöennuste'!I73*1000</f>
        <v>162.89149690200131</v>
      </c>
      <c r="BG73" s="41">
        <f>AN73/'1. Väestöennuste'!J73*1000</f>
        <v>168.2194877246921</v>
      </c>
      <c r="BH73" s="41">
        <f>AO73/'1. Väestöennuste'!K73*1000</f>
        <v>171.58956796681341</v>
      </c>
      <c r="BI73" s="41">
        <f>AP73/'1. Väestöennuste'!L73*1000</f>
        <v>176.53508935801537</v>
      </c>
      <c r="BJ73" s="41">
        <f>AQ73/'1. Väestöennuste'!M73*1000</f>
        <v>205.13924194532453</v>
      </c>
      <c r="BK73" s="41">
        <f>AR73/'1. Väestöennuste'!N73*1000</f>
        <v>205.87494989259278</v>
      </c>
      <c r="BL73" s="41">
        <f>AS73/'1. Väestöennuste'!O73*1000</f>
        <v>217.4629040036076</v>
      </c>
      <c r="BM73" s="41">
        <f>AT73/'1. Väestöennuste'!P73*1000</f>
        <v>226.24301127571746</v>
      </c>
      <c r="BN73" s="41">
        <f>AU73/'1. Väestöennuste'!Q73*1000</f>
        <v>233.98385450735742</v>
      </c>
      <c r="BO73" s="41">
        <f>AV73/'1. Väestöennuste'!R73*1000</f>
        <v>243.11654361135973</v>
      </c>
    </row>
    <row r="74" spans="1:67" x14ac:dyDescent="0.25">
      <c r="A74" s="30">
        <v>186</v>
      </c>
      <c r="B74" s="47" t="s">
        <v>388</v>
      </c>
      <c r="C74" s="47">
        <v>19.75</v>
      </c>
      <c r="D74" s="47">
        <v>19.75</v>
      </c>
      <c r="E74" s="47">
        <v>19.75</v>
      </c>
      <c r="F74" s="47">
        <v>19.75</v>
      </c>
      <c r="G74" s="47">
        <v>19.75</v>
      </c>
      <c r="H74" s="58">
        <v>19.75</v>
      </c>
      <c r="I74" s="139">
        <v>20.25</v>
      </c>
      <c r="J74" s="139">
        <v>20.25</v>
      </c>
      <c r="K74" s="139">
        <f t="shared" si="2"/>
        <v>7.6099999999999994</v>
      </c>
      <c r="L74" s="139">
        <v>7.6</v>
      </c>
      <c r="M74" s="139">
        <f t="shared" si="5"/>
        <v>7.6</v>
      </c>
      <c r="N74" s="147">
        <f t="shared" si="5"/>
        <v>7.6</v>
      </c>
      <c r="O74" s="147">
        <f t="shared" si="5"/>
        <v>7.6</v>
      </c>
      <c r="P74" s="147">
        <f t="shared" si="5"/>
        <v>7.6</v>
      </c>
      <c r="Q74" s="147"/>
      <c r="S74" s="41">
        <f>'3. Verotulot'!D74*100/'Veroposentin tuotto'!C74</f>
        <v>803731.39260759484</v>
      </c>
      <c r="T74" s="41">
        <f>'3. Verotulot'!I74*100/'Veroposentin tuotto'!D74</f>
        <v>833635.44303797465</v>
      </c>
      <c r="U74" s="41">
        <f>'3. Verotulot'!N74*100/'Veroposentin tuotto'!E74</f>
        <v>828764.55696202535</v>
      </c>
      <c r="V74" s="41">
        <f>'3. Verotulot'!S74*100/'Veroposentin tuotto'!F74</f>
        <v>854835.44303797465</v>
      </c>
      <c r="W74" s="41">
        <f>'3. Verotulot'!X74*100/'Veroposentin tuotto'!G74</f>
        <v>883893.67088607594</v>
      </c>
      <c r="X74" s="41">
        <f>'3. Verotulot'!AC74*100/'Veroposentin tuotto'!H74</f>
        <v>926475.94936708861</v>
      </c>
      <c r="Y74" s="41">
        <f>'3. Verotulot'!AH74*100/'Veroposentin tuotto'!I74</f>
        <v>960486.22469135793</v>
      </c>
      <c r="Z74" s="41">
        <f>'3. Verotulot'!AM74*100/'Veroposentin tuotto'!J74</f>
        <v>1009500.9441975309</v>
      </c>
      <c r="AA74" s="41">
        <f>'3. Verotulot'!AR74*100/'Veroposentin tuotto'!K74</f>
        <v>1298437.0101182656</v>
      </c>
      <c r="AB74" s="41">
        <f>'3. Verotulot'!AW74*100/'Veroposentin tuotto'!L74</f>
        <v>1233823.4602018227</v>
      </c>
      <c r="AC74" s="41">
        <f>'3. Verotulot'!BB74*100/'Veroposentin tuotto'!M74</f>
        <v>1321085.0104760863</v>
      </c>
      <c r="AD74" s="41">
        <f>'3. Verotulot'!BG74*100/'Veroposentin tuotto'!N74</f>
        <v>1398328.665972604</v>
      </c>
      <c r="AE74" s="41">
        <f>'3. Verotulot'!BL74*100/'Veroposentin tuotto'!O74</f>
        <v>1467368.0617709751</v>
      </c>
      <c r="AF74" s="41">
        <f>'3. Verotulot'!BQ74*100/'Veroposentin tuotto'!P74</f>
        <v>1542855.5246781679</v>
      </c>
      <c r="AI74" s="41">
        <f>'3. Verotulot'!D74/'Veroposentin tuotto'!C74</f>
        <v>8037.313926075949</v>
      </c>
      <c r="AJ74" s="41">
        <f>'3. Verotulot'!I74/'Veroposentin tuotto'!D74</f>
        <v>8336.3544303797462</v>
      </c>
      <c r="AK74" s="41">
        <f>'3. Verotulot'!N74/'Veroposentin tuotto'!E74</f>
        <v>8287.6455696202538</v>
      </c>
      <c r="AL74" s="41">
        <f>'3. Verotulot'!S74/'Veroposentin tuotto'!F74</f>
        <v>8548.3544303797462</v>
      </c>
      <c r="AM74" s="41">
        <f>'3. Verotulot'!X74/'Veroposentin tuotto'!G74</f>
        <v>8838.9367088607596</v>
      </c>
      <c r="AN74" s="41">
        <f>'3. Verotulot'!AC74/'Veroposentin tuotto'!H74</f>
        <v>9264.7594936708865</v>
      </c>
      <c r="AO74" s="41">
        <f>'3. Verotulot'!AH74/'Veroposentin tuotto'!I74</f>
        <v>9604.8622469135789</v>
      </c>
      <c r="AP74" s="41">
        <f>'3. Verotulot'!AM74/'Veroposentin tuotto'!J74</f>
        <v>10095.00944197531</v>
      </c>
      <c r="AQ74" s="41">
        <f>'3. Verotulot'!AR74/'Veroposentin tuotto'!K74</f>
        <v>12984.370101182654</v>
      </c>
      <c r="AR74" s="41">
        <f>'3. Verotulot'!AW74/'Veroposentin tuotto'!L74</f>
        <v>12338.234602018227</v>
      </c>
      <c r="AS74" s="41">
        <f>'3. Verotulot'!BB74/'Veroposentin tuotto'!M74</f>
        <v>13210.850104760861</v>
      </c>
      <c r="AT74" s="41">
        <f>'3. Verotulot'!BG74/'Veroposentin tuotto'!N74</f>
        <v>13983.28665972604</v>
      </c>
      <c r="AU74" s="41">
        <f>'3. Verotulot'!BL74/'Veroposentin tuotto'!O74</f>
        <v>14673.68061770975</v>
      </c>
      <c r="AV74" s="41">
        <f>'3. Verotulot'!BQ74/'Veroposentin tuotto'!P74</f>
        <v>15428.555246781678</v>
      </c>
      <c r="AX74" s="146"/>
      <c r="AZ74" s="34">
        <v>186</v>
      </c>
      <c r="BA74" s="88" t="s">
        <v>388</v>
      </c>
      <c r="BB74" s="41">
        <f>AI74/'1. Väestöennuste'!E74*1000</f>
        <v>196.51134293584226</v>
      </c>
      <c r="BC74" s="41">
        <f>AJ74/'1. Väestöennuste'!F74*1000</f>
        <v>200.7357372048387</v>
      </c>
      <c r="BD74" s="41">
        <f>AK74/'1. Väestöennuste'!G74*1000</f>
        <v>194.67362514376242</v>
      </c>
      <c r="BE74" s="41">
        <f>AL74/'1. Väestöennuste'!H74*1000</f>
        <v>196.92131836857283</v>
      </c>
      <c r="BF74" s="41">
        <f>AM74/'1. Väestöennuste'!I74*1000</f>
        <v>202.21309759238542</v>
      </c>
      <c r="BG74" s="41">
        <f>AN74/'1. Väestöennuste'!J74*1000</f>
        <v>208.40759180454137</v>
      </c>
      <c r="BH74" s="41">
        <f>AO74/'1. Väestöennuste'!K74*1000</f>
        <v>212.37478987559322</v>
      </c>
      <c r="BI74" s="41">
        <f>AP74/'1. Väestöennuste'!L74*1000</f>
        <v>221.23623585306399</v>
      </c>
      <c r="BJ74" s="41">
        <f>AQ74/'1. Väestöennuste'!M74*1000</f>
        <v>279.29382880582176</v>
      </c>
      <c r="BK74" s="41">
        <f>AR74/'1. Väestöennuste'!N74*1000</f>
        <v>261.62499156103109</v>
      </c>
      <c r="BL74" s="41">
        <f>AS74/'1. Väestöennuste'!O74*1000</f>
        <v>276.58013408899529</v>
      </c>
      <c r="BM74" s="41">
        <f>AT74/'1. Väestöennuste'!P74*1000</f>
        <v>289.2694799281349</v>
      </c>
      <c r="BN74" s="41">
        <f>AU74/'1. Väestöennuste'!Q74*1000</f>
        <v>300.12436835698583</v>
      </c>
      <c r="BO74" s="41">
        <f>AV74/'1. Väestöennuste'!R74*1000</f>
        <v>312.2304457599401</v>
      </c>
    </row>
    <row r="75" spans="1:67" x14ac:dyDescent="0.25">
      <c r="A75" s="30">
        <v>202</v>
      </c>
      <c r="B75" s="47" t="s">
        <v>389</v>
      </c>
      <c r="C75" s="47">
        <v>19.25</v>
      </c>
      <c r="D75" s="47">
        <v>19.25</v>
      </c>
      <c r="E75" s="47">
        <v>19.75</v>
      </c>
      <c r="F75" s="47">
        <v>19.75</v>
      </c>
      <c r="G75" s="47">
        <v>19.75</v>
      </c>
      <c r="H75" s="58">
        <v>19.75</v>
      </c>
      <c r="I75" s="139">
        <v>20.25</v>
      </c>
      <c r="J75" s="139">
        <v>20.25</v>
      </c>
      <c r="K75" s="139">
        <f t="shared" si="2"/>
        <v>7.6099999999999994</v>
      </c>
      <c r="L75" s="139">
        <v>7.6</v>
      </c>
      <c r="M75" s="139">
        <f t="shared" ref="M75:P94" si="6">L75</f>
        <v>7.6</v>
      </c>
      <c r="N75" s="147">
        <f t="shared" si="6"/>
        <v>7.6</v>
      </c>
      <c r="O75" s="147">
        <f t="shared" si="6"/>
        <v>7.6</v>
      </c>
      <c r="P75" s="147">
        <f t="shared" si="6"/>
        <v>7.6</v>
      </c>
      <c r="Q75" s="147"/>
      <c r="S75" s="41">
        <f>'3. Verotulot'!D75*100/'Veroposentin tuotto'!C75</f>
        <v>616888.60379220778</v>
      </c>
      <c r="T75" s="41">
        <f>'3. Verotulot'!I75*100/'Veroposentin tuotto'!D75</f>
        <v>655968.83116883121</v>
      </c>
      <c r="U75" s="41">
        <f>'3. Verotulot'!N75*100/'Veroposentin tuotto'!E75</f>
        <v>634055.69620253169</v>
      </c>
      <c r="V75" s="41">
        <f>'3. Verotulot'!S75*100/'Veroposentin tuotto'!F75</f>
        <v>644379.74683544307</v>
      </c>
      <c r="W75" s="41">
        <f>'3. Verotulot'!X75*100/'Veroposentin tuotto'!G75</f>
        <v>670881.01265822782</v>
      </c>
      <c r="X75" s="41">
        <f>'3. Verotulot'!AC75*100/'Veroposentin tuotto'!H75</f>
        <v>698101.26582278486</v>
      </c>
      <c r="Y75" s="41">
        <f>'3. Verotulot'!AH75*100/'Veroposentin tuotto'!I75</f>
        <v>726839.28469135799</v>
      </c>
      <c r="Z75" s="41">
        <f>'3. Verotulot'!AM75*100/'Veroposentin tuotto'!J75</f>
        <v>785228.42059259256</v>
      </c>
      <c r="AA75" s="41">
        <f>'3. Verotulot'!AR75*100/'Veroposentin tuotto'!K75</f>
        <v>984251.80341655714</v>
      </c>
      <c r="AB75" s="41">
        <f>'3. Verotulot'!AW75*100/'Veroposentin tuotto'!L75</f>
        <v>941923.60004860768</v>
      </c>
      <c r="AC75" s="41">
        <f>'3. Verotulot'!BB75*100/'Veroposentin tuotto'!M75</f>
        <v>1008988.9186404602</v>
      </c>
      <c r="AD75" s="41">
        <f>'3. Verotulot'!BG75*100/'Veroposentin tuotto'!N75</f>
        <v>1065552.2061144556</v>
      </c>
      <c r="AE75" s="41">
        <f>'3. Verotulot'!BL75*100/'Veroposentin tuotto'!O75</f>
        <v>1114742.918291958</v>
      </c>
      <c r="AF75" s="41">
        <f>'3. Verotulot'!BQ75*100/'Veroposentin tuotto'!P75</f>
        <v>1168217.5883562854</v>
      </c>
      <c r="AI75" s="41">
        <f>'3. Verotulot'!D75/'Veroposentin tuotto'!C75</f>
        <v>6168.8860379220778</v>
      </c>
      <c r="AJ75" s="41">
        <f>'3. Verotulot'!I75/'Veroposentin tuotto'!D75</f>
        <v>6559.6883116883118</v>
      </c>
      <c r="AK75" s="41">
        <f>'3. Verotulot'!N75/'Veroposentin tuotto'!E75</f>
        <v>6340.5569620253164</v>
      </c>
      <c r="AL75" s="41">
        <f>'3. Verotulot'!S75/'Veroposentin tuotto'!F75</f>
        <v>6443.7974683544307</v>
      </c>
      <c r="AM75" s="41">
        <f>'3. Verotulot'!X75/'Veroposentin tuotto'!G75</f>
        <v>6708.8101265822788</v>
      </c>
      <c r="AN75" s="41">
        <f>'3. Verotulot'!AC75/'Veroposentin tuotto'!H75</f>
        <v>6981.0126582278481</v>
      </c>
      <c r="AO75" s="41">
        <f>'3. Verotulot'!AH75/'Veroposentin tuotto'!I75</f>
        <v>7268.3928469135799</v>
      </c>
      <c r="AP75" s="41">
        <f>'3. Verotulot'!AM75/'Veroposentin tuotto'!J75</f>
        <v>7852.2842059259256</v>
      </c>
      <c r="AQ75" s="41">
        <f>'3. Verotulot'!AR75/'Veroposentin tuotto'!K75</f>
        <v>9842.5180341655723</v>
      </c>
      <c r="AR75" s="41">
        <f>'3. Verotulot'!AW75/'Veroposentin tuotto'!L75</f>
        <v>9419.2360004860766</v>
      </c>
      <c r="AS75" s="41">
        <f>'3. Verotulot'!BB75/'Veroposentin tuotto'!M75</f>
        <v>10089.889186404602</v>
      </c>
      <c r="AT75" s="41">
        <f>'3. Verotulot'!BG75/'Veroposentin tuotto'!N75</f>
        <v>10655.522061144555</v>
      </c>
      <c r="AU75" s="41">
        <f>'3. Verotulot'!BL75/'Veroposentin tuotto'!O75</f>
        <v>11147.429182919581</v>
      </c>
      <c r="AV75" s="41">
        <f>'3. Verotulot'!BQ75/'Veroposentin tuotto'!P75</f>
        <v>11682.175883562853</v>
      </c>
      <c r="AX75" s="146"/>
      <c r="AZ75" s="34">
        <v>202</v>
      </c>
      <c r="BA75" s="88" t="s">
        <v>389</v>
      </c>
      <c r="BB75" s="41">
        <f>AI75/'1. Väestöennuste'!E75*1000</f>
        <v>189.28769677576182</v>
      </c>
      <c r="BC75" s="41">
        <f>AJ75/'1. Väestöennuste'!F75*1000</f>
        <v>200.36924404937113</v>
      </c>
      <c r="BD75" s="41">
        <f>AK75/'1. Väestöennuste'!G75*1000</f>
        <v>191.56339955966394</v>
      </c>
      <c r="BE75" s="41">
        <f>AL75/'1. Väestöennuste'!H75*1000</f>
        <v>192.59362389725717</v>
      </c>
      <c r="BF75" s="41">
        <f>AM75/'1. Väestöennuste'!I75*1000</f>
        <v>197.68424217173819</v>
      </c>
      <c r="BG75" s="41">
        <f>AN75/'1. Väestöennuste'!J75*1000</f>
        <v>201.37342885821812</v>
      </c>
      <c r="BH75" s="41">
        <f>AO75/'1. Väestöennuste'!K75*1000</f>
        <v>204.76076420299125</v>
      </c>
      <c r="BI75" s="41">
        <f>AP75/'1. Väestöennuste'!L75*1000</f>
        <v>219.04385756320926</v>
      </c>
      <c r="BJ75" s="41">
        <f>AQ75/'1. Väestöennuste'!M75*1000</f>
        <v>270.8527486767818</v>
      </c>
      <c r="BK75" s="41">
        <f>AR75/'1. Väestöennuste'!N75*1000</f>
        <v>257.77170850513329</v>
      </c>
      <c r="BL75" s="41">
        <f>AS75/'1. Väestöennuste'!O75*1000</f>
        <v>273.08350076877235</v>
      </c>
      <c r="BM75" s="41">
        <f>AT75/'1. Väestöennuste'!P75*1000</f>
        <v>285.40302828832341</v>
      </c>
      <c r="BN75" s="41">
        <f>AU75/'1. Väestöennuste'!Q75*1000</f>
        <v>295.679933766202</v>
      </c>
      <c r="BO75" s="41">
        <f>AV75/'1. Väestöennuste'!R75*1000</f>
        <v>307.05398421812686</v>
      </c>
    </row>
    <row r="76" spans="1:67" x14ac:dyDescent="0.25">
      <c r="A76" s="30">
        <v>204</v>
      </c>
      <c r="B76" s="47" t="s">
        <v>390</v>
      </c>
      <c r="C76" s="47">
        <v>21.25</v>
      </c>
      <c r="D76" s="47">
        <v>21.25</v>
      </c>
      <c r="E76" s="47">
        <v>21.25</v>
      </c>
      <c r="F76" s="47">
        <v>21.75</v>
      </c>
      <c r="G76" s="47">
        <v>22</v>
      </c>
      <c r="H76" s="58">
        <v>22</v>
      </c>
      <c r="I76" s="139">
        <v>22</v>
      </c>
      <c r="J76" s="139">
        <v>22</v>
      </c>
      <c r="K76" s="139">
        <f t="shared" si="2"/>
        <v>9.36</v>
      </c>
      <c r="L76" s="139">
        <v>9.8000000000000007</v>
      </c>
      <c r="M76" s="139">
        <f t="shared" si="6"/>
        <v>9.8000000000000007</v>
      </c>
      <c r="N76" s="147">
        <f t="shared" si="6"/>
        <v>9.8000000000000007</v>
      </c>
      <c r="O76" s="147">
        <f t="shared" si="6"/>
        <v>9.8000000000000007</v>
      </c>
      <c r="P76" s="147">
        <f t="shared" si="6"/>
        <v>9.8000000000000007</v>
      </c>
      <c r="Q76" s="147"/>
      <c r="S76" s="41">
        <f>'3. Verotulot'!D76*100/'Veroposentin tuotto'!C76</f>
        <v>34553.58051764706</v>
      </c>
      <c r="T76" s="41">
        <f>'3. Verotulot'!I76*100/'Veroposentin tuotto'!D76</f>
        <v>34202.352941176468</v>
      </c>
      <c r="U76" s="41">
        <f>'3. Verotulot'!N76*100/'Veroposentin tuotto'!E76</f>
        <v>32884.705882352944</v>
      </c>
      <c r="V76" s="41">
        <f>'3. Verotulot'!S76*100/'Veroposentin tuotto'!F76</f>
        <v>32864.367816091952</v>
      </c>
      <c r="W76" s="41">
        <f>'3. Verotulot'!X76*100/'Veroposentin tuotto'!G76</f>
        <v>32704.545454545456</v>
      </c>
      <c r="X76" s="41">
        <f>'3. Verotulot'!AC76*100/'Veroposentin tuotto'!H76</f>
        <v>33900</v>
      </c>
      <c r="Y76" s="41">
        <f>'3. Verotulot'!AH76*100/'Veroposentin tuotto'!I76</f>
        <v>34565.10190909091</v>
      </c>
      <c r="Z76" s="41">
        <f>'3. Verotulot'!AM76*100/'Veroposentin tuotto'!J76</f>
        <v>35243.969818181824</v>
      </c>
      <c r="AA76" s="41">
        <f>'3. Verotulot'!AR76*100/'Veroposentin tuotto'!K76</f>
        <v>40842.693589743591</v>
      </c>
      <c r="AB76" s="41">
        <f>'3. Verotulot'!AW76*100/'Veroposentin tuotto'!L76</f>
        <v>40125.617501227192</v>
      </c>
      <c r="AC76" s="41">
        <f>'3. Verotulot'!BB76*100/'Veroposentin tuotto'!M76</f>
        <v>42107.797802514382</v>
      </c>
      <c r="AD76" s="41">
        <f>'3. Verotulot'!BG76*100/'Veroposentin tuotto'!N76</f>
        <v>43297.513338001605</v>
      </c>
      <c r="AE76" s="41">
        <f>'3. Verotulot'!BL76*100/'Veroposentin tuotto'!O76</f>
        <v>44317.676196212895</v>
      </c>
      <c r="AF76" s="41">
        <f>'3. Verotulot'!BQ76*100/'Veroposentin tuotto'!P76</f>
        <v>45483.719396548637</v>
      </c>
      <c r="AI76" s="41">
        <f>'3. Verotulot'!D76/'Veroposentin tuotto'!C76</f>
        <v>345.5358051764706</v>
      </c>
      <c r="AJ76" s="41">
        <f>'3. Verotulot'!I76/'Veroposentin tuotto'!D76</f>
        <v>342.02352941176468</v>
      </c>
      <c r="AK76" s="41">
        <f>'3. Verotulot'!N76/'Veroposentin tuotto'!E76</f>
        <v>328.84705882352944</v>
      </c>
      <c r="AL76" s="41">
        <f>'3. Verotulot'!S76/'Veroposentin tuotto'!F76</f>
        <v>328.64367816091954</v>
      </c>
      <c r="AM76" s="41">
        <f>'3. Verotulot'!X76/'Veroposentin tuotto'!G76</f>
        <v>327.04545454545456</v>
      </c>
      <c r="AN76" s="41">
        <f>'3. Verotulot'!AC76/'Veroposentin tuotto'!H76</f>
        <v>339</v>
      </c>
      <c r="AO76" s="41">
        <f>'3. Verotulot'!AH76/'Veroposentin tuotto'!I76</f>
        <v>345.65101909090907</v>
      </c>
      <c r="AP76" s="41">
        <f>'3. Verotulot'!AM76/'Veroposentin tuotto'!J76</f>
        <v>352.43969818181819</v>
      </c>
      <c r="AQ76" s="41">
        <f>'3. Verotulot'!AR76/'Veroposentin tuotto'!K76</f>
        <v>408.4269358974359</v>
      </c>
      <c r="AR76" s="41">
        <f>'3. Verotulot'!AW76/'Veroposentin tuotto'!L76</f>
        <v>401.25617501227197</v>
      </c>
      <c r="AS76" s="41">
        <f>'3. Verotulot'!BB76/'Veroposentin tuotto'!M76</f>
        <v>421.07797802514381</v>
      </c>
      <c r="AT76" s="41">
        <f>'3. Verotulot'!BG76/'Veroposentin tuotto'!N76</f>
        <v>432.97513338001608</v>
      </c>
      <c r="AU76" s="41">
        <f>'3. Verotulot'!BL76/'Veroposentin tuotto'!O76</f>
        <v>443.17676196212898</v>
      </c>
      <c r="AV76" s="41">
        <f>'3. Verotulot'!BQ76/'Veroposentin tuotto'!P76</f>
        <v>454.83719396548639</v>
      </c>
      <c r="AX76" s="146"/>
      <c r="AZ76" s="34">
        <v>204</v>
      </c>
      <c r="BA76" s="88" t="s">
        <v>390</v>
      </c>
      <c r="BB76" s="41">
        <f>AI76/'1. Väestöennuste'!E76*1000</f>
        <v>108.18278183358504</v>
      </c>
      <c r="BC76" s="41">
        <f>AJ76/'1. Väestöennuste'!F76*1000</f>
        <v>108.44119512104143</v>
      </c>
      <c r="BD76" s="41">
        <f>AK76/'1. Väestöennuste'!G76*1000</f>
        <v>107.88945499459628</v>
      </c>
      <c r="BE76" s="41">
        <f>AL76/'1. Väestöennuste'!H76*1000</f>
        <v>109.91427363241456</v>
      </c>
      <c r="BF76" s="41">
        <f>AM76/'1. Väestöennuste'!I76*1000</f>
        <v>113.04716714326118</v>
      </c>
      <c r="BG76" s="41">
        <f>AN76/'1. Väestöennuste'!J76*1000</f>
        <v>120.76950480940506</v>
      </c>
      <c r="BH76" s="41">
        <f>AO76/'1. Väestöennuste'!K76*1000</f>
        <v>124.42441291969369</v>
      </c>
      <c r="BI76" s="41">
        <f>AP76/'1. Väestöennuste'!L76*1000</f>
        <v>131.06719902633625</v>
      </c>
      <c r="BJ76" s="41">
        <f>AQ76/'1. Väestöennuste'!M76*1000</f>
        <v>155.41359813448855</v>
      </c>
      <c r="BK76" s="41">
        <f>AR76/'1. Väestöennuste'!N76*1000</f>
        <v>155.94876603663894</v>
      </c>
      <c r="BL76" s="41">
        <f>AS76/'1. Väestöennuste'!O76*1000</f>
        <v>166.49979360424825</v>
      </c>
      <c r="BM76" s="41">
        <f>AT76/'1. Väestöennuste'!P76*1000</f>
        <v>173.95545736440985</v>
      </c>
      <c r="BN76" s="41">
        <f>AU76/'1. Väestöennuste'!Q76*1000</f>
        <v>180.81467236316973</v>
      </c>
      <c r="BO76" s="41">
        <f>AV76/'1. Väestöennuste'!R76*1000</f>
        <v>188.49448568814191</v>
      </c>
    </row>
    <row r="77" spans="1:67" x14ac:dyDescent="0.25">
      <c r="A77" s="32">
        <v>205</v>
      </c>
      <c r="B77" s="47" t="s">
        <v>391</v>
      </c>
      <c r="C77" s="47">
        <v>21</v>
      </c>
      <c r="D77" s="47">
        <v>21</v>
      </c>
      <c r="E77" s="47">
        <v>21</v>
      </c>
      <c r="F77" s="47">
        <v>21</v>
      </c>
      <c r="G77" s="47">
        <v>21</v>
      </c>
      <c r="H77" s="58">
        <v>21</v>
      </c>
      <c r="I77" s="139">
        <v>21</v>
      </c>
      <c r="J77" s="139">
        <v>21</v>
      </c>
      <c r="K77" s="139">
        <f t="shared" si="2"/>
        <v>8.36</v>
      </c>
      <c r="L77" s="139">
        <v>8.4</v>
      </c>
      <c r="M77" s="139">
        <f t="shared" si="6"/>
        <v>8.4</v>
      </c>
      <c r="N77" s="147">
        <f t="shared" si="6"/>
        <v>8.4</v>
      </c>
      <c r="O77" s="147">
        <f t="shared" si="6"/>
        <v>8.4</v>
      </c>
      <c r="P77" s="147">
        <f t="shared" si="6"/>
        <v>8.4</v>
      </c>
      <c r="Q77" s="147"/>
      <c r="S77" s="41">
        <f>'3. Verotulot'!D77*100/'Veroposentin tuotto'!C77</f>
        <v>581947.3023333333</v>
      </c>
      <c r="T77" s="41">
        <f>'3. Verotulot'!I77*100/'Veroposentin tuotto'!D77</f>
        <v>582119.04761904757</v>
      </c>
      <c r="U77" s="41">
        <f>'3. Verotulot'!N77*100/'Veroposentin tuotto'!E77</f>
        <v>585395.23809523811</v>
      </c>
      <c r="V77" s="41">
        <f>'3. Verotulot'!S77*100/'Veroposentin tuotto'!F77</f>
        <v>571747.61904761905</v>
      </c>
      <c r="W77" s="41">
        <f>'3. Verotulot'!X77*100/'Veroposentin tuotto'!G77</f>
        <v>582685.71428571432</v>
      </c>
      <c r="X77" s="41">
        <f>'3. Verotulot'!AC77*100/'Veroposentin tuotto'!H77</f>
        <v>599766.66666666663</v>
      </c>
      <c r="Y77" s="41">
        <f>'3. Verotulot'!AH77*100/'Veroposentin tuotto'!I77</f>
        <v>620095.36333333328</v>
      </c>
      <c r="Z77" s="41">
        <f>'3. Verotulot'!AM77*100/'Veroposentin tuotto'!J77</f>
        <v>640460.73714285728</v>
      </c>
      <c r="AA77" s="41">
        <f>'3. Verotulot'!AR77*100/'Veroposentin tuotto'!K77</f>
        <v>769106.27715311025</v>
      </c>
      <c r="AB77" s="41">
        <f>'3. Verotulot'!AW77*100/'Veroposentin tuotto'!L77</f>
        <v>753393.8359842049</v>
      </c>
      <c r="AC77" s="41">
        <f>'3. Verotulot'!BB77*100/'Veroposentin tuotto'!M77</f>
        <v>787609.04598584597</v>
      </c>
      <c r="AD77" s="41">
        <f>'3. Verotulot'!BG77*100/'Veroposentin tuotto'!N77</f>
        <v>822251.2429020562</v>
      </c>
      <c r="AE77" s="41">
        <f>'3. Verotulot'!BL77*100/'Veroposentin tuotto'!O77</f>
        <v>850058.10224759928</v>
      </c>
      <c r="AF77" s="41">
        <f>'3. Verotulot'!BQ77*100/'Veroposentin tuotto'!P77</f>
        <v>882200.79152811482</v>
      </c>
      <c r="AI77" s="41">
        <f>'3. Verotulot'!D77/'Veroposentin tuotto'!C77</f>
        <v>5819.473023333333</v>
      </c>
      <c r="AJ77" s="41">
        <f>'3. Verotulot'!I77/'Veroposentin tuotto'!D77</f>
        <v>5821.1904761904761</v>
      </c>
      <c r="AK77" s="41">
        <f>'3. Verotulot'!N77/'Veroposentin tuotto'!E77</f>
        <v>5853.9523809523807</v>
      </c>
      <c r="AL77" s="41">
        <f>'3. Verotulot'!S77/'Veroposentin tuotto'!F77</f>
        <v>5717.4761904761908</v>
      </c>
      <c r="AM77" s="41">
        <f>'3. Verotulot'!X77/'Veroposentin tuotto'!G77</f>
        <v>5826.8571428571431</v>
      </c>
      <c r="AN77" s="41">
        <f>'3. Verotulot'!AC77/'Veroposentin tuotto'!H77</f>
        <v>5997.666666666667</v>
      </c>
      <c r="AO77" s="41">
        <f>'3. Verotulot'!AH77/'Veroposentin tuotto'!I77</f>
        <v>6200.9536333333335</v>
      </c>
      <c r="AP77" s="41">
        <f>'3. Verotulot'!AM77/'Veroposentin tuotto'!J77</f>
        <v>6404.6073714285722</v>
      </c>
      <c r="AQ77" s="41">
        <f>'3. Verotulot'!AR77/'Veroposentin tuotto'!K77</f>
        <v>7691.062771531102</v>
      </c>
      <c r="AR77" s="41">
        <f>'3. Verotulot'!AW77/'Veroposentin tuotto'!L77</f>
        <v>7533.9383598420491</v>
      </c>
      <c r="AS77" s="41">
        <f>'3. Verotulot'!BB77/'Veroposentin tuotto'!M77</f>
        <v>7876.0904598584602</v>
      </c>
      <c r="AT77" s="41">
        <f>'3. Verotulot'!BG77/'Veroposentin tuotto'!N77</f>
        <v>8222.5124290205622</v>
      </c>
      <c r="AU77" s="41">
        <f>'3. Verotulot'!BL77/'Veroposentin tuotto'!O77</f>
        <v>8500.5810224759934</v>
      </c>
      <c r="AV77" s="41">
        <f>'3. Verotulot'!BQ77/'Veroposentin tuotto'!P77</f>
        <v>8822.0079152811486</v>
      </c>
      <c r="AX77" s="146"/>
      <c r="AZ77" s="34">
        <v>205</v>
      </c>
      <c r="BA77" s="88" t="s">
        <v>391</v>
      </c>
      <c r="BB77" s="41">
        <f>AI77/'1. Väestöennuste'!E77*1000</f>
        <v>154.6827128630411</v>
      </c>
      <c r="BC77" s="41">
        <f>AJ77/'1. Väestöennuste'!F77*1000</f>
        <v>155.1448649073979</v>
      </c>
      <c r="BD77" s="41">
        <f>AK77/'1. Väestöennuste'!G77*1000</f>
        <v>157.19950538286153</v>
      </c>
      <c r="BE77" s="41">
        <f>AL77/'1. Väestöennuste'!H77*1000</f>
        <v>154.63922836870663</v>
      </c>
      <c r="BF77" s="41">
        <f>AM77/'1. Väestöennuste'!I77*1000</f>
        <v>158.73102353257084</v>
      </c>
      <c r="BG77" s="41">
        <f>AN77/'1. Väestöennuste'!J77*1000</f>
        <v>164.01855953911087</v>
      </c>
      <c r="BH77" s="41">
        <f>AO77/'1. Väestöennuste'!K77*1000</f>
        <v>169.9217283679975</v>
      </c>
      <c r="BI77" s="41">
        <f>AP77/'1. Väestöennuste'!L77*1000</f>
        <v>176.45004742619423</v>
      </c>
      <c r="BJ77" s="41">
        <f>AQ77/'1. Väestöennuste'!M77*1000</f>
        <v>210.63902641610116</v>
      </c>
      <c r="BK77" s="41">
        <f>AR77/'1. Väestöennuste'!N77*1000</f>
        <v>209.93502827882099</v>
      </c>
      <c r="BL77" s="41">
        <f>AS77/'1. Väestöennuste'!O77*1000</f>
        <v>220.60642148502774</v>
      </c>
      <c r="BM77" s="41">
        <f>AT77/'1. Väestöennuste'!P77*1000</f>
        <v>231.55484170714058</v>
      </c>
      <c r="BN77" s="41">
        <f>AU77/'1. Väestöennuste'!Q77*1000</f>
        <v>240.66648799513018</v>
      </c>
      <c r="BO77" s="41">
        <f>AV77/'1. Väestöennuste'!R77*1000</f>
        <v>251.16036769483696</v>
      </c>
    </row>
    <row r="78" spans="1:67" x14ac:dyDescent="0.25">
      <c r="A78" s="30">
        <v>208</v>
      </c>
      <c r="B78" s="47" t="s">
        <v>392</v>
      </c>
      <c r="C78" s="47">
        <v>20</v>
      </c>
      <c r="D78" s="47">
        <v>20</v>
      </c>
      <c r="E78" s="47">
        <v>20</v>
      </c>
      <c r="F78" s="47">
        <v>20</v>
      </c>
      <c r="G78" s="47">
        <v>21</v>
      </c>
      <c r="H78" s="58">
        <v>21</v>
      </c>
      <c r="I78" s="139">
        <v>21</v>
      </c>
      <c r="J78" s="139">
        <v>21</v>
      </c>
      <c r="K78" s="139">
        <f t="shared" si="2"/>
        <v>8.36</v>
      </c>
      <c r="L78" s="139">
        <v>8.3000000000000007</v>
      </c>
      <c r="M78" s="139">
        <f t="shared" si="6"/>
        <v>8.3000000000000007</v>
      </c>
      <c r="N78" s="147">
        <f t="shared" si="6"/>
        <v>8.3000000000000007</v>
      </c>
      <c r="O78" s="147">
        <f t="shared" si="6"/>
        <v>8.3000000000000007</v>
      </c>
      <c r="P78" s="147">
        <f t="shared" si="6"/>
        <v>8.3000000000000007</v>
      </c>
      <c r="Q78" s="147"/>
      <c r="S78" s="41">
        <f>'3. Verotulot'!D78*100/'Veroposentin tuotto'!C78</f>
        <v>164176.75165000002</v>
      </c>
      <c r="T78" s="41">
        <f>'3. Verotulot'!I78*100/'Veroposentin tuotto'!D78</f>
        <v>166720</v>
      </c>
      <c r="U78" s="41">
        <f>'3. Verotulot'!N78*100/'Veroposentin tuotto'!E78</f>
        <v>162410</v>
      </c>
      <c r="V78" s="41">
        <f>'3. Verotulot'!S78*100/'Veroposentin tuotto'!F78</f>
        <v>158985</v>
      </c>
      <c r="W78" s="41">
        <f>'3. Verotulot'!X78*100/'Veroposentin tuotto'!G78</f>
        <v>163228.57142857142</v>
      </c>
      <c r="X78" s="41">
        <f>'3. Verotulot'!AC78*100/'Veroposentin tuotto'!H78</f>
        <v>171500</v>
      </c>
      <c r="Y78" s="41">
        <f>'3. Verotulot'!AH78*100/'Veroposentin tuotto'!I78</f>
        <v>178172.38204761903</v>
      </c>
      <c r="Z78" s="41">
        <f>'3. Verotulot'!AM78*100/'Veroposentin tuotto'!J78</f>
        <v>182247.1174761905</v>
      </c>
      <c r="AA78" s="41">
        <f>'3. Verotulot'!AR78*100/'Veroposentin tuotto'!K78</f>
        <v>233881.91686602871</v>
      </c>
      <c r="AB78" s="41">
        <f>'3. Verotulot'!AW78*100/'Veroposentin tuotto'!L78</f>
        <v>224045.23385036629</v>
      </c>
      <c r="AC78" s="41">
        <f>'3. Verotulot'!BB78*100/'Veroposentin tuotto'!M78</f>
        <v>235979.47474217034</v>
      </c>
      <c r="AD78" s="41">
        <f>'3. Verotulot'!BG78*100/'Veroposentin tuotto'!N78</f>
        <v>247025.9283816875</v>
      </c>
      <c r="AE78" s="41">
        <f>'3. Verotulot'!BL78*100/'Veroposentin tuotto'!O78</f>
        <v>255646.07376178028</v>
      </c>
      <c r="AF78" s="41">
        <f>'3. Verotulot'!BQ78*100/'Veroposentin tuotto'!P78</f>
        <v>265053.5464790882</v>
      </c>
      <c r="AI78" s="41">
        <f>'3. Verotulot'!D78/'Veroposentin tuotto'!C78</f>
        <v>1641.7675165000001</v>
      </c>
      <c r="AJ78" s="41">
        <f>'3. Verotulot'!I78/'Veroposentin tuotto'!D78</f>
        <v>1667.2</v>
      </c>
      <c r="AK78" s="41">
        <f>'3. Verotulot'!N78/'Veroposentin tuotto'!E78</f>
        <v>1624.1</v>
      </c>
      <c r="AL78" s="41">
        <f>'3. Verotulot'!S78/'Veroposentin tuotto'!F78</f>
        <v>1589.85</v>
      </c>
      <c r="AM78" s="41">
        <f>'3. Verotulot'!X78/'Veroposentin tuotto'!G78</f>
        <v>1632.2857142857142</v>
      </c>
      <c r="AN78" s="41">
        <f>'3. Verotulot'!AC78/'Veroposentin tuotto'!H78</f>
        <v>1715</v>
      </c>
      <c r="AO78" s="41">
        <f>'3. Verotulot'!AH78/'Veroposentin tuotto'!I78</f>
        <v>1781.7238204761902</v>
      </c>
      <c r="AP78" s="41">
        <f>'3. Verotulot'!AM78/'Veroposentin tuotto'!J78</f>
        <v>1822.4711747619049</v>
      </c>
      <c r="AQ78" s="41">
        <f>'3. Verotulot'!AR78/'Veroposentin tuotto'!K78</f>
        <v>2338.8191686602872</v>
      </c>
      <c r="AR78" s="41">
        <f>'3. Verotulot'!AW78/'Veroposentin tuotto'!L78</f>
        <v>2240.4523385036628</v>
      </c>
      <c r="AS78" s="41">
        <f>'3. Verotulot'!BB78/'Veroposentin tuotto'!M78</f>
        <v>2359.7947474217035</v>
      </c>
      <c r="AT78" s="41">
        <f>'3. Verotulot'!BG78/'Veroposentin tuotto'!N78</f>
        <v>2470.2592838168748</v>
      </c>
      <c r="AU78" s="41">
        <f>'3. Verotulot'!BL78/'Veroposentin tuotto'!O78</f>
        <v>2556.4607376178033</v>
      </c>
      <c r="AV78" s="41">
        <f>'3. Verotulot'!BQ78/'Veroposentin tuotto'!P78</f>
        <v>2650.5354647908821</v>
      </c>
      <c r="AX78" s="146"/>
      <c r="AZ78" s="34">
        <v>208</v>
      </c>
      <c r="BA78" s="88" t="s">
        <v>392</v>
      </c>
      <c r="BB78" s="41">
        <f>AI78/'1. Väestöennuste'!E78*1000</f>
        <v>130.08220557008164</v>
      </c>
      <c r="BC78" s="41">
        <f>AJ78/'1. Väestöennuste'!F78*1000</f>
        <v>132.46464325440965</v>
      </c>
      <c r="BD78" s="41">
        <f>AK78/'1. Väestöennuste'!G78*1000</f>
        <v>129.76190476190476</v>
      </c>
      <c r="BE78" s="41">
        <f>AL78/'1. Väestöennuste'!H78*1000</f>
        <v>128.34826834584646</v>
      </c>
      <c r="BF78" s="41">
        <f>AM78/'1. Väestöennuste'!I78*1000</f>
        <v>131.92319682257451</v>
      </c>
      <c r="BG78" s="41">
        <f>AN78/'1. Väestöennuste'!J78*1000</f>
        <v>138.30645161290323</v>
      </c>
      <c r="BH78" s="41">
        <f>AO78/'1. Väestöennuste'!K78*1000</f>
        <v>143.54848698648004</v>
      </c>
      <c r="BI78" s="41">
        <f>AP78/'1. Väestöennuste'!L78*1000</f>
        <v>147.74796714729672</v>
      </c>
      <c r="BJ78" s="41">
        <f>AQ78/'1. Väestöennuste'!M78*1000</f>
        <v>189.04131657454633</v>
      </c>
      <c r="BK78" s="41">
        <f>AR78/'1. Väestöennuste'!N78*1000</f>
        <v>183.4031056404439</v>
      </c>
      <c r="BL78" s="41">
        <f>AS78/'1. Väestöennuste'!O78*1000</f>
        <v>194.07802840872634</v>
      </c>
      <c r="BM78" s="41">
        <f>AT78/'1. Väestöennuste'!P78*1000</f>
        <v>204.15365981957643</v>
      </c>
      <c r="BN78" s="41">
        <f>AU78/'1. Väestöennuste'!Q78*1000</f>
        <v>212.36590277602619</v>
      </c>
      <c r="BO78" s="41">
        <f>AV78/'1. Väestöennuste'!R78*1000</f>
        <v>221.35756345338919</v>
      </c>
    </row>
    <row r="79" spans="1:67" x14ac:dyDescent="0.25">
      <c r="A79" s="30">
        <v>211</v>
      </c>
      <c r="B79" s="47" t="s">
        <v>393</v>
      </c>
      <c r="C79" s="47">
        <v>21</v>
      </c>
      <c r="D79" s="47">
        <v>21</v>
      </c>
      <c r="E79" s="47">
        <v>21</v>
      </c>
      <c r="F79" s="47">
        <v>21</v>
      </c>
      <c r="G79" s="47">
        <v>21</v>
      </c>
      <c r="H79" s="58">
        <v>21</v>
      </c>
      <c r="I79" s="139">
        <v>21</v>
      </c>
      <c r="J79" s="139">
        <v>21</v>
      </c>
      <c r="K79" s="139">
        <f t="shared" ref="K79:K142" si="7">J79-$K$9</f>
        <v>8.36</v>
      </c>
      <c r="L79" s="139">
        <v>9.4</v>
      </c>
      <c r="M79" s="139">
        <f t="shared" si="6"/>
        <v>9.4</v>
      </c>
      <c r="N79" s="147">
        <f t="shared" si="6"/>
        <v>9.4</v>
      </c>
      <c r="O79" s="147">
        <f t="shared" si="6"/>
        <v>9.4</v>
      </c>
      <c r="P79" s="147">
        <f t="shared" si="6"/>
        <v>9.4</v>
      </c>
      <c r="Q79" s="147"/>
      <c r="S79" s="41">
        <f>'3. Verotulot'!D79*100/'Veroposentin tuotto'!C79</f>
        <v>528989.70819047617</v>
      </c>
      <c r="T79" s="41">
        <f>'3. Verotulot'!I79*100/'Veroposentin tuotto'!D79</f>
        <v>545185.71428571432</v>
      </c>
      <c r="U79" s="41">
        <f>'3. Verotulot'!N79*100/'Veroposentin tuotto'!E79</f>
        <v>559838.09523809527</v>
      </c>
      <c r="V79" s="41">
        <f>'3. Verotulot'!S79*100/'Veroposentin tuotto'!F79</f>
        <v>543471.42857142852</v>
      </c>
      <c r="W79" s="41">
        <f>'3. Verotulot'!X79*100/'Veroposentin tuotto'!G79</f>
        <v>569204.76190476189</v>
      </c>
      <c r="X79" s="41">
        <f>'3. Verotulot'!AC79*100/'Veroposentin tuotto'!H79</f>
        <v>600119.04761904757</v>
      </c>
      <c r="Y79" s="41">
        <f>'3. Verotulot'!AH79*100/'Veroposentin tuotto'!I79</f>
        <v>611027.90247619047</v>
      </c>
      <c r="Z79" s="41">
        <f>'3. Verotulot'!AM79*100/'Veroposentin tuotto'!J79</f>
        <v>652208.9800000001</v>
      </c>
      <c r="AA79" s="41">
        <f>'3. Verotulot'!AR79*100/'Veroposentin tuotto'!K79</f>
        <v>834229.84724880406</v>
      </c>
      <c r="AB79" s="41">
        <f>'3. Verotulot'!AW79*100/'Veroposentin tuotto'!L79</f>
        <v>783240.89428453555</v>
      </c>
      <c r="AC79" s="41">
        <f>'3. Verotulot'!BB79*100/'Veroposentin tuotto'!M79</f>
        <v>840724.3830237803</v>
      </c>
      <c r="AD79" s="41">
        <f>'3. Verotulot'!BG79*100/'Veroposentin tuotto'!N79</f>
        <v>888783.09731590899</v>
      </c>
      <c r="AE79" s="41">
        <f>'3. Verotulot'!BL79*100/'Veroposentin tuotto'!O79</f>
        <v>928057.12854539789</v>
      </c>
      <c r="AF79" s="41">
        <f>'3. Verotulot'!BQ79*100/'Veroposentin tuotto'!P79</f>
        <v>971262.65651853394</v>
      </c>
      <c r="AI79" s="41">
        <f>'3. Verotulot'!D79/'Veroposentin tuotto'!C79</f>
        <v>5289.8970819047618</v>
      </c>
      <c r="AJ79" s="41">
        <f>'3. Verotulot'!I79/'Veroposentin tuotto'!D79</f>
        <v>5451.8571428571431</v>
      </c>
      <c r="AK79" s="41">
        <f>'3. Verotulot'!N79/'Veroposentin tuotto'!E79</f>
        <v>5598.3809523809523</v>
      </c>
      <c r="AL79" s="41">
        <f>'3. Verotulot'!S79/'Veroposentin tuotto'!F79</f>
        <v>5434.7142857142853</v>
      </c>
      <c r="AM79" s="41">
        <f>'3. Verotulot'!X79/'Veroposentin tuotto'!G79</f>
        <v>5692.0476190476193</v>
      </c>
      <c r="AN79" s="41">
        <f>'3. Verotulot'!AC79/'Veroposentin tuotto'!H79</f>
        <v>6001.1904761904761</v>
      </c>
      <c r="AO79" s="41">
        <f>'3. Verotulot'!AH79/'Veroposentin tuotto'!I79</f>
        <v>6110.279024761905</v>
      </c>
      <c r="AP79" s="41">
        <f>'3. Verotulot'!AM79/'Veroposentin tuotto'!J79</f>
        <v>6522.0898000000007</v>
      </c>
      <c r="AQ79" s="41">
        <f>'3. Verotulot'!AR79/'Veroposentin tuotto'!K79</f>
        <v>8342.2984724880407</v>
      </c>
      <c r="AR79" s="41">
        <f>'3. Verotulot'!AW79/'Veroposentin tuotto'!L79</f>
        <v>7832.4089428453553</v>
      </c>
      <c r="AS79" s="41">
        <f>'3. Verotulot'!BB79/'Veroposentin tuotto'!M79</f>
        <v>8407.2438302378032</v>
      </c>
      <c r="AT79" s="41">
        <f>'3. Verotulot'!BG79/'Veroposentin tuotto'!N79</f>
        <v>8887.8309731590907</v>
      </c>
      <c r="AU79" s="41">
        <f>'3. Verotulot'!BL79/'Veroposentin tuotto'!O79</f>
        <v>9280.5712854539797</v>
      </c>
      <c r="AV79" s="41">
        <f>'3. Verotulot'!BQ79/'Veroposentin tuotto'!P79</f>
        <v>9712.6265651853391</v>
      </c>
      <c r="AX79" s="146"/>
      <c r="AZ79" s="34">
        <v>211</v>
      </c>
      <c r="BA79" s="88" t="s">
        <v>393</v>
      </c>
      <c r="BB79" s="41">
        <f>AI79/'1. Väestöennuste'!E79*1000</f>
        <v>172.8329167152861</v>
      </c>
      <c r="BC79" s="41">
        <f>AJ79/'1. Väestöennuste'!F79*1000</f>
        <v>174.79503503870288</v>
      </c>
      <c r="BD79" s="41">
        <f>AK79/'1. Väestöennuste'!G79*1000</f>
        <v>178.0825445297246</v>
      </c>
      <c r="BE79" s="41">
        <f>AL79/'1. Väestöennuste'!H79*1000</f>
        <v>171.57198780509802</v>
      </c>
      <c r="BF79" s="41">
        <f>AM79/'1. Väestöennuste'!I79*1000</f>
        <v>178.61326782501629</v>
      </c>
      <c r="BG79" s="41">
        <f>AN79/'1. Väestöennuste'!J79*1000</f>
        <v>186.29137878532552</v>
      </c>
      <c r="BH79" s="41">
        <f>AO79/'1. Väestöennuste'!K79*1000</f>
        <v>187.30546946115828</v>
      </c>
      <c r="BI79" s="41">
        <f>AP79/'1. Väestöennuste'!L79*1000</f>
        <v>197.88494189750904</v>
      </c>
      <c r="BJ79" s="41">
        <f>AQ79/'1. Väestöennuste'!M79*1000</f>
        <v>249.22470267045202</v>
      </c>
      <c r="BK79" s="41">
        <f>AR79/'1. Väestöennuste'!N79*1000</f>
        <v>235.72422857451335</v>
      </c>
      <c r="BL79" s="41">
        <f>AS79/'1. Väestöennuste'!O79*1000</f>
        <v>251.29255829261726</v>
      </c>
      <c r="BM79" s="41">
        <f>AT79/'1. Väestöennuste'!P79*1000</f>
        <v>263.95316503798676</v>
      </c>
      <c r="BN79" s="41">
        <f>AU79/'1. Väestöennuste'!Q79*1000</f>
        <v>273.94094354607648</v>
      </c>
      <c r="BO79" s="41">
        <f>AV79/'1. Väestöennuste'!R79*1000</f>
        <v>285.03672971930558</v>
      </c>
    </row>
    <row r="80" spans="1:67" x14ac:dyDescent="0.25">
      <c r="A80" s="30">
        <v>213</v>
      </c>
      <c r="B80" s="47" t="s">
        <v>394</v>
      </c>
      <c r="C80" s="47">
        <v>20</v>
      </c>
      <c r="D80" s="47">
        <v>20</v>
      </c>
      <c r="E80" s="47">
        <v>20.75</v>
      </c>
      <c r="F80" s="47">
        <v>20.75</v>
      </c>
      <c r="G80" s="47">
        <v>20.75</v>
      </c>
      <c r="H80" s="58">
        <v>21.5</v>
      </c>
      <c r="I80" s="139">
        <v>21.5</v>
      </c>
      <c r="J80" s="139">
        <v>21.5</v>
      </c>
      <c r="K80" s="139">
        <f t="shared" si="7"/>
        <v>8.86</v>
      </c>
      <c r="L80" s="139">
        <v>9.4</v>
      </c>
      <c r="M80" s="139">
        <f t="shared" si="6"/>
        <v>9.4</v>
      </c>
      <c r="N80" s="147">
        <f t="shared" si="6"/>
        <v>9.4</v>
      </c>
      <c r="O80" s="147">
        <f t="shared" si="6"/>
        <v>9.4</v>
      </c>
      <c r="P80" s="147">
        <f t="shared" si="6"/>
        <v>9.4</v>
      </c>
      <c r="Q80" s="147"/>
      <c r="S80" s="41">
        <f>'3. Verotulot'!D80*100/'Veroposentin tuotto'!C80</f>
        <v>68565.106650000002</v>
      </c>
      <c r="T80" s="41">
        <f>'3. Verotulot'!I80*100/'Veroposentin tuotto'!D80</f>
        <v>67285</v>
      </c>
      <c r="U80" s="41">
        <f>'3. Verotulot'!N80*100/'Veroposentin tuotto'!E80</f>
        <v>67619.277108433729</v>
      </c>
      <c r="V80" s="41">
        <f>'3. Verotulot'!S80*100/'Veroposentin tuotto'!F80</f>
        <v>65971.084337349399</v>
      </c>
      <c r="W80" s="41">
        <f>'3. Verotulot'!X80*100/'Veroposentin tuotto'!G80</f>
        <v>67513.253012048197</v>
      </c>
      <c r="X80" s="41">
        <f>'3. Verotulot'!AC80*100/'Veroposentin tuotto'!H80</f>
        <v>68260.465116279069</v>
      </c>
      <c r="Y80" s="41">
        <f>'3. Verotulot'!AH80*100/'Veroposentin tuotto'!I80</f>
        <v>71700.609116279069</v>
      </c>
      <c r="Z80" s="41">
        <f>'3. Verotulot'!AM80*100/'Veroposentin tuotto'!J80</f>
        <v>71320.426976744187</v>
      </c>
      <c r="AA80" s="41">
        <f>'3. Verotulot'!AR80*100/'Veroposentin tuotto'!K80</f>
        <v>95495.135778781041</v>
      </c>
      <c r="AB80" s="41">
        <f>'3. Verotulot'!AW80*100/'Veroposentin tuotto'!L80</f>
        <v>86362.071993303471</v>
      </c>
      <c r="AC80" s="41">
        <f>'3. Verotulot'!BB80*100/'Veroposentin tuotto'!M80</f>
        <v>90629.373007042799</v>
      </c>
      <c r="AD80" s="41">
        <f>'3. Verotulot'!BG80*100/'Veroposentin tuotto'!N80</f>
        <v>93411.22288447991</v>
      </c>
      <c r="AE80" s="41">
        <f>'3. Verotulot'!BL80*100/'Veroposentin tuotto'!O80</f>
        <v>95776.450211889809</v>
      </c>
      <c r="AF80" s="41">
        <f>'3. Verotulot'!BQ80*100/'Veroposentin tuotto'!P80</f>
        <v>98516.083371329398</v>
      </c>
      <c r="AI80" s="41">
        <f>'3. Verotulot'!D80/'Veroposentin tuotto'!C80</f>
        <v>685.65106649999996</v>
      </c>
      <c r="AJ80" s="41">
        <f>'3. Verotulot'!I80/'Veroposentin tuotto'!D80</f>
        <v>672.85</v>
      </c>
      <c r="AK80" s="41">
        <f>'3. Verotulot'!N80/'Veroposentin tuotto'!E80</f>
        <v>676.19277108433732</v>
      </c>
      <c r="AL80" s="41">
        <f>'3. Verotulot'!S80/'Veroposentin tuotto'!F80</f>
        <v>659.71084337349396</v>
      </c>
      <c r="AM80" s="41">
        <f>'3. Verotulot'!X80/'Veroposentin tuotto'!G80</f>
        <v>675.13253012048187</v>
      </c>
      <c r="AN80" s="41">
        <f>'3. Verotulot'!AC80/'Veroposentin tuotto'!H80</f>
        <v>682.60465116279067</v>
      </c>
      <c r="AO80" s="41">
        <f>'3. Verotulot'!AH80/'Veroposentin tuotto'!I80</f>
        <v>717.00609116279077</v>
      </c>
      <c r="AP80" s="41">
        <f>'3. Verotulot'!AM80/'Veroposentin tuotto'!J80</f>
        <v>713.20426976744193</v>
      </c>
      <c r="AQ80" s="41">
        <f>'3. Verotulot'!AR80/'Veroposentin tuotto'!K80</f>
        <v>954.95135778781048</v>
      </c>
      <c r="AR80" s="41">
        <f>'3. Verotulot'!AW80/'Veroposentin tuotto'!L80</f>
        <v>863.62071993303471</v>
      </c>
      <c r="AS80" s="41">
        <f>'3. Verotulot'!BB80/'Veroposentin tuotto'!M80</f>
        <v>906.29373007042807</v>
      </c>
      <c r="AT80" s="41">
        <f>'3. Verotulot'!BG80/'Veroposentin tuotto'!N80</f>
        <v>934.11222884479912</v>
      </c>
      <c r="AU80" s="41">
        <f>'3. Verotulot'!BL80/'Veroposentin tuotto'!O80</f>
        <v>957.76450211889801</v>
      </c>
      <c r="AV80" s="41">
        <f>'3. Verotulot'!BQ80/'Veroposentin tuotto'!P80</f>
        <v>985.16083371329398</v>
      </c>
      <c r="AX80" s="146"/>
      <c r="AZ80" s="34">
        <v>213</v>
      </c>
      <c r="BA80" s="88" t="s">
        <v>394</v>
      </c>
      <c r="BB80" s="41">
        <f>AI80/'1. Väestöennuste'!E80*1000</f>
        <v>121.82854770788911</v>
      </c>
      <c r="BC80" s="41">
        <f>AJ80/'1. Väestöennuste'!F80*1000</f>
        <v>120.08745315009817</v>
      </c>
      <c r="BD80" s="41">
        <f>AK80/'1. Väestöennuste'!G80*1000</f>
        <v>121.85849181552304</v>
      </c>
      <c r="BE80" s="41">
        <f>AL80/'1. Väestöennuste'!H80*1000</f>
        <v>121.00345623138186</v>
      </c>
      <c r="BF80" s="41">
        <f>AM80/'1. Väestöennuste'!I80*1000</f>
        <v>126.05162997021694</v>
      </c>
      <c r="BG80" s="41">
        <f>AN80/'1. Väestöennuste'!J80*1000</f>
        <v>128.50238161950125</v>
      </c>
      <c r="BH80" s="41">
        <f>AO80/'1. Väestöennuste'!K80*1000</f>
        <v>137.09485490684335</v>
      </c>
      <c r="BI80" s="41">
        <f>AP80/'1. Väestöennuste'!L80*1000</f>
        <v>138.3787873045095</v>
      </c>
      <c r="BJ80" s="41">
        <f>AQ80/'1. Väestöennuste'!M80*1000</f>
        <v>186.73276452636105</v>
      </c>
      <c r="BK80" s="41">
        <f>AR80/'1. Väestöennuste'!N80*1000</f>
        <v>170.44024470752609</v>
      </c>
      <c r="BL80" s="41">
        <f>AS80/'1. Väestöennuste'!O80*1000</f>
        <v>180.86085213937898</v>
      </c>
      <c r="BM80" s="41">
        <f>AT80/'1. Väestöennuste'!P80*1000</f>
        <v>188.44305605099839</v>
      </c>
      <c r="BN80" s="41">
        <f>AU80/'1. Väestöennuste'!Q80*1000</f>
        <v>195.3027125038536</v>
      </c>
      <c r="BO80" s="41">
        <f>AV80/'1. Väestöennuste'!R80*1000</f>
        <v>203.00037785149269</v>
      </c>
    </row>
    <row r="81" spans="1:67" x14ac:dyDescent="0.25">
      <c r="A81" s="30">
        <v>214</v>
      </c>
      <c r="B81" s="47" t="s">
        <v>395</v>
      </c>
      <c r="C81" s="47">
        <v>21.5</v>
      </c>
      <c r="D81" s="47">
        <v>21.5</v>
      </c>
      <c r="E81" s="47">
        <v>21.5</v>
      </c>
      <c r="F81" s="47">
        <v>21.5</v>
      </c>
      <c r="G81" s="47">
        <v>21.5</v>
      </c>
      <c r="H81" s="58">
        <v>21.75</v>
      </c>
      <c r="I81" s="139">
        <v>21.75</v>
      </c>
      <c r="J81" s="139">
        <v>21.75</v>
      </c>
      <c r="K81" s="139">
        <f t="shared" si="7"/>
        <v>9.11</v>
      </c>
      <c r="L81" s="139">
        <v>9.1</v>
      </c>
      <c r="M81" s="139">
        <f t="shared" si="6"/>
        <v>9.1</v>
      </c>
      <c r="N81" s="147">
        <f t="shared" si="6"/>
        <v>9.1</v>
      </c>
      <c r="O81" s="147">
        <f t="shared" si="6"/>
        <v>9.1</v>
      </c>
      <c r="P81" s="147">
        <f t="shared" si="6"/>
        <v>9.1</v>
      </c>
      <c r="Q81" s="147"/>
      <c r="S81" s="41">
        <f>'3. Verotulot'!D81*100/'Veroposentin tuotto'!C81</f>
        <v>186818.74674418606</v>
      </c>
      <c r="T81" s="41">
        <f>'3. Verotulot'!I81*100/'Veroposentin tuotto'!D81</f>
        <v>186674.41860465117</v>
      </c>
      <c r="U81" s="41">
        <f>'3. Verotulot'!N81*100/'Veroposentin tuotto'!E81</f>
        <v>180051.16279069768</v>
      </c>
      <c r="V81" s="41">
        <f>'3. Verotulot'!S81*100/'Veroposentin tuotto'!F81</f>
        <v>175534.88372093023</v>
      </c>
      <c r="W81" s="41">
        <f>'3. Verotulot'!X81*100/'Veroposentin tuotto'!G81</f>
        <v>176972.09302325582</v>
      </c>
      <c r="X81" s="41">
        <f>'3. Verotulot'!AC81*100/'Veroposentin tuotto'!H81</f>
        <v>179462.06896551725</v>
      </c>
      <c r="Y81" s="41">
        <f>'3. Verotulot'!AH81*100/'Veroposentin tuotto'!I81</f>
        <v>186484.79793103447</v>
      </c>
      <c r="Z81" s="41">
        <f>'3. Verotulot'!AM81*100/'Veroposentin tuotto'!J81</f>
        <v>185694.84142528736</v>
      </c>
      <c r="AA81" s="41">
        <f>'3. Verotulot'!AR81*100/'Veroposentin tuotto'!K81</f>
        <v>230224.03117453345</v>
      </c>
      <c r="AB81" s="41">
        <f>'3. Verotulot'!AW81*100/'Veroposentin tuotto'!L81</f>
        <v>221592.415181235</v>
      </c>
      <c r="AC81" s="41">
        <f>'3. Verotulot'!BB81*100/'Veroposentin tuotto'!M81</f>
        <v>231864.18496996257</v>
      </c>
      <c r="AD81" s="41">
        <f>'3. Verotulot'!BG81*100/'Veroposentin tuotto'!N81</f>
        <v>240378.02157462973</v>
      </c>
      <c r="AE81" s="41">
        <f>'3. Verotulot'!BL81*100/'Veroposentin tuotto'!O81</f>
        <v>247285.86742390215</v>
      </c>
      <c r="AF81" s="41">
        <f>'3. Verotulot'!BQ81*100/'Veroposentin tuotto'!P81</f>
        <v>255331.13648605472</v>
      </c>
      <c r="AI81" s="41">
        <f>'3. Verotulot'!D81/'Veroposentin tuotto'!C81</f>
        <v>1868.1874674418607</v>
      </c>
      <c r="AJ81" s="41">
        <f>'3. Verotulot'!I81/'Veroposentin tuotto'!D81</f>
        <v>1866.7441860465117</v>
      </c>
      <c r="AK81" s="41">
        <f>'3. Verotulot'!N81/'Veroposentin tuotto'!E81</f>
        <v>1800.5116279069769</v>
      </c>
      <c r="AL81" s="41">
        <f>'3. Verotulot'!S81/'Veroposentin tuotto'!F81</f>
        <v>1755.3488372093022</v>
      </c>
      <c r="AM81" s="41">
        <f>'3. Verotulot'!X81/'Veroposentin tuotto'!G81</f>
        <v>1769.7209302325582</v>
      </c>
      <c r="AN81" s="41">
        <f>'3. Verotulot'!AC81/'Veroposentin tuotto'!H81</f>
        <v>1794.6206896551723</v>
      </c>
      <c r="AO81" s="41">
        <f>'3. Verotulot'!AH81/'Veroposentin tuotto'!I81</f>
        <v>1864.8479793103447</v>
      </c>
      <c r="AP81" s="41">
        <f>'3. Verotulot'!AM81/'Veroposentin tuotto'!J81</f>
        <v>1856.9484142528736</v>
      </c>
      <c r="AQ81" s="41">
        <f>'3. Verotulot'!AR81/'Veroposentin tuotto'!K81</f>
        <v>2302.2403117453346</v>
      </c>
      <c r="AR81" s="41">
        <f>'3. Verotulot'!AW81/'Veroposentin tuotto'!L81</f>
        <v>2215.9241518123499</v>
      </c>
      <c r="AS81" s="41">
        <f>'3. Verotulot'!BB81/'Veroposentin tuotto'!M81</f>
        <v>2318.6418496996262</v>
      </c>
      <c r="AT81" s="41">
        <f>'3. Verotulot'!BG81/'Veroposentin tuotto'!N81</f>
        <v>2403.7802157462975</v>
      </c>
      <c r="AU81" s="41">
        <f>'3. Verotulot'!BL81/'Veroposentin tuotto'!O81</f>
        <v>2472.8586742390216</v>
      </c>
      <c r="AV81" s="41">
        <f>'3. Verotulot'!BQ81/'Veroposentin tuotto'!P81</f>
        <v>2553.3113648605477</v>
      </c>
      <c r="AX81" s="146"/>
      <c r="AZ81" s="34">
        <v>214</v>
      </c>
      <c r="BA81" s="88" t="s">
        <v>395</v>
      </c>
      <c r="BB81" s="41">
        <f>AI81/'1. Väestöennuste'!E81*1000</f>
        <v>137.75161977893089</v>
      </c>
      <c r="BC81" s="41">
        <f>AJ81/'1. Väestöennuste'!F81*1000</f>
        <v>139.35086488851238</v>
      </c>
      <c r="BD81" s="41">
        <f>AK81/'1. Väestöennuste'!G81*1000</f>
        <v>135.45829280070546</v>
      </c>
      <c r="BE81" s="41">
        <f>AL81/'1. Väestöennuste'!H81*1000</f>
        <v>133.61869812052234</v>
      </c>
      <c r="BF81" s="41">
        <f>AM81/'1. Väestöennuste'!I81*1000</f>
        <v>137.12389045657511</v>
      </c>
      <c r="BG81" s="41">
        <f>AN81/'1. Väestöennuste'!J81*1000</f>
        <v>140.66630268499546</v>
      </c>
      <c r="BH81" s="41">
        <f>AO81/'1. Väestöennuste'!K81*1000</f>
        <v>147.27910119336161</v>
      </c>
      <c r="BI81" s="41">
        <f>AP81/'1. Väestöennuste'!L81*1000</f>
        <v>148.22385171239412</v>
      </c>
      <c r="BJ81" s="41">
        <f>AQ81/'1. Väestöennuste'!M81*1000</f>
        <v>185.75442244193437</v>
      </c>
      <c r="BK81" s="41">
        <f>AR81/'1. Väestöennuste'!N81*1000</f>
        <v>182.57593736609954</v>
      </c>
      <c r="BL81" s="41">
        <f>AS81/'1. Väestöennuste'!O81*1000</f>
        <v>193.2523628687803</v>
      </c>
      <c r="BM81" s="41">
        <f>AT81/'1. Väestöennuste'!P81*1000</f>
        <v>202.57712925554506</v>
      </c>
      <c r="BN81" s="41">
        <f>AU81/'1. Väestöennuste'!Q81*1000</f>
        <v>210.61738133370426</v>
      </c>
      <c r="BO81" s="41">
        <f>AV81/'1. Väestöennuste'!R81*1000</f>
        <v>219.75310825893342</v>
      </c>
    </row>
    <row r="82" spans="1:67" x14ac:dyDescent="0.25">
      <c r="A82" s="30">
        <v>216</v>
      </c>
      <c r="B82" s="47" t="s">
        <v>396</v>
      </c>
      <c r="C82" s="47">
        <v>21</v>
      </c>
      <c r="D82" s="47">
        <v>21</v>
      </c>
      <c r="E82" s="47">
        <v>21</v>
      </c>
      <c r="F82" s="47">
        <v>21</v>
      </c>
      <c r="G82" s="47">
        <v>21</v>
      </c>
      <c r="H82" s="58">
        <v>21</v>
      </c>
      <c r="I82" s="139">
        <v>21.5</v>
      </c>
      <c r="J82" s="139">
        <v>21.5</v>
      </c>
      <c r="K82" s="139">
        <f t="shared" si="7"/>
        <v>8.86</v>
      </c>
      <c r="L82" s="139">
        <v>9.1999999999999993</v>
      </c>
      <c r="M82" s="139">
        <f t="shared" si="6"/>
        <v>9.1999999999999993</v>
      </c>
      <c r="N82" s="147">
        <f t="shared" si="6"/>
        <v>9.1999999999999993</v>
      </c>
      <c r="O82" s="147">
        <f t="shared" si="6"/>
        <v>9.1999999999999993</v>
      </c>
      <c r="P82" s="147">
        <f t="shared" si="6"/>
        <v>9.1999999999999993</v>
      </c>
      <c r="Q82" s="147"/>
      <c r="S82" s="41">
        <f>'3. Verotulot'!D82*100/'Veroposentin tuotto'!C82</f>
        <v>15922.313333333332</v>
      </c>
      <c r="T82" s="41">
        <f>'3. Verotulot'!I82*100/'Veroposentin tuotto'!D82</f>
        <v>15519.047619047618</v>
      </c>
      <c r="U82" s="41">
        <f>'3. Verotulot'!N82*100/'Veroposentin tuotto'!E82</f>
        <v>15314.285714285714</v>
      </c>
      <c r="V82" s="41">
        <f>'3. Verotulot'!S82*100/'Veroposentin tuotto'!F82</f>
        <v>14447.619047619048</v>
      </c>
      <c r="W82" s="41">
        <f>'3. Verotulot'!X82*100/'Veroposentin tuotto'!G82</f>
        <v>15319.047619047618</v>
      </c>
      <c r="X82" s="41">
        <f>'3. Verotulot'!AC82*100/'Veroposentin tuotto'!H82</f>
        <v>15176.190476190477</v>
      </c>
      <c r="Y82" s="41">
        <f>'3. Verotulot'!AH82*100/'Veroposentin tuotto'!I82</f>
        <v>16084.052093023258</v>
      </c>
      <c r="Z82" s="41">
        <f>'3. Verotulot'!AM82*100/'Veroposentin tuotto'!J82</f>
        <v>16079.308000000001</v>
      </c>
      <c r="AA82" s="41">
        <f>'3. Verotulot'!AR82*100/'Veroposentin tuotto'!K82</f>
        <v>20148.363882618512</v>
      </c>
      <c r="AB82" s="41">
        <f>'3. Verotulot'!AW82*100/'Veroposentin tuotto'!L82</f>
        <v>18621.709702914992</v>
      </c>
      <c r="AC82" s="41">
        <f>'3. Verotulot'!BB82*100/'Veroposentin tuotto'!M82</f>
        <v>19904.067074240338</v>
      </c>
      <c r="AD82" s="41">
        <f>'3. Verotulot'!BG82*100/'Veroposentin tuotto'!N82</f>
        <v>20421.464440515538</v>
      </c>
      <c r="AE82" s="41">
        <f>'3. Verotulot'!BL82*100/'Veroposentin tuotto'!O82</f>
        <v>20989.439078075302</v>
      </c>
      <c r="AF82" s="41">
        <f>'3. Verotulot'!BQ82*100/'Veroposentin tuotto'!P82</f>
        <v>21503.706564945089</v>
      </c>
      <c r="AI82" s="41">
        <f>'3. Verotulot'!D82/'Veroposentin tuotto'!C82</f>
        <v>159.22313333333332</v>
      </c>
      <c r="AJ82" s="41">
        <f>'3. Verotulot'!I82/'Veroposentin tuotto'!D82</f>
        <v>155.1904761904762</v>
      </c>
      <c r="AK82" s="41">
        <f>'3. Verotulot'!N82/'Veroposentin tuotto'!E82</f>
        <v>153.14285714285714</v>
      </c>
      <c r="AL82" s="41">
        <f>'3. Verotulot'!S82/'Veroposentin tuotto'!F82</f>
        <v>144.47619047619048</v>
      </c>
      <c r="AM82" s="41">
        <f>'3. Verotulot'!X82/'Veroposentin tuotto'!G82</f>
        <v>153.1904761904762</v>
      </c>
      <c r="AN82" s="41">
        <f>'3. Verotulot'!AC82/'Veroposentin tuotto'!H82</f>
        <v>151.76190476190476</v>
      </c>
      <c r="AO82" s="41">
        <f>'3. Verotulot'!AH82/'Veroposentin tuotto'!I82</f>
        <v>160.84052093023257</v>
      </c>
      <c r="AP82" s="41">
        <f>'3. Verotulot'!AM82/'Veroposentin tuotto'!J82</f>
        <v>160.79308</v>
      </c>
      <c r="AQ82" s="41">
        <f>'3. Verotulot'!AR82/'Veroposentin tuotto'!K82</f>
        <v>201.48363882618511</v>
      </c>
      <c r="AR82" s="41">
        <f>'3. Verotulot'!AW82/'Veroposentin tuotto'!L82</f>
        <v>186.21709702914993</v>
      </c>
      <c r="AS82" s="41">
        <f>'3. Verotulot'!BB82/'Veroposentin tuotto'!M82</f>
        <v>199.04067074240336</v>
      </c>
      <c r="AT82" s="41">
        <f>'3. Verotulot'!BG82/'Veroposentin tuotto'!N82</f>
        <v>204.21464440515538</v>
      </c>
      <c r="AU82" s="41">
        <f>'3. Verotulot'!BL82/'Veroposentin tuotto'!O82</f>
        <v>209.89439078075301</v>
      </c>
      <c r="AV82" s="41">
        <f>'3. Verotulot'!BQ82/'Veroposentin tuotto'!P82</f>
        <v>215.03706564945088</v>
      </c>
      <c r="AX82" s="146"/>
      <c r="AZ82" s="34">
        <v>216</v>
      </c>
      <c r="BA82" s="88" t="s">
        <v>396</v>
      </c>
      <c r="BB82" s="41">
        <f>AI82/'1. Väestöennuste'!E82*1000</f>
        <v>108.90775193798449</v>
      </c>
      <c r="BC82" s="41">
        <f>AJ82/'1. Väestöennuste'!F82*1000</f>
        <v>108.98207597645801</v>
      </c>
      <c r="BD82" s="41">
        <f>AK82/'1. Väestöennuste'!G82*1000</f>
        <v>108.76623376623377</v>
      </c>
      <c r="BE82" s="41">
        <f>AL82/'1. Väestöennuste'!H82*1000</f>
        <v>106.78210678210678</v>
      </c>
      <c r="BF82" s="41">
        <f>AM82/'1. Väestöennuste'!I82*1000</f>
        <v>114.40662896973578</v>
      </c>
      <c r="BG82" s="41">
        <f>AN82/'1. Väestöennuste'!J82*1000</f>
        <v>114.71043443832559</v>
      </c>
      <c r="BH82" s="41">
        <f>AO82/'1. Väestöennuste'!K82*1000</f>
        <v>122.68537065616519</v>
      </c>
      <c r="BI82" s="41">
        <f>AP82/'1. Väestöennuste'!L82*1000</f>
        <v>126.70849487785657</v>
      </c>
      <c r="BJ82" s="41">
        <f>AQ82/'1. Väestöennuste'!M82*1000</f>
        <v>165.55763256054649</v>
      </c>
      <c r="BK82" s="41">
        <f>AR82/'1. Väestöennuste'!N82*1000</f>
        <v>149.93325042604664</v>
      </c>
      <c r="BL82" s="41">
        <f>AS82/'1. Väestöennuste'!O82*1000</f>
        <v>162.61492707712694</v>
      </c>
      <c r="BM82" s="41">
        <f>AT82/'1. Väestöennuste'!P82*1000</f>
        <v>168.7724333926904</v>
      </c>
      <c r="BN82" s="41">
        <f>AU82/'1. Väestöennuste'!Q82*1000</f>
        <v>175.79094705255696</v>
      </c>
      <c r="BO82" s="41">
        <f>AV82/'1. Väestöennuste'!R82*1000</f>
        <v>182.38936865941551</v>
      </c>
    </row>
    <row r="83" spans="1:67" x14ac:dyDescent="0.25">
      <c r="A83" s="30">
        <v>217</v>
      </c>
      <c r="B83" s="47" t="s">
        <v>397</v>
      </c>
      <c r="C83" s="47">
        <v>20.5</v>
      </c>
      <c r="D83" s="47">
        <v>20.5</v>
      </c>
      <c r="E83" s="47">
        <v>20.5</v>
      </c>
      <c r="F83" s="47">
        <v>21.5</v>
      </c>
      <c r="G83" s="47">
        <v>21.5</v>
      </c>
      <c r="H83" s="58">
        <v>21.5</v>
      </c>
      <c r="I83" s="139">
        <v>21.5</v>
      </c>
      <c r="J83" s="139">
        <v>21.5</v>
      </c>
      <c r="K83" s="139">
        <f t="shared" si="7"/>
        <v>8.86</v>
      </c>
      <c r="L83" s="139">
        <v>8.9</v>
      </c>
      <c r="M83" s="139">
        <f t="shared" si="6"/>
        <v>8.9</v>
      </c>
      <c r="N83" s="147">
        <f t="shared" si="6"/>
        <v>8.9</v>
      </c>
      <c r="O83" s="147">
        <f t="shared" si="6"/>
        <v>8.9</v>
      </c>
      <c r="P83" s="147">
        <f t="shared" si="6"/>
        <v>8.9</v>
      </c>
      <c r="Q83" s="147"/>
      <c r="S83" s="41">
        <f>'3. Verotulot'!D83*100/'Veroposentin tuotto'!C83</f>
        <v>78617.293512195116</v>
      </c>
      <c r="T83" s="41">
        <f>'3. Verotulot'!I83*100/'Veroposentin tuotto'!D83</f>
        <v>72121.951219512193</v>
      </c>
      <c r="U83" s="41">
        <f>'3. Verotulot'!N83*100/'Veroposentin tuotto'!E83</f>
        <v>73829.268292682929</v>
      </c>
      <c r="V83" s="41">
        <f>'3. Verotulot'!S83*100/'Veroposentin tuotto'!F83</f>
        <v>71381.395348837206</v>
      </c>
      <c r="W83" s="41">
        <f>'3. Verotulot'!X83*100/'Veroposentin tuotto'!G83</f>
        <v>72386.046511627908</v>
      </c>
      <c r="X83" s="41">
        <f>'3. Verotulot'!AC83*100/'Veroposentin tuotto'!H83</f>
        <v>77283.720930232565</v>
      </c>
      <c r="Y83" s="41">
        <f>'3. Verotulot'!AH83*100/'Veroposentin tuotto'!I83</f>
        <v>77039.219348837214</v>
      </c>
      <c r="Z83" s="41">
        <f>'3. Verotulot'!AM83*100/'Veroposentin tuotto'!J83</f>
        <v>80100.679720930231</v>
      </c>
      <c r="AA83" s="41">
        <f>'3. Verotulot'!AR83*100/'Veroposentin tuotto'!K83</f>
        <v>99469.300112866811</v>
      </c>
      <c r="AB83" s="41">
        <f>'3. Verotulot'!AW83*100/'Veroposentin tuotto'!L83</f>
        <v>94955.214327400972</v>
      </c>
      <c r="AC83" s="41">
        <f>'3. Verotulot'!BB83*100/'Veroposentin tuotto'!M83</f>
        <v>101453.27398987877</v>
      </c>
      <c r="AD83" s="41">
        <f>'3. Verotulot'!BG83*100/'Veroposentin tuotto'!N83</f>
        <v>106352.98093788439</v>
      </c>
      <c r="AE83" s="41">
        <f>'3. Verotulot'!BL83*100/'Veroposentin tuotto'!O83</f>
        <v>110088.82884602407</v>
      </c>
      <c r="AF83" s="41">
        <f>'3. Verotulot'!BQ83*100/'Veroposentin tuotto'!P83</f>
        <v>114315.56864368085</v>
      </c>
      <c r="AI83" s="41">
        <f>'3. Verotulot'!D83/'Veroposentin tuotto'!C83</f>
        <v>786.17293512195124</v>
      </c>
      <c r="AJ83" s="41">
        <f>'3. Verotulot'!I83/'Veroposentin tuotto'!D83</f>
        <v>721.21951219512198</v>
      </c>
      <c r="AK83" s="41">
        <f>'3. Verotulot'!N83/'Veroposentin tuotto'!E83</f>
        <v>738.29268292682923</v>
      </c>
      <c r="AL83" s="41">
        <f>'3. Verotulot'!S83/'Veroposentin tuotto'!F83</f>
        <v>713.81395348837214</v>
      </c>
      <c r="AM83" s="41">
        <f>'3. Verotulot'!X83/'Veroposentin tuotto'!G83</f>
        <v>723.8604651162791</v>
      </c>
      <c r="AN83" s="41">
        <f>'3. Verotulot'!AC83/'Veroposentin tuotto'!H83</f>
        <v>772.83720930232562</v>
      </c>
      <c r="AO83" s="41">
        <f>'3. Verotulot'!AH83/'Veroposentin tuotto'!I83</f>
        <v>770.39219348837207</v>
      </c>
      <c r="AP83" s="41">
        <f>'3. Verotulot'!AM83/'Veroposentin tuotto'!J83</f>
        <v>801.00679720930236</v>
      </c>
      <c r="AQ83" s="41">
        <f>'3. Verotulot'!AR83/'Veroposentin tuotto'!K83</f>
        <v>994.69300112866824</v>
      </c>
      <c r="AR83" s="41">
        <f>'3. Verotulot'!AW83/'Veroposentin tuotto'!L83</f>
        <v>949.55214327400961</v>
      </c>
      <c r="AS83" s="41">
        <f>'3. Verotulot'!BB83/'Veroposentin tuotto'!M83</f>
        <v>1014.5327398987877</v>
      </c>
      <c r="AT83" s="41">
        <f>'3. Verotulot'!BG83/'Veroposentin tuotto'!N83</f>
        <v>1063.529809378844</v>
      </c>
      <c r="AU83" s="41">
        <f>'3. Verotulot'!BL83/'Veroposentin tuotto'!O83</f>
        <v>1100.8882884602408</v>
      </c>
      <c r="AV83" s="41">
        <f>'3. Verotulot'!BQ83/'Veroposentin tuotto'!P83</f>
        <v>1143.1556864368085</v>
      </c>
      <c r="AX83" s="146"/>
      <c r="AZ83" s="34">
        <v>217</v>
      </c>
      <c r="BA83" s="88" t="s">
        <v>397</v>
      </c>
      <c r="BB83" s="41">
        <f>AI83/'1. Väestöennuste'!E83*1000</f>
        <v>140.6391654958768</v>
      </c>
      <c r="BC83" s="41">
        <f>AJ83/'1. Väestöennuste'!F83*1000</f>
        <v>129.29715170224489</v>
      </c>
      <c r="BD83" s="41">
        <f>AK83/'1. Väestöennuste'!G83*1000</f>
        <v>133.74867444326617</v>
      </c>
      <c r="BE83" s="41">
        <f>AL83/'1. Väestöennuste'!H83*1000</f>
        <v>129.73717802405889</v>
      </c>
      <c r="BF83" s="41">
        <f>AM83/'1. Väestöennuste'!I83*1000</f>
        <v>132.47812319111989</v>
      </c>
      <c r="BG83" s="41">
        <f>AN83/'1. Väestöennuste'!J83*1000</f>
        <v>142.43221697425832</v>
      </c>
      <c r="BH83" s="41">
        <f>AO83/'1. Väestöennuste'!K83*1000</f>
        <v>142.9299060275273</v>
      </c>
      <c r="BI83" s="41">
        <f>AP83/'1. Väestöennuste'!L83*1000</f>
        <v>149.66494716167833</v>
      </c>
      <c r="BJ83" s="41">
        <f>AQ83/'1. Väestöennuste'!M83*1000</f>
        <v>189.60979815643694</v>
      </c>
      <c r="BK83" s="41">
        <f>AR83/'1. Väestöennuste'!N83*1000</f>
        <v>179.87348802311226</v>
      </c>
      <c r="BL83" s="41">
        <f>AS83/'1. Väestöennuste'!O83*1000</f>
        <v>193.42854907507868</v>
      </c>
      <c r="BM83" s="41">
        <f>AT83/'1. Väestöennuste'!P83*1000</f>
        <v>203.97579773280475</v>
      </c>
      <c r="BN83" s="41">
        <f>AU83/'1. Väestöennuste'!Q83*1000</f>
        <v>212.32175283707633</v>
      </c>
      <c r="BO83" s="41">
        <f>AV83/'1. Väestöennuste'!R83*1000</f>
        <v>221.75668020112676</v>
      </c>
    </row>
    <row r="84" spans="1:67" x14ac:dyDescent="0.25">
      <c r="A84" s="30">
        <v>218</v>
      </c>
      <c r="B84" s="47" t="s">
        <v>398</v>
      </c>
      <c r="C84" s="47">
        <v>22</v>
      </c>
      <c r="D84" s="47">
        <v>22</v>
      </c>
      <c r="E84" s="47">
        <v>22</v>
      </c>
      <c r="F84" s="47">
        <v>22</v>
      </c>
      <c r="G84" s="47">
        <v>22</v>
      </c>
      <c r="H84" s="58">
        <v>22</v>
      </c>
      <c r="I84" s="139">
        <v>22.5</v>
      </c>
      <c r="J84" s="139">
        <v>22.5</v>
      </c>
      <c r="K84" s="139">
        <f t="shared" si="7"/>
        <v>9.86</v>
      </c>
      <c r="L84" s="139">
        <v>9.8000000000000007</v>
      </c>
      <c r="M84" s="139">
        <f t="shared" si="6"/>
        <v>9.8000000000000007</v>
      </c>
      <c r="N84" s="147">
        <f t="shared" si="6"/>
        <v>9.8000000000000007</v>
      </c>
      <c r="O84" s="147">
        <f t="shared" si="6"/>
        <v>9.8000000000000007</v>
      </c>
      <c r="P84" s="147">
        <f t="shared" si="6"/>
        <v>9.8000000000000007</v>
      </c>
      <c r="Q84" s="147"/>
      <c r="S84" s="41">
        <f>'3. Verotulot'!D84*100/'Veroposentin tuotto'!C84</f>
        <v>16078.713772727271</v>
      </c>
      <c r="T84" s="41">
        <f>'3. Verotulot'!I84*100/'Veroposentin tuotto'!D84</f>
        <v>15950</v>
      </c>
      <c r="U84" s="41">
        <f>'3. Verotulot'!N84*100/'Veroposentin tuotto'!E84</f>
        <v>16850</v>
      </c>
      <c r="V84" s="41">
        <f>'3. Verotulot'!S84*100/'Veroposentin tuotto'!F84</f>
        <v>15950</v>
      </c>
      <c r="W84" s="41">
        <f>'3. Verotulot'!X84*100/'Veroposentin tuotto'!G84</f>
        <v>14863.636363636364</v>
      </c>
      <c r="X84" s="41">
        <f>'3. Verotulot'!AC84*100/'Veroposentin tuotto'!H84</f>
        <v>16168.181818181818</v>
      </c>
      <c r="Y84" s="41">
        <f>'3. Verotulot'!AH84*100/'Veroposentin tuotto'!I84</f>
        <v>14902.374488888889</v>
      </c>
      <c r="Z84" s="41">
        <f>'3. Verotulot'!AM84*100/'Veroposentin tuotto'!J84</f>
        <v>15195.69231111111</v>
      </c>
      <c r="AA84" s="41">
        <f>'3. Verotulot'!AR84*100/'Veroposentin tuotto'!K84</f>
        <v>20634.989148073022</v>
      </c>
      <c r="AB84" s="41">
        <f>'3. Verotulot'!AW84*100/'Veroposentin tuotto'!L84</f>
        <v>18686.098925793776</v>
      </c>
      <c r="AC84" s="41">
        <f>'3. Verotulot'!BB84*100/'Veroposentin tuotto'!M84</f>
        <v>19192.870006559602</v>
      </c>
      <c r="AD84" s="41">
        <f>'3. Verotulot'!BG84*100/'Veroposentin tuotto'!N84</f>
        <v>19847.936710836064</v>
      </c>
      <c r="AE84" s="41">
        <f>'3. Verotulot'!BL84*100/'Veroposentin tuotto'!O84</f>
        <v>20303.716824497242</v>
      </c>
      <c r="AF84" s="41">
        <f>'3. Verotulot'!BQ84*100/'Veroposentin tuotto'!P84</f>
        <v>20691.686496315298</v>
      </c>
      <c r="AI84" s="41">
        <f>'3. Verotulot'!D84/'Veroposentin tuotto'!C84</f>
        <v>160.78713772727272</v>
      </c>
      <c r="AJ84" s="41">
        <f>'3. Verotulot'!I84/'Veroposentin tuotto'!D84</f>
        <v>159.5</v>
      </c>
      <c r="AK84" s="41">
        <f>'3. Verotulot'!N84/'Veroposentin tuotto'!E84</f>
        <v>168.5</v>
      </c>
      <c r="AL84" s="41">
        <f>'3. Verotulot'!S84/'Veroposentin tuotto'!F84</f>
        <v>159.5</v>
      </c>
      <c r="AM84" s="41">
        <f>'3. Verotulot'!X84/'Veroposentin tuotto'!G84</f>
        <v>148.63636363636363</v>
      </c>
      <c r="AN84" s="41">
        <f>'3. Verotulot'!AC84/'Veroposentin tuotto'!H84</f>
        <v>161.68181818181819</v>
      </c>
      <c r="AO84" s="41">
        <f>'3. Verotulot'!AH84/'Veroposentin tuotto'!I84</f>
        <v>149.02374488888887</v>
      </c>
      <c r="AP84" s="41">
        <f>'3. Verotulot'!AM84/'Veroposentin tuotto'!J84</f>
        <v>151.95692311111111</v>
      </c>
      <c r="AQ84" s="41">
        <f>'3. Verotulot'!AR84/'Veroposentin tuotto'!K84</f>
        <v>206.34989148073021</v>
      </c>
      <c r="AR84" s="41">
        <f>'3. Verotulot'!AW84/'Veroposentin tuotto'!L84</f>
        <v>186.86098925793775</v>
      </c>
      <c r="AS84" s="41">
        <f>'3. Verotulot'!BB84/'Veroposentin tuotto'!M84</f>
        <v>191.92870006559602</v>
      </c>
      <c r="AT84" s="41">
        <f>'3. Verotulot'!BG84/'Veroposentin tuotto'!N84</f>
        <v>198.47936710836063</v>
      </c>
      <c r="AU84" s="41">
        <f>'3. Verotulot'!BL84/'Veroposentin tuotto'!O84</f>
        <v>203.03716824497241</v>
      </c>
      <c r="AV84" s="41">
        <f>'3. Verotulot'!BQ84/'Veroposentin tuotto'!P84</f>
        <v>206.91686496315296</v>
      </c>
      <c r="AX84" s="146"/>
      <c r="AZ84" s="34">
        <v>218</v>
      </c>
      <c r="BA84" s="88" t="s">
        <v>398</v>
      </c>
      <c r="BB84" s="41">
        <f>AI84/'1. Väestöennuste'!E84*1000</f>
        <v>117.44860316090046</v>
      </c>
      <c r="BC84" s="41">
        <f>AJ84/'1. Väestöennuste'!F84*1000</f>
        <v>118.23573017049667</v>
      </c>
      <c r="BD84" s="41">
        <f>AK84/'1. Väestöennuste'!G84*1000</f>
        <v>126.78705793829947</v>
      </c>
      <c r="BE84" s="41">
        <f>AL84/'1. Väestöennuste'!H84*1000</f>
        <v>125.19623233908946</v>
      </c>
      <c r="BF84" s="41">
        <f>AM84/'1. Väestöennuste'!I84*1000</f>
        <v>119.38663745892661</v>
      </c>
      <c r="BG84" s="41">
        <f>AN84/'1. Väestöennuste'!J84*1000</f>
        <v>133.95345334036304</v>
      </c>
      <c r="BH84" s="41">
        <f>AO84/'1. Väestöennuste'!K84*1000</f>
        <v>125.01992020879941</v>
      </c>
      <c r="BI84" s="41">
        <f>AP84/'1. Väestöennuste'!L84*1000</f>
        <v>126.63076925925925</v>
      </c>
      <c r="BJ84" s="41">
        <f>AQ84/'1. Väestöennuste'!M84*1000</f>
        <v>173.69519484909952</v>
      </c>
      <c r="BK84" s="41">
        <f>AR84/'1. Väestöennuste'!N84*1000</f>
        <v>168.79944829082001</v>
      </c>
      <c r="BL84" s="41">
        <f>AS84/'1. Väestöennuste'!O84*1000</f>
        <v>176.40505520734928</v>
      </c>
      <c r="BM84" s="41">
        <f>AT84/'1. Väestöennuste'!P84*1000</f>
        <v>185.32153791630313</v>
      </c>
      <c r="BN84" s="41">
        <f>AU84/'1. Väestöennuste'!Q84*1000</f>
        <v>193.00111049902318</v>
      </c>
      <c r="BO84" s="41">
        <f>AV84/'1. Väestöennuste'!R84*1000</f>
        <v>199.15001440149464</v>
      </c>
    </row>
    <row r="85" spans="1:67" x14ac:dyDescent="0.25">
      <c r="A85" s="30">
        <v>224</v>
      </c>
      <c r="B85" s="47" t="s">
        <v>399</v>
      </c>
      <c r="C85" s="47">
        <v>20.75</v>
      </c>
      <c r="D85" s="47">
        <v>20.75</v>
      </c>
      <c r="E85" s="47">
        <v>20.75</v>
      </c>
      <c r="F85" s="47">
        <v>20.75</v>
      </c>
      <c r="G85" s="47">
        <v>20.75</v>
      </c>
      <c r="H85" s="58">
        <v>20.75</v>
      </c>
      <c r="I85" s="139">
        <v>21.25</v>
      </c>
      <c r="J85" s="139">
        <v>21.25</v>
      </c>
      <c r="K85" s="139">
        <f t="shared" si="7"/>
        <v>8.61</v>
      </c>
      <c r="L85" s="139">
        <v>8.6</v>
      </c>
      <c r="M85" s="139">
        <f t="shared" si="6"/>
        <v>8.6</v>
      </c>
      <c r="N85" s="147">
        <f t="shared" si="6"/>
        <v>8.6</v>
      </c>
      <c r="O85" s="147">
        <f t="shared" si="6"/>
        <v>8.6</v>
      </c>
      <c r="P85" s="147">
        <f t="shared" si="6"/>
        <v>8.6</v>
      </c>
      <c r="Q85" s="147"/>
      <c r="S85" s="41">
        <f>'3. Verotulot'!D85*100/'Veroposentin tuotto'!C85</f>
        <v>137507.26597590363</v>
      </c>
      <c r="T85" s="41">
        <f>'3. Verotulot'!I85*100/'Veroposentin tuotto'!D85</f>
        <v>136313.2530120482</v>
      </c>
      <c r="U85" s="41">
        <f>'3. Verotulot'!N85*100/'Veroposentin tuotto'!E85</f>
        <v>134746.98795180724</v>
      </c>
      <c r="V85" s="41">
        <f>'3. Verotulot'!S85*100/'Veroposentin tuotto'!F85</f>
        <v>131407.22891566265</v>
      </c>
      <c r="W85" s="41">
        <f>'3. Verotulot'!X85*100/'Veroposentin tuotto'!G85</f>
        <v>131633.73493975904</v>
      </c>
      <c r="X85" s="41">
        <f>'3. Verotulot'!AC85*100/'Veroposentin tuotto'!H85</f>
        <v>137869.8795180723</v>
      </c>
      <c r="Y85" s="41">
        <f>'3. Verotulot'!AH85*100/'Veroposentin tuotto'!I85</f>
        <v>141562.53369411765</v>
      </c>
      <c r="Z85" s="41">
        <f>'3. Verotulot'!AM85*100/'Veroposentin tuotto'!J85</f>
        <v>145946.13562352941</v>
      </c>
      <c r="AA85" s="41">
        <f>'3. Verotulot'!AR85*100/'Veroposentin tuotto'!K85</f>
        <v>174715.32706155634</v>
      </c>
      <c r="AB85" s="41">
        <f>'3. Verotulot'!AW85*100/'Veroposentin tuotto'!L85</f>
        <v>172574.11903664656</v>
      </c>
      <c r="AC85" s="41">
        <f>'3. Verotulot'!BB85*100/'Veroposentin tuotto'!M85</f>
        <v>182364.49733036631</v>
      </c>
      <c r="AD85" s="41">
        <f>'3. Verotulot'!BG85*100/'Veroposentin tuotto'!N85</f>
        <v>190494.65091866575</v>
      </c>
      <c r="AE85" s="41">
        <f>'3. Verotulot'!BL85*100/'Veroposentin tuotto'!O85</f>
        <v>197766.57113350235</v>
      </c>
      <c r="AF85" s="41">
        <f>'3. Verotulot'!BQ85*100/'Veroposentin tuotto'!P85</f>
        <v>205811.24231465044</v>
      </c>
      <c r="AI85" s="41">
        <f>'3. Verotulot'!D85/'Veroposentin tuotto'!C85</f>
        <v>1375.0726597590362</v>
      </c>
      <c r="AJ85" s="41">
        <f>'3. Verotulot'!I85/'Veroposentin tuotto'!D85</f>
        <v>1363.132530120482</v>
      </c>
      <c r="AK85" s="41">
        <f>'3. Verotulot'!N85/'Veroposentin tuotto'!E85</f>
        <v>1347.4698795180723</v>
      </c>
      <c r="AL85" s="41">
        <f>'3. Verotulot'!S85/'Veroposentin tuotto'!F85</f>
        <v>1314.0722891566265</v>
      </c>
      <c r="AM85" s="41">
        <f>'3. Verotulot'!X85/'Veroposentin tuotto'!G85</f>
        <v>1316.3373493975903</v>
      </c>
      <c r="AN85" s="41">
        <f>'3. Verotulot'!AC85/'Veroposentin tuotto'!H85</f>
        <v>1378.698795180723</v>
      </c>
      <c r="AO85" s="41">
        <f>'3. Verotulot'!AH85/'Veroposentin tuotto'!I85</f>
        <v>1415.6253369411766</v>
      </c>
      <c r="AP85" s="41">
        <f>'3. Verotulot'!AM85/'Veroposentin tuotto'!J85</f>
        <v>1459.4613562352943</v>
      </c>
      <c r="AQ85" s="41">
        <f>'3. Verotulot'!AR85/'Veroposentin tuotto'!K85</f>
        <v>1747.1532706155633</v>
      </c>
      <c r="AR85" s="41">
        <f>'3. Verotulot'!AW85/'Veroposentin tuotto'!L85</f>
        <v>1725.7411903664656</v>
      </c>
      <c r="AS85" s="41">
        <f>'3. Verotulot'!BB85/'Veroposentin tuotto'!M85</f>
        <v>1823.6449733036629</v>
      </c>
      <c r="AT85" s="41">
        <f>'3. Verotulot'!BG85/'Veroposentin tuotto'!N85</f>
        <v>1904.9465091866575</v>
      </c>
      <c r="AU85" s="41">
        <f>'3. Verotulot'!BL85/'Veroposentin tuotto'!O85</f>
        <v>1977.6657113350236</v>
      </c>
      <c r="AV85" s="41">
        <f>'3. Verotulot'!BQ85/'Veroposentin tuotto'!P85</f>
        <v>2058.1124231465046</v>
      </c>
      <c r="AX85" s="146"/>
      <c r="AZ85" s="34">
        <v>224</v>
      </c>
      <c r="BA85" s="88" t="s">
        <v>399</v>
      </c>
      <c r="BB85" s="41">
        <f>AI85/'1. Väestöennuste'!E85*1000</f>
        <v>153.31393240707283</v>
      </c>
      <c r="BC85" s="41">
        <f>AJ85/'1. Väestöennuste'!F85*1000</f>
        <v>152.97189205706226</v>
      </c>
      <c r="BD85" s="41">
        <f>AK85/'1. Väestöennuste'!G85*1000</f>
        <v>151.40111005821035</v>
      </c>
      <c r="BE85" s="41">
        <f>AL85/'1. Väestöennuste'!H85*1000</f>
        <v>149.7006481153596</v>
      </c>
      <c r="BF85" s="41">
        <f>AM85/'1. Väestöennuste'!I85*1000</f>
        <v>151.06005845737783</v>
      </c>
      <c r="BG85" s="41">
        <f>AN85/'1. Väestöennuste'!J85*1000</f>
        <v>158.54401968499573</v>
      </c>
      <c r="BH85" s="41">
        <f>AO85/'1. Väestöennuste'!K85*1000</f>
        <v>162.39822610315207</v>
      </c>
      <c r="BI85" s="41">
        <f>AP85/'1. Väestöennuste'!L85*1000</f>
        <v>169.64563015637501</v>
      </c>
      <c r="BJ85" s="41">
        <f>AQ85/'1. Väestöennuste'!M85*1000</f>
        <v>203.60718687979994</v>
      </c>
      <c r="BK85" s="41">
        <f>AR85/'1. Väestöennuste'!N85*1000</f>
        <v>203.77154213796973</v>
      </c>
      <c r="BL85" s="41">
        <f>AS85/'1. Väestöennuste'!O85*1000</f>
        <v>216.48207185466083</v>
      </c>
      <c r="BM85" s="41">
        <f>AT85/'1. Väestöennuste'!P85*1000</f>
        <v>227.15794290325036</v>
      </c>
      <c r="BN85" s="41">
        <f>AU85/'1. Väestöennuste'!Q85*1000</f>
        <v>236.87456118517468</v>
      </c>
      <c r="BO85" s="41">
        <f>AV85/'1. Väestöennuste'!R85*1000</f>
        <v>247.51803044455858</v>
      </c>
    </row>
    <row r="86" spans="1:67" x14ac:dyDescent="0.25">
      <c r="A86" s="30">
        <v>226</v>
      </c>
      <c r="B86" s="47" t="s">
        <v>400</v>
      </c>
      <c r="C86" s="47">
        <v>20</v>
      </c>
      <c r="D86" s="47">
        <v>20</v>
      </c>
      <c r="E86" s="47">
        <v>20</v>
      </c>
      <c r="F86" s="47">
        <v>21</v>
      </c>
      <c r="G86" s="47">
        <v>21.5</v>
      </c>
      <c r="H86" s="59">
        <v>21.5</v>
      </c>
      <c r="I86" s="139">
        <v>21.5</v>
      </c>
      <c r="J86" s="139">
        <v>21.5</v>
      </c>
      <c r="K86" s="139">
        <f t="shared" si="7"/>
        <v>8.86</v>
      </c>
      <c r="L86" s="139">
        <v>8.8000000000000007</v>
      </c>
      <c r="M86" s="139">
        <f t="shared" si="6"/>
        <v>8.8000000000000007</v>
      </c>
      <c r="N86" s="147">
        <f t="shared" si="6"/>
        <v>8.8000000000000007</v>
      </c>
      <c r="O86" s="147">
        <f t="shared" si="6"/>
        <v>8.8000000000000007</v>
      </c>
      <c r="P86" s="147">
        <f t="shared" si="6"/>
        <v>8.8000000000000007</v>
      </c>
      <c r="Q86" s="147"/>
      <c r="S86" s="41">
        <f>'3. Verotulot'!D86*100/'Veroposentin tuotto'!C86</f>
        <v>50840.756150000008</v>
      </c>
      <c r="T86" s="41">
        <f>'3. Verotulot'!I86*100/'Veroposentin tuotto'!D86</f>
        <v>48135</v>
      </c>
      <c r="U86" s="41">
        <f>'3. Verotulot'!N86*100/'Veroposentin tuotto'!E86</f>
        <v>49015</v>
      </c>
      <c r="V86" s="41">
        <f>'3. Verotulot'!S86*100/'Veroposentin tuotto'!F86</f>
        <v>45838.095238095237</v>
      </c>
      <c r="W86" s="41">
        <f>'3. Verotulot'!X86*100/'Veroposentin tuotto'!G86</f>
        <v>46860.465116279069</v>
      </c>
      <c r="X86" s="41">
        <f>'3. Verotulot'!AC86*100/'Veroposentin tuotto'!H86</f>
        <v>47204.651162790695</v>
      </c>
      <c r="Y86" s="41">
        <f>'3. Verotulot'!AH86*100/'Veroposentin tuotto'!I86</f>
        <v>49325.591534883715</v>
      </c>
      <c r="Z86" s="41">
        <f>'3. Verotulot'!AM86*100/'Veroposentin tuotto'!J86</f>
        <v>50036.723674418601</v>
      </c>
      <c r="AA86" s="41">
        <f>'3. Verotulot'!AR86*100/'Veroposentin tuotto'!K86</f>
        <v>59384.86602708805</v>
      </c>
      <c r="AB86" s="41">
        <f>'3. Verotulot'!AW86*100/'Veroposentin tuotto'!L86</f>
        <v>57528.422316027078</v>
      </c>
      <c r="AC86" s="41">
        <f>'3. Verotulot'!BB86*100/'Veroposentin tuotto'!M86</f>
        <v>58788.059238259782</v>
      </c>
      <c r="AD86" s="41">
        <f>'3. Verotulot'!BG86*100/'Veroposentin tuotto'!N86</f>
        <v>59947.471331340807</v>
      </c>
      <c r="AE86" s="41">
        <f>'3. Verotulot'!BL86*100/'Veroposentin tuotto'!O86</f>
        <v>60759.248337237004</v>
      </c>
      <c r="AF86" s="41">
        <f>'3. Verotulot'!BQ86*100/'Veroposentin tuotto'!P86</f>
        <v>61850.878312320019</v>
      </c>
      <c r="AI86" s="41">
        <f>'3. Verotulot'!D86/'Veroposentin tuotto'!C86</f>
        <v>508.40756150000004</v>
      </c>
      <c r="AJ86" s="41">
        <f>'3. Verotulot'!I86/'Veroposentin tuotto'!D86</f>
        <v>481.35</v>
      </c>
      <c r="AK86" s="41">
        <f>'3. Verotulot'!N86/'Veroposentin tuotto'!E86</f>
        <v>490.15</v>
      </c>
      <c r="AL86" s="41">
        <f>'3. Verotulot'!S86/'Veroposentin tuotto'!F86</f>
        <v>458.38095238095241</v>
      </c>
      <c r="AM86" s="41">
        <f>'3. Verotulot'!X86/'Veroposentin tuotto'!G86</f>
        <v>468.60465116279067</v>
      </c>
      <c r="AN86" s="41">
        <f>'3. Verotulot'!AC86/'Veroposentin tuotto'!H86</f>
        <v>472.04651162790697</v>
      </c>
      <c r="AO86" s="41">
        <f>'3. Verotulot'!AH86/'Veroposentin tuotto'!I86</f>
        <v>493.25591534883716</v>
      </c>
      <c r="AP86" s="41">
        <f>'3. Verotulot'!AM86/'Veroposentin tuotto'!J86</f>
        <v>500.36723674418607</v>
      </c>
      <c r="AQ86" s="41">
        <f>'3. Verotulot'!AR86/'Veroposentin tuotto'!K86</f>
        <v>593.84866027088037</v>
      </c>
      <c r="AR86" s="41">
        <f>'3. Verotulot'!AW86/'Veroposentin tuotto'!L86</f>
        <v>575.28422316027081</v>
      </c>
      <c r="AS86" s="41">
        <f>'3. Verotulot'!BB86/'Veroposentin tuotto'!M86</f>
        <v>587.8805923825978</v>
      </c>
      <c r="AT86" s="41">
        <f>'3. Verotulot'!BG86/'Veroposentin tuotto'!N86</f>
        <v>599.47471331340807</v>
      </c>
      <c r="AU86" s="41">
        <f>'3. Verotulot'!BL86/'Veroposentin tuotto'!O86</f>
        <v>607.59248337237011</v>
      </c>
      <c r="AV86" s="41">
        <f>'3. Verotulot'!BQ86/'Veroposentin tuotto'!P86</f>
        <v>618.50878312320015</v>
      </c>
      <c r="AX86" s="146"/>
      <c r="AZ86" s="34">
        <v>226</v>
      </c>
      <c r="BA86" s="88" t="s">
        <v>400</v>
      </c>
      <c r="BB86" s="41">
        <f>AI86/'1. Väestöennuste'!E86*1000</f>
        <v>119.12079697750704</v>
      </c>
      <c r="BC86" s="41">
        <f>AJ86/'1. Väestöennuste'!F86*1000</f>
        <v>113.7405482041588</v>
      </c>
      <c r="BD86" s="41">
        <f>AK86/'1. Väestöennuste'!G86*1000</f>
        <v>118.22238301977809</v>
      </c>
      <c r="BE86" s="41">
        <f>AL86/'1. Väestöennuste'!H86*1000</f>
        <v>113.71395494441886</v>
      </c>
      <c r="BF86" s="41">
        <f>AM86/'1. Väestöennuste'!I86*1000</f>
        <v>118.66413045398599</v>
      </c>
      <c r="BG86" s="41">
        <f>AN86/'1. Väestöennuste'!J86*1000</f>
        <v>122.35523888748237</v>
      </c>
      <c r="BH86" s="41">
        <f>AO86/'1. Väestöennuste'!K86*1000</f>
        <v>130.69844073896056</v>
      </c>
      <c r="BI86" s="41">
        <f>AP86/'1. Väestöennuste'!L86*1000</f>
        <v>136.52584904343414</v>
      </c>
      <c r="BJ86" s="41">
        <f>AQ86/'1. Väestöennuste'!M86*1000</f>
        <v>163.82032007472563</v>
      </c>
      <c r="BK86" s="41">
        <f>AR86/'1. Väestöennuste'!N86*1000</f>
        <v>161.41532636371232</v>
      </c>
      <c r="BL86" s="41">
        <f>AS86/'1. Väestöennuste'!O86*1000</f>
        <v>168.01388750574387</v>
      </c>
      <c r="BM86" s="41">
        <f>AT86/'1. Väestöennuste'!P86*1000</f>
        <v>174.46877570238883</v>
      </c>
      <c r="BN86" s="41">
        <f>AU86/'1. Väestöennuste'!Q86*1000</f>
        <v>180.02740248070225</v>
      </c>
      <c r="BO86" s="41">
        <f>AV86/'1. Väestöennuste'!R86*1000</f>
        <v>186.46631990449205</v>
      </c>
    </row>
    <row r="87" spans="1:67" x14ac:dyDescent="0.25">
      <c r="A87" s="30">
        <v>230</v>
      </c>
      <c r="B87" s="47" t="s">
        <v>401</v>
      </c>
      <c r="C87" s="47">
        <v>19.75</v>
      </c>
      <c r="D87" s="47">
        <v>19.75</v>
      </c>
      <c r="E87" s="47">
        <v>19.75</v>
      </c>
      <c r="F87" s="47">
        <v>20.5</v>
      </c>
      <c r="G87" s="47">
        <v>20.5</v>
      </c>
      <c r="H87" s="58">
        <v>20.5</v>
      </c>
      <c r="I87" s="139">
        <v>20.5</v>
      </c>
      <c r="J87" s="139">
        <v>20.5</v>
      </c>
      <c r="K87" s="139">
        <f t="shared" si="7"/>
        <v>7.8599999999999994</v>
      </c>
      <c r="L87" s="139">
        <v>8.9</v>
      </c>
      <c r="M87" s="139">
        <f t="shared" si="6"/>
        <v>8.9</v>
      </c>
      <c r="N87" s="147">
        <f t="shared" si="6"/>
        <v>8.9</v>
      </c>
      <c r="O87" s="147">
        <f t="shared" si="6"/>
        <v>8.9</v>
      </c>
      <c r="P87" s="147">
        <f t="shared" si="6"/>
        <v>8.9</v>
      </c>
      <c r="Q87" s="147"/>
      <c r="S87" s="41">
        <f>'3. Verotulot'!D87*100/'Veroposentin tuotto'!C87</f>
        <v>28533.171544303801</v>
      </c>
      <c r="T87" s="41">
        <f>'3. Verotulot'!I87*100/'Veroposentin tuotto'!D87</f>
        <v>26622.784810126581</v>
      </c>
      <c r="U87" s="41">
        <f>'3. Verotulot'!N87*100/'Veroposentin tuotto'!E87</f>
        <v>27777.215189873419</v>
      </c>
      <c r="V87" s="41">
        <f>'3. Verotulot'!S87*100/'Veroposentin tuotto'!F87</f>
        <v>24839.024390243903</v>
      </c>
      <c r="W87" s="41">
        <f>'3. Verotulot'!X87*100/'Veroposentin tuotto'!G87</f>
        <v>26600</v>
      </c>
      <c r="X87" s="41">
        <f>'3. Verotulot'!AC87*100/'Veroposentin tuotto'!H87</f>
        <v>27078.048780487807</v>
      </c>
      <c r="Y87" s="41">
        <f>'3. Verotulot'!AH87*100/'Veroposentin tuotto'!I87</f>
        <v>28439.587121951223</v>
      </c>
      <c r="Z87" s="41">
        <f>'3. Verotulot'!AM87*100/'Veroposentin tuotto'!J87</f>
        <v>27974.519365853659</v>
      </c>
      <c r="AA87" s="41">
        <f>'3. Verotulot'!AR87*100/'Veroposentin tuotto'!K87</f>
        <v>36391.448091603059</v>
      </c>
      <c r="AB87" s="41">
        <f>'3. Verotulot'!AW87*100/'Veroposentin tuotto'!L87</f>
        <v>34172.023777409973</v>
      </c>
      <c r="AC87" s="41">
        <f>'3. Verotulot'!BB87*100/'Veroposentin tuotto'!M87</f>
        <v>36089.393411749421</v>
      </c>
      <c r="AD87" s="41">
        <f>'3. Verotulot'!BG87*100/'Veroposentin tuotto'!N87</f>
        <v>37309.483479057366</v>
      </c>
      <c r="AE87" s="41">
        <f>'3. Verotulot'!BL87*100/'Veroposentin tuotto'!O87</f>
        <v>38431.028924844119</v>
      </c>
      <c r="AF87" s="41">
        <f>'3. Verotulot'!BQ87*100/'Veroposentin tuotto'!P87</f>
        <v>39735.38418294413</v>
      </c>
      <c r="AI87" s="41">
        <f>'3. Verotulot'!D87/'Veroposentin tuotto'!C87</f>
        <v>285.33171544303798</v>
      </c>
      <c r="AJ87" s="41">
        <f>'3. Verotulot'!I87/'Veroposentin tuotto'!D87</f>
        <v>266.22784810126581</v>
      </c>
      <c r="AK87" s="41">
        <f>'3. Verotulot'!N87/'Veroposentin tuotto'!E87</f>
        <v>277.77215189873419</v>
      </c>
      <c r="AL87" s="41">
        <f>'3. Verotulot'!S87/'Veroposentin tuotto'!F87</f>
        <v>248.39024390243901</v>
      </c>
      <c r="AM87" s="41">
        <f>'3. Verotulot'!X87/'Veroposentin tuotto'!G87</f>
        <v>266</v>
      </c>
      <c r="AN87" s="41">
        <f>'3. Verotulot'!AC87/'Veroposentin tuotto'!H87</f>
        <v>270.78048780487802</v>
      </c>
      <c r="AO87" s="41">
        <f>'3. Verotulot'!AH87/'Veroposentin tuotto'!I87</f>
        <v>284.39587121951223</v>
      </c>
      <c r="AP87" s="41">
        <f>'3. Verotulot'!AM87/'Veroposentin tuotto'!J87</f>
        <v>279.74519365853655</v>
      </c>
      <c r="AQ87" s="41">
        <f>'3. Verotulot'!AR87/'Veroposentin tuotto'!K87</f>
        <v>363.91448091603053</v>
      </c>
      <c r="AR87" s="41">
        <f>'3. Verotulot'!AW87/'Veroposentin tuotto'!L87</f>
        <v>341.72023777409976</v>
      </c>
      <c r="AS87" s="41">
        <f>'3. Verotulot'!BB87/'Veroposentin tuotto'!M87</f>
        <v>360.89393411749421</v>
      </c>
      <c r="AT87" s="41">
        <f>'3. Verotulot'!BG87/'Veroposentin tuotto'!N87</f>
        <v>373.09483479057366</v>
      </c>
      <c r="AU87" s="41">
        <f>'3. Verotulot'!BL87/'Veroposentin tuotto'!O87</f>
        <v>384.31028924844117</v>
      </c>
      <c r="AV87" s="41">
        <f>'3. Verotulot'!BQ87/'Veroposentin tuotto'!P87</f>
        <v>397.35384182944131</v>
      </c>
      <c r="AX87" s="146"/>
      <c r="AZ87" s="34">
        <v>230</v>
      </c>
      <c r="BA87" s="88" t="s">
        <v>401</v>
      </c>
      <c r="BB87" s="41">
        <f>AI87/'1. Väestöennuste'!E87*1000</f>
        <v>115.28554159314666</v>
      </c>
      <c r="BC87" s="41">
        <f>AJ87/'1. Väestöennuste'!F87*1000</f>
        <v>108.70879873469408</v>
      </c>
      <c r="BD87" s="41">
        <f>AK87/'1. Väestöennuste'!G87*1000</f>
        <v>115.59390424416738</v>
      </c>
      <c r="BE87" s="41">
        <f>AL87/'1. Väestöennuste'!H87*1000</f>
        <v>103.92897234411674</v>
      </c>
      <c r="BF87" s="41">
        <f>AM87/'1. Väestöennuste'!I87*1000</f>
        <v>113.57813834329633</v>
      </c>
      <c r="BG87" s="41">
        <f>AN87/'1. Väestöennuste'!J87*1000</f>
        <v>116.61519715972354</v>
      </c>
      <c r="BH87" s="41">
        <f>AO87/'1. Väestöennuste'!K87*1000</f>
        <v>124.19033677707958</v>
      </c>
      <c r="BI87" s="41">
        <f>AP87/'1. Väestöennuste'!L87*1000</f>
        <v>124.88624716898954</v>
      </c>
      <c r="BJ87" s="41">
        <f>AQ87/'1. Väestöennuste'!M87*1000</f>
        <v>164.22133615344339</v>
      </c>
      <c r="BK87" s="41">
        <f>AR87/'1. Väestöennuste'!N87*1000</f>
        <v>154.69453950841998</v>
      </c>
      <c r="BL87" s="41">
        <f>AS87/'1. Väestöennuste'!O87*1000</f>
        <v>165.32017137768858</v>
      </c>
      <c r="BM87" s="41">
        <f>AT87/'1. Väestöennuste'!P87*1000</f>
        <v>172.64916001414792</v>
      </c>
      <c r="BN87" s="41">
        <f>AU87/'1. Väestöennuste'!Q87*1000</f>
        <v>179.58424731235567</v>
      </c>
      <c r="BO87" s="41">
        <f>AV87/'1. Väestöennuste'!R87*1000</f>
        <v>187.43105746671759</v>
      </c>
    </row>
    <row r="88" spans="1:67" x14ac:dyDescent="0.25">
      <c r="A88" s="30">
        <v>231</v>
      </c>
      <c r="B88" s="47" t="s">
        <v>402</v>
      </c>
      <c r="C88" s="47">
        <v>21</v>
      </c>
      <c r="D88" s="47">
        <v>21.5</v>
      </c>
      <c r="E88" s="47">
        <v>22</v>
      </c>
      <c r="F88" s="47">
        <v>22</v>
      </c>
      <c r="G88" s="47">
        <v>22</v>
      </c>
      <c r="H88" s="58">
        <v>22</v>
      </c>
      <c r="I88" s="139">
        <v>22.000000000000004</v>
      </c>
      <c r="J88" s="139">
        <v>23</v>
      </c>
      <c r="K88" s="139">
        <f t="shared" si="7"/>
        <v>10.36</v>
      </c>
      <c r="L88" s="139">
        <v>10.3</v>
      </c>
      <c r="M88" s="139">
        <f t="shared" si="6"/>
        <v>10.3</v>
      </c>
      <c r="N88" s="147">
        <f t="shared" si="6"/>
        <v>10.3</v>
      </c>
      <c r="O88" s="147">
        <f t="shared" si="6"/>
        <v>10.3</v>
      </c>
      <c r="P88" s="147">
        <f t="shared" si="6"/>
        <v>10.3</v>
      </c>
      <c r="Q88" s="147"/>
      <c r="S88" s="41">
        <f>'3. Verotulot'!D88*100/'Veroposentin tuotto'!C88</f>
        <v>22345.223428571429</v>
      </c>
      <c r="T88" s="41">
        <f>'3. Verotulot'!I88*100/'Veroposentin tuotto'!D88</f>
        <v>22269.767441860466</v>
      </c>
      <c r="U88" s="41">
        <f>'3. Verotulot'!N88*100/'Veroposentin tuotto'!E88</f>
        <v>21986.363636363636</v>
      </c>
      <c r="V88" s="41">
        <f>'3. Verotulot'!S88*100/'Veroposentin tuotto'!F88</f>
        <v>22590.909090909092</v>
      </c>
      <c r="W88" s="41">
        <f>'3. Verotulot'!X88*100/'Veroposentin tuotto'!G88</f>
        <v>21568.18181818182</v>
      </c>
      <c r="X88" s="41">
        <f>'3. Verotulot'!AC88*100/'Veroposentin tuotto'!H88</f>
        <v>22304.545454545456</v>
      </c>
      <c r="Y88" s="41">
        <f>'3. Verotulot'!AH88*100/'Veroposentin tuotto'!I88</f>
        <v>23755.147954545449</v>
      </c>
      <c r="Z88" s="41">
        <f>'3. Verotulot'!AM88*100/'Veroposentin tuotto'!J88</f>
        <v>22807.463</v>
      </c>
      <c r="AA88" s="41">
        <f>'3. Verotulot'!AR88*100/'Veroposentin tuotto'!K88</f>
        <v>24265.984652509655</v>
      </c>
      <c r="AB88" s="41">
        <f>'3. Verotulot'!AW88*100/'Veroposentin tuotto'!L88</f>
        <v>24471.934435606501</v>
      </c>
      <c r="AC88" s="41">
        <f>'3. Verotulot'!BB88*100/'Veroposentin tuotto'!M88</f>
        <v>29070.680973815575</v>
      </c>
      <c r="AD88" s="41">
        <f>'3. Verotulot'!BG88*100/'Veroposentin tuotto'!N88</f>
        <v>30711.954590951376</v>
      </c>
      <c r="AE88" s="41">
        <f>'3. Verotulot'!BL88*100/'Veroposentin tuotto'!O88</f>
        <v>30480.440371525583</v>
      </c>
      <c r="AF88" s="41">
        <f>'3. Verotulot'!BQ88*100/'Veroposentin tuotto'!P88</f>
        <v>31841.025154895098</v>
      </c>
      <c r="AI88" s="41">
        <f>'3. Verotulot'!D88/'Veroposentin tuotto'!C88</f>
        <v>223.45223428571427</v>
      </c>
      <c r="AJ88" s="41">
        <f>'3. Verotulot'!I88/'Veroposentin tuotto'!D88</f>
        <v>222.69767441860466</v>
      </c>
      <c r="AK88" s="41">
        <f>'3. Verotulot'!N88/'Veroposentin tuotto'!E88</f>
        <v>219.86363636363637</v>
      </c>
      <c r="AL88" s="41">
        <f>'3. Verotulot'!S88/'Veroposentin tuotto'!F88</f>
        <v>225.90909090909091</v>
      </c>
      <c r="AM88" s="41">
        <f>'3. Verotulot'!X88/'Veroposentin tuotto'!G88</f>
        <v>215.68181818181819</v>
      </c>
      <c r="AN88" s="41">
        <f>'3. Verotulot'!AC88/'Veroposentin tuotto'!H88</f>
        <v>223.04545454545453</v>
      </c>
      <c r="AO88" s="41">
        <f>'3. Verotulot'!AH88/'Veroposentin tuotto'!I88</f>
        <v>237.55147954545453</v>
      </c>
      <c r="AP88" s="41">
        <f>'3. Verotulot'!AM88/'Veroposentin tuotto'!J88</f>
        <v>228.07462999999998</v>
      </c>
      <c r="AQ88" s="41">
        <f>'3. Verotulot'!AR88/'Veroposentin tuotto'!K88</f>
        <v>242.65984652509653</v>
      </c>
      <c r="AR88" s="41">
        <f>'3. Verotulot'!AW88/'Veroposentin tuotto'!L88</f>
        <v>244.71934435606499</v>
      </c>
      <c r="AS88" s="41">
        <f>'3. Verotulot'!BB88/'Veroposentin tuotto'!M88</f>
        <v>290.70680973815575</v>
      </c>
      <c r="AT88" s="41">
        <f>'3. Verotulot'!BG88/'Veroposentin tuotto'!N88</f>
        <v>307.11954590951376</v>
      </c>
      <c r="AU88" s="41">
        <f>'3. Verotulot'!BL88/'Veroposentin tuotto'!O88</f>
        <v>304.80440371525583</v>
      </c>
      <c r="AV88" s="41">
        <f>'3. Verotulot'!BQ88/'Veroposentin tuotto'!P88</f>
        <v>318.41025154895101</v>
      </c>
      <c r="AX88" s="146"/>
      <c r="AZ88" s="34">
        <v>231</v>
      </c>
      <c r="BA88" s="88" t="s">
        <v>402</v>
      </c>
      <c r="BB88" s="41">
        <f>AI88/'1. Väestöennuste'!E88*1000</f>
        <v>173.8927893274041</v>
      </c>
      <c r="BC88" s="41">
        <f>AJ88/'1. Väestöennuste'!F88*1000</f>
        <v>171.83462532299743</v>
      </c>
      <c r="BD88" s="41">
        <f>AK88/'1. Väestöennuste'!G88*1000</f>
        <v>172.5774225774226</v>
      </c>
      <c r="BE88" s="41">
        <f>AL88/'1. Väestöennuste'!H88*1000</f>
        <v>179.00878835902608</v>
      </c>
      <c r="BF88" s="41">
        <f>AM88/'1. Väestöennuste'!I88*1000</f>
        <v>173.09937253757479</v>
      </c>
      <c r="BG88" s="41">
        <f>AN88/'1. Väestöennuste'!J88*1000</f>
        <v>174.52695973822733</v>
      </c>
      <c r="BH88" s="41">
        <f>AO88/'1. Väestöennuste'!K88*1000</f>
        <v>184.29129522533322</v>
      </c>
      <c r="BI88" s="41">
        <f>AP88/'1. Väestöennuste'!L88*1000</f>
        <v>181.58808121019106</v>
      </c>
      <c r="BJ88" s="41">
        <f>AQ88/'1. Väestöennuste'!M88*1000</f>
        <v>200.87735639494744</v>
      </c>
      <c r="BK88" s="41">
        <f>AR88/'1. Väestöennuste'!N88*1000</f>
        <v>187.95648568054148</v>
      </c>
      <c r="BL88" s="41">
        <f>AS88/'1. Väestöennuste'!O88*1000</f>
        <v>222.5932693247747</v>
      </c>
      <c r="BM88" s="41">
        <f>AT88/'1. Väestöennuste'!P88*1000</f>
        <v>234.26357430168861</v>
      </c>
      <c r="BN88" s="41">
        <f>AU88/'1. Väestöennuste'!Q88*1000</f>
        <v>231.96682170110793</v>
      </c>
      <c r="BO88" s="41">
        <f>AV88/'1. Väestöennuste'!R88*1000</f>
        <v>241.76936336290888</v>
      </c>
    </row>
    <row r="89" spans="1:67" x14ac:dyDescent="0.25">
      <c r="A89" s="30">
        <v>232</v>
      </c>
      <c r="B89" s="47" t="s">
        <v>403</v>
      </c>
      <c r="C89" s="47">
        <v>22</v>
      </c>
      <c r="D89" s="47">
        <v>22</v>
      </c>
      <c r="E89" s="47">
        <v>22</v>
      </c>
      <c r="F89" s="47">
        <v>22</v>
      </c>
      <c r="G89" s="47">
        <v>22</v>
      </c>
      <c r="H89" s="58">
        <v>22</v>
      </c>
      <c r="I89" s="139">
        <v>22</v>
      </c>
      <c r="J89" s="139">
        <v>22</v>
      </c>
      <c r="K89" s="139">
        <f t="shared" si="7"/>
        <v>9.36</v>
      </c>
      <c r="L89" s="139">
        <v>9.4</v>
      </c>
      <c r="M89" s="139">
        <f t="shared" si="6"/>
        <v>9.4</v>
      </c>
      <c r="N89" s="147">
        <f t="shared" si="6"/>
        <v>9.4</v>
      </c>
      <c r="O89" s="147">
        <f t="shared" si="6"/>
        <v>9.4</v>
      </c>
      <c r="P89" s="147">
        <f t="shared" si="6"/>
        <v>9.4</v>
      </c>
      <c r="Q89" s="147"/>
      <c r="S89" s="41">
        <f>'3. Verotulot'!D89*100/'Veroposentin tuotto'!C89</f>
        <v>179161.24640909091</v>
      </c>
      <c r="T89" s="41">
        <f>'3. Verotulot'!I89*100/'Veroposentin tuotto'!D89</f>
        <v>175827.27272727274</v>
      </c>
      <c r="U89" s="41">
        <f>'3. Verotulot'!N89*100/'Veroposentin tuotto'!E89</f>
        <v>174640.90909090909</v>
      </c>
      <c r="V89" s="41">
        <f>'3. Verotulot'!S89*100/'Veroposentin tuotto'!F89</f>
        <v>169050</v>
      </c>
      <c r="W89" s="41">
        <f>'3. Verotulot'!X89*100/'Veroposentin tuotto'!G89</f>
        <v>169377.27272727274</v>
      </c>
      <c r="X89" s="41">
        <f>'3. Verotulot'!AC89*100/'Veroposentin tuotto'!H89</f>
        <v>176704.54545454544</v>
      </c>
      <c r="Y89" s="41">
        <f>'3. Verotulot'!AH89*100/'Veroposentin tuotto'!I89</f>
        <v>180107.47190909091</v>
      </c>
      <c r="Z89" s="41">
        <f>'3. Verotulot'!AM89*100/'Veroposentin tuotto'!J89</f>
        <v>185507.83399999997</v>
      </c>
      <c r="AA89" s="41">
        <f>'3. Verotulot'!AR89*100/'Veroposentin tuotto'!K89</f>
        <v>221843.88643162392</v>
      </c>
      <c r="AB89" s="41">
        <f>'3. Verotulot'!AW89*100/'Veroposentin tuotto'!L89</f>
        <v>218276.5116028132</v>
      </c>
      <c r="AC89" s="41">
        <f>'3. Verotulot'!BB89*100/'Veroposentin tuotto'!M89</f>
        <v>229621.85048898423</v>
      </c>
      <c r="AD89" s="41">
        <f>'3. Verotulot'!BG89*100/'Veroposentin tuotto'!N89</f>
        <v>239403.22905078772</v>
      </c>
      <c r="AE89" s="41">
        <f>'3. Verotulot'!BL89*100/'Veroposentin tuotto'!O89</f>
        <v>246568.75033957497</v>
      </c>
      <c r="AF89" s="41">
        <f>'3. Verotulot'!BQ89*100/'Veroposentin tuotto'!P89</f>
        <v>254468.28037214445</v>
      </c>
      <c r="AI89" s="41">
        <f>'3. Verotulot'!D89/'Veroposentin tuotto'!C89</f>
        <v>1791.612464090909</v>
      </c>
      <c r="AJ89" s="41">
        <f>'3. Verotulot'!I89/'Veroposentin tuotto'!D89</f>
        <v>1758.2727272727273</v>
      </c>
      <c r="AK89" s="41">
        <f>'3. Verotulot'!N89/'Veroposentin tuotto'!E89</f>
        <v>1746.409090909091</v>
      </c>
      <c r="AL89" s="41">
        <f>'3. Verotulot'!S89/'Veroposentin tuotto'!F89</f>
        <v>1690.5</v>
      </c>
      <c r="AM89" s="41">
        <f>'3. Verotulot'!X89/'Veroposentin tuotto'!G89</f>
        <v>1693.7727272727273</v>
      </c>
      <c r="AN89" s="41">
        <f>'3. Verotulot'!AC89/'Veroposentin tuotto'!H89</f>
        <v>1767.0454545454545</v>
      </c>
      <c r="AO89" s="41">
        <f>'3. Verotulot'!AH89/'Veroposentin tuotto'!I89</f>
        <v>1801.074719090909</v>
      </c>
      <c r="AP89" s="41">
        <f>'3. Verotulot'!AM89/'Veroposentin tuotto'!J89</f>
        <v>1855.0783399999998</v>
      </c>
      <c r="AQ89" s="41">
        <f>'3. Verotulot'!AR89/'Veroposentin tuotto'!K89</f>
        <v>2218.4388643162392</v>
      </c>
      <c r="AR89" s="41">
        <f>'3. Verotulot'!AW89/'Veroposentin tuotto'!L89</f>
        <v>2182.7651160281321</v>
      </c>
      <c r="AS89" s="41">
        <f>'3. Verotulot'!BB89/'Veroposentin tuotto'!M89</f>
        <v>2296.2185048898423</v>
      </c>
      <c r="AT89" s="41">
        <f>'3. Verotulot'!BG89/'Veroposentin tuotto'!N89</f>
        <v>2394.032290507877</v>
      </c>
      <c r="AU89" s="41">
        <f>'3. Verotulot'!BL89/'Veroposentin tuotto'!O89</f>
        <v>2465.6875033957494</v>
      </c>
      <c r="AV89" s="41">
        <f>'3. Verotulot'!BQ89/'Veroposentin tuotto'!P89</f>
        <v>2544.6828037214441</v>
      </c>
      <c r="AX89" s="146"/>
      <c r="AZ89" s="34">
        <v>232</v>
      </c>
      <c r="BA89" s="88" t="s">
        <v>403</v>
      </c>
      <c r="BB89" s="41">
        <f>AI89/'1. Väestöennuste'!E89*1000</f>
        <v>129.12522263718262</v>
      </c>
      <c r="BC89" s="41">
        <f>AJ89/'1. Väestöennuste'!F89*1000</f>
        <v>127.67010799250126</v>
      </c>
      <c r="BD89" s="41">
        <f>AK89/'1. Väestöennuste'!G89*1000</f>
        <v>128.31808162447399</v>
      </c>
      <c r="BE89" s="41">
        <f>AL89/'1. Väestöennuste'!H89*1000</f>
        <v>126.39252336448598</v>
      </c>
      <c r="BF89" s="41">
        <f>AM89/'1. Väestöennuste'!I89*1000</f>
        <v>128.47183914386585</v>
      </c>
      <c r="BG89" s="41">
        <f>AN89/'1. Väestöennuste'!J89*1000</f>
        <v>135.85342158418192</v>
      </c>
      <c r="BH89" s="41">
        <f>AO89/'1. Väestöennuste'!K89*1000</f>
        <v>139.72651040270821</v>
      </c>
      <c r="BI89" s="41">
        <f>AP89/'1. Väestöennuste'!L89*1000</f>
        <v>145.49634039215684</v>
      </c>
      <c r="BJ89" s="41">
        <f>AQ89/'1. Väestöennuste'!M89*1000</f>
        <v>175.81541165923593</v>
      </c>
      <c r="BK89" s="41">
        <f>AR89/'1. Väestöennuste'!N89*1000</f>
        <v>176.22841240336928</v>
      </c>
      <c r="BL89" s="41">
        <f>AS89/'1. Väestöennuste'!O89*1000</f>
        <v>187.43110806381867</v>
      </c>
      <c r="BM89" s="41">
        <f>AT89/'1. Väestöennuste'!P89*1000</f>
        <v>197.52741670857071</v>
      </c>
      <c r="BN89" s="41">
        <f>AU89/'1. Väestöennuste'!Q89*1000</f>
        <v>205.66248255865787</v>
      </c>
      <c r="BO89" s="41">
        <f>AV89/'1. Väestöennuste'!R89*1000</f>
        <v>214.65059499970005</v>
      </c>
    </row>
    <row r="90" spans="1:67" x14ac:dyDescent="0.25">
      <c r="A90" s="30">
        <v>233</v>
      </c>
      <c r="B90" s="47" t="s">
        <v>404</v>
      </c>
      <c r="C90" s="47">
        <v>21.75</v>
      </c>
      <c r="D90" s="47">
        <v>21.75</v>
      </c>
      <c r="E90" s="47">
        <v>21.75</v>
      </c>
      <c r="F90" s="47">
        <v>21.75</v>
      </c>
      <c r="G90" s="47">
        <v>21.75</v>
      </c>
      <c r="H90" s="58">
        <v>21.75</v>
      </c>
      <c r="I90" s="139">
        <v>21.75</v>
      </c>
      <c r="J90" s="139">
        <v>21.75</v>
      </c>
      <c r="K90" s="139">
        <f t="shared" si="7"/>
        <v>9.11</v>
      </c>
      <c r="L90" s="139">
        <v>9.1</v>
      </c>
      <c r="M90" s="139">
        <f t="shared" si="6"/>
        <v>9.1</v>
      </c>
      <c r="N90" s="147">
        <f t="shared" si="6"/>
        <v>9.1</v>
      </c>
      <c r="O90" s="147">
        <f t="shared" si="6"/>
        <v>9.1</v>
      </c>
      <c r="P90" s="147">
        <f t="shared" si="6"/>
        <v>9.1</v>
      </c>
      <c r="Q90" s="147"/>
      <c r="S90" s="41">
        <f>'3. Verotulot'!D90*100/'Veroposentin tuotto'!C90</f>
        <v>223994.51508045979</v>
      </c>
      <c r="T90" s="41">
        <f>'3. Verotulot'!I90*100/'Veroposentin tuotto'!D90</f>
        <v>218321.83908045976</v>
      </c>
      <c r="U90" s="41">
        <f>'3. Verotulot'!N90*100/'Veroposentin tuotto'!E90</f>
        <v>216717.24137931035</v>
      </c>
      <c r="V90" s="41">
        <f>'3. Verotulot'!S90*100/'Veroposentin tuotto'!F90</f>
        <v>205227.58620689655</v>
      </c>
      <c r="W90" s="41">
        <f>'3. Verotulot'!X90*100/'Veroposentin tuotto'!G90</f>
        <v>213664.36781609195</v>
      </c>
      <c r="X90" s="41">
        <f>'3. Verotulot'!AC90*100/'Veroposentin tuotto'!H90</f>
        <v>217066.66666666666</v>
      </c>
      <c r="Y90" s="41">
        <f>'3. Verotulot'!AH90*100/'Veroposentin tuotto'!I90</f>
        <v>219792.8089195402</v>
      </c>
      <c r="Z90" s="41">
        <f>'3. Verotulot'!AM90*100/'Veroposentin tuotto'!J90</f>
        <v>229111.19655172416</v>
      </c>
      <c r="AA90" s="41">
        <f>'3. Verotulot'!AR90*100/'Veroposentin tuotto'!K90</f>
        <v>282277.47541163565</v>
      </c>
      <c r="AB90" s="41">
        <f>'3. Verotulot'!AW90*100/'Veroposentin tuotto'!L90</f>
        <v>271247.26072770718</v>
      </c>
      <c r="AC90" s="41">
        <f>'3. Verotulot'!BB90*100/'Veroposentin tuotto'!M90</f>
        <v>279494.39229607617</v>
      </c>
      <c r="AD90" s="41">
        <f>'3. Verotulot'!BG90*100/'Veroposentin tuotto'!N90</f>
        <v>288723.3755071772</v>
      </c>
      <c r="AE90" s="41">
        <f>'3. Verotulot'!BL90*100/'Veroposentin tuotto'!O90</f>
        <v>294948.01112448575</v>
      </c>
      <c r="AF90" s="41">
        <f>'3. Verotulot'!BQ90*100/'Veroposentin tuotto'!P90</f>
        <v>302440.7208441926</v>
      </c>
      <c r="AI90" s="41">
        <f>'3. Verotulot'!D90/'Veroposentin tuotto'!C90</f>
        <v>2239.9451508045977</v>
      </c>
      <c r="AJ90" s="41">
        <f>'3. Verotulot'!I90/'Veroposentin tuotto'!D90</f>
        <v>2183.2183908045977</v>
      </c>
      <c r="AK90" s="41">
        <f>'3. Verotulot'!N90/'Veroposentin tuotto'!E90</f>
        <v>2167.1724137931033</v>
      </c>
      <c r="AL90" s="41">
        <f>'3. Verotulot'!S90/'Veroposentin tuotto'!F90</f>
        <v>2052.2758620689656</v>
      </c>
      <c r="AM90" s="41">
        <f>'3. Verotulot'!X90/'Veroposentin tuotto'!G90</f>
        <v>2136.6436781609195</v>
      </c>
      <c r="AN90" s="41">
        <f>'3. Verotulot'!AC90/'Veroposentin tuotto'!H90</f>
        <v>2170.6666666666665</v>
      </c>
      <c r="AO90" s="41">
        <f>'3. Verotulot'!AH90/'Veroposentin tuotto'!I90</f>
        <v>2197.9280891954022</v>
      </c>
      <c r="AP90" s="41">
        <f>'3. Verotulot'!AM90/'Veroposentin tuotto'!J90</f>
        <v>2291.1119655172415</v>
      </c>
      <c r="AQ90" s="41">
        <f>'3. Verotulot'!AR90/'Veroposentin tuotto'!K90</f>
        <v>2822.7747541163562</v>
      </c>
      <c r="AR90" s="41">
        <f>'3. Verotulot'!AW90/'Veroposentin tuotto'!L90</f>
        <v>2712.4726072770723</v>
      </c>
      <c r="AS90" s="41">
        <f>'3. Verotulot'!BB90/'Veroposentin tuotto'!M90</f>
        <v>2794.9439229607619</v>
      </c>
      <c r="AT90" s="41">
        <f>'3. Verotulot'!BG90/'Veroposentin tuotto'!N90</f>
        <v>2887.2337550717721</v>
      </c>
      <c r="AU90" s="41">
        <f>'3. Verotulot'!BL90/'Veroposentin tuotto'!O90</f>
        <v>2949.4801112448572</v>
      </c>
      <c r="AV90" s="41">
        <f>'3. Verotulot'!BQ90/'Veroposentin tuotto'!P90</f>
        <v>3024.4072084419258</v>
      </c>
      <c r="AX90" s="146"/>
      <c r="AZ90" s="34">
        <v>233</v>
      </c>
      <c r="BA90" s="88" t="s">
        <v>404</v>
      </c>
      <c r="BB90" s="41">
        <f>AI90/'1. Väestöennuste'!E90*1000</f>
        <v>133.4571705674808</v>
      </c>
      <c r="BC90" s="41">
        <f>AJ90/'1. Väestöennuste'!F90*1000</f>
        <v>131.52710348843894</v>
      </c>
      <c r="BD90" s="41">
        <f>AK90/'1. Väestöennuste'!G90*1000</f>
        <v>133.13505429371563</v>
      </c>
      <c r="BE90" s="41">
        <f>AL90/'1. Väestöennuste'!H90*1000</f>
        <v>128.09111609468016</v>
      </c>
      <c r="BF90" s="41">
        <f>AM90/'1. Väestöennuste'!I90*1000</f>
        <v>135.86695142826656</v>
      </c>
      <c r="BG90" s="41">
        <f>AN90/'1. Väestöennuste'!J90*1000</f>
        <v>139.91663443771216</v>
      </c>
      <c r="BH90" s="41">
        <f>AO90/'1. Väestöennuste'!K90*1000</f>
        <v>143.5428480404521</v>
      </c>
      <c r="BI90" s="41">
        <f>AP90/'1. Väestöennuste'!L90*1000</f>
        <v>151.56866667883313</v>
      </c>
      <c r="BJ90" s="41">
        <f>AQ90/'1. Väestöennuste'!M90*1000</f>
        <v>186.13747142211383</v>
      </c>
      <c r="BK90" s="41">
        <f>AR90/'1. Väestöennuste'!N90*1000</f>
        <v>185.59511510619723</v>
      </c>
      <c r="BL90" s="41">
        <f>AS90/'1. Väestöennuste'!O90*1000</f>
        <v>193.9317182182044</v>
      </c>
      <c r="BM90" s="41">
        <f>AT90/'1. Väestöennuste'!P90*1000</f>
        <v>203.11176609720522</v>
      </c>
      <c r="BN90" s="41">
        <f>AU90/'1. Väestöennuste'!Q90*1000</f>
        <v>210.28661851168241</v>
      </c>
      <c r="BO90" s="41">
        <f>AV90/'1. Väestöennuste'!R90*1000</f>
        <v>218.49495798597931</v>
      </c>
    </row>
    <row r="91" spans="1:67" x14ac:dyDescent="0.25">
      <c r="A91" s="30">
        <v>235</v>
      </c>
      <c r="B91" s="47" t="s">
        <v>405</v>
      </c>
      <c r="C91" s="47">
        <v>16.5</v>
      </c>
      <c r="D91" s="47">
        <v>16.5</v>
      </c>
      <c r="E91" s="47">
        <v>17</v>
      </c>
      <c r="F91" s="47">
        <v>17</v>
      </c>
      <c r="G91" s="47">
        <v>17</v>
      </c>
      <c r="H91" s="58">
        <v>17</v>
      </c>
      <c r="I91" s="139">
        <v>17</v>
      </c>
      <c r="J91" s="139">
        <v>17</v>
      </c>
      <c r="K91" s="139">
        <f t="shared" si="7"/>
        <v>4.3599999999999994</v>
      </c>
      <c r="L91" s="139">
        <v>4.4000000000000004</v>
      </c>
      <c r="M91" s="139">
        <f t="shared" si="6"/>
        <v>4.4000000000000004</v>
      </c>
      <c r="N91" s="147">
        <f t="shared" si="6"/>
        <v>4.4000000000000004</v>
      </c>
      <c r="O91" s="147">
        <f t="shared" si="6"/>
        <v>4.4000000000000004</v>
      </c>
      <c r="P91" s="147">
        <f t="shared" si="6"/>
        <v>4.4000000000000004</v>
      </c>
      <c r="Q91" s="147"/>
      <c r="S91" s="41">
        <f>'3. Verotulot'!D91*100/'Veroposentin tuotto'!C91</f>
        <v>331943.29127272725</v>
      </c>
      <c r="T91" s="41">
        <f>'3. Verotulot'!I91*100/'Veroposentin tuotto'!D91</f>
        <v>348800</v>
      </c>
      <c r="U91" s="41">
        <f>'3. Verotulot'!N91*100/'Veroposentin tuotto'!E91</f>
        <v>367823.5294117647</v>
      </c>
      <c r="V91" s="41">
        <f>'3. Verotulot'!S91*100/'Veroposentin tuotto'!F91</f>
        <v>366476.4705882353</v>
      </c>
      <c r="W91" s="41">
        <f>'3. Verotulot'!X91*100/'Veroposentin tuotto'!G91</f>
        <v>359229.4117647059</v>
      </c>
      <c r="X91" s="41">
        <f>'3. Verotulot'!AC91*100/'Veroposentin tuotto'!H91</f>
        <v>375517.64705882355</v>
      </c>
      <c r="Y91" s="41">
        <f>'3. Verotulot'!AH91*100/'Veroposentin tuotto'!I91</f>
        <v>399904.05588235287</v>
      </c>
      <c r="Z91" s="41">
        <f>'3. Verotulot'!AM91*100/'Veroposentin tuotto'!J91</f>
        <v>472167.83935294114</v>
      </c>
      <c r="AA91" s="41">
        <f>'3. Verotulot'!AR91*100/'Veroposentin tuotto'!K91</f>
        <v>580882.18532110099</v>
      </c>
      <c r="AB91" s="41">
        <f>'3. Verotulot'!AW91*100/'Veroposentin tuotto'!L91</f>
        <v>502665.53791063052</v>
      </c>
      <c r="AC91" s="41">
        <f>'3. Verotulot'!BB91*100/'Veroposentin tuotto'!M91</f>
        <v>529029.3333853943</v>
      </c>
      <c r="AD91" s="41">
        <f>'3. Verotulot'!BG91*100/'Veroposentin tuotto'!N91</f>
        <v>535285.74294828007</v>
      </c>
      <c r="AE91" s="41">
        <f>'3. Verotulot'!BL91*100/'Veroposentin tuotto'!O91</f>
        <v>543217.78139782581</v>
      </c>
      <c r="AF91" s="41">
        <f>'3. Verotulot'!BQ91*100/'Veroposentin tuotto'!P91</f>
        <v>552650.76808570279</v>
      </c>
      <c r="AI91" s="41">
        <f>'3. Verotulot'!D91/'Veroposentin tuotto'!C91</f>
        <v>3319.4329127272727</v>
      </c>
      <c r="AJ91" s="41">
        <f>'3. Verotulot'!I91/'Veroposentin tuotto'!D91</f>
        <v>3488</v>
      </c>
      <c r="AK91" s="41">
        <f>'3. Verotulot'!N91/'Veroposentin tuotto'!E91</f>
        <v>3678.2352941176468</v>
      </c>
      <c r="AL91" s="41">
        <f>'3. Verotulot'!S91/'Veroposentin tuotto'!F91</f>
        <v>3664.7647058823532</v>
      </c>
      <c r="AM91" s="41">
        <f>'3. Verotulot'!X91/'Veroposentin tuotto'!G91</f>
        <v>3592.294117647059</v>
      </c>
      <c r="AN91" s="41">
        <f>'3. Verotulot'!AC91/'Veroposentin tuotto'!H91</f>
        <v>3755.1764705882351</v>
      </c>
      <c r="AO91" s="41">
        <f>'3. Verotulot'!AH91/'Veroposentin tuotto'!I91</f>
        <v>3999.040558823529</v>
      </c>
      <c r="AP91" s="41">
        <f>'3. Verotulot'!AM91/'Veroposentin tuotto'!J91</f>
        <v>4721.6783935294116</v>
      </c>
      <c r="AQ91" s="41">
        <f>'3. Verotulot'!AR91/'Veroposentin tuotto'!K91</f>
        <v>5808.8218532110095</v>
      </c>
      <c r="AR91" s="41">
        <f>'3. Verotulot'!AW91/'Veroposentin tuotto'!L91</f>
        <v>5026.6553791063052</v>
      </c>
      <c r="AS91" s="41">
        <f>'3. Verotulot'!BB91/'Veroposentin tuotto'!M91</f>
        <v>5290.2933338539424</v>
      </c>
      <c r="AT91" s="41">
        <f>'3. Verotulot'!BG91/'Veroposentin tuotto'!N91</f>
        <v>5352.8574294828004</v>
      </c>
      <c r="AU91" s="41">
        <f>'3. Verotulot'!BL91/'Veroposentin tuotto'!O91</f>
        <v>5432.1778139782582</v>
      </c>
      <c r="AV91" s="41">
        <f>'3. Verotulot'!BQ91/'Veroposentin tuotto'!P91</f>
        <v>5526.5076808570284</v>
      </c>
      <c r="AX91" s="146"/>
      <c r="AZ91" s="34">
        <v>235</v>
      </c>
      <c r="BA91" s="88" t="s">
        <v>405</v>
      </c>
      <c r="BB91" s="41">
        <f>AI91/'1. Väestöennuste'!E91*1000</f>
        <v>349.92967665267474</v>
      </c>
      <c r="BC91" s="41">
        <f>AJ91/'1. Väestöennuste'!F91*1000</f>
        <v>371.18229222092157</v>
      </c>
      <c r="BD91" s="41">
        <f>AK91/'1. Väestöennuste'!G91*1000</f>
        <v>382.19402474206635</v>
      </c>
      <c r="BE91" s="41">
        <f>AL91/'1. Väestöennuste'!H91*1000</f>
        <v>381.15077544278245</v>
      </c>
      <c r="BF91" s="41">
        <f>AM91/'1. Väestöennuste'!I91*1000</f>
        <v>366.67287104695919</v>
      </c>
      <c r="BG91" s="41">
        <f>AN91/'1. Väestöennuste'!J91*1000</f>
        <v>368.95033116410247</v>
      </c>
      <c r="BH91" s="41">
        <f>AO91/'1. Väestöennuste'!K91*1000</f>
        <v>384.67108107190546</v>
      </c>
      <c r="BI91" s="41">
        <f>AP91/'1. Väestöennuste'!L91*1000</f>
        <v>459.12858746882654</v>
      </c>
      <c r="BJ91" s="41">
        <f>AQ91/'1. Väestöennuste'!M91*1000</f>
        <v>565.61069651519085</v>
      </c>
      <c r="BK91" s="41">
        <f>AR91/'1. Väestöennuste'!N91*1000</f>
        <v>470.70468949398867</v>
      </c>
      <c r="BL91" s="41">
        <f>AS91/'1. Väestöennuste'!O91*1000</f>
        <v>489.70594592742225</v>
      </c>
      <c r="BM91" s="41">
        <f>AT91/'1. Väestöennuste'!P91*1000</f>
        <v>490.00891884683267</v>
      </c>
      <c r="BN91" s="41">
        <f>AU91/'1. Väestöennuste'!Q91*1000</f>
        <v>492.13424660067568</v>
      </c>
      <c r="BO91" s="41">
        <f>AV91/'1. Väestöennuste'!R91*1000</f>
        <v>495.78430796241395</v>
      </c>
    </row>
    <row r="92" spans="1:67" x14ac:dyDescent="0.25">
      <c r="A92" s="30">
        <v>236</v>
      </c>
      <c r="B92" s="47" t="s">
        <v>406</v>
      </c>
      <c r="C92" s="47">
        <v>21.5</v>
      </c>
      <c r="D92" s="47">
        <v>21.5</v>
      </c>
      <c r="E92" s="47">
        <v>21.5</v>
      </c>
      <c r="F92" s="47">
        <v>21.5</v>
      </c>
      <c r="G92" s="47">
        <v>21.5</v>
      </c>
      <c r="H92" s="58">
        <v>22</v>
      </c>
      <c r="I92" s="139">
        <v>22</v>
      </c>
      <c r="J92" s="139">
        <v>22</v>
      </c>
      <c r="K92" s="139">
        <f t="shared" si="7"/>
        <v>9.36</v>
      </c>
      <c r="L92" s="139">
        <v>9.4</v>
      </c>
      <c r="M92" s="139">
        <f t="shared" si="6"/>
        <v>9.4</v>
      </c>
      <c r="N92" s="147">
        <f t="shared" si="6"/>
        <v>9.4</v>
      </c>
      <c r="O92" s="147">
        <f t="shared" si="6"/>
        <v>9.4</v>
      </c>
      <c r="P92" s="147">
        <f t="shared" si="6"/>
        <v>9.4</v>
      </c>
      <c r="Q92" s="147"/>
      <c r="S92" s="41">
        <f>'3. Verotulot'!D92*100/'Veroposentin tuotto'!C92</f>
        <v>56387.50646511629</v>
      </c>
      <c r="T92" s="41">
        <f>'3. Verotulot'!I92*100/'Veroposentin tuotto'!D92</f>
        <v>57190.697674418603</v>
      </c>
      <c r="U92" s="41">
        <f>'3. Verotulot'!N92*100/'Veroposentin tuotto'!E92</f>
        <v>54604.651162790695</v>
      </c>
      <c r="V92" s="41">
        <f>'3. Verotulot'!S92*100/'Veroposentin tuotto'!F92</f>
        <v>56651.162790697672</v>
      </c>
      <c r="W92" s="41">
        <f>'3. Verotulot'!X92*100/'Veroposentin tuotto'!G92</f>
        <v>56181.395348837206</v>
      </c>
      <c r="X92" s="41">
        <f>'3. Verotulot'!AC92*100/'Veroposentin tuotto'!H92</f>
        <v>58540.909090909088</v>
      </c>
      <c r="Y92" s="41">
        <f>'3. Verotulot'!AH92*100/'Veroposentin tuotto'!I92</f>
        <v>58738.152136363642</v>
      </c>
      <c r="Z92" s="41">
        <f>'3. Verotulot'!AM92*100/'Veroposentin tuotto'!J92</f>
        <v>62143.559409090907</v>
      </c>
      <c r="AA92" s="41">
        <f>'3. Verotulot'!AR92*100/'Veroposentin tuotto'!K92</f>
        <v>73098.438782051278</v>
      </c>
      <c r="AB92" s="41">
        <f>'3. Verotulot'!AW92*100/'Veroposentin tuotto'!L92</f>
        <v>72929.981326520952</v>
      </c>
      <c r="AC92" s="41">
        <f>'3. Verotulot'!BB92*100/'Veroposentin tuotto'!M92</f>
        <v>78089.087449354789</v>
      </c>
      <c r="AD92" s="41">
        <f>'3. Verotulot'!BG92*100/'Veroposentin tuotto'!N92</f>
        <v>82057.38317210137</v>
      </c>
      <c r="AE92" s="41">
        <f>'3. Verotulot'!BL92*100/'Veroposentin tuotto'!O92</f>
        <v>84980.668099114031</v>
      </c>
      <c r="AF92" s="41">
        <f>'3. Verotulot'!BQ92*100/'Veroposentin tuotto'!P92</f>
        <v>88270.594783373643</v>
      </c>
      <c r="AI92" s="41">
        <f>'3. Verotulot'!D92/'Veroposentin tuotto'!C92</f>
        <v>563.8750646511628</v>
      </c>
      <c r="AJ92" s="41">
        <f>'3. Verotulot'!I92/'Veroposentin tuotto'!D92</f>
        <v>571.90697674418607</v>
      </c>
      <c r="AK92" s="41">
        <f>'3. Verotulot'!N92/'Veroposentin tuotto'!E92</f>
        <v>546.04651162790697</v>
      </c>
      <c r="AL92" s="41">
        <f>'3. Verotulot'!S92/'Veroposentin tuotto'!F92</f>
        <v>566.51162790697674</v>
      </c>
      <c r="AM92" s="41">
        <f>'3. Verotulot'!X92/'Veroposentin tuotto'!G92</f>
        <v>561.81395348837214</v>
      </c>
      <c r="AN92" s="41">
        <f>'3. Verotulot'!AC92/'Veroposentin tuotto'!H92</f>
        <v>585.40909090909088</v>
      </c>
      <c r="AO92" s="41">
        <f>'3. Verotulot'!AH92/'Veroposentin tuotto'!I92</f>
        <v>587.38152136363635</v>
      </c>
      <c r="AP92" s="41">
        <f>'3. Verotulot'!AM92/'Veroposentin tuotto'!J92</f>
        <v>621.43559409090915</v>
      </c>
      <c r="AQ92" s="41">
        <f>'3. Verotulot'!AR92/'Veroposentin tuotto'!K92</f>
        <v>730.98438782051289</v>
      </c>
      <c r="AR92" s="41">
        <f>'3. Verotulot'!AW92/'Veroposentin tuotto'!L92</f>
        <v>729.29981326520954</v>
      </c>
      <c r="AS92" s="41">
        <f>'3. Verotulot'!BB92/'Veroposentin tuotto'!M92</f>
        <v>780.89087449354781</v>
      </c>
      <c r="AT92" s="41">
        <f>'3. Verotulot'!BG92/'Veroposentin tuotto'!N92</f>
        <v>820.57383172101368</v>
      </c>
      <c r="AU92" s="41">
        <f>'3. Verotulot'!BL92/'Veroposentin tuotto'!O92</f>
        <v>849.8066809911403</v>
      </c>
      <c r="AV92" s="41">
        <f>'3. Verotulot'!BQ92/'Veroposentin tuotto'!P92</f>
        <v>882.70594783373645</v>
      </c>
      <c r="AX92" s="146"/>
      <c r="AZ92" s="34">
        <v>236</v>
      </c>
      <c r="BA92" s="88" t="s">
        <v>406</v>
      </c>
      <c r="BB92" s="41">
        <f>AI92/'1. Väestöennuste'!E92*1000</f>
        <v>130.98143197471842</v>
      </c>
      <c r="BC92" s="41">
        <f>AJ92/'1. Väestöennuste'!F92*1000</f>
        <v>133.06351250446397</v>
      </c>
      <c r="BD92" s="41">
        <f>AK92/'1. Väestöennuste'!G92*1000</f>
        <v>126.72232806403039</v>
      </c>
      <c r="BE92" s="41">
        <f>AL92/'1. Väestöennuste'!H92*1000</f>
        <v>132.5793652953374</v>
      </c>
      <c r="BF92" s="41">
        <f>AM92/'1. Väestöennuste'!I92*1000</f>
        <v>131.8502589740371</v>
      </c>
      <c r="BG92" s="41">
        <f>AN92/'1. Väestöennuste'!J92*1000</f>
        <v>138.46004988389095</v>
      </c>
      <c r="BH92" s="41">
        <f>AO92/'1. Väestöennuste'!K92*1000</f>
        <v>139.98606324204871</v>
      </c>
      <c r="BI92" s="41">
        <f>AP92/'1. Väestöennuste'!L92*1000</f>
        <v>148.03134685348002</v>
      </c>
      <c r="BJ92" s="41">
        <f>AQ92/'1. Väestöennuste'!M92*1000</f>
        <v>176.69431661119481</v>
      </c>
      <c r="BK92" s="41">
        <f>AR92/'1. Väestöennuste'!N92*1000</f>
        <v>177.01451778281785</v>
      </c>
      <c r="BL92" s="41">
        <f>AS92/'1. Väestöennuste'!O92*1000</f>
        <v>190.97355698056927</v>
      </c>
      <c r="BM92" s="41">
        <f>AT92/'1. Väestöennuste'!P92*1000</f>
        <v>202.21139273558742</v>
      </c>
      <c r="BN92" s="41">
        <f>AU92/'1. Väestöennuste'!Q92*1000</f>
        <v>211.02723640207111</v>
      </c>
      <c r="BO92" s="41">
        <f>AV92/'1. Väestöennuste'!R92*1000</f>
        <v>220.89738434277689</v>
      </c>
    </row>
    <row r="93" spans="1:67" x14ac:dyDescent="0.25">
      <c r="A93" s="30">
        <v>239</v>
      </c>
      <c r="B93" s="47" t="s">
        <v>407</v>
      </c>
      <c r="C93" s="47">
        <v>19.5</v>
      </c>
      <c r="D93" s="47">
        <v>19.5</v>
      </c>
      <c r="E93" s="47">
        <v>20.5</v>
      </c>
      <c r="F93" s="47">
        <v>20.5</v>
      </c>
      <c r="G93" s="47">
        <v>20.5</v>
      </c>
      <c r="H93" s="58">
        <v>20.5</v>
      </c>
      <c r="I93" s="139">
        <v>20.5</v>
      </c>
      <c r="J93" s="139">
        <v>20.5</v>
      </c>
      <c r="K93" s="139">
        <f t="shared" si="7"/>
        <v>7.8599999999999994</v>
      </c>
      <c r="L93" s="139">
        <v>7.9</v>
      </c>
      <c r="M93" s="139">
        <f t="shared" si="6"/>
        <v>7.9</v>
      </c>
      <c r="N93" s="147">
        <f t="shared" si="6"/>
        <v>7.9</v>
      </c>
      <c r="O93" s="147">
        <f t="shared" si="6"/>
        <v>7.9</v>
      </c>
      <c r="P93" s="147">
        <f t="shared" si="6"/>
        <v>7.9</v>
      </c>
      <c r="Q93" s="147"/>
      <c r="S93" s="41">
        <f>'3. Verotulot'!D93*100/'Veroposentin tuotto'!C93</f>
        <v>29795.863076923073</v>
      </c>
      <c r="T93" s="41">
        <f>'3. Verotulot'!I93*100/'Veroposentin tuotto'!D93</f>
        <v>29169.23076923077</v>
      </c>
      <c r="U93" s="41">
        <f>'3. Verotulot'!N93*100/'Veroposentin tuotto'!E93</f>
        <v>29243.90243902439</v>
      </c>
      <c r="V93" s="41">
        <f>'3. Verotulot'!S93*100/'Veroposentin tuotto'!F93</f>
        <v>27868.292682926829</v>
      </c>
      <c r="W93" s="41">
        <f>'3. Verotulot'!X93*100/'Veroposentin tuotto'!G93</f>
        <v>28146.341463414636</v>
      </c>
      <c r="X93" s="41">
        <f>'3. Verotulot'!AC93*100/'Veroposentin tuotto'!H93</f>
        <v>28346.341463414636</v>
      </c>
      <c r="Y93" s="41">
        <f>'3. Verotulot'!AH93*100/'Veroposentin tuotto'!I93</f>
        <v>28480.601902439019</v>
      </c>
      <c r="Z93" s="41">
        <f>'3. Verotulot'!AM93*100/'Veroposentin tuotto'!J93</f>
        <v>30027.97668292683</v>
      </c>
      <c r="AA93" s="41">
        <f>'3. Verotulot'!AR93*100/'Veroposentin tuotto'!K93</f>
        <v>35013.781552162858</v>
      </c>
      <c r="AB93" s="41">
        <f>'3. Verotulot'!AW93*100/'Veroposentin tuotto'!L93</f>
        <v>34767.103808254746</v>
      </c>
      <c r="AC93" s="41">
        <f>'3. Verotulot'!BB93*100/'Veroposentin tuotto'!M93</f>
        <v>35612.235367563517</v>
      </c>
      <c r="AD93" s="41">
        <f>'3. Verotulot'!BG93*100/'Veroposentin tuotto'!N93</f>
        <v>36387.169274776839</v>
      </c>
      <c r="AE93" s="41">
        <f>'3. Verotulot'!BL93*100/'Veroposentin tuotto'!O93</f>
        <v>37190.367479431581</v>
      </c>
      <c r="AF93" s="41">
        <f>'3. Verotulot'!BQ93*100/'Veroposentin tuotto'!P93</f>
        <v>38039.502521472132</v>
      </c>
      <c r="AI93" s="41">
        <f>'3. Verotulot'!D93/'Veroposentin tuotto'!C93</f>
        <v>297.95863076923075</v>
      </c>
      <c r="AJ93" s="41">
        <f>'3. Verotulot'!I93/'Veroposentin tuotto'!D93</f>
        <v>291.69230769230768</v>
      </c>
      <c r="AK93" s="41">
        <f>'3. Verotulot'!N93/'Veroposentin tuotto'!E93</f>
        <v>292.4390243902439</v>
      </c>
      <c r="AL93" s="41">
        <f>'3. Verotulot'!S93/'Veroposentin tuotto'!F93</f>
        <v>278.6829268292683</v>
      </c>
      <c r="AM93" s="41">
        <f>'3. Verotulot'!X93/'Veroposentin tuotto'!G93</f>
        <v>281.46341463414632</v>
      </c>
      <c r="AN93" s="41">
        <f>'3. Verotulot'!AC93/'Veroposentin tuotto'!H93</f>
        <v>283.46341463414632</v>
      </c>
      <c r="AO93" s="41">
        <f>'3. Verotulot'!AH93/'Veroposentin tuotto'!I93</f>
        <v>284.8060190243902</v>
      </c>
      <c r="AP93" s="41">
        <f>'3. Verotulot'!AM93/'Veroposentin tuotto'!J93</f>
        <v>300.27976682926828</v>
      </c>
      <c r="AQ93" s="41">
        <f>'3. Verotulot'!AR93/'Veroposentin tuotto'!K93</f>
        <v>350.13781552162857</v>
      </c>
      <c r="AR93" s="41">
        <f>'3. Verotulot'!AW93/'Veroposentin tuotto'!L93</f>
        <v>347.67103808254745</v>
      </c>
      <c r="AS93" s="41">
        <f>'3. Verotulot'!BB93/'Veroposentin tuotto'!M93</f>
        <v>356.12235367563511</v>
      </c>
      <c r="AT93" s="41">
        <f>'3. Verotulot'!BG93/'Veroposentin tuotto'!N93</f>
        <v>363.87169274776835</v>
      </c>
      <c r="AU93" s="41">
        <f>'3. Verotulot'!BL93/'Veroposentin tuotto'!O93</f>
        <v>371.90367479431586</v>
      </c>
      <c r="AV93" s="41">
        <f>'3. Verotulot'!BQ93/'Veroposentin tuotto'!P93</f>
        <v>380.39502521472133</v>
      </c>
      <c r="AX93" s="146"/>
      <c r="AZ93" s="34">
        <v>239</v>
      </c>
      <c r="BA93" s="88" t="s">
        <v>407</v>
      </c>
      <c r="BB93" s="41">
        <f>AI93/'1. Väestöennuste'!E93*1000</f>
        <v>125.2453260904711</v>
      </c>
      <c r="BC93" s="41">
        <f>AJ93/'1. Väestöennuste'!F93*1000</f>
        <v>124.33602203423175</v>
      </c>
      <c r="BD93" s="41">
        <f>AK93/'1. Väestöennuste'!G93*1000</f>
        <v>126.65180787797483</v>
      </c>
      <c r="BE93" s="41">
        <f>AL93/'1. Väestöennuste'!H93*1000</f>
        <v>124.19025259771314</v>
      </c>
      <c r="BF93" s="41">
        <f>AM93/'1. Väestöennuste'!I93*1000</f>
        <v>127.82171418444429</v>
      </c>
      <c r="BG93" s="41">
        <f>AN93/'1. Väestöennuste'!J93*1000</f>
        <v>131.53754739403541</v>
      </c>
      <c r="BH93" s="41">
        <f>AO93/'1. Väestöennuste'!K93*1000</f>
        <v>135.94559380639151</v>
      </c>
      <c r="BI93" s="41">
        <f>AP93/'1. Väestöennuste'!L93*1000</f>
        <v>147.99397083749054</v>
      </c>
      <c r="BJ93" s="41">
        <f>AQ93/'1. Väestöennuste'!M93*1000</f>
        <v>172.05789460522288</v>
      </c>
      <c r="BK93" s="41">
        <f>AR93/'1. Väestöennuste'!N93*1000</f>
        <v>173.40201400625807</v>
      </c>
      <c r="BL93" s="41">
        <f>AS93/'1. Väestöennuste'!O93*1000</f>
        <v>180.68105209316852</v>
      </c>
      <c r="BM93" s="41">
        <f>AT93/'1. Väestöennuste'!P93*1000</f>
        <v>187.27313059586638</v>
      </c>
      <c r="BN93" s="41">
        <f>AU93/'1. Väestöennuste'!Q93*1000</f>
        <v>194.30704012242208</v>
      </c>
      <c r="BO93" s="41">
        <f>AV93/'1. Väestöennuste'!R93*1000</f>
        <v>201.37375606920133</v>
      </c>
    </row>
    <row r="94" spans="1:67" x14ac:dyDescent="0.25">
      <c r="A94" s="30">
        <v>240</v>
      </c>
      <c r="B94" s="47" t="s">
        <v>408</v>
      </c>
      <c r="C94" s="47">
        <v>21.25</v>
      </c>
      <c r="D94" s="47">
        <v>21.25</v>
      </c>
      <c r="E94" s="47">
        <v>21.25</v>
      </c>
      <c r="F94" s="47">
        <v>21.75</v>
      </c>
      <c r="G94" s="47">
        <v>21.75</v>
      </c>
      <c r="H94" s="58">
        <v>21.75</v>
      </c>
      <c r="I94" s="139">
        <v>21.75</v>
      </c>
      <c r="J94" s="139">
        <v>21.75</v>
      </c>
      <c r="K94" s="139">
        <f t="shared" si="7"/>
        <v>9.11</v>
      </c>
      <c r="L94" s="139">
        <v>9.6</v>
      </c>
      <c r="M94" s="139">
        <f t="shared" si="6"/>
        <v>9.6</v>
      </c>
      <c r="N94" s="147">
        <f t="shared" si="6"/>
        <v>9.6</v>
      </c>
      <c r="O94" s="147">
        <f t="shared" si="6"/>
        <v>9.6</v>
      </c>
      <c r="P94" s="147">
        <f t="shared" si="6"/>
        <v>9.6</v>
      </c>
      <c r="Q94" s="147"/>
      <c r="S94" s="41">
        <f>'3. Verotulot'!D94*100/'Veroposentin tuotto'!C94</f>
        <v>351107.94080000004</v>
      </c>
      <c r="T94" s="41">
        <f>'3. Verotulot'!I94*100/'Veroposentin tuotto'!D94</f>
        <v>348625.8823529412</v>
      </c>
      <c r="U94" s="41">
        <f>'3. Verotulot'!N94*100/'Veroposentin tuotto'!E94</f>
        <v>344432.9411764706</v>
      </c>
      <c r="V94" s="41">
        <f>'3. Verotulot'!S94*100/'Veroposentin tuotto'!F94</f>
        <v>333880.45977011492</v>
      </c>
      <c r="W94" s="41">
        <f>'3. Verotulot'!X94*100/'Veroposentin tuotto'!G94</f>
        <v>344703.44827586209</v>
      </c>
      <c r="X94" s="41">
        <f>'3. Verotulot'!AC94*100/'Veroposentin tuotto'!H94</f>
        <v>350160.91954022989</v>
      </c>
      <c r="Y94" s="41">
        <f>'3. Verotulot'!AH94*100/'Veroposentin tuotto'!I94</f>
        <v>357134.62528735632</v>
      </c>
      <c r="Z94" s="41">
        <f>'3. Verotulot'!AM94*100/'Veroposentin tuotto'!J94</f>
        <v>355748.10114942532</v>
      </c>
      <c r="AA94" s="41">
        <f>'3. Verotulot'!AR94*100/'Veroposentin tuotto'!K94</f>
        <v>438183.49967069156</v>
      </c>
      <c r="AB94" s="41">
        <f>'3. Verotulot'!AW94*100/'Veroposentin tuotto'!L94</f>
        <v>410052.69913171866</v>
      </c>
      <c r="AC94" s="41">
        <f>'3. Verotulot'!BB94*100/'Veroposentin tuotto'!M94</f>
        <v>427501.80468762846</v>
      </c>
      <c r="AD94" s="41">
        <f>'3. Verotulot'!BG94*100/'Veroposentin tuotto'!N94</f>
        <v>439508.84104366909</v>
      </c>
      <c r="AE94" s="41">
        <f>'3. Verotulot'!BL94*100/'Veroposentin tuotto'!O94</f>
        <v>449275.40113712254</v>
      </c>
      <c r="AF94" s="41">
        <f>'3. Verotulot'!BQ94*100/'Veroposentin tuotto'!P94</f>
        <v>461010.37457915483</v>
      </c>
      <c r="AI94" s="41">
        <f>'3. Verotulot'!D94/'Veroposentin tuotto'!C94</f>
        <v>3511.0794080000001</v>
      </c>
      <c r="AJ94" s="41">
        <f>'3. Verotulot'!I94/'Veroposentin tuotto'!D94</f>
        <v>3486.258823529412</v>
      </c>
      <c r="AK94" s="41">
        <f>'3. Verotulot'!N94/'Veroposentin tuotto'!E94</f>
        <v>3444.329411764706</v>
      </c>
      <c r="AL94" s="41">
        <f>'3. Verotulot'!S94/'Veroposentin tuotto'!F94</f>
        <v>3338.8045977011493</v>
      </c>
      <c r="AM94" s="41">
        <f>'3. Verotulot'!X94/'Veroposentin tuotto'!G94</f>
        <v>3447.0344827586205</v>
      </c>
      <c r="AN94" s="41">
        <f>'3. Verotulot'!AC94/'Veroposentin tuotto'!H94</f>
        <v>3501.6091954022991</v>
      </c>
      <c r="AO94" s="41">
        <f>'3. Verotulot'!AH94/'Veroposentin tuotto'!I94</f>
        <v>3571.3462528735631</v>
      </c>
      <c r="AP94" s="41">
        <f>'3. Verotulot'!AM94/'Veroposentin tuotto'!J94</f>
        <v>3557.4810114942529</v>
      </c>
      <c r="AQ94" s="41">
        <f>'3. Verotulot'!AR94/'Veroposentin tuotto'!K94</f>
        <v>4381.8349967069153</v>
      </c>
      <c r="AR94" s="41">
        <f>'3. Verotulot'!AW94/'Veroposentin tuotto'!L94</f>
        <v>4100.5269913171869</v>
      </c>
      <c r="AS94" s="41">
        <f>'3. Verotulot'!BB94/'Veroposentin tuotto'!M94</f>
        <v>4275.0180468762846</v>
      </c>
      <c r="AT94" s="41">
        <f>'3. Verotulot'!BG94/'Veroposentin tuotto'!N94</f>
        <v>4395.0884104366914</v>
      </c>
      <c r="AU94" s="41">
        <f>'3. Verotulot'!BL94/'Veroposentin tuotto'!O94</f>
        <v>4492.7540113712257</v>
      </c>
      <c r="AV94" s="41">
        <f>'3. Verotulot'!BQ94/'Veroposentin tuotto'!P94</f>
        <v>4610.1037457915481</v>
      </c>
      <c r="AX94" s="146"/>
      <c r="AZ94" s="34">
        <v>240</v>
      </c>
      <c r="BA94" s="88" t="s">
        <v>408</v>
      </c>
      <c r="BB94" s="41">
        <f>AI94/'1. Väestöennuste'!E94*1000</f>
        <v>161.36958396911479</v>
      </c>
      <c r="BC94" s="41">
        <f>AJ94/'1. Väestöennuste'!F94*1000</f>
        <v>161.38592831818406</v>
      </c>
      <c r="BD94" s="41">
        <f>AK94/'1. Väestöennuste'!G94*1000</f>
        <v>162.04033739954394</v>
      </c>
      <c r="BE94" s="41">
        <f>AL94/'1. Väestöennuste'!H94*1000</f>
        <v>158.83186326536079</v>
      </c>
      <c r="BF94" s="41">
        <f>AM94/'1. Väestöennuste'!I94*1000</f>
        <v>166.46711173799298</v>
      </c>
      <c r="BG94" s="41">
        <f>AN94/'1. Väestöennuste'!J94*1000</f>
        <v>171.33675174449766</v>
      </c>
      <c r="BH94" s="41">
        <f>AO94/'1. Väestöennuste'!K94*1000</f>
        <v>178.72816799487353</v>
      </c>
      <c r="BI94" s="41">
        <f>AP94/'1. Väestöennuste'!L94*1000</f>
        <v>182.44427978328389</v>
      </c>
      <c r="BJ94" s="41">
        <f>AQ94/'1. Väestöennuste'!M94*1000</f>
        <v>226.20592621480125</v>
      </c>
      <c r="BK94" s="41">
        <f>AR94/'1. Väestöennuste'!N94*1000</f>
        <v>212.00118867320788</v>
      </c>
      <c r="BL94" s="41">
        <f>AS94/'1. Väestöennuste'!O94*1000</f>
        <v>223.89326735499554</v>
      </c>
      <c r="BM94" s="41">
        <f>AT94/'1. Väestöennuste'!P94*1000</f>
        <v>233.09935881393218</v>
      </c>
      <c r="BN94" s="41">
        <f>AU94/'1. Väestöennuste'!Q94*1000</f>
        <v>241.23464408135877</v>
      </c>
      <c r="BO94" s="41">
        <f>AV94/'1. Väestöennuste'!R94*1000</f>
        <v>250.50827287896254</v>
      </c>
    </row>
    <row r="95" spans="1:67" x14ac:dyDescent="0.25">
      <c r="A95" s="30">
        <v>241</v>
      </c>
      <c r="B95" s="47" t="s">
        <v>409</v>
      </c>
      <c r="C95" s="47">
        <v>21.25</v>
      </c>
      <c r="D95" s="47">
        <v>21.25</v>
      </c>
      <c r="E95" s="47">
        <v>21.25</v>
      </c>
      <c r="F95" s="47">
        <v>21.25</v>
      </c>
      <c r="G95" s="47">
        <v>21.25</v>
      </c>
      <c r="H95" s="58">
        <v>21.25</v>
      </c>
      <c r="I95" s="139">
        <v>21.25</v>
      </c>
      <c r="J95" s="139">
        <v>21.25</v>
      </c>
      <c r="K95" s="139">
        <f t="shared" si="7"/>
        <v>8.61</v>
      </c>
      <c r="L95" s="139">
        <v>8.6</v>
      </c>
      <c r="M95" s="139">
        <f t="shared" ref="M95:P114" si="8">L95</f>
        <v>8.6</v>
      </c>
      <c r="N95" s="147">
        <f t="shared" si="8"/>
        <v>8.6</v>
      </c>
      <c r="O95" s="147">
        <f t="shared" si="8"/>
        <v>8.6</v>
      </c>
      <c r="P95" s="147">
        <f t="shared" si="8"/>
        <v>8.6</v>
      </c>
      <c r="Q95" s="147"/>
      <c r="S95" s="41">
        <f>'3. Verotulot'!D95*100/'Veroposentin tuotto'!C95</f>
        <v>141042.9373647059</v>
      </c>
      <c r="T95" s="41">
        <f>'3. Verotulot'!I95*100/'Veroposentin tuotto'!D95</f>
        <v>144192.9411764706</v>
      </c>
      <c r="U95" s="41">
        <f>'3. Verotulot'!N95*100/'Veroposentin tuotto'!E95</f>
        <v>141571.76470588235</v>
      </c>
      <c r="V95" s="41">
        <f>'3. Verotulot'!S95*100/'Veroposentin tuotto'!F95</f>
        <v>141444.70588235295</v>
      </c>
      <c r="W95" s="41">
        <f>'3. Verotulot'!X95*100/'Veroposentin tuotto'!G95</f>
        <v>144870.58823529413</v>
      </c>
      <c r="X95" s="41">
        <f>'3. Verotulot'!AC95*100/'Veroposentin tuotto'!H95</f>
        <v>147011.76470588235</v>
      </c>
      <c r="Y95" s="41">
        <f>'3. Verotulot'!AH95*100/'Veroposentin tuotto'!I95</f>
        <v>153910.21769411766</v>
      </c>
      <c r="Z95" s="41">
        <f>'3. Verotulot'!AM95*100/'Veroposentin tuotto'!J95</f>
        <v>309591.96178823529</v>
      </c>
      <c r="AA95" s="41">
        <f>'3. Verotulot'!AR95*100/'Veroposentin tuotto'!K95</f>
        <v>190429.06236933797</v>
      </c>
      <c r="AB95" s="41">
        <f>'3. Verotulot'!AW95*100/'Veroposentin tuotto'!L95</f>
        <v>177427.62046634342</v>
      </c>
      <c r="AC95" s="41">
        <f>'3. Verotulot'!BB95*100/'Veroposentin tuotto'!M95</f>
        <v>186166.93628345712</v>
      </c>
      <c r="AD95" s="41">
        <f>'3. Verotulot'!BG95*100/'Veroposentin tuotto'!N95</f>
        <v>192434.96095493744</v>
      </c>
      <c r="AE95" s="41">
        <f>'3. Verotulot'!BL95*100/'Veroposentin tuotto'!O95</f>
        <v>197205.87862781525</v>
      </c>
      <c r="AF95" s="41">
        <f>'3. Verotulot'!BQ95*100/'Veroposentin tuotto'!P95</f>
        <v>202309.41071569797</v>
      </c>
      <c r="AI95" s="41">
        <f>'3. Verotulot'!D95/'Veroposentin tuotto'!C95</f>
        <v>1410.429373647059</v>
      </c>
      <c r="AJ95" s="41">
        <f>'3. Verotulot'!I95/'Veroposentin tuotto'!D95</f>
        <v>1441.9294117647059</v>
      </c>
      <c r="AK95" s="41">
        <f>'3. Verotulot'!N95/'Veroposentin tuotto'!E95</f>
        <v>1415.7176470588236</v>
      </c>
      <c r="AL95" s="41">
        <f>'3. Verotulot'!S95/'Veroposentin tuotto'!F95</f>
        <v>1414.4470588235295</v>
      </c>
      <c r="AM95" s="41">
        <f>'3. Verotulot'!X95/'Veroposentin tuotto'!G95</f>
        <v>1448.7058823529412</v>
      </c>
      <c r="AN95" s="41">
        <f>'3. Verotulot'!AC95/'Veroposentin tuotto'!H95</f>
        <v>1470.1176470588234</v>
      </c>
      <c r="AO95" s="41">
        <f>'3. Verotulot'!AH95/'Veroposentin tuotto'!I95</f>
        <v>1539.1021769411766</v>
      </c>
      <c r="AP95" s="41">
        <f>'3. Verotulot'!AM95/'Veroposentin tuotto'!J95</f>
        <v>3095.9196178823531</v>
      </c>
      <c r="AQ95" s="41">
        <f>'3. Verotulot'!AR95/'Veroposentin tuotto'!K95</f>
        <v>1904.2906236933798</v>
      </c>
      <c r="AR95" s="41">
        <f>'3. Verotulot'!AW95/'Veroposentin tuotto'!L95</f>
        <v>1774.2762046634343</v>
      </c>
      <c r="AS95" s="41">
        <f>'3. Verotulot'!BB95/'Veroposentin tuotto'!M95</f>
        <v>1861.6693628345711</v>
      </c>
      <c r="AT95" s="41">
        <f>'3. Verotulot'!BG95/'Veroposentin tuotto'!N95</f>
        <v>1924.3496095493747</v>
      </c>
      <c r="AU95" s="41">
        <f>'3. Verotulot'!BL95/'Veroposentin tuotto'!O95</f>
        <v>1972.0587862781526</v>
      </c>
      <c r="AV95" s="41">
        <f>'3. Verotulot'!BQ95/'Veroposentin tuotto'!P95</f>
        <v>2023.0941071569798</v>
      </c>
      <c r="AX95" s="146"/>
      <c r="AZ95" s="34">
        <v>241</v>
      </c>
      <c r="BA95" s="88" t="s">
        <v>409</v>
      </c>
      <c r="BB95" s="41">
        <f>AI95/'1. Väestöennuste'!E95*1000</f>
        <v>168.14847086874809</v>
      </c>
      <c r="BC95" s="41">
        <f>AJ95/'1. Väestöennuste'!F95*1000</f>
        <v>173.39218515689106</v>
      </c>
      <c r="BD95" s="41">
        <f>AK95/'1. Väestöennuste'!G95*1000</f>
        <v>170.6506324805718</v>
      </c>
      <c r="BE95" s="41">
        <f>AL95/'1. Väestöennuste'!H95*1000</f>
        <v>173.61569397612979</v>
      </c>
      <c r="BF95" s="41">
        <f>AM95/'1. Väestöennuste'!I95*1000</f>
        <v>179.31747522625835</v>
      </c>
      <c r="BG95" s="41">
        <f>AN95/'1. Väestöennuste'!J95*1000</f>
        <v>184.13297182600493</v>
      </c>
      <c r="BH95" s="41">
        <f>AO95/'1. Väestöennuste'!K95*1000</f>
        <v>194.7244657061205</v>
      </c>
      <c r="BI95" s="41">
        <f>AP95/'1. Väestöennuste'!L95*1000</f>
        <v>398.39397991022429</v>
      </c>
      <c r="BJ95" s="41">
        <f>AQ95/'1. Väestöennuste'!M95*1000</f>
        <v>247.59987305855933</v>
      </c>
      <c r="BK95" s="41">
        <f>AR95/'1. Väestöennuste'!N95*1000</f>
        <v>230.06693525200134</v>
      </c>
      <c r="BL95" s="41">
        <f>AS95/'1. Väestöennuste'!O95*1000</f>
        <v>243.5146321562552</v>
      </c>
      <c r="BM95" s="41">
        <f>AT95/'1. Väestöennuste'!P95*1000</f>
        <v>253.93898252169106</v>
      </c>
      <c r="BN95" s="41">
        <f>AU95/'1. Väestöennuste'!Q95*1000</f>
        <v>262.73098671438214</v>
      </c>
      <c r="BO95" s="41">
        <f>AV95/'1. Väestöennuste'!R95*1000</f>
        <v>271.99436772747782</v>
      </c>
    </row>
    <row r="96" spans="1:67" x14ac:dyDescent="0.25">
      <c r="A96" s="30">
        <v>244</v>
      </c>
      <c r="B96" s="47" t="s">
        <v>410</v>
      </c>
      <c r="C96" s="47">
        <v>20.5</v>
      </c>
      <c r="D96" s="47">
        <v>20.5</v>
      </c>
      <c r="E96" s="47">
        <v>20.5</v>
      </c>
      <c r="F96" s="47">
        <v>20.5</v>
      </c>
      <c r="G96" s="47">
        <v>20.5</v>
      </c>
      <c r="H96" s="58">
        <v>20.5</v>
      </c>
      <c r="I96" s="139">
        <v>20.5</v>
      </c>
      <c r="J96" s="139">
        <v>20.5</v>
      </c>
      <c r="K96" s="139">
        <f t="shared" si="7"/>
        <v>7.8599999999999994</v>
      </c>
      <c r="L96" s="139">
        <v>7.9</v>
      </c>
      <c r="M96" s="139">
        <f t="shared" si="8"/>
        <v>7.9</v>
      </c>
      <c r="N96" s="147">
        <f t="shared" si="8"/>
        <v>7.9</v>
      </c>
      <c r="O96" s="147">
        <f t="shared" si="8"/>
        <v>7.9</v>
      </c>
      <c r="P96" s="147">
        <f t="shared" si="8"/>
        <v>7.9</v>
      </c>
      <c r="Q96" s="147"/>
      <c r="S96" s="41">
        <f>'3. Verotulot'!D96*100/'Veroposentin tuotto'!C96</f>
        <v>284904.13492682925</v>
      </c>
      <c r="T96" s="41">
        <f>'3. Verotulot'!I96*100/'Veroposentin tuotto'!D96</f>
        <v>292297.56097560975</v>
      </c>
      <c r="U96" s="41">
        <f>'3. Verotulot'!N96*100/'Veroposentin tuotto'!E96</f>
        <v>293609.75609756098</v>
      </c>
      <c r="V96" s="41">
        <f>'3. Verotulot'!S96*100/'Veroposentin tuotto'!F96</f>
        <v>298975.60975609755</v>
      </c>
      <c r="W96" s="41">
        <f>'3. Verotulot'!X96*100/'Veroposentin tuotto'!G96</f>
        <v>309541.46341463417</v>
      </c>
      <c r="X96" s="41">
        <f>'3. Verotulot'!AC96*100/'Veroposentin tuotto'!H96</f>
        <v>327931.70731707319</v>
      </c>
      <c r="Y96" s="41">
        <f>'3. Verotulot'!AH96*100/'Veroposentin tuotto'!I96</f>
        <v>348558.00907317078</v>
      </c>
      <c r="Z96" s="41">
        <f>'3. Verotulot'!AM96*100/'Veroposentin tuotto'!J96</f>
        <v>369584.03165853658</v>
      </c>
      <c r="AA96" s="41">
        <f>'3. Verotulot'!AR96*100/'Veroposentin tuotto'!K96</f>
        <v>472676.61501272267</v>
      </c>
      <c r="AB96" s="41">
        <f>'3. Verotulot'!AW96*100/'Veroposentin tuotto'!L96</f>
        <v>451734.14745551138</v>
      </c>
      <c r="AC96" s="41">
        <f>'3. Verotulot'!BB96*100/'Veroposentin tuotto'!M96</f>
        <v>490686.23785074893</v>
      </c>
      <c r="AD96" s="41">
        <f>'3. Verotulot'!BG96*100/'Veroposentin tuotto'!N96</f>
        <v>522176.3496570196</v>
      </c>
      <c r="AE96" s="41">
        <f>'3. Verotulot'!BL96*100/'Veroposentin tuotto'!O96</f>
        <v>549139.30199640745</v>
      </c>
      <c r="AF96" s="41">
        <f>'3. Verotulot'!BQ96*100/'Veroposentin tuotto'!P96</f>
        <v>578490.51375488879</v>
      </c>
      <c r="AI96" s="41">
        <f>'3. Verotulot'!D96/'Veroposentin tuotto'!C96</f>
        <v>2849.0413492682928</v>
      </c>
      <c r="AJ96" s="41">
        <f>'3. Verotulot'!I96/'Veroposentin tuotto'!D96</f>
        <v>2922.9756097560976</v>
      </c>
      <c r="AK96" s="41">
        <f>'3. Verotulot'!N96/'Veroposentin tuotto'!E96</f>
        <v>2936.0975609756097</v>
      </c>
      <c r="AL96" s="41">
        <f>'3. Verotulot'!S96/'Veroposentin tuotto'!F96</f>
        <v>2989.7560975609758</v>
      </c>
      <c r="AM96" s="41">
        <f>'3. Verotulot'!X96/'Veroposentin tuotto'!G96</f>
        <v>3095.4146341463415</v>
      </c>
      <c r="AN96" s="41">
        <f>'3. Verotulot'!AC96/'Veroposentin tuotto'!H96</f>
        <v>3279.3170731707319</v>
      </c>
      <c r="AO96" s="41">
        <f>'3. Verotulot'!AH96/'Veroposentin tuotto'!I96</f>
        <v>3485.5800907317075</v>
      </c>
      <c r="AP96" s="41">
        <f>'3. Verotulot'!AM96/'Veroposentin tuotto'!J96</f>
        <v>3695.8403165853661</v>
      </c>
      <c r="AQ96" s="41">
        <f>'3. Verotulot'!AR96/'Veroposentin tuotto'!K96</f>
        <v>4726.7661501272269</v>
      </c>
      <c r="AR96" s="41">
        <f>'3. Verotulot'!AW96/'Veroposentin tuotto'!L96</f>
        <v>4517.3414745551136</v>
      </c>
      <c r="AS96" s="41">
        <f>'3. Verotulot'!BB96/'Veroposentin tuotto'!M96</f>
        <v>4906.8623785074897</v>
      </c>
      <c r="AT96" s="41">
        <f>'3. Verotulot'!BG96/'Veroposentin tuotto'!N96</f>
        <v>5221.7634965701964</v>
      </c>
      <c r="AU96" s="41">
        <f>'3. Verotulot'!BL96/'Veroposentin tuotto'!O96</f>
        <v>5491.3930199640745</v>
      </c>
      <c r="AV96" s="41">
        <f>'3. Verotulot'!BQ96/'Veroposentin tuotto'!P96</f>
        <v>5784.905137548888</v>
      </c>
      <c r="AX96" s="146"/>
      <c r="AZ96" s="34">
        <v>244</v>
      </c>
      <c r="BA96" s="88" t="s">
        <v>410</v>
      </c>
      <c r="BB96" s="41">
        <f>AI96/'1. Väestöennuste'!E96*1000</f>
        <v>166.94253775156994</v>
      </c>
      <c r="BC96" s="41">
        <f>AJ96/'1. Väestöennuste'!F96*1000</f>
        <v>168.98743191051037</v>
      </c>
      <c r="BD96" s="41">
        <f>AK96/'1. Väestöennuste'!G96*1000</f>
        <v>167.44211924582888</v>
      </c>
      <c r="BE96" s="41">
        <f>AL96/'1. Väestöennuste'!H96*1000</f>
        <v>166.81114197182256</v>
      </c>
      <c r="BF96" s="41">
        <f>AM96/'1. Väestöennuste'!I96*1000</f>
        <v>168.64149464158768</v>
      </c>
      <c r="BG96" s="41">
        <f>AN96/'1. Väestöennuste'!J96*1000</f>
        <v>174.46888024956013</v>
      </c>
      <c r="BH96" s="41">
        <f>AO96/'1. Väestöennuste'!K96*1000</f>
        <v>182.33836005083214</v>
      </c>
      <c r="BI96" s="41">
        <f>AP96/'1. Väestöennuste'!L96*1000</f>
        <v>191.49431692152154</v>
      </c>
      <c r="BJ96" s="41">
        <f>AQ96/'1. Väestöennuste'!M96*1000</f>
        <v>242.2243594407721</v>
      </c>
      <c r="BK96" s="41">
        <f>AR96/'1. Väestöennuste'!N96*1000</f>
        <v>224.10782728357958</v>
      </c>
      <c r="BL96" s="41">
        <f>AS96/'1. Väestöennuste'!O96*1000</f>
        <v>240.02653125800958</v>
      </c>
      <c r="BM96" s="41">
        <f>AT96/'1. Väestöennuste'!P96*1000</f>
        <v>252.13730065524848</v>
      </c>
      <c r="BN96" s="41">
        <f>AU96/'1. Väestöennuste'!Q96*1000</f>
        <v>261.91896498922415</v>
      </c>
      <c r="BO96" s="41">
        <f>AV96/'1. Väestöennuste'!R96*1000</f>
        <v>272.83427522279334</v>
      </c>
    </row>
    <row r="97" spans="1:67" x14ac:dyDescent="0.25">
      <c r="A97" s="30">
        <v>245</v>
      </c>
      <c r="B97" s="47" t="s">
        <v>411</v>
      </c>
      <c r="C97" s="47">
        <v>19</v>
      </c>
      <c r="D97" s="47">
        <v>19.25</v>
      </c>
      <c r="E97" s="47">
        <v>19.25</v>
      </c>
      <c r="F97" s="47">
        <v>19.25</v>
      </c>
      <c r="G97" s="47">
        <v>19.25</v>
      </c>
      <c r="H97" s="58">
        <v>19.25</v>
      </c>
      <c r="I97" s="139">
        <v>19.25</v>
      </c>
      <c r="J97" s="139">
        <v>19.25</v>
      </c>
      <c r="K97" s="139">
        <f t="shared" si="7"/>
        <v>6.6099999999999994</v>
      </c>
      <c r="L97" s="139">
        <v>6.9</v>
      </c>
      <c r="M97" s="139">
        <f t="shared" si="8"/>
        <v>6.9</v>
      </c>
      <c r="N97" s="147">
        <f t="shared" si="8"/>
        <v>6.9</v>
      </c>
      <c r="O97" s="147">
        <f t="shared" si="8"/>
        <v>6.9</v>
      </c>
      <c r="P97" s="147">
        <f t="shared" si="8"/>
        <v>6.9</v>
      </c>
      <c r="Q97" s="147"/>
      <c r="S97" s="41">
        <f>'3. Verotulot'!D97*100/'Veroposentin tuotto'!C97</f>
        <v>696070.41605263157</v>
      </c>
      <c r="T97" s="41">
        <f>'3. Verotulot'!I97*100/'Veroposentin tuotto'!D97</f>
        <v>701392.20779220783</v>
      </c>
      <c r="U97" s="41">
        <f>'3. Verotulot'!N97*100/'Veroposentin tuotto'!E97</f>
        <v>703672.72727272729</v>
      </c>
      <c r="V97" s="41">
        <f>'3. Verotulot'!S97*100/'Veroposentin tuotto'!F97</f>
        <v>689584.41558441555</v>
      </c>
      <c r="W97" s="41">
        <f>'3. Verotulot'!X97*100/'Veroposentin tuotto'!G97</f>
        <v>721574.02597402595</v>
      </c>
      <c r="X97" s="41">
        <f>'3. Verotulot'!AC97*100/'Veroposentin tuotto'!H97</f>
        <v>756000</v>
      </c>
      <c r="Y97" s="41">
        <f>'3. Verotulot'!AH97*100/'Veroposentin tuotto'!I97</f>
        <v>762431.58535064943</v>
      </c>
      <c r="Z97" s="41">
        <f>'3. Verotulot'!AM97*100/'Veroposentin tuotto'!J97</f>
        <v>790737.52197402588</v>
      </c>
      <c r="AA97" s="41">
        <f>'3. Verotulot'!AR97*100/'Veroposentin tuotto'!K97</f>
        <v>1042336.4878971254</v>
      </c>
      <c r="AB97" s="41">
        <f>'3. Verotulot'!AW97*100/'Veroposentin tuotto'!L97</f>
        <v>967068.271409326</v>
      </c>
      <c r="AC97" s="41">
        <f>'3. Verotulot'!BB97*100/'Veroposentin tuotto'!M97</f>
        <v>1030740.2161103976</v>
      </c>
      <c r="AD97" s="41">
        <f>'3. Verotulot'!BG97*100/'Veroposentin tuotto'!N97</f>
        <v>1086085.9276207087</v>
      </c>
      <c r="AE97" s="41">
        <f>'3. Verotulot'!BL97*100/'Veroposentin tuotto'!O97</f>
        <v>1136346.9201995116</v>
      </c>
      <c r="AF97" s="41">
        <f>'3. Verotulot'!BQ97*100/'Veroposentin tuotto'!P97</f>
        <v>1191103.7865245263</v>
      </c>
      <c r="AI97" s="41">
        <f>'3. Verotulot'!D97/'Veroposentin tuotto'!C97</f>
        <v>6960.7041605263148</v>
      </c>
      <c r="AJ97" s="41">
        <f>'3. Verotulot'!I97/'Veroposentin tuotto'!D97</f>
        <v>7013.9220779220777</v>
      </c>
      <c r="AK97" s="41">
        <f>'3. Verotulot'!N97/'Veroposentin tuotto'!E97</f>
        <v>7036.727272727273</v>
      </c>
      <c r="AL97" s="41">
        <f>'3. Verotulot'!S97/'Veroposentin tuotto'!F97</f>
        <v>6895.8441558441555</v>
      </c>
      <c r="AM97" s="41">
        <f>'3. Verotulot'!X97/'Veroposentin tuotto'!G97</f>
        <v>7215.7402597402597</v>
      </c>
      <c r="AN97" s="41">
        <f>'3. Verotulot'!AC97/'Veroposentin tuotto'!H97</f>
        <v>7560</v>
      </c>
      <c r="AO97" s="41">
        <f>'3. Verotulot'!AH97/'Veroposentin tuotto'!I97</f>
        <v>7624.3158535064949</v>
      </c>
      <c r="AP97" s="41">
        <f>'3. Verotulot'!AM97/'Veroposentin tuotto'!J97</f>
        <v>7907.3752197402591</v>
      </c>
      <c r="AQ97" s="41">
        <f>'3. Verotulot'!AR97/'Veroposentin tuotto'!K97</f>
        <v>10423.364878971255</v>
      </c>
      <c r="AR97" s="41">
        <f>'3. Verotulot'!AW97/'Veroposentin tuotto'!L97</f>
        <v>9670.6827140932601</v>
      </c>
      <c r="AS97" s="41">
        <f>'3. Verotulot'!BB97/'Veroposentin tuotto'!M97</f>
        <v>10307.402161103977</v>
      </c>
      <c r="AT97" s="41">
        <f>'3. Verotulot'!BG97/'Veroposentin tuotto'!N97</f>
        <v>10860.859276207088</v>
      </c>
      <c r="AU97" s="41">
        <f>'3. Verotulot'!BL97/'Veroposentin tuotto'!O97</f>
        <v>11363.469201995116</v>
      </c>
      <c r="AV97" s="41">
        <f>'3. Verotulot'!BQ97/'Veroposentin tuotto'!P97</f>
        <v>11911.037865245262</v>
      </c>
      <c r="AX97" s="146"/>
      <c r="AZ97" s="34">
        <v>245</v>
      </c>
      <c r="BA97" s="88" t="s">
        <v>411</v>
      </c>
      <c r="BB97" s="41">
        <f>AI97/'1. Väestöennuste'!E97*1000</f>
        <v>197.22619671114145</v>
      </c>
      <c r="BC97" s="41">
        <f>AJ97/'1. Väestöennuste'!F97*1000</f>
        <v>197.51406825834468</v>
      </c>
      <c r="BD97" s="41">
        <f>AK97/'1. Väestöennuste'!G97*1000</f>
        <v>197.91661339729069</v>
      </c>
      <c r="BE97" s="41">
        <f>AL97/'1. Väestöennuste'!H97*1000</f>
        <v>190.2091950086654</v>
      </c>
      <c r="BF97" s="41">
        <f>AM97/'1. Väestöennuste'!I97*1000</f>
        <v>196.31462236751167</v>
      </c>
      <c r="BG97" s="41">
        <f>AN97/'1. Väestöennuste'!J97*1000</f>
        <v>203.74612585904865</v>
      </c>
      <c r="BH97" s="41">
        <f>AO97/'1. Väestöennuste'!K97*1000</f>
        <v>204.77857363307086</v>
      </c>
      <c r="BI97" s="41">
        <f>AP97/'1. Väestöennuste'!L97*1000</f>
        <v>209.87831032328961</v>
      </c>
      <c r="BJ97" s="41">
        <f>AQ97/'1. Väestöennuste'!M97*1000</f>
        <v>272.78440446393063</v>
      </c>
      <c r="BK97" s="41">
        <f>AR97/'1. Väestöennuste'!N97*1000</f>
        <v>250.54231234211406</v>
      </c>
      <c r="BL97" s="41">
        <f>AS97/'1. Väestöennuste'!O97*1000</f>
        <v>264.86964309659453</v>
      </c>
      <c r="BM97" s="41">
        <f>AT97/'1. Väestöennuste'!P97*1000</f>
        <v>276.93557234451237</v>
      </c>
      <c r="BN97" s="41">
        <f>AU97/'1. Väestöennuste'!Q97*1000</f>
        <v>287.69004789982318</v>
      </c>
      <c r="BO97" s="41">
        <f>AV97/'1. Väestöennuste'!R97*1000</f>
        <v>299.52065444326354</v>
      </c>
    </row>
    <row r="98" spans="1:67" x14ac:dyDescent="0.25">
      <c r="A98" s="30">
        <v>249</v>
      </c>
      <c r="B98" s="47" t="s">
        <v>412</v>
      </c>
      <c r="C98" s="47">
        <v>20.5</v>
      </c>
      <c r="D98" s="47">
        <v>20.5</v>
      </c>
      <c r="E98" s="47">
        <v>20.5</v>
      </c>
      <c r="F98" s="47">
        <v>21.5</v>
      </c>
      <c r="G98" s="47">
        <v>21.5</v>
      </c>
      <c r="H98" s="58">
        <v>21.5</v>
      </c>
      <c r="I98" s="139">
        <v>21.5</v>
      </c>
      <c r="J98" s="139">
        <v>21.75</v>
      </c>
      <c r="K98" s="139">
        <f t="shared" si="7"/>
        <v>9.11</v>
      </c>
      <c r="L98" s="139">
        <v>9.1</v>
      </c>
      <c r="M98" s="139">
        <f t="shared" si="8"/>
        <v>9.1</v>
      </c>
      <c r="N98" s="147">
        <f t="shared" si="8"/>
        <v>9.1</v>
      </c>
      <c r="O98" s="147">
        <f t="shared" si="8"/>
        <v>9.1</v>
      </c>
      <c r="P98" s="147">
        <f t="shared" si="8"/>
        <v>9.1</v>
      </c>
      <c r="Q98" s="147"/>
      <c r="S98" s="41">
        <f>'3. Verotulot'!D98*100/'Veroposentin tuotto'!C98</f>
        <v>143368.3788292683</v>
      </c>
      <c r="T98" s="41">
        <f>'3. Verotulot'!I98*100/'Veroposentin tuotto'!D98</f>
        <v>141146.34146341463</v>
      </c>
      <c r="U98" s="41">
        <f>'3. Verotulot'!N98*100/'Veroposentin tuotto'!E98</f>
        <v>140336.58536585365</v>
      </c>
      <c r="V98" s="41">
        <f>'3. Verotulot'!S98*100/'Veroposentin tuotto'!F98</f>
        <v>137879.06976744186</v>
      </c>
      <c r="W98" s="41">
        <f>'3. Verotulot'!X98*100/'Veroposentin tuotto'!G98</f>
        <v>133190.6976744186</v>
      </c>
      <c r="X98" s="41">
        <f>'3. Verotulot'!AC98*100/'Veroposentin tuotto'!H98</f>
        <v>140404.65116279069</v>
      </c>
      <c r="Y98" s="41">
        <f>'3. Verotulot'!AH98*100/'Veroposentin tuotto'!I98</f>
        <v>143429.99618604651</v>
      </c>
      <c r="Z98" s="41">
        <f>'3. Verotulot'!AM98*100/'Veroposentin tuotto'!J98</f>
        <v>148871.6612413793</v>
      </c>
      <c r="AA98" s="41">
        <f>'3. Verotulot'!AR98*100/'Veroposentin tuotto'!K98</f>
        <v>174244.05225027443</v>
      </c>
      <c r="AB98" s="41">
        <f>'3. Verotulot'!AW98*100/'Veroposentin tuotto'!L98</f>
        <v>170333.67814845339</v>
      </c>
      <c r="AC98" s="41">
        <f>'3. Verotulot'!BB98*100/'Veroposentin tuotto'!M98</f>
        <v>177056.36258362295</v>
      </c>
      <c r="AD98" s="41">
        <f>'3. Verotulot'!BG98*100/'Veroposentin tuotto'!N98</f>
        <v>182565.22539632572</v>
      </c>
      <c r="AE98" s="41">
        <f>'3. Verotulot'!BL98*100/'Veroposentin tuotto'!O98</f>
        <v>186840.90865934815</v>
      </c>
      <c r="AF98" s="41">
        <f>'3. Verotulot'!BQ98*100/'Veroposentin tuotto'!P98</f>
        <v>192251.19009778678</v>
      </c>
      <c r="AI98" s="41">
        <f>'3. Verotulot'!D98/'Veroposentin tuotto'!C98</f>
        <v>1433.6837882926829</v>
      </c>
      <c r="AJ98" s="41">
        <f>'3. Verotulot'!I98/'Veroposentin tuotto'!D98</f>
        <v>1411.4634146341464</v>
      </c>
      <c r="AK98" s="41">
        <f>'3. Verotulot'!N98/'Veroposentin tuotto'!E98</f>
        <v>1403.3658536585365</v>
      </c>
      <c r="AL98" s="41">
        <f>'3. Verotulot'!S98/'Veroposentin tuotto'!F98</f>
        <v>1378.7906976744187</v>
      </c>
      <c r="AM98" s="41">
        <f>'3. Verotulot'!X98/'Veroposentin tuotto'!G98</f>
        <v>1331.9069767441861</v>
      </c>
      <c r="AN98" s="41">
        <f>'3. Verotulot'!AC98/'Veroposentin tuotto'!H98</f>
        <v>1404.046511627907</v>
      </c>
      <c r="AO98" s="41">
        <f>'3. Verotulot'!AH98/'Veroposentin tuotto'!I98</f>
        <v>1434.2999618604651</v>
      </c>
      <c r="AP98" s="41">
        <f>'3. Verotulot'!AM98/'Veroposentin tuotto'!J98</f>
        <v>1488.716612413793</v>
      </c>
      <c r="AQ98" s="41">
        <f>'3. Verotulot'!AR98/'Veroposentin tuotto'!K98</f>
        <v>1742.4405225027442</v>
      </c>
      <c r="AR98" s="41">
        <f>'3. Verotulot'!AW98/'Veroposentin tuotto'!L98</f>
        <v>1703.336781484534</v>
      </c>
      <c r="AS98" s="41">
        <f>'3. Verotulot'!BB98/'Veroposentin tuotto'!M98</f>
        <v>1770.5636258362292</v>
      </c>
      <c r="AT98" s="41">
        <f>'3. Verotulot'!BG98/'Veroposentin tuotto'!N98</f>
        <v>1825.6522539632572</v>
      </c>
      <c r="AU98" s="41">
        <f>'3. Verotulot'!BL98/'Veroposentin tuotto'!O98</f>
        <v>1868.4090865934816</v>
      </c>
      <c r="AV98" s="41">
        <f>'3. Verotulot'!BQ98/'Veroposentin tuotto'!P98</f>
        <v>1922.5119009778675</v>
      </c>
      <c r="AX98" s="146"/>
      <c r="AZ98" s="34">
        <v>249</v>
      </c>
      <c r="BA98" s="88" t="s">
        <v>412</v>
      </c>
      <c r="BB98" s="41">
        <f>AI98/'1. Väestöennuste'!E98*1000</f>
        <v>141.71036752917692</v>
      </c>
      <c r="BC98" s="41">
        <f>AJ98/'1. Väestöennuste'!F98*1000</f>
        <v>141.25934894256869</v>
      </c>
      <c r="BD98" s="41">
        <f>AK98/'1. Väestöennuste'!G98*1000</f>
        <v>141.48259438033438</v>
      </c>
      <c r="BE98" s="41">
        <f>AL98/'1. Väestöennuste'!H98*1000</f>
        <v>141.24059595107752</v>
      </c>
      <c r="BF98" s="41">
        <f>AM98/'1. Väestöennuste'!I98*1000</f>
        <v>138.66808711548006</v>
      </c>
      <c r="BG98" s="41">
        <f>AN98/'1. Väestöennuste'!J98*1000</f>
        <v>148.01249331940826</v>
      </c>
      <c r="BH98" s="41">
        <f>AO98/'1. Väestöennuste'!K98*1000</f>
        <v>151.8902850641179</v>
      </c>
      <c r="BI98" s="41">
        <f>AP98/'1. Väestöennuste'!L98*1000</f>
        <v>160.9423364771668</v>
      </c>
      <c r="BJ98" s="41">
        <f>AQ98/'1. Väestöennuste'!M98*1000</f>
        <v>189.72566664881796</v>
      </c>
      <c r="BK98" s="41">
        <f>AR98/'1. Väestöennuste'!N98*1000</f>
        <v>189.57560172337605</v>
      </c>
      <c r="BL98" s="41">
        <f>AS98/'1. Väestöennuste'!O98*1000</f>
        <v>199.38779570227808</v>
      </c>
      <c r="BM98" s="41">
        <f>AT98/'1. Väestöennuste'!P98*1000</f>
        <v>208.02783203774581</v>
      </c>
      <c r="BN98" s="41">
        <f>AU98/'1. Väestöennuste'!Q98*1000</f>
        <v>215.27930482699406</v>
      </c>
      <c r="BO98" s="41">
        <f>AV98/'1. Väestöennuste'!R98*1000</f>
        <v>223.99066771267243</v>
      </c>
    </row>
    <row r="99" spans="1:67" x14ac:dyDescent="0.25">
      <c r="A99" s="30">
        <v>250</v>
      </c>
      <c r="B99" s="47" t="s">
        <v>413</v>
      </c>
      <c r="C99" s="47">
        <v>21.5</v>
      </c>
      <c r="D99" s="47">
        <v>21.5</v>
      </c>
      <c r="E99" s="47">
        <v>21.5</v>
      </c>
      <c r="F99" s="47">
        <v>21.5</v>
      </c>
      <c r="G99" s="47">
        <v>21.5</v>
      </c>
      <c r="H99" s="58">
        <v>21.5</v>
      </c>
      <c r="I99" s="139">
        <v>21.5</v>
      </c>
      <c r="J99" s="139">
        <v>21.5</v>
      </c>
      <c r="K99" s="139">
        <f t="shared" si="7"/>
        <v>8.86</v>
      </c>
      <c r="L99" s="139">
        <v>8.9</v>
      </c>
      <c r="M99" s="139">
        <f t="shared" si="8"/>
        <v>8.9</v>
      </c>
      <c r="N99" s="147">
        <f t="shared" si="8"/>
        <v>8.9</v>
      </c>
      <c r="O99" s="147">
        <f t="shared" si="8"/>
        <v>8.9</v>
      </c>
      <c r="P99" s="147">
        <f t="shared" si="8"/>
        <v>8.9</v>
      </c>
      <c r="Q99" s="147"/>
      <c r="S99" s="41">
        <f>'3. Verotulot'!D99*100/'Veroposentin tuotto'!C99</f>
        <v>23793.023162790698</v>
      </c>
      <c r="T99" s="41">
        <f>'3. Verotulot'!I99*100/'Veroposentin tuotto'!D99</f>
        <v>23381.39534883721</v>
      </c>
      <c r="U99" s="41">
        <f>'3. Verotulot'!N99*100/'Veroposentin tuotto'!E99</f>
        <v>21790.697674418603</v>
      </c>
      <c r="V99" s="41">
        <f>'3. Verotulot'!S99*100/'Veroposentin tuotto'!F99</f>
        <v>21181.39534883721</v>
      </c>
      <c r="W99" s="41">
        <f>'3. Verotulot'!X99*100/'Veroposentin tuotto'!G99</f>
        <v>20897.674418604653</v>
      </c>
      <c r="X99" s="41">
        <f>'3. Verotulot'!AC99*100/'Veroposentin tuotto'!H99</f>
        <v>21330.232558139534</v>
      </c>
      <c r="Y99" s="41">
        <f>'3. Verotulot'!AH99*100/'Veroposentin tuotto'!I99</f>
        <v>22610.401302325583</v>
      </c>
      <c r="Z99" s="41">
        <f>'3. Verotulot'!AM99*100/'Veroposentin tuotto'!J99</f>
        <v>23258.112790697673</v>
      </c>
      <c r="AA99" s="41">
        <f>'3. Verotulot'!AR99*100/'Veroposentin tuotto'!K99</f>
        <v>28449.14943566592</v>
      </c>
      <c r="AB99" s="41">
        <f>'3. Verotulot'!AW99*100/'Veroposentin tuotto'!L99</f>
        <v>27357.978792684022</v>
      </c>
      <c r="AC99" s="41">
        <f>'3. Verotulot'!BB99*100/'Veroposentin tuotto'!M99</f>
        <v>28112.118820768552</v>
      </c>
      <c r="AD99" s="41">
        <f>'3. Verotulot'!BG99*100/'Veroposentin tuotto'!N99</f>
        <v>28731.63298058456</v>
      </c>
      <c r="AE99" s="41">
        <f>'3. Verotulot'!BL99*100/'Veroposentin tuotto'!O99</f>
        <v>29186.548434045613</v>
      </c>
      <c r="AF99" s="41">
        <f>'3. Verotulot'!BQ99*100/'Veroposentin tuotto'!P99</f>
        <v>29806.461290381401</v>
      </c>
      <c r="AI99" s="41">
        <f>'3. Verotulot'!D99/'Veroposentin tuotto'!C99</f>
        <v>237.93023162790701</v>
      </c>
      <c r="AJ99" s="41">
        <f>'3. Verotulot'!I99/'Veroposentin tuotto'!D99</f>
        <v>233.81395348837211</v>
      </c>
      <c r="AK99" s="41">
        <f>'3. Verotulot'!N99/'Veroposentin tuotto'!E99</f>
        <v>217.90697674418604</v>
      </c>
      <c r="AL99" s="41">
        <f>'3. Verotulot'!S99/'Veroposentin tuotto'!F99</f>
        <v>211.81395348837211</v>
      </c>
      <c r="AM99" s="41">
        <f>'3. Verotulot'!X99/'Veroposentin tuotto'!G99</f>
        <v>208.97674418604652</v>
      </c>
      <c r="AN99" s="41">
        <f>'3. Verotulot'!AC99/'Veroposentin tuotto'!H99</f>
        <v>213.30232558139534</v>
      </c>
      <c r="AO99" s="41">
        <f>'3. Verotulot'!AH99/'Veroposentin tuotto'!I99</f>
        <v>226.10401302325582</v>
      </c>
      <c r="AP99" s="41">
        <f>'3. Verotulot'!AM99/'Veroposentin tuotto'!J99</f>
        <v>232.58112790697672</v>
      </c>
      <c r="AQ99" s="41">
        <f>'3. Verotulot'!AR99/'Veroposentin tuotto'!K99</f>
        <v>284.49149435665919</v>
      </c>
      <c r="AR99" s="41">
        <f>'3. Verotulot'!AW99/'Veroposentin tuotto'!L99</f>
        <v>273.5797879268402</v>
      </c>
      <c r="AS99" s="41">
        <f>'3. Verotulot'!BB99/'Veroposentin tuotto'!M99</f>
        <v>281.12118820768552</v>
      </c>
      <c r="AT99" s="41">
        <f>'3. Verotulot'!BG99/'Veroposentin tuotto'!N99</f>
        <v>287.31632980584556</v>
      </c>
      <c r="AU99" s="41">
        <f>'3. Verotulot'!BL99/'Veroposentin tuotto'!O99</f>
        <v>291.86548434045613</v>
      </c>
      <c r="AV99" s="41">
        <f>'3. Verotulot'!BQ99/'Veroposentin tuotto'!P99</f>
        <v>298.06461290381401</v>
      </c>
      <c r="AX99" s="146"/>
      <c r="AZ99" s="34">
        <v>250</v>
      </c>
      <c r="BA99" s="88" t="s">
        <v>413</v>
      </c>
      <c r="BB99" s="41">
        <f>AI99/'1. Väestöennuste'!E99*1000</f>
        <v>116.74692425314377</v>
      </c>
      <c r="BC99" s="41">
        <f>AJ99/'1. Väestöennuste'!F99*1000</f>
        <v>117.25875300319565</v>
      </c>
      <c r="BD99" s="41">
        <f>AK99/'1. Väestöennuste'!G99*1000</f>
        <v>110.78138116125371</v>
      </c>
      <c r="BE99" s="41">
        <f>AL99/'1. Väestöennuste'!H99*1000</f>
        <v>110.89735784731523</v>
      </c>
      <c r="BF99" s="41">
        <f>AM99/'1. Väestöennuste'!I99*1000</f>
        <v>112.05187355820189</v>
      </c>
      <c r="BG99" s="41">
        <f>AN99/'1. Väestöennuste'!J99*1000</f>
        <v>117.07043116432236</v>
      </c>
      <c r="BH99" s="41">
        <f>AO99/'1. Väestöennuste'!K99*1000</f>
        <v>125.05752932702202</v>
      </c>
      <c r="BI99" s="41">
        <f>AP99/'1. Väestöennuste'!L99*1000</f>
        <v>131.32757081139286</v>
      </c>
      <c r="BJ99" s="41">
        <f>AQ99/'1. Väestöennuste'!M99*1000</f>
        <v>162.65951649894751</v>
      </c>
      <c r="BK99" s="41">
        <f>AR99/'1. Väestöennuste'!N99*1000</f>
        <v>163.82023229152108</v>
      </c>
      <c r="BL99" s="41">
        <f>AS99/'1. Väestöennuste'!O99*1000</f>
        <v>171.62465702544904</v>
      </c>
      <c r="BM99" s="41">
        <f>AT99/'1. Väestöennuste'!P99*1000</f>
        <v>178.79049770121065</v>
      </c>
      <c r="BN99" s="41">
        <f>AU99/'1. Väestöennuste'!Q99*1000</f>
        <v>184.95911555161987</v>
      </c>
      <c r="BO99" s="41">
        <f>AV99/'1. Väestöennuste'!R99*1000</f>
        <v>192.6726650961952</v>
      </c>
    </row>
    <row r="100" spans="1:67" x14ac:dyDescent="0.25">
      <c r="A100" s="30">
        <v>256</v>
      </c>
      <c r="B100" s="47" t="s">
        <v>414</v>
      </c>
      <c r="C100" s="47">
        <v>20.5</v>
      </c>
      <c r="D100" s="47">
        <v>20.5</v>
      </c>
      <c r="E100" s="47">
        <v>20.5</v>
      </c>
      <c r="F100" s="47">
        <v>20.5</v>
      </c>
      <c r="G100" s="47">
        <v>21</v>
      </c>
      <c r="H100" s="58">
        <v>21</v>
      </c>
      <c r="I100" s="139">
        <v>21.5</v>
      </c>
      <c r="J100" s="139">
        <v>21.5</v>
      </c>
      <c r="K100" s="139">
        <f t="shared" si="7"/>
        <v>8.86</v>
      </c>
      <c r="L100" s="139">
        <v>9.5</v>
      </c>
      <c r="M100" s="139">
        <f t="shared" si="8"/>
        <v>9.5</v>
      </c>
      <c r="N100" s="147">
        <f t="shared" si="8"/>
        <v>9.5</v>
      </c>
      <c r="O100" s="147">
        <f t="shared" si="8"/>
        <v>9.5</v>
      </c>
      <c r="P100" s="147">
        <f t="shared" si="8"/>
        <v>9.5</v>
      </c>
      <c r="Q100" s="147"/>
      <c r="S100" s="41">
        <f>'3. Verotulot'!D100*100/'Veroposentin tuotto'!C100</f>
        <v>18927.810487804876</v>
      </c>
      <c r="T100" s="41">
        <f>'3. Verotulot'!I100*100/'Veroposentin tuotto'!D100</f>
        <v>19004.878048780487</v>
      </c>
      <c r="U100" s="41">
        <f>'3. Verotulot'!N100*100/'Veroposentin tuotto'!E100</f>
        <v>18721.951219512193</v>
      </c>
      <c r="V100" s="41">
        <f>'3. Verotulot'!S100*100/'Veroposentin tuotto'!F100</f>
        <v>17897.560975609755</v>
      </c>
      <c r="W100" s="41">
        <f>'3. Verotulot'!X100*100/'Veroposentin tuotto'!G100</f>
        <v>16204.761904761905</v>
      </c>
      <c r="X100" s="41">
        <f>'3. Verotulot'!AC100*100/'Veroposentin tuotto'!H100</f>
        <v>18438.095238095237</v>
      </c>
      <c r="Y100" s="41">
        <f>'3. Verotulot'!AH100*100/'Veroposentin tuotto'!I100</f>
        <v>18865.525581395352</v>
      </c>
      <c r="Z100" s="41">
        <f>'3. Verotulot'!AM100*100/'Veroposentin tuotto'!J100</f>
        <v>18421.397674418604</v>
      </c>
      <c r="AA100" s="41">
        <f>'3. Verotulot'!AR100*100/'Veroposentin tuotto'!K100</f>
        <v>21964.538036117385</v>
      </c>
      <c r="AB100" s="41">
        <f>'3. Verotulot'!AW100*100/'Veroposentin tuotto'!L100</f>
        <v>21253.47070552998</v>
      </c>
      <c r="AC100" s="41">
        <f>'3. Verotulot'!BB100*100/'Veroposentin tuotto'!M100</f>
        <v>22193.613817924135</v>
      </c>
      <c r="AD100" s="41">
        <f>'3. Verotulot'!BG100*100/'Veroposentin tuotto'!N100</f>
        <v>22842.139647288888</v>
      </c>
      <c r="AE100" s="41">
        <f>'3. Verotulot'!BL100*100/'Veroposentin tuotto'!O100</f>
        <v>23191.827835275035</v>
      </c>
      <c r="AF100" s="41">
        <f>'3. Verotulot'!BQ100*100/'Veroposentin tuotto'!P100</f>
        <v>23723.798361111494</v>
      </c>
      <c r="AI100" s="41">
        <f>'3. Verotulot'!D100/'Veroposentin tuotto'!C100</f>
        <v>189.27810487804877</v>
      </c>
      <c r="AJ100" s="41">
        <f>'3. Verotulot'!I100/'Veroposentin tuotto'!D100</f>
        <v>190.04878048780489</v>
      </c>
      <c r="AK100" s="41">
        <f>'3. Verotulot'!N100/'Veroposentin tuotto'!E100</f>
        <v>187.21951219512195</v>
      </c>
      <c r="AL100" s="41">
        <f>'3. Verotulot'!S100/'Veroposentin tuotto'!F100</f>
        <v>178.97560975609755</v>
      </c>
      <c r="AM100" s="41">
        <f>'3. Verotulot'!X100/'Veroposentin tuotto'!G100</f>
        <v>162.04761904761904</v>
      </c>
      <c r="AN100" s="41">
        <f>'3. Verotulot'!AC100/'Veroposentin tuotto'!H100</f>
        <v>184.38095238095238</v>
      </c>
      <c r="AO100" s="41">
        <f>'3. Verotulot'!AH100/'Veroposentin tuotto'!I100</f>
        <v>188.65525581395349</v>
      </c>
      <c r="AP100" s="41">
        <f>'3. Verotulot'!AM100/'Veroposentin tuotto'!J100</f>
        <v>184.21397674418606</v>
      </c>
      <c r="AQ100" s="41">
        <f>'3. Verotulot'!AR100/'Veroposentin tuotto'!K100</f>
        <v>219.64538036117384</v>
      </c>
      <c r="AR100" s="41">
        <f>'3. Verotulot'!AW100/'Veroposentin tuotto'!L100</f>
        <v>212.5347070552998</v>
      </c>
      <c r="AS100" s="41">
        <f>'3. Verotulot'!BB100/'Veroposentin tuotto'!M100</f>
        <v>221.93613817924134</v>
      </c>
      <c r="AT100" s="41">
        <f>'3. Verotulot'!BG100/'Veroposentin tuotto'!N100</f>
        <v>228.42139647288886</v>
      </c>
      <c r="AU100" s="41">
        <f>'3. Verotulot'!BL100/'Veroposentin tuotto'!O100</f>
        <v>231.91827835275035</v>
      </c>
      <c r="AV100" s="41">
        <f>'3. Verotulot'!BQ100/'Veroposentin tuotto'!P100</f>
        <v>237.23798361111494</v>
      </c>
      <c r="AX100" s="146"/>
      <c r="AZ100" s="34">
        <v>256</v>
      </c>
      <c r="BA100" s="88" t="s">
        <v>414</v>
      </c>
      <c r="BB100" s="41">
        <f>AI100/'1. Väestöennuste'!E100*1000</f>
        <v>108.46882801034313</v>
      </c>
      <c r="BC100" s="41">
        <f>AJ100/'1. Väestöennuste'!F100*1000</f>
        <v>111.85919981624772</v>
      </c>
      <c r="BD100" s="41">
        <f>AK100/'1. Väestöennuste'!G100*1000</f>
        <v>113.05526098739247</v>
      </c>
      <c r="BE100" s="41">
        <f>AL100/'1. Väestöennuste'!H100*1000</f>
        <v>110.82081099448764</v>
      </c>
      <c r="BF100" s="41">
        <f>AM100/'1. Väestöennuste'!I100*1000</f>
        <v>100.02939447383891</v>
      </c>
      <c r="BG100" s="41">
        <f>AN100/'1. Väestöennuste'!J100*1000</f>
        <v>115.45457256164833</v>
      </c>
      <c r="BH100" s="41">
        <f>AO100/'1. Väestöennuste'!K100*1000</f>
        <v>119.32653751673213</v>
      </c>
      <c r="BI100" s="41">
        <f>AP100/'1. Väestöennuste'!L100*1000</f>
        <v>118.5418125766963</v>
      </c>
      <c r="BJ100" s="41">
        <f>AQ100/'1. Väestöennuste'!M100*1000</f>
        <v>144.21889715113187</v>
      </c>
      <c r="BK100" s="41">
        <f>AR100/'1. Väestöennuste'!N100*1000</f>
        <v>142.06865444872983</v>
      </c>
      <c r="BL100" s="41">
        <f>AS100/'1. Väestöennuste'!O100*1000</f>
        <v>150.56725792350159</v>
      </c>
      <c r="BM100" s="41">
        <f>AT100/'1. Väestöennuste'!P100*1000</f>
        <v>157.53199756750953</v>
      </c>
      <c r="BN100" s="41">
        <f>AU100/'1. Väestöennuste'!Q100*1000</f>
        <v>162.40775795010529</v>
      </c>
      <c r="BO100" s="41">
        <f>AV100/'1. Väestöennuste'!R100*1000</f>
        <v>168.37330277580904</v>
      </c>
    </row>
    <row r="101" spans="1:67" x14ac:dyDescent="0.25">
      <c r="A101" s="30">
        <v>257</v>
      </c>
      <c r="B101" s="47" t="s">
        <v>415</v>
      </c>
      <c r="C101" s="47">
        <v>19.5</v>
      </c>
      <c r="D101" s="47">
        <v>19.5</v>
      </c>
      <c r="E101" s="47">
        <v>19.5</v>
      </c>
      <c r="F101" s="47">
        <v>19.5</v>
      </c>
      <c r="G101" s="47">
        <v>19.75</v>
      </c>
      <c r="H101" s="58">
        <v>19.75</v>
      </c>
      <c r="I101" s="139">
        <v>19.75</v>
      </c>
      <c r="J101" s="139">
        <v>19.75</v>
      </c>
      <c r="K101" s="139">
        <f t="shared" si="7"/>
        <v>7.1099999999999994</v>
      </c>
      <c r="L101" s="139">
        <v>7.1</v>
      </c>
      <c r="M101" s="139">
        <f t="shared" si="8"/>
        <v>7.1</v>
      </c>
      <c r="N101" s="147">
        <f t="shared" si="8"/>
        <v>7.1</v>
      </c>
      <c r="O101" s="147">
        <f t="shared" si="8"/>
        <v>7.1</v>
      </c>
      <c r="P101" s="147">
        <f t="shared" si="8"/>
        <v>7.1</v>
      </c>
      <c r="Q101" s="147"/>
      <c r="S101" s="41">
        <f>'3. Verotulot'!D101*100/'Veroposentin tuotto'!C101</f>
        <v>824065.59379487182</v>
      </c>
      <c r="T101" s="41">
        <f>'3. Verotulot'!I101*100/'Veroposentin tuotto'!D101</f>
        <v>863205.12820512825</v>
      </c>
      <c r="U101" s="41">
        <f>'3. Verotulot'!N101*100/'Veroposentin tuotto'!E101</f>
        <v>877015.38461538462</v>
      </c>
      <c r="V101" s="41">
        <f>'3. Verotulot'!S101*100/'Veroposentin tuotto'!F101</f>
        <v>877830.76923076925</v>
      </c>
      <c r="W101" s="41">
        <f>'3. Verotulot'!X101*100/'Veroposentin tuotto'!G101</f>
        <v>869969.62025316455</v>
      </c>
      <c r="X101" s="41">
        <f>'3. Verotulot'!AC101*100/'Veroposentin tuotto'!H101</f>
        <v>936820.25316455693</v>
      </c>
      <c r="Y101" s="41">
        <f>'3. Verotulot'!AH101*100/'Veroposentin tuotto'!I101</f>
        <v>951780.64637974673</v>
      </c>
      <c r="Z101" s="41">
        <f>'3. Verotulot'!AM101*100/'Veroposentin tuotto'!J101</f>
        <v>1019143.3917974683</v>
      </c>
      <c r="AA101" s="41">
        <f>'3. Verotulot'!AR101*100/'Veroposentin tuotto'!K101</f>
        <v>1348182.3178621661</v>
      </c>
      <c r="AB101" s="41">
        <f>'3. Verotulot'!AW101*100/'Veroposentin tuotto'!L101</f>
        <v>1209761.186501706</v>
      </c>
      <c r="AC101" s="41">
        <f>'3. Verotulot'!BB101*100/'Veroposentin tuotto'!M101</f>
        <v>1277790.4099760323</v>
      </c>
      <c r="AD101" s="41">
        <f>'3. Verotulot'!BG101*100/'Veroposentin tuotto'!N101</f>
        <v>1335277.7641739484</v>
      </c>
      <c r="AE101" s="41">
        <f>'3. Verotulot'!BL101*100/'Veroposentin tuotto'!O101</f>
        <v>1385357.5179439217</v>
      </c>
      <c r="AF101" s="41">
        <f>'3. Verotulot'!BQ101*100/'Veroposentin tuotto'!P101</f>
        <v>1439912.0815582108</v>
      </c>
      <c r="AI101" s="41">
        <f>'3. Verotulot'!D101/'Veroposentin tuotto'!C101</f>
        <v>8240.6559379487171</v>
      </c>
      <c r="AJ101" s="41">
        <f>'3. Verotulot'!I101/'Veroposentin tuotto'!D101</f>
        <v>8632.0512820512813</v>
      </c>
      <c r="AK101" s="41">
        <f>'3. Verotulot'!N101/'Veroposentin tuotto'!E101</f>
        <v>8770.1538461538457</v>
      </c>
      <c r="AL101" s="41">
        <f>'3. Verotulot'!S101/'Veroposentin tuotto'!F101</f>
        <v>8778.3076923076915</v>
      </c>
      <c r="AM101" s="41">
        <f>'3. Verotulot'!X101/'Veroposentin tuotto'!G101</f>
        <v>8699.6962025316461</v>
      </c>
      <c r="AN101" s="41">
        <f>'3. Verotulot'!AC101/'Veroposentin tuotto'!H101</f>
        <v>9368.2025316455693</v>
      </c>
      <c r="AO101" s="41">
        <f>'3. Verotulot'!AH101/'Veroposentin tuotto'!I101</f>
        <v>9517.8064637974676</v>
      </c>
      <c r="AP101" s="41">
        <f>'3. Verotulot'!AM101/'Veroposentin tuotto'!J101</f>
        <v>10191.433917974684</v>
      </c>
      <c r="AQ101" s="41">
        <f>'3. Verotulot'!AR101/'Veroposentin tuotto'!K101</f>
        <v>13481.82317862166</v>
      </c>
      <c r="AR101" s="41">
        <f>'3. Verotulot'!AW101/'Veroposentin tuotto'!L101</f>
        <v>12097.611865017061</v>
      </c>
      <c r="AS101" s="41">
        <f>'3. Verotulot'!BB101/'Veroposentin tuotto'!M101</f>
        <v>12777.904099760322</v>
      </c>
      <c r="AT101" s="41">
        <f>'3. Verotulot'!BG101/'Veroposentin tuotto'!N101</f>
        <v>13352.777641739483</v>
      </c>
      <c r="AU101" s="41">
        <f>'3. Verotulot'!BL101/'Veroposentin tuotto'!O101</f>
        <v>13853.575179439218</v>
      </c>
      <c r="AV101" s="41">
        <f>'3. Verotulot'!BQ101/'Veroposentin tuotto'!P101</f>
        <v>14399.120815582106</v>
      </c>
      <c r="AX101" s="146"/>
      <c r="AZ101" s="34">
        <v>257</v>
      </c>
      <c r="BA101" s="88" t="s">
        <v>415</v>
      </c>
      <c r="BB101" s="41">
        <f>AI101/'1. Väestöennuste'!E101*1000</f>
        <v>213.21783067993266</v>
      </c>
      <c r="BC101" s="41">
        <f>AJ101/'1. Väestöennuste'!F101*1000</f>
        <v>221.14752343020729</v>
      </c>
      <c r="BD101" s="41">
        <f>AK101/'1. Väestöennuste'!G101*1000</f>
        <v>223.89976630466802</v>
      </c>
      <c r="BE101" s="41">
        <f>AL101/'1. Väestöennuste'!H101*1000</f>
        <v>223.58279487310102</v>
      </c>
      <c r="BF101" s="41">
        <f>AM101/'1. Väestöennuste'!I101*1000</f>
        <v>219.76699344545159</v>
      </c>
      <c r="BG101" s="41">
        <f>AN101/'1. Väestöennuste'!J101*1000</f>
        <v>233.72592514459282</v>
      </c>
      <c r="BH101" s="41">
        <f>AO101/'1. Väestöennuste'!K101*1000</f>
        <v>235.39698918698753</v>
      </c>
      <c r="BI101" s="41">
        <f>AP101/'1. Väestöennuste'!L101*1000</f>
        <v>250.26850149734008</v>
      </c>
      <c r="BJ101" s="41">
        <f>AQ101/'1. Väestöennuste'!M101*1000</f>
        <v>327.59447875350293</v>
      </c>
      <c r="BK101" s="41">
        <f>AR101/'1. Väestöennuste'!N101*1000</f>
        <v>291.76885090362634</v>
      </c>
      <c r="BL101" s="41">
        <f>AS101/'1. Väestöennuste'!O101*1000</f>
        <v>305.9769665419966</v>
      </c>
      <c r="BM101" s="41">
        <f>AT101/'1. Väestöennuste'!P101*1000</f>
        <v>317.61322617776653</v>
      </c>
      <c r="BN101" s="41">
        <f>AU101/'1. Väestöennuste'!Q101*1000</f>
        <v>327.4689795399886</v>
      </c>
      <c r="BO101" s="41">
        <f>AV101/'1. Väestöennuste'!R101*1000</f>
        <v>338.31725794934579</v>
      </c>
    </row>
    <row r="102" spans="1:67" x14ac:dyDescent="0.25">
      <c r="A102" s="30">
        <v>260</v>
      </c>
      <c r="B102" s="47" t="s">
        <v>416</v>
      </c>
      <c r="C102" s="47">
        <v>22.5</v>
      </c>
      <c r="D102" s="47">
        <v>22</v>
      </c>
      <c r="E102" s="47">
        <v>21.5</v>
      </c>
      <c r="F102" s="47">
        <v>21.5</v>
      </c>
      <c r="G102" s="47">
        <v>21</v>
      </c>
      <c r="H102" s="58">
        <v>21</v>
      </c>
      <c r="I102" s="139">
        <v>20.75</v>
      </c>
      <c r="J102" s="139">
        <v>20.75</v>
      </c>
      <c r="K102" s="139">
        <f t="shared" si="7"/>
        <v>8.11</v>
      </c>
      <c r="L102" s="139">
        <v>8.1</v>
      </c>
      <c r="M102" s="139">
        <f t="shared" si="8"/>
        <v>8.1</v>
      </c>
      <c r="N102" s="147">
        <f t="shared" si="8"/>
        <v>8.1</v>
      </c>
      <c r="O102" s="147">
        <f t="shared" si="8"/>
        <v>8.1</v>
      </c>
      <c r="P102" s="147">
        <f t="shared" si="8"/>
        <v>8.1</v>
      </c>
      <c r="Q102" s="147"/>
      <c r="S102" s="41">
        <f>'3. Verotulot'!D102*100/'Veroposentin tuotto'!C102</f>
        <v>136102.07862222224</v>
      </c>
      <c r="T102" s="41">
        <f>'3. Verotulot'!I102*100/'Veroposentin tuotto'!D102</f>
        <v>133404.54545454544</v>
      </c>
      <c r="U102" s="41">
        <f>'3. Verotulot'!N102*100/'Veroposentin tuotto'!E102</f>
        <v>134790.6976744186</v>
      </c>
      <c r="V102" s="41">
        <f>'3. Verotulot'!S102*100/'Veroposentin tuotto'!F102</f>
        <v>126265.11627906977</v>
      </c>
      <c r="W102" s="41">
        <f>'3. Verotulot'!X102*100/'Veroposentin tuotto'!G102</f>
        <v>128852.38095238095</v>
      </c>
      <c r="X102" s="41">
        <f>'3. Verotulot'!AC102*100/'Veroposentin tuotto'!H102</f>
        <v>131233.33333333334</v>
      </c>
      <c r="Y102" s="41">
        <f>'3. Verotulot'!AH102*100/'Veroposentin tuotto'!I102</f>
        <v>130385.87426506025</v>
      </c>
      <c r="Z102" s="41">
        <f>'3. Verotulot'!AM102*100/'Veroposentin tuotto'!J102</f>
        <v>132817.62602409639</v>
      </c>
      <c r="AA102" s="41">
        <f>'3. Verotulot'!AR102*100/'Veroposentin tuotto'!K102</f>
        <v>158630.39124537609</v>
      </c>
      <c r="AB102" s="41">
        <f>'3. Verotulot'!AW102*100/'Veroposentin tuotto'!L102</f>
        <v>154726.09420496301</v>
      </c>
      <c r="AC102" s="41">
        <f>'3. Verotulot'!BB102*100/'Veroposentin tuotto'!M102</f>
        <v>158231.79419997716</v>
      </c>
      <c r="AD102" s="41">
        <f>'3. Verotulot'!BG102*100/'Veroposentin tuotto'!N102</f>
        <v>160776.77470521312</v>
      </c>
      <c r="AE102" s="41">
        <f>'3. Verotulot'!BL102*100/'Veroposentin tuotto'!O102</f>
        <v>163565.46768735713</v>
      </c>
      <c r="AF102" s="41">
        <f>'3. Verotulot'!BQ102*100/'Veroposentin tuotto'!P102</f>
        <v>167230.51388824542</v>
      </c>
      <c r="AI102" s="41">
        <f>'3. Verotulot'!D102/'Veroposentin tuotto'!C102</f>
        <v>1361.0207862222223</v>
      </c>
      <c r="AJ102" s="41">
        <f>'3. Verotulot'!I102/'Veroposentin tuotto'!D102</f>
        <v>1334.0454545454545</v>
      </c>
      <c r="AK102" s="41">
        <f>'3. Verotulot'!N102/'Veroposentin tuotto'!E102</f>
        <v>1347.9069767441861</v>
      </c>
      <c r="AL102" s="41">
        <f>'3. Verotulot'!S102/'Veroposentin tuotto'!F102</f>
        <v>1262.6511627906978</v>
      </c>
      <c r="AM102" s="41">
        <f>'3. Verotulot'!X102/'Veroposentin tuotto'!G102</f>
        <v>1288.5238095238096</v>
      </c>
      <c r="AN102" s="41">
        <f>'3. Verotulot'!AC102/'Veroposentin tuotto'!H102</f>
        <v>1312.3333333333333</v>
      </c>
      <c r="AO102" s="41">
        <f>'3. Verotulot'!AH102/'Veroposentin tuotto'!I102</f>
        <v>1303.8587426506026</v>
      </c>
      <c r="AP102" s="41">
        <f>'3. Verotulot'!AM102/'Veroposentin tuotto'!J102</f>
        <v>1328.1762602409638</v>
      </c>
      <c r="AQ102" s="41">
        <f>'3. Verotulot'!AR102/'Veroposentin tuotto'!K102</f>
        <v>1586.3039124537611</v>
      </c>
      <c r="AR102" s="41">
        <f>'3. Verotulot'!AW102/'Veroposentin tuotto'!L102</f>
        <v>1547.2609420496301</v>
      </c>
      <c r="AS102" s="41">
        <f>'3. Verotulot'!BB102/'Veroposentin tuotto'!M102</f>
        <v>1582.3179419997714</v>
      </c>
      <c r="AT102" s="41">
        <f>'3. Verotulot'!BG102/'Veroposentin tuotto'!N102</f>
        <v>1607.7677470521312</v>
      </c>
      <c r="AU102" s="41">
        <f>'3. Verotulot'!BL102/'Veroposentin tuotto'!O102</f>
        <v>1635.6546768735714</v>
      </c>
      <c r="AV102" s="41">
        <f>'3. Verotulot'!BQ102/'Veroposentin tuotto'!P102</f>
        <v>1672.3051388824542</v>
      </c>
      <c r="AX102" s="146"/>
      <c r="AZ102" s="34">
        <v>260</v>
      </c>
      <c r="BA102" s="88" t="s">
        <v>416</v>
      </c>
      <c r="BB102" s="41">
        <f>AI102/'1. Väestöennuste'!E102*1000</f>
        <v>125.64815234695553</v>
      </c>
      <c r="BC102" s="41">
        <f>AJ102/'1. Väestöennuste'!F102*1000</f>
        <v>124.45614838561941</v>
      </c>
      <c r="BD102" s="41">
        <f>AK102/'1. Väestöennuste'!G102*1000</f>
        <v>128.54348433570343</v>
      </c>
      <c r="BE102" s="41">
        <f>AL102/'1. Väestöennuste'!H102*1000</f>
        <v>121.90105838875245</v>
      </c>
      <c r="BF102" s="41">
        <f>AM102/'1. Väestöennuste'!I102*1000</f>
        <v>127.12350133423536</v>
      </c>
      <c r="BG102" s="41">
        <f>AN102/'1. Väestöennuste'!J102*1000</f>
        <v>132.11852746736466</v>
      </c>
      <c r="BH102" s="41">
        <f>AO102/'1. Väestöennuste'!K102*1000</f>
        <v>132.00959224973195</v>
      </c>
      <c r="BI102" s="41">
        <f>AP102/'1. Väestöennuste'!L102*1000</f>
        <v>136.54531307093285</v>
      </c>
      <c r="BJ102" s="41">
        <f>AQ102/'1. Väestöennuste'!M102*1000</f>
        <v>163.72215011391899</v>
      </c>
      <c r="BK102" s="41">
        <f>AR102/'1. Väestöennuste'!N102*1000</f>
        <v>167.41624562320172</v>
      </c>
      <c r="BL102" s="41">
        <f>AS102/'1. Väestöennuste'!O102*1000</f>
        <v>174.03408952923135</v>
      </c>
      <c r="BM102" s="41">
        <f>AT102/'1. Väestöennuste'!P102*1000</f>
        <v>179.67900615245097</v>
      </c>
      <c r="BN102" s="41">
        <f>AU102/'1. Väestöennuste'!Q102*1000</f>
        <v>185.5956742169036</v>
      </c>
      <c r="BO102" s="41">
        <f>AV102/'1. Väestöennuste'!R102*1000</f>
        <v>192.57313897771235</v>
      </c>
    </row>
    <row r="103" spans="1:67" x14ac:dyDescent="0.25">
      <c r="A103" s="30">
        <v>261</v>
      </c>
      <c r="B103" s="47" t="s">
        <v>417</v>
      </c>
      <c r="C103" s="47">
        <v>19.5</v>
      </c>
      <c r="D103" s="47">
        <v>20.25</v>
      </c>
      <c r="E103" s="47">
        <v>20.25</v>
      </c>
      <c r="F103" s="47">
        <v>20.25</v>
      </c>
      <c r="G103" s="47">
        <v>20.25</v>
      </c>
      <c r="H103" s="58">
        <v>20.25</v>
      </c>
      <c r="I103" s="139">
        <v>20.25</v>
      </c>
      <c r="J103" s="139">
        <v>20.25</v>
      </c>
      <c r="K103" s="139">
        <f t="shared" si="7"/>
        <v>7.6099999999999994</v>
      </c>
      <c r="L103" s="139">
        <v>7.6</v>
      </c>
      <c r="M103" s="139">
        <f t="shared" si="8"/>
        <v>7.6</v>
      </c>
      <c r="N103" s="147">
        <f t="shared" si="8"/>
        <v>7.6</v>
      </c>
      <c r="O103" s="147">
        <f t="shared" si="8"/>
        <v>7.6</v>
      </c>
      <c r="P103" s="147">
        <f t="shared" si="8"/>
        <v>7.6</v>
      </c>
      <c r="Q103" s="147"/>
      <c r="S103" s="41">
        <f>'3. Verotulot'!D103*100/'Veroposentin tuotto'!C103</f>
        <v>94212.568461538467</v>
      </c>
      <c r="T103" s="41">
        <f>'3. Verotulot'!I103*100/'Veroposentin tuotto'!D103</f>
        <v>93906.17283950618</v>
      </c>
      <c r="U103" s="41">
        <f>'3. Verotulot'!N103*100/'Veroposentin tuotto'!E103</f>
        <v>96962.962962962964</v>
      </c>
      <c r="V103" s="41">
        <f>'3. Verotulot'!S103*100/'Veroposentin tuotto'!F103</f>
        <v>96859.259259259255</v>
      </c>
      <c r="W103" s="41">
        <f>'3. Verotulot'!X103*100/'Veroposentin tuotto'!G103</f>
        <v>103397.53086419753</v>
      </c>
      <c r="X103" s="41">
        <f>'3. Verotulot'!AC103*100/'Veroposentin tuotto'!H103</f>
        <v>108646.91358024691</v>
      </c>
      <c r="Y103" s="41">
        <f>'3. Verotulot'!AH103*100/'Veroposentin tuotto'!I103</f>
        <v>104388.89224691357</v>
      </c>
      <c r="Z103" s="41">
        <f>'3. Verotulot'!AM103*100/'Veroposentin tuotto'!J103</f>
        <v>110722.05303703704</v>
      </c>
      <c r="AA103" s="41">
        <f>'3. Verotulot'!AR103*100/'Veroposentin tuotto'!K103</f>
        <v>161340.42772667544</v>
      </c>
      <c r="AB103" s="41">
        <f>'3. Verotulot'!AW103*100/'Veroposentin tuotto'!L103</f>
        <v>144961.38295599271</v>
      </c>
      <c r="AC103" s="41">
        <f>'3. Verotulot'!BB103*100/'Veroposentin tuotto'!M103</f>
        <v>150268.13256459282</v>
      </c>
      <c r="AD103" s="41">
        <f>'3. Verotulot'!BG103*100/'Veroposentin tuotto'!N103</f>
        <v>157757.87000997533</v>
      </c>
      <c r="AE103" s="41">
        <f>'3. Verotulot'!BL103*100/'Veroposentin tuotto'!O103</f>
        <v>163787.26775838668</v>
      </c>
      <c r="AF103" s="41">
        <f>'3. Verotulot'!BQ103*100/'Veroposentin tuotto'!P103</f>
        <v>170537.29919530926</v>
      </c>
      <c r="AI103" s="41">
        <f>'3. Verotulot'!D103/'Veroposentin tuotto'!C103</f>
        <v>942.12568461538467</v>
      </c>
      <c r="AJ103" s="41">
        <f>'3. Verotulot'!I103/'Veroposentin tuotto'!D103</f>
        <v>939.06172839506178</v>
      </c>
      <c r="AK103" s="41">
        <f>'3. Verotulot'!N103/'Veroposentin tuotto'!E103</f>
        <v>969.62962962962968</v>
      </c>
      <c r="AL103" s="41">
        <f>'3. Verotulot'!S103/'Veroposentin tuotto'!F103</f>
        <v>968.59259259259261</v>
      </c>
      <c r="AM103" s="41">
        <f>'3. Verotulot'!X103/'Veroposentin tuotto'!G103</f>
        <v>1033.9753086419753</v>
      </c>
      <c r="AN103" s="41">
        <f>'3. Verotulot'!AC103/'Veroposentin tuotto'!H103</f>
        <v>1086.4691358024691</v>
      </c>
      <c r="AO103" s="41">
        <f>'3. Verotulot'!AH103/'Veroposentin tuotto'!I103</f>
        <v>1043.8889224691359</v>
      </c>
      <c r="AP103" s="41">
        <f>'3. Verotulot'!AM103/'Veroposentin tuotto'!J103</f>
        <v>1107.2205303703704</v>
      </c>
      <c r="AQ103" s="41">
        <f>'3. Verotulot'!AR103/'Veroposentin tuotto'!K103</f>
        <v>1613.4042772667544</v>
      </c>
      <c r="AR103" s="41">
        <f>'3. Verotulot'!AW103/'Veroposentin tuotto'!L103</f>
        <v>1449.6138295599274</v>
      </c>
      <c r="AS103" s="41">
        <f>'3. Verotulot'!BB103/'Veroposentin tuotto'!M103</f>
        <v>1502.6813256459282</v>
      </c>
      <c r="AT103" s="41">
        <f>'3. Verotulot'!BG103/'Veroposentin tuotto'!N103</f>
        <v>1577.5787000997532</v>
      </c>
      <c r="AU103" s="41">
        <f>'3. Verotulot'!BL103/'Veroposentin tuotto'!O103</f>
        <v>1637.8726775838666</v>
      </c>
      <c r="AV103" s="41">
        <f>'3. Verotulot'!BQ103/'Veroposentin tuotto'!P103</f>
        <v>1705.3729919530927</v>
      </c>
      <c r="AX103" s="146"/>
      <c r="AZ103" s="34">
        <v>261</v>
      </c>
      <c r="BA103" s="88" t="s">
        <v>417</v>
      </c>
      <c r="BB103" s="41">
        <f>AI103/'1. Väestöennuste'!E103*1000</f>
        <v>146.84003812583927</v>
      </c>
      <c r="BC103" s="41">
        <f>AJ103/'1. Väestöennuste'!F103*1000</f>
        <v>147.11918038462508</v>
      </c>
      <c r="BD103" s="41">
        <f>AK103/'1. Väestöennuste'!G103*1000</f>
        <v>151.0091309188023</v>
      </c>
      <c r="BE103" s="41">
        <f>AL103/'1. Väestöennuste'!H103*1000</f>
        <v>150.49605229841401</v>
      </c>
      <c r="BF103" s="41">
        <f>AM103/'1. Väestöennuste'!I103*1000</f>
        <v>160.23172301905709</v>
      </c>
      <c r="BG103" s="41">
        <f>AN103/'1. Väestöennuste'!J103*1000</f>
        <v>168.81123924836376</v>
      </c>
      <c r="BH103" s="41">
        <f>AO103/'1. Väestöennuste'!K103*1000</f>
        <v>160.03202858640748</v>
      </c>
      <c r="BI103" s="41">
        <f>AP103/'1. Väestöennuste'!L103*1000</f>
        <v>166.82545282060727</v>
      </c>
      <c r="BJ103" s="41">
        <f>AQ103/'1. Väestöennuste'!M103*1000</f>
        <v>236.50018722760984</v>
      </c>
      <c r="BK103" s="41">
        <f>AR103/'1. Väestöennuste'!N103*1000</f>
        <v>226.3253441935874</v>
      </c>
      <c r="BL103" s="41">
        <f>AS103/'1. Väestöennuste'!O103*1000</f>
        <v>235.05104421178291</v>
      </c>
      <c r="BM103" s="41">
        <f>AT103/'1. Väestöennuste'!P103*1000</f>
        <v>247.3081517635606</v>
      </c>
      <c r="BN103" s="41">
        <f>AU103/'1. Väestöennuste'!Q103*1000</f>
        <v>257.32485115221783</v>
      </c>
      <c r="BO103" s="41">
        <f>AV103/'1. Väestöennuste'!R103*1000</f>
        <v>268.43585580876635</v>
      </c>
    </row>
    <row r="104" spans="1:67" x14ac:dyDescent="0.25">
      <c r="A104" s="30">
        <v>263</v>
      </c>
      <c r="B104" s="47" t="s">
        <v>418</v>
      </c>
      <c r="C104" s="47">
        <v>20.75</v>
      </c>
      <c r="D104" s="47">
        <v>20.75</v>
      </c>
      <c r="E104" s="47">
        <v>20.75</v>
      </c>
      <c r="F104" s="47">
        <v>20.75</v>
      </c>
      <c r="G104" s="47">
        <v>20.75</v>
      </c>
      <c r="H104" s="58">
        <v>21.75</v>
      </c>
      <c r="I104" s="139">
        <v>21.75</v>
      </c>
      <c r="J104" s="139">
        <v>21.75</v>
      </c>
      <c r="K104" s="139">
        <f t="shared" si="7"/>
        <v>9.11</v>
      </c>
      <c r="L104" s="139">
        <v>9.5</v>
      </c>
      <c r="M104" s="139">
        <f t="shared" si="8"/>
        <v>9.5</v>
      </c>
      <c r="N104" s="147">
        <f t="shared" si="8"/>
        <v>9.5</v>
      </c>
      <c r="O104" s="147">
        <f t="shared" si="8"/>
        <v>9.5</v>
      </c>
      <c r="P104" s="147">
        <f t="shared" si="8"/>
        <v>9.5</v>
      </c>
      <c r="Q104" s="147"/>
      <c r="S104" s="41">
        <f>'3. Verotulot'!D104*100/'Veroposentin tuotto'!C104</f>
        <v>102867.74183132531</v>
      </c>
      <c r="T104" s="41">
        <f>'3. Verotulot'!I104*100/'Veroposentin tuotto'!D104</f>
        <v>96833.73493975903</v>
      </c>
      <c r="U104" s="41">
        <f>'3. Verotulot'!N104*100/'Veroposentin tuotto'!E104</f>
        <v>100178.31325301205</v>
      </c>
      <c r="V104" s="41">
        <f>'3. Verotulot'!S104*100/'Veroposentin tuotto'!F104</f>
        <v>94134.939759036148</v>
      </c>
      <c r="W104" s="41">
        <f>'3. Verotulot'!X104*100/'Veroposentin tuotto'!G104</f>
        <v>95951.80722891567</v>
      </c>
      <c r="X104" s="41">
        <f>'3. Verotulot'!AC104*100/'Veroposentin tuotto'!H104</f>
        <v>95439.080459770121</v>
      </c>
      <c r="Y104" s="41">
        <f>'3. Verotulot'!AH104*100/'Veroposentin tuotto'!I104</f>
        <v>98808.009655172427</v>
      </c>
      <c r="Z104" s="41">
        <f>'3. Verotulot'!AM104*100/'Veroposentin tuotto'!J104</f>
        <v>99776.304919540242</v>
      </c>
      <c r="AA104" s="41">
        <f>'3. Verotulot'!AR104*100/'Veroposentin tuotto'!K104</f>
        <v>123772.92107574095</v>
      </c>
      <c r="AB104" s="41">
        <f>'3. Verotulot'!AW104*100/'Veroposentin tuotto'!L104</f>
        <v>117292.40026211581</v>
      </c>
      <c r="AC104" s="41">
        <f>'3. Verotulot'!BB104*100/'Veroposentin tuotto'!M104</f>
        <v>122476.93832152266</v>
      </c>
      <c r="AD104" s="41">
        <f>'3. Verotulot'!BG104*100/'Veroposentin tuotto'!N104</f>
        <v>126308.27203684203</v>
      </c>
      <c r="AE104" s="41">
        <f>'3. Verotulot'!BL104*100/'Veroposentin tuotto'!O104</f>
        <v>128888.95170426687</v>
      </c>
      <c r="AF104" s="41">
        <f>'3. Verotulot'!BQ104*100/'Veroposentin tuotto'!P104</f>
        <v>132127.90395719226</v>
      </c>
      <c r="AI104" s="41">
        <f>'3. Verotulot'!D104/'Veroposentin tuotto'!C104</f>
        <v>1028.6774183132529</v>
      </c>
      <c r="AJ104" s="41">
        <f>'3. Verotulot'!I104/'Veroposentin tuotto'!D104</f>
        <v>968.3373493975904</v>
      </c>
      <c r="AK104" s="41">
        <f>'3. Verotulot'!N104/'Veroposentin tuotto'!E104</f>
        <v>1001.7831325301205</v>
      </c>
      <c r="AL104" s="41">
        <f>'3. Verotulot'!S104/'Veroposentin tuotto'!F104</f>
        <v>941.34939759036149</v>
      </c>
      <c r="AM104" s="41">
        <f>'3. Verotulot'!X104/'Veroposentin tuotto'!G104</f>
        <v>959.51807228915663</v>
      </c>
      <c r="AN104" s="41">
        <f>'3. Verotulot'!AC104/'Veroposentin tuotto'!H104</f>
        <v>954.39080459770116</v>
      </c>
      <c r="AO104" s="41">
        <f>'3. Verotulot'!AH104/'Veroposentin tuotto'!I104</f>
        <v>988.0800965517243</v>
      </c>
      <c r="AP104" s="41">
        <f>'3. Verotulot'!AM104/'Veroposentin tuotto'!J104</f>
        <v>997.76304919540235</v>
      </c>
      <c r="AQ104" s="41">
        <f>'3. Verotulot'!AR104/'Veroposentin tuotto'!K104</f>
        <v>1237.7292107574094</v>
      </c>
      <c r="AR104" s="41">
        <f>'3. Verotulot'!AW104/'Veroposentin tuotto'!L104</f>
        <v>1172.9240026211583</v>
      </c>
      <c r="AS104" s="41">
        <f>'3. Verotulot'!BB104/'Veroposentin tuotto'!M104</f>
        <v>1224.7693832152265</v>
      </c>
      <c r="AT104" s="41">
        <f>'3. Verotulot'!BG104/'Veroposentin tuotto'!N104</f>
        <v>1263.0827203684203</v>
      </c>
      <c r="AU104" s="41">
        <f>'3. Verotulot'!BL104/'Veroposentin tuotto'!O104</f>
        <v>1288.8895170426688</v>
      </c>
      <c r="AV104" s="41">
        <f>'3. Verotulot'!BQ104/'Veroposentin tuotto'!P104</f>
        <v>1321.2790395719228</v>
      </c>
      <c r="AX104" s="146"/>
      <c r="AZ104" s="34">
        <v>263</v>
      </c>
      <c r="BA104" s="88" t="s">
        <v>418</v>
      </c>
      <c r="BB104" s="41">
        <f>AI104/'1. Väestöennuste'!E104*1000</f>
        <v>119.61365329223871</v>
      </c>
      <c r="BC104" s="41">
        <f>AJ104/'1. Väestöennuste'!F104*1000</f>
        <v>114.67756387939251</v>
      </c>
      <c r="BD104" s="41">
        <f>AK104/'1. Väestöennuste'!G104*1000</f>
        <v>120.94448056623452</v>
      </c>
      <c r="BE104" s="41">
        <f>AL104/'1. Väestöennuste'!H104*1000</f>
        <v>115.4604927744832</v>
      </c>
      <c r="BF104" s="41">
        <f>AM104/'1. Väestöennuste'!I104*1000</f>
        <v>119.96975147401308</v>
      </c>
      <c r="BG104" s="41">
        <f>AN104/'1. Väestöennuste'!J104*1000</f>
        <v>121.51652719604037</v>
      </c>
      <c r="BH104" s="41">
        <f>AO104/'1. Väestöennuste'!K104*1000</f>
        <v>127.34631995769097</v>
      </c>
      <c r="BI104" s="41">
        <f>AP104/'1. Väestöennuste'!L104*1000</f>
        <v>131.33645507376627</v>
      </c>
      <c r="BJ104" s="41">
        <f>AQ104/'1. Väestöennuste'!M104*1000</f>
        <v>165.5825031113591</v>
      </c>
      <c r="BK104" s="41">
        <f>AR104/'1. Väestöennuste'!N104*1000</f>
        <v>159.99508970415471</v>
      </c>
      <c r="BL104" s="41">
        <f>AS104/'1. Väestöennuste'!O104*1000</f>
        <v>169.75320626683666</v>
      </c>
      <c r="BM104" s="41">
        <f>AT104/'1. Väestöennuste'!P104*1000</f>
        <v>177.8488764247283</v>
      </c>
      <c r="BN104" s="41">
        <f>AU104/'1. Väestöennuste'!Q104*1000</f>
        <v>184.28503246249196</v>
      </c>
      <c r="BO104" s="41">
        <f>AV104/'1. Väestöennuste'!R104*1000</f>
        <v>191.73981128601406</v>
      </c>
    </row>
    <row r="105" spans="1:67" x14ac:dyDescent="0.25">
      <c r="A105" s="30">
        <v>265</v>
      </c>
      <c r="B105" s="47" t="s">
        <v>419</v>
      </c>
      <c r="C105" s="47">
        <v>21</v>
      </c>
      <c r="D105" s="47">
        <v>21</v>
      </c>
      <c r="E105" s="47">
        <v>21</v>
      </c>
      <c r="F105" s="47">
        <v>21.5</v>
      </c>
      <c r="G105" s="47">
        <v>21.5</v>
      </c>
      <c r="H105" s="58">
        <v>21.75</v>
      </c>
      <c r="I105" s="139">
        <v>21.75</v>
      </c>
      <c r="J105" s="139">
        <v>21.75</v>
      </c>
      <c r="K105" s="139">
        <f t="shared" si="7"/>
        <v>9.11</v>
      </c>
      <c r="L105" s="139">
        <v>9.1</v>
      </c>
      <c r="M105" s="139">
        <f t="shared" si="8"/>
        <v>9.1</v>
      </c>
      <c r="N105" s="147">
        <f t="shared" si="8"/>
        <v>9.1</v>
      </c>
      <c r="O105" s="147">
        <f t="shared" si="8"/>
        <v>9.1</v>
      </c>
      <c r="P105" s="147">
        <f t="shared" si="8"/>
        <v>9.1</v>
      </c>
      <c r="Q105" s="147"/>
      <c r="S105" s="41">
        <f>'3. Verotulot'!D105*100/'Veroposentin tuotto'!C105</f>
        <v>12525.749285714284</v>
      </c>
      <c r="T105" s="41">
        <f>'3. Verotulot'!I105*100/'Veroposentin tuotto'!D105</f>
        <v>11957.142857142857</v>
      </c>
      <c r="U105" s="41">
        <f>'3. Verotulot'!N105*100/'Veroposentin tuotto'!E105</f>
        <v>11990.476190476191</v>
      </c>
      <c r="V105" s="41">
        <f>'3. Verotulot'!S105*100/'Veroposentin tuotto'!F105</f>
        <v>11353.488372093023</v>
      </c>
      <c r="W105" s="41">
        <f>'3. Verotulot'!X105*100/'Veroposentin tuotto'!G105</f>
        <v>11460.465116279071</v>
      </c>
      <c r="X105" s="41">
        <f>'3. Verotulot'!AC105*100/'Veroposentin tuotto'!H105</f>
        <v>12321.839080459769</v>
      </c>
      <c r="Y105" s="41">
        <f>'3. Verotulot'!AH105*100/'Veroposentin tuotto'!I105</f>
        <v>13334.097149425288</v>
      </c>
      <c r="Z105" s="41">
        <f>'3. Verotulot'!AM105*100/'Veroposentin tuotto'!J105</f>
        <v>13408.170252873562</v>
      </c>
      <c r="AA105" s="41">
        <f>'3. Verotulot'!AR105*100/'Veroposentin tuotto'!K105</f>
        <v>13804.630186608125</v>
      </c>
      <c r="AB105" s="41">
        <f>'3. Verotulot'!AW105*100/'Veroposentin tuotto'!L105</f>
        <v>14876.594802893269</v>
      </c>
      <c r="AC105" s="41">
        <f>'3. Verotulot'!BB105*100/'Veroposentin tuotto'!M105</f>
        <v>15714.283057153974</v>
      </c>
      <c r="AD105" s="41">
        <f>'3. Verotulot'!BG105*100/'Veroposentin tuotto'!N105</f>
        <v>16170.009166122683</v>
      </c>
      <c r="AE105" s="41">
        <f>'3. Verotulot'!BL105*100/'Veroposentin tuotto'!O105</f>
        <v>16553.463420300308</v>
      </c>
      <c r="AF105" s="41">
        <f>'3. Verotulot'!BQ105*100/'Veroposentin tuotto'!P105</f>
        <v>17004.159390233086</v>
      </c>
      <c r="AI105" s="41">
        <f>'3. Verotulot'!D105/'Veroposentin tuotto'!C105</f>
        <v>125.25749285714285</v>
      </c>
      <c r="AJ105" s="41">
        <f>'3. Verotulot'!I105/'Veroposentin tuotto'!D105</f>
        <v>119.57142857142857</v>
      </c>
      <c r="AK105" s="41">
        <f>'3. Verotulot'!N105/'Veroposentin tuotto'!E105</f>
        <v>119.9047619047619</v>
      </c>
      <c r="AL105" s="41">
        <f>'3. Verotulot'!S105/'Veroposentin tuotto'!F105</f>
        <v>113.53488372093024</v>
      </c>
      <c r="AM105" s="41">
        <f>'3. Verotulot'!X105/'Veroposentin tuotto'!G105</f>
        <v>114.6046511627907</v>
      </c>
      <c r="AN105" s="41">
        <f>'3. Verotulot'!AC105/'Veroposentin tuotto'!H105</f>
        <v>123.2183908045977</v>
      </c>
      <c r="AO105" s="41">
        <f>'3. Verotulot'!AH105/'Veroposentin tuotto'!I105</f>
        <v>133.34097149425287</v>
      </c>
      <c r="AP105" s="41">
        <f>'3. Verotulot'!AM105/'Veroposentin tuotto'!J105</f>
        <v>134.08170252873563</v>
      </c>
      <c r="AQ105" s="41">
        <f>'3. Verotulot'!AR105/'Veroposentin tuotto'!K105</f>
        <v>138.04630186608125</v>
      </c>
      <c r="AR105" s="41">
        <f>'3. Verotulot'!AW105/'Veroposentin tuotto'!L105</f>
        <v>148.76594802893268</v>
      </c>
      <c r="AS105" s="41">
        <f>'3. Verotulot'!BB105/'Veroposentin tuotto'!M105</f>
        <v>157.14283057153975</v>
      </c>
      <c r="AT105" s="41">
        <f>'3. Verotulot'!BG105/'Veroposentin tuotto'!N105</f>
        <v>161.70009166122685</v>
      </c>
      <c r="AU105" s="41">
        <f>'3. Verotulot'!BL105/'Veroposentin tuotto'!O105</f>
        <v>165.53463420300307</v>
      </c>
      <c r="AV105" s="41">
        <f>'3. Verotulot'!BQ105/'Veroposentin tuotto'!P105</f>
        <v>170.04159390233087</v>
      </c>
      <c r="AX105" s="146"/>
      <c r="AZ105" s="34">
        <v>265</v>
      </c>
      <c r="BA105" s="88" t="s">
        <v>419</v>
      </c>
      <c r="BB105" s="41">
        <f>AI105/'1. Väestöennuste'!E105*1000</f>
        <v>104.38124404761905</v>
      </c>
      <c r="BC105" s="41">
        <f>AJ105/'1. Väestöennuste'!F105*1000</f>
        <v>102.99003322259135</v>
      </c>
      <c r="BD105" s="41">
        <f>AK105/'1. Väestöennuste'!G105*1000</f>
        <v>105.92293454484266</v>
      </c>
      <c r="BE105" s="41">
        <f>AL105/'1. Väestöennuste'!H105*1000</f>
        <v>102.93280482405279</v>
      </c>
      <c r="BF105" s="41">
        <f>AM105/'1. Väestöennuste'!I105*1000</f>
        <v>104.56628755729079</v>
      </c>
      <c r="BG105" s="41">
        <f>AN105/'1. Väestöennuste'!J105*1000</f>
        <v>111.30839277741435</v>
      </c>
      <c r="BH105" s="41">
        <f>AO105/'1. Väestöennuste'!K105*1000</f>
        <v>122.55603997633536</v>
      </c>
      <c r="BI105" s="41">
        <f>AP105/'1. Väestöennuste'!L105*1000</f>
        <v>126.01663771497709</v>
      </c>
      <c r="BJ105" s="41">
        <f>AQ105/'1. Väestöennuste'!M105*1000</f>
        <v>133.37806943582731</v>
      </c>
      <c r="BK105" s="41">
        <f>AR105/'1. Väestöennuste'!N105*1000</f>
        <v>142.08782046698443</v>
      </c>
      <c r="BL105" s="41">
        <f>AS105/'1. Väestöennuste'!O105*1000</f>
        <v>152.27018466234472</v>
      </c>
      <c r="BM105" s="41">
        <f>AT105/'1. Väestöennuste'!P105*1000</f>
        <v>158.99714027652593</v>
      </c>
      <c r="BN105" s="41">
        <f>AU105/'1. Väestöennuste'!Q105*1000</f>
        <v>165.03951565603498</v>
      </c>
      <c r="BO105" s="41">
        <f>AV105/'1. Väestöennuste'!R105*1000</f>
        <v>171.93285531074912</v>
      </c>
    </row>
    <row r="106" spans="1:67" x14ac:dyDescent="0.25">
      <c r="A106" s="30">
        <v>271</v>
      </c>
      <c r="B106" s="47" t="s">
        <v>420</v>
      </c>
      <c r="C106" s="47">
        <v>21.25</v>
      </c>
      <c r="D106" s="47">
        <v>21.25</v>
      </c>
      <c r="E106" s="47">
        <v>21.75</v>
      </c>
      <c r="F106" s="47">
        <v>21.75</v>
      </c>
      <c r="G106" s="47">
        <v>21.75</v>
      </c>
      <c r="H106" s="58">
        <v>21.75</v>
      </c>
      <c r="I106" s="139">
        <v>21.75</v>
      </c>
      <c r="J106" s="139">
        <v>21.75</v>
      </c>
      <c r="K106" s="139">
        <f t="shared" si="7"/>
        <v>9.11</v>
      </c>
      <c r="L106" s="139">
        <v>9.1999999999999993</v>
      </c>
      <c r="M106" s="139">
        <f t="shared" si="8"/>
        <v>9.1999999999999993</v>
      </c>
      <c r="N106" s="147">
        <f t="shared" si="8"/>
        <v>9.1999999999999993</v>
      </c>
      <c r="O106" s="147">
        <f t="shared" si="8"/>
        <v>9.1999999999999993</v>
      </c>
      <c r="P106" s="147">
        <f t="shared" si="8"/>
        <v>9.1999999999999993</v>
      </c>
      <c r="Q106" s="147"/>
      <c r="S106" s="41">
        <f>'3. Verotulot'!D106*100/'Veroposentin tuotto'!C106</f>
        <v>108771.50456470589</v>
      </c>
      <c r="T106" s="41">
        <f>'3. Verotulot'!I106*100/'Veroposentin tuotto'!D106</f>
        <v>106414.11764705883</v>
      </c>
      <c r="U106" s="41">
        <f>'3. Verotulot'!N106*100/'Veroposentin tuotto'!E106</f>
        <v>105167.81609195402</v>
      </c>
      <c r="V106" s="41">
        <f>'3. Verotulot'!S106*100/'Veroposentin tuotto'!F106</f>
        <v>101365.5172413793</v>
      </c>
      <c r="W106" s="41">
        <f>'3. Verotulot'!X106*100/'Veroposentin tuotto'!G106</f>
        <v>101770.11494252873</v>
      </c>
      <c r="X106" s="41">
        <f>'3. Verotulot'!AC106*100/'Veroposentin tuotto'!H106</f>
        <v>105264.36781609195</v>
      </c>
      <c r="Y106" s="41">
        <f>'3. Verotulot'!AH106*100/'Veroposentin tuotto'!I106</f>
        <v>105694.14105747126</v>
      </c>
      <c r="Z106" s="41">
        <f>'3. Verotulot'!AM106*100/'Veroposentin tuotto'!J106</f>
        <v>106765.55733333333</v>
      </c>
      <c r="AA106" s="41">
        <f>'3. Verotulot'!AR106*100/'Veroposentin tuotto'!K106</f>
        <v>135241.48144895723</v>
      </c>
      <c r="AB106" s="41">
        <f>'3. Verotulot'!AW106*100/'Veroposentin tuotto'!L106</f>
        <v>125218.03909560251</v>
      </c>
      <c r="AC106" s="41">
        <f>'3. Verotulot'!BB106*100/'Veroposentin tuotto'!M106</f>
        <v>131804.49922848173</v>
      </c>
      <c r="AD106" s="41">
        <f>'3. Verotulot'!BG106*100/'Veroposentin tuotto'!N106</f>
        <v>136111.77325634912</v>
      </c>
      <c r="AE106" s="41">
        <f>'3. Verotulot'!BL106*100/'Veroposentin tuotto'!O106</f>
        <v>139831.64536075125</v>
      </c>
      <c r="AF106" s="41">
        <f>'3. Verotulot'!BQ106*100/'Veroposentin tuotto'!P106</f>
        <v>144263.7626525973</v>
      </c>
      <c r="AI106" s="41">
        <f>'3. Verotulot'!D106/'Veroposentin tuotto'!C106</f>
        <v>1087.7150456470588</v>
      </c>
      <c r="AJ106" s="41">
        <f>'3. Verotulot'!I106/'Veroposentin tuotto'!D106</f>
        <v>1064.1411764705883</v>
      </c>
      <c r="AK106" s="41">
        <f>'3. Verotulot'!N106/'Veroposentin tuotto'!E106</f>
        <v>1051.6781609195402</v>
      </c>
      <c r="AL106" s="41">
        <f>'3. Verotulot'!S106/'Veroposentin tuotto'!F106</f>
        <v>1013.6551724137931</v>
      </c>
      <c r="AM106" s="41">
        <f>'3. Verotulot'!X106/'Veroposentin tuotto'!G106</f>
        <v>1017.7011494252873</v>
      </c>
      <c r="AN106" s="41">
        <f>'3. Verotulot'!AC106/'Veroposentin tuotto'!H106</f>
        <v>1052.6436781609195</v>
      </c>
      <c r="AO106" s="41">
        <f>'3. Verotulot'!AH106/'Veroposentin tuotto'!I106</f>
        <v>1056.9414105747126</v>
      </c>
      <c r="AP106" s="41">
        <f>'3. Verotulot'!AM106/'Veroposentin tuotto'!J106</f>
        <v>1067.6555733333332</v>
      </c>
      <c r="AQ106" s="41">
        <f>'3. Verotulot'!AR106/'Veroposentin tuotto'!K106</f>
        <v>1352.4148144895721</v>
      </c>
      <c r="AR106" s="41">
        <f>'3. Verotulot'!AW106/'Veroposentin tuotto'!L106</f>
        <v>1252.1803909560251</v>
      </c>
      <c r="AS106" s="41">
        <f>'3. Verotulot'!BB106/'Veroposentin tuotto'!M106</f>
        <v>1318.0449922848172</v>
      </c>
      <c r="AT106" s="41">
        <f>'3. Verotulot'!BG106/'Veroposentin tuotto'!N106</f>
        <v>1361.1177325634912</v>
      </c>
      <c r="AU106" s="41">
        <f>'3. Verotulot'!BL106/'Veroposentin tuotto'!O106</f>
        <v>1398.3164536075128</v>
      </c>
      <c r="AV106" s="41">
        <f>'3. Verotulot'!BQ106/'Veroposentin tuotto'!P106</f>
        <v>1442.637626525973</v>
      </c>
      <c r="AX106" s="146"/>
      <c r="AZ106" s="34">
        <v>271</v>
      </c>
      <c r="BA106" s="88" t="s">
        <v>420</v>
      </c>
      <c r="BB106" s="41">
        <f>AI106/'1. Väestöennuste'!E106*1000</f>
        <v>143.29008637163204</v>
      </c>
      <c r="BC106" s="41">
        <f>AJ106/'1. Väestöennuste'!F106*1000</f>
        <v>141.92333641912356</v>
      </c>
      <c r="BD106" s="41">
        <f>AK106/'1. Väestöennuste'!G106*1000</f>
        <v>142.48450899871835</v>
      </c>
      <c r="BE106" s="41">
        <f>AL106/'1. Väestöennuste'!H106*1000</f>
        <v>140.27887799803392</v>
      </c>
      <c r="BF106" s="41">
        <f>AM106/'1. Väestöennuste'!I106*1000</f>
        <v>143.2776502076992</v>
      </c>
      <c r="BG106" s="41">
        <f>AN106/'1. Väestöennuste'!J106*1000</f>
        <v>150.09891318421782</v>
      </c>
      <c r="BH106" s="41">
        <f>AO106/'1. Väestöennuste'!K106*1000</f>
        <v>152.05602223776614</v>
      </c>
      <c r="BI106" s="41">
        <f>AP106/'1. Väestöennuste'!L106*1000</f>
        <v>154.66544594137812</v>
      </c>
      <c r="BJ106" s="41">
        <f>AQ106/'1. Väestöennuste'!M106*1000</f>
        <v>199.88395129907954</v>
      </c>
      <c r="BK106" s="41">
        <f>AR106/'1. Väestöennuste'!N106*1000</f>
        <v>188.75194316491184</v>
      </c>
      <c r="BL106" s="41">
        <f>AS106/'1. Väestöennuste'!O106*1000</f>
        <v>201.22824309691867</v>
      </c>
      <c r="BM106" s="41">
        <f>AT106/'1. Väestöennuste'!P106*1000</f>
        <v>210.27618300069383</v>
      </c>
      <c r="BN106" s="41">
        <f>AU106/'1. Väestöennuste'!Q106*1000</f>
        <v>218.41869003553776</v>
      </c>
      <c r="BO106" s="41">
        <f>AV106/'1. Väestöennuste'!R106*1000</f>
        <v>227.76091356583092</v>
      </c>
    </row>
    <row r="107" spans="1:67" x14ac:dyDescent="0.25">
      <c r="A107" s="30">
        <v>272</v>
      </c>
      <c r="B107" s="47" t="s">
        <v>421</v>
      </c>
      <c r="C107" s="47">
        <v>21</v>
      </c>
      <c r="D107" s="47">
        <v>21.5</v>
      </c>
      <c r="E107" s="47">
        <v>21.75</v>
      </c>
      <c r="F107" s="47">
        <v>21.75</v>
      </c>
      <c r="G107" s="47">
        <v>21.75</v>
      </c>
      <c r="H107" s="58">
        <v>21.5</v>
      </c>
      <c r="I107" s="139">
        <v>21.499999999999996</v>
      </c>
      <c r="J107" s="139">
        <v>21.499999999999996</v>
      </c>
      <c r="K107" s="139">
        <f t="shared" si="7"/>
        <v>8.8599999999999959</v>
      </c>
      <c r="L107" s="139">
        <v>8.9</v>
      </c>
      <c r="M107" s="139">
        <f t="shared" si="8"/>
        <v>8.9</v>
      </c>
      <c r="N107" s="147">
        <f t="shared" si="8"/>
        <v>8.9</v>
      </c>
      <c r="O107" s="147">
        <f t="shared" si="8"/>
        <v>8.9</v>
      </c>
      <c r="P107" s="147">
        <f t="shared" si="8"/>
        <v>8.9</v>
      </c>
      <c r="Q107" s="147"/>
      <c r="S107" s="41">
        <f>'3. Verotulot'!D107*100/'Veroposentin tuotto'!C107</f>
        <v>729926.22547619045</v>
      </c>
      <c r="T107" s="41">
        <f>'3. Verotulot'!I107*100/'Veroposentin tuotto'!D107</f>
        <v>728167.4418604651</v>
      </c>
      <c r="U107" s="41">
        <f>'3. Verotulot'!N107*100/'Veroposentin tuotto'!E107</f>
        <v>732050.57471264363</v>
      </c>
      <c r="V107" s="41">
        <f>'3. Verotulot'!S107*100/'Veroposentin tuotto'!F107</f>
        <v>721687.35632183903</v>
      </c>
      <c r="W107" s="41">
        <f>'3. Verotulot'!X107*100/'Veroposentin tuotto'!G107</f>
        <v>748091.95402298856</v>
      </c>
      <c r="X107" s="41">
        <f>'3. Verotulot'!AC107*100/'Veroposentin tuotto'!H107</f>
        <v>782720.93023255817</v>
      </c>
      <c r="Y107" s="41">
        <f>'3. Verotulot'!AH107*100/'Veroposentin tuotto'!I107</f>
        <v>797775.70888372103</v>
      </c>
      <c r="Z107" s="41">
        <f>'3. Verotulot'!AM107*100/'Veroposentin tuotto'!J107</f>
        <v>834109.9356744187</v>
      </c>
      <c r="AA107" s="41">
        <f>'3. Verotulot'!AR107*100/'Veroposentin tuotto'!K107</f>
        <v>1030904.7945823933</v>
      </c>
      <c r="AB107" s="41">
        <f>'3. Verotulot'!AW107*100/'Veroposentin tuotto'!L107</f>
        <v>993723.04337779642</v>
      </c>
      <c r="AC107" s="41">
        <f>'3. Verotulot'!BB107*100/'Veroposentin tuotto'!M107</f>
        <v>1051032.5556131294</v>
      </c>
      <c r="AD107" s="41">
        <f>'3. Verotulot'!BG107*100/'Veroposentin tuotto'!N107</f>
        <v>1104462.5892498784</v>
      </c>
      <c r="AE107" s="41">
        <f>'3. Verotulot'!BL107*100/'Veroposentin tuotto'!O107</f>
        <v>1147735.3480302347</v>
      </c>
      <c r="AF107" s="41">
        <f>'3. Verotulot'!BQ107*100/'Veroposentin tuotto'!P107</f>
        <v>1196106.1077901188</v>
      </c>
      <c r="AI107" s="41">
        <f>'3. Verotulot'!D107/'Veroposentin tuotto'!C107</f>
        <v>7299.2622547619048</v>
      </c>
      <c r="AJ107" s="41">
        <f>'3. Verotulot'!I107/'Veroposentin tuotto'!D107</f>
        <v>7281.6744186046508</v>
      </c>
      <c r="AK107" s="41">
        <f>'3. Verotulot'!N107/'Veroposentin tuotto'!E107</f>
        <v>7320.5057471264372</v>
      </c>
      <c r="AL107" s="41">
        <f>'3. Verotulot'!S107/'Veroposentin tuotto'!F107</f>
        <v>7216.8735632183907</v>
      </c>
      <c r="AM107" s="41">
        <f>'3. Verotulot'!X107/'Veroposentin tuotto'!G107</f>
        <v>7480.9195402298847</v>
      </c>
      <c r="AN107" s="41">
        <f>'3. Verotulot'!AC107/'Veroposentin tuotto'!H107</f>
        <v>7827.2093023255811</v>
      </c>
      <c r="AO107" s="41">
        <f>'3. Verotulot'!AH107/'Veroposentin tuotto'!I107</f>
        <v>7977.7570888372111</v>
      </c>
      <c r="AP107" s="41">
        <f>'3. Verotulot'!AM107/'Veroposentin tuotto'!J107</f>
        <v>8341.0993567441874</v>
      </c>
      <c r="AQ107" s="41">
        <f>'3. Verotulot'!AR107/'Veroposentin tuotto'!K107</f>
        <v>10309.047945823932</v>
      </c>
      <c r="AR107" s="41">
        <f>'3. Verotulot'!AW107/'Veroposentin tuotto'!L107</f>
        <v>9937.2304337779642</v>
      </c>
      <c r="AS107" s="41">
        <f>'3. Verotulot'!BB107/'Veroposentin tuotto'!M107</f>
        <v>10510.325556131293</v>
      </c>
      <c r="AT107" s="41">
        <f>'3. Verotulot'!BG107/'Veroposentin tuotto'!N107</f>
        <v>11044.625892498787</v>
      </c>
      <c r="AU107" s="41">
        <f>'3. Verotulot'!BL107/'Veroposentin tuotto'!O107</f>
        <v>11477.353480302347</v>
      </c>
      <c r="AV107" s="41">
        <f>'3. Verotulot'!BQ107/'Veroposentin tuotto'!P107</f>
        <v>11961.061077901188</v>
      </c>
      <c r="AX107" s="146"/>
      <c r="AZ107" s="34">
        <v>272</v>
      </c>
      <c r="BA107" s="88" t="s">
        <v>421</v>
      </c>
      <c r="BB107" s="41">
        <f>AI107/'1. Väestöennuste'!E107*1000</f>
        <v>153.44255317977519</v>
      </c>
      <c r="BC107" s="41">
        <f>AJ107/'1. Väestöennuste'!F107*1000</f>
        <v>152.58207611853092</v>
      </c>
      <c r="BD107" s="41">
        <f>AK107/'1. Väestöennuste'!G107*1000</f>
        <v>153.39575775048587</v>
      </c>
      <c r="BE107" s="41">
        <f>AL107/'1. Väestöennuste'!H107*1000</f>
        <v>151.4336522067774</v>
      </c>
      <c r="BF107" s="41">
        <f>AM107/'1. Väestöennuste'!I107*1000</f>
        <v>156.89518970302393</v>
      </c>
      <c r="BG107" s="41">
        <f>AN107/'1. Väestöennuste'!J107*1000</f>
        <v>163.84512480795405</v>
      </c>
      <c r="BH107" s="41">
        <f>AO107/'1. Väestöennuste'!K107*1000</f>
        <v>166.5189648883761</v>
      </c>
      <c r="BI107" s="41">
        <f>AP107/'1. Väestöennuste'!L107*1000</f>
        <v>173.75118436745799</v>
      </c>
      <c r="BJ107" s="41">
        <f>AQ107/'1. Väestöennuste'!M107*1000</f>
        <v>213.45994297181761</v>
      </c>
      <c r="BK107" s="41">
        <f>AR107/'1. Väestöennuste'!N107*1000</f>
        <v>207.5184904518641</v>
      </c>
      <c r="BL107" s="41">
        <f>AS107/'1. Väestöennuste'!O107*1000</f>
        <v>219.55058397667307</v>
      </c>
      <c r="BM107" s="41">
        <f>AT107/'1. Väestöennuste'!P107*1000</f>
        <v>230.85144937605892</v>
      </c>
      <c r="BN107" s="41">
        <f>AU107/'1. Väestöennuste'!Q107*1000</f>
        <v>240.09692865097057</v>
      </c>
      <c r="BO107" s="41">
        <f>AV107/'1. Väestöennuste'!R107*1000</f>
        <v>250.50391802591076</v>
      </c>
    </row>
    <row r="108" spans="1:67" x14ac:dyDescent="0.25">
      <c r="A108" s="30">
        <v>273</v>
      </c>
      <c r="B108" s="47" t="s">
        <v>422</v>
      </c>
      <c r="C108" s="47">
        <v>20</v>
      </c>
      <c r="D108" s="47">
        <v>20</v>
      </c>
      <c r="E108" s="47">
        <v>20</v>
      </c>
      <c r="F108" s="47">
        <v>20</v>
      </c>
      <c r="G108" s="47">
        <v>20</v>
      </c>
      <c r="H108" s="58">
        <v>20</v>
      </c>
      <c r="I108" s="139">
        <v>20</v>
      </c>
      <c r="J108" s="139">
        <v>20.5</v>
      </c>
      <c r="K108" s="139">
        <f t="shared" si="7"/>
        <v>7.8599999999999994</v>
      </c>
      <c r="L108" s="139">
        <v>7.9</v>
      </c>
      <c r="M108" s="139">
        <f t="shared" si="8"/>
        <v>7.9</v>
      </c>
      <c r="N108" s="147">
        <f t="shared" si="8"/>
        <v>7.9</v>
      </c>
      <c r="O108" s="147">
        <f t="shared" si="8"/>
        <v>7.9</v>
      </c>
      <c r="P108" s="147">
        <f t="shared" si="8"/>
        <v>7.9</v>
      </c>
      <c r="Q108" s="147"/>
      <c r="S108" s="41">
        <f>'3. Verotulot'!D108*100/'Veroposentin tuotto'!C108</f>
        <v>51500.755799999999</v>
      </c>
      <c r="T108" s="41">
        <f>'3. Verotulot'!I108*100/'Veroposentin tuotto'!D108</f>
        <v>50995</v>
      </c>
      <c r="U108" s="41">
        <f>'3. Verotulot'!N108*100/'Veroposentin tuotto'!E108</f>
        <v>49945</v>
      </c>
      <c r="V108" s="41">
        <f>'3. Verotulot'!S108*100/'Veroposentin tuotto'!F108</f>
        <v>52090</v>
      </c>
      <c r="W108" s="41">
        <f>'3. Verotulot'!X108*100/'Veroposentin tuotto'!G108</f>
        <v>52425</v>
      </c>
      <c r="X108" s="41">
        <f>'3. Verotulot'!AC108*100/'Veroposentin tuotto'!H108</f>
        <v>53750</v>
      </c>
      <c r="Y108" s="41">
        <f>'3. Verotulot'!AH108*100/'Veroposentin tuotto'!I108</f>
        <v>56810.656949999997</v>
      </c>
      <c r="Z108" s="41">
        <f>'3. Verotulot'!AM108*100/'Veroposentin tuotto'!J108</f>
        <v>60412.624292682922</v>
      </c>
      <c r="AA108" s="41">
        <f>'3. Verotulot'!AR108*100/'Veroposentin tuotto'!K108</f>
        <v>84338.292748091611</v>
      </c>
      <c r="AB108" s="41">
        <f>'3. Verotulot'!AW108*100/'Veroposentin tuotto'!L108</f>
        <v>74821.212654674135</v>
      </c>
      <c r="AC108" s="41">
        <f>'3. Verotulot'!BB108*100/'Veroposentin tuotto'!M108</f>
        <v>82303.215520209691</v>
      </c>
      <c r="AD108" s="41">
        <f>'3. Verotulot'!BG108*100/'Veroposentin tuotto'!N108</f>
        <v>86985.144494502732</v>
      </c>
      <c r="AE108" s="41">
        <f>'3. Verotulot'!BL108*100/'Veroposentin tuotto'!O108</f>
        <v>90796.063515079513</v>
      </c>
      <c r="AF108" s="41">
        <f>'3. Verotulot'!BQ108*100/'Veroposentin tuotto'!P108</f>
        <v>94706.925821158715</v>
      </c>
      <c r="AI108" s="41">
        <f>'3. Verotulot'!D108/'Veroposentin tuotto'!C108</f>
        <v>515.00755800000002</v>
      </c>
      <c r="AJ108" s="41">
        <f>'3. Verotulot'!I108/'Veroposentin tuotto'!D108</f>
        <v>509.95</v>
      </c>
      <c r="AK108" s="41">
        <f>'3. Verotulot'!N108/'Veroposentin tuotto'!E108</f>
        <v>499.45</v>
      </c>
      <c r="AL108" s="41">
        <f>'3. Verotulot'!S108/'Veroposentin tuotto'!F108</f>
        <v>520.9</v>
      </c>
      <c r="AM108" s="41">
        <f>'3. Verotulot'!X108/'Veroposentin tuotto'!G108</f>
        <v>524.25</v>
      </c>
      <c r="AN108" s="41">
        <f>'3. Verotulot'!AC108/'Veroposentin tuotto'!H108</f>
        <v>537.5</v>
      </c>
      <c r="AO108" s="41">
        <f>'3. Verotulot'!AH108/'Veroposentin tuotto'!I108</f>
        <v>568.10656949999998</v>
      </c>
      <c r="AP108" s="41">
        <f>'3. Verotulot'!AM108/'Veroposentin tuotto'!J108</f>
        <v>604.12624292682926</v>
      </c>
      <c r="AQ108" s="41">
        <f>'3. Verotulot'!AR108/'Veroposentin tuotto'!K108</f>
        <v>843.38292748091612</v>
      </c>
      <c r="AR108" s="41">
        <f>'3. Verotulot'!AW108/'Veroposentin tuotto'!L108</f>
        <v>748.21212654674139</v>
      </c>
      <c r="AS108" s="41">
        <f>'3. Verotulot'!BB108/'Veroposentin tuotto'!M108</f>
        <v>823.03215520209687</v>
      </c>
      <c r="AT108" s="41">
        <f>'3. Verotulot'!BG108/'Veroposentin tuotto'!N108</f>
        <v>869.85144494502742</v>
      </c>
      <c r="AU108" s="41">
        <f>'3. Verotulot'!BL108/'Veroposentin tuotto'!O108</f>
        <v>907.96063515079516</v>
      </c>
      <c r="AV108" s="41">
        <f>'3. Verotulot'!BQ108/'Veroposentin tuotto'!P108</f>
        <v>947.06925821158711</v>
      </c>
      <c r="AX108" s="146"/>
      <c r="AZ108" s="34">
        <v>273</v>
      </c>
      <c r="BA108" s="88" t="s">
        <v>422</v>
      </c>
      <c r="BB108" s="41">
        <f>AI108/'1. Väestöennuste'!E108*1000</f>
        <v>133.83772297297298</v>
      </c>
      <c r="BC108" s="41">
        <f>AJ108/'1. Väestöennuste'!F108*1000</f>
        <v>133.25058792788084</v>
      </c>
      <c r="BD108" s="41">
        <f>AK108/'1. Väestöennuste'!G108*1000</f>
        <v>129.5926310326933</v>
      </c>
      <c r="BE108" s="41">
        <f>AL108/'1. Väestöennuste'!H108*1000</f>
        <v>135.86332811684923</v>
      </c>
      <c r="BF108" s="41">
        <f>AM108/'1. Väestöennuste'!I108*1000</f>
        <v>136.31045241809673</v>
      </c>
      <c r="BG108" s="41">
        <f>AN108/'1. Väestöennuste'!J108*1000</f>
        <v>136.94267515923568</v>
      </c>
      <c r="BH108" s="41">
        <f>AO108/'1. Väestöennuste'!K108*1000</f>
        <v>142.41829267986964</v>
      </c>
      <c r="BI108" s="41">
        <f>AP108/'1. Väestöennuste'!L108*1000</f>
        <v>151.06932806372325</v>
      </c>
      <c r="BJ108" s="41">
        <f>AQ108/'1. Väestöennuste'!M108*1000</f>
        <v>210.26749625552631</v>
      </c>
      <c r="BK108" s="41">
        <f>AR108/'1. Väestöennuste'!N108*1000</f>
        <v>188.5615238273038</v>
      </c>
      <c r="BL108" s="41">
        <f>AS108/'1. Väestöennuste'!O108*1000</f>
        <v>207.10421620586234</v>
      </c>
      <c r="BM108" s="41">
        <f>AT108/'1. Väestöennuste'!P108*1000</f>
        <v>218.66552160508482</v>
      </c>
      <c r="BN108" s="41">
        <f>AU108/'1. Väestöennuste'!Q108*1000</f>
        <v>228.30290046537468</v>
      </c>
      <c r="BO108" s="41">
        <f>AV108/'1. Väestöennuste'!R108*1000</f>
        <v>238.13660000291353</v>
      </c>
    </row>
    <row r="109" spans="1:67" x14ac:dyDescent="0.25">
      <c r="A109" s="30">
        <v>275</v>
      </c>
      <c r="B109" s="47" t="s">
        <v>423</v>
      </c>
      <c r="C109" s="47">
        <v>21.5</v>
      </c>
      <c r="D109" s="47">
        <v>21.5</v>
      </c>
      <c r="E109" s="47">
        <v>21.5</v>
      </c>
      <c r="F109" s="47">
        <v>22</v>
      </c>
      <c r="G109" s="47">
        <v>22</v>
      </c>
      <c r="H109" s="58">
        <v>22</v>
      </c>
      <c r="I109" s="139">
        <v>22</v>
      </c>
      <c r="J109" s="139">
        <v>22</v>
      </c>
      <c r="K109" s="139">
        <f t="shared" si="7"/>
        <v>9.36</v>
      </c>
      <c r="L109" s="139">
        <v>9.8000000000000007</v>
      </c>
      <c r="M109" s="139">
        <f t="shared" si="8"/>
        <v>9.8000000000000007</v>
      </c>
      <c r="N109" s="147">
        <f t="shared" si="8"/>
        <v>9.8000000000000007</v>
      </c>
      <c r="O109" s="147">
        <f t="shared" si="8"/>
        <v>9.8000000000000007</v>
      </c>
      <c r="P109" s="147">
        <f t="shared" si="8"/>
        <v>9.8000000000000007</v>
      </c>
      <c r="Q109" s="147"/>
      <c r="S109" s="41">
        <f>'3. Verotulot'!D109*100/'Veroposentin tuotto'!C109</f>
        <v>34288.052418604646</v>
      </c>
      <c r="T109" s="41">
        <f>'3. Verotulot'!I109*100/'Veroposentin tuotto'!D109</f>
        <v>33813.953488372092</v>
      </c>
      <c r="U109" s="41">
        <f>'3. Verotulot'!N109*100/'Veroposentin tuotto'!E109</f>
        <v>33679.069767441862</v>
      </c>
      <c r="V109" s="41">
        <f>'3. Verotulot'!S109*100/'Veroposentin tuotto'!F109</f>
        <v>33313.63636363636</v>
      </c>
      <c r="W109" s="41">
        <f>'3. Verotulot'!X109*100/'Veroposentin tuotto'!G109</f>
        <v>32445.454545454544</v>
      </c>
      <c r="X109" s="41">
        <f>'3. Verotulot'!AC109*100/'Veroposentin tuotto'!H109</f>
        <v>31972.727272727272</v>
      </c>
      <c r="Y109" s="41">
        <f>'3. Verotulot'!AH109*100/'Veroposentin tuotto'!I109</f>
        <v>33516.378863636361</v>
      </c>
      <c r="Z109" s="41">
        <f>'3. Verotulot'!AM109*100/'Veroposentin tuotto'!J109</f>
        <v>35646.543363636367</v>
      </c>
      <c r="AA109" s="41">
        <f>'3. Verotulot'!AR109*100/'Veroposentin tuotto'!K109</f>
        <v>40892.627991452988</v>
      </c>
      <c r="AB109" s="41">
        <f>'3. Verotulot'!AW109*100/'Veroposentin tuotto'!L109</f>
        <v>40561.780157889858</v>
      </c>
      <c r="AC109" s="41">
        <f>'3. Verotulot'!BB109*100/'Veroposentin tuotto'!M109</f>
        <v>42696.900290075544</v>
      </c>
      <c r="AD109" s="41">
        <f>'3. Verotulot'!BG109*100/'Veroposentin tuotto'!N109</f>
        <v>44018.245258582334</v>
      </c>
      <c r="AE109" s="41">
        <f>'3. Verotulot'!BL109*100/'Veroposentin tuotto'!O109</f>
        <v>45245.514915779</v>
      </c>
      <c r="AF109" s="41">
        <f>'3. Verotulot'!BQ109*100/'Veroposentin tuotto'!P109</f>
        <v>46553.891916678367</v>
      </c>
      <c r="AI109" s="41">
        <f>'3. Verotulot'!D109/'Veroposentin tuotto'!C109</f>
        <v>342.88052418604644</v>
      </c>
      <c r="AJ109" s="41">
        <f>'3. Verotulot'!I109/'Veroposentin tuotto'!D109</f>
        <v>338.13953488372096</v>
      </c>
      <c r="AK109" s="41">
        <f>'3. Verotulot'!N109/'Veroposentin tuotto'!E109</f>
        <v>336.7906976744186</v>
      </c>
      <c r="AL109" s="41">
        <f>'3. Verotulot'!S109/'Veroposentin tuotto'!F109</f>
        <v>333.13636363636363</v>
      </c>
      <c r="AM109" s="41">
        <f>'3. Verotulot'!X109/'Veroposentin tuotto'!G109</f>
        <v>324.45454545454544</v>
      </c>
      <c r="AN109" s="41">
        <f>'3. Verotulot'!AC109/'Veroposentin tuotto'!H109</f>
        <v>319.72727272727275</v>
      </c>
      <c r="AO109" s="41">
        <f>'3. Verotulot'!AH109/'Veroposentin tuotto'!I109</f>
        <v>335.16378863636362</v>
      </c>
      <c r="AP109" s="41">
        <f>'3. Verotulot'!AM109/'Veroposentin tuotto'!J109</f>
        <v>356.46543363636368</v>
      </c>
      <c r="AQ109" s="41">
        <f>'3. Verotulot'!AR109/'Veroposentin tuotto'!K109</f>
        <v>408.92627991452991</v>
      </c>
      <c r="AR109" s="41">
        <f>'3. Verotulot'!AW109/'Veroposentin tuotto'!L109</f>
        <v>405.61780157889859</v>
      </c>
      <c r="AS109" s="41">
        <f>'3. Verotulot'!BB109/'Veroposentin tuotto'!M109</f>
        <v>426.96900290075541</v>
      </c>
      <c r="AT109" s="41">
        <f>'3. Verotulot'!BG109/'Veroposentin tuotto'!N109</f>
        <v>440.18245258582334</v>
      </c>
      <c r="AU109" s="41">
        <f>'3. Verotulot'!BL109/'Veroposentin tuotto'!O109</f>
        <v>452.45514915779</v>
      </c>
      <c r="AV109" s="41">
        <f>'3. Verotulot'!BQ109/'Veroposentin tuotto'!P109</f>
        <v>465.53891916678361</v>
      </c>
      <c r="AX109" s="146"/>
      <c r="AZ109" s="34">
        <v>275</v>
      </c>
      <c r="BA109" s="88" t="s">
        <v>423</v>
      </c>
      <c r="BB109" s="41">
        <f>AI109/'1. Väestöennuste'!E109*1000</f>
        <v>124.36725578021272</v>
      </c>
      <c r="BC109" s="41">
        <f>AJ109/'1. Väestöennuste'!F109*1000</f>
        <v>122.82583904239773</v>
      </c>
      <c r="BD109" s="41">
        <f>AK109/'1. Väestöennuste'!G109*1000</f>
        <v>122.55847804745946</v>
      </c>
      <c r="BE109" s="41">
        <f>AL109/'1. Väestöennuste'!H109*1000</f>
        <v>123.47530157018667</v>
      </c>
      <c r="BF109" s="41">
        <f>AM109/'1. Väestöennuste'!I109*1000</f>
        <v>123.50763054988406</v>
      </c>
      <c r="BG109" s="41">
        <f>AN109/'1. Väestöennuste'!J109*1000</f>
        <v>123.30400028047542</v>
      </c>
      <c r="BH109" s="41">
        <f>AO109/'1. Väestöennuste'!K109*1000</f>
        <v>129.60703350207407</v>
      </c>
      <c r="BI109" s="41">
        <f>AP109/'1. Väestöennuste'!L109*1000</f>
        <v>141.39842667051317</v>
      </c>
      <c r="BJ109" s="41">
        <f>AQ109/'1. Väestöennuste'!M109*1000</f>
        <v>163.63596635235291</v>
      </c>
      <c r="BK109" s="41">
        <f>AR109/'1. Väestöennuste'!N109*1000</f>
        <v>165.55828635873414</v>
      </c>
      <c r="BL109" s="41">
        <f>AS109/'1. Väestöennuste'!O109*1000</f>
        <v>176.50640880560371</v>
      </c>
      <c r="BM109" s="41">
        <f>AT109/'1. Väestöennuste'!P109*1000</f>
        <v>184.17675840411019</v>
      </c>
      <c r="BN109" s="41">
        <f>AU109/'1. Väestöennuste'!Q109*1000</f>
        <v>191.71828354143645</v>
      </c>
      <c r="BO109" s="41">
        <f>AV109/'1. Väestöennuste'!R109*1000</f>
        <v>199.71639603894619</v>
      </c>
    </row>
    <row r="110" spans="1:67" x14ac:dyDescent="0.25">
      <c r="A110" s="30">
        <v>276</v>
      </c>
      <c r="B110" s="47" t="s">
        <v>424</v>
      </c>
      <c r="C110" s="47">
        <v>20.5</v>
      </c>
      <c r="D110" s="47">
        <v>20.5</v>
      </c>
      <c r="E110" s="47">
        <v>20.5</v>
      </c>
      <c r="F110" s="47">
        <v>20.5</v>
      </c>
      <c r="G110" s="47">
        <v>20.5</v>
      </c>
      <c r="H110" s="58">
        <v>20.5</v>
      </c>
      <c r="I110" s="139">
        <v>20.5</v>
      </c>
      <c r="J110" s="139">
        <v>20.5</v>
      </c>
      <c r="K110" s="139">
        <f t="shared" si="7"/>
        <v>7.8599999999999994</v>
      </c>
      <c r="L110" s="139">
        <v>8.4</v>
      </c>
      <c r="M110" s="139">
        <f t="shared" si="8"/>
        <v>8.4</v>
      </c>
      <c r="N110" s="147">
        <f t="shared" si="8"/>
        <v>8.4</v>
      </c>
      <c r="O110" s="147">
        <f t="shared" si="8"/>
        <v>8.4</v>
      </c>
      <c r="P110" s="147">
        <f t="shared" si="8"/>
        <v>8.4</v>
      </c>
      <c r="Q110" s="147"/>
      <c r="S110" s="41">
        <f>'3. Verotulot'!D110*100/'Veroposentin tuotto'!C110</f>
        <v>222806.98634146346</v>
      </c>
      <c r="T110" s="41">
        <f>'3. Verotulot'!I110*100/'Veroposentin tuotto'!D110</f>
        <v>225721.95121951221</v>
      </c>
      <c r="U110" s="41">
        <f>'3. Verotulot'!N110*100/'Veroposentin tuotto'!E110</f>
        <v>225156.09756097561</v>
      </c>
      <c r="V110" s="41">
        <f>'3. Verotulot'!S110*100/'Veroposentin tuotto'!F110</f>
        <v>219795.12195121951</v>
      </c>
      <c r="W110" s="41">
        <f>'3. Verotulot'!X110*100/'Veroposentin tuotto'!G110</f>
        <v>233541.46341463414</v>
      </c>
      <c r="X110" s="41">
        <f>'3. Verotulot'!AC110*100/'Veroposentin tuotto'!H110</f>
        <v>239351.21951219512</v>
      </c>
      <c r="Y110" s="41">
        <f>'3. Verotulot'!AH110*100/'Veroposentin tuotto'!I110</f>
        <v>247603.71868292682</v>
      </c>
      <c r="Z110" s="41">
        <f>'3. Verotulot'!AM110*100/'Veroposentin tuotto'!J110</f>
        <v>265821.75312195125</v>
      </c>
      <c r="AA110" s="41">
        <f>'3. Verotulot'!AR110*100/'Veroposentin tuotto'!K110</f>
        <v>330573.43613231549</v>
      </c>
      <c r="AB110" s="41">
        <f>'3. Verotulot'!AW110*100/'Veroposentin tuotto'!L110</f>
        <v>313725.83127241791</v>
      </c>
      <c r="AC110" s="41">
        <f>'3. Verotulot'!BB110*100/'Veroposentin tuotto'!M110</f>
        <v>335961.47868485993</v>
      </c>
      <c r="AD110" s="41">
        <f>'3. Verotulot'!BG110*100/'Veroposentin tuotto'!N110</f>
        <v>354133.32767797576</v>
      </c>
      <c r="AE110" s="41">
        <f>'3. Verotulot'!BL110*100/'Veroposentin tuotto'!O110</f>
        <v>368151.50389191037</v>
      </c>
      <c r="AF110" s="41">
        <f>'3. Verotulot'!BQ110*100/'Veroposentin tuotto'!P110</f>
        <v>383606.93967712251</v>
      </c>
      <c r="AI110" s="41">
        <f>'3. Verotulot'!D110/'Veroposentin tuotto'!C110</f>
        <v>2228.0698634146343</v>
      </c>
      <c r="AJ110" s="41">
        <f>'3. Verotulot'!I110/'Veroposentin tuotto'!D110</f>
        <v>2257.2195121951218</v>
      </c>
      <c r="AK110" s="41">
        <f>'3. Verotulot'!N110/'Veroposentin tuotto'!E110</f>
        <v>2251.560975609756</v>
      </c>
      <c r="AL110" s="41">
        <f>'3. Verotulot'!S110/'Veroposentin tuotto'!F110</f>
        <v>2197.9512195121952</v>
      </c>
      <c r="AM110" s="41">
        <f>'3. Verotulot'!X110/'Veroposentin tuotto'!G110</f>
        <v>2335.4146341463415</v>
      </c>
      <c r="AN110" s="41">
        <f>'3. Verotulot'!AC110/'Veroposentin tuotto'!H110</f>
        <v>2393.5121951219512</v>
      </c>
      <c r="AO110" s="41">
        <f>'3. Verotulot'!AH110/'Veroposentin tuotto'!I110</f>
        <v>2476.0371868292682</v>
      </c>
      <c r="AP110" s="41">
        <f>'3. Verotulot'!AM110/'Veroposentin tuotto'!J110</f>
        <v>2658.2175312195122</v>
      </c>
      <c r="AQ110" s="41">
        <f>'3. Verotulot'!AR110/'Veroposentin tuotto'!K110</f>
        <v>3305.7343613231551</v>
      </c>
      <c r="AR110" s="41">
        <f>'3. Verotulot'!AW110/'Veroposentin tuotto'!L110</f>
        <v>3137.2583127241792</v>
      </c>
      <c r="AS110" s="41">
        <f>'3. Verotulot'!BB110/'Veroposentin tuotto'!M110</f>
        <v>3359.6147868485991</v>
      </c>
      <c r="AT110" s="41">
        <f>'3. Verotulot'!BG110/'Veroposentin tuotto'!N110</f>
        <v>3541.3332767797579</v>
      </c>
      <c r="AU110" s="41">
        <f>'3. Verotulot'!BL110/'Veroposentin tuotto'!O110</f>
        <v>3681.515038919104</v>
      </c>
      <c r="AV110" s="41">
        <f>'3. Verotulot'!BQ110/'Veroposentin tuotto'!P110</f>
        <v>3836.0693967712255</v>
      </c>
      <c r="AX110" s="146"/>
      <c r="AZ110" s="34">
        <v>276</v>
      </c>
      <c r="BA110" s="88" t="s">
        <v>424</v>
      </c>
      <c r="BB110" s="41">
        <f>AI110/'1. Väestöennuste'!E110*1000</f>
        <v>150.27111778610873</v>
      </c>
      <c r="BC110" s="41">
        <f>AJ110/'1. Väestöennuste'!F110*1000</f>
        <v>152.45302662401201</v>
      </c>
      <c r="BD110" s="41">
        <f>AK110/'1. Väestöennuste'!G110*1000</f>
        <v>151.82474548953175</v>
      </c>
      <c r="BE110" s="41">
        <f>AL110/'1. Väestöennuste'!H110*1000</f>
        <v>148.02015081905819</v>
      </c>
      <c r="BF110" s="41">
        <f>AM110/'1. Väestöennuste'!I110*1000</f>
        <v>157.57470036747463</v>
      </c>
      <c r="BG110" s="41">
        <f>AN110/'1. Väestöennuste'!J110*1000</f>
        <v>161.10333143447207</v>
      </c>
      <c r="BH110" s="41">
        <f>AO110/'1. Väestöennuste'!K110*1000</f>
        <v>164.68488106613026</v>
      </c>
      <c r="BI110" s="41">
        <f>AP110/'1. Väestöennuste'!L110*1000</f>
        <v>175.37886990958054</v>
      </c>
      <c r="BJ110" s="41">
        <f>AQ110/'1. Väestöennuste'!M110*1000</f>
        <v>218.40211160961647</v>
      </c>
      <c r="BK110" s="41">
        <f>AR110/'1. Väestöennuste'!N110*1000</f>
        <v>209.86409209473402</v>
      </c>
      <c r="BL110" s="41">
        <f>AS110/'1. Väestöennuste'!O110*1000</f>
        <v>224.78353986676029</v>
      </c>
      <c r="BM110" s="41">
        <f>AT110/'1. Väestöennuste'!P110*1000</f>
        <v>237.16402871549411</v>
      </c>
      <c r="BN110" s="41">
        <f>AU110/'1. Väestöennuste'!Q110*1000</f>
        <v>246.89927160613667</v>
      </c>
      <c r="BO110" s="41">
        <f>AV110/'1. Väestöennuste'!R110*1000</f>
        <v>257.76571675656669</v>
      </c>
    </row>
    <row r="111" spans="1:67" x14ac:dyDescent="0.25">
      <c r="A111" s="30">
        <v>280</v>
      </c>
      <c r="B111" s="47" t="s">
        <v>425</v>
      </c>
      <c r="C111" s="47">
        <v>21</v>
      </c>
      <c r="D111" s="47">
        <v>21</v>
      </c>
      <c r="E111" s="47">
        <v>21</v>
      </c>
      <c r="F111" s="47">
        <v>21</v>
      </c>
      <c r="G111" s="47">
        <v>21.5</v>
      </c>
      <c r="H111" s="58">
        <v>21.5</v>
      </c>
      <c r="I111" s="139">
        <v>21.499999999999996</v>
      </c>
      <c r="J111" s="139">
        <v>22</v>
      </c>
      <c r="K111" s="139">
        <f t="shared" si="7"/>
        <v>9.36</v>
      </c>
      <c r="L111" s="139">
        <v>9.3000000000000007</v>
      </c>
      <c r="M111" s="139">
        <f t="shared" si="8"/>
        <v>9.3000000000000007</v>
      </c>
      <c r="N111" s="147">
        <f t="shared" si="8"/>
        <v>9.3000000000000007</v>
      </c>
      <c r="O111" s="147">
        <f t="shared" si="8"/>
        <v>9.3000000000000007</v>
      </c>
      <c r="P111" s="147">
        <f t="shared" si="8"/>
        <v>9.3000000000000007</v>
      </c>
      <c r="Q111" s="147"/>
      <c r="S111" s="41">
        <f>'3. Verotulot'!D111*100/'Veroposentin tuotto'!C111</f>
        <v>23888.062619047618</v>
      </c>
      <c r="T111" s="41">
        <f>'3. Verotulot'!I111*100/'Veroposentin tuotto'!D111</f>
        <v>26033.333333333332</v>
      </c>
      <c r="U111" s="41">
        <f>'3. Verotulot'!N111*100/'Veroposentin tuotto'!E111</f>
        <v>25747.619047619046</v>
      </c>
      <c r="V111" s="41">
        <f>'3. Verotulot'!S111*100/'Veroposentin tuotto'!F111</f>
        <v>24123.809523809523</v>
      </c>
      <c r="W111" s="41">
        <f>'3. Verotulot'!X111*100/'Veroposentin tuotto'!G111</f>
        <v>25451.162790697676</v>
      </c>
      <c r="X111" s="41">
        <f>'3. Verotulot'!AC111*100/'Veroposentin tuotto'!H111</f>
        <v>24651.162790697676</v>
      </c>
      <c r="Y111" s="41">
        <f>'3. Verotulot'!AH111*100/'Veroposentin tuotto'!I111</f>
        <v>28784.316511627912</v>
      </c>
      <c r="Z111" s="41">
        <f>'3. Verotulot'!AM111*100/'Veroposentin tuotto'!J111</f>
        <v>28348.401590909089</v>
      </c>
      <c r="AA111" s="41">
        <f>'3. Verotulot'!AR111*100/'Veroposentin tuotto'!K111</f>
        <v>33661.865811965814</v>
      </c>
      <c r="AB111" s="41">
        <f>'3. Verotulot'!AW111*100/'Veroposentin tuotto'!L111</f>
        <v>34236.74282479228</v>
      </c>
      <c r="AC111" s="41">
        <f>'3. Verotulot'!BB111*100/'Veroposentin tuotto'!M111</f>
        <v>36419.28140756533</v>
      </c>
      <c r="AD111" s="41">
        <f>'3. Verotulot'!BG111*100/'Veroposentin tuotto'!N111</f>
        <v>38475.403669718209</v>
      </c>
      <c r="AE111" s="41">
        <f>'3. Verotulot'!BL111*100/'Veroposentin tuotto'!O111</f>
        <v>40058.940806488514</v>
      </c>
      <c r="AF111" s="41">
        <f>'3. Verotulot'!BQ111*100/'Veroposentin tuotto'!P111</f>
        <v>41636.971969349601</v>
      </c>
      <c r="AI111" s="41">
        <f>'3. Verotulot'!D111/'Veroposentin tuotto'!C111</f>
        <v>238.88062619047619</v>
      </c>
      <c r="AJ111" s="41">
        <f>'3. Verotulot'!I111/'Veroposentin tuotto'!D111</f>
        <v>260.33333333333331</v>
      </c>
      <c r="AK111" s="41">
        <f>'3. Verotulot'!N111/'Veroposentin tuotto'!E111</f>
        <v>257.47619047619048</v>
      </c>
      <c r="AL111" s="41">
        <f>'3. Verotulot'!S111/'Veroposentin tuotto'!F111</f>
        <v>241.23809523809524</v>
      </c>
      <c r="AM111" s="41">
        <f>'3. Verotulot'!X111/'Veroposentin tuotto'!G111</f>
        <v>254.51162790697674</v>
      </c>
      <c r="AN111" s="41">
        <f>'3. Verotulot'!AC111/'Veroposentin tuotto'!H111</f>
        <v>246.51162790697674</v>
      </c>
      <c r="AO111" s="41">
        <f>'3. Verotulot'!AH111/'Veroposentin tuotto'!I111</f>
        <v>287.84316511627912</v>
      </c>
      <c r="AP111" s="41">
        <f>'3. Verotulot'!AM111/'Veroposentin tuotto'!J111</f>
        <v>283.48401590909089</v>
      </c>
      <c r="AQ111" s="41">
        <f>'3. Verotulot'!AR111/'Veroposentin tuotto'!K111</f>
        <v>336.61865811965816</v>
      </c>
      <c r="AR111" s="41">
        <f>'3. Verotulot'!AW111/'Veroposentin tuotto'!L111</f>
        <v>342.36742824792282</v>
      </c>
      <c r="AS111" s="41">
        <f>'3. Verotulot'!BB111/'Veroposentin tuotto'!M111</f>
        <v>364.1928140756533</v>
      </c>
      <c r="AT111" s="41">
        <f>'3. Verotulot'!BG111/'Veroposentin tuotto'!N111</f>
        <v>384.75403669718202</v>
      </c>
      <c r="AU111" s="41">
        <f>'3. Verotulot'!BL111/'Veroposentin tuotto'!O111</f>
        <v>400.58940806488511</v>
      </c>
      <c r="AV111" s="41">
        <f>'3. Verotulot'!BQ111/'Veroposentin tuotto'!P111</f>
        <v>416.36971969349599</v>
      </c>
      <c r="AX111" s="146"/>
      <c r="AZ111" s="34">
        <v>280</v>
      </c>
      <c r="BA111" s="88" t="s">
        <v>425</v>
      </c>
      <c r="BB111" s="41">
        <f>AI111/'1. Väestöennuste'!E111*1000</f>
        <v>108.53276973669978</v>
      </c>
      <c r="BC111" s="41">
        <f>AJ111/'1. Väestöennuste'!F111*1000</f>
        <v>119.91401811761092</v>
      </c>
      <c r="BD111" s="41">
        <f>AK111/'1. Väestöennuste'!G111*1000</f>
        <v>119.5339788654552</v>
      </c>
      <c r="BE111" s="41">
        <f>AL111/'1. Väestöennuste'!H111*1000</f>
        <v>113.68430501323998</v>
      </c>
      <c r="BF111" s="41">
        <f>AM111/'1. Väestöennuste'!I111*1000</f>
        <v>122.53809721086988</v>
      </c>
      <c r="BG111" s="41">
        <f>AN111/'1. Väestöennuste'!J111*1000</f>
        <v>119.20291484863479</v>
      </c>
      <c r="BH111" s="41">
        <f>AO111/'1. Väestöennuste'!K111*1000</f>
        <v>140.41130005672153</v>
      </c>
      <c r="BI111" s="41">
        <f>AP111/'1. Väestöennuste'!L111*1000</f>
        <v>140.06127268235716</v>
      </c>
      <c r="BJ111" s="41">
        <f>AQ111/'1. Väestöennuste'!M111*1000</f>
        <v>167.05640601471868</v>
      </c>
      <c r="BK111" s="41">
        <f>AR111/'1. Väestöennuste'!N111*1000</f>
        <v>169.9093936714257</v>
      </c>
      <c r="BL111" s="41">
        <f>AS111/'1. Väestöennuste'!O111*1000</f>
        <v>181.64230128461512</v>
      </c>
      <c r="BM111" s="41">
        <f>AT111/'1. Väestöennuste'!P111*1000</f>
        <v>192.85916626425166</v>
      </c>
      <c r="BN111" s="41">
        <f>AU111/'1. Väestöennuste'!Q111*1000</f>
        <v>202.11372758066855</v>
      </c>
      <c r="BO111" s="41">
        <f>AV111/'1. Väestöennuste'!R111*1000</f>
        <v>211.24795519710605</v>
      </c>
    </row>
    <row r="112" spans="1:67" x14ac:dyDescent="0.25">
      <c r="A112" s="30">
        <v>284</v>
      </c>
      <c r="B112" s="47" t="s">
        <v>426</v>
      </c>
      <c r="C112" s="47">
        <v>19.5</v>
      </c>
      <c r="D112" s="47">
        <v>19.5</v>
      </c>
      <c r="E112" s="47">
        <v>19.5</v>
      </c>
      <c r="F112" s="47">
        <v>19.5</v>
      </c>
      <c r="G112" s="47">
        <v>19.5</v>
      </c>
      <c r="H112" s="58">
        <v>20</v>
      </c>
      <c r="I112" s="139">
        <v>20</v>
      </c>
      <c r="J112" s="139">
        <v>20</v>
      </c>
      <c r="K112" s="139">
        <f t="shared" si="7"/>
        <v>7.3599999999999994</v>
      </c>
      <c r="L112" s="139">
        <v>7.4</v>
      </c>
      <c r="M112" s="139">
        <f t="shared" si="8"/>
        <v>7.4</v>
      </c>
      <c r="N112" s="147">
        <f t="shared" si="8"/>
        <v>7.4</v>
      </c>
      <c r="O112" s="147">
        <f t="shared" si="8"/>
        <v>7.4</v>
      </c>
      <c r="P112" s="147">
        <f t="shared" si="8"/>
        <v>7.4</v>
      </c>
      <c r="Q112" s="147"/>
      <c r="S112" s="41">
        <f>'3. Verotulot'!D112*100/'Veroposentin tuotto'!C112</f>
        <v>30811.730051282055</v>
      </c>
      <c r="T112" s="41">
        <f>'3. Verotulot'!I112*100/'Veroposentin tuotto'!D112</f>
        <v>30451.282051282051</v>
      </c>
      <c r="U112" s="41">
        <f>'3. Verotulot'!N112*100/'Veroposentin tuotto'!E112</f>
        <v>32610.25641025641</v>
      </c>
      <c r="V112" s="41">
        <f>'3. Verotulot'!S112*100/'Veroposentin tuotto'!F112</f>
        <v>28651.282051282051</v>
      </c>
      <c r="W112" s="41">
        <f>'3. Verotulot'!X112*100/'Veroposentin tuotto'!G112</f>
        <v>30041.025641025641</v>
      </c>
      <c r="X112" s="41">
        <f>'3. Verotulot'!AC112*100/'Veroposentin tuotto'!H112</f>
        <v>31830</v>
      </c>
      <c r="Y112" s="41">
        <f>'3. Verotulot'!AH112*100/'Veroposentin tuotto'!I112</f>
        <v>32670.550599999999</v>
      </c>
      <c r="Z112" s="41">
        <f>'3. Verotulot'!AM112*100/'Veroposentin tuotto'!J112</f>
        <v>32181.853849999996</v>
      </c>
      <c r="AA112" s="41">
        <f>'3. Verotulot'!AR112*100/'Veroposentin tuotto'!K112</f>
        <v>44792.716440217395</v>
      </c>
      <c r="AB112" s="41">
        <f>'3. Verotulot'!AW112*100/'Veroposentin tuotto'!L112</f>
        <v>39823.225292109433</v>
      </c>
      <c r="AC112" s="41">
        <f>'3. Verotulot'!BB112*100/'Veroposentin tuotto'!M112</f>
        <v>41925.69651283219</v>
      </c>
      <c r="AD112" s="41">
        <f>'3. Verotulot'!BG112*100/'Veroposentin tuotto'!N112</f>
        <v>43283.273875056213</v>
      </c>
      <c r="AE112" s="41">
        <f>'3. Verotulot'!BL112*100/'Veroposentin tuotto'!O112</f>
        <v>44520.304907060221</v>
      </c>
      <c r="AF112" s="41">
        <f>'3. Verotulot'!BQ112*100/'Veroposentin tuotto'!P112</f>
        <v>46043.784253950529</v>
      </c>
      <c r="AI112" s="41">
        <f>'3. Verotulot'!D112/'Veroposentin tuotto'!C112</f>
        <v>308.11730051282052</v>
      </c>
      <c r="AJ112" s="41">
        <f>'3. Verotulot'!I112/'Veroposentin tuotto'!D112</f>
        <v>304.5128205128205</v>
      </c>
      <c r="AK112" s="41">
        <f>'3. Verotulot'!N112/'Veroposentin tuotto'!E112</f>
        <v>326.10256410256409</v>
      </c>
      <c r="AL112" s="41">
        <f>'3. Verotulot'!S112/'Veroposentin tuotto'!F112</f>
        <v>286.5128205128205</v>
      </c>
      <c r="AM112" s="41">
        <f>'3. Verotulot'!X112/'Veroposentin tuotto'!G112</f>
        <v>300.41025641025641</v>
      </c>
      <c r="AN112" s="41">
        <f>'3. Verotulot'!AC112/'Veroposentin tuotto'!H112</f>
        <v>318.3</v>
      </c>
      <c r="AO112" s="41">
        <f>'3. Verotulot'!AH112/'Veroposentin tuotto'!I112</f>
        <v>326.70550600000001</v>
      </c>
      <c r="AP112" s="41">
        <f>'3. Verotulot'!AM112/'Veroposentin tuotto'!J112</f>
        <v>321.81853849999999</v>
      </c>
      <c r="AQ112" s="41">
        <f>'3. Verotulot'!AR112/'Veroposentin tuotto'!K112</f>
        <v>447.92716440217396</v>
      </c>
      <c r="AR112" s="41">
        <f>'3. Verotulot'!AW112/'Veroposentin tuotto'!L112</f>
        <v>398.2322529210943</v>
      </c>
      <c r="AS112" s="41">
        <f>'3. Verotulot'!BB112/'Veroposentin tuotto'!M112</f>
        <v>419.25696512832189</v>
      </c>
      <c r="AT112" s="41">
        <f>'3. Verotulot'!BG112/'Veroposentin tuotto'!N112</f>
        <v>432.8327387505621</v>
      </c>
      <c r="AU112" s="41">
        <f>'3. Verotulot'!BL112/'Veroposentin tuotto'!O112</f>
        <v>445.20304907060222</v>
      </c>
      <c r="AV112" s="41">
        <f>'3. Verotulot'!BQ112/'Veroposentin tuotto'!P112</f>
        <v>460.43784253950531</v>
      </c>
      <c r="AX112" s="146"/>
      <c r="AZ112" s="34">
        <v>284</v>
      </c>
      <c r="BA112" s="88" t="s">
        <v>426</v>
      </c>
      <c r="BB112" s="41">
        <f>AI112/'1. Väestöennuste'!E112*1000</f>
        <v>128.43572343177178</v>
      </c>
      <c r="BC112" s="41">
        <f>AJ112/'1. Väestöennuste'!F112*1000</f>
        <v>126.04007471557141</v>
      </c>
      <c r="BD112" s="41">
        <f>AK112/'1. Väestöennuste'!G112*1000</f>
        <v>138.23762785187117</v>
      </c>
      <c r="BE112" s="41">
        <f>AL112/'1. Väestöennuste'!H112*1000</f>
        <v>122.44137628753013</v>
      </c>
      <c r="BF112" s="41">
        <f>AM112/'1. Väestöennuste'!I112*1000</f>
        <v>130.16042305470381</v>
      </c>
      <c r="BG112" s="41">
        <f>AN112/'1. Väestöennuste'!J112*1000</f>
        <v>138.87434554973825</v>
      </c>
      <c r="BH112" s="41">
        <f>AO112/'1. Väestöennuste'!K112*1000</f>
        <v>143.85975605460149</v>
      </c>
      <c r="BI112" s="41">
        <f>AP112/'1. Väestöennuste'!L112*1000</f>
        <v>144.50765087561743</v>
      </c>
      <c r="BJ112" s="41">
        <f>AQ112/'1. Väestöennuste'!M112*1000</f>
        <v>202.95748273773174</v>
      </c>
      <c r="BK112" s="41">
        <f>AR112/'1. Väestöennuste'!N112*1000</f>
        <v>181.17936893589368</v>
      </c>
      <c r="BL112" s="41">
        <f>AS112/'1. Väestöennuste'!O112*1000</f>
        <v>192.58473363726316</v>
      </c>
      <c r="BM112" s="41">
        <f>AT112/'1. Väestöennuste'!P112*1000</f>
        <v>200.66422751532781</v>
      </c>
      <c r="BN112" s="41">
        <f>AU112/'1. Väestöennuste'!Q112*1000</f>
        <v>208.13606782169342</v>
      </c>
      <c r="BO112" s="41">
        <f>AV112/'1. Väestöennuste'!R112*1000</f>
        <v>217.39274907436513</v>
      </c>
    </row>
    <row r="113" spans="1:67" x14ac:dyDescent="0.25">
      <c r="A113" s="30">
        <v>285</v>
      </c>
      <c r="B113" s="47" t="s">
        <v>427</v>
      </c>
      <c r="C113" s="47">
        <v>20.5</v>
      </c>
      <c r="D113" s="47">
        <v>20.5</v>
      </c>
      <c r="E113" s="47">
        <v>21.5</v>
      </c>
      <c r="F113" s="47">
        <v>21.5</v>
      </c>
      <c r="G113" s="47">
        <v>21.5</v>
      </c>
      <c r="H113" s="58">
        <v>21.5</v>
      </c>
      <c r="I113" s="139">
        <v>21.5</v>
      </c>
      <c r="J113" s="139">
        <v>22</v>
      </c>
      <c r="K113" s="139">
        <f t="shared" si="7"/>
        <v>9.36</v>
      </c>
      <c r="L113" s="139">
        <v>9.4</v>
      </c>
      <c r="M113" s="139">
        <f t="shared" si="8"/>
        <v>9.4</v>
      </c>
      <c r="N113" s="147">
        <f t="shared" si="8"/>
        <v>9.4</v>
      </c>
      <c r="O113" s="147">
        <f t="shared" si="8"/>
        <v>9.4</v>
      </c>
      <c r="P113" s="147">
        <f t="shared" si="8"/>
        <v>9.4</v>
      </c>
      <c r="Q113" s="147"/>
      <c r="S113" s="41">
        <f>'3. Verotulot'!D113*100/'Veroposentin tuotto'!C113</f>
        <v>905006.85024390265</v>
      </c>
      <c r="T113" s="41">
        <f>'3. Verotulot'!I113*100/'Veroposentin tuotto'!D113</f>
        <v>907112.19512195117</v>
      </c>
      <c r="U113" s="41">
        <f>'3. Verotulot'!N113*100/'Veroposentin tuotto'!E113</f>
        <v>888437.20930232562</v>
      </c>
      <c r="V113" s="41">
        <f>'3. Verotulot'!S113*100/'Veroposentin tuotto'!F113</f>
        <v>873348.83720930235</v>
      </c>
      <c r="W113" s="41">
        <f>'3. Verotulot'!X113*100/'Veroposentin tuotto'!G113</f>
        <v>898702.3255813953</v>
      </c>
      <c r="X113" s="41">
        <f>'3. Verotulot'!AC113*100/'Veroposentin tuotto'!H113</f>
        <v>931083.72093023255</v>
      </c>
      <c r="Y113" s="41">
        <f>'3. Verotulot'!AH113*100/'Veroposentin tuotto'!I113</f>
        <v>949866.39674418606</v>
      </c>
      <c r="Z113" s="41">
        <f>'3. Verotulot'!AM113*100/'Veroposentin tuotto'!J113</f>
        <v>952971.71318181825</v>
      </c>
      <c r="AA113" s="41">
        <f>'3. Verotulot'!AR113*100/'Veroposentin tuotto'!K113</f>
        <v>1199326.465811966</v>
      </c>
      <c r="AB113" s="41">
        <f>'3. Verotulot'!AW113*100/'Veroposentin tuotto'!L113</f>
        <v>1116265.2046157476</v>
      </c>
      <c r="AC113" s="41">
        <f>'3. Verotulot'!BB113*100/'Veroposentin tuotto'!M113</f>
        <v>1161177.5256275653</v>
      </c>
      <c r="AD113" s="41">
        <f>'3. Verotulot'!BG113*100/'Veroposentin tuotto'!N113</f>
        <v>1199822.5327472419</v>
      </c>
      <c r="AE113" s="41">
        <f>'3. Verotulot'!BL113*100/'Veroposentin tuotto'!O113</f>
        <v>1233679.04617957</v>
      </c>
      <c r="AF113" s="41">
        <f>'3. Verotulot'!BQ113*100/'Veroposentin tuotto'!P113</f>
        <v>1272717.1898925556</v>
      </c>
      <c r="AI113" s="41">
        <f>'3. Verotulot'!D113/'Veroposentin tuotto'!C113</f>
        <v>9050.0685024390259</v>
      </c>
      <c r="AJ113" s="41">
        <f>'3. Verotulot'!I113/'Veroposentin tuotto'!D113</f>
        <v>9071.121951219513</v>
      </c>
      <c r="AK113" s="41">
        <f>'3. Verotulot'!N113/'Veroposentin tuotto'!E113</f>
        <v>8884.3720930232557</v>
      </c>
      <c r="AL113" s="41">
        <f>'3. Verotulot'!S113/'Veroposentin tuotto'!F113</f>
        <v>8733.4883720930229</v>
      </c>
      <c r="AM113" s="41">
        <f>'3. Verotulot'!X113/'Veroposentin tuotto'!G113</f>
        <v>8987.0232558139542</v>
      </c>
      <c r="AN113" s="41">
        <f>'3. Verotulot'!AC113/'Veroposentin tuotto'!H113</f>
        <v>9310.8372093023263</v>
      </c>
      <c r="AO113" s="41">
        <f>'3. Verotulot'!AH113/'Veroposentin tuotto'!I113</f>
        <v>9498.6639674418602</v>
      </c>
      <c r="AP113" s="41">
        <f>'3. Verotulot'!AM113/'Veroposentin tuotto'!J113</f>
        <v>9529.7171318181809</v>
      </c>
      <c r="AQ113" s="41">
        <f>'3. Verotulot'!AR113/'Veroposentin tuotto'!K113</f>
        <v>11993.264658119659</v>
      </c>
      <c r="AR113" s="41">
        <f>'3. Verotulot'!AW113/'Veroposentin tuotto'!L113</f>
        <v>11162.652046157478</v>
      </c>
      <c r="AS113" s="41">
        <f>'3. Verotulot'!BB113/'Veroposentin tuotto'!M113</f>
        <v>11611.775256275652</v>
      </c>
      <c r="AT113" s="41">
        <f>'3. Verotulot'!BG113/'Veroposentin tuotto'!N113</f>
        <v>11998.225327472421</v>
      </c>
      <c r="AU113" s="41">
        <f>'3. Verotulot'!BL113/'Veroposentin tuotto'!O113</f>
        <v>12336.790461795703</v>
      </c>
      <c r="AV113" s="41">
        <f>'3. Verotulot'!BQ113/'Veroposentin tuotto'!P113</f>
        <v>12727.171898925555</v>
      </c>
      <c r="AX113" s="146"/>
      <c r="AZ113" s="34">
        <v>285</v>
      </c>
      <c r="BA113" s="88" t="s">
        <v>427</v>
      </c>
      <c r="BB113" s="41">
        <f>AI113/'1. Väestöennuste'!E113*1000</f>
        <v>166.60963019273231</v>
      </c>
      <c r="BC113" s="41">
        <f>AJ113/'1. Väestöennuste'!F113*1000</f>
        <v>167.40402589587009</v>
      </c>
      <c r="BD113" s="41">
        <f>AK113/'1. Väestöennuste'!G113*1000</f>
        <v>165.942062665034</v>
      </c>
      <c r="BE113" s="41">
        <f>AL113/'1. Väestöennuste'!H113*1000</f>
        <v>165.14737008288154</v>
      </c>
      <c r="BF113" s="41">
        <f>AM113/'1. Väestöennuste'!I113*1000</f>
        <v>172.40960856029534</v>
      </c>
      <c r="BG113" s="41">
        <f>AN113/'1. Väestöennuste'!J113*1000</f>
        <v>180.20510198386481</v>
      </c>
      <c r="BH113" s="41">
        <f>AO113/'1. Väestöennuste'!K113*1000</f>
        <v>185.37233792162252</v>
      </c>
      <c r="BI113" s="41">
        <f>AP113/'1. Väestöennuste'!L113*1000</f>
        <v>188.27107753952589</v>
      </c>
      <c r="BJ113" s="41">
        <f>AQ113/'1. Väestöennuste'!M113*1000</f>
        <v>237.49038926969621</v>
      </c>
      <c r="BK113" s="41">
        <f>AR113/'1. Väestöennuste'!N113*1000</f>
        <v>224.06415315757999</v>
      </c>
      <c r="BL113" s="41">
        <f>AS113/'1. Väestöennuste'!O113*1000</f>
        <v>235.11329181735749</v>
      </c>
      <c r="BM113" s="41">
        <f>AT113/'1. Väestöennuste'!P113*1000</f>
        <v>244.99173699253524</v>
      </c>
      <c r="BN113" s="41">
        <f>AU113/'1. Väestöennuste'!Q113*1000</f>
        <v>254.00021539624674</v>
      </c>
      <c r="BO113" s="41">
        <f>AV113/'1. Väestöennuste'!R113*1000</f>
        <v>264.18623557707434</v>
      </c>
    </row>
    <row r="114" spans="1:67" x14ac:dyDescent="0.25">
      <c r="A114" s="30">
        <v>286</v>
      </c>
      <c r="B114" s="47" t="s">
        <v>428</v>
      </c>
      <c r="C114" s="47">
        <v>20.5</v>
      </c>
      <c r="D114" s="47">
        <v>20.75</v>
      </c>
      <c r="E114" s="47">
        <v>20.75</v>
      </c>
      <c r="F114" s="47">
        <v>20.75</v>
      </c>
      <c r="G114" s="47">
        <v>20.75</v>
      </c>
      <c r="H114" s="58">
        <v>21.25</v>
      </c>
      <c r="I114" s="139">
        <v>21.25</v>
      </c>
      <c r="J114" s="139">
        <v>21.25</v>
      </c>
      <c r="K114" s="139">
        <f t="shared" si="7"/>
        <v>8.61</v>
      </c>
      <c r="L114" s="139">
        <v>8.9</v>
      </c>
      <c r="M114" s="139">
        <f t="shared" si="8"/>
        <v>8.9</v>
      </c>
      <c r="N114" s="147">
        <f t="shared" si="8"/>
        <v>8.9</v>
      </c>
      <c r="O114" s="147">
        <f t="shared" si="8"/>
        <v>8.9</v>
      </c>
      <c r="P114" s="147">
        <f t="shared" si="8"/>
        <v>8.9</v>
      </c>
      <c r="Q114" s="147"/>
      <c r="S114" s="41">
        <f>'3. Verotulot'!D114*100/'Veroposentin tuotto'!C114</f>
        <v>1406502.3501951222</v>
      </c>
      <c r="T114" s="41">
        <f>'3. Verotulot'!I114*100/'Veroposentin tuotto'!D114</f>
        <v>1420033.7349397591</v>
      </c>
      <c r="U114" s="41">
        <f>'3. Verotulot'!N114*100/'Veroposentin tuotto'!E114</f>
        <v>1393725.3012048192</v>
      </c>
      <c r="V114" s="41">
        <f>'3. Verotulot'!S114*100/'Veroposentin tuotto'!F114</f>
        <v>1364308.4337349397</v>
      </c>
      <c r="W114" s="41">
        <f>'3. Verotulot'!X114*100/'Veroposentin tuotto'!G114</f>
        <v>1381055.4216867469</v>
      </c>
      <c r="X114" s="41">
        <f>'3. Verotulot'!AC114*100/'Veroposentin tuotto'!H114</f>
        <v>1424357.6470588236</v>
      </c>
      <c r="Y114" s="41">
        <f>'3. Verotulot'!AH114*100/'Veroposentin tuotto'!I114</f>
        <v>1446193.4633411763</v>
      </c>
      <c r="Z114" s="41">
        <f>'3. Verotulot'!AM114*100/'Veroposentin tuotto'!J114</f>
        <v>1479588.3148705882</v>
      </c>
      <c r="AA114" s="41">
        <f>'3. Verotulot'!AR114*100/'Veroposentin tuotto'!K114</f>
        <v>1827801.312543554</v>
      </c>
      <c r="AB114" s="41">
        <f>'3. Verotulot'!AW114*100/'Veroposentin tuotto'!L114</f>
        <v>1705727.1580235723</v>
      </c>
      <c r="AC114" s="41">
        <f>'3. Verotulot'!BB114*100/'Veroposentin tuotto'!M114</f>
        <v>1783357.1215867205</v>
      </c>
      <c r="AD114" s="41">
        <f>'3. Verotulot'!BG114*100/'Veroposentin tuotto'!N114</f>
        <v>1842328.3573550524</v>
      </c>
      <c r="AE114" s="41">
        <f>'3. Verotulot'!BL114*100/'Veroposentin tuotto'!O114</f>
        <v>1890206.5925922529</v>
      </c>
      <c r="AF114" s="41">
        <f>'3. Verotulot'!BQ114*100/'Veroposentin tuotto'!P114</f>
        <v>1946399.3504460535</v>
      </c>
      <c r="AI114" s="41">
        <f>'3. Verotulot'!D114/'Veroposentin tuotto'!C114</f>
        <v>14065.023501951222</v>
      </c>
      <c r="AJ114" s="41">
        <f>'3. Verotulot'!I114/'Veroposentin tuotto'!D114</f>
        <v>14200.337349397591</v>
      </c>
      <c r="AK114" s="41">
        <f>'3. Verotulot'!N114/'Veroposentin tuotto'!E114</f>
        <v>13937.253012048193</v>
      </c>
      <c r="AL114" s="41">
        <f>'3. Verotulot'!S114/'Veroposentin tuotto'!F114</f>
        <v>13643.084337349397</v>
      </c>
      <c r="AM114" s="41">
        <f>'3. Verotulot'!X114/'Veroposentin tuotto'!G114</f>
        <v>13810.554216867469</v>
      </c>
      <c r="AN114" s="41">
        <f>'3. Verotulot'!AC114/'Veroposentin tuotto'!H114</f>
        <v>14243.576470588236</v>
      </c>
      <c r="AO114" s="41">
        <f>'3. Verotulot'!AH114/'Veroposentin tuotto'!I114</f>
        <v>14461.934633411764</v>
      </c>
      <c r="AP114" s="41">
        <f>'3. Verotulot'!AM114/'Veroposentin tuotto'!J114</f>
        <v>14795.883148705883</v>
      </c>
      <c r="AQ114" s="41">
        <f>'3. Verotulot'!AR114/'Veroposentin tuotto'!K114</f>
        <v>18278.01312543554</v>
      </c>
      <c r="AR114" s="41">
        <f>'3. Verotulot'!AW114/'Veroposentin tuotto'!L114</f>
        <v>17057.271580235723</v>
      </c>
      <c r="AS114" s="41">
        <f>'3. Verotulot'!BB114/'Veroposentin tuotto'!M114</f>
        <v>17833.571215867203</v>
      </c>
      <c r="AT114" s="41">
        <f>'3. Verotulot'!BG114/'Veroposentin tuotto'!N114</f>
        <v>18423.283573550525</v>
      </c>
      <c r="AU114" s="41">
        <f>'3. Verotulot'!BL114/'Veroposentin tuotto'!O114</f>
        <v>18902.065925922532</v>
      </c>
      <c r="AV114" s="41">
        <f>'3. Verotulot'!BQ114/'Veroposentin tuotto'!P114</f>
        <v>19463.993504460537</v>
      </c>
      <c r="AX114" s="146"/>
      <c r="AZ114" s="34">
        <v>286</v>
      </c>
      <c r="BA114" s="88" t="s">
        <v>428</v>
      </c>
      <c r="BB114" s="41">
        <f>AI114/'1. Väestöennuste'!E114*1000</f>
        <v>163.82299810088196</v>
      </c>
      <c r="BC114" s="41">
        <f>AJ114/'1. Väestöennuste'!F114*1000</f>
        <v>166.46352366067558</v>
      </c>
      <c r="BD114" s="41">
        <f>AK114/'1. Väestöennuste'!G114*1000</f>
        <v>165.53343403544341</v>
      </c>
      <c r="BE114" s="41">
        <f>AL114/'1. Väestöennuste'!H114*1000</f>
        <v>164.02472242746668</v>
      </c>
      <c r="BF114" s="41">
        <f>AM114/'1. Väestöennuste'!I114*1000</f>
        <v>168.18961938873829</v>
      </c>
      <c r="BG114" s="41">
        <f>AN114/'1. Väestöennuste'!J114*1000</f>
        <v>175.44159127185677</v>
      </c>
      <c r="BH114" s="41">
        <f>AO114/'1. Väestöennuste'!K114*1000</f>
        <v>179.75407852203452</v>
      </c>
      <c r="BI114" s="41">
        <f>AP114/'1. Väestöennuste'!L114*1000</f>
        <v>186.27809929252393</v>
      </c>
      <c r="BJ114" s="41">
        <f>AQ114/'1. Väestöennuste'!M114*1000</f>
        <v>231.71923333462908</v>
      </c>
      <c r="BK114" s="41">
        <f>AR114/'1. Väestöennuste'!N114*1000</f>
        <v>218.9187276071118</v>
      </c>
      <c r="BL114" s="41">
        <f>AS114/'1. Väestöennuste'!O114*1000</f>
        <v>231.1695017935991</v>
      </c>
      <c r="BM114" s="41">
        <f>AT114/'1. Väestöennuste'!P114*1000</f>
        <v>241.17086533165588</v>
      </c>
      <c r="BN114" s="41">
        <f>AU114/'1. Väestöennuste'!Q114*1000</f>
        <v>249.83235207870223</v>
      </c>
      <c r="BO114" s="41">
        <f>AV114/'1. Väestöennuste'!R114*1000</f>
        <v>259.68611250481024</v>
      </c>
    </row>
    <row r="115" spans="1:67" x14ac:dyDescent="0.25">
      <c r="A115" s="30">
        <v>287</v>
      </c>
      <c r="B115" s="47" t="s">
        <v>429</v>
      </c>
      <c r="C115" s="47">
        <v>21.5</v>
      </c>
      <c r="D115" s="47">
        <v>21.5</v>
      </c>
      <c r="E115" s="47">
        <v>21.5</v>
      </c>
      <c r="F115" s="47">
        <v>21.5</v>
      </c>
      <c r="G115" s="47">
        <v>21.5</v>
      </c>
      <c r="H115" s="58">
        <v>21.5</v>
      </c>
      <c r="I115" s="139">
        <v>21.5</v>
      </c>
      <c r="J115" s="139">
        <v>21.5</v>
      </c>
      <c r="K115" s="139">
        <f t="shared" si="7"/>
        <v>8.86</v>
      </c>
      <c r="L115" s="139">
        <v>8.9</v>
      </c>
      <c r="M115" s="139">
        <f t="shared" ref="M115:P134" si="9">L115</f>
        <v>8.9</v>
      </c>
      <c r="N115" s="147">
        <f t="shared" si="9"/>
        <v>8.9</v>
      </c>
      <c r="O115" s="147">
        <f t="shared" si="9"/>
        <v>8.9</v>
      </c>
      <c r="P115" s="147">
        <f t="shared" si="9"/>
        <v>8.9</v>
      </c>
      <c r="Q115" s="147"/>
      <c r="S115" s="41">
        <f>'3. Verotulot'!D115*100/'Veroposentin tuotto'!C115</f>
        <v>94260.831860465129</v>
      </c>
      <c r="T115" s="41">
        <f>'3. Verotulot'!I115*100/'Veroposentin tuotto'!D115</f>
        <v>92888.372093023252</v>
      </c>
      <c r="U115" s="41">
        <f>'3. Verotulot'!N115*100/'Veroposentin tuotto'!E115</f>
        <v>94911.627906976748</v>
      </c>
      <c r="V115" s="41">
        <f>'3. Verotulot'!S115*100/'Veroposentin tuotto'!F115</f>
        <v>90920.930232558138</v>
      </c>
      <c r="W115" s="41">
        <f>'3. Verotulot'!X115*100/'Veroposentin tuotto'!G115</f>
        <v>94711.627906976748</v>
      </c>
      <c r="X115" s="41">
        <f>'3. Verotulot'!AC115*100/'Veroposentin tuotto'!H115</f>
        <v>97581.395348837206</v>
      </c>
      <c r="Y115" s="41">
        <f>'3. Verotulot'!AH115*100/'Veroposentin tuotto'!I115</f>
        <v>101293.95120930234</v>
      </c>
      <c r="Z115" s="41">
        <f>'3. Verotulot'!AM115*100/'Veroposentin tuotto'!J115</f>
        <v>102513.73488372094</v>
      </c>
      <c r="AA115" s="41">
        <f>'3. Verotulot'!AR115*100/'Veroposentin tuotto'!K115</f>
        <v>125132.54176072234</v>
      </c>
      <c r="AB115" s="41">
        <f>'3. Verotulot'!AW115*100/'Veroposentin tuotto'!L115</f>
        <v>120304.47110084053</v>
      </c>
      <c r="AC115" s="41">
        <f>'3. Verotulot'!BB115*100/'Veroposentin tuotto'!M115</f>
        <v>125979.17140615999</v>
      </c>
      <c r="AD115" s="41">
        <f>'3. Verotulot'!BG115*100/'Veroposentin tuotto'!N115</f>
        <v>130652.75968920054</v>
      </c>
      <c r="AE115" s="41">
        <f>'3. Verotulot'!BL115*100/'Veroposentin tuotto'!O115</f>
        <v>134174.65545311701</v>
      </c>
      <c r="AF115" s="41">
        <f>'3. Verotulot'!BQ115*100/'Veroposentin tuotto'!P115</f>
        <v>138263.21837408829</v>
      </c>
      <c r="AI115" s="41">
        <f>'3. Verotulot'!D115/'Veroposentin tuotto'!C115</f>
        <v>942.60831860465123</v>
      </c>
      <c r="AJ115" s="41">
        <f>'3. Verotulot'!I115/'Veroposentin tuotto'!D115</f>
        <v>928.88372093023258</v>
      </c>
      <c r="AK115" s="41">
        <f>'3. Verotulot'!N115/'Veroposentin tuotto'!E115</f>
        <v>949.11627906976742</v>
      </c>
      <c r="AL115" s="41">
        <f>'3. Verotulot'!S115/'Veroposentin tuotto'!F115</f>
        <v>909.20930232558135</v>
      </c>
      <c r="AM115" s="41">
        <f>'3. Verotulot'!X115/'Veroposentin tuotto'!G115</f>
        <v>947.11627906976742</v>
      </c>
      <c r="AN115" s="41">
        <f>'3. Verotulot'!AC115/'Veroposentin tuotto'!H115</f>
        <v>975.81395348837214</v>
      </c>
      <c r="AO115" s="41">
        <f>'3. Verotulot'!AH115/'Veroposentin tuotto'!I115</f>
        <v>1012.9395120930234</v>
      </c>
      <c r="AP115" s="41">
        <f>'3. Verotulot'!AM115/'Veroposentin tuotto'!J115</f>
        <v>1025.1373488372094</v>
      </c>
      <c r="AQ115" s="41">
        <f>'3. Verotulot'!AR115/'Veroposentin tuotto'!K115</f>
        <v>1251.3254176072235</v>
      </c>
      <c r="AR115" s="41">
        <f>'3. Verotulot'!AW115/'Veroposentin tuotto'!L115</f>
        <v>1203.0447110084053</v>
      </c>
      <c r="AS115" s="41">
        <f>'3. Verotulot'!BB115/'Veroposentin tuotto'!M115</f>
        <v>1259.7917140616</v>
      </c>
      <c r="AT115" s="41">
        <f>'3. Verotulot'!BG115/'Veroposentin tuotto'!N115</f>
        <v>1306.5275968920055</v>
      </c>
      <c r="AU115" s="41">
        <f>'3. Verotulot'!BL115/'Veroposentin tuotto'!O115</f>
        <v>1341.74655453117</v>
      </c>
      <c r="AV115" s="41">
        <f>'3. Verotulot'!BQ115/'Veroposentin tuotto'!P115</f>
        <v>1382.632183740883</v>
      </c>
      <c r="AX115" s="146"/>
      <c r="AZ115" s="34">
        <v>287</v>
      </c>
      <c r="BA115" s="88" t="s">
        <v>429</v>
      </c>
      <c r="BB115" s="41">
        <f>AI115/'1. Väestöennuste'!E115*1000</f>
        <v>138.76171332322264</v>
      </c>
      <c r="BC115" s="41">
        <f>AJ115/'1. Väestöennuste'!F115*1000</f>
        <v>138.08290782373012</v>
      </c>
      <c r="BD115" s="41">
        <f>AK115/'1. Väestöennuste'!G115*1000</f>
        <v>142.98226560255611</v>
      </c>
      <c r="BE115" s="41">
        <f>AL115/'1. Väestöennuste'!H115*1000</f>
        <v>137.84252612577035</v>
      </c>
      <c r="BF115" s="41">
        <f>AM115/'1. Väestöennuste'!I115*1000</f>
        <v>146.02471154328822</v>
      </c>
      <c r="BG115" s="41">
        <f>AN115/'1. Väestöennuste'!J115*1000</f>
        <v>152.37569542291882</v>
      </c>
      <c r="BH115" s="41">
        <f>AO115/'1. Väestöennuste'!K115*1000</f>
        <v>158.76794860392215</v>
      </c>
      <c r="BI115" s="41">
        <f>AP115/'1. Väestöennuste'!L115*1000</f>
        <v>164.23219302102041</v>
      </c>
      <c r="BJ115" s="41">
        <f>AQ115/'1. Väestöennuste'!M115*1000</f>
        <v>201.8592382008749</v>
      </c>
      <c r="BK115" s="41">
        <f>AR115/'1. Väestöennuste'!N115*1000</f>
        <v>196.9298921277468</v>
      </c>
      <c r="BL115" s="41">
        <f>AS115/'1. Väestöennuste'!O115*1000</f>
        <v>208.33334117109311</v>
      </c>
      <c r="BM115" s="41">
        <f>AT115/'1. Väestöennuste'!P115*1000</f>
        <v>218.1909814448907</v>
      </c>
      <c r="BN115" s="41">
        <f>AU115/'1. Väestöennuste'!Q115*1000</f>
        <v>226.2260250431917</v>
      </c>
      <c r="BO115" s="41">
        <f>AV115/'1. Väestöennuste'!R115*1000</f>
        <v>235.3817132687918</v>
      </c>
    </row>
    <row r="116" spans="1:67" x14ac:dyDescent="0.25">
      <c r="A116" s="30">
        <v>288</v>
      </c>
      <c r="B116" s="47" t="s">
        <v>430</v>
      </c>
      <c r="C116" s="47">
        <v>20.75</v>
      </c>
      <c r="D116" s="47">
        <v>20.75</v>
      </c>
      <c r="E116" s="47">
        <v>21.25</v>
      </c>
      <c r="F116" s="47">
        <v>22</v>
      </c>
      <c r="G116" s="47">
        <v>22</v>
      </c>
      <c r="H116" s="58">
        <v>22</v>
      </c>
      <c r="I116" s="139">
        <v>21.999999999999996</v>
      </c>
      <c r="J116" s="139">
        <v>21.999999999999996</v>
      </c>
      <c r="K116" s="139">
        <f t="shared" si="7"/>
        <v>9.3599999999999959</v>
      </c>
      <c r="L116" s="139">
        <v>8.9</v>
      </c>
      <c r="M116" s="139">
        <f t="shared" si="9"/>
        <v>8.9</v>
      </c>
      <c r="N116" s="147">
        <f t="shared" si="9"/>
        <v>8.9</v>
      </c>
      <c r="O116" s="147">
        <f t="shared" si="9"/>
        <v>8.9</v>
      </c>
      <c r="P116" s="147">
        <f t="shared" si="9"/>
        <v>8.9</v>
      </c>
      <c r="Q116" s="147"/>
      <c r="S116" s="41">
        <f>'3. Verotulot'!D116*100/'Veroposentin tuotto'!C116</f>
        <v>91835.781590361454</v>
      </c>
      <c r="T116" s="41">
        <f>'3. Verotulot'!I116*100/'Veroposentin tuotto'!D116</f>
        <v>90563.855421686749</v>
      </c>
      <c r="U116" s="41">
        <f>'3. Verotulot'!N116*100/'Veroposentin tuotto'!E116</f>
        <v>88028.23529411765</v>
      </c>
      <c r="V116" s="41">
        <f>'3. Verotulot'!S116*100/'Veroposentin tuotto'!F116</f>
        <v>88459.090909090912</v>
      </c>
      <c r="W116" s="41">
        <f>'3. Verotulot'!X116*100/'Veroposentin tuotto'!G116</f>
        <v>91509.090909090912</v>
      </c>
      <c r="X116" s="41">
        <f>'3. Verotulot'!AC116*100/'Veroposentin tuotto'!H116</f>
        <v>93804.545454545456</v>
      </c>
      <c r="Y116" s="41">
        <f>'3. Verotulot'!AH116*100/'Veroposentin tuotto'!I116</f>
        <v>97412.358545454568</v>
      </c>
      <c r="Z116" s="41">
        <f>'3. Verotulot'!AM116*100/'Veroposentin tuotto'!J116</f>
        <v>98722.640545454575</v>
      </c>
      <c r="AA116" s="41">
        <f>'3. Verotulot'!AR116*100/'Veroposentin tuotto'!K116</f>
        <v>124829.18108974362</v>
      </c>
      <c r="AB116" s="41">
        <f>'3. Verotulot'!AW116*100/'Veroposentin tuotto'!L116</f>
        <v>119712.2928384012</v>
      </c>
      <c r="AC116" s="41">
        <f>'3. Verotulot'!BB116*100/'Veroposentin tuotto'!M116</f>
        <v>125725.03220364012</v>
      </c>
      <c r="AD116" s="41">
        <f>'3. Verotulot'!BG116*100/'Veroposentin tuotto'!N116</f>
        <v>131474.37315019211</v>
      </c>
      <c r="AE116" s="41">
        <f>'3. Verotulot'!BL116*100/'Veroposentin tuotto'!O116</f>
        <v>135702.91754225676</v>
      </c>
      <c r="AF116" s="41">
        <f>'3. Verotulot'!BQ116*100/'Veroposentin tuotto'!P116</f>
        <v>140349.42815973365</v>
      </c>
      <c r="AI116" s="41">
        <f>'3. Verotulot'!D116/'Veroposentin tuotto'!C116</f>
        <v>918.35781590361444</v>
      </c>
      <c r="AJ116" s="41">
        <f>'3. Verotulot'!I116/'Veroposentin tuotto'!D116</f>
        <v>905.63855421686742</v>
      </c>
      <c r="AK116" s="41">
        <f>'3. Verotulot'!N116/'Veroposentin tuotto'!E116</f>
        <v>880.28235294117644</v>
      </c>
      <c r="AL116" s="41">
        <f>'3. Verotulot'!S116/'Veroposentin tuotto'!F116</f>
        <v>884.59090909090912</v>
      </c>
      <c r="AM116" s="41">
        <f>'3. Verotulot'!X116/'Veroposentin tuotto'!G116</f>
        <v>915.09090909090912</v>
      </c>
      <c r="AN116" s="41">
        <f>'3. Verotulot'!AC116/'Veroposentin tuotto'!H116</f>
        <v>938.0454545454545</v>
      </c>
      <c r="AO116" s="41">
        <f>'3. Verotulot'!AH116/'Veroposentin tuotto'!I116</f>
        <v>974.1235854545456</v>
      </c>
      <c r="AP116" s="41">
        <f>'3. Verotulot'!AM116/'Veroposentin tuotto'!J116</f>
        <v>987.22640545454567</v>
      </c>
      <c r="AQ116" s="41">
        <f>'3. Verotulot'!AR116/'Veroposentin tuotto'!K116</f>
        <v>1248.2918108974363</v>
      </c>
      <c r="AR116" s="41">
        <f>'3. Verotulot'!AW116/'Veroposentin tuotto'!L116</f>
        <v>1197.1229283840121</v>
      </c>
      <c r="AS116" s="41">
        <f>'3. Verotulot'!BB116/'Veroposentin tuotto'!M116</f>
        <v>1257.2503220364013</v>
      </c>
      <c r="AT116" s="41">
        <f>'3. Verotulot'!BG116/'Veroposentin tuotto'!N116</f>
        <v>1314.743731501921</v>
      </c>
      <c r="AU116" s="41">
        <f>'3. Verotulot'!BL116/'Veroposentin tuotto'!O116</f>
        <v>1357.0291754225677</v>
      </c>
      <c r="AV116" s="41">
        <f>'3. Verotulot'!BQ116/'Veroposentin tuotto'!P116</f>
        <v>1403.4942815973366</v>
      </c>
      <c r="AX116" s="146"/>
      <c r="AZ116" s="34">
        <v>288</v>
      </c>
      <c r="BA116" s="88" t="s">
        <v>430</v>
      </c>
      <c r="BB116" s="41">
        <f>AI116/'1. Väestöennuste'!E116*1000</f>
        <v>137.43756598377948</v>
      </c>
      <c r="BC116" s="41">
        <f>AJ116/'1. Väestöennuste'!F116*1000</f>
        <v>136.80340698139992</v>
      </c>
      <c r="BD116" s="41">
        <f>AK116/'1. Väestöennuste'!G116*1000</f>
        <v>134.78523242094263</v>
      </c>
      <c r="BE116" s="41">
        <f>AL116/'1. Väestöennuste'!H116*1000</f>
        <v>135.90273607173285</v>
      </c>
      <c r="BF116" s="41">
        <f>AM116/'1. Väestöennuste'!I116*1000</f>
        <v>142.36012898116195</v>
      </c>
      <c r="BG116" s="41">
        <f>AN116/'1. Väestöennuste'!J116*1000</f>
        <v>146.20409204262072</v>
      </c>
      <c r="BH116" s="41">
        <f>AO116/'1. Väestöennuste'!K116*1000</f>
        <v>151.2144652987497</v>
      </c>
      <c r="BI116" s="41">
        <f>AP116/'1. Väestöennuste'!L116*1000</f>
        <v>154.13370889220073</v>
      </c>
      <c r="BJ116" s="41">
        <f>AQ116/'1. Väestöennuste'!M116*1000</f>
        <v>196.02572407308989</v>
      </c>
      <c r="BK116" s="41">
        <f>AR116/'1. Väestöennuste'!N116*1000</f>
        <v>192.33980211825389</v>
      </c>
      <c r="BL116" s="41">
        <f>AS116/'1. Väestöennuste'!O116*1000</f>
        <v>203.53736798387587</v>
      </c>
      <c r="BM116" s="41">
        <f>AT116/'1. Väestöennuste'!P116*1000</f>
        <v>214.44197219082059</v>
      </c>
      <c r="BN116" s="41">
        <f>AU116/'1. Väestöennuste'!Q116*1000</f>
        <v>223.04884540147398</v>
      </c>
      <c r="BO116" s="41">
        <f>AV116/'1. Väestöennuste'!R116*1000</f>
        <v>232.52059005920088</v>
      </c>
    </row>
    <row r="117" spans="1:67" x14ac:dyDescent="0.25">
      <c r="A117" s="30">
        <v>290</v>
      </c>
      <c r="B117" s="47" t="s">
        <v>431</v>
      </c>
      <c r="C117" s="47">
        <v>21.5</v>
      </c>
      <c r="D117" s="47">
        <v>21.5</v>
      </c>
      <c r="E117" s="47">
        <v>21.5</v>
      </c>
      <c r="F117" s="47">
        <v>21.5</v>
      </c>
      <c r="G117" s="47">
        <v>21.5</v>
      </c>
      <c r="H117" s="58">
        <v>22</v>
      </c>
      <c r="I117" s="139">
        <v>22</v>
      </c>
      <c r="J117" s="139">
        <v>22</v>
      </c>
      <c r="K117" s="139">
        <f t="shared" si="7"/>
        <v>9.36</v>
      </c>
      <c r="L117" s="139">
        <v>9.4</v>
      </c>
      <c r="M117" s="139">
        <f t="shared" si="9"/>
        <v>9.4</v>
      </c>
      <c r="N117" s="147">
        <f t="shared" si="9"/>
        <v>9.4</v>
      </c>
      <c r="O117" s="147">
        <f t="shared" si="9"/>
        <v>9.4</v>
      </c>
      <c r="P117" s="147">
        <f t="shared" si="9"/>
        <v>9.4</v>
      </c>
      <c r="Q117" s="147"/>
      <c r="S117" s="41">
        <f>'3. Verotulot'!D117*100/'Veroposentin tuotto'!C117</f>
        <v>114192.44911627905</v>
      </c>
      <c r="T117" s="41">
        <f>'3. Verotulot'!I117*100/'Veroposentin tuotto'!D117</f>
        <v>110776.74418604652</v>
      </c>
      <c r="U117" s="41">
        <f>'3. Verotulot'!N117*100/'Veroposentin tuotto'!E117</f>
        <v>110539.53488372093</v>
      </c>
      <c r="V117" s="41">
        <f>'3. Verotulot'!S117*100/'Veroposentin tuotto'!F117</f>
        <v>105841.86046511628</v>
      </c>
      <c r="W117" s="41">
        <f>'3. Verotulot'!X117*100/'Veroposentin tuotto'!G117</f>
        <v>107930.23255813954</v>
      </c>
      <c r="X117" s="41">
        <f>'3. Verotulot'!AC117*100/'Veroposentin tuotto'!H117</f>
        <v>107468.18181818182</v>
      </c>
      <c r="Y117" s="41">
        <f>'3. Verotulot'!AH117*100/'Veroposentin tuotto'!I117</f>
        <v>111462.83545454546</v>
      </c>
      <c r="Z117" s="41">
        <f>'3. Verotulot'!AM117*100/'Veroposentin tuotto'!J117</f>
        <v>112286.40186363636</v>
      </c>
      <c r="AA117" s="41">
        <f>'3. Verotulot'!AR117*100/'Veroposentin tuotto'!K117</f>
        <v>135635.42809829061</v>
      </c>
      <c r="AB117" s="41">
        <f>'3. Verotulot'!AW117*100/'Veroposentin tuotto'!L117</f>
        <v>127866.33771959276</v>
      </c>
      <c r="AC117" s="41">
        <f>'3. Verotulot'!BB117*100/'Veroposentin tuotto'!M117</f>
        <v>132926.17897574086</v>
      </c>
      <c r="AD117" s="41">
        <f>'3. Verotulot'!BG117*100/'Veroposentin tuotto'!N117</f>
        <v>135771.455308726</v>
      </c>
      <c r="AE117" s="41">
        <f>'3. Verotulot'!BL117*100/'Veroposentin tuotto'!O117</f>
        <v>137716.33935292318</v>
      </c>
      <c r="AF117" s="41">
        <f>'3. Verotulot'!BQ117*100/'Veroposentin tuotto'!P117</f>
        <v>140215.99412731265</v>
      </c>
      <c r="AI117" s="41">
        <f>'3. Verotulot'!D117/'Veroposentin tuotto'!C117</f>
        <v>1141.9244911627904</v>
      </c>
      <c r="AJ117" s="41">
        <f>'3. Verotulot'!I117/'Veroposentin tuotto'!D117</f>
        <v>1107.7674418604652</v>
      </c>
      <c r="AK117" s="41">
        <f>'3. Verotulot'!N117/'Veroposentin tuotto'!E117</f>
        <v>1105.3953488372092</v>
      </c>
      <c r="AL117" s="41">
        <f>'3. Verotulot'!S117/'Veroposentin tuotto'!F117</f>
        <v>1058.4186046511627</v>
      </c>
      <c r="AM117" s="41">
        <f>'3. Verotulot'!X117/'Veroposentin tuotto'!G117</f>
        <v>1079.3023255813953</v>
      </c>
      <c r="AN117" s="41">
        <f>'3. Verotulot'!AC117/'Veroposentin tuotto'!H117</f>
        <v>1074.6818181818182</v>
      </c>
      <c r="AO117" s="41">
        <f>'3. Verotulot'!AH117/'Veroposentin tuotto'!I117</f>
        <v>1114.6283545454546</v>
      </c>
      <c r="AP117" s="41">
        <f>'3. Verotulot'!AM117/'Veroposentin tuotto'!J117</f>
        <v>1122.8640186363637</v>
      </c>
      <c r="AQ117" s="41">
        <f>'3. Verotulot'!AR117/'Veroposentin tuotto'!K117</f>
        <v>1356.3542809829062</v>
      </c>
      <c r="AR117" s="41">
        <f>'3. Verotulot'!AW117/'Veroposentin tuotto'!L117</f>
        <v>1278.6633771959275</v>
      </c>
      <c r="AS117" s="41">
        <f>'3. Verotulot'!BB117/'Veroposentin tuotto'!M117</f>
        <v>1329.2617897574087</v>
      </c>
      <c r="AT117" s="41">
        <f>'3. Verotulot'!BG117/'Veroposentin tuotto'!N117</f>
        <v>1357.7145530872599</v>
      </c>
      <c r="AU117" s="41">
        <f>'3. Verotulot'!BL117/'Veroposentin tuotto'!O117</f>
        <v>1377.1633935292318</v>
      </c>
      <c r="AV117" s="41">
        <f>'3. Verotulot'!BQ117/'Veroposentin tuotto'!P117</f>
        <v>1402.1599412731266</v>
      </c>
      <c r="AX117" s="146"/>
      <c r="AZ117" s="34">
        <v>290</v>
      </c>
      <c r="BA117" s="88" t="s">
        <v>431</v>
      </c>
      <c r="BB117" s="41">
        <f>AI117/'1. Väestöennuste'!E117*1000</f>
        <v>129.67573145160011</v>
      </c>
      <c r="BC117" s="41">
        <f>AJ117/'1. Väestöennuste'!F117*1000</f>
        <v>128.11003143985948</v>
      </c>
      <c r="BD117" s="41">
        <f>AK117/'1. Väestöennuste'!G117*1000</f>
        <v>130.06181301767376</v>
      </c>
      <c r="BE117" s="41">
        <f>AL117/'1. Väestöennuste'!H117*1000</f>
        <v>127.07631224050459</v>
      </c>
      <c r="BF117" s="41">
        <f>AM117/'1. Väestöennuste'!I117*1000</f>
        <v>131.7829457364341</v>
      </c>
      <c r="BG117" s="41">
        <f>AN117/'1. Väestöennuste'!J117*1000</f>
        <v>133.63365060704032</v>
      </c>
      <c r="BH117" s="41">
        <f>AO117/'1. Väestöennuste'!K117*1000</f>
        <v>140.59388932208054</v>
      </c>
      <c r="BI117" s="41">
        <f>AP117/'1. Väestöennuste'!L117*1000</f>
        <v>144.79226545923453</v>
      </c>
      <c r="BJ117" s="41">
        <f>AQ117/'1. Väestöennuste'!M117*1000</f>
        <v>178.89135861024877</v>
      </c>
      <c r="BK117" s="41">
        <f>AR117/'1. Väestöennuste'!N117*1000</f>
        <v>171.01288982157649</v>
      </c>
      <c r="BL117" s="41">
        <f>AS117/'1. Väestöennuste'!O117*1000</f>
        <v>180.92579144649633</v>
      </c>
      <c r="BM117" s="41">
        <f>AT117/'1. Väestöennuste'!P117*1000</f>
        <v>188.12727630417899</v>
      </c>
      <c r="BN117" s="41">
        <f>AU117/'1. Väestöennuste'!Q117*1000</f>
        <v>194.24025296604117</v>
      </c>
      <c r="BO117" s="41">
        <f>AV117/'1. Väestöennuste'!R117*1000</f>
        <v>201.25734767807185</v>
      </c>
    </row>
    <row r="118" spans="1:67" x14ac:dyDescent="0.25">
      <c r="A118" s="30">
        <v>291</v>
      </c>
      <c r="B118" s="47" t="s">
        <v>432</v>
      </c>
      <c r="C118" s="47">
        <v>20.75</v>
      </c>
      <c r="D118" s="47">
        <v>20.75</v>
      </c>
      <c r="E118" s="47">
        <v>20.75</v>
      </c>
      <c r="F118" s="47">
        <v>20.75</v>
      </c>
      <c r="G118" s="47">
        <v>20.75</v>
      </c>
      <c r="H118" s="58">
        <v>21.75</v>
      </c>
      <c r="I118" s="139">
        <v>21.75</v>
      </c>
      <c r="J118" s="139">
        <v>21.75</v>
      </c>
      <c r="K118" s="139">
        <f t="shared" si="7"/>
        <v>9.11</v>
      </c>
      <c r="L118" s="139">
        <v>9.1</v>
      </c>
      <c r="M118" s="139">
        <f t="shared" si="9"/>
        <v>9.1</v>
      </c>
      <c r="N118" s="147">
        <f t="shared" si="9"/>
        <v>9.1</v>
      </c>
      <c r="O118" s="147">
        <f t="shared" si="9"/>
        <v>9.1</v>
      </c>
      <c r="P118" s="147">
        <f t="shared" si="9"/>
        <v>9.1</v>
      </c>
      <c r="Q118" s="147"/>
      <c r="S118" s="41">
        <f>'3. Verotulot'!D118*100/'Veroposentin tuotto'!C118</f>
        <v>28517.834265060246</v>
      </c>
      <c r="T118" s="41">
        <f>'3. Verotulot'!I118*100/'Veroposentin tuotto'!D118</f>
        <v>29219.277108433736</v>
      </c>
      <c r="U118" s="41">
        <f>'3. Verotulot'!N118*100/'Veroposentin tuotto'!E118</f>
        <v>27571.084337349399</v>
      </c>
      <c r="V118" s="41">
        <f>'3. Verotulot'!S118*100/'Veroposentin tuotto'!F118</f>
        <v>27397.590361445782</v>
      </c>
      <c r="W118" s="41">
        <f>'3. Verotulot'!X118*100/'Veroposentin tuotto'!G118</f>
        <v>27262.650602409638</v>
      </c>
      <c r="X118" s="41">
        <f>'3. Verotulot'!AC118*100/'Veroposentin tuotto'!H118</f>
        <v>28234.482758620688</v>
      </c>
      <c r="Y118" s="41">
        <f>'3. Verotulot'!AH118*100/'Veroposentin tuotto'!I118</f>
        <v>29397.996781609199</v>
      </c>
      <c r="Z118" s="41">
        <f>'3. Verotulot'!AM118*100/'Veroposentin tuotto'!J118</f>
        <v>30519.723586206896</v>
      </c>
      <c r="AA118" s="41">
        <f>'3. Verotulot'!AR118*100/'Veroposentin tuotto'!K118</f>
        <v>37476.254006586169</v>
      </c>
      <c r="AB118" s="41">
        <f>'3. Verotulot'!AW118*100/'Veroposentin tuotto'!L118</f>
        <v>35422.897416568172</v>
      </c>
      <c r="AC118" s="41">
        <f>'3. Verotulot'!BB118*100/'Veroposentin tuotto'!M118</f>
        <v>37014.187446435084</v>
      </c>
      <c r="AD118" s="41">
        <f>'3. Verotulot'!BG118*100/'Veroposentin tuotto'!N118</f>
        <v>37712.57235228255</v>
      </c>
      <c r="AE118" s="41">
        <f>'3. Verotulot'!BL118*100/'Veroposentin tuotto'!O118</f>
        <v>38374.248354225616</v>
      </c>
      <c r="AF118" s="41">
        <f>'3. Verotulot'!BQ118*100/'Veroposentin tuotto'!P118</f>
        <v>39441.962945906474</v>
      </c>
      <c r="AI118" s="41">
        <f>'3. Verotulot'!D118/'Veroposentin tuotto'!C118</f>
        <v>285.17834265060247</v>
      </c>
      <c r="AJ118" s="41">
        <f>'3. Verotulot'!I118/'Veroposentin tuotto'!D118</f>
        <v>292.19277108433732</v>
      </c>
      <c r="AK118" s="41">
        <f>'3. Verotulot'!N118/'Veroposentin tuotto'!E118</f>
        <v>275.71084337349396</v>
      </c>
      <c r="AL118" s="41">
        <f>'3. Verotulot'!S118/'Veroposentin tuotto'!F118</f>
        <v>273.97590361445782</v>
      </c>
      <c r="AM118" s="41">
        <f>'3. Verotulot'!X118/'Veroposentin tuotto'!G118</f>
        <v>272.62650602409639</v>
      </c>
      <c r="AN118" s="41">
        <f>'3. Verotulot'!AC118/'Veroposentin tuotto'!H118</f>
        <v>282.34482758620692</v>
      </c>
      <c r="AO118" s="41">
        <f>'3. Verotulot'!AH118/'Veroposentin tuotto'!I118</f>
        <v>293.97996781609197</v>
      </c>
      <c r="AP118" s="41">
        <f>'3. Verotulot'!AM118/'Veroposentin tuotto'!J118</f>
        <v>305.19723586206896</v>
      </c>
      <c r="AQ118" s="41">
        <f>'3. Verotulot'!AR118/'Veroposentin tuotto'!K118</f>
        <v>374.76254006586174</v>
      </c>
      <c r="AR118" s="41">
        <f>'3. Verotulot'!AW118/'Veroposentin tuotto'!L118</f>
        <v>354.22897416568173</v>
      </c>
      <c r="AS118" s="41">
        <f>'3. Verotulot'!BB118/'Veroposentin tuotto'!M118</f>
        <v>370.14187446435085</v>
      </c>
      <c r="AT118" s="41">
        <f>'3. Verotulot'!BG118/'Veroposentin tuotto'!N118</f>
        <v>377.12572352282547</v>
      </c>
      <c r="AU118" s="41">
        <f>'3. Verotulot'!BL118/'Veroposentin tuotto'!O118</f>
        <v>383.74248354225608</v>
      </c>
      <c r="AV118" s="41">
        <f>'3. Verotulot'!BQ118/'Veroposentin tuotto'!P118</f>
        <v>394.41962945906477</v>
      </c>
      <c r="AX118" s="146"/>
      <c r="AZ118" s="34">
        <v>291</v>
      </c>
      <c r="BA118" s="88" t="s">
        <v>432</v>
      </c>
      <c r="BB118" s="41">
        <f>AI118/'1. Väestöennuste'!E118*1000</f>
        <v>122.1843798845769</v>
      </c>
      <c r="BC118" s="41">
        <f>AJ118/'1. Väestöennuste'!F118*1000</f>
        <v>127.81836005439079</v>
      </c>
      <c r="BD118" s="41">
        <f>AK118/'1. Väestöennuste'!G118*1000</f>
        <v>122.42932654240407</v>
      </c>
      <c r="BE118" s="41">
        <f>AL118/'1. Väestöennuste'!H118*1000</f>
        <v>122.41997480538777</v>
      </c>
      <c r="BF118" s="41">
        <f>AM118/'1. Väestöennuste'!I118*1000</f>
        <v>123.5840915793728</v>
      </c>
      <c r="BG118" s="41">
        <f>AN118/'1. Väestöennuste'!J118*1000</f>
        <v>130.65470966506567</v>
      </c>
      <c r="BH118" s="41">
        <f>AO118/'1. Väestöennuste'!K118*1000</f>
        <v>136.22797396482483</v>
      </c>
      <c r="BI118" s="41">
        <f>AP118/'1. Väestöennuste'!L118*1000</f>
        <v>144.02889847195328</v>
      </c>
      <c r="BJ118" s="41">
        <f>AQ118/'1. Väestöennuste'!M118*1000</f>
        <v>179.14079353052665</v>
      </c>
      <c r="BK118" s="41">
        <f>AR118/'1. Väestöennuste'!N118*1000</f>
        <v>173.47158382256697</v>
      </c>
      <c r="BL118" s="41">
        <f>AS118/'1. Väestöennuste'!O118*1000</f>
        <v>183.69323794756866</v>
      </c>
      <c r="BM118" s="41">
        <f>AT118/'1. Väestöennuste'!P118*1000</f>
        <v>189.60569307331599</v>
      </c>
      <c r="BN118" s="41">
        <f>AU118/'1. Väestöennuste'!Q118*1000</f>
        <v>195.09023057562587</v>
      </c>
      <c r="BO118" s="41">
        <f>AV118/'1. Väestöennuste'!R118*1000</f>
        <v>202.68223507660059</v>
      </c>
    </row>
    <row r="119" spans="1:67" x14ac:dyDescent="0.25">
      <c r="A119" s="30">
        <v>297</v>
      </c>
      <c r="B119" s="47" t="s">
        <v>433</v>
      </c>
      <c r="C119" s="47">
        <v>20.5</v>
      </c>
      <c r="D119" s="47">
        <v>20.5</v>
      </c>
      <c r="E119" s="47">
        <v>20.5</v>
      </c>
      <c r="F119" s="47">
        <v>20.5</v>
      </c>
      <c r="G119" s="47">
        <v>20.5</v>
      </c>
      <c r="H119" s="58">
        <v>20.75</v>
      </c>
      <c r="I119" s="139">
        <v>20.75</v>
      </c>
      <c r="J119" s="139">
        <v>20.75</v>
      </c>
      <c r="K119" s="139">
        <f t="shared" si="7"/>
        <v>8.11</v>
      </c>
      <c r="L119" s="139">
        <v>8.1</v>
      </c>
      <c r="M119" s="139">
        <f t="shared" si="9"/>
        <v>8.1</v>
      </c>
      <c r="N119" s="147">
        <f t="shared" si="9"/>
        <v>8.1</v>
      </c>
      <c r="O119" s="147">
        <f t="shared" si="9"/>
        <v>8.1</v>
      </c>
      <c r="P119" s="147">
        <f t="shared" si="9"/>
        <v>8.1</v>
      </c>
      <c r="Q119" s="147"/>
      <c r="S119" s="41">
        <f>'3. Verotulot'!D119*100/'Veroposentin tuotto'!C119</f>
        <v>1802629.6975609756</v>
      </c>
      <c r="T119" s="41">
        <f>'3. Verotulot'!I119*100/'Veroposentin tuotto'!D119</f>
        <v>1816556.0975609757</v>
      </c>
      <c r="U119" s="41">
        <f>'3. Verotulot'!N119*100/'Veroposentin tuotto'!E119</f>
        <v>1896429.2682926829</v>
      </c>
      <c r="V119" s="41">
        <f>'3. Verotulot'!S119*100/'Veroposentin tuotto'!F119</f>
        <v>1845370.7317073171</v>
      </c>
      <c r="W119" s="41">
        <f>'3. Verotulot'!X119*100/'Veroposentin tuotto'!G119</f>
        <v>1950697.5609756098</v>
      </c>
      <c r="X119" s="41">
        <f>'3. Verotulot'!AC119*100/'Veroposentin tuotto'!H119</f>
        <v>2031787.9518072288</v>
      </c>
      <c r="Y119" s="41">
        <f>'3. Verotulot'!AH119*100/'Veroposentin tuotto'!I119</f>
        <v>2109965.0974939759</v>
      </c>
      <c r="Z119" s="41">
        <f>'3. Verotulot'!AM119*100/'Veroposentin tuotto'!J119</f>
        <v>2204858.5100722886</v>
      </c>
      <c r="AA119" s="41">
        <f>'3. Verotulot'!AR119*100/'Veroposentin tuotto'!K119</f>
        <v>2808624.0272503085</v>
      </c>
      <c r="AB119" s="41">
        <f>'3. Verotulot'!AW119*100/'Veroposentin tuotto'!L119</f>
        <v>2688030.7540836106</v>
      </c>
      <c r="AC119" s="41">
        <f>'3. Verotulot'!BB119*100/'Veroposentin tuotto'!M119</f>
        <v>2855772.2683291929</v>
      </c>
      <c r="AD119" s="41">
        <f>'3. Verotulot'!BG119*100/'Veroposentin tuotto'!N119</f>
        <v>3012303.3875075434</v>
      </c>
      <c r="AE119" s="41">
        <f>'3. Verotulot'!BL119*100/'Veroposentin tuotto'!O119</f>
        <v>3145093.5970330252</v>
      </c>
      <c r="AF119" s="41">
        <f>'3. Verotulot'!BQ119*100/'Veroposentin tuotto'!P119</f>
        <v>3292816.4321362963</v>
      </c>
      <c r="AI119" s="41">
        <f>'3. Verotulot'!D119/'Veroposentin tuotto'!C119</f>
        <v>18026.296975609755</v>
      </c>
      <c r="AJ119" s="41">
        <f>'3. Verotulot'!I119/'Veroposentin tuotto'!D119</f>
        <v>18165.560975609755</v>
      </c>
      <c r="AK119" s="41">
        <f>'3. Verotulot'!N119/'Veroposentin tuotto'!E119</f>
        <v>18964.292682926829</v>
      </c>
      <c r="AL119" s="41">
        <f>'3. Verotulot'!S119/'Veroposentin tuotto'!F119</f>
        <v>18453.707317073171</v>
      </c>
      <c r="AM119" s="41">
        <f>'3. Verotulot'!X119/'Veroposentin tuotto'!G119</f>
        <v>19506.975609756097</v>
      </c>
      <c r="AN119" s="41">
        <f>'3. Verotulot'!AC119/'Veroposentin tuotto'!H119</f>
        <v>20317.879518072288</v>
      </c>
      <c r="AO119" s="41">
        <f>'3. Verotulot'!AH119/'Veroposentin tuotto'!I119</f>
        <v>21099.650974939759</v>
      </c>
      <c r="AP119" s="41">
        <f>'3. Verotulot'!AM119/'Veroposentin tuotto'!J119</f>
        <v>22048.585100722888</v>
      </c>
      <c r="AQ119" s="41">
        <f>'3. Verotulot'!AR119/'Veroposentin tuotto'!K119</f>
        <v>28086.240272503088</v>
      </c>
      <c r="AR119" s="41">
        <f>'3. Verotulot'!AW119/'Veroposentin tuotto'!L119</f>
        <v>26880.307540836111</v>
      </c>
      <c r="AS119" s="41">
        <f>'3. Verotulot'!BB119/'Veroposentin tuotto'!M119</f>
        <v>28557.72268329193</v>
      </c>
      <c r="AT119" s="41">
        <f>'3. Verotulot'!BG119/'Veroposentin tuotto'!N119</f>
        <v>30123.033875075434</v>
      </c>
      <c r="AU119" s="41">
        <f>'3. Verotulot'!BL119/'Veroposentin tuotto'!O119</f>
        <v>31450.935970330254</v>
      </c>
      <c r="AV119" s="41">
        <f>'3. Verotulot'!BQ119/'Veroposentin tuotto'!P119</f>
        <v>32928.164321362965</v>
      </c>
      <c r="AX119" s="146"/>
      <c r="AZ119" s="34">
        <v>297</v>
      </c>
      <c r="BA119" s="88" t="s">
        <v>433</v>
      </c>
      <c r="BB119" s="41">
        <f>AI119/'1. Väestöennuste'!E119*1000</f>
        <v>154.17501540022542</v>
      </c>
      <c r="BC119" s="41">
        <f>AJ119/'1. Väestöennuste'!F119*1000</f>
        <v>154.28538284023912</v>
      </c>
      <c r="BD119" s="41">
        <f>AK119/'1. Väestöennuste'!G119*1000</f>
        <v>160.43019298807053</v>
      </c>
      <c r="BE119" s="41">
        <f>AL119/'1. Väestöennuste'!H119*1000</f>
        <v>155.51226418351959</v>
      </c>
      <c r="BF119" s="41">
        <f>AM119/'1. Väestöennuste'!I119*1000</f>
        <v>163.53662421619435</v>
      </c>
      <c r="BG119" s="41">
        <f>AN119/'1. Väestöennuste'!J119*1000</f>
        <v>169.0198778643398</v>
      </c>
      <c r="BH119" s="41">
        <f>AO119/'1. Väestöennuste'!K119*1000</f>
        <v>173.59824074557778</v>
      </c>
      <c r="BI119" s="41">
        <f>AP119/'1. Väestöennuste'!L119*1000</f>
        <v>179.85044211562465</v>
      </c>
      <c r="BJ119" s="41">
        <f>AQ119/'1. Väestöennuste'!M119*1000</f>
        <v>226.46358497756901</v>
      </c>
      <c r="BK119" s="41">
        <f>AR119/'1. Väestöennuste'!N119*1000</f>
        <v>218.94315151406343</v>
      </c>
      <c r="BL119" s="41">
        <f>AS119/'1. Väestöennuste'!O119*1000</f>
        <v>231.63988062855927</v>
      </c>
      <c r="BM119" s="41">
        <f>AT119/'1. Väestöennuste'!P119*1000</f>
        <v>243.38108795478217</v>
      </c>
      <c r="BN119" s="41">
        <f>AU119/'1. Väestöennuste'!Q119*1000</f>
        <v>253.1771863178125</v>
      </c>
      <c r="BO119" s="41">
        <f>AV119/'1. Väestöennuste'!R119*1000</f>
        <v>264.16285726839709</v>
      </c>
    </row>
    <row r="120" spans="1:67" x14ac:dyDescent="0.25">
      <c r="A120" s="30">
        <v>300</v>
      </c>
      <c r="B120" s="47" t="s">
        <v>434</v>
      </c>
      <c r="C120" s="47">
        <v>21</v>
      </c>
      <c r="D120" s="47">
        <v>21</v>
      </c>
      <c r="E120" s="47">
        <v>21</v>
      </c>
      <c r="F120" s="47">
        <v>21</v>
      </c>
      <c r="G120" s="47">
        <v>21</v>
      </c>
      <c r="H120" s="58">
        <v>21</v>
      </c>
      <c r="I120" s="139">
        <v>20.999999999999996</v>
      </c>
      <c r="J120" s="139">
        <v>20.999999999999996</v>
      </c>
      <c r="K120" s="139">
        <f t="shared" si="7"/>
        <v>8.3599999999999959</v>
      </c>
      <c r="L120" s="139">
        <v>8.4</v>
      </c>
      <c r="M120" s="139">
        <f t="shared" si="9"/>
        <v>8.4</v>
      </c>
      <c r="N120" s="147">
        <f t="shared" si="9"/>
        <v>8.4</v>
      </c>
      <c r="O120" s="147">
        <f t="shared" si="9"/>
        <v>8.4</v>
      </c>
      <c r="P120" s="147">
        <f t="shared" si="9"/>
        <v>8.4</v>
      </c>
      <c r="Q120" s="147"/>
      <c r="S120" s="41">
        <f>'3. Verotulot'!D120*100/'Veroposentin tuotto'!C120</f>
        <v>46047.8168095238</v>
      </c>
      <c r="T120" s="41">
        <f>'3. Verotulot'!I120*100/'Veroposentin tuotto'!D120</f>
        <v>45976.190476190473</v>
      </c>
      <c r="U120" s="41">
        <f>'3. Verotulot'!N120*100/'Veroposentin tuotto'!E120</f>
        <v>46190.476190476191</v>
      </c>
      <c r="V120" s="41">
        <f>'3. Verotulot'!S120*100/'Veroposentin tuotto'!F120</f>
        <v>43952.380952380954</v>
      </c>
      <c r="W120" s="41">
        <f>'3. Verotulot'!X120*100/'Veroposentin tuotto'!G120</f>
        <v>45528.571428571428</v>
      </c>
      <c r="X120" s="41">
        <f>'3. Verotulot'!AC120*100/'Veroposentin tuotto'!H120</f>
        <v>47119.047619047618</v>
      </c>
      <c r="Y120" s="41">
        <f>'3. Verotulot'!AH120*100/'Veroposentin tuotto'!I120</f>
        <v>46567.361714285726</v>
      </c>
      <c r="Z120" s="41">
        <f>'3. Verotulot'!AM120*100/'Veroposentin tuotto'!J120</f>
        <v>48613.395714285718</v>
      </c>
      <c r="AA120" s="41">
        <f>'3. Verotulot'!AR120*100/'Veroposentin tuotto'!K120</f>
        <v>62109.962559808635</v>
      </c>
      <c r="AB120" s="41">
        <f>'3. Verotulot'!AW120*100/'Veroposentin tuotto'!L120</f>
        <v>58655.529630336496</v>
      </c>
      <c r="AC120" s="41">
        <f>'3. Verotulot'!BB120*100/'Veroposentin tuotto'!M120</f>
        <v>62217.731426586717</v>
      </c>
      <c r="AD120" s="41">
        <f>'3. Verotulot'!BG120*100/'Veroposentin tuotto'!N120</f>
        <v>64807.366531962485</v>
      </c>
      <c r="AE120" s="41">
        <f>'3. Verotulot'!BL120*100/'Veroposentin tuotto'!O120</f>
        <v>66581.220176503339</v>
      </c>
      <c r="AF120" s="41">
        <f>'3. Verotulot'!BQ120*100/'Veroposentin tuotto'!P120</f>
        <v>68738.252885123366</v>
      </c>
      <c r="AI120" s="41">
        <f>'3. Verotulot'!D120/'Veroposentin tuotto'!C120</f>
        <v>460.478168095238</v>
      </c>
      <c r="AJ120" s="41">
        <f>'3. Verotulot'!I120/'Veroposentin tuotto'!D120</f>
        <v>459.76190476190476</v>
      </c>
      <c r="AK120" s="41">
        <f>'3. Verotulot'!N120/'Veroposentin tuotto'!E120</f>
        <v>461.90476190476193</v>
      </c>
      <c r="AL120" s="41">
        <f>'3. Verotulot'!S120/'Veroposentin tuotto'!F120</f>
        <v>439.52380952380952</v>
      </c>
      <c r="AM120" s="41">
        <f>'3. Verotulot'!X120/'Veroposentin tuotto'!G120</f>
        <v>455.28571428571428</v>
      </c>
      <c r="AN120" s="41">
        <f>'3. Verotulot'!AC120/'Veroposentin tuotto'!H120</f>
        <v>471.1904761904762</v>
      </c>
      <c r="AO120" s="41">
        <f>'3. Verotulot'!AH120/'Veroposentin tuotto'!I120</f>
        <v>465.67361714285732</v>
      </c>
      <c r="AP120" s="41">
        <f>'3. Verotulot'!AM120/'Veroposentin tuotto'!J120</f>
        <v>486.13395714285718</v>
      </c>
      <c r="AQ120" s="41">
        <f>'3. Verotulot'!AR120/'Veroposentin tuotto'!K120</f>
        <v>621.09962559808639</v>
      </c>
      <c r="AR120" s="41">
        <f>'3. Verotulot'!AW120/'Veroposentin tuotto'!L120</f>
        <v>586.55529630336491</v>
      </c>
      <c r="AS120" s="41">
        <f>'3. Verotulot'!BB120/'Veroposentin tuotto'!M120</f>
        <v>622.17731426586715</v>
      </c>
      <c r="AT120" s="41">
        <f>'3. Verotulot'!BG120/'Veroposentin tuotto'!N120</f>
        <v>648.07366531962487</v>
      </c>
      <c r="AU120" s="41">
        <f>'3. Verotulot'!BL120/'Veroposentin tuotto'!O120</f>
        <v>665.81220176503336</v>
      </c>
      <c r="AV120" s="41">
        <f>'3. Verotulot'!BQ120/'Veroposentin tuotto'!P120</f>
        <v>687.38252885123359</v>
      </c>
      <c r="AX120" s="146"/>
      <c r="AZ120" s="34">
        <v>300</v>
      </c>
      <c r="BA120" s="88" t="s">
        <v>434</v>
      </c>
      <c r="BB120" s="41">
        <f>AI120/'1. Väestöennuste'!E120*1000</f>
        <v>123.9510546689739</v>
      </c>
      <c r="BC120" s="41">
        <f>AJ120/'1. Väestöennuste'!F120*1000</f>
        <v>124.59672215769777</v>
      </c>
      <c r="BD120" s="41">
        <f>AK120/'1. Väestöennuste'!G120*1000</f>
        <v>127.00158424656638</v>
      </c>
      <c r="BE120" s="41">
        <f>AL120/'1. Väestöennuste'!H120*1000</f>
        <v>123.04697915000267</v>
      </c>
      <c r="BF120" s="41">
        <f>AM120/'1. Väestöennuste'!I120*1000</f>
        <v>128.21338053666975</v>
      </c>
      <c r="BG120" s="41">
        <f>AN120/'1. Väestöennuste'!J120*1000</f>
        <v>133.33063842401705</v>
      </c>
      <c r="BH120" s="41">
        <f>AO120/'1. Väestöennuste'!K120*1000</f>
        <v>131.99365565273732</v>
      </c>
      <c r="BI120" s="41">
        <f>AP120/'1. Väestöennuste'!L120*1000</f>
        <v>141.44136082131428</v>
      </c>
      <c r="BJ120" s="41">
        <f>AQ120/'1. Väestöennuste'!M120*1000</f>
        <v>183.70293569893121</v>
      </c>
      <c r="BK120" s="41">
        <f>AR120/'1. Väestöennuste'!N120*1000</f>
        <v>173.17841638717593</v>
      </c>
      <c r="BL120" s="41">
        <f>AS120/'1. Väestöennuste'!O120*1000</f>
        <v>185.50307521343683</v>
      </c>
      <c r="BM120" s="41">
        <f>AT120/'1. Väestöennuste'!P120*1000</f>
        <v>195.26172501344527</v>
      </c>
      <c r="BN120" s="41">
        <f>AU120/'1. Väestöennuste'!Q120*1000</f>
        <v>202.55923388044826</v>
      </c>
      <c r="BO120" s="41">
        <f>AV120/'1. Väestöennuste'!R120*1000</f>
        <v>211.04775218029891</v>
      </c>
    </row>
    <row r="121" spans="1:67" x14ac:dyDescent="0.25">
      <c r="A121" s="30">
        <v>301</v>
      </c>
      <c r="B121" s="47" t="s">
        <v>435</v>
      </c>
      <c r="C121" s="47">
        <v>19</v>
      </c>
      <c r="D121" s="47">
        <v>20</v>
      </c>
      <c r="E121" s="47">
        <v>21</v>
      </c>
      <c r="F121" s="47">
        <v>21</v>
      </c>
      <c r="G121" s="47">
        <v>21</v>
      </c>
      <c r="H121" s="58">
        <v>21</v>
      </c>
      <c r="I121" s="139">
        <v>21</v>
      </c>
      <c r="J121" s="139">
        <v>21</v>
      </c>
      <c r="K121" s="139">
        <f t="shared" si="7"/>
        <v>8.36</v>
      </c>
      <c r="L121" s="139">
        <v>8.4</v>
      </c>
      <c r="M121" s="139">
        <f t="shared" si="9"/>
        <v>8.4</v>
      </c>
      <c r="N121" s="147">
        <f t="shared" si="9"/>
        <v>8.4</v>
      </c>
      <c r="O121" s="147">
        <f t="shared" si="9"/>
        <v>8.4</v>
      </c>
      <c r="P121" s="147">
        <f t="shared" si="9"/>
        <v>8.4</v>
      </c>
      <c r="Q121" s="147"/>
      <c r="S121" s="41">
        <f>'3. Verotulot'!D121*100/'Veroposentin tuotto'!C121</f>
        <v>187795.13273684209</v>
      </c>
      <c r="T121" s="41">
        <f>'3. Verotulot'!I121*100/'Veroposentin tuotto'!D121</f>
        <v>276940</v>
      </c>
      <c r="U121" s="41">
        <f>'3. Verotulot'!N121*100/'Veroposentin tuotto'!E121</f>
        <v>275404.76190476189</v>
      </c>
      <c r="V121" s="41">
        <f>'3. Verotulot'!S121*100/'Veroposentin tuotto'!F121</f>
        <v>263700</v>
      </c>
      <c r="W121" s="41">
        <f>'3. Verotulot'!X121*100/'Veroposentin tuotto'!G121</f>
        <v>270719.04761904763</v>
      </c>
      <c r="X121" s="41">
        <f>'3. Verotulot'!AC121*100/'Veroposentin tuotto'!H121</f>
        <v>285095.23809523811</v>
      </c>
      <c r="Y121" s="41">
        <f>'3. Verotulot'!AH121*100/'Veroposentin tuotto'!I121</f>
        <v>284885.76733333332</v>
      </c>
      <c r="Z121" s="41">
        <f>'3. Verotulot'!AM121*100/'Veroposentin tuotto'!J121</f>
        <v>289116.12985714292</v>
      </c>
      <c r="AA121" s="41">
        <f>'3. Verotulot'!AR121*100/'Veroposentin tuotto'!K121</f>
        <v>369513.91363636364</v>
      </c>
      <c r="AB121" s="41">
        <f>'3. Verotulot'!AW121*100/'Veroposentin tuotto'!L121</f>
        <v>350496.40765996993</v>
      </c>
      <c r="AC121" s="41">
        <f>'3. Verotulot'!BB121*100/'Veroposentin tuotto'!M121</f>
        <v>366782.52777424507</v>
      </c>
      <c r="AD121" s="41">
        <f>'3. Verotulot'!BG121*100/'Veroposentin tuotto'!N121</f>
        <v>380213.20843078819</v>
      </c>
      <c r="AE121" s="41">
        <f>'3. Verotulot'!BL121*100/'Veroposentin tuotto'!O121</f>
        <v>390496.22390087182</v>
      </c>
      <c r="AF121" s="41">
        <f>'3. Verotulot'!BQ121*100/'Veroposentin tuotto'!P121</f>
        <v>402265.28046681499</v>
      </c>
      <c r="AI121" s="41">
        <f>'3. Verotulot'!D121/'Veroposentin tuotto'!C121</f>
        <v>1877.9513273684211</v>
      </c>
      <c r="AJ121" s="41">
        <f>'3. Verotulot'!I121/'Veroposentin tuotto'!D121</f>
        <v>2769.4</v>
      </c>
      <c r="AK121" s="41">
        <f>'3. Verotulot'!N121/'Veroposentin tuotto'!E121</f>
        <v>2754.0476190476193</v>
      </c>
      <c r="AL121" s="41">
        <f>'3. Verotulot'!S121/'Veroposentin tuotto'!F121</f>
        <v>2637</v>
      </c>
      <c r="AM121" s="41">
        <f>'3. Verotulot'!X121/'Veroposentin tuotto'!G121</f>
        <v>2707.1904761904761</v>
      </c>
      <c r="AN121" s="41">
        <f>'3. Verotulot'!AC121/'Veroposentin tuotto'!H121</f>
        <v>2850.9523809523807</v>
      </c>
      <c r="AO121" s="41">
        <f>'3. Verotulot'!AH121/'Veroposentin tuotto'!I121</f>
        <v>2848.8576733333334</v>
      </c>
      <c r="AP121" s="41">
        <f>'3. Verotulot'!AM121/'Veroposentin tuotto'!J121</f>
        <v>2891.1612985714287</v>
      </c>
      <c r="AQ121" s="41">
        <f>'3. Verotulot'!AR121/'Veroposentin tuotto'!K121</f>
        <v>3695.1391363636367</v>
      </c>
      <c r="AR121" s="41">
        <f>'3. Verotulot'!AW121/'Veroposentin tuotto'!L121</f>
        <v>3504.9640765996992</v>
      </c>
      <c r="AS121" s="41">
        <f>'3. Verotulot'!BB121/'Veroposentin tuotto'!M121</f>
        <v>3667.8252777424509</v>
      </c>
      <c r="AT121" s="41">
        <f>'3. Verotulot'!BG121/'Veroposentin tuotto'!N121</f>
        <v>3802.132084307882</v>
      </c>
      <c r="AU121" s="41">
        <f>'3. Verotulot'!BL121/'Veroposentin tuotto'!O121</f>
        <v>3904.9622390087184</v>
      </c>
      <c r="AV121" s="41">
        <f>'3. Verotulot'!BQ121/'Veroposentin tuotto'!P121</f>
        <v>4022.6528046681501</v>
      </c>
      <c r="AX121" s="146"/>
      <c r="AZ121" s="34">
        <v>301</v>
      </c>
      <c r="BA121" s="88" t="s">
        <v>435</v>
      </c>
      <c r="BB121" s="41">
        <f>AI121/'1. Väestöennuste'!E121*1000</f>
        <v>86.406152911034368</v>
      </c>
      <c r="BC121" s="41">
        <f>AJ121/'1. Väestöennuste'!F121*1000</f>
        <v>128.80331147388495</v>
      </c>
      <c r="BD121" s="41">
        <f>AK121/'1. Väestöennuste'!G121*1000</f>
        <v>129.88952596555296</v>
      </c>
      <c r="BE121" s="41">
        <f>AL121/'1. Väestöennuste'!H121*1000</f>
        <v>125.85910652920961</v>
      </c>
      <c r="BF121" s="41">
        <f>AM121/'1. Väestöennuste'!I121*1000</f>
        <v>130.92129201037218</v>
      </c>
      <c r="BG121" s="41">
        <f>AN121/'1. Väestöennuste'!J121*1000</f>
        <v>139.36998342551723</v>
      </c>
      <c r="BH121" s="41">
        <f>AO121/'1. Väestöennuste'!K121*1000</f>
        <v>141.05350662639665</v>
      </c>
      <c r="BI121" s="41">
        <f>AP121/'1. Väestöennuste'!L121*1000</f>
        <v>145.35753135100194</v>
      </c>
      <c r="BJ121" s="41">
        <f>AQ121/'1. Väestöennuste'!M121*1000</f>
        <v>187.01043253017039</v>
      </c>
      <c r="BK121" s="41">
        <f>AR121/'1. Väestöennuste'!N121*1000</f>
        <v>179.78784696587329</v>
      </c>
      <c r="BL121" s="41">
        <f>AS121/'1. Väestöennuste'!O121*1000</f>
        <v>190.34850162138414</v>
      </c>
      <c r="BM121" s="41">
        <f>AT121/'1. Väestöennuste'!P121*1000</f>
        <v>199.59746361005207</v>
      </c>
      <c r="BN121" s="41">
        <f>AU121/'1. Väestöennuste'!Q121*1000</f>
        <v>207.33578841503231</v>
      </c>
      <c r="BO121" s="41">
        <f>AV121/'1. Väestöennuste'!R121*1000</f>
        <v>216.0161531880652</v>
      </c>
    </row>
    <row r="122" spans="1:67" x14ac:dyDescent="0.25">
      <c r="A122" s="30">
        <v>304</v>
      </c>
      <c r="B122" s="47" t="s">
        <v>436</v>
      </c>
      <c r="C122" s="47">
        <v>19.25</v>
      </c>
      <c r="D122" s="47">
        <v>19.25</v>
      </c>
      <c r="E122" s="47">
        <v>19</v>
      </c>
      <c r="F122" s="47">
        <v>18.75</v>
      </c>
      <c r="G122" s="47">
        <v>18.5</v>
      </c>
      <c r="H122" s="58">
        <v>18.25</v>
      </c>
      <c r="I122" s="139">
        <v>18.25</v>
      </c>
      <c r="J122" s="139">
        <v>18</v>
      </c>
      <c r="K122" s="139">
        <f t="shared" si="7"/>
        <v>5.3599999999999994</v>
      </c>
      <c r="L122" s="139">
        <v>5.3</v>
      </c>
      <c r="M122" s="139">
        <f t="shared" si="9"/>
        <v>5.3</v>
      </c>
      <c r="N122" s="147">
        <f t="shared" si="9"/>
        <v>5.3</v>
      </c>
      <c r="O122" s="147">
        <f t="shared" si="9"/>
        <v>5.3</v>
      </c>
      <c r="P122" s="147">
        <f t="shared" si="9"/>
        <v>5.3</v>
      </c>
      <c r="Q122" s="147"/>
      <c r="S122" s="41">
        <f>'3. Verotulot'!D122*100/'Veroposentin tuotto'!C122</f>
        <v>13000.201194805193</v>
      </c>
      <c r="T122" s="41">
        <f>'3. Verotulot'!I122*100/'Veroposentin tuotto'!D122</f>
        <v>13942.857142857143</v>
      </c>
      <c r="U122" s="41">
        <f>'3. Verotulot'!N122*100/'Veroposentin tuotto'!E122</f>
        <v>12763.157894736842</v>
      </c>
      <c r="V122" s="41">
        <f>'3. Verotulot'!S122*100/'Veroposentin tuotto'!F122</f>
        <v>15077.333333333334</v>
      </c>
      <c r="W122" s="41">
        <f>'3. Verotulot'!X122*100/'Veroposentin tuotto'!G122</f>
        <v>15745.945945945947</v>
      </c>
      <c r="X122" s="41">
        <f>'3. Verotulot'!AC122*100/'Veroposentin tuotto'!H122</f>
        <v>17063.013698630137</v>
      </c>
      <c r="Y122" s="41">
        <f>'3. Verotulot'!AH122*100/'Veroposentin tuotto'!I122</f>
        <v>17426.02487671233</v>
      </c>
      <c r="Z122" s="41">
        <f>'3. Verotulot'!AM122*100/'Veroposentin tuotto'!J122</f>
        <v>20748.441611111113</v>
      </c>
      <c r="AA122" s="41">
        <f>'3. Verotulot'!AR122*100/'Veroposentin tuotto'!K122</f>
        <v>28287.599440298509</v>
      </c>
      <c r="AB122" s="41">
        <f>'3. Verotulot'!AW122*100/'Veroposentin tuotto'!L122</f>
        <v>24228.509667883143</v>
      </c>
      <c r="AC122" s="41">
        <f>'3. Verotulot'!BB122*100/'Veroposentin tuotto'!M122</f>
        <v>26323.671897931377</v>
      </c>
      <c r="AD122" s="41">
        <f>'3. Verotulot'!BG122*100/'Veroposentin tuotto'!N122</f>
        <v>27538.178014028112</v>
      </c>
      <c r="AE122" s="41">
        <f>'3. Verotulot'!BL122*100/'Veroposentin tuotto'!O122</f>
        <v>28925.550908019184</v>
      </c>
      <c r="AF122" s="41">
        <f>'3. Verotulot'!BQ122*100/'Veroposentin tuotto'!P122</f>
        <v>30488.963496042044</v>
      </c>
      <c r="AI122" s="41">
        <f>'3. Verotulot'!D122/'Veroposentin tuotto'!C122</f>
        <v>130.00201194805194</v>
      </c>
      <c r="AJ122" s="41">
        <f>'3. Verotulot'!I122/'Veroposentin tuotto'!D122</f>
        <v>139.42857142857142</v>
      </c>
      <c r="AK122" s="41">
        <f>'3. Verotulot'!N122/'Veroposentin tuotto'!E122</f>
        <v>127.63157894736842</v>
      </c>
      <c r="AL122" s="41">
        <f>'3. Verotulot'!S122/'Veroposentin tuotto'!F122</f>
        <v>150.77333333333334</v>
      </c>
      <c r="AM122" s="41">
        <f>'3. Verotulot'!X122/'Veroposentin tuotto'!G122</f>
        <v>157.45945945945945</v>
      </c>
      <c r="AN122" s="41">
        <f>'3. Verotulot'!AC122/'Veroposentin tuotto'!H122</f>
        <v>170.63013698630138</v>
      </c>
      <c r="AO122" s="41">
        <f>'3. Verotulot'!AH122/'Veroposentin tuotto'!I122</f>
        <v>174.2602487671233</v>
      </c>
      <c r="AP122" s="41">
        <f>'3. Verotulot'!AM122/'Veroposentin tuotto'!J122</f>
        <v>207.48441611111113</v>
      </c>
      <c r="AQ122" s="41">
        <f>'3. Verotulot'!AR122/'Veroposentin tuotto'!K122</f>
        <v>282.8759944029851</v>
      </c>
      <c r="AR122" s="41">
        <f>'3. Verotulot'!AW122/'Veroposentin tuotto'!L122</f>
        <v>242.28509667883142</v>
      </c>
      <c r="AS122" s="41">
        <f>'3. Verotulot'!BB122/'Veroposentin tuotto'!M122</f>
        <v>263.23671897931376</v>
      </c>
      <c r="AT122" s="41">
        <f>'3. Verotulot'!BG122/'Veroposentin tuotto'!N122</f>
        <v>275.38178014028108</v>
      </c>
      <c r="AU122" s="41">
        <f>'3. Verotulot'!BL122/'Veroposentin tuotto'!O122</f>
        <v>289.25550908019181</v>
      </c>
      <c r="AV122" s="41">
        <f>'3. Verotulot'!BQ122/'Veroposentin tuotto'!P122</f>
        <v>304.88963496042038</v>
      </c>
      <c r="AX122" s="146"/>
      <c r="AZ122" s="34">
        <v>304</v>
      </c>
      <c r="BA122" s="88" t="s">
        <v>436</v>
      </c>
      <c r="BB122" s="41">
        <f>AI122/'1. Väestöennuste'!E122*1000</f>
        <v>145.25364463469492</v>
      </c>
      <c r="BC122" s="41">
        <f>AJ122/'1. Väestöennuste'!F122*1000</f>
        <v>153.55569540591566</v>
      </c>
      <c r="BD122" s="41">
        <f>AK122/'1. Väestöennuste'!G122*1000</f>
        <v>138.27906711524207</v>
      </c>
      <c r="BE122" s="41">
        <f>AL122/'1. Väestöennuste'!H122*1000</f>
        <v>162.82217422606195</v>
      </c>
      <c r="BF122" s="41">
        <f>AM122/'1. Väestöennuste'!I122*1000</f>
        <v>165.92145359268645</v>
      </c>
      <c r="BG122" s="41">
        <f>AN122/'1. Väestöennuste'!J122*1000</f>
        <v>177.37020476746503</v>
      </c>
      <c r="BH122" s="41">
        <f>AO122/'1. Väestöennuste'!K122*1000</f>
        <v>179.46472581578092</v>
      </c>
      <c r="BI122" s="41">
        <f>AP122/'1. Väestöennuste'!L122*1000</f>
        <v>218.40464853801171</v>
      </c>
      <c r="BJ122" s="41">
        <f>AQ122/'1. Väestöennuste'!M122*1000</f>
        <v>298.0779709199</v>
      </c>
      <c r="BK122" s="41">
        <f>AR122/'1. Väestöennuste'!N122*1000</f>
        <v>236.3757040769087</v>
      </c>
      <c r="BL122" s="41">
        <f>AS122/'1. Väestöennuste'!O122*1000</f>
        <v>253.84447346124762</v>
      </c>
      <c r="BM122" s="41">
        <f>AT122/'1. Väestöennuste'!P122*1000</f>
        <v>262.26836203836297</v>
      </c>
      <c r="BN122" s="41">
        <f>AU122/'1. Väestöennuste'!Q122*1000</f>
        <v>271.85668146634566</v>
      </c>
      <c r="BO122" s="41">
        <f>AV122/'1. Väestöennuste'!R122*1000</f>
        <v>283.6182650794608</v>
      </c>
    </row>
    <row r="123" spans="1:67" x14ac:dyDescent="0.25">
      <c r="A123" s="30">
        <v>305</v>
      </c>
      <c r="B123" s="47" t="s">
        <v>437</v>
      </c>
      <c r="C123" s="47">
        <v>20</v>
      </c>
      <c r="D123" s="47">
        <v>20</v>
      </c>
      <c r="E123" s="47">
        <v>20</v>
      </c>
      <c r="F123" s="47">
        <v>20</v>
      </c>
      <c r="G123" s="47">
        <v>20</v>
      </c>
      <c r="H123" s="58">
        <v>20</v>
      </c>
      <c r="I123" s="139">
        <v>20</v>
      </c>
      <c r="J123" s="139">
        <v>20</v>
      </c>
      <c r="K123" s="139">
        <f t="shared" si="7"/>
        <v>7.3599999999999994</v>
      </c>
      <c r="L123" s="139">
        <v>7.4</v>
      </c>
      <c r="M123" s="139">
        <f t="shared" si="9"/>
        <v>7.4</v>
      </c>
      <c r="N123" s="147">
        <f t="shared" si="9"/>
        <v>7.4</v>
      </c>
      <c r="O123" s="147">
        <f t="shared" si="9"/>
        <v>7.4</v>
      </c>
      <c r="P123" s="147">
        <f t="shared" si="9"/>
        <v>7.4</v>
      </c>
      <c r="Q123" s="147"/>
      <c r="S123" s="41">
        <f>'3. Verotulot'!D123*100/'Veroposentin tuotto'!C123</f>
        <v>211239.13955000002</v>
      </c>
      <c r="T123" s="41">
        <f>'3. Verotulot'!I123*100/'Veroposentin tuotto'!D123</f>
        <v>208310</v>
      </c>
      <c r="U123" s="41">
        <f>'3. Verotulot'!N123*100/'Veroposentin tuotto'!E123</f>
        <v>208905</v>
      </c>
      <c r="V123" s="41">
        <f>'3. Verotulot'!S123*100/'Veroposentin tuotto'!F123</f>
        <v>200945</v>
      </c>
      <c r="W123" s="41">
        <f>'3. Verotulot'!X123*100/'Veroposentin tuotto'!G123</f>
        <v>207310</v>
      </c>
      <c r="X123" s="41">
        <f>'3. Verotulot'!AC123*100/'Veroposentin tuotto'!H123</f>
        <v>213465</v>
      </c>
      <c r="Y123" s="41">
        <f>'3. Verotulot'!AH123*100/'Veroposentin tuotto'!I123</f>
        <v>220906.67499999999</v>
      </c>
      <c r="Z123" s="41">
        <f>'3. Verotulot'!AM123*100/'Veroposentin tuotto'!J123</f>
        <v>222561.12000000002</v>
      </c>
      <c r="AA123" s="41">
        <f>'3. Verotulot'!AR123*100/'Veroposentin tuotto'!K123</f>
        <v>287816.67119565222</v>
      </c>
      <c r="AB123" s="41">
        <f>'3. Verotulot'!AW123*100/'Veroposentin tuotto'!L123</f>
        <v>271769.52302737033</v>
      </c>
      <c r="AC123" s="41">
        <f>'3. Verotulot'!BB123*100/'Veroposentin tuotto'!M123</f>
        <v>286841.84984690923</v>
      </c>
      <c r="AD123" s="41">
        <f>'3. Verotulot'!BG123*100/'Veroposentin tuotto'!N123</f>
        <v>298887.91273310897</v>
      </c>
      <c r="AE123" s="41">
        <f>'3. Verotulot'!BL123*100/'Veroposentin tuotto'!O123</f>
        <v>308625.87894558907</v>
      </c>
      <c r="AF123" s="41">
        <f>'3. Verotulot'!BQ123*100/'Veroposentin tuotto'!P123</f>
        <v>319370.45273248077</v>
      </c>
      <c r="AI123" s="41">
        <f>'3. Verotulot'!D123/'Veroposentin tuotto'!C123</f>
        <v>2112.3913954999998</v>
      </c>
      <c r="AJ123" s="41">
        <f>'3. Verotulot'!I123/'Veroposentin tuotto'!D123</f>
        <v>2083.1</v>
      </c>
      <c r="AK123" s="41">
        <f>'3. Verotulot'!N123/'Veroposentin tuotto'!E123</f>
        <v>2089.0500000000002</v>
      </c>
      <c r="AL123" s="41">
        <f>'3. Verotulot'!S123/'Veroposentin tuotto'!F123</f>
        <v>2009.45</v>
      </c>
      <c r="AM123" s="41">
        <f>'3. Verotulot'!X123/'Veroposentin tuotto'!G123</f>
        <v>2073.1</v>
      </c>
      <c r="AN123" s="41">
        <f>'3. Verotulot'!AC123/'Veroposentin tuotto'!H123</f>
        <v>2134.65</v>
      </c>
      <c r="AO123" s="41">
        <f>'3. Verotulot'!AH123/'Veroposentin tuotto'!I123</f>
        <v>2209.06675</v>
      </c>
      <c r="AP123" s="41">
        <f>'3. Verotulot'!AM123/'Veroposentin tuotto'!J123</f>
        <v>2225.6112000000003</v>
      </c>
      <c r="AQ123" s="41">
        <f>'3. Verotulot'!AR123/'Veroposentin tuotto'!K123</f>
        <v>2878.1667119565222</v>
      </c>
      <c r="AR123" s="41">
        <f>'3. Verotulot'!AW123/'Veroposentin tuotto'!L123</f>
        <v>2717.6952302737031</v>
      </c>
      <c r="AS123" s="41">
        <f>'3. Verotulot'!BB123/'Veroposentin tuotto'!M123</f>
        <v>2868.4184984690924</v>
      </c>
      <c r="AT123" s="41">
        <f>'3. Verotulot'!BG123/'Veroposentin tuotto'!N123</f>
        <v>2988.8791273310899</v>
      </c>
      <c r="AU123" s="41">
        <f>'3. Verotulot'!BL123/'Veroposentin tuotto'!O123</f>
        <v>3086.2587894558906</v>
      </c>
      <c r="AV123" s="41">
        <f>'3. Verotulot'!BQ123/'Veroposentin tuotto'!P123</f>
        <v>3193.7045273248082</v>
      </c>
      <c r="AX123" s="146"/>
      <c r="AZ123" s="34">
        <v>305</v>
      </c>
      <c r="BA123" s="88" t="s">
        <v>437</v>
      </c>
      <c r="BB123" s="41">
        <f>AI123/'1. Väestöennuste'!E123*1000</f>
        <v>134.65013994773074</v>
      </c>
      <c r="BC123" s="41">
        <f>AJ123/'1. Väestöennuste'!F123*1000</f>
        <v>134.10802806927185</v>
      </c>
      <c r="BD123" s="41">
        <f>AK123/'1. Väestöennuste'!G123*1000</f>
        <v>135.77603015728585</v>
      </c>
      <c r="BE123" s="41">
        <f>AL123/'1. Väestöennuste'!H123*1000</f>
        <v>132.13980403761428</v>
      </c>
      <c r="BF123" s="41">
        <f>AM123/'1. Väestöennuste'!I123*1000</f>
        <v>136.98295229285054</v>
      </c>
      <c r="BG123" s="41">
        <f>AN123/'1. Väestöennuste'!J123*1000</f>
        <v>140.31749161901004</v>
      </c>
      <c r="BH123" s="41">
        <f>AO123/'1. Väestöennuste'!K123*1000</f>
        <v>145.66876030333003</v>
      </c>
      <c r="BI123" s="41">
        <f>AP123/'1. Väestöennuste'!L123*1000</f>
        <v>146.94382675293809</v>
      </c>
      <c r="BJ123" s="41">
        <f>AQ123/'1. Väestöennuste'!M123*1000</f>
        <v>191.63504307587203</v>
      </c>
      <c r="BK123" s="41">
        <f>AR123/'1. Väestöennuste'!N123*1000</f>
        <v>183.92631498874547</v>
      </c>
      <c r="BL123" s="41">
        <f>AS123/'1. Väestöennuste'!O123*1000</f>
        <v>195.4895725801876</v>
      </c>
      <c r="BM123" s="41">
        <f>AT123/'1. Väestöennuste'!P123*1000</f>
        <v>205.08296468581653</v>
      </c>
      <c r="BN123" s="41">
        <f>AU123/'1. Väestöennuste'!Q123*1000</f>
        <v>213.22777321099147</v>
      </c>
      <c r="BO123" s="41">
        <f>AV123/'1. Väestöennuste'!R123*1000</f>
        <v>222.18620615867596</v>
      </c>
    </row>
    <row r="124" spans="1:67" x14ac:dyDescent="0.25">
      <c r="A124" s="30">
        <v>309</v>
      </c>
      <c r="B124" s="47" t="s">
        <v>438</v>
      </c>
      <c r="C124" s="47">
        <v>22.25</v>
      </c>
      <c r="D124" s="47">
        <v>22.25</v>
      </c>
      <c r="E124" s="47">
        <v>21.75</v>
      </c>
      <c r="F124" s="47">
        <v>21.75</v>
      </c>
      <c r="G124" s="47">
        <v>21.75</v>
      </c>
      <c r="H124" s="58">
        <v>21.75</v>
      </c>
      <c r="I124" s="139">
        <v>21.5</v>
      </c>
      <c r="J124" s="139">
        <v>21.5</v>
      </c>
      <c r="K124" s="139">
        <f t="shared" si="7"/>
        <v>8.86</v>
      </c>
      <c r="L124" s="139">
        <v>8.9</v>
      </c>
      <c r="M124" s="139">
        <f t="shared" si="9"/>
        <v>8.9</v>
      </c>
      <c r="N124" s="147">
        <f t="shared" si="9"/>
        <v>8.9</v>
      </c>
      <c r="O124" s="147">
        <f t="shared" si="9"/>
        <v>8.9</v>
      </c>
      <c r="P124" s="147">
        <f t="shared" si="9"/>
        <v>8.9</v>
      </c>
      <c r="Q124" s="147"/>
      <c r="S124" s="41">
        <f>'3. Verotulot'!D124*100/'Veroposentin tuotto'!C124</f>
        <v>91184.311550561804</v>
      </c>
      <c r="T124" s="41">
        <f>'3. Verotulot'!I124*100/'Veroposentin tuotto'!D124</f>
        <v>89330.33707865169</v>
      </c>
      <c r="U124" s="41">
        <f>'3. Verotulot'!N124*100/'Veroposentin tuotto'!E124</f>
        <v>88114.942528735628</v>
      </c>
      <c r="V124" s="41">
        <f>'3. Verotulot'!S124*100/'Veroposentin tuotto'!F124</f>
        <v>84551.724137931029</v>
      </c>
      <c r="W124" s="41">
        <f>'3. Verotulot'!X124*100/'Veroposentin tuotto'!G124</f>
        <v>83342.528735632179</v>
      </c>
      <c r="X124" s="41">
        <f>'3. Verotulot'!AC124*100/'Veroposentin tuotto'!H124</f>
        <v>88432.183908045976</v>
      </c>
      <c r="Y124" s="41">
        <f>'3. Verotulot'!AH124*100/'Veroposentin tuotto'!I124</f>
        <v>87168.924604651154</v>
      </c>
      <c r="Z124" s="41">
        <f>'3. Verotulot'!AM124*100/'Veroposentin tuotto'!J124</f>
        <v>89210.184511627929</v>
      </c>
      <c r="AA124" s="41">
        <f>'3. Verotulot'!AR124*100/'Veroposentin tuotto'!K124</f>
        <v>113364.97167042892</v>
      </c>
      <c r="AB124" s="41">
        <f>'3. Verotulot'!AW124*100/'Veroposentin tuotto'!L124</f>
        <v>105693.01162344887</v>
      </c>
      <c r="AC124" s="41">
        <f>'3. Verotulot'!BB124*100/'Veroposentin tuotto'!M124</f>
        <v>109068.53013148284</v>
      </c>
      <c r="AD124" s="41">
        <f>'3. Verotulot'!BG124*100/'Veroposentin tuotto'!N124</f>
        <v>111633.39271227384</v>
      </c>
      <c r="AE124" s="41">
        <f>'3. Verotulot'!BL124*100/'Veroposentin tuotto'!O124</f>
        <v>113829.50099235853</v>
      </c>
      <c r="AF124" s="41">
        <f>'3. Verotulot'!BQ124*100/'Veroposentin tuotto'!P124</f>
        <v>116792.05543121816</v>
      </c>
      <c r="AI124" s="41">
        <f>'3. Verotulot'!D124/'Veroposentin tuotto'!C124</f>
        <v>911.84311550561802</v>
      </c>
      <c r="AJ124" s="41">
        <f>'3. Verotulot'!I124/'Veroposentin tuotto'!D124</f>
        <v>893.30337078651689</v>
      </c>
      <c r="AK124" s="41">
        <f>'3. Verotulot'!N124/'Veroposentin tuotto'!E124</f>
        <v>881.14942528735628</v>
      </c>
      <c r="AL124" s="41">
        <f>'3. Verotulot'!S124/'Veroposentin tuotto'!F124</f>
        <v>845.51724137931035</v>
      </c>
      <c r="AM124" s="41">
        <f>'3. Verotulot'!X124/'Veroposentin tuotto'!G124</f>
        <v>833.42528735632186</v>
      </c>
      <c r="AN124" s="41">
        <f>'3. Verotulot'!AC124/'Veroposentin tuotto'!H124</f>
        <v>884.32183908045977</v>
      </c>
      <c r="AO124" s="41">
        <f>'3. Verotulot'!AH124/'Veroposentin tuotto'!I124</f>
        <v>871.68924604651147</v>
      </c>
      <c r="AP124" s="41">
        <f>'3. Verotulot'!AM124/'Veroposentin tuotto'!J124</f>
        <v>892.10184511627926</v>
      </c>
      <c r="AQ124" s="41">
        <f>'3. Verotulot'!AR124/'Veroposentin tuotto'!K124</f>
        <v>1133.6497167042892</v>
      </c>
      <c r="AR124" s="41">
        <f>'3. Verotulot'!AW124/'Veroposentin tuotto'!L124</f>
        <v>1056.9301162344887</v>
      </c>
      <c r="AS124" s="41">
        <f>'3. Verotulot'!BB124/'Veroposentin tuotto'!M124</f>
        <v>1090.6853013148284</v>
      </c>
      <c r="AT124" s="41">
        <f>'3. Verotulot'!BG124/'Veroposentin tuotto'!N124</f>
        <v>1116.3339271227383</v>
      </c>
      <c r="AU124" s="41">
        <f>'3. Verotulot'!BL124/'Veroposentin tuotto'!O124</f>
        <v>1138.2950099235852</v>
      </c>
      <c r="AV124" s="41">
        <f>'3. Verotulot'!BQ124/'Veroposentin tuotto'!P124</f>
        <v>1167.9205543121816</v>
      </c>
      <c r="AX124" s="146"/>
      <c r="AZ124" s="34">
        <v>309</v>
      </c>
      <c r="BA124" s="88" t="s">
        <v>438</v>
      </c>
      <c r="BB124" s="41">
        <f>AI124/'1. Väestöennuste'!E124*1000</f>
        <v>127.72700875551449</v>
      </c>
      <c r="BC124" s="41">
        <f>AJ124/'1. Väestöennuste'!F124*1000</f>
        <v>125.97706540495233</v>
      </c>
      <c r="BD124" s="41">
        <f>AK124/'1. Väestöennuste'!G124*1000</f>
        <v>125.82456451340229</v>
      </c>
      <c r="BE124" s="41">
        <f>AL124/'1. Väestöennuste'!H124*1000</f>
        <v>124.2859387592695</v>
      </c>
      <c r="BF124" s="41">
        <f>AM124/'1. Väestöennuste'!I124*1000</f>
        <v>124.61502502337349</v>
      </c>
      <c r="BG124" s="41">
        <f>AN124/'1. Väestöennuste'!J124*1000</f>
        <v>134.96975565941082</v>
      </c>
      <c r="BH124" s="41">
        <f>AO124/'1. Väestöennuste'!K124*1000</f>
        <v>133.98236182700759</v>
      </c>
      <c r="BI124" s="41">
        <f>AP124/'1. Väestöennuste'!L124*1000</f>
        <v>138.16042204061938</v>
      </c>
      <c r="BJ124" s="41">
        <f>AQ124/'1. Väestöennuste'!M124*1000</f>
        <v>176.88402507478375</v>
      </c>
      <c r="BK124" s="41">
        <f>AR124/'1. Väestöennuste'!N124*1000</f>
        <v>172.02638610587383</v>
      </c>
      <c r="BL124" s="41">
        <f>AS124/'1. Väestöennuste'!O124*1000</f>
        <v>180.30836523637433</v>
      </c>
      <c r="BM124" s="41">
        <f>AT124/'1. Väestöennuste'!P124*1000</f>
        <v>187.5245971985114</v>
      </c>
      <c r="BN124" s="41">
        <f>AU124/'1. Väestöennuste'!Q124*1000</f>
        <v>194.14890157318527</v>
      </c>
      <c r="BO124" s="41">
        <f>AV124/'1. Väestöennuste'!R124*1000</f>
        <v>202.34243837702385</v>
      </c>
    </row>
    <row r="125" spans="1:67" x14ac:dyDescent="0.25">
      <c r="A125" s="30">
        <v>312</v>
      </c>
      <c r="B125" s="47" t="s">
        <v>439</v>
      </c>
      <c r="C125" s="47">
        <v>20.5</v>
      </c>
      <c r="D125" s="47">
        <v>20.5</v>
      </c>
      <c r="E125" s="47">
        <v>21</v>
      </c>
      <c r="F125" s="47">
        <v>21.75</v>
      </c>
      <c r="G125" s="47">
        <v>21.75</v>
      </c>
      <c r="H125" s="58">
        <v>22.5</v>
      </c>
      <c r="I125" s="139">
        <v>22.5</v>
      </c>
      <c r="J125" s="139">
        <v>22.5</v>
      </c>
      <c r="K125" s="139">
        <f t="shared" si="7"/>
        <v>9.86</v>
      </c>
      <c r="L125" s="139">
        <v>9.9</v>
      </c>
      <c r="M125" s="139">
        <f t="shared" si="9"/>
        <v>9.9</v>
      </c>
      <c r="N125" s="147">
        <f t="shared" si="9"/>
        <v>9.9</v>
      </c>
      <c r="O125" s="147">
        <f t="shared" si="9"/>
        <v>9.9</v>
      </c>
      <c r="P125" s="147">
        <f t="shared" si="9"/>
        <v>9.9</v>
      </c>
      <c r="Q125" s="147"/>
      <c r="S125" s="41">
        <f>'3. Verotulot'!D125*100/'Veroposentin tuotto'!C125</f>
        <v>17159.871365853658</v>
      </c>
      <c r="T125" s="41">
        <f>'3. Verotulot'!I125*100/'Veroposentin tuotto'!D125</f>
        <v>15039.024390243903</v>
      </c>
      <c r="U125" s="41">
        <f>'3. Verotulot'!N125*100/'Veroposentin tuotto'!E125</f>
        <v>16290.476190476191</v>
      </c>
      <c r="V125" s="41">
        <f>'3. Verotulot'!S125*100/'Veroposentin tuotto'!F125</f>
        <v>15659.770114942528</v>
      </c>
      <c r="W125" s="41">
        <f>'3. Verotulot'!X125*100/'Veroposentin tuotto'!G125</f>
        <v>15218.3908045977</v>
      </c>
      <c r="X125" s="41">
        <f>'3. Verotulot'!AC125*100/'Veroposentin tuotto'!H125</f>
        <v>14773.333333333334</v>
      </c>
      <c r="Y125" s="41">
        <f>'3. Verotulot'!AH125*100/'Veroposentin tuotto'!I125</f>
        <v>14293.602666666666</v>
      </c>
      <c r="Z125" s="41">
        <f>'3. Verotulot'!AM125*100/'Veroposentin tuotto'!J125</f>
        <v>16023.461288888888</v>
      </c>
      <c r="AA125" s="41">
        <f>'3. Verotulot'!AR125*100/'Veroposentin tuotto'!K125</f>
        <v>20007.031440162275</v>
      </c>
      <c r="AB125" s="41">
        <f>'3. Verotulot'!AW125*100/'Veroposentin tuotto'!L125</f>
        <v>18451.934411925522</v>
      </c>
      <c r="AC125" s="41">
        <f>'3. Verotulot'!BB125*100/'Veroposentin tuotto'!M125</f>
        <v>19308.972193412392</v>
      </c>
      <c r="AD125" s="41">
        <f>'3. Verotulot'!BG125*100/'Veroposentin tuotto'!N125</f>
        <v>19898.08735760333</v>
      </c>
      <c r="AE125" s="41">
        <f>'3. Verotulot'!BL125*100/'Veroposentin tuotto'!O125</f>
        <v>20332.959113350247</v>
      </c>
      <c r="AF125" s="41">
        <f>'3. Verotulot'!BQ125*100/'Veroposentin tuotto'!P125</f>
        <v>20803.111074793473</v>
      </c>
      <c r="AI125" s="41">
        <f>'3. Verotulot'!D125/'Veroposentin tuotto'!C125</f>
        <v>171.59871365853658</v>
      </c>
      <c r="AJ125" s="41">
        <f>'3. Verotulot'!I125/'Veroposentin tuotto'!D125</f>
        <v>150.39024390243901</v>
      </c>
      <c r="AK125" s="41">
        <f>'3. Verotulot'!N125/'Veroposentin tuotto'!E125</f>
        <v>162.9047619047619</v>
      </c>
      <c r="AL125" s="41">
        <f>'3. Verotulot'!S125/'Veroposentin tuotto'!F125</f>
        <v>156.59770114942529</v>
      </c>
      <c r="AM125" s="41">
        <f>'3. Verotulot'!X125/'Veroposentin tuotto'!G125</f>
        <v>152.18390804597701</v>
      </c>
      <c r="AN125" s="41">
        <f>'3. Verotulot'!AC125/'Veroposentin tuotto'!H125</f>
        <v>147.73333333333332</v>
      </c>
      <c r="AO125" s="41">
        <f>'3. Verotulot'!AH125/'Veroposentin tuotto'!I125</f>
        <v>142.93602666666669</v>
      </c>
      <c r="AP125" s="41">
        <f>'3. Verotulot'!AM125/'Veroposentin tuotto'!J125</f>
        <v>160.23461288888888</v>
      </c>
      <c r="AQ125" s="41">
        <f>'3. Verotulot'!AR125/'Veroposentin tuotto'!K125</f>
        <v>200.07031440162274</v>
      </c>
      <c r="AR125" s="41">
        <f>'3. Verotulot'!AW125/'Veroposentin tuotto'!L125</f>
        <v>184.51934411925521</v>
      </c>
      <c r="AS125" s="41">
        <f>'3. Verotulot'!BB125/'Veroposentin tuotto'!M125</f>
        <v>193.0897219341239</v>
      </c>
      <c r="AT125" s="41">
        <f>'3. Verotulot'!BG125/'Veroposentin tuotto'!N125</f>
        <v>198.9808735760333</v>
      </c>
      <c r="AU125" s="41">
        <f>'3. Verotulot'!BL125/'Veroposentin tuotto'!O125</f>
        <v>203.32959113350245</v>
      </c>
      <c r="AV125" s="41">
        <f>'3. Verotulot'!BQ125/'Veroposentin tuotto'!P125</f>
        <v>208.03111074793475</v>
      </c>
      <c r="AX125" s="146"/>
      <c r="AZ125" s="34">
        <v>312</v>
      </c>
      <c r="BA125" s="88" t="s">
        <v>439</v>
      </c>
      <c r="BB125" s="41">
        <f>AI125/'1. Väestöennuste'!E125*1000</f>
        <v>124.43706574223103</v>
      </c>
      <c r="BC125" s="41">
        <f>AJ125/'1. Väestöennuste'!F125*1000</f>
        <v>109.37472283813746</v>
      </c>
      <c r="BD125" s="41">
        <f>AK125/'1. Väestöennuste'!G125*1000</f>
        <v>120.4916877993801</v>
      </c>
      <c r="BE125" s="41">
        <f>AL125/'1. Väestöennuste'!H125*1000</f>
        <v>116.60290480225264</v>
      </c>
      <c r="BF125" s="41">
        <f>AM125/'1. Väestöennuste'!I125*1000</f>
        <v>115.90548975321934</v>
      </c>
      <c r="BG125" s="41">
        <f>AN125/'1. Väestöennuste'!J125*1000</f>
        <v>114.69979296066252</v>
      </c>
      <c r="BH125" s="41">
        <f>AO125/'1. Väestöennuste'!K125*1000</f>
        <v>116.01950216450219</v>
      </c>
      <c r="BI125" s="41">
        <f>AP125/'1. Väestöennuste'!L125*1000</f>
        <v>133.97542883686361</v>
      </c>
      <c r="BJ125" s="41">
        <f>AQ125/'1. Väestöennuste'!M125*1000</f>
        <v>170.41764429439758</v>
      </c>
      <c r="BK125" s="41">
        <f>AR125/'1. Väestöennuste'!N125*1000</f>
        <v>153.89436540388257</v>
      </c>
      <c r="BL125" s="41">
        <f>AS125/'1. Väestöennuste'!O125*1000</f>
        <v>163.7741492231755</v>
      </c>
      <c r="BM125" s="41">
        <f>AT125/'1. Väestöennuste'!P125*1000</f>
        <v>171.38748800691931</v>
      </c>
      <c r="BN125" s="41">
        <f>AU125/'1. Väestöennuste'!Q125*1000</f>
        <v>177.89115584733372</v>
      </c>
      <c r="BO125" s="41">
        <f>AV125/'1. Väestöennuste'!R125*1000</f>
        <v>185.08105938428358</v>
      </c>
    </row>
    <row r="126" spans="1:67" x14ac:dyDescent="0.25">
      <c r="A126" s="30">
        <v>316</v>
      </c>
      <c r="B126" s="47" t="s">
        <v>440</v>
      </c>
      <c r="C126" s="47">
        <v>21.75</v>
      </c>
      <c r="D126" s="47">
        <v>21.75</v>
      </c>
      <c r="E126" s="47">
        <v>21.75</v>
      </c>
      <c r="F126" s="47">
        <v>21.75</v>
      </c>
      <c r="G126" s="47">
        <v>22</v>
      </c>
      <c r="H126" s="58">
        <v>22</v>
      </c>
      <c r="I126" s="139">
        <v>22</v>
      </c>
      <c r="J126" s="139">
        <v>22</v>
      </c>
      <c r="K126" s="139">
        <f t="shared" si="7"/>
        <v>9.36</v>
      </c>
      <c r="L126" s="139">
        <v>9.4</v>
      </c>
      <c r="M126" s="139">
        <f t="shared" si="9"/>
        <v>9.4</v>
      </c>
      <c r="N126" s="147">
        <f t="shared" si="9"/>
        <v>9.4</v>
      </c>
      <c r="O126" s="147">
        <f t="shared" si="9"/>
        <v>9.4</v>
      </c>
      <c r="P126" s="147">
        <f t="shared" si="9"/>
        <v>9.4</v>
      </c>
      <c r="Q126" s="147"/>
      <c r="S126" s="41">
        <f>'3. Verotulot'!D126*100/'Veroposentin tuotto'!C126</f>
        <v>65834.081241379303</v>
      </c>
      <c r="T126" s="41">
        <f>'3. Verotulot'!I126*100/'Veroposentin tuotto'!D126</f>
        <v>66367.816091954024</v>
      </c>
      <c r="U126" s="41">
        <f>'3. Verotulot'!N126*100/'Veroposentin tuotto'!E126</f>
        <v>68000</v>
      </c>
      <c r="V126" s="41">
        <f>'3. Verotulot'!S126*100/'Veroposentin tuotto'!F126</f>
        <v>63958.620689655174</v>
      </c>
      <c r="W126" s="41">
        <f>'3. Verotulot'!X126*100/'Veroposentin tuotto'!G126</f>
        <v>64704.545454545456</v>
      </c>
      <c r="X126" s="41">
        <f>'3. Verotulot'!AC126*100/'Veroposentin tuotto'!H126</f>
        <v>70050</v>
      </c>
      <c r="Y126" s="41">
        <f>'3. Verotulot'!AH126*100/'Veroposentin tuotto'!I126</f>
        <v>67024.62654545455</v>
      </c>
      <c r="Z126" s="41">
        <f>'3. Verotulot'!AM126*100/'Veroposentin tuotto'!J126</f>
        <v>72081.027772727277</v>
      </c>
      <c r="AA126" s="41">
        <f>'3. Verotulot'!AR126*100/'Veroposentin tuotto'!K126</f>
        <v>85845.307051282056</v>
      </c>
      <c r="AB126" s="41">
        <f>'3. Verotulot'!AW126*100/'Veroposentin tuotto'!L126</f>
        <v>81972.367680754425</v>
      </c>
      <c r="AC126" s="41">
        <f>'3. Verotulot'!BB126*100/'Veroposentin tuotto'!M126</f>
        <v>87066.712555487771</v>
      </c>
      <c r="AD126" s="41">
        <f>'3. Verotulot'!BG126*100/'Veroposentin tuotto'!N126</f>
        <v>90507.582272072468</v>
      </c>
      <c r="AE126" s="41">
        <f>'3. Verotulot'!BL126*100/'Veroposentin tuotto'!O126</f>
        <v>93513.176778630601</v>
      </c>
      <c r="AF126" s="41">
        <f>'3. Verotulot'!BQ126*100/'Veroposentin tuotto'!P126</f>
        <v>97041.57464907899</v>
      </c>
      <c r="AI126" s="41">
        <f>'3. Verotulot'!D126/'Veroposentin tuotto'!C126</f>
        <v>658.34081241379306</v>
      </c>
      <c r="AJ126" s="41">
        <f>'3. Verotulot'!I126/'Veroposentin tuotto'!D126</f>
        <v>663.67816091954023</v>
      </c>
      <c r="AK126" s="41">
        <f>'3. Verotulot'!N126/'Veroposentin tuotto'!E126</f>
        <v>680</v>
      </c>
      <c r="AL126" s="41">
        <f>'3. Verotulot'!S126/'Veroposentin tuotto'!F126</f>
        <v>639.58620689655174</v>
      </c>
      <c r="AM126" s="41">
        <f>'3. Verotulot'!X126/'Veroposentin tuotto'!G126</f>
        <v>647.0454545454545</v>
      </c>
      <c r="AN126" s="41">
        <f>'3. Verotulot'!AC126/'Veroposentin tuotto'!H126</f>
        <v>700.5</v>
      </c>
      <c r="AO126" s="41">
        <f>'3. Verotulot'!AH126/'Veroposentin tuotto'!I126</f>
        <v>670.24626545454544</v>
      </c>
      <c r="AP126" s="41">
        <f>'3. Verotulot'!AM126/'Veroposentin tuotto'!J126</f>
        <v>720.81027772727271</v>
      </c>
      <c r="AQ126" s="41">
        <f>'3. Verotulot'!AR126/'Veroposentin tuotto'!K126</f>
        <v>858.45307051282055</v>
      </c>
      <c r="AR126" s="41">
        <f>'3. Verotulot'!AW126/'Veroposentin tuotto'!L126</f>
        <v>819.72367680754439</v>
      </c>
      <c r="AS126" s="41">
        <f>'3. Verotulot'!BB126/'Veroposentin tuotto'!M126</f>
        <v>870.66712555487777</v>
      </c>
      <c r="AT126" s="41">
        <f>'3. Verotulot'!BG126/'Veroposentin tuotto'!N126</f>
        <v>905.07582272072466</v>
      </c>
      <c r="AU126" s="41">
        <f>'3. Verotulot'!BL126/'Veroposentin tuotto'!O126</f>
        <v>935.131767786306</v>
      </c>
      <c r="AV126" s="41">
        <f>'3. Verotulot'!BQ126/'Veroposentin tuotto'!P126</f>
        <v>970.41574649078996</v>
      </c>
      <c r="AX126" s="146"/>
      <c r="AZ126" s="34">
        <v>316</v>
      </c>
      <c r="BA126" s="88" t="s">
        <v>440</v>
      </c>
      <c r="BB126" s="41">
        <f>AI126/'1. Väestöennuste'!E126*1000</f>
        <v>142.99322598040683</v>
      </c>
      <c r="BC126" s="41">
        <f>AJ126/'1. Väestöennuste'!F126*1000</f>
        <v>146.18461694263002</v>
      </c>
      <c r="BD126" s="41">
        <f>AK126/'1. Väestöennuste'!G126*1000</f>
        <v>150.84294587400177</v>
      </c>
      <c r="BE126" s="41">
        <f>AL126/'1. Väestöennuste'!H126*1000</f>
        <v>143.69494650562834</v>
      </c>
      <c r="BF126" s="41">
        <f>AM126/'1. Väestöennuste'!I126*1000</f>
        <v>148.13311688311686</v>
      </c>
      <c r="BG126" s="41">
        <f>AN126/'1. Väestöennuste'!J126*1000</f>
        <v>161.92787794729543</v>
      </c>
      <c r="BH126" s="41">
        <f>AO126/'1. Väestöennuste'!K126*1000</f>
        <v>157.89075746867974</v>
      </c>
      <c r="BI126" s="41">
        <f>AP126/'1. Väestöennuste'!L126*1000</f>
        <v>171.70325815323315</v>
      </c>
      <c r="BJ126" s="41">
        <f>AQ126/'1. Väestöennuste'!M126*1000</f>
        <v>208.66627868566374</v>
      </c>
      <c r="BK126" s="41">
        <f>AR126/'1. Väestöennuste'!N126*1000</f>
        <v>198.43226260168103</v>
      </c>
      <c r="BL126" s="41">
        <f>AS126/'1. Väestöennuste'!O126*1000</f>
        <v>212.8250123575844</v>
      </c>
      <c r="BM126" s="41">
        <f>AT126/'1. Väestöennuste'!P126*1000</f>
        <v>223.19995628131312</v>
      </c>
      <c r="BN126" s="41">
        <f>AU126/'1. Väestöennuste'!Q126*1000</f>
        <v>232.3886102848673</v>
      </c>
      <c r="BO126" s="41">
        <f>AV126/'1. Väestöennuste'!R126*1000</f>
        <v>243.02923778882794</v>
      </c>
    </row>
    <row r="127" spans="1:67" x14ac:dyDescent="0.25">
      <c r="A127" s="30">
        <v>317</v>
      </c>
      <c r="B127" s="47" t="s">
        <v>441</v>
      </c>
      <c r="C127" s="47">
        <v>21.5</v>
      </c>
      <c r="D127" s="47">
        <v>21.5</v>
      </c>
      <c r="E127" s="47">
        <v>21.5</v>
      </c>
      <c r="F127" s="47">
        <v>21.5</v>
      </c>
      <c r="G127" s="47">
        <v>21.5</v>
      </c>
      <c r="H127" s="58">
        <v>21.5</v>
      </c>
      <c r="I127" s="139">
        <v>21.5</v>
      </c>
      <c r="J127" s="139">
        <v>21.5</v>
      </c>
      <c r="K127" s="139">
        <f t="shared" si="7"/>
        <v>8.86</v>
      </c>
      <c r="L127" s="139">
        <v>9.5</v>
      </c>
      <c r="M127" s="139">
        <f t="shared" si="9"/>
        <v>9.5</v>
      </c>
      <c r="N127" s="147">
        <f t="shared" si="9"/>
        <v>9.5</v>
      </c>
      <c r="O127" s="147">
        <f t="shared" si="9"/>
        <v>9.5</v>
      </c>
      <c r="P127" s="147">
        <f t="shared" si="9"/>
        <v>9.5</v>
      </c>
      <c r="Q127" s="147"/>
      <c r="S127" s="41">
        <f>'3. Verotulot'!D127*100/'Veroposentin tuotto'!C127</f>
        <v>28987.941860465115</v>
      </c>
      <c r="T127" s="41">
        <f>'3. Verotulot'!I127*100/'Veroposentin tuotto'!D127</f>
        <v>28209.302325581397</v>
      </c>
      <c r="U127" s="41">
        <f>'3. Verotulot'!N127*100/'Veroposentin tuotto'!E127</f>
        <v>26888.372093023256</v>
      </c>
      <c r="V127" s="41">
        <f>'3. Verotulot'!S127*100/'Veroposentin tuotto'!F127</f>
        <v>27232.558139534885</v>
      </c>
      <c r="W127" s="41">
        <f>'3. Verotulot'!X127*100/'Veroposentin tuotto'!G127</f>
        <v>29279.069767441859</v>
      </c>
      <c r="X127" s="41">
        <f>'3. Verotulot'!AC127*100/'Veroposentin tuotto'!H127</f>
        <v>26920.930232558141</v>
      </c>
      <c r="Y127" s="41">
        <f>'3. Verotulot'!AH127*100/'Veroposentin tuotto'!I127</f>
        <v>29363.934418604655</v>
      </c>
      <c r="Z127" s="41">
        <f>'3. Verotulot'!AM127*100/'Veroposentin tuotto'!J127</f>
        <v>31617.582186046511</v>
      </c>
      <c r="AA127" s="41">
        <f>'3. Verotulot'!AR127*100/'Veroposentin tuotto'!K127</f>
        <v>33183.064559819417</v>
      </c>
      <c r="AB127" s="41">
        <f>'3. Verotulot'!AW127*100/'Veroposentin tuotto'!L127</f>
        <v>35516.302492634619</v>
      </c>
      <c r="AC127" s="41">
        <f>'3. Verotulot'!BB127*100/'Veroposentin tuotto'!M127</f>
        <v>37674.997961590532</v>
      </c>
      <c r="AD127" s="41">
        <f>'3. Verotulot'!BG127*100/'Veroposentin tuotto'!N127</f>
        <v>39330.157586243382</v>
      </c>
      <c r="AE127" s="41">
        <f>'3. Verotulot'!BL127*100/'Veroposentin tuotto'!O127</f>
        <v>40543.383119447302</v>
      </c>
      <c r="AF127" s="41">
        <f>'3. Verotulot'!BQ127*100/'Veroposentin tuotto'!P127</f>
        <v>41787.696817042415</v>
      </c>
      <c r="AI127" s="41">
        <f>'3. Verotulot'!D127/'Veroposentin tuotto'!C127</f>
        <v>289.87941860465116</v>
      </c>
      <c r="AJ127" s="41">
        <f>'3. Verotulot'!I127/'Veroposentin tuotto'!D127</f>
        <v>282.09302325581393</v>
      </c>
      <c r="AK127" s="41">
        <f>'3. Verotulot'!N127/'Veroposentin tuotto'!E127</f>
        <v>268.88372093023258</v>
      </c>
      <c r="AL127" s="41">
        <f>'3. Verotulot'!S127/'Veroposentin tuotto'!F127</f>
        <v>272.32558139534882</v>
      </c>
      <c r="AM127" s="41">
        <f>'3. Verotulot'!X127/'Veroposentin tuotto'!G127</f>
        <v>292.7906976744186</v>
      </c>
      <c r="AN127" s="41">
        <f>'3. Verotulot'!AC127/'Veroposentin tuotto'!H127</f>
        <v>269.2093023255814</v>
      </c>
      <c r="AO127" s="41">
        <f>'3. Verotulot'!AH127/'Veroposentin tuotto'!I127</f>
        <v>293.63934418604657</v>
      </c>
      <c r="AP127" s="41">
        <f>'3. Verotulot'!AM127/'Veroposentin tuotto'!J127</f>
        <v>316.17582186046513</v>
      </c>
      <c r="AQ127" s="41">
        <f>'3. Verotulot'!AR127/'Veroposentin tuotto'!K127</f>
        <v>331.83064559819411</v>
      </c>
      <c r="AR127" s="41">
        <f>'3. Verotulot'!AW127/'Veroposentin tuotto'!L127</f>
        <v>355.16302492634617</v>
      </c>
      <c r="AS127" s="41">
        <f>'3. Verotulot'!BB127/'Veroposentin tuotto'!M127</f>
        <v>376.74997961590532</v>
      </c>
      <c r="AT127" s="41">
        <f>'3. Verotulot'!BG127/'Veroposentin tuotto'!N127</f>
        <v>393.30157586243382</v>
      </c>
      <c r="AU127" s="41">
        <f>'3. Verotulot'!BL127/'Veroposentin tuotto'!O127</f>
        <v>405.43383119447304</v>
      </c>
      <c r="AV127" s="41">
        <f>'3. Verotulot'!BQ127/'Veroposentin tuotto'!P127</f>
        <v>417.87696817042416</v>
      </c>
      <c r="AX127" s="146"/>
      <c r="AZ127" s="34">
        <v>317</v>
      </c>
      <c r="BA127" s="88" t="s">
        <v>441</v>
      </c>
      <c r="BB127" s="41">
        <f>AI127/'1. Väestöennuste'!E127*1000</f>
        <v>109.05922445622693</v>
      </c>
      <c r="BC127" s="41">
        <f>AJ127/'1. Väestöennuste'!F127*1000</f>
        <v>106.24972627337624</v>
      </c>
      <c r="BD127" s="41">
        <f>AK127/'1. Väestöennuste'!G127*1000</f>
        <v>102.98112636163638</v>
      </c>
      <c r="BE127" s="41">
        <f>AL127/'1. Väestöennuste'!H127*1000</f>
        <v>104.21951067560229</v>
      </c>
      <c r="BF127" s="41">
        <f>AM127/'1. Väestöennuste'!I127*1000</f>
        <v>113.66098512205691</v>
      </c>
      <c r="BG127" s="41">
        <f>AN127/'1. Väestöennuste'!J127*1000</f>
        <v>106.07143511646233</v>
      </c>
      <c r="BH127" s="41">
        <f>AO127/'1. Väestöennuste'!K127*1000</f>
        <v>115.92552079986048</v>
      </c>
      <c r="BI127" s="41">
        <f>AP127/'1. Väestöennuste'!L127*1000</f>
        <v>127.79944295087515</v>
      </c>
      <c r="BJ127" s="41">
        <f>AQ127/'1. Väestöennuste'!M127*1000</f>
        <v>135.99616622876809</v>
      </c>
      <c r="BK127" s="41">
        <f>AR127/'1. Väestöennuste'!N127*1000</f>
        <v>146.76158054807692</v>
      </c>
      <c r="BL127" s="41">
        <f>AS127/'1. Väestöennuste'!O127*1000</f>
        <v>157.37258964741241</v>
      </c>
      <c r="BM127" s="41">
        <f>AT127/'1. Väestöennuste'!P127*1000</f>
        <v>166.02008267726205</v>
      </c>
      <c r="BN127" s="41">
        <f>AU127/'1. Väestöennuste'!Q127*1000</f>
        <v>173.1883089254477</v>
      </c>
      <c r="BO127" s="41">
        <f>AV127/'1. Väestöennuste'!R127*1000</f>
        <v>180.43046984906053</v>
      </c>
    </row>
    <row r="128" spans="1:67" x14ac:dyDescent="0.25">
      <c r="A128" s="30">
        <v>320</v>
      </c>
      <c r="B128" s="47" t="s">
        <v>442</v>
      </c>
      <c r="C128" s="47">
        <v>20.5</v>
      </c>
      <c r="D128" s="47">
        <v>21</v>
      </c>
      <c r="E128" s="47">
        <v>21</v>
      </c>
      <c r="F128" s="47">
        <v>21.5</v>
      </c>
      <c r="G128" s="47">
        <v>21.5</v>
      </c>
      <c r="H128" s="58">
        <v>21.5</v>
      </c>
      <c r="I128" s="139">
        <v>21.5</v>
      </c>
      <c r="J128" s="139">
        <v>21.5</v>
      </c>
      <c r="K128" s="139">
        <f t="shared" si="7"/>
        <v>8.86</v>
      </c>
      <c r="L128" s="139">
        <v>8.9</v>
      </c>
      <c r="M128" s="139">
        <f t="shared" si="9"/>
        <v>8.9</v>
      </c>
      <c r="N128" s="147">
        <f t="shared" si="9"/>
        <v>8.9</v>
      </c>
      <c r="O128" s="147">
        <f t="shared" si="9"/>
        <v>8.9</v>
      </c>
      <c r="P128" s="147">
        <f t="shared" si="9"/>
        <v>8.9</v>
      </c>
      <c r="Q128" s="147"/>
      <c r="S128" s="41">
        <f>'3. Verotulot'!D128*100/'Veroposentin tuotto'!C128</f>
        <v>114039.09268292683</v>
      </c>
      <c r="T128" s="41">
        <f>'3. Verotulot'!I128*100/'Veroposentin tuotto'!D128</f>
        <v>112571.42857142857</v>
      </c>
      <c r="U128" s="41">
        <f>'3. Verotulot'!N128*100/'Veroposentin tuotto'!E128</f>
        <v>111971.42857142857</v>
      </c>
      <c r="V128" s="41">
        <f>'3. Verotulot'!S128*100/'Veroposentin tuotto'!F128</f>
        <v>110800</v>
      </c>
      <c r="W128" s="41">
        <f>'3. Verotulot'!X128*100/'Veroposentin tuotto'!G128</f>
        <v>105930.23255813954</v>
      </c>
      <c r="X128" s="41">
        <f>'3. Verotulot'!AC128*100/'Veroposentin tuotto'!H128</f>
        <v>112623.25581395348</v>
      </c>
      <c r="Y128" s="41">
        <f>'3. Verotulot'!AH128*100/'Veroposentin tuotto'!I128</f>
        <v>113238.11125581396</v>
      </c>
      <c r="Z128" s="41">
        <f>'3. Verotulot'!AM128*100/'Veroposentin tuotto'!J128</f>
        <v>113712.48660465116</v>
      </c>
      <c r="AA128" s="41">
        <f>'3. Verotulot'!AR128*100/'Veroposentin tuotto'!K128</f>
        <v>141094.13577878106</v>
      </c>
      <c r="AB128" s="41">
        <f>'3. Verotulot'!AW128*100/'Veroposentin tuotto'!L128</f>
        <v>133395.95097751234</v>
      </c>
      <c r="AC128" s="41">
        <f>'3. Verotulot'!BB128*100/'Veroposentin tuotto'!M128</f>
        <v>136459.22131645502</v>
      </c>
      <c r="AD128" s="41">
        <f>'3. Verotulot'!BG128*100/'Veroposentin tuotto'!N128</f>
        <v>139287.02211884173</v>
      </c>
      <c r="AE128" s="41">
        <f>'3. Verotulot'!BL128*100/'Veroposentin tuotto'!O128</f>
        <v>141789.06827475392</v>
      </c>
      <c r="AF128" s="41">
        <f>'3. Verotulot'!BQ128*100/'Veroposentin tuotto'!P128</f>
        <v>145166.03256567958</v>
      </c>
      <c r="AI128" s="41">
        <f>'3. Verotulot'!D128/'Veroposentin tuotto'!C128</f>
        <v>1140.3909268292682</v>
      </c>
      <c r="AJ128" s="41">
        <f>'3. Verotulot'!I128/'Veroposentin tuotto'!D128</f>
        <v>1125.7142857142858</v>
      </c>
      <c r="AK128" s="41">
        <f>'3. Verotulot'!N128/'Veroposentin tuotto'!E128</f>
        <v>1119.7142857142858</v>
      </c>
      <c r="AL128" s="41">
        <f>'3. Verotulot'!S128/'Veroposentin tuotto'!F128</f>
        <v>1108</v>
      </c>
      <c r="AM128" s="41">
        <f>'3. Verotulot'!X128/'Veroposentin tuotto'!G128</f>
        <v>1059.3023255813953</v>
      </c>
      <c r="AN128" s="41">
        <f>'3. Verotulot'!AC128/'Veroposentin tuotto'!H128</f>
        <v>1126.2325581395348</v>
      </c>
      <c r="AO128" s="41">
        <f>'3. Verotulot'!AH128/'Veroposentin tuotto'!I128</f>
        <v>1132.3811125581396</v>
      </c>
      <c r="AP128" s="41">
        <f>'3. Verotulot'!AM128/'Veroposentin tuotto'!J128</f>
        <v>1137.1248660465117</v>
      </c>
      <c r="AQ128" s="41">
        <f>'3. Verotulot'!AR128/'Veroposentin tuotto'!K128</f>
        <v>1410.9413577878106</v>
      </c>
      <c r="AR128" s="41">
        <f>'3. Verotulot'!AW128/'Veroposentin tuotto'!L128</f>
        <v>1333.9595097751235</v>
      </c>
      <c r="AS128" s="41">
        <f>'3. Verotulot'!BB128/'Veroposentin tuotto'!M128</f>
        <v>1364.59221316455</v>
      </c>
      <c r="AT128" s="41">
        <f>'3. Verotulot'!BG128/'Veroposentin tuotto'!N128</f>
        <v>1392.8702211884172</v>
      </c>
      <c r="AU128" s="41">
        <f>'3. Verotulot'!BL128/'Veroposentin tuotto'!O128</f>
        <v>1417.8906827475394</v>
      </c>
      <c r="AV128" s="41">
        <f>'3. Verotulot'!BQ128/'Veroposentin tuotto'!P128</f>
        <v>1451.660325656796</v>
      </c>
      <c r="AX128" s="146"/>
      <c r="AZ128" s="34">
        <v>320</v>
      </c>
      <c r="BA128" s="88" t="s">
        <v>442</v>
      </c>
      <c r="BB128" s="41">
        <f>AI128/'1. Väestöennuste'!E128*1000</f>
        <v>146.84405444621018</v>
      </c>
      <c r="BC128" s="41">
        <f>AJ128/'1. Väestöennuste'!F128*1000</f>
        <v>146.94090663285286</v>
      </c>
      <c r="BD128" s="41">
        <f>AK128/'1. Väestöennuste'!G128*1000</f>
        <v>148.6214873525731</v>
      </c>
      <c r="BE128" s="41">
        <f>AL128/'1. Väestöennuste'!H128*1000</f>
        <v>150.3392130257802</v>
      </c>
      <c r="BF128" s="41">
        <f>AM128/'1. Väestöennuste'!I128*1000</f>
        <v>145.62858476510795</v>
      </c>
      <c r="BG128" s="41">
        <f>AN128/'1. Väestöennuste'!J128*1000</f>
        <v>156.6169598302788</v>
      </c>
      <c r="BH128" s="41">
        <f>AO128/'1. Väestöennuste'!K128*1000</f>
        <v>159.37805947334829</v>
      </c>
      <c r="BI128" s="41">
        <f>AP128/'1. Väestöennuste'!L128*1000</f>
        <v>162.5392890289468</v>
      </c>
      <c r="BJ128" s="41">
        <f>AQ128/'1. Väestöennuste'!M128*1000</f>
        <v>200.70289584463876</v>
      </c>
      <c r="BK128" s="41">
        <f>AR128/'1. Väestöennuste'!N128*1000</f>
        <v>197.82878685675865</v>
      </c>
      <c r="BL128" s="41">
        <f>AS128/'1. Väestöennuste'!O128*1000</f>
        <v>205.17098378658096</v>
      </c>
      <c r="BM128" s="41">
        <f>AT128/'1. Väestöennuste'!P128*1000</f>
        <v>212.32777762018554</v>
      </c>
      <c r="BN128" s="41">
        <f>AU128/'1. Väestöennuste'!Q128*1000</f>
        <v>218.97925602278602</v>
      </c>
      <c r="BO128" s="41">
        <f>AV128/'1. Väestöennuste'!R128*1000</f>
        <v>226.99926906282971</v>
      </c>
    </row>
    <row r="129" spans="1:67" x14ac:dyDescent="0.25">
      <c r="A129" s="30">
        <v>322</v>
      </c>
      <c r="B129" s="47" t="s">
        <v>443</v>
      </c>
      <c r="C129" s="47">
        <v>19.75</v>
      </c>
      <c r="D129" s="47">
        <v>19.75</v>
      </c>
      <c r="E129" s="47">
        <v>19.75</v>
      </c>
      <c r="F129" s="47">
        <v>19.75</v>
      </c>
      <c r="G129" s="47">
        <v>19.75</v>
      </c>
      <c r="H129" s="58">
        <v>19.75</v>
      </c>
      <c r="I129" s="139">
        <v>19.749999999999996</v>
      </c>
      <c r="J129" s="139">
        <v>19.749999999999996</v>
      </c>
      <c r="K129" s="139">
        <f t="shared" si="7"/>
        <v>7.1099999999999959</v>
      </c>
      <c r="L129" s="139">
        <v>7.1</v>
      </c>
      <c r="M129" s="139">
        <f t="shared" si="9"/>
        <v>7.1</v>
      </c>
      <c r="N129" s="147">
        <f t="shared" si="9"/>
        <v>7.1</v>
      </c>
      <c r="O129" s="147">
        <f t="shared" si="9"/>
        <v>7.1</v>
      </c>
      <c r="P129" s="147">
        <f t="shared" si="9"/>
        <v>7.1</v>
      </c>
      <c r="Q129" s="147"/>
      <c r="S129" s="41">
        <f>'3. Verotulot'!D129*100/'Veroposentin tuotto'!C129</f>
        <v>95527.012253164561</v>
      </c>
      <c r="T129" s="41">
        <f>'3. Verotulot'!I129*100/'Veroposentin tuotto'!D129</f>
        <v>93716.455696202538</v>
      </c>
      <c r="U129" s="41">
        <f>'3. Verotulot'!N129*100/'Veroposentin tuotto'!E129</f>
        <v>96982.278481012661</v>
      </c>
      <c r="V129" s="41">
        <f>'3. Verotulot'!S129*100/'Veroposentin tuotto'!F129</f>
        <v>90293.670886075954</v>
      </c>
      <c r="W129" s="41">
        <f>'3. Verotulot'!X129*100/'Veroposentin tuotto'!G129</f>
        <v>92349.3670886076</v>
      </c>
      <c r="X129" s="41">
        <f>'3. Verotulot'!AC129*100/'Veroposentin tuotto'!H129</f>
        <v>96172.151898734184</v>
      </c>
      <c r="Y129" s="41">
        <f>'3. Verotulot'!AH129*100/'Veroposentin tuotto'!I129</f>
        <v>96941.504911392418</v>
      </c>
      <c r="Z129" s="41">
        <f>'3. Verotulot'!AM129*100/'Veroposentin tuotto'!J129</f>
        <v>106238.74460759497</v>
      </c>
      <c r="AA129" s="41">
        <f>'3. Verotulot'!AR129*100/'Veroposentin tuotto'!K129</f>
        <v>131464.30084388191</v>
      </c>
      <c r="AB129" s="41">
        <f>'3. Verotulot'!AW129*100/'Veroposentin tuotto'!L129</f>
        <v>122355.86077689508</v>
      </c>
      <c r="AC129" s="41">
        <f>'3. Verotulot'!BB129*100/'Veroposentin tuotto'!M129</f>
        <v>129126.87965071117</v>
      </c>
      <c r="AD129" s="41">
        <f>'3. Verotulot'!BG129*100/'Veroposentin tuotto'!N129</f>
        <v>133765.61228429721</v>
      </c>
      <c r="AE129" s="41">
        <f>'3. Verotulot'!BL129*100/'Veroposentin tuotto'!O129</f>
        <v>138126.00945693732</v>
      </c>
      <c r="AF129" s="41">
        <f>'3. Verotulot'!BQ129*100/'Veroposentin tuotto'!P129</f>
        <v>143099.73788845105</v>
      </c>
      <c r="AI129" s="41">
        <f>'3. Verotulot'!D129/'Veroposentin tuotto'!C129</f>
        <v>955.2701225316456</v>
      </c>
      <c r="AJ129" s="41">
        <f>'3. Verotulot'!I129/'Veroposentin tuotto'!D129</f>
        <v>937.16455696202536</v>
      </c>
      <c r="AK129" s="41">
        <f>'3. Verotulot'!N129/'Veroposentin tuotto'!E129</f>
        <v>969.82278481012656</v>
      </c>
      <c r="AL129" s="41">
        <f>'3. Verotulot'!S129/'Veroposentin tuotto'!F129</f>
        <v>902.9367088607595</v>
      </c>
      <c r="AM129" s="41">
        <f>'3. Verotulot'!X129/'Veroposentin tuotto'!G129</f>
        <v>923.49367088607596</v>
      </c>
      <c r="AN129" s="41">
        <f>'3. Verotulot'!AC129/'Veroposentin tuotto'!H129</f>
        <v>961.72151898734182</v>
      </c>
      <c r="AO129" s="41">
        <f>'3. Verotulot'!AH129/'Veroposentin tuotto'!I129</f>
        <v>969.41504911392417</v>
      </c>
      <c r="AP129" s="41">
        <f>'3. Verotulot'!AM129/'Veroposentin tuotto'!J129</f>
        <v>1062.3874460759496</v>
      </c>
      <c r="AQ129" s="41">
        <f>'3. Verotulot'!AR129/'Veroposentin tuotto'!K129</f>
        <v>1314.6430084388192</v>
      </c>
      <c r="AR129" s="41">
        <f>'3. Verotulot'!AW129/'Veroposentin tuotto'!L129</f>
        <v>1223.5586077689507</v>
      </c>
      <c r="AS129" s="41">
        <f>'3. Verotulot'!BB129/'Veroposentin tuotto'!M129</f>
        <v>1291.2687965071116</v>
      </c>
      <c r="AT129" s="41">
        <f>'3. Verotulot'!BG129/'Veroposentin tuotto'!N129</f>
        <v>1337.6561228429721</v>
      </c>
      <c r="AU129" s="41">
        <f>'3. Verotulot'!BL129/'Veroposentin tuotto'!O129</f>
        <v>1381.2600945693732</v>
      </c>
      <c r="AV129" s="41">
        <f>'3. Verotulot'!BQ129/'Veroposentin tuotto'!P129</f>
        <v>1430.9973788845105</v>
      </c>
      <c r="AX129" s="146"/>
      <c r="AZ129" s="34">
        <v>322</v>
      </c>
      <c r="BA129" s="88" t="s">
        <v>443</v>
      </c>
      <c r="BB129" s="41">
        <f>AI129/'1. Väestöennuste'!E129*1000</f>
        <v>138.26460016379298</v>
      </c>
      <c r="BC129" s="41">
        <f>AJ129/'1. Väestöennuste'!F129*1000</f>
        <v>136.37435345780347</v>
      </c>
      <c r="BD129" s="41">
        <f>AK129/'1. Väestöennuste'!G129*1000</f>
        <v>142.76796478877176</v>
      </c>
      <c r="BE129" s="41">
        <f>AL129/'1. Väestöennuste'!H129*1000</f>
        <v>134.2856497413384</v>
      </c>
      <c r="BF129" s="41">
        <f>AM129/'1. Väestöennuste'!I129*1000</f>
        <v>139.08037212139698</v>
      </c>
      <c r="BG129" s="41">
        <f>AN129/'1. Väestöennuste'!J129*1000</f>
        <v>145.51694946093838</v>
      </c>
      <c r="BH129" s="41">
        <f>AO129/'1. Väestöennuste'!K129*1000</f>
        <v>146.57016164407682</v>
      </c>
      <c r="BI129" s="41">
        <f>AP129/'1. Väestöennuste'!L129*1000</f>
        <v>162.22132326705599</v>
      </c>
      <c r="BJ129" s="41">
        <f>AQ129/'1. Väestöennuste'!M129*1000</f>
        <v>203.44212448759194</v>
      </c>
      <c r="BK129" s="41">
        <f>AR129/'1. Väestöennuste'!N129*1000</f>
        <v>192.23230287022005</v>
      </c>
      <c r="BL129" s="41">
        <f>AS129/'1. Väestöennuste'!O129*1000</f>
        <v>204.31468299163157</v>
      </c>
      <c r="BM129" s="41">
        <f>AT129/'1. Väestöennuste'!P129*1000</f>
        <v>213.07042415466265</v>
      </c>
      <c r="BN129" s="41">
        <f>AU129/'1. Väestöennuste'!Q129*1000</f>
        <v>221.42675449973922</v>
      </c>
      <c r="BO129" s="41">
        <f>AV129/'1. Väestöennuste'!R129*1000</f>
        <v>230.80602885234038</v>
      </c>
    </row>
    <row r="130" spans="1:67" x14ac:dyDescent="0.25">
      <c r="A130" s="30">
        <v>398</v>
      </c>
      <c r="B130" s="47" t="s">
        <v>444</v>
      </c>
      <c r="C130" s="47">
        <v>20.25</v>
      </c>
      <c r="D130" s="47">
        <v>20.25</v>
      </c>
      <c r="E130" s="47">
        <v>20.25</v>
      </c>
      <c r="F130" s="47">
        <v>20.75</v>
      </c>
      <c r="G130" s="47">
        <v>20.75</v>
      </c>
      <c r="H130" s="58">
        <v>20.75</v>
      </c>
      <c r="I130" s="139">
        <v>20.75</v>
      </c>
      <c r="J130" s="139">
        <v>20.75</v>
      </c>
      <c r="K130" s="139">
        <f t="shared" si="7"/>
        <v>8.11</v>
      </c>
      <c r="L130" s="139">
        <v>8.1</v>
      </c>
      <c r="M130" s="139">
        <f t="shared" si="9"/>
        <v>8.1</v>
      </c>
      <c r="N130" s="147">
        <f t="shared" si="9"/>
        <v>8.1</v>
      </c>
      <c r="O130" s="147">
        <f t="shared" si="9"/>
        <v>8.1</v>
      </c>
      <c r="P130" s="147">
        <f t="shared" si="9"/>
        <v>8.1</v>
      </c>
      <c r="Q130" s="147"/>
      <c r="S130" s="41">
        <f>'3. Verotulot'!D130*100/'Veroposentin tuotto'!C130</f>
        <v>1663441.9011851854</v>
      </c>
      <c r="T130" s="41">
        <f>'3. Verotulot'!I130*100/'Veroposentin tuotto'!D130</f>
        <v>1928404.9382716049</v>
      </c>
      <c r="U130" s="41">
        <f>'3. Verotulot'!N130*100/'Veroposentin tuotto'!E130</f>
        <v>1926839.5061728396</v>
      </c>
      <c r="V130" s="41">
        <f>'3. Verotulot'!S130*100/'Veroposentin tuotto'!F130</f>
        <v>1912019.2771084337</v>
      </c>
      <c r="W130" s="41">
        <f>'3. Verotulot'!X130*100/'Veroposentin tuotto'!G130</f>
        <v>1946202.4096385543</v>
      </c>
      <c r="X130" s="41">
        <f>'3. Verotulot'!AC130*100/'Veroposentin tuotto'!H130</f>
        <v>2093171.0843373493</v>
      </c>
      <c r="Y130" s="41">
        <f>'3. Verotulot'!AH130*100/'Veroposentin tuotto'!I130</f>
        <v>2079947.5873253013</v>
      </c>
      <c r="Z130" s="41">
        <f>'3. Verotulot'!AM130*100/'Veroposentin tuotto'!J130</f>
        <v>2180613.2604337349</v>
      </c>
      <c r="AA130" s="41">
        <f>'3. Verotulot'!AR130*100/'Veroposentin tuotto'!K130</f>
        <v>2779079.8313193591</v>
      </c>
      <c r="AB130" s="41">
        <f>'3. Verotulot'!AW130*100/'Veroposentin tuotto'!L130</f>
        <v>2609526.8596270834</v>
      </c>
      <c r="AC130" s="41">
        <f>'3. Verotulot'!BB130*100/'Veroposentin tuotto'!M130</f>
        <v>2757986.0782809379</v>
      </c>
      <c r="AD130" s="41">
        <f>'3. Verotulot'!BG130*100/'Veroposentin tuotto'!N130</f>
        <v>2886416.585751093</v>
      </c>
      <c r="AE130" s="41">
        <f>'3. Verotulot'!BL130*100/'Veroposentin tuotto'!O130</f>
        <v>3002884.8885514792</v>
      </c>
      <c r="AF130" s="41">
        <f>'3. Verotulot'!BQ130*100/'Veroposentin tuotto'!P130</f>
        <v>3133879.3817935358</v>
      </c>
      <c r="AI130" s="41">
        <f>'3. Verotulot'!D130/'Veroposentin tuotto'!C130</f>
        <v>16634.419011851853</v>
      </c>
      <c r="AJ130" s="41">
        <f>'3. Verotulot'!I130/'Veroposentin tuotto'!D130</f>
        <v>19284.04938271605</v>
      </c>
      <c r="AK130" s="41">
        <f>'3. Verotulot'!N130/'Veroposentin tuotto'!E130</f>
        <v>19268.395061728395</v>
      </c>
      <c r="AL130" s="41">
        <f>'3. Verotulot'!S130/'Veroposentin tuotto'!F130</f>
        <v>19120.192771084337</v>
      </c>
      <c r="AM130" s="41">
        <f>'3. Verotulot'!X130/'Veroposentin tuotto'!G130</f>
        <v>19462.024096385543</v>
      </c>
      <c r="AN130" s="41">
        <f>'3. Verotulot'!AC130/'Veroposentin tuotto'!H130</f>
        <v>20931.710843373494</v>
      </c>
      <c r="AO130" s="41">
        <f>'3. Verotulot'!AH130/'Veroposentin tuotto'!I130</f>
        <v>20799.47587325301</v>
      </c>
      <c r="AP130" s="41">
        <f>'3. Verotulot'!AM130/'Veroposentin tuotto'!J130</f>
        <v>21806.132604337352</v>
      </c>
      <c r="AQ130" s="41">
        <f>'3. Verotulot'!AR130/'Veroposentin tuotto'!K130</f>
        <v>27790.798313193591</v>
      </c>
      <c r="AR130" s="41">
        <f>'3. Verotulot'!AW130/'Veroposentin tuotto'!L130</f>
        <v>26095.268596270835</v>
      </c>
      <c r="AS130" s="41">
        <f>'3. Verotulot'!BB130/'Veroposentin tuotto'!M130</f>
        <v>27579.860782809377</v>
      </c>
      <c r="AT130" s="41">
        <f>'3. Verotulot'!BG130/'Veroposentin tuotto'!N130</f>
        <v>28864.165857510932</v>
      </c>
      <c r="AU130" s="41">
        <f>'3. Verotulot'!BL130/'Veroposentin tuotto'!O130</f>
        <v>30028.848885514792</v>
      </c>
      <c r="AV130" s="41">
        <f>'3. Verotulot'!BQ130/'Veroposentin tuotto'!P130</f>
        <v>31338.793817935359</v>
      </c>
      <c r="AX130" s="146"/>
      <c r="AZ130" s="34">
        <v>398</v>
      </c>
      <c r="BA130" s="88" t="s">
        <v>444</v>
      </c>
      <c r="BB130" s="41">
        <f>AI130/'1. Väestöennuste'!E130*1000</f>
        <v>140.08757578848312</v>
      </c>
      <c r="BC130" s="41">
        <f>AJ130/'1. Väestöennuste'!F130*1000</f>
        <v>161.43764342761989</v>
      </c>
      <c r="BD130" s="41">
        <f>AK130/'1. Väestöennuste'!G130*1000</f>
        <v>161.14336063934496</v>
      </c>
      <c r="BE130" s="41">
        <f>AL130/'1. Väestöennuste'!H130*1000</f>
        <v>159.40002810384522</v>
      </c>
      <c r="BF130" s="41">
        <f>AM130/'1. Väestöennuste'!I130*1000</f>
        <v>162.42310822117241</v>
      </c>
      <c r="BG130" s="41">
        <f>AN130/'1. Väestöennuste'!J130*1000</f>
        <v>174.45418425267948</v>
      </c>
      <c r="BH130" s="41">
        <f>AO130/'1. Väestöennuste'!K130*1000</f>
        <v>173.28997536598439</v>
      </c>
      <c r="BI130" s="41">
        <f>AP130/'1. Väestöennuste'!L130*1000</f>
        <v>181.45315252204995</v>
      </c>
      <c r="BJ130" s="41">
        <f>AQ130/'1. Väestöennuste'!M130*1000</f>
        <v>230.26023309714392</v>
      </c>
      <c r="BK130" s="41">
        <f>AR130/'1. Väestöennuste'!N130*1000</f>
        <v>216.02758863100462</v>
      </c>
      <c r="BL130" s="41">
        <f>AS130/'1. Väestöennuste'!O130*1000</f>
        <v>228.11749005648687</v>
      </c>
      <c r="BM130" s="41">
        <f>AT130/'1. Väestöennuste'!P130*1000</f>
        <v>238.61190124175133</v>
      </c>
      <c r="BN130" s="41">
        <f>AU130/'1. Väestöennuste'!Q130*1000</f>
        <v>248.1784580238749</v>
      </c>
      <c r="BO130" s="41">
        <f>AV130/'1. Väestöennuste'!R130*1000</f>
        <v>259.01542100250725</v>
      </c>
    </row>
    <row r="131" spans="1:67" x14ac:dyDescent="0.25">
      <c r="A131" s="30">
        <v>399</v>
      </c>
      <c r="B131" s="47" t="s">
        <v>445</v>
      </c>
      <c r="C131" s="47">
        <v>21.5</v>
      </c>
      <c r="D131" s="47">
        <v>21.5</v>
      </c>
      <c r="E131" s="47">
        <v>21.75</v>
      </c>
      <c r="F131" s="47">
        <v>21.75</v>
      </c>
      <c r="G131" s="47">
        <v>21.75</v>
      </c>
      <c r="H131" s="58">
        <v>21.75</v>
      </c>
      <c r="I131" s="139">
        <v>21.75</v>
      </c>
      <c r="J131" s="139">
        <v>21.75</v>
      </c>
      <c r="K131" s="139">
        <f t="shared" si="7"/>
        <v>9.11</v>
      </c>
      <c r="L131" s="139">
        <v>9.6</v>
      </c>
      <c r="M131" s="139">
        <f t="shared" si="9"/>
        <v>9.6</v>
      </c>
      <c r="N131" s="147">
        <f t="shared" si="9"/>
        <v>9.6</v>
      </c>
      <c r="O131" s="147">
        <f t="shared" si="9"/>
        <v>9.6</v>
      </c>
      <c r="P131" s="147">
        <f t="shared" si="9"/>
        <v>9.6</v>
      </c>
      <c r="Q131" s="147"/>
      <c r="S131" s="41">
        <f>'3. Verotulot'!D131*100/'Veroposentin tuotto'!C131</f>
        <v>127387.09367441862</v>
      </c>
      <c r="T131" s="41">
        <f>'3. Verotulot'!I131*100/'Veroposentin tuotto'!D131</f>
        <v>125832.55813953489</v>
      </c>
      <c r="U131" s="41">
        <f>'3. Verotulot'!N131*100/'Veroposentin tuotto'!E131</f>
        <v>127172.41379310345</v>
      </c>
      <c r="V131" s="41">
        <f>'3. Verotulot'!S131*100/'Veroposentin tuotto'!F131</f>
        <v>123866.66666666667</v>
      </c>
      <c r="W131" s="41">
        <f>'3. Verotulot'!X131*100/'Veroposentin tuotto'!G131</f>
        <v>130133.33333333333</v>
      </c>
      <c r="X131" s="41">
        <f>'3. Verotulot'!AC131*100/'Veroposentin tuotto'!H131</f>
        <v>132832.18390804599</v>
      </c>
      <c r="Y131" s="41">
        <f>'3. Verotulot'!AH131*100/'Veroposentin tuotto'!I131</f>
        <v>137570.13668965519</v>
      </c>
      <c r="Z131" s="41">
        <f>'3. Verotulot'!AM131*100/'Veroposentin tuotto'!J131</f>
        <v>145140.35126436781</v>
      </c>
      <c r="AA131" s="41">
        <f>'3. Verotulot'!AR131*100/'Veroposentin tuotto'!K131</f>
        <v>179913.5019758507</v>
      </c>
      <c r="AB131" s="41">
        <f>'3. Verotulot'!AW131*100/'Veroposentin tuotto'!L131</f>
        <v>166563.0357589983</v>
      </c>
      <c r="AC131" s="41">
        <f>'3. Verotulot'!BB131*100/'Veroposentin tuotto'!M131</f>
        <v>179195.6792313082</v>
      </c>
      <c r="AD131" s="41">
        <f>'3. Verotulot'!BG131*100/'Veroposentin tuotto'!N131</f>
        <v>187498.79010676459</v>
      </c>
      <c r="AE131" s="41">
        <f>'3. Verotulot'!BL131*100/'Veroposentin tuotto'!O131</f>
        <v>193571.28520175899</v>
      </c>
      <c r="AF131" s="41">
        <f>'3. Verotulot'!BQ131*100/'Veroposentin tuotto'!P131</f>
        <v>200097.79371605301</v>
      </c>
      <c r="AI131" s="41">
        <f>'3. Verotulot'!D131/'Veroposentin tuotto'!C131</f>
        <v>1273.8709367441861</v>
      </c>
      <c r="AJ131" s="41">
        <f>'3. Verotulot'!I131/'Veroposentin tuotto'!D131</f>
        <v>1258.3255813953488</v>
      </c>
      <c r="AK131" s="41">
        <f>'3. Verotulot'!N131/'Veroposentin tuotto'!E131</f>
        <v>1271.7241379310344</v>
      </c>
      <c r="AL131" s="41">
        <f>'3. Verotulot'!S131/'Veroposentin tuotto'!F131</f>
        <v>1238.6666666666667</v>
      </c>
      <c r="AM131" s="41">
        <f>'3. Verotulot'!X131/'Veroposentin tuotto'!G131</f>
        <v>1301.3333333333333</v>
      </c>
      <c r="AN131" s="41">
        <f>'3. Verotulot'!AC131/'Veroposentin tuotto'!H131</f>
        <v>1328.3218390804598</v>
      </c>
      <c r="AO131" s="41">
        <f>'3. Verotulot'!AH131/'Veroposentin tuotto'!I131</f>
        <v>1375.7013668965517</v>
      </c>
      <c r="AP131" s="41">
        <f>'3. Verotulot'!AM131/'Veroposentin tuotto'!J131</f>
        <v>1451.4035126436781</v>
      </c>
      <c r="AQ131" s="41">
        <f>'3. Verotulot'!AR131/'Veroposentin tuotto'!K131</f>
        <v>1799.135019758507</v>
      </c>
      <c r="AR131" s="41">
        <f>'3. Verotulot'!AW131/'Veroposentin tuotto'!L131</f>
        <v>1665.6303575899833</v>
      </c>
      <c r="AS131" s="41">
        <f>'3. Verotulot'!BB131/'Veroposentin tuotto'!M131</f>
        <v>1791.9567923130819</v>
      </c>
      <c r="AT131" s="41">
        <f>'3. Verotulot'!BG131/'Veroposentin tuotto'!N131</f>
        <v>1874.9879010676459</v>
      </c>
      <c r="AU131" s="41">
        <f>'3. Verotulot'!BL131/'Veroposentin tuotto'!O131</f>
        <v>1935.7128520175897</v>
      </c>
      <c r="AV131" s="41">
        <f>'3. Verotulot'!BQ131/'Veroposentin tuotto'!P131</f>
        <v>2000.9779371605302</v>
      </c>
      <c r="AX131" s="146"/>
      <c r="AZ131" s="34">
        <v>399</v>
      </c>
      <c r="BA131" s="88" t="s">
        <v>445</v>
      </c>
      <c r="BB131" s="41">
        <f>AI131/'1. Väestöennuste'!E131*1000</f>
        <v>157.4624149251157</v>
      </c>
      <c r="BC131" s="41">
        <f>AJ131/'1. Väestöennuste'!F131*1000</f>
        <v>154.60444543498573</v>
      </c>
      <c r="BD131" s="41">
        <f>AK131/'1. Väestöennuste'!G131*1000</f>
        <v>157.9585316024139</v>
      </c>
      <c r="BE131" s="41">
        <f>AL131/'1. Väestöennuste'!H131*1000</f>
        <v>153.71887151485066</v>
      </c>
      <c r="BF131" s="41">
        <f>AM131/'1. Väestöennuste'!I131*1000</f>
        <v>162.32173298407548</v>
      </c>
      <c r="BG131" s="41">
        <f>AN131/'1. Väestöennuste'!J131*1000</f>
        <v>166.12329153082288</v>
      </c>
      <c r="BH131" s="41">
        <f>AO131/'1. Väestöennuste'!K131*1000</f>
        <v>173.78743897126728</v>
      </c>
      <c r="BI131" s="41">
        <f>AP131/'1. Väestöennuste'!L131*1000</f>
        <v>185.67270214195702</v>
      </c>
      <c r="BJ131" s="41">
        <f>AQ131/'1. Väestöennuste'!M131*1000</f>
        <v>234.20138242105011</v>
      </c>
      <c r="BK131" s="41">
        <f>AR131/'1. Väestöennuste'!N131*1000</f>
        <v>211.18680836693082</v>
      </c>
      <c r="BL131" s="41">
        <f>AS131/'1. Väestöennuste'!O131*1000</f>
        <v>228.21660625484995</v>
      </c>
      <c r="BM131" s="41">
        <f>AT131/'1. Väestöennuste'!P131*1000</f>
        <v>239.89098017753912</v>
      </c>
      <c r="BN131" s="41">
        <f>AU131/'1. Väestöennuste'!Q131*1000</f>
        <v>248.93426594876411</v>
      </c>
      <c r="BO131" s="41">
        <f>AV131/'1. Väestöennuste'!R131*1000</f>
        <v>258.85872408286292</v>
      </c>
    </row>
    <row r="132" spans="1:67" x14ac:dyDescent="0.25">
      <c r="A132" s="30">
        <v>400</v>
      </c>
      <c r="B132" s="47" t="s">
        <v>446</v>
      </c>
      <c r="C132" s="47">
        <v>20.75</v>
      </c>
      <c r="D132" s="47">
        <v>20.75</v>
      </c>
      <c r="E132" s="47">
        <v>20.75</v>
      </c>
      <c r="F132" s="47">
        <v>20.5</v>
      </c>
      <c r="G132" s="47">
        <v>20.75</v>
      </c>
      <c r="H132" s="58">
        <v>20.75</v>
      </c>
      <c r="I132" s="139">
        <v>20.75</v>
      </c>
      <c r="J132" s="139">
        <v>20.75</v>
      </c>
      <c r="K132" s="139">
        <f t="shared" si="7"/>
        <v>8.11</v>
      </c>
      <c r="L132" s="139">
        <v>8.1</v>
      </c>
      <c r="M132" s="139">
        <f t="shared" si="9"/>
        <v>8.1</v>
      </c>
      <c r="N132" s="147">
        <f t="shared" si="9"/>
        <v>8.1</v>
      </c>
      <c r="O132" s="147">
        <f t="shared" si="9"/>
        <v>8.1</v>
      </c>
      <c r="P132" s="147">
        <f t="shared" si="9"/>
        <v>8.1</v>
      </c>
      <c r="Q132" s="147"/>
      <c r="S132" s="41">
        <f>'3. Verotulot'!D132*100/'Veroposentin tuotto'!C132</f>
        <v>121467.92173493977</v>
      </c>
      <c r="T132" s="41">
        <f>'3. Verotulot'!I132*100/'Veroposentin tuotto'!D132</f>
        <v>120375.90361445783</v>
      </c>
      <c r="U132" s="41">
        <f>'3. Verotulot'!N132*100/'Veroposentin tuotto'!E132</f>
        <v>121021.68674698795</v>
      </c>
      <c r="V132" s="41">
        <f>'3. Verotulot'!S132*100/'Veroposentin tuotto'!F132</f>
        <v>121926.82926829268</v>
      </c>
      <c r="W132" s="41">
        <f>'3. Verotulot'!X132*100/'Veroposentin tuotto'!G132</f>
        <v>126809.63855421687</v>
      </c>
      <c r="X132" s="41">
        <f>'3. Verotulot'!AC132*100/'Veroposentin tuotto'!H132</f>
        <v>130154.21686746988</v>
      </c>
      <c r="Y132" s="41">
        <f>'3. Verotulot'!AH132*100/'Veroposentin tuotto'!I132</f>
        <v>128670.19277108433</v>
      </c>
      <c r="Z132" s="41">
        <f>'3. Verotulot'!AM132*100/'Veroposentin tuotto'!J132</f>
        <v>133605.25773493978</v>
      </c>
      <c r="AA132" s="41">
        <f>'3. Verotulot'!AR132*100/'Veroposentin tuotto'!K132</f>
        <v>171685.53822441434</v>
      </c>
      <c r="AB132" s="41">
        <f>'3. Verotulot'!AW132*100/'Veroposentin tuotto'!L132</f>
        <v>166538.69452698858</v>
      </c>
      <c r="AC132" s="41">
        <f>'3. Verotulot'!BB132*100/'Veroposentin tuotto'!M132</f>
        <v>175836.90251716753</v>
      </c>
      <c r="AD132" s="41">
        <f>'3. Verotulot'!BG132*100/'Veroposentin tuotto'!N132</f>
        <v>184644.19071339301</v>
      </c>
      <c r="AE132" s="41">
        <f>'3. Verotulot'!BL132*100/'Veroposentin tuotto'!O132</f>
        <v>191532.10556757983</v>
      </c>
      <c r="AF132" s="41">
        <f>'3. Verotulot'!BQ132*100/'Veroposentin tuotto'!P132</f>
        <v>199111.06774426936</v>
      </c>
      <c r="AI132" s="41">
        <f>'3. Verotulot'!D132/'Veroposentin tuotto'!C132</f>
        <v>1214.6792173493977</v>
      </c>
      <c r="AJ132" s="41">
        <f>'3. Verotulot'!I132/'Veroposentin tuotto'!D132</f>
        <v>1203.7590361445782</v>
      </c>
      <c r="AK132" s="41">
        <f>'3. Verotulot'!N132/'Veroposentin tuotto'!E132</f>
        <v>1210.2168674698796</v>
      </c>
      <c r="AL132" s="41">
        <f>'3. Verotulot'!S132/'Veroposentin tuotto'!F132</f>
        <v>1219.2682926829268</v>
      </c>
      <c r="AM132" s="41">
        <f>'3. Verotulot'!X132/'Veroposentin tuotto'!G132</f>
        <v>1268.0963855421687</v>
      </c>
      <c r="AN132" s="41">
        <f>'3. Verotulot'!AC132/'Veroposentin tuotto'!H132</f>
        <v>1301.5421686746988</v>
      </c>
      <c r="AO132" s="41">
        <f>'3. Verotulot'!AH132/'Veroposentin tuotto'!I132</f>
        <v>1286.7019277108434</v>
      </c>
      <c r="AP132" s="41">
        <f>'3. Verotulot'!AM132/'Veroposentin tuotto'!J132</f>
        <v>1336.0525773493976</v>
      </c>
      <c r="AQ132" s="41">
        <f>'3. Verotulot'!AR132/'Veroposentin tuotto'!K132</f>
        <v>1716.8553822441431</v>
      </c>
      <c r="AR132" s="41">
        <f>'3. Verotulot'!AW132/'Veroposentin tuotto'!L132</f>
        <v>1665.3869452698859</v>
      </c>
      <c r="AS132" s="41">
        <f>'3. Verotulot'!BB132/'Veroposentin tuotto'!M132</f>
        <v>1758.3690251716753</v>
      </c>
      <c r="AT132" s="41">
        <f>'3. Verotulot'!BG132/'Veroposentin tuotto'!N132</f>
        <v>1846.44190713393</v>
      </c>
      <c r="AU132" s="41">
        <f>'3. Verotulot'!BL132/'Veroposentin tuotto'!O132</f>
        <v>1915.3210556757981</v>
      </c>
      <c r="AV132" s="41">
        <f>'3. Verotulot'!BQ132/'Veroposentin tuotto'!P132</f>
        <v>1991.1106774426935</v>
      </c>
      <c r="AX132" s="146"/>
      <c r="AZ132" s="34">
        <v>400</v>
      </c>
      <c r="BA132" s="88" t="s">
        <v>446</v>
      </c>
      <c r="BB132" s="41">
        <f>AI132/'1. Väestöennuste'!E132*1000</f>
        <v>142.56798325697156</v>
      </c>
      <c r="BC132" s="41">
        <f>AJ132/'1. Väestöennuste'!F132*1000</f>
        <v>141.28627184795519</v>
      </c>
      <c r="BD132" s="41">
        <f>AK132/'1. Väestöennuste'!G132*1000</f>
        <v>140.55945034493374</v>
      </c>
      <c r="BE132" s="41">
        <f>AL132/'1. Väestöennuste'!H132*1000</f>
        <v>141.0047753767696</v>
      </c>
      <c r="BF132" s="41">
        <f>AM132/'1. Väestöennuste'!I132*1000</f>
        <v>147.65910404543183</v>
      </c>
      <c r="BG132" s="41">
        <f>AN132/'1. Väestöennuste'!J132*1000</f>
        <v>153.70124807211843</v>
      </c>
      <c r="BH132" s="41">
        <f>AO132/'1. Väestöennuste'!K132*1000</f>
        <v>152.16437177280551</v>
      </c>
      <c r="BI132" s="41">
        <f>AP132/'1. Väestöennuste'!L132*1000</f>
        <v>159.70028416798917</v>
      </c>
      <c r="BJ132" s="41">
        <f>AQ132/'1. Väestöennuste'!M132*1000</f>
        <v>203.39478524394542</v>
      </c>
      <c r="BK132" s="41">
        <f>AR132/'1. Väestöennuste'!N132*1000</f>
        <v>198.78096744687107</v>
      </c>
      <c r="BL132" s="41">
        <f>AS132/'1. Väestöennuste'!O132*1000</f>
        <v>210.55790027202434</v>
      </c>
      <c r="BM132" s="41">
        <f>AT132/'1. Väestöennuste'!P132*1000</f>
        <v>221.82146890124099</v>
      </c>
      <c r="BN132" s="41">
        <f>AU132/'1. Väestöennuste'!Q132*1000</f>
        <v>230.92850924473092</v>
      </c>
      <c r="BO132" s="41">
        <f>AV132/'1. Väestöennuste'!R132*1000</f>
        <v>240.90873290292723</v>
      </c>
    </row>
    <row r="133" spans="1:67" x14ac:dyDescent="0.25">
      <c r="A133" s="30">
        <v>402</v>
      </c>
      <c r="B133" s="47" t="s">
        <v>447</v>
      </c>
      <c r="C133" s="47">
        <v>20.25</v>
      </c>
      <c r="D133" s="47">
        <v>20.25</v>
      </c>
      <c r="E133" s="47">
        <v>20.25</v>
      </c>
      <c r="F133" s="47">
        <v>21.25</v>
      </c>
      <c r="G133" s="47">
        <v>21.25</v>
      </c>
      <c r="H133" s="58">
        <v>21.25</v>
      </c>
      <c r="I133" s="139">
        <v>21.25</v>
      </c>
      <c r="J133" s="139">
        <v>21.25</v>
      </c>
      <c r="K133" s="139">
        <f t="shared" si="7"/>
        <v>8.61</v>
      </c>
      <c r="L133" s="139">
        <v>9.4</v>
      </c>
      <c r="M133" s="139">
        <f t="shared" si="9"/>
        <v>9.4</v>
      </c>
      <c r="N133" s="147">
        <f t="shared" si="9"/>
        <v>9.4</v>
      </c>
      <c r="O133" s="147">
        <f t="shared" si="9"/>
        <v>9.4</v>
      </c>
      <c r="P133" s="147">
        <f t="shared" si="9"/>
        <v>9.4</v>
      </c>
      <c r="Q133" s="147"/>
      <c r="S133" s="41">
        <f>'3. Verotulot'!D133*100/'Veroposentin tuotto'!C133</f>
        <v>127531.38083950619</v>
      </c>
      <c r="T133" s="41">
        <f>'3. Verotulot'!I133*100/'Veroposentin tuotto'!D133</f>
        <v>124938.27160493827</v>
      </c>
      <c r="U133" s="41">
        <f>'3. Verotulot'!N133*100/'Veroposentin tuotto'!E133</f>
        <v>125491.35802469136</v>
      </c>
      <c r="V133" s="41">
        <f>'3. Verotulot'!S133*100/'Veroposentin tuotto'!F133</f>
        <v>119571.76470588235</v>
      </c>
      <c r="W133" s="41">
        <f>'3. Verotulot'!X133*100/'Veroposentin tuotto'!G133</f>
        <v>123774.11764705883</v>
      </c>
      <c r="X133" s="41">
        <f>'3. Verotulot'!AC133*100/'Veroposentin tuotto'!H133</f>
        <v>126489.41176470589</v>
      </c>
      <c r="Y133" s="41">
        <f>'3. Verotulot'!AH133*100/'Veroposentin tuotto'!I133</f>
        <v>129950.61976470587</v>
      </c>
      <c r="Z133" s="41">
        <f>'3. Verotulot'!AM133*100/'Veroposentin tuotto'!J133</f>
        <v>132193.60432941178</v>
      </c>
      <c r="AA133" s="41">
        <f>'3. Verotulot'!AR133*100/'Veroposentin tuotto'!K133</f>
        <v>162602.69059233449</v>
      </c>
      <c r="AB133" s="41">
        <f>'3. Verotulot'!AW133*100/'Veroposentin tuotto'!L133</f>
        <v>155217.38571670096</v>
      </c>
      <c r="AC133" s="41">
        <f>'3. Verotulot'!BB133*100/'Veroposentin tuotto'!M133</f>
        <v>164521.42925042065</v>
      </c>
      <c r="AD133" s="41">
        <f>'3. Verotulot'!BG133*100/'Veroposentin tuotto'!N133</f>
        <v>171135.55730177261</v>
      </c>
      <c r="AE133" s="41">
        <f>'3. Verotulot'!BL133*100/'Veroposentin tuotto'!O133</f>
        <v>176041.03288912607</v>
      </c>
      <c r="AF133" s="41">
        <f>'3. Verotulot'!BQ133*100/'Veroposentin tuotto'!P133</f>
        <v>181722.45064615092</v>
      </c>
      <c r="AI133" s="41">
        <f>'3. Verotulot'!D133/'Veroposentin tuotto'!C133</f>
        <v>1275.3138083950619</v>
      </c>
      <c r="AJ133" s="41">
        <f>'3. Verotulot'!I133/'Veroposentin tuotto'!D133</f>
        <v>1249.3827160493827</v>
      </c>
      <c r="AK133" s="41">
        <f>'3. Verotulot'!N133/'Veroposentin tuotto'!E133</f>
        <v>1254.9135802469136</v>
      </c>
      <c r="AL133" s="41">
        <f>'3. Verotulot'!S133/'Veroposentin tuotto'!F133</f>
        <v>1195.7176470588236</v>
      </c>
      <c r="AM133" s="41">
        <f>'3. Verotulot'!X133/'Veroposentin tuotto'!G133</f>
        <v>1237.7411764705882</v>
      </c>
      <c r="AN133" s="41">
        <f>'3. Verotulot'!AC133/'Veroposentin tuotto'!H133</f>
        <v>1264.8941176470589</v>
      </c>
      <c r="AO133" s="41">
        <f>'3. Verotulot'!AH133/'Veroposentin tuotto'!I133</f>
        <v>1299.5061976470588</v>
      </c>
      <c r="AP133" s="41">
        <f>'3. Verotulot'!AM133/'Veroposentin tuotto'!J133</f>
        <v>1321.9360432941178</v>
      </c>
      <c r="AQ133" s="41">
        <f>'3. Verotulot'!AR133/'Veroposentin tuotto'!K133</f>
        <v>1626.0269059233451</v>
      </c>
      <c r="AR133" s="41">
        <f>'3. Verotulot'!AW133/'Veroposentin tuotto'!L133</f>
        <v>1552.1738571670098</v>
      </c>
      <c r="AS133" s="41">
        <f>'3. Verotulot'!BB133/'Veroposentin tuotto'!M133</f>
        <v>1645.2142925042065</v>
      </c>
      <c r="AT133" s="41">
        <f>'3. Verotulot'!BG133/'Veroposentin tuotto'!N133</f>
        <v>1711.3555730177261</v>
      </c>
      <c r="AU133" s="41">
        <f>'3. Verotulot'!BL133/'Veroposentin tuotto'!O133</f>
        <v>1760.4103288912606</v>
      </c>
      <c r="AV133" s="41">
        <f>'3. Verotulot'!BQ133/'Veroposentin tuotto'!P133</f>
        <v>1817.2245064615092</v>
      </c>
      <c r="AX133" s="146"/>
      <c r="AZ133" s="34">
        <v>402</v>
      </c>
      <c r="BA133" s="88" t="s">
        <v>447</v>
      </c>
      <c r="BB133" s="41">
        <f>AI133/'1. Väestöennuste'!E133*1000</f>
        <v>127.76135127179542</v>
      </c>
      <c r="BC133" s="41">
        <f>AJ133/'1. Väestöennuste'!F133*1000</f>
        <v>126.43014734359268</v>
      </c>
      <c r="BD133" s="41">
        <f>AK133/'1. Väestöennuste'!G133*1000</f>
        <v>129.47932111503442</v>
      </c>
      <c r="BE133" s="41">
        <f>AL133/'1. Väestöennuste'!H133*1000</f>
        <v>124.33374722458392</v>
      </c>
      <c r="BF133" s="41">
        <f>AM133/'1. Väestöennuste'!I133*1000</f>
        <v>130.49458897950325</v>
      </c>
      <c r="BG133" s="41">
        <f>AN133/'1. Väestöennuste'!J133*1000</f>
        <v>135.16714230039099</v>
      </c>
      <c r="BH133" s="41">
        <f>AO133/'1. Väestöennuste'!K133*1000</f>
        <v>140.53273468660743</v>
      </c>
      <c r="BI133" s="41">
        <f>AP133/'1. Väestöennuste'!L133*1000</f>
        <v>145.28366230290337</v>
      </c>
      <c r="BJ133" s="41">
        <f>AQ133/'1. Väestöennuste'!M133*1000</f>
        <v>181.17291430900781</v>
      </c>
      <c r="BK133" s="41">
        <f>AR133/'1. Väestöennuste'!N133*1000</f>
        <v>173.66008695088496</v>
      </c>
      <c r="BL133" s="41">
        <f>AS133/'1. Väestöennuste'!O133*1000</f>
        <v>186.11021408418625</v>
      </c>
      <c r="BM133" s="41">
        <f>AT133/'1. Väestöennuste'!P133*1000</f>
        <v>195.71770048235661</v>
      </c>
      <c r="BN133" s="41">
        <f>AU133/'1. Väestöennuste'!Q133*1000</f>
        <v>203.46860019547628</v>
      </c>
      <c r="BO133" s="41">
        <f>AV133/'1. Väestöennuste'!R133*1000</f>
        <v>212.29258253055013</v>
      </c>
    </row>
    <row r="134" spans="1:67" x14ac:dyDescent="0.25">
      <c r="A134" s="30">
        <v>403</v>
      </c>
      <c r="B134" s="47" t="s">
        <v>448</v>
      </c>
      <c r="C134" s="47">
        <v>21</v>
      </c>
      <c r="D134" s="47">
        <v>21</v>
      </c>
      <c r="E134" s="47">
        <v>21</v>
      </c>
      <c r="F134" s="47">
        <v>21</v>
      </c>
      <c r="G134" s="47">
        <v>21.5</v>
      </c>
      <c r="H134" s="58">
        <v>21.5</v>
      </c>
      <c r="I134" s="139">
        <v>22</v>
      </c>
      <c r="J134" s="139">
        <v>22</v>
      </c>
      <c r="K134" s="139">
        <f t="shared" si="7"/>
        <v>9.36</v>
      </c>
      <c r="L134" s="139">
        <v>9.4</v>
      </c>
      <c r="M134" s="139">
        <f t="shared" si="9"/>
        <v>9.4</v>
      </c>
      <c r="N134" s="147">
        <f t="shared" si="9"/>
        <v>9.4</v>
      </c>
      <c r="O134" s="147">
        <f t="shared" si="9"/>
        <v>9.4</v>
      </c>
      <c r="P134" s="147">
        <f t="shared" si="9"/>
        <v>9.4</v>
      </c>
      <c r="Q134" s="147"/>
      <c r="S134" s="41">
        <f>'3. Verotulot'!D134*100/'Veroposentin tuotto'!C134</f>
        <v>39317.799523809525</v>
      </c>
      <c r="T134" s="41">
        <f>'3. Verotulot'!I134*100/'Veroposentin tuotto'!D134</f>
        <v>40114.285714285717</v>
      </c>
      <c r="U134" s="41">
        <f>'3. Verotulot'!N134*100/'Veroposentin tuotto'!E134</f>
        <v>38276.190476190473</v>
      </c>
      <c r="V134" s="41">
        <f>'3. Verotulot'!S134*100/'Veroposentin tuotto'!F134</f>
        <v>35866.666666666664</v>
      </c>
      <c r="W134" s="41">
        <f>'3. Verotulot'!X134*100/'Veroposentin tuotto'!G134</f>
        <v>37395.348837209305</v>
      </c>
      <c r="X134" s="41">
        <f>'3. Verotulot'!AC134*100/'Veroposentin tuotto'!H134</f>
        <v>37786.046511627908</v>
      </c>
      <c r="Y134" s="41">
        <f>'3. Verotulot'!AH134*100/'Veroposentin tuotto'!I134</f>
        <v>39047.315136363643</v>
      </c>
      <c r="Z134" s="41">
        <f>'3. Verotulot'!AM134*100/'Veroposentin tuotto'!J134</f>
        <v>37247.912909090905</v>
      </c>
      <c r="AA134" s="41">
        <f>'3. Verotulot'!AR134*100/'Veroposentin tuotto'!K134</f>
        <v>46222.617414529923</v>
      </c>
      <c r="AB134" s="41">
        <f>'3. Verotulot'!AW134*100/'Veroposentin tuotto'!L134</f>
        <v>44031.393906697929</v>
      </c>
      <c r="AC134" s="41">
        <f>'3. Verotulot'!BB134*100/'Veroposentin tuotto'!M134</f>
        <v>45490.994688137944</v>
      </c>
      <c r="AD134" s="41">
        <f>'3. Verotulot'!BG134*100/'Veroposentin tuotto'!N134</f>
        <v>46516.810252364136</v>
      </c>
      <c r="AE134" s="41">
        <f>'3. Verotulot'!BL134*100/'Veroposentin tuotto'!O134</f>
        <v>47174.006736963354</v>
      </c>
      <c r="AF134" s="41">
        <f>'3. Verotulot'!BQ134*100/'Veroposentin tuotto'!P134</f>
        <v>48094.886407552214</v>
      </c>
      <c r="AI134" s="41">
        <f>'3. Verotulot'!D134/'Veroposentin tuotto'!C134</f>
        <v>393.17799523809526</v>
      </c>
      <c r="AJ134" s="41">
        <f>'3. Verotulot'!I134/'Veroposentin tuotto'!D134</f>
        <v>401.14285714285717</v>
      </c>
      <c r="AK134" s="41">
        <f>'3. Verotulot'!N134/'Veroposentin tuotto'!E134</f>
        <v>382.76190476190476</v>
      </c>
      <c r="AL134" s="41">
        <f>'3. Verotulot'!S134/'Veroposentin tuotto'!F134</f>
        <v>358.66666666666669</v>
      </c>
      <c r="AM134" s="41">
        <f>'3. Verotulot'!X134/'Veroposentin tuotto'!G134</f>
        <v>373.95348837209303</v>
      </c>
      <c r="AN134" s="41">
        <f>'3. Verotulot'!AC134/'Veroposentin tuotto'!H134</f>
        <v>377.86046511627904</v>
      </c>
      <c r="AO134" s="41">
        <f>'3. Verotulot'!AH134/'Veroposentin tuotto'!I134</f>
        <v>390.47315136363636</v>
      </c>
      <c r="AP134" s="41">
        <f>'3. Verotulot'!AM134/'Veroposentin tuotto'!J134</f>
        <v>372.47912909090905</v>
      </c>
      <c r="AQ134" s="41">
        <f>'3. Verotulot'!AR134/'Veroposentin tuotto'!K134</f>
        <v>462.22617414529918</v>
      </c>
      <c r="AR134" s="41">
        <f>'3. Verotulot'!AW134/'Veroposentin tuotto'!L134</f>
        <v>440.31393906697929</v>
      </c>
      <c r="AS134" s="41">
        <f>'3. Verotulot'!BB134/'Veroposentin tuotto'!M134</f>
        <v>454.90994688137948</v>
      </c>
      <c r="AT134" s="41">
        <f>'3. Verotulot'!BG134/'Veroposentin tuotto'!N134</f>
        <v>465.16810252364138</v>
      </c>
      <c r="AU134" s="41">
        <f>'3. Verotulot'!BL134/'Veroposentin tuotto'!O134</f>
        <v>471.74006736963349</v>
      </c>
      <c r="AV134" s="41">
        <f>'3. Verotulot'!BQ134/'Veroposentin tuotto'!P134</f>
        <v>480.94886407552212</v>
      </c>
      <c r="AX134" s="146"/>
      <c r="AZ134" s="34">
        <v>403</v>
      </c>
      <c r="BA134" s="88" t="s">
        <v>448</v>
      </c>
      <c r="BB134" s="41">
        <f>AI134/'1. Väestöennuste'!E134*1000</f>
        <v>122.29486632600162</v>
      </c>
      <c r="BC134" s="41">
        <f>AJ134/'1. Väestöennuste'!F134*1000</f>
        <v>126.30442605253688</v>
      </c>
      <c r="BD134" s="41">
        <f>AK134/'1. Väestöennuste'!G134*1000</f>
        <v>121.89869578404611</v>
      </c>
      <c r="BE134" s="41">
        <f>AL134/'1. Väestöennuste'!H134*1000</f>
        <v>116.52588260775396</v>
      </c>
      <c r="BF134" s="41">
        <f>AM134/'1. Väestöennuste'!I134*1000</f>
        <v>124.81758623901636</v>
      </c>
      <c r="BG134" s="41">
        <f>AN134/'1. Väestöennuste'!J134*1000</f>
        <v>129.18306499701848</v>
      </c>
      <c r="BH134" s="41">
        <f>AO134/'1. Väestöennuste'!K134*1000</f>
        <v>136.24324890566515</v>
      </c>
      <c r="BI134" s="41">
        <f>AP134/'1. Väestöennuste'!L134*1000</f>
        <v>132.08479754996773</v>
      </c>
      <c r="BJ134" s="41">
        <f>AQ134/'1. Väestöennuste'!M134*1000</f>
        <v>165.73186595385414</v>
      </c>
      <c r="BK134" s="41">
        <f>AR134/'1. Väestöennuste'!N134*1000</f>
        <v>162.41753562042763</v>
      </c>
      <c r="BL134" s="41">
        <f>AS134/'1. Väestöennuste'!O134*1000</f>
        <v>170.76199207258992</v>
      </c>
      <c r="BM134" s="41">
        <f>AT134/'1. Väestöennuste'!P134*1000</f>
        <v>177.68071142996234</v>
      </c>
      <c r="BN134" s="41">
        <f>AU134/'1. Väestöennuste'!Q134*1000</f>
        <v>183.20002616296446</v>
      </c>
      <c r="BO134" s="41">
        <f>AV134/'1. Väestöennuste'!R134*1000</f>
        <v>190.09836524724193</v>
      </c>
    </row>
    <row r="135" spans="1:67" x14ac:dyDescent="0.25">
      <c r="A135" s="30">
        <v>405</v>
      </c>
      <c r="B135" s="47" t="s">
        <v>449</v>
      </c>
      <c r="C135" s="47">
        <v>21</v>
      </c>
      <c r="D135" s="47">
        <v>21</v>
      </c>
      <c r="E135" s="47">
        <v>21</v>
      </c>
      <c r="F135" s="47">
        <v>21</v>
      </c>
      <c r="G135" s="47">
        <v>21</v>
      </c>
      <c r="H135" s="58">
        <v>21</v>
      </c>
      <c r="I135" s="139">
        <v>21</v>
      </c>
      <c r="J135" s="139">
        <v>21</v>
      </c>
      <c r="K135" s="139">
        <f t="shared" si="7"/>
        <v>8.36</v>
      </c>
      <c r="L135" s="139">
        <v>8.3000000000000007</v>
      </c>
      <c r="M135" s="139">
        <f t="shared" ref="M135:P154" si="10">L135</f>
        <v>8.3000000000000007</v>
      </c>
      <c r="N135" s="147">
        <f t="shared" si="10"/>
        <v>8.3000000000000007</v>
      </c>
      <c r="O135" s="147">
        <f t="shared" si="10"/>
        <v>8.3000000000000007</v>
      </c>
      <c r="P135" s="147">
        <f t="shared" si="10"/>
        <v>8.3000000000000007</v>
      </c>
      <c r="Q135" s="147"/>
      <c r="S135" s="41">
        <f>'3. Verotulot'!D135*100/'Veroposentin tuotto'!C135</f>
        <v>1189459.3333333333</v>
      </c>
      <c r="T135" s="41">
        <f>'3. Verotulot'!I135*100/'Veroposentin tuotto'!D135</f>
        <v>1191076.1904761905</v>
      </c>
      <c r="U135" s="41">
        <f>'3. Verotulot'!N135*100/'Veroposentin tuotto'!E135</f>
        <v>1164580.9523809524</v>
      </c>
      <c r="V135" s="41">
        <f>'3. Verotulot'!S135*100/'Veroposentin tuotto'!F135</f>
        <v>1160033.3333333333</v>
      </c>
      <c r="W135" s="41">
        <f>'3. Verotulot'!X135*100/'Veroposentin tuotto'!G135</f>
        <v>1180738.0952380951</v>
      </c>
      <c r="X135" s="41">
        <f>'3. Verotulot'!AC135*100/'Veroposentin tuotto'!H135</f>
        <v>1215561.9047619049</v>
      </c>
      <c r="Y135" s="41">
        <f>'3. Verotulot'!AH135*100/'Veroposentin tuotto'!I135</f>
        <v>1277371.760952381</v>
      </c>
      <c r="Z135" s="41">
        <f>'3. Verotulot'!AM135*100/'Veroposentin tuotto'!J135</f>
        <v>1288661.5410952379</v>
      </c>
      <c r="AA135" s="41">
        <f>'3. Verotulot'!AR135*100/'Veroposentin tuotto'!K135</f>
        <v>1637565.9601674643</v>
      </c>
      <c r="AB135" s="41">
        <f>'3. Verotulot'!AW135*100/'Veroposentin tuotto'!L135</f>
        <v>1552567.8715244459</v>
      </c>
      <c r="AC135" s="41">
        <f>'3. Verotulot'!BB135*100/'Veroposentin tuotto'!M135</f>
        <v>1637356.5913904516</v>
      </c>
      <c r="AD135" s="41">
        <f>'3. Verotulot'!BG135*100/'Veroposentin tuotto'!N135</f>
        <v>1713537.7617055245</v>
      </c>
      <c r="AE135" s="41">
        <f>'3. Verotulot'!BL135*100/'Veroposentin tuotto'!O135</f>
        <v>1778561.0865566409</v>
      </c>
      <c r="AF135" s="41">
        <f>'3. Verotulot'!BQ135*100/'Veroposentin tuotto'!P135</f>
        <v>1852187.8746156872</v>
      </c>
      <c r="AI135" s="41">
        <f>'3. Verotulot'!D135/'Veroposentin tuotto'!C135</f>
        <v>11894.593333333332</v>
      </c>
      <c r="AJ135" s="41">
        <f>'3. Verotulot'!I135/'Veroposentin tuotto'!D135</f>
        <v>11910.761904761905</v>
      </c>
      <c r="AK135" s="41">
        <f>'3. Verotulot'!N135/'Veroposentin tuotto'!E135</f>
        <v>11645.809523809523</v>
      </c>
      <c r="AL135" s="41">
        <f>'3. Verotulot'!S135/'Veroposentin tuotto'!F135</f>
        <v>11600.333333333334</v>
      </c>
      <c r="AM135" s="41">
        <f>'3. Verotulot'!X135/'Veroposentin tuotto'!G135</f>
        <v>11807.380952380952</v>
      </c>
      <c r="AN135" s="41">
        <f>'3. Verotulot'!AC135/'Veroposentin tuotto'!H135</f>
        <v>12155.619047619048</v>
      </c>
      <c r="AO135" s="41">
        <f>'3. Verotulot'!AH135/'Veroposentin tuotto'!I135</f>
        <v>12773.71760952381</v>
      </c>
      <c r="AP135" s="41">
        <f>'3. Verotulot'!AM135/'Veroposentin tuotto'!J135</f>
        <v>12886.61541095238</v>
      </c>
      <c r="AQ135" s="41">
        <f>'3. Verotulot'!AR135/'Veroposentin tuotto'!K135</f>
        <v>16375.659601674644</v>
      </c>
      <c r="AR135" s="41">
        <f>'3. Verotulot'!AW135/'Veroposentin tuotto'!L135</f>
        <v>15525.678715244459</v>
      </c>
      <c r="AS135" s="41">
        <f>'3. Verotulot'!BB135/'Veroposentin tuotto'!M135</f>
        <v>16373.565913904516</v>
      </c>
      <c r="AT135" s="41">
        <f>'3. Verotulot'!BG135/'Veroposentin tuotto'!N135</f>
        <v>17135.377617055245</v>
      </c>
      <c r="AU135" s="41">
        <f>'3. Verotulot'!BL135/'Veroposentin tuotto'!O135</f>
        <v>17785.61086556641</v>
      </c>
      <c r="AV135" s="41">
        <f>'3. Verotulot'!BQ135/'Veroposentin tuotto'!P135</f>
        <v>18521.878746156872</v>
      </c>
      <c r="AX135" s="146"/>
      <c r="AZ135" s="34">
        <v>405</v>
      </c>
      <c r="BA135" s="88" t="s">
        <v>449</v>
      </c>
      <c r="BB135" s="41">
        <f>AI135/'1. Väestöennuste'!E135*1000</f>
        <v>163.21911949685534</v>
      </c>
      <c r="BC135" s="41">
        <f>AJ135/'1. Väestöennuste'!F135*1000</f>
        <v>163.44771523715426</v>
      </c>
      <c r="BD135" s="41">
        <f>AK135/'1. Väestöennuste'!G135*1000</f>
        <v>159.73075373149436</v>
      </c>
      <c r="BE135" s="41">
        <f>AL135/'1. Väestöennuste'!H135*1000</f>
        <v>159.56661485485819</v>
      </c>
      <c r="BF135" s="41">
        <f>AM135/'1. Väestöennuste'!I135*1000</f>
        <v>162.55997125837695</v>
      </c>
      <c r="BG135" s="41">
        <f>AN135/'1. Väestöennuste'!J135*1000</f>
        <v>167.28990459413515</v>
      </c>
      <c r="BH135" s="41">
        <f>AO135/'1. Väestöennuste'!K135*1000</f>
        <v>175.86416291989715</v>
      </c>
      <c r="BI135" s="41">
        <f>AP135/'1. Väestöennuste'!L135*1000</f>
        <v>177.37942754235897</v>
      </c>
      <c r="BJ135" s="41">
        <f>AQ135/'1. Väestöennuste'!M135*1000</f>
        <v>224.36098539040177</v>
      </c>
      <c r="BK135" s="41">
        <f>AR135/'1. Väestöennuste'!N135*1000</f>
        <v>214.04691200325999</v>
      </c>
      <c r="BL135" s="41">
        <f>AS135/'1. Väestöennuste'!O135*1000</f>
        <v>225.94825040576981</v>
      </c>
      <c r="BM135" s="41">
        <f>AT135/'1. Väestöennuste'!P135*1000</f>
        <v>236.71899121465518</v>
      </c>
      <c r="BN135" s="41">
        <f>AU135/'1. Väestöennuste'!Q135*1000</f>
        <v>245.98037294193222</v>
      </c>
      <c r="BO135" s="41">
        <f>AV135/'1. Väestöennuste'!R135*1000</f>
        <v>256.47532777818066</v>
      </c>
    </row>
    <row r="136" spans="1:67" x14ac:dyDescent="0.25">
      <c r="A136" s="30">
        <v>407</v>
      </c>
      <c r="B136" s="47" t="s">
        <v>450</v>
      </c>
      <c r="C136" s="47">
        <v>20.5</v>
      </c>
      <c r="D136" s="47">
        <v>20.5</v>
      </c>
      <c r="E136" s="47">
        <v>20.5</v>
      </c>
      <c r="F136" s="47">
        <v>20.5</v>
      </c>
      <c r="G136" s="47">
        <v>20.5</v>
      </c>
      <c r="H136" s="58">
        <v>21</v>
      </c>
      <c r="I136" s="139">
        <v>21.5</v>
      </c>
      <c r="J136" s="139">
        <v>21.5</v>
      </c>
      <c r="K136" s="139">
        <f t="shared" si="7"/>
        <v>8.86</v>
      </c>
      <c r="L136" s="139">
        <v>8.9</v>
      </c>
      <c r="M136" s="139">
        <f t="shared" si="10"/>
        <v>8.9</v>
      </c>
      <c r="N136" s="147">
        <f t="shared" si="10"/>
        <v>8.9</v>
      </c>
      <c r="O136" s="147">
        <f t="shared" si="10"/>
        <v>8.9</v>
      </c>
      <c r="P136" s="147">
        <f t="shared" si="10"/>
        <v>8.9</v>
      </c>
      <c r="Q136" s="147"/>
      <c r="S136" s="41">
        <f>'3. Verotulot'!D136*100/'Veroposentin tuotto'!C136</f>
        <v>38311.668097560978</v>
      </c>
      <c r="T136" s="41">
        <f>'3. Verotulot'!I136*100/'Veroposentin tuotto'!D136</f>
        <v>36834.146341463413</v>
      </c>
      <c r="U136" s="41">
        <f>'3. Verotulot'!N136*100/'Veroposentin tuotto'!E136</f>
        <v>37048.780487804877</v>
      </c>
      <c r="V136" s="41">
        <f>'3. Verotulot'!S136*100/'Veroposentin tuotto'!F136</f>
        <v>35912.195121951219</v>
      </c>
      <c r="W136" s="41">
        <f>'3. Verotulot'!X136*100/'Veroposentin tuotto'!G136</f>
        <v>37453.658536585368</v>
      </c>
      <c r="X136" s="41">
        <f>'3. Verotulot'!AC136*100/'Veroposentin tuotto'!H136</f>
        <v>36333.333333333336</v>
      </c>
      <c r="Y136" s="41">
        <f>'3. Verotulot'!AH136*100/'Veroposentin tuotto'!I136</f>
        <v>37170.176093023263</v>
      </c>
      <c r="Z136" s="41">
        <f>'3. Verotulot'!AM136*100/'Veroposentin tuotto'!J136</f>
        <v>39176.625255813953</v>
      </c>
      <c r="AA136" s="41">
        <f>'3. Verotulot'!AR136*100/'Veroposentin tuotto'!K136</f>
        <v>46909.006094808123</v>
      </c>
      <c r="AB136" s="41">
        <f>'3. Verotulot'!AW136*100/'Veroposentin tuotto'!L136</f>
        <v>44524.864403940126</v>
      </c>
      <c r="AC136" s="41">
        <f>'3. Verotulot'!BB136*100/'Veroposentin tuotto'!M136</f>
        <v>48032.301933059847</v>
      </c>
      <c r="AD136" s="41">
        <f>'3. Verotulot'!BG136*100/'Veroposentin tuotto'!N136</f>
        <v>50134.217970803213</v>
      </c>
      <c r="AE136" s="41">
        <f>'3. Verotulot'!BL136*100/'Veroposentin tuotto'!O136</f>
        <v>52002.721419139016</v>
      </c>
      <c r="AF136" s="41">
        <f>'3. Verotulot'!BQ136*100/'Veroposentin tuotto'!P136</f>
        <v>54068.831234119854</v>
      </c>
      <c r="AI136" s="41">
        <f>'3. Verotulot'!D136/'Veroposentin tuotto'!C136</f>
        <v>383.11668097560977</v>
      </c>
      <c r="AJ136" s="41">
        <f>'3. Verotulot'!I136/'Veroposentin tuotto'!D136</f>
        <v>368.34146341463412</v>
      </c>
      <c r="AK136" s="41">
        <f>'3. Verotulot'!N136/'Veroposentin tuotto'!E136</f>
        <v>370.48780487804879</v>
      </c>
      <c r="AL136" s="41">
        <f>'3. Verotulot'!S136/'Veroposentin tuotto'!F136</f>
        <v>359.1219512195122</v>
      </c>
      <c r="AM136" s="41">
        <f>'3. Verotulot'!X136/'Veroposentin tuotto'!G136</f>
        <v>374.53658536585368</v>
      </c>
      <c r="AN136" s="41">
        <f>'3. Verotulot'!AC136/'Veroposentin tuotto'!H136</f>
        <v>363.33333333333331</v>
      </c>
      <c r="AO136" s="41">
        <f>'3. Verotulot'!AH136/'Veroposentin tuotto'!I136</f>
        <v>371.70176093023258</v>
      </c>
      <c r="AP136" s="41">
        <f>'3. Verotulot'!AM136/'Veroposentin tuotto'!J136</f>
        <v>391.76625255813957</v>
      </c>
      <c r="AQ136" s="41">
        <f>'3. Verotulot'!AR136/'Veroposentin tuotto'!K136</f>
        <v>469.09006094808126</v>
      </c>
      <c r="AR136" s="41">
        <f>'3. Verotulot'!AW136/'Veroposentin tuotto'!L136</f>
        <v>445.24864403940131</v>
      </c>
      <c r="AS136" s="41">
        <f>'3. Verotulot'!BB136/'Veroposentin tuotto'!M136</f>
        <v>480.32301933059847</v>
      </c>
      <c r="AT136" s="41">
        <f>'3. Verotulot'!BG136/'Veroposentin tuotto'!N136</f>
        <v>501.34217970803206</v>
      </c>
      <c r="AU136" s="41">
        <f>'3. Verotulot'!BL136/'Veroposentin tuotto'!O136</f>
        <v>520.02721419139016</v>
      </c>
      <c r="AV136" s="41">
        <f>'3. Verotulot'!BQ136/'Veroposentin tuotto'!P136</f>
        <v>540.68831234119853</v>
      </c>
      <c r="AX136" s="146"/>
      <c r="AZ136" s="34">
        <v>407</v>
      </c>
      <c r="BA136" s="88" t="s">
        <v>450</v>
      </c>
      <c r="BB136" s="41">
        <f>AI136/'1. Väestöennuste'!E136*1000</f>
        <v>138.10983452617512</v>
      </c>
      <c r="BC136" s="41">
        <f>AJ136/'1. Väestöennuste'!F136*1000</f>
        <v>134.48027141826731</v>
      </c>
      <c r="BD136" s="41">
        <f>AK136/'1. Väestöennuste'!G136*1000</f>
        <v>136.91345339174012</v>
      </c>
      <c r="BE136" s="41">
        <f>AL136/'1. Väestöennuste'!H136*1000</f>
        <v>134.75495355328786</v>
      </c>
      <c r="BF136" s="41">
        <f>AM136/'1. Väestöennuste'!I136*1000</f>
        <v>143.72086928850868</v>
      </c>
      <c r="BG136" s="41">
        <f>AN136/'1. Väestöennuste'!J136*1000</f>
        <v>138.62393488490395</v>
      </c>
      <c r="BH136" s="41">
        <f>AO136/'1. Väestöennuste'!K136*1000</f>
        <v>144.07044997295836</v>
      </c>
      <c r="BI136" s="41">
        <f>AP136/'1. Väestöennuste'!L136*1000</f>
        <v>155.58627980863366</v>
      </c>
      <c r="BJ136" s="41">
        <f>AQ136/'1. Väestöennuste'!M136*1000</f>
        <v>191.54351202453299</v>
      </c>
      <c r="BK136" s="41">
        <f>AR136/'1. Väestöennuste'!N136*1000</f>
        <v>176.19653503735708</v>
      </c>
      <c r="BL136" s="41">
        <f>AS136/'1. Väestöennuste'!O136*1000</f>
        <v>191.51635539497548</v>
      </c>
      <c r="BM136" s="41">
        <f>AT136/'1. Väestöennuste'!P136*1000</f>
        <v>201.26141296990448</v>
      </c>
      <c r="BN136" s="41">
        <f>AU136/'1. Väestöennuste'!Q136*1000</f>
        <v>210.19693378795077</v>
      </c>
      <c r="BO136" s="41">
        <f>AV136/'1. Väestöennuste'!R136*1000</f>
        <v>219.97083496387245</v>
      </c>
    </row>
    <row r="137" spans="1:67" x14ac:dyDescent="0.25">
      <c r="A137" s="30">
        <v>408</v>
      </c>
      <c r="B137" s="47" t="s">
        <v>451</v>
      </c>
      <c r="C137" s="47">
        <v>21</v>
      </c>
      <c r="D137" s="47">
        <v>21</v>
      </c>
      <c r="E137" s="47">
        <v>21</v>
      </c>
      <c r="F137" s="47">
        <v>21.5</v>
      </c>
      <c r="G137" s="47">
        <v>21.5</v>
      </c>
      <c r="H137" s="58">
        <v>21.5</v>
      </c>
      <c r="I137" s="139">
        <v>21.5</v>
      </c>
      <c r="J137" s="139">
        <v>21.5</v>
      </c>
      <c r="K137" s="139">
        <f t="shared" si="7"/>
        <v>8.86</v>
      </c>
      <c r="L137" s="139">
        <v>8.9</v>
      </c>
      <c r="M137" s="139">
        <f t="shared" si="10"/>
        <v>8.9</v>
      </c>
      <c r="N137" s="147">
        <f t="shared" si="10"/>
        <v>8.9</v>
      </c>
      <c r="O137" s="147">
        <f t="shared" si="10"/>
        <v>8.9</v>
      </c>
      <c r="P137" s="147">
        <f t="shared" si="10"/>
        <v>8.9</v>
      </c>
      <c r="Q137" s="147"/>
      <c r="S137" s="41">
        <f>'3. Verotulot'!D137*100/'Veroposentin tuotto'!C137</f>
        <v>205508.80014285716</v>
      </c>
      <c r="T137" s="41">
        <f>'3. Verotulot'!I137*100/'Veroposentin tuotto'!D137</f>
        <v>205709.52380952382</v>
      </c>
      <c r="U137" s="41">
        <f>'3. Verotulot'!N137*100/'Veroposentin tuotto'!E137</f>
        <v>206357.14285714287</v>
      </c>
      <c r="V137" s="41">
        <f>'3. Verotulot'!S137*100/'Veroposentin tuotto'!F137</f>
        <v>197302.32558139536</v>
      </c>
      <c r="W137" s="41">
        <f>'3. Verotulot'!X137*100/'Veroposentin tuotto'!G137</f>
        <v>207511.62790697673</v>
      </c>
      <c r="X137" s="41">
        <f>'3. Verotulot'!AC137*100/'Veroposentin tuotto'!H137</f>
        <v>212009.3023255814</v>
      </c>
      <c r="Y137" s="41">
        <f>'3. Verotulot'!AH137*100/'Veroposentin tuotto'!I137</f>
        <v>217821.18148837212</v>
      </c>
      <c r="Z137" s="41">
        <f>'3. Verotulot'!AM137*100/'Veroposentin tuotto'!J137</f>
        <v>229172.42646511627</v>
      </c>
      <c r="AA137" s="41">
        <f>'3. Verotulot'!AR137*100/'Veroposentin tuotto'!K137</f>
        <v>285899.13306997746</v>
      </c>
      <c r="AB137" s="41">
        <f>'3. Verotulot'!AW137*100/'Veroposentin tuotto'!L137</f>
        <v>271143.11734419706</v>
      </c>
      <c r="AC137" s="41">
        <f>'3. Verotulot'!BB137*100/'Veroposentin tuotto'!M137</f>
        <v>286680.85310124751</v>
      </c>
      <c r="AD137" s="41">
        <f>'3. Verotulot'!BG137*100/'Veroposentin tuotto'!N137</f>
        <v>299167.05293787358</v>
      </c>
      <c r="AE137" s="41">
        <f>'3. Verotulot'!BL137*100/'Veroposentin tuotto'!O137</f>
        <v>308678.68318133184</v>
      </c>
      <c r="AF137" s="41">
        <f>'3. Verotulot'!BQ137*100/'Veroposentin tuotto'!P137</f>
        <v>319078.76976261038</v>
      </c>
      <c r="AI137" s="41">
        <f>'3. Verotulot'!D137/'Veroposentin tuotto'!C137</f>
        <v>2055.0880014285713</v>
      </c>
      <c r="AJ137" s="41">
        <f>'3. Verotulot'!I137/'Veroposentin tuotto'!D137</f>
        <v>2057.0952380952381</v>
      </c>
      <c r="AK137" s="41">
        <f>'3. Verotulot'!N137/'Veroposentin tuotto'!E137</f>
        <v>2063.5714285714284</v>
      </c>
      <c r="AL137" s="41">
        <f>'3. Verotulot'!S137/'Veroposentin tuotto'!F137</f>
        <v>1973.0232558139535</v>
      </c>
      <c r="AM137" s="41">
        <f>'3. Verotulot'!X137/'Veroposentin tuotto'!G137</f>
        <v>2075.1162790697676</v>
      </c>
      <c r="AN137" s="41">
        <f>'3. Verotulot'!AC137/'Veroposentin tuotto'!H137</f>
        <v>2120.0930232558139</v>
      </c>
      <c r="AO137" s="41">
        <f>'3. Verotulot'!AH137/'Veroposentin tuotto'!I137</f>
        <v>2178.2118148837212</v>
      </c>
      <c r="AP137" s="41">
        <f>'3. Verotulot'!AM137/'Veroposentin tuotto'!J137</f>
        <v>2291.7242646511627</v>
      </c>
      <c r="AQ137" s="41">
        <f>'3. Verotulot'!AR137/'Veroposentin tuotto'!K137</f>
        <v>2858.9913306997746</v>
      </c>
      <c r="AR137" s="41">
        <f>'3. Verotulot'!AW137/'Veroposentin tuotto'!L137</f>
        <v>2711.4311734419707</v>
      </c>
      <c r="AS137" s="41">
        <f>'3. Verotulot'!BB137/'Veroposentin tuotto'!M137</f>
        <v>2866.8085310124752</v>
      </c>
      <c r="AT137" s="41">
        <f>'3. Verotulot'!BG137/'Veroposentin tuotto'!N137</f>
        <v>2991.6705293787359</v>
      </c>
      <c r="AU137" s="41">
        <f>'3. Verotulot'!BL137/'Veroposentin tuotto'!O137</f>
        <v>3086.7868318133183</v>
      </c>
      <c r="AV137" s="41">
        <f>'3. Verotulot'!BQ137/'Veroposentin tuotto'!P137</f>
        <v>3190.7876976261041</v>
      </c>
      <c r="AX137" s="146"/>
      <c r="AZ137" s="34">
        <v>408</v>
      </c>
      <c r="BA137" s="88" t="s">
        <v>451</v>
      </c>
      <c r="BB137" s="41">
        <f>AI137/'1. Väestöennuste'!E137*1000</f>
        <v>140.67273608245407</v>
      </c>
      <c r="BC137" s="41">
        <f>AJ137/'1. Väestöennuste'!F137*1000</f>
        <v>141.1386098178551</v>
      </c>
      <c r="BD137" s="41">
        <f>AK137/'1. Väestöennuste'!G137*1000</f>
        <v>142.37418439157088</v>
      </c>
      <c r="BE137" s="41">
        <f>AL137/'1. Väestöennuste'!H137*1000</f>
        <v>136.75908059984428</v>
      </c>
      <c r="BF137" s="41">
        <f>AM137/'1. Väestöennuste'!I137*1000</f>
        <v>145.33662131039134</v>
      </c>
      <c r="BG137" s="41">
        <f>AN137/'1. Väestöennuste'!J137*1000</f>
        <v>149.0818524193667</v>
      </c>
      <c r="BH137" s="41">
        <f>AO137/'1. Väestöennuste'!K137*1000</f>
        <v>153.36279764019721</v>
      </c>
      <c r="BI137" s="41">
        <f>AP137/'1. Väestöennuste'!L137*1000</f>
        <v>162.54516381666519</v>
      </c>
      <c r="BJ137" s="41">
        <f>AQ137/'1. Väestöennuste'!M137*1000</f>
        <v>203.86418501852359</v>
      </c>
      <c r="BK137" s="41">
        <f>AR137/'1. Väestöennuste'!N137*1000</f>
        <v>195.37621944386589</v>
      </c>
      <c r="BL137" s="41">
        <f>AS137/'1. Väestöennuste'!O137*1000</f>
        <v>207.93563001468596</v>
      </c>
      <c r="BM137" s="41">
        <f>AT137/'1. Väestöennuste'!P137*1000</f>
        <v>218.37011163348438</v>
      </c>
      <c r="BN137" s="41">
        <f>AU137/'1. Väestöennuste'!Q137*1000</f>
        <v>226.83618693513509</v>
      </c>
      <c r="BO137" s="41">
        <f>AV137/'1. Väestöennuste'!R137*1000</f>
        <v>236.03992436944105</v>
      </c>
    </row>
    <row r="138" spans="1:67" x14ac:dyDescent="0.25">
      <c r="A138" s="30">
        <v>410</v>
      </c>
      <c r="B138" s="47" t="s">
        <v>452</v>
      </c>
      <c r="C138" s="47">
        <v>21.5</v>
      </c>
      <c r="D138" s="47">
        <v>21.5</v>
      </c>
      <c r="E138" s="47">
        <v>21.5</v>
      </c>
      <c r="F138" s="47">
        <v>21.5</v>
      </c>
      <c r="G138" s="47">
        <v>21.5</v>
      </c>
      <c r="H138" s="58">
        <v>21.5</v>
      </c>
      <c r="I138" s="139">
        <v>21.5</v>
      </c>
      <c r="J138" s="139">
        <v>21.5</v>
      </c>
      <c r="K138" s="139">
        <f t="shared" si="7"/>
        <v>8.86</v>
      </c>
      <c r="L138" s="139">
        <v>9.9</v>
      </c>
      <c r="M138" s="139">
        <f t="shared" si="10"/>
        <v>9.9</v>
      </c>
      <c r="N138" s="147">
        <f t="shared" si="10"/>
        <v>9.9</v>
      </c>
      <c r="O138" s="147">
        <f t="shared" si="10"/>
        <v>9.9</v>
      </c>
      <c r="P138" s="147">
        <f t="shared" si="10"/>
        <v>9.9</v>
      </c>
      <c r="Q138" s="147"/>
      <c r="S138" s="41">
        <f>'3. Verotulot'!D138*100/'Veroposentin tuotto'!C138</f>
        <v>271354.67334883724</v>
      </c>
      <c r="T138" s="41">
        <f>'3. Verotulot'!I138*100/'Veroposentin tuotto'!D138</f>
        <v>278441.86046511628</v>
      </c>
      <c r="U138" s="41">
        <f>'3. Verotulot'!N138*100/'Veroposentin tuotto'!E138</f>
        <v>281916.27906976745</v>
      </c>
      <c r="V138" s="41">
        <f>'3. Verotulot'!S138*100/'Veroposentin tuotto'!F138</f>
        <v>273790.69767441862</v>
      </c>
      <c r="W138" s="41">
        <f>'3. Verotulot'!X138*100/'Veroposentin tuotto'!G138</f>
        <v>279181.39534883719</v>
      </c>
      <c r="X138" s="41">
        <f>'3. Verotulot'!AC138*100/'Veroposentin tuotto'!H138</f>
        <v>296376.74418604653</v>
      </c>
      <c r="Y138" s="41">
        <f>'3. Verotulot'!AH138*100/'Veroposentin tuotto'!I138</f>
        <v>304416.59851162788</v>
      </c>
      <c r="Z138" s="41">
        <f>'3. Verotulot'!AM138*100/'Veroposentin tuotto'!J138</f>
        <v>316209.29641860467</v>
      </c>
      <c r="AA138" s="41">
        <f>'3. Verotulot'!AR138*100/'Veroposentin tuotto'!K138</f>
        <v>394588.73871331831</v>
      </c>
      <c r="AB138" s="41">
        <f>'3. Verotulot'!AW138*100/'Veroposentin tuotto'!L138</f>
        <v>372312.88361522078</v>
      </c>
      <c r="AC138" s="41">
        <f>'3. Verotulot'!BB138*100/'Veroposentin tuotto'!M138</f>
        <v>398633.87565593334</v>
      </c>
      <c r="AD138" s="41">
        <f>'3. Verotulot'!BG138*100/'Veroposentin tuotto'!N138</f>
        <v>418554.28841704654</v>
      </c>
      <c r="AE138" s="41">
        <f>'3. Verotulot'!BL138*100/'Veroposentin tuotto'!O138</f>
        <v>434152.35894437961</v>
      </c>
      <c r="AF138" s="41">
        <f>'3. Verotulot'!BQ138*100/'Veroposentin tuotto'!P138</f>
        <v>451614.25171367795</v>
      </c>
      <c r="AI138" s="41">
        <f>'3. Verotulot'!D138/'Veroposentin tuotto'!C138</f>
        <v>2713.5467334883724</v>
      </c>
      <c r="AJ138" s="41">
        <f>'3. Verotulot'!I138/'Veroposentin tuotto'!D138</f>
        <v>2784.4186046511627</v>
      </c>
      <c r="AK138" s="41">
        <f>'3. Verotulot'!N138/'Veroposentin tuotto'!E138</f>
        <v>2819.1627906976746</v>
      </c>
      <c r="AL138" s="41">
        <f>'3. Verotulot'!S138/'Veroposentin tuotto'!F138</f>
        <v>2737.9069767441861</v>
      </c>
      <c r="AM138" s="41">
        <f>'3. Verotulot'!X138/'Veroposentin tuotto'!G138</f>
        <v>2791.8139534883721</v>
      </c>
      <c r="AN138" s="41">
        <f>'3. Verotulot'!AC138/'Veroposentin tuotto'!H138</f>
        <v>2963.7674418604652</v>
      </c>
      <c r="AO138" s="41">
        <f>'3. Verotulot'!AH138/'Veroposentin tuotto'!I138</f>
        <v>3044.165985116279</v>
      </c>
      <c r="AP138" s="41">
        <f>'3. Verotulot'!AM138/'Veroposentin tuotto'!J138</f>
        <v>3162.0929641860466</v>
      </c>
      <c r="AQ138" s="41">
        <f>'3. Verotulot'!AR138/'Veroposentin tuotto'!K138</f>
        <v>3945.8873871331834</v>
      </c>
      <c r="AR138" s="41">
        <f>'3. Verotulot'!AW138/'Veroposentin tuotto'!L138</f>
        <v>3723.1288361522079</v>
      </c>
      <c r="AS138" s="41">
        <f>'3. Verotulot'!BB138/'Veroposentin tuotto'!M138</f>
        <v>3986.3387565593334</v>
      </c>
      <c r="AT138" s="41">
        <f>'3. Verotulot'!BG138/'Veroposentin tuotto'!N138</f>
        <v>4185.5428841704652</v>
      </c>
      <c r="AU138" s="41">
        <f>'3. Verotulot'!BL138/'Veroposentin tuotto'!O138</f>
        <v>4341.5235894437965</v>
      </c>
      <c r="AV138" s="41">
        <f>'3. Verotulot'!BQ138/'Veroposentin tuotto'!P138</f>
        <v>4516.1425171367791</v>
      </c>
      <c r="AX138" s="146"/>
      <c r="AZ138" s="34">
        <v>410</v>
      </c>
      <c r="BA138" s="88" t="s">
        <v>452</v>
      </c>
      <c r="BB138" s="41">
        <f>AI138/'1. Väestöennuste'!E138*1000</f>
        <v>143.84027211706189</v>
      </c>
      <c r="BC138" s="41">
        <f>AJ138/'1. Väestöennuste'!F138*1000</f>
        <v>146.7801056748109</v>
      </c>
      <c r="BD138" s="41">
        <f>AK138/'1. Väestöennuste'!G138*1000</f>
        <v>148.5489930813402</v>
      </c>
      <c r="BE138" s="41">
        <f>AL138/'1. Väestöennuste'!H138*1000</f>
        <v>144.6561513575414</v>
      </c>
      <c r="BF138" s="41">
        <f>AM138/'1. Väestöennuste'!I138*1000</f>
        <v>147.69158088601662</v>
      </c>
      <c r="BG138" s="41">
        <f>AN138/'1. Väestöennuste'!J138*1000</f>
        <v>157.45457375872419</v>
      </c>
      <c r="BH138" s="41">
        <f>AO138/'1. Väestöennuste'!K138*1000</f>
        <v>162.02714419396844</v>
      </c>
      <c r="BI138" s="41">
        <f>AP138/'1. Väestöennuste'!L138*1000</f>
        <v>168.42039755984271</v>
      </c>
      <c r="BJ138" s="41">
        <f>AQ138/'1. Väestöennuste'!M138*1000</f>
        <v>210.312727168382</v>
      </c>
      <c r="BK138" s="41">
        <f>AR138/'1. Väestöennuste'!N138*1000</f>
        <v>198.59864704497829</v>
      </c>
      <c r="BL138" s="41">
        <f>AS138/'1. Väestöennuste'!O138*1000</f>
        <v>213.0251032201856</v>
      </c>
      <c r="BM138" s="41">
        <f>AT138/'1. Väestöennuste'!P138*1000</f>
        <v>224.13745765076925</v>
      </c>
      <c r="BN138" s="41">
        <f>AU138/'1. Väestöennuste'!Q138*1000</f>
        <v>232.98935222946207</v>
      </c>
      <c r="BO138" s="41">
        <f>AV138/'1. Väestöennuste'!R138*1000</f>
        <v>242.93397079810538</v>
      </c>
    </row>
    <row r="139" spans="1:67" x14ac:dyDescent="0.25">
      <c r="A139" s="30">
        <v>416</v>
      </c>
      <c r="B139" s="47" t="s">
        <v>453</v>
      </c>
      <c r="C139" s="47">
        <v>21</v>
      </c>
      <c r="D139" s="47">
        <v>21</v>
      </c>
      <c r="E139" s="47">
        <v>21</v>
      </c>
      <c r="F139" s="47">
        <v>21</v>
      </c>
      <c r="G139" s="47">
        <v>21</v>
      </c>
      <c r="H139" s="58">
        <v>22</v>
      </c>
      <c r="I139" s="139">
        <v>21.999999999999996</v>
      </c>
      <c r="J139" s="139">
        <v>21.999999999999996</v>
      </c>
      <c r="K139" s="139">
        <f t="shared" si="7"/>
        <v>9.3599999999999959</v>
      </c>
      <c r="L139" s="139">
        <v>9.9</v>
      </c>
      <c r="M139" s="139">
        <f t="shared" si="10"/>
        <v>9.9</v>
      </c>
      <c r="N139" s="147">
        <f t="shared" si="10"/>
        <v>9.9</v>
      </c>
      <c r="O139" s="147">
        <f t="shared" si="10"/>
        <v>9.9</v>
      </c>
      <c r="P139" s="147">
        <f t="shared" si="10"/>
        <v>9.9</v>
      </c>
      <c r="Q139" s="147"/>
      <c r="S139" s="41">
        <f>'3. Verotulot'!D139*100/'Veroposentin tuotto'!C139</f>
        <v>43271.446761904765</v>
      </c>
      <c r="T139" s="41">
        <f>'3. Verotulot'!I139*100/'Veroposentin tuotto'!D139</f>
        <v>45614.285714285717</v>
      </c>
      <c r="U139" s="41">
        <f>'3. Verotulot'!N139*100/'Veroposentin tuotto'!E139</f>
        <v>44009.523809523809</v>
      </c>
      <c r="V139" s="41">
        <f>'3. Verotulot'!S139*100/'Veroposentin tuotto'!F139</f>
        <v>43076.190476190473</v>
      </c>
      <c r="W139" s="41">
        <f>'3. Verotulot'!X139*100/'Veroposentin tuotto'!G139</f>
        <v>43085.714285714283</v>
      </c>
      <c r="X139" s="41">
        <f>'3. Verotulot'!AC139*100/'Veroposentin tuotto'!H139</f>
        <v>43350</v>
      </c>
      <c r="Y139" s="41">
        <f>'3. Verotulot'!AH139*100/'Veroposentin tuotto'!I139</f>
        <v>47852.632318181822</v>
      </c>
      <c r="Z139" s="41">
        <f>'3. Verotulot'!AM139*100/'Veroposentin tuotto'!J139</f>
        <v>46407.093090909097</v>
      </c>
      <c r="AA139" s="41">
        <f>'3. Verotulot'!AR139*100/'Veroposentin tuotto'!K139</f>
        <v>56975.211965811985</v>
      </c>
      <c r="AB139" s="41">
        <f>'3. Verotulot'!AW139*100/'Veroposentin tuotto'!L139</f>
        <v>54816.465209960486</v>
      </c>
      <c r="AC139" s="41">
        <f>'3. Verotulot'!BB139*100/'Veroposentin tuotto'!M139</f>
        <v>58343.506817053094</v>
      </c>
      <c r="AD139" s="41">
        <f>'3. Verotulot'!BG139*100/'Veroposentin tuotto'!N139</f>
        <v>61017.261550381372</v>
      </c>
      <c r="AE139" s="41">
        <f>'3. Verotulot'!BL139*100/'Veroposentin tuotto'!O139</f>
        <v>62974.13048278651</v>
      </c>
      <c r="AF139" s="41">
        <f>'3. Verotulot'!BQ139*100/'Veroposentin tuotto'!P139</f>
        <v>65047.992607848704</v>
      </c>
      <c r="AI139" s="41">
        <f>'3. Verotulot'!D139/'Veroposentin tuotto'!C139</f>
        <v>432.71446761904764</v>
      </c>
      <c r="AJ139" s="41">
        <f>'3. Verotulot'!I139/'Veroposentin tuotto'!D139</f>
        <v>456.14285714285717</v>
      </c>
      <c r="AK139" s="41">
        <f>'3. Verotulot'!N139/'Veroposentin tuotto'!E139</f>
        <v>440.09523809523807</v>
      </c>
      <c r="AL139" s="41">
        <f>'3. Verotulot'!S139/'Veroposentin tuotto'!F139</f>
        <v>430.76190476190476</v>
      </c>
      <c r="AM139" s="41">
        <f>'3. Verotulot'!X139/'Veroposentin tuotto'!G139</f>
        <v>430.85714285714283</v>
      </c>
      <c r="AN139" s="41">
        <f>'3. Verotulot'!AC139/'Veroposentin tuotto'!H139</f>
        <v>433.5</v>
      </c>
      <c r="AO139" s="41">
        <f>'3. Verotulot'!AH139/'Veroposentin tuotto'!I139</f>
        <v>478.52632318181821</v>
      </c>
      <c r="AP139" s="41">
        <f>'3. Verotulot'!AM139/'Veroposentin tuotto'!J139</f>
        <v>464.07093090909098</v>
      </c>
      <c r="AQ139" s="41">
        <f>'3. Verotulot'!AR139/'Veroposentin tuotto'!K139</f>
        <v>569.75211965811991</v>
      </c>
      <c r="AR139" s="41">
        <f>'3. Verotulot'!AW139/'Veroposentin tuotto'!L139</f>
        <v>548.16465209960484</v>
      </c>
      <c r="AS139" s="41">
        <f>'3. Verotulot'!BB139/'Veroposentin tuotto'!M139</f>
        <v>583.43506817053094</v>
      </c>
      <c r="AT139" s="41">
        <f>'3. Verotulot'!BG139/'Veroposentin tuotto'!N139</f>
        <v>610.17261550381374</v>
      </c>
      <c r="AU139" s="41">
        <f>'3. Verotulot'!BL139/'Veroposentin tuotto'!O139</f>
        <v>629.74130482786506</v>
      </c>
      <c r="AV139" s="41">
        <f>'3. Verotulot'!BQ139/'Veroposentin tuotto'!P139</f>
        <v>650.4799260784871</v>
      </c>
      <c r="AX139" s="146"/>
      <c r="AZ139" s="34">
        <v>416</v>
      </c>
      <c r="BA139" s="88" t="s">
        <v>453</v>
      </c>
      <c r="BB139" s="41">
        <f>AI139/'1. Väestöennuste'!E139*1000</f>
        <v>140.81173694078998</v>
      </c>
      <c r="BC139" s="41">
        <f>AJ139/'1. Väestöennuste'!F139*1000</f>
        <v>148.29091584618243</v>
      </c>
      <c r="BD139" s="41">
        <f>AK139/'1. Väestöennuste'!G139*1000</f>
        <v>143.68110940099186</v>
      </c>
      <c r="BE139" s="41">
        <f>AL139/'1. Väestöennuste'!H139*1000</f>
        <v>141.55829929737257</v>
      </c>
      <c r="BF139" s="41">
        <f>AM139/'1. Väestöennuste'!I139*1000</f>
        <v>145.02091647833819</v>
      </c>
      <c r="BG139" s="41">
        <f>AN139/'1. Väestöennuste'!J139*1000</f>
        <v>146.25506072874495</v>
      </c>
      <c r="BH139" s="41">
        <f>AO139/'1. Väestöennuste'!K139*1000</f>
        <v>164.04741967151807</v>
      </c>
      <c r="BI139" s="41">
        <f>AP139/'1. Väestöennuste'!L139*1000</f>
        <v>160.80073836073839</v>
      </c>
      <c r="BJ139" s="41">
        <f>AQ139/'1. Väestöennuste'!M139*1000</f>
        <v>199.07481469535986</v>
      </c>
      <c r="BK139" s="41">
        <f>AR139/'1. Väestöennuste'!N139*1000</f>
        <v>190.07096119958558</v>
      </c>
      <c r="BL139" s="41">
        <f>AS139/'1. Väestöennuste'!O139*1000</f>
        <v>203.57120312998291</v>
      </c>
      <c r="BM139" s="41">
        <f>AT139/'1. Väestöennuste'!P139*1000</f>
        <v>214.3965620182058</v>
      </c>
      <c r="BN139" s="41">
        <f>AU139/'1. Väestöennuste'!Q139*1000</f>
        <v>222.9962127577426</v>
      </c>
      <c r="BO139" s="41">
        <f>AV139/'1. Väestöennuste'!R139*1000</f>
        <v>232.14843900017385</v>
      </c>
    </row>
    <row r="140" spans="1:67" x14ac:dyDescent="0.25">
      <c r="A140" s="30">
        <v>418</v>
      </c>
      <c r="B140" s="47" t="s">
        <v>454</v>
      </c>
      <c r="C140" s="47">
        <v>20.5</v>
      </c>
      <c r="D140" s="47">
        <v>20.5</v>
      </c>
      <c r="E140" s="47">
        <v>20.5</v>
      </c>
      <c r="F140" s="47">
        <v>20.5</v>
      </c>
      <c r="G140" s="47">
        <v>20.5</v>
      </c>
      <c r="H140" s="58">
        <v>20.5</v>
      </c>
      <c r="I140" s="139">
        <v>20.5</v>
      </c>
      <c r="J140" s="139">
        <v>20.5</v>
      </c>
      <c r="K140" s="139">
        <f t="shared" si="7"/>
        <v>7.8599999999999994</v>
      </c>
      <c r="L140" s="139">
        <v>8.4</v>
      </c>
      <c r="M140" s="139">
        <f t="shared" si="10"/>
        <v>8.4</v>
      </c>
      <c r="N140" s="147">
        <f t="shared" si="10"/>
        <v>8.4</v>
      </c>
      <c r="O140" s="147">
        <f t="shared" si="10"/>
        <v>8.4</v>
      </c>
      <c r="P140" s="147">
        <f t="shared" si="10"/>
        <v>8.4</v>
      </c>
      <c r="Q140" s="147"/>
      <c r="S140" s="41">
        <f>'3. Verotulot'!D140*100/'Veroposentin tuotto'!C140</f>
        <v>388043.92882926832</v>
      </c>
      <c r="T140" s="41">
        <f>'3. Verotulot'!I140*100/'Veroposentin tuotto'!D140</f>
        <v>408819.51219512196</v>
      </c>
      <c r="U140" s="41">
        <f>'3. Verotulot'!N140*100/'Veroposentin tuotto'!E140</f>
        <v>409600</v>
      </c>
      <c r="V140" s="41">
        <f>'3. Verotulot'!S140*100/'Veroposentin tuotto'!F140</f>
        <v>400502.43902439025</v>
      </c>
      <c r="W140" s="41">
        <f>'3. Verotulot'!X140*100/'Veroposentin tuotto'!G140</f>
        <v>425458.53658536583</v>
      </c>
      <c r="X140" s="41">
        <f>'3. Verotulot'!AC140*100/'Veroposentin tuotto'!H140</f>
        <v>451570.73170731706</v>
      </c>
      <c r="Y140" s="41">
        <f>'3. Verotulot'!AH140*100/'Veroposentin tuotto'!I140</f>
        <v>468345.82487804868</v>
      </c>
      <c r="Z140" s="41">
        <f>'3. Verotulot'!AM140*100/'Veroposentin tuotto'!J140</f>
        <v>500028.68975609756</v>
      </c>
      <c r="AA140" s="41">
        <f>'3. Verotulot'!AR140*100/'Veroposentin tuotto'!K140</f>
        <v>657165.57391857519</v>
      </c>
      <c r="AB140" s="41">
        <f>'3. Verotulot'!AW140*100/'Veroposentin tuotto'!L140</f>
        <v>595975.73147042422</v>
      </c>
      <c r="AC140" s="41">
        <f>'3. Verotulot'!BB140*100/'Veroposentin tuotto'!M140</f>
        <v>640560.40932793973</v>
      </c>
      <c r="AD140" s="41">
        <f>'3. Verotulot'!BG140*100/'Veroposentin tuotto'!N140</f>
        <v>675629.02967110032</v>
      </c>
      <c r="AE140" s="41">
        <f>'3. Verotulot'!BL140*100/'Veroposentin tuotto'!O140</f>
        <v>704510.70062492625</v>
      </c>
      <c r="AF140" s="41">
        <f>'3. Verotulot'!BQ140*100/'Veroposentin tuotto'!P140</f>
        <v>735697.9359007763</v>
      </c>
      <c r="AI140" s="41">
        <f>'3. Verotulot'!D140/'Veroposentin tuotto'!C140</f>
        <v>3880.4392882926827</v>
      </c>
      <c r="AJ140" s="41">
        <f>'3. Verotulot'!I140/'Veroposentin tuotto'!D140</f>
        <v>4088.1951219512193</v>
      </c>
      <c r="AK140" s="41">
        <f>'3. Verotulot'!N140/'Veroposentin tuotto'!E140</f>
        <v>4096</v>
      </c>
      <c r="AL140" s="41">
        <f>'3. Verotulot'!S140/'Veroposentin tuotto'!F140</f>
        <v>4005.0243902439024</v>
      </c>
      <c r="AM140" s="41">
        <f>'3. Verotulot'!X140/'Veroposentin tuotto'!G140</f>
        <v>4254.5853658536589</v>
      </c>
      <c r="AN140" s="41">
        <f>'3. Verotulot'!AC140/'Veroposentin tuotto'!H140</f>
        <v>4515.707317073171</v>
      </c>
      <c r="AO140" s="41">
        <f>'3. Verotulot'!AH140/'Veroposentin tuotto'!I140</f>
        <v>4683.4582487804873</v>
      </c>
      <c r="AP140" s="41">
        <f>'3. Verotulot'!AM140/'Veroposentin tuotto'!J140</f>
        <v>5000.2868975609763</v>
      </c>
      <c r="AQ140" s="41">
        <f>'3. Verotulot'!AR140/'Veroposentin tuotto'!K140</f>
        <v>6571.6557391857514</v>
      </c>
      <c r="AR140" s="41">
        <f>'3. Verotulot'!AW140/'Veroposentin tuotto'!L140</f>
        <v>5959.7573147042422</v>
      </c>
      <c r="AS140" s="41">
        <f>'3. Verotulot'!BB140/'Veroposentin tuotto'!M140</f>
        <v>6405.6040932793976</v>
      </c>
      <c r="AT140" s="41">
        <f>'3. Verotulot'!BG140/'Veroposentin tuotto'!N140</f>
        <v>6756.2902967110022</v>
      </c>
      <c r="AU140" s="41">
        <f>'3. Verotulot'!BL140/'Veroposentin tuotto'!O140</f>
        <v>7045.1070062492627</v>
      </c>
      <c r="AV140" s="41">
        <f>'3. Verotulot'!BQ140/'Veroposentin tuotto'!P140</f>
        <v>7356.9793590077634</v>
      </c>
      <c r="AX140" s="146"/>
      <c r="AZ140" s="34">
        <v>418</v>
      </c>
      <c r="BA140" s="88" t="s">
        <v>454</v>
      </c>
      <c r="BB140" s="41">
        <f>AI140/'1. Väestöennuste'!E140*1000</f>
        <v>172.18846682164903</v>
      </c>
      <c r="BC140" s="41">
        <f>AJ140/'1. Väestöennuste'!F140*1000</f>
        <v>179.74038786332025</v>
      </c>
      <c r="BD140" s="41">
        <f>AK140/'1. Väestöennuste'!G140*1000</f>
        <v>179.42091199789741</v>
      </c>
      <c r="BE140" s="41">
        <f>AL140/'1. Väestöennuste'!H140*1000</f>
        <v>172.58572740859702</v>
      </c>
      <c r="BF140" s="41">
        <f>AM140/'1. Väestöennuste'!I140*1000</f>
        <v>180.8691648962147</v>
      </c>
      <c r="BG140" s="41">
        <f>AN140/'1. Väestöennuste'!J140*1000</f>
        <v>189.51264550416195</v>
      </c>
      <c r="BH140" s="41">
        <f>AO140/'1. Väestöennuste'!K140*1000</f>
        <v>193.81965936022544</v>
      </c>
      <c r="BI140" s="41">
        <f>AP140/'1. Väestöennuste'!L140*1000</f>
        <v>203.42908452241562</v>
      </c>
      <c r="BJ140" s="41">
        <f>AQ140/'1. Väestöennuste'!M140*1000</f>
        <v>265.94050176786658</v>
      </c>
      <c r="BK140" s="41">
        <f>AR140/'1. Väestöennuste'!N140*1000</f>
        <v>241.45190271459069</v>
      </c>
      <c r="BL140" s="41">
        <f>AS140/'1. Väestöennuste'!O140*1000</f>
        <v>257.70856506595578</v>
      </c>
      <c r="BM140" s="41">
        <f>AT140/'1. Väestöennuste'!P140*1000</f>
        <v>270.08955813355993</v>
      </c>
      <c r="BN140" s="41">
        <f>AU140/'1. Väestöennuste'!Q140*1000</f>
        <v>280.04559392015193</v>
      </c>
      <c r="BO140" s="41">
        <f>AV140/'1. Väestöennuste'!R140*1000</f>
        <v>290.91618328157551</v>
      </c>
    </row>
    <row r="141" spans="1:67" x14ac:dyDescent="0.25">
      <c r="A141" s="30">
        <v>420</v>
      </c>
      <c r="B141" s="47" t="s">
        <v>455</v>
      </c>
      <c r="C141" s="47">
        <v>20</v>
      </c>
      <c r="D141" s="47">
        <v>20</v>
      </c>
      <c r="E141" s="47">
        <v>20</v>
      </c>
      <c r="F141" s="47">
        <v>21</v>
      </c>
      <c r="G141" s="47">
        <v>21</v>
      </c>
      <c r="H141" s="58">
        <v>21</v>
      </c>
      <c r="I141" s="139">
        <v>21</v>
      </c>
      <c r="J141" s="139">
        <v>21</v>
      </c>
      <c r="K141" s="139">
        <f t="shared" si="7"/>
        <v>8.36</v>
      </c>
      <c r="L141" s="139">
        <v>8.4</v>
      </c>
      <c r="M141" s="139">
        <f t="shared" si="10"/>
        <v>8.4</v>
      </c>
      <c r="N141" s="147">
        <f t="shared" si="10"/>
        <v>8.4</v>
      </c>
      <c r="O141" s="147">
        <f t="shared" si="10"/>
        <v>8.4</v>
      </c>
      <c r="P141" s="147">
        <f t="shared" si="10"/>
        <v>8.4</v>
      </c>
      <c r="Q141" s="147"/>
      <c r="S141" s="41">
        <f>'3. Verotulot'!D141*100/'Veroposentin tuotto'!C141</f>
        <v>142440.20800000001</v>
      </c>
      <c r="T141" s="41">
        <f>'3. Verotulot'!I141*100/'Veroposentin tuotto'!D141</f>
        <v>142620</v>
      </c>
      <c r="U141" s="41">
        <f>'3. Verotulot'!N141*100/'Veroposentin tuotto'!E141</f>
        <v>139785</v>
      </c>
      <c r="V141" s="41">
        <f>'3. Verotulot'!S141*100/'Veroposentin tuotto'!F141</f>
        <v>140895.23809523811</v>
      </c>
      <c r="W141" s="41">
        <f>'3. Verotulot'!X141*100/'Veroposentin tuotto'!G141</f>
        <v>140895.23809523811</v>
      </c>
      <c r="X141" s="41">
        <f>'3. Verotulot'!AC141*100/'Veroposentin tuotto'!H141</f>
        <v>142933.33333333334</v>
      </c>
      <c r="Y141" s="41">
        <f>'3. Verotulot'!AH141*100/'Veroposentin tuotto'!I141</f>
        <v>150410.29061904762</v>
      </c>
      <c r="Z141" s="41">
        <f>'3. Verotulot'!AM141*100/'Veroposentin tuotto'!J141</f>
        <v>154189.85861904762</v>
      </c>
      <c r="AA141" s="41">
        <f>'3. Verotulot'!AR141*100/'Veroposentin tuotto'!K141</f>
        <v>188474.0422248804</v>
      </c>
      <c r="AB141" s="41">
        <f>'3. Verotulot'!AW141*100/'Veroposentin tuotto'!L141</f>
        <v>177631.0150448083</v>
      </c>
      <c r="AC141" s="41">
        <f>'3. Verotulot'!BB141*100/'Veroposentin tuotto'!M141</f>
        <v>186738.32062708592</v>
      </c>
      <c r="AD141" s="41">
        <f>'3. Verotulot'!BG141*100/'Veroposentin tuotto'!N141</f>
        <v>192917.39708517297</v>
      </c>
      <c r="AE141" s="41">
        <f>'3. Verotulot'!BL141*100/'Veroposentin tuotto'!O141</f>
        <v>197734.83952611196</v>
      </c>
      <c r="AF141" s="41">
        <f>'3. Verotulot'!BQ141*100/'Veroposentin tuotto'!P141</f>
        <v>203347.0029409781</v>
      </c>
      <c r="AI141" s="41">
        <f>'3. Verotulot'!D141/'Veroposentin tuotto'!C141</f>
        <v>1424.4020800000001</v>
      </c>
      <c r="AJ141" s="41">
        <f>'3. Verotulot'!I141/'Veroposentin tuotto'!D141</f>
        <v>1426.2</v>
      </c>
      <c r="AK141" s="41">
        <f>'3. Verotulot'!N141/'Veroposentin tuotto'!E141</f>
        <v>1397.85</v>
      </c>
      <c r="AL141" s="41">
        <f>'3. Verotulot'!S141/'Veroposentin tuotto'!F141</f>
        <v>1408.952380952381</v>
      </c>
      <c r="AM141" s="41">
        <f>'3. Verotulot'!X141/'Veroposentin tuotto'!G141</f>
        <v>1408.952380952381</v>
      </c>
      <c r="AN141" s="41">
        <f>'3. Verotulot'!AC141/'Veroposentin tuotto'!H141</f>
        <v>1429.3333333333333</v>
      </c>
      <c r="AO141" s="41">
        <f>'3. Verotulot'!AH141/'Veroposentin tuotto'!I141</f>
        <v>1504.1029061904762</v>
      </c>
      <c r="AP141" s="41">
        <f>'3. Verotulot'!AM141/'Veroposentin tuotto'!J141</f>
        <v>1541.8985861904762</v>
      </c>
      <c r="AQ141" s="41">
        <f>'3. Verotulot'!AR141/'Veroposentin tuotto'!K141</f>
        <v>1884.740422248804</v>
      </c>
      <c r="AR141" s="41">
        <f>'3. Verotulot'!AW141/'Veroposentin tuotto'!L141</f>
        <v>1776.3101504480833</v>
      </c>
      <c r="AS141" s="41">
        <f>'3. Verotulot'!BB141/'Veroposentin tuotto'!M141</f>
        <v>1867.3832062708593</v>
      </c>
      <c r="AT141" s="41">
        <f>'3. Verotulot'!BG141/'Veroposentin tuotto'!N141</f>
        <v>1929.1739708517298</v>
      </c>
      <c r="AU141" s="41">
        <f>'3. Verotulot'!BL141/'Veroposentin tuotto'!O141</f>
        <v>1977.3483952611198</v>
      </c>
      <c r="AV141" s="41">
        <f>'3. Verotulot'!BQ141/'Veroposentin tuotto'!P141</f>
        <v>2033.4700294097811</v>
      </c>
      <c r="AX141" s="146"/>
      <c r="AZ141" s="34">
        <v>420</v>
      </c>
      <c r="BA141" s="88" t="s">
        <v>455</v>
      </c>
      <c r="BB141" s="41">
        <f>AI141/'1. Väestöennuste'!E141*1000</f>
        <v>143.11283834019895</v>
      </c>
      <c r="BC141" s="41">
        <f>AJ141/'1. Väestöennuste'!F141*1000</f>
        <v>144.57171819564115</v>
      </c>
      <c r="BD141" s="41">
        <f>AK141/'1. Väestöennuste'!G141*1000</f>
        <v>142.90022490288285</v>
      </c>
      <c r="BE141" s="41">
        <f>AL141/'1. Väestöennuste'!H141*1000</f>
        <v>146.00542807796694</v>
      </c>
      <c r="BF141" s="41">
        <f>AM141/'1. Väestöennuste'!I141*1000</f>
        <v>149.03240754732187</v>
      </c>
      <c r="BG141" s="41">
        <f>AN141/'1. Väestöennuste'!J141*1000</f>
        <v>152.02439197333899</v>
      </c>
      <c r="BH141" s="41">
        <f>AO141/'1. Väestöennuste'!K141*1000</f>
        <v>162.08005454638752</v>
      </c>
      <c r="BI141" s="41">
        <f>AP141/'1. Väestöennuste'!L141*1000</f>
        <v>168.01771670376769</v>
      </c>
      <c r="BJ141" s="41">
        <f>AQ141/'1. Väestöennuste'!M141*1000</f>
        <v>208.2816247374079</v>
      </c>
      <c r="BK141" s="41">
        <f>AR141/'1. Väestöennuste'!N141*1000</f>
        <v>197.63130289809561</v>
      </c>
      <c r="BL141" s="41">
        <f>AS141/'1. Väestöennuste'!O141*1000</f>
        <v>210.0307284074749</v>
      </c>
      <c r="BM141" s="41">
        <f>AT141/'1. Väestöennuste'!P141*1000</f>
        <v>219.34894495187376</v>
      </c>
      <c r="BN141" s="41">
        <f>AU141/'1. Väestöennuste'!Q141*1000</f>
        <v>227.20307885339767</v>
      </c>
      <c r="BO141" s="41">
        <f>AV141/'1. Väestöennuste'!R141*1000</f>
        <v>236.14795371150635</v>
      </c>
    </row>
    <row r="142" spans="1:67" x14ac:dyDescent="0.25">
      <c r="A142" s="30">
        <v>421</v>
      </c>
      <c r="B142" s="47" t="s">
        <v>456</v>
      </c>
      <c r="C142" s="47">
        <v>20</v>
      </c>
      <c r="D142" s="47">
        <v>21</v>
      </c>
      <c r="E142" s="47">
        <v>21</v>
      </c>
      <c r="F142" s="47">
        <v>21</v>
      </c>
      <c r="G142" s="47">
        <v>21</v>
      </c>
      <c r="H142" s="58">
        <v>21</v>
      </c>
      <c r="I142" s="139">
        <v>21</v>
      </c>
      <c r="J142" s="139">
        <v>21</v>
      </c>
      <c r="K142" s="139">
        <f t="shared" si="7"/>
        <v>8.36</v>
      </c>
      <c r="L142" s="139">
        <v>9.4</v>
      </c>
      <c r="M142" s="139">
        <f t="shared" si="10"/>
        <v>9.4</v>
      </c>
      <c r="N142" s="147">
        <f t="shared" si="10"/>
        <v>9.4</v>
      </c>
      <c r="O142" s="147">
        <f t="shared" si="10"/>
        <v>9.4</v>
      </c>
      <c r="P142" s="147">
        <f t="shared" si="10"/>
        <v>9.4</v>
      </c>
      <c r="Q142" s="147"/>
      <c r="S142" s="41">
        <f>'3. Verotulot'!D142*100/'Veroposentin tuotto'!C142</f>
        <v>9377.0649000000012</v>
      </c>
      <c r="T142" s="41">
        <f>'3. Verotulot'!I142*100/'Veroposentin tuotto'!D142</f>
        <v>8004.7619047619046</v>
      </c>
      <c r="U142" s="41">
        <f>'3. Verotulot'!N142*100/'Veroposentin tuotto'!E142</f>
        <v>8980.9523809523816</v>
      </c>
      <c r="V142" s="41">
        <f>'3. Verotulot'!S142*100/'Veroposentin tuotto'!F142</f>
        <v>8395.2380952380954</v>
      </c>
      <c r="W142" s="41">
        <f>'3. Verotulot'!X142*100/'Veroposentin tuotto'!G142</f>
        <v>8228.5714285714294</v>
      </c>
      <c r="X142" s="41">
        <f>'3. Verotulot'!AC142*100/'Veroposentin tuotto'!H142</f>
        <v>8823.8095238095229</v>
      </c>
      <c r="Y142" s="41">
        <f>'3. Verotulot'!AH142*100/'Veroposentin tuotto'!I142</f>
        <v>9650.1258095238099</v>
      </c>
      <c r="Z142" s="41">
        <f>'3. Verotulot'!AM142*100/'Veroposentin tuotto'!J142</f>
        <v>9006.6523809523806</v>
      </c>
      <c r="AA142" s="41">
        <f>'3. Verotulot'!AR142*100/'Veroposentin tuotto'!K142</f>
        <v>10527.747248803829</v>
      </c>
      <c r="AB142" s="41">
        <f>'3. Verotulot'!AW142*100/'Veroposentin tuotto'!L142</f>
        <v>10359.369246362166</v>
      </c>
      <c r="AC142" s="41">
        <f>'3. Verotulot'!BB142*100/'Veroposentin tuotto'!M142</f>
        <v>11025.924585944156</v>
      </c>
      <c r="AD142" s="41">
        <f>'3. Verotulot'!BG142*100/'Veroposentin tuotto'!N142</f>
        <v>11335.203347797615</v>
      </c>
      <c r="AE142" s="41">
        <f>'3. Verotulot'!BL142*100/'Veroposentin tuotto'!O142</f>
        <v>11551.094779796667</v>
      </c>
      <c r="AF142" s="41">
        <f>'3. Verotulot'!BQ142*100/'Veroposentin tuotto'!P142</f>
        <v>11937.784788169591</v>
      </c>
      <c r="AI142" s="41">
        <f>'3. Verotulot'!D142/'Veroposentin tuotto'!C142</f>
        <v>93.770649000000006</v>
      </c>
      <c r="AJ142" s="41">
        <f>'3. Verotulot'!I142/'Veroposentin tuotto'!D142</f>
        <v>80.047619047619051</v>
      </c>
      <c r="AK142" s="41">
        <f>'3. Verotulot'!N142/'Veroposentin tuotto'!E142</f>
        <v>89.80952380952381</v>
      </c>
      <c r="AL142" s="41">
        <f>'3. Verotulot'!S142/'Veroposentin tuotto'!F142</f>
        <v>83.952380952380949</v>
      </c>
      <c r="AM142" s="41">
        <f>'3. Verotulot'!X142/'Veroposentin tuotto'!G142</f>
        <v>82.285714285714292</v>
      </c>
      <c r="AN142" s="41">
        <f>'3. Verotulot'!AC142/'Veroposentin tuotto'!H142</f>
        <v>88.238095238095241</v>
      </c>
      <c r="AO142" s="41">
        <f>'3. Verotulot'!AH142/'Veroposentin tuotto'!I142</f>
        <v>96.501258095238086</v>
      </c>
      <c r="AP142" s="41">
        <f>'3. Verotulot'!AM142/'Veroposentin tuotto'!J142</f>
        <v>90.066523809523801</v>
      </c>
      <c r="AQ142" s="41">
        <f>'3. Verotulot'!AR142/'Veroposentin tuotto'!K142</f>
        <v>105.27747248803828</v>
      </c>
      <c r="AR142" s="41">
        <f>'3. Verotulot'!AW142/'Veroposentin tuotto'!L142</f>
        <v>103.59369246362165</v>
      </c>
      <c r="AS142" s="41">
        <f>'3. Verotulot'!BB142/'Veroposentin tuotto'!M142</f>
        <v>110.25924585944155</v>
      </c>
      <c r="AT142" s="41">
        <f>'3. Verotulot'!BG142/'Veroposentin tuotto'!N142</f>
        <v>113.35203347797615</v>
      </c>
      <c r="AU142" s="41">
        <f>'3. Verotulot'!BL142/'Veroposentin tuotto'!O142</f>
        <v>115.51094779796668</v>
      </c>
      <c r="AV142" s="41">
        <f>'3. Verotulot'!BQ142/'Veroposentin tuotto'!P142</f>
        <v>119.3778478816959</v>
      </c>
      <c r="AX142" s="146"/>
      <c r="AZ142" s="34">
        <v>421</v>
      </c>
      <c r="BA142" s="88" t="s">
        <v>456</v>
      </c>
      <c r="BB142" s="41">
        <f>AI142/'1. Väestöennuste'!E142*1000</f>
        <v>117.50707894736844</v>
      </c>
      <c r="BC142" s="41">
        <f>AJ142/'1. Väestöennuste'!F142*1000</f>
        <v>98.702366273266392</v>
      </c>
      <c r="BD142" s="41">
        <f>AK142/'1. Väestöennuste'!G142*1000</f>
        <v>113.8270263745549</v>
      </c>
      <c r="BE142" s="41">
        <f>AL142/'1. Väestöennuste'!H142*1000</f>
        <v>113.91096465723331</v>
      </c>
      <c r="BF142" s="41">
        <f>AM142/'1. Väestöennuste'!I142*1000</f>
        <v>114.44466520961653</v>
      </c>
      <c r="BG142" s="41">
        <f>AN142/'1. Väestöennuste'!J142*1000</f>
        <v>122.21342830761112</v>
      </c>
      <c r="BH142" s="41">
        <f>AO142/'1. Väestöennuste'!K142*1000</f>
        <v>134.21593615471221</v>
      </c>
      <c r="BI142" s="41">
        <f>AP142/'1. Väestöennuste'!L142*1000</f>
        <v>129.59212058924288</v>
      </c>
      <c r="BJ142" s="41">
        <f>AQ142/'1. Väestöennuste'!M142*1000</f>
        <v>154.36579543700628</v>
      </c>
      <c r="BK142" s="41">
        <f>AR142/'1. Väestöennuste'!N142*1000</f>
        <v>152.79305673100538</v>
      </c>
      <c r="BL142" s="41">
        <f>AS142/'1. Väestöennuste'!O142*1000</f>
        <v>164.81202669572727</v>
      </c>
      <c r="BM142" s="41">
        <f>AT142/'1. Väestöennuste'!P142*1000</f>
        <v>171.74550526966084</v>
      </c>
      <c r="BN142" s="41">
        <f>AU142/'1. Väestöennuste'!Q142*1000</f>
        <v>176.62224433939861</v>
      </c>
      <c r="BO142" s="41">
        <f>AV142/'1. Väestöennuste'!R142*1000</f>
        <v>184.50981125455317</v>
      </c>
    </row>
    <row r="143" spans="1:67" x14ac:dyDescent="0.25">
      <c r="A143" s="30">
        <v>422</v>
      </c>
      <c r="B143" s="47" t="s">
        <v>457</v>
      </c>
      <c r="C143" s="47">
        <v>21</v>
      </c>
      <c r="D143" s="47">
        <v>21</v>
      </c>
      <c r="E143" s="47">
        <v>21</v>
      </c>
      <c r="F143" s="47">
        <v>21</v>
      </c>
      <c r="G143" s="47">
        <v>21</v>
      </c>
      <c r="H143" s="58">
        <v>21</v>
      </c>
      <c r="I143" s="139">
        <v>21</v>
      </c>
      <c r="J143" s="139">
        <v>21</v>
      </c>
      <c r="K143" s="139">
        <f t="shared" ref="K143:K206" si="11">J143-$K$9</f>
        <v>8.36</v>
      </c>
      <c r="L143" s="139">
        <v>8.4</v>
      </c>
      <c r="M143" s="139">
        <f t="shared" si="10"/>
        <v>8.4</v>
      </c>
      <c r="N143" s="147">
        <f t="shared" si="10"/>
        <v>8.4</v>
      </c>
      <c r="O143" s="147">
        <f t="shared" si="10"/>
        <v>8.4</v>
      </c>
      <c r="P143" s="147">
        <f t="shared" si="10"/>
        <v>8.4</v>
      </c>
      <c r="Q143" s="147"/>
      <c r="S143" s="41">
        <f>'3. Verotulot'!D143*100/'Veroposentin tuotto'!C143</f>
        <v>158209.71661904763</v>
      </c>
      <c r="T143" s="41">
        <f>'3. Verotulot'!I143*100/'Veroposentin tuotto'!D143</f>
        <v>153295.23809523811</v>
      </c>
      <c r="U143" s="41">
        <f>'3. Verotulot'!N143*100/'Veroposentin tuotto'!E143</f>
        <v>153780.95238095237</v>
      </c>
      <c r="V143" s="41">
        <f>'3. Verotulot'!S143*100/'Veroposentin tuotto'!F143</f>
        <v>146595.23809523811</v>
      </c>
      <c r="W143" s="41">
        <f>'3. Verotulot'!X143*100/'Veroposentin tuotto'!G143</f>
        <v>148028.57142857142</v>
      </c>
      <c r="X143" s="41">
        <f>'3. Verotulot'!AC143*100/'Veroposentin tuotto'!H143</f>
        <v>151419.04761904763</v>
      </c>
      <c r="Y143" s="41">
        <f>'3. Verotulot'!AH143*100/'Veroposentin tuotto'!I143</f>
        <v>157684.26371428571</v>
      </c>
      <c r="Z143" s="41">
        <f>'3. Verotulot'!AM143*100/'Veroposentin tuotto'!J143</f>
        <v>151921.85985714284</v>
      </c>
      <c r="AA143" s="41">
        <f>'3. Verotulot'!AR143*100/'Veroposentin tuotto'!K143</f>
        <v>190890.93468899521</v>
      </c>
      <c r="AB143" s="41">
        <f>'3. Verotulot'!AW143*100/'Veroposentin tuotto'!L143</f>
        <v>177269.76148143192</v>
      </c>
      <c r="AC143" s="41">
        <f>'3. Verotulot'!BB143*100/'Veroposentin tuotto'!M143</f>
        <v>182222.87956776822</v>
      </c>
      <c r="AD143" s="41">
        <f>'3. Verotulot'!BG143*100/'Veroposentin tuotto'!N143</f>
        <v>185022.94238257711</v>
      </c>
      <c r="AE143" s="41">
        <f>'3. Verotulot'!BL143*100/'Veroposentin tuotto'!O143</f>
        <v>187737.42689420964</v>
      </c>
      <c r="AF143" s="41">
        <f>'3. Verotulot'!BQ143*100/'Veroposentin tuotto'!P143</f>
        <v>191486.08968436415</v>
      </c>
      <c r="AI143" s="41">
        <f>'3. Verotulot'!D143/'Veroposentin tuotto'!C143</f>
        <v>1582.0971661904762</v>
      </c>
      <c r="AJ143" s="41">
        <f>'3. Verotulot'!I143/'Veroposentin tuotto'!D143</f>
        <v>1532.952380952381</v>
      </c>
      <c r="AK143" s="41">
        <f>'3. Verotulot'!N143/'Veroposentin tuotto'!E143</f>
        <v>1537.8095238095239</v>
      </c>
      <c r="AL143" s="41">
        <f>'3. Verotulot'!S143/'Veroposentin tuotto'!F143</f>
        <v>1465.952380952381</v>
      </c>
      <c r="AM143" s="41">
        <f>'3. Verotulot'!X143/'Veroposentin tuotto'!G143</f>
        <v>1480.2857142857142</v>
      </c>
      <c r="AN143" s="41">
        <f>'3. Verotulot'!AC143/'Veroposentin tuotto'!H143</f>
        <v>1514.1904761904761</v>
      </c>
      <c r="AO143" s="41">
        <f>'3. Verotulot'!AH143/'Veroposentin tuotto'!I143</f>
        <v>1576.842637142857</v>
      </c>
      <c r="AP143" s="41">
        <f>'3. Verotulot'!AM143/'Veroposentin tuotto'!J143</f>
        <v>1519.2185985714286</v>
      </c>
      <c r="AQ143" s="41">
        <f>'3. Verotulot'!AR143/'Veroposentin tuotto'!K143</f>
        <v>1908.9093468899523</v>
      </c>
      <c r="AR143" s="41">
        <f>'3. Verotulot'!AW143/'Veroposentin tuotto'!L143</f>
        <v>1772.6976148143192</v>
      </c>
      <c r="AS143" s="41">
        <f>'3. Verotulot'!BB143/'Veroposentin tuotto'!M143</f>
        <v>1822.2287956776822</v>
      </c>
      <c r="AT143" s="41">
        <f>'3. Verotulot'!BG143/'Veroposentin tuotto'!N143</f>
        <v>1850.2294238257712</v>
      </c>
      <c r="AU143" s="41">
        <f>'3. Verotulot'!BL143/'Veroposentin tuotto'!O143</f>
        <v>1877.3742689420965</v>
      </c>
      <c r="AV143" s="41">
        <f>'3. Verotulot'!BQ143/'Veroposentin tuotto'!P143</f>
        <v>1914.8608968436415</v>
      </c>
      <c r="AX143" s="146"/>
      <c r="AZ143" s="34">
        <v>422</v>
      </c>
      <c r="BA143" s="88" t="s">
        <v>457</v>
      </c>
      <c r="BB143" s="41">
        <f>AI143/'1. Väestöennuste'!E143*1000</f>
        <v>134.39493426694497</v>
      </c>
      <c r="BC143" s="41">
        <f>AJ143/'1. Väestöennuste'!F143*1000</f>
        <v>132.37930750884118</v>
      </c>
      <c r="BD143" s="41">
        <f>AK143/'1. Väestöennuste'!G143*1000</f>
        <v>136.12547789762979</v>
      </c>
      <c r="BE143" s="41">
        <f>AL143/'1. Väestöennuste'!H143*1000</f>
        <v>132.0915823528907</v>
      </c>
      <c r="BF143" s="41">
        <f>AM143/'1. Väestöennuste'!I143*1000</f>
        <v>136.00567018428097</v>
      </c>
      <c r="BG143" s="41">
        <f>AN143/'1. Väestöennuste'!J143*1000</f>
        <v>141.26228903726803</v>
      </c>
      <c r="BH143" s="41">
        <f>AO143/'1. Väestöennuste'!K143*1000</f>
        <v>149.56299318437419</v>
      </c>
      <c r="BI143" s="41">
        <f>AP143/'1. Väestöennuste'!L143*1000</f>
        <v>146.47306195250951</v>
      </c>
      <c r="BJ143" s="41">
        <f>AQ143/'1. Väestöennuste'!M143*1000</f>
        <v>186.63564205024954</v>
      </c>
      <c r="BK143" s="41">
        <f>AR143/'1. Väestöennuste'!N143*1000</f>
        <v>177.69623243928621</v>
      </c>
      <c r="BL143" s="41">
        <f>AS143/'1. Väestöennuste'!O143*1000</f>
        <v>185.7332377614598</v>
      </c>
      <c r="BM143" s="41">
        <f>AT143/'1. Väestöennuste'!P143*1000</f>
        <v>191.73361904930272</v>
      </c>
      <c r="BN143" s="41">
        <f>AU143/'1. Väestöennuste'!Q143*1000</f>
        <v>197.72240852470739</v>
      </c>
      <c r="BO143" s="41">
        <f>AV143/'1. Väestöennuste'!R143*1000</f>
        <v>204.86368854644715</v>
      </c>
    </row>
    <row r="144" spans="1:67" x14ac:dyDescent="0.25">
      <c r="A144" s="30">
        <v>423</v>
      </c>
      <c r="B144" s="47" t="s">
        <v>458</v>
      </c>
      <c r="C144" s="47">
        <v>19.5</v>
      </c>
      <c r="D144" s="47">
        <v>19.5</v>
      </c>
      <c r="E144" s="47">
        <v>19.5</v>
      </c>
      <c r="F144" s="47">
        <v>19.5</v>
      </c>
      <c r="G144" s="47">
        <v>19.5</v>
      </c>
      <c r="H144" s="58">
        <v>19.5</v>
      </c>
      <c r="I144" s="139">
        <v>19.75</v>
      </c>
      <c r="J144" s="139">
        <v>19.5</v>
      </c>
      <c r="K144" s="139">
        <f t="shared" si="11"/>
        <v>6.8599999999999994</v>
      </c>
      <c r="L144" s="139">
        <v>6.9</v>
      </c>
      <c r="M144" s="139">
        <f t="shared" si="10"/>
        <v>6.9</v>
      </c>
      <c r="N144" s="147">
        <f t="shared" si="10"/>
        <v>6.9</v>
      </c>
      <c r="O144" s="147">
        <f t="shared" si="10"/>
        <v>6.9</v>
      </c>
      <c r="P144" s="147">
        <f t="shared" si="10"/>
        <v>6.9</v>
      </c>
      <c r="Q144" s="147"/>
      <c r="S144" s="41">
        <f>'3. Verotulot'!D144*100/'Veroposentin tuotto'!C144</f>
        <v>338510.26815384615</v>
      </c>
      <c r="T144" s="41">
        <f>'3. Verotulot'!I144*100/'Veroposentin tuotto'!D144</f>
        <v>354400</v>
      </c>
      <c r="U144" s="41">
        <f>'3. Verotulot'!N144*100/'Veroposentin tuotto'!E144</f>
        <v>353820.51282051281</v>
      </c>
      <c r="V144" s="41">
        <f>'3. Verotulot'!S144*100/'Veroposentin tuotto'!F144</f>
        <v>347835.89743589744</v>
      </c>
      <c r="W144" s="41">
        <f>'3. Verotulot'!X144*100/'Veroposentin tuotto'!G144</f>
        <v>368420.51282051281</v>
      </c>
      <c r="X144" s="41">
        <f>'3. Verotulot'!AC144*100/'Veroposentin tuotto'!H144</f>
        <v>384333.33333333331</v>
      </c>
      <c r="Y144" s="41">
        <f>'3. Verotulot'!AH144*100/'Veroposentin tuotto'!I144</f>
        <v>396011.26749367086</v>
      </c>
      <c r="Z144" s="41">
        <f>'3. Verotulot'!AM144*100/'Veroposentin tuotto'!J144</f>
        <v>418475.83225641027</v>
      </c>
      <c r="AA144" s="41">
        <f>'3. Verotulot'!AR144*100/'Veroposentin tuotto'!K144</f>
        <v>547794.13921282813</v>
      </c>
      <c r="AB144" s="41">
        <f>'3. Verotulot'!AW144*100/'Veroposentin tuotto'!L144</f>
        <v>504289.79642538697</v>
      </c>
      <c r="AC144" s="41">
        <f>'3. Verotulot'!BB144*100/'Veroposentin tuotto'!M144</f>
        <v>538695.70411459799</v>
      </c>
      <c r="AD144" s="41">
        <f>'3. Verotulot'!BG144*100/'Veroposentin tuotto'!N144</f>
        <v>568031.92300403176</v>
      </c>
      <c r="AE144" s="41">
        <f>'3. Verotulot'!BL144*100/'Veroposentin tuotto'!O144</f>
        <v>593558.56543642166</v>
      </c>
      <c r="AF144" s="41">
        <f>'3. Verotulot'!BQ144*100/'Veroposentin tuotto'!P144</f>
        <v>621269.42088615813</v>
      </c>
      <c r="AI144" s="41">
        <f>'3. Verotulot'!D144/'Veroposentin tuotto'!C144</f>
        <v>3385.1026815384616</v>
      </c>
      <c r="AJ144" s="41">
        <f>'3. Verotulot'!I144/'Veroposentin tuotto'!D144</f>
        <v>3544</v>
      </c>
      <c r="AK144" s="41">
        <f>'3. Verotulot'!N144/'Veroposentin tuotto'!E144</f>
        <v>3538.2051282051284</v>
      </c>
      <c r="AL144" s="41">
        <f>'3. Verotulot'!S144/'Veroposentin tuotto'!F144</f>
        <v>3478.3589743589741</v>
      </c>
      <c r="AM144" s="41">
        <f>'3. Verotulot'!X144/'Veroposentin tuotto'!G144</f>
        <v>3684.2051282051284</v>
      </c>
      <c r="AN144" s="41">
        <f>'3. Verotulot'!AC144/'Veroposentin tuotto'!H144</f>
        <v>3843.3333333333335</v>
      </c>
      <c r="AO144" s="41">
        <f>'3. Verotulot'!AH144/'Veroposentin tuotto'!I144</f>
        <v>3960.112674936709</v>
      </c>
      <c r="AP144" s="41">
        <f>'3. Verotulot'!AM144/'Veroposentin tuotto'!J144</f>
        <v>4184.7583225641029</v>
      </c>
      <c r="AQ144" s="41">
        <f>'3. Verotulot'!AR144/'Veroposentin tuotto'!K144</f>
        <v>5477.9413921282812</v>
      </c>
      <c r="AR144" s="41">
        <f>'3. Verotulot'!AW144/'Veroposentin tuotto'!L144</f>
        <v>5042.8979642538698</v>
      </c>
      <c r="AS144" s="41">
        <f>'3. Verotulot'!BB144/'Veroposentin tuotto'!M144</f>
        <v>5386.9570411459799</v>
      </c>
      <c r="AT144" s="41">
        <f>'3. Verotulot'!BG144/'Veroposentin tuotto'!N144</f>
        <v>5680.319230040318</v>
      </c>
      <c r="AU144" s="41">
        <f>'3. Verotulot'!BL144/'Veroposentin tuotto'!O144</f>
        <v>5935.5856543642167</v>
      </c>
      <c r="AV144" s="41">
        <f>'3. Verotulot'!BQ144/'Veroposentin tuotto'!P144</f>
        <v>6212.6942088615806</v>
      </c>
      <c r="AX144" s="146"/>
      <c r="AZ144" s="34">
        <v>423</v>
      </c>
      <c r="BA144" s="88" t="s">
        <v>458</v>
      </c>
      <c r="BB144" s="41">
        <f>AI144/'1. Väestöennuste'!E144*1000</f>
        <v>175.73081459473923</v>
      </c>
      <c r="BC144" s="41">
        <f>AJ144/'1. Väestöennuste'!F144*1000</f>
        <v>182.51107220105055</v>
      </c>
      <c r="BD144" s="41">
        <f>AK144/'1. Väestöennuste'!G144*1000</f>
        <v>180.55751827950237</v>
      </c>
      <c r="BE144" s="41">
        <f>AL144/'1. Väestöennuste'!H144*1000</f>
        <v>175.40007938878392</v>
      </c>
      <c r="BF144" s="41">
        <f>AM144/'1. Väestöennuste'!I144*1000</f>
        <v>184.26553607107775</v>
      </c>
      <c r="BG144" s="41">
        <f>AN144/'1. Väestöennuste'!J144*1000</f>
        <v>190.77401634733116</v>
      </c>
      <c r="BH144" s="41">
        <f>AO144/'1. Väestöennuste'!K144*1000</f>
        <v>195.16596889934993</v>
      </c>
      <c r="BI144" s="41">
        <f>AP144/'1. Väestöennuste'!L144*1000</f>
        <v>204.16443004166965</v>
      </c>
      <c r="BJ144" s="41">
        <f>AQ144/'1. Väestöennuste'!M144*1000</f>
        <v>265.44271900607072</v>
      </c>
      <c r="BK144" s="41">
        <f>AR144/'1. Väestöennuste'!N144*1000</f>
        <v>243.01951540908246</v>
      </c>
      <c r="BL144" s="41">
        <f>AS144/'1. Väestöennuste'!O144*1000</f>
        <v>257.84783846189833</v>
      </c>
      <c r="BM144" s="41">
        <f>AT144/'1. Väestöennuste'!P144*1000</f>
        <v>270.1312169507475</v>
      </c>
      <c r="BN144" s="41">
        <f>AU144/'1. Väestöennuste'!Q144*1000</f>
        <v>280.54949446349752</v>
      </c>
      <c r="BO144" s="41">
        <f>AV144/'1. Väestöennuste'!R144*1000</f>
        <v>292.01852920618478</v>
      </c>
    </row>
    <row r="145" spans="1:67" x14ac:dyDescent="0.25">
      <c r="A145" s="30">
        <v>425</v>
      </c>
      <c r="B145" s="47" t="s">
        <v>459</v>
      </c>
      <c r="C145" s="47">
        <v>20.5</v>
      </c>
      <c r="D145" s="47">
        <v>20.5</v>
      </c>
      <c r="E145" s="47">
        <v>21</v>
      </c>
      <c r="F145" s="47">
        <v>21.5</v>
      </c>
      <c r="G145" s="47">
        <v>21.5</v>
      </c>
      <c r="H145" s="58">
        <v>21.5</v>
      </c>
      <c r="I145" s="139">
        <v>21.5</v>
      </c>
      <c r="J145" s="139">
        <v>21.5</v>
      </c>
      <c r="K145" s="139">
        <f t="shared" si="11"/>
        <v>8.86</v>
      </c>
      <c r="L145" s="139">
        <v>8.9</v>
      </c>
      <c r="M145" s="139">
        <f t="shared" si="10"/>
        <v>8.9</v>
      </c>
      <c r="N145" s="147">
        <f t="shared" si="10"/>
        <v>8.9</v>
      </c>
      <c r="O145" s="147">
        <f t="shared" si="10"/>
        <v>8.9</v>
      </c>
      <c r="P145" s="147">
        <f t="shared" si="10"/>
        <v>8.9</v>
      </c>
      <c r="Q145" s="147"/>
      <c r="S145" s="41">
        <f>'3. Verotulot'!D145*100/'Veroposentin tuotto'!C145</f>
        <v>135390.46029268292</v>
      </c>
      <c r="T145" s="41">
        <f>'3. Verotulot'!I145*100/'Veroposentin tuotto'!D145</f>
        <v>137497.56097560975</v>
      </c>
      <c r="U145" s="41">
        <f>'3. Verotulot'!N145*100/'Veroposentin tuotto'!E145</f>
        <v>140204.76190476189</v>
      </c>
      <c r="V145" s="41">
        <f>'3. Verotulot'!S145*100/'Veroposentin tuotto'!F145</f>
        <v>140274.41860465117</v>
      </c>
      <c r="W145" s="41">
        <f>'3. Verotulot'!X145*100/'Veroposentin tuotto'!G145</f>
        <v>147572.09302325582</v>
      </c>
      <c r="X145" s="41">
        <f>'3. Verotulot'!AC145*100/'Veroposentin tuotto'!H145</f>
        <v>154646.51162790696</v>
      </c>
      <c r="Y145" s="41">
        <f>'3. Verotulot'!AH145*100/'Veroposentin tuotto'!I145</f>
        <v>160246.78344186046</v>
      </c>
      <c r="Z145" s="41">
        <f>'3. Verotulot'!AM145*100/'Veroposentin tuotto'!J145</f>
        <v>167654.14906976742</v>
      </c>
      <c r="AA145" s="41">
        <f>'3. Verotulot'!AR145*100/'Veroposentin tuotto'!K145</f>
        <v>215573.88792325059</v>
      </c>
      <c r="AB145" s="41">
        <f>'3. Verotulot'!AW145*100/'Veroposentin tuotto'!L145</f>
        <v>201281.41537675526</v>
      </c>
      <c r="AC145" s="41">
        <f>'3. Verotulot'!BB145*100/'Veroposentin tuotto'!M145</f>
        <v>215358.06091099518</v>
      </c>
      <c r="AD145" s="41">
        <f>'3. Verotulot'!BG145*100/'Veroposentin tuotto'!N145</f>
        <v>227241.40259335077</v>
      </c>
      <c r="AE145" s="41">
        <f>'3. Verotulot'!BL145*100/'Veroposentin tuotto'!O145</f>
        <v>236302.90564171382</v>
      </c>
      <c r="AF145" s="41">
        <f>'3. Verotulot'!BQ145*100/'Veroposentin tuotto'!P145</f>
        <v>246347.26625112502</v>
      </c>
      <c r="AI145" s="41">
        <f>'3. Verotulot'!D145/'Veroposentin tuotto'!C145</f>
        <v>1353.9046029268293</v>
      </c>
      <c r="AJ145" s="41">
        <f>'3. Verotulot'!I145/'Veroposentin tuotto'!D145</f>
        <v>1374.9756097560976</v>
      </c>
      <c r="AK145" s="41">
        <f>'3. Verotulot'!N145/'Veroposentin tuotto'!E145</f>
        <v>1402.047619047619</v>
      </c>
      <c r="AL145" s="41">
        <f>'3. Verotulot'!S145/'Veroposentin tuotto'!F145</f>
        <v>1402.7441860465117</v>
      </c>
      <c r="AM145" s="41">
        <f>'3. Verotulot'!X145/'Veroposentin tuotto'!G145</f>
        <v>1475.7209302325582</v>
      </c>
      <c r="AN145" s="41">
        <f>'3. Verotulot'!AC145/'Veroposentin tuotto'!H145</f>
        <v>1546.4651162790697</v>
      </c>
      <c r="AO145" s="41">
        <f>'3. Verotulot'!AH145/'Veroposentin tuotto'!I145</f>
        <v>1602.4678344186048</v>
      </c>
      <c r="AP145" s="41">
        <f>'3. Verotulot'!AM145/'Veroposentin tuotto'!J145</f>
        <v>1676.5414906976741</v>
      </c>
      <c r="AQ145" s="41">
        <f>'3. Verotulot'!AR145/'Veroposentin tuotto'!K145</f>
        <v>2155.738879232506</v>
      </c>
      <c r="AR145" s="41">
        <f>'3. Verotulot'!AW145/'Veroposentin tuotto'!L145</f>
        <v>2012.8141537675526</v>
      </c>
      <c r="AS145" s="41">
        <f>'3. Verotulot'!BB145/'Veroposentin tuotto'!M145</f>
        <v>2153.5806091099516</v>
      </c>
      <c r="AT145" s="41">
        <f>'3. Verotulot'!BG145/'Veroposentin tuotto'!N145</f>
        <v>2272.4140259335077</v>
      </c>
      <c r="AU145" s="41">
        <f>'3. Verotulot'!BL145/'Veroposentin tuotto'!O145</f>
        <v>2363.0290564171382</v>
      </c>
      <c r="AV145" s="41">
        <f>'3. Verotulot'!BQ145/'Veroposentin tuotto'!P145</f>
        <v>2463.4726625112503</v>
      </c>
      <c r="AX145" s="146"/>
      <c r="AZ145" s="34">
        <v>425</v>
      </c>
      <c r="BA145" s="88" t="s">
        <v>459</v>
      </c>
      <c r="BB145" s="41">
        <f>AI145/'1. Väestöennuste'!E145*1000</f>
        <v>136.24882790850651</v>
      </c>
      <c r="BC145" s="41">
        <f>AJ145/'1. Väestöennuste'!F145*1000</f>
        <v>137.49756097560976</v>
      </c>
      <c r="BD145" s="41">
        <f>AK145/'1. Väestöennuste'!G145*1000</f>
        <v>138.36451387028708</v>
      </c>
      <c r="BE145" s="41">
        <f>AL145/'1. Väestöennuste'!H145*1000</f>
        <v>138.05178486827199</v>
      </c>
      <c r="BF145" s="41">
        <f>AM145/'1. Väestöennuste'!I145*1000</f>
        <v>144.80629283019903</v>
      </c>
      <c r="BG145" s="41">
        <f>AN145/'1. Väestöennuste'!J145*1000</f>
        <v>151.05148625503708</v>
      </c>
      <c r="BH145" s="41">
        <f>AO145/'1. Väestöennuste'!K145*1000</f>
        <v>156.82793447040564</v>
      </c>
      <c r="BI145" s="41">
        <f>AP145/'1. Väestöennuste'!L145*1000</f>
        <v>163.43746253633009</v>
      </c>
      <c r="BJ145" s="41">
        <f>AQ145/'1. Väestöennuste'!M145*1000</f>
        <v>210.19294844310704</v>
      </c>
      <c r="BK145" s="41">
        <f>AR145/'1. Väestöennuste'!N145*1000</f>
        <v>192.87218798079269</v>
      </c>
      <c r="BL145" s="41">
        <f>AS145/'1. Väestöennuste'!O145*1000</f>
        <v>205.80854444858102</v>
      </c>
      <c r="BM145" s="41">
        <f>AT145/'1. Väestöennuste'!P145*1000</f>
        <v>216.64734730989682</v>
      </c>
      <c r="BN145" s="41">
        <f>AU145/'1. Väestöennuste'!Q145*1000</f>
        <v>224.79347949173689</v>
      </c>
      <c r="BO145" s="41">
        <f>AV145/'1. Väestöennuste'!R145*1000</f>
        <v>233.94802113117285</v>
      </c>
    </row>
    <row r="146" spans="1:67" x14ac:dyDescent="0.25">
      <c r="A146" s="30">
        <v>426</v>
      </c>
      <c r="B146" s="47" t="s">
        <v>460</v>
      </c>
      <c r="C146" s="47">
        <v>21.5</v>
      </c>
      <c r="D146" s="47">
        <v>21.5</v>
      </c>
      <c r="E146" s="47">
        <v>21.5</v>
      </c>
      <c r="F146" s="47">
        <v>21.5</v>
      </c>
      <c r="G146" s="47">
        <v>21.5</v>
      </c>
      <c r="H146" s="58">
        <v>21.5</v>
      </c>
      <c r="I146" s="139">
        <v>21.500000000000004</v>
      </c>
      <c r="J146" s="139">
        <v>21.500000000000004</v>
      </c>
      <c r="K146" s="139">
        <f t="shared" si="11"/>
        <v>8.860000000000003</v>
      </c>
      <c r="L146" s="139">
        <v>8.9</v>
      </c>
      <c r="M146" s="139">
        <f t="shared" si="10"/>
        <v>8.9</v>
      </c>
      <c r="N146" s="147">
        <f t="shared" si="10"/>
        <v>8.9</v>
      </c>
      <c r="O146" s="147">
        <f t="shared" si="10"/>
        <v>8.9</v>
      </c>
      <c r="P146" s="147">
        <f t="shared" si="10"/>
        <v>8.9</v>
      </c>
      <c r="Q146" s="147"/>
      <c r="S146" s="41">
        <f>'3. Verotulot'!D146*100/'Veroposentin tuotto'!C146</f>
        <v>170447.77613953489</v>
      </c>
      <c r="T146" s="41">
        <f>'3. Verotulot'!I146*100/'Veroposentin tuotto'!D146</f>
        <v>170167.44186046513</v>
      </c>
      <c r="U146" s="41">
        <f>'3. Verotulot'!N146*100/'Veroposentin tuotto'!E146</f>
        <v>167758.13953488372</v>
      </c>
      <c r="V146" s="41">
        <f>'3. Verotulot'!S146*100/'Veroposentin tuotto'!F146</f>
        <v>166293.02325581395</v>
      </c>
      <c r="W146" s="41">
        <f>'3. Verotulot'!X146*100/'Veroposentin tuotto'!G146</f>
        <v>172037.20930232559</v>
      </c>
      <c r="X146" s="41">
        <f>'3. Verotulot'!AC146*100/'Veroposentin tuotto'!H146</f>
        <v>175172.09302325582</v>
      </c>
      <c r="Y146" s="41">
        <f>'3. Verotulot'!AH146*100/'Veroposentin tuotto'!I146</f>
        <v>181829.71590697672</v>
      </c>
      <c r="Z146" s="41">
        <f>'3. Verotulot'!AM146*100/'Veroposentin tuotto'!J146</f>
        <v>188730.46274418605</v>
      </c>
      <c r="AA146" s="41">
        <f>'3. Verotulot'!AR146*100/'Veroposentin tuotto'!K146</f>
        <v>232079.79255079004</v>
      </c>
      <c r="AB146" s="41">
        <f>'3. Verotulot'!AW146*100/'Veroposentin tuotto'!L146</f>
        <v>225559.35443844268</v>
      </c>
      <c r="AC146" s="41">
        <f>'3. Verotulot'!BB146*100/'Veroposentin tuotto'!M146</f>
        <v>237695.8574932848</v>
      </c>
      <c r="AD146" s="41">
        <f>'3. Verotulot'!BG146*100/'Veroposentin tuotto'!N146</f>
        <v>249056.75272779365</v>
      </c>
      <c r="AE146" s="41">
        <f>'3. Verotulot'!BL146*100/'Veroposentin tuotto'!O146</f>
        <v>258139.88908630141</v>
      </c>
      <c r="AF146" s="41">
        <f>'3. Verotulot'!BQ146*100/'Veroposentin tuotto'!P146</f>
        <v>268107.69674347038</v>
      </c>
      <c r="AI146" s="41">
        <f>'3. Verotulot'!D146/'Veroposentin tuotto'!C146</f>
        <v>1704.4777613953486</v>
      </c>
      <c r="AJ146" s="41">
        <f>'3. Verotulot'!I146/'Veroposentin tuotto'!D146</f>
        <v>1701.6744186046512</v>
      </c>
      <c r="AK146" s="41">
        <f>'3. Verotulot'!N146/'Veroposentin tuotto'!E146</f>
        <v>1677.5813953488373</v>
      </c>
      <c r="AL146" s="41">
        <f>'3. Verotulot'!S146/'Veroposentin tuotto'!F146</f>
        <v>1662.9302325581396</v>
      </c>
      <c r="AM146" s="41">
        <f>'3. Verotulot'!X146/'Veroposentin tuotto'!G146</f>
        <v>1720.3720930232557</v>
      </c>
      <c r="AN146" s="41">
        <f>'3. Verotulot'!AC146/'Veroposentin tuotto'!H146</f>
        <v>1751.7209302325582</v>
      </c>
      <c r="AO146" s="41">
        <f>'3. Verotulot'!AH146/'Veroposentin tuotto'!I146</f>
        <v>1818.2971590697673</v>
      </c>
      <c r="AP146" s="41">
        <f>'3. Verotulot'!AM146/'Veroposentin tuotto'!J146</f>
        <v>1887.3046274418605</v>
      </c>
      <c r="AQ146" s="41">
        <f>'3. Verotulot'!AR146/'Veroposentin tuotto'!K146</f>
        <v>2320.7979255079003</v>
      </c>
      <c r="AR146" s="41">
        <f>'3. Verotulot'!AW146/'Veroposentin tuotto'!L146</f>
        <v>2255.5935443844269</v>
      </c>
      <c r="AS146" s="41">
        <f>'3. Verotulot'!BB146/'Veroposentin tuotto'!M146</f>
        <v>2376.958574932848</v>
      </c>
      <c r="AT146" s="41">
        <f>'3. Verotulot'!BG146/'Veroposentin tuotto'!N146</f>
        <v>2490.5675272779367</v>
      </c>
      <c r="AU146" s="41">
        <f>'3. Verotulot'!BL146/'Veroposentin tuotto'!O146</f>
        <v>2581.398890863014</v>
      </c>
      <c r="AV146" s="41">
        <f>'3. Verotulot'!BQ146/'Veroposentin tuotto'!P146</f>
        <v>2681.0769674347039</v>
      </c>
      <c r="AX146" s="146"/>
      <c r="AZ146" s="34">
        <v>426</v>
      </c>
      <c r="BA146" s="88" t="s">
        <v>460</v>
      </c>
      <c r="BB146" s="41">
        <f>AI146/'1. Väestöennuste'!E146*1000</f>
        <v>138.14862711909132</v>
      </c>
      <c r="BC146" s="41">
        <f>AJ146/'1. Väestöennuste'!F146*1000</f>
        <v>138.33626685673124</v>
      </c>
      <c r="BD146" s="41">
        <f>AK146/'1. Väestöennuste'!G146*1000</f>
        <v>138.07254282706481</v>
      </c>
      <c r="BE146" s="41">
        <f>AL146/'1. Väestöennuste'!H146*1000</f>
        <v>136.92303273430545</v>
      </c>
      <c r="BF146" s="41">
        <f>AM146/'1. Väestöennuste'!I146*1000</f>
        <v>142.36776671824362</v>
      </c>
      <c r="BG146" s="41">
        <f>AN146/'1. Väestöennuste'!J146*1000</f>
        <v>146.04976907058182</v>
      </c>
      <c r="BH146" s="41">
        <f>AO146/'1. Väestöennuste'!K146*1000</f>
        <v>151.79039644960073</v>
      </c>
      <c r="BI146" s="41">
        <f>AP146/'1. Väestöennuste'!L146*1000</f>
        <v>157.77500647398935</v>
      </c>
      <c r="BJ146" s="41">
        <f>AQ146/'1. Väestöennuste'!M146*1000</f>
        <v>193.90073736384829</v>
      </c>
      <c r="BK146" s="41">
        <f>AR146/'1. Väestöennuste'!N146*1000</f>
        <v>192.03078021321528</v>
      </c>
      <c r="BL146" s="41">
        <f>AS146/'1. Väestöennuste'!O146*1000</f>
        <v>203.50672730589454</v>
      </c>
      <c r="BM146" s="41">
        <f>AT146/'1. Väestöennuste'!P146*1000</f>
        <v>214.46374987324003</v>
      </c>
      <c r="BN146" s="41">
        <f>AU146/'1. Väestöennuste'!Q146*1000</f>
        <v>223.63327478671178</v>
      </c>
      <c r="BO146" s="41">
        <f>AV146/'1. Väestöennuste'!R146*1000</f>
        <v>233.76728288732269</v>
      </c>
    </row>
    <row r="147" spans="1:67" x14ac:dyDescent="0.25">
      <c r="A147" s="30">
        <v>430</v>
      </c>
      <c r="B147" s="47" t="s">
        <v>461</v>
      </c>
      <c r="C147" s="47">
        <v>20.5</v>
      </c>
      <c r="D147" s="47">
        <v>20.5</v>
      </c>
      <c r="E147" s="47">
        <v>20.5</v>
      </c>
      <c r="F147" s="47">
        <v>20.5</v>
      </c>
      <c r="G147" s="47">
        <v>21</v>
      </c>
      <c r="H147" s="58">
        <v>21</v>
      </c>
      <c r="I147" s="139">
        <v>21</v>
      </c>
      <c r="J147" s="139">
        <v>21</v>
      </c>
      <c r="K147" s="139">
        <f t="shared" si="11"/>
        <v>8.36</v>
      </c>
      <c r="L147" s="139">
        <v>8.4</v>
      </c>
      <c r="M147" s="139">
        <f t="shared" si="10"/>
        <v>8.4</v>
      </c>
      <c r="N147" s="147">
        <f t="shared" si="10"/>
        <v>8.4</v>
      </c>
      <c r="O147" s="147">
        <f t="shared" si="10"/>
        <v>8.4</v>
      </c>
      <c r="P147" s="147">
        <f t="shared" si="10"/>
        <v>8.4</v>
      </c>
      <c r="Q147" s="147"/>
      <c r="S147" s="41">
        <f>'3. Verotulot'!D147*100/'Veroposentin tuotto'!C147</f>
        <v>228456.38687804883</v>
      </c>
      <c r="T147" s="41">
        <f>'3. Verotulot'!I147*100/'Veroposentin tuotto'!D147</f>
        <v>226892.68292682926</v>
      </c>
      <c r="U147" s="41">
        <f>'3. Verotulot'!N147*100/'Veroposentin tuotto'!E147</f>
        <v>223268.29268292684</v>
      </c>
      <c r="V147" s="41">
        <f>'3. Verotulot'!S147*100/'Veroposentin tuotto'!F147</f>
        <v>223482.92682926828</v>
      </c>
      <c r="W147" s="41">
        <f>'3. Verotulot'!X147*100/'Veroposentin tuotto'!G147</f>
        <v>222990.47619047618</v>
      </c>
      <c r="X147" s="41">
        <f>'3. Verotulot'!AC147*100/'Veroposentin tuotto'!H147</f>
        <v>230366.66666666666</v>
      </c>
      <c r="Y147" s="41">
        <f>'3. Verotulot'!AH147*100/'Veroposentin tuotto'!I147</f>
        <v>239331.89257142856</v>
      </c>
      <c r="Z147" s="41">
        <f>'3. Verotulot'!AM147*100/'Veroposentin tuotto'!J147</f>
        <v>238666.30552380948</v>
      </c>
      <c r="AA147" s="41">
        <f>'3. Verotulot'!AR147*100/'Veroposentin tuotto'!K147</f>
        <v>300447.79401913873</v>
      </c>
      <c r="AB147" s="41">
        <f>'3. Verotulot'!AW147*100/'Veroposentin tuotto'!L147</f>
        <v>288656.75770735246</v>
      </c>
      <c r="AC147" s="41">
        <f>'3. Verotulot'!BB147*100/'Veroposentin tuotto'!M147</f>
        <v>301213.06759976863</v>
      </c>
      <c r="AD147" s="41">
        <f>'3. Verotulot'!BG147*100/'Veroposentin tuotto'!N147</f>
        <v>312759.96311751148</v>
      </c>
      <c r="AE147" s="41">
        <f>'3. Verotulot'!BL147*100/'Veroposentin tuotto'!O147</f>
        <v>322396.67605505203</v>
      </c>
      <c r="AF147" s="41">
        <f>'3. Verotulot'!BQ147*100/'Veroposentin tuotto'!P147</f>
        <v>333641.17231257947</v>
      </c>
      <c r="AI147" s="41">
        <f>'3. Verotulot'!D147/'Veroposentin tuotto'!C147</f>
        <v>2284.5638687804881</v>
      </c>
      <c r="AJ147" s="41">
        <f>'3. Verotulot'!I147/'Veroposentin tuotto'!D147</f>
        <v>2268.9268292682927</v>
      </c>
      <c r="AK147" s="41">
        <f>'3. Verotulot'!N147/'Veroposentin tuotto'!E147</f>
        <v>2232.6829268292681</v>
      </c>
      <c r="AL147" s="41">
        <f>'3. Verotulot'!S147/'Veroposentin tuotto'!F147</f>
        <v>2234.8292682926831</v>
      </c>
      <c r="AM147" s="41">
        <f>'3. Verotulot'!X147/'Veroposentin tuotto'!G147</f>
        <v>2229.9047619047619</v>
      </c>
      <c r="AN147" s="41">
        <f>'3. Verotulot'!AC147/'Veroposentin tuotto'!H147</f>
        <v>2303.6666666666665</v>
      </c>
      <c r="AO147" s="41">
        <f>'3. Verotulot'!AH147/'Veroposentin tuotto'!I147</f>
        <v>2393.3189257142853</v>
      </c>
      <c r="AP147" s="41">
        <f>'3. Verotulot'!AM147/'Veroposentin tuotto'!J147</f>
        <v>2386.6630552380948</v>
      </c>
      <c r="AQ147" s="41">
        <f>'3. Verotulot'!AR147/'Veroposentin tuotto'!K147</f>
        <v>3004.4779401913875</v>
      </c>
      <c r="AR147" s="41">
        <f>'3. Verotulot'!AW147/'Veroposentin tuotto'!L147</f>
        <v>2886.5675770735243</v>
      </c>
      <c r="AS147" s="41">
        <f>'3. Verotulot'!BB147/'Veroposentin tuotto'!M147</f>
        <v>3012.1306759976865</v>
      </c>
      <c r="AT147" s="41">
        <f>'3. Verotulot'!BG147/'Veroposentin tuotto'!N147</f>
        <v>3127.5996311751146</v>
      </c>
      <c r="AU147" s="41">
        <f>'3. Verotulot'!BL147/'Veroposentin tuotto'!O147</f>
        <v>3223.9667605505201</v>
      </c>
      <c r="AV147" s="41">
        <f>'3. Verotulot'!BQ147/'Veroposentin tuotto'!P147</f>
        <v>3336.4117231257947</v>
      </c>
      <c r="AX147" s="146"/>
      <c r="AZ147" s="34">
        <v>430</v>
      </c>
      <c r="BA147" s="88" t="s">
        <v>461</v>
      </c>
      <c r="BB147" s="41">
        <f>AI147/'1. Väestöennuste'!E147*1000</f>
        <v>138.73588806585826</v>
      </c>
      <c r="BC147" s="41">
        <f>AJ147/'1. Väestöennuste'!F147*1000</f>
        <v>139.48034851345008</v>
      </c>
      <c r="BD147" s="41">
        <f>AK147/'1. Väestöennuste'!G147*1000</f>
        <v>138.24662085630143</v>
      </c>
      <c r="BE147" s="41">
        <f>AL147/'1. Väestöennuste'!H147*1000</f>
        <v>139.39803320188892</v>
      </c>
      <c r="BF147" s="41">
        <f>AM147/'1. Väestöennuste'!I147*1000</f>
        <v>140.46644169478813</v>
      </c>
      <c r="BG147" s="41">
        <f>AN147/'1. Väestöennuste'!J147*1000</f>
        <v>146.07905305432254</v>
      </c>
      <c r="BH147" s="41">
        <f>AO147/'1. Väestöennuste'!K147*1000</f>
        <v>153.14300778821894</v>
      </c>
      <c r="BI147" s="41">
        <f>AP147/'1. Väestöennuste'!L147*1000</f>
        <v>155.05867042867038</v>
      </c>
      <c r="BJ147" s="41">
        <f>AQ147/'1. Väestöennuste'!M147*1000</f>
        <v>194.8429273794674</v>
      </c>
      <c r="BK147" s="41">
        <f>AR147/'1. Väestöennuste'!N147*1000</f>
        <v>189.58147754324997</v>
      </c>
      <c r="BL147" s="41">
        <f>AS147/'1. Väestöennuste'!O147*1000</f>
        <v>199.42602462908414</v>
      </c>
      <c r="BM147" s="41">
        <f>AT147/'1. Väestöennuste'!P147*1000</f>
        <v>208.6875045823123</v>
      </c>
      <c r="BN147" s="41">
        <f>AU147/'1. Väestöennuste'!Q147*1000</f>
        <v>216.75183276526289</v>
      </c>
      <c r="BO147" s="41">
        <f>AV147/'1. Väestöennuste'!R147*1000</f>
        <v>225.96760739084286</v>
      </c>
    </row>
    <row r="148" spans="1:67" x14ac:dyDescent="0.25">
      <c r="A148" s="30">
        <v>433</v>
      </c>
      <c r="B148" s="47" t="s">
        <v>462</v>
      </c>
      <c r="C148" s="47">
        <v>20.5</v>
      </c>
      <c r="D148" s="47">
        <v>21.5</v>
      </c>
      <c r="E148" s="47">
        <v>21.5</v>
      </c>
      <c r="F148" s="47">
        <v>21.5</v>
      </c>
      <c r="G148" s="47">
        <v>21.5</v>
      </c>
      <c r="H148" s="58">
        <v>21.5</v>
      </c>
      <c r="I148" s="139">
        <v>21.5</v>
      </c>
      <c r="J148" s="139">
        <v>21.5</v>
      </c>
      <c r="K148" s="139">
        <f t="shared" si="11"/>
        <v>8.86</v>
      </c>
      <c r="L148" s="139">
        <v>8.9</v>
      </c>
      <c r="M148" s="139">
        <f t="shared" si="10"/>
        <v>8.9</v>
      </c>
      <c r="N148" s="147">
        <f t="shared" si="10"/>
        <v>8.9</v>
      </c>
      <c r="O148" s="147">
        <f t="shared" si="10"/>
        <v>8.9</v>
      </c>
      <c r="P148" s="147">
        <f t="shared" si="10"/>
        <v>8.9</v>
      </c>
      <c r="Q148" s="147"/>
      <c r="S148" s="41">
        <f>'3. Verotulot'!D148*100/'Veroposentin tuotto'!C148</f>
        <v>117700.50551219512</v>
      </c>
      <c r="T148" s="41">
        <f>'3. Verotulot'!I148*100/'Veroposentin tuotto'!D148</f>
        <v>116702.32558139534</v>
      </c>
      <c r="U148" s="41">
        <f>'3. Verotulot'!N148*100/'Veroposentin tuotto'!E148</f>
        <v>118627.90697674418</v>
      </c>
      <c r="V148" s="41">
        <f>'3. Verotulot'!S148*100/'Veroposentin tuotto'!F148</f>
        <v>114441.86046511628</v>
      </c>
      <c r="W148" s="41">
        <f>'3. Verotulot'!X148*100/'Veroposentin tuotto'!G148</f>
        <v>119162.79069767441</v>
      </c>
      <c r="X148" s="41">
        <f>'3. Verotulot'!AC148*100/'Veroposentin tuotto'!H148</f>
        <v>122595.3488372093</v>
      </c>
      <c r="Y148" s="41">
        <f>'3. Verotulot'!AH148*100/'Veroposentin tuotto'!I148</f>
        <v>127796.99893023256</v>
      </c>
      <c r="Z148" s="41">
        <f>'3. Verotulot'!AM148*100/'Veroposentin tuotto'!J148</f>
        <v>134194.546</v>
      </c>
      <c r="AA148" s="41">
        <f>'3. Verotulot'!AR148*100/'Veroposentin tuotto'!K148</f>
        <v>163991.82595936794</v>
      </c>
      <c r="AB148" s="41">
        <f>'3. Verotulot'!AW148*100/'Veroposentin tuotto'!L148</f>
        <v>157011.18655850724</v>
      </c>
      <c r="AC148" s="41">
        <f>'3. Verotulot'!BB148*100/'Veroposentin tuotto'!M148</f>
        <v>166922.29716703293</v>
      </c>
      <c r="AD148" s="41">
        <f>'3. Verotulot'!BG148*100/'Veroposentin tuotto'!N148</f>
        <v>174698.98036784711</v>
      </c>
      <c r="AE148" s="41">
        <f>'3. Verotulot'!BL148*100/'Veroposentin tuotto'!O148</f>
        <v>180687.22472408021</v>
      </c>
      <c r="AF148" s="41">
        <f>'3. Verotulot'!BQ148*100/'Veroposentin tuotto'!P148</f>
        <v>187475.61003961874</v>
      </c>
      <c r="AI148" s="41">
        <f>'3. Verotulot'!D148/'Veroposentin tuotto'!C148</f>
        <v>1177.005055121951</v>
      </c>
      <c r="AJ148" s="41">
        <f>'3. Verotulot'!I148/'Veroposentin tuotto'!D148</f>
        <v>1167.0232558139535</v>
      </c>
      <c r="AK148" s="41">
        <f>'3. Verotulot'!N148/'Veroposentin tuotto'!E148</f>
        <v>1186.2790697674418</v>
      </c>
      <c r="AL148" s="41">
        <f>'3. Verotulot'!S148/'Veroposentin tuotto'!F148</f>
        <v>1144.4186046511627</v>
      </c>
      <c r="AM148" s="41">
        <f>'3. Verotulot'!X148/'Veroposentin tuotto'!G148</f>
        <v>1191.6279069767443</v>
      </c>
      <c r="AN148" s="41">
        <f>'3. Verotulot'!AC148/'Veroposentin tuotto'!H148</f>
        <v>1225.953488372093</v>
      </c>
      <c r="AO148" s="41">
        <f>'3. Verotulot'!AH148/'Veroposentin tuotto'!I148</f>
        <v>1277.9699893023255</v>
      </c>
      <c r="AP148" s="41">
        <f>'3. Verotulot'!AM148/'Veroposentin tuotto'!J148</f>
        <v>1341.9454600000001</v>
      </c>
      <c r="AQ148" s="41">
        <f>'3. Verotulot'!AR148/'Veroposentin tuotto'!K148</f>
        <v>1639.9182595936795</v>
      </c>
      <c r="AR148" s="41">
        <f>'3. Verotulot'!AW148/'Veroposentin tuotto'!L148</f>
        <v>1570.1118655850723</v>
      </c>
      <c r="AS148" s="41">
        <f>'3. Verotulot'!BB148/'Veroposentin tuotto'!M148</f>
        <v>1669.2229716703293</v>
      </c>
      <c r="AT148" s="41">
        <f>'3. Verotulot'!BG148/'Veroposentin tuotto'!N148</f>
        <v>1746.9898036784712</v>
      </c>
      <c r="AU148" s="41">
        <f>'3. Verotulot'!BL148/'Veroposentin tuotto'!O148</f>
        <v>1806.8722472408024</v>
      </c>
      <c r="AV148" s="41">
        <f>'3. Verotulot'!BQ148/'Veroposentin tuotto'!P148</f>
        <v>1874.7561003961873</v>
      </c>
      <c r="AX148" s="146"/>
      <c r="AZ148" s="34">
        <v>433</v>
      </c>
      <c r="BA148" s="88" t="s">
        <v>462</v>
      </c>
      <c r="BB148" s="41">
        <f>AI148/'1. Väestöennuste'!E148*1000</f>
        <v>143.97615353173711</v>
      </c>
      <c r="BC148" s="41">
        <f>AJ148/'1. Väestöennuste'!F148*1000</f>
        <v>144.11252850258748</v>
      </c>
      <c r="BD148" s="41">
        <f>AK148/'1. Väestöennuste'!G148*1000</f>
        <v>147.76769678219253</v>
      </c>
      <c r="BE148" s="41">
        <f>AL148/'1. Väestöennuste'!H148*1000</f>
        <v>145.58180952183724</v>
      </c>
      <c r="BF148" s="41">
        <f>AM148/'1. Väestöennuste'!I148*1000</f>
        <v>152.22635500469394</v>
      </c>
      <c r="BG148" s="41">
        <f>AN148/'1. Väestöennuste'!J148*1000</f>
        <v>156.1127579742892</v>
      </c>
      <c r="BH148" s="41">
        <f>AO148/'1. Väestöennuste'!K148*1000</f>
        <v>163.86331443804661</v>
      </c>
      <c r="BI148" s="41">
        <f>AP148/'1. Väestöennuste'!L148*1000</f>
        <v>173.17659827074465</v>
      </c>
      <c r="BJ148" s="41">
        <f>AQ148/'1. Väestöennuste'!M148*1000</f>
        <v>213.19790166324486</v>
      </c>
      <c r="BK148" s="41">
        <f>AR148/'1. Väestöennuste'!N148*1000</f>
        <v>205.32390029881944</v>
      </c>
      <c r="BL148" s="41">
        <f>AS148/'1. Väestöennuste'!O148*1000</f>
        <v>219.54793787588181</v>
      </c>
      <c r="BM148" s="41">
        <f>AT148/'1. Väestöennuste'!P148*1000</f>
        <v>231.17504349324747</v>
      </c>
      <c r="BN148" s="41">
        <f>AU148/'1. Väestöennuste'!Q148*1000</f>
        <v>240.43542877455786</v>
      </c>
      <c r="BO148" s="41">
        <f>AV148/'1. Väestöennuste'!R148*1000</f>
        <v>250.93777277421864</v>
      </c>
    </row>
    <row r="149" spans="1:67" x14ac:dyDescent="0.25">
      <c r="A149" s="30">
        <v>434</v>
      </c>
      <c r="B149" s="47" t="s">
        <v>463</v>
      </c>
      <c r="C149" s="47">
        <v>19.75</v>
      </c>
      <c r="D149" s="47">
        <v>19.75</v>
      </c>
      <c r="E149" s="47">
        <v>19.75</v>
      </c>
      <c r="F149" s="47">
        <v>19.75</v>
      </c>
      <c r="G149" s="47">
        <v>19.75</v>
      </c>
      <c r="H149" s="58">
        <v>20.25</v>
      </c>
      <c r="I149" s="139">
        <v>20.25</v>
      </c>
      <c r="J149" s="139">
        <v>20.25</v>
      </c>
      <c r="K149" s="139">
        <f t="shared" si="11"/>
        <v>7.6099999999999994</v>
      </c>
      <c r="L149" s="139">
        <v>7.6</v>
      </c>
      <c r="M149" s="139">
        <f t="shared" si="10"/>
        <v>7.6</v>
      </c>
      <c r="N149" s="147">
        <f t="shared" si="10"/>
        <v>7.6</v>
      </c>
      <c r="O149" s="147">
        <f t="shared" si="10"/>
        <v>7.6</v>
      </c>
      <c r="P149" s="147">
        <f t="shared" si="10"/>
        <v>7.6</v>
      </c>
      <c r="Q149" s="147"/>
      <c r="S149" s="41">
        <f>'3. Verotulot'!D149*100/'Veroposentin tuotto'!C149</f>
        <v>249639.88324050629</v>
      </c>
      <c r="T149" s="41">
        <f>'3. Verotulot'!I149*100/'Veroposentin tuotto'!D149</f>
        <v>249954.43037974683</v>
      </c>
      <c r="U149" s="41">
        <f>'3. Verotulot'!N149*100/'Veroposentin tuotto'!E149</f>
        <v>241756.96202531646</v>
      </c>
      <c r="V149" s="41">
        <f>'3. Verotulot'!S149*100/'Veroposentin tuotto'!F149</f>
        <v>231422.78481012658</v>
      </c>
      <c r="W149" s="41">
        <f>'3. Verotulot'!X149*100/'Veroposentin tuotto'!G149</f>
        <v>239200</v>
      </c>
      <c r="X149" s="41">
        <f>'3. Verotulot'!AC149*100/'Veroposentin tuotto'!H149</f>
        <v>247861.72839506174</v>
      </c>
      <c r="Y149" s="41">
        <f>'3. Verotulot'!AH149*100/'Veroposentin tuotto'!I149</f>
        <v>254305.46874074073</v>
      </c>
      <c r="Z149" s="41">
        <f>'3. Verotulot'!AM149*100/'Veroposentin tuotto'!J149</f>
        <v>258308.50533333333</v>
      </c>
      <c r="AA149" s="41">
        <f>'3. Verotulot'!AR149*100/'Veroposentin tuotto'!K149</f>
        <v>335970.20078843628</v>
      </c>
      <c r="AB149" s="41">
        <f>'3. Verotulot'!AW149*100/'Veroposentin tuotto'!L149</f>
        <v>308514.57817354752</v>
      </c>
      <c r="AC149" s="41">
        <f>'3. Verotulot'!BB149*100/'Veroposentin tuotto'!M149</f>
        <v>325595.3470425331</v>
      </c>
      <c r="AD149" s="41">
        <f>'3. Verotulot'!BG149*100/'Veroposentin tuotto'!N149</f>
        <v>338328.38692520326</v>
      </c>
      <c r="AE149" s="41">
        <f>'3. Verotulot'!BL149*100/'Veroposentin tuotto'!O149</f>
        <v>349580.13118373777</v>
      </c>
      <c r="AF149" s="41">
        <f>'3. Verotulot'!BQ149*100/'Veroposentin tuotto'!P149</f>
        <v>362764.6792451666</v>
      </c>
      <c r="AI149" s="41">
        <f>'3. Verotulot'!D149/'Veroposentin tuotto'!C149</f>
        <v>2496.3988324050629</v>
      </c>
      <c r="AJ149" s="41">
        <f>'3. Verotulot'!I149/'Veroposentin tuotto'!D149</f>
        <v>2499.5443037974683</v>
      </c>
      <c r="AK149" s="41">
        <f>'3. Verotulot'!N149/'Veroposentin tuotto'!E149</f>
        <v>2417.5696202531644</v>
      </c>
      <c r="AL149" s="41">
        <f>'3. Verotulot'!S149/'Veroposentin tuotto'!F149</f>
        <v>2314.2278481012659</v>
      </c>
      <c r="AM149" s="41">
        <f>'3. Verotulot'!X149/'Veroposentin tuotto'!G149</f>
        <v>2392</v>
      </c>
      <c r="AN149" s="41">
        <f>'3. Verotulot'!AC149/'Veroposentin tuotto'!H149</f>
        <v>2478.6172839506171</v>
      </c>
      <c r="AO149" s="41">
        <f>'3. Verotulot'!AH149/'Veroposentin tuotto'!I149</f>
        <v>2543.0546874074075</v>
      </c>
      <c r="AP149" s="41">
        <f>'3. Verotulot'!AM149/'Veroposentin tuotto'!J149</f>
        <v>2583.0850533333332</v>
      </c>
      <c r="AQ149" s="41">
        <f>'3. Verotulot'!AR149/'Veroposentin tuotto'!K149</f>
        <v>3359.7020078843634</v>
      </c>
      <c r="AR149" s="41">
        <f>'3. Verotulot'!AW149/'Veroposentin tuotto'!L149</f>
        <v>3085.1457817354753</v>
      </c>
      <c r="AS149" s="41">
        <f>'3. Verotulot'!BB149/'Veroposentin tuotto'!M149</f>
        <v>3255.9534704253315</v>
      </c>
      <c r="AT149" s="41">
        <f>'3. Verotulot'!BG149/'Veroposentin tuotto'!N149</f>
        <v>3383.2838692520322</v>
      </c>
      <c r="AU149" s="41">
        <f>'3. Verotulot'!BL149/'Veroposentin tuotto'!O149</f>
        <v>3495.8013118373774</v>
      </c>
      <c r="AV149" s="41">
        <f>'3. Verotulot'!BQ149/'Veroposentin tuotto'!P149</f>
        <v>3627.6467924516664</v>
      </c>
      <c r="AX149" s="146"/>
      <c r="AZ149" s="34">
        <v>434</v>
      </c>
      <c r="BA149" s="88" t="s">
        <v>463</v>
      </c>
      <c r="BB149" s="41">
        <f>AI149/'1. Väestöennuste'!E149*1000</f>
        <v>163.04609969336181</v>
      </c>
      <c r="BC149" s="41">
        <f>AJ149/'1. Väestöennuste'!F149*1000</f>
        <v>164.35720040751369</v>
      </c>
      <c r="BD149" s="41">
        <f>AK149/'1. Väestöennuste'!G149*1000</f>
        <v>160.2631501659373</v>
      </c>
      <c r="BE149" s="41">
        <f>AL149/'1. Väestöennuste'!H149*1000</f>
        <v>155.41117776517802</v>
      </c>
      <c r="BF149" s="41">
        <f>AM149/'1. Väestöennuste'!I149*1000</f>
        <v>161.92797183861359</v>
      </c>
      <c r="BG149" s="41">
        <f>AN149/'1. Väestöennuste'!J149*1000</f>
        <v>168.0988324144196</v>
      </c>
      <c r="BH149" s="41">
        <f>AO149/'1. Väestöennuste'!K149*1000</f>
        <v>173.67033308798796</v>
      </c>
      <c r="BI149" s="41">
        <f>AP149/'1. Väestöennuste'!L149*1000</f>
        <v>177.31226340838367</v>
      </c>
      <c r="BJ149" s="41">
        <f>AQ149/'1. Väestöennuste'!M149*1000</f>
        <v>232.37667781742726</v>
      </c>
      <c r="BK149" s="41">
        <f>AR149/'1. Väestöennuste'!N149*1000</f>
        <v>215.36794287856722</v>
      </c>
      <c r="BL149" s="41">
        <f>AS149/'1. Väestöennuste'!O149*1000</f>
        <v>228.68053591974515</v>
      </c>
      <c r="BM149" s="41">
        <f>AT149/'1. Väestöennuste'!P149*1000</f>
        <v>239.05065139914029</v>
      </c>
      <c r="BN149" s="41">
        <f>AU149/'1. Väestöennuste'!Q149*1000</f>
        <v>248.31661541677636</v>
      </c>
      <c r="BO149" s="41">
        <f>AV149/'1. Väestöennuste'!R149*1000</f>
        <v>258.96964537776029</v>
      </c>
    </row>
    <row r="150" spans="1:67" x14ac:dyDescent="0.25">
      <c r="A150" s="30">
        <v>435</v>
      </c>
      <c r="B150" s="47" t="s">
        <v>464</v>
      </c>
      <c r="C150" s="47">
        <v>19</v>
      </c>
      <c r="D150" s="47">
        <v>18.5</v>
      </c>
      <c r="E150" s="47">
        <v>18.5</v>
      </c>
      <c r="F150" s="47">
        <v>18.5</v>
      </c>
      <c r="G150" s="47">
        <v>18.5</v>
      </c>
      <c r="H150" s="58">
        <v>18.5</v>
      </c>
      <c r="I150" s="139">
        <v>18.5</v>
      </c>
      <c r="J150" s="139">
        <v>18.5</v>
      </c>
      <c r="K150" s="139">
        <f t="shared" si="11"/>
        <v>5.8599999999999994</v>
      </c>
      <c r="L150" s="139">
        <v>6.4</v>
      </c>
      <c r="M150" s="139">
        <f t="shared" si="10"/>
        <v>6.4</v>
      </c>
      <c r="N150" s="147">
        <f t="shared" si="10"/>
        <v>6.4</v>
      </c>
      <c r="O150" s="147">
        <f t="shared" si="10"/>
        <v>6.4</v>
      </c>
      <c r="P150" s="147">
        <f t="shared" si="10"/>
        <v>6.4</v>
      </c>
      <c r="Q150" s="147"/>
      <c r="S150" s="41">
        <f>'3. Verotulot'!D150*100/'Veroposentin tuotto'!C150</f>
        <v>9526.7694736842095</v>
      </c>
      <c r="T150" s="41">
        <f>'3. Verotulot'!I150*100/'Veroposentin tuotto'!D150</f>
        <v>8610.8108108108099</v>
      </c>
      <c r="U150" s="41">
        <f>'3. Verotulot'!N150*100/'Veroposentin tuotto'!E150</f>
        <v>8945.9459459459467</v>
      </c>
      <c r="V150" s="41">
        <f>'3. Verotulot'!S150*100/'Veroposentin tuotto'!F150</f>
        <v>8589.1891891891901</v>
      </c>
      <c r="W150" s="41">
        <f>'3. Verotulot'!X150*100/'Veroposentin tuotto'!G150</f>
        <v>9470.27027027027</v>
      </c>
      <c r="X150" s="41">
        <f>'3. Verotulot'!AC150*100/'Veroposentin tuotto'!H150</f>
        <v>9551.3513513513517</v>
      </c>
      <c r="Y150" s="41">
        <f>'3. Verotulot'!AH150*100/'Veroposentin tuotto'!I150</f>
        <v>10844.407189189189</v>
      </c>
      <c r="Z150" s="41">
        <f>'3. Verotulot'!AM150*100/'Veroposentin tuotto'!J150</f>
        <v>10999.175513513514</v>
      </c>
      <c r="AA150" s="41">
        <f>'3. Verotulot'!AR150*100/'Veroposentin tuotto'!K150</f>
        <v>15576.91962457338</v>
      </c>
      <c r="AB150" s="41">
        <f>'3. Verotulot'!AW150*100/'Veroposentin tuotto'!L150</f>
        <v>13302.305938205831</v>
      </c>
      <c r="AC150" s="41">
        <f>'3. Verotulot'!BB150*100/'Veroposentin tuotto'!M150</f>
        <v>14037.534971320192</v>
      </c>
      <c r="AD150" s="41">
        <f>'3. Verotulot'!BG150*100/'Veroposentin tuotto'!N150</f>
        <v>14275.530888665628</v>
      </c>
      <c r="AE150" s="41">
        <f>'3. Verotulot'!BL150*100/'Veroposentin tuotto'!O150</f>
        <v>14863.785266061746</v>
      </c>
      <c r="AF150" s="41">
        <f>'3. Verotulot'!BQ150*100/'Veroposentin tuotto'!P150</f>
        <v>15288.646274192697</v>
      </c>
      <c r="AI150" s="41">
        <f>'3. Verotulot'!D150/'Veroposentin tuotto'!C150</f>
        <v>95.267694736842103</v>
      </c>
      <c r="AJ150" s="41">
        <f>'3. Verotulot'!I150/'Veroposentin tuotto'!D150</f>
        <v>86.108108108108112</v>
      </c>
      <c r="AK150" s="41">
        <f>'3. Verotulot'!N150/'Veroposentin tuotto'!E150</f>
        <v>89.459459459459453</v>
      </c>
      <c r="AL150" s="41">
        <f>'3. Verotulot'!S150/'Veroposentin tuotto'!F150</f>
        <v>85.891891891891888</v>
      </c>
      <c r="AM150" s="41">
        <f>'3. Verotulot'!X150/'Veroposentin tuotto'!G150</f>
        <v>94.702702702702709</v>
      </c>
      <c r="AN150" s="41">
        <f>'3. Verotulot'!AC150/'Veroposentin tuotto'!H150</f>
        <v>95.513513513513516</v>
      </c>
      <c r="AO150" s="41">
        <f>'3. Verotulot'!AH150/'Veroposentin tuotto'!I150</f>
        <v>108.44407189189189</v>
      </c>
      <c r="AP150" s="41">
        <f>'3. Verotulot'!AM150/'Veroposentin tuotto'!J150</f>
        <v>109.99175513513514</v>
      </c>
      <c r="AQ150" s="41">
        <f>'3. Verotulot'!AR150/'Veroposentin tuotto'!K150</f>
        <v>155.76919624573381</v>
      </c>
      <c r="AR150" s="41">
        <f>'3. Verotulot'!AW150/'Veroposentin tuotto'!L150</f>
        <v>133.02305938205831</v>
      </c>
      <c r="AS150" s="41">
        <f>'3. Verotulot'!BB150/'Veroposentin tuotto'!M150</f>
        <v>140.3753497132019</v>
      </c>
      <c r="AT150" s="41">
        <f>'3. Verotulot'!BG150/'Veroposentin tuotto'!N150</f>
        <v>142.75530888665628</v>
      </c>
      <c r="AU150" s="41">
        <f>'3. Verotulot'!BL150/'Veroposentin tuotto'!O150</f>
        <v>148.63785266061748</v>
      </c>
      <c r="AV150" s="41">
        <f>'3. Verotulot'!BQ150/'Veroposentin tuotto'!P150</f>
        <v>152.88646274192695</v>
      </c>
      <c r="AX150" s="146"/>
      <c r="AZ150" s="34">
        <v>435</v>
      </c>
      <c r="BA150" s="88" t="s">
        <v>464</v>
      </c>
      <c r="BB150" s="41">
        <f>AI150/'1. Väestöennuste'!E150*1000</f>
        <v>125.18750950964797</v>
      </c>
      <c r="BC150" s="41">
        <f>AJ150/'1. Väestöennuste'!F150*1000</f>
        <v>113.89961389961391</v>
      </c>
      <c r="BD150" s="41">
        <f>AK150/'1. Väestöennuste'!G150*1000</f>
        <v>121.87937256057147</v>
      </c>
      <c r="BE150" s="41">
        <f>AL150/'1. Väestöennuste'!H150*1000</f>
        <v>121.48782445812148</v>
      </c>
      <c r="BF150" s="41">
        <f>AM150/'1. Väestöennuste'!I150*1000</f>
        <v>137.2502937720329</v>
      </c>
      <c r="BG150" s="41">
        <f>AN150/'1. Väestöennuste'!J150*1000</f>
        <v>136.64308084908944</v>
      </c>
      <c r="BH150" s="41">
        <f>AO150/'1. Väestöennuste'!K150*1000</f>
        <v>154.2589927338434</v>
      </c>
      <c r="BI150" s="41">
        <f>AP150/'1. Väestöennuste'!L150*1000</f>
        <v>158.94762302765193</v>
      </c>
      <c r="BJ150" s="41">
        <f>AQ150/'1. Väestöennuste'!M150*1000</f>
        <v>221.89344194548977</v>
      </c>
      <c r="BK150" s="41">
        <f>AR150/'1. Väestöennuste'!N150*1000</f>
        <v>193.62890739746479</v>
      </c>
      <c r="BL150" s="41">
        <f>AS150/'1. Väestöennuste'!O150*1000</f>
        <v>205.52759840878755</v>
      </c>
      <c r="BM150" s="41">
        <f>AT150/'1. Väestöennuste'!P150*1000</f>
        <v>209.01216528060948</v>
      </c>
      <c r="BN150" s="41">
        <f>AU150/'1. Väestöennuste'!Q150*1000</f>
        <v>218.58507744208453</v>
      </c>
      <c r="BO150" s="41">
        <f>AV150/'1. Väestöennuste'!R150*1000</f>
        <v>225.16415720460523</v>
      </c>
    </row>
    <row r="151" spans="1:67" x14ac:dyDescent="0.25">
      <c r="A151" s="30">
        <v>436</v>
      </c>
      <c r="B151" s="47" t="s">
        <v>465</v>
      </c>
      <c r="C151" s="47">
        <v>20.5</v>
      </c>
      <c r="D151" s="47">
        <v>20.75</v>
      </c>
      <c r="E151" s="47">
        <v>20.75</v>
      </c>
      <c r="F151" s="47">
        <v>21</v>
      </c>
      <c r="G151" s="47">
        <v>21</v>
      </c>
      <c r="H151" s="58">
        <v>21</v>
      </c>
      <c r="I151" s="139">
        <v>21</v>
      </c>
      <c r="J151" s="139">
        <v>21</v>
      </c>
      <c r="K151" s="139">
        <f t="shared" si="11"/>
        <v>8.36</v>
      </c>
      <c r="L151" s="139">
        <v>8.9</v>
      </c>
      <c r="M151" s="139">
        <f t="shared" si="10"/>
        <v>8.9</v>
      </c>
      <c r="N151" s="147">
        <f t="shared" si="10"/>
        <v>8.9</v>
      </c>
      <c r="O151" s="147">
        <f t="shared" si="10"/>
        <v>8.9</v>
      </c>
      <c r="P151" s="147">
        <f t="shared" si="10"/>
        <v>8.9</v>
      </c>
      <c r="Q151" s="147"/>
      <c r="S151" s="41">
        <f>'3. Verotulot'!D151*100/'Veroposentin tuotto'!C151</f>
        <v>24577.580926829269</v>
      </c>
      <c r="T151" s="41">
        <f>'3. Verotulot'!I151*100/'Veroposentin tuotto'!D151</f>
        <v>23816.867469879518</v>
      </c>
      <c r="U151" s="41">
        <f>'3. Verotulot'!N151*100/'Veroposentin tuotto'!E151</f>
        <v>25778.313253012049</v>
      </c>
      <c r="V151" s="41">
        <f>'3. Verotulot'!S151*100/'Veroposentin tuotto'!F151</f>
        <v>25023.809523809523</v>
      </c>
      <c r="W151" s="41">
        <f>'3. Verotulot'!X151*100/'Veroposentin tuotto'!G151</f>
        <v>25995.238095238095</v>
      </c>
      <c r="X151" s="41">
        <f>'3. Verotulot'!AC151*100/'Veroposentin tuotto'!H151</f>
        <v>25771.428571428572</v>
      </c>
      <c r="Y151" s="41">
        <f>'3. Verotulot'!AH151*100/'Veroposentin tuotto'!I151</f>
        <v>27451.653571428571</v>
      </c>
      <c r="Z151" s="41">
        <f>'3. Verotulot'!AM151*100/'Veroposentin tuotto'!J151</f>
        <v>27311.201380952378</v>
      </c>
      <c r="AA151" s="41">
        <f>'3. Verotulot'!AR151*100/'Veroposentin tuotto'!K151</f>
        <v>36427.467464114838</v>
      </c>
      <c r="AB151" s="41">
        <f>'3. Verotulot'!AW151*100/'Veroposentin tuotto'!L151</f>
        <v>34457.814124218574</v>
      </c>
      <c r="AC151" s="41">
        <f>'3. Verotulot'!BB151*100/'Veroposentin tuotto'!M151</f>
        <v>36038.118470849477</v>
      </c>
      <c r="AD151" s="41">
        <f>'3. Verotulot'!BG151*100/'Veroposentin tuotto'!N151</f>
        <v>37616.420582615945</v>
      </c>
      <c r="AE151" s="41">
        <f>'3. Verotulot'!BL151*100/'Veroposentin tuotto'!O151</f>
        <v>38974.874517910692</v>
      </c>
      <c r="AF151" s="41">
        <f>'3. Verotulot'!BQ151*100/'Veroposentin tuotto'!P151</f>
        <v>40370.561939778672</v>
      </c>
      <c r="AI151" s="41">
        <f>'3. Verotulot'!D151/'Veroposentin tuotto'!C151</f>
        <v>245.77580926829268</v>
      </c>
      <c r="AJ151" s="41">
        <f>'3. Verotulot'!I151/'Veroposentin tuotto'!D151</f>
        <v>238.16867469879517</v>
      </c>
      <c r="AK151" s="41">
        <f>'3. Verotulot'!N151/'Veroposentin tuotto'!E151</f>
        <v>257.7831325301205</v>
      </c>
      <c r="AL151" s="41">
        <f>'3. Verotulot'!S151/'Veroposentin tuotto'!F151</f>
        <v>250.23809523809524</v>
      </c>
      <c r="AM151" s="41">
        <f>'3. Verotulot'!X151/'Veroposentin tuotto'!G151</f>
        <v>259.95238095238096</v>
      </c>
      <c r="AN151" s="41">
        <f>'3. Verotulot'!AC151/'Veroposentin tuotto'!H151</f>
        <v>257.71428571428572</v>
      </c>
      <c r="AO151" s="41">
        <f>'3. Verotulot'!AH151/'Veroposentin tuotto'!I151</f>
        <v>274.51653571428568</v>
      </c>
      <c r="AP151" s="41">
        <f>'3. Verotulot'!AM151/'Veroposentin tuotto'!J151</f>
        <v>273.11201380952377</v>
      </c>
      <c r="AQ151" s="41">
        <f>'3. Verotulot'!AR151/'Veroposentin tuotto'!K151</f>
        <v>364.27467464114835</v>
      </c>
      <c r="AR151" s="41">
        <f>'3. Verotulot'!AW151/'Veroposentin tuotto'!L151</f>
        <v>344.57814124218572</v>
      </c>
      <c r="AS151" s="41">
        <f>'3. Verotulot'!BB151/'Veroposentin tuotto'!M151</f>
        <v>360.38118470849474</v>
      </c>
      <c r="AT151" s="41">
        <f>'3. Verotulot'!BG151/'Veroposentin tuotto'!N151</f>
        <v>376.16420582615945</v>
      </c>
      <c r="AU151" s="41">
        <f>'3. Verotulot'!BL151/'Veroposentin tuotto'!O151</f>
        <v>389.74874517910695</v>
      </c>
      <c r="AV151" s="41">
        <f>'3. Verotulot'!BQ151/'Veroposentin tuotto'!P151</f>
        <v>403.70561939778673</v>
      </c>
      <c r="AX151" s="146"/>
      <c r="AZ151" s="34">
        <v>436</v>
      </c>
      <c r="BA151" s="88" t="s">
        <v>465</v>
      </c>
      <c r="BB151" s="41">
        <f>AI151/'1. Väestöennuste'!E151*1000</f>
        <v>118.38911814464966</v>
      </c>
      <c r="BC151" s="41">
        <f>AJ151/'1. Väestöennuste'!F151*1000</f>
        <v>113.14426351486706</v>
      </c>
      <c r="BD151" s="41">
        <f>AK151/'1. Väestöennuste'!G151*1000</f>
        <v>123.87464321485848</v>
      </c>
      <c r="BE151" s="41">
        <f>AL151/'1. Väestöennuste'!H151*1000</f>
        <v>121.94838949224915</v>
      </c>
      <c r="BF151" s="41">
        <f>AM151/'1. Väestöennuste'!I151*1000</f>
        <v>128.68929750117869</v>
      </c>
      <c r="BG151" s="41">
        <f>AN151/'1. Väestöennuste'!J151*1000</f>
        <v>126.57872579287118</v>
      </c>
      <c r="BH151" s="41">
        <f>AO151/'1. Väestöennuste'!K151*1000</f>
        <v>136.03396219736655</v>
      </c>
      <c r="BI151" s="41">
        <f>AP151/'1. Väestöennuste'!L151*1000</f>
        <v>137.38028863658138</v>
      </c>
      <c r="BJ151" s="41">
        <f>AQ151/'1. Väestöennuste'!M151*1000</f>
        <v>179.18085324207985</v>
      </c>
      <c r="BK151" s="41">
        <f>AR151/'1. Väestöennuste'!N151*1000</f>
        <v>170.75229992179669</v>
      </c>
      <c r="BL151" s="41">
        <f>AS151/'1. Väestöennuste'!O151*1000</f>
        <v>179.38336720183909</v>
      </c>
      <c r="BM151" s="41">
        <f>AT151/'1. Väestöennuste'!P151*1000</f>
        <v>187.7066895340117</v>
      </c>
      <c r="BN151" s="41">
        <f>AU151/'1. Väestöennuste'!Q151*1000</f>
        <v>195.16712327446518</v>
      </c>
      <c r="BO151" s="41">
        <f>AV151/'1. Väestöennuste'!R151*1000</f>
        <v>202.6634635531058</v>
      </c>
    </row>
    <row r="152" spans="1:67" x14ac:dyDescent="0.25">
      <c r="A152" s="30">
        <v>440</v>
      </c>
      <c r="B152" s="47" t="s">
        <v>466</v>
      </c>
      <c r="C152" s="47">
        <v>20</v>
      </c>
      <c r="D152" s="47">
        <v>19.5</v>
      </c>
      <c r="E152" s="47">
        <v>19.5</v>
      </c>
      <c r="F152" s="47">
        <v>19.5</v>
      </c>
      <c r="G152" s="47">
        <v>19.5</v>
      </c>
      <c r="H152" s="58">
        <v>19.5</v>
      </c>
      <c r="I152" s="139">
        <v>20</v>
      </c>
      <c r="J152" s="139">
        <v>20</v>
      </c>
      <c r="K152" s="139">
        <f t="shared" si="11"/>
        <v>7.3599999999999994</v>
      </c>
      <c r="L152" s="139">
        <v>8.3000000000000007</v>
      </c>
      <c r="M152" s="139">
        <f t="shared" si="10"/>
        <v>8.3000000000000007</v>
      </c>
      <c r="N152" s="147">
        <f t="shared" si="10"/>
        <v>8.3000000000000007</v>
      </c>
      <c r="O152" s="147">
        <f t="shared" si="10"/>
        <v>8.3000000000000007</v>
      </c>
      <c r="P152" s="147">
        <f t="shared" si="10"/>
        <v>8.3000000000000007</v>
      </c>
      <c r="Q152" s="147"/>
      <c r="S152" s="41">
        <f>'3. Verotulot'!D152*100/'Veroposentin tuotto'!C152</f>
        <v>68145.228350000005</v>
      </c>
      <c r="T152" s="41">
        <f>'3. Verotulot'!I152*100/'Veroposentin tuotto'!D152</f>
        <v>69835.897435897437</v>
      </c>
      <c r="U152" s="41">
        <f>'3. Verotulot'!N152*100/'Veroposentin tuotto'!E152</f>
        <v>69723.076923076922</v>
      </c>
      <c r="V152" s="41">
        <f>'3. Verotulot'!S152*100/'Veroposentin tuotto'!F152</f>
        <v>70107.692307692312</v>
      </c>
      <c r="W152" s="41">
        <f>'3. Verotulot'!X152*100/'Veroposentin tuotto'!G152</f>
        <v>73164.102564102563</v>
      </c>
      <c r="X152" s="41">
        <f>'3. Verotulot'!AC152*100/'Veroposentin tuotto'!H152</f>
        <v>79158.974358974359</v>
      </c>
      <c r="Y152" s="41">
        <f>'3. Verotulot'!AH152*100/'Veroposentin tuotto'!I152</f>
        <v>82953.663400000005</v>
      </c>
      <c r="Z152" s="41">
        <f>'3. Verotulot'!AM152*100/'Veroposentin tuotto'!J152</f>
        <v>87539.793850000002</v>
      </c>
      <c r="AA152" s="41">
        <f>'3. Verotulot'!AR152*100/'Veroposentin tuotto'!K152</f>
        <v>112110.89035326088</v>
      </c>
      <c r="AB152" s="41">
        <f>'3. Verotulot'!AW152*100/'Veroposentin tuotto'!L152</f>
        <v>107954.18265703577</v>
      </c>
      <c r="AC152" s="41">
        <f>'3. Verotulot'!BB152*100/'Veroposentin tuotto'!M152</f>
        <v>117739.33236185955</v>
      </c>
      <c r="AD152" s="41">
        <f>'3. Verotulot'!BG152*100/'Veroposentin tuotto'!N152</f>
        <v>126183.2193383157</v>
      </c>
      <c r="AE152" s="41">
        <f>'3. Verotulot'!BL152*100/'Veroposentin tuotto'!O152</f>
        <v>133147.78117679956</v>
      </c>
      <c r="AF152" s="41">
        <f>'3. Verotulot'!BQ152*100/'Veroposentin tuotto'!P152</f>
        <v>140706.76450396993</v>
      </c>
      <c r="AI152" s="41">
        <f>'3. Verotulot'!D152/'Veroposentin tuotto'!C152</f>
        <v>681.45228350000002</v>
      </c>
      <c r="AJ152" s="41">
        <f>'3. Verotulot'!I152/'Veroposentin tuotto'!D152</f>
        <v>698.35897435897436</v>
      </c>
      <c r="AK152" s="41">
        <f>'3. Verotulot'!N152/'Veroposentin tuotto'!E152</f>
        <v>697.23076923076928</v>
      </c>
      <c r="AL152" s="41">
        <f>'3. Verotulot'!S152/'Veroposentin tuotto'!F152</f>
        <v>701.07692307692309</v>
      </c>
      <c r="AM152" s="41">
        <f>'3. Verotulot'!X152/'Veroposentin tuotto'!G152</f>
        <v>731.64102564102564</v>
      </c>
      <c r="AN152" s="41">
        <f>'3. Verotulot'!AC152/'Veroposentin tuotto'!H152</f>
        <v>791.58974358974353</v>
      </c>
      <c r="AO152" s="41">
        <f>'3. Verotulot'!AH152/'Veroposentin tuotto'!I152</f>
        <v>829.53663400000005</v>
      </c>
      <c r="AP152" s="41">
        <f>'3. Verotulot'!AM152/'Veroposentin tuotto'!J152</f>
        <v>875.39793850000001</v>
      </c>
      <c r="AQ152" s="41">
        <f>'3. Verotulot'!AR152/'Veroposentin tuotto'!K152</f>
        <v>1121.1089035326088</v>
      </c>
      <c r="AR152" s="41">
        <f>'3. Verotulot'!AW152/'Veroposentin tuotto'!L152</f>
        <v>1079.5418265703577</v>
      </c>
      <c r="AS152" s="41">
        <f>'3. Verotulot'!BB152/'Veroposentin tuotto'!M152</f>
        <v>1177.3933236185953</v>
      </c>
      <c r="AT152" s="41">
        <f>'3. Verotulot'!BG152/'Veroposentin tuotto'!N152</f>
        <v>1261.8321933831569</v>
      </c>
      <c r="AU152" s="41">
        <f>'3. Verotulot'!BL152/'Veroposentin tuotto'!O152</f>
        <v>1331.4778117679955</v>
      </c>
      <c r="AV152" s="41">
        <f>'3. Verotulot'!BQ152/'Veroposentin tuotto'!P152</f>
        <v>1407.0676450396993</v>
      </c>
      <c r="AX152" s="146"/>
      <c r="AZ152" s="34">
        <v>440</v>
      </c>
      <c r="BA152" s="88" t="s">
        <v>466</v>
      </c>
      <c r="BB152" s="41">
        <f>AI152/'1. Väestöennuste'!E152*1000</f>
        <v>132.39795677093451</v>
      </c>
      <c r="BC152" s="41">
        <f>AJ152/'1. Väestöennuste'!F152*1000</f>
        <v>134.92252209408315</v>
      </c>
      <c r="BD152" s="41">
        <f>AK152/'1. Väestöennuste'!G152*1000</f>
        <v>132.4526537292495</v>
      </c>
      <c r="BE152" s="41">
        <f>AL152/'1. Väestöennuste'!H152*1000</f>
        <v>131.28781331028523</v>
      </c>
      <c r="BF152" s="41">
        <f>AM152/'1. Väestöennuste'!I152*1000</f>
        <v>135.06387772586774</v>
      </c>
      <c r="BG152" s="41">
        <f>AN152/'1. Väestöennuste'!J152*1000</f>
        <v>143.04115352181847</v>
      </c>
      <c r="BH152" s="41">
        <f>AO152/'1. Väestöennuste'!K152*1000</f>
        <v>147.55187371042337</v>
      </c>
      <c r="BI152" s="41">
        <f>AP152/'1. Väestöennuste'!L152*1000</f>
        <v>152.72120350662945</v>
      </c>
      <c r="BJ152" s="41">
        <f>AQ152/'1. Väestöennuste'!M152*1000</f>
        <v>191.87213820513585</v>
      </c>
      <c r="BK152" s="41">
        <f>AR152/'1. Väestöennuste'!N152*1000</f>
        <v>184.06510256954095</v>
      </c>
      <c r="BL152" s="41">
        <f>AS152/'1. Väestöennuste'!O152*1000</f>
        <v>198.31452309560305</v>
      </c>
      <c r="BM152" s="41">
        <f>AT152/'1. Väestöennuste'!P152*1000</f>
        <v>210.0602952194368</v>
      </c>
      <c r="BN152" s="41">
        <f>AU152/'1. Väestöennuste'!Q152*1000</f>
        <v>219.17330234864124</v>
      </c>
      <c r="BO152" s="41">
        <f>AV152/'1. Väestöennuste'!R152*1000</f>
        <v>229.20144079486877</v>
      </c>
    </row>
    <row r="153" spans="1:67" x14ac:dyDescent="0.25">
      <c r="A153" s="30">
        <v>441</v>
      </c>
      <c r="B153" s="47" t="s">
        <v>467</v>
      </c>
      <c r="C153" s="47">
        <v>19.75</v>
      </c>
      <c r="D153" s="47">
        <v>19.75</v>
      </c>
      <c r="E153" s="47">
        <v>19.75</v>
      </c>
      <c r="F153" s="47">
        <v>20.5</v>
      </c>
      <c r="G153" s="47">
        <v>20.5</v>
      </c>
      <c r="H153" s="58">
        <v>20.5</v>
      </c>
      <c r="I153" s="139">
        <v>20.5</v>
      </c>
      <c r="J153" s="139">
        <v>21</v>
      </c>
      <c r="K153" s="139">
        <f t="shared" si="11"/>
        <v>8.36</v>
      </c>
      <c r="L153" s="139">
        <v>8.8000000000000007</v>
      </c>
      <c r="M153" s="139">
        <f t="shared" si="10"/>
        <v>8.8000000000000007</v>
      </c>
      <c r="N153" s="147">
        <f t="shared" si="10"/>
        <v>8.8000000000000007</v>
      </c>
      <c r="O153" s="147">
        <f t="shared" si="10"/>
        <v>8.8000000000000007</v>
      </c>
      <c r="P153" s="147">
        <f t="shared" si="10"/>
        <v>8.8000000000000007</v>
      </c>
      <c r="Q153" s="147"/>
      <c r="S153" s="41">
        <f>'3. Verotulot'!D153*100/'Veroposentin tuotto'!C153</f>
        <v>69376.803341772145</v>
      </c>
      <c r="T153" s="41">
        <f>'3. Verotulot'!I153*100/'Veroposentin tuotto'!D153</f>
        <v>66815.189873417723</v>
      </c>
      <c r="U153" s="41">
        <f>'3. Verotulot'!N153*100/'Veroposentin tuotto'!E153</f>
        <v>68653.16455696203</v>
      </c>
      <c r="V153" s="41">
        <f>'3. Verotulot'!S153*100/'Veroposentin tuotto'!F153</f>
        <v>62546.341463414632</v>
      </c>
      <c r="W153" s="41">
        <f>'3. Verotulot'!X153*100/'Veroposentin tuotto'!G153</f>
        <v>63882.92682926829</v>
      </c>
      <c r="X153" s="41">
        <f>'3. Verotulot'!AC153*100/'Veroposentin tuotto'!H153</f>
        <v>66887.804878048773</v>
      </c>
      <c r="Y153" s="41">
        <f>'3. Verotulot'!AH153*100/'Veroposentin tuotto'!I153</f>
        <v>69393.563024390256</v>
      </c>
      <c r="Z153" s="41">
        <f>'3. Verotulot'!AM153*100/'Veroposentin tuotto'!J153</f>
        <v>68950.791904761907</v>
      </c>
      <c r="AA153" s="41">
        <f>'3. Verotulot'!AR153*100/'Veroposentin tuotto'!K153</f>
        <v>84262.720693779906</v>
      </c>
      <c r="AB153" s="41">
        <f>'3. Verotulot'!AW153*100/'Veroposentin tuotto'!L153</f>
        <v>80157.086271119348</v>
      </c>
      <c r="AC153" s="41">
        <f>'3. Verotulot'!BB153*100/'Veroposentin tuotto'!M153</f>
        <v>83594.873649363348</v>
      </c>
      <c r="AD153" s="41">
        <f>'3. Verotulot'!BG153*100/'Veroposentin tuotto'!N153</f>
        <v>86000.136567514506</v>
      </c>
      <c r="AE153" s="41">
        <f>'3. Verotulot'!BL153*100/'Veroposentin tuotto'!O153</f>
        <v>88202.90438139491</v>
      </c>
      <c r="AF153" s="41">
        <f>'3. Verotulot'!BQ153*100/'Veroposentin tuotto'!P153</f>
        <v>90593.318412760666</v>
      </c>
      <c r="AI153" s="41">
        <f>'3. Verotulot'!D153/'Veroposentin tuotto'!C153</f>
        <v>693.76803341772154</v>
      </c>
      <c r="AJ153" s="41">
        <f>'3. Verotulot'!I153/'Veroposentin tuotto'!D153</f>
        <v>668.15189873417717</v>
      </c>
      <c r="AK153" s="41">
        <f>'3. Verotulot'!N153/'Veroposentin tuotto'!E153</f>
        <v>686.53164556962031</v>
      </c>
      <c r="AL153" s="41">
        <f>'3. Verotulot'!S153/'Veroposentin tuotto'!F153</f>
        <v>625.46341463414637</v>
      </c>
      <c r="AM153" s="41">
        <f>'3. Verotulot'!X153/'Veroposentin tuotto'!G153</f>
        <v>638.82926829268297</v>
      </c>
      <c r="AN153" s="41">
        <f>'3. Verotulot'!AC153/'Veroposentin tuotto'!H153</f>
        <v>668.8780487804878</v>
      </c>
      <c r="AO153" s="41">
        <f>'3. Verotulot'!AH153/'Veroposentin tuotto'!I153</f>
        <v>693.93563024390244</v>
      </c>
      <c r="AP153" s="41">
        <f>'3. Verotulot'!AM153/'Veroposentin tuotto'!J153</f>
        <v>689.50791904761911</v>
      </c>
      <c r="AQ153" s="41">
        <f>'3. Verotulot'!AR153/'Veroposentin tuotto'!K153</f>
        <v>842.62720693779909</v>
      </c>
      <c r="AR153" s="41">
        <f>'3. Verotulot'!AW153/'Veroposentin tuotto'!L153</f>
        <v>801.57086271119363</v>
      </c>
      <c r="AS153" s="41">
        <f>'3. Verotulot'!BB153/'Veroposentin tuotto'!M153</f>
        <v>835.94873649363353</v>
      </c>
      <c r="AT153" s="41">
        <f>'3. Verotulot'!BG153/'Veroposentin tuotto'!N153</f>
        <v>860.00136567514505</v>
      </c>
      <c r="AU153" s="41">
        <f>'3. Verotulot'!BL153/'Veroposentin tuotto'!O153</f>
        <v>882.02904381394922</v>
      </c>
      <c r="AV153" s="41">
        <f>'3. Verotulot'!BQ153/'Veroposentin tuotto'!P153</f>
        <v>905.93318412760664</v>
      </c>
      <c r="AX153" s="146"/>
      <c r="AZ153" s="34">
        <v>441</v>
      </c>
      <c r="BA153" s="88" t="s">
        <v>467</v>
      </c>
      <c r="BB153" s="41">
        <f>AI153/'1. Väestöennuste'!E153*1000</f>
        <v>142.75062416002501</v>
      </c>
      <c r="BC153" s="41">
        <f>AJ153/'1. Väestöennuste'!F153*1000</f>
        <v>138.30509185141321</v>
      </c>
      <c r="BD153" s="41">
        <f>AK153/'1. Väestöennuste'!G153*1000</f>
        <v>144.62431969025076</v>
      </c>
      <c r="BE153" s="41">
        <f>AL153/'1. Väestöennuste'!H153*1000</f>
        <v>134.162036601061</v>
      </c>
      <c r="BF153" s="41">
        <f>AM153/'1. Väestöennuste'!I153*1000</f>
        <v>137.7975125739178</v>
      </c>
      <c r="BG153" s="41">
        <f>AN153/'1. Väestöennuste'!J153*1000</f>
        <v>147.23267637695088</v>
      </c>
      <c r="BH153" s="41">
        <f>AO153/'1. Väestöennuste'!K153*1000</f>
        <v>155.13875033398222</v>
      </c>
      <c r="BI153" s="41">
        <f>AP153/'1. Väestöennuste'!L153*1000</f>
        <v>155.9619812367381</v>
      </c>
      <c r="BJ153" s="41">
        <f>AQ153/'1. Väestöennuste'!M153*1000</f>
        <v>191.68043833889877</v>
      </c>
      <c r="BK153" s="41">
        <f>AR153/'1. Väestöennuste'!N153*1000</f>
        <v>186.58539634804322</v>
      </c>
      <c r="BL153" s="41">
        <f>AS153/'1. Väestöennuste'!O153*1000</f>
        <v>196.92549740721637</v>
      </c>
      <c r="BM153" s="41">
        <f>AT153/'1. Väestöennuste'!P153*1000</f>
        <v>204.85978219989161</v>
      </c>
      <c r="BN153" s="41">
        <f>AU153/'1. Väestöennuste'!Q153*1000</f>
        <v>212.53711899131306</v>
      </c>
      <c r="BO153" s="41">
        <f>AV153/'1. Väestöennuste'!R153*1000</f>
        <v>220.79775386975544</v>
      </c>
    </row>
    <row r="154" spans="1:67" x14ac:dyDescent="0.25">
      <c r="A154" s="30">
        <v>444</v>
      </c>
      <c r="B154" s="47" t="s">
        <v>468</v>
      </c>
      <c r="C154" s="47">
        <v>20.5</v>
      </c>
      <c r="D154" s="47">
        <v>20.5</v>
      </c>
      <c r="E154" s="47">
        <v>20.5</v>
      </c>
      <c r="F154" s="47">
        <v>20.5</v>
      </c>
      <c r="G154" s="47">
        <v>20.5</v>
      </c>
      <c r="H154" s="58">
        <v>20.5</v>
      </c>
      <c r="I154" s="139">
        <v>20.5</v>
      </c>
      <c r="J154" s="139">
        <v>20.5</v>
      </c>
      <c r="K154" s="139">
        <f t="shared" si="11"/>
        <v>7.8599999999999994</v>
      </c>
      <c r="L154" s="139">
        <v>7.9</v>
      </c>
      <c r="M154" s="139">
        <f t="shared" si="10"/>
        <v>7.9</v>
      </c>
      <c r="N154" s="147">
        <f t="shared" si="10"/>
        <v>7.9</v>
      </c>
      <c r="O154" s="147">
        <f t="shared" si="10"/>
        <v>7.9</v>
      </c>
      <c r="P154" s="147">
        <f t="shared" si="10"/>
        <v>7.9</v>
      </c>
      <c r="Q154" s="147"/>
      <c r="S154" s="41">
        <f>'3. Verotulot'!D154*100/'Veroposentin tuotto'!C154</f>
        <v>822432.89643902436</v>
      </c>
      <c r="T154" s="41">
        <f>'3. Verotulot'!I154*100/'Veroposentin tuotto'!D154</f>
        <v>839726.82926829264</v>
      </c>
      <c r="U154" s="41">
        <f>'3. Verotulot'!N154*100/'Veroposentin tuotto'!E154</f>
        <v>832326.82926829264</v>
      </c>
      <c r="V154" s="41">
        <f>'3. Verotulot'!S154*100/'Veroposentin tuotto'!F154</f>
        <v>821463.41463414638</v>
      </c>
      <c r="W154" s="41">
        <f>'3. Verotulot'!X154*100/'Veroposentin tuotto'!G154</f>
        <v>825039.02439024393</v>
      </c>
      <c r="X154" s="41">
        <f>'3. Verotulot'!AC154*100/'Veroposentin tuotto'!H154</f>
        <v>863560.97560975607</v>
      </c>
      <c r="Y154" s="41">
        <f>'3. Verotulot'!AH154*100/'Veroposentin tuotto'!I154</f>
        <v>880798.17678048788</v>
      </c>
      <c r="Z154" s="41">
        <f>'3. Verotulot'!AM154*100/'Veroposentin tuotto'!J154</f>
        <v>904140.19468292687</v>
      </c>
      <c r="AA154" s="41">
        <f>'3. Verotulot'!AR154*100/'Veroposentin tuotto'!K154</f>
        <v>1145702.8964376589</v>
      </c>
      <c r="AB154" s="41">
        <f>'3. Verotulot'!AW154*100/'Veroposentin tuotto'!L154</f>
        <v>1065502.0199363709</v>
      </c>
      <c r="AC154" s="41">
        <f>'3. Verotulot'!BB154*100/'Veroposentin tuotto'!M154</f>
        <v>1121591.5434597549</v>
      </c>
      <c r="AD154" s="41">
        <f>'3. Verotulot'!BG154*100/'Veroposentin tuotto'!N154</f>
        <v>1165440.7278948394</v>
      </c>
      <c r="AE154" s="41">
        <f>'3. Verotulot'!BL154*100/'Veroposentin tuotto'!O154</f>
        <v>1203149.1006812034</v>
      </c>
      <c r="AF154" s="41">
        <f>'3. Verotulot'!BQ154*100/'Veroposentin tuotto'!P154</f>
        <v>1245416.4905216899</v>
      </c>
      <c r="AI154" s="41">
        <f>'3. Verotulot'!D154/'Veroposentin tuotto'!C154</f>
        <v>8224.3289643902444</v>
      </c>
      <c r="AJ154" s="41">
        <f>'3. Verotulot'!I154/'Veroposentin tuotto'!D154</f>
        <v>8397.2682926829275</v>
      </c>
      <c r="AK154" s="41">
        <f>'3. Verotulot'!N154/'Veroposentin tuotto'!E154</f>
        <v>8323.2682926829275</v>
      </c>
      <c r="AL154" s="41">
        <f>'3. Verotulot'!S154/'Veroposentin tuotto'!F154</f>
        <v>8214.6341463414628</v>
      </c>
      <c r="AM154" s="41">
        <f>'3. Verotulot'!X154/'Veroposentin tuotto'!G154</f>
        <v>8250.3902439024387</v>
      </c>
      <c r="AN154" s="41">
        <f>'3. Verotulot'!AC154/'Veroposentin tuotto'!H154</f>
        <v>8635.6097560975613</v>
      </c>
      <c r="AO154" s="41">
        <f>'3. Verotulot'!AH154/'Veroposentin tuotto'!I154</f>
        <v>8807.9817678048785</v>
      </c>
      <c r="AP154" s="41">
        <f>'3. Verotulot'!AM154/'Veroposentin tuotto'!J154</f>
        <v>9041.4019468292681</v>
      </c>
      <c r="AQ154" s="41">
        <f>'3. Verotulot'!AR154/'Veroposentin tuotto'!K154</f>
        <v>11457.02896437659</v>
      </c>
      <c r="AR154" s="41">
        <f>'3. Verotulot'!AW154/'Veroposentin tuotto'!L154</f>
        <v>10655.020199363707</v>
      </c>
      <c r="AS154" s="41">
        <f>'3. Verotulot'!BB154/'Veroposentin tuotto'!M154</f>
        <v>11215.915434597551</v>
      </c>
      <c r="AT154" s="41">
        <f>'3. Verotulot'!BG154/'Veroposentin tuotto'!N154</f>
        <v>11654.407278948394</v>
      </c>
      <c r="AU154" s="41">
        <f>'3. Verotulot'!BL154/'Veroposentin tuotto'!O154</f>
        <v>12031.491006812033</v>
      </c>
      <c r="AV154" s="41">
        <f>'3. Verotulot'!BQ154/'Veroposentin tuotto'!P154</f>
        <v>12454.164905216898</v>
      </c>
      <c r="AX154" s="146"/>
      <c r="AZ154" s="34">
        <v>444</v>
      </c>
      <c r="BA154" s="88" t="s">
        <v>468</v>
      </c>
      <c r="BB154" s="41">
        <f>AI154/'1. Väestöennuste'!E154*1000</f>
        <v>173.68126548244555</v>
      </c>
      <c r="BC154" s="41">
        <f>AJ154/'1. Väestöennuste'!F154*1000</f>
        <v>178.10066581863722</v>
      </c>
      <c r="BD154" s="41">
        <f>AK154/'1. Väestöennuste'!G154*1000</f>
        <v>177.90463380747948</v>
      </c>
      <c r="BE154" s="41">
        <f>AL154/'1. Väestöennuste'!H154*1000</f>
        <v>177.43723315926783</v>
      </c>
      <c r="BF154" s="41">
        <f>AM154/'1. Väestöennuste'!I154*1000</f>
        <v>179.4928803198616</v>
      </c>
      <c r="BG154" s="41">
        <f>AN154/'1. Väestöennuste'!J154*1000</f>
        <v>188.19704825213708</v>
      </c>
      <c r="BH154" s="41">
        <f>AO154/'1. Väestöennuste'!K154*1000</f>
        <v>191.52782829879268</v>
      </c>
      <c r="BI154" s="41">
        <f>AP154/'1. Väestöennuste'!L154*1000</f>
        <v>197.36312123353056</v>
      </c>
      <c r="BJ154" s="41">
        <f>AQ154/'1. Väestöennuste'!M154*1000</f>
        <v>251.00293491897446</v>
      </c>
      <c r="BK154" s="41">
        <f>AR154/'1. Väestöennuste'!N154*1000</f>
        <v>237.32142903453922</v>
      </c>
      <c r="BL154" s="41">
        <f>AS154/'1. Väestöennuste'!O154*1000</f>
        <v>251.08946774267505</v>
      </c>
      <c r="BM154" s="41">
        <f>AT154/'1. Väestöennuste'!P154*1000</f>
        <v>262.18549141635492</v>
      </c>
      <c r="BN154" s="41">
        <f>AU154/'1. Väestöennuste'!Q154*1000</f>
        <v>271.9411207832207</v>
      </c>
      <c r="BO154" s="41">
        <f>AV154/'1. Väestöennuste'!R154*1000</f>
        <v>282.747176997682</v>
      </c>
    </row>
    <row r="155" spans="1:67" x14ac:dyDescent="0.25">
      <c r="A155" s="30">
        <v>445</v>
      </c>
      <c r="B155" s="47" t="s">
        <v>469</v>
      </c>
      <c r="C155" s="47">
        <v>19.75</v>
      </c>
      <c r="D155" s="47">
        <v>19.75</v>
      </c>
      <c r="E155" s="47">
        <v>19.75</v>
      </c>
      <c r="F155" s="47">
        <v>19.75</v>
      </c>
      <c r="G155" s="47">
        <v>19.75</v>
      </c>
      <c r="H155" s="58">
        <v>20</v>
      </c>
      <c r="I155" s="139">
        <v>20.5</v>
      </c>
      <c r="J155" s="139">
        <v>20.5</v>
      </c>
      <c r="K155" s="139">
        <f t="shared" si="11"/>
        <v>7.8599999999999994</v>
      </c>
      <c r="L155" s="139">
        <v>7.9</v>
      </c>
      <c r="M155" s="139">
        <f t="shared" ref="M155:P174" si="12">L155</f>
        <v>7.9</v>
      </c>
      <c r="N155" s="147">
        <f t="shared" si="12"/>
        <v>7.9</v>
      </c>
      <c r="O155" s="147">
        <f t="shared" si="12"/>
        <v>7.9</v>
      </c>
      <c r="P155" s="147">
        <f t="shared" si="12"/>
        <v>7.9</v>
      </c>
      <c r="Q155" s="147"/>
      <c r="S155" s="41">
        <f>'3. Verotulot'!D155*100/'Veroposentin tuotto'!C155</f>
        <v>270099.17179746839</v>
      </c>
      <c r="T155" s="41">
        <f>'3. Verotulot'!I155*100/'Veroposentin tuotto'!D155</f>
        <v>277194.93670886074</v>
      </c>
      <c r="U155" s="41">
        <f>'3. Verotulot'!N155*100/'Veroposentin tuotto'!E155</f>
        <v>277402.5316455696</v>
      </c>
      <c r="V155" s="41">
        <f>'3. Verotulot'!S155*100/'Veroposentin tuotto'!F155</f>
        <v>274815.18987341772</v>
      </c>
      <c r="W155" s="41">
        <f>'3. Verotulot'!X155*100/'Veroposentin tuotto'!G155</f>
        <v>279058.22784810129</v>
      </c>
      <c r="X155" s="41">
        <f>'3. Verotulot'!AC155*100/'Veroposentin tuotto'!H155</f>
        <v>287185</v>
      </c>
      <c r="Y155" s="41">
        <f>'3. Verotulot'!AH155*100/'Veroposentin tuotto'!I155</f>
        <v>292564.56478048785</v>
      </c>
      <c r="Z155" s="41">
        <f>'3. Verotulot'!AM155*100/'Veroposentin tuotto'!J155</f>
        <v>308271.51443902438</v>
      </c>
      <c r="AA155" s="41">
        <f>'3. Verotulot'!AR155*100/'Veroposentin tuotto'!K155</f>
        <v>388566.38256997458</v>
      </c>
      <c r="AB155" s="41">
        <f>'3. Verotulot'!AW155*100/'Veroposentin tuotto'!L155</f>
        <v>359124.62540028722</v>
      </c>
      <c r="AC155" s="41">
        <f>'3. Verotulot'!BB155*100/'Veroposentin tuotto'!M155</f>
        <v>376014.56794647465</v>
      </c>
      <c r="AD155" s="41">
        <f>'3. Verotulot'!BG155*100/'Veroposentin tuotto'!N155</f>
        <v>389459.49360722717</v>
      </c>
      <c r="AE155" s="41">
        <f>'3. Verotulot'!BL155*100/'Veroposentin tuotto'!O155</f>
        <v>400629.5004725054</v>
      </c>
      <c r="AF155" s="41">
        <f>'3. Verotulot'!BQ155*100/'Veroposentin tuotto'!P155</f>
        <v>413515.65280202392</v>
      </c>
      <c r="AI155" s="41">
        <f>'3. Verotulot'!D155/'Veroposentin tuotto'!C155</f>
        <v>2700.9917179746835</v>
      </c>
      <c r="AJ155" s="41">
        <f>'3. Verotulot'!I155/'Veroposentin tuotto'!D155</f>
        <v>2771.9493670886077</v>
      </c>
      <c r="AK155" s="41">
        <f>'3. Verotulot'!N155/'Veroposentin tuotto'!E155</f>
        <v>2774.0253164556962</v>
      </c>
      <c r="AL155" s="41">
        <f>'3. Verotulot'!S155/'Veroposentin tuotto'!F155</f>
        <v>2748.1518987341774</v>
      </c>
      <c r="AM155" s="41">
        <f>'3. Verotulot'!X155/'Veroposentin tuotto'!G155</f>
        <v>2790.5822784810125</v>
      </c>
      <c r="AN155" s="41">
        <f>'3. Verotulot'!AC155/'Veroposentin tuotto'!H155</f>
        <v>2871.85</v>
      </c>
      <c r="AO155" s="41">
        <f>'3. Verotulot'!AH155/'Veroposentin tuotto'!I155</f>
        <v>2925.6456478048781</v>
      </c>
      <c r="AP155" s="41">
        <f>'3. Verotulot'!AM155/'Veroposentin tuotto'!J155</f>
        <v>3082.7151443902439</v>
      </c>
      <c r="AQ155" s="41">
        <f>'3. Verotulot'!AR155/'Veroposentin tuotto'!K155</f>
        <v>3885.6638256997458</v>
      </c>
      <c r="AR155" s="41">
        <f>'3. Verotulot'!AW155/'Veroposentin tuotto'!L155</f>
        <v>3591.2462540028723</v>
      </c>
      <c r="AS155" s="41">
        <f>'3. Verotulot'!BB155/'Veroposentin tuotto'!M155</f>
        <v>3760.1456794647461</v>
      </c>
      <c r="AT155" s="41">
        <f>'3. Verotulot'!BG155/'Veroposentin tuotto'!N155</f>
        <v>3894.5949360722711</v>
      </c>
      <c r="AU155" s="41">
        <f>'3. Verotulot'!BL155/'Veroposentin tuotto'!O155</f>
        <v>4006.2950047250538</v>
      </c>
      <c r="AV155" s="41">
        <f>'3. Verotulot'!BQ155/'Veroposentin tuotto'!P155</f>
        <v>4135.1565280202385</v>
      </c>
      <c r="AX155" s="146"/>
      <c r="AZ155" s="34">
        <v>445</v>
      </c>
      <c r="BA155" s="88" t="s">
        <v>469</v>
      </c>
      <c r="BB155" s="41">
        <f>AI155/'1. Väestöennuste'!E155*1000</f>
        <v>174.74229915084968</v>
      </c>
      <c r="BC155" s="41">
        <f>AJ155/'1. Väestöennuste'!F155*1000</f>
        <v>180.0200913812578</v>
      </c>
      <c r="BD155" s="41">
        <f>AK155/'1. Väestöennuste'!G155*1000</f>
        <v>181.48677242104651</v>
      </c>
      <c r="BE155" s="41">
        <f>AL155/'1. Väestöennuste'!H155*1000</f>
        <v>180.59748299495152</v>
      </c>
      <c r="BF155" s="41">
        <f>AM155/'1. Väestöennuste'!I155*1000</f>
        <v>184.41595813382318</v>
      </c>
      <c r="BG155" s="41">
        <f>AN155/'1. Väestöennuste'!J155*1000</f>
        <v>190.12578616352201</v>
      </c>
      <c r="BH155" s="41">
        <f>AO155/'1. Väestöennuste'!K155*1000</f>
        <v>193.93117113912754</v>
      </c>
      <c r="BI155" s="41">
        <f>AP155/'1. Väestöennuste'!L155*1000</f>
        <v>205.63772559470641</v>
      </c>
      <c r="BJ155" s="41">
        <f>AQ155/'1. Väestöennuste'!M155*1000</f>
        <v>259.06152581503738</v>
      </c>
      <c r="BK155" s="41">
        <f>AR155/'1. Väestöennuste'!N155*1000</f>
        <v>242.55344144285237</v>
      </c>
      <c r="BL155" s="41">
        <f>AS155/'1. Väestöennuste'!O155*1000</f>
        <v>255.08077331692192</v>
      </c>
      <c r="BM155" s="41">
        <f>AT155/'1. Väestöennuste'!P155*1000</f>
        <v>265.31745596241376</v>
      </c>
      <c r="BN155" s="41">
        <f>AU155/'1. Väestöennuste'!Q155*1000</f>
        <v>274.00964398639309</v>
      </c>
      <c r="BO155" s="41">
        <f>AV155/'1. Väestöennuste'!R155*1000</f>
        <v>283.94949722036932</v>
      </c>
    </row>
    <row r="156" spans="1:67" x14ac:dyDescent="0.25">
      <c r="A156" s="30">
        <v>475</v>
      </c>
      <c r="B156" s="47" t="s">
        <v>470</v>
      </c>
      <c r="C156" s="47">
        <v>21.5</v>
      </c>
      <c r="D156" s="47">
        <v>21.5</v>
      </c>
      <c r="E156" s="47">
        <v>21.5</v>
      </c>
      <c r="F156" s="47">
        <v>21.5</v>
      </c>
      <c r="G156" s="47">
        <v>21.5</v>
      </c>
      <c r="H156" s="58">
        <v>21.5</v>
      </c>
      <c r="I156" s="139">
        <v>21.499999999999996</v>
      </c>
      <c r="J156" s="139">
        <v>21.499999999999996</v>
      </c>
      <c r="K156" s="139">
        <f t="shared" si="11"/>
        <v>8.8599999999999959</v>
      </c>
      <c r="L156" s="139">
        <v>8.9</v>
      </c>
      <c r="M156" s="139">
        <f t="shared" si="12"/>
        <v>8.9</v>
      </c>
      <c r="N156" s="147">
        <f t="shared" si="12"/>
        <v>8.9</v>
      </c>
      <c r="O156" s="147">
        <f t="shared" si="12"/>
        <v>8.9</v>
      </c>
      <c r="P156" s="147">
        <f t="shared" si="12"/>
        <v>8.9</v>
      </c>
      <c r="Q156" s="147"/>
      <c r="S156" s="41">
        <f>'3. Verotulot'!D156*100/'Veroposentin tuotto'!C156</f>
        <v>79036.283581395357</v>
      </c>
      <c r="T156" s="41">
        <f>'3. Verotulot'!I156*100/'Veroposentin tuotto'!D156</f>
        <v>79027.906976744183</v>
      </c>
      <c r="U156" s="41">
        <f>'3. Verotulot'!N156*100/'Veroposentin tuotto'!E156</f>
        <v>79195.348837209298</v>
      </c>
      <c r="V156" s="41">
        <f>'3. Verotulot'!S156*100/'Veroposentin tuotto'!F156</f>
        <v>77172.093023255817</v>
      </c>
      <c r="W156" s="41">
        <f>'3. Verotulot'!X156*100/'Veroposentin tuotto'!G156</f>
        <v>81916.279069767435</v>
      </c>
      <c r="X156" s="41">
        <f>'3. Verotulot'!AC156*100/'Veroposentin tuotto'!H156</f>
        <v>82241.860465116275</v>
      </c>
      <c r="Y156" s="41">
        <f>'3. Verotulot'!AH156*100/'Veroposentin tuotto'!I156</f>
        <v>85649.343581395369</v>
      </c>
      <c r="Z156" s="41">
        <f>'3. Verotulot'!AM156*100/'Veroposentin tuotto'!J156</f>
        <v>92486.783023255834</v>
      </c>
      <c r="AA156" s="41">
        <f>'3. Verotulot'!AR156*100/'Veroposentin tuotto'!K156</f>
        <v>112319.97099322804</v>
      </c>
      <c r="AB156" s="41">
        <f>'3. Verotulot'!AW156*100/'Veroposentin tuotto'!L156</f>
        <v>109184.49235433691</v>
      </c>
      <c r="AC156" s="41">
        <f>'3. Verotulot'!BB156*100/'Veroposentin tuotto'!M156</f>
        <v>116775.9278535846</v>
      </c>
      <c r="AD156" s="41">
        <f>'3. Verotulot'!BG156*100/'Veroposentin tuotto'!N156</f>
        <v>123013.7477135395</v>
      </c>
      <c r="AE156" s="41">
        <f>'3. Verotulot'!BL156*100/'Veroposentin tuotto'!O156</f>
        <v>127904.31661245298</v>
      </c>
      <c r="AF156" s="41">
        <f>'3. Verotulot'!BQ156*100/'Veroposentin tuotto'!P156</f>
        <v>133216.33628851027</v>
      </c>
      <c r="AI156" s="41">
        <f>'3. Verotulot'!D156/'Veroposentin tuotto'!C156</f>
        <v>790.36283581395355</v>
      </c>
      <c r="AJ156" s="41">
        <f>'3. Verotulot'!I156/'Veroposentin tuotto'!D156</f>
        <v>790.27906976744191</v>
      </c>
      <c r="AK156" s="41">
        <f>'3. Verotulot'!N156/'Veroposentin tuotto'!E156</f>
        <v>791.95348837209303</v>
      </c>
      <c r="AL156" s="41">
        <f>'3. Verotulot'!S156/'Veroposentin tuotto'!F156</f>
        <v>771.72093023255809</v>
      </c>
      <c r="AM156" s="41">
        <f>'3. Verotulot'!X156/'Veroposentin tuotto'!G156</f>
        <v>819.16279069767438</v>
      </c>
      <c r="AN156" s="41">
        <f>'3. Verotulot'!AC156/'Veroposentin tuotto'!H156</f>
        <v>822.41860465116281</v>
      </c>
      <c r="AO156" s="41">
        <f>'3. Verotulot'!AH156/'Veroposentin tuotto'!I156</f>
        <v>856.49343581395362</v>
      </c>
      <c r="AP156" s="41">
        <f>'3. Verotulot'!AM156/'Veroposentin tuotto'!J156</f>
        <v>924.86783023255839</v>
      </c>
      <c r="AQ156" s="41">
        <f>'3. Verotulot'!AR156/'Veroposentin tuotto'!K156</f>
        <v>1123.1997099322803</v>
      </c>
      <c r="AR156" s="41">
        <f>'3. Verotulot'!AW156/'Veroposentin tuotto'!L156</f>
        <v>1091.8449235433691</v>
      </c>
      <c r="AS156" s="41">
        <f>'3. Verotulot'!BB156/'Veroposentin tuotto'!M156</f>
        <v>1167.7592785358461</v>
      </c>
      <c r="AT156" s="41">
        <f>'3. Verotulot'!BG156/'Veroposentin tuotto'!N156</f>
        <v>1230.1374771353951</v>
      </c>
      <c r="AU156" s="41">
        <f>'3. Verotulot'!BL156/'Veroposentin tuotto'!O156</f>
        <v>1279.0431661245298</v>
      </c>
      <c r="AV156" s="41">
        <f>'3. Verotulot'!BQ156/'Veroposentin tuotto'!P156</f>
        <v>1332.1633628851027</v>
      </c>
      <c r="AX156" s="146"/>
      <c r="AZ156" s="34">
        <v>475</v>
      </c>
      <c r="BA156" s="88" t="s">
        <v>470</v>
      </c>
      <c r="BB156" s="41">
        <f>AI156/'1. Väestöennuste'!E156*1000</f>
        <v>142.53612909178602</v>
      </c>
      <c r="BC156" s="41">
        <f>AJ156/'1. Väestöennuste'!F156*1000</f>
        <v>143.24434833558851</v>
      </c>
      <c r="BD156" s="41">
        <f>AK156/'1. Väestöennuste'!G156*1000</f>
        <v>144.59621843565694</v>
      </c>
      <c r="BE156" s="41">
        <f>AL156/'1. Väestöennuste'!H156*1000</f>
        <v>140.90212346769366</v>
      </c>
      <c r="BF156" s="41">
        <f>AM156/'1. Väestöennuste'!I156*1000</f>
        <v>149.61877455665285</v>
      </c>
      <c r="BG156" s="41">
        <f>AN156/'1. Väestöennuste'!J156*1000</f>
        <v>150.87481281437587</v>
      </c>
      <c r="BH156" s="41">
        <f>AO156/'1. Väestöennuste'!K156*1000</f>
        <v>156.09503113066407</v>
      </c>
      <c r="BI156" s="41">
        <f>AP156/'1. Väestöennuste'!L156*1000</f>
        <v>168.80230520762154</v>
      </c>
      <c r="BJ156" s="41">
        <f>AQ156/'1. Väestöennuste'!M156*1000</f>
        <v>205.86504947439155</v>
      </c>
      <c r="BK156" s="41">
        <f>AR156/'1. Väestöennuste'!N156*1000</f>
        <v>202.19350435988318</v>
      </c>
      <c r="BL156" s="41">
        <f>AS156/'1. Väestöennuste'!O156*1000</f>
        <v>216.73334790939981</v>
      </c>
      <c r="BM156" s="41">
        <f>AT156/'1. Väestöennuste'!P156*1000</f>
        <v>228.8202152409589</v>
      </c>
      <c r="BN156" s="41">
        <f>AU156/'1. Väestöennuste'!Q156*1000</f>
        <v>238.53844948238154</v>
      </c>
      <c r="BO156" s="41">
        <f>AV156/'1. Väestöennuste'!R156*1000</f>
        <v>249.42208629191214</v>
      </c>
    </row>
    <row r="157" spans="1:67" x14ac:dyDescent="0.25">
      <c r="A157" s="30">
        <v>480</v>
      </c>
      <c r="B157" s="47" t="s">
        <v>471</v>
      </c>
      <c r="C157" s="47">
        <v>20.25</v>
      </c>
      <c r="D157" s="47">
        <v>20.25</v>
      </c>
      <c r="E157" s="47">
        <v>20.25</v>
      </c>
      <c r="F157" s="47">
        <v>20.75</v>
      </c>
      <c r="G157" s="47">
        <v>20.75</v>
      </c>
      <c r="H157" s="58">
        <v>20.75</v>
      </c>
      <c r="I157" s="139">
        <v>20.75</v>
      </c>
      <c r="J157" s="139">
        <v>20.75</v>
      </c>
      <c r="K157" s="139">
        <f t="shared" si="11"/>
        <v>8.11</v>
      </c>
      <c r="L157" s="139">
        <v>8.5</v>
      </c>
      <c r="M157" s="139">
        <f t="shared" si="12"/>
        <v>8.5</v>
      </c>
      <c r="N157" s="147">
        <f t="shared" si="12"/>
        <v>8.5</v>
      </c>
      <c r="O157" s="147">
        <f t="shared" si="12"/>
        <v>8.5</v>
      </c>
      <c r="P157" s="147">
        <f t="shared" si="12"/>
        <v>8.5</v>
      </c>
      <c r="Q157" s="147"/>
      <c r="S157" s="41">
        <f>'3. Verotulot'!D157*100/'Veroposentin tuotto'!C157</f>
        <v>27648.953086419751</v>
      </c>
      <c r="T157" s="41">
        <f>'3. Verotulot'!I157*100/'Veroposentin tuotto'!D157</f>
        <v>26933.333333333332</v>
      </c>
      <c r="U157" s="41">
        <f>'3. Verotulot'!N157*100/'Veroposentin tuotto'!E157</f>
        <v>29387.654320987655</v>
      </c>
      <c r="V157" s="41">
        <f>'3. Verotulot'!S157*100/'Veroposentin tuotto'!F157</f>
        <v>26949.397590361445</v>
      </c>
      <c r="W157" s="41">
        <f>'3. Verotulot'!X157*100/'Veroposentin tuotto'!G157</f>
        <v>28939.75903614458</v>
      </c>
      <c r="X157" s="41">
        <f>'3. Verotulot'!AC157*100/'Veroposentin tuotto'!H157</f>
        <v>29354.216867469881</v>
      </c>
      <c r="Y157" s="41">
        <f>'3. Verotulot'!AH157*100/'Veroposentin tuotto'!I157</f>
        <v>31125.089542168676</v>
      </c>
      <c r="Z157" s="41">
        <f>'3. Verotulot'!AM157*100/'Veroposentin tuotto'!J157</f>
        <v>31384.599951807231</v>
      </c>
      <c r="AA157" s="41">
        <f>'3. Verotulot'!AR157*100/'Veroposentin tuotto'!K157</f>
        <v>34545.973859432801</v>
      </c>
      <c r="AB157" s="41">
        <f>'3. Verotulot'!AW157*100/'Veroposentin tuotto'!L157</f>
        <v>35791.786795457541</v>
      </c>
      <c r="AC157" s="41">
        <f>'3. Verotulot'!BB157*100/'Veroposentin tuotto'!M157</f>
        <v>39108.037994260361</v>
      </c>
      <c r="AD157" s="41">
        <f>'3. Verotulot'!BG157*100/'Veroposentin tuotto'!N157</f>
        <v>41179.985778605522</v>
      </c>
      <c r="AE157" s="41">
        <f>'3. Verotulot'!BL157*100/'Veroposentin tuotto'!O157</f>
        <v>42912.759777494059</v>
      </c>
      <c r="AF157" s="41">
        <f>'3. Verotulot'!BQ157*100/'Veroposentin tuotto'!P157</f>
        <v>44718.062562467472</v>
      </c>
      <c r="AI157" s="41">
        <f>'3. Verotulot'!D157/'Veroposentin tuotto'!C157</f>
        <v>276.48953086419749</v>
      </c>
      <c r="AJ157" s="41">
        <f>'3. Verotulot'!I157/'Veroposentin tuotto'!D157</f>
        <v>269.33333333333331</v>
      </c>
      <c r="AK157" s="41">
        <f>'3. Verotulot'!N157/'Veroposentin tuotto'!E157</f>
        <v>293.87654320987656</v>
      </c>
      <c r="AL157" s="41">
        <f>'3. Verotulot'!S157/'Veroposentin tuotto'!F157</f>
        <v>269.49397590361446</v>
      </c>
      <c r="AM157" s="41">
        <f>'3. Verotulot'!X157/'Veroposentin tuotto'!G157</f>
        <v>289.39759036144579</v>
      </c>
      <c r="AN157" s="41">
        <f>'3. Verotulot'!AC157/'Veroposentin tuotto'!H157</f>
        <v>293.54216867469881</v>
      </c>
      <c r="AO157" s="41">
        <f>'3. Verotulot'!AH157/'Veroposentin tuotto'!I157</f>
        <v>311.25089542168672</v>
      </c>
      <c r="AP157" s="41">
        <f>'3. Verotulot'!AM157/'Veroposentin tuotto'!J157</f>
        <v>313.84599951807229</v>
      </c>
      <c r="AQ157" s="41">
        <f>'3. Verotulot'!AR157/'Veroposentin tuotto'!K157</f>
        <v>345.45973859432803</v>
      </c>
      <c r="AR157" s="41">
        <f>'3. Verotulot'!AW157/'Veroposentin tuotto'!L157</f>
        <v>357.9178679545754</v>
      </c>
      <c r="AS157" s="41">
        <f>'3. Verotulot'!BB157/'Veroposentin tuotto'!M157</f>
        <v>391.08037994260354</v>
      </c>
      <c r="AT157" s="41">
        <f>'3. Verotulot'!BG157/'Veroposentin tuotto'!N157</f>
        <v>411.79985778605521</v>
      </c>
      <c r="AU157" s="41">
        <f>'3. Verotulot'!BL157/'Veroposentin tuotto'!O157</f>
        <v>429.12759777494057</v>
      </c>
      <c r="AV157" s="41">
        <f>'3. Verotulot'!BQ157/'Veroposentin tuotto'!P157</f>
        <v>447.18062562467469</v>
      </c>
      <c r="AX157" s="146"/>
      <c r="AZ157" s="34">
        <v>480</v>
      </c>
      <c r="BA157" s="88" t="s">
        <v>471</v>
      </c>
      <c r="BB157" s="41">
        <f>AI157/'1. Väestöennuste'!E157*1000</f>
        <v>136.3360605839238</v>
      </c>
      <c r="BC157" s="41">
        <f>AJ157/'1. Väestöennuste'!F157*1000</f>
        <v>133.26735939303975</v>
      </c>
      <c r="BD157" s="41">
        <f>AK157/'1. Väestöennuste'!G157*1000</f>
        <v>147.82522294259385</v>
      </c>
      <c r="BE157" s="41">
        <f>AL157/'1. Väestöennuste'!H157*1000</f>
        <v>133.54508221190011</v>
      </c>
      <c r="BF157" s="41">
        <f>AM157/'1. Väestöennuste'!I157*1000</f>
        <v>143.76432705486627</v>
      </c>
      <c r="BG157" s="41">
        <f>AN157/'1. Väestöennuste'!J157*1000</f>
        <v>146.84450659064476</v>
      </c>
      <c r="BH157" s="41">
        <f>AO157/'1. Väestöennuste'!K157*1000</f>
        <v>156.40748513652599</v>
      </c>
      <c r="BI157" s="41">
        <f>AP157/'1. Väestöennuste'!L157*1000</f>
        <v>158.66835162693241</v>
      </c>
      <c r="BJ157" s="41">
        <f>AQ157/'1. Väestöennuste'!M157*1000</f>
        <v>178.99468320949637</v>
      </c>
      <c r="BK157" s="41">
        <f>AR157/'1. Väestöennuste'!N157*1000</f>
        <v>180.67534980039142</v>
      </c>
      <c r="BL157" s="41">
        <f>AS157/'1. Väestöennuste'!O157*1000</f>
        <v>197.81506319807968</v>
      </c>
      <c r="BM157" s="41">
        <f>AT157/'1. Väestöennuste'!P157*1000</f>
        <v>208.61188337692766</v>
      </c>
      <c r="BN157" s="41">
        <f>AU157/'1. Väestöennuste'!Q157*1000</f>
        <v>217.94189831129538</v>
      </c>
      <c r="BO157" s="41">
        <f>AV157/'1. Väestöennuste'!R157*1000</f>
        <v>228.03703499473468</v>
      </c>
    </row>
    <row r="158" spans="1:67" x14ac:dyDescent="0.25">
      <c r="A158" s="30">
        <v>481</v>
      </c>
      <c r="B158" s="47" t="s">
        <v>472</v>
      </c>
      <c r="C158" s="47">
        <v>20.75</v>
      </c>
      <c r="D158" s="47">
        <v>20.75</v>
      </c>
      <c r="E158" s="47">
        <v>20.75</v>
      </c>
      <c r="F158" s="47">
        <v>20.75</v>
      </c>
      <c r="G158" s="47">
        <v>20.75</v>
      </c>
      <c r="H158" s="58">
        <v>20.75</v>
      </c>
      <c r="I158" s="139">
        <v>20.75</v>
      </c>
      <c r="J158" s="139">
        <v>20.75</v>
      </c>
      <c r="K158" s="139">
        <f t="shared" si="11"/>
        <v>8.11</v>
      </c>
      <c r="L158" s="139">
        <v>8.1</v>
      </c>
      <c r="M158" s="139">
        <f t="shared" si="12"/>
        <v>8.1</v>
      </c>
      <c r="N158" s="147">
        <f t="shared" si="12"/>
        <v>8.1</v>
      </c>
      <c r="O158" s="147">
        <f t="shared" si="12"/>
        <v>8.1</v>
      </c>
      <c r="P158" s="147">
        <f t="shared" si="12"/>
        <v>8.1</v>
      </c>
      <c r="Q158" s="147"/>
      <c r="S158" s="41">
        <f>'3. Verotulot'!D158*100/'Veroposentin tuotto'!C158</f>
        <v>173425.08746987948</v>
      </c>
      <c r="T158" s="41">
        <f>'3. Verotulot'!I158*100/'Veroposentin tuotto'!D158</f>
        <v>172814.4578313253</v>
      </c>
      <c r="U158" s="41">
        <f>'3. Verotulot'!N158*100/'Veroposentin tuotto'!E158</f>
        <v>177975.90361445784</v>
      </c>
      <c r="V158" s="41">
        <f>'3. Verotulot'!S158*100/'Veroposentin tuotto'!F158</f>
        <v>177768.67469879519</v>
      </c>
      <c r="W158" s="41">
        <f>'3. Verotulot'!X158*100/'Veroposentin tuotto'!G158</f>
        <v>176886.7469879518</v>
      </c>
      <c r="X158" s="41">
        <f>'3. Verotulot'!AC158*100/'Veroposentin tuotto'!H158</f>
        <v>191007.22891566265</v>
      </c>
      <c r="Y158" s="41">
        <f>'3. Verotulot'!AH158*100/'Veroposentin tuotto'!I158</f>
        <v>188961.86727710845</v>
      </c>
      <c r="Z158" s="41">
        <f>'3. Verotulot'!AM158*100/'Veroposentin tuotto'!J158</f>
        <v>201901.18496385546</v>
      </c>
      <c r="AA158" s="41">
        <f>'3. Verotulot'!AR158*100/'Veroposentin tuotto'!K158</f>
        <v>249782.55080147969</v>
      </c>
      <c r="AB158" s="41">
        <f>'3. Verotulot'!AW158*100/'Veroposentin tuotto'!L158</f>
        <v>235443.76202608534</v>
      </c>
      <c r="AC158" s="41">
        <f>'3. Verotulot'!BB158*100/'Veroposentin tuotto'!M158</f>
        <v>249182.427740424</v>
      </c>
      <c r="AD158" s="41">
        <f>'3. Verotulot'!BG158*100/'Veroposentin tuotto'!N158</f>
        <v>260645.14416624472</v>
      </c>
      <c r="AE158" s="41">
        <f>'3. Verotulot'!BL158*100/'Veroposentin tuotto'!O158</f>
        <v>269809.09347383498</v>
      </c>
      <c r="AF158" s="41">
        <f>'3. Verotulot'!BQ158*100/'Veroposentin tuotto'!P158</f>
        <v>280042.53847886599</v>
      </c>
      <c r="AI158" s="41">
        <f>'3. Verotulot'!D158/'Veroposentin tuotto'!C158</f>
        <v>1734.2508746987951</v>
      </c>
      <c r="AJ158" s="41">
        <f>'3. Verotulot'!I158/'Veroposentin tuotto'!D158</f>
        <v>1728.1445783132531</v>
      </c>
      <c r="AK158" s="41">
        <f>'3. Verotulot'!N158/'Veroposentin tuotto'!E158</f>
        <v>1779.7590361445782</v>
      </c>
      <c r="AL158" s="41">
        <f>'3. Verotulot'!S158/'Veroposentin tuotto'!F158</f>
        <v>1777.6867469879519</v>
      </c>
      <c r="AM158" s="41">
        <f>'3. Verotulot'!X158/'Veroposentin tuotto'!G158</f>
        <v>1768.867469879518</v>
      </c>
      <c r="AN158" s="41">
        <f>'3. Verotulot'!AC158/'Veroposentin tuotto'!H158</f>
        <v>1910.0722891566265</v>
      </c>
      <c r="AO158" s="41">
        <f>'3. Verotulot'!AH158/'Veroposentin tuotto'!I158</f>
        <v>1889.6186727710844</v>
      </c>
      <c r="AP158" s="41">
        <f>'3. Verotulot'!AM158/'Veroposentin tuotto'!J158</f>
        <v>2019.0118496385544</v>
      </c>
      <c r="AQ158" s="41">
        <f>'3. Verotulot'!AR158/'Veroposentin tuotto'!K158</f>
        <v>2497.8255080147969</v>
      </c>
      <c r="AR158" s="41">
        <f>'3. Verotulot'!AW158/'Veroposentin tuotto'!L158</f>
        <v>2354.4376202608537</v>
      </c>
      <c r="AS158" s="41">
        <f>'3. Verotulot'!BB158/'Veroposentin tuotto'!M158</f>
        <v>2491.8242774042401</v>
      </c>
      <c r="AT158" s="41">
        <f>'3. Verotulot'!BG158/'Veroposentin tuotto'!N158</f>
        <v>2606.451441662447</v>
      </c>
      <c r="AU158" s="41">
        <f>'3. Verotulot'!BL158/'Veroposentin tuotto'!O158</f>
        <v>2698.0909347383495</v>
      </c>
      <c r="AV158" s="41">
        <f>'3. Verotulot'!BQ158/'Veroposentin tuotto'!P158</f>
        <v>2800.4253847886598</v>
      </c>
      <c r="AX158" s="146"/>
      <c r="AZ158" s="34">
        <v>481</v>
      </c>
      <c r="BA158" s="88" t="s">
        <v>472</v>
      </c>
      <c r="BB158" s="41">
        <f>AI158/'1. Väestöennuste'!E158*1000</f>
        <v>178.67822735408976</v>
      </c>
      <c r="BC158" s="41">
        <f>AJ158/'1. Väestöennuste'!F158*1000</f>
        <v>178.61959465770059</v>
      </c>
      <c r="BD158" s="41">
        <f>AK158/'1. Väestöennuste'!G158*1000</f>
        <v>184.31638733891657</v>
      </c>
      <c r="BE158" s="41">
        <f>AL158/'1. Väestöennuste'!H158*1000</f>
        <v>186.06727517144148</v>
      </c>
      <c r="BF158" s="41">
        <f>AM158/'1. Väestöennuste'!I158*1000</f>
        <v>185.53256449334151</v>
      </c>
      <c r="BG158" s="41">
        <f>AN158/'1. Väestöennuste'!J158*1000</f>
        <v>200.1542794882769</v>
      </c>
      <c r="BH158" s="41">
        <f>AO158/'1. Väestöennuste'!K158*1000</f>
        <v>196.58954148679615</v>
      </c>
      <c r="BI158" s="41">
        <f>AP158/'1. Väestöennuste'!L158*1000</f>
        <v>209.39761975093907</v>
      </c>
      <c r="BJ158" s="41">
        <f>AQ158/'1. Väestöennuste'!M158*1000</f>
        <v>259.67621457685794</v>
      </c>
      <c r="BK158" s="41">
        <f>AR158/'1. Väestöennuste'!N158*1000</f>
        <v>248.51568717129553</v>
      </c>
      <c r="BL158" s="41">
        <f>AS158/'1. Väestöennuste'!O158*1000</f>
        <v>263.51779583378169</v>
      </c>
      <c r="BM158" s="41">
        <f>AT158/'1. Väestöennuste'!P158*1000</f>
        <v>276.04865935844595</v>
      </c>
      <c r="BN158" s="41">
        <f>AU158/'1. Väestöennuste'!Q158*1000</f>
        <v>286.08747054801717</v>
      </c>
      <c r="BO158" s="41">
        <f>AV158/'1. Väestöennuste'!R158*1000</f>
        <v>297.22196824333048</v>
      </c>
    </row>
    <row r="159" spans="1:67" x14ac:dyDescent="0.25">
      <c r="A159" s="30">
        <v>483</v>
      </c>
      <c r="B159" s="47" t="s">
        <v>473</v>
      </c>
      <c r="C159" s="47">
        <v>21</v>
      </c>
      <c r="D159" s="47">
        <v>21.5</v>
      </c>
      <c r="E159" s="47">
        <v>21.5</v>
      </c>
      <c r="F159" s="47">
        <v>21.5</v>
      </c>
      <c r="G159" s="47">
        <v>22</v>
      </c>
      <c r="H159" s="58">
        <v>22</v>
      </c>
      <c r="I159" s="139">
        <v>22.5</v>
      </c>
      <c r="J159" s="139">
        <v>22.5</v>
      </c>
      <c r="K159" s="139">
        <f t="shared" si="11"/>
        <v>9.86</v>
      </c>
      <c r="L159" s="139">
        <v>10</v>
      </c>
      <c r="M159" s="139">
        <f t="shared" si="12"/>
        <v>10</v>
      </c>
      <c r="N159" s="147">
        <f t="shared" si="12"/>
        <v>10</v>
      </c>
      <c r="O159" s="147">
        <f t="shared" si="12"/>
        <v>10</v>
      </c>
      <c r="P159" s="147">
        <f t="shared" si="12"/>
        <v>10</v>
      </c>
      <c r="Q159" s="147"/>
      <c r="S159" s="41">
        <f>'3. Verotulot'!D159*100/'Veroposentin tuotto'!C159</f>
        <v>11856.235047619048</v>
      </c>
      <c r="T159" s="41">
        <f>'3. Verotulot'!I159*100/'Veroposentin tuotto'!D159</f>
        <v>10130.232558139534</v>
      </c>
      <c r="U159" s="41">
        <f>'3. Verotulot'!N159*100/'Veroposentin tuotto'!E159</f>
        <v>10548.837209302326</v>
      </c>
      <c r="V159" s="41">
        <f>'3. Verotulot'!S159*100/'Veroposentin tuotto'!F159</f>
        <v>9888.3720930232557</v>
      </c>
      <c r="W159" s="41">
        <f>'3. Verotulot'!X159*100/'Veroposentin tuotto'!G159</f>
        <v>10031.818181818182</v>
      </c>
      <c r="X159" s="41">
        <f>'3. Verotulot'!AC159*100/'Veroposentin tuotto'!H159</f>
        <v>10454.545454545454</v>
      </c>
      <c r="Y159" s="41">
        <f>'3. Verotulot'!AH159*100/'Veroposentin tuotto'!I159</f>
        <v>11670.212266666667</v>
      </c>
      <c r="Z159" s="41">
        <f>'3. Verotulot'!AM159*100/'Veroposentin tuotto'!J159</f>
        <v>10575.145955555556</v>
      </c>
      <c r="AA159" s="41">
        <f>'3. Verotulot'!AR159*100/'Veroposentin tuotto'!K159</f>
        <v>13775.649290060854</v>
      </c>
      <c r="AB159" s="41">
        <f>'3. Verotulot'!AW159*100/'Veroposentin tuotto'!L159</f>
        <v>13453.469130932941</v>
      </c>
      <c r="AC159" s="41">
        <f>'3. Verotulot'!BB159*100/'Veroposentin tuotto'!M159</f>
        <v>14122.762048364504</v>
      </c>
      <c r="AD159" s="41">
        <f>'3. Verotulot'!BG159*100/'Veroposentin tuotto'!N159</f>
        <v>14662.923249115926</v>
      </c>
      <c r="AE159" s="41">
        <f>'3. Verotulot'!BL159*100/'Veroposentin tuotto'!O159</f>
        <v>15053.744895233545</v>
      </c>
      <c r="AF159" s="41">
        <f>'3. Verotulot'!BQ159*100/'Veroposentin tuotto'!P159</f>
        <v>15431.873548371488</v>
      </c>
      <c r="AI159" s="41">
        <f>'3. Verotulot'!D159/'Veroposentin tuotto'!C159</f>
        <v>118.56235047619046</v>
      </c>
      <c r="AJ159" s="41">
        <f>'3. Verotulot'!I159/'Veroposentin tuotto'!D159</f>
        <v>101.30232558139535</v>
      </c>
      <c r="AK159" s="41">
        <f>'3. Verotulot'!N159/'Veroposentin tuotto'!E159</f>
        <v>105.48837209302326</v>
      </c>
      <c r="AL159" s="41">
        <f>'3. Verotulot'!S159/'Veroposentin tuotto'!F159</f>
        <v>98.883720930232556</v>
      </c>
      <c r="AM159" s="41">
        <f>'3. Verotulot'!X159/'Veroposentin tuotto'!G159</f>
        <v>100.31818181818181</v>
      </c>
      <c r="AN159" s="41">
        <f>'3. Verotulot'!AC159/'Veroposentin tuotto'!H159</f>
        <v>104.54545454545455</v>
      </c>
      <c r="AO159" s="41">
        <f>'3. Verotulot'!AH159/'Veroposentin tuotto'!I159</f>
        <v>116.70212266666667</v>
      </c>
      <c r="AP159" s="41">
        <f>'3. Verotulot'!AM159/'Veroposentin tuotto'!J159</f>
        <v>105.75145955555556</v>
      </c>
      <c r="AQ159" s="41">
        <f>'3. Verotulot'!AR159/'Veroposentin tuotto'!K159</f>
        <v>137.75649290060852</v>
      </c>
      <c r="AR159" s="41">
        <f>'3. Verotulot'!AW159/'Veroposentin tuotto'!L159</f>
        <v>134.53469130932942</v>
      </c>
      <c r="AS159" s="41">
        <f>'3. Verotulot'!BB159/'Veroposentin tuotto'!M159</f>
        <v>141.22762048364501</v>
      </c>
      <c r="AT159" s="41">
        <f>'3. Verotulot'!BG159/'Veroposentin tuotto'!N159</f>
        <v>146.62923249115926</v>
      </c>
      <c r="AU159" s="41">
        <f>'3. Verotulot'!BL159/'Veroposentin tuotto'!O159</f>
        <v>150.53744895233544</v>
      </c>
      <c r="AV159" s="41">
        <f>'3. Verotulot'!BQ159/'Veroposentin tuotto'!P159</f>
        <v>154.31873548371487</v>
      </c>
      <c r="AX159" s="146"/>
      <c r="AZ159" s="34">
        <v>483</v>
      </c>
      <c r="BA159" s="88" t="s">
        <v>473</v>
      </c>
      <c r="BB159" s="41">
        <f>AI159/'1. Väestöennuste'!E159*1000</f>
        <v>104.55233728059125</v>
      </c>
      <c r="BC159" s="41">
        <f>AJ159/'1. Väestöennuste'!F159*1000</f>
        <v>89.568811300968491</v>
      </c>
      <c r="BD159" s="41">
        <f>AK159/'1. Väestöennuste'!G159*1000</f>
        <v>94.270216347652607</v>
      </c>
      <c r="BE159" s="41">
        <f>AL159/'1. Väestöennuste'!H159*1000</f>
        <v>89.568587799123691</v>
      </c>
      <c r="BF159" s="41">
        <f>AM159/'1. Väestöennuste'!I159*1000</f>
        <v>92.119542532765664</v>
      </c>
      <c r="BG159" s="41">
        <f>AN159/'1. Väestöennuste'!J159*1000</f>
        <v>96.98094113678529</v>
      </c>
      <c r="BH159" s="41">
        <f>AO159/'1. Väestöennuste'!K159*1000</f>
        <v>108.45922180916976</v>
      </c>
      <c r="BI159" s="41">
        <f>AP159/'1. Väestöennuste'!L159*1000</f>
        <v>99.111021139227333</v>
      </c>
      <c r="BJ159" s="41">
        <f>AQ159/'1. Väestöennuste'!M159*1000</f>
        <v>130.57487478730664</v>
      </c>
      <c r="BK159" s="41">
        <f>AR159/'1. Väestöennuste'!N159*1000</f>
        <v>131.89675618561708</v>
      </c>
      <c r="BL159" s="41">
        <f>AS159/'1. Väestöennuste'!O159*1000</f>
        <v>140.38530863185389</v>
      </c>
      <c r="BM159" s="41">
        <f>AT159/'1. Väestöennuste'!P159*1000</f>
        <v>147.66287259935473</v>
      </c>
      <c r="BN159" s="41">
        <f>AU159/'1. Väestöennuste'!Q159*1000</f>
        <v>153.76654642730892</v>
      </c>
      <c r="BO159" s="41">
        <f>AV159/'1. Väestöennuste'!R159*1000</f>
        <v>159.25566097390595</v>
      </c>
    </row>
    <row r="160" spans="1:67" x14ac:dyDescent="0.25">
      <c r="A160" s="30">
        <v>484</v>
      </c>
      <c r="B160" s="47" t="s">
        <v>474</v>
      </c>
      <c r="C160" s="47">
        <v>19.5</v>
      </c>
      <c r="D160" s="47">
        <v>19.5</v>
      </c>
      <c r="E160" s="47">
        <v>19.5</v>
      </c>
      <c r="F160" s="47">
        <v>19.5</v>
      </c>
      <c r="G160" s="47">
        <v>20.5</v>
      </c>
      <c r="H160" s="58">
        <v>20.5</v>
      </c>
      <c r="I160" s="139">
        <v>20.5</v>
      </c>
      <c r="J160" s="139">
        <v>20.5</v>
      </c>
      <c r="K160" s="139">
        <f t="shared" si="11"/>
        <v>7.8599999999999994</v>
      </c>
      <c r="L160" s="139">
        <v>7.9</v>
      </c>
      <c r="M160" s="139">
        <f t="shared" si="12"/>
        <v>7.9</v>
      </c>
      <c r="N160" s="147">
        <f t="shared" si="12"/>
        <v>7.9</v>
      </c>
      <c r="O160" s="147">
        <f t="shared" si="12"/>
        <v>7.9</v>
      </c>
      <c r="P160" s="147">
        <f t="shared" si="12"/>
        <v>7.9</v>
      </c>
      <c r="Q160" s="147"/>
      <c r="S160" s="41">
        <f>'3. Verotulot'!D160*100/'Veroposentin tuotto'!C160</f>
        <v>42819.905641025638</v>
      </c>
      <c r="T160" s="41">
        <f>'3. Verotulot'!I160*100/'Veroposentin tuotto'!D160</f>
        <v>37979.48717948718</v>
      </c>
      <c r="U160" s="41">
        <f>'3. Verotulot'!N160*100/'Veroposentin tuotto'!E160</f>
        <v>40897.435897435898</v>
      </c>
      <c r="V160" s="41">
        <f>'3. Verotulot'!S160*100/'Veroposentin tuotto'!F160</f>
        <v>38251.282051282054</v>
      </c>
      <c r="W160" s="41">
        <f>'3. Verotulot'!X160*100/'Veroposentin tuotto'!G160</f>
        <v>38814.634146341465</v>
      </c>
      <c r="X160" s="41">
        <f>'3. Verotulot'!AC160*100/'Veroposentin tuotto'!H160</f>
        <v>39804.878048780491</v>
      </c>
      <c r="Y160" s="41">
        <f>'3. Verotulot'!AH160*100/'Veroposentin tuotto'!I160</f>
        <v>41815.565365853654</v>
      </c>
      <c r="Z160" s="41">
        <f>'3. Verotulot'!AM160*100/'Veroposentin tuotto'!J160</f>
        <v>44819.858243902432</v>
      </c>
      <c r="AA160" s="41">
        <f>'3. Verotulot'!AR160*100/'Veroposentin tuotto'!K160</f>
        <v>50492.731679389311</v>
      </c>
      <c r="AB160" s="41">
        <f>'3. Verotulot'!AW160*100/'Veroposentin tuotto'!L160</f>
        <v>51356.580737880678</v>
      </c>
      <c r="AC160" s="41">
        <f>'3. Verotulot'!BB160*100/'Veroposentin tuotto'!M160</f>
        <v>53832.204234795157</v>
      </c>
      <c r="AD160" s="41">
        <f>'3. Verotulot'!BG160*100/'Veroposentin tuotto'!N160</f>
        <v>55977.680396202282</v>
      </c>
      <c r="AE160" s="41">
        <f>'3. Verotulot'!BL160*100/'Veroposentin tuotto'!O160</f>
        <v>57881.085712898013</v>
      </c>
      <c r="AF160" s="41">
        <f>'3. Verotulot'!BQ160*100/'Veroposentin tuotto'!P160</f>
        <v>59920.909586049696</v>
      </c>
      <c r="AI160" s="41">
        <f>'3. Verotulot'!D160/'Veroposentin tuotto'!C160</f>
        <v>428.19905641025633</v>
      </c>
      <c r="AJ160" s="41">
        <f>'3. Verotulot'!I160/'Veroposentin tuotto'!D160</f>
        <v>379.79487179487177</v>
      </c>
      <c r="AK160" s="41">
        <f>'3. Verotulot'!N160/'Veroposentin tuotto'!E160</f>
        <v>408.97435897435895</v>
      </c>
      <c r="AL160" s="41">
        <f>'3. Verotulot'!S160/'Veroposentin tuotto'!F160</f>
        <v>382.5128205128205</v>
      </c>
      <c r="AM160" s="41">
        <f>'3. Verotulot'!X160/'Veroposentin tuotto'!G160</f>
        <v>388.14634146341461</v>
      </c>
      <c r="AN160" s="41">
        <f>'3. Verotulot'!AC160/'Veroposentin tuotto'!H160</f>
        <v>398.04878048780489</v>
      </c>
      <c r="AO160" s="41">
        <f>'3. Verotulot'!AH160/'Veroposentin tuotto'!I160</f>
        <v>418.15565365853655</v>
      </c>
      <c r="AP160" s="41">
        <f>'3. Verotulot'!AM160/'Veroposentin tuotto'!J160</f>
        <v>448.19858243902439</v>
      </c>
      <c r="AQ160" s="41">
        <f>'3. Verotulot'!AR160/'Veroposentin tuotto'!K160</f>
        <v>504.92731679389317</v>
      </c>
      <c r="AR160" s="41">
        <f>'3. Verotulot'!AW160/'Veroposentin tuotto'!L160</f>
        <v>513.56580737880677</v>
      </c>
      <c r="AS160" s="41">
        <f>'3. Verotulot'!BB160/'Veroposentin tuotto'!M160</f>
        <v>538.32204234795154</v>
      </c>
      <c r="AT160" s="41">
        <f>'3. Verotulot'!BG160/'Veroposentin tuotto'!N160</f>
        <v>559.77680396202288</v>
      </c>
      <c r="AU160" s="41">
        <f>'3. Verotulot'!BL160/'Veroposentin tuotto'!O160</f>
        <v>578.81085712898005</v>
      </c>
      <c r="AV160" s="41">
        <f>'3. Verotulot'!BQ160/'Veroposentin tuotto'!P160</f>
        <v>599.20909586049697</v>
      </c>
      <c r="AX160" s="146"/>
      <c r="AZ160" s="34">
        <v>484</v>
      </c>
      <c r="BA160" s="88" t="s">
        <v>474</v>
      </c>
      <c r="BB160" s="41">
        <f>AI160/'1. Väestöennuste'!E160*1000</f>
        <v>134.44240389646981</v>
      </c>
      <c r="BC160" s="41">
        <f>AJ160/'1. Väestöennuste'!F160*1000</f>
        <v>119.84691441933474</v>
      </c>
      <c r="BD160" s="41">
        <f>AK160/'1. Väestöennuste'!G160*1000</f>
        <v>129.58629878781969</v>
      </c>
      <c r="BE160" s="41">
        <f>AL160/'1. Väestöennuste'!H160*1000</f>
        <v>122.79705313413177</v>
      </c>
      <c r="BF160" s="41">
        <f>AM160/'1. Väestöennuste'!I160*1000</f>
        <v>126.55570311816582</v>
      </c>
      <c r="BG160" s="41">
        <f>AN160/'1. Väestöennuste'!J160*1000</f>
        <v>129.82673858049733</v>
      </c>
      <c r="BH160" s="41">
        <f>AO160/'1. Väestöennuste'!K160*1000</f>
        <v>136.87582771146859</v>
      </c>
      <c r="BI160" s="41">
        <f>AP160/'1. Väestöennuste'!L160*1000</f>
        <v>151.06120068723439</v>
      </c>
      <c r="BJ160" s="41">
        <f>AQ160/'1. Väestöennuste'!M160*1000</f>
        <v>170.23847498108333</v>
      </c>
      <c r="BK160" s="41">
        <f>AR160/'1. Väestöennuste'!N160*1000</f>
        <v>172.27970727232699</v>
      </c>
      <c r="BL160" s="41">
        <f>AS160/'1. Väestöennuste'!O160*1000</f>
        <v>181.55886757097858</v>
      </c>
      <c r="BM160" s="41">
        <f>AT160/'1. Väestöennuste'!P160*1000</f>
        <v>189.75484880068572</v>
      </c>
      <c r="BN160" s="41">
        <f>AU160/'1. Väestöennuste'!Q160*1000</f>
        <v>197.34430860176613</v>
      </c>
      <c r="BO160" s="41">
        <f>AV160/'1. Väestöennuste'!R160*1000</f>
        <v>205.27889546437035</v>
      </c>
    </row>
    <row r="161" spans="1:67" x14ac:dyDescent="0.25">
      <c r="A161" s="30">
        <v>489</v>
      </c>
      <c r="B161" s="47" t="s">
        <v>475</v>
      </c>
      <c r="C161" s="47">
        <v>20</v>
      </c>
      <c r="D161" s="47">
        <v>20</v>
      </c>
      <c r="E161" s="47">
        <v>20</v>
      </c>
      <c r="F161" s="47">
        <v>20</v>
      </c>
      <c r="G161" s="47">
        <v>20.5</v>
      </c>
      <c r="H161" s="58">
        <v>20.5</v>
      </c>
      <c r="I161" s="139">
        <v>20.5</v>
      </c>
      <c r="J161" s="139">
        <v>21.5</v>
      </c>
      <c r="K161" s="139">
        <f t="shared" si="11"/>
        <v>8.86</v>
      </c>
      <c r="L161" s="139">
        <v>8.9</v>
      </c>
      <c r="M161" s="139">
        <f t="shared" si="12"/>
        <v>8.9</v>
      </c>
      <c r="N161" s="147">
        <f t="shared" si="12"/>
        <v>8.9</v>
      </c>
      <c r="O161" s="147">
        <f t="shared" si="12"/>
        <v>8.9</v>
      </c>
      <c r="P161" s="147">
        <f t="shared" si="12"/>
        <v>8.9</v>
      </c>
      <c r="Q161" s="147"/>
      <c r="S161" s="41">
        <f>'3. Verotulot'!D161*100/'Veroposentin tuotto'!C161</f>
        <v>24435.735000000001</v>
      </c>
      <c r="T161" s="41">
        <f>'3. Verotulot'!I161*100/'Veroposentin tuotto'!D161</f>
        <v>23530</v>
      </c>
      <c r="U161" s="41">
        <f>'3. Verotulot'!N161*100/'Veroposentin tuotto'!E161</f>
        <v>23335</v>
      </c>
      <c r="V161" s="41">
        <f>'3. Verotulot'!S161*100/'Veroposentin tuotto'!F161</f>
        <v>21745</v>
      </c>
      <c r="W161" s="41">
        <f>'3. Verotulot'!X161*100/'Veroposentin tuotto'!G161</f>
        <v>22395.121951219513</v>
      </c>
      <c r="X161" s="41">
        <f>'3. Verotulot'!AC161*100/'Veroposentin tuotto'!H161</f>
        <v>22200</v>
      </c>
      <c r="Y161" s="41">
        <f>'3. Verotulot'!AH161*100/'Veroposentin tuotto'!I161</f>
        <v>23474.594439024393</v>
      </c>
      <c r="Z161" s="41">
        <f>'3. Verotulot'!AM161*100/'Veroposentin tuotto'!J161</f>
        <v>23787.558372093019</v>
      </c>
      <c r="AA161" s="41">
        <f>'3. Verotulot'!AR161*100/'Veroposentin tuotto'!K161</f>
        <v>31136.218058690745</v>
      </c>
      <c r="AB161" s="41">
        <f>'3. Verotulot'!AW161*100/'Veroposentin tuotto'!L161</f>
        <v>27806.864018119053</v>
      </c>
      <c r="AC161" s="41">
        <f>'3. Verotulot'!BB161*100/'Veroposentin tuotto'!M161</f>
        <v>29010.452137135493</v>
      </c>
      <c r="AD161" s="41">
        <f>'3. Verotulot'!BG161*100/'Veroposentin tuotto'!N161</f>
        <v>29854.233269744604</v>
      </c>
      <c r="AE161" s="41">
        <f>'3. Verotulot'!BL161*100/'Veroposentin tuotto'!O161</f>
        <v>30547.233036618531</v>
      </c>
      <c r="AF161" s="41">
        <f>'3. Verotulot'!BQ161*100/'Veroposentin tuotto'!P161</f>
        <v>31407.069108814452</v>
      </c>
      <c r="AI161" s="41">
        <f>'3. Verotulot'!D161/'Veroposentin tuotto'!C161</f>
        <v>244.35735</v>
      </c>
      <c r="AJ161" s="41">
        <f>'3. Verotulot'!I161/'Veroposentin tuotto'!D161</f>
        <v>235.3</v>
      </c>
      <c r="AK161" s="41">
        <f>'3. Verotulot'!N161/'Veroposentin tuotto'!E161</f>
        <v>233.35</v>
      </c>
      <c r="AL161" s="41">
        <f>'3. Verotulot'!S161/'Veroposentin tuotto'!F161</f>
        <v>217.45</v>
      </c>
      <c r="AM161" s="41">
        <f>'3. Verotulot'!X161/'Veroposentin tuotto'!G161</f>
        <v>223.95121951219511</v>
      </c>
      <c r="AN161" s="41">
        <f>'3. Verotulot'!AC161/'Veroposentin tuotto'!H161</f>
        <v>222</v>
      </c>
      <c r="AO161" s="41">
        <f>'3. Verotulot'!AH161/'Veroposentin tuotto'!I161</f>
        <v>234.74594439024392</v>
      </c>
      <c r="AP161" s="41">
        <f>'3. Verotulot'!AM161/'Veroposentin tuotto'!J161</f>
        <v>237.87558372093019</v>
      </c>
      <c r="AQ161" s="41">
        <f>'3. Verotulot'!AR161/'Veroposentin tuotto'!K161</f>
        <v>311.36218058690747</v>
      </c>
      <c r="AR161" s="41">
        <f>'3. Verotulot'!AW161/'Veroposentin tuotto'!L161</f>
        <v>278.06864018119052</v>
      </c>
      <c r="AS161" s="41">
        <f>'3. Verotulot'!BB161/'Veroposentin tuotto'!M161</f>
        <v>290.10452137135491</v>
      </c>
      <c r="AT161" s="41">
        <f>'3. Verotulot'!BG161/'Veroposentin tuotto'!N161</f>
        <v>298.54233269744606</v>
      </c>
      <c r="AU161" s="41">
        <f>'3. Verotulot'!BL161/'Veroposentin tuotto'!O161</f>
        <v>305.4723303661853</v>
      </c>
      <c r="AV161" s="41">
        <f>'3. Verotulot'!BQ161/'Veroposentin tuotto'!P161</f>
        <v>314.07069108814449</v>
      </c>
      <c r="AX161" s="146"/>
      <c r="AZ161" s="34">
        <v>489</v>
      </c>
      <c r="BA161" s="88" t="s">
        <v>475</v>
      </c>
      <c r="BB161" s="41">
        <f>AI161/'1. Väestöennuste'!E161*1000</f>
        <v>117.19776978417266</v>
      </c>
      <c r="BC161" s="41">
        <f>AJ161/'1. Väestöennuste'!F161*1000</f>
        <v>115.6833824975418</v>
      </c>
      <c r="BD161" s="41">
        <f>AK161/'1. Väestöennuste'!G161*1000</f>
        <v>117.14357429718875</v>
      </c>
      <c r="BE161" s="41">
        <f>AL161/'1. Väestöennuste'!H161*1000</f>
        <v>112.08762886597938</v>
      </c>
      <c r="BF161" s="41">
        <f>AM161/'1. Väestöennuste'!I161*1000</f>
        <v>120.59839499848955</v>
      </c>
      <c r="BG161" s="41">
        <f>AN161/'1. Väestöennuste'!J161*1000</f>
        <v>118.84368308351178</v>
      </c>
      <c r="BH161" s="41">
        <f>AO161/'1. Väestöennuste'!K161*1000</f>
        <v>127.92694517179507</v>
      </c>
      <c r="BI161" s="41">
        <f>AP161/'1. Väestöennuste'!L161*1000</f>
        <v>132.81718800721953</v>
      </c>
      <c r="BJ161" s="41">
        <f>AQ161/'1. Väestöennuste'!M161*1000</f>
        <v>177.71813960439925</v>
      </c>
      <c r="BK161" s="41">
        <f>AR161/'1. Väestöennuste'!N161*1000</f>
        <v>160.82628119212868</v>
      </c>
      <c r="BL161" s="41">
        <f>AS161/'1. Väestöennuste'!O161*1000</f>
        <v>170.44918999492063</v>
      </c>
      <c r="BM161" s="41">
        <f>AT161/'1. Väestöennuste'!P161*1000</f>
        <v>178.2342284760872</v>
      </c>
      <c r="BN161" s="41">
        <f>AU161/'1. Väestöennuste'!Q161*1000</f>
        <v>185.24701659562481</v>
      </c>
      <c r="BO161" s="41">
        <f>AV161/'1. Väestöennuste'!R161*1000</f>
        <v>193.27427143885814</v>
      </c>
    </row>
    <row r="162" spans="1:67" x14ac:dyDescent="0.25">
      <c r="A162" s="30">
        <v>491</v>
      </c>
      <c r="B162" s="47" t="s">
        <v>476</v>
      </c>
      <c r="C162" s="47">
        <v>20</v>
      </c>
      <c r="D162" s="47">
        <v>20</v>
      </c>
      <c r="E162" s="47">
        <v>20.5</v>
      </c>
      <c r="F162" s="47">
        <v>20.5</v>
      </c>
      <c r="G162" s="47">
        <v>20.5</v>
      </c>
      <c r="H162" s="58">
        <v>22</v>
      </c>
      <c r="I162" s="139">
        <v>22</v>
      </c>
      <c r="J162" s="139">
        <v>22</v>
      </c>
      <c r="K162" s="139">
        <f t="shared" si="11"/>
        <v>9.36</v>
      </c>
      <c r="L162" s="139">
        <v>9.4</v>
      </c>
      <c r="M162" s="139">
        <f t="shared" si="12"/>
        <v>9.4</v>
      </c>
      <c r="N162" s="147">
        <f t="shared" si="12"/>
        <v>9.4</v>
      </c>
      <c r="O162" s="147">
        <f t="shared" si="12"/>
        <v>9.4</v>
      </c>
      <c r="P162" s="147">
        <f t="shared" si="12"/>
        <v>9.4</v>
      </c>
      <c r="Q162" s="147"/>
      <c r="S162" s="41">
        <f>'3. Verotulot'!D162*100/'Veroposentin tuotto'!C162</f>
        <v>844917.42949999997</v>
      </c>
      <c r="T162" s="41">
        <f>'3. Verotulot'!I162*100/'Veroposentin tuotto'!D162</f>
        <v>845195</v>
      </c>
      <c r="U162" s="41">
        <f>'3. Verotulot'!N162*100/'Veroposentin tuotto'!E162</f>
        <v>826112.19512195117</v>
      </c>
      <c r="V162" s="41">
        <f>'3. Verotulot'!S162*100/'Veroposentin tuotto'!F162</f>
        <v>817185.36585365853</v>
      </c>
      <c r="W162" s="41">
        <f>'3. Verotulot'!X162*100/'Veroposentin tuotto'!G162</f>
        <v>830546.3414634146</v>
      </c>
      <c r="X162" s="41">
        <f>'3. Verotulot'!AC162*100/'Veroposentin tuotto'!H162</f>
        <v>845786.36363636365</v>
      </c>
      <c r="Y162" s="41">
        <f>'3. Verotulot'!AH162*100/'Veroposentin tuotto'!I162</f>
        <v>868269.35136363644</v>
      </c>
      <c r="Z162" s="41">
        <f>'3. Verotulot'!AM162*100/'Veroposentin tuotto'!J162</f>
        <v>908855.61186363653</v>
      </c>
      <c r="AA162" s="41">
        <f>'3. Verotulot'!AR162*100/'Veroposentin tuotto'!K162</f>
        <v>1172211.6521367524</v>
      </c>
      <c r="AB162" s="41">
        <f>'3. Verotulot'!AW162*100/'Veroposentin tuotto'!L162</f>
        <v>1074152.0975161388</v>
      </c>
      <c r="AC162" s="41">
        <f>'3. Verotulot'!BB162*100/'Veroposentin tuotto'!M162</f>
        <v>1122862.9768713154</v>
      </c>
      <c r="AD162" s="41">
        <f>'3. Verotulot'!BG162*100/'Veroposentin tuotto'!N162</f>
        <v>1166136.9955416541</v>
      </c>
      <c r="AE162" s="41">
        <f>'3. Verotulot'!BL162*100/'Veroposentin tuotto'!O162</f>
        <v>1200050.2554105325</v>
      </c>
      <c r="AF162" s="41">
        <f>'3. Verotulot'!BQ162*100/'Veroposentin tuotto'!P162</f>
        <v>1239807.843745271</v>
      </c>
      <c r="AI162" s="41">
        <f>'3. Verotulot'!D162/'Veroposentin tuotto'!C162</f>
        <v>8449.1742950000007</v>
      </c>
      <c r="AJ162" s="41">
        <f>'3. Verotulot'!I162/'Veroposentin tuotto'!D162</f>
        <v>8451.9500000000007</v>
      </c>
      <c r="AK162" s="41">
        <f>'3. Verotulot'!N162/'Veroposentin tuotto'!E162</f>
        <v>8261.121951219513</v>
      </c>
      <c r="AL162" s="41">
        <f>'3. Verotulot'!S162/'Veroposentin tuotto'!F162</f>
        <v>8171.8536585365855</v>
      </c>
      <c r="AM162" s="41">
        <f>'3. Verotulot'!X162/'Veroposentin tuotto'!G162</f>
        <v>8305.4634146341468</v>
      </c>
      <c r="AN162" s="41">
        <f>'3. Verotulot'!AC162/'Veroposentin tuotto'!H162</f>
        <v>8457.863636363636</v>
      </c>
      <c r="AO162" s="41">
        <f>'3. Verotulot'!AH162/'Veroposentin tuotto'!I162</f>
        <v>8682.6935136363627</v>
      </c>
      <c r="AP162" s="41">
        <f>'3. Verotulot'!AM162/'Veroposentin tuotto'!J162</f>
        <v>9088.5561186363648</v>
      </c>
      <c r="AQ162" s="41">
        <f>'3. Verotulot'!AR162/'Veroposentin tuotto'!K162</f>
        <v>11722.116521367523</v>
      </c>
      <c r="AR162" s="41">
        <f>'3. Verotulot'!AW162/'Veroposentin tuotto'!L162</f>
        <v>10741.520975161387</v>
      </c>
      <c r="AS162" s="41">
        <f>'3. Verotulot'!BB162/'Veroposentin tuotto'!M162</f>
        <v>11228.629768713154</v>
      </c>
      <c r="AT162" s="41">
        <f>'3. Verotulot'!BG162/'Veroposentin tuotto'!N162</f>
        <v>11661.36995541654</v>
      </c>
      <c r="AU162" s="41">
        <f>'3. Verotulot'!BL162/'Veroposentin tuotto'!O162</f>
        <v>12000.502554105324</v>
      </c>
      <c r="AV162" s="41">
        <f>'3. Verotulot'!BQ162/'Veroposentin tuotto'!P162</f>
        <v>12398.078437452708</v>
      </c>
      <c r="AX162" s="146"/>
      <c r="AZ162" s="34">
        <v>491</v>
      </c>
      <c r="BA162" s="88" t="s">
        <v>476</v>
      </c>
      <c r="BB162" s="41">
        <f>AI162/'1. Väestöennuste'!E162*1000</f>
        <v>154.56277865178819</v>
      </c>
      <c r="BC162" s="41">
        <f>AJ162/'1. Väestöennuste'!F162*1000</f>
        <v>155.03329236751838</v>
      </c>
      <c r="BD162" s="41">
        <f>AK162/'1. Väestöennuste'!G162*1000</f>
        <v>152.24787510771111</v>
      </c>
      <c r="BE162" s="41">
        <f>AL162/'1. Väestöennuste'!H162*1000</f>
        <v>151.84238839303924</v>
      </c>
      <c r="BF162" s="41">
        <f>AM162/'1. Väestöennuste'!I162*1000</f>
        <v>156.31165383058203</v>
      </c>
      <c r="BG162" s="41">
        <f>AN162/'1. Väestöennuste'!J162*1000</f>
        <v>160.84787167646647</v>
      </c>
      <c r="BH162" s="41">
        <f>AO162/'1. Väestöennuste'!K162*1000</f>
        <v>166.58404346794757</v>
      </c>
      <c r="BI162" s="41">
        <f>AP162/'1. Väestöennuste'!L162*1000</f>
        <v>174.84717427157301</v>
      </c>
      <c r="BJ162" s="41">
        <f>AQ162/'1. Väestöennuste'!M162*1000</f>
        <v>225.77700882851218</v>
      </c>
      <c r="BK162" s="41">
        <f>AR162/'1. Väestöennuste'!N162*1000</f>
        <v>210.69242036721565</v>
      </c>
      <c r="BL162" s="41">
        <f>AS162/'1. Väestöennuste'!O162*1000</f>
        <v>221.9623185086019</v>
      </c>
      <c r="BM162" s="41">
        <f>AT162/'1. Väestöennuste'!P162*1000</f>
        <v>232.33060298082481</v>
      </c>
      <c r="BN162" s="41">
        <f>AU162/'1. Väestöennuste'!Q162*1000</f>
        <v>240.92073144697605</v>
      </c>
      <c r="BO162" s="41">
        <f>AV162/'1. Väestöennuste'!R162*1000</f>
        <v>250.81585315799211</v>
      </c>
    </row>
    <row r="163" spans="1:67" x14ac:dyDescent="0.25">
      <c r="A163" s="30">
        <v>494</v>
      </c>
      <c r="B163" s="47" t="s">
        <v>477</v>
      </c>
      <c r="C163" s="47">
        <v>20.5</v>
      </c>
      <c r="D163" s="47">
        <v>20.5</v>
      </c>
      <c r="E163" s="47">
        <v>20.5</v>
      </c>
      <c r="F163" s="47">
        <v>21</v>
      </c>
      <c r="G163" s="47">
        <v>21.5</v>
      </c>
      <c r="H163" s="58">
        <v>21</v>
      </c>
      <c r="I163" s="139">
        <v>21.5</v>
      </c>
      <c r="J163" s="139">
        <v>22</v>
      </c>
      <c r="K163" s="139">
        <f t="shared" si="11"/>
        <v>9.36</v>
      </c>
      <c r="L163" s="139">
        <v>9.4</v>
      </c>
      <c r="M163" s="139">
        <f t="shared" si="12"/>
        <v>9.4</v>
      </c>
      <c r="N163" s="147">
        <f t="shared" si="12"/>
        <v>9.4</v>
      </c>
      <c r="O163" s="147">
        <f t="shared" si="12"/>
        <v>9.4</v>
      </c>
      <c r="P163" s="147">
        <f t="shared" si="12"/>
        <v>9.4</v>
      </c>
      <c r="Q163" s="147"/>
      <c r="S163" s="41">
        <f>'3. Verotulot'!D163*100/'Veroposentin tuotto'!C163</f>
        <v>117899.04419512195</v>
      </c>
      <c r="T163" s="41">
        <f>'3. Verotulot'!I163*100/'Veroposentin tuotto'!D163</f>
        <v>121302.43902439025</v>
      </c>
      <c r="U163" s="41">
        <f>'3. Verotulot'!N163*100/'Veroposentin tuotto'!E163</f>
        <v>121804.87804878049</v>
      </c>
      <c r="V163" s="41">
        <f>'3. Verotulot'!S163*100/'Veroposentin tuotto'!F163</f>
        <v>122000</v>
      </c>
      <c r="W163" s="41">
        <f>'3. Verotulot'!X163*100/'Veroposentin tuotto'!G163</f>
        <v>122669.76744186046</v>
      </c>
      <c r="X163" s="41">
        <f>'3. Verotulot'!AC163*100/'Veroposentin tuotto'!H163</f>
        <v>125400</v>
      </c>
      <c r="Y163" s="41">
        <f>'3. Verotulot'!AH163*100/'Veroposentin tuotto'!I163</f>
        <v>129788.1603255814</v>
      </c>
      <c r="Z163" s="41">
        <f>'3. Verotulot'!AM163*100/'Veroposentin tuotto'!J163</f>
        <v>133151.78936363637</v>
      </c>
      <c r="AA163" s="41">
        <f>'3. Verotulot'!AR163*100/'Veroposentin tuotto'!K163</f>
        <v>169851.95619658119</v>
      </c>
      <c r="AB163" s="41">
        <f>'3. Verotulot'!AW163*100/'Veroposentin tuotto'!L163</f>
        <v>160395.13359456605</v>
      </c>
      <c r="AC163" s="41">
        <f>'3. Verotulot'!BB163*100/'Veroposentin tuotto'!M163</f>
        <v>170463.18849825344</v>
      </c>
      <c r="AD163" s="41">
        <f>'3. Verotulot'!BG163*100/'Veroposentin tuotto'!N163</f>
        <v>178737.60952774904</v>
      </c>
      <c r="AE163" s="41">
        <f>'3. Verotulot'!BL163*100/'Veroposentin tuotto'!O163</f>
        <v>185196.24128665778</v>
      </c>
      <c r="AF163" s="41">
        <f>'3. Verotulot'!BQ163*100/'Veroposentin tuotto'!P163</f>
        <v>192419.29856472326</v>
      </c>
      <c r="AI163" s="41">
        <f>'3. Verotulot'!D163/'Veroposentin tuotto'!C163</f>
        <v>1178.9904419512195</v>
      </c>
      <c r="AJ163" s="41">
        <f>'3. Verotulot'!I163/'Veroposentin tuotto'!D163</f>
        <v>1213.0243902439024</v>
      </c>
      <c r="AK163" s="41">
        <f>'3. Verotulot'!N163/'Veroposentin tuotto'!E163</f>
        <v>1218.0487804878048</v>
      </c>
      <c r="AL163" s="41">
        <f>'3. Verotulot'!S163/'Veroposentin tuotto'!F163</f>
        <v>1220</v>
      </c>
      <c r="AM163" s="41">
        <f>'3. Verotulot'!X163/'Veroposentin tuotto'!G163</f>
        <v>1226.6976744186047</v>
      </c>
      <c r="AN163" s="41">
        <f>'3. Verotulot'!AC163/'Veroposentin tuotto'!H163</f>
        <v>1254</v>
      </c>
      <c r="AO163" s="41">
        <f>'3. Verotulot'!AH163/'Veroposentin tuotto'!I163</f>
        <v>1297.8816032558141</v>
      </c>
      <c r="AP163" s="41">
        <f>'3. Verotulot'!AM163/'Veroposentin tuotto'!J163</f>
        <v>1331.5178936363636</v>
      </c>
      <c r="AQ163" s="41">
        <f>'3. Verotulot'!AR163/'Veroposentin tuotto'!K163</f>
        <v>1698.519561965812</v>
      </c>
      <c r="AR163" s="41">
        <f>'3. Verotulot'!AW163/'Veroposentin tuotto'!L163</f>
        <v>1603.9513359456605</v>
      </c>
      <c r="AS163" s="41">
        <f>'3. Verotulot'!BB163/'Veroposentin tuotto'!M163</f>
        <v>1704.6318849825343</v>
      </c>
      <c r="AT163" s="41">
        <f>'3. Verotulot'!BG163/'Veroposentin tuotto'!N163</f>
        <v>1787.3760952774905</v>
      </c>
      <c r="AU163" s="41">
        <f>'3. Verotulot'!BL163/'Veroposentin tuotto'!O163</f>
        <v>1851.9624128665778</v>
      </c>
      <c r="AV163" s="41">
        <f>'3. Verotulot'!BQ163/'Veroposentin tuotto'!P163</f>
        <v>1924.1929856472327</v>
      </c>
      <c r="AX163" s="146"/>
      <c r="AZ163" s="34">
        <v>494</v>
      </c>
      <c r="BA163" s="88" t="s">
        <v>477</v>
      </c>
      <c r="BB163" s="41">
        <f>AI163/'1. Väestöennuste'!E163*1000</f>
        <v>130.08831975628593</v>
      </c>
      <c r="BC163" s="41">
        <f>AJ163/'1. Väestöennuste'!F163*1000</f>
        <v>134.85540747569789</v>
      </c>
      <c r="BD163" s="41">
        <f>AK163/'1. Väestöennuste'!G163*1000</f>
        <v>135.05364014722306</v>
      </c>
      <c r="BE163" s="41">
        <f>AL163/'1. Väestöennuste'!H163*1000</f>
        <v>135.85746102449889</v>
      </c>
      <c r="BF163" s="41">
        <f>AM163/'1. Väestöennuste'!I163*1000</f>
        <v>137.70741742463008</v>
      </c>
      <c r="BG163" s="41">
        <f>AN163/'1. Väestöennuste'!J163*1000</f>
        <v>140.85139840503203</v>
      </c>
      <c r="BH163" s="41">
        <f>AO163/'1. Väestöennuste'!K163*1000</f>
        <v>145.68207467233293</v>
      </c>
      <c r="BI163" s="41">
        <f>AP163/'1. Väestöennuste'!L163*1000</f>
        <v>149.91194479130419</v>
      </c>
      <c r="BJ163" s="41">
        <f>AQ163/'1. Väestöennuste'!M163*1000</f>
        <v>192.42319723188083</v>
      </c>
      <c r="BK163" s="41">
        <f>AR163/'1. Väestöennuste'!N163*1000</f>
        <v>182.68238450406156</v>
      </c>
      <c r="BL163" s="41">
        <f>AS163/'1. Väestöennuste'!O163*1000</f>
        <v>194.81507256943249</v>
      </c>
      <c r="BM163" s="41">
        <f>AT163/'1. Väestöennuste'!P163*1000</f>
        <v>204.97432285292322</v>
      </c>
      <c r="BN163" s="41">
        <f>AU163/'1. Väestöennuste'!Q163*1000</f>
        <v>213.08968045870185</v>
      </c>
      <c r="BO163" s="41">
        <f>AV163/'1. Väestöennuste'!R163*1000</f>
        <v>222.14188243445309</v>
      </c>
    </row>
    <row r="164" spans="1:67" x14ac:dyDescent="0.25">
      <c r="A164" s="30">
        <v>495</v>
      </c>
      <c r="B164" s="47" t="s">
        <v>478</v>
      </c>
      <c r="C164" s="47">
        <v>21</v>
      </c>
      <c r="D164" s="47">
        <v>21.75</v>
      </c>
      <c r="E164" s="47">
        <v>21.75</v>
      </c>
      <c r="F164" s="47">
        <v>22</v>
      </c>
      <c r="G164" s="47">
        <v>22</v>
      </c>
      <c r="H164" s="58">
        <v>22</v>
      </c>
      <c r="I164" s="139">
        <v>22</v>
      </c>
      <c r="J164" s="139">
        <v>22</v>
      </c>
      <c r="K164" s="139">
        <f t="shared" si="11"/>
        <v>9.36</v>
      </c>
      <c r="L164" s="139">
        <v>9.8000000000000007</v>
      </c>
      <c r="M164" s="139">
        <f t="shared" si="12"/>
        <v>9.8000000000000007</v>
      </c>
      <c r="N164" s="147">
        <f t="shared" si="12"/>
        <v>9.8000000000000007</v>
      </c>
      <c r="O164" s="147">
        <f t="shared" si="12"/>
        <v>9.8000000000000007</v>
      </c>
      <c r="P164" s="147">
        <f t="shared" si="12"/>
        <v>9.8000000000000007</v>
      </c>
      <c r="Q164" s="147"/>
      <c r="S164" s="41">
        <f>'3. Verotulot'!D164*100/'Veroposentin tuotto'!C164</f>
        <v>18747.112428571429</v>
      </c>
      <c r="T164" s="41">
        <f>'3. Verotulot'!I164*100/'Veroposentin tuotto'!D164</f>
        <v>19549.42528735632</v>
      </c>
      <c r="U164" s="41">
        <f>'3. Verotulot'!N164*100/'Veroposentin tuotto'!E164</f>
        <v>18266.666666666668</v>
      </c>
      <c r="V164" s="41">
        <f>'3. Verotulot'!S164*100/'Veroposentin tuotto'!F164</f>
        <v>17681.81818181818</v>
      </c>
      <c r="W164" s="41">
        <f>'3. Verotulot'!X164*100/'Veroposentin tuotto'!G164</f>
        <v>18468.18181818182</v>
      </c>
      <c r="X164" s="41">
        <f>'3. Verotulot'!AC164*100/'Veroposentin tuotto'!H164</f>
        <v>18850</v>
      </c>
      <c r="Y164" s="41">
        <f>'3. Verotulot'!AH164*100/'Veroposentin tuotto'!I164</f>
        <v>18820.113909090913</v>
      </c>
      <c r="Z164" s="41">
        <f>'3. Verotulot'!AM164*100/'Veroposentin tuotto'!J164</f>
        <v>20089.749545454546</v>
      </c>
      <c r="AA164" s="41">
        <f>'3. Verotulot'!AR164*100/'Veroposentin tuotto'!K164</f>
        <v>23623.838568376072</v>
      </c>
      <c r="AB164" s="41">
        <f>'3. Verotulot'!AW164*100/'Veroposentin tuotto'!L164</f>
        <v>22011.633112760377</v>
      </c>
      <c r="AC164" s="41">
        <f>'3. Verotulot'!BB164*100/'Veroposentin tuotto'!M164</f>
        <v>23226.173394244688</v>
      </c>
      <c r="AD164" s="41">
        <f>'3. Verotulot'!BG164*100/'Veroposentin tuotto'!N164</f>
        <v>23847.950071088464</v>
      </c>
      <c r="AE164" s="41">
        <f>'3. Verotulot'!BL164*100/'Veroposentin tuotto'!O164</f>
        <v>24335.79537907046</v>
      </c>
      <c r="AF164" s="41">
        <f>'3. Verotulot'!BQ164*100/'Veroposentin tuotto'!P164</f>
        <v>24766.985514088687</v>
      </c>
      <c r="AI164" s="41">
        <f>'3. Verotulot'!D164/'Veroposentin tuotto'!C164</f>
        <v>187.4711242857143</v>
      </c>
      <c r="AJ164" s="41">
        <f>'3. Verotulot'!I164/'Veroposentin tuotto'!D164</f>
        <v>195.49425287356323</v>
      </c>
      <c r="AK164" s="41">
        <f>'3. Verotulot'!N164/'Veroposentin tuotto'!E164</f>
        <v>182.66666666666666</v>
      </c>
      <c r="AL164" s="41">
        <f>'3. Verotulot'!S164/'Veroposentin tuotto'!F164</f>
        <v>176.81818181818181</v>
      </c>
      <c r="AM164" s="41">
        <f>'3. Verotulot'!X164/'Veroposentin tuotto'!G164</f>
        <v>184.68181818181819</v>
      </c>
      <c r="AN164" s="41">
        <f>'3. Verotulot'!AC164/'Veroposentin tuotto'!H164</f>
        <v>188.5</v>
      </c>
      <c r="AO164" s="41">
        <f>'3. Verotulot'!AH164/'Veroposentin tuotto'!I164</f>
        <v>188.20113909090912</v>
      </c>
      <c r="AP164" s="41">
        <f>'3. Verotulot'!AM164/'Veroposentin tuotto'!J164</f>
        <v>200.89749545454549</v>
      </c>
      <c r="AQ164" s="41">
        <f>'3. Verotulot'!AR164/'Veroposentin tuotto'!K164</f>
        <v>236.23838568376073</v>
      </c>
      <c r="AR164" s="41">
        <f>'3. Verotulot'!AW164/'Veroposentin tuotto'!L164</f>
        <v>220.11633112760376</v>
      </c>
      <c r="AS164" s="41">
        <f>'3. Verotulot'!BB164/'Veroposentin tuotto'!M164</f>
        <v>232.26173394244688</v>
      </c>
      <c r="AT164" s="41">
        <f>'3. Verotulot'!BG164/'Veroposentin tuotto'!N164</f>
        <v>238.47950071088465</v>
      </c>
      <c r="AU164" s="41">
        <f>'3. Verotulot'!BL164/'Veroposentin tuotto'!O164</f>
        <v>243.35795379070461</v>
      </c>
      <c r="AV164" s="41">
        <f>'3. Verotulot'!BQ164/'Veroposentin tuotto'!P164</f>
        <v>247.66985514088685</v>
      </c>
      <c r="AX164" s="146"/>
      <c r="AZ164" s="34">
        <v>495</v>
      </c>
      <c r="BA164" s="88" t="s">
        <v>478</v>
      </c>
      <c r="BB164" s="41">
        <f>AI164/'1. Väestöennuste'!E164*1000</f>
        <v>109.63223642439432</v>
      </c>
      <c r="BC164" s="41">
        <f>AJ164/'1. Väestöennuste'!F164*1000</f>
        <v>117.55517310496887</v>
      </c>
      <c r="BD164" s="41">
        <f>AK164/'1. Väestöennuste'!G164*1000</f>
        <v>111.65444172779137</v>
      </c>
      <c r="BE164" s="41">
        <f>AL164/'1. Väestöennuste'!H164*1000</f>
        <v>111.62764003673094</v>
      </c>
      <c r="BF164" s="41">
        <f>AM164/'1. Väestöennuste'!I164*1000</f>
        <v>117.93219551840242</v>
      </c>
      <c r="BG164" s="41">
        <f>AN164/'1. Väestöennuste'!J164*1000</f>
        <v>120.98844672657252</v>
      </c>
      <c r="BH164" s="41">
        <f>AO164/'1. Väestöennuste'!K164*1000</f>
        <v>126.47926014173999</v>
      </c>
      <c r="BI164" s="41">
        <f>AP164/'1. Väestöennuste'!L164*1000</f>
        <v>136.01726164830433</v>
      </c>
      <c r="BJ164" s="41">
        <f>AQ164/'1. Väestöennuste'!M164*1000</f>
        <v>165.20166831032219</v>
      </c>
      <c r="BK164" s="41">
        <f>AR164/'1. Väestöennuste'!N164*1000</f>
        <v>151.07503852272049</v>
      </c>
      <c r="BL164" s="41">
        <f>AS164/'1. Väestöennuste'!O164*1000</f>
        <v>161.96773636153895</v>
      </c>
      <c r="BM164" s="41">
        <f>AT164/'1. Väestöennuste'!P164*1000</f>
        <v>168.77530128158858</v>
      </c>
      <c r="BN164" s="41">
        <f>AU164/'1. Väestöennuste'!Q164*1000</f>
        <v>175.20371043247275</v>
      </c>
      <c r="BO164" s="41">
        <f>AV164/'1. Väestöennuste'!R164*1000</f>
        <v>181.17765555295307</v>
      </c>
    </row>
    <row r="165" spans="1:67" x14ac:dyDescent="0.25">
      <c r="A165" s="30">
        <v>498</v>
      </c>
      <c r="B165" s="47" t="s">
        <v>479</v>
      </c>
      <c r="C165" s="47">
        <v>21</v>
      </c>
      <c r="D165" s="47">
        <v>21</v>
      </c>
      <c r="E165" s="47">
        <v>21.5</v>
      </c>
      <c r="F165" s="47">
        <v>21.5</v>
      </c>
      <c r="G165" s="47">
        <v>21.5</v>
      </c>
      <c r="H165" s="58">
        <v>21.5</v>
      </c>
      <c r="I165" s="139">
        <v>21.5</v>
      </c>
      <c r="J165" s="139">
        <v>21.5</v>
      </c>
      <c r="K165" s="139">
        <f t="shared" si="11"/>
        <v>8.86</v>
      </c>
      <c r="L165" s="139">
        <v>8.9</v>
      </c>
      <c r="M165" s="139">
        <f t="shared" si="12"/>
        <v>8.9</v>
      </c>
      <c r="N165" s="147">
        <f t="shared" si="12"/>
        <v>8.9</v>
      </c>
      <c r="O165" s="147">
        <f t="shared" si="12"/>
        <v>8.9</v>
      </c>
      <c r="P165" s="147">
        <f t="shared" si="12"/>
        <v>8.9</v>
      </c>
      <c r="Q165" s="147"/>
      <c r="S165" s="41">
        <f>'3. Verotulot'!D165*100/'Veroposentin tuotto'!C165</f>
        <v>32683.90280952381</v>
      </c>
      <c r="T165" s="41">
        <f>'3. Verotulot'!I165*100/'Veroposentin tuotto'!D165</f>
        <v>33542.857142857145</v>
      </c>
      <c r="U165" s="41">
        <f>'3. Verotulot'!N165*100/'Veroposentin tuotto'!E165</f>
        <v>32762.79069767442</v>
      </c>
      <c r="V165" s="41">
        <f>'3. Verotulot'!S165*100/'Veroposentin tuotto'!F165</f>
        <v>32544.18604651163</v>
      </c>
      <c r="W165" s="41">
        <f>'3. Verotulot'!X165*100/'Veroposentin tuotto'!G165</f>
        <v>32934.883720930229</v>
      </c>
      <c r="X165" s="41">
        <f>'3. Verotulot'!AC165*100/'Veroposentin tuotto'!H165</f>
        <v>37139.534883720931</v>
      </c>
      <c r="Y165" s="41">
        <f>'3. Verotulot'!AH165*100/'Veroposentin tuotto'!I165</f>
        <v>36215.8183255814</v>
      </c>
      <c r="Z165" s="41">
        <f>'3. Verotulot'!AM165*100/'Veroposentin tuotto'!J165</f>
        <v>37334.659209302328</v>
      </c>
      <c r="AA165" s="41">
        <f>'3. Verotulot'!AR165*100/'Veroposentin tuotto'!K165</f>
        <v>48084.662189616261</v>
      </c>
      <c r="AB165" s="41">
        <f>'3. Verotulot'!AW165*100/'Veroposentin tuotto'!L165</f>
        <v>46403.124122391244</v>
      </c>
      <c r="AC165" s="41">
        <f>'3. Verotulot'!BB165*100/'Veroposentin tuotto'!M165</f>
        <v>48048.382285813968</v>
      </c>
      <c r="AD165" s="41">
        <f>'3. Verotulot'!BG165*100/'Veroposentin tuotto'!N165</f>
        <v>50078.864566278171</v>
      </c>
      <c r="AE165" s="41">
        <f>'3. Verotulot'!BL165*100/'Veroposentin tuotto'!O165</f>
        <v>51651.079446712938</v>
      </c>
      <c r="AF165" s="41">
        <f>'3. Verotulot'!BQ165*100/'Veroposentin tuotto'!P165</f>
        <v>53414.436385350535</v>
      </c>
      <c r="AI165" s="41">
        <f>'3. Verotulot'!D165/'Veroposentin tuotto'!C165</f>
        <v>326.83902809523812</v>
      </c>
      <c r="AJ165" s="41">
        <f>'3. Verotulot'!I165/'Veroposentin tuotto'!D165</f>
        <v>335.42857142857144</v>
      </c>
      <c r="AK165" s="41">
        <f>'3. Verotulot'!N165/'Veroposentin tuotto'!E165</f>
        <v>327.62790697674421</v>
      </c>
      <c r="AL165" s="41">
        <f>'3. Verotulot'!S165/'Veroposentin tuotto'!F165</f>
        <v>325.44186046511629</v>
      </c>
      <c r="AM165" s="41">
        <f>'3. Verotulot'!X165/'Veroposentin tuotto'!G165</f>
        <v>329.3488372093023</v>
      </c>
      <c r="AN165" s="41">
        <f>'3. Verotulot'!AC165/'Veroposentin tuotto'!H165</f>
        <v>371.39534883720933</v>
      </c>
      <c r="AO165" s="41">
        <f>'3. Verotulot'!AH165/'Veroposentin tuotto'!I165</f>
        <v>362.15818325581398</v>
      </c>
      <c r="AP165" s="41">
        <f>'3. Verotulot'!AM165/'Veroposentin tuotto'!J165</f>
        <v>373.34659209302328</v>
      </c>
      <c r="AQ165" s="41">
        <f>'3. Verotulot'!AR165/'Veroposentin tuotto'!K165</f>
        <v>480.84662189616262</v>
      </c>
      <c r="AR165" s="41">
        <f>'3. Verotulot'!AW165/'Veroposentin tuotto'!L165</f>
        <v>464.03124122391245</v>
      </c>
      <c r="AS165" s="41">
        <f>'3. Verotulot'!BB165/'Veroposentin tuotto'!M165</f>
        <v>480.48382285813966</v>
      </c>
      <c r="AT165" s="41">
        <f>'3. Verotulot'!BG165/'Veroposentin tuotto'!N165</f>
        <v>500.78864566278168</v>
      </c>
      <c r="AU165" s="41">
        <f>'3. Verotulot'!BL165/'Veroposentin tuotto'!O165</f>
        <v>516.51079446712936</v>
      </c>
      <c r="AV165" s="41">
        <f>'3. Verotulot'!BQ165/'Veroposentin tuotto'!P165</f>
        <v>534.1443638535053</v>
      </c>
      <c r="AX165" s="146"/>
      <c r="AZ165" s="34">
        <v>498</v>
      </c>
      <c r="BA165" s="88" t="s">
        <v>479</v>
      </c>
      <c r="BB165" s="41">
        <f>AI165/'1. Väestöennuste'!E165*1000</f>
        <v>138.60857849670828</v>
      </c>
      <c r="BC165" s="41">
        <f>AJ165/'1. Väestöennuste'!F165*1000</f>
        <v>142.73556231003039</v>
      </c>
      <c r="BD165" s="41">
        <f>AK165/'1. Väestöennuste'!G165*1000</f>
        <v>140.4922414136982</v>
      </c>
      <c r="BE165" s="41">
        <f>AL165/'1. Väestöennuste'!H165*1000</f>
        <v>141.55800803180352</v>
      </c>
      <c r="BF165" s="41">
        <f>AM165/'1. Väestöennuste'!I165*1000</f>
        <v>142.6988029503043</v>
      </c>
      <c r="BG165" s="41">
        <f>AN165/'1. Väestöennuste'!J165*1000</f>
        <v>161.6871348877707</v>
      </c>
      <c r="BH165" s="41">
        <f>AO165/'1. Väestöennuste'!K165*1000</f>
        <v>156.03540855485306</v>
      </c>
      <c r="BI165" s="41">
        <f>AP165/'1. Väestöennuste'!L165*1000</f>
        <v>163.6767172700672</v>
      </c>
      <c r="BJ165" s="41">
        <f>AQ165/'1. Väestöennuste'!M165*1000</f>
        <v>206.81575135318823</v>
      </c>
      <c r="BK165" s="41">
        <f>AR165/'1. Väestöennuste'!N165*1000</f>
        <v>205.77882094186805</v>
      </c>
      <c r="BL165" s="41">
        <f>AS165/'1. Väestöennuste'!O165*1000</f>
        <v>214.02397454705553</v>
      </c>
      <c r="BM165" s="41">
        <f>AT165/'1. Väestöennuste'!P165*1000</f>
        <v>223.96629949140504</v>
      </c>
      <c r="BN165" s="41">
        <f>AU165/'1. Väestöennuste'!Q165*1000</f>
        <v>231.93120541855831</v>
      </c>
      <c r="BO165" s="41">
        <f>AV165/'1. Väestöennuste'!R165*1000</f>
        <v>240.93115194113906</v>
      </c>
    </row>
    <row r="166" spans="1:67" x14ac:dyDescent="0.25">
      <c r="A166" s="30">
        <v>499</v>
      </c>
      <c r="B166" s="47" t="s">
        <v>480</v>
      </c>
      <c r="C166" s="47">
        <v>20.75</v>
      </c>
      <c r="D166" s="47">
        <v>20.75</v>
      </c>
      <c r="E166" s="47">
        <v>20.75</v>
      </c>
      <c r="F166" s="47">
        <v>20.75</v>
      </c>
      <c r="G166" s="47">
        <v>20.75</v>
      </c>
      <c r="H166" s="58">
        <v>20.75</v>
      </c>
      <c r="I166" s="139">
        <v>20.75</v>
      </c>
      <c r="J166" s="139">
        <v>20.75</v>
      </c>
      <c r="K166" s="139">
        <f t="shared" si="11"/>
        <v>8.11</v>
      </c>
      <c r="L166" s="139">
        <v>8.4</v>
      </c>
      <c r="M166" s="139">
        <f t="shared" si="12"/>
        <v>8.4</v>
      </c>
      <c r="N166" s="147">
        <f t="shared" si="12"/>
        <v>8.4</v>
      </c>
      <c r="O166" s="147">
        <f t="shared" si="12"/>
        <v>8.4</v>
      </c>
      <c r="P166" s="147">
        <f t="shared" si="12"/>
        <v>8.4</v>
      </c>
      <c r="Q166" s="147"/>
      <c r="S166" s="41">
        <f>'3. Verotulot'!D166*100/'Veroposentin tuotto'!C166</f>
        <v>328519.39474698791</v>
      </c>
      <c r="T166" s="41">
        <f>'3. Verotulot'!I166*100/'Veroposentin tuotto'!D166</f>
        <v>333108.43373493978</v>
      </c>
      <c r="U166" s="41">
        <f>'3. Verotulot'!N166*100/'Veroposentin tuotto'!E166</f>
        <v>335421.68674698798</v>
      </c>
      <c r="V166" s="41">
        <f>'3. Verotulot'!S166*100/'Veroposentin tuotto'!F166</f>
        <v>329387.95180722891</v>
      </c>
      <c r="W166" s="41">
        <f>'3. Verotulot'!X166*100/'Veroposentin tuotto'!G166</f>
        <v>335980.72289156629</v>
      </c>
      <c r="X166" s="41">
        <f>'3. Verotulot'!AC166*100/'Veroposentin tuotto'!H166</f>
        <v>347368.67469879519</v>
      </c>
      <c r="Y166" s="41">
        <f>'3. Verotulot'!AH166*100/'Veroposentin tuotto'!I166</f>
        <v>357586.83971084334</v>
      </c>
      <c r="Z166" s="41">
        <f>'3. Verotulot'!AM166*100/'Veroposentin tuotto'!J166</f>
        <v>377507.94245783135</v>
      </c>
      <c r="AA166" s="41">
        <f>'3. Verotulot'!AR166*100/'Veroposentin tuotto'!K166</f>
        <v>488278.17225647357</v>
      </c>
      <c r="AB166" s="41">
        <f>'3. Verotulot'!AW166*100/'Veroposentin tuotto'!L166</f>
        <v>451025.75790651079</v>
      </c>
      <c r="AC166" s="41">
        <f>'3. Verotulot'!BB166*100/'Veroposentin tuotto'!M166</f>
        <v>478682.89033523877</v>
      </c>
      <c r="AD166" s="41">
        <f>'3. Verotulot'!BG166*100/'Veroposentin tuotto'!N166</f>
        <v>502614.79330047098</v>
      </c>
      <c r="AE166" s="41">
        <f>'3. Verotulot'!BL166*100/'Veroposentin tuotto'!O166</f>
        <v>521329.54394143936</v>
      </c>
      <c r="AF166" s="41">
        <f>'3. Verotulot'!BQ166*100/'Veroposentin tuotto'!P166</f>
        <v>541843.76575197792</v>
      </c>
      <c r="AI166" s="41">
        <f>'3. Verotulot'!D166/'Veroposentin tuotto'!C166</f>
        <v>3285.1939474698793</v>
      </c>
      <c r="AJ166" s="41">
        <f>'3. Verotulot'!I166/'Veroposentin tuotto'!D166</f>
        <v>3331.0843373493976</v>
      </c>
      <c r="AK166" s="41">
        <f>'3. Verotulot'!N166/'Veroposentin tuotto'!E166</f>
        <v>3354.2168674698796</v>
      </c>
      <c r="AL166" s="41">
        <f>'3. Verotulot'!S166/'Veroposentin tuotto'!F166</f>
        <v>3293.8795180722891</v>
      </c>
      <c r="AM166" s="41">
        <f>'3. Verotulot'!X166/'Veroposentin tuotto'!G166</f>
        <v>3359.8072289156626</v>
      </c>
      <c r="AN166" s="41">
        <f>'3. Verotulot'!AC166/'Veroposentin tuotto'!H166</f>
        <v>3473.6867469879517</v>
      </c>
      <c r="AO166" s="41">
        <f>'3. Verotulot'!AH166/'Veroposentin tuotto'!I166</f>
        <v>3575.8683971084333</v>
      </c>
      <c r="AP166" s="41">
        <f>'3. Verotulot'!AM166/'Veroposentin tuotto'!J166</f>
        <v>3775.0794245783136</v>
      </c>
      <c r="AQ166" s="41">
        <f>'3. Verotulot'!AR166/'Veroposentin tuotto'!K166</f>
        <v>4882.7817225647359</v>
      </c>
      <c r="AR166" s="41">
        <f>'3. Verotulot'!AW166/'Veroposentin tuotto'!L166</f>
        <v>4510.2575790651081</v>
      </c>
      <c r="AS166" s="41">
        <f>'3. Verotulot'!BB166/'Veroposentin tuotto'!M166</f>
        <v>4786.828903352387</v>
      </c>
      <c r="AT166" s="41">
        <f>'3. Verotulot'!BG166/'Veroposentin tuotto'!N166</f>
        <v>5026.1479330047096</v>
      </c>
      <c r="AU166" s="41">
        <f>'3. Verotulot'!BL166/'Veroposentin tuotto'!O166</f>
        <v>5213.2954394143935</v>
      </c>
      <c r="AV166" s="41">
        <f>'3. Verotulot'!BQ166/'Veroposentin tuotto'!P166</f>
        <v>5418.4376575197784</v>
      </c>
      <c r="AX166" s="146"/>
      <c r="AZ166" s="34">
        <v>499</v>
      </c>
      <c r="BA166" s="88" t="s">
        <v>480</v>
      </c>
      <c r="BB166" s="41">
        <f>AI166/'1. Väestöennuste'!E166*1000</f>
        <v>170.19966570665625</v>
      </c>
      <c r="BC166" s="41">
        <f>AJ166/'1. Väestöennuste'!F166*1000</f>
        <v>171.88257674661494</v>
      </c>
      <c r="BD166" s="41">
        <f>AK166/'1. Väestöennuste'!G166*1000</f>
        <v>173.04049048028679</v>
      </c>
      <c r="BE166" s="41">
        <f>AL166/'1. Väestöennuste'!H166*1000</f>
        <v>169.40339014977829</v>
      </c>
      <c r="BF166" s="41">
        <f>AM166/'1. Väestöennuste'!I166*1000</f>
        <v>172.75849593354909</v>
      </c>
      <c r="BG166" s="41">
        <f>AN166/'1. Väestöennuste'!J166*1000</f>
        <v>178.56817699007615</v>
      </c>
      <c r="BH166" s="41">
        <f>AO166/'1. Väestöennuste'!K166*1000</f>
        <v>183.03994661693454</v>
      </c>
      <c r="BI166" s="41">
        <f>AP166/'1. Väestöennuste'!L166*1000</f>
        <v>191.99875010570204</v>
      </c>
      <c r="BJ166" s="41">
        <f>AQ166/'1. Väestöennuste'!M166*1000</f>
        <v>247.06682804051692</v>
      </c>
      <c r="BK166" s="41">
        <f>AR166/'1. Väestöennuste'!N166*1000</f>
        <v>231.02277206705466</v>
      </c>
      <c r="BL166" s="41">
        <f>AS166/'1. Väestöennuste'!O166*1000</f>
        <v>245.22689054059359</v>
      </c>
      <c r="BM166" s="41">
        <f>AT166/'1. Väestöennuste'!P166*1000</f>
        <v>257.59265749306633</v>
      </c>
      <c r="BN166" s="41">
        <f>AU166/'1. Väestöennuste'!Q166*1000</f>
        <v>267.3621949543255</v>
      </c>
      <c r="BO166" s="41">
        <f>AV166/'1. Väestöennuste'!R166*1000</f>
        <v>278.12532889435266</v>
      </c>
    </row>
    <row r="167" spans="1:67" x14ac:dyDescent="0.25">
      <c r="A167" s="30">
        <v>500</v>
      </c>
      <c r="B167" s="47" t="s">
        <v>481</v>
      </c>
      <c r="C167" s="47">
        <v>19.5</v>
      </c>
      <c r="D167" s="47">
        <v>19.5</v>
      </c>
      <c r="E167" s="47">
        <v>19.5</v>
      </c>
      <c r="F167" s="47">
        <v>19.5</v>
      </c>
      <c r="G167" s="47">
        <v>19.5</v>
      </c>
      <c r="H167" s="58">
        <v>19.5</v>
      </c>
      <c r="I167" s="139">
        <v>19.5</v>
      </c>
      <c r="J167" s="139">
        <v>19.5</v>
      </c>
      <c r="K167" s="139">
        <f t="shared" si="11"/>
        <v>6.8599999999999994</v>
      </c>
      <c r="L167" s="139">
        <v>6.9</v>
      </c>
      <c r="M167" s="139">
        <f t="shared" si="12"/>
        <v>6.9</v>
      </c>
      <c r="N167" s="147">
        <f t="shared" si="12"/>
        <v>6.9</v>
      </c>
      <c r="O167" s="147">
        <f t="shared" si="12"/>
        <v>6.9</v>
      </c>
      <c r="P167" s="147">
        <f t="shared" si="12"/>
        <v>6.9</v>
      </c>
      <c r="Q167" s="147"/>
      <c r="S167" s="41">
        <f>'3. Verotulot'!D167*100/'Veroposentin tuotto'!C167</f>
        <v>168085.51338461536</v>
      </c>
      <c r="T167" s="41">
        <f>'3. Verotulot'!I167*100/'Veroposentin tuotto'!D167</f>
        <v>172671.79487179487</v>
      </c>
      <c r="U167" s="41">
        <f>'3. Verotulot'!N167*100/'Veroposentin tuotto'!E167</f>
        <v>175410.25641025641</v>
      </c>
      <c r="V167" s="41">
        <f>'3. Verotulot'!S167*100/'Veroposentin tuotto'!F167</f>
        <v>179758.97435897434</v>
      </c>
      <c r="W167" s="41">
        <f>'3. Verotulot'!X167*100/'Veroposentin tuotto'!G167</f>
        <v>183200</v>
      </c>
      <c r="X167" s="41">
        <f>'3. Verotulot'!AC167*100/'Veroposentin tuotto'!H167</f>
        <v>195389.74358974359</v>
      </c>
      <c r="Y167" s="41">
        <f>'3. Verotulot'!AH167*100/'Veroposentin tuotto'!I167</f>
        <v>198986.43020512821</v>
      </c>
      <c r="Z167" s="41">
        <f>'3. Verotulot'!AM167*100/'Veroposentin tuotto'!J167</f>
        <v>209564.81158974359</v>
      </c>
      <c r="AA167" s="41">
        <f>'3. Verotulot'!AR167*100/'Veroposentin tuotto'!K167</f>
        <v>267191.36603498546</v>
      </c>
      <c r="AB167" s="41">
        <f>'3. Verotulot'!AW167*100/'Veroposentin tuotto'!L167</f>
        <v>251828.82414406288</v>
      </c>
      <c r="AC167" s="41">
        <f>'3. Verotulot'!BB167*100/'Veroposentin tuotto'!M167</f>
        <v>268825.4299091681</v>
      </c>
      <c r="AD167" s="41">
        <f>'3. Verotulot'!BG167*100/'Veroposentin tuotto'!N167</f>
        <v>282869.68691559799</v>
      </c>
      <c r="AE167" s="41">
        <f>'3. Verotulot'!BL167*100/'Veroposentin tuotto'!O167</f>
        <v>294832.83426076995</v>
      </c>
      <c r="AF167" s="41">
        <f>'3. Verotulot'!BQ167*100/'Veroposentin tuotto'!P167</f>
        <v>307812.31475565425</v>
      </c>
      <c r="AI167" s="41">
        <f>'3. Verotulot'!D167/'Veroposentin tuotto'!C167</f>
        <v>1680.8551338461536</v>
      </c>
      <c r="AJ167" s="41">
        <f>'3. Verotulot'!I167/'Veroposentin tuotto'!D167</f>
        <v>1726.7179487179487</v>
      </c>
      <c r="AK167" s="41">
        <f>'3. Verotulot'!N167/'Veroposentin tuotto'!E167</f>
        <v>1754.1025641025642</v>
      </c>
      <c r="AL167" s="41">
        <f>'3. Verotulot'!S167/'Veroposentin tuotto'!F167</f>
        <v>1797.5897435897436</v>
      </c>
      <c r="AM167" s="41">
        <f>'3. Verotulot'!X167/'Veroposentin tuotto'!G167</f>
        <v>1832</v>
      </c>
      <c r="AN167" s="41">
        <f>'3. Verotulot'!AC167/'Veroposentin tuotto'!H167</f>
        <v>1953.8974358974358</v>
      </c>
      <c r="AO167" s="41">
        <f>'3. Verotulot'!AH167/'Veroposentin tuotto'!I167</f>
        <v>1989.864302051282</v>
      </c>
      <c r="AP167" s="41">
        <f>'3. Verotulot'!AM167/'Veroposentin tuotto'!J167</f>
        <v>2095.6481158974357</v>
      </c>
      <c r="AQ167" s="41">
        <f>'3. Verotulot'!AR167/'Veroposentin tuotto'!K167</f>
        <v>2671.9136603498546</v>
      </c>
      <c r="AR167" s="41">
        <f>'3. Verotulot'!AW167/'Veroposentin tuotto'!L167</f>
        <v>2518.288241440629</v>
      </c>
      <c r="AS167" s="41">
        <f>'3. Verotulot'!BB167/'Veroposentin tuotto'!M167</f>
        <v>2688.2542990916813</v>
      </c>
      <c r="AT167" s="41">
        <f>'3. Verotulot'!BG167/'Veroposentin tuotto'!N167</f>
        <v>2828.6968691559796</v>
      </c>
      <c r="AU167" s="41">
        <f>'3. Verotulot'!BL167/'Veroposentin tuotto'!O167</f>
        <v>2948.3283426076991</v>
      </c>
      <c r="AV167" s="41">
        <f>'3. Verotulot'!BQ167/'Veroposentin tuotto'!P167</f>
        <v>3078.1231475565423</v>
      </c>
      <c r="AX167" s="146"/>
      <c r="AZ167" s="34">
        <v>500</v>
      </c>
      <c r="BA167" s="88" t="s">
        <v>481</v>
      </c>
      <c r="BB167" s="41">
        <f>AI167/'1. Väestöennuste'!E167*1000</f>
        <v>171.67348931121987</v>
      </c>
      <c r="BC167" s="41">
        <f>AJ167/'1. Väestöennuste'!F167*1000</f>
        <v>173.69660484035296</v>
      </c>
      <c r="BD167" s="41">
        <f>AK167/'1. Väestöennuste'!G167*1000</f>
        <v>173.72512271987364</v>
      </c>
      <c r="BE167" s="41">
        <f>AL167/'1. Väestöennuste'!H167*1000</f>
        <v>176.75415374530419</v>
      </c>
      <c r="BF167" s="41">
        <f>AM167/'1. Väestöennuste'!I167*1000</f>
        <v>180.24399842581661</v>
      </c>
      <c r="BG167" s="41">
        <f>AN167/'1. Väestöennuste'!J167*1000</f>
        <v>190.30850646707273</v>
      </c>
      <c r="BH167" s="41">
        <f>AO167/'1. Väestöennuste'!K167*1000</f>
        <v>190.85596605134108</v>
      </c>
      <c r="BI167" s="41">
        <f>AP167/'1. Väestöennuste'!L167*1000</f>
        <v>199.85200418628986</v>
      </c>
      <c r="BJ167" s="41">
        <f>AQ167/'1. Väestöennuste'!M167*1000</f>
        <v>253.23795472939577</v>
      </c>
      <c r="BK167" s="41">
        <f>AR167/'1. Väestöennuste'!N167*1000</f>
        <v>236.92616816639656</v>
      </c>
      <c r="BL167" s="41">
        <f>AS167/'1. Väestöennuste'!O167*1000</f>
        <v>251.23871954127864</v>
      </c>
      <c r="BM167" s="41">
        <f>AT167/'1. Väestöennuste'!P167*1000</f>
        <v>262.81676755142428</v>
      </c>
      <c r="BN167" s="41">
        <f>AU167/'1. Väestöennuste'!Q167*1000</f>
        <v>272.51394237985943</v>
      </c>
      <c r="BO167" s="41">
        <f>AV167/'1. Väestöennuste'!R167*1000</f>
        <v>283.20205608211819</v>
      </c>
    </row>
    <row r="168" spans="1:67" x14ac:dyDescent="0.25">
      <c r="A168" s="30">
        <v>503</v>
      </c>
      <c r="B168" s="47" t="s">
        <v>482</v>
      </c>
      <c r="C168" s="47">
        <v>20.5</v>
      </c>
      <c r="D168" s="47">
        <v>21</v>
      </c>
      <c r="E168" s="47">
        <v>21</v>
      </c>
      <c r="F168" s="47">
        <v>21</v>
      </c>
      <c r="G168" s="47">
        <v>21</v>
      </c>
      <c r="H168" s="58">
        <v>21.25</v>
      </c>
      <c r="I168" s="139">
        <v>21.25</v>
      </c>
      <c r="J168" s="139">
        <v>21.25</v>
      </c>
      <c r="K168" s="139">
        <f t="shared" si="11"/>
        <v>8.61</v>
      </c>
      <c r="L168" s="139">
        <v>9.1</v>
      </c>
      <c r="M168" s="139">
        <f t="shared" si="12"/>
        <v>9.1</v>
      </c>
      <c r="N168" s="147">
        <f t="shared" si="12"/>
        <v>9.1</v>
      </c>
      <c r="O168" s="147">
        <f t="shared" si="12"/>
        <v>9.1</v>
      </c>
      <c r="P168" s="147">
        <f t="shared" si="12"/>
        <v>9.1</v>
      </c>
      <c r="Q168" s="147"/>
      <c r="S168" s="41">
        <f>'3. Verotulot'!D168*100/'Veroposentin tuotto'!C168</f>
        <v>115096.34575609757</v>
      </c>
      <c r="T168" s="41">
        <f>'3. Verotulot'!I168*100/'Veroposentin tuotto'!D168</f>
        <v>117161.90476190476</v>
      </c>
      <c r="U168" s="41">
        <f>'3. Verotulot'!N168*100/'Veroposentin tuotto'!E168</f>
        <v>119814.28571428571</v>
      </c>
      <c r="V168" s="41">
        <f>'3. Verotulot'!S168*100/'Veroposentin tuotto'!F168</f>
        <v>117380.95238095238</v>
      </c>
      <c r="W168" s="41">
        <f>'3. Verotulot'!X168*100/'Veroposentin tuotto'!G168</f>
        <v>116457.14285714286</v>
      </c>
      <c r="X168" s="41">
        <f>'3. Verotulot'!AC168*100/'Veroposentin tuotto'!H168</f>
        <v>122202.35294117648</v>
      </c>
      <c r="Y168" s="41">
        <f>'3. Verotulot'!AH168*100/'Veroposentin tuotto'!I168</f>
        <v>125864.36715294118</v>
      </c>
      <c r="Z168" s="41">
        <f>'3. Verotulot'!AM168*100/'Veroposentin tuotto'!J168</f>
        <v>126114.95981176471</v>
      </c>
      <c r="AA168" s="41">
        <f>'3. Verotulot'!AR168*100/'Veroposentin tuotto'!K168</f>
        <v>161851.50627177701</v>
      </c>
      <c r="AB168" s="41">
        <f>'3. Verotulot'!AW168*100/'Veroposentin tuotto'!L168</f>
        <v>152918.8147168798</v>
      </c>
      <c r="AC168" s="41">
        <f>'3. Verotulot'!BB168*100/'Veroposentin tuotto'!M168</f>
        <v>162512.52050136795</v>
      </c>
      <c r="AD168" s="41">
        <f>'3. Verotulot'!BG168*100/'Veroposentin tuotto'!N168</f>
        <v>170158.09893722169</v>
      </c>
      <c r="AE168" s="41">
        <f>'3. Verotulot'!BL168*100/'Veroposentin tuotto'!O168</f>
        <v>176057.41694483595</v>
      </c>
      <c r="AF168" s="41">
        <f>'3. Verotulot'!BQ168*100/'Veroposentin tuotto'!P168</f>
        <v>182741.10382424155</v>
      </c>
      <c r="AI168" s="41">
        <f>'3. Verotulot'!D168/'Veroposentin tuotto'!C168</f>
        <v>1150.9634575609755</v>
      </c>
      <c r="AJ168" s="41">
        <f>'3. Verotulot'!I168/'Veroposentin tuotto'!D168</f>
        <v>1171.6190476190477</v>
      </c>
      <c r="AK168" s="41">
        <f>'3. Verotulot'!N168/'Veroposentin tuotto'!E168</f>
        <v>1198.1428571428571</v>
      </c>
      <c r="AL168" s="41">
        <f>'3. Verotulot'!S168/'Veroposentin tuotto'!F168</f>
        <v>1173.8095238095239</v>
      </c>
      <c r="AM168" s="41">
        <f>'3. Verotulot'!X168/'Veroposentin tuotto'!G168</f>
        <v>1164.5714285714287</v>
      </c>
      <c r="AN168" s="41">
        <f>'3. Verotulot'!AC168/'Veroposentin tuotto'!H168</f>
        <v>1222.0235294117647</v>
      </c>
      <c r="AO168" s="41">
        <f>'3. Verotulot'!AH168/'Veroposentin tuotto'!I168</f>
        <v>1258.6436715294117</v>
      </c>
      <c r="AP168" s="41">
        <f>'3. Verotulot'!AM168/'Veroposentin tuotto'!J168</f>
        <v>1261.1495981176472</v>
      </c>
      <c r="AQ168" s="41">
        <f>'3. Verotulot'!AR168/'Veroposentin tuotto'!K168</f>
        <v>1618.5150627177702</v>
      </c>
      <c r="AR168" s="41">
        <f>'3. Verotulot'!AW168/'Veroposentin tuotto'!L168</f>
        <v>1529.188147168798</v>
      </c>
      <c r="AS168" s="41">
        <f>'3. Verotulot'!BB168/'Veroposentin tuotto'!M168</f>
        <v>1625.1252050136793</v>
      </c>
      <c r="AT168" s="41">
        <f>'3. Verotulot'!BG168/'Veroposentin tuotto'!N168</f>
        <v>1701.5809893722169</v>
      </c>
      <c r="AU168" s="41">
        <f>'3. Verotulot'!BL168/'Veroposentin tuotto'!O168</f>
        <v>1760.5741694483595</v>
      </c>
      <c r="AV168" s="41">
        <f>'3. Verotulot'!BQ168/'Veroposentin tuotto'!P168</f>
        <v>1827.4110382424158</v>
      </c>
      <c r="AX168" s="146"/>
      <c r="AZ168" s="34">
        <v>503</v>
      </c>
      <c r="BA168" s="88" t="s">
        <v>482</v>
      </c>
      <c r="BB168" s="41">
        <f>AI168/'1. Väestöennuste'!E168*1000</f>
        <v>146.45164239228598</v>
      </c>
      <c r="BC168" s="41">
        <f>AJ168/'1. Väestöennuste'!F168*1000</f>
        <v>149.40309201977146</v>
      </c>
      <c r="BD168" s="41">
        <f>AK168/'1. Väestöennuste'!G168*1000</f>
        <v>152.86333977326578</v>
      </c>
      <c r="BE168" s="41">
        <f>AL168/'1. Väestöennuste'!H168*1000</f>
        <v>151.14724746452794</v>
      </c>
      <c r="BF168" s="41">
        <f>AM168/'1. Väestöennuste'!I168*1000</f>
        <v>152.15200268767032</v>
      </c>
      <c r="BG168" s="41">
        <f>AN168/'1. Väestöennuste'!J168*1000</f>
        <v>159.84611241488091</v>
      </c>
      <c r="BH168" s="41">
        <f>AO168/'1. Väestöennuste'!K168*1000</f>
        <v>165.74185824722304</v>
      </c>
      <c r="BI168" s="41">
        <f>AP168/'1. Väestöennuste'!L168*1000</f>
        <v>167.28340603762399</v>
      </c>
      <c r="BJ168" s="41">
        <f>AQ168/'1. Väestöennuste'!M168*1000</f>
        <v>215.37126583070796</v>
      </c>
      <c r="BK168" s="41">
        <f>AR168/'1. Väestöennuste'!N168*1000</f>
        <v>204.95753212287872</v>
      </c>
      <c r="BL168" s="41">
        <f>AS168/'1. Väestöennuste'!O168*1000</f>
        <v>218.96055039257334</v>
      </c>
      <c r="BM168" s="41">
        <f>AT168/'1. Väestöennuste'!P168*1000</f>
        <v>230.41042510118035</v>
      </c>
      <c r="BN168" s="41">
        <f>AU168/'1. Väestöennuste'!Q168*1000</f>
        <v>239.50131539224046</v>
      </c>
      <c r="BO168" s="41">
        <f>AV168/'1. Väestöennuste'!R168*1000</f>
        <v>249.78281003860246</v>
      </c>
    </row>
    <row r="169" spans="1:67" x14ac:dyDescent="0.25">
      <c r="A169" s="30">
        <v>504</v>
      </c>
      <c r="B169" s="47" t="s">
        <v>483</v>
      </c>
      <c r="C169" s="47">
        <v>21.5</v>
      </c>
      <c r="D169" s="47">
        <v>21.5</v>
      </c>
      <c r="E169" s="47">
        <v>21.5</v>
      </c>
      <c r="F169" s="47">
        <v>21.5</v>
      </c>
      <c r="G169" s="47">
        <v>21.5</v>
      </c>
      <c r="H169" s="58">
        <v>21.5</v>
      </c>
      <c r="I169" s="139">
        <v>21.5</v>
      </c>
      <c r="J169" s="139">
        <v>21.5</v>
      </c>
      <c r="K169" s="139">
        <f t="shared" si="11"/>
        <v>8.86</v>
      </c>
      <c r="L169" s="139">
        <v>9.9</v>
      </c>
      <c r="M169" s="139">
        <f t="shared" si="12"/>
        <v>9.9</v>
      </c>
      <c r="N169" s="147">
        <f t="shared" si="12"/>
        <v>9.9</v>
      </c>
      <c r="O169" s="147">
        <f t="shared" si="12"/>
        <v>9.9</v>
      </c>
      <c r="P169" s="147">
        <f t="shared" si="12"/>
        <v>9.9</v>
      </c>
      <c r="Q169" s="147"/>
      <c r="S169" s="41">
        <f>'3. Verotulot'!D169*100/'Veroposentin tuotto'!C169</f>
        <v>25685.712558139538</v>
      </c>
      <c r="T169" s="41">
        <f>'3. Verotulot'!I169*100/'Veroposentin tuotto'!D169</f>
        <v>25981.39534883721</v>
      </c>
      <c r="U169" s="41">
        <f>'3. Verotulot'!N169*100/'Veroposentin tuotto'!E169</f>
        <v>25651.162790697676</v>
      </c>
      <c r="V169" s="41">
        <f>'3. Verotulot'!S169*100/'Veroposentin tuotto'!F169</f>
        <v>25962.79069767442</v>
      </c>
      <c r="W169" s="41">
        <f>'3. Verotulot'!X169*100/'Veroposentin tuotto'!G169</f>
        <v>26688.372093023256</v>
      </c>
      <c r="X169" s="41">
        <f>'3. Verotulot'!AC169*100/'Veroposentin tuotto'!H169</f>
        <v>26711.627906976744</v>
      </c>
      <c r="Y169" s="41">
        <f>'3. Verotulot'!AH169*100/'Veroposentin tuotto'!I169</f>
        <v>28692.928744186047</v>
      </c>
      <c r="Z169" s="41">
        <f>'3. Verotulot'!AM169*100/'Veroposentin tuotto'!J169</f>
        <v>27503.391767441863</v>
      </c>
      <c r="AA169" s="41">
        <f>'3. Verotulot'!AR169*100/'Veroposentin tuotto'!K169</f>
        <v>35497.467945823926</v>
      </c>
      <c r="AB169" s="41">
        <f>'3. Verotulot'!AW169*100/'Veroposentin tuotto'!L169</f>
        <v>32491.317896685156</v>
      </c>
      <c r="AC169" s="41">
        <f>'3. Verotulot'!BB169*100/'Veroposentin tuotto'!M169</f>
        <v>35155.123300624218</v>
      </c>
      <c r="AD169" s="41">
        <f>'3. Verotulot'!BG169*100/'Veroposentin tuotto'!N169</f>
        <v>36699.698848061787</v>
      </c>
      <c r="AE169" s="41">
        <f>'3. Verotulot'!BL169*100/'Veroposentin tuotto'!O169</f>
        <v>37860.093072097101</v>
      </c>
      <c r="AF169" s="41">
        <f>'3. Verotulot'!BQ169*100/'Veroposentin tuotto'!P169</f>
        <v>39475.257992043291</v>
      </c>
      <c r="AI169" s="41">
        <f>'3. Verotulot'!D169/'Veroposentin tuotto'!C169</f>
        <v>256.85712558139534</v>
      </c>
      <c r="AJ169" s="41">
        <f>'3. Verotulot'!I169/'Veroposentin tuotto'!D169</f>
        <v>259.81395348837208</v>
      </c>
      <c r="AK169" s="41">
        <f>'3. Verotulot'!N169/'Veroposentin tuotto'!E169</f>
        <v>256.51162790697674</v>
      </c>
      <c r="AL169" s="41">
        <f>'3. Verotulot'!S169/'Veroposentin tuotto'!F169</f>
        <v>259.62790697674421</v>
      </c>
      <c r="AM169" s="41">
        <f>'3. Verotulot'!X169/'Veroposentin tuotto'!G169</f>
        <v>266.88372093023258</v>
      </c>
      <c r="AN169" s="41">
        <f>'3. Verotulot'!AC169/'Veroposentin tuotto'!H169</f>
        <v>267.11627906976742</v>
      </c>
      <c r="AO169" s="41">
        <f>'3. Verotulot'!AH169/'Veroposentin tuotto'!I169</f>
        <v>286.92928744186042</v>
      </c>
      <c r="AP169" s="41">
        <f>'3. Verotulot'!AM169/'Veroposentin tuotto'!J169</f>
        <v>275.03391767441866</v>
      </c>
      <c r="AQ169" s="41">
        <f>'3. Verotulot'!AR169/'Veroposentin tuotto'!K169</f>
        <v>354.97467945823928</v>
      </c>
      <c r="AR169" s="41">
        <f>'3. Verotulot'!AW169/'Veroposentin tuotto'!L169</f>
        <v>324.91317896685149</v>
      </c>
      <c r="AS169" s="41">
        <f>'3. Verotulot'!BB169/'Veroposentin tuotto'!M169</f>
        <v>351.55123300624217</v>
      </c>
      <c r="AT169" s="41">
        <f>'3. Verotulot'!BG169/'Veroposentin tuotto'!N169</f>
        <v>366.99698848061792</v>
      </c>
      <c r="AU169" s="41">
        <f>'3. Verotulot'!BL169/'Veroposentin tuotto'!O169</f>
        <v>378.60093072097106</v>
      </c>
      <c r="AV169" s="41">
        <f>'3. Verotulot'!BQ169/'Veroposentin tuotto'!P169</f>
        <v>394.75257992043288</v>
      </c>
      <c r="AX169" s="146"/>
      <c r="AZ169" s="34">
        <v>504</v>
      </c>
      <c r="BA169" s="88" t="s">
        <v>483</v>
      </c>
      <c r="BB169" s="41">
        <f>AI169/'1. Väestöennuste'!E169*1000</f>
        <v>130.45054625769188</v>
      </c>
      <c r="BC169" s="41">
        <f>AJ169/'1. Väestöennuste'!F169*1000</f>
        <v>130.8227358954542</v>
      </c>
      <c r="BD169" s="41">
        <f>AK169/'1. Väestöennuste'!G169*1000</f>
        <v>130.27507765717459</v>
      </c>
      <c r="BE169" s="41">
        <f>AL169/'1. Väestöennuste'!H169*1000</f>
        <v>135.08215763618324</v>
      </c>
      <c r="BF169" s="41">
        <f>AM169/'1. Väestöennuste'!I169*1000</f>
        <v>141.80856585028297</v>
      </c>
      <c r="BG169" s="41">
        <f>AN169/'1. Väestöennuste'!J169*1000</f>
        <v>142.76658421687193</v>
      </c>
      <c r="BH169" s="41">
        <f>AO169/'1. Väestöennuste'!K169*1000</f>
        <v>158.00070894375574</v>
      </c>
      <c r="BI169" s="41">
        <f>AP169/'1. Väestöennuste'!L169*1000</f>
        <v>155.91491931656387</v>
      </c>
      <c r="BJ169" s="41">
        <f>AQ169/'1. Väestöennuste'!M169*1000</f>
        <v>206.98232038381298</v>
      </c>
      <c r="BK169" s="41">
        <f>AR169/'1. Väestöennuste'!N169*1000</f>
        <v>181.51574243958186</v>
      </c>
      <c r="BL169" s="41">
        <f>AS169/'1. Väestöennuste'!O169*1000</f>
        <v>198.2804472680441</v>
      </c>
      <c r="BM169" s="41">
        <f>AT169/'1. Väestöennuste'!P169*1000</f>
        <v>208.99600710741339</v>
      </c>
      <c r="BN169" s="41">
        <f>AU169/'1. Väestöennuste'!Q169*1000</f>
        <v>216.96328408078571</v>
      </c>
      <c r="BO169" s="41">
        <f>AV169/'1. Väestöennuste'!R169*1000</f>
        <v>227.65431367960372</v>
      </c>
    </row>
    <row r="170" spans="1:67" x14ac:dyDescent="0.25">
      <c r="A170" s="30">
        <v>505</v>
      </c>
      <c r="B170" s="47" t="s">
        <v>484</v>
      </c>
      <c r="C170" s="47">
        <v>20.5</v>
      </c>
      <c r="D170" s="47">
        <v>20.5</v>
      </c>
      <c r="E170" s="47">
        <v>20.5</v>
      </c>
      <c r="F170" s="47">
        <v>20.5</v>
      </c>
      <c r="G170" s="47">
        <v>20.5</v>
      </c>
      <c r="H170" s="59">
        <v>20.5</v>
      </c>
      <c r="I170" s="139">
        <v>21</v>
      </c>
      <c r="J170" s="139">
        <v>21</v>
      </c>
      <c r="K170" s="139">
        <f t="shared" si="11"/>
        <v>8.36</v>
      </c>
      <c r="L170" s="139">
        <v>8.3000000000000007</v>
      </c>
      <c r="M170" s="139">
        <f t="shared" si="12"/>
        <v>8.3000000000000007</v>
      </c>
      <c r="N170" s="147">
        <f t="shared" si="12"/>
        <v>8.3000000000000007</v>
      </c>
      <c r="O170" s="147">
        <f t="shared" si="12"/>
        <v>8.3000000000000007</v>
      </c>
      <c r="P170" s="147">
        <f t="shared" si="12"/>
        <v>8.3000000000000007</v>
      </c>
      <c r="Q170" s="147"/>
      <c r="S170" s="41">
        <f>'3. Verotulot'!D170*100/'Veroposentin tuotto'!C170</f>
        <v>339174.50209756102</v>
      </c>
      <c r="T170" s="41">
        <f>'3. Verotulot'!I170*100/'Veroposentin tuotto'!D170</f>
        <v>344219.51219512196</v>
      </c>
      <c r="U170" s="41">
        <f>'3. Verotulot'!N170*100/'Veroposentin tuotto'!E170</f>
        <v>349000</v>
      </c>
      <c r="V170" s="41">
        <f>'3. Verotulot'!S170*100/'Veroposentin tuotto'!F170</f>
        <v>341058.53658536583</v>
      </c>
      <c r="W170" s="41">
        <f>'3. Verotulot'!X170*100/'Veroposentin tuotto'!G170</f>
        <v>355273.1707317073</v>
      </c>
      <c r="X170" s="41">
        <f>'3. Verotulot'!AC170*100/'Veroposentin tuotto'!H170</f>
        <v>375843.90243902442</v>
      </c>
      <c r="Y170" s="41">
        <f>'3. Verotulot'!AH170*100/'Veroposentin tuotto'!I170</f>
        <v>382480.35371428571</v>
      </c>
      <c r="Z170" s="41">
        <f>'3. Verotulot'!AM170*100/'Veroposentin tuotto'!J170</f>
        <v>404586.28333333333</v>
      </c>
      <c r="AA170" s="41">
        <f>'3. Verotulot'!AR170*100/'Veroposentin tuotto'!K170</f>
        <v>497984.03014354064</v>
      </c>
      <c r="AB170" s="41">
        <f>'3. Verotulot'!AW170*100/'Veroposentin tuotto'!L170</f>
        <v>479120.99471324729</v>
      </c>
      <c r="AC170" s="41">
        <f>'3. Verotulot'!BB170*100/'Veroposentin tuotto'!M170</f>
        <v>511775.11834675219</v>
      </c>
      <c r="AD170" s="41">
        <f>'3. Verotulot'!BG170*100/'Veroposentin tuotto'!N170</f>
        <v>538845.28360670805</v>
      </c>
      <c r="AE170" s="41">
        <f>'3. Verotulot'!BL170*100/'Veroposentin tuotto'!O170</f>
        <v>562100.73162229639</v>
      </c>
      <c r="AF170" s="41">
        <f>'3. Verotulot'!BQ170*100/'Veroposentin tuotto'!P170</f>
        <v>587455.26791904448</v>
      </c>
      <c r="AI170" s="41">
        <f>'3. Verotulot'!D170/'Veroposentin tuotto'!C170</f>
        <v>3391.7450209756103</v>
      </c>
      <c r="AJ170" s="41">
        <f>'3. Verotulot'!I170/'Veroposentin tuotto'!D170</f>
        <v>3442.1951219512193</v>
      </c>
      <c r="AK170" s="41">
        <f>'3. Verotulot'!N170/'Veroposentin tuotto'!E170</f>
        <v>3490</v>
      </c>
      <c r="AL170" s="41">
        <f>'3. Verotulot'!S170/'Veroposentin tuotto'!F170</f>
        <v>3410.5853658536585</v>
      </c>
      <c r="AM170" s="41">
        <f>'3. Verotulot'!X170/'Veroposentin tuotto'!G170</f>
        <v>3552.731707317073</v>
      </c>
      <c r="AN170" s="41">
        <f>'3. Verotulot'!AC170/'Veroposentin tuotto'!H170</f>
        <v>3758.439024390244</v>
      </c>
      <c r="AO170" s="41">
        <f>'3. Verotulot'!AH170/'Veroposentin tuotto'!I170</f>
        <v>3824.8035371428573</v>
      </c>
      <c r="AP170" s="41">
        <f>'3. Verotulot'!AM170/'Veroposentin tuotto'!J170</f>
        <v>4045.8628333333336</v>
      </c>
      <c r="AQ170" s="41">
        <f>'3. Verotulot'!AR170/'Veroposentin tuotto'!K170</f>
        <v>4979.8403014354071</v>
      </c>
      <c r="AR170" s="41">
        <f>'3. Verotulot'!AW170/'Veroposentin tuotto'!L170</f>
        <v>4791.2099471324727</v>
      </c>
      <c r="AS170" s="41">
        <f>'3. Verotulot'!BB170/'Veroposentin tuotto'!M170</f>
        <v>5117.7511834675224</v>
      </c>
      <c r="AT170" s="41">
        <f>'3. Verotulot'!BG170/'Veroposentin tuotto'!N170</f>
        <v>5388.4528360670802</v>
      </c>
      <c r="AU170" s="41">
        <f>'3. Verotulot'!BL170/'Veroposentin tuotto'!O170</f>
        <v>5621.0073162229646</v>
      </c>
      <c r="AV170" s="41">
        <f>'3. Verotulot'!BQ170/'Veroposentin tuotto'!P170</f>
        <v>5874.552679190444</v>
      </c>
      <c r="AX170" s="146"/>
      <c r="AZ170" s="34">
        <v>505</v>
      </c>
      <c r="BA170" s="88" t="s">
        <v>484</v>
      </c>
      <c r="BB170" s="41">
        <f>AI170/'1. Väestöennuste'!E170*1000</f>
        <v>163.97123620863476</v>
      </c>
      <c r="BC170" s="41">
        <f>AJ170/'1. Väestöennuste'!F170*1000</f>
        <v>165.06954020770246</v>
      </c>
      <c r="BD170" s="41">
        <f>AK170/'1. Väestöennuste'!G170*1000</f>
        <v>167.76426476950439</v>
      </c>
      <c r="BE170" s="41">
        <f>AL170/'1. Väestöennuste'!H170*1000</f>
        <v>164.87408710498204</v>
      </c>
      <c r="BF170" s="41">
        <f>AM170/'1. Väestöennuste'!I170*1000</f>
        <v>171.45561060359407</v>
      </c>
      <c r="BG170" s="41">
        <f>AN170/'1. Väestöennuste'!J170*1000</f>
        <v>180.8419874123199</v>
      </c>
      <c r="BH170" s="41">
        <f>AO170/'1. Väestöennuste'!K170*1000</f>
        <v>183.55826352847615</v>
      </c>
      <c r="BI170" s="41">
        <f>AP170/'1. Väestöennuste'!L170*1000</f>
        <v>193.47086999489926</v>
      </c>
      <c r="BJ170" s="41">
        <f>AQ170/'1. Väestöennuste'!M170*1000</f>
        <v>237.62181139645023</v>
      </c>
      <c r="BK170" s="41">
        <f>AR170/'1. Väestöennuste'!N170*1000</f>
        <v>229.35423394602549</v>
      </c>
      <c r="BL170" s="41">
        <f>AS170/'1. Väestöennuste'!O170*1000</f>
        <v>244.55254854816852</v>
      </c>
      <c r="BM170" s="41">
        <f>AT170/'1. Väestöennuste'!P170*1000</f>
        <v>256.96007801941249</v>
      </c>
      <c r="BN170" s="41">
        <f>AU170/'1. Väestöennuste'!Q170*1000</f>
        <v>267.52688192960659</v>
      </c>
      <c r="BO170" s="41">
        <f>AV170/'1. Väestöennuste'!R170*1000</f>
        <v>279.10265484561216</v>
      </c>
    </row>
    <row r="171" spans="1:67" x14ac:dyDescent="0.25">
      <c r="A171" s="30">
        <v>507</v>
      </c>
      <c r="B171" s="47" t="s">
        <v>485</v>
      </c>
      <c r="C171" s="47">
        <v>19.75</v>
      </c>
      <c r="D171" s="47">
        <v>19.75</v>
      </c>
      <c r="E171" s="47">
        <v>19.75</v>
      </c>
      <c r="F171" s="47">
        <v>19.75</v>
      </c>
      <c r="G171" s="47">
        <v>19.75</v>
      </c>
      <c r="H171" s="58">
        <v>20.25</v>
      </c>
      <c r="I171" s="139">
        <v>20.75</v>
      </c>
      <c r="J171" s="139">
        <v>20.75</v>
      </c>
      <c r="K171" s="139">
        <f t="shared" si="11"/>
        <v>8.11</v>
      </c>
      <c r="L171" s="139">
        <v>8.1</v>
      </c>
      <c r="M171" s="139">
        <f t="shared" si="12"/>
        <v>8.1</v>
      </c>
      <c r="N171" s="147">
        <f t="shared" si="12"/>
        <v>8.1</v>
      </c>
      <c r="O171" s="147">
        <f t="shared" si="12"/>
        <v>8.1</v>
      </c>
      <c r="P171" s="147">
        <f t="shared" si="12"/>
        <v>8.1</v>
      </c>
      <c r="Q171" s="147"/>
      <c r="S171" s="41">
        <f>'3. Verotulot'!D171*100/'Veroposentin tuotto'!C171</f>
        <v>82883.786025316454</v>
      </c>
      <c r="T171" s="41">
        <f>'3. Verotulot'!I171*100/'Veroposentin tuotto'!D171</f>
        <v>78850.6329113924</v>
      </c>
      <c r="U171" s="41">
        <f>'3. Verotulot'!N171*100/'Veroposentin tuotto'!E171</f>
        <v>81539.240506329108</v>
      </c>
      <c r="V171" s="41">
        <f>'3. Verotulot'!S171*100/'Veroposentin tuotto'!F171</f>
        <v>80278.481012658231</v>
      </c>
      <c r="W171" s="41">
        <f>'3. Verotulot'!X171*100/'Veroposentin tuotto'!G171</f>
        <v>79078.481012658231</v>
      </c>
      <c r="X171" s="41">
        <f>'3. Verotulot'!AC171*100/'Veroposentin tuotto'!H171</f>
        <v>82449.382716049382</v>
      </c>
      <c r="Y171" s="41">
        <f>'3. Verotulot'!AH171*100/'Veroposentin tuotto'!I171</f>
        <v>81377.572289156611</v>
      </c>
      <c r="Z171" s="41">
        <f>'3. Verotulot'!AM171*100/'Veroposentin tuotto'!J171</f>
        <v>88282.117397590366</v>
      </c>
      <c r="AA171" s="41">
        <f>'3. Verotulot'!AR171*100/'Veroposentin tuotto'!K171</f>
        <v>107295.86066584465</v>
      </c>
      <c r="AB171" s="41">
        <f>'3. Verotulot'!AW171*100/'Veroposentin tuotto'!L171</f>
        <v>100323.81025073434</v>
      </c>
      <c r="AC171" s="41">
        <f>'3. Verotulot'!BB171*100/'Veroposentin tuotto'!M171</f>
        <v>133255.92190872578</v>
      </c>
      <c r="AD171" s="41">
        <f>'3. Verotulot'!BG171*100/'Veroposentin tuotto'!N171</f>
        <v>134340.9145477979</v>
      </c>
      <c r="AE171" s="41">
        <f>'3. Verotulot'!BL171*100/'Veroposentin tuotto'!O171</f>
        <v>137224.85073247371</v>
      </c>
      <c r="AF171" s="41">
        <f>'3. Verotulot'!BQ171*100/'Veroposentin tuotto'!P171</f>
        <v>140926.56479169818</v>
      </c>
      <c r="AI171" s="41">
        <f>'3. Verotulot'!D171/'Veroposentin tuotto'!C171</f>
        <v>828.83786025316454</v>
      </c>
      <c r="AJ171" s="41">
        <f>'3. Verotulot'!I171/'Veroposentin tuotto'!D171</f>
        <v>788.50632911392404</v>
      </c>
      <c r="AK171" s="41">
        <f>'3. Verotulot'!N171/'Veroposentin tuotto'!E171</f>
        <v>815.39240506329111</v>
      </c>
      <c r="AL171" s="41">
        <f>'3. Verotulot'!S171/'Veroposentin tuotto'!F171</f>
        <v>802.78481012658233</v>
      </c>
      <c r="AM171" s="41">
        <f>'3. Verotulot'!X171/'Veroposentin tuotto'!G171</f>
        <v>790.78481012658233</v>
      </c>
      <c r="AN171" s="41">
        <f>'3. Verotulot'!AC171/'Veroposentin tuotto'!H171</f>
        <v>824.49382716049388</v>
      </c>
      <c r="AO171" s="41">
        <f>'3. Verotulot'!AH171/'Veroposentin tuotto'!I171</f>
        <v>813.77572289156615</v>
      </c>
      <c r="AP171" s="41">
        <f>'3. Verotulot'!AM171/'Veroposentin tuotto'!J171</f>
        <v>882.82117397590355</v>
      </c>
      <c r="AQ171" s="41">
        <f>'3. Verotulot'!AR171/'Veroposentin tuotto'!K171</f>
        <v>1072.9586066584466</v>
      </c>
      <c r="AR171" s="41">
        <f>'3. Verotulot'!AW171/'Veroposentin tuotto'!L171</f>
        <v>1003.2381025073433</v>
      </c>
      <c r="AS171" s="41">
        <f>'3. Verotulot'!BB171/'Veroposentin tuotto'!M171</f>
        <v>1332.5592190872578</v>
      </c>
      <c r="AT171" s="41">
        <f>'3. Verotulot'!BG171/'Veroposentin tuotto'!N171</f>
        <v>1343.4091454779789</v>
      </c>
      <c r="AU171" s="41">
        <f>'3. Verotulot'!BL171/'Veroposentin tuotto'!O171</f>
        <v>1372.2485073247369</v>
      </c>
      <c r="AV171" s="41">
        <f>'3. Verotulot'!BQ171/'Veroposentin tuotto'!P171</f>
        <v>1409.2656479169818</v>
      </c>
      <c r="AX171" s="146"/>
      <c r="AZ171" s="34">
        <v>507</v>
      </c>
      <c r="BA171" s="88" t="s">
        <v>485</v>
      </c>
      <c r="BB171" s="41">
        <f>AI171/'1. Väestöennuste'!E171*1000</f>
        <v>134.57344702925224</v>
      </c>
      <c r="BC171" s="41">
        <f>AJ171/'1. Väestöennuste'!F171*1000</f>
        <v>129.32693605280042</v>
      </c>
      <c r="BD171" s="41">
        <f>AK171/'1. Väestöennuste'!G171*1000</f>
        <v>134.68655518058986</v>
      </c>
      <c r="BE171" s="41">
        <f>AL171/'1. Väestöennuste'!H171*1000</f>
        <v>135.51397875195514</v>
      </c>
      <c r="BF171" s="41">
        <f>AM171/'1. Väestöennuste'!I171*1000</f>
        <v>136.55410294018</v>
      </c>
      <c r="BG171" s="41">
        <f>AN171/'1. Väestöennuste'!J171*1000</f>
        <v>145.25965947154577</v>
      </c>
      <c r="BH171" s="41">
        <f>AO171/'1. Väestöennuste'!K171*1000</f>
        <v>144.41450273142257</v>
      </c>
      <c r="BI171" s="41">
        <f>AP171/'1. Väestöennuste'!L171*1000</f>
        <v>158.66663802586334</v>
      </c>
      <c r="BJ171" s="41">
        <f>AQ171/'1. Väestöennuste'!M171*1000</f>
        <v>194.30615839522756</v>
      </c>
      <c r="BK171" s="41">
        <f>AR171/'1. Väestöennuste'!N171*1000</f>
        <v>186.47548373742441</v>
      </c>
      <c r="BL171" s="41">
        <f>AS171/'1. Väestöennuste'!O171*1000</f>
        <v>194.84708569780051</v>
      </c>
      <c r="BM171" s="41">
        <f>AT171/'1. Väestöennuste'!P171*1000</f>
        <v>198.75856568693283</v>
      </c>
      <c r="BN171" s="41">
        <f>AU171/'1. Väestöennuste'!Q171*1000</f>
        <v>205.30348703242623</v>
      </c>
      <c r="BO171" s="41">
        <f>AV171/'1. Väestöennuste'!R171*1000</f>
        <v>213.07312487405227</v>
      </c>
    </row>
    <row r="172" spans="1:67" x14ac:dyDescent="0.25">
      <c r="A172" s="30">
        <v>508</v>
      </c>
      <c r="B172" s="47" t="s">
        <v>486</v>
      </c>
      <c r="C172" s="47">
        <v>22</v>
      </c>
      <c r="D172" s="47">
        <v>22</v>
      </c>
      <c r="E172" s="47">
        <v>22</v>
      </c>
      <c r="F172" s="47">
        <v>22</v>
      </c>
      <c r="G172" s="47">
        <v>22</v>
      </c>
      <c r="H172" s="58">
        <v>22</v>
      </c>
      <c r="I172" s="139">
        <v>22.499999999999996</v>
      </c>
      <c r="J172" s="139">
        <v>22.499999999999996</v>
      </c>
      <c r="K172" s="139">
        <f t="shared" si="11"/>
        <v>9.8599999999999959</v>
      </c>
      <c r="L172" s="139">
        <v>9.9</v>
      </c>
      <c r="M172" s="139">
        <f t="shared" si="12"/>
        <v>9.9</v>
      </c>
      <c r="N172" s="147">
        <f t="shared" si="12"/>
        <v>9.9</v>
      </c>
      <c r="O172" s="147">
        <f t="shared" si="12"/>
        <v>9.9</v>
      </c>
      <c r="P172" s="147">
        <f t="shared" si="12"/>
        <v>9.9</v>
      </c>
      <c r="Q172" s="147"/>
      <c r="S172" s="41">
        <f>'3. Verotulot'!D172*100/'Veroposentin tuotto'!C172</f>
        <v>169633.51686363635</v>
      </c>
      <c r="T172" s="41">
        <f>'3. Verotulot'!I172*100/'Veroposentin tuotto'!D172</f>
        <v>164550</v>
      </c>
      <c r="U172" s="41">
        <f>'3. Verotulot'!N172*100/'Veroposentin tuotto'!E172</f>
        <v>162200</v>
      </c>
      <c r="V172" s="41">
        <f>'3. Verotulot'!S172*100/'Veroposentin tuotto'!F172</f>
        <v>155100</v>
      </c>
      <c r="W172" s="41">
        <f>'3. Verotulot'!X172*100/'Veroposentin tuotto'!G172</f>
        <v>153654.54545454544</v>
      </c>
      <c r="X172" s="41">
        <f>'3. Verotulot'!AC172*100/'Veroposentin tuotto'!H172</f>
        <v>158895.45454545456</v>
      </c>
      <c r="Y172" s="41">
        <f>'3. Verotulot'!AH172*100/'Veroposentin tuotto'!I172</f>
        <v>159480.83711111115</v>
      </c>
      <c r="Z172" s="41">
        <f>'3. Verotulot'!AM172*100/'Veroposentin tuotto'!J172</f>
        <v>161967.54524444445</v>
      </c>
      <c r="AA172" s="41">
        <f>'3. Verotulot'!AR172*100/'Veroposentin tuotto'!K172</f>
        <v>194440.58681541591</v>
      </c>
      <c r="AB172" s="41">
        <f>'3. Verotulot'!AW172*100/'Veroposentin tuotto'!L172</f>
        <v>183974.76375223123</v>
      </c>
      <c r="AC172" s="41">
        <f>'3. Verotulot'!BB172*100/'Veroposentin tuotto'!M172</f>
        <v>189502.85694886555</v>
      </c>
      <c r="AD172" s="41">
        <f>'3. Verotulot'!BG172*100/'Veroposentin tuotto'!N172</f>
        <v>193623.87688342412</v>
      </c>
      <c r="AE172" s="41">
        <f>'3. Verotulot'!BL172*100/'Veroposentin tuotto'!O172</f>
        <v>197042.79810247428</v>
      </c>
      <c r="AF172" s="41">
        <f>'3. Verotulot'!BQ172*100/'Veroposentin tuotto'!P172</f>
        <v>201458.16305712433</v>
      </c>
      <c r="AI172" s="41">
        <f>'3. Verotulot'!D172/'Veroposentin tuotto'!C172</f>
        <v>1696.3351686363637</v>
      </c>
      <c r="AJ172" s="41">
        <f>'3. Verotulot'!I172/'Veroposentin tuotto'!D172</f>
        <v>1645.5</v>
      </c>
      <c r="AK172" s="41">
        <f>'3. Verotulot'!N172/'Veroposentin tuotto'!E172</f>
        <v>1622</v>
      </c>
      <c r="AL172" s="41">
        <f>'3. Verotulot'!S172/'Veroposentin tuotto'!F172</f>
        <v>1551</v>
      </c>
      <c r="AM172" s="41">
        <f>'3. Verotulot'!X172/'Veroposentin tuotto'!G172</f>
        <v>1536.5454545454545</v>
      </c>
      <c r="AN172" s="41">
        <f>'3. Verotulot'!AC172/'Veroposentin tuotto'!H172</f>
        <v>1588.9545454545455</v>
      </c>
      <c r="AO172" s="41">
        <f>'3. Verotulot'!AH172/'Veroposentin tuotto'!I172</f>
        <v>1594.8083711111115</v>
      </c>
      <c r="AP172" s="41">
        <f>'3. Verotulot'!AM172/'Veroposentin tuotto'!J172</f>
        <v>1619.6754524444445</v>
      </c>
      <c r="AQ172" s="41">
        <f>'3. Verotulot'!AR172/'Veroposentin tuotto'!K172</f>
        <v>1944.4058681541592</v>
      </c>
      <c r="AR172" s="41">
        <f>'3. Verotulot'!AW172/'Veroposentin tuotto'!L172</f>
        <v>1839.7476375223123</v>
      </c>
      <c r="AS172" s="41">
        <f>'3. Verotulot'!BB172/'Veroposentin tuotto'!M172</f>
        <v>1895.0285694886556</v>
      </c>
      <c r="AT172" s="41">
        <f>'3. Verotulot'!BG172/'Veroposentin tuotto'!N172</f>
        <v>1936.2387688342412</v>
      </c>
      <c r="AU172" s="41">
        <f>'3. Verotulot'!BL172/'Veroposentin tuotto'!O172</f>
        <v>1970.4279810247426</v>
      </c>
      <c r="AV172" s="41">
        <f>'3. Verotulot'!BQ172/'Veroposentin tuotto'!P172</f>
        <v>2014.5816305712433</v>
      </c>
      <c r="AX172" s="146"/>
      <c r="AZ172" s="34">
        <v>508</v>
      </c>
      <c r="BA172" s="88" t="s">
        <v>486</v>
      </c>
      <c r="BB172" s="41">
        <f>AI172/'1. Väestöennuste'!E172*1000</f>
        <v>159.97125317204487</v>
      </c>
      <c r="BC172" s="41">
        <f>AJ172/'1. Väestöennuste'!F172*1000</f>
        <v>157.49425727411943</v>
      </c>
      <c r="BD172" s="41">
        <f>AK172/'1. Väestöennuste'!G172*1000</f>
        <v>158.15132605304214</v>
      </c>
      <c r="BE172" s="41">
        <f>AL172/'1. Väestöennuste'!H172*1000</f>
        <v>155.36411900230394</v>
      </c>
      <c r="BF172" s="41">
        <f>AM172/'1. Väestöennuste'!I172*1000</f>
        <v>155.91531755915315</v>
      </c>
      <c r="BG172" s="41">
        <f>AN172/'1. Väestöennuste'!J172*1000</f>
        <v>164.26698495343174</v>
      </c>
      <c r="BH172" s="41">
        <f>AO172/'1. Väestöennuste'!K172*1000</f>
        <v>166.76862607038706</v>
      </c>
      <c r="BI172" s="41">
        <f>AP172/'1. Väestöennuste'!L172*1000</f>
        <v>173.04224919278255</v>
      </c>
      <c r="BJ172" s="41">
        <f>AQ172/'1. Väestöennuste'!M172*1000</f>
        <v>209.7298962522014</v>
      </c>
      <c r="BK172" s="41">
        <f>AR172/'1. Väestöennuste'!N172*1000</f>
        <v>205.35189614045231</v>
      </c>
      <c r="BL172" s="41">
        <f>AS172/'1. Väestöennuste'!O172*1000</f>
        <v>215.02650283543127</v>
      </c>
      <c r="BM172" s="41">
        <f>AT172/'1. Väestöennuste'!P172*1000</f>
        <v>223.17182674438004</v>
      </c>
      <c r="BN172" s="41">
        <f>AU172/'1. Väestöennuste'!Q172*1000</f>
        <v>230.56728071901972</v>
      </c>
      <c r="BO172" s="41">
        <f>AV172/'1. Väestöennuste'!R172*1000</f>
        <v>239.11948137344132</v>
      </c>
    </row>
    <row r="173" spans="1:67" x14ac:dyDescent="0.25">
      <c r="A173" s="30">
        <v>529</v>
      </c>
      <c r="B173" s="47" t="s">
        <v>487</v>
      </c>
      <c r="C173" s="47">
        <v>18.5</v>
      </c>
      <c r="D173" s="47">
        <v>18.5</v>
      </c>
      <c r="E173" s="47">
        <v>19</v>
      </c>
      <c r="F173" s="47">
        <v>19</v>
      </c>
      <c r="G173" s="47">
        <v>19</v>
      </c>
      <c r="H173" s="58">
        <v>19</v>
      </c>
      <c r="I173" s="139">
        <v>18.999999999999996</v>
      </c>
      <c r="J173" s="139">
        <v>18.999999999999996</v>
      </c>
      <c r="K173" s="139">
        <f t="shared" si="11"/>
        <v>6.3599999999999959</v>
      </c>
      <c r="L173" s="139">
        <v>6.4</v>
      </c>
      <c r="M173" s="139">
        <f t="shared" si="12"/>
        <v>6.4</v>
      </c>
      <c r="N173" s="147">
        <f t="shared" si="12"/>
        <v>6.4</v>
      </c>
      <c r="O173" s="147">
        <f t="shared" si="12"/>
        <v>6.4</v>
      </c>
      <c r="P173" s="147">
        <f t="shared" si="12"/>
        <v>6.4</v>
      </c>
      <c r="Q173" s="147"/>
      <c r="S173" s="41">
        <f>'3. Verotulot'!D173*100/'Veroposentin tuotto'!C173</f>
        <v>363546.32437837846</v>
      </c>
      <c r="T173" s="41">
        <f>'3. Verotulot'!I173*100/'Veroposentin tuotto'!D173</f>
        <v>377081.08108108107</v>
      </c>
      <c r="U173" s="41">
        <f>'3. Verotulot'!N173*100/'Veroposentin tuotto'!E173</f>
        <v>378378.94736842107</v>
      </c>
      <c r="V173" s="41">
        <f>'3. Verotulot'!S173*100/'Veroposentin tuotto'!F173</f>
        <v>390126.31578947371</v>
      </c>
      <c r="W173" s="41">
        <f>'3. Verotulot'!X173*100/'Veroposentin tuotto'!G173</f>
        <v>389710.5263157895</v>
      </c>
      <c r="X173" s="41">
        <f>'3. Verotulot'!AC173*100/'Veroposentin tuotto'!H173</f>
        <v>414068.42105263157</v>
      </c>
      <c r="Y173" s="41">
        <f>'3. Verotulot'!AH173*100/'Veroposentin tuotto'!I173</f>
        <v>417602.05900000001</v>
      </c>
      <c r="Z173" s="41">
        <f>'3. Verotulot'!AM173*100/'Veroposentin tuotto'!J173</f>
        <v>446173.413263158</v>
      </c>
      <c r="AA173" s="41">
        <f>'3. Verotulot'!AR173*100/'Veroposentin tuotto'!K173</f>
        <v>586829.86666666705</v>
      </c>
      <c r="AB173" s="41">
        <f>'3. Verotulot'!AW173*100/'Veroposentin tuotto'!L173</f>
        <v>528045.6817400204</v>
      </c>
      <c r="AC173" s="41">
        <f>'3. Verotulot'!BB173*100/'Veroposentin tuotto'!M173</f>
        <v>555938.14751092892</v>
      </c>
      <c r="AD173" s="41">
        <f>'3. Verotulot'!BG173*100/'Veroposentin tuotto'!N173</f>
        <v>579206.67332043848</v>
      </c>
      <c r="AE173" s="41">
        <f>'3. Verotulot'!BL173*100/'Veroposentin tuotto'!O173</f>
        <v>600190.67719494784</v>
      </c>
      <c r="AF173" s="41">
        <f>'3. Verotulot'!BQ173*100/'Veroposentin tuotto'!P173</f>
        <v>623316.99793415004</v>
      </c>
      <c r="AI173" s="41">
        <f>'3. Verotulot'!D173/'Veroposentin tuotto'!C173</f>
        <v>3635.4632437837845</v>
      </c>
      <c r="AJ173" s="41">
        <f>'3. Verotulot'!I173/'Veroposentin tuotto'!D173</f>
        <v>3770.8108108108108</v>
      </c>
      <c r="AK173" s="41">
        <f>'3. Verotulot'!N173/'Veroposentin tuotto'!E173</f>
        <v>3783.7894736842104</v>
      </c>
      <c r="AL173" s="41">
        <f>'3. Verotulot'!S173/'Veroposentin tuotto'!F173</f>
        <v>3901.2631578947367</v>
      </c>
      <c r="AM173" s="41">
        <f>'3. Verotulot'!X173/'Veroposentin tuotto'!G173</f>
        <v>3897.1052631578946</v>
      </c>
      <c r="AN173" s="41">
        <f>'3. Verotulot'!AC173/'Veroposentin tuotto'!H173</f>
        <v>4140.6842105263158</v>
      </c>
      <c r="AO173" s="41">
        <f>'3. Verotulot'!AH173/'Veroposentin tuotto'!I173</f>
        <v>4176.0205900000001</v>
      </c>
      <c r="AP173" s="41">
        <f>'3. Verotulot'!AM173/'Veroposentin tuotto'!J173</f>
        <v>4461.7341326315791</v>
      </c>
      <c r="AQ173" s="41">
        <f>'3. Verotulot'!AR173/'Veroposentin tuotto'!K173</f>
        <v>5868.2986666666711</v>
      </c>
      <c r="AR173" s="41">
        <f>'3. Verotulot'!AW173/'Veroposentin tuotto'!L173</f>
        <v>5280.4568174002043</v>
      </c>
      <c r="AS173" s="41">
        <f>'3. Verotulot'!BB173/'Veroposentin tuotto'!M173</f>
        <v>5559.3814751092896</v>
      </c>
      <c r="AT173" s="41">
        <f>'3. Verotulot'!BG173/'Veroposentin tuotto'!N173</f>
        <v>5792.0667332043849</v>
      </c>
      <c r="AU173" s="41">
        <f>'3. Verotulot'!BL173/'Veroposentin tuotto'!O173</f>
        <v>6001.9067719494778</v>
      </c>
      <c r="AV173" s="41">
        <f>'3. Verotulot'!BQ173/'Veroposentin tuotto'!P173</f>
        <v>6233.1699793415009</v>
      </c>
      <c r="AX173" s="146"/>
      <c r="AZ173" s="34">
        <v>529</v>
      </c>
      <c r="BA173" s="88" t="s">
        <v>487</v>
      </c>
      <c r="BB173" s="41">
        <f>AI173/'1. Väestöennuste'!E173*1000</f>
        <v>191.73372943324637</v>
      </c>
      <c r="BC173" s="41">
        <f>AJ173/'1. Väestöennuste'!F173*1000</f>
        <v>197.7559686810788</v>
      </c>
      <c r="BD173" s="41">
        <f>AK173/'1. Väestöennuste'!G173*1000</f>
        <v>197.41166972839829</v>
      </c>
      <c r="BE173" s="41">
        <f>AL173/'1. Väestöennuste'!H173*1000</f>
        <v>202.71567461131391</v>
      </c>
      <c r="BF173" s="41">
        <f>AM173/'1. Väestöennuste'!I173*1000</f>
        <v>201.77618634968906</v>
      </c>
      <c r="BG173" s="41">
        <f>AN173/'1. Väestöennuste'!J173*1000</f>
        <v>213.14069133300643</v>
      </c>
      <c r="BH173" s="41">
        <f>AO173/'1. Väestöennuste'!K173*1000</f>
        <v>213.2908008580622</v>
      </c>
      <c r="BI173" s="41">
        <f>AP173/'1. Väestöennuste'!L173*1000</f>
        <v>224.77250038446243</v>
      </c>
      <c r="BJ173" s="41">
        <f>AQ173/'1. Väestöennuste'!M173*1000</f>
        <v>293.4296048135742</v>
      </c>
      <c r="BK173" s="41">
        <f>AR173/'1. Väestöennuste'!N173*1000</f>
        <v>267.70376767554899</v>
      </c>
      <c r="BL173" s="41">
        <f>AS173/'1. Väestöennuste'!O173*1000</f>
        <v>280.77684217723686</v>
      </c>
      <c r="BM173" s="41">
        <f>AT173/'1. Väestöennuste'!P173*1000</f>
        <v>291.45407000474944</v>
      </c>
      <c r="BN173" s="41">
        <f>AU173/'1. Väestöennuste'!Q173*1000</f>
        <v>300.96814622151629</v>
      </c>
      <c r="BO173" s="41">
        <f>AV173/'1. Väestöennuste'!R173*1000</f>
        <v>311.53388541290991</v>
      </c>
    </row>
    <row r="174" spans="1:67" x14ac:dyDescent="0.25">
      <c r="A174" s="30">
        <v>531</v>
      </c>
      <c r="B174" s="47" t="s">
        <v>488</v>
      </c>
      <c r="C174" s="47">
        <v>20.75</v>
      </c>
      <c r="D174" s="47">
        <v>20.75</v>
      </c>
      <c r="E174" s="47">
        <v>21.25</v>
      </c>
      <c r="F174" s="47">
        <v>21.25</v>
      </c>
      <c r="G174" s="47">
        <v>21.25</v>
      </c>
      <c r="H174" s="58">
        <v>21.25</v>
      </c>
      <c r="I174" s="139">
        <v>21.25</v>
      </c>
      <c r="J174" s="139">
        <v>21.75</v>
      </c>
      <c r="K174" s="139">
        <f t="shared" si="11"/>
        <v>9.11</v>
      </c>
      <c r="L174" s="139">
        <v>9.1</v>
      </c>
      <c r="M174" s="139">
        <f t="shared" si="12"/>
        <v>9.1</v>
      </c>
      <c r="N174" s="147">
        <f t="shared" si="12"/>
        <v>9.1</v>
      </c>
      <c r="O174" s="147">
        <f t="shared" si="12"/>
        <v>9.1</v>
      </c>
      <c r="P174" s="147">
        <f t="shared" si="12"/>
        <v>9.1</v>
      </c>
      <c r="Q174" s="147"/>
      <c r="S174" s="41">
        <f>'3. Verotulot'!D174*100/'Veroposentin tuotto'!C174</f>
        <v>82591.301638554214</v>
      </c>
      <c r="T174" s="41">
        <f>'3. Verotulot'!I174*100/'Veroposentin tuotto'!D174</f>
        <v>84785.542168674699</v>
      </c>
      <c r="U174" s="41">
        <f>'3. Verotulot'!N174*100/'Veroposentin tuotto'!E174</f>
        <v>79463.529411764699</v>
      </c>
      <c r="V174" s="41">
        <f>'3. Verotulot'!S174*100/'Veroposentin tuotto'!F174</f>
        <v>81703.529411764699</v>
      </c>
      <c r="W174" s="41">
        <f>'3. Verotulot'!X174*100/'Veroposentin tuotto'!G174</f>
        <v>82654.117647058825</v>
      </c>
      <c r="X174" s="41">
        <f>'3. Verotulot'!AC174*100/'Veroposentin tuotto'!H174</f>
        <v>83416.470588235301</v>
      </c>
      <c r="Y174" s="41">
        <f>'3. Verotulot'!AH174*100/'Veroposentin tuotto'!I174</f>
        <v>85057.888988235296</v>
      </c>
      <c r="Z174" s="41">
        <f>'3. Verotulot'!AM174*100/'Veroposentin tuotto'!J174</f>
        <v>88103.90717241379</v>
      </c>
      <c r="AA174" s="41">
        <f>'3. Verotulot'!AR174*100/'Veroposentin tuotto'!K174</f>
        <v>109086.03139407246</v>
      </c>
      <c r="AB174" s="41">
        <f>'3. Verotulot'!AW174*100/'Veroposentin tuotto'!L174</f>
        <v>100626.05403429848</v>
      </c>
      <c r="AC174" s="41">
        <f>'3. Verotulot'!BB174*100/'Veroposentin tuotto'!M174</f>
        <v>105486.95412456716</v>
      </c>
      <c r="AD174" s="41">
        <f>'3. Verotulot'!BG174*100/'Veroposentin tuotto'!N174</f>
        <v>108615.9062689679</v>
      </c>
      <c r="AE174" s="41">
        <f>'3. Verotulot'!BL174*100/'Veroposentin tuotto'!O174</f>
        <v>111070.93925715878</v>
      </c>
      <c r="AF174" s="41">
        <f>'3. Verotulot'!BQ174*100/'Veroposentin tuotto'!P174</f>
        <v>114021.96253087466</v>
      </c>
      <c r="AI174" s="41">
        <f>'3. Verotulot'!D174/'Veroposentin tuotto'!C174</f>
        <v>825.91301638554216</v>
      </c>
      <c r="AJ174" s="41">
        <f>'3. Verotulot'!I174/'Veroposentin tuotto'!D174</f>
        <v>847.85542168674704</v>
      </c>
      <c r="AK174" s="41">
        <f>'3. Verotulot'!N174/'Veroposentin tuotto'!E174</f>
        <v>794.63529411764705</v>
      </c>
      <c r="AL174" s="41">
        <f>'3. Verotulot'!S174/'Veroposentin tuotto'!F174</f>
        <v>817.03529411764703</v>
      </c>
      <c r="AM174" s="41">
        <f>'3. Verotulot'!X174/'Veroposentin tuotto'!G174</f>
        <v>826.5411764705882</v>
      </c>
      <c r="AN174" s="41">
        <f>'3. Verotulot'!AC174/'Veroposentin tuotto'!H174</f>
        <v>834.16470588235291</v>
      </c>
      <c r="AO174" s="41">
        <f>'3. Verotulot'!AH174/'Veroposentin tuotto'!I174</f>
        <v>850.578889882353</v>
      </c>
      <c r="AP174" s="41">
        <f>'3. Verotulot'!AM174/'Veroposentin tuotto'!J174</f>
        <v>881.0390717241379</v>
      </c>
      <c r="AQ174" s="41">
        <f>'3. Verotulot'!AR174/'Veroposentin tuotto'!K174</f>
        <v>1090.8603139407246</v>
      </c>
      <c r="AR174" s="41">
        <f>'3. Verotulot'!AW174/'Veroposentin tuotto'!L174</f>
        <v>1006.2605403429847</v>
      </c>
      <c r="AS174" s="41">
        <f>'3. Verotulot'!BB174/'Veroposentin tuotto'!M174</f>
        <v>1054.8695412456716</v>
      </c>
      <c r="AT174" s="41">
        <f>'3. Verotulot'!BG174/'Veroposentin tuotto'!N174</f>
        <v>1086.1590626896789</v>
      </c>
      <c r="AU174" s="41">
        <f>'3. Verotulot'!BL174/'Veroposentin tuotto'!O174</f>
        <v>1110.7093925715878</v>
      </c>
      <c r="AV174" s="41">
        <f>'3. Verotulot'!BQ174/'Veroposentin tuotto'!P174</f>
        <v>1140.2196253087468</v>
      </c>
      <c r="AX174" s="146"/>
      <c r="AZ174" s="34">
        <v>531</v>
      </c>
      <c r="BA174" s="88" t="s">
        <v>488</v>
      </c>
      <c r="BB174" s="41">
        <f>AI174/'1. Väestöennuste'!E174*1000</f>
        <v>146.15342707229556</v>
      </c>
      <c r="BC174" s="41">
        <f>AJ174/'1. Väestöennuste'!F174*1000</f>
        <v>152.82181357006976</v>
      </c>
      <c r="BD174" s="41">
        <f>AK174/'1. Väestöennuste'!G174*1000</f>
        <v>143.92959502221464</v>
      </c>
      <c r="BE174" s="41">
        <f>AL174/'1. Väestöennuste'!H174*1000</f>
        <v>150.27318265912211</v>
      </c>
      <c r="BF174" s="41">
        <f>AM174/'1. Väestöennuste'!I174*1000</f>
        <v>155.10249136246728</v>
      </c>
      <c r="BG174" s="41">
        <f>AN174/'1. Väestöennuste'!J174*1000</f>
        <v>158.70713582236547</v>
      </c>
      <c r="BH174" s="41">
        <f>AO174/'1. Väestöennuste'!K174*1000</f>
        <v>164.55385758993094</v>
      </c>
      <c r="BI174" s="41">
        <f>AP174/'1. Väestöennuste'!L174*1000</f>
        <v>173.70644158598932</v>
      </c>
      <c r="BJ174" s="41">
        <f>AQ174/'1. Väestöennuste'!M174*1000</f>
        <v>219.66579016124135</v>
      </c>
      <c r="BK174" s="41">
        <f>AR174/'1. Väestöennuste'!N174*1000</f>
        <v>202.18214593992056</v>
      </c>
      <c r="BL174" s="41">
        <f>AS174/'1. Väestöennuste'!O174*1000</f>
        <v>214.97239479227056</v>
      </c>
      <c r="BM174" s="41">
        <f>AT174/'1. Väestöennuste'!P174*1000</f>
        <v>224.41302948133861</v>
      </c>
      <c r="BN174" s="41">
        <f>AU174/'1. Väestöennuste'!Q174*1000</f>
        <v>232.5605930845033</v>
      </c>
      <c r="BO174" s="41">
        <f>AV174/'1. Väestöennuste'!R174*1000</f>
        <v>241.93075011855439</v>
      </c>
    </row>
    <row r="175" spans="1:67" x14ac:dyDescent="0.25">
      <c r="A175" s="30">
        <v>535</v>
      </c>
      <c r="B175" s="47" t="s">
        <v>489</v>
      </c>
      <c r="C175" s="47">
        <v>21.5</v>
      </c>
      <c r="D175" s="47">
        <v>21.5</v>
      </c>
      <c r="E175" s="47">
        <v>21.5</v>
      </c>
      <c r="F175" s="47">
        <v>21.5</v>
      </c>
      <c r="G175" s="47">
        <v>22</v>
      </c>
      <c r="H175" s="58">
        <v>22</v>
      </c>
      <c r="I175" s="139">
        <v>22</v>
      </c>
      <c r="J175" s="139">
        <v>22</v>
      </c>
      <c r="K175" s="139">
        <f t="shared" si="11"/>
        <v>9.36</v>
      </c>
      <c r="L175" s="139">
        <v>9.9</v>
      </c>
      <c r="M175" s="139">
        <f t="shared" ref="M175:P194" si="13">L175</f>
        <v>9.9</v>
      </c>
      <c r="N175" s="147">
        <f t="shared" si="13"/>
        <v>9.9</v>
      </c>
      <c r="O175" s="147">
        <f t="shared" si="13"/>
        <v>9.9</v>
      </c>
      <c r="P175" s="147">
        <f t="shared" si="13"/>
        <v>9.9</v>
      </c>
      <c r="Q175" s="147"/>
      <c r="S175" s="41">
        <f>'3. Verotulot'!D175*100/'Veroposentin tuotto'!C175</f>
        <v>131322.25944186049</v>
      </c>
      <c r="T175" s="41">
        <f>'3. Verotulot'!I175*100/'Veroposentin tuotto'!D175</f>
        <v>125934.88372093023</v>
      </c>
      <c r="U175" s="41">
        <f>'3. Verotulot'!N175*100/'Veroposentin tuotto'!E175</f>
        <v>127497.67441860466</v>
      </c>
      <c r="V175" s="41">
        <f>'3. Verotulot'!S175*100/'Veroposentin tuotto'!F175</f>
        <v>128246.51162790698</v>
      </c>
      <c r="W175" s="41">
        <f>'3. Verotulot'!X175*100/'Veroposentin tuotto'!G175</f>
        <v>131877.27272727274</v>
      </c>
      <c r="X175" s="41">
        <f>'3. Verotulot'!AC175*100/'Veroposentin tuotto'!H175</f>
        <v>136404.54545454544</v>
      </c>
      <c r="Y175" s="41">
        <f>'3. Verotulot'!AH175*100/'Veroposentin tuotto'!I175</f>
        <v>137614.62854545456</v>
      </c>
      <c r="Z175" s="41">
        <f>'3. Verotulot'!AM175*100/'Veroposentin tuotto'!J175</f>
        <v>143138.05427272728</v>
      </c>
      <c r="AA175" s="41">
        <f>'3. Verotulot'!AR175*100/'Veroposentin tuotto'!K175</f>
        <v>179621.68653846157</v>
      </c>
      <c r="AB175" s="41">
        <f>'3. Verotulot'!AW175*100/'Veroposentin tuotto'!L175</f>
        <v>171754.38506968421</v>
      </c>
      <c r="AC175" s="41">
        <f>'3. Verotulot'!BB175*100/'Veroposentin tuotto'!M175</f>
        <v>179468.139875016</v>
      </c>
      <c r="AD175" s="41">
        <f>'3. Verotulot'!BG175*100/'Veroposentin tuotto'!N175</f>
        <v>187168.30668651461</v>
      </c>
      <c r="AE175" s="41">
        <f>'3. Verotulot'!BL175*100/'Veroposentin tuotto'!O175</f>
        <v>191857.87841245535</v>
      </c>
      <c r="AF175" s="41">
        <f>'3. Verotulot'!BQ175*100/'Veroposentin tuotto'!P175</f>
        <v>197270.74014203736</v>
      </c>
      <c r="AI175" s="41">
        <f>'3. Verotulot'!D175/'Veroposentin tuotto'!C175</f>
        <v>1313.2225944186048</v>
      </c>
      <c r="AJ175" s="41">
        <f>'3. Verotulot'!I175/'Veroposentin tuotto'!D175</f>
        <v>1259.3488372093022</v>
      </c>
      <c r="AK175" s="41">
        <f>'3. Verotulot'!N175/'Veroposentin tuotto'!E175</f>
        <v>1274.9767441860465</v>
      </c>
      <c r="AL175" s="41">
        <f>'3. Verotulot'!S175/'Veroposentin tuotto'!F175</f>
        <v>1282.4651162790697</v>
      </c>
      <c r="AM175" s="41">
        <f>'3. Verotulot'!X175/'Veroposentin tuotto'!G175</f>
        <v>1318.7727272727273</v>
      </c>
      <c r="AN175" s="41">
        <f>'3. Verotulot'!AC175/'Veroposentin tuotto'!H175</f>
        <v>1364.0454545454545</v>
      </c>
      <c r="AO175" s="41">
        <f>'3. Verotulot'!AH175/'Veroposentin tuotto'!I175</f>
        <v>1376.1462854545455</v>
      </c>
      <c r="AP175" s="41">
        <f>'3. Verotulot'!AM175/'Veroposentin tuotto'!J175</f>
        <v>1431.3805427272728</v>
      </c>
      <c r="AQ175" s="41">
        <f>'3. Verotulot'!AR175/'Veroposentin tuotto'!K175</f>
        <v>1796.2168653846154</v>
      </c>
      <c r="AR175" s="41">
        <f>'3. Verotulot'!AW175/'Veroposentin tuotto'!L175</f>
        <v>1717.5438506968424</v>
      </c>
      <c r="AS175" s="41">
        <f>'3. Verotulot'!BB175/'Veroposentin tuotto'!M175</f>
        <v>1794.68139875016</v>
      </c>
      <c r="AT175" s="41">
        <f>'3. Verotulot'!BG175/'Veroposentin tuotto'!N175</f>
        <v>1871.6830668651462</v>
      </c>
      <c r="AU175" s="41">
        <f>'3. Verotulot'!BL175/'Veroposentin tuotto'!O175</f>
        <v>1918.5787841245535</v>
      </c>
      <c r="AV175" s="41">
        <f>'3. Verotulot'!BQ175/'Veroposentin tuotto'!P175</f>
        <v>1972.7074014203736</v>
      </c>
      <c r="AX175" s="146"/>
      <c r="AZ175" s="34">
        <v>535</v>
      </c>
      <c r="BA175" s="88" t="s">
        <v>489</v>
      </c>
      <c r="BB175" s="41">
        <f>AI175/'1. Väestöennuste'!E175*1000</f>
        <v>120.74499764790409</v>
      </c>
      <c r="BC175" s="41">
        <f>AJ175/'1. Väestöennuste'!F175*1000</f>
        <v>115.65330491406944</v>
      </c>
      <c r="BD175" s="41">
        <f>AK175/'1. Väestöennuste'!G175*1000</f>
        <v>117.88966659140513</v>
      </c>
      <c r="BE175" s="41">
        <f>AL175/'1. Väestöennuste'!H175*1000</f>
        <v>119.44352391534596</v>
      </c>
      <c r="BF175" s="41">
        <f>AM175/'1. Väestöennuste'!I175*1000</f>
        <v>123.95645523759067</v>
      </c>
      <c r="BG175" s="41">
        <f>AN175/'1. Väestöennuste'!J175*1000</f>
        <v>129.90909090909091</v>
      </c>
      <c r="BH175" s="41">
        <f>AO175/'1. Väestöennuste'!K175*1000</f>
        <v>132.37267078246879</v>
      </c>
      <c r="BI175" s="41">
        <f>AP175/'1. Väestöennuste'!L175*1000</f>
        <v>137.3817585878945</v>
      </c>
      <c r="BJ175" s="41">
        <f>AQ175/'1. Väestöennuste'!M175*1000</f>
        <v>171.82101256787979</v>
      </c>
      <c r="BK175" s="41">
        <f>AR175/'1. Väestöennuste'!N175*1000</f>
        <v>170.67910669749003</v>
      </c>
      <c r="BL175" s="41">
        <f>AS175/'1. Väestöennuste'!O175*1000</f>
        <v>180.24318557297983</v>
      </c>
      <c r="BM175" s="41">
        <f>AT175/'1. Väestöennuste'!P175*1000</f>
        <v>190.07647678126801</v>
      </c>
      <c r="BN175" s="41">
        <f>AU175/'1. Väestöennuste'!Q175*1000</f>
        <v>197.04003123390711</v>
      </c>
      <c r="BO175" s="41">
        <f>AV175/'1. Väestöennuste'!R175*1000</f>
        <v>204.87147174372976</v>
      </c>
    </row>
    <row r="176" spans="1:67" x14ac:dyDescent="0.25">
      <c r="A176" s="30">
        <v>536</v>
      </c>
      <c r="B176" s="47" t="s">
        <v>490</v>
      </c>
      <c r="C176" s="47">
        <v>19.75</v>
      </c>
      <c r="D176" s="47">
        <v>19.75</v>
      </c>
      <c r="E176" s="47">
        <v>20</v>
      </c>
      <c r="F176" s="47">
        <v>20.5</v>
      </c>
      <c r="G176" s="47">
        <v>20.5</v>
      </c>
      <c r="H176" s="58">
        <v>21</v>
      </c>
      <c r="I176" s="139">
        <v>21</v>
      </c>
      <c r="J176" s="139">
        <v>21</v>
      </c>
      <c r="K176" s="139">
        <f t="shared" si="11"/>
        <v>8.36</v>
      </c>
      <c r="L176" s="139">
        <v>8.4</v>
      </c>
      <c r="M176" s="139">
        <f t="shared" si="13"/>
        <v>8.4</v>
      </c>
      <c r="N176" s="147">
        <f t="shared" si="13"/>
        <v>8.4</v>
      </c>
      <c r="O176" s="147">
        <f t="shared" si="13"/>
        <v>8.4</v>
      </c>
      <c r="P176" s="147">
        <f t="shared" si="13"/>
        <v>8.4</v>
      </c>
      <c r="Q176" s="147"/>
      <c r="S176" s="41">
        <f>'3. Verotulot'!D176*100/'Veroposentin tuotto'!C176</f>
        <v>561794.85301265819</v>
      </c>
      <c r="T176" s="41">
        <f>'3. Verotulot'!I176*100/'Veroposentin tuotto'!D176</f>
        <v>577716.45569620258</v>
      </c>
      <c r="U176" s="41">
        <f>'3. Verotulot'!N176*100/'Veroposentin tuotto'!E176</f>
        <v>571110</v>
      </c>
      <c r="V176" s="41">
        <f>'3. Verotulot'!S176*100/'Veroposentin tuotto'!F176</f>
        <v>576141.46341463411</v>
      </c>
      <c r="W176" s="41">
        <f>'3. Verotulot'!X176*100/'Veroposentin tuotto'!G176</f>
        <v>587473.17073170736</v>
      </c>
      <c r="X176" s="41">
        <f>'3. Verotulot'!AC176*100/'Veroposentin tuotto'!H176</f>
        <v>620042.85714285716</v>
      </c>
      <c r="Y176" s="41">
        <f>'3. Verotulot'!AH176*100/'Veroposentin tuotto'!I176</f>
        <v>641268.08842857135</v>
      </c>
      <c r="Z176" s="41">
        <f>'3. Verotulot'!AM176*100/'Veroposentin tuotto'!J176</f>
        <v>679735.56528571434</v>
      </c>
      <c r="AA176" s="41">
        <f>'3. Verotulot'!AR176*100/'Veroposentin tuotto'!K176</f>
        <v>889173.34665071778</v>
      </c>
      <c r="AB176" s="41">
        <f>'3. Verotulot'!AW176*100/'Veroposentin tuotto'!L176</f>
        <v>826649.20969452988</v>
      </c>
      <c r="AC176" s="41">
        <f>'3. Verotulot'!BB176*100/'Veroposentin tuotto'!M176</f>
        <v>883684.36839038972</v>
      </c>
      <c r="AD176" s="41">
        <f>'3. Verotulot'!BG176*100/'Veroposentin tuotto'!N176</f>
        <v>933581.74564376974</v>
      </c>
      <c r="AE176" s="41">
        <f>'3. Verotulot'!BL176*100/'Veroposentin tuotto'!O176</f>
        <v>976654.77158525877</v>
      </c>
      <c r="AF176" s="41">
        <f>'3. Verotulot'!BQ176*100/'Veroposentin tuotto'!P176</f>
        <v>1023893.7181334379</v>
      </c>
      <c r="AI176" s="41">
        <f>'3. Verotulot'!D176/'Veroposentin tuotto'!C176</f>
        <v>5617.9485301265822</v>
      </c>
      <c r="AJ176" s="41">
        <f>'3. Verotulot'!I176/'Veroposentin tuotto'!D176</f>
        <v>5777.164556962025</v>
      </c>
      <c r="AK176" s="41">
        <f>'3. Verotulot'!N176/'Veroposentin tuotto'!E176</f>
        <v>5711.1</v>
      </c>
      <c r="AL176" s="41">
        <f>'3. Verotulot'!S176/'Veroposentin tuotto'!F176</f>
        <v>5761.4146341463411</v>
      </c>
      <c r="AM176" s="41">
        <f>'3. Verotulot'!X176/'Veroposentin tuotto'!G176</f>
        <v>5874.7317073170734</v>
      </c>
      <c r="AN176" s="41">
        <f>'3. Verotulot'!AC176/'Veroposentin tuotto'!H176</f>
        <v>6200.4285714285716</v>
      </c>
      <c r="AO176" s="41">
        <f>'3. Verotulot'!AH176/'Veroposentin tuotto'!I176</f>
        <v>6412.6808842857135</v>
      </c>
      <c r="AP176" s="41">
        <f>'3. Verotulot'!AM176/'Veroposentin tuotto'!J176</f>
        <v>6797.3556528571435</v>
      </c>
      <c r="AQ176" s="41">
        <f>'3. Verotulot'!AR176/'Veroposentin tuotto'!K176</f>
        <v>8891.7334665071776</v>
      </c>
      <c r="AR176" s="41">
        <f>'3. Verotulot'!AW176/'Veroposentin tuotto'!L176</f>
        <v>8266.4920969452996</v>
      </c>
      <c r="AS176" s="41">
        <f>'3. Verotulot'!BB176/'Veroposentin tuotto'!M176</f>
        <v>8836.8436839038968</v>
      </c>
      <c r="AT176" s="41">
        <f>'3. Verotulot'!BG176/'Veroposentin tuotto'!N176</f>
        <v>9335.8174564376986</v>
      </c>
      <c r="AU176" s="41">
        <f>'3. Verotulot'!BL176/'Veroposentin tuotto'!O176</f>
        <v>9766.5477158525864</v>
      </c>
      <c r="AV176" s="41">
        <f>'3. Verotulot'!BQ176/'Veroposentin tuotto'!P176</f>
        <v>10238.937181334379</v>
      </c>
      <c r="AX176" s="146"/>
      <c r="AZ176" s="34">
        <v>536</v>
      </c>
      <c r="BA176" s="88" t="s">
        <v>490</v>
      </c>
      <c r="BB176" s="41">
        <f>AI176/'1. Väestöennuste'!E176*1000</f>
        <v>169.40921929095296</v>
      </c>
      <c r="BC176" s="41">
        <f>AJ176/'1. Väestöennuste'!F176*1000</f>
        <v>173.95858346769123</v>
      </c>
      <c r="BD176" s="41">
        <f>AK176/'1. Väestöennuste'!G176*1000</f>
        <v>171.39127303283115</v>
      </c>
      <c r="BE176" s="41">
        <f>AL176/'1. Väestöennuste'!H176*1000</f>
        <v>171.84402523775884</v>
      </c>
      <c r="BF176" s="41">
        <f>AM176/'1. Väestöennuste'!I176*1000</f>
        <v>173.14780003292384</v>
      </c>
      <c r="BG176" s="41">
        <f>AN176/'1. Väestöennuste'!J176*1000</f>
        <v>179.84767871645698</v>
      </c>
      <c r="BH176" s="41">
        <f>AO176/'1. Väestöennuste'!K176*1000</f>
        <v>183.82871471980602</v>
      </c>
      <c r="BI176" s="41">
        <f>AP176/'1. Väestöennuste'!L176*1000</f>
        <v>192.30904919530198</v>
      </c>
      <c r="BJ176" s="41">
        <f>AQ176/'1. Väestöennuste'!M176*1000</f>
        <v>249.43847915693263</v>
      </c>
      <c r="BK176" s="41">
        <f>AR176/'1. Väestöennuste'!N176*1000</f>
        <v>232.79335671487749</v>
      </c>
      <c r="BL176" s="41">
        <f>AS176/'1. Väestöennuste'!O176*1000</f>
        <v>247.31587931778839</v>
      </c>
      <c r="BM176" s="41">
        <f>AT176/'1. Väestöennuste'!P176*1000</f>
        <v>259.74674354342272</v>
      </c>
      <c r="BN176" s="41">
        <f>AU176/'1. Väestöennuste'!Q176*1000</f>
        <v>270.2495286491764</v>
      </c>
      <c r="BO176" s="41">
        <f>AV176/'1. Väestöennuste'!R176*1000</f>
        <v>281.89354059067171</v>
      </c>
    </row>
    <row r="177" spans="1:67" x14ac:dyDescent="0.25">
      <c r="A177" s="30">
        <v>538</v>
      </c>
      <c r="B177" s="47" t="s">
        <v>491</v>
      </c>
      <c r="C177" s="47">
        <v>21</v>
      </c>
      <c r="D177" s="47">
        <v>21</v>
      </c>
      <c r="E177" s="47">
        <v>21</v>
      </c>
      <c r="F177" s="47">
        <v>21.5</v>
      </c>
      <c r="G177" s="47">
        <v>21.5</v>
      </c>
      <c r="H177" s="58">
        <v>21.5</v>
      </c>
      <c r="I177" s="139">
        <v>21.499999999999996</v>
      </c>
      <c r="J177" s="139">
        <v>21.499999999999996</v>
      </c>
      <c r="K177" s="139">
        <f t="shared" si="11"/>
        <v>8.8599999999999959</v>
      </c>
      <c r="L177" s="139">
        <v>9.1</v>
      </c>
      <c r="M177" s="139">
        <f t="shared" si="13"/>
        <v>9.1</v>
      </c>
      <c r="N177" s="147">
        <f t="shared" si="13"/>
        <v>9.1</v>
      </c>
      <c r="O177" s="147">
        <f t="shared" si="13"/>
        <v>9.1</v>
      </c>
      <c r="P177" s="147">
        <f t="shared" si="13"/>
        <v>9.1</v>
      </c>
      <c r="Q177" s="147"/>
      <c r="S177" s="41">
        <f>'3. Verotulot'!D177*100/'Veroposentin tuotto'!C177</f>
        <v>75959.563999999998</v>
      </c>
      <c r="T177" s="41">
        <f>'3. Verotulot'!I177*100/'Veroposentin tuotto'!D177</f>
        <v>77400</v>
      </c>
      <c r="U177" s="41">
        <f>'3. Verotulot'!N177*100/'Veroposentin tuotto'!E177</f>
        <v>76652.380952380947</v>
      </c>
      <c r="V177" s="41">
        <f>'3. Verotulot'!S177*100/'Veroposentin tuotto'!F177</f>
        <v>76744.186046511633</v>
      </c>
      <c r="W177" s="41">
        <f>'3. Verotulot'!X177*100/'Veroposentin tuotto'!G177</f>
        <v>75441.860465116275</v>
      </c>
      <c r="X177" s="41">
        <f>'3. Verotulot'!AC177*100/'Veroposentin tuotto'!H177</f>
        <v>80520.930232558138</v>
      </c>
      <c r="Y177" s="41">
        <f>'3. Verotulot'!AH177*100/'Veroposentin tuotto'!I177</f>
        <v>82634.386279069789</v>
      </c>
      <c r="Z177" s="41">
        <f>'3. Verotulot'!AM177*100/'Veroposentin tuotto'!J177</f>
        <v>83714.976232558154</v>
      </c>
      <c r="AA177" s="41">
        <f>'3. Verotulot'!AR177*100/'Veroposentin tuotto'!K177</f>
        <v>104847.58081264114</v>
      </c>
      <c r="AB177" s="41">
        <f>'3. Verotulot'!AW177*100/'Veroposentin tuotto'!L177</f>
        <v>101468.59335034723</v>
      </c>
      <c r="AC177" s="41">
        <f>'3. Verotulot'!BB177*100/'Veroposentin tuotto'!M177</f>
        <v>106714.15543970386</v>
      </c>
      <c r="AD177" s="41">
        <f>'3. Verotulot'!BG177*100/'Veroposentin tuotto'!N177</f>
        <v>111976.74568386271</v>
      </c>
      <c r="AE177" s="41">
        <f>'3. Verotulot'!BL177*100/'Veroposentin tuotto'!O177</f>
        <v>115965.73271288852</v>
      </c>
      <c r="AF177" s="41">
        <f>'3. Verotulot'!BQ177*100/'Veroposentin tuotto'!P177</f>
        <v>120500.80373391778</v>
      </c>
      <c r="AI177" s="41">
        <f>'3. Verotulot'!D177/'Veroposentin tuotto'!C177</f>
        <v>759.59564</v>
      </c>
      <c r="AJ177" s="41">
        <f>'3. Verotulot'!I177/'Veroposentin tuotto'!D177</f>
        <v>774</v>
      </c>
      <c r="AK177" s="41">
        <f>'3. Verotulot'!N177/'Veroposentin tuotto'!E177</f>
        <v>766.52380952380952</v>
      </c>
      <c r="AL177" s="41">
        <f>'3. Verotulot'!S177/'Veroposentin tuotto'!F177</f>
        <v>767.44186046511629</v>
      </c>
      <c r="AM177" s="41">
        <f>'3. Verotulot'!X177/'Veroposentin tuotto'!G177</f>
        <v>754.41860465116281</v>
      </c>
      <c r="AN177" s="41">
        <f>'3. Verotulot'!AC177/'Veroposentin tuotto'!H177</f>
        <v>805.20930232558135</v>
      </c>
      <c r="AO177" s="41">
        <f>'3. Verotulot'!AH177/'Veroposentin tuotto'!I177</f>
        <v>826.34386279069793</v>
      </c>
      <c r="AP177" s="41">
        <f>'3. Verotulot'!AM177/'Veroposentin tuotto'!J177</f>
        <v>837.14976232558149</v>
      </c>
      <c r="AQ177" s="41">
        <f>'3. Verotulot'!AR177/'Veroposentin tuotto'!K177</f>
        <v>1048.4758081264113</v>
      </c>
      <c r="AR177" s="41">
        <f>'3. Verotulot'!AW177/'Veroposentin tuotto'!L177</f>
        <v>1014.6859335034724</v>
      </c>
      <c r="AS177" s="41">
        <f>'3. Verotulot'!BB177/'Veroposentin tuotto'!M177</f>
        <v>1067.1415543970386</v>
      </c>
      <c r="AT177" s="41">
        <f>'3. Verotulot'!BG177/'Veroposentin tuotto'!N177</f>
        <v>1119.7674568386269</v>
      </c>
      <c r="AU177" s="41">
        <f>'3. Verotulot'!BL177/'Veroposentin tuotto'!O177</f>
        <v>1159.6573271288851</v>
      </c>
      <c r="AV177" s="41">
        <f>'3. Verotulot'!BQ177/'Veroposentin tuotto'!P177</f>
        <v>1205.0080373391779</v>
      </c>
      <c r="AX177" s="146"/>
      <c r="AZ177" s="34">
        <v>538</v>
      </c>
      <c r="BA177" s="88" t="s">
        <v>491</v>
      </c>
      <c r="BB177" s="41">
        <f>AI177/'1. Väestöennuste'!E177*1000</f>
        <v>156.32756534266309</v>
      </c>
      <c r="BC177" s="41">
        <f>AJ177/'1. Väestöennuste'!F177*1000</f>
        <v>160.74766355140187</v>
      </c>
      <c r="BD177" s="41">
        <f>AK177/'1. Väestöennuste'!G177*1000</f>
        <v>159.26112809553493</v>
      </c>
      <c r="BE177" s="41">
        <f>AL177/'1. Väestöennuste'!H177*1000</f>
        <v>162.14702312806176</v>
      </c>
      <c r="BF177" s="41">
        <f>AM177/'1. Väestöennuste'!I177*1000</f>
        <v>160.00394584330073</v>
      </c>
      <c r="BG177" s="41">
        <f>AN177/'1. Väestöennuste'!J177*1000</f>
        <v>171.57666787248695</v>
      </c>
      <c r="BH177" s="41">
        <f>AO177/'1. Väestöennuste'!K177*1000</f>
        <v>176.23029703363147</v>
      </c>
      <c r="BI177" s="41">
        <f>AP177/'1. Väestöennuste'!L177*1000</f>
        <v>180.26480670232158</v>
      </c>
      <c r="BJ177" s="41">
        <f>AQ177/'1. Väestöennuste'!M177*1000</f>
        <v>223.31753101734</v>
      </c>
      <c r="BK177" s="41">
        <f>AR177/'1. Väestöennuste'!N177*1000</f>
        <v>219.9622660965689</v>
      </c>
      <c r="BL177" s="41">
        <f>AS177/'1. Väestöennuste'!O177*1000</f>
        <v>232.1386892314637</v>
      </c>
      <c r="BM177" s="41">
        <f>AT177/'1. Väestöennuste'!P177*1000</f>
        <v>244.43734050177403</v>
      </c>
      <c r="BN177" s="41">
        <f>AU177/'1. Väestöennuste'!Q177*1000</f>
        <v>253.92102630367529</v>
      </c>
      <c r="BO177" s="41">
        <f>AV177/'1. Väestöennuste'!R177*1000</f>
        <v>264.6043121078564</v>
      </c>
    </row>
    <row r="178" spans="1:67" x14ac:dyDescent="0.25">
      <c r="A178" s="30">
        <v>541</v>
      </c>
      <c r="B178" s="47" t="s">
        <v>492</v>
      </c>
      <c r="C178" s="47">
        <v>20.5</v>
      </c>
      <c r="D178" s="47">
        <v>20.5</v>
      </c>
      <c r="E178" s="47">
        <v>20.5</v>
      </c>
      <c r="F178" s="47">
        <v>20.5</v>
      </c>
      <c r="G178" s="47">
        <v>20.5</v>
      </c>
      <c r="H178" s="58">
        <v>20.5</v>
      </c>
      <c r="I178" s="139">
        <v>20.5</v>
      </c>
      <c r="J178" s="139">
        <v>21</v>
      </c>
      <c r="K178" s="139">
        <f t="shared" si="11"/>
        <v>8.36</v>
      </c>
      <c r="L178" s="139">
        <v>8.9</v>
      </c>
      <c r="M178" s="139">
        <f t="shared" si="13"/>
        <v>8.9</v>
      </c>
      <c r="N178" s="147">
        <f t="shared" si="13"/>
        <v>8.9</v>
      </c>
      <c r="O178" s="147">
        <f t="shared" si="13"/>
        <v>8.9</v>
      </c>
      <c r="P178" s="147">
        <f t="shared" si="13"/>
        <v>8.9</v>
      </c>
      <c r="Q178" s="147"/>
      <c r="S178" s="41">
        <f>'3. Verotulot'!D178*100/'Veroposentin tuotto'!C178</f>
        <v>104157.58936585365</v>
      </c>
      <c r="T178" s="41">
        <f>'3. Verotulot'!I178*100/'Veroposentin tuotto'!D178</f>
        <v>98448.780487804877</v>
      </c>
      <c r="U178" s="41">
        <f>'3. Verotulot'!N178*100/'Veroposentin tuotto'!E178</f>
        <v>96112.195121951227</v>
      </c>
      <c r="V178" s="41">
        <f>'3. Verotulot'!S178*100/'Veroposentin tuotto'!F178</f>
        <v>118575.60975609756</v>
      </c>
      <c r="W178" s="41">
        <f>'3. Verotulot'!X178*100/'Veroposentin tuotto'!G178</f>
        <v>121902.43902439025</v>
      </c>
      <c r="X178" s="41">
        <f>'3. Verotulot'!AC178*100/'Veroposentin tuotto'!H178</f>
        <v>119448.78048780488</v>
      </c>
      <c r="Y178" s="41">
        <f>'3. Verotulot'!AH178*100/'Veroposentin tuotto'!I178</f>
        <v>126123.87770731706</v>
      </c>
      <c r="Z178" s="41">
        <f>'3. Verotulot'!AM178*100/'Veroposentin tuotto'!J178</f>
        <v>126068.97733333331</v>
      </c>
      <c r="AA178" s="41">
        <f>'3. Verotulot'!AR178*100/'Veroposentin tuotto'!K178</f>
        <v>155915.10717703353</v>
      </c>
      <c r="AB178" s="41">
        <f>'3. Verotulot'!AW178*100/'Veroposentin tuotto'!L178</f>
        <v>147952.00405301189</v>
      </c>
      <c r="AC178" s="41">
        <f>'3. Verotulot'!BB178*100/'Veroposentin tuotto'!M178</f>
        <v>153970.07688326034</v>
      </c>
      <c r="AD178" s="41">
        <f>'3. Verotulot'!BG178*100/'Veroposentin tuotto'!N178</f>
        <v>157861.82623651126</v>
      </c>
      <c r="AE178" s="41">
        <f>'3. Verotulot'!BL178*100/'Veroposentin tuotto'!O178</f>
        <v>160817.14254468732</v>
      </c>
      <c r="AF178" s="41">
        <f>'3. Verotulot'!BQ178*100/'Veroposentin tuotto'!P178</f>
        <v>164612.07480735239</v>
      </c>
      <c r="AI178" s="41">
        <f>'3. Verotulot'!D178/'Veroposentin tuotto'!C178</f>
        <v>1041.5758936585366</v>
      </c>
      <c r="AJ178" s="41">
        <f>'3. Verotulot'!I178/'Veroposentin tuotto'!D178</f>
        <v>984.48780487804879</v>
      </c>
      <c r="AK178" s="41">
        <f>'3. Verotulot'!N178/'Veroposentin tuotto'!E178</f>
        <v>961.1219512195122</v>
      </c>
      <c r="AL178" s="41">
        <f>'3. Verotulot'!S178/'Veroposentin tuotto'!F178</f>
        <v>1185.7560975609756</v>
      </c>
      <c r="AM178" s="41">
        <f>'3. Verotulot'!X178/'Veroposentin tuotto'!G178</f>
        <v>1219.0243902439024</v>
      </c>
      <c r="AN178" s="41">
        <f>'3. Verotulot'!AC178/'Veroposentin tuotto'!H178</f>
        <v>1194.4878048780488</v>
      </c>
      <c r="AO178" s="41">
        <f>'3. Verotulot'!AH178/'Veroposentin tuotto'!I178</f>
        <v>1261.2387770731707</v>
      </c>
      <c r="AP178" s="41">
        <f>'3. Verotulot'!AM178/'Veroposentin tuotto'!J178</f>
        <v>1260.6897733333333</v>
      </c>
      <c r="AQ178" s="41">
        <f>'3. Verotulot'!AR178/'Veroposentin tuotto'!K178</f>
        <v>1559.1510717703352</v>
      </c>
      <c r="AR178" s="41">
        <f>'3. Verotulot'!AW178/'Veroposentin tuotto'!L178</f>
        <v>1479.5200405301189</v>
      </c>
      <c r="AS178" s="41">
        <f>'3. Verotulot'!BB178/'Veroposentin tuotto'!M178</f>
        <v>1539.7007688326032</v>
      </c>
      <c r="AT178" s="41">
        <f>'3. Verotulot'!BG178/'Veroposentin tuotto'!N178</f>
        <v>1578.6182623651127</v>
      </c>
      <c r="AU178" s="41">
        <f>'3. Verotulot'!BL178/'Veroposentin tuotto'!O178</f>
        <v>1608.1714254468732</v>
      </c>
      <c r="AV178" s="41">
        <f>'3. Verotulot'!BQ178/'Veroposentin tuotto'!P178</f>
        <v>1646.1207480735238</v>
      </c>
      <c r="AX178" s="146"/>
      <c r="AZ178" s="34">
        <v>541</v>
      </c>
      <c r="BA178" s="88" t="s">
        <v>492</v>
      </c>
      <c r="BB178" s="41">
        <f>AI178/'1. Väestöennuste'!E178*1000</f>
        <v>130.26211776620016</v>
      </c>
      <c r="BC178" s="41">
        <f>AJ178/'1. Väestöennuste'!F178*1000</f>
        <v>97.185370669106504</v>
      </c>
      <c r="BD178" s="41">
        <f>AK178/'1. Väestöennuste'!G178*1000</f>
        <v>96.275864090905756</v>
      </c>
      <c r="BE178" s="41">
        <f>AL178/'1. Väestöennuste'!H178*1000</f>
        <v>121.1933869134276</v>
      </c>
      <c r="BF178" s="41">
        <f>AM178/'1. Väestöennuste'!I178*1000</f>
        <v>127.61980634881725</v>
      </c>
      <c r="BG178" s="41">
        <f>AN178/'1. Väestöennuste'!J178*1000</f>
        <v>125.72232447932311</v>
      </c>
      <c r="BH178" s="41">
        <f>AO178/'1. Väestöennuste'!K178*1000</f>
        <v>133.84684039829892</v>
      </c>
      <c r="BI178" s="41">
        <f>AP178/'1. Väestöennuste'!L178*1000</f>
        <v>136.39400338995276</v>
      </c>
      <c r="BJ178" s="41">
        <f>AQ178/'1. Väestöennuste'!M178*1000</f>
        <v>170.77229701756136</v>
      </c>
      <c r="BK178" s="41">
        <f>AR178/'1. Väestöennuste'!N178*1000</f>
        <v>166.50011709769512</v>
      </c>
      <c r="BL178" s="41">
        <f>AS178/'1. Väestöennuste'!O178*1000</f>
        <v>176.04628045193269</v>
      </c>
      <c r="BM178" s="41">
        <f>AT178/'1. Väestöennuste'!P178*1000</f>
        <v>183.26192969179391</v>
      </c>
      <c r="BN178" s="41">
        <f>AU178/'1. Väestöennuste'!Q178*1000</f>
        <v>189.41948474050332</v>
      </c>
      <c r="BO178" s="41">
        <f>AV178/'1. Väestöennuste'!R178*1000</f>
        <v>196.6221629328146</v>
      </c>
    </row>
    <row r="179" spans="1:67" x14ac:dyDescent="0.25">
      <c r="A179" s="30">
        <v>543</v>
      </c>
      <c r="B179" s="47" t="s">
        <v>493</v>
      </c>
      <c r="C179" s="47">
        <v>19.5</v>
      </c>
      <c r="D179" s="47">
        <v>19.5</v>
      </c>
      <c r="E179" s="47">
        <v>19.5</v>
      </c>
      <c r="F179" s="47">
        <v>19.5</v>
      </c>
      <c r="G179" s="47">
        <v>19.5</v>
      </c>
      <c r="H179" s="58">
        <v>19.75</v>
      </c>
      <c r="I179" s="139">
        <v>19.75</v>
      </c>
      <c r="J179" s="139">
        <v>19.75</v>
      </c>
      <c r="K179" s="139">
        <f t="shared" si="11"/>
        <v>7.1099999999999994</v>
      </c>
      <c r="L179" s="139">
        <v>7.5</v>
      </c>
      <c r="M179" s="139">
        <f t="shared" si="13"/>
        <v>7.5</v>
      </c>
      <c r="N179" s="147">
        <f t="shared" si="13"/>
        <v>7.5</v>
      </c>
      <c r="O179" s="147">
        <f t="shared" si="13"/>
        <v>7.5</v>
      </c>
      <c r="P179" s="147">
        <f t="shared" si="13"/>
        <v>7.5</v>
      </c>
      <c r="Q179" s="147"/>
      <c r="S179" s="41">
        <f>'3. Verotulot'!D179*100/'Veroposentin tuotto'!C179</f>
        <v>831903.2148205128</v>
      </c>
      <c r="T179" s="41">
        <f>'3. Verotulot'!I179*100/'Veroposentin tuotto'!D179</f>
        <v>857553.84615384613</v>
      </c>
      <c r="U179" s="41">
        <f>'3. Verotulot'!N179*100/'Veroposentin tuotto'!E179</f>
        <v>850384.61538461538</v>
      </c>
      <c r="V179" s="41">
        <f>'3. Verotulot'!S179*100/'Veroposentin tuotto'!F179</f>
        <v>852133.33333333337</v>
      </c>
      <c r="W179" s="41">
        <f>'3. Verotulot'!X179*100/'Veroposentin tuotto'!G179</f>
        <v>879800</v>
      </c>
      <c r="X179" s="41">
        <f>'3. Verotulot'!AC179*100/'Veroposentin tuotto'!H179</f>
        <v>914455.69620253169</v>
      </c>
      <c r="Y179" s="41">
        <f>'3. Verotulot'!AH179*100/'Veroposentin tuotto'!I179</f>
        <v>943206.63037974678</v>
      </c>
      <c r="Z179" s="41">
        <f>'3. Verotulot'!AM179*100/'Veroposentin tuotto'!J179</f>
        <v>995087.92962025316</v>
      </c>
      <c r="AA179" s="41">
        <f>'3. Verotulot'!AR179*100/'Veroposentin tuotto'!K179</f>
        <v>1296691.3132208157</v>
      </c>
      <c r="AB179" s="41">
        <f>'3. Verotulot'!AW179*100/'Veroposentin tuotto'!L179</f>
        <v>1189924.3264844345</v>
      </c>
      <c r="AC179" s="41">
        <f>'3. Verotulot'!BB179*100/'Veroposentin tuotto'!M179</f>
        <v>1275362.6560477817</v>
      </c>
      <c r="AD179" s="41">
        <f>'3. Verotulot'!BG179*100/'Veroposentin tuotto'!N179</f>
        <v>1342423.5639273908</v>
      </c>
      <c r="AE179" s="41">
        <f>'3. Verotulot'!BL179*100/'Veroposentin tuotto'!O179</f>
        <v>1400260.0468919284</v>
      </c>
      <c r="AF179" s="41">
        <f>'3. Verotulot'!BQ179*100/'Veroposentin tuotto'!P179</f>
        <v>1463023.5181183242</v>
      </c>
      <c r="AI179" s="41">
        <f>'3. Verotulot'!D179/'Veroposentin tuotto'!C179</f>
        <v>8319.0321482051277</v>
      </c>
      <c r="AJ179" s="41">
        <f>'3. Verotulot'!I179/'Veroposentin tuotto'!D179</f>
        <v>8575.538461538461</v>
      </c>
      <c r="AK179" s="41">
        <f>'3. Verotulot'!N179/'Veroposentin tuotto'!E179</f>
        <v>8503.8461538461543</v>
      </c>
      <c r="AL179" s="41">
        <f>'3. Verotulot'!S179/'Veroposentin tuotto'!F179</f>
        <v>8521.3333333333339</v>
      </c>
      <c r="AM179" s="41">
        <f>'3. Verotulot'!X179/'Veroposentin tuotto'!G179</f>
        <v>8798</v>
      </c>
      <c r="AN179" s="41">
        <f>'3. Verotulot'!AC179/'Veroposentin tuotto'!H179</f>
        <v>9144.5569620253173</v>
      </c>
      <c r="AO179" s="41">
        <f>'3. Verotulot'!AH179/'Veroposentin tuotto'!I179</f>
        <v>9432.0663037974682</v>
      </c>
      <c r="AP179" s="41">
        <f>'3. Verotulot'!AM179/'Veroposentin tuotto'!J179</f>
        <v>9950.8792962025309</v>
      </c>
      <c r="AQ179" s="41">
        <f>'3. Verotulot'!AR179/'Veroposentin tuotto'!K179</f>
        <v>12966.913132208159</v>
      </c>
      <c r="AR179" s="41">
        <f>'3. Verotulot'!AW179/'Veroposentin tuotto'!L179</f>
        <v>11899.243264844346</v>
      </c>
      <c r="AS179" s="41">
        <f>'3. Verotulot'!BB179/'Veroposentin tuotto'!M179</f>
        <v>12753.62656047782</v>
      </c>
      <c r="AT179" s="41">
        <f>'3. Verotulot'!BG179/'Veroposentin tuotto'!N179</f>
        <v>13424.235639273909</v>
      </c>
      <c r="AU179" s="41">
        <f>'3. Verotulot'!BL179/'Veroposentin tuotto'!O179</f>
        <v>14002.600468919285</v>
      </c>
      <c r="AV179" s="41">
        <f>'3. Verotulot'!BQ179/'Veroposentin tuotto'!P179</f>
        <v>14630.235181183241</v>
      </c>
      <c r="AX179" s="146"/>
      <c r="AZ179" s="34">
        <v>543</v>
      </c>
      <c r="BA179" s="88" t="s">
        <v>493</v>
      </c>
      <c r="BB179" s="41">
        <f>AI179/'1. Väestöennuste'!E179*1000</f>
        <v>198.55913664952448</v>
      </c>
      <c r="BC179" s="41">
        <f>AJ179/'1. Väestöennuste'!F179*1000</f>
        <v>204.13088458791862</v>
      </c>
      <c r="BD179" s="41">
        <f>AK179/'1. Väestöennuste'!G179*1000</f>
        <v>201.70891515088485</v>
      </c>
      <c r="BE179" s="41">
        <f>AL179/'1. Väestöennuste'!H179*1000</f>
        <v>199.72655181843041</v>
      </c>
      <c r="BF179" s="41">
        <f>AM179/'1. Väestöennuste'!I179*1000</f>
        <v>204.637964319773</v>
      </c>
      <c r="BG179" s="41">
        <f>AN179/'1. Väestöennuste'!J179*1000</f>
        <v>209.43492114663027</v>
      </c>
      <c r="BH179" s="41">
        <f>AO179/'1. Väestöennuste'!K179*1000</f>
        <v>213.74818827016267</v>
      </c>
      <c r="BI179" s="41">
        <f>AP179/'1. Väestöennuste'!L179*1000</f>
        <v>223.82651707684849</v>
      </c>
      <c r="BJ179" s="41">
        <f>AQ179/'1. Väestöennuste'!M179*1000</f>
        <v>289.5369684539055</v>
      </c>
      <c r="BK179" s="41">
        <f>AR179/'1. Väestöennuste'!N179*1000</f>
        <v>263.5608059015758</v>
      </c>
      <c r="BL179" s="41">
        <f>AS179/'1. Väestöennuste'!O179*1000</f>
        <v>280.37342948641003</v>
      </c>
      <c r="BM179" s="41">
        <f>AT179/'1. Väestöennuste'!P179*1000</f>
        <v>292.97764380781121</v>
      </c>
      <c r="BN179" s="41">
        <f>AU179/'1. Väestöennuste'!Q179*1000</f>
        <v>303.46756683540559</v>
      </c>
      <c r="BO179" s="41">
        <f>AV179/'1. Väestöennuste'!R179*1000</f>
        <v>314.97416911415189</v>
      </c>
    </row>
    <row r="180" spans="1:67" x14ac:dyDescent="0.25">
      <c r="A180" s="30">
        <v>545</v>
      </c>
      <c r="B180" s="47" t="s">
        <v>494</v>
      </c>
      <c r="C180" s="47">
        <v>21</v>
      </c>
      <c r="D180" s="47">
        <v>21</v>
      </c>
      <c r="E180" s="47">
        <v>21</v>
      </c>
      <c r="F180" s="47">
        <v>21</v>
      </c>
      <c r="G180" s="47">
        <v>21</v>
      </c>
      <c r="H180" s="58">
        <v>21</v>
      </c>
      <c r="I180" s="139">
        <v>21</v>
      </c>
      <c r="J180" s="139">
        <v>21</v>
      </c>
      <c r="K180" s="139">
        <f t="shared" si="11"/>
        <v>8.36</v>
      </c>
      <c r="L180" s="139">
        <v>8.4</v>
      </c>
      <c r="M180" s="139">
        <f t="shared" si="13"/>
        <v>8.4</v>
      </c>
      <c r="N180" s="147">
        <f t="shared" si="13"/>
        <v>8.4</v>
      </c>
      <c r="O180" s="147">
        <f t="shared" si="13"/>
        <v>8.4</v>
      </c>
      <c r="P180" s="147">
        <f t="shared" si="13"/>
        <v>8.4</v>
      </c>
      <c r="Q180" s="147"/>
      <c r="S180" s="41">
        <f>'3. Verotulot'!D180*100/'Veroposentin tuotto'!C180</f>
        <v>124982.44623809525</v>
      </c>
      <c r="T180" s="41">
        <f>'3. Verotulot'!I180*100/'Veroposentin tuotto'!D180</f>
        <v>123761.90476190476</v>
      </c>
      <c r="U180" s="41">
        <f>'3. Verotulot'!N180*100/'Veroposentin tuotto'!E180</f>
        <v>125190.47619047618</v>
      </c>
      <c r="V180" s="41">
        <f>'3. Verotulot'!S180*100/'Veroposentin tuotto'!F180</f>
        <v>118580.95238095238</v>
      </c>
      <c r="W180" s="41">
        <f>'3. Verotulot'!X180*100/'Veroposentin tuotto'!G180</f>
        <v>124152.38095238095</v>
      </c>
      <c r="X180" s="41">
        <f>'3. Verotulot'!AC180*100/'Veroposentin tuotto'!H180</f>
        <v>127685.71428571429</v>
      </c>
      <c r="Y180" s="41">
        <f>'3. Verotulot'!AH180*100/'Veroposentin tuotto'!I180</f>
        <v>136502.77628571427</v>
      </c>
      <c r="Z180" s="41">
        <f>'3. Verotulot'!AM180*100/'Veroposentin tuotto'!J180</f>
        <v>136994.12971428572</v>
      </c>
      <c r="AA180" s="41">
        <f>'3. Verotulot'!AR180*100/'Veroposentin tuotto'!K180</f>
        <v>181365.26423444977</v>
      </c>
      <c r="AB180" s="41">
        <f>'3. Verotulot'!AW180*100/'Veroposentin tuotto'!L180</f>
        <v>177017.79244590719</v>
      </c>
      <c r="AC180" s="41">
        <f>'3. Verotulot'!BB180*100/'Veroposentin tuotto'!M180</f>
        <v>190404.9651375562</v>
      </c>
      <c r="AD180" s="41">
        <f>'3. Verotulot'!BG180*100/'Veroposentin tuotto'!N180</f>
        <v>202031.06500734438</v>
      </c>
      <c r="AE180" s="41">
        <f>'3. Verotulot'!BL180*100/'Veroposentin tuotto'!O180</f>
        <v>211767.39207196908</v>
      </c>
      <c r="AF180" s="41">
        <f>'3. Verotulot'!BQ180*100/'Veroposentin tuotto'!P180</f>
        <v>222415.81353834458</v>
      </c>
      <c r="AI180" s="41">
        <f>'3. Verotulot'!D180/'Veroposentin tuotto'!C180</f>
        <v>1249.8244623809526</v>
      </c>
      <c r="AJ180" s="41">
        <f>'3. Verotulot'!I180/'Veroposentin tuotto'!D180</f>
        <v>1237.6190476190477</v>
      </c>
      <c r="AK180" s="41">
        <f>'3. Verotulot'!N180/'Veroposentin tuotto'!E180</f>
        <v>1251.9047619047619</v>
      </c>
      <c r="AL180" s="41">
        <f>'3. Verotulot'!S180/'Veroposentin tuotto'!F180</f>
        <v>1185.8095238095239</v>
      </c>
      <c r="AM180" s="41">
        <f>'3. Verotulot'!X180/'Veroposentin tuotto'!G180</f>
        <v>1241.5238095238096</v>
      </c>
      <c r="AN180" s="41">
        <f>'3. Verotulot'!AC180/'Veroposentin tuotto'!H180</f>
        <v>1276.8571428571429</v>
      </c>
      <c r="AO180" s="41">
        <f>'3. Verotulot'!AH180/'Veroposentin tuotto'!I180</f>
        <v>1365.0277628571428</v>
      </c>
      <c r="AP180" s="41">
        <f>'3. Verotulot'!AM180/'Veroposentin tuotto'!J180</f>
        <v>1369.9412971428569</v>
      </c>
      <c r="AQ180" s="41">
        <f>'3. Verotulot'!AR180/'Veroposentin tuotto'!K180</f>
        <v>1813.6526423444977</v>
      </c>
      <c r="AR180" s="41">
        <f>'3. Verotulot'!AW180/'Veroposentin tuotto'!L180</f>
        <v>1770.1779244590721</v>
      </c>
      <c r="AS180" s="41">
        <f>'3. Verotulot'!BB180/'Veroposentin tuotto'!M180</f>
        <v>1904.049651375562</v>
      </c>
      <c r="AT180" s="41">
        <f>'3. Verotulot'!BG180/'Veroposentin tuotto'!N180</f>
        <v>2020.3106500734436</v>
      </c>
      <c r="AU180" s="41">
        <f>'3. Verotulot'!BL180/'Veroposentin tuotto'!O180</f>
        <v>2117.6739207196911</v>
      </c>
      <c r="AV180" s="41">
        <f>'3. Verotulot'!BQ180/'Veroposentin tuotto'!P180</f>
        <v>2224.1581353834458</v>
      </c>
      <c r="AX180" s="146"/>
      <c r="AZ180" s="34">
        <v>545</v>
      </c>
      <c r="BA180" s="88" t="s">
        <v>494</v>
      </c>
      <c r="BB180" s="41">
        <f>AI180/'1. Väestöennuste'!E180*1000</f>
        <v>133.14418476413684</v>
      </c>
      <c r="BC180" s="41">
        <f>AJ180/'1. Väestöennuste'!F180*1000</f>
        <v>131.11760224801861</v>
      </c>
      <c r="BD180" s="41">
        <f>AK180/'1. Väestöennuste'!G180*1000</f>
        <v>131.68241947036518</v>
      </c>
      <c r="BE180" s="41">
        <f>AL180/'1. Väestöennuste'!H180*1000</f>
        <v>125.20425760843878</v>
      </c>
      <c r="BF180" s="41">
        <f>AM180/'1. Väestöennuste'!I180*1000</f>
        <v>130.97624322437068</v>
      </c>
      <c r="BG180" s="41">
        <f>AN180/'1. Väestöennuste'!J180*1000</f>
        <v>133.59041042656864</v>
      </c>
      <c r="BH180" s="41">
        <f>AO180/'1. Väestöennuste'!K180*1000</f>
        <v>142.75546568261271</v>
      </c>
      <c r="BI180" s="41">
        <f>AP180/'1. Väestöennuste'!L180*1000</f>
        <v>142.9404525399475</v>
      </c>
      <c r="BJ180" s="41">
        <f>AQ180/'1. Väestöennuste'!M180*1000</f>
        <v>188.50978508933559</v>
      </c>
      <c r="BK180" s="41">
        <f>AR180/'1. Väestöennuste'!N180*1000</f>
        <v>184.16332963577528</v>
      </c>
      <c r="BL180" s="41">
        <f>AS180/'1. Väestöennuste'!O180*1000</f>
        <v>197.88501885008958</v>
      </c>
      <c r="BM180" s="41">
        <f>AT180/'1. Väestöennuste'!P180*1000</f>
        <v>209.83700146172035</v>
      </c>
      <c r="BN180" s="41">
        <f>AU180/'1. Väestöennuste'!Q180*1000</f>
        <v>219.81253069542154</v>
      </c>
      <c r="BO180" s="41">
        <f>AV180/'1. Väestöennuste'!R180*1000</f>
        <v>230.76967580239113</v>
      </c>
    </row>
    <row r="181" spans="1:67" x14ac:dyDescent="0.25">
      <c r="A181" s="30">
        <v>560</v>
      </c>
      <c r="B181" s="47" t="s">
        <v>495</v>
      </c>
      <c r="C181" s="47">
        <v>20.5</v>
      </c>
      <c r="D181" s="47">
        <v>20.75</v>
      </c>
      <c r="E181" s="47">
        <v>20.75</v>
      </c>
      <c r="F181" s="47">
        <v>20.75</v>
      </c>
      <c r="G181" s="47">
        <v>20.75</v>
      </c>
      <c r="H181" s="58">
        <v>20.75</v>
      </c>
      <c r="I181" s="139">
        <v>21.249999999999996</v>
      </c>
      <c r="J181" s="139">
        <v>21.249999999999996</v>
      </c>
      <c r="K181" s="139">
        <f t="shared" si="11"/>
        <v>8.6099999999999959</v>
      </c>
      <c r="L181" s="139">
        <v>8.6999999999999993</v>
      </c>
      <c r="M181" s="139">
        <f t="shared" si="13"/>
        <v>8.6999999999999993</v>
      </c>
      <c r="N181" s="147">
        <f t="shared" si="13"/>
        <v>8.6999999999999993</v>
      </c>
      <c r="O181" s="147">
        <f t="shared" si="13"/>
        <v>8.6999999999999993</v>
      </c>
      <c r="P181" s="147">
        <f t="shared" si="13"/>
        <v>8.6999999999999993</v>
      </c>
      <c r="Q181" s="147"/>
      <c r="S181" s="41">
        <f>'3. Verotulot'!D181*100/'Veroposentin tuotto'!C181</f>
        <v>227664.12146341463</v>
      </c>
      <c r="T181" s="41">
        <f>'3. Verotulot'!I181*100/'Veroposentin tuotto'!D181</f>
        <v>235103.61445783134</v>
      </c>
      <c r="U181" s="41">
        <f>'3. Verotulot'!N181*100/'Veroposentin tuotto'!E181</f>
        <v>235036.14457831325</v>
      </c>
      <c r="V181" s="41">
        <f>'3. Verotulot'!S181*100/'Veroposentin tuotto'!F181</f>
        <v>233045.78313253011</v>
      </c>
      <c r="W181" s="41">
        <f>'3. Verotulot'!X181*100/'Veroposentin tuotto'!G181</f>
        <v>234525.30120481929</v>
      </c>
      <c r="X181" s="41">
        <f>'3. Verotulot'!AC181*100/'Veroposentin tuotto'!H181</f>
        <v>256081.92771084336</v>
      </c>
      <c r="Y181" s="41">
        <f>'3. Verotulot'!AH181*100/'Veroposentin tuotto'!I181</f>
        <v>249948.43477647065</v>
      </c>
      <c r="Z181" s="41">
        <f>'3. Verotulot'!AM181*100/'Veroposentin tuotto'!J181</f>
        <v>261683.4533647059</v>
      </c>
      <c r="AA181" s="41">
        <f>'3. Verotulot'!AR181*100/'Veroposentin tuotto'!K181</f>
        <v>325384.74599303148</v>
      </c>
      <c r="AB181" s="41">
        <f>'3. Verotulot'!AW181*100/'Veroposentin tuotto'!L181</f>
        <v>309894.41310610803</v>
      </c>
      <c r="AC181" s="41">
        <f>'3. Verotulot'!BB181*100/'Veroposentin tuotto'!M181</f>
        <v>327815.23154035589</v>
      </c>
      <c r="AD181" s="41">
        <f>'3. Verotulot'!BG181*100/'Veroposentin tuotto'!N181</f>
        <v>341975.79337234399</v>
      </c>
      <c r="AE181" s="41">
        <f>'3. Verotulot'!BL181*100/'Veroposentin tuotto'!O181</f>
        <v>353899.67346302915</v>
      </c>
      <c r="AF181" s="41">
        <f>'3. Verotulot'!BQ181*100/'Veroposentin tuotto'!P181</f>
        <v>367305.87099748163</v>
      </c>
      <c r="AI181" s="41">
        <f>'3. Verotulot'!D181/'Veroposentin tuotto'!C181</f>
        <v>2276.6412146341463</v>
      </c>
      <c r="AJ181" s="41">
        <f>'3. Verotulot'!I181/'Veroposentin tuotto'!D181</f>
        <v>2351.0361445783133</v>
      </c>
      <c r="AK181" s="41">
        <f>'3. Verotulot'!N181/'Veroposentin tuotto'!E181</f>
        <v>2350.3614457831327</v>
      </c>
      <c r="AL181" s="41">
        <f>'3. Verotulot'!S181/'Veroposentin tuotto'!F181</f>
        <v>2330.4578313253014</v>
      </c>
      <c r="AM181" s="41">
        <f>'3. Verotulot'!X181/'Veroposentin tuotto'!G181</f>
        <v>2345.2530120481929</v>
      </c>
      <c r="AN181" s="41">
        <f>'3. Verotulot'!AC181/'Veroposentin tuotto'!H181</f>
        <v>2560.8192771084337</v>
      </c>
      <c r="AO181" s="41">
        <f>'3. Verotulot'!AH181/'Veroposentin tuotto'!I181</f>
        <v>2499.4843477647064</v>
      </c>
      <c r="AP181" s="41">
        <f>'3. Verotulot'!AM181/'Veroposentin tuotto'!J181</f>
        <v>2616.8345336470593</v>
      </c>
      <c r="AQ181" s="41">
        <f>'3. Verotulot'!AR181/'Veroposentin tuotto'!K181</f>
        <v>3253.8474599303149</v>
      </c>
      <c r="AR181" s="41">
        <f>'3. Verotulot'!AW181/'Veroposentin tuotto'!L181</f>
        <v>3098.94413106108</v>
      </c>
      <c r="AS181" s="41">
        <f>'3. Verotulot'!BB181/'Veroposentin tuotto'!M181</f>
        <v>3278.1523154035585</v>
      </c>
      <c r="AT181" s="41">
        <f>'3. Verotulot'!BG181/'Veroposentin tuotto'!N181</f>
        <v>3419.7579337234397</v>
      </c>
      <c r="AU181" s="41">
        <f>'3. Verotulot'!BL181/'Veroposentin tuotto'!O181</f>
        <v>3538.9967346302915</v>
      </c>
      <c r="AV181" s="41">
        <f>'3. Verotulot'!BQ181/'Veroposentin tuotto'!P181</f>
        <v>3673.0587099748163</v>
      </c>
      <c r="AX181" s="146"/>
      <c r="AZ181" s="34">
        <v>560</v>
      </c>
      <c r="BA181" s="88" t="s">
        <v>495</v>
      </c>
      <c r="BB181" s="41">
        <f>AI181/'1. Väestöennuste'!E181*1000</f>
        <v>139.44880648255216</v>
      </c>
      <c r="BC181" s="41">
        <f>AJ181/'1. Väestöennuste'!F181*1000</f>
        <v>144.42141068728503</v>
      </c>
      <c r="BD181" s="41">
        <f>AK181/'1. Väestöennuste'!G181*1000</f>
        <v>144.89621144091811</v>
      </c>
      <c r="BE181" s="41">
        <f>AL181/'1. Väestöennuste'!H181*1000</f>
        <v>144.82989443324226</v>
      </c>
      <c r="BF181" s="41">
        <f>AM181/'1. Väestöennuste'!I181*1000</f>
        <v>146.55083497145492</v>
      </c>
      <c r="BG181" s="41">
        <f>AN181/'1. Väestöennuste'!J181*1000</f>
        <v>161.24035241836251</v>
      </c>
      <c r="BH181" s="41">
        <f>AO181/'1. Väestöennuste'!K181*1000</f>
        <v>158.11515357823293</v>
      </c>
      <c r="BI181" s="41">
        <f>AP181/'1. Väestöennuste'!L181*1000</f>
        <v>166.30661160769364</v>
      </c>
      <c r="BJ181" s="41">
        <f>AQ181/'1. Väestöennuste'!M181*1000</f>
        <v>207.66146275641808</v>
      </c>
      <c r="BK181" s="41">
        <f>AR181/'1. Väestöennuste'!N181*1000</f>
        <v>199.63564588424146</v>
      </c>
      <c r="BL181" s="41">
        <f>AS181/'1. Väestöennuste'!O181*1000</f>
        <v>212.41186518522377</v>
      </c>
      <c r="BM181" s="41">
        <f>AT181/'1. Väestöennuste'!P181*1000</f>
        <v>222.81456435518893</v>
      </c>
      <c r="BN181" s="41">
        <f>AU181/'1. Väestöennuste'!Q181*1000</f>
        <v>231.82213642278865</v>
      </c>
      <c r="BO181" s="41">
        <f>AV181/'1. Väestöennuste'!R181*1000</f>
        <v>241.90323432394734</v>
      </c>
    </row>
    <row r="182" spans="1:67" x14ac:dyDescent="0.25">
      <c r="A182" s="30">
        <v>561</v>
      </c>
      <c r="B182" s="47" t="s">
        <v>496</v>
      </c>
      <c r="C182" s="47">
        <v>19.5</v>
      </c>
      <c r="D182" s="47">
        <v>19.5</v>
      </c>
      <c r="E182" s="47">
        <v>19.5</v>
      </c>
      <c r="F182" s="47">
        <v>19.5</v>
      </c>
      <c r="G182" s="47">
        <v>21</v>
      </c>
      <c r="H182" s="58">
        <v>21</v>
      </c>
      <c r="I182" s="139">
        <v>21</v>
      </c>
      <c r="J182" s="139">
        <v>21</v>
      </c>
      <c r="K182" s="139">
        <f t="shared" si="11"/>
        <v>8.36</v>
      </c>
      <c r="L182" s="139">
        <v>8.4</v>
      </c>
      <c r="M182" s="139">
        <f t="shared" si="13"/>
        <v>8.4</v>
      </c>
      <c r="N182" s="147">
        <f t="shared" si="13"/>
        <v>8.4</v>
      </c>
      <c r="O182" s="147">
        <f t="shared" si="13"/>
        <v>8.4</v>
      </c>
      <c r="P182" s="147">
        <f t="shared" si="13"/>
        <v>8.4</v>
      </c>
      <c r="Q182" s="147"/>
      <c r="S182" s="41">
        <f>'3. Verotulot'!D182*100/'Veroposentin tuotto'!C182</f>
        <v>17918.485435897437</v>
      </c>
      <c r="T182" s="41">
        <f>'3. Verotulot'!I182*100/'Veroposentin tuotto'!D182</f>
        <v>17082.051282051281</v>
      </c>
      <c r="U182" s="41">
        <f>'3. Verotulot'!N182*100/'Veroposentin tuotto'!E182</f>
        <v>17733.333333333332</v>
      </c>
      <c r="V182" s="41">
        <f>'3. Verotulot'!S182*100/'Veroposentin tuotto'!F182</f>
        <v>16994.871794871793</v>
      </c>
      <c r="W182" s="41">
        <f>'3. Verotulot'!X182*100/'Veroposentin tuotto'!G182</f>
        <v>18333.333333333332</v>
      </c>
      <c r="X182" s="41">
        <f>'3. Verotulot'!AC182*100/'Veroposentin tuotto'!H182</f>
        <v>18804.761904761905</v>
      </c>
      <c r="Y182" s="41">
        <f>'3. Verotulot'!AH182*100/'Veroposentin tuotto'!I182</f>
        <v>18280.136952380952</v>
      </c>
      <c r="Z182" s="41">
        <f>'3. Verotulot'!AM182*100/'Veroposentin tuotto'!J182</f>
        <v>18850.938761904763</v>
      </c>
      <c r="AA182" s="41">
        <f>'3. Verotulot'!AR182*100/'Veroposentin tuotto'!K182</f>
        <v>24650.722966507179</v>
      </c>
      <c r="AB182" s="41">
        <f>'3. Verotulot'!AW182*100/'Veroposentin tuotto'!L182</f>
        <v>23529.142451383745</v>
      </c>
      <c r="AC182" s="41">
        <f>'3. Verotulot'!BB182*100/'Veroposentin tuotto'!M182</f>
        <v>25065.469838940942</v>
      </c>
      <c r="AD182" s="41">
        <f>'3. Verotulot'!BG182*100/'Veroposentin tuotto'!N182</f>
        <v>26335.891508728135</v>
      </c>
      <c r="AE182" s="41">
        <f>'3. Verotulot'!BL182*100/'Veroposentin tuotto'!O182</f>
        <v>27474.088605889963</v>
      </c>
      <c r="AF182" s="41">
        <f>'3. Verotulot'!BQ182*100/'Veroposentin tuotto'!P182</f>
        <v>28744.428029309551</v>
      </c>
      <c r="AI182" s="41">
        <f>'3. Verotulot'!D182/'Veroposentin tuotto'!C182</f>
        <v>179.18485435897435</v>
      </c>
      <c r="AJ182" s="41">
        <f>'3. Verotulot'!I182/'Veroposentin tuotto'!D182</f>
        <v>170.82051282051282</v>
      </c>
      <c r="AK182" s="41">
        <f>'3. Verotulot'!N182/'Veroposentin tuotto'!E182</f>
        <v>177.33333333333334</v>
      </c>
      <c r="AL182" s="41">
        <f>'3. Verotulot'!S182/'Veroposentin tuotto'!F182</f>
        <v>169.94871794871796</v>
      </c>
      <c r="AM182" s="41">
        <f>'3. Verotulot'!X182/'Veroposentin tuotto'!G182</f>
        <v>183.33333333333334</v>
      </c>
      <c r="AN182" s="41">
        <f>'3. Verotulot'!AC182/'Veroposentin tuotto'!H182</f>
        <v>188.04761904761904</v>
      </c>
      <c r="AO182" s="41">
        <f>'3. Verotulot'!AH182/'Veroposentin tuotto'!I182</f>
        <v>182.80136952380951</v>
      </c>
      <c r="AP182" s="41">
        <f>'3. Verotulot'!AM182/'Veroposentin tuotto'!J182</f>
        <v>188.50938761904763</v>
      </c>
      <c r="AQ182" s="41">
        <f>'3. Verotulot'!AR182/'Veroposentin tuotto'!K182</f>
        <v>246.50722966507178</v>
      </c>
      <c r="AR182" s="41">
        <f>'3. Verotulot'!AW182/'Veroposentin tuotto'!L182</f>
        <v>235.29142451383743</v>
      </c>
      <c r="AS182" s="41">
        <f>'3. Verotulot'!BB182/'Veroposentin tuotto'!M182</f>
        <v>250.65469838940945</v>
      </c>
      <c r="AT182" s="41">
        <f>'3. Verotulot'!BG182/'Veroposentin tuotto'!N182</f>
        <v>263.35891508728133</v>
      </c>
      <c r="AU182" s="41">
        <f>'3. Verotulot'!BL182/'Veroposentin tuotto'!O182</f>
        <v>274.74088605889966</v>
      </c>
      <c r="AV182" s="41">
        <f>'3. Verotulot'!BQ182/'Veroposentin tuotto'!P182</f>
        <v>287.44428029309552</v>
      </c>
      <c r="AX182" s="146"/>
      <c r="AZ182" s="34">
        <v>561</v>
      </c>
      <c r="BA182" s="88" t="s">
        <v>496</v>
      </c>
      <c r="BB182" s="41">
        <f>AI182/'1. Väestöennuste'!E182*1000</f>
        <v>130.12698210528276</v>
      </c>
      <c r="BC182" s="41">
        <f>AJ182/'1. Väestöennuste'!F182*1000</f>
        <v>125.32686193728013</v>
      </c>
      <c r="BD182" s="41">
        <f>AK182/'1. Väestöennuste'!G182*1000</f>
        <v>128.31644958996625</v>
      </c>
      <c r="BE182" s="41">
        <f>AL182/'1. Väestöennuste'!H182*1000</f>
        <v>124.59583427325363</v>
      </c>
      <c r="BF182" s="41">
        <f>AM182/'1. Väestöennuste'!I182*1000</f>
        <v>137.9483320792576</v>
      </c>
      <c r="BG182" s="41">
        <f>AN182/'1. Väestöennuste'!J182*1000</f>
        <v>140.96523166987933</v>
      </c>
      <c r="BH182" s="41">
        <f>AO182/'1. Väestöennuste'!K182*1000</f>
        <v>136.72503330127861</v>
      </c>
      <c r="BI182" s="41">
        <f>AP182/'1. Väestöennuste'!L182*1000</f>
        <v>143.13544997649782</v>
      </c>
      <c r="BJ182" s="41">
        <f>AQ182/'1. Väestöennuste'!M182*1000</f>
        <v>187.45796932705079</v>
      </c>
      <c r="BK182" s="41">
        <f>AR182/'1. Väestöennuste'!N182*1000</f>
        <v>179.61177443804382</v>
      </c>
      <c r="BL182" s="41">
        <f>AS182/'1. Väestöennuste'!O182*1000</f>
        <v>192.07256581563942</v>
      </c>
      <c r="BM182" s="41">
        <f>AT182/'1. Väestöennuste'!P182*1000</f>
        <v>202.4280669387251</v>
      </c>
      <c r="BN182" s="41">
        <f>AU182/'1. Väestöennuste'!Q182*1000</f>
        <v>211.66478124722624</v>
      </c>
      <c r="BO182" s="41">
        <f>AV182/'1. Väestöennuste'!R182*1000</f>
        <v>221.96469520702357</v>
      </c>
    </row>
    <row r="183" spans="1:67" x14ac:dyDescent="0.25">
      <c r="A183" s="30">
        <v>562</v>
      </c>
      <c r="B183" s="47" t="s">
        <v>497</v>
      </c>
      <c r="C183" s="47">
        <v>22.25</v>
      </c>
      <c r="D183" s="47">
        <v>22.25</v>
      </c>
      <c r="E183" s="47">
        <v>22</v>
      </c>
      <c r="F183" s="47">
        <v>22</v>
      </c>
      <c r="G183" s="47">
        <v>22</v>
      </c>
      <c r="H183" s="58">
        <v>22</v>
      </c>
      <c r="I183" s="139">
        <v>22</v>
      </c>
      <c r="J183" s="139">
        <v>22</v>
      </c>
      <c r="K183" s="139">
        <f t="shared" si="11"/>
        <v>9.36</v>
      </c>
      <c r="L183" s="139">
        <v>9.4</v>
      </c>
      <c r="M183" s="139">
        <f t="shared" si="13"/>
        <v>9.4</v>
      </c>
      <c r="N183" s="147">
        <f t="shared" si="13"/>
        <v>9.4</v>
      </c>
      <c r="O183" s="147">
        <f t="shared" si="13"/>
        <v>9.4</v>
      </c>
      <c r="P183" s="147">
        <f t="shared" si="13"/>
        <v>9.4</v>
      </c>
      <c r="Q183" s="147"/>
      <c r="S183" s="41">
        <f>'3. Verotulot'!D183*100/'Veroposentin tuotto'!C183</f>
        <v>129387.38013483144</v>
      </c>
      <c r="T183" s="41">
        <f>'3. Verotulot'!I183*100/'Veroposentin tuotto'!D183</f>
        <v>131240.44943820225</v>
      </c>
      <c r="U183" s="41">
        <f>'3. Verotulot'!N183*100/'Veroposentin tuotto'!E183</f>
        <v>130795.45454545454</v>
      </c>
      <c r="V183" s="41">
        <f>'3. Verotulot'!S183*100/'Veroposentin tuotto'!F183</f>
        <v>127754.54545454546</v>
      </c>
      <c r="W183" s="41">
        <f>'3. Verotulot'!X183*100/'Veroposentin tuotto'!G183</f>
        <v>130890.90909090909</v>
      </c>
      <c r="X183" s="41">
        <f>'3. Verotulot'!AC183*100/'Veroposentin tuotto'!H183</f>
        <v>138622.72727272726</v>
      </c>
      <c r="Y183" s="41">
        <f>'3. Verotulot'!AH183*100/'Veroposentin tuotto'!I183</f>
        <v>139086.79209090909</v>
      </c>
      <c r="Z183" s="41">
        <f>'3. Verotulot'!AM183*100/'Veroposentin tuotto'!J183</f>
        <v>147483.94995454545</v>
      </c>
      <c r="AA183" s="41">
        <f>'3. Verotulot'!AR183*100/'Veroposentin tuotto'!K183</f>
        <v>179450.90331196584</v>
      </c>
      <c r="AB183" s="41">
        <f>'3. Verotulot'!AW183*100/'Veroposentin tuotto'!L183</f>
        <v>170184.37578970511</v>
      </c>
      <c r="AC183" s="41">
        <f>'3. Verotulot'!BB183*100/'Veroposentin tuotto'!M183</f>
        <v>179452.28760177118</v>
      </c>
      <c r="AD183" s="41">
        <f>'3. Verotulot'!BG183*100/'Veroposentin tuotto'!N183</f>
        <v>186422.63662285157</v>
      </c>
      <c r="AE183" s="41">
        <f>'3. Verotulot'!BL183*100/'Veroposentin tuotto'!O183</f>
        <v>192012.48436608989</v>
      </c>
      <c r="AF183" s="41">
        <f>'3. Verotulot'!BQ183*100/'Veroposentin tuotto'!P183</f>
        <v>198517.20418379776</v>
      </c>
      <c r="AI183" s="41">
        <f>'3. Verotulot'!D183/'Veroposentin tuotto'!C183</f>
        <v>1293.8738013483144</v>
      </c>
      <c r="AJ183" s="41">
        <f>'3. Verotulot'!I183/'Veroposentin tuotto'!D183</f>
        <v>1312.4044943820224</v>
      </c>
      <c r="AK183" s="41">
        <f>'3. Verotulot'!N183/'Veroposentin tuotto'!E183</f>
        <v>1307.9545454545455</v>
      </c>
      <c r="AL183" s="41">
        <f>'3. Verotulot'!S183/'Veroposentin tuotto'!F183</f>
        <v>1277.5454545454545</v>
      </c>
      <c r="AM183" s="41">
        <f>'3. Verotulot'!X183/'Veroposentin tuotto'!G183</f>
        <v>1308.909090909091</v>
      </c>
      <c r="AN183" s="41">
        <f>'3. Verotulot'!AC183/'Veroposentin tuotto'!H183</f>
        <v>1386.2272727272727</v>
      </c>
      <c r="AO183" s="41">
        <f>'3. Verotulot'!AH183/'Veroposentin tuotto'!I183</f>
        <v>1390.867920909091</v>
      </c>
      <c r="AP183" s="41">
        <f>'3. Verotulot'!AM183/'Veroposentin tuotto'!J183</f>
        <v>1474.8394995454544</v>
      </c>
      <c r="AQ183" s="41">
        <f>'3. Verotulot'!AR183/'Veroposentin tuotto'!K183</f>
        <v>1794.5090331196582</v>
      </c>
      <c r="AR183" s="41">
        <f>'3. Verotulot'!AW183/'Veroposentin tuotto'!L183</f>
        <v>1701.8437578970513</v>
      </c>
      <c r="AS183" s="41">
        <f>'3. Verotulot'!BB183/'Veroposentin tuotto'!M183</f>
        <v>1794.5228760177117</v>
      </c>
      <c r="AT183" s="41">
        <f>'3. Verotulot'!BG183/'Veroposentin tuotto'!N183</f>
        <v>1864.2263662285156</v>
      </c>
      <c r="AU183" s="41">
        <f>'3. Verotulot'!BL183/'Veroposentin tuotto'!O183</f>
        <v>1920.1248436608992</v>
      </c>
      <c r="AV183" s="41">
        <f>'3. Verotulot'!BQ183/'Veroposentin tuotto'!P183</f>
        <v>1985.1720418379775</v>
      </c>
      <c r="AX183" s="146"/>
      <c r="AZ183" s="34">
        <v>562</v>
      </c>
      <c r="BA183" s="88" t="s">
        <v>497</v>
      </c>
      <c r="BB183" s="41">
        <f>AI183/'1. Väestöennuste'!E183*1000</f>
        <v>137.5291030344722</v>
      </c>
      <c r="BC183" s="41">
        <f>AJ183/'1. Väestöennuste'!F183*1000</f>
        <v>140.93690876095602</v>
      </c>
      <c r="BD183" s="41">
        <f>AK183/'1. Väestöennuste'!G183*1000</f>
        <v>140.86747931659079</v>
      </c>
      <c r="BE183" s="41">
        <f>AL183/'1. Väestöennuste'!H183*1000</f>
        <v>138.54738689355327</v>
      </c>
      <c r="BF183" s="41">
        <f>AM183/'1. Väestöennuste'!I183*1000</f>
        <v>142.92521193591298</v>
      </c>
      <c r="BG183" s="41">
        <f>AN183/'1. Väestöennuste'!J183*1000</f>
        <v>153.88846278055871</v>
      </c>
      <c r="BH183" s="41">
        <f>AO183/'1. Väestöennuste'!K183*1000</f>
        <v>154.91957238907227</v>
      </c>
      <c r="BI183" s="41">
        <f>AP183/'1. Väestöennuste'!L183*1000</f>
        <v>165.06317846059926</v>
      </c>
      <c r="BJ183" s="41">
        <f>AQ183/'1. Väestöennuste'!M183*1000</f>
        <v>203.02172566123522</v>
      </c>
      <c r="BK183" s="41">
        <f>AR183/'1. Väestöennuste'!N183*1000</f>
        <v>195.99720809594049</v>
      </c>
      <c r="BL183" s="41">
        <f>AS183/'1. Väestöennuste'!O183*1000</f>
        <v>208.35050226607589</v>
      </c>
      <c r="BM183" s="41">
        <f>AT183/'1. Väestöennuste'!P183*1000</f>
        <v>218.16575380087954</v>
      </c>
      <c r="BN183" s="41">
        <f>AU183/'1. Väestöennuste'!Q183*1000</f>
        <v>226.42981646944565</v>
      </c>
      <c r="BO183" s="41">
        <f>AV183/'1. Väestöennuste'!R183*1000</f>
        <v>235.79665540301431</v>
      </c>
    </row>
    <row r="184" spans="1:67" x14ac:dyDescent="0.25">
      <c r="A184" s="30">
        <v>563</v>
      </c>
      <c r="B184" s="47" t="s">
        <v>498</v>
      </c>
      <c r="C184" s="47">
        <v>21.75</v>
      </c>
      <c r="D184" s="47">
        <v>21.75</v>
      </c>
      <c r="E184" s="47">
        <v>21.5</v>
      </c>
      <c r="F184" s="47">
        <v>21.5</v>
      </c>
      <c r="G184" s="47">
        <v>22</v>
      </c>
      <c r="H184" s="58">
        <v>22</v>
      </c>
      <c r="I184" s="139">
        <v>22</v>
      </c>
      <c r="J184" s="139">
        <v>22</v>
      </c>
      <c r="K184" s="139">
        <f t="shared" si="11"/>
        <v>9.36</v>
      </c>
      <c r="L184" s="139">
        <v>10</v>
      </c>
      <c r="M184" s="139">
        <f t="shared" si="13"/>
        <v>10</v>
      </c>
      <c r="N184" s="147">
        <f t="shared" si="13"/>
        <v>10</v>
      </c>
      <c r="O184" s="147">
        <f t="shared" si="13"/>
        <v>10</v>
      </c>
      <c r="P184" s="147">
        <f t="shared" si="13"/>
        <v>10</v>
      </c>
      <c r="Q184" s="147"/>
      <c r="S184" s="41">
        <f>'3. Verotulot'!D184*100/'Veroposentin tuotto'!C184</f>
        <v>102597.58377011493</v>
      </c>
      <c r="T184" s="41">
        <f>'3. Verotulot'!I184*100/'Veroposentin tuotto'!D184</f>
        <v>101388.50574712643</v>
      </c>
      <c r="U184" s="41">
        <f>'3. Verotulot'!N184*100/'Veroposentin tuotto'!E184</f>
        <v>99702.325581395344</v>
      </c>
      <c r="V184" s="41">
        <f>'3. Verotulot'!S184*100/'Veroposentin tuotto'!F184</f>
        <v>98474.41860465116</v>
      </c>
      <c r="W184" s="41">
        <f>'3. Verotulot'!X184*100/'Veroposentin tuotto'!G184</f>
        <v>99727.272727272721</v>
      </c>
      <c r="X184" s="41">
        <f>'3. Verotulot'!AC184*100/'Veroposentin tuotto'!H184</f>
        <v>102418.18181818182</v>
      </c>
      <c r="Y184" s="41">
        <f>'3. Verotulot'!AH184*100/'Veroposentin tuotto'!I184</f>
        <v>103682.34681818183</v>
      </c>
      <c r="Z184" s="41">
        <f>'3. Verotulot'!AM184*100/'Veroposentin tuotto'!J184</f>
        <v>106894.70631818181</v>
      </c>
      <c r="AA184" s="41">
        <f>'3. Verotulot'!AR184*100/'Veroposentin tuotto'!K184</f>
        <v>133538.32446581198</v>
      </c>
      <c r="AB184" s="41">
        <f>'3. Verotulot'!AW184*100/'Veroposentin tuotto'!L184</f>
        <v>125039.16333483106</v>
      </c>
      <c r="AC184" s="41">
        <f>'3. Verotulot'!BB184*100/'Veroposentin tuotto'!M184</f>
        <v>131165.1939889034</v>
      </c>
      <c r="AD184" s="41">
        <f>'3. Verotulot'!BG184*100/'Veroposentin tuotto'!N184</f>
        <v>136009.31711385527</v>
      </c>
      <c r="AE184" s="41">
        <f>'3. Verotulot'!BL184*100/'Veroposentin tuotto'!O184</f>
        <v>139274.61248526501</v>
      </c>
      <c r="AF184" s="41">
        <f>'3. Verotulot'!BQ184*100/'Veroposentin tuotto'!P184</f>
        <v>143102.10698330571</v>
      </c>
      <c r="AI184" s="41">
        <f>'3. Verotulot'!D184/'Veroposentin tuotto'!C184</f>
        <v>1025.9758377011492</v>
      </c>
      <c r="AJ184" s="41">
        <f>'3. Verotulot'!I184/'Veroposentin tuotto'!D184</f>
        <v>1013.8850574712644</v>
      </c>
      <c r="AK184" s="41">
        <f>'3. Verotulot'!N184/'Veroposentin tuotto'!E184</f>
        <v>997.02325581395348</v>
      </c>
      <c r="AL184" s="41">
        <f>'3. Verotulot'!S184/'Veroposentin tuotto'!F184</f>
        <v>984.74418604651157</v>
      </c>
      <c r="AM184" s="41">
        <f>'3. Verotulot'!X184/'Veroposentin tuotto'!G184</f>
        <v>997.27272727272725</v>
      </c>
      <c r="AN184" s="41">
        <f>'3. Verotulot'!AC184/'Veroposentin tuotto'!H184</f>
        <v>1024.1818181818182</v>
      </c>
      <c r="AO184" s="41">
        <f>'3. Verotulot'!AH184/'Veroposentin tuotto'!I184</f>
        <v>1036.8234681818183</v>
      </c>
      <c r="AP184" s="41">
        <f>'3. Verotulot'!AM184/'Veroposentin tuotto'!J184</f>
        <v>1068.9470631818183</v>
      </c>
      <c r="AQ184" s="41">
        <f>'3. Verotulot'!AR184/'Veroposentin tuotto'!K184</f>
        <v>1335.3832446581196</v>
      </c>
      <c r="AR184" s="41">
        <f>'3. Verotulot'!AW184/'Veroposentin tuotto'!L184</f>
        <v>1250.3916333483107</v>
      </c>
      <c r="AS184" s="41">
        <f>'3. Verotulot'!BB184/'Veroposentin tuotto'!M184</f>
        <v>1311.6519398890341</v>
      </c>
      <c r="AT184" s="41">
        <f>'3. Verotulot'!BG184/'Veroposentin tuotto'!N184</f>
        <v>1360.0931711385526</v>
      </c>
      <c r="AU184" s="41">
        <f>'3. Verotulot'!BL184/'Veroposentin tuotto'!O184</f>
        <v>1392.7461248526502</v>
      </c>
      <c r="AV184" s="41">
        <f>'3. Verotulot'!BQ184/'Veroposentin tuotto'!P184</f>
        <v>1431.021069833057</v>
      </c>
      <c r="AX184" s="146"/>
      <c r="AZ184" s="34">
        <v>563</v>
      </c>
      <c r="BA184" s="88" t="s">
        <v>498</v>
      </c>
      <c r="BB184" s="41">
        <f>AI184/'1. Väestöennuste'!E184*1000</f>
        <v>134.81942676756231</v>
      </c>
      <c r="BC184" s="41">
        <f>AJ184/'1. Väestöennuste'!F184*1000</f>
        <v>134.93279976993139</v>
      </c>
      <c r="BD184" s="41">
        <f>AK184/'1. Väestöennuste'!G184*1000</f>
        <v>133.43458991086101</v>
      </c>
      <c r="BE184" s="41">
        <f>AL184/'1. Väestöennuste'!H184*1000</f>
        <v>132.53622961595042</v>
      </c>
      <c r="BF184" s="41">
        <f>AM184/'1. Väestöennuste'!I184*1000</f>
        <v>136.83764095399661</v>
      </c>
      <c r="BG184" s="41">
        <f>AN184/'1. Väestöennuste'!J184*1000</f>
        <v>143.1421129534337</v>
      </c>
      <c r="BH184" s="41">
        <f>AO184/'1. Väestöennuste'!K184*1000</f>
        <v>145.99035034945342</v>
      </c>
      <c r="BI184" s="41">
        <f>AP184/'1. Väestöennuste'!L184*1000</f>
        <v>152.16328301520545</v>
      </c>
      <c r="BJ184" s="41">
        <f>AQ184/'1. Väestöennuste'!M184*1000</f>
        <v>191.37048504702202</v>
      </c>
      <c r="BK184" s="41">
        <f>AR184/'1. Väestöennuste'!N184*1000</f>
        <v>183.28813153742462</v>
      </c>
      <c r="BL184" s="41">
        <f>AS184/'1. Väestöennuste'!O184*1000</f>
        <v>194.54938295595284</v>
      </c>
      <c r="BM184" s="41">
        <f>AT184/'1. Väestöennuste'!P184*1000</f>
        <v>204.12624510559095</v>
      </c>
      <c r="BN184" s="41">
        <f>AU184/'1. Väestöennuste'!Q184*1000</f>
        <v>211.47071437179628</v>
      </c>
      <c r="BO184" s="41">
        <f>AV184/'1. Väestöennuste'!R184*1000</f>
        <v>219.71765236190035</v>
      </c>
    </row>
    <row r="185" spans="1:67" x14ac:dyDescent="0.25">
      <c r="A185" s="30">
        <v>564</v>
      </c>
      <c r="B185" s="47" t="s">
        <v>499</v>
      </c>
      <c r="C185" s="47">
        <v>20</v>
      </c>
      <c r="D185" s="47">
        <v>20</v>
      </c>
      <c r="E185" s="47">
        <v>20</v>
      </c>
      <c r="F185" s="47">
        <v>20</v>
      </c>
      <c r="G185" s="47">
        <v>20</v>
      </c>
      <c r="H185" s="58">
        <v>20</v>
      </c>
      <c r="I185" s="139">
        <v>20.5</v>
      </c>
      <c r="J185" s="139">
        <v>20.5</v>
      </c>
      <c r="K185" s="139">
        <f t="shared" si="11"/>
        <v>7.8599999999999994</v>
      </c>
      <c r="L185" s="139">
        <v>7.9</v>
      </c>
      <c r="M185" s="139">
        <f t="shared" si="13"/>
        <v>7.9</v>
      </c>
      <c r="N185" s="147">
        <f t="shared" si="13"/>
        <v>7.9</v>
      </c>
      <c r="O185" s="147">
        <f t="shared" si="13"/>
        <v>7.9</v>
      </c>
      <c r="P185" s="147">
        <f t="shared" si="13"/>
        <v>7.9</v>
      </c>
      <c r="Q185" s="147"/>
      <c r="S185" s="41">
        <f>'3. Verotulot'!D185*100/'Veroposentin tuotto'!C185</f>
        <v>3267088.8957500001</v>
      </c>
      <c r="T185" s="41">
        <f>'3. Verotulot'!I185*100/'Veroposentin tuotto'!D185</f>
        <v>3321670</v>
      </c>
      <c r="U185" s="41">
        <f>'3. Verotulot'!N185*100/'Veroposentin tuotto'!E185</f>
        <v>3329310</v>
      </c>
      <c r="V185" s="41">
        <f>'3. Verotulot'!S185*100/'Veroposentin tuotto'!F185</f>
        <v>3325030</v>
      </c>
      <c r="W185" s="41">
        <f>'3. Verotulot'!X185*100/'Veroposentin tuotto'!G185</f>
        <v>3471810</v>
      </c>
      <c r="X185" s="41">
        <f>'3. Verotulot'!AC185*100/'Veroposentin tuotto'!H185</f>
        <v>3622555</v>
      </c>
      <c r="Y185" s="41">
        <f>'3. Verotulot'!AH185*100/'Veroposentin tuotto'!I185</f>
        <v>3758815.3206341462</v>
      </c>
      <c r="Z185" s="41">
        <f>'3. Verotulot'!AM185*100/'Veroposentin tuotto'!J185</f>
        <v>3975543.0571219516</v>
      </c>
      <c r="AA185" s="41">
        <f>'3. Verotulot'!AR185*100/'Veroposentin tuotto'!K185</f>
        <v>5140077.7949109422</v>
      </c>
      <c r="AB185" s="41">
        <f>'3. Verotulot'!AW185*100/'Veroposentin tuotto'!L185</f>
        <v>4828691.3316275831</v>
      </c>
      <c r="AC185" s="41">
        <f>'3. Verotulot'!BB185*100/'Veroposentin tuotto'!M185</f>
        <v>5137138.7651648736</v>
      </c>
      <c r="AD185" s="41">
        <f>'3. Verotulot'!BG185*100/'Veroposentin tuotto'!N185</f>
        <v>5425477.7514285017</v>
      </c>
      <c r="AE185" s="41">
        <f>'3. Verotulot'!BL185*100/'Veroposentin tuotto'!O185</f>
        <v>5676697.9633335648</v>
      </c>
      <c r="AF185" s="41">
        <f>'3. Verotulot'!BQ185*100/'Veroposentin tuotto'!P185</f>
        <v>5955957.1921430705</v>
      </c>
      <c r="AI185" s="41">
        <f>'3. Verotulot'!D185/'Veroposentin tuotto'!C185</f>
        <v>32670.888957499999</v>
      </c>
      <c r="AJ185" s="41">
        <f>'3. Verotulot'!I185/'Veroposentin tuotto'!D185</f>
        <v>33216.699999999997</v>
      </c>
      <c r="AK185" s="41">
        <f>'3. Verotulot'!N185/'Veroposentin tuotto'!E185</f>
        <v>33293.1</v>
      </c>
      <c r="AL185" s="41">
        <f>'3. Verotulot'!S185/'Veroposentin tuotto'!F185</f>
        <v>33250.300000000003</v>
      </c>
      <c r="AM185" s="41">
        <f>'3. Verotulot'!X185/'Veroposentin tuotto'!G185</f>
        <v>34718.1</v>
      </c>
      <c r="AN185" s="41">
        <f>'3. Verotulot'!AC185/'Veroposentin tuotto'!H185</f>
        <v>36225.550000000003</v>
      </c>
      <c r="AO185" s="41">
        <f>'3. Verotulot'!AH185/'Veroposentin tuotto'!I185</f>
        <v>37588.153206341463</v>
      </c>
      <c r="AP185" s="41">
        <f>'3. Verotulot'!AM185/'Veroposentin tuotto'!J185</f>
        <v>39755.430571219513</v>
      </c>
      <c r="AQ185" s="41">
        <f>'3. Verotulot'!AR185/'Veroposentin tuotto'!K185</f>
        <v>51400.777949109419</v>
      </c>
      <c r="AR185" s="41">
        <f>'3. Verotulot'!AW185/'Veroposentin tuotto'!L185</f>
        <v>48286.913316275823</v>
      </c>
      <c r="AS185" s="41">
        <f>'3. Verotulot'!BB185/'Veroposentin tuotto'!M185</f>
        <v>51371.387651648743</v>
      </c>
      <c r="AT185" s="41">
        <f>'3. Verotulot'!BG185/'Veroposentin tuotto'!N185</f>
        <v>54254.777514285022</v>
      </c>
      <c r="AU185" s="41">
        <f>'3. Verotulot'!BL185/'Veroposentin tuotto'!O185</f>
        <v>56766.97963333565</v>
      </c>
      <c r="AV185" s="41">
        <f>'3. Verotulot'!BQ185/'Veroposentin tuotto'!P185</f>
        <v>59559.57192143071</v>
      </c>
      <c r="AX185" s="146"/>
      <c r="AZ185" s="34">
        <v>564</v>
      </c>
      <c r="BA185" s="88" t="s">
        <v>499</v>
      </c>
      <c r="BB185" s="41">
        <f>AI185/'1. Väestöennuste'!E185*1000</f>
        <v>164.56813478151366</v>
      </c>
      <c r="BC185" s="41">
        <f>AJ185/'1. Väestöennuste'!F185*1000</f>
        <v>165.64784616458712</v>
      </c>
      <c r="BD185" s="41">
        <f>AK185/'1. Väestöennuste'!G185*1000</f>
        <v>164.97249888508995</v>
      </c>
      <c r="BE185" s="41">
        <f>AL185/'1. Väestöennuste'!H185*1000</f>
        <v>163.33836034327766</v>
      </c>
      <c r="BF185" s="41">
        <f>AM185/'1. Väestöennuste'!I185*1000</f>
        <v>168.95356929081362</v>
      </c>
      <c r="BG185" s="41">
        <f>AN185/'1. Väestöennuste'!J185*1000</f>
        <v>174.72663955972934</v>
      </c>
      <c r="BH185" s="41">
        <f>AO185/'1. Väestöennuste'!K185*1000</f>
        <v>179.37472599196121</v>
      </c>
      <c r="BI185" s="41">
        <f>AP185/'1. Väestöennuste'!L185*1000</f>
        <v>187.6601646993104</v>
      </c>
      <c r="BJ185" s="41">
        <f>AQ185/'1. Väestöennuste'!M185*1000</f>
        <v>239.48217631542875</v>
      </c>
      <c r="BK185" s="41">
        <f>AR185/'1. Väestöennuste'!N185*1000</f>
        <v>224.7000317190992</v>
      </c>
      <c r="BL185" s="41">
        <f>AS185/'1. Väestöennuste'!O185*1000</f>
        <v>237.28014028410374</v>
      </c>
      <c r="BM185" s="41">
        <f>AT185/'1. Väestöennuste'!P185*1000</f>
        <v>248.85457858656176</v>
      </c>
      <c r="BN185" s="41">
        <f>AU185/'1. Väestöennuste'!Q185*1000</f>
        <v>258.65956290876784</v>
      </c>
      <c r="BO185" s="41">
        <f>AV185/'1. Väestöennuste'!R185*1000</f>
        <v>269.68703184299858</v>
      </c>
    </row>
    <row r="186" spans="1:67" x14ac:dyDescent="0.25">
      <c r="A186" s="30">
        <v>576</v>
      </c>
      <c r="B186" s="47" t="s">
        <v>500</v>
      </c>
      <c r="C186" s="47">
        <v>21</v>
      </c>
      <c r="D186" s="47">
        <v>21</v>
      </c>
      <c r="E186" s="47">
        <v>21</v>
      </c>
      <c r="F186" s="47">
        <v>21</v>
      </c>
      <c r="G186" s="47">
        <v>21</v>
      </c>
      <c r="H186" s="58">
        <v>21</v>
      </c>
      <c r="I186" s="139">
        <v>21</v>
      </c>
      <c r="J186" s="139">
        <v>21</v>
      </c>
      <c r="K186" s="139">
        <f t="shared" si="11"/>
        <v>8.36</v>
      </c>
      <c r="L186" s="139">
        <v>8.4</v>
      </c>
      <c r="M186" s="139">
        <f t="shared" si="13"/>
        <v>8.4</v>
      </c>
      <c r="N186" s="147">
        <f t="shared" si="13"/>
        <v>8.4</v>
      </c>
      <c r="O186" s="147">
        <f t="shared" si="13"/>
        <v>8.4</v>
      </c>
      <c r="P186" s="147">
        <f t="shared" si="13"/>
        <v>8.4</v>
      </c>
      <c r="Q186" s="147"/>
      <c r="S186" s="41">
        <f>'3. Verotulot'!D186*100/'Veroposentin tuotto'!C186</f>
        <v>39506.843428571432</v>
      </c>
      <c r="T186" s="41">
        <f>'3. Verotulot'!I186*100/'Veroposentin tuotto'!D186</f>
        <v>40119.047619047618</v>
      </c>
      <c r="U186" s="41">
        <f>'3. Verotulot'!N186*100/'Veroposentin tuotto'!E186</f>
        <v>37990.476190476191</v>
      </c>
      <c r="V186" s="41">
        <f>'3. Verotulot'!S186*100/'Veroposentin tuotto'!F186</f>
        <v>38695.238095238092</v>
      </c>
      <c r="W186" s="41">
        <f>'3. Verotulot'!X186*100/'Veroposentin tuotto'!G186</f>
        <v>36357.142857142855</v>
      </c>
      <c r="X186" s="41">
        <f>'3. Verotulot'!AC186*100/'Veroposentin tuotto'!H186</f>
        <v>38552.380952380954</v>
      </c>
      <c r="Y186" s="41">
        <f>'3. Verotulot'!AH186*100/'Veroposentin tuotto'!I186</f>
        <v>39265.041666666664</v>
      </c>
      <c r="Z186" s="41">
        <f>'3. Verotulot'!AM186*100/'Veroposentin tuotto'!J186</f>
        <v>39934.569714285717</v>
      </c>
      <c r="AA186" s="41">
        <f>'3. Verotulot'!AR186*100/'Veroposentin tuotto'!K186</f>
        <v>43954.248684210535</v>
      </c>
      <c r="AB186" s="41">
        <f>'3. Verotulot'!AW186*100/'Veroposentin tuotto'!L186</f>
        <v>45110.753802765459</v>
      </c>
      <c r="AC186" s="41">
        <f>'3. Verotulot'!BB186*100/'Veroposentin tuotto'!M186</f>
        <v>46751.606021686472</v>
      </c>
      <c r="AD186" s="41">
        <f>'3. Verotulot'!BG186*100/'Veroposentin tuotto'!N186</f>
        <v>47725.717676129338</v>
      </c>
      <c r="AE186" s="41">
        <f>'3. Verotulot'!BL186*100/'Veroposentin tuotto'!O186</f>
        <v>48704.185659300281</v>
      </c>
      <c r="AF186" s="41">
        <f>'3. Verotulot'!BQ186*100/'Veroposentin tuotto'!P186</f>
        <v>49971.872256583672</v>
      </c>
      <c r="AI186" s="41">
        <f>'3. Verotulot'!D186/'Veroposentin tuotto'!C186</f>
        <v>395.06843428571432</v>
      </c>
      <c r="AJ186" s="41">
        <f>'3. Verotulot'!I186/'Veroposentin tuotto'!D186</f>
        <v>401.1904761904762</v>
      </c>
      <c r="AK186" s="41">
        <f>'3. Verotulot'!N186/'Veroposentin tuotto'!E186</f>
        <v>379.90476190476193</v>
      </c>
      <c r="AL186" s="41">
        <f>'3. Verotulot'!S186/'Veroposentin tuotto'!F186</f>
        <v>386.95238095238096</v>
      </c>
      <c r="AM186" s="41">
        <f>'3. Verotulot'!X186/'Veroposentin tuotto'!G186</f>
        <v>363.57142857142856</v>
      </c>
      <c r="AN186" s="41">
        <f>'3. Verotulot'!AC186/'Veroposentin tuotto'!H186</f>
        <v>385.52380952380952</v>
      </c>
      <c r="AO186" s="41">
        <f>'3. Verotulot'!AH186/'Veroposentin tuotto'!I186</f>
        <v>392.65041666666667</v>
      </c>
      <c r="AP186" s="41">
        <f>'3. Verotulot'!AM186/'Veroposentin tuotto'!J186</f>
        <v>399.34569714285715</v>
      </c>
      <c r="AQ186" s="41">
        <f>'3. Verotulot'!AR186/'Veroposentin tuotto'!K186</f>
        <v>439.54248684210529</v>
      </c>
      <c r="AR186" s="41">
        <f>'3. Verotulot'!AW186/'Veroposentin tuotto'!L186</f>
        <v>451.10753802765458</v>
      </c>
      <c r="AS186" s="41">
        <f>'3. Verotulot'!BB186/'Veroposentin tuotto'!M186</f>
        <v>467.51606021686473</v>
      </c>
      <c r="AT186" s="41">
        <f>'3. Verotulot'!BG186/'Veroposentin tuotto'!N186</f>
        <v>477.25717676129341</v>
      </c>
      <c r="AU186" s="41">
        <f>'3. Verotulot'!BL186/'Veroposentin tuotto'!O186</f>
        <v>487.04185659300276</v>
      </c>
      <c r="AV186" s="41">
        <f>'3. Verotulot'!BQ186/'Veroposentin tuotto'!P186</f>
        <v>499.71872256583674</v>
      </c>
      <c r="AX186" s="146"/>
      <c r="AZ186" s="34">
        <v>576</v>
      </c>
      <c r="BA186" s="88" t="s">
        <v>500</v>
      </c>
      <c r="BB186" s="41">
        <f>AI186/'1. Väestöennuste'!E186*1000</f>
        <v>125.69787918730968</v>
      </c>
      <c r="BC186" s="41">
        <f>AJ186/'1. Väestöennuste'!F186*1000</f>
        <v>130.55336029628253</v>
      </c>
      <c r="BD186" s="41">
        <f>AK186/'1. Väestöennuste'!G186*1000</f>
        <v>125.5053722843614</v>
      </c>
      <c r="BE186" s="41">
        <f>AL186/'1. Väestöennuste'!H186*1000</f>
        <v>130.59479613647687</v>
      </c>
      <c r="BF186" s="41">
        <f>AM186/'1. Väestöennuste'!I186*1000</f>
        <v>125.54262036306235</v>
      </c>
      <c r="BG186" s="41">
        <f>AN186/'1. Väestöennuste'!J186*1000</f>
        <v>134.7514189177943</v>
      </c>
      <c r="BH186" s="41">
        <f>AO186/'1. Väestöennuste'!K186*1000</f>
        <v>139.58422206422563</v>
      </c>
      <c r="BI186" s="41">
        <f>AP186/'1. Väestöennuste'!L186*1000</f>
        <v>145.21661714285713</v>
      </c>
      <c r="BJ186" s="41">
        <f>AQ186/'1. Väestöennuste'!M186*1000</f>
        <v>161.24082422674442</v>
      </c>
      <c r="BK186" s="41">
        <f>AR186/'1. Väestöennuste'!N186*1000</f>
        <v>168.3237082192741</v>
      </c>
      <c r="BL186" s="41">
        <f>AS186/'1. Väestöennuste'!O186*1000</f>
        <v>176.95535965816228</v>
      </c>
      <c r="BM186" s="41">
        <f>AT186/'1. Väestöennuste'!P186*1000</f>
        <v>183.13782684623692</v>
      </c>
      <c r="BN186" s="41">
        <f>AU186/'1. Väestöennuste'!Q186*1000</f>
        <v>189.3630857671084</v>
      </c>
      <c r="BO186" s="41">
        <f>AV186/'1. Väestöennuste'!R186*1000</f>
        <v>196.81714161710781</v>
      </c>
    </row>
    <row r="187" spans="1:67" x14ac:dyDescent="0.25">
      <c r="A187" s="30">
        <v>577</v>
      </c>
      <c r="B187" s="47" t="s">
        <v>501</v>
      </c>
      <c r="C187" s="47">
        <v>20.75</v>
      </c>
      <c r="D187" s="47">
        <v>20.75</v>
      </c>
      <c r="E187" s="47">
        <v>20.75</v>
      </c>
      <c r="F187" s="47">
        <v>20.75</v>
      </c>
      <c r="G187" s="47">
        <v>20.75</v>
      </c>
      <c r="H187" s="58">
        <v>20.75</v>
      </c>
      <c r="I187" s="139">
        <v>20.75</v>
      </c>
      <c r="J187" s="139">
        <v>20.75</v>
      </c>
      <c r="K187" s="139">
        <f t="shared" si="11"/>
        <v>8.11</v>
      </c>
      <c r="L187" s="139">
        <v>8.1999999999999993</v>
      </c>
      <c r="M187" s="139">
        <f t="shared" si="13"/>
        <v>8.1999999999999993</v>
      </c>
      <c r="N187" s="147">
        <f t="shared" si="13"/>
        <v>8.1999999999999993</v>
      </c>
      <c r="O187" s="147">
        <f t="shared" si="13"/>
        <v>8.1999999999999993</v>
      </c>
      <c r="P187" s="147">
        <f t="shared" si="13"/>
        <v>8.1999999999999993</v>
      </c>
      <c r="Q187" s="147"/>
      <c r="S187" s="41">
        <f>'3. Verotulot'!D187*100/'Veroposentin tuotto'!C187</f>
        <v>179048.59537349397</v>
      </c>
      <c r="T187" s="41">
        <f>'3. Verotulot'!I187*100/'Veroposentin tuotto'!D187</f>
        <v>187821.68674698795</v>
      </c>
      <c r="U187" s="41">
        <f>'3. Verotulot'!N187*100/'Veroposentin tuotto'!E187</f>
        <v>184559.03614457831</v>
      </c>
      <c r="V187" s="41">
        <f>'3. Verotulot'!S187*100/'Veroposentin tuotto'!F187</f>
        <v>180269.8795180723</v>
      </c>
      <c r="W187" s="41">
        <f>'3. Verotulot'!X187*100/'Veroposentin tuotto'!G187</f>
        <v>191840.96385542169</v>
      </c>
      <c r="X187" s="41">
        <f>'3. Verotulot'!AC187*100/'Veroposentin tuotto'!H187</f>
        <v>195113.2530120482</v>
      </c>
      <c r="Y187" s="41">
        <f>'3. Verotulot'!AH187*100/'Veroposentin tuotto'!I187</f>
        <v>199266.08245783133</v>
      </c>
      <c r="Z187" s="41">
        <f>'3. Verotulot'!AM187*100/'Veroposentin tuotto'!J187</f>
        <v>209895.9590361446</v>
      </c>
      <c r="AA187" s="41">
        <f>'3. Verotulot'!AR187*100/'Veroposentin tuotto'!K187</f>
        <v>269807.23514180031</v>
      </c>
      <c r="AB187" s="41">
        <f>'3. Verotulot'!AW187*100/'Veroposentin tuotto'!L187</f>
        <v>255819.21427614335</v>
      </c>
      <c r="AC187" s="41">
        <f>'3. Verotulot'!BB187*100/'Veroposentin tuotto'!M187</f>
        <v>273424.43165693275</v>
      </c>
      <c r="AD187" s="41">
        <f>'3. Verotulot'!BG187*100/'Veroposentin tuotto'!N187</f>
        <v>288701.43367607985</v>
      </c>
      <c r="AE187" s="41">
        <f>'3. Verotulot'!BL187*100/'Veroposentin tuotto'!O187</f>
        <v>301334.82394098374</v>
      </c>
      <c r="AF187" s="41">
        <f>'3. Verotulot'!BQ187*100/'Veroposentin tuotto'!P187</f>
        <v>315265.34437791625</v>
      </c>
      <c r="AI187" s="41">
        <f>'3. Verotulot'!D187/'Veroposentin tuotto'!C187</f>
        <v>1790.4859537349398</v>
      </c>
      <c r="AJ187" s="41">
        <f>'3. Verotulot'!I187/'Veroposentin tuotto'!D187</f>
        <v>1878.2168674698796</v>
      </c>
      <c r="AK187" s="41">
        <f>'3. Verotulot'!N187/'Veroposentin tuotto'!E187</f>
        <v>1845.5903614457832</v>
      </c>
      <c r="AL187" s="41">
        <f>'3. Verotulot'!S187/'Veroposentin tuotto'!F187</f>
        <v>1802.698795180723</v>
      </c>
      <c r="AM187" s="41">
        <f>'3. Verotulot'!X187/'Veroposentin tuotto'!G187</f>
        <v>1918.4096385542168</v>
      </c>
      <c r="AN187" s="41">
        <f>'3. Verotulot'!AC187/'Veroposentin tuotto'!H187</f>
        <v>1951.132530120482</v>
      </c>
      <c r="AO187" s="41">
        <f>'3. Verotulot'!AH187/'Veroposentin tuotto'!I187</f>
        <v>1992.6608245783132</v>
      </c>
      <c r="AP187" s="41">
        <f>'3. Verotulot'!AM187/'Veroposentin tuotto'!J187</f>
        <v>2098.9595903614459</v>
      </c>
      <c r="AQ187" s="41">
        <f>'3. Verotulot'!AR187/'Veroposentin tuotto'!K187</f>
        <v>2698.0723514180027</v>
      </c>
      <c r="AR187" s="41">
        <f>'3. Verotulot'!AW187/'Veroposentin tuotto'!L187</f>
        <v>2558.1921427614338</v>
      </c>
      <c r="AS187" s="41">
        <f>'3. Verotulot'!BB187/'Veroposentin tuotto'!M187</f>
        <v>2734.2443165693276</v>
      </c>
      <c r="AT187" s="41">
        <f>'3. Verotulot'!BG187/'Veroposentin tuotto'!N187</f>
        <v>2887.0143367607984</v>
      </c>
      <c r="AU187" s="41">
        <f>'3. Verotulot'!BL187/'Veroposentin tuotto'!O187</f>
        <v>3013.3482394098378</v>
      </c>
      <c r="AV187" s="41">
        <f>'3. Verotulot'!BQ187/'Veroposentin tuotto'!P187</f>
        <v>3152.6534437791624</v>
      </c>
      <c r="AX187" s="146"/>
      <c r="AZ187" s="34">
        <v>577</v>
      </c>
      <c r="BA187" s="88" t="s">
        <v>501</v>
      </c>
      <c r="BB187" s="41">
        <f>AI187/'1. Väestöennuste'!E187*1000</f>
        <v>168.59566419349716</v>
      </c>
      <c r="BC187" s="41">
        <f>AJ187/'1. Väestöennuste'!F187*1000</f>
        <v>175.3212795173975</v>
      </c>
      <c r="BD187" s="41">
        <f>AK187/'1. Väestöennuste'!G187*1000</f>
        <v>172.00282958488194</v>
      </c>
      <c r="BE187" s="41">
        <f>AL187/'1. Väestöennuste'!H187*1000</f>
        <v>166.42344859497075</v>
      </c>
      <c r="BF187" s="41">
        <f>AM187/'1. Väestöennuste'!I187*1000</f>
        <v>176.81194825384486</v>
      </c>
      <c r="BG187" s="41">
        <f>AN187/'1. Väestöennuste'!J187*1000</f>
        <v>178.64242172866525</v>
      </c>
      <c r="BH187" s="41">
        <f>AO187/'1. Väestöennuste'!K187*1000</f>
        <v>180.47829223605771</v>
      </c>
      <c r="BI187" s="41">
        <f>AP187/'1. Väestöennuste'!L187*1000</f>
        <v>188.45031337416466</v>
      </c>
      <c r="BJ187" s="41">
        <f>AQ187/'1. Väestöennuste'!M187*1000</f>
        <v>240.12747876628717</v>
      </c>
      <c r="BK187" s="41">
        <f>AR187/'1. Väestöennuste'!N187*1000</f>
        <v>229.9912022621086</v>
      </c>
      <c r="BL187" s="41">
        <f>AS187/'1. Väestöennuste'!O187*1000</f>
        <v>244.71890419487403</v>
      </c>
      <c r="BM187" s="41">
        <f>AT187/'1. Väestöennuste'!P187*1000</f>
        <v>257.3096556827806</v>
      </c>
      <c r="BN187" s="41">
        <f>AU187/'1. Väestöennuste'!Q187*1000</f>
        <v>267.54401486369869</v>
      </c>
      <c r="BO187" s="41">
        <f>AV187/'1. Väestöennuste'!R187*1000</f>
        <v>278.99587998045683</v>
      </c>
    </row>
    <row r="188" spans="1:67" x14ac:dyDescent="0.25">
      <c r="A188" s="32">
        <v>578</v>
      </c>
      <c r="B188" s="47" t="s">
        <v>502</v>
      </c>
      <c r="C188" s="47">
        <v>22</v>
      </c>
      <c r="D188" s="47">
        <v>22</v>
      </c>
      <c r="E188" s="47">
        <v>22</v>
      </c>
      <c r="F188" s="47">
        <v>22</v>
      </c>
      <c r="G188" s="47">
        <v>22</v>
      </c>
      <c r="H188" s="58">
        <v>22</v>
      </c>
      <c r="I188" s="139">
        <v>22</v>
      </c>
      <c r="J188" s="139">
        <v>22</v>
      </c>
      <c r="K188" s="139">
        <f t="shared" si="11"/>
        <v>9.36</v>
      </c>
      <c r="L188" s="139">
        <v>9.4</v>
      </c>
      <c r="M188" s="139">
        <f t="shared" si="13"/>
        <v>9.4</v>
      </c>
      <c r="N188" s="147">
        <f t="shared" si="13"/>
        <v>9.4</v>
      </c>
      <c r="O188" s="147">
        <f t="shared" si="13"/>
        <v>9.4</v>
      </c>
      <c r="P188" s="147">
        <f t="shared" si="13"/>
        <v>9.4</v>
      </c>
      <c r="Q188" s="147"/>
      <c r="S188" s="41">
        <f>'3. Verotulot'!D188*100/'Veroposentin tuotto'!C188</f>
        <v>43212.483454545451</v>
      </c>
      <c r="T188" s="41">
        <f>'3. Verotulot'!I188*100/'Veroposentin tuotto'!D188</f>
        <v>42077.272727272728</v>
      </c>
      <c r="U188" s="41">
        <f>'3. Verotulot'!N188*100/'Veroposentin tuotto'!E188</f>
        <v>42527.272727272728</v>
      </c>
      <c r="V188" s="41">
        <f>'3. Verotulot'!S188*100/'Veroposentin tuotto'!F188</f>
        <v>40054.545454545456</v>
      </c>
      <c r="W188" s="41">
        <f>'3. Verotulot'!X188*100/'Veroposentin tuotto'!G188</f>
        <v>42422.727272727272</v>
      </c>
      <c r="X188" s="41">
        <f>'3. Verotulot'!AC188*100/'Veroposentin tuotto'!H188</f>
        <v>42804.545454545456</v>
      </c>
      <c r="Y188" s="41">
        <f>'3. Verotulot'!AH188*100/'Veroposentin tuotto'!I188</f>
        <v>43139.37840909091</v>
      </c>
      <c r="Z188" s="41">
        <f>'3. Verotulot'!AM188*100/'Veroposentin tuotto'!J188</f>
        <v>46616.465318181814</v>
      </c>
      <c r="AA188" s="41">
        <f>'3. Verotulot'!AR188*100/'Veroposentin tuotto'!K188</f>
        <v>52319.57596153846</v>
      </c>
      <c r="AB188" s="41">
        <f>'3. Verotulot'!AW188*100/'Veroposentin tuotto'!L188</f>
        <v>51477.667656620972</v>
      </c>
      <c r="AC188" s="41">
        <f>'3. Verotulot'!BB188*100/'Veroposentin tuotto'!M188</f>
        <v>54129.982306445854</v>
      </c>
      <c r="AD188" s="41">
        <f>'3. Verotulot'!BG188*100/'Veroposentin tuotto'!N188</f>
        <v>55757.538224584423</v>
      </c>
      <c r="AE188" s="41">
        <f>'3. Verotulot'!BL188*100/'Veroposentin tuotto'!O188</f>
        <v>57135.994342690123</v>
      </c>
      <c r="AF188" s="41">
        <f>'3. Verotulot'!BQ188*100/'Veroposentin tuotto'!P188</f>
        <v>58773.945959669181</v>
      </c>
      <c r="AI188" s="41">
        <f>'3. Verotulot'!D188/'Veroposentin tuotto'!C188</f>
        <v>432.12483454545452</v>
      </c>
      <c r="AJ188" s="41">
        <f>'3. Verotulot'!I188/'Veroposentin tuotto'!D188</f>
        <v>420.77272727272725</v>
      </c>
      <c r="AK188" s="41">
        <f>'3. Verotulot'!N188/'Veroposentin tuotto'!E188</f>
        <v>425.27272727272725</v>
      </c>
      <c r="AL188" s="41">
        <f>'3. Verotulot'!S188/'Veroposentin tuotto'!F188</f>
        <v>400.54545454545456</v>
      </c>
      <c r="AM188" s="41">
        <f>'3. Verotulot'!X188/'Veroposentin tuotto'!G188</f>
        <v>424.22727272727275</v>
      </c>
      <c r="AN188" s="41">
        <f>'3. Verotulot'!AC188/'Veroposentin tuotto'!H188</f>
        <v>428.04545454545456</v>
      </c>
      <c r="AO188" s="41">
        <f>'3. Verotulot'!AH188/'Veroposentin tuotto'!I188</f>
        <v>431.39378409090909</v>
      </c>
      <c r="AP188" s="41">
        <f>'3. Verotulot'!AM188/'Veroposentin tuotto'!J188</f>
        <v>466.16465318181815</v>
      </c>
      <c r="AQ188" s="41">
        <f>'3. Verotulot'!AR188/'Veroposentin tuotto'!K188</f>
        <v>523.19575961538465</v>
      </c>
      <c r="AR188" s="41">
        <f>'3. Verotulot'!AW188/'Veroposentin tuotto'!L188</f>
        <v>514.77667656620974</v>
      </c>
      <c r="AS188" s="41">
        <f>'3. Verotulot'!BB188/'Veroposentin tuotto'!M188</f>
        <v>541.29982306445856</v>
      </c>
      <c r="AT188" s="41">
        <f>'3. Verotulot'!BG188/'Veroposentin tuotto'!N188</f>
        <v>557.57538224584425</v>
      </c>
      <c r="AU188" s="41">
        <f>'3. Verotulot'!BL188/'Veroposentin tuotto'!O188</f>
        <v>571.35994342690117</v>
      </c>
      <c r="AV188" s="41">
        <f>'3. Verotulot'!BQ188/'Veroposentin tuotto'!P188</f>
        <v>587.73945959669186</v>
      </c>
      <c r="AX188" s="146"/>
      <c r="AZ188" s="34">
        <v>578</v>
      </c>
      <c r="BA188" s="88" t="s">
        <v>502</v>
      </c>
      <c r="BB188" s="41">
        <f>AI188/'1. Väestöennuste'!E188*1000</f>
        <v>123.88900072977481</v>
      </c>
      <c r="BC188" s="41">
        <f>AJ188/'1. Väestöennuste'!F188*1000</f>
        <v>120.53071534595452</v>
      </c>
      <c r="BD188" s="41">
        <f>AK188/'1. Väestöennuste'!G188*1000</f>
        <v>123.8057430197168</v>
      </c>
      <c r="BE188" s="41">
        <f>AL188/'1. Väestöennuste'!H188*1000</f>
        <v>120.06758229779813</v>
      </c>
      <c r="BF188" s="41">
        <f>AM188/'1. Väestöennuste'!I188*1000</f>
        <v>129.61419881676528</v>
      </c>
      <c r="BG188" s="41">
        <f>AN188/'1. Väestöennuste'!J188*1000</f>
        <v>132.31698749473091</v>
      </c>
      <c r="BH188" s="41">
        <f>AO188/'1. Väestöennuste'!K188*1000</f>
        <v>135.53056364778794</v>
      </c>
      <c r="BI188" s="41">
        <f>AP188/'1. Väestöennuste'!L188*1000</f>
        <v>150.37569457478006</v>
      </c>
      <c r="BJ188" s="41">
        <f>AQ188/'1. Väestöennuste'!M188*1000</f>
        <v>172.27387540842432</v>
      </c>
      <c r="BK188" s="41">
        <f>AR188/'1. Väestöennuste'!N188*1000</f>
        <v>168.66863583427579</v>
      </c>
      <c r="BL188" s="41">
        <f>AS188/'1. Väestöennuste'!O188*1000</f>
        <v>179.71441668806725</v>
      </c>
      <c r="BM188" s="41">
        <f>AT188/'1. Väestöennuste'!P188*1000</f>
        <v>187.48331615529395</v>
      </c>
      <c r="BN188" s="41">
        <f>AU188/'1. Väestöennuste'!Q188*1000</f>
        <v>194.4724109689929</v>
      </c>
      <c r="BO188" s="41">
        <f>AV188/'1. Väestöennuste'!R188*1000</f>
        <v>202.45933847629757</v>
      </c>
    </row>
    <row r="189" spans="1:67" x14ac:dyDescent="0.25">
      <c r="A189" s="30">
        <v>580</v>
      </c>
      <c r="B189" s="47" t="s">
        <v>503</v>
      </c>
      <c r="C189" s="47">
        <v>19.5</v>
      </c>
      <c r="D189" s="47">
        <v>19.5</v>
      </c>
      <c r="E189" s="47">
        <v>19.5</v>
      </c>
      <c r="F189" s="47">
        <v>19.5</v>
      </c>
      <c r="G189" s="47">
        <v>19.5</v>
      </c>
      <c r="H189" s="58">
        <v>20.5</v>
      </c>
      <c r="I189" s="139">
        <v>20.5</v>
      </c>
      <c r="J189" s="139">
        <v>21.5</v>
      </c>
      <c r="K189" s="139">
        <f t="shared" si="11"/>
        <v>8.86</v>
      </c>
      <c r="L189" s="139">
        <v>9.5</v>
      </c>
      <c r="M189" s="139">
        <f t="shared" si="13"/>
        <v>9.5</v>
      </c>
      <c r="N189" s="147">
        <f t="shared" si="13"/>
        <v>9.5</v>
      </c>
      <c r="O189" s="147">
        <f t="shared" si="13"/>
        <v>9.5</v>
      </c>
      <c r="P189" s="147">
        <f t="shared" si="13"/>
        <v>9.5</v>
      </c>
      <c r="Q189" s="147"/>
      <c r="S189" s="41">
        <f>'3. Verotulot'!D189*100/'Veroposentin tuotto'!C189</f>
        <v>68961.67338461538</v>
      </c>
      <c r="T189" s="41">
        <f>'3. Verotulot'!I189*100/'Veroposentin tuotto'!D189</f>
        <v>66615.38461538461</v>
      </c>
      <c r="U189" s="41">
        <f>'3. Verotulot'!N189*100/'Veroposentin tuotto'!E189</f>
        <v>65302.564102564102</v>
      </c>
      <c r="V189" s="41">
        <f>'3. Verotulot'!S189*100/'Veroposentin tuotto'!F189</f>
        <v>61974.358974358976</v>
      </c>
      <c r="W189" s="41">
        <f>'3. Verotulot'!X189*100/'Veroposentin tuotto'!G189</f>
        <v>62882.051282051281</v>
      </c>
      <c r="X189" s="41">
        <f>'3. Verotulot'!AC189*100/'Veroposentin tuotto'!H189</f>
        <v>62873.170731707316</v>
      </c>
      <c r="Y189" s="41">
        <f>'3. Verotulot'!AH189*100/'Veroposentin tuotto'!I189</f>
        <v>68262.192536585368</v>
      </c>
      <c r="Z189" s="41">
        <f>'3. Verotulot'!AM189*100/'Veroposentin tuotto'!J189</f>
        <v>66216.688744186045</v>
      </c>
      <c r="AA189" s="41">
        <f>'3. Verotulot'!AR189*100/'Veroposentin tuotto'!K189</f>
        <v>79587.151467268632</v>
      </c>
      <c r="AB189" s="41">
        <f>'3. Verotulot'!AW189*100/'Veroposentin tuotto'!L189</f>
        <v>74872.28140288002</v>
      </c>
      <c r="AC189" s="41">
        <f>'3. Verotulot'!BB189*100/'Veroposentin tuotto'!M189</f>
        <v>77369.68651567545</v>
      </c>
      <c r="AD189" s="41">
        <f>'3. Verotulot'!BG189*100/'Veroposentin tuotto'!N189</f>
        <v>78585.472773881207</v>
      </c>
      <c r="AE189" s="41">
        <f>'3. Verotulot'!BL189*100/'Veroposentin tuotto'!O189</f>
        <v>79363.016750509531</v>
      </c>
      <c r="AF189" s="41">
        <f>'3. Verotulot'!BQ189*100/'Veroposentin tuotto'!P189</f>
        <v>80457.920681789401</v>
      </c>
      <c r="AI189" s="41">
        <f>'3. Verotulot'!D189/'Veroposentin tuotto'!C189</f>
        <v>689.61673384615392</v>
      </c>
      <c r="AJ189" s="41">
        <f>'3. Verotulot'!I189/'Veroposentin tuotto'!D189</f>
        <v>666.15384615384619</v>
      </c>
      <c r="AK189" s="41">
        <f>'3. Verotulot'!N189/'Veroposentin tuotto'!E189</f>
        <v>653.02564102564099</v>
      </c>
      <c r="AL189" s="41">
        <f>'3. Verotulot'!S189/'Veroposentin tuotto'!F189</f>
        <v>619.74358974358972</v>
      </c>
      <c r="AM189" s="41">
        <f>'3. Verotulot'!X189/'Veroposentin tuotto'!G189</f>
        <v>628.82051282051282</v>
      </c>
      <c r="AN189" s="41">
        <f>'3. Verotulot'!AC189/'Veroposentin tuotto'!H189</f>
        <v>628.73170731707319</v>
      </c>
      <c r="AO189" s="41">
        <f>'3. Verotulot'!AH189/'Veroposentin tuotto'!I189</f>
        <v>682.62192536585371</v>
      </c>
      <c r="AP189" s="41">
        <f>'3. Verotulot'!AM189/'Veroposentin tuotto'!J189</f>
        <v>662.16688744186047</v>
      </c>
      <c r="AQ189" s="41">
        <f>'3. Verotulot'!AR189/'Veroposentin tuotto'!K189</f>
        <v>795.87151467268632</v>
      </c>
      <c r="AR189" s="41">
        <f>'3. Verotulot'!AW189/'Veroposentin tuotto'!L189</f>
        <v>748.72281402880014</v>
      </c>
      <c r="AS189" s="41">
        <f>'3. Verotulot'!BB189/'Veroposentin tuotto'!M189</f>
        <v>773.6968651567546</v>
      </c>
      <c r="AT189" s="41">
        <f>'3. Verotulot'!BG189/'Veroposentin tuotto'!N189</f>
        <v>785.8547277388119</v>
      </c>
      <c r="AU189" s="41">
        <f>'3. Verotulot'!BL189/'Veroposentin tuotto'!O189</f>
        <v>793.63016750509541</v>
      </c>
      <c r="AV189" s="41">
        <f>'3. Verotulot'!BQ189/'Veroposentin tuotto'!P189</f>
        <v>804.57920681789403</v>
      </c>
      <c r="AX189" s="146"/>
      <c r="AZ189" s="34">
        <v>580</v>
      </c>
      <c r="BA189" s="88" t="s">
        <v>503</v>
      </c>
      <c r="BB189" s="41">
        <f>AI189/'1. Väestöennuste'!E189*1000</f>
        <v>131.7319453383293</v>
      </c>
      <c r="BC189" s="41">
        <f>AJ189/'1. Väestöennuste'!F189*1000</f>
        <v>129.95588102884238</v>
      </c>
      <c r="BD189" s="41">
        <f>AK189/'1. Väestöennuste'!G189*1000</f>
        <v>131.41993178217771</v>
      </c>
      <c r="BE189" s="41">
        <f>AL189/'1. Väestöennuste'!H189*1000</f>
        <v>127.99330643196812</v>
      </c>
      <c r="BF189" s="41">
        <f>AM189/'1. Väestöennuste'!I189*1000</f>
        <v>132.83069556833814</v>
      </c>
      <c r="BG189" s="41">
        <f>AN189/'1. Väestöennuste'!J189*1000</f>
        <v>135.06588771580519</v>
      </c>
      <c r="BH189" s="41">
        <f>AO189/'1. Väestöennuste'!K189*1000</f>
        <v>149.46834363167369</v>
      </c>
      <c r="BI189" s="41">
        <f>AP189/'1. Väestöennuste'!L189*1000</f>
        <v>149.20389532263641</v>
      </c>
      <c r="BJ189" s="41">
        <f>AQ189/'1. Väestöennuste'!M189*1000</f>
        <v>182.28848251779348</v>
      </c>
      <c r="BK189" s="41">
        <f>AR189/'1. Väestöennuste'!N189*1000</f>
        <v>174.32428731753205</v>
      </c>
      <c r="BL189" s="41">
        <f>AS189/'1. Väestöennuste'!O189*1000</f>
        <v>183.38394528484346</v>
      </c>
      <c r="BM189" s="41">
        <f>AT189/'1. Väestöennuste'!P189*1000</f>
        <v>189.63675862423068</v>
      </c>
      <c r="BN189" s="41">
        <f>AU189/'1. Väestöennuste'!Q189*1000</f>
        <v>194.99512715112911</v>
      </c>
      <c r="BO189" s="41">
        <f>AV189/'1. Väestöennuste'!R189*1000</f>
        <v>201.04427956469118</v>
      </c>
    </row>
    <row r="190" spans="1:67" x14ac:dyDescent="0.25">
      <c r="A190" s="30">
        <v>581</v>
      </c>
      <c r="B190" s="47" t="s">
        <v>504</v>
      </c>
      <c r="C190" s="47">
        <v>20.5</v>
      </c>
      <c r="D190" s="47">
        <v>21</v>
      </c>
      <c r="E190" s="47">
        <v>21</v>
      </c>
      <c r="F190" s="47">
        <v>22</v>
      </c>
      <c r="G190" s="47">
        <v>22</v>
      </c>
      <c r="H190" s="58">
        <v>22</v>
      </c>
      <c r="I190" s="139">
        <v>21.999999999999996</v>
      </c>
      <c r="J190" s="139">
        <v>21.999999999999996</v>
      </c>
      <c r="K190" s="139">
        <f t="shared" si="11"/>
        <v>9.3599999999999959</v>
      </c>
      <c r="L190" s="139">
        <v>9.4</v>
      </c>
      <c r="M190" s="139">
        <f t="shared" si="13"/>
        <v>9.4</v>
      </c>
      <c r="N190" s="147">
        <f t="shared" si="13"/>
        <v>9.4</v>
      </c>
      <c r="O190" s="147">
        <f t="shared" si="13"/>
        <v>9.4</v>
      </c>
      <c r="P190" s="147">
        <f t="shared" si="13"/>
        <v>9.4</v>
      </c>
      <c r="Q190" s="147"/>
      <c r="S190" s="41">
        <f>'3. Verotulot'!D190*100/'Veroposentin tuotto'!C190</f>
        <v>90091.233121951213</v>
      </c>
      <c r="T190" s="41">
        <f>'3. Verotulot'!I190*100/'Veroposentin tuotto'!D190</f>
        <v>88290.476190476184</v>
      </c>
      <c r="U190" s="41">
        <f>'3. Verotulot'!N190*100/'Veroposentin tuotto'!E190</f>
        <v>85780.952380952382</v>
      </c>
      <c r="V190" s="41">
        <f>'3. Verotulot'!S190*100/'Veroposentin tuotto'!F190</f>
        <v>83004.545454545456</v>
      </c>
      <c r="W190" s="41">
        <f>'3. Verotulot'!X190*100/'Veroposentin tuotto'!G190</f>
        <v>86350</v>
      </c>
      <c r="X190" s="41">
        <f>'3. Verotulot'!AC190*100/'Veroposentin tuotto'!H190</f>
        <v>89918.181818181823</v>
      </c>
      <c r="Y190" s="41">
        <f>'3. Verotulot'!AH190*100/'Veroposentin tuotto'!I190</f>
        <v>90334.361318181836</v>
      </c>
      <c r="Z190" s="41">
        <f>'3. Verotulot'!AM190*100/'Veroposentin tuotto'!J190</f>
        <v>92403.063090909098</v>
      </c>
      <c r="AA190" s="41">
        <f>'3. Verotulot'!AR190*100/'Veroposentin tuotto'!K190</f>
        <v>111608.19177350432</v>
      </c>
      <c r="AB190" s="41">
        <f>'3. Verotulot'!AW190*100/'Veroposentin tuotto'!L190</f>
        <v>106779.00994966189</v>
      </c>
      <c r="AC190" s="41">
        <f>'3. Verotulot'!BB190*100/'Veroposentin tuotto'!M190</f>
        <v>112584.36400342893</v>
      </c>
      <c r="AD190" s="41">
        <f>'3. Verotulot'!BG190*100/'Veroposentin tuotto'!N190</f>
        <v>116484.86954637166</v>
      </c>
      <c r="AE190" s="41">
        <f>'3. Verotulot'!BL190*100/'Veroposentin tuotto'!O190</f>
        <v>119595.22368158429</v>
      </c>
      <c r="AF190" s="41">
        <f>'3. Verotulot'!BQ190*100/'Veroposentin tuotto'!P190</f>
        <v>123189.03685650448</v>
      </c>
      <c r="AI190" s="41">
        <f>'3. Verotulot'!D190/'Veroposentin tuotto'!C190</f>
        <v>900.91233121951211</v>
      </c>
      <c r="AJ190" s="41">
        <f>'3. Verotulot'!I190/'Veroposentin tuotto'!D190</f>
        <v>882.90476190476193</v>
      </c>
      <c r="AK190" s="41">
        <f>'3. Verotulot'!N190/'Veroposentin tuotto'!E190</f>
        <v>857.80952380952385</v>
      </c>
      <c r="AL190" s="41">
        <f>'3. Verotulot'!S190/'Veroposentin tuotto'!F190</f>
        <v>830.0454545454545</v>
      </c>
      <c r="AM190" s="41">
        <f>'3. Verotulot'!X190/'Veroposentin tuotto'!G190</f>
        <v>863.5</v>
      </c>
      <c r="AN190" s="41">
        <f>'3. Verotulot'!AC190/'Veroposentin tuotto'!H190</f>
        <v>899.18181818181813</v>
      </c>
      <c r="AO190" s="41">
        <f>'3. Verotulot'!AH190/'Veroposentin tuotto'!I190</f>
        <v>903.34361318181834</v>
      </c>
      <c r="AP190" s="41">
        <f>'3. Verotulot'!AM190/'Veroposentin tuotto'!J190</f>
        <v>924.03063090909097</v>
      </c>
      <c r="AQ190" s="41">
        <f>'3. Verotulot'!AR190/'Veroposentin tuotto'!K190</f>
        <v>1116.0819177350434</v>
      </c>
      <c r="AR190" s="41">
        <f>'3. Verotulot'!AW190/'Veroposentin tuotto'!L190</f>
        <v>1067.790099496619</v>
      </c>
      <c r="AS190" s="41">
        <f>'3. Verotulot'!BB190/'Veroposentin tuotto'!M190</f>
        <v>1125.8436400342894</v>
      </c>
      <c r="AT190" s="41">
        <f>'3. Verotulot'!BG190/'Veroposentin tuotto'!N190</f>
        <v>1164.8486954637167</v>
      </c>
      <c r="AU190" s="41">
        <f>'3. Verotulot'!BL190/'Veroposentin tuotto'!O190</f>
        <v>1195.952236815843</v>
      </c>
      <c r="AV190" s="41">
        <f>'3. Verotulot'!BQ190/'Veroposentin tuotto'!P190</f>
        <v>1231.8903685650448</v>
      </c>
      <c r="AX190" s="146"/>
      <c r="AZ190" s="34">
        <v>581</v>
      </c>
      <c r="BA190" s="88" t="s">
        <v>504</v>
      </c>
      <c r="BB190" s="41">
        <f>AI190/'1. Väestöennuste'!E190*1000</f>
        <v>133.15287189173989</v>
      </c>
      <c r="BC190" s="41">
        <f>AJ190/'1. Väestöennuste'!F190*1000</f>
        <v>131.93436370364046</v>
      </c>
      <c r="BD190" s="41">
        <f>AK190/'1. Väestöennuste'!G190*1000</f>
        <v>130.72379210751657</v>
      </c>
      <c r="BE190" s="41">
        <f>AL190/'1. Väestöennuste'!H190*1000</f>
        <v>128.31124664483761</v>
      </c>
      <c r="BF190" s="41">
        <f>AM190/'1. Väestöennuste'!I190*1000</f>
        <v>134.83760149906311</v>
      </c>
      <c r="BG190" s="41">
        <f>AN190/'1. Väestöennuste'!J190*1000</f>
        <v>141.55885046942981</v>
      </c>
      <c r="BH190" s="41">
        <f>AO190/'1. Väestöennuste'!K190*1000</f>
        <v>143.70722449599401</v>
      </c>
      <c r="BI190" s="41">
        <f>AP190/'1. Väestöennuste'!L190*1000</f>
        <v>148.08183187645687</v>
      </c>
      <c r="BJ190" s="41">
        <f>AQ190/'1. Väestöennuste'!M190*1000</f>
        <v>182.27697496897656</v>
      </c>
      <c r="BK190" s="41">
        <f>AR190/'1. Väestöennuste'!N190*1000</f>
        <v>176.61099892434981</v>
      </c>
      <c r="BL190" s="41">
        <f>AS190/'1. Väestöennuste'!O190*1000</f>
        <v>188.23668952253624</v>
      </c>
      <c r="BM190" s="41">
        <f>AT190/'1. Väestöennuste'!P190*1000</f>
        <v>196.83147946328432</v>
      </c>
      <c r="BN190" s="41">
        <f>AU190/'1. Väestöennuste'!Q190*1000</f>
        <v>204.26169715044287</v>
      </c>
      <c r="BO190" s="41">
        <f>AV190/'1. Väestöennuste'!R190*1000</f>
        <v>212.61483751554107</v>
      </c>
    </row>
    <row r="191" spans="1:67" x14ac:dyDescent="0.25">
      <c r="A191" s="30">
        <v>583</v>
      </c>
      <c r="B191" s="47" t="s">
        <v>505</v>
      </c>
      <c r="C191" s="47">
        <v>19.5</v>
      </c>
      <c r="D191" s="47">
        <v>21.5</v>
      </c>
      <c r="E191" s="47">
        <v>22</v>
      </c>
      <c r="F191" s="47">
        <v>22.25</v>
      </c>
      <c r="G191" s="47">
        <v>22.25</v>
      </c>
      <c r="H191" s="58">
        <v>22.25</v>
      </c>
      <c r="I191" s="139">
        <v>22.25</v>
      </c>
      <c r="J191" s="139">
        <v>22</v>
      </c>
      <c r="K191" s="139">
        <f t="shared" si="11"/>
        <v>9.36</v>
      </c>
      <c r="L191" s="139">
        <v>9.1</v>
      </c>
      <c r="M191" s="139">
        <f t="shared" si="13"/>
        <v>9.1</v>
      </c>
      <c r="N191" s="147">
        <f t="shared" si="13"/>
        <v>9.1</v>
      </c>
      <c r="O191" s="147">
        <f t="shared" si="13"/>
        <v>9.1</v>
      </c>
      <c r="P191" s="147">
        <f t="shared" si="13"/>
        <v>9.1</v>
      </c>
      <c r="Q191" s="147"/>
      <c r="S191" s="41">
        <f>'3. Verotulot'!D191*100/'Veroposentin tuotto'!C191</f>
        <v>12702.942666666664</v>
      </c>
      <c r="T191" s="41">
        <f>'3. Verotulot'!I191*100/'Veroposentin tuotto'!D191</f>
        <v>13339.534883720929</v>
      </c>
      <c r="U191" s="41">
        <f>'3. Verotulot'!N191*100/'Veroposentin tuotto'!E191</f>
        <v>13104.545454545454</v>
      </c>
      <c r="V191" s="41">
        <f>'3. Verotulot'!S191*100/'Veroposentin tuotto'!F191</f>
        <v>12080.898876404495</v>
      </c>
      <c r="W191" s="41">
        <f>'3. Verotulot'!X191*100/'Veroposentin tuotto'!G191</f>
        <v>12701.123595505618</v>
      </c>
      <c r="X191" s="41">
        <f>'3. Verotulot'!AC191*100/'Veroposentin tuotto'!H191</f>
        <v>13137.078651685393</v>
      </c>
      <c r="Y191" s="41">
        <f>'3. Verotulot'!AH191*100/'Veroposentin tuotto'!I191</f>
        <v>13439.432674157306</v>
      </c>
      <c r="Z191" s="41">
        <f>'3. Verotulot'!AM191*100/'Veroposentin tuotto'!J191</f>
        <v>14688.786818181818</v>
      </c>
      <c r="AA191" s="41">
        <f>'3. Verotulot'!AR191*100/'Veroposentin tuotto'!K191</f>
        <v>18473.933012820515</v>
      </c>
      <c r="AB191" s="41">
        <f>'3. Verotulot'!AW191*100/'Veroposentin tuotto'!L191</f>
        <v>16533.805371852959</v>
      </c>
      <c r="AC191" s="41">
        <f>'3. Verotulot'!BB191*100/'Veroposentin tuotto'!M191</f>
        <v>18006.957037478347</v>
      </c>
      <c r="AD191" s="41">
        <f>'3. Verotulot'!BG191*100/'Veroposentin tuotto'!N191</f>
        <v>18781.364495871461</v>
      </c>
      <c r="AE191" s="41">
        <f>'3. Verotulot'!BL191*100/'Veroposentin tuotto'!O191</f>
        <v>19485.838457177379</v>
      </c>
      <c r="AF191" s="41">
        <f>'3. Verotulot'!BQ191*100/'Veroposentin tuotto'!P191</f>
        <v>20177.967442742851</v>
      </c>
      <c r="AI191" s="41">
        <f>'3. Verotulot'!D191/'Veroposentin tuotto'!C191</f>
        <v>127.02942666666665</v>
      </c>
      <c r="AJ191" s="41">
        <f>'3. Verotulot'!I191/'Veroposentin tuotto'!D191</f>
        <v>133.3953488372093</v>
      </c>
      <c r="AK191" s="41">
        <f>'3. Verotulot'!N191/'Veroposentin tuotto'!E191</f>
        <v>131.04545454545453</v>
      </c>
      <c r="AL191" s="41">
        <f>'3. Verotulot'!S191/'Veroposentin tuotto'!F191</f>
        <v>120.80898876404494</v>
      </c>
      <c r="AM191" s="41">
        <f>'3. Verotulot'!X191/'Veroposentin tuotto'!G191</f>
        <v>127.01123595505618</v>
      </c>
      <c r="AN191" s="41">
        <f>'3. Verotulot'!AC191/'Veroposentin tuotto'!H191</f>
        <v>131.37078651685394</v>
      </c>
      <c r="AO191" s="41">
        <f>'3. Verotulot'!AH191/'Veroposentin tuotto'!I191</f>
        <v>134.39432674157305</v>
      </c>
      <c r="AP191" s="41">
        <f>'3. Verotulot'!AM191/'Veroposentin tuotto'!J191</f>
        <v>146.88786818181819</v>
      </c>
      <c r="AQ191" s="41">
        <f>'3. Verotulot'!AR191/'Veroposentin tuotto'!K191</f>
        <v>184.73933012820513</v>
      </c>
      <c r="AR191" s="41">
        <f>'3. Verotulot'!AW191/'Veroposentin tuotto'!L191</f>
        <v>165.33805371852961</v>
      </c>
      <c r="AS191" s="41">
        <f>'3. Verotulot'!BB191/'Veroposentin tuotto'!M191</f>
        <v>180.06957037478344</v>
      </c>
      <c r="AT191" s="41">
        <f>'3. Verotulot'!BG191/'Veroposentin tuotto'!N191</f>
        <v>187.8136449587146</v>
      </c>
      <c r="AU191" s="41">
        <f>'3. Verotulot'!BL191/'Veroposentin tuotto'!O191</f>
        <v>194.85838457177377</v>
      </c>
      <c r="AV191" s="41">
        <f>'3. Verotulot'!BQ191/'Veroposentin tuotto'!P191</f>
        <v>201.77967442742852</v>
      </c>
      <c r="AX191" s="146"/>
      <c r="AZ191" s="34">
        <v>583</v>
      </c>
      <c r="BA191" s="88" t="s">
        <v>505</v>
      </c>
      <c r="BB191" s="41">
        <f>AI191/'1. Väestöennuste'!E191*1000</f>
        <v>132.59856645789839</v>
      </c>
      <c r="BC191" s="41">
        <f>AJ191/'1. Väestöennuste'!F191*1000</f>
        <v>140.26850561220746</v>
      </c>
      <c r="BD191" s="41">
        <f>AK191/'1. Väestöennuste'!G191*1000</f>
        <v>136.79066236477507</v>
      </c>
      <c r="BE191" s="41">
        <f>AL191/'1. Väestöennuste'!H191*1000</f>
        <v>126.63416013002615</v>
      </c>
      <c r="BF191" s="41">
        <f>AM191/'1. Väestöennuste'!I191*1000</f>
        <v>135.26223211401083</v>
      </c>
      <c r="BG191" s="41">
        <f>AN191/'1. Väestöennuste'!J191*1000</f>
        <v>141.10718208040166</v>
      </c>
      <c r="BH191" s="41">
        <f>AO191/'1. Väestöennuste'!K191*1000</f>
        <v>145.44840556447301</v>
      </c>
      <c r="BI191" s="41">
        <f>AP191/'1. Väestöennuste'!L191*1000</f>
        <v>155.10862532398963</v>
      </c>
      <c r="BJ191" s="41">
        <f>AQ191/'1. Väestöennuste'!M191*1000</f>
        <v>202.56505496513719</v>
      </c>
      <c r="BK191" s="41">
        <f>AR191/'1. Väestöennuste'!N191*1000</f>
        <v>180.50005864468295</v>
      </c>
      <c r="BL191" s="41">
        <f>AS191/'1. Väestöennuste'!O191*1000</f>
        <v>197.44470435831519</v>
      </c>
      <c r="BM191" s="41">
        <f>AT191/'1. Väestöennuste'!P191*1000</f>
        <v>206.3886208337523</v>
      </c>
      <c r="BN191" s="41">
        <f>AU191/'1. Väestöennuste'!Q191*1000</f>
        <v>214.8383512367958</v>
      </c>
      <c r="BO191" s="41">
        <f>AV191/'1. Väestöennuste'!R191*1000</f>
        <v>223.9508040260028</v>
      </c>
    </row>
    <row r="192" spans="1:67" x14ac:dyDescent="0.25">
      <c r="A192" s="30">
        <v>584</v>
      </c>
      <c r="B192" s="47" t="s">
        <v>506</v>
      </c>
      <c r="C192" s="47">
        <v>21</v>
      </c>
      <c r="D192" s="47">
        <v>21</v>
      </c>
      <c r="E192" s="47">
        <v>21.5</v>
      </c>
      <c r="F192" s="47">
        <v>21.5</v>
      </c>
      <c r="G192" s="47">
        <v>21.5</v>
      </c>
      <c r="H192" s="58">
        <v>21.5</v>
      </c>
      <c r="I192" s="139">
        <v>21.5</v>
      </c>
      <c r="J192" s="139">
        <v>21.5</v>
      </c>
      <c r="K192" s="139">
        <f t="shared" si="11"/>
        <v>8.86</v>
      </c>
      <c r="L192" s="139">
        <v>9.3000000000000007</v>
      </c>
      <c r="M192" s="139">
        <f t="shared" si="13"/>
        <v>9.3000000000000007</v>
      </c>
      <c r="N192" s="147">
        <f t="shared" si="13"/>
        <v>9.3000000000000007</v>
      </c>
      <c r="O192" s="147">
        <f t="shared" si="13"/>
        <v>9.3000000000000007</v>
      </c>
      <c r="P192" s="147">
        <f t="shared" si="13"/>
        <v>9.3000000000000007</v>
      </c>
      <c r="Q192" s="147"/>
      <c r="S192" s="41">
        <f>'3. Verotulot'!D192*100/'Veroposentin tuotto'!C192</f>
        <v>30617.327714285715</v>
      </c>
      <c r="T192" s="41">
        <f>'3. Verotulot'!I192*100/'Veroposentin tuotto'!D192</f>
        <v>29019.047619047618</v>
      </c>
      <c r="U192" s="41">
        <f>'3. Verotulot'!N192*100/'Veroposentin tuotto'!E192</f>
        <v>30553.488372093023</v>
      </c>
      <c r="V192" s="41">
        <f>'3. Verotulot'!S192*100/'Veroposentin tuotto'!F192</f>
        <v>29604.651162790698</v>
      </c>
      <c r="W192" s="41">
        <f>'3. Verotulot'!X192*100/'Veroposentin tuotto'!G192</f>
        <v>28404.651162790698</v>
      </c>
      <c r="X192" s="41">
        <f>'3. Verotulot'!AC192*100/'Veroposentin tuotto'!H192</f>
        <v>29832.558139534885</v>
      </c>
      <c r="Y192" s="41">
        <f>'3. Verotulot'!AH192*100/'Veroposentin tuotto'!I192</f>
        <v>30876.755860465113</v>
      </c>
      <c r="Z192" s="41">
        <f>'3. Verotulot'!AM192*100/'Veroposentin tuotto'!J192</f>
        <v>31373.290511627903</v>
      </c>
      <c r="AA192" s="41">
        <f>'3. Verotulot'!AR192*100/'Veroposentin tuotto'!K192</f>
        <v>38745.568058690747</v>
      </c>
      <c r="AB192" s="41">
        <f>'3. Verotulot'!AW192*100/'Veroposentin tuotto'!L192</f>
        <v>36012.081509676449</v>
      </c>
      <c r="AC192" s="41">
        <f>'3. Verotulot'!BB192*100/'Veroposentin tuotto'!M192</f>
        <v>37574.116121244348</v>
      </c>
      <c r="AD192" s="41">
        <f>'3. Verotulot'!BG192*100/'Veroposentin tuotto'!N192</f>
        <v>38422.544068007286</v>
      </c>
      <c r="AE192" s="41">
        <f>'3. Verotulot'!BL192*100/'Veroposentin tuotto'!O192</f>
        <v>38801.104768721285</v>
      </c>
      <c r="AF192" s="41">
        <f>'3. Verotulot'!BQ192*100/'Veroposentin tuotto'!P192</f>
        <v>39351.349114393226</v>
      </c>
      <c r="AI192" s="41">
        <f>'3. Verotulot'!D192/'Veroposentin tuotto'!C192</f>
        <v>306.17327714285716</v>
      </c>
      <c r="AJ192" s="41">
        <f>'3. Verotulot'!I192/'Veroposentin tuotto'!D192</f>
        <v>290.1904761904762</v>
      </c>
      <c r="AK192" s="41">
        <f>'3. Verotulot'!N192/'Veroposentin tuotto'!E192</f>
        <v>305.53488372093022</v>
      </c>
      <c r="AL192" s="41">
        <f>'3. Verotulot'!S192/'Veroposentin tuotto'!F192</f>
        <v>296.04651162790697</v>
      </c>
      <c r="AM192" s="41">
        <f>'3. Verotulot'!X192/'Veroposentin tuotto'!G192</f>
        <v>284.04651162790697</v>
      </c>
      <c r="AN192" s="41">
        <f>'3. Verotulot'!AC192/'Veroposentin tuotto'!H192</f>
        <v>298.32558139534882</v>
      </c>
      <c r="AO192" s="41">
        <f>'3. Verotulot'!AH192/'Veroposentin tuotto'!I192</f>
        <v>308.76755860465113</v>
      </c>
      <c r="AP192" s="41">
        <f>'3. Verotulot'!AM192/'Veroposentin tuotto'!J192</f>
        <v>313.73290511627908</v>
      </c>
      <c r="AQ192" s="41">
        <f>'3. Verotulot'!AR192/'Veroposentin tuotto'!K192</f>
        <v>387.45568058690753</v>
      </c>
      <c r="AR192" s="41">
        <f>'3. Verotulot'!AW192/'Veroposentin tuotto'!L192</f>
        <v>360.12081509676449</v>
      </c>
      <c r="AS192" s="41">
        <f>'3. Verotulot'!BB192/'Veroposentin tuotto'!M192</f>
        <v>375.7411612124435</v>
      </c>
      <c r="AT192" s="41">
        <f>'3. Verotulot'!BG192/'Veroposentin tuotto'!N192</f>
        <v>384.22544068007289</v>
      </c>
      <c r="AU192" s="41">
        <f>'3. Verotulot'!BL192/'Veroposentin tuotto'!O192</f>
        <v>388.01104768721285</v>
      </c>
      <c r="AV192" s="41">
        <f>'3. Verotulot'!BQ192/'Veroposentin tuotto'!P192</f>
        <v>393.51349114393224</v>
      </c>
      <c r="AX192" s="146"/>
      <c r="AZ192" s="34">
        <v>584</v>
      </c>
      <c r="BA192" s="88" t="s">
        <v>506</v>
      </c>
      <c r="BB192" s="41">
        <f>AI192/'1. Väestöennuste'!E192*1000</f>
        <v>104.46034702929279</v>
      </c>
      <c r="BC192" s="41">
        <f>AJ192/'1. Väestöennuste'!F192*1000</f>
        <v>99.824725211722111</v>
      </c>
      <c r="BD192" s="41">
        <f>AK192/'1. Väestöennuste'!G192*1000</f>
        <v>106.83037892340218</v>
      </c>
      <c r="BE192" s="41">
        <f>AL192/'1. Väestöennuste'!H192*1000</f>
        <v>104.79522535501131</v>
      </c>
      <c r="BF192" s="41">
        <f>AM192/'1. Väestöennuste'!I192*1000</f>
        <v>102.95270446825188</v>
      </c>
      <c r="BG192" s="41">
        <f>AN192/'1. Väestöennuste'!J192*1000</f>
        <v>110.24596503893157</v>
      </c>
      <c r="BH192" s="41">
        <f>AO192/'1. Väestöennuste'!K192*1000</f>
        <v>115.38399050995932</v>
      </c>
      <c r="BI192" s="41">
        <f>AP192/'1. Väestöennuste'!L192*1000</f>
        <v>118.25590091077237</v>
      </c>
      <c r="BJ192" s="41">
        <f>AQ192/'1. Väestöennuste'!M192*1000</f>
        <v>150.29312668227601</v>
      </c>
      <c r="BK192" s="41">
        <f>AR192/'1. Väestöennuste'!N192*1000</f>
        <v>143.9331794951097</v>
      </c>
      <c r="BL192" s="41">
        <f>AS192/'1. Väestöennuste'!O192*1000</f>
        <v>153.42636227539546</v>
      </c>
      <c r="BM192" s="41">
        <f>AT192/'1. Väestöennuste'!P192*1000</f>
        <v>160.22745649711129</v>
      </c>
      <c r="BN192" s="41">
        <f>AU192/'1. Väestöennuste'!Q192*1000</f>
        <v>165.18137406863042</v>
      </c>
      <c r="BO192" s="41">
        <f>AV192/'1. Väestöennuste'!R192*1000</f>
        <v>170.94417512768558</v>
      </c>
    </row>
    <row r="193" spans="1:67" x14ac:dyDescent="0.25">
      <c r="A193" s="30">
        <v>588</v>
      </c>
      <c r="B193" s="47" t="s">
        <v>507</v>
      </c>
      <c r="C193" s="47">
        <v>21</v>
      </c>
      <c r="D193" s="47">
        <v>21</v>
      </c>
      <c r="E193" s="47">
        <v>21</v>
      </c>
      <c r="F193" s="47">
        <v>21.5</v>
      </c>
      <c r="G193" s="47">
        <v>21.5</v>
      </c>
      <c r="H193" s="58">
        <v>21.5</v>
      </c>
      <c r="I193" s="139">
        <v>21.5</v>
      </c>
      <c r="J193" s="139">
        <v>21.5</v>
      </c>
      <c r="K193" s="139">
        <f t="shared" si="11"/>
        <v>8.86</v>
      </c>
      <c r="L193" s="139">
        <v>8.9</v>
      </c>
      <c r="M193" s="139">
        <f t="shared" si="13"/>
        <v>8.9</v>
      </c>
      <c r="N193" s="147">
        <f t="shared" si="13"/>
        <v>8.9</v>
      </c>
      <c r="O193" s="147">
        <f t="shared" si="13"/>
        <v>8.9</v>
      </c>
      <c r="P193" s="147">
        <f t="shared" si="13"/>
        <v>8.9</v>
      </c>
      <c r="Q193" s="147"/>
      <c r="S193" s="41">
        <f>'3. Verotulot'!D193*100/'Veroposentin tuotto'!C193</f>
        <v>19536.969095238095</v>
      </c>
      <c r="T193" s="41">
        <f>'3. Verotulot'!I193*100/'Veroposentin tuotto'!D193</f>
        <v>19314.285714285714</v>
      </c>
      <c r="U193" s="41">
        <f>'3. Verotulot'!N193*100/'Veroposentin tuotto'!E193</f>
        <v>19647.619047619046</v>
      </c>
      <c r="V193" s="41">
        <f>'3. Verotulot'!S193*100/'Veroposentin tuotto'!F193</f>
        <v>18027.906976744187</v>
      </c>
      <c r="W193" s="41">
        <f>'3. Verotulot'!X193*100/'Veroposentin tuotto'!G193</f>
        <v>19590.697674418603</v>
      </c>
      <c r="X193" s="41">
        <f>'3. Verotulot'!AC193*100/'Veroposentin tuotto'!H193</f>
        <v>20548.837209302324</v>
      </c>
      <c r="Y193" s="41">
        <f>'3. Verotulot'!AH193*100/'Veroposentin tuotto'!I193</f>
        <v>21008.334558139533</v>
      </c>
      <c r="Z193" s="41">
        <f>'3. Verotulot'!AM193*100/'Veroposentin tuotto'!J193</f>
        <v>21197.192511627905</v>
      </c>
      <c r="AA193" s="41">
        <f>'3. Verotulot'!AR193*100/'Veroposentin tuotto'!K193</f>
        <v>28428.249322799096</v>
      </c>
      <c r="AB193" s="41">
        <f>'3. Verotulot'!AW193*100/'Veroposentin tuotto'!L193</f>
        <v>25385.828005457282</v>
      </c>
      <c r="AC193" s="41">
        <f>'3. Verotulot'!BB193*100/'Veroposentin tuotto'!M193</f>
        <v>0</v>
      </c>
      <c r="AD193" s="41">
        <f>'3. Verotulot'!BG193*100/'Veroposentin tuotto'!N193</f>
        <v>0</v>
      </c>
      <c r="AE193" s="41">
        <f>'3. Verotulot'!BL193*100/'Veroposentin tuotto'!O193</f>
        <v>0</v>
      </c>
      <c r="AF193" s="41">
        <f>'3. Verotulot'!BQ193*100/'Veroposentin tuotto'!P193</f>
        <v>0</v>
      </c>
      <c r="AI193" s="41">
        <f>'3. Verotulot'!D193/'Veroposentin tuotto'!C193</f>
        <v>195.36969095238095</v>
      </c>
      <c r="AJ193" s="41">
        <f>'3. Verotulot'!I193/'Veroposentin tuotto'!D193</f>
        <v>193.14285714285714</v>
      </c>
      <c r="AK193" s="41">
        <f>'3. Verotulot'!N193/'Veroposentin tuotto'!E193</f>
        <v>196.47619047619048</v>
      </c>
      <c r="AL193" s="41">
        <f>'3. Verotulot'!S193/'Veroposentin tuotto'!F193</f>
        <v>180.27906976744185</v>
      </c>
      <c r="AM193" s="41">
        <f>'3. Verotulot'!X193/'Veroposentin tuotto'!G193</f>
        <v>195.90697674418604</v>
      </c>
      <c r="AN193" s="41">
        <f>'3. Verotulot'!AC193/'Veroposentin tuotto'!H193</f>
        <v>205.48837209302326</v>
      </c>
      <c r="AO193" s="41">
        <f>'3. Verotulot'!AH193/'Veroposentin tuotto'!I193</f>
        <v>210.08334558139532</v>
      </c>
      <c r="AP193" s="41">
        <f>'3. Verotulot'!AM193/'Veroposentin tuotto'!J193</f>
        <v>211.97192511627907</v>
      </c>
      <c r="AQ193" s="41">
        <f>'3. Verotulot'!AR193/'Veroposentin tuotto'!K193</f>
        <v>284.28249322799098</v>
      </c>
      <c r="AR193" s="41">
        <f>'3. Verotulot'!AW193/'Veroposentin tuotto'!L193</f>
        <v>253.85828005457282</v>
      </c>
      <c r="AS193" s="41">
        <f>'3. Verotulot'!BB193/'Veroposentin tuotto'!M193</f>
        <v>0</v>
      </c>
      <c r="AT193" s="41">
        <f>'3. Verotulot'!BG193/'Veroposentin tuotto'!N193</f>
        <v>0</v>
      </c>
      <c r="AU193" s="41">
        <f>'3. Verotulot'!BL193/'Veroposentin tuotto'!O193</f>
        <v>0</v>
      </c>
      <c r="AV193" s="41">
        <f>'3. Verotulot'!BQ193/'Veroposentin tuotto'!P193</f>
        <v>0</v>
      </c>
      <c r="AX193" s="146"/>
      <c r="AZ193" s="34">
        <v>588</v>
      </c>
      <c r="BA193" s="88" t="s">
        <v>507</v>
      </c>
      <c r="BB193" s="41">
        <f>AI193/'1. Väestöennuste'!E193*1000</f>
        <v>107.5232201168855</v>
      </c>
      <c r="BC193" s="41">
        <f>AJ193/'1. Väestöennuste'!F193*1000</f>
        <v>107.54056633789374</v>
      </c>
      <c r="BD193" s="41">
        <f>AK193/'1. Väestöennuste'!G193*1000</f>
        <v>112.98228319504916</v>
      </c>
      <c r="BE193" s="41">
        <f>AL193/'1. Väestöennuste'!H193*1000</f>
        <v>105.24172198916629</v>
      </c>
      <c r="BF193" s="41">
        <f>AM193/'1. Väestöennuste'!I193*1000</f>
        <v>115.92128801431127</v>
      </c>
      <c r="BG193" s="41">
        <f>AN193/'1. Väestöennuste'!J193*1000</f>
        <v>124.23722617474199</v>
      </c>
      <c r="BH193" s="41">
        <f>AO193/'1. Väestöennuste'!K193*1000</f>
        <v>127.78792310303852</v>
      </c>
      <c r="BI193" s="41">
        <f>AP193/'1. Väestöennuste'!L193*1000</f>
        <v>132.4824531976744</v>
      </c>
      <c r="BJ193" s="41">
        <f>AQ193/'1. Väestöennuste'!M193*1000</f>
        <v>180.26790946606911</v>
      </c>
      <c r="BK193" s="41">
        <f>AR193/'1. Väestöennuste'!N193*1000</f>
        <v>164.41598449130362</v>
      </c>
      <c r="BL193" s="41" t="e">
        <f>AS193/'1. Väestöennuste'!O193*1000</f>
        <v>#DIV/0!</v>
      </c>
      <c r="BM193" s="41" t="e">
        <f>AT193/'1. Väestöennuste'!P193*1000</f>
        <v>#DIV/0!</v>
      </c>
      <c r="BN193" s="41" t="e">
        <f>AU193/'1. Väestöennuste'!Q193*1000</f>
        <v>#DIV/0!</v>
      </c>
      <c r="BO193" s="41" t="e">
        <f>AV193/'1. Väestöennuste'!R193*1000</f>
        <v>#DIV/0!</v>
      </c>
    </row>
    <row r="194" spans="1:67" x14ac:dyDescent="0.25">
      <c r="A194" s="30">
        <v>592</v>
      </c>
      <c r="B194" s="47" t="s">
        <v>508</v>
      </c>
      <c r="C194" s="47">
        <v>21.25</v>
      </c>
      <c r="D194" s="47">
        <v>21.25</v>
      </c>
      <c r="E194" s="47">
        <v>21.25</v>
      </c>
      <c r="F194" s="47">
        <v>21.75</v>
      </c>
      <c r="G194" s="47">
        <v>21.75</v>
      </c>
      <c r="H194" s="58">
        <v>21.75</v>
      </c>
      <c r="I194" s="139">
        <v>21.75</v>
      </c>
      <c r="J194" s="139">
        <v>21.75</v>
      </c>
      <c r="K194" s="139">
        <f t="shared" si="11"/>
        <v>9.11</v>
      </c>
      <c r="L194" s="139">
        <v>9.9</v>
      </c>
      <c r="M194" s="139">
        <f t="shared" si="13"/>
        <v>9.9</v>
      </c>
      <c r="N194" s="147">
        <f t="shared" si="13"/>
        <v>9.9</v>
      </c>
      <c r="O194" s="147">
        <f t="shared" si="13"/>
        <v>9.9</v>
      </c>
      <c r="P194" s="147">
        <f t="shared" si="13"/>
        <v>9.9</v>
      </c>
      <c r="Q194" s="147"/>
      <c r="S194" s="41">
        <f>'3. Verotulot'!D194*100/'Veroposentin tuotto'!C194</f>
        <v>53098.33091764705</v>
      </c>
      <c r="T194" s="41">
        <f>'3. Verotulot'!I194*100/'Veroposentin tuotto'!D194</f>
        <v>51576.470588235294</v>
      </c>
      <c r="U194" s="41">
        <f>'3. Verotulot'!N194*100/'Veroposentin tuotto'!E194</f>
        <v>51981.176470588238</v>
      </c>
      <c r="V194" s="41">
        <f>'3. Verotulot'!S194*100/'Veroposentin tuotto'!F194</f>
        <v>49977.011494252874</v>
      </c>
      <c r="W194" s="41">
        <f>'3. Verotulot'!X194*100/'Veroposentin tuotto'!G194</f>
        <v>51554.022988505749</v>
      </c>
      <c r="X194" s="41">
        <f>'3. Verotulot'!AC194*100/'Veroposentin tuotto'!H194</f>
        <v>52579.310344827587</v>
      </c>
      <c r="Y194" s="41">
        <f>'3. Verotulot'!AH194*100/'Veroposentin tuotto'!I194</f>
        <v>54421.061563218398</v>
      </c>
      <c r="Z194" s="41">
        <f>'3. Verotulot'!AM194*100/'Veroposentin tuotto'!J194</f>
        <v>54612.84294252874</v>
      </c>
      <c r="AA194" s="41">
        <f>'3. Verotulot'!AR194*100/'Veroposentin tuotto'!K194</f>
        <v>71300.666410537873</v>
      </c>
      <c r="AB194" s="41">
        <f>'3. Verotulot'!AW194*100/'Veroposentin tuotto'!L194</f>
        <v>65127.456331344227</v>
      </c>
      <c r="AC194" s="41">
        <f>'3. Verotulot'!BB194*100/'Veroposentin tuotto'!M194</f>
        <v>69277.161093724877</v>
      </c>
      <c r="AD194" s="41">
        <f>'3. Verotulot'!BG194*100/'Veroposentin tuotto'!N194</f>
        <v>72157.346965319812</v>
      </c>
      <c r="AE194" s="41">
        <f>'3. Verotulot'!BL194*100/'Veroposentin tuotto'!O194</f>
        <v>74430.65718838929</v>
      </c>
      <c r="AF194" s="41">
        <f>'3. Verotulot'!BQ194*100/'Veroposentin tuotto'!P194</f>
        <v>76666.525999092832</v>
      </c>
      <c r="AI194" s="41">
        <f>'3. Verotulot'!D194/'Veroposentin tuotto'!C194</f>
        <v>530.98330917647058</v>
      </c>
      <c r="AJ194" s="41">
        <f>'3. Verotulot'!I194/'Veroposentin tuotto'!D194</f>
        <v>515.76470588235293</v>
      </c>
      <c r="AK194" s="41">
        <f>'3. Verotulot'!N194/'Veroposentin tuotto'!E194</f>
        <v>519.8117647058823</v>
      </c>
      <c r="AL194" s="41">
        <f>'3. Verotulot'!S194/'Veroposentin tuotto'!F194</f>
        <v>499.77011494252872</v>
      </c>
      <c r="AM194" s="41">
        <f>'3. Verotulot'!X194/'Veroposentin tuotto'!G194</f>
        <v>515.54022988505744</v>
      </c>
      <c r="AN194" s="41">
        <f>'3. Verotulot'!AC194/'Veroposentin tuotto'!H194</f>
        <v>525.79310344827582</v>
      </c>
      <c r="AO194" s="41">
        <f>'3. Verotulot'!AH194/'Veroposentin tuotto'!I194</f>
        <v>544.21061563218393</v>
      </c>
      <c r="AP194" s="41">
        <f>'3. Verotulot'!AM194/'Veroposentin tuotto'!J194</f>
        <v>546.12842942528732</v>
      </c>
      <c r="AQ194" s="41">
        <f>'3. Verotulot'!AR194/'Veroposentin tuotto'!K194</f>
        <v>713.00666410537872</v>
      </c>
      <c r="AR194" s="41">
        <f>'3. Verotulot'!AW194/'Veroposentin tuotto'!L194</f>
        <v>651.27456331344229</v>
      </c>
      <c r="AS194" s="41">
        <f>'3. Verotulot'!BB194/'Veroposentin tuotto'!M194</f>
        <v>692.77161093724885</v>
      </c>
      <c r="AT194" s="41">
        <f>'3. Verotulot'!BG194/'Veroposentin tuotto'!N194</f>
        <v>721.573469653198</v>
      </c>
      <c r="AU194" s="41">
        <f>'3. Verotulot'!BL194/'Veroposentin tuotto'!O194</f>
        <v>744.30657188389284</v>
      </c>
      <c r="AV194" s="41">
        <f>'3. Verotulot'!BQ194/'Veroposentin tuotto'!P194</f>
        <v>766.66525999092835</v>
      </c>
      <c r="AX194" s="146"/>
      <c r="AZ194" s="34">
        <v>592</v>
      </c>
      <c r="BA194" s="88" t="s">
        <v>508</v>
      </c>
      <c r="BB194" s="41">
        <f>AI194/'1. Väestöennuste'!E194*1000</f>
        <v>132.48086556299165</v>
      </c>
      <c r="BC194" s="41">
        <f>AJ194/'1. Väestöennuste'!F194*1000</f>
        <v>129.55657017893819</v>
      </c>
      <c r="BD194" s="41">
        <f>AK194/'1. Väestöennuste'!G194*1000</f>
        <v>132.60504201680669</v>
      </c>
      <c r="BE194" s="41">
        <f>AL194/'1. Väestöennuste'!H194*1000</f>
        <v>128.14618331859711</v>
      </c>
      <c r="BF194" s="41">
        <f>AM194/'1. Väestöennuste'!I194*1000</f>
        <v>134.22031499220449</v>
      </c>
      <c r="BG194" s="41">
        <f>AN194/'1. Väestöennuste'!J194*1000</f>
        <v>139.39371777525869</v>
      </c>
      <c r="BH194" s="41">
        <f>AO194/'1. Väestöennuste'!K194*1000</f>
        <v>147.96373453838606</v>
      </c>
      <c r="BI194" s="41">
        <f>AP194/'1. Väestöennuste'!L194*1000</f>
        <v>149.58324552870101</v>
      </c>
      <c r="BJ194" s="41">
        <f>AQ194/'1. Väestöennuste'!M194*1000</f>
        <v>198.27771526845905</v>
      </c>
      <c r="BK194" s="41">
        <f>AR194/'1. Väestöennuste'!N194*1000</f>
        <v>180.15893867591765</v>
      </c>
      <c r="BL194" s="41">
        <f>AS194/'1. Väestöennuste'!O194*1000</f>
        <v>193.56569179582254</v>
      </c>
      <c r="BM194" s="41">
        <f>AT194/'1. Väestöennuste'!P194*1000</f>
        <v>203.48941614585391</v>
      </c>
      <c r="BN194" s="41">
        <f>AU194/'1. Väestöennuste'!Q194*1000</f>
        <v>212.17405127819066</v>
      </c>
      <c r="BO194" s="41">
        <f>AV194/'1. Väestöennuste'!R194*1000</f>
        <v>220.68660333647907</v>
      </c>
    </row>
    <row r="195" spans="1:67" x14ac:dyDescent="0.25">
      <c r="A195" s="30">
        <v>593</v>
      </c>
      <c r="B195" s="47" t="s">
        <v>509</v>
      </c>
      <c r="C195" s="47">
        <v>21.5</v>
      </c>
      <c r="D195" s="47">
        <v>22</v>
      </c>
      <c r="E195" s="47">
        <v>22</v>
      </c>
      <c r="F195" s="47">
        <v>22</v>
      </c>
      <c r="G195" s="47">
        <v>22</v>
      </c>
      <c r="H195" s="58">
        <v>22</v>
      </c>
      <c r="I195" s="139">
        <v>22</v>
      </c>
      <c r="J195" s="139">
        <v>22</v>
      </c>
      <c r="K195" s="139">
        <f t="shared" si="11"/>
        <v>9.36</v>
      </c>
      <c r="L195" s="139">
        <v>9.4</v>
      </c>
      <c r="M195" s="139">
        <f t="shared" ref="M195:P214" si="14">L195</f>
        <v>9.4</v>
      </c>
      <c r="N195" s="147">
        <f t="shared" si="14"/>
        <v>9.4</v>
      </c>
      <c r="O195" s="147">
        <f t="shared" si="14"/>
        <v>9.4</v>
      </c>
      <c r="P195" s="147">
        <f t="shared" si="14"/>
        <v>9.4</v>
      </c>
      <c r="Q195" s="147"/>
      <c r="S195" s="41">
        <f>'3. Verotulot'!D195*100/'Veroposentin tuotto'!C195</f>
        <v>273733.50218604651</v>
      </c>
      <c r="T195" s="41">
        <f>'3. Verotulot'!I195*100/'Veroposentin tuotto'!D195</f>
        <v>270304.54545454547</v>
      </c>
      <c r="U195" s="41">
        <f>'3. Verotulot'!N195*100/'Veroposentin tuotto'!E195</f>
        <v>263636.36363636365</v>
      </c>
      <c r="V195" s="41">
        <f>'3. Verotulot'!S195*100/'Veroposentin tuotto'!F195</f>
        <v>256886.36363636365</v>
      </c>
      <c r="W195" s="41">
        <f>'3. Verotulot'!X195*100/'Veroposentin tuotto'!G195</f>
        <v>257568.18181818182</v>
      </c>
      <c r="X195" s="41">
        <f>'3. Verotulot'!AC195*100/'Veroposentin tuotto'!H195</f>
        <v>264659.09090909088</v>
      </c>
      <c r="Y195" s="41">
        <f>'3. Verotulot'!AH195*100/'Veroposentin tuotto'!I195</f>
        <v>267985.01695454546</v>
      </c>
      <c r="Z195" s="41">
        <f>'3. Verotulot'!AM195*100/'Veroposentin tuotto'!J195</f>
        <v>276172.58254545456</v>
      </c>
      <c r="AA195" s="41">
        <f>'3. Verotulot'!AR195*100/'Veroposentin tuotto'!K195</f>
        <v>335338.4443376069</v>
      </c>
      <c r="AB195" s="41">
        <f>'3. Verotulot'!AW195*100/'Veroposentin tuotto'!L195</f>
        <v>320953.96526950004</v>
      </c>
      <c r="AC195" s="41">
        <f>'3. Verotulot'!BB195*100/'Veroposentin tuotto'!M195</f>
        <v>330462.67721307772</v>
      </c>
      <c r="AD195" s="41">
        <f>'3. Verotulot'!BG195*100/'Veroposentin tuotto'!N195</f>
        <v>339463.12570718926</v>
      </c>
      <c r="AE195" s="41">
        <f>'3. Verotulot'!BL195*100/'Veroposentin tuotto'!O195</f>
        <v>346754.77958787477</v>
      </c>
      <c r="AF195" s="41">
        <f>'3. Verotulot'!BQ195*100/'Veroposentin tuotto'!P195</f>
        <v>355609.19017908367</v>
      </c>
      <c r="AI195" s="41">
        <f>'3. Verotulot'!D195/'Veroposentin tuotto'!C195</f>
        <v>2737.3350218604651</v>
      </c>
      <c r="AJ195" s="41">
        <f>'3. Verotulot'!I195/'Veroposentin tuotto'!D195</f>
        <v>2703.0454545454545</v>
      </c>
      <c r="AK195" s="41">
        <f>'3. Verotulot'!N195/'Veroposentin tuotto'!E195</f>
        <v>2636.3636363636365</v>
      </c>
      <c r="AL195" s="41">
        <f>'3. Verotulot'!S195/'Veroposentin tuotto'!F195</f>
        <v>2568.8636363636365</v>
      </c>
      <c r="AM195" s="41">
        <f>'3. Verotulot'!X195/'Veroposentin tuotto'!G195</f>
        <v>2575.681818181818</v>
      </c>
      <c r="AN195" s="41">
        <f>'3. Verotulot'!AC195/'Veroposentin tuotto'!H195</f>
        <v>2646.590909090909</v>
      </c>
      <c r="AO195" s="41">
        <f>'3. Verotulot'!AH195/'Veroposentin tuotto'!I195</f>
        <v>2679.8501695454543</v>
      </c>
      <c r="AP195" s="41">
        <f>'3. Verotulot'!AM195/'Veroposentin tuotto'!J195</f>
        <v>2761.7258254545454</v>
      </c>
      <c r="AQ195" s="41">
        <f>'3. Verotulot'!AR195/'Veroposentin tuotto'!K195</f>
        <v>3353.3844433760687</v>
      </c>
      <c r="AR195" s="41">
        <f>'3. Verotulot'!AW195/'Veroposentin tuotto'!L195</f>
        <v>3209.5396526950003</v>
      </c>
      <c r="AS195" s="41">
        <f>'3. Verotulot'!BB195/'Veroposentin tuotto'!M195</f>
        <v>3304.6267721307768</v>
      </c>
      <c r="AT195" s="41">
        <f>'3. Verotulot'!BG195/'Veroposentin tuotto'!N195</f>
        <v>3394.6312570718924</v>
      </c>
      <c r="AU195" s="41">
        <f>'3. Verotulot'!BL195/'Veroposentin tuotto'!O195</f>
        <v>3467.5477958787483</v>
      </c>
      <c r="AV195" s="41">
        <f>'3. Verotulot'!BQ195/'Veroposentin tuotto'!P195</f>
        <v>3556.0919017908368</v>
      </c>
      <c r="AX195" s="146"/>
      <c r="AZ195" s="34">
        <v>593</v>
      </c>
      <c r="BA195" s="88" t="s">
        <v>509</v>
      </c>
      <c r="BB195" s="41">
        <f>AI195/'1. Väestöennuste'!E195*1000</f>
        <v>145.59518227011677</v>
      </c>
      <c r="BC195" s="41">
        <f>AJ195/'1. Väestöennuste'!F195*1000</f>
        <v>146.30827900110717</v>
      </c>
      <c r="BD195" s="41">
        <f>AK195/'1. Väestöennuste'!G195*1000</f>
        <v>144.69613810996907</v>
      </c>
      <c r="BE195" s="41">
        <f>AL195/'1. Väestöennuste'!H195*1000</f>
        <v>143.24784678322848</v>
      </c>
      <c r="BF195" s="41">
        <f>AM195/'1. Väestöennuste'!I195*1000</f>
        <v>145.66688260274958</v>
      </c>
      <c r="BG195" s="41">
        <f>AN195/'1. Väestöennuste'!J195*1000</f>
        <v>152.32177894048397</v>
      </c>
      <c r="BH195" s="41">
        <f>AO195/'1. Väestöennuste'!K195*1000</f>
        <v>155.32661969196397</v>
      </c>
      <c r="BI195" s="41">
        <f>AP195/'1. Väestöennuste'!L195*1000</f>
        <v>161.72195499528871</v>
      </c>
      <c r="BJ195" s="41">
        <f>AQ195/'1. Väestöennuste'!M195*1000</f>
        <v>196.6794394941976</v>
      </c>
      <c r="BK195" s="41">
        <f>AR195/'1. Väestöennuste'!N195*1000</f>
        <v>197.36438646507196</v>
      </c>
      <c r="BL195" s="41">
        <f>AS195/'1. Väestöennuste'!O195*1000</f>
        <v>206.39727513152062</v>
      </c>
      <c r="BM195" s="41">
        <f>AT195/'1. Väestöennuste'!P195*1000</f>
        <v>215.23150247729473</v>
      </c>
      <c r="BN195" s="41">
        <f>AU195/'1. Väestöennuste'!Q195*1000</f>
        <v>223.13692380172125</v>
      </c>
      <c r="BO195" s="41">
        <f>AV195/'1. Väestöennuste'!R195*1000</f>
        <v>232.16634470136691</v>
      </c>
    </row>
    <row r="196" spans="1:67" x14ac:dyDescent="0.25">
      <c r="A196" s="30">
        <v>595</v>
      </c>
      <c r="B196" s="47" t="s">
        <v>510</v>
      </c>
      <c r="C196" s="47">
        <v>20.75</v>
      </c>
      <c r="D196" s="47">
        <v>20.75</v>
      </c>
      <c r="E196" s="47">
        <v>20.75</v>
      </c>
      <c r="F196" s="47">
        <v>21.75</v>
      </c>
      <c r="G196" s="47">
        <v>21.75</v>
      </c>
      <c r="H196" s="58">
        <v>21.75</v>
      </c>
      <c r="I196" s="139">
        <v>21.749999999999996</v>
      </c>
      <c r="J196" s="139">
        <v>21.749999999999996</v>
      </c>
      <c r="K196" s="139">
        <f t="shared" si="11"/>
        <v>9.1099999999999959</v>
      </c>
      <c r="L196" s="139">
        <v>9.1</v>
      </c>
      <c r="M196" s="139">
        <f t="shared" si="14"/>
        <v>9.1</v>
      </c>
      <c r="N196" s="147">
        <f t="shared" si="14"/>
        <v>9.1</v>
      </c>
      <c r="O196" s="147">
        <f t="shared" si="14"/>
        <v>9.1</v>
      </c>
      <c r="P196" s="147">
        <f t="shared" si="14"/>
        <v>9.1</v>
      </c>
      <c r="Q196" s="147"/>
      <c r="S196" s="41">
        <f>'3. Verotulot'!D196*100/'Veroposentin tuotto'!C196</f>
        <v>53014.650313253012</v>
      </c>
      <c r="T196" s="41">
        <f>'3. Verotulot'!I196*100/'Veroposentin tuotto'!D196</f>
        <v>50457.831325301202</v>
      </c>
      <c r="U196" s="41">
        <f>'3. Verotulot'!N196*100/'Veroposentin tuotto'!E196</f>
        <v>49869.879518072288</v>
      </c>
      <c r="V196" s="41">
        <f>'3. Verotulot'!S196*100/'Veroposentin tuotto'!F196</f>
        <v>48740.229885057473</v>
      </c>
      <c r="W196" s="41">
        <f>'3. Verotulot'!X196*100/'Veroposentin tuotto'!G196</f>
        <v>50924.137931034486</v>
      </c>
      <c r="X196" s="41">
        <f>'3. Verotulot'!AC196*100/'Veroposentin tuotto'!H196</f>
        <v>49268.965517241377</v>
      </c>
      <c r="Y196" s="41">
        <f>'3. Verotulot'!AH196*100/'Veroposentin tuotto'!I196</f>
        <v>49713.571310344836</v>
      </c>
      <c r="Z196" s="41">
        <f>'3. Verotulot'!AM196*100/'Veroposentin tuotto'!J196</f>
        <v>52035.353379310356</v>
      </c>
      <c r="AA196" s="41">
        <f>'3. Verotulot'!AR196*100/'Veroposentin tuotto'!K196</f>
        <v>59905.067508232743</v>
      </c>
      <c r="AB196" s="41">
        <f>'3. Verotulot'!AW196*100/'Veroposentin tuotto'!L196</f>
        <v>59279.682104083899</v>
      </c>
      <c r="AC196" s="41">
        <f>'3. Verotulot'!BB196*100/'Veroposentin tuotto'!M196</f>
        <v>61382.330543967582</v>
      </c>
      <c r="AD196" s="41">
        <f>'3. Verotulot'!BG196*100/'Veroposentin tuotto'!N196</f>
        <v>62673.47456269875</v>
      </c>
      <c r="AE196" s="41">
        <f>'3. Verotulot'!BL196*100/'Veroposentin tuotto'!O196</f>
        <v>63582.702341883873</v>
      </c>
      <c r="AF196" s="41">
        <f>'3. Verotulot'!BQ196*100/'Veroposentin tuotto'!P196</f>
        <v>64987.962483333256</v>
      </c>
      <c r="AI196" s="41">
        <f>'3. Verotulot'!D196/'Veroposentin tuotto'!C196</f>
        <v>530.14650313253003</v>
      </c>
      <c r="AJ196" s="41">
        <f>'3. Verotulot'!I196/'Veroposentin tuotto'!D196</f>
        <v>504.57831325301203</v>
      </c>
      <c r="AK196" s="41">
        <f>'3. Verotulot'!N196/'Veroposentin tuotto'!E196</f>
        <v>498.69879518072287</v>
      </c>
      <c r="AL196" s="41">
        <f>'3. Verotulot'!S196/'Veroposentin tuotto'!F196</f>
        <v>487.40229885057471</v>
      </c>
      <c r="AM196" s="41">
        <f>'3. Verotulot'!X196/'Veroposentin tuotto'!G196</f>
        <v>509.24137931034483</v>
      </c>
      <c r="AN196" s="41">
        <f>'3. Verotulot'!AC196/'Veroposentin tuotto'!H196</f>
        <v>492.68965517241378</v>
      </c>
      <c r="AO196" s="41">
        <f>'3. Verotulot'!AH196/'Veroposentin tuotto'!I196</f>
        <v>497.13571310344838</v>
      </c>
      <c r="AP196" s="41">
        <f>'3. Verotulot'!AM196/'Veroposentin tuotto'!J196</f>
        <v>520.35353379310357</v>
      </c>
      <c r="AQ196" s="41">
        <f>'3. Verotulot'!AR196/'Veroposentin tuotto'!K196</f>
        <v>599.05067508232742</v>
      </c>
      <c r="AR196" s="41">
        <f>'3. Verotulot'!AW196/'Veroposentin tuotto'!L196</f>
        <v>592.79682104083906</v>
      </c>
      <c r="AS196" s="41">
        <f>'3. Verotulot'!BB196/'Veroposentin tuotto'!M196</f>
        <v>613.82330543967578</v>
      </c>
      <c r="AT196" s="41">
        <f>'3. Verotulot'!BG196/'Veroposentin tuotto'!N196</f>
        <v>626.73474562698743</v>
      </c>
      <c r="AU196" s="41">
        <f>'3. Verotulot'!BL196/'Veroposentin tuotto'!O196</f>
        <v>635.82702341883873</v>
      </c>
      <c r="AV196" s="41">
        <f>'3. Verotulot'!BQ196/'Veroposentin tuotto'!P196</f>
        <v>649.87962483333251</v>
      </c>
      <c r="AX196" s="146"/>
      <c r="AZ196" s="34">
        <v>595</v>
      </c>
      <c r="BA196" s="88" t="s">
        <v>510</v>
      </c>
      <c r="BB196" s="41">
        <f>AI196/'1. Väestöennuste'!E196*1000</f>
        <v>111.84525382542827</v>
      </c>
      <c r="BC196" s="41">
        <f>AJ196/'1. Väestöennuste'!F196*1000</f>
        <v>107.42565749478646</v>
      </c>
      <c r="BD196" s="41">
        <f>AK196/'1. Väestöennuste'!G196*1000</f>
        <v>107.8500854629591</v>
      </c>
      <c r="BE196" s="41">
        <f>AL196/'1. Väestöennuste'!H196*1000</f>
        <v>108.35978186984764</v>
      </c>
      <c r="BF196" s="41">
        <f>AM196/'1. Väestöennuste'!I196*1000</f>
        <v>115.97389644963444</v>
      </c>
      <c r="BG196" s="41">
        <f>AN196/'1. Väestöennuste'!J196*1000</f>
        <v>114.02213727665212</v>
      </c>
      <c r="BH196" s="41">
        <f>AO196/'1. Väestöennuste'!K196*1000</f>
        <v>116.45249779888694</v>
      </c>
      <c r="BI196" s="41">
        <f>AP196/'1. Väestöennuste'!L196*1000</f>
        <v>125.68925937031486</v>
      </c>
      <c r="BJ196" s="41">
        <f>AQ196/'1. Väestöennuste'!M196*1000</f>
        <v>147.07848639389331</v>
      </c>
      <c r="BK196" s="41">
        <f>AR196/'1. Väestöennuste'!N196*1000</f>
        <v>147.71911812629929</v>
      </c>
      <c r="BL196" s="41">
        <f>AS196/'1. Väestöennuste'!O196*1000</f>
        <v>155.67418347442958</v>
      </c>
      <c r="BM196" s="41">
        <f>AT196/'1. Väestöennuste'!P196*1000</f>
        <v>161.82151965581912</v>
      </c>
      <c r="BN196" s="41">
        <f>AU196/'1. Väestöennuste'!Q196*1000</f>
        <v>166.9275461850456</v>
      </c>
      <c r="BO196" s="41">
        <f>AV196/'1. Väestöennuste'!R196*1000</f>
        <v>173.43998527711037</v>
      </c>
    </row>
    <row r="197" spans="1:67" x14ac:dyDescent="0.25">
      <c r="A197" s="30">
        <v>598</v>
      </c>
      <c r="B197" s="47" t="s">
        <v>511</v>
      </c>
      <c r="C197" s="47">
        <v>21.25</v>
      </c>
      <c r="D197" s="47">
        <v>21.25</v>
      </c>
      <c r="E197" s="47">
        <v>21.25</v>
      </c>
      <c r="F197" s="47">
        <v>21.25</v>
      </c>
      <c r="G197" s="47">
        <v>21.25</v>
      </c>
      <c r="H197" s="58">
        <v>21.25</v>
      </c>
      <c r="I197" s="139">
        <v>21.25</v>
      </c>
      <c r="J197" s="139">
        <v>21.25</v>
      </c>
      <c r="K197" s="139">
        <f t="shared" si="11"/>
        <v>8.61</v>
      </c>
      <c r="L197" s="139">
        <v>9</v>
      </c>
      <c r="M197" s="139">
        <f t="shared" si="14"/>
        <v>9</v>
      </c>
      <c r="N197" s="147">
        <f t="shared" si="14"/>
        <v>9</v>
      </c>
      <c r="O197" s="147">
        <f t="shared" si="14"/>
        <v>9</v>
      </c>
      <c r="P197" s="147">
        <f t="shared" si="14"/>
        <v>9</v>
      </c>
      <c r="Q197" s="147"/>
      <c r="S197" s="41">
        <f>'3. Verotulot'!D197*100/'Veroposentin tuotto'!C197</f>
        <v>324267.84545882355</v>
      </c>
      <c r="T197" s="41">
        <f>'3. Verotulot'!I197*100/'Veroposentin tuotto'!D197</f>
        <v>318734.1176470588</v>
      </c>
      <c r="U197" s="41">
        <f>'3. Verotulot'!N197*100/'Veroposentin tuotto'!E197</f>
        <v>313854.1176470588</v>
      </c>
      <c r="V197" s="41">
        <f>'3. Verotulot'!S197*100/'Veroposentin tuotto'!F197</f>
        <v>311760</v>
      </c>
      <c r="W197" s="41">
        <f>'3. Verotulot'!X197*100/'Veroposentin tuotto'!G197</f>
        <v>317585.8823529412</v>
      </c>
      <c r="X197" s="41">
        <f>'3. Verotulot'!AC197*100/'Veroposentin tuotto'!H197</f>
        <v>329204.70588235295</v>
      </c>
      <c r="Y197" s="41">
        <f>'3. Verotulot'!AH197*100/'Veroposentin tuotto'!I197</f>
        <v>336387.56705882348</v>
      </c>
      <c r="Z197" s="41">
        <f>'3. Verotulot'!AM197*100/'Veroposentin tuotto'!J197</f>
        <v>347215.87294117652</v>
      </c>
      <c r="AA197" s="41">
        <f>'3. Verotulot'!AR197*100/'Veroposentin tuotto'!K197</f>
        <v>436333.63042973285</v>
      </c>
      <c r="AB197" s="41">
        <f>'3. Verotulot'!AW197*100/'Veroposentin tuotto'!L197</f>
        <v>415111.14239199006</v>
      </c>
      <c r="AC197" s="41">
        <f>'3. Verotulot'!BB197*100/'Veroposentin tuotto'!M197</f>
        <v>433148.07430659595</v>
      </c>
      <c r="AD197" s="41">
        <f>'3. Verotulot'!BG197*100/'Veroposentin tuotto'!N197</f>
        <v>452000.23139656871</v>
      </c>
      <c r="AE197" s="41">
        <f>'3. Verotulot'!BL197*100/'Veroposentin tuotto'!O197</f>
        <v>467501.91130392626</v>
      </c>
      <c r="AF197" s="41">
        <f>'3. Verotulot'!BQ197*100/'Veroposentin tuotto'!P197</f>
        <v>485495.59362852696</v>
      </c>
      <c r="AI197" s="41">
        <f>'3. Verotulot'!D197/'Veroposentin tuotto'!C197</f>
        <v>3242.6784545882351</v>
      </c>
      <c r="AJ197" s="41">
        <f>'3. Verotulot'!I197/'Veroposentin tuotto'!D197</f>
        <v>3187.3411764705884</v>
      </c>
      <c r="AK197" s="41">
        <f>'3. Verotulot'!N197/'Veroposentin tuotto'!E197</f>
        <v>3138.5411764705882</v>
      </c>
      <c r="AL197" s="41">
        <f>'3. Verotulot'!S197/'Veroposentin tuotto'!F197</f>
        <v>3117.6</v>
      </c>
      <c r="AM197" s="41">
        <f>'3. Verotulot'!X197/'Veroposentin tuotto'!G197</f>
        <v>3175.8588235294119</v>
      </c>
      <c r="AN197" s="41">
        <f>'3. Verotulot'!AC197/'Veroposentin tuotto'!H197</f>
        <v>3292.0470588235294</v>
      </c>
      <c r="AO197" s="41">
        <f>'3. Verotulot'!AH197/'Veroposentin tuotto'!I197</f>
        <v>3363.8756705882352</v>
      </c>
      <c r="AP197" s="41">
        <f>'3. Verotulot'!AM197/'Veroposentin tuotto'!J197</f>
        <v>3472.1587294117649</v>
      </c>
      <c r="AQ197" s="41">
        <f>'3. Verotulot'!AR197/'Veroposentin tuotto'!K197</f>
        <v>4363.3363042973288</v>
      </c>
      <c r="AR197" s="41">
        <f>'3. Verotulot'!AW197/'Veroposentin tuotto'!L197</f>
        <v>4151.1114239199005</v>
      </c>
      <c r="AS197" s="41">
        <f>'3. Verotulot'!BB197/'Veroposentin tuotto'!M197</f>
        <v>4331.4807430659603</v>
      </c>
      <c r="AT197" s="41">
        <f>'3. Verotulot'!BG197/'Veroposentin tuotto'!N197</f>
        <v>4520.0023139656878</v>
      </c>
      <c r="AU197" s="41">
        <f>'3. Verotulot'!BL197/'Veroposentin tuotto'!O197</f>
        <v>4675.0191130392623</v>
      </c>
      <c r="AV197" s="41">
        <f>'3. Verotulot'!BQ197/'Veroposentin tuotto'!P197</f>
        <v>4854.9559362852706</v>
      </c>
      <c r="AX197" s="146"/>
      <c r="AZ197" s="34">
        <v>598</v>
      </c>
      <c r="BA197" s="88" t="s">
        <v>511</v>
      </c>
      <c r="BB197" s="41">
        <f>AI197/'1. Väestöennuste'!E197*1000</f>
        <v>166.83877621878139</v>
      </c>
      <c r="BC197" s="41">
        <f>AJ197/'1. Väestöennuste'!F197*1000</f>
        <v>164.49095197763268</v>
      </c>
      <c r="BD197" s="41">
        <f>AK197/'1. Väestöennuste'!G197*1000</f>
        <v>161.955785978151</v>
      </c>
      <c r="BE197" s="41">
        <f>AL197/'1. Väestöennuste'!H197*1000</f>
        <v>161.71802054154998</v>
      </c>
      <c r="BF197" s="41">
        <f>AM197/'1. Väestöennuste'!I197*1000</f>
        <v>165.34042188303894</v>
      </c>
      <c r="BG197" s="41">
        <f>AN197/'1. Väestöennuste'!J197*1000</f>
        <v>172.66584804487198</v>
      </c>
      <c r="BH197" s="41">
        <f>AO197/'1. Väestöennuste'!K197*1000</f>
        <v>176.14681209552469</v>
      </c>
      <c r="BI197" s="41">
        <f>AP197/'1. Väestöennuste'!L197*1000</f>
        <v>180.77569268557113</v>
      </c>
      <c r="BJ197" s="41">
        <f>AQ197/'1. Väestöennuste'!M197*1000</f>
        <v>224.04807724248158</v>
      </c>
      <c r="BK197" s="41">
        <f>AR197/'1. Väestöennuste'!N197*1000</f>
        <v>221.21563676631499</v>
      </c>
      <c r="BL197" s="41">
        <f>AS197/'1. Väestöennuste'!O197*1000</f>
        <v>231.82834206090561</v>
      </c>
      <c r="BM197" s="41">
        <f>AT197/'1. Väestöennuste'!P197*1000</f>
        <v>243.01087709492944</v>
      </c>
      <c r="BN197" s="41">
        <f>AU197/'1. Väestöennuste'!Q197*1000</f>
        <v>252.43083763710922</v>
      </c>
      <c r="BO197" s="41">
        <f>AV197/'1. Väestöennuste'!R197*1000</f>
        <v>263.26966738708694</v>
      </c>
    </row>
    <row r="198" spans="1:67" x14ac:dyDescent="0.25">
      <c r="A198" s="30">
        <v>599</v>
      </c>
      <c r="B198" s="47" t="s">
        <v>512</v>
      </c>
      <c r="C198" s="47">
        <v>20.5</v>
      </c>
      <c r="D198" s="47">
        <v>20.5</v>
      </c>
      <c r="E198" s="47">
        <v>20.5</v>
      </c>
      <c r="F198" s="47">
        <v>20.5</v>
      </c>
      <c r="G198" s="47">
        <v>20.5</v>
      </c>
      <c r="H198" s="58">
        <v>21</v>
      </c>
      <c r="I198" s="139">
        <v>21</v>
      </c>
      <c r="J198" s="139">
        <v>21</v>
      </c>
      <c r="K198" s="139">
        <f t="shared" si="11"/>
        <v>8.36</v>
      </c>
      <c r="L198" s="139">
        <v>9</v>
      </c>
      <c r="M198" s="139">
        <f t="shared" si="14"/>
        <v>9</v>
      </c>
      <c r="N198" s="147">
        <f t="shared" si="14"/>
        <v>9</v>
      </c>
      <c r="O198" s="147">
        <f t="shared" si="14"/>
        <v>9</v>
      </c>
      <c r="P198" s="147">
        <f t="shared" si="14"/>
        <v>9</v>
      </c>
      <c r="Q198" s="147"/>
      <c r="S198" s="41">
        <f>'3. Verotulot'!D198*100/'Veroposentin tuotto'!C198</f>
        <v>149835.79170731708</v>
      </c>
      <c r="T198" s="41">
        <f>'3. Verotulot'!I198*100/'Veroposentin tuotto'!D198</f>
        <v>147687.80487804877</v>
      </c>
      <c r="U198" s="41">
        <f>'3. Verotulot'!N198*100/'Veroposentin tuotto'!E198</f>
        <v>147165.85365853659</v>
      </c>
      <c r="V198" s="41">
        <f>'3. Verotulot'!S198*100/'Veroposentin tuotto'!F198</f>
        <v>143117.07317073172</v>
      </c>
      <c r="W198" s="41">
        <f>'3. Verotulot'!X198*100/'Veroposentin tuotto'!G198</f>
        <v>148443.90243902439</v>
      </c>
      <c r="X198" s="41">
        <f>'3. Verotulot'!AC198*100/'Veroposentin tuotto'!H198</f>
        <v>156676.19047619047</v>
      </c>
      <c r="Y198" s="41">
        <f>'3. Verotulot'!AH198*100/'Veroposentin tuotto'!I198</f>
        <v>159092.54752380951</v>
      </c>
      <c r="Z198" s="41">
        <f>'3. Verotulot'!AM198*100/'Veroposentin tuotto'!J198</f>
        <v>165446.22266666667</v>
      </c>
      <c r="AA198" s="41">
        <f>'3. Verotulot'!AR198*100/'Veroposentin tuotto'!K198</f>
        <v>220243.5159090909</v>
      </c>
      <c r="AB198" s="41">
        <f>'3. Verotulot'!AW198*100/'Veroposentin tuotto'!L198</f>
        <v>206499.50261359409</v>
      </c>
      <c r="AC198" s="41">
        <f>'3. Verotulot'!BB198*100/'Veroposentin tuotto'!M198</f>
        <v>223330.13180694441</v>
      </c>
      <c r="AD198" s="41">
        <f>'3. Verotulot'!BG198*100/'Veroposentin tuotto'!N198</f>
        <v>237819.22887310613</v>
      </c>
      <c r="AE198" s="41">
        <f>'3. Verotulot'!BL198*100/'Veroposentin tuotto'!O198</f>
        <v>248413.42713727968</v>
      </c>
      <c r="AF198" s="41">
        <f>'3. Verotulot'!BQ198*100/'Veroposentin tuotto'!P198</f>
        <v>259977.85390764981</v>
      </c>
      <c r="AI198" s="41">
        <f>'3. Verotulot'!D198/'Veroposentin tuotto'!C198</f>
        <v>1498.3579170731707</v>
      </c>
      <c r="AJ198" s="41">
        <f>'3. Verotulot'!I198/'Veroposentin tuotto'!D198</f>
        <v>1476.8780487804879</v>
      </c>
      <c r="AK198" s="41">
        <f>'3. Verotulot'!N198/'Veroposentin tuotto'!E198</f>
        <v>1471.6585365853659</v>
      </c>
      <c r="AL198" s="41">
        <f>'3. Verotulot'!S198/'Veroposentin tuotto'!F198</f>
        <v>1431.1707317073171</v>
      </c>
      <c r="AM198" s="41">
        <f>'3. Verotulot'!X198/'Veroposentin tuotto'!G198</f>
        <v>1484.439024390244</v>
      </c>
      <c r="AN198" s="41">
        <f>'3. Verotulot'!AC198/'Veroposentin tuotto'!H198</f>
        <v>1566.7619047619048</v>
      </c>
      <c r="AO198" s="41">
        <f>'3. Verotulot'!AH198/'Veroposentin tuotto'!I198</f>
        <v>1590.9254752380953</v>
      </c>
      <c r="AP198" s="41">
        <f>'3. Verotulot'!AM198/'Veroposentin tuotto'!J198</f>
        <v>1654.4622266666668</v>
      </c>
      <c r="AQ198" s="41">
        <f>'3. Verotulot'!AR198/'Veroposentin tuotto'!K198</f>
        <v>2202.4351590909091</v>
      </c>
      <c r="AR198" s="41">
        <f>'3. Verotulot'!AW198/'Veroposentin tuotto'!L198</f>
        <v>2064.9950261359409</v>
      </c>
      <c r="AS198" s="41">
        <f>'3. Verotulot'!BB198/'Veroposentin tuotto'!M198</f>
        <v>2233.3013180694443</v>
      </c>
      <c r="AT198" s="41">
        <f>'3. Verotulot'!BG198/'Veroposentin tuotto'!N198</f>
        <v>2378.1922887310616</v>
      </c>
      <c r="AU198" s="41">
        <f>'3. Verotulot'!BL198/'Veroposentin tuotto'!O198</f>
        <v>2484.1342713727968</v>
      </c>
      <c r="AV198" s="41">
        <f>'3. Verotulot'!BQ198/'Veroposentin tuotto'!P198</f>
        <v>2599.7785390764984</v>
      </c>
      <c r="AX198" s="146"/>
      <c r="AZ198" s="34">
        <v>599</v>
      </c>
      <c r="BA198" s="88" t="s">
        <v>512</v>
      </c>
      <c r="BB198" s="41">
        <f>AI198/'1. Väestöennuste'!E198*1000</f>
        <v>134.63544946294999</v>
      </c>
      <c r="BC198" s="41">
        <f>AJ198/'1. Väestöennuste'!F198*1000</f>
        <v>133.44881619052026</v>
      </c>
      <c r="BD198" s="41">
        <f>AK198/'1. Väestöennuste'!G198*1000</f>
        <v>132.77323498604889</v>
      </c>
      <c r="BE198" s="41">
        <f>AL198/'1. Väestöennuste'!H198*1000</f>
        <v>129.91745930531201</v>
      </c>
      <c r="BF198" s="41">
        <f>AM198/'1. Väestöennuste'!I198*1000</f>
        <v>133.96255070753941</v>
      </c>
      <c r="BG198" s="41">
        <f>AN198/'1. Väestöennuste'!J198*1000</f>
        <v>140.21495478449123</v>
      </c>
      <c r="BH198" s="41">
        <f>AO198/'1. Väestöennuste'!K198*1000</f>
        <v>142.40292474383236</v>
      </c>
      <c r="BI198" s="41">
        <f>AP198/'1. Väestöennuste'!L198*1000</f>
        <v>147.64074840859064</v>
      </c>
      <c r="BJ198" s="41">
        <f>AQ198/'1. Väestöennuste'!M198*1000</f>
        <v>196.20803199028146</v>
      </c>
      <c r="BK198" s="41">
        <f>AR198/'1. Väestöennuste'!N198*1000</f>
        <v>183.22937232794507</v>
      </c>
      <c r="BL198" s="41">
        <f>AS198/'1. Väestöennuste'!O198*1000</f>
        <v>197.79482048263611</v>
      </c>
      <c r="BM198" s="41">
        <f>AT198/'1. Väestöennuste'!P198*1000</f>
        <v>210.29200537015311</v>
      </c>
      <c r="BN198" s="41">
        <f>AU198/'1. Väestöennuste'!Q198*1000</f>
        <v>219.4077257880937</v>
      </c>
      <c r="BO198" s="41">
        <f>AV198/'1. Väestöennuste'!R198*1000</f>
        <v>229.4192145319889</v>
      </c>
    </row>
    <row r="199" spans="1:67" x14ac:dyDescent="0.25">
      <c r="A199" s="30">
        <v>601</v>
      </c>
      <c r="B199" s="47" t="s">
        <v>513</v>
      </c>
      <c r="C199" s="47">
        <v>21</v>
      </c>
      <c r="D199" s="47">
        <v>21</v>
      </c>
      <c r="E199" s="47">
        <v>21</v>
      </c>
      <c r="F199" s="47">
        <v>21</v>
      </c>
      <c r="G199" s="47">
        <v>21</v>
      </c>
      <c r="H199" s="58">
        <v>21</v>
      </c>
      <c r="I199" s="139">
        <v>21</v>
      </c>
      <c r="J199" s="139">
        <v>21</v>
      </c>
      <c r="K199" s="139">
        <f t="shared" si="11"/>
        <v>8.36</v>
      </c>
      <c r="L199" s="139">
        <v>8.4</v>
      </c>
      <c r="M199" s="139">
        <f t="shared" si="14"/>
        <v>8.4</v>
      </c>
      <c r="N199" s="147">
        <f t="shared" si="14"/>
        <v>8.4</v>
      </c>
      <c r="O199" s="147">
        <f t="shared" si="14"/>
        <v>8.4</v>
      </c>
      <c r="P199" s="147">
        <f t="shared" si="14"/>
        <v>8.4</v>
      </c>
      <c r="Q199" s="147"/>
      <c r="S199" s="41">
        <f>'3. Verotulot'!D199*100/'Veroposentin tuotto'!C199</f>
        <v>48245.367285714288</v>
      </c>
      <c r="T199" s="41">
        <f>'3. Verotulot'!I199*100/'Veroposentin tuotto'!D199</f>
        <v>45409.523809523809</v>
      </c>
      <c r="U199" s="41">
        <f>'3. Verotulot'!N199*100/'Veroposentin tuotto'!E199</f>
        <v>47009.523809523809</v>
      </c>
      <c r="V199" s="41">
        <f>'3. Verotulot'!S199*100/'Veroposentin tuotto'!F199</f>
        <v>44247.619047619046</v>
      </c>
      <c r="W199" s="41">
        <f>'3. Verotulot'!X199*100/'Veroposentin tuotto'!G199</f>
        <v>46366.666666666664</v>
      </c>
      <c r="X199" s="41">
        <f>'3. Verotulot'!AC199*100/'Veroposentin tuotto'!H199</f>
        <v>46204.761904761908</v>
      </c>
      <c r="Y199" s="41">
        <f>'3. Verotulot'!AH199*100/'Veroposentin tuotto'!I199</f>
        <v>47743.530809523807</v>
      </c>
      <c r="Z199" s="41">
        <f>'3. Verotulot'!AM199*100/'Veroposentin tuotto'!J199</f>
        <v>51093.84780952381</v>
      </c>
      <c r="AA199" s="41">
        <f>'3. Verotulot'!AR199*100/'Veroposentin tuotto'!K199</f>
        <v>62368.887559808616</v>
      </c>
      <c r="AB199" s="41">
        <f>'3. Verotulot'!AW199*100/'Veroposentin tuotto'!L199</f>
        <v>58919.024672767955</v>
      </c>
      <c r="AC199" s="41">
        <f>'3. Verotulot'!BB199*100/'Veroposentin tuotto'!M199</f>
        <v>60994.506773761939</v>
      </c>
      <c r="AD199" s="41">
        <f>'3. Verotulot'!BG199*100/'Veroposentin tuotto'!N199</f>
        <v>62754.865438721397</v>
      </c>
      <c r="AE199" s="41">
        <f>'3. Verotulot'!BL199*100/'Veroposentin tuotto'!O199</f>
        <v>63944.204423793955</v>
      </c>
      <c r="AF199" s="41">
        <f>'3. Verotulot'!BQ199*100/'Veroposentin tuotto'!P199</f>
        <v>65605.760847568541</v>
      </c>
      <c r="AI199" s="41">
        <f>'3. Verotulot'!D199/'Veroposentin tuotto'!C199</f>
        <v>482.45367285714286</v>
      </c>
      <c r="AJ199" s="41">
        <f>'3. Verotulot'!I199/'Veroposentin tuotto'!D199</f>
        <v>454.09523809523807</v>
      </c>
      <c r="AK199" s="41">
        <f>'3. Verotulot'!N199/'Veroposentin tuotto'!E199</f>
        <v>470.09523809523807</v>
      </c>
      <c r="AL199" s="41">
        <f>'3. Verotulot'!S199/'Veroposentin tuotto'!F199</f>
        <v>442.47619047619048</v>
      </c>
      <c r="AM199" s="41">
        <f>'3. Verotulot'!X199/'Veroposentin tuotto'!G199</f>
        <v>463.66666666666669</v>
      </c>
      <c r="AN199" s="41">
        <f>'3. Verotulot'!AC199/'Veroposentin tuotto'!H199</f>
        <v>462.04761904761904</v>
      </c>
      <c r="AO199" s="41">
        <f>'3. Verotulot'!AH199/'Veroposentin tuotto'!I199</f>
        <v>477.4353080952381</v>
      </c>
      <c r="AP199" s="41">
        <f>'3. Verotulot'!AM199/'Veroposentin tuotto'!J199</f>
        <v>510.93847809523805</v>
      </c>
      <c r="AQ199" s="41">
        <f>'3. Verotulot'!AR199/'Veroposentin tuotto'!K199</f>
        <v>623.68887559808616</v>
      </c>
      <c r="AR199" s="41">
        <f>'3. Verotulot'!AW199/'Veroposentin tuotto'!L199</f>
        <v>589.19024672767955</v>
      </c>
      <c r="AS199" s="41">
        <f>'3. Verotulot'!BB199/'Veroposentin tuotto'!M199</f>
        <v>609.94506773761941</v>
      </c>
      <c r="AT199" s="41">
        <f>'3. Verotulot'!BG199/'Veroposentin tuotto'!N199</f>
        <v>627.54865438721401</v>
      </c>
      <c r="AU199" s="41">
        <f>'3. Verotulot'!BL199/'Veroposentin tuotto'!O199</f>
        <v>639.44204423793951</v>
      </c>
      <c r="AV199" s="41">
        <f>'3. Verotulot'!BQ199/'Veroposentin tuotto'!P199</f>
        <v>656.05760847568536</v>
      </c>
      <c r="AX199" s="146"/>
      <c r="AZ199" s="34">
        <v>601</v>
      </c>
      <c r="BA199" s="88" t="s">
        <v>513</v>
      </c>
      <c r="BB199" s="41">
        <f>AI199/'1. Väestöennuste'!E199*1000</f>
        <v>114.29842995904829</v>
      </c>
      <c r="BC199" s="41">
        <f>AJ199/'1. Väestöennuste'!F199*1000</f>
        <v>108.06645361619182</v>
      </c>
      <c r="BD199" s="41">
        <f>AK199/'1. Väestöennuste'!G199*1000</f>
        <v>113.90725420286844</v>
      </c>
      <c r="BE199" s="41">
        <f>AL199/'1. Väestöennuste'!H199*1000</f>
        <v>109.17251183720465</v>
      </c>
      <c r="BF199" s="41">
        <f>AM199/'1. Väestöennuste'!I199*1000</f>
        <v>114.99669312169313</v>
      </c>
      <c r="BG199" s="41">
        <f>AN199/'1. Väestöennuste'!J199*1000</f>
        <v>117.53946045474918</v>
      </c>
      <c r="BH199" s="41">
        <f>AO199/'1. Väestöennuste'!K199*1000</f>
        <v>123.27273640465739</v>
      </c>
      <c r="BI199" s="41">
        <f>AP199/'1. Väestöennuste'!L199*1000</f>
        <v>134.95469574623297</v>
      </c>
      <c r="BJ199" s="41">
        <f>AQ199/'1. Väestöennuste'!M199*1000</f>
        <v>166.80633206688583</v>
      </c>
      <c r="BK199" s="41">
        <f>AR199/'1. Väestöennuste'!N199*1000</f>
        <v>159.97563039035555</v>
      </c>
      <c r="BL199" s="41">
        <f>AS199/'1. Väestöennuste'!O199*1000</f>
        <v>168.12157324631187</v>
      </c>
      <c r="BM199" s="41">
        <f>AT199/'1. Väestöennuste'!P199*1000</f>
        <v>175.63634323739547</v>
      </c>
      <c r="BN199" s="41">
        <f>AU199/'1. Väestöennuste'!Q199*1000</f>
        <v>181.50497991426042</v>
      </c>
      <c r="BO199" s="41">
        <f>AV199/'1. Väestöennuste'!R199*1000</f>
        <v>188.90227713092006</v>
      </c>
    </row>
    <row r="200" spans="1:67" x14ac:dyDescent="0.25">
      <c r="A200" s="30">
        <v>604</v>
      </c>
      <c r="B200" s="47" t="s">
        <v>514</v>
      </c>
      <c r="C200" s="47">
        <v>20</v>
      </c>
      <c r="D200" s="47">
        <v>20</v>
      </c>
      <c r="E200" s="47">
        <v>20</v>
      </c>
      <c r="F200" s="47">
        <v>20</v>
      </c>
      <c r="G200" s="47">
        <v>20</v>
      </c>
      <c r="H200" s="58">
        <v>20.5</v>
      </c>
      <c r="I200" s="139">
        <v>20.5</v>
      </c>
      <c r="J200" s="139">
        <v>20.5</v>
      </c>
      <c r="K200" s="139">
        <f t="shared" si="11"/>
        <v>7.8599999999999994</v>
      </c>
      <c r="L200" s="139">
        <v>7.9</v>
      </c>
      <c r="M200" s="139">
        <f t="shared" si="14"/>
        <v>7.9</v>
      </c>
      <c r="N200" s="147">
        <f t="shared" si="14"/>
        <v>7.9</v>
      </c>
      <c r="O200" s="147">
        <f t="shared" si="14"/>
        <v>7.9</v>
      </c>
      <c r="P200" s="147">
        <f t="shared" si="14"/>
        <v>7.9</v>
      </c>
      <c r="Q200" s="147"/>
      <c r="S200" s="41">
        <f>'3. Verotulot'!D200*100/'Veroposentin tuotto'!C200</f>
        <v>370388.31715000002</v>
      </c>
      <c r="T200" s="41">
        <f>'3. Verotulot'!I200*100/'Veroposentin tuotto'!D200</f>
        <v>388480</v>
      </c>
      <c r="U200" s="41">
        <f>'3. Verotulot'!N200*100/'Veroposentin tuotto'!E200</f>
        <v>382705</v>
      </c>
      <c r="V200" s="41">
        <f>'3. Verotulot'!S200*100/'Veroposentin tuotto'!F200</f>
        <v>384345</v>
      </c>
      <c r="W200" s="41">
        <f>'3. Verotulot'!X200*100/'Veroposentin tuotto'!G200</f>
        <v>404535</v>
      </c>
      <c r="X200" s="41">
        <f>'3. Verotulot'!AC200*100/'Veroposentin tuotto'!H200</f>
        <v>422390.24390243902</v>
      </c>
      <c r="Y200" s="41">
        <f>'3. Verotulot'!AH200*100/'Veroposentin tuotto'!I200</f>
        <v>428067.50878048781</v>
      </c>
      <c r="Z200" s="41">
        <f>'3. Verotulot'!AM200*100/'Veroposentin tuotto'!J200</f>
        <v>474256.66004878056</v>
      </c>
      <c r="AA200" s="41">
        <f>'3. Verotulot'!AR200*100/'Veroposentin tuotto'!K200</f>
        <v>615154.76310432574</v>
      </c>
      <c r="AB200" s="41">
        <f>'3. Verotulot'!AW200*100/'Veroposentin tuotto'!L200</f>
        <v>564163.13965919917</v>
      </c>
      <c r="AC200" s="41">
        <f>'3. Verotulot'!BB200*100/'Veroposentin tuotto'!M200</f>
        <v>594900.34011584322</v>
      </c>
      <c r="AD200" s="41">
        <f>'3. Verotulot'!BG200*100/'Veroposentin tuotto'!N200</f>
        <v>624627.64740235091</v>
      </c>
      <c r="AE200" s="41">
        <f>'3. Verotulot'!BL200*100/'Veroposentin tuotto'!O200</f>
        <v>649625.80106581992</v>
      </c>
      <c r="AF200" s="41">
        <f>'3. Verotulot'!BQ200*100/'Veroposentin tuotto'!P200</f>
        <v>677057.6427367701</v>
      </c>
      <c r="AI200" s="41">
        <f>'3. Verotulot'!D200/'Veroposentin tuotto'!C200</f>
        <v>3703.8831715000001</v>
      </c>
      <c r="AJ200" s="41">
        <f>'3. Verotulot'!I200/'Veroposentin tuotto'!D200</f>
        <v>3884.8</v>
      </c>
      <c r="AK200" s="41">
        <f>'3. Verotulot'!N200/'Veroposentin tuotto'!E200</f>
        <v>3827.05</v>
      </c>
      <c r="AL200" s="41">
        <f>'3. Verotulot'!S200/'Veroposentin tuotto'!F200</f>
        <v>3843.45</v>
      </c>
      <c r="AM200" s="41">
        <f>'3. Verotulot'!X200/'Veroposentin tuotto'!G200</f>
        <v>4045.35</v>
      </c>
      <c r="AN200" s="41">
        <f>'3. Verotulot'!AC200/'Veroposentin tuotto'!H200</f>
        <v>4223.9024390243903</v>
      </c>
      <c r="AO200" s="41">
        <f>'3. Verotulot'!AH200/'Veroposentin tuotto'!I200</f>
        <v>4280.6750878048779</v>
      </c>
      <c r="AP200" s="41">
        <f>'3. Verotulot'!AM200/'Veroposentin tuotto'!J200</f>
        <v>4742.5666004878049</v>
      </c>
      <c r="AQ200" s="41">
        <f>'3. Verotulot'!AR200/'Veroposentin tuotto'!K200</f>
        <v>6151.5476310432578</v>
      </c>
      <c r="AR200" s="41">
        <f>'3. Verotulot'!AW200/'Veroposentin tuotto'!L200</f>
        <v>5641.6313965919917</v>
      </c>
      <c r="AS200" s="41">
        <f>'3. Verotulot'!BB200/'Veroposentin tuotto'!M200</f>
        <v>5949.0034011584321</v>
      </c>
      <c r="AT200" s="41">
        <f>'3. Verotulot'!BG200/'Veroposentin tuotto'!N200</f>
        <v>6246.2764740235079</v>
      </c>
      <c r="AU200" s="41">
        <f>'3. Verotulot'!BL200/'Veroposentin tuotto'!O200</f>
        <v>6496.2580106582</v>
      </c>
      <c r="AV200" s="41">
        <f>'3. Verotulot'!BQ200/'Veroposentin tuotto'!P200</f>
        <v>6770.5764273677005</v>
      </c>
      <c r="AX200" s="146"/>
      <c r="AZ200" s="34">
        <v>604</v>
      </c>
      <c r="BA200" s="88" t="s">
        <v>514</v>
      </c>
      <c r="BB200" s="41">
        <f>AI200/'1. Väestöennuste'!E200*1000</f>
        <v>195.8379512240258</v>
      </c>
      <c r="BC200" s="41">
        <f>AJ200/'1. Väestöennuste'!F200*1000</f>
        <v>202.72399937379328</v>
      </c>
      <c r="BD200" s="41">
        <f>AK200/'1. Väestöennuste'!G200*1000</f>
        <v>198.9421427457504</v>
      </c>
      <c r="BE200" s="41">
        <f>AL200/'1. Väestöennuste'!H200*1000</f>
        <v>198.44330855018586</v>
      </c>
      <c r="BF200" s="41">
        <f>AM200/'1. Väestöennuste'!I200*1000</f>
        <v>206.15349334964071</v>
      </c>
      <c r="BG200" s="41">
        <f>AN200/'1. Väestöennuste'!J200*1000</f>
        <v>213.29608842217797</v>
      </c>
      <c r="BH200" s="41">
        <f>AO200/'1. Väestöennuste'!K200*1000</f>
        <v>211.85168206497465</v>
      </c>
      <c r="BI200" s="41">
        <f>AP200/'1. Väestöennuste'!L200*1000</f>
        <v>232.42178880116663</v>
      </c>
      <c r="BJ200" s="41">
        <f>AQ200/'1. Väestöennuste'!M200*1000</f>
        <v>296.27450903257034</v>
      </c>
      <c r="BK200" s="41">
        <f>AR200/'1. Väestöennuste'!N200*1000</f>
        <v>275.51064104077705</v>
      </c>
      <c r="BL200" s="41">
        <f>AS200/'1. Väestöennuste'!O200*1000</f>
        <v>288.3526441354482</v>
      </c>
      <c r="BM200" s="41">
        <f>AT200/'1. Väestöennuste'!P200*1000</f>
        <v>300.61971672073867</v>
      </c>
      <c r="BN200" s="41">
        <f>AU200/'1. Väestöennuste'!Q200*1000</f>
        <v>310.57312285022709</v>
      </c>
      <c r="BO200" s="41">
        <f>AV200/'1. Väestöennuste'!R200*1000</f>
        <v>321.65786628189943</v>
      </c>
    </row>
    <row r="201" spans="1:67" x14ac:dyDescent="0.25">
      <c r="A201" s="30">
        <v>607</v>
      </c>
      <c r="B201" s="47" t="s">
        <v>515</v>
      </c>
      <c r="C201" s="47">
        <v>19.5</v>
      </c>
      <c r="D201" s="47">
        <v>20.25</v>
      </c>
      <c r="E201" s="47">
        <v>20.25</v>
      </c>
      <c r="F201" s="47">
        <v>20.25</v>
      </c>
      <c r="G201" s="47">
        <v>20.25</v>
      </c>
      <c r="H201" s="58">
        <v>20.25</v>
      </c>
      <c r="I201" s="139">
        <v>20.25</v>
      </c>
      <c r="J201" s="139">
        <v>20.25</v>
      </c>
      <c r="K201" s="139">
        <f t="shared" si="11"/>
        <v>7.6099999999999994</v>
      </c>
      <c r="L201" s="139">
        <v>8.5</v>
      </c>
      <c r="M201" s="139">
        <f t="shared" si="14"/>
        <v>8.5</v>
      </c>
      <c r="N201" s="147">
        <f t="shared" si="14"/>
        <v>8.5</v>
      </c>
      <c r="O201" s="147">
        <f t="shared" si="14"/>
        <v>8.5</v>
      </c>
      <c r="P201" s="147">
        <f t="shared" si="14"/>
        <v>8.5</v>
      </c>
      <c r="Q201" s="147"/>
      <c r="S201" s="41">
        <f>'3. Verotulot'!D201*100/'Veroposentin tuotto'!C201</f>
        <v>52299.99687179488</v>
      </c>
      <c r="T201" s="41">
        <f>'3. Verotulot'!I201*100/'Veroposentin tuotto'!D201</f>
        <v>47698.765432098764</v>
      </c>
      <c r="U201" s="41">
        <f>'3. Verotulot'!N201*100/'Veroposentin tuotto'!E201</f>
        <v>49200</v>
      </c>
      <c r="V201" s="41">
        <f>'3. Verotulot'!S201*100/'Veroposentin tuotto'!F201</f>
        <v>45545.679012345681</v>
      </c>
      <c r="W201" s="41">
        <f>'3. Verotulot'!X201*100/'Veroposentin tuotto'!G201</f>
        <v>47239.506172839509</v>
      </c>
      <c r="X201" s="41">
        <f>'3. Verotulot'!AC201*100/'Veroposentin tuotto'!H201</f>
        <v>47180.246913580246</v>
      </c>
      <c r="Y201" s="41">
        <f>'3. Verotulot'!AH201*100/'Veroposentin tuotto'!I201</f>
        <v>49099.131209876541</v>
      </c>
      <c r="Z201" s="41">
        <f>'3. Verotulot'!AM201*100/'Veroposentin tuotto'!J201</f>
        <v>50290.104691358021</v>
      </c>
      <c r="AA201" s="41">
        <f>'3. Verotulot'!AR201*100/'Veroposentin tuotto'!K201</f>
        <v>59558.389224704348</v>
      </c>
      <c r="AB201" s="41">
        <f>'3. Verotulot'!AW201*100/'Veroposentin tuotto'!L201</f>
        <v>59120.716484059885</v>
      </c>
      <c r="AC201" s="41">
        <f>'3. Verotulot'!BB201*100/'Veroposentin tuotto'!M201</f>
        <v>61610.998476482338</v>
      </c>
      <c r="AD201" s="41">
        <f>'3. Verotulot'!BG201*100/'Veroposentin tuotto'!N201</f>
        <v>63396.977194995554</v>
      </c>
      <c r="AE201" s="41">
        <f>'3. Verotulot'!BL201*100/'Veroposentin tuotto'!O201</f>
        <v>65040.403846167013</v>
      </c>
      <c r="AF201" s="41">
        <f>'3. Verotulot'!BQ201*100/'Veroposentin tuotto'!P201</f>
        <v>66746.462591892545</v>
      </c>
      <c r="AI201" s="41">
        <f>'3. Verotulot'!D201/'Veroposentin tuotto'!C201</f>
        <v>522.99996871794872</v>
      </c>
      <c r="AJ201" s="41">
        <f>'3. Verotulot'!I201/'Veroposentin tuotto'!D201</f>
        <v>476.98765432098764</v>
      </c>
      <c r="AK201" s="41">
        <f>'3. Verotulot'!N201/'Veroposentin tuotto'!E201</f>
        <v>492</v>
      </c>
      <c r="AL201" s="41">
        <f>'3. Verotulot'!S201/'Veroposentin tuotto'!F201</f>
        <v>455.45679012345681</v>
      </c>
      <c r="AM201" s="41">
        <f>'3. Verotulot'!X201/'Veroposentin tuotto'!G201</f>
        <v>472.39506172839504</v>
      </c>
      <c r="AN201" s="41">
        <f>'3. Verotulot'!AC201/'Veroposentin tuotto'!H201</f>
        <v>471.80246913580248</v>
      </c>
      <c r="AO201" s="41">
        <f>'3. Verotulot'!AH201/'Veroposentin tuotto'!I201</f>
        <v>490.99131209876543</v>
      </c>
      <c r="AP201" s="41">
        <f>'3. Verotulot'!AM201/'Veroposentin tuotto'!J201</f>
        <v>502.90104691358022</v>
      </c>
      <c r="AQ201" s="41">
        <f>'3. Verotulot'!AR201/'Veroposentin tuotto'!K201</f>
        <v>595.58389224704342</v>
      </c>
      <c r="AR201" s="41">
        <f>'3. Verotulot'!AW201/'Veroposentin tuotto'!L201</f>
        <v>591.20716484059892</v>
      </c>
      <c r="AS201" s="41">
        <f>'3. Verotulot'!BB201/'Veroposentin tuotto'!M201</f>
        <v>616.10998476482337</v>
      </c>
      <c r="AT201" s="41">
        <f>'3. Verotulot'!BG201/'Veroposentin tuotto'!N201</f>
        <v>633.96977194995543</v>
      </c>
      <c r="AU201" s="41">
        <f>'3. Verotulot'!BL201/'Veroposentin tuotto'!O201</f>
        <v>650.4040384616701</v>
      </c>
      <c r="AV201" s="41">
        <f>'3. Verotulot'!BQ201/'Veroposentin tuotto'!P201</f>
        <v>667.46462591892544</v>
      </c>
      <c r="AX201" s="146"/>
      <c r="AZ201" s="34">
        <v>607</v>
      </c>
      <c r="BA201" s="88" t="s">
        <v>515</v>
      </c>
      <c r="BB201" s="41">
        <f>AI201/'1. Väestöennuste'!E201*1000</f>
        <v>114.79367179937417</v>
      </c>
      <c r="BC201" s="41">
        <f>AJ201/'1. Väestöennuste'!F201*1000</f>
        <v>105.66851004009474</v>
      </c>
      <c r="BD201" s="41">
        <f>AK201/'1. Väestöennuste'!G201*1000</f>
        <v>111.46352514725872</v>
      </c>
      <c r="BE201" s="41">
        <f>AL201/'1. Väestöennuste'!H201*1000</f>
        <v>105.74803578441067</v>
      </c>
      <c r="BF201" s="41">
        <f>AM201/'1. Väestöennuste'!I201*1000</f>
        <v>111.25649122194891</v>
      </c>
      <c r="BG201" s="41">
        <f>AN201/'1. Väestöennuste'!J201*1000</f>
        <v>112.30718141771067</v>
      </c>
      <c r="BH201" s="41">
        <f>AO201/'1. Väestöennuste'!K201*1000</f>
        <v>117.99839271779992</v>
      </c>
      <c r="BI201" s="41">
        <f>AP201/'1. Väestöennuste'!L201*1000</f>
        <v>123.13933567913325</v>
      </c>
      <c r="BJ201" s="41">
        <f>AQ201/'1. Väestöennuste'!M201*1000</f>
        <v>146.55115458834732</v>
      </c>
      <c r="BK201" s="41">
        <f>AR201/'1. Väestöennuste'!N201*1000</f>
        <v>149.71060137771562</v>
      </c>
      <c r="BL201" s="41">
        <f>AS201/'1. Väestöennuste'!O201*1000</f>
        <v>158.30164048428145</v>
      </c>
      <c r="BM201" s="41">
        <f>AT201/'1. Väestöennuste'!P201*1000</f>
        <v>165.09629477863422</v>
      </c>
      <c r="BN201" s="41">
        <f>AU201/'1. Väestöennuste'!Q201*1000</f>
        <v>171.79187492384312</v>
      </c>
      <c r="BO201" s="41">
        <f>AV201/'1. Väestöennuste'!R201*1000</f>
        <v>178.8969782682727</v>
      </c>
    </row>
    <row r="202" spans="1:67" x14ac:dyDescent="0.25">
      <c r="A202" s="30">
        <v>608</v>
      </c>
      <c r="B202" s="47" t="s">
        <v>516</v>
      </c>
      <c r="C202" s="47">
        <v>20.5</v>
      </c>
      <c r="D202" s="47">
        <v>20.5</v>
      </c>
      <c r="E202" s="47">
        <v>20.5</v>
      </c>
      <c r="F202" s="47">
        <v>20.5</v>
      </c>
      <c r="G202" s="47">
        <v>21.5</v>
      </c>
      <c r="H202" s="58">
        <v>21.5</v>
      </c>
      <c r="I202" s="139">
        <v>21.5</v>
      </c>
      <c r="J202" s="139">
        <v>21.5</v>
      </c>
      <c r="K202" s="139">
        <f t="shared" si="11"/>
        <v>8.86</v>
      </c>
      <c r="L202" s="139">
        <v>9.9</v>
      </c>
      <c r="M202" s="139">
        <f t="shared" si="14"/>
        <v>9.9</v>
      </c>
      <c r="N202" s="147">
        <f t="shared" si="14"/>
        <v>9.9</v>
      </c>
      <c r="O202" s="147">
        <f t="shared" si="14"/>
        <v>9.9</v>
      </c>
      <c r="P202" s="147">
        <f t="shared" si="14"/>
        <v>9.9</v>
      </c>
      <c r="Q202" s="147"/>
      <c r="S202" s="41">
        <f>'3. Verotulot'!D202*100/'Veroposentin tuotto'!C202</f>
        <v>27716.581902439026</v>
      </c>
      <c r="T202" s="41">
        <f>'3. Verotulot'!I202*100/'Veroposentin tuotto'!D202</f>
        <v>27209.756097560974</v>
      </c>
      <c r="U202" s="41">
        <f>'3. Verotulot'!N202*100/'Veroposentin tuotto'!E202</f>
        <v>26804.878048780487</v>
      </c>
      <c r="V202" s="41">
        <f>'3. Verotulot'!S202*100/'Veroposentin tuotto'!F202</f>
        <v>24546.341463414636</v>
      </c>
      <c r="W202" s="41">
        <f>'3. Verotulot'!X202*100/'Veroposentin tuotto'!G202</f>
        <v>27488.372093023256</v>
      </c>
      <c r="X202" s="41">
        <f>'3. Verotulot'!AC202*100/'Veroposentin tuotto'!H202</f>
        <v>26567.441860465115</v>
      </c>
      <c r="Y202" s="41">
        <f>'3. Verotulot'!AH202*100/'Veroposentin tuotto'!I202</f>
        <v>28103.206139534886</v>
      </c>
      <c r="Z202" s="41">
        <f>'3. Verotulot'!AM202*100/'Veroposentin tuotto'!J202</f>
        <v>28081.059162790698</v>
      </c>
      <c r="AA202" s="41">
        <f>'3. Verotulot'!AR202*100/'Veroposentin tuotto'!K202</f>
        <v>35953.51072234763</v>
      </c>
      <c r="AB202" s="41">
        <f>'3. Verotulot'!AW202*100/'Veroposentin tuotto'!L202</f>
        <v>32686.136244816094</v>
      </c>
      <c r="AC202" s="41">
        <f>'3. Verotulot'!BB202*100/'Veroposentin tuotto'!M202</f>
        <v>34559.726660220731</v>
      </c>
      <c r="AD202" s="41">
        <f>'3. Verotulot'!BG202*100/'Veroposentin tuotto'!N202</f>
        <v>35720.287436426501</v>
      </c>
      <c r="AE202" s="41">
        <f>'3. Verotulot'!BL202*100/'Veroposentin tuotto'!O202</f>
        <v>36461.527628557909</v>
      </c>
      <c r="AF202" s="41">
        <f>'3. Verotulot'!BQ202*100/'Veroposentin tuotto'!P202</f>
        <v>37345.730776960874</v>
      </c>
      <c r="AI202" s="41">
        <f>'3. Verotulot'!D202/'Veroposentin tuotto'!C202</f>
        <v>277.16581902439026</v>
      </c>
      <c r="AJ202" s="41">
        <f>'3. Verotulot'!I202/'Veroposentin tuotto'!D202</f>
        <v>272.09756097560978</v>
      </c>
      <c r="AK202" s="41">
        <f>'3. Verotulot'!N202/'Veroposentin tuotto'!E202</f>
        <v>268.04878048780489</v>
      </c>
      <c r="AL202" s="41">
        <f>'3. Verotulot'!S202/'Veroposentin tuotto'!F202</f>
        <v>245.46341463414635</v>
      </c>
      <c r="AM202" s="41">
        <f>'3. Verotulot'!X202/'Veroposentin tuotto'!G202</f>
        <v>274.88372093023258</v>
      </c>
      <c r="AN202" s="41">
        <f>'3. Verotulot'!AC202/'Veroposentin tuotto'!H202</f>
        <v>265.67441860465118</v>
      </c>
      <c r="AO202" s="41">
        <f>'3. Verotulot'!AH202/'Veroposentin tuotto'!I202</f>
        <v>281.03206139534888</v>
      </c>
      <c r="AP202" s="41">
        <f>'3. Verotulot'!AM202/'Veroposentin tuotto'!J202</f>
        <v>280.81059162790694</v>
      </c>
      <c r="AQ202" s="41">
        <f>'3. Verotulot'!AR202/'Veroposentin tuotto'!K202</f>
        <v>359.5351072234763</v>
      </c>
      <c r="AR202" s="41">
        <f>'3. Verotulot'!AW202/'Veroposentin tuotto'!L202</f>
        <v>326.86136244816095</v>
      </c>
      <c r="AS202" s="41">
        <f>'3. Verotulot'!BB202/'Veroposentin tuotto'!M202</f>
        <v>345.5972666022073</v>
      </c>
      <c r="AT202" s="41">
        <f>'3. Verotulot'!BG202/'Veroposentin tuotto'!N202</f>
        <v>357.20287436426497</v>
      </c>
      <c r="AU202" s="41">
        <f>'3. Verotulot'!BL202/'Veroposentin tuotto'!O202</f>
        <v>364.61527628557911</v>
      </c>
      <c r="AV202" s="41">
        <f>'3. Verotulot'!BQ202/'Veroposentin tuotto'!P202</f>
        <v>373.45730776960875</v>
      </c>
      <c r="AX202" s="146"/>
      <c r="AZ202" s="34">
        <v>608</v>
      </c>
      <c r="BA202" s="88" t="s">
        <v>516</v>
      </c>
      <c r="BB202" s="41">
        <f>AI202/'1. Väestöennuste'!E202*1000</f>
        <v>123.7347406358885</v>
      </c>
      <c r="BC202" s="41">
        <f>AJ202/'1. Väestöennuste'!F202*1000</f>
        <v>121.85291579740698</v>
      </c>
      <c r="BD202" s="41">
        <f>AK202/'1. Väestöennuste'!G202*1000</f>
        <v>123.7528995788573</v>
      </c>
      <c r="BE202" s="41">
        <f>AL202/'1. Väestöennuste'!H202*1000</f>
        <v>114.38183347350716</v>
      </c>
      <c r="BF202" s="41">
        <f>AM202/'1. Väestöennuste'!I202*1000</f>
        <v>131.58627138833538</v>
      </c>
      <c r="BG202" s="41">
        <f>AN202/'1. Väestöennuste'!J202*1000</f>
        <v>128.78061977927831</v>
      </c>
      <c r="BH202" s="41">
        <f>AO202/'1. Väestöennuste'!K202*1000</f>
        <v>139.60857496043164</v>
      </c>
      <c r="BI202" s="41">
        <f>AP202/'1. Väestöennuste'!L202*1000</f>
        <v>141.82353112520551</v>
      </c>
      <c r="BJ202" s="41">
        <f>AQ202/'1. Väestöennuste'!M202*1000</f>
        <v>185.04122862762549</v>
      </c>
      <c r="BK202" s="41">
        <f>AR202/'1. Väestöennuste'!N202*1000</f>
        <v>167.79330721158158</v>
      </c>
      <c r="BL202" s="41">
        <f>AS202/'1. Väestöennuste'!O202*1000</f>
        <v>179.71776734384153</v>
      </c>
      <c r="BM202" s="41">
        <f>AT202/'1. Väestöennuste'!P202*1000</f>
        <v>188.29882676028728</v>
      </c>
      <c r="BN202" s="41">
        <f>AU202/'1. Väestöennuste'!Q202*1000</f>
        <v>194.87721875231378</v>
      </c>
      <c r="BO202" s="41">
        <f>AV202/'1. Väestöennuste'!R202*1000</f>
        <v>202.19670155365932</v>
      </c>
    </row>
    <row r="203" spans="1:67" x14ac:dyDescent="0.25">
      <c r="A203" s="30">
        <v>609</v>
      </c>
      <c r="B203" s="47" t="s">
        <v>517</v>
      </c>
      <c r="C203" s="47">
        <v>19.75</v>
      </c>
      <c r="D203" s="47">
        <v>19.75</v>
      </c>
      <c r="E203" s="47">
        <v>19.75</v>
      </c>
      <c r="F203" s="47">
        <v>19.75</v>
      </c>
      <c r="G203" s="47">
        <v>20.25</v>
      </c>
      <c r="H203" s="58">
        <v>20.25</v>
      </c>
      <c r="I203" s="139">
        <v>21.000000000000004</v>
      </c>
      <c r="J203" s="139">
        <v>21.000000000000004</v>
      </c>
      <c r="K203" s="139">
        <f t="shared" si="11"/>
        <v>8.360000000000003</v>
      </c>
      <c r="L203" s="139">
        <v>8.4</v>
      </c>
      <c r="M203" s="139">
        <f t="shared" si="14"/>
        <v>8.4</v>
      </c>
      <c r="N203" s="147">
        <f t="shared" si="14"/>
        <v>8.4</v>
      </c>
      <c r="O203" s="147">
        <f t="shared" si="14"/>
        <v>8.4</v>
      </c>
      <c r="P203" s="147">
        <f t="shared" si="14"/>
        <v>8.4</v>
      </c>
      <c r="Q203" s="147"/>
      <c r="S203" s="41">
        <f>'3. Verotulot'!D203*100/'Veroposentin tuotto'!C203</f>
        <v>1359077.1481012658</v>
      </c>
      <c r="T203" s="41">
        <f>'3. Verotulot'!I203*100/'Veroposentin tuotto'!D203</f>
        <v>1372400</v>
      </c>
      <c r="U203" s="41">
        <f>'3. Verotulot'!N203*100/'Veroposentin tuotto'!E203</f>
        <v>1333605.0632911392</v>
      </c>
      <c r="V203" s="41">
        <f>'3. Verotulot'!S203*100/'Veroposentin tuotto'!F203</f>
        <v>1345807.5949367089</v>
      </c>
      <c r="W203" s="41">
        <f>'3. Verotulot'!X203*100/'Veroposentin tuotto'!G203</f>
        <v>1350409.8765432099</v>
      </c>
      <c r="X203" s="41">
        <f>'3. Verotulot'!AC203*100/'Veroposentin tuotto'!H203</f>
        <v>1392671.6049382717</v>
      </c>
      <c r="Y203" s="41">
        <f>'3. Verotulot'!AH203*100/'Veroposentin tuotto'!I203</f>
        <v>1397569.5655714283</v>
      </c>
      <c r="Z203" s="41">
        <f>'3. Verotulot'!AM203*100/'Veroposentin tuotto'!J203</f>
        <v>1467704.5395238092</v>
      </c>
      <c r="AA203" s="41">
        <f>'3. Verotulot'!AR203*100/'Veroposentin tuotto'!K203</f>
        <v>1851053.9078947359</v>
      </c>
      <c r="AB203" s="41">
        <f>'3. Verotulot'!AW203*100/'Veroposentin tuotto'!L203</f>
        <v>1741149.470383513</v>
      </c>
      <c r="AC203" s="41">
        <f>'3. Verotulot'!BB203*100/'Veroposentin tuotto'!M203</f>
        <v>1830644.3844524657</v>
      </c>
      <c r="AD203" s="41">
        <f>'3. Verotulot'!BG203*100/'Veroposentin tuotto'!N203</f>
        <v>1907720.2837392644</v>
      </c>
      <c r="AE203" s="41">
        <f>'3. Verotulot'!BL203*100/'Veroposentin tuotto'!O203</f>
        <v>1971960.9028371999</v>
      </c>
      <c r="AF203" s="41">
        <f>'3. Verotulot'!BQ203*100/'Veroposentin tuotto'!P203</f>
        <v>2044822.0269180173</v>
      </c>
      <c r="AI203" s="41">
        <f>'3. Verotulot'!D203/'Veroposentin tuotto'!C203</f>
        <v>13590.771481012658</v>
      </c>
      <c r="AJ203" s="41">
        <f>'3. Verotulot'!I203/'Veroposentin tuotto'!D203</f>
        <v>13724</v>
      </c>
      <c r="AK203" s="41">
        <f>'3. Verotulot'!N203/'Veroposentin tuotto'!E203</f>
        <v>13336.050632911392</v>
      </c>
      <c r="AL203" s="41">
        <f>'3. Verotulot'!S203/'Veroposentin tuotto'!F203</f>
        <v>13458.075949367088</v>
      </c>
      <c r="AM203" s="41">
        <f>'3. Verotulot'!X203/'Veroposentin tuotto'!G203</f>
        <v>13504.098765432098</v>
      </c>
      <c r="AN203" s="41">
        <f>'3. Verotulot'!AC203/'Veroposentin tuotto'!H203</f>
        <v>13926.716049382716</v>
      </c>
      <c r="AO203" s="41">
        <f>'3. Verotulot'!AH203/'Veroposentin tuotto'!I203</f>
        <v>13975.695655714282</v>
      </c>
      <c r="AP203" s="41">
        <f>'3. Verotulot'!AM203/'Veroposentin tuotto'!J203</f>
        <v>14677.045395238092</v>
      </c>
      <c r="AQ203" s="41">
        <f>'3. Verotulot'!AR203/'Veroposentin tuotto'!K203</f>
        <v>18510.53907894736</v>
      </c>
      <c r="AR203" s="41">
        <f>'3. Verotulot'!AW203/'Veroposentin tuotto'!L203</f>
        <v>17411.494703835131</v>
      </c>
      <c r="AS203" s="41">
        <f>'3. Verotulot'!BB203/'Veroposentin tuotto'!M203</f>
        <v>18306.443844524656</v>
      </c>
      <c r="AT203" s="41">
        <f>'3. Verotulot'!BG203/'Veroposentin tuotto'!N203</f>
        <v>19077.202837392641</v>
      </c>
      <c r="AU203" s="41">
        <f>'3. Verotulot'!BL203/'Veroposentin tuotto'!O203</f>
        <v>19719.609028372</v>
      </c>
      <c r="AV203" s="41">
        <f>'3. Verotulot'!BQ203/'Veroposentin tuotto'!P203</f>
        <v>20448.220269180176</v>
      </c>
      <c r="AX203" s="146"/>
      <c r="AZ203" s="34">
        <v>609</v>
      </c>
      <c r="BA203" s="88" t="s">
        <v>517</v>
      </c>
      <c r="BB203" s="41">
        <f>AI203/'1. Väestöennuste'!E203*1000</f>
        <v>159.21150241922916</v>
      </c>
      <c r="BC203" s="41">
        <f>AJ203/'1. Väestöennuste'!F203*1000</f>
        <v>161.3468298475176</v>
      </c>
      <c r="BD203" s="41">
        <f>AK203/'1. Väestöennuste'!G203*1000</f>
        <v>157.66075913451701</v>
      </c>
      <c r="BE203" s="41">
        <f>AL203/'1. Väestöennuste'!H203*1000</f>
        <v>159.45020851589504</v>
      </c>
      <c r="BF203" s="41">
        <f>AM203/'1. Väestöennuste'!I203*1000</f>
        <v>160.88949371449112</v>
      </c>
      <c r="BG203" s="41">
        <f>AN203/'1. Väestöennuste'!J203*1000</f>
        <v>166.42029598707896</v>
      </c>
      <c r="BH203" s="41">
        <f>AO203/'1. Väestöennuste'!K203*1000</f>
        <v>167.40968898342496</v>
      </c>
      <c r="BI203" s="41">
        <f>AP203/'1. Väestöennuste'!L203*1000</f>
        <v>176.39619488297689</v>
      </c>
      <c r="BJ203" s="41">
        <f>AQ203/'1. Väestöennuste'!M203*1000</f>
        <v>222.73408753817245</v>
      </c>
      <c r="BK203" s="41">
        <f>AR203/'1. Väestöennuste'!N203*1000</f>
        <v>211.69762670778425</v>
      </c>
      <c r="BL203" s="41">
        <f>AS203/'1. Väestöennuste'!O203*1000</f>
        <v>223.5928847317177</v>
      </c>
      <c r="BM203" s="41">
        <f>AT203/'1. Väestöennuste'!P203*1000</f>
        <v>234.09046981278163</v>
      </c>
      <c r="BN203" s="41">
        <f>AU203/'1. Väestöennuste'!Q203*1000</f>
        <v>243.1038146404162</v>
      </c>
      <c r="BO203" s="41">
        <f>AV203/'1. Väestöennuste'!R203*1000</f>
        <v>253.26950802209862</v>
      </c>
    </row>
    <row r="204" spans="1:67" x14ac:dyDescent="0.25">
      <c r="A204" s="30">
        <v>611</v>
      </c>
      <c r="B204" s="47" t="s">
        <v>518</v>
      </c>
      <c r="C204" s="47">
        <v>20</v>
      </c>
      <c r="D204" s="47">
        <v>20.5</v>
      </c>
      <c r="E204" s="47">
        <v>20.5</v>
      </c>
      <c r="F204" s="47">
        <v>20.5</v>
      </c>
      <c r="G204" s="47">
        <v>20.5</v>
      </c>
      <c r="H204" s="58">
        <v>20.5</v>
      </c>
      <c r="I204" s="139">
        <v>20.5</v>
      </c>
      <c r="J204" s="139">
        <v>20.5</v>
      </c>
      <c r="K204" s="139">
        <f t="shared" si="11"/>
        <v>7.8599999999999994</v>
      </c>
      <c r="L204" s="139">
        <v>7.9</v>
      </c>
      <c r="M204" s="139">
        <f t="shared" si="14"/>
        <v>7.9</v>
      </c>
      <c r="N204" s="147">
        <f t="shared" si="14"/>
        <v>7.9</v>
      </c>
      <c r="O204" s="147">
        <f t="shared" si="14"/>
        <v>7.9</v>
      </c>
      <c r="P204" s="147">
        <f t="shared" si="14"/>
        <v>7.9</v>
      </c>
      <c r="Q204" s="147"/>
      <c r="S204" s="41">
        <f>'3. Verotulot'!D204*100/'Veroposentin tuotto'!C204</f>
        <v>85051.998999999996</v>
      </c>
      <c r="T204" s="41">
        <f>'3. Verotulot'!I204*100/'Veroposentin tuotto'!D204</f>
        <v>87009.756097560981</v>
      </c>
      <c r="U204" s="41">
        <f>'3. Verotulot'!N204*100/'Veroposentin tuotto'!E204</f>
        <v>88000</v>
      </c>
      <c r="V204" s="41">
        <f>'3. Verotulot'!S204*100/'Veroposentin tuotto'!F204</f>
        <v>86760.975609756104</v>
      </c>
      <c r="W204" s="41">
        <f>'3. Verotulot'!X204*100/'Veroposentin tuotto'!G204</f>
        <v>88760.975609756104</v>
      </c>
      <c r="X204" s="41">
        <f>'3. Verotulot'!AC204*100/'Veroposentin tuotto'!H204</f>
        <v>95239.024390243896</v>
      </c>
      <c r="Y204" s="41">
        <f>'3. Verotulot'!AH204*100/'Veroposentin tuotto'!I204</f>
        <v>96422.762292682921</v>
      </c>
      <c r="Z204" s="41">
        <f>'3. Verotulot'!AM204*100/'Veroposentin tuotto'!J204</f>
        <v>101734.94892682928</v>
      </c>
      <c r="AA204" s="41">
        <f>'3. Verotulot'!AR204*100/'Veroposentin tuotto'!K204</f>
        <v>129115.11310432572</v>
      </c>
      <c r="AB204" s="41">
        <f>'3. Verotulot'!AW204*100/'Veroposentin tuotto'!L204</f>
        <v>119944.16529691666</v>
      </c>
      <c r="AC204" s="41">
        <f>'3. Verotulot'!BB204*100/'Veroposentin tuotto'!M204</f>
        <v>128608.39803856704</v>
      </c>
      <c r="AD204" s="41">
        <f>'3. Verotulot'!BG204*100/'Veroposentin tuotto'!N204</f>
        <v>135358.91901524525</v>
      </c>
      <c r="AE204" s="41">
        <f>'3. Verotulot'!BL204*100/'Veroposentin tuotto'!O204</f>
        <v>141128.33888092506</v>
      </c>
      <c r="AF204" s="41">
        <f>'3. Verotulot'!BQ204*100/'Veroposentin tuotto'!P204</f>
        <v>147548.99621235125</v>
      </c>
      <c r="AI204" s="41">
        <f>'3. Verotulot'!D204/'Veroposentin tuotto'!C204</f>
        <v>850.51999000000001</v>
      </c>
      <c r="AJ204" s="41">
        <f>'3. Verotulot'!I204/'Veroposentin tuotto'!D204</f>
        <v>870.09756097560978</v>
      </c>
      <c r="AK204" s="41">
        <f>'3. Verotulot'!N204/'Veroposentin tuotto'!E204</f>
        <v>880</v>
      </c>
      <c r="AL204" s="41">
        <f>'3. Verotulot'!S204/'Veroposentin tuotto'!F204</f>
        <v>867.60975609756099</v>
      </c>
      <c r="AM204" s="41">
        <f>'3. Verotulot'!X204/'Veroposentin tuotto'!G204</f>
        <v>887.60975609756099</v>
      </c>
      <c r="AN204" s="41">
        <f>'3. Verotulot'!AC204/'Veroposentin tuotto'!H204</f>
        <v>952.39024390243901</v>
      </c>
      <c r="AO204" s="41">
        <f>'3. Verotulot'!AH204/'Veroposentin tuotto'!I204</f>
        <v>964.22762292682921</v>
      </c>
      <c r="AP204" s="41">
        <f>'3. Verotulot'!AM204/'Veroposentin tuotto'!J204</f>
        <v>1017.3494892682928</v>
      </c>
      <c r="AQ204" s="41">
        <f>'3. Verotulot'!AR204/'Veroposentin tuotto'!K204</f>
        <v>1291.1511310432572</v>
      </c>
      <c r="AR204" s="41">
        <f>'3. Verotulot'!AW204/'Veroposentin tuotto'!L204</f>
        <v>1199.4416529691666</v>
      </c>
      <c r="AS204" s="41">
        <f>'3. Verotulot'!BB204/'Veroposentin tuotto'!M204</f>
        <v>1286.0839803856704</v>
      </c>
      <c r="AT204" s="41">
        <f>'3. Verotulot'!BG204/'Veroposentin tuotto'!N204</f>
        <v>1353.5891901524526</v>
      </c>
      <c r="AU204" s="41">
        <f>'3. Verotulot'!BL204/'Veroposentin tuotto'!O204</f>
        <v>1411.2833888092505</v>
      </c>
      <c r="AV204" s="41">
        <f>'3. Verotulot'!BQ204/'Veroposentin tuotto'!P204</f>
        <v>1475.4899621235124</v>
      </c>
      <c r="AX204" s="146"/>
      <c r="AZ204" s="34">
        <v>611</v>
      </c>
      <c r="BA204" s="88" t="s">
        <v>518</v>
      </c>
      <c r="BB204" s="41">
        <f>AI204/'1. Väestöennuste'!E204*1000</f>
        <v>165.95512000000002</v>
      </c>
      <c r="BC204" s="41">
        <f>AJ204/'1. Väestöennuste'!F204*1000</f>
        <v>170.34016463892127</v>
      </c>
      <c r="BD204" s="41">
        <f>AK204/'1. Väestöennuste'!G204*1000</f>
        <v>171.84143721929308</v>
      </c>
      <c r="BE204" s="41">
        <f>AL204/'1. Väestöennuste'!H204*1000</f>
        <v>171.1937166727626</v>
      </c>
      <c r="BF204" s="41">
        <f>AM204/'1. Väestöennuste'!I204*1000</f>
        <v>176.28793566982341</v>
      </c>
      <c r="BG204" s="41">
        <f>AN204/'1. Väestöennuste'!J204*1000</f>
        <v>187.84817433973154</v>
      </c>
      <c r="BH204" s="41">
        <f>AO204/'1. Väestöennuste'!K204*1000</f>
        <v>190.33312730494063</v>
      </c>
      <c r="BI204" s="41">
        <f>AP204/'1. Väestöennuste'!L204*1000</f>
        <v>203.0232467108946</v>
      </c>
      <c r="BJ204" s="41">
        <f>AQ204/'1. Väestöennuste'!M204*1000</f>
        <v>259.6322403063055</v>
      </c>
      <c r="BK204" s="41">
        <f>AR204/'1. Väestöennuste'!N204*1000</f>
        <v>236.95014874934148</v>
      </c>
      <c r="BL204" s="41">
        <f>AS204/'1. Väestöennuste'!O204*1000</f>
        <v>253.81566615071449</v>
      </c>
      <c r="BM204" s="41">
        <f>AT204/'1. Väestöennuste'!P204*1000</f>
        <v>266.71708180343893</v>
      </c>
      <c r="BN204" s="41">
        <f>AU204/'1. Väestöennuste'!Q204*1000</f>
        <v>277.42940609578346</v>
      </c>
      <c r="BO204" s="41">
        <f>AV204/'1. Väestöennuste'!R204*1000</f>
        <v>289.48204083255104</v>
      </c>
    </row>
    <row r="205" spans="1:67" x14ac:dyDescent="0.25">
      <c r="A205" s="30">
        <v>614</v>
      </c>
      <c r="B205" s="47" t="s">
        <v>519</v>
      </c>
      <c r="C205" s="47">
        <v>21</v>
      </c>
      <c r="D205" s="47">
        <v>21.75</v>
      </c>
      <c r="E205" s="47">
        <v>21.75</v>
      </c>
      <c r="F205" s="47">
        <v>21.75</v>
      </c>
      <c r="G205" s="47">
        <v>21.75</v>
      </c>
      <c r="H205" s="58">
        <v>21.75</v>
      </c>
      <c r="I205" s="139">
        <v>21.75</v>
      </c>
      <c r="J205" s="139">
        <v>21.75</v>
      </c>
      <c r="K205" s="139">
        <f t="shared" si="11"/>
        <v>9.11</v>
      </c>
      <c r="L205" s="139">
        <v>9.1</v>
      </c>
      <c r="M205" s="139">
        <f t="shared" si="14"/>
        <v>9.1</v>
      </c>
      <c r="N205" s="147">
        <f t="shared" si="14"/>
        <v>9.1</v>
      </c>
      <c r="O205" s="147">
        <f t="shared" si="14"/>
        <v>9.1</v>
      </c>
      <c r="P205" s="147">
        <f t="shared" si="14"/>
        <v>9.1</v>
      </c>
      <c r="Q205" s="147"/>
      <c r="S205" s="41">
        <f>'3. Verotulot'!D205*100/'Veroposentin tuotto'!C205</f>
        <v>41540.399571428577</v>
      </c>
      <c r="T205" s="41">
        <f>'3. Verotulot'!I205*100/'Veroposentin tuotto'!D205</f>
        <v>37360.919540229886</v>
      </c>
      <c r="U205" s="41">
        <f>'3. Verotulot'!N205*100/'Veroposentin tuotto'!E205</f>
        <v>39494.252873563215</v>
      </c>
      <c r="V205" s="41">
        <f>'3. Verotulot'!S205*100/'Veroposentin tuotto'!F205</f>
        <v>34533.333333333336</v>
      </c>
      <c r="W205" s="41">
        <f>'3. Verotulot'!X205*100/'Veroposentin tuotto'!G205</f>
        <v>36841.379310344826</v>
      </c>
      <c r="X205" s="41">
        <f>'3. Verotulot'!AC205*100/'Veroposentin tuotto'!H205</f>
        <v>38174.712643678162</v>
      </c>
      <c r="Y205" s="41">
        <f>'3. Verotulot'!AH205*100/'Veroposentin tuotto'!I205</f>
        <v>40516.09609195403</v>
      </c>
      <c r="Z205" s="41">
        <f>'3. Verotulot'!AM205*100/'Veroposentin tuotto'!J205</f>
        <v>38871.649517241378</v>
      </c>
      <c r="AA205" s="41">
        <f>'3. Verotulot'!AR205*100/'Veroposentin tuotto'!K205</f>
        <v>49750.305488474216</v>
      </c>
      <c r="AB205" s="41">
        <f>'3. Verotulot'!AW205*100/'Veroposentin tuotto'!L205</f>
        <v>45810.447379276258</v>
      </c>
      <c r="AC205" s="41">
        <f>'3. Verotulot'!BB205*100/'Veroposentin tuotto'!M205</f>
        <v>47523.438161985832</v>
      </c>
      <c r="AD205" s="41">
        <f>'3. Verotulot'!BG205*100/'Veroposentin tuotto'!N205</f>
        <v>48315.401187968295</v>
      </c>
      <c r="AE205" s="41">
        <f>'3. Verotulot'!BL205*100/'Veroposentin tuotto'!O205</f>
        <v>49156.74728808974</v>
      </c>
      <c r="AF205" s="41">
        <f>'3. Verotulot'!BQ205*100/'Veroposentin tuotto'!P205</f>
        <v>50055.991090622956</v>
      </c>
      <c r="AI205" s="41">
        <f>'3. Verotulot'!D205/'Veroposentin tuotto'!C205</f>
        <v>415.40399571428577</v>
      </c>
      <c r="AJ205" s="41">
        <f>'3. Verotulot'!I205/'Veroposentin tuotto'!D205</f>
        <v>373.60919540229884</v>
      </c>
      <c r="AK205" s="41">
        <f>'3. Verotulot'!N205/'Veroposentin tuotto'!E205</f>
        <v>394.94252873563221</v>
      </c>
      <c r="AL205" s="41">
        <f>'3. Verotulot'!S205/'Veroposentin tuotto'!F205</f>
        <v>345.33333333333331</v>
      </c>
      <c r="AM205" s="41">
        <f>'3. Verotulot'!X205/'Veroposentin tuotto'!G205</f>
        <v>368.41379310344826</v>
      </c>
      <c r="AN205" s="41">
        <f>'3. Verotulot'!AC205/'Veroposentin tuotto'!H205</f>
        <v>381.74712643678163</v>
      </c>
      <c r="AO205" s="41">
        <f>'3. Verotulot'!AH205/'Veroposentin tuotto'!I205</f>
        <v>405.16096091954029</v>
      </c>
      <c r="AP205" s="41">
        <f>'3. Verotulot'!AM205/'Veroposentin tuotto'!J205</f>
        <v>388.71649517241377</v>
      </c>
      <c r="AQ205" s="41">
        <f>'3. Verotulot'!AR205/'Veroposentin tuotto'!K205</f>
        <v>497.50305488474208</v>
      </c>
      <c r="AR205" s="41">
        <f>'3. Verotulot'!AW205/'Veroposentin tuotto'!L205</f>
        <v>458.10447379276263</v>
      </c>
      <c r="AS205" s="41">
        <f>'3. Verotulot'!BB205/'Veroposentin tuotto'!M205</f>
        <v>475.23438161985837</v>
      </c>
      <c r="AT205" s="41">
        <f>'3. Verotulot'!BG205/'Veroposentin tuotto'!N205</f>
        <v>483.15401187968286</v>
      </c>
      <c r="AU205" s="41">
        <f>'3. Verotulot'!BL205/'Veroposentin tuotto'!O205</f>
        <v>491.56747288089741</v>
      </c>
      <c r="AV205" s="41">
        <f>'3. Verotulot'!BQ205/'Veroposentin tuotto'!P205</f>
        <v>500.55991090622962</v>
      </c>
      <c r="AX205" s="146"/>
      <c r="AZ205" s="34">
        <v>614</v>
      </c>
      <c r="BA205" s="88" t="s">
        <v>519</v>
      </c>
      <c r="BB205" s="41">
        <f>AI205/'1. Väestöennuste'!E205*1000</f>
        <v>119.47195735239741</v>
      </c>
      <c r="BC205" s="41">
        <f>AJ205/'1. Väestöennuste'!F205*1000</f>
        <v>109.11483510581158</v>
      </c>
      <c r="BD205" s="41">
        <f>AK205/'1. Väestöennuste'!G205*1000</f>
        <v>119.31798451227559</v>
      </c>
      <c r="BE205" s="41">
        <f>AL205/'1. Väestöennuste'!H205*1000</f>
        <v>106.68314282772114</v>
      </c>
      <c r="BF205" s="41">
        <f>AM205/'1. Väestöennuste'!I205*1000</f>
        <v>115.74420141484394</v>
      </c>
      <c r="BG205" s="41">
        <f>AN205/'1. Väestöennuste'!J205*1000</f>
        <v>122.47261034224627</v>
      </c>
      <c r="BH205" s="41">
        <f>AO205/'1. Väestöennuste'!K205*1000</f>
        <v>132.14643213292246</v>
      </c>
      <c r="BI205" s="41">
        <f>AP205/'1. Väestöennuste'!L205*1000</f>
        <v>129.61537018086489</v>
      </c>
      <c r="BJ205" s="41">
        <f>AQ205/'1. Väestöennuste'!M205*1000</f>
        <v>170.20289253668903</v>
      </c>
      <c r="BK205" s="41">
        <f>AR205/'1. Väestöennuste'!N205*1000</f>
        <v>160.40072611791408</v>
      </c>
      <c r="BL205" s="41">
        <f>AS205/'1. Väestöennuste'!O205*1000</f>
        <v>169.4844442296214</v>
      </c>
      <c r="BM205" s="41">
        <f>AT205/'1. Väestöennuste'!P205*1000</f>
        <v>175.24628649970361</v>
      </c>
      <c r="BN205" s="41">
        <f>AU205/'1. Väestöennuste'!Q205*1000</f>
        <v>181.3902113951651</v>
      </c>
      <c r="BO205" s="41">
        <f>AV205/'1. Väestöennuste'!R205*1000</f>
        <v>187.68650577661401</v>
      </c>
    </row>
    <row r="206" spans="1:67" x14ac:dyDescent="0.25">
      <c r="A206" s="30">
        <v>615</v>
      </c>
      <c r="B206" s="47" t="s">
        <v>520</v>
      </c>
      <c r="C206" s="47">
        <v>20.5</v>
      </c>
      <c r="D206" s="47">
        <v>20.5</v>
      </c>
      <c r="E206" s="47">
        <v>20.5</v>
      </c>
      <c r="F206" s="47">
        <v>20.5</v>
      </c>
      <c r="G206" s="47">
        <v>20.5</v>
      </c>
      <c r="H206" s="58">
        <v>20.5</v>
      </c>
      <c r="I206" s="139">
        <v>21</v>
      </c>
      <c r="J206" s="139">
        <v>21</v>
      </c>
      <c r="K206" s="139">
        <f t="shared" si="11"/>
        <v>8.36</v>
      </c>
      <c r="L206" s="139">
        <v>9</v>
      </c>
      <c r="M206" s="139">
        <f t="shared" si="14"/>
        <v>9</v>
      </c>
      <c r="N206" s="147">
        <f t="shared" si="14"/>
        <v>9</v>
      </c>
      <c r="O206" s="147">
        <f t="shared" si="14"/>
        <v>9</v>
      </c>
      <c r="P206" s="147">
        <f t="shared" si="14"/>
        <v>9</v>
      </c>
      <c r="Q206" s="147"/>
      <c r="S206" s="41">
        <f>'3. Verotulot'!D206*100/'Veroposentin tuotto'!C206</f>
        <v>92031.001853658527</v>
      </c>
      <c r="T206" s="41">
        <f>'3. Verotulot'!I206*100/'Veroposentin tuotto'!D206</f>
        <v>88834.14634146342</v>
      </c>
      <c r="U206" s="41">
        <f>'3. Verotulot'!N206*100/'Veroposentin tuotto'!E206</f>
        <v>90063.414634146335</v>
      </c>
      <c r="V206" s="41">
        <f>'3. Verotulot'!S206*100/'Veroposentin tuotto'!F206</f>
        <v>85663.414634146335</v>
      </c>
      <c r="W206" s="41">
        <f>'3. Verotulot'!X206*100/'Veroposentin tuotto'!G206</f>
        <v>89234.14634146342</v>
      </c>
      <c r="X206" s="41">
        <f>'3. Verotulot'!AC206*100/'Veroposentin tuotto'!H206</f>
        <v>88926.829268292684</v>
      </c>
      <c r="Y206" s="41">
        <f>'3. Verotulot'!AH206*100/'Veroposentin tuotto'!I206</f>
        <v>94461.190476190459</v>
      </c>
      <c r="Z206" s="41">
        <f>'3. Verotulot'!AM206*100/'Veroposentin tuotto'!J206</f>
        <v>96452.396428571432</v>
      </c>
      <c r="AA206" s="41">
        <f>'3. Verotulot'!AR206*100/'Veroposentin tuotto'!K206</f>
        <v>117149.58923444977</v>
      </c>
      <c r="AB206" s="41">
        <f>'3. Verotulot'!AW206*100/'Veroposentin tuotto'!L206</f>
        <v>111684.23377053789</v>
      </c>
      <c r="AC206" s="41">
        <f>'3. Verotulot'!BB206*100/'Veroposentin tuotto'!M206</f>
        <v>117622.69873975463</v>
      </c>
      <c r="AD206" s="41">
        <f>'3. Verotulot'!BG206*100/'Veroposentin tuotto'!N206</f>
        <v>121583.82036713658</v>
      </c>
      <c r="AE206" s="41">
        <f>'3. Verotulot'!BL206*100/'Veroposentin tuotto'!O206</f>
        <v>124579.10532220097</v>
      </c>
      <c r="AF206" s="41">
        <f>'3. Verotulot'!BQ206*100/'Veroposentin tuotto'!P206</f>
        <v>128330.3826282519</v>
      </c>
      <c r="AI206" s="41">
        <f>'3. Verotulot'!D206/'Veroposentin tuotto'!C206</f>
        <v>920.31001853658518</v>
      </c>
      <c r="AJ206" s="41">
        <f>'3. Verotulot'!I206/'Veroposentin tuotto'!D206</f>
        <v>888.34146341463418</v>
      </c>
      <c r="AK206" s="41">
        <f>'3. Verotulot'!N206/'Veroposentin tuotto'!E206</f>
        <v>900.63414634146341</v>
      </c>
      <c r="AL206" s="41">
        <f>'3. Verotulot'!S206/'Veroposentin tuotto'!F206</f>
        <v>856.63414634146341</v>
      </c>
      <c r="AM206" s="41">
        <f>'3. Verotulot'!X206/'Veroposentin tuotto'!G206</f>
        <v>892.34146341463418</v>
      </c>
      <c r="AN206" s="41">
        <f>'3. Verotulot'!AC206/'Veroposentin tuotto'!H206</f>
        <v>889.26829268292681</v>
      </c>
      <c r="AO206" s="41">
        <f>'3. Verotulot'!AH206/'Veroposentin tuotto'!I206</f>
        <v>944.61190476190473</v>
      </c>
      <c r="AP206" s="41">
        <f>'3. Verotulot'!AM206/'Veroposentin tuotto'!J206</f>
        <v>964.52396428571433</v>
      </c>
      <c r="AQ206" s="41">
        <f>'3. Verotulot'!AR206/'Veroposentin tuotto'!K206</f>
        <v>1171.4958923444976</v>
      </c>
      <c r="AR206" s="41">
        <f>'3. Verotulot'!AW206/'Veroposentin tuotto'!L206</f>
        <v>1116.8423377053789</v>
      </c>
      <c r="AS206" s="41">
        <f>'3. Verotulot'!BB206/'Veroposentin tuotto'!M206</f>
        <v>1176.2269873975465</v>
      </c>
      <c r="AT206" s="41">
        <f>'3. Verotulot'!BG206/'Veroposentin tuotto'!N206</f>
        <v>1215.8382036713658</v>
      </c>
      <c r="AU206" s="41">
        <f>'3. Verotulot'!BL206/'Veroposentin tuotto'!O206</f>
        <v>1245.7910532220094</v>
      </c>
      <c r="AV206" s="41">
        <f>'3. Verotulot'!BQ206/'Veroposentin tuotto'!P206</f>
        <v>1283.3038262825189</v>
      </c>
      <c r="AX206" s="146"/>
      <c r="AZ206" s="34">
        <v>615</v>
      </c>
      <c r="BA206" s="88" t="s">
        <v>520</v>
      </c>
      <c r="BB206" s="41">
        <f>AI206/'1. Väestöennuste'!E206*1000</f>
        <v>111.45815896046811</v>
      </c>
      <c r="BC206" s="41">
        <f>AJ206/'1. Väestöennuste'!F206*1000</f>
        <v>108.50634706420352</v>
      </c>
      <c r="BD206" s="41">
        <f>AK206/'1. Väestöennuste'!G206*1000</f>
        <v>111.14823477001893</v>
      </c>
      <c r="BE206" s="41">
        <f>AL206/'1. Väestöennuste'!H206*1000</f>
        <v>107.21328489880644</v>
      </c>
      <c r="BF206" s="41">
        <f>AM206/'1. Väestöennuste'!I206*1000</f>
        <v>113.34198696997767</v>
      </c>
      <c r="BG206" s="41">
        <f>AN206/'1. Väestöennuste'!J206*1000</f>
        <v>114.31653074725888</v>
      </c>
      <c r="BH206" s="41">
        <f>AO206/'1. Väestöennuste'!K206*1000</f>
        <v>122.64501490027327</v>
      </c>
      <c r="BI206" s="41">
        <f>AP206/'1. Väestöennuste'!L206*1000</f>
        <v>126.86097123315984</v>
      </c>
      <c r="BJ206" s="41">
        <f>AQ206/'1. Väestöennuste'!M206*1000</f>
        <v>156.63803882129932</v>
      </c>
      <c r="BK206" s="41">
        <f>AR206/'1. Väestöennuste'!N206*1000</f>
        <v>150.90424776454248</v>
      </c>
      <c r="BL206" s="41">
        <f>AS206/'1. Väestöennuste'!O206*1000</f>
        <v>160.8185654084696</v>
      </c>
      <c r="BM206" s="41">
        <f>AT206/'1. Väestöennuste'!P206*1000</f>
        <v>168.21225839393549</v>
      </c>
      <c r="BN206" s="41">
        <f>AU206/'1. Väestöennuste'!Q206*1000</f>
        <v>174.26088309162253</v>
      </c>
      <c r="BO206" s="41">
        <f>AV206/'1. Väestöennuste'!R206*1000</f>
        <v>181.48830805862241</v>
      </c>
    </row>
    <row r="207" spans="1:67" x14ac:dyDescent="0.25">
      <c r="A207" s="30">
        <v>616</v>
      </c>
      <c r="B207" s="47" t="s">
        <v>521</v>
      </c>
      <c r="C207" s="47">
        <v>22</v>
      </c>
      <c r="D207" s="47">
        <v>22</v>
      </c>
      <c r="E207" s="47">
        <v>22</v>
      </c>
      <c r="F207" s="47">
        <v>21.5</v>
      </c>
      <c r="G207" s="47">
        <v>21.5</v>
      </c>
      <c r="H207" s="58">
        <v>21.5</v>
      </c>
      <c r="I207" s="139">
        <v>21.5</v>
      </c>
      <c r="J207" s="139">
        <v>21.5</v>
      </c>
      <c r="K207" s="139">
        <f t="shared" ref="K207:K270" si="15">J207-$K$9</f>
        <v>8.86</v>
      </c>
      <c r="L207" s="139">
        <v>8.9</v>
      </c>
      <c r="M207" s="139">
        <f t="shared" si="14"/>
        <v>8.9</v>
      </c>
      <c r="N207" s="147">
        <f t="shared" si="14"/>
        <v>8.9</v>
      </c>
      <c r="O207" s="147">
        <f t="shared" si="14"/>
        <v>8.9</v>
      </c>
      <c r="P207" s="147">
        <f t="shared" si="14"/>
        <v>8.9</v>
      </c>
      <c r="Q207" s="147"/>
      <c r="S207" s="41">
        <f>'3. Verotulot'!D207*100/'Veroposentin tuotto'!C207</f>
        <v>29309.828318181822</v>
      </c>
      <c r="T207" s="41">
        <f>'3. Verotulot'!I207*100/'Veroposentin tuotto'!D207</f>
        <v>29586.363636363636</v>
      </c>
      <c r="U207" s="41">
        <f>'3. Verotulot'!N207*100/'Veroposentin tuotto'!E207</f>
        <v>29800</v>
      </c>
      <c r="V207" s="41">
        <f>'3. Verotulot'!S207*100/'Veroposentin tuotto'!F207</f>
        <v>26990.697674418603</v>
      </c>
      <c r="W207" s="41">
        <f>'3. Verotulot'!X207*100/'Veroposentin tuotto'!G207</f>
        <v>28106.976744186046</v>
      </c>
      <c r="X207" s="41">
        <f>'3. Verotulot'!AC207*100/'Veroposentin tuotto'!H207</f>
        <v>29316.279069767443</v>
      </c>
      <c r="Y207" s="41">
        <f>'3. Verotulot'!AH207*100/'Veroposentin tuotto'!I207</f>
        <v>30162.054186046513</v>
      </c>
      <c r="Z207" s="41">
        <f>'3. Verotulot'!AM207*100/'Veroposentin tuotto'!J207</f>
        <v>31463.726976744187</v>
      </c>
      <c r="AA207" s="41">
        <f>'3. Verotulot'!AR207*100/'Veroposentin tuotto'!K207</f>
        <v>38004.986681715578</v>
      </c>
      <c r="AB207" s="41">
        <f>'3. Verotulot'!AW207*100/'Veroposentin tuotto'!L207</f>
        <v>36313.125509275204</v>
      </c>
      <c r="AC207" s="41">
        <f>'3. Verotulot'!BB207*100/'Veroposentin tuotto'!M207</f>
        <v>38497.896643836648</v>
      </c>
      <c r="AD207" s="41">
        <f>'3. Verotulot'!BG207*100/'Veroposentin tuotto'!N207</f>
        <v>39999.794554927248</v>
      </c>
      <c r="AE207" s="41">
        <f>'3. Verotulot'!BL207*100/'Veroposentin tuotto'!O207</f>
        <v>41519.208991699859</v>
      </c>
      <c r="AF207" s="41">
        <f>'3. Verotulot'!BQ207*100/'Veroposentin tuotto'!P207</f>
        <v>43075.402561496558</v>
      </c>
      <c r="AI207" s="41">
        <f>'3. Verotulot'!D207/'Veroposentin tuotto'!C207</f>
        <v>293.0982831818182</v>
      </c>
      <c r="AJ207" s="41">
        <f>'3. Verotulot'!I207/'Veroposentin tuotto'!D207</f>
        <v>295.86363636363637</v>
      </c>
      <c r="AK207" s="41">
        <f>'3. Verotulot'!N207/'Veroposentin tuotto'!E207</f>
        <v>298</v>
      </c>
      <c r="AL207" s="41">
        <f>'3. Verotulot'!S207/'Veroposentin tuotto'!F207</f>
        <v>269.90697674418607</v>
      </c>
      <c r="AM207" s="41">
        <f>'3. Verotulot'!X207/'Veroposentin tuotto'!G207</f>
        <v>281.06976744186045</v>
      </c>
      <c r="AN207" s="41">
        <f>'3. Verotulot'!AC207/'Veroposentin tuotto'!H207</f>
        <v>293.16279069767444</v>
      </c>
      <c r="AO207" s="41">
        <f>'3. Verotulot'!AH207/'Veroposentin tuotto'!I207</f>
        <v>301.62054186046515</v>
      </c>
      <c r="AP207" s="41">
        <f>'3. Verotulot'!AM207/'Veroposentin tuotto'!J207</f>
        <v>314.63726976744186</v>
      </c>
      <c r="AQ207" s="41">
        <f>'3. Verotulot'!AR207/'Veroposentin tuotto'!K207</f>
        <v>380.04986681715576</v>
      </c>
      <c r="AR207" s="41">
        <f>'3. Verotulot'!AW207/'Veroposentin tuotto'!L207</f>
        <v>363.13125509275204</v>
      </c>
      <c r="AS207" s="41">
        <f>'3. Verotulot'!BB207/'Veroposentin tuotto'!M207</f>
        <v>384.97896643836651</v>
      </c>
      <c r="AT207" s="41">
        <f>'3. Verotulot'!BG207/'Veroposentin tuotto'!N207</f>
        <v>399.99794554927246</v>
      </c>
      <c r="AU207" s="41">
        <f>'3. Verotulot'!BL207/'Veroposentin tuotto'!O207</f>
        <v>415.19208991699855</v>
      </c>
      <c r="AV207" s="41">
        <f>'3. Verotulot'!BQ207/'Veroposentin tuotto'!P207</f>
        <v>430.7540256149656</v>
      </c>
      <c r="AX207" s="146"/>
      <c r="AZ207" s="34">
        <v>616</v>
      </c>
      <c r="BA207" s="88" t="s">
        <v>521</v>
      </c>
      <c r="BB207" s="41">
        <f>AI207/'1. Väestöennuste'!E207*1000</f>
        <v>148.70536944790371</v>
      </c>
      <c r="BC207" s="41">
        <f>AJ207/'1. Väestöennuste'!F207*1000</f>
        <v>148.82476678251328</v>
      </c>
      <c r="BD207" s="41">
        <f>AK207/'1. Väestöennuste'!G207*1000</f>
        <v>153.60824742268042</v>
      </c>
      <c r="BE207" s="41">
        <f>AL207/'1. Väestöennuste'!H207*1000</f>
        <v>142.13110939662246</v>
      </c>
      <c r="BF207" s="41">
        <f>AM207/'1. Väestöennuste'!I207*1000</f>
        <v>151.11277819454864</v>
      </c>
      <c r="BG207" s="41">
        <f>AN207/'1. Väestöennuste'!J207*1000</f>
        <v>159.93605602710008</v>
      </c>
      <c r="BH207" s="41">
        <f>AO207/'1. Väestöennuste'!K207*1000</f>
        <v>163.21457892882313</v>
      </c>
      <c r="BI207" s="41">
        <f>AP207/'1. Väestöennuste'!L207*1000</f>
        <v>174.12134464163913</v>
      </c>
      <c r="BJ207" s="41">
        <f>AQ207/'1. Väestöennuste'!M207*1000</f>
        <v>213.39127839256358</v>
      </c>
      <c r="BK207" s="41">
        <f>AR207/'1. Väestöennuste'!N207*1000</f>
        <v>208.2174627825413</v>
      </c>
      <c r="BL207" s="41">
        <f>AS207/'1. Väestöennuste'!O207*1000</f>
        <v>222.78875372590653</v>
      </c>
      <c r="BM207" s="41">
        <f>AT207/'1. Väestöennuste'!P207*1000</f>
        <v>232.96327638280283</v>
      </c>
      <c r="BN207" s="41">
        <f>AU207/'1. Väestöennuste'!Q207*1000</f>
        <v>243.37168224911989</v>
      </c>
      <c r="BO207" s="41">
        <f>AV207/'1. Väestöennuste'!R207*1000</f>
        <v>253.83266093987368</v>
      </c>
    </row>
    <row r="208" spans="1:67" x14ac:dyDescent="0.25">
      <c r="A208" s="30">
        <v>619</v>
      </c>
      <c r="B208" s="47" t="s">
        <v>522</v>
      </c>
      <c r="C208" s="47">
        <v>21.5</v>
      </c>
      <c r="D208" s="47">
        <v>21.5</v>
      </c>
      <c r="E208" s="47">
        <v>21.5</v>
      </c>
      <c r="F208" s="47">
        <v>22</v>
      </c>
      <c r="G208" s="47">
        <v>22</v>
      </c>
      <c r="H208" s="58">
        <v>22</v>
      </c>
      <c r="I208" s="139">
        <v>22</v>
      </c>
      <c r="J208" s="139">
        <v>22</v>
      </c>
      <c r="K208" s="139">
        <f t="shared" si="15"/>
        <v>9.36</v>
      </c>
      <c r="L208" s="139">
        <v>9</v>
      </c>
      <c r="M208" s="139">
        <f t="shared" si="14"/>
        <v>9</v>
      </c>
      <c r="N208" s="147">
        <f t="shared" si="14"/>
        <v>9</v>
      </c>
      <c r="O208" s="147">
        <f t="shared" si="14"/>
        <v>9</v>
      </c>
      <c r="P208" s="147">
        <f t="shared" si="14"/>
        <v>9</v>
      </c>
      <c r="Q208" s="147"/>
      <c r="S208" s="41">
        <f>'3. Verotulot'!D208*100/'Veroposentin tuotto'!C208</f>
        <v>36619.821860465119</v>
      </c>
      <c r="T208" s="41">
        <f>'3. Verotulot'!I208*100/'Veroposentin tuotto'!D208</f>
        <v>34916.279069767443</v>
      </c>
      <c r="U208" s="41">
        <f>'3. Verotulot'!N208*100/'Veroposentin tuotto'!E208</f>
        <v>36148.837209302328</v>
      </c>
      <c r="V208" s="41">
        <f>'3. Verotulot'!S208*100/'Veroposentin tuotto'!F208</f>
        <v>35095.454545454544</v>
      </c>
      <c r="W208" s="41">
        <f>'3. Verotulot'!X208*100/'Veroposentin tuotto'!G208</f>
        <v>35354.545454545456</v>
      </c>
      <c r="X208" s="41">
        <f>'3. Verotulot'!AC208*100/'Veroposentin tuotto'!H208</f>
        <v>36454.545454545456</v>
      </c>
      <c r="Y208" s="41">
        <f>'3. Verotulot'!AH208*100/'Veroposentin tuotto'!I208</f>
        <v>36323.257409090904</v>
      </c>
      <c r="Z208" s="41">
        <f>'3. Verotulot'!AM208*100/'Veroposentin tuotto'!J208</f>
        <v>34893.824954545453</v>
      </c>
      <c r="AA208" s="41">
        <f>'3. Verotulot'!AR208*100/'Veroposentin tuotto'!K208</f>
        <v>48174.218482905977</v>
      </c>
      <c r="AB208" s="41">
        <f>'3. Verotulot'!AW208*100/'Veroposentin tuotto'!L208</f>
        <v>43025.892919525897</v>
      </c>
      <c r="AC208" s="41">
        <f>'3. Verotulot'!BB208*100/'Veroposentin tuotto'!M208</f>
        <v>43976.599859412352</v>
      </c>
      <c r="AD208" s="41">
        <f>'3. Verotulot'!BG208*100/'Veroposentin tuotto'!N208</f>
        <v>44699.085533198864</v>
      </c>
      <c r="AE208" s="41">
        <f>'3. Verotulot'!BL208*100/'Veroposentin tuotto'!O208</f>
        <v>45423.256655019621</v>
      </c>
      <c r="AF208" s="41">
        <f>'3. Verotulot'!BQ208*100/'Veroposentin tuotto'!P208</f>
        <v>46410.296585900855</v>
      </c>
      <c r="AI208" s="41">
        <f>'3. Verotulot'!D208/'Veroposentin tuotto'!C208</f>
        <v>366.19821860465117</v>
      </c>
      <c r="AJ208" s="41">
        <f>'3. Verotulot'!I208/'Veroposentin tuotto'!D208</f>
        <v>349.16279069767444</v>
      </c>
      <c r="AK208" s="41">
        <f>'3. Verotulot'!N208/'Veroposentin tuotto'!E208</f>
        <v>361.48837209302326</v>
      </c>
      <c r="AL208" s="41">
        <f>'3. Verotulot'!S208/'Veroposentin tuotto'!F208</f>
        <v>350.95454545454544</v>
      </c>
      <c r="AM208" s="41">
        <f>'3. Verotulot'!X208/'Veroposentin tuotto'!G208</f>
        <v>353.54545454545456</v>
      </c>
      <c r="AN208" s="41">
        <f>'3. Verotulot'!AC208/'Veroposentin tuotto'!H208</f>
        <v>364.54545454545456</v>
      </c>
      <c r="AO208" s="41">
        <f>'3. Verotulot'!AH208/'Veroposentin tuotto'!I208</f>
        <v>363.23257409090905</v>
      </c>
      <c r="AP208" s="41">
        <f>'3. Verotulot'!AM208/'Veroposentin tuotto'!J208</f>
        <v>348.93824954545454</v>
      </c>
      <c r="AQ208" s="41">
        <f>'3. Verotulot'!AR208/'Veroposentin tuotto'!K208</f>
        <v>481.74218482905979</v>
      </c>
      <c r="AR208" s="41">
        <f>'3. Verotulot'!AW208/'Veroposentin tuotto'!L208</f>
        <v>430.25892919525899</v>
      </c>
      <c r="AS208" s="41">
        <f>'3. Verotulot'!BB208/'Veroposentin tuotto'!M208</f>
        <v>439.76599859412352</v>
      </c>
      <c r="AT208" s="41">
        <f>'3. Verotulot'!BG208/'Veroposentin tuotto'!N208</f>
        <v>446.9908553319886</v>
      </c>
      <c r="AU208" s="41">
        <f>'3. Verotulot'!BL208/'Veroposentin tuotto'!O208</f>
        <v>454.23256655019617</v>
      </c>
      <c r="AV208" s="41">
        <f>'3. Verotulot'!BQ208/'Veroposentin tuotto'!P208</f>
        <v>464.10296585900846</v>
      </c>
      <c r="AX208" s="146"/>
      <c r="AZ208" s="34">
        <v>619</v>
      </c>
      <c r="BA208" s="88" t="s">
        <v>522</v>
      </c>
      <c r="BB208" s="41">
        <f>AI208/'1. Väestöennuste'!E208*1000</f>
        <v>120.10436818781606</v>
      </c>
      <c r="BC208" s="41">
        <f>AJ208/'1. Väestöennuste'!F208*1000</f>
        <v>116.27132557365117</v>
      </c>
      <c r="BD208" s="41">
        <f>AK208/'1. Väestöennuste'!G208*1000</f>
        <v>122.57998375484003</v>
      </c>
      <c r="BE208" s="41">
        <f>AL208/'1. Väestöennuste'!H208*1000</f>
        <v>121.18596182822701</v>
      </c>
      <c r="BF208" s="41">
        <f>AM208/'1. Väestöennuste'!I208*1000</f>
        <v>125.01607303587502</v>
      </c>
      <c r="BG208" s="41">
        <f>AN208/'1. Väestöennuste'!J208*1000</f>
        <v>130.89603394809859</v>
      </c>
      <c r="BH208" s="41">
        <f>AO208/'1. Väestöennuste'!K208*1000</f>
        <v>133.49230947846712</v>
      </c>
      <c r="BI208" s="41">
        <f>AP208/'1. Väestöennuste'!L208*1000</f>
        <v>130.44420543755311</v>
      </c>
      <c r="BJ208" s="41">
        <f>AQ208/'1. Väestöennuste'!M208*1000</f>
        <v>181.78950370907918</v>
      </c>
      <c r="BK208" s="41">
        <f>AR208/'1. Väestöennuste'!N208*1000</f>
        <v>167.87316784832578</v>
      </c>
      <c r="BL208" s="41">
        <f>AS208/'1. Väestöennuste'!O208*1000</f>
        <v>174.78775778780744</v>
      </c>
      <c r="BM208" s="41">
        <f>AT208/'1. Väestöennuste'!P208*1000</f>
        <v>180.67536593855644</v>
      </c>
      <c r="BN208" s="41">
        <f>AU208/'1. Väestöennuste'!Q208*1000</f>
        <v>186.46657083341387</v>
      </c>
      <c r="BO208" s="41">
        <f>AV208/'1. Väestöennuste'!R208*1000</f>
        <v>193.37623577458686</v>
      </c>
    </row>
    <row r="209" spans="1:67" x14ac:dyDescent="0.25">
      <c r="A209" s="32">
        <v>620</v>
      </c>
      <c r="B209" s="47" t="s">
        <v>523</v>
      </c>
      <c r="C209" s="47">
        <v>21.5</v>
      </c>
      <c r="D209" s="47">
        <v>21.5</v>
      </c>
      <c r="E209" s="47">
        <v>21.5</v>
      </c>
      <c r="F209" s="47">
        <v>21.5</v>
      </c>
      <c r="G209" s="47">
        <v>21.5</v>
      </c>
      <c r="H209" s="58">
        <v>21.5</v>
      </c>
      <c r="I209" s="139">
        <v>21.5</v>
      </c>
      <c r="J209" s="139">
        <v>21.5</v>
      </c>
      <c r="K209" s="139">
        <f t="shared" si="15"/>
        <v>8.86</v>
      </c>
      <c r="L209" s="139">
        <v>8.9</v>
      </c>
      <c r="M209" s="139">
        <f t="shared" si="14"/>
        <v>8.9</v>
      </c>
      <c r="N209" s="147">
        <f t="shared" si="14"/>
        <v>8.9</v>
      </c>
      <c r="O209" s="147">
        <f t="shared" si="14"/>
        <v>8.9</v>
      </c>
      <c r="P209" s="147">
        <f t="shared" si="14"/>
        <v>8.9</v>
      </c>
      <c r="Q209" s="147"/>
      <c r="S209" s="41">
        <f>'3. Verotulot'!D209*100/'Veroposentin tuotto'!C209</f>
        <v>33742.745999999999</v>
      </c>
      <c r="T209" s="41">
        <f>'3. Verotulot'!I209*100/'Veroposentin tuotto'!D209</f>
        <v>31902.325581395347</v>
      </c>
      <c r="U209" s="41">
        <f>'3. Verotulot'!N209*100/'Veroposentin tuotto'!E209</f>
        <v>31148.837209302324</v>
      </c>
      <c r="V209" s="41">
        <f>'3. Verotulot'!S209*100/'Veroposentin tuotto'!F209</f>
        <v>28274.418604651164</v>
      </c>
      <c r="W209" s="41">
        <f>'3. Verotulot'!X209*100/'Veroposentin tuotto'!G209</f>
        <v>29883.720930232557</v>
      </c>
      <c r="X209" s="41">
        <f>'3. Verotulot'!AC209*100/'Veroposentin tuotto'!H209</f>
        <v>29730.232558139534</v>
      </c>
      <c r="Y209" s="41">
        <f>'3. Verotulot'!AH209*100/'Veroposentin tuotto'!I209</f>
        <v>31499.811999999998</v>
      </c>
      <c r="Z209" s="41">
        <f>'3. Verotulot'!AM209*100/'Veroposentin tuotto'!J209</f>
        <v>31725.923813953486</v>
      </c>
      <c r="AA209" s="41">
        <f>'3. Verotulot'!AR209*100/'Veroposentin tuotto'!K209</f>
        <v>35508.50891647856</v>
      </c>
      <c r="AB209" s="41">
        <f>'3. Verotulot'!AW209*100/'Veroposentin tuotto'!L209</f>
        <v>35687.459916558837</v>
      </c>
      <c r="AC209" s="41">
        <f>'3. Verotulot'!BB209*100/'Veroposentin tuotto'!M209</f>
        <v>36240.124342893549</v>
      </c>
      <c r="AD209" s="41">
        <f>'3. Verotulot'!BG209*100/'Veroposentin tuotto'!N209</f>
        <v>36558.82136175537</v>
      </c>
      <c r="AE209" s="41">
        <f>'3. Verotulot'!BL209*100/'Veroposentin tuotto'!O209</f>
        <v>36992.409875350051</v>
      </c>
      <c r="AF209" s="41">
        <f>'3. Verotulot'!BQ209*100/'Veroposentin tuotto'!P209</f>
        <v>37625.221358019</v>
      </c>
      <c r="AI209" s="41">
        <f>'3. Verotulot'!D209/'Veroposentin tuotto'!C209</f>
        <v>337.42746</v>
      </c>
      <c r="AJ209" s="41">
        <f>'3. Verotulot'!I209/'Veroposentin tuotto'!D209</f>
        <v>319.02325581395348</v>
      </c>
      <c r="AK209" s="41">
        <f>'3. Verotulot'!N209/'Veroposentin tuotto'!E209</f>
        <v>311.48837209302326</v>
      </c>
      <c r="AL209" s="41">
        <f>'3. Verotulot'!S209/'Veroposentin tuotto'!F209</f>
        <v>282.74418604651163</v>
      </c>
      <c r="AM209" s="41">
        <f>'3. Verotulot'!X209/'Veroposentin tuotto'!G209</f>
        <v>298.83720930232556</v>
      </c>
      <c r="AN209" s="41">
        <f>'3. Verotulot'!AC209/'Veroposentin tuotto'!H209</f>
        <v>297.30232558139534</v>
      </c>
      <c r="AO209" s="41">
        <f>'3. Verotulot'!AH209/'Veroposentin tuotto'!I209</f>
        <v>314.99811999999997</v>
      </c>
      <c r="AP209" s="41">
        <f>'3. Verotulot'!AM209/'Veroposentin tuotto'!J209</f>
        <v>317.25923813953489</v>
      </c>
      <c r="AQ209" s="41">
        <f>'3. Verotulot'!AR209/'Veroposentin tuotto'!K209</f>
        <v>355.08508916478559</v>
      </c>
      <c r="AR209" s="41">
        <f>'3. Verotulot'!AW209/'Veroposentin tuotto'!L209</f>
        <v>356.87459916558834</v>
      </c>
      <c r="AS209" s="41">
        <f>'3. Verotulot'!BB209/'Veroposentin tuotto'!M209</f>
        <v>362.40124342893552</v>
      </c>
      <c r="AT209" s="41">
        <f>'3. Verotulot'!BG209/'Veroposentin tuotto'!N209</f>
        <v>365.58821361755372</v>
      </c>
      <c r="AU209" s="41">
        <f>'3. Verotulot'!BL209/'Veroposentin tuotto'!O209</f>
        <v>369.92409875350046</v>
      </c>
      <c r="AV209" s="41">
        <f>'3. Verotulot'!BQ209/'Veroposentin tuotto'!P209</f>
        <v>376.25221358018996</v>
      </c>
      <c r="AX209" s="146"/>
      <c r="AZ209" s="34">
        <v>620</v>
      </c>
      <c r="BA209" s="88" t="s">
        <v>523</v>
      </c>
      <c r="BB209" s="41">
        <f>AI209/'1. Väestöennuste'!E209*1000</f>
        <v>121.55167867435158</v>
      </c>
      <c r="BC209" s="41">
        <f>AJ209/'1. Väestöennuste'!F209*1000</f>
        <v>116.64470048042175</v>
      </c>
      <c r="BD209" s="41">
        <f>AK209/'1. Väestöennuste'!G209*1000</f>
        <v>116.70602176583861</v>
      </c>
      <c r="BE209" s="41">
        <f>AL209/'1. Väestöennuste'!H209*1000</f>
        <v>108.87338700289243</v>
      </c>
      <c r="BF209" s="41">
        <f>AM209/'1. Väestöennuste'!I209*1000</f>
        <v>118.21092140123638</v>
      </c>
      <c r="BG209" s="41">
        <f>AN209/'1. Väestöennuste'!J209*1000</f>
        <v>119.3505923650724</v>
      </c>
      <c r="BH209" s="41">
        <f>AO209/'1. Väestöennuste'!K209*1000</f>
        <v>128.78091578086671</v>
      </c>
      <c r="BI209" s="41">
        <f>AP209/'1. Väestöennuste'!L209*1000</f>
        <v>133.30220089896426</v>
      </c>
      <c r="BJ209" s="41">
        <f>AQ209/'1. Väestöennuste'!M209*1000</f>
        <v>150.52356471589044</v>
      </c>
      <c r="BK209" s="41">
        <f>AR209/'1. Väestöennuste'!N209*1000</f>
        <v>156.31826507472113</v>
      </c>
      <c r="BL209" s="41">
        <f>AS209/'1. Väestöennuste'!O209*1000</f>
        <v>161.93085050443946</v>
      </c>
      <c r="BM209" s="41">
        <f>AT209/'1. Väestöennuste'!P209*1000</f>
        <v>166.47915009906819</v>
      </c>
      <c r="BN209" s="41">
        <f>AU209/'1. Väestöennuste'!Q209*1000</f>
        <v>171.49935037250833</v>
      </c>
      <c r="BO209" s="41">
        <f>AV209/'1. Väestöennuste'!R209*1000</f>
        <v>177.56121452580933</v>
      </c>
    </row>
    <row r="210" spans="1:67" x14ac:dyDescent="0.25">
      <c r="A210" s="30">
        <v>623</v>
      </c>
      <c r="B210" s="47" t="s">
        <v>524</v>
      </c>
      <c r="C210" s="47">
        <v>20.5</v>
      </c>
      <c r="D210" s="47">
        <v>20.5</v>
      </c>
      <c r="E210" s="47">
        <v>20</v>
      </c>
      <c r="F210" s="47">
        <v>20</v>
      </c>
      <c r="G210" s="47">
        <v>20</v>
      </c>
      <c r="H210" s="58">
        <v>19.5</v>
      </c>
      <c r="I210" s="139">
        <v>19.5</v>
      </c>
      <c r="J210" s="139">
        <v>19.5</v>
      </c>
      <c r="K210" s="139">
        <f t="shared" si="15"/>
        <v>6.8599999999999994</v>
      </c>
      <c r="L210" s="139">
        <v>6.6</v>
      </c>
      <c r="M210" s="139">
        <f t="shared" si="14"/>
        <v>6.6</v>
      </c>
      <c r="N210" s="147">
        <f t="shared" si="14"/>
        <v>6.6</v>
      </c>
      <c r="O210" s="147">
        <f t="shared" si="14"/>
        <v>6.6</v>
      </c>
      <c r="P210" s="147">
        <f t="shared" si="14"/>
        <v>6.6</v>
      </c>
      <c r="Q210" s="147"/>
      <c r="S210" s="41">
        <f>'3. Verotulot'!D210*100/'Veroposentin tuotto'!C210</f>
        <v>30479.869268292681</v>
      </c>
      <c r="T210" s="41">
        <f>'3. Verotulot'!I210*100/'Veroposentin tuotto'!D210</f>
        <v>28570.731707317074</v>
      </c>
      <c r="U210" s="41">
        <f>'3. Verotulot'!N210*100/'Veroposentin tuotto'!E210</f>
        <v>28620</v>
      </c>
      <c r="V210" s="41">
        <f>'3. Verotulot'!S210*100/'Veroposentin tuotto'!F210</f>
        <v>29440</v>
      </c>
      <c r="W210" s="41">
        <f>'3. Verotulot'!X210*100/'Veroposentin tuotto'!G210</f>
        <v>30350</v>
      </c>
      <c r="X210" s="41">
        <f>'3. Verotulot'!AC210*100/'Veroposentin tuotto'!H210</f>
        <v>29825.641025641027</v>
      </c>
      <c r="Y210" s="41">
        <f>'3. Verotulot'!AH210*100/'Veroposentin tuotto'!I210</f>
        <v>32159.101487179491</v>
      </c>
      <c r="Z210" s="41">
        <f>'3. Verotulot'!AM210*100/'Veroposentin tuotto'!J210</f>
        <v>35627.769076923076</v>
      </c>
      <c r="AA210" s="41">
        <f>'3. Verotulot'!AR210*100/'Veroposentin tuotto'!K210</f>
        <v>48364.903790087468</v>
      </c>
      <c r="AB210" s="41">
        <f>'3. Verotulot'!AW210*100/'Veroposentin tuotto'!L210</f>
        <v>41558.744272161093</v>
      </c>
      <c r="AC210" s="41">
        <f>'3. Verotulot'!BB210*100/'Veroposentin tuotto'!M210</f>
        <v>42758.879969379988</v>
      </c>
      <c r="AD210" s="41">
        <f>'3. Verotulot'!BG210*100/'Veroposentin tuotto'!N210</f>
        <v>43870.792048740157</v>
      </c>
      <c r="AE210" s="41">
        <f>'3. Verotulot'!BL210*100/'Veroposentin tuotto'!O210</f>
        <v>44928.506773940418</v>
      </c>
      <c r="AF210" s="41">
        <f>'3. Verotulot'!BQ210*100/'Veroposentin tuotto'!P210</f>
        <v>46212.679391870151</v>
      </c>
      <c r="AI210" s="41">
        <f>'3. Verotulot'!D210/'Veroposentin tuotto'!C210</f>
        <v>304.79869268292686</v>
      </c>
      <c r="AJ210" s="41">
        <f>'3. Verotulot'!I210/'Veroposentin tuotto'!D210</f>
        <v>285.70731707317071</v>
      </c>
      <c r="AK210" s="41">
        <f>'3. Verotulot'!N210/'Veroposentin tuotto'!E210</f>
        <v>286.2</v>
      </c>
      <c r="AL210" s="41">
        <f>'3. Verotulot'!S210/'Veroposentin tuotto'!F210</f>
        <v>294.39999999999998</v>
      </c>
      <c r="AM210" s="41">
        <f>'3. Verotulot'!X210/'Veroposentin tuotto'!G210</f>
        <v>303.5</v>
      </c>
      <c r="AN210" s="41">
        <f>'3. Verotulot'!AC210/'Veroposentin tuotto'!H210</f>
        <v>298.25641025641028</v>
      </c>
      <c r="AO210" s="41">
        <f>'3. Verotulot'!AH210/'Veroposentin tuotto'!I210</f>
        <v>321.59101487179487</v>
      </c>
      <c r="AP210" s="41">
        <f>'3. Verotulot'!AM210/'Veroposentin tuotto'!J210</f>
        <v>356.27769076923079</v>
      </c>
      <c r="AQ210" s="41">
        <f>'3. Verotulot'!AR210/'Veroposentin tuotto'!K210</f>
        <v>483.64903790087465</v>
      </c>
      <c r="AR210" s="41">
        <f>'3. Verotulot'!AW210/'Veroposentin tuotto'!L210</f>
        <v>415.5874427216109</v>
      </c>
      <c r="AS210" s="41">
        <f>'3. Verotulot'!BB210/'Veroposentin tuotto'!M210</f>
        <v>427.58879969379984</v>
      </c>
      <c r="AT210" s="41">
        <f>'3. Verotulot'!BG210/'Veroposentin tuotto'!N210</f>
        <v>438.70792048740157</v>
      </c>
      <c r="AU210" s="41">
        <f>'3. Verotulot'!BL210/'Veroposentin tuotto'!O210</f>
        <v>449.28506773940421</v>
      </c>
      <c r="AV210" s="41">
        <f>'3. Verotulot'!BQ210/'Veroposentin tuotto'!P210</f>
        <v>462.12679391870154</v>
      </c>
      <c r="AX210" s="146"/>
      <c r="AZ210" s="34">
        <v>623</v>
      </c>
      <c r="BA210" s="88" t="s">
        <v>524</v>
      </c>
      <c r="BB210" s="41">
        <f>AI210/'1. Väestöennuste'!E210*1000</f>
        <v>134.86667817828621</v>
      </c>
      <c r="BC210" s="41">
        <f>AJ210/'1. Väestöennuste'!F210*1000</f>
        <v>127.8904731750988</v>
      </c>
      <c r="BD210" s="41">
        <f>AK210/'1. Väestöennuste'!G210*1000</f>
        <v>129.61956521739128</v>
      </c>
      <c r="BE210" s="41">
        <f>AL210/'1. Väestöennuste'!H210*1000</f>
        <v>134.00091033227127</v>
      </c>
      <c r="BF210" s="41">
        <f>AM210/'1. Väestöennuste'!I210*1000</f>
        <v>141.0971641097164</v>
      </c>
      <c r="BG210" s="41">
        <f>AN210/'1. Väestöennuste'!J210*1000</f>
        <v>139.56781013402448</v>
      </c>
      <c r="BH210" s="41">
        <f>AO210/'1. Väestöennuste'!K210*1000</f>
        <v>151.90884027954411</v>
      </c>
      <c r="BI210" s="41">
        <f>AP210/'1. Väestöennuste'!L210*1000</f>
        <v>169.09240188383046</v>
      </c>
      <c r="BJ210" s="41">
        <f>AQ210/'1. Väestöennuste'!M210*1000</f>
        <v>229.4350274672081</v>
      </c>
      <c r="BK210" s="41">
        <f>AR210/'1. Väestöennuste'!N210*1000</f>
        <v>202.72558181541993</v>
      </c>
      <c r="BL210" s="41">
        <f>AS210/'1. Väestöennuste'!O210*1000</f>
        <v>210.32405297284794</v>
      </c>
      <c r="BM210" s="41">
        <f>AT210/'1. Väestöennuste'!P210*1000</f>
        <v>217.6130557973222</v>
      </c>
      <c r="BN210" s="41">
        <f>AU210/'1. Väestöennuste'!Q210*1000</f>
        <v>224.64253386970211</v>
      </c>
      <c r="BO210" s="41">
        <f>AV210/'1. Väestöennuste'!R210*1000</f>
        <v>233.04427328224989</v>
      </c>
    </row>
    <row r="211" spans="1:67" x14ac:dyDescent="0.25">
      <c r="A211" s="30">
        <v>624</v>
      </c>
      <c r="B211" s="47" t="s">
        <v>525</v>
      </c>
      <c r="C211" s="47">
        <v>19.75</v>
      </c>
      <c r="D211" s="47">
        <v>20.25</v>
      </c>
      <c r="E211" s="47">
        <v>20.25</v>
      </c>
      <c r="F211" s="47">
        <v>20.25</v>
      </c>
      <c r="G211" s="47">
        <v>20.25</v>
      </c>
      <c r="H211" s="58">
        <v>20.75</v>
      </c>
      <c r="I211" s="139">
        <v>20.75</v>
      </c>
      <c r="J211" s="139">
        <v>20.75</v>
      </c>
      <c r="K211" s="139">
        <f t="shared" si="15"/>
        <v>8.11</v>
      </c>
      <c r="L211" s="139">
        <v>8.1</v>
      </c>
      <c r="M211" s="139">
        <f t="shared" si="14"/>
        <v>8.1</v>
      </c>
      <c r="N211" s="147">
        <f t="shared" si="14"/>
        <v>8.1</v>
      </c>
      <c r="O211" s="147">
        <f t="shared" si="14"/>
        <v>8.1</v>
      </c>
      <c r="P211" s="147">
        <f t="shared" si="14"/>
        <v>8.1</v>
      </c>
      <c r="Q211" s="147"/>
      <c r="S211" s="41">
        <f>'3. Verotulot'!D211*100/'Veroposentin tuotto'!C211</f>
        <v>88329.599797468356</v>
      </c>
      <c r="T211" s="41">
        <f>'3. Verotulot'!I211*100/'Veroposentin tuotto'!D211</f>
        <v>88819.753086419747</v>
      </c>
      <c r="U211" s="41">
        <f>'3. Verotulot'!N211*100/'Veroposentin tuotto'!E211</f>
        <v>88464.1975308642</v>
      </c>
      <c r="V211" s="41">
        <f>'3. Verotulot'!S211*100/'Veroposentin tuotto'!F211</f>
        <v>87614.814814814818</v>
      </c>
      <c r="W211" s="41">
        <f>'3. Verotulot'!X211*100/'Veroposentin tuotto'!G211</f>
        <v>88750.617283950618</v>
      </c>
      <c r="X211" s="41">
        <f>'3. Verotulot'!AC211*100/'Veroposentin tuotto'!H211</f>
        <v>93980.722891566271</v>
      </c>
      <c r="Y211" s="41">
        <f>'3. Verotulot'!AH211*100/'Veroposentin tuotto'!I211</f>
        <v>93980.263903614454</v>
      </c>
      <c r="Z211" s="41">
        <f>'3. Verotulot'!AM211*100/'Veroposentin tuotto'!J211</f>
        <v>97639.544915662656</v>
      </c>
      <c r="AA211" s="41">
        <f>'3. Verotulot'!AR211*100/'Veroposentin tuotto'!K211</f>
        <v>124923.9467324291</v>
      </c>
      <c r="AB211" s="41">
        <f>'3. Verotulot'!AW211*100/'Veroposentin tuotto'!L211</f>
        <v>113548.0427796202</v>
      </c>
      <c r="AC211" s="41">
        <f>'3. Verotulot'!BB211*100/'Veroposentin tuotto'!M211</f>
        <v>118967.04294395998</v>
      </c>
      <c r="AD211" s="41">
        <f>'3. Verotulot'!BG211*100/'Veroposentin tuotto'!N211</f>
        <v>122788.12019226898</v>
      </c>
      <c r="AE211" s="41">
        <f>'3. Verotulot'!BL211*100/'Veroposentin tuotto'!O211</f>
        <v>126235.73704069555</v>
      </c>
      <c r="AF211" s="41">
        <f>'3. Verotulot'!BQ211*100/'Veroposentin tuotto'!P211</f>
        <v>130067.82924072239</v>
      </c>
      <c r="AI211" s="41">
        <f>'3. Verotulot'!D211/'Veroposentin tuotto'!C211</f>
        <v>883.2959979746837</v>
      </c>
      <c r="AJ211" s="41">
        <f>'3. Verotulot'!I211/'Veroposentin tuotto'!D211</f>
        <v>888.19753086419757</v>
      </c>
      <c r="AK211" s="41">
        <f>'3. Verotulot'!N211/'Veroposentin tuotto'!E211</f>
        <v>884.64197530864203</v>
      </c>
      <c r="AL211" s="41">
        <f>'3. Verotulot'!S211/'Veroposentin tuotto'!F211</f>
        <v>876.14814814814815</v>
      </c>
      <c r="AM211" s="41">
        <f>'3. Verotulot'!X211/'Veroposentin tuotto'!G211</f>
        <v>887.50617283950612</v>
      </c>
      <c r="AN211" s="41">
        <f>'3. Verotulot'!AC211/'Veroposentin tuotto'!H211</f>
        <v>939.80722891566268</v>
      </c>
      <c r="AO211" s="41">
        <f>'3. Verotulot'!AH211/'Veroposentin tuotto'!I211</f>
        <v>939.80263903614468</v>
      </c>
      <c r="AP211" s="41">
        <f>'3. Verotulot'!AM211/'Veroposentin tuotto'!J211</f>
        <v>976.39544915662657</v>
      </c>
      <c r="AQ211" s="41">
        <f>'3. Verotulot'!AR211/'Veroposentin tuotto'!K211</f>
        <v>1249.2394673242911</v>
      </c>
      <c r="AR211" s="41">
        <f>'3. Verotulot'!AW211/'Veroposentin tuotto'!L211</f>
        <v>1135.4804277962021</v>
      </c>
      <c r="AS211" s="41">
        <f>'3. Verotulot'!BB211/'Veroposentin tuotto'!M211</f>
        <v>1189.6704294396</v>
      </c>
      <c r="AT211" s="41">
        <f>'3. Verotulot'!BG211/'Veroposentin tuotto'!N211</f>
        <v>1227.8812019226898</v>
      </c>
      <c r="AU211" s="41">
        <f>'3. Verotulot'!BL211/'Veroposentin tuotto'!O211</f>
        <v>1262.3573704069554</v>
      </c>
      <c r="AV211" s="41">
        <f>'3. Verotulot'!BQ211/'Veroposentin tuotto'!P211</f>
        <v>1300.678292407224</v>
      </c>
      <c r="AX211" s="146"/>
      <c r="AZ211" s="34">
        <v>624</v>
      </c>
      <c r="BA211" s="88" t="s">
        <v>525</v>
      </c>
      <c r="BB211" s="41">
        <f>AI211/'1. Väestöennuste'!E211*1000</f>
        <v>166.00187896536059</v>
      </c>
      <c r="BC211" s="41">
        <f>AJ211/'1. Väestöennuste'!F211*1000</f>
        <v>166.32912562999954</v>
      </c>
      <c r="BD211" s="41">
        <f>AK211/'1. Väestöennuste'!G211*1000</f>
        <v>168.05508649480282</v>
      </c>
      <c r="BE211" s="41">
        <f>AL211/'1. Väestöennuste'!H211*1000</f>
        <v>168.91230926318644</v>
      </c>
      <c r="BF211" s="41">
        <f>AM211/'1. Väestöennuste'!I211*1000</f>
        <v>172.6665705913436</v>
      </c>
      <c r="BG211" s="41">
        <f>AN211/'1. Väestöennuste'!J211*1000</f>
        <v>183.37702027622689</v>
      </c>
      <c r="BH211" s="41">
        <f>AO211/'1. Väestöennuste'!K211*1000</f>
        <v>183.59106056576377</v>
      </c>
      <c r="BI211" s="41">
        <f>AP211/'1. Väestöennuste'!L211*1000</f>
        <v>190.81404126570774</v>
      </c>
      <c r="BJ211" s="41">
        <f>AQ211/'1. Väestöennuste'!M211*1000</f>
        <v>246.64155327231811</v>
      </c>
      <c r="BK211" s="41">
        <f>AR211/'1. Väestöennuste'!N211*1000</f>
        <v>227.68807455307842</v>
      </c>
      <c r="BL211" s="41">
        <f>AS211/'1. Väestöennuste'!O211*1000</f>
        <v>240.53182964811967</v>
      </c>
      <c r="BM211" s="41">
        <f>AT211/'1. Väestöennuste'!P211*1000</f>
        <v>250.23052820922965</v>
      </c>
      <c r="BN211" s="41">
        <f>AU211/'1. Väestöennuste'!Q211*1000</f>
        <v>259.3174548905003</v>
      </c>
      <c r="BO211" s="41">
        <f>AV211/'1. Väestöennuste'!R211*1000</f>
        <v>269.57063055072001</v>
      </c>
    </row>
    <row r="212" spans="1:67" x14ac:dyDescent="0.25">
      <c r="A212" s="30">
        <v>625</v>
      </c>
      <c r="B212" s="47" t="s">
        <v>526</v>
      </c>
      <c r="C212" s="47">
        <v>20.25</v>
      </c>
      <c r="D212" s="47">
        <v>20.25</v>
      </c>
      <c r="E212" s="47">
        <v>20.25</v>
      </c>
      <c r="F212" s="47">
        <v>20.25</v>
      </c>
      <c r="G212" s="47">
        <v>20.75</v>
      </c>
      <c r="H212" s="58">
        <v>20.75</v>
      </c>
      <c r="I212" s="139">
        <v>20.75</v>
      </c>
      <c r="J212" s="139">
        <v>20.75</v>
      </c>
      <c r="K212" s="139">
        <f t="shared" si="15"/>
        <v>8.11</v>
      </c>
      <c r="L212" s="139">
        <v>7.9</v>
      </c>
      <c r="M212" s="139">
        <f t="shared" si="14"/>
        <v>7.9</v>
      </c>
      <c r="N212" s="147">
        <f t="shared" si="14"/>
        <v>7.9</v>
      </c>
      <c r="O212" s="147">
        <f t="shared" si="14"/>
        <v>7.9</v>
      </c>
      <c r="P212" s="147">
        <f t="shared" si="14"/>
        <v>7.9</v>
      </c>
      <c r="Q212" s="147"/>
      <c r="S212" s="41">
        <f>'3. Verotulot'!D212*100/'Veroposentin tuotto'!C212</f>
        <v>44925.324148148145</v>
      </c>
      <c r="T212" s="41">
        <f>'3. Verotulot'!I212*100/'Veroposentin tuotto'!D212</f>
        <v>44330.864197530864</v>
      </c>
      <c r="U212" s="41">
        <f>'3. Verotulot'!N212*100/'Veroposentin tuotto'!E212</f>
        <v>44908.641975308645</v>
      </c>
      <c r="V212" s="41">
        <f>'3. Verotulot'!S212*100/'Veroposentin tuotto'!F212</f>
        <v>44079.01234567901</v>
      </c>
      <c r="W212" s="41">
        <f>'3. Verotulot'!X212*100/'Veroposentin tuotto'!G212</f>
        <v>43681.927710843374</v>
      </c>
      <c r="X212" s="41">
        <f>'3. Verotulot'!AC212*100/'Veroposentin tuotto'!H212</f>
        <v>45913.25301204819</v>
      </c>
      <c r="Y212" s="41">
        <f>'3. Verotulot'!AH212*100/'Veroposentin tuotto'!I212</f>
        <v>49979.486746987954</v>
      </c>
      <c r="Z212" s="41">
        <f>'3. Verotulot'!AM212*100/'Veroposentin tuotto'!J212</f>
        <v>57226.865301204823</v>
      </c>
      <c r="AA212" s="41">
        <f>'3. Verotulot'!AR212*100/'Veroposentin tuotto'!K212</f>
        <v>58645.879284833543</v>
      </c>
      <c r="AB212" s="41">
        <f>'3. Verotulot'!AW212*100/'Veroposentin tuotto'!L212</f>
        <v>60780.230272580731</v>
      </c>
      <c r="AC212" s="41">
        <f>'3. Verotulot'!BB212*100/'Veroposentin tuotto'!M212</f>
        <v>63130.643344459539</v>
      </c>
      <c r="AD212" s="41">
        <f>'3. Verotulot'!BG212*100/'Veroposentin tuotto'!N212</f>
        <v>65078.834151206793</v>
      </c>
      <c r="AE212" s="41">
        <f>'3. Verotulot'!BL212*100/'Veroposentin tuotto'!O212</f>
        <v>66676.097830158644</v>
      </c>
      <c r="AF212" s="41">
        <f>'3. Verotulot'!BQ212*100/'Veroposentin tuotto'!P212</f>
        <v>68424.900588633551</v>
      </c>
      <c r="AI212" s="41">
        <f>'3. Verotulot'!D212/'Veroposentin tuotto'!C212</f>
        <v>449.2532414814815</v>
      </c>
      <c r="AJ212" s="41">
        <f>'3. Verotulot'!I212/'Veroposentin tuotto'!D212</f>
        <v>443.30864197530866</v>
      </c>
      <c r="AK212" s="41">
        <f>'3. Verotulot'!N212/'Veroposentin tuotto'!E212</f>
        <v>449.08641975308643</v>
      </c>
      <c r="AL212" s="41">
        <f>'3. Verotulot'!S212/'Veroposentin tuotto'!F212</f>
        <v>440.79012345679013</v>
      </c>
      <c r="AM212" s="41">
        <f>'3. Verotulot'!X212/'Veroposentin tuotto'!G212</f>
        <v>436.81927710843371</v>
      </c>
      <c r="AN212" s="41">
        <f>'3. Verotulot'!AC212/'Veroposentin tuotto'!H212</f>
        <v>459.13253012048193</v>
      </c>
      <c r="AO212" s="41">
        <f>'3. Verotulot'!AH212/'Veroposentin tuotto'!I212</f>
        <v>499.79486746987953</v>
      </c>
      <c r="AP212" s="41">
        <f>'3. Verotulot'!AM212/'Veroposentin tuotto'!J212</f>
        <v>572.26865301204828</v>
      </c>
      <c r="AQ212" s="41">
        <f>'3. Verotulot'!AR212/'Veroposentin tuotto'!K212</f>
        <v>586.45879284833541</v>
      </c>
      <c r="AR212" s="41">
        <f>'3. Verotulot'!AW212/'Veroposentin tuotto'!L212</f>
        <v>607.80230272580729</v>
      </c>
      <c r="AS212" s="41">
        <f>'3. Verotulot'!BB212/'Veroposentin tuotto'!M212</f>
        <v>631.30643344459543</v>
      </c>
      <c r="AT212" s="41">
        <f>'3. Verotulot'!BG212/'Veroposentin tuotto'!N212</f>
        <v>650.78834151206786</v>
      </c>
      <c r="AU212" s="41">
        <f>'3. Verotulot'!BL212/'Veroposentin tuotto'!O212</f>
        <v>666.76097830158653</v>
      </c>
      <c r="AV212" s="41">
        <f>'3. Verotulot'!BQ212/'Veroposentin tuotto'!P212</f>
        <v>684.24900588633557</v>
      </c>
      <c r="AX212" s="146"/>
      <c r="AZ212" s="34">
        <v>625</v>
      </c>
      <c r="BA212" s="88" t="s">
        <v>526</v>
      </c>
      <c r="BB212" s="41">
        <f>AI212/'1. Väestöennuste'!E212*1000</f>
        <v>139.91069494907552</v>
      </c>
      <c r="BC212" s="41">
        <f>AJ212/'1. Väestöennuste'!F212*1000</f>
        <v>139.05540839877938</v>
      </c>
      <c r="BD212" s="41">
        <f>AK212/'1. Väestöennuste'!G212*1000</f>
        <v>140.82358725402523</v>
      </c>
      <c r="BE212" s="41">
        <f>AL212/'1. Väestöennuste'!H212*1000</f>
        <v>140.11129162644315</v>
      </c>
      <c r="BF212" s="41">
        <f>AM212/'1. Väestöennuste'!I212*1000</f>
        <v>141.96271599234115</v>
      </c>
      <c r="BG212" s="41">
        <f>AN212/'1. Väestöennuste'!J212*1000</f>
        <v>150.48591613257355</v>
      </c>
      <c r="BH212" s="41">
        <f>AO212/'1. Väestöennuste'!K212*1000</f>
        <v>163.97469405179774</v>
      </c>
      <c r="BI212" s="41">
        <f>AP212/'1. Väestöennuste'!L212*1000</f>
        <v>191.33020829556946</v>
      </c>
      <c r="BJ212" s="41">
        <f>AQ212/'1. Väestöennuste'!M212*1000</f>
        <v>196.79825263366959</v>
      </c>
      <c r="BK212" s="41">
        <f>AR212/'1. Väestöennuste'!N212*1000</f>
        <v>208.72331824375252</v>
      </c>
      <c r="BL212" s="41">
        <f>AS212/'1. Väestöennuste'!O212*1000</f>
        <v>219.27976152990465</v>
      </c>
      <c r="BM212" s="41">
        <f>AT212/'1. Väestöennuste'!P212*1000</f>
        <v>228.58740481632171</v>
      </c>
      <c r="BN212" s="41">
        <f>AU212/'1. Väestöennuste'!Q212*1000</f>
        <v>236.94419982288079</v>
      </c>
      <c r="BO212" s="41">
        <f>AV212/'1. Väestöennuste'!R212*1000</f>
        <v>246.04423081133965</v>
      </c>
    </row>
    <row r="213" spans="1:67" x14ac:dyDescent="0.25">
      <c r="A213" s="30">
        <v>626</v>
      </c>
      <c r="B213" s="47" t="s">
        <v>527</v>
      </c>
      <c r="C213" s="47">
        <v>19.75</v>
      </c>
      <c r="D213" s="47">
        <v>19.75</v>
      </c>
      <c r="E213" s="47">
        <v>20.75</v>
      </c>
      <c r="F213" s="47">
        <v>20.75</v>
      </c>
      <c r="G213" s="47">
        <v>20.75</v>
      </c>
      <c r="H213" s="58">
        <v>21.75</v>
      </c>
      <c r="I213" s="139">
        <v>21.75</v>
      </c>
      <c r="J213" s="139">
        <v>21.75</v>
      </c>
      <c r="K213" s="139">
        <f t="shared" si="15"/>
        <v>9.11</v>
      </c>
      <c r="L213" s="139">
        <v>9.1</v>
      </c>
      <c r="M213" s="139">
        <f t="shared" si="14"/>
        <v>9.1</v>
      </c>
      <c r="N213" s="147">
        <f t="shared" si="14"/>
        <v>9.1</v>
      </c>
      <c r="O213" s="147">
        <f t="shared" si="14"/>
        <v>9.1</v>
      </c>
      <c r="P213" s="147">
        <f t="shared" si="14"/>
        <v>9.1</v>
      </c>
      <c r="Q213" s="147"/>
      <c r="S213" s="41">
        <f>'3. Verotulot'!D213*100/'Veroposentin tuotto'!C213</f>
        <v>73096.682227848098</v>
      </c>
      <c r="T213" s="41">
        <f>'3. Verotulot'!I213*100/'Veroposentin tuotto'!D213</f>
        <v>73989.873417721523</v>
      </c>
      <c r="U213" s="41">
        <f>'3. Verotulot'!N213*100/'Veroposentin tuotto'!E213</f>
        <v>68298.795180722896</v>
      </c>
      <c r="V213" s="41">
        <f>'3. Verotulot'!S213*100/'Veroposentin tuotto'!F213</f>
        <v>69065.060240963852</v>
      </c>
      <c r="W213" s="41">
        <f>'3. Verotulot'!X213*100/'Veroposentin tuotto'!G213</f>
        <v>69079.518072289153</v>
      </c>
      <c r="X213" s="41">
        <f>'3. Verotulot'!AC213*100/'Veroposentin tuotto'!H213</f>
        <v>72639.080459770121</v>
      </c>
      <c r="Y213" s="41">
        <f>'3. Verotulot'!AH213*100/'Veroposentin tuotto'!I213</f>
        <v>70202.955034482758</v>
      </c>
      <c r="Z213" s="41">
        <f>'3. Verotulot'!AM213*100/'Veroposentin tuotto'!J213</f>
        <v>71502.943034482756</v>
      </c>
      <c r="AA213" s="41">
        <f>'3. Verotulot'!AR213*100/'Veroposentin tuotto'!K213</f>
        <v>86559.819099890228</v>
      </c>
      <c r="AB213" s="41">
        <f>'3. Verotulot'!AW213*100/'Veroposentin tuotto'!L213</f>
        <v>81892.084809471766</v>
      </c>
      <c r="AC213" s="41">
        <f>'3. Verotulot'!BB213*100/'Veroposentin tuotto'!M213</f>
        <v>84467.507047206804</v>
      </c>
      <c r="AD213" s="41">
        <f>'3. Verotulot'!BG213*100/'Veroposentin tuotto'!N213</f>
        <v>85957.623141319942</v>
      </c>
      <c r="AE213" s="41">
        <f>'3. Verotulot'!BL213*100/'Veroposentin tuotto'!O213</f>
        <v>87001.01076105221</v>
      </c>
      <c r="AF213" s="41">
        <f>'3. Verotulot'!BQ213*100/'Veroposentin tuotto'!P213</f>
        <v>88451.556013728637</v>
      </c>
      <c r="AI213" s="41">
        <f>'3. Verotulot'!D213/'Veroposentin tuotto'!C213</f>
        <v>730.966822278481</v>
      </c>
      <c r="AJ213" s="41">
        <f>'3. Verotulot'!I213/'Veroposentin tuotto'!D213</f>
        <v>739.89873417721515</v>
      </c>
      <c r="AK213" s="41">
        <f>'3. Verotulot'!N213/'Veroposentin tuotto'!E213</f>
        <v>682.98795180722891</v>
      </c>
      <c r="AL213" s="41">
        <f>'3. Verotulot'!S213/'Veroposentin tuotto'!F213</f>
        <v>690.65060240963851</v>
      </c>
      <c r="AM213" s="41">
        <f>'3. Verotulot'!X213/'Veroposentin tuotto'!G213</f>
        <v>690.79518072289159</v>
      </c>
      <c r="AN213" s="41">
        <f>'3. Verotulot'!AC213/'Veroposentin tuotto'!H213</f>
        <v>726.39080459770116</v>
      </c>
      <c r="AO213" s="41">
        <f>'3. Verotulot'!AH213/'Veroposentin tuotto'!I213</f>
        <v>702.02955034482761</v>
      </c>
      <c r="AP213" s="41">
        <f>'3. Verotulot'!AM213/'Veroposentin tuotto'!J213</f>
        <v>715.02943034482757</v>
      </c>
      <c r="AQ213" s="41">
        <f>'3. Verotulot'!AR213/'Veroposentin tuotto'!K213</f>
        <v>865.59819099890228</v>
      </c>
      <c r="AR213" s="41">
        <f>'3. Verotulot'!AW213/'Veroposentin tuotto'!L213</f>
        <v>818.9208480947176</v>
      </c>
      <c r="AS213" s="41">
        <f>'3. Verotulot'!BB213/'Veroposentin tuotto'!M213</f>
        <v>844.67507047206811</v>
      </c>
      <c r="AT213" s="41">
        <f>'3. Verotulot'!BG213/'Veroposentin tuotto'!N213</f>
        <v>859.57623141319937</v>
      </c>
      <c r="AU213" s="41">
        <f>'3. Verotulot'!BL213/'Veroposentin tuotto'!O213</f>
        <v>870.01010761052203</v>
      </c>
      <c r="AV213" s="41">
        <f>'3. Verotulot'!BQ213/'Veroposentin tuotto'!P213</f>
        <v>884.51556013728623</v>
      </c>
      <c r="AX213" s="146"/>
      <c r="AZ213" s="34">
        <v>626</v>
      </c>
      <c r="BA213" s="88" t="s">
        <v>527</v>
      </c>
      <c r="BB213" s="41">
        <f>AI213/'1. Väestöennuste'!E213*1000</f>
        <v>132.78234737120454</v>
      </c>
      <c r="BC213" s="41">
        <f>AJ213/'1. Väestöennuste'!F213*1000</f>
        <v>135.86095008762672</v>
      </c>
      <c r="BD213" s="41">
        <f>AK213/'1. Väestöennuste'!G213*1000</f>
        <v>127.97226003508131</v>
      </c>
      <c r="BE213" s="41">
        <f>AL213/'1. Väestöennuste'!H213*1000</f>
        <v>131.60263003232441</v>
      </c>
      <c r="BF213" s="41">
        <f>AM213/'1. Väestöennuste'!I213*1000</f>
        <v>134.63168597210907</v>
      </c>
      <c r="BG213" s="41">
        <f>AN213/'1. Väestöennuste'!J213*1000</f>
        <v>144.32561188112481</v>
      </c>
      <c r="BH213" s="41">
        <f>AO213/'1. Väestöennuste'!K213*1000</f>
        <v>141.42416405012642</v>
      </c>
      <c r="BI213" s="41">
        <f>AP213/'1. Väestöennuste'!L213*1000</f>
        <v>147.8861283029633</v>
      </c>
      <c r="BJ213" s="41">
        <f>AQ213/'1. Väestöennuste'!M213*1000</f>
        <v>182.00130172390712</v>
      </c>
      <c r="BK213" s="41">
        <f>AR213/'1. Väestöennuste'!N213*1000</f>
        <v>174.38689269478655</v>
      </c>
      <c r="BL213" s="41">
        <f>AS213/'1. Väestöennuste'!O213*1000</f>
        <v>182.86968401646851</v>
      </c>
      <c r="BM213" s="41">
        <f>AT213/'1. Väestöennuste'!P213*1000</f>
        <v>189.16730444832731</v>
      </c>
      <c r="BN213" s="41">
        <f>AU213/'1. Väestöennuste'!Q213*1000</f>
        <v>194.54608846389132</v>
      </c>
      <c r="BO213" s="41">
        <f>AV213/'1. Väestöennuste'!R213*1000</f>
        <v>201.07196184071066</v>
      </c>
    </row>
    <row r="214" spans="1:67" x14ac:dyDescent="0.25">
      <c r="A214" s="30">
        <v>630</v>
      </c>
      <c r="B214" s="47" t="s">
        <v>528</v>
      </c>
      <c r="C214" s="47">
        <v>19.75</v>
      </c>
      <c r="D214" s="47">
        <v>19.75</v>
      </c>
      <c r="E214" s="47">
        <v>19.75</v>
      </c>
      <c r="F214" s="47">
        <v>19.75</v>
      </c>
      <c r="G214" s="47">
        <v>19.75</v>
      </c>
      <c r="H214" s="58">
        <v>19.75</v>
      </c>
      <c r="I214" s="139">
        <v>19.75</v>
      </c>
      <c r="J214" s="139">
        <v>19.75</v>
      </c>
      <c r="K214" s="139">
        <f t="shared" si="15"/>
        <v>7.1099999999999994</v>
      </c>
      <c r="L214" s="139">
        <v>8</v>
      </c>
      <c r="M214" s="139">
        <f t="shared" si="14"/>
        <v>8</v>
      </c>
      <c r="N214" s="147">
        <f t="shared" si="14"/>
        <v>8</v>
      </c>
      <c r="O214" s="147">
        <f t="shared" si="14"/>
        <v>8</v>
      </c>
      <c r="P214" s="147">
        <f t="shared" si="14"/>
        <v>8</v>
      </c>
      <c r="Q214" s="147"/>
      <c r="S214" s="41">
        <f>'3. Verotulot'!D214*100/'Veroposentin tuotto'!C214</f>
        <v>20171.245620253161</v>
      </c>
      <c r="T214" s="41">
        <f>'3. Verotulot'!I214*100/'Veroposentin tuotto'!D214</f>
        <v>18617.721518987342</v>
      </c>
      <c r="U214" s="41">
        <f>'3. Verotulot'!N214*100/'Veroposentin tuotto'!E214</f>
        <v>19083.544303797469</v>
      </c>
      <c r="V214" s="41">
        <f>'3. Verotulot'!S214*100/'Veroposentin tuotto'!F214</f>
        <v>18035.443037974685</v>
      </c>
      <c r="W214" s="41">
        <f>'3. Verotulot'!X214*100/'Veroposentin tuotto'!G214</f>
        <v>18551.898734177215</v>
      </c>
      <c r="X214" s="41">
        <f>'3. Verotulot'!AC214*100/'Veroposentin tuotto'!H214</f>
        <v>19964.556962025315</v>
      </c>
      <c r="Y214" s="41">
        <f>'3. Verotulot'!AH214*100/'Veroposentin tuotto'!I214</f>
        <v>20135.774329113923</v>
      </c>
      <c r="Z214" s="41">
        <f>'3. Verotulot'!AM214*100/'Veroposentin tuotto'!J214</f>
        <v>21987.937063291141</v>
      </c>
      <c r="AA214" s="41">
        <f>'3. Verotulot'!AR214*100/'Veroposentin tuotto'!K214</f>
        <v>32243.728551336153</v>
      </c>
      <c r="AB214" s="41">
        <f>'3. Verotulot'!AW214*100/'Veroposentin tuotto'!L214</f>
        <v>27497.03802058455</v>
      </c>
      <c r="AC214" s="41">
        <f>'3. Verotulot'!BB214*100/'Veroposentin tuotto'!M214</f>
        <v>30188.31281179576</v>
      </c>
      <c r="AD214" s="41">
        <f>'3. Verotulot'!BG214*100/'Veroposentin tuotto'!N214</f>
        <v>32073.424125070796</v>
      </c>
      <c r="AE214" s="41">
        <f>'3. Verotulot'!BL214*100/'Veroposentin tuotto'!O214</f>
        <v>33213.468583130903</v>
      </c>
      <c r="AF214" s="41">
        <f>'3. Verotulot'!BQ214*100/'Veroposentin tuotto'!P214</f>
        <v>34523.712728056904</v>
      </c>
      <c r="AI214" s="41">
        <f>'3. Verotulot'!D214/'Veroposentin tuotto'!C214</f>
        <v>201.71245620253163</v>
      </c>
      <c r="AJ214" s="41">
        <f>'3. Verotulot'!I214/'Veroposentin tuotto'!D214</f>
        <v>186.17721518987341</v>
      </c>
      <c r="AK214" s="41">
        <f>'3. Verotulot'!N214/'Veroposentin tuotto'!E214</f>
        <v>190.83544303797467</v>
      </c>
      <c r="AL214" s="41">
        <f>'3. Verotulot'!S214/'Veroposentin tuotto'!F214</f>
        <v>180.35443037974684</v>
      </c>
      <c r="AM214" s="41">
        <f>'3. Verotulot'!X214/'Veroposentin tuotto'!G214</f>
        <v>185.51898734177215</v>
      </c>
      <c r="AN214" s="41">
        <f>'3. Verotulot'!AC214/'Veroposentin tuotto'!H214</f>
        <v>199.64556962025316</v>
      </c>
      <c r="AO214" s="41">
        <f>'3. Verotulot'!AH214/'Veroposentin tuotto'!I214</f>
        <v>201.35774329113926</v>
      </c>
      <c r="AP214" s="41">
        <f>'3. Verotulot'!AM214/'Veroposentin tuotto'!J214</f>
        <v>219.87937063291142</v>
      </c>
      <c r="AQ214" s="41">
        <f>'3. Verotulot'!AR214/'Veroposentin tuotto'!K214</f>
        <v>322.43728551336153</v>
      </c>
      <c r="AR214" s="41">
        <f>'3. Verotulot'!AW214/'Veroposentin tuotto'!L214</f>
        <v>274.97038020584552</v>
      </c>
      <c r="AS214" s="41">
        <f>'3. Verotulot'!BB214/'Veroposentin tuotto'!M214</f>
        <v>301.8831281179576</v>
      </c>
      <c r="AT214" s="41">
        <f>'3. Verotulot'!BG214/'Veroposentin tuotto'!N214</f>
        <v>320.73424125070795</v>
      </c>
      <c r="AU214" s="41">
        <f>'3. Verotulot'!BL214/'Veroposentin tuotto'!O214</f>
        <v>332.13468583130901</v>
      </c>
      <c r="AV214" s="41">
        <f>'3. Verotulot'!BQ214/'Veroposentin tuotto'!P214</f>
        <v>345.23712728056904</v>
      </c>
      <c r="AX214" s="146"/>
      <c r="AZ214" s="34">
        <v>630</v>
      </c>
      <c r="BA214" s="88" t="s">
        <v>528</v>
      </c>
      <c r="BB214" s="41">
        <f>AI214/'1. Väestöennuste'!E214*1000</f>
        <v>127.10299697702057</v>
      </c>
      <c r="BC214" s="41">
        <f>AJ214/'1. Väestöennuste'!F214*1000</f>
        <v>117.90830601005283</v>
      </c>
      <c r="BD214" s="41">
        <f>AK214/'1. Väestöennuste'!G214*1000</f>
        <v>120.85841864342918</v>
      </c>
      <c r="BE214" s="41">
        <f>AL214/'1. Väestöennuste'!H214*1000</f>
        <v>115.83457314049252</v>
      </c>
      <c r="BF214" s="41">
        <f>AM214/'1. Väestöennuste'!I214*1000</f>
        <v>117.56589818870225</v>
      </c>
      <c r="BG214" s="41">
        <f>AN214/'1. Väestöennuste'!J214*1000</f>
        <v>125.32678570009614</v>
      </c>
      <c r="BH214" s="41">
        <f>AO214/'1. Väestöennuste'!K214*1000</f>
        <v>123.45661759113381</v>
      </c>
      <c r="BI214" s="41">
        <f>AP214/'1. Väestöennuste'!L214*1000</f>
        <v>134.48279549413542</v>
      </c>
      <c r="BJ214" s="41">
        <f>AQ214/'1. Väestöennuste'!M214*1000</f>
        <v>195.89142497774088</v>
      </c>
      <c r="BK214" s="41">
        <f>AR214/'1. Väestöennuste'!N214*1000</f>
        <v>172.07157710002849</v>
      </c>
      <c r="BL214" s="41">
        <f>AS214/'1. Väestöennuste'!O214*1000</f>
        <v>188.79495191867269</v>
      </c>
      <c r="BM214" s="41">
        <f>AT214/'1. Väestöennuste'!P214*1000</f>
        <v>200.83546728284782</v>
      </c>
      <c r="BN214" s="41">
        <f>AU214/'1. Väestöennuste'!Q214*1000</f>
        <v>208.23491274690221</v>
      </c>
      <c r="BO214" s="41">
        <f>AV214/'1. Väestöennuste'!R214*1000</f>
        <v>216.17853931156483</v>
      </c>
    </row>
    <row r="215" spans="1:67" x14ac:dyDescent="0.25">
      <c r="A215" s="30">
        <v>631</v>
      </c>
      <c r="B215" s="47" t="s">
        <v>529</v>
      </c>
      <c r="C215" s="47">
        <v>21</v>
      </c>
      <c r="D215" s="47">
        <v>21</v>
      </c>
      <c r="E215" s="47">
        <v>21.75</v>
      </c>
      <c r="F215" s="47">
        <v>21.75</v>
      </c>
      <c r="G215" s="47">
        <v>21.75</v>
      </c>
      <c r="H215" s="58">
        <v>21.75</v>
      </c>
      <c r="I215" s="139">
        <v>21.75</v>
      </c>
      <c r="J215" s="139">
        <v>21.75</v>
      </c>
      <c r="K215" s="139">
        <f t="shared" si="15"/>
        <v>9.11</v>
      </c>
      <c r="L215" s="139">
        <v>9.1</v>
      </c>
      <c r="M215" s="139">
        <f t="shared" ref="M215:P234" si="16">L215</f>
        <v>9.1</v>
      </c>
      <c r="N215" s="147">
        <f t="shared" si="16"/>
        <v>9.1</v>
      </c>
      <c r="O215" s="147">
        <f t="shared" si="16"/>
        <v>9.1</v>
      </c>
      <c r="P215" s="147">
        <f t="shared" si="16"/>
        <v>9.1</v>
      </c>
      <c r="Q215" s="147"/>
      <c r="S215" s="41">
        <f>'3. Verotulot'!D215*100/'Veroposentin tuotto'!C215</f>
        <v>34343.56904761905</v>
      </c>
      <c r="T215" s="41">
        <f>'3. Verotulot'!I215*100/'Veroposentin tuotto'!D215</f>
        <v>33295.238095238092</v>
      </c>
      <c r="U215" s="41">
        <f>'3. Verotulot'!N215*100/'Veroposentin tuotto'!E215</f>
        <v>32000</v>
      </c>
      <c r="V215" s="41">
        <f>'3. Verotulot'!S215*100/'Veroposentin tuotto'!F215</f>
        <v>33112.643678160923</v>
      </c>
      <c r="W215" s="41">
        <f>'3. Verotulot'!X215*100/'Veroposentin tuotto'!G215</f>
        <v>32988.505747126437</v>
      </c>
      <c r="X215" s="41">
        <f>'3. Verotulot'!AC215*100/'Veroposentin tuotto'!H215</f>
        <v>34914.942528735635</v>
      </c>
      <c r="Y215" s="41">
        <f>'3. Verotulot'!AH215*100/'Veroposentin tuotto'!I215</f>
        <v>33170.617379310352</v>
      </c>
      <c r="Z215" s="41">
        <f>'3. Verotulot'!AM215*100/'Veroposentin tuotto'!J215</f>
        <v>36123.020229885064</v>
      </c>
      <c r="AA215" s="41">
        <f>'3. Verotulot'!AR215*100/'Veroposentin tuotto'!K215</f>
        <v>41465.108452250272</v>
      </c>
      <c r="AB215" s="41">
        <f>'3. Verotulot'!AW215*100/'Veroposentin tuotto'!L215</f>
        <v>40428.084651145233</v>
      </c>
      <c r="AC215" s="41">
        <f>'3. Verotulot'!BB215*100/'Veroposentin tuotto'!M215</f>
        <v>42462.413916472127</v>
      </c>
      <c r="AD215" s="41">
        <f>'3. Verotulot'!BG215*100/'Veroposentin tuotto'!N215</f>
        <v>43952.766419727821</v>
      </c>
      <c r="AE215" s="41">
        <f>'3. Verotulot'!BL215*100/'Veroposentin tuotto'!O215</f>
        <v>45066.120633898259</v>
      </c>
      <c r="AF215" s="41">
        <f>'3. Verotulot'!BQ215*100/'Veroposentin tuotto'!P215</f>
        <v>46221.49581713981</v>
      </c>
      <c r="AI215" s="41">
        <f>'3. Verotulot'!D215/'Veroposentin tuotto'!C215</f>
        <v>343.43569047619047</v>
      </c>
      <c r="AJ215" s="41">
        <f>'3. Verotulot'!I215/'Veroposentin tuotto'!D215</f>
        <v>332.95238095238096</v>
      </c>
      <c r="AK215" s="41">
        <f>'3. Verotulot'!N215/'Veroposentin tuotto'!E215</f>
        <v>320</v>
      </c>
      <c r="AL215" s="41">
        <f>'3. Verotulot'!S215/'Veroposentin tuotto'!F215</f>
        <v>331.12643678160919</v>
      </c>
      <c r="AM215" s="41">
        <f>'3. Verotulot'!X215/'Veroposentin tuotto'!G215</f>
        <v>329.88505747126436</v>
      </c>
      <c r="AN215" s="41">
        <f>'3. Verotulot'!AC215/'Veroposentin tuotto'!H215</f>
        <v>349.14942528735634</v>
      </c>
      <c r="AO215" s="41">
        <f>'3. Verotulot'!AH215/'Veroposentin tuotto'!I215</f>
        <v>331.70617379310346</v>
      </c>
      <c r="AP215" s="41">
        <f>'3. Verotulot'!AM215/'Veroposentin tuotto'!J215</f>
        <v>361.2302022988506</v>
      </c>
      <c r="AQ215" s="41">
        <f>'3. Verotulot'!AR215/'Veroposentin tuotto'!K215</f>
        <v>414.65108452250274</v>
      </c>
      <c r="AR215" s="41">
        <f>'3. Verotulot'!AW215/'Veroposentin tuotto'!L215</f>
        <v>404.28084651145241</v>
      </c>
      <c r="AS215" s="41">
        <f>'3. Verotulot'!BB215/'Veroposentin tuotto'!M215</f>
        <v>424.62413916472121</v>
      </c>
      <c r="AT215" s="41">
        <f>'3. Verotulot'!BG215/'Veroposentin tuotto'!N215</f>
        <v>439.52766419727823</v>
      </c>
      <c r="AU215" s="41">
        <f>'3. Verotulot'!BL215/'Veroposentin tuotto'!O215</f>
        <v>450.66120633898259</v>
      </c>
      <c r="AV215" s="41">
        <f>'3. Verotulot'!BQ215/'Veroposentin tuotto'!P215</f>
        <v>462.21495817139811</v>
      </c>
      <c r="AX215" s="146"/>
      <c r="AZ215" s="34">
        <v>631</v>
      </c>
      <c r="BA215" s="88" t="s">
        <v>529</v>
      </c>
      <c r="BB215" s="41">
        <f>AI215/'1. Väestöennuste'!E215*1000</f>
        <v>160.78449928660601</v>
      </c>
      <c r="BC215" s="41">
        <f>AJ215/'1. Väestöennuste'!F215*1000</f>
        <v>160.45897877223177</v>
      </c>
      <c r="BD215" s="41">
        <f>AK215/'1. Väestöennuste'!G215*1000</f>
        <v>154.06836783822823</v>
      </c>
      <c r="BE215" s="41">
        <f>AL215/'1. Väestöennuste'!H215*1000</f>
        <v>163.2773356911288</v>
      </c>
      <c r="BF215" s="41">
        <f>AM215/'1. Väestöennuste'!I215*1000</f>
        <v>164.61330213136944</v>
      </c>
      <c r="BG215" s="41">
        <f>AN215/'1. Väestöennuste'!J215*1000</f>
        <v>175.10001268172334</v>
      </c>
      <c r="BH215" s="41">
        <f>AO215/'1. Väestöennuste'!K215*1000</f>
        <v>167.10638478241987</v>
      </c>
      <c r="BI215" s="41">
        <f>AP215/'1. Väestöennuste'!L215*1000</f>
        <v>184.01946118127896</v>
      </c>
      <c r="BJ215" s="41">
        <f>AQ215/'1. Väestöennuste'!M215*1000</f>
        <v>214.84512151425011</v>
      </c>
      <c r="BK215" s="41">
        <f>AR215/'1. Väestöennuste'!N215*1000</f>
        <v>212.4439550769587</v>
      </c>
      <c r="BL215" s="41">
        <f>AS215/'1. Väestöennuste'!O215*1000</f>
        <v>225.50405691169476</v>
      </c>
      <c r="BM215" s="41">
        <f>AT215/'1. Väestöennuste'!P215*1000</f>
        <v>235.92467214024595</v>
      </c>
      <c r="BN215" s="41">
        <f>AU215/'1. Väestöennuste'!Q215*1000</f>
        <v>244.65863536318275</v>
      </c>
      <c r="BO215" s="41">
        <f>AV215/'1. Väestöennuste'!R215*1000</f>
        <v>253.82479855650635</v>
      </c>
    </row>
    <row r="216" spans="1:67" x14ac:dyDescent="0.25">
      <c r="A216" s="30">
        <v>635</v>
      </c>
      <c r="B216" s="47" t="s">
        <v>530</v>
      </c>
      <c r="C216" s="47">
        <v>21</v>
      </c>
      <c r="D216" s="47">
        <v>21</v>
      </c>
      <c r="E216" s="47">
        <v>21</v>
      </c>
      <c r="F216" s="47">
        <v>21</v>
      </c>
      <c r="G216" s="47">
        <v>21.5</v>
      </c>
      <c r="H216" s="58">
        <v>21.5</v>
      </c>
      <c r="I216" s="139">
        <v>21.5</v>
      </c>
      <c r="J216" s="139">
        <v>21.5</v>
      </c>
      <c r="K216" s="139">
        <f t="shared" si="15"/>
        <v>8.86</v>
      </c>
      <c r="L216" s="139">
        <v>8.9</v>
      </c>
      <c r="M216" s="139">
        <f t="shared" si="16"/>
        <v>8.9</v>
      </c>
      <c r="N216" s="147">
        <f t="shared" si="16"/>
        <v>8.9</v>
      </c>
      <c r="O216" s="147">
        <f t="shared" si="16"/>
        <v>8.9</v>
      </c>
      <c r="P216" s="147">
        <f t="shared" si="16"/>
        <v>8.9</v>
      </c>
      <c r="Q216" s="147"/>
      <c r="S216" s="41">
        <f>'3. Verotulot'!D216*100/'Veroposentin tuotto'!C216</f>
        <v>89969.366333333339</v>
      </c>
      <c r="T216" s="41">
        <f>'3. Verotulot'!I216*100/'Veroposentin tuotto'!D216</f>
        <v>93476.190476190473</v>
      </c>
      <c r="U216" s="41">
        <f>'3. Verotulot'!N216*100/'Veroposentin tuotto'!E216</f>
        <v>93195.238095238092</v>
      </c>
      <c r="V216" s="41">
        <f>'3. Verotulot'!S216*100/'Veroposentin tuotto'!F216</f>
        <v>89747.619047619053</v>
      </c>
      <c r="W216" s="41">
        <f>'3. Verotulot'!X216*100/'Veroposentin tuotto'!G216</f>
        <v>92162.790697674413</v>
      </c>
      <c r="X216" s="41">
        <f>'3. Verotulot'!AC216*100/'Veroposentin tuotto'!H216</f>
        <v>94762.790697674413</v>
      </c>
      <c r="Y216" s="41">
        <f>'3. Verotulot'!AH216*100/'Veroposentin tuotto'!I216</f>
        <v>99928.54097674416</v>
      </c>
      <c r="Z216" s="41">
        <f>'3. Verotulot'!AM216*100/'Veroposentin tuotto'!J216</f>
        <v>102009.11669767443</v>
      </c>
      <c r="AA216" s="41">
        <f>'3. Verotulot'!AR216*100/'Veroposentin tuotto'!K216</f>
        <v>125175.90586907452</v>
      </c>
      <c r="AB216" s="41">
        <f>'3. Verotulot'!AW216*100/'Veroposentin tuotto'!L216</f>
        <v>121808.37829830981</v>
      </c>
      <c r="AC216" s="41">
        <f>'3. Verotulot'!BB216*100/'Veroposentin tuotto'!M216</f>
        <v>128065.5329134395</v>
      </c>
      <c r="AD216" s="41">
        <f>'3. Verotulot'!BG216*100/'Veroposentin tuotto'!N216</f>
        <v>133349.81785437095</v>
      </c>
      <c r="AE216" s="41">
        <f>'3. Verotulot'!BL216*100/'Veroposentin tuotto'!O216</f>
        <v>137888.12696763291</v>
      </c>
      <c r="AF216" s="41">
        <f>'3. Verotulot'!BQ216*100/'Veroposentin tuotto'!P216</f>
        <v>142945.86683419452</v>
      </c>
      <c r="AI216" s="41">
        <f>'3. Verotulot'!D216/'Veroposentin tuotto'!C216</f>
        <v>899.69366333333335</v>
      </c>
      <c r="AJ216" s="41">
        <f>'3. Verotulot'!I216/'Veroposentin tuotto'!D216</f>
        <v>934.76190476190482</v>
      </c>
      <c r="AK216" s="41">
        <f>'3. Verotulot'!N216/'Veroposentin tuotto'!E216</f>
        <v>931.95238095238096</v>
      </c>
      <c r="AL216" s="41">
        <f>'3. Verotulot'!S216/'Veroposentin tuotto'!F216</f>
        <v>897.47619047619048</v>
      </c>
      <c r="AM216" s="41">
        <f>'3. Verotulot'!X216/'Veroposentin tuotto'!G216</f>
        <v>921.62790697674416</v>
      </c>
      <c r="AN216" s="41">
        <f>'3. Verotulot'!AC216/'Veroposentin tuotto'!H216</f>
        <v>947.62790697674416</v>
      </c>
      <c r="AO216" s="41">
        <f>'3. Verotulot'!AH216/'Veroposentin tuotto'!I216</f>
        <v>999.28540976744182</v>
      </c>
      <c r="AP216" s="41">
        <f>'3. Verotulot'!AM216/'Veroposentin tuotto'!J216</f>
        <v>1020.0911669767443</v>
      </c>
      <c r="AQ216" s="41">
        <f>'3. Verotulot'!AR216/'Veroposentin tuotto'!K216</f>
        <v>1251.759058690745</v>
      </c>
      <c r="AR216" s="41">
        <f>'3. Verotulot'!AW216/'Veroposentin tuotto'!L216</f>
        <v>1218.083782983098</v>
      </c>
      <c r="AS216" s="41">
        <f>'3. Verotulot'!BB216/'Veroposentin tuotto'!M216</f>
        <v>1280.6553291343951</v>
      </c>
      <c r="AT216" s="41">
        <f>'3. Verotulot'!BG216/'Veroposentin tuotto'!N216</f>
        <v>1333.4981785437094</v>
      </c>
      <c r="AU216" s="41">
        <f>'3. Verotulot'!BL216/'Veroposentin tuotto'!O216</f>
        <v>1378.8812696763291</v>
      </c>
      <c r="AV216" s="41">
        <f>'3. Verotulot'!BQ216/'Veroposentin tuotto'!P216</f>
        <v>1429.4586683419452</v>
      </c>
      <c r="AX216" s="146"/>
      <c r="AZ216" s="34">
        <v>635</v>
      </c>
      <c r="BA216" s="88" t="s">
        <v>530</v>
      </c>
      <c r="BB216" s="41">
        <f>AI216/'1. Väestöennuste'!E216*1000</f>
        <v>134.7653779708408</v>
      </c>
      <c r="BC216" s="41">
        <f>AJ216/'1. Väestöennuste'!F216*1000</f>
        <v>141.05355436274405</v>
      </c>
      <c r="BD216" s="41">
        <f>AK216/'1. Väestöennuste'!G216*1000</f>
        <v>141.91447859789568</v>
      </c>
      <c r="BE216" s="41">
        <f>AL216/'1. Väestöennuste'!H216*1000</f>
        <v>138.09450538178032</v>
      </c>
      <c r="BF216" s="41">
        <f>AM216/'1. Väestöennuste'!I216*1000</f>
        <v>143.221119965306</v>
      </c>
      <c r="BG216" s="41">
        <f>AN216/'1. Väestöennuste'!J216*1000</f>
        <v>147.7206402146133</v>
      </c>
      <c r="BH216" s="41">
        <f>AO216/'1. Väestöennuste'!K216*1000</f>
        <v>155.19264012539864</v>
      </c>
      <c r="BI216" s="41">
        <f>AP216/'1. Väestöennuste'!L216*1000</f>
        <v>160.72020907148956</v>
      </c>
      <c r="BJ216" s="41">
        <f>AQ216/'1. Väestöennuste'!M216*1000</f>
        <v>197.5318066420617</v>
      </c>
      <c r="BK216" s="41">
        <f>AR216/'1. Väestöennuste'!N216*1000</f>
        <v>196.59195981005456</v>
      </c>
      <c r="BL216" s="41">
        <f>AS216/'1. Väestöennuste'!O216*1000</f>
        <v>208.33826730671791</v>
      </c>
      <c r="BM216" s="41">
        <f>AT216/'1. Väestöennuste'!P216*1000</f>
        <v>218.46300434857625</v>
      </c>
      <c r="BN216" s="41">
        <f>AU216/'1. Väestöennuste'!Q216*1000</f>
        <v>227.4255763939187</v>
      </c>
      <c r="BO216" s="41">
        <f>AV216/'1. Väestöennuste'!R216*1000</f>
        <v>237.25455076214857</v>
      </c>
    </row>
    <row r="217" spans="1:67" x14ac:dyDescent="0.25">
      <c r="A217" s="30">
        <v>636</v>
      </c>
      <c r="B217" s="47" t="s">
        <v>531</v>
      </c>
      <c r="C217" s="47">
        <v>20.75</v>
      </c>
      <c r="D217" s="47">
        <v>21.25</v>
      </c>
      <c r="E217" s="47">
        <v>21.25</v>
      </c>
      <c r="F217" s="47">
        <v>21.25</v>
      </c>
      <c r="G217" s="47">
        <v>21.25</v>
      </c>
      <c r="H217" s="58">
        <v>21.25</v>
      </c>
      <c r="I217" s="139">
        <v>21.25</v>
      </c>
      <c r="J217" s="139">
        <v>21.25</v>
      </c>
      <c r="K217" s="139">
        <f t="shared" si="15"/>
        <v>8.61</v>
      </c>
      <c r="L217" s="139">
        <v>8.6</v>
      </c>
      <c r="M217" s="139">
        <f t="shared" si="16"/>
        <v>8.6</v>
      </c>
      <c r="N217" s="147">
        <f t="shared" si="16"/>
        <v>8.6</v>
      </c>
      <c r="O217" s="147">
        <f t="shared" si="16"/>
        <v>8.6</v>
      </c>
      <c r="P217" s="147">
        <f t="shared" si="16"/>
        <v>8.6</v>
      </c>
      <c r="Q217" s="147"/>
      <c r="S217" s="41">
        <f>'3. Verotulot'!D217*100/'Veroposentin tuotto'!C217</f>
        <v>113520.0298313253</v>
      </c>
      <c r="T217" s="41">
        <f>'3. Verotulot'!I217*100/'Veroposentin tuotto'!D217</f>
        <v>112790.58823529411</v>
      </c>
      <c r="U217" s="41">
        <f>'3. Verotulot'!N217*100/'Veroposentin tuotto'!E217</f>
        <v>114014.11764705883</v>
      </c>
      <c r="V217" s="41">
        <f>'3. Verotulot'!S217*100/'Veroposentin tuotto'!F217</f>
        <v>111383.5294117647</v>
      </c>
      <c r="W217" s="41">
        <f>'3. Verotulot'!X217*100/'Veroposentin tuotto'!G217</f>
        <v>112498.82352941176</v>
      </c>
      <c r="X217" s="41">
        <f>'3. Verotulot'!AC217*100/'Veroposentin tuotto'!H217</f>
        <v>115256.4705882353</v>
      </c>
      <c r="Y217" s="41">
        <f>'3. Verotulot'!AH217*100/'Veroposentin tuotto'!I217</f>
        <v>117933.41750588235</v>
      </c>
      <c r="Z217" s="41">
        <f>'3. Verotulot'!AM217*100/'Veroposentin tuotto'!J217</f>
        <v>124788.77731764707</v>
      </c>
      <c r="AA217" s="41">
        <f>'3. Verotulot'!AR217*100/'Veroposentin tuotto'!K217</f>
        <v>146862.49082462254</v>
      </c>
      <c r="AB217" s="41">
        <f>'3. Verotulot'!AW217*100/'Veroposentin tuotto'!L217</f>
        <v>147646.77657297897</v>
      </c>
      <c r="AC217" s="41">
        <f>'3. Verotulot'!BB217*100/'Veroposentin tuotto'!M217</f>
        <v>156442.94231545308</v>
      </c>
      <c r="AD217" s="41">
        <f>'3. Verotulot'!BG217*100/'Veroposentin tuotto'!N217</f>
        <v>164094.39339510546</v>
      </c>
      <c r="AE217" s="41">
        <f>'3. Verotulot'!BL217*100/'Veroposentin tuotto'!O217</f>
        <v>170288.82045428018</v>
      </c>
      <c r="AF217" s="41">
        <f>'3. Verotulot'!BQ217*100/'Veroposentin tuotto'!P217</f>
        <v>177218.78700817024</v>
      </c>
      <c r="AI217" s="41">
        <f>'3. Verotulot'!D217/'Veroposentin tuotto'!C217</f>
        <v>1135.2002983132531</v>
      </c>
      <c r="AJ217" s="41">
        <f>'3. Verotulot'!I217/'Veroposentin tuotto'!D217</f>
        <v>1127.9058823529413</v>
      </c>
      <c r="AK217" s="41">
        <f>'3. Verotulot'!N217/'Veroposentin tuotto'!E217</f>
        <v>1140.1411764705883</v>
      </c>
      <c r="AL217" s="41">
        <f>'3. Verotulot'!S217/'Veroposentin tuotto'!F217</f>
        <v>1113.835294117647</v>
      </c>
      <c r="AM217" s="41">
        <f>'3. Verotulot'!X217/'Veroposentin tuotto'!G217</f>
        <v>1124.9882352941177</v>
      </c>
      <c r="AN217" s="41">
        <f>'3. Verotulot'!AC217/'Veroposentin tuotto'!H217</f>
        <v>1152.5647058823529</v>
      </c>
      <c r="AO217" s="41">
        <f>'3. Verotulot'!AH217/'Veroposentin tuotto'!I217</f>
        <v>1179.3341750588236</v>
      </c>
      <c r="AP217" s="41">
        <f>'3. Verotulot'!AM217/'Veroposentin tuotto'!J217</f>
        <v>1247.8877731764705</v>
      </c>
      <c r="AQ217" s="41">
        <f>'3. Verotulot'!AR217/'Veroposentin tuotto'!K217</f>
        <v>1468.6249082462257</v>
      </c>
      <c r="AR217" s="41">
        <f>'3. Verotulot'!AW217/'Veroposentin tuotto'!L217</f>
        <v>1476.4677657297898</v>
      </c>
      <c r="AS217" s="41">
        <f>'3. Verotulot'!BB217/'Veroposentin tuotto'!M217</f>
        <v>1564.4294231545307</v>
      </c>
      <c r="AT217" s="41">
        <f>'3. Verotulot'!BG217/'Veroposentin tuotto'!N217</f>
        <v>1640.9439339510548</v>
      </c>
      <c r="AU217" s="41">
        <f>'3. Verotulot'!BL217/'Veroposentin tuotto'!O217</f>
        <v>1702.8882045428018</v>
      </c>
      <c r="AV217" s="41">
        <f>'3. Verotulot'!BQ217/'Veroposentin tuotto'!P217</f>
        <v>1772.1878700817024</v>
      </c>
      <c r="AX217" s="146"/>
      <c r="AZ217" s="34">
        <v>636</v>
      </c>
      <c r="BA217" s="88" t="s">
        <v>531</v>
      </c>
      <c r="BB217" s="41">
        <f>AI217/'1. Väestöennuste'!E217*1000</f>
        <v>132.58587927041032</v>
      </c>
      <c r="BC217" s="41">
        <f>AJ217/'1. Väestöennuste'!F217*1000</f>
        <v>132.64799274996369</v>
      </c>
      <c r="BD217" s="41">
        <f>AK217/'1. Väestöennuste'!G217*1000</f>
        <v>135.37653484571223</v>
      </c>
      <c r="BE217" s="41">
        <f>AL217/'1. Väestöennuste'!H217*1000</f>
        <v>133.66558191739432</v>
      </c>
      <c r="BF217" s="41">
        <f>AM217/'1. Väestöennuste'!I217*1000</f>
        <v>135.93381286782474</v>
      </c>
      <c r="BG217" s="41">
        <f>AN217/'1. Väestöennuste'!J217*1000</f>
        <v>140.06133258990801</v>
      </c>
      <c r="BH217" s="41">
        <f>AO217/'1. Väestöennuste'!K217*1000</f>
        <v>143.43641146422081</v>
      </c>
      <c r="BI217" s="41">
        <f>AP217/'1. Väestöennuste'!L217*1000</f>
        <v>153.03995256027355</v>
      </c>
      <c r="BJ217" s="41">
        <f>AQ217/'1. Väestöennuste'!M217*1000</f>
        <v>180.64267014098718</v>
      </c>
      <c r="BK217" s="41">
        <f>AR217/'1. Väestöennuste'!N217*1000</f>
        <v>184.76633284066949</v>
      </c>
      <c r="BL217" s="41">
        <f>AS217/'1. Väestöennuste'!O217*1000</f>
        <v>196.93220331753912</v>
      </c>
      <c r="BM217" s="41">
        <f>AT217/'1. Väestöennuste'!P217*1000</f>
        <v>207.76702126501073</v>
      </c>
      <c r="BN217" s="41">
        <f>AU217/'1. Väestöennuste'!Q217*1000</f>
        <v>216.81795321400583</v>
      </c>
      <c r="BO217" s="41">
        <f>AV217/'1. Väestöennuste'!R217*1000</f>
        <v>227.05802307260763</v>
      </c>
    </row>
    <row r="218" spans="1:67" x14ac:dyDescent="0.25">
      <c r="A218" s="30">
        <v>638</v>
      </c>
      <c r="B218" s="47" t="s">
        <v>532</v>
      </c>
      <c r="C218" s="47">
        <v>19.75</v>
      </c>
      <c r="D218" s="47">
        <v>19.75</v>
      </c>
      <c r="E218" s="47">
        <v>19.75</v>
      </c>
      <c r="F218" s="47">
        <v>19.75</v>
      </c>
      <c r="G218" s="47">
        <v>19.75</v>
      </c>
      <c r="H218" s="58">
        <v>19.75</v>
      </c>
      <c r="I218" s="139">
        <v>19.75</v>
      </c>
      <c r="J218" s="139">
        <v>19.75</v>
      </c>
      <c r="K218" s="139">
        <f t="shared" si="15"/>
        <v>7.1099999999999994</v>
      </c>
      <c r="L218" s="139">
        <v>7.1</v>
      </c>
      <c r="M218" s="139">
        <f t="shared" si="16"/>
        <v>7.1</v>
      </c>
      <c r="N218" s="147">
        <f t="shared" si="16"/>
        <v>7.1</v>
      </c>
      <c r="O218" s="147">
        <f t="shared" si="16"/>
        <v>7.1</v>
      </c>
      <c r="P218" s="147">
        <f t="shared" si="16"/>
        <v>7.1</v>
      </c>
      <c r="Q218" s="147"/>
      <c r="S218" s="41">
        <f>'3. Verotulot'!D218*100/'Veroposentin tuotto'!C218</f>
        <v>949692.34658227838</v>
      </c>
      <c r="T218" s="41">
        <f>'3. Verotulot'!I218*100/'Veroposentin tuotto'!D218</f>
        <v>997275.94936708861</v>
      </c>
      <c r="U218" s="41">
        <f>'3. Verotulot'!N218*100/'Veroposentin tuotto'!E218</f>
        <v>965022.78481012653</v>
      </c>
      <c r="V218" s="41">
        <f>'3. Verotulot'!S218*100/'Veroposentin tuotto'!F218</f>
        <v>974187.34177215188</v>
      </c>
      <c r="W218" s="41">
        <f>'3. Verotulot'!X218*100/'Veroposentin tuotto'!G218</f>
        <v>980192.4050632912</v>
      </c>
      <c r="X218" s="41">
        <f>'3. Verotulot'!AC218*100/'Veroposentin tuotto'!H218</f>
        <v>1034222.7848101265</v>
      </c>
      <c r="Y218" s="41">
        <f>'3. Verotulot'!AH218*100/'Veroposentin tuotto'!I218</f>
        <v>1053316.8303797469</v>
      </c>
      <c r="Z218" s="41">
        <f>'3. Verotulot'!AM218*100/'Veroposentin tuotto'!J218</f>
        <v>1133827.2439493672</v>
      </c>
      <c r="AA218" s="41">
        <f>'3. Verotulot'!AR218*100/'Veroposentin tuotto'!K218</f>
        <v>1424723.6701828411</v>
      </c>
      <c r="AB218" s="41">
        <f>'3. Verotulot'!AW218*100/'Veroposentin tuotto'!L218</f>
        <v>1322344.1324451044</v>
      </c>
      <c r="AC218" s="41">
        <f>'3. Verotulot'!BB218*100/'Veroposentin tuotto'!M218</f>
        <v>1401659.0042760512</v>
      </c>
      <c r="AD218" s="41">
        <f>'3. Verotulot'!BG218*100/'Veroposentin tuotto'!N218</f>
        <v>1464466.2296561403</v>
      </c>
      <c r="AE218" s="41">
        <f>'3. Verotulot'!BL218*100/'Veroposentin tuotto'!O218</f>
        <v>1520595.5448353491</v>
      </c>
      <c r="AF218" s="41">
        <f>'3. Verotulot'!BQ218*100/'Veroposentin tuotto'!P218</f>
        <v>1582140.5340423593</v>
      </c>
      <c r="AI218" s="41">
        <f>'3. Verotulot'!D218/'Veroposentin tuotto'!C218</f>
        <v>9496.9234658227833</v>
      </c>
      <c r="AJ218" s="41">
        <f>'3. Verotulot'!I218/'Veroposentin tuotto'!D218</f>
        <v>9972.7594936708865</v>
      </c>
      <c r="AK218" s="41">
        <f>'3. Verotulot'!N218/'Veroposentin tuotto'!E218</f>
        <v>9650.2278481012654</v>
      </c>
      <c r="AL218" s="41">
        <f>'3. Verotulot'!S218/'Veroposentin tuotto'!F218</f>
        <v>9741.8734177215192</v>
      </c>
      <c r="AM218" s="41">
        <f>'3. Verotulot'!X218/'Veroposentin tuotto'!G218</f>
        <v>9801.9240506329115</v>
      </c>
      <c r="AN218" s="41">
        <f>'3. Verotulot'!AC218/'Veroposentin tuotto'!H218</f>
        <v>10342.227848101265</v>
      </c>
      <c r="AO218" s="41">
        <f>'3. Verotulot'!AH218/'Veroposentin tuotto'!I218</f>
        <v>10533.168303797467</v>
      </c>
      <c r="AP218" s="41">
        <f>'3. Verotulot'!AM218/'Veroposentin tuotto'!J218</f>
        <v>11338.27243949367</v>
      </c>
      <c r="AQ218" s="41">
        <f>'3. Verotulot'!AR218/'Veroposentin tuotto'!K218</f>
        <v>14247.236701828411</v>
      </c>
      <c r="AR218" s="41">
        <f>'3. Verotulot'!AW218/'Veroposentin tuotto'!L218</f>
        <v>13223.441324451043</v>
      </c>
      <c r="AS218" s="41">
        <f>'3. Verotulot'!BB218/'Veroposentin tuotto'!M218</f>
        <v>14016.590042760514</v>
      </c>
      <c r="AT218" s="41">
        <f>'3. Verotulot'!BG218/'Veroposentin tuotto'!N218</f>
        <v>14644.662296561404</v>
      </c>
      <c r="AU218" s="41">
        <f>'3. Verotulot'!BL218/'Veroposentin tuotto'!O218</f>
        <v>15205.955448353492</v>
      </c>
      <c r="AV218" s="41">
        <f>'3. Verotulot'!BQ218/'Veroposentin tuotto'!P218</f>
        <v>15821.405340423593</v>
      </c>
      <c r="AX218" s="146"/>
      <c r="AZ218" s="34">
        <v>638</v>
      </c>
      <c r="BA218" s="88" t="s">
        <v>532</v>
      </c>
      <c r="BB218" s="41">
        <f>AI218/'1. Väestöennuste'!E218*1000</f>
        <v>190.21237513665247</v>
      </c>
      <c r="BC218" s="41">
        <f>AJ218/'1. Väestöennuste'!F218*1000</f>
        <v>198.88240853683163</v>
      </c>
      <c r="BD218" s="41">
        <f>AK218/'1. Väestöennuste'!G218*1000</f>
        <v>192.39274802331119</v>
      </c>
      <c r="BE218" s="41">
        <f>AL218/'1. Väestöennuste'!H218*1000</f>
        <v>193.8218419028594</v>
      </c>
      <c r="BF218" s="41">
        <f>AM218/'1. Väestöennuste'!I218*1000</f>
        <v>194.559826332531</v>
      </c>
      <c r="BG218" s="41">
        <f>AN218/'1. Väestöennuste'!J218*1000</f>
        <v>204.31513558350156</v>
      </c>
      <c r="BH218" s="41">
        <f>AO218/'1. Väestöennuste'!K218*1000</f>
        <v>205.93107008538715</v>
      </c>
      <c r="BI218" s="41">
        <f>AP218/'1. Väestöennuste'!L218*1000</f>
        <v>221.31231338799327</v>
      </c>
      <c r="BJ218" s="41">
        <f>AQ218/'1. Väestöennuste'!M218*1000</f>
        <v>277.78347602465271</v>
      </c>
      <c r="BK218" s="41">
        <f>AR218/'1. Väestöennuste'!N218*1000</f>
        <v>257.53595848656255</v>
      </c>
      <c r="BL218" s="41">
        <f>AS218/'1. Väestöennuste'!O218*1000</f>
        <v>272.24080415570279</v>
      </c>
      <c r="BM218" s="41">
        <f>AT218/'1. Väestöennuste'!P218*1000</f>
        <v>283.7013230639559</v>
      </c>
      <c r="BN218" s="41">
        <f>AU218/'1. Väestöennuste'!Q218*1000</f>
        <v>293.89167855341111</v>
      </c>
      <c r="BO218" s="41">
        <f>AV218/'1. Väestöennuste'!R218*1000</f>
        <v>305.14388590760848</v>
      </c>
    </row>
    <row r="219" spans="1:67" x14ac:dyDescent="0.25">
      <c r="A219" s="30">
        <v>678</v>
      </c>
      <c r="B219" s="47" t="s">
        <v>533</v>
      </c>
      <c r="C219" s="47">
        <v>21</v>
      </c>
      <c r="D219" s="47">
        <v>21</v>
      </c>
      <c r="E219" s="47">
        <v>21</v>
      </c>
      <c r="F219" s="47">
        <v>21</v>
      </c>
      <c r="G219" s="47">
        <v>21</v>
      </c>
      <c r="H219" s="58">
        <v>21</v>
      </c>
      <c r="I219" s="139">
        <v>21.25</v>
      </c>
      <c r="J219" s="139">
        <v>21.25</v>
      </c>
      <c r="K219" s="139">
        <f t="shared" si="15"/>
        <v>8.61</v>
      </c>
      <c r="L219" s="139">
        <v>8.8000000000000007</v>
      </c>
      <c r="M219" s="139">
        <f t="shared" si="16"/>
        <v>8.8000000000000007</v>
      </c>
      <c r="N219" s="147">
        <f t="shared" si="16"/>
        <v>8.8000000000000007</v>
      </c>
      <c r="O219" s="147">
        <f t="shared" si="16"/>
        <v>8.8000000000000007</v>
      </c>
      <c r="P219" s="147">
        <f t="shared" si="16"/>
        <v>8.8000000000000007</v>
      </c>
      <c r="Q219" s="147"/>
      <c r="S219" s="41">
        <f>'3. Verotulot'!D219*100/'Veroposentin tuotto'!C219</f>
        <v>400462.87023809523</v>
      </c>
      <c r="T219" s="41">
        <f>'3. Verotulot'!I219*100/'Veroposentin tuotto'!D219</f>
        <v>393904.76190476189</v>
      </c>
      <c r="U219" s="41">
        <f>'3. Verotulot'!N219*100/'Veroposentin tuotto'!E219</f>
        <v>386714.28571428574</v>
      </c>
      <c r="V219" s="41">
        <f>'3. Verotulot'!S219*100/'Veroposentin tuotto'!F219</f>
        <v>390066.66666666669</v>
      </c>
      <c r="W219" s="41">
        <f>'3. Verotulot'!X219*100/'Veroposentin tuotto'!G219</f>
        <v>388123.80952380953</v>
      </c>
      <c r="X219" s="41">
        <f>'3. Verotulot'!AC219*100/'Veroposentin tuotto'!H219</f>
        <v>412880.95238095237</v>
      </c>
      <c r="Y219" s="41">
        <f>'3. Verotulot'!AH219*100/'Veroposentin tuotto'!I219</f>
        <v>408988.45472941169</v>
      </c>
      <c r="Z219" s="41">
        <f>'3. Verotulot'!AM219*100/'Veroposentin tuotto'!J219</f>
        <v>430695.52178823529</v>
      </c>
      <c r="AA219" s="41">
        <f>'3. Verotulot'!AR219*100/'Veroposentin tuotto'!K219</f>
        <v>552708.62857142871</v>
      </c>
      <c r="AB219" s="41">
        <f>'3. Verotulot'!AW219*100/'Veroposentin tuotto'!L219</f>
        <v>498331.9115675565</v>
      </c>
      <c r="AC219" s="41">
        <f>'3. Verotulot'!BB219*100/'Veroposentin tuotto'!M219</f>
        <v>525787.86150281562</v>
      </c>
      <c r="AD219" s="41">
        <f>'3. Verotulot'!BG219*100/'Veroposentin tuotto'!N219</f>
        <v>544733.96761080169</v>
      </c>
      <c r="AE219" s="41">
        <f>'3. Verotulot'!BL219*100/'Veroposentin tuotto'!O219</f>
        <v>560017.40647376992</v>
      </c>
      <c r="AF219" s="41">
        <f>'3. Verotulot'!BQ219*100/'Veroposentin tuotto'!P219</f>
        <v>577732.49837214197</v>
      </c>
      <c r="AI219" s="41">
        <f>'3. Verotulot'!D219/'Veroposentin tuotto'!C219</f>
        <v>4004.6287023809523</v>
      </c>
      <c r="AJ219" s="41">
        <f>'3. Verotulot'!I219/'Veroposentin tuotto'!D219</f>
        <v>3939.0476190476193</v>
      </c>
      <c r="AK219" s="41">
        <f>'3. Verotulot'!N219/'Veroposentin tuotto'!E219</f>
        <v>3867.1428571428573</v>
      </c>
      <c r="AL219" s="41">
        <f>'3. Verotulot'!S219/'Veroposentin tuotto'!F219</f>
        <v>3900.6666666666665</v>
      </c>
      <c r="AM219" s="41">
        <f>'3. Verotulot'!X219/'Veroposentin tuotto'!G219</f>
        <v>3881.2380952380954</v>
      </c>
      <c r="AN219" s="41">
        <f>'3. Verotulot'!AC219/'Veroposentin tuotto'!H219</f>
        <v>4128.8095238095239</v>
      </c>
      <c r="AO219" s="41">
        <f>'3. Verotulot'!AH219/'Veroposentin tuotto'!I219</f>
        <v>4089.8845472941175</v>
      </c>
      <c r="AP219" s="41">
        <f>'3. Verotulot'!AM219/'Veroposentin tuotto'!J219</f>
        <v>4306.9552178823524</v>
      </c>
      <c r="AQ219" s="41">
        <f>'3. Verotulot'!AR219/'Veroposentin tuotto'!K219</f>
        <v>5527.0862857142865</v>
      </c>
      <c r="AR219" s="41">
        <f>'3. Verotulot'!AW219/'Veroposentin tuotto'!L219</f>
        <v>4983.3191156755656</v>
      </c>
      <c r="AS219" s="41">
        <f>'3. Verotulot'!BB219/'Veroposentin tuotto'!M219</f>
        <v>5257.8786150281558</v>
      </c>
      <c r="AT219" s="41">
        <f>'3. Verotulot'!BG219/'Veroposentin tuotto'!N219</f>
        <v>5447.3396761080166</v>
      </c>
      <c r="AU219" s="41">
        <f>'3. Verotulot'!BL219/'Veroposentin tuotto'!O219</f>
        <v>5600.1740647377001</v>
      </c>
      <c r="AV219" s="41">
        <f>'3. Verotulot'!BQ219/'Veroposentin tuotto'!P219</f>
        <v>5777.3249837214189</v>
      </c>
      <c r="AX219" s="146"/>
      <c r="AZ219" s="34">
        <v>678</v>
      </c>
      <c r="BA219" s="88" t="s">
        <v>533</v>
      </c>
      <c r="BB219" s="41">
        <f>AI219/'1. Väestöennuste'!E219*1000</f>
        <v>159.1348580322254</v>
      </c>
      <c r="BC219" s="41">
        <f>AJ219/'1. Väestöennuste'!F219*1000</f>
        <v>157.49890519982483</v>
      </c>
      <c r="BD219" s="41">
        <f>AK219/'1. Väestöennuste'!G219*1000</f>
        <v>154.67952710463013</v>
      </c>
      <c r="BE219" s="41">
        <f>AL219/'1. Väestöennuste'!H219*1000</f>
        <v>157.21521368210335</v>
      </c>
      <c r="BF219" s="41">
        <f>AM219/'1. Väestöennuste'!I219*1000</f>
        <v>157.26885591953058</v>
      </c>
      <c r="BG219" s="41">
        <f>AN219/'1. Väestöennuste'!J219*1000</f>
        <v>169.54007817556456</v>
      </c>
      <c r="BH219" s="41">
        <f>AO219/'1. Väestöennuste'!K219*1000</f>
        <v>168.58551307890016</v>
      </c>
      <c r="BI219" s="41">
        <f>AP219/'1. Väestöennuste'!L219*1000</f>
        <v>178.91227590588429</v>
      </c>
      <c r="BJ219" s="41">
        <f>AQ219/'1. Väestöennuste'!M219*1000</f>
        <v>232.25979265093443</v>
      </c>
      <c r="BK219" s="41">
        <f>AR219/'1. Väestöennuste'!N219*1000</f>
        <v>210.72898831510341</v>
      </c>
      <c r="BL219" s="41">
        <f>AS219/'1. Väestöennuste'!O219*1000</f>
        <v>224.10189306232019</v>
      </c>
      <c r="BM219" s="41">
        <f>AT219/'1. Väestöennuste'!P219*1000</f>
        <v>234.07269147937507</v>
      </c>
      <c r="BN219" s="41">
        <f>AU219/'1. Väestöennuste'!Q219*1000</f>
        <v>242.64185722433709</v>
      </c>
      <c r="BO219" s="41">
        <f>AV219/'1. Väestöennuste'!R219*1000</f>
        <v>252.46132597978581</v>
      </c>
    </row>
    <row r="220" spans="1:67" x14ac:dyDescent="0.25">
      <c r="A220" s="30">
        <v>680</v>
      </c>
      <c r="B220" s="47" t="s">
        <v>534</v>
      </c>
      <c r="C220" s="47">
        <v>19.75</v>
      </c>
      <c r="D220" s="47">
        <v>19.75</v>
      </c>
      <c r="E220" s="47">
        <v>19.75</v>
      </c>
      <c r="F220" s="47">
        <v>19.75</v>
      </c>
      <c r="G220" s="47">
        <v>19.75</v>
      </c>
      <c r="H220" s="58">
        <v>19.75</v>
      </c>
      <c r="I220" s="139">
        <v>20.25</v>
      </c>
      <c r="J220" s="139">
        <v>20.25</v>
      </c>
      <c r="K220" s="139">
        <f t="shared" si="15"/>
        <v>7.6099999999999994</v>
      </c>
      <c r="L220" s="139">
        <v>7.6</v>
      </c>
      <c r="M220" s="139">
        <f t="shared" si="16"/>
        <v>7.6</v>
      </c>
      <c r="N220" s="147">
        <f t="shared" si="16"/>
        <v>7.6</v>
      </c>
      <c r="O220" s="147">
        <f t="shared" si="16"/>
        <v>7.6</v>
      </c>
      <c r="P220" s="147">
        <f t="shared" si="16"/>
        <v>7.6</v>
      </c>
      <c r="Q220" s="147"/>
      <c r="S220" s="41">
        <f>'3. Verotulot'!D220*100/'Veroposentin tuotto'!C220</f>
        <v>429971.1389367088</v>
      </c>
      <c r="T220" s="41">
        <f>'3. Verotulot'!I220*100/'Veroposentin tuotto'!D220</f>
        <v>432359.49367088609</v>
      </c>
      <c r="U220" s="41">
        <f>'3. Verotulot'!N220*100/'Veroposentin tuotto'!E220</f>
        <v>435255.69620253163</v>
      </c>
      <c r="V220" s="41">
        <f>'3. Verotulot'!S220*100/'Veroposentin tuotto'!F220</f>
        <v>434800</v>
      </c>
      <c r="W220" s="41">
        <f>'3. Verotulot'!X220*100/'Veroposentin tuotto'!G220</f>
        <v>434936.70886075951</v>
      </c>
      <c r="X220" s="41">
        <f>'3. Verotulot'!AC220*100/'Veroposentin tuotto'!H220</f>
        <v>457711.39240506326</v>
      </c>
      <c r="Y220" s="41">
        <f>'3. Verotulot'!AH220*100/'Veroposentin tuotto'!I220</f>
        <v>469565.02819753077</v>
      </c>
      <c r="Z220" s="41">
        <f>'3. Verotulot'!AM220*100/'Veroposentin tuotto'!J220</f>
        <v>493371.17461728398</v>
      </c>
      <c r="AA220" s="41">
        <f>'3. Verotulot'!AR220*100/'Veroposentin tuotto'!K220</f>
        <v>645001.24086727994</v>
      </c>
      <c r="AB220" s="41">
        <f>'3. Verotulot'!AW220*100/'Veroposentin tuotto'!L220</f>
        <v>605434.4004618756</v>
      </c>
      <c r="AC220" s="41">
        <f>'3. Verotulot'!BB220*100/'Veroposentin tuotto'!M220</f>
        <v>636184.30612354237</v>
      </c>
      <c r="AD220" s="41">
        <f>'3. Verotulot'!BG220*100/'Veroposentin tuotto'!N220</f>
        <v>668074.59695206746</v>
      </c>
      <c r="AE220" s="41">
        <f>'3. Verotulot'!BL220*100/'Veroposentin tuotto'!O220</f>
        <v>695422.61049968575</v>
      </c>
      <c r="AF220" s="41">
        <f>'3. Verotulot'!BQ220*100/'Veroposentin tuotto'!P220</f>
        <v>726001.58025468176</v>
      </c>
      <c r="AI220" s="41">
        <f>'3. Verotulot'!D220/'Veroposentin tuotto'!C220</f>
        <v>4299.7113893670885</v>
      </c>
      <c r="AJ220" s="41">
        <f>'3. Verotulot'!I220/'Veroposentin tuotto'!D220</f>
        <v>4323.5949367088606</v>
      </c>
      <c r="AK220" s="41">
        <f>'3. Verotulot'!N220/'Veroposentin tuotto'!E220</f>
        <v>4352.5569620253164</v>
      </c>
      <c r="AL220" s="41">
        <f>'3. Verotulot'!S220/'Veroposentin tuotto'!F220</f>
        <v>4348</v>
      </c>
      <c r="AM220" s="41">
        <f>'3. Verotulot'!X220/'Veroposentin tuotto'!G220</f>
        <v>4349.3670886075952</v>
      </c>
      <c r="AN220" s="41">
        <f>'3. Verotulot'!AC220/'Veroposentin tuotto'!H220</f>
        <v>4577.1139240506327</v>
      </c>
      <c r="AO220" s="41">
        <f>'3. Verotulot'!AH220/'Veroposentin tuotto'!I220</f>
        <v>4695.6502819753077</v>
      </c>
      <c r="AP220" s="41">
        <f>'3. Verotulot'!AM220/'Veroposentin tuotto'!J220</f>
        <v>4933.7117461728394</v>
      </c>
      <c r="AQ220" s="41">
        <f>'3. Verotulot'!AR220/'Veroposentin tuotto'!K220</f>
        <v>6450.0124086727992</v>
      </c>
      <c r="AR220" s="41">
        <f>'3. Verotulot'!AW220/'Veroposentin tuotto'!L220</f>
        <v>6054.3440046187552</v>
      </c>
      <c r="AS220" s="41">
        <f>'3. Verotulot'!BB220/'Veroposentin tuotto'!M220</f>
        <v>6361.8430612354232</v>
      </c>
      <c r="AT220" s="41">
        <f>'3. Verotulot'!BG220/'Veroposentin tuotto'!N220</f>
        <v>6680.7459695206753</v>
      </c>
      <c r="AU220" s="41">
        <f>'3. Verotulot'!BL220/'Veroposentin tuotto'!O220</f>
        <v>6954.2261049968574</v>
      </c>
      <c r="AV220" s="41">
        <f>'3. Verotulot'!BQ220/'Veroposentin tuotto'!P220</f>
        <v>7260.0158025468172</v>
      </c>
      <c r="AX220" s="146"/>
      <c r="AZ220" s="34">
        <v>680</v>
      </c>
      <c r="BA220" s="88" t="s">
        <v>534</v>
      </c>
      <c r="BB220" s="41">
        <f>AI220/'1. Väestöennuste'!E220*1000</f>
        <v>177.01570149720413</v>
      </c>
      <c r="BC220" s="41">
        <f>AJ220/'1. Väestöennuste'!F220*1000</f>
        <v>178.05027948395426</v>
      </c>
      <c r="BD220" s="41">
        <f>AK220/'1. Väestöennuste'!G220*1000</f>
        <v>179.60538755571991</v>
      </c>
      <c r="BE220" s="41">
        <f>AL220/'1. Väestöennuste'!H220*1000</f>
        <v>179.83290594755564</v>
      </c>
      <c r="BF220" s="41">
        <f>AM220/'1. Väestöennuste'!I220*1000</f>
        <v>180.80175792349499</v>
      </c>
      <c r="BG220" s="41">
        <f>AN220/'1. Väestöennuste'!J220*1000</f>
        <v>187.53283582786221</v>
      </c>
      <c r="BH220" s="41">
        <f>AO220/'1. Väestöennuste'!K220*1000</f>
        <v>189.26442087768268</v>
      </c>
      <c r="BI220" s="41">
        <f>AP220/'1. Väestöennuste'!L220*1000</f>
        <v>197.80738297541652</v>
      </c>
      <c r="BJ220" s="41">
        <f>AQ220/'1. Väestöennuste'!M220*1000</f>
        <v>254.62920566392165</v>
      </c>
      <c r="BK220" s="41">
        <f>AR220/'1. Väestöennuste'!N220*1000</f>
        <v>246.64293007775919</v>
      </c>
      <c r="BL220" s="41">
        <f>AS220/'1. Väestöennuste'!O220*1000</f>
        <v>258.67459791963176</v>
      </c>
      <c r="BM220" s="41">
        <f>AT220/'1. Väestöennuste'!P220*1000</f>
        <v>271.16718632628465</v>
      </c>
      <c r="BN220" s="41">
        <f>AU220/'1. Väestöennuste'!Q220*1000</f>
        <v>281.78719174183954</v>
      </c>
      <c r="BO220" s="41">
        <f>AV220/'1. Väestöennuste'!R220*1000</f>
        <v>293.64244469126425</v>
      </c>
    </row>
    <row r="221" spans="1:67" x14ac:dyDescent="0.25">
      <c r="A221" s="30">
        <v>681</v>
      </c>
      <c r="B221" s="47" t="s">
        <v>535</v>
      </c>
      <c r="C221" s="47">
        <v>20.5</v>
      </c>
      <c r="D221" s="47">
        <v>20.5</v>
      </c>
      <c r="E221" s="47">
        <v>20.5</v>
      </c>
      <c r="F221" s="47">
        <v>21</v>
      </c>
      <c r="G221" s="47">
        <v>21.5</v>
      </c>
      <c r="H221" s="58">
        <v>22</v>
      </c>
      <c r="I221" s="139">
        <v>22</v>
      </c>
      <c r="J221" s="139">
        <v>22</v>
      </c>
      <c r="K221" s="139">
        <f t="shared" si="15"/>
        <v>9.36</v>
      </c>
      <c r="L221" s="139">
        <v>9.4</v>
      </c>
      <c r="M221" s="139">
        <f t="shared" si="16"/>
        <v>9.4</v>
      </c>
      <c r="N221" s="147">
        <f t="shared" si="16"/>
        <v>9.4</v>
      </c>
      <c r="O221" s="147">
        <f t="shared" si="16"/>
        <v>9.4</v>
      </c>
      <c r="P221" s="147">
        <f t="shared" si="16"/>
        <v>9.4</v>
      </c>
      <c r="Q221" s="147"/>
      <c r="S221" s="41">
        <f>'3. Verotulot'!D221*100/'Veroposentin tuotto'!C221</f>
        <v>45574.652243902441</v>
      </c>
      <c r="T221" s="41">
        <f>'3. Verotulot'!I221*100/'Veroposentin tuotto'!D221</f>
        <v>42351.219512195123</v>
      </c>
      <c r="U221" s="41">
        <f>'3. Verotulot'!N221*100/'Veroposentin tuotto'!E221</f>
        <v>44219.512195121948</v>
      </c>
      <c r="V221" s="41">
        <f>'3. Verotulot'!S221*100/'Veroposentin tuotto'!F221</f>
        <v>40704.761904761908</v>
      </c>
      <c r="W221" s="41">
        <f>'3. Verotulot'!X221*100/'Veroposentin tuotto'!G221</f>
        <v>42693.023255813954</v>
      </c>
      <c r="X221" s="41">
        <f>'3. Verotulot'!AC221*100/'Veroposentin tuotto'!H221</f>
        <v>43718.181818181816</v>
      </c>
      <c r="Y221" s="41">
        <f>'3. Verotulot'!AH221*100/'Veroposentin tuotto'!I221</f>
        <v>44842.866454545452</v>
      </c>
      <c r="Z221" s="41">
        <f>'3. Verotulot'!AM221*100/'Veroposentin tuotto'!J221</f>
        <v>45457.373909090908</v>
      </c>
      <c r="AA221" s="41">
        <f>'3. Verotulot'!AR221*100/'Veroposentin tuotto'!K221</f>
        <v>56423.034401709403</v>
      </c>
      <c r="AB221" s="41">
        <f>'3. Verotulot'!AW221*100/'Veroposentin tuotto'!L221</f>
        <v>53530.262508180713</v>
      </c>
      <c r="AC221" s="41">
        <f>'3. Verotulot'!BB221*100/'Veroposentin tuotto'!M221</f>
        <v>54872.168951463827</v>
      </c>
      <c r="AD221" s="41">
        <f>'3. Verotulot'!BG221*100/'Veroposentin tuotto'!N221</f>
        <v>56045.300553961832</v>
      </c>
      <c r="AE221" s="41">
        <f>'3. Verotulot'!BL221*100/'Veroposentin tuotto'!O221</f>
        <v>57268.357326317418</v>
      </c>
      <c r="AF221" s="41">
        <f>'3. Verotulot'!BQ221*100/'Veroposentin tuotto'!P221</f>
        <v>58596.507952076099</v>
      </c>
      <c r="AI221" s="41">
        <f>'3. Verotulot'!D221/'Veroposentin tuotto'!C221</f>
        <v>455.74652243902437</v>
      </c>
      <c r="AJ221" s="41">
        <f>'3. Verotulot'!I221/'Veroposentin tuotto'!D221</f>
        <v>423.51219512195121</v>
      </c>
      <c r="AK221" s="41">
        <f>'3. Verotulot'!N221/'Veroposentin tuotto'!E221</f>
        <v>442.19512195121951</v>
      </c>
      <c r="AL221" s="41">
        <f>'3. Verotulot'!S221/'Veroposentin tuotto'!F221</f>
        <v>407.04761904761904</v>
      </c>
      <c r="AM221" s="41">
        <f>'3. Verotulot'!X221/'Veroposentin tuotto'!G221</f>
        <v>426.93023255813955</v>
      </c>
      <c r="AN221" s="41">
        <f>'3. Verotulot'!AC221/'Veroposentin tuotto'!H221</f>
        <v>437.18181818181819</v>
      </c>
      <c r="AO221" s="41">
        <f>'3. Verotulot'!AH221/'Veroposentin tuotto'!I221</f>
        <v>448.42866454545452</v>
      </c>
      <c r="AP221" s="41">
        <f>'3. Verotulot'!AM221/'Veroposentin tuotto'!J221</f>
        <v>454.5737390909091</v>
      </c>
      <c r="AQ221" s="41">
        <f>'3. Verotulot'!AR221/'Veroposentin tuotto'!K221</f>
        <v>564.23034401709401</v>
      </c>
      <c r="AR221" s="41">
        <f>'3. Verotulot'!AW221/'Veroposentin tuotto'!L221</f>
        <v>535.30262508180715</v>
      </c>
      <c r="AS221" s="41">
        <f>'3. Verotulot'!BB221/'Veroposentin tuotto'!M221</f>
        <v>548.72168951463823</v>
      </c>
      <c r="AT221" s="41">
        <f>'3. Verotulot'!BG221/'Veroposentin tuotto'!N221</f>
        <v>560.4530055396184</v>
      </c>
      <c r="AU221" s="41">
        <f>'3. Verotulot'!BL221/'Veroposentin tuotto'!O221</f>
        <v>572.68357326317414</v>
      </c>
      <c r="AV221" s="41">
        <f>'3. Verotulot'!BQ221/'Veroposentin tuotto'!P221</f>
        <v>585.96507952076104</v>
      </c>
      <c r="AX221" s="146"/>
      <c r="AZ221" s="34">
        <v>681</v>
      </c>
      <c r="BA221" s="88" t="s">
        <v>535</v>
      </c>
      <c r="BB221" s="41">
        <f>AI221/'1. Väestöennuste'!E221*1000</f>
        <v>122.08586189097893</v>
      </c>
      <c r="BC221" s="41">
        <f>AJ221/'1. Väestöennuste'!F221*1000</f>
        <v>116.06253634473862</v>
      </c>
      <c r="BD221" s="41">
        <f>AK221/'1. Väestöennuste'!G221*1000</f>
        <v>124.45683139634662</v>
      </c>
      <c r="BE221" s="41">
        <f>AL221/'1. Väestöennuste'!H221*1000</f>
        <v>115.83597582459278</v>
      </c>
      <c r="BF221" s="41">
        <f>AM221/'1. Väestöennuste'!I221*1000</f>
        <v>124.43317766194683</v>
      </c>
      <c r="BG221" s="41">
        <f>AN221/'1. Väestöennuste'!J221*1000</f>
        <v>129.9589233596368</v>
      </c>
      <c r="BH221" s="41">
        <f>AO221/'1. Väestöennuste'!K221*1000</f>
        <v>134.66326262626262</v>
      </c>
      <c r="BI221" s="41">
        <f>AP221/'1. Väestöennuste'!L221*1000</f>
        <v>137.41648702869077</v>
      </c>
      <c r="BJ221" s="41">
        <f>AQ221/'1. Väestöennuste'!M221*1000</f>
        <v>171.13446891631602</v>
      </c>
      <c r="BK221" s="41">
        <f>AR221/'1. Väestöennuste'!N221*1000</f>
        <v>172.34469577649941</v>
      </c>
      <c r="BL221" s="41">
        <f>AS221/'1. Väestöennuste'!O221*1000</f>
        <v>179.79085501790243</v>
      </c>
      <c r="BM221" s="41">
        <f>AT221/'1. Väestöennuste'!P221*1000</f>
        <v>186.50682380686138</v>
      </c>
      <c r="BN221" s="41">
        <f>AU221/'1. Väestöennuste'!Q221*1000</f>
        <v>193.53956514470229</v>
      </c>
      <c r="BO221" s="41">
        <f>AV221/'1. Väestöennuste'!R221*1000</f>
        <v>201.08616318488711</v>
      </c>
    </row>
    <row r="222" spans="1:67" x14ac:dyDescent="0.25">
      <c r="A222" s="30">
        <v>683</v>
      </c>
      <c r="B222" s="47" t="s">
        <v>536</v>
      </c>
      <c r="C222" s="47">
        <v>19.75</v>
      </c>
      <c r="D222" s="47">
        <v>19.75</v>
      </c>
      <c r="E222" s="47">
        <v>19.75</v>
      </c>
      <c r="F222" s="47">
        <v>19.75</v>
      </c>
      <c r="G222" s="47">
        <v>19.75</v>
      </c>
      <c r="H222" s="58">
        <v>19.75</v>
      </c>
      <c r="I222" s="139">
        <v>19.75</v>
      </c>
      <c r="J222" s="139">
        <v>19.75</v>
      </c>
      <c r="K222" s="139">
        <f t="shared" si="15"/>
        <v>7.1099999999999994</v>
      </c>
      <c r="L222" s="139">
        <v>7.1</v>
      </c>
      <c r="M222" s="139">
        <f t="shared" si="16"/>
        <v>7.1</v>
      </c>
      <c r="N222" s="147">
        <f t="shared" si="16"/>
        <v>7.1</v>
      </c>
      <c r="O222" s="147">
        <f t="shared" si="16"/>
        <v>7.1</v>
      </c>
      <c r="P222" s="147">
        <f t="shared" si="16"/>
        <v>7.1</v>
      </c>
      <c r="Q222" s="147"/>
      <c r="S222" s="41">
        <f>'3. Verotulot'!D222*100/'Veroposentin tuotto'!C222</f>
        <v>44751.962734177221</v>
      </c>
      <c r="T222" s="41">
        <f>'3. Verotulot'!I222*100/'Veroposentin tuotto'!D222</f>
        <v>42298.734177215192</v>
      </c>
      <c r="U222" s="41">
        <f>'3. Verotulot'!N222*100/'Veroposentin tuotto'!E222</f>
        <v>43843.037974683546</v>
      </c>
      <c r="V222" s="41">
        <f>'3. Verotulot'!S222*100/'Veroposentin tuotto'!F222</f>
        <v>39640.506329113923</v>
      </c>
      <c r="W222" s="41">
        <f>'3. Verotulot'!X222*100/'Veroposentin tuotto'!G222</f>
        <v>41012.6582278481</v>
      </c>
      <c r="X222" s="41">
        <f>'3. Verotulot'!AC222*100/'Veroposentin tuotto'!H222</f>
        <v>43488.607594936708</v>
      </c>
      <c r="Y222" s="41">
        <f>'3. Verotulot'!AH222*100/'Veroposentin tuotto'!I222</f>
        <v>44770.434481012664</v>
      </c>
      <c r="Z222" s="41">
        <f>'3. Verotulot'!AM222*100/'Veroposentin tuotto'!J222</f>
        <v>43666.078582278475</v>
      </c>
      <c r="AA222" s="41">
        <f>'3. Verotulot'!AR222*100/'Veroposentin tuotto'!K222</f>
        <v>52337.833333333336</v>
      </c>
      <c r="AB222" s="41">
        <f>'3. Verotulot'!AW222*100/'Veroposentin tuotto'!L222</f>
        <v>51751.343021924549</v>
      </c>
      <c r="AC222" s="41">
        <f>'3. Verotulot'!BB222*100/'Veroposentin tuotto'!M222</f>
        <v>52971.27271199799</v>
      </c>
      <c r="AD222" s="41">
        <f>'3. Verotulot'!BG222*100/'Veroposentin tuotto'!N222</f>
        <v>53958.740819982675</v>
      </c>
      <c r="AE222" s="41">
        <f>'3. Verotulot'!BL222*100/'Veroposentin tuotto'!O222</f>
        <v>54855.28469451132</v>
      </c>
      <c r="AF222" s="41">
        <f>'3. Verotulot'!BQ222*100/'Veroposentin tuotto'!P222</f>
        <v>56124.954878454591</v>
      </c>
      <c r="AI222" s="41">
        <f>'3. Verotulot'!D222/'Veroposentin tuotto'!C222</f>
        <v>447.51962734177221</v>
      </c>
      <c r="AJ222" s="41">
        <f>'3. Verotulot'!I222/'Veroposentin tuotto'!D222</f>
        <v>422.98734177215192</v>
      </c>
      <c r="AK222" s="41">
        <f>'3. Verotulot'!N222/'Veroposentin tuotto'!E222</f>
        <v>438.43037974683546</v>
      </c>
      <c r="AL222" s="41">
        <f>'3. Verotulot'!S222/'Veroposentin tuotto'!F222</f>
        <v>396.40506329113924</v>
      </c>
      <c r="AM222" s="41">
        <f>'3. Verotulot'!X222/'Veroposentin tuotto'!G222</f>
        <v>410.12658227848101</v>
      </c>
      <c r="AN222" s="41">
        <f>'3. Verotulot'!AC222/'Veroposentin tuotto'!H222</f>
        <v>434.88607594936707</v>
      </c>
      <c r="AO222" s="41">
        <f>'3. Verotulot'!AH222/'Veroposentin tuotto'!I222</f>
        <v>447.70434481012666</v>
      </c>
      <c r="AP222" s="41">
        <f>'3. Verotulot'!AM222/'Veroposentin tuotto'!J222</f>
        <v>436.66078582278476</v>
      </c>
      <c r="AQ222" s="41">
        <f>'3. Verotulot'!AR222/'Veroposentin tuotto'!K222</f>
        <v>523.37833333333344</v>
      </c>
      <c r="AR222" s="41">
        <f>'3. Verotulot'!AW222/'Veroposentin tuotto'!L222</f>
        <v>517.51343021924549</v>
      </c>
      <c r="AS222" s="41">
        <f>'3. Verotulot'!BB222/'Veroposentin tuotto'!M222</f>
        <v>529.71272711997995</v>
      </c>
      <c r="AT222" s="41">
        <f>'3. Verotulot'!BG222/'Veroposentin tuotto'!N222</f>
        <v>539.58740819982677</v>
      </c>
      <c r="AU222" s="41">
        <f>'3. Verotulot'!BL222/'Veroposentin tuotto'!O222</f>
        <v>548.55284694511317</v>
      </c>
      <c r="AV222" s="41">
        <f>'3. Verotulot'!BQ222/'Veroposentin tuotto'!P222</f>
        <v>561.24954878454594</v>
      </c>
      <c r="AX222" s="146"/>
      <c r="AZ222" s="34">
        <v>683</v>
      </c>
      <c r="BA222" s="88" t="s">
        <v>536</v>
      </c>
      <c r="BB222" s="41">
        <f>AI222/'1. Väestöennuste'!E222*1000</f>
        <v>111.32329038352543</v>
      </c>
      <c r="BC222" s="41">
        <f>AJ222/'1. Väestöennuste'!F222*1000</f>
        <v>105.14226740545661</v>
      </c>
      <c r="BD222" s="41">
        <f>AK222/'1. Väestöennuste'!G222*1000</f>
        <v>110.38025673384578</v>
      </c>
      <c r="BE222" s="41">
        <f>AL222/'1. Väestöennuste'!H222*1000</f>
        <v>101.74667948951213</v>
      </c>
      <c r="BF222" s="41">
        <f>AM222/'1. Väestöennuste'!I222*1000</f>
        <v>108.41305373472932</v>
      </c>
      <c r="BG222" s="41">
        <f>AN222/'1. Väestöennuste'!J222*1000</f>
        <v>117.15680925360104</v>
      </c>
      <c r="BH222" s="41">
        <f>AO222/'1. Väestöennuste'!K222*1000</f>
        <v>121.99028468940782</v>
      </c>
      <c r="BI222" s="41">
        <f>AP222/'1. Väestöennuste'!L222*1000</f>
        <v>120.69120669507593</v>
      </c>
      <c r="BJ222" s="41">
        <f>AQ222/'1. Väestöennuste'!M222*1000</f>
        <v>145.42326572195981</v>
      </c>
      <c r="BK222" s="41">
        <f>AR222/'1. Väestöennuste'!N222*1000</f>
        <v>149.87356797545482</v>
      </c>
      <c r="BL222" s="41">
        <f>AS222/'1. Väestöennuste'!O222*1000</f>
        <v>156.07328436063051</v>
      </c>
      <c r="BM222" s="41">
        <f>AT222/'1. Väestöennuste'!P222*1000</f>
        <v>161.69835427025075</v>
      </c>
      <c r="BN222" s="41">
        <f>AU222/'1. Väestöennuste'!Q222*1000</f>
        <v>167.03801673115504</v>
      </c>
      <c r="BO222" s="41">
        <f>AV222/'1. Väestöennuste'!R222*1000</f>
        <v>173.65394454967387</v>
      </c>
    </row>
    <row r="223" spans="1:67" x14ac:dyDescent="0.25">
      <c r="A223" s="30">
        <v>684</v>
      </c>
      <c r="B223" s="47" t="s">
        <v>537</v>
      </c>
      <c r="C223" s="47">
        <v>19</v>
      </c>
      <c r="D223" s="47">
        <v>20</v>
      </c>
      <c r="E223" s="47">
        <v>20</v>
      </c>
      <c r="F223" s="47">
        <v>20</v>
      </c>
      <c r="G223" s="47">
        <v>20</v>
      </c>
      <c r="H223" s="58">
        <v>21</v>
      </c>
      <c r="I223" s="139">
        <v>21</v>
      </c>
      <c r="J223" s="139">
        <v>20.5</v>
      </c>
      <c r="K223" s="139">
        <f t="shared" si="15"/>
        <v>7.8599999999999994</v>
      </c>
      <c r="L223" s="139">
        <v>7.9</v>
      </c>
      <c r="M223" s="139">
        <f t="shared" si="16"/>
        <v>7.9</v>
      </c>
      <c r="N223" s="147">
        <f t="shared" si="16"/>
        <v>7.9</v>
      </c>
      <c r="O223" s="147">
        <f t="shared" si="16"/>
        <v>7.9</v>
      </c>
      <c r="P223" s="147">
        <f t="shared" si="16"/>
        <v>7.9</v>
      </c>
      <c r="Q223" s="147"/>
      <c r="S223" s="41">
        <f>'3. Verotulot'!D223*100/'Veroposentin tuotto'!C223</f>
        <v>699766.51268421055</v>
      </c>
      <c r="T223" s="41">
        <f>'3. Verotulot'!I223*100/'Veroposentin tuotto'!D223</f>
        <v>726620</v>
      </c>
      <c r="U223" s="41">
        <f>'3. Verotulot'!N223*100/'Veroposentin tuotto'!E223</f>
        <v>753435</v>
      </c>
      <c r="V223" s="41">
        <f>'3. Verotulot'!S223*100/'Veroposentin tuotto'!F223</f>
        <v>742590</v>
      </c>
      <c r="W223" s="41">
        <f>'3. Verotulot'!X223*100/'Veroposentin tuotto'!G223</f>
        <v>736190</v>
      </c>
      <c r="X223" s="41">
        <f>'3. Verotulot'!AC223*100/'Veroposentin tuotto'!H223</f>
        <v>757928.57142857148</v>
      </c>
      <c r="Y223" s="41">
        <f>'3. Verotulot'!AH223*100/'Veroposentin tuotto'!I223</f>
        <v>805009.63333333319</v>
      </c>
      <c r="Z223" s="41">
        <f>'3. Verotulot'!AM223*100/'Veroposentin tuotto'!J223</f>
        <v>819417.38800000004</v>
      </c>
      <c r="AA223" s="41">
        <f>'3. Verotulot'!AR223*100/'Veroposentin tuotto'!K223</f>
        <v>937261.49503816816</v>
      </c>
      <c r="AB223" s="41">
        <f>'3. Verotulot'!AW223*100/'Veroposentin tuotto'!L223</f>
        <v>938693.58414783899</v>
      </c>
      <c r="AC223" s="41">
        <f>'3. Verotulot'!BB223*100/'Veroposentin tuotto'!M223</f>
        <v>981431.59793481801</v>
      </c>
      <c r="AD223" s="41">
        <f>'3. Verotulot'!BG223*100/'Veroposentin tuotto'!N223</f>
        <v>1018974.2995460901</v>
      </c>
      <c r="AE223" s="41">
        <f>'3. Verotulot'!BL223*100/'Veroposentin tuotto'!O223</f>
        <v>1050183.6217808968</v>
      </c>
      <c r="AF223" s="41">
        <f>'3. Verotulot'!BQ223*100/'Veroposentin tuotto'!P223</f>
        <v>1085275.6243353689</v>
      </c>
      <c r="AI223" s="41">
        <f>'3. Verotulot'!D223/'Veroposentin tuotto'!C223</f>
        <v>6997.6651268421047</v>
      </c>
      <c r="AJ223" s="41">
        <f>'3. Verotulot'!I223/'Veroposentin tuotto'!D223</f>
        <v>7266.2</v>
      </c>
      <c r="AK223" s="41">
        <f>'3. Verotulot'!N223/'Veroposentin tuotto'!E223</f>
        <v>7534.35</v>
      </c>
      <c r="AL223" s="41">
        <f>'3. Verotulot'!S223/'Veroposentin tuotto'!F223</f>
        <v>7425.9</v>
      </c>
      <c r="AM223" s="41">
        <f>'3. Verotulot'!X223/'Veroposentin tuotto'!G223</f>
        <v>7361.9</v>
      </c>
      <c r="AN223" s="41">
        <f>'3. Verotulot'!AC223/'Veroposentin tuotto'!H223</f>
        <v>7579.2857142857147</v>
      </c>
      <c r="AO223" s="41">
        <f>'3. Verotulot'!AH223/'Veroposentin tuotto'!I223</f>
        <v>8050.096333333333</v>
      </c>
      <c r="AP223" s="41">
        <f>'3. Verotulot'!AM223/'Veroposentin tuotto'!J223</f>
        <v>8194.1738800000003</v>
      </c>
      <c r="AQ223" s="41">
        <f>'3. Verotulot'!AR223/'Veroposentin tuotto'!K223</f>
        <v>9372.6149503816814</v>
      </c>
      <c r="AR223" s="41">
        <f>'3. Verotulot'!AW223/'Veroposentin tuotto'!L223</f>
        <v>9386.935841478391</v>
      </c>
      <c r="AS223" s="41">
        <f>'3. Verotulot'!BB223/'Veroposentin tuotto'!M223</f>
        <v>9814.3159793481809</v>
      </c>
      <c r="AT223" s="41">
        <f>'3. Verotulot'!BG223/'Veroposentin tuotto'!N223</f>
        <v>10189.7429954609</v>
      </c>
      <c r="AU223" s="41">
        <f>'3. Verotulot'!BL223/'Veroposentin tuotto'!O223</f>
        <v>10501.836217808966</v>
      </c>
      <c r="AV223" s="41">
        <f>'3. Verotulot'!BQ223/'Veroposentin tuotto'!P223</f>
        <v>10852.756243353688</v>
      </c>
      <c r="AX223" s="146"/>
      <c r="AZ223" s="34">
        <v>684</v>
      </c>
      <c r="BA223" s="88" t="s">
        <v>537</v>
      </c>
      <c r="BB223" s="41">
        <f>AI223/'1. Väestöennuste'!E223*1000</f>
        <v>175.78098236183035</v>
      </c>
      <c r="BC223" s="41">
        <f>AJ223/'1. Väestöennuste'!F223*1000</f>
        <v>183.42505174938154</v>
      </c>
      <c r="BD223" s="41">
        <f>AK223/'1. Väestöennuste'!G223*1000</f>
        <v>190.16532054517921</v>
      </c>
      <c r="BE223" s="41">
        <f>AL223/'1. Väestöennuste'!H223*1000</f>
        <v>188.66615853658536</v>
      </c>
      <c r="BF223" s="41">
        <f>AM223/'1. Väestöennuste'!I223*1000</f>
        <v>187.77961994643539</v>
      </c>
      <c r="BG223" s="41">
        <f>AN223/'1. Väestöennuste'!J223*1000</f>
        <v>194.14153981264636</v>
      </c>
      <c r="BH223" s="41">
        <f>AO223/'1. Väestöennuste'!K223*1000</f>
        <v>206.62995285642168</v>
      </c>
      <c r="BI223" s="41">
        <f>AP223/'1. Väestöennuste'!L223*1000</f>
        <v>211.91646313393849</v>
      </c>
      <c r="BJ223" s="41">
        <f>AQ223/'1. Väestöennuste'!M223*1000</f>
        <v>241.36317857389992</v>
      </c>
      <c r="BK223" s="41">
        <f>AR223/'1. Väestöennuste'!N223*1000</f>
        <v>243.98128194308859</v>
      </c>
      <c r="BL223" s="41">
        <f>AS223/'1. Väestöennuste'!O223*1000</f>
        <v>256.17488395886772</v>
      </c>
      <c r="BM223" s="41">
        <f>AT223/'1. Väestöennuste'!P223*1000</f>
        <v>267.11780731016592</v>
      </c>
      <c r="BN223" s="41">
        <f>AU223/'1. Väestöennuste'!Q223*1000</f>
        <v>276.50236217606084</v>
      </c>
      <c r="BO223" s="41">
        <f>AV223/'1. Väestöennuste'!R223*1000</f>
        <v>286.97329957569644</v>
      </c>
    </row>
    <row r="224" spans="1:67" x14ac:dyDescent="0.25">
      <c r="A224" s="30">
        <v>686</v>
      </c>
      <c r="B224" s="47" t="s">
        <v>538</v>
      </c>
      <c r="C224" s="47">
        <v>22</v>
      </c>
      <c r="D224" s="47">
        <v>22</v>
      </c>
      <c r="E224" s="47">
        <v>22</v>
      </c>
      <c r="F224" s="47">
        <v>22</v>
      </c>
      <c r="G224" s="47">
        <v>22</v>
      </c>
      <c r="H224" s="58">
        <v>22</v>
      </c>
      <c r="I224" s="139">
        <v>22.000000000000004</v>
      </c>
      <c r="J224" s="139">
        <v>22.5</v>
      </c>
      <c r="K224" s="139">
        <f t="shared" si="15"/>
        <v>9.86</v>
      </c>
      <c r="L224" s="139">
        <v>9.9</v>
      </c>
      <c r="M224" s="139">
        <f t="shared" si="16"/>
        <v>9.9</v>
      </c>
      <c r="N224" s="147">
        <f t="shared" si="16"/>
        <v>9.9</v>
      </c>
      <c r="O224" s="147">
        <f t="shared" si="16"/>
        <v>9.9</v>
      </c>
      <c r="P224" s="147">
        <f t="shared" si="16"/>
        <v>9.9</v>
      </c>
      <c r="Q224" s="147"/>
      <c r="S224" s="41">
        <f>'3. Verotulot'!D224*100/'Veroposentin tuotto'!C224</f>
        <v>41160.519045454537</v>
      </c>
      <c r="T224" s="41">
        <f>'3. Verotulot'!I224*100/'Veroposentin tuotto'!D224</f>
        <v>39818.181818181816</v>
      </c>
      <c r="U224" s="41">
        <f>'3. Verotulot'!N224*100/'Veroposentin tuotto'!E224</f>
        <v>40022.727272727272</v>
      </c>
      <c r="V224" s="41">
        <f>'3. Verotulot'!S224*100/'Veroposentin tuotto'!F224</f>
        <v>38581.818181818184</v>
      </c>
      <c r="W224" s="41">
        <f>'3. Verotulot'!X224*100/'Veroposentin tuotto'!G224</f>
        <v>39104.545454545456</v>
      </c>
      <c r="X224" s="41">
        <f>'3. Verotulot'!AC224*100/'Veroposentin tuotto'!H224</f>
        <v>39631.818181818184</v>
      </c>
      <c r="Y224" s="41">
        <f>'3. Verotulot'!AH224*100/'Veroposentin tuotto'!I224</f>
        <v>40928.71445454545</v>
      </c>
      <c r="Z224" s="41">
        <f>'3. Verotulot'!AM224*100/'Veroposentin tuotto'!J224</f>
        <v>41547.330355555554</v>
      </c>
      <c r="AA224" s="41">
        <f>'3. Verotulot'!AR224*100/'Veroposentin tuotto'!K224</f>
        <v>51418.107910750514</v>
      </c>
      <c r="AB224" s="41">
        <f>'3. Verotulot'!AW224*100/'Veroposentin tuotto'!L224</f>
        <v>48846.158529017084</v>
      </c>
      <c r="AC224" s="41">
        <f>'3. Verotulot'!BB224*100/'Veroposentin tuotto'!M224</f>
        <v>50778.499158399951</v>
      </c>
      <c r="AD224" s="41">
        <f>'3. Verotulot'!BG224*100/'Veroposentin tuotto'!N224</f>
        <v>51934.396174291905</v>
      </c>
      <c r="AE224" s="41">
        <f>'3. Verotulot'!BL224*100/'Veroposentin tuotto'!O224</f>
        <v>52990.720969255992</v>
      </c>
      <c r="AF224" s="41">
        <f>'3. Verotulot'!BQ224*100/'Veroposentin tuotto'!P224</f>
        <v>54243.71608349192</v>
      </c>
      <c r="AI224" s="41">
        <f>'3. Verotulot'!D224/'Veroposentin tuotto'!C224</f>
        <v>411.60519045454544</v>
      </c>
      <c r="AJ224" s="41">
        <f>'3. Verotulot'!I224/'Veroposentin tuotto'!D224</f>
        <v>398.18181818181819</v>
      </c>
      <c r="AK224" s="41">
        <f>'3. Verotulot'!N224/'Veroposentin tuotto'!E224</f>
        <v>400.22727272727275</v>
      </c>
      <c r="AL224" s="41">
        <f>'3. Verotulot'!S224/'Veroposentin tuotto'!F224</f>
        <v>385.81818181818181</v>
      </c>
      <c r="AM224" s="41">
        <f>'3. Verotulot'!X224/'Veroposentin tuotto'!G224</f>
        <v>391.04545454545456</v>
      </c>
      <c r="AN224" s="41">
        <f>'3. Verotulot'!AC224/'Veroposentin tuotto'!H224</f>
        <v>396.31818181818181</v>
      </c>
      <c r="AO224" s="41">
        <f>'3. Verotulot'!AH224/'Veroposentin tuotto'!I224</f>
        <v>409.28714454545445</v>
      </c>
      <c r="AP224" s="41">
        <f>'3. Verotulot'!AM224/'Veroposentin tuotto'!J224</f>
        <v>415.47330355555556</v>
      </c>
      <c r="AQ224" s="41">
        <f>'3. Verotulot'!AR224/'Veroposentin tuotto'!K224</f>
        <v>514.18107910750518</v>
      </c>
      <c r="AR224" s="41">
        <f>'3. Verotulot'!AW224/'Veroposentin tuotto'!L224</f>
        <v>488.46158529017083</v>
      </c>
      <c r="AS224" s="41">
        <f>'3. Verotulot'!BB224/'Veroposentin tuotto'!M224</f>
        <v>507.7849915839995</v>
      </c>
      <c r="AT224" s="41">
        <f>'3. Verotulot'!BG224/'Veroposentin tuotto'!N224</f>
        <v>519.34396174291908</v>
      </c>
      <c r="AU224" s="41">
        <f>'3. Verotulot'!BL224/'Veroposentin tuotto'!O224</f>
        <v>529.90720969255995</v>
      </c>
      <c r="AV224" s="41">
        <f>'3. Verotulot'!BQ224/'Veroposentin tuotto'!P224</f>
        <v>542.43716083491915</v>
      </c>
      <c r="AX224" s="146"/>
      <c r="AZ224" s="34">
        <v>686</v>
      </c>
      <c r="BA224" s="88" t="s">
        <v>538</v>
      </c>
      <c r="BB224" s="41">
        <f>AI224/'1. Väestöennuste'!E224*1000</f>
        <v>124.61555872072221</v>
      </c>
      <c r="BC224" s="41">
        <f>AJ224/'1. Väestöennuste'!F224*1000</f>
        <v>121.10152621101525</v>
      </c>
      <c r="BD224" s="41">
        <f>AK224/'1. Väestöennuste'!G224*1000</f>
        <v>122.95768747381651</v>
      </c>
      <c r="BE224" s="41">
        <f>AL224/'1. Väestöennuste'!H224*1000</f>
        <v>120.71908066901808</v>
      </c>
      <c r="BF224" s="41">
        <f>AM224/'1. Väestöennuste'!I224*1000</f>
        <v>125.29492295592907</v>
      </c>
      <c r="BG224" s="41">
        <f>AN224/'1. Väestöennuste'!J224*1000</f>
        <v>129.81270285561146</v>
      </c>
      <c r="BH224" s="41">
        <f>AO224/'1. Väestöennuste'!K224*1000</f>
        <v>134.94465695530974</v>
      </c>
      <c r="BI224" s="41">
        <f>AP224/'1. Väestöennuste'!L224*1000</f>
        <v>140.17317933723197</v>
      </c>
      <c r="BJ224" s="41">
        <f>AQ224/'1. Väestöennuste'!M224*1000</f>
        <v>175.30892571002562</v>
      </c>
      <c r="BK224" s="41">
        <f>AR224/'1. Väestöennuste'!N224*1000</f>
        <v>170.37376536106413</v>
      </c>
      <c r="BL224" s="41">
        <f>AS224/'1. Väestöennuste'!O224*1000</f>
        <v>180.06559985248211</v>
      </c>
      <c r="BM224" s="41">
        <f>AT224/'1. Väestöennuste'!P224*1000</f>
        <v>186.81437472766873</v>
      </c>
      <c r="BN224" s="41">
        <f>AU224/'1. Väestöennuste'!Q224*1000</f>
        <v>193.2557292824799</v>
      </c>
      <c r="BO224" s="41">
        <f>AV224/'1. Väestöennuste'!R224*1000</f>
        <v>200.60545888865352</v>
      </c>
    </row>
    <row r="225" spans="1:67" x14ac:dyDescent="0.25">
      <c r="A225" s="30">
        <v>687</v>
      </c>
      <c r="B225" s="47" t="s">
        <v>539</v>
      </c>
      <c r="C225" s="47">
        <v>21</v>
      </c>
      <c r="D225" s="47">
        <v>21</v>
      </c>
      <c r="E225" s="47">
        <v>21</v>
      </c>
      <c r="F225" s="47">
        <v>22</v>
      </c>
      <c r="G225" s="47">
        <v>22</v>
      </c>
      <c r="H225" s="58">
        <v>22</v>
      </c>
      <c r="I225" s="139">
        <v>22</v>
      </c>
      <c r="J225" s="139">
        <v>22</v>
      </c>
      <c r="K225" s="139">
        <f t="shared" si="15"/>
        <v>9.36</v>
      </c>
      <c r="L225" s="139">
        <v>9.4</v>
      </c>
      <c r="M225" s="139">
        <f t="shared" si="16"/>
        <v>9.4</v>
      </c>
      <c r="N225" s="147">
        <f t="shared" si="16"/>
        <v>9.4</v>
      </c>
      <c r="O225" s="147">
        <f t="shared" si="16"/>
        <v>9.4</v>
      </c>
      <c r="P225" s="147">
        <f t="shared" si="16"/>
        <v>9.4</v>
      </c>
      <c r="Q225" s="147"/>
      <c r="S225" s="41">
        <f>'3. Verotulot'!D225*100/'Veroposentin tuotto'!C225</f>
        <v>18465.353142857144</v>
      </c>
      <c r="T225" s="41">
        <f>'3. Verotulot'!I225*100/'Veroposentin tuotto'!D225</f>
        <v>18185.714285714286</v>
      </c>
      <c r="U225" s="41">
        <f>'3. Verotulot'!N225*100/'Veroposentin tuotto'!E225</f>
        <v>17619.047619047618</v>
      </c>
      <c r="V225" s="41">
        <f>'3. Verotulot'!S225*100/'Veroposentin tuotto'!F225</f>
        <v>17090.909090909092</v>
      </c>
      <c r="W225" s="41">
        <f>'3. Verotulot'!X225*100/'Veroposentin tuotto'!G225</f>
        <v>17000</v>
      </c>
      <c r="X225" s="41">
        <f>'3. Verotulot'!AC225*100/'Veroposentin tuotto'!H225</f>
        <v>16700</v>
      </c>
      <c r="Y225" s="41">
        <f>'3. Verotulot'!AH225*100/'Veroposentin tuotto'!I225</f>
        <v>16993.393681818179</v>
      </c>
      <c r="Z225" s="41">
        <f>'3. Verotulot'!AM225*100/'Veroposentin tuotto'!J225</f>
        <v>17615.107636363638</v>
      </c>
      <c r="AA225" s="41">
        <f>'3. Verotulot'!AR225*100/'Veroposentin tuotto'!K225</f>
        <v>21357.42938034188</v>
      </c>
      <c r="AB225" s="41">
        <f>'3. Verotulot'!AW225*100/'Veroposentin tuotto'!L225</f>
        <v>19697.325143400496</v>
      </c>
      <c r="AC225" s="41">
        <f>'3. Verotulot'!BB225*100/'Veroposentin tuotto'!M225</f>
        <v>20614.392345066954</v>
      </c>
      <c r="AD225" s="41">
        <f>'3. Verotulot'!BG225*100/'Veroposentin tuotto'!N225</f>
        <v>21004.686077886119</v>
      </c>
      <c r="AE225" s="41">
        <f>'3. Verotulot'!BL225*100/'Veroposentin tuotto'!O225</f>
        <v>21198.172337326319</v>
      </c>
      <c r="AF225" s="41">
        <f>'3. Verotulot'!BQ225*100/'Veroposentin tuotto'!P225</f>
        <v>21467.097116567329</v>
      </c>
      <c r="AI225" s="41">
        <f>'3. Verotulot'!D225/'Veroposentin tuotto'!C225</f>
        <v>184.65353142857143</v>
      </c>
      <c r="AJ225" s="41">
        <f>'3. Verotulot'!I225/'Veroposentin tuotto'!D225</f>
        <v>181.85714285714286</v>
      </c>
      <c r="AK225" s="41">
        <f>'3. Verotulot'!N225/'Veroposentin tuotto'!E225</f>
        <v>176.1904761904762</v>
      </c>
      <c r="AL225" s="41">
        <f>'3. Verotulot'!S225/'Veroposentin tuotto'!F225</f>
        <v>170.90909090909091</v>
      </c>
      <c r="AM225" s="41">
        <f>'3. Verotulot'!X225/'Veroposentin tuotto'!G225</f>
        <v>170</v>
      </c>
      <c r="AN225" s="41">
        <f>'3. Verotulot'!AC225/'Veroposentin tuotto'!H225</f>
        <v>167</v>
      </c>
      <c r="AO225" s="41">
        <f>'3. Verotulot'!AH225/'Veroposentin tuotto'!I225</f>
        <v>169.93393681818182</v>
      </c>
      <c r="AP225" s="41">
        <f>'3. Verotulot'!AM225/'Veroposentin tuotto'!J225</f>
        <v>176.15107636363635</v>
      </c>
      <c r="AQ225" s="41">
        <f>'3. Verotulot'!AR225/'Veroposentin tuotto'!K225</f>
        <v>213.57429380341881</v>
      </c>
      <c r="AR225" s="41">
        <f>'3. Verotulot'!AW225/'Veroposentin tuotto'!L225</f>
        <v>196.97325143400496</v>
      </c>
      <c r="AS225" s="41">
        <f>'3. Verotulot'!BB225/'Veroposentin tuotto'!M225</f>
        <v>206.14392345066955</v>
      </c>
      <c r="AT225" s="41">
        <f>'3. Verotulot'!BG225/'Veroposentin tuotto'!N225</f>
        <v>210.04686077886117</v>
      </c>
      <c r="AU225" s="41">
        <f>'3. Verotulot'!BL225/'Veroposentin tuotto'!O225</f>
        <v>211.98172337326321</v>
      </c>
      <c r="AV225" s="41">
        <f>'3. Verotulot'!BQ225/'Veroposentin tuotto'!P225</f>
        <v>214.67097116567328</v>
      </c>
      <c r="AX225" s="146"/>
      <c r="AZ225" s="34">
        <v>687</v>
      </c>
      <c r="BA225" s="88" t="s">
        <v>539</v>
      </c>
      <c r="BB225" s="41">
        <f>AI225/'1. Väestöennuste'!E225*1000</f>
        <v>106.30600542807797</v>
      </c>
      <c r="BC225" s="41">
        <f>AJ225/'1. Väestöennuste'!F225*1000</f>
        <v>105.54680374761628</v>
      </c>
      <c r="BD225" s="41">
        <f>AK225/'1. Väestöennuste'!G225*1000</f>
        <v>103.76353132536879</v>
      </c>
      <c r="BE225" s="41">
        <f>AL225/'1. Väestöennuste'!H225*1000</f>
        <v>103.51852871537911</v>
      </c>
      <c r="BF225" s="41">
        <f>AM225/'1. Väestöennuste'!I225*1000</f>
        <v>106.11735330836454</v>
      </c>
      <c r="BG225" s="41">
        <f>AN225/'1. Väestöennuste'!J225*1000</f>
        <v>106.98270339525945</v>
      </c>
      <c r="BH225" s="41">
        <f>AO225/'1. Väestöennuste'!K225*1000</f>
        <v>112.31588685934027</v>
      </c>
      <c r="BI225" s="41">
        <f>AP225/'1. Väestöennuste'!L225*1000</f>
        <v>119.26274635317289</v>
      </c>
      <c r="BJ225" s="41">
        <f>AQ225/'1. Väestöennuste'!M225*1000</f>
        <v>149.98194789565926</v>
      </c>
      <c r="BK225" s="41">
        <f>AR225/'1. Väestöennuste'!N225*1000</f>
        <v>137.26358984948081</v>
      </c>
      <c r="BL225" s="41">
        <f>AS225/'1. Väestöennuste'!O225*1000</f>
        <v>146.40903654166871</v>
      </c>
      <c r="BM225" s="41">
        <f>AT225/'1. Väestöennuste'!P225*1000</f>
        <v>152.09765443798781</v>
      </c>
      <c r="BN225" s="41">
        <f>AU225/'1. Väestöennuste'!Q225*1000</f>
        <v>156.44407629023115</v>
      </c>
      <c r="BO225" s="41">
        <f>AV225/'1. Väestöennuste'!R225*1000</f>
        <v>161.28547796068617</v>
      </c>
    </row>
    <row r="226" spans="1:67" x14ac:dyDescent="0.25">
      <c r="A226" s="30">
        <v>689</v>
      </c>
      <c r="B226" s="47" t="s">
        <v>540</v>
      </c>
      <c r="C226" s="47">
        <v>20.5</v>
      </c>
      <c r="D226" s="47">
        <v>20.5</v>
      </c>
      <c r="E226" s="47">
        <v>20.25</v>
      </c>
      <c r="F226" s="47">
        <v>20.25</v>
      </c>
      <c r="G226" s="47">
        <v>20.25</v>
      </c>
      <c r="H226" s="58">
        <v>20.5</v>
      </c>
      <c r="I226" s="139">
        <v>21</v>
      </c>
      <c r="J226" s="139">
        <v>21</v>
      </c>
      <c r="K226" s="139">
        <f t="shared" si="15"/>
        <v>8.36</v>
      </c>
      <c r="L226" s="139">
        <v>8.3000000000000007</v>
      </c>
      <c r="M226" s="139">
        <f t="shared" si="16"/>
        <v>8.3000000000000007</v>
      </c>
      <c r="N226" s="147">
        <f t="shared" si="16"/>
        <v>8.3000000000000007</v>
      </c>
      <c r="O226" s="147">
        <f t="shared" si="16"/>
        <v>8.3000000000000007</v>
      </c>
      <c r="P226" s="147">
        <f t="shared" si="16"/>
        <v>8.3000000000000007</v>
      </c>
      <c r="Q226" s="147"/>
      <c r="S226" s="41">
        <f>'3. Verotulot'!D226*100/'Veroposentin tuotto'!C226</f>
        <v>52671.175365853655</v>
      </c>
      <c r="T226" s="41">
        <f>'3. Verotulot'!I226*100/'Veroposentin tuotto'!D226</f>
        <v>51439.024390243903</v>
      </c>
      <c r="U226" s="41">
        <f>'3. Verotulot'!N226*100/'Veroposentin tuotto'!E226</f>
        <v>52143.209876543209</v>
      </c>
      <c r="V226" s="41">
        <f>'3. Verotulot'!S226*100/'Veroposentin tuotto'!F226</f>
        <v>48641.975308641973</v>
      </c>
      <c r="W226" s="41">
        <f>'3. Verotulot'!X226*100/'Veroposentin tuotto'!G226</f>
        <v>49945.679012345681</v>
      </c>
      <c r="X226" s="41">
        <f>'3. Verotulot'!AC226*100/'Veroposentin tuotto'!H226</f>
        <v>49321.951219512193</v>
      </c>
      <c r="Y226" s="41">
        <f>'3. Verotulot'!AH226*100/'Veroposentin tuotto'!I226</f>
        <v>52382.518857142866</v>
      </c>
      <c r="Z226" s="41">
        <f>'3. Verotulot'!AM226*100/'Veroposentin tuotto'!J226</f>
        <v>50575.047999999995</v>
      </c>
      <c r="AA226" s="41">
        <f>'3. Verotulot'!AR226*100/'Veroposentin tuotto'!K226</f>
        <v>63417.240311004796</v>
      </c>
      <c r="AB226" s="41">
        <f>'3. Verotulot'!AW226*100/'Veroposentin tuotto'!L226</f>
        <v>56632.969817038145</v>
      </c>
      <c r="AC226" s="41">
        <f>'3. Verotulot'!BB226*100/'Veroposentin tuotto'!M226</f>
        <v>57448.146614262529</v>
      </c>
      <c r="AD226" s="41">
        <f>'3. Verotulot'!BG226*100/'Veroposentin tuotto'!N226</f>
        <v>57607.498127445666</v>
      </c>
      <c r="AE226" s="41">
        <f>'3. Verotulot'!BL226*100/'Veroposentin tuotto'!O226</f>
        <v>57899.887708783266</v>
      </c>
      <c r="AF226" s="41">
        <f>'3. Verotulot'!BQ226*100/'Veroposentin tuotto'!P226</f>
        <v>58498.793004213716</v>
      </c>
      <c r="AI226" s="41">
        <f>'3. Verotulot'!D226/'Veroposentin tuotto'!C226</f>
        <v>526.71175365853662</v>
      </c>
      <c r="AJ226" s="41">
        <f>'3. Verotulot'!I226/'Veroposentin tuotto'!D226</f>
        <v>514.39024390243901</v>
      </c>
      <c r="AK226" s="41">
        <f>'3. Verotulot'!N226/'Veroposentin tuotto'!E226</f>
        <v>521.4320987654321</v>
      </c>
      <c r="AL226" s="41">
        <f>'3. Verotulot'!S226/'Veroposentin tuotto'!F226</f>
        <v>486.41975308641975</v>
      </c>
      <c r="AM226" s="41">
        <f>'3. Verotulot'!X226/'Veroposentin tuotto'!G226</f>
        <v>499.45679012345681</v>
      </c>
      <c r="AN226" s="41">
        <f>'3. Verotulot'!AC226/'Veroposentin tuotto'!H226</f>
        <v>493.21951219512198</v>
      </c>
      <c r="AO226" s="41">
        <f>'3. Verotulot'!AH226/'Veroposentin tuotto'!I226</f>
        <v>523.82518857142861</v>
      </c>
      <c r="AP226" s="41">
        <f>'3. Verotulot'!AM226/'Veroposentin tuotto'!J226</f>
        <v>505.75047999999998</v>
      </c>
      <c r="AQ226" s="41">
        <f>'3. Verotulot'!AR226/'Veroposentin tuotto'!K226</f>
        <v>634.17240311004798</v>
      </c>
      <c r="AR226" s="41">
        <f>'3. Verotulot'!AW226/'Veroposentin tuotto'!L226</f>
        <v>566.32969817038145</v>
      </c>
      <c r="AS226" s="41">
        <f>'3. Verotulot'!BB226/'Veroposentin tuotto'!M226</f>
        <v>574.48146614262532</v>
      </c>
      <c r="AT226" s="41">
        <f>'3. Verotulot'!BG226/'Veroposentin tuotto'!N226</f>
        <v>576.07498127445672</v>
      </c>
      <c r="AU226" s="41">
        <f>'3. Verotulot'!BL226/'Veroposentin tuotto'!O226</f>
        <v>578.99887708783262</v>
      </c>
      <c r="AV226" s="41">
        <f>'3. Verotulot'!BQ226/'Veroposentin tuotto'!P226</f>
        <v>584.98793004213724</v>
      </c>
      <c r="AX226" s="146"/>
      <c r="AZ226" s="34">
        <v>689</v>
      </c>
      <c r="BA226" s="88" t="s">
        <v>540</v>
      </c>
      <c r="BB226" s="41">
        <f>AI226/'1. Väestöennuste'!E226*1000</f>
        <v>148.91482998544998</v>
      </c>
      <c r="BC226" s="41">
        <f>AJ226/'1. Väestöennuste'!F226*1000</f>
        <v>148.11121333211605</v>
      </c>
      <c r="BD226" s="41">
        <f>AK226/'1. Väestöennuste'!G226*1000</f>
        <v>151.75555842998605</v>
      </c>
      <c r="BE226" s="41">
        <f>AL226/'1. Väestöennuste'!H226*1000</f>
        <v>145.85299942621282</v>
      </c>
      <c r="BF226" s="41">
        <f>AM226/'1. Väestöennuste'!I226*1000</f>
        <v>154.82231559933564</v>
      </c>
      <c r="BG226" s="41">
        <f>AN226/'1. Väestöennuste'!J226*1000</f>
        <v>156.77670444854479</v>
      </c>
      <c r="BH226" s="41">
        <f>AO226/'1. Väestöennuste'!K226*1000</f>
        <v>169.41306228053966</v>
      </c>
      <c r="BI226" s="41">
        <f>AP226/'1. Väestöennuste'!L226*1000</f>
        <v>163.51454251535725</v>
      </c>
      <c r="BJ226" s="41">
        <f>AQ226/'1. Väestöennuste'!M226*1000</f>
        <v>209.15976355872294</v>
      </c>
      <c r="BK226" s="41">
        <f>AR226/'1. Väestöennuste'!N226*1000</f>
        <v>198.0866380449043</v>
      </c>
      <c r="BL226" s="41">
        <f>AS226/'1. Väestöennuste'!O226*1000</f>
        <v>205.24525407024839</v>
      </c>
      <c r="BM226" s="41">
        <f>AT226/'1. Väestöennuste'!P226*1000</f>
        <v>210.09299098266109</v>
      </c>
      <c r="BN226" s="41">
        <f>AU226/'1. Väestöennuste'!Q226*1000</f>
        <v>215.32126332756886</v>
      </c>
      <c r="BO226" s="41">
        <f>AV226/'1. Väestöennuste'!R226*1000</f>
        <v>221.67030316109785</v>
      </c>
    </row>
    <row r="227" spans="1:67" x14ac:dyDescent="0.25">
      <c r="A227" s="30">
        <v>691</v>
      </c>
      <c r="B227" s="47" t="s">
        <v>541</v>
      </c>
      <c r="C227" s="47">
        <v>22</v>
      </c>
      <c r="D227" s="47">
        <v>22</v>
      </c>
      <c r="E227" s="47">
        <v>22</v>
      </c>
      <c r="F227" s="47">
        <v>22.5</v>
      </c>
      <c r="G227" s="47">
        <v>22.5</v>
      </c>
      <c r="H227" s="58">
        <v>22.5</v>
      </c>
      <c r="I227" s="139">
        <v>22.5</v>
      </c>
      <c r="J227" s="139">
        <v>22.5</v>
      </c>
      <c r="K227" s="139">
        <f t="shared" si="15"/>
        <v>9.86</v>
      </c>
      <c r="L227" s="139">
        <v>9.9</v>
      </c>
      <c r="M227" s="139">
        <f t="shared" si="16"/>
        <v>9.9</v>
      </c>
      <c r="N227" s="147">
        <f t="shared" si="16"/>
        <v>9.9</v>
      </c>
      <c r="O227" s="147">
        <f t="shared" si="16"/>
        <v>9.9</v>
      </c>
      <c r="P227" s="147">
        <f t="shared" si="16"/>
        <v>9.9</v>
      </c>
      <c r="Q227" s="147"/>
      <c r="S227" s="41">
        <f>'3. Verotulot'!D227*100/'Veroposentin tuotto'!C227</f>
        <v>35225.964727272723</v>
      </c>
      <c r="T227" s="41">
        <f>'3. Verotulot'!I227*100/'Veroposentin tuotto'!D227</f>
        <v>31045.454545454544</v>
      </c>
      <c r="U227" s="41">
        <f>'3. Verotulot'!N227*100/'Veroposentin tuotto'!E227</f>
        <v>32436.363636363636</v>
      </c>
      <c r="V227" s="41">
        <f>'3. Verotulot'!S227*100/'Veroposentin tuotto'!F227</f>
        <v>30955.555555555555</v>
      </c>
      <c r="W227" s="41">
        <f>'3. Verotulot'!X227*100/'Veroposentin tuotto'!G227</f>
        <v>31973.333333333332</v>
      </c>
      <c r="X227" s="41">
        <f>'3. Verotulot'!AC227*100/'Veroposentin tuotto'!H227</f>
        <v>33626.666666666664</v>
      </c>
      <c r="Y227" s="41">
        <f>'3. Verotulot'!AH227*100/'Veroposentin tuotto'!I227</f>
        <v>33890.015333333329</v>
      </c>
      <c r="Z227" s="41">
        <f>'3. Verotulot'!AM227*100/'Veroposentin tuotto'!J227</f>
        <v>34504.004977777782</v>
      </c>
      <c r="AA227" s="41">
        <f>'3. Verotulot'!AR227*100/'Veroposentin tuotto'!K227</f>
        <v>43985.93610547667</v>
      </c>
      <c r="AB227" s="41">
        <f>'3. Verotulot'!AW227*100/'Veroposentin tuotto'!L227</f>
        <v>41238.520243996943</v>
      </c>
      <c r="AC227" s="41">
        <f>'3. Verotulot'!BB227*100/'Veroposentin tuotto'!M227</f>
        <v>43467.28450742369</v>
      </c>
      <c r="AD227" s="41">
        <f>'3. Verotulot'!BG227*100/'Veroposentin tuotto'!N227</f>
        <v>45075.308352956607</v>
      </c>
      <c r="AE227" s="41">
        <f>'3. Verotulot'!BL227*100/'Veroposentin tuotto'!O227</f>
        <v>46146.254047899602</v>
      </c>
      <c r="AF227" s="41">
        <f>'3. Verotulot'!BQ227*100/'Veroposentin tuotto'!P227</f>
        <v>47466.424725308403</v>
      </c>
      <c r="AI227" s="41">
        <f>'3. Verotulot'!D227/'Veroposentin tuotto'!C227</f>
        <v>352.25964727272725</v>
      </c>
      <c r="AJ227" s="41">
        <f>'3. Verotulot'!I227/'Veroposentin tuotto'!D227</f>
        <v>310.45454545454544</v>
      </c>
      <c r="AK227" s="41">
        <f>'3. Verotulot'!N227/'Veroposentin tuotto'!E227</f>
        <v>324.36363636363637</v>
      </c>
      <c r="AL227" s="41">
        <f>'3. Verotulot'!S227/'Veroposentin tuotto'!F227</f>
        <v>309.55555555555554</v>
      </c>
      <c r="AM227" s="41">
        <f>'3. Verotulot'!X227/'Veroposentin tuotto'!G227</f>
        <v>319.73333333333335</v>
      </c>
      <c r="AN227" s="41">
        <f>'3. Verotulot'!AC227/'Veroposentin tuotto'!H227</f>
        <v>336.26666666666665</v>
      </c>
      <c r="AO227" s="41">
        <f>'3. Verotulot'!AH227/'Veroposentin tuotto'!I227</f>
        <v>338.90015333333332</v>
      </c>
      <c r="AP227" s="41">
        <f>'3. Verotulot'!AM227/'Veroposentin tuotto'!J227</f>
        <v>345.04004977777782</v>
      </c>
      <c r="AQ227" s="41">
        <f>'3. Verotulot'!AR227/'Veroposentin tuotto'!K227</f>
        <v>439.85936105476674</v>
      </c>
      <c r="AR227" s="41">
        <f>'3. Verotulot'!AW227/'Veroposentin tuotto'!L227</f>
        <v>412.38520243996948</v>
      </c>
      <c r="AS227" s="41">
        <f>'3. Verotulot'!BB227/'Veroposentin tuotto'!M227</f>
        <v>434.67284507423688</v>
      </c>
      <c r="AT227" s="41">
        <f>'3. Verotulot'!BG227/'Veroposentin tuotto'!N227</f>
        <v>450.75308352956603</v>
      </c>
      <c r="AU227" s="41">
        <f>'3. Verotulot'!BL227/'Veroposentin tuotto'!O227</f>
        <v>461.462540478996</v>
      </c>
      <c r="AV227" s="41">
        <f>'3. Verotulot'!BQ227/'Veroposentin tuotto'!P227</f>
        <v>474.66424725308406</v>
      </c>
      <c r="AX227" s="146"/>
      <c r="AZ227" s="34">
        <v>691</v>
      </c>
      <c r="BA227" s="88" t="s">
        <v>541</v>
      </c>
      <c r="BB227" s="41">
        <f>AI227/'1. Väestöennuste'!E227*1000</f>
        <v>121.72067977633975</v>
      </c>
      <c r="BC227" s="41">
        <f>AJ227/'1. Väestöennuste'!F227*1000</f>
        <v>108.77874753137542</v>
      </c>
      <c r="BD227" s="41">
        <f>AK227/'1. Väestöennuste'!G227*1000</f>
        <v>115.30879358821059</v>
      </c>
      <c r="BE227" s="41">
        <f>AL227/'1. Väestöennuste'!H227*1000</f>
        <v>112.85291854012233</v>
      </c>
      <c r="BF227" s="41">
        <f>AM227/'1. Väestöennuste'!I227*1000</f>
        <v>117.63551631101301</v>
      </c>
      <c r="BG227" s="41">
        <f>AN227/'1. Väestöennuste'!J227*1000</f>
        <v>124.08364083640835</v>
      </c>
      <c r="BH227" s="41">
        <f>AO227/'1. Väestöennuste'!K227*1000</f>
        <v>125.98518711276333</v>
      </c>
      <c r="BI227" s="41">
        <f>AP227/'1. Väestöennuste'!L227*1000</f>
        <v>130.8953147867139</v>
      </c>
      <c r="BJ227" s="41">
        <f>AQ227/'1. Väestöennuste'!M227*1000</f>
        <v>169.3069134159995</v>
      </c>
      <c r="BK227" s="41">
        <f>AR227/'1. Väestöennuste'!N227*1000</f>
        <v>159.96322825444898</v>
      </c>
      <c r="BL227" s="41">
        <f>AS227/'1. Väestöennuste'!O227*1000</f>
        <v>170.72774747613389</v>
      </c>
      <c r="BM227" s="41">
        <f>AT227/'1. Väestöennuste'!P227*1000</f>
        <v>179.22587814296858</v>
      </c>
      <c r="BN227" s="41">
        <f>AU227/'1. Väestöennuste'!Q227*1000</f>
        <v>185.62451346701366</v>
      </c>
      <c r="BO227" s="41">
        <f>AV227/'1. Väestöennuste'!R227*1000</f>
        <v>193.34592556133771</v>
      </c>
    </row>
    <row r="228" spans="1:67" x14ac:dyDescent="0.25">
      <c r="A228" s="30">
        <v>694</v>
      </c>
      <c r="B228" s="47" t="s">
        <v>542</v>
      </c>
      <c r="C228" s="47">
        <v>20.5</v>
      </c>
      <c r="D228" s="47">
        <v>20.5</v>
      </c>
      <c r="E228" s="47">
        <v>20.5</v>
      </c>
      <c r="F228" s="47">
        <v>20.5</v>
      </c>
      <c r="G228" s="47">
        <v>20.5</v>
      </c>
      <c r="H228" s="58">
        <v>20.5</v>
      </c>
      <c r="I228" s="139">
        <v>20.5</v>
      </c>
      <c r="J228" s="139">
        <v>20.5</v>
      </c>
      <c r="K228" s="139">
        <f t="shared" si="15"/>
        <v>7.8599999999999994</v>
      </c>
      <c r="L228" s="139">
        <v>7.9</v>
      </c>
      <c r="M228" s="139">
        <f t="shared" si="16"/>
        <v>7.9</v>
      </c>
      <c r="N228" s="147">
        <f t="shared" si="16"/>
        <v>7.9</v>
      </c>
      <c r="O228" s="147">
        <f t="shared" si="16"/>
        <v>7.9</v>
      </c>
      <c r="P228" s="147">
        <f t="shared" si="16"/>
        <v>7.9</v>
      </c>
      <c r="Q228" s="147"/>
      <c r="S228" s="41">
        <f>'3. Verotulot'!D228*100/'Veroposentin tuotto'!C228</f>
        <v>517988.60590243893</v>
      </c>
      <c r="T228" s="41">
        <f>'3. Verotulot'!I228*100/'Veroposentin tuotto'!D228</f>
        <v>504541.46341463417</v>
      </c>
      <c r="U228" s="41">
        <f>'3. Verotulot'!N228*100/'Veroposentin tuotto'!E228</f>
        <v>504287.80487804877</v>
      </c>
      <c r="V228" s="41">
        <f>'3. Verotulot'!S228*100/'Veroposentin tuotto'!F228</f>
        <v>498702.43902439025</v>
      </c>
      <c r="W228" s="41">
        <f>'3. Verotulot'!X228*100/'Veroposentin tuotto'!G228</f>
        <v>507214.63414634147</v>
      </c>
      <c r="X228" s="41">
        <f>'3. Verotulot'!AC228*100/'Veroposentin tuotto'!H228</f>
        <v>533170.73170731706</v>
      </c>
      <c r="Y228" s="41">
        <f>'3. Verotulot'!AH228*100/'Veroposentin tuotto'!I228</f>
        <v>531016.38</v>
      </c>
      <c r="Z228" s="41">
        <f>'3. Verotulot'!AM228*100/'Veroposentin tuotto'!J228</f>
        <v>557819.4795121951</v>
      </c>
      <c r="AA228" s="41">
        <f>'3. Verotulot'!AR228*100/'Veroposentin tuotto'!K228</f>
        <v>694308.19554707385</v>
      </c>
      <c r="AB228" s="41">
        <f>'3. Verotulot'!AW228*100/'Veroposentin tuotto'!L228</f>
        <v>658073.77203369269</v>
      </c>
      <c r="AC228" s="41">
        <f>'3. Verotulot'!BB228*100/'Veroposentin tuotto'!M228</f>
        <v>690761.98552661145</v>
      </c>
      <c r="AD228" s="41">
        <f>'3. Verotulot'!BG228*100/'Veroposentin tuotto'!N228</f>
        <v>721178.34351004113</v>
      </c>
      <c r="AE228" s="41">
        <f>'3. Verotulot'!BL228*100/'Veroposentin tuotto'!O228</f>
        <v>747101.90306019515</v>
      </c>
      <c r="AF228" s="41">
        <f>'3. Verotulot'!BQ228*100/'Veroposentin tuotto'!P228</f>
        <v>776072.46458901966</v>
      </c>
      <c r="AI228" s="41">
        <f>'3. Verotulot'!D228/'Veroposentin tuotto'!C228</f>
        <v>5179.8860590243894</v>
      </c>
      <c r="AJ228" s="41">
        <f>'3. Verotulot'!I228/'Veroposentin tuotto'!D228</f>
        <v>5045.4146341463411</v>
      </c>
      <c r="AK228" s="41">
        <f>'3. Verotulot'!N228/'Veroposentin tuotto'!E228</f>
        <v>5042.8780487804879</v>
      </c>
      <c r="AL228" s="41">
        <f>'3. Verotulot'!S228/'Veroposentin tuotto'!F228</f>
        <v>4987.0243902439024</v>
      </c>
      <c r="AM228" s="41">
        <f>'3. Verotulot'!X228/'Veroposentin tuotto'!G228</f>
        <v>5072.1463414634145</v>
      </c>
      <c r="AN228" s="41">
        <f>'3. Verotulot'!AC228/'Veroposentin tuotto'!H228</f>
        <v>5331.707317073171</v>
      </c>
      <c r="AO228" s="41">
        <f>'3. Verotulot'!AH228/'Veroposentin tuotto'!I228</f>
        <v>5310.1638000000003</v>
      </c>
      <c r="AP228" s="41">
        <f>'3. Verotulot'!AM228/'Veroposentin tuotto'!J228</f>
        <v>5578.1947951219518</v>
      </c>
      <c r="AQ228" s="41">
        <f>'3. Verotulot'!AR228/'Veroposentin tuotto'!K228</f>
        <v>6943.0819554707386</v>
      </c>
      <c r="AR228" s="41">
        <f>'3. Verotulot'!AW228/'Veroposentin tuotto'!L228</f>
        <v>6580.7377203369269</v>
      </c>
      <c r="AS228" s="41">
        <f>'3. Verotulot'!BB228/'Veroposentin tuotto'!M228</f>
        <v>6907.6198552661153</v>
      </c>
      <c r="AT228" s="41">
        <f>'3. Verotulot'!BG228/'Veroposentin tuotto'!N228</f>
        <v>7211.7834351004103</v>
      </c>
      <c r="AU228" s="41">
        <f>'3. Verotulot'!BL228/'Veroposentin tuotto'!O228</f>
        <v>7471.0190306019513</v>
      </c>
      <c r="AV228" s="41">
        <f>'3. Verotulot'!BQ228/'Veroposentin tuotto'!P228</f>
        <v>7760.7246458901955</v>
      </c>
      <c r="AX228" s="146"/>
      <c r="AZ228" s="34">
        <v>694</v>
      </c>
      <c r="BA228" s="88" t="s">
        <v>542</v>
      </c>
      <c r="BB228" s="41">
        <f>AI228/'1. Väestöennuste'!E228*1000</f>
        <v>176.97516345021657</v>
      </c>
      <c r="BC228" s="41">
        <f>AJ228/'1. Väestöennuste'!F228*1000</f>
        <v>173.0251932148951</v>
      </c>
      <c r="BD228" s="41">
        <f>AK228/'1. Väestöennuste'!G228*1000</f>
        <v>173.76651558459349</v>
      </c>
      <c r="BE228" s="41">
        <f>AL228/'1. Väestöennuste'!H228*1000</f>
        <v>173.54622738877723</v>
      </c>
      <c r="BF228" s="41">
        <f>AM228/'1. Väestöennuste'!I228*1000</f>
        <v>176.15900883768327</v>
      </c>
      <c r="BG228" s="41">
        <f>AN228/'1. Väestöennuste'!J228*1000</f>
        <v>185.70906712201918</v>
      </c>
      <c r="BH228" s="41">
        <f>AO228/'1. Väestöennuste'!K228*1000</f>
        <v>186.18434837488169</v>
      </c>
      <c r="BI228" s="41">
        <f>AP228/'1. Väestöennuste'!L228*1000</f>
        <v>196.76866186186294</v>
      </c>
      <c r="BJ228" s="41">
        <f>AQ228/'1. Väestöennuste'!M228*1000</f>
        <v>243.7623127995906</v>
      </c>
      <c r="BK228" s="41">
        <f>AR228/'1. Väestöennuste'!N228*1000</f>
        <v>232.57599294352102</v>
      </c>
      <c r="BL228" s="41">
        <f>AS228/'1. Väestöennuste'!O228*1000</f>
        <v>244.92500284601337</v>
      </c>
      <c r="BM228" s="41">
        <f>AT228/'1. Väestöennuste'!P228*1000</f>
        <v>256.55579633939561</v>
      </c>
      <c r="BN228" s="41">
        <f>AU228/'1. Väestöennuste'!Q228*1000</f>
        <v>266.6602073955795</v>
      </c>
      <c r="BO228" s="41">
        <f>AV228/'1. Väestöennuste'!R228*1000</f>
        <v>277.90319579926216</v>
      </c>
    </row>
    <row r="229" spans="1:67" x14ac:dyDescent="0.25">
      <c r="A229" s="32">
        <v>697</v>
      </c>
      <c r="B229" s="47" t="s">
        <v>543</v>
      </c>
      <c r="C229" s="47">
        <v>21.5</v>
      </c>
      <c r="D229" s="47">
        <v>21.5</v>
      </c>
      <c r="E229" s="47">
        <v>21.5</v>
      </c>
      <c r="F229" s="47">
        <v>21.5</v>
      </c>
      <c r="G229" s="47">
        <v>21.5</v>
      </c>
      <c r="H229" s="58">
        <v>21.5</v>
      </c>
      <c r="I229" s="139">
        <v>21.5</v>
      </c>
      <c r="J229" s="139">
        <v>22</v>
      </c>
      <c r="K229" s="139">
        <f t="shared" si="15"/>
        <v>9.36</v>
      </c>
      <c r="L229" s="139">
        <v>9.3000000000000007</v>
      </c>
      <c r="M229" s="139">
        <f t="shared" si="16"/>
        <v>9.3000000000000007</v>
      </c>
      <c r="N229" s="147">
        <f t="shared" si="16"/>
        <v>9.3000000000000007</v>
      </c>
      <c r="O229" s="147">
        <f t="shared" si="16"/>
        <v>9.3000000000000007</v>
      </c>
      <c r="P229" s="147">
        <f t="shared" si="16"/>
        <v>9.3000000000000007</v>
      </c>
      <c r="Q229" s="147"/>
      <c r="S229" s="41">
        <f>'3. Verotulot'!D229*100/'Veroposentin tuotto'!C229</f>
        <v>18124.640790697675</v>
      </c>
      <c r="T229" s="41">
        <f>'3. Verotulot'!I229*100/'Veroposentin tuotto'!D229</f>
        <v>16451.162790697676</v>
      </c>
      <c r="U229" s="41">
        <f>'3. Verotulot'!N229*100/'Veroposentin tuotto'!E229</f>
        <v>17493.023255813954</v>
      </c>
      <c r="V229" s="41">
        <f>'3. Verotulot'!S229*100/'Veroposentin tuotto'!F229</f>
        <v>16534.883720930233</v>
      </c>
      <c r="W229" s="41">
        <f>'3. Verotulot'!X229*100/'Veroposentin tuotto'!G229</f>
        <v>17013.953488372092</v>
      </c>
      <c r="X229" s="41">
        <f>'3. Verotulot'!AC229*100/'Veroposentin tuotto'!H229</f>
        <v>16972.093023255813</v>
      </c>
      <c r="Y229" s="41">
        <f>'3. Verotulot'!AH229*100/'Veroposentin tuotto'!I229</f>
        <v>17356.008093023254</v>
      </c>
      <c r="Z229" s="41">
        <f>'3. Verotulot'!AM229*100/'Veroposentin tuotto'!J229</f>
        <v>17363.68</v>
      </c>
      <c r="AA229" s="41">
        <f>'3. Verotulot'!AR229*100/'Veroposentin tuotto'!K229</f>
        <v>20881.875747863251</v>
      </c>
      <c r="AB229" s="41">
        <f>'3. Verotulot'!AW229*100/'Veroposentin tuotto'!L229</f>
        <v>20187.252105477219</v>
      </c>
      <c r="AC229" s="41">
        <f>'3. Verotulot'!BB229*100/'Veroposentin tuotto'!M229</f>
        <v>21021.403339557899</v>
      </c>
      <c r="AD229" s="41">
        <f>'3. Verotulot'!BG229*100/'Veroposentin tuotto'!N229</f>
        <v>21825.290729940396</v>
      </c>
      <c r="AE229" s="41">
        <f>'3. Verotulot'!BL229*100/'Veroposentin tuotto'!O229</f>
        <v>22428.376805906726</v>
      </c>
      <c r="AF229" s="41">
        <f>'3. Verotulot'!BQ229*100/'Veroposentin tuotto'!P229</f>
        <v>23092.511111666048</v>
      </c>
      <c r="AI229" s="41">
        <f>'3. Verotulot'!D229/'Veroposentin tuotto'!C229</f>
        <v>181.24640790697674</v>
      </c>
      <c r="AJ229" s="41">
        <f>'3. Verotulot'!I229/'Veroposentin tuotto'!D229</f>
        <v>164.51162790697674</v>
      </c>
      <c r="AK229" s="41">
        <f>'3. Verotulot'!N229/'Veroposentin tuotto'!E229</f>
        <v>174.93023255813952</v>
      </c>
      <c r="AL229" s="41">
        <f>'3. Verotulot'!S229/'Veroposentin tuotto'!F229</f>
        <v>165.34883720930233</v>
      </c>
      <c r="AM229" s="41">
        <f>'3. Verotulot'!X229/'Veroposentin tuotto'!G229</f>
        <v>170.13953488372093</v>
      </c>
      <c r="AN229" s="41">
        <f>'3. Verotulot'!AC229/'Veroposentin tuotto'!H229</f>
        <v>169.72093023255815</v>
      </c>
      <c r="AO229" s="41">
        <f>'3. Verotulot'!AH229/'Veroposentin tuotto'!I229</f>
        <v>173.56008093023257</v>
      </c>
      <c r="AP229" s="41">
        <f>'3. Verotulot'!AM229/'Veroposentin tuotto'!J229</f>
        <v>173.63680000000002</v>
      </c>
      <c r="AQ229" s="41">
        <f>'3. Verotulot'!AR229/'Veroposentin tuotto'!K229</f>
        <v>208.81875747863251</v>
      </c>
      <c r="AR229" s="41">
        <f>'3. Verotulot'!AW229/'Veroposentin tuotto'!L229</f>
        <v>201.87252105477219</v>
      </c>
      <c r="AS229" s="41">
        <f>'3. Verotulot'!BB229/'Veroposentin tuotto'!M229</f>
        <v>210.21403339557901</v>
      </c>
      <c r="AT229" s="41">
        <f>'3. Verotulot'!BG229/'Veroposentin tuotto'!N229</f>
        <v>218.25290729940397</v>
      </c>
      <c r="AU229" s="41">
        <f>'3. Verotulot'!BL229/'Veroposentin tuotto'!O229</f>
        <v>224.28376805906726</v>
      </c>
      <c r="AV229" s="41">
        <f>'3. Verotulot'!BQ229/'Veroposentin tuotto'!P229</f>
        <v>230.92511111666047</v>
      </c>
      <c r="AX229" s="146"/>
      <c r="AZ229" s="89">
        <v>697</v>
      </c>
      <c r="BA229" s="90" t="s">
        <v>543</v>
      </c>
      <c r="BB229" s="41">
        <f>AI229/'1. Väestöennuste'!E229*1000</f>
        <v>134.15722272907234</v>
      </c>
      <c r="BC229" s="41">
        <f>AJ229/'1. Väestöennuste'!F229*1000</f>
        <v>122.31347799775222</v>
      </c>
      <c r="BD229" s="41">
        <f>AK229/'1. Väestöennuste'!G229*1000</f>
        <v>132.82477794847344</v>
      </c>
      <c r="BE229" s="41">
        <f>AL229/'1. Väestöennuste'!H229*1000</f>
        <v>128.37642640473786</v>
      </c>
      <c r="BF229" s="41">
        <f>AM229/'1. Väestöennuste'!I229*1000</f>
        <v>133.75749597776803</v>
      </c>
      <c r="BG229" s="41">
        <f>AN229/'1. Väestöennuste'!J229*1000</f>
        <v>137.42585443931836</v>
      </c>
      <c r="BH229" s="41">
        <f>AO229/'1. Väestöennuste'!K229*1000</f>
        <v>143.43808341341534</v>
      </c>
      <c r="BI229" s="41">
        <f>AP229/'1. Väestöennuste'!L229*1000</f>
        <v>147.90187393526406</v>
      </c>
      <c r="BJ229" s="41">
        <f>AQ229/'1. Väestöennuste'!M229*1000</f>
        <v>179.39755797133378</v>
      </c>
      <c r="BK229" s="41">
        <f>AR229/'1. Väestöennuste'!N229*1000</f>
        <v>171.95274365823869</v>
      </c>
      <c r="BL229" s="41">
        <f>AS229/'1. Väestöennuste'!O229*1000</f>
        <v>180.28647804080532</v>
      </c>
      <c r="BM229" s="41">
        <f>AT229/'1. Väestöennuste'!P229*1000</f>
        <v>188.80009281955361</v>
      </c>
      <c r="BN229" s="41">
        <f>AU229/'1. Väestöennuste'!Q229*1000</f>
        <v>195.88102013892336</v>
      </c>
      <c r="BO229" s="41">
        <f>AV229/'1. Väestöennuste'!R229*1000</f>
        <v>203.10036158017633</v>
      </c>
    </row>
    <row r="230" spans="1:67" x14ac:dyDescent="0.25">
      <c r="A230" s="30">
        <v>698</v>
      </c>
      <c r="B230" s="47" t="s">
        <v>544</v>
      </c>
      <c r="C230" s="47">
        <v>21</v>
      </c>
      <c r="D230" s="47">
        <v>21</v>
      </c>
      <c r="E230" s="47">
        <v>21</v>
      </c>
      <c r="F230" s="47">
        <v>21</v>
      </c>
      <c r="G230" s="47">
        <v>21</v>
      </c>
      <c r="H230" s="58">
        <v>21.5</v>
      </c>
      <c r="I230" s="139">
        <v>21.5</v>
      </c>
      <c r="J230" s="139">
        <v>21.5</v>
      </c>
      <c r="K230" s="139">
        <f t="shared" si="15"/>
        <v>8.86</v>
      </c>
      <c r="L230" s="139">
        <v>8.9</v>
      </c>
      <c r="M230" s="139">
        <f t="shared" si="16"/>
        <v>8.9</v>
      </c>
      <c r="N230" s="147">
        <f t="shared" si="16"/>
        <v>8.9</v>
      </c>
      <c r="O230" s="147">
        <f t="shared" si="16"/>
        <v>8.9</v>
      </c>
      <c r="P230" s="147">
        <f t="shared" si="16"/>
        <v>8.9</v>
      </c>
      <c r="Q230" s="147"/>
      <c r="S230" s="41">
        <f>'3. Verotulot'!D230*100/'Veroposentin tuotto'!C230</f>
        <v>979750.28890476178</v>
      </c>
      <c r="T230" s="41">
        <f>'3. Verotulot'!I230*100/'Veroposentin tuotto'!D230</f>
        <v>992314.28571428568</v>
      </c>
      <c r="U230" s="41">
        <f>'3. Verotulot'!N230*100/'Veroposentin tuotto'!E230</f>
        <v>986861.90476190473</v>
      </c>
      <c r="V230" s="41">
        <f>'3. Verotulot'!S230*100/'Veroposentin tuotto'!F230</f>
        <v>975390.47619047621</v>
      </c>
      <c r="W230" s="41">
        <f>'3. Verotulot'!X230*100/'Veroposentin tuotto'!G230</f>
        <v>1008647.6190476191</v>
      </c>
      <c r="X230" s="41">
        <f>'3. Verotulot'!AC230*100/'Veroposentin tuotto'!H230</f>
        <v>1056697.6744186047</v>
      </c>
      <c r="Y230" s="41">
        <f>'3. Verotulot'!AH230*100/'Veroposentin tuotto'!I230</f>
        <v>1092250.1244186047</v>
      </c>
      <c r="Z230" s="41">
        <f>'3. Verotulot'!AM230*100/'Veroposentin tuotto'!J230</f>
        <v>1128487.8184651162</v>
      </c>
      <c r="AA230" s="41">
        <f>'3. Verotulot'!AR230*100/'Veroposentin tuotto'!K230</f>
        <v>1468230.20496614</v>
      </c>
      <c r="AB230" s="41">
        <f>'3. Verotulot'!AW230*100/'Veroposentin tuotto'!L230</f>
        <v>1395028.2391026546</v>
      </c>
      <c r="AC230" s="41">
        <f>'3. Verotulot'!BB230*100/'Veroposentin tuotto'!M230</f>
        <v>1487671.8335954684</v>
      </c>
      <c r="AD230" s="41">
        <f>'3. Verotulot'!BG230*100/'Veroposentin tuotto'!N230</f>
        <v>1573086.5697538999</v>
      </c>
      <c r="AE230" s="41">
        <f>'3. Verotulot'!BL230*100/'Veroposentin tuotto'!O230</f>
        <v>1644874.1868610096</v>
      </c>
      <c r="AF230" s="41">
        <f>'3. Verotulot'!BQ230*100/'Veroposentin tuotto'!P230</f>
        <v>1724393.0076758924</v>
      </c>
      <c r="AI230" s="41">
        <f>'3. Verotulot'!D230/'Veroposentin tuotto'!C230</f>
        <v>9797.5028890476187</v>
      </c>
      <c r="AJ230" s="41">
        <f>'3. Verotulot'!I230/'Veroposentin tuotto'!D230</f>
        <v>9923.1428571428569</v>
      </c>
      <c r="AK230" s="41">
        <f>'3. Verotulot'!N230/'Veroposentin tuotto'!E230</f>
        <v>9868.6190476190477</v>
      </c>
      <c r="AL230" s="41">
        <f>'3. Verotulot'!S230/'Veroposentin tuotto'!F230</f>
        <v>9753.9047619047615</v>
      </c>
      <c r="AM230" s="41">
        <f>'3. Verotulot'!X230/'Veroposentin tuotto'!G230</f>
        <v>10086.476190476191</v>
      </c>
      <c r="AN230" s="41">
        <f>'3. Verotulot'!AC230/'Veroposentin tuotto'!H230</f>
        <v>10566.976744186046</v>
      </c>
      <c r="AO230" s="41">
        <f>'3. Verotulot'!AH230/'Veroposentin tuotto'!I230</f>
        <v>10922.501244186045</v>
      </c>
      <c r="AP230" s="41">
        <f>'3. Verotulot'!AM230/'Veroposentin tuotto'!J230</f>
        <v>11284.878184651163</v>
      </c>
      <c r="AQ230" s="41">
        <f>'3. Verotulot'!AR230/'Veroposentin tuotto'!K230</f>
        <v>14682.302049661399</v>
      </c>
      <c r="AR230" s="41">
        <f>'3. Verotulot'!AW230/'Veroposentin tuotto'!L230</f>
        <v>13950.282391026545</v>
      </c>
      <c r="AS230" s="41">
        <f>'3. Verotulot'!BB230/'Veroposentin tuotto'!M230</f>
        <v>14876.718335954685</v>
      </c>
      <c r="AT230" s="41">
        <f>'3. Verotulot'!BG230/'Veroposentin tuotto'!N230</f>
        <v>15730.865697538999</v>
      </c>
      <c r="AU230" s="41">
        <f>'3. Verotulot'!BL230/'Veroposentin tuotto'!O230</f>
        <v>16448.741868610097</v>
      </c>
      <c r="AV230" s="41">
        <f>'3. Verotulot'!BQ230/'Veroposentin tuotto'!P230</f>
        <v>17243.930076758923</v>
      </c>
      <c r="AX230" s="146"/>
      <c r="AZ230" s="34">
        <v>698</v>
      </c>
      <c r="BA230" s="88" t="s">
        <v>544</v>
      </c>
      <c r="BB230" s="41">
        <f>AI230/'1. Väestöennuste'!E230*1000</f>
        <v>158.43822389222839</v>
      </c>
      <c r="BC230" s="41">
        <f>AJ230/'1. Väestöennuste'!F230*1000</f>
        <v>159.45658686414902</v>
      </c>
      <c r="BD230" s="41">
        <f>AK230/'1. Väestöennuste'!G230*1000</f>
        <v>158.10027311148747</v>
      </c>
      <c r="BE230" s="41">
        <f>AL230/'1. Väestöennuste'!H230*1000</f>
        <v>155.01580944510286</v>
      </c>
      <c r="BF230" s="41">
        <f>AM230/'1. Väestöennuste'!I230*1000</f>
        <v>159.99613258583469</v>
      </c>
      <c r="BG230" s="41">
        <f>AN230/'1. Väestöennuste'!J230*1000</f>
        <v>166.33573769339577</v>
      </c>
      <c r="BH230" s="41">
        <f>AO230/'1. Väestöennuste'!K230*1000</f>
        <v>170.18543540333508</v>
      </c>
      <c r="BI230" s="41">
        <f>AP230/'1. Väestöennuste'!L230*1000</f>
        <v>174.86446400637115</v>
      </c>
      <c r="BJ230" s="41">
        <f>AQ230/'1. Väestöennuste'!M230*1000</f>
        <v>224.89204499680483</v>
      </c>
      <c r="BK230" s="41">
        <f>AR230/'1. Väestöennuste'!N230*1000</f>
        <v>214.77502795908649</v>
      </c>
      <c r="BL230" s="41">
        <f>AS230/'1. Väestöennuste'!O230*1000</f>
        <v>227.98520123143282</v>
      </c>
      <c r="BM230" s="41">
        <f>AT230/'1. Väestöennuste'!P230*1000</f>
        <v>240.02663641763556</v>
      </c>
      <c r="BN230" s="41">
        <f>AU230/'1. Väestöennuste'!Q230*1000</f>
        <v>249.97328149007777</v>
      </c>
      <c r="BO230" s="41">
        <f>AV230/'1. Väestöennuste'!R230*1000</f>
        <v>261.09760276117322</v>
      </c>
    </row>
    <row r="231" spans="1:67" x14ac:dyDescent="0.25">
      <c r="A231" s="30">
        <v>700</v>
      </c>
      <c r="B231" s="47" t="s">
        <v>545</v>
      </c>
      <c r="C231" s="47">
        <v>20.5</v>
      </c>
      <c r="D231" s="47">
        <v>20.5</v>
      </c>
      <c r="E231" s="47">
        <v>20.5</v>
      </c>
      <c r="F231" s="47">
        <v>20.5</v>
      </c>
      <c r="G231" s="47">
        <v>20.5</v>
      </c>
      <c r="H231" s="58">
        <v>20.5</v>
      </c>
      <c r="I231" s="139">
        <v>20.5</v>
      </c>
      <c r="J231" s="139">
        <v>20.5</v>
      </c>
      <c r="K231" s="139">
        <f t="shared" si="15"/>
        <v>7.8599999999999994</v>
      </c>
      <c r="L231" s="139">
        <v>8.6</v>
      </c>
      <c r="M231" s="139">
        <f t="shared" si="16"/>
        <v>8.6</v>
      </c>
      <c r="N231" s="147">
        <f t="shared" si="16"/>
        <v>8.6</v>
      </c>
      <c r="O231" s="147">
        <f t="shared" si="16"/>
        <v>8.6</v>
      </c>
      <c r="P231" s="147">
        <f t="shared" si="16"/>
        <v>8.6</v>
      </c>
      <c r="Q231" s="147"/>
      <c r="S231" s="41">
        <f>'3. Verotulot'!D231*100/'Veroposentin tuotto'!C231</f>
        <v>85648.175512195128</v>
      </c>
      <c r="T231" s="41">
        <f>'3. Verotulot'!I231*100/'Veroposentin tuotto'!D231</f>
        <v>86000</v>
      </c>
      <c r="U231" s="41">
        <f>'3. Verotulot'!N231*100/'Veroposentin tuotto'!E231</f>
        <v>82975.609756097561</v>
      </c>
      <c r="V231" s="41">
        <f>'3. Verotulot'!S231*100/'Veroposentin tuotto'!F231</f>
        <v>83126.829268292684</v>
      </c>
      <c r="W231" s="41">
        <f>'3. Verotulot'!X231*100/'Veroposentin tuotto'!G231</f>
        <v>83604.878048780491</v>
      </c>
      <c r="X231" s="41">
        <f>'3. Verotulot'!AC231*100/'Veroposentin tuotto'!H231</f>
        <v>85585.365853658543</v>
      </c>
      <c r="Y231" s="41">
        <f>'3. Verotulot'!AH231*100/'Veroposentin tuotto'!I231</f>
        <v>86820.366243902419</v>
      </c>
      <c r="Z231" s="41">
        <f>'3. Verotulot'!AM231*100/'Veroposentin tuotto'!J231</f>
        <v>89456.26595121951</v>
      </c>
      <c r="AA231" s="41">
        <f>'3. Verotulot'!AR231*100/'Veroposentin tuotto'!K231</f>
        <v>108002.27900763362</v>
      </c>
      <c r="AB231" s="41">
        <f>'3. Verotulot'!AW231*100/'Veroposentin tuotto'!L231</f>
        <v>99557.819421745065</v>
      </c>
      <c r="AC231" s="41">
        <f>'3. Verotulot'!BB231*100/'Veroposentin tuotto'!M231</f>
        <v>104111.2950990634</v>
      </c>
      <c r="AD231" s="41">
        <f>'3. Verotulot'!BG231*100/'Veroposentin tuotto'!N231</f>
        <v>106132.25472602606</v>
      </c>
      <c r="AE231" s="41">
        <f>'3. Verotulot'!BL231*100/'Veroposentin tuotto'!O231</f>
        <v>107909.84932631388</v>
      </c>
      <c r="AF231" s="41">
        <f>'3. Verotulot'!BQ231*100/'Veroposentin tuotto'!P231</f>
        <v>110025.13793501892</v>
      </c>
      <c r="AI231" s="41">
        <f>'3. Verotulot'!D231/'Veroposentin tuotto'!C231</f>
        <v>856.48175512195121</v>
      </c>
      <c r="AJ231" s="41">
        <f>'3. Verotulot'!I231/'Veroposentin tuotto'!D231</f>
        <v>860</v>
      </c>
      <c r="AK231" s="41">
        <f>'3. Verotulot'!N231/'Veroposentin tuotto'!E231</f>
        <v>829.7560975609756</v>
      </c>
      <c r="AL231" s="41">
        <f>'3. Verotulot'!S231/'Veroposentin tuotto'!F231</f>
        <v>831.26829268292681</v>
      </c>
      <c r="AM231" s="41">
        <f>'3. Verotulot'!X231/'Veroposentin tuotto'!G231</f>
        <v>836.04878048780483</v>
      </c>
      <c r="AN231" s="41">
        <f>'3. Verotulot'!AC231/'Veroposentin tuotto'!H231</f>
        <v>855.85365853658539</v>
      </c>
      <c r="AO231" s="41">
        <f>'3. Verotulot'!AH231/'Veroposentin tuotto'!I231</f>
        <v>868.20366243902424</v>
      </c>
      <c r="AP231" s="41">
        <f>'3. Verotulot'!AM231/'Veroposentin tuotto'!J231</f>
        <v>894.56265951219518</v>
      </c>
      <c r="AQ231" s="41">
        <f>'3. Verotulot'!AR231/'Veroposentin tuotto'!K231</f>
        <v>1080.0227900763362</v>
      </c>
      <c r="AR231" s="41">
        <f>'3. Verotulot'!AW231/'Veroposentin tuotto'!L231</f>
        <v>995.57819421745069</v>
      </c>
      <c r="AS231" s="41">
        <f>'3. Verotulot'!BB231/'Veroposentin tuotto'!M231</f>
        <v>1041.1129509906339</v>
      </c>
      <c r="AT231" s="41">
        <f>'3. Verotulot'!BG231/'Veroposentin tuotto'!N231</f>
        <v>1061.3225472602605</v>
      </c>
      <c r="AU231" s="41">
        <f>'3. Verotulot'!BL231/'Veroposentin tuotto'!O231</f>
        <v>1079.0984932631388</v>
      </c>
      <c r="AV231" s="41">
        <f>'3. Verotulot'!BQ231/'Veroposentin tuotto'!P231</f>
        <v>1100.2513793501892</v>
      </c>
      <c r="AX231" s="146"/>
      <c r="AZ231" s="34">
        <v>700</v>
      </c>
      <c r="BA231" s="88" t="s">
        <v>545</v>
      </c>
      <c r="BB231" s="41">
        <f>AI231/'1. Väestöennuste'!E231*1000</f>
        <v>161.23527016602998</v>
      </c>
      <c r="BC231" s="41">
        <f>AJ231/'1. Väestöennuste'!F231*1000</f>
        <v>163.96568160152526</v>
      </c>
      <c r="BD231" s="41">
        <f>AK231/'1. Väestöennuste'!G231*1000</f>
        <v>159.01803326197307</v>
      </c>
      <c r="BE231" s="41">
        <f>AL231/'1. Väestöennuste'!H231*1000</f>
        <v>163.02574871208606</v>
      </c>
      <c r="BF231" s="41">
        <f>AM231/'1. Väestöennuste'!I231*1000</f>
        <v>167.41064887621243</v>
      </c>
      <c r="BG231" s="41">
        <f>AN231/'1. Väestöennuste'!J231*1000</f>
        <v>173.88331136460491</v>
      </c>
      <c r="BH231" s="41">
        <f>AO231/'1. Väestöennuste'!K231*1000</f>
        <v>176.71558364319648</v>
      </c>
      <c r="BI231" s="41">
        <f>AP231/'1. Väestöennuste'!L231*1000</f>
        <v>184.75065252213864</v>
      </c>
      <c r="BJ231" s="41">
        <f>AQ231/'1. Väestöennuste'!M231*1000</f>
        <v>226.99091846917531</v>
      </c>
      <c r="BK231" s="41">
        <f>AR231/'1. Väestöennuste'!N231*1000</f>
        <v>214.65679047379274</v>
      </c>
      <c r="BL231" s="41">
        <f>AS231/'1. Väestöennuste'!O231*1000</f>
        <v>227.6154243530026</v>
      </c>
      <c r="BM231" s="41">
        <f>AT231/'1. Väestöennuste'!P231*1000</f>
        <v>235.22219575803646</v>
      </c>
      <c r="BN231" s="41">
        <f>AU231/'1. Väestöennuste'!Q231*1000</f>
        <v>242.43956262932798</v>
      </c>
      <c r="BO231" s="41">
        <f>AV231/'1. Väestöennuste'!R231*1000</f>
        <v>250.68384127368176</v>
      </c>
    </row>
    <row r="232" spans="1:67" x14ac:dyDescent="0.25">
      <c r="A232" s="30">
        <v>702</v>
      </c>
      <c r="B232" s="47" t="s">
        <v>546</v>
      </c>
      <c r="C232" s="47">
        <v>22.25</v>
      </c>
      <c r="D232" s="47">
        <v>22.25</v>
      </c>
      <c r="E232" s="47">
        <v>22</v>
      </c>
      <c r="F232" s="47">
        <v>22</v>
      </c>
      <c r="G232" s="47">
        <v>22</v>
      </c>
      <c r="H232" s="58">
        <v>22</v>
      </c>
      <c r="I232" s="139">
        <v>22</v>
      </c>
      <c r="J232" s="139">
        <v>22</v>
      </c>
      <c r="K232" s="139">
        <f t="shared" si="15"/>
        <v>9.36</v>
      </c>
      <c r="L232" s="139">
        <v>9.4</v>
      </c>
      <c r="M232" s="139">
        <f t="shared" si="16"/>
        <v>9.4</v>
      </c>
      <c r="N232" s="147">
        <f t="shared" si="16"/>
        <v>9.4</v>
      </c>
      <c r="O232" s="147">
        <f t="shared" si="16"/>
        <v>9.4</v>
      </c>
      <c r="P232" s="147">
        <f t="shared" si="16"/>
        <v>9.4</v>
      </c>
      <c r="Q232" s="147"/>
      <c r="S232" s="41">
        <f>'3. Verotulot'!D232*100/'Veroposentin tuotto'!C232</f>
        <v>61519.618337078646</v>
      </c>
      <c r="T232" s="41">
        <f>'3. Verotulot'!I232*100/'Veroposentin tuotto'!D232</f>
        <v>58723.595505617981</v>
      </c>
      <c r="U232" s="41">
        <f>'3. Verotulot'!N232*100/'Veroposentin tuotto'!E232</f>
        <v>60509.090909090912</v>
      </c>
      <c r="V232" s="41">
        <f>'3. Verotulot'!S232*100/'Veroposentin tuotto'!F232</f>
        <v>57881.818181818184</v>
      </c>
      <c r="W232" s="41">
        <f>'3. Verotulot'!X232*100/'Veroposentin tuotto'!G232</f>
        <v>58736.36363636364</v>
      </c>
      <c r="X232" s="41">
        <f>'3. Verotulot'!AC232*100/'Veroposentin tuotto'!H232</f>
        <v>58590.909090909088</v>
      </c>
      <c r="Y232" s="41">
        <f>'3. Verotulot'!AH232*100/'Veroposentin tuotto'!I232</f>
        <v>59056.750045454544</v>
      </c>
      <c r="Z232" s="41">
        <f>'3. Verotulot'!AM232*100/'Veroposentin tuotto'!J232</f>
        <v>61117.40104545455</v>
      </c>
      <c r="AA232" s="41">
        <f>'3. Verotulot'!AR232*100/'Veroposentin tuotto'!K232</f>
        <v>72711.491987179485</v>
      </c>
      <c r="AB232" s="41">
        <f>'3. Verotulot'!AW232*100/'Veroposentin tuotto'!L232</f>
        <v>70649.540054240802</v>
      </c>
      <c r="AC232" s="41">
        <f>'3. Verotulot'!BB232*100/'Veroposentin tuotto'!M232</f>
        <v>72161.232169771931</v>
      </c>
      <c r="AD232" s="41">
        <f>'3. Verotulot'!BG232*100/'Veroposentin tuotto'!N232</f>
        <v>73812.890035936522</v>
      </c>
      <c r="AE232" s="41">
        <f>'3. Verotulot'!BL232*100/'Veroposentin tuotto'!O232</f>
        <v>75321.186753705595</v>
      </c>
      <c r="AF232" s="41">
        <f>'3. Verotulot'!BQ232*100/'Veroposentin tuotto'!P232</f>
        <v>77267.31443054392</v>
      </c>
      <c r="AI232" s="41">
        <f>'3. Verotulot'!D232/'Veroposentin tuotto'!C232</f>
        <v>615.19618337078646</v>
      </c>
      <c r="AJ232" s="41">
        <f>'3. Verotulot'!I232/'Veroposentin tuotto'!D232</f>
        <v>587.23595505617982</v>
      </c>
      <c r="AK232" s="41">
        <f>'3. Verotulot'!N232/'Veroposentin tuotto'!E232</f>
        <v>605.09090909090912</v>
      </c>
      <c r="AL232" s="41">
        <f>'3. Verotulot'!S232/'Veroposentin tuotto'!F232</f>
        <v>578.81818181818187</v>
      </c>
      <c r="AM232" s="41">
        <f>'3. Verotulot'!X232/'Veroposentin tuotto'!G232</f>
        <v>587.36363636363637</v>
      </c>
      <c r="AN232" s="41">
        <f>'3. Verotulot'!AC232/'Veroposentin tuotto'!H232</f>
        <v>585.90909090909088</v>
      </c>
      <c r="AO232" s="41">
        <f>'3. Verotulot'!AH232/'Veroposentin tuotto'!I232</f>
        <v>590.56750045454544</v>
      </c>
      <c r="AP232" s="41">
        <f>'3. Verotulot'!AM232/'Veroposentin tuotto'!J232</f>
        <v>611.17401045454551</v>
      </c>
      <c r="AQ232" s="41">
        <f>'3. Verotulot'!AR232/'Veroposentin tuotto'!K232</f>
        <v>727.11491987179488</v>
      </c>
      <c r="AR232" s="41">
        <f>'3. Verotulot'!AW232/'Veroposentin tuotto'!L232</f>
        <v>706.49540054240799</v>
      </c>
      <c r="AS232" s="41">
        <f>'3. Verotulot'!BB232/'Veroposentin tuotto'!M232</f>
        <v>721.61232169771938</v>
      </c>
      <c r="AT232" s="41">
        <f>'3. Verotulot'!BG232/'Veroposentin tuotto'!N232</f>
        <v>738.12890035936516</v>
      </c>
      <c r="AU232" s="41">
        <f>'3. Verotulot'!BL232/'Veroposentin tuotto'!O232</f>
        <v>753.21186753705592</v>
      </c>
      <c r="AV232" s="41">
        <f>'3. Verotulot'!BQ232/'Veroposentin tuotto'!P232</f>
        <v>772.67314430543922</v>
      </c>
      <c r="AX232" s="146"/>
      <c r="AZ232" s="34">
        <v>702</v>
      </c>
      <c r="BA232" s="88" t="s">
        <v>546</v>
      </c>
      <c r="BB232" s="41">
        <f>AI232/'1. Väestöennuste'!E232*1000</f>
        <v>133.07293605251706</v>
      </c>
      <c r="BC232" s="41">
        <f>AJ232/'1. Väestöennuste'!F232*1000</f>
        <v>128.63876342961223</v>
      </c>
      <c r="BD232" s="41">
        <f>AK232/'1. Väestöennuste'!G232*1000</f>
        <v>135.70103366021735</v>
      </c>
      <c r="BE232" s="41">
        <f>AL232/'1. Väestöennuste'!H232*1000</f>
        <v>131.60940923560295</v>
      </c>
      <c r="BF232" s="41">
        <f>AM232/'1. Väestöennuste'!I232*1000</f>
        <v>137.13836945216821</v>
      </c>
      <c r="BG232" s="41">
        <f>AN232/'1. Väestöennuste'!J232*1000</f>
        <v>139.00571551817103</v>
      </c>
      <c r="BH232" s="41">
        <f>AO232/'1. Väestöennuste'!K232*1000</f>
        <v>142.13417580133464</v>
      </c>
      <c r="BI232" s="41">
        <f>AP232/'1. Väestöennuste'!L232*1000</f>
        <v>148.55955528793035</v>
      </c>
      <c r="BJ232" s="41">
        <f>AQ232/'1. Väestöennuste'!M232*1000</f>
        <v>176.31302615707926</v>
      </c>
      <c r="BK232" s="41">
        <f>AR232/'1. Väestöennuste'!N232*1000</f>
        <v>181.01342570904637</v>
      </c>
      <c r="BL232" s="41">
        <f>AS232/'1. Väestöennuste'!O232*1000</f>
        <v>187.82205145698057</v>
      </c>
      <c r="BM232" s="41">
        <f>AT232/'1. Väestöennuste'!P232*1000</f>
        <v>194.8597941814586</v>
      </c>
      <c r="BN232" s="41">
        <f>AU232/'1. Väestöennuste'!Q232*1000</f>
        <v>201.5013021768475</v>
      </c>
      <c r="BO232" s="41">
        <f>AV232/'1. Väestöennuste'!R232*1000</f>
        <v>209.28308350634865</v>
      </c>
    </row>
    <row r="233" spans="1:67" x14ac:dyDescent="0.25">
      <c r="A233" s="30">
        <v>704</v>
      </c>
      <c r="B233" s="47" t="s">
        <v>547</v>
      </c>
      <c r="C233" s="47">
        <v>19.5</v>
      </c>
      <c r="D233" s="47">
        <v>19.75</v>
      </c>
      <c r="E233" s="47">
        <v>19.75</v>
      </c>
      <c r="F233" s="47">
        <v>19.75</v>
      </c>
      <c r="G233" s="47">
        <v>19.75</v>
      </c>
      <c r="H233" s="58">
        <v>19.75</v>
      </c>
      <c r="I233" s="139">
        <v>19.75</v>
      </c>
      <c r="J233" s="139">
        <v>19.75</v>
      </c>
      <c r="K233" s="139">
        <f t="shared" si="15"/>
        <v>7.1099999999999994</v>
      </c>
      <c r="L233" s="139">
        <v>7.1</v>
      </c>
      <c r="M233" s="139">
        <f t="shared" si="16"/>
        <v>7.1</v>
      </c>
      <c r="N233" s="147">
        <f t="shared" si="16"/>
        <v>7.1</v>
      </c>
      <c r="O233" s="147">
        <f t="shared" si="16"/>
        <v>7.1</v>
      </c>
      <c r="P233" s="147">
        <f t="shared" si="16"/>
        <v>7.1</v>
      </c>
      <c r="Q233" s="147"/>
      <c r="S233" s="41">
        <f>'3. Verotulot'!D233*100/'Veroposentin tuotto'!C233</f>
        <v>103195.65302564103</v>
      </c>
      <c r="T233" s="41">
        <f>'3. Verotulot'!I233*100/'Veroposentin tuotto'!D233</f>
        <v>108602.53164556962</v>
      </c>
      <c r="U233" s="41">
        <f>'3. Verotulot'!N233*100/'Veroposentin tuotto'!E233</f>
        <v>110567.08860759494</v>
      </c>
      <c r="V233" s="41">
        <f>'3. Verotulot'!S233*100/'Veroposentin tuotto'!F233</f>
        <v>113478.48101265823</v>
      </c>
      <c r="W233" s="41">
        <f>'3. Verotulot'!X233*100/'Veroposentin tuotto'!G233</f>
        <v>112475.9493670886</v>
      </c>
      <c r="X233" s="41">
        <f>'3. Verotulot'!AC233*100/'Veroposentin tuotto'!H233</f>
        <v>120881.01265822785</v>
      </c>
      <c r="Y233" s="41">
        <f>'3. Verotulot'!AH233*100/'Veroposentin tuotto'!I233</f>
        <v>122869.36020253165</v>
      </c>
      <c r="Z233" s="41">
        <f>'3. Verotulot'!AM233*100/'Veroposentin tuotto'!J233</f>
        <v>127752.07083544305</v>
      </c>
      <c r="AA233" s="41">
        <f>'3. Verotulot'!AR233*100/'Veroposentin tuotto'!K233</f>
        <v>164822.11884669482</v>
      </c>
      <c r="AB233" s="41">
        <f>'3. Verotulot'!AW233*100/'Veroposentin tuotto'!L233</f>
        <v>154705.56856927776</v>
      </c>
      <c r="AC233" s="41">
        <f>'3. Verotulot'!BB233*100/'Veroposentin tuotto'!M233</f>
        <v>166946.12583506733</v>
      </c>
      <c r="AD233" s="41">
        <f>'3. Verotulot'!BG233*100/'Veroposentin tuotto'!N233</f>
        <v>177117.73283930871</v>
      </c>
      <c r="AE233" s="41">
        <f>'3. Verotulot'!BL233*100/'Veroposentin tuotto'!O233</f>
        <v>185620.45752107206</v>
      </c>
      <c r="AF233" s="41">
        <f>'3. Verotulot'!BQ233*100/'Veroposentin tuotto'!P233</f>
        <v>195067.02276958324</v>
      </c>
      <c r="AI233" s="41">
        <f>'3. Verotulot'!D233/'Veroposentin tuotto'!C233</f>
        <v>1031.9565302564104</v>
      </c>
      <c r="AJ233" s="41">
        <f>'3. Verotulot'!I233/'Veroposentin tuotto'!D233</f>
        <v>1086.0253164556962</v>
      </c>
      <c r="AK233" s="41">
        <f>'3. Verotulot'!N233/'Veroposentin tuotto'!E233</f>
        <v>1105.6708860759493</v>
      </c>
      <c r="AL233" s="41">
        <f>'3. Verotulot'!S233/'Veroposentin tuotto'!F233</f>
        <v>1134.7848101265822</v>
      </c>
      <c r="AM233" s="41">
        <f>'3. Verotulot'!X233/'Veroposentin tuotto'!G233</f>
        <v>1124.7594936708861</v>
      </c>
      <c r="AN233" s="41">
        <f>'3. Verotulot'!AC233/'Veroposentin tuotto'!H233</f>
        <v>1208.8101265822784</v>
      </c>
      <c r="AO233" s="41">
        <f>'3. Verotulot'!AH233/'Veroposentin tuotto'!I233</f>
        <v>1228.6936020253165</v>
      </c>
      <c r="AP233" s="41">
        <f>'3. Verotulot'!AM233/'Veroposentin tuotto'!J233</f>
        <v>1277.5207083544303</v>
      </c>
      <c r="AQ233" s="41">
        <f>'3. Verotulot'!AR233/'Veroposentin tuotto'!K233</f>
        <v>1648.2211884669482</v>
      </c>
      <c r="AR233" s="41">
        <f>'3. Verotulot'!AW233/'Veroposentin tuotto'!L233</f>
        <v>1547.0556856927776</v>
      </c>
      <c r="AS233" s="41">
        <f>'3. Verotulot'!BB233/'Veroposentin tuotto'!M233</f>
        <v>1669.461258350673</v>
      </c>
      <c r="AT233" s="41">
        <f>'3. Verotulot'!BG233/'Veroposentin tuotto'!N233</f>
        <v>1771.177328393087</v>
      </c>
      <c r="AU233" s="41">
        <f>'3. Verotulot'!BL233/'Veroposentin tuotto'!O233</f>
        <v>1856.2045752107203</v>
      </c>
      <c r="AV233" s="41">
        <f>'3. Verotulot'!BQ233/'Veroposentin tuotto'!P233</f>
        <v>1950.6702276958324</v>
      </c>
      <c r="AX233" s="146"/>
      <c r="AZ233" s="34">
        <v>704</v>
      </c>
      <c r="BA233" s="88" t="s">
        <v>547</v>
      </c>
      <c r="BB233" s="41">
        <f>AI233/'1. Väestöennuste'!E233*1000</f>
        <v>168.89632246422428</v>
      </c>
      <c r="BC233" s="41">
        <f>AJ233/'1. Väestöennuste'!F233*1000</f>
        <v>176.96355164668341</v>
      </c>
      <c r="BD233" s="41">
        <f>AK233/'1. Väestöennuste'!G233*1000</f>
        <v>176.54013828452008</v>
      </c>
      <c r="BE233" s="41">
        <f>AL233/'1. Väestöennuste'!H233*1000</f>
        <v>181.53652377644892</v>
      </c>
      <c r="BF233" s="41">
        <f>AM233/'1. Väestöennuste'!I233*1000</f>
        <v>177.77137563946357</v>
      </c>
      <c r="BG233" s="41">
        <f>AN233/'1. Väestöennuste'!J233*1000</f>
        <v>190.24396074634535</v>
      </c>
      <c r="BH233" s="41">
        <f>AO233/'1. Väestöennuste'!K233*1000</f>
        <v>192.61539457992109</v>
      </c>
      <c r="BI233" s="41">
        <f>AP233/'1. Väestöennuste'!L233*1000</f>
        <v>198.74310957598482</v>
      </c>
      <c r="BJ233" s="41">
        <f>AQ233/'1. Väestöennuste'!M233*1000</f>
        <v>256.09403176925861</v>
      </c>
      <c r="BK233" s="41">
        <f>AR233/'1. Väestöennuste'!N233*1000</f>
        <v>235.29364040954792</v>
      </c>
      <c r="BL233" s="41">
        <f>AS233/'1. Väestöennuste'!O233*1000</f>
        <v>251.61435694810447</v>
      </c>
      <c r="BM233" s="41">
        <f>AT233/'1. Väestöennuste'!P233*1000</f>
        <v>264.71040627605544</v>
      </c>
      <c r="BN233" s="41">
        <f>AU233/'1. Väestöennuste'!Q233*1000</f>
        <v>275.11554397668897</v>
      </c>
      <c r="BO233" s="41">
        <f>AV233/'1. Väestöennuste'!R233*1000</f>
        <v>286.98988196201742</v>
      </c>
    </row>
    <row r="234" spans="1:67" x14ac:dyDescent="0.25">
      <c r="A234" s="30">
        <v>707</v>
      </c>
      <c r="B234" s="47" t="s">
        <v>548</v>
      </c>
      <c r="C234" s="47">
        <v>21</v>
      </c>
      <c r="D234" s="47">
        <v>21.5</v>
      </c>
      <c r="E234" s="47">
        <v>21.5</v>
      </c>
      <c r="F234" s="47">
        <v>21.5</v>
      </c>
      <c r="G234" s="47">
        <v>21.5</v>
      </c>
      <c r="H234" s="58">
        <v>21.5</v>
      </c>
      <c r="I234" s="139">
        <v>21.500000000000004</v>
      </c>
      <c r="J234" s="139">
        <v>21.500000000000004</v>
      </c>
      <c r="K234" s="139">
        <f t="shared" si="15"/>
        <v>8.860000000000003</v>
      </c>
      <c r="L234" s="139">
        <v>8.9</v>
      </c>
      <c r="M234" s="139">
        <f t="shared" si="16"/>
        <v>8.9</v>
      </c>
      <c r="N234" s="147">
        <f t="shared" si="16"/>
        <v>8.9</v>
      </c>
      <c r="O234" s="147">
        <f t="shared" si="16"/>
        <v>8.9</v>
      </c>
      <c r="P234" s="147">
        <f t="shared" si="16"/>
        <v>8.9</v>
      </c>
      <c r="Q234" s="147"/>
      <c r="S234" s="41">
        <f>'3. Verotulot'!D234*100/'Veroposentin tuotto'!C234</f>
        <v>25799.588619047619</v>
      </c>
      <c r="T234" s="41">
        <f>'3. Verotulot'!I234*100/'Veroposentin tuotto'!D234</f>
        <v>23260.465116279069</v>
      </c>
      <c r="U234" s="41">
        <f>'3. Verotulot'!N234*100/'Veroposentin tuotto'!E234</f>
        <v>22688.372093023256</v>
      </c>
      <c r="V234" s="41">
        <f>'3. Verotulot'!S234*100/'Veroposentin tuotto'!F234</f>
        <v>22502.325581395347</v>
      </c>
      <c r="W234" s="41">
        <f>'3. Verotulot'!X234*100/'Veroposentin tuotto'!G234</f>
        <v>21539.534883720931</v>
      </c>
      <c r="X234" s="41">
        <f>'3. Verotulot'!AC234*100/'Veroposentin tuotto'!H234</f>
        <v>23744.18604651163</v>
      </c>
      <c r="Y234" s="41">
        <f>'3. Verotulot'!AH234*100/'Veroposentin tuotto'!I234</f>
        <v>23059.361348837207</v>
      </c>
      <c r="Z234" s="41">
        <f>'3. Verotulot'!AM234*100/'Veroposentin tuotto'!J234</f>
        <v>23779.556046511625</v>
      </c>
      <c r="AA234" s="41">
        <f>'3. Verotulot'!AR234*100/'Veroposentin tuotto'!K234</f>
        <v>28259.145259593672</v>
      </c>
      <c r="AB234" s="41">
        <f>'3. Verotulot'!AW234*100/'Veroposentin tuotto'!L234</f>
        <v>26893.026169099681</v>
      </c>
      <c r="AC234" s="41">
        <f>'3. Verotulot'!BB234*100/'Veroposentin tuotto'!M234</f>
        <v>28079.626670449081</v>
      </c>
      <c r="AD234" s="41">
        <f>'3. Verotulot'!BG234*100/'Veroposentin tuotto'!N234</f>
        <v>28717.437918830652</v>
      </c>
      <c r="AE234" s="41">
        <f>'3. Verotulot'!BL234*100/'Veroposentin tuotto'!O234</f>
        <v>29329.643264581689</v>
      </c>
      <c r="AF234" s="41">
        <f>'3. Verotulot'!BQ234*100/'Veroposentin tuotto'!P234</f>
        <v>30086.173338953253</v>
      </c>
      <c r="AI234" s="41">
        <f>'3. Verotulot'!D234/'Veroposentin tuotto'!C234</f>
        <v>257.9958861904762</v>
      </c>
      <c r="AJ234" s="41">
        <f>'3. Verotulot'!I234/'Veroposentin tuotto'!D234</f>
        <v>232.6046511627907</v>
      </c>
      <c r="AK234" s="41">
        <f>'3. Verotulot'!N234/'Veroposentin tuotto'!E234</f>
        <v>226.88372093023256</v>
      </c>
      <c r="AL234" s="41">
        <f>'3. Verotulot'!S234/'Veroposentin tuotto'!F234</f>
        <v>225.02325581395348</v>
      </c>
      <c r="AM234" s="41">
        <f>'3. Verotulot'!X234/'Veroposentin tuotto'!G234</f>
        <v>215.3953488372093</v>
      </c>
      <c r="AN234" s="41">
        <f>'3. Verotulot'!AC234/'Veroposentin tuotto'!H234</f>
        <v>237.44186046511629</v>
      </c>
      <c r="AO234" s="41">
        <f>'3. Verotulot'!AH234/'Veroposentin tuotto'!I234</f>
        <v>230.59361348837209</v>
      </c>
      <c r="AP234" s="41">
        <f>'3. Verotulot'!AM234/'Veroposentin tuotto'!J234</f>
        <v>237.79556046511624</v>
      </c>
      <c r="AQ234" s="41">
        <f>'3. Verotulot'!AR234/'Veroposentin tuotto'!K234</f>
        <v>282.59145259593674</v>
      </c>
      <c r="AR234" s="41">
        <f>'3. Verotulot'!AW234/'Veroposentin tuotto'!L234</f>
        <v>268.93026169099676</v>
      </c>
      <c r="AS234" s="41">
        <f>'3. Verotulot'!BB234/'Veroposentin tuotto'!M234</f>
        <v>280.79626670449079</v>
      </c>
      <c r="AT234" s="41">
        <f>'3. Verotulot'!BG234/'Veroposentin tuotto'!N234</f>
        <v>287.17437918830655</v>
      </c>
      <c r="AU234" s="41">
        <f>'3. Verotulot'!BL234/'Veroposentin tuotto'!O234</f>
        <v>293.29643264581694</v>
      </c>
      <c r="AV234" s="41">
        <f>'3. Verotulot'!BQ234/'Veroposentin tuotto'!P234</f>
        <v>300.86173338953256</v>
      </c>
      <c r="AX234" s="146"/>
      <c r="AZ234" s="34">
        <v>707</v>
      </c>
      <c r="BA234" s="88" t="s">
        <v>548</v>
      </c>
      <c r="BB234" s="41">
        <f>AI234/'1. Väestöennuste'!E234*1000</f>
        <v>109.83222060045814</v>
      </c>
      <c r="BC234" s="41">
        <f>AJ234/'1. Väestöennuste'!F234*1000</f>
        <v>102.55937000123048</v>
      </c>
      <c r="BD234" s="41">
        <f>AK234/'1. Väestöennuste'!G234*1000</f>
        <v>101.2873754152824</v>
      </c>
      <c r="BE234" s="41">
        <f>AL234/'1. Väestöennuste'!H234*1000</f>
        <v>103.17434929571458</v>
      </c>
      <c r="BF234" s="41">
        <f>AM234/'1. Väestöennuste'!I234*1000</f>
        <v>101.31483952832046</v>
      </c>
      <c r="BG234" s="41">
        <f>AN234/'1. Väestöennuste'!J234*1000</f>
        <v>114.92829644971746</v>
      </c>
      <c r="BH234" s="41">
        <f>AO234/'1. Väestöennuste'!K234*1000</f>
        <v>113.48110900018311</v>
      </c>
      <c r="BI234" s="41">
        <f>AP234/'1. Väestöennuste'!L234*1000</f>
        <v>121.32426554342665</v>
      </c>
      <c r="BJ234" s="41">
        <f>AQ234/'1. Väestöennuste'!M234*1000</f>
        <v>148.57594773708558</v>
      </c>
      <c r="BK234" s="41">
        <f>AR234/'1. Väestöennuste'!N234*1000</f>
        <v>141.09667454931625</v>
      </c>
      <c r="BL234" s="41">
        <f>AS234/'1. Väestöennuste'!O234*1000</f>
        <v>149.67818054610382</v>
      </c>
      <c r="BM234" s="41">
        <f>AT234/'1. Väestöennuste'!P234*1000</f>
        <v>155.48152636075068</v>
      </c>
      <c r="BN234" s="41">
        <f>AU234/'1. Väestöennuste'!Q234*1000</f>
        <v>161.24047973931664</v>
      </c>
      <c r="BO234" s="41">
        <f>AV234/'1. Väestöennuste'!R234*1000</f>
        <v>167.79795504156863</v>
      </c>
    </row>
    <row r="235" spans="1:67" x14ac:dyDescent="0.25">
      <c r="A235" s="30">
        <v>710</v>
      </c>
      <c r="B235" s="47" t="s">
        <v>549</v>
      </c>
      <c r="C235" s="47">
        <v>22</v>
      </c>
      <c r="D235" s="47">
        <v>22</v>
      </c>
      <c r="E235" s="47">
        <v>22</v>
      </c>
      <c r="F235" s="47">
        <v>22</v>
      </c>
      <c r="G235" s="47">
        <v>22</v>
      </c>
      <c r="H235" s="58">
        <v>22</v>
      </c>
      <c r="I235" s="139">
        <v>22</v>
      </c>
      <c r="J235" s="139">
        <v>22</v>
      </c>
      <c r="K235" s="139">
        <f t="shared" si="15"/>
        <v>9.36</v>
      </c>
      <c r="L235" s="139">
        <v>9.3000000000000007</v>
      </c>
      <c r="M235" s="139">
        <f t="shared" ref="M235:P254" si="17">L235</f>
        <v>9.3000000000000007</v>
      </c>
      <c r="N235" s="147">
        <f t="shared" si="17"/>
        <v>9.3000000000000007</v>
      </c>
      <c r="O235" s="147">
        <f t="shared" si="17"/>
        <v>9.3000000000000007</v>
      </c>
      <c r="P235" s="147">
        <f t="shared" si="17"/>
        <v>9.3000000000000007</v>
      </c>
      <c r="Q235" s="147"/>
      <c r="S235" s="41">
        <f>'3. Verotulot'!D235*100/'Veroposentin tuotto'!C235</f>
        <v>456302.18136363639</v>
      </c>
      <c r="T235" s="41">
        <f>'3. Verotulot'!I235*100/'Veroposentin tuotto'!D235</f>
        <v>452195.45454545453</v>
      </c>
      <c r="U235" s="41">
        <f>'3. Verotulot'!N235*100/'Veroposentin tuotto'!E235</f>
        <v>456072.72727272729</v>
      </c>
      <c r="V235" s="41">
        <f>'3. Verotulot'!S235*100/'Veroposentin tuotto'!F235</f>
        <v>441327.27272727271</v>
      </c>
      <c r="W235" s="41">
        <f>'3. Verotulot'!X235*100/'Veroposentin tuotto'!G235</f>
        <v>447986.36363636365</v>
      </c>
      <c r="X235" s="41">
        <f>'3. Verotulot'!AC235*100/'Veroposentin tuotto'!H235</f>
        <v>467400</v>
      </c>
      <c r="Y235" s="41">
        <f>'3. Verotulot'!AH235*100/'Veroposentin tuotto'!I235</f>
        <v>473093.84504545457</v>
      </c>
      <c r="Z235" s="41">
        <f>'3. Verotulot'!AM235*100/'Veroposentin tuotto'!J235</f>
        <v>495459.8856363637</v>
      </c>
      <c r="AA235" s="41">
        <f>'3. Verotulot'!AR235*100/'Veroposentin tuotto'!K235</f>
        <v>612532.2728632479</v>
      </c>
      <c r="AB235" s="41">
        <f>'3. Verotulot'!AW235*100/'Veroposentin tuotto'!L235</f>
        <v>582977.78871843452</v>
      </c>
      <c r="AC235" s="41">
        <f>'3. Verotulot'!BB235*100/'Veroposentin tuotto'!M235</f>
        <v>615191.08926746086</v>
      </c>
      <c r="AD235" s="41">
        <f>'3. Verotulot'!BG235*100/'Veroposentin tuotto'!N235</f>
        <v>641427.2010088549</v>
      </c>
      <c r="AE235" s="41">
        <f>'3. Verotulot'!BL235*100/'Veroposentin tuotto'!O235</f>
        <v>663546.33519880043</v>
      </c>
      <c r="AF235" s="41">
        <f>'3. Verotulot'!BQ235*100/'Veroposentin tuotto'!P235</f>
        <v>688875.46730210271</v>
      </c>
      <c r="AI235" s="41">
        <f>'3. Verotulot'!D235/'Veroposentin tuotto'!C235</f>
        <v>4563.0218136363637</v>
      </c>
      <c r="AJ235" s="41">
        <f>'3. Verotulot'!I235/'Veroposentin tuotto'!D235</f>
        <v>4521.954545454545</v>
      </c>
      <c r="AK235" s="41">
        <f>'3. Verotulot'!N235/'Veroposentin tuotto'!E235</f>
        <v>4560.727272727273</v>
      </c>
      <c r="AL235" s="41">
        <f>'3. Verotulot'!S235/'Veroposentin tuotto'!F235</f>
        <v>4413.272727272727</v>
      </c>
      <c r="AM235" s="41">
        <f>'3. Verotulot'!X235/'Veroposentin tuotto'!G235</f>
        <v>4479.863636363636</v>
      </c>
      <c r="AN235" s="41">
        <f>'3. Verotulot'!AC235/'Veroposentin tuotto'!H235</f>
        <v>4674</v>
      </c>
      <c r="AO235" s="41">
        <f>'3. Verotulot'!AH235/'Veroposentin tuotto'!I235</f>
        <v>4730.9384504545451</v>
      </c>
      <c r="AP235" s="41">
        <f>'3. Verotulot'!AM235/'Veroposentin tuotto'!J235</f>
        <v>4954.5988563636365</v>
      </c>
      <c r="AQ235" s="41">
        <f>'3. Verotulot'!AR235/'Veroposentin tuotto'!K235</f>
        <v>6125.3227286324791</v>
      </c>
      <c r="AR235" s="41">
        <f>'3. Verotulot'!AW235/'Veroposentin tuotto'!L235</f>
        <v>5829.7778871843457</v>
      </c>
      <c r="AS235" s="41">
        <f>'3. Verotulot'!BB235/'Veroposentin tuotto'!M235</f>
        <v>6151.9108926746085</v>
      </c>
      <c r="AT235" s="41">
        <f>'3. Verotulot'!BG235/'Veroposentin tuotto'!N235</f>
        <v>6414.2720100885499</v>
      </c>
      <c r="AU235" s="41">
        <f>'3. Verotulot'!BL235/'Veroposentin tuotto'!O235</f>
        <v>6635.4633519880035</v>
      </c>
      <c r="AV235" s="41">
        <f>'3. Verotulot'!BQ235/'Veroposentin tuotto'!P235</f>
        <v>6888.754673021027</v>
      </c>
      <c r="AX235" s="146"/>
      <c r="AZ235" s="34">
        <v>710</v>
      </c>
      <c r="BA235" s="88" t="s">
        <v>549</v>
      </c>
      <c r="BB235" s="41">
        <f>AI235/'1. Väestöennuste'!E235*1000</f>
        <v>160.64150021603109</v>
      </c>
      <c r="BC235" s="41">
        <f>AJ235/'1. Väestöennuste'!F235*1000</f>
        <v>161.05547406968498</v>
      </c>
      <c r="BD235" s="41">
        <f>AK235/'1. Väestöennuste'!G235*1000</f>
        <v>163.75452489057031</v>
      </c>
      <c r="BE235" s="41">
        <f>AL235/'1. Väestöennuste'!H235*1000</f>
        <v>159.94754737868683</v>
      </c>
      <c r="BF235" s="41">
        <f>AM235/'1. Väestöennuste'!I235*1000</f>
        <v>162.69115471977182</v>
      </c>
      <c r="BG235" s="41">
        <f>AN235/'1. Väestöennuste'!J235*1000</f>
        <v>169.79075850043594</v>
      </c>
      <c r="BH235" s="41">
        <f>AO235/'1. Väestöennuste'!K235*1000</f>
        <v>172.13427632275304</v>
      </c>
      <c r="BI235" s="41">
        <f>AP235/'1. Väestöennuste'!L235*1000</f>
        <v>181.44725907725908</v>
      </c>
      <c r="BJ235" s="41">
        <f>AQ235/'1. Väestöennuste'!M235*1000</f>
        <v>225.12119992033809</v>
      </c>
      <c r="BK235" s="41">
        <f>AR235/'1. Väestöennuste'!N235*1000</f>
        <v>217.04310823471133</v>
      </c>
      <c r="BL235" s="41">
        <f>AS235/'1. Väestöennuste'!O235*1000</f>
        <v>230.33100800009768</v>
      </c>
      <c r="BM235" s="41">
        <f>AT235/'1. Väestöennuste'!P235*1000</f>
        <v>241.46484001236823</v>
      </c>
      <c r="BN235" s="41">
        <f>AU235/'1. Väestöennuste'!Q235*1000</f>
        <v>251.08651575994261</v>
      </c>
      <c r="BO235" s="41">
        <f>AV235/'1. Väestöennuste'!R235*1000</f>
        <v>261.95971681260323</v>
      </c>
    </row>
    <row r="236" spans="1:67" x14ac:dyDescent="0.25">
      <c r="A236" s="30">
        <v>729</v>
      </c>
      <c r="B236" s="47" t="s">
        <v>550</v>
      </c>
      <c r="C236" s="47">
        <v>21.5</v>
      </c>
      <c r="D236" s="47">
        <v>21.5</v>
      </c>
      <c r="E236" s="47">
        <v>21.5</v>
      </c>
      <c r="F236" s="47">
        <v>21.5</v>
      </c>
      <c r="G236" s="47">
        <v>21.5</v>
      </c>
      <c r="H236" s="58">
        <v>21.5</v>
      </c>
      <c r="I236" s="139">
        <v>22.000000000000004</v>
      </c>
      <c r="J236" s="139">
        <v>22.000000000000004</v>
      </c>
      <c r="K236" s="139">
        <f t="shared" si="15"/>
        <v>9.360000000000003</v>
      </c>
      <c r="L236" s="139">
        <v>9.3000000000000007</v>
      </c>
      <c r="M236" s="139">
        <f t="shared" si="17"/>
        <v>9.3000000000000007</v>
      </c>
      <c r="N236" s="147">
        <f t="shared" si="17"/>
        <v>9.3000000000000007</v>
      </c>
      <c r="O236" s="147">
        <f t="shared" si="17"/>
        <v>9.3000000000000007</v>
      </c>
      <c r="P236" s="147">
        <f t="shared" si="17"/>
        <v>9.3000000000000007</v>
      </c>
      <c r="Q236" s="147"/>
      <c r="S236" s="41">
        <f>'3. Verotulot'!D236*100/'Veroposentin tuotto'!C236</f>
        <v>124976.00437209303</v>
      </c>
      <c r="T236" s="41">
        <f>'3. Verotulot'!I236*100/'Veroposentin tuotto'!D236</f>
        <v>120353.48837209302</v>
      </c>
      <c r="U236" s="41">
        <f>'3. Verotulot'!N236*100/'Veroposentin tuotto'!E236</f>
        <v>121162.79069767441</v>
      </c>
      <c r="V236" s="41">
        <f>'3. Verotulot'!S236*100/'Veroposentin tuotto'!F236</f>
        <v>114702.32558139534</v>
      </c>
      <c r="W236" s="41">
        <f>'3. Verotulot'!X236*100/'Veroposentin tuotto'!G236</f>
        <v>116897.67441860466</v>
      </c>
      <c r="X236" s="41">
        <f>'3. Verotulot'!AC236*100/'Veroposentin tuotto'!H236</f>
        <v>118255.81395348837</v>
      </c>
      <c r="Y236" s="41">
        <f>'3. Verotulot'!AH236*100/'Veroposentin tuotto'!I236</f>
        <v>121753.42981818179</v>
      </c>
      <c r="Z236" s="41">
        <f>'3. Verotulot'!AM236*100/'Veroposentin tuotto'!J236</f>
        <v>125303.90277272725</v>
      </c>
      <c r="AA236" s="41">
        <f>'3. Verotulot'!AR236*100/'Veroposentin tuotto'!K236</f>
        <v>149703.89519230765</v>
      </c>
      <c r="AB236" s="41">
        <f>'3. Verotulot'!AW236*100/'Veroposentin tuotto'!L236</f>
        <v>145146.18439548096</v>
      </c>
      <c r="AC236" s="41">
        <f>'3. Verotulot'!BB236*100/'Veroposentin tuotto'!M236</f>
        <v>151626.12228756715</v>
      </c>
      <c r="AD236" s="41">
        <f>'3. Verotulot'!BG236*100/'Veroposentin tuotto'!N236</f>
        <v>156149.8964238842</v>
      </c>
      <c r="AE236" s="41">
        <f>'3. Verotulot'!BL236*100/'Veroposentin tuotto'!O236</f>
        <v>159794.08110725635</v>
      </c>
      <c r="AF236" s="41">
        <f>'3. Verotulot'!BQ236*100/'Veroposentin tuotto'!P236</f>
        <v>164232.17192631963</v>
      </c>
      <c r="AI236" s="41">
        <f>'3. Verotulot'!D236/'Veroposentin tuotto'!C236</f>
        <v>1249.7600437209303</v>
      </c>
      <c r="AJ236" s="41">
        <f>'3. Verotulot'!I236/'Veroposentin tuotto'!D236</f>
        <v>1203.5348837209303</v>
      </c>
      <c r="AK236" s="41">
        <f>'3. Verotulot'!N236/'Veroposentin tuotto'!E236</f>
        <v>1211.6279069767443</v>
      </c>
      <c r="AL236" s="41">
        <f>'3. Verotulot'!S236/'Veroposentin tuotto'!F236</f>
        <v>1147.0232558139535</v>
      </c>
      <c r="AM236" s="41">
        <f>'3. Verotulot'!X236/'Veroposentin tuotto'!G236</f>
        <v>1168.9767441860465</v>
      </c>
      <c r="AN236" s="41">
        <f>'3. Verotulot'!AC236/'Veroposentin tuotto'!H236</f>
        <v>1182.5581395348838</v>
      </c>
      <c r="AO236" s="41">
        <f>'3. Verotulot'!AH236/'Veroposentin tuotto'!I236</f>
        <v>1217.5342981818178</v>
      </c>
      <c r="AP236" s="41">
        <f>'3. Verotulot'!AM236/'Veroposentin tuotto'!J236</f>
        <v>1253.0390277272725</v>
      </c>
      <c r="AQ236" s="41">
        <f>'3. Verotulot'!AR236/'Veroposentin tuotto'!K236</f>
        <v>1497.0389519230764</v>
      </c>
      <c r="AR236" s="41">
        <f>'3. Verotulot'!AW236/'Veroposentin tuotto'!L236</f>
        <v>1451.4618439548096</v>
      </c>
      <c r="AS236" s="41">
        <f>'3. Verotulot'!BB236/'Veroposentin tuotto'!M236</f>
        <v>1516.2612228756714</v>
      </c>
      <c r="AT236" s="41">
        <f>'3. Verotulot'!BG236/'Veroposentin tuotto'!N236</f>
        <v>1561.4989642388418</v>
      </c>
      <c r="AU236" s="41">
        <f>'3. Verotulot'!BL236/'Veroposentin tuotto'!O236</f>
        <v>1597.9408110725635</v>
      </c>
      <c r="AV236" s="41">
        <f>'3. Verotulot'!BQ236/'Veroposentin tuotto'!P236</f>
        <v>1642.3217192631962</v>
      </c>
      <c r="AX236" s="146"/>
      <c r="AZ236" s="34">
        <v>729</v>
      </c>
      <c r="BA236" s="88" t="s">
        <v>550</v>
      </c>
      <c r="BB236" s="41">
        <f>AI236/'1. Väestöennuste'!E236*1000</f>
        <v>126.04740733443573</v>
      </c>
      <c r="BC236" s="41">
        <f>AJ236/'1. Väestöennuste'!F236*1000</f>
        <v>124.20380636954906</v>
      </c>
      <c r="BD236" s="41">
        <f>AK236/'1. Väestöennuste'!G236*1000</f>
        <v>126.35602325338871</v>
      </c>
      <c r="BE236" s="41">
        <f>AL236/'1. Väestöennuste'!H236*1000</f>
        <v>121.82934209388777</v>
      </c>
      <c r="BF236" s="41">
        <f>AM236/'1. Väestöennuste'!I236*1000</f>
        <v>125.57490000924338</v>
      </c>
      <c r="BG236" s="41">
        <f>AN236/'1. Väestöennuste'!J236*1000</f>
        <v>128.42725233871457</v>
      </c>
      <c r="BH236" s="41">
        <f>AO236/'1. Väestöennuste'!K236*1000</f>
        <v>133.54549722297006</v>
      </c>
      <c r="BI236" s="41">
        <f>AP236/'1. Väestöennuste'!L236*1000</f>
        <v>139.61437634844262</v>
      </c>
      <c r="BJ236" s="41">
        <f>AQ236/'1. Väestöennuste'!M236*1000</f>
        <v>169.2143045013085</v>
      </c>
      <c r="BK236" s="41">
        <f>AR236/'1. Väestöennuste'!N236*1000</f>
        <v>166.52843551569637</v>
      </c>
      <c r="BL236" s="41">
        <f>AS236/'1. Väestöennuste'!O236*1000</f>
        <v>176.2684518572043</v>
      </c>
      <c r="BM236" s="41">
        <f>AT236/'1. Väestöennuste'!P236*1000</f>
        <v>183.94380542335279</v>
      </c>
      <c r="BN236" s="41">
        <f>AU236/'1. Väestöennuste'!Q236*1000</f>
        <v>190.63956228496343</v>
      </c>
      <c r="BO236" s="41">
        <f>AV236/'1. Väestöennuste'!R236*1000</f>
        <v>198.39595545581011</v>
      </c>
    </row>
    <row r="237" spans="1:67" x14ac:dyDescent="0.25">
      <c r="A237" s="30">
        <v>732</v>
      </c>
      <c r="B237" s="47" t="s">
        <v>551</v>
      </c>
      <c r="C237" s="47">
        <v>20.5</v>
      </c>
      <c r="D237" s="47">
        <v>20.5</v>
      </c>
      <c r="E237" s="47">
        <v>20.5</v>
      </c>
      <c r="F237" s="47">
        <v>20.5</v>
      </c>
      <c r="G237" s="47">
        <v>20.5</v>
      </c>
      <c r="H237" s="58">
        <v>20.25</v>
      </c>
      <c r="I237" s="139">
        <v>20.25</v>
      </c>
      <c r="J237" s="139">
        <v>20.25</v>
      </c>
      <c r="K237" s="139">
        <f t="shared" si="15"/>
        <v>7.6099999999999994</v>
      </c>
      <c r="L237" s="139">
        <v>8.6</v>
      </c>
      <c r="M237" s="139">
        <f t="shared" si="17"/>
        <v>8.6</v>
      </c>
      <c r="N237" s="147">
        <f t="shared" si="17"/>
        <v>8.6</v>
      </c>
      <c r="O237" s="147">
        <f t="shared" si="17"/>
        <v>8.6</v>
      </c>
      <c r="P237" s="147">
        <f t="shared" si="17"/>
        <v>8.6</v>
      </c>
      <c r="Q237" s="147"/>
      <c r="S237" s="41">
        <f>'3. Verotulot'!D237*100/'Veroposentin tuotto'!C237</f>
        <v>47782.106487804878</v>
      </c>
      <c r="T237" s="41">
        <f>'3. Verotulot'!I237*100/'Veroposentin tuotto'!D237</f>
        <v>44926.829268292684</v>
      </c>
      <c r="U237" s="41">
        <f>'3. Verotulot'!N237*100/'Veroposentin tuotto'!E237</f>
        <v>43902.439024390245</v>
      </c>
      <c r="V237" s="41">
        <f>'3. Verotulot'!S237*100/'Veroposentin tuotto'!F237</f>
        <v>42029.268292682929</v>
      </c>
      <c r="W237" s="41">
        <f>'3. Verotulot'!X237*100/'Veroposentin tuotto'!G237</f>
        <v>42658.536585365851</v>
      </c>
      <c r="X237" s="41">
        <f>'3. Verotulot'!AC237*100/'Veroposentin tuotto'!H237</f>
        <v>44780.246913580246</v>
      </c>
      <c r="Y237" s="41">
        <f>'3. Verotulot'!AH237*100/'Veroposentin tuotto'!I237</f>
        <v>45848.296296296299</v>
      </c>
      <c r="Z237" s="41">
        <f>'3. Verotulot'!AM237*100/'Veroposentin tuotto'!J237</f>
        <v>48369.784296296297</v>
      </c>
      <c r="AA237" s="41">
        <f>'3. Verotulot'!AR237*100/'Veroposentin tuotto'!K237</f>
        <v>59708.384099868599</v>
      </c>
      <c r="AB237" s="41">
        <f>'3. Verotulot'!AW237*100/'Veroposentin tuotto'!L237</f>
        <v>56166.9177213449</v>
      </c>
      <c r="AC237" s="41">
        <f>'3. Verotulot'!BB237*100/'Veroposentin tuotto'!M237</f>
        <v>57791.549348060231</v>
      </c>
      <c r="AD237" s="41">
        <f>'3. Verotulot'!BG237*100/'Veroposentin tuotto'!N237</f>
        <v>59075.845425203457</v>
      </c>
      <c r="AE237" s="41">
        <f>'3. Verotulot'!BL237*100/'Veroposentin tuotto'!O237</f>
        <v>60170.55213422724</v>
      </c>
      <c r="AF237" s="41">
        <f>'3. Verotulot'!BQ237*100/'Veroposentin tuotto'!P237</f>
        <v>61597.357940810536</v>
      </c>
      <c r="AI237" s="41">
        <f>'3. Verotulot'!D237/'Veroposentin tuotto'!C237</f>
        <v>477.82106487804873</v>
      </c>
      <c r="AJ237" s="41">
        <f>'3. Verotulot'!I237/'Veroposentin tuotto'!D237</f>
        <v>449.26829268292681</v>
      </c>
      <c r="AK237" s="41">
        <f>'3. Verotulot'!N237/'Veroposentin tuotto'!E237</f>
        <v>439.02439024390242</v>
      </c>
      <c r="AL237" s="41">
        <f>'3. Verotulot'!S237/'Veroposentin tuotto'!F237</f>
        <v>420.29268292682929</v>
      </c>
      <c r="AM237" s="41">
        <f>'3. Verotulot'!X237/'Veroposentin tuotto'!G237</f>
        <v>426.58536585365852</v>
      </c>
      <c r="AN237" s="41">
        <f>'3. Verotulot'!AC237/'Veroposentin tuotto'!H237</f>
        <v>447.80246913580248</v>
      </c>
      <c r="AO237" s="41">
        <f>'3. Verotulot'!AH237/'Veroposentin tuotto'!I237</f>
        <v>458.48296296296297</v>
      </c>
      <c r="AP237" s="41">
        <f>'3. Verotulot'!AM237/'Veroposentin tuotto'!J237</f>
        <v>483.69784296296297</v>
      </c>
      <c r="AQ237" s="41">
        <f>'3. Verotulot'!AR237/'Veroposentin tuotto'!K237</f>
        <v>597.08384099868601</v>
      </c>
      <c r="AR237" s="41">
        <f>'3. Verotulot'!AW237/'Veroposentin tuotto'!L237</f>
        <v>561.66917721344907</v>
      </c>
      <c r="AS237" s="41">
        <f>'3. Verotulot'!BB237/'Veroposentin tuotto'!M237</f>
        <v>577.91549348060232</v>
      </c>
      <c r="AT237" s="41">
        <f>'3. Verotulot'!BG237/'Veroposentin tuotto'!N237</f>
        <v>590.75845425203454</v>
      </c>
      <c r="AU237" s="41">
        <f>'3. Verotulot'!BL237/'Veroposentin tuotto'!O237</f>
        <v>601.70552134227239</v>
      </c>
      <c r="AV237" s="41">
        <f>'3. Verotulot'!BQ237/'Veroposentin tuotto'!P237</f>
        <v>615.97357940810537</v>
      </c>
      <c r="AX237" s="146"/>
      <c r="AZ237" s="34">
        <v>732</v>
      </c>
      <c r="BA237" s="88" t="s">
        <v>551</v>
      </c>
      <c r="BB237" s="41">
        <f>AI237/'1. Väestöennuste'!E237*1000</f>
        <v>128.20527632896398</v>
      </c>
      <c r="BC237" s="41">
        <f>AJ237/'1. Väestöennuste'!F237*1000</f>
        <v>122.98611899341003</v>
      </c>
      <c r="BD237" s="41">
        <f>AK237/'1. Väestöennuste'!G237*1000</f>
        <v>122.80402524304964</v>
      </c>
      <c r="BE237" s="41">
        <f>AL237/'1. Väestöennuste'!H237*1000</f>
        <v>120.39320622366922</v>
      </c>
      <c r="BF237" s="41">
        <f>AM237/'1. Väestöennuste'!I237*1000</f>
        <v>125.46628407460544</v>
      </c>
      <c r="BG237" s="41">
        <f>AN237/'1. Väestöennuste'!J237*1000</f>
        <v>131.43600502958688</v>
      </c>
      <c r="BH237" s="41">
        <f>AO237/'1. Väestöennuste'!K237*1000</f>
        <v>134.21632405238961</v>
      </c>
      <c r="BI237" s="41">
        <f>AP237/'1. Väestöennuste'!L237*1000</f>
        <v>144.99335820232704</v>
      </c>
      <c r="BJ237" s="41">
        <f>AQ237/'1. Väestöennuste'!M237*1000</f>
        <v>178.55378020295635</v>
      </c>
      <c r="BK237" s="41">
        <f>AR237/'1. Väestöennuste'!N237*1000</f>
        <v>176.9594131107275</v>
      </c>
      <c r="BL237" s="41">
        <f>AS237/'1. Väestöennuste'!O237*1000</f>
        <v>184.81467652081943</v>
      </c>
      <c r="BM237" s="41">
        <f>AT237/'1. Väestöennuste'!P237*1000</f>
        <v>191.74243890036823</v>
      </c>
      <c r="BN237" s="41">
        <f>AU237/'1. Väestöennuste'!Q237*1000</f>
        <v>198.05975027724568</v>
      </c>
      <c r="BO237" s="41">
        <f>AV237/'1. Väestöennuste'!R237*1000</f>
        <v>205.53005652589434</v>
      </c>
    </row>
    <row r="238" spans="1:67" x14ac:dyDescent="0.25">
      <c r="A238" s="30">
        <v>734</v>
      </c>
      <c r="B238" s="47" t="s">
        <v>552</v>
      </c>
      <c r="C238" s="47">
        <v>20.75</v>
      </c>
      <c r="D238" s="47">
        <v>20.75</v>
      </c>
      <c r="E238" s="47">
        <v>20.75</v>
      </c>
      <c r="F238" s="47">
        <v>20.75</v>
      </c>
      <c r="G238" s="47">
        <v>20.75</v>
      </c>
      <c r="H238" s="58">
        <v>20.75</v>
      </c>
      <c r="I238" s="139">
        <v>20.75</v>
      </c>
      <c r="J238" s="139">
        <v>20.75</v>
      </c>
      <c r="K238" s="139">
        <f t="shared" si="15"/>
        <v>8.11</v>
      </c>
      <c r="L238" s="139">
        <v>8.1</v>
      </c>
      <c r="M238" s="139">
        <f t="shared" si="17"/>
        <v>8.1</v>
      </c>
      <c r="N238" s="147">
        <f t="shared" si="17"/>
        <v>8.1</v>
      </c>
      <c r="O238" s="147">
        <f t="shared" si="17"/>
        <v>8.1</v>
      </c>
      <c r="P238" s="147">
        <f t="shared" si="17"/>
        <v>8.1</v>
      </c>
      <c r="Q238" s="147"/>
      <c r="S238" s="41">
        <f>'3. Verotulot'!D238*100/'Veroposentin tuotto'!C238</f>
        <v>818666.18549397588</v>
      </c>
      <c r="T238" s="41">
        <f>'3. Verotulot'!I238*100/'Veroposentin tuotto'!D238</f>
        <v>832274.69879518077</v>
      </c>
      <c r="U238" s="41">
        <f>'3. Verotulot'!N238*100/'Veroposentin tuotto'!E238</f>
        <v>815677.10843373497</v>
      </c>
      <c r="V238" s="41">
        <f>'3. Verotulot'!S238*100/'Veroposentin tuotto'!F238</f>
        <v>747378.31325301202</v>
      </c>
      <c r="W238" s="41">
        <f>'3. Verotulot'!X238*100/'Veroposentin tuotto'!G238</f>
        <v>783759.03614457836</v>
      </c>
      <c r="X238" s="41">
        <f>'3. Verotulot'!AC238*100/'Veroposentin tuotto'!H238</f>
        <v>816698.79518072284</v>
      </c>
      <c r="Y238" s="41">
        <f>'3. Verotulot'!AH238*100/'Veroposentin tuotto'!I238</f>
        <v>843969.82722891564</v>
      </c>
      <c r="Z238" s="41">
        <f>'3. Verotulot'!AM238*100/'Veroposentin tuotto'!J238</f>
        <v>873930.49802409636</v>
      </c>
      <c r="AA238" s="41">
        <f>'3. Verotulot'!AR238*100/'Veroposentin tuotto'!K238</f>
        <v>1099113.4102342788</v>
      </c>
      <c r="AB238" s="41">
        <f>'3. Verotulot'!AW238*100/'Veroposentin tuotto'!L238</f>
        <v>1043084.9322535279</v>
      </c>
      <c r="AC238" s="41">
        <f>'3. Verotulot'!BB238*100/'Veroposentin tuotto'!M238</f>
        <v>1085707.9433721281</v>
      </c>
      <c r="AD238" s="41">
        <f>'3. Verotulot'!BG238*100/'Veroposentin tuotto'!N238</f>
        <v>1126370.5279767171</v>
      </c>
      <c r="AE238" s="41">
        <f>'3. Verotulot'!BL238*100/'Veroposentin tuotto'!O238</f>
        <v>1161002.1754227793</v>
      </c>
      <c r="AF238" s="41">
        <f>'3. Verotulot'!BQ238*100/'Veroposentin tuotto'!P238</f>
        <v>1201053.9889978587</v>
      </c>
      <c r="AI238" s="41">
        <f>'3. Verotulot'!D238/'Veroposentin tuotto'!C238</f>
        <v>8186.6618549397599</v>
      </c>
      <c r="AJ238" s="41">
        <f>'3. Verotulot'!I238/'Veroposentin tuotto'!D238</f>
        <v>8322.7469879518067</v>
      </c>
      <c r="AK238" s="41">
        <f>'3. Verotulot'!N238/'Veroposentin tuotto'!E238</f>
        <v>8156.7710843373497</v>
      </c>
      <c r="AL238" s="41">
        <f>'3. Verotulot'!S238/'Veroposentin tuotto'!F238</f>
        <v>7473.7831325301204</v>
      </c>
      <c r="AM238" s="41">
        <f>'3. Verotulot'!X238/'Veroposentin tuotto'!G238</f>
        <v>7837.5903614457829</v>
      </c>
      <c r="AN238" s="41">
        <f>'3. Verotulot'!AC238/'Veroposentin tuotto'!H238</f>
        <v>8166.9879518072294</v>
      </c>
      <c r="AO238" s="41">
        <f>'3. Verotulot'!AH238/'Veroposentin tuotto'!I238</f>
        <v>8439.6982722891571</v>
      </c>
      <c r="AP238" s="41">
        <f>'3. Verotulot'!AM238/'Veroposentin tuotto'!J238</f>
        <v>8739.3049802409641</v>
      </c>
      <c r="AQ238" s="41">
        <f>'3. Verotulot'!AR238/'Veroposentin tuotto'!K238</f>
        <v>10991.134102342787</v>
      </c>
      <c r="AR238" s="41">
        <f>'3. Verotulot'!AW238/'Veroposentin tuotto'!L238</f>
        <v>10430.849322535279</v>
      </c>
      <c r="AS238" s="41">
        <f>'3. Verotulot'!BB238/'Veroposentin tuotto'!M238</f>
        <v>10857.079433721281</v>
      </c>
      <c r="AT238" s="41">
        <f>'3. Verotulot'!BG238/'Veroposentin tuotto'!N238</f>
        <v>11263.705279767171</v>
      </c>
      <c r="AU238" s="41">
        <f>'3. Verotulot'!BL238/'Veroposentin tuotto'!O238</f>
        <v>11610.021754227793</v>
      </c>
      <c r="AV238" s="41">
        <f>'3. Verotulot'!BQ238/'Veroposentin tuotto'!P238</f>
        <v>12010.539889978589</v>
      </c>
      <c r="AX238" s="146"/>
      <c r="AZ238" s="34">
        <v>734</v>
      </c>
      <c r="BA238" s="88" t="s">
        <v>552</v>
      </c>
      <c r="BB238" s="41">
        <f>AI238/'1. Väestöennuste'!E238*1000</f>
        <v>151.91430422972277</v>
      </c>
      <c r="BC238" s="41">
        <f>AJ238/'1. Väestöennuste'!F238*1000</f>
        <v>155.43172203249182</v>
      </c>
      <c r="BD238" s="41">
        <f>AK238/'1. Väestöennuste'!G238*1000</f>
        <v>153.94781602629757</v>
      </c>
      <c r="BE238" s="41">
        <f>AL238/'1. Väestöennuste'!H238*1000</f>
        <v>142.84480672254202</v>
      </c>
      <c r="BF238" s="41">
        <f>AM238/'1. Väestöennuste'!I238*1000</f>
        <v>151.20850349093786</v>
      </c>
      <c r="BG238" s="41">
        <f>AN238/'1. Väestöennuste'!J238*1000</f>
        <v>158.39160528697934</v>
      </c>
      <c r="BH238" s="41">
        <f>AO238/'1. Väestöennuste'!K238*1000</f>
        <v>164.1964644414233</v>
      </c>
      <c r="BI238" s="41">
        <f>AP238/'1. Väestöennuste'!L238*1000</f>
        <v>171.5843358969816</v>
      </c>
      <c r="BJ238" s="41">
        <f>AQ238/'1. Väestöennuste'!M238*1000</f>
        <v>215.09068693430112</v>
      </c>
      <c r="BK238" s="41">
        <f>AR238/'1. Väestöennuste'!N238*1000</f>
        <v>209.28250481602055</v>
      </c>
      <c r="BL238" s="41">
        <f>AS238/'1. Väestöennuste'!O238*1000</f>
        <v>219.58335558857053</v>
      </c>
      <c r="BM238" s="41">
        <f>AT238/'1. Väestöennuste'!P238*1000</f>
        <v>229.6138065389292</v>
      </c>
      <c r="BN238" s="41">
        <f>AU238/'1. Väestöennuste'!Q238*1000</f>
        <v>238.49185008992819</v>
      </c>
      <c r="BO238" s="41">
        <f>AV238/'1. Väestöennuste'!R238*1000</f>
        <v>248.56764192095426</v>
      </c>
    </row>
    <row r="239" spans="1:67" x14ac:dyDescent="0.25">
      <c r="A239" s="30">
        <v>738</v>
      </c>
      <c r="B239" s="47" t="s">
        <v>553</v>
      </c>
      <c r="C239" s="47">
        <v>21</v>
      </c>
      <c r="D239" s="47">
        <v>21</v>
      </c>
      <c r="E239" s="47">
        <v>21.5</v>
      </c>
      <c r="F239" s="47">
        <v>21.5</v>
      </c>
      <c r="G239" s="47">
        <v>21.5</v>
      </c>
      <c r="H239" s="58">
        <v>21.5</v>
      </c>
      <c r="I239" s="139">
        <v>21.5</v>
      </c>
      <c r="J239" s="139">
        <v>21.5</v>
      </c>
      <c r="K239" s="139">
        <f t="shared" si="15"/>
        <v>8.86</v>
      </c>
      <c r="L239" s="139">
        <v>8.8000000000000007</v>
      </c>
      <c r="M239" s="139">
        <f t="shared" si="17"/>
        <v>8.8000000000000007</v>
      </c>
      <c r="N239" s="147">
        <f t="shared" si="17"/>
        <v>8.8000000000000007</v>
      </c>
      <c r="O239" s="147">
        <f t="shared" si="17"/>
        <v>8.8000000000000007</v>
      </c>
      <c r="P239" s="147">
        <f t="shared" si="17"/>
        <v>8.8000000000000007</v>
      </c>
      <c r="Q239" s="147"/>
      <c r="S239" s="41">
        <f>'3. Verotulot'!D239*100/'Veroposentin tuotto'!C239</f>
        <v>43809.257476190476</v>
      </c>
      <c r="T239" s="41">
        <f>'3. Verotulot'!I239*100/'Veroposentin tuotto'!D239</f>
        <v>46780.952380952382</v>
      </c>
      <c r="U239" s="41">
        <f>'3. Verotulot'!N239*100/'Veroposentin tuotto'!E239</f>
        <v>46790.697674418603</v>
      </c>
      <c r="V239" s="41">
        <f>'3. Verotulot'!S239*100/'Veroposentin tuotto'!F239</f>
        <v>45669.767441860466</v>
      </c>
      <c r="W239" s="41">
        <f>'3. Verotulot'!X239*100/'Veroposentin tuotto'!G239</f>
        <v>45334.883720930229</v>
      </c>
      <c r="X239" s="41">
        <f>'3. Verotulot'!AC239*100/'Veroposentin tuotto'!H239</f>
        <v>46674.41860465116</v>
      </c>
      <c r="Y239" s="41">
        <f>'3. Verotulot'!AH239*100/'Veroposentin tuotto'!I239</f>
        <v>51194.552930232559</v>
      </c>
      <c r="Z239" s="41">
        <f>'3. Verotulot'!AM239*100/'Veroposentin tuotto'!J239</f>
        <v>50221.073162790701</v>
      </c>
      <c r="AA239" s="41">
        <f>'3. Verotulot'!AR239*100/'Veroposentin tuotto'!K239</f>
        <v>61955.058352144479</v>
      </c>
      <c r="AB239" s="41">
        <f>'3. Verotulot'!AW239*100/'Veroposentin tuotto'!L239</f>
        <v>61790.324620516309</v>
      </c>
      <c r="AC239" s="41">
        <f>'3. Verotulot'!BB239*100/'Veroposentin tuotto'!M239</f>
        <v>64515.195265587092</v>
      </c>
      <c r="AD239" s="41">
        <f>'3. Verotulot'!BG239*100/'Veroposentin tuotto'!N239</f>
        <v>67557.201477687762</v>
      </c>
      <c r="AE239" s="41">
        <f>'3. Verotulot'!BL239*100/'Veroposentin tuotto'!O239</f>
        <v>70146.065821084369</v>
      </c>
      <c r="AF239" s="41">
        <f>'3. Verotulot'!BQ239*100/'Veroposentin tuotto'!P239</f>
        <v>72715.997439029976</v>
      </c>
      <c r="AI239" s="41">
        <f>'3. Verotulot'!D239/'Veroposentin tuotto'!C239</f>
        <v>438.09257476190476</v>
      </c>
      <c r="AJ239" s="41">
        <f>'3. Verotulot'!I239/'Veroposentin tuotto'!D239</f>
        <v>467.8095238095238</v>
      </c>
      <c r="AK239" s="41">
        <f>'3. Verotulot'!N239/'Veroposentin tuotto'!E239</f>
        <v>467.90697674418607</v>
      </c>
      <c r="AL239" s="41">
        <f>'3. Verotulot'!S239/'Veroposentin tuotto'!F239</f>
        <v>456.69767441860466</v>
      </c>
      <c r="AM239" s="41">
        <f>'3. Verotulot'!X239/'Veroposentin tuotto'!G239</f>
        <v>453.3488372093023</v>
      </c>
      <c r="AN239" s="41">
        <f>'3. Verotulot'!AC239/'Veroposentin tuotto'!H239</f>
        <v>466.74418604651163</v>
      </c>
      <c r="AO239" s="41">
        <f>'3. Verotulot'!AH239/'Veroposentin tuotto'!I239</f>
        <v>511.94552930232561</v>
      </c>
      <c r="AP239" s="41">
        <f>'3. Verotulot'!AM239/'Veroposentin tuotto'!J239</f>
        <v>502.21073162790702</v>
      </c>
      <c r="AQ239" s="41">
        <f>'3. Verotulot'!AR239/'Veroposentin tuotto'!K239</f>
        <v>619.55058352144476</v>
      </c>
      <c r="AR239" s="41">
        <f>'3. Verotulot'!AW239/'Veroposentin tuotto'!L239</f>
        <v>617.9032462051631</v>
      </c>
      <c r="AS239" s="41">
        <f>'3. Verotulot'!BB239/'Veroposentin tuotto'!M239</f>
        <v>645.1519526558709</v>
      </c>
      <c r="AT239" s="41">
        <f>'3. Verotulot'!BG239/'Veroposentin tuotto'!N239</f>
        <v>675.57201477687761</v>
      </c>
      <c r="AU239" s="41">
        <f>'3. Verotulot'!BL239/'Veroposentin tuotto'!O239</f>
        <v>701.46065821084369</v>
      </c>
      <c r="AV239" s="41">
        <f>'3. Verotulot'!BQ239/'Veroposentin tuotto'!P239</f>
        <v>727.15997439029979</v>
      </c>
      <c r="AX239" s="146"/>
      <c r="AZ239" s="34">
        <v>738</v>
      </c>
      <c r="BA239" s="88" t="s">
        <v>553</v>
      </c>
      <c r="BB239" s="41">
        <f>AI239/'1. Väestöennuste'!E239*1000</f>
        <v>145.11181674789822</v>
      </c>
      <c r="BC239" s="41">
        <f>AJ239/'1. Väestöennuste'!F239*1000</f>
        <v>153.53118602216077</v>
      </c>
      <c r="BD239" s="41">
        <f>AK239/'1. Väestöennuste'!G239*1000</f>
        <v>155.60591178722515</v>
      </c>
      <c r="BE239" s="41">
        <f>AL239/'1. Väestöennuste'!H239*1000</f>
        <v>152.53763340634757</v>
      </c>
      <c r="BF239" s="41">
        <f>AM239/'1. Väestöennuste'!I239*1000</f>
        <v>153.93848462115528</v>
      </c>
      <c r="BG239" s="41">
        <f>AN239/'1. Väestöennuste'!J239*1000</f>
        <v>158.21836815135987</v>
      </c>
      <c r="BH239" s="41">
        <f>AO239/'1. Väestöennuste'!K239*1000</f>
        <v>173.01302105519622</v>
      </c>
      <c r="BI239" s="41">
        <f>AP239/'1. Väestöennuste'!L239*1000</f>
        <v>172.16686034552865</v>
      </c>
      <c r="BJ239" s="41">
        <f>AQ239/'1. Väestöennuste'!M239*1000</f>
        <v>208.3223212916761</v>
      </c>
      <c r="BK239" s="41">
        <f>AR239/'1. Väestöennuste'!N239*1000</f>
        <v>213.07008489833208</v>
      </c>
      <c r="BL239" s="41">
        <f>AS239/'1. Väestöennuste'!O239*1000</f>
        <v>222.92741971522835</v>
      </c>
      <c r="BM239" s="41">
        <f>AT239/'1. Väestöennuste'!P239*1000</f>
        <v>233.76194282936942</v>
      </c>
      <c r="BN239" s="41">
        <f>AU239/'1. Väestöennuste'!Q239*1000</f>
        <v>243.47818750810262</v>
      </c>
      <c r="BO239" s="41">
        <f>AV239/'1. Väestöennuste'!R239*1000</f>
        <v>252.83726508703052</v>
      </c>
    </row>
    <row r="240" spans="1:67" x14ac:dyDescent="0.25">
      <c r="A240" s="30">
        <v>739</v>
      </c>
      <c r="B240" s="47" t="s">
        <v>554</v>
      </c>
      <c r="C240" s="47">
        <v>21</v>
      </c>
      <c r="D240" s="47">
        <v>21</v>
      </c>
      <c r="E240" s="47">
        <v>21</v>
      </c>
      <c r="F240" s="47">
        <v>21.5</v>
      </c>
      <c r="G240" s="47">
        <v>21.5</v>
      </c>
      <c r="H240" s="58">
        <v>21.5</v>
      </c>
      <c r="I240" s="139">
        <v>21.5</v>
      </c>
      <c r="J240" s="139">
        <v>21.5</v>
      </c>
      <c r="K240" s="139">
        <f t="shared" si="15"/>
        <v>8.86</v>
      </c>
      <c r="L240" s="139">
        <v>8.9</v>
      </c>
      <c r="M240" s="139">
        <f t="shared" si="17"/>
        <v>8.9</v>
      </c>
      <c r="N240" s="147">
        <f t="shared" si="17"/>
        <v>8.9</v>
      </c>
      <c r="O240" s="147">
        <f t="shared" si="17"/>
        <v>8.9</v>
      </c>
      <c r="P240" s="147">
        <f t="shared" si="17"/>
        <v>8.9</v>
      </c>
      <c r="Q240" s="147"/>
      <c r="S240" s="41">
        <f>'3. Verotulot'!D240*100/'Veroposentin tuotto'!C240</f>
        <v>48154.772714285711</v>
      </c>
      <c r="T240" s="41">
        <f>'3. Verotulot'!I240*100/'Veroposentin tuotto'!D240</f>
        <v>46119.047619047618</v>
      </c>
      <c r="U240" s="41">
        <f>'3. Verotulot'!N240*100/'Veroposentin tuotto'!E240</f>
        <v>45723.809523809527</v>
      </c>
      <c r="V240" s="41">
        <f>'3. Verotulot'!S240*100/'Veroposentin tuotto'!F240</f>
        <v>44706.976744186046</v>
      </c>
      <c r="W240" s="41">
        <f>'3. Verotulot'!X240*100/'Veroposentin tuotto'!G240</f>
        <v>44827.906976744183</v>
      </c>
      <c r="X240" s="41">
        <f>'3. Verotulot'!AC240*100/'Veroposentin tuotto'!H240</f>
        <v>47683.720930232557</v>
      </c>
      <c r="Y240" s="41">
        <f>'3. Verotulot'!AH240*100/'Veroposentin tuotto'!I240</f>
        <v>49534.650232558139</v>
      </c>
      <c r="Z240" s="41">
        <f>'3. Verotulot'!AM240*100/'Veroposentin tuotto'!J240</f>
        <v>47236.978325581396</v>
      </c>
      <c r="AA240" s="41">
        <f>'3. Verotulot'!AR240*100/'Veroposentin tuotto'!K240</f>
        <v>58891.73724604967</v>
      </c>
      <c r="AB240" s="41">
        <f>'3. Verotulot'!AW240*100/'Veroposentin tuotto'!L240</f>
        <v>55041.86989214825</v>
      </c>
      <c r="AC240" s="41">
        <f>'3. Verotulot'!BB240*100/'Veroposentin tuotto'!M240</f>
        <v>56820.934727732689</v>
      </c>
      <c r="AD240" s="41">
        <f>'3. Verotulot'!BG240*100/'Veroposentin tuotto'!N240</f>
        <v>57886.24216113476</v>
      </c>
      <c r="AE240" s="41">
        <f>'3. Verotulot'!BL240*100/'Veroposentin tuotto'!O240</f>
        <v>58769.997170792682</v>
      </c>
      <c r="AF240" s="41">
        <f>'3. Verotulot'!BQ240*100/'Veroposentin tuotto'!P240</f>
        <v>59891.520111270176</v>
      </c>
      <c r="AI240" s="41">
        <f>'3. Verotulot'!D240/'Veroposentin tuotto'!C240</f>
        <v>481.54772714285707</v>
      </c>
      <c r="AJ240" s="41">
        <f>'3. Verotulot'!I240/'Veroposentin tuotto'!D240</f>
        <v>461.1904761904762</v>
      </c>
      <c r="AK240" s="41">
        <f>'3. Verotulot'!N240/'Veroposentin tuotto'!E240</f>
        <v>457.23809523809524</v>
      </c>
      <c r="AL240" s="41">
        <f>'3. Verotulot'!S240/'Veroposentin tuotto'!F240</f>
        <v>447.06976744186045</v>
      </c>
      <c r="AM240" s="41">
        <f>'3. Verotulot'!X240/'Veroposentin tuotto'!G240</f>
        <v>448.27906976744185</v>
      </c>
      <c r="AN240" s="41">
        <f>'3. Verotulot'!AC240/'Veroposentin tuotto'!H240</f>
        <v>476.83720930232556</v>
      </c>
      <c r="AO240" s="41">
        <f>'3. Verotulot'!AH240/'Veroposentin tuotto'!I240</f>
        <v>495.34650232558141</v>
      </c>
      <c r="AP240" s="41">
        <f>'3. Verotulot'!AM240/'Veroposentin tuotto'!J240</f>
        <v>472.3697832558139</v>
      </c>
      <c r="AQ240" s="41">
        <f>'3. Verotulot'!AR240/'Veroposentin tuotto'!K240</f>
        <v>588.91737246049672</v>
      </c>
      <c r="AR240" s="41">
        <f>'3. Verotulot'!AW240/'Veroposentin tuotto'!L240</f>
        <v>550.41869892148247</v>
      </c>
      <c r="AS240" s="41">
        <f>'3. Verotulot'!BB240/'Veroposentin tuotto'!M240</f>
        <v>568.20934727732697</v>
      </c>
      <c r="AT240" s="41">
        <f>'3. Verotulot'!BG240/'Veroposentin tuotto'!N240</f>
        <v>578.8624216113476</v>
      </c>
      <c r="AU240" s="41">
        <f>'3. Verotulot'!BL240/'Veroposentin tuotto'!O240</f>
        <v>587.69997170792681</v>
      </c>
      <c r="AV240" s="41">
        <f>'3. Verotulot'!BQ240/'Veroposentin tuotto'!P240</f>
        <v>598.91520111270165</v>
      </c>
      <c r="AX240" s="146"/>
      <c r="AZ240" s="34">
        <v>739</v>
      </c>
      <c r="BA240" s="88" t="s">
        <v>554</v>
      </c>
      <c r="BB240" s="41">
        <f>AI240/'1. Väestöennuste'!E240*1000</f>
        <v>133.28196156735595</v>
      </c>
      <c r="BC240" s="41">
        <f>AJ240/'1. Väestöennuste'!F240*1000</f>
        <v>130.50098364190046</v>
      </c>
      <c r="BD240" s="41">
        <f>AK240/'1. Väestöennuste'!G240*1000</f>
        <v>131.39025725232622</v>
      </c>
      <c r="BE240" s="41">
        <f>AL240/'1. Väestöennuste'!H240*1000</f>
        <v>130.37905145577733</v>
      </c>
      <c r="BF240" s="41">
        <f>AM240/'1. Väestöennuste'!I240*1000</f>
        <v>132.50933188514392</v>
      </c>
      <c r="BG240" s="41">
        <f>AN240/'1. Väestöennuste'!J240*1000</f>
        <v>143.36656924303233</v>
      </c>
      <c r="BH240" s="41">
        <f>AO240/'1. Väestöennuste'!K240*1000</f>
        <v>151.90018470579005</v>
      </c>
      <c r="BI240" s="41">
        <f>AP240/'1. Väestöennuste'!L240*1000</f>
        <v>145.0767147591566</v>
      </c>
      <c r="BJ240" s="41">
        <f>AQ240/'1. Väestöennuste'!M240*1000</f>
        <v>183.12107352627385</v>
      </c>
      <c r="BK240" s="41">
        <f>AR240/'1. Väestöennuste'!N240*1000</f>
        <v>176.98350447636093</v>
      </c>
      <c r="BL240" s="41">
        <f>AS240/'1. Väestöennuste'!O240*1000</f>
        <v>185.50745911763858</v>
      </c>
      <c r="BM240" s="41">
        <f>AT240/'1. Väestöennuste'!P240*1000</f>
        <v>191.80332061343523</v>
      </c>
      <c r="BN240" s="41">
        <f>AU240/'1. Väestöennuste'!Q240*1000</f>
        <v>197.5462089774544</v>
      </c>
      <c r="BO240" s="41">
        <f>AV240/'1. Väestöennuste'!R240*1000</f>
        <v>204.19884115673429</v>
      </c>
    </row>
    <row r="241" spans="1:67" x14ac:dyDescent="0.25">
      <c r="A241" s="30">
        <v>740</v>
      </c>
      <c r="B241" s="47" t="s">
        <v>555</v>
      </c>
      <c r="C241" s="47">
        <v>22</v>
      </c>
      <c r="D241" s="47">
        <v>22.5</v>
      </c>
      <c r="E241" s="47">
        <v>22.5</v>
      </c>
      <c r="F241" s="47">
        <v>22</v>
      </c>
      <c r="G241" s="47">
        <v>22.25</v>
      </c>
      <c r="H241" s="58">
        <v>22.75</v>
      </c>
      <c r="I241" s="139">
        <v>22.75</v>
      </c>
      <c r="J241" s="139">
        <v>22</v>
      </c>
      <c r="K241" s="139">
        <f t="shared" si="15"/>
        <v>9.36</v>
      </c>
      <c r="L241" s="139">
        <v>9.3000000000000007</v>
      </c>
      <c r="M241" s="139">
        <f t="shared" si="17"/>
        <v>9.3000000000000007</v>
      </c>
      <c r="N241" s="147">
        <f t="shared" si="17"/>
        <v>9.3000000000000007</v>
      </c>
      <c r="O241" s="147">
        <f t="shared" si="17"/>
        <v>9.3000000000000007</v>
      </c>
      <c r="P241" s="147">
        <f t="shared" si="17"/>
        <v>9.3000000000000007</v>
      </c>
      <c r="Q241" s="147"/>
      <c r="S241" s="41">
        <f>'3. Verotulot'!D241*100/'Veroposentin tuotto'!C241</f>
        <v>521068.70600000001</v>
      </c>
      <c r="T241" s="41">
        <f>'3. Verotulot'!I241*100/'Veroposentin tuotto'!D241</f>
        <v>515693.33333333331</v>
      </c>
      <c r="U241" s="41">
        <f>'3. Verotulot'!N241*100/'Veroposentin tuotto'!E241</f>
        <v>508080</v>
      </c>
      <c r="V241" s="41">
        <f>'3. Verotulot'!S241*100/'Veroposentin tuotto'!F241</f>
        <v>488654.54545454547</v>
      </c>
      <c r="W241" s="41">
        <f>'3. Verotulot'!X241*100/'Veroposentin tuotto'!G241</f>
        <v>486867.41573033709</v>
      </c>
      <c r="X241" s="41">
        <f>'3. Verotulot'!AC241*100/'Veroposentin tuotto'!H241</f>
        <v>509142.85714285716</v>
      </c>
      <c r="Y241" s="41">
        <f>'3. Verotulot'!AH241*100/'Veroposentin tuotto'!I241</f>
        <v>510359.9391648352</v>
      </c>
      <c r="Z241" s="41">
        <f>'3. Verotulot'!AM241*100/'Veroposentin tuotto'!J241</f>
        <v>535755.57000000007</v>
      </c>
      <c r="AA241" s="41">
        <f>'3. Verotulot'!AR241*100/'Veroposentin tuotto'!K241</f>
        <v>643689.89081196592</v>
      </c>
      <c r="AB241" s="41">
        <f>'3. Verotulot'!AW241*100/'Veroposentin tuotto'!L241</f>
        <v>611158.10590055049</v>
      </c>
      <c r="AC241" s="41">
        <f>'3. Verotulot'!BB241*100/'Veroposentin tuotto'!M241</f>
        <v>630669.79171915923</v>
      </c>
      <c r="AD241" s="41">
        <f>'3. Verotulot'!BG241*100/'Veroposentin tuotto'!N241</f>
        <v>647028.53141962865</v>
      </c>
      <c r="AE241" s="41">
        <f>'3. Verotulot'!BL241*100/'Veroposentin tuotto'!O241</f>
        <v>659724.78207497555</v>
      </c>
      <c r="AF241" s="41">
        <f>'3. Verotulot'!BQ241*100/'Veroposentin tuotto'!P241</f>
        <v>675462.60842139379</v>
      </c>
      <c r="AI241" s="41">
        <f>'3. Verotulot'!D241/'Veroposentin tuotto'!C241</f>
        <v>5210.6870600000002</v>
      </c>
      <c r="AJ241" s="41">
        <f>'3. Verotulot'!I241/'Veroposentin tuotto'!D241</f>
        <v>5156.9333333333334</v>
      </c>
      <c r="AK241" s="41">
        <f>'3. Verotulot'!N241/'Veroposentin tuotto'!E241</f>
        <v>5080.8</v>
      </c>
      <c r="AL241" s="41">
        <f>'3. Verotulot'!S241/'Veroposentin tuotto'!F241</f>
        <v>4886.545454545455</v>
      </c>
      <c r="AM241" s="41">
        <f>'3. Verotulot'!X241/'Veroposentin tuotto'!G241</f>
        <v>4868.6741573033705</v>
      </c>
      <c r="AN241" s="41">
        <f>'3. Verotulot'!AC241/'Veroposentin tuotto'!H241</f>
        <v>5091.4285714285716</v>
      </c>
      <c r="AO241" s="41">
        <f>'3. Verotulot'!AH241/'Veroposentin tuotto'!I241</f>
        <v>5103.5993916483512</v>
      </c>
      <c r="AP241" s="41">
        <f>'3. Verotulot'!AM241/'Veroposentin tuotto'!J241</f>
        <v>5357.5557000000008</v>
      </c>
      <c r="AQ241" s="41">
        <f>'3. Verotulot'!AR241/'Veroposentin tuotto'!K241</f>
        <v>6436.8989081196587</v>
      </c>
      <c r="AR241" s="41">
        <f>'3. Verotulot'!AW241/'Veroposentin tuotto'!L241</f>
        <v>6111.5810590055044</v>
      </c>
      <c r="AS241" s="41">
        <f>'3. Verotulot'!BB241/'Veroposentin tuotto'!M241</f>
        <v>6306.6979171915928</v>
      </c>
      <c r="AT241" s="41">
        <f>'3. Verotulot'!BG241/'Veroposentin tuotto'!N241</f>
        <v>6470.2853141962869</v>
      </c>
      <c r="AU241" s="41">
        <f>'3. Verotulot'!BL241/'Veroposentin tuotto'!O241</f>
        <v>6597.2478207497552</v>
      </c>
      <c r="AV241" s="41">
        <f>'3. Verotulot'!BQ241/'Veroposentin tuotto'!P241</f>
        <v>6754.6260842139372</v>
      </c>
      <c r="AX241" s="146"/>
      <c r="AZ241" s="34">
        <v>740</v>
      </c>
      <c r="BA241" s="88" t="s">
        <v>555</v>
      </c>
      <c r="BB241" s="41">
        <f>AI241/'1. Väestöennuste'!E241*1000</f>
        <v>146.68488190749656</v>
      </c>
      <c r="BC241" s="41">
        <f>AJ241/'1. Väestöennuste'!F241*1000</f>
        <v>146.32919054915536</v>
      </c>
      <c r="BD241" s="41">
        <f>AK241/'1. Väestöennuste'!G241*1000</f>
        <v>146.57281329333028</v>
      </c>
      <c r="BE241" s="41">
        <f>AL241/'1. Väestöennuste'!H241*1000</f>
        <v>145.38530405359717</v>
      </c>
      <c r="BF241" s="41">
        <f>AM241/'1. Väestöennuste'!I241*1000</f>
        <v>147.6519123340623</v>
      </c>
      <c r="BG241" s="41">
        <f>AN241/'1. Väestöennuste'!J241*1000</f>
        <v>155.88232721292547</v>
      </c>
      <c r="BH241" s="41">
        <f>AO241/'1. Väestöennuste'!K241*1000</f>
        <v>156.8070603019741</v>
      </c>
      <c r="BI241" s="41">
        <f>AP241/'1. Väestöennuste'!L241*1000</f>
        <v>166.98007480130906</v>
      </c>
      <c r="BJ241" s="41">
        <f>AQ241/'1. Väestöennuste'!M241*1000</f>
        <v>202.14486411831984</v>
      </c>
      <c r="BK241" s="41">
        <f>AR241/'1. Väestöennuste'!N241*1000</f>
        <v>199.37303643914348</v>
      </c>
      <c r="BL241" s="41">
        <f>AS241/'1. Väestöennuste'!O241*1000</f>
        <v>208.78266352804292</v>
      </c>
      <c r="BM241" s="41">
        <f>AT241/'1. Väestöennuste'!P241*1000</f>
        <v>217.30597192934633</v>
      </c>
      <c r="BN241" s="41">
        <f>AU241/'1. Väestöennuste'!Q241*1000</f>
        <v>224.71720896347691</v>
      </c>
      <c r="BO241" s="41">
        <f>AV241/'1. Väestöennuste'!R241*1000</f>
        <v>233.28012723930019</v>
      </c>
    </row>
    <row r="242" spans="1:67" x14ac:dyDescent="0.25">
      <c r="A242" s="30">
        <v>742</v>
      </c>
      <c r="B242" s="47" t="s">
        <v>556</v>
      </c>
      <c r="C242" s="47">
        <v>21.75</v>
      </c>
      <c r="D242" s="47">
        <v>21.75</v>
      </c>
      <c r="E242" s="47">
        <v>21.75</v>
      </c>
      <c r="F242" s="47">
        <v>21.75</v>
      </c>
      <c r="G242" s="47">
        <v>21.75</v>
      </c>
      <c r="H242" s="58">
        <v>21.75</v>
      </c>
      <c r="I242" s="139">
        <v>21.750000000000004</v>
      </c>
      <c r="J242" s="139">
        <v>21.750000000000004</v>
      </c>
      <c r="K242" s="139">
        <f t="shared" si="15"/>
        <v>9.110000000000003</v>
      </c>
      <c r="L242" s="139">
        <v>9.1</v>
      </c>
      <c r="M242" s="139">
        <f t="shared" si="17"/>
        <v>9.1</v>
      </c>
      <c r="N242" s="147">
        <f t="shared" si="17"/>
        <v>9.1</v>
      </c>
      <c r="O242" s="147">
        <f t="shared" si="17"/>
        <v>9.1</v>
      </c>
      <c r="P242" s="147">
        <f t="shared" si="17"/>
        <v>9.1</v>
      </c>
      <c r="Q242" s="147"/>
      <c r="S242" s="41">
        <f>'3. Verotulot'!D242*100/'Veroposentin tuotto'!C242</f>
        <v>13249.884919540231</v>
      </c>
      <c r="T242" s="41">
        <f>'3. Verotulot'!I242*100/'Veroposentin tuotto'!D242</f>
        <v>13195.402298850575</v>
      </c>
      <c r="U242" s="41">
        <f>'3. Verotulot'!N242*100/'Veroposentin tuotto'!E242</f>
        <v>13039.080459770115</v>
      </c>
      <c r="V242" s="41">
        <f>'3. Verotulot'!S242*100/'Veroposentin tuotto'!F242</f>
        <v>12041.379310344828</v>
      </c>
      <c r="W242" s="41">
        <f>'3. Verotulot'!X242*100/'Veroposentin tuotto'!G242</f>
        <v>13770.114942528735</v>
      </c>
      <c r="X242" s="41">
        <f>'3. Verotulot'!AC242*100/'Veroposentin tuotto'!H242</f>
        <v>12657.471264367816</v>
      </c>
      <c r="Y242" s="41">
        <f>'3. Verotulot'!AH242*100/'Veroposentin tuotto'!I242</f>
        <v>14446.462758620688</v>
      </c>
      <c r="Z242" s="41">
        <f>'3. Verotulot'!AM242*100/'Veroposentin tuotto'!J242</f>
        <v>14621.334804597698</v>
      </c>
      <c r="AA242" s="41">
        <f>'3. Verotulot'!AR242*100/'Veroposentin tuotto'!K242</f>
        <v>19202.737760702519</v>
      </c>
      <c r="AB242" s="41">
        <f>'3. Verotulot'!AW242*100/'Veroposentin tuotto'!L242</f>
        <v>17513.615467506206</v>
      </c>
      <c r="AC242" s="41">
        <f>'3. Verotulot'!BB242*100/'Veroposentin tuotto'!M242</f>
        <v>18396.807980929541</v>
      </c>
      <c r="AD242" s="41">
        <f>'3. Verotulot'!BG242*100/'Veroposentin tuotto'!N242</f>
        <v>19114.50952750519</v>
      </c>
      <c r="AE242" s="41">
        <f>'3. Verotulot'!BL242*100/'Veroposentin tuotto'!O242</f>
        <v>19743.148108417143</v>
      </c>
      <c r="AF242" s="41">
        <f>'3. Verotulot'!BQ242*100/'Veroposentin tuotto'!P242</f>
        <v>20550.044596397194</v>
      </c>
      <c r="AI242" s="41">
        <f>'3. Verotulot'!D242/'Veroposentin tuotto'!C242</f>
        <v>132.4988491954023</v>
      </c>
      <c r="AJ242" s="41">
        <f>'3. Verotulot'!I242/'Veroposentin tuotto'!D242</f>
        <v>131.95402298850576</v>
      </c>
      <c r="AK242" s="41">
        <f>'3. Verotulot'!N242/'Veroposentin tuotto'!E242</f>
        <v>130.39080459770116</v>
      </c>
      <c r="AL242" s="41">
        <f>'3. Verotulot'!S242/'Veroposentin tuotto'!F242</f>
        <v>120.41379310344827</v>
      </c>
      <c r="AM242" s="41">
        <f>'3. Verotulot'!X242/'Veroposentin tuotto'!G242</f>
        <v>137.70114942528735</v>
      </c>
      <c r="AN242" s="41">
        <f>'3. Verotulot'!AC242/'Veroposentin tuotto'!H242</f>
        <v>126.57471264367815</v>
      </c>
      <c r="AO242" s="41">
        <f>'3. Verotulot'!AH242/'Veroposentin tuotto'!I242</f>
        <v>144.46462758620686</v>
      </c>
      <c r="AP242" s="41">
        <f>'3. Verotulot'!AM242/'Veroposentin tuotto'!J242</f>
        <v>146.213348045977</v>
      </c>
      <c r="AQ242" s="41">
        <f>'3. Verotulot'!AR242/'Veroposentin tuotto'!K242</f>
        <v>192.02737760702519</v>
      </c>
      <c r="AR242" s="41">
        <f>'3. Verotulot'!AW242/'Veroposentin tuotto'!L242</f>
        <v>175.13615467506204</v>
      </c>
      <c r="AS242" s="41">
        <f>'3. Verotulot'!BB242/'Veroposentin tuotto'!M242</f>
        <v>183.9680798092954</v>
      </c>
      <c r="AT242" s="41">
        <f>'3. Verotulot'!BG242/'Veroposentin tuotto'!N242</f>
        <v>191.14509527505189</v>
      </c>
      <c r="AU242" s="41">
        <f>'3. Verotulot'!BL242/'Veroposentin tuotto'!O242</f>
        <v>197.43148108417142</v>
      </c>
      <c r="AV242" s="41">
        <f>'3. Verotulot'!BQ242/'Veroposentin tuotto'!P242</f>
        <v>205.50044596397194</v>
      </c>
      <c r="AX242" s="146"/>
      <c r="AZ242" s="34">
        <v>742</v>
      </c>
      <c r="BA242" s="88" t="s">
        <v>556</v>
      </c>
      <c r="BB242" s="41">
        <f>AI242/'1. Väestöennuste'!E242*1000</f>
        <v>124.88110197493148</v>
      </c>
      <c r="BC242" s="41">
        <f>AJ242/'1. Väestöennuste'!F242*1000</f>
        <v>126.39274232615494</v>
      </c>
      <c r="BD242" s="41">
        <f>AK242/'1. Väestöennuste'!G242*1000</f>
        <v>128.84466857480353</v>
      </c>
      <c r="BE242" s="41">
        <f>AL242/'1. Väestöennuste'!H242*1000</f>
        <v>118.63427891965347</v>
      </c>
      <c r="BF242" s="41">
        <f>AM242/'1. Väestöennuste'!I242*1000</f>
        <v>137.01606907988793</v>
      </c>
      <c r="BG242" s="41">
        <f>AN242/'1. Väestöennuste'!J242*1000</f>
        <v>125.44570133169292</v>
      </c>
      <c r="BH242" s="41">
        <f>AO242/'1. Väestöennuste'!K242*1000</f>
        <v>143.17604319743</v>
      </c>
      <c r="BI242" s="41">
        <f>AP242/'1. Väestöennuste'!L242*1000</f>
        <v>147.98921867001721</v>
      </c>
      <c r="BJ242" s="41">
        <f>AQ242/'1. Väestöennuste'!M242*1000</f>
        <v>196.34701186812393</v>
      </c>
      <c r="BK242" s="41">
        <f>AR242/'1. Väestöennuste'!N242*1000</f>
        <v>179.25911430405532</v>
      </c>
      <c r="BL242" s="41">
        <f>AS242/'1. Väestöennuste'!O242*1000</f>
        <v>189.26757182026276</v>
      </c>
      <c r="BM242" s="41">
        <f>AT242/'1. Väestöennuste'!P242*1000</f>
        <v>197.66814402797505</v>
      </c>
      <c r="BN242" s="41">
        <f>AU242/'1. Väestöennuste'!Q242*1000</f>
        <v>204.80444095868404</v>
      </c>
      <c r="BO242" s="41">
        <f>AV242/'1. Väestöennuste'!R242*1000</f>
        <v>214.06296454580411</v>
      </c>
    </row>
    <row r="243" spans="1:67" x14ac:dyDescent="0.25">
      <c r="A243" s="30">
        <v>743</v>
      </c>
      <c r="B243" s="47" t="s">
        <v>557</v>
      </c>
      <c r="C243" s="47">
        <v>21</v>
      </c>
      <c r="D243" s="47">
        <v>21</v>
      </c>
      <c r="E243" s="47">
        <v>21</v>
      </c>
      <c r="F243" s="47">
        <v>21</v>
      </c>
      <c r="G243" s="47">
        <v>21</v>
      </c>
      <c r="H243" s="58">
        <v>21</v>
      </c>
      <c r="I243" s="139">
        <v>21</v>
      </c>
      <c r="J243" s="139">
        <v>21</v>
      </c>
      <c r="K243" s="139">
        <f t="shared" si="15"/>
        <v>8.36</v>
      </c>
      <c r="L243" s="139">
        <v>8.4</v>
      </c>
      <c r="M243" s="139">
        <f t="shared" si="17"/>
        <v>8.4</v>
      </c>
      <c r="N243" s="147">
        <f t="shared" si="17"/>
        <v>8.4</v>
      </c>
      <c r="O243" s="147">
        <f t="shared" si="17"/>
        <v>8.4</v>
      </c>
      <c r="P243" s="147">
        <f t="shared" si="17"/>
        <v>8.4</v>
      </c>
      <c r="Q243" s="147"/>
      <c r="S243" s="41">
        <f>'3. Verotulot'!D243*100/'Veroposentin tuotto'!C243</f>
        <v>983561.62161904748</v>
      </c>
      <c r="T243" s="41">
        <f>'3. Verotulot'!I243*100/'Veroposentin tuotto'!D243</f>
        <v>990657.14285714284</v>
      </c>
      <c r="U243" s="41">
        <f>'3. Verotulot'!N243*100/'Veroposentin tuotto'!E243</f>
        <v>990333.33333333337</v>
      </c>
      <c r="V243" s="41">
        <f>'3. Verotulot'!S243*100/'Veroposentin tuotto'!F243</f>
        <v>991923.80952380947</v>
      </c>
      <c r="W243" s="41">
        <f>'3. Verotulot'!X243*100/'Veroposentin tuotto'!G243</f>
        <v>1030152.3809523809</v>
      </c>
      <c r="X243" s="41">
        <f>'3. Verotulot'!AC243*100/'Veroposentin tuotto'!H243</f>
        <v>1077876.1904761905</v>
      </c>
      <c r="Y243" s="41">
        <f>'3. Verotulot'!AH243*100/'Veroposentin tuotto'!I243</f>
        <v>1103112.520904762</v>
      </c>
      <c r="Z243" s="41">
        <f>'3. Verotulot'!AM243*100/'Veroposentin tuotto'!J243</f>
        <v>1194862.0948095238</v>
      </c>
      <c r="AA243" s="41">
        <f>'3. Verotulot'!AR243*100/'Veroposentin tuotto'!K243</f>
        <v>1436246.3081339714</v>
      </c>
      <c r="AB243" s="41">
        <f>'3. Verotulot'!AW243*100/'Veroposentin tuotto'!L243</f>
        <v>1427467.4927872946</v>
      </c>
      <c r="AC243" s="41">
        <f>'3. Verotulot'!BB243*100/'Veroposentin tuotto'!M243</f>
        <v>1526053.3722147625</v>
      </c>
      <c r="AD243" s="41">
        <f>'3. Verotulot'!BG243*100/'Veroposentin tuotto'!N243</f>
        <v>1618459.2866454131</v>
      </c>
      <c r="AE243" s="41">
        <f>'3. Verotulot'!BL243*100/'Veroposentin tuotto'!O243</f>
        <v>1694237.5334362846</v>
      </c>
      <c r="AF243" s="41">
        <f>'3. Verotulot'!BQ243*100/'Veroposentin tuotto'!P243</f>
        <v>1778165.6073620678</v>
      </c>
      <c r="AI243" s="41">
        <f>'3. Verotulot'!D243/'Veroposentin tuotto'!C243</f>
        <v>9835.6162161904758</v>
      </c>
      <c r="AJ243" s="41">
        <f>'3. Verotulot'!I243/'Veroposentin tuotto'!D243</f>
        <v>9906.5714285714294</v>
      </c>
      <c r="AK243" s="41">
        <f>'3. Verotulot'!N243/'Veroposentin tuotto'!E243</f>
        <v>9903.3333333333339</v>
      </c>
      <c r="AL243" s="41">
        <f>'3. Verotulot'!S243/'Veroposentin tuotto'!F243</f>
        <v>9919.2380952380954</v>
      </c>
      <c r="AM243" s="41">
        <f>'3. Verotulot'!X243/'Veroposentin tuotto'!G243</f>
        <v>10301.523809523809</v>
      </c>
      <c r="AN243" s="41">
        <f>'3. Verotulot'!AC243/'Veroposentin tuotto'!H243</f>
        <v>10778.761904761905</v>
      </c>
      <c r="AO243" s="41">
        <f>'3. Verotulot'!AH243/'Veroposentin tuotto'!I243</f>
        <v>11031.125209047619</v>
      </c>
      <c r="AP243" s="41">
        <f>'3. Verotulot'!AM243/'Veroposentin tuotto'!J243</f>
        <v>11948.620948095238</v>
      </c>
      <c r="AQ243" s="41">
        <f>'3. Verotulot'!AR243/'Veroposentin tuotto'!K243</f>
        <v>14362.463081339714</v>
      </c>
      <c r="AR243" s="41">
        <f>'3. Verotulot'!AW243/'Veroposentin tuotto'!L243</f>
        <v>14274.674927872948</v>
      </c>
      <c r="AS243" s="41">
        <f>'3. Verotulot'!BB243/'Veroposentin tuotto'!M243</f>
        <v>15260.533722147624</v>
      </c>
      <c r="AT243" s="41">
        <f>'3. Verotulot'!BG243/'Veroposentin tuotto'!N243</f>
        <v>16184.59286645413</v>
      </c>
      <c r="AU243" s="41">
        <f>'3. Verotulot'!BL243/'Veroposentin tuotto'!O243</f>
        <v>16942.375334362845</v>
      </c>
      <c r="AV243" s="41">
        <f>'3. Verotulot'!BQ243/'Veroposentin tuotto'!P243</f>
        <v>17781.656073620677</v>
      </c>
      <c r="AX243" s="146"/>
      <c r="AZ243" s="34">
        <v>743</v>
      </c>
      <c r="BA243" s="88" t="s">
        <v>557</v>
      </c>
      <c r="BB243" s="41">
        <f>AI243/'1. Väestöennuste'!E243*1000</f>
        <v>159.85074299025641</v>
      </c>
      <c r="BC243" s="41">
        <f>AJ243/'1. Väestöennuste'!F243*1000</f>
        <v>159.64951054875638</v>
      </c>
      <c r="BD243" s="41">
        <f>AK243/'1. Väestöennuste'!G243*1000</f>
        <v>158.00838173038059</v>
      </c>
      <c r="BE243" s="41">
        <f>AL243/'1. Väestöennuste'!H243*1000</f>
        <v>156.73173579885753</v>
      </c>
      <c r="BF243" s="41">
        <f>AM243/'1. Väestöennuste'!I243*1000</f>
        <v>161.51399020905612</v>
      </c>
      <c r="BG243" s="41">
        <f>AN243/'1. Väestöennuste'!J243*1000</f>
        <v>168.07674886577118</v>
      </c>
      <c r="BH243" s="41">
        <f>AO243/'1. Väestöennuste'!K243*1000</f>
        <v>170.40171170674151</v>
      </c>
      <c r="BI243" s="41">
        <f>AP243/'1. Väestöennuste'!L243*1000</f>
        <v>182.91598591759774</v>
      </c>
      <c r="BJ243" s="41">
        <f>AQ243/'1. Väestöennuste'!M243*1000</f>
        <v>217.08680594527985</v>
      </c>
      <c r="BK243" s="41">
        <f>AR243/'1. Väestöennuste'!N243*1000</f>
        <v>215.98842378382429</v>
      </c>
      <c r="BL243" s="41">
        <f>AS243/'1. Väestöennuste'!O243*1000</f>
        <v>229.53348457768854</v>
      </c>
      <c r="BM243" s="41">
        <f>AT243/'1. Väestöennuste'!P243*1000</f>
        <v>242.08500286372191</v>
      </c>
      <c r="BN243" s="41">
        <f>AU243/'1. Väestöennuste'!Q243*1000</f>
        <v>252.11117726202858</v>
      </c>
      <c r="BO243" s="41">
        <f>AV243/'1. Väestöennuste'!R243*1000</f>
        <v>263.369513502291</v>
      </c>
    </row>
    <row r="244" spans="1:67" x14ac:dyDescent="0.25">
      <c r="A244" s="30">
        <v>746</v>
      </c>
      <c r="B244" s="47" t="s">
        <v>558</v>
      </c>
      <c r="C244" s="47">
        <v>21.75</v>
      </c>
      <c r="D244" s="47">
        <v>21.75</v>
      </c>
      <c r="E244" s="47">
        <v>21.75</v>
      </c>
      <c r="F244" s="47">
        <v>21.75</v>
      </c>
      <c r="G244" s="47">
        <v>21.75</v>
      </c>
      <c r="H244" s="58">
        <v>21.75</v>
      </c>
      <c r="I244" s="139">
        <v>21.75</v>
      </c>
      <c r="J244" s="139">
        <v>21.75</v>
      </c>
      <c r="K244" s="139">
        <f t="shared" si="15"/>
        <v>9.11</v>
      </c>
      <c r="L244" s="139">
        <v>9.6</v>
      </c>
      <c r="M244" s="139">
        <f t="shared" si="17"/>
        <v>9.6</v>
      </c>
      <c r="N244" s="147">
        <f t="shared" si="17"/>
        <v>9.6</v>
      </c>
      <c r="O244" s="147">
        <f t="shared" si="17"/>
        <v>9.6</v>
      </c>
      <c r="P244" s="147">
        <f t="shared" si="17"/>
        <v>9.6</v>
      </c>
      <c r="Q244" s="147"/>
      <c r="S244" s="41">
        <f>'3. Verotulot'!D244*100/'Veroposentin tuotto'!C244</f>
        <v>59024.641333333333</v>
      </c>
      <c r="T244" s="41">
        <f>'3. Verotulot'!I244*100/'Veroposentin tuotto'!D244</f>
        <v>55351.724137931036</v>
      </c>
      <c r="U244" s="41">
        <f>'3. Verotulot'!N244*100/'Veroposentin tuotto'!E244</f>
        <v>55296.551724137928</v>
      </c>
      <c r="V244" s="41">
        <f>'3. Verotulot'!S244*100/'Veroposentin tuotto'!F244</f>
        <v>56625.287356321838</v>
      </c>
      <c r="W244" s="41">
        <f>'3. Verotulot'!X244*100/'Veroposentin tuotto'!G244</f>
        <v>57190.80459770115</v>
      </c>
      <c r="X244" s="41">
        <f>'3. Verotulot'!AC244*100/'Veroposentin tuotto'!H244</f>
        <v>59696.551724137928</v>
      </c>
      <c r="Y244" s="41">
        <f>'3. Verotulot'!AH244*100/'Veroposentin tuotto'!I244</f>
        <v>57984.638942528742</v>
      </c>
      <c r="Z244" s="41">
        <f>'3. Verotulot'!AM244*100/'Veroposentin tuotto'!J244</f>
        <v>62164.048000000003</v>
      </c>
      <c r="AA244" s="41">
        <f>'3. Verotulot'!AR244*100/'Veroposentin tuotto'!K244</f>
        <v>76003.689242590568</v>
      </c>
      <c r="AB244" s="41">
        <f>'3. Verotulot'!AW244*100/'Veroposentin tuotto'!L244</f>
        <v>72945.165587301875</v>
      </c>
      <c r="AC244" s="41">
        <f>'3. Verotulot'!BB244*100/'Veroposentin tuotto'!M244</f>
        <v>75704.754514552333</v>
      </c>
      <c r="AD244" s="41">
        <f>'3. Verotulot'!BG244*100/'Veroposentin tuotto'!N244</f>
        <v>78393.120600020862</v>
      </c>
      <c r="AE244" s="41">
        <f>'3. Verotulot'!BL244*100/'Veroposentin tuotto'!O244</f>
        <v>79882.575269696725</v>
      </c>
      <c r="AF244" s="41">
        <f>'3. Verotulot'!BQ244*100/'Veroposentin tuotto'!P244</f>
        <v>81842.222716503587</v>
      </c>
      <c r="AI244" s="41">
        <f>'3. Verotulot'!D244/'Veroposentin tuotto'!C244</f>
        <v>590.24641333333341</v>
      </c>
      <c r="AJ244" s="41">
        <f>'3. Verotulot'!I244/'Veroposentin tuotto'!D244</f>
        <v>553.51724137931035</v>
      </c>
      <c r="AK244" s="41">
        <f>'3. Verotulot'!N244/'Veroposentin tuotto'!E244</f>
        <v>552.9655172413793</v>
      </c>
      <c r="AL244" s="41">
        <f>'3. Verotulot'!S244/'Veroposentin tuotto'!F244</f>
        <v>566.25287356321837</v>
      </c>
      <c r="AM244" s="41">
        <f>'3. Verotulot'!X244/'Veroposentin tuotto'!G244</f>
        <v>571.90804597701151</v>
      </c>
      <c r="AN244" s="41">
        <f>'3. Verotulot'!AC244/'Veroposentin tuotto'!H244</f>
        <v>596.9655172413793</v>
      </c>
      <c r="AO244" s="41">
        <f>'3. Verotulot'!AH244/'Veroposentin tuotto'!I244</f>
        <v>579.84638942528738</v>
      </c>
      <c r="AP244" s="41">
        <f>'3. Verotulot'!AM244/'Veroposentin tuotto'!J244</f>
        <v>621.64048000000003</v>
      </c>
      <c r="AQ244" s="41">
        <f>'3. Verotulot'!AR244/'Veroposentin tuotto'!K244</f>
        <v>760.03689242590565</v>
      </c>
      <c r="AR244" s="41">
        <f>'3. Verotulot'!AW244/'Veroposentin tuotto'!L244</f>
        <v>729.45165587301869</v>
      </c>
      <c r="AS244" s="41">
        <f>'3. Verotulot'!BB244/'Veroposentin tuotto'!M244</f>
        <v>757.04754514552337</v>
      </c>
      <c r="AT244" s="41">
        <f>'3. Verotulot'!BG244/'Veroposentin tuotto'!N244</f>
        <v>783.9312060002087</v>
      </c>
      <c r="AU244" s="41">
        <f>'3. Verotulot'!BL244/'Veroposentin tuotto'!O244</f>
        <v>798.82575269696724</v>
      </c>
      <c r="AV244" s="41">
        <f>'3. Verotulot'!BQ244/'Veroposentin tuotto'!P244</f>
        <v>818.42222716503591</v>
      </c>
      <c r="AX244" s="146"/>
      <c r="AZ244" s="34">
        <v>746</v>
      </c>
      <c r="BA244" s="88" t="s">
        <v>558</v>
      </c>
      <c r="BB244" s="41">
        <f>AI244/'1. Väestöennuste'!E244*1000</f>
        <v>115.1925084569347</v>
      </c>
      <c r="BC244" s="41">
        <f>AJ244/'1. Väestöennuste'!F244*1000</f>
        <v>109.19653607798587</v>
      </c>
      <c r="BD244" s="41">
        <f>AK244/'1. Väestöennuste'!G244*1000</f>
        <v>109.82433311646064</v>
      </c>
      <c r="BE244" s="41">
        <f>AL244/'1. Väestöennuste'!H244*1000</f>
        <v>113.70539629783502</v>
      </c>
      <c r="BF244" s="41">
        <f>AM244/'1. Väestöennuste'!I244*1000</f>
        <v>116.478217103261</v>
      </c>
      <c r="BG244" s="41">
        <f>AN244/'1. Väestöennuste'!J244*1000</f>
        <v>123.49307348808013</v>
      </c>
      <c r="BH244" s="41">
        <f>AO244/'1. Väestöennuste'!K244*1000</f>
        <v>121.28140335186934</v>
      </c>
      <c r="BI244" s="41">
        <f>AP244/'1. Väestöennuste'!L244*1000</f>
        <v>131.28626821541712</v>
      </c>
      <c r="BJ244" s="41">
        <f>AQ244/'1. Väestöennuste'!M244*1000</f>
        <v>161.26392794948134</v>
      </c>
      <c r="BK244" s="41">
        <f>AR244/'1. Väestöennuste'!N244*1000</f>
        <v>159.58251058258995</v>
      </c>
      <c r="BL244" s="41">
        <f>AS244/'1. Väestöennuste'!O244*1000</f>
        <v>168.15805089860581</v>
      </c>
      <c r="BM244" s="41">
        <f>AT244/'1. Väestöennuste'!P244*1000</f>
        <v>176.91970345299228</v>
      </c>
      <c r="BN244" s="41">
        <f>AU244/'1. Väestöennuste'!Q244*1000</f>
        <v>183.04898091131238</v>
      </c>
      <c r="BO244" s="41">
        <f>AV244/'1. Väestöennuste'!R244*1000</f>
        <v>190.37502376483738</v>
      </c>
    </row>
    <row r="245" spans="1:67" x14ac:dyDescent="0.25">
      <c r="A245" s="30">
        <v>747</v>
      </c>
      <c r="B245" s="47" t="s">
        <v>559</v>
      </c>
      <c r="C245" s="47">
        <v>21</v>
      </c>
      <c r="D245" s="47">
        <v>21</v>
      </c>
      <c r="E245" s="47">
        <v>21</v>
      </c>
      <c r="F245" s="47">
        <v>21</v>
      </c>
      <c r="G245" s="47">
        <v>22</v>
      </c>
      <c r="H245" s="58">
        <v>22</v>
      </c>
      <c r="I245" s="139">
        <v>22</v>
      </c>
      <c r="J245" s="139">
        <v>22</v>
      </c>
      <c r="K245" s="139">
        <f t="shared" si="15"/>
        <v>9.36</v>
      </c>
      <c r="L245" s="139">
        <v>9.4</v>
      </c>
      <c r="M245" s="139">
        <f t="shared" si="17"/>
        <v>9.4</v>
      </c>
      <c r="N245" s="147">
        <f t="shared" si="17"/>
        <v>9.4</v>
      </c>
      <c r="O245" s="147">
        <f t="shared" si="17"/>
        <v>9.4</v>
      </c>
      <c r="P245" s="147">
        <f t="shared" si="17"/>
        <v>9.4</v>
      </c>
      <c r="Q245" s="147"/>
      <c r="S245" s="41">
        <f>'3. Verotulot'!D245*100/'Veroposentin tuotto'!C245</f>
        <v>16858.530047619046</v>
      </c>
      <c r="T245" s="41">
        <f>'3. Verotulot'!I245*100/'Veroposentin tuotto'!D245</f>
        <v>15452.380952380952</v>
      </c>
      <c r="U245" s="41">
        <f>'3. Verotulot'!N245*100/'Veroposentin tuotto'!E245</f>
        <v>16109.523809523809</v>
      </c>
      <c r="V245" s="41">
        <f>'3. Verotulot'!S245*100/'Veroposentin tuotto'!F245</f>
        <v>15828.571428571429</v>
      </c>
      <c r="W245" s="41">
        <f>'3. Verotulot'!X245*100/'Veroposentin tuotto'!G245</f>
        <v>15468.181818181818</v>
      </c>
      <c r="X245" s="41">
        <f>'3. Verotulot'!AC245*100/'Veroposentin tuotto'!H245</f>
        <v>15740.90909090909</v>
      </c>
      <c r="Y245" s="41">
        <f>'3. Verotulot'!AH245*100/'Veroposentin tuotto'!I245</f>
        <v>15718.259499999998</v>
      </c>
      <c r="Z245" s="41">
        <f>'3. Verotulot'!AM245*100/'Veroposentin tuotto'!J245</f>
        <v>16159.402863636362</v>
      </c>
      <c r="AA245" s="41">
        <f>'3. Verotulot'!AR245*100/'Veroposentin tuotto'!K245</f>
        <v>20134.648931623931</v>
      </c>
      <c r="AB245" s="41">
        <f>'3. Verotulot'!AW245*100/'Veroposentin tuotto'!L245</f>
        <v>18826.728132484197</v>
      </c>
      <c r="AC245" s="41">
        <f>'3. Verotulot'!BB245*100/'Veroposentin tuotto'!M245</f>
        <v>19539.749020560128</v>
      </c>
      <c r="AD245" s="41">
        <f>'3. Verotulot'!BG245*100/'Veroposentin tuotto'!N245</f>
        <v>20113.432589714881</v>
      </c>
      <c r="AE245" s="41">
        <f>'3. Verotulot'!BL245*100/'Veroposentin tuotto'!O245</f>
        <v>20603.371655021914</v>
      </c>
      <c r="AF245" s="41">
        <f>'3. Verotulot'!BQ245*100/'Veroposentin tuotto'!P245</f>
        <v>21254.290532790244</v>
      </c>
      <c r="AI245" s="41">
        <f>'3. Verotulot'!D245/'Veroposentin tuotto'!C245</f>
        <v>168.58530047619047</v>
      </c>
      <c r="AJ245" s="41">
        <f>'3. Verotulot'!I245/'Veroposentin tuotto'!D245</f>
        <v>154.52380952380952</v>
      </c>
      <c r="AK245" s="41">
        <f>'3. Verotulot'!N245/'Veroposentin tuotto'!E245</f>
        <v>161.0952380952381</v>
      </c>
      <c r="AL245" s="41">
        <f>'3. Verotulot'!S245/'Veroposentin tuotto'!F245</f>
        <v>158.28571428571428</v>
      </c>
      <c r="AM245" s="41">
        <f>'3. Verotulot'!X245/'Veroposentin tuotto'!G245</f>
        <v>154.68181818181819</v>
      </c>
      <c r="AN245" s="41">
        <f>'3. Verotulot'!AC245/'Veroposentin tuotto'!H245</f>
        <v>157.40909090909091</v>
      </c>
      <c r="AO245" s="41">
        <f>'3. Verotulot'!AH245/'Veroposentin tuotto'!I245</f>
        <v>157.18259499999999</v>
      </c>
      <c r="AP245" s="41">
        <f>'3. Verotulot'!AM245/'Veroposentin tuotto'!J245</f>
        <v>161.59402863636362</v>
      </c>
      <c r="AQ245" s="41">
        <f>'3. Verotulot'!AR245/'Veroposentin tuotto'!K245</f>
        <v>201.34648931623931</v>
      </c>
      <c r="AR245" s="41">
        <f>'3. Verotulot'!AW245/'Veroposentin tuotto'!L245</f>
        <v>188.26728132484197</v>
      </c>
      <c r="AS245" s="41">
        <f>'3. Verotulot'!BB245/'Veroposentin tuotto'!M245</f>
        <v>195.39749020560129</v>
      </c>
      <c r="AT245" s="41">
        <f>'3. Verotulot'!BG245/'Veroposentin tuotto'!N245</f>
        <v>201.13432589714881</v>
      </c>
      <c r="AU245" s="41">
        <f>'3. Verotulot'!BL245/'Veroposentin tuotto'!O245</f>
        <v>206.03371655021914</v>
      </c>
      <c r="AV245" s="41">
        <f>'3. Verotulot'!BQ245/'Veroposentin tuotto'!P245</f>
        <v>212.54290532790245</v>
      </c>
      <c r="AX245" s="146"/>
      <c r="AZ245" s="34">
        <v>747</v>
      </c>
      <c r="BA245" s="88" t="s">
        <v>559</v>
      </c>
      <c r="BB245" s="41">
        <f>AI245/'1. Väestöennuste'!E245*1000</f>
        <v>110.40294726666043</v>
      </c>
      <c r="BC245" s="41">
        <f>AJ245/'1. Väestöennuste'!F245*1000</f>
        <v>103.42959138139861</v>
      </c>
      <c r="BD245" s="41">
        <f>AK245/'1. Väestöennuste'!G245*1000</f>
        <v>109.14311524067621</v>
      </c>
      <c r="BE245" s="41">
        <f>AL245/'1. Väestöennuste'!H245*1000</f>
        <v>108.56359004507152</v>
      </c>
      <c r="BF245" s="41">
        <f>AM245/'1. Väestöennuste'!I245*1000</f>
        <v>107.64218384260138</v>
      </c>
      <c r="BG245" s="41">
        <f>AN245/'1. Väestöennuste'!J245*1000</f>
        <v>113.65277321956022</v>
      </c>
      <c r="BH245" s="41">
        <f>AO245/'1. Väestöennuste'!K245*1000</f>
        <v>116.25931582840236</v>
      </c>
      <c r="BI245" s="41">
        <f>AP245/'1. Väestöennuste'!L245*1000</f>
        <v>123.54283534890185</v>
      </c>
      <c r="BJ245" s="41">
        <f>AQ245/'1. Väestöennuste'!M245*1000</f>
        <v>156.93413041016314</v>
      </c>
      <c r="BK245" s="41">
        <f>AR245/'1. Väestöennuste'!N245*1000</f>
        <v>145.71771000374767</v>
      </c>
      <c r="BL245" s="41">
        <f>AS245/'1. Väestöennuste'!O245*1000</f>
        <v>153.25293349458923</v>
      </c>
      <c r="BM245" s="41">
        <f>AT245/'1. Väestöennuste'!P245*1000</f>
        <v>159.88420182603244</v>
      </c>
      <c r="BN245" s="41">
        <f>AU245/'1. Väestöennuste'!Q245*1000</f>
        <v>165.75520237346672</v>
      </c>
      <c r="BO245" s="41">
        <f>AV245/'1. Väestöennuste'!R245*1000</f>
        <v>173.50441251257342</v>
      </c>
    </row>
    <row r="246" spans="1:67" x14ac:dyDescent="0.25">
      <c r="A246" s="30">
        <v>748</v>
      </c>
      <c r="B246" s="47" t="s">
        <v>560</v>
      </c>
      <c r="C246" s="47">
        <v>22</v>
      </c>
      <c r="D246" s="47">
        <v>22</v>
      </c>
      <c r="E246" s="47">
        <v>22</v>
      </c>
      <c r="F246" s="47">
        <v>22</v>
      </c>
      <c r="G246" s="47">
        <v>22</v>
      </c>
      <c r="H246" s="58">
        <v>22</v>
      </c>
      <c r="I246" s="139">
        <v>22</v>
      </c>
      <c r="J246" s="139">
        <v>22</v>
      </c>
      <c r="K246" s="139">
        <f t="shared" si="15"/>
        <v>9.36</v>
      </c>
      <c r="L246" s="139">
        <v>9.4</v>
      </c>
      <c r="M246" s="139">
        <f t="shared" si="17"/>
        <v>9.4</v>
      </c>
      <c r="N246" s="147">
        <f t="shared" si="17"/>
        <v>9.4</v>
      </c>
      <c r="O246" s="147">
        <f t="shared" si="17"/>
        <v>9.4</v>
      </c>
      <c r="P246" s="147">
        <f t="shared" si="17"/>
        <v>9.4</v>
      </c>
      <c r="Q246" s="147"/>
      <c r="S246" s="41">
        <f>'3. Verotulot'!D246*100/'Veroposentin tuotto'!C246</f>
        <v>70866.835636363641</v>
      </c>
      <c r="T246" s="41">
        <f>'3. Verotulot'!I246*100/'Veroposentin tuotto'!D246</f>
        <v>66222.727272727279</v>
      </c>
      <c r="U246" s="41">
        <f>'3. Verotulot'!N246*100/'Veroposentin tuotto'!E246</f>
        <v>67700</v>
      </c>
      <c r="V246" s="41">
        <f>'3. Verotulot'!S246*100/'Veroposentin tuotto'!F246</f>
        <v>64468.181818181816</v>
      </c>
      <c r="W246" s="41">
        <f>'3. Verotulot'!X246*100/'Veroposentin tuotto'!G246</f>
        <v>68159.090909090912</v>
      </c>
      <c r="X246" s="41">
        <f>'3. Verotulot'!AC246*100/'Veroposentin tuotto'!H246</f>
        <v>68027.272727272721</v>
      </c>
      <c r="Y246" s="41">
        <f>'3. Verotulot'!AH246*100/'Veroposentin tuotto'!I246</f>
        <v>67800.193909090915</v>
      </c>
      <c r="Z246" s="41">
        <f>'3. Verotulot'!AM246*100/'Veroposentin tuotto'!J246</f>
        <v>64750.042818181821</v>
      </c>
      <c r="AA246" s="41">
        <f>'3. Verotulot'!AR246*100/'Veroposentin tuotto'!K246</f>
        <v>86823.673611111109</v>
      </c>
      <c r="AB246" s="41">
        <f>'3. Verotulot'!AW246*100/'Veroposentin tuotto'!L246</f>
        <v>81770.730845317303</v>
      </c>
      <c r="AC246" s="41">
        <f>'3. Verotulot'!BB246*100/'Veroposentin tuotto'!M246</f>
        <v>84329.156698061983</v>
      </c>
      <c r="AD246" s="41">
        <f>'3. Verotulot'!BG246*100/'Veroposentin tuotto'!N246</f>
        <v>86418.872984468195</v>
      </c>
      <c r="AE246" s="41">
        <f>'3. Verotulot'!BL246*100/'Veroposentin tuotto'!O246</f>
        <v>88059.96604463087</v>
      </c>
      <c r="AF246" s="41">
        <f>'3. Verotulot'!BQ246*100/'Veroposentin tuotto'!P246</f>
        <v>90041.89444578554</v>
      </c>
      <c r="AI246" s="41">
        <f>'3. Verotulot'!D246/'Veroposentin tuotto'!C246</f>
        <v>708.66835636363635</v>
      </c>
      <c r="AJ246" s="41">
        <f>'3. Verotulot'!I246/'Veroposentin tuotto'!D246</f>
        <v>662.22727272727275</v>
      </c>
      <c r="AK246" s="41">
        <f>'3. Verotulot'!N246/'Veroposentin tuotto'!E246</f>
        <v>677</v>
      </c>
      <c r="AL246" s="41">
        <f>'3. Verotulot'!S246/'Veroposentin tuotto'!F246</f>
        <v>644.68181818181813</v>
      </c>
      <c r="AM246" s="41">
        <f>'3. Verotulot'!X246/'Veroposentin tuotto'!G246</f>
        <v>681.59090909090912</v>
      </c>
      <c r="AN246" s="41">
        <f>'3. Verotulot'!AC246/'Veroposentin tuotto'!H246</f>
        <v>680.27272727272725</v>
      </c>
      <c r="AO246" s="41">
        <f>'3. Verotulot'!AH246/'Veroposentin tuotto'!I246</f>
        <v>678.0019390909091</v>
      </c>
      <c r="AP246" s="41">
        <f>'3. Verotulot'!AM246/'Veroposentin tuotto'!J246</f>
        <v>647.50042818181817</v>
      </c>
      <c r="AQ246" s="41">
        <f>'3. Verotulot'!AR246/'Veroposentin tuotto'!K246</f>
        <v>868.23673611111121</v>
      </c>
      <c r="AR246" s="41">
        <f>'3. Verotulot'!AW246/'Veroposentin tuotto'!L246</f>
        <v>817.70730845317303</v>
      </c>
      <c r="AS246" s="41">
        <f>'3. Verotulot'!BB246/'Veroposentin tuotto'!M246</f>
        <v>843.2915669806199</v>
      </c>
      <c r="AT246" s="41">
        <f>'3. Verotulot'!BG246/'Veroposentin tuotto'!N246</f>
        <v>864.18872984468192</v>
      </c>
      <c r="AU246" s="41">
        <f>'3. Verotulot'!BL246/'Veroposentin tuotto'!O246</f>
        <v>880.59966044630869</v>
      </c>
      <c r="AV246" s="41">
        <f>'3. Verotulot'!BQ246/'Veroposentin tuotto'!P246</f>
        <v>900.41894445785545</v>
      </c>
      <c r="AX246" s="146"/>
      <c r="AZ246" s="34">
        <v>748</v>
      </c>
      <c r="BA246" s="88" t="s">
        <v>560</v>
      </c>
      <c r="BB246" s="41">
        <f>AI246/'1. Väestöennuste'!E246*1000</f>
        <v>129.65026644047501</v>
      </c>
      <c r="BC246" s="41">
        <f>AJ246/'1. Väestöennuste'!F246*1000</f>
        <v>123.41171687053163</v>
      </c>
      <c r="BD246" s="41">
        <f>AK246/'1. Väestöennuste'!G246*1000</f>
        <v>126.70784203630919</v>
      </c>
      <c r="BE246" s="41">
        <f>AL246/'1. Väestöennuste'!H246*1000</f>
        <v>122.81993106912138</v>
      </c>
      <c r="BF246" s="41">
        <f>AM246/'1. Väestöennuste'!I246*1000</f>
        <v>132.47636717024471</v>
      </c>
      <c r="BG246" s="41">
        <f>AN246/'1. Väestöennuste'!J246*1000</f>
        <v>135.13562321667209</v>
      </c>
      <c r="BH246" s="41">
        <f>AO246/'1. Väestöennuste'!K246*1000</f>
        <v>134.84525439357779</v>
      </c>
      <c r="BI246" s="41">
        <f>AP246/'1. Väestöennuste'!L246*1000</f>
        <v>132.22389793379992</v>
      </c>
      <c r="BJ246" s="41">
        <f>AQ246/'1. Väestöennuste'!M246*1000</f>
        <v>179.49901511497026</v>
      </c>
      <c r="BK246" s="41">
        <f>AR246/'1. Väestöennuste'!N246*1000</f>
        <v>175.54901426646049</v>
      </c>
      <c r="BL246" s="41">
        <f>AS246/'1. Väestöennuste'!O246*1000</f>
        <v>184.36632421963705</v>
      </c>
      <c r="BM246" s="41">
        <f>AT246/'1. Väestöennuste'!P246*1000</f>
        <v>192.12732988988037</v>
      </c>
      <c r="BN246" s="41">
        <f>AU246/'1. Väestöennuste'!Q246*1000</f>
        <v>199.00557298221665</v>
      </c>
      <c r="BO246" s="41">
        <f>AV246/'1. Väestöennuste'!R246*1000</f>
        <v>206.80269739500585</v>
      </c>
    </row>
    <row r="247" spans="1:67" x14ac:dyDescent="0.25">
      <c r="A247" s="30">
        <v>749</v>
      </c>
      <c r="B247" s="47" t="s">
        <v>561</v>
      </c>
      <c r="C247" s="47">
        <v>21.25</v>
      </c>
      <c r="D247" s="47">
        <v>21.25</v>
      </c>
      <c r="E247" s="47">
        <v>21.25</v>
      </c>
      <c r="F247" s="47">
        <v>21.25</v>
      </c>
      <c r="G247" s="47">
        <v>21.25</v>
      </c>
      <c r="H247" s="58">
        <v>22</v>
      </c>
      <c r="I247" s="139">
        <v>22.000000000000004</v>
      </c>
      <c r="J247" s="139">
        <v>22.000000000000004</v>
      </c>
      <c r="K247" s="139">
        <f t="shared" si="15"/>
        <v>9.360000000000003</v>
      </c>
      <c r="L247" s="139">
        <v>9.4</v>
      </c>
      <c r="M247" s="139">
        <f t="shared" si="17"/>
        <v>9.4</v>
      </c>
      <c r="N247" s="147">
        <f t="shared" si="17"/>
        <v>9.4</v>
      </c>
      <c r="O247" s="147">
        <f t="shared" si="17"/>
        <v>9.4</v>
      </c>
      <c r="P247" s="147">
        <f t="shared" si="17"/>
        <v>9.4</v>
      </c>
      <c r="Q247" s="147"/>
      <c r="S247" s="41">
        <f>'3. Verotulot'!D247*100/'Veroposentin tuotto'!C247</f>
        <v>354476.37515294115</v>
      </c>
      <c r="T247" s="41">
        <f>'3. Verotulot'!I247*100/'Veroposentin tuotto'!D247</f>
        <v>358418.82352941175</v>
      </c>
      <c r="U247" s="41">
        <f>'3. Verotulot'!N247*100/'Veroposentin tuotto'!E247</f>
        <v>357110.5882352941</v>
      </c>
      <c r="V247" s="41">
        <f>'3. Verotulot'!S247*100/'Veroposentin tuotto'!F247</f>
        <v>357214.1176470588</v>
      </c>
      <c r="W247" s="41">
        <f>'3. Verotulot'!X247*100/'Veroposentin tuotto'!G247</f>
        <v>358988.23529411765</v>
      </c>
      <c r="X247" s="41">
        <f>'3. Verotulot'!AC247*100/'Veroposentin tuotto'!H247</f>
        <v>371236.36363636365</v>
      </c>
      <c r="Y247" s="41">
        <f>'3. Verotulot'!AH247*100/'Veroposentin tuotto'!I247</f>
        <v>381618.54727272724</v>
      </c>
      <c r="Z247" s="41">
        <f>'3. Verotulot'!AM247*100/'Veroposentin tuotto'!J247</f>
        <v>392769.18263636361</v>
      </c>
      <c r="AA247" s="41">
        <f>'3. Verotulot'!AR247*100/'Veroposentin tuotto'!K247</f>
        <v>492527.46249999991</v>
      </c>
      <c r="AB247" s="41">
        <f>'3. Verotulot'!AW247*100/'Veroposentin tuotto'!L247</f>
        <v>467286.80321960343</v>
      </c>
      <c r="AC247" s="41">
        <f>'3. Verotulot'!BB247*100/'Veroposentin tuotto'!M247</f>
        <v>491968.91731675563</v>
      </c>
      <c r="AD247" s="41">
        <f>'3. Verotulot'!BG247*100/'Veroposentin tuotto'!N247</f>
        <v>513964.82329479983</v>
      </c>
      <c r="AE247" s="41">
        <f>'3. Verotulot'!BL247*100/'Veroposentin tuotto'!O247</f>
        <v>530294.51550831296</v>
      </c>
      <c r="AF247" s="41">
        <f>'3. Verotulot'!BQ247*100/'Veroposentin tuotto'!P247</f>
        <v>548473.71090771852</v>
      </c>
      <c r="AI247" s="41">
        <f>'3. Verotulot'!D247/'Veroposentin tuotto'!C247</f>
        <v>3544.7637515294118</v>
      </c>
      <c r="AJ247" s="41">
        <f>'3. Verotulot'!I247/'Veroposentin tuotto'!D247</f>
        <v>3584.1882352941175</v>
      </c>
      <c r="AK247" s="41">
        <f>'3. Verotulot'!N247/'Veroposentin tuotto'!E247</f>
        <v>3571.1058823529411</v>
      </c>
      <c r="AL247" s="41">
        <f>'3. Verotulot'!S247/'Veroposentin tuotto'!F247</f>
        <v>3572.1411764705881</v>
      </c>
      <c r="AM247" s="41">
        <f>'3. Verotulot'!X247/'Veroposentin tuotto'!G247</f>
        <v>3589.8823529411766</v>
      </c>
      <c r="AN247" s="41">
        <f>'3. Verotulot'!AC247/'Veroposentin tuotto'!H247</f>
        <v>3712.3636363636365</v>
      </c>
      <c r="AO247" s="41">
        <f>'3. Verotulot'!AH247/'Veroposentin tuotto'!I247</f>
        <v>3816.1854727272726</v>
      </c>
      <c r="AP247" s="41">
        <f>'3. Verotulot'!AM247/'Veroposentin tuotto'!J247</f>
        <v>3927.6918263636358</v>
      </c>
      <c r="AQ247" s="41">
        <f>'3. Verotulot'!AR247/'Veroposentin tuotto'!K247</f>
        <v>4925.2746249999991</v>
      </c>
      <c r="AR247" s="41">
        <f>'3. Verotulot'!AW247/'Veroposentin tuotto'!L247</f>
        <v>4672.8680321960346</v>
      </c>
      <c r="AS247" s="41">
        <f>'3. Verotulot'!BB247/'Veroposentin tuotto'!M247</f>
        <v>4919.6891731675569</v>
      </c>
      <c r="AT247" s="41">
        <f>'3. Verotulot'!BG247/'Veroposentin tuotto'!N247</f>
        <v>5139.6482329479977</v>
      </c>
      <c r="AU247" s="41">
        <f>'3. Verotulot'!BL247/'Veroposentin tuotto'!O247</f>
        <v>5302.9451550831291</v>
      </c>
      <c r="AV247" s="41">
        <f>'3. Verotulot'!BQ247/'Veroposentin tuotto'!P247</f>
        <v>5484.737109077184</v>
      </c>
      <c r="AX247" s="146"/>
      <c r="AZ247" s="34">
        <v>749</v>
      </c>
      <c r="BA247" s="88" t="s">
        <v>561</v>
      </c>
      <c r="BB247" s="41">
        <f>AI247/'1. Väestöennuste'!E247*1000</f>
        <v>162.64860748506067</v>
      </c>
      <c r="BC247" s="41">
        <f>AJ247/'1. Väestöennuste'!F247*1000</f>
        <v>164.65399831376874</v>
      </c>
      <c r="BD247" s="41">
        <f>AK247/'1. Väestöennuste'!G247*1000</f>
        <v>164.89383951391886</v>
      </c>
      <c r="BE247" s="41">
        <f>AL247/'1. Väestöennuste'!H247*1000</f>
        <v>164.81227168361116</v>
      </c>
      <c r="BF247" s="41">
        <f>AM247/'1. Väestöennuste'!I247*1000</f>
        <v>167.57141170429801</v>
      </c>
      <c r="BG247" s="41">
        <f>AN247/'1. Väestöennuste'!J247*1000</f>
        <v>174.69124447619578</v>
      </c>
      <c r="BH247" s="41">
        <f>AO247/'1. Väestöennuste'!K247*1000</f>
        <v>179.2225366424305</v>
      </c>
      <c r="BI247" s="41">
        <f>AP247/'1. Väestöennuste'!L247*1000</f>
        <v>184.98925331403709</v>
      </c>
      <c r="BJ247" s="41">
        <f>AQ247/'1. Väestöennuste'!M247*1000</f>
        <v>231.34216181305771</v>
      </c>
      <c r="BK247" s="41">
        <f>AR247/'1. Väestöennuste'!N247*1000</f>
        <v>224.18288390884834</v>
      </c>
      <c r="BL247" s="41">
        <f>AS247/'1. Väestöennuste'!O247*1000</f>
        <v>237.19633446639781</v>
      </c>
      <c r="BM247" s="41">
        <f>AT247/'1. Väestöennuste'!P247*1000</f>
        <v>249.17090381286653</v>
      </c>
      <c r="BN247" s="41">
        <f>AU247/'1. Väestöennuste'!Q247*1000</f>
        <v>258.57934245577962</v>
      </c>
      <c r="BO247" s="41">
        <f>AV247/'1. Väestöennuste'!R247*1000</f>
        <v>269.03110359921442</v>
      </c>
    </row>
    <row r="248" spans="1:67" x14ac:dyDescent="0.25">
      <c r="A248" s="30">
        <v>751</v>
      </c>
      <c r="B248" s="47" t="s">
        <v>562</v>
      </c>
      <c r="C248" s="47">
        <v>21.75</v>
      </c>
      <c r="D248" s="47">
        <v>22</v>
      </c>
      <c r="E248" s="47">
        <v>22</v>
      </c>
      <c r="F248" s="47">
        <v>22</v>
      </c>
      <c r="G248" s="47">
        <v>22</v>
      </c>
      <c r="H248" s="58">
        <v>22</v>
      </c>
      <c r="I248" s="139">
        <v>22</v>
      </c>
      <c r="J248" s="139">
        <v>22</v>
      </c>
      <c r="K248" s="139">
        <f t="shared" si="15"/>
        <v>9.36</v>
      </c>
      <c r="L248" s="139">
        <v>9.4</v>
      </c>
      <c r="M248" s="139">
        <f t="shared" si="17"/>
        <v>9.4</v>
      </c>
      <c r="N248" s="147">
        <f t="shared" si="17"/>
        <v>9.4</v>
      </c>
      <c r="O248" s="147">
        <f t="shared" si="17"/>
        <v>9.4</v>
      </c>
      <c r="P248" s="147">
        <f t="shared" si="17"/>
        <v>9.4</v>
      </c>
      <c r="Q248" s="147"/>
      <c r="S248" s="41">
        <f>'3. Verotulot'!D248*100/'Veroposentin tuotto'!C248</f>
        <v>49501.693333333336</v>
      </c>
      <c r="T248" s="41">
        <f>'3. Verotulot'!I248*100/'Veroposentin tuotto'!D248</f>
        <v>48613.63636363636</v>
      </c>
      <c r="U248" s="41">
        <f>'3. Verotulot'!N248*100/'Veroposentin tuotto'!E248</f>
        <v>47650</v>
      </c>
      <c r="V248" s="41">
        <f>'3. Verotulot'!S248*100/'Veroposentin tuotto'!F248</f>
        <v>45400</v>
      </c>
      <c r="W248" s="41">
        <f>'3. Verotulot'!X248*100/'Veroposentin tuotto'!G248</f>
        <v>46990.909090909088</v>
      </c>
      <c r="X248" s="41">
        <f>'3. Verotulot'!AC248*100/'Veroposentin tuotto'!H248</f>
        <v>47318.181818181816</v>
      </c>
      <c r="Y248" s="41">
        <f>'3. Verotulot'!AH248*100/'Veroposentin tuotto'!I248</f>
        <v>50028.184727272725</v>
      </c>
      <c r="Z248" s="41">
        <f>'3. Verotulot'!AM248*100/'Veroposentin tuotto'!J248</f>
        <v>49983.547954545451</v>
      </c>
      <c r="AA248" s="41">
        <f>'3. Verotulot'!AR248*100/'Veroposentin tuotto'!K248</f>
        <v>63407.732478632475</v>
      </c>
      <c r="AB248" s="41">
        <f>'3. Verotulot'!AW248*100/'Veroposentin tuotto'!L248</f>
        <v>57022.080423699728</v>
      </c>
      <c r="AC248" s="41">
        <f>'3. Verotulot'!BB248*100/'Veroposentin tuotto'!M248</f>
        <v>59517.98064434847</v>
      </c>
      <c r="AD248" s="41">
        <f>'3. Verotulot'!BG248*100/'Veroposentin tuotto'!N248</f>
        <v>60567.686108075352</v>
      </c>
      <c r="AE248" s="41">
        <f>'3. Verotulot'!BL248*100/'Veroposentin tuotto'!O248</f>
        <v>61473.34805929102</v>
      </c>
      <c r="AF248" s="41">
        <f>'3. Verotulot'!BQ248*100/'Veroposentin tuotto'!P248</f>
        <v>62776.05075405629</v>
      </c>
      <c r="AI248" s="41">
        <f>'3. Verotulot'!D248/'Veroposentin tuotto'!C248</f>
        <v>495.01693333333333</v>
      </c>
      <c r="AJ248" s="41">
        <f>'3. Verotulot'!I248/'Veroposentin tuotto'!D248</f>
        <v>486.13636363636363</v>
      </c>
      <c r="AK248" s="41">
        <f>'3. Verotulot'!N248/'Veroposentin tuotto'!E248</f>
        <v>476.5</v>
      </c>
      <c r="AL248" s="41">
        <f>'3. Verotulot'!S248/'Veroposentin tuotto'!F248</f>
        <v>454</v>
      </c>
      <c r="AM248" s="41">
        <f>'3. Verotulot'!X248/'Veroposentin tuotto'!G248</f>
        <v>469.90909090909093</v>
      </c>
      <c r="AN248" s="41">
        <f>'3. Verotulot'!AC248/'Veroposentin tuotto'!H248</f>
        <v>473.18181818181819</v>
      </c>
      <c r="AO248" s="41">
        <f>'3. Verotulot'!AH248/'Veroposentin tuotto'!I248</f>
        <v>500.2818472727273</v>
      </c>
      <c r="AP248" s="41">
        <f>'3. Verotulot'!AM248/'Veroposentin tuotto'!J248</f>
        <v>499.83547954545452</v>
      </c>
      <c r="AQ248" s="41">
        <f>'3. Verotulot'!AR248/'Veroposentin tuotto'!K248</f>
        <v>634.07732478632477</v>
      </c>
      <c r="AR248" s="41">
        <f>'3. Verotulot'!AW248/'Veroposentin tuotto'!L248</f>
        <v>570.22080423699731</v>
      </c>
      <c r="AS248" s="41">
        <f>'3. Verotulot'!BB248/'Veroposentin tuotto'!M248</f>
        <v>595.17980644348472</v>
      </c>
      <c r="AT248" s="41">
        <f>'3. Verotulot'!BG248/'Veroposentin tuotto'!N248</f>
        <v>605.6768610807535</v>
      </c>
      <c r="AU248" s="41">
        <f>'3. Verotulot'!BL248/'Veroposentin tuotto'!O248</f>
        <v>614.73348059291015</v>
      </c>
      <c r="AV248" s="41">
        <f>'3. Verotulot'!BQ248/'Veroposentin tuotto'!P248</f>
        <v>627.76050754056303</v>
      </c>
      <c r="AX248" s="146"/>
      <c r="AZ248" s="34">
        <v>751</v>
      </c>
      <c r="BA248" s="88" t="s">
        <v>562</v>
      </c>
      <c r="BB248" s="41">
        <f>AI248/'1. Väestöennuste'!E248*1000</f>
        <v>152.87737286390777</v>
      </c>
      <c r="BC248" s="41">
        <f>AJ248/'1. Väestöennuste'!F248*1000</f>
        <v>153.35531975910524</v>
      </c>
      <c r="BD248" s="41">
        <f>AK248/'1. Väestöennuste'!G248*1000</f>
        <v>153.21543408360128</v>
      </c>
      <c r="BE248" s="41">
        <f>AL248/'1. Väestöennuste'!H248*1000</f>
        <v>149.09688013136287</v>
      </c>
      <c r="BF248" s="41">
        <f>AM248/'1. Väestöennuste'!I248*1000</f>
        <v>157.2654253377145</v>
      </c>
      <c r="BG248" s="41">
        <f>AN248/'1. Väestöennuste'!J248*1000</f>
        <v>160.40061633281971</v>
      </c>
      <c r="BH248" s="41">
        <f>AO248/'1. Väestöennuste'!K248*1000</f>
        <v>172.27336338592539</v>
      </c>
      <c r="BI248" s="41">
        <f>AP248/'1. Väestöennuste'!L248*1000</f>
        <v>173.73495986981388</v>
      </c>
      <c r="BJ248" s="41">
        <f>AQ248/'1. Väestöennuste'!M248*1000</f>
        <v>224.21404695414597</v>
      </c>
      <c r="BK248" s="41">
        <f>AR248/'1. Väestöennuste'!N248*1000</f>
        <v>206.228138964556</v>
      </c>
      <c r="BL248" s="41">
        <f>AS248/'1. Väestöennuste'!O248*1000</f>
        <v>218.81610531010469</v>
      </c>
      <c r="BM248" s="41">
        <f>AT248/'1. Väestöennuste'!P248*1000</f>
        <v>226.16761056040085</v>
      </c>
      <c r="BN248" s="41">
        <f>AU248/'1. Väestöennuste'!Q248*1000</f>
        <v>232.76542241306709</v>
      </c>
      <c r="BO248" s="41">
        <f>AV248/'1. Väestöennuste'!R248*1000</f>
        <v>241.44634905406269</v>
      </c>
    </row>
    <row r="249" spans="1:67" x14ac:dyDescent="0.25">
      <c r="A249" s="30">
        <v>753</v>
      </c>
      <c r="B249" s="47" t="s">
        <v>563</v>
      </c>
      <c r="C249" s="47">
        <v>19.25</v>
      </c>
      <c r="D249" s="47">
        <v>19.25</v>
      </c>
      <c r="E249" s="47">
        <v>19.25</v>
      </c>
      <c r="F249" s="47">
        <v>19.25</v>
      </c>
      <c r="G249" s="47">
        <v>19.25</v>
      </c>
      <c r="H249" s="58">
        <v>19.25</v>
      </c>
      <c r="I249" s="139">
        <v>19.25</v>
      </c>
      <c r="J249" s="139">
        <v>19.25</v>
      </c>
      <c r="K249" s="139">
        <f t="shared" si="15"/>
        <v>6.6099999999999994</v>
      </c>
      <c r="L249" s="139">
        <v>6.6</v>
      </c>
      <c r="M249" s="139">
        <f t="shared" si="17"/>
        <v>6.6</v>
      </c>
      <c r="N249" s="147">
        <f t="shared" si="17"/>
        <v>6.6</v>
      </c>
      <c r="O249" s="147">
        <f t="shared" si="17"/>
        <v>6.6</v>
      </c>
      <c r="P249" s="147">
        <f t="shared" si="17"/>
        <v>6.6</v>
      </c>
      <c r="Q249" s="147"/>
      <c r="S249" s="41">
        <f>'3. Verotulot'!D249*100/'Veroposentin tuotto'!C249</f>
        <v>392202.43054545455</v>
      </c>
      <c r="T249" s="41">
        <f>'3. Verotulot'!I249*100/'Veroposentin tuotto'!D249</f>
        <v>416805.1948051948</v>
      </c>
      <c r="U249" s="41">
        <f>'3. Verotulot'!N249*100/'Veroposentin tuotto'!E249</f>
        <v>432540.25974025973</v>
      </c>
      <c r="V249" s="41">
        <f>'3. Verotulot'!S249*100/'Veroposentin tuotto'!F249</f>
        <v>440150.64935064933</v>
      </c>
      <c r="W249" s="41">
        <f>'3. Verotulot'!X249*100/'Veroposentin tuotto'!G249</f>
        <v>461501.29870129871</v>
      </c>
      <c r="X249" s="41">
        <f>'3. Verotulot'!AC249*100/'Veroposentin tuotto'!H249</f>
        <v>480961.03896103898</v>
      </c>
      <c r="Y249" s="41">
        <f>'3. Verotulot'!AH249*100/'Veroposentin tuotto'!I249</f>
        <v>507442.8904415585</v>
      </c>
      <c r="Z249" s="41">
        <f>'3. Verotulot'!AM249*100/'Veroposentin tuotto'!J249</f>
        <v>540222.62820779218</v>
      </c>
      <c r="AA249" s="41">
        <f>'3. Verotulot'!AR249*100/'Veroposentin tuotto'!K249</f>
        <v>677573.58033282903</v>
      </c>
      <c r="AB249" s="41">
        <f>'3. Verotulot'!AW249*100/'Veroposentin tuotto'!L249</f>
        <v>645958.43107914715</v>
      </c>
      <c r="AC249" s="41">
        <f>'3. Verotulot'!BB249*100/'Veroposentin tuotto'!M249</f>
        <v>695995.28947227472</v>
      </c>
      <c r="AD249" s="41">
        <f>'3. Verotulot'!BG249*100/'Veroposentin tuotto'!N249</f>
        <v>735862.37104499363</v>
      </c>
      <c r="AE249" s="41">
        <f>'3. Verotulot'!BL249*100/'Veroposentin tuotto'!O249</f>
        <v>772470.11059918767</v>
      </c>
      <c r="AF249" s="41">
        <f>'3. Verotulot'!BQ249*100/'Veroposentin tuotto'!P249</f>
        <v>811622.14661240333</v>
      </c>
      <c r="AI249" s="41">
        <f>'3. Verotulot'!D249/'Veroposentin tuotto'!C249</f>
        <v>3922.0243054545454</v>
      </c>
      <c r="AJ249" s="41">
        <f>'3. Verotulot'!I249/'Veroposentin tuotto'!D249</f>
        <v>4168.0519480519479</v>
      </c>
      <c r="AK249" s="41">
        <f>'3. Verotulot'!N249/'Veroposentin tuotto'!E249</f>
        <v>4325.4025974025972</v>
      </c>
      <c r="AL249" s="41">
        <f>'3. Verotulot'!S249/'Veroposentin tuotto'!F249</f>
        <v>4401.5064935064938</v>
      </c>
      <c r="AM249" s="41">
        <f>'3. Verotulot'!X249/'Veroposentin tuotto'!G249</f>
        <v>4615.0129870129867</v>
      </c>
      <c r="AN249" s="41">
        <f>'3. Verotulot'!AC249/'Veroposentin tuotto'!H249</f>
        <v>4809.6103896103896</v>
      </c>
      <c r="AO249" s="41">
        <f>'3. Verotulot'!AH249/'Veroposentin tuotto'!I249</f>
        <v>5074.4289044155848</v>
      </c>
      <c r="AP249" s="41">
        <f>'3. Verotulot'!AM249/'Veroposentin tuotto'!J249</f>
        <v>5402.2262820779224</v>
      </c>
      <c r="AQ249" s="41">
        <f>'3. Verotulot'!AR249/'Veroposentin tuotto'!K249</f>
        <v>6775.7358033282908</v>
      </c>
      <c r="AR249" s="41">
        <f>'3. Verotulot'!AW249/'Veroposentin tuotto'!L249</f>
        <v>6459.5843107914716</v>
      </c>
      <c r="AS249" s="41">
        <f>'3. Verotulot'!BB249/'Veroposentin tuotto'!M249</f>
        <v>6959.9528947227473</v>
      </c>
      <c r="AT249" s="41">
        <f>'3. Verotulot'!BG249/'Veroposentin tuotto'!N249</f>
        <v>7358.623710449936</v>
      </c>
      <c r="AU249" s="41">
        <f>'3. Verotulot'!BL249/'Veroposentin tuotto'!O249</f>
        <v>7724.7011059918777</v>
      </c>
      <c r="AV249" s="41">
        <f>'3. Verotulot'!BQ249/'Veroposentin tuotto'!P249</f>
        <v>8116.2214661240323</v>
      </c>
      <c r="AX249" s="146"/>
      <c r="AZ249" s="34">
        <v>753</v>
      </c>
      <c r="BA249" s="88" t="s">
        <v>563</v>
      </c>
      <c r="BB249" s="41">
        <f>AI249/'1. Väestöennuste'!E249*1000</f>
        <v>202.17662278749137</v>
      </c>
      <c r="BC249" s="41">
        <f>AJ249/'1. Väestöennuste'!F249*1000</f>
        <v>209.21854974660917</v>
      </c>
      <c r="BD249" s="41">
        <f>AK249/'1. Väestöennuste'!G249*1000</f>
        <v>212.96910868550452</v>
      </c>
      <c r="BE249" s="41">
        <f>AL249/'1. Väestöennuste'!H249*1000</f>
        <v>212.98299107260686</v>
      </c>
      <c r="BF249" s="41">
        <f>AM249/'1. Väestöennuste'!I249*1000</f>
        <v>217.99777926372164</v>
      </c>
      <c r="BG249" s="41">
        <f>AN249/'1. Väestöennuste'!J249*1000</f>
        <v>221.77389171440905</v>
      </c>
      <c r="BH249" s="41">
        <f>AO249/'1. Väestöennuste'!K249*1000</f>
        <v>228.68088798628142</v>
      </c>
      <c r="BI249" s="41">
        <f>AP249/'1. Väestöennuste'!L249*1000</f>
        <v>242.03522769166318</v>
      </c>
      <c r="BJ249" s="41">
        <f>AQ249/'1. Väestöennuste'!M249*1000</f>
        <v>299.87766334712506</v>
      </c>
      <c r="BK249" s="41">
        <f>AR249/'1. Väestöennuste'!N249*1000</f>
        <v>277.95113213388436</v>
      </c>
      <c r="BL249" s="41">
        <f>AS249/'1. Väestöennuste'!O249*1000</f>
        <v>294.86328142360389</v>
      </c>
      <c r="BM249" s="41">
        <f>AT249/'1. Väestöennuste'!P249*1000</f>
        <v>307.12118991861172</v>
      </c>
      <c r="BN249" s="41">
        <f>AU249/'1. Väestöennuste'!Q249*1000</f>
        <v>317.86277285786673</v>
      </c>
      <c r="BO249" s="41">
        <f>AV249/'1. Väestöennuste'!R249*1000</f>
        <v>329.51246259283153</v>
      </c>
    </row>
    <row r="250" spans="1:67" x14ac:dyDescent="0.25">
      <c r="A250" s="30">
        <v>755</v>
      </c>
      <c r="B250" s="47" t="s">
        <v>564</v>
      </c>
      <c r="C250" s="47">
        <v>21.5</v>
      </c>
      <c r="D250" s="47">
        <v>21.5</v>
      </c>
      <c r="E250" s="47">
        <v>21.5</v>
      </c>
      <c r="F250" s="47">
        <v>21.5</v>
      </c>
      <c r="G250" s="47">
        <v>21.5</v>
      </c>
      <c r="H250" s="58">
        <v>21.5</v>
      </c>
      <c r="I250" s="139">
        <v>21.5</v>
      </c>
      <c r="J250" s="139">
        <v>21.25</v>
      </c>
      <c r="K250" s="139">
        <f t="shared" si="15"/>
        <v>8.61</v>
      </c>
      <c r="L250" s="139">
        <v>8.6</v>
      </c>
      <c r="M250" s="139">
        <f t="shared" si="17"/>
        <v>8.6</v>
      </c>
      <c r="N250" s="147">
        <f t="shared" si="17"/>
        <v>8.6</v>
      </c>
      <c r="O250" s="147">
        <f t="shared" si="17"/>
        <v>8.6</v>
      </c>
      <c r="P250" s="147">
        <f t="shared" si="17"/>
        <v>8.6</v>
      </c>
      <c r="Q250" s="147"/>
      <c r="S250" s="41">
        <f>'3. Verotulot'!D250*100/'Veroposentin tuotto'!C250</f>
        <v>117053.41693023256</v>
      </c>
      <c r="T250" s="41">
        <f>'3. Verotulot'!I250*100/'Veroposentin tuotto'!D250</f>
        <v>124362.79069767441</v>
      </c>
      <c r="U250" s="41">
        <f>'3. Verotulot'!N250*100/'Veroposentin tuotto'!E250</f>
        <v>122911.62790697675</v>
      </c>
      <c r="V250" s="41">
        <f>'3. Verotulot'!S250*100/'Veroposentin tuotto'!F250</f>
        <v>121241.86046511628</v>
      </c>
      <c r="W250" s="41">
        <f>'3. Verotulot'!X250*100/'Veroposentin tuotto'!G250</f>
        <v>124525.58139534884</v>
      </c>
      <c r="X250" s="41">
        <f>'3. Verotulot'!AC250*100/'Veroposentin tuotto'!H250</f>
        <v>128065.11627906977</v>
      </c>
      <c r="Y250" s="41">
        <f>'3. Verotulot'!AH250*100/'Veroposentin tuotto'!I250</f>
        <v>131132.98302325583</v>
      </c>
      <c r="Z250" s="41">
        <f>'3. Verotulot'!AM250*100/'Veroposentin tuotto'!J250</f>
        <v>143582.98169411765</v>
      </c>
      <c r="AA250" s="41">
        <f>'3. Verotulot'!AR250*100/'Veroposentin tuotto'!K250</f>
        <v>175110.15342624858</v>
      </c>
      <c r="AB250" s="41">
        <f>'3. Verotulot'!AW250*100/'Veroposentin tuotto'!L250</f>
        <v>163105.75633504923</v>
      </c>
      <c r="AC250" s="41">
        <f>'3. Verotulot'!BB250*100/'Veroposentin tuotto'!M250</f>
        <v>174731.86075128042</v>
      </c>
      <c r="AD250" s="41">
        <f>'3. Verotulot'!BG250*100/'Veroposentin tuotto'!N250</f>
        <v>182857.02938938799</v>
      </c>
      <c r="AE250" s="41">
        <f>'3. Verotulot'!BL250*100/'Veroposentin tuotto'!O250</f>
        <v>189511.40430333005</v>
      </c>
      <c r="AF250" s="41">
        <f>'3. Verotulot'!BQ250*100/'Veroposentin tuotto'!P250</f>
        <v>196675.30550792723</v>
      </c>
      <c r="AI250" s="41">
        <f>'3. Verotulot'!D250/'Veroposentin tuotto'!C250</f>
        <v>1170.5341693023256</v>
      </c>
      <c r="AJ250" s="41">
        <f>'3. Verotulot'!I250/'Veroposentin tuotto'!D250</f>
        <v>1243.6279069767443</v>
      </c>
      <c r="AK250" s="41">
        <f>'3. Verotulot'!N250/'Veroposentin tuotto'!E250</f>
        <v>1229.1162790697674</v>
      </c>
      <c r="AL250" s="41">
        <f>'3. Verotulot'!S250/'Veroposentin tuotto'!F250</f>
        <v>1212.4186046511627</v>
      </c>
      <c r="AM250" s="41">
        <f>'3. Verotulot'!X250/'Veroposentin tuotto'!G250</f>
        <v>1245.2558139534883</v>
      </c>
      <c r="AN250" s="41">
        <f>'3. Verotulot'!AC250/'Veroposentin tuotto'!H250</f>
        <v>1280.6511627906978</v>
      </c>
      <c r="AO250" s="41">
        <f>'3. Verotulot'!AH250/'Veroposentin tuotto'!I250</f>
        <v>1311.3298302325582</v>
      </c>
      <c r="AP250" s="41">
        <f>'3. Verotulot'!AM250/'Veroposentin tuotto'!J250</f>
        <v>1435.8298169411764</v>
      </c>
      <c r="AQ250" s="41">
        <f>'3. Verotulot'!AR250/'Veroposentin tuotto'!K250</f>
        <v>1751.1015342624858</v>
      </c>
      <c r="AR250" s="41">
        <f>'3. Verotulot'!AW250/'Veroposentin tuotto'!L250</f>
        <v>1631.0575633504923</v>
      </c>
      <c r="AS250" s="41">
        <f>'3. Verotulot'!BB250/'Veroposentin tuotto'!M250</f>
        <v>1747.318607512804</v>
      </c>
      <c r="AT250" s="41">
        <f>'3. Verotulot'!BG250/'Veroposentin tuotto'!N250</f>
        <v>1828.5702938938798</v>
      </c>
      <c r="AU250" s="41">
        <f>'3. Verotulot'!BL250/'Veroposentin tuotto'!O250</f>
        <v>1895.1140430333003</v>
      </c>
      <c r="AV250" s="41">
        <f>'3. Verotulot'!BQ250/'Veroposentin tuotto'!P250</f>
        <v>1966.7530550792724</v>
      </c>
      <c r="AX250" s="146"/>
      <c r="AZ250" s="34">
        <v>755</v>
      </c>
      <c r="BA250" s="88" t="s">
        <v>564</v>
      </c>
      <c r="BB250" s="41">
        <f>AI250/'1. Väestöennuste'!E250*1000</f>
        <v>189.34554663576927</v>
      </c>
      <c r="BC250" s="41">
        <f>AJ250/'1. Väestöennuste'!F250*1000</f>
        <v>201.29943460290454</v>
      </c>
      <c r="BD250" s="41">
        <f>AK250/'1. Väestöennuste'!G250*1000</f>
        <v>199.98637798076268</v>
      </c>
      <c r="BE250" s="41">
        <f>AL250/'1. Väestöennuste'!H250*1000</f>
        <v>197.65546212115467</v>
      </c>
      <c r="BF250" s="41">
        <f>AM250/'1. Väestöennuste'!I250*1000</f>
        <v>202.6453724903968</v>
      </c>
      <c r="BG250" s="41">
        <f>AN250/'1. Väestöennuste'!J250*1000</f>
        <v>208.26982644181129</v>
      </c>
      <c r="BH250" s="41">
        <f>AO250/'1. Väestöennuste'!K250*1000</f>
        <v>211.57306070225204</v>
      </c>
      <c r="BI250" s="41">
        <f>AP250/'1. Väestöennuste'!L250*1000</f>
        <v>230.95219831770572</v>
      </c>
      <c r="BJ250" s="41">
        <f>AQ250/'1. Väestöennuste'!M250*1000</f>
        <v>284.36205493057582</v>
      </c>
      <c r="BK250" s="41">
        <f>AR250/'1. Väestöennuste'!N250*1000</f>
        <v>263.45623701348609</v>
      </c>
      <c r="BL250" s="41">
        <f>AS250/'1. Väestöennuste'!O250*1000</f>
        <v>281.82558185690385</v>
      </c>
      <c r="BM250" s="41">
        <f>AT250/'1. Väestöennuste'!P250*1000</f>
        <v>294.59808182598351</v>
      </c>
      <c r="BN250" s="41">
        <f>AU250/'1. Väestöennuste'!Q250*1000</f>
        <v>305.07309128031233</v>
      </c>
      <c r="BO250" s="41">
        <f>AV250/'1. Väestöennuste'!R250*1000</f>
        <v>316.35082114834682</v>
      </c>
    </row>
    <row r="251" spans="1:67" x14ac:dyDescent="0.25">
      <c r="A251" s="30">
        <v>758</v>
      </c>
      <c r="B251" s="47" t="s">
        <v>565</v>
      </c>
      <c r="C251" s="47">
        <v>20</v>
      </c>
      <c r="D251" s="47">
        <v>20</v>
      </c>
      <c r="E251" s="47">
        <v>20</v>
      </c>
      <c r="F251" s="47">
        <v>20</v>
      </c>
      <c r="G251" s="47">
        <v>20</v>
      </c>
      <c r="H251" s="58">
        <v>21</v>
      </c>
      <c r="I251" s="139">
        <v>21</v>
      </c>
      <c r="J251" s="139">
        <v>21</v>
      </c>
      <c r="K251" s="139">
        <f t="shared" si="15"/>
        <v>8.36</v>
      </c>
      <c r="L251" s="139">
        <v>8</v>
      </c>
      <c r="M251" s="139">
        <f t="shared" si="17"/>
        <v>8</v>
      </c>
      <c r="N251" s="147">
        <f t="shared" si="17"/>
        <v>8</v>
      </c>
      <c r="O251" s="147">
        <f t="shared" si="17"/>
        <v>8</v>
      </c>
      <c r="P251" s="147">
        <f t="shared" si="17"/>
        <v>8</v>
      </c>
      <c r="Q251" s="147"/>
      <c r="S251" s="41">
        <f>'3. Verotulot'!D251*100/'Veroposentin tuotto'!C251</f>
        <v>137118.87414999999</v>
      </c>
      <c r="T251" s="41">
        <f>'3. Verotulot'!I251*100/'Veroposentin tuotto'!D251</f>
        <v>137235</v>
      </c>
      <c r="U251" s="41">
        <f>'3. Verotulot'!N251*100/'Veroposentin tuotto'!E251</f>
        <v>131190</v>
      </c>
      <c r="V251" s="41">
        <f>'3. Verotulot'!S251*100/'Veroposentin tuotto'!F251</f>
        <v>129760</v>
      </c>
      <c r="W251" s="41">
        <f>'3. Verotulot'!X251*100/'Veroposentin tuotto'!G251</f>
        <v>133460</v>
      </c>
      <c r="X251" s="41">
        <f>'3. Verotulot'!AC251*100/'Veroposentin tuotto'!H251</f>
        <v>141042.85714285713</v>
      </c>
      <c r="Y251" s="41">
        <f>'3. Verotulot'!AH251*100/'Veroposentin tuotto'!I251</f>
        <v>140270.08761904761</v>
      </c>
      <c r="Z251" s="41">
        <f>'3. Verotulot'!AM251*100/'Veroposentin tuotto'!J251</f>
        <v>143148.59866666666</v>
      </c>
      <c r="AA251" s="41">
        <f>'3. Verotulot'!AR251*100/'Veroposentin tuotto'!K251</f>
        <v>187220.57224880383</v>
      </c>
      <c r="AB251" s="41">
        <f>'3. Verotulot'!AW251*100/'Veroposentin tuotto'!L251</f>
        <v>172242.88176605306</v>
      </c>
      <c r="AC251" s="41">
        <f>'3. Verotulot'!BB251*100/'Veroposentin tuotto'!M251</f>
        <v>178360.71547878708</v>
      </c>
      <c r="AD251" s="41">
        <f>'3. Verotulot'!BG251*100/'Veroposentin tuotto'!N251</f>
        <v>184919.53956109757</v>
      </c>
      <c r="AE251" s="41">
        <f>'3. Verotulot'!BL251*100/'Veroposentin tuotto'!O251</f>
        <v>190031.98554124343</v>
      </c>
      <c r="AF251" s="41">
        <f>'3. Verotulot'!BQ251*100/'Veroposentin tuotto'!P251</f>
        <v>195715.65185527262</v>
      </c>
      <c r="AI251" s="41">
        <f>'3. Verotulot'!D251/'Veroposentin tuotto'!C251</f>
        <v>1371.1887414999999</v>
      </c>
      <c r="AJ251" s="41">
        <f>'3. Verotulot'!I251/'Veroposentin tuotto'!D251</f>
        <v>1372.35</v>
      </c>
      <c r="AK251" s="41">
        <f>'3. Verotulot'!N251/'Veroposentin tuotto'!E251</f>
        <v>1311.9</v>
      </c>
      <c r="AL251" s="41">
        <f>'3. Verotulot'!S251/'Veroposentin tuotto'!F251</f>
        <v>1297.5999999999999</v>
      </c>
      <c r="AM251" s="41">
        <f>'3. Verotulot'!X251/'Veroposentin tuotto'!G251</f>
        <v>1334.6</v>
      </c>
      <c r="AN251" s="41">
        <f>'3. Verotulot'!AC251/'Veroposentin tuotto'!H251</f>
        <v>1410.4285714285713</v>
      </c>
      <c r="AO251" s="41">
        <f>'3. Verotulot'!AH251/'Veroposentin tuotto'!I251</f>
        <v>1402.700876190476</v>
      </c>
      <c r="AP251" s="41">
        <f>'3. Verotulot'!AM251/'Veroposentin tuotto'!J251</f>
        <v>1431.4859866666666</v>
      </c>
      <c r="AQ251" s="41">
        <f>'3. Verotulot'!AR251/'Veroposentin tuotto'!K251</f>
        <v>1872.2057224880384</v>
      </c>
      <c r="AR251" s="41">
        <f>'3. Verotulot'!AW251/'Veroposentin tuotto'!L251</f>
        <v>1722.4288176605305</v>
      </c>
      <c r="AS251" s="41">
        <f>'3. Verotulot'!BB251/'Veroposentin tuotto'!M251</f>
        <v>1783.6071547878707</v>
      </c>
      <c r="AT251" s="41">
        <f>'3. Verotulot'!BG251/'Veroposentin tuotto'!N251</f>
        <v>1849.1953956109755</v>
      </c>
      <c r="AU251" s="41">
        <f>'3. Verotulot'!BL251/'Veroposentin tuotto'!O251</f>
        <v>1900.3198554124342</v>
      </c>
      <c r="AV251" s="41">
        <f>'3. Verotulot'!BQ251/'Veroposentin tuotto'!P251</f>
        <v>1957.1565185527261</v>
      </c>
      <c r="AX251" s="146"/>
      <c r="AZ251" s="34">
        <v>758</v>
      </c>
      <c r="BA251" s="88" t="s">
        <v>565</v>
      </c>
      <c r="BB251" s="41">
        <f>AI251/'1. Väestöennuste'!E251*1000</f>
        <v>156.13627209063992</v>
      </c>
      <c r="BC251" s="41">
        <f>AJ251/'1. Väestöennuste'!F251*1000</f>
        <v>158.59817404368425</v>
      </c>
      <c r="BD251" s="41">
        <f>AK251/'1. Väestöennuste'!G251*1000</f>
        <v>153.52837916910474</v>
      </c>
      <c r="BE251" s="41">
        <f>AL251/'1. Väestöennuste'!H251*1000</f>
        <v>153.67124585504499</v>
      </c>
      <c r="BF251" s="41">
        <f>AM251/'1. Väestöennuste'!I251*1000</f>
        <v>160.73708298205466</v>
      </c>
      <c r="BG251" s="41">
        <f>AN251/'1. Väestöennuste'!J251*1000</f>
        <v>170.63011994054818</v>
      </c>
      <c r="BH251" s="41">
        <f>AO251/'1. Väestöennuste'!K251*1000</f>
        <v>171.33270748631685</v>
      </c>
      <c r="BI251" s="41">
        <f>AP251/'1. Väestöennuste'!L251*1000</f>
        <v>175.98795016801898</v>
      </c>
      <c r="BJ251" s="41">
        <f>AQ251/'1. Väestöennuste'!M251*1000</f>
        <v>230.39696314152576</v>
      </c>
      <c r="BK251" s="41">
        <f>AR251/'1. Väestöennuste'!N251*1000</f>
        <v>218.61007966246103</v>
      </c>
      <c r="BL251" s="41">
        <f>AS251/'1. Väestöennuste'!O251*1000</f>
        <v>228.72623169888055</v>
      </c>
      <c r="BM251" s="41">
        <f>AT251/'1. Väestöennuste'!P251*1000</f>
        <v>239.6262013231794</v>
      </c>
      <c r="BN251" s="41">
        <f>AU251/'1. Väestöennuste'!Q251*1000</f>
        <v>248.8958553257936</v>
      </c>
      <c r="BO251" s="41">
        <f>AV251/'1. Väestöennuste'!R251*1000</f>
        <v>258.98590956103294</v>
      </c>
    </row>
    <row r="252" spans="1:67" x14ac:dyDescent="0.25">
      <c r="A252" s="30">
        <v>759</v>
      </c>
      <c r="B252" s="47" t="s">
        <v>566</v>
      </c>
      <c r="C252" s="47">
        <v>21.5</v>
      </c>
      <c r="D252" s="47">
        <v>21.75</v>
      </c>
      <c r="E252" s="47">
        <v>21.75</v>
      </c>
      <c r="F252" s="47">
        <v>21.75</v>
      </c>
      <c r="G252" s="47">
        <v>21.75</v>
      </c>
      <c r="H252" s="58">
        <v>21.75</v>
      </c>
      <c r="I252" s="139">
        <v>21.749999999999996</v>
      </c>
      <c r="J252" s="139">
        <v>21.749999999999996</v>
      </c>
      <c r="K252" s="139">
        <f t="shared" si="15"/>
        <v>9.1099999999999959</v>
      </c>
      <c r="L252" s="139">
        <v>9.1</v>
      </c>
      <c r="M252" s="139">
        <f t="shared" si="17"/>
        <v>9.1</v>
      </c>
      <c r="N252" s="147">
        <f t="shared" si="17"/>
        <v>9.1</v>
      </c>
      <c r="O252" s="147">
        <f t="shared" si="17"/>
        <v>9.1</v>
      </c>
      <c r="P252" s="147">
        <f t="shared" si="17"/>
        <v>9.1</v>
      </c>
      <c r="Q252" s="147"/>
      <c r="S252" s="41">
        <f>'3. Verotulot'!D252*100/'Veroposentin tuotto'!C252</f>
        <v>23818.160372093025</v>
      </c>
      <c r="T252" s="41">
        <f>'3. Verotulot'!I252*100/'Veroposentin tuotto'!D252</f>
        <v>22096.551724137931</v>
      </c>
      <c r="U252" s="41">
        <f>'3. Verotulot'!N252*100/'Veroposentin tuotto'!E252</f>
        <v>23108.045977011494</v>
      </c>
      <c r="V252" s="41">
        <f>'3. Verotulot'!S252*100/'Veroposentin tuotto'!F252</f>
        <v>21701.149425287356</v>
      </c>
      <c r="W252" s="41">
        <f>'3. Verotulot'!X252*100/'Veroposentin tuotto'!G252</f>
        <v>22832.183908045976</v>
      </c>
      <c r="X252" s="41">
        <f>'3. Verotulot'!AC252*100/'Veroposentin tuotto'!H252</f>
        <v>23034.482758620688</v>
      </c>
      <c r="Y252" s="41">
        <f>'3. Verotulot'!AH252*100/'Veroposentin tuotto'!I252</f>
        <v>22193.66767816092</v>
      </c>
      <c r="Z252" s="41">
        <f>'3. Verotulot'!AM252*100/'Veroposentin tuotto'!J252</f>
        <v>23911.411724137932</v>
      </c>
      <c r="AA252" s="41">
        <f>'3. Verotulot'!AR252*100/'Veroposentin tuotto'!K252</f>
        <v>28339.060702524712</v>
      </c>
      <c r="AB252" s="41">
        <f>'3. Verotulot'!AW252*100/'Veroposentin tuotto'!L252</f>
        <v>27464.471425031701</v>
      </c>
      <c r="AC252" s="41">
        <f>'3. Verotulot'!BB252*100/'Veroposentin tuotto'!M252</f>
        <v>29102.199928915579</v>
      </c>
      <c r="AD252" s="41">
        <f>'3. Verotulot'!BG252*100/'Veroposentin tuotto'!N252</f>
        <v>30070.34656592071</v>
      </c>
      <c r="AE252" s="41">
        <f>'3. Verotulot'!BL252*100/'Veroposentin tuotto'!O252</f>
        <v>30554.601490025238</v>
      </c>
      <c r="AF252" s="41">
        <f>'3. Verotulot'!BQ252*100/'Veroposentin tuotto'!P252</f>
        <v>31322.672015658645</v>
      </c>
      <c r="AI252" s="41">
        <f>'3. Verotulot'!D252/'Veroposentin tuotto'!C252</f>
        <v>238.18160372093024</v>
      </c>
      <c r="AJ252" s="41">
        <f>'3. Verotulot'!I252/'Veroposentin tuotto'!D252</f>
        <v>220.9655172413793</v>
      </c>
      <c r="AK252" s="41">
        <f>'3. Verotulot'!N252/'Veroposentin tuotto'!E252</f>
        <v>231.08045977011494</v>
      </c>
      <c r="AL252" s="41">
        <f>'3. Verotulot'!S252/'Veroposentin tuotto'!F252</f>
        <v>217.01149425287358</v>
      </c>
      <c r="AM252" s="41">
        <f>'3. Verotulot'!X252/'Veroposentin tuotto'!G252</f>
        <v>228.32183908045977</v>
      </c>
      <c r="AN252" s="41">
        <f>'3. Verotulot'!AC252/'Veroposentin tuotto'!H252</f>
        <v>230.34482758620689</v>
      </c>
      <c r="AO252" s="41">
        <f>'3. Verotulot'!AH252/'Veroposentin tuotto'!I252</f>
        <v>221.93667678160921</v>
      </c>
      <c r="AP252" s="41">
        <f>'3. Verotulot'!AM252/'Veroposentin tuotto'!J252</f>
        <v>239.11411724137932</v>
      </c>
      <c r="AQ252" s="41">
        <f>'3. Verotulot'!AR252/'Veroposentin tuotto'!K252</f>
        <v>283.39060702524711</v>
      </c>
      <c r="AR252" s="41">
        <f>'3. Verotulot'!AW252/'Veroposentin tuotto'!L252</f>
        <v>274.64471425031701</v>
      </c>
      <c r="AS252" s="41">
        <f>'3. Verotulot'!BB252/'Veroposentin tuotto'!M252</f>
        <v>291.02199928915581</v>
      </c>
      <c r="AT252" s="41">
        <f>'3. Verotulot'!BG252/'Veroposentin tuotto'!N252</f>
        <v>300.70346565920715</v>
      </c>
      <c r="AU252" s="41">
        <f>'3. Verotulot'!BL252/'Veroposentin tuotto'!O252</f>
        <v>305.54601490025237</v>
      </c>
      <c r="AV252" s="41">
        <f>'3. Verotulot'!BQ252/'Veroposentin tuotto'!P252</f>
        <v>313.22672015658645</v>
      </c>
      <c r="AX252" s="146"/>
      <c r="AZ252" s="34">
        <v>759</v>
      </c>
      <c r="BA252" s="88" t="s">
        <v>566</v>
      </c>
      <c r="BB252" s="41">
        <f>AI252/'1. Väestöennuste'!E252*1000</f>
        <v>107.09604483854777</v>
      </c>
      <c r="BC252" s="41">
        <f>AJ252/'1. Väestöennuste'!F252*1000</f>
        <v>101.08212133640407</v>
      </c>
      <c r="BD252" s="41">
        <f>AK252/'1. Väestöennuste'!G252*1000</f>
        <v>109.30958361878663</v>
      </c>
      <c r="BE252" s="41">
        <f>AL252/'1. Väestöennuste'!H252*1000</f>
        <v>104.08225144022714</v>
      </c>
      <c r="BF252" s="41">
        <f>AM252/'1. Väestöennuste'!I252*1000</f>
        <v>111.26795276825524</v>
      </c>
      <c r="BG252" s="41">
        <f>AN252/'1. Väestöennuste'!J252*1000</f>
        <v>114.77071628610209</v>
      </c>
      <c r="BH252" s="41">
        <f>AO252/'1. Väestöennuste'!K252*1000</f>
        <v>111.13504095223296</v>
      </c>
      <c r="BI252" s="41">
        <f>AP252/'1. Väestöennuste'!L252*1000</f>
        <v>123.12776377002024</v>
      </c>
      <c r="BJ252" s="41">
        <f>AQ252/'1. Väestöennuste'!M252*1000</f>
        <v>151.30304699692852</v>
      </c>
      <c r="BK252" s="41">
        <f>AR252/'1. Väestöennuste'!N252*1000</f>
        <v>147.81739195388431</v>
      </c>
      <c r="BL252" s="41">
        <f>AS252/'1. Väestöennuste'!O252*1000</f>
        <v>159.20240661332375</v>
      </c>
      <c r="BM252" s="41">
        <f>AT252/'1. Väestöennuste'!P252*1000</f>
        <v>167.52282209426582</v>
      </c>
      <c r="BN252" s="41">
        <f>AU252/'1. Väestöennuste'!Q252*1000</f>
        <v>173.0158634769266</v>
      </c>
      <c r="BO252" s="41">
        <f>AV252/'1. Väestöennuste'!R252*1000</f>
        <v>180.32626376314707</v>
      </c>
    </row>
    <row r="253" spans="1:67" x14ac:dyDescent="0.25">
      <c r="A253" s="30">
        <v>761</v>
      </c>
      <c r="B253" s="47" t="s">
        <v>567</v>
      </c>
      <c r="C253" s="47">
        <v>19.5</v>
      </c>
      <c r="D253" s="47">
        <v>19.5</v>
      </c>
      <c r="E253" s="47">
        <v>19.5</v>
      </c>
      <c r="F253" s="47">
        <v>20</v>
      </c>
      <c r="G253" s="47">
        <v>20</v>
      </c>
      <c r="H253" s="58">
        <v>20.5</v>
      </c>
      <c r="I253" s="139">
        <v>20.5</v>
      </c>
      <c r="J253" s="139">
        <v>20.5</v>
      </c>
      <c r="K253" s="139">
        <f t="shared" si="15"/>
        <v>7.8599999999999994</v>
      </c>
      <c r="L253" s="139">
        <v>8.1999999999999993</v>
      </c>
      <c r="M253" s="139">
        <f t="shared" si="17"/>
        <v>8.1999999999999993</v>
      </c>
      <c r="N253" s="147">
        <f t="shared" si="17"/>
        <v>8.1999999999999993</v>
      </c>
      <c r="O253" s="147">
        <f t="shared" si="17"/>
        <v>8.1999999999999993</v>
      </c>
      <c r="P253" s="147">
        <f t="shared" si="17"/>
        <v>8.1999999999999993</v>
      </c>
      <c r="Q253" s="147"/>
      <c r="S253" s="41">
        <f>'3. Verotulot'!D253*100/'Veroposentin tuotto'!C253</f>
        <v>125069.49579487179</v>
      </c>
      <c r="T253" s="41">
        <f>'3. Verotulot'!I253*100/'Veroposentin tuotto'!D253</f>
        <v>120748.71794871795</v>
      </c>
      <c r="U253" s="41">
        <f>'3. Verotulot'!N253*100/'Veroposentin tuotto'!E253</f>
        <v>123317.94871794872</v>
      </c>
      <c r="V253" s="41">
        <f>'3. Verotulot'!S253*100/'Veroposentin tuotto'!F253</f>
        <v>118185</v>
      </c>
      <c r="W253" s="41">
        <f>'3. Verotulot'!X253*100/'Veroposentin tuotto'!G253</f>
        <v>121420</v>
      </c>
      <c r="X253" s="41">
        <f>'3. Verotulot'!AC253*100/'Veroposentin tuotto'!H253</f>
        <v>125619.51219512195</v>
      </c>
      <c r="Y253" s="41">
        <f>'3. Verotulot'!AH253*100/'Veroposentin tuotto'!I253</f>
        <v>128066.41624390244</v>
      </c>
      <c r="Z253" s="41">
        <f>'3. Verotulot'!AM253*100/'Veroposentin tuotto'!J253</f>
        <v>131519.89419512195</v>
      </c>
      <c r="AA253" s="41">
        <f>'3. Verotulot'!AR253*100/'Veroposentin tuotto'!K253</f>
        <v>165402.13244274809</v>
      </c>
      <c r="AB253" s="41">
        <f>'3. Verotulot'!AW253*100/'Veroposentin tuotto'!L253</f>
        <v>156223.91901816934</v>
      </c>
      <c r="AC253" s="41">
        <f>'3. Verotulot'!BB253*100/'Veroposentin tuotto'!M253</f>
        <v>163401.39996190905</v>
      </c>
      <c r="AD253" s="41">
        <f>'3. Verotulot'!BG253*100/'Veroposentin tuotto'!N253</f>
        <v>168921.02919982237</v>
      </c>
      <c r="AE253" s="41">
        <f>'3. Verotulot'!BL253*100/'Veroposentin tuotto'!O253</f>
        <v>173566.07706415362</v>
      </c>
      <c r="AF253" s="41">
        <f>'3. Verotulot'!BQ253*100/'Veroposentin tuotto'!P253</f>
        <v>179063.03603848221</v>
      </c>
      <c r="AI253" s="41">
        <f>'3. Verotulot'!D253/'Veroposentin tuotto'!C253</f>
        <v>1250.694957948718</v>
      </c>
      <c r="AJ253" s="41">
        <f>'3. Verotulot'!I253/'Veroposentin tuotto'!D253</f>
        <v>1207.4871794871794</v>
      </c>
      <c r="AK253" s="41">
        <f>'3. Verotulot'!N253/'Veroposentin tuotto'!E253</f>
        <v>1233.1794871794871</v>
      </c>
      <c r="AL253" s="41">
        <f>'3. Verotulot'!S253/'Veroposentin tuotto'!F253</f>
        <v>1181.8499999999999</v>
      </c>
      <c r="AM253" s="41">
        <f>'3. Verotulot'!X253/'Veroposentin tuotto'!G253</f>
        <v>1214.2</v>
      </c>
      <c r="AN253" s="41">
        <f>'3. Verotulot'!AC253/'Veroposentin tuotto'!H253</f>
        <v>1256.1951219512196</v>
      </c>
      <c r="AO253" s="41">
        <f>'3. Verotulot'!AH253/'Veroposentin tuotto'!I253</f>
        <v>1280.6641624390243</v>
      </c>
      <c r="AP253" s="41">
        <f>'3. Verotulot'!AM253/'Veroposentin tuotto'!J253</f>
        <v>1315.1989419512195</v>
      </c>
      <c r="AQ253" s="41">
        <f>'3. Verotulot'!AR253/'Veroposentin tuotto'!K253</f>
        <v>1654.021324427481</v>
      </c>
      <c r="AR253" s="41">
        <f>'3. Verotulot'!AW253/'Veroposentin tuotto'!L253</f>
        <v>1562.2391901816932</v>
      </c>
      <c r="AS253" s="41">
        <f>'3. Verotulot'!BB253/'Veroposentin tuotto'!M253</f>
        <v>1634.0139996190903</v>
      </c>
      <c r="AT253" s="41">
        <f>'3. Verotulot'!BG253/'Veroposentin tuotto'!N253</f>
        <v>1689.2102919982237</v>
      </c>
      <c r="AU253" s="41">
        <f>'3. Verotulot'!BL253/'Veroposentin tuotto'!O253</f>
        <v>1735.6607706415361</v>
      </c>
      <c r="AV253" s="41">
        <f>'3. Verotulot'!BQ253/'Veroposentin tuotto'!P253</f>
        <v>1790.6303603848223</v>
      </c>
      <c r="AX253" s="146"/>
      <c r="AZ253" s="34">
        <v>761</v>
      </c>
      <c r="BA253" s="88" t="s">
        <v>567</v>
      </c>
      <c r="BB253" s="41">
        <f>AI253/'1. Väestöennuste'!E253*1000</f>
        <v>137.54481006804335</v>
      </c>
      <c r="BC253" s="41">
        <f>AJ253/'1. Väestöennuste'!F253*1000</f>
        <v>133.76395031429928</v>
      </c>
      <c r="BD253" s="41">
        <f>AK253/'1. Väestöennuste'!G253*1000</f>
        <v>138.26432191719778</v>
      </c>
      <c r="BE253" s="41">
        <f>AL253/'1. Väestöennuste'!H253*1000</f>
        <v>133.87516991391027</v>
      </c>
      <c r="BF253" s="41">
        <f>AM253/'1. Väestöennuste'!I253*1000</f>
        <v>139.38698197681094</v>
      </c>
      <c r="BG253" s="41">
        <f>AN253/'1. Väestöennuste'!J253*1000</f>
        <v>145.29205666796432</v>
      </c>
      <c r="BH253" s="41">
        <f>AO253/'1. Väestöennuste'!K253*1000</f>
        <v>149.5578842040201</v>
      </c>
      <c r="BI253" s="41">
        <f>AP253/'1. Väestöennuste'!L253*1000</f>
        <v>156.08817255533106</v>
      </c>
      <c r="BJ253" s="41">
        <f>AQ253/'1. Väestöennuste'!M253*1000</f>
        <v>196.6731658058836</v>
      </c>
      <c r="BK253" s="41">
        <f>AR253/'1. Väestöennuste'!N253*1000</f>
        <v>188.51685654418887</v>
      </c>
      <c r="BL253" s="41">
        <f>AS253/'1. Väestöennuste'!O253*1000</f>
        <v>198.9788114489881</v>
      </c>
      <c r="BM253" s="41">
        <f>AT253/'1. Väestöennuste'!P253*1000</f>
        <v>207.49420120356513</v>
      </c>
      <c r="BN253" s="41">
        <f>AU253/'1. Väestöennuste'!Q253*1000</f>
        <v>214.96913186048255</v>
      </c>
      <c r="BO253" s="41">
        <f>AV253/'1. Väestöennuste'!R253*1000</f>
        <v>223.43777893496662</v>
      </c>
    </row>
    <row r="254" spans="1:67" x14ac:dyDescent="0.25">
      <c r="A254" s="30">
        <v>762</v>
      </c>
      <c r="B254" s="47" t="s">
        <v>568</v>
      </c>
      <c r="C254" s="47">
        <v>20.5</v>
      </c>
      <c r="D254" s="47">
        <v>20.5</v>
      </c>
      <c r="E254" s="47">
        <v>20.5</v>
      </c>
      <c r="F254" s="47">
        <v>20.5</v>
      </c>
      <c r="G254" s="47">
        <v>20.5</v>
      </c>
      <c r="H254" s="58">
        <v>21.25</v>
      </c>
      <c r="I254" s="139">
        <v>21.25</v>
      </c>
      <c r="J254" s="139">
        <v>21.25</v>
      </c>
      <c r="K254" s="139">
        <f t="shared" si="15"/>
        <v>8.61</v>
      </c>
      <c r="L254" s="139">
        <v>8.6</v>
      </c>
      <c r="M254" s="139">
        <f t="shared" si="17"/>
        <v>8.6</v>
      </c>
      <c r="N254" s="147">
        <f t="shared" si="17"/>
        <v>8.6</v>
      </c>
      <c r="O254" s="147">
        <f t="shared" si="17"/>
        <v>8.6</v>
      </c>
      <c r="P254" s="147">
        <f t="shared" si="17"/>
        <v>8.6</v>
      </c>
      <c r="Q254" s="147"/>
      <c r="S254" s="41">
        <f>'3. Verotulot'!D254*100/'Veroposentin tuotto'!C254</f>
        <v>51831.881902439018</v>
      </c>
      <c r="T254" s="41">
        <f>'3. Verotulot'!I254*100/'Veroposentin tuotto'!D254</f>
        <v>46843.902439024387</v>
      </c>
      <c r="U254" s="41">
        <f>'3. Verotulot'!N254*100/'Veroposentin tuotto'!E254</f>
        <v>48570.731707317071</v>
      </c>
      <c r="V254" s="41">
        <f>'3. Verotulot'!S254*100/'Veroposentin tuotto'!F254</f>
        <v>45931.707317073167</v>
      </c>
      <c r="W254" s="41">
        <f>'3. Verotulot'!X254*100/'Veroposentin tuotto'!G254</f>
        <v>47736.585365853658</v>
      </c>
      <c r="X254" s="41">
        <f>'3. Verotulot'!AC254*100/'Veroposentin tuotto'!H254</f>
        <v>47524.705882352944</v>
      </c>
      <c r="Y254" s="41">
        <f>'3. Verotulot'!AH254*100/'Veroposentin tuotto'!I254</f>
        <v>48227.604941176476</v>
      </c>
      <c r="Z254" s="41">
        <f>'3. Verotulot'!AM254*100/'Veroposentin tuotto'!J254</f>
        <v>49868.491764705883</v>
      </c>
      <c r="AA254" s="41">
        <f>'3. Verotulot'!AR254*100/'Veroposentin tuotto'!K254</f>
        <v>61106.882113821128</v>
      </c>
      <c r="AB254" s="41">
        <f>'3. Verotulot'!AW254*100/'Veroposentin tuotto'!L254</f>
        <v>58309.749641006354</v>
      </c>
      <c r="AC254" s="41">
        <f>'3. Verotulot'!BB254*100/'Veroposentin tuotto'!M254</f>
        <v>60077.850227448202</v>
      </c>
      <c r="AD254" s="41">
        <f>'3. Verotulot'!BG254*100/'Veroposentin tuotto'!N254</f>
        <v>61473.787873667156</v>
      </c>
      <c r="AE254" s="41">
        <f>'3. Verotulot'!BL254*100/'Veroposentin tuotto'!O254</f>
        <v>62654.636157189947</v>
      </c>
      <c r="AF254" s="41">
        <f>'3. Verotulot'!BQ254*100/'Veroposentin tuotto'!P254</f>
        <v>64187.492135665962</v>
      </c>
      <c r="AI254" s="41">
        <f>'3. Verotulot'!D254/'Veroposentin tuotto'!C254</f>
        <v>518.31881902439022</v>
      </c>
      <c r="AJ254" s="41">
        <f>'3. Verotulot'!I254/'Veroposentin tuotto'!D254</f>
        <v>468.4390243902439</v>
      </c>
      <c r="AK254" s="41">
        <f>'3. Verotulot'!N254/'Veroposentin tuotto'!E254</f>
        <v>485.70731707317071</v>
      </c>
      <c r="AL254" s="41">
        <f>'3. Verotulot'!S254/'Veroposentin tuotto'!F254</f>
        <v>459.3170731707317</v>
      </c>
      <c r="AM254" s="41">
        <f>'3. Verotulot'!X254/'Veroposentin tuotto'!G254</f>
        <v>477.36585365853659</v>
      </c>
      <c r="AN254" s="41">
        <f>'3. Verotulot'!AC254/'Veroposentin tuotto'!H254</f>
        <v>475.24705882352941</v>
      </c>
      <c r="AO254" s="41">
        <f>'3. Verotulot'!AH254/'Veroposentin tuotto'!I254</f>
        <v>482.27604941176475</v>
      </c>
      <c r="AP254" s="41">
        <f>'3. Verotulot'!AM254/'Veroposentin tuotto'!J254</f>
        <v>498.68491764705885</v>
      </c>
      <c r="AQ254" s="41">
        <f>'3. Verotulot'!AR254/'Veroposentin tuotto'!K254</f>
        <v>611.06882113821132</v>
      </c>
      <c r="AR254" s="41">
        <f>'3. Verotulot'!AW254/'Veroposentin tuotto'!L254</f>
        <v>583.09749641006363</v>
      </c>
      <c r="AS254" s="41">
        <f>'3. Verotulot'!BB254/'Veroposentin tuotto'!M254</f>
        <v>600.77850227448198</v>
      </c>
      <c r="AT254" s="41">
        <f>'3. Verotulot'!BG254/'Veroposentin tuotto'!N254</f>
        <v>614.73787873667152</v>
      </c>
      <c r="AU254" s="41">
        <f>'3. Verotulot'!BL254/'Veroposentin tuotto'!O254</f>
        <v>626.54636157189952</v>
      </c>
      <c r="AV254" s="41">
        <f>'3. Verotulot'!BQ254/'Veroposentin tuotto'!P254</f>
        <v>641.87492135665968</v>
      </c>
      <c r="AX254" s="146"/>
      <c r="AZ254" s="34">
        <v>762</v>
      </c>
      <c r="BA254" s="88" t="s">
        <v>568</v>
      </c>
      <c r="BB254" s="41">
        <f>AI254/'1. Väestöennuste'!E254*1000</f>
        <v>121.15914423197526</v>
      </c>
      <c r="BC254" s="41">
        <f>AJ254/'1. Väestöennuste'!F254*1000</f>
        <v>111.55966286978897</v>
      </c>
      <c r="BD254" s="41">
        <f>AK254/'1. Väestöennuste'!G254*1000</f>
        <v>119.19197964985784</v>
      </c>
      <c r="BE254" s="41">
        <f>AL254/'1. Väestöennuste'!H254*1000</f>
        <v>115.78449033797118</v>
      </c>
      <c r="BF254" s="41">
        <f>AM254/'1. Väestöennuste'!I254*1000</f>
        <v>122.49572842148746</v>
      </c>
      <c r="BG254" s="41">
        <f>AN254/'1. Väestöennuste'!J254*1000</f>
        <v>123.73003353905999</v>
      </c>
      <c r="BH254" s="41">
        <f>AO254/'1. Väestöennuste'!K254*1000</f>
        <v>127.68759581990064</v>
      </c>
      <c r="BI254" s="41">
        <f>AP254/'1. Väestöennuste'!L254*1000</f>
        <v>135.80743944636677</v>
      </c>
      <c r="BJ254" s="41">
        <f>AQ254/'1. Väestöennuste'!M254*1000</f>
        <v>168.01452327143562</v>
      </c>
      <c r="BK254" s="41">
        <f>AR254/'1. Väestöennuste'!N254*1000</f>
        <v>163.97567390609214</v>
      </c>
      <c r="BL254" s="41">
        <f>AS254/'1. Väestöennuste'!O254*1000</f>
        <v>171.79825629810753</v>
      </c>
      <c r="BM254" s="41">
        <f>AT254/'1. Väestöennuste'!P254*1000</f>
        <v>178.59903507747575</v>
      </c>
      <c r="BN254" s="41">
        <f>AU254/'1. Väestöennuste'!Q254*1000</f>
        <v>184.76743189970495</v>
      </c>
      <c r="BO254" s="41">
        <f>AV254/'1. Väestöennuste'!R254*1000</f>
        <v>192.12059902923068</v>
      </c>
    </row>
    <row r="255" spans="1:67" x14ac:dyDescent="0.25">
      <c r="A255" s="30">
        <v>765</v>
      </c>
      <c r="B255" s="47" t="s">
        <v>569</v>
      </c>
      <c r="C255" s="47">
        <v>21.25</v>
      </c>
      <c r="D255" s="47">
        <v>21.25</v>
      </c>
      <c r="E255" s="47">
        <v>21.25</v>
      </c>
      <c r="F255" s="47">
        <v>21.25</v>
      </c>
      <c r="G255" s="47">
        <v>21.25</v>
      </c>
      <c r="H255" s="58">
        <v>19.75</v>
      </c>
      <c r="I255" s="139">
        <v>19.75</v>
      </c>
      <c r="J255" s="139">
        <v>19.75</v>
      </c>
      <c r="K255" s="139">
        <f t="shared" si="15"/>
        <v>7.1099999999999994</v>
      </c>
      <c r="L255" s="139">
        <v>7.5</v>
      </c>
      <c r="M255" s="139">
        <f t="shared" ref="M255:P274" si="18">L255</f>
        <v>7.5</v>
      </c>
      <c r="N255" s="147">
        <f t="shared" si="18"/>
        <v>7.5</v>
      </c>
      <c r="O255" s="147">
        <f t="shared" si="18"/>
        <v>7.5</v>
      </c>
      <c r="P255" s="147">
        <f t="shared" si="18"/>
        <v>7.5</v>
      </c>
      <c r="Q255" s="147"/>
      <c r="S255" s="41">
        <f>'3. Verotulot'!D255*100/'Veroposentin tuotto'!C255</f>
        <v>149624.70371764706</v>
      </c>
      <c r="T255" s="41">
        <f>'3. Verotulot'!I255*100/'Veroposentin tuotto'!D255</f>
        <v>151397.64705882352</v>
      </c>
      <c r="U255" s="41">
        <f>'3. Verotulot'!N255*100/'Veroposentin tuotto'!E255</f>
        <v>156536.4705882353</v>
      </c>
      <c r="V255" s="41">
        <f>'3. Verotulot'!S255*100/'Veroposentin tuotto'!F255</f>
        <v>153054.11764705883</v>
      </c>
      <c r="W255" s="41">
        <f>'3. Verotulot'!X255*100/'Veroposentin tuotto'!G255</f>
        <v>157745.88235294117</v>
      </c>
      <c r="X255" s="41">
        <f>'3. Verotulot'!AC255*100/'Veroposentin tuotto'!H255</f>
        <v>162005.06329113923</v>
      </c>
      <c r="Y255" s="41">
        <f>'3. Verotulot'!AH255*100/'Veroposentin tuotto'!I255</f>
        <v>164908.02688607594</v>
      </c>
      <c r="Z255" s="41">
        <f>'3. Verotulot'!AM255*100/'Veroposentin tuotto'!J255</f>
        <v>178601.33802531642</v>
      </c>
      <c r="AA255" s="41">
        <f>'3. Verotulot'!AR255*100/'Veroposentin tuotto'!K255</f>
        <v>230913.30914205345</v>
      </c>
      <c r="AB255" s="41">
        <f>'3. Verotulot'!AW255*100/'Veroposentin tuotto'!L255</f>
        <v>210508.920528691</v>
      </c>
      <c r="AC255" s="41">
        <f>'3. Verotulot'!BB255*100/'Veroposentin tuotto'!M255</f>
        <v>223745.56497400001</v>
      </c>
      <c r="AD255" s="41">
        <f>'3. Verotulot'!BG255*100/'Veroposentin tuotto'!N255</f>
        <v>233223.76832243547</v>
      </c>
      <c r="AE255" s="41">
        <f>'3. Verotulot'!BL255*100/'Veroposentin tuotto'!O255</f>
        <v>241196.02502900449</v>
      </c>
      <c r="AF255" s="41">
        <f>'3. Verotulot'!BQ255*100/'Veroposentin tuotto'!P255</f>
        <v>249897.63109331331</v>
      </c>
      <c r="AI255" s="41">
        <f>'3. Verotulot'!D255/'Veroposentin tuotto'!C255</f>
        <v>1496.2470371764707</v>
      </c>
      <c r="AJ255" s="41">
        <f>'3. Verotulot'!I255/'Veroposentin tuotto'!D255</f>
        <v>1513.9764705882353</v>
      </c>
      <c r="AK255" s="41">
        <f>'3. Verotulot'!N255/'Veroposentin tuotto'!E255</f>
        <v>1565.3647058823528</v>
      </c>
      <c r="AL255" s="41">
        <f>'3. Verotulot'!S255/'Veroposentin tuotto'!F255</f>
        <v>1530.5411764705882</v>
      </c>
      <c r="AM255" s="41">
        <f>'3. Verotulot'!X255/'Veroposentin tuotto'!G255</f>
        <v>1577.4588235294118</v>
      </c>
      <c r="AN255" s="41">
        <f>'3. Verotulot'!AC255/'Veroposentin tuotto'!H255</f>
        <v>1620.0506329113923</v>
      </c>
      <c r="AO255" s="41">
        <f>'3. Verotulot'!AH255/'Veroposentin tuotto'!I255</f>
        <v>1649.0802688607594</v>
      </c>
      <c r="AP255" s="41">
        <f>'3. Verotulot'!AM255/'Veroposentin tuotto'!J255</f>
        <v>1786.0133802531643</v>
      </c>
      <c r="AQ255" s="41">
        <f>'3. Verotulot'!AR255/'Veroposentin tuotto'!K255</f>
        <v>2309.1330914205346</v>
      </c>
      <c r="AR255" s="41">
        <f>'3. Verotulot'!AW255/'Veroposentin tuotto'!L255</f>
        <v>2105.0892052869103</v>
      </c>
      <c r="AS255" s="41">
        <f>'3. Verotulot'!BB255/'Veroposentin tuotto'!M255</f>
        <v>2237.4556497399999</v>
      </c>
      <c r="AT255" s="41">
        <f>'3. Verotulot'!BG255/'Veroposentin tuotto'!N255</f>
        <v>2332.2376832243544</v>
      </c>
      <c r="AU255" s="41">
        <f>'3. Verotulot'!BL255/'Veroposentin tuotto'!O255</f>
        <v>2411.9602502900448</v>
      </c>
      <c r="AV255" s="41">
        <f>'3. Verotulot'!BQ255/'Veroposentin tuotto'!P255</f>
        <v>2498.9763109331329</v>
      </c>
      <c r="AX255" s="146"/>
      <c r="AZ255" s="34">
        <v>765</v>
      </c>
      <c r="BA255" s="88" t="s">
        <v>569</v>
      </c>
      <c r="BB255" s="41">
        <f>AI255/'1. Väestöennuste'!E255*1000</f>
        <v>142.18825783298212</v>
      </c>
      <c r="BC255" s="41">
        <f>AJ255/'1. Väestöennuste'!F255*1000</f>
        <v>144.58757239883823</v>
      </c>
      <c r="BD255" s="41">
        <f>AK255/'1. Väestöennuste'!G255*1000</f>
        <v>150.18370007506024</v>
      </c>
      <c r="BE255" s="41">
        <f>AL255/'1. Väestöennuste'!H255*1000</f>
        <v>147.32324347584833</v>
      </c>
      <c r="BF255" s="41">
        <f>AM255/'1. Väestöennuste'!I255*1000</f>
        <v>152.61792023310872</v>
      </c>
      <c r="BG255" s="41">
        <f>AN255/'1. Väestöennuste'!J255*1000</f>
        <v>157.27120016613847</v>
      </c>
      <c r="BH255" s="41">
        <f>AO255/'1. Väestöennuste'!K255*1000</f>
        <v>159.36222157525697</v>
      </c>
      <c r="BI255" s="41">
        <f>AP255/'1. Väestöennuste'!L255*1000</f>
        <v>172.4950145116056</v>
      </c>
      <c r="BJ255" s="41">
        <f>AQ255/'1. Väestöennuste'!M255*1000</f>
        <v>224.75502155154123</v>
      </c>
      <c r="BK255" s="41">
        <f>AR255/'1. Väestöennuste'!N255*1000</f>
        <v>208.4659541777491</v>
      </c>
      <c r="BL255" s="41">
        <f>AS255/'1. Väestöennuste'!O255*1000</f>
        <v>222.69888023688662</v>
      </c>
      <c r="BM255" s="41">
        <f>AT255/'1. Väestöennuste'!P255*1000</f>
        <v>233.24709303173861</v>
      </c>
      <c r="BN255" s="41">
        <f>AU255/'1. Väestöennuste'!Q255*1000</f>
        <v>242.43243042416773</v>
      </c>
      <c r="BO255" s="41">
        <f>AV255/'1. Väestöennuste'!R255*1000</f>
        <v>252.42184958920532</v>
      </c>
    </row>
    <row r="256" spans="1:67" x14ac:dyDescent="0.25">
      <c r="A256" s="30">
        <v>768</v>
      </c>
      <c r="B256" s="47" t="s">
        <v>570</v>
      </c>
      <c r="C256" s="47">
        <v>21.5</v>
      </c>
      <c r="D256" s="47">
        <v>21.5</v>
      </c>
      <c r="E256" s="47">
        <v>21.5</v>
      </c>
      <c r="F256" s="47">
        <v>21.5</v>
      </c>
      <c r="G256" s="47">
        <v>21.5</v>
      </c>
      <c r="H256" s="58">
        <v>21.5</v>
      </c>
      <c r="I256" s="139">
        <v>21</v>
      </c>
      <c r="J256" s="139">
        <v>21</v>
      </c>
      <c r="K256" s="139">
        <f t="shared" si="15"/>
        <v>8.36</v>
      </c>
      <c r="L256" s="139">
        <v>8.4</v>
      </c>
      <c r="M256" s="139">
        <f t="shared" si="18"/>
        <v>8.4</v>
      </c>
      <c r="N256" s="147">
        <f t="shared" si="18"/>
        <v>8.4</v>
      </c>
      <c r="O256" s="147">
        <f t="shared" si="18"/>
        <v>8.4</v>
      </c>
      <c r="P256" s="147">
        <f t="shared" si="18"/>
        <v>8.4</v>
      </c>
      <c r="Q256" s="147"/>
      <c r="S256" s="41">
        <f>'3. Verotulot'!D256*100/'Veroposentin tuotto'!C256</f>
        <v>31262.93562790698</v>
      </c>
      <c r="T256" s="41">
        <f>'3. Verotulot'!I256*100/'Veroposentin tuotto'!D256</f>
        <v>30195.348837209302</v>
      </c>
      <c r="U256" s="41">
        <f>'3. Verotulot'!N256*100/'Veroposentin tuotto'!E256</f>
        <v>31809.302325581397</v>
      </c>
      <c r="V256" s="41">
        <f>'3. Verotulot'!S256*100/'Veroposentin tuotto'!F256</f>
        <v>27897.674418604653</v>
      </c>
      <c r="W256" s="41">
        <f>'3. Verotulot'!X256*100/'Veroposentin tuotto'!G256</f>
        <v>29013.953488372092</v>
      </c>
      <c r="X256" s="41">
        <f>'3. Verotulot'!AC256*100/'Veroposentin tuotto'!H256</f>
        <v>30423.255813953489</v>
      </c>
      <c r="Y256" s="41">
        <f>'3. Verotulot'!AH256*100/'Veroposentin tuotto'!I256</f>
        <v>31392.941095238097</v>
      </c>
      <c r="Z256" s="41">
        <f>'3. Verotulot'!AM256*100/'Veroposentin tuotto'!J256</f>
        <v>31845.35538095238</v>
      </c>
      <c r="AA256" s="41">
        <f>'3. Verotulot'!AR256*100/'Veroposentin tuotto'!K256</f>
        <v>37965.471052631583</v>
      </c>
      <c r="AB256" s="41">
        <f>'3. Verotulot'!AW256*100/'Veroposentin tuotto'!L256</f>
        <v>36709.109713264523</v>
      </c>
      <c r="AC256" s="41">
        <f>'3. Verotulot'!BB256*100/'Veroposentin tuotto'!M256</f>
        <v>37407.278433886087</v>
      </c>
      <c r="AD256" s="41">
        <f>'3. Verotulot'!BG256*100/'Veroposentin tuotto'!N256</f>
        <v>38061.682844918207</v>
      </c>
      <c r="AE256" s="41">
        <f>'3. Verotulot'!BL256*100/'Veroposentin tuotto'!O256</f>
        <v>38668.138116558694</v>
      </c>
      <c r="AF256" s="41">
        <f>'3. Verotulot'!BQ256*100/'Veroposentin tuotto'!P256</f>
        <v>39510.067928904587</v>
      </c>
      <c r="AI256" s="41">
        <f>'3. Verotulot'!D256/'Veroposentin tuotto'!C256</f>
        <v>312.62935627906978</v>
      </c>
      <c r="AJ256" s="41">
        <f>'3. Verotulot'!I256/'Veroposentin tuotto'!D256</f>
        <v>301.95348837209303</v>
      </c>
      <c r="AK256" s="41">
        <f>'3. Verotulot'!N256/'Veroposentin tuotto'!E256</f>
        <v>318.09302325581393</v>
      </c>
      <c r="AL256" s="41">
        <f>'3. Verotulot'!S256/'Veroposentin tuotto'!F256</f>
        <v>278.97674418604652</v>
      </c>
      <c r="AM256" s="41">
        <f>'3. Verotulot'!X256/'Veroposentin tuotto'!G256</f>
        <v>290.13953488372096</v>
      </c>
      <c r="AN256" s="41">
        <f>'3. Verotulot'!AC256/'Veroposentin tuotto'!H256</f>
        <v>304.23255813953489</v>
      </c>
      <c r="AO256" s="41">
        <f>'3. Verotulot'!AH256/'Veroposentin tuotto'!I256</f>
        <v>313.92941095238098</v>
      </c>
      <c r="AP256" s="41">
        <f>'3. Verotulot'!AM256/'Veroposentin tuotto'!J256</f>
        <v>318.45355380952378</v>
      </c>
      <c r="AQ256" s="41">
        <f>'3. Verotulot'!AR256/'Veroposentin tuotto'!K256</f>
        <v>379.6547105263158</v>
      </c>
      <c r="AR256" s="41">
        <f>'3. Verotulot'!AW256/'Veroposentin tuotto'!L256</f>
        <v>367.0910971326453</v>
      </c>
      <c r="AS256" s="41">
        <f>'3. Verotulot'!BB256/'Veroposentin tuotto'!M256</f>
        <v>374.07278433886086</v>
      </c>
      <c r="AT256" s="41">
        <f>'3. Verotulot'!BG256/'Veroposentin tuotto'!N256</f>
        <v>380.61682844918209</v>
      </c>
      <c r="AU256" s="41">
        <f>'3. Verotulot'!BL256/'Veroposentin tuotto'!O256</f>
        <v>386.68138116558697</v>
      </c>
      <c r="AV256" s="41">
        <f>'3. Verotulot'!BQ256/'Veroposentin tuotto'!P256</f>
        <v>395.1006792890459</v>
      </c>
      <c r="AX256" s="146"/>
      <c r="AZ256" s="34">
        <v>768</v>
      </c>
      <c r="BA256" s="88" t="s">
        <v>570</v>
      </c>
      <c r="BB256" s="41">
        <f>AI256/'1. Väestöennuste'!E256*1000</f>
        <v>114.7684861523751</v>
      </c>
      <c r="BC256" s="41">
        <f>AJ256/'1. Väestöennuste'!F256*1000</f>
        <v>113.47368973021159</v>
      </c>
      <c r="BD256" s="41">
        <f>AK256/'1. Väestöennuste'!G256*1000</f>
        <v>122.91075087164371</v>
      </c>
      <c r="BE256" s="41">
        <f>AL256/'1. Väestöennuste'!H256*1000</f>
        <v>110.26748782057174</v>
      </c>
      <c r="BF256" s="41">
        <f>AM256/'1. Väestöennuste'!I256*1000</f>
        <v>116.42838478479973</v>
      </c>
      <c r="BG256" s="41">
        <f>AN256/'1. Väestöennuste'!J256*1000</f>
        <v>122.57556734066675</v>
      </c>
      <c r="BH256" s="41">
        <f>AO256/'1. Väestöennuste'!K256*1000</f>
        <v>129.18905800509506</v>
      </c>
      <c r="BI256" s="41">
        <f>AP256/'1. Väestöennuste'!L256*1000</f>
        <v>134.08570686716791</v>
      </c>
      <c r="BJ256" s="41">
        <f>AQ256/'1. Väestöennuste'!M256*1000</f>
        <v>160.32715816145094</v>
      </c>
      <c r="BK256" s="41">
        <f>AR256/'1. Väestöennuste'!N256*1000</f>
        <v>160.09206154934378</v>
      </c>
      <c r="BL256" s="41">
        <f>AS256/'1. Väestöennuste'!O256*1000</f>
        <v>165.9595316498939</v>
      </c>
      <c r="BM256" s="41">
        <f>AT256/'1. Väestöennuste'!P256*1000</f>
        <v>171.60361967952304</v>
      </c>
      <c r="BN256" s="41">
        <f>AU256/'1. Väestöennuste'!Q256*1000</f>
        <v>176.97088382864393</v>
      </c>
      <c r="BO256" s="41">
        <f>AV256/'1. Väestöennuste'!R256*1000</f>
        <v>183.17138585491233</v>
      </c>
    </row>
    <row r="257" spans="1:67" x14ac:dyDescent="0.25">
      <c r="A257" s="30">
        <v>777</v>
      </c>
      <c r="B257" s="47" t="s">
        <v>571</v>
      </c>
      <c r="C257" s="47">
        <v>20.5</v>
      </c>
      <c r="D257" s="47">
        <v>20.5</v>
      </c>
      <c r="E257" s="47">
        <v>20.5</v>
      </c>
      <c r="F257" s="47">
        <v>20.5</v>
      </c>
      <c r="G257" s="47">
        <v>21.5</v>
      </c>
      <c r="H257" s="58">
        <v>21.5</v>
      </c>
      <c r="I257" s="139">
        <v>21.5</v>
      </c>
      <c r="J257" s="139">
        <v>21.5</v>
      </c>
      <c r="K257" s="139">
        <f t="shared" si="15"/>
        <v>8.86</v>
      </c>
      <c r="L257" s="139">
        <v>8.9</v>
      </c>
      <c r="M257" s="139">
        <f t="shared" si="18"/>
        <v>8.9</v>
      </c>
      <c r="N257" s="147">
        <f t="shared" si="18"/>
        <v>8.9</v>
      </c>
      <c r="O257" s="147">
        <f t="shared" si="18"/>
        <v>8.9</v>
      </c>
      <c r="P257" s="147">
        <f t="shared" si="18"/>
        <v>8.9</v>
      </c>
      <c r="Q257" s="147"/>
      <c r="S257" s="41">
        <f>'3. Verotulot'!D257*100/'Veroposentin tuotto'!C257</f>
        <v>107149.9331707317</v>
      </c>
      <c r="T257" s="41">
        <f>'3. Verotulot'!I257*100/'Veroposentin tuotto'!D257</f>
        <v>104053.65853658537</v>
      </c>
      <c r="U257" s="41">
        <f>'3. Verotulot'!N257*100/'Veroposentin tuotto'!E257</f>
        <v>101443.90243902439</v>
      </c>
      <c r="V257" s="41">
        <f>'3. Verotulot'!S257*100/'Veroposentin tuotto'!F257</f>
        <v>98965.85365853658</v>
      </c>
      <c r="W257" s="41">
        <f>'3. Verotulot'!X257*100/'Veroposentin tuotto'!G257</f>
        <v>98190.69767441861</v>
      </c>
      <c r="X257" s="41">
        <f>'3. Verotulot'!AC257*100/'Veroposentin tuotto'!H257</f>
        <v>102753.48837209302</v>
      </c>
      <c r="Y257" s="41">
        <f>'3. Verotulot'!AH257*100/'Veroposentin tuotto'!I257</f>
        <v>102996.9246976744</v>
      </c>
      <c r="Z257" s="41">
        <f>'3. Verotulot'!AM257*100/'Veroposentin tuotto'!J257</f>
        <v>106283.06651162791</v>
      </c>
      <c r="AA257" s="41">
        <f>'3. Verotulot'!AR257*100/'Veroposentin tuotto'!K257</f>
        <v>127047.85338600451</v>
      </c>
      <c r="AB257" s="41">
        <f>'3. Verotulot'!AW257*100/'Veroposentin tuotto'!L257</f>
        <v>119661.93498242034</v>
      </c>
      <c r="AC257" s="41">
        <f>'3. Verotulot'!BB257*100/'Veroposentin tuotto'!M257</f>
        <v>124750.13825673804</v>
      </c>
      <c r="AD257" s="41">
        <f>'3. Verotulot'!BG257*100/'Veroposentin tuotto'!N257</f>
        <v>127313.26544635142</v>
      </c>
      <c r="AE257" s="41">
        <f>'3. Verotulot'!BL257*100/'Veroposentin tuotto'!O257</f>
        <v>129367.7713576457</v>
      </c>
      <c r="AF257" s="41">
        <f>'3. Verotulot'!BQ257*100/'Veroposentin tuotto'!P257</f>
        <v>131946.18923101458</v>
      </c>
      <c r="AI257" s="41">
        <f>'3. Verotulot'!D257/'Veroposentin tuotto'!C257</f>
        <v>1071.4993317073172</v>
      </c>
      <c r="AJ257" s="41">
        <f>'3. Verotulot'!I257/'Veroposentin tuotto'!D257</f>
        <v>1040.5365853658536</v>
      </c>
      <c r="AK257" s="41">
        <f>'3. Verotulot'!N257/'Veroposentin tuotto'!E257</f>
        <v>1014.439024390244</v>
      </c>
      <c r="AL257" s="41">
        <f>'3. Verotulot'!S257/'Veroposentin tuotto'!F257</f>
        <v>989.65853658536582</v>
      </c>
      <c r="AM257" s="41">
        <f>'3. Verotulot'!X257/'Veroposentin tuotto'!G257</f>
        <v>981.90697674418607</v>
      </c>
      <c r="AN257" s="41">
        <f>'3. Verotulot'!AC257/'Veroposentin tuotto'!H257</f>
        <v>1027.5348837209303</v>
      </c>
      <c r="AO257" s="41">
        <f>'3. Verotulot'!AH257/'Veroposentin tuotto'!I257</f>
        <v>1029.969246976744</v>
      </c>
      <c r="AP257" s="41">
        <f>'3. Verotulot'!AM257/'Veroposentin tuotto'!J257</f>
        <v>1062.8306651162791</v>
      </c>
      <c r="AQ257" s="41">
        <f>'3. Verotulot'!AR257/'Veroposentin tuotto'!K257</f>
        <v>1270.4785338600452</v>
      </c>
      <c r="AR257" s="41">
        <f>'3. Verotulot'!AW257/'Veroposentin tuotto'!L257</f>
        <v>1196.6193498242035</v>
      </c>
      <c r="AS257" s="41">
        <f>'3. Verotulot'!BB257/'Veroposentin tuotto'!M257</f>
        <v>1247.5013825673805</v>
      </c>
      <c r="AT257" s="41">
        <f>'3. Verotulot'!BG257/'Veroposentin tuotto'!N257</f>
        <v>1273.1326544635142</v>
      </c>
      <c r="AU257" s="41">
        <f>'3. Verotulot'!BL257/'Veroposentin tuotto'!O257</f>
        <v>1293.6777135764571</v>
      </c>
      <c r="AV257" s="41">
        <f>'3. Verotulot'!BQ257/'Veroposentin tuotto'!P257</f>
        <v>1319.4618923101459</v>
      </c>
      <c r="AX257" s="146"/>
      <c r="AZ257" s="34">
        <v>777</v>
      </c>
      <c r="BA257" s="88" t="s">
        <v>571</v>
      </c>
      <c r="BB257" s="41">
        <f>AI257/'1. Väestöennuste'!E257*1000</f>
        <v>128.53878739291233</v>
      </c>
      <c r="BC257" s="41">
        <f>AJ257/'1. Väestöennuste'!F257*1000</f>
        <v>127.09619950724974</v>
      </c>
      <c r="BD257" s="41">
        <f>AK257/'1. Väestöennuste'!G257*1000</f>
        <v>126.0016177357153</v>
      </c>
      <c r="BE257" s="41">
        <f>AL257/'1. Väestöennuste'!H257*1000</f>
        <v>125.8787250808148</v>
      </c>
      <c r="BF257" s="41">
        <f>AM257/'1. Väestöennuste'!I257*1000</f>
        <v>127.07479963041105</v>
      </c>
      <c r="BG257" s="41">
        <f>AN257/'1. Väestöennuste'!J257*1000</f>
        <v>135.30878110625895</v>
      </c>
      <c r="BH257" s="41">
        <f>AO257/'1. Väestöennuste'!K257*1000</f>
        <v>137.18290449876719</v>
      </c>
      <c r="BI257" s="41">
        <f>AP257/'1. Väestöennuste'!L257*1000</f>
        <v>144.26912788330111</v>
      </c>
      <c r="BJ257" s="41">
        <f>AQ257/'1. Väestöennuste'!M257*1000</f>
        <v>177.14424621584567</v>
      </c>
      <c r="BK257" s="41">
        <f>AR257/'1. Väestöennuste'!N257*1000</f>
        <v>170.14351625539646</v>
      </c>
      <c r="BL257" s="41">
        <f>AS257/'1. Väestöennuste'!O257*1000</f>
        <v>180.56178644773203</v>
      </c>
      <c r="BM257" s="41">
        <f>AT257/'1. Väestöennuste'!P257*1000</f>
        <v>187.47351707605864</v>
      </c>
      <c r="BN257" s="41">
        <f>AU257/'1. Väestöennuste'!Q257*1000</f>
        <v>193.72232907703759</v>
      </c>
      <c r="BO257" s="41">
        <f>AV257/'1. Väestöennuste'!R257*1000</f>
        <v>200.80077496730266</v>
      </c>
    </row>
    <row r="258" spans="1:67" x14ac:dyDescent="0.25">
      <c r="A258" s="30">
        <v>778</v>
      </c>
      <c r="B258" s="47" t="s">
        <v>572</v>
      </c>
      <c r="C258" s="47">
        <v>22</v>
      </c>
      <c r="D258" s="47">
        <v>22</v>
      </c>
      <c r="E258" s="47">
        <v>21.75</v>
      </c>
      <c r="F258" s="47">
        <v>21.75</v>
      </c>
      <c r="G258" s="47">
        <v>21.75</v>
      </c>
      <c r="H258" s="58">
        <v>21.75</v>
      </c>
      <c r="I258" s="139">
        <v>21.749999999999996</v>
      </c>
      <c r="J258" s="139">
        <v>21.749999999999996</v>
      </c>
      <c r="K258" s="139">
        <f t="shared" si="15"/>
        <v>9.1099999999999959</v>
      </c>
      <c r="L258" s="139">
        <v>9.1</v>
      </c>
      <c r="M258" s="139">
        <f t="shared" si="18"/>
        <v>9.1</v>
      </c>
      <c r="N258" s="147">
        <f t="shared" si="18"/>
        <v>9.1</v>
      </c>
      <c r="O258" s="147">
        <f t="shared" si="18"/>
        <v>9.1</v>
      </c>
      <c r="P258" s="147">
        <f t="shared" si="18"/>
        <v>9.1</v>
      </c>
      <c r="Q258" s="147"/>
      <c r="S258" s="41">
        <f>'3. Verotulot'!D258*100/'Veroposentin tuotto'!C258</f>
        <v>97181.980363636365</v>
      </c>
      <c r="T258" s="41">
        <f>'3. Verotulot'!I258*100/'Veroposentin tuotto'!D258</f>
        <v>95859.090909090912</v>
      </c>
      <c r="U258" s="41">
        <f>'3. Verotulot'!N258*100/'Veroposentin tuotto'!E258</f>
        <v>93126.436781609198</v>
      </c>
      <c r="V258" s="41">
        <f>'3. Verotulot'!S258*100/'Veroposentin tuotto'!F258</f>
        <v>91696.551724137928</v>
      </c>
      <c r="W258" s="41">
        <f>'3. Verotulot'!X258*100/'Veroposentin tuotto'!G258</f>
        <v>96689.655172413797</v>
      </c>
      <c r="X258" s="41">
        <f>'3. Verotulot'!AC258*100/'Veroposentin tuotto'!H258</f>
        <v>95213.793103448275</v>
      </c>
      <c r="Y258" s="41">
        <f>'3. Verotulot'!AH258*100/'Veroposentin tuotto'!I258</f>
        <v>98879.409793103448</v>
      </c>
      <c r="Z258" s="41">
        <f>'3. Verotulot'!AM258*100/'Veroposentin tuotto'!J258</f>
        <v>101416.8243218391</v>
      </c>
      <c r="AA258" s="41">
        <f>'3. Verotulot'!AR258*100/'Veroposentin tuotto'!K258</f>
        <v>123633.5906695939</v>
      </c>
      <c r="AB258" s="41">
        <f>'3. Verotulot'!AW258*100/'Veroposentin tuotto'!L258</f>
        <v>119320.27218655024</v>
      </c>
      <c r="AC258" s="41">
        <f>'3. Verotulot'!BB258*100/'Veroposentin tuotto'!M258</f>
        <v>125098.41365942582</v>
      </c>
      <c r="AD258" s="41">
        <f>'3. Verotulot'!BG258*100/'Veroposentin tuotto'!N258</f>
        <v>129611.47590914943</v>
      </c>
      <c r="AE258" s="41">
        <f>'3. Verotulot'!BL258*100/'Veroposentin tuotto'!O258</f>
        <v>133193.11030735259</v>
      </c>
      <c r="AF258" s="41">
        <f>'3. Verotulot'!BQ258*100/'Veroposentin tuotto'!P258</f>
        <v>137510.46474554003</v>
      </c>
      <c r="AI258" s="41">
        <f>'3. Verotulot'!D258/'Veroposentin tuotto'!C258</f>
        <v>971.81980363636364</v>
      </c>
      <c r="AJ258" s="41">
        <f>'3. Verotulot'!I258/'Veroposentin tuotto'!D258</f>
        <v>958.59090909090912</v>
      </c>
      <c r="AK258" s="41">
        <f>'3. Verotulot'!N258/'Veroposentin tuotto'!E258</f>
        <v>931.26436781609198</v>
      </c>
      <c r="AL258" s="41">
        <f>'3. Verotulot'!S258/'Veroposentin tuotto'!F258</f>
        <v>916.9655172413793</v>
      </c>
      <c r="AM258" s="41">
        <f>'3. Verotulot'!X258/'Veroposentin tuotto'!G258</f>
        <v>966.89655172413791</v>
      </c>
      <c r="AN258" s="41">
        <f>'3. Verotulot'!AC258/'Veroposentin tuotto'!H258</f>
        <v>952.13793103448279</v>
      </c>
      <c r="AO258" s="41">
        <f>'3. Verotulot'!AH258/'Veroposentin tuotto'!I258</f>
        <v>988.79409793103457</v>
      </c>
      <c r="AP258" s="41">
        <f>'3. Verotulot'!AM258/'Veroposentin tuotto'!J258</f>
        <v>1014.1682432183909</v>
      </c>
      <c r="AQ258" s="41">
        <f>'3. Verotulot'!AR258/'Veroposentin tuotto'!K258</f>
        <v>1236.335906695939</v>
      </c>
      <c r="AR258" s="41">
        <f>'3. Verotulot'!AW258/'Veroposentin tuotto'!L258</f>
        <v>1193.2027218655023</v>
      </c>
      <c r="AS258" s="41">
        <f>'3. Verotulot'!BB258/'Veroposentin tuotto'!M258</f>
        <v>1250.9841365942582</v>
      </c>
      <c r="AT258" s="41">
        <f>'3. Verotulot'!BG258/'Veroposentin tuotto'!N258</f>
        <v>1296.1147590914943</v>
      </c>
      <c r="AU258" s="41">
        <f>'3. Verotulot'!BL258/'Veroposentin tuotto'!O258</f>
        <v>1331.9311030735259</v>
      </c>
      <c r="AV258" s="41">
        <f>'3. Verotulot'!BQ258/'Veroposentin tuotto'!P258</f>
        <v>1375.1046474554003</v>
      </c>
      <c r="AX258" s="146"/>
      <c r="AZ258" s="34">
        <v>778</v>
      </c>
      <c r="BA258" s="88" t="s">
        <v>572</v>
      </c>
      <c r="BB258" s="41">
        <f>AI258/'1. Väestöennuste'!E258*1000</f>
        <v>131.50470955837127</v>
      </c>
      <c r="BC258" s="41">
        <f>AJ258/'1. Väestöennuste'!F258*1000</f>
        <v>131.0983190769843</v>
      </c>
      <c r="BD258" s="41">
        <f>AK258/'1. Väestöennuste'!G258*1000</f>
        <v>128.1674054247305</v>
      </c>
      <c r="BE258" s="41">
        <f>AL258/'1. Väestöennuste'!H258*1000</f>
        <v>128.33667141236941</v>
      </c>
      <c r="BF258" s="41">
        <f>AM258/'1. Väestöennuste'!I258*1000</f>
        <v>136.87663529503652</v>
      </c>
      <c r="BG258" s="41">
        <f>AN258/'1. Väestöennuste'!J258*1000</f>
        <v>137.37381778018798</v>
      </c>
      <c r="BH258" s="41">
        <f>AO258/'1. Väestöennuste'!K258*1000</f>
        <v>143.4906541766122</v>
      </c>
      <c r="BI258" s="41">
        <f>AP258/'1. Väestöennuste'!L258*1000</f>
        <v>149.95833849155565</v>
      </c>
      <c r="BJ258" s="41">
        <f>AQ258/'1. Väestöennuste'!M258*1000</f>
        <v>184.30767839832126</v>
      </c>
      <c r="BK258" s="41">
        <f>AR258/'1. Väestöennuste'!N258*1000</f>
        <v>181.77981746884558</v>
      </c>
      <c r="BL258" s="41">
        <f>AS258/'1. Väestöennuste'!O258*1000</f>
        <v>192.81506420996581</v>
      </c>
      <c r="BM258" s="41">
        <f>AT258/'1. Väestöennuste'!P258*1000</f>
        <v>202.01289886089373</v>
      </c>
      <c r="BN258" s="41">
        <f>AU258/'1. Väestöennuste'!Q258*1000</f>
        <v>209.78596677800061</v>
      </c>
      <c r="BO258" s="41">
        <f>AV258/'1. Väestöennuste'!R258*1000</f>
        <v>218.93084659375899</v>
      </c>
    </row>
    <row r="259" spans="1:67" x14ac:dyDescent="0.25">
      <c r="A259" s="30">
        <v>781</v>
      </c>
      <c r="B259" s="47" t="s">
        <v>573</v>
      </c>
      <c r="C259" s="47">
        <v>19</v>
      </c>
      <c r="D259" s="47">
        <v>19</v>
      </c>
      <c r="E259" s="47">
        <v>19</v>
      </c>
      <c r="F259" s="47">
        <v>19</v>
      </c>
      <c r="G259" s="47">
        <v>19</v>
      </c>
      <c r="H259" s="58">
        <v>19</v>
      </c>
      <c r="I259" s="139">
        <v>19</v>
      </c>
      <c r="J259" s="139">
        <v>19</v>
      </c>
      <c r="K259" s="139">
        <f t="shared" si="15"/>
        <v>6.3599999999999994</v>
      </c>
      <c r="L259" s="139">
        <v>6.4</v>
      </c>
      <c r="M259" s="139">
        <f t="shared" si="18"/>
        <v>6.4</v>
      </c>
      <c r="N259" s="147">
        <f t="shared" si="18"/>
        <v>6.4</v>
      </c>
      <c r="O259" s="147">
        <f t="shared" si="18"/>
        <v>6.4</v>
      </c>
      <c r="P259" s="147">
        <f t="shared" si="18"/>
        <v>6.4</v>
      </c>
      <c r="Q259" s="147"/>
      <c r="S259" s="41">
        <f>'3. Verotulot'!D259*100/'Veroposentin tuotto'!C259</f>
        <v>48789.384473684215</v>
      </c>
      <c r="T259" s="41">
        <f>'3. Verotulot'!I259*100/'Veroposentin tuotto'!D259</f>
        <v>45500</v>
      </c>
      <c r="U259" s="41">
        <f>'3. Verotulot'!N259*100/'Veroposentin tuotto'!E259</f>
        <v>47678.947368421053</v>
      </c>
      <c r="V259" s="41">
        <f>'3. Verotulot'!S259*100/'Veroposentin tuotto'!F259</f>
        <v>44436.84210526316</v>
      </c>
      <c r="W259" s="41">
        <f>'3. Verotulot'!X259*100/'Veroposentin tuotto'!G259</f>
        <v>44457.894736842107</v>
      </c>
      <c r="X259" s="41">
        <f>'3. Verotulot'!AC259*100/'Veroposentin tuotto'!H259</f>
        <v>48578.947368421053</v>
      </c>
      <c r="Y259" s="41">
        <f>'3. Verotulot'!AH259*100/'Veroposentin tuotto'!I259</f>
        <v>49454.563157894743</v>
      </c>
      <c r="Z259" s="41">
        <f>'3. Verotulot'!AM259*100/'Veroposentin tuotto'!J259</f>
        <v>50886.865947368417</v>
      </c>
      <c r="AA259" s="41">
        <f>'3. Verotulot'!AR259*100/'Veroposentin tuotto'!K259</f>
        <v>62541.319339622649</v>
      </c>
      <c r="AB259" s="41">
        <f>'3. Verotulot'!AW259*100/'Veroposentin tuotto'!L259</f>
        <v>58081.124413074926</v>
      </c>
      <c r="AC259" s="41">
        <f>'3. Verotulot'!BB259*100/'Veroposentin tuotto'!M259</f>
        <v>58803.561773992122</v>
      </c>
      <c r="AD259" s="41">
        <f>'3. Verotulot'!BG259*100/'Veroposentin tuotto'!N259</f>
        <v>59068.705692891708</v>
      </c>
      <c r="AE259" s="41">
        <f>'3. Verotulot'!BL259*100/'Veroposentin tuotto'!O259</f>
        <v>59999.66384993626</v>
      </c>
      <c r="AF259" s="41">
        <f>'3. Verotulot'!BQ259*100/'Veroposentin tuotto'!P259</f>
        <v>61246.807469855965</v>
      </c>
      <c r="AI259" s="41">
        <f>'3. Verotulot'!D259/'Veroposentin tuotto'!C259</f>
        <v>487.89384473684214</v>
      </c>
      <c r="AJ259" s="41">
        <f>'3. Verotulot'!I259/'Veroposentin tuotto'!D259</f>
        <v>455</v>
      </c>
      <c r="AK259" s="41">
        <f>'3. Verotulot'!N259/'Veroposentin tuotto'!E259</f>
        <v>476.78947368421052</v>
      </c>
      <c r="AL259" s="41">
        <f>'3. Verotulot'!S259/'Veroposentin tuotto'!F259</f>
        <v>444.36842105263156</v>
      </c>
      <c r="AM259" s="41">
        <f>'3. Verotulot'!X259/'Veroposentin tuotto'!G259</f>
        <v>444.57894736842104</v>
      </c>
      <c r="AN259" s="41">
        <f>'3. Verotulot'!AC259/'Veroposentin tuotto'!H259</f>
        <v>485.78947368421052</v>
      </c>
      <c r="AO259" s="41">
        <f>'3. Verotulot'!AH259/'Veroposentin tuotto'!I259</f>
        <v>494.54563157894739</v>
      </c>
      <c r="AP259" s="41">
        <f>'3. Verotulot'!AM259/'Veroposentin tuotto'!J259</f>
        <v>508.8686594736842</v>
      </c>
      <c r="AQ259" s="41">
        <f>'3. Verotulot'!AR259/'Veroposentin tuotto'!K259</f>
        <v>625.41319339622646</v>
      </c>
      <c r="AR259" s="41">
        <f>'3. Verotulot'!AW259/'Veroposentin tuotto'!L259</f>
        <v>580.81124413074929</v>
      </c>
      <c r="AS259" s="41">
        <f>'3. Verotulot'!BB259/'Veroposentin tuotto'!M259</f>
        <v>588.03561773992124</v>
      </c>
      <c r="AT259" s="41">
        <f>'3. Verotulot'!BG259/'Veroposentin tuotto'!N259</f>
        <v>590.68705692891706</v>
      </c>
      <c r="AU259" s="41">
        <f>'3. Verotulot'!BL259/'Veroposentin tuotto'!O259</f>
        <v>599.99663849936258</v>
      </c>
      <c r="AV259" s="41">
        <f>'3. Verotulot'!BQ259/'Veroposentin tuotto'!P259</f>
        <v>612.46807469855958</v>
      </c>
      <c r="AX259" s="146"/>
      <c r="AZ259" s="34">
        <v>781</v>
      </c>
      <c r="BA259" s="88" t="s">
        <v>573</v>
      </c>
      <c r="BB259" s="41">
        <f>AI259/'1. Väestöennuste'!E259*1000</f>
        <v>120.7658031526837</v>
      </c>
      <c r="BC259" s="41">
        <f>AJ259/'1. Väestöennuste'!F259*1000</f>
        <v>115.10245383253226</v>
      </c>
      <c r="BD259" s="41">
        <f>AK259/'1. Väestöennuste'!G259*1000</f>
        <v>123.55259748230384</v>
      </c>
      <c r="BE259" s="41">
        <f>AL259/'1. Väestöennuste'!H259*1000</f>
        <v>118.40352279579844</v>
      </c>
      <c r="BF259" s="41">
        <f>AM259/'1. Väestöennuste'!I259*1000</f>
        <v>121.56930472201833</v>
      </c>
      <c r="BG259" s="41">
        <f>AN259/'1. Väestöennuste'!J259*1000</f>
        <v>133.78944469408165</v>
      </c>
      <c r="BH259" s="41">
        <f>AO259/'1. Väestöennuste'!K259*1000</f>
        <v>137.98706238251881</v>
      </c>
      <c r="BI259" s="41">
        <f>AP259/'1. Väestöennuste'!L259*1000</f>
        <v>145.22507405070897</v>
      </c>
      <c r="BJ259" s="41">
        <f>AQ259/'1. Väestöennuste'!M259*1000</f>
        <v>178.89393403782222</v>
      </c>
      <c r="BK259" s="41">
        <f>AR259/'1. Väestöennuste'!N259*1000</f>
        <v>174.36542903955245</v>
      </c>
      <c r="BL259" s="41">
        <f>AS259/'1. Väestöennuste'!O259*1000</f>
        <v>179.82740603667315</v>
      </c>
      <c r="BM259" s="41">
        <f>AT259/'1. Väestöennuste'!P259*1000</f>
        <v>183.55719606243537</v>
      </c>
      <c r="BN259" s="41">
        <f>AU259/'1. Väestöennuste'!Q259*1000</f>
        <v>189.33311407363917</v>
      </c>
      <c r="BO259" s="41">
        <f>AV259/'1. Väestöennuste'!R259*1000</f>
        <v>196.05252071016633</v>
      </c>
    </row>
    <row r="260" spans="1:67" x14ac:dyDescent="0.25">
      <c r="A260" s="30">
        <v>783</v>
      </c>
      <c r="B260" s="47" t="s">
        <v>574</v>
      </c>
      <c r="C260" s="47">
        <v>20.5</v>
      </c>
      <c r="D260" s="47">
        <v>21.5</v>
      </c>
      <c r="E260" s="47">
        <v>21.5</v>
      </c>
      <c r="F260" s="47">
        <v>21.5</v>
      </c>
      <c r="G260" s="47">
        <v>21.5</v>
      </c>
      <c r="H260" s="58">
        <v>21.5</v>
      </c>
      <c r="I260" s="139">
        <v>21.5</v>
      </c>
      <c r="J260" s="139">
        <v>21.5</v>
      </c>
      <c r="K260" s="139">
        <f t="shared" si="15"/>
        <v>8.86</v>
      </c>
      <c r="L260" s="139">
        <v>8.9</v>
      </c>
      <c r="M260" s="139">
        <f t="shared" si="18"/>
        <v>8.9</v>
      </c>
      <c r="N260" s="147">
        <f t="shared" si="18"/>
        <v>8.9</v>
      </c>
      <c r="O260" s="147">
        <f t="shared" si="18"/>
        <v>8.9</v>
      </c>
      <c r="P260" s="147">
        <f t="shared" si="18"/>
        <v>8.9</v>
      </c>
      <c r="Q260" s="147"/>
      <c r="S260" s="41">
        <f>'3. Verotulot'!D260*100/'Veroposentin tuotto'!C260</f>
        <v>77356.572341463412</v>
      </c>
      <c r="T260" s="41">
        <f>'3. Verotulot'!I260*100/'Veroposentin tuotto'!D260</f>
        <v>115153.48837209302</v>
      </c>
      <c r="U260" s="41">
        <f>'3. Verotulot'!N260*100/'Veroposentin tuotto'!E260</f>
        <v>114362.79069767441</v>
      </c>
      <c r="V260" s="41">
        <f>'3. Verotulot'!S260*100/'Veroposentin tuotto'!F260</f>
        <v>112795.3488372093</v>
      </c>
      <c r="W260" s="41">
        <f>'3. Verotulot'!X260*100/'Veroposentin tuotto'!G260</f>
        <v>108209.30232558139</v>
      </c>
      <c r="X260" s="41">
        <f>'3. Verotulot'!AC260*100/'Veroposentin tuotto'!H260</f>
        <v>112065.11627906977</v>
      </c>
      <c r="Y260" s="41">
        <f>'3. Verotulot'!AH260*100/'Veroposentin tuotto'!I260</f>
        <v>116133.3972093023</v>
      </c>
      <c r="Z260" s="41">
        <f>'3. Verotulot'!AM260*100/'Veroposentin tuotto'!J260</f>
        <v>115907.67879069768</v>
      </c>
      <c r="AA260" s="41">
        <f>'3. Verotulot'!AR260*100/'Veroposentin tuotto'!K260</f>
        <v>141015.43939051917</v>
      </c>
      <c r="AB260" s="41">
        <f>'3. Verotulot'!AW260*100/'Veroposentin tuotto'!L260</f>
        <v>135320.67379100903</v>
      </c>
      <c r="AC260" s="41">
        <f>'3. Verotulot'!BB260*100/'Veroposentin tuotto'!M260</f>
        <v>141096.62603859036</v>
      </c>
      <c r="AD260" s="41">
        <f>'3. Verotulot'!BG260*100/'Veroposentin tuotto'!N260</f>
        <v>145524.74469146569</v>
      </c>
      <c r="AE260" s="41">
        <f>'3. Verotulot'!BL260*100/'Veroposentin tuotto'!O260</f>
        <v>148678.14806751191</v>
      </c>
      <c r="AF260" s="41">
        <f>'3. Verotulot'!BQ260*100/'Veroposentin tuotto'!P260</f>
        <v>152622.86968399855</v>
      </c>
      <c r="AI260" s="41">
        <f>'3. Verotulot'!D260/'Veroposentin tuotto'!C260</f>
        <v>773.56572341463414</v>
      </c>
      <c r="AJ260" s="41">
        <f>'3. Verotulot'!I260/'Veroposentin tuotto'!D260</f>
        <v>1151.5348837209303</v>
      </c>
      <c r="AK260" s="41">
        <f>'3. Verotulot'!N260/'Veroposentin tuotto'!E260</f>
        <v>1143.6279069767443</v>
      </c>
      <c r="AL260" s="41">
        <f>'3. Verotulot'!S260/'Veroposentin tuotto'!F260</f>
        <v>1127.953488372093</v>
      </c>
      <c r="AM260" s="41">
        <f>'3. Verotulot'!X260/'Veroposentin tuotto'!G260</f>
        <v>1082.0930232558139</v>
      </c>
      <c r="AN260" s="41">
        <f>'3. Verotulot'!AC260/'Veroposentin tuotto'!H260</f>
        <v>1120.6511627906978</v>
      </c>
      <c r="AO260" s="41">
        <f>'3. Verotulot'!AH260/'Veroposentin tuotto'!I260</f>
        <v>1161.3339720930232</v>
      </c>
      <c r="AP260" s="41">
        <f>'3. Verotulot'!AM260/'Veroposentin tuotto'!J260</f>
        <v>1159.0767879069767</v>
      </c>
      <c r="AQ260" s="41">
        <f>'3. Verotulot'!AR260/'Veroposentin tuotto'!K260</f>
        <v>1410.1543939051919</v>
      </c>
      <c r="AR260" s="41">
        <f>'3. Verotulot'!AW260/'Veroposentin tuotto'!L260</f>
        <v>1353.2067379100904</v>
      </c>
      <c r="AS260" s="41">
        <f>'3. Verotulot'!BB260/'Veroposentin tuotto'!M260</f>
        <v>1410.9662603859038</v>
      </c>
      <c r="AT260" s="41">
        <f>'3. Verotulot'!BG260/'Veroposentin tuotto'!N260</f>
        <v>1455.2474469146571</v>
      </c>
      <c r="AU260" s="41">
        <f>'3. Verotulot'!BL260/'Veroposentin tuotto'!O260</f>
        <v>1486.7814806751192</v>
      </c>
      <c r="AV260" s="41">
        <f>'3. Verotulot'!BQ260/'Veroposentin tuotto'!P260</f>
        <v>1526.2286968399858</v>
      </c>
      <c r="AX260" s="146"/>
      <c r="AZ260" s="34">
        <v>783</v>
      </c>
      <c r="BA260" s="88" t="s">
        <v>574</v>
      </c>
      <c r="BB260" s="41">
        <f>AI260/'1. Väestöennuste'!E260*1000</f>
        <v>109.41523669231034</v>
      </c>
      <c r="BC260" s="41">
        <f>AJ260/'1. Väestöennuste'!F260*1000</f>
        <v>164.78747620505584</v>
      </c>
      <c r="BD260" s="41">
        <f>AK260/'1. Väestöennuste'!G260*1000</f>
        <v>165.67114399199539</v>
      </c>
      <c r="BE260" s="41">
        <f>AL260/'1. Väestöennuste'!H260*1000</f>
        <v>165.6076183192032</v>
      </c>
      <c r="BF260" s="41">
        <f>AM260/'1. Väestöennuste'!I260*1000</f>
        <v>161.00178890876566</v>
      </c>
      <c r="BG260" s="41">
        <f>AN260/'1. Väestöennuste'!J260*1000</f>
        <v>168.62039765132377</v>
      </c>
      <c r="BH260" s="41">
        <f>AO260/'1. Väestöennuste'!K260*1000</f>
        <v>176.28020219991245</v>
      </c>
      <c r="BI260" s="41">
        <f>AP260/'1. Väestöennuste'!L260*1000</f>
        <v>180.5696818674212</v>
      </c>
      <c r="BJ260" s="41">
        <f>AQ260/'1. Väestöennuste'!M260*1000</f>
        <v>221.13131470992502</v>
      </c>
      <c r="BK260" s="41">
        <f>AR260/'1. Väestöennuste'!N260*1000</f>
        <v>213.91190924914486</v>
      </c>
      <c r="BL260" s="41">
        <f>AS260/'1. Väestöennuste'!O260*1000</f>
        <v>225.53808510004856</v>
      </c>
      <c r="BM260" s="41">
        <f>AT260/'1. Väestöennuste'!P260*1000</f>
        <v>235.2865718536228</v>
      </c>
      <c r="BN260" s="41">
        <f>AU260/'1. Väestöennuste'!Q260*1000</f>
        <v>243.01756794297469</v>
      </c>
      <c r="BO260" s="41">
        <f>AV260/'1. Väestöennuste'!R260*1000</f>
        <v>252.18583886979275</v>
      </c>
    </row>
    <row r="261" spans="1:67" x14ac:dyDescent="0.25">
      <c r="A261" s="30">
        <v>785</v>
      </c>
      <c r="B261" s="47" t="s">
        <v>575</v>
      </c>
      <c r="C261" s="47">
        <v>21.5</v>
      </c>
      <c r="D261" s="47">
        <v>21.5</v>
      </c>
      <c r="E261" s="47">
        <v>21.5</v>
      </c>
      <c r="F261" s="47">
        <v>21.5</v>
      </c>
      <c r="G261" s="47">
        <v>21.5</v>
      </c>
      <c r="H261" s="58">
        <v>21.5</v>
      </c>
      <c r="I261" s="139">
        <v>21.5</v>
      </c>
      <c r="J261" s="139">
        <v>21</v>
      </c>
      <c r="K261" s="139">
        <f t="shared" si="15"/>
        <v>8.36</v>
      </c>
      <c r="L261" s="139">
        <v>8.3000000000000007</v>
      </c>
      <c r="M261" s="139">
        <f t="shared" si="18"/>
        <v>8.3000000000000007</v>
      </c>
      <c r="N261" s="147">
        <f t="shared" si="18"/>
        <v>8.3000000000000007</v>
      </c>
      <c r="O261" s="147">
        <f t="shared" si="18"/>
        <v>8.3000000000000007</v>
      </c>
      <c r="P261" s="147">
        <f t="shared" si="18"/>
        <v>8.3000000000000007</v>
      </c>
      <c r="Q261" s="147"/>
      <c r="S261" s="41">
        <f>'3. Verotulot'!D261*100/'Veroposentin tuotto'!C261</f>
        <v>38572.465860465112</v>
      </c>
      <c r="T261" s="41">
        <f>'3. Verotulot'!I261*100/'Veroposentin tuotto'!D261</f>
        <v>37702.325581395351</v>
      </c>
      <c r="U261" s="41">
        <f>'3. Verotulot'!N261*100/'Veroposentin tuotto'!E261</f>
        <v>36976.744186046511</v>
      </c>
      <c r="V261" s="41">
        <f>'3. Verotulot'!S261*100/'Veroposentin tuotto'!F261</f>
        <v>34893.023255813954</v>
      </c>
      <c r="W261" s="41">
        <f>'3. Verotulot'!X261*100/'Veroposentin tuotto'!G261</f>
        <v>35479.069767441862</v>
      </c>
      <c r="X261" s="41">
        <f>'3. Verotulot'!AC261*100/'Veroposentin tuotto'!H261</f>
        <v>35558.139534883718</v>
      </c>
      <c r="Y261" s="41">
        <f>'3. Verotulot'!AH261*100/'Veroposentin tuotto'!I261</f>
        <v>36536.639860465119</v>
      </c>
      <c r="Z261" s="41">
        <f>'3. Verotulot'!AM261*100/'Veroposentin tuotto'!J261</f>
        <v>36020.598380952382</v>
      </c>
      <c r="AA261" s="41">
        <f>'3. Verotulot'!AR261*100/'Veroposentin tuotto'!K261</f>
        <v>45813.181818181823</v>
      </c>
      <c r="AB261" s="41">
        <f>'3. Verotulot'!AW261*100/'Veroposentin tuotto'!L261</f>
        <v>42072.672459806781</v>
      </c>
      <c r="AC261" s="41">
        <f>'3. Verotulot'!BB261*100/'Veroposentin tuotto'!M261</f>
        <v>42993.738721638758</v>
      </c>
      <c r="AD261" s="41">
        <f>'3. Verotulot'!BG261*100/'Veroposentin tuotto'!N261</f>
        <v>43552.02541110036</v>
      </c>
      <c r="AE261" s="41">
        <f>'3. Verotulot'!BL261*100/'Veroposentin tuotto'!O261</f>
        <v>44144.984021588083</v>
      </c>
      <c r="AF261" s="41">
        <f>'3. Verotulot'!BQ261*100/'Veroposentin tuotto'!P261</f>
        <v>44945.898429581175</v>
      </c>
      <c r="AI261" s="41">
        <f>'3. Verotulot'!D261/'Veroposentin tuotto'!C261</f>
        <v>385.72465860465115</v>
      </c>
      <c r="AJ261" s="41">
        <f>'3. Verotulot'!I261/'Veroposentin tuotto'!D261</f>
        <v>377.02325581395348</v>
      </c>
      <c r="AK261" s="41">
        <f>'3. Verotulot'!N261/'Veroposentin tuotto'!E261</f>
        <v>369.76744186046511</v>
      </c>
      <c r="AL261" s="41">
        <f>'3. Verotulot'!S261/'Veroposentin tuotto'!F261</f>
        <v>348.93023255813955</v>
      </c>
      <c r="AM261" s="41">
        <f>'3. Verotulot'!X261/'Veroposentin tuotto'!G261</f>
        <v>354.7906976744186</v>
      </c>
      <c r="AN261" s="41">
        <f>'3. Verotulot'!AC261/'Veroposentin tuotto'!H261</f>
        <v>355.58139534883719</v>
      </c>
      <c r="AO261" s="41">
        <f>'3. Verotulot'!AH261/'Veroposentin tuotto'!I261</f>
        <v>365.36639860465118</v>
      </c>
      <c r="AP261" s="41">
        <f>'3. Verotulot'!AM261/'Veroposentin tuotto'!J261</f>
        <v>360.20598380952384</v>
      </c>
      <c r="AQ261" s="41">
        <f>'3. Verotulot'!AR261/'Veroposentin tuotto'!K261</f>
        <v>458.13181818181823</v>
      </c>
      <c r="AR261" s="41">
        <f>'3. Verotulot'!AW261/'Veroposentin tuotto'!L261</f>
        <v>420.72672459806785</v>
      </c>
      <c r="AS261" s="41">
        <f>'3. Verotulot'!BB261/'Veroposentin tuotto'!M261</f>
        <v>429.93738721638755</v>
      </c>
      <c r="AT261" s="41">
        <f>'3. Verotulot'!BG261/'Veroposentin tuotto'!N261</f>
        <v>435.52025411100357</v>
      </c>
      <c r="AU261" s="41">
        <f>'3. Verotulot'!BL261/'Veroposentin tuotto'!O261</f>
        <v>441.44984021588084</v>
      </c>
      <c r="AV261" s="41">
        <f>'3. Verotulot'!BQ261/'Veroposentin tuotto'!P261</f>
        <v>449.45898429581172</v>
      </c>
      <c r="AX261" s="146"/>
      <c r="AZ261" s="34">
        <v>785</v>
      </c>
      <c r="BA261" s="88" t="s">
        <v>575</v>
      </c>
      <c r="BB261" s="41">
        <f>AI261/'1. Väestöennuste'!E261*1000</f>
        <v>125.47971978030293</v>
      </c>
      <c r="BC261" s="41">
        <f>AJ261/'1. Väestöennuste'!F261*1000</f>
        <v>124.02080783353733</v>
      </c>
      <c r="BD261" s="41">
        <f>AK261/'1. Väestöennuste'!G261*1000</f>
        <v>125.72847394099459</v>
      </c>
      <c r="BE261" s="41">
        <f>AL261/'1. Väestöennuste'!H261*1000</f>
        <v>121.62085484773075</v>
      </c>
      <c r="BF261" s="41">
        <f>AM261/'1. Väestöennuste'!I261*1000</f>
        <v>127.07403211834477</v>
      </c>
      <c r="BG261" s="41">
        <f>AN261/'1. Väestöennuste'!J261*1000</f>
        <v>129.91647619614074</v>
      </c>
      <c r="BH261" s="41">
        <f>AO261/'1. Väestöennuste'!K261*1000</f>
        <v>136.68776603241719</v>
      </c>
      <c r="BI261" s="41">
        <f>AP261/'1. Väestöennuste'!L261*1000</f>
        <v>137.16907228085449</v>
      </c>
      <c r="BJ261" s="41">
        <f>AQ261/'1. Väestöennuste'!M261*1000</f>
        <v>176.95319358123533</v>
      </c>
      <c r="BK261" s="41">
        <f>AR261/'1. Väestöennuste'!N261*1000</f>
        <v>168.69555918126215</v>
      </c>
      <c r="BL261" s="41">
        <f>AS261/'1. Väestöennuste'!O261*1000</f>
        <v>175.69979044396715</v>
      </c>
      <c r="BM261" s="41">
        <f>AT261/'1. Väestöennuste'!P261*1000</f>
        <v>181.24022226841595</v>
      </c>
      <c r="BN261" s="41">
        <f>AU261/'1. Väestöennuste'!Q261*1000</f>
        <v>186.89663006599528</v>
      </c>
      <c r="BO261" s="41">
        <f>AV261/'1. Väestöennuste'!R261*1000</f>
        <v>193.31569217024162</v>
      </c>
    </row>
    <row r="262" spans="1:67" x14ac:dyDescent="0.25">
      <c r="A262" s="30">
        <v>790</v>
      </c>
      <c r="B262" s="47" t="s">
        <v>576</v>
      </c>
      <c r="C262" s="47">
        <v>20.75</v>
      </c>
      <c r="D262" s="47">
        <v>20.75</v>
      </c>
      <c r="E262" s="47">
        <v>20.75</v>
      </c>
      <c r="F262" s="47">
        <v>20.75</v>
      </c>
      <c r="G262" s="47">
        <v>20.75</v>
      </c>
      <c r="H262" s="58">
        <v>20.75</v>
      </c>
      <c r="I262" s="139">
        <v>21.500000000000004</v>
      </c>
      <c r="J262" s="139">
        <v>21.500000000000004</v>
      </c>
      <c r="K262" s="139">
        <f t="shared" si="15"/>
        <v>8.860000000000003</v>
      </c>
      <c r="L262" s="139">
        <v>8.9</v>
      </c>
      <c r="M262" s="139">
        <f t="shared" si="18"/>
        <v>8.9</v>
      </c>
      <c r="N262" s="147">
        <f t="shared" si="18"/>
        <v>8.9</v>
      </c>
      <c r="O262" s="147">
        <f t="shared" si="18"/>
        <v>8.9</v>
      </c>
      <c r="P262" s="147">
        <f t="shared" si="18"/>
        <v>8.9</v>
      </c>
      <c r="Q262" s="147"/>
      <c r="S262" s="41">
        <f>'3. Verotulot'!D262*100/'Veroposentin tuotto'!C262</f>
        <v>349723.19551807223</v>
      </c>
      <c r="T262" s="41">
        <f>'3. Verotulot'!I262*100/'Veroposentin tuotto'!D262</f>
        <v>341527.7108433735</v>
      </c>
      <c r="U262" s="41">
        <f>'3. Verotulot'!N262*100/'Veroposentin tuotto'!E262</f>
        <v>347146.98795180721</v>
      </c>
      <c r="V262" s="41">
        <f>'3. Verotulot'!S262*100/'Veroposentin tuotto'!F262</f>
        <v>339975.90361445781</v>
      </c>
      <c r="W262" s="41">
        <f>'3. Verotulot'!X262*100/'Veroposentin tuotto'!G262</f>
        <v>343122.89156626508</v>
      </c>
      <c r="X262" s="41">
        <f>'3. Verotulot'!AC262*100/'Veroposentin tuotto'!H262</f>
        <v>348809.63855421689</v>
      </c>
      <c r="Y262" s="41">
        <f>'3. Verotulot'!AH262*100/'Veroposentin tuotto'!I262</f>
        <v>357372.27651162783</v>
      </c>
      <c r="Z262" s="41">
        <f>'3. Verotulot'!AM262*100/'Veroposentin tuotto'!J262</f>
        <v>379022.06539534876</v>
      </c>
      <c r="AA262" s="41">
        <f>'3. Verotulot'!AR262*100/'Veroposentin tuotto'!K262</f>
        <v>460895.15011286666</v>
      </c>
      <c r="AB262" s="41">
        <f>'3. Verotulot'!AW262*100/'Veroposentin tuotto'!L262</f>
        <v>440877.21596103406</v>
      </c>
      <c r="AC262" s="41">
        <f>'3. Verotulot'!BB262*100/'Veroposentin tuotto'!M262</f>
        <v>463486.33952583786</v>
      </c>
      <c r="AD262" s="41">
        <f>'3. Verotulot'!BG262*100/'Veroposentin tuotto'!N262</f>
        <v>480541.47009687172</v>
      </c>
      <c r="AE262" s="41">
        <f>'3. Verotulot'!BL262*100/'Veroposentin tuotto'!O262</f>
        <v>494805.1188490325</v>
      </c>
      <c r="AF262" s="41">
        <f>'3. Verotulot'!BQ262*100/'Veroposentin tuotto'!P262</f>
        <v>511240.36657995469</v>
      </c>
      <c r="AI262" s="41">
        <f>'3. Verotulot'!D262/'Veroposentin tuotto'!C262</f>
        <v>3497.2319551807223</v>
      </c>
      <c r="AJ262" s="41">
        <f>'3. Verotulot'!I262/'Veroposentin tuotto'!D262</f>
        <v>3415.2771084337351</v>
      </c>
      <c r="AK262" s="41">
        <f>'3. Verotulot'!N262/'Veroposentin tuotto'!E262</f>
        <v>3471.4698795180725</v>
      </c>
      <c r="AL262" s="41">
        <f>'3. Verotulot'!S262/'Veroposentin tuotto'!F262</f>
        <v>3399.7590361445782</v>
      </c>
      <c r="AM262" s="41">
        <f>'3. Verotulot'!X262/'Veroposentin tuotto'!G262</f>
        <v>3431.2289156626507</v>
      </c>
      <c r="AN262" s="41">
        <f>'3. Verotulot'!AC262/'Veroposentin tuotto'!H262</f>
        <v>3488.0963855421687</v>
      </c>
      <c r="AO262" s="41">
        <f>'3. Verotulot'!AH262/'Veroposentin tuotto'!I262</f>
        <v>3573.7227651162784</v>
      </c>
      <c r="AP262" s="41">
        <f>'3. Verotulot'!AM262/'Veroposentin tuotto'!J262</f>
        <v>3790.2206539534877</v>
      </c>
      <c r="AQ262" s="41">
        <f>'3. Verotulot'!AR262/'Veroposentin tuotto'!K262</f>
        <v>4608.9515011286667</v>
      </c>
      <c r="AR262" s="41">
        <f>'3. Verotulot'!AW262/'Veroposentin tuotto'!L262</f>
        <v>4408.7721596103411</v>
      </c>
      <c r="AS262" s="41">
        <f>'3. Verotulot'!BB262/'Veroposentin tuotto'!M262</f>
        <v>4634.8633952583787</v>
      </c>
      <c r="AT262" s="41">
        <f>'3. Verotulot'!BG262/'Veroposentin tuotto'!N262</f>
        <v>4805.4147009687176</v>
      </c>
      <c r="AU262" s="41">
        <f>'3. Verotulot'!BL262/'Veroposentin tuotto'!O262</f>
        <v>4948.0511884903244</v>
      </c>
      <c r="AV262" s="41">
        <f>'3. Verotulot'!BQ262/'Veroposentin tuotto'!P262</f>
        <v>5112.4036657995466</v>
      </c>
      <c r="AX262" s="146"/>
      <c r="AZ262" s="34">
        <v>790</v>
      </c>
      <c r="BA262" s="88" t="s">
        <v>576</v>
      </c>
      <c r="BB262" s="41">
        <f>AI262/'1. Väestöennuste'!E262*1000</f>
        <v>138.66899108567495</v>
      </c>
      <c r="BC262" s="41">
        <f>AJ262/'1. Väestöennuste'!F262*1000</f>
        <v>136.27312698243296</v>
      </c>
      <c r="BD262" s="41">
        <f>AK262/'1. Väestöennuste'!G262*1000</f>
        <v>139.86582915060728</v>
      </c>
      <c r="BE262" s="41">
        <f>AL262/'1. Väestöennuste'!H262*1000</f>
        <v>137.9156641168544</v>
      </c>
      <c r="BF262" s="41">
        <f>AM262/'1. Väestöennuste'!I262*1000</f>
        <v>141.33661142903367</v>
      </c>
      <c r="BG262" s="41">
        <f>AN262/'1. Väestöennuste'!J262*1000</f>
        <v>145.02313261026811</v>
      </c>
      <c r="BH262" s="41">
        <f>AO262/'1. Väestöennuste'!K262*1000</f>
        <v>148.91752500692886</v>
      </c>
      <c r="BI262" s="41">
        <f>AP262/'1. Väestöennuste'!L262*1000</f>
        <v>159.69582261538247</v>
      </c>
      <c r="BJ262" s="41">
        <f>AQ262/'1. Väestöennuste'!M262*1000</f>
        <v>196.00048909754059</v>
      </c>
      <c r="BK262" s="41">
        <f>AR262/'1. Väestöennuste'!N262*1000</f>
        <v>191.68574607001483</v>
      </c>
      <c r="BL262" s="41">
        <f>AS262/'1. Väestöennuste'!O262*1000</f>
        <v>203.54237386405421</v>
      </c>
      <c r="BM262" s="41">
        <f>AT262/'1. Väestöennuste'!P262*1000</f>
        <v>213.02485596988728</v>
      </c>
      <c r="BN262" s="41">
        <f>AU262/'1. Väestöennuste'!Q262*1000</f>
        <v>221.37940980226051</v>
      </c>
      <c r="BO262" s="41">
        <f>AV262/'1. Väestöennuste'!R262*1000</f>
        <v>230.7874533134501</v>
      </c>
    </row>
    <row r="263" spans="1:67" x14ac:dyDescent="0.25">
      <c r="A263" s="30">
        <v>791</v>
      </c>
      <c r="B263" s="47" t="s">
        <v>577</v>
      </c>
      <c r="C263" s="47">
        <v>22.25</v>
      </c>
      <c r="D263" s="47">
        <v>22.25</v>
      </c>
      <c r="E263" s="47">
        <v>22</v>
      </c>
      <c r="F263" s="47">
        <v>22</v>
      </c>
      <c r="G263" s="47">
        <v>22</v>
      </c>
      <c r="H263" s="58">
        <v>22</v>
      </c>
      <c r="I263" s="139">
        <v>22</v>
      </c>
      <c r="J263" s="139">
        <v>21.75</v>
      </c>
      <c r="K263" s="139">
        <f t="shared" si="15"/>
        <v>9.11</v>
      </c>
      <c r="L263" s="139">
        <v>9.1</v>
      </c>
      <c r="M263" s="139">
        <f t="shared" si="18"/>
        <v>9.1</v>
      </c>
      <c r="N263" s="147">
        <f t="shared" si="18"/>
        <v>9.1</v>
      </c>
      <c r="O263" s="147">
        <f t="shared" si="18"/>
        <v>9.1</v>
      </c>
      <c r="P263" s="147">
        <f t="shared" si="18"/>
        <v>9.1</v>
      </c>
      <c r="Q263" s="147"/>
      <c r="S263" s="41">
        <f>'3. Verotulot'!D263*100/'Veroposentin tuotto'!C263</f>
        <v>68421.554247191016</v>
      </c>
      <c r="T263" s="41">
        <f>'3. Verotulot'!I263*100/'Veroposentin tuotto'!D263</f>
        <v>62844.943820224718</v>
      </c>
      <c r="U263" s="41">
        <f>'3. Verotulot'!N263*100/'Veroposentin tuotto'!E263</f>
        <v>64418.181818181816</v>
      </c>
      <c r="V263" s="41">
        <f>'3. Verotulot'!S263*100/'Veroposentin tuotto'!F263</f>
        <v>61481.818181818184</v>
      </c>
      <c r="W263" s="41">
        <f>'3. Verotulot'!X263*100/'Veroposentin tuotto'!G263</f>
        <v>62450</v>
      </c>
      <c r="X263" s="41">
        <f>'3. Verotulot'!AC263*100/'Veroposentin tuotto'!H263</f>
        <v>63327.272727272728</v>
      </c>
      <c r="Y263" s="41">
        <f>'3. Verotulot'!AH263*100/'Veroposentin tuotto'!I263</f>
        <v>66794.906999999992</v>
      </c>
      <c r="Z263" s="41">
        <f>'3. Verotulot'!AM263*100/'Veroposentin tuotto'!J263</f>
        <v>64716.084000000003</v>
      </c>
      <c r="AA263" s="41">
        <f>'3. Verotulot'!AR263*100/'Veroposentin tuotto'!K263</f>
        <v>79879.076728869375</v>
      </c>
      <c r="AB263" s="41">
        <f>'3. Verotulot'!AW263*100/'Veroposentin tuotto'!L263</f>
        <v>77232.919674865348</v>
      </c>
      <c r="AC263" s="41">
        <f>'3. Verotulot'!BB263*100/'Veroposentin tuotto'!M263</f>
        <v>80328.454766175753</v>
      </c>
      <c r="AD263" s="41">
        <f>'3. Verotulot'!BG263*100/'Veroposentin tuotto'!N263</f>
        <v>82415.654206835141</v>
      </c>
      <c r="AE263" s="41">
        <f>'3. Verotulot'!BL263*100/'Veroposentin tuotto'!O263</f>
        <v>83841.132985203512</v>
      </c>
      <c r="AF263" s="41">
        <f>'3. Verotulot'!BQ263*100/'Veroposentin tuotto'!P263</f>
        <v>85764.013016887722</v>
      </c>
      <c r="AI263" s="41">
        <f>'3. Verotulot'!D263/'Veroposentin tuotto'!C263</f>
        <v>684.21554247191011</v>
      </c>
      <c r="AJ263" s="41">
        <f>'3. Verotulot'!I263/'Veroposentin tuotto'!D263</f>
        <v>628.44943820224717</v>
      </c>
      <c r="AK263" s="41">
        <f>'3. Verotulot'!N263/'Veroposentin tuotto'!E263</f>
        <v>644.18181818181813</v>
      </c>
      <c r="AL263" s="41">
        <f>'3. Verotulot'!S263/'Veroposentin tuotto'!F263</f>
        <v>614.81818181818187</v>
      </c>
      <c r="AM263" s="41">
        <f>'3. Verotulot'!X263/'Veroposentin tuotto'!G263</f>
        <v>624.5</v>
      </c>
      <c r="AN263" s="41">
        <f>'3. Verotulot'!AC263/'Veroposentin tuotto'!H263</f>
        <v>633.27272727272725</v>
      </c>
      <c r="AO263" s="41">
        <f>'3. Verotulot'!AH263/'Veroposentin tuotto'!I263</f>
        <v>667.94907000000001</v>
      </c>
      <c r="AP263" s="41">
        <f>'3. Verotulot'!AM263/'Veroposentin tuotto'!J263</f>
        <v>647.16084000000001</v>
      </c>
      <c r="AQ263" s="41">
        <f>'3. Verotulot'!AR263/'Veroposentin tuotto'!K263</f>
        <v>798.7907672886937</v>
      </c>
      <c r="AR263" s="41">
        <f>'3. Verotulot'!AW263/'Veroposentin tuotto'!L263</f>
        <v>772.32919674865343</v>
      </c>
      <c r="AS263" s="41">
        <f>'3. Verotulot'!BB263/'Veroposentin tuotto'!M263</f>
        <v>803.28454766175753</v>
      </c>
      <c r="AT263" s="41">
        <f>'3. Verotulot'!BG263/'Veroposentin tuotto'!N263</f>
        <v>824.15654206835154</v>
      </c>
      <c r="AU263" s="41">
        <f>'3. Verotulot'!BL263/'Veroposentin tuotto'!O263</f>
        <v>838.41132985203512</v>
      </c>
      <c r="AV263" s="41">
        <f>'3. Verotulot'!BQ263/'Veroposentin tuotto'!P263</f>
        <v>857.64013016887714</v>
      </c>
      <c r="AX263" s="146"/>
      <c r="AZ263" s="34">
        <v>791</v>
      </c>
      <c r="BA263" s="88" t="s">
        <v>577</v>
      </c>
      <c r="BB263" s="41">
        <f>AI263/'1. Väestöennuste'!E263*1000</f>
        <v>120.52413994573017</v>
      </c>
      <c r="BC263" s="41">
        <f>AJ263/'1. Väestöennuste'!F263*1000</f>
        <v>112.56482862300683</v>
      </c>
      <c r="BD263" s="41">
        <f>AK263/'1. Väestöennuste'!G263*1000</f>
        <v>118.26359797720178</v>
      </c>
      <c r="BE263" s="41">
        <f>AL263/'1. Väestöennuste'!H263*1000</f>
        <v>115.98154722093602</v>
      </c>
      <c r="BF263" s="41">
        <f>AM263/'1. Väestöennuste'!I263*1000</f>
        <v>119.38443892181228</v>
      </c>
      <c r="BG263" s="41">
        <f>AN263/'1. Väestöennuste'!J263*1000</f>
        <v>121.71299774605559</v>
      </c>
      <c r="BH263" s="41">
        <f>AO263/'1. Väestöennuste'!K263*1000</f>
        <v>130.17912102903918</v>
      </c>
      <c r="BI263" s="41">
        <f>AP263/'1. Väestöennuste'!L263*1000</f>
        <v>128.68579041558959</v>
      </c>
      <c r="BJ263" s="41">
        <f>AQ263/'1. Väestöennuste'!M263*1000</f>
        <v>161.99366604921795</v>
      </c>
      <c r="BK263" s="41">
        <f>AR263/'1. Väestöennuste'!N263*1000</f>
        <v>159.67111778967404</v>
      </c>
      <c r="BL263" s="41">
        <f>AS263/'1. Väestöennuste'!O263*1000</f>
        <v>168.86368460411131</v>
      </c>
      <c r="BM263" s="41">
        <f>AT263/'1. Väestöennuste'!P263*1000</f>
        <v>176.13946186543097</v>
      </c>
      <c r="BN263" s="41">
        <f>AU263/'1. Väestöennuste'!Q263*1000</f>
        <v>182.02590747981657</v>
      </c>
      <c r="BO263" s="41">
        <f>AV263/'1. Väestöennuste'!R263*1000</f>
        <v>189.03242895500929</v>
      </c>
    </row>
    <row r="264" spans="1:67" x14ac:dyDescent="0.25">
      <c r="A264" s="30">
        <v>831</v>
      </c>
      <c r="B264" s="47" t="s">
        <v>578</v>
      </c>
      <c r="C264" s="47">
        <v>20</v>
      </c>
      <c r="D264" s="47">
        <v>20</v>
      </c>
      <c r="E264" s="47">
        <v>20.5</v>
      </c>
      <c r="F264" s="47">
        <v>20.5</v>
      </c>
      <c r="G264" s="47">
        <v>21</v>
      </c>
      <c r="H264" s="58">
        <v>21</v>
      </c>
      <c r="I264" s="139">
        <v>21</v>
      </c>
      <c r="J264" s="139">
        <v>21</v>
      </c>
      <c r="K264" s="139">
        <f t="shared" si="15"/>
        <v>8.36</v>
      </c>
      <c r="L264" s="139">
        <v>8.4</v>
      </c>
      <c r="M264" s="139">
        <f t="shared" si="18"/>
        <v>8.4</v>
      </c>
      <c r="N264" s="147">
        <f t="shared" si="18"/>
        <v>8.4</v>
      </c>
      <c r="O264" s="147">
        <f t="shared" si="18"/>
        <v>8.4</v>
      </c>
      <c r="P264" s="147">
        <f t="shared" si="18"/>
        <v>8.4</v>
      </c>
      <c r="Q264" s="147"/>
      <c r="S264" s="41">
        <f>'3. Verotulot'!D264*100/'Veroposentin tuotto'!C264</f>
        <v>80515.529150000002</v>
      </c>
      <c r="T264" s="41">
        <f>'3. Verotulot'!I264*100/'Veroposentin tuotto'!D264</f>
        <v>82825</v>
      </c>
      <c r="U264" s="41">
        <f>'3. Verotulot'!N264*100/'Veroposentin tuotto'!E264</f>
        <v>81414.634146341457</v>
      </c>
      <c r="V264" s="41">
        <f>'3. Verotulot'!S264*100/'Veroposentin tuotto'!F264</f>
        <v>80195.121951219509</v>
      </c>
      <c r="W264" s="41">
        <f>'3. Verotulot'!X264*100/'Veroposentin tuotto'!G264</f>
        <v>82347.619047619053</v>
      </c>
      <c r="X264" s="41">
        <f>'3. Verotulot'!AC264*100/'Veroposentin tuotto'!H264</f>
        <v>83342.857142857145</v>
      </c>
      <c r="Y264" s="41">
        <f>'3. Verotulot'!AH264*100/'Veroposentin tuotto'!I264</f>
        <v>89301.352428571437</v>
      </c>
      <c r="Z264" s="41">
        <f>'3. Verotulot'!AM264*100/'Veroposentin tuotto'!J264</f>
        <v>88064.246809523815</v>
      </c>
      <c r="AA264" s="41">
        <f>'3. Verotulot'!AR264*100/'Veroposentin tuotto'!K264</f>
        <v>109512.1942583732</v>
      </c>
      <c r="AB264" s="41">
        <f>'3. Verotulot'!AW264*100/'Veroposentin tuotto'!L264</f>
        <v>104467.80017106571</v>
      </c>
      <c r="AC264" s="41">
        <f>'3. Verotulot'!BB264*100/'Veroposentin tuotto'!M264</f>
        <v>107244.61411756124</v>
      </c>
      <c r="AD264" s="41">
        <f>'3. Verotulot'!BG264*100/'Veroposentin tuotto'!N264</f>
        <v>110571.6923914319</v>
      </c>
      <c r="AE264" s="41">
        <f>'3. Verotulot'!BL264*100/'Veroposentin tuotto'!O264</f>
        <v>113376.43843988054</v>
      </c>
      <c r="AF264" s="41">
        <f>'3. Verotulot'!BQ264*100/'Veroposentin tuotto'!P264</f>
        <v>116792.90150666567</v>
      </c>
      <c r="AI264" s="41">
        <f>'3. Verotulot'!D264/'Veroposentin tuotto'!C264</f>
        <v>805.15529149999998</v>
      </c>
      <c r="AJ264" s="41">
        <f>'3. Verotulot'!I264/'Veroposentin tuotto'!D264</f>
        <v>828.25</v>
      </c>
      <c r="AK264" s="41">
        <f>'3. Verotulot'!N264/'Veroposentin tuotto'!E264</f>
        <v>814.14634146341461</v>
      </c>
      <c r="AL264" s="41">
        <f>'3. Verotulot'!S264/'Veroposentin tuotto'!F264</f>
        <v>801.95121951219517</v>
      </c>
      <c r="AM264" s="41">
        <f>'3. Verotulot'!X264/'Veroposentin tuotto'!G264</f>
        <v>823.47619047619048</v>
      </c>
      <c r="AN264" s="41">
        <f>'3. Verotulot'!AC264/'Veroposentin tuotto'!H264</f>
        <v>833.42857142857144</v>
      </c>
      <c r="AO264" s="41">
        <f>'3. Verotulot'!AH264/'Veroposentin tuotto'!I264</f>
        <v>893.01352428571442</v>
      </c>
      <c r="AP264" s="41">
        <f>'3. Verotulot'!AM264/'Veroposentin tuotto'!J264</f>
        <v>880.64246809523809</v>
      </c>
      <c r="AQ264" s="41">
        <f>'3. Verotulot'!AR264/'Veroposentin tuotto'!K264</f>
        <v>1095.1219425837321</v>
      </c>
      <c r="AR264" s="41">
        <f>'3. Verotulot'!AW264/'Veroposentin tuotto'!L264</f>
        <v>1044.6780017106571</v>
      </c>
      <c r="AS264" s="41">
        <f>'3. Verotulot'!BB264/'Veroposentin tuotto'!M264</f>
        <v>1072.4461411756124</v>
      </c>
      <c r="AT264" s="41">
        <f>'3. Verotulot'!BG264/'Veroposentin tuotto'!N264</f>
        <v>1105.7169239143191</v>
      </c>
      <c r="AU264" s="41">
        <f>'3. Verotulot'!BL264/'Veroposentin tuotto'!O264</f>
        <v>1133.7643843988055</v>
      </c>
      <c r="AV264" s="41">
        <f>'3. Verotulot'!BQ264/'Veroposentin tuotto'!P264</f>
        <v>1167.9290150666568</v>
      </c>
      <c r="AX264" s="146"/>
      <c r="AZ264" s="34">
        <v>831</v>
      </c>
      <c r="BA264" s="88" t="s">
        <v>578</v>
      </c>
      <c r="BB264" s="41">
        <f>AI264/'1. Väestöennuste'!E264*1000</f>
        <v>167.21812907580477</v>
      </c>
      <c r="BC264" s="41">
        <f>AJ264/'1. Väestöennuste'!F264*1000</f>
        <v>171.40935430463577</v>
      </c>
      <c r="BD264" s="41">
        <f>AK264/'1. Väestöennuste'!G264*1000</f>
        <v>170.53756628894314</v>
      </c>
      <c r="BE264" s="41">
        <f>AL264/'1. Väestöennuste'!H264*1000</f>
        <v>170.08509427618137</v>
      </c>
      <c r="BF264" s="41">
        <f>AM264/'1. Väestöennuste'!I264*1000</f>
        <v>176.29548072707996</v>
      </c>
      <c r="BG264" s="41">
        <f>AN264/'1. Väestöennuste'!J264*1000</f>
        <v>180.08396098283737</v>
      </c>
      <c r="BH264" s="41">
        <f>AO264/'1. Väestöennuste'!K264*1000</f>
        <v>194.3446189958029</v>
      </c>
      <c r="BI264" s="41">
        <f>AP264/'1. Väestöennuste'!L264*1000</f>
        <v>193.16570916763285</v>
      </c>
      <c r="BJ264" s="41">
        <f>AQ264/'1. Väestöennuste'!M264*1000</f>
        <v>236.78312272080694</v>
      </c>
      <c r="BK264" s="41">
        <f>AR264/'1. Väestöennuste'!N264*1000</f>
        <v>232.09908947137461</v>
      </c>
      <c r="BL264" s="41">
        <f>AS264/'1. Väestöennuste'!O264*1000</f>
        <v>239.97452252754809</v>
      </c>
      <c r="BM264" s="41">
        <f>AT264/'1. Väestöennuste'!P264*1000</f>
        <v>249.25990169394026</v>
      </c>
      <c r="BN264" s="41">
        <f>AU264/'1. Väestöennuste'!Q264*1000</f>
        <v>257.3228289602373</v>
      </c>
      <c r="BO264" s="41">
        <f>AV264/'1. Väestöennuste'!R264*1000</f>
        <v>266.95520344380725</v>
      </c>
    </row>
    <row r="265" spans="1:67" x14ac:dyDescent="0.25">
      <c r="A265" s="30">
        <v>832</v>
      </c>
      <c r="B265" s="47" t="s">
        <v>579</v>
      </c>
      <c r="C265" s="47">
        <v>20.5</v>
      </c>
      <c r="D265" s="47">
        <v>20.5</v>
      </c>
      <c r="E265" s="47">
        <v>20.5</v>
      </c>
      <c r="F265" s="47">
        <v>20.5</v>
      </c>
      <c r="G265" s="47">
        <v>20.5</v>
      </c>
      <c r="H265" s="58">
        <v>20.5</v>
      </c>
      <c r="I265" s="139">
        <v>20.5</v>
      </c>
      <c r="J265" s="139">
        <v>20.5</v>
      </c>
      <c r="K265" s="139">
        <f t="shared" si="15"/>
        <v>7.8599999999999994</v>
      </c>
      <c r="L265" s="139">
        <v>7.9</v>
      </c>
      <c r="M265" s="139">
        <f t="shared" si="18"/>
        <v>7.9</v>
      </c>
      <c r="N265" s="147">
        <f t="shared" si="18"/>
        <v>7.9</v>
      </c>
      <c r="O265" s="147">
        <f t="shared" si="18"/>
        <v>7.9</v>
      </c>
      <c r="P265" s="147">
        <f t="shared" si="18"/>
        <v>7.9</v>
      </c>
      <c r="Q265" s="147"/>
      <c r="S265" s="41">
        <f>'3. Verotulot'!D265*100/'Veroposentin tuotto'!C265</f>
        <v>49205.878243902429</v>
      </c>
      <c r="T265" s="41">
        <f>'3. Verotulot'!I265*100/'Veroposentin tuotto'!D265</f>
        <v>49800</v>
      </c>
      <c r="U265" s="41">
        <f>'3. Verotulot'!N265*100/'Veroposentin tuotto'!E265</f>
        <v>47663.414634146342</v>
      </c>
      <c r="V265" s="41">
        <f>'3. Verotulot'!S265*100/'Veroposentin tuotto'!F265</f>
        <v>47131.707317073167</v>
      </c>
      <c r="W265" s="41">
        <f>'3. Verotulot'!X265*100/'Veroposentin tuotto'!G265</f>
        <v>47604.878048780491</v>
      </c>
      <c r="X265" s="41">
        <f>'3. Verotulot'!AC265*100/'Veroposentin tuotto'!H265</f>
        <v>49165.853658536587</v>
      </c>
      <c r="Y265" s="41">
        <f>'3. Verotulot'!AH265*100/'Veroposentin tuotto'!I265</f>
        <v>49813.70443902439</v>
      </c>
      <c r="Z265" s="41">
        <f>'3. Verotulot'!AM265*100/'Veroposentin tuotto'!J265</f>
        <v>53327.543707317083</v>
      </c>
      <c r="AA265" s="41">
        <f>'3. Verotulot'!AR265*100/'Veroposentin tuotto'!K265</f>
        <v>61171.021246819342</v>
      </c>
      <c r="AB265" s="41">
        <f>'3. Verotulot'!AW265*100/'Veroposentin tuotto'!L265</f>
        <v>60380.81080674204</v>
      </c>
      <c r="AC265" s="41">
        <f>'3. Verotulot'!BB265*100/'Veroposentin tuotto'!M265</f>
        <v>63513.141834534428</v>
      </c>
      <c r="AD265" s="41">
        <f>'3. Verotulot'!BG265*100/'Veroposentin tuotto'!N265</f>
        <v>65375.5209654012</v>
      </c>
      <c r="AE265" s="41">
        <f>'3. Verotulot'!BL265*100/'Veroposentin tuotto'!O265</f>
        <v>66879.337567247523</v>
      </c>
      <c r="AF265" s="41">
        <f>'3. Verotulot'!BQ265*100/'Veroposentin tuotto'!P265</f>
        <v>68620.469281843805</v>
      </c>
      <c r="AI265" s="41">
        <f>'3. Verotulot'!D265/'Veroposentin tuotto'!C265</f>
        <v>492.05878243902436</v>
      </c>
      <c r="AJ265" s="41">
        <f>'3. Verotulot'!I265/'Veroposentin tuotto'!D265</f>
        <v>498</v>
      </c>
      <c r="AK265" s="41">
        <f>'3. Verotulot'!N265/'Veroposentin tuotto'!E265</f>
        <v>476.63414634146341</v>
      </c>
      <c r="AL265" s="41">
        <f>'3. Verotulot'!S265/'Veroposentin tuotto'!F265</f>
        <v>471.3170731707317</v>
      </c>
      <c r="AM265" s="41">
        <f>'3. Verotulot'!X265/'Veroposentin tuotto'!G265</f>
        <v>476.04878048780489</v>
      </c>
      <c r="AN265" s="41">
        <f>'3. Verotulot'!AC265/'Veroposentin tuotto'!H265</f>
        <v>491.65853658536588</v>
      </c>
      <c r="AO265" s="41">
        <f>'3. Verotulot'!AH265/'Veroposentin tuotto'!I265</f>
        <v>498.13704439024389</v>
      </c>
      <c r="AP265" s="41">
        <f>'3. Verotulot'!AM265/'Veroposentin tuotto'!J265</f>
        <v>533.27543707317079</v>
      </c>
      <c r="AQ265" s="41">
        <f>'3. Verotulot'!AR265/'Veroposentin tuotto'!K265</f>
        <v>611.71021246819339</v>
      </c>
      <c r="AR265" s="41">
        <f>'3. Verotulot'!AW265/'Veroposentin tuotto'!L265</f>
        <v>603.80810806742033</v>
      </c>
      <c r="AS265" s="41">
        <f>'3. Verotulot'!BB265/'Veroposentin tuotto'!M265</f>
        <v>635.13141834534429</v>
      </c>
      <c r="AT265" s="41">
        <f>'3. Verotulot'!BG265/'Veroposentin tuotto'!N265</f>
        <v>653.75520965401199</v>
      </c>
      <c r="AU265" s="41">
        <f>'3. Verotulot'!BL265/'Veroposentin tuotto'!O265</f>
        <v>668.79337567247535</v>
      </c>
      <c r="AV265" s="41">
        <f>'3. Verotulot'!BQ265/'Veroposentin tuotto'!P265</f>
        <v>686.20469281843816</v>
      </c>
      <c r="AX265" s="146"/>
      <c r="AZ265" s="34">
        <v>832</v>
      </c>
      <c r="BA265" s="88" t="s">
        <v>579</v>
      </c>
      <c r="BB265" s="41">
        <f>AI265/'1. Väestöennuste'!E265*1000</f>
        <v>117.18475409359952</v>
      </c>
      <c r="BC265" s="41">
        <f>AJ265/'1. Väestöennuste'!F265*1000</f>
        <v>120.49358819259618</v>
      </c>
      <c r="BD265" s="41">
        <f>AK265/'1. Väestöennuste'!G265*1000</f>
        <v>117.45543280962627</v>
      </c>
      <c r="BE265" s="41">
        <f>AL265/'1. Väestöennuste'!H265*1000</f>
        <v>117.12650923725937</v>
      </c>
      <c r="BF265" s="41">
        <f>AM265/'1. Väestöennuste'!I265*1000</f>
        <v>119.73057859351231</v>
      </c>
      <c r="BG265" s="41">
        <f>AN265/'1. Väestöennuste'!J265*1000</f>
        <v>125.55120954682478</v>
      </c>
      <c r="BH265" s="41">
        <f>AO265/'1. Väestöennuste'!K265*1000</f>
        <v>127.30310360088012</v>
      </c>
      <c r="BI265" s="41">
        <f>AP265/'1. Väestöennuste'!L265*1000</f>
        <v>139.4184149210904</v>
      </c>
      <c r="BJ265" s="41">
        <f>AQ265/'1. Väestöennuste'!M265*1000</f>
        <v>163.95342065617618</v>
      </c>
      <c r="BK265" s="41">
        <f>AR265/'1. Väestöennuste'!N265*1000</f>
        <v>163.94463971420589</v>
      </c>
      <c r="BL265" s="41">
        <f>AS265/'1. Väestöennuste'!O265*1000</f>
        <v>174.96733287750533</v>
      </c>
      <c r="BM265" s="41">
        <f>AT265/'1. Väestöennuste'!P265*1000</f>
        <v>182.71526261990272</v>
      </c>
      <c r="BN265" s="41">
        <f>AU265/'1. Väestöennuste'!Q265*1000</f>
        <v>189.62103081158926</v>
      </c>
      <c r="BO265" s="41">
        <f>AV265/'1. Väestöennuste'!R265*1000</f>
        <v>197.41216709391202</v>
      </c>
    </row>
    <row r="266" spans="1:67" x14ac:dyDescent="0.25">
      <c r="A266" s="30">
        <v>833</v>
      </c>
      <c r="B266" s="47" t="s">
        <v>580</v>
      </c>
      <c r="C266" s="47">
        <v>20.5</v>
      </c>
      <c r="D266" s="47">
        <v>20.75</v>
      </c>
      <c r="E266" s="47">
        <v>20.75</v>
      </c>
      <c r="F266" s="47">
        <v>20.75</v>
      </c>
      <c r="G266" s="47">
        <v>20.75</v>
      </c>
      <c r="H266" s="58">
        <v>20.75</v>
      </c>
      <c r="I266" s="139">
        <v>20.5</v>
      </c>
      <c r="J266" s="139">
        <v>19.5</v>
      </c>
      <c r="K266" s="139">
        <f t="shared" si="15"/>
        <v>6.8599999999999994</v>
      </c>
      <c r="L266" s="139">
        <v>6.9</v>
      </c>
      <c r="M266" s="139">
        <f t="shared" si="18"/>
        <v>6.9</v>
      </c>
      <c r="N266" s="147">
        <f t="shared" si="18"/>
        <v>6.9</v>
      </c>
      <c r="O266" s="147">
        <f t="shared" si="18"/>
        <v>6.9</v>
      </c>
      <c r="P266" s="147">
        <f t="shared" si="18"/>
        <v>6.9</v>
      </c>
      <c r="Q266" s="147"/>
      <c r="S266" s="41">
        <f>'3. Verotulot'!D266*100/'Veroposentin tuotto'!C266</f>
        <v>23890.649707317076</v>
      </c>
      <c r="T266" s="41">
        <f>'3. Verotulot'!I266*100/'Veroposentin tuotto'!D266</f>
        <v>23040.963855421687</v>
      </c>
      <c r="U266" s="41">
        <f>'3. Verotulot'!N266*100/'Veroposentin tuotto'!E266</f>
        <v>24062.650602409638</v>
      </c>
      <c r="V266" s="41">
        <f>'3. Verotulot'!S266*100/'Veroposentin tuotto'!F266</f>
        <v>25060.24096385542</v>
      </c>
      <c r="W266" s="41">
        <f>'3. Verotulot'!X266*100/'Veroposentin tuotto'!G266</f>
        <v>24578.313253012049</v>
      </c>
      <c r="X266" s="41">
        <f>'3. Verotulot'!AC266*100/'Veroposentin tuotto'!H266</f>
        <v>27498.795180722893</v>
      </c>
      <c r="Y266" s="41">
        <f>'3. Verotulot'!AH266*100/'Veroposentin tuotto'!I266</f>
        <v>27682.767512195125</v>
      </c>
      <c r="Z266" s="41">
        <f>'3. Verotulot'!AM266*100/'Veroposentin tuotto'!J266</f>
        <v>27629.404051282054</v>
      </c>
      <c r="AA266" s="41">
        <f>'3. Verotulot'!AR266*100/'Veroposentin tuotto'!K266</f>
        <v>35606.991690962095</v>
      </c>
      <c r="AB266" s="41">
        <f>'3. Verotulot'!AW266*100/'Veroposentin tuotto'!L266</f>
        <v>34064.49921071827</v>
      </c>
      <c r="AC266" s="41">
        <f>'3. Verotulot'!BB266*100/'Veroposentin tuotto'!M266</f>
        <v>36094.326960185346</v>
      </c>
      <c r="AD266" s="41">
        <f>'3. Verotulot'!BG266*100/'Veroposentin tuotto'!N266</f>
        <v>37643.657350159141</v>
      </c>
      <c r="AE266" s="41">
        <f>'3. Verotulot'!BL266*100/'Veroposentin tuotto'!O266</f>
        <v>39148.16196997957</v>
      </c>
      <c r="AF266" s="41">
        <f>'3. Verotulot'!BQ266*100/'Veroposentin tuotto'!P266</f>
        <v>40937.364677126498</v>
      </c>
      <c r="AI266" s="41">
        <f>'3. Verotulot'!D266/'Veroposentin tuotto'!C266</f>
        <v>238.90649707317075</v>
      </c>
      <c r="AJ266" s="41">
        <f>'3. Verotulot'!I266/'Veroposentin tuotto'!D266</f>
        <v>230.40963855421685</v>
      </c>
      <c r="AK266" s="41">
        <f>'3. Verotulot'!N266/'Veroposentin tuotto'!E266</f>
        <v>240.62650602409639</v>
      </c>
      <c r="AL266" s="41">
        <f>'3. Verotulot'!S266/'Veroposentin tuotto'!F266</f>
        <v>250.60240963855421</v>
      </c>
      <c r="AM266" s="41">
        <f>'3. Verotulot'!X266/'Veroposentin tuotto'!G266</f>
        <v>245.78313253012047</v>
      </c>
      <c r="AN266" s="41">
        <f>'3. Verotulot'!AC266/'Veroposentin tuotto'!H266</f>
        <v>274.98795180722891</v>
      </c>
      <c r="AO266" s="41">
        <f>'3. Verotulot'!AH266/'Veroposentin tuotto'!I266</f>
        <v>276.82767512195124</v>
      </c>
      <c r="AP266" s="41">
        <f>'3. Verotulot'!AM266/'Veroposentin tuotto'!J266</f>
        <v>276.29404051282052</v>
      </c>
      <c r="AQ266" s="41">
        <f>'3. Verotulot'!AR266/'Veroposentin tuotto'!K266</f>
        <v>356.06991690962099</v>
      </c>
      <c r="AR266" s="41">
        <f>'3. Verotulot'!AW266/'Veroposentin tuotto'!L266</f>
        <v>340.6449921071827</v>
      </c>
      <c r="AS266" s="41">
        <f>'3. Verotulot'!BB266/'Veroposentin tuotto'!M266</f>
        <v>360.9432696018535</v>
      </c>
      <c r="AT266" s="41">
        <f>'3. Verotulot'!BG266/'Veroposentin tuotto'!N266</f>
        <v>376.43657350159145</v>
      </c>
      <c r="AU266" s="41">
        <f>'3. Verotulot'!BL266/'Veroposentin tuotto'!O266</f>
        <v>391.48161969979571</v>
      </c>
      <c r="AV266" s="41">
        <f>'3. Verotulot'!BQ266/'Veroposentin tuotto'!P266</f>
        <v>409.37364677126493</v>
      </c>
      <c r="AX266" s="146"/>
      <c r="AZ266" s="34">
        <v>833</v>
      </c>
      <c r="BA266" s="88" t="s">
        <v>580</v>
      </c>
      <c r="BB266" s="41">
        <f>AI266/'1. Väestöennuste'!E266*1000</f>
        <v>146.299140889878</v>
      </c>
      <c r="BC266" s="41">
        <f>AJ266/'1. Väestöennuste'!F266*1000</f>
        <v>142.05279812220522</v>
      </c>
      <c r="BD266" s="41">
        <f>AK266/'1. Väestöennuste'!G266*1000</f>
        <v>145.4815634970353</v>
      </c>
      <c r="BE266" s="41">
        <f>AL266/'1. Väestöennuste'!H266*1000</f>
        <v>150.7836399750627</v>
      </c>
      <c r="BF266" s="41">
        <f>AM266/'1. Väestöennuste'!I266*1000</f>
        <v>149.95920227585142</v>
      </c>
      <c r="BG266" s="41">
        <f>AN266/'1. Väestöennuste'!J266*1000</f>
        <v>165.75524521231401</v>
      </c>
      <c r="BH266" s="41">
        <f>AO266/'1. Väestöennuste'!K266*1000</f>
        <v>165.07315153366204</v>
      </c>
      <c r="BI266" s="41">
        <f>AP266/'1. Väestöennuste'!L266*1000</f>
        <v>163.3909169206508</v>
      </c>
      <c r="BJ266" s="41">
        <f>AQ266/'1. Väestöennuste'!M266*1000</f>
        <v>208.83866094405923</v>
      </c>
      <c r="BK266" s="41">
        <f>AR266/'1. Väestöennuste'!N266*1000</f>
        <v>202.52377652032266</v>
      </c>
      <c r="BL266" s="41">
        <f>AS266/'1. Väestöennuste'!O266*1000</f>
        <v>214.2096555500614</v>
      </c>
      <c r="BM266" s="41">
        <f>AT266/'1. Väestöennuste'!P266*1000</f>
        <v>223.00744875686698</v>
      </c>
      <c r="BN266" s="41">
        <f>AU266/'1. Väestöennuste'!Q266*1000</f>
        <v>231.23545168328158</v>
      </c>
      <c r="BO266" s="41">
        <f>AV266/'1. Väestöennuste'!R266*1000</f>
        <v>241.51837567626251</v>
      </c>
    </row>
    <row r="267" spans="1:67" x14ac:dyDescent="0.25">
      <c r="A267" s="30">
        <v>834</v>
      </c>
      <c r="B267" s="47" t="s">
        <v>581</v>
      </c>
      <c r="C267" s="47">
        <v>19.5</v>
      </c>
      <c r="D267" s="47">
        <v>19.5</v>
      </c>
      <c r="E267" s="47">
        <v>20.25</v>
      </c>
      <c r="F267" s="47">
        <v>20.25</v>
      </c>
      <c r="G267" s="47">
        <v>20.25</v>
      </c>
      <c r="H267" s="58">
        <v>20.75</v>
      </c>
      <c r="I267" s="139">
        <v>21.250000000000004</v>
      </c>
      <c r="J267" s="139">
        <v>21.250000000000004</v>
      </c>
      <c r="K267" s="139">
        <f t="shared" si="15"/>
        <v>8.610000000000003</v>
      </c>
      <c r="L267" s="139">
        <v>8.6</v>
      </c>
      <c r="M267" s="139">
        <f t="shared" si="18"/>
        <v>8.6</v>
      </c>
      <c r="N267" s="147">
        <f t="shared" si="18"/>
        <v>8.6</v>
      </c>
      <c r="O267" s="147">
        <f t="shared" si="18"/>
        <v>8.6</v>
      </c>
      <c r="P267" s="147">
        <f t="shared" si="18"/>
        <v>8.6</v>
      </c>
      <c r="Q267" s="147"/>
      <c r="S267" s="41">
        <f>'3. Verotulot'!D267*100/'Veroposentin tuotto'!C267</f>
        <v>92892.231179487178</v>
      </c>
      <c r="T267" s="41">
        <f>'3. Verotulot'!I267*100/'Veroposentin tuotto'!D267</f>
        <v>92415.38461538461</v>
      </c>
      <c r="U267" s="41">
        <f>'3. Verotulot'!N267*100/'Veroposentin tuotto'!E267</f>
        <v>94676.543209876545</v>
      </c>
      <c r="V267" s="41">
        <f>'3. Verotulot'!S267*100/'Veroposentin tuotto'!F267</f>
        <v>90612.345679012345</v>
      </c>
      <c r="W267" s="41">
        <f>'3. Verotulot'!X267*100/'Veroposentin tuotto'!G267</f>
        <v>93234.567901234564</v>
      </c>
      <c r="X267" s="41">
        <f>'3. Verotulot'!AC267*100/'Veroposentin tuotto'!H267</f>
        <v>96115.662650602404</v>
      </c>
      <c r="Y267" s="41">
        <f>'3. Verotulot'!AH267*100/'Veroposentin tuotto'!I267</f>
        <v>97428.56428235292</v>
      </c>
      <c r="Z267" s="41">
        <f>'3. Verotulot'!AM267*100/'Veroposentin tuotto'!J267</f>
        <v>105607.6377882353</v>
      </c>
      <c r="AA267" s="41">
        <f>'3. Verotulot'!AR267*100/'Veroposentin tuotto'!K267</f>
        <v>130196.12439024386</v>
      </c>
      <c r="AB267" s="41">
        <f>'3. Verotulot'!AW267*100/'Veroposentin tuotto'!L267</f>
        <v>121692.82875181823</v>
      </c>
      <c r="AC267" s="41">
        <f>'3. Verotulot'!BB267*100/'Veroposentin tuotto'!M267</f>
        <v>127596.12992836675</v>
      </c>
      <c r="AD267" s="41">
        <f>'3. Verotulot'!BG267*100/'Veroposentin tuotto'!N267</f>
        <v>132439.38404063127</v>
      </c>
      <c r="AE267" s="41">
        <f>'3. Verotulot'!BL267*100/'Veroposentin tuotto'!O267</f>
        <v>136134.33672028343</v>
      </c>
      <c r="AF267" s="41">
        <f>'3. Verotulot'!BQ267*100/'Veroposentin tuotto'!P267</f>
        <v>140431.16975565444</v>
      </c>
      <c r="AI267" s="41">
        <f>'3. Verotulot'!D267/'Veroposentin tuotto'!C267</f>
        <v>928.92231179487169</v>
      </c>
      <c r="AJ267" s="41">
        <f>'3. Verotulot'!I267/'Veroposentin tuotto'!D267</f>
        <v>924.15384615384619</v>
      </c>
      <c r="AK267" s="41">
        <f>'3. Verotulot'!N267/'Veroposentin tuotto'!E267</f>
        <v>946.76543209876547</v>
      </c>
      <c r="AL267" s="41">
        <f>'3. Verotulot'!S267/'Veroposentin tuotto'!F267</f>
        <v>906.12345679012344</v>
      </c>
      <c r="AM267" s="41">
        <f>'3. Verotulot'!X267/'Veroposentin tuotto'!G267</f>
        <v>932.34567901234573</v>
      </c>
      <c r="AN267" s="41">
        <f>'3. Verotulot'!AC267/'Veroposentin tuotto'!H267</f>
        <v>961.15662650602405</v>
      </c>
      <c r="AO267" s="41">
        <f>'3. Verotulot'!AH267/'Veroposentin tuotto'!I267</f>
        <v>974.2856428235292</v>
      </c>
      <c r="AP267" s="41">
        <f>'3. Verotulot'!AM267/'Veroposentin tuotto'!J267</f>
        <v>1056.076377882353</v>
      </c>
      <c r="AQ267" s="41">
        <f>'3. Verotulot'!AR267/'Veroposentin tuotto'!K267</f>
        <v>1301.9612439024386</v>
      </c>
      <c r="AR267" s="41">
        <f>'3. Verotulot'!AW267/'Veroposentin tuotto'!L267</f>
        <v>1216.9282875181823</v>
      </c>
      <c r="AS267" s="41">
        <f>'3. Verotulot'!BB267/'Veroposentin tuotto'!M267</f>
        <v>1275.9612992836676</v>
      </c>
      <c r="AT267" s="41">
        <f>'3. Verotulot'!BG267/'Veroposentin tuotto'!N267</f>
        <v>1324.3938404063124</v>
      </c>
      <c r="AU267" s="41">
        <f>'3. Verotulot'!BL267/'Veroposentin tuotto'!O267</f>
        <v>1361.3433672028343</v>
      </c>
      <c r="AV267" s="41">
        <f>'3. Verotulot'!BQ267/'Veroposentin tuotto'!P267</f>
        <v>1404.3116975565445</v>
      </c>
      <c r="AX267" s="146"/>
      <c r="AZ267" s="34">
        <v>834</v>
      </c>
      <c r="BA267" s="88" t="s">
        <v>581</v>
      </c>
      <c r="BB267" s="41">
        <f>AI267/'1. Väestöennuste'!E267*1000</f>
        <v>147.91756557243178</v>
      </c>
      <c r="BC267" s="41">
        <f>AJ267/'1. Väestöennuste'!F267*1000</f>
        <v>148.07784748499378</v>
      </c>
      <c r="BD267" s="41">
        <f>AK267/'1. Väestöennuste'!G267*1000</f>
        <v>153.82054136454354</v>
      </c>
      <c r="BE267" s="41">
        <f>AL267/'1. Väestöennuste'!H267*1000</f>
        <v>149.00895523600121</v>
      </c>
      <c r="BF267" s="41">
        <f>AM267/'1. Väestöennuste'!I267*1000</f>
        <v>155.0034379072894</v>
      </c>
      <c r="BG267" s="41">
        <f>AN267/'1. Väestöennuste'!J267*1000</f>
        <v>159.76672648038965</v>
      </c>
      <c r="BH267" s="41">
        <f>AO267/'1. Väestöennuste'!K267*1000</f>
        <v>163.27897483216512</v>
      </c>
      <c r="BI267" s="41">
        <f>AP267/'1. Väestöennuste'!L267*1000</f>
        <v>179.63537640455061</v>
      </c>
      <c r="BJ267" s="41">
        <f>AQ267/'1. Väestöennuste'!M267*1000</f>
        <v>222.78597602711133</v>
      </c>
      <c r="BK267" s="41">
        <f>AR267/'1. Väestöennuste'!N267*1000</f>
        <v>209.99625323868548</v>
      </c>
      <c r="BL267" s="41">
        <f>AS267/'1. Väestöennuste'!O267*1000</f>
        <v>222.13810920676664</v>
      </c>
      <c r="BM267" s="41">
        <f>AT267/'1. Väestöennuste'!P267*1000</f>
        <v>232.55379111612157</v>
      </c>
      <c r="BN267" s="41">
        <f>AU267/'1. Väestöennuste'!Q267*1000</f>
        <v>241.03104943392958</v>
      </c>
      <c r="BO267" s="41">
        <f>AV267/'1. Väestöennuste'!R267*1000</f>
        <v>250.50155147280495</v>
      </c>
    </row>
    <row r="268" spans="1:67" x14ac:dyDescent="0.25">
      <c r="A268" s="30">
        <v>837</v>
      </c>
      <c r="B268" s="47" t="s">
        <v>582</v>
      </c>
      <c r="C268" s="47">
        <v>19.75</v>
      </c>
      <c r="D268" s="47">
        <v>19.75</v>
      </c>
      <c r="E268" s="47">
        <v>19.75</v>
      </c>
      <c r="F268" s="47">
        <v>19.75</v>
      </c>
      <c r="G268" s="47">
        <v>19.75</v>
      </c>
      <c r="H268" s="58">
        <v>20.25</v>
      </c>
      <c r="I268" s="139">
        <v>20.25</v>
      </c>
      <c r="J268" s="139">
        <v>20.25</v>
      </c>
      <c r="K268" s="139">
        <f t="shared" si="15"/>
        <v>7.6099999999999994</v>
      </c>
      <c r="L268" s="139">
        <v>7.6</v>
      </c>
      <c r="M268" s="139">
        <f t="shared" si="18"/>
        <v>7.6</v>
      </c>
      <c r="N268" s="147">
        <f t="shared" si="18"/>
        <v>7.6</v>
      </c>
      <c r="O268" s="147">
        <f t="shared" si="18"/>
        <v>7.6</v>
      </c>
      <c r="P268" s="147">
        <f t="shared" si="18"/>
        <v>7.6</v>
      </c>
      <c r="Q268" s="147"/>
      <c r="S268" s="41">
        <f>'3. Verotulot'!D268*100/'Veroposentin tuotto'!C268</f>
        <v>3826702.488860759</v>
      </c>
      <c r="T268" s="41">
        <f>'3. Verotulot'!I268*100/'Veroposentin tuotto'!D268</f>
        <v>3931746.835443038</v>
      </c>
      <c r="U268" s="41">
        <f>'3. Verotulot'!N268*100/'Veroposentin tuotto'!E268</f>
        <v>3933164.5569620254</v>
      </c>
      <c r="V268" s="41">
        <f>'3. Verotulot'!S268*100/'Veroposentin tuotto'!F268</f>
        <v>3885513.9240506329</v>
      </c>
      <c r="W268" s="41">
        <f>'3. Verotulot'!X268*100/'Veroposentin tuotto'!G268</f>
        <v>4095858.2278481014</v>
      </c>
      <c r="X268" s="41">
        <f>'3. Verotulot'!AC268*100/'Veroposentin tuotto'!H268</f>
        <v>4280849.3827160494</v>
      </c>
      <c r="Y268" s="41">
        <f>'3. Verotulot'!AH268*100/'Veroposentin tuotto'!I268</f>
        <v>4428404.0578271607</v>
      </c>
      <c r="Z268" s="41">
        <f>'3. Verotulot'!AM268*100/'Veroposentin tuotto'!J268</f>
        <v>4710603.0997530874</v>
      </c>
      <c r="AA268" s="41">
        <f>'3. Verotulot'!AR268*100/'Veroposentin tuotto'!K268</f>
        <v>6278225.3772667544</v>
      </c>
      <c r="AB268" s="41">
        <f>'3. Verotulot'!AW268*100/'Veroposentin tuotto'!L268</f>
        <v>5881891.8277472835</v>
      </c>
      <c r="AC268" s="41">
        <f>'3. Verotulot'!BB268*100/'Veroposentin tuotto'!M268</f>
        <v>6248261.8892746195</v>
      </c>
      <c r="AD268" s="41">
        <f>'3. Verotulot'!BG268*100/'Veroposentin tuotto'!N268</f>
        <v>6623034.0705306577</v>
      </c>
      <c r="AE268" s="41">
        <f>'3. Verotulot'!BL268*100/'Veroposentin tuotto'!O268</f>
        <v>6960821.4793447237</v>
      </c>
      <c r="AF268" s="41">
        <f>'3. Verotulot'!BQ268*100/'Veroposentin tuotto'!P268</f>
        <v>7335683.8495271839</v>
      </c>
      <c r="AI268" s="41">
        <f>'3. Verotulot'!D268/'Veroposentin tuotto'!C268</f>
        <v>38267.024888607593</v>
      </c>
      <c r="AJ268" s="41">
        <f>'3. Verotulot'!I268/'Veroposentin tuotto'!D268</f>
        <v>39317.468354430377</v>
      </c>
      <c r="AK268" s="41">
        <f>'3. Verotulot'!N268/'Veroposentin tuotto'!E268</f>
        <v>39331.645569620254</v>
      </c>
      <c r="AL268" s="41">
        <f>'3. Verotulot'!S268/'Veroposentin tuotto'!F268</f>
        <v>38855.139240506331</v>
      </c>
      <c r="AM268" s="41">
        <f>'3. Verotulot'!X268/'Veroposentin tuotto'!G268</f>
        <v>40958.582278481015</v>
      </c>
      <c r="AN268" s="41">
        <f>'3. Verotulot'!AC268/'Veroposentin tuotto'!H268</f>
        <v>42808.493827160491</v>
      </c>
      <c r="AO268" s="41">
        <f>'3. Verotulot'!AH268/'Veroposentin tuotto'!I268</f>
        <v>44284.040578271604</v>
      </c>
      <c r="AP268" s="41">
        <f>'3. Verotulot'!AM268/'Veroposentin tuotto'!J268</f>
        <v>47106.03099753087</v>
      </c>
      <c r="AQ268" s="41">
        <f>'3. Verotulot'!AR268/'Veroposentin tuotto'!K268</f>
        <v>62782.253772667544</v>
      </c>
      <c r="AR268" s="41">
        <f>'3. Verotulot'!AW268/'Veroposentin tuotto'!L268</f>
        <v>58818.91827747284</v>
      </c>
      <c r="AS268" s="41">
        <f>'3. Verotulot'!BB268/'Veroposentin tuotto'!M268</f>
        <v>62482.618892746192</v>
      </c>
      <c r="AT268" s="41">
        <f>'3. Verotulot'!BG268/'Veroposentin tuotto'!N268</f>
        <v>66230.340705306575</v>
      </c>
      <c r="AU268" s="41">
        <f>'3. Verotulot'!BL268/'Veroposentin tuotto'!O268</f>
        <v>69608.214793447245</v>
      </c>
      <c r="AV268" s="41">
        <f>'3. Verotulot'!BQ268/'Veroposentin tuotto'!P268</f>
        <v>73356.838495271833</v>
      </c>
      <c r="AX268" s="146"/>
      <c r="AZ268" s="34">
        <v>837</v>
      </c>
      <c r="BA268" s="88" t="s">
        <v>582</v>
      </c>
      <c r="BB268" s="41">
        <f>AI268/'1. Väestöennuste'!E268*1000</f>
        <v>169.98651768675802</v>
      </c>
      <c r="BC268" s="41">
        <f>AJ268/'1. Väestöennuste'!F268*1000</f>
        <v>172.23804881164907</v>
      </c>
      <c r="BD268" s="41">
        <f>AK268/'1. Väestöennuste'!G268*1000</f>
        <v>169.64044273578628</v>
      </c>
      <c r="BE268" s="41">
        <f>AL268/'1. Väestöennuste'!H268*1000</f>
        <v>165.17303355526221</v>
      </c>
      <c r="BF268" s="41">
        <f>AM268/'1. Väestöennuste'!I268*1000</f>
        <v>171.99371075199889</v>
      </c>
      <c r="BG268" s="41">
        <f>AN268/'1. Väestöennuste'!J268*1000</f>
        <v>177.62197190627941</v>
      </c>
      <c r="BH268" s="41">
        <f>AO268/'1. Väestöennuste'!K268*1000</f>
        <v>181.32624928148292</v>
      </c>
      <c r="BI268" s="41">
        <f>AP268/'1. Väestöennuste'!L268*1000</f>
        <v>189.17400976483125</v>
      </c>
      <c r="BJ268" s="41">
        <f>AQ268/'1. Väestöennuste'!M268*1000</f>
        <v>246.15665074560889</v>
      </c>
      <c r="BK268" s="41">
        <f>AR268/'1. Väestöennuste'!N268*1000</f>
        <v>231.71376905202365</v>
      </c>
      <c r="BL268" s="41">
        <f>AS268/'1. Väestöennuste'!O268*1000</f>
        <v>243.51530828940861</v>
      </c>
      <c r="BM268" s="41">
        <f>AT268/'1. Väestöennuste'!P268*1000</f>
        <v>255.52716222903794</v>
      </c>
      <c r="BN268" s="41">
        <f>AU268/'1. Väestöennuste'!Q268*1000</f>
        <v>266.00815048111696</v>
      </c>
      <c r="BO268" s="41">
        <f>AV268/'1. Väestöennuste'!R268*1000</f>
        <v>277.80157120400452</v>
      </c>
    </row>
    <row r="269" spans="1:67" x14ac:dyDescent="0.25">
      <c r="A269" s="30">
        <v>844</v>
      </c>
      <c r="B269" s="47" t="s">
        <v>583</v>
      </c>
      <c r="C269" s="47">
        <v>19.75</v>
      </c>
      <c r="D269" s="47">
        <v>20.75</v>
      </c>
      <c r="E269" s="47">
        <v>20.75</v>
      </c>
      <c r="F269" s="47">
        <v>20.75</v>
      </c>
      <c r="G269" s="47">
        <v>20.75</v>
      </c>
      <c r="H269" s="58">
        <v>21.5</v>
      </c>
      <c r="I269" s="139">
        <v>21.5</v>
      </c>
      <c r="J269" s="139">
        <v>21.5</v>
      </c>
      <c r="K269" s="139">
        <f t="shared" si="15"/>
        <v>8.86</v>
      </c>
      <c r="L269" s="139">
        <v>9.9</v>
      </c>
      <c r="M269" s="139">
        <f t="shared" si="18"/>
        <v>9.9</v>
      </c>
      <c r="N269" s="147">
        <f t="shared" si="18"/>
        <v>9.9</v>
      </c>
      <c r="O269" s="147">
        <f t="shared" si="18"/>
        <v>9.9</v>
      </c>
      <c r="P269" s="147">
        <f t="shared" si="18"/>
        <v>9.9</v>
      </c>
      <c r="Q269" s="147"/>
      <c r="S269" s="41">
        <f>'3. Verotulot'!D269*100/'Veroposentin tuotto'!C269</f>
        <v>17755.103544303798</v>
      </c>
      <c r="T269" s="41">
        <f>'3. Verotulot'!I269*100/'Veroposentin tuotto'!D269</f>
        <v>17778.313253012049</v>
      </c>
      <c r="U269" s="41">
        <f>'3. Verotulot'!N269*100/'Veroposentin tuotto'!E269</f>
        <v>17720.481927710844</v>
      </c>
      <c r="V269" s="41">
        <f>'3. Verotulot'!S269*100/'Veroposentin tuotto'!F269</f>
        <v>16583.132530120482</v>
      </c>
      <c r="W269" s="41">
        <f>'3. Verotulot'!X269*100/'Veroposentin tuotto'!G269</f>
        <v>16862.650602409638</v>
      </c>
      <c r="X269" s="41">
        <f>'3. Verotulot'!AC269*100/'Veroposentin tuotto'!H269</f>
        <v>17646.511627906977</v>
      </c>
      <c r="Y269" s="41">
        <f>'3. Verotulot'!AH269*100/'Veroposentin tuotto'!I269</f>
        <v>19227.437348837208</v>
      </c>
      <c r="Z269" s="41">
        <f>'3. Verotulot'!AM269*100/'Veroposentin tuotto'!J269</f>
        <v>19101.794511627904</v>
      </c>
      <c r="AA269" s="41">
        <f>'3. Verotulot'!AR269*100/'Veroposentin tuotto'!K269</f>
        <v>22544.55925507901</v>
      </c>
      <c r="AB269" s="41">
        <f>'3. Verotulot'!AW269*100/'Veroposentin tuotto'!L269</f>
        <v>21899.353417554954</v>
      </c>
      <c r="AC269" s="41">
        <f>'3. Verotulot'!BB269*100/'Veroposentin tuotto'!M269</f>
        <v>23588.873618691236</v>
      </c>
      <c r="AD269" s="41">
        <f>'3. Verotulot'!BG269*100/'Veroposentin tuotto'!N269</f>
        <v>24539.624994716534</v>
      </c>
      <c r="AE269" s="41">
        <f>'3. Verotulot'!BL269*100/'Veroposentin tuotto'!O269</f>
        <v>25464.404414027707</v>
      </c>
      <c r="AF269" s="41">
        <f>'3. Verotulot'!BQ269*100/'Veroposentin tuotto'!P269</f>
        <v>26468.915758480489</v>
      </c>
      <c r="AI269" s="41">
        <f>'3. Verotulot'!D269/'Veroposentin tuotto'!C269</f>
        <v>177.55103544303799</v>
      </c>
      <c r="AJ269" s="41">
        <f>'3. Verotulot'!I269/'Veroposentin tuotto'!D269</f>
        <v>177.78313253012047</v>
      </c>
      <c r="AK269" s="41">
        <f>'3. Verotulot'!N269/'Veroposentin tuotto'!E269</f>
        <v>177.20481927710844</v>
      </c>
      <c r="AL269" s="41">
        <f>'3. Verotulot'!S269/'Veroposentin tuotto'!F269</f>
        <v>165.83132530120483</v>
      </c>
      <c r="AM269" s="41">
        <f>'3. Verotulot'!X269/'Veroposentin tuotto'!G269</f>
        <v>168.62650602409639</v>
      </c>
      <c r="AN269" s="41">
        <f>'3. Verotulot'!AC269/'Veroposentin tuotto'!H269</f>
        <v>176.46511627906978</v>
      </c>
      <c r="AO269" s="41">
        <f>'3. Verotulot'!AH269/'Veroposentin tuotto'!I269</f>
        <v>192.27437348837208</v>
      </c>
      <c r="AP269" s="41">
        <f>'3. Verotulot'!AM269/'Veroposentin tuotto'!J269</f>
        <v>191.01794511627904</v>
      </c>
      <c r="AQ269" s="41">
        <f>'3. Verotulot'!AR269/'Veroposentin tuotto'!K269</f>
        <v>225.44559255079008</v>
      </c>
      <c r="AR269" s="41">
        <f>'3. Verotulot'!AW269/'Veroposentin tuotto'!L269</f>
        <v>218.99353417554954</v>
      </c>
      <c r="AS269" s="41">
        <f>'3. Verotulot'!BB269/'Veroposentin tuotto'!M269</f>
        <v>235.88873618691235</v>
      </c>
      <c r="AT269" s="41">
        <f>'3. Verotulot'!BG269/'Veroposentin tuotto'!N269</f>
        <v>245.39624994716536</v>
      </c>
      <c r="AU269" s="41">
        <f>'3. Verotulot'!BL269/'Veroposentin tuotto'!O269</f>
        <v>254.64404414027706</v>
      </c>
      <c r="AV269" s="41">
        <f>'3. Verotulot'!BQ269/'Veroposentin tuotto'!P269</f>
        <v>264.68915758480489</v>
      </c>
      <c r="AX269" s="146"/>
      <c r="AZ269" s="34">
        <v>844</v>
      </c>
      <c r="BA269" s="88" t="s">
        <v>583</v>
      </c>
      <c r="BB269" s="41">
        <f>AI269/'1. Väestöennuste'!E269*1000</f>
        <v>110.41731059890422</v>
      </c>
      <c r="BC269" s="41">
        <f>AJ269/'1. Väestöennuste'!F269*1000</f>
        <v>110.35576196779668</v>
      </c>
      <c r="BD269" s="41">
        <f>AK269/'1. Väestöennuste'!G269*1000</f>
        <v>111.80114780890123</v>
      </c>
      <c r="BE269" s="41">
        <f>AL269/'1. Väestöennuste'!H269*1000</f>
        <v>105.82726566764826</v>
      </c>
      <c r="BF269" s="41">
        <f>AM269/'1. Väestöennuste'!I269*1000</f>
        <v>110.93849080532657</v>
      </c>
      <c r="BG269" s="41">
        <f>AN269/'1. Väestöennuste'!J269*1000</f>
        <v>117.40859366538243</v>
      </c>
      <c r="BH269" s="41">
        <f>AO269/'1. Väestöennuste'!K269*1000</f>
        <v>130.00295705772282</v>
      </c>
      <c r="BI269" s="41">
        <f>AP269/'1. Väestöennuste'!L269*1000</f>
        <v>132.55929570872937</v>
      </c>
      <c r="BJ269" s="41">
        <f>AQ269/'1. Väestöennuste'!M269*1000</f>
        <v>159.66401738724508</v>
      </c>
      <c r="BK269" s="41">
        <f>AR269/'1. Väestöennuste'!N269*1000</f>
        <v>152.71515632883512</v>
      </c>
      <c r="BL269" s="41">
        <f>AS269/'1. Väestöennuste'!O269*1000</f>
        <v>165.88518719192149</v>
      </c>
      <c r="BM269" s="41">
        <f>AT269/'1. Väestöennuste'!P269*1000</f>
        <v>173.79337814955053</v>
      </c>
      <c r="BN269" s="41">
        <f>AU269/'1. Väestöennuste'!Q269*1000</f>
        <v>181.62913276767264</v>
      </c>
      <c r="BO269" s="41">
        <f>AV269/'1. Väestöennuste'!R269*1000</f>
        <v>190.28695728598481</v>
      </c>
    </row>
    <row r="270" spans="1:67" x14ac:dyDescent="0.25">
      <c r="A270" s="30">
        <v>845</v>
      </c>
      <c r="B270" s="47" t="s">
        <v>584</v>
      </c>
      <c r="C270" s="47">
        <v>19.5</v>
      </c>
      <c r="D270" s="47">
        <v>19.5</v>
      </c>
      <c r="E270" s="47">
        <v>19.5</v>
      </c>
      <c r="F270" s="47">
        <v>19.5</v>
      </c>
      <c r="G270" s="47">
        <v>19.5</v>
      </c>
      <c r="H270" s="58">
        <v>20</v>
      </c>
      <c r="I270" s="139">
        <v>20</v>
      </c>
      <c r="J270" s="139">
        <v>20</v>
      </c>
      <c r="K270" s="139">
        <f t="shared" si="15"/>
        <v>7.3599999999999994</v>
      </c>
      <c r="L270" s="139">
        <v>6.9</v>
      </c>
      <c r="M270" s="139">
        <f t="shared" si="18"/>
        <v>6.9</v>
      </c>
      <c r="N270" s="147">
        <f t="shared" si="18"/>
        <v>6.9</v>
      </c>
      <c r="O270" s="147">
        <f t="shared" si="18"/>
        <v>6.9</v>
      </c>
      <c r="P270" s="147">
        <f t="shared" si="18"/>
        <v>6.9</v>
      </c>
      <c r="Q270" s="147"/>
      <c r="S270" s="41">
        <f>'3. Verotulot'!D270*100/'Veroposentin tuotto'!C270</f>
        <v>42433.750820512825</v>
      </c>
      <c r="T270" s="41">
        <f>'3. Verotulot'!I270*100/'Veroposentin tuotto'!D270</f>
        <v>42502.564102564102</v>
      </c>
      <c r="U270" s="41">
        <f>'3. Verotulot'!N270*100/'Veroposentin tuotto'!E270</f>
        <v>41410.256410256414</v>
      </c>
      <c r="V270" s="41">
        <f>'3. Verotulot'!S270*100/'Veroposentin tuotto'!F270</f>
        <v>40964.102564102563</v>
      </c>
      <c r="W270" s="41">
        <f>'3. Verotulot'!X270*100/'Veroposentin tuotto'!G270</f>
        <v>40758.974358974359</v>
      </c>
      <c r="X270" s="41">
        <f>'3. Verotulot'!AC270*100/'Veroposentin tuotto'!H270</f>
        <v>42380</v>
      </c>
      <c r="Y270" s="41">
        <f>'3. Verotulot'!AH270*100/'Veroposentin tuotto'!I270</f>
        <v>43828.496599999999</v>
      </c>
      <c r="Z270" s="41">
        <f>'3. Verotulot'!AM270*100/'Veroposentin tuotto'!J270</f>
        <v>43212.145049999999</v>
      </c>
      <c r="AA270" s="41">
        <f>'3. Verotulot'!AR270*100/'Veroposentin tuotto'!K270</f>
        <v>56208.067663043475</v>
      </c>
      <c r="AB270" s="41">
        <f>'3. Verotulot'!AW270*100/'Veroposentin tuotto'!L270</f>
        <v>51287.582329911391</v>
      </c>
      <c r="AC270" s="41">
        <f>'3. Verotulot'!BB270*100/'Veroposentin tuotto'!M270</f>
        <v>52393.935418492831</v>
      </c>
      <c r="AD270" s="41">
        <f>'3. Verotulot'!BG270*100/'Veroposentin tuotto'!N270</f>
        <v>53376.62165926618</v>
      </c>
      <c r="AE270" s="41">
        <f>'3. Verotulot'!BL270*100/'Veroposentin tuotto'!O270</f>
        <v>54379.760375975871</v>
      </c>
      <c r="AF270" s="41">
        <f>'3. Verotulot'!BQ270*100/'Veroposentin tuotto'!P270</f>
        <v>55486.960826563423</v>
      </c>
      <c r="AI270" s="41">
        <f>'3. Verotulot'!D270/'Veroposentin tuotto'!C270</f>
        <v>424.33750820512824</v>
      </c>
      <c r="AJ270" s="41">
        <f>'3. Verotulot'!I270/'Veroposentin tuotto'!D270</f>
        <v>425.02564102564105</v>
      </c>
      <c r="AK270" s="41">
        <f>'3. Verotulot'!N270/'Veroposentin tuotto'!E270</f>
        <v>414.10256410256409</v>
      </c>
      <c r="AL270" s="41">
        <f>'3. Verotulot'!S270/'Veroposentin tuotto'!F270</f>
        <v>409.64102564102564</v>
      </c>
      <c r="AM270" s="41">
        <f>'3. Verotulot'!X270/'Veroposentin tuotto'!G270</f>
        <v>407.58974358974359</v>
      </c>
      <c r="AN270" s="41">
        <f>'3. Verotulot'!AC270/'Veroposentin tuotto'!H270</f>
        <v>423.8</v>
      </c>
      <c r="AO270" s="41">
        <f>'3. Verotulot'!AH270/'Veroposentin tuotto'!I270</f>
        <v>438.284966</v>
      </c>
      <c r="AP270" s="41">
        <f>'3. Verotulot'!AM270/'Veroposentin tuotto'!J270</f>
        <v>432.12145049999998</v>
      </c>
      <c r="AQ270" s="41">
        <f>'3. Verotulot'!AR270/'Veroposentin tuotto'!K270</f>
        <v>562.08067663043482</v>
      </c>
      <c r="AR270" s="41">
        <f>'3. Verotulot'!AW270/'Veroposentin tuotto'!L270</f>
        <v>512.8758232991139</v>
      </c>
      <c r="AS270" s="41">
        <f>'3. Verotulot'!BB270/'Veroposentin tuotto'!M270</f>
        <v>523.93935418492833</v>
      </c>
      <c r="AT270" s="41">
        <f>'3. Verotulot'!BG270/'Veroposentin tuotto'!N270</f>
        <v>533.76621659266186</v>
      </c>
      <c r="AU270" s="41">
        <f>'3. Verotulot'!BL270/'Veroposentin tuotto'!O270</f>
        <v>543.79760375975866</v>
      </c>
      <c r="AV270" s="41">
        <f>'3. Verotulot'!BQ270/'Veroposentin tuotto'!P270</f>
        <v>554.86960826563427</v>
      </c>
      <c r="AX270" s="146"/>
      <c r="AZ270" s="34">
        <v>845</v>
      </c>
      <c r="BA270" s="88" t="s">
        <v>584</v>
      </c>
      <c r="BB270" s="41">
        <f>AI270/'1. Väestöennuste'!E270*1000</f>
        <v>132.81299161349867</v>
      </c>
      <c r="BC270" s="41">
        <f>AJ270/'1. Väestöennuste'!F270*1000</f>
        <v>137.14928719768992</v>
      </c>
      <c r="BD270" s="41">
        <f>AK270/'1. Väestöennuste'!G270*1000</f>
        <v>134.97476013773274</v>
      </c>
      <c r="BE270" s="41">
        <f>AL270/'1. Väestöennuste'!H270*1000</f>
        <v>133.78217689125594</v>
      </c>
      <c r="BF270" s="41">
        <f>AM270/'1. Väestöennuste'!I270*1000</f>
        <v>135.81797520484625</v>
      </c>
      <c r="BG270" s="41">
        <f>AN270/'1. Väestöennuste'!J270*1000</f>
        <v>144.88888888888891</v>
      </c>
      <c r="BH270" s="41">
        <f>AO270/'1. Väestöennuste'!K270*1000</f>
        <v>152.07667106176268</v>
      </c>
      <c r="BI270" s="41">
        <f>AP270/'1. Väestöennuste'!L270*1000</f>
        <v>150.93309483059727</v>
      </c>
      <c r="BJ270" s="41">
        <f>AQ270/'1. Väestöennuste'!M270*1000</f>
        <v>198.54492286486573</v>
      </c>
      <c r="BK270" s="41">
        <f>AR270/'1. Väestöennuste'!N270*1000</f>
        <v>188.69603506222001</v>
      </c>
      <c r="BL270" s="41">
        <f>AS270/'1. Väestöennuste'!O270*1000</f>
        <v>195.7919858688073</v>
      </c>
      <c r="BM270" s="41">
        <f>AT270/'1. Väestöennuste'!P270*1000</f>
        <v>202.41418907571554</v>
      </c>
      <c r="BN270" s="41">
        <f>AU270/'1. Väestöennuste'!Q270*1000</f>
        <v>209.31393524240133</v>
      </c>
      <c r="BO270" s="41">
        <f>AV270/'1. Väestöennuste'!R270*1000</f>
        <v>216.66130740555809</v>
      </c>
    </row>
    <row r="271" spans="1:67" x14ac:dyDescent="0.25">
      <c r="A271" s="30">
        <v>846</v>
      </c>
      <c r="B271" s="47" t="s">
        <v>585</v>
      </c>
      <c r="C271" s="47">
        <v>22</v>
      </c>
      <c r="D271" s="47">
        <v>22</v>
      </c>
      <c r="E271" s="47">
        <v>22</v>
      </c>
      <c r="F271" s="47">
        <v>22.5</v>
      </c>
      <c r="G271" s="47">
        <v>22.5</v>
      </c>
      <c r="H271" s="58">
        <v>22.5</v>
      </c>
      <c r="I271" s="139">
        <v>22.5</v>
      </c>
      <c r="J271" s="139">
        <v>22.5</v>
      </c>
      <c r="K271" s="139">
        <f t="shared" ref="K271:K307" si="19">J271-$K$9</f>
        <v>9.86</v>
      </c>
      <c r="L271" s="139">
        <v>9.6999999999999993</v>
      </c>
      <c r="M271" s="139">
        <f t="shared" si="18"/>
        <v>9.6999999999999993</v>
      </c>
      <c r="N271" s="147">
        <f t="shared" si="18"/>
        <v>9.6999999999999993</v>
      </c>
      <c r="O271" s="147">
        <f t="shared" si="18"/>
        <v>9.6999999999999993</v>
      </c>
      <c r="P271" s="147">
        <f t="shared" si="18"/>
        <v>9.6999999999999993</v>
      </c>
      <c r="Q271" s="147"/>
      <c r="S271" s="41">
        <f>'3. Verotulot'!D271*100/'Veroposentin tuotto'!C271</f>
        <v>68182.293272727271</v>
      </c>
      <c r="T271" s="41">
        <f>'3. Verotulot'!I271*100/'Veroposentin tuotto'!D271</f>
        <v>66377.272727272721</v>
      </c>
      <c r="U271" s="41">
        <f>'3. Verotulot'!N271*100/'Veroposentin tuotto'!E271</f>
        <v>68059.090909090912</v>
      </c>
      <c r="V271" s="41">
        <f>'3. Verotulot'!S271*100/'Veroposentin tuotto'!F271</f>
        <v>61551.111111111109</v>
      </c>
      <c r="W271" s="41">
        <f>'3. Verotulot'!X271*100/'Veroposentin tuotto'!G271</f>
        <v>64728.888888888891</v>
      </c>
      <c r="X271" s="41">
        <f>'3. Verotulot'!AC271*100/'Veroposentin tuotto'!H271</f>
        <v>65911.111111111109</v>
      </c>
      <c r="Y271" s="41">
        <f>'3. Verotulot'!AH271*100/'Veroposentin tuotto'!I271</f>
        <v>66951.437822222229</v>
      </c>
      <c r="Z271" s="41">
        <f>'3. Verotulot'!AM271*100/'Veroposentin tuotto'!J271</f>
        <v>68903.953200000004</v>
      </c>
      <c r="AA271" s="41">
        <f>'3. Verotulot'!AR271*100/'Veroposentin tuotto'!K271</f>
        <v>84211.531643002032</v>
      </c>
      <c r="AB271" s="41">
        <f>'3. Verotulot'!AW271*100/'Veroposentin tuotto'!L271</f>
        <v>79976.215518623634</v>
      </c>
      <c r="AC271" s="41">
        <f>'3. Verotulot'!BB271*100/'Veroposentin tuotto'!M271</f>
        <v>83603.287707079566</v>
      </c>
      <c r="AD271" s="41">
        <f>'3. Verotulot'!BG271*100/'Veroposentin tuotto'!N271</f>
        <v>86027.00810664022</v>
      </c>
      <c r="AE271" s="41">
        <f>'3. Verotulot'!BL271*100/'Veroposentin tuotto'!O271</f>
        <v>87601.900258524096</v>
      </c>
      <c r="AF271" s="41">
        <f>'3. Verotulot'!BQ271*100/'Veroposentin tuotto'!P271</f>
        <v>89528.137991737705</v>
      </c>
      <c r="AI271" s="41">
        <f>'3. Verotulot'!D271/'Veroposentin tuotto'!C271</f>
        <v>681.8229327272727</v>
      </c>
      <c r="AJ271" s="41">
        <f>'3. Verotulot'!I271/'Veroposentin tuotto'!D271</f>
        <v>663.77272727272725</v>
      </c>
      <c r="AK271" s="41">
        <f>'3. Verotulot'!N271/'Veroposentin tuotto'!E271</f>
        <v>680.59090909090912</v>
      </c>
      <c r="AL271" s="41">
        <f>'3. Verotulot'!S271/'Veroposentin tuotto'!F271</f>
        <v>615.51111111111106</v>
      </c>
      <c r="AM271" s="41">
        <f>'3. Verotulot'!X271/'Veroposentin tuotto'!G271</f>
        <v>647.28888888888889</v>
      </c>
      <c r="AN271" s="41">
        <f>'3. Verotulot'!AC271/'Veroposentin tuotto'!H271</f>
        <v>659.11111111111109</v>
      </c>
      <c r="AO271" s="41">
        <f>'3. Verotulot'!AH271/'Veroposentin tuotto'!I271</f>
        <v>669.51437822222226</v>
      </c>
      <c r="AP271" s="41">
        <f>'3. Verotulot'!AM271/'Veroposentin tuotto'!J271</f>
        <v>689.03953200000001</v>
      </c>
      <c r="AQ271" s="41">
        <f>'3. Verotulot'!AR271/'Veroposentin tuotto'!K271</f>
        <v>842.11531643002024</v>
      </c>
      <c r="AR271" s="41">
        <f>'3. Verotulot'!AW271/'Veroposentin tuotto'!L271</f>
        <v>799.76215518623633</v>
      </c>
      <c r="AS271" s="41">
        <f>'3. Verotulot'!BB271/'Veroposentin tuotto'!M271</f>
        <v>836.03287707079573</v>
      </c>
      <c r="AT271" s="41">
        <f>'3. Verotulot'!BG271/'Veroposentin tuotto'!N271</f>
        <v>860.27008106640221</v>
      </c>
      <c r="AU271" s="41">
        <f>'3. Verotulot'!BL271/'Veroposentin tuotto'!O271</f>
        <v>876.01900258524097</v>
      </c>
      <c r="AV271" s="41">
        <f>'3. Verotulot'!BQ271/'Veroposentin tuotto'!P271</f>
        <v>895.28137991737719</v>
      </c>
      <c r="AX271" s="146"/>
      <c r="AZ271" s="34">
        <v>846</v>
      </c>
      <c r="BA271" s="88" t="s">
        <v>585</v>
      </c>
      <c r="BB271" s="41">
        <f>AI271/'1. Väestöennuste'!E271*1000</f>
        <v>124.37485091705084</v>
      </c>
      <c r="BC271" s="41">
        <f>AJ271/'1. Väestöennuste'!F271*1000</f>
        <v>123.7689217364772</v>
      </c>
      <c r="BD271" s="41">
        <f>AK271/'1. Väestöennuste'!G271*1000</f>
        <v>129.16889525354131</v>
      </c>
      <c r="BE271" s="41">
        <f>AL271/'1. Väestöennuste'!H271*1000</f>
        <v>119.33135151436818</v>
      </c>
      <c r="BF271" s="41">
        <f>AM271/'1. Väestöennuste'!I271*1000</f>
        <v>127.51948165659749</v>
      </c>
      <c r="BG271" s="41">
        <f>AN271/'1. Väestöennuste'!J271*1000</f>
        <v>131.98059894095135</v>
      </c>
      <c r="BH271" s="41">
        <f>AO271/'1. Väestöennuste'!K271*1000</f>
        <v>135.20080335666847</v>
      </c>
      <c r="BI271" s="41">
        <f>AP271/'1. Väestöennuste'!L271*1000</f>
        <v>141.71936075689018</v>
      </c>
      <c r="BJ271" s="41">
        <f>AQ271/'1. Väestöennuste'!M271*1000</f>
        <v>176.98934771543091</v>
      </c>
      <c r="BK271" s="41">
        <f>AR271/'1. Väestöennuste'!N271*1000</f>
        <v>172.66022348580231</v>
      </c>
      <c r="BL271" s="41">
        <f>AS271/'1. Väestöennuste'!O271*1000</f>
        <v>183.5820986101879</v>
      </c>
      <c r="BM271" s="41">
        <f>AT271/'1. Väestöennuste'!P271*1000</f>
        <v>192.06744386389869</v>
      </c>
      <c r="BN271" s="41">
        <f>AU271/'1. Väestöennuste'!Q271*1000</f>
        <v>198.77898856029975</v>
      </c>
      <c r="BO271" s="41">
        <f>AV271/'1. Väestöennuste'!R271*1000</f>
        <v>206.57161511706903</v>
      </c>
    </row>
    <row r="272" spans="1:67" x14ac:dyDescent="0.25">
      <c r="A272" s="30">
        <v>848</v>
      </c>
      <c r="B272" s="47" t="s">
        <v>586</v>
      </c>
      <c r="C272" s="47">
        <v>21.75</v>
      </c>
      <c r="D272" s="47">
        <v>21.75</v>
      </c>
      <c r="E272" s="47">
        <v>21.75</v>
      </c>
      <c r="F272" s="47">
        <v>21.75</v>
      </c>
      <c r="G272" s="47">
        <v>21.75</v>
      </c>
      <c r="H272" s="58">
        <v>21.75</v>
      </c>
      <c r="I272" s="139">
        <v>21.75</v>
      </c>
      <c r="J272" s="139">
        <v>21.75</v>
      </c>
      <c r="K272" s="139">
        <f t="shared" si="19"/>
        <v>9.11</v>
      </c>
      <c r="L272" s="139">
        <v>9.1</v>
      </c>
      <c r="M272" s="139">
        <f t="shared" si="18"/>
        <v>9.1</v>
      </c>
      <c r="N272" s="147">
        <f t="shared" si="18"/>
        <v>9.1</v>
      </c>
      <c r="O272" s="147">
        <f t="shared" si="18"/>
        <v>9.1</v>
      </c>
      <c r="P272" s="147">
        <f t="shared" si="18"/>
        <v>9.1</v>
      </c>
      <c r="Q272" s="147"/>
      <c r="S272" s="41">
        <f>'3. Verotulot'!D272*100/'Veroposentin tuotto'!C272</f>
        <v>56823.175494252879</v>
      </c>
      <c r="T272" s="41">
        <f>'3. Verotulot'!I272*100/'Veroposentin tuotto'!D272</f>
        <v>54321.839080459773</v>
      </c>
      <c r="U272" s="41">
        <f>'3. Verotulot'!N272*100/'Veroposentin tuotto'!E272</f>
        <v>54478.160919540227</v>
      </c>
      <c r="V272" s="41">
        <f>'3. Verotulot'!S272*100/'Veroposentin tuotto'!F272</f>
        <v>51793.103448275862</v>
      </c>
      <c r="W272" s="41">
        <f>'3. Verotulot'!X272*100/'Veroposentin tuotto'!G272</f>
        <v>53650.574712643676</v>
      </c>
      <c r="X272" s="41">
        <f>'3. Verotulot'!AC272*100/'Veroposentin tuotto'!H272</f>
        <v>53154.022988505749</v>
      </c>
      <c r="Y272" s="41">
        <f>'3. Verotulot'!AH272*100/'Veroposentin tuotto'!I272</f>
        <v>55587.662574712645</v>
      </c>
      <c r="Z272" s="41">
        <f>'3. Verotulot'!AM272*100/'Veroposentin tuotto'!J272</f>
        <v>55307.095954022981</v>
      </c>
      <c r="AA272" s="41">
        <f>'3. Verotulot'!AR272*100/'Veroposentin tuotto'!K272</f>
        <v>66440.06772777169</v>
      </c>
      <c r="AB272" s="41">
        <f>'3. Verotulot'!AW272*100/'Veroposentin tuotto'!L272</f>
        <v>63846.477150611943</v>
      </c>
      <c r="AC272" s="41">
        <f>'3. Verotulot'!BB272*100/'Veroposentin tuotto'!M272</f>
        <v>66423.269626875859</v>
      </c>
      <c r="AD272" s="41">
        <f>'3. Verotulot'!BG272*100/'Veroposentin tuotto'!N272</f>
        <v>68176.950010852917</v>
      </c>
      <c r="AE272" s="41">
        <f>'3. Verotulot'!BL272*100/'Veroposentin tuotto'!O272</f>
        <v>69686.260876094006</v>
      </c>
      <c r="AF272" s="41">
        <f>'3. Verotulot'!BQ272*100/'Veroposentin tuotto'!P272</f>
        <v>71502.94419649693</v>
      </c>
      <c r="AI272" s="41">
        <f>'3. Verotulot'!D272/'Veroposentin tuotto'!C272</f>
        <v>568.23175494252871</v>
      </c>
      <c r="AJ272" s="41">
        <f>'3. Verotulot'!I272/'Veroposentin tuotto'!D272</f>
        <v>543.21839080459768</v>
      </c>
      <c r="AK272" s="41">
        <f>'3. Verotulot'!N272/'Veroposentin tuotto'!E272</f>
        <v>544.78160919540232</v>
      </c>
      <c r="AL272" s="41">
        <f>'3. Verotulot'!S272/'Veroposentin tuotto'!F272</f>
        <v>517.93103448275861</v>
      </c>
      <c r="AM272" s="41">
        <f>'3. Verotulot'!X272/'Veroposentin tuotto'!G272</f>
        <v>536.50574712643675</v>
      </c>
      <c r="AN272" s="41">
        <f>'3. Verotulot'!AC272/'Veroposentin tuotto'!H272</f>
        <v>531.54022988505744</v>
      </c>
      <c r="AO272" s="41">
        <f>'3. Verotulot'!AH272/'Veroposentin tuotto'!I272</f>
        <v>555.87662574712647</v>
      </c>
      <c r="AP272" s="41">
        <f>'3. Verotulot'!AM272/'Veroposentin tuotto'!J272</f>
        <v>553.07095954022986</v>
      </c>
      <c r="AQ272" s="41">
        <f>'3. Verotulot'!AR272/'Veroposentin tuotto'!K272</f>
        <v>664.4006772777168</v>
      </c>
      <c r="AR272" s="41">
        <f>'3. Verotulot'!AW272/'Veroposentin tuotto'!L272</f>
        <v>638.4647715061194</v>
      </c>
      <c r="AS272" s="41">
        <f>'3. Verotulot'!BB272/'Veroposentin tuotto'!M272</f>
        <v>664.23269626875867</v>
      </c>
      <c r="AT272" s="41">
        <f>'3. Verotulot'!BG272/'Veroposentin tuotto'!N272</f>
        <v>681.7695001085292</v>
      </c>
      <c r="AU272" s="41">
        <f>'3. Verotulot'!BL272/'Veroposentin tuotto'!O272</f>
        <v>696.86260876094002</v>
      </c>
      <c r="AV272" s="41">
        <f>'3. Verotulot'!BQ272/'Veroposentin tuotto'!P272</f>
        <v>715.02944196496924</v>
      </c>
      <c r="AX272" s="146"/>
      <c r="AZ272" s="34">
        <v>848</v>
      </c>
      <c r="BA272" s="88" t="s">
        <v>586</v>
      </c>
      <c r="BB272" s="41">
        <f>AI272/'1. Väestöennuste'!E272*1000</f>
        <v>119.93072075612679</v>
      </c>
      <c r="BC272" s="41">
        <f>AJ272/'1. Väestöennuste'!F272*1000</f>
        <v>116.74583941641902</v>
      </c>
      <c r="BD272" s="41">
        <f>AK272/'1. Väestöennuste'!G272*1000</f>
        <v>119.18215033808846</v>
      </c>
      <c r="BE272" s="41">
        <f>AL272/'1. Väestöennuste'!H272*1000</f>
        <v>115.55801751065565</v>
      </c>
      <c r="BF272" s="41">
        <f>AM272/'1. Väestöennuste'!I272*1000</f>
        <v>123.02356045091419</v>
      </c>
      <c r="BG272" s="41">
        <f>AN272/'1. Väestöennuste'!J272*1000</f>
        <v>123.41310190040804</v>
      </c>
      <c r="BH272" s="41">
        <f>AO272/'1. Väestöennuste'!K272*1000</f>
        <v>131.07206454777801</v>
      </c>
      <c r="BI272" s="41">
        <f>AP272/'1. Väestöennuste'!L272*1000</f>
        <v>132.94974988947834</v>
      </c>
      <c r="BJ272" s="41">
        <f>AQ272/'1. Väestöennuste'!M272*1000</f>
        <v>163.40400326554766</v>
      </c>
      <c r="BK272" s="41">
        <f>AR272/'1. Väestöennuste'!N272*1000</f>
        <v>159.69604089697833</v>
      </c>
      <c r="BL272" s="41">
        <f>AS272/'1. Väestöennuste'!O272*1000</f>
        <v>168.62977818450335</v>
      </c>
      <c r="BM272" s="41">
        <f>AT272/'1. Väestöennuste'!P272*1000</f>
        <v>175.57803247708708</v>
      </c>
      <c r="BN272" s="41">
        <f>AU272/'1. Väestöennuste'!Q272*1000</f>
        <v>181.99598035020634</v>
      </c>
      <c r="BO272" s="41">
        <f>AV272/'1. Väestöennuste'!R272*1000</f>
        <v>189.31147523562862</v>
      </c>
    </row>
    <row r="273" spans="1:67" x14ac:dyDescent="0.25">
      <c r="A273" s="30">
        <v>849</v>
      </c>
      <c r="B273" s="47" t="s">
        <v>587</v>
      </c>
      <c r="C273" s="47">
        <v>21.5</v>
      </c>
      <c r="D273" s="47">
        <v>21.5</v>
      </c>
      <c r="E273" s="47">
        <v>21.5</v>
      </c>
      <c r="F273" s="47">
        <v>21.75</v>
      </c>
      <c r="G273" s="47">
        <v>21.75</v>
      </c>
      <c r="H273" s="58">
        <v>21.75</v>
      </c>
      <c r="I273" s="139">
        <v>21.75</v>
      </c>
      <c r="J273" s="139">
        <v>21.75</v>
      </c>
      <c r="K273" s="139">
        <f t="shared" si="19"/>
        <v>9.11</v>
      </c>
      <c r="L273" s="139">
        <v>9.5</v>
      </c>
      <c r="M273" s="139">
        <f t="shared" si="18"/>
        <v>9.5</v>
      </c>
      <c r="N273" s="147">
        <f t="shared" si="18"/>
        <v>9.5</v>
      </c>
      <c r="O273" s="147">
        <f t="shared" si="18"/>
        <v>9.5</v>
      </c>
      <c r="P273" s="147">
        <f t="shared" si="18"/>
        <v>9.5</v>
      </c>
      <c r="Q273" s="147"/>
      <c r="S273" s="41">
        <f>'3. Verotulot'!D273*100/'Veroposentin tuotto'!C273</f>
        <v>42476.242604651161</v>
      </c>
      <c r="T273" s="41">
        <f>'3. Verotulot'!I273*100/'Veroposentin tuotto'!D273</f>
        <v>38976.744186046511</v>
      </c>
      <c r="U273" s="41">
        <f>'3. Verotulot'!N273*100/'Veroposentin tuotto'!E273</f>
        <v>36855.813953488374</v>
      </c>
      <c r="V273" s="41">
        <f>'3. Verotulot'!S273*100/'Veroposentin tuotto'!F273</f>
        <v>36202.298850574713</v>
      </c>
      <c r="W273" s="41">
        <f>'3. Verotulot'!X273*100/'Veroposentin tuotto'!G273</f>
        <v>36606.896551724138</v>
      </c>
      <c r="X273" s="41">
        <f>'3. Verotulot'!AC273*100/'Veroposentin tuotto'!H273</f>
        <v>36652.873563218389</v>
      </c>
      <c r="Y273" s="41">
        <f>'3. Verotulot'!AH273*100/'Veroposentin tuotto'!I273</f>
        <v>39242.252091954018</v>
      </c>
      <c r="Z273" s="41">
        <f>'3. Verotulot'!AM273*100/'Veroposentin tuotto'!J273</f>
        <v>38377.559724137929</v>
      </c>
      <c r="AA273" s="41">
        <f>'3. Verotulot'!AR273*100/'Veroposentin tuotto'!K273</f>
        <v>46551.895828759603</v>
      </c>
      <c r="AB273" s="41">
        <f>'3. Verotulot'!AW273*100/'Veroposentin tuotto'!L273</f>
        <v>44017.12255436743</v>
      </c>
      <c r="AC273" s="41">
        <f>'3. Verotulot'!BB273*100/'Veroposentin tuotto'!M273</f>
        <v>45142.443852716809</v>
      </c>
      <c r="AD273" s="41">
        <f>'3. Verotulot'!BG273*100/'Veroposentin tuotto'!N273</f>
        <v>46005.61860971729</v>
      </c>
      <c r="AE273" s="41">
        <f>'3. Verotulot'!BL273*100/'Veroposentin tuotto'!O273</f>
        <v>46406.507376392357</v>
      </c>
      <c r="AF273" s="41">
        <f>'3. Verotulot'!BQ273*100/'Veroposentin tuotto'!P273</f>
        <v>47037.416064419376</v>
      </c>
      <c r="AI273" s="41">
        <f>'3. Verotulot'!D273/'Veroposentin tuotto'!C273</f>
        <v>424.76242604651162</v>
      </c>
      <c r="AJ273" s="41">
        <f>'3. Verotulot'!I273/'Veroposentin tuotto'!D273</f>
        <v>389.76744186046511</v>
      </c>
      <c r="AK273" s="41">
        <f>'3. Verotulot'!N273/'Veroposentin tuotto'!E273</f>
        <v>368.55813953488371</v>
      </c>
      <c r="AL273" s="41">
        <f>'3. Verotulot'!S273/'Veroposentin tuotto'!F273</f>
        <v>362.02298850574715</v>
      </c>
      <c r="AM273" s="41">
        <f>'3. Verotulot'!X273/'Veroposentin tuotto'!G273</f>
        <v>366.06896551724139</v>
      </c>
      <c r="AN273" s="41">
        <f>'3. Verotulot'!AC273/'Veroposentin tuotto'!H273</f>
        <v>366.5287356321839</v>
      </c>
      <c r="AO273" s="41">
        <f>'3. Verotulot'!AH273/'Veroposentin tuotto'!I273</f>
        <v>392.4225209195402</v>
      </c>
      <c r="AP273" s="41">
        <f>'3. Verotulot'!AM273/'Veroposentin tuotto'!J273</f>
        <v>383.77559724137933</v>
      </c>
      <c r="AQ273" s="41">
        <f>'3. Verotulot'!AR273/'Veroposentin tuotto'!K273</f>
        <v>465.51895828759604</v>
      </c>
      <c r="AR273" s="41">
        <f>'3. Verotulot'!AW273/'Veroposentin tuotto'!L273</f>
        <v>440.17122554367432</v>
      </c>
      <c r="AS273" s="41">
        <f>'3. Verotulot'!BB273/'Veroposentin tuotto'!M273</f>
        <v>451.42443852716815</v>
      </c>
      <c r="AT273" s="41">
        <f>'3. Verotulot'!BG273/'Veroposentin tuotto'!N273</f>
        <v>460.05618609717288</v>
      </c>
      <c r="AU273" s="41">
        <f>'3. Verotulot'!BL273/'Veroposentin tuotto'!O273</f>
        <v>464.06507376392364</v>
      </c>
      <c r="AV273" s="41">
        <f>'3. Verotulot'!BQ273/'Veroposentin tuotto'!P273</f>
        <v>470.37416064419375</v>
      </c>
      <c r="AX273" s="146"/>
      <c r="AZ273" s="34">
        <v>849</v>
      </c>
      <c r="BA273" s="88" t="s">
        <v>587</v>
      </c>
      <c r="BB273" s="41">
        <f>AI273/'1. Väestöennuste'!E273*1000</f>
        <v>128.28825915026025</v>
      </c>
      <c r="BC273" s="41">
        <f>AJ273/'1. Väestöennuste'!F273*1000</f>
        <v>120.59636196177757</v>
      </c>
      <c r="BD273" s="41">
        <f>AK273/'1. Väestöennuste'!G273*1000</f>
        <v>115.46307629538963</v>
      </c>
      <c r="BE273" s="41">
        <f>AL273/'1. Väestöennuste'!H273*1000</f>
        <v>116.33129450698816</v>
      </c>
      <c r="BF273" s="41">
        <f>AM273/'1. Väestöennuste'!I273*1000</f>
        <v>120.69533976829588</v>
      </c>
      <c r="BG273" s="41">
        <f>AN273/'1. Väestöennuste'!J273*1000</f>
        <v>123.57678207423598</v>
      </c>
      <c r="BH273" s="41">
        <f>AO273/'1. Väestöennuste'!K273*1000</f>
        <v>133.56791045593607</v>
      </c>
      <c r="BI273" s="41">
        <f>AP273/'1. Väestöennuste'!L273*1000</f>
        <v>132.1996545784979</v>
      </c>
      <c r="BJ273" s="41">
        <f>AQ273/'1. Väestöennuste'!M273*1000</f>
        <v>163.39731775626396</v>
      </c>
      <c r="BK273" s="41">
        <f>AR273/'1. Väestöennuste'!N273*1000</f>
        <v>163.08678234296937</v>
      </c>
      <c r="BL273" s="41">
        <f>AS273/'1. Väestöennuste'!O273*1000</f>
        <v>171.18863804594926</v>
      </c>
      <c r="BM273" s="41">
        <f>AT273/'1. Väestöennuste'!P273*1000</f>
        <v>178.38549286435551</v>
      </c>
      <c r="BN273" s="41">
        <f>AU273/'1. Väestöennuste'!Q273*1000</f>
        <v>183.86096424878116</v>
      </c>
      <c r="BO273" s="41">
        <f>AV273/'1. Väestöennuste'!R273*1000</f>
        <v>190.35781491064094</v>
      </c>
    </row>
    <row r="274" spans="1:67" x14ac:dyDescent="0.25">
      <c r="A274" s="30">
        <v>850</v>
      </c>
      <c r="B274" s="47" t="s">
        <v>588</v>
      </c>
      <c r="C274" s="47">
        <v>20.5</v>
      </c>
      <c r="D274" s="47">
        <v>20.5</v>
      </c>
      <c r="E274" s="47">
        <v>21</v>
      </c>
      <c r="F274" s="47">
        <v>21</v>
      </c>
      <c r="G274" s="47">
        <v>21</v>
      </c>
      <c r="H274" s="58">
        <v>21</v>
      </c>
      <c r="I274" s="139">
        <v>21</v>
      </c>
      <c r="J274" s="139">
        <v>21</v>
      </c>
      <c r="K274" s="139">
        <f t="shared" si="19"/>
        <v>8.36</v>
      </c>
      <c r="L274" s="139">
        <v>9.4</v>
      </c>
      <c r="M274" s="139">
        <f t="shared" si="18"/>
        <v>9.4</v>
      </c>
      <c r="N274" s="147">
        <f t="shared" si="18"/>
        <v>9.4</v>
      </c>
      <c r="O274" s="147">
        <f t="shared" si="18"/>
        <v>9.4</v>
      </c>
      <c r="P274" s="147">
        <f t="shared" si="18"/>
        <v>9.4</v>
      </c>
      <c r="Q274" s="147"/>
      <c r="S274" s="41">
        <f>'3. Verotulot'!D274*100/'Veroposentin tuotto'!C274</f>
        <v>32825.572097560973</v>
      </c>
      <c r="T274" s="41">
        <f>'3. Verotulot'!I274*100/'Veroposentin tuotto'!D274</f>
        <v>32648.780487804877</v>
      </c>
      <c r="U274" s="41">
        <f>'3. Verotulot'!N274*100/'Veroposentin tuotto'!E274</f>
        <v>32347.619047619046</v>
      </c>
      <c r="V274" s="41">
        <f>'3. Verotulot'!S274*100/'Veroposentin tuotto'!F274</f>
        <v>31733.333333333332</v>
      </c>
      <c r="W274" s="41">
        <f>'3. Verotulot'!X274*100/'Veroposentin tuotto'!G274</f>
        <v>33147.619047619046</v>
      </c>
      <c r="X274" s="41">
        <f>'3. Verotulot'!AC274*100/'Veroposentin tuotto'!H274</f>
        <v>33500</v>
      </c>
      <c r="Y274" s="41">
        <f>'3. Verotulot'!AH274*100/'Veroposentin tuotto'!I274</f>
        <v>35216.429333333333</v>
      </c>
      <c r="Z274" s="41">
        <f>'3. Verotulot'!AM274*100/'Veroposentin tuotto'!J274</f>
        <v>35700.154904761905</v>
      </c>
      <c r="AA274" s="41">
        <f>'3. Verotulot'!AR274*100/'Veroposentin tuotto'!K274</f>
        <v>46691.410167464121</v>
      </c>
      <c r="AB274" s="41">
        <f>'3. Verotulot'!AW274*100/'Veroposentin tuotto'!L274</f>
        <v>42469.485919683604</v>
      </c>
      <c r="AC274" s="41">
        <f>'3. Verotulot'!BB274*100/'Veroposentin tuotto'!M274</f>
        <v>46134.730196954915</v>
      </c>
      <c r="AD274" s="41">
        <f>'3. Verotulot'!BG274*100/'Veroposentin tuotto'!N274</f>
        <v>48303.121799276392</v>
      </c>
      <c r="AE274" s="41">
        <f>'3. Verotulot'!BL274*100/'Veroposentin tuotto'!O274</f>
        <v>50204.054050367369</v>
      </c>
      <c r="AF274" s="41">
        <f>'3. Verotulot'!BQ274*100/'Veroposentin tuotto'!P274</f>
        <v>52128.028217312327</v>
      </c>
      <c r="AI274" s="41">
        <f>'3. Verotulot'!D274/'Veroposentin tuotto'!C274</f>
        <v>328.25572097560979</v>
      </c>
      <c r="AJ274" s="41">
        <f>'3. Verotulot'!I274/'Veroposentin tuotto'!D274</f>
        <v>326.48780487804879</v>
      </c>
      <c r="AK274" s="41">
        <f>'3. Verotulot'!N274/'Veroposentin tuotto'!E274</f>
        <v>323.47619047619048</v>
      </c>
      <c r="AL274" s="41">
        <f>'3. Verotulot'!S274/'Veroposentin tuotto'!F274</f>
        <v>317.33333333333331</v>
      </c>
      <c r="AM274" s="41">
        <f>'3. Verotulot'!X274/'Veroposentin tuotto'!G274</f>
        <v>331.47619047619048</v>
      </c>
      <c r="AN274" s="41">
        <f>'3. Verotulot'!AC274/'Veroposentin tuotto'!H274</f>
        <v>335</v>
      </c>
      <c r="AO274" s="41">
        <f>'3. Verotulot'!AH274/'Veroposentin tuotto'!I274</f>
        <v>352.16429333333338</v>
      </c>
      <c r="AP274" s="41">
        <f>'3. Verotulot'!AM274/'Veroposentin tuotto'!J274</f>
        <v>357.00154904761905</v>
      </c>
      <c r="AQ274" s="41">
        <f>'3. Verotulot'!AR274/'Veroposentin tuotto'!K274</f>
        <v>466.91410167464119</v>
      </c>
      <c r="AR274" s="41">
        <f>'3. Verotulot'!AW274/'Veroposentin tuotto'!L274</f>
        <v>424.69485919683603</v>
      </c>
      <c r="AS274" s="41">
        <f>'3. Verotulot'!BB274/'Veroposentin tuotto'!M274</f>
        <v>461.34730196954911</v>
      </c>
      <c r="AT274" s="41">
        <f>'3. Verotulot'!BG274/'Veroposentin tuotto'!N274</f>
        <v>483.03121799276391</v>
      </c>
      <c r="AU274" s="41">
        <f>'3. Verotulot'!BL274/'Veroposentin tuotto'!O274</f>
        <v>502.0405405036737</v>
      </c>
      <c r="AV274" s="41">
        <f>'3. Verotulot'!BQ274/'Veroposentin tuotto'!P274</f>
        <v>521.28028217312328</v>
      </c>
      <c r="AX274" s="146"/>
      <c r="AZ274" s="34">
        <v>850</v>
      </c>
      <c r="BA274" s="88" t="s">
        <v>588</v>
      </c>
      <c r="BB274" s="41">
        <f>AI274/'1. Väestöennuste'!E274*1000</f>
        <v>135.02909131041127</v>
      </c>
      <c r="BC274" s="41">
        <f>AJ274/'1. Väestöennuste'!F274*1000</f>
        <v>134.24663029525033</v>
      </c>
      <c r="BD274" s="41">
        <f>AK274/'1. Väestöennuste'!G274*1000</f>
        <v>135.68632150846915</v>
      </c>
      <c r="BE274" s="41">
        <f>AL274/'1. Väestöennuste'!H274*1000</f>
        <v>131.89249099473537</v>
      </c>
      <c r="BF274" s="41">
        <f>AM274/'1. Väestöennuste'!I274*1000</f>
        <v>138.80912499002952</v>
      </c>
      <c r="BG274" s="41">
        <f>AN274/'1. Väestöennuste'!J274*1000</f>
        <v>139.52519783423571</v>
      </c>
      <c r="BH274" s="41">
        <f>AO274/'1. Väestöennuste'!K274*1000</f>
        <v>147.53426616394361</v>
      </c>
      <c r="BI274" s="41">
        <f>AP274/'1. Väestöennuste'!L274*1000</f>
        <v>148.31805112073911</v>
      </c>
      <c r="BJ274" s="41">
        <f>AQ274/'1. Väestöennuste'!M274*1000</f>
        <v>197.17656320719647</v>
      </c>
      <c r="BK274" s="41">
        <f>AR274/'1. Väestöennuste'!N274*1000</f>
        <v>177.69659380620755</v>
      </c>
      <c r="BL274" s="41">
        <f>AS274/'1. Väestöennuste'!O274*1000</f>
        <v>193.59937136783429</v>
      </c>
      <c r="BM274" s="41">
        <f>AT274/'1. Väestöennuste'!P274*1000</f>
        <v>203.2104408888363</v>
      </c>
      <c r="BN274" s="41">
        <f>AU274/'1. Väestöennuste'!Q274*1000</f>
        <v>212.01036338837574</v>
      </c>
      <c r="BO274" s="41">
        <f>AV274/'1. Väestöennuste'!R274*1000</f>
        <v>221.35043829007358</v>
      </c>
    </row>
    <row r="275" spans="1:67" x14ac:dyDescent="0.25">
      <c r="A275" s="30">
        <v>851</v>
      </c>
      <c r="B275" s="47" t="s">
        <v>589</v>
      </c>
      <c r="C275" s="47">
        <v>20.5</v>
      </c>
      <c r="D275" s="47">
        <v>20.5</v>
      </c>
      <c r="E275" s="47">
        <v>21</v>
      </c>
      <c r="F275" s="47">
        <v>21</v>
      </c>
      <c r="G275" s="47">
        <v>21</v>
      </c>
      <c r="H275" s="58">
        <v>21</v>
      </c>
      <c r="I275" s="139">
        <v>21</v>
      </c>
      <c r="J275" s="139">
        <v>21</v>
      </c>
      <c r="K275" s="139">
        <f t="shared" si="19"/>
        <v>8.36</v>
      </c>
      <c r="L275" s="139">
        <v>8.4</v>
      </c>
      <c r="M275" s="139">
        <f t="shared" ref="M275:P294" si="20">L275</f>
        <v>8.4</v>
      </c>
      <c r="N275" s="147">
        <f t="shared" si="20"/>
        <v>8.4</v>
      </c>
      <c r="O275" s="147">
        <f t="shared" si="20"/>
        <v>8.4</v>
      </c>
      <c r="P275" s="147">
        <f t="shared" si="20"/>
        <v>8.4</v>
      </c>
      <c r="Q275" s="147"/>
      <c r="S275" s="41">
        <f>'3. Verotulot'!D275*100/'Veroposentin tuotto'!C275</f>
        <v>349309.30551219516</v>
      </c>
      <c r="T275" s="41">
        <f>'3. Verotulot'!I275*100/'Veroposentin tuotto'!D275</f>
        <v>353317.07317073172</v>
      </c>
      <c r="U275" s="41">
        <f>'3. Verotulot'!N275*100/'Veroposentin tuotto'!E275</f>
        <v>348571.42857142858</v>
      </c>
      <c r="V275" s="41">
        <f>'3. Verotulot'!S275*100/'Veroposentin tuotto'!F275</f>
        <v>349866.66666666669</v>
      </c>
      <c r="W275" s="41">
        <f>'3. Verotulot'!X275*100/'Veroposentin tuotto'!G275</f>
        <v>351404.76190476189</v>
      </c>
      <c r="X275" s="41">
        <f>'3. Verotulot'!AC275*100/'Veroposentin tuotto'!H275</f>
        <v>364457.14285714284</v>
      </c>
      <c r="Y275" s="41">
        <f>'3. Verotulot'!AH275*100/'Veroposentin tuotto'!I275</f>
        <v>377361.66861904756</v>
      </c>
      <c r="Z275" s="41">
        <f>'3. Verotulot'!AM275*100/'Veroposentin tuotto'!J275</f>
        <v>385651.94204761903</v>
      </c>
      <c r="AA275" s="41">
        <f>'3. Verotulot'!AR275*100/'Veroposentin tuotto'!K275</f>
        <v>492968.25669856463</v>
      </c>
      <c r="AB275" s="41">
        <f>'3. Verotulot'!AW275*100/'Veroposentin tuotto'!L275</f>
        <v>451442.98400526703</v>
      </c>
      <c r="AC275" s="41">
        <f>'3. Verotulot'!BB275*100/'Veroposentin tuotto'!M275</f>
        <v>475096.60621947178</v>
      </c>
      <c r="AD275" s="41">
        <f>'3. Verotulot'!BG275*100/'Veroposentin tuotto'!N275</f>
        <v>494154.46525860141</v>
      </c>
      <c r="AE275" s="41">
        <f>'3. Verotulot'!BL275*100/'Veroposentin tuotto'!O275</f>
        <v>509384.12182543136</v>
      </c>
      <c r="AF275" s="41">
        <f>'3. Verotulot'!BQ275*100/'Veroposentin tuotto'!P275</f>
        <v>526484.388396736</v>
      </c>
      <c r="AI275" s="41">
        <f>'3. Verotulot'!D275/'Veroposentin tuotto'!C275</f>
        <v>3493.0930551219512</v>
      </c>
      <c r="AJ275" s="41">
        <f>'3. Verotulot'!I275/'Veroposentin tuotto'!D275</f>
        <v>3533.1707317073169</v>
      </c>
      <c r="AK275" s="41">
        <f>'3. Verotulot'!N275/'Veroposentin tuotto'!E275</f>
        <v>3485.7142857142858</v>
      </c>
      <c r="AL275" s="41">
        <f>'3. Verotulot'!S275/'Veroposentin tuotto'!F275</f>
        <v>3498.6666666666665</v>
      </c>
      <c r="AM275" s="41">
        <f>'3. Verotulot'!X275/'Veroposentin tuotto'!G275</f>
        <v>3514.0476190476193</v>
      </c>
      <c r="AN275" s="41">
        <f>'3. Verotulot'!AC275/'Veroposentin tuotto'!H275</f>
        <v>3644.5714285714284</v>
      </c>
      <c r="AO275" s="41">
        <f>'3. Verotulot'!AH275/'Veroposentin tuotto'!I275</f>
        <v>3773.6166861904758</v>
      </c>
      <c r="AP275" s="41">
        <f>'3. Verotulot'!AM275/'Veroposentin tuotto'!J275</f>
        <v>3856.5194204761901</v>
      </c>
      <c r="AQ275" s="41">
        <f>'3. Verotulot'!AR275/'Veroposentin tuotto'!K275</f>
        <v>4929.6825669856462</v>
      </c>
      <c r="AR275" s="41">
        <f>'3. Verotulot'!AW275/'Veroposentin tuotto'!L275</f>
        <v>4514.4298400526704</v>
      </c>
      <c r="AS275" s="41">
        <f>'3. Verotulot'!BB275/'Veroposentin tuotto'!M275</f>
        <v>4750.9660621947178</v>
      </c>
      <c r="AT275" s="41">
        <f>'3. Verotulot'!BG275/'Veroposentin tuotto'!N275</f>
        <v>4941.5446525860143</v>
      </c>
      <c r="AU275" s="41">
        <f>'3. Verotulot'!BL275/'Veroposentin tuotto'!O275</f>
        <v>5093.8412182543143</v>
      </c>
      <c r="AV275" s="41">
        <f>'3. Verotulot'!BQ275/'Veroposentin tuotto'!P275</f>
        <v>5264.8438839673609</v>
      </c>
      <c r="AX275" s="146"/>
      <c r="AZ275" s="34">
        <v>851</v>
      </c>
      <c r="BA275" s="88" t="s">
        <v>589</v>
      </c>
      <c r="BB275" s="41">
        <f>AI275/'1. Väestöennuste'!E275*1000</f>
        <v>157.35362201549398</v>
      </c>
      <c r="BC275" s="41">
        <f>AJ275/'1. Väestöennuste'!F275*1000</f>
        <v>159.74909489113881</v>
      </c>
      <c r="BD275" s="41">
        <f>AK275/'1. Väestöennuste'!G275*1000</f>
        <v>158.96179705008601</v>
      </c>
      <c r="BE275" s="41">
        <f>AL275/'1. Väestöennuste'!H275*1000</f>
        <v>159.93904761904761</v>
      </c>
      <c r="BF275" s="41">
        <f>AM275/'1. Väestöennuste'!I275*1000</f>
        <v>162.67232751817514</v>
      </c>
      <c r="BG275" s="41">
        <f>AN275/'1. Väestöennuste'!J275*1000</f>
        <v>169.77553587233561</v>
      </c>
      <c r="BH275" s="41">
        <f>AO275/'1. Väestöennuste'!K275*1000</f>
        <v>176.89104608777367</v>
      </c>
      <c r="BI275" s="41">
        <f>AP275/'1. Väestöennuste'!L275*1000</f>
        <v>181.67990862939607</v>
      </c>
      <c r="BJ275" s="41">
        <f>AQ275/'1. Väestöennuste'!M275*1000</f>
        <v>234.54574969005833</v>
      </c>
      <c r="BK275" s="41">
        <f>AR275/'1. Väestöennuste'!N275*1000</f>
        <v>216.12551896077511</v>
      </c>
      <c r="BL275" s="41">
        <f>AS275/'1. Väestöennuste'!O275*1000</f>
        <v>228.98429063980711</v>
      </c>
      <c r="BM275" s="41">
        <f>AT275/'1. Väestöennuste'!P275*1000</f>
        <v>239.74115333718291</v>
      </c>
      <c r="BN275" s="41">
        <f>AU275/'1. Väestöennuste'!Q275*1000</f>
        <v>248.77130388036309</v>
      </c>
      <c r="BO275" s="41">
        <f>AV275/'1. Väestöennuste'!R275*1000</f>
        <v>258.84188220095183</v>
      </c>
    </row>
    <row r="276" spans="1:67" x14ac:dyDescent="0.25">
      <c r="A276" s="30">
        <v>853</v>
      </c>
      <c r="B276" s="47" t="s">
        <v>590</v>
      </c>
      <c r="C276" s="47">
        <v>19.5</v>
      </c>
      <c r="D276" s="47">
        <v>19.5</v>
      </c>
      <c r="E276" s="47">
        <v>19.5</v>
      </c>
      <c r="F276" s="47">
        <v>19.5</v>
      </c>
      <c r="G276" s="47">
        <v>19.5</v>
      </c>
      <c r="H276" s="58">
        <v>19.5</v>
      </c>
      <c r="I276" s="139">
        <v>19.5</v>
      </c>
      <c r="J276" s="139">
        <v>19.5</v>
      </c>
      <c r="K276" s="139">
        <f t="shared" si="19"/>
        <v>6.8599999999999994</v>
      </c>
      <c r="L276" s="139">
        <v>6.9</v>
      </c>
      <c r="M276" s="139">
        <f t="shared" si="20"/>
        <v>6.9</v>
      </c>
      <c r="N276" s="147">
        <f t="shared" si="20"/>
        <v>6.9</v>
      </c>
      <c r="O276" s="147">
        <f t="shared" si="20"/>
        <v>6.9</v>
      </c>
      <c r="P276" s="147">
        <f t="shared" si="20"/>
        <v>6.9</v>
      </c>
      <c r="Q276" s="147"/>
      <c r="S276" s="41">
        <f>'3. Verotulot'!D276*100/'Veroposentin tuotto'!C276</f>
        <v>3049715.2008717945</v>
      </c>
      <c r="T276" s="41">
        <f>'3. Verotulot'!I276*100/'Veroposentin tuotto'!D276</f>
        <v>3112902.564102564</v>
      </c>
      <c r="U276" s="41">
        <f>'3. Verotulot'!N276*100/'Veroposentin tuotto'!E276</f>
        <v>3082179.487179487</v>
      </c>
      <c r="V276" s="41">
        <f>'3. Verotulot'!S276*100/'Veroposentin tuotto'!F276</f>
        <v>3085779.487179487</v>
      </c>
      <c r="W276" s="41">
        <f>'3. Verotulot'!X276*100/'Veroposentin tuotto'!G276</f>
        <v>3189466.6666666665</v>
      </c>
      <c r="X276" s="41">
        <f>'3. Verotulot'!AC276*100/'Veroposentin tuotto'!H276</f>
        <v>3354220.512820513</v>
      </c>
      <c r="Y276" s="41">
        <f>'3. Verotulot'!AH276*100/'Veroposentin tuotto'!I276</f>
        <v>3412135.591692308</v>
      </c>
      <c r="Z276" s="41">
        <f>'3. Verotulot'!AM276*100/'Veroposentin tuotto'!J276</f>
        <v>3577083.7314358973</v>
      </c>
      <c r="AA276" s="41">
        <f>'3. Verotulot'!AR276*100/'Veroposentin tuotto'!K276</f>
        <v>4747210.372157434</v>
      </c>
      <c r="AB276" s="41">
        <f>'3. Verotulot'!AW276*100/'Veroposentin tuotto'!L276</f>
        <v>4454046.4241027022</v>
      </c>
      <c r="AC276" s="41">
        <f>'3. Verotulot'!BB276*100/'Veroposentin tuotto'!M276</f>
        <v>4705279.9462773679</v>
      </c>
      <c r="AD276" s="41">
        <f>'3. Verotulot'!BG276*100/'Veroposentin tuotto'!N276</f>
        <v>4961557.0603440264</v>
      </c>
      <c r="AE276" s="41">
        <f>'3. Verotulot'!BL276*100/'Veroposentin tuotto'!O276</f>
        <v>5197207.5544606689</v>
      </c>
      <c r="AF276" s="41">
        <f>'3. Verotulot'!BQ276*100/'Veroposentin tuotto'!P276</f>
        <v>5461471.2973084748</v>
      </c>
      <c r="AI276" s="41">
        <f>'3. Verotulot'!D276/'Veroposentin tuotto'!C276</f>
        <v>30497.152008717945</v>
      </c>
      <c r="AJ276" s="41">
        <f>'3. Verotulot'!I276/'Veroposentin tuotto'!D276</f>
        <v>31129.025641025641</v>
      </c>
      <c r="AK276" s="41">
        <f>'3. Verotulot'!N276/'Veroposentin tuotto'!E276</f>
        <v>30821.794871794871</v>
      </c>
      <c r="AL276" s="41">
        <f>'3. Verotulot'!S276/'Veroposentin tuotto'!F276</f>
        <v>30857.794871794871</v>
      </c>
      <c r="AM276" s="41">
        <f>'3. Verotulot'!X276/'Veroposentin tuotto'!G276</f>
        <v>31894.666666666668</v>
      </c>
      <c r="AN276" s="41">
        <f>'3. Verotulot'!AC276/'Veroposentin tuotto'!H276</f>
        <v>33542.205128205125</v>
      </c>
      <c r="AO276" s="41">
        <f>'3. Verotulot'!AH276/'Veroposentin tuotto'!I276</f>
        <v>34121.355916923079</v>
      </c>
      <c r="AP276" s="41">
        <f>'3. Verotulot'!AM276/'Veroposentin tuotto'!J276</f>
        <v>35770.837314358971</v>
      </c>
      <c r="AQ276" s="41">
        <f>'3. Verotulot'!AR276/'Veroposentin tuotto'!K276</f>
        <v>47472.103721574342</v>
      </c>
      <c r="AR276" s="41">
        <f>'3. Verotulot'!AW276/'Veroposentin tuotto'!L276</f>
        <v>44540.464241027017</v>
      </c>
      <c r="AS276" s="41">
        <f>'3. Verotulot'!BB276/'Veroposentin tuotto'!M276</f>
        <v>47052.799462773677</v>
      </c>
      <c r="AT276" s="41">
        <f>'3. Verotulot'!BG276/'Veroposentin tuotto'!N276</f>
        <v>49615.570603440261</v>
      </c>
      <c r="AU276" s="41">
        <f>'3. Verotulot'!BL276/'Veroposentin tuotto'!O276</f>
        <v>51972.075544606683</v>
      </c>
      <c r="AV276" s="41">
        <f>'3. Verotulot'!BQ276/'Veroposentin tuotto'!P276</f>
        <v>54614.712973084752</v>
      </c>
      <c r="AX276" s="146"/>
      <c r="AZ276" s="34">
        <v>853</v>
      </c>
      <c r="BA276" s="88" t="s">
        <v>590</v>
      </c>
      <c r="BB276" s="41">
        <f>AI276/'1. Väestöennuste'!E276*1000</f>
        <v>164.04432304536624</v>
      </c>
      <c r="BC276" s="41">
        <f>AJ276/'1. Väestöennuste'!F276*1000</f>
        <v>165.92943455910131</v>
      </c>
      <c r="BD276" s="41">
        <f>AK276/'1. Väestöennuste'!G276*1000</f>
        <v>162.50307046378094</v>
      </c>
      <c r="BE276" s="41">
        <f>AL276/'1. Väestöennuste'!H276*1000</f>
        <v>161.2796403708488</v>
      </c>
      <c r="BF276" s="41">
        <f>AM276/'1. Väestöennuste'!I276*1000</f>
        <v>165.28988436410626</v>
      </c>
      <c r="BG276" s="41">
        <f>AN276/'1. Väestöennuste'!J276*1000</f>
        <v>172.55019588460948</v>
      </c>
      <c r="BH276" s="41">
        <f>AO276/'1. Väestöennuste'!K276*1000</f>
        <v>174.85846311526302</v>
      </c>
      <c r="BI276" s="41">
        <f>AP276/'1. Väestöennuste'!L276*1000</f>
        <v>180.75208344799884</v>
      </c>
      <c r="BJ276" s="41">
        <f>AQ276/'1. Väestöennuste'!M276*1000</f>
        <v>235.16991088795044</v>
      </c>
      <c r="BK276" s="41">
        <f>AR276/'1. Väestöennuste'!N276*1000</f>
        <v>222.68116649431812</v>
      </c>
      <c r="BL276" s="41">
        <f>AS276/'1. Väestöennuste'!O276*1000</f>
        <v>233.80970097381129</v>
      </c>
      <c r="BM276" s="41">
        <f>AT276/'1. Väestöennuste'!P276*1000</f>
        <v>245.08778207587562</v>
      </c>
      <c r="BN276" s="41">
        <f>AU276/'1. Väestöennuste'!Q276*1000</f>
        <v>255.25932832988718</v>
      </c>
      <c r="BO276" s="41">
        <f>AV276/'1. Väestöennuste'!R276*1000</f>
        <v>266.74764447665979</v>
      </c>
    </row>
    <row r="277" spans="1:67" x14ac:dyDescent="0.25">
      <c r="A277" s="30">
        <v>854</v>
      </c>
      <c r="B277" s="47" t="s">
        <v>591</v>
      </c>
      <c r="C277" s="47">
        <v>20.25</v>
      </c>
      <c r="D277" s="47">
        <v>20.25</v>
      </c>
      <c r="E277" s="47">
        <v>20.25</v>
      </c>
      <c r="F277" s="47">
        <v>21</v>
      </c>
      <c r="G277" s="47">
        <v>21.25</v>
      </c>
      <c r="H277" s="58">
        <v>21.25</v>
      </c>
      <c r="I277" s="139">
        <v>21.25</v>
      </c>
      <c r="J277" s="139">
        <v>21.25</v>
      </c>
      <c r="K277" s="139">
        <f t="shared" si="19"/>
        <v>8.61</v>
      </c>
      <c r="L277" s="139">
        <v>9</v>
      </c>
      <c r="M277" s="139">
        <f t="shared" si="20"/>
        <v>9</v>
      </c>
      <c r="N277" s="147">
        <f t="shared" si="20"/>
        <v>9</v>
      </c>
      <c r="O277" s="147">
        <f t="shared" si="20"/>
        <v>9</v>
      </c>
      <c r="P277" s="147">
        <f t="shared" si="20"/>
        <v>9</v>
      </c>
      <c r="Q277" s="147"/>
      <c r="S277" s="41">
        <f>'3. Verotulot'!D277*100/'Veroposentin tuotto'!C277</f>
        <v>48702.182172839508</v>
      </c>
      <c r="T277" s="41">
        <f>'3. Verotulot'!I277*100/'Veroposentin tuotto'!D277</f>
        <v>49071.604938271608</v>
      </c>
      <c r="U277" s="41">
        <f>'3. Verotulot'!N277*100/'Veroposentin tuotto'!E277</f>
        <v>47175.308641975309</v>
      </c>
      <c r="V277" s="41">
        <f>'3. Verotulot'!S277*100/'Veroposentin tuotto'!F277</f>
        <v>45576.190476190473</v>
      </c>
      <c r="W277" s="41">
        <f>'3. Verotulot'!X277*100/'Veroposentin tuotto'!G277</f>
        <v>44917.647058823532</v>
      </c>
      <c r="X277" s="41">
        <f>'3. Verotulot'!AC277*100/'Veroposentin tuotto'!H277</f>
        <v>46757.647058823532</v>
      </c>
      <c r="Y277" s="41">
        <f>'3. Verotulot'!AH277*100/'Veroposentin tuotto'!I277</f>
        <v>48593.773176470597</v>
      </c>
      <c r="Z277" s="41">
        <f>'3. Verotulot'!AM277*100/'Veroposentin tuotto'!J277</f>
        <v>51069.803670588233</v>
      </c>
      <c r="AA277" s="41">
        <f>'3. Verotulot'!AR277*100/'Veroposentin tuotto'!K277</f>
        <v>62089.142508710807</v>
      </c>
      <c r="AB277" s="41">
        <f>'3. Verotulot'!AW277*100/'Veroposentin tuotto'!L277</f>
        <v>57314.898341642256</v>
      </c>
      <c r="AC277" s="41">
        <f>'3. Verotulot'!BB277*100/'Veroposentin tuotto'!M277</f>
        <v>58535.44518114462</v>
      </c>
      <c r="AD277" s="41">
        <f>'3. Verotulot'!BG277*100/'Veroposentin tuotto'!N277</f>
        <v>59822.21276459231</v>
      </c>
      <c r="AE277" s="41">
        <f>'3. Verotulot'!BL277*100/'Veroposentin tuotto'!O277</f>
        <v>60863.184938949984</v>
      </c>
      <c r="AF277" s="41">
        <f>'3. Verotulot'!BQ277*100/'Veroposentin tuotto'!P277</f>
        <v>62098.614002849587</v>
      </c>
      <c r="AI277" s="41">
        <f>'3. Verotulot'!D277/'Veroposentin tuotto'!C277</f>
        <v>487.02182172839508</v>
      </c>
      <c r="AJ277" s="41">
        <f>'3. Verotulot'!I277/'Veroposentin tuotto'!D277</f>
        <v>490.71604938271605</v>
      </c>
      <c r="AK277" s="41">
        <f>'3. Verotulot'!N277/'Veroposentin tuotto'!E277</f>
        <v>471.75308641975306</v>
      </c>
      <c r="AL277" s="41">
        <f>'3. Verotulot'!S277/'Veroposentin tuotto'!F277</f>
        <v>455.76190476190476</v>
      </c>
      <c r="AM277" s="41">
        <f>'3. Verotulot'!X277/'Veroposentin tuotto'!G277</f>
        <v>449.1764705882353</v>
      </c>
      <c r="AN277" s="41">
        <f>'3. Verotulot'!AC277/'Veroposentin tuotto'!H277</f>
        <v>467.57647058823528</v>
      </c>
      <c r="AO277" s="41">
        <f>'3. Verotulot'!AH277/'Veroposentin tuotto'!I277</f>
        <v>485.93773176470592</v>
      </c>
      <c r="AP277" s="41">
        <f>'3. Verotulot'!AM277/'Veroposentin tuotto'!J277</f>
        <v>510.69803670588232</v>
      </c>
      <c r="AQ277" s="41">
        <f>'3. Verotulot'!AR277/'Veroposentin tuotto'!K277</f>
        <v>620.89142508710813</v>
      </c>
      <c r="AR277" s="41">
        <f>'3. Verotulot'!AW277/'Veroposentin tuotto'!L277</f>
        <v>573.14898341642254</v>
      </c>
      <c r="AS277" s="41">
        <f>'3. Verotulot'!BB277/'Veroposentin tuotto'!M277</f>
        <v>585.35445181144621</v>
      </c>
      <c r="AT277" s="41">
        <f>'3. Verotulot'!BG277/'Veroposentin tuotto'!N277</f>
        <v>598.22212764592314</v>
      </c>
      <c r="AU277" s="41">
        <f>'3. Verotulot'!BL277/'Veroposentin tuotto'!O277</f>
        <v>608.63184938949985</v>
      </c>
      <c r="AV277" s="41">
        <f>'3. Verotulot'!BQ277/'Veroposentin tuotto'!P277</f>
        <v>620.98614002849581</v>
      </c>
      <c r="AX277" s="146"/>
      <c r="AZ277" s="34">
        <v>854</v>
      </c>
      <c r="BA277" s="88" t="s">
        <v>591</v>
      </c>
      <c r="BB277" s="41">
        <f>AI277/'1. Väestöennuste'!E277*1000</f>
        <v>134.42501289770772</v>
      </c>
      <c r="BC277" s="41">
        <f>AJ277/'1. Väestöennuste'!F277*1000</f>
        <v>137.64826069641404</v>
      </c>
      <c r="BD277" s="41">
        <f>AK277/'1. Väestöennuste'!G277*1000</f>
        <v>134.40258872357637</v>
      </c>
      <c r="BE277" s="41">
        <f>AL277/'1. Väestöennuste'!H277*1000</f>
        <v>132.56599905814565</v>
      </c>
      <c r="BF277" s="41">
        <f>AM277/'1. Väestöennuste'!I277*1000</f>
        <v>133.1682391308139</v>
      </c>
      <c r="BG277" s="41">
        <f>AN277/'1. Väestöennuste'!J277*1000</f>
        <v>141.51830223614868</v>
      </c>
      <c r="BH277" s="41">
        <f>AO277/'1. Väestöennuste'!K277*1000</f>
        <v>147.43256424900059</v>
      </c>
      <c r="BI277" s="41">
        <f>AP277/'1. Väestöennuste'!L277*1000</f>
        <v>156.55979052908717</v>
      </c>
      <c r="BJ277" s="41">
        <f>AQ277/'1. Väestöennuste'!M277*1000</f>
        <v>190.86733018355613</v>
      </c>
      <c r="BK277" s="41">
        <f>AR277/'1. Väestöennuste'!N277*1000</f>
        <v>187.05906769465489</v>
      </c>
      <c r="BL277" s="41">
        <f>AS277/'1. Väestöennuste'!O277*1000</f>
        <v>194.21182873637895</v>
      </c>
      <c r="BM277" s="41">
        <f>AT277/'1. Väestöennuste'!P277*1000</f>
        <v>201.55732063541885</v>
      </c>
      <c r="BN277" s="41">
        <f>AU277/'1. Väestöennuste'!Q277*1000</f>
        <v>208.22163851847412</v>
      </c>
      <c r="BO277" s="41">
        <f>AV277/'1. Väestöennuste'!R277*1000</f>
        <v>215.54534537608325</v>
      </c>
    </row>
    <row r="278" spans="1:67" x14ac:dyDescent="0.25">
      <c r="A278" s="30">
        <v>857</v>
      </c>
      <c r="B278" s="47" t="s">
        <v>592</v>
      </c>
      <c r="C278" s="47">
        <v>22</v>
      </c>
      <c r="D278" s="47">
        <v>22</v>
      </c>
      <c r="E278" s="47">
        <v>22</v>
      </c>
      <c r="F278" s="47">
        <v>22</v>
      </c>
      <c r="G278" s="47">
        <v>22</v>
      </c>
      <c r="H278" s="58">
        <v>22</v>
      </c>
      <c r="I278" s="139">
        <v>22</v>
      </c>
      <c r="J278" s="139">
        <v>22</v>
      </c>
      <c r="K278" s="139">
        <f t="shared" si="19"/>
        <v>9.36</v>
      </c>
      <c r="L278" s="139">
        <v>9.4</v>
      </c>
      <c r="M278" s="139">
        <f t="shared" si="20"/>
        <v>9.4</v>
      </c>
      <c r="N278" s="147">
        <f t="shared" si="20"/>
        <v>9.4</v>
      </c>
      <c r="O278" s="147">
        <f t="shared" si="20"/>
        <v>9.4</v>
      </c>
      <c r="P278" s="147">
        <f t="shared" si="20"/>
        <v>9.4</v>
      </c>
      <c r="Q278" s="147"/>
      <c r="S278" s="41">
        <f>'3. Verotulot'!D278*100/'Veroposentin tuotto'!C278</f>
        <v>30750.736999999997</v>
      </c>
      <c r="T278" s="41">
        <f>'3. Verotulot'!I278*100/'Veroposentin tuotto'!D278</f>
        <v>31927.272727272728</v>
      </c>
      <c r="U278" s="41">
        <f>'3. Verotulot'!N278*100/'Veroposentin tuotto'!E278</f>
        <v>30268.18181818182</v>
      </c>
      <c r="V278" s="41">
        <f>'3. Verotulot'!S278*100/'Veroposentin tuotto'!F278</f>
        <v>28100</v>
      </c>
      <c r="W278" s="41">
        <f>'3. Verotulot'!X278*100/'Veroposentin tuotto'!G278</f>
        <v>30263.636363636364</v>
      </c>
      <c r="X278" s="41">
        <f>'3. Verotulot'!AC278*100/'Veroposentin tuotto'!H278</f>
        <v>30027.272727272728</v>
      </c>
      <c r="Y278" s="41">
        <f>'3. Verotulot'!AH278*100/'Veroposentin tuotto'!I278</f>
        <v>31437.278727272726</v>
      </c>
      <c r="Z278" s="41">
        <f>'3. Verotulot'!AM278*100/'Veroposentin tuotto'!J278</f>
        <v>30736.341363636358</v>
      </c>
      <c r="AA278" s="41">
        <f>'3. Verotulot'!AR278*100/'Veroposentin tuotto'!K278</f>
        <v>38176.754380341881</v>
      </c>
      <c r="AB278" s="41">
        <f>'3. Verotulot'!AW278*100/'Veroposentin tuotto'!L278</f>
        <v>35472.380780839769</v>
      </c>
      <c r="AC278" s="41">
        <f>'3. Verotulot'!BB278*100/'Veroposentin tuotto'!M278</f>
        <v>37521.417379473118</v>
      </c>
      <c r="AD278" s="41">
        <f>'3. Verotulot'!BG278*100/'Veroposentin tuotto'!N278</f>
        <v>38438.804189382237</v>
      </c>
      <c r="AE278" s="41">
        <f>'3. Verotulot'!BL278*100/'Veroposentin tuotto'!O278</f>
        <v>39322.255754690195</v>
      </c>
      <c r="AF278" s="41">
        <f>'3. Verotulot'!BQ278*100/'Veroposentin tuotto'!P278</f>
        <v>40328.948713280661</v>
      </c>
      <c r="AI278" s="41">
        <f>'3. Verotulot'!D278/'Veroposentin tuotto'!C278</f>
        <v>307.50736999999998</v>
      </c>
      <c r="AJ278" s="41">
        <f>'3. Verotulot'!I278/'Veroposentin tuotto'!D278</f>
        <v>319.27272727272725</v>
      </c>
      <c r="AK278" s="41">
        <f>'3. Verotulot'!N278/'Veroposentin tuotto'!E278</f>
        <v>302.68181818181819</v>
      </c>
      <c r="AL278" s="41">
        <f>'3. Verotulot'!S278/'Veroposentin tuotto'!F278</f>
        <v>281</v>
      </c>
      <c r="AM278" s="41">
        <f>'3. Verotulot'!X278/'Veroposentin tuotto'!G278</f>
        <v>302.63636363636363</v>
      </c>
      <c r="AN278" s="41">
        <f>'3. Verotulot'!AC278/'Veroposentin tuotto'!H278</f>
        <v>300.27272727272725</v>
      </c>
      <c r="AO278" s="41">
        <f>'3. Verotulot'!AH278/'Veroposentin tuotto'!I278</f>
        <v>314.37278727272729</v>
      </c>
      <c r="AP278" s="41">
        <f>'3. Verotulot'!AM278/'Veroposentin tuotto'!J278</f>
        <v>307.36341363636359</v>
      </c>
      <c r="AQ278" s="41">
        <f>'3. Verotulot'!AR278/'Veroposentin tuotto'!K278</f>
        <v>381.76754380341879</v>
      </c>
      <c r="AR278" s="41">
        <f>'3. Verotulot'!AW278/'Veroposentin tuotto'!L278</f>
        <v>354.72380780839768</v>
      </c>
      <c r="AS278" s="41">
        <f>'3. Verotulot'!BB278/'Veroposentin tuotto'!M278</f>
        <v>375.21417379473115</v>
      </c>
      <c r="AT278" s="41">
        <f>'3. Verotulot'!BG278/'Veroposentin tuotto'!N278</f>
        <v>384.38804189382233</v>
      </c>
      <c r="AU278" s="41">
        <f>'3. Verotulot'!BL278/'Veroposentin tuotto'!O278</f>
        <v>393.22255754690195</v>
      </c>
      <c r="AV278" s="41">
        <f>'3. Verotulot'!BQ278/'Veroposentin tuotto'!P278</f>
        <v>403.28948713280664</v>
      </c>
      <c r="AX278" s="146"/>
      <c r="AZ278" s="34">
        <v>857</v>
      </c>
      <c r="BA278" s="88" t="s">
        <v>592</v>
      </c>
      <c r="BB278" s="41">
        <f>AI278/'1. Väestöennuste'!E278*1000</f>
        <v>113.09575947039352</v>
      </c>
      <c r="BC278" s="41">
        <f>AJ278/'1. Väestöennuste'!F278*1000</f>
        <v>120.79936711037732</v>
      </c>
      <c r="BD278" s="41">
        <f>AK278/'1. Väestöennuste'!G278*1000</f>
        <v>116.55056533762733</v>
      </c>
      <c r="BE278" s="41">
        <f>AL278/'1. Väestöennuste'!H278*1000</f>
        <v>110.15288122304977</v>
      </c>
      <c r="BF278" s="41">
        <f>AM278/'1. Väestöennuste'!I278*1000</f>
        <v>122.17858846845523</v>
      </c>
      <c r="BG278" s="41">
        <f>AN278/'1. Väestöennuste'!J278*1000</f>
        <v>123.41665732541195</v>
      </c>
      <c r="BH278" s="41">
        <f>AO278/'1. Väestöennuste'!K278*1000</f>
        <v>129.90611044327574</v>
      </c>
      <c r="BI278" s="41">
        <f>AP278/'1. Väestöennuste'!L278*1000</f>
        <v>128.3890616693248</v>
      </c>
      <c r="BJ278" s="41">
        <f>AQ278/'1. Väestöennuste'!M278*1000</f>
        <v>165.05298045975735</v>
      </c>
      <c r="BK278" s="41">
        <f>AR278/'1. Väestöennuste'!N278*1000</f>
        <v>158.0765631944731</v>
      </c>
      <c r="BL278" s="41">
        <f>AS278/'1. Väestöennuste'!O278*1000</f>
        <v>170.01095323730456</v>
      </c>
      <c r="BM278" s="41">
        <f>AT278/'1. Väestöennuste'!P278*1000</f>
        <v>176.81142681408571</v>
      </c>
      <c r="BN278" s="41">
        <f>AU278/'1. Väestöennuste'!Q278*1000</f>
        <v>183.57729110499625</v>
      </c>
      <c r="BO278" s="41">
        <f>AV278/'1. Väestöennuste'!R278*1000</f>
        <v>190.86109187544091</v>
      </c>
    </row>
    <row r="279" spans="1:67" x14ac:dyDescent="0.25">
      <c r="A279" s="30">
        <v>858</v>
      </c>
      <c r="B279" s="47" t="s">
        <v>593</v>
      </c>
      <c r="C279" s="47">
        <v>19.5</v>
      </c>
      <c r="D279" s="47">
        <v>19.5</v>
      </c>
      <c r="E279" s="47">
        <v>19.5</v>
      </c>
      <c r="F279" s="47">
        <v>19.5</v>
      </c>
      <c r="G279" s="47">
        <v>19.5</v>
      </c>
      <c r="H279" s="58">
        <v>19.5</v>
      </c>
      <c r="I279" s="139">
        <v>19.75</v>
      </c>
      <c r="J279" s="139">
        <v>19.75</v>
      </c>
      <c r="K279" s="139">
        <f t="shared" si="19"/>
        <v>7.1099999999999994</v>
      </c>
      <c r="L279" s="139">
        <v>7.1</v>
      </c>
      <c r="M279" s="139">
        <f t="shared" si="20"/>
        <v>7.1</v>
      </c>
      <c r="N279" s="147">
        <f t="shared" si="20"/>
        <v>7.1</v>
      </c>
      <c r="O279" s="147">
        <f t="shared" si="20"/>
        <v>7.1</v>
      </c>
      <c r="P279" s="147">
        <f t="shared" si="20"/>
        <v>7.1</v>
      </c>
      <c r="Q279" s="147"/>
      <c r="S279" s="41">
        <f>'3. Verotulot'!D279*100/'Veroposentin tuotto'!C279</f>
        <v>799105.09533333324</v>
      </c>
      <c r="T279" s="41">
        <f>'3. Verotulot'!I279*100/'Veroposentin tuotto'!D279</f>
        <v>826605.12820512825</v>
      </c>
      <c r="U279" s="41">
        <f>'3. Verotulot'!N279*100/'Veroposentin tuotto'!E279</f>
        <v>820015.38461538462</v>
      </c>
      <c r="V279" s="41">
        <f>'3. Verotulot'!S279*100/'Veroposentin tuotto'!F279</f>
        <v>826569.23076923075</v>
      </c>
      <c r="W279" s="41">
        <f>'3. Verotulot'!X279*100/'Veroposentin tuotto'!G279</f>
        <v>841594.87179487175</v>
      </c>
      <c r="X279" s="41">
        <f>'3. Verotulot'!AC279*100/'Veroposentin tuotto'!H279</f>
        <v>890523.07692307688</v>
      </c>
      <c r="Y279" s="41">
        <f>'3. Verotulot'!AH279*100/'Veroposentin tuotto'!I279</f>
        <v>891687.60111392394</v>
      </c>
      <c r="Z279" s="41">
        <f>'3. Verotulot'!AM279*100/'Veroposentin tuotto'!J279</f>
        <v>956581.57113924052</v>
      </c>
      <c r="AA279" s="41">
        <f>'3. Verotulot'!AR279*100/'Veroposentin tuotto'!K279</f>
        <v>1279677.5097046413</v>
      </c>
      <c r="AB279" s="41">
        <f>'3. Verotulot'!AW279*100/'Veroposentin tuotto'!L279</f>
        <v>1157262.5357335366</v>
      </c>
      <c r="AC279" s="41">
        <f>'3. Verotulot'!BB279*100/'Veroposentin tuotto'!M279</f>
        <v>1200179.1696086845</v>
      </c>
      <c r="AD279" s="41">
        <f>'3. Verotulot'!BG279*100/'Veroposentin tuotto'!N279</f>
        <v>1250127.2125372002</v>
      </c>
      <c r="AE279" s="41">
        <f>'3. Verotulot'!BL279*100/'Veroposentin tuotto'!O279</f>
        <v>1293391.9986924273</v>
      </c>
      <c r="AF279" s="41">
        <f>'3. Verotulot'!BQ279*100/'Veroposentin tuotto'!P279</f>
        <v>1341384.7993949328</v>
      </c>
      <c r="AI279" s="41">
        <f>'3. Verotulot'!D279/'Veroposentin tuotto'!C279</f>
        <v>7991.0509533333334</v>
      </c>
      <c r="AJ279" s="41">
        <f>'3. Verotulot'!I279/'Veroposentin tuotto'!D279</f>
        <v>8266.0512820512813</v>
      </c>
      <c r="AK279" s="41">
        <f>'3. Verotulot'!N279/'Veroposentin tuotto'!E279</f>
        <v>8200.1538461538457</v>
      </c>
      <c r="AL279" s="41">
        <f>'3. Verotulot'!S279/'Veroposentin tuotto'!F279</f>
        <v>8265.6923076923085</v>
      </c>
      <c r="AM279" s="41">
        <f>'3. Verotulot'!X279/'Veroposentin tuotto'!G279</f>
        <v>8415.9487179487187</v>
      </c>
      <c r="AN279" s="41">
        <f>'3. Verotulot'!AC279/'Veroposentin tuotto'!H279</f>
        <v>8905.2307692307695</v>
      </c>
      <c r="AO279" s="41">
        <f>'3. Verotulot'!AH279/'Veroposentin tuotto'!I279</f>
        <v>8916.8760111392403</v>
      </c>
      <c r="AP279" s="41">
        <f>'3. Verotulot'!AM279/'Veroposentin tuotto'!J279</f>
        <v>9565.8157113924044</v>
      </c>
      <c r="AQ279" s="41">
        <f>'3. Verotulot'!AR279/'Veroposentin tuotto'!K279</f>
        <v>12796.775097046413</v>
      </c>
      <c r="AR279" s="41">
        <f>'3. Verotulot'!AW279/'Veroposentin tuotto'!L279</f>
        <v>11572.625357335364</v>
      </c>
      <c r="AS279" s="41">
        <f>'3. Verotulot'!BB279/'Veroposentin tuotto'!M279</f>
        <v>12001.791696086844</v>
      </c>
      <c r="AT279" s="41">
        <f>'3. Verotulot'!BG279/'Veroposentin tuotto'!N279</f>
        <v>12501.272125372003</v>
      </c>
      <c r="AU279" s="41">
        <f>'3. Verotulot'!BL279/'Veroposentin tuotto'!O279</f>
        <v>12933.919986924271</v>
      </c>
      <c r="AV279" s="41">
        <f>'3. Verotulot'!BQ279/'Veroposentin tuotto'!P279</f>
        <v>13413.847993949328</v>
      </c>
      <c r="AX279" s="146"/>
      <c r="AZ279" s="34">
        <v>858</v>
      </c>
      <c r="BA279" s="88" t="s">
        <v>593</v>
      </c>
      <c r="BB279" s="41">
        <f>AI279/'1. Väestöennuste'!E279*1000</f>
        <v>207.7810383351968</v>
      </c>
      <c r="BC279" s="41">
        <f>AJ279/'1. Väestöennuste'!F279*1000</f>
        <v>214.21300098609106</v>
      </c>
      <c r="BD279" s="41">
        <f>AK279/'1. Väestöennuste'!G279*1000</f>
        <v>212.18635424504077</v>
      </c>
      <c r="BE279" s="41">
        <f>AL279/'1. Väestöennuste'!H279*1000</f>
        <v>213.78264814019008</v>
      </c>
      <c r="BF279" s="41">
        <f>AM279/'1. Väestöennuste'!I279*1000</f>
        <v>218.03540811805277</v>
      </c>
      <c r="BG279" s="41">
        <f>AN279/'1. Väestöennuste'!J279*1000</f>
        <v>229.61686226518756</v>
      </c>
      <c r="BH279" s="41">
        <f>AO279/'1. Väestöennuste'!K279*1000</f>
        <v>224.50465811821439</v>
      </c>
      <c r="BI279" s="41">
        <f>AP279/'1. Väestöennuste'!L279*1000</f>
        <v>236.87142708479607</v>
      </c>
      <c r="BJ279" s="41">
        <f>AQ279/'1. Väestöennuste'!M279*1000</f>
        <v>309.56444668456174</v>
      </c>
      <c r="BK279" s="41">
        <f>AR279/'1. Väestöennuste'!N279*1000</f>
        <v>294.82142402709002</v>
      </c>
      <c r="BL279" s="41">
        <f>AS279/'1. Väestöennuste'!O279*1000</f>
        <v>304.93131675314015</v>
      </c>
      <c r="BM279" s="41">
        <f>AT279/'1. Väestöennuste'!P279*1000</f>
        <v>316.76858293100224</v>
      </c>
      <c r="BN279" s="41">
        <f>AU279/'1. Väestöennuste'!Q279*1000</f>
        <v>326.86176363215242</v>
      </c>
      <c r="BO279" s="41">
        <f>AV279/'1. Väestöennuste'!R279*1000</f>
        <v>338.16991866962456</v>
      </c>
    </row>
    <row r="280" spans="1:67" x14ac:dyDescent="0.25">
      <c r="A280" s="30">
        <v>859</v>
      </c>
      <c r="B280" s="47" t="s">
        <v>594</v>
      </c>
      <c r="C280" s="47">
        <v>20.5</v>
      </c>
      <c r="D280" s="47">
        <v>20.5</v>
      </c>
      <c r="E280" s="47">
        <v>20.5</v>
      </c>
      <c r="F280" s="47">
        <v>21</v>
      </c>
      <c r="G280" s="47">
        <v>22</v>
      </c>
      <c r="H280" s="58">
        <v>22</v>
      </c>
      <c r="I280" s="139">
        <v>21.999999999999996</v>
      </c>
      <c r="J280" s="139">
        <v>21.999999999999996</v>
      </c>
      <c r="K280" s="139">
        <f t="shared" si="19"/>
        <v>9.3599999999999959</v>
      </c>
      <c r="L280" s="139">
        <v>9.9</v>
      </c>
      <c r="M280" s="139">
        <f t="shared" si="20"/>
        <v>9.9</v>
      </c>
      <c r="N280" s="147">
        <f t="shared" si="20"/>
        <v>9.9</v>
      </c>
      <c r="O280" s="147">
        <f t="shared" si="20"/>
        <v>9.9</v>
      </c>
      <c r="P280" s="147">
        <f t="shared" si="20"/>
        <v>9.9</v>
      </c>
      <c r="Q280" s="147"/>
      <c r="S280" s="41">
        <f>'3. Verotulot'!D280*100/'Veroposentin tuotto'!C280</f>
        <v>81010.975707317062</v>
      </c>
      <c r="T280" s="41">
        <f>'3. Verotulot'!I280*100/'Veroposentin tuotto'!D280</f>
        <v>81146.341463414632</v>
      </c>
      <c r="U280" s="41">
        <f>'3. Verotulot'!N280*100/'Veroposentin tuotto'!E280</f>
        <v>81843.902439024387</v>
      </c>
      <c r="V280" s="41">
        <f>'3. Verotulot'!S280*100/'Veroposentin tuotto'!F280</f>
        <v>80838.095238095237</v>
      </c>
      <c r="W280" s="41">
        <f>'3. Verotulot'!X280*100/'Veroposentin tuotto'!G280</f>
        <v>83577.272727272721</v>
      </c>
      <c r="X280" s="41">
        <f>'3. Verotulot'!AC280*100/'Veroposentin tuotto'!H280</f>
        <v>84700</v>
      </c>
      <c r="Y280" s="41">
        <f>'3. Verotulot'!AH280*100/'Veroposentin tuotto'!I280</f>
        <v>90650.645272727284</v>
      </c>
      <c r="Z280" s="41">
        <f>'3. Verotulot'!AM280*100/'Veroposentin tuotto'!J280</f>
        <v>92165.361863636368</v>
      </c>
      <c r="AA280" s="41">
        <f>'3. Verotulot'!AR280*100/'Veroposentin tuotto'!K280</f>
        <v>112157.37179487184</v>
      </c>
      <c r="AB280" s="41">
        <f>'3. Verotulot'!AW280*100/'Veroposentin tuotto'!L280</f>
        <v>109606.92176060141</v>
      </c>
      <c r="AC280" s="41">
        <f>'3. Verotulot'!BB280*100/'Veroposentin tuotto'!M280</f>
        <v>116772.64521605603</v>
      </c>
      <c r="AD280" s="41">
        <f>'3. Verotulot'!BG280*100/'Veroposentin tuotto'!N280</f>
        <v>122674.22940955403</v>
      </c>
      <c r="AE280" s="41">
        <f>'3. Verotulot'!BL280*100/'Veroposentin tuotto'!O280</f>
        <v>126591.31142925865</v>
      </c>
      <c r="AF280" s="41">
        <f>'3. Verotulot'!BQ280*100/'Veroposentin tuotto'!P280</f>
        <v>130979.05220467396</v>
      </c>
      <c r="AI280" s="41">
        <f>'3. Verotulot'!D280/'Veroposentin tuotto'!C280</f>
        <v>810.10975707317073</v>
      </c>
      <c r="AJ280" s="41">
        <f>'3. Verotulot'!I280/'Veroposentin tuotto'!D280</f>
        <v>811.46341463414637</v>
      </c>
      <c r="AK280" s="41">
        <f>'3. Verotulot'!N280/'Veroposentin tuotto'!E280</f>
        <v>818.43902439024396</v>
      </c>
      <c r="AL280" s="41">
        <f>'3. Verotulot'!S280/'Veroposentin tuotto'!F280</f>
        <v>808.38095238095241</v>
      </c>
      <c r="AM280" s="41">
        <f>'3. Verotulot'!X280/'Veroposentin tuotto'!G280</f>
        <v>835.77272727272725</v>
      </c>
      <c r="AN280" s="41">
        <f>'3. Verotulot'!AC280/'Veroposentin tuotto'!H280</f>
        <v>847</v>
      </c>
      <c r="AO280" s="41">
        <f>'3. Verotulot'!AH280/'Veroposentin tuotto'!I280</f>
        <v>906.50645272727286</v>
      </c>
      <c r="AP280" s="41">
        <f>'3. Verotulot'!AM280/'Veroposentin tuotto'!J280</f>
        <v>921.65361863636383</v>
      </c>
      <c r="AQ280" s="41">
        <f>'3. Verotulot'!AR280/'Veroposentin tuotto'!K280</f>
        <v>1121.5737179487185</v>
      </c>
      <c r="AR280" s="41">
        <f>'3. Verotulot'!AW280/'Veroposentin tuotto'!L280</f>
        <v>1096.069217606014</v>
      </c>
      <c r="AS280" s="41">
        <f>'3. Verotulot'!BB280/'Veroposentin tuotto'!M280</f>
        <v>1167.7264521605603</v>
      </c>
      <c r="AT280" s="41">
        <f>'3. Verotulot'!BG280/'Veroposentin tuotto'!N280</f>
        <v>1226.7422940955403</v>
      </c>
      <c r="AU280" s="41">
        <f>'3. Verotulot'!BL280/'Veroposentin tuotto'!O280</f>
        <v>1265.9131142925867</v>
      </c>
      <c r="AV280" s="41">
        <f>'3. Verotulot'!BQ280/'Veroposentin tuotto'!P280</f>
        <v>1309.7905220467399</v>
      </c>
      <c r="AX280" s="146"/>
      <c r="AZ280" s="34">
        <v>859</v>
      </c>
      <c r="BA280" s="88" t="s">
        <v>594</v>
      </c>
      <c r="BB280" s="41">
        <f>AI280/'1. Väestöennuste'!E280*1000</f>
        <v>119.25655190242466</v>
      </c>
      <c r="BC280" s="41">
        <f>AJ280/'1. Väestöennuste'!F280*1000</f>
        <v>120.21680216802169</v>
      </c>
      <c r="BD280" s="41">
        <f>AK280/'1. Väestöennuste'!G280*1000</f>
        <v>121.61055340122495</v>
      </c>
      <c r="BE280" s="41">
        <f>AL280/'1. Väestöennuste'!H280*1000</f>
        <v>119.61837117208529</v>
      </c>
      <c r="BF280" s="41">
        <f>AM280/'1. Väestöennuste'!I280*1000</f>
        <v>125.92628104154396</v>
      </c>
      <c r="BG280" s="41">
        <f>AN280/'1. Väestöennuste'!J280*1000</f>
        <v>128.27502650310467</v>
      </c>
      <c r="BH280" s="41">
        <f>AO280/'1. Väestöennuste'!K280*1000</f>
        <v>137.49529087324024</v>
      </c>
      <c r="BI280" s="41">
        <f>AP280/'1. Väestöennuste'!L280*1000</f>
        <v>140.4531573661024</v>
      </c>
      <c r="BJ280" s="41">
        <f>AQ280/'1. Väestöennuste'!M280*1000</f>
        <v>171.88869240593385</v>
      </c>
      <c r="BK280" s="41">
        <f>AR280/'1. Väestöennuste'!N280*1000</f>
        <v>169.32940176209084</v>
      </c>
      <c r="BL280" s="41">
        <f>AS280/'1. Väestöennuste'!O280*1000</f>
        <v>181.60598011828307</v>
      </c>
      <c r="BM280" s="41">
        <f>AT280/'1. Väestöennuste'!P280*1000</f>
        <v>192.1889854450165</v>
      </c>
      <c r="BN280" s="41">
        <f>AU280/'1. Väestöennuste'!Q280*1000</f>
        <v>199.76536441416866</v>
      </c>
      <c r="BO280" s="41">
        <f>AV280/'1. Väestöennuste'!R280*1000</f>
        <v>208.3000194094688</v>
      </c>
    </row>
    <row r="281" spans="1:67" x14ac:dyDescent="0.25">
      <c r="A281" s="30">
        <v>886</v>
      </c>
      <c r="B281" s="47" t="s">
        <v>595</v>
      </c>
      <c r="C281" s="47">
        <v>20.5</v>
      </c>
      <c r="D281" s="47">
        <v>20.5</v>
      </c>
      <c r="E281" s="47">
        <v>21</v>
      </c>
      <c r="F281" s="47">
        <v>21</v>
      </c>
      <c r="G281" s="47">
        <v>21</v>
      </c>
      <c r="H281" s="58">
        <v>21.5</v>
      </c>
      <c r="I281" s="139">
        <v>21.5</v>
      </c>
      <c r="J281" s="139">
        <v>21.5</v>
      </c>
      <c r="K281" s="139">
        <f t="shared" si="19"/>
        <v>8.86</v>
      </c>
      <c r="L281" s="139">
        <v>8.9</v>
      </c>
      <c r="M281" s="139">
        <f t="shared" si="20"/>
        <v>8.9</v>
      </c>
      <c r="N281" s="147">
        <f t="shared" si="20"/>
        <v>8.9</v>
      </c>
      <c r="O281" s="147">
        <f t="shared" si="20"/>
        <v>8.9</v>
      </c>
      <c r="P281" s="147">
        <f t="shared" si="20"/>
        <v>8.9</v>
      </c>
      <c r="Q281" s="147"/>
      <c r="S281" s="41">
        <f>'3. Verotulot'!D281*100/'Veroposentin tuotto'!C281</f>
        <v>215813.92400000003</v>
      </c>
      <c r="T281" s="41">
        <f>'3. Verotulot'!I281*100/'Veroposentin tuotto'!D281</f>
        <v>216956.09756097561</v>
      </c>
      <c r="U281" s="41">
        <f>'3. Verotulot'!N281*100/'Veroposentin tuotto'!E281</f>
        <v>210071.42857142858</v>
      </c>
      <c r="V281" s="41">
        <f>'3. Verotulot'!S281*100/'Veroposentin tuotto'!F281</f>
        <v>211457.14285714287</v>
      </c>
      <c r="W281" s="41">
        <f>'3. Verotulot'!X281*100/'Veroposentin tuotto'!G281</f>
        <v>213052.38095238095</v>
      </c>
      <c r="X281" s="41">
        <f>'3. Verotulot'!AC281*100/'Veroposentin tuotto'!H281</f>
        <v>218813.95348837209</v>
      </c>
      <c r="Y281" s="41">
        <f>'3. Verotulot'!AH281*100/'Veroposentin tuotto'!I281</f>
        <v>221862.84441860463</v>
      </c>
      <c r="Z281" s="41">
        <f>'3. Verotulot'!AM281*100/'Veroposentin tuotto'!J281</f>
        <v>230602.71934883716</v>
      </c>
      <c r="AA281" s="41">
        <f>'3. Verotulot'!AR281*100/'Veroposentin tuotto'!K281</f>
        <v>291208.82562076749</v>
      </c>
      <c r="AB281" s="41">
        <f>'3. Verotulot'!AW281*100/'Veroposentin tuotto'!L281</f>
        <v>269344.91894032783</v>
      </c>
      <c r="AC281" s="41">
        <f>'3. Verotulot'!BB281*100/'Veroposentin tuotto'!M281</f>
        <v>281503.33946951642</v>
      </c>
      <c r="AD281" s="41">
        <f>'3. Verotulot'!BG281*100/'Veroposentin tuotto'!N281</f>
        <v>291329.8344490751</v>
      </c>
      <c r="AE281" s="41">
        <f>'3. Verotulot'!BL281*100/'Veroposentin tuotto'!O281</f>
        <v>298707.35742798384</v>
      </c>
      <c r="AF281" s="41">
        <f>'3. Verotulot'!BQ281*100/'Veroposentin tuotto'!P281</f>
        <v>307140.00811047829</v>
      </c>
      <c r="AI281" s="41">
        <f>'3. Verotulot'!D281/'Veroposentin tuotto'!C281</f>
        <v>2158.13924</v>
      </c>
      <c r="AJ281" s="41">
        <f>'3. Verotulot'!I281/'Veroposentin tuotto'!D281</f>
        <v>2169.560975609756</v>
      </c>
      <c r="AK281" s="41">
        <f>'3. Verotulot'!N281/'Veroposentin tuotto'!E281</f>
        <v>2100.7142857142858</v>
      </c>
      <c r="AL281" s="41">
        <f>'3. Verotulot'!S281/'Veroposentin tuotto'!F281</f>
        <v>2114.5714285714284</v>
      </c>
      <c r="AM281" s="41">
        <f>'3. Verotulot'!X281/'Veroposentin tuotto'!G281</f>
        <v>2130.5238095238096</v>
      </c>
      <c r="AN281" s="41">
        <f>'3. Verotulot'!AC281/'Veroposentin tuotto'!H281</f>
        <v>2188.1395348837209</v>
      </c>
      <c r="AO281" s="41">
        <f>'3. Verotulot'!AH281/'Veroposentin tuotto'!I281</f>
        <v>2218.6284441860462</v>
      </c>
      <c r="AP281" s="41">
        <f>'3. Verotulot'!AM281/'Veroposentin tuotto'!J281</f>
        <v>2306.0271934883717</v>
      </c>
      <c r="AQ281" s="41">
        <f>'3. Verotulot'!AR281/'Veroposentin tuotto'!K281</f>
        <v>2912.0882562076749</v>
      </c>
      <c r="AR281" s="41">
        <f>'3. Verotulot'!AW281/'Veroposentin tuotto'!L281</f>
        <v>2693.4491894032785</v>
      </c>
      <c r="AS281" s="41">
        <f>'3. Verotulot'!BB281/'Veroposentin tuotto'!M281</f>
        <v>2815.0333946951641</v>
      </c>
      <c r="AT281" s="41">
        <f>'3. Verotulot'!BG281/'Veroposentin tuotto'!N281</f>
        <v>2913.2983444907513</v>
      </c>
      <c r="AU281" s="41">
        <f>'3. Verotulot'!BL281/'Veroposentin tuotto'!O281</f>
        <v>2987.0735742798379</v>
      </c>
      <c r="AV281" s="41">
        <f>'3. Verotulot'!BQ281/'Veroposentin tuotto'!P281</f>
        <v>3071.4000811047831</v>
      </c>
      <c r="AX281" s="146"/>
      <c r="AZ281" s="34">
        <v>886</v>
      </c>
      <c r="BA281" s="88" t="s">
        <v>595</v>
      </c>
      <c r="BB281" s="41">
        <f>AI281/'1. Väestöennuste'!E281*1000</f>
        <v>161.63415518274417</v>
      </c>
      <c r="BC281" s="41">
        <f>AJ281/'1. Väestöennuste'!F281*1000</f>
        <v>162.97783771106941</v>
      </c>
      <c r="BD281" s="41">
        <f>AK281/'1. Väestöennuste'!G281*1000</f>
        <v>158.70018023073851</v>
      </c>
      <c r="BE281" s="41">
        <f>AL281/'1. Väestöennuste'!H281*1000</f>
        <v>162.3970070325957</v>
      </c>
      <c r="BF281" s="41">
        <f>AM281/'1. Väestöennuste'!I281*1000</f>
        <v>165.52900392539894</v>
      </c>
      <c r="BG281" s="41">
        <f>AN281/'1. Väestöennuste'!J281*1000</f>
        <v>171.82092931949126</v>
      </c>
      <c r="BH281" s="41">
        <f>AO281/'1. Väestöennuste'!K281*1000</f>
        <v>175.12261774299836</v>
      </c>
      <c r="BI281" s="41">
        <f>AP281/'1. Väestöennuste'!L281*1000</f>
        <v>183.03255762269796</v>
      </c>
      <c r="BJ281" s="41">
        <f>AQ281/'1. Väestöennuste'!M281*1000</f>
        <v>232.35364686888016</v>
      </c>
      <c r="BK281" s="41">
        <f>AR281/'1. Väestöennuste'!N281*1000</f>
        <v>219.26483143953749</v>
      </c>
      <c r="BL281" s="41">
        <f>AS281/'1. Väestöennuste'!O281*1000</f>
        <v>231.36626898127426</v>
      </c>
      <c r="BM281" s="41">
        <f>AT281/'1. Väestöennuste'!P281*1000</f>
        <v>241.80763151483657</v>
      </c>
      <c r="BN281" s="41">
        <f>AU281/'1. Väestöennuste'!Q281*1000</f>
        <v>250.44634646431106</v>
      </c>
      <c r="BO281" s="41">
        <f>AV281/'1. Väestöennuste'!R281*1000</f>
        <v>260.26608601853934</v>
      </c>
    </row>
    <row r="282" spans="1:67" x14ac:dyDescent="0.25">
      <c r="A282" s="30">
        <v>887</v>
      </c>
      <c r="B282" s="47" t="s">
        <v>596</v>
      </c>
      <c r="C282" s="47">
        <v>22</v>
      </c>
      <c r="D282" s="47">
        <v>22</v>
      </c>
      <c r="E282" s="47">
        <v>21.5</v>
      </c>
      <c r="F282" s="47">
        <v>21.75</v>
      </c>
      <c r="G282" s="47">
        <v>22</v>
      </c>
      <c r="H282" s="58">
        <v>22</v>
      </c>
      <c r="I282" s="139">
        <v>22</v>
      </c>
      <c r="J282" s="139">
        <v>22</v>
      </c>
      <c r="K282" s="139">
        <f t="shared" si="19"/>
        <v>9.36</v>
      </c>
      <c r="L282" s="139">
        <v>10.3</v>
      </c>
      <c r="M282" s="139">
        <f t="shared" si="20"/>
        <v>10.3</v>
      </c>
      <c r="N282" s="147">
        <f t="shared" si="20"/>
        <v>10.3</v>
      </c>
      <c r="O282" s="147">
        <f t="shared" si="20"/>
        <v>10.3</v>
      </c>
      <c r="P282" s="147">
        <f t="shared" si="20"/>
        <v>10.3</v>
      </c>
      <c r="Q282" s="147"/>
      <c r="S282" s="41">
        <f>'3. Verotulot'!D282*100/'Veroposentin tuotto'!C282</f>
        <v>64381.253090909093</v>
      </c>
      <c r="T282" s="41">
        <f>'3. Verotulot'!I282*100/'Veroposentin tuotto'!D282</f>
        <v>61395.454545454544</v>
      </c>
      <c r="U282" s="41">
        <f>'3. Verotulot'!N282*100/'Veroposentin tuotto'!E282</f>
        <v>61079.069767441862</v>
      </c>
      <c r="V282" s="41">
        <f>'3. Verotulot'!S282*100/'Veroposentin tuotto'!F282</f>
        <v>61411.494252873563</v>
      </c>
      <c r="W282" s="41">
        <f>'3. Verotulot'!X282*100/'Veroposentin tuotto'!G282</f>
        <v>59004.545454545456</v>
      </c>
      <c r="X282" s="41">
        <f>'3. Verotulot'!AC282*100/'Veroposentin tuotto'!H282</f>
        <v>61686.36363636364</v>
      </c>
      <c r="Y282" s="41">
        <f>'3. Verotulot'!AH282*100/'Veroposentin tuotto'!I282</f>
        <v>63528.437954545458</v>
      </c>
      <c r="Z282" s="41">
        <f>'3. Verotulot'!AM282*100/'Veroposentin tuotto'!J282</f>
        <v>65701.37768181818</v>
      </c>
      <c r="AA282" s="41">
        <f>'3. Verotulot'!AR282*100/'Veroposentin tuotto'!K282</f>
        <v>74477.232051282059</v>
      </c>
      <c r="AB282" s="41">
        <f>'3. Verotulot'!AW282*100/'Veroposentin tuotto'!L282</f>
        <v>75872.290393325311</v>
      </c>
      <c r="AC282" s="41">
        <f>'3. Verotulot'!BB282*100/'Veroposentin tuotto'!M282</f>
        <v>79592.653266719484</v>
      </c>
      <c r="AD282" s="41">
        <f>'3. Verotulot'!BG282*100/'Veroposentin tuotto'!N282</f>
        <v>82501.809444964965</v>
      </c>
      <c r="AE282" s="41">
        <f>'3. Verotulot'!BL282*100/'Veroposentin tuotto'!O282</f>
        <v>85032.162864985265</v>
      </c>
      <c r="AF282" s="41">
        <f>'3. Verotulot'!BQ282*100/'Veroposentin tuotto'!P282</f>
        <v>88052.812742887007</v>
      </c>
      <c r="AI282" s="41">
        <f>'3. Verotulot'!D282/'Veroposentin tuotto'!C282</f>
        <v>643.81253090909092</v>
      </c>
      <c r="AJ282" s="41">
        <f>'3. Verotulot'!I282/'Veroposentin tuotto'!D282</f>
        <v>613.9545454545455</v>
      </c>
      <c r="AK282" s="41">
        <f>'3. Verotulot'!N282/'Veroposentin tuotto'!E282</f>
        <v>610.79069767441865</v>
      </c>
      <c r="AL282" s="41">
        <f>'3. Verotulot'!S282/'Veroposentin tuotto'!F282</f>
        <v>614.11494252873558</v>
      </c>
      <c r="AM282" s="41">
        <f>'3. Verotulot'!X282/'Veroposentin tuotto'!G282</f>
        <v>590.0454545454545</v>
      </c>
      <c r="AN282" s="41">
        <f>'3. Verotulot'!AC282/'Veroposentin tuotto'!H282</f>
        <v>616.86363636363637</v>
      </c>
      <c r="AO282" s="41">
        <f>'3. Verotulot'!AH282/'Veroposentin tuotto'!I282</f>
        <v>635.2843795454545</v>
      </c>
      <c r="AP282" s="41">
        <f>'3. Verotulot'!AM282/'Veroposentin tuotto'!J282</f>
        <v>657.01377681818178</v>
      </c>
      <c r="AQ282" s="41">
        <f>'3. Verotulot'!AR282/'Veroposentin tuotto'!K282</f>
        <v>744.77232051282056</v>
      </c>
      <c r="AR282" s="41">
        <f>'3. Verotulot'!AW282/'Veroposentin tuotto'!L282</f>
        <v>758.72290393325306</v>
      </c>
      <c r="AS282" s="41">
        <f>'3. Verotulot'!BB282/'Veroposentin tuotto'!M282</f>
        <v>795.92653266719492</v>
      </c>
      <c r="AT282" s="41">
        <f>'3. Verotulot'!BG282/'Veroposentin tuotto'!N282</f>
        <v>825.01809444964954</v>
      </c>
      <c r="AU282" s="41">
        <f>'3. Verotulot'!BL282/'Veroposentin tuotto'!O282</f>
        <v>850.32162864985253</v>
      </c>
      <c r="AV282" s="41">
        <f>'3. Verotulot'!BQ282/'Veroposentin tuotto'!P282</f>
        <v>880.52812742886999</v>
      </c>
      <c r="AX282" s="146"/>
      <c r="AZ282" s="34">
        <v>887</v>
      </c>
      <c r="BA282" s="88" t="s">
        <v>596</v>
      </c>
      <c r="BB282" s="41">
        <f>AI282/'1. Väestöennuste'!E282*1000</f>
        <v>130.64377656434476</v>
      </c>
      <c r="BC282" s="41">
        <f>AJ282/'1. Väestöennuste'!F282*1000</f>
        <v>126.3801040458101</v>
      </c>
      <c r="BD282" s="41">
        <f>AK282/'1. Väestöennuste'!G282*1000</f>
        <v>126.48388852234804</v>
      </c>
      <c r="BE282" s="41">
        <f>AL282/'1. Väestöennuste'!H282*1000</f>
        <v>128.15420336576287</v>
      </c>
      <c r="BF282" s="41">
        <f>AM282/'1. Väestöennuste'!I282*1000</f>
        <v>125.86293825628294</v>
      </c>
      <c r="BG282" s="41">
        <f>AN282/'1. Väestöennuste'!J282*1000</f>
        <v>132.83024038837993</v>
      </c>
      <c r="BH282" s="41">
        <f>AO282/'1. Väestöennuste'!K282*1000</f>
        <v>136.06433487801553</v>
      </c>
      <c r="BI282" s="41">
        <f>AP282/'1. Väestöennuste'!L282*1000</f>
        <v>143.79815644959109</v>
      </c>
      <c r="BJ282" s="41">
        <f>AQ282/'1. Väestöennuste'!M282*1000</f>
        <v>163.04122603170327</v>
      </c>
      <c r="BK282" s="41">
        <f>AR282/'1. Väestöennuste'!N282*1000</f>
        <v>170.96054617693852</v>
      </c>
      <c r="BL282" s="41">
        <f>AS282/'1. Väestöennuste'!O282*1000</f>
        <v>181.30444935471411</v>
      </c>
      <c r="BM282" s="41">
        <f>AT282/'1. Väestöennuste'!P282*1000</f>
        <v>189.83389195804176</v>
      </c>
      <c r="BN282" s="41">
        <f>AU282/'1. Väestöennuste'!Q282*1000</f>
        <v>197.47367130744371</v>
      </c>
      <c r="BO282" s="41">
        <f>AV282/'1. Väestöennuste'!R282*1000</f>
        <v>206.40603080845523</v>
      </c>
    </row>
    <row r="283" spans="1:67" x14ac:dyDescent="0.25">
      <c r="A283" s="30">
        <v>889</v>
      </c>
      <c r="B283" s="47" t="s">
        <v>597</v>
      </c>
      <c r="C283" s="47">
        <v>20.5</v>
      </c>
      <c r="D283" s="47">
        <v>20.5</v>
      </c>
      <c r="E283" s="47">
        <v>20.5</v>
      </c>
      <c r="F283" s="47">
        <v>20.5</v>
      </c>
      <c r="G283" s="47">
        <v>20.5</v>
      </c>
      <c r="H283" s="58">
        <v>20.5</v>
      </c>
      <c r="I283" s="139">
        <v>20.5</v>
      </c>
      <c r="J283" s="139">
        <v>20.5</v>
      </c>
      <c r="K283" s="139">
        <f t="shared" si="19"/>
        <v>7.8599999999999994</v>
      </c>
      <c r="L283" s="139">
        <v>8.4</v>
      </c>
      <c r="M283" s="139">
        <f t="shared" si="20"/>
        <v>8.4</v>
      </c>
      <c r="N283" s="147">
        <f t="shared" si="20"/>
        <v>8.4</v>
      </c>
      <c r="O283" s="147">
        <f t="shared" si="20"/>
        <v>8.4</v>
      </c>
      <c r="P283" s="147">
        <f t="shared" si="20"/>
        <v>8.4</v>
      </c>
      <c r="Q283" s="147"/>
      <c r="S283" s="41">
        <f>'3. Verotulot'!D283*100/'Veroposentin tuotto'!C283</f>
        <v>33287.092390243903</v>
      </c>
      <c r="T283" s="41">
        <f>'3. Verotulot'!I283*100/'Veroposentin tuotto'!D283</f>
        <v>32902.439024390245</v>
      </c>
      <c r="U283" s="41">
        <f>'3. Verotulot'!N283*100/'Veroposentin tuotto'!E283</f>
        <v>32985.365853658535</v>
      </c>
      <c r="V283" s="41">
        <f>'3. Verotulot'!S283*100/'Veroposentin tuotto'!F283</f>
        <v>30902.439024390245</v>
      </c>
      <c r="W283" s="41">
        <f>'3. Verotulot'!X283*100/'Veroposentin tuotto'!G283</f>
        <v>32082.926829268294</v>
      </c>
      <c r="X283" s="41">
        <f>'3. Verotulot'!AC283*100/'Veroposentin tuotto'!H283</f>
        <v>31921.951219512193</v>
      </c>
      <c r="Y283" s="41">
        <f>'3. Verotulot'!AH283*100/'Veroposentin tuotto'!I283</f>
        <v>34029.720829268284</v>
      </c>
      <c r="Z283" s="41">
        <f>'3. Verotulot'!AM283*100/'Veroposentin tuotto'!J283</f>
        <v>35720.348585365849</v>
      </c>
      <c r="AA283" s="41">
        <f>'3. Verotulot'!AR283*100/'Veroposentin tuotto'!K283</f>
        <v>40176.424427480917</v>
      </c>
      <c r="AB283" s="41">
        <f>'3. Verotulot'!AW283*100/'Veroposentin tuotto'!L283</f>
        <v>39472.344563249564</v>
      </c>
      <c r="AC283" s="41">
        <f>'3. Verotulot'!BB283*100/'Veroposentin tuotto'!M283</f>
        <v>40946.917026548646</v>
      </c>
      <c r="AD283" s="41">
        <f>'3. Verotulot'!BG283*100/'Veroposentin tuotto'!N283</f>
        <v>42038.281097489955</v>
      </c>
      <c r="AE283" s="41">
        <f>'3. Verotulot'!BL283*100/'Veroposentin tuotto'!O283</f>
        <v>42847.859261044141</v>
      </c>
      <c r="AF283" s="41">
        <f>'3. Verotulot'!BQ283*100/'Veroposentin tuotto'!P283</f>
        <v>43877.686499003423</v>
      </c>
      <c r="AI283" s="41">
        <f>'3. Verotulot'!D283/'Veroposentin tuotto'!C283</f>
        <v>332.87092390243902</v>
      </c>
      <c r="AJ283" s="41">
        <f>'3. Verotulot'!I283/'Veroposentin tuotto'!D283</f>
        <v>329.02439024390242</v>
      </c>
      <c r="AK283" s="41">
        <f>'3. Verotulot'!N283/'Veroposentin tuotto'!E283</f>
        <v>329.85365853658539</v>
      </c>
      <c r="AL283" s="41">
        <f>'3. Verotulot'!S283/'Veroposentin tuotto'!F283</f>
        <v>309.02439024390242</v>
      </c>
      <c r="AM283" s="41">
        <f>'3. Verotulot'!X283/'Veroposentin tuotto'!G283</f>
        <v>320.82926829268291</v>
      </c>
      <c r="AN283" s="41">
        <f>'3. Verotulot'!AC283/'Veroposentin tuotto'!H283</f>
        <v>319.21951219512198</v>
      </c>
      <c r="AO283" s="41">
        <f>'3. Verotulot'!AH283/'Veroposentin tuotto'!I283</f>
        <v>340.29720829268291</v>
      </c>
      <c r="AP283" s="41">
        <f>'3. Verotulot'!AM283/'Veroposentin tuotto'!J283</f>
        <v>357.20348585365849</v>
      </c>
      <c r="AQ283" s="41">
        <f>'3. Verotulot'!AR283/'Veroposentin tuotto'!K283</f>
        <v>401.76424427480919</v>
      </c>
      <c r="AR283" s="41">
        <f>'3. Verotulot'!AW283/'Veroposentin tuotto'!L283</f>
        <v>394.72344563249561</v>
      </c>
      <c r="AS283" s="41">
        <f>'3. Verotulot'!BB283/'Veroposentin tuotto'!M283</f>
        <v>409.46917026548641</v>
      </c>
      <c r="AT283" s="41">
        <f>'3. Verotulot'!BG283/'Veroposentin tuotto'!N283</f>
        <v>420.38281097489954</v>
      </c>
      <c r="AU283" s="41">
        <f>'3. Verotulot'!BL283/'Veroposentin tuotto'!O283</f>
        <v>428.47859261044147</v>
      </c>
      <c r="AV283" s="41">
        <f>'3. Verotulot'!BQ283/'Veroposentin tuotto'!P283</f>
        <v>438.7768649900342</v>
      </c>
      <c r="AX283" s="146"/>
      <c r="AZ283" s="34">
        <v>889</v>
      </c>
      <c r="BA283" s="88" t="s">
        <v>597</v>
      </c>
      <c r="BB283" s="41">
        <f>AI283/'1. Väestöennuste'!E283*1000</f>
        <v>116.34775389809124</v>
      </c>
      <c r="BC283" s="41">
        <f>AJ283/'1. Väestöennuste'!F283*1000</f>
        <v>116.51005320251502</v>
      </c>
      <c r="BD283" s="41">
        <f>AK283/'1. Väestöennuste'!G283*1000</f>
        <v>119.16678415339068</v>
      </c>
      <c r="BE283" s="41">
        <f>AL283/'1. Väestöennuste'!H283*1000</f>
        <v>114.36876026791356</v>
      </c>
      <c r="BF283" s="41">
        <f>AM283/'1. Väestöennuste'!I283*1000</f>
        <v>119.89135586423129</v>
      </c>
      <c r="BG283" s="41">
        <f>AN283/'1. Väestöennuste'!J283*1000</f>
        <v>121.88602985686215</v>
      </c>
      <c r="BH283" s="41">
        <f>AO283/'1. Väestöennuste'!K283*1000</f>
        <v>132.51448921054632</v>
      </c>
      <c r="BI283" s="41">
        <f>AP283/'1. Väestöennuste'!L283*1000</f>
        <v>141.57886874897287</v>
      </c>
      <c r="BJ283" s="41">
        <f>AQ283/'1. Väestöennuste'!M283*1000</f>
        <v>161.28632849249666</v>
      </c>
      <c r="BK283" s="41">
        <f>AR283/'1. Väestöennuste'!N283*1000</f>
        <v>162.23733893649634</v>
      </c>
      <c r="BL283" s="41">
        <f>AS283/'1. Väestöennuste'!O283*1000</f>
        <v>170.8256863852676</v>
      </c>
      <c r="BM283" s="41">
        <f>AT283/'1. Väestöennuste'!P283*1000</f>
        <v>177.90216291785845</v>
      </c>
      <c r="BN283" s="41">
        <f>AU283/'1. Väestöennuste'!Q283*1000</f>
        <v>183.73867607651863</v>
      </c>
      <c r="BO283" s="41">
        <f>AV283/'1. Väestöennuste'!R283*1000</f>
        <v>190.44134765192456</v>
      </c>
    </row>
    <row r="284" spans="1:67" x14ac:dyDescent="0.25">
      <c r="A284" s="30">
        <v>890</v>
      </c>
      <c r="B284" s="47" t="s">
        <v>598</v>
      </c>
      <c r="C284" s="47">
        <v>20.75</v>
      </c>
      <c r="D284" s="47">
        <v>20.75</v>
      </c>
      <c r="E284" s="47">
        <v>20.75</v>
      </c>
      <c r="F284" s="47">
        <v>21</v>
      </c>
      <c r="G284" s="47">
        <v>21</v>
      </c>
      <c r="H284" s="58">
        <v>21</v>
      </c>
      <c r="I284" s="139">
        <v>21</v>
      </c>
      <c r="J284" s="139">
        <v>21</v>
      </c>
      <c r="K284" s="139">
        <f t="shared" si="19"/>
        <v>8.36</v>
      </c>
      <c r="L284" s="139">
        <v>8.4</v>
      </c>
      <c r="M284" s="139">
        <f t="shared" si="20"/>
        <v>8.4</v>
      </c>
      <c r="N284" s="147">
        <f t="shared" si="20"/>
        <v>8.4</v>
      </c>
      <c r="O284" s="147">
        <f t="shared" si="20"/>
        <v>8.4</v>
      </c>
      <c r="P284" s="147">
        <f t="shared" si="20"/>
        <v>8.4</v>
      </c>
      <c r="Q284" s="147"/>
      <c r="S284" s="41">
        <f>'3. Verotulot'!D284*100/'Veroposentin tuotto'!C284</f>
        <v>17210.923036144577</v>
      </c>
      <c r="T284" s="41">
        <f>'3. Verotulot'!I284*100/'Veroposentin tuotto'!D284</f>
        <v>17893.975903614457</v>
      </c>
      <c r="U284" s="41">
        <f>'3. Verotulot'!N284*100/'Veroposentin tuotto'!E284</f>
        <v>18520.481927710844</v>
      </c>
      <c r="V284" s="41">
        <f>'3. Verotulot'!S284*100/'Veroposentin tuotto'!F284</f>
        <v>18000</v>
      </c>
      <c r="W284" s="41">
        <f>'3. Verotulot'!X284*100/'Veroposentin tuotto'!G284</f>
        <v>17642.857142857141</v>
      </c>
      <c r="X284" s="41">
        <f>'3. Verotulot'!AC284*100/'Veroposentin tuotto'!H284</f>
        <v>19042.857142857141</v>
      </c>
      <c r="Y284" s="41">
        <f>'3. Verotulot'!AH284*100/'Veroposentin tuotto'!I284</f>
        <v>18707.851142857144</v>
      </c>
      <c r="Z284" s="41">
        <f>'3. Verotulot'!AM284*100/'Veroposentin tuotto'!J284</f>
        <v>19807.757952380955</v>
      </c>
      <c r="AA284" s="41">
        <f>'3. Verotulot'!AR284*100/'Veroposentin tuotto'!K284</f>
        <v>24650.406698564595</v>
      </c>
      <c r="AB284" s="41">
        <f>'3. Verotulot'!AW284*100/'Veroposentin tuotto'!L284</f>
        <v>22512.231252800742</v>
      </c>
      <c r="AC284" s="41">
        <f>'3. Verotulot'!BB284*100/'Veroposentin tuotto'!M284</f>
        <v>24389.393096835509</v>
      </c>
      <c r="AD284" s="41">
        <f>'3. Verotulot'!BG284*100/'Veroposentin tuotto'!N284</f>
        <v>25538.798214991701</v>
      </c>
      <c r="AE284" s="41">
        <f>'3. Verotulot'!BL284*100/'Veroposentin tuotto'!O284</f>
        <v>26513.432481794211</v>
      </c>
      <c r="AF284" s="41">
        <f>'3. Verotulot'!BQ284*100/'Veroposentin tuotto'!P284</f>
        <v>27614.295481435667</v>
      </c>
      <c r="AI284" s="41">
        <f>'3. Verotulot'!D284/'Veroposentin tuotto'!C284</f>
        <v>172.10923036144578</v>
      </c>
      <c r="AJ284" s="41">
        <f>'3. Verotulot'!I284/'Veroposentin tuotto'!D284</f>
        <v>178.93975903614458</v>
      </c>
      <c r="AK284" s="41">
        <f>'3. Verotulot'!N284/'Veroposentin tuotto'!E284</f>
        <v>185.20481927710844</v>
      </c>
      <c r="AL284" s="41">
        <f>'3. Verotulot'!S284/'Veroposentin tuotto'!F284</f>
        <v>180</v>
      </c>
      <c r="AM284" s="41">
        <f>'3. Verotulot'!X284/'Veroposentin tuotto'!G284</f>
        <v>176.42857142857142</v>
      </c>
      <c r="AN284" s="41">
        <f>'3. Verotulot'!AC284/'Veroposentin tuotto'!H284</f>
        <v>190.42857142857142</v>
      </c>
      <c r="AO284" s="41">
        <f>'3. Verotulot'!AH284/'Veroposentin tuotto'!I284</f>
        <v>187.07851142857143</v>
      </c>
      <c r="AP284" s="41">
        <f>'3. Verotulot'!AM284/'Veroposentin tuotto'!J284</f>
        <v>198.07757952380953</v>
      </c>
      <c r="AQ284" s="41">
        <f>'3. Verotulot'!AR284/'Veroposentin tuotto'!K284</f>
        <v>246.50406698564595</v>
      </c>
      <c r="AR284" s="41">
        <f>'3. Verotulot'!AW284/'Veroposentin tuotto'!L284</f>
        <v>225.12231252800746</v>
      </c>
      <c r="AS284" s="41">
        <f>'3. Verotulot'!BB284/'Veroposentin tuotto'!M284</f>
        <v>243.89393096835511</v>
      </c>
      <c r="AT284" s="41">
        <f>'3. Verotulot'!BG284/'Veroposentin tuotto'!N284</f>
        <v>255.38798214991698</v>
      </c>
      <c r="AU284" s="41">
        <f>'3. Verotulot'!BL284/'Veroposentin tuotto'!O284</f>
        <v>265.13432481794212</v>
      </c>
      <c r="AV284" s="41">
        <f>'3. Verotulot'!BQ284/'Veroposentin tuotto'!P284</f>
        <v>276.1429548143567</v>
      </c>
      <c r="AX284" s="146"/>
      <c r="AZ284" s="34">
        <v>890</v>
      </c>
      <c r="BA284" s="88" t="s">
        <v>598</v>
      </c>
      <c r="BB284" s="41">
        <f>AI284/'1. Väestöennuste'!E284*1000</f>
        <v>137.68738428915663</v>
      </c>
      <c r="BC284" s="41">
        <f>AJ284/'1. Väestöennuste'!F284*1000</f>
        <v>144.18997504927043</v>
      </c>
      <c r="BD284" s="41">
        <f>AK284/'1. Väestöennuste'!G284*1000</f>
        <v>149.11821197834817</v>
      </c>
      <c r="BE284" s="41">
        <f>AL284/'1. Väestöennuste'!H284*1000</f>
        <v>146.10389610389609</v>
      </c>
      <c r="BF284" s="41">
        <f>AM284/'1. Väestöennuste'!I284*1000</f>
        <v>145.56812824139556</v>
      </c>
      <c r="BG284" s="41">
        <f>AN284/'1. Väestöennuste'!J284*1000</f>
        <v>156.21703972811437</v>
      </c>
      <c r="BH284" s="41">
        <f>AO284/'1. Väestöennuste'!K284*1000</f>
        <v>159.08036686103014</v>
      </c>
      <c r="BI284" s="41">
        <f>AP284/'1. Väestöennuste'!L284*1000</f>
        <v>167.86235552865213</v>
      </c>
      <c r="BJ284" s="41">
        <f>AQ284/'1. Väestöennuste'!M284*1000</f>
        <v>216.42148111119047</v>
      </c>
      <c r="BK284" s="41">
        <f>AR284/'1. Väestöennuste'!N284*1000</f>
        <v>187.91511897162559</v>
      </c>
      <c r="BL284" s="41">
        <f>AS284/'1. Väestöennuste'!O284*1000</f>
        <v>204.09533972247291</v>
      </c>
      <c r="BM284" s="41">
        <f>AT284/'1. Väestöennuste'!P284*1000</f>
        <v>214.07207221283906</v>
      </c>
      <c r="BN284" s="41">
        <f>AU284/'1. Väestöennuste'!Q284*1000</f>
        <v>222.42812484726687</v>
      </c>
      <c r="BO284" s="41">
        <f>AV284/'1. Väestöennuste'!R284*1000</f>
        <v>231.66355269660795</v>
      </c>
    </row>
    <row r="285" spans="1:67" x14ac:dyDescent="0.25">
      <c r="A285" s="30">
        <v>892</v>
      </c>
      <c r="B285" s="47" t="s">
        <v>599</v>
      </c>
      <c r="C285" s="47">
        <v>20.5</v>
      </c>
      <c r="D285" s="47">
        <v>20.5</v>
      </c>
      <c r="E285" s="47">
        <v>20.5</v>
      </c>
      <c r="F285" s="47">
        <v>20.5</v>
      </c>
      <c r="G285" s="47">
        <v>21.5</v>
      </c>
      <c r="H285" s="58">
        <v>21.5</v>
      </c>
      <c r="I285" s="139">
        <v>21.499999999999996</v>
      </c>
      <c r="J285" s="139">
        <v>21.499999999999996</v>
      </c>
      <c r="K285" s="139">
        <f t="shared" si="19"/>
        <v>8.8599999999999959</v>
      </c>
      <c r="L285" s="139">
        <v>9</v>
      </c>
      <c r="M285" s="139">
        <f t="shared" si="20"/>
        <v>9</v>
      </c>
      <c r="N285" s="147">
        <f t="shared" si="20"/>
        <v>9</v>
      </c>
      <c r="O285" s="147">
        <f t="shared" si="20"/>
        <v>9</v>
      </c>
      <c r="P285" s="147">
        <f t="shared" si="20"/>
        <v>9</v>
      </c>
      <c r="Q285" s="147"/>
      <c r="S285" s="41">
        <f>'3. Verotulot'!D285*100/'Veroposentin tuotto'!C285</f>
        <v>45276.305414634146</v>
      </c>
      <c r="T285" s="41">
        <f>'3. Verotulot'!I285*100/'Veroposentin tuotto'!D285</f>
        <v>45624.390243902439</v>
      </c>
      <c r="U285" s="41">
        <f>'3. Verotulot'!N285*100/'Veroposentin tuotto'!E285</f>
        <v>47082.92682926829</v>
      </c>
      <c r="V285" s="41">
        <f>'3. Verotulot'!S285*100/'Veroposentin tuotto'!F285</f>
        <v>46312.195121951219</v>
      </c>
      <c r="W285" s="41">
        <f>'3. Verotulot'!X285*100/'Veroposentin tuotto'!G285</f>
        <v>47088.372093023259</v>
      </c>
      <c r="X285" s="41">
        <f>'3. Verotulot'!AC285*100/'Veroposentin tuotto'!H285</f>
        <v>47604.651162790695</v>
      </c>
      <c r="Y285" s="41">
        <f>'3. Verotulot'!AH285*100/'Veroposentin tuotto'!I285</f>
        <v>50676.450837209311</v>
      </c>
      <c r="Z285" s="41">
        <f>'3. Verotulot'!AM285*100/'Veroposentin tuotto'!J285</f>
        <v>53365.570697674419</v>
      </c>
      <c r="AA285" s="41">
        <f>'3. Verotulot'!AR285*100/'Veroposentin tuotto'!K285</f>
        <v>61936.461173814925</v>
      </c>
      <c r="AB285" s="41">
        <f>'3. Verotulot'!AW285*100/'Veroposentin tuotto'!L285</f>
        <v>61311.072930566137</v>
      </c>
      <c r="AC285" s="41">
        <f>'3. Verotulot'!BB285*100/'Veroposentin tuotto'!M285</f>
        <v>66989.919866518205</v>
      </c>
      <c r="AD285" s="41">
        <f>'3. Verotulot'!BG285*100/'Veroposentin tuotto'!N285</f>
        <v>70585.270794875309</v>
      </c>
      <c r="AE285" s="41">
        <f>'3. Verotulot'!BL285*100/'Veroposentin tuotto'!O285</f>
        <v>73236.834435197889</v>
      </c>
      <c r="AF285" s="41">
        <f>'3. Verotulot'!BQ285*100/'Veroposentin tuotto'!P285</f>
        <v>76154.137495406918</v>
      </c>
      <c r="AI285" s="41">
        <f>'3. Verotulot'!D285/'Veroposentin tuotto'!C285</f>
        <v>452.7630541463414</v>
      </c>
      <c r="AJ285" s="41">
        <f>'3. Verotulot'!I285/'Veroposentin tuotto'!D285</f>
        <v>456.2439024390244</v>
      </c>
      <c r="AK285" s="41">
        <f>'3. Verotulot'!N285/'Veroposentin tuotto'!E285</f>
        <v>470.82926829268291</v>
      </c>
      <c r="AL285" s="41">
        <f>'3. Verotulot'!S285/'Veroposentin tuotto'!F285</f>
        <v>463.1219512195122</v>
      </c>
      <c r="AM285" s="41">
        <f>'3. Verotulot'!X285/'Veroposentin tuotto'!G285</f>
        <v>470.88372093023258</v>
      </c>
      <c r="AN285" s="41">
        <f>'3. Verotulot'!AC285/'Veroposentin tuotto'!H285</f>
        <v>476.04651162790697</v>
      </c>
      <c r="AO285" s="41">
        <f>'3. Verotulot'!AH285/'Veroposentin tuotto'!I285</f>
        <v>506.76450837209308</v>
      </c>
      <c r="AP285" s="41">
        <f>'3. Verotulot'!AM285/'Veroposentin tuotto'!J285</f>
        <v>533.65570697674423</v>
      </c>
      <c r="AQ285" s="41">
        <f>'3. Verotulot'!AR285/'Veroposentin tuotto'!K285</f>
        <v>619.36461173814928</v>
      </c>
      <c r="AR285" s="41">
        <f>'3. Verotulot'!AW285/'Veroposentin tuotto'!L285</f>
        <v>613.11072930566138</v>
      </c>
      <c r="AS285" s="41">
        <f>'3. Verotulot'!BB285/'Veroposentin tuotto'!M285</f>
        <v>669.8991986651821</v>
      </c>
      <c r="AT285" s="41">
        <f>'3. Verotulot'!BG285/'Veroposentin tuotto'!N285</f>
        <v>705.85270794875316</v>
      </c>
      <c r="AU285" s="41">
        <f>'3. Verotulot'!BL285/'Veroposentin tuotto'!O285</f>
        <v>732.36834435197886</v>
      </c>
      <c r="AV285" s="41">
        <f>'3. Verotulot'!BQ285/'Veroposentin tuotto'!P285</f>
        <v>761.54137495406917</v>
      </c>
      <c r="AX285" s="146"/>
      <c r="AZ285" s="34">
        <v>892</v>
      </c>
      <c r="BA285" s="88" t="s">
        <v>599</v>
      </c>
      <c r="BB285" s="41">
        <f>AI285/'1. Väestöennuste'!E285*1000</f>
        <v>123.50328809229171</v>
      </c>
      <c r="BC285" s="41">
        <f>AJ285/'1. Väestöennuste'!F285*1000</f>
        <v>122.74519839629389</v>
      </c>
      <c r="BD285" s="41">
        <f>AK285/'1. Väestöennuste'!G285*1000</f>
        <v>125.65499554114837</v>
      </c>
      <c r="BE285" s="41">
        <f>AL285/'1. Väestöennuste'!H285*1000</f>
        <v>122.42187449630245</v>
      </c>
      <c r="BF285" s="41">
        <f>AM285/'1. Väestöennuste'!I285*1000</f>
        <v>127.92277123885698</v>
      </c>
      <c r="BG285" s="41">
        <f>AN285/'1. Väestöennuste'!J285*1000</f>
        <v>130.56678870759927</v>
      </c>
      <c r="BH285" s="41">
        <f>AO285/'1. Väestöennuste'!K285*1000</f>
        <v>139.45088287619512</v>
      </c>
      <c r="BI285" s="41">
        <f>AP285/'1. Väestöennuste'!L285*1000</f>
        <v>148.56784715388201</v>
      </c>
      <c r="BJ285" s="41">
        <f>AQ285/'1. Väestöennuste'!M285*1000</f>
        <v>171.3318428044673</v>
      </c>
      <c r="BK285" s="41">
        <f>AR285/'1. Väestöennuste'!N285*1000</f>
        <v>167.42510357882614</v>
      </c>
      <c r="BL285" s="41">
        <f>AS285/'1. Väestöennuste'!O285*1000</f>
        <v>183.28295449115788</v>
      </c>
      <c r="BM285" s="41">
        <f>AT285/'1. Väestöennuste'!P285*1000</f>
        <v>193.86232022761689</v>
      </c>
      <c r="BN285" s="41">
        <f>AU285/'1. Väestöennuste'!Q285*1000</f>
        <v>202.03264671778729</v>
      </c>
      <c r="BO285" s="41">
        <f>AV285/'1. Väestöennuste'!R285*1000</f>
        <v>211.30448805606801</v>
      </c>
    </row>
    <row r="286" spans="1:67" x14ac:dyDescent="0.25">
      <c r="A286" s="30">
        <v>893</v>
      </c>
      <c r="B286" s="47" t="s">
        <v>600</v>
      </c>
      <c r="C286" s="47">
        <v>20.5</v>
      </c>
      <c r="D286" s="47">
        <v>21</v>
      </c>
      <c r="E286" s="47">
        <v>21</v>
      </c>
      <c r="F286" s="47">
        <v>21.25</v>
      </c>
      <c r="G286" s="47">
        <v>21.25</v>
      </c>
      <c r="H286" s="58">
        <v>21.25</v>
      </c>
      <c r="I286" s="139">
        <v>21.25</v>
      </c>
      <c r="J286" s="139">
        <v>21.25</v>
      </c>
      <c r="K286" s="139">
        <f t="shared" si="19"/>
        <v>8.61</v>
      </c>
      <c r="L286" s="139">
        <v>8.6</v>
      </c>
      <c r="M286" s="139">
        <f t="shared" si="20"/>
        <v>8.6</v>
      </c>
      <c r="N286" s="147">
        <f t="shared" si="20"/>
        <v>8.6</v>
      </c>
      <c r="O286" s="147">
        <f t="shared" si="20"/>
        <v>8.6</v>
      </c>
      <c r="P286" s="147">
        <f t="shared" si="20"/>
        <v>8.6</v>
      </c>
      <c r="Q286" s="147"/>
      <c r="S286" s="41">
        <f>'3. Verotulot'!D286*100/'Veroposentin tuotto'!C286</f>
        <v>102853.49439024391</v>
      </c>
      <c r="T286" s="41">
        <f>'3. Verotulot'!I286*100/'Veroposentin tuotto'!D286</f>
        <v>104200</v>
      </c>
      <c r="U286" s="41">
        <f>'3. Verotulot'!N286*100/'Veroposentin tuotto'!E286</f>
        <v>101614.28571428571</v>
      </c>
      <c r="V286" s="41">
        <f>'3. Verotulot'!S286*100/'Veroposentin tuotto'!F286</f>
        <v>99350.588235294112</v>
      </c>
      <c r="W286" s="41">
        <f>'3. Verotulot'!X286*100/'Veroposentin tuotto'!G286</f>
        <v>103275.29411764706</v>
      </c>
      <c r="X286" s="41">
        <f>'3. Verotulot'!AC286*100/'Veroposentin tuotto'!H286</f>
        <v>105727.05882352941</v>
      </c>
      <c r="Y286" s="41">
        <f>'3. Verotulot'!AH286*100/'Veroposentin tuotto'!I286</f>
        <v>105931.01200000002</v>
      </c>
      <c r="Z286" s="41">
        <f>'3. Verotulot'!AM286*100/'Veroposentin tuotto'!J286</f>
        <v>115014.27181176472</v>
      </c>
      <c r="AA286" s="41">
        <f>'3. Verotulot'!AR286*100/'Veroposentin tuotto'!K286</f>
        <v>138078.29105691056</v>
      </c>
      <c r="AB286" s="41">
        <f>'3. Verotulot'!AW286*100/'Veroposentin tuotto'!L286</f>
        <v>138542.7855957275</v>
      </c>
      <c r="AC286" s="41">
        <f>'3. Verotulot'!BB286*100/'Veroposentin tuotto'!M286</f>
        <v>146867.4134284599</v>
      </c>
      <c r="AD286" s="41">
        <f>'3. Verotulot'!BG286*100/'Veroposentin tuotto'!N286</f>
        <v>154786.90749663577</v>
      </c>
      <c r="AE286" s="41">
        <f>'3. Verotulot'!BL286*100/'Veroposentin tuotto'!O286</f>
        <v>160788.98724189601</v>
      </c>
      <c r="AF286" s="41">
        <f>'3. Verotulot'!BQ286*100/'Veroposentin tuotto'!P286</f>
        <v>167548.56494492074</v>
      </c>
      <c r="AI286" s="41">
        <f>'3. Verotulot'!D286/'Veroposentin tuotto'!C286</f>
        <v>1028.5349439024392</v>
      </c>
      <c r="AJ286" s="41">
        <f>'3. Verotulot'!I286/'Veroposentin tuotto'!D286</f>
        <v>1042</v>
      </c>
      <c r="AK286" s="41">
        <f>'3. Verotulot'!N286/'Veroposentin tuotto'!E286</f>
        <v>1016.1428571428571</v>
      </c>
      <c r="AL286" s="41">
        <f>'3. Verotulot'!S286/'Veroposentin tuotto'!F286</f>
        <v>993.50588235294117</v>
      </c>
      <c r="AM286" s="41">
        <f>'3. Verotulot'!X286/'Veroposentin tuotto'!G286</f>
        <v>1032.7529411764706</v>
      </c>
      <c r="AN286" s="41">
        <f>'3. Verotulot'!AC286/'Veroposentin tuotto'!H286</f>
        <v>1057.2705882352941</v>
      </c>
      <c r="AO286" s="41">
        <f>'3. Verotulot'!AH286/'Veroposentin tuotto'!I286</f>
        <v>1059.3101200000001</v>
      </c>
      <c r="AP286" s="41">
        <f>'3. Verotulot'!AM286/'Veroposentin tuotto'!J286</f>
        <v>1150.1427181176471</v>
      </c>
      <c r="AQ286" s="41">
        <f>'3. Verotulot'!AR286/'Veroposentin tuotto'!K286</f>
        <v>1380.7829105691058</v>
      </c>
      <c r="AR286" s="41">
        <f>'3. Verotulot'!AW286/'Veroposentin tuotto'!L286</f>
        <v>1385.4278559572751</v>
      </c>
      <c r="AS286" s="41">
        <f>'3. Verotulot'!BB286/'Veroposentin tuotto'!M286</f>
        <v>1468.6741342845989</v>
      </c>
      <c r="AT286" s="41">
        <f>'3. Verotulot'!BG286/'Veroposentin tuotto'!N286</f>
        <v>1547.8690749663579</v>
      </c>
      <c r="AU286" s="41">
        <f>'3. Verotulot'!BL286/'Veroposentin tuotto'!O286</f>
        <v>1607.8898724189603</v>
      </c>
      <c r="AV286" s="41">
        <f>'3. Verotulot'!BQ286/'Veroposentin tuotto'!P286</f>
        <v>1675.4856494492074</v>
      </c>
      <c r="AX286" s="146"/>
      <c r="AZ286" s="34">
        <v>893</v>
      </c>
      <c r="BA286" s="88" t="s">
        <v>600</v>
      </c>
      <c r="BB286" s="41">
        <f>AI286/'1. Väestöennuste'!E286*1000</f>
        <v>135.97764990777887</v>
      </c>
      <c r="BC286" s="41">
        <f>AJ286/'1. Väestöennuste'!F286*1000</f>
        <v>138.63757317722192</v>
      </c>
      <c r="BD286" s="41">
        <f>AK286/'1. Väestöennuste'!G286*1000</f>
        <v>135.10741352783634</v>
      </c>
      <c r="BE286" s="41">
        <f>AL286/'1. Väestöennuste'!H286*1000</f>
        <v>133.26705330019331</v>
      </c>
      <c r="BF286" s="41">
        <f>AM286/'1. Väestöennuste'!I286*1000</f>
        <v>138.36454195826241</v>
      </c>
      <c r="BG286" s="41">
        <f>AN286/'1. Väestöennuste'!J286*1000</f>
        <v>141.36523442108492</v>
      </c>
      <c r="BH286" s="41">
        <f>AO286/'1. Väestöennuste'!K286*1000</f>
        <v>141.29786848072564</v>
      </c>
      <c r="BI286" s="41">
        <f>AP286/'1. Väestöennuste'!L286*1000</f>
        <v>154.71384424504265</v>
      </c>
      <c r="BJ286" s="41">
        <f>AQ286/'1. Väestöennuste'!M286*1000</f>
        <v>184.10438807588076</v>
      </c>
      <c r="BK286" s="41">
        <f>AR286/'1. Väestöennuste'!N286*1000</f>
        <v>186.36371481803539</v>
      </c>
      <c r="BL286" s="41">
        <f>AS286/'1. Väestöennuste'!O286*1000</f>
        <v>197.98788545222419</v>
      </c>
      <c r="BM286" s="41">
        <f>AT286/'1. Väestöennuste'!P286*1000</f>
        <v>209.31292426860824</v>
      </c>
      <c r="BN286" s="41">
        <f>AU286/'1. Väestöennuste'!Q286*1000</f>
        <v>218.16687549782364</v>
      </c>
      <c r="BO286" s="41">
        <f>AV286/'1. Väestöennuste'!R286*1000</f>
        <v>228.33001491540028</v>
      </c>
    </row>
    <row r="287" spans="1:67" x14ac:dyDescent="0.25">
      <c r="A287" s="30">
        <v>895</v>
      </c>
      <c r="B287" s="47" t="s">
        <v>601</v>
      </c>
      <c r="C287" s="47">
        <v>20.75</v>
      </c>
      <c r="D287" s="47">
        <v>20.75</v>
      </c>
      <c r="E287" s="47">
        <v>20.75</v>
      </c>
      <c r="F287" s="47">
        <v>20.75</v>
      </c>
      <c r="G287" s="47">
        <v>20.75</v>
      </c>
      <c r="H287" s="58">
        <v>20.75</v>
      </c>
      <c r="I287" s="139">
        <v>20.75</v>
      </c>
      <c r="J287" s="139">
        <v>20.75</v>
      </c>
      <c r="K287" s="139">
        <f t="shared" si="19"/>
        <v>8.11</v>
      </c>
      <c r="L287" s="139">
        <v>8.6</v>
      </c>
      <c r="M287" s="139">
        <f t="shared" si="20"/>
        <v>8.6</v>
      </c>
      <c r="N287" s="147">
        <f t="shared" si="20"/>
        <v>8.6</v>
      </c>
      <c r="O287" s="147">
        <f t="shared" si="20"/>
        <v>8.6</v>
      </c>
      <c r="P287" s="147">
        <f t="shared" si="20"/>
        <v>8.6</v>
      </c>
      <c r="Q287" s="147"/>
      <c r="S287" s="41">
        <f>'3. Verotulot'!D287*100/'Veroposentin tuotto'!C287</f>
        <v>257982.94043373497</v>
      </c>
      <c r="T287" s="41">
        <f>'3. Verotulot'!I287*100/'Veroposentin tuotto'!D287</f>
        <v>258703.61445783134</v>
      </c>
      <c r="U287" s="41">
        <f>'3. Verotulot'!N287*100/'Veroposentin tuotto'!E287</f>
        <v>254236.14457831325</v>
      </c>
      <c r="V287" s="41">
        <f>'3. Verotulot'!S287*100/'Veroposentin tuotto'!F287</f>
        <v>267108.43373493978</v>
      </c>
      <c r="W287" s="41">
        <f>'3. Verotulot'!X287*100/'Veroposentin tuotto'!G287</f>
        <v>269942.1686746988</v>
      </c>
      <c r="X287" s="41">
        <f>'3. Verotulot'!AC287*100/'Veroposentin tuotto'!H287</f>
        <v>277942.1686746988</v>
      </c>
      <c r="Y287" s="41">
        <f>'3. Verotulot'!AH287*100/'Veroposentin tuotto'!I287</f>
        <v>268806.32554216869</v>
      </c>
      <c r="Z287" s="41">
        <f>'3. Verotulot'!AM287*100/'Veroposentin tuotto'!J287</f>
        <v>285805.69985542167</v>
      </c>
      <c r="AA287" s="41">
        <f>'3. Verotulot'!AR287*100/'Veroposentin tuotto'!K287</f>
        <v>344616.8268803946</v>
      </c>
      <c r="AB287" s="41">
        <f>'3. Verotulot'!AW287*100/'Veroposentin tuotto'!L287</f>
        <v>333347.33840149944</v>
      </c>
      <c r="AC287" s="41">
        <f>'3. Verotulot'!BB287*100/'Veroposentin tuotto'!M287</f>
        <v>355277.68900013866</v>
      </c>
      <c r="AD287" s="41">
        <f>'3. Verotulot'!BG287*100/'Veroposentin tuotto'!N287</f>
        <v>370462.21595988725</v>
      </c>
      <c r="AE287" s="41">
        <f>'3. Verotulot'!BL287*100/'Veroposentin tuotto'!O287</f>
        <v>382402.37454939942</v>
      </c>
      <c r="AF287" s="41">
        <f>'3. Verotulot'!BQ287*100/'Veroposentin tuotto'!P287</f>
        <v>395918.41672604211</v>
      </c>
      <c r="AI287" s="41">
        <f>'3. Verotulot'!D287/'Veroposentin tuotto'!C287</f>
        <v>2579.8294043373494</v>
      </c>
      <c r="AJ287" s="41">
        <f>'3. Verotulot'!I287/'Veroposentin tuotto'!D287</f>
        <v>2587.0361445783133</v>
      </c>
      <c r="AK287" s="41">
        <f>'3. Verotulot'!N287/'Veroposentin tuotto'!E287</f>
        <v>2542.3614457831327</v>
      </c>
      <c r="AL287" s="41">
        <f>'3. Verotulot'!S287/'Veroposentin tuotto'!F287</f>
        <v>2671.0843373493976</v>
      </c>
      <c r="AM287" s="41">
        <f>'3. Verotulot'!X287/'Veroposentin tuotto'!G287</f>
        <v>2699.4216867469881</v>
      </c>
      <c r="AN287" s="41">
        <f>'3. Verotulot'!AC287/'Veroposentin tuotto'!H287</f>
        <v>2779.4216867469881</v>
      </c>
      <c r="AO287" s="41">
        <f>'3. Verotulot'!AH287/'Veroposentin tuotto'!I287</f>
        <v>2688.0632554216863</v>
      </c>
      <c r="AP287" s="41">
        <f>'3. Verotulot'!AM287/'Veroposentin tuotto'!J287</f>
        <v>2858.0569985542165</v>
      </c>
      <c r="AQ287" s="41">
        <f>'3. Verotulot'!AR287/'Veroposentin tuotto'!K287</f>
        <v>3446.1682688039459</v>
      </c>
      <c r="AR287" s="41">
        <f>'3. Verotulot'!AW287/'Veroposentin tuotto'!L287</f>
        <v>3333.4733840149943</v>
      </c>
      <c r="AS287" s="41">
        <f>'3. Verotulot'!BB287/'Veroposentin tuotto'!M287</f>
        <v>3552.7768900013866</v>
      </c>
      <c r="AT287" s="41">
        <f>'3. Verotulot'!BG287/'Veroposentin tuotto'!N287</f>
        <v>3704.6221595988723</v>
      </c>
      <c r="AU287" s="41">
        <f>'3. Verotulot'!BL287/'Veroposentin tuotto'!O287</f>
        <v>3824.0237454939943</v>
      </c>
      <c r="AV287" s="41">
        <f>'3. Verotulot'!BQ287/'Veroposentin tuotto'!P287</f>
        <v>3959.184167260421</v>
      </c>
      <c r="AX287" s="146"/>
      <c r="AZ287" s="34">
        <v>895</v>
      </c>
      <c r="BA287" s="88" t="s">
        <v>601</v>
      </c>
      <c r="BB287" s="41">
        <f>AI287/'1. Väestöennuste'!E287*1000</f>
        <v>166.33329492826238</v>
      </c>
      <c r="BC287" s="41">
        <f>AJ287/'1. Väestöennuste'!F287*1000</f>
        <v>167.94573776800269</v>
      </c>
      <c r="BD287" s="41">
        <f>AK287/'1. Väestöennuste'!G287*1000</f>
        <v>161.39927918887335</v>
      </c>
      <c r="BE287" s="41">
        <f>AL287/'1. Väestöennuste'!H287*1000</f>
        <v>170.13276034072598</v>
      </c>
      <c r="BF287" s="41">
        <f>AM287/'1. Väestöennuste'!I287*1000</f>
        <v>173.90939870809098</v>
      </c>
      <c r="BG287" s="41">
        <f>AN287/'1. Väestöennuste'!J287*1000</f>
        <v>180.74012789354845</v>
      </c>
      <c r="BH287" s="41">
        <f>AO287/'1. Väestöennuste'!K287*1000</f>
        <v>173.83840492929485</v>
      </c>
      <c r="BI287" s="41">
        <f>AP287/'1. Väestöennuste'!L287*1000</f>
        <v>189.37562937677023</v>
      </c>
      <c r="BJ287" s="41">
        <f>AQ287/'1. Väestöennuste'!M287*1000</f>
        <v>230.69810341437582</v>
      </c>
      <c r="BK287" s="41">
        <f>AR287/'1. Väestöennuste'!N287*1000</f>
        <v>221.5079662446006</v>
      </c>
      <c r="BL287" s="41">
        <f>AS287/'1. Väestöennuste'!O287*1000</f>
        <v>237.46921261956999</v>
      </c>
      <c r="BM287" s="41">
        <f>AT287/'1. Väestöennuste'!P287*1000</f>
        <v>249.03348746967413</v>
      </c>
      <c r="BN287" s="41">
        <f>AU287/'1. Väestöennuste'!Q287*1000</f>
        <v>258.55468191304897</v>
      </c>
      <c r="BO287" s="41">
        <f>AV287/'1. Väestöennuste'!R287*1000</f>
        <v>269.18576062417878</v>
      </c>
    </row>
    <row r="288" spans="1:67" x14ac:dyDescent="0.25">
      <c r="A288" s="30">
        <v>905</v>
      </c>
      <c r="B288" s="47" t="s">
        <v>602</v>
      </c>
      <c r="C288" s="47">
        <v>19.5</v>
      </c>
      <c r="D288" s="47">
        <v>20</v>
      </c>
      <c r="E288" s="47">
        <v>20</v>
      </c>
      <c r="F288" s="47">
        <v>20</v>
      </c>
      <c r="G288" s="47">
        <v>20.5</v>
      </c>
      <c r="H288" s="58">
        <v>21</v>
      </c>
      <c r="I288" s="139">
        <v>21</v>
      </c>
      <c r="J288" s="139">
        <v>21</v>
      </c>
      <c r="K288" s="139">
        <f t="shared" si="19"/>
        <v>8.36</v>
      </c>
      <c r="L288" s="139">
        <v>8.4</v>
      </c>
      <c r="M288" s="139">
        <f t="shared" si="20"/>
        <v>8.4</v>
      </c>
      <c r="N288" s="147">
        <f t="shared" si="20"/>
        <v>8.4</v>
      </c>
      <c r="O288" s="147">
        <f t="shared" si="20"/>
        <v>8.4</v>
      </c>
      <c r="P288" s="147">
        <f t="shared" si="20"/>
        <v>8.4</v>
      </c>
      <c r="Q288" s="147"/>
      <c r="S288" s="41">
        <f>'3. Verotulot'!D288*100/'Veroposentin tuotto'!C288</f>
        <v>1156122.9989230768</v>
      </c>
      <c r="T288" s="41">
        <f>'3. Verotulot'!I288*100/'Veroposentin tuotto'!D288</f>
        <v>1162425</v>
      </c>
      <c r="U288" s="41">
        <f>'3. Verotulot'!N288*100/'Veroposentin tuotto'!E288</f>
        <v>1137035</v>
      </c>
      <c r="V288" s="41">
        <f>'3. Verotulot'!S288*100/'Veroposentin tuotto'!F288</f>
        <v>1119275</v>
      </c>
      <c r="W288" s="41">
        <f>'3. Verotulot'!X288*100/'Veroposentin tuotto'!G288</f>
        <v>1150824.3902439023</v>
      </c>
      <c r="X288" s="41">
        <f>'3. Verotulot'!AC288*100/'Veroposentin tuotto'!H288</f>
        <v>1196857.142857143</v>
      </c>
      <c r="Y288" s="41">
        <f>'3. Verotulot'!AH288*100/'Veroposentin tuotto'!I288</f>
        <v>1208544.1304285715</v>
      </c>
      <c r="Z288" s="41">
        <f>'3. Verotulot'!AM288*100/'Veroposentin tuotto'!J288</f>
        <v>1283929.0111428569</v>
      </c>
      <c r="AA288" s="41">
        <f>'3. Verotulot'!AR288*100/'Veroposentin tuotto'!K288</f>
        <v>1647779.9007177034</v>
      </c>
      <c r="AB288" s="41">
        <f>'3. Verotulot'!AW288*100/'Veroposentin tuotto'!L288</f>
        <v>1542981.967136234</v>
      </c>
      <c r="AC288" s="41">
        <f>'3. Verotulot'!BB288*100/'Veroposentin tuotto'!M288</f>
        <v>1617723.8120661818</v>
      </c>
      <c r="AD288" s="41">
        <f>'3. Verotulot'!BG288*100/'Veroposentin tuotto'!N288</f>
        <v>1696923.5013400982</v>
      </c>
      <c r="AE288" s="41">
        <f>'3. Verotulot'!BL288*100/'Veroposentin tuotto'!O288</f>
        <v>1762696.5222897644</v>
      </c>
      <c r="AF288" s="41">
        <f>'3. Verotulot'!BQ288*100/'Veroposentin tuotto'!P288</f>
        <v>1837021.8126501546</v>
      </c>
      <c r="AI288" s="41">
        <f>'3. Verotulot'!D288/'Veroposentin tuotto'!C288</f>
        <v>11561.229989230769</v>
      </c>
      <c r="AJ288" s="41">
        <f>'3. Verotulot'!I288/'Veroposentin tuotto'!D288</f>
        <v>11624.25</v>
      </c>
      <c r="AK288" s="41">
        <f>'3. Verotulot'!N288/'Veroposentin tuotto'!E288</f>
        <v>11370.35</v>
      </c>
      <c r="AL288" s="41">
        <f>'3. Verotulot'!S288/'Veroposentin tuotto'!F288</f>
        <v>11192.75</v>
      </c>
      <c r="AM288" s="41">
        <f>'3. Verotulot'!X288/'Veroposentin tuotto'!G288</f>
        <v>11508.243902439024</v>
      </c>
      <c r="AN288" s="41">
        <f>'3. Verotulot'!AC288/'Veroposentin tuotto'!H288</f>
        <v>11968.571428571429</v>
      </c>
      <c r="AO288" s="41">
        <f>'3. Verotulot'!AH288/'Veroposentin tuotto'!I288</f>
        <v>12085.441304285714</v>
      </c>
      <c r="AP288" s="41">
        <f>'3. Verotulot'!AM288/'Veroposentin tuotto'!J288</f>
        <v>12839.290111428571</v>
      </c>
      <c r="AQ288" s="41">
        <f>'3. Verotulot'!AR288/'Veroposentin tuotto'!K288</f>
        <v>16477.799007177033</v>
      </c>
      <c r="AR288" s="41">
        <f>'3. Verotulot'!AW288/'Veroposentin tuotto'!L288</f>
        <v>15429.819671362342</v>
      </c>
      <c r="AS288" s="41">
        <f>'3. Verotulot'!BB288/'Veroposentin tuotto'!M288</f>
        <v>16177.238120661817</v>
      </c>
      <c r="AT288" s="41">
        <f>'3. Verotulot'!BG288/'Veroposentin tuotto'!N288</f>
        <v>16969.235013400983</v>
      </c>
      <c r="AU288" s="41">
        <f>'3. Verotulot'!BL288/'Veroposentin tuotto'!O288</f>
        <v>17626.965222897645</v>
      </c>
      <c r="AV288" s="41">
        <f>'3. Verotulot'!BQ288/'Veroposentin tuotto'!P288</f>
        <v>18370.218126501546</v>
      </c>
      <c r="AX288" s="146"/>
      <c r="AZ288" s="34">
        <v>905</v>
      </c>
      <c r="BA288" s="88" t="s">
        <v>602</v>
      </c>
      <c r="BB288" s="41">
        <f>AI288/'1. Väestöennuste'!E288*1000</f>
        <v>170.97605686612889</v>
      </c>
      <c r="BC288" s="41">
        <f>AJ288/'1. Väestöennuste'!F288*1000</f>
        <v>171.90550133096716</v>
      </c>
      <c r="BD288" s="41">
        <f>AK288/'1. Väestöennuste'!G288*1000</f>
        <v>168.71958095916432</v>
      </c>
      <c r="BE288" s="41">
        <f>AL288/'1. Väestöennuste'!H288*1000</f>
        <v>165.69087517764092</v>
      </c>
      <c r="BF288" s="41">
        <f>AM288/'1. Väestöennuste'!I288*1000</f>
        <v>170.14968215800795</v>
      </c>
      <c r="BG288" s="41">
        <f>AN288/'1. Väestöennuste'!J288*1000</f>
        <v>177.17830126232667</v>
      </c>
      <c r="BH288" s="41">
        <f>AO288/'1. Väestöennuste'!K288*1000</f>
        <v>178.73905648577556</v>
      </c>
      <c r="BI288" s="41">
        <f>AP288/'1. Väestöennuste'!L288*1000</f>
        <v>188.84641571201638</v>
      </c>
      <c r="BJ288" s="41">
        <f>AQ288/'1. Väestöennuste'!M288*1000</f>
        <v>238.96106223065479</v>
      </c>
      <c r="BK288" s="41">
        <f>AR288/'1. Väestöennuste'!N288*1000</f>
        <v>227.99207517121536</v>
      </c>
      <c r="BL288" s="41">
        <f>AS288/'1. Väestöennuste'!O288*1000</f>
        <v>239.04304574306343</v>
      </c>
      <c r="BM288" s="41">
        <f>AT288/'1. Väestöennuste'!P288*1000</f>
        <v>250.7274676920949</v>
      </c>
      <c r="BN288" s="41">
        <f>AU288/'1. Väestöennuste'!Q288*1000</f>
        <v>260.3956867460098</v>
      </c>
      <c r="BO288" s="41">
        <f>AV288/'1. Väestöennuste'!R288*1000</f>
        <v>271.31131941841625</v>
      </c>
    </row>
    <row r="289" spans="1:67" x14ac:dyDescent="0.25">
      <c r="A289" s="30">
        <v>908</v>
      </c>
      <c r="B289" s="47" t="s">
        <v>603</v>
      </c>
      <c r="C289" s="47">
        <v>19.75</v>
      </c>
      <c r="D289" s="47">
        <v>19.75</v>
      </c>
      <c r="E289" s="47">
        <v>19.75</v>
      </c>
      <c r="F289" s="47">
        <v>19.75</v>
      </c>
      <c r="G289" s="47">
        <v>20.25</v>
      </c>
      <c r="H289" s="58">
        <v>20.25</v>
      </c>
      <c r="I289" s="139">
        <v>20.25</v>
      </c>
      <c r="J289" s="139">
        <v>20.25</v>
      </c>
      <c r="K289" s="139">
        <f t="shared" si="19"/>
        <v>7.6099999999999994</v>
      </c>
      <c r="L289" s="139">
        <v>8.9</v>
      </c>
      <c r="M289" s="139">
        <f t="shared" si="20"/>
        <v>8.9</v>
      </c>
      <c r="N289" s="147">
        <f t="shared" si="20"/>
        <v>8.9</v>
      </c>
      <c r="O289" s="147">
        <f t="shared" si="20"/>
        <v>8.9</v>
      </c>
      <c r="P289" s="147">
        <f t="shared" si="20"/>
        <v>8.9</v>
      </c>
      <c r="Q289" s="147"/>
      <c r="S289" s="41">
        <f>'3. Verotulot'!D289*100/'Veroposentin tuotto'!C289</f>
        <v>352321.26992405072</v>
      </c>
      <c r="T289" s="41">
        <f>'3. Verotulot'!I289*100/'Veroposentin tuotto'!D289</f>
        <v>360025.31645569619</v>
      </c>
      <c r="U289" s="41">
        <f>'3. Verotulot'!N289*100/'Veroposentin tuotto'!E289</f>
        <v>357898.7341772152</v>
      </c>
      <c r="V289" s="41">
        <f>'3. Verotulot'!S289*100/'Veroposentin tuotto'!F289</f>
        <v>344369.62025316455</v>
      </c>
      <c r="W289" s="41">
        <f>'3. Verotulot'!X289*100/'Veroposentin tuotto'!G289</f>
        <v>356780.24691358022</v>
      </c>
      <c r="X289" s="41">
        <f>'3. Verotulot'!AC289*100/'Veroposentin tuotto'!H289</f>
        <v>367234.56790123455</v>
      </c>
      <c r="Y289" s="41">
        <f>'3. Verotulot'!AH289*100/'Veroposentin tuotto'!I289</f>
        <v>379677.30246913579</v>
      </c>
      <c r="Z289" s="41">
        <f>'3. Verotulot'!AM289*100/'Veroposentin tuotto'!J289</f>
        <v>389558.01145679009</v>
      </c>
      <c r="AA289" s="41">
        <f>'3. Verotulot'!AR289*100/'Veroposentin tuotto'!K289</f>
        <v>492751.97595269379</v>
      </c>
      <c r="AB289" s="41">
        <f>'3. Verotulot'!AW289*100/'Veroposentin tuotto'!L289</f>
        <v>451964.38748663792</v>
      </c>
      <c r="AC289" s="41">
        <f>'3. Verotulot'!BB289*100/'Veroposentin tuotto'!M289</f>
        <v>478860.52934430749</v>
      </c>
      <c r="AD289" s="41">
        <f>'3. Verotulot'!BG289*100/'Veroposentin tuotto'!N289</f>
        <v>498136.48926150671</v>
      </c>
      <c r="AE289" s="41">
        <f>'3. Verotulot'!BL289*100/'Veroposentin tuotto'!O289</f>
        <v>513557.24081740074</v>
      </c>
      <c r="AF289" s="41">
        <f>'3. Verotulot'!BQ289*100/'Veroposentin tuotto'!P289</f>
        <v>531172.33248669282</v>
      </c>
      <c r="AI289" s="41">
        <f>'3. Verotulot'!D289/'Veroposentin tuotto'!C289</f>
        <v>3523.2126992405069</v>
      </c>
      <c r="AJ289" s="41">
        <f>'3. Verotulot'!I289/'Veroposentin tuotto'!D289</f>
        <v>3600.253164556962</v>
      </c>
      <c r="AK289" s="41">
        <f>'3. Verotulot'!N289/'Veroposentin tuotto'!E289</f>
        <v>3578.9873417721519</v>
      </c>
      <c r="AL289" s="41">
        <f>'3. Verotulot'!S289/'Veroposentin tuotto'!F289</f>
        <v>3443.6962025316457</v>
      </c>
      <c r="AM289" s="41">
        <f>'3. Verotulot'!X289/'Veroposentin tuotto'!G289</f>
        <v>3567.8024691358023</v>
      </c>
      <c r="AN289" s="41">
        <f>'3. Verotulot'!AC289/'Veroposentin tuotto'!H289</f>
        <v>3672.3456790123455</v>
      </c>
      <c r="AO289" s="41">
        <f>'3. Verotulot'!AH289/'Veroposentin tuotto'!I289</f>
        <v>3796.7730246913579</v>
      </c>
      <c r="AP289" s="41">
        <f>'3. Verotulot'!AM289/'Veroposentin tuotto'!J289</f>
        <v>3895.5801145679011</v>
      </c>
      <c r="AQ289" s="41">
        <f>'3. Verotulot'!AR289/'Veroposentin tuotto'!K289</f>
        <v>4927.5197595269383</v>
      </c>
      <c r="AR289" s="41">
        <f>'3. Verotulot'!AW289/'Veroposentin tuotto'!L289</f>
        <v>4519.6438748663795</v>
      </c>
      <c r="AS289" s="41">
        <f>'3. Verotulot'!BB289/'Veroposentin tuotto'!M289</f>
        <v>4788.6052934430745</v>
      </c>
      <c r="AT289" s="41">
        <f>'3. Verotulot'!BG289/'Veroposentin tuotto'!N289</f>
        <v>4981.3648926150672</v>
      </c>
      <c r="AU289" s="41">
        <f>'3. Verotulot'!BL289/'Veroposentin tuotto'!O289</f>
        <v>5135.5724081740073</v>
      </c>
      <c r="AV289" s="41">
        <f>'3. Verotulot'!BQ289/'Veroposentin tuotto'!P289</f>
        <v>5311.723324866929</v>
      </c>
      <c r="AX289" s="146"/>
      <c r="AZ289" s="34">
        <v>908</v>
      </c>
      <c r="BA289" s="88" t="s">
        <v>603</v>
      </c>
      <c r="BB289" s="41">
        <f>AI289/'1. Väestöennuste'!E289*1000</f>
        <v>165.16091783426339</v>
      </c>
      <c r="BC289" s="41">
        <f>AJ289/'1. Väestöennuste'!F289*1000</f>
        <v>168.66172418986986</v>
      </c>
      <c r="BD289" s="41">
        <f>AK289/'1. Väestöennuste'!G289*1000</f>
        <v>169.33134660163475</v>
      </c>
      <c r="BE289" s="41">
        <f>AL289/'1. Väestöennuste'!H289*1000</f>
        <v>162.922657072037</v>
      </c>
      <c r="BF289" s="41">
        <f>AM289/'1. Väestöennuste'!I289*1000</f>
        <v>170.1221852534714</v>
      </c>
      <c r="BG289" s="41">
        <f>AN289/'1. Väestöennuste'!J289*1000</f>
        <v>176.85266934805421</v>
      </c>
      <c r="BH289" s="41">
        <f>AO289/'1. Väestöennuste'!K289*1000</f>
        <v>183.46330150719294</v>
      </c>
      <c r="BI289" s="41">
        <f>AP289/'1. Väestöennuste'!L289*1000</f>
        <v>188.16500577539009</v>
      </c>
      <c r="BJ289" s="41">
        <f>AQ289/'1. Väestöennuste'!M289*1000</f>
        <v>238.113451219046</v>
      </c>
      <c r="BK289" s="41">
        <f>AR289/'1. Väestöennuste'!N289*1000</f>
        <v>223.13719451327472</v>
      </c>
      <c r="BL289" s="41">
        <f>AS289/'1. Väestöennuste'!O289*1000</f>
        <v>237.78951700482045</v>
      </c>
      <c r="BM289" s="41">
        <f>AT289/'1. Väestöennuste'!P289*1000</f>
        <v>248.79457060308997</v>
      </c>
      <c r="BN289" s="41">
        <f>AU289/'1. Väestöennuste'!Q289*1000</f>
        <v>258.01710250070374</v>
      </c>
      <c r="BO289" s="41">
        <f>AV289/'1. Väestöennuste'!R289*1000</f>
        <v>268.49938456588637</v>
      </c>
    </row>
    <row r="290" spans="1:67" x14ac:dyDescent="0.25">
      <c r="A290" s="30">
        <v>915</v>
      </c>
      <c r="B290" s="47" t="s">
        <v>604</v>
      </c>
      <c r="C290" s="47">
        <v>20.75</v>
      </c>
      <c r="D290" s="47">
        <v>20.75</v>
      </c>
      <c r="E290" s="47">
        <v>21</v>
      </c>
      <c r="F290" s="47">
        <v>21</v>
      </c>
      <c r="G290" s="47">
        <v>21</v>
      </c>
      <c r="H290" s="58">
        <v>21</v>
      </c>
      <c r="I290" s="139">
        <v>21</v>
      </c>
      <c r="J290" s="139">
        <v>21</v>
      </c>
      <c r="K290" s="139">
        <f t="shared" si="19"/>
        <v>8.36</v>
      </c>
      <c r="L290" s="139">
        <v>8.8000000000000007</v>
      </c>
      <c r="M290" s="139">
        <f t="shared" si="20"/>
        <v>8.8000000000000007</v>
      </c>
      <c r="N290" s="147">
        <f t="shared" si="20"/>
        <v>8.8000000000000007</v>
      </c>
      <c r="O290" s="147">
        <f t="shared" si="20"/>
        <v>8.8000000000000007</v>
      </c>
      <c r="P290" s="147">
        <f t="shared" si="20"/>
        <v>8.8000000000000007</v>
      </c>
      <c r="Q290" s="147"/>
      <c r="S290" s="41">
        <f>'3. Verotulot'!D290*100/'Veroposentin tuotto'!C290</f>
        <v>334830.50130120479</v>
      </c>
      <c r="T290" s="41">
        <f>'3. Verotulot'!I290*100/'Veroposentin tuotto'!D290</f>
        <v>342149.39759036142</v>
      </c>
      <c r="U290" s="41">
        <f>'3. Verotulot'!N290*100/'Veroposentin tuotto'!E290</f>
        <v>332809.52380952379</v>
      </c>
      <c r="V290" s="41">
        <f>'3. Verotulot'!S290*100/'Veroposentin tuotto'!F290</f>
        <v>326952.38095238095</v>
      </c>
      <c r="W290" s="41">
        <f>'3. Verotulot'!X290*100/'Veroposentin tuotto'!G290</f>
        <v>327504.76190476189</v>
      </c>
      <c r="X290" s="41">
        <f>'3. Verotulot'!AC290*100/'Veroposentin tuotto'!H290</f>
        <v>335780.95238095237</v>
      </c>
      <c r="Y290" s="41">
        <f>'3. Verotulot'!AH290*100/'Veroposentin tuotto'!I290</f>
        <v>346004.23947619053</v>
      </c>
      <c r="Z290" s="41">
        <f>'3. Verotulot'!AM290*100/'Veroposentin tuotto'!J290</f>
        <v>347077.24400000001</v>
      </c>
      <c r="AA290" s="41">
        <f>'3. Verotulot'!AR290*100/'Veroposentin tuotto'!K290</f>
        <v>429594.94700956938</v>
      </c>
      <c r="AB290" s="41">
        <f>'3. Verotulot'!AW290*100/'Veroposentin tuotto'!L290</f>
        <v>402577.06982692488</v>
      </c>
      <c r="AC290" s="41">
        <f>'3. Verotulot'!BB290*100/'Veroposentin tuotto'!M290</f>
        <v>416631.76017154939</v>
      </c>
      <c r="AD290" s="41">
        <f>'3. Verotulot'!BG290*100/'Veroposentin tuotto'!N290</f>
        <v>428060.30846028414</v>
      </c>
      <c r="AE290" s="41">
        <f>'3. Verotulot'!BL290*100/'Veroposentin tuotto'!O290</f>
        <v>438047.78078917012</v>
      </c>
      <c r="AF290" s="41">
        <f>'3. Verotulot'!BQ290*100/'Veroposentin tuotto'!P290</f>
        <v>449921.70520810876</v>
      </c>
      <c r="AI290" s="41">
        <f>'3. Verotulot'!D290/'Veroposentin tuotto'!C290</f>
        <v>3348.3050130120478</v>
      </c>
      <c r="AJ290" s="41">
        <f>'3. Verotulot'!I290/'Veroposentin tuotto'!D290</f>
        <v>3421.4939759036147</v>
      </c>
      <c r="AK290" s="41">
        <f>'3. Verotulot'!N290/'Veroposentin tuotto'!E290</f>
        <v>3328.0952380952381</v>
      </c>
      <c r="AL290" s="41">
        <f>'3. Verotulot'!S290/'Veroposentin tuotto'!F290</f>
        <v>3269.5238095238096</v>
      </c>
      <c r="AM290" s="41">
        <f>'3. Verotulot'!X290/'Veroposentin tuotto'!G290</f>
        <v>3275.0476190476193</v>
      </c>
      <c r="AN290" s="41">
        <f>'3. Verotulot'!AC290/'Veroposentin tuotto'!H290</f>
        <v>3357.8095238095239</v>
      </c>
      <c r="AO290" s="41">
        <f>'3. Verotulot'!AH290/'Veroposentin tuotto'!I290</f>
        <v>3460.0423947619051</v>
      </c>
      <c r="AP290" s="41">
        <f>'3. Verotulot'!AM290/'Veroposentin tuotto'!J290</f>
        <v>3470.7724399999997</v>
      </c>
      <c r="AQ290" s="41">
        <f>'3. Verotulot'!AR290/'Veroposentin tuotto'!K290</f>
        <v>4295.9494700956939</v>
      </c>
      <c r="AR290" s="41">
        <f>'3. Verotulot'!AW290/'Veroposentin tuotto'!L290</f>
        <v>4025.7706982692489</v>
      </c>
      <c r="AS290" s="41">
        <f>'3. Verotulot'!BB290/'Veroposentin tuotto'!M290</f>
        <v>4166.3176017154938</v>
      </c>
      <c r="AT290" s="41">
        <f>'3. Verotulot'!BG290/'Veroposentin tuotto'!N290</f>
        <v>4280.6030846028416</v>
      </c>
      <c r="AU290" s="41">
        <f>'3. Verotulot'!BL290/'Veroposentin tuotto'!O290</f>
        <v>4380.4778078917016</v>
      </c>
      <c r="AV290" s="41">
        <f>'3. Verotulot'!BQ290/'Veroposentin tuotto'!P290</f>
        <v>4499.2170520810878</v>
      </c>
      <c r="AX290" s="146"/>
      <c r="AZ290" s="34">
        <v>915</v>
      </c>
      <c r="BA290" s="88" t="s">
        <v>604</v>
      </c>
      <c r="BB290" s="41">
        <f>AI290/'1. Väestöennuste'!E290*1000</f>
        <v>154.74188987023052</v>
      </c>
      <c r="BC290" s="41">
        <f>AJ290/'1. Väestöennuste'!F290*1000</f>
        <v>159.37646617773498</v>
      </c>
      <c r="BD290" s="41">
        <f>AK290/'1. Väestöennuste'!G290*1000</f>
        <v>157.31955746136791</v>
      </c>
      <c r="BE290" s="41">
        <f>AL290/'1. Väestöennuste'!H290*1000</f>
        <v>156.96979257399826</v>
      </c>
      <c r="BF290" s="41">
        <f>AM290/'1. Väestöennuste'!I290*1000</f>
        <v>160.02382581098502</v>
      </c>
      <c r="BG290" s="41">
        <f>AN290/'1. Väestöennuste'!J290*1000</f>
        <v>165.58879198192741</v>
      </c>
      <c r="BH290" s="41">
        <f>AO290/'1. Väestöennuste'!K290*1000</f>
        <v>173.2359883223304</v>
      </c>
      <c r="BI290" s="41">
        <f>AP290/'1. Väestöennuste'!L290*1000</f>
        <v>175.65526797914873</v>
      </c>
      <c r="BJ290" s="41">
        <f>AQ290/'1. Väestöennuste'!M290*1000</f>
        <v>217.77003447537354</v>
      </c>
      <c r="BK290" s="41">
        <f>AR290/'1. Väestöennuste'!N290*1000</f>
        <v>209.08749861167803</v>
      </c>
      <c r="BL290" s="41">
        <f>AS290/'1. Väestöennuste'!O290*1000</f>
        <v>219.03777938675643</v>
      </c>
      <c r="BM290" s="41">
        <f>AT290/'1. Väestöennuste'!P290*1000</f>
        <v>227.72799300967398</v>
      </c>
      <c r="BN290" s="41">
        <f>AU290/'1. Väestöennuste'!Q290*1000</f>
        <v>235.73769281518145</v>
      </c>
      <c r="BO290" s="41">
        <f>AV290/'1. Väestöennuste'!R290*1000</f>
        <v>244.92199521399499</v>
      </c>
    </row>
    <row r="291" spans="1:67" x14ac:dyDescent="0.25">
      <c r="A291" s="30">
        <v>918</v>
      </c>
      <c r="B291" s="47" t="s">
        <v>605</v>
      </c>
      <c r="C291" s="47">
        <v>21.5</v>
      </c>
      <c r="D291" s="47">
        <v>21.5</v>
      </c>
      <c r="E291" s="47">
        <v>22.25</v>
      </c>
      <c r="F291" s="47">
        <v>22.25</v>
      </c>
      <c r="G291" s="47">
        <v>22.25</v>
      </c>
      <c r="H291" s="58">
        <v>22.25</v>
      </c>
      <c r="I291" s="139">
        <v>22.25</v>
      </c>
      <c r="J291" s="139">
        <v>22.25</v>
      </c>
      <c r="K291" s="139">
        <f t="shared" si="19"/>
        <v>9.61</v>
      </c>
      <c r="L291" s="139">
        <v>9.5</v>
      </c>
      <c r="M291" s="139">
        <f t="shared" si="20"/>
        <v>9.5</v>
      </c>
      <c r="N291" s="147">
        <f t="shared" si="20"/>
        <v>9.5</v>
      </c>
      <c r="O291" s="147">
        <f t="shared" si="20"/>
        <v>9.5</v>
      </c>
      <c r="P291" s="147">
        <f t="shared" si="20"/>
        <v>9.5</v>
      </c>
      <c r="Q291" s="147"/>
      <c r="S291" s="41">
        <f>'3. Verotulot'!D291*100/'Veroposentin tuotto'!C291</f>
        <v>31034.371116279071</v>
      </c>
      <c r="T291" s="41">
        <f>'3. Verotulot'!I291*100/'Veroposentin tuotto'!D291</f>
        <v>31051.162790697676</v>
      </c>
      <c r="U291" s="41">
        <f>'3. Verotulot'!N291*100/'Veroposentin tuotto'!E291</f>
        <v>31487.6404494382</v>
      </c>
      <c r="V291" s="41">
        <f>'3. Verotulot'!S291*100/'Veroposentin tuotto'!F291</f>
        <v>32116.853932584268</v>
      </c>
      <c r="W291" s="41">
        <f>'3. Verotulot'!X291*100/'Veroposentin tuotto'!G291</f>
        <v>32130.337078651686</v>
      </c>
      <c r="X291" s="41">
        <f>'3. Verotulot'!AC291*100/'Veroposentin tuotto'!H291</f>
        <v>33474.15730337079</v>
      </c>
      <c r="Y291" s="41">
        <f>'3. Verotulot'!AH291*100/'Veroposentin tuotto'!I291</f>
        <v>32877.510966292139</v>
      </c>
      <c r="Z291" s="41">
        <f>'3. Verotulot'!AM291*100/'Veroposentin tuotto'!J291</f>
        <v>34224.572898876402</v>
      </c>
      <c r="AA291" s="41">
        <f>'3. Verotulot'!AR291*100/'Veroposentin tuotto'!K291</f>
        <v>41130.535587929247</v>
      </c>
      <c r="AB291" s="41">
        <f>'3. Verotulot'!AW291*100/'Veroposentin tuotto'!L291</f>
        <v>42040.334098390907</v>
      </c>
      <c r="AC291" s="41">
        <f>'3. Verotulot'!BB291*100/'Veroposentin tuotto'!M291</f>
        <v>45312.522755938837</v>
      </c>
      <c r="AD291" s="41">
        <f>'3. Verotulot'!BG291*100/'Veroposentin tuotto'!N291</f>
        <v>47927.81106679621</v>
      </c>
      <c r="AE291" s="41">
        <f>'3. Verotulot'!BL291*100/'Veroposentin tuotto'!O291</f>
        <v>50184.419806731363</v>
      </c>
      <c r="AF291" s="41">
        <f>'3. Verotulot'!BQ291*100/'Veroposentin tuotto'!P291</f>
        <v>52735.188560276438</v>
      </c>
      <c r="AI291" s="41">
        <f>'3. Verotulot'!D291/'Veroposentin tuotto'!C291</f>
        <v>310.34371116279073</v>
      </c>
      <c r="AJ291" s="41">
        <f>'3. Verotulot'!I291/'Veroposentin tuotto'!D291</f>
        <v>310.51162790697674</v>
      </c>
      <c r="AK291" s="41">
        <f>'3. Verotulot'!N291/'Veroposentin tuotto'!E291</f>
        <v>314.87640449438203</v>
      </c>
      <c r="AL291" s="41">
        <f>'3. Verotulot'!S291/'Veroposentin tuotto'!F291</f>
        <v>321.16853932584269</v>
      </c>
      <c r="AM291" s="41">
        <f>'3. Verotulot'!X291/'Veroposentin tuotto'!G291</f>
        <v>321.30337078651684</v>
      </c>
      <c r="AN291" s="41">
        <f>'3. Verotulot'!AC291/'Veroposentin tuotto'!H291</f>
        <v>334.74157303370788</v>
      </c>
      <c r="AO291" s="41">
        <f>'3. Verotulot'!AH291/'Veroposentin tuotto'!I291</f>
        <v>328.77510966292141</v>
      </c>
      <c r="AP291" s="41">
        <f>'3. Verotulot'!AM291/'Veroposentin tuotto'!J291</f>
        <v>342.24572898876403</v>
      </c>
      <c r="AQ291" s="41">
        <f>'3. Verotulot'!AR291/'Veroposentin tuotto'!K291</f>
        <v>411.30535587929245</v>
      </c>
      <c r="AR291" s="41">
        <f>'3. Verotulot'!AW291/'Veroposentin tuotto'!L291</f>
        <v>420.403340983909</v>
      </c>
      <c r="AS291" s="41">
        <f>'3. Verotulot'!BB291/'Veroposentin tuotto'!M291</f>
        <v>453.12522755938835</v>
      </c>
      <c r="AT291" s="41">
        <f>'3. Verotulot'!BG291/'Veroposentin tuotto'!N291</f>
        <v>479.27811066796204</v>
      </c>
      <c r="AU291" s="41">
        <f>'3. Verotulot'!BL291/'Veroposentin tuotto'!O291</f>
        <v>501.84419806731364</v>
      </c>
      <c r="AV291" s="41">
        <f>'3. Verotulot'!BQ291/'Veroposentin tuotto'!P291</f>
        <v>527.35188560276436</v>
      </c>
      <c r="AX291" s="146"/>
      <c r="AZ291" s="34">
        <v>918</v>
      </c>
      <c r="BA291" s="88" t="s">
        <v>605</v>
      </c>
      <c r="BB291" s="41">
        <f>AI291/'1. Väestöennuste'!E291*1000</f>
        <v>136.35488188171823</v>
      </c>
      <c r="BC291" s="41">
        <f>AJ291/'1. Väestöennuste'!F291*1000</f>
        <v>136.36874304215053</v>
      </c>
      <c r="BD291" s="41">
        <f>AK291/'1. Väestöennuste'!G291*1000</f>
        <v>135.95699675923231</v>
      </c>
      <c r="BE291" s="41">
        <f>AL291/'1. Väestöennuste'!H291*1000</f>
        <v>140.55515944238192</v>
      </c>
      <c r="BF291" s="41">
        <f>AM291/'1. Väestöennuste'!I291*1000</f>
        <v>140.12358080528429</v>
      </c>
      <c r="BG291" s="41">
        <f>AN291/'1. Väestöennuste'!J291*1000</f>
        <v>146.04780673372943</v>
      </c>
      <c r="BH291" s="41">
        <f>AO291/'1. Väestöennuste'!K291*1000</f>
        <v>144.77107426812918</v>
      </c>
      <c r="BI291" s="41">
        <f>AP291/'1. Väestöennuste'!L291*1000</f>
        <v>153.61118895366428</v>
      </c>
      <c r="BJ291" s="41">
        <f>AQ291/'1. Väestöennuste'!M291*1000</f>
        <v>183.20951264111022</v>
      </c>
      <c r="BK291" s="41">
        <f>AR291/'1. Väestöennuste'!N291*1000</f>
        <v>181.05225709901336</v>
      </c>
      <c r="BL291" s="41">
        <f>AS291/'1. Väestöennuste'!O291*1000</f>
        <v>194.80878226972845</v>
      </c>
      <c r="BM291" s="41">
        <f>AT291/'1. Väestöennuste'!P291*1000</f>
        <v>205.61051508707078</v>
      </c>
      <c r="BN291" s="41">
        <f>AU291/'1. Väestöennuste'!Q291*1000</f>
        <v>214.73863845413507</v>
      </c>
      <c r="BO291" s="41">
        <f>AV291/'1. Väestöennuste'!R291*1000</f>
        <v>225.17159931800356</v>
      </c>
    </row>
    <row r="292" spans="1:67" x14ac:dyDescent="0.25">
      <c r="A292" s="30">
        <v>921</v>
      </c>
      <c r="B292" s="47" t="s">
        <v>606</v>
      </c>
      <c r="C292" s="47">
        <v>21</v>
      </c>
      <c r="D292" s="47">
        <v>21</v>
      </c>
      <c r="E292" s="47">
        <v>21</v>
      </c>
      <c r="F292" s="47">
        <v>21.5</v>
      </c>
      <c r="G292" s="47">
        <v>21.5</v>
      </c>
      <c r="H292" s="58">
        <v>21.5</v>
      </c>
      <c r="I292" s="139">
        <v>22.000000000000004</v>
      </c>
      <c r="J292" s="139">
        <v>21.75</v>
      </c>
      <c r="K292" s="139">
        <f t="shared" si="19"/>
        <v>9.11</v>
      </c>
      <c r="L292" s="139">
        <v>9.1999999999999993</v>
      </c>
      <c r="M292" s="139">
        <f t="shared" si="20"/>
        <v>9.1999999999999993</v>
      </c>
      <c r="N292" s="147">
        <f t="shared" si="20"/>
        <v>9.1999999999999993</v>
      </c>
      <c r="O292" s="147">
        <f t="shared" si="20"/>
        <v>9.1999999999999993</v>
      </c>
      <c r="P292" s="147">
        <f t="shared" si="20"/>
        <v>9.1999999999999993</v>
      </c>
      <c r="Q292" s="147"/>
      <c r="S292" s="41">
        <f>'3. Verotulot'!D292*100/'Veroposentin tuotto'!C292</f>
        <v>24259.900238095233</v>
      </c>
      <c r="T292" s="41">
        <f>'3. Verotulot'!I292*100/'Veroposentin tuotto'!D292</f>
        <v>22495.238095238095</v>
      </c>
      <c r="U292" s="41">
        <f>'3. Verotulot'!N292*100/'Veroposentin tuotto'!E292</f>
        <v>22957.142857142859</v>
      </c>
      <c r="V292" s="41">
        <f>'3. Verotulot'!S292*100/'Veroposentin tuotto'!F292</f>
        <v>22879.069767441859</v>
      </c>
      <c r="W292" s="41">
        <f>'3. Verotulot'!X292*100/'Veroposentin tuotto'!G292</f>
        <v>21893.023255813954</v>
      </c>
      <c r="X292" s="41">
        <f>'3. Verotulot'!AC292*100/'Veroposentin tuotto'!H292</f>
        <v>22916.279069767443</v>
      </c>
      <c r="Y292" s="41">
        <f>'3. Verotulot'!AH292*100/'Veroposentin tuotto'!I292</f>
        <v>25252.371272727265</v>
      </c>
      <c r="Z292" s="41">
        <f>'3. Verotulot'!AM292*100/'Veroposentin tuotto'!J292</f>
        <v>23868.955218390805</v>
      </c>
      <c r="AA292" s="41">
        <f>'3. Verotulot'!AR292*100/'Veroposentin tuotto'!K292</f>
        <v>29680.354665203078</v>
      </c>
      <c r="AB292" s="41">
        <f>'3. Verotulot'!AW292*100/'Veroposentin tuotto'!L292</f>
        <v>28433.711430396321</v>
      </c>
      <c r="AC292" s="41">
        <f>'3. Verotulot'!BB292*100/'Veroposentin tuotto'!M292</f>
        <v>29049.446899914528</v>
      </c>
      <c r="AD292" s="41">
        <f>'3. Verotulot'!BG292*100/'Veroposentin tuotto'!N292</f>
        <v>29521.23296930343</v>
      </c>
      <c r="AE292" s="41">
        <f>'3. Verotulot'!BL292*100/'Veroposentin tuotto'!O292</f>
        <v>29948.873871132088</v>
      </c>
      <c r="AF292" s="41">
        <f>'3. Verotulot'!BQ292*100/'Veroposentin tuotto'!P292</f>
        <v>30559.426225466916</v>
      </c>
      <c r="AI292" s="41">
        <f>'3. Verotulot'!D292/'Veroposentin tuotto'!C292</f>
        <v>242.59900238095236</v>
      </c>
      <c r="AJ292" s="41">
        <f>'3. Verotulot'!I292/'Veroposentin tuotto'!D292</f>
        <v>224.95238095238096</v>
      </c>
      <c r="AK292" s="41">
        <f>'3. Verotulot'!N292/'Veroposentin tuotto'!E292</f>
        <v>229.57142857142858</v>
      </c>
      <c r="AL292" s="41">
        <f>'3. Verotulot'!S292/'Veroposentin tuotto'!F292</f>
        <v>228.7906976744186</v>
      </c>
      <c r="AM292" s="41">
        <f>'3. Verotulot'!X292/'Veroposentin tuotto'!G292</f>
        <v>218.93023255813952</v>
      </c>
      <c r="AN292" s="41">
        <f>'3. Verotulot'!AC292/'Veroposentin tuotto'!H292</f>
        <v>229.16279069767441</v>
      </c>
      <c r="AO292" s="41">
        <f>'3. Verotulot'!AH292/'Veroposentin tuotto'!I292</f>
        <v>252.52371272727268</v>
      </c>
      <c r="AP292" s="41">
        <f>'3. Verotulot'!AM292/'Veroposentin tuotto'!J292</f>
        <v>238.68955218390806</v>
      </c>
      <c r="AQ292" s="41">
        <f>'3. Verotulot'!AR292/'Veroposentin tuotto'!K292</f>
        <v>296.80354665203078</v>
      </c>
      <c r="AR292" s="41">
        <f>'3. Verotulot'!AW292/'Veroposentin tuotto'!L292</f>
        <v>284.33711430396323</v>
      </c>
      <c r="AS292" s="41">
        <f>'3. Verotulot'!BB292/'Veroposentin tuotto'!M292</f>
        <v>290.49446899914528</v>
      </c>
      <c r="AT292" s="41">
        <f>'3. Verotulot'!BG292/'Veroposentin tuotto'!N292</f>
        <v>295.21232969303429</v>
      </c>
      <c r="AU292" s="41">
        <f>'3. Verotulot'!BL292/'Veroposentin tuotto'!O292</f>
        <v>299.48873871132088</v>
      </c>
      <c r="AV292" s="41">
        <f>'3. Verotulot'!BQ292/'Veroposentin tuotto'!P292</f>
        <v>305.5942622546691</v>
      </c>
      <c r="AX292" s="146"/>
      <c r="AZ292" s="34">
        <v>921</v>
      </c>
      <c r="BA292" s="88" t="s">
        <v>606</v>
      </c>
      <c r="BB292" s="41">
        <f>AI292/'1. Väestöennuste'!E292*1000</f>
        <v>110.72524070331006</v>
      </c>
      <c r="BC292" s="41">
        <f>AJ292/'1. Väestöennuste'!F292*1000</f>
        <v>104.72643433537289</v>
      </c>
      <c r="BD292" s="41">
        <f>AK292/'1. Väestöennuste'!G292*1000</f>
        <v>109.63296493382454</v>
      </c>
      <c r="BE292" s="41">
        <f>AL292/'1. Väestöennuste'!H292*1000</f>
        <v>111.17137885054353</v>
      </c>
      <c r="BF292" s="41">
        <f>AM292/'1. Väestöennuste'!I292*1000</f>
        <v>108.70418697027782</v>
      </c>
      <c r="BG292" s="41">
        <f>AN292/'1. Väestöennuste'!J292*1000</f>
        <v>116.20831171281664</v>
      </c>
      <c r="BH292" s="41">
        <f>AO292/'1. Väestöennuste'!K292*1000</f>
        <v>130.09980047772933</v>
      </c>
      <c r="BI292" s="41">
        <f>AP292/'1. Väestöennuste'!L292*1000</f>
        <v>126.02405078347839</v>
      </c>
      <c r="BJ292" s="41">
        <f>AQ292/'1. Väestöennuste'!M292*1000</f>
        <v>156.62456287706109</v>
      </c>
      <c r="BK292" s="41">
        <f>AR292/'1. Väestöennuste'!N292*1000</f>
        <v>156.83238516489976</v>
      </c>
      <c r="BL292" s="41">
        <f>AS292/'1. Väestöennuste'!O292*1000</f>
        <v>163.19913988716027</v>
      </c>
      <c r="BM292" s="41">
        <f>AT292/'1. Väestöennuste'!P292*1000</f>
        <v>168.88577213560313</v>
      </c>
      <c r="BN292" s="41">
        <f>AU292/'1. Väestöennuste'!Q292*1000</f>
        <v>174.32406211369084</v>
      </c>
      <c r="BO292" s="41">
        <f>AV292/'1. Väestöennuste'!R292*1000</f>
        <v>180.9320676463405</v>
      </c>
    </row>
    <row r="293" spans="1:67" x14ac:dyDescent="0.25">
      <c r="A293" s="30">
        <v>922</v>
      </c>
      <c r="B293" s="47" t="s">
        <v>607</v>
      </c>
      <c r="C293" s="47">
        <v>21.5</v>
      </c>
      <c r="D293" s="47">
        <v>21.5</v>
      </c>
      <c r="E293" s="47">
        <v>21.5</v>
      </c>
      <c r="F293" s="47">
        <v>21.5</v>
      </c>
      <c r="G293" s="47">
        <v>21.5</v>
      </c>
      <c r="H293" s="58">
        <v>22</v>
      </c>
      <c r="I293" s="139">
        <v>22</v>
      </c>
      <c r="J293" s="139">
        <v>22</v>
      </c>
      <c r="K293" s="139">
        <f t="shared" si="19"/>
        <v>9.36</v>
      </c>
      <c r="L293" s="139">
        <v>9.3000000000000007</v>
      </c>
      <c r="M293" s="139">
        <f t="shared" si="20"/>
        <v>9.3000000000000007</v>
      </c>
      <c r="N293" s="147">
        <f t="shared" si="20"/>
        <v>9.3000000000000007</v>
      </c>
      <c r="O293" s="147">
        <f t="shared" si="20"/>
        <v>9.3000000000000007</v>
      </c>
      <c r="P293" s="147">
        <f t="shared" si="20"/>
        <v>9.3000000000000007</v>
      </c>
      <c r="Q293" s="147"/>
      <c r="S293" s="41">
        <f>'3. Verotulot'!D293*100/'Veroposentin tuotto'!C293</f>
        <v>67334.886186046511</v>
      </c>
      <c r="T293" s="41">
        <f>'3. Verotulot'!I293*100/'Veroposentin tuotto'!D293</f>
        <v>69595.348837209298</v>
      </c>
      <c r="U293" s="41">
        <f>'3. Verotulot'!N293*100/'Veroposentin tuotto'!E293</f>
        <v>69781.395348837206</v>
      </c>
      <c r="V293" s="41">
        <f>'3. Verotulot'!S293*100/'Veroposentin tuotto'!F293</f>
        <v>67409.30232558139</v>
      </c>
      <c r="W293" s="41">
        <f>'3. Verotulot'!X293*100/'Veroposentin tuotto'!G293</f>
        <v>70581.395348837206</v>
      </c>
      <c r="X293" s="41">
        <f>'3. Verotulot'!AC293*100/'Veroposentin tuotto'!H293</f>
        <v>73563.636363636368</v>
      </c>
      <c r="Y293" s="41">
        <f>'3. Verotulot'!AH293*100/'Veroposentin tuotto'!I293</f>
        <v>77439.273454545444</v>
      </c>
      <c r="Z293" s="41">
        <f>'3. Verotulot'!AM293*100/'Veroposentin tuotto'!J293</f>
        <v>84174.908045454533</v>
      </c>
      <c r="AA293" s="41">
        <f>'3. Verotulot'!AR293*100/'Veroposentin tuotto'!K293</f>
        <v>106895.78173076923</v>
      </c>
      <c r="AB293" s="41">
        <f>'3. Verotulot'!AW293*100/'Veroposentin tuotto'!L293</f>
        <v>97922.176478018184</v>
      </c>
      <c r="AC293" s="41">
        <f>'3. Verotulot'!BB293*100/'Veroposentin tuotto'!M293</f>
        <v>103873.87797264085</v>
      </c>
      <c r="AD293" s="41">
        <f>'3. Verotulot'!BG293*100/'Veroposentin tuotto'!N293</f>
        <v>108765.32698939806</v>
      </c>
      <c r="AE293" s="41">
        <f>'3. Verotulot'!BL293*100/'Veroposentin tuotto'!O293</f>
        <v>113096.97242114291</v>
      </c>
      <c r="AF293" s="41">
        <f>'3. Verotulot'!BQ293*100/'Veroposentin tuotto'!P293</f>
        <v>117673.58783814369</v>
      </c>
      <c r="AI293" s="41">
        <f>'3. Verotulot'!D293/'Veroposentin tuotto'!C293</f>
        <v>673.34886186046504</v>
      </c>
      <c r="AJ293" s="41">
        <f>'3. Verotulot'!I293/'Veroposentin tuotto'!D293</f>
        <v>695.95348837209303</v>
      </c>
      <c r="AK293" s="41">
        <f>'3. Verotulot'!N293/'Veroposentin tuotto'!E293</f>
        <v>697.81395348837214</v>
      </c>
      <c r="AL293" s="41">
        <f>'3. Verotulot'!S293/'Veroposentin tuotto'!F293</f>
        <v>674.09302325581393</v>
      </c>
      <c r="AM293" s="41">
        <f>'3. Verotulot'!X293/'Veroposentin tuotto'!G293</f>
        <v>705.81395348837214</v>
      </c>
      <c r="AN293" s="41">
        <f>'3. Verotulot'!AC293/'Veroposentin tuotto'!H293</f>
        <v>735.63636363636363</v>
      </c>
      <c r="AO293" s="41">
        <f>'3. Verotulot'!AH293/'Veroposentin tuotto'!I293</f>
        <v>774.39273454545446</v>
      </c>
      <c r="AP293" s="41">
        <f>'3. Verotulot'!AM293/'Veroposentin tuotto'!J293</f>
        <v>841.74908045454538</v>
      </c>
      <c r="AQ293" s="41">
        <f>'3. Verotulot'!AR293/'Veroposentin tuotto'!K293</f>
        <v>1068.9578173076923</v>
      </c>
      <c r="AR293" s="41">
        <f>'3. Verotulot'!AW293/'Veroposentin tuotto'!L293</f>
        <v>979.22176478018184</v>
      </c>
      <c r="AS293" s="41">
        <f>'3. Verotulot'!BB293/'Veroposentin tuotto'!M293</f>
        <v>1038.7387797264084</v>
      </c>
      <c r="AT293" s="41">
        <f>'3. Verotulot'!BG293/'Veroposentin tuotto'!N293</f>
        <v>1087.6532698939807</v>
      </c>
      <c r="AU293" s="41">
        <f>'3. Verotulot'!BL293/'Veroposentin tuotto'!O293</f>
        <v>1130.9697242114291</v>
      </c>
      <c r="AV293" s="41">
        <f>'3. Verotulot'!BQ293/'Veroposentin tuotto'!P293</f>
        <v>1176.735878381437</v>
      </c>
      <c r="AX293" s="146"/>
      <c r="AZ293" s="34">
        <v>922</v>
      </c>
      <c r="BA293" s="88" t="s">
        <v>607</v>
      </c>
      <c r="BB293" s="41">
        <f>AI293/'1. Väestöennuste'!E293*1000</f>
        <v>149.99974646033974</v>
      </c>
      <c r="BC293" s="41">
        <f>AJ293/'1. Väestöennuste'!F293*1000</f>
        <v>155.97343979652467</v>
      </c>
      <c r="BD293" s="41">
        <f>AK293/'1. Väestöennuste'!G293*1000</f>
        <v>156.4605276879758</v>
      </c>
      <c r="BE293" s="41">
        <f>AL293/'1. Väestöennuste'!H293*1000</f>
        <v>153.4470801857077</v>
      </c>
      <c r="BF293" s="41">
        <f>AM293/'1. Väestöennuste'!I293*1000</f>
        <v>162.06979414199131</v>
      </c>
      <c r="BG293" s="41">
        <f>AN293/'1. Väestöennuste'!J293*1000</f>
        <v>168.45348377292504</v>
      </c>
      <c r="BH293" s="41">
        <f>AO293/'1. Väestöennuste'!K293*1000</f>
        <v>174.25579085181243</v>
      </c>
      <c r="BI293" s="41">
        <f>AP293/'1. Väestöennuste'!L293*1000</f>
        <v>187.0137925915453</v>
      </c>
      <c r="BJ293" s="41">
        <f>AQ293/'1. Väestöennuste'!M293*1000</f>
        <v>239.19396225278413</v>
      </c>
      <c r="BK293" s="41">
        <f>AR293/'1. Väestöennuste'!N293*1000</f>
        <v>227.6730445896726</v>
      </c>
      <c r="BL293" s="41">
        <f>AS293/'1. Väestöennuste'!O293*1000</f>
        <v>242.13025168447749</v>
      </c>
      <c r="BM293" s="41">
        <f>AT293/'1. Väestöennuste'!P293*1000</f>
        <v>253.88731790242315</v>
      </c>
      <c r="BN293" s="41">
        <f>AU293/'1. Väestöennuste'!Q293*1000</f>
        <v>264.36879948841261</v>
      </c>
      <c r="BO293" s="41">
        <f>AV293/'1. Väestöennuste'!R293*1000</f>
        <v>275.45315505183447</v>
      </c>
    </row>
    <row r="294" spans="1:67" x14ac:dyDescent="0.25">
      <c r="A294" s="30">
        <v>924</v>
      </c>
      <c r="B294" s="47" t="s">
        <v>608</v>
      </c>
      <c r="C294" s="47">
        <v>22</v>
      </c>
      <c r="D294" s="47">
        <v>22</v>
      </c>
      <c r="E294" s="47">
        <v>22</v>
      </c>
      <c r="F294" s="47">
        <v>22</v>
      </c>
      <c r="G294" s="47">
        <v>22</v>
      </c>
      <c r="H294" s="58">
        <v>22.5</v>
      </c>
      <c r="I294" s="139">
        <v>22.5</v>
      </c>
      <c r="J294" s="139">
        <v>22.5</v>
      </c>
      <c r="K294" s="139">
        <f t="shared" si="19"/>
        <v>9.86</v>
      </c>
      <c r="L294" s="139">
        <v>9.8000000000000007</v>
      </c>
      <c r="M294" s="139">
        <f t="shared" si="20"/>
        <v>9.8000000000000007</v>
      </c>
      <c r="N294" s="147">
        <f t="shared" si="20"/>
        <v>9.8000000000000007</v>
      </c>
      <c r="O294" s="147">
        <f t="shared" si="20"/>
        <v>9.8000000000000007</v>
      </c>
      <c r="P294" s="147">
        <f t="shared" si="20"/>
        <v>9.8000000000000007</v>
      </c>
      <c r="Q294" s="147"/>
      <c r="S294" s="41">
        <f>'3. Verotulot'!D294*100/'Veroposentin tuotto'!C294</f>
        <v>43767.091636363635</v>
      </c>
      <c r="T294" s="41">
        <f>'3. Verotulot'!I294*100/'Veroposentin tuotto'!D294</f>
        <v>42150</v>
      </c>
      <c r="U294" s="41">
        <f>'3. Verotulot'!N294*100/'Veroposentin tuotto'!E294</f>
        <v>41072.727272727272</v>
      </c>
      <c r="V294" s="41">
        <f>'3. Verotulot'!S294*100/'Veroposentin tuotto'!F294</f>
        <v>39800</v>
      </c>
      <c r="W294" s="41">
        <f>'3. Verotulot'!X294*100/'Veroposentin tuotto'!G294</f>
        <v>40286.36363636364</v>
      </c>
      <c r="X294" s="41">
        <f>'3. Verotulot'!AC294*100/'Veroposentin tuotto'!H294</f>
        <v>39448.888888888891</v>
      </c>
      <c r="Y294" s="41">
        <f>'3. Verotulot'!AH294*100/'Veroposentin tuotto'!I294</f>
        <v>41343.594977777771</v>
      </c>
      <c r="Z294" s="41">
        <f>'3. Verotulot'!AM294*100/'Veroposentin tuotto'!J294</f>
        <v>42248.120844444449</v>
      </c>
      <c r="AA294" s="41">
        <f>'3. Verotulot'!AR294*100/'Veroposentin tuotto'!K294</f>
        <v>48217.683265720087</v>
      </c>
      <c r="AB294" s="41">
        <f>'3. Verotulot'!AW294*100/'Veroposentin tuotto'!L294</f>
        <v>49130.474293876214</v>
      </c>
      <c r="AC294" s="41">
        <f>'3. Verotulot'!BB294*100/'Veroposentin tuotto'!M294</f>
        <v>50869.708231564109</v>
      </c>
      <c r="AD294" s="41">
        <f>'3. Verotulot'!BG294*100/'Veroposentin tuotto'!N294</f>
        <v>52435.791882506128</v>
      </c>
      <c r="AE294" s="41">
        <f>'3. Verotulot'!BL294*100/'Veroposentin tuotto'!O294</f>
        <v>53519.361396108899</v>
      </c>
      <c r="AF294" s="41">
        <f>'3. Verotulot'!BQ294*100/'Veroposentin tuotto'!P294</f>
        <v>54759.146361406412</v>
      </c>
      <c r="AI294" s="41">
        <f>'3. Verotulot'!D294/'Veroposentin tuotto'!C294</f>
        <v>437.67091636363637</v>
      </c>
      <c r="AJ294" s="41">
        <f>'3. Verotulot'!I294/'Veroposentin tuotto'!D294</f>
        <v>421.5</v>
      </c>
      <c r="AK294" s="41">
        <f>'3. Verotulot'!N294/'Veroposentin tuotto'!E294</f>
        <v>410.72727272727275</v>
      </c>
      <c r="AL294" s="41">
        <f>'3. Verotulot'!S294/'Veroposentin tuotto'!F294</f>
        <v>398</v>
      </c>
      <c r="AM294" s="41">
        <f>'3. Verotulot'!X294/'Veroposentin tuotto'!G294</f>
        <v>402.86363636363637</v>
      </c>
      <c r="AN294" s="41">
        <f>'3. Verotulot'!AC294/'Veroposentin tuotto'!H294</f>
        <v>394.48888888888888</v>
      </c>
      <c r="AO294" s="41">
        <f>'3. Verotulot'!AH294/'Veroposentin tuotto'!I294</f>
        <v>413.43594977777775</v>
      </c>
      <c r="AP294" s="41">
        <f>'3. Verotulot'!AM294/'Veroposentin tuotto'!J294</f>
        <v>422.48120844444446</v>
      </c>
      <c r="AQ294" s="41">
        <f>'3. Verotulot'!AR294/'Veroposentin tuotto'!K294</f>
        <v>482.17683265720086</v>
      </c>
      <c r="AR294" s="41">
        <f>'3. Verotulot'!AW294/'Veroposentin tuotto'!L294</f>
        <v>491.30474293876216</v>
      </c>
      <c r="AS294" s="41">
        <f>'3. Verotulot'!BB294/'Veroposentin tuotto'!M294</f>
        <v>508.69708231564113</v>
      </c>
      <c r="AT294" s="41">
        <f>'3. Verotulot'!BG294/'Veroposentin tuotto'!N294</f>
        <v>524.35791882506135</v>
      </c>
      <c r="AU294" s="41">
        <f>'3. Verotulot'!BL294/'Veroposentin tuotto'!O294</f>
        <v>535.193613961089</v>
      </c>
      <c r="AV294" s="41">
        <f>'3. Verotulot'!BQ294/'Veroposentin tuotto'!P294</f>
        <v>547.5914636140642</v>
      </c>
      <c r="AX294" s="146"/>
      <c r="AZ294" s="34">
        <v>924</v>
      </c>
      <c r="BA294" s="88" t="s">
        <v>608</v>
      </c>
      <c r="BB294" s="41">
        <f>AI294/'1. Väestöennuste'!E294*1000</f>
        <v>132.54721876548646</v>
      </c>
      <c r="BC294" s="41">
        <f>AJ294/'1. Väestöennuste'!F294*1000</f>
        <v>129.33415158023934</v>
      </c>
      <c r="BD294" s="41">
        <f>AK294/'1. Väestöennuste'!G294*1000</f>
        <v>127.71370420624153</v>
      </c>
      <c r="BE294" s="41">
        <f>AL294/'1. Väestöennuste'!H294*1000</f>
        <v>125.71067593177513</v>
      </c>
      <c r="BF294" s="41">
        <f>AM294/'1. Väestöennuste'!I294*1000</f>
        <v>129.37175220412215</v>
      </c>
      <c r="BG294" s="41">
        <f>AN294/'1. Väestöennuste'!J294*1000</f>
        <v>128.70763095885445</v>
      </c>
      <c r="BH294" s="41">
        <f>AO294/'1. Väestöennuste'!K294*1000</f>
        <v>137.62847862109777</v>
      </c>
      <c r="BI294" s="41">
        <f>AP294/'1. Väestöennuste'!L294*1000</f>
        <v>143.40842106057178</v>
      </c>
      <c r="BJ294" s="41">
        <f>AQ294/'1. Väestöennuste'!M294*1000</f>
        <v>164.22916643637632</v>
      </c>
      <c r="BK294" s="41">
        <f>AR294/'1. Väestöennuste'!N294*1000</f>
        <v>170.17829682672743</v>
      </c>
      <c r="BL294" s="41">
        <f>AS294/'1. Väestöennuste'!O294*1000</f>
        <v>178.92968073008834</v>
      </c>
      <c r="BM294" s="41">
        <f>AT294/'1. Väestöennuste'!P294*1000</f>
        <v>187.20382678509867</v>
      </c>
      <c r="BN294" s="41">
        <f>AU294/'1. Väestöennuste'!Q294*1000</f>
        <v>194.05134661388288</v>
      </c>
      <c r="BO294" s="41">
        <f>AV294/'1. Väestöennuste'!R294*1000</f>
        <v>201.61688645584104</v>
      </c>
    </row>
    <row r="295" spans="1:67" x14ac:dyDescent="0.25">
      <c r="A295" s="30">
        <v>925</v>
      </c>
      <c r="B295" s="47" t="s">
        <v>609</v>
      </c>
      <c r="C295" s="47">
        <v>20.75</v>
      </c>
      <c r="D295" s="47">
        <v>21</v>
      </c>
      <c r="E295" s="47">
        <v>21</v>
      </c>
      <c r="F295" s="47">
        <v>21</v>
      </c>
      <c r="G295" s="47">
        <v>21</v>
      </c>
      <c r="H295" s="58">
        <v>21</v>
      </c>
      <c r="I295" s="139">
        <v>21.000000000000004</v>
      </c>
      <c r="J295" s="139">
        <v>21.000000000000004</v>
      </c>
      <c r="K295" s="139">
        <f t="shared" si="19"/>
        <v>8.360000000000003</v>
      </c>
      <c r="L295" s="139">
        <v>8.4</v>
      </c>
      <c r="M295" s="139">
        <f t="shared" ref="M295:P307" si="21">L295</f>
        <v>8.4</v>
      </c>
      <c r="N295" s="147">
        <f t="shared" si="21"/>
        <v>8.4</v>
      </c>
      <c r="O295" s="147">
        <f t="shared" si="21"/>
        <v>8.4</v>
      </c>
      <c r="P295" s="147">
        <f t="shared" si="21"/>
        <v>8.4</v>
      </c>
      <c r="Q295" s="147"/>
      <c r="S295" s="41">
        <f>'3. Verotulot'!D295*100/'Veroposentin tuotto'!C295</f>
        <v>46562.377927710841</v>
      </c>
      <c r="T295" s="41">
        <f>'3. Verotulot'!I295*100/'Veroposentin tuotto'!D295</f>
        <v>44095.238095238092</v>
      </c>
      <c r="U295" s="41">
        <f>'3. Verotulot'!N295*100/'Veroposentin tuotto'!E295</f>
        <v>45533.333333333336</v>
      </c>
      <c r="V295" s="41">
        <f>'3. Verotulot'!S295*100/'Veroposentin tuotto'!F295</f>
        <v>43585.714285714283</v>
      </c>
      <c r="W295" s="41">
        <f>'3. Verotulot'!X295*100/'Veroposentin tuotto'!G295</f>
        <v>48990.476190476191</v>
      </c>
      <c r="X295" s="41">
        <f>'3. Verotulot'!AC295*100/'Veroposentin tuotto'!H295</f>
        <v>45809.523809523809</v>
      </c>
      <c r="Y295" s="41">
        <f>'3. Verotulot'!AH295*100/'Veroposentin tuotto'!I295</f>
        <v>47203.486523809515</v>
      </c>
      <c r="Z295" s="41">
        <f>'3. Verotulot'!AM295*100/'Veroposentin tuotto'!J295</f>
        <v>50275.318904761894</v>
      </c>
      <c r="AA295" s="41">
        <f>'3. Verotulot'!AR295*100/'Veroposentin tuotto'!K295</f>
        <v>63641.116148325324</v>
      </c>
      <c r="AB295" s="41">
        <f>'3. Verotulot'!AW295*100/'Veroposentin tuotto'!L295</f>
        <v>59446.66894469261</v>
      </c>
      <c r="AC295" s="41">
        <f>'3. Verotulot'!BB295*100/'Veroposentin tuotto'!M295</f>
        <v>62339.315644081609</v>
      </c>
      <c r="AD295" s="41">
        <f>'3. Verotulot'!BG295*100/'Veroposentin tuotto'!N295</f>
        <v>64881.06978719918</v>
      </c>
      <c r="AE295" s="41">
        <f>'3. Verotulot'!BL295*100/'Veroposentin tuotto'!O295</f>
        <v>66654.272272279661</v>
      </c>
      <c r="AF295" s="41">
        <f>'3. Verotulot'!BQ295*100/'Veroposentin tuotto'!P295</f>
        <v>68861.130868812543</v>
      </c>
      <c r="AI295" s="41">
        <f>'3. Verotulot'!D295/'Veroposentin tuotto'!C295</f>
        <v>465.62377927710844</v>
      </c>
      <c r="AJ295" s="41">
        <f>'3. Verotulot'!I295/'Veroposentin tuotto'!D295</f>
        <v>440.95238095238096</v>
      </c>
      <c r="AK295" s="41">
        <f>'3. Verotulot'!N295/'Veroposentin tuotto'!E295</f>
        <v>455.33333333333331</v>
      </c>
      <c r="AL295" s="41">
        <f>'3. Verotulot'!S295/'Veroposentin tuotto'!F295</f>
        <v>435.85714285714283</v>
      </c>
      <c r="AM295" s="41">
        <f>'3. Verotulot'!X295/'Veroposentin tuotto'!G295</f>
        <v>489.90476190476193</v>
      </c>
      <c r="AN295" s="41">
        <f>'3. Verotulot'!AC295/'Veroposentin tuotto'!H295</f>
        <v>458.09523809523807</v>
      </c>
      <c r="AO295" s="41">
        <f>'3. Verotulot'!AH295/'Veroposentin tuotto'!I295</f>
        <v>472.03486523809511</v>
      </c>
      <c r="AP295" s="41">
        <f>'3. Verotulot'!AM295/'Veroposentin tuotto'!J295</f>
        <v>502.75318904761895</v>
      </c>
      <c r="AQ295" s="41">
        <f>'3. Verotulot'!AR295/'Veroposentin tuotto'!K295</f>
        <v>636.4111614832533</v>
      </c>
      <c r="AR295" s="41">
        <f>'3. Verotulot'!AW295/'Veroposentin tuotto'!L295</f>
        <v>594.46668944692613</v>
      </c>
      <c r="AS295" s="41">
        <f>'3. Verotulot'!BB295/'Veroposentin tuotto'!M295</f>
        <v>623.39315644081614</v>
      </c>
      <c r="AT295" s="41">
        <f>'3. Verotulot'!BG295/'Veroposentin tuotto'!N295</f>
        <v>648.81069787199181</v>
      </c>
      <c r="AU295" s="41">
        <f>'3. Verotulot'!BL295/'Veroposentin tuotto'!O295</f>
        <v>666.54272272279661</v>
      </c>
      <c r="AV295" s="41">
        <f>'3. Verotulot'!BQ295/'Veroposentin tuotto'!P295</f>
        <v>688.6113086881254</v>
      </c>
      <c r="AX295" s="146"/>
      <c r="AZ295" s="34">
        <v>925</v>
      </c>
      <c r="BA295" s="88" t="s">
        <v>609</v>
      </c>
      <c r="BB295" s="41">
        <f>AI295/'1. Väestöennuste'!E295*1000</f>
        <v>123.93499581504085</v>
      </c>
      <c r="BC295" s="41">
        <f>AJ295/'1. Väestöennuste'!F295*1000</f>
        <v>118.50373043600671</v>
      </c>
      <c r="BD295" s="41">
        <f>AK295/'1. Väestöennuste'!G295*1000</f>
        <v>123.56399819086386</v>
      </c>
      <c r="BE295" s="41">
        <f>AL295/'1. Väestöennuste'!H295*1000</f>
        <v>118.56831960205191</v>
      </c>
      <c r="BF295" s="41">
        <f>AM295/'1. Väestöennuste'!I295*1000</f>
        <v>136.88314107425592</v>
      </c>
      <c r="BG295" s="41">
        <f>AN295/'1. Väestöennuste'!J295*1000</f>
        <v>130.066791054866</v>
      </c>
      <c r="BH295" s="41">
        <f>AO295/'1. Väestöennuste'!K295*1000</f>
        <v>135.25354304816477</v>
      </c>
      <c r="BI295" s="41">
        <f>AP295/'1. Väestöennuste'!L295*1000</f>
        <v>146.70358594911553</v>
      </c>
      <c r="BJ295" s="41">
        <f>AQ295/'1. Väestöennuste'!M295*1000</f>
        <v>187.89818762422595</v>
      </c>
      <c r="BK295" s="41">
        <f>AR295/'1. Väestöennuste'!N295*1000</f>
        <v>177.66488028897973</v>
      </c>
      <c r="BL295" s="41">
        <f>AS295/'1. Väestöennuste'!O295*1000</f>
        <v>188.39321741940651</v>
      </c>
      <c r="BM295" s="41">
        <f>AT295/'1. Väestöennuste'!P295*1000</f>
        <v>198.35239922714516</v>
      </c>
      <c r="BN295" s="41">
        <f>AU295/'1. Väestöennuste'!Q295*1000</f>
        <v>205.97735560036978</v>
      </c>
      <c r="BO295" s="41">
        <f>AV295/'1. Väestöennuste'!R295*1000</f>
        <v>215.12380777510947</v>
      </c>
    </row>
    <row r="296" spans="1:67" x14ac:dyDescent="0.25">
      <c r="A296" s="30">
        <v>927</v>
      </c>
      <c r="B296" s="47" t="s">
        <v>610</v>
      </c>
      <c r="C296" s="47">
        <v>20.5</v>
      </c>
      <c r="D296" s="47">
        <v>20.5</v>
      </c>
      <c r="E296" s="47">
        <v>20.5</v>
      </c>
      <c r="F296" s="47">
        <v>20.5</v>
      </c>
      <c r="G296" s="47">
        <v>20.5</v>
      </c>
      <c r="H296" s="58">
        <v>20.5</v>
      </c>
      <c r="I296" s="139">
        <v>20.5</v>
      </c>
      <c r="J296" s="139">
        <v>20.5</v>
      </c>
      <c r="K296" s="139">
        <f t="shared" si="19"/>
        <v>7.8599999999999994</v>
      </c>
      <c r="L296" s="139">
        <v>7.8</v>
      </c>
      <c r="M296" s="139">
        <f t="shared" si="21"/>
        <v>7.8</v>
      </c>
      <c r="N296" s="147">
        <f t="shared" si="21"/>
        <v>7.8</v>
      </c>
      <c r="O296" s="147">
        <f t="shared" si="21"/>
        <v>7.8</v>
      </c>
      <c r="P296" s="147">
        <f t="shared" si="21"/>
        <v>7.8</v>
      </c>
      <c r="Q296" s="147"/>
      <c r="S296" s="41">
        <f>'3. Verotulot'!D296*100/'Veroposentin tuotto'!C296</f>
        <v>531978.87541463412</v>
      </c>
      <c r="T296" s="41">
        <f>'3. Verotulot'!I296*100/'Veroposentin tuotto'!D296</f>
        <v>555297.56097560981</v>
      </c>
      <c r="U296" s="41">
        <f>'3. Verotulot'!N296*100/'Veroposentin tuotto'!E296</f>
        <v>559239.02439024393</v>
      </c>
      <c r="V296" s="41">
        <f>'3. Verotulot'!S296*100/'Veroposentin tuotto'!F296</f>
        <v>547819.51219512196</v>
      </c>
      <c r="W296" s="41">
        <f>'3. Verotulot'!X296*100/'Veroposentin tuotto'!G296</f>
        <v>560814.63414634147</v>
      </c>
      <c r="X296" s="41">
        <f>'3. Verotulot'!AC296*100/'Veroposentin tuotto'!H296</f>
        <v>577780.48780487804</v>
      </c>
      <c r="Y296" s="41">
        <f>'3. Verotulot'!AH296*100/'Veroposentin tuotto'!I296</f>
        <v>605064.46921951219</v>
      </c>
      <c r="Z296" s="41">
        <f>'3. Verotulot'!AM296*100/'Veroposentin tuotto'!J296</f>
        <v>623436.29697560973</v>
      </c>
      <c r="AA296" s="41">
        <f>'3. Verotulot'!AR296*100/'Veroposentin tuotto'!K296</f>
        <v>791516.55597964383</v>
      </c>
      <c r="AB296" s="41">
        <f>'3. Verotulot'!AW296*100/'Veroposentin tuotto'!L296</f>
        <v>738958.31777686463</v>
      </c>
      <c r="AC296" s="41">
        <f>'3. Verotulot'!BB296*100/'Veroposentin tuotto'!M296</f>
        <v>788035.25027227122</v>
      </c>
      <c r="AD296" s="41">
        <f>'3. Verotulot'!BG296*100/'Veroposentin tuotto'!N296</f>
        <v>825087.15613917285</v>
      </c>
      <c r="AE296" s="41">
        <f>'3. Verotulot'!BL296*100/'Veroposentin tuotto'!O296</f>
        <v>856484.63377289264</v>
      </c>
      <c r="AF296" s="41">
        <f>'3. Verotulot'!BQ296*100/'Veroposentin tuotto'!P296</f>
        <v>891007.4936531781</v>
      </c>
      <c r="AI296" s="41">
        <f>'3. Verotulot'!D296/'Veroposentin tuotto'!C296</f>
        <v>5319.7887541463406</v>
      </c>
      <c r="AJ296" s="41">
        <f>'3. Verotulot'!I296/'Veroposentin tuotto'!D296</f>
        <v>5552.9756097560976</v>
      </c>
      <c r="AK296" s="41">
        <f>'3. Verotulot'!N296/'Veroposentin tuotto'!E296</f>
        <v>5592.3902439024387</v>
      </c>
      <c r="AL296" s="41">
        <f>'3. Verotulot'!S296/'Veroposentin tuotto'!F296</f>
        <v>5478.1951219512193</v>
      </c>
      <c r="AM296" s="41">
        <f>'3. Verotulot'!X296/'Veroposentin tuotto'!G296</f>
        <v>5608.1463414634145</v>
      </c>
      <c r="AN296" s="41">
        <f>'3. Verotulot'!AC296/'Veroposentin tuotto'!H296</f>
        <v>5777.8048780487807</v>
      </c>
      <c r="AO296" s="41">
        <f>'3. Verotulot'!AH296/'Veroposentin tuotto'!I296</f>
        <v>6050.6446921951219</v>
      </c>
      <c r="AP296" s="41">
        <f>'3. Verotulot'!AM296/'Veroposentin tuotto'!J296</f>
        <v>6234.3629697560973</v>
      </c>
      <c r="AQ296" s="41">
        <f>'3. Verotulot'!AR296/'Veroposentin tuotto'!K296</f>
        <v>7915.1655597964382</v>
      </c>
      <c r="AR296" s="41">
        <f>'3. Verotulot'!AW296/'Veroposentin tuotto'!L296</f>
        <v>7389.5831777686453</v>
      </c>
      <c r="AS296" s="41">
        <f>'3. Verotulot'!BB296/'Veroposentin tuotto'!M296</f>
        <v>7880.3525027227124</v>
      </c>
      <c r="AT296" s="41">
        <f>'3. Verotulot'!BG296/'Veroposentin tuotto'!N296</f>
        <v>8250.8715613917284</v>
      </c>
      <c r="AU296" s="41">
        <f>'3. Verotulot'!BL296/'Veroposentin tuotto'!O296</f>
        <v>8564.8463377289263</v>
      </c>
      <c r="AV296" s="41">
        <f>'3. Verotulot'!BQ296/'Veroposentin tuotto'!P296</f>
        <v>8910.0749365317806</v>
      </c>
      <c r="AX296" s="146"/>
      <c r="AZ296" s="34">
        <v>927</v>
      </c>
      <c r="BA296" s="88" t="s">
        <v>610</v>
      </c>
      <c r="BB296" s="41">
        <f>AI296/'1. Väestöennuste'!E296*1000</f>
        <v>183.95479629815486</v>
      </c>
      <c r="BC296" s="41">
        <f>AJ296/'1. Väestöennuste'!F296*1000</f>
        <v>191.70005902427238</v>
      </c>
      <c r="BD296" s="41">
        <f>AK296/'1. Väestöennuste'!G296*1000</f>
        <v>192.48262696711086</v>
      </c>
      <c r="BE296" s="41">
        <f>AL296/'1. Väestöennuste'!H296*1000</f>
        <v>187.53877381641229</v>
      </c>
      <c r="BF296" s="41">
        <f>AM296/'1. Väestöennuste'!I296*1000</f>
        <v>192.33645453952312</v>
      </c>
      <c r="BG296" s="41">
        <f>AN296/'1. Väestöennuste'!J296*1000</f>
        <v>198.14145672320922</v>
      </c>
      <c r="BH296" s="41">
        <f>AO296/'1. Väestöennuste'!K296*1000</f>
        <v>206.9374702347933</v>
      </c>
      <c r="BI296" s="41">
        <f>AP296/'1. Väestöennuste'!L296*1000</f>
        <v>215.62490816435852</v>
      </c>
      <c r="BJ296" s="41">
        <f>AQ296/'1. Väestöennuste'!M296*1000</f>
        <v>274.72720696249479</v>
      </c>
      <c r="BK296" s="41">
        <f>AR296/'1. Väestöennuste'!N296*1000</f>
        <v>251.94623858740695</v>
      </c>
      <c r="BL296" s="41">
        <f>AS296/'1. Väestöennuste'!O296*1000</f>
        <v>268.230794197308</v>
      </c>
      <c r="BM296" s="41">
        <f>AT296/'1. Väestöennuste'!P296*1000</f>
        <v>280.43204273644653</v>
      </c>
      <c r="BN296" s="41">
        <f>AU296/'1. Väestöennuste'!Q296*1000</f>
        <v>290.7082457989589</v>
      </c>
      <c r="BO296" s="41">
        <f>AV296/'1. Väestöennuste'!R296*1000</f>
        <v>302.08763982138601</v>
      </c>
    </row>
    <row r="297" spans="1:67" x14ac:dyDescent="0.25">
      <c r="A297" s="30">
        <v>931</v>
      </c>
      <c r="B297" s="47" t="s">
        <v>611</v>
      </c>
      <c r="C297" s="47">
        <v>21</v>
      </c>
      <c r="D297" s="47">
        <v>21</v>
      </c>
      <c r="E297" s="47">
        <v>21</v>
      </c>
      <c r="F297" s="47">
        <v>21</v>
      </c>
      <c r="G297" s="47">
        <v>21</v>
      </c>
      <c r="H297" s="58">
        <v>21</v>
      </c>
      <c r="I297" s="139">
        <v>21</v>
      </c>
      <c r="J297" s="139">
        <v>21</v>
      </c>
      <c r="K297" s="139">
        <f t="shared" si="19"/>
        <v>8.36</v>
      </c>
      <c r="L297" s="139">
        <v>8.4</v>
      </c>
      <c r="M297" s="139">
        <f t="shared" si="21"/>
        <v>8.4</v>
      </c>
      <c r="N297" s="147">
        <f t="shared" si="21"/>
        <v>8.4</v>
      </c>
      <c r="O297" s="147">
        <f t="shared" si="21"/>
        <v>8.4</v>
      </c>
      <c r="P297" s="147">
        <f t="shared" si="21"/>
        <v>8.4</v>
      </c>
      <c r="Q297" s="147"/>
      <c r="S297" s="41">
        <f>'3. Verotulot'!D297*100/'Veroposentin tuotto'!C297</f>
        <v>83119.255428571429</v>
      </c>
      <c r="T297" s="41">
        <f>'3. Verotulot'!I297*100/'Veroposentin tuotto'!D297</f>
        <v>78980.952380952382</v>
      </c>
      <c r="U297" s="41">
        <f>'3. Verotulot'!N297*100/'Veroposentin tuotto'!E297</f>
        <v>82866.666666666672</v>
      </c>
      <c r="V297" s="41">
        <f>'3. Verotulot'!S297*100/'Veroposentin tuotto'!F297</f>
        <v>75414.28571428571</v>
      </c>
      <c r="W297" s="41">
        <f>'3. Verotulot'!X297*100/'Veroposentin tuotto'!G297</f>
        <v>77719.047619047618</v>
      </c>
      <c r="X297" s="41">
        <f>'3. Verotulot'!AC297*100/'Veroposentin tuotto'!H297</f>
        <v>78642.857142857145</v>
      </c>
      <c r="Y297" s="41">
        <f>'3. Verotulot'!AH297*100/'Veroposentin tuotto'!I297</f>
        <v>81526.846142857132</v>
      </c>
      <c r="Z297" s="41">
        <f>'3. Verotulot'!AM297*100/'Veroposentin tuotto'!J297</f>
        <v>85661.433333333334</v>
      </c>
      <c r="AA297" s="41">
        <f>'3. Verotulot'!AR297*100/'Veroposentin tuotto'!K297</f>
        <v>100540.20442583732</v>
      </c>
      <c r="AB297" s="41">
        <f>'3. Verotulot'!AW297*100/'Veroposentin tuotto'!L297</f>
        <v>98136.953422702732</v>
      </c>
      <c r="AC297" s="41">
        <f>'3. Verotulot'!BB297*100/'Veroposentin tuotto'!M297</f>
        <v>101985.0787304548</v>
      </c>
      <c r="AD297" s="41">
        <f>'3. Verotulot'!BG297*100/'Veroposentin tuotto'!N297</f>
        <v>104735.2760583401</v>
      </c>
      <c r="AE297" s="41">
        <f>'3. Verotulot'!BL297*100/'Veroposentin tuotto'!O297</f>
        <v>107059.43717519147</v>
      </c>
      <c r="AF297" s="41">
        <f>'3. Verotulot'!BQ297*100/'Veroposentin tuotto'!P297</f>
        <v>109817.75432913224</v>
      </c>
      <c r="AI297" s="41">
        <f>'3. Verotulot'!D297/'Veroposentin tuotto'!C297</f>
        <v>831.19255428571432</v>
      </c>
      <c r="AJ297" s="41">
        <f>'3. Verotulot'!I297/'Veroposentin tuotto'!D297</f>
        <v>789.80952380952385</v>
      </c>
      <c r="AK297" s="41">
        <f>'3. Verotulot'!N297/'Veroposentin tuotto'!E297</f>
        <v>828.66666666666663</v>
      </c>
      <c r="AL297" s="41">
        <f>'3. Verotulot'!S297/'Veroposentin tuotto'!F297</f>
        <v>754.14285714285711</v>
      </c>
      <c r="AM297" s="41">
        <f>'3. Verotulot'!X297/'Veroposentin tuotto'!G297</f>
        <v>777.19047619047615</v>
      </c>
      <c r="AN297" s="41">
        <f>'3. Verotulot'!AC297/'Veroposentin tuotto'!H297</f>
        <v>786.42857142857144</v>
      </c>
      <c r="AO297" s="41">
        <f>'3. Verotulot'!AH297/'Veroposentin tuotto'!I297</f>
        <v>815.26846142857141</v>
      </c>
      <c r="AP297" s="41">
        <f>'3. Verotulot'!AM297/'Veroposentin tuotto'!J297</f>
        <v>856.61433333333343</v>
      </c>
      <c r="AQ297" s="41">
        <f>'3. Verotulot'!AR297/'Veroposentin tuotto'!K297</f>
        <v>1005.4020442583733</v>
      </c>
      <c r="AR297" s="41">
        <f>'3. Verotulot'!AW297/'Veroposentin tuotto'!L297</f>
        <v>981.36953422702732</v>
      </c>
      <c r="AS297" s="41">
        <f>'3. Verotulot'!BB297/'Veroposentin tuotto'!M297</f>
        <v>1019.850787304548</v>
      </c>
      <c r="AT297" s="41">
        <f>'3. Verotulot'!BG297/'Veroposentin tuotto'!N297</f>
        <v>1047.3527605834008</v>
      </c>
      <c r="AU297" s="41">
        <f>'3. Verotulot'!BL297/'Veroposentin tuotto'!O297</f>
        <v>1070.5943717519147</v>
      </c>
      <c r="AV297" s="41">
        <f>'3. Verotulot'!BQ297/'Veroposentin tuotto'!P297</f>
        <v>1098.1775432913225</v>
      </c>
      <c r="AX297" s="146"/>
      <c r="AZ297" s="34">
        <v>931</v>
      </c>
      <c r="BA297" s="88" t="s">
        <v>611</v>
      </c>
      <c r="BB297" s="41">
        <f>AI297/'1. Väestöennuste'!E297*1000</f>
        <v>124.69135227808496</v>
      </c>
      <c r="BC297" s="41">
        <f>AJ297/'1. Väestöennuste'!F297*1000</f>
        <v>119.54132341600179</v>
      </c>
      <c r="BD297" s="41">
        <f>AK297/'1. Väestöennuste'!G297*1000</f>
        <v>129.25700618728229</v>
      </c>
      <c r="BE297" s="41">
        <f>AL297/'1. Väestöennuste'!H297*1000</f>
        <v>120.39317642765917</v>
      </c>
      <c r="BF297" s="41">
        <f>AM297/'1. Väestöennuste'!I297*1000</f>
        <v>125.84042684431284</v>
      </c>
      <c r="BG297" s="41">
        <f>AN297/'1. Väestöennuste'!J297*1000</f>
        <v>128.98615244031024</v>
      </c>
      <c r="BH297" s="41">
        <f>AO297/'1. Väestöennuste'!K297*1000</f>
        <v>134.3111139091551</v>
      </c>
      <c r="BI297" s="41">
        <f>AP297/'1. Väestöennuste'!L297*1000</f>
        <v>143.94460314793034</v>
      </c>
      <c r="BJ297" s="41">
        <f>AQ297/'1. Väestöennuste'!M297*1000</f>
        <v>171.07402488657021</v>
      </c>
      <c r="BK297" s="41">
        <f>AR297/'1. Väestöennuste'!N297*1000</f>
        <v>172.65473860433275</v>
      </c>
      <c r="BL297" s="41">
        <f>AS297/'1. Väestöennuste'!O297*1000</f>
        <v>182.21382656861675</v>
      </c>
      <c r="BM297" s="41">
        <f>AT297/'1. Väestöennuste'!P297*1000</f>
        <v>189.9442801203121</v>
      </c>
      <c r="BN297" s="41">
        <f>AU297/'1. Väestöennuste'!Q297*1000</f>
        <v>197.01773495618599</v>
      </c>
      <c r="BO297" s="41">
        <f>AV297/'1. Väestöennuste'!R297*1000</f>
        <v>204.88387001703779</v>
      </c>
    </row>
    <row r="298" spans="1:67" x14ac:dyDescent="0.25">
      <c r="A298" s="30">
        <v>934</v>
      </c>
      <c r="B298" s="47" t="s">
        <v>612</v>
      </c>
      <c r="C298" s="47">
        <v>22</v>
      </c>
      <c r="D298" s="47">
        <v>22.25</v>
      </c>
      <c r="E298" s="47">
        <v>22.25</v>
      </c>
      <c r="F298" s="47">
        <v>22.25</v>
      </c>
      <c r="G298" s="47">
        <v>22.25</v>
      </c>
      <c r="H298" s="58">
        <v>22.25</v>
      </c>
      <c r="I298" s="139">
        <v>22.250000000000004</v>
      </c>
      <c r="J298" s="139">
        <v>22.250000000000004</v>
      </c>
      <c r="K298" s="139">
        <f t="shared" si="19"/>
        <v>9.610000000000003</v>
      </c>
      <c r="L298" s="139">
        <v>9.6</v>
      </c>
      <c r="M298" s="139">
        <f t="shared" si="21"/>
        <v>9.6</v>
      </c>
      <c r="N298" s="147">
        <f t="shared" si="21"/>
        <v>9.6</v>
      </c>
      <c r="O298" s="147">
        <f t="shared" si="21"/>
        <v>9.6</v>
      </c>
      <c r="P298" s="147">
        <f t="shared" si="21"/>
        <v>9.6</v>
      </c>
      <c r="Q298" s="147"/>
      <c r="S298" s="41">
        <f>'3. Verotulot'!D298*100/'Veroposentin tuotto'!C298</f>
        <v>41592.69045454546</v>
      </c>
      <c r="T298" s="41">
        <f>'3. Verotulot'!I298*100/'Veroposentin tuotto'!D298</f>
        <v>41312.3595505618</v>
      </c>
      <c r="U298" s="41">
        <f>'3. Verotulot'!N298*100/'Veroposentin tuotto'!E298</f>
        <v>40844.943820224718</v>
      </c>
      <c r="V298" s="41">
        <f>'3. Verotulot'!S298*100/'Veroposentin tuotto'!F298</f>
        <v>37959.550561797754</v>
      </c>
      <c r="W298" s="41">
        <f>'3. Verotulot'!X298*100/'Veroposentin tuotto'!G298</f>
        <v>40907.865168539327</v>
      </c>
      <c r="X298" s="41">
        <f>'3. Verotulot'!AC298*100/'Veroposentin tuotto'!H298</f>
        <v>39361.79775280899</v>
      </c>
      <c r="Y298" s="41">
        <f>'3. Verotulot'!AH298*100/'Veroposentin tuotto'!I298</f>
        <v>40979.221483146051</v>
      </c>
      <c r="Z298" s="41">
        <f>'3. Verotulot'!AM298*100/'Veroposentin tuotto'!J298</f>
        <v>41162.132988764039</v>
      </c>
      <c r="AA298" s="41">
        <f>'3. Verotulot'!AR298*100/'Veroposentin tuotto'!K298</f>
        <v>51049.185431841819</v>
      </c>
      <c r="AB298" s="41">
        <f>'3. Verotulot'!AW298*100/'Veroposentin tuotto'!L298</f>
        <v>48319.851415609723</v>
      </c>
      <c r="AC298" s="41">
        <f>'3. Verotulot'!BB298*100/'Veroposentin tuotto'!M298</f>
        <v>49180.730722250213</v>
      </c>
      <c r="AD298" s="41">
        <f>'3. Verotulot'!BG298*100/'Veroposentin tuotto'!N298</f>
        <v>50349.599261792457</v>
      </c>
      <c r="AE298" s="41">
        <f>'3. Verotulot'!BL298*100/'Veroposentin tuotto'!O298</f>
        <v>51057.930412766385</v>
      </c>
      <c r="AF298" s="41">
        <f>'3. Verotulot'!BQ298*100/'Veroposentin tuotto'!P298</f>
        <v>52018.017964797429</v>
      </c>
      <c r="AI298" s="41">
        <f>'3. Verotulot'!D298/'Veroposentin tuotto'!C298</f>
        <v>415.92690454545459</v>
      </c>
      <c r="AJ298" s="41">
        <f>'3. Verotulot'!I298/'Veroposentin tuotto'!D298</f>
        <v>413.12359550561797</v>
      </c>
      <c r="AK298" s="41">
        <f>'3. Verotulot'!N298/'Veroposentin tuotto'!E298</f>
        <v>408.44943820224717</v>
      </c>
      <c r="AL298" s="41">
        <f>'3. Verotulot'!S298/'Veroposentin tuotto'!F298</f>
        <v>379.59550561797755</v>
      </c>
      <c r="AM298" s="41">
        <f>'3. Verotulot'!X298/'Veroposentin tuotto'!G298</f>
        <v>409.07865168539325</v>
      </c>
      <c r="AN298" s="41">
        <f>'3. Verotulot'!AC298/'Veroposentin tuotto'!H298</f>
        <v>393.61797752808991</v>
      </c>
      <c r="AO298" s="41">
        <f>'3. Verotulot'!AH298/'Veroposentin tuotto'!I298</f>
        <v>409.79221483146057</v>
      </c>
      <c r="AP298" s="41">
        <f>'3. Verotulot'!AM298/'Veroposentin tuotto'!J298</f>
        <v>411.6213298876404</v>
      </c>
      <c r="AQ298" s="41">
        <f>'3. Verotulot'!AR298/'Veroposentin tuotto'!K298</f>
        <v>510.49185431841818</v>
      </c>
      <c r="AR298" s="41">
        <f>'3. Verotulot'!AW298/'Veroposentin tuotto'!L298</f>
        <v>483.19851415609719</v>
      </c>
      <c r="AS298" s="41">
        <f>'3. Verotulot'!BB298/'Veroposentin tuotto'!M298</f>
        <v>491.80730722250212</v>
      </c>
      <c r="AT298" s="41">
        <f>'3. Verotulot'!BG298/'Veroposentin tuotto'!N298</f>
        <v>503.49599261792457</v>
      </c>
      <c r="AU298" s="41">
        <f>'3. Verotulot'!BL298/'Veroposentin tuotto'!O298</f>
        <v>510.57930412766382</v>
      </c>
      <c r="AV298" s="41">
        <f>'3. Verotulot'!BQ298/'Veroposentin tuotto'!P298</f>
        <v>520.18017964797423</v>
      </c>
      <c r="AX298" s="146"/>
      <c r="AZ298" s="34">
        <v>934</v>
      </c>
      <c r="BA298" s="88" t="s">
        <v>612</v>
      </c>
      <c r="BB298" s="41">
        <f>AI298/'1. Väestöennuste'!E298*1000</f>
        <v>135.34881371475907</v>
      </c>
      <c r="BC298" s="41">
        <f>AJ298/'1. Väestöennuste'!F298*1000</f>
        <v>136.5697836382208</v>
      </c>
      <c r="BD298" s="41">
        <f>AK298/'1. Väestöennuste'!G298*1000</f>
        <v>137.34009354480403</v>
      </c>
      <c r="BE298" s="41">
        <f>AL298/'1. Väestöennuste'!H298*1000</f>
        <v>130.84988128851347</v>
      </c>
      <c r="BF298" s="41">
        <f>AM298/'1. Väestöennuste'!I298*1000</f>
        <v>144.70415694566441</v>
      </c>
      <c r="BG298" s="41">
        <f>AN298/'1. Väestöennuste'!J298*1000</f>
        <v>141.38576779026218</v>
      </c>
      <c r="BH298" s="41">
        <f>AO298/'1. Väestöennuste'!K298*1000</f>
        <v>148.69093426395523</v>
      </c>
      <c r="BI298" s="41">
        <f>AP298/'1. Väestöennuste'!L298*1000</f>
        <v>154.1075739002772</v>
      </c>
      <c r="BJ298" s="41">
        <f>AQ298/'1. Väestöennuste'!M298*1000</f>
        <v>192.20325840301888</v>
      </c>
      <c r="BK298" s="41">
        <f>AR298/'1. Väestöennuste'!N298*1000</f>
        <v>189.11879223330612</v>
      </c>
      <c r="BL298" s="41">
        <f>AS298/'1. Väestöennuste'!O298*1000</f>
        <v>196.56567035271868</v>
      </c>
      <c r="BM298" s="41">
        <f>AT298/'1. Väestöennuste'!P298*1000</f>
        <v>205.17359112384864</v>
      </c>
      <c r="BN298" s="41">
        <f>AU298/'1. Väestöennuste'!Q298*1000</f>
        <v>211.94657705590032</v>
      </c>
      <c r="BO298" s="41">
        <f>AV298/'1. Väestöennuste'!R298*1000</f>
        <v>219.67068397296208</v>
      </c>
    </row>
    <row r="299" spans="1:67" x14ac:dyDescent="0.25">
      <c r="A299" s="30">
        <v>935</v>
      </c>
      <c r="B299" s="47" t="s">
        <v>613</v>
      </c>
      <c r="C299" s="47">
        <v>20</v>
      </c>
      <c r="D299" s="47">
        <v>20</v>
      </c>
      <c r="E299" s="47">
        <v>20</v>
      </c>
      <c r="F299" s="47">
        <v>20</v>
      </c>
      <c r="G299" s="47">
        <v>20.5</v>
      </c>
      <c r="H299" s="58">
        <v>20.5</v>
      </c>
      <c r="I299" s="139">
        <v>20.5</v>
      </c>
      <c r="J299" s="139">
        <v>21.5</v>
      </c>
      <c r="K299" s="139">
        <f t="shared" si="19"/>
        <v>8.86</v>
      </c>
      <c r="L299" s="139">
        <v>9.9</v>
      </c>
      <c r="M299" s="139">
        <f t="shared" si="21"/>
        <v>9.9</v>
      </c>
      <c r="N299" s="147">
        <f t="shared" si="21"/>
        <v>9.9</v>
      </c>
      <c r="O299" s="147">
        <f t="shared" si="21"/>
        <v>9.9</v>
      </c>
      <c r="P299" s="147">
        <f t="shared" si="21"/>
        <v>9.9</v>
      </c>
      <c r="Q299" s="147"/>
      <c r="S299" s="41">
        <f>'3. Verotulot'!D299*100/'Veroposentin tuotto'!C299</f>
        <v>43786.319000000003</v>
      </c>
      <c r="T299" s="41">
        <f>'3. Verotulot'!I299*100/'Veroposentin tuotto'!D299</f>
        <v>42100</v>
      </c>
      <c r="U299" s="41">
        <f>'3. Verotulot'!N299*100/'Veroposentin tuotto'!E299</f>
        <v>42000</v>
      </c>
      <c r="V299" s="41">
        <f>'3. Verotulot'!S299*100/'Veroposentin tuotto'!F299</f>
        <v>41060</v>
      </c>
      <c r="W299" s="41">
        <f>'3. Verotulot'!X299*100/'Veroposentin tuotto'!G299</f>
        <v>42697.560975609755</v>
      </c>
      <c r="X299" s="41">
        <f>'3. Verotulot'!AC299*100/'Veroposentin tuotto'!H299</f>
        <v>43785.365853658535</v>
      </c>
      <c r="Y299" s="41">
        <f>'3. Verotulot'!AH299*100/'Veroposentin tuotto'!I299</f>
        <v>43995.462780487804</v>
      </c>
      <c r="Z299" s="41">
        <f>'3. Verotulot'!AM299*100/'Veroposentin tuotto'!J299</f>
        <v>42608.950744186048</v>
      </c>
      <c r="AA299" s="41">
        <f>'3. Verotulot'!AR299*100/'Veroposentin tuotto'!K299</f>
        <v>54975.175169300222</v>
      </c>
      <c r="AB299" s="41">
        <f>'3. Verotulot'!AW299*100/'Veroposentin tuotto'!L299</f>
        <v>50526.734984051065</v>
      </c>
      <c r="AC299" s="41">
        <f>'3. Verotulot'!BB299*100/'Veroposentin tuotto'!M299</f>
        <v>53382.353664701994</v>
      </c>
      <c r="AD299" s="41">
        <f>'3. Verotulot'!BG299*100/'Veroposentin tuotto'!N299</f>
        <v>55230.752930053146</v>
      </c>
      <c r="AE299" s="41">
        <f>'3. Verotulot'!BL299*100/'Veroposentin tuotto'!O299</f>
        <v>56685.397219006889</v>
      </c>
      <c r="AF299" s="41">
        <f>'3. Verotulot'!BQ299*100/'Veroposentin tuotto'!P299</f>
        <v>58385.976338845081</v>
      </c>
      <c r="AI299" s="41">
        <f>'3. Verotulot'!D299/'Veroposentin tuotto'!C299</f>
        <v>437.86319000000003</v>
      </c>
      <c r="AJ299" s="41">
        <f>'3. Verotulot'!I299/'Veroposentin tuotto'!D299</f>
        <v>421</v>
      </c>
      <c r="AK299" s="41">
        <f>'3. Verotulot'!N299/'Veroposentin tuotto'!E299</f>
        <v>420</v>
      </c>
      <c r="AL299" s="41">
        <f>'3. Verotulot'!S299/'Veroposentin tuotto'!F299</f>
        <v>410.6</v>
      </c>
      <c r="AM299" s="41">
        <f>'3. Verotulot'!X299/'Veroposentin tuotto'!G299</f>
        <v>426.97560975609758</v>
      </c>
      <c r="AN299" s="41">
        <f>'3. Verotulot'!AC299/'Veroposentin tuotto'!H299</f>
        <v>437.85365853658539</v>
      </c>
      <c r="AO299" s="41">
        <f>'3. Verotulot'!AH299/'Veroposentin tuotto'!I299</f>
        <v>439.95462780487804</v>
      </c>
      <c r="AP299" s="41">
        <f>'3. Verotulot'!AM299/'Veroposentin tuotto'!J299</f>
        <v>426.08950744186046</v>
      </c>
      <c r="AQ299" s="41">
        <f>'3. Verotulot'!AR299/'Veroposentin tuotto'!K299</f>
        <v>549.75175169300223</v>
      </c>
      <c r="AR299" s="41">
        <f>'3. Verotulot'!AW299/'Veroposentin tuotto'!L299</f>
        <v>505.26734984051069</v>
      </c>
      <c r="AS299" s="41">
        <f>'3. Verotulot'!BB299/'Veroposentin tuotto'!M299</f>
        <v>533.82353664701986</v>
      </c>
      <c r="AT299" s="41">
        <f>'3. Verotulot'!BG299/'Veroposentin tuotto'!N299</f>
        <v>552.30752930053143</v>
      </c>
      <c r="AU299" s="41">
        <f>'3. Verotulot'!BL299/'Veroposentin tuotto'!O299</f>
        <v>566.85397219006882</v>
      </c>
      <c r="AV299" s="41">
        <f>'3. Verotulot'!BQ299/'Veroposentin tuotto'!P299</f>
        <v>583.8597633884508</v>
      </c>
      <c r="AX299" s="146"/>
      <c r="AZ299" s="34">
        <v>935</v>
      </c>
      <c r="BA299" s="88" t="s">
        <v>613</v>
      </c>
      <c r="BB299" s="41">
        <f>AI299/'1. Väestöennuste'!E299*1000</f>
        <v>130.82258440394384</v>
      </c>
      <c r="BC299" s="41">
        <f>AJ299/'1. Väestöennuste'!F299*1000</f>
        <v>128.86440159167432</v>
      </c>
      <c r="BD299" s="41">
        <f>AK299/'1. Väestöennuste'!G299*1000</f>
        <v>130.96351730589336</v>
      </c>
      <c r="BE299" s="41">
        <f>AL299/'1. Väestöennuste'!H299*1000</f>
        <v>130.34920634920636</v>
      </c>
      <c r="BF299" s="41">
        <f>AM299/'1. Väestöennuste'!I299*1000</f>
        <v>137.33535212483037</v>
      </c>
      <c r="BG299" s="41">
        <f>AN299/'1. Väestöennuste'!J299*1000</f>
        <v>141.83791983692433</v>
      </c>
      <c r="BH299" s="41">
        <f>AO299/'1. Väestöennuste'!K299*1000</f>
        <v>144.72191704107831</v>
      </c>
      <c r="BI299" s="41">
        <f>AP299/'1. Väestöennuste'!L299*1000</f>
        <v>142.74355358186281</v>
      </c>
      <c r="BJ299" s="41">
        <f>AQ299/'1. Väestöennuste'!M299*1000</f>
        <v>187.82089227639298</v>
      </c>
      <c r="BK299" s="41">
        <f>AR299/'1. Väestöennuste'!N299*1000</f>
        <v>173.51213936830726</v>
      </c>
      <c r="BL299" s="41">
        <f>AS299/'1. Väestöennuste'!O299*1000</f>
        <v>185.61319076739215</v>
      </c>
      <c r="BM299" s="41">
        <f>AT299/'1. Väestöennuste'!P299*1000</f>
        <v>194.33762466591537</v>
      </c>
      <c r="BN299" s="41">
        <f>AU299/'1. Väestöennuste'!Q299*1000</f>
        <v>201.79920690283689</v>
      </c>
      <c r="BO299" s="41">
        <f>AV299/'1. Väestöennuste'!R299*1000</f>
        <v>210.32412225808747</v>
      </c>
    </row>
    <row r="300" spans="1:67" x14ac:dyDescent="0.25">
      <c r="A300" s="30">
        <v>936</v>
      </c>
      <c r="B300" s="47" t="s">
        <v>614</v>
      </c>
      <c r="C300" s="47">
        <v>20.25</v>
      </c>
      <c r="D300" s="47">
        <v>20.25</v>
      </c>
      <c r="E300" s="47">
        <v>20.75</v>
      </c>
      <c r="F300" s="47">
        <v>20.75</v>
      </c>
      <c r="G300" s="47">
        <v>21.25</v>
      </c>
      <c r="H300" s="58">
        <v>21.25</v>
      </c>
      <c r="I300" s="139">
        <v>21.25</v>
      </c>
      <c r="J300" s="139">
        <v>21.25</v>
      </c>
      <c r="K300" s="139">
        <f t="shared" si="19"/>
        <v>8.61</v>
      </c>
      <c r="L300" s="139">
        <v>8.6</v>
      </c>
      <c r="M300" s="139">
        <f t="shared" si="21"/>
        <v>8.6</v>
      </c>
      <c r="N300" s="147">
        <f t="shared" si="21"/>
        <v>8.6</v>
      </c>
      <c r="O300" s="147">
        <f t="shared" si="21"/>
        <v>8.6</v>
      </c>
      <c r="P300" s="147">
        <f t="shared" si="21"/>
        <v>8.6</v>
      </c>
      <c r="Q300" s="147"/>
      <c r="S300" s="41">
        <f>'3. Verotulot'!D300*100/'Veroposentin tuotto'!C300</f>
        <v>88718.17333333334</v>
      </c>
      <c r="T300" s="41">
        <f>'3. Verotulot'!I300*100/'Veroposentin tuotto'!D300</f>
        <v>88567.901234567908</v>
      </c>
      <c r="U300" s="41">
        <f>'3. Verotulot'!N300*100/'Veroposentin tuotto'!E300</f>
        <v>87392.77108433735</v>
      </c>
      <c r="V300" s="41">
        <f>'3. Verotulot'!S300*100/'Veroposentin tuotto'!F300</f>
        <v>85937.349397590355</v>
      </c>
      <c r="W300" s="41">
        <f>'3. Verotulot'!X300*100/'Veroposentin tuotto'!G300</f>
        <v>87331.76470588235</v>
      </c>
      <c r="X300" s="41">
        <f>'3. Verotulot'!AC300*100/'Veroposentin tuotto'!H300</f>
        <v>85755.294117647063</v>
      </c>
      <c r="Y300" s="41">
        <f>'3. Verotulot'!AH300*100/'Veroposentin tuotto'!I300</f>
        <v>93050.107341176466</v>
      </c>
      <c r="Z300" s="41">
        <f>'3. Verotulot'!AM300*100/'Veroposentin tuotto'!J300</f>
        <v>91575.781176470598</v>
      </c>
      <c r="AA300" s="41">
        <f>'3. Verotulot'!AR300*100/'Veroposentin tuotto'!K300</f>
        <v>115140.56573751454</v>
      </c>
      <c r="AB300" s="41">
        <f>'3. Verotulot'!AW300*100/'Veroposentin tuotto'!L300</f>
        <v>108654.80435493833</v>
      </c>
      <c r="AC300" s="41">
        <f>'3. Verotulot'!BB300*100/'Veroposentin tuotto'!M300</f>
        <v>113653.83491382518</v>
      </c>
      <c r="AD300" s="41">
        <f>'3. Verotulot'!BG300*100/'Veroposentin tuotto'!N300</f>
        <v>116876.92365878129</v>
      </c>
      <c r="AE300" s="41">
        <f>'3. Verotulot'!BL300*100/'Veroposentin tuotto'!O300</f>
        <v>119421.479939873</v>
      </c>
      <c r="AF300" s="41">
        <f>'3. Verotulot'!BQ300*100/'Veroposentin tuotto'!P300</f>
        <v>122639.33993100996</v>
      </c>
      <c r="AI300" s="41">
        <f>'3. Verotulot'!D300/'Veroposentin tuotto'!C300</f>
        <v>887.18173333333345</v>
      </c>
      <c r="AJ300" s="41">
        <f>'3. Verotulot'!I300/'Veroposentin tuotto'!D300</f>
        <v>885.67901234567898</v>
      </c>
      <c r="AK300" s="41">
        <f>'3. Verotulot'!N300/'Veroposentin tuotto'!E300</f>
        <v>873.92771084337346</v>
      </c>
      <c r="AL300" s="41">
        <f>'3. Verotulot'!S300/'Veroposentin tuotto'!F300</f>
        <v>859.37349397590367</v>
      </c>
      <c r="AM300" s="41">
        <f>'3. Verotulot'!X300/'Veroposentin tuotto'!G300</f>
        <v>873.31764705882358</v>
      </c>
      <c r="AN300" s="41">
        <f>'3. Verotulot'!AC300/'Veroposentin tuotto'!H300</f>
        <v>857.55294117647054</v>
      </c>
      <c r="AO300" s="41">
        <f>'3. Verotulot'!AH300/'Veroposentin tuotto'!I300</f>
        <v>930.50107341176465</v>
      </c>
      <c r="AP300" s="41">
        <f>'3. Verotulot'!AM300/'Veroposentin tuotto'!J300</f>
        <v>915.75781176470593</v>
      </c>
      <c r="AQ300" s="41">
        <f>'3. Verotulot'!AR300/'Veroposentin tuotto'!K300</f>
        <v>1151.4056573751454</v>
      </c>
      <c r="AR300" s="41">
        <f>'3. Verotulot'!AW300/'Veroposentin tuotto'!L300</f>
        <v>1086.5480435493832</v>
      </c>
      <c r="AS300" s="41">
        <f>'3. Verotulot'!BB300/'Veroposentin tuotto'!M300</f>
        <v>1136.5383491382518</v>
      </c>
      <c r="AT300" s="41">
        <f>'3. Verotulot'!BG300/'Veroposentin tuotto'!N300</f>
        <v>1168.7692365878129</v>
      </c>
      <c r="AU300" s="41">
        <f>'3. Verotulot'!BL300/'Veroposentin tuotto'!O300</f>
        <v>1194.2147993987298</v>
      </c>
      <c r="AV300" s="41">
        <f>'3. Verotulot'!BQ300/'Veroposentin tuotto'!P300</f>
        <v>1226.3933993100995</v>
      </c>
      <c r="AX300" s="146"/>
      <c r="AZ300" s="34">
        <v>936</v>
      </c>
      <c r="BA300" s="88" t="s">
        <v>614</v>
      </c>
      <c r="BB300" s="41">
        <f>AI300/'1. Väestöennuste'!E300*1000</f>
        <v>126.70404646291539</v>
      </c>
      <c r="BC300" s="41">
        <f>AJ300/'1. Väestöennuste'!F300*1000</f>
        <v>128.04380690265708</v>
      </c>
      <c r="BD300" s="41">
        <f>AK300/'1. Väestöennuste'!G300*1000</f>
        <v>127.6925351904403</v>
      </c>
      <c r="BE300" s="41">
        <f>AL300/'1. Väestöennuste'!H300*1000</f>
        <v>127.52240599137909</v>
      </c>
      <c r="BF300" s="41">
        <f>AM300/'1. Väestöennuste'!I300*1000</f>
        <v>133.45318567524811</v>
      </c>
      <c r="BG300" s="41">
        <f>AN300/'1. Väestöennuste'!J300*1000</f>
        <v>131.72856239269902</v>
      </c>
      <c r="BH300" s="41">
        <f>AO300/'1. Väestöennuste'!K300*1000</f>
        <v>143.92901367544698</v>
      </c>
      <c r="BI300" s="41">
        <f>AP300/'1. Väestöennuste'!L300*1000</f>
        <v>143.19903233224488</v>
      </c>
      <c r="BJ300" s="41">
        <f>AQ300/'1. Väestöennuste'!M300*1000</f>
        <v>183.49094141436581</v>
      </c>
      <c r="BK300" s="41">
        <f>AR300/'1. Väestöennuste'!N300*1000</f>
        <v>177.22199372849178</v>
      </c>
      <c r="BL300" s="41">
        <f>AS300/'1. Väestöennuste'!O300*1000</f>
        <v>187.91970058502841</v>
      </c>
      <c r="BM300" s="41">
        <f>AT300/'1. Väestöennuste'!P300*1000</f>
        <v>195.83934929420457</v>
      </c>
      <c r="BN300" s="41">
        <f>AU300/'1. Väestöennuste'!Q300*1000</f>
        <v>202.61533752947571</v>
      </c>
      <c r="BO300" s="41">
        <f>AV300/'1. Väestöennuste'!R300*1000</f>
        <v>210.68431529120417</v>
      </c>
    </row>
    <row r="301" spans="1:67" x14ac:dyDescent="0.25">
      <c r="A301" s="30">
        <v>946</v>
      </c>
      <c r="B301" s="47" t="s">
        <v>615</v>
      </c>
      <c r="C301" s="47">
        <v>21</v>
      </c>
      <c r="D301" s="47">
        <v>21</v>
      </c>
      <c r="E301" s="47">
        <v>21</v>
      </c>
      <c r="F301" s="47">
        <v>21</v>
      </c>
      <c r="G301" s="47">
        <v>21</v>
      </c>
      <c r="H301" s="58">
        <v>21.5</v>
      </c>
      <c r="I301" s="139">
        <v>21.5</v>
      </c>
      <c r="J301" s="139">
        <v>21.5</v>
      </c>
      <c r="K301" s="139">
        <f t="shared" si="19"/>
        <v>8.86</v>
      </c>
      <c r="L301" s="139">
        <v>9.1999999999999993</v>
      </c>
      <c r="M301" s="139">
        <f t="shared" si="21"/>
        <v>9.1999999999999993</v>
      </c>
      <c r="N301" s="147">
        <f t="shared" si="21"/>
        <v>9.1999999999999993</v>
      </c>
      <c r="O301" s="147">
        <f t="shared" si="21"/>
        <v>9.1999999999999993</v>
      </c>
      <c r="P301" s="147">
        <f t="shared" si="21"/>
        <v>9.1999999999999993</v>
      </c>
      <c r="Q301" s="147"/>
      <c r="S301" s="41">
        <f>'3. Verotulot'!D301*100/'Veroposentin tuotto'!C301</f>
        <v>92461.850857142854</v>
      </c>
      <c r="T301" s="41">
        <f>'3. Verotulot'!I301*100/'Veroposentin tuotto'!D301</f>
        <v>91061.904761904763</v>
      </c>
      <c r="U301" s="41">
        <f>'3. Verotulot'!N301*100/'Veroposentin tuotto'!E301</f>
        <v>90071.428571428565</v>
      </c>
      <c r="V301" s="41">
        <f>'3. Verotulot'!S301*100/'Veroposentin tuotto'!F301</f>
        <v>86538.095238095237</v>
      </c>
      <c r="W301" s="41">
        <f>'3. Verotulot'!X301*100/'Veroposentin tuotto'!G301</f>
        <v>90785.71428571429</v>
      </c>
      <c r="X301" s="41">
        <f>'3. Verotulot'!AC301*100/'Veroposentin tuotto'!H301</f>
        <v>92265.116279069771</v>
      </c>
      <c r="Y301" s="41">
        <f>'3. Verotulot'!AH301*100/'Veroposentin tuotto'!I301</f>
        <v>96879.128790697665</v>
      </c>
      <c r="Z301" s="41">
        <f>'3. Verotulot'!AM301*100/'Veroposentin tuotto'!J301</f>
        <v>102026.87739534884</v>
      </c>
      <c r="AA301" s="41">
        <f>'3. Verotulot'!AR301*100/'Veroposentin tuotto'!K301</f>
        <v>121488.13352144472</v>
      </c>
      <c r="AB301" s="41">
        <f>'3. Verotulot'!AW301*100/'Veroposentin tuotto'!L301</f>
        <v>118498.36217546368</v>
      </c>
      <c r="AC301" s="41">
        <f>'3. Verotulot'!BB301*100/'Veroposentin tuotto'!M301</f>
        <v>124251.86410470262</v>
      </c>
      <c r="AD301" s="41">
        <f>'3. Verotulot'!BG301*100/'Veroposentin tuotto'!N301</f>
        <v>129608.34409919193</v>
      </c>
      <c r="AE301" s="41">
        <f>'3. Verotulot'!BL301*100/'Veroposentin tuotto'!O301</f>
        <v>133546.20216833087</v>
      </c>
      <c r="AF301" s="41">
        <f>'3. Verotulot'!BQ301*100/'Veroposentin tuotto'!P301</f>
        <v>137815.97865302971</v>
      </c>
      <c r="AI301" s="41">
        <f>'3. Verotulot'!D301/'Veroposentin tuotto'!C301</f>
        <v>924.61850857142849</v>
      </c>
      <c r="AJ301" s="41">
        <f>'3. Verotulot'!I301/'Veroposentin tuotto'!D301</f>
        <v>910.61904761904759</v>
      </c>
      <c r="AK301" s="41">
        <f>'3. Verotulot'!N301/'Veroposentin tuotto'!E301</f>
        <v>900.71428571428567</v>
      </c>
      <c r="AL301" s="41">
        <f>'3. Verotulot'!S301/'Veroposentin tuotto'!F301</f>
        <v>865.38095238095241</v>
      </c>
      <c r="AM301" s="41">
        <f>'3. Verotulot'!X301/'Veroposentin tuotto'!G301</f>
        <v>907.85714285714289</v>
      </c>
      <c r="AN301" s="41">
        <f>'3. Verotulot'!AC301/'Veroposentin tuotto'!H301</f>
        <v>922.65116279069764</v>
      </c>
      <c r="AO301" s="41">
        <f>'3. Verotulot'!AH301/'Veroposentin tuotto'!I301</f>
        <v>968.79128790697678</v>
      </c>
      <c r="AP301" s="41">
        <f>'3. Verotulot'!AM301/'Veroposentin tuotto'!J301</f>
        <v>1020.2687739534884</v>
      </c>
      <c r="AQ301" s="41">
        <f>'3. Verotulot'!AR301/'Veroposentin tuotto'!K301</f>
        <v>1214.8813352144471</v>
      </c>
      <c r="AR301" s="41">
        <f>'3. Verotulot'!AW301/'Veroposentin tuotto'!L301</f>
        <v>1184.9836217546367</v>
      </c>
      <c r="AS301" s="41">
        <f>'3. Verotulot'!BB301/'Veroposentin tuotto'!M301</f>
        <v>1242.5186410470262</v>
      </c>
      <c r="AT301" s="41">
        <f>'3. Verotulot'!BG301/'Veroposentin tuotto'!N301</f>
        <v>1296.0834409919194</v>
      </c>
      <c r="AU301" s="41">
        <f>'3. Verotulot'!BL301/'Veroposentin tuotto'!O301</f>
        <v>1335.4620216833086</v>
      </c>
      <c r="AV301" s="41">
        <f>'3. Verotulot'!BQ301/'Veroposentin tuotto'!P301</f>
        <v>1378.1597865302972</v>
      </c>
      <c r="AX301" s="146"/>
      <c r="AZ301" s="34">
        <v>946</v>
      </c>
      <c r="BA301" s="88" t="s">
        <v>615</v>
      </c>
      <c r="BB301" s="41">
        <f>AI301/'1. Väestöennuste'!E301*1000</f>
        <v>137.714999787225</v>
      </c>
      <c r="BC301" s="41">
        <f>AJ301/'1. Väestöennuste'!F301*1000</f>
        <v>136.23863668746972</v>
      </c>
      <c r="BD301" s="41">
        <f>AK301/'1. Väestöennuste'!G301*1000</f>
        <v>136.14182069442043</v>
      </c>
      <c r="BE301" s="41">
        <f>AL301/'1. Väestöennuste'!H301*1000</f>
        <v>130.8605704492594</v>
      </c>
      <c r="BF301" s="41">
        <f>AM301/'1. Väestöennuste'!I301*1000</f>
        <v>140.51341013111636</v>
      </c>
      <c r="BG301" s="41">
        <f>AN301/'1. Väestöennuste'!J301*1000</f>
        <v>144.43505992340289</v>
      </c>
      <c r="BH301" s="41">
        <f>AO301/'1. Väestöennuste'!K301*1000</f>
        <v>151.94342658515947</v>
      </c>
      <c r="BI301" s="41">
        <f>AP301/'1. Väestöennuste'!L301*1000</f>
        <v>162.28229266001088</v>
      </c>
      <c r="BJ301" s="41">
        <f>AQ301/'1. Väestöennuste'!M301*1000</f>
        <v>193.11418458344414</v>
      </c>
      <c r="BK301" s="41">
        <f>AR301/'1. Väestöennuste'!N301*1000</f>
        <v>192.27383121120181</v>
      </c>
      <c r="BL301" s="41">
        <f>AS301/'1. Väestöennuste'!O301*1000</f>
        <v>203.4247938845819</v>
      </c>
      <c r="BM301" s="41">
        <f>AT301/'1. Väestöennuste'!P301*1000</f>
        <v>214.05176564689006</v>
      </c>
      <c r="BN301" s="41">
        <f>AU301/'1. Väestöennuste'!Q301*1000</f>
        <v>222.61410596487895</v>
      </c>
      <c r="BO301" s="41">
        <f>AV301/'1. Väestöennuste'!R301*1000</f>
        <v>231.97437915002479</v>
      </c>
    </row>
    <row r="302" spans="1:67" x14ac:dyDescent="0.25">
      <c r="A302" s="30">
        <v>976</v>
      </c>
      <c r="B302" s="47" t="s">
        <v>616</v>
      </c>
      <c r="C302" s="47">
        <v>19.25</v>
      </c>
      <c r="D302" s="47">
        <v>19.25</v>
      </c>
      <c r="E302" s="47">
        <v>19.25</v>
      </c>
      <c r="F302" s="47">
        <v>20</v>
      </c>
      <c r="G302" s="47">
        <v>20</v>
      </c>
      <c r="H302" s="58">
        <v>20</v>
      </c>
      <c r="I302" s="139">
        <v>20</v>
      </c>
      <c r="J302" s="139">
        <v>20</v>
      </c>
      <c r="K302" s="139">
        <f t="shared" si="19"/>
        <v>7.3599999999999994</v>
      </c>
      <c r="L302" s="139">
        <v>8.4</v>
      </c>
      <c r="M302" s="139">
        <f t="shared" si="21"/>
        <v>8.4</v>
      </c>
      <c r="N302" s="147">
        <f t="shared" si="21"/>
        <v>8.4</v>
      </c>
      <c r="O302" s="147">
        <f t="shared" si="21"/>
        <v>8.4</v>
      </c>
      <c r="P302" s="147">
        <f t="shared" si="21"/>
        <v>8.4</v>
      </c>
      <c r="Q302" s="147"/>
      <c r="S302" s="41">
        <f>'3. Verotulot'!D302*100/'Veroposentin tuotto'!C302</f>
        <v>55383.413038961044</v>
      </c>
      <c r="T302" s="41">
        <f>'3. Verotulot'!I302*100/'Veroposentin tuotto'!D302</f>
        <v>54633.766233766233</v>
      </c>
      <c r="U302" s="41">
        <f>'3. Verotulot'!N302*100/'Veroposentin tuotto'!E302</f>
        <v>54296.103896103894</v>
      </c>
      <c r="V302" s="41">
        <f>'3. Verotulot'!S302*100/'Veroposentin tuotto'!F302</f>
        <v>52765</v>
      </c>
      <c r="W302" s="41">
        <f>'3. Verotulot'!X302*100/'Veroposentin tuotto'!G302</f>
        <v>52840</v>
      </c>
      <c r="X302" s="41">
        <f>'3. Verotulot'!AC302*100/'Veroposentin tuotto'!H302</f>
        <v>52970</v>
      </c>
      <c r="Y302" s="41">
        <f>'3. Verotulot'!AH302*100/'Veroposentin tuotto'!I302</f>
        <v>56013.572849999997</v>
      </c>
      <c r="Z302" s="41">
        <f>'3. Verotulot'!AM302*100/'Veroposentin tuotto'!J302</f>
        <v>56716.175999999999</v>
      </c>
      <c r="AA302" s="41">
        <f>'3. Verotulot'!AR302*100/'Veroposentin tuotto'!K302</f>
        <v>71602.580298913061</v>
      </c>
      <c r="AB302" s="41">
        <f>'3. Verotulot'!AW302*100/'Veroposentin tuotto'!L302</f>
        <v>64575.412115797692</v>
      </c>
      <c r="AC302" s="41">
        <f>'3. Verotulot'!BB302*100/'Veroposentin tuotto'!M302</f>
        <v>66289.912571603811</v>
      </c>
      <c r="AD302" s="41">
        <f>'3. Verotulot'!BG302*100/'Veroposentin tuotto'!N302</f>
        <v>67595.036458867282</v>
      </c>
      <c r="AE302" s="41">
        <f>'3. Verotulot'!BL302*100/'Veroposentin tuotto'!O302</f>
        <v>68569.606024990906</v>
      </c>
      <c r="AF302" s="41">
        <f>'3. Verotulot'!BQ302*100/'Veroposentin tuotto'!P302</f>
        <v>70000.64366785383</v>
      </c>
      <c r="AI302" s="41">
        <f>'3. Verotulot'!D302/'Veroposentin tuotto'!C302</f>
        <v>553.83413038961044</v>
      </c>
      <c r="AJ302" s="41">
        <f>'3. Verotulot'!I302/'Veroposentin tuotto'!D302</f>
        <v>546.33766233766232</v>
      </c>
      <c r="AK302" s="41">
        <f>'3. Verotulot'!N302/'Veroposentin tuotto'!E302</f>
        <v>542.96103896103898</v>
      </c>
      <c r="AL302" s="41">
        <f>'3. Verotulot'!S302/'Veroposentin tuotto'!F302</f>
        <v>527.65</v>
      </c>
      <c r="AM302" s="41">
        <f>'3. Verotulot'!X302/'Veroposentin tuotto'!G302</f>
        <v>528.4</v>
      </c>
      <c r="AN302" s="41">
        <f>'3. Verotulot'!AC302/'Veroposentin tuotto'!H302</f>
        <v>529.70000000000005</v>
      </c>
      <c r="AO302" s="41">
        <f>'3. Verotulot'!AH302/'Veroposentin tuotto'!I302</f>
        <v>560.13572850000003</v>
      </c>
      <c r="AP302" s="41">
        <f>'3. Verotulot'!AM302/'Veroposentin tuotto'!J302</f>
        <v>567.16175999999996</v>
      </c>
      <c r="AQ302" s="41">
        <f>'3. Verotulot'!AR302/'Veroposentin tuotto'!K302</f>
        <v>716.02580298913051</v>
      </c>
      <c r="AR302" s="41">
        <f>'3. Verotulot'!AW302/'Veroposentin tuotto'!L302</f>
        <v>645.75412115797701</v>
      </c>
      <c r="AS302" s="41">
        <f>'3. Verotulot'!BB302/'Veroposentin tuotto'!M302</f>
        <v>662.89912571603804</v>
      </c>
      <c r="AT302" s="41">
        <f>'3. Verotulot'!BG302/'Veroposentin tuotto'!N302</f>
        <v>675.95036458867287</v>
      </c>
      <c r="AU302" s="41">
        <f>'3. Verotulot'!BL302/'Veroposentin tuotto'!O302</f>
        <v>685.69606024990912</v>
      </c>
      <c r="AV302" s="41">
        <f>'3. Verotulot'!BQ302/'Veroposentin tuotto'!P302</f>
        <v>700.00643667853842</v>
      </c>
      <c r="AX302" s="146"/>
      <c r="AZ302" s="34">
        <v>976</v>
      </c>
      <c r="BA302" s="88" t="s">
        <v>616</v>
      </c>
      <c r="BB302" s="41">
        <f>AI302/'1. Väestöennuste'!E302*1000</f>
        <v>129.06877893022849</v>
      </c>
      <c r="BC302" s="41">
        <f>AJ302/'1. Väestöennuste'!F302*1000</f>
        <v>130.08039579468149</v>
      </c>
      <c r="BD302" s="41">
        <f>AK302/'1. Väestöennuste'!G302*1000</f>
        <v>131.85066511924208</v>
      </c>
      <c r="BE302" s="41">
        <f>AL302/'1. Väestöennuste'!H302*1000</f>
        <v>131.19094977623072</v>
      </c>
      <c r="BF302" s="41">
        <f>AM302/'1. Väestöennuste'!I302*1000</f>
        <v>134.86472690148037</v>
      </c>
      <c r="BG302" s="41">
        <f>AN302/'1. Väestöennuste'!J302*1000</f>
        <v>136.16966580976865</v>
      </c>
      <c r="BH302" s="41">
        <f>AO302/'1. Väestöennuste'!K302*1000</f>
        <v>146.24953746736293</v>
      </c>
      <c r="BI302" s="41">
        <f>AP302/'1. Väestöennuste'!L302*1000</f>
        <v>149.72591341077086</v>
      </c>
      <c r="BJ302" s="41">
        <f>AQ302/'1. Väestöennuste'!M302*1000</f>
        <v>190.1794961458514</v>
      </c>
      <c r="BK302" s="41">
        <f>AR302/'1. Väestöennuste'!N302*1000</f>
        <v>179.62562480054996</v>
      </c>
      <c r="BL302" s="41">
        <f>AS302/'1. Väestöennuste'!O302*1000</f>
        <v>187.36549624534709</v>
      </c>
      <c r="BM302" s="41">
        <f>AT302/'1. Väestöennuste'!P302*1000</f>
        <v>194.12704324775211</v>
      </c>
      <c r="BN302" s="41">
        <f>AU302/'1. Väestöennuste'!Q302*1000</f>
        <v>199.91138782796185</v>
      </c>
      <c r="BO302" s="41">
        <f>AV302/'1. Väestöennuste'!R302*1000</f>
        <v>207.225114469668</v>
      </c>
    </row>
    <row r="303" spans="1:67" x14ac:dyDescent="0.25">
      <c r="A303" s="30">
        <v>977</v>
      </c>
      <c r="B303" s="47" t="s">
        <v>617</v>
      </c>
      <c r="C303" s="47">
        <v>21.5</v>
      </c>
      <c r="D303" s="47">
        <v>21.5</v>
      </c>
      <c r="E303" s="47">
        <v>21.5</v>
      </c>
      <c r="F303" s="47">
        <v>21.5</v>
      </c>
      <c r="G303" s="47">
        <v>22</v>
      </c>
      <c r="H303" s="58">
        <v>22</v>
      </c>
      <c r="I303" s="139">
        <v>23</v>
      </c>
      <c r="J303" s="139">
        <v>23</v>
      </c>
      <c r="K303" s="139">
        <f t="shared" si="19"/>
        <v>10.36</v>
      </c>
      <c r="L303" s="139">
        <v>10.3</v>
      </c>
      <c r="M303" s="139">
        <f t="shared" si="21"/>
        <v>10.3</v>
      </c>
      <c r="N303" s="147">
        <f t="shared" si="21"/>
        <v>10.3</v>
      </c>
      <c r="O303" s="147">
        <f t="shared" si="21"/>
        <v>10.3</v>
      </c>
      <c r="P303" s="147">
        <f t="shared" si="21"/>
        <v>10.3</v>
      </c>
      <c r="Q303" s="147"/>
      <c r="S303" s="41">
        <f>'3. Verotulot'!D303*100/'Veroposentin tuotto'!C303</f>
        <v>213174.27804651164</v>
      </c>
      <c r="T303" s="41">
        <f>'3. Verotulot'!I303*100/'Veroposentin tuotto'!D303</f>
        <v>213595.34883720931</v>
      </c>
      <c r="U303" s="41">
        <f>'3. Verotulot'!N303*100/'Veroposentin tuotto'!E303</f>
        <v>212916.27906976745</v>
      </c>
      <c r="V303" s="41">
        <f>'3. Verotulot'!S303*100/'Veroposentin tuotto'!F303</f>
        <v>211488.37209302327</v>
      </c>
      <c r="W303" s="41">
        <f>'3. Verotulot'!X303*100/'Veroposentin tuotto'!G303</f>
        <v>213450</v>
      </c>
      <c r="X303" s="41">
        <f>'3. Verotulot'!AC303*100/'Veroposentin tuotto'!H303</f>
        <v>225822.72727272726</v>
      </c>
      <c r="Y303" s="41">
        <f>'3. Verotulot'!AH303*100/'Veroposentin tuotto'!I303</f>
        <v>230882.31195652176</v>
      </c>
      <c r="Z303" s="41">
        <f>'3. Verotulot'!AM303*100/'Veroposentin tuotto'!J303</f>
        <v>245393.71686956522</v>
      </c>
      <c r="AA303" s="41">
        <f>'3. Verotulot'!AR303*100/'Veroposentin tuotto'!K303</f>
        <v>294469.39218146721</v>
      </c>
      <c r="AB303" s="41">
        <f>'3. Verotulot'!AW303*100/'Veroposentin tuotto'!L303</f>
        <v>294403.36984980915</v>
      </c>
      <c r="AC303" s="41">
        <f>'3. Verotulot'!BB303*100/'Veroposentin tuotto'!M303</f>
        <v>314469.48662048427</v>
      </c>
      <c r="AD303" s="41">
        <f>'3. Verotulot'!BG303*100/'Veroposentin tuotto'!N303</f>
        <v>333015.35824629822</v>
      </c>
      <c r="AE303" s="41">
        <f>'3. Verotulot'!BL303*100/'Veroposentin tuotto'!O303</f>
        <v>346968.09847734665</v>
      </c>
      <c r="AF303" s="41">
        <f>'3. Verotulot'!BQ303*100/'Veroposentin tuotto'!P303</f>
        <v>362232.4425339122</v>
      </c>
      <c r="AI303" s="41">
        <f>'3. Verotulot'!D303/'Veroposentin tuotto'!C303</f>
        <v>2131.7427804651161</v>
      </c>
      <c r="AJ303" s="41">
        <f>'3. Verotulot'!I303/'Veroposentin tuotto'!D303</f>
        <v>2135.953488372093</v>
      </c>
      <c r="AK303" s="41">
        <f>'3. Verotulot'!N303/'Veroposentin tuotto'!E303</f>
        <v>2129.1627906976746</v>
      </c>
      <c r="AL303" s="41">
        <f>'3. Verotulot'!S303/'Veroposentin tuotto'!F303</f>
        <v>2114.8837209302324</v>
      </c>
      <c r="AM303" s="41">
        <f>'3. Verotulot'!X303/'Veroposentin tuotto'!G303</f>
        <v>2134.5</v>
      </c>
      <c r="AN303" s="41">
        <f>'3. Verotulot'!AC303/'Veroposentin tuotto'!H303</f>
        <v>2258.2272727272725</v>
      </c>
      <c r="AO303" s="41">
        <f>'3. Verotulot'!AH303/'Veroposentin tuotto'!I303</f>
        <v>2308.8231195652174</v>
      </c>
      <c r="AP303" s="41">
        <f>'3. Verotulot'!AM303/'Veroposentin tuotto'!J303</f>
        <v>2453.9371686956524</v>
      </c>
      <c r="AQ303" s="41">
        <f>'3. Verotulot'!AR303/'Veroposentin tuotto'!K303</f>
        <v>2944.6939218146722</v>
      </c>
      <c r="AR303" s="41">
        <f>'3. Verotulot'!AW303/'Veroposentin tuotto'!L303</f>
        <v>2944.0336984980918</v>
      </c>
      <c r="AS303" s="41">
        <f>'3. Verotulot'!BB303/'Veroposentin tuotto'!M303</f>
        <v>3144.694866204843</v>
      </c>
      <c r="AT303" s="41">
        <f>'3. Verotulot'!BG303/'Veroposentin tuotto'!N303</f>
        <v>3330.1535824629823</v>
      </c>
      <c r="AU303" s="41">
        <f>'3. Verotulot'!BL303/'Veroposentin tuotto'!O303</f>
        <v>3469.6809847734671</v>
      </c>
      <c r="AV303" s="41">
        <f>'3. Verotulot'!BQ303/'Veroposentin tuotto'!P303</f>
        <v>3622.3244253391217</v>
      </c>
      <c r="AX303" s="146"/>
      <c r="AZ303" s="34">
        <v>977</v>
      </c>
      <c r="BA303" s="88" t="s">
        <v>617</v>
      </c>
      <c r="BB303" s="41">
        <f>AI303/'1. Väestöennuste'!E303*1000</f>
        <v>141.74764149645031</v>
      </c>
      <c r="BC303" s="41">
        <f>AJ303/'1. Väestöennuste'!F303*1000</f>
        <v>140.53250137325435</v>
      </c>
      <c r="BD303" s="41">
        <f>AK303/'1. Väestöennuste'!G303*1000</f>
        <v>139.60807754886071</v>
      </c>
      <c r="BE303" s="41">
        <f>AL303/'1. Väestöennuste'!H303*1000</f>
        <v>139.02732848607891</v>
      </c>
      <c r="BF303" s="41">
        <f>AM303/'1. Väestöennuste'!I303*1000</f>
        <v>139.92133726647003</v>
      </c>
      <c r="BG303" s="41">
        <f>AN303/'1. Väestöennuste'!J303*1000</f>
        <v>147.55797652425983</v>
      </c>
      <c r="BH303" s="41">
        <f>AO303/'1. Väestöennuste'!K303*1000</f>
        <v>150.34336911930828</v>
      </c>
      <c r="BI303" s="41">
        <f>AP303/'1. Väestöennuste'!L303*1000</f>
        <v>160.46146398323756</v>
      </c>
      <c r="BJ303" s="41">
        <f>AQ303/'1. Väestöennuste'!M303*1000</f>
        <v>191.59957849012116</v>
      </c>
      <c r="BK303" s="41">
        <f>AR303/'1. Väestöennuste'!N303*1000</f>
        <v>190.35521133441691</v>
      </c>
      <c r="BL303" s="41">
        <f>AS303/'1. Väestöennuste'!O303*1000</f>
        <v>203.06695506940738</v>
      </c>
      <c r="BM303" s="41">
        <f>AT303/'1. Väestöennuste'!P303*1000</f>
        <v>214.87634420331543</v>
      </c>
      <c r="BN303" s="41">
        <f>AU303/'1. Väestöennuste'!Q303*1000</f>
        <v>223.86482900661119</v>
      </c>
      <c r="BO303" s="41">
        <f>AV303/'1. Väestöennuste'!R303*1000</f>
        <v>233.84922048670896</v>
      </c>
    </row>
    <row r="304" spans="1:67" x14ac:dyDescent="0.25">
      <c r="A304" s="30">
        <v>980</v>
      </c>
      <c r="B304" s="47" t="s">
        <v>618</v>
      </c>
      <c r="C304" s="47">
        <v>20.5</v>
      </c>
      <c r="D304" s="47">
        <v>20.5</v>
      </c>
      <c r="E304" s="47">
        <v>20.5</v>
      </c>
      <c r="F304" s="47">
        <v>20.5</v>
      </c>
      <c r="G304" s="47">
        <v>20.5</v>
      </c>
      <c r="H304" s="58">
        <v>20.5</v>
      </c>
      <c r="I304" s="139">
        <v>20.5</v>
      </c>
      <c r="J304" s="139">
        <v>20.5</v>
      </c>
      <c r="K304" s="139">
        <f t="shared" si="19"/>
        <v>7.8599999999999994</v>
      </c>
      <c r="L304" s="139">
        <v>8.4</v>
      </c>
      <c r="M304" s="139">
        <f t="shared" ref="M304:N307" si="22">L304</f>
        <v>8.4</v>
      </c>
      <c r="N304" s="147">
        <f t="shared" si="22"/>
        <v>8.4</v>
      </c>
      <c r="O304" s="147">
        <f t="shared" si="21"/>
        <v>8.4</v>
      </c>
      <c r="P304" s="147">
        <f t="shared" si="21"/>
        <v>8.4</v>
      </c>
      <c r="Q304" s="147"/>
      <c r="S304" s="41">
        <f>'3. Verotulot'!D304*100/'Veroposentin tuotto'!C304</f>
        <v>523451.20097560983</v>
      </c>
      <c r="T304" s="41">
        <f>'3. Verotulot'!I304*100/'Veroposentin tuotto'!D304</f>
        <v>607726.82926829264</v>
      </c>
      <c r="U304" s="41">
        <f>'3. Verotulot'!N304*100/'Veroposentin tuotto'!E304</f>
        <v>549439.02439024393</v>
      </c>
      <c r="V304" s="41">
        <f>'3. Verotulot'!S304*100/'Veroposentin tuotto'!F304</f>
        <v>546243.90243902442</v>
      </c>
      <c r="W304" s="41">
        <f>'3. Verotulot'!X304*100/'Veroposentin tuotto'!G304</f>
        <v>566536.58536585362</v>
      </c>
      <c r="X304" s="41">
        <f>'3. Verotulot'!AC304*100/'Veroposentin tuotto'!H304</f>
        <v>589034.14634146343</v>
      </c>
      <c r="Y304" s="41">
        <f>'3. Verotulot'!AH304*100/'Veroposentin tuotto'!I304</f>
        <v>606241.02546341461</v>
      </c>
      <c r="Z304" s="41">
        <f>'3. Verotulot'!AM304*100/'Veroposentin tuotto'!J304</f>
        <v>649833.78058536584</v>
      </c>
      <c r="AA304" s="41">
        <f>'3. Verotulot'!AR304*100/'Veroposentin tuotto'!K304</f>
        <v>834106.56946564896</v>
      </c>
      <c r="AB304" s="41">
        <f>'3. Verotulot'!AW304*100/'Veroposentin tuotto'!L304</f>
        <v>770765.12710421835</v>
      </c>
      <c r="AC304" s="41">
        <f>'3. Verotulot'!BB304*100/'Veroposentin tuotto'!M304</f>
        <v>827143.39131668711</v>
      </c>
      <c r="AD304" s="41">
        <f>'3. Verotulot'!BG304*100/'Veroposentin tuotto'!N304</f>
        <v>872469.43175151001</v>
      </c>
      <c r="AE304" s="41">
        <f>'3. Verotulot'!BL304*100/'Veroposentin tuotto'!O304</f>
        <v>909426.27520162135</v>
      </c>
      <c r="AF304" s="41">
        <f>'3. Verotulot'!BQ304*100/'Veroposentin tuotto'!P304</f>
        <v>949886.70018436841</v>
      </c>
      <c r="AI304" s="41">
        <f>'3. Verotulot'!D304/'Veroposentin tuotto'!C304</f>
        <v>5234.5120097560975</v>
      </c>
      <c r="AJ304" s="41">
        <f>'3. Verotulot'!I304/'Veroposentin tuotto'!D304</f>
        <v>6077.2682926829266</v>
      </c>
      <c r="AK304" s="41">
        <f>'3. Verotulot'!N304/'Veroposentin tuotto'!E304</f>
        <v>5494.3902439024387</v>
      </c>
      <c r="AL304" s="41">
        <f>'3. Verotulot'!S304/'Veroposentin tuotto'!F304</f>
        <v>5462.4390243902435</v>
      </c>
      <c r="AM304" s="41">
        <f>'3. Verotulot'!X304/'Veroposentin tuotto'!G304</f>
        <v>5665.3658536585363</v>
      </c>
      <c r="AN304" s="41">
        <f>'3. Verotulot'!AC304/'Veroposentin tuotto'!H304</f>
        <v>5890.3414634146338</v>
      </c>
      <c r="AO304" s="41">
        <f>'3. Verotulot'!AH304/'Veroposentin tuotto'!I304</f>
        <v>6062.4102546341464</v>
      </c>
      <c r="AP304" s="41">
        <f>'3. Verotulot'!AM304/'Veroposentin tuotto'!J304</f>
        <v>6498.3378058536582</v>
      </c>
      <c r="AQ304" s="41">
        <f>'3. Verotulot'!AR304/'Veroposentin tuotto'!K304</f>
        <v>8341.0656946564905</v>
      </c>
      <c r="AR304" s="41">
        <f>'3. Verotulot'!AW304/'Veroposentin tuotto'!L304</f>
        <v>7707.651271042183</v>
      </c>
      <c r="AS304" s="41">
        <f>'3. Verotulot'!BB304/'Veroposentin tuotto'!M304</f>
        <v>8271.4339131668712</v>
      </c>
      <c r="AT304" s="41">
        <f>'3. Verotulot'!BG304/'Veroposentin tuotto'!N304</f>
        <v>8724.6943175151009</v>
      </c>
      <c r="AU304" s="41">
        <f>'3. Verotulot'!BL304/'Veroposentin tuotto'!O304</f>
        <v>9094.2627520162132</v>
      </c>
      <c r="AV304" s="41">
        <f>'3. Verotulot'!BQ304/'Veroposentin tuotto'!P304</f>
        <v>9498.8670018436842</v>
      </c>
      <c r="AX304" s="146"/>
      <c r="AZ304" s="34">
        <v>980</v>
      </c>
      <c r="BA304" s="88" t="s">
        <v>618</v>
      </c>
      <c r="BB304" s="41">
        <f>AI304/'1. Väestöennuste'!E304*1000</f>
        <v>159.89101379913546</v>
      </c>
      <c r="BC304" s="41">
        <f>AJ304/'1. Väestöennuste'!F304*1000</f>
        <v>185.28821892993466</v>
      </c>
      <c r="BD304" s="41">
        <f>AK304/'1. Väestöennuste'!G304*1000</f>
        <v>167.11449126779118</v>
      </c>
      <c r="BE304" s="41">
        <f>AL304/'1. Väestöennuste'!H304*1000</f>
        <v>165.61377146985549</v>
      </c>
      <c r="BF304" s="41">
        <f>AM304/'1. Väestöennuste'!I304*1000</f>
        <v>170.36644775541399</v>
      </c>
      <c r="BG304" s="41">
        <f>AN304/'1. Väestöennuste'!J304*1000</f>
        <v>176.61134155117037</v>
      </c>
      <c r="BH304" s="41">
        <f>AO304/'1. Väestöennuste'!K304*1000</f>
        <v>180.78937925727331</v>
      </c>
      <c r="BI304" s="41">
        <f>AP304/'1. Väestöennuste'!L304*1000</f>
        <v>193.36262700787509</v>
      </c>
      <c r="BJ304" s="41">
        <f>AQ304/'1. Väestöennuste'!M304*1000</f>
        <v>247.67840646899933</v>
      </c>
      <c r="BK304" s="41">
        <f>AR304/'1. Väestöennuste'!N304*1000</f>
        <v>227.45156759353685</v>
      </c>
      <c r="BL304" s="41">
        <f>AS304/'1. Väestöennuste'!O304*1000</f>
        <v>243.26315843676463</v>
      </c>
      <c r="BM304" s="41">
        <f>AT304/'1. Väestöennuste'!P304*1000</f>
        <v>255.79612752184534</v>
      </c>
      <c r="BN304" s="41">
        <f>AU304/'1. Väestöennuste'!Q304*1000</f>
        <v>265.88301812700894</v>
      </c>
      <c r="BO304" s="41">
        <f>AV304/'1. Väestöennuste'!R304*1000</f>
        <v>277.04797882061729</v>
      </c>
    </row>
    <row r="305" spans="1:67" x14ac:dyDescent="0.25">
      <c r="A305" s="30">
        <v>981</v>
      </c>
      <c r="B305" s="47" t="s">
        <v>619</v>
      </c>
      <c r="C305" s="47">
        <v>21</v>
      </c>
      <c r="D305" s="47">
        <v>21</v>
      </c>
      <c r="E305" s="47">
        <v>21.5</v>
      </c>
      <c r="F305" s="47">
        <v>21.5</v>
      </c>
      <c r="G305" s="47">
        <v>21.5</v>
      </c>
      <c r="H305" s="58">
        <v>22</v>
      </c>
      <c r="I305" s="139">
        <v>22</v>
      </c>
      <c r="J305" s="139">
        <v>22</v>
      </c>
      <c r="K305" s="139">
        <f t="shared" si="19"/>
        <v>9.36</v>
      </c>
      <c r="L305" s="139">
        <v>9.3000000000000007</v>
      </c>
      <c r="M305" s="139">
        <f t="shared" ref="M305:M307" si="23">L305</f>
        <v>9.3000000000000007</v>
      </c>
      <c r="N305" s="147">
        <f t="shared" si="22"/>
        <v>9.3000000000000007</v>
      </c>
      <c r="O305" s="147">
        <f t="shared" si="21"/>
        <v>9.3000000000000007</v>
      </c>
      <c r="P305" s="147">
        <f t="shared" si="21"/>
        <v>9.3000000000000007</v>
      </c>
      <c r="Q305" s="147"/>
      <c r="S305" s="41">
        <f>'3. Verotulot'!D305*100/'Veroposentin tuotto'!C305</f>
        <v>31899.442809523811</v>
      </c>
      <c r="T305" s="41">
        <f>'3. Verotulot'!I305*100/'Veroposentin tuotto'!D305</f>
        <v>31261.904761904763</v>
      </c>
      <c r="U305" s="41">
        <f>'3. Verotulot'!N305*100/'Veroposentin tuotto'!E305</f>
        <v>33009.302325581397</v>
      </c>
      <c r="V305" s="41">
        <f>'3. Verotulot'!S305*100/'Veroposentin tuotto'!F305</f>
        <v>31841.860465116279</v>
      </c>
      <c r="W305" s="41">
        <f>'3. Verotulot'!X305*100/'Veroposentin tuotto'!G305</f>
        <v>33353.488372093023</v>
      </c>
      <c r="X305" s="41">
        <f>'3. Verotulot'!AC305*100/'Veroposentin tuotto'!H305</f>
        <v>34377.272727272728</v>
      </c>
      <c r="Y305" s="41">
        <f>'3. Verotulot'!AH305*100/'Veroposentin tuotto'!I305</f>
        <v>34477.882272727271</v>
      </c>
      <c r="Z305" s="41">
        <f>'3. Verotulot'!AM305*100/'Veroposentin tuotto'!J305</f>
        <v>37727.416818181817</v>
      </c>
      <c r="AA305" s="41">
        <f>'3. Verotulot'!AR305*100/'Veroposentin tuotto'!K305</f>
        <v>45750.274572649578</v>
      </c>
      <c r="AB305" s="41">
        <f>'3. Verotulot'!AW305*100/'Veroposentin tuotto'!L305</f>
        <v>43386.237934011551</v>
      </c>
      <c r="AC305" s="41">
        <f>'3. Verotulot'!BB305*100/'Veroposentin tuotto'!M305</f>
        <v>46110.166143832328</v>
      </c>
      <c r="AD305" s="41">
        <f>'3. Verotulot'!BG305*100/'Veroposentin tuotto'!N305</f>
        <v>48051.878678214132</v>
      </c>
      <c r="AE305" s="41">
        <f>'3. Verotulot'!BL305*100/'Veroposentin tuotto'!O305</f>
        <v>49545.741977133213</v>
      </c>
      <c r="AF305" s="41">
        <f>'3. Verotulot'!BQ305*100/'Veroposentin tuotto'!P305</f>
        <v>51400.966761979362</v>
      </c>
      <c r="AI305" s="41">
        <f>'3. Verotulot'!D305/'Veroposentin tuotto'!C305</f>
        <v>318.99442809523811</v>
      </c>
      <c r="AJ305" s="41">
        <f>'3. Verotulot'!I305/'Veroposentin tuotto'!D305</f>
        <v>312.61904761904759</v>
      </c>
      <c r="AK305" s="41">
        <f>'3. Verotulot'!N305/'Veroposentin tuotto'!E305</f>
        <v>330.09302325581393</v>
      </c>
      <c r="AL305" s="41">
        <f>'3. Verotulot'!S305/'Veroposentin tuotto'!F305</f>
        <v>318.41860465116281</v>
      </c>
      <c r="AM305" s="41">
        <f>'3. Verotulot'!X305/'Veroposentin tuotto'!G305</f>
        <v>333.53488372093022</v>
      </c>
      <c r="AN305" s="41">
        <f>'3. Verotulot'!AC305/'Veroposentin tuotto'!H305</f>
        <v>343.77272727272725</v>
      </c>
      <c r="AO305" s="41">
        <f>'3. Verotulot'!AH305/'Veroposentin tuotto'!I305</f>
        <v>344.77882272727271</v>
      </c>
      <c r="AP305" s="41">
        <f>'3. Verotulot'!AM305/'Veroposentin tuotto'!J305</f>
        <v>377.27416818181814</v>
      </c>
      <c r="AQ305" s="41">
        <f>'3. Verotulot'!AR305/'Veroposentin tuotto'!K305</f>
        <v>457.50274572649573</v>
      </c>
      <c r="AR305" s="41">
        <f>'3. Verotulot'!AW305/'Veroposentin tuotto'!L305</f>
        <v>433.86237934011547</v>
      </c>
      <c r="AS305" s="41">
        <f>'3. Verotulot'!BB305/'Veroposentin tuotto'!M305</f>
        <v>461.10166143832328</v>
      </c>
      <c r="AT305" s="41">
        <f>'3. Verotulot'!BG305/'Veroposentin tuotto'!N305</f>
        <v>480.51878678214126</v>
      </c>
      <c r="AU305" s="41">
        <f>'3. Verotulot'!BL305/'Veroposentin tuotto'!O305</f>
        <v>495.45741977133207</v>
      </c>
      <c r="AV305" s="41">
        <f>'3. Verotulot'!BQ305/'Veroposentin tuotto'!P305</f>
        <v>514.00966761979362</v>
      </c>
      <c r="AX305" s="146"/>
      <c r="AZ305" s="34">
        <v>981</v>
      </c>
      <c r="BA305" s="88" t="s">
        <v>619</v>
      </c>
      <c r="BB305" s="41">
        <f>AI305/'1. Väestöennuste'!E305*1000</f>
        <v>132.3079336769963</v>
      </c>
      <c r="BC305" s="41">
        <f>AJ305/'1. Väestöennuste'!F305*1000</f>
        <v>131.24225340850023</v>
      </c>
      <c r="BD305" s="41">
        <f>AK305/'1. Väestöennuste'!G305*1000</f>
        <v>139.16232009098394</v>
      </c>
      <c r="BE305" s="41">
        <f>AL305/'1. Väestöennuste'!H305*1000</f>
        <v>135.09486832887688</v>
      </c>
      <c r="BF305" s="41">
        <f>AM305/'1. Väestöennuste'!I305*1000</f>
        <v>142.35377026074698</v>
      </c>
      <c r="BG305" s="41">
        <f>AN305/'1. Väestöennuste'!J305*1000</f>
        <v>148.56211204525809</v>
      </c>
      <c r="BH305" s="41">
        <f>AO305/'1. Väestöennuste'!K305*1000</f>
        <v>151.08625009959366</v>
      </c>
      <c r="BI305" s="41">
        <f>AP305/'1. Väestöennuste'!L305*1000</f>
        <v>168.65184093957004</v>
      </c>
      <c r="BJ305" s="41">
        <f>AQ305/'1. Väestöennuste'!M305*1000</f>
        <v>207.29621464725679</v>
      </c>
      <c r="BK305" s="41">
        <f>AR305/'1. Väestöennuste'!N305*1000</f>
        <v>193.42950483286467</v>
      </c>
      <c r="BL305" s="41">
        <f>AS305/'1. Väestöennuste'!O305*1000</f>
        <v>207.14360352125934</v>
      </c>
      <c r="BM305" s="41">
        <f>AT305/'1. Väestöennuste'!P305*1000</f>
        <v>217.52774412953428</v>
      </c>
      <c r="BN305" s="41">
        <f>AU305/'1. Väestöennuste'!Q305*1000</f>
        <v>225.72092016917179</v>
      </c>
      <c r="BO305" s="41">
        <f>AV305/'1. Väestöennuste'!R305*1000</f>
        <v>235.78425120174018</v>
      </c>
    </row>
    <row r="306" spans="1:67" x14ac:dyDescent="0.25">
      <c r="A306" s="30">
        <v>989</v>
      </c>
      <c r="B306" s="47" t="s">
        <v>620</v>
      </c>
      <c r="C306" s="47">
        <v>21.25</v>
      </c>
      <c r="D306" s="47">
        <v>22</v>
      </c>
      <c r="E306" s="47">
        <v>22</v>
      </c>
      <c r="F306" s="47">
        <v>22</v>
      </c>
      <c r="G306" s="47">
        <v>22</v>
      </c>
      <c r="H306" s="58">
        <v>22</v>
      </c>
      <c r="I306" s="139">
        <v>22.499999999999996</v>
      </c>
      <c r="J306" s="139">
        <v>22.499999999999996</v>
      </c>
      <c r="K306" s="139">
        <f t="shared" si="19"/>
        <v>9.8599999999999959</v>
      </c>
      <c r="L306" s="139">
        <v>10.1</v>
      </c>
      <c r="M306" s="139">
        <f t="shared" si="23"/>
        <v>10.1</v>
      </c>
      <c r="N306" s="147">
        <f t="shared" si="22"/>
        <v>10.1</v>
      </c>
      <c r="O306" s="147">
        <f t="shared" si="21"/>
        <v>10.1</v>
      </c>
      <c r="P306" s="147">
        <f t="shared" si="21"/>
        <v>10.1</v>
      </c>
      <c r="Q306" s="147"/>
      <c r="S306" s="41">
        <f>'3. Verotulot'!D306*100/'Veroposentin tuotto'!C306</f>
        <v>82990.09374117649</v>
      </c>
      <c r="T306" s="41">
        <f>'3. Verotulot'!I306*100/'Veroposentin tuotto'!D306</f>
        <v>79368.181818181823</v>
      </c>
      <c r="U306" s="41">
        <f>'3. Verotulot'!N306*100/'Veroposentin tuotto'!E306</f>
        <v>80627.272727272721</v>
      </c>
      <c r="V306" s="41">
        <f>'3. Verotulot'!S306*100/'Veroposentin tuotto'!F306</f>
        <v>76790.909090909088</v>
      </c>
      <c r="W306" s="41">
        <f>'3. Verotulot'!X306*100/'Veroposentin tuotto'!G306</f>
        <v>76500</v>
      </c>
      <c r="X306" s="41">
        <f>'3. Verotulot'!AC306*100/'Veroposentin tuotto'!H306</f>
        <v>79181.818181818177</v>
      </c>
      <c r="Y306" s="41">
        <f>'3. Verotulot'!AH306*100/'Veroposentin tuotto'!I306</f>
        <v>79371.162133333346</v>
      </c>
      <c r="Z306" s="41">
        <f>'3. Verotulot'!AM306*100/'Veroposentin tuotto'!J306</f>
        <v>85248.266933333332</v>
      </c>
      <c r="AA306" s="41">
        <f>'3. Verotulot'!AR306*100/'Veroposentin tuotto'!K306</f>
        <v>95861.751318458453</v>
      </c>
      <c r="AB306" s="41">
        <f>'3. Verotulot'!AW306*100/'Veroposentin tuotto'!L306</f>
        <v>94288.919586358708</v>
      </c>
      <c r="AC306" s="41">
        <f>'3. Verotulot'!BB306*100/'Veroposentin tuotto'!M306</f>
        <v>98580.649553010066</v>
      </c>
      <c r="AD306" s="41">
        <f>'3. Verotulot'!BG306*100/'Veroposentin tuotto'!N306</f>
        <v>101420.208588914</v>
      </c>
      <c r="AE306" s="41">
        <f>'3. Verotulot'!BL306*100/'Veroposentin tuotto'!O306</f>
        <v>103336.11670261269</v>
      </c>
      <c r="AF306" s="41">
        <f>'3. Verotulot'!BQ306*100/'Veroposentin tuotto'!P306</f>
        <v>105634.92367904598</v>
      </c>
      <c r="AI306" s="41">
        <f>'3. Verotulot'!D306/'Veroposentin tuotto'!C306</f>
        <v>829.90093741176486</v>
      </c>
      <c r="AJ306" s="41">
        <f>'3. Verotulot'!I306/'Veroposentin tuotto'!D306</f>
        <v>793.68181818181813</v>
      </c>
      <c r="AK306" s="41">
        <f>'3. Verotulot'!N306/'Veroposentin tuotto'!E306</f>
        <v>806.27272727272725</v>
      </c>
      <c r="AL306" s="41">
        <f>'3. Verotulot'!S306/'Veroposentin tuotto'!F306</f>
        <v>767.90909090909088</v>
      </c>
      <c r="AM306" s="41">
        <f>'3. Verotulot'!X306/'Veroposentin tuotto'!G306</f>
        <v>765</v>
      </c>
      <c r="AN306" s="41">
        <f>'3. Verotulot'!AC306/'Veroposentin tuotto'!H306</f>
        <v>791.81818181818187</v>
      </c>
      <c r="AO306" s="41">
        <f>'3. Verotulot'!AH306/'Veroposentin tuotto'!I306</f>
        <v>793.71162133333348</v>
      </c>
      <c r="AP306" s="41">
        <f>'3. Verotulot'!AM306/'Veroposentin tuotto'!J306</f>
        <v>852.48266933333343</v>
      </c>
      <c r="AQ306" s="41">
        <f>'3. Verotulot'!AR306/'Veroposentin tuotto'!K306</f>
        <v>958.6175131845846</v>
      </c>
      <c r="AR306" s="41">
        <f>'3. Verotulot'!AW306/'Veroposentin tuotto'!L306</f>
        <v>942.88919586358702</v>
      </c>
      <c r="AS306" s="41">
        <f>'3. Verotulot'!BB306/'Veroposentin tuotto'!M306</f>
        <v>985.80649553010073</v>
      </c>
      <c r="AT306" s="41">
        <f>'3. Verotulot'!BG306/'Veroposentin tuotto'!N306</f>
        <v>1014.2020858891399</v>
      </c>
      <c r="AU306" s="41">
        <f>'3. Verotulot'!BL306/'Veroposentin tuotto'!O306</f>
        <v>1033.3611670261269</v>
      </c>
      <c r="AV306" s="41">
        <f>'3. Verotulot'!BQ306/'Veroposentin tuotto'!P306</f>
        <v>1056.3492367904601</v>
      </c>
      <c r="AX306" s="146"/>
      <c r="AZ306" s="34">
        <v>989</v>
      </c>
      <c r="BA306" s="88" t="s">
        <v>620</v>
      </c>
      <c r="BB306" s="41">
        <f>AI306/'1. Väestöennuste'!E306*1000</f>
        <v>136.76679917794411</v>
      </c>
      <c r="BC306" s="41">
        <f>AJ306/'1. Väestöennuste'!F306*1000</f>
        <v>132.6118326118326</v>
      </c>
      <c r="BD306" s="41">
        <f>AK306/'1. Väestöennuste'!G306*1000</f>
        <v>136.51756303297108</v>
      </c>
      <c r="BE306" s="41">
        <f>AL306/'1. Väestöennuste'!H306*1000</f>
        <v>134.65002470788897</v>
      </c>
      <c r="BF306" s="41">
        <f>AM306/'1. Väestöennuste'!I306*1000</f>
        <v>136.2179487179487</v>
      </c>
      <c r="BG306" s="41">
        <f>AN306/'1. Väestöennuste'!J306*1000</f>
        <v>143.39336867406408</v>
      </c>
      <c r="BH306" s="41">
        <f>AO306/'1. Väestöennuste'!K306*1000</f>
        <v>144.73224313153418</v>
      </c>
      <c r="BI306" s="41">
        <f>AP306/'1. Väestöennuste'!L306*1000</f>
        <v>157.69194771241831</v>
      </c>
      <c r="BJ306" s="41">
        <f>AQ306/'1. Väestöennuste'!M306*1000</f>
        <v>180.32684597151706</v>
      </c>
      <c r="BK306" s="41">
        <f>AR306/'1. Väestöennuste'!N306*1000</f>
        <v>182.55357131918433</v>
      </c>
      <c r="BL306" s="41">
        <f>AS306/'1. Väestöennuste'!O306*1000</f>
        <v>193.78936416947136</v>
      </c>
      <c r="BM306" s="41">
        <f>AT306/'1. Väestöennuste'!P306*1000</f>
        <v>202.43554608565668</v>
      </c>
      <c r="BN306" s="41">
        <f>AU306/'1. Väestöennuste'!Q306*1000</f>
        <v>209.43679915405895</v>
      </c>
      <c r="BO306" s="41">
        <f>AV306/'1. Väestöennuste'!R306*1000</f>
        <v>217.22172255612998</v>
      </c>
    </row>
    <row r="307" spans="1:67" x14ac:dyDescent="0.25">
      <c r="A307" s="30">
        <v>992</v>
      </c>
      <c r="B307" s="48" t="s">
        <v>621</v>
      </c>
      <c r="C307" s="48">
        <v>21.5</v>
      </c>
      <c r="D307" s="48">
        <v>21.5</v>
      </c>
      <c r="E307" s="48">
        <v>21.5</v>
      </c>
      <c r="F307" s="48">
        <v>21.5</v>
      </c>
      <c r="G307" s="48">
        <v>21.5</v>
      </c>
      <c r="H307" s="58">
        <v>21.5</v>
      </c>
      <c r="I307" s="139">
        <v>21.5</v>
      </c>
      <c r="J307" s="139">
        <v>21.5</v>
      </c>
      <c r="K307" s="139">
        <f t="shared" si="19"/>
        <v>8.86</v>
      </c>
      <c r="L307" s="139">
        <v>9.4</v>
      </c>
      <c r="M307" s="139">
        <f t="shared" si="23"/>
        <v>9.4</v>
      </c>
      <c r="N307" s="147">
        <f t="shared" si="22"/>
        <v>9.4</v>
      </c>
      <c r="O307" s="147">
        <f t="shared" si="21"/>
        <v>9.4</v>
      </c>
      <c r="P307" s="147">
        <f t="shared" si="21"/>
        <v>9.4</v>
      </c>
      <c r="Q307" s="147"/>
      <c r="S307" s="41">
        <f>'3. Verotulot'!D307*100/'Veroposentin tuotto'!C307</f>
        <v>288935.98716279073</v>
      </c>
      <c r="T307" s="41">
        <f>'3. Verotulot'!I307*100/'Veroposentin tuotto'!D307</f>
        <v>293562.79069767444</v>
      </c>
      <c r="U307" s="41">
        <f>'3. Verotulot'!N307*100/'Veroposentin tuotto'!E307</f>
        <v>292948.83720930235</v>
      </c>
      <c r="V307" s="41">
        <f>'3. Verotulot'!S307*100/'Veroposentin tuotto'!F307</f>
        <v>284055.81395348837</v>
      </c>
      <c r="W307" s="41">
        <f>'3. Verotulot'!X307*100/'Veroposentin tuotto'!G307</f>
        <v>281172.09302325582</v>
      </c>
      <c r="X307" s="41">
        <f>'3. Verotulot'!AC307*100/'Veroposentin tuotto'!H307</f>
        <v>285730.23255813954</v>
      </c>
      <c r="Y307" s="41">
        <f>'3. Verotulot'!AH307*100/'Veroposentin tuotto'!I307</f>
        <v>297648.7213953489</v>
      </c>
      <c r="Z307" s="41">
        <f>'3. Verotulot'!AM307*100/'Veroposentin tuotto'!J307</f>
        <v>299286.24186046515</v>
      </c>
      <c r="AA307" s="41">
        <f>'3. Verotulot'!AR307*100/'Veroposentin tuotto'!K307</f>
        <v>374261.10417607223</v>
      </c>
      <c r="AB307" s="41">
        <f>'3. Verotulot'!AW307*100/'Veroposentin tuotto'!L307</f>
        <v>349429.92617003439</v>
      </c>
      <c r="AC307" s="41">
        <f>'3. Verotulot'!BB307*100/'Veroposentin tuotto'!M307</f>
        <v>367765.08974313369</v>
      </c>
      <c r="AD307" s="41">
        <f>'3. Verotulot'!BG307*100/'Veroposentin tuotto'!N307</f>
        <v>380560.47784586903</v>
      </c>
      <c r="AE307" s="41">
        <f>'3. Verotulot'!BL307*100/'Veroposentin tuotto'!O307</f>
        <v>391082.23150707077</v>
      </c>
      <c r="AF307" s="41">
        <f>'3. Verotulot'!BQ307*100/'Veroposentin tuotto'!P307</f>
        <v>403078.49111277406</v>
      </c>
      <c r="AI307" s="41">
        <f>'3. Verotulot'!D307/'Veroposentin tuotto'!C307</f>
        <v>2889.3598716279071</v>
      </c>
      <c r="AJ307" s="41">
        <f>'3. Verotulot'!I307/'Veroposentin tuotto'!D307</f>
        <v>2935.6279069767443</v>
      </c>
      <c r="AK307" s="41">
        <f>'3. Verotulot'!N307/'Veroposentin tuotto'!E307</f>
        <v>2929.4883720930234</v>
      </c>
      <c r="AL307" s="41">
        <f>'3. Verotulot'!S307/'Veroposentin tuotto'!F307</f>
        <v>2840.5581395348836</v>
      </c>
      <c r="AM307" s="41">
        <f>'3. Verotulot'!X307/'Veroposentin tuotto'!G307</f>
        <v>2811.7209302325582</v>
      </c>
      <c r="AN307" s="41">
        <f>'3. Verotulot'!AC307/'Veroposentin tuotto'!H307</f>
        <v>2857.3023255813955</v>
      </c>
      <c r="AO307" s="41">
        <f>'3. Verotulot'!AH307/'Veroposentin tuotto'!I307</f>
        <v>2976.4872139534887</v>
      </c>
      <c r="AP307" s="41">
        <f>'3. Verotulot'!AM307/'Veroposentin tuotto'!J307</f>
        <v>2992.8624186046513</v>
      </c>
      <c r="AQ307" s="41">
        <f>'3. Verotulot'!AR307/'Veroposentin tuotto'!K307</f>
        <v>3742.6110417607224</v>
      </c>
      <c r="AR307" s="41">
        <f>'3. Verotulot'!AW307/'Veroposentin tuotto'!L307</f>
        <v>3494.2992617003442</v>
      </c>
      <c r="AS307" s="41">
        <f>'3. Verotulot'!BB307/'Veroposentin tuotto'!M307</f>
        <v>3677.6508974313369</v>
      </c>
      <c r="AT307" s="41">
        <f>'3. Verotulot'!BG307/'Veroposentin tuotto'!N307</f>
        <v>3805.6047784586899</v>
      </c>
      <c r="AU307" s="41">
        <f>'3. Verotulot'!BL307/'Veroposentin tuotto'!O307</f>
        <v>3910.8223150707076</v>
      </c>
      <c r="AV307" s="41">
        <f>'3. Verotulot'!BQ307/'Veroposentin tuotto'!P307</f>
        <v>4030.7849111277405</v>
      </c>
      <c r="AX307" s="146"/>
      <c r="AZ307" s="34">
        <v>992</v>
      </c>
      <c r="BA307" s="88" t="s">
        <v>621</v>
      </c>
      <c r="BB307" s="41">
        <f>AI307/'1. Väestöennuste'!E307*1000</f>
        <v>147.07115298930606</v>
      </c>
      <c r="BC307" s="41">
        <f>AJ307/'1. Väestöennuste'!F307*1000</f>
        <v>151.52409966846</v>
      </c>
      <c r="BD307" s="41">
        <f>AK307/'1. Väestöennuste'!G307*1000</f>
        <v>153.02383890999911</v>
      </c>
      <c r="BE307" s="41">
        <f>AL307/'1. Väestöennuste'!H307*1000</f>
        <v>150.68474561216294</v>
      </c>
      <c r="BF307" s="41">
        <f>AM307/'1. Väestöennuste'!I307*1000</f>
        <v>149.83857874940358</v>
      </c>
      <c r="BG307" s="41">
        <f>AN307/'1. Väestöennuste'!J307*1000</f>
        <v>153.80859802882034</v>
      </c>
      <c r="BH307" s="41">
        <f>AO307/'1. Väestöennuste'!K307*1000</f>
        <v>162.48974855079641</v>
      </c>
      <c r="BI307" s="41">
        <f>AP307/'1. Väestöennuste'!L307*1000</f>
        <v>165.16900764926331</v>
      </c>
      <c r="BJ307" s="41">
        <f>AQ307/'1. Väestöennuste'!M307*1000</f>
        <v>208.25836301601035</v>
      </c>
      <c r="BK307" s="41">
        <f>AR307/'1. Väestöennuste'!N307*1000</f>
        <v>196.61823439682334</v>
      </c>
      <c r="BL307" s="41">
        <f>AS307/'1. Väestöennuste'!O307*1000</f>
        <v>209.21896105537243</v>
      </c>
      <c r="BM307" s="41">
        <f>AT307/'1. Väestöennuste'!P307*1000</f>
        <v>218.83868766294938</v>
      </c>
      <c r="BN307" s="41">
        <f>AU307/'1. Väestöennuste'!Q307*1000</f>
        <v>227.2808923734938</v>
      </c>
      <c r="BO307" s="41">
        <f>AV307/'1. Väestöennuste'!R307*1000</f>
        <v>236.67341384109801</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P314"/>
  <sheetViews>
    <sheetView workbookViewId="0">
      <selection activeCell="R200" sqref="R200"/>
    </sheetView>
  </sheetViews>
  <sheetFormatPr defaultColWidth="9.140625" defaultRowHeight="11.25" x14ac:dyDescent="0.2"/>
  <cols>
    <col min="1" max="1" width="9.140625" style="41"/>
    <col min="2" max="2" width="27.28515625" style="41" bestFit="1" customWidth="1"/>
    <col min="3" max="3" width="17.28515625" style="41" hidden="1" customWidth="1"/>
    <col min="4" max="16" width="9.140625" style="41"/>
    <col min="17" max="16384" width="9.140625" style="4"/>
  </cols>
  <sheetData>
    <row r="1" spans="1:16" x14ac:dyDescent="0.2">
      <c r="A1" s="43"/>
      <c r="B1" s="4" t="s">
        <v>706</v>
      </c>
      <c r="C1" s="398">
        <f t="shared" ref="C1:M1" si="0">COUNTIF(C22:C314,"&gt;3")</f>
        <v>0</v>
      </c>
      <c r="D1" s="398">
        <f t="shared" si="0"/>
        <v>42</v>
      </c>
      <c r="E1" s="398">
        <f t="shared" si="0"/>
        <v>22</v>
      </c>
      <c r="F1" s="398">
        <f t="shared" si="0"/>
        <v>79</v>
      </c>
      <c r="G1" s="398">
        <f t="shared" si="0"/>
        <v>91</v>
      </c>
      <c r="H1" s="398">
        <f t="shared" si="0"/>
        <v>30</v>
      </c>
      <c r="I1" s="398">
        <f t="shared" si="0"/>
        <v>30</v>
      </c>
      <c r="J1" s="398">
        <f t="shared" si="0"/>
        <v>37</v>
      </c>
      <c r="K1" s="398">
        <f t="shared" si="0"/>
        <v>25</v>
      </c>
      <c r="L1" s="398">
        <f t="shared" si="0"/>
        <v>25</v>
      </c>
      <c r="M1" s="398">
        <f t="shared" si="0"/>
        <v>60</v>
      </c>
      <c r="N1" s="396">
        <f>COUNTIF(N22:N314,"&gt;3")</f>
        <v>58</v>
      </c>
      <c r="O1" s="396">
        <f>COUNTIF(O22:O314,"&gt;3")</f>
        <v>64</v>
      </c>
      <c r="P1" s="396">
        <f>COUNTIF(P22:P314,"&gt;3")</f>
        <v>57</v>
      </c>
    </row>
    <row r="2" spans="1:16" x14ac:dyDescent="0.2">
      <c r="A2" s="43"/>
      <c r="B2" s="4" t="s">
        <v>711</v>
      </c>
      <c r="C2" s="398">
        <f t="shared" ref="C2:M2" si="1">COUNTIF(C22:C314,"&gt;2")-COUNTIF(C22:C314,"&gt;3")</f>
        <v>0</v>
      </c>
      <c r="D2" s="398">
        <f t="shared" si="1"/>
        <v>21</v>
      </c>
      <c r="E2" s="398">
        <f t="shared" si="1"/>
        <v>20</v>
      </c>
      <c r="F2" s="398">
        <f t="shared" si="1"/>
        <v>45</v>
      </c>
      <c r="G2" s="398">
        <f t="shared" si="1"/>
        <v>31</v>
      </c>
      <c r="H2" s="398">
        <f t="shared" si="1"/>
        <v>11</v>
      </c>
      <c r="I2" s="398">
        <f t="shared" si="1"/>
        <v>14</v>
      </c>
      <c r="J2" s="398">
        <f t="shared" si="1"/>
        <v>23</v>
      </c>
      <c r="K2" s="398">
        <f t="shared" si="1"/>
        <v>16</v>
      </c>
      <c r="L2" s="398">
        <f t="shared" si="1"/>
        <v>34</v>
      </c>
      <c r="M2" s="398">
        <f t="shared" si="1"/>
        <v>43</v>
      </c>
      <c r="N2" s="396">
        <f>COUNTIF(N22:N314,"&gt;2")-COUNTIF(N22:N314,"&gt;3")</f>
        <v>52</v>
      </c>
      <c r="O2" s="396">
        <f>COUNTIF(O22:O314,"&gt;2")-COUNTIF(O22:O314,"&gt;3")</f>
        <v>56</v>
      </c>
      <c r="P2" s="396">
        <f>COUNTIF(P22:P314,"&gt;2")-COUNTIF(P22:P314,"&gt;3")</f>
        <v>34</v>
      </c>
    </row>
    <row r="3" spans="1:16" x14ac:dyDescent="0.2">
      <c r="A3" s="43"/>
      <c r="B3" s="4" t="s">
        <v>712</v>
      </c>
      <c r="C3" s="398">
        <f t="shared" ref="C3:M3" si="2">COUNTIF(C22:C314,"&gt;1")-COUNTIF(C22:C314,"&gt;2")</f>
        <v>0</v>
      </c>
      <c r="D3" s="398">
        <f t="shared" si="2"/>
        <v>28</v>
      </c>
      <c r="E3" s="398">
        <f t="shared" si="2"/>
        <v>28</v>
      </c>
      <c r="F3" s="398">
        <f t="shared" si="2"/>
        <v>40</v>
      </c>
      <c r="G3" s="398">
        <f t="shared" si="2"/>
        <v>59</v>
      </c>
      <c r="H3" s="398">
        <f t="shared" si="2"/>
        <v>18</v>
      </c>
      <c r="I3" s="398">
        <f t="shared" si="2"/>
        <v>22</v>
      </c>
      <c r="J3" s="398">
        <f t="shared" si="2"/>
        <v>26</v>
      </c>
      <c r="K3" s="398">
        <f t="shared" si="2"/>
        <v>21</v>
      </c>
      <c r="L3" s="398">
        <f t="shared" si="2"/>
        <v>74</v>
      </c>
      <c r="M3" s="398">
        <f t="shared" si="2"/>
        <v>90</v>
      </c>
      <c r="N3" s="396">
        <f>COUNTIF(N22:N314,"&gt;1")-COUNTIF(N22:N314,"&gt;2")</f>
        <v>92</v>
      </c>
      <c r="O3" s="396">
        <f>COUNTIF(O22:O314,"&gt;1")-COUNTIF(O22:O314,"&gt;2")</f>
        <v>86</v>
      </c>
      <c r="P3" s="396">
        <f>COUNTIF(P22:P314,"&gt;1")-COUNTIF(P22:P314,"&gt;2")</f>
        <v>87</v>
      </c>
    </row>
    <row r="4" spans="1:16" x14ac:dyDescent="0.2">
      <c r="A4" s="43"/>
      <c r="B4" s="4" t="s">
        <v>713</v>
      </c>
      <c r="C4" s="398">
        <f t="shared" ref="C4:M4" si="3">COUNTIF(C22:C314,"&gt;0")-COUNTIF(C22:C314,"&gt;1")</f>
        <v>0</v>
      </c>
      <c r="D4" s="398">
        <f t="shared" si="3"/>
        <v>52</v>
      </c>
      <c r="E4" s="398">
        <f t="shared" si="3"/>
        <v>51</v>
      </c>
      <c r="F4" s="398">
        <f t="shared" si="3"/>
        <v>36</v>
      </c>
      <c r="G4" s="398">
        <f t="shared" si="3"/>
        <v>39</v>
      </c>
      <c r="H4" s="398">
        <f t="shared" si="3"/>
        <v>42</v>
      </c>
      <c r="I4" s="398">
        <f t="shared" si="3"/>
        <v>31</v>
      </c>
      <c r="J4" s="398">
        <f t="shared" si="3"/>
        <v>53</v>
      </c>
      <c r="K4" s="398">
        <f t="shared" si="3"/>
        <v>38</v>
      </c>
      <c r="L4" s="398">
        <f t="shared" si="3"/>
        <v>79</v>
      </c>
      <c r="M4" s="398">
        <f t="shared" si="3"/>
        <v>55</v>
      </c>
      <c r="N4" s="396">
        <f>COUNTIF(N22:N314,"&gt;0")-COUNTIF(N22:N314,"&gt;1")</f>
        <v>52</v>
      </c>
      <c r="O4" s="396">
        <f>COUNTIF(O22:O314,"&gt;0")-COUNTIF(O22:O314,"&gt;1")</f>
        <v>51</v>
      </c>
      <c r="P4" s="396">
        <f>COUNTIF(P22:P314,"&gt;0")-COUNTIF(P22:P314,"&gt;1")</f>
        <v>65</v>
      </c>
    </row>
    <row r="5" spans="1:16" x14ac:dyDescent="0.2">
      <c r="A5" s="43"/>
      <c r="B5" s="154" t="s">
        <v>714</v>
      </c>
      <c r="C5" s="399">
        <f>SUM(C1:C4)</f>
        <v>0</v>
      </c>
      <c r="D5" s="399">
        <f t="shared" ref="D5:L5" si="4">SUM(D1:D4)</f>
        <v>143</v>
      </c>
      <c r="E5" s="399">
        <f t="shared" si="4"/>
        <v>121</v>
      </c>
      <c r="F5" s="399">
        <f t="shared" si="4"/>
        <v>200</v>
      </c>
      <c r="G5" s="399">
        <f t="shared" si="4"/>
        <v>220</v>
      </c>
      <c r="H5" s="399">
        <f t="shared" si="4"/>
        <v>101</v>
      </c>
      <c r="I5" s="399">
        <f t="shared" si="4"/>
        <v>97</v>
      </c>
      <c r="J5" s="399">
        <f t="shared" si="4"/>
        <v>139</v>
      </c>
      <c r="K5" s="399">
        <f t="shared" si="4"/>
        <v>100</v>
      </c>
      <c r="L5" s="399">
        <f t="shared" si="4"/>
        <v>212</v>
      </c>
      <c r="M5" s="399">
        <f>SUM(M1:M4)</f>
        <v>248</v>
      </c>
      <c r="N5" s="397">
        <f>SUM(N1:N4)</f>
        <v>254</v>
      </c>
      <c r="O5" s="397">
        <f>SUM(O1:O4)</f>
        <v>257</v>
      </c>
      <c r="P5" s="397">
        <f>SUM(P1:P4)</f>
        <v>243</v>
      </c>
    </row>
    <row r="6" spans="1:16" x14ac:dyDescent="0.2">
      <c r="A6" s="43"/>
      <c r="B6" s="43"/>
      <c r="C6" s="25"/>
      <c r="D6" s="25"/>
      <c r="E6" s="25"/>
      <c r="F6" s="25"/>
      <c r="G6" s="25"/>
      <c r="H6" s="25"/>
      <c r="I6" s="25"/>
      <c r="J6" s="25"/>
      <c r="K6" s="25"/>
      <c r="L6" s="25"/>
      <c r="M6" s="25"/>
      <c r="N6" s="25"/>
      <c r="O6" s="25"/>
      <c r="P6" s="25"/>
    </row>
    <row r="7" spans="1:16" x14ac:dyDescent="0.2">
      <c r="A7" s="43"/>
      <c r="B7" s="4" t="s">
        <v>707</v>
      </c>
      <c r="C7" s="400">
        <f t="shared" ref="C7:M7" si="5">COUNTIF(C22:C314,"&lt;0")-COUNTIF(C22:C314,"&lt;-1")</f>
        <v>0</v>
      </c>
      <c r="D7" s="400">
        <f t="shared" si="5"/>
        <v>59</v>
      </c>
      <c r="E7" s="400">
        <f t="shared" si="5"/>
        <v>56</v>
      </c>
      <c r="F7" s="400">
        <f t="shared" si="5"/>
        <v>37</v>
      </c>
      <c r="G7" s="400">
        <f t="shared" si="5"/>
        <v>23</v>
      </c>
      <c r="H7" s="400">
        <f t="shared" si="5"/>
        <v>36</v>
      </c>
      <c r="I7" s="400">
        <f t="shared" si="5"/>
        <v>54</v>
      </c>
      <c r="J7" s="400">
        <f t="shared" si="5"/>
        <v>47</v>
      </c>
      <c r="K7" s="400">
        <f t="shared" si="5"/>
        <v>58</v>
      </c>
      <c r="L7" s="400">
        <f t="shared" si="5"/>
        <v>48</v>
      </c>
      <c r="M7" s="400">
        <f t="shared" si="5"/>
        <v>26</v>
      </c>
      <c r="N7" s="400">
        <f>COUNTIF(N22:N314,"&lt;0")-COUNTIF(N22:N314,"&lt;-1")</f>
        <v>26</v>
      </c>
      <c r="O7" s="400">
        <f>COUNTIF(O22:O314,"&lt;0")-COUNTIF(O22:O314,"&lt;-1")</f>
        <v>24</v>
      </c>
      <c r="P7" s="400">
        <f>COUNTIF(P22:P314,"&lt;0")-COUNTIF(P22:P314,"&lt;-1")</f>
        <v>28</v>
      </c>
    </row>
    <row r="8" spans="1:16" x14ac:dyDescent="0.2">
      <c r="A8" s="43"/>
      <c r="B8" s="4" t="s">
        <v>708</v>
      </c>
      <c r="C8" s="400">
        <f t="shared" ref="C8:M8" si="6">COUNTIF(C22:C314,"&lt;-1")-COUNTIF(C22:C314,"&lt;-2")</f>
        <v>0</v>
      </c>
      <c r="D8" s="400">
        <f t="shared" si="6"/>
        <v>40</v>
      </c>
      <c r="E8" s="400">
        <f t="shared" si="6"/>
        <v>39</v>
      </c>
      <c r="F8" s="400">
        <f t="shared" si="6"/>
        <v>25</v>
      </c>
      <c r="G8" s="400">
        <f t="shared" si="6"/>
        <v>20</v>
      </c>
      <c r="H8" s="400">
        <f t="shared" si="6"/>
        <v>40</v>
      </c>
      <c r="I8" s="400">
        <f t="shared" si="6"/>
        <v>41</v>
      </c>
      <c r="J8" s="400">
        <f t="shared" si="6"/>
        <v>39</v>
      </c>
      <c r="K8" s="400">
        <f t="shared" si="6"/>
        <v>56</v>
      </c>
      <c r="L8" s="400">
        <f t="shared" si="6"/>
        <v>16</v>
      </c>
      <c r="M8" s="400">
        <f t="shared" si="6"/>
        <v>11</v>
      </c>
      <c r="N8" s="400">
        <f>COUNTIF(N22:N314,"&lt;-1")-COUNTIF(N22:N314,"&lt;-2")</f>
        <v>7</v>
      </c>
      <c r="O8" s="400">
        <f>COUNTIF(O22:O314,"&lt;-1")-COUNTIF(O22:O314,"&lt;-2")</f>
        <v>6</v>
      </c>
      <c r="P8" s="400">
        <f>COUNTIF(P22:P314,"&lt;-1")-COUNTIF(P22:P314,"&lt;-2")</f>
        <v>14</v>
      </c>
    </row>
    <row r="9" spans="1:16" x14ac:dyDescent="0.2">
      <c r="A9" s="43"/>
      <c r="B9" s="4" t="s">
        <v>709</v>
      </c>
      <c r="C9" s="400">
        <f t="shared" ref="C9:M9" si="7">COUNTIF(C22:C314,"&lt;-2")-COUNTIF(C22:C314,"&lt;-3")</f>
        <v>0</v>
      </c>
      <c r="D9" s="400">
        <f t="shared" si="7"/>
        <v>21</v>
      </c>
      <c r="E9" s="400">
        <f t="shared" si="7"/>
        <v>35</v>
      </c>
      <c r="F9" s="400">
        <f t="shared" si="7"/>
        <v>17</v>
      </c>
      <c r="G9" s="400">
        <f t="shared" si="7"/>
        <v>9</v>
      </c>
      <c r="H9" s="400">
        <f t="shared" si="7"/>
        <v>37</v>
      </c>
      <c r="I9" s="400">
        <f t="shared" si="7"/>
        <v>45</v>
      </c>
      <c r="J9" s="400">
        <f t="shared" si="7"/>
        <v>21</v>
      </c>
      <c r="K9" s="400">
        <f t="shared" si="7"/>
        <v>41</v>
      </c>
      <c r="L9" s="400">
        <f t="shared" si="7"/>
        <v>13</v>
      </c>
      <c r="M9" s="400">
        <f t="shared" si="7"/>
        <v>3</v>
      </c>
      <c r="N9" s="400">
        <f>COUNTIF(N22:N314,"&lt;-2")-COUNTIF(N22:N314,"&lt;-3")</f>
        <v>2</v>
      </c>
      <c r="O9" s="400">
        <f>COUNTIF(O22:O314,"&lt;-2")-COUNTIF(O22:O314,"&lt;-3")</f>
        <v>2</v>
      </c>
      <c r="P9" s="400">
        <f>COUNTIF(P22:P314,"&lt;-2")-COUNTIF(P22:P314,"&lt;-3")</f>
        <v>4</v>
      </c>
    </row>
    <row r="10" spans="1:16" x14ac:dyDescent="0.2">
      <c r="A10" s="43"/>
      <c r="B10" s="4" t="s">
        <v>710</v>
      </c>
      <c r="C10" s="400">
        <f t="shared" ref="C10:M10" si="8">COUNTIF(C22:C314,"&lt;-3")</f>
        <v>0</v>
      </c>
      <c r="D10" s="400">
        <f t="shared" si="8"/>
        <v>30</v>
      </c>
      <c r="E10" s="400">
        <f t="shared" si="8"/>
        <v>42</v>
      </c>
      <c r="F10" s="400">
        <f t="shared" si="8"/>
        <v>14</v>
      </c>
      <c r="G10" s="400">
        <f t="shared" si="8"/>
        <v>21</v>
      </c>
      <c r="H10" s="400">
        <f t="shared" si="8"/>
        <v>79</v>
      </c>
      <c r="I10" s="400">
        <f t="shared" si="8"/>
        <v>56</v>
      </c>
      <c r="J10" s="400">
        <f t="shared" si="8"/>
        <v>47</v>
      </c>
      <c r="K10" s="400">
        <f t="shared" si="8"/>
        <v>38</v>
      </c>
      <c r="L10" s="400">
        <f t="shared" si="8"/>
        <v>4</v>
      </c>
      <c r="M10" s="400">
        <f t="shared" si="8"/>
        <v>4</v>
      </c>
      <c r="N10" s="400">
        <f>COUNTIF(N22:N314,"&lt;-3")</f>
        <v>3</v>
      </c>
      <c r="O10" s="400">
        <f>COUNTIF(O22:O314,"&lt;-3")</f>
        <v>3</v>
      </c>
      <c r="P10" s="400">
        <f>COUNTIF(P22:P314,"&lt;-3")</f>
        <v>3</v>
      </c>
    </row>
    <row r="11" spans="1:16" x14ac:dyDescent="0.2">
      <c r="A11" s="43"/>
      <c r="B11" s="154" t="s">
        <v>715</v>
      </c>
      <c r="C11" s="401">
        <f>SUM(C7:C10)</f>
        <v>0</v>
      </c>
      <c r="D11" s="401">
        <f t="shared" ref="D11:L11" si="9">SUM(D7:D10)</f>
        <v>150</v>
      </c>
      <c r="E11" s="401">
        <f t="shared" si="9"/>
        <v>172</v>
      </c>
      <c r="F11" s="401">
        <f t="shared" si="9"/>
        <v>93</v>
      </c>
      <c r="G11" s="401">
        <f t="shared" si="9"/>
        <v>73</v>
      </c>
      <c r="H11" s="401">
        <f t="shared" si="9"/>
        <v>192</v>
      </c>
      <c r="I11" s="401">
        <f t="shared" si="9"/>
        <v>196</v>
      </c>
      <c r="J11" s="401">
        <f t="shared" si="9"/>
        <v>154</v>
      </c>
      <c r="K11" s="401">
        <f t="shared" si="9"/>
        <v>193</v>
      </c>
      <c r="L11" s="401">
        <f t="shared" si="9"/>
        <v>81</v>
      </c>
      <c r="M11" s="401">
        <f>SUM(M7:M10)</f>
        <v>44</v>
      </c>
      <c r="N11" s="401">
        <f>SUM(N7:N10)</f>
        <v>38</v>
      </c>
      <c r="O11" s="401">
        <f>SUM(O7:O10)</f>
        <v>35</v>
      </c>
      <c r="P11" s="401">
        <f>SUM(P7:P10)</f>
        <v>49</v>
      </c>
    </row>
    <row r="12" spans="1:16" x14ac:dyDescent="0.2">
      <c r="A12" s="43"/>
      <c r="B12" s="43"/>
      <c r="C12" s="4"/>
      <c r="D12" s="4"/>
      <c r="E12" s="4"/>
      <c r="F12" s="4"/>
      <c r="G12" s="4"/>
      <c r="H12" s="4"/>
      <c r="I12" s="4"/>
      <c r="J12" s="4"/>
      <c r="K12" s="4"/>
      <c r="L12" s="4"/>
      <c r="M12" s="4"/>
      <c r="N12" s="4"/>
      <c r="O12" s="4"/>
      <c r="P12" s="4"/>
    </row>
    <row r="13" spans="1:16" x14ac:dyDescent="0.2">
      <c r="A13" s="43"/>
      <c r="B13" s="43" t="s">
        <v>695</v>
      </c>
      <c r="C13" s="4">
        <f t="shared" ref="C13:L13" si="10">C11+C5</f>
        <v>0</v>
      </c>
      <c r="D13" s="4">
        <f t="shared" si="10"/>
        <v>293</v>
      </c>
      <c r="E13" s="4">
        <f t="shared" si="10"/>
        <v>293</v>
      </c>
      <c r="F13" s="4">
        <f t="shared" si="10"/>
        <v>293</v>
      </c>
      <c r="G13" s="4">
        <f t="shared" si="10"/>
        <v>293</v>
      </c>
      <c r="H13" s="4">
        <f t="shared" si="10"/>
        <v>293</v>
      </c>
      <c r="I13" s="4">
        <f t="shared" si="10"/>
        <v>293</v>
      </c>
      <c r="J13" s="4">
        <f t="shared" si="10"/>
        <v>293</v>
      </c>
      <c r="K13" s="4">
        <f t="shared" si="10"/>
        <v>293</v>
      </c>
      <c r="L13" s="4">
        <f t="shared" si="10"/>
        <v>293</v>
      </c>
      <c r="M13" s="4">
        <f>M11+M5</f>
        <v>292</v>
      </c>
      <c r="N13" s="4">
        <f>N11+N5</f>
        <v>292</v>
      </c>
      <c r="O13" s="4">
        <f>O11+O5</f>
        <v>292</v>
      </c>
      <c r="P13" s="4">
        <f>P11+P5</f>
        <v>292</v>
      </c>
    </row>
    <row r="14" spans="1:16" x14ac:dyDescent="0.2">
      <c r="A14" s="43"/>
      <c r="B14" s="43"/>
      <c r="C14" s="4"/>
      <c r="D14" s="4"/>
      <c r="E14" s="4"/>
      <c r="F14" s="4"/>
      <c r="G14" s="4"/>
      <c r="H14" s="4"/>
      <c r="I14" s="4"/>
      <c r="J14" s="148"/>
      <c r="K14" s="4"/>
      <c r="L14" s="4"/>
      <c r="M14" s="4"/>
      <c r="N14" s="4"/>
      <c r="O14" s="4"/>
      <c r="P14" s="4"/>
    </row>
    <row r="15" spans="1:16" x14ac:dyDescent="0.2">
      <c r="A15" s="43" t="s">
        <v>622</v>
      </c>
      <c r="B15" s="43"/>
      <c r="C15" s="4"/>
      <c r="D15" s="4"/>
      <c r="E15" s="4"/>
      <c r="F15" s="4"/>
      <c r="G15" s="4"/>
      <c r="H15" s="4"/>
      <c r="I15" s="4"/>
      <c r="J15" s="4"/>
      <c r="K15" s="4"/>
      <c r="L15" s="4"/>
      <c r="M15" s="4"/>
      <c r="N15" s="4"/>
      <c r="O15" s="4"/>
      <c r="P15" s="4"/>
    </row>
    <row r="16" spans="1:16" s="120" customFormat="1" x14ac:dyDescent="0.2">
      <c r="A16" s="116" t="s">
        <v>311</v>
      </c>
      <c r="B16" s="116"/>
      <c r="C16" s="108">
        <v>2015</v>
      </c>
      <c r="D16" s="108">
        <v>2016</v>
      </c>
      <c r="E16" s="108">
        <v>2017</v>
      </c>
      <c r="F16" s="108">
        <v>2018</v>
      </c>
      <c r="G16" s="108">
        <v>2019</v>
      </c>
      <c r="H16" s="108">
        <v>2020</v>
      </c>
      <c r="I16" s="108">
        <v>2021</v>
      </c>
      <c r="J16" s="108">
        <v>2022</v>
      </c>
      <c r="K16" s="108">
        <v>2023</v>
      </c>
      <c r="L16" s="108">
        <v>2024</v>
      </c>
      <c r="M16" s="108">
        <v>2025</v>
      </c>
      <c r="N16" s="108">
        <v>2026</v>
      </c>
      <c r="O16" s="108">
        <v>2027</v>
      </c>
      <c r="P16" s="108">
        <v>2028</v>
      </c>
    </row>
    <row r="17" spans="1:16" x14ac:dyDescent="0.2">
      <c r="A17" s="43"/>
      <c r="B17" s="43"/>
      <c r="C17" s="4"/>
      <c r="D17" s="4"/>
      <c r="E17" s="4"/>
      <c r="F17" s="4"/>
      <c r="G17" s="4"/>
      <c r="H17" s="4"/>
      <c r="I17" s="4"/>
      <c r="J17" s="4"/>
      <c r="K17" s="4"/>
      <c r="L17" s="4"/>
      <c r="M17" s="4"/>
      <c r="N17" s="4"/>
      <c r="O17" s="4"/>
      <c r="P17" s="4"/>
    </row>
    <row r="18" spans="1:16" ht="12" thickBot="1" x14ac:dyDescent="0.25">
      <c r="A18" s="43"/>
      <c r="B18" s="43"/>
      <c r="C18" s="4"/>
      <c r="D18" s="4"/>
      <c r="E18" s="4"/>
      <c r="F18" s="4"/>
      <c r="G18" s="4"/>
      <c r="H18" s="4"/>
      <c r="I18" s="4"/>
      <c r="J18" s="4"/>
      <c r="K18" s="4"/>
      <c r="L18" s="4"/>
      <c r="M18" s="4"/>
      <c r="N18" s="4"/>
      <c r="O18" s="4"/>
      <c r="P18" s="4"/>
    </row>
    <row r="19" spans="1:16" ht="12" thickBot="1" x14ac:dyDescent="0.25">
      <c r="A19" s="83" t="s">
        <v>326</v>
      </c>
      <c r="B19" s="95" t="s">
        <v>327</v>
      </c>
      <c r="C19" s="77" t="s">
        <v>716</v>
      </c>
      <c r="D19" s="77" t="s">
        <v>716</v>
      </c>
      <c r="E19" s="77" t="s">
        <v>716</v>
      </c>
      <c r="F19" s="77" t="s">
        <v>716</v>
      </c>
      <c r="G19" s="77" t="s">
        <v>716</v>
      </c>
      <c r="H19" s="77" t="s">
        <v>716</v>
      </c>
      <c r="I19" s="77" t="s">
        <v>716</v>
      </c>
      <c r="J19" s="77" t="s">
        <v>716</v>
      </c>
      <c r="K19" s="77" t="s">
        <v>716</v>
      </c>
      <c r="L19" s="77" t="s">
        <v>716</v>
      </c>
      <c r="M19" s="77" t="s">
        <v>716</v>
      </c>
      <c r="N19" s="77" t="s">
        <v>716</v>
      </c>
      <c r="O19" s="77" t="s">
        <v>716</v>
      </c>
      <c r="P19" s="77" t="s">
        <v>716</v>
      </c>
    </row>
    <row r="20" spans="1:16" x14ac:dyDescent="0.2">
      <c r="A20" s="39">
        <v>1</v>
      </c>
      <c r="B20" s="86" t="s">
        <v>312</v>
      </c>
      <c r="C20" s="148" t="e">
        <f>'Toim ja inv rahavirta'!C13/'Veroposentin tuotto'!AI13*-1</f>
        <v>#REF!</v>
      </c>
      <c r="D20" s="148">
        <f>'Toim ja inv rahavirta'!D13/'Veroposentin tuotto'!AJ13*-1</f>
        <v>7.606394162997851E-2</v>
      </c>
      <c r="E20" s="148">
        <f>'Toim ja inv rahavirta'!E13/'Veroposentin tuotto'!AK13*-1</f>
        <v>-0.49176523627225932</v>
      </c>
      <c r="F20" s="148">
        <f>'Toim ja inv rahavirta'!F13/'Veroposentin tuotto'!AL13*-1</f>
        <v>1.2915290092314964</v>
      </c>
      <c r="G20" s="148">
        <f>'Toim ja inv rahavirta'!G13/'Veroposentin tuotto'!AM13*-1</f>
        <v>1.4851816887811795</v>
      </c>
      <c r="H20" s="148">
        <f>'Toim ja inv rahavirta'!H13/'Veroposentin tuotto'!AN13*-1</f>
        <v>-0.34659804606578282</v>
      </c>
      <c r="I20" s="148">
        <f>'Toim ja inv rahavirta'!I13/'Veroposentin tuotto'!AO13*-1</f>
        <v>-0.59122733374795633</v>
      </c>
      <c r="J20" s="148">
        <f>'Toim ja inv rahavirta'!J13/'Veroposentin tuotto'!AP13*-1</f>
        <v>-0.59583975500327779</v>
      </c>
      <c r="K20" s="148">
        <f>'Toim ja inv rahavirta'!K13/'Veroposentin tuotto'!AQ13*-1</f>
        <v>-0.19952986060000988</v>
      </c>
      <c r="L20" s="148">
        <f>'Toim ja inv rahavirta'!L13/'Veroposentin tuotto'!AR13*-1</f>
        <v>0.70708009275055639</v>
      </c>
      <c r="M20" s="148">
        <f>'Toim ja inv rahavirta'!M13/'Veroposentin tuotto'!AS13*-1</f>
        <v>1.3593096707353758</v>
      </c>
      <c r="N20" s="148">
        <f>'Toim ja inv rahavirta'!N13/'Veroposentin tuotto'!AT13*-1</f>
        <v>1.3404505693721931</v>
      </c>
      <c r="O20" s="148">
        <f>'Toim ja inv rahavirta'!O13/'Veroposentin tuotto'!AU13*-1</f>
        <v>1.369915255003711</v>
      </c>
      <c r="P20" s="148">
        <f>'Toim ja inv rahavirta'!P13/'Veroposentin tuotto'!AV13*-1</f>
        <v>1.1789201554887179</v>
      </c>
    </row>
    <row r="21" spans="1:16" x14ac:dyDescent="0.2">
      <c r="A21" s="39"/>
      <c r="B21" s="86"/>
      <c r="C21" s="148"/>
      <c r="D21" s="148"/>
      <c r="E21" s="148"/>
      <c r="F21" s="148"/>
      <c r="G21" s="148"/>
      <c r="H21" s="148"/>
      <c r="I21" s="148"/>
      <c r="J21" s="148"/>
      <c r="K21" s="148"/>
      <c r="L21" s="148"/>
      <c r="M21" s="148"/>
      <c r="N21" s="148"/>
      <c r="O21" s="148"/>
      <c r="P21" s="148"/>
    </row>
    <row r="22" spans="1:16" x14ac:dyDescent="0.2">
      <c r="A22" s="34">
        <v>5</v>
      </c>
      <c r="B22" s="88" t="s">
        <v>328</v>
      </c>
      <c r="C22" s="148" t="e">
        <f>'Toim ja inv rahavirta'!C15/'Veroposentin tuotto'!AI15*-1</f>
        <v>#REF!</v>
      </c>
      <c r="D22" s="148">
        <f>'Toim ja inv rahavirta'!D15/'Veroposentin tuotto'!AJ15*-1</f>
        <v>-5.6236644873225954</v>
      </c>
      <c r="E22" s="148">
        <f>'Toim ja inv rahavirta'!E15/'Veroposentin tuotto'!AK15*-1</f>
        <v>0.79485338120885696</v>
      </c>
      <c r="F22" s="148">
        <f>'Toim ja inv rahavirta'!F15/'Veroposentin tuotto'!AL15*-1</f>
        <v>4.3220757323365699</v>
      </c>
      <c r="G22" s="148">
        <f>'Toim ja inv rahavirta'!G15/'Veroposentin tuotto'!AM15*-1</f>
        <v>4.803712636406769</v>
      </c>
      <c r="H22" s="148">
        <f>'Toim ja inv rahavirta'!H15/'Veroposentin tuotto'!AN15*-1</f>
        <v>-0.39260370453016524</v>
      </c>
      <c r="I22" s="148">
        <f>'Toim ja inv rahavirta'!I15/'Veroposentin tuotto'!AO15*-1</f>
        <v>-0.74516525660816846</v>
      </c>
      <c r="J22" s="148">
        <f>'Toim ja inv rahavirta'!J15/'Veroposentin tuotto'!AP15*-1</f>
        <v>-0.94382586850083727</v>
      </c>
      <c r="K22" s="148">
        <f>'Toim ja inv rahavirta'!K15/'Veroposentin tuotto'!AQ15*-1</f>
        <v>-3.218313858033111</v>
      </c>
      <c r="L22" s="148">
        <f>'Toim ja inv rahavirta'!L15/'Veroposentin tuotto'!AR15*-1</f>
        <v>-0.22799271072214131</v>
      </c>
      <c r="M22" s="148">
        <f>'Toim ja inv rahavirta'!M15/'Veroposentin tuotto'!AS15*-1</f>
        <v>-3.5597696139287273E-3</v>
      </c>
      <c r="N22" s="148">
        <f>'Toim ja inv rahavirta'!N15/'Veroposentin tuotto'!AT15*-1</f>
        <v>0.2141049990383174</v>
      </c>
      <c r="O22" s="148">
        <f>'Toim ja inv rahavirta'!O15/'Veroposentin tuotto'!AU15*-1</f>
        <v>0.22778296749251409</v>
      </c>
      <c r="P22" s="148">
        <f>'Toim ja inv rahavirta'!P15/'Veroposentin tuotto'!AV15*-1</f>
        <v>-0.29964930395739237</v>
      </c>
    </row>
    <row r="23" spans="1:16" x14ac:dyDescent="0.2">
      <c r="A23" s="34">
        <v>9</v>
      </c>
      <c r="B23" s="88" t="s">
        <v>329</v>
      </c>
      <c r="C23" s="148" t="e">
        <f>'Toim ja inv rahavirta'!C16/'Veroposentin tuotto'!AI16*-1</f>
        <v>#REF!</v>
      </c>
      <c r="D23" s="148">
        <f>'Toim ja inv rahavirta'!D16/'Veroposentin tuotto'!AJ16*-1</f>
        <v>-5.4155542658154383</v>
      </c>
      <c r="E23" s="148">
        <f>'Toim ja inv rahavirta'!E16/'Veroposentin tuotto'!AK16*-1</f>
        <v>-0.16884816753926701</v>
      </c>
      <c r="F23" s="148">
        <f>'Toim ja inv rahavirta'!F16/'Veroposentin tuotto'!AL16*-1</f>
        <v>-1.8188006730916324</v>
      </c>
      <c r="G23" s="148">
        <f>'Toim ja inv rahavirta'!G16/'Veroposentin tuotto'!AM16*-1</f>
        <v>-1.0284230269802337</v>
      </c>
      <c r="H23" s="148">
        <f>'Toim ja inv rahavirta'!H16/'Veroposentin tuotto'!AN16*-1</f>
        <v>-5.2265021625399664</v>
      </c>
      <c r="I23" s="148">
        <f>'Toim ja inv rahavirta'!I16/'Veroposentin tuotto'!AO16*-1</f>
        <v>-0.90906967335444233</v>
      </c>
      <c r="J23" s="148">
        <f>'Toim ja inv rahavirta'!J16/'Veroposentin tuotto'!AP16*-1</f>
        <v>-5.4164351174352836</v>
      </c>
      <c r="K23" s="148">
        <f>'Toim ja inv rahavirta'!K16/'Veroposentin tuotto'!AQ16*-1</f>
        <v>-1.4401674254255634</v>
      </c>
      <c r="L23" s="148">
        <f>'Toim ja inv rahavirta'!L16/'Veroposentin tuotto'!AR16*-1</f>
        <v>0.62649357235072045</v>
      </c>
      <c r="M23" s="148">
        <f>'Toim ja inv rahavirta'!M16/'Veroposentin tuotto'!AS16*-1</f>
        <v>1.0612229920736678</v>
      </c>
      <c r="N23" s="148">
        <f>'Toim ja inv rahavirta'!N16/'Veroposentin tuotto'!AT16*-1</f>
        <v>1.8106497278753568</v>
      </c>
      <c r="O23" s="148">
        <f>'Toim ja inv rahavirta'!O16/'Veroposentin tuotto'!AU16*-1</f>
        <v>2.1101559260014682</v>
      </c>
      <c r="P23" s="148">
        <f>'Toim ja inv rahavirta'!P16/'Veroposentin tuotto'!AV16*-1</f>
        <v>1.9711726922155468</v>
      </c>
    </row>
    <row r="24" spans="1:16" x14ac:dyDescent="0.2">
      <c r="A24" s="34">
        <v>10</v>
      </c>
      <c r="B24" s="88" t="s">
        <v>330</v>
      </c>
      <c r="C24" s="148" t="e">
        <f>'Toim ja inv rahavirta'!C17/'Veroposentin tuotto'!AI17*-1</f>
        <v>#REF!</v>
      </c>
      <c r="D24" s="148">
        <f>'Toim ja inv rahavirta'!D17/'Veroposentin tuotto'!AJ17*-1</f>
        <v>-0.64463394903599835</v>
      </c>
      <c r="E24" s="148">
        <f>'Toim ja inv rahavirta'!E17/'Veroposentin tuotto'!AK17*-1</f>
        <v>-1.4174275739366882</v>
      </c>
      <c r="F24" s="148">
        <f>'Toim ja inv rahavirta'!F17/'Veroposentin tuotto'!AL17*-1</f>
        <v>1.7822294500295683</v>
      </c>
      <c r="G24" s="148">
        <f>'Toim ja inv rahavirta'!G17/'Veroposentin tuotto'!AM17*-1</f>
        <v>-1.3978448717510845</v>
      </c>
      <c r="H24" s="148">
        <f>'Toim ja inv rahavirta'!H17/'Veroposentin tuotto'!AN17*-1</f>
        <v>1.0055307129862829</v>
      </c>
      <c r="I24" s="148">
        <f>'Toim ja inv rahavirta'!I17/'Veroposentin tuotto'!AO17*-1</f>
        <v>1.0591337600597843</v>
      </c>
      <c r="J24" s="148">
        <f>'Toim ja inv rahavirta'!J17/'Veroposentin tuotto'!AP17*-1</f>
        <v>4.9936817721999391</v>
      </c>
      <c r="K24" s="148">
        <f>'Toim ja inv rahavirta'!K17/'Veroposentin tuotto'!AQ17*-1</f>
        <v>3.4709664991944154</v>
      </c>
      <c r="L24" s="148">
        <f>'Toim ja inv rahavirta'!L17/'Veroposentin tuotto'!AR17*-1</f>
        <v>1.1685532507453471</v>
      </c>
      <c r="M24" s="148">
        <f>'Toim ja inv rahavirta'!M17/'Veroposentin tuotto'!AS17*-1</f>
        <v>2.0852362512350258</v>
      </c>
      <c r="N24" s="148">
        <f>'Toim ja inv rahavirta'!N17/'Veroposentin tuotto'!AT17*-1</f>
        <v>2.209194434055457</v>
      </c>
      <c r="O24" s="148">
        <f>'Toim ja inv rahavirta'!O17/'Veroposentin tuotto'!AU17*-1</f>
        <v>2.0532667048462541</v>
      </c>
      <c r="P24" s="148">
        <f>'Toim ja inv rahavirta'!P17/'Veroposentin tuotto'!AV17*-1</f>
        <v>1.4832228508339715</v>
      </c>
    </row>
    <row r="25" spans="1:16" x14ac:dyDescent="0.2">
      <c r="A25" s="34">
        <v>16</v>
      </c>
      <c r="B25" s="88" t="s">
        <v>331</v>
      </c>
      <c r="C25" s="148" t="e">
        <f>'Toim ja inv rahavirta'!C18/'Veroposentin tuotto'!AI18*-1</f>
        <v>#REF!</v>
      </c>
      <c r="D25" s="148">
        <f>'Toim ja inv rahavirta'!D18/'Veroposentin tuotto'!AJ18*-1</f>
        <v>-2.470467564638489</v>
      </c>
      <c r="E25" s="148">
        <f>'Toim ja inv rahavirta'!E18/'Veroposentin tuotto'!AK18*-1</f>
        <v>-2.1514447782433392</v>
      </c>
      <c r="F25" s="148">
        <f>'Toim ja inv rahavirta'!F18/'Veroposentin tuotto'!AL18*-1</f>
        <v>-1.6322983393855317</v>
      </c>
      <c r="G25" s="148">
        <f>'Toim ja inv rahavirta'!G18/'Veroposentin tuotto'!AM18*-1</f>
        <v>-0.11894172991777356</v>
      </c>
      <c r="H25" s="148">
        <f>'Toim ja inv rahavirta'!H18/'Veroposentin tuotto'!AN18*-1</f>
        <v>-4.9521502007214551</v>
      </c>
      <c r="I25" s="148">
        <f>'Toim ja inv rahavirta'!I18/'Veroposentin tuotto'!AO18*-1</f>
        <v>-2.0097331279678725</v>
      </c>
      <c r="J25" s="148">
        <f>'Toim ja inv rahavirta'!J18/'Veroposentin tuotto'!AP18*-1</f>
        <v>7.9165954093458364</v>
      </c>
      <c r="K25" s="148">
        <f>'Toim ja inv rahavirta'!K18/'Veroposentin tuotto'!AQ18*-1</f>
        <v>-0.88285457330467754</v>
      </c>
      <c r="L25" s="148">
        <f>'Toim ja inv rahavirta'!L18/'Veroposentin tuotto'!AR18*-1</f>
        <v>2.6563365552389628</v>
      </c>
      <c r="M25" s="148">
        <f>'Toim ja inv rahavirta'!M18/'Veroposentin tuotto'!AS18*-1</f>
        <v>2.353243766713224</v>
      </c>
      <c r="N25" s="148">
        <f>'Toim ja inv rahavirta'!N18/'Veroposentin tuotto'!AT18*-1</f>
        <v>2.9942283196695789</v>
      </c>
      <c r="O25" s="148">
        <f>'Toim ja inv rahavirta'!O18/'Veroposentin tuotto'!AU18*-1</f>
        <v>3.3414944168877541</v>
      </c>
      <c r="P25" s="148">
        <f>'Toim ja inv rahavirta'!P18/'Veroposentin tuotto'!AV18*-1</f>
        <v>2.9014025407820498</v>
      </c>
    </row>
    <row r="26" spans="1:16" x14ac:dyDescent="0.2">
      <c r="A26" s="34">
        <v>18</v>
      </c>
      <c r="B26" s="88" t="s">
        <v>332</v>
      </c>
      <c r="C26" s="148" t="e">
        <f>'Toim ja inv rahavirta'!C19/'Veroposentin tuotto'!AI19*-1</f>
        <v>#REF!</v>
      </c>
      <c r="D26" s="148">
        <f>'Toim ja inv rahavirta'!D19/'Veroposentin tuotto'!AJ19*-1</f>
        <v>0.53962460896767461</v>
      </c>
      <c r="E26" s="148">
        <f>'Toim ja inv rahavirta'!E19/'Veroposentin tuotto'!AK19*-1</f>
        <v>2.9900325713251705</v>
      </c>
      <c r="F26" s="148">
        <f>'Toim ja inv rahavirta'!F19/'Veroposentin tuotto'!AL19*-1</f>
        <v>-0.23834629877233499</v>
      </c>
      <c r="G26" s="148">
        <f>'Toim ja inv rahavirta'!G19/'Veroposentin tuotto'!AM19*-1</f>
        <v>-1.2814245014245014</v>
      </c>
      <c r="H26" s="148">
        <f>'Toim ja inv rahavirta'!H19/'Veroposentin tuotto'!AN19*-1</f>
        <v>-0.71825601565058095</v>
      </c>
      <c r="I26" s="148">
        <f>'Toim ja inv rahavirta'!I19/'Veroposentin tuotto'!AO19*-1</f>
        <v>-2.0292364284060573</v>
      </c>
      <c r="J26" s="148">
        <f>'Toim ja inv rahavirta'!J19/'Veroposentin tuotto'!AP19*-1</f>
        <v>-1.7111528534427916</v>
      </c>
      <c r="K26" s="148">
        <f>'Toim ja inv rahavirta'!K19/'Veroposentin tuotto'!AQ19*-1</f>
        <v>-0.87148232339346854</v>
      </c>
      <c r="L26" s="148">
        <f>'Toim ja inv rahavirta'!L19/'Veroposentin tuotto'!AR19*-1</f>
        <v>1.2743619754227122</v>
      </c>
      <c r="M26" s="148">
        <f>'Toim ja inv rahavirta'!M19/'Veroposentin tuotto'!AS19*-1</f>
        <v>1.7279061632758665</v>
      </c>
      <c r="N26" s="148">
        <f>'Toim ja inv rahavirta'!N19/'Veroposentin tuotto'!AT19*-1</f>
        <v>1.5276929471531824</v>
      </c>
      <c r="O26" s="148">
        <f>'Toim ja inv rahavirta'!O19/'Veroposentin tuotto'!AU19*-1</f>
        <v>1.7122643030243392</v>
      </c>
      <c r="P26" s="148">
        <f>'Toim ja inv rahavirta'!P19/'Veroposentin tuotto'!AV19*-1</f>
        <v>1.7224920820667695</v>
      </c>
    </row>
    <row r="27" spans="1:16" x14ac:dyDescent="0.2">
      <c r="A27" s="34">
        <v>19</v>
      </c>
      <c r="B27" s="88" t="s">
        <v>333</v>
      </c>
      <c r="C27" s="148" t="e">
        <f>'Toim ja inv rahavirta'!C20/'Veroposentin tuotto'!AI20*-1</f>
        <v>#REF!</v>
      </c>
      <c r="D27" s="148">
        <f>'Toim ja inv rahavirta'!D20/'Veroposentin tuotto'!AJ20*-1</f>
        <v>-1.6879520795660035</v>
      </c>
      <c r="E27" s="148">
        <f>'Toim ja inv rahavirta'!E20/'Veroposentin tuotto'!AK20*-1</f>
        <v>-3.5431529013753038</v>
      </c>
      <c r="F27" s="148">
        <f>'Toim ja inv rahavirta'!F20/'Veroposentin tuotto'!AL20*-1</f>
        <v>1.6356026785714284</v>
      </c>
      <c r="G27" s="148">
        <f>'Toim ja inv rahavirta'!G20/'Veroposentin tuotto'!AM20*-1</f>
        <v>0.51634464165356098</v>
      </c>
      <c r="H27" s="148">
        <f>'Toim ja inv rahavirta'!H20/'Veroposentin tuotto'!AN20*-1</f>
        <v>-3.2572575319680324</v>
      </c>
      <c r="I27" s="148">
        <f>'Toim ja inv rahavirta'!I20/'Veroposentin tuotto'!AO20*-1</f>
        <v>-2.5824614197235429</v>
      </c>
      <c r="J27" s="148">
        <f>'Toim ja inv rahavirta'!J20/'Veroposentin tuotto'!AP20*-1</f>
        <v>-1.4376565696414942</v>
      </c>
      <c r="K27" s="148">
        <f>'Toim ja inv rahavirta'!K20/'Veroposentin tuotto'!AQ20*-1</f>
        <v>-0.28162860967529779</v>
      </c>
      <c r="L27" s="148">
        <f>'Toim ja inv rahavirta'!L20/'Veroposentin tuotto'!AR20*-1</f>
        <v>1.0117498757367707</v>
      </c>
      <c r="M27" s="148">
        <f>'Toim ja inv rahavirta'!M20/'Veroposentin tuotto'!AS20*-1</f>
        <v>1.7988032923999404</v>
      </c>
      <c r="N27" s="148">
        <f>'Toim ja inv rahavirta'!N20/'Veroposentin tuotto'!AT20*-1</f>
        <v>1.6274473873751796</v>
      </c>
      <c r="O27" s="148">
        <f>'Toim ja inv rahavirta'!O20/'Veroposentin tuotto'!AU20*-1</f>
        <v>1.2755955862103978</v>
      </c>
      <c r="P27" s="148">
        <f>'Toim ja inv rahavirta'!P20/'Veroposentin tuotto'!AV20*-1</f>
        <v>1.3091591347272871</v>
      </c>
    </row>
    <row r="28" spans="1:16" x14ac:dyDescent="0.2">
      <c r="A28" s="34">
        <v>20</v>
      </c>
      <c r="B28" s="88" t="s">
        <v>334</v>
      </c>
      <c r="C28" s="148" t="e">
        <f>'Toim ja inv rahavirta'!C21/'Veroposentin tuotto'!AI21*-1</f>
        <v>#REF!</v>
      </c>
      <c r="D28" s="148">
        <f>'Toim ja inv rahavirta'!D21/'Veroposentin tuotto'!AJ21*-1</f>
        <v>-1.0304314329738058</v>
      </c>
      <c r="E28" s="148">
        <f>'Toim ja inv rahavirta'!E21/'Veroposentin tuotto'!AK21*-1</f>
        <v>-1.7423450024992131</v>
      </c>
      <c r="F28" s="148">
        <f>'Toim ja inv rahavirta'!F21/'Veroposentin tuotto'!AL21*-1</f>
        <v>0.53964401294498376</v>
      </c>
      <c r="G28" s="148">
        <f>'Toim ja inv rahavirta'!G21/'Veroposentin tuotto'!AM21*-1</f>
        <v>-0.29928250345781465</v>
      </c>
      <c r="H28" s="148">
        <f>'Toim ja inv rahavirta'!H21/'Veroposentin tuotto'!AN21*-1</f>
        <v>-1.288952680465034</v>
      </c>
      <c r="I28" s="148">
        <f>'Toim ja inv rahavirta'!I21/'Veroposentin tuotto'!AO21*-1</f>
        <v>5.6480056801715985</v>
      </c>
      <c r="J28" s="148">
        <f>'Toim ja inv rahavirta'!J21/'Veroposentin tuotto'!AP21*-1</f>
        <v>6.7096078285303742</v>
      </c>
      <c r="K28" s="148">
        <f>'Toim ja inv rahavirta'!K21/'Veroposentin tuotto'!AQ21*-1</f>
        <v>2.0177730640287503</v>
      </c>
      <c r="L28" s="148">
        <f>'Toim ja inv rahavirta'!L21/'Veroposentin tuotto'!AR21*-1</f>
        <v>2.5679513199717685</v>
      </c>
      <c r="M28" s="148">
        <f>'Toim ja inv rahavirta'!M21/'Veroposentin tuotto'!AS21*-1</f>
        <v>4.7354777518950515</v>
      </c>
      <c r="N28" s="148">
        <f>'Toim ja inv rahavirta'!N21/'Veroposentin tuotto'!AT21*-1</f>
        <v>4.5410309104990869</v>
      </c>
      <c r="O28" s="148">
        <f>'Toim ja inv rahavirta'!O21/'Veroposentin tuotto'!AU21*-1</f>
        <v>4.3819784431681512</v>
      </c>
      <c r="P28" s="148">
        <f>'Toim ja inv rahavirta'!P21/'Veroposentin tuotto'!AV21*-1</f>
        <v>3.9620639865570908</v>
      </c>
    </row>
    <row r="29" spans="1:16" x14ac:dyDescent="0.2">
      <c r="A29" s="34">
        <v>46</v>
      </c>
      <c r="B29" s="88" t="s">
        <v>335</v>
      </c>
      <c r="C29" s="148" t="e">
        <f>'Toim ja inv rahavirta'!C22/'Veroposentin tuotto'!AI22*-1</f>
        <v>#REF!</v>
      </c>
      <c r="D29" s="148">
        <f>'Toim ja inv rahavirta'!D22/'Veroposentin tuotto'!AJ22*-1</f>
        <v>-2.7176470588235295</v>
      </c>
      <c r="E29" s="148">
        <f>'Toim ja inv rahavirta'!E22/'Veroposentin tuotto'!AK22*-1</f>
        <v>0.87993553585817896</v>
      </c>
      <c r="F29" s="148">
        <f>'Toim ja inv rahavirta'!F22/'Veroposentin tuotto'!AL22*-1</f>
        <v>2.2187037585084344</v>
      </c>
      <c r="G29" s="148">
        <f>'Toim ja inv rahavirta'!G22/'Veroposentin tuotto'!AM22*-1</f>
        <v>-1.5662011173184358</v>
      </c>
      <c r="H29" s="148">
        <f>'Toim ja inv rahavirta'!H22/'Veroposentin tuotto'!AN22*-1</f>
        <v>-7.7845330738155187</v>
      </c>
      <c r="I29" s="148">
        <f>'Toim ja inv rahavirta'!I22/'Veroposentin tuotto'!AO22*-1</f>
        <v>-9.0224093045640448</v>
      </c>
      <c r="J29" s="148">
        <f>'Toim ja inv rahavirta'!J22/'Veroposentin tuotto'!AP22*-1</f>
        <v>-0.2360913760433766</v>
      </c>
      <c r="K29" s="148">
        <f>'Toim ja inv rahavirta'!K22/'Veroposentin tuotto'!AQ22*-1</f>
        <v>-2.73919512675351</v>
      </c>
      <c r="L29" s="148">
        <f>'Toim ja inv rahavirta'!L22/'Veroposentin tuotto'!AR22*-1</f>
        <v>0.66411344822374951</v>
      </c>
      <c r="M29" s="148">
        <f>'Toim ja inv rahavirta'!M22/'Veroposentin tuotto'!AS22*-1</f>
        <v>-0.54543787718402348</v>
      </c>
      <c r="N29" s="148">
        <f>'Toim ja inv rahavirta'!N22/'Veroposentin tuotto'!AT22*-1</f>
        <v>0.107244209854734</v>
      </c>
      <c r="O29" s="148">
        <f>'Toim ja inv rahavirta'!O22/'Veroposentin tuotto'!AU22*-1</f>
        <v>0.37564975755203095</v>
      </c>
      <c r="P29" s="148">
        <f>'Toim ja inv rahavirta'!P22/'Veroposentin tuotto'!AV22*-1</f>
        <v>0.22047372935137818</v>
      </c>
    </row>
    <row r="30" spans="1:16" x14ac:dyDescent="0.2">
      <c r="A30" s="34">
        <v>47</v>
      </c>
      <c r="B30" s="88" t="s">
        <v>336</v>
      </c>
      <c r="C30" s="148" t="e">
        <f>'Toim ja inv rahavirta'!C23/'Veroposentin tuotto'!AI23*-1</f>
        <v>#REF!</v>
      </c>
      <c r="D30" s="148">
        <f>'Toim ja inv rahavirta'!D23/'Veroposentin tuotto'!AJ23*-1</f>
        <v>-1.4441335198880672</v>
      </c>
      <c r="E30" s="148">
        <f>'Toim ja inv rahavirta'!E23/'Veroposentin tuotto'!AK23*-1</f>
        <v>-3.3268688293370943</v>
      </c>
      <c r="F30" s="148">
        <f>'Toim ja inv rahavirta'!F23/'Veroposentin tuotto'!AL23*-1</f>
        <v>-0.70489815712900095</v>
      </c>
      <c r="G30" s="148">
        <f>'Toim ja inv rahavirta'!G23/'Veroposentin tuotto'!AM23*-1</f>
        <v>2.5914634146341462</v>
      </c>
      <c r="H30" s="148">
        <f>'Toim ja inv rahavirta'!H23/'Veroposentin tuotto'!AN23*-1</f>
        <v>1.8037883053011436</v>
      </c>
      <c r="I30" s="148">
        <f>'Toim ja inv rahavirta'!I23/'Veroposentin tuotto'!AO23*-1</f>
        <v>-37.943174523831296</v>
      </c>
      <c r="J30" s="148">
        <f>'Toim ja inv rahavirta'!J23/'Veroposentin tuotto'!AP23*-1</f>
        <v>-3.5947617378574037</v>
      </c>
      <c r="K30" s="148">
        <f>'Toim ja inv rahavirta'!K23/'Veroposentin tuotto'!AQ23*-1</f>
        <v>-1.7061942325423514</v>
      </c>
      <c r="L30" s="148">
        <f>'Toim ja inv rahavirta'!L23/'Veroposentin tuotto'!AR23*-1</f>
        <v>7.276992864161107</v>
      </c>
      <c r="M30" s="148">
        <f>'Toim ja inv rahavirta'!M23/'Veroposentin tuotto'!AS23*-1</f>
        <v>9.120824799685348</v>
      </c>
      <c r="N30" s="148">
        <f>'Toim ja inv rahavirta'!N23/'Veroposentin tuotto'!AT23*-1</f>
        <v>9.2403965362054059</v>
      </c>
      <c r="O30" s="148">
        <f>'Toim ja inv rahavirta'!O23/'Veroposentin tuotto'!AU23*-1</f>
        <v>9.4798301379799916</v>
      </c>
      <c r="P30" s="148">
        <f>'Toim ja inv rahavirta'!P23/'Veroposentin tuotto'!AV23*-1</f>
        <v>9.281570510779666</v>
      </c>
    </row>
    <row r="31" spans="1:16" x14ac:dyDescent="0.2">
      <c r="A31" s="34">
        <v>49</v>
      </c>
      <c r="B31" s="88" t="s">
        <v>337</v>
      </c>
      <c r="C31" s="148" t="e">
        <f>'Toim ja inv rahavirta'!C24/'Veroposentin tuotto'!AI24*-1</f>
        <v>#REF!</v>
      </c>
      <c r="D31" s="148">
        <f>'Toim ja inv rahavirta'!D24/'Veroposentin tuotto'!AJ24*-1</f>
        <v>0.68169796102117763</v>
      </c>
      <c r="E31" s="148">
        <f>'Toim ja inv rahavirta'!E24/'Veroposentin tuotto'!AK24*-1</f>
        <v>0.43607357062995517</v>
      </c>
      <c r="F31" s="148">
        <f>'Toim ja inv rahavirta'!F24/'Veroposentin tuotto'!AL24*-1</f>
        <v>1.0343594107728606</v>
      </c>
      <c r="G31" s="148">
        <f>'Toim ja inv rahavirta'!G24/'Veroposentin tuotto'!AM24*-1</f>
        <v>1.6392999378284931</v>
      </c>
      <c r="H31" s="148">
        <f>'Toim ja inv rahavirta'!H24/'Veroposentin tuotto'!AN24*-1</f>
        <v>0.5032463780037908</v>
      </c>
      <c r="I31" s="148">
        <f>'Toim ja inv rahavirta'!I24/'Veroposentin tuotto'!AO24*-1</f>
        <v>-1.4531903064607568</v>
      </c>
      <c r="J31" s="148">
        <f>'Toim ja inv rahavirta'!J24/'Veroposentin tuotto'!AP24*-1</f>
        <v>-2.883525997646041</v>
      </c>
      <c r="K31" s="148">
        <f>'Toim ja inv rahavirta'!K24/'Veroposentin tuotto'!AQ24*-1</f>
        <v>-1.4359338626336431</v>
      </c>
      <c r="L31" s="148">
        <f>'Toim ja inv rahavirta'!L24/'Veroposentin tuotto'!AR24*-1</f>
        <v>-0.72174802334398491</v>
      </c>
      <c r="M31" s="148">
        <f>'Toim ja inv rahavirta'!M24/'Veroposentin tuotto'!AS24*-1</f>
        <v>-0.96316346114237905</v>
      </c>
      <c r="N31" s="148">
        <f>'Toim ja inv rahavirta'!N24/'Veroposentin tuotto'!AT24*-1</f>
        <v>-0.78733088224823944</v>
      </c>
      <c r="O31" s="148">
        <f>'Toim ja inv rahavirta'!O24/'Veroposentin tuotto'!AU24*-1</f>
        <v>-0.64742858232632283</v>
      </c>
      <c r="P31" s="148">
        <f>'Toim ja inv rahavirta'!P24/'Veroposentin tuotto'!AV24*-1</f>
        <v>-0.60476934551927619</v>
      </c>
    </row>
    <row r="32" spans="1:16" x14ac:dyDescent="0.2">
      <c r="A32" s="34">
        <v>50</v>
      </c>
      <c r="B32" s="88" t="s">
        <v>338</v>
      </c>
      <c r="C32" s="148" t="e">
        <f>'Toim ja inv rahavirta'!C25/'Veroposentin tuotto'!AI25*-1</f>
        <v>#REF!</v>
      </c>
      <c r="D32" s="148">
        <f>'Toim ja inv rahavirta'!D25/'Veroposentin tuotto'!AJ25*-1</f>
        <v>0.78650791580814272</v>
      </c>
      <c r="E32" s="148">
        <f>'Toim ja inv rahavirta'!E25/'Veroposentin tuotto'!AK25*-1</f>
        <v>-3.7829663992618605E-2</v>
      </c>
      <c r="F32" s="148">
        <f>'Toim ja inv rahavirta'!F25/'Veroposentin tuotto'!AL25*-1</f>
        <v>2.3242533724949963</v>
      </c>
      <c r="G32" s="148">
        <f>'Toim ja inv rahavirta'!G25/'Veroposentin tuotto'!AM25*-1</f>
        <v>4.4674650331265111</v>
      </c>
      <c r="H32" s="148">
        <f>'Toim ja inv rahavirta'!H25/'Veroposentin tuotto'!AN25*-1</f>
        <v>-1.4894609124210101</v>
      </c>
      <c r="I32" s="148">
        <f>'Toim ja inv rahavirta'!I25/'Veroposentin tuotto'!AO25*-1</f>
        <v>-0.9150976574814893</v>
      </c>
      <c r="J32" s="148">
        <f>'Toim ja inv rahavirta'!J25/'Veroposentin tuotto'!AP25*-1</f>
        <v>0.61256612855111581</v>
      </c>
      <c r="K32" s="148">
        <f>'Toim ja inv rahavirta'!K25/'Veroposentin tuotto'!AQ25*-1</f>
        <v>0.14437615955792873</v>
      </c>
      <c r="L32" s="148">
        <f>'Toim ja inv rahavirta'!L25/'Veroposentin tuotto'!AR25*-1</f>
        <v>0.3180738115852047</v>
      </c>
      <c r="M32" s="148">
        <f>'Toim ja inv rahavirta'!M25/'Veroposentin tuotto'!AS25*-1</f>
        <v>1.0018077315164222</v>
      </c>
      <c r="N32" s="148">
        <f>'Toim ja inv rahavirta'!N25/'Veroposentin tuotto'!AT25*-1</f>
        <v>0.60163901254670948</v>
      </c>
      <c r="O32" s="148">
        <f>'Toim ja inv rahavirta'!O25/'Veroposentin tuotto'!AU25*-1</f>
        <v>0.6632317572576224</v>
      </c>
      <c r="P32" s="148">
        <f>'Toim ja inv rahavirta'!P25/'Veroposentin tuotto'!AV25*-1</f>
        <v>0.19688293139780189</v>
      </c>
    </row>
    <row r="33" spans="1:16" x14ac:dyDescent="0.2">
      <c r="A33" s="34">
        <v>51</v>
      </c>
      <c r="B33" s="88" t="s">
        <v>339</v>
      </c>
      <c r="C33" s="148" t="e">
        <f>'Toim ja inv rahavirta'!C26/'Veroposentin tuotto'!AI26*-1</f>
        <v>#REF!</v>
      </c>
      <c r="D33" s="148">
        <f>'Toim ja inv rahavirta'!D26/'Veroposentin tuotto'!AJ26*-1</f>
        <v>-1.7543404186272917</v>
      </c>
      <c r="E33" s="148">
        <f>'Toim ja inv rahavirta'!E26/'Veroposentin tuotto'!AK26*-1</f>
        <v>-2.0949545186833323</v>
      </c>
      <c r="F33" s="148">
        <f>'Toim ja inv rahavirta'!F26/'Veroposentin tuotto'!AL26*-1</f>
        <v>-1.5463789167877153</v>
      </c>
      <c r="G33" s="148">
        <f>'Toim ja inv rahavirta'!G26/'Veroposentin tuotto'!AM26*-1</f>
        <v>0.48058856037579445</v>
      </c>
      <c r="H33" s="148">
        <f>'Toim ja inv rahavirta'!H26/'Veroposentin tuotto'!AN26*-1</f>
        <v>-0.13472246054284631</v>
      </c>
      <c r="I33" s="148">
        <f>'Toim ja inv rahavirta'!I26/'Veroposentin tuotto'!AO26*-1</f>
        <v>-2.5938023734208997</v>
      </c>
      <c r="J33" s="148">
        <f>'Toim ja inv rahavirta'!J26/'Veroposentin tuotto'!AP26*-1</f>
        <v>-2.2204171925704141</v>
      </c>
      <c r="K33" s="148">
        <f>'Toim ja inv rahavirta'!K26/'Veroposentin tuotto'!AQ26*-1</f>
        <v>1.3115655618966937</v>
      </c>
      <c r="L33" s="148">
        <f>'Toim ja inv rahavirta'!L26/'Veroposentin tuotto'!AR26*-1</f>
        <v>1.7485784255086503</v>
      </c>
      <c r="M33" s="148">
        <f>'Toim ja inv rahavirta'!M26/'Veroposentin tuotto'!AS26*-1</f>
        <v>0.40669362605004261</v>
      </c>
      <c r="N33" s="148">
        <f>'Toim ja inv rahavirta'!N26/'Veroposentin tuotto'!AT26*-1</f>
        <v>4.1742465084880373E-2</v>
      </c>
      <c r="O33" s="148">
        <f>'Toim ja inv rahavirta'!O26/'Veroposentin tuotto'!AU26*-1</f>
        <v>-3.4208165658923644E-3</v>
      </c>
      <c r="P33" s="148">
        <f>'Toim ja inv rahavirta'!P26/'Veroposentin tuotto'!AV26*-1</f>
        <v>-0.35018735692048664</v>
      </c>
    </row>
    <row r="34" spans="1:16" x14ac:dyDescent="0.2">
      <c r="A34" s="34">
        <v>52</v>
      </c>
      <c r="B34" s="88" t="s">
        <v>340</v>
      </c>
      <c r="C34" s="148" t="e">
        <f>'Toim ja inv rahavirta'!C27/'Veroposentin tuotto'!AI27*-1</f>
        <v>#REF!</v>
      </c>
      <c r="D34" s="148">
        <f>'Toim ja inv rahavirta'!D27/'Veroposentin tuotto'!AJ27*-1</f>
        <v>1.0316046545036632</v>
      </c>
      <c r="E34" s="148">
        <f>'Toim ja inv rahavirta'!E27/'Veroposentin tuotto'!AK27*-1</f>
        <v>-1.1790530416541802</v>
      </c>
      <c r="F34" s="148">
        <f>'Toim ja inv rahavirta'!F27/'Veroposentin tuotto'!AL27*-1</f>
        <v>4.2699665958092927</v>
      </c>
      <c r="G34" s="148">
        <f>'Toim ja inv rahavirta'!G27/'Veroposentin tuotto'!AM27*-1</f>
        <v>4.7884758919241683</v>
      </c>
      <c r="H34" s="148">
        <f>'Toim ja inv rahavirta'!H27/'Veroposentin tuotto'!AN27*-1</f>
        <v>3.9263083777066408</v>
      </c>
      <c r="I34" s="148">
        <f>'Toim ja inv rahavirta'!I27/'Veroposentin tuotto'!AO27*-1</f>
        <v>1.7959841801979917</v>
      </c>
      <c r="J34" s="148">
        <f>'Toim ja inv rahavirta'!J27/'Veroposentin tuotto'!AP27*-1</f>
        <v>-0.55056119847158869</v>
      </c>
      <c r="K34" s="148">
        <f>'Toim ja inv rahavirta'!K27/'Veroposentin tuotto'!AQ27*-1</f>
        <v>-2.5176286361038147</v>
      </c>
      <c r="L34" s="148">
        <f>'Toim ja inv rahavirta'!L27/'Veroposentin tuotto'!AR27*-1</f>
        <v>2.7410422110543964</v>
      </c>
      <c r="M34" s="148">
        <f>'Toim ja inv rahavirta'!M27/'Veroposentin tuotto'!AS27*-1</f>
        <v>5.3674029175168529</v>
      </c>
      <c r="N34" s="148">
        <f>'Toim ja inv rahavirta'!N27/'Veroposentin tuotto'!AT27*-1</f>
        <v>5.4671468462507988</v>
      </c>
      <c r="O34" s="148">
        <f>'Toim ja inv rahavirta'!O27/'Veroposentin tuotto'!AU27*-1</f>
        <v>5.9397389792739279</v>
      </c>
      <c r="P34" s="148">
        <f>'Toim ja inv rahavirta'!P27/'Veroposentin tuotto'!AV27*-1</f>
        <v>5.8264787796439421</v>
      </c>
    </row>
    <row r="35" spans="1:16" x14ac:dyDescent="0.2">
      <c r="A35" s="34">
        <v>61</v>
      </c>
      <c r="B35" s="88" t="s">
        <v>341</v>
      </c>
      <c r="C35" s="148" t="e">
        <f>'Toim ja inv rahavirta'!C28/'Veroposentin tuotto'!AI28*-1</f>
        <v>#REF!</v>
      </c>
      <c r="D35" s="148">
        <f>'Toim ja inv rahavirta'!D28/'Veroposentin tuotto'!AJ28*-1</f>
        <v>6.5913733955209497E-2</v>
      </c>
      <c r="E35" s="148">
        <f>'Toim ja inv rahavirta'!E28/'Veroposentin tuotto'!AK28*-1</f>
        <v>-0.41361866954443843</v>
      </c>
      <c r="F35" s="148">
        <f>'Toim ja inv rahavirta'!F28/'Veroposentin tuotto'!AL28*-1</f>
        <v>0.41143141346960271</v>
      </c>
      <c r="G35" s="148">
        <f>'Toim ja inv rahavirta'!G28/'Veroposentin tuotto'!AM28*-1</f>
        <v>0.73483237307142024</v>
      </c>
      <c r="H35" s="148">
        <f>'Toim ja inv rahavirta'!H28/'Veroposentin tuotto'!AN28*-1</f>
        <v>-1.9222394948594628</v>
      </c>
      <c r="I35" s="148">
        <f>'Toim ja inv rahavirta'!I28/'Veroposentin tuotto'!AO28*-1</f>
        <v>3.4575070186332564</v>
      </c>
      <c r="J35" s="148">
        <f>'Toim ja inv rahavirta'!J28/'Veroposentin tuotto'!AP28*-1</f>
        <v>2.0417723401426744</v>
      </c>
      <c r="K35" s="148">
        <f>'Toim ja inv rahavirta'!K28/'Veroposentin tuotto'!AQ28*-1</f>
        <v>-1.1749487885440433</v>
      </c>
      <c r="L35" s="148">
        <f>'Toim ja inv rahavirta'!L28/'Veroposentin tuotto'!AR28*-1</f>
        <v>1.2815126687929843</v>
      </c>
      <c r="M35" s="148">
        <f>'Toim ja inv rahavirta'!M28/'Veroposentin tuotto'!AS28*-1</f>
        <v>1.5092737984047466</v>
      </c>
      <c r="N35" s="148">
        <f>'Toim ja inv rahavirta'!N28/'Veroposentin tuotto'!AT28*-1</f>
        <v>1.373039628723848</v>
      </c>
      <c r="O35" s="148">
        <f>'Toim ja inv rahavirta'!O28/'Veroposentin tuotto'!AU28*-1</f>
        <v>1.683662143163994</v>
      </c>
      <c r="P35" s="148">
        <f>'Toim ja inv rahavirta'!P28/'Veroposentin tuotto'!AV28*-1</f>
        <v>1.1488647520451858</v>
      </c>
    </row>
    <row r="36" spans="1:16" x14ac:dyDescent="0.2">
      <c r="A36" s="34">
        <v>69</v>
      </c>
      <c r="B36" s="88" t="s">
        <v>342</v>
      </c>
      <c r="C36" s="148" t="e">
        <f>'Toim ja inv rahavirta'!C29/'Veroposentin tuotto'!AI29*-1</f>
        <v>#REF!</v>
      </c>
      <c r="D36" s="148">
        <f>'Toim ja inv rahavirta'!D29/'Veroposentin tuotto'!AJ29*-1</f>
        <v>2.9015857034986157</v>
      </c>
      <c r="E36" s="148">
        <f>'Toim ja inv rahavirta'!E29/'Veroposentin tuotto'!AK29*-1</f>
        <v>2.901462503889638</v>
      </c>
      <c r="F36" s="148">
        <f>'Toim ja inv rahavirta'!F29/'Veroposentin tuotto'!AL29*-1</f>
        <v>1.4456038846988326</v>
      </c>
      <c r="G36" s="148">
        <f>'Toim ja inv rahavirta'!G29/'Veroposentin tuotto'!AM29*-1</f>
        <v>4.1570981210855953</v>
      </c>
      <c r="H36" s="148">
        <f>'Toim ja inv rahavirta'!H29/'Veroposentin tuotto'!AN29*-1</f>
        <v>-0.79792830244547308</v>
      </c>
      <c r="I36" s="148">
        <f>'Toim ja inv rahavirta'!I29/'Veroposentin tuotto'!AO29*-1</f>
        <v>-1.4042690964667364</v>
      </c>
      <c r="J36" s="148">
        <f>'Toim ja inv rahavirta'!J29/'Veroposentin tuotto'!AP29*-1</f>
        <v>4.5534584419317881</v>
      </c>
      <c r="K36" s="148">
        <f>'Toim ja inv rahavirta'!K29/'Veroposentin tuotto'!AQ29*-1</f>
        <v>7.5652389369333779</v>
      </c>
      <c r="L36" s="148">
        <f>'Toim ja inv rahavirta'!L29/'Veroposentin tuotto'!AR29*-1</f>
        <v>1.3418476783670397</v>
      </c>
      <c r="M36" s="148">
        <f>'Toim ja inv rahavirta'!M29/'Veroposentin tuotto'!AS29*-1</f>
        <v>3.8696916097675809</v>
      </c>
      <c r="N36" s="148">
        <f>'Toim ja inv rahavirta'!N29/'Veroposentin tuotto'!AT29*-1</f>
        <v>3.0096263566605024</v>
      </c>
      <c r="O36" s="148">
        <f>'Toim ja inv rahavirta'!O29/'Veroposentin tuotto'!AU29*-1</f>
        <v>3.1931401218611501</v>
      </c>
      <c r="P36" s="148">
        <f>'Toim ja inv rahavirta'!P29/'Veroposentin tuotto'!AV29*-1</f>
        <v>2.6547597099556191</v>
      </c>
    </row>
    <row r="37" spans="1:16" x14ac:dyDescent="0.2">
      <c r="A37" s="34">
        <v>71</v>
      </c>
      <c r="B37" s="88" t="s">
        <v>343</v>
      </c>
      <c r="C37" s="148" t="e">
        <f>'Toim ja inv rahavirta'!C30/'Veroposentin tuotto'!AI30*-1</f>
        <v>#REF!</v>
      </c>
      <c r="D37" s="148">
        <f>'Toim ja inv rahavirta'!D30/'Veroposentin tuotto'!AJ30*-1</f>
        <v>0.7859308671922377</v>
      </c>
      <c r="E37" s="148">
        <f>'Toim ja inv rahavirta'!E30/'Veroposentin tuotto'!AK30*-1</f>
        <v>-9.6296337901595148</v>
      </c>
      <c r="F37" s="148">
        <f>'Toim ja inv rahavirta'!F30/'Veroposentin tuotto'!AL30*-1</f>
        <v>-3.5718427461440334E-2</v>
      </c>
      <c r="G37" s="148">
        <f>'Toim ja inv rahavirta'!G30/'Veroposentin tuotto'!AM30*-1</f>
        <v>-0.30582206716092453</v>
      </c>
      <c r="H37" s="148">
        <f>'Toim ja inv rahavirta'!H30/'Veroposentin tuotto'!AN30*-1</f>
        <v>4.9661691893780411</v>
      </c>
      <c r="I37" s="148">
        <f>'Toim ja inv rahavirta'!I30/'Veroposentin tuotto'!AO30*-1</f>
        <v>8.1395921908478215</v>
      </c>
      <c r="J37" s="148">
        <f>'Toim ja inv rahavirta'!J30/'Veroposentin tuotto'!AP30*-1</f>
        <v>3.4663941242566527</v>
      </c>
      <c r="K37" s="148">
        <f>'Toim ja inv rahavirta'!K30/'Veroposentin tuotto'!AQ30*-1</f>
        <v>-1.8437413269512797</v>
      </c>
      <c r="L37" s="148">
        <f>'Toim ja inv rahavirta'!L30/'Veroposentin tuotto'!AR30*-1</f>
        <v>1.2927652564982424</v>
      </c>
      <c r="M37" s="148">
        <f>'Toim ja inv rahavirta'!M30/'Veroposentin tuotto'!AS30*-1</f>
        <v>2.9311472428671212</v>
      </c>
      <c r="N37" s="148">
        <f>'Toim ja inv rahavirta'!N30/'Veroposentin tuotto'!AT30*-1</f>
        <v>2.5609153964967661</v>
      </c>
      <c r="O37" s="148">
        <f>'Toim ja inv rahavirta'!O30/'Veroposentin tuotto'!AU30*-1</f>
        <v>2.3525765467621009</v>
      </c>
      <c r="P37" s="148">
        <f>'Toim ja inv rahavirta'!P30/'Veroposentin tuotto'!AV30*-1</f>
        <v>1.6445389846184457</v>
      </c>
    </row>
    <row r="38" spans="1:16" x14ac:dyDescent="0.2">
      <c r="A38" s="34">
        <v>72</v>
      </c>
      <c r="B38" s="88" t="s">
        <v>344</v>
      </c>
      <c r="C38" s="148" t="e">
        <f>'Toim ja inv rahavirta'!C31/'Veroposentin tuotto'!AI31*-1</f>
        <v>#REF!</v>
      </c>
      <c r="D38" s="148">
        <f>'Toim ja inv rahavirta'!D31/'Veroposentin tuotto'!AJ31*-1</f>
        <v>4.3141289437585728</v>
      </c>
      <c r="E38" s="148">
        <f>'Toim ja inv rahavirta'!E31/'Veroposentin tuotto'!AK31*-1</f>
        <v>-4.3821263482280433</v>
      </c>
      <c r="F38" s="148">
        <f>'Toim ja inv rahavirta'!F31/'Veroposentin tuotto'!AL31*-1</f>
        <v>5.7605540897097622</v>
      </c>
      <c r="G38" s="148">
        <f>'Toim ja inv rahavirta'!G31/'Veroposentin tuotto'!AM31*-1</f>
        <v>12.496352679987313</v>
      </c>
      <c r="H38" s="148">
        <f>'Toim ja inv rahavirta'!H31/'Veroposentin tuotto'!AN31*-1</f>
        <v>-1.0658603902398405</v>
      </c>
      <c r="I38" s="148">
        <f>'Toim ja inv rahavirta'!I31/'Veroposentin tuotto'!AO31*-1</f>
        <v>9.5016326768747467E-2</v>
      </c>
      <c r="J38" s="148">
        <f>'Toim ja inv rahavirta'!J31/'Veroposentin tuotto'!AP31*-1</f>
        <v>-4.1263105429623774</v>
      </c>
      <c r="K38" s="148">
        <f>'Toim ja inv rahavirta'!K31/'Veroposentin tuotto'!AQ31*-1</f>
        <v>-2.8538039187983788</v>
      </c>
      <c r="L38" s="148">
        <f>'Toim ja inv rahavirta'!L31/'Veroposentin tuotto'!AR31*-1</f>
        <v>-0.72021734310887542</v>
      </c>
      <c r="M38" s="148">
        <f>'Toim ja inv rahavirta'!M31/'Veroposentin tuotto'!AS31*-1</f>
        <v>-0.63612901452153103</v>
      </c>
      <c r="N38" s="148">
        <f>'Toim ja inv rahavirta'!N31/'Veroposentin tuotto'!AT31*-1</f>
        <v>7.3146990544250959E-2</v>
      </c>
      <c r="O38" s="148">
        <f>'Toim ja inv rahavirta'!O31/'Veroposentin tuotto'!AU31*-1</f>
        <v>0.40622560892013543</v>
      </c>
      <c r="P38" s="148">
        <f>'Toim ja inv rahavirta'!P31/'Veroposentin tuotto'!AV31*-1</f>
        <v>0.24582973946625333</v>
      </c>
    </row>
    <row r="39" spans="1:16" x14ac:dyDescent="0.2">
      <c r="A39" s="34">
        <v>74</v>
      </c>
      <c r="B39" s="88" t="s">
        <v>345</v>
      </c>
      <c r="C39" s="148" t="e">
        <f>'Toim ja inv rahavirta'!C32/'Veroposentin tuotto'!AI32*-1</f>
        <v>#REF!</v>
      </c>
      <c r="D39" s="148">
        <f>'Toim ja inv rahavirta'!D32/'Veroposentin tuotto'!AJ32*-1</f>
        <v>2.2384987893462469</v>
      </c>
      <c r="E39" s="148">
        <f>'Toim ja inv rahavirta'!E32/'Veroposentin tuotto'!AK32*-1</f>
        <v>-1.6392156862745098</v>
      </c>
      <c r="F39" s="148">
        <f>'Toim ja inv rahavirta'!F32/'Veroposentin tuotto'!AL32*-1</f>
        <v>4.2356080823484561</v>
      </c>
      <c r="G39" s="148">
        <f>'Toim ja inv rahavirta'!G32/'Veroposentin tuotto'!AM32*-1</f>
        <v>5.3304607225720915</v>
      </c>
      <c r="H39" s="148">
        <f>'Toim ja inv rahavirta'!H32/'Veroposentin tuotto'!AN32*-1</f>
        <v>-4.3120555590826255</v>
      </c>
      <c r="I39" s="148">
        <f>'Toim ja inv rahavirta'!I32/'Veroposentin tuotto'!AO32*-1</f>
        <v>8.0831925967199414</v>
      </c>
      <c r="J39" s="148">
        <f>'Toim ja inv rahavirta'!J32/'Veroposentin tuotto'!AP32*-1</f>
        <v>-3.8557951796999768</v>
      </c>
      <c r="K39" s="148">
        <f>'Toim ja inv rahavirta'!K32/'Veroposentin tuotto'!AQ32*-1</f>
        <v>2.3050732294576015</v>
      </c>
      <c r="L39" s="148">
        <f>'Toim ja inv rahavirta'!L32/'Veroposentin tuotto'!AR32*-1</f>
        <v>1.4433278018853679</v>
      </c>
      <c r="M39" s="148">
        <f>'Toim ja inv rahavirta'!M32/'Veroposentin tuotto'!AS32*-1</f>
        <v>3.3526280853473813</v>
      </c>
      <c r="N39" s="148">
        <f>'Toim ja inv rahavirta'!N32/'Veroposentin tuotto'!AT32*-1</f>
        <v>4.0748445987222484</v>
      </c>
      <c r="O39" s="148">
        <f>'Toim ja inv rahavirta'!O32/'Veroposentin tuotto'!AU32*-1</f>
        <v>5.0350230216635534</v>
      </c>
      <c r="P39" s="148">
        <f>'Toim ja inv rahavirta'!P32/'Veroposentin tuotto'!AV32*-1</f>
        <v>4.7529597939598061</v>
      </c>
    </row>
    <row r="40" spans="1:16" x14ac:dyDescent="0.2">
      <c r="A40" s="34">
        <v>75</v>
      </c>
      <c r="B40" s="88" t="s">
        <v>346</v>
      </c>
      <c r="C40" s="148" t="e">
        <f>'Toim ja inv rahavirta'!C33/'Veroposentin tuotto'!AI33*-1</f>
        <v>#REF!</v>
      </c>
      <c r="D40" s="148">
        <f>'Toim ja inv rahavirta'!D33/'Veroposentin tuotto'!AJ33*-1</f>
        <v>-0.62990554368604523</v>
      </c>
      <c r="E40" s="148">
        <f>'Toim ja inv rahavirta'!E33/'Veroposentin tuotto'!AK33*-1</f>
        <v>-1.1719573720310641</v>
      </c>
      <c r="F40" s="148">
        <f>'Toim ja inv rahavirta'!F33/'Veroposentin tuotto'!AL33*-1</f>
        <v>1.4696054343113167</v>
      </c>
      <c r="G40" s="148">
        <f>'Toim ja inv rahavirta'!G33/'Veroposentin tuotto'!AM33*-1</f>
        <v>0.67911180978581254</v>
      </c>
      <c r="H40" s="148">
        <f>'Toim ja inv rahavirta'!H33/'Veroposentin tuotto'!AN33*-1</f>
        <v>-0.82100871696176603</v>
      </c>
      <c r="I40" s="148">
        <f>'Toim ja inv rahavirta'!I33/'Veroposentin tuotto'!AO33*-1</f>
        <v>-0.95798852422640668</v>
      </c>
      <c r="J40" s="148">
        <f>'Toim ja inv rahavirta'!J33/'Veroposentin tuotto'!AP33*-1</f>
        <v>-3.108715758995686</v>
      </c>
      <c r="K40" s="148">
        <f>'Toim ja inv rahavirta'!K33/'Veroposentin tuotto'!AQ33*-1</f>
        <v>1.7059353172472846</v>
      </c>
      <c r="L40" s="148">
        <f>'Toim ja inv rahavirta'!L33/'Veroposentin tuotto'!AR33*-1</f>
        <v>2.0771995976135336</v>
      </c>
      <c r="M40" s="148">
        <f>'Toim ja inv rahavirta'!M33/'Veroposentin tuotto'!AS33*-1</f>
        <v>3.6006384774167883</v>
      </c>
      <c r="N40" s="148">
        <f>'Toim ja inv rahavirta'!N33/'Veroposentin tuotto'!AT33*-1</f>
        <v>2.824591849388614</v>
      </c>
      <c r="O40" s="148">
        <f>'Toim ja inv rahavirta'!O33/'Veroposentin tuotto'!AU33*-1</f>
        <v>2.853975147056198</v>
      </c>
      <c r="P40" s="148">
        <f>'Toim ja inv rahavirta'!P33/'Veroposentin tuotto'!AV33*-1</f>
        <v>2.4136420473868077</v>
      </c>
    </row>
    <row r="41" spans="1:16" x14ac:dyDescent="0.2">
      <c r="A41" s="34">
        <v>77</v>
      </c>
      <c r="B41" s="88" t="s">
        <v>347</v>
      </c>
      <c r="C41" s="148" t="e">
        <f>'Toim ja inv rahavirta'!C34/'Veroposentin tuotto'!AI34*-1</f>
        <v>#REF!</v>
      </c>
      <c r="D41" s="148">
        <f>'Toim ja inv rahavirta'!D34/'Veroposentin tuotto'!AJ34*-1</f>
        <v>-0.1593024974139205</v>
      </c>
      <c r="E41" s="148">
        <f>'Toim ja inv rahavirta'!E34/'Veroposentin tuotto'!AK34*-1</f>
        <v>-0.84705524273322175</v>
      </c>
      <c r="F41" s="148">
        <f>'Toim ja inv rahavirta'!F34/'Veroposentin tuotto'!AL34*-1</f>
        <v>0.29082701918426568</v>
      </c>
      <c r="G41" s="148">
        <f>'Toim ja inv rahavirta'!G34/'Veroposentin tuotto'!AM34*-1</f>
        <v>3.2933028919330289</v>
      </c>
      <c r="H41" s="148">
        <f>'Toim ja inv rahavirta'!H34/'Veroposentin tuotto'!AN34*-1</f>
        <v>-10.866390205019044</v>
      </c>
      <c r="I41" s="148">
        <f>'Toim ja inv rahavirta'!I34/'Veroposentin tuotto'!AO34*-1</f>
        <v>-4.5014165383698908</v>
      </c>
      <c r="J41" s="148">
        <f>'Toim ja inv rahavirta'!J34/'Veroposentin tuotto'!AP34*-1</f>
        <v>-1.2529154281636294</v>
      </c>
      <c r="K41" s="148">
        <f>'Toim ja inv rahavirta'!K34/'Veroposentin tuotto'!AQ34*-1</f>
        <v>-2.7519847577240157</v>
      </c>
      <c r="L41" s="148">
        <f>'Toim ja inv rahavirta'!L34/'Veroposentin tuotto'!AR34*-1</f>
        <v>-0.4053487030095107</v>
      </c>
      <c r="M41" s="148">
        <f>'Toim ja inv rahavirta'!M34/'Veroposentin tuotto'!AS34*-1</f>
        <v>0.84322582514440192</v>
      </c>
      <c r="N41" s="148">
        <f>'Toim ja inv rahavirta'!N34/'Veroposentin tuotto'!AT34*-1</f>
        <v>1.1573148812609713</v>
      </c>
      <c r="O41" s="148">
        <f>'Toim ja inv rahavirta'!O34/'Veroposentin tuotto'!AU34*-1</f>
        <v>1.4125992050202321</v>
      </c>
      <c r="P41" s="148">
        <f>'Toim ja inv rahavirta'!P34/'Veroposentin tuotto'!AV34*-1</f>
        <v>0.92124847149287148</v>
      </c>
    </row>
    <row r="42" spans="1:16" x14ac:dyDescent="0.2">
      <c r="A42" s="34">
        <v>78</v>
      </c>
      <c r="B42" s="88" t="s">
        <v>348</v>
      </c>
      <c r="C42" s="148" t="e">
        <f>'Toim ja inv rahavirta'!C35/'Veroposentin tuotto'!AI35*-1</f>
        <v>#REF!</v>
      </c>
      <c r="D42" s="148">
        <f>'Toim ja inv rahavirta'!D35/'Veroposentin tuotto'!AJ35*-1</f>
        <v>-0.78512445440603984</v>
      </c>
      <c r="E42" s="148">
        <f>'Toim ja inv rahavirta'!E35/'Veroposentin tuotto'!AK35*-1</f>
        <v>-2.361824103265719</v>
      </c>
      <c r="F42" s="148">
        <f>'Toim ja inv rahavirta'!F35/'Veroposentin tuotto'!AL35*-1</f>
        <v>-0.28536042177983817</v>
      </c>
      <c r="G42" s="148">
        <f>'Toim ja inv rahavirta'!G35/'Veroposentin tuotto'!AM35*-1</f>
        <v>0.4854183517569875</v>
      </c>
      <c r="H42" s="148">
        <f>'Toim ja inv rahavirta'!H35/'Veroposentin tuotto'!AN35*-1</f>
        <v>-2.1944282522702947</v>
      </c>
      <c r="I42" s="148">
        <f>'Toim ja inv rahavirta'!I35/'Veroposentin tuotto'!AO35*-1</f>
        <v>-2.7242029762230686</v>
      </c>
      <c r="J42" s="148">
        <f>'Toim ja inv rahavirta'!J35/'Veroposentin tuotto'!AP35*-1</f>
        <v>-1.8613056760993014</v>
      </c>
      <c r="K42" s="148">
        <f>'Toim ja inv rahavirta'!K35/'Veroposentin tuotto'!AQ35*-1</f>
        <v>-1.2451536852118501</v>
      </c>
      <c r="L42" s="148">
        <f>'Toim ja inv rahavirta'!L35/'Veroposentin tuotto'!AR35*-1</f>
        <v>-0.30999264672416804</v>
      </c>
      <c r="M42" s="148">
        <f>'Toim ja inv rahavirta'!M35/'Veroposentin tuotto'!AS35*-1</f>
        <v>3.8872771931289123E-3</v>
      </c>
      <c r="N42" s="148">
        <f>'Toim ja inv rahavirta'!N35/'Veroposentin tuotto'!AT35*-1</f>
        <v>-0.36289052483077361</v>
      </c>
      <c r="O42" s="148">
        <f>'Toim ja inv rahavirta'!O35/'Veroposentin tuotto'!AU35*-1</f>
        <v>-0.4166528845610929</v>
      </c>
      <c r="P42" s="148">
        <f>'Toim ja inv rahavirta'!P35/'Veroposentin tuotto'!AV35*-1</f>
        <v>-0.7721139325175651</v>
      </c>
    </row>
    <row r="43" spans="1:16" x14ac:dyDescent="0.2">
      <c r="A43" s="34">
        <v>79</v>
      </c>
      <c r="B43" s="88" t="s">
        <v>349</v>
      </c>
      <c r="C43" s="148" t="e">
        <f>'Toim ja inv rahavirta'!C36/'Veroposentin tuotto'!AI36*-1</f>
        <v>#REF!</v>
      </c>
      <c r="D43" s="148">
        <f>'Toim ja inv rahavirta'!D36/'Veroposentin tuotto'!AJ36*-1</f>
        <v>2.4689600885031062</v>
      </c>
      <c r="E43" s="148">
        <f>'Toim ja inv rahavirta'!E36/'Veroposentin tuotto'!AK36*-1</f>
        <v>-0.16935617516675641</v>
      </c>
      <c r="F43" s="148">
        <f>'Toim ja inv rahavirta'!F36/'Veroposentin tuotto'!AL36*-1</f>
        <v>2.0026925316034596</v>
      </c>
      <c r="G43" s="148">
        <f>'Toim ja inv rahavirta'!G36/'Veroposentin tuotto'!AM36*-1</f>
        <v>3.8829838905529024</v>
      </c>
      <c r="H43" s="148">
        <f>'Toim ja inv rahavirta'!H36/'Veroposentin tuotto'!AN36*-1</f>
        <v>-0.44140559819631647</v>
      </c>
      <c r="I43" s="148">
        <f>'Toim ja inv rahavirta'!I36/'Veroposentin tuotto'!AO36*-1</f>
        <v>-1.8760074239925226</v>
      </c>
      <c r="J43" s="148">
        <f>'Toim ja inv rahavirta'!J36/'Veroposentin tuotto'!AP36*-1</f>
        <v>-1.4370496622429465</v>
      </c>
      <c r="K43" s="148">
        <f>'Toim ja inv rahavirta'!K36/'Veroposentin tuotto'!AQ36*-1</f>
        <v>0.7309019862452999</v>
      </c>
      <c r="L43" s="148">
        <f>'Toim ja inv rahavirta'!L36/'Veroposentin tuotto'!AR36*-1</f>
        <v>2.022932667371435</v>
      </c>
      <c r="M43" s="148">
        <f>'Toim ja inv rahavirta'!M36/'Veroposentin tuotto'!AS36*-1</f>
        <v>3.1281226475090329</v>
      </c>
      <c r="N43" s="148">
        <f>'Toim ja inv rahavirta'!N36/'Veroposentin tuotto'!AT36*-1</f>
        <v>3.0545812682351836</v>
      </c>
      <c r="O43" s="148">
        <f>'Toim ja inv rahavirta'!O36/'Veroposentin tuotto'!AU36*-1</f>
        <v>2.8295874431540371</v>
      </c>
      <c r="P43" s="148">
        <f>'Toim ja inv rahavirta'!P36/'Veroposentin tuotto'!AV36*-1</f>
        <v>2.3330360891612378</v>
      </c>
    </row>
    <row r="44" spans="1:16" x14ac:dyDescent="0.2">
      <c r="A44" s="34">
        <v>81</v>
      </c>
      <c r="B44" s="88" t="s">
        <v>350</v>
      </c>
      <c r="C44" s="148" t="e">
        <f>'Toim ja inv rahavirta'!C37/'Veroposentin tuotto'!AI37*-1</f>
        <v>#REF!</v>
      </c>
      <c r="D44" s="148">
        <f>'Toim ja inv rahavirta'!D37/'Veroposentin tuotto'!AJ37*-1</f>
        <v>3.9923850775464578</v>
      </c>
      <c r="E44" s="148">
        <f>'Toim ja inv rahavirta'!E37/'Veroposentin tuotto'!AK37*-1</f>
        <v>-1.9209621993127148</v>
      </c>
      <c r="F44" s="148">
        <f>'Toim ja inv rahavirta'!F37/'Veroposentin tuotto'!AL37*-1</f>
        <v>1.1735937932945415</v>
      </c>
      <c r="G44" s="148">
        <f>'Toim ja inv rahavirta'!G37/'Veroposentin tuotto'!AM37*-1</f>
        <v>-9.6708494208494198</v>
      </c>
      <c r="H44" s="148">
        <f>'Toim ja inv rahavirta'!H37/'Veroposentin tuotto'!AN37*-1</f>
        <v>-4.7203698630961517</v>
      </c>
      <c r="I44" s="148">
        <f>'Toim ja inv rahavirta'!I37/'Veroposentin tuotto'!AO37*-1</f>
        <v>5.2457773197514896</v>
      </c>
      <c r="J44" s="148">
        <f>'Toim ja inv rahavirta'!J37/'Veroposentin tuotto'!AP37*-1</f>
        <v>-0.87481466016783638</v>
      </c>
      <c r="K44" s="148">
        <f>'Toim ja inv rahavirta'!K37/'Veroposentin tuotto'!AQ37*-1</f>
        <v>2.0180935516076293</v>
      </c>
      <c r="L44" s="148">
        <f>'Toim ja inv rahavirta'!L37/'Veroposentin tuotto'!AR37*-1</f>
        <v>1.6140583154908379</v>
      </c>
      <c r="M44" s="148">
        <f>'Toim ja inv rahavirta'!M37/'Veroposentin tuotto'!AS37*-1</f>
        <v>3.9337991298571287</v>
      </c>
      <c r="N44" s="148">
        <f>'Toim ja inv rahavirta'!N37/'Veroposentin tuotto'!AT37*-1</f>
        <v>5.1042239356833567</v>
      </c>
      <c r="O44" s="148">
        <f>'Toim ja inv rahavirta'!O37/'Veroposentin tuotto'!AU37*-1</f>
        <v>5.257521294334718</v>
      </c>
      <c r="P44" s="148">
        <f>'Toim ja inv rahavirta'!P37/'Veroposentin tuotto'!AV37*-1</f>
        <v>4.5956320790544005</v>
      </c>
    </row>
    <row r="45" spans="1:16" x14ac:dyDescent="0.2">
      <c r="A45" s="34">
        <v>82</v>
      </c>
      <c r="B45" s="88" t="s">
        <v>351</v>
      </c>
      <c r="C45" s="148" t="e">
        <f>'Toim ja inv rahavirta'!C38/'Veroposentin tuotto'!AI38*-1</f>
        <v>#REF!</v>
      </c>
      <c r="D45" s="148">
        <f>'Toim ja inv rahavirta'!D38/'Veroposentin tuotto'!AJ38*-1</f>
        <v>5.1336737759086812</v>
      </c>
      <c r="E45" s="148">
        <f>'Toim ja inv rahavirta'!E38/'Veroposentin tuotto'!AK38*-1</f>
        <v>-0.69696391903784094</v>
      </c>
      <c r="F45" s="148">
        <f>'Toim ja inv rahavirta'!F38/'Veroposentin tuotto'!AL38*-1</f>
        <v>-0.72107225696585331</v>
      </c>
      <c r="G45" s="148">
        <f>'Toim ja inv rahavirta'!G38/'Veroposentin tuotto'!AM38*-1</f>
        <v>0.57985872070400191</v>
      </c>
      <c r="H45" s="148">
        <f>'Toim ja inv rahavirta'!H38/'Veroposentin tuotto'!AN38*-1</f>
        <v>-1.3863424613212978</v>
      </c>
      <c r="I45" s="148">
        <f>'Toim ja inv rahavirta'!I38/'Veroposentin tuotto'!AO38*-1</f>
        <v>-5.4629220063389362E-2</v>
      </c>
      <c r="J45" s="148">
        <f>'Toim ja inv rahavirta'!J38/'Veroposentin tuotto'!AP38*-1</f>
        <v>0.36393452409888527</v>
      </c>
      <c r="K45" s="148">
        <f>'Toim ja inv rahavirta'!K38/'Veroposentin tuotto'!AQ38*-1</f>
        <v>-2.0903135841593032</v>
      </c>
      <c r="L45" s="148">
        <f>'Toim ja inv rahavirta'!L38/'Veroposentin tuotto'!AR38*-1</f>
        <v>0.1494812186994556</v>
      </c>
      <c r="M45" s="148">
        <f>'Toim ja inv rahavirta'!M38/'Veroposentin tuotto'!AS38*-1</f>
        <v>1.3631267733431278</v>
      </c>
      <c r="N45" s="148">
        <f>'Toim ja inv rahavirta'!N38/'Veroposentin tuotto'!AT38*-1</f>
        <v>1.0487234037440878</v>
      </c>
      <c r="O45" s="148">
        <f>'Toim ja inv rahavirta'!O38/'Veroposentin tuotto'!AU38*-1</f>
        <v>1.0147241366541717</v>
      </c>
      <c r="P45" s="148">
        <f>'Toim ja inv rahavirta'!P38/'Veroposentin tuotto'!AV38*-1</f>
        <v>0.65681715361551318</v>
      </c>
    </row>
    <row r="46" spans="1:16" x14ac:dyDescent="0.2">
      <c r="A46" s="34">
        <v>86</v>
      </c>
      <c r="B46" s="88" t="s">
        <v>352</v>
      </c>
      <c r="C46" s="148" t="e">
        <f>'Toim ja inv rahavirta'!C39/'Veroposentin tuotto'!AI39*-1</f>
        <v>#REF!</v>
      </c>
      <c r="D46" s="148">
        <f>'Toim ja inv rahavirta'!D39/'Veroposentin tuotto'!AJ39*-1</f>
        <v>-1.605017149774699</v>
      </c>
      <c r="E46" s="148">
        <f>'Toim ja inv rahavirta'!E39/'Veroposentin tuotto'!AK39*-1</f>
        <v>0.85379061371841147</v>
      </c>
      <c r="F46" s="148">
        <f>'Toim ja inv rahavirta'!F39/'Veroposentin tuotto'!AL39*-1</f>
        <v>-2.2282101772204375E-3</v>
      </c>
      <c r="G46" s="148">
        <f>'Toim ja inv rahavirta'!G39/'Veroposentin tuotto'!AM39*-1</f>
        <v>-0.12490345545518654</v>
      </c>
      <c r="H46" s="148">
        <f>'Toim ja inv rahavirta'!H39/'Veroposentin tuotto'!AN39*-1</f>
        <v>1.0016710139645113</v>
      </c>
      <c r="I46" s="148">
        <f>'Toim ja inv rahavirta'!I39/'Veroposentin tuotto'!AO39*-1</f>
        <v>-0.96382879024328338</v>
      </c>
      <c r="J46" s="148">
        <f>'Toim ja inv rahavirta'!J39/'Veroposentin tuotto'!AP39*-1</f>
        <v>-0.270574933579383</v>
      </c>
      <c r="K46" s="148">
        <f>'Toim ja inv rahavirta'!K39/'Veroposentin tuotto'!AQ39*-1</f>
        <v>-3.9109973668052155E-2</v>
      </c>
      <c r="L46" s="148">
        <f>'Toim ja inv rahavirta'!L39/'Veroposentin tuotto'!AR39*-1</f>
        <v>0.8179348274572884</v>
      </c>
      <c r="M46" s="148">
        <f>'Toim ja inv rahavirta'!M39/'Veroposentin tuotto'!AS39*-1</f>
        <v>1.9530322320612643</v>
      </c>
      <c r="N46" s="148">
        <f>'Toim ja inv rahavirta'!N39/'Veroposentin tuotto'!AT39*-1</f>
        <v>1.7744566767618342</v>
      </c>
      <c r="O46" s="148">
        <f>'Toim ja inv rahavirta'!O39/'Veroposentin tuotto'!AU39*-1</f>
        <v>1.6409399931060813</v>
      </c>
      <c r="P46" s="148">
        <f>'Toim ja inv rahavirta'!P39/'Veroposentin tuotto'!AV39*-1</f>
        <v>1.1952021093386573</v>
      </c>
    </row>
    <row r="47" spans="1:16" x14ac:dyDescent="0.2">
      <c r="A47" s="34">
        <v>90</v>
      </c>
      <c r="B47" s="88" t="s">
        <v>353</v>
      </c>
      <c r="C47" s="148" t="e">
        <f>'Toim ja inv rahavirta'!C40/'Veroposentin tuotto'!AI40*-1</f>
        <v>#REF!</v>
      </c>
      <c r="D47" s="148">
        <f>'Toim ja inv rahavirta'!D40/'Veroposentin tuotto'!AJ40*-1</f>
        <v>-0.46351273148148148</v>
      </c>
      <c r="E47" s="148">
        <f>'Toim ja inv rahavirta'!E40/'Veroposentin tuotto'!AK40*-1</f>
        <v>-4.1939434489178495</v>
      </c>
      <c r="F47" s="148">
        <f>'Toim ja inv rahavirta'!F40/'Veroposentin tuotto'!AL40*-1</f>
        <v>2.3097933070866143</v>
      </c>
      <c r="G47" s="148">
        <f>'Toim ja inv rahavirta'!G40/'Veroposentin tuotto'!AM40*-1</f>
        <v>-2.8323603002502082</v>
      </c>
      <c r="H47" s="148">
        <f>'Toim ja inv rahavirta'!H40/'Veroposentin tuotto'!AN40*-1</f>
        <v>-3.5494629174886212</v>
      </c>
      <c r="I47" s="148">
        <f>'Toim ja inv rahavirta'!I40/'Veroposentin tuotto'!AO40*-1</f>
        <v>-6.5794582713881207</v>
      </c>
      <c r="J47" s="148">
        <f>'Toim ja inv rahavirta'!J40/'Veroposentin tuotto'!AP40*-1</f>
        <v>-2.692995063056733</v>
      </c>
      <c r="K47" s="148">
        <f>'Toim ja inv rahavirta'!K40/'Veroposentin tuotto'!AQ40*-1</f>
        <v>-2.3127700812467968</v>
      </c>
      <c r="L47" s="148">
        <f>'Toim ja inv rahavirta'!L40/'Veroposentin tuotto'!AR40*-1</f>
        <v>0.89850260577509422</v>
      </c>
      <c r="M47" s="148">
        <f>'Toim ja inv rahavirta'!M40/'Veroposentin tuotto'!AS40*-1</f>
        <v>0.94626091576372562</v>
      </c>
      <c r="N47" s="148">
        <f>'Toim ja inv rahavirta'!N40/'Veroposentin tuotto'!AT40*-1</f>
        <v>0.71783752728089778</v>
      </c>
      <c r="O47" s="148">
        <f>'Toim ja inv rahavirta'!O40/'Veroposentin tuotto'!AU40*-1</f>
        <v>1.272777109213123</v>
      </c>
      <c r="P47" s="148">
        <f>'Toim ja inv rahavirta'!P40/'Veroposentin tuotto'!AV40*-1</f>
        <v>0.60293169491228016</v>
      </c>
    </row>
    <row r="48" spans="1:16" x14ac:dyDescent="0.2">
      <c r="A48" s="34">
        <v>91</v>
      </c>
      <c r="B48" s="88" t="s">
        <v>354</v>
      </c>
      <c r="C48" s="148" t="e">
        <f>'Toim ja inv rahavirta'!C41/'Veroposentin tuotto'!AI41*-1</f>
        <v>#REF!</v>
      </c>
      <c r="D48" s="148">
        <f>'Toim ja inv rahavirta'!D41/'Veroposentin tuotto'!AJ41*-1</f>
        <v>-1.136069770922054</v>
      </c>
      <c r="E48" s="148">
        <f>'Toim ja inv rahavirta'!E41/'Veroposentin tuotto'!AK41*-1</f>
        <v>-1.7468893922205713</v>
      </c>
      <c r="F48" s="148">
        <f>'Toim ja inv rahavirta'!F41/'Veroposentin tuotto'!AL41*-1</f>
        <v>-1.0513171371406052</v>
      </c>
      <c r="G48" s="148">
        <f>'Toim ja inv rahavirta'!G41/'Veroposentin tuotto'!AM41*-1</f>
        <v>0.22520723071401308</v>
      </c>
      <c r="H48" s="148">
        <f>'Toim ja inv rahavirta'!H41/'Veroposentin tuotto'!AN41*-1</f>
        <v>0.1142124648848498</v>
      </c>
      <c r="I48" s="148">
        <f>'Toim ja inv rahavirta'!I41/'Veroposentin tuotto'!AO41*-1</f>
        <v>0.25008639473508043</v>
      </c>
      <c r="J48" s="148">
        <f>'Toim ja inv rahavirta'!J41/'Veroposentin tuotto'!AP41*-1</f>
        <v>-2.8306778249923878</v>
      </c>
      <c r="K48" s="148">
        <f>'Toim ja inv rahavirta'!K41/'Veroposentin tuotto'!AQ41*-1</f>
        <v>-8.9392763185522639E-2</v>
      </c>
      <c r="L48" s="148">
        <f>'Toim ja inv rahavirta'!L41/'Veroposentin tuotto'!AR41*-1</f>
        <v>0.34373066741576302</v>
      </c>
      <c r="M48" s="148">
        <f>'Toim ja inv rahavirta'!M41/'Veroposentin tuotto'!AS41*-1</f>
        <v>0.85563383587422759</v>
      </c>
      <c r="N48" s="148">
        <f>'Toim ja inv rahavirta'!N41/'Veroposentin tuotto'!AT41*-1</f>
        <v>0.86515676085753856</v>
      </c>
      <c r="O48" s="148">
        <f>'Toim ja inv rahavirta'!O41/'Veroposentin tuotto'!AU41*-1</f>
        <v>0.85767533356548387</v>
      </c>
      <c r="P48" s="148">
        <f>'Toim ja inv rahavirta'!P41/'Veroposentin tuotto'!AV41*-1</f>
        <v>0.83531311187479729</v>
      </c>
    </row>
    <row r="49" spans="1:16" x14ac:dyDescent="0.2">
      <c r="A49" s="34">
        <v>92</v>
      </c>
      <c r="B49" s="88" t="s">
        <v>355</v>
      </c>
      <c r="C49" s="148" t="e">
        <f>'Toim ja inv rahavirta'!C42/'Veroposentin tuotto'!AI42*-1</f>
        <v>#REF!</v>
      </c>
      <c r="D49" s="148">
        <f>'Toim ja inv rahavirta'!D42/'Veroposentin tuotto'!AJ42*-1</f>
        <v>-1.2881288656056489</v>
      </c>
      <c r="E49" s="148">
        <f>'Toim ja inv rahavirta'!E42/'Veroposentin tuotto'!AK42*-1</f>
        <v>-1.4712019829544067</v>
      </c>
      <c r="F49" s="148">
        <f>'Toim ja inv rahavirta'!F42/'Veroposentin tuotto'!AL42*-1</f>
        <v>-0.17455088877639749</v>
      </c>
      <c r="G49" s="148">
        <f>'Toim ja inv rahavirta'!G42/'Veroposentin tuotto'!AM42*-1</f>
        <v>2.077120139291933</v>
      </c>
      <c r="H49" s="148">
        <f>'Toim ja inv rahavirta'!H42/'Veroposentin tuotto'!AN42*-1</f>
        <v>-0.60097831591283501</v>
      </c>
      <c r="I49" s="148">
        <f>'Toim ja inv rahavirta'!I42/'Veroposentin tuotto'!AO42*-1</f>
        <v>-1.5284457640808029</v>
      </c>
      <c r="J49" s="148">
        <f>'Toim ja inv rahavirta'!J42/'Veroposentin tuotto'!AP42*-1</f>
        <v>-0.10090063189591864</v>
      </c>
      <c r="K49" s="148">
        <f>'Toim ja inv rahavirta'!K42/'Veroposentin tuotto'!AQ42*-1</f>
        <v>-1.3748035801630223E-2</v>
      </c>
      <c r="L49" s="148">
        <f>'Toim ja inv rahavirta'!L42/'Veroposentin tuotto'!AR42*-1</f>
        <v>0.76184618521390157</v>
      </c>
      <c r="M49" s="148">
        <f>'Toim ja inv rahavirta'!M42/'Veroposentin tuotto'!AS42*-1</f>
        <v>1.3967519824319321</v>
      </c>
      <c r="N49" s="148">
        <f>'Toim ja inv rahavirta'!N42/'Veroposentin tuotto'!AT42*-1</f>
        <v>1.3112813474894836</v>
      </c>
      <c r="O49" s="148">
        <f>'Toim ja inv rahavirta'!O42/'Veroposentin tuotto'!AU42*-1</f>
        <v>1.3633710580162681</v>
      </c>
      <c r="P49" s="148">
        <f>'Toim ja inv rahavirta'!P42/'Veroposentin tuotto'!AV42*-1</f>
        <v>1.2468523756854537</v>
      </c>
    </row>
    <row r="50" spans="1:16" x14ac:dyDescent="0.2">
      <c r="A50" s="34">
        <v>97</v>
      </c>
      <c r="B50" s="88" t="s">
        <v>356</v>
      </c>
      <c r="C50" s="148" t="e">
        <f>'Toim ja inv rahavirta'!C43/'Veroposentin tuotto'!AI43*-1</f>
        <v>#REF!</v>
      </c>
      <c r="D50" s="148">
        <f>'Toim ja inv rahavirta'!D43/'Veroposentin tuotto'!AJ43*-1</f>
        <v>-0.72715525198449338</v>
      </c>
      <c r="E50" s="148">
        <f>'Toim ja inv rahavirta'!E43/'Veroposentin tuotto'!AK43*-1</f>
        <v>-3.8706079196876746</v>
      </c>
      <c r="F50" s="148">
        <f>'Toim ja inv rahavirta'!F43/'Veroposentin tuotto'!AL43*-1</f>
        <v>-5.017408832691955</v>
      </c>
      <c r="G50" s="148">
        <f>'Toim ja inv rahavirta'!G43/'Veroposentin tuotto'!AM43*-1</f>
        <v>-5.6311725623989943</v>
      </c>
      <c r="H50" s="148">
        <f>'Toim ja inv rahavirta'!H43/'Veroposentin tuotto'!AN43*-1</f>
        <v>0.18012734826773277</v>
      </c>
      <c r="I50" s="148">
        <f>'Toim ja inv rahavirta'!I43/'Veroposentin tuotto'!AO43*-1</f>
        <v>-2.8176917545820981</v>
      </c>
      <c r="J50" s="148">
        <f>'Toim ja inv rahavirta'!J43/'Veroposentin tuotto'!AP43*-1</f>
        <v>-4.3640198632700207</v>
      </c>
      <c r="K50" s="148">
        <f>'Toim ja inv rahavirta'!K43/'Veroposentin tuotto'!AQ43*-1</f>
        <v>-0.77810465842209575</v>
      </c>
      <c r="L50" s="148">
        <f>'Toim ja inv rahavirta'!L43/'Veroposentin tuotto'!AR43*-1</f>
        <v>0.75418320206881473</v>
      </c>
      <c r="M50" s="148">
        <f>'Toim ja inv rahavirta'!M43/'Veroposentin tuotto'!AS43*-1</f>
        <v>0.49521935126495137</v>
      </c>
      <c r="N50" s="148">
        <f>'Toim ja inv rahavirta'!N43/'Veroposentin tuotto'!AT43*-1</f>
        <v>8.5438035199929221E-2</v>
      </c>
      <c r="O50" s="148">
        <f>'Toim ja inv rahavirta'!O43/'Veroposentin tuotto'!AU43*-1</f>
        <v>0.37686194108207932</v>
      </c>
      <c r="P50" s="148">
        <f>'Toim ja inv rahavirta'!P43/'Veroposentin tuotto'!AV43*-1</f>
        <v>-2.763040787666543E-2</v>
      </c>
    </row>
    <row r="51" spans="1:16" x14ac:dyDescent="0.2">
      <c r="A51" s="34">
        <v>98</v>
      </c>
      <c r="B51" s="88" t="s">
        <v>357</v>
      </c>
      <c r="C51" s="148" t="e">
        <f>'Toim ja inv rahavirta'!C44/'Veroposentin tuotto'!AI44*-1</f>
        <v>#REF!</v>
      </c>
      <c r="D51" s="148">
        <f>'Toim ja inv rahavirta'!D44/'Veroposentin tuotto'!AJ44*-1</f>
        <v>-0.73217798481794816</v>
      </c>
      <c r="E51" s="148">
        <f>'Toim ja inv rahavirta'!E44/'Veroposentin tuotto'!AK44*-1</f>
        <v>-1.6622048374363023</v>
      </c>
      <c r="F51" s="148">
        <f>'Toim ja inv rahavirta'!F44/'Veroposentin tuotto'!AL44*-1</f>
        <v>-0.90240912155949238</v>
      </c>
      <c r="G51" s="148">
        <f>'Toim ja inv rahavirta'!G44/'Veroposentin tuotto'!AM44*-1</f>
        <v>-0.47743773769358239</v>
      </c>
      <c r="H51" s="148">
        <f>'Toim ja inv rahavirta'!H44/'Veroposentin tuotto'!AN44*-1</f>
        <v>-1.1976531257118035</v>
      </c>
      <c r="I51" s="148">
        <f>'Toim ja inv rahavirta'!I44/'Veroposentin tuotto'!AO44*-1</f>
        <v>-1.3842243176479301</v>
      </c>
      <c r="J51" s="148">
        <f>'Toim ja inv rahavirta'!J44/'Veroposentin tuotto'!AP44*-1</f>
        <v>-1.0042984563877775</v>
      </c>
      <c r="K51" s="148">
        <f>'Toim ja inv rahavirta'!K44/'Veroposentin tuotto'!AQ44*-1</f>
        <v>-3.2695844600192556</v>
      </c>
      <c r="L51" s="148">
        <f>'Toim ja inv rahavirta'!L44/'Veroposentin tuotto'!AR44*-1</f>
        <v>0.89309069812139807</v>
      </c>
      <c r="M51" s="148">
        <f>'Toim ja inv rahavirta'!M44/'Veroposentin tuotto'!AS44*-1</f>
        <v>1.056261355800741</v>
      </c>
      <c r="N51" s="148">
        <f>'Toim ja inv rahavirta'!N44/'Veroposentin tuotto'!AT44*-1</f>
        <v>1.1489361930998434</v>
      </c>
      <c r="O51" s="148">
        <f>'Toim ja inv rahavirta'!O44/'Veroposentin tuotto'!AU44*-1</f>
        <v>1.2495370170548901</v>
      </c>
      <c r="P51" s="148">
        <f>'Toim ja inv rahavirta'!P44/'Veroposentin tuotto'!AV44*-1</f>
        <v>0.92129984240519058</v>
      </c>
    </row>
    <row r="52" spans="1:16" x14ac:dyDescent="0.2">
      <c r="A52" s="34">
        <v>102</v>
      </c>
      <c r="B52" s="88" t="s">
        <v>359</v>
      </c>
      <c r="C52" s="148" t="e">
        <f>'Toim ja inv rahavirta'!C45/'Veroposentin tuotto'!AI45*-1</f>
        <v>#REF!</v>
      </c>
      <c r="D52" s="148">
        <f>'Toim ja inv rahavirta'!D45/'Veroposentin tuotto'!AJ45*-1</f>
        <v>0.68942838302155274</v>
      </c>
      <c r="E52" s="148">
        <f>'Toim ja inv rahavirta'!E45/'Veroposentin tuotto'!AK45*-1</f>
        <v>0.89377750898766928</v>
      </c>
      <c r="F52" s="148">
        <f>'Toim ja inv rahavirta'!F45/'Veroposentin tuotto'!AL45*-1</f>
        <v>3.5877935506484402</v>
      </c>
      <c r="G52" s="148">
        <f>'Toim ja inv rahavirta'!G45/'Veroposentin tuotto'!AM45*-1</f>
        <v>1.6991461231235367</v>
      </c>
      <c r="H52" s="148">
        <f>'Toim ja inv rahavirta'!H45/'Veroposentin tuotto'!AN45*-1</f>
        <v>-2.2036241292158545</v>
      </c>
      <c r="I52" s="148">
        <f>'Toim ja inv rahavirta'!I45/'Veroposentin tuotto'!AO45*-1</f>
        <v>-0.63151463350350578</v>
      </c>
      <c r="J52" s="148">
        <f>'Toim ja inv rahavirta'!J45/'Veroposentin tuotto'!AP45*-1</f>
        <v>-0.92748710162755543</v>
      </c>
      <c r="K52" s="148">
        <f>'Toim ja inv rahavirta'!K45/'Veroposentin tuotto'!AQ45*-1</f>
        <v>3.8932088433003558</v>
      </c>
      <c r="L52" s="148">
        <f>'Toim ja inv rahavirta'!L45/'Veroposentin tuotto'!AR45*-1</f>
        <v>1.7242205833194075</v>
      </c>
      <c r="M52" s="148">
        <f>'Toim ja inv rahavirta'!M45/'Veroposentin tuotto'!AS45*-1</f>
        <v>1.9463376456440353</v>
      </c>
      <c r="N52" s="148">
        <f>'Toim ja inv rahavirta'!N45/'Veroposentin tuotto'!AT45*-1</f>
        <v>1.7616924212952281</v>
      </c>
      <c r="O52" s="148">
        <f>'Toim ja inv rahavirta'!O45/'Veroposentin tuotto'!AU45*-1</f>
        <v>1.7924594622234655</v>
      </c>
      <c r="P52" s="148">
        <f>'Toim ja inv rahavirta'!P45/'Veroposentin tuotto'!AV45*-1</f>
        <v>1.3634749778936401</v>
      </c>
    </row>
    <row r="53" spans="1:16" x14ac:dyDescent="0.2">
      <c r="A53" s="34">
        <v>103</v>
      </c>
      <c r="B53" s="88" t="s">
        <v>360</v>
      </c>
      <c r="C53" s="148" t="e">
        <f>'Toim ja inv rahavirta'!C46/'Veroposentin tuotto'!AI46*-1</f>
        <v>#REF!</v>
      </c>
      <c r="D53" s="148">
        <f>'Toim ja inv rahavirta'!D46/'Veroposentin tuotto'!AJ46*-1</f>
        <v>1.4491059147180194</v>
      </c>
      <c r="E53" s="148">
        <f>'Toim ja inv rahavirta'!E46/'Veroposentin tuotto'!AK46*-1</f>
        <v>0.6550950172078408</v>
      </c>
      <c r="F53" s="148">
        <f>'Toim ja inv rahavirta'!F46/'Veroposentin tuotto'!AL46*-1</f>
        <v>6.2668352829592155</v>
      </c>
      <c r="G53" s="148">
        <f>'Toim ja inv rahavirta'!G46/'Veroposentin tuotto'!AM46*-1</f>
        <v>-3.0800651176557645</v>
      </c>
      <c r="H53" s="148">
        <f>'Toim ja inv rahavirta'!H46/'Veroposentin tuotto'!AN46*-1</f>
        <v>-2.2992341233226714</v>
      </c>
      <c r="I53" s="148">
        <f>'Toim ja inv rahavirta'!I46/'Veroposentin tuotto'!AO46*-1</f>
        <v>-2.9039724043653572</v>
      </c>
      <c r="J53" s="148">
        <f>'Toim ja inv rahavirta'!J46/'Veroposentin tuotto'!AP46*-1</f>
        <v>0.44732458449024509</v>
      </c>
      <c r="K53" s="148">
        <f>'Toim ja inv rahavirta'!K46/'Veroposentin tuotto'!AQ46*-1</f>
        <v>9.9519798631833523E-2</v>
      </c>
      <c r="L53" s="148">
        <f>'Toim ja inv rahavirta'!L46/'Veroposentin tuotto'!AR46*-1</f>
        <v>1.2325455359201511</v>
      </c>
      <c r="M53" s="148">
        <f>'Toim ja inv rahavirta'!M46/'Veroposentin tuotto'!AS46*-1</f>
        <v>3.6200131044199892</v>
      </c>
      <c r="N53" s="148">
        <f>'Toim ja inv rahavirta'!N46/'Veroposentin tuotto'!AT46*-1</f>
        <v>3.6576490984030872</v>
      </c>
      <c r="O53" s="148">
        <f>'Toim ja inv rahavirta'!O46/'Veroposentin tuotto'!AU46*-1</f>
        <v>3.8503416120555931</v>
      </c>
      <c r="P53" s="148">
        <f>'Toim ja inv rahavirta'!P46/'Veroposentin tuotto'!AV46*-1</f>
        <v>3.4462247908547239</v>
      </c>
    </row>
    <row r="54" spans="1:16" x14ac:dyDescent="0.2">
      <c r="A54" s="34">
        <v>105</v>
      </c>
      <c r="B54" s="88" t="s">
        <v>361</v>
      </c>
      <c r="C54" s="148" t="e">
        <f>'Toim ja inv rahavirta'!C47/'Veroposentin tuotto'!AI47*-1</f>
        <v>#REF!</v>
      </c>
      <c r="D54" s="148">
        <f>'Toim ja inv rahavirta'!D47/'Veroposentin tuotto'!AJ47*-1</f>
        <v>-0.45155709342560552</v>
      </c>
      <c r="E54" s="148">
        <f>'Toim ja inv rahavirta'!E47/'Veroposentin tuotto'!AK47*-1</f>
        <v>-5.382663678565712</v>
      </c>
      <c r="F54" s="148">
        <f>'Toim ja inv rahavirta'!F47/'Veroposentin tuotto'!AL47*-1</f>
        <v>-0.62718846549948504</v>
      </c>
      <c r="G54" s="148">
        <f>'Toim ja inv rahavirta'!G47/'Veroposentin tuotto'!AM47*-1</f>
        <v>-2.4322656123930932</v>
      </c>
      <c r="H54" s="148">
        <f>'Toim ja inv rahavirta'!H47/'Veroposentin tuotto'!AN47*-1</f>
        <v>-2.1928299316856044</v>
      </c>
      <c r="I54" s="148">
        <f>'Toim ja inv rahavirta'!I47/'Veroposentin tuotto'!AO47*-1</f>
        <v>2.3190747196729888</v>
      </c>
      <c r="J54" s="148">
        <f>'Toim ja inv rahavirta'!J47/'Veroposentin tuotto'!AP47*-1</f>
        <v>-3.5717027546369047</v>
      </c>
      <c r="K54" s="148">
        <f>'Toim ja inv rahavirta'!K47/'Veroposentin tuotto'!AQ47*-1</f>
        <v>-1.7148767896500019</v>
      </c>
      <c r="L54" s="148">
        <f>'Toim ja inv rahavirta'!L47/'Veroposentin tuotto'!AR47*-1</f>
        <v>-2.6054840538247968</v>
      </c>
      <c r="M54" s="148">
        <f>'Toim ja inv rahavirta'!M47/'Veroposentin tuotto'!AS47*-1</f>
        <v>-1.7822996080066136</v>
      </c>
      <c r="N54" s="148">
        <f>'Toim ja inv rahavirta'!N47/'Veroposentin tuotto'!AT47*-1</f>
        <v>-1.1274813584794927</v>
      </c>
      <c r="O54" s="148">
        <f>'Toim ja inv rahavirta'!O47/'Veroposentin tuotto'!AU47*-1</f>
        <v>-0.82077379465402911</v>
      </c>
      <c r="P54" s="148">
        <f>'Toim ja inv rahavirta'!P47/'Veroposentin tuotto'!AV47*-1</f>
        <v>-1.574668783314094</v>
      </c>
    </row>
    <row r="55" spans="1:16" x14ac:dyDescent="0.2">
      <c r="A55" s="34">
        <v>106</v>
      </c>
      <c r="B55" s="88" t="s">
        <v>362</v>
      </c>
      <c r="C55" s="148" t="e">
        <f>'Toim ja inv rahavirta'!C48/'Veroposentin tuotto'!AI48*-1</f>
        <v>#REF!</v>
      </c>
      <c r="D55" s="148">
        <f>'Toim ja inv rahavirta'!D48/'Veroposentin tuotto'!AJ48*-1</f>
        <v>-1.2534671511861912</v>
      </c>
      <c r="E55" s="148">
        <f>'Toim ja inv rahavirta'!E48/'Veroposentin tuotto'!AK48*-1</f>
        <v>-0.94370115724198333</v>
      </c>
      <c r="F55" s="148">
        <f>'Toim ja inv rahavirta'!F48/'Veroposentin tuotto'!AL48*-1</f>
        <v>-0.2007222091508519</v>
      </c>
      <c r="G55" s="148">
        <f>'Toim ja inv rahavirta'!G48/'Veroposentin tuotto'!AM48*-1</f>
        <v>4.2649761208095072</v>
      </c>
      <c r="H55" s="148">
        <f>'Toim ja inv rahavirta'!H48/'Veroposentin tuotto'!AN48*-1</f>
        <v>1.132995699193083</v>
      </c>
      <c r="I55" s="148">
        <f>'Toim ja inv rahavirta'!I48/'Veroposentin tuotto'!AO48*-1</f>
        <v>-2.6671020775002883</v>
      </c>
      <c r="J55" s="148">
        <f>'Toim ja inv rahavirta'!J48/'Veroposentin tuotto'!AP48*-1</f>
        <v>-1.333812809371048</v>
      </c>
      <c r="K55" s="148">
        <f>'Toim ja inv rahavirta'!K48/'Veroposentin tuotto'!AQ48*-1</f>
        <v>-1.9600754589632539</v>
      </c>
      <c r="L55" s="148">
        <f>'Toim ja inv rahavirta'!L48/'Veroposentin tuotto'!AR48*-1</f>
        <v>0.79694078454199069</v>
      </c>
      <c r="M55" s="148">
        <f>'Toim ja inv rahavirta'!M48/'Veroposentin tuotto'!AS48*-1</f>
        <v>0.90453867079382144</v>
      </c>
      <c r="N55" s="148">
        <f>'Toim ja inv rahavirta'!N48/'Veroposentin tuotto'!AT48*-1</f>
        <v>0.97136623167577596</v>
      </c>
      <c r="O55" s="148">
        <f>'Toim ja inv rahavirta'!O48/'Veroposentin tuotto'!AU48*-1</f>
        <v>0.97512880479996766</v>
      </c>
      <c r="P55" s="148">
        <f>'Toim ja inv rahavirta'!P48/'Veroposentin tuotto'!AV48*-1</f>
        <v>0.78655683014463429</v>
      </c>
    </row>
    <row r="56" spans="1:16" x14ac:dyDescent="0.2">
      <c r="A56" s="34">
        <v>108</v>
      </c>
      <c r="B56" s="88" t="s">
        <v>363</v>
      </c>
      <c r="C56" s="148" t="e">
        <f>'Toim ja inv rahavirta'!C49/'Veroposentin tuotto'!AI49*-1</f>
        <v>#REF!</v>
      </c>
      <c r="D56" s="148">
        <f>'Toim ja inv rahavirta'!D49/'Veroposentin tuotto'!AJ49*-1</f>
        <v>3.6628581958905375</v>
      </c>
      <c r="E56" s="148">
        <f>'Toim ja inv rahavirta'!E49/'Veroposentin tuotto'!AK49*-1</f>
        <v>1.0370735669528892</v>
      </c>
      <c r="F56" s="148">
        <f>'Toim ja inv rahavirta'!F49/'Veroposentin tuotto'!AL49*-1</f>
        <v>2.5094485381507012</v>
      </c>
      <c r="G56" s="148">
        <f>'Toim ja inv rahavirta'!G49/'Veroposentin tuotto'!AM49*-1</f>
        <v>-0.21203252032520326</v>
      </c>
      <c r="H56" s="148">
        <f>'Toim ja inv rahavirta'!H49/'Veroposentin tuotto'!AN49*-1</f>
        <v>-3.0903026483904132</v>
      </c>
      <c r="I56" s="148">
        <f>'Toim ja inv rahavirta'!I49/'Veroposentin tuotto'!AO49*-1</f>
        <v>-0.83450757301075118</v>
      </c>
      <c r="J56" s="148">
        <f>'Toim ja inv rahavirta'!J49/'Veroposentin tuotto'!AP49*-1</f>
        <v>-2.2130100012315914</v>
      </c>
      <c r="K56" s="148">
        <f>'Toim ja inv rahavirta'!K49/'Veroposentin tuotto'!AQ49*-1</f>
        <v>-1.3180454438222502</v>
      </c>
      <c r="L56" s="148">
        <f>'Toim ja inv rahavirta'!L49/'Veroposentin tuotto'!AR49*-1</f>
        <v>-0.92707228034203237</v>
      </c>
      <c r="M56" s="148">
        <f>'Toim ja inv rahavirta'!M49/'Veroposentin tuotto'!AS49*-1</f>
        <v>-5.445501851984054E-2</v>
      </c>
      <c r="N56" s="148">
        <f>'Toim ja inv rahavirta'!N49/'Veroposentin tuotto'!AT49*-1</f>
        <v>-0.38885041100315526</v>
      </c>
      <c r="O56" s="148">
        <f>'Toim ja inv rahavirta'!O49/'Veroposentin tuotto'!AU49*-1</f>
        <v>-0.38237190664152798</v>
      </c>
      <c r="P56" s="148">
        <f>'Toim ja inv rahavirta'!P49/'Veroposentin tuotto'!AV49*-1</f>
        <v>-0.8964397871826425</v>
      </c>
    </row>
    <row r="57" spans="1:16" x14ac:dyDescent="0.2">
      <c r="A57" s="34">
        <v>109</v>
      </c>
      <c r="B57" s="88" t="s">
        <v>364</v>
      </c>
      <c r="C57" s="148" t="e">
        <f>'Toim ja inv rahavirta'!C50/'Veroposentin tuotto'!AI50*-1</f>
        <v>#REF!</v>
      </c>
      <c r="D57" s="148">
        <f>'Toim ja inv rahavirta'!D50/'Veroposentin tuotto'!AJ50*-1</f>
        <v>1.7353779411702708</v>
      </c>
      <c r="E57" s="148">
        <f>'Toim ja inv rahavirta'!E50/'Veroposentin tuotto'!AK50*-1</f>
        <v>-2.7359956328210297E-2</v>
      </c>
      <c r="F57" s="148">
        <f>'Toim ja inv rahavirta'!F50/'Veroposentin tuotto'!AL50*-1</f>
        <v>1.8419798228718975</v>
      </c>
      <c r="G57" s="148">
        <f>'Toim ja inv rahavirta'!G50/'Veroposentin tuotto'!AM50*-1</f>
        <v>2.2816777893639211</v>
      </c>
      <c r="H57" s="148">
        <f>'Toim ja inv rahavirta'!H50/'Veroposentin tuotto'!AN50*-1</f>
        <v>-0.33016483048819395</v>
      </c>
      <c r="I57" s="148">
        <f>'Toim ja inv rahavirta'!I50/'Veroposentin tuotto'!AO50*-1</f>
        <v>-0.80687639975640046</v>
      </c>
      <c r="J57" s="148">
        <f>'Toim ja inv rahavirta'!J50/'Veroposentin tuotto'!AP50*-1</f>
        <v>-0.80462742348308613</v>
      </c>
      <c r="K57" s="148">
        <f>'Toim ja inv rahavirta'!K50/'Veroposentin tuotto'!AQ50*-1</f>
        <v>-1.1686129535568481</v>
      </c>
      <c r="L57" s="148">
        <f>'Toim ja inv rahavirta'!L50/'Veroposentin tuotto'!AR50*-1</f>
        <v>-0.59106881074129081</v>
      </c>
      <c r="M57" s="148">
        <f>'Toim ja inv rahavirta'!M50/'Veroposentin tuotto'!AS50*-1</f>
        <v>-0.11388746815014122</v>
      </c>
      <c r="N57" s="148">
        <f>'Toim ja inv rahavirta'!N50/'Veroposentin tuotto'!AT50*-1</f>
        <v>7.5753569813179576E-3</v>
      </c>
      <c r="O57" s="148">
        <f>'Toim ja inv rahavirta'!O50/'Veroposentin tuotto'!AU50*-1</f>
        <v>1.4491558286412399E-2</v>
      </c>
      <c r="P57" s="148">
        <f>'Toim ja inv rahavirta'!P50/'Veroposentin tuotto'!AV50*-1</f>
        <v>-0.24583508284243963</v>
      </c>
    </row>
    <row r="58" spans="1:16" x14ac:dyDescent="0.2">
      <c r="A58" s="34">
        <v>111</v>
      </c>
      <c r="B58" s="88" t="s">
        <v>365</v>
      </c>
      <c r="C58" s="148" t="e">
        <f>'Toim ja inv rahavirta'!C51/'Veroposentin tuotto'!AI51*-1</f>
        <v>#REF!</v>
      </c>
      <c r="D58" s="148">
        <f>'Toim ja inv rahavirta'!D51/'Veroposentin tuotto'!AJ51*-1</f>
        <v>0.94634688486566587</v>
      </c>
      <c r="E58" s="148">
        <f>'Toim ja inv rahavirta'!E51/'Veroposentin tuotto'!AK51*-1</f>
        <v>0.7633502992522837</v>
      </c>
      <c r="F58" s="148">
        <f>'Toim ja inv rahavirta'!F51/'Veroposentin tuotto'!AL51*-1</f>
        <v>0.94383942633113294</v>
      </c>
      <c r="G58" s="148">
        <f>'Toim ja inv rahavirta'!G51/'Veroposentin tuotto'!AM51*-1</f>
        <v>4.2086622862866943</v>
      </c>
      <c r="H58" s="148">
        <f>'Toim ja inv rahavirta'!H51/'Veroposentin tuotto'!AN51*-1</f>
        <v>0.39195764043036818</v>
      </c>
      <c r="I58" s="148">
        <f>'Toim ja inv rahavirta'!I51/'Veroposentin tuotto'!AO51*-1</f>
        <v>1.9423261744666822</v>
      </c>
      <c r="J58" s="148">
        <f>'Toim ja inv rahavirta'!J51/'Veroposentin tuotto'!AP51*-1</f>
        <v>2.1616171780993558</v>
      </c>
      <c r="K58" s="148">
        <f>'Toim ja inv rahavirta'!K51/'Veroposentin tuotto'!AQ51*-1</f>
        <v>-1.667735205103464</v>
      </c>
      <c r="L58" s="148">
        <f>'Toim ja inv rahavirta'!L51/'Veroposentin tuotto'!AR51*-1</f>
        <v>0.88520110188781576</v>
      </c>
      <c r="M58" s="148">
        <f>'Toim ja inv rahavirta'!M51/'Veroposentin tuotto'!AS51*-1</f>
        <v>1.9488627002782979</v>
      </c>
      <c r="N58" s="148">
        <f>'Toim ja inv rahavirta'!N51/'Veroposentin tuotto'!AT51*-1</f>
        <v>2.4226163088705008</v>
      </c>
      <c r="O58" s="148">
        <f>'Toim ja inv rahavirta'!O51/'Veroposentin tuotto'!AU51*-1</f>
        <v>2.6659442807049665</v>
      </c>
      <c r="P58" s="148">
        <f>'Toim ja inv rahavirta'!P51/'Veroposentin tuotto'!AV51*-1</f>
        <v>2.199387725024692</v>
      </c>
    </row>
    <row r="59" spans="1:16" x14ac:dyDescent="0.2">
      <c r="A59" s="34">
        <v>139</v>
      </c>
      <c r="B59" s="88" t="s">
        <v>366</v>
      </c>
      <c r="C59" s="148" t="e">
        <f>'Toim ja inv rahavirta'!C52/'Veroposentin tuotto'!AI52*-1</f>
        <v>#REF!</v>
      </c>
      <c r="D59" s="148">
        <f>'Toim ja inv rahavirta'!D52/'Veroposentin tuotto'!AJ52*-1</f>
        <v>3.3237200197650996</v>
      </c>
      <c r="E59" s="148">
        <f>'Toim ja inv rahavirta'!E52/'Veroposentin tuotto'!AK52*-1</f>
        <v>2.5811334235860408</v>
      </c>
      <c r="F59" s="148">
        <f>'Toim ja inv rahavirta'!F52/'Veroposentin tuotto'!AL52*-1</f>
        <v>3.7567952735097587</v>
      </c>
      <c r="G59" s="148">
        <f>'Toim ja inv rahavirta'!G52/'Veroposentin tuotto'!AM52*-1</f>
        <v>5.3853360090928462</v>
      </c>
      <c r="H59" s="148">
        <f>'Toim ja inv rahavirta'!H52/'Veroposentin tuotto'!AN52*-1</f>
        <v>-0.18453262546162599</v>
      </c>
      <c r="I59" s="148">
        <f>'Toim ja inv rahavirta'!I52/'Veroposentin tuotto'!AO52*-1</f>
        <v>-1.1497832417781533</v>
      </c>
      <c r="J59" s="148">
        <f>'Toim ja inv rahavirta'!J52/'Veroposentin tuotto'!AP52*-1</f>
        <v>0.15489128905097629</v>
      </c>
      <c r="K59" s="148">
        <f>'Toim ja inv rahavirta'!K52/'Veroposentin tuotto'!AQ52*-1</f>
        <v>-1.9994930897797787</v>
      </c>
      <c r="L59" s="148">
        <f>'Toim ja inv rahavirta'!L52/'Veroposentin tuotto'!AR52*-1</f>
        <v>1.6296532625230213</v>
      </c>
      <c r="M59" s="148">
        <f>'Toim ja inv rahavirta'!M52/'Veroposentin tuotto'!AS52*-1</f>
        <v>1.5554140927220081</v>
      </c>
      <c r="N59" s="148">
        <f>'Toim ja inv rahavirta'!N52/'Veroposentin tuotto'!AT52*-1</f>
        <v>1.5269948202246921</v>
      </c>
      <c r="O59" s="148">
        <f>'Toim ja inv rahavirta'!O52/'Veroposentin tuotto'!AU52*-1</f>
        <v>1.545041675590811</v>
      </c>
      <c r="P59" s="148">
        <f>'Toim ja inv rahavirta'!P52/'Veroposentin tuotto'!AV52*-1</f>
        <v>1.0203231915863666</v>
      </c>
    </row>
    <row r="60" spans="1:16" x14ac:dyDescent="0.2">
      <c r="A60" s="34">
        <v>140</v>
      </c>
      <c r="B60" s="88" t="s">
        <v>367</v>
      </c>
      <c r="C60" s="148" t="e">
        <f>'Toim ja inv rahavirta'!C53/'Veroposentin tuotto'!AI53*-1</f>
        <v>#REF!</v>
      </c>
      <c r="D60" s="148">
        <f>'Toim ja inv rahavirta'!D53/'Veroposentin tuotto'!AJ53*-1</f>
        <v>3.4035897277609726</v>
      </c>
      <c r="E60" s="148">
        <f>'Toim ja inv rahavirta'!E53/'Veroposentin tuotto'!AK53*-1</f>
        <v>1.2945897372335151</v>
      </c>
      <c r="F60" s="148">
        <f>'Toim ja inv rahavirta'!F53/'Veroposentin tuotto'!AL53*-1</f>
        <v>0.62390185742971882</v>
      </c>
      <c r="G60" s="148">
        <f>'Toim ja inv rahavirta'!G53/'Veroposentin tuotto'!AM53*-1</f>
        <v>1.0116524613242337</v>
      </c>
      <c r="H60" s="148">
        <f>'Toim ja inv rahavirta'!H53/'Veroposentin tuotto'!AN53*-1</f>
        <v>-0.72691793840638497</v>
      </c>
      <c r="I60" s="148">
        <f>'Toim ja inv rahavirta'!I53/'Veroposentin tuotto'!AO53*-1</f>
        <v>1.6853726164761396</v>
      </c>
      <c r="J60" s="148">
        <f>'Toim ja inv rahavirta'!J53/'Veroposentin tuotto'!AP53*-1</f>
        <v>1.102311945410511</v>
      </c>
      <c r="K60" s="148">
        <f>'Toim ja inv rahavirta'!K53/'Veroposentin tuotto'!AQ53*-1</f>
        <v>6.8824581598772205</v>
      </c>
      <c r="L60" s="148">
        <f>'Toim ja inv rahavirta'!L53/'Veroposentin tuotto'!AR53*-1</f>
        <v>2.670964741832615</v>
      </c>
      <c r="M60" s="148">
        <f>'Toim ja inv rahavirta'!M53/'Veroposentin tuotto'!AS53*-1</f>
        <v>3.6888029117966008</v>
      </c>
      <c r="N60" s="148">
        <f>'Toim ja inv rahavirta'!N53/'Veroposentin tuotto'!AT53*-1</f>
        <v>3.8458931939555239</v>
      </c>
      <c r="O60" s="148">
        <f>'Toim ja inv rahavirta'!O53/'Veroposentin tuotto'!AU53*-1</f>
        <v>4.1376770967132783</v>
      </c>
      <c r="P60" s="148">
        <f>'Toim ja inv rahavirta'!P53/'Veroposentin tuotto'!AV53*-1</f>
        <v>3.7033064423933486</v>
      </c>
    </row>
    <row r="61" spans="1:16" x14ac:dyDescent="0.2">
      <c r="A61" s="34">
        <v>142</v>
      </c>
      <c r="B61" s="88" t="s">
        <v>368</v>
      </c>
      <c r="C61" s="148" t="e">
        <f>'Toim ja inv rahavirta'!C54/'Veroposentin tuotto'!AI54*-1</f>
        <v>#REF!</v>
      </c>
      <c r="D61" s="148">
        <f>'Toim ja inv rahavirta'!D54/'Veroposentin tuotto'!AJ54*-1</f>
        <v>-0.12473707932692309</v>
      </c>
      <c r="E61" s="148">
        <f>'Toim ja inv rahavirta'!E54/'Veroposentin tuotto'!AK54*-1</f>
        <v>-0.22140454163162321</v>
      </c>
      <c r="F61" s="148">
        <f>'Toim ja inv rahavirta'!F54/'Veroposentin tuotto'!AL54*-1</f>
        <v>0.39545243259993801</v>
      </c>
      <c r="G61" s="148">
        <f>'Toim ja inv rahavirta'!G54/'Veroposentin tuotto'!AM54*-1</f>
        <v>2.451073627308674</v>
      </c>
      <c r="H61" s="148">
        <f>'Toim ja inv rahavirta'!H54/'Veroposentin tuotto'!AN54*-1</f>
        <v>-5.1658254209692007</v>
      </c>
      <c r="I61" s="148">
        <f>'Toim ja inv rahavirta'!I54/'Veroposentin tuotto'!AO54*-1</f>
        <v>-3.6615451565226897</v>
      </c>
      <c r="J61" s="148">
        <f>'Toim ja inv rahavirta'!J54/'Veroposentin tuotto'!AP54*-1</f>
        <v>-3.176456967060842</v>
      </c>
      <c r="K61" s="148">
        <f>'Toim ja inv rahavirta'!K54/'Veroposentin tuotto'!AQ54*-1</f>
        <v>-1.2848121504146259</v>
      </c>
      <c r="L61" s="148">
        <f>'Toim ja inv rahavirta'!L54/'Veroposentin tuotto'!AR54*-1</f>
        <v>-3.2715659892519935</v>
      </c>
      <c r="M61" s="148">
        <f>'Toim ja inv rahavirta'!M54/'Veroposentin tuotto'!AS54*-1</f>
        <v>1.7042474022051664</v>
      </c>
      <c r="N61" s="148">
        <f>'Toim ja inv rahavirta'!N54/'Veroposentin tuotto'!AT54*-1</f>
        <v>1.6179998295370457</v>
      </c>
      <c r="O61" s="148">
        <f>'Toim ja inv rahavirta'!O54/'Veroposentin tuotto'!AU54*-1</f>
        <v>1.9070181003138613</v>
      </c>
      <c r="P61" s="148">
        <f>'Toim ja inv rahavirta'!P54/'Veroposentin tuotto'!AV54*-1</f>
        <v>1.3418317504706114</v>
      </c>
    </row>
    <row r="62" spans="1:16" x14ac:dyDescent="0.2">
      <c r="A62" s="34">
        <v>143</v>
      </c>
      <c r="B62" s="88" t="s">
        <v>369</v>
      </c>
      <c r="C62" s="148" t="e">
        <f>'Toim ja inv rahavirta'!C55/'Veroposentin tuotto'!AI55*-1</f>
        <v>#REF!</v>
      </c>
      <c r="D62" s="148">
        <f>'Toim ja inv rahavirta'!D55/'Veroposentin tuotto'!AJ55*-1</f>
        <v>3.6431215523081391</v>
      </c>
      <c r="E62" s="148">
        <f>'Toim ja inv rahavirta'!E55/'Veroposentin tuotto'!AK55*-1</f>
        <v>1.2679535376903799</v>
      </c>
      <c r="F62" s="148">
        <f>'Toim ja inv rahavirta'!F55/'Veroposentin tuotto'!AL55*-1</f>
        <v>2.971873920126376</v>
      </c>
      <c r="G62" s="148">
        <f>'Toim ja inv rahavirta'!G55/'Veroposentin tuotto'!AM55*-1</f>
        <v>1.584631958711229</v>
      </c>
      <c r="H62" s="148">
        <f>'Toim ja inv rahavirta'!H55/'Veroposentin tuotto'!AN55*-1</f>
        <v>-4.9171650894818955</v>
      </c>
      <c r="I62" s="148">
        <f>'Toim ja inv rahavirta'!I55/'Veroposentin tuotto'!AO55*-1</f>
        <v>0.8562905106341212</v>
      </c>
      <c r="J62" s="148">
        <f>'Toim ja inv rahavirta'!J55/'Veroposentin tuotto'!AP55*-1</f>
        <v>1.5832466808539734</v>
      </c>
      <c r="K62" s="148">
        <f>'Toim ja inv rahavirta'!K55/'Veroposentin tuotto'!AQ55*-1</f>
        <v>0.22667293009583536</v>
      </c>
      <c r="L62" s="148">
        <f>'Toim ja inv rahavirta'!L55/'Veroposentin tuotto'!AR55*-1</f>
        <v>0.11445036996724968</v>
      </c>
      <c r="M62" s="148">
        <f>'Toim ja inv rahavirta'!M55/'Veroposentin tuotto'!AS55*-1</f>
        <v>1.314428171450112</v>
      </c>
      <c r="N62" s="148">
        <f>'Toim ja inv rahavirta'!N55/'Veroposentin tuotto'!AT55*-1</f>
        <v>1.4090343950570394</v>
      </c>
      <c r="O62" s="148">
        <f>'Toim ja inv rahavirta'!O55/'Veroposentin tuotto'!AU55*-1</f>
        <v>1.1248146744181726</v>
      </c>
      <c r="P62" s="148">
        <f>'Toim ja inv rahavirta'!P55/'Veroposentin tuotto'!AV55*-1</f>
        <v>0.60317346455537169</v>
      </c>
    </row>
    <row r="63" spans="1:16" x14ac:dyDescent="0.2">
      <c r="A63" s="34">
        <v>145</v>
      </c>
      <c r="B63" s="88" t="s">
        <v>370</v>
      </c>
      <c r="C63" s="148" t="e">
        <f>'Toim ja inv rahavirta'!C56/'Veroposentin tuotto'!AI56*-1</f>
        <v>#REF!</v>
      </c>
      <c r="D63" s="148">
        <f>'Toim ja inv rahavirta'!D56/'Veroposentin tuotto'!AJ56*-1</f>
        <v>-8.1411097171532845E-2</v>
      </c>
      <c r="E63" s="148">
        <f>'Toim ja inv rahavirta'!E56/'Veroposentin tuotto'!AK56*-1</f>
        <v>-0.5078892802363234</v>
      </c>
      <c r="F63" s="148">
        <f>'Toim ja inv rahavirta'!F56/'Veroposentin tuotto'!AL56*-1</f>
        <v>0.66637670412412298</v>
      </c>
      <c r="G63" s="148">
        <f>'Toim ja inv rahavirta'!G56/'Veroposentin tuotto'!AM56*-1</f>
        <v>2.907278662550878</v>
      </c>
      <c r="H63" s="148">
        <f>'Toim ja inv rahavirta'!H56/'Veroposentin tuotto'!AN56*-1</f>
        <v>3.3549524610179802</v>
      </c>
      <c r="I63" s="148">
        <f>'Toim ja inv rahavirta'!I56/'Veroposentin tuotto'!AO56*-1</f>
        <v>3.2729884445934609</v>
      </c>
      <c r="J63" s="148">
        <f>'Toim ja inv rahavirta'!J56/'Veroposentin tuotto'!AP56*-1</f>
        <v>3.4921184887016175</v>
      </c>
      <c r="K63" s="148">
        <f>'Toim ja inv rahavirta'!K56/'Veroposentin tuotto'!AQ56*-1</f>
        <v>-0.3739790838152377</v>
      </c>
      <c r="L63" s="148">
        <f>'Toim ja inv rahavirta'!L56/'Veroposentin tuotto'!AR56*-1</f>
        <v>2.0119048902037235</v>
      </c>
      <c r="M63" s="148">
        <f>'Toim ja inv rahavirta'!M56/'Veroposentin tuotto'!AS56*-1</f>
        <v>3.4726666783226223</v>
      </c>
      <c r="N63" s="148">
        <f>'Toim ja inv rahavirta'!N56/'Veroposentin tuotto'!AT56*-1</f>
        <v>3.3372741788936797</v>
      </c>
      <c r="O63" s="148">
        <f>'Toim ja inv rahavirta'!O56/'Veroposentin tuotto'!AU56*-1</f>
        <v>3.3914063433898018</v>
      </c>
      <c r="P63" s="148">
        <f>'Toim ja inv rahavirta'!P56/'Veroposentin tuotto'!AV56*-1</f>
        <v>3.2637115346564185</v>
      </c>
    </row>
    <row r="64" spans="1:16" x14ac:dyDescent="0.2">
      <c r="A64" s="34">
        <v>146</v>
      </c>
      <c r="B64" s="88" t="s">
        <v>371</v>
      </c>
      <c r="C64" s="148" t="e">
        <f>'Toim ja inv rahavirta'!C57/'Veroposentin tuotto'!AI57*-1</f>
        <v>#REF!</v>
      </c>
      <c r="D64" s="148">
        <f>'Toim ja inv rahavirta'!D57/'Veroposentin tuotto'!AJ57*-1</f>
        <v>-0.24129682785015089</v>
      </c>
      <c r="E64" s="148">
        <f>'Toim ja inv rahavirta'!E57/'Veroposentin tuotto'!AK57*-1</f>
        <v>-0.6313821557503867</v>
      </c>
      <c r="F64" s="148">
        <f>'Toim ja inv rahavirta'!F57/'Veroposentin tuotto'!AL57*-1</f>
        <v>-1.4835557673975215E-2</v>
      </c>
      <c r="G64" s="148">
        <f>'Toim ja inv rahavirta'!G57/'Veroposentin tuotto'!AM57*-1</f>
        <v>-1.3678537956888472</v>
      </c>
      <c r="H64" s="148">
        <f>'Toim ja inv rahavirta'!H57/'Veroposentin tuotto'!AN57*-1</f>
        <v>-7.0245618645757251</v>
      </c>
      <c r="I64" s="148">
        <f>'Toim ja inv rahavirta'!I57/'Veroposentin tuotto'!AO57*-1</f>
        <v>-6.8852827844001503</v>
      </c>
      <c r="J64" s="148">
        <f>'Toim ja inv rahavirta'!J57/'Veroposentin tuotto'!AP57*-1</f>
        <v>-1.3509143271671988</v>
      </c>
      <c r="K64" s="148">
        <f>'Toim ja inv rahavirta'!K57/'Veroposentin tuotto'!AQ57*-1</f>
        <v>-3.9084667249754426</v>
      </c>
      <c r="L64" s="148">
        <f>'Toim ja inv rahavirta'!L57/'Veroposentin tuotto'!AR57*-1</f>
        <v>-0.32782490604022141</v>
      </c>
      <c r="M64" s="148">
        <f>'Toim ja inv rahavirta'!M57/'Veroposentin tuotto'!AS57*-1</f>
        <v>0.95339746240902778</v>
      </c>
      <c r="N64" s="148">
        <f>'Toim ja inv rahavirta'!N57/'Veroposentin tuotto'!AT57*-1</f>
        <v>1.1240300758454642</v>
      </c>
      <c r="O64" s="148">
        <f>'Toim ja inv rahavirta'!O57/'Veroposentin tuotto'!AU57*-1</f>
        <v>1.3862802947206263</v>
      </c>
      <c r="P64" s="148">
        <f>'Toim ja inv rahavirta'!P57/'Veroposentin tuotto'!AV57*-1</f>
        <v>0.60418834318373249</v>
      </c>
    </row>
    <row r="65" spans="1:16" x14ac:dyDescent="0.2">
      <c r="A65" s="34">
        <v>148</v>
      </c>
      <c r="B65" s="88" t="s">
        <v>372</v>
      </c>
      <c r="C65" s="148" t="e">
        <f>'Toim ja inv rahavirta'!C58/'Veroposentin tuotto'!AI58*-1</f>
        <v>#REF!</v>
      </c>
      <c r="D65" s="148">
        <f>'Toim ja inv rahavirta'!D58/'Veroposentin tuotto'!AJ58*-1</f>
        <v>-1.5585599270849158</v>
      </c>
      <c r="E65" s="148">
        <f>'Toim ja inv rahavirta'!E58/'Veroposentin tuotto'!AK58*-1</f>
        <v>-1.9646922534501863</v>
      </c>
      <c r="F65" s="148">
        <f>'Toim ja inv rahavirta'!F58/'Veroposentin tuotto'!AL58*-1</f>
        <v>-1.4865261662325362</v>
      </c>
      <c r="G65" s="148">
        <f>'Toim ja inv rahavirta'!G58/'Veroposentin tuotto'!AM58*-1</f>
        <v>1.7949608610567513</v>
      </c>
      <c r="H65" s="148">
        <f>'Toim ja inv rahavirta'!H58/'Veroposentin tuotto'!AN58*-1</f>
        <v>-2.6644072803527035</v>
      </c>
      <c r="I65" s="148">
        <f>'Toim ja inv rahavirta'!I58/'Veroposentin tuotto'!AO58*-1</f>
        <v>-4.1629592834136071</v>
      </c>
      <c r="J65" s="148">
        <f>'Toim ja inv rahavirta'!J58/'Veroposentin tuotto'!AP58*-1</f>
        <v>-2.5346323207889365</v>
      </c>
      <c r="K65" s="148">
        <f>'Toim ja inv rahavirta'!K58/'Veroposentin tuotto'!AQ58*-1</f>
        <v>-1.1233742255826518</v>
      </c>
      <c r="L65" s="148">
        <f>'Toim ja inv rahavirta'!L58/'Veroposentin tuotto'!AR58*-1</f>
        <v>-0.25438806446903134</v>
      </c>
      <c r="M65" s="148">
        <f>'Toim ja inv rahavirta'!M58/'Veroposentin tuotto'!AS58*-1</f>
        <v>0.24666842276237386</v>
      </c>
      <c r="N65" s="148">
        <f>'Toim ja inv rahavirta'!N58/'Veroposentin tuotto'!AT58*-1</f>
        <v>0.38997946874919948</v>
      </c>
      <c r="O65" s="148">
        <f>'Toim ja inv rahavirta'!O58/'Veroposentin tuotto'!AU58*-1</f>
        <v>0.47768667401937581</v>
      </c>
      <c r="P65" s="148">
        <f>'Toim ja inv rahavirta'!P58/'Veroposentin tuotto'!AV58*-1</f>
        <v>0.32279186072693267</v>
      </c>
    </row>
    <row r="66" spans="1:16" x14ac:dyDescent="0.2">
      <c r="A66" s="34">
        <v>149</v>
      </c>
      <c r="B66" s="88" t="s">
        <v>373</v>
      </c>
      <c r="C66" s="148" t="e">
        <f>'Toim ja inv rahavirta'!C59/'Veroposentin tuotto'!AI59*-1</f>
        <v>#REF!</v>
      </c>
      <c r="D66" s="148">
        <f>'Toim ja inv rahavirta'!D59/'Veroposentin tuotto'!AJ59*-1</f>
        <v>-1.265671992481203</v>
      </c>
      <c r="E66" s="148">
        <f>'Toim ja inv rahavirta'!E59/'Veroposentin tuotto'!AK59*-1</f>
        <v>-0.7745066019689264</v>
      </c>
      <c r="F66" s="148">
        <f>'Toim ja inv rahavirta'!F59/'Veroposentin tuotto'!AL59*-1</f>
        <v>-0.76512912612530692</v>
      </c>
      <c r="G66" s="148">
        <f>'Toim ja inv rahavirta'!G59/'Veroposentin tuotto'!AM59*-1</f>
        <v>1.2369555302166475</v>
      </c>
      <c r="H66" s="148">
        <f>'Toim ja inv rahavirta'!H59/'Veroposentin tuotto'!AN59*-1</f>
        <v>-2.1851656878002124</v>
      </c>
      <c r="I66" s="148">
        <f>'Toim ja inv rahavirta'!I59/'Veroposentin tuotto'!AO59*-1</f>
        <v>2.5441837988793319</v>
      </c>
      <c r="J66" s="148">
        <f>'Toim ja inv rahavirta'!J59/'Veroposentin tuotto'!AP59*-1</f>
        <v>6.7094036281672391</v>
      </c>
      <c r="K66" s="148">
        <f>'Toim ja inv rahavirta'!K59/'Veroposentin tuotto'!AQ59*-1</f>
        <v>6.3182291273050923</v>
      </c>
      <c r="L66" s="148">
        <f>'Toim ja inv rahavirta'!L59/'Veroposentin tuotto'!AR59*-1</f>
        <v>4.2250245179887003</v>
      </c>
      <c r="M66" s="148">
        <f>'Toim ja inv rahavirta'!M59/'Veroposentin tuotto'!AS59*-1</f>
        <v>4.2806625298860466</v>
      </c>
      <c r="N66" s="148">
        <f>'Toim ja inv rahavirta'!N59/'Veroposentin tuotto'!AT59*-1</f>
        <v>4.404792476618657</v>
      </c>
      <c r="O66" s="148">
        <f>'Toim ja inv rahavirta'!O59/'Veroposentin tuotto'!AU59*-1</f>
        <v>4.2871091331768065</v>
      </c>
      <c r="P66" s="148">
        <f>'Toim ja inv rahavirta'!P59/'Veroposentin tuotto'!AV59*-1</f>
        <v>4.2717746468723812</v>
      </c>
    </row>
    <row r="67" spans="1:16" x14ac:dyDescent="0.2">
      <c r="A67" s="34">
        <v>151</v>
      </c>
      <c r="B67" s="88" t="s">
        <v>374</v>
      </c>
      <c r="C67" s="148" t="e">
        <f>'Toim ja inv rahavirta'!C60/'Veroposentin tuotto'!AI60*-1</f>
        <v>#REF!</v>
      </c>
      <c r="D67" s="148">
        <f>'Toim ja inv rahavirta'!D60/'Veroposentin tuotto'!AJ60*-1</f>
        <v>-3.2174416361180782</v>
      </c>
      <c r="E67" s="148">
        <f>'Toim ja inv rahavirta'!E60/'Veroposentin tuotto'!AK60*-1</f>
        <v>-3.4287298946200777</v>
      </c>
      <c r="F67" s="148">
        <f>'Toim ja inv rahavirta'!F60/'Veroposentin tuotto'!AL60*-1</f>
        <v>-0.1941557168072171</v>
      </c>
      <c r="G67" s="148">
        <f>'Toim ja inv rahavirta'!G60/'Veroposentin tuotto'!AM60*-1</f>
        <v>0.88741721854304634</v>
      </c>
      <c r="H67" s="148">
        <f>'Toim ja inv rahavirta'!H60/'Veroposentin tuotto'!AN60*-1</f>
        <v>-5.4645763467739519</v>
      </c>
      <c r="I67" s="148">
        <f>'Toim ja inv rahavirta'!I60/'Veroposentin tuotto'!AO60*-1</f>
        <v>-0.28736525901020193</v>
      </c>
      <c r="J67" s="148">
        <f>'Toim ja inv rahavirta'!J60/'Veroposentin tuotto'!AP60*-1</f>
        <v>-4.2728374946283356</v>
      </c>
      <c r="K67" s="148">
        <f>'Toim ja inv rahavirta'!K60/'Veroposentin tuotto'!AQ60*-1</f>
        <v>-3.872256287752474</v>
      </c>
      <c r="L67" s="148">
        <f>'Toim ja inv rahavirta'!L60/'Veroposentin tuotto'!AR60*-1</f>
        <v>-0.72248607778574681</v>
      </c>
      <c r="M67" s="148">
        <f>'Toim ja inv rahavirta'!M60/'Veroposentin tuotto'!AS60*-1</f>
        <v>-0.74725843927926883</v>
      </c>
      <c r="N67" s="148">
        <f>'Toim ja inv rahavirta'!N60/'Veroposentin tuotto'!AT60*-1</f>
        <v>-0.48157702774998357</v>
      </c>
      <c r="O67" s="148">
        <f>'Toim ja inv rahavirta'!O60/'Veroposentin tuotto'!AU60*-1</f>
        <v>-0.64177430647718781</v>
      </c>
      <c r="P67" s="148">
        <f>'Toim ja inv rahavirta'!P60/'Veroposentin tuotto'!AV60*-1</f>
        <v>-0.88462081981800089</v>
      </c>
    </row>
    <row r="68" spans="1:16" x14ac:dyDescent="0.2">
      <c r="A68" s="34">
        <v>152</v>
      </c>
      <c r="B68" s="88" t="s">
        <v>375</v>
      </c>
      <c r="C68" s="148" t="e">
        <f>'Toim ja inv rahavirta'!C61/'Veroposentin tuotto'!AI61*-1</f>
        <v>#REF!</v>
      </c>
      <c r="D68" s="148">
        <f>'Toim ja inv rahavirta'!D61/'Veroposentin tuotto'!AJ61*-1</f>
        <v>-2.9192604226156482</v>
      </c>
      <c r="E68" s="148">
        <f>'Toim ja inv rahavirta'!E61/'Veroposentin tuotto'!AK61*-1</f>
        <v>-1.0733328410014031</v>
      </c>
      <c r="F68" s="148">
        <f>'Toim ja inv rahavirta'!F61/'Veroposentin tuotto'!AL61*-1</f>
        <v>-1.2614421252371915</v>
      </c>
      <c r="G68" s="148">
        <f>'Toim ja inv rahavirta'!G61/'Veroposentin tuotto'!AM61*-1</f>
        <v>5.8716503148337962</v>
      </c>
      <c r="H68" s="148">
        <f>'Toim ja inv rahavirta'!H61/'Veroposentin tuotto'!AN61*-1</f>
        <v>-1.7172523799600303</v>
      </c>
      <c r="I68" s="148">
        <f>'Toim ja inv rahavirta'!I61/'Veroposentin tuotto'!AO61*-1</f>
        <v>1.0384784118954113</v>
      </c>
      <c r="J68" s="148">
        <f>'Toim ja inv rahavirta'!J61/'Veroposentin tuotto'!AP61*-1</f>
        <v>-0.81255074514708125</v>
      </c>
      <c r="K68" s="148">
        <f>'Toim ja inv rahavirta'!K61/'Veroposentin tuotto'!AQ61*-1</f>
        <v>-0.64666588404267433</v>
      </c>
      <c r="L68" s="148">
        <f>'Toim ja inv rahavirta'!L61/'Veroposentin tuotto'!AR61*-1</f>
        <v>0.51612557685295135</v>
      </c>
      <c r="M68" s="148">
        <f>'Toim ja inv rahavirta'!M61/'Veroposentin tuotto'!AS61*-1</f>
        <v>1.2936153182087766</v>
      </c>
      <c r="N68" s="148">
        <f>'Toim ja inv rahavirta'!N61/'Veroposentin tuotto'!AT61*-1</f>
        <v>1.7021743235278486</v>
      </c>
      <c r="O68" s="148">
        <f>'Toim ja inv rahavirta'!O61/'Veroposentin tuotto'!AU61*-1</f>
        <v>1.7281560405544629</v>
      </c>
      <c r="P68" s="148">
        <f>'Toim ja inv rahavirta'!P61/'Veroposentin tuotto'!AV61*-1</f>
        <v>1.2686629303835033</v>
      </c>
    </row>
    <row r="69" spans="1:16" x14ac:dyDescent="0.2">
      <c r="A69" s="34">
        <v>153</v>
      </c>
      <c r="B69" s="88" t="s">
        <v>376</v>
      </c>
      <c r="C69" s="148" t="e">
        <f>'Toim ja inv rahavirta'!C62/'Veroposentin tuotto'!AI62*-1</f>
        <v>#REF!</v>
      </c>
      <c r="D69" s="148">
        <f>'Toim ja inv rahavirta'!D62/'Veroposentin tuotto'!AJ62*-1</f>
        <v>-0.54885681577455137</v>
      </c>
      <c r="E69" s="148">
        <f>'Toim ja inv rahavirta'!E62/'Veroposentin tuotto'!AK62*-1</f>
        <v>-2.2315563208054137</v>
      </c>
      <c r="F69" s="148">
        <f>'Toim ja inv rahavirta'!F62/'Veroposentin tuotto'!AL62*-1</f>
        <v>2.1414606352433836</v>
      </c>
      <c r="G69" s="148">
        <f>'Toim ja inv rahavirta'!G62/'Veroposentin tuotto'!AM62*-1</f>
        <v>3.4953213276836159</v>
      </c>
      <c r="H69" s="148">
        <f>'Toim ja inv rahavirta'!H62/'Veroposentin tuotto'!AN62*-1</f>
        <v>2.0618776547503792</v>
      </c>
      <c r="I69" s="148">
        <f>'Toim ja inv rahavirta'!I62/'Veroposentin tuotto'!AO62*-1</f>
        <v>1.3364305243326764</v>
      </c>
      <c r="J69" s="148">
        <f>'Toim ja inv rahavirta'!J62/'Veroposentin tuotto'!AP62*-1</f>
        <v>2.5453740639485591</v>
      </c>
      <c r="K69" s="148">
        <f>'Toim ja inv rahavirta'!K62/'Veroposentin tuotto'!AQ62*-1</f>
        <v>3.2135676590210889E-2</v>
      </c>
      <c r="L69" s="148">
        <f>'Toim ja inv rahavirta'!L62/'Veroposentin tuotto'!AR62*-1</f>
        <v>1.4388224168211434</v>
      </c>
      <c r="M69" s="148">
        <f>'Toim ja inv rahavirta'!M62/'Veroposentin tuotto'!AS62*-1</f>
        <v>2.0193678962090278</v>
      </c>
      <c r="N69" s="148">
        <f>'Toim ja inv rahavirta'!N62/'Veroposentin tuotto'!AT62*-1</f>
        <v>2.3368255625971774</v>
      </c>
      <c r="O69" s="148">
        <f>'Toim ja inv rahavirta'!O62/'Veroposentin tuotto'!AU62*-1</f>
        <v>2.5393061175791343</v>
      </c>
      <c r="P69" s="148">
        <f>'Toim ja inv rahavirta'!P62/'Veroposentin tuotto'!AV62*-1</f>
        <v>2.0774826915773734</v>
      </c>
    </row>
    <row r="70" spans="1:16" x14ac:dyDescent="0.2">
      <c r="A70" s="34">
        <v>165</v>
      </c>
      <c r="B70" s="88" t="s">
        <v>377</v>
      </c>
      <c r="C70" s="148" t="e">
        <f>'Toim ja inv rahavirta'!C63/'Veroposentin tuotto'!AI63*-1</f>
        <v>#REF!</v>
      </c>
      <c r="D70" s="148">
        <f>'Toim ja inv rahavirta'!D63/'Veroposentin tuotto'!AJ63*-1</f>
        <v>0.49004556607080263</v>
      </c>
      <c r="E70" s="148">
        <f>'Toim ja inv rahavirta'!E63/'Veroposentin tuotto'!AK63*-1</f>
        <v>-1.3007419818094781</v>
      </c>
      <c r="F70" s="148">
        <f>'Toim ja inv rahavirta'!F63/'Veroposentin tuotto'!AL63*-1</f>
        <v>0.96848914858096835</v>
      </c>
      <c r="G70" s="148">
        <f>'Toim ja inv rahavirta'!G63/'Veroposentin tuotto'!AM63*-1</f>
        <v>1.9844462369362419</v>
      </c>
      <c r="H70" s="148">
        <f>'Toim ja inv rahavirta'!H63/'Veroposentin tuotto'!AN63*-1</f>
        <v>0.51211041860129503</v>
      </c>
      <c r="I70" s="148">
        <f>'Toim ja inv rahavirta'!I63/'Veroposentin tuotto'!AO63*-1</f>
        <v>-0.58671169235092824</v>
      </c>
      <c r="J70" s="148">
        <f>'Toim ja inv rahavirta'!J63/'Veroposentin tuotto'!AP63*-1</f>
        <v>-0.64252551430662364</v>
      </c>
      <c r="K70" s="148">
        <f>'Toim ja inv rahavirta'!K63/'Veroposentin tuotto'!AQ63*-1</f>
        <v>-0.70081080433807197</v>
      </c>
      <c r="L70" s="148">
        <f>'Toim ja inv rahavirta'!L63/'Veroposentin tuotto'!AR63*-1</f>
        <v>1.2279547491011253</v>
      </c>
      <c r="M70" s="148">
        <f>'Toim ja inv rahavirta'!M63/'Veroposentin tuotto'!AS63*-1</f>
        <v>1.3090330115976496</v>
      </c>
      <c r="N70" s="148">
        <f>'Toim ja inv rahavirta'!N63/'Veroposentin tuotto'!AT63*-1</f>
        <v>1.3015242335944288</v>
      </c>
      <c r="O70" s="148">
        <f>'Toim ja inv rahavirta'!O63/'Veroposentin tuotto'!AU63*-1</f>
        <v>1.3939374341783013</v>
      </c>
      <c r="P70" s="148">
        <f>'Toim ja inv rahavirta'!P63/'Veroposentin tuotto'!AV63*-1</f>
        <v>1.1117977542041333</v>
      </c>
    </row>
    <row r="71" spans="1:16" x14ac:dyDescent="0.2">
      <c r="A71" s="34">
        <v>167</v>
      </c>
      <c r="B71" s="88" t="s">
        <v>378</v>
      </c>
      <c r="C71" s="148" t="e">
        <f>'Toim ja inv rahavirta'!C64/'Veroposentin tuotto'!AI64*-1</f>
        <v>#REF!</v>
      </c>
      <c r="D71" s="148">
        <f>'Toim ja inv rahavirta'!D64/'Veroposentin tuotto'!AJ64*-1</f>
        <v>2.1697683640235779</v>
      </c>
      <c r="E71" s="148">
        <f>'Toim ja inv rahavirta'!E64/'Veroposentin tuotto'!AK64*-1</f>
        <v>2.5596146162507719E-2</v>
      </c>
      <c r="F71" s="148">
        <f>'Toim ja inv rahavirta'!F64/'Veroposentin tuotto'!AL64*-1</f>
        <v>0.89090434495896831</v>
      </c>
      <c r="G71" s="148">
        <f>'Toim ja inv rahavirta'!G64/'Veroposentin tuotto'!AM64*-1</f>
        <v>1.6012803088324488</v>
      </c>
      <c r="H71" s="148">
        <f>'Toim ja inv rahavirta'!H64/'Veroposentin tuotto'!AN64*-1</f>
        <v>-1.2153940892297146</v>
      </c>
      <c r="I71" s="148">
        <f>'Toim ja inv rahavirta'!I64/'Veroposentin tuotto'!AO64*-1</f>
        <v>-2.1147032722752415</v>
      </c>
      <c r="J71" s="148">
        <f>'Toim ja inv rahavirta'!J64/'Veroposentin tuotto'!AP64*-1</f>
        <v>0.98128947181218384</v>
      </c>
      <c r="K71" s="148">
        <f>'Toim ja inv rahavirta'!K64/'Veroposentin tuotto'!AQ64*-1</f>
        <v>-0.67798844262458746</v>
      </c>
      <c r="L71" s="148">
        <f>'Toim ja inv rahavirta'!L64/'Veroposentin tuotto'!AR64*-1</f>
        <v>0.88851373409860468</v>
      </c>
      <c r="M71" s="148">
        <f>'Toim ja inv rahavirta'!M64/'Veroposentin tuotto'!AS64*-1</f>
        <v>1.7999025363289884</v>
      </c>
      <c r="N71" s="148">
        <f>'Toim ja inv rahavirta'!N64/'Veroposentin tuotto'!AT64*-1</f>
        <v>1.5806434104010101</v>
      </c>
      <c r="O71" s="148">
        <f>'Toim ja inv rahavirta'!O64/'Veroposentin tuotto'!AU64*-1</f>
        <v>1.6354455798978338</v>
      </c>
      <c r="P71" s="148">
        <f>'Toim ja inv rahavirta'!P64/'Veroposentin tuotto'!AV64*-1</f>
        <v>1.3173624785924145</v>
      </c>
    </row>
    <row r="72" spans="1:16" x14ac:dyDescent="0.2">
      <c r="A72" s="34">
        <v>169</v>
      </c>
      <c r="B72" s="88" t="s">
        <v>379</v>
      </c>
      <c r="C72" s="148" t="e">
        <f>'Toim ja inv rahavirta'!C65/'Veroposentin tuotto'!AI65*-1</f>
        <v>#REF!</v>
      </c>
      <c r="D72" s="148">
        <f>'Toim ja inv rahavirta'!D65/'Veroposentin tuotto'!AJ65*-1</f>
        <v>0.44995502248875563</v>
      </c>
      <c r="E72" s="148">
        <f>'Toim ja inv rahavirta'!E65/'Veroposentin tuotto'!AK65*-1</f>
        <v>-1.5038087811900192</v>
      </c>
      <c r="F72" s="148">
        <f>'Toim ja inv rahavirta'!F65/'Veroposentin tuotto'!AL65*-1</f>
        <v>-1.0861730013106161</v>
      </c>
      <c r="G72" s="148">
        <f>'Toim ja inv rahavirta'!G65/'Veroposentin tuotto'!AM65*-1</f>
        <v>-0.66051301417615615</v>
      </c>
      <c r="H72" s="148">
        <f>'Toim ja inv rahavirta'!H65/'Veroposentin tuotto'!AN65*-1</f>
        <v>-3.4042980922279247</v>
      </c>
      <c r="I72" s="148">
        <f>'Toim ja inv rahavirta'!I65/'Veroposentin tuotto'!AO65*-1</f>
        <v>-1.6750472739864628</v>
      </c>
      <c r="J72" s="148">
        <f>'Toim ja inv rahavirta'!J65/'Veroposentin tuotto'!AP65*-1</f>
        <v>0.88259129205780618</v>
      </c>
      <c r="K72" s="148">
        <f>'Toim ja inv rahavirta'!K65/'Veroposentin tuotto'!AQ65*-1</f>
        <v>-0.53893949279815789</v>
      </c>
      <c r="L72" s="148">
        <f>'Toim ja inv rahavirta'!L65/'Veroposentin tuotto'!AR65*-1</f>
        <v>0.3218236087536035</v>
      </c>
      <c r="M72" s="148">
        <f>'Toim ja inv rahavirta'!M65/'Veroposentin tuotto'!AS65*-1</f>
        <v>0.96385779165159147</v>
      </c>
      <c r="N72" s="148">
        <f>'Toim ja inv rahavirta'!N65/'Veroposentin tuotto'!AT65*-1</f>
        <v>1.6185540339451556</v>
      </c>
      <c r="O72" s="148">
        <f>'Toim ja inv rahavirta'!O65/'Veroposentin tuotto'!AU65*-1</f>
        <v>1.9266104483650304</v>
      </c>
      <c r="P72" s="148">
        <f>'Toim ja inv rahavirta'!P65/'Veroposentin tuotto'!AV65*-1</f>
        <v>1.9192707422383046</v>
      </c>
    </row>
    <row r="73" spans="1:16" x14ac:dyDescent="0.2">
      <c r="A73" s="34">
        <v>171</v>
      </c>
      <c r="B73" s="88" t="s">
        <v>380</v>
      </c>
      <c r="C73" s="148" t="e">
        <f>'Toim ja inv rahavirta'!C66/'Veroposentin tuotto'!AI66*-1</f>
        <v>#REF!</v>
      </c>
      <c r="D73" s="148">
        <f>'Toim ja inv rahavirta'!D66/'Veroposentin tuotto'!AJ66*-1</f>
        <v>0.61170992046881545</v>
      </c>
      <c r="E73" s="148">
        <f>'Toim ja inv rahavirta'!E66/'Veroposentin tuotto'!AK66*-1</f>
        <v>-0.40377313716184149</v>
      </c>
      <c r="F73" s="148">
        <f>'Toim ja inv rahavirta'!F66/'Veroposentin tuotto'!AL66*-1</f>
        <v>10.003301714702664</v>
      </c>
      <c r="G73" s="148">
        <f>'Toim ja inv rahavirta'!G66/'Veroposentin tuotto'!AM66*-1</f>
        <v>6.5574963609898109</v>
      </c>
      <c r="H73" s="148">
        <f>'Toim ja inv rahavirta'!H66/'Veroposentin tuotto'!AN66*-1</f>
        <v>-3.140102270061413</v>
      </c>
      <c r="I73" s="148">
        <f>'Toim ja inv rahavirta'!I66/'Veroposentin tuotto'!AO66*-1</f>
        <v>-1.4759064268838993</v>
      </c>
      <c r="J73" s="148">
        <f>'Toim ja inv rahavirta'!J66/'Veroposentin tuotto'!AP66*-1</f>
        <v>-0.34892182042630443</v>
      </c>
      <c r="K73" s="148">
        <f>'Toim ja inv rahavirta'!K66/'Veroposentin tuotto'!AQ66*-1</f>
        <v>-1.6328884448859815</v>
      </c>
      <c r="L73" s="148">
        <f>'Toim ja inv rahavirta'!L66/'Veroposentin tuotto'!AR66*-1</f>
        <v>-0.6097391217930529</v>
      </c>
      <c r="M73" s="148">
        <f>'Toim ja inv rahavirta'!M66/'Veroposentin tuotto'!AS66*-1</f>
        <v>0.51079592421180253</v>
      </c>
      <c r="N73" s="148">
        <f>'Toim ja inv rahavirta'!N66/'Veroposentin tuotto'!AT66*-1</f>
        <v>0.3308734226331797</v>
      </c>
      <c r="O73" s="148">
        <f>'Toim ja inv rahavirta'!O66/'Veroposentin tuotto'!AU66*-1</f>
        <v>0.6626228904884941</v>
      </c>
      <c r="P73" s="148">
        <f>'Toim ja inv rahavirta'!P66/'Veroposentin tuotto'!AV66*-1</f>
        <v>0.32181950925078417</v>
      </c>
    </row>
    <row r="74" spans="1:16" x14ac:dyDescent="0.2">
      <c r="A74" s="34">
        <v>172</v>
      </c>
      <c r="B74" s="88" t="s">
        <v>381</v>
      </c>
      <c r="C74" s="148" t="e">
        <f>'Toim ja inv rahavirta'!C67/'Veroposentin tuotto'!AI67*-1</f>
        <v>#REF!</v>
      </c>
      <c r="D74" s="148">
        <f>'Toim ja inv rahavirta'!D67/'Veroposentin tuotto'!AJ67*-1</f>
        <v>-3.4209152459417567</v>
      </c>
      <c r="E74" s="148">
        <f>'Toim ja inv rahavirta'!E67/'Veroposentin tuotto'!AK67*-1</f>
        <v>2.5324328696214815</v>
      </c>
      <c r="F74" s="148">
        <f>'Toim ja inv rahavirta'!F67/'Veroposentin tuotto'!AL67*-1</f>
        <v>-1.3660438806993487</v>
      </c>
      <c r="G74" s="148">
        <f>'Toim ja inv rahavirta'!G67/'Veroposentin tuotto'!AM67*-1</f>
        <v>1.9109724047306174</v>
      </c>
      <c r="H74" s="148">
        <f>'Toim ja inv rahavirta'!H67/'Veroposentin tuotto'!AN67*-1</f>
        <v>6.37172993763925</v>
      </c>
      <c r="I74" s="148">
        <f>'Toim ja inv rahavirta'!I67/'Veroposentin tuotto'!AO67*-1</f>
        <v>-1.424844217453447</v>
      </c>
      <c r="J74" s="148">
        <f>'Toim ja inv rahavirta'!J67/'Veroposentin tuotto'!AP67*-1</f>
        <v>4.8116623671722092</v>
      </c>
      <c r="K74" s="148">
        <f>'Toim ja inv rahavirta'!K67/'Veroposentin tuotto'!AQ67*-1</f>
        <v>-1.054595338913018</v>
      </c>
      <c r="L74" s="148">
        <f>'Toim ja inv rahavirta'!L67/'Veroposentin tuotto'!AR67*-1</f>
        <v>0.61022216378457306</v>
      </c>
      <c r="M74" s="148">
        <f>'Toim ja inv rahavirta'!M67/'Veroposentin tuotto'!AS67*-1</f>
        <v>0.9944529318111599</v>
      </c>
      <c r="N74" s="148">
        <f>'Toim ja inv rahavirta'!N67/'Veroposentin tuotto'!AT67*-1</f>
        <v>1.6693061809101066</v>
      </c>
      <c r="O74" s="148">
        <f>'Toim ja inv rahavirta'!O67/'Veroposentin tuotto'!AU67*-1</f>
        <v>1.9168674295201054</v>
      </c>
      <c r="P74" s="148">
        <f>'Toim ja inv rahavirta'!P67/'Veroposentin tuotto'!AV67*-1</f>
        <v>1.6272554329749418</v>
      </c>
    </row>
    <row r="75" spans="1:16" x14ac:dyDescent="0.2">
      <c r="A75" s="34">
        <v>176</v>
      </c>
      <c r="B75" s="88" t="s">
        <v>382</v>
      </c>
      <c r="C75" s="148" t="e">
        <f>'Toim ja inv rahavirta'!C68/'Veroposentin tuotto'!AI68*-1</f>
        <v>#REF!</v>
      </c>
      <c r="D75" s="148">
        <f>'Toim ja inv rahavirta'!D68/'Veroposentin tuotto'!AJ68*-1</f>
        <v>-1.0014270887389725</v>
      </c>
      <c r="E75" s="148">
        <f>'Toim ja inv rahavirta'!E68/'Veroposentin tuotto'!AK68*-1</f>
        <v>-4.8826656986675774</v>
      </c>
      <c r="F75" s="148">
        <f>'Toim ja inv rahavirta'!F68/'Veroposentin tuotto'!AL68*-1</f>
        <v>-2.4967604590892263</v>
      </c>
      <c r="G75" s="148">
        <f>'Toim ja inv rahavirta'!G68/'Veroposentin tuotto'!AM68*-1</f>
        <v>0.70213881794965349</v>
      </c>
      <c r="H75" s="148">
        <f>'Toim ja inv rahavirta'!H68/'Veroposentin tuotto'!AN68*-1</f>
        <v>2.8532694401039533</v>
      </c>
      <c r="I75" s="148">
        <f>'Toim ja inv rahavirta'!I68/'Veroposentin tuotto'!AO68*-1</f>
        <v>8.2422964894198021</v>
      </c>
      <c r="J75" s="148">
        <f>'Toim ja inv rahavirta'!J68/'Veroposentin tuotto'!AP68*-1</f>
        <v>-0.83220472043305804</v>
      </c>
      <c r="K75" s="148">
        <f>'Toim ja inv rahavirta'!K68/'Veroposentin tuotto'!AQ68*-1</f>
        <v>-3.1154077896480805</v>
      </c>
      <c r="L75" s="148">
        <f>'Toim ja inv rahavirta'!L68/'Veroposentin tuotto'!AR68*-1</f>
        <v>2.4103271467569987</v>
      </c>
      <c r="M75" s="148">
        <f>'Toim ja inv rahavirta'!M68/'Veroposentin tuotto'!AS68*-1</f>
        <v>3.1641151033422656</v>
      </c>
      <c r="N75" s="148">
        <f>'Toim ja inv rahavirta'!N68/'Veroposentin tuotto'!AT68*-1</f>
        <v>3.583014793041789</v>
      </c>
      <c r="O75" s="148">
        <f>'Toim ja inv rahavirta'!O68/'Veroposentin tuotto'!AU68*-1</f>
        <v>3.8687549698065884</v>
      </c>
      <c r="P75" s="148">
        <f>'Toim ja inv rahavirta'!P68/'Veroposentin tuotto'!AV68*-1</f>
        <v>3.2400386751587305</v>
      </c>
    </row>
    <row r="76" spans="1:16" x14ac:dyDescent="0.2">
      <c r="A76" s="34">
        <v>177</v>
      </c>
      <c r="B76" s="88" t="s">
        <v>383</v>
      </c>
      <c r="C76" s="148" t="e">
        <f>'Toim ja inv rahavirta'!C69/'Veroposentin tuotto'!AI69*-1</f>
        <v>#REF!</v>
      </c>
      <c r="D76" s="148">
        <f>'Toim ja inv rahavirta'!D69/'Veroposentin tuotto'!AJ69*-1</f>
        <v>-0.33321447673382065</v>
      </c>
      <c r="E76" s="148">
        <f>'Toim ja inv rahavirta'!E69/'Veroposentin tuotto'!AK69*-1</f>
        <v>-0.86840721920448571</v>
      </c>
      <c r="F76" s="148">
        <f>'Toim ja inv rahavirta'!F69/'Veroposentin tuotto'!AL69*-1</f>
        <v>-5.4203539823008851E-2</v>
      </c>
      <c r="G76" s="148">
        <f>'Toim ja inv rahavirta'!G69/'Veroposentin tuotto'!AM69*-1</f>
        <v>-0.3334536268495128</v>
      </c>
      <c r="H76" s="148">
        <f>'Toim ja inv rahavirta'!H69/'Veroposentin tuotto'!AN69*-1</f>
        <v>-3.8262310799786596</v>
      </c>
      <c r="I76" s="148">
        <f>'Toim ja inv rahavirta'!I69/'Veroposentin tuotto'!AO69*-1</f>
        <v>-3.1449434661777866</v>
      </c>
      <c r="J76" s="148">
        <f>'Toim ja inv rahavirta'!J69/'Veroposentin tuotto'!AP69*-1</f>
        <v>-3.686011244261989</v>
      </c>
      <c r="K76" s="148">
        <f>'Toim ja inv rahavirta'!K69/'Veroposentin tuotto'!AQ69*-1</f>
        <v>-1.5418608941339613</v>
      </c>
      <c r="L76" s="148">
        <f>'Toim ja inv rahavirta'!L69/'Veroposentin tuotto'!AR69*-1</f>
        <v>-2.5438096997303887</v>
      </c>
      <c r="M76" s="148">
        <f>'Toim ja inv rahavirta'!M69/'Veroposentin tuotto'!AS69*-1</f>
        <v>-1.8536260330364736</v>
      </c>
      <c r="N76" s="148">
        <f>'Toim ja inv rahavirta'!N69/'Veroposentin tuotto'!AT69*-1</f>
        <v>-8.8001284028756122E-2</v>
      </c>
      <c r="O76" s="148">
        <f>'Toim ja inv rahavirta'!O69/'Veroposentin tuotto'!AU69*-1</f>
        <v>-3.1652680337031544E-2</v>
      </c>
      <c r="P76" s="148">
        <f>'Toim ja inv rahavirta'!P69/'Veroposentin tuotto'!AV69*-1</f>
        <v>-7.6013300595623168E-2</v>
      </c>
    </row>
    <row r="77" spans="1:16" x14ac:dyDescent="0.2">
      <c r="A77" s="34">
        <v>178</v>
      </c>
      <c r="B77" s="88" t="s">
        <v>384</v>
      </c>
      <c r="C77" s="148" t="e">
        <f>'Toim ja inv rahavirta'!C70/'Veroposentin tuotto'!AI70*-1</f>
        <v>#REF!</v>
      </c>
      <c r="D77" s="148">
        <f>'Toim ja inv rahavirta'!D70/'Veroposentin tuotto'!AJ70*-1</f>
        <v>-0.61383061383061377</v>
      </c>
      <c r="E77" s="148">
        <f>'Toim ja inv rahavirta'!E70/'Veroposentin tuotto'!AK70*-1</f>
        <v>-1.0885826771653544</v>
      </c>
      <c r="F77" s="148">
        <f>'Toim ja inv rahavirta'!F70/'Veroposentin tuotto'!AL70*-1</f>
        <v>3.0277081727062449</v>
      </c>
      <c r="G77" s="148">
        <f>'Toim ja inv rahavirta'!G70/'Veroposentin tuotto'!AM70*-1</f>
        <v>1.3029744502351595</v>
      </c>
      <c r="H77" s="148">
        <f>'Toim ja inv rahavirta'!H70/'Veroposentin tuotto'!AN70*-1</f>
        <v>-2.5511288145862467</v>
      </c>
      <c r="I77" s="148">
        <f>'Toim ja inv rahavirta'!I70/'Veroposentin tuotto'!AO70*-1</f>
        <v>-1.4909942119177741</v>
      </c>
      <c r="J77" s="148">
        <f>'Toim ja inv rahavirta'!J70/'Veroposentin tuotto'!AP70*-1</f>
        <v>-6.4416217789974917E-2</v>
      </c>
      <c r="K77" s="148">
        <f>'Toim ja inv rahavirta'!K70/'Veroposentin tuotto'!AQ70*-1</f>
        <v>0.45218096910235656</v>
      </c>
      <c r="L77" s="148">
        <f>'Toim ja inv rahavirta'!L70/'Veroposentin tuotto'!AR70*-1</f>
        <v>1.302940160085674</v>
      </c>
      <c r="M77" s="148">
        <f>'Toim ja inv rahavirta'!M70/'Veroposentin tuotto'!AS70*-1</f>
        <v>2.5254426380999306</v>
      </c>
      <c r="N77" s="148">
        <f>'Toim ja inv rahavirta'!N70/'Veroposentin tuotto'!AT70*-1</f>
        <v>2.4235473020991165</v>
      </c>
      <c r="O77" s="148">
        <f>'Toim ja inv rahavirta'!O70/'Veroposentin tuotto'!AU70*-1</f>
        <v>2.5771387116174997</v>
      </c>
      <c r="P77" s="148">
        <f>'Toim ja inv rahavirta'!P70/'Veroposentin tuotto'!AV70*-1</f>
        <v>1.533475897308189</v>
      </c>
    </row>
    <row r="78" spans="1:16" x14ac:dyDescent="0.2">
      <c r="A78" s="34">
        <v>179</v>
      </c>
      <c r="B78" s="88" t="s">
        <v>385</v>
      </c>
      <c r="C78" s="148" t="e">
        <f>'Toim ja inv rahavirta'!C71/'Veroposentin tuotto'!AI71*-1</f>
        <v>#REF!</v>
      </c>
      <c r="D78" s="148">
        <f>'Toim ja inv rahavirta'!D71/'Veroposentin tuotto'!AJ71*-1</f>
        <v>-0.8205034783499755</v>
      </c>
      <c r="E78" s="148">
        <f>'Toim ja inv rahavirta'!E71/'Veroposentin tuotto'!AK71*-1</f>
        <v>-0.92649797846726933</v>
      </c>
      <c r="F78" s="148">
        <f>'Toim ja inv rahavirta'!F71/'Veroposentin tuotto'!AL71*-1</f>
        <v>0.67540067590201924</v>
      </c>
      <c r="G78" s="148">
        <f>'Toim ja inv rahavirta'!G71/'Veroposentin tuotto'!AM71*-1</f>
        <v>1.8987163840093533</v>
      </c>
      <c r="H78" s="148">
        <f>'Toim ja inv rahavirta'!H71/'Veroposentin tuotto'!AN71*-1</f>
        <v>-0.42443192797275403</v>
      </c>
      <c r="I78" s="148">
        <f>'Toim ja inv rahavirta'!I71/'Veroposentin tuotto'!AO71*-1</f>
        <v>-7.0667884308009494</v>
      </c>
      <c r="J78" s="148">
        <f>'Toim ja inv rahavirta'!J71/'Veroposentin tuotto'!AP71*-1</f>
        <v>3.3476535021182537E-2</v>
      </c>
      <c r="K78" s="148">
        <f>'Toim ja inv rahavirta'!K71/'Veroposentin tuotto'!AQ71*-1</f>
        <v>-1.9587864507702054E-2</v>
      </c>
      <c r="L78" s="148">
        <f>'Toim ja inv rahavirta'!L71/'Veroposentin tuotto'!AR71*-1</f>
        <v>6.7196885415206395E-2</v>
      </c>
      <c r="M78" s="148">
        <f>'Toim ja inv rahavirta'!M71/'Veroposentin tuotto'!AS71*-1</f>
        <v>1.3897152684185159</v>
      </c>
      <c r="N78" s="148">
        <f>'Toim ja inv rahavirta'!N71/'Veroposentin tuotto'!AT71*-1</f>
        <v>1.1706394436265422</v>
      </c>
      <c r="O78" s="148">
        <f>'Toim ja inv rahavirta'!O71/'Veroposentin tuotto'!AU71*-1</f>
        <v>1.186056474378697</v>
      </c>
      <c r="P78" s="148">
        <f>'Toim ja inv rahavirta'!P71/'Veroposentin tuotto'!AV71*-1</f>
        <v>0.98301582966310141</v>
      </c>
    </row>
    <row r="79" spans="1:16" x14ac:dyDescent="0.2">
      <c r="A79" s="34">
        <v>181</v>
      </c>
      <c r="B79" s="88" t="s">
        <v>386</v>
      </c>
      <c r="C79" s="148" t="e">
        <f>'Toim ja inv rahavirta'!C72/'Veroposentin tuotto'!AI72*-1</f>
        <v>#REF!</v>
      </c>
      <c r="D79" s="148">
        <f>'Toim ja inv rahavirta'!D72/'Veroposentin tuotto'!AJ72*-1</f>
        <v>3.437991080908898</v>
      </c>
      <c r="E79" s="148">
        <f>'Toim ja inv rahavirta'!E72/'Veroposentin tuotto'!AK72*-1</f>
        <v>-0.69189297124600635</v>
      </c>
      <c r="F79" s="148">
        <f>'Toim ja inv rahavirta'!F72/'Veroposentin tuotto'!AL72*-1</f>
        <v>-4.0146596858638741</v>
      </c>
      <c r="G79" s="148">
        <f>'Toim ja inv rahavirta'!G72/'Veroposentin tuotto'!AM72*-1</f>
        <v>-3.488813229571984</v>
      </c>
      <c r="H79" s="148">
        <f>'Toim ja inv rahavirta'!H72/'Veroposentin tuotto'!AN72*-1</f>
        <v>-4.8171674452445226</v>
      </c>
      <c r="I79" s="148">
        <f>'Toim ja inv rahavirta'!I72/'Veroposentin tuotto'!AO72*-1</f>
        <v>16.455807108144185</v>
      </c>
      <c r="J79" s="148">
        <f>'Toim ja inv rahavirta'!J72/'Veroposentin tuotto'!AP72*-1</f>
        <v>18.089154250126281</v>
      </c>
      <c r="K79" s="148">
        <f>'Toim ja inv rahavirta'!K72/'Veroposentin tuotto'!AQ72*-1</f>
        <v>-4.7082597720840136</v>
      </c>
      <c r="L79" s="148">
        <f>'Toim ja inv rahavirta'!L72/'Veroposentin tuotto'!AR72*-1</f>
        <v>6.1441611515223435</v>
      </c>
      <c r="M79" s="148">
        <f>'Toim ja inv rahavirta'!M72/'Veroposentin tuotto'!AS72*-1</f>
        <v>5.3256542785998757</v>
      </c>
      <c r="N79" s="148">
        <f>'Toim ja inv rahavirta'!N72/'Veroposentin tuotto'!AT72*-1</f>
        <v>5.470853167560489</v>
      </c>
      <c r="O79" s="148">
        <f>'Toim ja inv rahavirta'!O72/'Veroposentin tuotto'!AU72*-1</f>
        <v>5.959248293852407</v>
      </c>
      <c r="P79" s="148">
        <f>'Toim ja inv rahavirta'!P72/'Veroposentin tuotto'!AV72*-1</f>
        <v>5.6679544781719402</v>
      </c>
    </row>
    <row r="80" spans="1:16" x14ac:dyDescent="0.2">
      <c r="A80" s="34">
        <v>182</v>
      </c>
      <c r="B80" s="88" t="s">
        <v>387</v>
      </c>
      <c r="C80" s="148" t="e">
        <f>'Toim ja inv rahavirta'!C73/'Veroposentin tuotto'!AI73*-1</f>
        <v>#REF!</v>
      </c>
      <c r="D80" s="148">
        <f>'Toim ja inv rahavirta'!D73/'Veroposentin tuotto'!AJ73*-1</f>
        <v>0.52541664926277099</v>
      </c>
      <c r="E80" s="148">
        <f>'Toim ja inv rahavirta'!E73/'Veroposentin tuotto'!AK73*-1</f>
        <v>0.62077550436400053</v>
      </c>
      <c r="F80" s="148">
        <f>'Toim ja inv rahavirta'!F73/'Veroposentin tuotto'!AL73*-1</f>
        <v>-1.1012062413634269</v>
      </c>
      <c r="G80" s="148">
        <f>'Toim ja inv rahavirta'!G73/'Veroposentin tuotto'!AM73*-1</f>
        <v>0.52441444442835006</v>
      </c>
      <c r="H80" s="148">
        <f>'Toim ja inv rahavirta'!H73/'Veroposentin tuotto'!AN73*-1</f>
        <v>-1.4762798555395555</v>
      </c>
      <c r="I80" s="148">
        <f>'Toim ja inv rahavirta'!I73/'Veroposentin tuotto'!AO73*-1</f>
        <v>-0.88795560887751879</v>
      </c>
      <c r="J80" s="148">
        <f>'Toim ja inv rahavirta'!J73/'Veroposentin tuotto'!AP73*-1</f>
        <v>1.1374521777751092</v>
      </c>
      <c r="K80" s="148">
        <f>'Toim ja inv rahavirta'!K73/'Veroposentin tuotto'!AQ73*-1</f>
        <v>-1.4287635752324941</v>
      </c>
      <c r="L80" s="148">
        <f>'Toim ja inv rahavirta'!L73/'Veroposentin tuotto'!AR73*-1</f>
        <v>-0.49906816050192931</v>
      </c>
      <c r="M80" s="148">
        <f>'Toim ja inv rahavirta'!M73/'Veroposentin tuotto'!AS73*-1</f>
        <v>-5.8194779020022798E-2</v>
      </c>
      <c r="N80" s="148">
        <f>'Toim ja inv rahavirta'!N73/'Veroposentin tuotto'!AT73*-1</f>
        <v>-0.30520701071334261</v>
      </c>
      <c r="O80" s="148">
        <f>'Toim ja inv rahavirta'!O73/'Veroposentin tuotto'!AU73*-1</f>
        <v>-0.42117087703704015</v>
      </c>
      <c r="P80" s="148">
        <f>'Toim ja inv rahavirta'!P73/'Veroposentin tuotto'!AV73*-1</f>
        <v>-1.0501559922397334</v>
      </c>
    </row>
    <row r="81" spans="1:16" x14ac:dyDescent="0.2">
      <c r="A81" s="34">
        <v>186</v>
      </c>
      <c r="B81" s="88" t="s">
        <v>388</v>
      </c>
      <c r="C81" s="148" t="e">
        <f>'Toim ja inv rahavirta'!C74/'Veroposentin tuotto'!AI74*-1</f>
        <v>#REF!</v>
      </c>
      <c r="D81" s="148">
        <f>'Toim ja inv rahavirta'!D74/'Veroposentin tuotto'!AJ74*-1</f>
        <v>0.64152742600657187</v>
      </c>
      <c r="E81" s="148">
        <f>'Toim ja inv rahavirta'!E74/'Veroposentin tuotto'!AK74*-1</f>
        <v>1.255483226519877</v>
      </c>
      <c r="F81" s="148">
        <f>'Toim ja inv rahavirta'!F74/'Veroposentin tuotto'!AL74*-1</f>
        <v>6.5330702481786416</v>
      </c>
      <c r="G81" s="148">
        <f>'Toim ja inv rahavirta'!G74/'Veroposentin tuotto'!AM74*-1</f>
        <v>6.3198778133574685</v>
      </c>
      <c r="H81" s="148">
        <f>'Toim ja inv rahavirta'!H74/'Veroposentin tuotto'!AN74*-1</f>
        <v>1.4886334442530502</v>
      </c>
      <c r="I81" s="148">
        <f>'Toim ja inv rahavirta'!I74/'Veroposentin tuotto'!AO74*-1</f>
        <v>0.52378099211188478</v>
      </c>
      <c r="J81" s="148">
        <f>'Toim ja inv rahavirta'!J74/'Veroposentin tuotto'!AP74*-1</f>
        <v>3.3046878005722822</v>
      </c>
      <c r="K81" s="148">
        <f>'Toim ja inv rahavirta'!K74/'Veroposentin tuotto'!AQ74*-1</f>
        <v>-0.35380429662101703</v>
      </c>
      <c r="L81" s="148">
        <f>'Toim ja inv rahavirta'!L74/'Veroposentin tuotto'!AR74*-1</f>
        <v>0.78360527490353515</v>
      </c>
      <c r="M81" s="148">
        <f>'Toim ja inv rahavirta'!M74/'Veroposentin tuotto'!AS74*-1</f>
        <v>1.7769585303736575</v>
      </c>
      <c r="N81" s="148">
        <f>'Toim ja inv rahavirta'!N74/'Veroposentin tuotto'!AT74*-1</f>
        <v>1.7298488543514909</v>
      </c>
      <c r="O81" s="148">
        <f>'Toim ja inv rahavirta'!O74/'Veroposentin tuotto'!AU74*-1</f>
        <v>1.6841274547485512</v>
      </c>
      <c r="P81" s="148">
        <f>'Toim ja inv rahavirta'!P74/'Veroposentin tuotto'!AV74*-1</f>
        <v>1.5121471914794562</v>
      </c>
    </row>
    <row r="82" spans="1:16" x14ac:dyDescent="0.2">
      <c r="A82" s="34">
        <v>202</v>
      </c>
      <c r="B82" s="88" t="s">
        <v>389</v>
      </c>
      <c r="C82" s="148" t="e">
        <f>'Toim ja inv rahavirta'!C75/'Veroposentin tuotto'!AI75*-1</f>
        <v>#REF!</v>
      </c>
      <c r="D82" s="148">
        <f>'Toim ja inv rahavirta'!D75/'Veroposentin tuotto'!AJ75*-1</f>
        <v>-0.14314704531415809</v>
      </c>
      <c r="E82" s="148">
        <f>'Toim ja inv rahavirta'!E75/'Veroposentin tuotto'!AK75*-1</f>
        <v>1.3276436203344353</v>
      </c>
      <c r="F82" s="148">
        <f>'Toim ja inv rahavirta'!F75/'Veroposentin tuotto'!AL75*-1</f>
        <v>1.5199112088948257</v>
      </c>
      <c r="G82" s="148">
        <f>'Toim ja inv rahavirta'!G75/'Veroposentin tuotto'!AM75*-1</f>
        <v>1.8319194861848014</v>
      </c>
      <c r="H82" s="148">
        <f>'Toim ja inv rahavirta'!H75/'Veroposentin tuotto'!AN75*-1</f>
        <v>1.6361562022073624E-2</v>
      </c>
      <c r="I82" s="148">
        <f>'Toim ja inv rahavirta'!I75/'Veroposentin tuotto'!AO75*-1</f>
        <v>0.9628242650481299</v>
      </c>
      <c r="J82" s="148">
        <f>'Toim ja inv rahavirta'!J75/'Veroposentin tuotto'!AP75*-1</f>
        <v>-0.34580503800627443</v>
      </c>
      <c r="K82" s="148">
        <f>'Toim ja inv rahavirta'!K75/'Veroposentin tuotto'!AQ75*-1</f>
        <v>1.6431682561098202</v>
      </c>
      <c r="L82" s="148">
        <f>'Toim ja inv rahavirta'!L75/'Veroposentin tuotto'!AR75*-1</f>
        <v>0.84144502965041468</v>
      </c>
      <c r="M82" s="148">
        <f>'Toim ja inv rahavirta'!M75/'Veroposentin tuotto'!AS75*-1</f>
        <v>1.2380256421766287</v>
      </c>
      <c r="N82" s="148">
        <f>'Toim ja inv rahavirta'!N75/'Veroposentin tuotto'!AT75*-1</f>
        <v>1.3422615465283918</v>
      </c>
      <c r="O82" s="148">
        <f>'Toim ja inv rahavirta'!O75/'Veroposentin tuotto'!AU75*-1</f>
        <v>1.4471013413405431</v>
      </c>
      <c r="P82" s="148">
        <f>'Toim ja inv rahavirta'!P75/'Veroposentin tuotto'!AV75*-1</f>
        <v>1.4482815284737083</v>
      </c>
    </row>
    <row r="83" spans="1:16" x14ac:dyDescent="0.2">
      <c r="A83" s="34">
        <v>204</v>
      </c>
      <c r="B83" s="88" t="s">
        <v>390</v>
      </c>
      <c r="C83" s="148" t="e">
        <f>'Toim ja inv rahavirta'!C76/'Veroposentin tuotto'!AI76*-1</f>
        <v>#REF!</v>
      </c>
      <c r="D83" s="148">
        <f>'Toim ja inv rahavirta'!D76/'Veroposentin tuotto'!AJ76*-1</f>
        <v>8.4409397358282892</v>
      </c>
      <c r="E83" s="148">
        <f>'Toim ja inv rahavirta'!E76/'Veroposentin tuotto'!AK76*-1</f>
        <v>0.78151831711505437</v>
      </c>
      <c r="F83" s="148">
        <f>'Toim ja inv rahavirta'!F76/'Veroposentin tuotto'!AL76*-1</f>
        <v>-3.5966004476776723</v>
      </c>
      <c r="G83" s="148">
        <f>'Toim ja inv rahavirta'!G76/'Veroposentin tuotto'!AM76*-1</f>
        <v>-1.7153578874218207</v>
      </c>
      <c r="H83" s="148">
        <f>'Toim ja inv rahavirta'!H76/'Veroposentin tuotto'!AN76*-1</f>
        <v>-4.0882993097074927</v>
      </c>
      <c r="I83" s="148">
        <f>'Toim ja inv rahavirta'!I76/'Veroposentin tuotto'!AO76*-1</f>
        <v>-0.85116535310005148</v>
      </c>
      <c r="J83" s="148">
        <f>'Toim ja inv rahavirta'!J76/'Veroposentin tuotto'!AP76*-1</f>
        <v>8.7472892275332725</v>
      </c>
      <c r="K83" s="148">
        <f>'Toim ja inv rahavirta'!K76/'Veroposentin tuotto'!AQ76*-1</f>
        <v>1.310352794901388</v>
      </c>
      <c r="L83" s="148">
        <f>'Toim ja inv rahavirta'!L76/'Veroposentin tuotto'!AR76*-1</f>
        <v>3.3890035445653095</v>
      </c>
      <c r="M83" s="148">
        <f>'Toim ja inv rahavirta'!M76/'Veroposentin tuotto'!AS76*-1</f>
        <v>6.8788034148231976</v>
      </c>
      <c r="N83" s="148">
        <f>'Toim ja inv rahavirta'!N76/'Veroposentin tuotto'!AT76*-1</f>
        <v>5.7778621390954745</v>
      </c>
      <c r="O83" s="148">
        <f>'Toim ja inv rahavirta'!O76/'Veroposentin tuotto'!AU76*-1</f>
        <v>5.5338742072346996</v>
      </c>
      <c r="P83" s="148">
        <f>'Toim ja inv rahavirta'!P76/'Veroposentin tuotto'!AV76*-1</f>
        <v>4.8060242321423754</v>
      </c>
    </row>
    <row r="84" spans="1:16" x14ac:dyDescent="0.2">
      <c r="A84" s="34">
        <v>205</v>
      </c>
      <c r="B84" s="88" t="s">
        <v>391</v>
      </c>
      <c r="C84" s="148" t="e">
        <f>'Toim ja inv rahavirta'!C77/'Veroposentin tuotto'!AI77*-1</f>
        <v>#REF!</v>
      </c>
      <c r="D84" s="148">
        <f>'Toim ja inv rahavirta'!D77/'Veroposentin tuotto'!AJ77*-1</f>
        <v>2.9885639494457852</v>
      </c>
      <c r="E84" s="148">
        <f>'Toim ja inv rahavirta'!E77/'Veroposentin tuotto'!AK77*-1</f>
        <v>1.3460990946287816</v>
      </c>
      <c r="F84" s="148">
        <f>'Toim ja inv rahavirta'!F77/'Veroposentin tuotto'!AL77*-1</f>
        <v>3.3278669409579651</v>
      </c>
      <c r="G84" s="148">
        <f>'Toim ja inv rahavirta'!G77/'Veroposentin tuotto'!AM77*-1</f>
        <v>-24.70971854467</v>
      </c>
      <c r="H84" s="148">
        <f>'Toim ja inv rahavirta'!H77/'Veroposentin tuotto'!AN77*-1</f>
        <v>7.4268234248182905</v>
      </c>
      <c r="I84" s="148">
        <f>'Toim ja inv rahavirta'!I77/'Veroposentin tuotto'!AO77*-1</f>
        <v>-3.0006286611076365</v>
      </c>
      <c r="J84" s="148">
        <f>'Toim ja inv rahavirta'!J77/'Veroposentin tuotto'!AP77*-1</f>
        <v>0.48995288392022657</v>
      </c>
      <c r="K84" s="148">
        <f>'Toim ja inv rahavirta'!K77/'Veroposentin tuotto'!AQ77*-1</f>
        <v>-0.18296478904221053</v>
      </c>
      <c r="L84" s="148">
        <f>'Toim ja inv rahavirta'!L77/'Veroposentin tuotto'!AR77*-1</f>
        <v>1.0571509089631737</v>
      </c>
      <c r="M84" s="148">
        <f>'Toim ja inv rahavirta'!M77/'Veroposentin tuotto'!AS77*-1</f>
        <v>2.225736894119541</v>
      </c>
      <c r="N84" s="148">
        <f>'Toim ja inv rahavirta'!N77/'Veroposentin tuotto'!AT77*-1</f>
        <v>2.5007275584664663</v>
      </c>
      <c r="O84" s="148">
        <f>'Toim ja inv rahavirta'!O77/'Veroposentin tuotto'!AU77*-1</f>
        <v>2.6680034092507094</v>
      </c>
      <c r="P84" s="148">
        <f>'Toim ja inv rahavirta'!P77/'Veroposentin tuotto'!AV77*-1</f>
        <v>2.4264270422912397</v>
      </c>
    </row>
    <row r="85" spans="1:16" x14ac:dyDescent="0.2">
      <c r="A85" s="34">
        <v>208</v>
      </c>
      <c r="B85" s="88" t="s">
        <v>392</v>
      </c>
      <c r="C85" s="148" t="e">
        <f>'Toim ja inv rahavirta'!C78/'Veroposentin tuotto'!AI78*-1</f>
        <v>#REF!</v>
      </c>
      <c r="D85" s="148">
        <f>'Toim ja inv rahavirta'!D78/'Veroposentin tuotto'!AJ78*-1</f>
        <v>4.3186180422264873E-2</v>
      </c>
      <c r="E85" s="148">
        <f>'Toim ja inv rahavirta'!E78/'Veroposentin tuotto'!AK78*-1</f>
        <v>1.560248753155594</v>
      </c>
      <c r="F85" s="148">
        <f>'Toim ja inv rahavirta'!F78/'Veroposentin tuotto'!AL78*-1</f>
        <v>4.7010724282164986</v>
      </c>
      <c r="G85" s="148">
        <f>'Toim ja inv rahavirta'!G78/'Veroposentin tuotto'!AM78*-1</f>
        <v>1.2987922282513567</v>
      </c>
      <c r="H85" s="148">
        <f>'Toim ja inv rahavirta'!H78/'Veroposentin tuotto'!AN78*-1</f>
        <v>-2.9071743584096672</v>
      </c>
      <c r="I85" s="148">
        <f>'Toim ja inv rahavirta'!I78/'Veroposentin tuotto'!AO78*-1</f>
        <v>1.0976132576022886</v>
      </c>
      <c r="J85" s="148">
        <f>'Toim ja inv rahavirta'!J78/'Veroposentin tuotto'!AP78*-1</f>
        <v>-1.8681188367335664</v>
      </c>
      <c r="K85" s="148">
        <f>'Toim ja inv rahavirta'!K78/'Veroposentin tuotto'!AQ78*-1</f>
        <v>-3.1672752841223923</v>
      </c>
      <c r="L85" s="148">
        <f>'Toim ja inv rahavirta'!L78/'Veroposentin tuotto'!AR78*-1</f>
        <v>1.1274201578912273</v>
      </c>
      <c r="M85" s="148">
        <f>'Toim ja inv rahavirta'!M78/'Veroposentin tuotto'!AS78*-1</f>
        <v>1.6435605149810366</v>
      </c>
      <c r="N85" s="148">
        <f>'Toim ja inv rahavirta'!N78/'Veroposentin tuotto'!AT78*-1</f>
        <v>1.9409302003376216</v>
      </c>
      <c r="O85" s="148">
        <f>'Toim ja inv rahavirta'!O78/'Veroposentin tuotto'!AU78*-1</f>
        <v>1.9871191110962036</v>
      </c>
      <c r="P85" s="148">
        <f>'Toim ja inv rahavirta'!P78/'Veroposentin tuotto'!AV78*-1</f>
        <v>1.5428852465820195</v>
      </c>
    </row>
    <row r="86" spans="1:16" x14ac:dyDescent="0.2">
      <c r="A86" s="34">
        <v>211</v>
      </c>
      <c r="B86" s="88" t="s">
        <v>393</v>
      </c>
      <c r="C86" s="148" t="e">
        <f>'Toim ja inv rahavirta'!C79/'Veroposentin tuotto'!AI79*-1</f>
        <v>#REF!</v>
      </c>
      <c r="D86" s="148">
        <f>'Toim ja inv rahavirta'!D79/'Veroposentin tuotto'!AJ79*-1</f>
        <v>-0.6021801221078007</v>
      </c>
      <c r="E86" s="148">
        <f>'Toim ja inv rahavirta'!E79/'Veroposentin tuotto'!AK79*-1</f>
        <v>-2.3417484646921731</v>
      </c>
      <c r="F86" s="148">
        <f>'Toim ja inv rahavirta'!F79/'Veroposentin tuotto'!AL79*-1</f>
        <v>2.3443734721236495</v>
      </c>
      <c r="G86" s="148">
        <f>'Toim ja inv rahavirta'!G79/'Veroposentin tuotto'!AM79*-1</f>
        <v>1.5124609940351199</v>
      </c>
      <c r="H86" s="148">
        <f>'Toim ja inv rahavirta'!H79/'Veroposentin tuotto'!AN79*-1</f>
        <v>-0.95487796452052909</v>
      </c>
      <c r="I86" s="148">
        <f>'Toim ja inv rahavirta'!I79/'Veroposentin tuotto'!AO79*-1</f>
        <v>0.64629700301073634</v>
      </c>
      <c r="J86" s="148">
        <f>'Toim ja inv rahavirta'!J79/'Veroposentin tuotto'!AP79*-1</f>
        <v>4.0230453124376329</v>
      </c>
      <c r="K86" s="148">
        <f>'Toim ja inv rahavirta'!K79/'Veroposentin tuotto'!AQ79*-1</f>
        <v>2.8374359653108576</v>
      </c>
      <c r="L86" s="148">
        <f>'Toim ja inv rahavirta'!L79/'Veroposentin tuotto'!AR79*-1</f>
        <v>3.4748251231704308</v>
      </c>
      <c r="M86" s="148">
        <f>'Toim ja inv rahavirta'!M79/'Veroposentin tuotto'!AS79*-1</f>
        <v>3.0146902204982271</v>
      </c>
      <c r="N86" s="148">
        <f>'Toim ja inv rahavirta'!N79/'Veroposentin tuotto'!AT79*-1</f>
        <v>2.7284802523334015</v>
      </c>
      <c r="O86" s="148">
        <f>'Toim ja inv rahavirta'!O79/'Veroposentin tuotto'!AU79*-1</f>
        <v>2.7647035312203263</v>
      </c>
      <c r="P86" s="148">
        <f>'Toim ja inv rahavirta'!P79/'Veroposentin tuotto'!AV79*-1</f>
        <v>2.6899334837076121</v>
      </c>
    </row>
    <row r="87" spans="1:16" x14ac:dyDescent="0.2">
      <c r="A87" s="34">
        <v>213</v>
      </c>
      <c r="B87" s="88" t="s">
        <v>394</v>
      </c>
      <c r="C87" s="148" t="e">
        <f>'Toim ja inv rahavirta'!C80/'Veroposentin tuotto'!AI80*-1</f>
        <v>#REF!</v>
      </c>
      <c r="D87" s="148">
        <f>'Toim ja inv rahavirta'!D80/'Veroposentin tuotto'!AJ80*-1</f>
        <v>2.2843129969532585</v>
      </c>
      <c r="E87" s="148">
        <f>'Toim ja inv rahavirta'!E80/'Veroposentin tuotto'!AK80*-1</f>
        <v>-1.4064036775710926</v>
      </c>
      <c r="F87" s="148">
        <f>'Toim ja inv rahavirta'!F80/'Veroposentin tuotto'!AL80*-1</f>
        <v>1.1580831324421068</v>
      </c>
      <c r="G87" s="148">
        <f>'Toim ja inv rahavirta'!G80/'Veroposentin tuotto'!AM80*-1</f>
        <v>0.1273823970304804</v>
      </c>
      <c r="H87" s="148">
        <f>'Toim ja inv rahavirta'!H80/'Veroposentin tuotto'!AN80*-1</f>
        <v>-7.0527687165354704</v>
      </c>
      <c r="I87" s="148">
        <f>'Toim ja inv rahavirta'!I80/'Veroposentin tuotto'!AO80*-1</f>
        <v>-2.7101262005617301</v>
      </c>
      <c r="J87" s="148">
        <f>'Toim ja inv rahavirta'!J80/'Veroposentin tuotto'!AP80*-1</f>
        <v>-0.55892100694875191</v>
      </c>
      <c r="K87" s="148">
        <f>'Toim ja inv rahavirta'!K80/'Veroposentin tuotto'!AQ80*-1</f>
        <v>-0.89758017339722329</v>
      </c>
      <c r="L87" s="148">
        <f>'Toim ja inv rahavirta'!L80/'Veroposentin tuotto'!AR80*-1</f>
        <v>-0.38154551694712413</v>
      </c>
      <c r="M87" s="148">
        <f>'Toim ja inv rahavirta'!M80/'Veroposentin tuotto'!AS80*-1</f>
        <v>0.51046920925382544</v>
      </c>
      <c r="N87" s="148">
        <f>'Toim ja inv rahavirta'!N80/'Veroposentin tuotto'!AT80*-1</f>
        <v>0.38534771387084621</v>
      </c>
      <c r="O87" s="148">
        <f>'Toim ja inv rahavirta'!O80/'Veroposentin tuotto'!AU80*-1</f>
        <v>0.29315809413285615</v>
      </c>
      <c r="P87" s="148">
        <f>'Toim ja inv rahavirta'!P80/'Veroposentin tuotto'!AV80*-1</f>
        <v>-0.51630476335793729</v>
      </c>
    </row>
    <row r="88" spans="1:16" x14ac:dyDescent="0.2">
      <c r="A88" s="34">
        <v>214</v>
      </c>
      <c r="B88" s="88" t="s">
        <v>395</v>
      </c>
      <c r="C88" s="148" t="e">
        <f>'Toim ja inv rahavirta'!C81/'Veroposentin tuotto'!AI81*-1</f>
        <v>#REF!</v>
      </c>
      <c r="D88" s="148">
        <f>'Toim ja inv rahavirta'!D81/'Veroposentin tuotto'!AJ81*-1</f>
        <v>1.880279058178647</v>
      </c>
      <c r="E88" s="148">
        <f>'Toim ja inv rahavirta'!E81/'Veroposentin tuotto'!AK81*-1</f>
        <v>1.8655808426545426</v>
      </c>
      <c r="F88" s="148">
        <f>'Toim ja inv rahavirta'!F81/'Veroposentin tuotto'!AL81*-1</f>
        <v>3.4505961844197142</v>
      </c>
      <c r="G88" s="148">
        <f>'Toim ja inv rahavirta'!G81/'Veroposentin tuotto'!AM81*-1</f>
        <v>3.7062340665983338</v>
      </c>
      <c r="H88" s="148">
        <f>'Toim ja inv rahavirta'!H81/'Veroposentin tuotto'!AN81*-1</f>
        <v>-5.9524143363275918E-2</v>
      </c>
      <c r="I88" s="148">
        <f>'Toim ja inv rahavirta'!I81/'Veroposentin tuotto'!AO81*-1</f>
        <v>-1.2386361375631658</v>
      </c>
      <c r="J88" s="148">
        <f>'Toim ja inv rahavirta'!J81/'Veroposentin tuotto'!AP81*-1</f>
        <v>1.4572851816525099</v>
      </c>
      <c r="K88" s="148">
        <f>'Toim ja inv rahavirta'!K81/'Veroposentin tuotto'!AQ81*-1</f>
        <v>-3.3122485933134898</v>
      </c>
      <c r="L88" s="148">
        <f>'Toim ja inv rahavirta'!L81/'Veroposentin tuotto'!AR81*-1</f>
        <v>0.42819846745881851</v>
      </c>
      <c r="M88" s="148">
        <f>'Toim ja inv rahavirta'!M81/'Veroposentin tuotto'!AS81*-1</f>
        <v>0.84830821075832363</v>
      </c>
      <c r="N88" s="148">
        <f>'Toim ja inv rahavirta'!N81/'Veroposentin tuotto'!AT81*-1</f>
        <v>0.69759766644179877</v>
      </c>
      <c r="O88" s="148">
        <f>'Toim ja inv rahavirta'!O81/'Veroposentin tuotto'!AU81*-1</f>
        <v>0.66097899433811103</v>
      </c>
      <c r="P88" s="148">
        <f>'Toim ja inv rahavirta'!P81/'Veroposentin tuotto'!AV81*-1</f>
        <v>2.2684182933145194E-2</v>
      </c>
    </row>
    <row r="89" spans="1:16" x14ac:dyDescent="0.2">
      <c r="A89" s="34">
        <v>216</v>
      </c>
      <c r="B89" s="88" t="s">
        <v>396</v>
      </c>
      <c r="C89" s="148" t="e">
        <f>'Toim ja inv rahavirta'!C82/'Veroposentin tuotto'!AI82*-1</f>
        <v>#REF!</v>
      </c>
      <c r="D89" s="148">
        <f>'Toim ja inv rahavirta'!D82/'Veroposentin tuotto'!AJ82*-1</f>
        <v>-4.3237189321877869</v>
      </c>
      <c r="E89" s="148">
        <f>'Toim ja inv rahavirta'!E82/'Veroposentin tuotto'!AK82*-1</f>
        <v>1.5279850746268657</v>
      </c>
      <c r="F89" s="148">
        <f>'Toim ja inv rahavirta'!F82/'Veroposentin tuotto'!AL82*-1</f>
        <v>-0.31839156229400128</v>
      </c>
      <c r="G89" s="148">
        <f>'Toim ja inv rahavirta'!G82/'Veroposentin tuotto'!AM82*-1</f>
        <v>0.56139260180292194</v>
      </c>
      <c r="H89" s="148">
        <f>'Toim ja inv rahavirta'!H82/'Veroposentin tuotto'!AN82*-1</f>
        <v>10.455448340287367</v>
      </c>
      <c r="I89" s="148">
        <f>'Toim ja inv rahavirta'!I82/'Veroposentin tuotto'!AO82*-1</f>
        <v>-2.857197945017885</v>
      </c>
      <c r="J89" s="148">
        <f>'Toim ja inv rahavirta'!J82/'Veroposentin tuotto'!AP82*-1</f>
        <v>0.98342606232755236</v>
      </c>
      <c r="K89" s="148">
        <f>'Toim ja inv rahavirta'!K82/'Veroposentin tuotto'!AQ82*-1</f>
        <v>1.0725554136012323</v>
      </c>
      <c r="L89" s="148">
        <f>'Toim ja inv rahavirta'!L82/'Veroposentin tuotto'!AR82*-1</f>
        <v>0.3261021524891583</v>
      </c>
      <c r="M89" s="148">
        <f>'Toim ja inv rahavirta'!M82/'Veroposentin tuotto'!AS82*-1</f>
        <v>4.1624591564980893</v>
      </c>
      <c r="N89" s="148">
        <f>'Toim ja inv rahavirta'!N82/'Veroposentin tuotto'!AT82*-1</f>
        <v>4.812512905648429</v>
      </c>
      <c r="O89" s="148">
        <f>'Toim ja inv rahavirta'!O82/'Veroposentin tuotto'!AU82*-1</f>
        <v>5.0254341485175713</v>
      </c>
      <c r="P89" s="148">
        <f>'Toim ja inv rahavirta'!P82/'Veroposentin tuotto'!AV82*-1</f>
        <v>4.6730528342130659</v>
      </c>
    </row>
    <row r="90" spans="1:16" x14ac:dyDescent="0.2">
      <c r="A90" s="34">
        <v>217</v>
      </c>
      <c r="B90" s="88" t="s">
        <v>397</v>
      </c>
      <c r="C90" s="148" t="e">
        <f>'Toim ja inv rahavirta'!C83/'Veroposentin tuotto'!AI83*-1</f>
        <v>#REF!</v>
      </c>
      <c r="D90" s="148">
        <f>'Toim ja inv rahavirta'!D83/'Veroposentin tuotto'!AJ83*-1</f>
        <v>0.40348326006087248</v>
      </c>
      <c r="E90" s="148">
        <f>'Toim ja inv rahavirta'!E83/'Veroposentin tuotto'!AK83*-1</f>
        <v>0.53230921704658085</v>
      </c>
      <c r="F90" s="148">
        <f>'Toim ja inv rahavirta'!F83/'Veroposentin tuotto'!AL83*-1</f>
        <v>1.8534241219782366</v>
      </c>
      <c r="G90" s="148">
        <f>'Toim ja inv rahavirta'!G83/'Veroposentin tuotto'!AM83*-1</f>
        <v>1.6536336181970057</v>
      </c>
      <c r="H90" s="148">
        <f>'Toim ja inv rahavirta'!H83/'Veroposentin tuotto'!AN83*-1</f>
        <v>-2.1801773124173449</v>
      </c>
      <c r="I90" s="148">
        <f>'Toim ja inv rahavirta'!I83/'Veroposentin tuotto'!AO83*-1</f>
        <v>0.47377641508053508</v>
      </c>
      <c r="J90" s="148">
        <f>'Toim ja inv rahavirta'!J83/'Veroposentin tuotto'!AP83*-1</f>
        <v>2.5886077271946797</v>
      </c>
      <c r="K90" s="148">
        <f>'Toim ja inv rahavirta'!K83/'Veroposentin tuotto'!AQ83*-1</f>
        <v>5.8277744579294435</v>
      </c>
      <c r="L90" s="148">
        <f>'Toim ja inv rahavirta'!L83/'Veroposentin tuotto'!AR83*-1</f>
        <v>4.9378016418081829</v>
      </c>
      <c r="M90" s="148">
        <f>'Toim ja inv rahavirta'!M83/'Veroposentin tuotto'!AS83*-1</f>
        <v>5.102937420160722</v>
      </c>
      <c r="N90" s="148">
        <f>'Toim ja inv rahavirta'!N83/'Veroposentin tuotto'!AT83*-1</f>
        <v>5.1381968153466806</v>
      </c>
      <c r="O90" s="148">
        <f>'Toim ja inv rahavirta'!O83/'Veroposentin tuotto'!AU83*-1</f>
        <v>5.0704852590233509</v>
      </c>
      <c r="P90" s="148">
        <f>'Toim ja inv rahavirta'!P83/'Veroposentin tuotto'!AV83*-1</f>
        <v>4.7711364876699607</v>
      </c>
    </row>
    <row r="91" spans="1:16" x14ac:dyDescent="0.2">
      <c r="A91" s="34">
        <v>218</v>
      </c>
      <c r="B91" s="88" t="s">
        <v>398</v>
      </c>
      <c r="C91" s="148" t="e">
        <f>'Toim ja inv rahavirta'!C84/'Veroposentin tuotto'!AI84*-1</f>
        <v>#REF!</v>
      </c>
      <c r="D91" s="148">
        <f>'Toim ja inv rahavirta'!D84/'Veroposentin tuotto'!AJ84*-1</f>
        <v>-2.9780564263322886</v>
      </c>
      <c r="E91" s="148">
        <f>'Toim ja inv rahavirta'!E84/'Veroposentin tuotto'!AK84*-1</f>
        <v>-2.4925816023738872</v>
      </c>
      <c r="F91" s="148">
        <f>'Toim ja inv rahavirta'!F84/'Veroposentin tuotto'!AL84*-1</f>
        <v>5.9498432601880875</v>
      </c>
      <c r="G91" s="148">
        <f>'Toim ja inv rahavirta'!G84/'Veroposentin tuotto'!AM84*-1</f>
        <v>6.0079510703363921</v>
      </c>
      <c r="H91" s="148">
        <f>'Toim ja inv rahavirta'!H84/'Veroposentin tuotto'!AN84*-1</f>
        <v>-10.430186060976284</v>
      </c>
      <c r="I91" s="148">
        <f>'Toim ja inv rahavirta'!I84/'Veroposentin tuotto'!AO84*-1</f>
        <v>-4.8445659525542668</v>
      </c>
      <c r="J91" s="148">
        <f>'Toim ja inv rahavirta'!J84/'Veroposentin tuotto'!AP84*-1</f>
        <v>-3.7065288158199725</v>
      </c>
      <c r="K91" s="148">
        <f>'Toim ja inv rahavirta'!K84/'Veroposentin tuotto'!AQ84*-1</f>
        <v>-2.980476719930135</v>
      </c>
      <c r="L91" s="148">
        <f>'Toim ja inv rahavirta'!L84/'Veroposentin tuotto'!AR84*-1</f>
        <v>-0.91385194952147131</v>
      </c>
      <c r="M91" s="148">
        <f>'Toim ja inv rahavirta'!M84/'Veroposentin tuotto'!AS84*-1</f>
        <v>0.31218638135297749</v>
      </c>
      <c r="N91" s="148">
        <f>'Toim ja inv rahavirta'!N84/'Veroposentin tuotto'!AT84*-1</f>
        <v>-7.7612522255133681E-2</v>
      </c>
      <c r="O91" s="148">
        <f>'Toim ja inv rahavirta'!O84/'Veroposentin tuotto'!AU84*-1</f>
        <v>-2.3346088628878835E-2</v>
      </c>
      <c r="P91" s="148">
        <f>'Toim ja inv rahavirta'!P84/'Veroposentin tuotto'!AV84*-1</f>
        <v>-0.68659844487112998</v>
      </c>
    </row>
    <row r="92" spans="1:16" x14ac:dyDescent="0.2">
      <c r="A92" s="34">
        <v>224</v>
      </c>
      <c r="B92" s="88" t="s">
        <v>399</v>
      </c>
      <c r="C92" s="148" t="e">
        <f>'Toim ja inv rahavirta'!C85/'Veroposentin tuotto'!AI85*-1</f>
        <v>#REF!</v>
      </c>
      <c r="D92" s="148">
        <f>'Toim ja inv rahavirta'!D85/'Veroposentin tuotto'!AJ85*-1</f>
        <v>5.0633374580166164</v>
      </c>
      <c r="E92" s="148">
        <f>'Toim ja inv rahavirta'!E85/'Veroposentin tuotto'!AK85*-1</f>
        <v>2.7785407725321889</v>
      </c>
      <c r="F92" s="148">
        <f>'Toim ja inv rahavirta'!F85/'Veroposentin tuotto'!AL85*-1</f>
        <v>-0.57987677412256577</v>
      </c>
      <c r="G92" s="148">
        <f>'Toim ja inv rahavirta'!G85/'Veroposentin tuotto'!AM85*-1</f>
        <v>2.4271893534451197</v>
      </c>
      <c r="H92" s="148">
        <f>'Toim ja inv rahavirta'!H85/'Veroposentin tuotto'!AN85*-1</f>
        <v>-2.2900036893000801</v>
      </c>
      <c r="I92" s="148">
        <f>'Toim ja inv rahavirta'!I85/'Veroposentin tuotto'!AO85*-1</f>
        <v>-1.2541146919155495</v>
      </c>
      <c r="J92" s="148">
        <f>'Toim ja inv rahavirta'!J85/'Veroposentin tuotto'!AP85*-1</f>
        <v>-2.7729165273443237</v>
      </c>
      <c r="K92" s="148">
        <f>'Toim ja inv rahavirta'!K85/'Veroposentin tuotto'!AQ85*-1</f>
        <v>-2.4985652441268837</v>
      </c>
      <c r="L92" s="148">
        <f>'Toim ja inv rahavirta'!L85/'Veroposentin tuotto'!AR85*-1</f>
        <v>-0.80311656669730691</v>
      </c>
      <c r="M92" s="148">
        <f>'Toim ja inv rahavirta'!M85/'Veroposentin tuotto'!AS85*-1</f>
        <v>-0.34270190862949029</v>
      </c>
      <c r="N92" s="148">
        <f>'Toim ja inv rahavirta'!N85/'Veroposentin tuotto'!AT85*-1</f>
        <v>-0.49279834557368202</v>
      </c>
      <c r="O92" s="148">
        <f>'Toim ja inv rahavirta'!O85/'Veroposentin tuotto'!AU85*-1</f>
        <v>-0.37269860254303688</v>
      </c>
      <c r="P92" s="148">
        <f>'Toim ja inv rahavirta'!P85/'Veroposentin tuotto'!AV85*-1</f>
        <v>-0.82106496681105556</v>
      </c>
    </row>
    <row r="93" spans="1:16" x14ac:dyDescent="0.2">
      <c r="A93" s="34">
        <v>226</v>
      </c>
      <c r="B93" s="88" t="s">
        <v>400</v>
      </c>
      <c r="C93" s="148" t="e">
        <f>'Toim ja inv rahavirta'!C86/'Veroposentin tuotto'!AI86*-1</f>
        <v>#REF!</v>
      </c>
      <c r="D93" s="148">
        <f>'Toim ja inv rahavirta'!D86/'Veroposentin tuotto'!AJ86*-1</f>
        <v>-2.9562688272566739</v>
      </c>
      <c r="E93" s="148">
        <f>'Toim ja inv rahavirta'!E86/'Veroposentin tuotto'!AK86*-1</f>
        <v>-4.241558706518413</v>
      </c>
      <c r="F93" s="148">
        <f>'Toim ja inv rahavirta'!F86/'Veroposentin tuotto'!AL86*-1</f>
        <v>-2.0768751298566381</v>
      </c>
      <c r="G93" s="148">
        <f>'Toim ja inv rahavirta'!G86/'Veroposentin tuotto'!AM86*-1</f>
        <v>-0.84506203473945418</v>
      </c>
      <c r="H93" s="148">
        <f>'Toim ja inv rahavirta'!H86/'Veroposentin tuotto'!AN86*-1</f>
        <v>0.5730286515847709</v>
      </c>
      <c r="I93" s="148">
        <f>'Toim ja inv rahavirta'!I86/'Veroposentin tuotto'!AO86*-1</f>
        <v>-0.8751789644499165</v>
      </c>
      <c r="J93" s="148">
        <f>'Toim ja inv rahavirta'!J86/'Veroposentin tuotto'!AP86*-1</f>
        <v>6.6613893196527885</v>
      </c>
      <c r="K93" s="148">
        <f>'Toim ja inv rahavirta'!K86/'Veroposentin tuotto'!AQ86*-1</f>
        <v>-0.16393775253156806</v>
      </c>
      <c r="L93" s="148">
        <f>'Toim ja inv rahavirta'!L86/'Veroposentin tuotto'!AR86*-1</f>
        <v>1.4306134008183313</v>
      </c>
      <c r="M93" s="148">
        <f>'Toim ja inv rahavirta'!M86/'Veroposentin tuotto'!AS86*-1</f>
        <v>4.2669184773187911</v>
      </c>
      <c r="N93" s="148">
        <f>'Toim ja inv rahavirta'!N86/'Veroposentin tuotto'!AT86*-1</f>
        <v>4.4600852317251505</v>
      </c>
      <c r="O93" s="148">
        <f>'Toim ja inv rahavirta'!O86/'Veroposentin tuotto'!AU86*-1</f>
        <v>5.0747139900509497</v>
      </c>
      <c r="P93" s="148">
        <f>'Toim ja inv rahavirta'!P86/'Veroposentin tuotto'!AV86*-1</f>
        <v>4.5627857437912649</v>
      </c>
    </row>
    <row r="94" spans="1:16" x14ac:dyDescent="0.2">
      <c r="A94" s="34">
        <v>230</v>
      </c>
      <c r="B94" s="88" t="s">
        <v>401</v>
      </c>
      <c r="C94" s="148" t="e">
        <f>'Toim ja inv rahavirta'!C87/'Veroposentin tuotto'!AI87*-1</f>
        <v>#REF!</v>
      </c>
      <c r="D94" s="148">
        <f>'Toim ja inv rahavirta'!D87/'Veroposentin tuotto'!AJ87*-1</f>
        <v>4.3008273107645492</v>
      </c>
      <c r="E94" s="148">
        <f>'Toim ja inv rahavirta'!E87/'Veroposentin tuotto'!AK87*-1</f>
        <v>7.4989518775063795</v>
      </c>
      <c r="F94" s="148">
        <f>'Toim ja inv rahavirta'!F87/'Veroposentin tuotto'!AL87*-1</f>
        <v>1.626472898664572</v>
      </c>
      <c r="G94" s="148">
        <f>'Toim ja inv rahavirta'!G87/'Veroposentin tuotto'!AM87*-1</f>
        <v>3.1015037593984962</v>
      </c>
      <c r="H94" s="148">
        <f>'Toim ja inv rahavirta'!H87/'Veroposentin tuotto'!AN87*-1</f>
        <v>-4.8609668287361183</v>
      </c>
      <c r="I94" s="148">
        <f>'Toim ja inv rahavirta'!I87/'Veroposentin tuotto'!AO87*-1</f>
        <v>-2.2994209237736034</v>
      </c>
      <c r="J94" s="148">
        <f>'Toim ja inv rahavirta'!J87/'Veroposentin tuotto'!AP87*-1</f>
        <v>-1.2118725087114022</v>
      </c>
      <c r="K94" s="148">
        <f>'Toim ja inv rahavirta'!K87/'Veroposentin tuotto'!AQ87*-1</f>
        <v>-0.4020303404029873</v>
      </c>
      <c r="L94" s="148">
        <f>'Toim ja inv rahavirta'!L87/'Veroposentin tuotto'!AR87*-1</f>
        <v>-0.95191855040711848</v>
      </c>
      <c r="M94" s="148">
        <f>'Toim ja inv rahavirta'!M87/'Veroposentin tuotto'!AS87*-1</f>
        <v>0.28319332238389006</v>
      </c>
      <c r="N94" s="148">
        <f>'Toim ja inv rahavirta'!N87/'Veroposentin tuotto'!AT87*-1</f>
        <v>0.49984104268018847</v>
      </c>
      <c r="O94" s="148">
        <f>'Toim ja inv rahavirta'!O87/'Veroposentin tuotto'!AU87*-1</f>
        <v>0.92224348213514451</v>
      </c>
      <c r="P94" s="148">
        <f>'Toim ja inv rahavirta'!P87/'Veroposentin tuotto'!AV87*-1</f>
        <v>0.23353066367902445</v>
      </c>
    </row>
    <row r="95" spans="1:16" x14ac:dyDescent="0.2">
      <c r="A95" s="34">
        <v>231</v>
      </c>
      <c r="B95" s="88" t="s">
        <v>402</v>
      </c>
      <c r="C95" s="148" t="e">
        <f>'Toim ja inv rahavirta'!C88/'Veroposentin tuotto'!AI88*-1</f>
        <v>#REF!</v>
      </c>
      <c r="D95" s="148">
        <f>'Toim ja inv rahavirta'!D88/'Veroposentin tuotto'!AJ88*-1</f>
        <v>3.6551796157059311</v>
      </c>
      <c r="E95" s="148">
        <f>'Toim ja inv rahavirta'!E88/'Veroposentin tuotto'!AK88*-1</f>
        <v>3.911515402108745</v>
      </c>
      <c r="F95" s="148">
        <f>'Toim ja inv rahavirta'!F88/'Veroposentin tuotto'!AL88*-1</f>
        <v>-0.33641851106639842</v>
      </c>
      <c r="G95" s="148">
        <f>'Toim ja inv rahavirta'!G88/'Veroposentin tuotto'!AM88*-1</f>
        <v>4.9610115911485773</v>
      </c>
      <c r="H95" s="148">
        <f>'Toim ja inv rahavirta'!H88/'Veroposentin tuotto'!AN88*-1</f>
        <v>2.5668773632534712</v>
      </c>
      <c r="I95" s="148">
        <f>'Toim ja inv rahavirta'!I88/'Veroposentin tuotto'!AO88*-1</f>
        <v>4.811335909639439</v>
      </c>
      <c r="J95" s="148">
        <f>'Toim ja inv rahavirta'!J88/'Veroposentin tuotto'!AP88*-1</f>
        <v>-5.5141683875361052</v>
      </c>
      <c r="K95" s="148">
        <f>'Toim ja inv rahavirta'!K88/'Veroposentin tuotto'!AQ88*-1</f>
        <v>3.4884740604027682</v>
      </c>
      <c r="L95" s="148">
        <f>'Toim ja inv rahavirta'!L88/'Veroposentin tuotto'!AR88*-1</f>
        <v>3.1283379698787486</v>
      </c>
      <c r="M95" s="148">
        <f>'Toim ja inv rahavirta'!M88/'Veroposentin tuotto'!AS88*-1</f>
        <v>3.3778193090402451</v>
      </c>
      <c r="N95" s="148">
        <f>'Toim ja inv rahavirta'!N88/'Veroposentin tuotto'!AT88*-1</f>
        <v>3.5702507687471181</v>
      </c>
      <c r="O95" s="148">
        <f>'Toim ja inv rahavirta'!O88/'Veroposentin tuotto'!AU88*-1</f>
        <v>4.110548189045649</v>
      </c>
      <c r="P95" s="148">
        <f>'Toim ja inv rahavirta'!P88/'Veroposentin tuotto'!AV88*-1</f>
        <v>3.8160965953396366</v>
      </c>
    </row>
    <row r="96" spans="1:16" x14ac:dyDescent="0.2">
      <c r="A96" s="34">
        <v>232</v>
      </c>
      <c r="B96" s="88" t="s">
        <v>403</v>
      </c>
      <c r="C96" s="148" t="e">
        <f>'Toim ja inv rahavirta'!C89/'Veroposentin tuotto'!AI89*-1</f>
        <v>#REF!</v>
      </c>
      <c r="D96" s="148">
        <f>'Toim ja inv rahavirta'!D89/'Veroposentin tuotto'!AJ89*-1</f>
        <v>2.2869034693138928</v>
      </c>
      <c r="E96" s="148">
        <f>'Toim ja inv rahavirta'!E89/'Veroposentin tuotto'!AK89*-1</f>
        <v>-1.263163374196403</v>
      </c>
      <c r="F96" s="148">
        <f>'Toim ja inv rahavirta'!F89/'Veroposentin tuotto'!AL89*-1</f>
        <v>0.60218870156758353</v>
      </c>
      <c r="G96" s="148">
        <f>'Toim ja inv rahavirta'!G89/'Veroposentin tuotto'!AM89*-1</f>
        <v>-2.7902208625177791</v>
      </c>
      <c r="H96" s="148">
        <f>'Toim ja inv rahavirta'!H89/'Veroposentin tuotto'!AN89*-1</f>
        <v>-0.10487395468444775</v>
      </c>
      <c r="I96" s="148">
        <f>'Toim ja inv rahavirta'!I89/'Veroposentin tuotto'!AO89*-1</f>
        <v>-1.1435498911034221</v>
      </c>
      <c r="J96" s="148">
        <f>'Toim ja inv rahavirta'!J89/'Veroposentin tuotto'!AP89*-1</f>
        <v>0.37299849431520254</v>
      </c>
      <c r="K96" s="148">
        <f>'Toim ja inv rahavirta'!K89/'Veroposentin tuotto'!AQ89*-1</f>
        <v>-1.6154858641713448</v>
      </c>
      <c r="L96" s="148">
        <f>'Toim ja inv rahavirta'!L89/'Veroposentin tuotto'!AR89*-1</f>
        <v>6.6130737223738773E-2</v>
      </c>
      <c r="M96" s="148">
        <f>'Toim ja inv rahavirta'!M89/'Veroposentin tuotto'!AS89*-1</f>
        <v>1.646170067852426</v>
      </c>
      <c r="N96" s="148">
        <f>'Toim ja inv rahavirta'!N89/'Veroposentin tuotto'!AT89*-1</f>
        <v>1.1537603959279974</v>
      </c>
      <c r="O96" s="148">
        <f>'Toim ja inv rahavirta'!O89/'Veroposentin tuotto'!AU89*-1</f>
        <v>1.2916311996101835</v>
      </c>
      <c r="P96" s="148">
        <f>'Toim ja inv rahavirta'!P89/'Veroposentin tuotto'!AV89*-1</f>
        <v>0.83248106191112503</v>
      </c>
    </row>
    <row r="97" spans="1:16" x14ac:dyDescent="0.2">
      <c r="A97" s="34">
        <v>233</v>
      </c>
      <c r="B97" s="88" t="s">
        <v>404</v>
      </c>
      <c r="C97" s="148" t="e">
        <f>'Toim ja inv rahavirta'!C90/'Veroposentin tuotto'!AI90*-1</f>
        <v>#REF!</v>
      </c>
      <c r="D97" s="148">
        <f>'Toim ja inv rahavirta'!D90/'Veroposentin tuotto'!AJ90*-1</f>
        <v>1.9068179425081604</v>
      </c>
      <c r="E97" s="148">
        <f>'Toim ja inv rahavirta'!E90/'Veroposentin tuotto'!AK90*-1</f>
        <v>-1.7603583248472507</v>
      </c>
      <c r="F97" s="148">
        <f>'Toim ja inv rahavirta'!F90/'Veroposentin tuotto'!AL90*-1</f>
        <v>5.2751192956515895</v>
      </c>
      <c r="G97" s="148">
        <f>'Toim ja inv rahavirta'!G90/'Veroposentin tuotto'!AM90*-1</f>
        <v>4.3661936219659152</v>
      </c>
      <c r="H97" s="148">
        <f>'Toim ja inv rahavirta'!H90/'Veroposentin tuotto'!AN90*-1</f>
        <v>0.81714750455816465</v>
      </c>
      <c r="I97" s="148">
        <f>'Toim ja inv rahavirta'!I90/'Veroposentin tuotto'!AO90*-1</f>
        <v>1.1661831381732028</v>
      </c>
      <c r="J97" s="148">
        <f>'Toim ja inv rahavirta'!J90/'Veroposentin tuotto'!AP90*-1</f>
        <v>1.8015260877052834</v>
      </c>
      <c r="K97" s="148">
        <f>'Toim ja inv rahavirta'!K90/'Veroposentin tuotto'!AQ90*-1</f>
        <v>0.1852557630948099</v>
      </c>
      <c r="L97" s="148">
        <f>'Toim ja inv rahavirta'!L90/'Veroposentin tuotto'!AR90*-1</f>
        <v>1.6205408994938157</v>
      </c>
      <c r="M97" s="148">
        <f>'Toim ja inv rahavirta'!M90/'Veroposentin tuotto'!AS90*-1</f>
        <v>2.2467502966846058</v>
      </c>
      <c r="N97" s="148">
        <f>'Toim ja inv rahavirta'!N90/'Veroposentin tuotto'!AT90*-1</f>
        <v>1.7784116047593805</v>
      </c>
      <c r="O97" s="148">
        <f>'Toim ja inv rahavirta'!O90/'Veroposentin tuotto'!AU90*-1</f>
        <v>1.9624653924605293</v>
      </c>
      <c r="P97" s="148">
        <f>'Toim ja inv rahavirta'!P90/'Veroposentin tuotto'!AV90*-1</f>
        <v>1.2930687483961278</v>
      </c>
    </row>
    <row r="98" spans="1:16" x14ac:dyDescent="0.2">
      <c r="A98" s="34">
        <v>235</v>
      </c>
      <c r="B98" s="88" t="s">
        <v>405</v>
      </c>
      <c r="C98" s="148" t="e">
        <f>'Toim ja inv rahavirta'!C91/'Veroposentin tuotto'!AI91*-1</f>
        <v>#REF!</v>
      </c>
      <c r="D98" s="148">
        <f>'Toim ja inv rahavirta'!D91/'Veroposentin tuotto'!AJ91*-1</f>
        <v>-1.3087729357798166</v>
      </c>
      <c r="E98" s="148">
        <f>'Toim ja inv rahavirta'!E91/'Veroposentin tuotto'!AK91*-1</f>
        <v>0.59349112426035511</v>
      </c>
      <c r="F98" s="148">
        <f>'Toim ja inv rahavirta'!F91/'Veroposentin tuotto'!AL91*-1</f>
        <v>-1.3643440715237315E-2</v>
      </c>
      <c r="G98" s="148">
        <f>'Toim ja inv rahavirta'!G91/'Veroposentin tuotto'!AM91*-1</f>
        <v>1.4194272052923742</v>
      </c>
      <c r="H98" s="148">
        <f>'Toim ja inv rahavirta'!H91/'Veroposentin tuotto'!AN91*-1</f>
        <v>-1.218934139801195</v>
      </c>
      <c r="I98" s="148">
        <f>'Toim ja inv rahavirta'!I91/'Veroposentin tuotto'!AO91*-1</f>
        <v>-0.3850896744241768</v>
      </c>
      <c r="J98" s="148">
        <f>'Toim ja inv rahavirta'!J91/'Veroposentin tuotto'!AP91*-1</f>
        <v>-1.7655878505342681</v>
      </c>
      <c r="K98" s="148">
        <f>'Toim ja inv rahavirta'!K91/'Veroposentin tuotto'!AQ91*-1</f>
        <v>-0.44530547848290286</v>
      </c>
      <c r="L98" s="148">
        <f>'Toim ja inv rahavirta'!L91/'Veroposentin tuotto'!AR91*-1</f>
        <v>0.42769484024692683</v>
      </c>
      <c r="M98" s="148">
        <f>'Toim ja inv rahavirta'!M91/'Veroposentin tuotto'!AS91*-1</f>
        <v>0.72450228805628814</v>
      </c>
      <c r="N98" s="148">
        <f>'Toim ja inv rahavirta'!N91/'Veroposentin tuotto'!AT91*-1</f>
        <v>1.1130265284465639</v>
      </c>
      <c r="O98" s="148">
        <f>'Toim ja inv rahavirta'!O91/'Veroposentin tuotto'!AU91*-1</f>
        <v>1.4892064273130561</v>
      </c>
      <c r="P98" s="148">
        <f>'Toim ja inv rahavirta'!P91/'Veroposentin tuotto'!AV91*-1</f>
        <v>1.7401259329341938</v>
      </c>
    </row>
    <row r="99" spans="1:16" x14ac:dyDescent="0.2">
      <c r="A99" s="34">
        <v>236</v>
      </c>
      <c r="B99" s="88" t="s">
        <v>406</v>
      </c>
      <c r="C99" s="148" t="e">
        <f>'Toim ja inv rahavirta'!C92/'Veroposentin tuotto'!AI92*-1</f>
        <v>#REF!</v>
      </c>
      <c r="D99" s="148">
        <f>'Toim ja inv rahavirta'!D92/'Veroposentin tuotto'!AJ92*-1</f>
        <v>0.6242273910214704</v>
      </c>
      <c r="E99" s="148">
        <f>'Toim ja inv rahavirta'!E92/'Veroposentin tuotto'!AK92*-1</f>
        <v>2.3862436115843271</v>
      </c>
      <c r="F99" s="148">
        <f>'Toim ja inv rahavirta'!F92/'Veroposentin tuotto'!AL92*-1</f>
        <v>1.3080049261083744</v>
      </c>
      <c r="G99" s="148">
        <f>'Toim ja inv rahavirta'!G92/'Veroposentin tuotto'!AM92*-1</f>
        <v>2.8158787979137343</v>
      </c>
      <c r="H99" s="148">
        <f>'Toim ja inv rahavirta'!H92/'Veroposentin tuotto'!AN92*-1</f>
        <v>-2.8532814581011778</v>
      </c>
      <c r="I99" s="148">
        <f>'Toim ja inv rahavirta'!I92/'Veroposentin tuotto'!AO92*-1</f>
        <v>6.2416617087727833</v>
      </c>
      <c r="J99" s="148">
        <f>'Toim ja inv rahavirta'!J92/'Veroposentin tuotto'!AP92*-1</f>
        <v>-3.0722539881365867</v>
      </c>
      <c r="K99" s="148">
        <f>'Toim ja inv rahavirta'!K92/'Veroposentin tuotto'!AQ92*-1</f>
        <v>-0.77674722683747399</v>
      </c>
      <c r="L99" s="148">
        <f>'Toim ja inv rahavirta'!L92/'Veroposentin tuotto'!AR92*-1</f>
        <v>0.64894659167592295</v>
      </c>
      <c r="M99" s="148">
        <f>'Toim ja inv rahavirta'!M92/'Veroposentin tuotto'!AS92*-1</f>
        <v>1.8546691499506653</v>
      </c>
      <c r="N99" s="148">
        <f>'Toim ja inv rahavirta'!N92/'Veroposentin tuotto'!AT92*-1</f>
        <v>1.4342816893162467</v>
      </c>
      <c r="O99" s="148">
        <f>'Toim ja inv rahavirta'!O92/'Veroposentin tuotto'!AU92*-1</f>
        <v>1.2385690420829845</v>
      </c>
      <c r="P99" s="148">
        <f>'Toim ja inv rahavirta'!P92/'Veroposentin tuotto'!AV92*-1</f>
        <v>0.97733000303128226</v>
      </c>
    </row>
    <row r="100" spans="1:16" x14ac:dyDescent="0.2">
      <c r="A100" s="34">
        <v>239</v>
      </c>
      <c r="B100" s="88" t="s">
        <v>407</v>
      </c>
      <c r="C100" s="148" t="e">
        <f>'Toim ja inv rahavirta'!C93/'Veroposentin tuotto'!AI93*-1</f>
        <v>#REF!</v>
      </c>
      <c r="D100" s="148">
        <f>'Toim ja inv rahavirta'!D93/'Veroposentin tuotto'!AJ93*-1</f>
        <v>-0.58280590717299585</v>
      </c>
      <c r="E100" s="148">
        <f>'Toim ja inv rahavirta'!E93/'Veroposentin tuotto'!AK93*-1</f>
        <v>2.3389491242702252</v>
      </c>
      <c r="F100" s="148">
        <f>'Toim ja inv rahavirta'!F93/'Veroposentin tuotto'!AL93*-1</f>
        <v>3.0105898827236128</v>
      </c>
      <c r="G100" s="148">
        <f>'Toim ja inv rahavirta'!G93/'Veroposentin tuotto'!AM93*-1</f>
        <v>-1.4389081455805894</v>
      </c>
      <c r="H100" s="148">
        <f>'Toim ja inv rahavirta'!H93/'Veroposentin tuotto'!AN93*-1</f>
        <v>-1.9038177657507185</v>
      </c>
      <c r="I100" s="148">
        <f>'Toim ja inv rahavirta'!I93/'Veroposentin tuotto'!AO93*-1</f>
        <v>-3.0157907006761513</v>
      </c>
      <c r="J100" s="148">
        <f>'Toim ja inv rahavirta'!J93/'Veroposentin tuotto'!AP93*-1</f>
        <v>-1.2216913586585294</v>
      </c>
      <c r="K100" s="148">
        <f>'Toim ja inv rahavirta'!K93/'Veroposentin tuotto'!AQ93*-1</f>
        <v>2.791760186810007</v>
      </c>
      <c r="L100" s="148">
        <f>'Toim ja inv rahavirta'!L93/'Veroposentin tuotto'!AR93*-1</f>
        <v>-6.7593368534345704</v>
      </c>
      <c r="M100" s="148">
        <f>'Toim ja inv rahavirta'!M93/'Veroposentin tuotto'!AS93*-1</f>
        <v>-3.2089637962249342</v>
      </c>
      <c r="N100" s="148">
        <f>'Toim ja inv rahavirta'!N93/'Veroposentin tuotto'!AT93*-1</f>
        <v>-2.3982037119278856</v>
      </c>
      <c r="O100" s="148">
        <f>'Toim ja inv rahavirta'!O93/'Veroposentin tuotto'!AU93*-1</f>
        <v>-2.6516192609834368</v>
      </c>
      <c r="P100" s="148">
        <f>'Toim ja inv rahavirta'!P93/'Veroposentin tuotto'!AV93*-1</f>
        <v>-2.613574482870094</v>
      </c>
    </row>
    <row r="101" spans="1:16" x14ac:dyDescent="0.2">
      <c r="A101" s="34">
        <v>240</v>
      </c>
      <c r="B101" s="88" t="s">
        <v>408</v>
      </c>
      <c r="C101" s="148" t="e">
        <f>'Toim ja inv rahavirta'!C94/'Veroposentin tuotto'!AI94*-1</f>
        <v>#REF!</v>
      </c>
      <c r="D101" s="148">
        <f>'Toim ja inv rahavirta'!D94/'Veroposentin tuotto'!AJ94*-1</f>
        <v>-0.2375038807823657</v>
      </c>
      <c r="E101" s="148">
        <f>'Toim ja inv rahavirta'!E94/'Veroposentin tuotto'!AK94*-1</f>
        <v>-0.68315184719641486</v>
      </c>
      <c r="F101" s="148">
        <f>'Toim ja inv rahavirta'!F94/'Veroposentin tuotto'!AL94*-1</f>
        <v>3.9127776477230478</v>
      </c>
      <c r="G101" s="148">
        <f>'Toim ja inv rahavirta'!G94/'Veroposentin tuotto'!AM94*-1</f>
        <v>3.5607418670721462</v>
      </c>
      <c r="H101" s="148">
        <f>'Toim ja inv rahavirta'!H94/'Veroposentin tuotto'!AN94*-1</f>
        <v>-0.29930917313155331</v>
      </c>
      <c r="I101" s="148">
        <f>'Toim ja inv rahavirta'!I94/'Veroposentin tuotto'!AO94*-1</f>
        <v>3.4835828228436228</v>
      </c>
      <c r="J101" s="148">
        <f>'Toim ja inv rahavirta'!J94/'Veroposentin tuotto'!AP94*-1</f>
        <v>-0.61418622755331842</v>
      </c>
      <c r="K101" s="148">
        <f>'Toim ja inv rahavirta'!K94/'Veroposentin tuotto'!AQ94*-1</f>
        <v>-2.0259912672556553</v>
      </c>
      <c r="L101" s="148">
        <f>'Toim ja inv rahavirta'!L94/'Veroposentin tuotto'!AR94*-1</f>
        <v>0.13769855043989496</v>
      </c>
      <c r="M101" s="148">
        <f>'Toim ja inv rahavirta'!M94/'Veroposentin tuotto'!AS94*-1</f>
        <v>0.24107754725272046</v>
      </c>
      <c r="N101" s="148">
        <f>'Toim ja inv rahavirta'!N94/'Veroposentin tuotto'!AT94*-1</f>
        <v>0.80344488794593849</v>
      </c>
      <c r="O101" s="148">
        <f>'Toim ja inv rahavirta'!O94/'Veroposentin tuotto'!AU94*-1</f>
        <v>0.62181288994761741</v>
      </c>
      <c r="P101" s="148">
        <f>'Toim ja inv rahavirta'!P94/'Veroposentin tuotto'!AV94*-1</f>
        <v>0.12067559253253739</v>
      </c>
    </row>
    <row r="102" spans="1:16" x14ac:dyDescent="0.2">
      <c r="A102" s="34">
        <v>241</v>
      </c>
      <c r="B102" s="88" t="s">
        <v>409</v>
      </c>
      <c r="C102" s="148" t="e">
        <f>'Toim ja inv rahavirta'!C95/'Veroposentin tuotto'!AI95*-1</f>
        <v>#REF!</v>
      </c>
      <c r="D102" s="148">
        <f>'Toim ja inv rahavirta'!D95/'Veroposentin tuotto'!AJ95*-1</f>
        <v>-0.82181554126823531</v>
      </c>
      <c r="E102" s="148">
        <f>'Toim ja inv rahavirta'!E95/'Veroposentin tuotto'!AK95*-1</f>
        <v>-0.31009008110623587</v>
      </c>
      <c r="F102" s="148">
        <f>'Toim ja inv rahavirta'!F95/'Veroposentin tuotto'!AL95*-1</f>
        <v>-3.9075340186978074</v>
      </c>
      <c r="G102" s="148">
        <f>'Toim ja inv rahavirta'!G95/'Veroposentin tuotto'!AM95*-1</f>
        <v>0.37481728114341401</v>
      </c>
      <c r="H102" s="148">
        <f>'Toim ja inv rahavirta'!H95/'Veroposentin tuotto'!AN95*-1</f>
        <v>-0.58837776293916066</v>
      </c>
      <c r="I102" s="148">
        <f>'Toim ja inv rahavirta'!I95/'Veroposentin tuotto'!AO95*-1</f>
        <v>0.39853839953989978</v>
      </c>
      <c r="J102" s="148">
        <f>'Toim ja inv rahavirta'!J95/'Veroposentin tuotto'!AP95*-1</f>
        <v>-12.613213305068324</v>
      </c>
      <c r="K102" s="148">
        <f>'Toim ja inv rahavirta'!K95/'Veroposentin tuotto'!AQ95*-1</f>
        <v>-1.1119062206827091</v>
      </c>
      <c r="L102" s="148">
        <f>'Toim ja inv rahavirta'!L95/'Veroposentin tuotto'!AR95*-1</f>
        <v>1.2005565673326342</v>
      </c>
      <c r="M102" s="148">
        <f>'Toim ja inv rahavirta'!M95/'Veroposentin tuotto'!AS95*-1</f>
        <v>1.6715428335484017</v>
      </c>
      <c r="N102" s="148">
        <f>'Toim ja inv rahavirta'!N95/'Veroposentin tuotto'!AT95*-1</f>
        <v>1.6964859735591742</v>
      </c>
      <c r="O102" s="148">
        <f>'Toim ja inv rahavirta'!O95/'Veroposentin tuotto'!AU95*-1</f>
        <v>1.7239278890750411</v>
      </c>
      <c r="P102" s="148">
        <f>'Toim ja inv rahavirta'!P95/'Veroposentin tuotto'!AV95*-1</f>
        <v>1.2724987590729797</v>
      </c>
    </row>
    <row r="103" spans="1:16" x14ac:dyDescent="0.2">
      <c r="A103" s="34">
        <v>244</v>
      </c>
      <c r="B103" s="88" t="s">
        <v>410</v>
      </c>
      <c r="C103" s="148" t="e">
        <f>'Toim ja inv rahavirta'!C96/'Veroposentin tuotto'!AI96*-1</f>
        <v>#REF!</v>
      </c>
      <c r="D103" s="148">
        <f>'Toim ja inv rahavirta'!D96/'Veroposentin tuotto'!AJ96*-1</f>
        <v>-0.37803941856778089</v>
      </c>
      <c r="E103" s="148">
        <f>'Toim ja inv rahavirta'!E96/'Veroposentin tuotto'!AK96*-1</f>
        <v>3.7938112643296229</v>
      </c>
      <c r="F103" s="148">
        <f>'Toim ja inv rahavirta'!F96/'Veroposentin tuotto'!AL96*-1</f>
        <v>3.8668706151085002</v>
      </c>
      <c r="G103" s="148">
        <f>'Toim ja inv rahavirta'!G96/'Veroposentin tuotto'!AM96*-1</f>
        <v>4.5900151285930404</v>
      </c>
      <c r="H103" s="148">
        <f>'Toim ja inv rahavirta'!H96/'Veroposentin tuotto'!AN96*-1</f>
        <v>5.5749885710869466E-2</v>
      </c>
      <c r="I103" s="148">
        <f>'Toim ja inv rahavirta'!I96/'Veroposentin tuotto'!AO96*-1</f>
        <v>0.44564620231432905</v>
      </c>
      <c r="J103" s="148">
        <f>'Toim ja inv rahavirta'!J96/'Veroposentin tuotto'!AP96*-1</f>
        <v>5.8229429529656561E-2</v>
      </c>
      <c r="K103" s="148">
        <f>'Toim ja inv rahavirta'!K96/'Veroposentin tuotto'!AQ96*-1</f>
        <v>2.3215783267160464</v>
      </c>
      <c r="L103" s="148">
        <f>'Toim ja inv rahavirta'!L96/'Veroposentin tuotto'!AR96*-1</f>
        <v>1.5910081006054746</v>
      </c>
      <c r="M103" s="148">
        <f>'Toim ja inv rahavirta'!M96/'Veroposentin tuotto'!AS96*-1</f>
        <v>1.6782209803676893</v>
      </c>
      <c r="N103" s="148">
        <f>'Toim ja inv rahavirta'!N96/'Veroposentin tuotto'!AT96*-1</f>
        <v>1.7923326969235698</v>
      </c>
      <c r="O103" s="148">
        <f>'Toim ja inv rahavirta'!O96/'Veroposentin tuotto'!AU96*-1</f>
        <v>1.6978612105655033</v>
      </c>
      <c r="P103" s="148">
        <f>'Toim ja inv rahavirta'!P96/'Veroposentin tuotto'!AV96*-1</f>
        <v>1.8681308124238312</v>
      </c>
    </row>
    <row r="104" spans="1:16" x14ac:dyDescent="0.2">
      <c r="A104" s="34">
        <v>245</v>
      </c>
      <c r="B104" s="88" t="s">
        <v>411</v>
      </c>
      <c r="C104" s="148" t="e">
        <f>'Toim ja inv rahavirta'!C97/'Veroposentin tuotto'!AI97*-1</f>
        <v>#REF!</v>
      </c>
      <c r="D104" s="148">
        <f>'Toim ja inv rahavirta'!D97/'Veroposentin tuotto'!AJ97*-1</f>
        <v>-0.90106504317942793</v>
      </c>
      <c r="E104" s="148">
        <f>'Toim ja inv rahavirta'!E97/'Veroposentin tuotto'!AK97*-1</f>
        <v>0.54670301276419819</v>
      </c>
      <c r="F104" s="148">
        <f>'Toim ja inv rahavirta'!F97/'Veroposentin tuotto'!AL97*-1</f>
        <v>1.5837074842743608</v>
      </c>
      <c r="G104" s="148">
        <f>'Toim ja inv rahavirta'!G97/'Veroposentin tuotto'!AM97*-1</f>
        <v>1.852200816397054</v>
      </c>
      <c r="H104" s="148">
        <f>'Toim ja inv rahavirta'!H97/'Veroposentin tuotto'!AN97*-1</f>
        <v>2.4495261830800312</v>
      </c>
      <c r="I104" s="148">
        <f>'Toim ja inv rahavirta'!I97/'Veroposentin tuotto'!AO97*-1</f>
        <v>2.1362843501914313</v>
      </c>
      <c r="J104" s="148">
        <f>'Toim ja inv rahavirta'!J97/'Veroposentin tuotto'!AP97*-1</f>
        <v>1.3027378558499536</v>
      </c>
      <c r="K104" s="148">
        <f>'Toim ja inv rahavirta'!K97/'Veroposentin tuotto'!AQ97*-1</f>
        <v>-0.96269025840721412</v>
      </c>
      <c r="L104" s="148">
        <f>'Toim ja inv rahavirta'!L97/'Veroposentin tuotto'!AR97*-1</f>
        <v>-1.456698358007996E-2</v>
      </c>
      <c r="M104" s="148">
        <f>'Toim ja inv rahavirta'!M97/'Veroposentin tuotto'!AS97*-1</f>
        <v>0.69008590316928708</v>
      </c>
      <c r="N104" s="148">
        <f>'Toim ja inv rahavirta'!N97/'Veroposentin tuotto'!AT97*-1</f>
        <v>0.69240972587465111</v>
      </c>
      <c r="O104" s="148">
        <f>'Toim ja inv rahavirta'!O97/'Veroposentin tuotto'!AU97*-1</f>
        <v>0.72618960232859209</v>
      </c>
      <c r="P104" s="148">
        <f>'Toim ja inv rahavirta'!P97/'Veroposentin tuotto'!AV97*-1</f>
        <v>0.59483234959493336</v>
      </c>
    </row>
    <row r="105" spans="1:16" x14ac:dyDescent="0.2">
      <c r="A105" s="34">
        <v>249</v>
      </c>
      <c r="B105" s="88" t="s">
        <v>412</v>
      </c>
      <c r="C105" s="148" t="e">
        <f>'Toim ja inv rahavirta'!C98/'Veroposentin tuotto'!AI98*-1</f>
        <v>#REF!</v>
      </c>
      <c r="D105" s="148">
        <f>'Toim ja inv rahavirta'!D98/'Veroposentin tuotto'!AJ98*-1</f>
        <v>5.9399343355797471</v>
      </c>
      <c r="E105" s="148">
        <f>'Toim ja inv rahavirta'!E98/'Veroposentin tuotto'!AK98*-1</f>
        <v>-1.033942785637318</v>
      </c>
      <c r="F105" s="148">
        <f>'Toim ja inv rahavirta'!F98/'Veroposentin tuotto'!AL98*-1</f>
        <v>-0.48303197948994736</v>
      </c>
      <c r="G105" s="148">
        <f>'Toim ja inv rahavirta'!G98/'Veroposentin tuotto'!AM98*-1</f>
        <v>3.1804022908227405</v>
      </c>
      <c r="H105" s="148">
        <f>'Toim ja inv rahavirta'!H98/'Veroposentin tuotto'!AN98*-1</f>
        <v>-0.96828822510752044</v>
      </c>
      <c r="I105" s="148">
        <f>'Toim ja inv rahavirta'!I98/'Veroposentin tuotto'!AO98*-1</f>
        <v>-1.4394861813029287</v>
      </c>
      <c r="J105" s="148">
        <f>'Toim ja inv rahavirta'!J98/'Veroposentin tuotto'!AP98*-1</f>
        <v>-0.69146946720098756</v>
      </c>
      <c r="K105" s="148">
        <f>'Toim ja inv rahavirta'!K98/'Veroposentin tuotto'!AQ98*-1</f>
        <v>-1.3239205822902613</v>
      </c>
      <c r="L105" s="148">
        <f>'Toim ja inv rahavirta'!L98/'Veroposentin tuotto'!AR98*-1</f>
        <v>-1.0727958981786032</v>
      </c>
      <c r="M105" s="148">
        <f>'Toim ja inv rahavirta'!M98/'Veroposentin tuotto'!AS98*-1</f>
        <v>-0.6205555929037806</v>
      </c>
      <c r="N105" s="148">
        <f>'Toim ja inv rahavirta'!N98/'Veroposentin tuotto'!AT98*-1</f>
        <v>-0.74468743889985667</v>
      </c>
      <c r="O105" s="148">
        <f>'Toim ja inv rahavirta'!O98/'Veroposentin tuotto'!AU98*-1</f>
        <v>-0.60768906018651114</v>
      </c>
      <c r="P105" s="148">
        <f>'Toim ja inv rahavirta'!P98/'Veroposentin tuotto'!AV98*-1</f>
        <v>-1.2337558301674572</v>
      </c>
    </row>
    <row r="106" spans="1:16" x14ac:dyDescent="0.2">
      <c r="A106" s="34">
        <v>250</v>
      </c>
      <c r="B106" s="88" t="s">
        <v>413</v>
      </c>
      <c r="C106" s="148" t="e">
        <f>'Toim ja inv rahavirta'!C99/'Veroposentin tuotto'!AI99*-1</f>
        <v>#REF!</v>
      </c>
      <c r="D106" s="148">
        <f>'Toim ja inv rahavirta'!D99/'Veroposentin tuotto'!AJ99*-1</f>
        <v>-1.8305152178237516</v>
      </c>
      <c r="E106" s="148">
        <f>'Toim ja inv rahavirta'!E99/'Veroposentin tuotto'!AK99*-1</f>
        <v>1.8861259338313767</v>
      </c>
      <c r="F106" s="148">
        <f>'Toim ja inv rahavirta'!F99/'Veroposentin tuotto'!AL99*-1</f>
        <v>-0.99615722441809396</v>
      </c>
      <c r="G106" s="148">
        <f>'Toim ja inv rahavirta'!G99/'Veroposentin tuotto'!AM99*-1</f>
        <v>2.2921210772312484</v>
      </c>
      <c r="H106" s="148">
        <f>'Toim ja inv rahavirta'!H99/'Veroposentin tuotto'!AN99*-1</f>
        <v>-18.324127119944944</v>
      </c>
      <c r="I106" s="148">
        <f>'Toim ja inv rahavirta'!I99/'Veroposentin tuotto'!AO99*-1</f>
        <v>-2.678296161909608</v>
      </c>
      <c r="J106" s="148">
        <f>'Toim ja inv rahavirta'!J99/'Veroposentin tuotto'!AP99*-1</f>
        <v>-1.2957546138191585</v>
      </c>
      <c r="K106" s="148">
        <f>'Toim ja inv rahavirta'!K99/'Veroposentin tuotto'!AQ99*-1</f>
        <v>1.5896344768528388</v>
      </c>
      <c r="L106" s="148">
        <f>'Toim ja inv rahavirta'!L99/'Veroposentin tuotto'!AR99*-1</f>
        <v>1.2225248744929815</v>
      </c>
      <c r="M106" s="148">
        <f>'Toim ja inv rahavirta'!M99/'Veroposentin tuotto'!AS99*-1</f>
        <v>4.6279292044963976</v>
      </c>
      <c r="N106" s="148">
        <f>'Toim ja inv rahavirta'!N99/'Veroposentin tuotto'!AT99*-1</f>
        <v>4.8357021519503744</v>
      </c>
      <c r="O106" s="148">
        <f>'Toim ja inv rahavirta'!O99/'Veroposentin tuotto'!AU99*-1</f>
        <v>5.0526665388068492</v>
      </c>
      <c r="P106" s="148">
        <f>'Toim ja inv rahavirta'!P99/'Veroposentin tuotto'!AV99*-1</f>
        <v>4.4903340493161608</v>
      </c>
    </row>
    <row r="107" spans="1:16" x14ac:dyDescent="0.2">
      <c r="A107" s="34">
        <v>256</v>
      </c>
      <c r="B107" s="88" t="s">
        <v>414</v>
      </c>
      <c r="C107" s="148" t="e">
        <f>'Toim ja inv rahavirta'!C100/'Veroposentin tuotto'!AI100*-1</f>
        <v>#REF!</v>
      </c>
      <c r="D107" s="148">
        <f>'Toim ja inv rahavirta'!D100/'Veroposentin tuotto'!AJ100*-1</f>
        <v>1.0050051334702259</v>
      </c>
      <c r="E107" s="148">
        <f>'Toim ja inv rahavirta'!E100/'Veroposentin tuotto'!AK100*-1</f>
        <v>-6.3454924439812403</v>
      </c>
      <c r="F107" s="148">
        <f>'Toim ja inv rahavirta'!F100/'Veroposentin tuotto'!AL100*-1</f>
        <v>7.5932134096484054</v>
      </c>
      <c r="G107" s="148">
        <f>'Toim ja inv rahavirta'!G100/'Veroposentin tuotto'!AM100*-1</f>
        <v>4.7455186600058772</v>
      </c>
      <c r="H107" s="148">
        <f>'Toim ja inv rahavirta'!H100/'Veroposentin tuotto'!AN100*-1</f>
        <v>3.207447101248043</v>
      </c>
      <c r="I107" s="148">
        <f>'Toim ja inv rahavirta'!I100/'Veroposentin tuotto'!AO100*-1</f>
        <v>-0.79947127772322391</v>
      </c>
      <c r="J107" s="148">
        <f>'Toim ja inv rahavirta'!J100/'Veroposentin tuotto'!AP100*-1</f>
        <v>0.5205536923025873</v>
      </c>
      <c r="K107" s="148">
        <f>'Toim ja inv rahavirta'!K100/'Veroposentin tuotto'!AQ100*-1</f>
        <v>2.911861591825545</v>
      </c>
      <c r="L107" s="148">
        <f>'Toim ja inv rahavirta'!L100/'Veroposentin tuotto'!AR100*-1</f>
        <v>-0.71808849004128017</v>
      </c>
      <c r="M107" s="148">
        <f>'Toim ja inv rahavirta'!M100/'Veroposentin tuotto'!AS100*-1</f>
        <v>3.632518888924285</v>
      </c>
      <c r="N107" s="148">
        <f>'Toim ja inv rahavirta'!N100/'Veroposentin tuotto'!AT100*-1</f>
        <v>4.1673233855629253</v>
      </c>
      <c r="O107" s="148">
        <f>'Toim ja inv rahavirta'!O100/'Veroposentin tuotto'!AU100*-1</f>
        <v>4.222225245151547</v>
      </c>
      <c r="P107" s="148">
        <f>'Toim ja inv rahavirta'!P100/'Veroposentin tuotto'!AV100*-1</f>
        <v>3.6502176165642113</v>
      </c>
    </row>
    <row r="108" spans="1:16" x14ac:dyDescent="0.2">
      <c r="A108" s="34">
        <v>257</v>
      </c>
      <c r="B108" s="88" t="s">
        <v>415</v>
      </c>
      <c r="C108" s="148" t="e">
        <f>'Toim ja inv rahavirta'!C101/'Veroposentin tuotto'!AI101*-1</f>
        <v>#REF!</v>
      </c>
      <c r="D108" s="148">
        <f>'Toim ja inv rahavirta'!D101/'Veroposentin tuotto'!AJ101*-1</f>
        <v>0.6945046784494282</v>
      </c>
      <c r="E108" s="148">
        <f>'Toim ja inv rahavirta'!E101/'Veroposentin tuotto'!AK101*-1</f>
        <v>0.87740764130091575</v>
      </c>
      <c r="F108" s="148">
        <f>'Toim ja inv rahavirta'!F101/'Veroposentin tuotto'!AL101*-1</f>
        <v>2.1381114285213552</v>
      </c>
      <c r="G108" s="148">
        <f>'Toim ja inv rahavirta'!G101/'Veroposentin tuotto'!AM101*-1</f>
        <v>5.6650254046409296</v>
      </c>
      <c r="H108" s="148">
        <f>'Toim ja inv rahavirta'!H101/'Veroposentin tuotto'!AN101*-1</f>
        <v>3.1584352728139589</v>
      </c>
      <c r="I108" s="148">
        <f>'Toim ja inv rahavirta'!I101/'Veroposentin tuotto'!AO101*-1</f>
        <v>1.6109872706247166</v>
      </c>
      <c r="J108" s="148">
        <f>'Toim ja inv rahavirta'!J101/'Veroposentin tuotto'!AP101*-1</f>
        <v>-5.9483826778473707</v>
      </c>
      <c r="K108" s="148">
        <f>'Toim ja inv rahavirta'!K101/'Veroposentin tuotto'!AQ101*-1</f>
        <v>-1.154578737197919</v>
      </c>
      <c r="L108" s="148">
        <f>'Toim ja inv rahavirta'!L101/'Veroposentin tuotto'!AR101*-1</f>
        <v>2.2674785986664499</v>
      </c>
      <c r="M108" s="148">
        <f>'Toim ja inv rahavirta'!M101/'Veroposentin tuotto'!AS101*-1</f>
        <v>2.3201281650673664</v>
      </c>
      <c r="N108" s="148">
        <f>'Toim ja inv rahavirta'!N101/'Veroposentin tuotto'!AT101*-1</f>
        <v>2.4726773117583196</v>
      </c>
      <c r="O108" s="148">
        <f>'Toim ja inv rahavirta'!O101/'Veroposentin tuotto'!AU101*-1</f>
        <v>2.5623048045300347</v>
      </c>
      <c r="P108" s="148">
        <f>'Toim ja inv rahavirta'!P101/'Veroposentin tuotto'!AV101*-1</f>
        <v>2.523515701381847</v>
      </c>
    </row>
    <row r="109" spans="1:16" x14ac:dyDescent="0.2">
      <c r="A109" s="34">
        <v>260</v>
      </c>
      <c r="B109" s="88" t="s">
        <v>416</v>
      </c>
      <c r="C109" s="148" t="e">
        <f>'Toim ja inv rahavirta'!C102/'Veroposentin tuotto'!AI102*-1</f>
        <v>#REF!</v>
      </c>
      <c r="D109" s="148">
        <f>'Toim ja inv rahavirta'!D102/'Veroposentin tuotto'!AJ102*-1</f>
        <v>-4.4503730961872634</v>
      </c>
      <c r="E109" s="148">
        <f>'Toim ja inv rahavirta'!E102/'Veroposentin tuotto'!AK102*-1</f>
        <v>-7.0242236024844722</v>
      </c>
      <c r="F109" s="148">
        <f>'Toim ja inv rahavirta'!F102/'Veroposentin tuotto'!AL102*-1</f>
        <v>-2.8408479758352669</v>
      </c>
      <c r="G109" s="148">
        <f>'Toim ja inv rahavirta'!G102/'Veroposentin tuotto'!AM102*-1</f>
        <v>-1.9526220481170773</v>
      </c>
      <c r="H109" s="148">
        <f>'Toim ja inv rahavirta'!H102/'Veroposentin tuotto'!AN102*-1</f>
        <v>-2.9448361916140366</v>
      </c>
      <c r="I109" s="148">
        <f>'Toim ja inv rahavirta'!I102/'Veroposentin tuotto'!AO102*-1</f>
        <v>-4.1876663291502663</v>
      </c>
      <c r="J109" s="148">
        <f>'Toim ja inv rahavirta'!J102/'Veroposentin tuotto'!AP102*-1</f>
        <v>-1.9893679280864855</v>
      </c>
      <c r="K109" s="148">
        <f>'Toim ja inv rahavirta'!K102/'Veroposentin tuotto'!AQ102*-1</f>
        <v>-3.1724947468025002</v>
      </c>
      <c r="L109" s="148">
        <f>'Toim ja inv rahavirta'!L102/'Veroposentin tuotto'!AR102*-1</f>
        <v>-0.15731668150037273</v>
      </c>
      <c r="M109" s="148">
        <f>'Toim ja inv rahavirta'!M102/'Veroposentin tuotto'!AS102*-1</f>
        <v>-0.1765317975220782</v>
      </c>
      <c r="N109" s="148">
        <f>'Toim ja inv rahavirta'!N102/'Veroposentin tuotto'!AT102*-1</f>
        <v>-4.62505137323235E-2</v>
      </c>
      <c r="O109" s="148">
        <f>'Toim ja inv rahavirta'!O102/'Veroposentin tuotto'!AU102*-1</f>
        <v>0.14364815714940421</v>
      </c>
      <c r="P109" s="148">
        <f>'Toim ja inv rahavirta'!P102/'Veroposentin tuotto'!AV102*-1</f>
        <v>-0.83662855738443176</v>
      </c>
    </row>
    <row r="110" spans="1:16" x14ac:dyDescent="0.2">
      <c r="A110" s="34">
        <v>261</v>
      </c>
      <c r="B110" s="88" t="s">
        <v>417</v>
      </c>
      <c r="C110" s="148" t="e">
        <f>'Toim ja inv rahavirta'!C103/'Veroposentin tuotto'!AI103*-1</f>
        <v>#REF!</v>
      </c>
      <c r="D110" s="148">
        <f>'Toim ja inv rahavirta'!D103/'Veroposentin tuotto'!AJ103*-1</f>
        <v>-4.5279238535969704</v>
      </c>
      <c r="E110" s="148">
        <f>'Toim ja inv rahavirta'!E103/'Veroposentin tuotto'!AK103*-1</f>
        <v>-5.3556531703590524</v>
      </c>
      <c r="F110" s="148">
        <f>'Toim ja inv rahavirta'!F103/'Veroposentin tuotto'!AL103*-1</f>
        <v>-2.5377026613643316</v>
      </c>
      <c r="G110" s="148">
        <f>'Toim ja inv rahavirta'!G103/'Veroposentin tuotto'!AM103*-1</f>
        <v>-1.7021683064285031</v>
      </c>
      <c r="H110" s="148">
        <f>'Toim ja inv rahavirta'!H103/'Veroposentin tuotto'!AN103*-1</f>
        <v>-4.0189070280156871</v>
      </c>
      <c r="I110" s="148">
        <f>'Toim ja inv rahavirta'!I103/'Veroposentin tuotto'!AO103*-1</f>
        <v>-7.6720065062795619</v>
      </c>
      <c r="J110" s="148">
        <f>'Toim ja inv rahavirta'!J103/'Veroposentin tuotto'!AP103*-1</f>
        <v>-6.1223046439314563</v>
      </c>
      <c r="K110" s="148">
        <f>'Toim ja inv rahavirta'!K103/'Veroposentin tuotto'!AQ103*-1</f>
        <v>0.38714228755970348</v>
      </c>
      <c r="L110" s="148">
        <f>'Toim ja inv rahavirta'!L103/'Veroposentin tuotto'!AR103*-1</f>
        <v>-2.00076204922749</v>
      </c>
      <c r="M110" s="148">
        <f>'Toim ja inv rahavirta'!M103/'Veroposentin tuotto'!AS103*-1</f>
        <v>-0.9877478141804853</v>
      </c>
      <c r="N110" s="148">
        <f>'Toim ja inv rahavirta'!N103/'Veroposentin tuotto'!AT103*-1</f>
        <v>-0.31513063248991635</v>
      </c>
      <c r="O110" s="148">
        <f>'Toim ja inv rahavirta'!O103/'Veroposentin tuotto'!AU103*-1</f>
        <v>-0.41267092028410818</v>
      </c>
      <c r="P110" s="148">
        <f>'Toim ja inv rahavirta'!P103/'Veroposentin tuotto'!AV103*-1</f>
        <v>-0.52019231120675069</v>
      </c>
    </row>
    <row r="111" spans="1:16" x14ac:dyDescent="0.2">
      <c r="A111" s="34">
        <v>263</v>
      </c>
      <c r="B111" s="88" t="s">
        <v>418</v>
      </c>
      <c r="C111" s="148" t="e">
        <f>'Toim ja inv rahavirta'!C104/'Veroposentin tuotto'!AI104*-1</f>
        <v>#REF!</v>
      </c>
      <c r="D111" s="148">
        <f>'Toim ja inv rahavirta'!D104/'Veroposentin tuotto'!AJ104*-1</f>
        <v>0.16213357885830887</v>
      </c>
      <c r="E111" s="148">
        <f>'Toim ja inv rahavirta'!E104/'Veroposentin tuotto'!AK104*-1</f>
        <v>-0.36235387501804012</v>
      </c>
      <c r="F111" s="148">
        <f>'Toim ja inv rahavirta'!F104/'Veroposentin tuotto'!AL104*-1</f>
        <v>2.0321891158552194</v>
      </c>
      <c r="G111" s="148">
        <f>'Toim ja inv rahavirta'!G104/'Veroposentin tuotto'!AM104*-1</f>
        <v>2.5398166750376694</v>
      </c>
      <c r="H111" s="148">
        <f>'Toim ja inv rahavirta'!H104/'Veroposentin tuotto'!AN104*-1</f>
        <v>-3.9911641130864104</v>
      </c>
      <c r="I111" s="148">
        <f>'Toim ja inv rahavirta'!I104/'Veroposentin tuotto'!AO104*-1</f>
        <v>-0.65011084637096805</v>
      </c>
      <c r="J111" s="148">
        <f>'Toim ja inv rahavirta'!J104/'Veroposentin tuotto'!AP104*-1</f>
        <v>-3.3077142078272979</v>
      </c>
      <c r="K111" s="148">
        <f>'Toim ja inv rahavirta'!K104/'Veroposentin tuotto'!AQ104*-1</f>
        <v>-3.9417793755220973</v>
      </c>
      <c r="L111" s="148">
        <f>'Toim ja inv rahavirta'!L104/'Veroposentin tuotto'!AR104*-1</f>
        <v>-1.5983162837036975</v>
      </c>
      <c r="M111" s="148">
        <f>'Toim ja inv rahavirta'!M104/'Veroposentin tuotto'!AS104*-1</f>
        <v>0.16875184194225362</v>
      </c>
      <c r="N111" s="148">
        <f>'Toim ja inv rahavirta'!N104/'Veroposentin tuotto'!AT104*-1</f>
        <v>0.12969800825028041</v>
      </c>
      <c r="O111" s="148">
        <f>'Toim ja inv rahavirta'!O104/'Veroposentin tuotto'!AU104*-1</f>
        <v>0.26075936839087682</v>
      </c>
      <c r="P111" s="148">
        <f>'Toim ja inv rahavirta'!P104/'Veroposentin tuotto'!AV104*-1</f>
        <v>-0.63760978798276235</v>
      </c>
    </row>
    <row r="112" spans="1:16" x14ac:dyDescent="0.2">
      <c r="A112" s="34">
        <v>265</v>
      </c>
      <c r="B112" s="88" t="s">
        <v>419</v>
      </c>
      <c r="C112" s="148" t="e">
        <f>'Toim ja inv rahavirta'!C105/'Veroposentin tuotto'!AI105*-1</f>
        <v>#REF!</v>
      </c>
      <c r="D112" s="148">
        <f>'Toim ja inv rahavirta'!D105/'Veroposentin tuotto'!AJ105*-1</f>
        <v>-0.7861409796893668</v>
      </c>
      <c r="E112" s="148">
        <f>'Toim ja inv rahavirta'!E105/'Veroposentin tuotto'!AK105*-1</f>
        <v>-5.5961080222398731</v>
      </c>
      <c r="F112" s="148">
        <f>'Toim ja inv rahavirta'!F105/'Veroposentin tuotto'!AL105*-1</f>
        <v>2.7568619418271201</v>
      </c>
      <c r="G112" s="148">
        <f>'Toim ja inv rahavirta'!G105/'Veroposentin tuotto'!AM105*-1</f>
        <v>-3.49025974025974E-2</v>
      </c>
      <c r="H112" s="148">
        <f>'Toim ja inv rahavirta'!H105/'Veroposentin tuotto'!AN105*-1</f>
        <v>4.9031742621938257</v>
      </c>
      <c r="I112" s="148">
        <f>'Toim ja inv rahavirta'!I105/'Veroposentin tuotto'!AO105*-1</f>
        <v>-6.0512170172750173</v>
      </c>
      <c r="J112" s="148">
        <f>'Toim ja inv rahavirta'!J105/'Veroposentin tuotto'!AP105*-1</f>
        <v>-12.579454041170992</v>
      </c>
      <c r="K112" s="148">
        <f>'Toim ja inv rahavirta'!K105/'Veroposentin tuotto'!AQ105*-1</f>
        <v>-8.9019160697383004</v>
      </c>
      <c r="L112" s="148">
        <f>'Toim ja inv rahavirta'!L105/'Veroposentin tuotto'!AR105*-1</f>
        <v>-5.9852468028987564</v>
      </c>
      <c r="M112" s="148">
        <f>'Toim ja inv rahavirta'!M105/'Veroposentin tuotto'!AS105*-1</f>
        <v>-6.3669018707051492</v>
      </c>
      <c r="N112" s="148">
        <f>'Toim ja inv rahavirta'!N105/'Veroposentin tuotto'!AT105*-1</f>
        <v>-4.8923124586391546</v>
      </c>
      <c r="O112" s="148">
        <f>'Toim ja inv rahavirta'!O105/'Veroposentin tuotto'!AU105*-1</f>
        <v>-4.3777082408471895</v>
      </c>
      <c r="P112" s="148">
        <f>'Toim ja inv rahavirta'!P105/'Veroposentin tuotto'!AV105*-1</f>
        <v>-4.8554037463707855</v>
      </c>
    </row>
    <row r="113" spans="1:16" x14ac:dyDescent="0.2">
      <c r="A113" s="34">
        <v>271</v>
      </c>
      <c r="B113" s="88" t="s">
        <v>420</v>
      </c>
      <c r="C113" s="148" t="e">
        <f>'Toim ja inv rahavirta'!C106/'Veroposentin tuotto'!AI106*-1</f>
        <v>#REF!</v>
      </c>
      <c r="D113" s="148">
        <f>'Toim ja inv rahavirta'!D106/'Veroposentin tuotto'!AJ106*-1</f>
        <v>1.6050501923672222</v>
      </c>
      <c r="E113" s="148">
        <f>'Toim ja inv rahavirta'!E106/'Veroposentin tuotto'!AK106*-1</f>
        <v>-0.59048482993792073</v>
      </c>
      <c r="F113" s="148">
        <f>'Toim ja inv rahavirta'!F106/'Veroposentin tuotto'!AL106*-1</f>
        <v>7.990883113348754E-2</v>
      </c>
      <c r="G113" s="148">
        <f>'Toim ja inv rahavirta'!G106/'Veroposentin tuotto'!AM106*-1</f>
        <v>1.6036141856787893</v>
      </c>
      <c r="H113" s="148">
        <f>'Toim ja inv rahavirta'!H106/'Veroposentin tuotto'!AN106*-1</f>
        <v>-0.79853997811732469</v>
      </c>
      <c r="I113" s="148">
        <f>'Toim ja inv rahavirta'!I106/'Veroposentin tuotto'!AO106*-1</f>
        <v>0.72251438521893518</v>
      </c>
      <c r="J113" s="148">
        <f>'Toim ja inv rahavirta'!J106/'Veroposentin tuotto'!AP106*-1</f>
        <v>-1.1141404584515575</v>
      </c>
      <c r="K113" s="148">
        <f>'Toim ja inv rahavirta'!K106/'Veroposentin tuotto'!AQ106*-1</f>
        <v>-1.6029638332797724</v>
      </c>
      <c r="L113" s="148">
        <f>'Toim ja inv rahavirta'!L106/'Veroposentin tuotto'!AR106*-1</f>
        <v>1.3537911628833059</v>
      </c>
      <c r="M113" s="148">
        <f>'Toim ja inv rahavirta'!M106/'Veroposentin tuotto'!AS106*-1</f>
        <v>2.1037878367359926</v>
      </c>
      <c r="N113" s="148">
        <f>'Toim ja inv rahavirta'!N106/'Veroposentin tuotto'!AT106*-1</f>
        <v>2.1619398519413262</v>
      </c>
      <c r="O113" s="148">
        <f>'Toim ja inv rahavirta'!O106/'Veroposentin tuotto'!AU106*-1</f>
        <v>2.0320995720047161</v>
      </c>
      <c r="P113" s="148">
        <f>'Toim ja inv rahavirta'!P106/'Veroposentin tuotto'!AV106*-1</f>
        <v>1.4783003007648474</v>
      </c>
    </row>
    <row r="114" spans="1:16" x14ac:dyDescent="0.2">
      <c r="A114" s="34">
        <v>272</v>
      </c>
      <c r="B114" s="88" t="s">
        <v>421</v>
      </c>
      <c r="C114" s="148" t="e">
        <f>'Toim ja inv rahavirta'!C107/'Veroposentin tuotto'!AI107*-1</f>
        <v>#REF!</v>
      </c>
      <c r="D114" s="148">
        <f>'Toim ja inv rahavirta'!D107/'Veroposentin tuotto'!AJ107*-1</f>
        <v>1.2341941541684764</v>
      </c>
      <c r="E114" s="148">
        <f>'Toim ja inv rahavirta'!E107/'Veroposentin tuotto'!AK107*-1</f>
        <v>-3.9648899956664008</v>
      </c>
      <c r="F114" s="148">
        <f>'Toim ja inv rahavirta'!F107/'Veroposentin tuotto'!AL107*-1</f>
        <v>0.54885262507406019</v>
      </c>
      <c r="G114" s="148">
        <f>'Toim ja inv rahavirta'!G107/'Veroposentin tuotto'!AM107*-1</f>
        <v>1.2985034724356217</v>
      </c>
      <c r="H114" s="148">
        <f>'Toim ja inv rahavirta'!H107/'Veroposentin tuotto'!AN107*-1</f>
        <v>-1.6311877026278405</v>
      </c>
      <c r="I114" s="148">
        <f>'Toim ja inv rahavirta'!I107/'Veroposentin tuotto'!AO107*-1</f>
        <v>1.1696012321007478</v>
      </c>
      <c r="J114" s="148">
        <f>'Toim ja inv rahavirta'!J107/'Veroposentin tuotto'!AP107*-1</f>
        <v>-0.84174775372187205</v>
      </c>
      <c r="K114" s="148">
        <f>'Toim ja inv rahavirta'!K107/'Veroposentin tuotto'!AQ107*-1</f>
        <v>-0.23358232832829479</v>
      </c>
      <c r="L114" s="148">
        <f>'Toim ja inv rahavirta'!L107/'Veroposentin tuotto'!AR107*-1</f>
        <v>1.995340580200909</v>
      </c>
      <c r="M114" s="148">
        <f>'Toim ja inv rahavirta'!M107/'Veroposentin tuotto'!AS107*-1</f>
        <v>2.5076131942153337</v>
      </c>
      <c r="N114" s="148">
        <f>'Toim ja inv rahavirta'!N107/'Veroposentin tuotto'!AT107*-1</f>
        <v>2.2507069940590769</v>
      </c>
      <c r="O114" s="148">
        <f>'Toim ja inv rahavirta'!O107/'Veroposentin tuotto'!AU107*-1</f>
        <v>2.1550311594767853</v>
      </c>
      <c r="P114" s="148">
        <f>'Toim ja inv rahavirta'!P107/'Veroposentin tuotto'!AV107*-1</f>
        <v>1.8479468578010916</v>
      </c>
    </row>
    <row r="115" spans="1:16" x14ac:dyDescent="0.2">
      <c r="A115" s="34">
        <v>273</v>
      </c>
      <c r="B115" s="88" t="s">
        <v>422</v>
      </c>
      <c r="C115" s="148" t="e">
        <f>'Toim ja inv rahavirta'!C108/'Veroposentin tuotto'!AI108*-1</f>
        <v>#REF!</v>
      </c>
      <c r="D115" s="148">
        <f>'Toim ja inv rahavirta'!D108/'Veroposentin tuotto'!AJ108*-1</f>
        <v>-2.3159133248357682</v>
      </c>
      <c r="E115" s="148">
        <f>'Toim ja inv rahavirta'!E108/'Veroposentin tuotto'!AK108*-1</f>
        <v>-3.8242066272900193</v>
      </c>
      <c r="F115" s="148">
        <f>'Toim ja inv rahavirta'!F108/'Veroposentin tuotto'!AL108*-1</f>
        <v>-1.9255135342676137</v>
      </c>
      <c r="G115" s="148">
        <f>'Toim ja inv rahavirta'!G108/'Veroposentin tuotto'!AM108*-1</f>
        <v>-3.643299952312828</v>
      </c>
      <c r="H115" s="148">
        <f>'Toim ja inv rahavirta'!H108/'Veroposentin tuotto'!AN108*-1</f>
        <v>-3.150233561234653</v>
      </c>
      <c r="I115" s="148">
        <f>'Toim ja inv rahavirta'!I108/'Veroposentin tuotto'!AO108*-1</f>
        <v>-2.126418179038279</v>
      </c>
      <c r="J115" s="148">
        <f>'Toim ja inv rahavirta'!J108/'Veroposentin tuotto'!AP108*-1</f>
        <v>-4.7534517463376078</v>
      </c>
      <c r="K115" s="148">
        <f>'Toim ja inv rahavirta'!K108/'Veroposentin tuotto'!AQ108*-1</f>
        <v>-3.1130501357454885</v>
      </c>
      <c r="L115" s="148">
        <f>'Toim ja inv rahavirta'!L108/'Veroposentin tuotto'!AR108*-1</f>
        <v>-2.8602136882465294</v>
      </c>
      <c r="M115" s="148">
        <f>'Toim ja inv rahavirta'!M108/'Veroposentin tuotto'!AS108*-1</f>
        <v>-1.8742057276479103</v>
      </c>
      <c r="N115" s="148">
        <f>'Toim ja inv rahavirta'!N108/'Veroposentin tuotto'!AT108*-1</f>
        <v>-1.2103829786105065</v>
      </c>
      <c r="O115" s="148">
        <f>'Toim ja inv rahavirta'!O108/'Veroposentin tuotto'!AU108*-1</f>
        <v>-0.92423331114894658</v>
      </c>
      <c r="P115" s="148">
        <f>'Toim ja inv rahavirta'!P108/'Veroposentin tuotto'!AV108*-1</f>
        <v>-1.1423469028953932</v>
      </c>
    </row>
    <row r="116" spans="1:16" x14ac:dyDescent="0.2">
      <c r="A116" s="34">
        <v>275</v>
      </c>
      <c r="B116" s="88" t="s">
        <v>423</v>
      </c>
      <c r="C116" s="148" t="e">
        <f>'Toim ja inv rahavirta'!C109/'Veroposentin tuotto'!AI109*-1</f>
        <v>#REF!</v>
      </c>
      <c r="D116" s="148">
        <f>'Toim ja inv rahavirta'!D109/'Veroposentin tuotto'!AJ109*-1</f>
        <v>15.180123796423658</v>
      </c>
      <c r="E116" s="148">
        <f>'Toim ja inv rahavirta'!E109/'Veroposentin tuotto'!AK109*-1</f>
        <v>9.2965750586935503</v>
      </c>
      <c r="F116" s="148">
        <f>'Toim ja inv rahavirta'!F109/'Veroposentin tuotto'!AL109*-1</f>
        <v>2.8546868604175195</v>
      </c>
      <c r="G116" s="148">
        <f>'Toim ja inv rahavirta'!G109/'Veroposentin tuotto'!AM109*-1</f>
        <v>1.8800784533482768</v>
      </c>
      <c r="H116" s="148">
        <f>'Toim ja inv rahavirta'!H109/'Veroposentin tuotto'!AN109*-1</f>
        <v>4.5699703376103935</v>
      </c>
      <c r="I116" s="148">
        <f>'Toim ja inv rahavirta'!I109/'Veroposentin tuotto'!AO109*-1</f>
        <v>-6.6703162246260268</v>
      </c>
      <c r="J116" s="148">
        <f>'Toim ja inv rahavirta'!J109/'Veroposentin tuotto'!AP109*-1</f>
        <v>-0.13065899485456495</v>
      </c>
      <c r="K116" s="148">
        <f>'Toim ja inv rahavirta'!K109/'Veroposentin tuotto'!AQ109*-1</f>
        <v>-3.4045632974565141</v>
      </c>
      <c r="L116" s="148">
        <f>'Toim ja inv rahavirta'!L109/'Veroposentin tuotto'!AR109*-1</f>
        <v>-1.2280642988045709</v>
      </c>
      <c r="M116" s="148">
        <f>'Toim ja inv rahavirta'!M109/'Veroposentin tuotto'!AS109*-1</f>
        <v>-1.0741991667622428</v>
      </c>
      <c r="N116" s="148">
        <f>'Toim ja inv rahavirta'!N109/'Veroposentin tuotto'!AT109*-1</f>
        <v>3.8815572279578742E-2</v>
      </c>
      <c r="O116" s="148">
        <f>'Toim ja inv rahavirta'!O109/'Veroposentin tuotto'!AU109*-1</f>
        <v>0.43793735921008431</v>
      </c>
      <c r="P116" s="148">
        <f>'Toim ja inv rahavirta'!P109/'Veroposentin tuotto'!AV109*-1</f>
        <v>0.12833922602477651</v>
      </c>
    </row>
    <row r="117" spans="1:16" x14ac:dyDescent="0.2">
      <c r="A117" s="34">
        <v>276</v>
      </c>
      <c r="B117" s="88" t="s">
        <v>424</v>
      </c>
      <c r="C117" s="148" t="e">
        <f>'Toim ja inv rahavirta'!C110/'Veroposentin tuotto'!AI110*-1</f>
        <v>#REF!</v>
      </c>
      <c r="D117" s="148">
        <f>'Toim ja inv rahavirta'!D110/'Veroposentin tuotto'!AJ110*-1</f>
        <v>-5.1488124824411647</v>
      </c>
      <c r="E117" s="148">
        <f>'Toim ja inv rahavirta'!E110/'Veroposentin tuotto'!AK110*-1</f>
        <v>0.2842472431050545</v>
      </c>
      <c r="F117" s="148">
        <f>'Toim ja inv rahavirta'!F110/'Veroposentin tuotto'!AL110*-1</f>
        <v>3.1138088685693992</v>
      </c>
      <c r="G117" s="148">
        <f>'Toim ja inv rahavirta'!G110/'Veroposentin tuotto'!AM110*-1</f>
        <v>5.0526359762720359E-2</v>
      </c>
      <c r="H117" s="148">
        <f>'Toim ja inv rahavirta'!H110/'Veroposentin tuotto'!AN110*-1</f>
        <v>-1.3482039312560481</v>
      </c>
      <c r="I117" s="148">
        <f>'Toim ja inv rahavirta'!I110/'Veroposentin tuotto'!AO110*-1</f>
        <v>4.8255823355795338</v>
      </c>
      <c r="J117" s="148">
        <f>'Toim ja inv rahavirta'!J110/'Veroposentin tuotto'!AP110*-1</f>
        <v>3.6520567004334525</v>
      </c>
      <c r="K117" s="148">
        <f>'Toim ja inv rahavirta'!K110/'Veroposentin tuotto'!AQ110*-1</f>
        <v>0.92965596812249307</v>
      </c>
      <c r="L117" s="148">
        <f>'Toim ja inv rahavirta'!L110/'Veroposentin tuotto'!AR110*-1</f>
        <v>1.178581877218033</v>
      </c>
      <c r="M117" s="148">
        <f>'Toim ja inv rahavirta'!M110/'Veroposentin tuotto'!AS110*-1</f>
        <v>2.1865214910298261</v>
      </c>
      <c r="N117" s="148">
        <f>'Toim ja inv rahavirta'!N110/'Veroposentin tuotto'!AT110*-1</f>
        <v>2.2370774416360839</v>
      </c>
      <c r="O117" s="148">
        <f>'Toim ja inv rahavirta'!O110/'Veroposentin tuotto'!AU110*-1</f>
        <v>2.1874698044638556</v>
      </c>
      <c r="P117" s="148">
        <f>'Toim ja inv rahavirta'!P110/'Veroposentin tuotto'!AV110*-1</f>
        <v>1.9707682010351362</v>
      </c>
    </row>
    <row r="118" spans="1:16" x14ac:dyDescent="0.2">
      <c r="A118" s="34">
        <v>280</v>
      </c>
      <c r="B118" s="88" t="s">
        <v>425</v>
      </c>
      <c r="C118" s="148" t="e">
        <f>'Toim ja inv rahavirta'!C111/'Veroposentin tuotto'!AI111*-1</f>
        <v>#REF!</v>
      </c>
      <c r="D118" s="148">
        <f>'Toim ja inv rahavirta'!D111/'Veroposentin tuotto'!AJ111*-1</f>
        <v>-2.1626120358514727</v>
      </c>
      <c r="E118" s="148">
        <f>'Toim ja inv rahavirta'!E111/'Veroposentin tuotto'!AK111*-1</f>
        <v>-0.65248751618272605</v>
      </c>
      <c r="F118" s="148">
        <f>'Toim ja inv rahavirta'!F111/'Veroposentin tuotto'!AL111*-1</f>
        <v>0.68811685748124751</v>
      </c>
      <c r="G118" s="148">
        <f>'Toim ja inv rahavirta'!G111/'Veroposentin tuotto'!AM111*-1</f>
        <v>0.20431286549707603</v>
      </c>
      <c r="H118" s="148">
        <f>'Toim ja inv rahavirta'!H111/'Veroposentin tuotto'!AN111*-1</f>
        <v>4.8467540745606854</v>
      </c>
      <c r="I118" s="148">
        <f>'Toim ja inv rahavirta'!I111/'Veroposentin tuotto'!AO111*-1</f>
        <v>6.8954567484824034</v>
      </c>
      <c r="J118" s="148">
        <f>'Toim ja inv rahavirta'!J111/'Veroposentin tuotto'!AP111*-1</f>
        <v>2.5393809864672581</v>
      </c>
      <c r="K118" s="148">
        <f>'Toim ja inv rahavirta'!K111/'Veroposentin tuotto'!AQ111*-1</f>
        <v>-3.5493741536315477</v>
      </c>
      <c r="L118" s="148">
        <f>'Toim ja inv rahavirta'!L111/'Veroposentin tuotto'!AR111*-1</f>
        <v>0.46748431398725238</v>
      </c>
      <c r="M118" s="148">
        <f>'Toim ja inv rahavirta'!M111/'Veroposentin tuotto'!AS111*-1</f>
        <v>1.013738437209319</v>
      </c>
      <c r="N118" s="148">
        <f>'Toim ja inv rahavirta'!N111/'Veroposentin tuotto'!AT111*-1</f>
        <v>0.78394409904954432</v>
      </c>
      <c r="O118" s="148">
        <f>'Toim ja inv rahavirta'!O111/'Veroposentin tuotto'!AU111*-1</f>
        <v>1.4482041952899665</v>
      </c>
      <c r="P118" s="148">
        <f>'Toim ja inv rahavirta'!P111/'Veroposentin tuotto'!AV111*-1</f>
        <v>1.4282691937355887</v>
      </c>
    </row>
    <row r="119" spans="1:16" x14ac:dyDescent="0.2">
      <c r="A119" s="34">
        <v>284</v>
      </c>
      <c r="B119" s="88" t="s">
        <v>426</v>
      </c>
      <c r="C119" s="148" t="e">
        <f>'Toim ja inv rahavirta'!C112/'Veroposentin tuotto'!AI112*-1</f>
        <v>#REF!</v>
      </c>
      <c r="D119" s="148">
        <f>'Toim ja inv rahavirta'!D112/'Veroposentin tuotto'!AJ112*-1</f>
        <v>1.5992758504546987</v>
      </c>
      <c r="E119" s="148">
        <f>'Toim ja inv rahavirta'!E112/'Veroposentin tuotto'!AK112*-1</f>
        <v>0.26065419091052056</v>
      </c>
      <c r="F119" s="148">
        <f>'Toim ja inv rahavirta'!F112/'Veroposentin tuotto'!AL112*-1</f>
        <v>3.7136209056738858</v>
      </c>
      <c r="G119" s="148">
        <f>'Toim ja inv rahavirta'!G112/'Veroposentin tuotto'!AM112*-1</f>
        <v>1.3581427108228064</v>
      </c>
      <c r="H119" s="148">
        <f>'Toim ja inv rahavirta'!H112/'Veroposentin tuotto'!AN112*-1</f>
        <v>-2.1071018011126421</v>
      </c>
      <c r="I119" s="148">
        <f>'Toim ja inv rahavirta'!I112/'Veroposentin tuotto'!AO112*-1</f>
        <v>-4.0936115633992474</v>
      </c>
      <c r="J119" s="148">
        <f>'Toim ja inv rahavirta'!J112/'Veroposentin tuotto'!AP112*-1</f>
        <v>-0.38164690103883198</v>
      </c>
      <c r="K119" s="148">
        <f>'Toim ja inv rahavirta'!K112/'Veroposentin tuotto'!AQ112*-1</f>
        <v>-8.7813776144797107</v>
      </c>
      <c r="L119" s="148">
        <f>'Toim ja inv rahavirta'!L112/'Veroposentin tuotto'!AR112*-1</f>
        <v>-2.5464288248808611</v>
      </c>
      <c r="M119" s="148">
        <f>'Toim ja inv rahavirta'!M112/'Veroposentin tuotto'!AS112*-1</f>
        <v>-4.4564758516224678</v>
      </c>
      <c r="N119" s="148">
        <f>'Toim ja inv rahavirta'!N112/'Veroposentin tuotto'!AT112*-1</f>
        <v>-3.4663567907085828</v>
      </c>
      <c r="O119" s="148">
        <f>'Toim ja inv rahavirta'!O112/'Veroposentin tuotto'!AU112*-1</f>
        <v>-3.0972548782237665</v>
      </c>
      <c r="P119" s="148">
        <f>'Toim ja inv rahavirta'!P112/'Veroposentin tuotto'!AV112*-1</f>
        <v>-3.6011006300895834</v>
      </c>
    </row>
    <row r="120" spans="1:16" x14ac:dyDescent="0.2">
      <c r="A120" s="34">
        <v>285</v>
      </c>
      <c r="B120" s="88" t="s">
        <v>427</v>
      </c>
      <c r="C120" s="148" t="e">
        <f>'Toim ja inv rahavirta'!C113/'Veroposentin tuotto'!AI113*-1</f>
        <v>#REF!</v>
      </c>
      <c r="D120" s="148">
        <f>'Toim ja inv rahavirta'!D113/'Veroposentin tuotto'!AJ113*-1</f>
        <v>0.30624657180653692</v>
      </c>
      <c r="E120" s="148">
        <f>'Toim ja inv rahavirta'!E113/'Veroposentin tuotto'!AK113*-1</f>
        <v>-9.2550153391897982</v>
      </c>
      <c r="F120" s="148">
        <f>'Toim ja inv rahavirta'!F113/'Veroposentin tuotto'!AL113*-1</f>
        <v>0.34384885764499123</v>
      </c>
      <c r="G120" s="148">
        <f>'Toim ja inv rahavirta'!G113/'Veroposentin tuotto'!AM113*-1</f>
        <v>1.9015195035736281</v>
      </c>
      <c r="H120" s="148">
        <f>'Toim ja inv rahavirta'!H113/'Veroposentin tuotto'!AN113*-1</f>
        <v>-3.3756346592439965</v>
      </c>
      <c r="I120" s="148">
        <f>'Toim ja inv rahavirta'!I113/'Veroposentin tuotto'!AO113*-1</f>
        <v>-1.3901849888540807</v>
      </c>
      <c r="J120" s="148">
        <f>'Toim ja inv rahavirta'!J113/'Veroposentin tuotto'!AP113*-1</f>
        <v>2.054538688204103</v>
      </c>
      <c r="K120" s="148">
        <f>'Toim ja inv rahavirta'!K113/'Veroposentin tuotto'!AQ113*-1</f>
        <v>-1.4505186904625351</v>
      </c>
      <c r="L120" s="148">
        <f>'Toim ja inv rahavirta'!L113/'Veroposentin tuotto'!AR113*-1</f>
        <v>1.2435052319253328</v>
      </c>
      <c r="M120" s="148">
        <f>'Toim ja inv rahavirta'!M113/'Veroposentin tuotto'!AS113*-1</f>
        <v>1.0409084885316775</v>
      </c>
      <c r="N120" s="148">
        <f>'Toim ja inv rahavirta'!N113/'Veroposentin tuotto'!AT113*-1</f>
        <v>0.64047586535723156</v>
      </c>
      <c r="O120" s="148">
        <f>'Toim ja inv rahavirta'!O113/'Veroposentin tuotto'!AU113*-1</f>
        <v>0.57070849385714728</v>
      </c>
      <c r="P120" s="148">
        <f>'Toim ja inv rahavirta'!P113/'Veroposentin tuotto'!AV113*-1</f>
        <v>0.18421649853372568</v>
      </c>
    </row>
    <row r="121" spans="1:16" x14ac:dyDescent="0.2">
      <c r="A121" s="34">
        <v>286</v>
      </c>
      <c r="B121" s="88" t="s">
        <v>428</v>
      </c>
      <c r="C121" s="148" t="e">
        <f>'Toim ja inv rahavirta'!C114/'Veroposentin tuotto'!AI114*-1</f>
        <v>#REF!</v>
      </c>
      <c r="D121" s="148">
        <f>'Toim ja inv rahavirta'!D114/'Veroposentin tuotto'!AJ114*-1</f>
        <v>-8.0209362071832671E-2</v>
      </c>
      <c r="E121" s="148">
        <f>'Toim ja inv rahavirta'!E114/'Veroposentin tuotto'!AK114*-1</f>
        <v>0.80065992849189827</v>
      </c>
      <c r="F121" s="148">
        <f>'Toim ja inv rahavirta'!F114/'Veroposentin tuotto'!AL114*-1</f>
        <v>2.7381638254431393</v>
      </c>
      <c r="G121" s="148">
        <f>'Toim ja inv rahavirta'!G114/'Veroposentin tuotto'!AM114*-1</f>
        <v>3.3149285163433588</v>
      </c>
      <c r="H121" s="148">
        <f>'Toim ja inv rahavirta'!H114/'Veroposentin tuotto'!AN114*-1</f>
        <v>-3.0542912387270316</v>
      </c>
      <c r="I121" s="148">
        <f>'Toim ja inv rahavirta'!I114/'Veroposentin tuotto'!AO114*-1</f>
        <v>-6.7015638341880124E-2</v>
      </c>
      <c r="J121" s="148">
        <f>'Toim ja inv rahavirta'!J114/'Veroposentin tuotto'!AP114*-1</f>
        <v>2.3042980336571528</v>
      </c>
      <c r="K121" s="148">
        <f>'Toim ja inv rahavirta'!K114/'Veroposentin tuotto'!AQ114*-1</f>
        <v>-1.0027374519206969</v>
      </c>
      <c r="L121" s="148">
        <f>'Toim ja inv rahavirta'!L114/'Veroposentin tuotto'!AR114*-1</f>
        <v>1.0045075991682224</v>
      </c>
      <c r="M121" s="148">
        <f>'Toim ja inv rahavirta'!M114/'Veroposentin tuotto'!AS114*-1</f>
        <v>1.8633665806188366</v>
      </c>
      <c r="N121" s="148">
        <f>'Toim ja inv rahavirta'!N114/'Veroposentin tuotto'!AT114*-1</f>
        <v>1.5954185323238179</v>
      </c>
      <c r="O121" s="148">
        <f>'Toim ja inv rahavirta'!O114/'Veroposentin tuotto'!AU114*-1</f>
        <v>1.4925420683104182</v>
      </c>
      <c r="P121" s="148">
        <f>'Toim ja inv rahavirta'!P114/'Veroposentin tuotto'!AV114*-1</f>
        <v>1.0751872646855862</v>
      </c>
    </row>
    <row r="122" spans="1:16" x14ac:dyDescent="0.2">
      <c r="A122" s="34">
        <v>287</v>
      </c>
      <c r="B122" s="88" t="s">
        <v>429</v>
      </c>
      <c r="C122" s="148" t="e">
        <f>'Toim ja inv rahavirta'!C115/'Veroposentin tuotto'!AI115*-1</f>
        <v>#REF!</v>
      </c>
      <c r="D122" s="148">
        <f>'Toim ja inv rahavirta'!D115/'Veroposentin tuotto'!AJ115*-1</f>
        <v>-4.8585198537879926</v>
      </c>
      <c r="E122" s="148">
        <f>'Toim ja inv rahavirta'!E115/'Veroposentin tuotto'!AK115*-1</f>
        <v>3.1292266980299912</v>
      </c>
      <c r="F122" s="148">
        <f>'Toim ja inv rahavirta'!F115/'Veroposentin tuotto'!AL115*-1</f>
        <v>3.3534632698997342</v>
      </c>
      <c r="G122" s="148">
        <f>'Toim ja inv rahavirta'!G115/'Veroposentin tuotto'!AM115*-1</f>
        <v>3.7640573589353239</v>
      </c>
      <c r="H122" s="148">
        <f>'Toim ja inv rahavirta'!H115/'Veroposentin tuotto'!AN115*-1</f>
        <v>0.62424914452802505</v>
      </c>
      <c r="I122" s="148">
        <f>'Toim ja inv rahavirta'!I115/'Veroposentin tuotto'!AO115*-1</f>
        <v>-2.6563070609807</v>
      </c>
      <c r="J122" s="148">
        <f>'Toim ja inv rahavirta'!J115/'Veroposentin tuotto'!AP115*-1</f>
        <v>2.0816152081371562</v>
      </c>
      <c r="K122" s="148">
        <f>'Toim ja inv rahavirta'!K115/'Veroposentin tuotto'!AQ115*-1</f>
        <v>-0.37357051700799859</v>
      </c>
      <c r="L122" s="148">
        <f>'Toim ja inv rahavirta'!L115/'Veroposentin tuotto'!AR115*-1</f>
        <v>-0.58877784677692224</v>
      </c>
      <c r="M122" s="148">
        <f>'Toim ja inv rahavirta'!M115/'Veroposentin tuotto'!AS115*-1</f>
        <v>-1.1960488456212261E-2</v>
      </c>
      <c r="N122" s="148">
        <f>'Toim ja inv rahavirta'!N115/'Veroposentin tuotto'!AT115*-1</f>
        <v>-7.6220287623044822E-2</v>
      </c>
      <c r="O122" s="148">
        <f>'Toim ja inv rahavirta'!O115/'Veroposentin tuotto'!AU115*-1</f>
        <v>0.15665992171841853</v>
      </c>
      <c r="P122" s="148">
        <f>'Toim ja inv rahavirta'!P115/'Veroposentin tuotto'!AV115*-1</f>
        <v>-0.15053692889638723</v>
      </c>
    </row>
    <row r="123" spans="1:16" x14ac:dyDescent="0.2">
      <c r="A123" s="34">
        <v>288</v>
      </c>
      <c r="B123" s="88" t="s">
        <v>430</v>
      </c>
      <c r="C123" s="148" t="e">
        <f>'Toim ja inv rahavirta'!C116/'Veroposentin tuotto'!AI116*-1</f>
        <v>#REF!</v>
      </c>
      <c r="D123" s="148">
        <f>'Toim ja inv rahavirta'!D116/'Veroposentin tuotto'!AJ116*-1</f>
        <v>1.2587803320561941</v>
      </c>
      <c r="E123" s="148">
        <f>'Toim ja inv rahavirta'!E116/'Veroposentin tuotto'!AK116*-1</f>
        <v>0.70659146797818884</v>
      </c>
      <c r="F123" s="148">
        <f>'Toim ja inv rahavirta'!F116/'Veroposentin tuotto'!AL116*-1</f>
        <v>-0.81845742767586449</v>
      </c>
      <c r="G123" s="148">
        <f>'Toim ja inv rahavirta'!G116/'Veroposentin tuotto'!AM116*-1</f>
        <v>2.7439896681899461</v>
      </c>
      <c r="H123" s="148">
        <f>'Toim ja inv rahavirta'!H116/'Veroposentin tuotto'!AN116*-1</f>
        <v>-0.48208140233735652</v>
      </c>
      <c r="I123" s="148">
        <f>'Toim ja inv rahavirta'!I116/'Veroposentin tuotto'!AO116*-1</f>
        <v>-0.86273291111318384</v>
      </c>
      <c r="J123" s="148">
        <f>'Toim ja inv rahavirta'!J116/'Veroposentin tuotto'!AP116*-1</f>
        <v>-3.9924462796228477</v>
      </c>
      <c r="K123" s="148">
        <f>'Toim ja inv rahavirta'!K116/'Veroposentin tuotto'!AQ116*-1</f>
        <v>-2.4227028033533551</v>
      </c>
      <c r="L123" s="148">
        <f>'Toim ja inv rahavirta'!L116/'Veroposentin tuotto'!AR116*-1</f>
        <v>-0.84574936697286396</v>
      </c>
      <c r="M123" s="148">
        <f>'Toim ja inv rahavirta'!M116/'Veroposentin tuotto'!AS116*-1</f>
        <v>-0.94113429218574463</v>
      </c>
      <c r="N123" s="148">
        <f>'Toim ja inv rahavirta'!N116/'Veroposentin tuotto'!AT116*-1</f>
        <v>-0.81520226140079732</v>
      </c>
      <c r="O123" s="148">
        <f>'Toim ja inv rahavirta'!O116/'Veroposentin tuotto'!AU116*-1</f>
        <v>-0.92431053181457323</v>
      </c>
      <c r="P123" s="148">
        <f>'Toim ja inv rahavirta'!P116/'Veroposentin tuotto'!AV116*-1</f>
        <v>-1.1895839573099207</v>
      </c>
    </row>
    <row r="124" spans="1:16" x14ac:dyDescent="0.2">
      <c r="A124" s="34">
        <v>290</v>
      </c>
      <c r="B124" s="88" t="s">
        <v>431</v>
      </c>
      <c r="C124" s="148" t="e">
        <f>'Toim ja inv rahavirta'!C117/'Veroposentin tuotto'!AI117*-1</f>
        <v>#REF!</v>
      </c>
      <c r="D124" s="148">
        <f>'Toim ja inv rahavirta'!D117/'Veroposentin tuotto'!AJ117*-1</f>
        <v>3.1802703950959397</v>
      </c>
      <c r="E124" s="148">
        <f>'Toim ja inv rahavirta'!E117/'Veroposentin tuotto'!AK117*-1</f>
        <v>8.6204451737776662</v>
      </c>
      <c r="F124" s="148">
        <f>'Toim ja inv rahavirta'!F117/'Veroposentin tuotto'!AL117*-1</f>
        <v>3.8028432061873794</v>
      </c>
      <c r="G124" s="148">
        <f>'Toim ja inv rahavirta'!G117/'Veroposentin tuotto'!AM117*-1</f>
        <v>0.66709760827407893</v>
      </c>
      <c r="H124" s="148">
        <f>'Toim ja inv rahavirta'!H117/'Veroposentin tuotto'!AN117*-1</f>
        <v>-1.5874137688129664</v>
      </c>
      <c r="I124" s="148">
        <f>'Toim ja inv rahavirta'!I117/'Veroposentin tuotto'!AO117*-1</f>
        <v>-5.2240332768817215</v>
      </c>
      <c r="J124" s="148">
        <f>'Toim ja inv rahavirta'!J117/'Veroposentin tuotto'!AP117*-1</f>
        <v>-2.0123609691652633</v>
      </c>
      <c r="K124" s="148">
        <f>'Toim ja inv rahavirta'!K117/'Veroposentin tuotto'!AQ117*-1</f>
        <v>-2.4869327551416927</v>
      </c>
      <c r="L124" s="148">
        <f>'Toim ja inv rahavirta'!L117/'Veroposentin tuotto'!AR117*-1</f>
        <v>-0.96849162778625164</v>
      </c>
      <c r="M124" s="148">
        <f>'Toim ja inv rahavirta'!M117/'Veroposentin tuotto'!AS117*-1</f>
        <v>0.34510860602977284</v>
      </c>
      <c r="N124" s="148">
        <f>'Toim ja inv rahavirta'!N117/'Veroposentin tuotto'!AT117*-1</f>
        <v>0.17216176343245373</v>
      </c>
      <c r="O124" s="148">
        <f>'Toim ja inv rahavirta'!O117/'Veroposentin tuotto'!AU117*-1</f>
        <v>0.52099180707317383</v>
      </c>
      <c r="P124" s="148">
        <f>'Toim ja inv rahavirta'!P117/'Veroposentin tuotto'!AV117*-1</f>
        <v>-0.30624981401731532</v>
      </c>
    </row>
    <row r="125" spans="1:16" x14ac:dyDescent="0.2">
      <c r="A125" s="34">
        <v>291</v>
      </c>
      <c r="B125" s="88" t="s">
        <v>432</v>
      </c>
      <c r="C125" s="148" t="e">
        <f>'Toim ja inv rahavirta'!C118/'Veroposentin tuotto'!AI118*-1</f>
        <v>#REF!</v>
      </c>
      <c r="D125" s="148">
        <f>'Toim ja inv rahavirta'!D118/'Veroposentin tuotto'!AJ118*-1</f>
        <v>-3.2786574303150258</v>
      </c>
      <c r="E125" s="148">
        <f>'Toim ja inv rahavirta'!E118/'Veroposentin tuotto'!AK118*-1</f>
        <v>-5.0850375808425108</v>
      </c>
      <c r="F125" s="148">
        <f>'Toim ja inv rahavirta'!F118/'Veroposentin tuotto'!AL118*-1</f>
        <v>4.8872911169744944</v>
      </c>
      <c r="G125" s="148">
        <f>'Toim ja inv rahavirta'!G118/'Veroposentin tuotto'!AM118*-1</f>
        <v>2.0284161216192329</v>
      </c>
      <c r="H125" s="148">
        <f>'Toim ja inv rahavirta'!H118/'Veroposentin tuotto'!AN118*-1</f>
        <v>-2.6321231665748157</v>
      </c>
      <c r="I125" s="148">
        <f>'Toim ja inv rahavirta'!I118/'Veroposentin tuotto'!AO118*-1</f>
        <v>13.19957521708754</v>
      </c>
      <c r="J125" s="148">
        <f>'Toim ja inv rahavirta'!J118/'Veroposentin tuotto'!AP118*-1</f>
        <v>-5.4464066855471144E-2</v>
      </c>
      <c r="K125" s="148">
        <f>'Toim ja inv rahavirta'!K118/'Veroposentin tuotto'!AQ118*-1</f>
        <v>-1.3451073544524463</v>
      </c>
      <c r="L125" s="148">
        <f>'Toim ja inv rahavirta'!L118/'Veroposentin tuotto'!AR118*-1</f>
        <v>-0.92465789859655678</v>
      </c>
      <c r="M125" s="148">
        <f>'Toim ja inv rahavirta'!M118/'Veroposentin tuotto'!AS118*-1</f>
        <v>1.4981035009365031</v>
      </c>
      <c r="N125" s="148">
        <f>'Toim ja inv rahavirta'!N118/'Veroposentin tuotto'!AT118*-1</f>
        <v>2.1622782600348058</v>
      </c>
      <c r="O125" s="148">
        <f>'Toim ja inv rahavirta'!O118/'Veroposentin tuotto'!AU118*-1</f>
        <v>2.8526889861006404</v>
      </c>
      <c r="P125" s="148">
        <f>'Toim ja inv rahavirta'!P118/'Veroposentin tuotto'!AV118*-1</f>
        <v>2.5723737654950249</v>
      </c>
    </row>
    <row r="126" spans="1:16" x14ac:dyDescent="0.2">
      <c r="A126" s="34">
        <v>297</v>
      </c>
      <c r="B126" s="88" t="s">
        <v>433</v>
      </c>
      <c r="C126" s="148" t="e">
        <f>'Toim ja inv rahavirta'!C119/'Veroposentin tuotto'!AI119*-1</f>
        <v>#REF!</v>
      </c>
      <c r="D126" s="148">
        <f>'Toim ja inv rahavirta'!D119/'Veroposentin tuotto'!AJ119*-1</f>
        <v>1.7065258838756803E-3</v>
      </c>
      <c r="E126" s="148">
        <f>'Toim ja inv rahavirta'!E119/'Veroposentin tuotto'!AK119*-1</f>
        <v>-0.37644430611572971</v>
      </c>
      <c r="F126" s="148">
        <f>'Toim ja inv rahavirta'!F119/'Veroposentin tuotto'!AL119*-1</f>
        <v>1.8953373107657658</v>
      </c>
      <c r="G126" s="148">
        <f>'Toim ja inv rahavirta'!G119/'Veroposentin tuotto'!AM119*-1</f>
        <v>-3.8351921639038444</v>
      </c>
      <c r="H126" s="148">
        <f>'Toim ja inv rahavirta'!H119/'Veroposentin tuotto'!AN119*-1</f>
        <v>0.32971590469289708</v>
      </c>
      <c r="I126" s="148">
        <f>'Toim ja inv rahavirta'!I119/'Veroposentin tuotto'!AO119*-1</f>
        <v>0.64811938500740551</v>
      </c>
      <c r="J126" s="148">
        <f>'Toim ja inv rahavirta'!J119/'Veroposentin tuotto'!AP119*-1</f>
        <v>2.3146703349282234</v>
      </c>
      <c r="K126" s="148">
        <f>'Toim ja inv rahavirta'!K119/'Veroposentin tuotto'!AQ119*-1</f>
        <v>0.77535665397752274</v>
      </c>
      <c r="L126" s="148">
        <f>'Toim ja inv rahavirta'!L119/'Veroposentin tuotto'!AR119*-1</f>
        <v>1.2379418839473808</v>
      </c>
      <c r="M126" s="148">
        <f>'Toim ja inv rahavirta'!M119/'Veroposentin tuotto'!AS119*-1</f>
        <v>2.1404945726378366</v>
      </c>
      <c r="N126" s="148">
        <f>'Toim ja inv rahavirta'!N119/'Veroposentin tuotto'!AT119*-1</f>
        <v>1.9228793822822401</v>
      </c>
      <c r="O126" s="148">
        <f>'Toim ja inv rahavirta'!O119/'Veroposentin tuotto'!AU119*-1</f>
        <v>1.8343549428038404</v>
      </c>
      <c r="P126" s="148">
        <f>'Toim ja inv rahavirta'!P119/'Veroposentin tuotto'!AV119*-1</f>
        <v>1.6304775353932695</v>
      </c>
    </row>
    <row r="127" spans="1:16" x14ac:dyDescent="0.2">
      <c r="A127" s="34">
        <v>300</v>
      </c>
      <c r="B127" s="88" t="s">
        <v>434</v>
      </c>
      <c r="C127" s="148" t="e">
        <f>'Toim ja inv rahavirta'!C120/'Veroposentin tuotto'!AI120*-1</f>
        <v>#REF!</v>
      </c>
      <c r="D127" s="148">
        <f>'Toim ja inv rahavirta'!D120/'Veroposentin tuotto'!AJ120*-1</f>
        <v>-1.1397203521491455</v>
      </c>
      <c r="E127" s="148">
        <f>'Toim ja inv rahavirta'!E120/'Veroposentin tuotto'!AK120*-1</f>
        <v>-2.8252577319587626</v>
      </c>
      <c r="F127" s="148">
        <f>'Toim ja inv rahavirta'!F120/'Veroposentin tuotto'!AL120*-1</f>
        <v>0.76901408450704223</v>
      </c>
      <c r="G127" s="148">
        <f>'Toim ja inv rahavirta'!G120/'Veroposentin tuotto'!AM120*-1</f>
        <v>3.8569187323501728</v>
      </c>
      <c r="H127" s="148">
        <f>'Toim ja inv rahavirta'!H120/'Veroposentin tuotto'!AN120*-1</f>
        <v>1.510027961715056</v>
      </c>
      <c r="I127" s="148">
        <f>'Toim ja inv rahavirta'!I120/'Veroposentin tuotto'!AO120*-1</f>
        <v>-1.8237995954870339</v>
      </c>
      <c r="J127" s="148">
        <f>'Toim ja inv rahavirta'!J120/'Veroposentin tuotto'!AP120*-1</f>
        <v>-2.5077098078744409</v>
      </c>
      <c r="K127" s="148">
        <f>'Toim ja inv rahavirta'!K120/'Veroposentin tuotto'!AQ120*-1</f>
        <v>-1.1557745656617964</v>
      </c>
      <c r="L127" s="148">
        <f>'Toim ja inv rahavirta'!L120/'Veroposentin tuotto'!AR120*-1</f>
        <v>-0.35223774452538426</v>
      </c>
      <c r="M127" s="148">
        <f>'Toim ja inv rahavirta'!M120/'Veroposentin tuotto'!AS120*-1</f>
        <v>1.1759258110747888</v>
      </c>
      <c r="N127" s="148">
        <f>'Toim ja inv rahavirta'!N120/'Veroposentin tuotto'!AT120*-1</f>
        <v>1.4556879195312697</v>
      </c>
      <c r="O127" s="148">
        <f>'Toim ja inv rahavirta'!O120/'Veroposentin tuotto'!AU120*-1</f>
        <v>2.142176122014829</v>
      </c>
      <c r="P127" s="148">
        <f>'Toim ja inv rahavirta'!P120/'Veroposentin tuotto'!AV120*-1</f>
        <v>1.8928226119148011</v>
      </c>
    </row>
    <row r="128" spans="1:16" x14ac:dyDescent="0.2">
      <c r="A128" s="34">
        <v>301</v>
      </c>
      <c r="B128" s="88" t="s">
        <v>435</v>
      </c>
      <c r="C128" s="148" t="e">
        <f>'Toim ja inv rahavirta'!C121/'Veroposentin tuotto'!AI121*-1</f>
        <v>#REF!</v>
      </c>
      <c r="D128" s="148">
        <f>'Toim ja inv rahavirta'!D121/'Veroposentin tuotto'!AJ121*-1</f>
        <v>6.6801473243301795E-2</v>
      </c>
      <c r="E128" s="148">
        <f>'Toim ja inv rahavirta'!E121/'Veroposentin tuotto'!AK121*-1</f>
        <v>-1.7269127690844643</v>
      </c>
      <c r="F128" s="148">
        <f>'Toim ja inv rahavirta'!F121/'Veroposentin tuotto'!AL121*-1</f>
        <v>1.0303375047402352</v>
      </c>
      <c r="G128" s="148">
        <f>'Toim ja inv rahavirta'!G121/'Veroposentin tuotto'!AM121*-1</f>
        <v>-5.6516156268139522E-2</v>
      </c>
      <c r="H128" s="148">
        <f>'Toim ja inv rahavirta'!H121/'Veroposentin tuotto'!AN121*-1</f>
        <v>-2.5545014040180396</v>
      </c>
      <c r="I128" s="148">
        <f>'Toim ja inv rahavirta'!I121/'Veroposentin tuotto'!AO121*-1</f>
        <v>3.7550993645086073</v>
      </c>
      <c r="J128" s="148">
        <f>'Toim ja inv rahavirta'!J121/'Veroposentin tuotto'!AP121*-1</f>
        <v>7.793754471760054</v>
      </c>
      <c r="K128" s="148">
        <f>'Toim ja inv rahavirta'!K121/'Veroposentin tuotto'!AQ121*-1</f>
        <v>2.2837415379975168</v>
      </c>
      <c r="L128" s="148">
        <f>'Toim ja inv rahavirta'!L121/'Veroposentin tuotto'!AR121*-1</f>
        <v>3.7606971676026721</v>
      </c>
      <c r="M128" s="148">
        <f>'Toim ja inv rahavirta'!M121/'Veroposentin tuotto'!AS121*-1</f>
        <v>3.9437732616152541</v>
      </c>
      <c r="N128" s="148">
        <f>'Toim ja inv rahavirta'!N121/'Veroposentin tuotto'!AT121*-1</f>
        <v>4.0365015185955473</v>
      </c>
      <c r="O128" s="148">
        <f>'Toim ja inv rahavirta'!O121/'Veroposentin tuotto'!AU121*-1</f>
        <v>3.9300661478493186</v>
      </c>
      <c r="P128" s="148">
        <f>'Toim ja inv rahavirta'!P121/'Veroposentin tuotto'!AV121*-1</f>
        <v>3.3425815158841319</v>
      </c>
    </row>
    <row r="129" spans="1:16" x14ac:dyDescent="0.2">
      <c r="A129" s="34">
        <v>304</v>
      </c>
      <c r="B129" s="88" t="s">
        <v>436</v>
      </c>
      <c r="C129" s="148" t="e">
        <f>'Toim ja inv rahavirta'!C122/'Veroposentin tuotto'!AI122*-1</f>
        <v>#REF!</v>
      </c>
      <c r="D129" s="148">
        <f>'Toim ja inv rahavirta'!D122/'Veroposentin tuotto'!AJ122*-1</f>
        <v>3.8299180327868854</v>
      </c>
      <c r="E129" s="148">
        <f>'Toim ja inv rahavirta'!E122/'Veroposentin tuotto'!AK122*-1</f>
        <v>0.57195876288659797</v>
      </c>
      <c r="F129" s="148">
        <f>'Toim ja inv rahavirta'!F122/'Veroposentin tuotto'!AL122*-1</f>
        <v>-3.0509373894587899</v>
      </c>
      <c r="G129" s="148">
        <f>'Toim ja inv rahavirta'!G122/'Veroposentin tuotto'!AM122*-1</f>
        <v>3.4548575351870925</v>
      </c>
      <c r="H129" s="148">
        <f>'Toim ja inv rahavirta'!H122/'Veroposentin tuotto'!AN122*-1</f>
        <v>-0.69556357858680706</v>
      </c>
      <c r="I129" s="148">
        <f>'Toim ja inv rahavirta'!I122/'Veroposentin tuotto'!AO122*-1</f>
        <v>4.068818180294266</v>
      </c>
      <c r="J129" s="148">
        <f>'Toim ja inv rahavirta'!J122/'Veroposentin tuotto'!AP122*-1</f>
        <v>-0.43785025089740959</v>
      </c>
      <c r="K129" s="148">
        <f>'Toim ja inv rahavirta'!K122/'Veroposentin tuotto'!AQ122*-1</f>
        <v>2.9346887199630007</v>
      </c>
      <c r="L129" s="148">
        <f>'Toim ja inv rahavirta'!L122/'Veroposentin tuotto'!AR122*-1</f>
        <v>1.0547306772533387</v>
      </c>
      <c r="M129" s="148">
        <f>'Toim ja inv rahavirta'!M122/'Veroposentin tuotto'!AS122*-1</f>
        <v>2.3198500534745135</v>
      </c>
      <c r="N129" s="148">
        <f>'Toim ja inv rahavirta'!N122/'Veroposentin tuotto'!AT122*-1</f>
        <v>2.2942964087906632</v>
      </c>
      <c r="O129" s="148">
        <f>'Toim ja inv rahavirta'!O122/'Veroposentin tuotto'!AU122*-1</f>
        <v>3.0482359508948562</v>
      </c>
      <c r="P129" s="148">
        <f>'Toim ja inv rahavirta'!P122/'Veroposentin tuotto'!AV122*-1</f>
        <v>3.0187590602376875</v>
      </c>
    </row>
    <row r="130" spans="1:16" x14ac:dyDescent="0.2">
      <c r="A130" s="34">
        <v>305</v>
      </c>
      <c r="B130" s="88" t="s">
        <v>437</v>
      </c>
      <c r="C130" s="148" t="e">
        <f>'Toim ja inv rahavirta'!C123/'Veroposentin tuotto'!AI123*-1</f>
        <v>#REF!</v>
      </c>
      <c r="D130" s="148">
        <f>'Toim ja inv rahavirta'!D123/'Veroposentin tuotto'!AJ123*-1</f>
        <v>-0.24914790456531133</v>
      </c>
      <c r="E130" s="148">
        <f>'Toim ja inv rahavirta'!E123/'Veroposentin tuotto'!AK123*-1</f>
        <v>-0.22594002058351881</v>
      </c>
      <c r="F130" s="148">
        <f>'Toim ja inv rahavirta'!F123/'Veroposentin tuotto'!AL123*-1</f>
        <v>2.9316479633730621</v>
      </c>
      <c r="G130" s="148">
        <f>'Toim ja inv rahavirta'!G123/'Veroposentin tuotto'!AM123*-1</f>
        <v>1.3790941102696446</v>
      </c>
      <c r="H130" s="148">
        <f>'Toim ja inv rahavirta'!H123/'Veroposentin tuotto'!AN123*-1</f>
        <v>1.2052020237949372</v>
      </c>
      <c r="I130" s="148">
        <f>'Toim ja inv rahavirta'!I123/'Veroposentin tuotto'!AO123*-1</f>
        <v>3.0687553401213536</v>
      </c>
      <c r="J130" s="148">
        <f>'Toim ja inv rahavirta'!J123/'Veroposentin tuotto'!AP123*-1</f>
        <v>5.4347840213939262</v>
      </c>
      <c r="K130" s="148">
        <f>'Toim ja inv rahavirta'!K123/'Veroposentin tuotto'!AQ123*-1</f>
        <v>4.4172306934975465</v>
      </c>
      <c r="L130" s="148">
        <f>'Toim ja inv rahavirta'!L123/'Veroposentin tuotto'!AR123*-1</f>
        <v>5.5245706350397805</v>
      </c>
      <c r="M130" s="148">
        <f>'Toim ja inv rahavirta'!M123/'Veroposentin tuotto'!AS123*-1</f>
        <v>5.5143051619471901</v>
      </c>
      <c r="N130" s="148">
        <f>'Toim ja inv rahavirta'!N123/'Veroposentin tuotto'!AT123*-1</f>
        <v>5.6722078520246892</v>
      </c>
      <c r="O130" s="148">
        <f>'Toim ja inv rahavirta'!O123/'Veroposentin tuotto'!AU123*-1</f>
        <v>5.8105199789829527</v>
      </c>
      <c r="P130" s="148">
        <f>'Toim ja inv rahavirta'!P123/'Veroposentin tuotto'!AV123*-1</f>
        <v>5.2962502207538185</v>
      </c>
    </row>
    <row r="131" spans="1:16" x14ac:dyDescent="0.2">
      <c r="A131" s="34">
        <v>309</v>
      </c>
      <c r="B131" s="88" t="s">
        <v>438</v>
      </c>
      <c r="C131" s="148" t="e">
        <f>'Toim ja inv rahavirta'!C124/'Veroposentin tuotto'!AI124*-1</f>
        <v>#REF!</v>
      </c>
      <c r="D131" s="148">
        <f>'Toim ja inv rahavirta'!D124/'Veroposentin tuotto'!AJ124*-1</f>
        <v>1.367956329241296</v>
      </c>
      <c r="E131" s="148">
        <f>'Toim ja inv rahavirta'!E124/'Veroposentin tuotto'!AK124*-1</f>
        <v>-3.015379598225933</v>
      </c>
      <c r="F131" s="148">
        <f>'Toim ja inv rahavirta'!F124/'Veroposentin tuotto'!AL124*-1</f>
        <v>-1.3411908646003263</v>
      </c>
      <c r="G131" s="148">
        <f>'Toim ja inv rahavirta'!G124/'Veroposentin tuotto'!AM124*-1</f>
        <v>2.8496855519390962</v>
      </c>
      <c r="H131" s="148">
        <f>'Toim ja inv rahavirta'!H124/'Veroposentin tuotto'!AN124*-1</f>
        <v>-72.585364306537159</v>
      </c>
      <c r="I131" s="148">
        <f>'Toim ja inv rahavirta'!I124/'Veroposentin tuotto'!AO124*-1</f>
        <v>-1.9012269304667209</v>
      </c>
      <c r="J131" s="148">
        <f>'Toim ja inv rahavirta'!J124/'Veroposentin tuotto'!AP124*-1</f>
        <v>7.6292745020685615</v>
      </c>
      <c r="K131" s="148">
        <f>'Toim ja inv rahavirta'!K124/'Veroposentin tuotto'!AQ124*-1</f>
        <v>2.9597741659879451</v>
      </c>
      <c r="L131" s="148">
        <f>'Toim ja inv rahavirta'!L124/'Veroposentin tuotto'!AR124*-1</f>
        <v>2.1064655311844214</v>
      </c>
      <c r="M131" s="148">
        <f>'Toim ja inv rahavirta'!M124/'Veroposentin tuotto'!AS124*-1</f>
        <v>3.0178998950421545</v>
      </c>
      <c r="N131" s="148">
        <f>'Toim ja inv rahavirta'!N124/'Veroposentin tuotto'!AT124*-1</f>
        <v>2.6822949590516663</v>
      </c>
      <c r="O131" s="148">
        <f>'Toim ja inv rahavirta'!O124/'Veroposentin tuotto'!AU124*-1</f>
        <v>2.8018988159737432</v>
      </c>
      <c r="P131" s="148">
        <f>'Toim ja inv rahavirta'!P124/'Veroposentin tuotto'!AV124*-1</f>
        <v>1.815276707353388</v>
      </c>
    </row>
    <row r="132" spans="1:16" x14ac:dyDescent="0.2">
      <c r="A132" s="34">
        <v>312</v>
      </c>
      <c r="B132" s="88" t="s">
        <v>439</v>
      </c>
      <c r="C132" s="148" t="e">
        <f>'Toim ja inv rahavirta'!C125/'Veroposentin tuotto'!AI125*-1</f>
        <v>#REF!</v>
      </c>
      <c r="D132" s="148">
        <f>'Toim ja inv rahavirta'!D125/'Veroposentin tuotto'!AJ125*-1</f>
        <v>8.8968537139150179</v>
      </c>
      <c r="E132" s="148">
        <f>'Toim ja inv rahavirta'!E125/'Veroposentin tuotto'!AK125*-1</f>
        <v>-0.25781935106693948</v>
      </c>
      <c r="F132" s="148">
        <f>'Toim ja inv rahavirta'!F125/'Veroposentin tuotto'!AL125*-1</f>
        <v>4.1699207281268347</v>
      </c>
      <c r="G132" s="148">
        <f>'Toim ja inv rahavirta'!G125/'Veroposentin tuotto'!AM125*-1</f>
        <v>-16.112084592145017</v>
      </c>
      <c r="H132" s="148">
        <f>'Toim ja inv rahavirta'!H125/'Veroposentin tuotto'!AN125*-1</f>
        <v>6.7817467937592451</v>
      </c>
      <c r="I132" s="148">
        <f>'Toim ja inv rahavirta'!I125/'Veroposentin tuotto'!AO125*-1</f>
        <v>-5.8991402550949141</v>
      </c>
      <c r="J132" s="148">
        <f>'Toim ja inv rahavirta'!J125/'Veroposentin tuotto'!AP125*-1</f>
        <v>-1.2236233718305392</v>
      </c>
      <c r="K132" s="148">
        <f>'Toim ja inv rahavirta'!K125/'Veroposentin tuotto'!AQ125*-1</f>
        <v>-3.513612297390877</v>
      </c>
      <c r="L132" s="148">
        <f>'Toim ja inv rahavirta'!L125/'Veroposentin tuotto'!AR125*-1</f>
        <v>8.6909338356811305E-2</v>
      </c>
      <c r="M132" s="148">
        <f>'Toim ja inv rahavirta'!M125/'Veroposentin tuotto'!AS125*-1</f>
        <v>0.45753466071165971</v>
      </c>
      <c r="N132" s="148">
        <f>'Toim ja inv rahavirta'!N125/'Veroposentin tuotto'!AT125*-1</f>
        <v>0.72235253808979905</v>
      </c>
      <c r="O132" s="148">
        <f>'Toim ja inv rahavirta'!O125/'Veroposentin tuotto'!AU125*-1</f>
        <v>0.65755144013281774</v>
      </c>
      <c r="P132" s="148">
        <f>'Toim ja inv rahavirta'!P125/'Veroposentin tuotto'!AV125*-1</f>
        <v>0.44828729025949554</v>
      </c>
    </row>
    <row r="133" spans="1:16" x14ac:dyDescent="0.2">
      <c r="A133" s="34">
        <v>316</v>
      </c>
      <c r="B133" s="88" t="s">
        <v>440</v>
      </c>
      <c r="C133" s="148" t="e">
        <f>'Toim ja inv rahavirta'!C126/'Veroposentin tuotto'!AI126*-1</f>
        <v>#REF!</v>
      </c>
      <c r="D133" s="148">
        <f>'Toim ja inv rahavirta'!D126/'Veroposentin tuotto'!AJ126*-1</f>
        <v>-7.6980083131278141</v>
      </c>
      <c r="E133" s="148">
        <f>'Toim ja inv rahavirta'!E126/'Veroposentin tuotto'!AK126*-1</f>
        <v>-3.1102941176470589</v>
      </c>
      <c r="F133" s="148">
        <f>'Toim ja inv rahavirta'!F126/'Veroposentin tuotto'!AL126*-1</f>
        <v>0.57380849687297819</v>
      </c>
      <c r="G133" s="148">
        <f>'Toim ja inv rahavirta'!G126/'Veroposentin tuotto'!AM126*-1</f>
        <v>7.9917105725324911</v>
      </c>
      <c r="H133" s="148">
        <f>'Toim ja inv rahavirta'!H126/'Veroposentin tuotto'!AN126*-1</f>
        <v>-2.0633925644977458</v>
      </c>
      <c r="I133" s="148">
        <f>'Toim ja inv rahavirta'!I126/'Veroposentin tuotto'!AO126*-1</f>
        <v>12.401651493594036</v>
      </c>
      <c r="J133" s="148">
        <f>'Toim ja inv rahavirta'!J126/'Veroposentin tuotto'!AP126*-1</f>
        <v>4.1421945632566448</v>
      </c>
      <c r="K133" s="148">
        <f>'Toim ja inv rahavirta'!K126/'Veroposentin tuotto'!AQ126*-1</f>
        <v>1.035912334415602</v>
      </c>
      <c r="L133" s="148">
        <f>'Toim ja inv rahavirta'!L126/'Veroposentin tuotto'!AR126*-1</f>
        <v>1.6362961575911601</v>
      </c>
      <c r="M133" s="148">
        <f>'Toim ja inv rahavirta'!M126/'Veroposentin tuotto'!AS126*-1</f>
        <v>4.1217364223465198</v>
      </c>
      <c r="N133" s="148">
        <f>'Toim ja inv rahavirta'!N126/'Veroposentin tuotto'!AT126*-1</f>
        <v>5.3208508093619455</v>
      </c>
      <c r="O133" s="148">
        <f>'Toim ja inv rahavirta'!O126/'Veroposentin tuotto'!AU126*-1</f>
        <v>5.2806850992682923</v>
      </c>
      <c r="P133" s="148">
        <f>'Toim ja inv rahavirta'!P126/'Veroposentin tuotto'!AV126*-1</f>
        <v>5.0249378822474871</v>
      </c>
    </row>
    <row r="134" spans="1:16" x14ac:dyDescent="0.2">
      <c r="A134" s="34">
        <v>317</v>
      </c>
      <c r="B134" s="88" t="s">
        <v>441</v>
      </c>
      <c r="C134" s="148" t="e">
        <f>'Toim ja inv rahavirta'!C127/'Veroposentin tuotto'!AI127*-1</f>
        <v>#REF!</v>
      </c>
      <c r="D134" s="148">
        <f>'Toim ja inv rahavirta'!D127/'Veroposentin tuotto'!AJ127*-1</f>
        <v>-4.2680956306677658</v>
      </c>
      <c r="E134" s="148">
        <f>'Toim ja inv rahavirta'!E127/'Veroposentin tuotto'!AK127*-1</f>
        <v>-1.8260681542985642</v>
      </c>
      <c r="F134" s="148">
        <f>'Toim ja inv rahavirta'!F127/'Veroposentin tuotto'!AL127*-1</f>
        <v>-1.8617421007685739</v>
      </c>
      <c r="G134" s="148">
        <f>'Toim ja inv rahavirta'!G127/'Veroposentin tuotto'!AM127*-1</f>
        <v>-2.6879269261318508</v>
      </c>
      <c r="H134" s="148">
        <f>'Toim ja inv rahavirta'!H127/'Veroposentin tuotto'!AN127*-1</f>
        <v>-4.9018374264395437</v>
      </c>
      <c r="I134" s="148">
        <f>'Toim ja inv rahavirta'!I127/'Veroposentin tuotto'!AO127*-1</f>
        <v>-3.9873567350081687</v>
      </c>
      <c r="J134" s="148">
        <f>'Toim ja inv rahavirta'!J127/'Veroposentin tuotto'!AP127*-1</f>
        <v>-1.7503180761618209</v>
      </c>
      <c r="K134" s="148">
        <f>'Toim ja inv rahavirta'!K127/'Veroposentin tuotto'!AQ127*-1</f>
        <v>-2.7615630204422486</v>
      </c>
      <c r="L134" s="148">
        <f>'Toim ja inv rahavirta'!L127/'Veroposentin tuotto'!AR127*-1</f>
        <v>-0.21519796455123208</v>
      </c>
      <c r="M134" s="148">
        <f>'Toim ja inv rahavirta'!M127/'Veroposentin tuotto'!AS127*-1</f>
        <v>1.0553770233047195</v>
      </c>
      <c r="N134" s="148">
        <f>'Toim ja inv rahavirta'!N127/'Veroposentin tuotto'!AT127*-1</f>
        <v>1.8092942749195406</v>
      </c>
      <c r="O134" s="148">
        <f>'Toim ja inv rahavirta'!O127/'Veroposentin tuotto'!AU127*-1</f>
        <v>2.388174555653463</v>
      </c>
      <c r="P134" s="148">
        <f>'Toim ja inv rahavirta'!P127/'Veroposentin tuotto'!AV127*-1</f>
        <v>2.3607504524935186</v>
      </c>
    </row>
    <row r="135" spans="1:16" x14ac:dyDescent="0.2">
      <c r="A135" s="34">
        <v>320</v>
      </c>
      <c r="B135" s="88" t="s">
        <v>442</v>
      </c>
      <c r="C135" s="148" t="e">
        <f>'Toim ja inv rahavirta'!C128/'Veroposentin tuotto'!AI128*-1</f>
        <v>#REF!</v>
      </c>
      <c r="D135" s="148">
        <f>'Toim ja inv rahavirta'!D128/'Veroposentin tuotto'!AJ128*-1</f>
        <v>-9.888832487309644</v>
      </c>
      <c r="E135" s="148">
        <f>'Toim ja inv rahavirta'!E128/'Veroposentin tuotto'!AK128*-1</f>
        <v>1.1047461087011992</v>
      </c>
      <c r="F135" s="148">
        <f>'Toim ja inv rahavirta'!F128/'Veroposentin tuotto'!AL128*-1</f>
        <v>-1.3285198555956679</v>
      </c>
      <c r="G135" s="148">
        <f>'Toim ja inv rahavirta'!G128/'Veroposentin tuotto'!AM128*-1</f>
        <v>0.66081229418221743</v>
      </c>
      <c r="H135" s="148">
        <f>'Toim ja inv rahavirta'!H128/'Veroposentin tuotto'!AN128*-1</f>
        <v>1.5161384607206556</v>
      </c>
      <c r="I135" s="148">
        <f>'Toim ja inv rahavirta'!I128/'Veroposentin tuotto'!AO128*-1</f>
        <v>-3.8773457640273286</v>
      </c>
      <c r="J135" s="148">
        <f>'Toim ja inv rahavirta'!J128/'Veroposentin tuotto'!AP128*-1</f>
        <v>-8.9030821521357186</v>
      </c>
      <c r="K135" s="148">
        <f>'Toim ja inv rahavirta'!K128/'Veroposentin tuotto'!AQ128*-1</f>
        <v>-2.0650661999865516</v>
      </c>
      <c r="L135" s="148">
        <f>'Toim ja inv rahavirta'!L128/'Veroposentin tuotto'!AR128*-1</f>
        <v>-0.88915436679256576</v>
      </c>
      <c r="M135" s="148">
        <f>'Toim ja inv rahavirta'!M128/'Veroposentin tuotto'!AS128*-1</f>
        <v>-1.4654921833551522</v>
      </c>
      <c r="N135" s="148">
        <f>'Toim ja inv rahavirta'!N128/'Veroposentin tuotto'!AT128*-1</f>
        <v>-0.86491994517269111</v>
      </c>
      <c r="O135" s="148">
        <f>'Toim ja inv rahavirta'!O128/'Veroposentin tuotto'!AU128*-1</f>
        <v>-0.79027544069668321</v>
      </c>
      <c r="P135" s="148">
        <f>'Toim ja inv rahavirta'!P128/'Veroposentin tuotto'!AV128*-1</f>
        <v>-1.4271581617444642</v>
      </c>
    </row>
    <row r="136" spans="1:16" x14ac:dyDescent="0.2">
      <c r="A136" s="34">
        <v>322</v>
      </c>
      <c r="B136" s="88" t="s">
        <v>443</v>
      </c>
      <c r="C136" s="148" t="e">
        <f>'Toim ja inv rahavirta'!C129/'Veroposentin tuotto'!AI129*-1</f>
        <v>#REF!</v>
      </c>
      <c r="D136" s="148">
        <f>'Toim ja inv rahavirta'!D129/'Veroposentin tuotto'!AJ129*-1</f>
        <v>2.5609163109838455E-2</v>
      </c>
      <c r="E136" s="148">
        <f>'Toim ja inv rahavirta'!E129/'Veroposentin tuotto'!AK129*-1</f>
        <v>0.94965803487522193</v>
      </c>
      <c r="F136" s="148">
        <f>'Toim ja inv rahavirta'!F129/'Veroposentin tuotto'!AL129*-1</f>
        <v>0.81179554758032857</v>
      </c>
      <c r="G136" s="148">
        <f>'Toim ja inv rahavirta'!G129/'Veroposentin tuotto'!AM129*-1</f>
        <v>0.13968693459071221</v>
      </c>
      <c r="H136" s="148">
        <f>'Toim ja inv rahavirta'!H129/'Veroposentin tuotto'!AN129*-1</f>
        <v>-5.8557664648797649</v>
      </c>
      <c r="I136" s="148">
        <f>'Toim ja inv rahavirta'!I129/'Veroposentin tuotto'!AO129*-1</f>
        <v>-4.208524231987651</v>
      </c>
      <c r="J136" s="148">
        <f>'Toim ja inv rahavirta'!J129/'Veroposentin tuotto'!AP129*-1</f>
        <v>-3.9973461534232539</v>
      </c>
      <c r="K136" s="148">
        <f>'Toim ja inv rahavirta'!K129/'Veroposentin tuotto'!AQ129*-1</f>
        <v>-2.4757409591420712</v>
      </c>
      <c r="L136" s="148">
        <f>'Toim ja inv rahavirta'!L129/'Veroposentin tuotto'!AR129*-1</f>
        <v>0.11406165566314631</v>
      </c>
      <c r="M136" s="148">
        <f>'Toim ja inv rahavirta'!M129/'Veroposentin tuotto'!AS129*-1</f>
        <v>0.63038728108796727</v>
      </c>
      <c r="N136" s="148">
        <f>'Toim ja inv rahavirta'!N129/'Veroposentin tuotto'!AT129*-1</f>
        <v>0.59184673781774555</v>
      </c>
      <c r="O136" s="148">
        <f>'Toim ja inv rahavirta'!O129/'Veroposentin tuotto'!AU129*-1</f>
        <v>0.86109654261929336</v>
      </c>
      <c r="P136" s="148">
        <f>'Toim ja inv rahavirta'!P129/'Veroposentin tuotto'!AV129*-1</f>
        <v>0.23783296191293449</v>
      </c>
    </row>
    <row r="137" spans="1:16" x14ac:dyDescent="0.2">
      <c r="A137" s="34">
        <v>398</v>
      </c>
      <c r="B137" s="88" t="s">
        <v>444</v>
      </c>
      <c r="C137" s="148" t="e">
        <f>'Toim ja inv rahavirta'!C130/'Veroposentin tuotto'!AI130*-1</f>
        <v>#REF!</v>
      </c>
      <c r="D137" s="148">
        <f>'Toim ja inv rahavirta'!D130/'Veroposentin tuotto'!AJ130*-1</f>
        <v>0.28697292203368996</v>
      </c>
      <c r="E137" s="148">
        <f>'Toim ja inv rahavirta'!E130/'Veroposentin tuotto'!AK130*-1</f>
        <v>-0.84641195842997552</v>
      </c>
      <c r="F137" s="148">
        <f>'Toim ja inv rahavirta'!F130/'Veroposentin tuotto'!AL130*-1</f>
        <v>3.1810348738733287</v>
      </c>
      <c r="G137" s="148">
        <f>'Toim ja inv rahavirta'!G130/'Veroposentin tuotto'!AM130*-1</f>
        <v>3.4007767985598147</v>
      </c>
      <c r="H137" s="148">
        <f>'Toim ja inv rahavirta'!H130/'Veroposentin tuotto'!AN130*-1</f>
        <v>-0.45018184092337943</v>
      </c>
      <c r="I137" s="148">
        <f>'Toim ja inv rahavirta'!I130/'Veroposentin tuotto'!AO130*-1</f>
        <v>-2.922037216842492</v>
      </c>
      <c r="J137" s="148">
        <f>'Toim ja inv rahavirta'!J130/'Veroposentin tuotto'!AP130*-1</f>
        <v>-2.874209935171006</v>
      </c>
      <c r="K137" s="148">
        <f>'Toim ja inv rahavirta'!K130/'Veroposentin tuotto'!AQ130*-1</f>
        <v>-1.1015475465992586</v>
      </c>
      <c r="L137" s="148">
        <f>'Toim ja inv rahavirta'!L130/'Veroposentin tuotto'!AR130*-1</f>
        <v>1.9722686048546416</v>
      </c>
      <c r="M137" s="148">
        <f>'Toim ja inv rahavirta'!M130/'Veroposentin tuotto'!AS130*-1</f>
        <v>0.79985563648930091</v>
      </c>
      <c r="N137" s="148">
        <f>'Toim ja inv rahavirta'!N130/'Veroposentin tuotto'!AT130*-1</f>
        <v>0.65114991530522215</v>
      </c>
      <c r="O137" s="148">
        <f>'Toim ja inv rahavirta'!O130/'Veroposentin tuotto'!AU130*-1</f>
        <v>0.72193269983092656</v>
      </c>
      <c r="P137" s="148">
        <f>'Toim ja inv rahavirta'!P130/'Veroposentin tuotto'!AV130*-1</f>
        <v>0.52666107910436066</v>
      </c>
    </row>
    <row r="138" spans="1:16" x14ac:dyDescent="0.2">
      <c r="A138" s="34">
        <v>399</v>
      </c>
      <c r="B138" s="88" t="s">
        <v>445</v>
      </c>
      <c r="C138" s="148" t="e">
        <f>'Toim ja inv rahavirta'!C131/'Veroposentin tuotto'!AI131*-1</f>
        <v>#REF!</v>
      </c>
      <c r="D138" s="148">
        <f>'Toim ja inv rahavirta'!D131/'Veroposentin tuotto'!AJ131*-1</f>
        <v>3.3512789236342133</v>
      </c>
      <c r="E138" s="148">
        <f>'Toim ja inv rahavirta'!E131/'Veroposentin tuotto'!AK131*-1</f>
        <v>4.3610086767895879</v>
      </c>
      <c r="F138" s="148">
        <f>'Toim ja inv rahavirta'!F131/'Veroposentin tuotto'!AL131*-1</f>
        <v>1.5589343379978471</v>
      </c>
      <c r="G138" s="148">
        <f>'Toim ja inv rahavirta'!G131/'Veroposentin tuotto'!AM131*-1</f>
        <v>0.45107581967213117</v>
      </c>
      <c r="H138" s="148">
        <f>'Toim ja inv rahavirta'!H131/'Veroposentin tuotto'!AN131*-1</f>
        <v>-1.787114609343005</v>
      </c>
      <c r="I138" s="148">
        <f>'Toim ja inv rahavirta'!I131/'Veroposentin tuotto'!AO131*-1</f>
        <v>-1.6129300481735132</v>
      </c>
      <c r="J138" s="148">
        <f>'Toim ja inv rahavirta'!J131/'Veroposentin tuotto'!AP131*-1</f>
        <v>7.8567608636462061E-2</v>
      </c>
      <c r="K138" s="148">
        <f>'Toim ja inv rahavirta'!K131/'Veroposentin tuotto'!AQ131*-1</f>
        <v>-0.64561213773357684</v>
      </c>
      <c r="L138" s="148">
        <f>'Toim ja inv rahavirta'!L131/'Veroposentin tuotto'!AR131*-1</f>
        <v>1.3167528915897388</v>
      </c>
      <c r="M138" s="148">
        <f>'Toim ja inv rahavirta'!M131/'Veroposentin tuotto'!AS131*-1</f>
        <v>0.99703725535572074</v>
      </c>
      <c r="N138" s="148">
        <f>'Toim ja inv rahavirta'!N131/'Veroposentin tuotto'!AT131*-1</f>
        <v>0.67121217725341453</v>
      </c>
      <c r="O138" s="148">
        <f>'Toim ja inv rahavirta'!O131/'Veroposentin tuotto'!AU131*-1</f>
        <v>0.5430517201134234</v>
      </c>
      <c r="P138" s="148">
        <f>'Toim ja inv rahavirta'!P131/'Veroposentin tuotto'!AV131*-1</f>
        <v>0.30873904526509222</v>
      </c>
    </row>
    <row r="139" spans="1:16" x14ac:dyDescent="0.2">
      <c r="A139" s="34">
        <v>400</v>
      </c>
      <c r="B139" s="88" t="s">
        <v>446</v>
      </c>
      <c r="C139" s="148" t="e">
        <f>'Toim ja inv rahavirta'!C132/'Veroposentin tuotto'!AI132*-1</f>
        <v>#REF!</v>
      </c>
      <c r="D139" s="148">
        <f>'Toim ja inv rahavirta'!D132/'Veroposentin tuotto'!AJ132*-1</f>
        <v>0.95201777564256551</v>
      </c>
      <c r="E139" s="148">
        <f>'Toim ja inv rahavirta'!E132/'Veroposentin tuotto'!AK132*-1</f>
        <v>-6.4451258362535832E-2</v>
      </c>
      <c r="F139" s="148">
        <f>'Toim ja inv rahavirta'!F132/'Veroposentin tuotto'!AL132*-1</f>
        <v>6.0847969593918787</v>
      </c>
      <c r="G139" s="148">
        <f>'Toim ja inv rahavirta'!G132/'Veroposentin tuotto'!AM132*-1</f>
        <v>4.6786664386424963</v>
      </c>
      <c r="H139" s="148">
        <f>'Toim ja inv rahavirta'!H132/'Veroposentin tuotto'!AN132*-1</f>
        <v>0.57233285976388582</v>
      </c>
      <c r="I139" s="148">
        <f>'Toim ja inv rahavirta'!I132/'Veroposentin tuotto'!AO132*-1</f>
        <v>-0.4373415276077191</v>
      </c>
      <c r="J139" s="148">
        <f>'Toim ja inv rahavirta'!J132/'Veroposentin tuotto'!AP132*-1</f>
        <v>-0.90630633559245166</v>
      </c>
      <c r="K139" s="148">
        <f>'Toim ja inv rahavirta'!K132/'Veroposentin tuotto'!AQ132*-1</f>
        <v>-0.6097868171262405</v>
      </c>
      <c r="L139" s="148">
        <f>'Toim ja inv rahavirta'!L132/'Veroposentin tuotto'!AR132*-1</f>
        <v>0.84483709725548661</v>
      </c>
      <c r="M139" s="148">
        <f>'Toim ja inv rahavirta'!M132/'Veroposentin tuotto'!AS132*-1</f>
        <v>0.13662743001011007</v>
      </c>
      <c r="N139" s="148">
        <f>'Toim ja inv rahavirta'!N132/'Veroposentin tuotto'!AT132*-1</f>
        <v>0.3715067529768657</v>
      </c>
      <c r="O139" s="148">
        <f>'Toim ja inv rahavirta'!O132/'Veroposentin tuotto'!AU132*-1</f>
        <v>0.47780045059629217</v>
      </c>
      <c r="P139" s="148">
        <f>'Toim ja inv rahavirta'!P132/'Veroposentin tuotto'!AV132*-1</f>
        <v>0.13313558259354666</v>
      </c>
    </row>
    <row r="140" spans="1:16" x14ac:dyDescent="0.2">
      <c r="A140" s="34">
        <v>402</v>
      </c>
      <c r="B140" s="88" t="s">
        <v>447</v>
      </c>
      <c r="C140" s="148" t="e">
        <f>'Toim ja inv rahavirta'!C133/'Veroposentin tuotto'!AI133*-1</f>
        <v>#REF!</v>
      </c>
      <c r="D140" s="148">
        <f>'Toim ja inv rahavirta'!D133/'Veroposentin tuotto'!AJ133*-1</f>
        <v>2.7389525691699608</v>
      </c>
      <c r="E140" s="148">
        <f>'Toim ja inv rahavirta'!E133/'Veroposentin tuotto'!AK133*-1</f>
        <v>-2.1124960648512512</v>
      </c>
      <c r="F140" s="148">
        <f>'Toim ja inv rahavirta'!F133/'Veroposentin tuotto'!AL133*-1</f>
        <v>1.0504152072100437</v>
      </c>
      <c r="G140" s="148">
        <f>'Toim ja inv rahavirta'!G133/'Veroposentin tuotto'!AM133*-1</f>
        <v>1.7798551440955059</v>
      </c>
      <c r="H140" s="148">
        <f>'Toim ja inv rahavirta'!H133/'Veroposentin tuotto'!AN133*-1</f>
        <v>2.0004121486674213</v>
      </c>
      <c r="I140" s="148">
        <f>'Toim ja inv rahavirta'!I133/'Veroposentin tuotto'!AO133*-1</f>
        <v>2.375333742217085</v>
      </c>
      <c r="J140" s="148">
        <f>'Toim ja inv rahavirta'!J133/'Veroposentin tuotto'!AP133*-1</f>
        <v>2.3863903020030257</v>
      </c>
      <c r="K140" s="148">
        <f>'Toim ja inv rahavirta'!K133/'Veroposentin tuotto'!AQ133*-1</f>
        <v>-1.4921311668703783</v>
      </c>
      <c r="L140" s="148">
        <f>'Toim ja inv rahavirta'!L133/'Veroposentin tuotto'!AR133*-1</f>
        <v>0.83072068275796529</v>
      </c>
      <c r="M140" s="148">
        <f>'Toim ja inv rahavirta'!M133/'Veroposentin tuotto'!AS133*-1</f>
        <v>-2.58389181151168</v>
      </c>
      <c r="N140" s="148">
        <f>'Toim ja inv rahavirta'!N133/'Veroposentin tuotto'!AT133*-1</f>
        <v>1.0751187330444953</v>
      </c>
      <c r="O140" s="148">
        <f>'Toim ja inv rahavirta'!O133/'Veroposentin tuotto'!AU133*-1</f>
        <v>1.0700820159023152</v>
      </c>
      <c r="P140" s="148">
        <f>'Toim ja inv rahavirta'!P133/'Veroposentin tuotto'!AV133*-1</f>
        <v>0.58239052186370788</v>
      </c>
    </row>
    <row r="141" spans="1:16" x14ac:dyDescent="0.2">
      <c r="A141" s="34">
        <v>403</v>
      </c>
      <c r="B141" s="88" t="s">
        <v>448</v>
      </c>
      <c r="C141" s="148" t="e">
        <f>'Toim ja inv rahavirta'!C134/'Veroposentin tuotto'!AI134*-1</f>
        <v>#REF!</v>
      </c>
      <c r="D141" s="148">
        <f>'Toim ja inv rahavirta'!D134/'Veroposentin tuotto'!AJ134*-1</f>
        <v>-2.5676638176638176</v>
      </c>
      <c r="E141" s="148">
        <f>'Toim ja inv rahavirta'!E134/'Veroposentin tuotto'!AK134*-1</f>
        <v>0.60350833540681759</v>
      </c>
      <c r="F141" s="148">
        <f>'Toim ja inv rahavirta'!F134/'Veroposentin tuotto'!AL134*-1</f>
        <v>-14.894052044609664</v>
      </c>
      <c r="G141" s="148">
        <f>'Toim ja inv rahavirta'!G134/'Veroposentin tuotto'!AM134*-1</f>
        <v>5.1396766169154224</v>
      </c>
      <c r="H141" s="148">
        <f>'Toim ja inv rahavirta'!H134/'Veroposentin tuotto'!AN134*-1</f>
        <v>11.733995899656158</v>
      </c>
      <c r="I141" s="148">
        <f>'Toim ja inv rahavirta'!I134/'Veroposentin tuotto'!AO134*-1</f>
        <v>0.5703468072473884</v>
      </c>
      <c r="J141" s="148">
        <f>'Toim ja inv rahavirta'!J134/'Veroposentin tuotto'!AP134*-1</f>
        <v>1.0378095378271193</v>
      </c>
      <c r="K141" s="148">
        <f>'Toim ja inv rahavirta'!K134/'Veroposentin tuotto'!AQ134*-1</f>
        <v>-2.9919274678229422</v>
      </c>
      <c r="L141" s="148">
        <f>'Toim ja inv rahavirta'!L134/'Veroposentin tuotto'!AR134*-1</f>
        <v>1.3570527529247973</v>
      </c>
      <c r="M141" s="148">
        <f>'Toim ja inv rahavirta'!M134/'Veroposentin tuotto'!AS134*-1</f>
        <v>3.8414247592196067</v>
      </c>
      <c r="N141" s="148">
        <f>'Toim ja inv rahavirta'!N134/'Veroposentin tuotto'!AT134*-1</f>
        <v>4.2709375420328497</v>
      </c>
      <c r="O141" s="148">
        <f>'Toim ja inv rahavirta'!O134/'Veroposentin tuotto'!AU134*-1</f>
        <v>4.5564515152047402</v>
      </c>
      <c r="P141" s="148">
        <f>'Toim ja inv rahavirta'!P134/'Veroposentin tuotto'!AV134*-1</f>
        <v>4.0157245661607437</v>
      </c>
    </row>
    <row r="142" spans="1:16" x14ac:dyDescent="0.2">
      <c r="A142" s="34">
        <v>405</v>
      </c>
      <c r="B142" s="88" t="s">
        <v>449</v>
      </c>
      <c r="C142" s="148" t="e">
        <f>'Toim ja inv rahavirta'!C135/'Veroposentin tuotto'!AI135*-1</f>
        <v>#REF!</v>
      </c>
      <c r="D142" s="148">
        <f>'Toim ja inv rahavirta'!D135/'Veroposentin tuotto'!AJ135*-1</f>
        <v>-0.79583489921079775</v>
      </c>
      <c r="E142" s="148">
        <f>'Toim ja inv rahavirta'!E135/'Veroposentin tuotto'!AK135*-1</f>
        <v>-2.1075391925155995</v>
      </c>
      <c r="F142" s="148">
        <f>'Toim ja inv rahavirta'!F135/'Veroposentin tuotto'!AL135*-1</f>
        <v>-0.53705353294445557</v>
      </c>
      <c r="G142" s="148">
        <f>'Toim ja inv rahavirta'!G135/'Veroposentin tuotto'!AM135*-1</f>
        <v>1.9037244661329678</v>
      </c>
      <c r="H142" s="148">
        <f>'Toim ja inv rahavirta'!H135/'Veroposentin tuotto'!AN135*-1</f>
        <v>-0.87477158118019049</v>
      </c>
      <c r="I142" s="148">
        <f>'Toim ja inv rahavirta'!I135/'Veroposentin tuotto'!AO135*-1</f>
        <v>-2.3241715894285568</v>
      </c>
      <c r="J142" s="148">
        <f>'Toim ja inv rahavirta'!J135/'Veroposentin tuotto'!AP135*-1</f>
        <v>-0.72860562429922804</v>
      </c>
      <c r="K142" s="148">
        <f>'Toim ja inv rahavirta'!K135/'Veroposentin tuotto'!AQ135*-1</f>
        <v>-2.4880874199412237</v>
      </c>
      <c r="L142" s="148">
        <f>'Toim ja inv rahavirta'!L135/'Veroposentin tuotto'!AR135*-1</f>
        <v>-3.7712549947557829E-2</v>
      </c>
      <c r="M142" s="148">
        <f>'Toim ja inv rahavirta'!M135/'Veroposentin tuotto'!AS135*-1</f>
        <v>0.91147501822916055</v>
      </c>
      <c r="N142" s="148">
        <f>'Toim ja inv rahavirta'!N135/'Veroposentin tuotto'!AT135*-1</f>
        <v>1.1549186079647877</v>
      </c>
      <c r="O142" s="148">
        <f>'Toim ja inv rahavirta'!O135/'Veroposentin tuotto'!AU135*-1</f>
        <v>1.1230012569501442</v>
      </c>
      <c r="P142" s="148">
        <f>'Toim ja inv rahavirta'!P135/'Veroposentin tuotto'!AV135*-1</f>
        <v>0.91400701846150856</v>
      </c>
    </row>
    <row r="143" spans="1:16" x14ac:dyDescent="0.2">
      <c r="A143" s="34">
        <v>407</v>
      </c>
      <c r="B143" s="88" t="s">
        <v>450</v>
      </c>
      <c r="C143" s="148" t="e">
        <f>'Toim ja inv rahavirta'!C136/'Veroposentin tuotto'!AI136*-1</f>
        <v>#REF!</v>
      </c>
      <c r="D143" s="148">
        <f>'Toim ja inv rahavirta'!D136/'Veroposentin tuotto'!AJ136*-1</f>
        <v>2.2723480333730635</v>
      </c>
      <c r="E143" s="148">
        <f>'Toim ja inv rahavirta'!E136/'Veroposentin tuotto'!AK136*-1</f>
        <v>1.7679394338380512</v>
      </c>
      <c r="F143" s="148">
        <f>'Toim ja inv rahavirta'!F136/'Veroposentin tuotto'!AL136*-1</f>
        <v>2.5506655800054334</v>
      </c>
      <c r="G143" s="148">
        <f>'Toim ja inv rahavirta'!G136/'Veroposentin tuotto'!AM136*-1</f>
        <v>0.72890075540505339</v>
      </c>
      <c r="H143" s="148">
        <f>'Toim ja inv rahavirta'!H136/'Veroposentin tuotto'!AN136*-1</f>
        <v>-7.1452568019892446</v>
      </c>
      <c r="I143" s="148">
        <f>'Toim ja inv rahavirta'!I136/'Veroposentin tuotto'!AO136*-1</f>
        <v>-11.450588512093058</v>
      </c>
      <c r="J143" s="148">
        <f>'Toim ja inv rahavirta'!J136/'Veroposentin tuotto'!AP136*-1</f>
        <v>-1.792689475379754</v>
      </c>
      <c r="K143" s="148">
        <f>'Toim ja inv rahavirta'!K136/'Veroposentin tuotto'!AQ136*-1</f>
        <v>-0.42321062759736017</v>
      </c>
      <c r="L143" s="148">
        <f>'Toim ja inv rahavirta'!L136/'Veroposentin tuotto'!AR136*-1</f>
        <v>1.0673963668659292</v>
      </c>
      <c r="M143" s="148">
        <f>'Toim ja inv rahavirta'!M136/'Veroposentin tuotto'!AS136*-1</f>
        <v>2.90915493073447</v>
      </c>
      <c r="N143" s="148">
        <f>'Toim ja inv rahavirta'!N136/'Veroposentin tuotto'!AT136*-1</f>
        <v>2.9580414180575905</v>
      </c>
      <c r="O143" s="148">
        <f>'Toim ja inv rahavirta'!O136/'Veroposentin tuotto'!AU136*-1</f>
        <v>2.9585623699063612</v>
      </c>
      <c r="P143" s="148">
        <f>'Toim ja inv rahavirta'!P136/'Veroposentin tuotto'!AV136*-1</f>
        <v>2.7510644079946123</v>
      </c>
    </row>
    <row r="144" spans="1:16" x14ac:dyDescent="0.2">
      <c r="A144" s="34">
        <v>408</v>
      </c>
      <c r="B144" s="88" t="s">
        <v>451</v>
      </c>
      <c r="C144" s="148" t="e">
        <f>'Toim ja inv rahavirta'!C137/'Veroposentin tuotto'!AI137*-1</f>
        <v>#REF!</v>
      </c>
      <c r="D144" s="148">
        <f>'Toim ja inv rahavirta'!D137/'Veroposentin tuotto'!AJ137*-1</f>
        <v>-0.77001782448667799</v>
      </c>
      <c r="E144" s="148">
        <f>'Toim ja inv rahavirta'!E137/'Veroposentin tuotto'!AK137*-1</f>
        <v>0.88148148148148153</v>
      </c>
      <c r="F144" s="148">
        <f>'Toim ja inv rahavirta'!F137/'Veroposentin tuotto'!AL137*-1</f>
        <v>4.6441419141914189</v>
      </c>
      <c r="G144" s="148">
        <f>'Toim ja inv rahavirta'!G137/'Veroposentin tuotto'!AM137*-1</f>
        <v>6.7456460831558882</v>
      </c>
      <c r="H144" s="148">
        <f>'Toim ja inv rahavirta'!H137/'Veroposentin tuotto'!AN137*-1</f>
        <v>1.917018000940143</v>
      </c>
      <c r="I144" s="148">
        <f>'Toim ja inv rahavirta'!I137/'Veroposentin tuotto'!AO137*-1</f>
        <v>-0.64963275542276633</v>
      </c>
      <c r="J144" s="148">
        <f>'Toim ja inv rahavirta'!J137/'Veroposentin tuotto'!AP137*-1</f>
        <v>4.8678761032334844E-2</v>
      </c>
      <c r="K144" s="148">
        <f>'Toim ja inv rahavirta'!K137/'Veroposentin tuotto'!AQ137*-1</f>
        <v>-1.5593809928910682</v>
      </c>
      <c r="L144" s="148">
        <f>'Toim ja inv rahavirta'!L137/'Veroposentin tuotto'!AR137*-1</f>
        <v>1.2287374744356432</v>
      </c>
      <c r="M144" s="148">
        <f>'Toim ja inv rahavirta'!M137/'Veroposentin tuotto'!AS137*-1</f>
        <v>1.4069327863994008</v>
      </c>
      <c r="N144" s="148">
        <f>'Toim ja inv rahavirta'!N137/'Veroposentin tuotto'!AT137*-1</f>
        <v>1.0977299963005136</v>
      </c>
      <c r="O144" s="148">
        <f>'Toim ja inv rahavirta'!O137/'Veroposentin tuotto'!AU137*-1</f>
        <v>1.1780764961772168</v>
      </c>
      <c r="P144" s="148">
        <f>'Toim ja inv rahavirta'!P137/'Veroposentin tuotto'!AV137*-1</f>
        <v>0.60957821262034873</v>
      </c>
    </row>
    <row r="145" spans="1:16" x14ac:dyDescent="0.2">
      <c r="A145" s="34">
        <v>410</v>
      </c>
      <c r="B145" s="88" t="s">
        <v>452</v>
      </c>
      <c r="C145" s="148" t="e">
        <f>'Toim ja inv rahavirta'!C138/'Veroposentin tuotto'!AI138*-1</f>
        <v>#REF!</v>
      </c>
      <c r="D145" s="148">
        <f>'Toim ja inv rahavirta'!D138/'Veroposentin tuotto'!AJ138*-1</f>
        <v>2.8688215150755867</v>
      </c>
      <c r="E145" s="148">
        <f>'Toim ja inv rahavirta'!E138/'Veroposentin tuotto'!AK138*-1</f>
        <v>2.0967217712664157</v>
      </c>
      <c r="F145" s="148">
        <f>'Toim ja inv rahavirta'!F138/'Veroposentin tuotto'!AL138*-1</f>
        <v>1.8203686401087233</v>
      </c>
      <c r="G145" s="148">
        <f>'Toim ja inv rahavirta'!G138/'Veroposentin tuotto'!AM138*-1</f>
        <v>1.1100309876049581</v>
      </c>
      <c r="H145" s="148">
        <f>'Toim ja inv rahavirta'!H138/'Veroposentin tuotto'!AN138*-1</f>
        <v>0.40040043637550299</v>
      </c>
      <c r="I145" s="148">
        <f>'Toim ja inv rahavirta'!I138/'Veroposentin tuotto'!AO138*-1</f>
        <v>3.0438317676557536</v>
      </c>
      <c r="J145" s="148">
        <f>'Toim ja inv rahavirta'!J138/'Veroposentin tuotto'!AP138*-1</f>
        <v>2.5837000325987343</v>
      </c>
      <c r="K145" s="148">
        <f>'Toim ja inv rahavirta'!K138/'Veroposentin tuotto'!AQ138*-1</f>
        <v>-1.3166677540611407</v>
      </c>
      <c r="L145" s="148">
        <f>'Toim ja inv rahavirta'!L138/'Veroposentin tuotto'!AR138*-1</f>
        <v>0.69384552304014124</v>
      </c>
      <c r="M145" s="148">
        <f>'Toim ja inv rahavirta'!M138/'Veroposentin tuotto'!AS138*-1</f>
        <v>1.3388470379964883</v>
      </c>
      <c r="N145" s="148">
        <f>'Toim ja inv rahavirta'!N138/'Veroposentin tuotto'!AT138*-1</f>
        <v>0.21269775111141825</v>
      </c>
      <c r="O145" s="148">
        <f>'Toim ja inv rahavirta'!O138/'Veroposentin tuotto'!AU138*-1</f>
        <v>0.82805774549077382</v>
      </c>
      <c r="P145" s="148">
        <f>'Toim ja inv rahavirta'!P138/'Veroposentin tuotto'!AV138*-1</f>
        <v>0.50569709883568026</v>
      </c>
    </row>
    <row r="146" spans="1:16" x14ac:dyDescent="0.2">
      <c r="A146" s="34">
        <v>416</v>
      </c>
      <c r="B146" s="88" t="s">
        <v>453</v>
      </c>
      <c r="C146" s="148" t="e">
        <f>'Toim ja inv rahavirta'!C139/'Veroposentin tuotto'!AI139*-1</f>
        <v>#REF!</v>
      </c>
      <c r="D146" s="148">
        <f>'Toim ja inv rahavirta'!D139/'Veroposentin tuotto'!AJ139*-1</f>
        <v>0.35953648606326338</v>
      </c>
      <c r="E146" s="148">
        <f>'Toim ja inv rahavirta'!E139/'Veroposentin tuotto'!AK139*-1</f>
        <v>0.72484310755247783</v>
      </c>
      <c r="F146" s="148">
        <f>'Toim ja inv rahavirta'!F139/'Veroposentin tuotto'!AL139*-1</f>
        <v>6.6463630333849215</v>
      </c>
      <c r="G146" s="148">
        <f>'Toim ja inv rahavirta'!G139/'Veroposentin tuotto'!AM139*-1</f>
        <v>1.1627984084880638</v>
      </c>
      <c r="H146" s="148">
        <f>'Toim ja inv rahavirta'!H139/'Veroposentin tuotto'!AN139*-1</f>
        <v>-3.6486613789818976</v>
      </c>
      <c r="I146" s="148">
        <f>'Toim ja inv rahavirta'!I139/'Veroposentin tuotto'!AO139*-1</f>
        <v>-1.6465686181423991</v>
      </c>
      <c r="J146" s="148">
        <f>'Toim ja inv rahavirta'!J139/'Veroposentin tuotto'!AP139*-1</f>
        <v>1.4405724921621197</v>
      </c>
      <c r="K146" s="148">
        <f>'Toim ja inv rahavirta'!K139/'Veroposentin tuotto'!AQ139*-1</f>
        <v>-2.5125252250716636</v>
      </c>
      <c r="L146" s="148">
        <f>'Toim ja inv rahavirta'!L139/'Veroposentin tuotto'!AR139*-1</f>
        <v>-1.0046849191264635</v>
      </c>
      <c r="M146" s="148">
        <f>'Toim ja inv rahavirta'!M139/'Veroposentin tuotto'!AS139*-1</f>
        <v>1.3672353048424737</v>
      </c>
      <c r="N146" s="148">
        <f>'Toim ja inv rahavirta'!N139/'Veroposentin tuotto'!AT139*-1</f>
        <v>1.12546762096758</v>
      </c>
      <c r="O146" s="148">
        <f>'Toim ja inv rahavirta'!O139/'Veroposentin tuotto'!AU139*-1</f>
        <v>1.1642864050749513</v>
      </c>
      <c r="P146" s="148">
        <f>'Toim ja inv rahavirta'!P139/'Veroposentin tuotto'!AV139*-1</f>
        <v>1.1991547546055226</v>
      </c>
    </row>
    <row r="147" spans="1:16" x14ac:dyDescent="0.2">
      <c r="A147" s="34">
        <v>418</v>
      </c>
      <c r="B147" s="88" t="s">
        <v>454</v>
      </c>
      <c r="C147" s="148" t="e">
        <f>'Toim ja inv rahavirta'!C140/'Veroposentin tuotto'!AI140*-1</f>
        <v>#REF!</v>
      </c>
      <c r="D147" s="148">
        <f>'Toim ja inv rahavirta'!D140/'Veroposentin tuotto'!AJ140*-1</f>
        <v>-1.2942141561664757</v>
      </c>
      <c r="E147" s="148">
        <f>'Toim ja inv rahavirta'!E140/'Veroposentin tuotto'!AK140*-1</f>
        <v>-1.466064453125</v>
      </c>
      <c r="F147" s="148">
        <f>'Toim ja inv rahavirta'!F140/'Veroposentin tuotto'!AL140*-1</f>
        <v>2.3882501248431849</v>
      </c>
      <c r="G147" s="148">
        <f>'Toim ja inv rahavirta'!G140/'Veroposentin tuotto'!AM140*-1</f>
        <v>-6.4017989199600995</v>
      </c>
      <c r="H147" s="148">
        <f>'Toim ja inv rahavirta'!H140/'Veroposentin tuotto'!AN140*-1</f>
        <v>-0.18980410413918888</v>
      </c>
      <c r="I147" s="148">
        <f>'Toim ja inv rahavirta'!I140/'Veroposentin tuotto'!AO140*-1</f>
        <v>-0.51354177363378894</v>
      </c>
      <c r="J147" s="148">
        <f>'Toim ja inv rahavirta'!J140/'Veroposentin tuotto'!AP140*-1</f>
        <v>0.48397193830027263</v>
      </c>
      <c r="K147" s="148">
        <f>'Toim ja inv rahavirta'!K140/'Veroposentin tuotto'!AQ140*-1</f>
        <v>0.53221219355830141</v>
      </c>
      <c r="L147" s="148">
        <f>'Toim ja inv rahavirta'!L140/'Veroposentin tuotto'!AR140*-1</f>
        <v>1.2123622557488123</v>
      </c>
      <c r="M147" s="148">
        <f>'Toim ja inv rahavirta'!M140/'Veroposentin tuotto'!AS140*-1</f>
        <v>1.85220298789997</v>
      </c>
      <c r="N147" s="148">
        <f>'Toim ja inv rahavirta'!N140/'Veroposentin tuotto'!AT140*-1</f>
        <v>1.6237369577118226</v>
      </c>
      <c r="O147" s="148">
        <f>'Toim ja inv rahavirta'!O140/'Veroposentin tuotto'!AU140*-1</f>
        <v>1.6128284188947155</v>
      </c>
      <c r="P147" s="148">
        <f>'Toim ja inv rahavirta'!P140/'Veroposentin tuotto'!AV140*-1</f>
        <v>1.5398246320247015</v>
      </c>
    </row>
    <row r="148" spans="1:16" x14ac:dyDescent="0.2">
      <c r="A148" s="34">
        <v>420</v>
      </c>
      <c r="B148" s="88" t="s">
        <v>455</v>
      </c>
      <c r="C148" s="148" t="e">
        <f>'Toim ja inv rahavirta'!C141/'Veroposentin tuotto'!AI141*-1</f>
        <v>#REF!</v>
      </c>
      <c r="D148" s="148">
        <f>'Toim ja inv rahavirta'!D141/'Veroposentin tuotto'!AJ141*-1</f>
        <v>-1.079091291543963</v>
      </c>
      <c r="E148" s="148">
        <f>'Toim ja inv rahavirta'!E141/'Veroposentin tuotto'!AK141*-1</f>
        <v>2.7477912508495193</v>
      </c>
      <c r="F148" s="148">
        <f>'Toim ja inv rahavirta'!F141/'Veroposentin tuotto'!AL141*-1</f>
        <v>2.9752602406380966</v>
      </c>
      <c r="G148" s="148">
        <f>'Toim ja inv rahavirta'!G141/'Veroposentin tuotto'!AM141*-1</f>
        <v>1.7346221441124781</v>
      </c>
      <c r="H148" s="148">
        <f>'Toim ja inv rahavirta'!H141/'Veroposentin tuotto'!AN141*-1</f>
        <v>-2.3642766124273495</v>
      </c>
      <c r="I148" s="148">
        <f>'Toim ja inv rahavirta'!I141/'Veroposentin tuotto'!AO141*-1</f>
        <v>-3.140512057770378</v>
      </c>
      <c r="J148" s="148">
        <f>'Toim ja inv rahavirta'!J141/'Veroposentin tuotto'!AP141*-1</f>
        <v>-3.1111642982600243</v>
      </c>
      <c r="K148" s="148">
        <f>'Toim ja inv rahavirta'!K141/'Veroposentin tuotto'!AQ141*-1</f>
        <v>-2.3355578249044648</v>
      </c>
      <c r="L148" s="148">
        <f>'Toim ja inv rahavirta'!L141/'Veroposentin tuotto'!AR141*-1</f>
        <v>0.63518523981136021</v>
      </c>
      <c r="M148" s="148">
        <f>'Toim ja inv rahavirta'!M141/'Veroposentin tuotto'!AS141*-1</f>
        <v>0.40842889315429648</v>
      </c>
      <c r="N148" s="148">
        <f>'Toim ja inv rahavirta'!N141/'Veroposentin tuotto'!AT141*-1</f>
        <v>0.41281444406611528</v>
      </c>
      <c r="O148" s="148">
        <f>'Toim ja inv rahavirta'!O141/'Veroposentin tuotto'!AU141*-1</f>
        <v>0.27209860523133339</v>
      </c>
      <c r="P148" s="148">
        <f>'Toim ja inv rahavirta'!P141/'Veroposentin tuotto'!AV141*-1</f>
        <v>-5.1909144304880292E-2</v>
      </c>
    </row>
    <row r="149" spans="1:16" x14ac:dyDescent="0.2">
      <c r="A149" s="34">
        <v>421</v>
      </c>
      <c r="B149" s="88" t="s">
        <v>456</v>
      </c>
      <c r="C149" s="148" t="e">
        <f>'Toim ja inv rahavirta'!C142/'Veroposentin tuotto'!AI142*-1</f>
        <v>#REF!</v>
      </c>
      <c r="D149" s="148">
        <f>'Toim ja inv rahavirta'!D142/'Veroposentin tuotto'!AJ142*-1</f>
        <v>7.7328970850684113</v>
      </c>
      <c r="E149" s="148">
        <f>'Toim ja inv rahavirta'!E142/'Veroposentin tuotto'!AK142*-1</f>
        <v>0.65694591728525975</v>
      </c>
      <c r="F149" s="148">
        <f>'Toim ja inv rahavirta'!F142/'Veroposentin tuotto'!AL142*-1</f>
        <v>8.2785025524673852</v>
      </c>
      <c r="G149" s="148">
        <f>'Toim ja inv rahavirta'!G142/'Veroposentin tuotto'!AM142*-1</f>
        <v>7.0972222222222214</v>
      </c>
      <c r="H149" s="148">
        <f>'Toim ja inv rahavirta'!H142/'Veroposentin tuotto'!AN142*-1</f>
        <v>44.314074200255931</v>
      </c>
      <c r="I149" s="148">
        <f>'Toim ja inv rahavirta'!I142/'Veroposentin tuotto'!AO142*-1</f>
        <v>20.157530402347078</v>
      </c>
      <c r="J149" s="148">
        <f>'Toim ja inv rahavirta'!J142/'Veroposentin tuotto'!AP142*-1</f>
        <v>17.960550667841339</v>
      </c>
      <c r="K149" s="148">
        <f>'Toim ja inv rahavirta'!K142/'Veroposentin tuotto'!AQ142*-1</f>
        <v>4.7533199092082468</v>
      </c>
      <c r="L149" s="148">
        <f>'Toim ja inv rahavirta'!L142/'Veroposentin tuotto'!AR142*-1</f>
        <v>8.4433578231941038</v>
      </c>
      <c r="M149" s="148">
        <f>'Toim ja inv rahavirta'!M142/'Veroposentin tuotto'!AS142*-1</f>
        <v>10.605435695938493</v>
      </c>
      <c r="N149" s="148">
        <f>'Toim ja inv rahavirta'!N142/'Veroposentin tuotto'!AT142*-1</f>
        <v>12.836168490786328</v>
      </c>
      <c r="O149" s="148">
        <f>'Toim ja inv rahavirta'!O142/'Veroposentin tuotto'!AU142*-1</f>
        <v>13.400056186318565</v>
      </c>
      <c r="P149" s="148">
        <f>'Toim ja inv rahavirta'!P142/'Veroposentin tuotto'!AV142*-1</f>
        <v>12.695360445385914</v>
      </c>
    </row>
    <row r="150" spans="1:16" x14ac:dyDescent="0.2">
      <c r="A150" s="34">
        <v>422</v>
      </c>
      <c r="B150" s="88" t="s">
        <v>457</v>
      </c>
      <c r="C150" s="148" t="e">
        <f>'Toim ja inv rahavirta'!C143/'Veroposentin tuotto'!AI143*-1</f>
        <v>#REF!</v>
      </c>
      <c r="D150" s="148">
        <f>'Toim ja inv rahavirta'!D143/'Veroposentin tuotto'!AJ143*-1</f>
        <v>-2.7567718687872764</v>
      </c>
      <c r="E150" s="148">
        <f>'Toim ja inv rahavirta'!E143/'Veroposentin tuotto'!AK143*-1</f>
        <v>-4.3809066699696535</v>
      </c>
      <c r="F150" s="148">
        <f>'Toim ja inv rahavirta'!F143/'Veroposentin tuotto'!AL143*-1</f>
        <v>-2.6242325808023388</v>
      </c>
      <c r="G150" s="148">
        <f>'Toim ja inv rahavirta'!G143/'Veroposentin tuotto'!AM143*-1</f>
        <v>-0.80119668017757195</v>
      </c>
      <c r="H150" s="148">
        <f>'Toim ja inv rahavirta'!H143/'Veroposentin tuotto'!AN143*-1</f>
        <v>-1.2206275918335088</v>
      </c>
      <c r="I150" s="148">
        <f>'Toim ja inv rahavirta'!I143/'Veroposentin tuotto'!AO143*-1</f>
        <v>-4.8301350183388738</v>
      </c>
      <c r="J150" s="148">
        <f>'Toim ja inv rahavirta'!J143/'Veroposentin tuotto'!AP143*-1</f>
        <v>-0.20848572185865827</v>
      </c>
      <c r="K150" s="148">
        <f>'Toim ja inv rahavirta'!K143/'Veroposentin tuotto'!AQ143*-1</f>
        <v>-3.13823015374048</v>
      </c>
      <c r="L150" s="148">
        <f>'Toim ja inv rahavirta'!L143/'Veroposentin tuotto'!AR143*-1</f>
        <v>-0.8510099475005668</v>
      </c>
      <c r="M150" s="148">
        <f>'Toim ja inv rahavirta'!M143/'Veroposentin tuotto'!AS143*-1</f>
        <v>0.75103289752792657</v>
      </c>
      <c r="N150" s="148">
        <f>'Toim ja inv rahavirta'!N143/'Veroposentin tuotto'!AT143*-1</f>
        <v>1.2740585270820655</v>
      </c>
      <c r="O150" s="148">
        <f>'Toim ja inv rahavirta'!O143/'Veroposentin tuotto'!AU143*-1</f>
        <v>1.3232195432771907</v>
      </c>
      <c r="P150" s="148">
        <f>'Toim ja inv rahavirta'!P143/'Veroposentin tuotto'!AV143*-1</f>
        <v>0.4280731376170806</v>
      </c>
    </row>
    <row r="151" spans="1:16" x14ac:dyDescent="0.2">
      <c r="A151" s="34">
        <v>423</v>
      </c>
      <c r="B151" s="88" t="s">
        <v>458</v>
      </c>
      <c r="C151" s="148" t="e">
        <f>'Toim ja inv rahavirta'!C144/'Veroposentin tuotto'!AI144*-1</f>
        <v>#REF!</v>
      </c>
      <c r="D151" s="148">
        <f>'Toim ja inv rahavirta'!D144/'Veroposentin tuotto'!AJ144*-1</f>
        <v>0.80022573363431149</v>
      </c>
      <c r="E151" s="148">
        <f>'Toim ja inv rahavirta'!E144/'Veroposentin tuotto'!AK144*-1</f>
        <v>2.8135734473512573</v>
      </c>
      <c r="F151" s="148">
        <f>'Toim ja inv rahavirta'!F144/'Veroposentin tuotto'!AL144*-1</f>
        <v>2.1780385681429499</v>
      </c>
      <c r="G151" s="148">
        <f>'Toim ja inv rahavirta'!G144/'Veroposentin tuotto'!AM144*-1</f>
        <v>1.121001642493249</v>
      </c>
      <c r="H151" s="148">
        <f>'Toim ja inv rahavirta'!H144/'Veroposentin tuotto'!AN144*-1</f>
        <v>-0.82214035644932693</v>
      </c>
      <c r="I151" s="148">
        <f>'Toim ja inv rahavirta'!I144/'Veroposentin tuotto'!AO144*-1</f>
        <v>-0.41104360218255909</v>
      </c>
      <c r="J151" s="148">
        <f>'Toim ja inv rahavirta'!J144/'Veroposentin tuotto'!AP144*-1</f>
        <v>-0.54257911447369811</v>
      </c>
      <c r="K151" s="148">
        <f>'Toim ja inv rahavirta'!K144/'Veroposentin tuotto'!AQ144*-1</f>
        <v>-0.69116925831901999</v>
      </c>
      <c r="L151" s="148">
        <f>'Toim ja inv rahavirta'!L144/'Veroposentin tuotto'!AR144*-1</f>
        <v>0.79581592904159837</v>
      </c>
      <c r="M151" s="148">
        <f>'Toim ja inv rahavirta'!M144/'Veroposentin tuotto'!AS144*-1</f>
        <v>1.1328794187629254</v>
      </c>
      <c r="N151" s="148">
        <f>'Toim ja inv rahavirta'!N144/'Veroposentin tuotto'!AT144*-1</f>
        <v>1.093039597077432</v>
      </c>
      <c r="O151" s="148">
        <f>'Toim ja inv rahavirta'!O144/'Veroposentin tuotto'!AU144*-1</f>
        <v>1.1382289291595029</v>
      </c>
      <c r="P151" s="148">
        <f>'Toim ja inv rahavirta'!P144/'Veroposentin tuotto'!AV144*-1</f>
        <v>1.0000849814489416</v>
      </c>
    </row>
    <row r="152" spans="1:16" x14ac:dyDescent="0.2">
      <c r="A152" s="34">
        <v>425</v>
      </c>
      <c r="B152" s="88" t="s">
        <v>459</v>
      </c>
      <c r="C152" s="148" t="e">
        <f>'Toim ja inv rahavirta'!C145/'Veroposentin tuotto'!AI145*-1</f>
        <v>#REF!</v>
      </c>
      <c r="D152" s="148">
        <f>'Toim ja inv rahavirta'!D145/'Veroposentin tuotto'!AJ145*-1</f>
        <v>-1.2974775605775712</v>
      </c>
      <c r="E152" s="148">
        <f>'Toim ja inv rahavirta'!E145/'Veroposentin tuotto'!AK145*-1</f>
        <v>1.1326291478449886</v>
      </c>
      <c r="F152" s="148">
        <f>'Toim ja inv rahavirta'!F145/'Veroposentin tuotto'!AL145*-1</f>
        <v>8.4341821678437618</v>
      </c>
      <c r="G152" s="148">
        <f>'Toim ja inv rahavirta'!G145/'Veroposentin tuotto'!AM145*-1</f>
        <v>2.6210917801311142</v>
      </c>
      <c r="H152" s="148">
        <f>'Toim ja inv rahavirta'!H145/'Veroposentin tuotto'!AN145*-1</f>
        <v>-0.50266263915968001</v>
      </c>
      <c r="I152" s="148">
        <f>'Toim ja inv rahavirta'!I145/'Veroposentin tuotto'!AO145*-1</f>
        <v>-1.4489786563049714</v>
      </c>
      <c r="J152" s="148">
        <f>'Toim ja inv rahavirta'!J145/'Veroposentin tuotto'!AP145*-1</f>
        <v>7.1441910489590546E-2</v>
      </c>
      <c r="K152" s="148">
        <f>'Toim ja inv rahavirta'!K145/'Veroposentin tuotto'!AQ145*-1</f>
        <v>0.55179458298067474</v>
      </c>
      <c r="L152" s="148">
        <f>'Toim ja inv rahavirta'!L145/'Veroposentin tuotto'!AR145*-1</f>
        <v>0.68397008166913886</v>
      </c>
      <c r="M152" s="148">
        <f>'Toim ja inv rahavirta'!M145/'Veroposentin tuotto'!AS145*-1</f>
        <v>1.6660638471782117</v>
      </c>
      <c r="N152" s="148">
        <f>'Toim ja inv rahavirta'!N145/'Veroposentin tuotto'!AT145*-1</f>
        <v>1.6530169411946534</v>
      </c>
      <c r="O152" s="148">
        <f>'Toim ja inv rahavirta'!O145/'Veroposentin tuotto'!AU145*-1</f>
        <v>1.6018064422617238</v>
      </c>
      <c r="P152" s="148">
        <f>'Toim ja inv rahavirta'!P145/'Veroposentin tuotto'!AV145*-1</f>
        <v>1.4724234021783409</v>
      </c>
    </row>
    <row r="153" spans="1:16" x14ac:dyDescent="0.2">
      <c r="A153" s="34">
        <v>426</v>
      </c>
      <c r="B153" s="88" t="s">
        <v>460</v>
      </c>
      <c r="C153" s="148" t="e">
        <f>'Toim ja inv rahavirta'!C146/'Veroposentin tuotto'!AI146*-1</f>
        <v>#REF!</v>
      </c>
      <c r="D153" s="148">
        <f>'Toim ja inv rahavirta'!D146/'Veroposentin tuotto'!AJ146*-1</f>
        <v>-1.0131197725906085</v>
      </c>
      <c r="E153" s="148">
        <f>'Toim ja inv rahavirta'!E146/'Veroposentin tuotto'!AK146*-1</f>
        <v>-1.1313907064433846</v>
      </c>
      <c r="F153" s="148">
        <f>'Toim ja inv rahavirta'!F146/'Veroposentin tuotto'!AL146*-1</f>
        <v>5.2918636198360978E-2</v>
      </c>
      <c r="G153" s="148">
        <f>'Toim ja inv rahavirta'!G146/'Veroposentin tuotto'!AM146*-1</f>
        <v>0.38015031902238566</v>
      </c>
      <c r="H153" s="148">
        <f>'Toim ja inv rahavirta'!H146/'Veroposentin tuotto'!AN146*-1</f>
        <v>1.4828671582957282</v>
      </c>
      <c r="I153" s="148">
        <f>'Toim ja inv rahavirta'!I146/'Veroposentin tuotto'!AO146*-1</f>
        <v>6.0652461076905446</v>
      </c>
      <c r="J153" s="148">
        <f>'Toim ja inv rahavirta'!J146/'Veroposentin tuotto'!AP146*-1</f>
        <v>2.9960996671640396</v>
      </c>
      <c r="K153" s="148">
        <f>'Toim ja inv rahavirta'!K146/'Veroposentin tuotto'!AQ146*-1</f>
        <v>-0.73978809709292426</v>
      </c>
      <c r="L153" s="148">
        <f>'Toim ja inv rahavirta'!L146/'Veroposentin tuotto'!AR146*-1</f>
        <v>2.0065944050041797</v>
      </c>
      <c r="M153" s="148">
        <f>'Toim ja inv rahavirta'!M146/'Veroposentin tuotto'!AS146*-1</f>
        <v>3.1448734655440407</v>
      </c>
      <c r="N153" s="148">
        <f>'Toim ja inv rahavirta'!N146/'Veroposentin tuotto'!AT146*-1</f>
        <v>3.0139731621833739</v>
      </c>
      <c r="O153" s="148">
        <f>'Toim ja inv rahavirta'!O146/'Veroposentin tuotto'!AU146*-1</f>
        <v>2.8826669256891466</v>
      </c>
      <c r="P153" s="148">
        <f>'Toim ja inv rahavirta'!P146/'Veroposentin tuotto'!AV146*-1</f>
        <v>2.4251610576412288</v>
      </c>
    </row>
    <row r="154" spans="1:16" x14ac:dyDescent="0.2">
      <c r="A154" s="34">
        <v>430</v>
      </c>
      <c r="B154" s="88" t="s">
        <v>461</v>
      </c>
      <c r="C154" s="148" t="e">
        <f>'Toim ja inv rahavirta'!C147/'Veroposentin tuotto'!AI147*-1</f>
        <v>#REF!</v>
      </c>
      <c r="D154" s="148">
        <f>'Toim ja inv rahavirta'!D147/'Veroposentin tuotto'!AJ147*-1</f>
        <v>0.22565734310837829</v>
      </c>
      <c r="E154" s="148">
        <f>'Toim ja inv rahavirta'!E147/'Veroposentin tuotto'!AK147*-1</f>
        <v>0.79724710509067076</v>
      </c>
      <c r="F154" s="148">
        <f>'Toim ja inv rahavirta'!F147/'Veroposentin tuotto'!AL147*-1</f>
        <v>1.6448683808442832</v>
      </c>
      <c r="G154" s="148">
        <f>'Toim ja inv rahavirta'!G147/'Veroposentin tuotto'!AM147*-1</f>
        <v>1.3614931237721022</v>
      </c>
      <c r="H154" s="148">
        <f>'Toim ja inv rahavirta'!H147/'Veroposentin tuotto'!AN147*-1</f>
        <v>-4.0241344354471273</v>
      </c>
      <c r="I154" s="148">
        <f>'Toim ja inv rahavirta'!I147/'Veroposentin tuotto'!AO147*-1</f>
        <v>-1.3039057731361365</v>
      </c>
      <c r="J154" s="148">
        <f>'Toim ja inv rahavirta'!J147/'Veroposentin tuotto'!AP147*-1</f>
        <v>-1.2125903147500283</v>
      </c>
      <c r="K154" s="148">
        <f>'Toim ja inv rahavirta'!K147/'Veroposentin tuotto'!AQ147*-1</f>
        <v>-0.92365970845115131</v>
      </c>
      <c r="L154" s="148">
        <f>'Toim ja inv rahavirta'!L147/'Veroposentin tuotto'!AR147*-1</f>
        <v>-0.5379967858946012</v>
      </c>
      <c r="M154" s="148">
        <f>'Toim ja inv rahavirta'!M147/'Veroposentin tuotto'!AS147*-1</f>
        <v>0.30783393927358382</v>
      </c>
      <c r="N154" s="148">
        <f>'Toim ja inv rahavirta'!N147/'Veroposentin tuotto'!AT147*-1</f>
        <v>0.21208871966301296</v>
      </c>
      <c r="O154" s="148">
        <f>'Toim ja inv rahavirta'!O147/'Veroposentin tuotto'!AU147*-1</f>
        <v>0.16861950092804914</v>
      </c>
      <c r="P154" s="148">
        <f>'Toim ja inv rahavirta'!P147/'Veroposentin tuotto'!AV147*-1</f>
        <v>-0.40137343670998921</v>
      </c>
    </row>
    <row r="155" spans="1:16" x14ac:dyDescent="0.2">
      <c r="A155" s="34">
        <v>433</v>
      </c>
      <c r="B155" s="88" t="s">
        <v>462</v>
      </c>
      <c r="C155" s="148" t="e">
        <f>'Toim ja inv rahavirta'!C148/'Veroposentin tuotto'!AI148*-1</f>
        <v>#REF!</v>
      </c>
      <c r="D155" s="148">
        <f>'Toim ja inv rahavirta'!D148/'Veroposentin tuotto'!AJ148*-1</f>
        <v>4.4720616954286401</v>
      </c>
      <c r="E155" s="148">
        <f>'Toim ja inv rahavirta'!E148/'Veroposentin tuotto'!AK148*-1</f>
        <v>-3.2032934718682612E-2</v>
      </c>
      <c r="F155" s="148">
        <f>'Toim ja inv rahavirta'!F148/'Veroposentin tuotto'!AL148*-1</f>
        <v>0.77419223735013221</v>
      </c>
      <c r="G155" s="148">
        <f>'Toim ja inv rahavirta'!G148/'Veroposentin tuotto'!AM148*-1</f>
        <v>-1.1547228727556595</v>
      </c>
      <c r="H155" s="148">
        <f>'Toim ja inv rahavirta'!H148/'Veroposentin tuotto'!AN148*-1</f>
        <v>-3.9147880692705561</v>
      </c>
      <c r="I155" s="148">
        <f>'Toim ja inv rahavirta'!I148/'Veroposentin tuotto'!AO148*-1</f>
        <v>-2.7129701651575346</v>
      </c>
      <c r="J155" s="148">
        <f>'Toim ja inv rahavirta'!J148/'Veroposentin tuotto'!AP148*-1</f>
        <v>2.8945066448778953</v>
      </c>
      <c r="K155" s="148">
        <f>'Toim ja inv rahavirta'!K148/'Veroposentin tuotto'!AQ148*-1</f>
        <v>0.74113824970975251</v>
      </c>
      <c r="L155" s="148">
        <f>'Toim ja inv rahavirta'!L148/'Veroposentin tuotto'!AR148*-1</f>
        <v>0.8426147757538921</v>
      </c>
      <c r="M155" s="148">
        <f>'Toim ja inv rahavirta'!M148/'Veroposentin tuotto'!AS148*-1</f>
        <v>1.2219511839008206</v>
      </c>
      <c r="N155" s="148">
        <f>'Toim ja inv rahavirta'!N148/'Veroposentin tuotto'!AT148*-1</f>
        <v>0.95093938324073835</v>
      </c>
      <c r="O155" s="148">
        <f>'Toim ja inv rahavirta'!O148/'Veroposentin tuotto'!AU148*-1</f>
        <v>1.094541082830395</v>
      </c>
      <c r="P155" s="148">
        <f>'Toim ja inv rahavirta'!P148/'Veroposentin tuotto'!AV148*-1</f>
        <v>0.65338463712617478</v>
      </c>
    </row>
    <row r="156" spans="1:16" x14ac:dyDescent="0.2">
      <c r="A156" s="34">
        <v>434</v>
      </c>
      <c r="B156" s="88" t="s">
        <v>463</v>
      </c>
      <c r="C156" s="148" t="e">
        <f>'Toim ja inv rahavirta'!C149/'Veroposentin tuotto'!AI149*-1</f>
        <v>#REF!</v>
      </c>
      <c r="D156" s="148">
        <f>'Toim ja inv rahavirta'!D149/'Veroposentin tuotto'!AJ149*-1</f>
        <v>1.2854343070129239</v>
      </c>
      <c r="E156" s="148">
        <f>'Toim ja inv rahavirta'!E149/'Veroposentin tuotto'!AK149*-1</f>
        <v>0.25686954154187697</v>
      </c>
      <c r="F156" s="148">
        <f>'Toim ja inv rahavirta'!F149/'Veroposentin tuotto'!AL149*-1</f>
        <v>6.1091650986741346</v>
      </c>
      <c r="G156" s="148">
        <f>'Toim ja inv rahavirta'!G149/'Veroposentin tuotto'!AM149*-1</f>
        <v>6.0702341137123748</v>
      </c>
      <c r="H156" s="148">
        <f>'Toim ja inv rahavirta'!H149/'Veroposentin tuotto'!AN149*-1</f>
        <v>2.1937876353891701</v>
      </c>
      <c r="I156" s="148">
        <f>'Toim ja inv rahavirta'!I149/'Veroposentin tuotto'!AO149*-1</f>
        <v>-0.89863583710947592</v>
      </c>
      <c r="J156" s="148">
        <f>'Toim ja inv rahavirta'!J149/'Veroposentin tuotto'!AP149*-1</f>
        <v>-0.34319824773680624</v>
      </c>
      <c r="K156" s="148">
        <f>'Toim ja inv rahavirta'!K149/'Veroposentin tuotto'!AQ149*-1</f>
        <v>-1.8425988909762505</v>
      </c>
      <c r="L156" s="148">
        <f>'Toim ja inv rahavirta'!L149/'Veroposentin tuotto'!AR149*-1</f>
        <v>0.36718978604386904</v>
      </c>
      <c r="M156" s="148">
        <f>'Toim ja inv rahavirta'!M149/'Veroposentin tuotto'!AS149*-1</f>
        <v>1.1909510343838006</v>
      </c>
      <c r="N156" s="148">
        <f>'Toim ja inv rahavirta'!N149/'Veroposentin tuotto'!AT149*-1</f>
        <v>1.3976606181884763</v>
      </c>
      <c r="O156" s="148">
        <f>'Toim ja inv rahavirta'!O149/'Veroposentin tuotto'!AU149*-1</f>
        <v>1.3093509213125378</v>
      </c>
      <c r="P156" s="148">
        <f>'Toim ja inv rahavirta'!P149/'Veroposentin tuotto'!AV149*-1</f>
        <v>1.0484105203600322</v>
      </c>
    </row>
    <row r="157" spans="1:16" x14ac:dyDescent="0.2">
      <c r="A157" s="34">
        <v>435</v>
      </c>
      <c r="B157" s="88" t="s">
        <v>464</v>
      </c>
      <c r="C157" s="148" t="e">
        <f>'Toim ja inv rahavirta'!C150/'Veroposentin tuotto'!AI150*-1</f>
        <v>#REF!</v>
      </c>
      <c r="D157" s="148">
        <f>'Toim ja inv rahavirta'!D150/'Veroposentin tuotto'!AJ150*-1</f>
        <v>2.7639673571876959</v>
      </c>
      <c r="E157" s="148">
        <f>'Toim ja inv rahavirta'!E150/'Veroposentin tuotto'!AK150*-1</f>
        <v>12.486102719033234</v>
      </c>
      <c r="F157" s="148">
        <f>'Toim ja inv rahavirta'!F150/'Veroposentin tuotto'!AL150*-1</f>
        <v>-2.1422278162366268</v>
      </c>
      <c r="G157" s="148">
        <f>'Toim ja inv rahavirta'!G150/'Veroposentin tuotto'!AM150*-1</f>
        <v>-0.46461187214611871</v>
      </c>
      <c r="H157" s="148">
        <f>'Toim ja inv rahavirta'!H150/'Veroposentin tuotto'!AN150*-1</f>
        <v>2.7123150513504664</v>
      </c>
      <c r="I157" s="148">
        <f>'Toim ja inv rahavirta'!I150/'Veroposentin tuotto'!AO150*-1</f>
        <v>-5.3276706626592327</v>
      </c>
      <c r="J157" s="148">
        <f>'Toim ja inv rahavirta'!J150/'Veroposentin tuotto'!AP150*-1</f>
        <v>-1.9627587112974518</v>
      </c>
      <c r="K157" s="148">
        <f>'Toim ja inv rahavirta'!K150/'Veroposentin tuotto'!AQ150*-1</f>
        <v>0.70189998877520288</v>
      </c>
      <c r="L157" s="148">
        <f>'Toim ja inv rahavirta'!L150/'Veroposentin tuotto'!AR150*-1</f>
        <v>2.278362138244943</v>
      </c>
      <c r="M157" s="148">
        <f>'Toim ja inv rahavirta'!M150/'Veroposentin tuotto'!AS150*-1</f>
        <v>2.5612766671663589</v>
      </c>
      <c r="N157" s="148">
        <f>'Toim ja inv rahavirta'!N150/'Veroposentin tuotto'!AT150*-1</f>
        <v>3.087912967184764</v>
      </c>
      <c r="O157" s="148">
        <f>'Toim ja inv rahavirta'!O150/'Veroposentin tuotto'!AU150*-1</f>
        <v>3.375625759238619</v>
      </c>
      <c r="P157" s="148">
        <f>'Toim ja inv rahavirta'!P150/'Veroposentin tuotto'!AV150*-1</f>
        <v>3.3881965501025681</v>
      </c>
    </row>
    <row r="158" spans="1:16" x14ac:dyDescent="0.2">
      <c r="A158" s="34">
        <v>436</v>
      </c>
      <c r="B158" s="88" t="s">
        <v>465</v>
      </c>
      <c r="C158" s="148" t="e">
        <f>'Toim ja inv rahavirta'!C151/'Veroposentin tuotto'!AI151*-1</f>
        <v>#REF!</v>
      </c>
      <c r="D158" s="148">
        <f>'Toim ja inv rahavirta'!D151/'Veroposentin tuotto'!AJ151*-1</f>
        <v>-1.2973998381222178</v>
      </c>
      <c r="E158" s="148">
        <f>'Toim ja inv rahavirta'!E151/'Veroposentin tuotto'!AK151*-1</f>
        <v>0.2521499345672088</v>
      </c>
      <c r="F158" s="148">
        <f>'Toim ja inv rahavirta'!F151/'Veroposentin tuotto'!AL151*-1</f>
        <v>3.6325404376784016</v>
      </c>
      <c r="G158" s="148">
        <f>'Toim ja inv rahavirta'!G151/'Veroposentin tuotto'!AM151*-1</f>
        <v>-1.5579776515845392</v>
      </c>
      <c r="H158" s="148">
        <f>'Toim ja inv rahavirta'!H151/'Veroposentin tuotto'!AN151*-1</f>
        <v>-3.1339023339577801</v>
      </c>
      <c r="I158" s="148">
        <f>'Toim ja inv rahavirta'!I151/'Veroposentin tuotto'!AO151*-1</f>
        <v>-2.3088140788923837</v>
      </c>
      <c r="J158" s="148">
        <f>'Toim ja inv rahavirta'!J151/'Veroposentin tuotto'!AP151*-1</f>
        <v>10.253944982963217</v>
      </c>
      <c r="K158" s="148">
        <f>'Toim ja inv rahavirta'!K151/'Veroposentin tuotto'!AQ151*-1</f>
        <v>1.350684213512354</v>
      </c>
      <c r="L158" s="148">
        <f>'Toim ja inv rahavirta'!L151/'Veroposentin tuotto'!AR151*-1</f>
        <v>2.8737246513836467</v>
      </c>
      <c r="M158" s="148">
        <f>'Toim ja inv rahavirta'!M151/'Veroposentin tuotto'!AS151*-1</f>
        <v>4.9331058874249134</v>
      </c>
      <c r="N158" s="148">
        <f>'Toim ja inv rahavirta'!N151/'Veroposentin tuotto'!AT151*-1</f>
        <v>3.641158732550021</v>
      </c>
      <c r="O158" s="148">
        <f>'Toim ja inv rahavirta'!O151/'Veroposentin tuotto'!AU151*-1</f>
        <v>3.8464633698158264</v>
      </c>
      <c r="P158" s="148">
        <f>'Toim ja inv rahavirta'!P151/'Veroposentin tuotto'!AV151*-1</f>
        <v>3.8431768470548047</v>
      </c>
    </row>
    <row r="159" spans="1:16" x14ac:dyDescent="0.2">
      <c r="A159" s="34">
        <v>440</v>
      </c>
      <c r="B159" s="88" t="s">
        <v>466</v>
      </c>
      <c r="C159" s="148" t="e">
        <f>'Toim ja inv rahavirta'!C152/'Veroposentin tuotto'!AI152*-1</f>
        <v>#REF!</v>
      </c>
      <c r="D159" s="148">
        <f>'Toim ja inv rahavirta'!D152/'Veroposentin tuotto'!AJ152*-1</f>
        <v>0.72025995006608901</v>
      </c>
      <c r="E159" s="148">
        <f>'Toim ja inv rahavirta'!E152/'Veroposentin tuotto'!AK152*-1</f>
        <v>11.089585172109443</v>
      </c>
      <c r="F159" s="148">
        <f>'Toim ja inv rahavirta'!F152/'Veroposentin tuotto'!AL152*-1</f>
        <v>2.8299319727891157</v>
      </c>
      <c r="G159" s="148">
        <f>'Toim ja inv rahavirta'!G152/'Veroposentin tuotto'!AM152*-1</f>
        <v>0.70253031471227312</v>
      </c>
      <c r="H159" s="148">
        <f>'Toim ja inv rahavirta'!H152/'Veroposentin tuotto'!AN152*-1</f>
        <v>1.5822164850442748</v>
      </c>
      <c r="I159" s="148">
        <f>'Toim ja inv rahavirta'!I152/'Veroposentin tuotto'!AO152*-1</f>
        <v>-2.9615680661954031</v>
      </c>
      <c r="J159" s="148">
        <f>'Toim ja inv rahavirta'!J152/'Veroposentin tuotto'!AP152*-1</f>
        <v>1.5293786481984839</v>
      </c>
      <c r="K159" s="148">
        <f>'Toim ja inv rahavirta'!K152/'Veroposentin tuotto'!AQ152*-1</f>
        <v>5.5987263381222938</v>
      </c>
      <c r="L159" s="148">
        <f>'Toim ja inv rahavirta'!L152/'Veroposentin tuotto'!AR152*-1</f>
        <v>1.9749020294737447</v>
      </c>
      <c r="M159" s="148">
        <f>'Toim ja inv rahavirta'!M152/'Veroposentin tuotto'!AS152*-1</f>
        <v>1.4346202725902228</v>
      </c>
      <c r="N159" s="148">
        <f>'Toim ja inv rahavirta'!N152/'Veroposentin tuotto'!AT152*-1</f>
        <v>1.5911072552430485</v>
      </c>
      <c r="O159" s="148">
        <f>'Toim ja inv rahavirta'!O152/'Veroposentin tuotto'!AU152*-1</f>
        <v>1.4588128755204834</v>
      </c>
      <c r="P159" s="148">
        <f>'Toim ja inv rahavirta'!P152/'Veroposentin tuotto'!AV152*-1</f>
        <v>1.0380092176510194</v>
      </c>
    </row>
    <row r="160" spans="1:16" x14ac:dyDescent="0.2">
      <c r="A160" s="34">
        <v>441</v>
      </c>
      <c r="B160" s="88" t="s">
        <v>467</v>
      </c>
      <c r="C160" s="148" t="e">
        <f>'Toim ja inv rahavirta'!C153/'Veroposentin tuotto'!AI153*-1</f>
        <v>#REF!</v>
      </c>
      <c r="D160" s="148">
        <f>'Toim ja inv rahavirta'!D153/'Veroposentin tuotto'!AJ153*-1</f>
        <v>3.6114542285541074</v>
      </c>
      <c r="E160" s="148">
        <f>'Toim ja inv rahavirta'!E153/'Veroposentin tuotto'!AK153*-1</f>
        <v>0.6714912604174349</v>
      </c>
      <c r="F160" s="148">
        <f>'Toim ja inv rahavirta'!F153/'Veroposentin tuotto'!AL153*-1</f>
        <v>3.7316331305568551</v>
      </c>
      <c r="G160" s="148">
        <f>'Toim ja inv rahavirta'!G153/'Veroposentin tuotto'!AM153*-1</f>
        <v>5.4599877825290157</v>
      </c>
      <c r="H160" s="148">
        <f>'Toim ja inv rahavirta'!H153/'Veroposentin tuotto'!AN153*-1</f>
        <v>-3.1783657945122115</v>
      </c>
      <c r="I160" s="148">
        <f>'Toim ja inv rahavirta'!I153/'Veroposentin tuotto'!AO153*-1</f>
        <v>-3.4180397294739442</v>
      </c>
      <c r="J160" s="148">
        <f>'Toim ja inv rahavirta'!J153/'Veroposentin tuotto'!AP153*-1</f>
        <v>1.0471187113604208</v>
      </c>
      <c r="K160" s="148">
        <f>'Toim ja inv rahavirta'!K153/'Veroposentin tuotto'!AQ153*-1</f>
        <v>0.86890985152852274</v>
      </c>
      <c r="L160" s="148">
        <f>'Toim ja inv rahavirta'!L153/'Veroposentin tuotto'!AR153*-1</f>
        <v>1.7473442577176523</v>
      </c>
      <c r="M160" s="148">
        <f>'Toim ja inv rahavirta'!M153/'Veroposentin tuotto'!AS153*-1</f>
        <v>2.133007366104767</v>
      </c>
      <c r="N160" s="148">
        <f>'Toim ja inv rahavirta'!N153/'Veroposentin tuotto'!AT153*-1</f>
        <v>2.1189718538730902</v>
      </c>
      <c r="O160" s="148">
        <f>'Toim ja inv rahavirta'!O153/'Veroposentin tuotto'!AU153*-1</f>
        <v>2.2329615753351946</v>
      </c>
      <c r="P160" s="148">
        <f>'Toim ja inv rahavirta'!P153/'Veroposentin tuotto'!AV153*-1</f>
        <v>1.8827925834827384</v>
      </c>
    </row>
    <row r="161" spans="1:16" x14ac:dyDescent="0.2">
      <c r="A161" s="34">
        <v>444</v>
      </c>
      <c r="B161" s="88" t="s">
        <v>468</v>
      </c>
      <c r="C161" s="148" t="e">
        <f>'Toim ja inv rahavirta'!C154/'Veroposentin tuotto'!AI154*-1</f>
        <v>#REF!</v>
      </c>
      <c r="D161" s="148">
        <f>'Toim ja inv rahavirta'!D154/'Veroposentin tuotto'!AJ154*-1</f>
        <v>0.919465679895901</v>
      </c>
      <c r="E161" s="148">
        <f>'Toim ja inv rahavirta'!E154/'Veroposentin tuotto'!AK154*-1</f>
        <v>2.9252931833766049</v>
      </c>
      <c r="F161" s="148">
        <f>'Toim ja inv rahavirta'!F154/'Veroposentin tuotto'!AL154*-1</f>
        <v>2.6572090261282661</v>
      </c>
      <c r="G161" s="148">
        <f>'Toim ja inv rahavirta'!G154/'Veroposentin tuotto'!AM154*-1</f>
        <v>1.9763913606451728</v>
      </c>
      <c r="H161" s="148">
        <f>'Toim ja inv rahavirta'!H154/'Veroposentin tuotto'!AN154*-1</f>
        <v>3.9275030025532308E-2</v>
      </c>
      <c r="I161" s="148">
        <f>'Toim ja inv rahavirta'!I154/'Veroposentin tuotto'!AO154*-1</f>
        <v>-1.3702890472405466E-2</v>
      </c>
      <c r="J161" s="148">
        <f>'Toim ja inv rahavirta'!J154/'Veroposentin tuotto'!AP154*-1</f>
        <v>0.15062480387705537</v>
      </c>
      <c r="K161" s="148">
        <f>'Toim ja inv rahavirta'!K154/'Veroposentin tuotto'!AQ154*-1</f>
        <v>0.17928933558162807</v>
      </c>
      <c r="L161" s="148">
        <f>'Toim ja inv rahavirta'!L154/'Veroposentin tuotto'!AR154*-1</f>
        <v>0.9170626976234233</v>
      </c>
      <c r="M161" s="148">
        <f>'Toim ja inv rahavirta'!M154/'Veroposentin tuotto'!AS154*-1</f>
        <v>1.2737879863620489</v>
      </c>
      <c r="N161" s="148">
        <f>'Toim ja inv rahavirta'!N154/'Veroposentin tuotto'!AT154*-1</f>
        <v>1.3298110267184229</v>
      </c>
      <c r="O161" s="148">
        <f>'Toim ja inv rahavirta'!O154/'Veroposentin tuotto'!AU154*-1</f>
        <v>1.3734371148417668</v>
      </c>
      <c r="P161" s="148">
        <f>'Toim ja inv rahavirta'!P154/'Veroposentin tuotto'!AV154*-1</f>
        <v>1.0980470331620893</v>
      </c>
    </row>
    <row r="162" spans="1:16" x14ac:dyDescent="0.2">
      <c r="A162" s="34">
        <v>445</v>
      </c>
      <c r="B162" s="88" t="s">
        <v>469</v>
      </c>
      <c r="C162" s="148" t="e">
        <f>'Toim ja inv rahavirta'!C155/'Veroposentin tuotto'!AI155*-1</f>
        <v>#REF!</v>
      </c>
      <c r="D162" s="148">
        <f>'Toim ja inv rahavirta'!D155/'Veroposentin tuotto'!AJ155*-1</f>
        <v>-0.52490136265663245</v>
      </c>
      <c r="E162" s="148">
        <f>'Toim ja inv rahavirta'!E155/'Veroposentin tuotto'!AK155*-1</f>
        <v>-3.9653567452132804E-2</v>
      </c>
      <c r="F162" s="148">
        <f>'Toim ja inv rahavirta'!F155/'Veroposentin tuotto'!AL155*-1</f>
        <v>0.53017447859090572</v>
      </c>
      <c r="G162" s="148">
        <f>'Toim ja inv rahavirta'!G155/'Veroposentin tuotto'!AM155*-1</f>
        <v>1.3334134702616396</v>
      </c>
      <c r="H162" s="148">
        <f>'Toim ja inv rahavirta'!H155/'Veroposentin tuotto'!AN155*-1</f>
        <v>-0.66524851648443684</v>
      </c>
      <c r="I162" s="148">
        <f>'Toim ja inv rahavirta'!I155/'Veroposentin tuotto'!AO155*-1</f>
        <v>-1.1516112356126473</v>
      </c>
      <c r="J162" s="148">
        <f>'Toim ja inv rahavirta'!J155/'Veroposentin tuotto'!AP155*-1</f>
        <v>1.660561475895743</v>
      </c>
      <c r="K162" s="148">
        <f>'Toim ja inv rahavirta'!K155/'Veroposentin tuotto'!AQ155*-1</f>
        <v>0.29403578577910622</v>
      </c>
      <c r="L162" s="148">
        <f>'Toim ja inv rahavirta'!L155/'Veroposentin tuotto'!AR155*-1</f>
        <v>1.425196604402458</v>
      </c>
      <c r="M162" s="148">
        <f>'Toim ja inv rahavirta'!M155/'Veroposentin tuotto'!AS155*-1</f>
        <v>1.5564797935901431</v>
      </c>
      <c r="N162" s="148">
        <f>'Toim ja inv rahavirta'!N155/'Veroposentin tuotto'!AT155*-1</f>
        <v>1.3470735636327245</v>
      </c>
      <c r="O162" s="148">
        <f>'Toim ja inv rahavirta'!O155/'Veroposentin tuotto'!AU155*-1</f>
        <v>1.2537077739957747</v>
      </c>
      <c r="P162" s="148">
        <f>'Toim ja inv rahavirta'!P155/'Veroposentin tuotto'!AV155*-1</f>
        <v>0.93169790249748075</v>
      </c>
    </row>
    <row r="163" spans="1:16" x14ac:dyDescent="0.2">
      <c r="A163" s="34">
        <v>475</v>
      </c>
      <c r="B163" s="88" t="s">
        <v>470</v>
      </c>
      <c r="C163" s="148" t="e">
        <f>'Toim ja inv rahavirta'!C156/'Veroposentin tuotto'!AI156*-1</f>
        <v>#REF!</v>
      </c>
      <c r="D163" s="148">
        <f>'Toim ja inv rahavirta'!D156/'Veroposentin tuotto'!AJ156*-1</f>
        <v>3.9074804308163142</v>
      </c>
      <c r="E163" s="148">
        <f>'Toim ja inv rahavirta'!E156/'Veroposentin tuotto'!AK156*-1</f>
        <v>3.3966641216890818</v>
      </c>
      <c r="F163" s="148">
        <f>'Toim ja inv rahavirta'!F156/'Veroposentin tuotto'!AL156*-1</f>
        <v>4.3228061716489874</v>
      </c>
      <c r="G163" s="148">
        <f>'Toim ja inv rahavirta'!G156/'Veroposentin tuotto'!AM156*-1</f>
        <v>6.1489609357256416</v>
      </c>
      <c r="H163" s="148">
        <f>'Toim ja inv rahavirta'!H156/'Veroposentin tuotto'!AN156*-1</f>
        <v>-2.6841104894142793</v>
      </c>
      <c r="I163" s="148">
        <f>'Toim ja inv rahavirta'!I156/'Veroposentin tuotto'!AO156*-1</f>
        <v>1.6393058894216173</v>
      </c>
      <c r="J163" s="148">
        <f>'Toim ja inv rahavirta'!J156/'Veroposentin tuotto'!AP156*-1</f>
        <v>0.68291057213481587</v>
      </c>
      <c r="K163" s="148">
        <f>'Toim ja inv rahavirta'!K156/'Veroposentin tuotto'!AQ156*-1</f>
        <v>-1.6101926721658739</v>
      </c>
      <c r="L163" s="148">
        <f>'Toim ja inv rahavirta'!L156/'Veroposentin tuotto'!AR156*-1</f>
        <v>0.24357858418895403</v>
      </c>
      <c r="M163" s="148">
        <f>'Toim ja inv rahavirta'!M156/'Veroposentin tuotto'!AS156*-1</f>
        <v>0.15496548311824337</v>
      </c>
      <c r="N163" s="148">
        <f>'Toim ja inv rahavirta'!N156/'Veroposentin tuotto'!AT156*-1</f>
        <v>0.26219496471799197</v>
      </c>
      <c r="O163" s="148">
        <f>'Toim ja inv rahavirta'!O156/'Veroposentin tuotto'!AU156*-1</f>
        <v>0.58564985792954993</v>
      </c>
      <c r="P163" s="148">
        <f>'Toim ja inv rahavirta'!P156/'Veroposentin tuotto'!AV156*-1</f>
        <v>0.20835311260010564</v>
      </c>
    </row>
    <row r="164" spans="1:16" x14ac:dyDescent="0.2">
      <c r="A164" s="34">
        <v>480</v>
      </c>
      <c r="B164" s="88" t="s">
        <v>471</v>
      </c>
      <c r="C164" s="148" t="e">
        <f>'Toim ja inv rahavirta'!C157/'Veroposentin tuotto'!AI157*-1</f>
        <v>#REF!</v>
      </c>
      <c r="D164" s="148">
        <f>'Toim ja inv rahavirta'!D157/'Veroposentin tuotto'!AJ157*-1</f>
        <v>-0.75742574257425743</v>
      </c>
      <c r="E164" s="148">
        <f>'Toim ja inv rahavirta'!E157/'Veroposentin tuotto'!AK157*-1</f>
        <v>0.70778020500756167</v>
      </c>
      <c r="F164" s="148">
        <f>'Toim ja inv rahavirta'!F157/'Veroposentin tuotto'!AL157*-1</f>
        <v>-1.1391720314735336</v>
      </c>
      <c r="G164" s="148">
        <f>'Toim ja inv rahavirta'!G157/'Veroposentin tuotto'!AM157*-1</f>
        <v>0.28680266444629476</v>
      </c>
      <c r="H164" s="148">
        <f>'Toim ja inv rahavirta'!H157/'Veroposentin tuotto'!AN157*-1</f>
        <v>-1.4006968805247226</v>
      </c>
      <c r="I164" s="148">
        <f>'Toim ja inv rahavirta'!I157/'Veroposentin tuotto'!AO157*-1</f>
        <v>-0.33967428655347159</v>
      </c>
      <c r="J164" s="148">
        <f>'Toim ja inv rahavirta'!J157/'Veroposentin tuotto'!AP157*-1</f>
        <v>-0.56477991646643511</v>
      </c>
      <c r="K164" s="148">
        <f>'Toim ja inv rahavirta'!K157/'Veroposentin tuotto'!AQ157*-1</f>
        <v>9.5374253581991697E-2</v>
      </c>
      <c r="L164" s="148">
        <f>'Toim ja inv rahavirta'!L157/'Veroposentin tuotto'!AR157*-1</f>
        <v>0.85226954644104513</v>
      </c>
      <c r="M164" s="148">
        <f>'Toim ja inv rahavirta'!M157/'Veroposentin tuotto'!AS157*-1</f>
        <v>1.1137942390440398</v>
      </c>
      <c r="N164" s="148">
        <f>'Toim ja inv rahavirta'!N157/'Veroposentin tuotto'!AT157*-1</f>
        <v>1.2103193554496594</v>
      </c>
      <c r="O164" s="148">
        <f>'Toim ja inv rahavirta'!O157/'Veroposentin tuotto'!AU157*-1</f>
        <v>1.401885147087045</v>
      </c>
      <c r="P164" s="148">
        <f>'Toim ja inv rahavirta'!P157/'Veroposentin tuotto'!AV157*-1</f>
        <v>0.96696788841182901</v>
      </c>
    </row>
    <row r="165" spans="1:16" x14ac:dyDescent="0.2">
      <c r="A165" s="34">
        <v>481</v>
      </c>
      <c r="B165" s="88" t="s">
        <v>472</v>
      </c>
      <c r="C165" s="148" t="e">
        <f>'Toim ja inv rahavirta'!C158/'Veroposentin tuotto'!AI158*-1</f>
        <v>#REF!</v>
      </c>
      <c r="D165" s="148">
        <f>'Toim ja inv rahavirta'!D158/'Veroposentin tuotto'!AJ158*-1</f>
        <v>0.97329819571097909</v>
      </c>
      <c r="E165" s="148">
        <f>'Toim ja inv rahavirta'!E158/'Veroposentin tuotto'!AK158*-1</f>
        <v>0.89562686163011107</v>
      </c>
      <c r="F165" s="148">
        <f>'Toim ja inv rahavirta'!F158/'Veroposentin tuotto'!AL158*-1</f>
        <v>5.077384986580638</v>
      </c>
      <c r="G165" s="148">
        <f>'Toim ja inv rahavirta'!G158/'Veroposentin tuotto'!AM158*-1</f>
        <v>5.0099852877070621</v>
      </c>
      <c r="H165" s="148">
        <f>'Toim ja inv rahavirta'!H158/'Veroposentin tuotto'!AN158*-1</f>
        <v>-2.5310456208540173</v>
      </c>
      <c r="I165" s="148">
        <f>'Toim ja inv rahavirta'!I158/'Veroposentin tuotto'!AO158*-1</f>
        <v>-1.098629125639931</v>
      </c>
      <c r="J165" s="148">
        <f>'Toim ja inv rahavirta'!J158/'Veroposentin tuotto'!AP158*-1</f>
        <v>-1.5719059206406709</v>
      </c>
      <c r="K165" s="148">
        <f>'Toim ja inv rahavirta'!K158/'Veroposentin tuotto'!AQ158*-1</f>
        <v>-0.35803212865644646</v>
      </c>
      <c r="L165" s="148">
        <f>'Toim ja inv rahavirta'!L158/'Veroposentin tuotto'!AR158*-1</f>
        <v>0.19290999580237678</v>
      </c>
      <c r="M165" s="148">
        <f>'Toim ja inv rahavirta'!M158/'Veroposentin tuotto'!AS158*-1</f>
        <v>1.4028658303415902</v>
      </c>
      <c r="N165" s="148">
        <f>'Toim ja inv rahavirta'!N158/'Veroposentin tuotto'!AT158*-1</f>
        <v>0.99202636059899962</v>
      </c>
      <c r="O165" s="148">
        <f>'Toim ja inv rahavirta'!O158/'Veroposentin tuotto'!AU158*-1</f>
        <v>0.86518339931650434</v>
      </c>
      <c r="P165" s="148">
        <f>'Toim ja inv rahavirta'!P158/'Veroposentin tuotto'!AV158*-1</f>
        <v>0.83669554196186402</v>
      </c>
    </row>
    <row r="166" spans="1:16" x14ac:dyDescent="0.2">
      <c r="A166" s="34">
        <v>483</v>
      </c>
      <c r="B166" s="88" t="s">
        <v>473</v>
      </c>
      <c r="C166" s="148" t="e">
        <f>'Toim ja inv rahavirta'!C159/'Veroposentin tuotto'!AI159*-1</f>
        <v>#REF!</v>
      </c>
      <c r="D166" s="148">
        <f>'Toim ja inv rahavirta'!D159/'Veroposentin tuotto'!AJ159*-1</f>
        <v>-1.4708448117539026</v>
      </c>
      <c r="E166" s="148">
        <f>'Toim ja inv rahavirta'!E159/'Veroposentin tuotto'!AK159*-1</f>
        <v>-0.49294532627865961</v>
      </c>
      <c r="F166" s="148">
        <f>'Toim ja inv rahavirta'!F159/'Veroposentin tuotto'!AL159*-1</f>
        <v>11.427563499529633</v>
      </c>
      <c r="G166" s="148">
        <f>'Toim ja inv rahavirta'!G159/'Veroposentin tuotto'!AM159*-1</f>
        <v>4.5953783416402363</v>
      </c>
      <c r="H166" s="148">
        <f>'Toim ja inv rahavirta'!H159/'Veroposentin tuotto'!AN159*-1</f>
        <v>-7.4542310568552281</v>
      </c>
      <c r="I166" s="148">
        <f>'Toim ja inv rahavirta'!I159/'Veroposentin tuotto'!AO159*-1</f>
        <v>-0.85173398316529025</v>
      </c>
      <c r="J166" s="148">
        <f>'Toim ja inv rahavirta'!J159/'Veroposentin tuotto'!AP159*-1</f>
        <v>4.5011230037503545</v>
      </c>
      <c r="K166" s="148">
        <f>'Toim ja inv rahavirta'!K159/'Veroposentin tuotto'!AQ159*-1</f>
        <v>1.0408332409182695</v>
      </c>
      <c r="L166" s="148">
        <f>'Toim ja inv rahavirta'!L159/'Veroposentin tuotto'!AR159*-1</f>
        <v>10.180741339237757</v>
      </c>
      <c r="M166" s="148">
        <f>'Toim ja inv rahavirta'!M159/'Veroposentin tuotto'!AS159*-1</f>
        <v>15.150984768408209</v>
      </c>
      <c r="N166" s="148">
        <f>'Toim ja inv rahavirta'!N159/'Veroposentin tuotto'!AT159*-1</f>
        <v>14.600596392798408</v>
      </c>
      <c r="O166" s="148">
        <f>'Toim ja inv rahavirta'!O159/'Veroposentin tuotto'!AU159*-1</f>
        <v>15.118697534740578</v>
      </c>
      <c r="P166" s="148">
        <f>'Toim ja inv rahavirta'!P159/'Veroposentin tuotto'!AV159*-1</f>
        <v>14.139624364294241</v>
      </c>
    </row>
    <row r="167" spans="1:16" x14ac:dyDescent="0.2">
      <c r="A167" s="34">
        <v>484</v>
      </c>
      <c r="B167" s="88" t="s">
        <v>474</v>
      </c>
      <c r="C167" s="148" t="e">
        <f>'Toim ja inv rahavirta'!C160/'Veroposentin tuotto'!AI160*-1</f>
        <v>#REF!</v>
      </c>
      <c r="D167" s="148">
        <f>'Toim ja inv rahavirta'!D160/'Veroposentin tuotto'!AJ160*-1</f>
        <v>-0.64245206589251957</v>
      </c>
      <c r="E167" s="148">
        <f>'Toim ja inv rahavirta'!E160/'Veroposentin tuotto'!AK160*-1</f>
        <v>0.92181818181818187</v>
      </c>
      <c r="F167" s="148">
        <f>'Toim ja inv rahavirta'!F160/'Veroposentin tuotto'!AL160*-1</f>
        <v>4.1985520847298563</v>
      </c>
      <c r="G167" s="148">
        <f>'Toim ja inv rahavirta'!G160/'Veroposentin tuotto'!AM160*-1</f>
        <v>5.8689204474048013</v>
      </c>
      <c r="H167" s="148">
        <f>'Toim ja inv rahavirta'!H160/'Veroposentin tuotto'!AN160*-1</f>
        <v>-9.2657047771938927</v>
      </c>
      <c r="I167" s="148">
        <f>'Toim ja inv rahavirta'!I160/'Veroposentin tuotto'!AO160*-1</f>
        <v>-4.8248001858362004</v>
      </c>
      <c r="J167" s="148">
        <f>'Toim ja inv rahavirta'!J160/'Veroposentin tuotto'!AP160*-1</f>
        <v>1.3849364490314284</v>
      </c>
      <c r="K167" s="148">
        <f>'Toim ja inv rahavirta'!K160/'Veroposentin tuotto'!AQ160*-1</f>
        <v>6.6656592037815399</v>
      </c>
      <c r="L167" s="148">
        <f>'Toim ja inv rahavirta'!L160/'Veroposentin tuotto'!AR160*-1</f>
        <v>-0.74197456826014541</v>
      </c>
      <c r="M167" s="148">
        <f>'Toim ja inv rahavirta'!M160/'Veroposentin tuotto'!AS160*-1</f>
        <v>3.1475361279379892</v>
      </c>
      <c r="N167" s="148">
        <f>'Toim ja inv rahavirta'!N160/'Veroposentin tuotto'!AT160*-1</f>
        <v>4.8537974594211146</v>
      </c>
      <c r="O167" s="148">
        <f>'Toim ja inv rahavirta'!O160/'Veroposentin tuotto'!AU160*-1</f>
        <v>4.3454520618204171</v>
      </c>
      <c r="P167" s="148">
        <f>'Toim ja inv rahavirta'!P160/'Veroposentin tuotto'!AV160*-1</f>
        <v>4.2851963659474031</v>
      </c>
    </row>
    <row r="168" spans="1:16" x14ac:dyDescent="0.2">
      <c r="A168" s="34">
        <v>489</v>
      </c>
      <c r="B168" s="88" t="s">
        <v>475</v>
      </c>
      <c r="C168" s="148" t="e">
        <f>'Toim ja inv rahavirta'!C161/'Veroposentin tuotto'!AI161*-1</f>
        <v>#REF!</v>
      </c>
      <c r="D168" s="148">
        <f>'Toim ja inv rahavirta'!D161/'Veroposentin tuotto'!AJ161*-1</f>
        <v>-0.16999575010624735</v>
      </c>
      <c r="E168" s="148">
        <f>'Toim ja inv rahavirta'!E161/'Veroposentin tuotto'!AK161*-1</f>
        <v>1.3113349046496678</v>
      </c>
      <c r="F168" s="148">
        <f>'Toim ja inv rahavirta'!F161/'Veroposentin tuotto'!AL161*-1</f>
        <v>0.91515290871464705</v>
      </c>
      <c r="G168" s="148">
        <f>'Toim ja inv rahavirta'!G161/'Veroposentin tuotto'!AM161*-1</f>
        <v>-2.7148769331300371</v>
      </c>
      <c r="H168" s="148">
        <f>'Toim ja inv rahavirta'!H161/'Veroposentin tuotto'!AN161*-1</f>
        <v>-8.6305652994882465</v>
      </c>
      <c r="I168" s="148">
        <f>'Toim ja inv rahavirta'!I161/'Veroposentin tuotto'!AO161*-1</f>
        <v>-2.8395528255976648</v>
      </c>
      <c r="J168" s="148">
        <f>'Toim ja inv rahavirta'!J161/'Veroposentin tuotto'!AP161*-1</f>
        <v>2.039903433956388</v>
      </c>
      <c r="K168" s="148">
        <f>'Toim ja inv rahavirta'!K161/'Veroposentin tuotto'!AQ161*-1</f>
        <v>5.887356454040404</v>
      </c>
      <c r="L168" s="148">
        <f>'Toim ja inv rahavirta'!L161/'Veroposentin tuotto'!AR161*-1</f>
        <v>3.3863963020669701</v>
      </c>
      <c r="M168" s="148">
        <f>'Toim ja inv rahavirta'!M161/'Veroposentin tuotto'!AS161*-1</f>
        <v>4.7851223673745364</v>
      </c>
      <c r="N168" s="148">
        <f>'Toim ja inv rahavirta'!N161/'Veroposentin tuotto'!AT161*-1</f>
        <v>5.1182021120612182</v>
      </c>
      <c r="O168" s="148">
        <f>'Toim ja inv rahavirta'!O161/'Veroposentin tuotto'!AU161*-1</f>
        <v>5.6136215188018301</v>
      </c>
      <c r="P168" s="148">
        <f>'Toim ja inv rahavirta'!P161/'Veroposentin tuotto'!AV161*-1</f>
        <v>5.1370440881624733</v>
      </c>
    </row>
    <row r="169" spans="1:16" x14ac:dyDescent="0.2">
      <c r="A169" s="34">
        <v>491</v>
      </c>
      <c r="B169" s="88" t="s">
        <v>476</v>
      </c>
      <c r="C169" s="148" t="e">
        <f>'Toim ja inv rahavirta'!C162/'Veroposentin tuotto'!AI162*-1</f>
        <v>#REF!</v>
      </c>
      <c r="D169" s="148">
        <f>'Toim ja inv rahavirta'!D162/'Veroposentin tuotto'!AJ162*-1</f>
        <v>0.98923916965907266</v>
      </c>
      <c r="E169" s="148">
        <f>'Toim ja inv rahavirta'!E162/'Veroposentin tuotto'!AK162*-1</f>
        <v>0.37658323147508455</v>
      </c>
      <c r="F169" s="148">
        <f>'Toim ja inv rahavirta'!F162/'Veroposentin tuotto'!AL162*-1</f>
        <v>3.7457841609808802</v>
      </c>
      <c r="G169" s="148">
        <f>'Toim ja inv rahavirta'!G162/'Veroposentin tuotto'!AM162*-1</f>
        <v>4.00375010278277</v>
      </c>
      <c r="H169" s="148">
        <f>'Toim ja inv rahavirta'!H162/'Veroposentin tuotto'!AN162*-1</f>
        <v>1.5421602574247386</v>
      </c>
      <c r="I169" s="148">
        <f>'Toim ja inv rahavirta'!I162/'Veroposentin tuotto'!AO162*-1</f>
        <v>-0.10846414443192182</v>
      </c>
      <c r="J169" s="148">
        <f>'Toim ja inv rahavirta'!J162/'Veroposentin tuotto'!AP162*-1</f>
        <v>0.37301922653792724</v>
      </c>
      <c r="K169" s="148">
        <f>'Toim ja inv rahavirta'!K162/'Veroposentin tuotto'!AQ162*-1</f>
        <v>-0.571135161112308</v>
      </c>
      <c r="L169" s="148">
        <f>'Toim ja inv rahavirta'!L162/'Veroposentin tuotto'!AR162*-1</f>
        <v>1.1650705631264051</v>
      </c>
      <c r="M169" s="148">
        <f>'Toim ja inv rahavirta'!M162/'Veroposentin tuotto'!AS162*-1</f>
        <v>1.0385888199886626</v>
      </c>
      <c r="N169" s="148">
        <f>'Toim ja inv rahavirta'!N162/'Veroposentin tuotto'!AT162*-1</f>
        <v>0.90941496286552814</v>
      </c>
      <c r="O169" s="148">
        <f>'Toim ja inv rahavirta'!O162/'Veroposentin tuotto'!AU162*-1</f>
        <v>0.88962683265840425</v>
      </c>
      <c r="P169" s="148">
        <f>'Toim ja inv rahavirta'!P162/'Veroposentin tuotto'!AV162*-1</f>
        <v>0.40683706789640578</v>
      </c>
    </row>
    <row r="170" spans="1:16" x14ac:dyDescent="0.2">
      <c r="A170" s="34">
        <v>494</v>
      </c>
      <c r="B170" s="88" t="s">
        <v>477</v>
      </c>
      <c r="C170" s="148" t="e">
        <f>'Toim ja inv rahavirta'!C163/'Veroposentin tuotto'!AI163*-1</f>
        <v>#REF!</v>
      </c>
      <c r="D170" s="148">
        <f>'Toim ja inv rahavirta'!D163/'Veroposentin tuotto'!AJ163*-1</f>
        <v>0.30419833514296057</v>
      </c>
      <c r="E170" s="148">
        <f>'Toim ja inv rahavirta'!E163/'Veroposentin tuotto'!AK163*-1</f>
        <v>1.3061874249098919</v>
      </c>
      <c r="F170" s="148">
        <f>'Toim ja inv rahavirta'!F163/'Veroposentin tuotto'!AL163*-1</f>
        <v>0.64590163934426226</v>
      </c>
      <c r="G170" s="148">
        <f>'Toim ja inv rahavirta'!G163/'Veroposentin tuotto'!AM163*-1</f>
        <v>6.4025555471297491</v>
      </c>
      <c r="H170" s="148">
        <f>'Toim ja inv rahavirta'!H163/'Veroposentin tuotto'!AN163*-1</f>
        <v>0.42371582332560448</v>
      </c>
      <c r="I170" s="148">
        <f>'Toim ja inv rahavirta'!I163/'Veroposentin tuotto'!AO163*-1</f>
        <v>1.1430866808642961</v>
      </c>
      <c r="J170" s="148">
        <f>'Toim ja inv rahavirta'!J163/'Veroposentin tuotto'!AP163*-1</f>
        <v>0.56162171394614635</v>
      </c>
      <c r="K170" s="148">
        <f>'Toim ja inv rahavirta'!K163/'Veroposentin tuotto'!AQ163*-1</f>
        <v>-0.90237653448873612</v>
      </c>
      <c r="L170" s="148">
        <f>'Toim ja inv rahavirta'!L163/'Veroposentin tuotto'!AR163*-1</f>
        <v>0.96305948632926774</v>
      </c>
      <c r="M170" s="148">
        <f>'Toim ja inv rahavirta'!M163/'Veroposentin tuotto'!AS163*-1</f>
        <v>1.7013882015112232</v>
      </c>
      <c r="N170" s="148">
        <f>'Toim ja inv rahavirta'!N163/'Veroposentin tuotto'!AT163*-1</f>
        <v>1.7029218778998161</v>
      </c>
      <c r="O170" s="148">
        <f>'Toim ja inv rahavirta'!O163/'Veroposentin tuotto'!AU163*-1</f>
        <v>1.7009619938851435</v>
      </c>
      <c r="P170" s="148">
        <f>'Toim ja inv rahavirta'!P163/'Veroposentin tuotto'!AV163*-1</f>
        <v>1.229889430918446</v>
      </c>
    </row>
    <row r="171" spans="1:16" x14ac:dyDescent="0.2">
      <c r="A171" s="34">
        <v>495</v>
      </c>
      <c r="B171" s="88" t="s">
        <v>478</v>
      </c>
      <c r="C171" s="148" t="e">
        <f>'Toim ja inv rahavirta'!C164/'Veroposentin tuotto'!AI164*-1</f>
        <v>#REF!</v>
      </c>
      <c r="D171" s="148">
        <f>'Toim ja inv rahavirta'!D164/'Veroposentin tuotto'!AJ164*-1</f>
        <v>-2.424623706491063</v>
      </c>
      <c r="E171" s="148">
        <f>'Toim ja inv rahavirta'!E164/'Veroposentin tuotto'!AK164*-1</f>
        <v>-0.69525547445255476</v>
      </c>
      <c r="F171" s="148">
        <f>'Toim ja inv rahavirta'!F164/'Veroposentin tuotto'!AL164*-1</f>
        <v>-0.68431876606683806</v>
      </c>
      <c r="G171" s="148">
        <f>'Toim ja inv rahavirta'!G164/'Veroposentin tuotto'!AM164*-1</f>
        <v>-2.0684223480187054</v>
      </c>
      <c r="H171" s="148">
        <f>'Toim ja inv rahavirta'!H164/'Veroposentin tuotto'!AN164*-1</f>
        <v>3.6797805660843252</v>
      </c>
      <c r="I171" s="148">
        <f>'Toim ja inv rahavirta'!I164/'Veroposentin tuotto'!AO164*-1</f>
        <v>-5.2964071968527771</v>
      </c>
      <c r="J171" s="148">
        <f>'Toim ja inv rahavirta'!J164/'Veroposentin tuotto'!AP164*-1</f>
        <v>-1.4800749204939976</v>
      </c>
      <c r="K171" s="148">
        <f>'Toim ja inv rahavirta'!K164/'Veroposentin tuotto'!AQ164*-1</f>
        <v>2.8128261239780614</v>
      </c>
      <c r="L171" s="148">
        <f>'Toim ja inv rahavirta'!L164/'Veroposentin tuotto'!AR164*-1</f>
        <v>-1.6201983232159742</v>
      </c>
      <c r="M171" s="148">
        <f>'Toim ja inv rahavirta'!M164/'Veroposentin tuotto'!AS164*-1</f>
        <v>2.1491352153885925</v>
      </c>
      <c r="N171" s="148">
        <f>'Toim ja inv rahavirta'!N164/'Veroposentin tuotto'!AT164*-1</f>
        <v>2.8930075594088001</v>
      </c>
      <c r="O171" s="148">
        <f>'Toim ja inv rahavirta'!O164/'Veroposentin tuotto'!AU164*-1</f>
        <v>3.0906974272087497</v>
      </c>
      <c r="P171" s="148">
        <f>'Toim ja inv rahavirta'!P164/'Veroposentin tuotto'!AV164*-1</f>
        <v>2.6912958379168024</v>
      </c>
    </row>
    <row r="172" spans="1:16" x14ac:dyDescent="0.2">
      <c r="A172" s="34">
        <v>498</v>
      </c>
      <c r="B172" s="88" t="s">
        <v>479</v>
      </c>
      <c r="C172" s="148" t="e">
        <f>'Toim ja inv rahavirta'!C165/'Veroposentin tuotto'!AI165*-1</f>
        <v>#REF!</v>
      </c>
      <c r="D172" s="148">
        <f>'Toim ja inv rahavirta'!D165/'Veroposentin tuotto'!AJ165*-1</f>
        <v>1.7738500851788757</v>
      </c>
      <c r="E172" s="148">
        <f>'Toim ja inv rahavirta'!E165/'Veroposentin tuotto'!AK165*-1</f>
        <v>-2.8111158432708687</v>
      </c>
      <c r="F172" s="148">
        <f>'Toim ja inv rahavirta'!F165/'Veroposentin tuotto'!AL165*-1</f>
        <v>-0.2642561097613263</v>
      </c>
      <c r="G172" s="148">
        <f>'Toim ja inv rahavirta'!G165/'Veroposentin tuotto'!AM165*-1</f>
        <v>0.8592712893659088</v>
      </c>
      <c r="H172" s="148">
        <f>'Toim ja inv rahavirta'!H165/'Veroposentin tuotto'!AN165*-1</f>
        <v>-4.4188609658205413</v>
      </c>
      <c r="I172" s="148">
        <f>'Toim ja inv rahavirta'!I165/'Veroposentin tuotto'!AO165*-1</f>
        <v>1.2184780665258135</v>
      </c>
      <c r="J172" s="148">
        <f>'Toim ja inv rahavirta'!J165/'Veroposentin tuotto'!AP165*-1</f>
        <v>-3.9543550171772845</v>
      </c>
      <c r="K172" s="148">
        <f>'Toim ja inv rahavirta'!K165/'Veroposentin tuotto'!AQ165*-1</f>
        <v>-2.7801066658841194</v>
      </c>
      <c r="L172" s="148">
        <f>'Toim ja inv rahavirta'!L165/'Veroposentin tuotto'!AR165*-1</f>
        <v>0.86504129450410083</v>
      </c>
      <c r="M172" s="148">
        <f>'Toim ja inv rahavirta'!M165/'Veroposentin tuotto'!AS165*-1</f>
        <v>0.94235816881742829</v>
      </c>
      <c r="N172" s="148">
        <f>'Toim ja inv rahavirta'!N165/'Veroposentin tuotto'!AT165*-1</f>
        <v>1.3681992792926907</v>
      </c>
      <c r="O172" s="148">
        <f>'Toim ja inv rahavirta'!O165/'Veroposentin tuotto'!AU165*-1</f>
        <v>1.791629289120402</v>
      </c>
      <c r="P172" s="148">
        <f>'Toim ja inv rahavirta'!P165/'Veroposentin tuotto'!AV165*-1</f>
        <v>1.7160819424755815</v>
      </c>
    </row>
    <row r="173" spans="1:16" x14ac:dyDescent="0.2">
      <c r="A173" s="34">
        <v>499</v>
      </c>
      <c r="B173" s="88" t="s">
        <v>480</v>
      </c>
      <c r="C173" s="148" t="e">
        <f>'Toim ja inv rahavirta'!C166/'Veroposentin tuotto'!AI166*-1</f>
        <v>#REF!</v>
      </c>
      <c r="D173" s="148">
        <f>'Toim ja inv rahavirta'!D166/'Veroposentin tuotto'!AJ166*-1</f>
        <v>-0.10717230902777777</v>
      </c>
      <c r="E173" s="148">
        <f>'Toim ja inv rahavirta'!E166/'Veroposentin tuotto'!AK166*-1</f>
        <v>0.33480244252873564</v>
      </c>
      <c r="F173" s="148">
        <f>'Toim ja inv rahavirta'!F166/'Veroposentin tuotto'!AL166*-1</f>
        <v>5.2014652952537022</v>
      </c>
      <c r="G173" s="148">
        <f>'Toim ja inv rahavirta'!G166/'Veroposentin tuotto'!AM166*-1</f>
        <v>4.5484752424120716</v>
      </c>
      <c r="H173" s="148">
        <f>'Toim ja inv rahavirta'!H166/'Veroposentin tuotto'!AN166*-1</f>
        <v>-1.4804069817069592</v>
      </c>
      <c r="I173" s="148">
        <f>'Toim ja inv rahavirta'!I166/'Veroposentin tuotto'!AO166*-1</f>
        <v>-0.41023816456781248</v>
      </c>
      <c r="J173" s="148">
        <f>'Toim ja inv rahavirta'!J166/'Veroposentin tuotto'!AP166*-1</f>
        <v>0.83384682104987506</v>
      </c>
      <c r="K173" s="148">
        <f>'Toim ja inv rahavirta'!K166/'Veroposentin tuotto'!AQ166*-1</f>
        <v>0.87641730825389375</v>
      </c>
      <c r="L173" s="148">
        <f>'Toim ja inv rahavirta'!L166/'Veroposentin tuotto'!AR166*-1</f>
        <v>1.5685461191252847</v>
      </c>
      <c r="M173" s="148">
        <f>'Toim ja inv rahavirta'!M166/'Veroposentin tuotto'!AS166*-1</f>
        <v>2.3473068137475903</v>
      </c>
      <c r="N173" s="148">
        <f>'Toim ja inv rahavirta'!N166/'Veroposentin tuotto'!AT166*-1</f>
        <v>2.137023253940268</v>
      </c>
      <c r="O173" s="148">
        <f>'Toim ja inv rahavirta'!O166/'Veroposentin tuotto'!AU166*-1</f>
        <v>2.0709375441805298</v>
      </c>
      <c r="P173" s="148">
        <f>'Toim ja inv rahavirta'!P166/'Veroposentin tuotto'!AV166*-1</f>
        <v>1.8660444721024863</v>
      </c>
    </row>
    <row r="174" spans="1:16" x14ac:dyDescent="0.2">
      <c r="A174" s="34">
        <v>500</v>
      </c>
      <c r="B174" s="88" t="s">
        <v>481</v>
      </c>
      <c r="C174" s="148" t="e">
        <f>'Toim ja inv rahavirta'!C167/'Veroposentin tuotto'!AI167*-1</f>
        <v>#REF!</v>
      </c>
      <c r="D174" s="148">
        <f>'Toim ja inv rahavirta'!D167/'Veroposentin tuotto'!AJ167*-1</f>
        <v>-7.1233405601259236E-2</v>
      </c>
      <c r="E174" s="148">
        <f>'Toim ja inv rahavirta'!E167/'Veroposentin tuotto'!AK167*-1</f>
        <v>-0.64705452419236953</v>
      </c>
      <c r="F174" s="148">
        <f>'Toim ja inv rahavirta'!F167/'Veroposentin tuotto'!AL167*-1</f>
        <v>-1.1437537443300145</v>
      </c>
      <c r="G174" s="148">
        <f>'Toim ja inv rahavirta'!G167/'Veroposentin tuotto'!AM167*-1</f>
        <v>0.98853711790393017</v>
      </c>
      <c r="H174" s="148">
        <f>'Toim ja inv rahavirta'!H167/'Veroposentin tuotto'!AN167*-1</f>
        <v>-2.5262195416288602</v>
      </c>
      <c r="I174" s="148">
        <f>'Toim ja inv rahavirta'!I167/'Veroposentin tuotto'!AO167*-1</f>
        <v>-1.5213075334452908</v>
      </c>
      <c r="J174" s="148">
        <f>'Toim ja inv rahavirta'!J167/'Veroposentin tuotto'!AP167*-1</f>
        <v>1.1594470902808607</v>
      </c>
      <c r="K174" s="148">
        <f>'Toim ja inv rahavirta'!K167/'Veroposentin tuotto'!AQ167*-1</f>
        <v>3.694776946512055</v>
      </c>
      <c r="L174" s="148">
        <f>'Toim ja inv rahavirta'!L167/'Veroposentin tuotto'!AR167*-1</f>
        <v>0.59987640942298315</v>
      </c>
      <c r="M174" s="148">
        <f>'Toim ja inv rahavirta'!M167/'Veroposentin tuotto'!AS167*-1</f>
        <v>2.1695211101936276</v>
      </c>
      <c r="N174" s="148">
        <f>'Toim ja inv rahavirta'!N167/'Veroposentin tuotto'!AT167*-1</f>
        <v>2.2784377546761982</v>
      </c>
      <c r="O174" s="148">
        <f>'Toim ja inv rahavirta'!O167/'Veroposentin tuotto'!AU167*-1</f>
        <v>2.3581611681939783</v>
      </c>
      <c r="P174" s="148">
        <f>'Toim ja inv rahavirta'!P167/'Veroposentin tuotto'!AV167*-1</f>
        <v>2.2493623240056837</v>
      </c>
    </row>
    <row r="175" spans="1:16" x14ac:dyDescent="0.2">
      <c r="A175" s="34">
        <v>503</v>
      </c>
      <c r="B175" s="88" t="s">
        <v>482</v>
      </c>
      <c r="C175" s="148" t="e">
        <f>'Toim ja inv rahavirta'!C168/'Veroposentin tuotto'!AI168*-1</f>
        <v>#REF!</v>
      </c>
      <c r="D175" s="148">
        <f>'Toim ja inv rahavirta'!D168/'Veroposentin tuotto'!AJ168*-1</f>
        <v>-0.55308079986993985</v>
      </c>
      <c r="E175" s="148">
        <f>'Toim ja inv rahavirta'!E168/'Veroposentin tuotto'!AK168*-1</f>
        <v>-5.9074758554906408</v>
      </c>
      <c r="F175" s="148">
        <f>'Toim ja inv rahavirta'!F168/'Veroposentin tuotto'!AL168*-1</f>
        <v>3.5780933062880322</v>
      </c>
      <c r="G175" s="148">
        <f>'Toim ja inv rahavirta'!G168/'Veroposentin tuotto'!AM168*-1</f>
        <v>9.9461481844946018</v>
      </c>
      <c r="H175" s="148">
        <f>'Toim ja inv rahavirta'!H168/'Veroposentin tuotto'!AN168*-1</f>
        <v>3.0044515987614617</v>
      </c>
      <c r="I175" s="148">
        <f>'Toim ja inv rahavirta'!I168/'Veroposentin tuotto'!AO168*-1</f>
        <v>4.1123705740209449</v>
      </c>
      <c r="J175" s="148">
        <f>'Toim ja inv rahavirta'!J168/'Veroposentin tuotto'!AP168*-1</f>
        <v>2.37662401572145</v>
      </c>
      <c r="K175" s="148">
        <f>'Toim ja inv rahavirta'!K168/'Veroposentin tuotto'!AQ168*-1</f>
        <v>0.79839522952111142</v>
      </c>
      <c r="L175" s="148">
        <f>'Toim ja inv rahavirta'!L168/'Veroposentin tuotto'!AR168*-1</f>
        <v>2.4019310787161117</v>
      </c>
      <c r="M175" s="148">
        <f>'Toim ja inv rahavirta'!M168/'Veroposentin tuotto'!AS168*-1</f>
        <v>2.2504380423946793</v>
      </c>
      <c r="N175" s="148">
        <f>'Toim ja inv rahavirta'!N168/'Veroposentin tuotto'!AT168*-1</f>
        <v>2.2438490126053146</v>
      </c>
      <c r="O175" s="148">
        <f>'Toim ja inv rahavirta'!O168/'Veroposentin tuotto'!AU168*-1</f>
        <v>2.2802873587058139</v>
      </c>
      <c r="P175" s="148">
        <f>'Toim ja inv rahavirta'!P168/'Veroposentin tuotto'!AV168*-1</f>
        <v>1.8946855724036817</v>
      </c>
    </row>
    <row r="176" spans="1:16" x14ac:dyDescent="0.2">
      <c r="A176" s="34">
        <v>504</v>
      </c>
      <c r="B176" s="88" t="s">
        <v>483</v>
      </c>
      <c r="C176" s="148" t="e">
        <f>'Toim ja inv rahavirta'!C169/'Veroposentin tuotto'!AI169*-1</f>
        <v>#REF!</v>
      </c>
      <c r="D176" s="148">
        <f>'Toim ja inv rahavirta'!D169/'Veroposentin tuotto'!AJ169*-1</f>
        <v>-0.77363050483351237</v>
      </c>
      <c r="E176" s="148">
        <f>'Toim ja inv rahavirta'!E169/'Veroposentin tuotto'!AK169*-1</f>
        <v>-0.31967361740707162</v>
      </c>
      <c r="F176" s="148">
        <f>'Toim ja inv rahavirta'!F169/'Veroposentin tuotto'!AL169*-1</f>
        <v>-2.9195628806879252</v>
      </c>
      <c r="G176" s="148">
        <f>'Toim ja inv rahavirta'!G169/'Veroposentin tuotto'!AM169*-1</f>
        <v>-1.1090972464273265</v>
      </c>
      <c r="H176" s="148">
        <f>'Toim ja inv rahavirta'!H169/'Veroposentin tuotto'!AN169*-1</f>
        <v>16.774608857542709</v>
      </c>
      <c r="I176" s="148">
        <f>'Toim ja inv rahavirta'!I169/'Veroposentin tuotto'!AO169*-1</f>
        <v>8.018399587533672</v>
      </c>
      <c r="J176" s="148">
        <f>'Toim ja inv rahavirta'!J169/'Veroposentin tuotto'!AP169*-1</f>
        <v>7.5121763333452263</v>
      </c>
      <c r="K176" s="148">
        <f>'Toim ja inv rahavirta'!K169/'Veroposentin tuotto'!AQ169*-1</f>
        <v>8.4939790148820897</v>
      </c>
      <c r="L176" s="148">
        <f>'Toim ja inv rahavirta'!L169/'Veroposentin tuotto'!AR169*-1</f>
        <v>3.855191090566942</v>
      </c>
      <c r="M176" s="148">
        <f>'Toim ja inv rahavirta'!M169/'Veroposentin tuotto'!AS169*-1</f>
        <v>7.6308448929882582</v>
      </c>
      <c r="N176" s="148">
        <f>'Toim ja inv rahavirta'!N169/'Veroposentin tuotto'!AT169*-1</f>
        <v>7.6059801765133628</v>
      </c>
      <c r="O176" s="148">
        <f>'Toim ja inv rahavirta'!O169/'Veroposentin tuotto'!AU169*-1</f>
        <v>7.8589340811983375</v>
      </c>
      <c r="P176" s="148">
        <f>'Toim ja inv rahavirta'!P169/'Veroposentin tuotto'!AV169*-1</f>
        <v>7.3847553611396748</v>
      </c>
    </row>
    <row r="177" spans="1:16" x14ac:dyDescent="0.2">
      <c r="A177" s="34">
        <v>505</v>
      </c>
      <c r="B177" s="88" t="s">
        <v>484</v>
      </c>
      <c r="C177" s="148" t="e">
        <f>'Toim ja inv rahavirta'!C170/'Veroposentin tuotto'!AI170*-1</f>
        <v>#REF!</v>
      </c>
      <c r="D177" s="148">
        <f>'Toim ja inv rahavirta'!D170/'Veroposentin tuotto'!AJ170*-1</f>
        <v>0.22747112591227947</v>
      </c>
      <c r="E177" s="148">
        <f>'Toim ja inv rahavirta'!E170/'Veroposentin tuotto'!AK170*-1</f>
        <v>1.8567335243553009</v>
      </c>
      <c r="F177" s="148">
        <f>'Toim ja inv rahavirta'!F170/'Veroposentin tuotto'!AL170*-1</f>
        <v>4.2239083484703288</v>
      </c>
      <c r="G177" s="148">
        <f>'Toim ja inv rahavirta'!G170/'Veroposentin tuotto'!AM170*-1</f>
        <v>2.8724375609287254</v>
      </c>
      <c r="H177" s="148">
        <f>'Toim ja inv rahavirta'!H170/'Veroposentin tuotto'!AN170*-1</f>
        <v>-2.806739280569456</v>
      </c>
      <c r="I177" s="148">
        <f>'Toim ja inv rahavirta'!I170/'Veroposentin tuotto'!AO170*-1</f>
        <v>-2.3829848836581609</v>
      </c>
      <c r="J177" s="148">
        <f>'Toim ja inv rahavirta'!J170/'Veroposentin tuotto'!AP170*-1</f>
        <v>5.8215892755935895E-2</v>
      </c>
      <c r="K177" s="148">
        <f>'Toim ja inv rahavirta'!K170/'Veroposentin tuotto'!AQ170*-1</f>
        <v>-0.82266641731520551</v>
      </c>
      <c r="L177" s="148">
        <f>'Toim ja inv rahavirta'!L170/'Veroposentin tuotto'!AR170*-1</f>
        <v>-0.60474752866258497</v>
      </c>
      <c r="M177" s="148">
        <f>'Toim ja inv rahavirta'!M170/'Veroposentin tuotto'!AS170*-1</f>
        <v>-0.25365066528495617</v>
      </c>
      <c r="N177" s="148">
        <f>'Toim ja inv rahavirta'!N170/'Veroposentin tuotto'!AT170*-1</f>
        <v>-7.5150323742978864E-2</v>
      </c>
      <c r="O177" s="148">
        <f>'Toim ja inv rahavirta'!O170/'Veroposentin tuotto'!AU170*-1</f>
        <v>-9.4356440490365845E-2</v>
      </c>
      <c r="P177" s="148">
        <f>'Toim ja inv rahavirta'!P170/'Veroposentin tuotto'!AV170*-1</f>
        <v>-0.26144463037119381</v>
      </c>
    </row>
    <row r="178" spans="1:16" x14ac:dyDescent="0.2">
      <c r="A178" s="34">
        <v>507</v>
      </c>
      <c r="B178" s="88" t="s">
        <v>485</v>
      </c>
      <c r="C178" s="148" t="e">
        <f>'Toim ja inv rahavirta'!C171/'Veroposentin tuotto'!AI171*-1</f>
        <v>#REF!</v>
      </c>
      <c r="D178" s="148">
        <f>'Toim ja inv rahavirta'!D171/'Veroposentin tuotto'!AJ171*-1</f>
        <v>1.7311211712579464</v>
      </c>
      <c r="E178" s="148">
        <f>'Toim ja inv rahavirta'!E171/'Veroposentin tuotto'!AK171*-1</f>
        <v>-3.1579886984600098</v>
      </c>
      <c r="F178" s="148">
        <f>'Toim ja inv rahavirta'!F171/'Veroposentin tuotto'!AL171*-1</f>
        <v>-0.43598233995584984</v>
      </c>
      <c r="G178" s="148">
        <f>'Toim ja inv rahavirta'!G171/'Veroposentin tuotto'!AM171*-1</f>
        <v>5.6601997694967343</v>
      </c>
      <c r="H178" s="148">
        <f>'Toim ja inv rahavirta'!H171/'Veroposentin tuotto'!AN171*-1</f>
        <v>2.0663813750145792</v>
      </c>
      <c r="I178" s="148">
        <f>'Toim ja inv rahavirta'!I171/'Veroposentin tuotto'!AO171*-1</f>
        <v>1.0435984609405307</v>
      </c>
      <c r="J178" s="148">
        <f>'Toim ja inv rahavirta'!J171/'Veroposentin tuotto'!AP171*-1</f>
        <v>-2.3832970023668518</v>
      </c>
      <c r="K178" s="148">
        <f>'Toim ja inv rahavirta'!K171/'Veroposentin tuotto'!AQ171*-1</f>
        <v>-1.6870055058721374</v>
      </c>
      <c r="L178" s="148">
        <f>'Toim ja inv rahavirta'!L171/'Veroposentin tuotto'!AR171*-1</f>
        <v>1.1496983712890356</v>
      </c>
      <c r="M178" s="148">
        <f>'Toim ja inv rahavirta'!M171/'Veroposentin tuotto'!AS171*-1</f>
        <v>1.3635355634956012</v>
      </c>
      <c r="N178" s="148">
        <f>'Toim ja inv rahavirta'!N171/'Veroposentin tuotto'!AT171*-1</f>
        <v>1.9448541909932586</v>
      </c>
      <c r="O178" s="148">
        <f>'Toim ja inv rahavirta'!O171/'Veroposentin tuotto'!AU171*-1</f>
        <v>2.5653873038131101</v>
      </c>
      <c r="P178" s="148">
        <f>'Toim ja inv rahavirta'!P171/'Veroposentin tuotto'!AV171*-1</f>
        <v>1.765327659524772</v>
      </c>
    </row>
    <row r="179" spans="1:16" x14ac:dyDescent="0.2">
      <c r="A179" s="34">
        <v>508</v>
      </c>
      <c r="B179" s="88" t="s">
        <v>486</v>
      </c>
      <c r="C179" s="148" t="e">
        <f>'Toim ja inv rahavirta'!C172/'Veroposentin tuotto'!AI172*-1</f>
        <v>#REF!</v>
      </c>
      <c r="D179" s="148">
        <f>'Toim ja inv rahavirta'!D172/'Veroposentin tuotto'!AJ172*-1</f>
        <v>2.0109389243391065</v>
      </c>
      <c r="E179" s="148">
        <f>'Toim ja inv rahavirta'!E172/'Veroposentin tuotto'!AK172*-1</f>
        <v>0.80949445129469788</v>
      </c>
      <c r="F179" s="148">
        <f>'Toim ja inv rahavirta'!F172/'Veroposentin tuotto'!AL172*-1</f>
        <v>4.9000644745325596E-2</v>
      </c>
      <c r="G179" s="148">
        <f>'Toim ja inv rahavirta'!G172/'Veroposentin tuotto'!AM172*-1</f>
        <v>0.84345047923322691</v>
      </c>
      <c r="H179" s="148">
        <f>'Toim ja inv rahavirta'!H172/'Veroposentin tuotto'!AN172*-1</f>
        <v>-1.066666473306221</v>
      </c>
      <c r="I179" s="148">
        <f>'Toim ja inv rahavirta'!I172/'Veroposentin tuotto'!AO172*-1</f>
        <v>-1.0240772053390506</v>
      </c>
      <c r="J179" s="148">
        <f>'Toim ja inv rahavirta'!J172/'Veroposentin tuotto'!AP172*-1</f>
        <v>-0.70290770060498453</v>
      </c>
      <c r="K179" s="148">
        <f>'Toim ja inv rahavirta'!K172/'Veroposentin tuotto'!AQ172*-1</f>
        <v>-2.0348232481346042</v>
      </c>
      <c r="L179" s="148">
        <f>'Toim ja inv rahavirta'!L172/'Veroposentin tuotto'!AR172*-1</f>
        <v>-2.5856629761816139</v>
      </c>
      <c r="M179" s="148">
        <f>'Toim ja inv rahavirta'!M172/'Veroposentin tuotto'!AS172*-1</f>
        <v>-1.9088791954201703</v>
      </c>
      <c r="N179" s="148">
        <f>'Toim ja inv rahavirta'!N172/'Veroposentin tuotto'!AT172*-1</f>
        <v>-0.99066699345473774</v>
      </c>
      <c r="O179" s="148">
        <f>'Toim ja inv rahavirta'!O172/'Veroposentin tuotto'!AU172*-1</f>
        <v>-1.2381159968336743</v>
      </c>
      <c r="P179" s="148">
        <f>'Toim ja inv rahavirta'!P172/'Veroposentin tuotto'!AV172*-1</f>
        <v>-1.967160324587619</v>
      </c>
    </row>
    <row r="180" spans="1:16" x14ac:dyDescent="0.2">
      <c r="A180" s="34">
        <v>529</v>
      </c>
      <c r="B180" s="88" t="s">
        <v>487</v>
      </c>
      <c r="C180" s="148" t="e">
        <f>'Toim ja inv rahavirta'!C173/'Veroposentin tuotto'!AI173*-1</f>
        <v>#REF!</v>
      </c>
      <c r="D180" s="148">
        <f>'Toim ja inv rahavirta'!D173/'Veroposentin tuotto'!AJ173*-1</f>
        <v>-0.65105361238532111</v>
      </c>
      <c r="E180" s="148">
        <f>'Toim ja inv rahavirta'!E173/'Veroposentin tuotto'!AK173*-1</f>
        <v>-1.2553552551048797</v>
      </c>
      <c r="F180" s="148">
        <f>'Toim ja inv rahavirta'!F173/'Veroposentin tuotto'!AL173*-1</f>
        <v>-0.39064270681560631</v>
      </c>
      <c r="G180" s="148">
        <f>'Toim ja inv rahavirta'!G173/'Veroposentin tuotto'!AM173*-1</f>
        <v>-0.56477817543385778</v>
      </c>
      <c r="H180" s="148">
        <f>'Toim ja inv rahavirta'!H173/'Veroposentin tuotto'!AN173*-1</f>
        <v>-1.0826805592244284</v>
      </c>
      <c r="I180" s="148">
        <f>'Toim ja inv rahavirta'!I173/'Veroposentin tuotto'!AO173*-1</f>
        <v>-0.92205979612602285</v>
      </c>
      <c r="J180" s="148">
        <f>'Toim ja inv rahavirta'!J173/'Veroposentin tuotto'!AP173*-1</f>
        <v>0.25679514896843531</v>
      </c>
      <c r="K180" s="148">
        <f>'Toim ja inv rahavirta'!K173/'Veroposentin tuotto'!AQ173*-1</f>
        <v>-1.1724985777666797</v>
      </c>
      <c r="L180" s="148">
        <f>'Toim ja inv rahavirta'!L173/'Veroposentin tuotto'!AR173*-1</f>
        <v>0.25173738039010096</v>
      </c>
      <c r="M180" s="148">
        <f>'Toim ja inv rahavirta'!M173/'Veroposentin tuotto'!AS173*-1</f>
        <v>0.35723483747255225</v>
      </c>
      <c r="N180" s="148">
        <f>'Toim ja inv rahavirta'!N173/'Veroposentin tuotto'!AT173*-1</f>
        <v>0.72429421922204595</v>
      </c>
      <c r="O180" s="148">
        <f>'Toim ja inv rahavirta'!O173/'Veroposentin tuotto'!AU173*-1</f>
        <v>0.81654359060645998</v>
      </c>
      <c r="P180" s="148">
        <f>'Toim ja inv rahavirta'!P173/'Veroposentin tuotto'!AV173*-1</f>
        <v>0.69912132504388536</v>
      </c>
    </row>
    <row r="181" spans="1:16" x14ac:dyDescent="0.2">
      <c r="A181" s="34">
        <v>531</v>
      </c>
      <c r="B181" s="88" t="s">
        <v>488</v>
      </c>
      <c r="C181" s="148" t="e">
        <f>'Toim ja inv rahavirta'!C174/'Veroposentin tuotto'!AI174*-1</f>
        <v>#REF!</v>
      </c>
      <c r="D181" s="148">
        <f>'Toim ja inv rahavirta'!D174/'Veroposentin tuotto'!AJ174*-1</f>
        <v>-2.0522366850451883</v>
      </c>
      <c r="E181" s="148">
        <f>'Toim ja inv rahavirta'!E174/'Veroposentin tuotto'!AK174*-1</f>
        <v>1.5264864384697383</v>
      </c>
      <c r="F181" s="148">
        <f>'Toim ja inv rahavirta'!F174/'Veroposentin tuotto'!AL174*-1</f>
        <v>3.8872249740813274</v>
      </c>
      <c r="G181" s="148">
        <f>'Toim ja inv rahavirta'!G174/'Veroposentin tuotto'!AM174*-1</f>
        <v>0.70413914825780011</v>
      </c>
      <c r="H181" s="148">
        <f>'Toim ja inv rahavirta'!H174/'Veroposentin tuotto'!AN174*-1</f>
        <v>-1.9053675845035678</v>
      </c>
      <c r="I181" s="148">
        <f>'Toim ja inv rahavirta'!I174/'Veroposentin tuotto'!AO174*-1</f>
        <v>7.670243374332455E-3</v>
      </c>
      <c r="J181" s="148">
        <f>'Toim ja inv rahavirta'!J174/'Veroposentin tuotto'!AP174*-1</f>
        <v>-2.4300307452667274</v>
      </c>
      <c r="K181" s="148">
        <f>'Toim ja inv rahavirta'!K174/'Veroposentin tuotto'!AQ174*-1</f>
        <v>-2.7078641879994945</v>
      </c>
      <c r="L181" s="148">
        <f>'Toim ja inv rahavirta'!L174/'Veroposentin tuotto'!AR174*-1</f>
        <v>1.8082666511429359</v>
      </c>
      <c r="M181" s="148">
        <f>'Toim ja inv rahavirta'!M174/'Veroposentin tuotto'!AS174*-1</f>
        <v>2.7798579834450008</v>
      </c>
      <c r="N181" s="148">
        <f>'Toim ja inv rahavirta'!N174/'Veroposentin tuotto'!AT174*-1</f>
        <v>2.782113925917475</v>
      </c>
      <c r="O181" s="148">
        <f>'Toim ja inv rahavirta'!O174/'Veroposentin tuotto'!AU174*-1</f>
        <v>3.0504262663447448</v>
      </c>
      <c r="P181" s="148">
        <f>'Toim ja inv rahavirta'!P174/'Veroposentin tuotto'!AV174*-1</f>
        <v>2.4778323025848001</v>
      </c>
    </row>
    <row r="182" spans="1:16" x14ac:dyDescent="0.2">
      <c r="A182" s="34">
        <v>535</v>
      </c>
      <c r="B182" s="88" t="s">
        <v>489</v>
      </c>
      <c r="C182" s="148" t="e">
        <f>'Toim ja inv rahavirta'!C175/'Veroposentin tuotto'!AI175*-1</f>
        <v>#REF!</v>
      </c>
      <c r="D182" s="148">
        <f>'Toim ja inv rahavirta'!D175/'Veroposentin tuotto'!AJ175*-1</f>
        <v>-0.21598463583985819</v>
      </c>
      <c r="E182" s="148">
        <f>'Toim ja inv rahavirta'!E175/'Veroposentin tuotto'!AK175*-1</f>
        <v>-0.51059754851889683</v>
      </c>
      <c r="F182" s="148">
        <f>'Toim ja inv rahavirta'!F175/'Veroposentin tuotto'!AL175*-1</f>
        <v>3.2476516882457478</v>
      </c>
      <c r="G182" s="148">
        <f>'Toim ja inv rahavirta'!G175/'Veroposentin tuotto'!AM175*-1</f>
        <v>1.3239582256229967</v>
      </c>
      <c r="H182" s="148">
        <f>'Toim ja inv rahavirta'!H175/'Veroposentin tuotto'!AN175*-1</f>
        <v>3.9517128650725798E-2</v>
      </c>
      <c r="I182" s="148">
        <f>'Toim ja inv rahavirta'!I175/'Veroposentin tuotto'!AO175*-1</f>
        <v>-0.47275780742252738</v>
      </c>
      <c r="J182" s="148">
        <f>'Toim ja inv rahavirta'!J175/'Veroposentin tuotto'!AP175*-1</f>
        <v>5.0512080471983545</v>
      </c>
      <c r="K182" s="148">
        <f>'Toim ja inv rahavirta'!K175/'Veroposentin tuotto'!AQ175*-1</f>
        <v>1.817479777326573</v>
      </c>
      <c r="L182" s="148">
        <f>'Toim ja inv rahavirta'!L175/'Veroposentin tuotto'!AR175*-1</f>
        <v>2.3272719820919678</v>
      </c>
      <c r="M182" s="148">
        <f>'Toim ja inv rahavirta'!M175/'Veroposentin tuotto'!AS175*-1</f>
        <v>2.5671928918418212</v>
      </c>
      <c r="N182" s="148">
        <f>'Toim ja inv rahavirta'!N175/'Veroposentin tuotto'!AT175*-1</f>
        <v>2.0773315956163545</v>
      </c>
      <c r="O182" s="148">
        <f>'Toim ja inv rahavirta'!O175/'Veroposentin tuotto'!AU175*-1</f>
        <v>2.0174112108217348</v>
      </c>
      <c r="P182" s="148">
        <f>'Toim ja inv rahavirta'!P175/'Veroposentin tuotto'!AV175*-1</f>
        <v>1.3677703229870111</v>
      </c>
    </row>
    <row r="183" spans="1:16" x14ac:dyDescent="0.2">
      <c r="A183" s="34">
        <v>536</v>
      </c>
      <c r="B183" s="88" t="s">
        <v>490</v>
      </c>
      <c r="C183" s="148" t="e">
        <f>'Toim ja inv rahavirta'!C176/'Veroposentin tuotto'!AI176*-1</f>
        <v>#REF!</v>
      </c>
      <c r="D183" s="148">
        <f>'Toim ja inv rahavirta'!D176/'Veroposentin tuotto'!AJ176*-1</f>
        <v>1.4979666780602812</v>
      </c>
      <c r="E183" s="148">
        <f>'Toim ja inv rahavirta'!E176/'Veroposentin tuotto'!AK176*-1</f>
        <v>0.68270560837666994</v>
      </c>
      <c r="F183" s="148">
        <f>'Toim ja inv rahavirta'!F176/'Veroposentin tuotto'!AL176*-1</f>
        <v>-0.41170444250649824</v>
      </c>
      <c r="G183" s="148">
        <f>'Toim ja inv rahavirta'!G176/'Veroposentin tuotto'!AM176*-1</f>
        <v>1.6249252690314866</v>
      </c>
      <c r="H183" s="148">
        <f>'Toim ja inv rahavirta'!H176/'Veroposentin tuotto'!AN176*-1</f>
        <v>0.6992590964940979</v>
      </c>
      <c r="I183" s="148">
        <f>'Toim ja inv rahavirta'!I176/'Veroposentin tuotto'!AO176*-1</f>
        <v>2.0635541179580974</v>
      </c>
      <c r="J183" s="148">
        <f>'Toim ja inv rahavirta'!J176/'Veroposentin tuotto'!AP176*-1</f>
        <v>-0.49592269119795962</v>
      </c>
      <c r="K183" s="148">
        <f>'Toim ja inv rahavirta'!K176/'Veroposentin tuotto'!AQ176*-1</f>
        <v>0.28887980311969075</v>
      </c>
      <c r="L183" s="148">
        <f>'Toim ja inv rahavirta'!L176/'Veroposentin tuotto'!AR176*-1</f>
        <v>1.2122344346824134</v>
      </c>
      <c r="M183" s="148">
        <f>'Toim ja inv rahavirta'!M176/'Veroposentin tuotto'!AS176*-1</f>
        <v>1.5810537410585632</v>
      </c>
      <c r="N183" s="148">
        <f>'Toim ja inv rahavirta'!N176/'Veroposentin tuotto'!AT176*-1</f>
        <v>1.4131734719839597</v>
      </c>
      <c r="O183" s="148">
        <f>'Toim ja inv rahavirta'!O176/'Veroposentin tuotto'!AU176*-1</f>
        <v>1.4359328362050912</v>
      </c>
      <c r="P183" s="148">
        <f>'Toim ja inv rahavirta'!P176/'Veroposentin tuotto'!AV176*-1</f>
        <v>1.3018480478779397</v>
      </c>
    </row>
    <row r="184" spans="1:16" x14ac:dyDescent="0.2">
      <c r="A184" s="34">
        <v>538</v>
      </c>
      <c r="B184" s="88" t="s">
        <v>491</v>
      </c>
      <c r="C184" s="148" t="e">
        <f>'Toim ja inv rahavirta'!C177/'Veroposentin tuotto'!AI177*-1</f>
        <v>#REF!</v>
      </c>
      <c r="D184" s="148">
        <f>'Toim ja inv rahavirta'!D177/'Veroposentin tuotto'!AJ177*-1</f>
        <v>-2.8914728682170541</v>
      </c>
      <c r="E184" s="148">
        <f>'Toim ja inv rahavirta'!E177/'Veroposentin tuotto'!AK177*-1</f>
        <v>-0.71752500465925328</v>
      </c>
      <c r="F184" s="148">
        <f>'Toim ja inv rahavirta'!F177/'Veroposentin tuotto'!AL177*-1</f>
        <v>0.56551515151515153</v>
      </c>
      <c r="G184" s="148">
        <f>'Toim ja inv rahavirta'!G177/'Veroposentin tuotto'!AM177*-1</f>
        <v>4.5598027127003702</v>
      </c>
      <c r="H184" s="148">
        <f>'Toim ja inv rahavirta'!H177/'Veroposentin tuotto'!AN177*-1</f>
        <v>5.2616456030966434</v>
      </c>
      <c r="I184" s="148">
        <f>'Toim ja inv rahavirta'!I177/'Veroposentin tuotto'!AO177*-1</f>
        <v>2.7219751679936897</v>
      </c>
      <c r="J184" s="148">
        <f>'Toim ja inv rahavirta'!J177/'Veroposentin tuotto'!AP177*-1</f>
        <v>5.0678278185642613E-2</v>
      </c>
      <c r="K184" s="148">
        <f>'Toim ja inv rahavirta'!K177/'Veroposentin tuotto'!AQ177*-1</f>
        <v>1.1270798427667359</v>
      </c>
      <c r="L184" s="148">
        <f>'Toim ja inv rahavirta'!L177/'Veroposentin tuotto'!AR177*-1</f>
        <v>3.4929880688077493</v>
      </c>
      <c r="M184" s="148">
        <f>'Toim ja inv rahavirta'!M177/'Veroposentin tuotto'!AS177*-1</f>
        <v>4.6039948242626902</v>
      </c>
      <c r="N184" s="148">
        <f>'Toim ja inv rahavirta'!N177/'Veroposentin tuotto'!AT177*-1</f>
        <v>4.8017487755881989</v>
      </c>
      <c r="O184" s="148">
        <f>'Toim ja inv rahavirta'!O177/'Veroposentin tuotto'!AU177*-1</f>
        <v>5.0381044738831582</v>
      </c>
      <c r="P184" s="148">
        <f>'Toim ja inv rahavirta'!P177/'Veroposentin tuotto'!AV177*-1</f>
        <v>4.952857130739071</v>
      </c>
    </row>
    <row r="185" spans="1:16" x14ac:dyDescent="0.2">
      <c r="A185" s="34">
        <v>541</v>
      </c>
      <c r="B185" s="88" t="s">
        <v>492</v>
      </c>
      <c r="C185" s="148" t="e">
        <f>'Toim ja inv rahavirta'!C178/'Veroposentin tuotto'!AI178*-1</f>
        <v>#REF!</v>
      </c>
      <c r="D185" s="148">
        <f>'Toim ja inv rahavirta'!D178/'Veroposentin tuotto'!AJ178*-1</f>
        <v>-2.4134377167773264</v>
      </c>
      <c r="E185" s="148">
        <f>'Toim ja inv rahavirta'!E178/'Veroposentin tuotto'!AK178*-1</f>
        <v>-2.4710703953712634</v>
      </c>
      <c r="F185" s="148">
        <f>'Toim ja inv rahavirta'!F178/'Veroposentin tuotto'!AL178*-1</f>
        <v>0.26396659535955241</v>
      </c>
      <c r="G185" s="148">
        <f>'Toim ja inv rahavirta'!G178/'Veroposentin tuotto'!AM178*-1</f>
        <v>2.9482593037214886</v>
      </c>
      <c r="H185" s="148">
        <f>'Toim ja inv rahavirta'!H178/'Veroposentin tuotto'!AN178*-1</f>
        <v>-5.1550364301823945</v>
      </c>
      <c r="I185" s="148">
        <f>'Toim ja inv rahavirta'!I178/'Veroposentin tuotto'!AO178*-1</f>
        <v>-4.5099813651664267</v>
      </c>
      <c r="J185" s="148">
        <f>'Toim ja inv rahavirta'!J178/'Veroposentin tuotto'!AP178*-1</f>
        <v>-0.16037287215422899</v>
      </c>
      <c r="K185" s="148">
        <f>'Toim ja inv rahavirta'!K178/'Veroposentin tuotto'!AQ178*-1</f>
        <v>-2.1032726329676747</v>
      </c>
      <c r="L185" s="148">
        <f>'Toim ja inv rahavirta'!L178/'Veroposentin tuotto'!AR178*-1</f>
        <v>-0.87225039732668685</v>
      </c>
      <c r="M185" s="148">
        <f>'Toim ja inv rahavirta'!M178/'Veroposentin tuotto'!AS178*-1</f>
        <v>0.35833591569052947</v>
      </c>
      <c r="N185" s="148">
        <f>'Toim ja inv rahavirta'!N178/'Veroposentin tuotto'!AT178*-1</f>
        <v>0.56298205605306484</v>
      </c>
      <c r="O185" s="148">
        <f>'Toim ja inv rahavirta'!O178/'Veroposentin tuotto'!AU178*-1</f>
        <v>0.95173555547784272</v>
      </c>
      <c r="P185" s="148">
        <f>'Toim ja inv rahavirta'!P178/'Veroposentin tuotto'!AV178*-1</f>
        <v>4.5228916606185492E-2</v>
      </c>
    </row>
    <row r="186" spans="1:16" x14ac:dyDescent="0.2">
      <c r="A186" s="34">
        <v>543</v>
      </c>
      <c r="B186" s="88" t="s">
        <v>493</v>
      </c>
      <c r="C186" s="148" t="e">
        <f>'Toim ja inv rahavirta'!C179/'Veroposentin tuotto'!AI179*-1</f>
        <v>#REF!</v>
      </c>
      <c r="D186" s="148">
        <f>'Toim ja inv rahavirta'!D179/'Veroposentin tuotto'!AJ179*-1</f>
        <v>1.3164187940654097</v>
      </c>
      <c r="E186" s="148">
        <f>'Toim ja inv rahavirta'!E179/'Veroposentin tuotto'!AK179*-1</f>
        <v>1.6906467661691542</v>
      </c>
      <c r="F186" s="148">
        <f>'Toim ja inv rahavirta'!F179/'Veroposentin tuotto'!AL179*-1</f>
        <v>2.3766233766233764</v>
      </c>
      <c r="G186" s="148">
        <f>'Toim ja inv rahavirta'!G179/'Veroposentin tuotto'!AM179*-1</f>
        <v>3.5142077744942033</v>
      </c>
      <c r="H186" s="148">
        <f>'Toim ja inv rahavirta'!H179/'Veroposentin tuotto'!AN179*-1</f>
        <v>0.6777306143649181</v>
      </c>
      <c r="I186" s="148">
        <f>'Toim ja inv rahavirta'!I179/'Veroposentin tuotto'!AO179*-1</f>
        <v>-1.6724699688601823</v>
      </c>
      <c r="J186" s="148">
        <f>'Toim ja inv rahavirta'!J179/'Veroposentin tuotto'!AP179*-1</f>
        <v>0.62177756254817862</v>
      </c>
      <c r="K186" s="148">
        <f>'Toim ja inv rahavirta'!K179/'Veroposentin tuotto'!AQ179*-1</f>
        <v>-1.7902122826855225</v>
      </c>
      <c r="L186" s="148">
        <f>'Toim ja inv rahavirta'!L179/'Veroposentin tuotto'!AR179*-1</f>
        <v>0.56967207710168222</v>
      </c>
      <c r="M186" s="148">
        <f>'Toim ja inv rahavirta'!M179/'Veroposentin tuotto'!AS179*-1</f>
        <v>-0.12087649622446596</v>
      </c>
      <c r="N186" s="148">
        <f>'Toim ja inv rahavirta'!N179/'Veroposentin tuotto'!AT179*-1</f>
        <v>2.516977438522526E-2</v>
      </c>
      <c r="O186" s="148">
        <f>'Toim ja inv rahavirta'!O179/'Veroposentin tuotto'!AU179*-1</f>
        <v>0.10661976883454041</v>
      </c>
      <c r="P186" s="148">
        <f>'Toim ja inv rahavirta'!P179/'Veroposentin tuotto'!AV179*-1</f>
        <v>-3.3515901983465816E-2</v>
      </c>
    </row>
    <row r="187" spans="1:16" x14ac:dyDescent="0.2">
      <c r="A187" s="34">
        <v>545</v>
      </c>
      <c r="B187" s="88" t="s">
        <v>494</v>
      </c>
      <c r="C187" s="148" t="e">
        <f>'Toim ja inv rahavirta'!C180/'Veroposentin tuotto'!AI180*-1</f>
        <v>#REF!</v>
      </c>
      <c r="D187" s="148">
        <f>'Toim ja inv rahavirta'!D180/'Veroposentin tuotto'!AJ180*-1</f>
        <v>-1.2273566756444785</v>
      </c>
      <c r="E187" s="148">
        <f>'Toim ja inv rahavirta'!E180/'Veroposentin tuotto'!AK180*-1</f>
        <v>-1.5256751616584252</v>
      </c>
      <c r="F187" s="148">
        <f>'Toim ja inv rahavirta'!F180/'Veroposentin tuotto'!AL180*-1</f>
        <v>5.0522447996144884</v>
      </c>
      <c r="G187" s="148">
        <f>'Toim ja inv rahavirta'!G180/'Veroposentin tuotto'!AM180*-1</f>
        <v>6.442888922982509</v>
      </c>
      <c r="H187" s="148">
        <f>'Toim ja inv rahavirta'!H180/'Veroposentin tuotto'!AN180*-1</f>
        <v>1.3270119779710718</v>
      </c>
      <c r="I187" s="148">
        <f>'Toim ja inv rahavirta'!I180/'Veroposentin tuotto'!AO180*-1</f>
        <v>4.4275205757843654</v>
      </c>
      <c r="J187" s="148">
        <f>'Toim ja inv rahavirta'!J180/'Veroposentin tuotto'!AP180*-1</f>
        <v>1.0184671246104549</v>
      </c>
      <c r="K187" s="148">
        <f>'Toim ja inv rahavirta'!K180/'Veroposentin tuotto'!AQ180*-1</f>
        <v>-0.20520305085009394</v>
      </c>
      <c r="L187" s="148">
        <f>'Toim ja inv rahavirta'!L180/'Veroposentin tuotto'!AR180*-1</f>
        <v>0.72085359250683312</v>
      </c>
      <c r="M187" s="148">
        <f>'Toim ja inv rahavirta'!M180/'Veroposentin tuotto'!AS180*-1</f>
        <v>0.70874368545295297</v>
      </c>
      <c r="N187" s="148">
        <f>'Toim ja inv rahavirta'!N180/'Veroposentin tuotto'!AT180*-1</f>
        <v>1.2158263299383114</v>
      </c>
      <c r="O187" s="148">
        <f>'Toim ja inv rahavirta'!O180/'Veroposentin tuotto'!AU180*-1</f>
        <v>1.1727052068162005</v>
      </c>
      <c r="P187" s="148">
        <f>'Toim ja inv rahavirta'!P180/'Veroposentin tuotto'!AV180*-1</f>
        <v>1.0782029682361998</v>
      </c>
    </row>
    <row r="188" spans="1:16" x14ac:dyDescent="0.2">
      <c r="A188" s="34">
        <v>560</v>
      </c>
      <c r="B188" s="88" t="s">
        <v>495</v>
      </c>
      <c r="C188" s="148" t="e">
        <f>'Toim ja inv rahavirta'!C181/'Veroposentin tuotto'!AI181*-1</f>
        <v>#REF!</v>
      </c>
      <c r="D188" s="148">
        <f>'Toim ja inv rahavirta'!D181/'Veroposentin tuotto'!AJ181*-1</f>
        <v>-0.71925733847163009</v>
      </c>
      <c r="E188" s="148">
        <f>'Toim ja inv rahavirta'!E181/'Veroposentin tuotto'!AK181*-1</f>
        <v>1.912046339963092</v>
      </c>
      <c r="F188" s="148">
        <f>'Toim ja inv rahavirta'!F181/'Veroposentin tuotto'!AL181*-1</f>
        <v>4.0369749984490353</v>
      </c>
      <c r="G188" s="148">
        <f>'Toim ja inv rahavirta'!G181/'Veroposentin tuotto'!AM181*-1</f>
        <v>2.2773662255466052</v>
      </c>
      <c r="H188" s="148">
        <f>'Toim ja inv rahavirta'!H181/'Veroposentin tuotto'!AN181*-1</f>
        <v>0.78354210838219107</v>
      </c>
      <c r="I188" s="148">
        <f>'Toim ja inv rahavirta'!I181/'Veroposentin tuotto'!AO181*-1</f>
        <v>4.2749836509664503</v>
      </c>
      <c r="J188" s="148">
        <f>'Toim ja inv rahavirta'!J181/'Veroposentin tuotto'!AP181*-1</f>
        <v>2.5670641659322802</v>
      </c>
      <c r="K188" s="148">
        <f>'Toim ja inv rahavirta'!K181/'Veroposentin tuotto'!AQ181*-1</f>
        <v>-1.2070329734142391</v>
      </c>
      <c r="L188" s="148">
        <f>'Toim ja inv rahavirta'!L181/'Veroposentin tuotto'!AR181*-1</f>
        <v>1.6049789777345147</v>
      </c>
      <c r="M188" s="148">
        <f>'Toim ja inv rahavirta'!M181/'Veroposentin tuotto'!AS181*-1</f>
        <v>2.3026670476380051</v>
      </c>
      <c r="N188" s="148">
        <f>'Toim ja inv rahavirta'!N181/'Veroposentin tuotto'!AT181*-1</f>
        <v>2.4841664038989975</v>
      </c>
      <c r="O188" s="148">
        <f>'Toim ja inv rahavirta'!O181/'Veroposentin tuotto'!AU181*-1</f>
        <v>2.4028992968704297</v>
      </c>
      <c r="P188" s="148">
        <f>'Toim ja inv rahavirta'!P181/'Veroposentin tuotto'!AV181*-1</f>
        <v>2.0312197192937984</v>
      </c>
    </row>
    <row r="189" spans="1:16" x14ac:dyDescent="0.2">
      <c r="A189" s="34">
        <v>561</v>
      </c>
      <c r="B189" s="88" t="s">
        <v>496</v>
      </c>
      <c r="C189" s="148" t="e">
        <f>'Toim ja inv rahavirta'!C182/'Veroposentin tuotto'!AI182*-1</f>
        <v>#REF!</v>
      </c>
      <c r="D189" s="148">
        <f>'Toim ja inv rahavirta'!D182/'Veroposentin tuotto'!AJ182*-1</f>
        <v>-0.91909336535574904</v>
      </c>
      <c r="E189" s="148">
        <f>'Toim ja inv rahavirta'!E182/'Veroposentin tuotto'!AK182*-1</f>
        <v>5.1146616541353378</v>
      </c>
      <c r="F189" s="148">
        <f>'Toim ja inv rahavirta'!F182/'Veroposentin tuotto'!AL182*-1</f>
        <v>5.5487326493663245</v>
      </c>
      <c r="G189" s="148">
        <f>'Toim ja inv rahavirta'!G182/'Veroposentin tuotto'!AM182*-1</f>
        <v>-1.5436363636363635</v>
      </c>
      <c r="H189" s="148">
        <f>'Toim ja inv rahavirta'!H182/'Veroposentin tuotto'!AN182*-1</f>
        <v>-3.8274517180216203</v>
      </c>
      <c r="I189" s="148">
        <f>'Toim ja inv rahavirta'!I182/'Veroposentin tuotto'!AO182*-1</f>
        <v>-3.6523298704134941</v>
      </c>
      <c r="J189" s="148">
        <f>'Toim ja inv rahavirta'!J182/'Veroposentin tuotto'!AP182*-1</f>
        <v>-0.72716710472115997</v>
      </c>
      <c r="K189" s="148">
        <f>'Toim ja inv rahavirta'!K182/'Veroposentin tuotto'!AQ182*-1</f>
        <v>-1.559314027960687</v>
      </c>
      <c r="L189" s="148">
        <f>'Toim ja inv rahavirta'!L182/'Veroposentin tuotto'!AR182*-1</f>
        <v>-0.49665502880774559</v>
      </c>
      <c r="M189" s="148">
        <f>'Toim ja inv rahavirta'!M182/'Veroposentin tuotto'!AS182*-1</f>
        <v>0.98300520669117797</v>
      </c>
      <c r="N189" s="148">
        <f>'Toim ja inv rahavirta'!N182/'Veroposentin tuotto'!AT182*-1</f>
        <v>2.1535290009312638</v>
      </c>
      <c r="O189" s="148">
        <f>'Toim ja inv rahavirta'!O182/'Veroposentin tuotto'!AU182*-1</f>
        <v>1.8837124223953781</v>
      </c>
      <c r="P189" s="148">
        <f>'Toim ja inv rahavirta'!P182/'Veroposentin tuotto'!AV182*-1</f>
        <v>1.9449644940333615</v>
      </c>
    </row>
    <row r="190" spans="1:16" x14ac:dyDescent="0.2">
      <c r="A190" s="34">
        <v>562</v>
      </c>
      <c r="B190" s="88" t="s">
        <v>497</v>
      </c>
      <c r="C190" s="148" t="e">
        <f>'Toim ja inv rahavirta'!C183/'Veroposentin tuotto'!AI183*-1</f>
        <v>#REF!</v>
      </c>
      <c r="D190" s="148">
        <f>'Toim ja inv rahavirta'!D183/'Veroposentin tuotto'!AJ183*-1</f>
        <v>-0.16991712612581761</v>
      </c>
      <c r="E190" s="148">
        <f>'Toim ja inv rahavirta'!E183/'Veroposentin tuotto'!AK183*-1</f>
        <v>-2.0321807124239792</v>
      </c>
      <c r="F190" s="148">
        <f>'Toim ja inv rahavirta'!F183/'Veroposentin tuotto'!AL183*-1</f>
        <v>1.0966341706397211</v>
      </c>
      <c r="G190" s="148">
        <f>'Toim ja inv rahavirta'!G183/'Veroposentin tuotto'!AM183*-1</f>
        <v>1.6265453535213223</v>
      </c>
      <c r="H190" s="148">
        <f>'Toim ja inv rahavirta'!H183/'Veroposentin tuotto'!AN183*-1</f>
        <v>-2.3434330332270368</v>
      </c>
      <c r="I190" s="148">
        <f>'Toim ja inv rahavirta'!I183/'Veroposentin tuotto'!AO183*-1</f>
        <v>-0.7949316645353155</v>
      </c>
      <c r="J190" s="148">
        <f>'Toim ja inv rahavirta'!J183/'Veroposentin tuotto'!AP183*-1</f>
        <v>0.16308938141454213</v>
      </c>
      <c r="K190" s="148">
        <f>'Toim ja inv rahavirta'!K183/'Veroposentin tuotto'!AQ183*-1</f>
        <v>0.47241435036094687</v>
      </c>
      <c r="L190" s="148">
        <f>'Toim ja inv rahavirta'!L183/'Veroposentin tuotto'!AR183*-1</f>
        <v>1.2754117333584776</v>
      </c>
      <c r="M190" s="148">
        <f>'Toim ja inv rahavirta'!M183/'Veroposentin tuotto'!AS183*-1</f>
        <v>0.98465671786758346</v>
      </c>
      <c r="N190" s="148">
        <f>'Toim ja inv rahavirta'!N183/'Veroposentin tuotto'!AT183*-1</f>
        <v>0.76565615107617957</v>
      </c>
      <c r="O190" s="148">
        <f>'Toim ja inv rahavirta'!O183/'Veroposentin tuotto'!AU183*-1</f>
        <v>0.90934940127657282</v>
      </c>
      <c r="P190" s="148">
        <f>'Toim ja inv rahavirta'!P183/'Veroposentin tuotto'!AV183*-1</f>
        <v>0.4167138492731407</v>
      </c>
    </row>
    <row r="191" spans="1:16" x14ac:dyDescent="0.2">
      <c r="A191" s="34">
        <v>563</v>
      </c>
      <c r="B191" s="88" t="s">
        <v>498</v>
      </c>
      <c r="C191" s="148" t="e">
        <f>'Toim ja inv rahavirta'!C184/'Veroposentin tuotto'!AI184*-1</f>
        <v>#REF!</v>
      </c>
      <c r="D191" s="148">
        <f>'Toim ja inv rahavirta'!D184/'Veroposentin tuotto'!AJ184*-1</f>
        <v>2.3454335207690913</v>
      </c>
      <c r="E191" s="148">
        <f>'Toim ja inv rahavirta'!E184/'Veroposentin tuotto'!AK184*-1</f>
        <v>-0.92074080985258444</v>
      </c>
      <c r="F191" s="148">
        <f>'Toim ja inv rahavirta'!F184/'Veroposentin tuotto'!AL184*-1</f>
        <v>1.3485735877574154</v>
      </c>
      <c r="G191" s="148">
        <f>'Toim ja inv rahavirta'!G184/'Veroposentin tuotto'!AM184*-1</f>
        <v>1.4559708295350957</v>
      </c>
      <c r="H191" s="148">
        <f>'Toim ja inv rahavirta'!H184/'Veroposentin tuotto'!AN184*-1</f>
        <v>-2.2042366194701462</v>
      </c>
      <c r="I191" s="148">
        <f>'Toim ja inv rahavirta'!I184/'Veroposentin tuotto'!AO184*-1</f>
        <v>0.54530296145124102</v>
      </c>
      <c r="J191" s="148">
        <f>'Toim ja inv rahavirta'!J184/'Veroposentin tuotto'!AP184*-1</f>
        <v>4.3315319275956625</v>
      </c>
      <c r="K191" s="148">
        <f>'Toim ja inv rahavirta'!K184/'Veroposentin tuotto'!AQ184*-1</f>
        <v>0.29631253312607186</v>
      </c>
      <c r="L191" s="148">
        <f>'Toim ja inv rahavirta'!L184/'Veroposentin tuotto'!AR184*-1</f>
        <v>0.82144638600379749</v>
      </c>
      <c r="M191" s="148">
        <f>'Toim ja inv rahavirta'!M184/'Veroposentin tuotto'!AS184*-1</f>
        <v>3.0497974851698757</v>
      </c>
      <c r="N191" s="148">
        <f>'Toim ja inv rahavirta'!N184/'Veroposentin tuotto'!AT184*-1</f>
        <v>2.8303550472143781</v>
      </c>
      <c r="O191" s="148">
        <f>'Toim ja inv rahavirta'!O184/'Veroposentin tuotto'!AU184*-1</f>
        <v>2.7232550474172124</v>
      </c>
      <c r="P191" s="148">
        <f>'Toim ja inv rahavirta'!P184/'Veroposentin tuotto'!AV184*-1</f>
        <v>2.0651399537346831</v>
      </c>
    </row>
    <row r="192" spans="1:16" x14ac:dyDescent="0.2">
      <c r="A192" s="34">
        <v>564</v>
      </c>
      <c r="B192" s="88" t="s">
        <v>499</v>
      </c>
      <c r="C192" s="148" t="e">
        <f>'Toim ja inv rahavirta'!C185/'Veroposentin tuotto'!AI185*-1</f>
        <v>#REF!</v>
      </c>
      <c r="D192" s="148">
        <f>'Toim ja inv rahavirta'!D185/'Veroposentin tuotto'!AJ185*-1</f>
        <v>1.0342689069052615</v>
      </c>
      <c r="E192" s="148">
        <f>'Toim ja inv rahavirta'!E185/'Veroposentin tuotto'!AK185*-1</f>
        <v>-0.74652105090844656</v>
      </c>
      <c r="F192" s="148">
        <f>'Toim ja inv rahavirta'!F185/'Veroposentin tuotto'!AL185*-1</f>
        <v>1.4319570048992039</v>
      </c>
      <c r="G192" s="148">
        <f>'Toim ja inv rahavirta'!G185/'Veroposentin tuotto'!AM185*-1</f>
        <v>1.8954954332178318</v>
      </c>
      <c r="H192" s="148">
        <f>'Toim ja inv rahavirta'!H185/'Veroposentin tuotto'!AN185*-1</f>
        <v>0.49204566945705952</v>
      </c>
      <c r="I192" s="148">
        <f>'Toim ja inv rahavirta'!I185/'Veroposentin tuotto'!AO185*-1</f>
        <v>-1.1012599401567924</v>
      </c>
      <c r="J192" s="148">
        <f>'Toim ja inv rahavirta'!J185/'Veroposentin tuotto'!AP185*-1</f>
        <v>-4.5859811918334712</v>
      </c>
      <c r="K192" s="148">
        <f>'Toim ja inv rahavirta'!K185/'Veroposentin tuotto'!AQ185*-1</f>
        <v>0.63591800693318479</v>
      </c>
      <c r="L192" s="148">
        <f>'Toim ja inv rahavirta'!L185/'Veroposentin tuotto'!AR185*-1</f>
        <v>1.7291745061885684</v>
      </c>
      <c r="M192" s="148">
        <f>'Toim ja inv rahavirta'!M185/'Veroposentin tuotto'!AS185*-1</f>
        <v>2.7087769328282358</v>
      </c>
      <c r="N192" s="148">
        <f>'Toim ja inv rahavirta'!N185/'Veroposentin tuotto'!AT185*-1</f>
        <v>2.5153707960247549</v>
      </c>
      <c r="O192" s="148">
        <f>'Toim ja inv rahavirta'!O185/'Veroposentin tuotto'!AU185*-1</f>
        <v>2.4695331299624725</v>
      </c>
      <c r="P192" s="148">
        <f>'Toim ja inv rahavirta'!P185/'Veroposentin tuotto'!AV185*-1</f>
        <v>2.3249269721549015</v>
      </c>
    </row>
    <row r="193" spans="1:16" x14ac:dyDescent="0.2">
      <c r="A193" s="34">
        <v>576</v>
      </c>
      <c r="B193" s="88" t="s">
        <v>500</v>
      </c>
      <c r="C193" s="148" t="e">
        <f>'Toim ja inv rahavirta'!C186/'Veroposentin tuotto'!AI186*-1</f>
        <v>#REF!</v>
      </c>
      <c r="D193" s="148">
        <f>'Toim ja inv rahavirta'!D186/'Veroposentin tuotto'!AJ186*-1</f>
        <v>1.4282492581602373</v>
      </c>
      <c r="E193" s="148">
        <f>'Toim ja inv rahavirta'!E186/'Veroposentin tuotto'!AK186*-1</f>
        <v>-1.4187766357483078</v>
      </c>
      <c r="F193" s="148">
        <f>'Toim ja inv rahavirta'!F186/'Veroposentin tuotto'!AL186*-1</f>
        <v>0.31011567807039131</v>
      </c>
      <c r="G193" s="148">
        <f>'Toim ja inv rahavirta'!G186/'Veroposentin tuotto'!AM186*-1</f>
        <v>2.5937131630648329</v>
      </c>
      <c r="H193" s="148">
        <f>'Toim ja inv rahavirta'!H186/'Veroposentin tuotto'!AN186*-1</f>
        <v>-6.2524704355635148</v>
      </c>
      <c r="I193" s="148">
        <f>'Toim ja inv rahavirta'!I186/'Veroposentin tuotto'!AO186*-1</f>
        <v>-4.0673996332573115</v>
      </c>
      <c r="J193" s="148">
        <f>'Toim ja inv rahavirta'!J186/'Veroposentin tuotto'!AP186*-1</f>
        <v>-5.2568667603834891</v>
      </c>
      <c r="K193" s="148">
        <f>'Toim ja inv rahavirta'!K186/'Veroposentin tuotto'!AQ186*-1</f>
        <v>0.86313308192093152</v>
      </c>
      <c r="L193" s="148">
        <f>'Toim ja inv rahavirta'!L186/'Veroposentin tuotto'!AR186*-1</f>
        <v>6.2461227548450772E-2</v>
      </c>
      <c r="M193" s="148">
        <f>'Toim ja inv rahavirta'!M186/'Veroposentin tuotto'!AS186*-1</f>
        <v>1.6013523190490955</v>
      </c>
      <c r="N193" s="148">
        <f>'Toim ja inv rahavirta'!N186/'Veroposentin tuotto'!AT186*-1</f>
        <v>1.8150391116961337</v>
      </c>
      <c r="O193" s="148">
        <f>'Toim ja inv rahavirta'!O186/'Veroposentin tuotto'!AU186*-1</f>
        <v>2.1414866100165586</v>
      </c>
      <c r="P193" s="148">
        <f>'Toim ja inv rahavirta'!P186/'Veroposentin tuotto'!AV186*-1</f>
        <v>1.5977413223954513</v>
      </c>
    </row>
    <row r="194" spans="1:16" x14ac:dyDescent="0.2">
      <c r="A194" s="34">
        <v>577</v>
      </c>
      <c r="B194" s="88" t="s">
        <v>501</v>
      </c>
      <c r="C194" s="148" t="e">
        <f>'Toim ja inv rahavirta'!C187/'Veroposentin tuotto'!AI187*-1</f>
        <v>#REF!</v>
      </c>
      <c r="D194" s="148">
        <f>'Toim ja inv rahavirta'!D187/'Veroposentin tuotto'!AJ187*-1</f>
        <v>0.44989479896338486</v>
      </c>
      <c r="E194" s="148">
        <f>'Toim ja inv rahavirta'!E187/'Veroposentin tuotto'!AK187*-1</f>
        <v>-1.6114085021934406</v>
      </c>
      <c r="F194" s="148">
        <f>'Toim ja inv rahavirta'!F187/'Veroposentin tuotto'!AL187*-1</f>
        <v>2.5639335935411429</v>
      </c>
      <c r="G194" s="148">
        <f>'Toim ja inv rahavirta'!G187/'Veroposentin tuotto'!AM187*-1</f>
        <v>3.4377433617203006</v>
      </c>
      <c r="H194" s="148">
        <f>'Toim ja inv rahavirta'!H187/'Veroposentin tuotto'!AN187*-1</f>
        <v>-1.2616966712960129</v>
      </c>
      <c r="I194" s="148">
        <f>'Toim ja inv rahavirta'!I187/'Veroposentin tuotto'!AO187*-1</f>
        <v>0.1716566383771862</v>
      </c>
      <c r="J194" s="148">
        <f>'Toim ja inv rahavirta'!J187/'Veroposentin tuotto'!AP187*-1</f>
        <v>-0.22331089985953897</v>
      </c>
      <c r="K194" s="148">
        <f>'Toim ja inv rahavirta'!K187/'Veroposentin tuotto'!AQ187*-1</f>
        <v>-0.18892952324440276</v>
      </c>
      <c r="L194" s="148">
        <f>'Toim ja inv rahavirta'!L187/'Veroposentin tuotto'!AR187*-1</f>
        <v>1.3653731488507557</v>
      </c>
      <c r="M194" s="148">
        <f>'Toim ja inv rahavirta'!M187/'Veroposentin tuotto'!AS187*-1</f>
        <v>1.3519848121320979</v>
      </c>
      <c r="N194" s="148">
        <f>'Toim ja inv rahavirta'!N187/'Veroposentin tuotto'!AT187*-1</f>
        <v>1.0896731319576776</v>
      </c>
      <c r="O194" s="148">
        <f>'Toim ja inv rahavirta'!O187/'Veroposentin tuotto'!AU187*-1</f>
        <v>1.0947582408348215</v>
      </c>
      <c r="P194" s="148">
        <f>'Toim ja inv rahavirta'!P187/'Veroposentin tuotto'!AV187*-1</f>
        <v>1.0438670739544598</v>
      </c>
    </row>
    <row r="195" spans="1:16" x14ac:dyDescent="0.2">
      <c r="A195" s="34">
        <v>578</v>
      </c>
      <c r="B195" s="88" t="s">
        <v>502</v>
      </c>
      <c r="C195" s="148" t="e">
        <f>'Toim ja inv rahavirta'!C188/'Veroposentin tuotto'!AI188*-1</f>
        <v>#REF!</v>
      </c>
      <c r="D195" s="148">
        <f>'Toim ja inv rahavirta'!D188/'Veroposentin tuotto'!AJ188*-1</f>
        <v>1.620827481905585</v>
      </c>
      <c r="E195" s="148">
        <f>'Toim ja inv rahavirta'!E188/'Veroposentin tuotto'!AK188*-1</f>
        <v>1.2086361693031211</v>
      </c>
      <c r="F195" s="148">
        <f>'Toim ja inv rahavirta'!F188/'Veroposentin tuotto'!AL188*-1</f>
        <v>4.0120290512936903</v>
      </c>
      <c r="G195" s="148">
        <f>'Toim ja inv rahavirta'!G188/'Veroposentin tuotto'!AM188*-1</f>
        <v>1.452051858994964</v>
      </c>
      <c r="H195" s="148">
        <f>'Toim ja inv rahavirta'!H188/'Veroposentin tuotto'!AN188*-1</f>
        <v>1.6753321278184437</v>
      </c>
      <c r="I195" s="148">
        <f>'Toim ja inv rahavirta'!I188/'Veroposentin tuotto'!AO188*-1</f>
        <v>1.6370378979139653</v>
      </c>
      <c r="J195" s="148">
        <f>'Toim ja inv rahavirta'!J188/'Veroposentin tuotto'!AP188*-1</f>
        <v>1.2153319436927621</v>
      </c>
      <c r="K195" s="148">
        <f>'Toim ja inv rahavirta'!K188/'Veroposentin tuotto'!AQ188*-1</f>
        <v>-0.50805201773971531</v>
      </c>
      <c r="L195" s="148">
        <f>'Toim ja inv rahavirta'!L188/'Veroposentin tuotto'!AR188*-1</f>
        <v>-0.22797515013409983</v>
      </c>
      <c r="M195" s="148">
        <f>'Toim ja inv rahavirta'!M188/'Veroposentin tuotto'!AS188*-1</f>
        <v>1.9606653184066536</v>
      </c>
      <c r="N195" s="148">
        <f>'Toim ja inv rahavirta'!N188/'Veroposentin tuotto'!AT188*-1</f>
        <v>2.2901048435615357</v>
      </c>
      <c r="O195" s="148">
        <f>'Toim ja inv rahavirta'!O188/'Veroposentin tuotto'!AU188*-1</f>
        <v>2.3915894744018855</v>
      </c>
      <c r="P195" s="148">
        <f>'Toim ja inv rahavirta'!P188/'Veroposentin tuotto'!AV188*-1</f>
        <v>2.1689090077190549</v>
      </c>
    </row>
    <row r="196" spans="1:16" x14ac:dyDescent="0.2">
      <c r="A196" s="34">
        <v>580</v>
      </c>
      <c r="B196" s="88" t="s">
        <v>503</v>
      </c>
      <c r="C196" s="148" t="e">
        <f>'Toim ja inv rahavirta'!C189/'Veroposentin tuotto'!AI189*-1</f>
        <v>#REF!</v>
      </c>
      <c r="D196" s="148">
        <f>'Toim ja inv rahavirta'!D189/'Veroposentin tuotto'!AJ189*-1</f>
        <v>-0.35277136258660508</v>
      </c>
      <c r="E196" s="148">
        <f>'Toim ja inv rahavirta'!E189/'Veroposentin tuotto'!AK189*-1</f>
        <v>-0.99230406784985081</v>
      </c>
      <c r="F196" s="148">
        <f>'Toim ja inv rahavirta'!F189/'Veroposentin tuotto'!AL189*-1</f>
        <v>-4.1856019859329745</v>
      </c>
      <c r="G196" s="148">
        <f>'Toim ja inv rahavirta'!G189/'Veroposentin tuotto'!AM189*-1</f>
        <v>3.6385581471211874</v>
      </c>
      <c r="H196" s="148">
        <f>'Toim ja inv rahavirta'!H189/'Veroposentin tuotto'!AN189*-1</f>
        <v>-0.48644371176776935</v>
      </c>
      <c r="I196" s="148">
        <f>'Toim ja inv rahavirta'!I189/'Veroposentin tuotto'!AO189*-1</f>
        <v>4.5737877406372967</v>
      </c>
      <c r="J196" s="148">
        <f>'Toim ja inv rahavirta'!J189/'Veroposentin tuotto'!AP189*-1</f>
        <v>8.5058342968424583</v>
      </c>
      <c r="K196" s="148">
        <f>'Toim ja inv rahavirta'!K189/'Veroposentin tuotto'!AQ189*-1</f>
        <v>7.1241909267879899</v>
      </c>
      <c r="L196" s="148">
        <f>'Toim ja inv rahavirta'!L189/'Veroposentin tuotto'!AR189*-1</f>
        <v>3.1658030047412842</v>
      </c>
      <c r="M196" s="148">
        <f>'Toim ja inv rahavirta'!M189/'Veroposentin tuotto'!AS189*-1</f>
        <v>3.9801103425570035</v>
      </c>
      <c r="N196" s="148">
        <f>'Toim ja inv rahavirta'!N189/'Veroposentin tuotto'!AT189*-1</f>
        <v>4.3285817812613407</v>
      </c>
      <c r="O196" s="148">
        <f>'Toim ja inv rahavirta'!O189/'Veroposentin tuotto'!AU189*-1</f>
        <v>4.6876058657954944</v>
      </c>
      <c r="P196" s="148">
        <f>'Toim ja inv rahavirta'!P189/'Veroposentin tuotto'!AV189*-1</f>
        <v>4.1068249208599372</v>
      </c>
    </row>
    <row r="197" spans="1:16" x14ac:dyDescent="0.2">
      <c r="A197" s="34">
        <v>581</v>
      </c>
      <c r="B197" s="88" t="s">
        <v>504</v>
      </c>
      <c r="C197" s="148" t="e">
        <f>'Toim ja inv rahavirta'!C190/'Veroposentin tuotto'!AI190*-1</f>
        <v>#REF!</v>
      </c>
      <c r="D197" s="148">
        <f>'Toim ja inv rahavirta'!D190/'Veroposentin tuotto'!AJ190*-1</f>
        <v>2.7420851086780647</v>
      </c>
      <c r="E197" s="148">
        <f>'Toim ja inv rahavirta'!E190/'Veroposentin tuotto'!AK190*-1</f>
        <v>-1.5492949927833906</v>
      </c>
      <c r="F197" s="148">
        <f>'Toim ja inv rahavirta'!F190/'Veroposentin tuotto'!AL190*-1</f>
        <v>-2.3745687530803354</v>
      </c>
      <c r="G197" s="148">
        <f>'Toim ja inv rahavirta'!G190/'Veroposentin tuotto'!AM190*-1</f>
        <v>3.2275622466705269</v>
      </c>
      <c r="H197" s="148">
        <f>'Toim ja inv rahavirta'!H190/'Veroposentin tuotto'!AN190*-1</f>
        <v>1.1602414081684971</v>
      </c>
      <c r="I197" s="148">
        <f>'Toim ja inv rahavirta'!I190/'Veroposentin tuotto'!AO190*-1</f>
        <v>-0.32674225787334016</v>
      </c>
      <c r="J197" s="148">
        <f>'Toim ja inv rahavirta'!J190/'Veroposentin tuotto'!AP190*-1</f>
        <v>0.96294920219446078</v>
      </c>
      <c r="K197" s="148">
        <f>'Toim ja inv rahavirta'!K190/'Veroposentin tuotto'!AQ190*-1</f>
        <v>-2.7692406534056557</v>
      </c>
      <c r="L197" s="148">
        <f>'Toim ja inv rahavirta'!L190/'Veroposentin tuotto'!AR190*-1</f>
        <v>1.6028114379874707</v>
      </c>
      <c r="M197" s="148">
        <f>'Toim ja inv rahavirta'!M190/'Veroposentin tuotto'!AS190*-1</f>
        <v>0.99206588174677102</v>
      </c>
      <c r="N197" s="148">
        <f>'Toim ja inv rahavirta'!N190/'Veroposentin tuotto'!AT190*-1</f>
        <v>0.82048901471732105</v>
      </c>
      <c r="O197" s="148">
        <f>'Toim ja inv rahavirta'!O190/'Veroposentin tuotto'!AU190*-1</f>
        <v>0.86669015608309885</v>
      </c>
      <c r="P197" s="148">
        <f>'Toim ja inv rahavirta'!P190/'Veroposentin tuotto'!AV190*-1</f>
        <v>0.20153105646754596</v>
      </c>
    </row>
    <row r="198" spans="1:16" x14ac:dyDescent="0.2">
      <c r="A198" s="34">
        <v>583</v>
      </c>
      <c r="B198" s="88" t="s">
        <v>505</v>
      </c>
      <c r="C198" s="148" t="e">
        <f>'Toim ja inv rahavirta'!C191/'Veroposentin tuotto'!AI191*-1</f>
        <v>#REF!</v>
      </c>
      <c r="D198" s="148">
        <f>'Toim ja inv rahavirta'!D191/'Veroposentin tuotto'!AJ191*-1</f>
        <v>-2.4063807531380754</v>
      </c>
      <c r="E198" s="148">
        <f>'Toim ja inv rahavirta'!E191/'Veroposentin tuotto'!AK191*-1</f>
        <v>-4.7845993756503651</v>
      </c>
      <c r="F198" s="148">
        <f>'Toim ja inv rahavirta'!F191/'Veroposentin tuotto'!AL191*-1</f>
        <v>-1.0015811011904763</v>
      </c>
      <c r="G198" s="148">
        <f>'Toim ja inv rahavirta'!G191/'Veroposentin tuotto'!AM191*-1</f>
        <v>3.9996461429582451</v>
      </c>
      <c r="H198" s="148">
        <f>'Toim ja inv rahavirta'!H191/'Veroposentin tuotto'!AN191*-1</f>
        <v>8.454536216581797</v>
      </c>
      <c r="I198" s="148">
        <f>'Toim ja inv rahavirta'!I191/'Veroposentin tuotto'!AO191*-1</f>
        <v>15.208168681573866</v>
      </c>
      <c r="J198" s="148">
        <f>'Toim ja inv rahavirta'!J191/'Veroposentin tuotto'!AP191*-1</f>
        <v>6.3389659979236228</v>
      </c>
      <c r="K198" s="148">
        <f>'Toim ja inv rahavirta'!K191/'Veroposentin tuotto'!AQ191*-1</f>
        <v>-2.191436164589454</v>
      </c>
      <c r="L198" s="148">
        <f>'Toim ja inv rahavirta'!L191/'Veroposentin tuotto'!AR191*-1</f>
        <v>1.7582142948606676</v>
      </c>
      <c r="M198" s="148">
        <f>'Toim ja inv rahavirta'!M191/'Veroposentin tuotto'!AS191*-1</f>
        <v>4.6542894352694759</v>
      </c>
      <c r="N198" s="148">
        <f>'Toim ja inv rahavirta'!N191/'Veroposentin tuotto'!AT191*-1</f>
        <v>4.5811818722492452</v>
      </c>
      <c r="O198" s="148">
        <f>'Toim ja inv rahavirta'!O191/'Veroposentin tuotto'!AU191*-1</f>
        <v>5.0060233852896365</v>
      </c>
      <c r="P198" s="148">
        <f>'Toim ja inv rahavirta'!P191/'Veroposentin tuotto'!AV191*-1</f>
        <v>4.5919212772957749</v>
      </c>
    </row>
    <row r="199" spans="1:16" x14ac:dyDescent="0.2">
      <c r="A199" s="34">
        <v>584</v>
      </c>
      <c r="B199" s="88" t="s">
        <v>506</v>
      </c>
      <c r="C199" s="148" t="e">
        <f>'Toim ja inv rahavirta'!C192/'Veroposentin tuotto'!AI192*-1</f>
        <v>#REF!</v>
      </c>
      <c r="D199" s="148">
        <f>'Toim ja inv rahavirta'!D192/'Veroposentin tuotto'!AJ192*-1</f>
        <v>6.9574991795208394</v>
      </c>
      <c r="E199" s="148">
        <f>'Toim ja inv rahavirta'!E192/'Veroposentin tuotto'!AK192*-1</f>
        <v>9.4293652001826764</v>
      </c>
      <c r="F199" s="148">
        <f>'Toim ja inv rahavirta'!F192/'Veroposentin tuotto'!AL192*-1</f>
        <v>13.96064414768264</v>
      </c>
      <c r="G199" s="148">
        <f>'Toim ja inv rahavirta'!G192/'Veroposentin tuotto'!AM192*-1</f>
        <v>0.5386441788112003</v>
      </c>
      <c r="H199" s="148">
        <f>'Toim ja inv rahavirta'!H192/'Veroposentin tuotto'!AN192*-1</f>
        <v>-1.8803321212371737</v>
      </c>
      <c r="I199" s="148">
        <f>'Toim ja inv rahavirta'!I192/'Veroposentin tuotto'!AO192*-1</f>
        <v>-3.5763465267646222</v>
      </c>
      <c r="J199" s="148">
        <f>'Toim ja inv rahavirta'!J192/'Veroposentin tuotto'!AP192*-1</f>
        <v>2.0809318661344203</v>
      </c>
      <c r="K199" s="148">
        <f>'Toim ja inv rahavirta'!K192/'Veroposentin tuotto'!AQ192*-1</f>
        <v>1.8135621957969639</v>
      </c>
      <c r="L199" s="148">
        <f>'Toim ja inv rahavirta'!L192/'Veroposentin tuotto'!AR192*-1</f>
        <v>2.1212196242723182</v>
      </c>
      <c r="M199" s="148">
        <f>'Toim ja inv rahavirta'!M192/'Veroposentin tuotto'!AS192*-1</f>
        <v>5.3108817427118691</v>
      </c>
      <c r="N199" s="148">
        <f>'Toim ja inv rahavirta'!N192/'Veroposentin tuotto'!AT192*-1</f>
        <v>5.706342155849069</v>
      </c>
      <c r="O199" s="148">
        <f>'Toim ja inv rahavirta'!O192/'Veroposentin tuotto'!AU192*-1</f>
        <v>6.7897562228505226</v>
      </c>
      <c r="P199" s="148">
        <f>'Toim ja inv rahavirta'!P192/'Veroposentin tuotto'!AV192*-1</f>
        <v>6.3918939983238774</v>
      </c>
    </row>
    <row r="200" spans="1:16" x14ac:dyDescent="0.2">
      <c r="A200" s="34">
        <v>588</v>
      </c>
      <c r="B200" s="88" t="s">
        <v>507</v>
      </c>
      <c r="C200" s="148" t="e">
        <f>'Toim ja inv rahavirta'!C193/'Veroposentin tuotto'!AI193*-1</f>
        <v>#REF!</v>
      </c>
      <c r="D200" s="148">
        <f>'Toim ja inv rahavirta'!D193/'Veroposentin tuotto'!AJ193*-1</f>
        <v>2.940828402366864</v>
      </c>
      <c r="E200" s="148">
        <f>'Toim ja inv rahavirta'!E193/'Veroposentin tuotto'!AK193*-1</f>
        <v>2.2292777508482793</v>
      </c>
      <c r="F200" s="148">
        <f>'Toim ja inv rahavirta'!F193/'Veroposentin tuotto'!AL193*-1</f>
        <v>5.0532765737874099</v>
      </c>
      <c r="G200" s="148">
        <f>'Toim ja inv rahavirta'!G193/'Veroposentin tuotto'!AM193*-1</f>
        <v>2.9299620132953468</v>
      </c>
      <c r="H200" s="148">
        <f>'Toim ja inv rahavirta'!H193/'Veroposentin tuotto'!AN193*-1</f>
        <v>0.20235492151187195</v>
      </c>
      <c r="I200" s="148">
        <f>'Toim ja inv rahavirta'!I193/'Veroposentin tuotto'!AO193*-1</f>
        <v>2.941773895810976</v>
      </c>
      <c r="J200" s="148">
        <f>'Toim ja inv rahavirta'!J193/'Veroposentin tuotto'!AP193*-1</f>
        <v>-0.76147129651073331</v>
      </c>
      <c r="K200" s="148">
        <f>'Toim ja inv rahavirta'!K193/'Veroposentin tuotto'!AQ193*-1</f>
        <v>-3.1786369995905841</v>
      </c>
      <c r="L200" s="148">
        <f>'Toim ja inv rahavirta'!L193/'Veroposentin tuotto'!AR193*-1</f>
        <v>-1.833228428296136</v>
      </c>
      <c r="M200" s="148"/>
      <c r="N200" s="148"/>
      <c r="O200" s="148"/>
      <c r="P200" s="148"/>
    </row>
    <row r="201" spans="1:16" x14ac:dyDescent="0.2">
      <c r="A201" s="34">
        <v>592</v>
      </c>
      <c r="B201" s="88" t="s">
        <v>508</v>
      </c>
      <c r="C201" s="148" t="e">
        <f>'Toim ja inv rahavirta'!C194/'Veroposentin tuotto'!AI194*-1</f>
        <v>#REF!</v>
      </c>
      <c r="D201" s="148">
        <f>'Toim ja inv rahavirta'!D194/'Veroposentin tuotto'!AJ194*-1</f>
        <v>3.6799726277372264</v>
      </c>
      <c r="E201" s="148">
        <f>'Toim ja inv rahavirta'!E194/'Veroposentin tuotto'!AK194*-1</f>
        <v>0.70602480535940615</v>
      </c>
      <c r="F201" s="148">
        <f>'Toim ja inv rahavirta'!F194/'Veroposentin tuotto'!AL194*-1</f>
        <v>1.8848666053357865</v>
      </c>
      <c r="G201" s="148">
        <f>'Toim ja inv rahavirta'!G194/'Veroposentin tuotto'!AM194*-1</f>
        <v>3.4003165968072775</v>
      </c>
      <c r="H201" s="148">
        <f>'Toim ja inv rahavirta'!H194/'Veroposentin tuotto'!AN194*-1</f>
        <v>1.9659320644935538</v>
      </c>
      <c r="I201" s="148">
        <f>'Toim ja inv rahavirta'!I194/'Veroposentin tuotto'!AO194*-1</f>
        <v>2.0477670648812478</v>
      </c>
      <c r="J201" s="148">
        <f>'Toim ja inv rahavirta'!J194/'Veroposentin tuotto'!AP194*-1</f>
        <v>3.8378365658142912</v>
      </c>
      <c r="K201" s="148">
        <f>'Toim ja inv rahavirta'!K194/'Veroposentin tuotto'!AQ194*-1</f>
        <v>-0.2883106053148729</v>
      </c>
      <c r="L201" s="148">
        <f>'Toim ja inv rahavirta'!L194/'Veroposentin tuotto'!AR194*-1</f>
        <v>2.9457098553888996</v>
      </c>
      <c r="M201" s="148">
        <f>'Toim ja inv rahavirta'!M194/'Veroposentin tuotto'!AS194*-1</f>
        <v>4.0493889627378614</v>
      </c>
      <c r="N201" s="148">
        <f>'Toim ja inv rahavirta'!N194/'Veroposentin tuotto'!AT194*-1</f>
        <v>3.4033384463690308</v>
      </c>
      <c r="O201" s="148">
        <f>'Toim ja inv rahavirta'!O194/'Veroposentin tuotto'!AU194*-1</f>
        <v>3.9985379381747643</v>
      </c>
      <c r="P201" s="148">
        <f>'Toim ja inv rahavirta'!P194/'Veroposentin tuotto'!AV194*-1</f>
        <v>3.7404224464595219</v>
      </c>
    </row>
    <row r="202" spans="1:16" x14ac:dyDescent="0.2">
      <c r="A202" s="34">
        <v>593</v>
      </c>
      <c r="B202" s="88" t="s">
        <v>509</v>
      </c>
      <c r="C202" s="148" t="e">
        <f>'Toim ja inv rahavirta'!C195/'Veroposentin tuotto'!AI195*-1</f>
        <v>#REF!</v>
      </c>
      <c r="D202" s="148">
        <f>'Toim ja inv rahavirta'!D195/'Veroposentin tuotto'!AJ195*-1</f>
        <v>-1.4861015353052953</v>
      </c>
      <c r="E202" s="148">
        <f>'Toim ja inv rahavirta'!E195/'Veroposentin tuotto'!AK195*-1</f>
        <v>-2.2265517241379311</v>
      </c>
      <c r="F202" s="148">
        <f>'Toim ja inv rahavirta'!F195/'Veroposentin tuotto'!AL195*-1</f>
        <v>3.7479607183933465</v>
      </c>
      <c r="G202" s="148">
        <f>'Toim ja inv rahavirta'!G195/'Veroposentin tuotto'!AM195*-1</f>
        <v>4.5545221918291716</v>
      </c>
      <c r="H202" s="148">
        <f>'Toim ja inv rahavirta'!H195/'Veroposentin tuotto'!AN195*-1</f>
        <v>0.92286001421407304</v>
      </c>
      <c r="I202" s="148">
        <f>'Toim ja inv rahavirta'!I195/'Veroposentin tuotto'!AO195*-1</f>
        <v>-2.6788572817493987</v>
      </c>
      <c r="J202" s="148">
        <f>'Toim ja inv rahavirta'!J195/'Veroposentin tuotto'!AP195*-1</f>
        <v>1.0625176804924938</v>
      </c>
      <c r="K202" s="148">
        <f>'Toim ja inv rahavirta'!K195/'Veroposentin tuotto'!AQ195*-1</f>
        <v>-1.4845070053636846</v>
      </c>
      <c r="L202" s="148">
        <f>'Toim ja inv rahavirta'!L195/'Veroposentin tuotto'!AR195*-1</f>
        <v>1.4532052702913723</v>
      </c>
      <c r="M202" s="148">
        <f>'Toim ja inv rahavirta'!M195/'Veroposentin tuotto'!AS195*-1</f>
        <v>1.9195881570314024</v>
      </c>
      <c r="N202" s="148">
        <f>'Toim ja inv rahavirta'!N195/'Veroposentin tuotto'!AT195*-1</f>
        <v>1.3638256709685397</v>
      </c>
      <c r="O202" s="148">
        <f>'Toim ja inv rahavirta'!O195/'Veroposentin tuotto'!AU195*-1</f>
        <v>1.3923929638160042</v>
      </c>
      <c r="P202" s="148">
        <f>'Toim ja inv rahavirta'!P195/'Veroposentin tuotto'!AV195*-1</f>
        <v>0.54049617597444677</v>
      </c>
    </row>
    <row r="203" spans="1:16" x14ac:dyDescent="0.2">
      <c r="A203" s="34">
        <v>595</v>
      </c>
      <c r="B203" s="88" t="s">
        <v>510</v>
      </c>
      <c r="C203" s="148" t="e">
        <f>'Toim ja inv rahavirta'!C196/'Veroposentin tuotto'!AI196*-1</f>
        <v>#REF!</v>
      </c>
      <c r="D203" s="148">
        <f>'Toim ja inv rahavirta'!D196/'Veroposentin tuotto'!AJ196*-1</f>
        <v>14.392215854823306</v>
      </c>
      <c r="E203" s="148">
        <f>'Toim ja inv rahavirta'!E196/'Veroposentin tuotto'!AK196*-1</f>
        <v>-3.5692887514495557</v>
      </c>
      <c r="F203" s="148">
        <f>'Toim ja inv rahavirta'!F196/'Veroposentin tuotto'!AL196*-1</f>
        <v>-2.6179605697575701</v>
      </c>
      <c r="G203" s="148">
        <f>'Toim ja inv rahavirta'!G196/'Veroposentin tuotto'!AM196*-1</f>
        <v>-1.1330579631635971</v>
      </c>
      <c r="H203" s="148">
        <f>'Toim ja inv rahavirta'!H196/'Veroposentin tuotto'!AN196*-1</f>
        <v>-7.308449559367248</v>
      </c>
      <c r="I203" s="148">
        <f>'Toim ja inv rahavirta'!I196/'Veroposentin tuotto'!AO196*-1</f>
        <v>-7.3887803424917591</v>
      </c>
      <c r="J203" s="148">
        <f>'Toim ja inv rahavirta'!J196/'Veroposentin tuotto'!AP196*-1</f>
        <v>-3.611663677737786</v>
      </c>
      <c r="K203" s="148">
        <f>'Toim ja inv rahavirta'!K196/'Veroposentin tuotto'!AQ196*-1</f>
        <v>-3.9105686038659089</v>
      </c>
      <c r="L203" s="148">
        <f>'Toim ja inv rahavirta'!L196/'Veroposentin tuotto'!AR196*-1</f>
        <v>1.1394845698703122</v>
      </c>
      <c r="M203" s="148">
        <f>'Toim ja inv rahavirta'!M196/'Veroposentin tuotto'!AS196*-1</f>
        <v>3.0777846995860845</v>
      </c>
      <c r="N203" s="148">
        <f>'Toim ja inv rahavirta'!N196/'Veroposentin tuotto'!AT196*-1</f>
        <v>3.5416644515094946</v>
      </c>
      <c r="O203" s="148">
        <f>'Toim ja inv rahavirta'!O196/'Veroposentin tuotto'!AU196*-1</f>
        <v>4.2525367971762451</v>
      </c>
      <c r="P203" s="148">
        <f>'Toim ja inv rahavirta'!P196/'Veroposentin tuotto'!AV196*-1</f>
        <v>3.7991728766582518</v>
      </c>
    </row>
    <row r="204" spans="1:16" x14ac:dyDescent="0.2">
      <c r="A204" s="34">
        <v>598</v>
      </c>
      <c r="B204" s="88" t="s">
        <v>511</v>
      </c>
      <c r="C204" s="148" t="e">
        <f>'Toim ja inv rahavirta'!C197/'Veroposentin tuotto'!AI197*-1</f>
        <v>#REF!</v>
      </c>
      <c r="D204" s="148">
        <f>'Toim ja inv rahavirta'!D197/'Veroposentin tuotto'!AJ197*-1</f>
        <v>1.6869860182191314</v>
      </c>
      <c r="E204" s="148">
        <f>'Toim ja inv rahavirta'!E197/'Veroposentin tuotto'!AK197*-1</f>
        <v>1.8734818724323028</v>
      </c>
      <c r="F204" s="148">
        <f>'Toim ja inv rahavirta'!F197/'Veroposentin tuotto'!AL197*-1</f>
        <v>1.1601873235822429</v>
      </c>
      <c r="G204" s="148">
        <f>'Toim ja inv rahavirta'!G197/'Veroposentin tuotto'!AM197*-1</f>
        <v>3.1030976336183262</v>
      </c>
      <c r="H204" s="148">
        <f>'Toim ja inv rahavirta'!H197/'Veroposentin tuotto'!AN197*-1</f>
        <v>0.24866860543087088</v>
      </c>
      <c r="I204" s="148">
        <f>'Toim ja inv rahavirta'!I197/'Veroposentin tuotto'!AO197*-1</f>
        <v>9.3942041875794233E-2</v>
      </c>
      <c r="J204" s="148">
        <f>'Toim ja inv rahavirta'!J197/'Veroposentin tuotto'!AP197*-1</f>
        <v>0.33701948162716217</v>
      </c>
      <c r="K204" s="148">
        <f>'Toim ja inv rahavirta'!K197/'Veroposentin tuotto'!AQ197*-1</f>
        <v>-0.81289548099443121</v>
      </c>
      <c r="L204" s="148">
        <f>'Toim ja inv rahavirta'!L197/'Veroposentin tuotto'!AR197*-1</f>
        <v>0.41029590731500609</v>
      </c>
      <c r="M204" s="148">
        <f>'Toim ja inv rahavirta'!M197/'Veroposentin tuotto'!AS197*-1</f>
        <v>1.2674558987580538</v>
      </c>
      <c r="N204" s="148">
        <f>'Toim ja inv rahavirta'!N197/'Veroposentin tuotto'!AT197*-1</f>
        <v>1.0269390379116996</v>
      </c>
      <c r="O204" s="148">
        <f>'Toim ja inv rahavirta'!O197/'Veroposentin tuotto'!AU197*-1</f>
        <v>0.92133658171332877</v>
      </c>
      <c r="P204" s="148">
        <f>'Toim ja inv rahavirta'!P197/'Veroposentin tuotto'!AV197*-1</f>
        <v>0.66903769481814013</v>
      </c>
    </row>
    <row r="205" spans="1:16" x14ac:dyDescent="0.2">
      <c r="A205" s="34">
        <v>599</v>
      </c>
      <c r="B205" s="88" t="s">
        <v>512</v>
      </c>
      <c r="C205" s="148" t="e">
        <f>'Toim ja inv rahavirta'!C198/'Veroposentin tuotto'!AI198*-1</f>
        <v>#REF!</v>
      </c>
      <c r="D205" s="148">
        <f>'Toim ja inv rahavirta'!D198/'Veroposentin tuotto'!AJ198*-1</f>
        <v>-0.59043466772360942</v>
      </c>
      <c r="E205" s="148">
        <f>'Toim ja inv rahavirta'!E198/'Veroposentin tuotto'!AK198*-1</f>
        <v>2.5467864364082335</v>
      </c>
      <c r="F205" s="148">
        <f>'Toim ja inv rahavirta'!F198/'Veroposentin tuotto'!AL198*-1</f>
        <v>3.2672551893384232</v>
      </c>
      <c r="G205" s="148">
        <f>'Toim ja inv rahavirta'!G198/'Veroposentin tuotto'!AM198*-1</f>
        <v>4.8287601459038481</v>
      </c>
      <c r="H205" s="148">
        <f>'Toim ja inv rahavirta'!H198/'Veroposentin tuotto'!AN198*-1</f>
        <v>-3.0822561532510093</v>
      </c>
      <c r="I205" s="148">
        <f>'Toim ja inv rahavirta'!I198/'Veroposentin tuotto'!AO198*-1</f>
        <v>-0.11480304125948931</v>
      </c>
      <c r="J205" s="148">
        <f>'Toim ja inv rahavirta'!J198/'Veroposentin tuotto'!AP198*-1</f>
        <v>2.2125397853133619</v>
      </c>
      <c r="K205" s="148">
        <f>'Toim ja inv rahavirta'!K198/'Veroposentin tuotto'!AQ198*-1</f>
        <v>4.9179586974998193</v>
      </c>
      <c r="L205" s="148">
        <f>'Toim ja inv rahavirta'!L198/'Veroposentin tuotto'!AR198*-1</f>
        <v>1.8823142044544157</v>
      </c>
      <c r="M205" s="148">
        <f>'Toim ja inv rahavirta'!M198/'Veroposentin tuotto'!AS198*-1</f>
        <v>2.022009645348064</v>
      </c>
      <c r="N205" s="148">
        <f>'Toim ja inv rahavirta'!N198/'Veroposentin tuotto'!AT198*-1</f>
        <v>1.7963227006641207</v>
      </c>
      <c r="O205" s="148">
        <f>'Toim ja inv rahavirta'!O198/'Veroposentin tuotto'!AU198*-1</f>
        <v>1.5310385957874815</v>
      </c>
      <c r="P205" s="148">
        <f>'Toim ja inv rahavirta'!P198/'Veroposentin tuotto'!AV198*-1</f>
        <v>1.400491149665116</v>
      </c>
    </row>
    <row r="206" spans="1:16" x14ac:dyDescent="0.2">
      <c r="A206" s="34">
        <v>601</v>
      </c>
      <c r="B206" s="88" t="s">
        <v>513</v>
      </c>
      <c r="C206" s="148" t="e">
        <f>'Toim ja inv rahavirta'!C199/'Veroposentin tuotto'!AI199*-1</f>
        <v>#REF!</v>
      </c>
      <c r="D206" s="148">
        <f>'Toim ja inv rahavirta'!D199/'Veroposentin tuotto'!AJ199*-1</f>
        <v>-1.9269085570469799</v>
      </c>
      <c r="E206" s="148">
        <f>'Toim ja inv rahavirta'!E199/'Veroposentin tuotto'!AK199*-1</f>
        <v>-1.7336912479740683</v>
      </c>
      <c r="F206" s="148">
        <f>'Toim ja inv rahavirta'!F199/'Veroposentin tuotto'!AL199*-1</f>
        <v>2.1131080499354282</v>
      </c>
      <c r="G206" s="148">
        <f>'Toim ja inv rahavirta'!G199/'Veroposentin tuotto'!AM199*-1</f>
        <v>2.5017972681524081</v>
      </c>
      <c r="H206" s="148">
        <f>'Toim ja inv rahavirta'!H199/'Veroposentin tuotto'!AN199*-1</f>
        <v>6.7376714314694324</v>
      </c>
      <c r="I206" s="148">
        <f>'Toim ja inv rahavirta'!I199/'Veroposentin tuotto'!AO199*-1</f>
        <v>-7.3054466826299222E-2</v>
      </c>
      <c r="J206" s="148">
        <f>'Toim ja inv rahavirta'!J199/'Veroposentin tuotto'!AP199*-1</f>
        <v>-1.3499995259919029</v>
      </c>
      <c r="K206" s="148">
        <f>'Toim ja inv rahavirta'!K199/'Veroposentin tuotto'!AQ199*-1</f>
        <v>-2.206388604012957</v>
      </c>
      <c r="L206" s="148">
        <f>'Toim ja inv rahavirta'!L199/'Veroposentin tuotto'!AR199*-1</f>
        <v>0.44352048817735223</v>
      </c>
      <c r="M206" s="148">
        <f>'Toim ja inv rahavirta'!M199/'Veroposentin tuotto'!AS199*-1</f>
        <v>0.63604645555541262</v>
      </c>
      <c r="N206" s="148">
        <f>'Toim ja inv rahavirta'!N199/'Veroposentin tuotto'!AT199*-1</f>
        <v>1.277950298141759</v>
      </c>
      <c r="O206" s="148">
        <f>'Toim ja inv rahavirta'!O199/'Veroposentin tuotto'!AU199*-1</f>
        <v>1.7668461363237848</v>
      </c>
      <c r="P206" s="148">
        <f>'Toim ja inv rahavirta'!P199/'Veroposentin tuotto'!AV199*-1</f>
        <v>1.6433770549808848</v>
      </c>
    </row>
    <row r="207" spans="1:16" x14ac:dyDescent="0.2">
      <c r="A207" s="34">
        <v>604</v>
      </c>
      <c r="B207" s="88" t="s">
        <v>514</v>
      </c>
      <c r="C207" s="148" t="e">
        <f>'Toim ja inv rahavirta'!C200/'Veroposentin tuotto'!AI200*-1</f>
        <v>#REF!</v>
      </c>
      <c r="D207" s="148">
        <f>'Toim ja inv rahavirta'!D200/'Veroposentin tuotto'!AJ200*-1</f>
        <v>-1.8013797364085666</v>
      </c>
      <c r="E207" s="148">
        <f>'Toim ja inv rahavirta'!E200/'Veroposentin tuotto'!AK200*-1</f>
        <v>0.61404998628186203</v>
      </c>
      <c r="F207" s="148">
        <f>'Toim ja inv rahavirta'!F200/'Veroposentin tuotto'!AL200*-1</f>
        <v>2.0856261952152364</v>
      </c>
      <c r="G207" s="148">
        <f>'Toim ja inv rahavirta'!G200/'Veroposentin tuotto'!AM200*-1</f>
        <v>2.406713881369968</v>
      </c>
      <c r="H207" s="148">
        <f>'Toim ja inv rahavirta'!H200/'Veroposentin tuotto'!AN200*-1</f>
        <v>0.61601467742576355</v>
      </c>
      <c r="I207" s="148">
        <f>'Toim ja inv rahavirta'!I200/'Veroposentin tuotto'!AO200*-1</f>
        <v>1.3829377540784977</v>
      </c>
      <c r="J207" s="148">
        <f>'Toim ja inv rahavirta'!J200/'Veroposentin tuotto'!AP200*-1</f>
        <v>1.1116391412104987</v>
      </c>
      <c r="K207" s="148">
        <f>'Toim ja inv rahavirta'!K200/'Veroposentin tuotto'!AQ200*-1</f>
        <v>-0.16707012945914962</v>
      </c>
      <c r="L207" s="148">
        <f>'Toim ja inv rahavirta'!L200/'Veroposentin tuotto'!AR200*-1</f>
        <v>0.31999536298222547</v>
      </c>
      <c r="M207" s="148">
        <f>'Toim ja inv rahavirta'!M200/'Veroposentin tuotto'!AS200*-1</f>
        <v>0.71335198755437623</v>
      </c>
      <c r="N207" s="148">
        <f>'Toim ja inv rahavirta'!N200/'Veroposentin tuotto'!AT200*-1</f>
        <v>0.68251973711198155</v>
      </c>
      <c r="O207" s="148">
        <f>'Toim ja inv rahavirta'!O200/'Veroposentin tuotto'!AU200*-1</f>
        <v>0.80885830589052821</v>
      </c>
      <c r="P207" s="148">
        <f>'Toim ja inv rahavirta'!P200/'Veroposentin tuotto'!AV200*-1</f>
        <v>0.67733803759950217</v>
      </c>
    </row>
    <row r="208" spans="1:16" x14ac:dyDescent="0.2">
      <c r="A208" s="34">
        <v>607</v>
      </c>
      <c r="B208" s="88" t="s">
        <v>515</v>
      </c>
      <c r="C208" s="148" t="e">
        <f>'Toim ja inv rahavirta'!C201/'Veroposentin tuotto'!AI201*-1</f>
        <v>#REF!</v>
      </c>
      <c r="D208" s="148">
        <f>'Toim ja inv rahavirta'!D201/'Veroposentin tuotto'!AJ201*-1</f>
        <v>-0.89100838596127963</v>
      </c>
      <c r="E208" s="148">
        <f>'Toim ja inv rahavirta'!E201/'Veroposentin tuotto'!AK201*-1</f>
        <v>-2.4634146341463414</v>
      </c>
      <c r="F208" s="148">
        <f>'Toim ja inv rahavirta'!F201/'Veroposentin tuotto'!AL201*-1</f>
        <v>8.4706169359210666</v>
      </c>
      <c r="G208" s="148">
        <f>'Toim ja inv rahavirta'!G201/'Veroposentin tuotto'!AM201*-1</f>
        <v>3.4483849048714199</v>
      </c>
      <c r="H208" s="148">
        <f>'Toim ja inv rahavirta'!H201/'Veroposentin tuotto'!AN201*-1</f>
        <v>4.6407538570379962E-3</v>
      </c>
      <c r="I208" s="148">
        <f>'Toim ja inv rahavirta'!I201/'Veroposentin tuotto'!AO201*-1</f>
        <v>2.0721308836373633</v>
      </c>
      <c r="J208" s="148">
        <f>'Toim ja inv rahavirta'!J201/'Veroposentin tuotto'!AP201*-1</f>
        <v>5.1023932291394765</v>
      </c>
      <c r="K208" s="148">
        <f>'Toim ja inv rahavirta'!K201/'Veroposentin tuotto'!AQ201*-1</f>
        <v>12.350697621960085</v>
      </c>
      <c r="L208" s="148">
        <f>'Toim ja inv rahavirta'!L201/'Veroposentin tuotto'!AR201*-1</f>
        <v>5.7346202118932466</v>
      </c>
      <c r="M208" s="148">
        <f>'Toim ja inv rahavirta'!M201/'Veroposentin tuotto'!AS201*-1</f>
        <v>7.5849660214333827</v>
      </c>
      <c r="N208" s="148">
        <f>'Toim ja inv rahavirta'!N201/'Veroposentin tuotto'!AT201*-1</f>
        <v>7.2171172773609262</v>
      </c>
      <c r="O208" s="148">
        <f>'Toim ja inv rahavirta'!O201/'Veroposentin tuotto'!AU201*-1</f>
        <v>7.4618482623625706</v>
      </c>
      <c r="P208" s="148">
        <f>'Toim ja inv rahavirta'!P201/'Veroposentin tuotto'!AV201*-1</f>
        <v>6.8567969218766258</v>
      </c>
    </row>
    <row r="209" spans="1:16" x14ac:dyDescent="0.2">
      <c r="A209" s="34">
        <v>608</v>
      </c>
      <c r="B209" s="88" t="s">
        <v>516</v>
      </c>
      <c r="C209" s="148" t="e">
        <f>'Toim ja inv rahavirta'!C202/'Veroposentin tuotto'!AI202*-1</f>
        <v>#REF!</v>
      </c>
      <c r="D209" s="148">
        <f>'Toim ja inv rahavirta'!D202/'Veroposentin tuotto'!AJ202*-1</f>
        <v>-0.61742560057368223</v>
      </c>
      <c r="E209" s="148">
        <f>'Toim ja inv rahavirta'!E202/'Veroposentin tuotto'!AK202*-1</f>
        <v>0.37306642402183804</v>
      </c>
      <c r="F209" s="148">
        <f>'Toim ja inv rahavirta'!F202/'Veroposentin tuotto'!AL202*-1</f>
        <v>1.3281001589825119</v>
      </c>
      <c r="G209" s="148">
        <f>'Toim ja inv rahavirta'!G202/'Veroposentin tuotto'!AM202*-1</f>
        <v>0.25465313028764802</v>
      </c>
      <c r="H209" s="148">
        <f>'Toim ja inv rahavirta'!H202/'Veroposentin tuotto'!AN202*-1</f>
        <v>-1.3761876109739304</v>
      </c>
      <c r="I209" s="148">
        <f>'Toim ja inv rahavirta'!I202/'Veroposentin tuotto'!AO202*-1</f>
        <v>0.39989347100809941</v>
      </c>
      <c r="J209" s="148">
        <f>'Toim ja inv rahavirta'!J202/'Veroposentin tuotto'!AP202*-1</f>
        <v>4.7682784718299596</v>
      </c>
      <c r="K209" s="148">
        <f>'Toim ja inv rahavirta'!K202/'Veroposentin tuotto'!AQ202*-1</f>
        <v>2.626190378668023</v>
      </c>
      <c r="L209" s="148">
        <f>'Toim ja inv rahavirta'!L202/'Veroposentin tuotto'!AR202*-1</f>
        <v>2.6003202819873916</v>
      </c>
      <c r="M209" s="148">
        <f>'Toim ja inv rahavirta'!M202/'Veroposentin tuotto'!AS202*-1</f>
        <v>2.9806849999168898</v>
      </c>
      <c r="N209" s="148">
        <f>'Toim ja inv rahavirta'!N202/'Veroposentin tuotto'!AT202*-1</f>
        <v>2.6642907456103959</v>
      </c>
      <c r="O209" s="148">
        <f>'Toim ja inv rahavirta'!O202/'Veroposentin tuotto'!AU202*-1</f>
        <v>2.7568295346349374</v>
      </c>
      <c r="P209" s="148">
        <f>'Toim ja inv rahavirta'!P202/'Veroposentin tuotto'!AV202*-1</f>
        <v>2.0956687284808972</v>
      </c>
    </row>
    <row r="210" spans="1:16" x14ac:dyDescent="0.2">
      <c r="A210" s="34">
        <v>609</v>
      </c>
      <c r="B210" s="88" t="s">
        <v>517</v>
      </c>
      <c r="C210" s="148" t="e">
        <f>'Toim ja inv rahavirta'!C203/'Veroposentin tuotto'!AI203*-1</f>
        <v>#REF!</v>
      </c>
      <c r="D210" s="148">
        <f>'Toim ja inv rahavirta'!D203/'Veroposentin tuotto'!AJ203*-1</f>
        <v>-0.81528708831244534</v>
      </c>
      <c r="E210" s="148">
        <f>'Toim ja inv rahavirta'!E203/'Veroposentin tuotto'!AK203*-1</f>
        <v>-4.514080041915508E-2</v>
      </c>
      <c r="F210" s="148">
        <f>'Toim ja inv rahavirta'!F203/'Veroposentin tuotto'!AL203*-1</f>
        <v>1.6986083364372058</v>
      </c>
      <c r="G210" s="148">
        <f>'Toim ja inv rahavirta'!G203/'Veroposentin tuotto'!AM203*-1</f>
        <v>2.3292927981627893</v>
      </c>
      <c r="H210" s="148">
        <f>'Toim ja inv rahavirta'!H203/'Veroposentin tuotto'!AN203*-1</f>
        <v>2.8537031821700972E-2</v>
      </c>
      <c r="I210" s="148">
        <f>'Toim ja inv rahavirta'!I203/'Veroposentin tuotto'!AO203*-1</f>
        <v>1.3255335859102777</v>
      </c>
      <c r="J210" s="148">
        <f>'Toim ja inv rahavirta'!J203/'Veroposentin tuotto'!AP203*-1</f>
        <v>1.5788804084385901</v>
      </c>
      <c r="K210" s="148">
        <f>'Toim ja inv rahavirta'!K203/'Veroposentin tuotto'!AQ203*-1</f>
        <v>1.0471529276075204</v>
      </c>
      <c r="L210" s="148">
        <f>'Toim ja inv rahavirta'!L203/'Veroposentin tuotto'!AR203*-1</f>
        <v>1.5335266016399367</v>
      </c>
      <c r="M210" s="148">
        <f>'Toim ja inv rahavirta'!M203/'Veroposentin tuotto'!AS203*-1</f>
        <v>1.8042889389046612</v>
      </c>
      <c r="N210" s="148">
        <f>'Toim ja inv rahavirta'!N203/'Veroposentin tuotto'!AT203*-1</f>
        <v>0.94505877827043194</v>
      </c>
      <c r="O210" s="148">
        <f>'Toim ja inv rahavirta'!O203/'Veroposentin tuotto'!AU203*-1</f>
        <v>0.8620877612900455</v>
      </c>
      <c r="P210" s="148">
        <f>'Toim ja inv rahavirta'!P203/'Veroposentin tuotto'!AV203*-1</f>
        <v>0.50298028645295656</v>
      </c>
    </row>
    <row r="211" spans="1:16" x14ac:dyDescent="0.2">
      <c r="A211" s="34">
        <v>611</v>
      </c>
      <c r="B211" s="88" t="s">
        <v>518</v>
      </c>
      <c r="C211" s="148" t="e">
        <f>'Toim ja inv rahavirta'!C204/'Veroposentin tuotto'!AI204*-1</f>
        <v>#REF!</v>
      </c>
      <c r="D211" s="148">
        <f>'Toim ja inv rahavirta'!D204/'Veroposentin tuotto'!AJ204*-1</f>
        <v>-1.8699052531255256</v>
      </c>
      <c r="E211" s="148">
        <f>'Toim ja inv rahavirta'!E204/'Veroposentin tuotto'!AK204*-1</f>
        <v>-2.4295454545454547</v>
      </c>
      <c r="F211" s="148">
        <f>'Toim ja inv rahavirta'!F204/'Veroposentin tuotto'!AL204*-1</f>
        <v>-2.2233498257056112</v>
      </c>
      <c r="G211" s="148">
        <f>'Toim ja inv rahavirta'!G204/'Veroposentin tuotto'!AM204*-1</f>
        <v>0.71089799956034294</v>
      </c>
      <c r="H211" s="148">
        <f>'Toim ja inv rahavirta'!H204/'Veroposentin tuotto'!AN204*-1</f>
        <v>-2.0715316715785206</v>
      </c>
      <c r="I211" s="148">
        <f>'Toim ja inv rahavirta'!I204/'Veroposentin tuotto'!AO204*-1</f>
        <v>-0.69366930124482562</v>
      </c>
      <c r="J211" s="148">
        <f>'Toim ja inv rahavirta'!J204/'Veroposentin tuotto'!AP204*-1</f>
        <v>1.0333302937425421</v>
      </c>
      <c r="K211" s="148">
        <f>'Toim ja inv rahavirta'!K204/'Veroposentin tuotto'!AQ204*-1</f>
        <v>-0.87927503080982672</v>
      </c>
      <c r="L211" s="148">
        <f>'Toim ja inv rahavirta'!L204/'Veroposentin tuotto'!AR204*-1</f>
        <v>-0.14120457434151504</v>
      </c>
      <c r="M211" s="148">
        <f>'Toim ja inv rahavirta'!M204/'Veroposentin tuotto'!AS204*-1</f>
        <v>1.2670463031884118</v>
      </c>
      <c r="N211" s="148">
        <f>'Toim ja inv rahavirta'!N204/'Veroposentin tuotto'!AT204*-1</f>
        <v>1.4513047207907308</v>
      </c>
      <c r="O211" s="148">
        <f>'Toim ja inv rahavirta'!O204/'Veroposentin tuotto'!AU204*-1</f>
        <v>1.6447333725405471</v>
      </c>
      <c r="P211" s="148">
        <f>'Toim ja inv rahavirta'!P204/'Veroposentin tuotto'!AV204*-1</f>
        <v>1.528491220244101</v>
      </c>
    </row>
    <row r="212" spans="1:16" x14ac:dyDescent="0.2">
      <c r="A212" s="34">
        <v>614</v>
      </c>
      <c r="B212" s="88" t="s">
        <v>519</v>
      </c>
      <c r="C212" s="148" t="e">
        <f>'Toim ja inv rahavirta'!C205/'Veroposentin tuotto'!AI205*-1</f>
        <v>#REF!</v>
      </c>
      <c r="D212" s="148">
        <f>'Toim ja inv rahavirta'!D205/'Veroposentin tuotto'!AJ205*-1</f>
        <v>-1.6166625646074331</v>
      </c>
      <c r="E212" s="148">
        <f>'Toim ja inv rahavirta'!E205/'Veroposentin tuotto'!AK205*-1</f>
        <v>-8.2163853317811402</v>
      </c>
      <c r="F212" s="148">
        <f>'Toim ja inv rahavirta'!F205/'Veroposentin tuotto'!AL205*-1</f>
        <v>-3.4140926640926641</v>
      </c>
      <c r="G212" s="148">
        <f>'Toim ja inv rahavirta'!G205/'Veroposentin tuotto'!AM205*-1</f>
        <v>-0.99344814676151261</v>
      </c>
      <c r="H212" s="148">
        <f>'Toim ja inv rahavirta'!H205/'Veroposentin tuotto'!AN205*-1</f>
        <v>-2.4291864105573819</v>
      </c>
      <c r="I212" s="148">
        <f>'Toim ja inv rahavirta'!I205/'Veroposentin tuotto'!AO205*-1</f>
        <v>-1.5860557876880994</v>
      </c>
      <c r="J212" s="148">
        <f>'Toim ja inv rahavirta'!J205/'Veroposentin tuotto'!AP205*-1</f>
        <v>0.1238519680097916</v>
      </c>
      <c r="K212" s="148">
        <f>'Toim ja inv rahavirta'!K205/'Veroposentin tuotto'!AQ205*-1</f>
        <v>-0.37735107793652872</v>
      </c>
      <c r="L212" s="148">
        <f>'Toim ja inv rahavirta'!L205/'Veroposentin tuotto'!AR205*-1</f>
        <v>0.97631259186462827</v>
      </c>
      <c r="M212" s="148">
        <f>'Toim ja inv rahavirta'!M205/'Veroposentin tuotto'!AS205*-1</f>
        <v>2.6625486011829769</v>
      </c>
      <c r="N212" s="148">
        <f>'Toim ja inv rahavirta'!N205/'Veroposentin tuotto'!AT205*-1</f>
        <v>2.3782443759282321</v>
      </c>
      <c r="O212" s="148">
        <f>'Toim ja inv rahavirta'!O205/'Veroposentin tuotto'!AU205*-1</f>
        <v>2.5010746784418263</v>
      </c>
      <c r="P212" s="148">
        <f>'Toim ja inv rahavirta'!P205/'Veroposentin tuotto'!AV205*-1</f>
        <v>1.9029981043034514</v>
      </c>
    </row>
    <row r="213" spans="1:16" x14ac:dyDescent="0.2">
      <c r="A213" s="34">
        <v>615</v>
      </c>
      <c r="B213" s="88" t="s">
        <v>520</v>
      </c>
      <c r="C213" s="148" t="e">
        <f>'Toim ja inv rahavirta'!C206/'Veroposentin tuotto'!AI206*-1</f>
        <v>#REF!</v>
      </c>
      <c r="D213" s="148">
        <f>'Toim ja inv rahavirta'!D206/'Veroposentin tuotto'!AJ206*-1</f>
        <v>4.7222832354071711</v>
      </c>
      <c r="E213" s="148">
        <f>'Toim ja inv rahavirta'!E206/'Veroposentin tuotto'!AK206*-1</f>
        <v>-1.9863781617288632</v>
      </c>
      <c r="F213" s="148">
        <f>'Toim ja inv rahavirta'!F206/'Veroposentin tuotto'!AL206*-1</f>
        <v>6.1601560275610732</v>
      </c>
      <c r="G213" s="148">
        <f>'Toim ja inv rahavirta'!G206/'Veroposentin tuotto'!AM206*-1</f>
        <v>10.683130159077242</v>
      </c>
      <c r="H213" s="148">
        <f>'Toim ja inv rahavirta'!H206/'Veroposentin tuotto'!AN206*-1</f>
        <v>4.0691164541260036</v>
      </c>
      <c r="I213" s="148">
        <f>'Toim ja inv rahavirta'!I206/'Veroposentin tuotto'!AO206*-1</f>
        <v>-3.3589723369695395</v>
      </c>
      <c r="J213" s="148">
        <f>'Toim ja inv rahavirta'!J206/'Veroposentin tuotto'!AP206*-1</f>
        <v>-2.2381411052064615</v>
      </c>
      <c r="K213" s="148">
        <f>'Toim ja inv rahavirta'!K206/'Veroposentin tuotto'!AQ206*-1</f>
        <v>-0.1503237669942134</v>
      </c>
      <c r="L213" s="148">
        <f>'Toim ja inv rahavirta'!L206/'Veroposentin tuotto'!AR206*-1</f>
        <v>-2.1299845639050821</v>
      </c>
      <c r="M213" s="148">
        <f>'Toim ja inv rahavirta'!M206/'Veroposentin tuotto'!AS206*-1</f>
        <v>2.3950388944149372</v>
      </c>
      <c r="N213" s="148">
        <f>'Toim ja inv rahavirta'!N206/'Veroposentin tuotto'!AT206*-1</f>
        <v>2.5972419598291938</v>
      </c>
      <c r="O213" s="148">
        <f>'Toim ja inv rahavirta'!O206/'Veroposentin tuotto'!AU206*-1</f>
        <v>2.6485628567257842</v>
      </c>
      <c r="P213" s="148">
        <f>'Toim ja inv rahavirta'!P206/'Veroposentin tuotto'!AV206*-1</f>
        <v>1.8530014335545908</v>
      </c>
    </row>
    <row r="214" spans="1:16" x14ac:dyDescent="0.2">
      <c r="A214" s="34">
        <v>616</v>
      </c>
      <c r="B214" s="88" t="s">
        <v>521</v>
      </c>
      <c r="C214" s="148" t="e">
        <f>'Toim ja inv rahavirta'!C207/'Veroposentin tuotto'!AI207*-1</f>
        <v>#REF!</v>
      </c>
      <c r="D214" s="148">
        <f>'Toim ja inv rahavirta'!D207/'Veroposentin tuotto'!AJ207*-1</f>
        <v>-15.446305115993239</v>
      </c>
      <c r="E214" s="148">
        <f>'Toim ja inv rahavirta'!E207/'Veroposentin tuotto'!AK207*-1</f>
        <v>-3.7818791946308723</v>
      </c>
      <c r="F214" s="148">
        <f>'Toim ja inv rahavirta'!F207/'Veroposentin tuotto'!AL207*-1</f>
        <v>2.671290711700844</v>
      </c>
      <c r="G214" s="148">
        <f>'Toim ja inv rahavirta'!G207/'Veroposentin tuotto'!AM207*-1</f>
        <v>2.6221247724640082</v>
      </c>
      <c r="H214" s="148">
        <f>'Toim ja inv rahavirta'!H207/'Veroposentin tuotto'!AN207*-1</f>
        <v>-1.9207968747920889</v>
      </c>
      <c r="I214" s="148">
        <f>'Toim ja inv rahavirta'!I207/'Veroposentin tuotto'!AO207*-1</f>
        <v>0.85550673436382696</v>
      </c>
      <c r="J214" s="148">
        <f>'Toim ja inv rahavirta'!J207/'Veroposentin tuotto'!AP207*-1</f>
        <v>1.160196422931046</v>
      </c>
      <c r="K214" s="148">
        <f>'Toim ja inv rahavirta'!K207/'Veroposentin tuotto'!AQ207*-1</f>
        <v>-8.7977970625892812E-2</v>
      </c>
      <c r="L214" s="148">
        <f>'Toim ja inv rahavirta'!L207/'Veroposentin tuotto'!AR207*-1</f>
        <v>2.0009728929026314</v>
      </c>
      <c r="M214" s="148">
        <f>'Toim ja inv rahavirta'!M207/'Veroposentin tuotto'!AS207*-1</f>
        <v>3.8965911666648818</v>
      </c>
      <c r="N214" s="148">
        <f>'Toim ja inv rahavirta'!N207/'Veroposentin tuotto'!AT207*-1</f>
        <v>3.819052369681736</v>
      </c>
      <c r="O214" s="148">
        <f>'Toim ja inv rahavirta'!O207/'Veroposentin tuotto'!AU207*-1</f>
        <v>3.7141142196488386</v>
      </c>
      <c r="P214" s="148">
        <f>'Toim ja inv rahavirta'!P207/'Veroposentin tuotto'!AV207*-1</f>
        <v>3.4703777542960599</v>
      </c>
    </row>
    <row r="215" spans="1:16" x14ac:dyDescent="0.2">
      <c r="A215" s="34">
        <v>619</v>
      </c>
      <c r="B215" s="88" t="s">
        <v>522</v>
      </c>
      <c r="C215" s="148" t="e">
        <f>'Toim ja inv rahavirta'!C208/'Veroposentin tuotto'!AI208*-1</f>
        <v>#REF!</v>
      </c>
      <c r="D215" s="148">
        <f>'Toim ja inv rahavirta'!D208/'Veroposentin tuotto'!AJ208*-1</f>
        <v>-0.9708938324230717</v>
      </c>
      <c r="E215" s="148">
        <f>'Toim ja inv rahavirta'!E208/'Veroposentin tuotto'!AK208*-1</f>
        <v>-3.2421513124034997</v>
      </c>
      <c r="F215" s="148">
        <f>'Toim ja inv rahavirta'!F208/'Veroposentin tuotto'!AL208*-1</f>
        <v>3.1257609117989897</v>
      </c>
      <c r="G215" s="148">
        <f>'Toim ja inv rahavirta'!G208/'Veroposentin tuotto'!AM208*-1</f>
        <v>15.995114425302134</v>
      </c>
      <c r="H215" s="148">
        <f>'Toim ja inv rahavirta'!H208/'Veroposentin tuotto'!AN208*-1</f>
        <v>-3.2956514968286745</v>
      </c>
      <c r="I215" s="148">
        <f>'Toim ja inv rahavirta'!I208/'Veroposentin tuotto'!AO208*-1</f>
        <v>-2.5682854119719991</v>
      </c>
      <c r="J215" s="148">
        <f>'Toim ja inv rahavirta'!J208/'Veroposentin tuotto'!AP208*-1</f>
        <v>0.30218430342433533</v>
      </c>
      <c r="K215" s="148">
        <f>'Toim ja inv rahavirta'!K208/'Veroposentin tuotto'!AQ208*-1</f>
        <v>-2.8111425513954464</v>
      </c>
      <c r="L215" s="148">
        <f>'Toim ja inv rahavirta'!L208/'Veroposentin tuotto'!AR208*-1</f>
        <v>0.98850363871096314</v>
      </c>
      <c r="M215" s="148">
        <f>'Toim ja inv rahavirta'!M208/'Veroposentin tuotto'!AS208*-1</f>
        <v>1.808841071877493</v>
      </c>
      <c r="N215" s="148">
        <f>'Toim ja inv rahavirta'!N208/'Veroposentin tuotto'!AT208*-1</f>
        <v>1.7833056738434898</v>
      </c>
      <c r="O215" s="148">
        <f>'Toim ja inv rahavirta'!O208/'Veroposentin tuotto'!AU208*-1</f>
        <v>2.2892942175647639</v>
      </c>
      <c r="P215" s="148">
        <f>'Toim ja inv rahavirta'!P208/'Veroposentin tuotto'!AV208*-1</f>
        <v>1.8262988166893783</v>
      </c>
    </row>
    <row r="216" spans="1:16" x14ac:dyDescent="0.2">
      <c r="A216" s="34">
        <v>620</v>
      </c>
      <c r="B216" s="88" t="s">
        <v>523</v>
      </c>
      <c r="C216" s="148" t="e">
        <f>'Toim ja inv rahavirta'!C209/'Veroposentin tuotto'!AI209*-1</f>
        <v>#REF!</v>
      </c>
      <c r="D216" s="148">
        <f>'Toim ja inv rahavirta'!D209/'Veroposentin tuotto'!AJ209*-1</f>
        <v>-3.4574281965301066</v>
      </c>
      <c r="E216" s="148">
        <f>'Toim ja inv rahavirta'!E209/'Veroposentin tuotto'!AK209*-1</f>
        <v>-5.7787068836792592</v>
      </c>
      <c r="F216" s="148">
        <f>'Toim ja inv rahavirta'!F209/'Veroposentin tuotto'!AL209*-1</f>
        <v>1.5844711301200856</v>
      </c>
      <c r="G216" s="148">
        <f>'Toim ja inv rahavirta'!G209/'Veroposentin tuotto'!AM209*-1</f>
        <v>-3.0618677042801559</v>
      </c>
      <c r="H216" s="148">
        <f>'Toim ja inv rahavirta'!H209/'Veroposentin tuotto'!AN209*-1</f>
        <v>-6.3921570246271244</v>
      </c>
      <c r="I216" s="148">
        <f>'Toim ja inv rahavirta'!I209/'Veroposentin tuotto'!AO209*-1</f>
        <v>-0.66916908808131381</v>
      </c>
      <c r="J216" s="148">
        <f>'Toim ja inv rahavirta'!J209/'Veroposentin tuotto'!AP209*-1</f>
        <v>2.9478805957312653</v>
      </c>
      <c r="K216" s="148">
        <f>'Toim ja inv rahavirta'!K209/'Veroposentin tuotto'!AQ209*-1</f>
        <v>-4.3806151644804734</v>
      </c>
      <c r="L216" s="148">
        <f>'Toim ja inv rahavirta'!L209/'Veroposentin tuotto'!AR209*-1</f>
        <v>1.5576917679871196</v>
      </c>
      <c r="M216" s="148">
        <f>'Toim ja inv rahavirta'!M209/'Veroposentin tuotto'!AS209*-1</f>
        <v>3.9739937653108264</v>
      </c>
      <c r="N216" s="148">
        <f>'Toim ja inv rahavirta'!N209/'Veroposentin tuotto'!AT209*-1</f>
        <v>4.6448528643425142</v>
      </c>
      <c r="O216" s="148">
        <f>'Toim ja inv rahavirta'!O209/'Veroposentin tuotto'!AU209*-1</f>
        <v>5.3476929357478085</v>
      </c>
      <c r="P216" s="148">
        <f>'Toim ja inv rahavirta'!P209/'Veroposentin tuotto'!AV209*-1</f>
        <v>4.7038398431147552</v>
      </c>
    </row>
    <row r="217" spans="1:16" x14ac:dyDescent="0.2">
      <c r="A217" s="34">
        <v>623</v>
      </c>
      <c r="B217" s="88" t="s">
        <v>524</v>
      </c>
      <c r="C217" s="148" t="e">
        <f>'Toim ja inv rahavirta'!C210/'Veroposentin tuotto'!AI210*-1</f>
        <v>#REF!</v>
      </c>
      <c r="D217" s="148">
        <f>'Toim ja inv rahavirta'!D210/'Veroposentin tuotto'!AJ210*-1</f>
        <v>-6.2406522110295377</v>
      </c>
      <c r="E217" s="148">
        <f>'Toim ja inv rahavirta'!E210/'Veroposentin tuotto'!AK210*-1</f>
        <v>-5.2061495457721874</v>
      </c>
      <c r="F217" s="148">
        <f>'Toim ja inv rahavirta'!F210/'Veroposentin tuotto'!AL210*-1</f>
        <v>-5.8457880434782616</v>
      </c>
      <c r="G217" s="148">
        <f>'Toim ja inv rahavirta'!G210/'Veroposentin tuotto'!AM210*-1</f>
        <v>-5.762767710049423</v>
      </c>
      <c r="H217" s="148">
        <f>'Toim ja inv rahavirta'!H210/'Veroposentin tuotto'!AN210*-1</f>
        <v>-4.3991518896995663</v>
      </c>
      <c r="I217" s="148">
        <f>'Toim ja inv rahavirta'!I210/'Veroposentin tuotto'!AO210*-1</f>
        <v>-2.5469509583567618</v>
      </c>
      <c r="J217" s="148">
        <f>'Toim ja inv rahavirta'!J210/'Veroposentin tuotto'!AP210*-1</f>
        <v>0.55454994986477735</v>
      </c>
      <c r="K217" s="148">
        <f>'Toim ja inv rahavirta'!K210/'Veroposentin tuotto'!AQ210*-1</f>
        <v>-1.4059182149661713</v>
      </c>
      <c r="L217" s="148">
        <f>'Toim ja inv rahavirta'!L210/'Veroposentin tuotto'!AR210*-1</f>
        <v>8.2162255970035486E-2</v>
      </c>
      <c r="M217" s="148">
        <f>'Toim ja inv rahavirta'!M210/'Veroposentin tuotto'!AS210*-1</f>
        <v>-0.40466714289498135</v>
      </c>
      <c r="N217" s="148">
        <f>'Toim ja inv rahavirta'!N210/'Veroposentin tuotto'!AT210*-1</f>
        <v>-0.16542688873715755</v>
      </c>
      <c r="O217" s="148">
        <f>'Toim ja inv rahavirta'!O210/'Veroposentin tuotto'!AU210*-1</f>
        <v>0.15932840817917848</v>
      </c>
      <c r="P217" s="148">
        <f>'Toim ja inv rahavirta'!P210/'Veroposentin tuotto'!AV210*-1</f>
        <v>0.15983604959867825</v>
      </c>
    </row>
    <row r="218" spans="1:16" x14ac:dyDescent="0.2">
      <c r="A218" s="34">
        <v>624</v>
      </c>
      <c r="B218" s="88" t="s">
        <v>525</v>
      </c>
      <c r="C218" s="148" t="e">
        <f>'Toim ja inv rahavirta'!C211/'Veroposentin tuotto'!AI211*-1</f>
        <v>#REF!</v>
      </c>
      <c r="D218" s="148">
        <f>'Toim ja inv rahavirta'!D211/'Veroposentin tuotto'!AJ211*-1</f>
        <v>-1.1191204269987767</v>
      </c>
      <c r="E218" s="148">
        <f>'Toim ja inv rahavirta'!E211/'Veroposentin tuotto'!AK211*-1</f>
        <v>-0.98231829853745667</v>
      </c>
      <c r="F218" s="148">
        <f>'Toim ja inv rahavirta'!F211/'Veroposentin tuotto'!AL211*-1</f>
        <v>1.6538298951640176</v>
      </c>
      <c r="G218" s="148">
        <f>'Toim ja inv rahavirta'!G211/'Veroposentin tuotto'!AM211*-1</f>
        <v>1.0557673046961942</v>
      </c>
      <c r="H218" s="148">
        <f>'Toim ja inv rahavirta'!H211/'Veroposentin tuotto'!AN211*-1</f>
        <v>-2.5383026693820248</v>
      </c>
      <c r="I218" s="148">
        <f>'Toim ja inv rahavirta'!I211/'Veroposentin tuotto'!AO211*-1</f>
        <v>-1.8355334414265727</v>
      </c>
      <c r="J218" s="148">
        <f>'Toim ja inv rahavirta'!J211/'Veroposentin tuotto'!AP211*-1</f>
        <v>0.57267913451850117</v>
      </c>
      <c r="K218" s="148">
        <f>'Toim ja inv rahavirta'!K211/'Veroposentin tuotto'!AQ211*-1</f>
        <v>-2.005543912683958</v>
      </c>
      <c r="L218" s="148">
        <f>'Toim ja inv rahavirta'!L211/'Veroposentin tuotto'!AR211*-1</f>
        <v>-0.88379880059325633</v>
      </c>
      <c r="M218" s="148">
        <f>'Toim ja inv rahavirta'!M211/'Veroposentin tuotto'!AS211*-1</f>
        <v>-0.34180576370629606</v>
      </c>
      <c r="N218" s="148">
        <f>'Toim ja inv rahavirta'!N211/'Veroposentin tuotto'!AT211*-1</f>
        <v>-0.21626680743098056</v>
      </c>
      <c r="O218" s="148">
        <f>'Toim ja inv rahavirta'!O211/'Veroposentin tuotto'!AU211*-1</f>
        <v>-0.24808117046283121</v>
      </c>
      <c r="P218" s="148">
        <f>'Toim ja inv rahavirta'!P211/'Veroposentin tuotto'!AV211*-1</f>
        <v>-0.65822104041674967</v>
      </c>
    </row>
    <row r="219" spans="1:16" x14ac:dyDescent="0.2">
      <c r="A219" s="34">
        <v>625</v>
      </c>
      <c r="B219" s="88" t="s">
        <v>526</v>
      </c>
      <c r="C219" s="148" t="e">
        <f>'Toim ja inv rahavirta'!C212/'Veroposentin tuotto'!AI212*-1</f>
        <v>#REF!</v>
      </c>
      <c r="D219" s="148">
        <f>'Toim ja inv rahavirta'!D212/'Veroposentin tuotto'!AJ212*-1</f>
        <v>0.87298095132004006</v>
      </c>
      <c r="E219" s="148">
        <f>'Toim ja inv rahavirta'!E212/'Veroposentin tuotto'!AK212*-1</f>
        <v>3.3334341323949856</v>
      </c>
      <c r="F219" s="148">
        <f>'Toim ja inv rahavirta'!F212/'Veroposentin tuotto'!AL212*-1</f>
        <v>3.7047109567555454</v>
      </c>
      <c r="G219" s="148">
        <f>'Toim ja inv rahavirta'!G212/'Veroposentin tuotto'!AM212*-1</f>
        <v>3.9490015445719333</v>
      </c>
      <c r="H219" s="148">
        <f>'Toim ja inv rahavirta'!H212/'Veroposentin tuotto'!AN212*-1</f>
        <v>-4.2512118023548879</v>
      </c>
      <c r="I219" s="148">
        <f>'Toim ja inv rahavirta'!I212/'Veroposentin tuotto'!AO212*-1</f>
        <v>-2.7849633233469397</v>
      </c>
      <c r="J219" s="148">
        <f>'Toim ja inv rahavirta'!J212/'Veroposentin tuotto'!AP212*-1</f>
        <v>-0.23429233608495489</v>
      </c>
      <c r="K219" s="148">
        <f>'Toim ja inv rahavirta'!K212/'Veroposentin tuotto'!AQ212*-1</f>
        <v>-4.8136747196121599</v>
      </c>
      <c r="L219" s="148">
        <f>'Toim ja inv rahavirta'!L212/'Veroposentin tuotto'!AR212*-1</f>
        <v>-1.6889394255657078</v>
      </c>
      <c r="M219" s="148">
        <f>'Toim ja inv rahavirta'!M212/'Veroposentin tuotto'!AS212*-1</f>
        <v>-0.23337747418646765</v>
      </c>
      <c r="N219" s="148">
        <f>'Toim ja inv rahavirta'!N212/'Veroposentin tuotto'!AT212*-1</f>
        <v>0.28566563744154305</v>
      </c>
      <c r="O219" s="148">
        <f>'Toim ja inv rahavirta'!O212/'Veroposentin tuotto'!AU212*-1</f>
        <v>0.98898689564904319</v>
      </c>
      <c r="P219" s="148">
        <f>'Toim ja inv rahavirta'!P212/'Veroposentin tuotto'!AV212*-1</f>
        <v>0.79086109414836336</v>
      </c>
    </row>
    <row r="220" spans="1:16" x14ac:dyDescent="0.2">
      <c r="A220" s="34">
        <v>626</v>
      </c>
      <c r="B220" s="88" t="s">
        <v>527</v>
      </c>
      <c r="C220" s="148" t="e">
        <f>'Toim ja inv rahavirta'!C213/'Veroposentin tuotto'!AI213*-1</f>
        <v>#REF!</v>
      </c>
      <c r="D220" s="148">
        <f>'Toim ja inv rahavirta'!D213/'Veroposentin tuotto'!AJ213*-1</f>
        <v>11.12854992130295</v>
      </c>
      <c r="E220" s="148">
        <f>'Toim ja inv rahavirta'!E213/'Veroposentin tuotto'!AK213*-1</f>
        <v>5.0689034716342087</v>
      </c>
      <c r="F220" s="148">
        <f>'Toim ja inv rahavirta'!F213/'Veroposentin tuotto'!AL213*-1</f>
        <v>1.4247435629055893</v>
      </c>
      <c r="G220" s="148">
        <f>'Toim ja inv rahavirta'!G213/'Veroposentin tuotto'!AM213*-1</f>
        <v>6.271033905399749</v>
      </c>
      <c r="H220" s="148">
        <f>'Toim ja inv rahavirta'!H213/'Veroposentin tuotto'!AN213*-1</f>
        <v>-0.60058848819845412</v>
      </c>
      <c r="I220" s="148">
        <f>'Toim ja inv rahavirta'!I213/'Veroposentin tuotto'!AO213*-1</f>
        <v>-3.3948835594545228</v>
      </c>
      <c r="J220" s="148">
        <f>'Toim ja inv rahavirta'!J213/'Veroposentin tuotto'!AP213*-1</f>
        <v>1.3788541517312105</v>
      </c>
      <c r="K220" s="148">
        <f>'Toim ja inv rahavirta'!K213/'Veroposentin tuotto'!AQ213*-1</f>
        <v>4.3952417205556795</v>
      </c>
      <c r="L220" s="148">
        <f>'Toim ja inv rahavirta'!L213/'Veroposentin tuotto'!AR213*-1</f>
        <v>4.6838148220614952</v>
      </c>
      <c r="M220" s="148">
        <f>'Toim ja inv rahavirta'!M213/'Veroposentin tuotto'!AS213*-1</f>
        <v>5.1369631515835552</v>
      </c>
      <c r="N220" s="148">
        <f>'Toim ja inv rahavirta'!N213/'Veroposentin tuotto'!AT213*-1</f>
        <v>5.2798408357763877</v>
      </c>
      <c r="O220" s="148">
        <f>'Toim ja inv rahavirta'!O213/'Veroposentin tuotto'!AU213*-1</f>
        <v>5.6574009296314243</v>
      </c>
      <c r="P220" s="148">
        <f>'Toim ja inv rahavirta'!P213/'Veroposentin tuotto'!AV213*-1</f>
        <v>4.9847078120331387</v>
      </c>
    </row>
    <row r="221" spans="1:16" x14ac:dyDescent="0.2">
      <c r="A221" s="34">
        <v>630</v>
      </c>
      <c r="B221" s="88" t="s">
        <v>528</v>
      </c>
      <c r="C221" s="148" t="e">
        <f>'Toim ja inv rahavirta'!C214/'Veroposentin tuotto'!AI214*-1</f>
        <v>#REF!</v>
      </c>
      <c r="D221" s="148">
        <f>'Toim ja inv rahavirta'!D214/'Veroposentin tuotto'!AJ214*-1</f>
        <v>0.30615991297253198</v>
      </c>
      <c r="E221" s="148">
        <f>'Toim ja inv rahavirta'!E214/'Veroposentin tuotto'!AK214*-1</f>
        <v>-2.0384054125762803</v>
      </c>
      <c r="F221" s="148">
        <f>'Toim ja inv rahavirta'!F214/'Veroposentin tuotto'!AL214*-1</f>
        <v>3.4210415496911843</v>
      </c>
      <c r="G221" s="148">
        <f>'Toim ja inv rahavirta'!G214/'Veroposentin tuotto'!AM214*-1</f>
        <v>4.603302401746725</v>
      </c>
      <c r="H221" s="148">
        <f>'Toim ja inv rahavirta'!H214/'Veroposentin tuotto'!AN214*-1</f>
        <v>-0.47884763050976992</v>
      </c>
      <c r="I221" s="148">
        <f>'Toim ja inv rahavirta'!I214/'Veroposentin tuotto'!AO214*-1</f>
        <v>0.31216287714415825</v>
      </c>
      <c r="J221" s="148">
        <f>'Toim ja inv rahavirta'!J214/'Veroposentin tuotto'!AP214*-1</f>
        <v>6.6733497809962747</v>
      </c>
      <c r="K221" s="148">
        <f>'Toim ja inv rahavirta'!K214/'Veroposentin tuotto'!AQ214*-1</f>
        <v>9.2188061703393522</v>
      </c>
      <c r="L221" s="148">
        <f>'Toim ja inv rahavirta'!L214/'Veroposentin tuotto'!AR214*-1</f>
        <v>1.169164787269108</v>
      </c>
      <c r="M221" s="148">
        <f>'Toim ja inv rahavirta'!M214/'Veroposentin tuotto'!AS214*-1</f>
        <v>1.2793312760819977</v>
      </c>
      <c r="N221" s="148">
        <f>'Toim ja inv rahavirta'!N214/'Veroposentin tuotto'!AT214*-1</f>
        <v>1.2922818702947667</v>
      </c>
      <c r="O221" s="148">
        <f>'Toim ja inv rahavirta'!O214/'Veroposentin tuotto'!AU214*-1</f>
        <v>1.1881207803060698</v>
      </c>
      <c r="P221" s="148">
        <f>'Toim ja inv rahavirta'!P214/'Veroposentin tuotto'!AV214*-1</f>
        <v>0.23543580628631811</v>
      </c>
    </row>
    <row r="222" spans="1:16" x14ac:dyDescent="0.2">
      <c r="A222" s="34">
        <v>631</v>
      </c>
      <c r="B222" s="88" t="s">
        <v>529</v>
      </c>
      <c r="C222" s="148" t="e">
        <f>'Toim ja inv rahavirta'!C215/'Veroposentin tuotto'!AI215*-1</f>
        <v>#REF!</v>
      </c>
      <c r="D222" s="148">
        <f>'Toim ja inv rahavirta'!D215/'Veroposentin tuotto'!AJ215*-1</f>
        <v>2.5108695652173911</v>
      </c>
      <c r="E222" s="148">
        <f>'Toim ja inv rahavirta'!E215/'Veroposentin tuotto'!AK215*-1</f>
        <v>-1.4</v>
      </c>
      <c r="F222" s="148">
        <f>'Toim ja inv rahavirta'!F215/'Veroposentin tuotto'!AL215*-1</f>
        <v>-2.0988961399611221</v>
      </c>
      <c r="G222" s="148">
        <f>'Toim ja inv rahavirta'!G215/'Veroposentin tuotto'!AM215*-1</f>
        <v>0.20006968641114983</v>
      </c>
      <c r="H222" s="148">
        <f>'Toim ja inv rahavirta'!H215/'Veroposentin tuotto'!AN215*-1</f>
        <v>-3.8003494193679113</v>
      </c>
      <c r="I222" s="148">
        <f>'Toim ja inv rahavirta'!I215/'Veroposentin tuotto'!AO215*-1</f>
        <v>0.60134839299722997</v>
      </c>
      <c r="J222" s="148">
        <f>'Toim ja inv rahavirta'!J215/'Veroposentin tuotto'!AP215*-1</f>
        <v>-0.89366306889026115</v>
      </c>
      <c r="K222" s="148">
        <f>'Toim ja inv rahavirta'!K215/'Veroposentin tuotto'!AQ215*-1</f>
        <v>-1.470604276119331</v>
      </c>
      <c r="L222" s="148">
        <f>'Toim ja inv rahavirta'!L215/'Veroposentin tuotto'!AR215*-1</f>
        <v>0.6805436410808664</v>
      </c>
      <c r="M222" s="148">
        <f>'Toim ja inv rahavirta'!M215/'Veroposentin tuotto'!AS215*-1</f>
        <v>1.2912551465568141</v>
      </c>
      <c r="N222" s="148">
        <f>'Toim ja inv rahavirta'!N215/'Veroposentin tuotto'!AT215*-1</f>
        <v>1.3645809200172088</v>
      </c>
      <c r="O222" s="148">
        <f>'Toim ja inv rahavirta'!O215/'Veroposentin tuotto'!AU215*-1</f>
        <v>1.4716953817714078</v>
      </c>
      <c r="P222" s="148">
        <f>'Toim ja inv rahavirta'!P215/'Veroposentin tuotto'!AV215*-1</f>
        <v>1.0266888011644484</v>
      </c>
    </row>
    <row r="223" spans="1:16" x14ac:dyDescent="0.2">
      <c r="A223" s="34">
        <v>635</v>
      </c>
      <c r="B223" s="88" t="s">
        <v>530</v>
      </c>
      <c r="C223" s="148" t="e">
        <f>'Toim ja inv rahavirta'!C216/'Veroposentin tuotto'!AI216*-1</f>
        <v>#REF!</v>
      </c>
      <c r="D223" s="148">
        <f>'Toim ja inv rahavirta'!D216/'Veroposentin tuotto'!AJ216*-1</f>
        <v>0.28456444218033622</v>
      </c>
      <c r="E223" s="148">
        <f>'Toim ja inv rahavirta'!E216/'Veroposentin tuotto'!AK216*-1</f>
        <v>2.1524704920545705</v>
      </c>
      <c r="F223" s="148">
        <f>'Toim ja inv rahavirta'!F216/'Veroposentin tuotto'!AL216*-1</f>
        <v>5.0174033002599883</v>
      </c>
      <c r="G223" s="148">
        <f>'Toim ja inv rahavirta'!G216/'Veroposentin tuotto'!AM216*-1</f>
        <v>0.93747161241483723</v>
      </c>
      <c r="H223" s="148">
        <f>'Toim ja inv rahavirta'!H216/'Veroposentin tuotto'!AN216*-1</f>
        <v>-3.2534782034303253</v>
      </c>
      <c r="I223" s="148">
        <f>'Toim ja inv rahavirta'!I216/'Veroposentin tuotto'!AO216*-1</f>
        <v>-2.459784224112596</v>
      </c>
      <c r="J223" s="148">
        <f>'Toim ja inv rahavirta'!J216/'Veroposentin tuotto'!AP216*-1</f>
        <v>-2.4434398321624635</v>
      </c>
      <c r="K223" s="148">
        <f>'Toim ja inv rahavirta'!K216/'Veroposentin tuotto'!AQ216*-1</f>
        <v>-0.93413642955231113</v>
      </c>
      <c r="L223" s="148">
        <f>'Toim ja inv rahavirta'!L216/'Veroposentin tuotto'!AR216*-1</f>
        <v>1.27228968146829</v>
      </c>
      <c r="M223" s="148">
        <f>'Toim ja inv rahavirta'!M216/'Veroposentin tuotto'!AS216*-1</f>
        <v>1.1809034305153121</v>
      </c>
      <c r="N223" s="148">
        <f>'Toim ja inv rahavirta'!N216/'Veroposentin tuotto'!AT216*-1</f>
        <v>1.2668504344534517</v>
      </c>
      <c r="O223" s="148">
        <f>'Toim ja inv rahavirta'!O216/'Veroposentin tuotto'!AU216*-1</f>
        <v>1.2067930193691174</v>
      </c>
      <c r="P223" s="148">
        <f>'Toim ja inv rahavirta'!P216/'Veroposentin tuotto'!AV216*-1</f>
        <v>0.74377465358329065</v>
      </c>
    </row>
    <row r="224" spans="1:16" x14ac:dyDescent="0.2">
      <c r="A224" s="34">
        <v>636</v>
      </c>
      <c r="B224" s="88" t="s">
        <v>531</v>
      </c>
      <c r="C224" s="148" t="e">
        <f>'Toim ja inv rahavirta'!C217/'Veroposentin tuotto'!AI217*-1</f>
        <v>#REF!</v>
      </c>
      <c r="D224" s="148">
        <f>'Toim ja inv rahavirta'!D217/'Veroposentin tuotto'!AJ217*-1</f>
        <v>-1.5559808911882509</v>
      </c>
      <c r="E224" s="148">
        <f>'Toim ja inv rahavirta'!E217/'Veroposentin tuotto'!AK217*-1</f>
        <v>-2.0313273897969291</v>
      </c>
      <c r="F224" s="148">
        <f>'Toim ja inv rahavirta'!F217/'Veroposentin tuotto'!AL217*-1</f>
        <v>4.5958321010604593</v>
      </c>
      <c r="G224" s="148">
        <f>'Toim ja inv rahavirta'!G217/'Veroposentin tuotto'!AM217*-1</f>
        <v>8.0845289885384428</v>
      </c>
      <c r="H224" s="148">
        <f>'Toim ja inv rahavirta'!H217/'Veroposentin tuotto'!AN217*-1</f>
        <v>-6.1074918357338976</v>
      </c>
      <c r="I224" s="148">
        <f>'Toim ja inv rahavirta'!I217/'Veroposentin tuotto'!AO217*-1</f>
        <v>-2.9620426780522697</v>
      </c>
      <c r="J224" s="148">
        <f>'Toim ja inv rahavirta'!J217/'Veroposentin tuotto'!AP217*-1</f>
        <v>-1.4261957593000418</v>
      </c>
      <c r="K224" s="148">
        <f>'Toim ja inv rahavirta'!K217/'Veroposentin tuotto'!AQ217*-1</f>
        <v>-3.7131617297861017</v>
      </c>
      <c r="L224" s="148">
        <f>'Toim ja inv rahavirta'!L217/'Veroposentin tuotto'!AR217*-1</f>
        <v>-0.6302171462879913</v>
      </c>
      <c r="M224" s="148">
        <f>'Toim ja inv rahavirta'!M217/'Veroposentin tuotto'!AS217*-1</f>
        <v>-0.95953310843682083</v>
      </c>
      <c r="N224" s="148">
        <f>'Toim ja inv rahavirta'!N217/'Veroposentin tuotto'!AT217*-1</f>
        <v>-0.7085038808121995</v>
      </c>
      <c r="O224" s="148">
        <f>'Toim ja inv rahavirta'!O217/'Veroposentin tuotto'!AU217*-1</f>
        <v>-0.80710485009685784</v>
      </c>
      <c r="P224" s="148">
        <f>'Toim ja inv rahavirta'!P217/'Veroposentin tuotto'!AV217*-1</f>
        <v>-1.1510200545164775</v>
      </c>
    </row>
    <row r="225" spans="1:16" x14ac:dyDescent="0.2">
      <c r="A225" s="34">
        <v>638</v>
      </c>
      <c r="B225" s="88" t="s">
        <v>532</v>
      </c>
      <c r="C225" s="148" t="e">
        <f>'Toim ja inv rahavirta'!C218/'Veroposentin tuotto'!AI218*-1</f>
        <v>#REF!</v>
      </c>
      <c r="D225" s="148">
        <f>'Toim ja inv rahavirta'!D218/'Veroposentin tuotto'!AJ218*-1</f>
        <v>0.28557792873752297</v>
      </c>
      <c r="E225" s="148">
        <f>'Toim ja inv rahavirta'!E218/'Veroposentin tuotto'!AK218*-1</f>
        <v>2.3750734553391539</v>
      </c>
      <c r="F225" s="148">
        <f>'Toim ja inv rahavirta'!F218/'Veroposentin tuotto'!AL218*-1</f>
        <v>2.5866687976216465</v>
      </c>
      <c r="G225" s="148">
        <f>'Toim ja inv rahavirta'!G218/'Veroposentin tuotto'!AM218*-1</f>
        <v>1.7329250780007024</v>
      </c>
      <c r="H225" s="148">
        <f>'Toim ja inv rahavirta'!H218/'Veroposentin tuotto'!AN218*-1</f>
        <v>-3.322343511860594</v>
      </c>
      <c r="I225" s="148">
        <f>'Toim ja inv rahavirta'!I218/'Veroposentin tuotto'!AO218*-1</f>
        <v>-5.0328864990713296</v>
      </c>
      <c r="J225" s="148">
        <f>'Toim ja inv rahavirta'!J218/'Veroposentin tuotto'!AP218*-1</f>
        <v>-4.9286311544875225</v>
      </c>
      <c r="K225" s="148">
        <f>'Toim ja inv rahavirta'!K218/'Veroposentin tuotto'!AQ218*-1</f>
        <v>-0.56663077327141298</v>
      </c>
      <c r="L225" s="148">
        <f>'Toim ja inv rahavirta'!L218/'Veroposentin tuotto'!AR218*-1</f>
        <v>0.11432157883854961</v>
      </c>
      <c r="M225" s="148">
        <f>'Toim ja inv rahavirta'!M218/'Veroposentin tuotto'!AS218*-1</f>
        <v>0.79039173960719478</v>
      </c>
      <c r="N225" s="148">
        <f>'Toim ja inv rahavirta'!N218/'Veroposentin tuotto'!AT218*-1</f>
        <v>1.0968863483044549</v>
      </c>
      <c r="O225" s="148">
        <f>'Toim ja inv rahavirta'!O218/'Veroposentin tuotto'!AU218*-1</f>
        <v>1.1662722592422803</v>
      </c>
      <c r="P225" s="148">
        <f>'Toim ja inv rahavirta'!P218/'Veroposentin tuotto'!AV218*-1</f>
        <v>1.0753991100501421</v>
      </c>
    </row>
    <row r="226" spans="1:16" x14ac:dyDescent="0.2">
      <c r="A226" s="34">
        <v>678</v>
      </c>
      <c r="B226" s="88" t="s">
        <v>533</v>
      </c>
      <c r="C226" s="148" t="e">
        <f>'Toim ja inv rahavirta'!C219/'Veroposentin tuotto'!AI219*-1</f>
        <v>#REF!</v>
      </c>
      <c r="D226" s="148">
        <f>'Toim ja inv rahavirta'!D219/'Veroposentin tuotto'!AJ219*-1</f>
        <v>0.10256286266924564</v>
      </c>
      <c r="E226" s="148">
        <f>'Toim ja inv rahavirta'!E219/'Veroposentin tuotto'!AK219*-1</f>
        <v>0.45434059844846691</v>
      </c>
      <c r="F226" s="148">
        <f>'Toim ja inv rahavirta'!F219/'Veroposentin tuotto'!AL219*-1</f>
        <v>2.8443855751153651</v>
      </c>
      <c r="G226" s="148">
        <f>'Toim ja inv rahavirta'!G219/'Veroposentin tuotto'!AM219*-1</f>
        <v>2.2235172870708904</v>
      </c>
      <c r="H226" s="148">
        <f>'Toim ja inv rahavirta'!H219/'Veroposentin tuotto'!AN219*-1</f>
        <v>3.2944955554391622</v>
      </c>
      <c r="I226" s="148">
        <f>'Toim ja inv rahavirta'!I219/'Veroposentin tuotto'!AO219*-1</f>
        <v>-8.2303678869080343</v>
      </c>
      <c r="J226" s="148">
        <f>'Toim ja inv rahavirta'!J219/'Veroposentin tuotto'!AP219*-1</f>
        <v>0.89779002971403588</v>
      </c>
      <c r="K226" s="148">
        <f>'Toim ja inv rahavirta'!K219/'Veroposentin tuotto'!AQ219*-1</f>
        <v>-3.2692897732835444</v>
      </c>
      <c r="L226" s="148">
        <f>'Toim ja inv rahavirta'!L219/'Veroposentin tuotto'!AR219*-1</f>
        <v>-0.54059419436810952</v>
      </c>
      <c r="M226" s="148">
        <f>'Toim ja inv rahavirta'!M219/'Veroposentin tuotto'!AS219*-1</f>
        <v>0.56286509185268208</v>
      </c>
      <c r="N226" s="148">
        <f>'Toim ja inv rahavirta'!N219/'Veroposentin tuotto'!AT219*-1</f>
        <v>0.92529766417847525</v>
      </c>
      <c r="O226" s="148">
        <f>'Toim ja inv rahavirta'!O219/'Veroposentin tuotto'!AU219*-1</f>
        <v>0.87206352570724877</v>
      </c>
      <c r="P226" s="148">
        <f>'Toim ja inv rahavirta'!P219/'Veroposentin tuotto'!AV219*-1</f>
        <v>0.66905481396264033</v>
      </c>
    </row>
    <row r="227" spans="1:16" x14ac:dyDescent="0.2">
      <c r="A227" s="34">
        <v>680</v>
      </c>
      <c r="B227" s="88" t="s">
        <v>534</v>
      </c>
      <c r="C227" s="148" t="e">
        <f>'Toim ja inv rahavirta'!C220/'Veroposentin tuotto'!AI220*-1</f>
        <v>#REF!</v>
      </c>
      <c r="D227" s="148">
        <f>'Toim ja inv rahavirta'!D220/'Veroposentin tuotto'!AJ220*-1</f>
        <v>-10.231069433546862</v>
      </c>
      <c r="E227" s="148">
        <f>'Toim ja inv rahavirta'!E220/'Veroposentin tuotto'!AK220*-1</f>
        <v>0.86386003280481138</v>
      </c>
      <c r="F227" s="148">
        <f>'Toim ja inv rahavirta'!F220/'Veroposentin tuotto'!AL220*-1</f>
        <v>0.8790248390064398</v>
      </c>
      <c r="G227" s="148">
        <f>'Toim ja inv rahavirta'!G220/'Veroposentin tuotto'!AM220*-1</f>
        <v>1.55976717112922</v>
      </c>
      <c r="H227" s="148">
        <f>'Toim ja inv rahavirta'!H220/'Veroposentin tuotto'!AN220*-1</f>
        <v>-1.7938974146327378</v>
      </c>
      <c r="I227" s="148">
        <f>'Toim ja inv rahavirta'!I220/'Veroposentin tuotto'!AO220*-1</f>
        <v>-2.2364258966158443</v>
      </c>
      <c r="J227" s="148">
        <f>'Toim ja inv rahavirta'!J220/'Veroposentin tuotto'!AP220*-1</f>
        <v>-0.83193076408800659</v>
      </c>
      <c r="K227" s="148">
        <f>'Toim ja inv rahavirta'!K220/'Veroposentin tuotto'!AQ220*-1</f>
        <v>0.71183852250742052</v>
      </c>
      <c r="L227" s="148">
        <f>'Toim ja inv rahavirta'!L220/'Veroposentin tuotto'!AR220*-1</f>
        <v>2.250714854461787</v>
      </c>
      <c r="M227" s="148">
        <f>'Toim ja inv rahavirta'!M220/'Veroposentin tuotto'!AS220*-1</f>
        <v>2.409360112298812</v>
      </c>
      <c r="N227" s="148">
        <f>'Toim ja inv rahavirta'!N220/'Veroposentin tuotto'!AT220*-1</f>
        <v>2.4806827038050274</v>
      </c>
      <c r="O227" s="148">
        <f>'Toim ja inv rahavirta'!O220/'Veroposentin tuotto'!AU220*-1</f>
        <v>2.5055932738716433</v>
      </c>
      <c r="P227" s="148">
        <f>'Toim ja inv rahavirta'!P220/'Veroposentin tuotto'!AV220*-1</f>
        <v>2.3769312778575946</v>
      </c>
    </row>
    <row r="228" spans="1:16" x14ac:dyDescent="0.2">
      <c r="A228" s="34">
        <v>681</v>
      </c>
      <c r="B228" s="88" t="s">
        <v>535</v>
      </c>
      <c r="C228" s="148" t="e">
        <f>'Toim ja inv rahavirta'!C221/'Veroposentin tuotto'!AI221*-1</f>
        <v>#REF!</v>
      </c>
      <c r="D228" s="148">
        <f>'Toim ja inv rahavirta'!D221/'Veroposentin tuotto'!AJ221*-1</f>
        <v>-3.2065192351992629</v>
      </c>
      <c r="E228" s="148">
        <f>'Toim ja inv rahavirta'!E221/'Veroposentin tuotto'!AK221*-1</f>
        <v>-2.5531715388858247</v>
      </c>
      <c r="F228" s="148">
        <f>'Toim ja inv rahavirta'!F221/'Veroposentin tuotto'!AL221*-1</f>
        <v>2.7785446888160976</v>
      </c>
      <c r="G228" s="148">
        <f>'Toim ja inv rahavirta'!G221/'Veroposentin tuotto'!AM221*-1</f>
        <v>-2.30951083996078</v>
      </c>
      <c r="H228" s="148">
        <f>'Toim ja inv rahavirta'!H221/'Veroposentin tuotto'!AN221*-1</f>
        <v>-5.4413899259363188</v>
      </c>
      <c r="I228" s="148">
        <f>'Toim ja inv rahavirta'!I221/'Veroposentin tuotto'!AO221*-1</f>
        <v>-1.6209183430824541</v>
      </c>
      <c r="J228" s="148">
        <f>'Toim ja inv rahavirta'!J221/'Veroposentin tuotto'!AP221*-1</f>
        <v>-1.8410187451023852</v>
      </c>
      <c r="K228" s="148">
        <f>'Toim ja inv rahavirta'!K221/'Veroposentin tuotto'!AQ221*-1</f>
        <v>0.85347457514241587</v>
      </c>
      <c r="L228" s="148">
        <f>'Toim ja inv rahavirta'!L221/'Veroposentin tuotto'!AR221*-1</f>
        <v>0.86857075258832617</v>
      </c>
      <c r="M228" s="148">
        <f>'Toim ja inv rahavirta'!M221/'Veroposentin tuotto'!AS221*-1</f>
        <v>2.1131477572735267</v>
      </c>
      <c r="N228" s="148">
        <f>'Toim ja inv rahavirta'!N221/'Veroposentin tuotto'!AT221*-1</f>
        <v>2.1408929750476382</v>
      </c>
      <c r="O228" s="148">
        <f>'Toim ja inv rahavirta'!O221/'Veroposentin tuotto'!AU221*-1</f>
        <v>2.0541795374989218</v>
      </c>
      <c r="P228" s="148">
        <f>'Toim ja inv rahavirta'!P221/'Veroposentin tuotto'!AV221*-1</f>
        <v>1.5740958768129263</v>
      </c>
    </row>
    <row r="229" spans="1:16" x14ac:dyDescent="0.2">
      <c r="A229" s="34">
        <v>683</v>
      </c>
      <c r="B229" s="88" t="s">
        <v>536</v>
      </c>
      <c r="C229" s="148" t="e">
        <f>'Toim ja inv rahavirta'!C222/'Veroposentin tuotto'!AI222*-1</f>
        <v>#REF!</v>
      </c>
      <c r="D229" s="148">
        <f>'Toim ja inv rahavirta'!D222/'Veroposentin tuotto'!AJ222*-1</f>
        <v>-4.5084091453196073</v>
      </c>
      <c r="E229" s="148">
        <f>'Toim ja inv rahavirta'!E222/'Veroposentin tuotto'!AK222*-1</f>
        <v>-4.7487585171497866</v>
      </c>
      <c r="F229" s="148">
        <f>'Toim ja inv rahavirta'!F222/'Veroposentin tuotto'!AL222*-1</f>
        <v>-1.88948141525099</v>
      </c>
      <c r="G229" s="148">
        <f>'Toim ja inv rahavirta'!G222/'Veroposentin tuotto'!AM222*-1</f>
        <v>-0.43157407407407405</v>
      </c>
      <c r="H229" s="148">
        <f>'Toim ja inv rahavirta'!H222/'Veroposentin tuotto'!AN222*-1</f>
        <v>-2.3044485272760169</v>
      </c>
      <c r="I229" s="148">
        <f>'Toim ja inv rahavirta'!I222/'Veroposentin tuotto'!AO222*-1</f>
        <v>-1.9812287563989637</v>
      </c>
      <c r="J229" s="148">
        <f>'Toim ja inv rahavirta'!J222/'Veroposentin tuotto'!AP222*-1</f>
        <v>0.31961597524512647</v>
      </c>
      <c r="K229" s="148">
        <f>'Toim ja inv rahavirta'!K222/'Veroposentin tuotto'!AQ222*-1</f>
        <v>16.169321976597011</v>
      </c>
      <c r="L229" s="148">
        <f>'Toim ja inv rahavirta'!L222/'Veroposentin tuotto'!AR222*-1</f>
        <v>4.9289283347578552</v>
      </c>
      <c r="M229" s="148">
        <f>'Toim ja inv rahavirta'!M222/'Veroposentin tuotto'!AS222*-1</f>
        <v>7.7037186896866414</v>
      </c>
      <c r="N229" s="148">
        <f>'Toim ja inv rahavirta'!N222/'Veroposentin tuotto'!AT222*-1</f>
        <v>8.1563079549616297</v>
      </c>
      <c r="O229" s="148">
        <f>'Toim ja inv rahavirta'!O222/'Veroposentin tuotto'!AU222*-1</f>
        <v>9.0555064132240179</v>
      </c>
      <c r="P229" s="148">
        <f>'Toim ja inv rahavirta'!P222/'Veroposentin tuotto'!AV222*-1</f>
        <v>8.474078892168416</v>
      </c>
    </row>
    <row r="230" spans="1:16" x14ac:dyDescent="0.2">
      <c r="A230" s="34">
        <v>684</v>
      </c>
      <c r="B230" s="88" t="s">
        <v>537</v>
      </c>
      <c r="C230" s="148" t="e">
        <f>'Toim ja inv rahavirta'!C223/'Veroposentin tuotto'!AI223*-1</f>
        <v>#REF!</v>
      </c>
      <c r="D230" s="148">
        <f>'Toim ja inv rahavirta'!D223/'Veroposentin tuotto'!AJ223*-1</f>
        <v>-0.20616002862569158</v>
      </c>
      <c r="E230" s="148">
        <f>'Toim ja inv rahavirta'!E223/'Veroposentin tuotto'!AK223*-1</f>
        <v>-1.6752606396039471</v>
      </c>
      <c r="F230" s="148">
        <f>'Toim ja inv rahavirta'!F223/'Veroposentin tuotto'!AL223*-1</f>
        <v>2.7677453237991356</v>
      </c>
      <c r="G230" s="148">
        <f>'Toim ja inv rahavirta'!G223/'Veroposentin tuotto'!AM223*-1</f>
        <v>2.9617354215623686</v>
      </c>
      <c r="H230" s="148">
        <f>'Toim ja inv rahavirta'!H223/'Veroposentin tuotto'!AN223*-1</f>
        <v>-2.6458165850100537</v>
      </c>
      <c r="I230" s="148">
        <f>'Toim ja inv rahavirta'!I223/'Veroposentin tuotto'!AO223*-1</f>
        <v>-0.2152856390612497</v>
      </c>
      <c r="J230" s="148">
        <f>'Toim ja inv rahavirta'!J223/'Veroposentin tuotto'!AP223*-1</f>
        <v>2.6628621394118972</v>
      </c>
      <c r="K230" s="148">
        <f>'Toim ja inv rahavirta'!K223/'Veroposentin tuotto'!AQ223*-1</f>
        <v>1.1750176913146908</v>
      </c>
      <c r="L230" s="148">
        <f>'Toim ja inv rahavirta'!L223/'Veroposentin tuotto'!AR223*-1</f>
        <v>2.261375162759462</v>
      </c>
      <c r="M230" s="148">
        <f>'Toim ja inv rahavirta'!M223/'Veroposentin tuotto'!AS223*-1</f>
        <v>2.4567156298852089</v>
      </c>
      <c r="N230" s="148">
        <f>'Toim ja inv rahavirta'!N223/'Veroposentin tuotto'!AT223*-1</f>
        <v>2.2997585448994604</v>
      </c>
      <c r="O230" s="148">
        <f>'Toim ja inv rahavirta'!O223/'Veroposentin tuotto'!AU223*-1</f>
        <v>2.2857335173029565</v>
      </c>
      <c r="P230" s="148">
        <f>'Toim ja inv rahavirta'!P223/'Veroposentin tuotto'!AV223*-1</f>
        <v>2.1355323582634393</v>
      </c>
    </row>
    <row r="231" spans="1:16" x14ac:dyDescent="0.2">
      <c r="A231" s="34">
        <v>686</v>
      </c>
      <c r="B231" s="88" t="s">
        <v>538</v>
      </c>
      <c r="C231" s="148" t="e">
        <f>'Toim ja inv rahavirta'!C224/'Veroposentin tuotto'!AI224*-1</f>
        <v>#REF!</v>
      </c>
      <c r="D231" s="148">
        <f>'Toim ja inv rahavirta'!D224/'Veroposentin tuotto'!AJ224*-1</f>
        <v>-3.071461187214612</v>
      </c>
      <c r="E231" s="148">
        <f>'Toim ja inv rahavirta'!E224/'Veroposentin tuotto'!AK224*-1</f>
        <v>1.1443498012492901</v>
      </c>
      <c r="F231" s="148">
        <f>'Toim ja inv rahavirta'!F224/'Veroposentin tuotto'!AL224*-1</f>
        <v>4.1185202639019796</v>
      </c>
      <c r="G231" s="148">
        <f>'Toim ja inv rahavirta'!G224/'Veroposentin tuotto'!AM224*-1</f>
        <v>5.8126235034290366</v>
      </c>
      <c r="H231" s="148">
        <f>'Toim ja inv rahavirta'!H224/'Veroposentin tuotto'!AN224*-1</f>
        <v>0.162183596012974</v>
      </c>
      <c r="I231" s="148">
        <f>'Toim ja inv rahavirta'!I224/'Veroposentin tuotto'!AO224*-1</f>
        <v>-0.69320286728014191</v>
      </c>
      <c r="J231" s="148">
        <f>'Toim ja inv rahavirta'!J224/'Veroposentin tuotto'!AP224*-1</f>
        <v>-3.0211550276765244</v>
      </c>
      <c r="K231" s="148">
        <f>'Toim ja inv rahavirta'!K224/'Veroposentin tuotto'!AQ224*-1</f>
        <v>-1.5126435076817264</v>
      </c>
      <c r="L231" s="148">
        <f>'Toim ja inv rahavirta'!L224/'Veroposentin tuotto'!AR224*-1</f>
        <v>-1.6909541574288272</v>
      </c>
      <c r="M231" s="148">
        <f>'Toim ja inv rahavirta'!M224/'Veroposentin tuotto'!AS224*-1</f>
        <v>0.46419338006798022</v>
      </c>
      <c r="N231" s="148">
        <f>'Toim ja inv rahavirta'!N224/'Veroposentin tuotto'!AT224*-1</f>
        <v>0.77951475106417567</v>
      </c>
      <c r="O231" s="148">
        <f>'Toim ja inv rahavirta'!O224/'Veroposentin tuotto'!AU224*-1</f>
        <v>1.0910987071497129</v>
      </c>
      <c r="P231" s="148">
        <f>'Toim ja inv rahavirta'!P224/'Veroposentin tuotto'!AV224*-1</f>
        <v>0.57477834366883951</v>
      </c>
    </row>
    <row r="232" spans="1:16" x14ac:dyDescent="0.2">
      <c r="A232" s="34">
        <v>687</v>
      </c>
      <c r="B232" s="88" t="s">
        <v>539</v>
      </c>
      <c r="C232" s="148" t="e">
        <f>'Toim ja inv rahavirta'!C225/'Veroposentin tuotto'!AI225*-1</f>
        <v>#REF!</v>
      </c>
      <c r="D232" s="148">
        <f>'Toim ja inv rahavirta'!D225/'Veroposentin tuotto'!AJ225*-1</f>
        <v>6.0706991358994502</v>
      </c>
      <c r="E232" s="148">
        <f>'Toim ja inv rahavirta'!E225/'Veroposentin tuotto'!AK225*-1</f>
        <v>-2.3043243243243241</v>
      </c>
      <c r="F232" s="148">
        <f>'Toim ja inv rahavirta'!F225/'Veroposentin tuotto'!AL225*-1</f>
        <v>-3.5281914893617023</v>
      </c>
      <c r="G232" s="148">
        <f>'Toim ja inv rahavirta'!G225/'Veroposentin tuotto'!AM225*-1</f>
        <v>-0.60588235294117643</v>
      </c>
      <c r="H232" s="148">
        <f>'Toim ja inv rahavirta'!H225/'Veroposentin tuotto'!AN225*-1</f>
        <v>-9.9880285140750491</v>
      </c>
      <c r="I232" s="148">
        <f>'Toim ja inv rahavirta'!I225/'Veroposentin tuotto'!AO225*-1</f>
        <v>-16.556769356254534</v>
      </c>
      <c r="J232" s="148">
        <f>'Toim ja inv rahavirta'!J225/'Veroposentin tuotto'!AP225*-1</f>
        <v>-9.3435239670064814</v>
      </c>
      <c r="K232" s="148">
        <f>'Toim ja inv rahavirta'!K225/'Veroposentin tuotto'!AQ225*-1</f>
        <v>-2.3922592938998357</v>
      </c>
      <c r="L232" s="148">
        <f>'Toim ja inv rahavirta'!L225/'Veroposentin tuotto'!AR225*-1</f>
        <v>-2.4182429698678085</v>
      </c>
      <c r="M232" s="148">
        <f>'Toim ja inv rahavirta'!M225/'Veroposentin tuotto'!AS225*-1</f>
        <v>-2.103154173930343</v>
      </c>
      <c r="N232" s="148">
        <f>'Toim ja inv rahavirta'!N225/'Veroposentin tuotto'!AT225*-1</f>
        <v>-1.6404577959627431</v>
      </c>
      <c r="O232" s="148">
        <f>'Toim ja inv rahavirta'!O225/'Veroposentin tuotto'!AU225*-1</f>
        <v>-1.4646858258039182</v>
      </c>
      <c r="P232" s="148">
        <f>'Toim ja inv rahavirta'!P225/'Veroposentin tuotto'!AV225*-1</f>
        <v>-2.2750893949902831</v>
      </c>
    </row>
    <row r="233" spans="1:16" x14ac:dyDescent="0.2">
      <c r="A233" s="34">
        <v>689</v>
      </c>
      <c r="B233" s="88" t="s">
        <v>540</v>
      </c>
      <c r="C233" s="148" t="e">
        <f>'Toim ja inv rahavirta'!C226/'Veroposentin tuotto'!AI226*-1</f>
        <v>#REF!</v>
      </c>
      <c r="D233" s="148">
        <f>'Toim ja inv rahavirta'!D226/'Veroposentin tuotto'!AJ226*-1</f>
        <v>2.816927453769559</v>
      </c>
      <c r="E233" s="148">
        <f>'Toim ja inv rahavirta'!E226/'Veroposentin tuotto'!AK226*-1</f>
        <v>-2.8958708211004831</v>
      </c>
      <c r="F233" s="148">
        <f>'Toim ja inv rahavirta'!F226/'Veroposentin tuotto'!AL226*-1</f>
        <v>-2.3786040609137058</v>
      </c>
      <c r="G233" s="148">
        <f>'Toim ja inv rahavirta'!G226/'Veroposentin tuotto'!AM226*-1</f>
        <v>-0.1982153450662448</v>
      </c>
      <c r="H233" s="148">
        <f>'Toim ja inv rahavirta'!H226/'Veroposentin tuotto'!AN226*-1</f>
        <v>-1.6212891165691152</v>
      </c>
      <c r="I233" s="148">
        <f>'Toim ja inv rahavirta'!I226/'Veroposentin tuotto'!AO226*-1</f>
        <v>-3.6450172867923754</v>
      </c>
      <c r="J233" s="148">
        <f>'Toim ja inv rahavirta'!J226/'Veroposentin tuotto'!AP226*-1</f>
        <v>-1.6165292267239786</v>
      </c>
      <c r="K233" s="148">
        <f>'Toim ja inv rahavirta'!K226/'Veroposentin tuotto'!AQ226*-1</f>
        <v>-2.735494078531961</v>
      </c>
      <c r="L233" s="148">
        <f>'Toim ja inv rahavirta'!L226/'Veroposentin tuotto'!AR226*-1</f>
        <v>0.21482131845682195</v>
      </c>
      <c r="M233" s="148">
        <f>'Toim ja inv rahavirta'!M226/'Veroposentin tuotto'!AS226*-1</f>
        <v>0.92770813378931805</v>
      </c>
      <c r="N233" s="148">
        <f>'Toim ja inv rahavirta'!N226/'Veroposentin tuotto'!AT226*-1</f>
        <v>0.11795267399773626</v>
      </c>
      <c r="O233" s="148">
        <f>'Toim ja inv rahavirta'!O226/'Veroposentin tuotto'!AU226*-1</f>
        <v>0.77462065338657671</v>
      </c>
      <c r="P233" s="148">
        <f>'Toim ja inv rahavirta'!P226/'Veroposentin tuotto'!AV226*-1</f>
        <v>6.1242198464122122E-3</v>
      </c>
    </row>
    <row r="234" spans="1:16" x14ac:dyDescent="0.2">
      <c r="A234" s="34">
        <v>691</v>
      </c>
      <c r="B234" s="88" t="s">
        <v>541</v>
      </c>
      <c r="C234" s="148" t="e">
        <f>'Toim ja inv rahavirta'!C227/'Veroposentin tuotto'!AI227*-1</f>
        <v>#REF!</v>
      </c>
      <c r="D234" s="148">
        <f>'Toim ja inv rahavirta'!D227/'Veroposentin tuotto'!AJ227*-1</f>
        <v>15.438653001464129</v>
      </c>
      <c r="E234" s="148">
        <f>'Toim ja inv rahavirta'!E227/'Veroposentin tuotto'!AK227*-1</f>
        <v>17.92432735426009</v>
      </c>
      <c r="F234" s="148">
        <f>'Toim ja inv rahavirta'!F227/'Veroposentin tuotto'!AL227*-1</f>
        <v>5.0750179468772432</v>
      </c>
      <c r="G234" s="148">
        <f>'Toim ja inv rahavirta'!G227/'Veroposentin tuotto'!AM227*-1</f>
        <v>10.233527939949958</v>
      </c>
      <c r="H234" s="148">
        <f>'Toim ja inv rahavirta'!H227/'Veroposentin tuotto'!AN227*-1</f>
        <v>-0.28766951519352074</v>
      </c>
      <c r="I234" s="148">
        <f>'Toim ja inv rahavirta'!I227/'Veroposentin tuotto'!AO227*-1</f>
        <v>-4.1642879420162942</v>
      </c>
      <c r="J234" s="148">
        <f>'Toim ja inv rahavirta'!J227/'Veroposentin tuotto'!AP227*-1</f>
        <v>-1.7050309127557555</v>
      </c>
      <c r="K234" s="148">
        <f>'Toim ja inv rahavirta'!K227/'Veroposentin tuotto'!AQ227*-1</f>
        <v>-1.2483953603169404</v>
      </c>
      <c r="L234" s="148">
        <f>'Toim ja inv rahavirta'!L227/'Veroposentin tuotto'!AR227*-1</f>
        <v>-2.0025544446125823</v>
      </c>
      <c r="M234" s="148">
        <f>'Toim ja inv rahavirta'!M227/'Veroposentin tuotto'!AS227*-1</f>
        <v>1.0980248906599697</v>
      </c>
      <c r="N234" s="148">
        <f>'Toim ja inv rahavirta'!N227/'Veroposentin tuotto'!AT227*-1</f>
        <v>0.73373010451173259</v>
      </c>
      <c r="O234" s="148">
        <f>'Toim ja inv rahavirta'!O227/'Veroposentin tuotto'!AU227*-1</f>
        <v>1.0825657459817599</v>
      </c>
      <c r="P234" s="148">
        <f>'Toim ja inv rahavirta'!P227/'Veroposentin tuotto'!AV227*-1</f>
        <v>0.57030806764573305</v>
      </c>
    </row>
    <row r="235" spans="1:16" x14ac:dyDescent="0.2">
      <c r="A235" s="34">
        <v>694</v>
      </c>
      <c r="B235" s="88" t="s">
        <v>542</v>
      </c>
      <c r="C235" s="148" t="e">
        <f>'Toim ja inv rahavirta'!C228/'Veroposentin tuotto'!AI228*-1</f>
        <v>#REF!</v>
      </c>
      <c r="D235" s="148">
        <f>'Toim ja inv rahavirta'!D228/'Veroposentin tuotto'!AJ228*-1</f>
        <v>0.72996973827962608</v>
      </c>
      <c r="E235" s="148">
        <f>'Toim ja inv rahavirta'!E228/'Veroposentin tuotto'!AK228*-1</f>
        <v>-1.0107323537662387</v>
      </c>
      <c r="F235" s="148">
        <f>'Toim ja inv rahavirta'!F228/'Veroposentin tuotto'!AL228*-1</f>
        <v>0.51914725042549448</v>
      </c>
      <c r="G235" s="148">
        <f>'Toim ja inv rahavirta'!G228/'Veroposentin tuotto'!AM228*-1</f>
        <v>-9.3214976100943456</v>
      </c>
      <c r="H235" s="148">
        <f>'Toim ja inv rahavirta'!H228/'Veroposentin tuotto'!AN228*-1</f>
        <v>-2.3782419227705001</v>
      </c>
      <c r="I235" s="148">
        <f>'Toim ja inv rahavirta'!I228/'Veroposentin tuotto'!AO228*-1</f>
        <v>-0.92706060407869162</v>
      </c>
      <c r="J235" s="148">
        <f>'Toim ja inv rahavirta'!J228/'Veroposentin tuotto'!AP228*-1</f>
        <v>0.12243858316635747</v>
      </c>
      <c r="K235" s="148">
        <f>'Toim ja inv rahavirta'!K228/'Veroposentin tuotto'!AQ228*-1</f>
        <v>-2.1844410008959449E-2</v>
      </c>
      <c r="L235" s="148">
        <f>'Toim ja inv rahavirta'!L228/'Veroposentin tuotto'!AR228*-1</f>
        <v>0.43476061596604365</v>
      </c>
      <c r="M235" s="148">
        <f>'Toim ja inv rahavirta'!M228/'Veroposentin tuotto'!AS228*-1</f>
        <v>1.3605099467919188</v>
      </c>
      <c r="N235" s="148">
        <f>'Toim ja inv rahavirta'!N228/'Veroposentin tuotto'!AT228*-1</f>
        <v>1.4398110321702839</v>
      </c>
      <c r="O235" s="148">
        <f>'Toim ja inv rahavirta'!O228/'Veroposentin tuotto'!AU228*-1</f>
        <v>1.4088438556861917</v>
      </c>
      <c r="P235" s="148">
        <f>'Toim ja inv rahavirta'!P228/'Veroposentin tuotto'!AV228*-1</f>
        <v>1.2827412311778661</v>
      </c>
    </row>
    <row r="236" spans="1:16" x14ac:dyDescent="0.2">
      <c r="A236" s="89">
        <v>697</v>
      </c>
      <c r="B236" s="90" t="s">
        <v>543</v>
      </c>
      <c r="C236" s="148" t="e">
        <f>'Toim ja inv rahavirta'!C229/'Veroposentin tuotto'!AI229*-1</f>
        <v>#REF!</v>
      </c>
      <c r="D236" s="148">
        <f>'Toim ja inv rahavirta'!D229/'Veroposentin tuotto'!AJ229*-1</f>
        <v>-1.300819903873339</v>
      </c>
      <c r="E236" s="148">
        <f>'Toim ja inv rahavirta'!E229/'Veroposentin tuotto'!AK229*-1</f>
        <v>-0.93180005317734649</v>
      </c>
      <c r="F236" s="148">
        <f>'Toim ja inv rahavirta'!F229/'Veroposentin tuotto'!AL229*-1</f>
        <v>1.0825597749648381</v>
      </c>
      <c r="G236" s="148">
        <f>'Toim ja inv rahavirta'!G229/'Veroposentin tuotto'!AM229*-1</f>
        <v>0.10579551667577912</v>
      </c>
      <c r="H236" s="148">
        <f>'Toim ja inv rahavirta'!H229/'Veroposentin tuotto'!AN229*-1</f>
        <v>-1.9993549993243709</v>
      </c>
      <c r="I236" s="148">
        <f>'Toim ja inv rahavirta'!I229/'Veroposentin tuotto'!AO229*-1</f>
        <v>-4.2870784894113569</v>
      </c>
      <c r="J236" s="148">
        <f>'Toim ja inv rahavirta'!J229/'Veroposentin tuotto'!AP229*-1</f>
        <v>-4.4190470487772826</v>
      </c>
      <c r="K236" s="148">
        <f>'Toim ja inv rahavirta'!K229/'Veroposentin tuotto'!AQ229*-1</f>
        <v>-0.48627504083014927</v>
      </c>
      <c r="L236" s="148">
        <f>'Toim ja inv rahavirta'!L229/'Veroposentin tuotto'!AR229*-1</f>
        <v>0.30020335782243623</v>
      </c>
      <c r="M236" s="148">
        <f>'Toim ja inv rahavirta'!M229/'Veroposentin tuotto'!AS229*-1</f>
        <v>1.3947201815774315</v>
      </c>
      <c r="N236" s="148">
        <f>'Toim ja inv rahavirta'!N229/'Veroposentin tuotto'!AT229*-1</f>
        <v>1.5032241202599508</v>
      </c>
      <c r="O236" s="148">
        <f>'Toim ja inv rahavirta'!O229/'Veroposentin tuotto'!AU229*-1</f>
        <v>1.7269292145140922</v>
      </c>
      <c r="P236" s="148">
        <f>'Toim ja inv rahavirta'!P229/'Veroposentin tuotto'!AV229*-1</f>
        <v>1.1062022186505365</v>
      </c>
    </row>
    <row r="237" spans="1:16" x14ac:dyDescent="0.2">
      <c r="A237" s="34">
        <v>698</v>
      </c>
      <c r="B237" s="88" t="s">
        <v>544</v>
      </c>
      <c r="C237" s="148" t="e">
        <f>'Toim ja inv rahavirta'!C230/'Veroposentin tuotto'!AI230*-1</f>
        <v>#REF!</v>
      </c>
      <c r="D237" s="148">
        <f>'Toim ja inv rahavirta'!D230/'Veroposentin tuotto'!AJ230*-1</f>
        <v>-0.37689672050905532</v>
      </c>
      <c r="E237" s="148">
        <f>'Toim ja inv rahavirta'!E230/'Veroposentin tuotto'!AK230*-1</f>
        <v>-4.8436361530778176E-2</v>
      </c>
      <c r="F237" s="148">
        <f>'Toim ja inv rahavirta'!F230/'Veroposentin tuotto'!AL230*-1</f>
        <v>3.0673869317294176</v>
      </c>
      <c r="G237" s="148">
        <f>'Toim ja inv rahavirta'!G230/'Veroposentin tuotto'!AM230*-1</f>
        <v>3.1233901121728294</v>
      </c>
      <c r="H237" s="148">
        <f>'Toim ja inv rahavirta'!H230/'Veroposentin tuotto'!AN230*-1</f>
        <v>-1.4628946587374636</v>
      </c>
      <c r="I237" s="148">
        <f>'Toim ja inv rahavirta'!I230/'Veroposentin tuotto'!AO230*-1</f>
        <v>-1.0181080456909408</v>
      </c>
      <c r="J237" s="148">
        <f>'Toim ja inv rahavirta'!J230/'Veroposentin tuotto'!AP230*-1</f>
        <v>0.39678503882131733</v>
      </c>
      <c r="K237" s="148">
        <f>'Toim ja inv rahavirta'!K230/'Veroposentin tuotto'!AQ230*-1</f>
        <v>-0.95315666679240396</v>
      </c>
      <c r="L237" s="148">
        <f>'Toim ja inv rahavirta'!L230/'Veroposentin tuotto'!AR230*-1</f>
        <v>1.0369250724014312</v>
      </c>
      <c r="M237" s="148">
        <f>'Toim ja inv rahavirta'!M230/'Veroposentin tuotto'!AS230*-1</f>
        <v>1.7760218116806368</v>
      </c>
      <c r="N237" s="148">
        <f>'Toim ja inv rahavirta'!N230/'Veroposentin tuotto'!AT230*-1</f>
        <v>1.5386256026148084</v>
      </c>
      <c r="O237" s="148">
        <f>'Toim ja inv rahavirta'!O230/'Veroposentin tuotto'!AU230*-1</f>
        <v>1.4843831357156458</v>
      </c>
      <c r="P237" s="148">
        <f>'Toim ja inv rahavirta'!P230/'Veroposentin tuotto'!AV230*-1</f>
        <v>1.2482984753591282</v>
      </c>
    </row>
    <row r="238" spans="1:16" x14ac:dyDescent="0.2">
      <c r="A238" s="34">
        <v>700</v>
      </c>
      <c r="B238" s="88" t="s">
        <v>545</v>
      </c>
      <c r="C238" s="148" t="e">
        <f>'Toim ja inv rahavirta'!C231/'Veroposentin tuotto'!AI231*-1</f>
        <v>#REF!</v>
      </c>
      <c r="D238" s="148">
        <f>'Toim ja inv rahavirta'!D231/'Veroposentin tuotto'!AJ231*-1</f>
        <v>-1.7511627906976743</v>
      </c>
      <c r="E238" s="148">
        <f>'Toim ja inv rahavirta'!E231/'Veroposentin tuotto'!AK231*-1</f>
        <v>5.7788065843621403</v>
      </c>
      <c r="F238" s="148">
        <f>'Toim ja inv rahavirta'!F231/'Veroposentin tuotto'!AL231*-1</f>
        <v>7.7111085030221229</v>
      </c>
      <c r="G238" s="148">
        <f>'Toim ja inv rahavirta'!G231/'Veroposentin tuotto'!AM231*-1</f>
        <v>-2.3252231752144232</v>
      </c>
      <c r="H238" s="148">
        <f>'Toim ja inv rahavirta'!H231/'Veroposentin tuotto'!AN231*-1</f>
        <v>-4.7108248160772668</v>
      </c>
      <c r="I238" s="148">
        <f>'Toim ja inv rahavirta'!I231/'Veroposentin tuotto'!AO231*-1</f>
        <v>-2.4065340538352178</v>
      </c>
      <c r="J238" s="148">
        <f>'Toim ja inv rahavirta'!J231/'Veroposentin tuotto'!AP231*-1</f>
        <v>1.7468339357210292</v>
      </c>
      <c r="K238" s="148">
        <f>'Toim ja inv rahavirta'!K231/'Veroposentin tuotto'!AQ231*-1</f>
        <v>-0.69787050552111496</v>
      </c>
      <c r="L238" s="148">
        <f>'Toim ja inv rahavirta'!L231/'Veroposentin tuotto'!AR231*-1</f>
        <v>0.91506848480796399</v>
      </c>
      <c r="M238" s="148">
        <f>'Toim ja inv rahavirta'!M231/'Veroposentin tuotto'!AS231*-1</f>
        <v>1.5396950291559142</v>
      </c>
      <c r="N238" s="148">
        <f>'Toim ja inv rahavirta'!N231/'Veroposentin tuotto'!AT231*-1</f>
        <v>1.8816282544019354</v>
      </c>
      <c r="O238" s="148">
        <f>'Toim ja inv rahavirta'!O231/'Veroposentin tuotto'!AU231*-1</f>
        <v>2.2658067761099225</v>
      </c>
      <c r="P238" s="148">
        <f>'Toim ja inv rahavirta'!P231/'Veroposentin tuotto'!AV231*-1</f>
        <v>1.9800460283946406</v>
      </c>
    </row>
    <row r="239" spans="1:16" x14ac:dyDescent="0.2">
      <c r="A239" s="34">
        <v>702</v>
      </c>
      <c r="B239" s="88" t="s">
        <v>546</v>
      </c>
      <c r="C239" s="148" t="e">
        <f>'Toim ja inv rahavirta'!C232/'Veroposentin tuotto'!AI232*-1</f>
        <v>#REF!</v>
      </c>
      <c r="D239" s="148">
        <f>'Toim ja inv rahavirta'!D232/'Veroposentin tuotto'!AJ232*-1</f>
        <v>-4.1090808204500231</v>
      </c>
      <c r="E239" s="148">
        <f>'Toim ja inv rahavirta'!E232/'Veroposentin tuotto'!AK232*-1</f>
        <v>-2.5021033653846154</v>
      </c>
      <c r="F239" s="148">
        <f>'Toim ja inv rahavirta'!F232/'Veroposentin tuotto'!AL232*-1</f>
        <v>-0.45091880006282392</v>
      </c>
      <c r="G239" s="148">
        <f>'Toim ja inv rahavirta'!G232/'Veroposentin tuotto'!AM232*-1</f>
        <v>2.2592477944590619</v>
      </c>
      <c r="H239" s="148">
        <f>'Toim ja inv rahavirta'!H232/'Veroposentin tuotto'!AN232*-1</f>
        <v>0.38193041255790638</v>
      </c>
      <c r="I239" s="148">
        <f>'Toim ja inv rahavirta'!I232/'Veroposentin tuotto'!AO232*-1</f>
        <v>0.85027216390046745</v>
      </c>
      <c r="J239" s="148">
        <f>'Toim ja inv rahavirta'!J232/'Veroposentin tuotto'!AP232*-1</f>
        <v>-0.46276954632726758</v>
      </c>
      <c r="K239" s="148">
        <f>'Toim ja inv rahavirta'!K232/'Veroposentin tuotto'!AQ232*-1</f>
        <v>-0.98940128257986848</v>
      </c>
      <c r="L239" s="148">
        <f>'Toim ja inv rahavirta'!L232/'Veroposentin tuotto'!AR232*-1</f>
        <v>0.10567205102305852</v>
      </c>
      <c r="M239" s="148">
        <f>'Toim ja inv rahavirta'!M232/'Veroposentin tuotto'!AS232*-1</f>
        <v>1.0284257000133394</v>
      </c>
      <c r="N239" s="148">
        <f>'Toim ja inv rahavirta'!N232/'Veroposentin tuotto'!AT232*-1</f>
        <v>1.494926981927176</v>
      </c>
      <c r="O239" s="148">
        <f>'Toim ja inv rahavirta'!O232/'Veroposentin tuotto'!AU232*-1</f>
        <v>2.0470647761677911</v>
      </c>
      <c r="P239" s="148">
        <f>'Toim ja inv rahavirta'!P232/'Veroposentin tuotto'!AV232*-1</f>
        <v>1.5427504156390845</v>
      </c>
    </row>
    <row r="240" spans="1:16" x14ac:dyDescent="0.2">
      <c r="A240" s="34">
        <v>704</v>
      </c>
      <c r="B240" s="88" t="s">
        <v>547</v>
      </c>
      <c r="C240" s="148" t="e">
        <f>'Toim ja inv rahavirta'!C233/'Veroposentin tuotto'!AI233*-1</f>
        <v>#REF!</v>
      </c>
      <c r="D240" s="148">
        <f>'Toim ja inv rahavirta'!D233/'Veroposentin tuotto'!AJ233*-1</f>
        <v>-2.7310597230640123</v>
      </c>
      <c r="E240" s="148">
        <f>'Toim ja inv rahavirta'!E233/'Veroposentin tuotto'!AK233*-1</f>
        <v>-3.3056853047579797</v>
      </c>
      <c r="F240" s="148">
        <f>'Toim ja inv rahavirta'!F233/'Veroposentin tuotto'!AL233*-1</f>
        <v>-1.0204577904693914</v>
      </c>
      <c r="G240" s="148">
        <f>'Toim ja inv rahavirta'!G233/'Veroposentin tuotto'!AM233*-1</f>
        <v>3.920838210137751</v>
      </c>
      <c r="H240" s="148">
        <f>'Toim ja inv rahavirta'!H233/'Veroposentin tuotto'!AN233*-1</f>
        <v>-2.1326088925018989</v>
      </c>
      <c r="I240" s="148">
        <f>'Toim ja inv rahavirta'!I233/'Veroposentin tuotto'!AO233*-1</f>
        <v>0.34875983117280834</v>
      </c>
      <c r="J240" s="148">
        <f>'Toim ja inv rahavirta'!J233/'Veroposentin tuotto'!AP233*-1</f>
        <v>0.66936989779808642</v>
      </c>
      <c r="K240" s="148">
        <f>'Toim ja inv rahavirta'!K233/'Veroposentin tuotto'!AQ233*-1</f>
        <v>3.3646224302804381E-2</v>
      </c>
      <c r="L240" s="148">
        <f>'Toim ja inv rahavirta'!L233/'Veroposentin tuotto'!AR233*-1</f>
        <v>0.42958717173509281</v>
      </c>
      <c r="M240" s="148">
        <f>'Toim ja inv rahavirta'!M233/'Veroposentin tuotto'!AS233*-1</f>
        <v>1.5912052404842838</v>
      </c>
      <c r="N240" s="148">
        <f>'Toim ja inv rahavirta'!N233/'Veroposentin tuotto'!AT233*-1</f>
        <v>1.1916808955472296</v>
      </c>
      <c r="O240" s="148">
        <f>'Toim ja inv rahavirta'!O233/'Veroposentin tuotto'!AU233*-1</f>
        <v>1.1778004159257993</v>
      </c>
      <c r="P240" s="148">
        <f>'Toim ja inv rahavirta'!P233/'Veroposentin tuotto'!AV233*-1</f>
        <v>1.0435535122867574</v>
      </c>
    </row>
    <row r="241" spans="1:16" x14ac:dyDescent="0.2">
      <c r="A241" s="34">
        <v>707</v>
      </c>
      <c r="B241" s="88" t="s">
        <v>548</v>
      </c>
      <c r="C241" s="148" t="e">
        <f>'Toim ja inv rahavirta'!C234/'Veroposentin tuotto'!AI234*-1</f>
        <v>#REF!</v>
      </c>
      <c r="D241" s="148">
        <f>'Toim ja inv rahavirta'!D234/'Veroposentin tuotto'!AJ234*-1</f>
        <v>-4.1486702659468104</v>
      </c>
      <c r="E241" s="148">
        <f>'Toim ja inv rahavirta'!E234/'Veroposentin tuotto'!AK234*-1</f>
        <v>-6.3865313653136528</v>
      </c>
      <c r="F241" s="148">
        <f>'Toim ja inv rahavirta'!F234/'Veroposentin tuotto'!AL234*-1</f>
        <v>-1.6309425382389418</v>
      </c>
      <c r="G241" s="148">
        <f>'Toim ja inv rahavirta'!G234/'Veroposentin tuotto'!AM234*-1</f>
        <v>1.7549125458864177</v>
      </c>
      <c r="H241" s="148">
        <f>'Toim ja inv rahavirta'!H234/'Veroposentin tuotto'!AN234*-1</f>
        <v>4.1643906217126068</v>
      </c>
      <c r="I241" s="148">
        <f>'Toim ja inv rahavirta'!I234/'Veroposentin tuotto'!AO234*-1</f>
        <v>-1.3602762414515539</v>
      </c>
      <c r="J241" s="148">
        <f>'Toim ja inv rahavirta'!J234/'Veroposentin tuotto'!AP234*-1</f>
        <v>-6.4620002141034876</v>
      </c>
      <c r="K241" s="148">
        <f>'Toim ja inv rahavirta'!K234/'Veroposentin tuotto'!AQ234*-1</f>
        <v>-1.7550287912623677</v>
      </c>
      <c r="L241" s="148">
        <f>'Toim ja inv rahavirta'!L234/'Veroposentin tuotto'!AR234*-1</f>
        <v>-1.6199960950462009</v>
      </c>
      <c r="M241" s="148">
        <f>'Toim ja inv rahavirta'!M234/'Veroposentin tuotto'!AS234*-1</f>
        <v>3.3172895215973517</v>
      </c>
      <c r="N241" s="148">
        <f>'Toim ja inv rahavirta'!N234/'Veroposentin tuotto'!AT234*-1</f>
        <v>3.6185854210169572</v>
      </c>
      <c r="O241" s="148">
        <f>'Toim ja inv rahavirta'!O234/'Veroposentin tuotto'!AU234*-1</f>
        <v>4.0432301644678317</v>
      </c>
      <c r="P241" s="148">
        <f>'Toim ja inv rahavirta'!P234/'Veroposentin tuotto'!AV234*-1</f>
        <v>3.0969797699266524</v>
      </c>
    </row>
    <row r="242" spans="1:16" x14ac:dyDescent="0.2">
      <c r="A242" s="34">
        <v>710</v>
      </c>
      <c r="B242" s="88" t="s">
        <v>549</v>
      </c>
      <c r="C242" s="148" t="e">
        <f>'Toim ja inv rahavirta'!C235/'Veroposentin tuotto'!AI235*-1</f>
        <v>#REF!</v>
      </c>
      <c r="D242" s="148">
        <f>'Toim ja inv rahavirta'!D235/'Veroposentin tuotto'!AJ235*-1</f>
        <v>-0.12914769357578684</v>
      </c>
      <c r="E242" s="148">
        <f>'Toim ja inv rahavirta'!E235/'Veroposentin tuotto'!AK235*-1</f>
        <v>-2.6377372029979269</v>
      </c>
      <c r="F242" s="148">
        <f>'Toim ja inv rahavirta'!F235/'Veroposentin tuotto'!AL235*-1</f>
        <v>1.3534173773328391</v>
      </c>
      <c r="G242" s="148">
        <f>'Toim ja inv rahavirta'!G235/'Veroposentin tuotto'!AM235*-1</f>
        <v>2.6188297127550557</v>
      </c>
      <c r="H242" s="148">
        <f>'Toim ja inv rahavirta'!H235/'Veroposentin tuotto'!AN235*-1</f>
        <v>-1.3568278806048282</v>
      </c>
      <c r="I242" s="148">
        <f>'Toim ja inv rahavirta'!I235/'Veroposentin tuotto'!AO235*-1</f>
        <v>-0.87116349527031278</v>
      </c>
      <c r="J242" s="148">
        <f>'Toim ja inv rahavirta'!J235/'Veroposentin tuotto'!AP235*-1</f>
        <v>0.16359535325144589</v>
      </c>
      <c r="K242" s="148">
        <f>'Toim ja inv rahavirta'!K235/'Veroposentin tuotto'!AQ235*-1</f>
        <v>-1.1523791465372484</v>
      </c>
      <c r="L242" s="148">
        <f>'Toim ja inv rahavirta'!L235/'Veroposentin tuotto'!AR235*-1</f>
        <v>1.1652122635304605</v>
      </c>
      <c r="M242" s="148">
        <f>'Toim ja inv rahavirta'!M235/'Veroposentin tuotto'!AS235*-1</f>
        <v>1.2597720021422787</v>
      </c>
      <c r="N242" s="148">
        <f>'Toim ja inv rahavirta'!N235/'Veroposentin tuotto'!AT235*-1</f>
        <v>1.2855342698662084</v>
      </c>
      <c r="O242" s="148">
        <f>'Toim ja inv rahavirta'!O235/'Veroposentin tuotto'!AU235*-1</f>
        <v>1.1845972971623362</v>
      </c>
      <c r="P242" s="148">
        <f>'Toim ja inv rahavirta'!P235/'Veroposentin tuotto'!AV235*-1</f>
        <v>0.85287595339212141</v>
      </c>
    </row>
    <row r="243" spans="1:16" x14ac:dyDescent="0.2">
      <c r="A243" s="34">
        <v>729</v>
      </c>
      <c r="B243" s="88" t="s">
        <v>550</v>
      </c>
      <c r="C243" s="148" t="e">
        <f>'Toim ja inv rahavirta'!C236/'Veroposentin tuotto'!AI236*-1</f>
        <v>#REF!</v>
      </c>
      <c r="D243" s="148">
        <f>'Toim ja inv rahavirta'!D236/'Veroposentin tuotto'!AJ236*-1</f>
        <v>-1.396718967382903</v>
      </c>
      <c r="E243" s="148">
        <f>'Toim ja inv rahavirta'!E236/'Veroposentin tuotto'!AK236*-1</f>
        <v>-8.2764683301343567</v>
      </c>
      <c r="F243" s="148">
        <f>'Toim ja inv rahavirta'!F236/'Veroposentin tuotto'!AL236*-1</f>
        <v>-0.52222132111431008</v>
      </c>
      <c r="G243" s="148">
        <f>'Toim ja inv rahavirta'!G236/'Veroposentin tuotto'!AM236*-1</f>
        <v>0.36271038077428081</v>
      </c>
      <c r="H243" s="148">
        <f>'Toim ja inv rahavirta'!H236/'Veroposentin tuotto'!AN236*-1</f>
        <v>-3.8721069783488633</v>
      </c>
      <c r="I243" s="148">
        <f>'Toim ja inv rahavirta'!I236/'Veroposentin tuotto'!AO236*-1</f>
        <v>-4.8794403562285362</v>
      </c>
      <c r="J243" s="148">
        <f>'Toim ja inv rahavirta'!J236/'Veroposentin tuotto'!AP236*-1</f>
        <v>-1.4531450040170153</v>
      </c>
      <c r="K243" s="148">
        <f>'Toim ja inv rahavirta'!K236/'Veroposentin tuotto'!AQ236*-1</f>
        <v>-2.7376718317182243</v>
      </c>
      <c r="L243" s="148">
        <f>'Toim ja inv rahavirta'!L236/'Veroposentin tuotto'!AR236*-1</f>
        <v>-0.25016066378096857</v>
      </c>
      <c r="M243" s="148">
        <f>'Toim ja inv rahavirta'!M236/'Veroposentin tuotto'!AS236*-1</f>
        <v>1.2533923874151429</v>
      </c>
      <c r="N243" s="148">
        <f>'Toim ja inv rahavirta'!N236/'Veroposentin tuotto'!AT236*-1</f>
        <v>1.1651129245572245</v>
      </c>
      <c r="O243" s="148">
        <f>'Toim ja inv rahavirta'!O236/'Veroposentin tuotto'!AU236*-1</f>
        <v>1.1840422859311361</v>
      </c>
      <c r="P243" s="148">
        <f>'Toim ja inv rahavirta'!P236/'Veroposentin tuotto'!AV236*-1</f>
        <v>0.48261930137451625</v>
      </c>
    </row>
    <row r="244" spans="1:16" x14ac:dyDescent="0.2">
      <c r="A244" s="34">
        <v>732</v>
      </c>
      <c r="B244" s="88" t="s">
        <v>551</v>
      </c>
      <c r="C244" s="148" t="e">
        <f>'Toim ja inv rahavirta'!C237/'Veroposentin tuotto'!AI237*-1</f>
        <v>#REF!</v>
      </c>
      <c r="D244" s="148">
        <f>'Toim ja inv rahavirta'!D237/'Veroposentin tuotto'!AJ237*-1</f>
        <v>-1.7517372421281217</v>
      </c>
      <c r="E244" s="148">
        <f>'Toim ja inv rahavirta'!E237/'Veroposentin tuotto'!AK237*-1</f>
        <v>-0.39177777777777778</v>
      </c>
      <c r="F244" s="148">
        <f>'Toim ja inv rahavirta'!F237/'Veroposentin tuotto'!AL237*-1</f>
        <v>-2.0604688950789227</v>
      </c>
      <c r="G244" s="148">
        <f>'Toim ja inv rahavirta'!G237/'Veroposentin tuotto'!AM237*-1</f>
        <v>-6.800514579759863</v>
      </c>
      <c r="H244" s="148">
        <f>'Toim ja inv rahavirta'!H237/'Veroposentin tuotto'!AN237*-1</f>
        <v>-1.4710816832358542</v>
      </c>
      <c r="I244" s="148">
        <f>'Toim ja inv rahavirta'!I237/'Veroposentin tuotto'!AO237*-1</f>
        <v>-0.12357278157397625</v>
      </c>
      <c r="J244" s="148">
        <f>'Toim ja inv rahavirta'!J237/'Veroposentin tuotto'!AP237*-1</f>
        <v>-3.8562754136982975</v>
      </c>
      <c r="K244" s="148">
        <f>'Toim ja inv rahavirta'!K237/'Veroposentin tuotto'!AQ237*-1</f>
        <v>2.3873489545424196</v>
      </c>
      <c r="L244" s="148">
        <f>'Toim ja inv rahavirta'!L237/'Veroposentin tuotto'!AR237*-1</f>
        <v>2.3101933897420497</v>
      </c>
      <c r="M244" s="148">
        <f>'Toim ja inv rahavirta'!M237/'Veroposentin tuotto'!AS237*-1</f>
        <v>2.9382648360384032</v>
      </c>
      <c r="N244" s="148">
        <f>'Toim ja inv rahavirta'!N237/'Veroposentin tuotto'!AT237*-1</f>
        <v>2.774740794811632</v>
      </c>
      <c r="O244" s="148">
        <f>'Toim ja inv rahavirta'!O237/'Veroposentin tuotto'!AU237*-1</f>
        <v>3.463582786227037</v>
      </c>
      <c r="P244" s="148">
        <f>'Toim ja inv rahavirta'!P237/'Veroposentin tuotto'!AV237*-1</f>
        <v>2.9203366872007064</v>
      </c>
    </row>
    <row r="245" spans="1:16" x14ac:dyDescent="0.2">
      <c r="A245" s="34">
        <v>734</v>
      </c>
      <c r="B245" s="88" t="s">
        <v>552</v>
      </c>
      <c r="C245" s="148" t="e">
        <f>'Toim ja inv rahavirta'!C238/'Veroposentin tuotto'!AI238*-1</f>
        <v>#REF!</v>
      </c>
      <c r="D245" s="148">
        <f>'Toim ja inv rahavirta'!D238/'Veroposentin tuotto'!AJ238*-1</f>
        <v>-0.99870872105479547</v>
      </c>
      <c r="E245" s="148">
        <f>'Toim ja inv rahavirta'!E238/'Veroposentin tuotto'!AK238*-1</f>
        <v>-0.83219204386332879</v>
      </c>
      <c r="F245" s="148">
        <f>'Toim ja inv rahavirta'!F238/'Veroposentin tuotto'!AL238*-1</f>
        <v>1.7269700994963921</v>
      </c>
      <c r="G245" s="148">
        <f>'Toim ja inv rahavirta'!G238/'Veroposentin tuotto'!AM238*-1</f>
        <v>1.7539829674721761</v>
      </c>
      <c r="H245" s="148">
        <f>'Toim ja inv rahavirta'!H238/'Veroposentin tuotto'!AN238*-1</f>
        <v>-1.968694628879208</v>
      </c>
      <c r="I245" s="148">
        <f>'Toim ja inv rahavirta'!I238/'Veroposentin tuotto'!AO238*-1</f>
        <v>-0.38942780287773637</v>
      </c>
      <c r="J245" s="148">
        <f>'Toim ja inv rahavirta'!J238/'Veroposentin tuotto'!AP238*-1</f>
        <v>-1.3269565475084768</v>
      </c>
      <c r="K245" s="148">
        <f>'Toim ja inv rahavirta'!K238/'Veroposentin tuotto'!AQ238*-1</f>
        <v>-2.0777300176195963</v>
      </c>
      <c r="L245" s="148">
        <f>'Toim ja inv rahavirta'!L238/'Veroposentin tuotto'!AR238*-1</f>
        <v>-0.13089650510360065</v>
      </c>
      <c r="M245" s="148">
        <f>'Toim ja inv rahavirta'!M238/'Veroposentin tuotto'!AS238*-1</f>
        <v>4.4327555117241645E-2</v>
      </c>
      <c r="N245" s="148">
        <f>'Toim ja inv rahavirta'!N238/'Veroposentin tuotto'!AT238*-1</f>
        <v>-0.10998615389944091</v>
      </c>
      <c r="O245" s="148">
        <f>'Toim ja inv rahavirta'!O238/'Veroposentin tuotto'!AU238*-1</f>
        <v>-0.16370526541630068</v>
      </c>
      <c r="P245" s="148">
        <f>'Toim ja inv rahavirta'!P238/'Veroposentin tuotto'!AV238*-1</f>
        <v>-0.54781129688313712</v>
      </c>
    </row>
    <row r="246" spans="1:16" x14ac:dyDescent="0.2">
      <c r="A246" s="34">
        <v>738</v>
      </c>
      <c r="B246" s="88" t="s">
        <v>553</v>
      </c>
      <c r="C246" s="148" t="e">
        <f>'Toim ja inv rahavirta'!C239/'Veroposentin tuotto'!AI239*-1</f>
        <v>#REF!</v>
      </c>
      <c r="D246" s="148">
        <f>'Toim ja inv rahavirta'!D239/'Veroposentin tuotto'!AJ239*-1</f>
        <v>-0.88070032573289903</v>
      </c>
      <c r="E246" s="148">
        <f>'Toim ja inv rahavirta'!E239/'Veroposentin tuotto'!AK239*-1</f>
        <v>-0.1602882703777336</v>
      </c>
      <c r="F246" s="148">
        <f>'Toim ja inv rahavirta'!F239/'Veroposentin tuotto'!AL239*-1</f>
        <v>-5.6930440981770039E-2</v>
      </c>
      <c r="G246" s="148">
        <f>'Toim ja inv rahavirta'!G239/'Veroposentin tuotto'!AM239*-1</f>
        <v>3.8491330665845904</v>
      </c>
      <c r="H246" s="148">
        <f>'Toim ja inv rahavirta'!H239/'Veroposentin tuotto'!AN239*-1</f>
        <v>2.2210844512583194</v>
      </c>
      <c r="I246" s="148">
        <f>'Toim ja inv rahavirta'!I239/'Veroposentin tuotto'!AO239*-1</f>
        <v>2.161438412070495</v>
      </c>
      <c r="J246" s="148">
        <f>'Toim ja inv rahavirta'!J239/'Veroposentin tuotto'!AP239*-1</f>
        <v>-0.68537551657517914</v>
      </c>
      <c r="K246" s="148">
        <f>'Toim ja inv rahavirta'!K239/'Veroposentin tuotto'!AQ239*-1</f>
        <v>-1.0389596889283688</v>
      </c>
      <c r="L246" s="148">
        <f>'Toim ja inv rahavirta'!L239/'Veroposentin tuotto'!AR239*-1</f>
        <v>0.76330024202295688</v>
      </c>
      <c r="M246" s="148">
        <f>'Toim ja inv rahavirta'!M239/'Veroposentin tuotto'!AS239*-1</f>
        <v>1.2990545251491175</v>
      </c>
      <c r="N246" s="148">
        <f>'Toim ja inv rahavirta'!N239/'Veroposentin tuotto'!AT239*-1</f>
        <v>1.5673753760000062</v>
      </c>
      <c r="O246" s="148">
        <f>'Toim ja inv rahavirta'!O239/'Veroposentin tuotto'!AU239*-1</f>
        <v>1.4949361943263173</v>
      </c>
      <c r="P246" s="148">
        <f>'Toim ja inv rahavirta'!P239/'Veroposentin tuotto'!AV239*-1</f>
        <v>1.5469432924442621</v>
      </c>
    </row>
    <row r="247" spans="1:16" x14ac:dyDescent="0.2">
      <c r="A247" s="34">
        <v>739</v>
      </c>
      <c r="B247" s="88" t="s">
        <v>554</v>
      </c>
      <c r="C247" s="148" t="e">
        <f>'Toim ja inv rahavirta'!C240/'Veroposentin tuotto'!AI240*-1</f>
        <v>#REF!</v>
      </c>
      <c r="D247" s="148">
        <f>'Toim ja inv rahavirta'!D240/'Veroposentin tuotto'!AJ240*-1</f>
        <v>3.5668559628291172</v>
      </c>
      <c r="E247" s="148">
        <f>'Toim ja inv rahavirta'!E240/'Veroposentin tuotto'!AK240*-1</f>
        <v>2.7731722557800458</v>
      </c>
      <c r="F247" s="148">
        <f>'Toim ja inv rahavirta'!F240/'Veroposentin tuotto'!AL240*-1</f>
        <v>0.65761548064918851</v>
      </c>
      <c r="G247" s="148">
        <f>'Toim ja inv rahavirta'!G240/'Veroposentin tuotto'!AM240*-1</f>
        <v>-7.4529466694334925</v>
      </c>
      <c r="H247" s="148">
        <f>'Toim ja inv rahavirta'!H240/'Veroposentin tuotto'!AN240*-1</f>
        <v>-4.9305205724929539</v>
      </c>
      <c r="I247" s="148">
        <f>'Toim ja inv rahavirta'!I240/'Veroposentin tuotto'!AO240*-1</f>
        <v>-3.9971577971352139</v>
      </c>
      <c r="J247" s="148">
        <f>'Toim ja inv rahavirta'!J240/'Veroposentin tuotto'!AP240*-1</f>
        <v>0.18009753651180271</v>
      </c>
      <c r="K247" s="148">
        <f>'Toim ja inv rahavirta'!K240/'Veroposentin tuotto'!AQ240*-1</f>
        <v>0.58729378168574642</v>
      </c>
      <c r="L247" s="148">
        <f>'Toim ja inv rahavirta'!L240/'Veroposentin tuotto'!AR240*-1</f>
        <v>0.81095742695956241</v>
      </c>
      <c r="M247" s="148">
        <f>'Toim ja inv rahavirta'!M240/'Veroposentin tuotto'!AS240*-1</f>
        <v>0.96925809183147715</v>
      </c>
      <c r="N247" s="148">
        <f>'Toim ja inv rahavirta'!N240/'Veroposentin tuotto'!AT240*-1</f>
        <v>2.3018818738942994</v>
      </c>
      <c r="O247" s="148">
        <f>'Toim ja inv rahavirta'!O240/'Veroposentin tuotto'!AU240*-1</f>
        <v>2.5616511491148826</v>
      </c>
      <c r="P247" s="148">
        <f>'Toim ja inv rahavirta'!P240/'Veroposentin tuotto'!AV240*-1</f>
        <v>2.0583525492072332</v>
      </c>
    </row>
    <row r="248" spans="1:16" x14ac:dyDescent="0.2">
      <c r="A248" s="34">
        <v>740</v>
      </c>
      <c r="B248" s="88" t="s">
        <v>555</v>
      </c>
      <c r="C248" s="148" t="e">
        <f>'Toim ja inv rahavirta'!C241/'Veroposentin tuotto'!AI241*-1</f>
        <v>#REF!</v>
      </c>
      <c r="D248" s="148">
        <f>'Toim ja inv rahavirta'!D241/'Veroposentin tuotto'!AJ241*-1</f>
        <v>0.27186700106006151</v>
      </c>
      <c r="E248" s="148">
        <f>'Toim ja inv rahavirta'!E241/'Veroposentin tuotto'!AK241*-1</f>
        <v>-0.85793575814832301</v>
      </c>
      <c r="F248" s="148">
        <f>'Toim ja inv rahavirta'!F241/'Veroposentin tuotto'!AL241*-1</f>
        <v>2.1301346926625984</v>
      </c>
      <c r="G248" s="148">
        <f>'Toim ja inv rahavirta'!G241/'Veroposentin tuotto'!AM241*-1</f>
        <v>0.83410798685473753</v>
      </c>
      <c r="H248" s="148">
        <f>'Toim ja inv rahavirta'!H241/'Veroposentin tuotto'!AN241*-1</f>
        <v>-3.6287987657312994</v>
      </c>
      <c r="I248" s="148">
        <f>'Toim ja inv rahavirta'!I241/'Veroposentin tuotto'!AO241*-1</f>
        <v>-1.089831373174845</v>
      </c>
      <c r="J248" s="148">
        <f>'Toim ja inv rahavirta'!J241/'Veroposentin tuotto'!AP241*-1</f>
        <v>1.5035440194136069</v>
      </c>
      <c r="K248" s="148">
        <f>'Toim ja inv rahavirta'!K241/'Veroposentin tuotto'!AQ241*-1</f>
        <v>6.0794747983972719E-2</v>
      </c>
      <c r="L248" s="148">
        <f>'Toim ja inv rahavirta'!L241/'Veroposentin tuotto'!AR241*-1</f>
        <v>2.3088239199379803</v>
      </c>
      <c r="M248" s="148">
        <f>'Toim ja inv rahavirta'!M241/'Veroposentin tuotto'!AS241*-1</f>
        <v>2.5453465284642025</v>
      </c>
      <c r="N248" s="148">
        <f>'Toim ja inv rahavirta'!N241/'Veroposentin tuotto'!AT241*-1</f>
        <v>2.2930771376854353</v>
      </c>
      <c r="O248" s="148">
        <f>'Toim ja inv rahavirta'!O241/'Veroposentin tuotto'!AU241*-1</f>
        <v>2.2711504575850334</v>
      </c>
      <c r="P248" s="148">
        <f>'Toim ja inv rahavirta'!P241/'Veroposentin tuotto'!AV241*-1</f>
        <v>1.6470387750466609</v>
      </c>
    </row>
    <row r="249" spans="1:16" x14ac:dyDescent="0.2">
      <c r="A249" s="34">
        <v>742</v>
      </c>
      <c r="B249" s="88" t="s">
        <v>556</v>
      </c>
      <c r="C249" s="148" t="e">
        <f>'Toim ja inv rahavirta'!C242/'Veroposentin tuotto'!AI242*-1</f>
        <v>#REF!</v>
      </c>
      <c r="D249" s="148">
        <f>'Toim ja inv rahavirta'!D242/'Veroposentin tuotto'!AJ242*-1</f>
        <v>-10.912891986062718</v>
      </c>
      <c r="E249" s="148">
        <f>'Toim ja inv rahavirta'!E242/'Veroposentin tuotto'!AK242*-1</f>
        <v>2.0016748942172073</v>
      </c>
      <c r="F249" s="148">
        <f>'Toim ja inv rahavirta'!F242/'Veroposentin tuotto'!AL242*-1</f>
        <v>2.5329324169530358</v>
      </c>
      <c r="G249" s="148">
        <f>'Toim ja inv rahavirta'!G242/'Veroposentin tuotto'!AM242*-1</f>
        <v>-0.42120200333889818</v>
      </c>
      <c r="H249" s="148">
        <f>'Toim ja inv rahavirta'!H242/'Veroposentin tuotto'!AN242*-1</f>
        <v>0.71089015107470477</v>
      </c>
      <c r="I249" s="148">
        <f>'Toim ja inv rahavirta'!I242/'Veroposentin tuotto'!AO242*-1</f>
        <v>-7.1756590368056425</v>
      </c>
      <c r="J249" s="148">
        <f>'Toim ja inv rahavirta'!J242/'Veroposentin tuotto'!AP242*-1</f>
        <v>-3.2557679255900074</v>
      </c>
      <c r="K249" s="148">
        <f>'Toim ja inv rahavirta'!K242/'Veroposentin tuotto'!AQ242*-1</f>
        <v>0.25416187287630282</v>
      </c>
      <c r="L249" s="148">
        <f>'Toim ja inv rahavirta'!L242/'Veroposentin tuotto'!AR242*-1</f>
        <v>2.4754087263444902</v>
      </c>
      <c r="M249" s="148">
        <f>'Toim ja inv rahavirta'!M242/'Veroposentin tuotto'!AS242*-1</f>
        <v>2.6161105346105802</v>
      </c>
      <c r="N249" s="148">
        <f>'Toim ja inv rahavirta'!N242/'Veroposentin tuotto'!AT242*-1</f>
        <v>2.5425003309547347</v>
      </c>
      <c r="O249" s="148">
        <f>'Toim ja inv rahavirta'!O242/'Veroposentin tuotto'!AU242*-1</f>
        <v>2.7207525188675517</v>
      </c>
      <c r="P249" s="148">
        <f>'Toim ja inv rahavirta'!P242/'Veroposentin tuotto'!AV242*-1</f>
        <v>2.4741503555928839</v>
      </c>
    </row>
    <row r="250" spans="1:16" x14ac:dyDescent="0.2">
      <c r="A250" s="34">
        <v>743</v>
      </c>
      <c r="B250" s="88" t="s">
        <v>557</v>
      </c>
      <c r="C250" s="148" t="e">
        <f>'Toim ja inv rahavirta'!C243/'Veroposentin tuotto'!AI243*-1</f>
        <v>#REF!</v>
      </c>
      <c r="D250" s="148">
        <f>'Toim ja inv rahavirta'!D243/'Veroposentin tuotto'!AJ243*-1</f>
        <v>0.56982378219363761</v>
      </c>
      <c r="E250" s="148">
        <f>'Toim ja inv rahavirta'!E243/'Veroposentin tuotto'!AK243*-1</f>
        <v>1.7169976438909458</v>
      </c>
      <c r="F250" s="148">
        <f>'Toim ja inv rahavirta'!F243/'Veroposentin tuotto'!AL243*-1</f>
        <v>2.5622935709347874</v>
      </c>
      <c r="G250" s="148">
        <f>'Toim ja inv rahavirta'!G243/'Veroposentin tuotto'!AM243*-1</f>
        <v>4.1060915629680306</v>
      </c>
      <c r="H250" s="148">
        <f>'Toim ja inv rahavirta'!H243/'Veroposentin tuotto'!AN243*-1</f>
        <v>-0.4910335929237421</v>
      </c>
      <c r="I250" s="148">
        <f>'Toim ja inv rahavirta'!I243/'Veroposentin tuotto'!AO243*-1</f>
        <v>1.4138179304180241</v>
      </c>
      <c r="J250" s="148">
        <f>'Toim ja inv rahavirta'!J243/'Veroposentin tuotto'!AP243*-1</f>
        <v>-0.81026444539644715</v>
      </c>
      <c r="K250" s="148">
        <f>'Toim ja inv rahavirta'!K243/'Veroposentin tuotto'!AQ243*-1</f>
        <v>1.6562333077538658</v>
      </c>
      <c r="L250" s="148">
        <f>'Toim ja inv rahavirta'!L243/'Veroposentin tuotto'!AR243*-1</f>
        <v>0.44740825914718624</v>
      </c>
      <c r="M250" s="148">
        <f>'Toim ja inv rahavirta'!M243/'Veroposentin tuotto'!AS243*-1</f>
        <v>2.3269558976152367</v>
      </c>
      <c r="N250" s="148">
        <f>'Toim ja inv rahavirta'!N243/'Veroposentin tuotto'!AT243*-1</f>
        <v>2.1333607034988269</v>
      </c>
      <c r="O250" s="148">
        <f>'Toim ja inv rahavirta'!O243/'Veroposentin tuotto'!AU243*-1</f>
        <v>2.0554259629408818</v>
      </c>
      <c r="P250" s="148">
        <f>'Toim ja inv rahavirta'!P243/'Veroposentin tuotto'!AV243*-1</f>
        <v>1.8897341527242963</v>
      </c>
    </row>
    <row r="251" spans="1:16" x14ac:dyDescent="0.2">
      <c r="A251" s="34">
        <v>746</v>
      </c>
      <c r="B251" s="88" t="s">
        <v>558</v>
      </c>
      <c r="C251" s="148" t="e">
        <f>'Toim ja inv rahavirta'!C244/'Veroposentin tuotto'!AI244*-1</f>
        <v>#REF!</v>
      </c>
      <c r="D251" s="148">
        <f>'Toim ja inv rahavirta'!D244/'Veroposentin tuotto'!AJ244*-1</f>
        <v>-3.5644779466733119</v>
      </c>
      <c r="E251" s="148">
        <f>'Toim ja inv rahavirta'!E244/'Veroposentin tuotto'!AK244*-1</f>
        <v>-1.5534422549264155</v>
      </c>
      <c r="F251" s="148">
        <f>'Toim ja inv rahavirta'!F244/'Veroposentin tuotto'!AL244*-1</f>
        <v>5.4127760636570317</v>
      </c>
      <c r="G251" s="148">
        <f>'Toim ja inv rahavirta'!G244/'Veroposentin tuotto'!AM244*-1</f>
        <v>5.577819760430903</v>
      </c>
      <c r="H251" s="148">
        <f>'Toim ja inv rahavirta'!H244/'Veroposentin tuotto'!AN244*-1</f>
        <v>-6.691639761446055</v>
      </c>
      <c r="I251" s="148">
        <f>'Toim ja inv rahavirta'!I244/'Veroposentin tuotto'!AO244*-1</f>
        <v>-4.8487185048947525</v>
      </c>
      <c r="J251" s="148">
        <f>'Toim ja inv rahavirta'!J244/'Veroposentin tuotto'!AP244*-1</f>
        <v>-3.2234905985767739</v>
      </c>
      <c r="K251" s="148">
        <f>'Toim ja inv rahavirta'!K244/'Veroposentin tuotto'!AQ244*-1</f>
        <v>-3.0558592497857924</v>
      </c>
      <c r="L251" s="148">
        <f>'Toim ja inv rahavirta'!L244/'Veroposentin tuotto'!AR244*-1</f>
        <v>0.49769654170579614</v>
      </c>
      <c r="M251" s="148">
        <f>'Toim ja inv rahavirta'!M244/'Veroposentin tuotto'!AS244*-1</f>
        <v>-0.3073098689369142</v>
      </c>
      <c r="N251" s="148">
        <f>'Toim ja inv rahavirta'!N244/'Veroposentin tuotto'!AT244*-1</f>
        <v>-0.3968473529543266</v>
      </c>
      <c r="O251" s="148">
        <f>'Toim ja inv rahavirta'!O244/'Veroposentin tuotto'!AU244*-1</f>
        <v>-8.3373629323387738E-2</v>
      </c>
      <c r="P251" s="148">
        <f>'Toim ja inv rahavirta'!P244/'Veroposentin tuotto'!AV244*-1</f>
        <v>-0.25156939253199506</v>
      </c>
    </row>
    <row r="252" spans="1:16" x14ac:dyDescent="0.2">
      <c r="A252" s="34">
        <v>747</v>
      </c>
      <c r="B252" s="88" t="s">
        <v>559</v>
      </c>
      <c r="C252" s="148" t="e">
        <f>'Toim ja inv rahavirta'!C245/'Veroposentin tuotto'!AI245*-1</f>
        <v>#REF!</v>
      </c>
      <c r="D252" s="148">
        <f>'Toim ja inv rahavirta'!D245/'Veroposentin tuotto'!AJ245*-1</f>
        <v>-3.5593220338983054</v>
      </c>
      <c r="E252" s="148">
        <f>'Toim ja inv rahavirta'!E245/'Veroposentin tuotto'!AK245*-1</f>
        <v>-3.5941472066213418</v>
      </c>
      <c r="F252" s="148">
        <f>'Toim ja inv rahavirta'!F245/'Veroposentin tuotto'!AL245*-1</f>
        <v>-3.5</v>
      </c>
      <c r="G252" s="148">
        <f>'Toim ja inv rahavirta'!G245/'Veroposentin tuotto'!AM245*-1</f>
        <v>-9.432265647957685</v>
      </c>
      <c r="H252" s="148">
        <f>'Toim ja inv rahavirta'!H245/'Veroposentin tuotto'!AN245*-1</f>
        <v>-7.176658762705074</v>
      </c>
      <c r="I252" s="148">
        <f>'Toim ja inv rahavirta'!I245/'Veroposentin tuotto'!AO245*-1</f>
        <v>-5.4589380481702401</v>
      </c>
      <c r="J252" s="148">
        <f>'Toim ja inv rahavirta'!J245/'Veroposentin tuotto'!AP245*-1</f>
        <v>-1.0256528465762858E-3</v>
      </c>
      <c r="K252" s="148">
        <f>'Toim ja inv rahavirta'!K245/'Veroposentin tuotto'!AQ245*-1</f>
        <v>-6.5287609394817441</v>
      </c>
      <c r="L252" s="148">
        <f>'Toim ja inv rahavirta'!L245/'Veroposentin tuotto'!AR245*-1</f>
        <v>2.5404081184155469</v>
      </c>
      <c r="M252" s="148">
        <f>'Toim ja inv rahavirta'!M245/'Veroposentin tuotto'!AS245*-1</f>
        <v>-1.1056838319972686</v>
      </c>
      <c r="N252" s="148">
        <f>'Toim ja inv rahavirta'!N245/'Veroposentin tuotto'!AT245*-1</f>
        <v>-1.6350036844327323</v>
      </c>
      <c r="O252" s="148">
        <f>'Toim ja inv rahavirta'!O245/'Veroposentin tuotto'!AU245*-1</f>
        <v>-1.2803011089726195</v>
      </c>
      <c r="P252" s="148">
        <f>'Toim ja inv rahavirta'!P245/'Veroposentin tuotto'!AV245*-1</f>
        <v>-1.6567413309149535</v>
      </c>
    </row>
    <row r="253" spans="1:16" x14ac:dyDescent="0.2">
      <c r="A253" s="34">
        <v>748</v>
      </c>
      <c r="B253" s="88" t="s">
        <v>560</v>
      </c>
      <c r="C253" s="148" t="e">
        <f>'Toim ja inv rahavirta'!C246/'Veroposentin tuotto'!AI246*-1</f>
        <v>#REF!</v>
      </c>
      <c r="D253" s="148">
        <f>'Toim ja inv rahavirta'!D246/'Veroposentin tuotto'!AJ246*-1</f>
        <v>2.6123961836776717</v>
      </c>
      <c r="E253" s="148">
        <f>'Toim ja inv rahavirta'!E246/'Veroposentin tuotto'!AK246*-1</f>
        <v>-2.6706056129985227</v>
      </c>
      <c r="F253" s="148">
        <f>'Toim ja inv rahavirta'!F246/'Veroposentin tuotto'!AL246*-1</f>
        <v>-1.8644856518367061</v>
      </c>
      <c r="G253" s="148">
        <f>'Toim ja inv rahavirta'!G246/'Veroposentin tuotto'!AM246*-1</f>
        <v>-2.1185728576192062</v>
      </c>
      <c r="H253" s="148">
        <f>'Toim ja inv rahavirta'!H246/'Veroposentin tuotto'!AN246*-1</f>
        <v>-5.7966894689534776</v>
      </c>
      <c r="I253" s="148">
        <f>'Toim ja inv rahavirta'!I246/'Veroposentin tuotto'!AO246*-1</f>
        <v>-2.3745248137466377</v>
      </c>
      <c r="J253" s="148">
        <f>'Toim ja inv rahavirta'!J246/'Veroposentin tuotto'!AP246*-1</f>
        <v>0.67951515037893584</v>
      </c>
      <c r="K253" s="148">
        <f>'Toim ja inv rahavirta'!K246/'Veroposentin tuotto'!AQ246*-1</f>
        <v>4.3065378233565541</v>
      </c>
      <c r="L253" s="148">
        <f>'Toim ja inv rahavirta'!L246/'Veroposentin tuotto'!AR246*-1</f>
        <v>1.6581207646184246</v>
      </c>
      <c r="M253" s="148">
        <f>'Toim ja inv rahavirta'!M246/'Veroposentin tuotto'!AS246*-1</f>
        <v>3.751348737302505</v>
      </c>
      <c r="N253" s="148">
        <f>'Toim ja inv rahavirta'!N246/'Veroposentin tuotto'!AT246*-1</f>
        <v>3.8647194183994564</v>
      </c>
      <c r="O253" s="148">
        <f>'Toim ja inv rahavirta'!O246/'Veroposentin tuotto'!AU246*-1</f>
        <v>4.0862339140970816</v>
      </c>
      <c r="P253" s="148">
        <f>'Toim ja inv rahavirta'!P246/'Veroposentin tuotto'!AV246*-1</f>
        <v>3.9569290711990592</v>
      </c>
    </row>
    <row r="254" spans="1:16" x14ac:dyDescent="0.2">
      <c r="A254" s="34">
        <v>749</v>
      </c>
      <c r="B254" s="88" t="s">
        <v>561</v>
      </c>
      <c r="C254" s="148" t="e">
        <f>'Toim ja inv rahavirta'!C247/'Veroposentin tuotto'!AI247*-1</f>
        <v>#REF!</v>
      </c>
      <c r="D254" s="148">
        <f>'Toim ja inv rahavirta'!D247/'Veroposentin tuotto'!AJ247*-1</f>
        <v>0.20478835145212962</v>
      </c>
      <c r="E254" s="148">
        <f>'Toim ja inv rahavirta'!E247/'Veroposentin tuotto'!AK247*-1</f>
        <v>0.91596275992936771</v>
      </c>
      <c r="F254" s="148">
        <f>'Toim ja inv rahavirta'!F247/'Veroposentin tuotto'!AL247*-1</f>
        <v>2.843392659535227</v>
      </c>
      <c r="G254" s="148">
        <f>'Toim ja inv rahavirta'!G247/'Veroposentin tuotto'!AM247*-1</f>
        <v>-5.3798420397194731</v>
      </c>
      <c r="H254" s="148">
        <f>'Toim ja inv rahavirta'!H247/'Veroposentin tuotto'!AN247*-1</f>
        <v>-2.1662108087495824</v>
      </c>
      <c r="I254" s="148">
        <f>'Toim ja inv rahavirta'!I247/'Veroposentin tuotto'!AO247*-1</f>
        <v>-0.83360564254066061</v>
      </c>
      <c r="J254" s="148">
        <f>'Toim ja inv rahavirta'!J247/'Veroposentin tuotto'!AP247*-1</f>
        <v>-4.3962833038625844E-3</v>
      </c>
      <c r="K254" s="148">
        <f>'Toim ja inv rahavirta'!K247/'Veroposentin tuotto'!AQ247*-1</f>
        <v>-0.21991225543520182</v>
      </c>
      <c r="L254" s="148">
        <f>'Toim ja inv rahavirta'!L247/'Veroposentin tuotto'!AR247*-1</f>
        <v>-0.90873700583488359</v>
      </c>
      <c r="M254" s="148">
        <f>'Toim ja inv rahavirta'!M247/'Veroposentin tuotto'!AS247*-1</f>
        <v>-9.5505867569466787E-2</v>
      </c>
      <c r="N254" s="148">
        <f>'Toim ja inv rahavirta'!N247/'Veroposentin tuotto'!AT247*-1</f>
        <v>0.25115646996147617</v>
      </c>
      <c r="O254" s="148">
        <f>'Toim ja inv rahavirta'!O247/'Veroposentin tuotto'!AU247*-1</f>
        <v>0.1809874512256722</v>
      </c>
      <c r="P254" s="148">
        <f>'Toim ja inv rahavirta'!P247/'Veroposentin tuotto'!AV247*-1</f>
        <v>-0.20806486372672614</v>
      </c>
    </row>
    <row r="255" spans="1:16" x14ac:dyDescent="0.2">
      <c r="A255" s="34">
        <v>751</v>
      </c>
      <c r="B255" s="88" t="s">
        <v>562</v>
      </c>
      <c r="C255" s="148" t="e">
        <f>'Toim ja inv rahavirta'!C248/'Veroposentin tuotto'!AI248*-1</f>
        <v>#REF!</v>
      </c>
      <c r="D255" s="148">
        <f>'Toim ja inv rahavirta'!D248/'Veroposentin tuotto'!AJ248*-1</f>
        <v>-1.4481533426834969</v>
      </c>
      <c r="E255" s="148">
        <f>'Toim ja inv rahavirta'!E248/'Veroposentin tuotto'!AK248*-1</f>
        <v>-2.4470094438614902</v>
      </c>
      <c r="F255" s="148">
        <f>'Toim ja inv rahavirta'!F248/'Veroposentin tuotto'!AL248*-1</f>
        <v>0.93832599118942728</v>
      </c>
      <c r="G255" s="148">
        <f>'Toim ja inv rahavirta'!G248/'Veroposentin tuotto'!AM248*-1</f>
        <v>4.073128264654672</v>
      </c>
      <c r="H255" s="148">
        <f>'Toim ja inv rahavirta'!H248/'Veroposentin tuotto'!AN248*-1</f>
        <v>-3.4844339827387607</v>
      </c>
      <c r="I255" s="148">
        <f>'Toim ja inv rahavirta'!I248/'Veroposentin tuotto'!AO248*-1</f>
        <v>-4.0440061724854157</v>
      </c>
      <c r="J255" s="148">
        <f>'Toim ja inv rahavirta'!J248/'Veroposentin tuotto'!AP248*-1</f>
        <v>-2.5057268046481953</v>
      </c>
      <c r="K255" s="148">
        <f>'Toim ja inv rahavirta'!K248/'Veroposentin tuotto'!AQ248*-1</f>
        <v>-3.9491335290980589</v>
      </c>
      <c r="L255" s="148">
        <f>'Toim ja inv rahavirta'!L248/'Veroposentin tuotto'!AR248*-1</f>
        <v>2.1733892592790696</v>
      </c>
      <c r="M255" s="148">
        <f>'Toim ja inv rahavirta'!M248/'Veroposentin tuotto'!AS248*-1</f>
        <v>1.1590223148730836</v>
      </c>
      <c r="N255" s="148">
        <f>'Toim ja inv rahavirta'!N248/'Veroposentin tuotto'!AT248*-1</f>
        <v>1.7307016448575367</v>
      </c>
      <c r="O255" s="148">
        <f>'Toim ja inv rahavirta'!O248/'Veroposentin tuotto'!AU248*-1</f>
        <v>2.2527000592899968</v>
      </c>
      <c r="P255" s="148">
        <f>'Toim ja inv rahavirta'!P248/'Veroposentin tuotto'!AV248*-1</f>
        <v>1.9788033433710241</v>
      </c>
    </row>
    <row r="256" spans="1:16" x14ac:dyDescent="0.2">
      <c r="A256" s="34">
        <v>753</v>
      </c>
      <c r="B256" s="88" t="s">
        <v>563</v>
      </c>
      <c r="C256" s="148" t="e">
        <f>'Toim ja inv rahavirta'!C249/'Veroposentin tuotto'!AI249*-1</f>
        <v>#REF!</v>
      </c>
      <c r="D256" s="148">
        <f>'Toim ja inv rahavirta'!D249/'Veroposentin tuotto'!AJ249*-1</f>
        <v>2.2617280488564844</v>
      </c>
      <c r="E256" s="148">
        <f>'Toim ja inv rahavirta'!E249/'Veroposentin tuotto'!AK249*-1</f>
        <v>0.5308176402767103</v>
      </c>
      <c r="F256" s="148">
        <f>'Toim ja inv rahavirta'!F249/'Veroposentin tuotto'!AL249*-1</f>
        <v>5.8704900329285126</v>
      </c>
      <c r="G256" s="148">
        <f>'Toim ja inv rahavirta'!G249/'Veroposentin tuotto'!AM249*-1</f>
        <v>4.6270725694796209</v>
      </c>
      <c r="H256" s="148">
        <f>'Toim ja inv rahavirta'!H249/'Veroposentin tuotto'!AN249*-1</f>
        <v>1.8936924660298622</v>
      </c>
      <c r="I256" s="148">
        <f>'Toim ja inv rahavirta'!I249/'Veroposentin tuotto'!AO249*-1</f>
        <v>0.44883687742142775</v>
      </c>
      <c r="J256" s="148">
        <f>'Toim ja inv rahavirta'!J249/'Veroposentin tuotto'!AP249*-1</f>
        <v>-1.1173485603219195</v>
      </c>
      <c r="K256" s="148">
        <f>'Toim ja inv rahavirta'!K249/'Veroposentin tuotto'!AQ249*-1</f>
        <v>-0.46392855454931492</v>
      </c>
      <c r="L256" s="148">
        <f>'Toim ja inv rahavirta'!L249/'Veroposentin tuotto'!AR249*-1</f>
        <v>0.69921423990908771</v>
      </c>
      <c r="M256" s="148">
        <f>'Toim ja inv rahavirta'!M249/'Veroposentin tuotto'!AS249*-1</f>
        <v>0.87466736923688004</v>
      </c>
      <c r="N256" s="148">
        <f>'Toim ja inv rahavirta'!N249/'Veroposentin tuotto'!AT249*-1</f>
        <v>1.0498072547439852</v>
      </c>
      <c r="O256" s="148">
        <f>'Toim ja inv rahavirta'!O249/'Veroposentin tuotto'!AU249*-1</f>
        <v>1.1576185732946125</v>
      </c>
      <c r="P256" s="148">
        <f>'Toim ja inv rahavirta'!P249/'Veroposentin tuotto'!AV249*-1</f>
        <v>1.1031001525643569</v>
      </c>
    </row>
    <row r="257" spans="1:16" x14ac:dyDescent="0.2">
      <c r="A257" s="34">
        <v>755</v>
      </c>
      <c r="B257" s="88" t="s">
        <v>564</v>
      </c>
      <c r="C257" s="148" t="e">
        <f>'Toim ja inv rahavirta'!C250/'Veroposentin tuotto'!AI250*-1</f>
        <v>#REF!</v>
      </c>
      <c r="D257" s="148">
        <f>'Toim ja inv rahavirta'!D250/'Veroposentin tuotto'!AJ250*-1</f>
        <v>-2.4460692647168822</v>
      </c>
      <c r="E257" s="148">
        <f>'Toim ja inv rahavirta'!E250/'Veroposentin tuotto'!AK250*-1</f>
        <v>0.54103912813138577</v>
      </c>
      <c r="F257" s="148">
        <f>'Toim ja inv rahavirta'!F250/'Veroposentin tuotto'!AL250*-1</f>
        <v>0.99223155714121314</v>
      </c>
      <c r="G257" s="148">
        <f>'Toim ja inv rahavirta'!G250/'Veroposentin tuotto'!AM250*-1</f>
        <v>1.3121801815261644</v>
      </c>
      <c r="H257" s="148">
        <f>'Toim ja inv rahavirta'!H250/'Veroposentin tuotto'!AN250*-1</f>
        <v>-0.27529683242293385</v>
      </c>
      <c r="I257" s="148">
        <f>'Toim ja inv rahavirta'!I250/'Veroposentin tuotto'!AO250*-1</f>
        <v>-1.2864869473355225</v>
      </c>
      <c r="J257" s="148">
        <f>'Toim ja inv rahavirta'!J250/'Veroposentin tuotto'!AP250*-1</f>
        <v>1.3245256426762857</v>
      </c>
      <c r="K257" s="148">
        <f>'Toim ja inv rahavirta'!K250/'Veroposentin tuotto'!AQ250*-1</f>
        <v>-9.2585057018694517E-2</v>
      </c>
      <c r="L257" s="148">
        <f>'Toim ja inv rahavirta'!L250/'Veroposentin tuotto'!AR250*-1</f>
        <v>2.523858977990896</v>
      </c>
      <c r="M257" s="148">
        <f>'Toim ja inv rahavirta'!M250/'Veroposentin tuotto'!AS250*-1</f>
        <v>2.6990821760637966</v>
      </c>
      <c r="N257" s="148">
        <f>'Toim ja inv rahavirta'!N250/'Veroposentin tuotto'!AT250*-1</f>
        <v>2.6376513432406332</v>
      </c>
      <c r="O257" s="148">
        <f>'Toim ja inv rahavirta'!O250/'Veroposentin tuotto'!AU250*-1</f>
        <v>2.8394512168600561</v>
      </c>
      <c r="P257" s="148">
        <f>'Toim ja inv rahavirta'!P250/'Veroposentin tuotto'!AV250*-1</f>
        <v>2.8066855635012149</v>
      </c>
    </row>
    <row r="258" spans="1:16" x14ac:dyDescent="0.2">
      <c r="A258" s="34">
        <v>758</v>
      </c>
      <c r="B258" s="88" t="s">
        <v>565</v>
      </c>
      <c r="C258" s="148" t="e">
        <f>'Toim ja inv rahavirta'!C251/'Veroposentin tuotto'!AI251*-1</f>
        <v>#REF!</v>
      </c>
      <c r="D258" s="148">
        <f>'Toim ja inv rahavirta'!D251/'Veroposentin tuotto'!AJ251*-1</f>
        <v>0.93124931686523127</v>
      </c>
      <c r="E258" s="148">
        <f>'Toim ja inv rahavirta'!E251/'Veroposentin tuotto'!AK251*-1</f>
        <v>-5.4119978656909824E-2</v>
      </c>
      <c r="F258" s="148">
        <f>'Toim ja inv rahavirta'!F251/'Veroposentin tuotto'!AL251*-1</f>
        <v>2.5462392108508016</v>
      </c>
      <c r="G258" s="148">
        <f>'Toim ja inv rahavirta'!G251/'Veroposentin tuotto'!AM251*-1</f>
        <v>1.7398471452120488</v>
      </c>
      <c r="H258" s="148">
        <f>'Toim ja inv rahavirta'!H251/'Veroposentin tuotto'!AN251*-1</f>
        <v>-4.8485236096339079</v>
      </c>
      <c r="I258" s="148">
        <f>'Toim ja inv rahavirta'!I251/'Veroposentin tuotto'!AO251*-1</f>
        <v>-5.0503055405236594</v>
      </c>
      <c r="J258" s="148">
        <f>'Toim ja inv rahavirta'!J251/'Veroposentin tuotto'!AP251*-1</f>
        <v>-3.6423606656816121</v>
      </c>
      <c r="K258" s="148">
        <f>'Toim ja inv rahavirta'!K251/'Veroposentin tuotto'!AQ251*-1</f>
        <v>-2.9805557990177416</v>
      </c>
      <c r="L258" s="148">
        <f>'Toim ja inv rahavirta'!L251/'Veroposentin tuotto'!AR251*-1</f>
        <v>-3.8691023762618757</v>
      </c>
      <c r="M258" s="148">
        <f>'Toim ja inv rahavirta'!M251/'Veroposentin tuotto'!AS251*-1</f>
        <v>-3.468023361805888</v>
      </c>
      <c r="N258" s="148">
        <f>'Toim ja inv rahavirta'!N251/'Veroposentin tuotto'!AT251*-1</f>
        <v>-3.1264347013719642</v>
      </c>
      <c r="O258" s="148">
        <f>'Toim ja inv rahavirta'!O251/'Veroposentin tuotto'!AU251*-1</f>
        <v>-3.3458278776481665</v>
      </c>
      <c r="P258" s="148">
        <f>'Toim ja inv rahavirta'!P251/'Veroposentin tuotto'!AV251*-1</f>
        <v>-3.598651914050869</v>
      </c>
    </row>
    <row r="259" spans="1:16" x14ac:dyDescent="0.2">
      <c r="A259" s="34">
        <v>759</v>
      </c>
      <c r="B259" s="88" t="s">
        <v>566</v>
      </c>
      <c r="C259" s="148" t="e">
        <f>'Toim ja inv rahavirta'!C252/'Veroposentin tuotto'!AI252*-1</f>
        <v>#REF!</v>
      </c>
      <c r="D259" s="148">
        <f>'Toim ja inv rahavirta'!D252/'Veroposentin tuotto'!AJ252*-1</f>
        <v>-1.7559300873907615</v>
      </c>
      <c r="E259" s="148">
        <f>'Toim ja inv rahavirta'!E252/'Veroposentin tuotto'!AK252*-1</f>
        <v>-2.198368483883804</v>
      </c>
      <c r="F259" s="148">
        <f>'Toim ja inv rahavirta'!F252/'Veroposentin tuotto'!AL252*-1</f>
        <v>-2.0828389830508471</v>
      </c>
      <c r="G259" s="148">
        <f>'Toim ja inv rahavirta'!G252/'Veroposentin tuotto'!AM252*-1</f>
        <v>-9.4515706806282722</v>
      </c>
      <c r="H259" s="148">
        <f>'Toim ja inv rahavirta'!H252/'Veroposentin tuotto'!AN252*-1</f>
        <v>1.7599229919945876</v>
      </c>
      <c r="I259" s="148">
        <f>'Toim ja inv rahavirta'!I252/'Veroposentin tuotto'!AO252*-1</f>
        <v>1.1912070359847444</v>
      </c>
      <c r="J259" s="148">
        <f>'Toim ja inv rahavirta'!J252/'Veroposentin tuotto'!AP252*-1</f>
        <v>-3.4883809231026137</v>
      </c>
      <c r="K259" s="148">
        <f>'Toim ja inv rahavirta'!K252/'Veroposentin tuotto'!AQ252*-1</f>
        <v>-4.166795182759957</v>
      </c>
      <c r="L259" s="148">
        <f>'Toim ja inv rahavirta'!L252/'Veroposentin tuotto'!AR252*-1</f>
        <v>-1.6382954583230065</v>
      </c>
      <c r="M259" s="148">
        <f>'Toim ja inv rahavirta'!M252/'Veroposentin tuotto'!AS252*-1</f>
        <v>-0.53011536146737492</v>
      </c>
      <c r="N259" s="148">
        <f>'Toim ja inv rahavirta'!N252/'Veroposentin tuotto'!AT252*-1</f>
        <v>-0.48488816845223109</v>
      </c>
      <c r="O259" s="148">
        <f>'Toim ja inv rahavirta'!O252/'Veroposentin tuotto'!AU252*-1</f>
        <v>-0.36694468711817108</v>
      </c>
      <c r="P259" s="148">
        <f>'Toim ja inv rahavirta'!P252/'Veroposentin tuotto'!AV252*-1</f>
        <v>-1.1271870206955481</v>
      </c>
    </row>
    <row r="260" spans="1:16" x14ac:dyDescent="0.2">
      <c r="A260" s="34">
        <v>761</v>
      </c>
      <c r="B260" s="88" t="s">
        <v>567</v>
      </c>
      <c r="C260" s="148" t="e">
        <f>'Toim ja inv rahavirta'!C253/'Veroposentin tuotto'!AI253*-1</f>
        <v>#REF!</v>
      </c>
      <c r="D260" s="148">
        <f>'Toim ja inv rahavirta'!D253/'Veroposentin tuotto'!AJ253*-1</f>
        <v>3.5892720631954473</v>
      </c>
      <c r="E260" s="148">
        <f>'Toim ja inv rahavirta'!E253/'Veroposentin tuotto'!AK253*-1</f>
        <v>2.401921237576413</v>
      </c>
      <c r="F260" s="148">
        <f>'Toim ja inv rahavirta'!F253/'Veroposentin tuotto'!AL253*-1</f>
        <v>1.9714853830858401</v>
      </c>
      <c r="G260" s="148">
        <f>'Toim ja inv rahavirta'!G253/'Veroposentin tuotto'!AM253*-1</f>
        <v>1.035249547026849</v>
      </c>
      <c r="H260" s="148">
        <f>'Toim ja inv rahavirta'!H253/'Veroposentin tuotto'!AN253*-1</f>
        <v>-4.4614904991031423</v>
      </c>
      <c r="I260" s="148">
        <f>'Toim ja inv rahavirta'!I253/'Veroposentin tuotto'!AO253*-1</f>
        <v>-2.3122239223322798</v>
      </c>
      <c r="J260" s="148">
        <f>'Toim ja inv rahavirta'!J253/'Veroposentin tuotto'!AP253*-1</f>
        <v>-2.0004862643306285</v>
      </c>
      <c r="K260" s="148">
        <f>'Toim ja inv rahavirta'!K253/'Veroposentin tuotto'!AQ253*-1</f>
        <v>0.34345095532541314</v>
      </c>
      <c r="L260" s="148">
        <f>'Toim ja inv rahavirta'!L253/'Veroposentin tuotto'!AR253*-1</f>
        <v>0.67454775230738551</v>
      </c>
      <c r="M260" s="148">
        <f>'Toim ja inv rahavirta'!M253/'Veroposentin tuotto'!AS253*-1</f>
        <v>1.2310021910247053</v>
      </c>
      <c r="N260" s="148">
        <f>'Toim ja inv rahavirta'!N253/'Veroposentin tuotto'!AT253*-1</f>
        <v>1.4821188819877513</v>
      </c>
      <c r="O260" s="148">
        <f>'Toim ja inv rahavirta'!O253/'Veroposentin tuotto'!AU253*-1</f>
        <v>1.5797003236136922</v>
      </c>
      <c r="P260" s="148">
        <f>'Toim ja inv rahavirta'!P253/'Veroposentin tuotto'!AV253*-1</f>
        <v>0.95829805444284377</v>
      </c>
    </row>
    <row r="261" spans="1:16" x14ac:dyDescent="0.2">
      <c r="A261" s="34">
        <v>762</v>
      </c>
      <c r="B261" s="88" t="s">
        <v>568</v>
      </c>
      <c r="C261" s="148" t="e">
        <f>'Toim ja inv rahavirta'!C254/'Veroposentin tuotto'!AI254*-1</f>
        <v>#REF!</v>
      </c>
      <c r="D261" s="148">
        <f>'Toim ja inv rahavirta'!D254/'Veroposentin tuotto'!AJ254*-1</f>
        <v>4.7028532750182235</v>
      </c>
      <c r="E261" s="148">
        <f>'Toim ja inv rahavirta'!E254/'Veroposentin tuotto'!AK254*-1</f>
        <v>-1.5194335643266044</v>
      </c>
      <c r="F261" s="148">
        <f>'Toim ja inv rahavirta'!F254/'Veroposentin tuotto'!AL254*-1</f>
        <v>-0.90133814783347499</v>
      </c>
      <c r="G261" s="148">
        <f>'Toim ja inv rahavirta'!G254/'Veroposentin tuotto'!AM254*-1</f>
        <v>1.0599836501124054</v>
      </c>
      <c r="H261" s="148">
        <f>'Toim ja inv rahavirta'!H254/'Veroposentin tuotto'!AN254*-1</f>
        <v>-7.2836705166369571</v>
      </c>
      <c r="I261" s="148">
        <f>'Toim ja inv rahavirta'!I254/'Veroposentin tuotto'!AO254*-1</f>
        <v>-9.3684292178528281</v>
      </c>
      <c r="J261" s="148">
        <f>'Toim ja inv rahavirta'!J254/'Veroposentin tuotto'!AP254*-1</f>
        <v>0.86273567756937763</v>
      </c>
      <c r="K261" s="148">
        <f>'Toim ja inv rahavirta'!K254/'Veroposentin tuotto'!AQ254*-1</f>
        <v>-4.7083659273510818</v>
      </c>
      <c r="L261" s="148">
        <f>'Toim ja inv rahavirta'!L254/'Veroposentin tuotto'!AR254*-1</f>
        <v>-2.7191243811718206</v>
      </c>
      <c r="M261" s="148">
        <f>'Toim ja inv rahavirta'!M254/'Veroposentin tuotto'!AS254*-1</f>
        <v>0.37513776522938724</v>
      </c>
      <c r="N261" s="148">
        <f>'Toim ja inv rahavirta'!N254/'Veroposentin tuotto'!AT254*-1</f>
        <v>0.71075946386518174</v>
      </c>
      <c r="O261" s="148">
        <f>'Toim ja inv rahavirta'!O254/'Veroposentin tuotto'!AU254*-1</f>
        <v>0.9984455518891342</v>
      </c>
      <c r="P261" s="148">
        <f>'Toim ja inv rahavirta'!P254/'Veroposentin tuotto'!AV254*-1</f>
        <v>0.34189031936853709</v>
      </c>
    </row>
    <row r="262" spans="1:16" x14ac:dyDescent="0.2">
      <c r="A262" s="34">
        <v>765</v>
      </c>
      <c r="B262" s="88" t="s">
        <v>569</v>
      </c>
      <c r="C262" s="148" t="e">
        <f>'Toim ja inv rahavirta'!C255/'Veroposentin tuotto'!AI255*-1</f>
        <v>#REF!</v>
      </c>
      <c r="D262" s="148">
        <f>'Toim ja inv rahavirta'!D255/'Veroposentin tuotto'!AJ255*-1</f>
        <v>1.4082121099092377</v>
      </c>
      <c r="E262" s="148">
        <f>'Toim ja inv rahavirta'!E255/'Veroposentin tuotto'!AK255*-1</f>
        <v>-5.4300444925444932E-2</v>
      </c>
      <c r="F262" s="148">
        <f>'Toim ja inv rahavirta'!F255/'Veroposentin tuotto'!AL255*-1</f>
        <v>2.4141787603000862</v>
      </c>
      <c r="G262" s="148">
        <f>'Toim ja inv rahavirta'!G255/'Veroposentin tuotto'!AM255*-1</f>
        <v>-32.002737090182272</v>
      </c>
      <c r="H262" s="148">
        <f>'Toim ja inv rahavirta'!H255/'Veroposentin tuotto'!AN255*-1</f>
        <v>5.7964845142554946</v>
      </c>
      <c r="I262" s="148">
        <f>'Toim ja inv rahavirta'!I255/'Veroposentin tuotto'!AO255*-1</f>
        <v>5.5627011116010721</v>
      </c>
      <c r="J262" s="148">
        <f>'Toim ja inv rahavirta'!J255/'Veroposentin tuotto'!AP255*-1</f>
        <v>4.1366446233063634</v>
      </c>
      <c r="K262" s="148">
        <f>'Toim ja inv rahavirta'!K255/'Veroposentin tuotto'!AQ255*-1</f>
        <v>11.190189395370394</v>
      </c>
      <c r="L262" s="148">
        <f>'Toim ja inv rahavirta'!L255/'Veroposentin tuotto'!AR255*-1</f>
        <v>7.1803378772883617</v>
      </c>
      <c r="M262" s="148">
        <f>'Toim ja inv rahavirta'!M255/'Veroposentin tuotto'!AS255*-1</f>
        <v>8.3608790336682066</v>
      </c>
      <c r="N262" s="148">
        <f>'Toim ja inv rahavirta'!N255/'Veroposentin tuotto'!AT255*-1</f>
        <v>8.4396573244660154</v>
      </c>
      <c r="O262" s="148">
        <f>'Toim ja inv rahavirta'!O255/'Veroposentin tuotto'!AU255*-1</f>
        <v>8.4635549143441882</v>
      </c>
      <c r="P262" s="148">
        <f>'Toim ja inv rahavirta'!P255/'Veroposentin tuotto'!AV255*-1</f>
        <v>8.1737881239131553</v>
      </c>
    </row>
    <row r="263" spans="1:16" x14ac:dyDescent="0.2">
      <c r="A263" s="34">
        <v>768</v>
      </c>
      <c r="B263" s="88" t="s">
        <v>570</v>
      </c>
      <c r="C263" s="148" t="e">
        <f>'Toim ja inv rahavirta'!C256/'Veroposentin tuotto'!AI256*-1</f>
        <v>#REF!</v>
      </c>
      <c r="D263" s="148">
        <f>'Toim ja inv rahavirta'!D256/'Veroposentin tuotto'!AJ256*-1</f>
        <v>-0.31130622304374611</v>
      </c>
      <c r="E263" s="148">
        <f>'Toim ja inv rahavirta'!E256/'Veroposentin tuotto'!AK256*-1</f>
        <v>-5.6712969732417022</v>
      </c>
      <c r="F263" s="148">
        <f>'Toim ja inv rahavirta'!F256/'Veroposentin tuotto'!AL256*-1</f>
        <v>2.1292097365788596</v>
      </c>
      <c r="G263" s="148">
        <f>'Toim ja inv rahavirta'!G256/'Veroposentin tuotto'!AM256*-1</f>
        <v>-0.41704071817890348</v>
      </c>
      <c r="H263" s="148">
        <f>'Toim ja inv rahavirta'!H256/'Veroposentin tuotto'!AN256*-1</f>
        <v>-5.224830372854429</v>
      </c>
      <c r="I263" s="148">
        <f>'Toim ja inv rahavirta'!I256/'Veroposentin tuotto'!AO256*-1</f>
        <v>-0.8871773257680069</v>
      </c>
      <c r="J263" s="148">
        <f>'Toim ja inv rahavirta'!J256/'Veroposentin tuotto'!AP256*-1</f>
        <v>-1.4146425321274276</v>
      </c>
      <c r="K263" s="148">
        <f>'Toim ja inv rahavirta'!K256/'Veroposentin tuotto'!AQ256*-1</f>
        <v>0.76961232053004847</v>
      </c>
      <c r="L263" s="148">
        <f>'Toim ja inv rahavirta'!L256/'Veroposentin tuotto'!AR256*-1</f>
        <v>3.5274011491539143</v>
      </c>
      <c r="M263" s="148">
        <f>'Toim ja inv rahavirta'!M256/'Veroposentin tuotto'!AS256*-1</f>
        <v>4.8465042782459058</v>
      </c>
      <c r="N263" s="148">
        <f>'Toim ja inv rahavirta'!N256/'Veroposentin tuotto'!AT256*-1</f>
        <v>6.4425294805048674</v>
      </c>
      <c r="O263" s="148">
        <f>'Toim ja inv rahavirta'!O256/'Veroposentin tuotto'!AU256*-1</f>
        <v>6.6938287607300655</v>
      </c>
      <c r="P263" s="148">
        <f>'Toim ja inv rahavirta'!P256/'Veroposentin tuotto'!AV256*-1</f>
        <v>6.0487465480376477</v>
      </c>
    </row>
    <row r="264" spans="1:16" x14ac:dyDescent="0.2">
      <c r="A264" s="34">
        <v>777</v>
      </c>
      <c r="B264" s="88" t="s">
        <v>571</v>
      </c>
      <c r="C264" s="148" t="e">
        <f>'Toim ja inv rahavirta'!C257/'Veroposentin tuotto'!AI257*-1</f>
        <v>#REF!</v>
      </c>
      <c r="D264" s="148">
        <f>'Toim ja inv rahavirta'!D257/'Veroposentin tuotto'!AJ257*-1</f>
        <v>1.3541090431765974</v>
      </c>
      <c r="E264" s="148">
        <f>'Toim ja inv rahavirta'!E257/'Veroposentin tuotto'!AK257*-1</f>
        <v>0.38346316599346025</v>
      </c>
      <c r="F264" s="148">
        <f>'Toim ja inv rahavirta'!F257/'Veroposentin tuotto'!AL257*-1</f>
        <v>2.4412460567823344</v>
      </c>
      <c r="G264" s="148">
        <f>'Toim ja inv rahavirta'!G257/'Veroposentin tuotto'!AM257*-1</f>
        <v>0.98278148832362278</v>
      </c>
      <c r="H264" s="148">
        <f>'Toim ja inv rahavirta'!H257/'Veroposentin tuotto'!AN257*-1</f>
        <v>4.4260462754111867</v>
      </c>
      <c r="I264" s="148">
        <f>'Toim ja inv rahavirta'!I257/'Veroposentin tuotto'!AO257*-1</f>
        <v>2.3311391373357404</v>
      </c>
      <c r="J264" s="148">
        <f>'Toim ja inv rahavirta'!J257/'Veroposentin tuotto'!AP257*-1</f>
        <v>0.5439797319924311</v>
      </c>
      <c r="K264" s="148">
        <f>'Toim ja inv rahavirta'!K257/'Veroposentin tuotto'!AQ257*-1</f>
        <v>-3.788268900710694</v>
      </c>
      <c r="L264" s="148">
        <f>'Toim ja inv rahavirta'!L257/'Veroposentin tuotto'!AR257*-1</f>
        <v>0.61311924883149005</v>
      </c>
      <c r="M264" s="148">
        <f>'Toim ja inv rahavirta'!M257/'Veroposentin tuotto'!AS257*-1</f>
        <v>1.6629849346243781</v>
      </c>
      <c r="N264" s="148">
        <f>'Toim ja inv rahavirta'!N257/'Veroposentin tuotto'!AT257*-1</f>
        <v>1.3659231054326375</v>
      </c>
      <c r="O264" s="148">
        <f>'Toim ja inv rahavirta'!O257/'Veroposentin tuotto'!AU257*-1</f>
        <v>1.6156813954625602</v>
      </c>
      <c r="P264" s="148">
        <f>'Toim ja inv rahavirta'!P257/'Veroposentin tuotto'!AV257*-1</f>
        <v>0.77276908076208706</v>
      </c>
    </row>
    <row r="265" spans="1:16" x14ac:dyDescent="0.2">
      <c r="A265" s="34">
        <v>778</v>
      </c>
      <c r="B265" s="88" t="s">
        <v>572</v>
      </c>
      <c r="C265" s="148" t="e">
        <f>'Toim ja inv rahavirta'!C258/'Veroposentin tuotto'!AI258*-1</f>
        <v>#REF!</v>
      </c>
      <c r="D265" s="148">
        <f>'Toim ja inv rahavirta'!D258/'Veroposentin tuotto'!AJ258*-1</f>
        <v>-3.0993408886149174</v>
      </c>
      <c r="E265" s="148">
        <f>'Toim ja inv rahavirta'!E258/'Veroposentin tuotto'!AK258*-1</f>
        <v>-2.9776721797087138</v>
      </c>
      <c r="F265" s="148">
        <f>'Toim ja inv rahavirta'!F258/'Veroposentin tuotto'!AL258*-1</f>
        <v>-1.3969990974729243</v>
      </c>
      <c r="G265" s="148">
        <f>'Toim ja inv rahavirta'!G258/'Veroposentin tuotto'!AM258*-1</f>
        <v>-1.5885877318116977</v>
      </c>
      <c r="H265" s="148">
        <f>'Toim ja inv rahavirta'!H258/'Veroposentin tuotto'!AN258*-1</f>
        <v>-2.2361524177566263</v>
      </c>
      <c r="I265" s="148">
        <f>'Toim ja inv rahavirta'!I258/'Veroposentin tuotto'!AO258*-1</f>
        <v>-0.33455289512559427</v>
      </c>
      <c r="J265" s="148">
        <f>'Toim ja inv rahavirta'!J258/'Veroposentin tuotto'!AP258*-1</f>
        <v>-2.3377006437935171</v>
      </c>
      <c r="K265" s="148">
        <f>'Toim ja inv rahavirta'!K258/'Veroposentin tuotto'!AQ258*-1</f>
        <v>-1.89787696381633</v>
      </c>
      <c r="L265" s="148">
        <f>'Toim ja inv rahavirta'!L258/'Veroposentin tuotto'!AR258*-1</f>
        <v>-1.2219273273775917</v>
      </c>
      <c r="M265" s="148">
        <f>'Toim ja inv rahavirta'!M258/'Veroposentin tuotto'!AS258*-1</f>
        <v>0.28356208372423625</v>
      </c>
      <c r="N265" s="148">
        <f>'Toim ja inv rahavirta'!N258/'Veroposentin tuotto'!AT258*-1</f>
        <v>1.0504462774566403</v>
      </c>
      <c r="O265" s="148">
        <f>'Toim ja inv rahavirta'!O258/'Veroposentin tuotto'!AU258*-1</f>
        <v>1.0859686290690549</v>
      </c>
      <c r="P265" s="148">
        <f>'Toim ja inv rahavirta'!P258/'Veroposentin tuotto'!AV258*-1</f>
        <v>0.4424709840102834</v>
      </c>
    </row>
    <row r="266" spans="1:16" x14ac:dyDescent="0.2">
      <c r="A266" s="34">
        <v>781</v>
      </c>
      <c r="B266" s="88" t="s">
        <v>573</v>
      </c>
      <c r="C266" s="148" t="e">
        <f>'Toim ja inv rahavirta'!C259/'Veroposentin tuotto'!AI259*-1</f>
        <v>#REF!</v>
      </c>
      <c r="D266" s="148">
        <f>'Toim ja inv rahavirta'!D259/'Veroposentin tuotto'!AJ259*-1</f>
        <v>1.389010989010989</v>
      </c>
      <c r="E266" s="148">
        <f>'Toim ja inv rahavirta'!E259/'Veroposentin tuotto'!AK259*-1</f>
        <v>0.62711116017220447</v>
      </c>
      <c r="F266" s="148">
        <f>'Toim ja inv rahavirta'!F259/'Veroposentin tuotto'!AL259*-1</f>
        <v>8.8665166410043827</v>
      </c>
      <c r="G266" s="148">
        <f>'Toim ja inv rahavirta'!G259/'Veroposentin tuotto'!AM259*-1</f>
        <v>4.6380963655735767</v>
      </c>
      <c r="H266" s="148">
        <f>'Toim ja inv rahavirta'!H259/'Veroposentin tuotto'!AN259*-1</f>
        <v>-3.8173608893106854</v>
      </c>
      <c r="I266" s="148">
        <f>'Toim ja inv rahavirta'!I259/'Veroposentin tuotto'!AO259*-1</f>
        <v>1.1095782520936661</v>
      </c>
      <c r="J266" s="148">
        <f>'Toim ja inv rahavirta'!J259/'Veroposentin tuotto'!AP259*-1</f>
        <v>4.6802759770997842</v>
      </c>
      <c r="K266" s="148">
        <f>'Toim ja inv rahavirta'!K259/'Veroposentin tuotto'!AQ259*-1</f>
        <v>-5.5308148684403236</v>
      </c>
      <c r="L266" s="148">
        <f>'Toim ja inv rahavirta'!L259/'Veroposentin tuotto'!AR259*-1</f>
        <v>1.6359183820300154</v>
      </c>
      <c r="M266" s="148">
        <f>'Toim ja inv rahavirta'!M259/'Veroposentin tuotto'!AS259*-1</f>
        <v>2.2460052351068374</v>
      </c>
      <c r="N266" s="148">
        <f>'Toim ja inv rahavirta'!N259/'Veroposentin tuotto'!AT259*-1</f>
        <v>2.8074285797486715</v>
      </c>
      <c r="O266" s="148">
        <f>'Toim ja inv rahavirta'!O259/'Veroposentin tuotto'!AU259*-1</f>
        <v>3.1808272632067571</v>
      </c>
      <c r="P266" s="148">
        <f>'Toim ja inv rahavirta'!P259/'Veroposentin tuotto'!AV259*-1</f>
        <v>2.4692012653067392</v>
      </c>
    </row>
    <row r="267" spans="1:16" x14ac:dyDescent="0.2">
      <c r="A267" s="34">
        <v>783</v>
      </c>
      <c r="B267" s="88" t="s">
        <v>574</v>
      </c>
      <c r="C267" s="148" t="e">
        <f>'Toim ja inv rahavirta'!C260/'Veroposentin tuotto'!AI260*-1</f>
        <v>#REF!</v>
      </c>
      <c r="D267" s="148">
        <f>'Toim ja inv rahavirta'!D260/'Veroposentin tuotto'!AJ260*-1</f>
        <v>-2.7927942483237738</v>
      </c>
      <c r="E267" s="148">
        <f>'Toim ja inv rahavirta'!E260/'Veroposentin tuotto'!AK260*-1</f>
        <v>-2.935395314787701</v>
      </c>
      <c r="F267" s="148">
        <f>'Toim ja inv rahavirta'!F260/'Veroposentin tuotto'!AL260*-1</f>
        <v>-0.36437672673291821</v>
      </c>
      <c r="G267" s="148">
        <f>'Toim ja inv rahavirta'!G260/'Veroposentin tuotto'!AM260*-1</f>
        <v>1.8122286696754781</v>
      </c>
      <c r="H267" s="148">
        <f>'Toim ja inv rahavirta'!H260/'Veroposentin tuotto'!AN260*-1</f>
        <v>-1.6475919813576658</v>
      </c>
      <c r="I267" s="148">
        <f>'Toim ja inv rahavirta'!I260/'Veroposentin tuotto'!AO260*-1</f>
        <v>-2.6940978905622974</v>
      </c>
      <c r="J267" s="148">
        <f>'Toim ja inv rahavirta'!J260/'Veroposentin tuotto'!AP260*-1</f>
        <v>-1.4042749402926185</v>
      </c>
      <c r="K267" s="148">
        <f>'Toim ja inv rahavirta'!K260/'Veroposentin tuotto'!AQ260*-1</f>
        <v>-1.9606698437212693</v>
      </c>
      <c r="L267" s="148">
        <f>'Toim ja inv rahavirta'!L260/'Veroposentin tuotto'!AR260*-1</f>
        <v>0.2867001436893738</v>
      </c>
      <c r="M267" s="148">
        <f>'Toim ja inv rahavirta'!M260/'Veroposentin tuotto'!AS260*-1</f>
        <v>-1.6177079386097686</v>
      </c>
      <c r="N267" s="148">
        <f>'Toim ja inv rahavirta'!N260/'Veroposentin tuotto'!AT260*-1</f>
        <v>-1.6501916674754165</v>
      </c>
      <c r="O267" s="148">
        <f>'Toim ja inv rahavirta'!O260/'Veroposentin tuotto'!AU260*-1</f>
        <v>-1.6408206212268772</v>
      </c>
      <c r="P267" s="148">
        <f>'Toim ja inv rahavirta'!P260/'Veroposentin tuotto'!AV260*-1</f>
        <v>-2.0771450078994049</v>
      </c>
    </row>
    <row r="268" spans="1:16" x14ac:dyDescent="0.2">
      <c r="A268" s="34">
        <v>785</v>
      </c>
      <c r="B268" s="88" t="s">
        <v>575</v>
      </c>
      <c r="C268" s="148" t="e">
        <f>'Toim ja inv rahavirta'!C261/'Veroposentin tuotto'!AI261*-1</f>
        <v>#REF!</v>
      </c>
      <c r="D268" s="148">
        <f>'Toim ja inv rahavirta'!D261/'Veroposentin tuotto'!AJ261*-1</f>
        <v>0.48007648655317048</v>
      </c>
      <c r="E268" s="148">
        <f>'Toim ja inv rahavirta'!E261/'Veroposentin tuotto'!AK261*-1</f>
        <v>-8.1132075471698109E-2</v>
      </c>
      <c r="F268" s="148">
        <f>'Toim ja inv rahavirta'!F261/'Veroposentin tuotto'!AL261*-1</f>
        <v>-0.72507331378299122</v>
      </c>
      <c r="G268" s="148">
        <f>'Toim ja inv rahavirta'!G261/'Veroposentin tuotto'!AM261*-1</f>
        <v>-0.79765338227582594</v>
      </c>
      <c r="H268" s="148">
        <f>'Toim ja inv rahavirta'!H261/'Veroposentin tuotto'!AN261*-1</f>
        <v>-2.9700857301708221</v>
      </c>
      <c r="I268" s="148">
        <f>'Toim ja inv rahavirta'!I261/'Veroposentin tuotto'!AO261*-1</f>
        <v>-2.9036645085260298</v>
      </c>
      <c r="J268" s="148">
        <f>'Toim ja inv rahavirta'!J261/'Veroposentin tuotto'!AP261*-1</f>
        <v>-5.1067830905138143</v>
      </c>
      <c r="K268" s="148">
        <f>'Toim ja inv rahavirta'!K261/'Veroposentin tuotto'!AQ261*-1</f>
        <v>-2.0259098660888464</v>
      </c>
      <c r="L268" s="148">
        <f>'Toim ja inv rahavirta'!L261/'Veroposentin tuotto'!AR261*-1</f>
        <v>-2.0047619633972054</v>
      </c>
      <c r="M268" s="148">
        <f>'Toim ja inv rahavirta'!M261/'Veroposentin tuotto'!AS261*-1</f>
        <v>-1.3100122944579122</v>
      </c>
      <c r="N268" s="148">
        <f>'Toim ja inv rahavirta'!N261/'Veroposentin tuotto'!AT261*-1</f>
        <v>-0.41429052453743237</v>
      </c>
      <c r="O268" s="148">
        <f>'Toim ja inv rahavirta'!O261/'Veroposentin tuotto'!AU261*-1</f>
        <v>0.10171752088499575</v>
      </c>
      <c r="P268" s="148">
        <f>'Toim ja inv rahavirta'!P261/'Veroposentin tuotto'!AV261*-1</f>
        <v>-0.26428975168415747</v>
      </c>
    </row>
    <row r="269" spans="1:16" x14ac:dyDescent="0.2">
      <c r="A269" s="34">
        <v>790</v>
      </c>
      <c r="B269" s="88" t="s">
        <v>576</v>
      </c>
      <c r="C269" s="148" t="e">
        <f>'Toim ja inv rahavirta'!C262/'Veroposentin tuotto'!AI262*-1</f>
        <v>#REF!</v>
      </c>
      <c r="D269" s="148">
        <f>'Toim ja inv rahavirta'!D262/'Veroposentin tuotto'!AJ262*-1</f>
        <v>0.10248070328926016</v>
      </c>
      <c r="E269" s="148">
        <f>'Toim ja inv rahavirta'!E262/'Veroposentin tuotto'!AK262*-1</f>
        <v>-1.9017880693571001</v>
      </c>
      <c r="F269" s="148">
        <f>'Toim ja inv rahavirta'!F262/'Veroposentin tuotto'!AL262*-1</f>
        <v>0.64269260755546109</v>
      </c>
      <c r="G269" s="148">
        <f>'Toim ja inv rahavirta'!G262/'Veroposentin tuotto'!AM262*-1</f>
        <v>3.2571420545520939</v>
      </c>
      <c r="H269" s="148">
        <f>'Toim ja inv rahavirta'!H262/'Veroposentin tuotto'!AN262*-1</f>
        <v>-1.2001189533208703</v>
      </c>
      <c r="I269" s="148">
        <f>'Toim ja inv rahavirta'!I262/'Veroposentin tuotto'!AO262*-1</f>
        <v>-1.5318659088247217</v>
      </c>
      <c r="J269" s="148">
        <f>'Toim ja inv rahavirta'!J262/'Veroposentin tuotto'!AP262*-1</f>
        <v>-1.91156687821708</v>
      </c>
      <c r="K269" s="148">
        <f>'Toim ja inv rahavirta'!K262/'Veroposentin tuotto'!AQ262*-1</f>
        <v>-1.0826672633214716</v>
      </c>
      <c r="L269" s="148">
        <f>'Toim ja inv rahavirta'!L262/'Veroposentin tuotto'!AR262*-1</f>
        <v>0.75702044188964757</v>
      </c>
      <c r="M269" s="148">
        <f>'Toim ja inv rahavirta'!M262/'Veroposentin tuotto'!AS262*-1</f>
        <v>1.4858706487086271</v>
      </c>
      <c r="N269" s="148">
        <f>'Toim ja inv rahavirta'!N262/'Veroposentin tuotto'!AT262*-1</f>
        <v>1.5301466439061331</v>
      </c>
      <c r="O269" s="148">
        <f>'Toim ja inv rahavirta'!O262/'Veroposentin tuotto'!AU262*-1</f>
        <v>1.6113028203313189</v>
      </c>
      <c r="P269" s="148">
        <f>'Toim ja inv rahavirta'!P262/'Veroposentin tuotto'!AV262*-1</f>
        <v>1.1018919779864438</v>
      </c>
    </row>
    <row r="270" spans="1:16" x14ac:dyDescent="0.2">
      <c r="A270" s="34">
        <v>791</v>
      </c>
      <c r="B270" s="88" t="s">
        <v>577</v>
      </c>
      <c r="C270" s="148" t="e">
        <f>'Toim ja inv rahavirta'!C263/'Veroposentin tuotto'!AI263*-1</f>
        <v>#REF!</v>
      </c>
      <c r="D270" s="148">
        <f>'Toim ja inv rahavirta'!D263/'Veroposentin tuotto'!AJ263*-1</f>
        <v>2.8323678752771224</v>
      </c>
      <c r="E270" s="148">
        <f>'Toim ja inv rahavirta'!E263/'Veroposentin tuotto'!AK263*-1</f>
        <v>-0.28252893028506915</v>
      </c>
      <c r="F270" s="148">
        <f>'Toim ja inv rahavirta'!F263/'Veroposentin tuotto'!AL263*-1</f>
        <v>-0.97752476711518543</v>
      </c>
      <c r="G270" s="148">
        <f>'Toim ja inv rahavirta'!G263/'Veroposentin tuotto'!AM263*-1</f>
        <v>-0.23218574859887911</v>
      </c>
      <c r="H270" s="148">
        <f>'Toim ja inv rahavirta'!H263/'Veroposentin tuotto'!AN263*-1</f>
        <v>2.6907368964974814</v>
      </c>
      <c r="I270" s="148">
        <f>'Toim ja inv rahavirta'!I263/'Veroposentin tuotto'!AO263*-1</f>
        <v>-2.2270953055091862</v>
      </c>
      <c r="J270" s="148">
        <f>'Toim ja inv rahavirta'!J263/'Veroposentin tuotto'!AP263*-1</f>
        <v>-1.1767299446894743</v>
      </c>
      <c r="K270" s="148">
        <f>'Toim ja inv rahavirta'!K263/'Veroposentin tuotto'!AQ263*-1</f>
        <v>-3.3749496444438534</v>
      </c>
      <c r="L270" s="148">
        <f>'Toim ja inv rahavirta'!L263/'Veroposentin tuotto'!AR263*-1</f>
        <v>-0.52679904515157816</v>
      </c>
      <c r="M270" s="148">
        <f>'Toim ja inv rahavirta'!M263/'Veroposentin tuotto'!AS263*-1</f>
        <v>0.77121819647736545</v>
      </c>
      <c r="N270" s="148">
        <f>'Toim ja inv rahavirta'!N263/'Veroposentin tuotto'!AT263*-1</f>
        <v>1.2757364505100506</v>
      </c>
      <c r="O270" s="148">
        <f>'Toim ja inv rahavirta'!O263/'Veroposentin tuotto'!AU263*-1</f>
        <v>1.3741092747670263</v>
      </c>
      <c r="P270" s="148">
        <f>'Toim ja inv rahavirta'!P263/'Veroposentin tuotto'!AV263*-1</f>
        <v>1.0510285343785843</v>
      </c>
    </row>
    <row r="271" spans="1:16" x14ac:dyDescent="0.2">
      <c r="A271" s="34">
        <v>831</v>
      </c>
      <c r="B271" s="88" t="s">
        <v>578</v>
      </c>
      <c r="C271" s="148" t="e">
        <f>'Toim ja inv rahavirta'!C264/'Veroposentin tuotto'!AI264*-1</f>
        <v>#REF!</v>
      </c>
      <c r="D271" s="148">
        <f>'Toim ja inv rahavirta'!D264/'Veroposentin tuotto'!AJ264*-1</f>
        <v>2.1020223362511321</v>
      </c>
      <c r="E271" s="148">
        <f>'Toim ja inv rahavirta'!E264/'Veroposentin tuotto'!AK264*-1</f>
        <v>-0.17073097663271419</v>
      </c>
      <c r="F271" s="148">
        <f>'Toim ja inv rahavirta'!F264/'Veroposentin tuotto'!AL264*-1</f>
        <v>1.4813868613138685</v>
      </c>
      <c r="G271" s="148">
        <f>'Toim ja inv rahavirta'!G264/'Veroposentin tuotto'!AM264*-1</f>
        <v>-1.0589255768229919</v>
      </c>
      <c r="H271" s="148">
        <f>'Toim ja inv rahavirta'!H264/'Veroposentin tuotto'!AN264*-1</f>
        <v>-3.6407054411065549</v>
      </c>
      <c r="I271" s="148">
        <f>'Toim ja inv rahavirta'!I264/'Veroposentin tuotto'!AO264*-1</f>
        <v>-3.413591319042514</v>
      </c>
      <c r="J271" s="148">
        <f>'Toim ja inv rahavirta'!J264/'Veroposentin tuotto'!AP264*-1</f>
        <v>-0.27243648845759477</v>
      </c>
      <c r="K271" s="148">
        <f>'Toim ja inv rahavirta'!K264/'Veroposentin tuotto'!AQ264*-1</f>
        <v>-1.4258178363012597</v>
      </c>
      <c r="L271" s="148">
        <f>'Toim ja inv rahavirta'!L264/'Veroposentin tuotto'!AR264*-1</f>
        <v>-0.51709519124817638</v>
      </c>
      <c r="M271" s="148">
        <f>'Toim ja inv rahavirta'!M264/'Veroposentin tuotto'!AS264*-1</f>
        <v>7.2759005391280371E-2</v>
      </c>
      <c r="N271" s="148">
        <f>'Toim ja inv rahavirta'!N264/'Veroposentin tuotto'!AT264*-1</f>
        <v>0.61548104435866824</v>
      </c>
      <c r="O271" s="148">
        <f>'Toim ja inv rahavirta'!O264/'Veroposentin tuotto'!AU264*-1</f>
        <v>0.75787179424288009</v>
      </c>
      <c r="P271" s="148">
        <f>'Toim ja inv rahavirta'!P264/'Veroposentin tuotto'!AV264*-1</f>
        <v>0.61287905800798448</v>
      </c>
    </row>
    <row r="272" spans="1:16" x14ac:dyDescent="0.2">
      <c r="A272" s="34">
        <v>832</v>
      </c>
      <c r="B272" s="88" t="s">
        <v>579</v>
      </c>
      <c r="C272" s="148" t="e">
        <f>'Toim ja inv rahavirta'!C265/'Veroposentin tuotto'!AI265*-1</f>
        <v>#REF!</v>
      </c>
      <c r="D272" s="148">
        <f>'Toim ja inv rahavirta'!D265/'Veroposentin tuotto'!AJ265*-1</f>
        <v>0.65662650602409633</v>
      </c>
      <c r="E272" s="148">
        <f>'Toim ja inv rahavirta'!E265/'Veroposentin tuotto'!AK265*-1</f>
        <v>3.5561866748541604</v>
      </c>
      <c r="F272" s="148">
        <f>'Toim ja inv rahavirta'!F265/'Veroposentin tuotto'!AL265*-1</f>
        <v>4.29647070999793</v>
      </c>
      <c r="G272" s="148">
        <f>'Toim ja inv rahavirta'!G265/'Veroposentin tuotto'!AM265*-1</f>
        <v>2.7854288349216105</v>
      </c>
      <c r="H272" s="148">
        <f>'Toim ja inv rahavirta'!H265/'Veroposentin tuotto'!AN265*-1</f>
        <v>0.19001225719367787</v>
      </c>
      <c r="I272" s="148">
        <f>'Toim ja inv rahavirta'!I265/'Veroposentin tuotto'!AO265*-1</f>
        <v>-0.95217357434315286</v>
      </c>
      <c r="J272" s="148">
        <f>'Toim ja inv rahavirta'!J265/'Veroposentin tuotto'!AP265*-1</f>
        <v>-4.8633084546706371</v>
      </c>
      <c r="K272" s="148">
        <f>'Toim ja inv rahavirta'!K265/'Veroposentin tuotto'!AQ265*-1</f>
        <v>1.5545057849999495</v>
      </c>
      <c r="L272" s="148">
        <f>'Toim ja inv rahavirta'!L265/'Veroposentin tuotto'!AR265*-1</f>
        <v>2.2430404630423615</v>
      </c>
      <c r="M272" s="148">
        <f>'Toim ja inv rahavirta'!M265/'Veroposentin tuotto'!AS265*-1</f>
        <v>2.8101238474342298</v>
      </c>
      <c r="N272" s="148">
        <f>'Toim ja inv rahavirta'!N265/'Veroposentin tuotto'!AT265*-1</f>
        <v>4.2707666641197219</v>
      </c>
      <c r="O272" s="148">
        <f>'Toim ja inv rahavirta'!O265/'Veroposentin tuotto'!AU265*-1</f>
        <v>5.1356015160935211</v>
      </c>
      <c r="P272" s="148">
        <f>'Toim ja inv rahavirta'!P265/'Veroposentin tuotto'!AV265*-1</f>
        <v>4.8171893064400537</v>
      </c>
    </row>
    <row r="273" spans="1:16" x14ac:dyDescent="0.2">
      <c r="A273" s="34">
        <v>833</v>
      </c>
      <c r="B273" s="88" t="s">
        <v>580</v>
      </c>
      <c r="C273" s="148" t="e">
        <f>'Toim ja inv rahavirta'!C266/'Veroposentin tuotto'!AI266*-1</f>
        <v>#REF!</v>
      </c>
      <c r="D273" s="148">
        <f>'Toim ja inv rahavirta'!D266/'Veroposentin tuotto'!AJ266*-1</f>
        <v>-6.9832148086174444</v>
      </c>
      <c r="E273" s="148">
        <f>'Toim ja inv rahavirta'!E266/'Veroposentin tuotto'!AK266*-1</f>
        <v>-5.6726917684758664</v>
      </c>
      <c r="F273" s="148">
        <f>'Toim ja inv rahavirta'!F266/'Veroposentin tuotto'!AL266*-1</f>
        <v>-2.6735576923076922</v>
      </c>
      <c r="G273" s="148">
        <f>'Toim ja inv rahavirta'!G266/'Veroposentin tuotto'!AM266*-1</f>
        <v>-1.4402941176470589</v>
      </c>
      <c r="H273" s="148">
        <f>'Toim ja inv rahavirta'!H266/'Veroposentin tuotto'!AN266*-1</f>
        <v>-7.6985795073145642</v>
      </c>
      <c r="I273" s="148">
        <f>'Toim ja inv rahavirta'!I266/'Veroposentin tuotto'!AO266*-1</f>
        <v>-2.2040407889905991</v>
      </c>
      <c r="J273" s="148">
        <f>'Toim ja inv rahavirta'!J266/'Veroposentin tuotto'!AP266*-1</f>
        <v>6.1821333359426849E-2</v>
      </c>
      <c r="K273" s="148">
        <f>'Toim ja inv rahavirta'!K266/'Veroposentin tuotto'!AQ266*-1</f>
        <v>-0.70359084552680728</v>
      </c>
      <c r="L273" s="148">
        <f>'Toim ja inv rahavirta'!L266/'Veroposentin tuotto'!AR266*-1</f>
        <v>1.3742755310471473</v>
      </c>
      <c r="M273" s="148">
        <f>'Toim ja inv rahavirta'!M266/'Veroposentin tuotto'!AS266*-1</f>
        <v>1.4594709134524297</v>
      </c>
      <c r="N273" s="148">
        <f>'Toim ja inv rahavirta'!N266/'Veroposentin tuotto'!AT266*-1</f>
        <v>1.8475130365581416</v>
      </c>
      <c r="O273" s="148">
        <f>'Toim ja inv rahavirta'!O266/'Veroposentin tuotto'!AU266*-1</f>
        <v>2.1509219500615027</v>
      </c>
      <c r="P273" s="148">
        <f>'Toim ja inv rahavirta'!P266/'Veroposentin tuotto'!AV266*-1</f>
        <v>1.9374977771987276</v>
      </c>
    </row>
    <row r="274" spans="1:16" x14ac:dyDescent="0.2">
      <c r="A274" s="34">
        <v>834</v>
      </c>
      <c r="B274" s="88" t="s">
        <v>581</v>
      </c>
      <c r="C274" s="148" t="e">
        <f>'Toim ja inv rahavirta'!C267/'Veroposentin tuotto'!AI267*-1</f>
        <v>#REF!</v>
      </c>
      <c r="D274" s="148">
        <f>'Toim ja inv rahavirta'!D267/'Veroposentin tuotto'!AJ267*-1</f>
        <v>-0.47935741634759443</v>
      </c>
      <c r="E274" s="148">
        <f>'Toim ja inv rahavirta'!E267/'Veroposentin tuotto'!AK267*-1</f>
        <v>-0.3717921969538911</v>
      </c>
      <c r="F274" s="148">
        <f>'Toim ja inv rahavirta'!F267/'Veroposentin tuotto'!AL267*-1</f>
        <v>1.0914627500136247</v>
      </c>
      <c r="G274" s="148">
        <f>'Toim ja inv rahavirta'!G267/'Veroposentin tuotto'!AM267*-1</f>
        <v>1.7246822033898304</v>
      </c>
      <c r="H274" s="148">
        <f>'Toim ja inv rahavirta'!H267/'Veroposentin tuotto'!AN267*-1</f>
        <v>-2.4076448435283697</v>
      </c>
      <c r="I274" s="148">
        <f>'Toim ja inv rahavirta'!I267/'Veroposentin tuotto'!AO267*-1</f>
        <v>-2.2739035825328875</v>
      </c>
      <c r="J274" s="148">
        <f>'Toim ja inv rahavirta'!J267/'Veroposentin tuotto'!AP267*-1</f>
        <v>-2.0026867307643395</v>
      </c>
      <c r="K274" s="148">
        <f>'Toim ja inv rahavirta'!K267/'Veroposentin tuotto'!AQ267*-1</f>
        <v>1.6439283263774227</v>
      </c>
      <c r="L274" s="148">
        <f>'Toim ja inv rahavirta'!L267/'Veroposentin tuotto'!AR267*-1</f>
        <v>2.2427407266613399</v>
      </c>
      <c r="M274" s="148">
        <f>'Toim ja inv rahavirta'!M267/'Veroposentin tuotto'!AS267*-1</f>
        <v>2.5773831634940456</v>
      </c>
      <c r="N274" s="148">
        <f>'Toim ja inv rahavirta'!N267/'Veroposentin tuotto'!AT267*-1</f>
        <v>2.3497388188350969</v>
      </c>
      <c r="O274" s="148">
        <f>'Toim ja inv rahavirta'!O267/'Veroposentin tuotto'!AU267*-1</f>
        <v>2.7258013473431255</v>
      </c>
      <c r="P274" s="148">
        <f>'Toim ja inv rahavirta'!P267/'Veroposentin tuotto'!AV267*-1</f>
        <v>2.3498988145891255</v>
      </c>
    </row>
    <row r="275" spans="1:16" x14ac:dyDescent="0.2">
      <c r="A275" s="34">
        <v>837</v>
      </c>
      <c r="B275" s="88" t="s">
        <v>582</v>
      </c>
      <c r="C275" s="148" t="e">
        <f>'Toim ja inv rahavirta'!C268/'Veroposentin tuotto'!AI268*-1</f>
        <v>#REF!</v>
      </c>
      <c r="D275" s="148">
        <f>'Toim ja inv rahavirta'!D268/'Veroposentin tuotto'!AJ268*-1</f>
        <v>3.7132604440323496</v>
      </c>
      <c r="E275" s="148">
        <f>'Toim ja inv rahavirta'!E268/'Veroposentin tuotto'!AK268*-1</f>
        <v>1.3965853501544798</v>
      </c>
      <c r="F275" s="148">
        <f>'Toim ja inv rahavirta'!F268/'Veroposentin tuotto'!AL268*-1</f>
        <v>3.6437393551380066</v>
      </c>
      <c r="G275" s="148">
        <f>'Toim ja inv rahavirta'!G268/'Veroposentin tuotto'!AM268*-1</f>
        <v>1.3942377109571631</v>
      </c>
      <c r="H275" s="148">
        <f>'Toim ja inv rahavirta'!H268/'Veroposentin tuotto'!AN268*-1</f>
        <v>0.73778682431972586</v>
      </c>
      <c r="I275" s="148">
        <f>'Toim ja inv rahavirta'!I268/'Veroposentin tuotto'!AO268*-1</f>
        <v>0.28763400314747761</v>
      </c>
      <c r="J275" s="148">
        <f>'Toim ja inv rahavirta'!J268/'Veroposentin tuotto'!AP268*-1</f>
        <v>1.9949979865148983</v>
      </c>
      <c r="K275" s="148">
        <f>'Toim ja inv rahavirta'!K268/'Veroposentin tuotto'!AQ268*-1</f>
        <v>0.47879596649771777</v>
      </c>
      <c r="L275" s="148">
        <f>'Toim ja inv rahavirta'!L268/'Veroposentin tuotto'!AR268*-1</f>
        <v>-1.6881870461215418</v>
      </c>
      <c r="M275" s="148">
        <f>'Toim ja inv rahavirta'!M268/'Veroposentin tuotto'!AS268*-1</f>
        <v>1.3873378688203593</v>
      </c>
      <c r="N275" s="148">
        <f>'Toim ja inv rahavirta'!N268/'Veroposentin tuotto'!AT268*-1</f>
        <v>1.2303944890994025</v>
      </c>
      <c r="O275" s="148">
        <f>'Toim ja inv rahavirta'!O268/'Veroposentin tuotto'!AU268*-1</f>
        <v>1.2226855370787566</v>
      </c>
      <c r="P275" s="148">
        <f>'Toim ja inv rahavirta'!P268/'Veroposentin tuotto'!AV268*-1</f>
        <v>1.1196817081087798</v>
      </c>
    </row>
    <row r="276" spans="1:16" x14ac:dyDescent="0.2">
      <c r="A276" s="34">
        <v>844</v>
      </c>
      <c r="B276" s="88" t="s">
        <v>583</v>
      </c>
      <c r="C276" s="148" t="e">
        <f>'Toim ja inv rahavirta'!C269/'Veroposentin tuotto'!AI269*-1</f>
        <v>#REF!</v>
      </c>
      <c r="D276" s="148">
        <f>'Toim ja inv rahavirta'!D269/'Veroposentin tuotto'!AJ269*-1</f>
        <v>4.0611276768772031</v>
      </c>
      <c r="E276" s="148">
        <f>'Toim ja inv rahavirta'!E269/'Veroposentin tuotto'!AK269*-1</f>
        <v>0.84647810715256999</v>
      </c>
      <c r="F276" s="148">
        <f>'Toim ja inv rahavirta'!F269/'Veroposentin tuotto'!AL269*-1</f>
        <v>0.6331734960767218</v>
      </c>
      <c r="G276" s="148">
        <f>'Toim ja inv rahavirta'!G269/'Veroposentin tuotto'!AM269*-1</f>
        <v>1.5596599028293798</v>
      </c>
      <c r="H276" s="148">
        <f>'Toim ja inv rahavirta'!H269/'Veroposentin tuotto'!AN269*-1</f>
        <v>2.0616933123969088</v>
      </c>
      <c r="I276" s="148">
        <f>'Toim ja inv rahavirta'!I269/'Veroposentin tuotto'!AO269*-1</f>
        <v>-2.0488262139502651</v>
      </c>
      <c r="J276" s="148">
        <f>'Toim ja inv rahavirta'!J269/'Veroposentin tuotto'!AP269*-1</f>
        <v>-2.0268718903812353</v>
      </c>
      <c r="K276" s="148">
        <f>'Toim ja inv rahavirta'!K269/'Veroposentin tuotto'!AQ269*-1</f>
        <v>-0.96803175344766745</v>
      </c>
      <c r="L276" s="148">
        <f>'Toim ja inv rahavirta'!L269/'Veroposentin tuotto'!AR269*-1</f>
        <v>-1.8268133703985288</v>
      </c>
      <c r="M276" s="148">
        <f>'Toim ja inv rahavirta'!M269/'Veroposentin tuotto'!AS269*-1</f>
        <v>-0.36947126765361571</v>
      </c>
      <c r="N276" s="148">
        <f>'Toim ja inv rahavirta'!N269/'Veroposentin tuotto'!AT269*-1</f>
        <v>-0.63956784048031257</v>
      </c>
      <c r="O276" s="148">
        <f>'Toim ja inv rahavirta'!O269/'Veroposentin tuotto'!AU269*-1</f>
        <v>-1.2167644740464303</v>
      </c>
      <c r="P276" s="148">
        <f>'Toim ja inv rahavirta'!P269/'Veroposentin tuotto'!AV269*-1</f>
        <v>-1.8272410513462953</v>
      </c>
    </row>
    <row r="277" spans="1:16" x14ac:dyDescent="0.2">
      <c r="A277" s="34">
        <v>845</v>
      </c>
      <c r="B277" s="88" t="s">
        <v>584</v>
      </c>
      <c r="C277" s="148" t="e">
        <f>'Toim ja inv rahavirta'!C270/'Veroposentin tuotto'!AI270*-1</f>
        <v>#REF!</v>
      </c>
      <c r="D277" s="148">
        <f>'Toim ja inv rahavirta'!D270/'Veroposentin tuotto'!AJ270*-1</f>
        <v>-6.8678209459459456</v>
      </c>
      <c r="E277" s="148">
        <f>'Toim ja inv rahavirta'!E270/'Veroposentin tuotto'!AK270*-1</f>
        <v>-3.4580804953560373</v>
      </c>
      <c r="F277" s="148">
        <f>'Toim ja inv rahavirta'!F270/'Veroposentin tuotto'!AL270*-1</f>
        <v>-1.2083750625938909</v>
      </c>
      <c r="G277" s="148">
        <f>'Toim ja inv rahavirta'!G270/'Veroposentin tuotto'!AM270*-1</f>
        <v>1.766482133870156</v>
      </c>
      <c r="H277" s="148">
        <f>'Toim ja inv rahavirta'!H270/'Veroposentin tuotto'!AN270*-1</f>
        <v>-1.9627351383814589</v>
      </c>
      <c r="I277" s="148">
        <f>'Toim ja inv rahavirta'!I270/'Veroposentin tuotto'!AO270*-1</f>
        <v>-6.4550842047376982</v>
      </c>
      <c r="J277" s="148">
        <f>'Toim ja inv rahavirta'!J270/'Veroposentin tuotto'!AP270*-1</f>
        <v>-2.5587499435677445</v>
      </c>
      <c r="K277" s="148">
        <f>'Toim ja inv rahavirta'!K270/'Veroposentin tuotto'!AQ270*-1</f>
        <v>-2.8774092193729568</v>
      </c>
      <c r="L277" s="148">
        <f>'Toim ja inv rahavirta'!L270/'Veroposentin tuotto'!AR270*-1</f>
        <v>1.4363217253825544</v>
      </c>
      <c r="M277" s="148">
        <f>'Toim ja inv rahavirta'!M270/'Veroposentin tuotto'!AS270*-1</f>
        <v>1.8818624611797707</v>
      </c>
      <c r="N277" s="148">
        <f>'Toim ja inv rahavirta'!N270/'Veroposentin tuotto'!AT270*-1</f>
        <v>2.4032991147419969</v>
      </c>
      <c r="O277" s="148">
        <f>'Toim ja inv rahavirta'!O270/'Veroposentin tuotto'!AU270*-1</f>
        <v>2.8542450543532385</v>
      </c>
      <c r="P277" s="148">
        <f>'Toim ja inv rahavirta'!P270/'Veroposentin tuotto'!AV270*-1</f>
        <v>2.6043578923784647</v>
      </c>
    </row>
    <row r="278" spans="1:16" x14ac:dyDescent="0.2">
      <c r="A278" s="34">
        <v>846</v>
      </c>
      <c r="B278" s="88" t="s">
        <v>585</v>
      </c>
      <c r="C278" s="148" t="e">
        <f>'Toim ja inv rahavirta'!C271/'Veroposentin tuotto'!AI271*-1</f>
        <v>#REF!</v>
      </c>
      <c r="D278" s="148">
        <f>'Toim ja inv rahavirta'!D271/'Veroposentin tuotto'!AJ271*-1</f>
        <v>-1.10128055878929</v>
      </c>
      <c r="E278" s="148">
        <f>'Toim ja inv rahavirta'!E271/'Veroposentin tuotto'!AK271*-1</f>
        <v>-1.3414813330661857</v>
      </c>
      <c r="F278" s="148">
        <f>'Toim ja inv rahavirta'!F271/'Veroposentin tuotto'!AL271*-1</f>
        <v>-1.1600115531807351</v>
      </c>
      <c r="G278" s="148">
        <f>'Toim ja inv rahavirta'!G271/'Veroposentin tuotto'!AM271*-1</f>
        <v>-3.2211274375171657</v>
      </c>
      <c r="H278" s="148">
        <f>'Toim ja inv rahavirta'!H271/'Veroposentin tuotto'!AN271*-1</f>
        <v>-5.5781240947834316</v>
      </c>
      <c r="I278" s="148">
        <f>'Toim ja inv rahavirta'!I271/'Veroposentin tuotto'!AO271*-1</f>
        <v>-1.9570055793751704</v>
      </c>
      <c r="J278" s="148">
        <f>'Toim ja inv rahavirta'!J271/'Veroposentin tuotto'!AP271*-1</f>
        <v>-5.0147471223868232</v>
      </c>
      <c r="K278" s="148">
        <f>'Toim ja inv rahavirta'!K271/'Veroposentin tuotto'!AQ271*-1</f>
        <v>-7.4043935897826758</v>
      </c>
      <c r="L278" s="148">
        <f>'Toim ja inv rahavirta'!L271/'Veroposentin tuotto'!AR271*-1</f>
        <v>-2.707186963653077</v>
      </c>
      <c r="M278" s="148">
        <f>'Toim ja inv rahavirta'!M271/'Veroposentin tuotto'!AS271*-1</f>
        <v>-1.0840785239264128</v>
      </c>
      <c r="N278" s="148">
        <f>'Toim ja inv rahavirta'!N271/'Veroposentin tuotto'!AT271*-1</f>
        <v>-1.04401426321363</v>
      </c>
      <c r="O278" s="148">
        <f>'Toim ja inv rahavirta'!O271/'Veroposentin tuotto'!AU271*-1</f>
        <v>-0.44932057331097308</v>
      </c>
      <c r="P278" s="148">
        <f>'Toim ja inv rahavirta'!P271/'Veroposentin tuotto'!AV271*-1</f>
        <v>-0.93891554318426396</v>
      </c>
    </row>
    <row r="279" spans="1:16" x14ac:dyDescent="0.2">
      <c r="A279" s="34">
        <v>848</v>
      </c>
      <c r="B279" s="88" t="s">
        <v>586</v>
      </c>
      <c r="C279" s="148" t="e">
        <f>'Toim ja inv rahavirta'!C272/'Veroposentin tuotto'!AI272*-1</f>
        <v>#REF!</v>
      </c>
      <c r="D279" s="148">
        <f>'Toim ja inv rahavirta'!D272/'Veroposentin tuotto'!AJ272*-1</f>
        <v>-0.15647482014388489</v>
      </c>
      <c r="E279" s="148">
        <f>'Toim ja inv rahavirta'!E272/'Veroposentin tuotto'!AK272*-1</f>
        <v>-2.0944172504008778</v>
      </c>
      <c r="F279" s="148">
        <f>'Toim ja inv rahavirta'!F272/'Veroposentin tuotto'!AL272*-1</f>
        <v>3.1297603195739017</v>
      </c>
      <c r="G279" s="148">
        <f>'Toim ja inv rahavirta'!G272/'Veroposentin tuotto'!AM272*-1</f>
        <v>4.5777701602536638</v>
      </c>
      <c r="H279" s="148">
        <f>'Toim ja inv rahavirta'!H272/'Veroposentin tuotto'!AN272*-1</f>
        <v>0.37684742502081697</v>
      </c>
      <c r="I279" s="148">
        <f>'Toim ja inv rahavirta'!I272/'Veroposentin tuotto'!AO272*-1</f>
        <v>-1.3165592704221951</v>
      </c>
      <c r="J279" s="148">
        <f>'Toim ja inv rahavirta'!J272/'Veroposentin tuotto'!AP272*-1</f>
        <v>9.3518010435064219E-2</v>
      </c>
      <c r="K279" s="148">
        <f>'Toim ja inv rahavirta'!K272/'Veroposentin tuotto'!AQ272*-1</f>
        <v>-1.2728594151232466</v>
      </c>
      <c r="L279" s="148">
        <f>'Toim ja inv rahavirta'!L272/'Veroposentin tuotto'!AR272*-1</f>
        <v>0.86372482839468756</v>
      </c>
      <c r="M279" s="148">
        <f>'Toim ja inv rahavirta'!M272/'Veroposentin tuotto'!AS272*-1</f>
        <v>3.363396706037491</v>
      </c>
      <c r="N279" s="148">
        <f>'Toim ja inv rahavirta'!N272/'Veroposentin tuotto'!AT272*-1</f>
        <v>3.9605649035038262</v>
      </c>
      <c r="O279" s="148">
        <f>'Toim ja inv rahavirta'!O272/'Veroposentin tuotto'!AU272*-1</f>
        <v>4.5018046209517486</v>
      </c>
      <c r="P279" s="148">
        <f>'Toim ja inv rahavirta'!P272/'Veroposentin tuotto'!AV272*-1</f>
        <v>4.0405578361550178</v>
      </c>
    </row>
    <row r="280" spans="1:16" x14ac:dyDescent="0.2">
      <c r="A280" s="34">
        <v>849</v>
      </c>
      <c r="B280" s="88" t="s">
        <v>587</v>
      </c>
      <c r="C280" s="148" t="e">
        <f>'Toim ja inv rahavirta'!C273/'Veroposentin tuotto'!AI273*-1</f>
        <v>#REF!</v>
      </c>
      <c r="D280" s="148">
        <f>'Toim ja inv rahavirta'!D273/'Veroposentin tuotto'!AJ273*-1</f>
        <v>-0.95698090692124105</v>
      </c>
      <c r="E280" s="148">
        <f>'Toim ja inv rahavirta'!E273/'Veroposentin tuotto'!AK273*-1</f>
        <v>-2.9683240787481071</v>
      </c>
      <c r="F280" s="148">
        <f>'Toim ja inv rahavirta'!F273/'Veroposentin tuotto'!AL273*-1</f>
        <v>-1.1021399542799084</v>
      </c>
      <c r="G280" s="148">
        <f>'Toim ja inv rahavirta'!G273/'Veroposentin tuotto'!AM273*-1</f>
        <v>1.1445930670685758</v>
      </c>
      <c r="H280" s="148">
        <f>'Toim ja inv rahavirta'!H273/'Veroposentin tuotto'!AN273*-1</f>
        <v>-1.0792207983500843</v>
      </c>
      <c r="I280" s="148">
        <f>'Toim ja inv rahavirta'!I273/'Veroposentin tuotto'!AO273*-1</f>
        <v>-0.52009296924806991</v>
      </c>
      <c r="J280" s="148">
        <f>'Toim ja inv rahavirta'!J273/'Veroposentin tuotto'!AP273*-1</f>
        <v>-0.73706481192084006</v>
      </c>
      <c r="K280" s="148">
        <f>'Toim ja inv rahavirta'!K273/'Veroposentin tuotto'!AQ273*-1</f>
        <v>-8.26209890932161</v>
      </c>
      <c r="L280" s="148">
        <f>'Toim ja inv rahavirta'!L273/'Veroposentin tuotto'!AR273*-1</f>
        <v>1.1477335974038476</v>
      </c>
      <c r="M280" s="148">
        <f>'Toim ja inv rahavirta'!M273/'Veroposentin tuotto'!AS273*-1</f>
        <v>1.6935436752606319</v>
      </c>
      <c r="N280" s="148">
        <f>'Toim ja inv rahavirta'!N273/'Veroposentin tuotto'!AT273*-1</f>
        <v>2.7135632823262443</v>
      </c>
      <c r="O280" s="148">
        <f>'Toim ja inv rahavirta'!O273/'Veroposentin tuotto'!AU273*-1</f>
        <v>3.608828627456484</v>
      </c>
      <c r="P280" s="148">
        <f>'Toim ja inv rahavirta'!P273/'Veroposentin tuotto'!AV273*-1</f>
        <v>3.0677598976632661</v>
      </c>
    </row>
    <row r="281" spans="1:16" x14ac:dyDescent="0.2">
      <c r="A281" s="34">
        <v>850</v>
      </c>
      <c r="B281" s="88" t="s">
        <v>588</v>
      </c>
      <c r="C281" s="148" t="e">
        <f>'Toim ja inv rahavirta'!C274/'Veroposentin tuotto'!AI274*-1</f>
        <v>#REF!</v>
      </c>
      <c r="D281" s="148">
        <f>'Toim ja inv rahavirta'!D274/'Veroposentin tuotto'!AJ274*-1</f>
        <v>7.1488121918422234</v>
      </c>
      <c r="E281" s="148">
        <f>'Toim ja inv rahavirta'!E274/'Veroposentin tuotto'!AK274*-1</f>
        <v>0.94597379655527747</v>
      </c>
      <c r="F281" s="148">
        <f>'Toim ja inv rahavirta'!F274/'Veroposentin tuotto'!AL274*-1</f>
        <v>4.85609243697479</v>
      </c>
      <c r="G281" s="148">
        <f>'Toim ja inv rahavirta'!G274/'Veroposentin tuotto'!AM274*-1</f>
        <v>1.0588995833931907</v>
      </c>
      <c r="H281" s="148">
        <f>'Toim ja inv rahavirta'!H274/'Veroposentin tuotto'!AN274*-1</f>
        <v>4.5198970225922404</v>
      </c>
      <c r="I281" s="148">
        <f>'Toim ja inv rahavirta'!I274/'Veroposentin tuotto'!AO274*-1</f>
        <v>-2.3693481387046149</v>
      </c>
      <c r="J281" s="148">
        <f>'Toim ja inv rahavirta'!J274/'Veroposentin tuotto'!AP274*-1</f>
        <v>-1.5151401125051036</v>
      </c>
      <c r="K281" s="148">
        <f>'Toim ja inv rahavirta'!K274/'Veroposentin tuotto'!AQ274*-1</f>
        <v>-8.2767424938856102</v>
      </c>
      <c r="L281" s="148">
        <f>'Toim ja inv rahavirta'!L274/'Veroposentin tuotto'!AR274*-1</f>
        <v>-2.7470765386264042</v>
      </c>
      <c r="M281" s="148">
        <f>'Toim ja inv rahavirta'!M274/'Veroposentin tuotto'!AS274*-1</f>
        <v>1.4951557330593281</v>
      </c>
      <c r="N281" s="148">
        <f>'Toim ja inv rahavirta'!N274/'Veroposentin tuotto'!AT274*-1</f>
        <v>1.4523229524027297</v>
      </c>
      <c r="O281" s="148">
        <f>'Toim ja inv rahavirta'!O274/'Veroposentin tuotto'!AU274*-1</f>
        <v>1.8638095124371812</v>
      </c>
      <c r="P281" s="148">
        <f>'Toim ja inv rahavirta'!P274/'Veroposentin tuotto'!AV274*-1</f>
        <v>1.9704353359503495</v>
      </c>
    </row>
    <row r="282" spans="1:16" x14ac:dyDescent="0.2">
      <c r="A282" s="34">
        <v>851</v>
      </c>
      <c r="B282" s="88" t="s">
        <v>589</v>
      </c>
      <c r="C282" s="148" t="e">
        <f>'Toim ja inv rahavirta'!C275/'Veroposentin tuotto'!AI275*-1</f>
        <v>#REF!</v>
      </c>
      <c r="D282" s="148">
        <f>'Toim ja inv rahavirta'!D275/'Veroposentin tuotto'!AJ275*-1</f>
        <v>-0.66314372497583873</v>
      </c>
      <c r="E282" s="148">
        <f>'Toim ja inv rahavirta'!E275/'Veroposentin tuotto'!AK275*-1</f>
        <v>-0.1684016393442623</v>
      </c>
      <c r="F282" s="148">
        <f>'Toim ja inv rahavirta'!F275/'Veroposentin tuotto'!AL275*-1</f>
        <v>0.93149771341463417</v>
      </c>
      <c r="G282" s="148">
        <f>'Toim ja inv rahavirta'!G275/'Veroposentin tuotto'!AM275*-1</f>
        <v>1.4550172775933328</v>
      </c>
      <c r="H282" s="148">
        <f>'Toim ja inv rahavirta'!H275/'Veroposentin tuotto'!AN275*-1</f>
        <v>-1.3668903570005209</v>
      </c>
      <c r="I282" s="148">
        <f>'Toim ja inv rahavirta'!I275/'Veroposentin tuotto'!AO275*-1</f>
        <v>0.40333497310465904</v>
      </c>
      <c r="J282" s="148">
        <f>'Toim ja inv rahavirta'!J275/'Veroposentin tuotto'!AP275*-1</f>
        <v>0.78986564867049758</v>
      </c>
      <c r="K282" s="148">
        <f>'Toim ja inv rahavirta'!K275/'Veroposentin tuotto'!AQ275*-1</f>
        <v>-1.3260233084346156</v>
      </c>
      <c r="L282" s="148">
        <f>'Toim ja inv rahavirta'!L275/'Veroposentin tuotto'!AR275*-1</f>
        <v>0.73592669783103914</v>
      </c>
      <c r="M282" s="148">
        <f>'Toim ja inv rahavirta'!M275/'Veroposentin tuotto'!AS275*-1</f>
        <v>0.55643397739445777</v>
      </c>
      <c r="N282" s="148">
        <f>'Toim ja inv rahavirta'!N275/'Veroposentin tuotto'!AT275*-1</f>
        <v>0.83879481036012704</v>
      </c>
      <c r="O282" s="148">
        <f>'Toim ja inv rahavirta'!O275/'Veroposentin tuotto'!AU275*-1</f>
        <v>0.76021250958518582</v>
      </c>
      <c r="P282" s="148">
        <f>'Toim ja inv rahavirta'!P275/'Veroposentin tuotto'!AV275*-1</f>
        <v>0.38648866027859541</v>
      </c>
    </row>
    <row r="283" spans="1:16" x14ac:dyDescent="0.2">
      <c r="A283" s="34">
        <v>853</v>
      </c>
      <c r="B283" s="88" t="s">
        <v>590</v>
      </c>
      <c r="C283" s="148" t="e">
        <f>'Toim ja inv rahavirta'!C276/'Veroposentin tuotto'!AI276*-1</f>
        <v>#REF!</v>
      </c>
      <c r="D283" s="148">
        <f>'Toim ja inv rahavirta'!D276/'Veroposentin tuotto'!AJ276*-1</f>
        <v>0.1033440634184272</v>
      </c>
      <c r="E283" s="148">
        <f>'Toim ja inv rahavirta'!E276/'Veroposentin tuotto'!AK276*-1</f>
        <v>-2.0996505968969679</v>
      </c>
      <c r="F283" s="148">
        <f>'Toim ja inv rahavirta'!F276/'Veroposentin tuotto'!AL276*-1</f>
        <v>2.4196155399375465</v>
      </c>
      <c r="G283" s="148">
        <f>'Toim ja inv rahavirta'!G276/'Veroposentin tuotto'!AM276*-1</f>
        <v>2.8179319426445382</v>
      </c>
      <c r="H283" s="148">
        <f>'Toim ja inv rahavirta'!H276/'Veroposentin tuotto'!AN276*-1</f>
        <v>0.28426892779807927</v>
      </c>
      <c r="I283" s="148">
        <f>'Toim ja inv rahavirta'!I276/'Veroposentin tuotto'!AO276*-1</f>
        <v>0.88229570759916986</v>
      </c>
      <c r="J283" s="148">
        <f>'Toim ja inv rahavirta'!J276/'Veroposentin tuotto'!AP276*-1</f>
        <v>0.8276947145652398</v>
      </c>
      <c r="K283" s="148">
        <f>'Toim ja inv rahavirta'!K276/'Veroposentin tuotto'!AQ276*-1</f>
        <v>1.5132728216691129</v>
      </c>
      <c r="L283" s="148">
        <f>'Toim ja inv rahavirta'!L276/'Veroposentin tuotto'!AR276*-1</f>
        <v>3.5993795405639872</v>
      </c>
      <c r="M283" s="148">
        <f>'Toim ja inv rahavirta'!M276/'Veroposentin tuotto'!AS276*-1</f>
        <v>4.8973964929108877</v>
      </c>
      <c r="N283" s="148">
        <f>'Toim ja inv rahavirta'!N276/'Veroposentin tuotto'!AT276*-1</f>
        <v>4.9057331642915036</v>
      </c>
      <c r="O283" s="148">
        <f>'Toim ja inv rahavirta'!O276/'Veroposentin tuotto'!AU276*-1</f>
        <v>4.8736889425790535</v>
      </c>
      <c r="P283" s="148">
        <f>'Toim ja inv rahavirta'!P276/'Veroposentin tuotto'!AV276*-1</f>
        <v>4.691017655571148</v>
      </c>
    </row>
    <row r="284" spans="1:16" x14ac:dyDescent="0.2">
      <c r="A284" s="34">
        <v>854</v>
      </c>
      <c r="B284" s="88" t="s">
        <v>591</v>
      </c>
      <c r="C284" s="148" t="e">
        <f>'Toim ja inv rahavirta'!C277/'Veroposentin tuotto'!AI277*-1</f>
        <v>#REF!</v>
      </c>
      <c r="D284" s="148">
        <f>'Toim ja inv rahavirta'!D277/'Veroposentin tuotto'!AJ277*-1</f>
        <v>1.6363842205897152</v>
      </c>
      <c r="E284" s="148">
        <f>'Toim ja inv rahavirta'!E277/'Veroposentin tuotto'!AK277*-1</f>
        <v>3.4827541086569664</v>
      </c>
      <c r="F284" s="148">
        <f>'Toim ja inv rahavirta'!F277/'Veroposentin tuotto'!AL277*-1</f>
        <v>-2.1941280952878488E-3</v>
      </c>
      <c r="G284" s="148">
        <f>'Toim ja inv rahavirta'!G277/'Veroposentin tuotto'!AM277*-1</f>
        <v>1.8455997904662127</v>
      </c>
      <c r="H284" s="148">
        <f>'Toim ja inv rahavirta'!H277/'Veroposentin tuotto'!AN277*-1</f>
        <v>-3.4764166037702169</v>
      </c>
      <c r="I284" s="148">
        <f>'Toim ja inv rahavirta'!I277/'Veroposentin tuotto'!AO277*-1</f>
        <v>-2.5457793590951403</v>
      </c>
      <c r="J284" s="148">
        <f>'Toim ja inv rahavirta'!J277/'Veroposentin tuotto'!AP277*-1</f>
        <v>-1.1905488746610196</v>
      </c>
      <c r="K284" s="148">
        <f>'Toim ja inv rahavirta'!K277/'Veroposentin tuotto'!AQ277*-1</f>
        <v>-2.3548468276567038</v>
      </c>
      <c r="L284" s="148">
        <f>'Toim ja inv rahavirta'!L277/'Veroposentin tuotto'!AR277*-1</f>
        <v>-0.16945389832192181</v>
      </c>
      <c r="M284" s="148">
        <f>'Toim ja inv rahavirta'!M277/'Veroposentin tuotto'!AS277*-1</f>
        <v>1.6991944692467731</v>
      </c>
      <c r="N284" s="148">
        <f>'Toim ja inv rahavirta'!N277/'Veroposentin tuotto'!AT277*-1</f>
        <v>1.9855506553427229</v>
      </c>
      <c r="O284" s="148">
        <f>'Toim ja inv rahavirta'!O277/'Veroposentin tuotto'!AU277*-1</f>
        <v>1.9834875714737854</v>
      </c>
      <c r="P284" s="148">
        <f>'Toim ja inv rahavirta'!P277/'Veroposentin tuotto'!AV277*-1</f>
        <v>1.3680090591414729</v>
      </c>
    </row>
    <row r="285" spans="1:16" x14ac:dyDescent="0.2">
      <c r="A285" s="34">
        <v>857</v>
      </c>
      <c r="B285" s="88" t="s">
        <v>592</v>
      </c>
      <c r="C285" s="148" t="e">
        <f>'Toim ja inv rahavirta'!C278/'Veroposentin tuotto'!AI278*-1</f>
        <v>#REF!</v>
      </c>
      <c r="D285" s="148">
        <f>'Toim ja inv rahavirta'!D278/'Veroposentin tuotto'!AJ278*-1</f>
        <v>-2.894077448747153</v>
      </c>
      <c r="E285" s="148">
        <f>'Toim ja inv rahavirta'!E278/'Veroposentin tuotto'!AK278*-1</f>
        <v>-2.0252290133653701</v>
      </c>
      <c r="F285" s="148">
        <f>'Toim ja inv rahavirta'!F278/'Veroposentin tuotto'!AL278*-1</f>
        <v>2.2633451957295372</v>
      </c>
      <c r="G285" s="148">
        <f>'Toim ja inv rahavirta'!G278/'Veroposentin tuotto'!AM278*-1</f>
        <v>3.7635926704716134</v>
      </c>
      <c r="H285" s="148">
        <f>'Toim ja inv rahavirta'!H278/'Veroposentin tuotto'!AN278*-1</f>
        <v>-3.069323248329683E-2</v>
      </c>
      <c r="I285" s="148">
        <f>'Toim ja inv rahavirta'!I278/'Veroposentin tuotto'!AO278*-1</f>
        <v>-0.52690964943596152</v>
      </c>
      <c r="J285" s="148">
        <f>'Toim ja inv rahavirta'!J278/'Veroposentin tuotto'!AP278*-1</f>
        <v>-1.5188595690628572</v>
      </c>
      <c r="K285" s="148">
        <f>'Toim ja inv rahavirta'!K278/'Veroposentin tuotto'!AQ278*-1</f>
        <v>0.91543810576819207</v>
      </c>
      <c r="L285" s="148">
        <f>'Toim ja inv rahavirta'!L278/'Veroposentin tuotto'!AR278*-1</f>
        <v>2.7681408916556949</v>
      </c>
      <c r="M285" s="148">
        <f>'Toim ja inv rahavirta'!M278/'Veroposentin tuotto'!AS278*-1</f>
        <v>3.2542293009457977</v>
      </c>
      <c r="N285" s="148">
        <f>'Toim ja inv rahavirta'!N278/'Veroposentin tuotto'!AT278*-1</f>
        <v>3.7924055782707069</v>
      </c>
      <c r="O285" s="148">
        <f>'Toim ja inv rahavirta'!O278/'Veroposentin tuotto'!AU278*-1</f>
        <v>3.7602891644284133</v>
      </c>
      <c r="P285" s="148">
        <f>'Toim ja inv rahavirta'!P278/'Veroposentin tuotto'!AV278*-1</f>
        <v>3.1907521397343901</v>
      </c>
    </row>
    <row r="286" spans="1:16" x14ac:dyDescent="0.2">
      <c r="A286" s="34">
        <v>858</v>
      </c>
      <c r="B286" s="88" t="s">
        <v>593</v>
      </c>
      <c r="C286" s="148" t="e">
        <f>'Toim ja inv rahavirta'!C279/'Veroposentin tuotto'!AI279*-1</f>
        <v>#REF!</v>
      </c>
      <c r="D286" s="148">
        <f>'Toim ja inv rahavirta'!D279/'Veroposentin tuotto'!AJ279*-1</f>
        <v>1.2469073380152369</v>
      </c>
      <c r="E286" s="148">
        <f>'Toim ja inv rahavirta'!E279/'Veroposentin tuotto'!AK279*-1</f>
        <v>1.9822798821785708</v>
      </c>
      <c r="F286" s="148">
        <f>'Toim ja inv rahavirta'!F279/'Veroposentin tuotto'!AL279*-1</f>
        <v>2.7866994248701769</v>
      </c>
      <c r="G286" s="148">
        <f>'Toim ja inv rahavirta'!G279/'Veroposentin tuotto'!AM279*-1</f>
        <v>3.8067009524041651</v>
      </c>
      <c r="H286" s="148">
        <f>'Toim ja inv rahavirta'!H279/'Veroposentin tuotto'!AN279*-1</f>
        <v>0.19553333441441378</v>
      </c>
      <c r="I286" s="148">
        <f>'Toim ja inv rahavirta'!I279/'Veroposentin tuotto'!AO279*-1</f>
        <v>0.60975893860030128</v>
      </c>
      <c r="J286" s="148">
        <f>'Toim ja inv rahavirta'!J279/'Veroposentin tuotto'!AP279*-1</f>
        <v>3.0480448485792486</v>
      </c>
      <c r="K286" s="148">
        <f>'Toim ja inv rahavirta'!K279/'Veroposentin tuotto'!AQ279*-1</f>
        <v>3.1445994893104698</v>
      </c>
      <c r="L286" s="148">
        <f>'Toim ja inv rahavirta'!L279/'Veroposentin tuotto'!AR279*-1</f>
        <v>1.6945365373080632</v>
      </c>
      <c r="M286" s="148">
        <f>'Toim ja inv rahavirta'!M279/'Veroposentin tuotto'!AS279*-1</f>
        <v>2.2750795467383251</v>
      </c>
      <c r="N286" s="148">
        <f>'Toim ja inv rahavirta'!N279/'Veroposentin tuotto'!AT279*-1</f>
        <v>2.4795062970190878</v>
      </c>
      <c r="O286" s="148">
        <f>'Toim ja inv rahavirta'!O279/'Veroposentin tuotto'!AU279*-1</f>
        <v>2.5833722850194727</v>
      </c>
      <c r="P286" s="148">
        <f>'Toim ja inv rahavirta'!P279/'Veroposentin tuotto'!AV279*-1</f>
        <v>2.5705724170465483</v>
      </c>
    </row>
    <row r="287" spans="1:16" x14ac:dyDescent="0.2">
      <c r="A287" s="34">
        <v>859</v>
      </c>
      <c r="B287" s="88" t="s">
        <v>594</v>
      </c>
      <c r="C287" s="148" t="e">
        <f>'Toim ja inv rahavirta'!C280/'Veroposentin tuotto'!AI280*-1</f>
        <v>#REF!</v>
      </c>
      <c r="D287" s="148">
        <f>'Toim ja inv rahavirta'!D280/'Veroposentin tuotto'!AJ280*-1</f>
        <v>9.6221220318605347</v>
      </c>
      <c r="E287" s="148">
        <f>'Toim ja inv rahavirta'!E280/'Veroposentin tuotto'!AK280*-1</f>
        <v>8.0201454285373703</v>
      </c>
      <c r="F287" s="148">
        <f>'Toim ja inv rahavirta'!F280/'Veroposentin tuotto'!AL280*-1</f>
        <v>3.7606032045240338</v>
      </c>
      <c r="G287" s="148">
        <f>'Toim ja inv rahavirta'!G280/'Veroposentin tuotto'!AM280*-1</f>
        <v>-1.8294447163757002</v>
      </c>
      <c r="H287" s="148">
        <f>'Toim ja inv rahavirta'!H280/'Veroposentin tuotto'!AN280*-1</f>
        <v>-2.5488501573121285</v>
      </c>
      <c r="I287" s="148">
        <f>'Toim ja inv rahavirta'!I280/'Veroposentin tuotto'!AO280*-1</f>
        <v>-1.1908167412276323</v>
      </c>
      <c r="J287" s="148">
        <f>'Toim ja inv rahavirta'!J280/'Veroposentin tuotto'!AP280*-1</f>
        <v>-0.62034973709823549</v>
      </c>
      <c r="K287" s="148">
        <f>'Toim ja inv rahavirta'!K280/'Veroposentin tuotto'!AQ280*-1</f>
        <v>1.2317204468303842</v>
      </c>
      <c r="L287" s="148">
        <f>'Toim ja inv rahavirta'!L280/'Veroposentin tuotto'!AR280*-1</f>
        <v>1.087159165262372</v>
      </c>
      <c r="M287" s="148">
        <f>'Toim ja inv rahavirta'!M280/'Veroposentin tuotto'!AS280*-1</f>
        <v>1.9489788835229942</v>
      </c>
      <c r="N287" s="148">
        <f>'Toim ja inv rahavirta'!N280/'Veroposentin tuotto'!AT280*-1</f>
        <v>1.8407376380862539</v>
      </c>
      <c r="O287" s="148">
        <f>'Toim ja inv rahavirta'!O280/'Veroposentin tuotto'!AU280*-1</f>
        <v>1.8444927312937085</v>
      </c>
      <c r="P287" s="148">
        <f>'Toim ja inv rahavirta'!P280/'Veroposentin tuotto'!AV280*-1</f>
        <v>1.5830512131621508</v>
      </c>
    </row>
    <row r="288" spans="1:16" x14ac:dyDescent="0.2">
      <c r="A288" s="34">
        <v>886</v>
      </c>
      <c r="B288" s="88" t="s">
        <v>595</v>
      </c>
      <c r="C288" s="148" t="e">
        <f>'Toim ja inv rahavirta'!C281/'Veroposentin tuotto'!AI281*-1</f>
        <v>#REF!</v>
      </c>
      <c r="D288" s="148">
        <f>'Toim ja inv rahavirta'!D281/'Veroposentin tuotto'!AJ281*-1</f>
        <v>0.72364870941631443</v>
      </c>
      <c r="E288" s="148">
        <f>'Toim ja inv rahavirta'!E281/'Veroposentin tuotto'!AK281*-1</f>
        <v>1.1810268616116966</v>
      </c>
      <c r="F288" s="148">
        <f>'Toim ja inv rahavirta'!F281/'Veroposentin tuotto'!AL281*-1</f>
        <v>1.2026077557086881</v>
      </c>
      <c r="G288" s="148">
        <f>'Toim ja inv rahavirta'!G281/'Veroposentin tuotto'!AM281*-1</f>
        <v>0.24547953778413534</v>
      </c>
      <c r="H288" s="148">
        <f>'Toim ja inv rahavirta'!H281/'Veroposentin tuotto'!AN281*-1</f>
        <v>-1.7579916422256228</v>
      </c>
      <c r="I288" s="148">
        <f>'Toim ja inv rahavirta'!I281/'Veroposentin tuotto'!AO281*-1</f>
        <v>-0.6478428015445048</v>
      </c>
      <c r="J288" s="148">
        <f>'Toim ja inv rahavirta'!J281/'Veroposentin tuotto'!AP281*-1</f>
        <v>-0.66718131900483857</v>
      </c>
      <c r="K288" s="148">
        <f>'Toim ja inv rahavirta'!K281/'Veroposentin tuotto'!AQ281*-1</f>
        <v>-1.24991612337341</v>
      </c>
      <c r="L288" s="148">
        <f>'Toim ja inv rahavirta'!L281/'Veroposentin tuotto'!AR281*-1</f>
        <v>1.1144704862708548</v>
      </c>
      <c r="M288" s="148">
        <f>'Toim ja inv rahavirta'!M281/'Veroposentin tuotto'!AS281*-1</f>
        <v>0.78142925125622875</v>
      </c>
      <c r="N288" s="148">
        <f>'Toim ja inv rahavirta'!N281/'Veroposentin tuotto'!AT281*-1</f>
        <v>0.63227771351238815</v>
      </c>
      <c r="O288" s="148">
        <f>'Toim ja inv rahavirta'!O281/'Veroposentin tuotto'!AU281*-1</f>
        <v>0.63601967670768733</v>
      </c>
      <c r="P288" s="148">
        <f>'Toim ja inv rahavirta'!P281/'Veroposentin tuotto'!AV281*-1</f>
        <v>0.24573179288522698</v>
      </c>
    </row>
    <row r="289" spans="1:16" x14ac:dyDescent="0.2">
      <c r="A289" s="34">
        <v>887</v>
      </c>
      <c r="B289" s="88" t="s">
        <v>596</v>
      </c>
      <c r="C289" s="148" t="e">
        <f>'Toim ja inv rahavirta'!C282/'Veroposentin tuotto'!AI282*-1</f>
        <v>#REF!</v>
      </c>
      <c r="D289" s="148">
        <f>'Toim ja inv rahavirta'!D282/'Veroposentin tuotto'!AJ282*-1</f>
        <v>7.8474864884874505</v>
      </c>
      <c r="E289" s="148">
        <f>'Toim ja inv rahavirta'!E282/'Veroposentin tuotto'!AK282*-1</f>
        <v>2.4607447456594578</v>
      </c>
      <c r="F289" s="148">
        <f>'Toim ja inv rahavirta'!F282/'Veroposentin tuotto'!AL282*-1</f>
        <v>-2.4718499663098004</v>
      </c>
      <c r="G289" s="148">
        <f>'Toim ja inv rahavirta'!G282/'Veroposentin tuotto'!AM282*-1</f>
        <v>0.22879593251675528</v>
      </c>
      <c r="H289" s="148">
        <f>'Toim ja inv rahavirta'!H282/'Veroposentin tuotto'!AN282*-1</f>
        <v>7.2641892695116769E-2</v>
      </c>
      <c r="I289" s="148">
        <f>'Toim ja inv rahavirta'!I282/'Veroposentin tuotto'!AO282*-1</f>
        <v>0.24759350487360696</v>
      </c>
      <c r="J289" s="148">
        <f>'Toim ja inv rahavirta'!J282/'Veroposentin tuotto'!AP282*-1</f>
        <v>0.81179174605809656</v>
      </c>
      <c r="K289" s="148">
        <f>'Toim ja inv rahavirta'!K282/'Veroposentin tuotto'!AQ282*-1</f>
        <v>-0.51625654595382053</v>
      </c>
      <c r="L289" s="148">
        <f>'Toim ja inv rahavirta'!L282/'Veroposentin tuotto'!AR282*-1</f>
        <v>0.21232967993889026</v>
      </c>
      <c r="M289" s="148">
        <f>'Toim ja inv rahavirta'!M282/'Veroposentin tuotto'!AS282*-1</f>
        <v>1.42222402358847</v>
      </c>
      <c r="N289" s="148">
        <f>'Toim ja inv rahavirta'!N282/'Veroposentin tuotto'!AT282*-1</f>
        <v>1.3747052703115226</v>
      </c>
      <c r="O289" s="148">
        <f>'Toim ja inv rahavirta'!O282/'Veroposentin tuotto'!AU282*-1</f>
        <v>1.4691355563693251</v>
      </c>
      <c r="P289" s="148">
        <f>'Toim ja inv rahavirta'!P282/'Veroposentin tuotto'!AV282*-1</f>
        <v>1.0124637806200656</v>
      </c>
    </row>
    <row r="290" spans="1:16" x14ac:dyDescent="0.2">
      <c r="A290" s="34">
        <v>889</v>
      </c>
      <c r="B290" s="88" t="s">
        <v>597</v>
      </c>
      <c r="C290" s="148" t="e">
        <f>'Toim ja inv rahavirta'!C283/'Veroposentin tuotto'!AI283*-1</f>
        <v>#REF!</v>
      </c>
      <c r="D290" s="148">
        <f>'Toim ja inv rahavirta'!D283/'Veroposentin tuotto'!AJ283*-1</f>
        <v>-2.8143810229799855</v>
      </c>
      <c r="E290" s="148">
        <f>'Toim ja inv rahavirta'!E283/'Veroposentin tuotto'!AK283*-1</f>
        <v>4.4534900916888489</v>
      </c>
      <c r="F290" s="148">
        <f>'Toim ja inv rahavirta'!F283/'Veroposentin tuotto'!AL283*-1</f>
        <v>-2.1163378058405686</v>
      </c>
      <c r="G290" s="148">
        <f>'Toim ja inv rahavirta'!G283/'Veroposentin tuotto'!AM283*-1</f>
        <v>6.9881404895849171</v>
      </c>
      <c r="H290" s="148">
        <f>'Toim ja inv rahavirta'!H283/'Veroposentin tuotto'!AN283*-1</f>
        <v>0.88591416309909621</v>
      </c>
      <c r="I290" s="148">
        <f>'Toim ja inv rahavirta'!I283/'Veroposentin tuotto'!AO283*-1</f>
        <v>2.2723536815126821</v>
      </c>
      <c r="J290" s="148">
        <f>'Toim ja inv rahavirta'!J283/'Veroposentin tuotto'!AP283*-1</f>
        <v>-3.4851143340813766</v>
      </c>
      <c r="K290" s="148">
        <f>'Toim ja inv rahavirta'!K283/'Veroposentin tuotto'!AQ283*-1</f>
        <v>-2.8793743203636266</v>
      </c>
      <c r="L290" s="148">
        <f>'Toim ja inv rahavirta'!L283/'Veroposentin tuotto'!AR283*-1</f>
        <v>2.6784488720914825</v>
      </c>
      <c r="M290" s="148">
        <f>'Toim ja inv rahavirta'!M283/'Veroposentin tuotto'!AS283*-1</f>
        <v>3.5437869664357606</v>
      </c>
      <c r="N290" s="148">
        <f>'Toim ja inv rahavirta'!N283/'Veroposentin tuotto'!AT283*-1</f>
        <v>4.2455601708121016</v>
      </c>
      <c r="O290" s="148">
        <f>'Toim ja inv rahavirta'!O283/'Veroposentin tuotto'!AU283*-1</f>
        <v>4.8514169529096609</v>
      </c>
      <c r="P290" s="148">
        <f>'Toim ja inv rahavirta'!P283/'Veroposentin tuotto'!AV283*-1</f>
        <v>4.4471099845962572</v>
      </c>
    </row>
    <row r="291" spans="1:16" x14ac:dyDescent="0.2">
      <c r="A291" s="34">
        <v>890</v>
      </c>
      <c r="B291" s="88" t="s">
        <v>598</v>
      </c>
      <c r="C291" s="148" t="e">
        <f>'Toim ja inv rahavirta'!C284/'Veroposentin tuotto'!AI284*-1</f>
        <v>#REF!</v>
      </c>
      <c r="D291" s="148">
        <f>'Toim ja inv rahavirta'!D284/'Veroposentin tuotto'!AJ284*-1</f>
        <v>-1.1735793159170482</v>
      </c>
      <c r="E291" s="148">
        <f>'Toim ja inv rahavirta'!E284/'Veroposentin tuotto'!AK284*-1</f>
        <v>-8.055945875618006</v>
      </c>
      <c r="F291" s="148">
        <f>'Toim ja inv rahavirta'!F284/'Veroposentin tuotto'!AL284*-1</f>
        <v>-3.838888888888889</v>
      </c>
      <c r="G291" s="148">
        <f>'Toim ja inv rahavirta'!G284/'Veroposentin tuotto'!AM284*-1</f>
        <v>7.957894736842106</v>
      </c>
      <c r="H291" s="148">
        <f>'Toim ja inv rahavirta'!H284/'Veroposentin tuotto'!AN284*-1</f>
        <v>27.114729208614843</v>
      </c>
      <c r="I291" s="148">
        <f>'Toim ja inv rahavirta'!I284/'Veroposentin tuotto'!AO284*-1</f>
        <v>10.590248969919761</v>
      </c>
      <c r="J291" s="148">
        <f>'Toim ja inv rahavirta'!J284/'Veroposentin tuotto'!AP284*-1</f>
        <v>-1.110122185974322</v>
      </c>
      <c r="K291" s="148">
        <f>'Toim ja inv rahavirta'!K284/'Veroposentin tuotto'!AQ284*-1</f>
        <v>-6.883081836998743</v>
      </c>
      <c r="L291" s="148">
        <f>'Toim ja inv rahavirta'!L284/'Veroposentin tuotto'!AR284*-1</f>
        <v>3.1363805155863189</v>
      </c>
      <c r="M291" s="148">
        <f>'Toim ja inv rahavirta'!M284/'Veroposentin tuotto'!AS284*-1</f>
        <v>5.1664263400868631</v>
      </c>
      <c r="N291" s="148">
        <f>'Toim ja inv rahavirta'!N284/'Veroposentin tuotto'!AT284*-1</f>
        <v>5.7171462485746085</v>
      </c>
      <c r="O291" s="148">
        <f>'Toim ja inv rahavirta'!O284/'Veroposentin tuotto'!AU284*-1</f>
        <v>6.1215141918000375</v>
      </c>
      <c r="P291" s="148">
        <f>'Toim ja inv rahavirta'!P284/'Veroposentin tuotto'!AV284*-1</f>
        <v>6.0150355274442804</v>
      </c>
    </row>
    <row r="292" spans="1:16" x14ac:dyDescent="0.2">
      <c r="A292" s="34">
        <v>892</v>
      </c>
      <c r="B292" s="88" t="s">
        <v>599</v>
      </c>
      <c r="C292" s="148" t="e">
        <f>'Toim ja inv rahavirta'!C285/'Veroposentin tuotto'!AI285*-1</f>
        <v>#REF!</v>
      </c>
      <c r="D292" s="148">
        <f>'Toim ja inv rahavirta'!D285/'Veroposentin tuotto'!AJ285*-1</f>
        <v>1.7293381802630172</v>
      </c>
      <c r="E292" s="148">
        <f>'Toim ja inv rahavirta'!E285/'Veroposentin tuotto'!AK285*-1</f>
        <v>4.3179133858267722</v>
      </c>
      <c r="F292" s="148">
        <f>'Toim ja inv rahavirta'!F285/'Veroposentin tuotto'!AL285*-1</f>
        <v>2.9452285654097325</v>
      </c>
      <c r="G292" s="148">
        <f>'Toim ja inv rahavirta'!G285/'Veroposentin tuotto'!AM285*-1</f>
        <v>1.6203575661793757</v>
      </c>
      <c r="H292" s="148">
        <f>'Toim ja inv rahavirta'!H285/'Veroposentin tuotto'!AN285*-1</f>
        <v>-4.0445267842861519</v>
      </c>
      <c r="I292" s="148">
        <f>'Toim ja inv rahavirta'!I285/'Veroposentin tuotto'!AO285*-1</f>
        <v>-3.3053755871561017</v>
      </c>
      <c r="J292" s="148">
        <f>'Toim ja inv rahavirta'!J285/'Veroposentin tuotto'!AP285*-1</f>
        <v>0.59301734718574695</v>
      </c>
      <c r="K292" s="148">
        <f>'Toim ja inv rahavirta'!K285/'Veroposentin tuotto'!AQ285*-1</f>
        <v>1.911007828340356</v>
      </c>
      <c r="L292" s="148">
        <f>'Toim ja inv rahavirta'!L285/'Veroposentin tuotto'!AR285*-1</f>
        <v>-1.5181691280688525E-2</v>
      </c>
      <c r="M292" s="148">
        <f>'Toim ja inv rahavirta'!M285/'Veroposentin tuotto'!AS285*-1</f>
        <v>1.0665618289701866</v>
      </c>
      <c r="N292" s="148">
        <f>'Toim ja inv rahavirta'!N285/'Veroposentin tuotto'!AT285*-1</f>
        <v>1.0929116806809209</v>
      </c>
      <c r="O292" s="148">
        <f>'Toim ja inv rahavirta'!O285/'Veroposentin tuotto'!AU285*-1</f>
        <v>1.5965821849680428</v>
      </c>
      <c r="P292" s="148">
        <f>'Toim ja inv rahavirta'!P285/'Veroposentin tuotto'!AV285*-1</f>
        <v>1.5294502434833757</v>
      </c>
    </row>
    <row r="293" spans="1:16" x14ac:dyDescent="0.2">
      <c r="A293" s="34">
        <v>893</v>
      </c>
      <c r="B293" s="88" t="s">
        <v>600</v>
      </c>
      <c r="C293" s="148" t="e">
        <f>'Toim ja inv rahavirta'!C286/'Veroposentin tuotto'!AI286*-1</f>
        <v>#REF!</v>
      </c>
      <c r="D293" s="148">
        <f>'Toim ja inv rahavirta'!D286/'Veroposentin tuotto'!AJ286*-1</f>
        <v>5.1458733205374276</v>
      </c>
      <c r="E293" s="148">
        <f>'Toim ja inv rahavirta'!E286/'Veroposentin tuotto'!AK286*-1</f>
        <v>3.4798256713060596</v>
      </c>
      <c r="F293" s="148">
        <f>'Toim ja inv rahavirta'!F286/'Veroposentin tuotto'!AL286*-1</f>
        <v>6.0835070102311484</v>
      </c>
      <c r="G293" s="148">
        <f>'Toim ja inv rahavirta'!G286/'Veroposentin tuotto'!AM286*-1</f>
        <v>5.3449375740453844</v>
      </c>
      <c r="H293" s="148">
        <f>'Toim ja inv rahavirta'!H286/'Veroposentin tuotto'!AN286*-1</f>
        <v>-3.8265505718806518</v>
      </c>
      <c r="I293" s="148">
        <f>'Toim ja inv rahavirta'!I286/'Veroposentin tuotto'!AO286*-1</f>
        <v>-3.8886576588570434</v>
      </c>
      <c r="J293" s="148">
        <f>'Toim ja inv rahavirta'!J286/'Veroposentin tuotto'!AP286*-1</f>
        <v>-2.5304993684239578</v>
      </c>
      <c r="K293" s="148">
        <f>'Toim ja inv rahavirta'!K286/'Veroposentin tuotto'!AQ286*-1</f>
        <v>-1.6929044183152127</v>
      </c>
      <c r="L293" s="148">
        <f>'Toim ja inv rahavirta'!L286/'Veroposentin tuotto'!AR286*-1</f>
        <v>-0.68231825874447216</v>
      </c>
      <c r="M293" s="148">
        <f>'Toim ja inv rahavirta'!M286/'Veroposentin tuotto'!AS286*-1</f>
        <v>-0.814057225446011</v>
      </c>
      <c r="N293" s="148">
        <f>'Toim ja inv rahavirta'!N286/'Veroposentin tuotto'!AT286*-1</f>
        <v>-0.75801194367245051</v>
      </c>
      <c r="O293" s="148">
        <f>'Toim ja inv rahavirta'!O286/'Veroposentin tuotto'!AU286*-1</f>
        <v>-0.84731742893090667</v>
      </c>
      <c r="P293" s="148">
        <f>'Toim ja inv rahavirta'!P286/'Veroposentin tuotto'!AV286*-1</f>
        <v>-1.1185958524126731</v>
      </c>
    </row>
    <row r="294" spans="1:16" x14ac:dyDescent="0.2">
      <c r="A294" s="34">
        <v>895</v>
      </c>
      <c r="B294" s="88" t="s">
        <v>601</v>
      </c>
      <c r="C294" s="148" t="e">
        <f>'Toim ja inv rahavirta'!C287/'Veroposentin tuotto'!AI287*-1</f>
        <v>#REF!</v>
      </c>
      <c r="D294" s="148">
        <f>'Toim ja inv rahavirta'!D287/'Veroposentin tuotto'!AJ287*-1</f>
        <v>0.13413032544103129</v>
      </c>
      <c r="E294" s="148">
        <f>'Toim ja inv rahavirta'!E287/'Veroposentin tuotto'!AK287*-1</f>
        <v>0.775263487128938</v>
      </c>
      <c r="F294" s="148">
        <f>'Toim ja inv rahavirta'!F287/'Veroposentin tuotto'!AL287*-1</f>
        <v>1.7562156066756878</v>
      </c>
      <c r="G294" s="148">
        <f>'Toim ja inv rahavirta'!G287/'Veroposentin tuotto'!AM287*-1</f>
        <v>3.6641181511434842</v>
      </c>
      <c r="H294" s="148">
        <f>'Toim ja inv rahavirta'!H287/'Veroposentin tuotto'!AN287*-1</f>
        <v>-0.27057216112575849</v>
      </c>
      <c r="I294" s="148">
        <f>'Toim ja inv rahavirta'!I287/'Veroposentin tuotto'!AO287*-1</f>
        <v>1.2821253337610357</v>
      </c>
      <c r="J294" s="148">
        <f>'Toim ja inv rahavirta'!J287/'Veroposentin tuotto'!AP287*-1</f>
        <v>5.162703236188146</v>
      </c>
      <c r="K294" s="148">
        <f>'Toim ja inv rahavirta'!K287/'Veroposentin tuotto'!AQ287*-1</f>
        <v>1.9067378876440466</v>
      </c>
      <c r="L294" s="148">
        <f>'Toim ja inv rahavirta'!L287/'Veroposentin tuotto'!AR287*-1</f>
        <v>1.8440658138580446</v>
      </c>
      <c r="M294" s="148">
        <f>'Toim ja inv rahavirta'!M287/'Veroposentin tuotto'!AS287*-1</f>
        <v>1.5982662109894716</v>
      </c>
      <c r="N294" s="148">
        <f>'Toim ja inv rahavirta'!N287/'Veroposentin tuotto'!AT287*-1</f>
        <v>2.1735530058388397</v>
      </c>
      <c r="O294" s="148">
        <f>'Toim ja inv rahavirta'!O287/'Veroposentin tuotto'!AU287*-1</f>
        <v>2.0836115006247526</v>
      </c>
      <c r="P294" s="148">
        <f>'Toim ja inv rahavirta'!P287/'Veroposentin tuotto'!AV287*-1</f>
        <v>1.9011171442873123</v>
      </c>
    </row>
    <row r="295" spans="1:16" x14ac:dyDescent="0.2">
      <c r="A295" s="34">
        <v>905</v>
      </c>
      <c r="B295" s="88" t="s">
        <v>602</v>
      </c>
      <c r="C295" s="148" t="e">
        <f>'Toim ja inv rahavirta'!C288/'Veroposentin tuotto'!AI288*-1</f>
        <v>#REF!</v>
      </c>
      <c r="D295" s="148">
        <f>'Toim ja inv rahavirta'!D288/'Veroposentin tuotto'!AJ288*-1</f>
        <v>0.97554680947157879</v>
      </c>
      <c r="E295" s="148">
        <f>'Toim ja inv rahavirta'!E288/'Veroposentin tuotto'!AK288*-1</f>
        <v>0.12119239953035746</v>
      </c>
      <c r="F295" s="148">
        <f>'Toim ja inv rahavirta'!F288/'Veroposentin tuotto'!AL288*-1</f>
        <v>1.458801456299837</v>
      </c>
      <c r="G295" s="148">
        <f>'Toim ja inv rahavirta'!G288/'Veroposentin tuotto'!AM288*-1</f>
        <v>2.581627592521162</v>
      </c>
      <c r="H295" s="148">
        <f>'Toim ja inv rahavirta'!H288/'Veroposentin tuotto'!AN288*-1</f>
        <v>0.46010087647271702</v>
      </c>
      <c r="I295" s="148">
        <f>'Toim ja inv rahavirta'!I288/'Veroposentin tuotto'!AO288*-1</f>
        <v>0.44498809772676584</v>
      </c>
      <c r="J295" s="148">
        <f>'Toim ja inv rahavirta'!J288/'Veroposentin tuotto'!AP288*-1</f>
        <v>0.26963924391144078</v>
      </c>
      <c r="K295" s="148">
        <f>'Toim ja inv rahavirta'!K288/'Veroposentin tuotto'!AQ288*-1</f>
        <v>9.4774000379836895E-2</v>
      </c>
      <c r="L295" s="148">
        <f>'Toim ja inv rahavirta'!L288/'Veroposentin tuotto'!AR288*-1</f>
        <v>1.5282720402216967</v>
      </c>
      <c r="M295" s="148">
        <f>'Toim ja inv rahavirta'!M288/'Veroposentin tuotto'!AS288*-1</f>
        <v>2.4195087854821611</v>
      </c>
      <c r="N295" s="148">
        <f>'Toim ja inv rahavirta'!N288/'Veroposentin tuotto'!AT288*-1</f>
        <v>2.1234672578483806</v>
      </c>
      <c r="O295" s="148">
        <f>'Toim ja inv rahavirta'!O288/'Veroposentin tuotto'!AU288*-1</f>
        <v>2.0775006627553512</v>
      </c>
      <c r="P295" s="148">
        <f>'Toim ja inv rahavirta'!P288/'Veroposentin tuotto'!AV288*-1</f>
        <v>1.9541676856381507</v>
      </c>
    </row>
    <row r="296" spans="1:16" x14ac:dyDescent="0.2">
      <c r="A296" s="34">
        <v>908</v>
      </c>
      <c r="B296" s="88" t="s">
        <v>603</v>
      </c>
      <c r="C296" s="148" t="e">
        <f>'Toim ja inv rahavirta'!C289/'Veroposentin tuotto'!AI289*-1</f>
        <v>#REF!</v>
      </c>
      <c r="D296" s="148">
        <f>'Toim ja inv rahavirta'!D289/'Veroposentin tuotto'!AJ289*-1</f>
        <v>0.66217565572041348</v>
      </c>
      <c r="E296" s="148">
        <f>'Toim ja inv rahavirta'!E289/'Veroposentin tuotto'!AK289*-1</f>
        <v>7.9631463535403554E-2</v>
      </c>
      <c r="F296" s="148">
        <f>'Toim ja inv rahavirta'!F289/'Veroposentin tuotto'!AL289*-1</f>
        <v>1.9362915913134253</v>
      </c>
      <c r="G296" s="148">
        <f>'Toim ja inv rahavirta'!G289/'Veroposentin tuotto'!AM289*-1</f>
        <v>4.7729660336618318</v>
      </c>
      <c r="H296" s="148">
        <f>'Toim ja inv rahavirta'!H289/'Veroposentin tuotto'!AN289*-1</f>
        <v>0.41457039980173999</v>
      </c>
      <c r="I296" s="148">
        <f>'Toim ja inv rahavirta'!I289/'Veroposentin tuotto'!AO289*-1</f>
        <v>6.2694726377699933E-2</v>
      </c>
      <c r="J296" s="148">
        <f>'Toim ja inv rahavirta'!J289/'Veroposentin tuotto'!AP289*-1</f>
        <v>1.0512534919326426</v>
      </c>
      <c r="K296" s="148">
        <f>'Toim ja inv rahavirta'!K289/'Veroposentin tuotto'!AQ289*-1</f>
        <v>2.4256854145593434</v>
      </c>
      <c r="L296" s="148">
        <f>'Toim ja inv rahavirta'!L289/'Veroposentin tuotto'!AR289*-1</f>
        <v>1.3556155009923374</v>
      </c>
      <c r="M296" s="148">
        <f>'Toim ja inv rahavirta'!M289/'Veroposentin tuotto'!AS289*-1</f>
        <v>1.8015935950924857</v>
      </c>
      <c r="N296" s="148">
        <f>'Toim ja inv rahavirta'!N289/'Veroposentin tuotto'!AT289*-1</f>
        <v>1.5762840372031679</v>
      </c>
      <c r="O296" s="148">
        <f>'Toim ja inv rahavirta'!O289/'Veroposentin tuotto'!AU289*-1</f>
        <v>1.4643447580859192</v>
      </c>
      <c r="P296" s="148">
        <f>'Toim ja inv rahavirta'!P289/'Veroposentin tuotto'!AV289*-1</f>
        <v>1.1852171835662584</v>
      </c>
    </row>
    <row r="297" spans="1:16" x14ac:dyDescent="0.2">
      <c r="A297" s="34">
        <v>915</v>
      </c>
      <c r="B297" s="88" t="s">
        <v>604</v>
      </c>
      <c r="C297" s="148" t="e">
        <f>'Toim ja inv rahavirta'!C290/'Veroposentin tuotto'!AI290*-1</f>
        <v>#REF!</v>
      </c>
      <c r="D297" s="148">
        <f>'Toim ja inv rahavirta'!D290/'Veroposentin tuotto'!AJ290*-1</f>
        <v>0.26508887824666177</v>
      </c>
      <c r="E297" s="148">
        <f>'Toim ja inv rahavirta'!E290/'Veroposentin tuotto'!AK290*-1</f>
        <v>1.3842752897410215</v>
      </c>
      <c r="F297" s="148">
        <f>'Toim ja inv rahavirta'!F290/'Veroposentin tuotto'!AL290*-1</f>
        <v>1.9186280221380716</v>
      </c>
      <c r="G297" s="148">
        <f>'Toim ja inv rahavirta'!G290/'Veroposentin tuotto'!AM290*-1</f>
        <v>2.3627137373502385</v>
      </c>
      <c r="H297" s="148">
        <f>'Toim ja inv rahavirta'!H290/'Veroposentin tuotto'!AN290*-1</f>
        <v>0.51518618693752616</v>
      </c>
      <c r="I297" s="148">
        <f>'Toim ja inv rahavirta'!I290/'Veroposentin tuotto'!AO290*-1</f>
        <v>1.4544165615575269</v>
      </c>
      <c r="J297" s="148">
        <f>'Toim ja inv rahavirta'!J290/'Veroposentin tuotto'!AP290*-1</f>
        <v>0.40311575128775395</v>
      </c>
      <c r="K297" s="148">
        <f>'Toim ja inv rahavirta'!K290/'Veroposentin tuotto'!AQ290*-1</f>
        <v>-0.41459335736206687</v>
      </c>
      <c r="L297" s="148">
        <f>'Toim ja inv rahavirta'!L290/'Veroposentin tuotto'!AR290*-1</f>
        <v>1.3132884245913119</v>
      </c>
      <c r="M297" s="148">
        <f>'Toim ja inv rahavirta'!M290/'Veroposentin tuotto'!AS290*-1</f>
        <v>2.4490932865066539</v>
      </c>
      <c r="N297" s="148">
        <f>'Toim ja inv rahavirta'!N290/'Veroposentin tuotto'!AT290*-1</f>
        <v>2.176090789703617</v>
      </c>
      <c r="O297" s="148">
        <f>'Toim ja inv rahavirta'!O290/'Veroposentin tuotto'!AU290*-1</f>
        <v>2.1752647665121505</v>
      </c>
      <c r="P297" s="148">
        <f>'Toim ja inv rahavirta'!P290/'Veroposentin tuotto'!AV290*-1</f>
        <v>1.6728712297965922</v>
      </c>
    </row>
    <row r="298" spans="1:16" x14ac:dyDescent="0.2">
      <c r="A298" s="34">
        <v>918</v>
      </c>
      <c r="B298" s="88" t="s">
        <v>605</v>
      </c>
      <c r="C298" s="148" t="e">
        <f>'Toim ja inv rahavirta'!C291/'Veroposentin tuotto'!AI291*-1</f>
        <v>#REF!</v>
      </c>
      <c r="D298" s="148">
        <f>'Toim ja inv rahavirta'!D291/'Veroposentin tuotto'!AJ291*-1</f>
        <v>-1.1078490113840622</v>
      </c>
      <c r="E298" s="148">
        <f>'Toim ja inv rahavirta'!E291/'Veroposentin tuotto'!AK291*-1</f>
        <v>-1.0321510134170711</v>
      </c>
      <c r="F298" s="148">
        <f>'Toim ja inv rahavirta'!F291/'Veroposentin tuotto'!AL291*-1</f>
        <v>20.148299748110833</v>
      </c>
      <c r="G298" s="148">
        <f>'Toim ja inv rahavirta'!G291/'Veroposentin tuotto'!AM291*-1</f>
        <v>9.9407609455867956</v>
      </c>
      <c r="H298" s="148">
        <f>'Toim ja inv rahavirta'!H291/'Veroposentin tuotto'!AN291*-1</f>
        <v>-5.959528292067982</v>
      </c>
      <c r="I298" s="148">
        <f>'Toim ja inv rahavirta'!I291/'Veroposentin tuotto'!AO291*-1</f>
        <v>-4.0729833196106782</v>
      </c>
      <c r="J298" s="148">
        <f>'Toim ja inv rahavirta'!J291/'Veroposentin tuotto'!AP291*-1</f>
        <v>-3.2452860195783475</v>
      </c>
      <c r="K298" s="148">
        <f>'Toim ja inv rahavirta'!K291/'Veroposentin tuotto'!AQ291*-1</f>
        <v>-3.9689634495877026</v>
      </c>
      <c r="L298" s="148">
        <f>'Toim ja inv rahavirta'!L291/'Veroposentin tuotto'!AR291*-1</f>
        <v>-1.8009358214345725</v>
      </c>
      <c r="M298" s="148">
        <f>'Toim ja inv rahavirta'!M291/'Veroposentin tuotto'!AS291*-1</f>
        <v>-2.969300425625935</v>
      </c>
      <c r="N298" s="148">
        <f>'Toim ja inv rahavirta'!N291/'Veroposentin tuotto'!AT291*-1</f>
        <v>-2.8237273444423039</v>
      </c>
      <c r="O298" s="148">
        <f>'Toim ja inv rahavirta'!O291/'Veroposentin tuotto'!AU291*-1</f>
        <v>-2.4733719895486734</v>
      </c>
      <c r="P298" s="148">
        <f>'Toim ja inv rahavirta'!P291/'Veroposentin tuotto'!AV291*-1</f>
        <v>-2.890743010993952</v>
      </c>
    </row>
    <row r="299" spans="1:16" x14ac:dyDescent="0.2">
      <c r="A299" s="34">
        <v>921</v>
      </c>
      <c r="B299" s="88" t="s">
        <v>606</v>
      </c>
      <c r="C299" s="148" t="e">
        <f>'Toim ja inv rahavirta'!C292/'Veroposentin tuotto'!AI292*-1</f>
        <v>#REF!</v>
      </c>
      <c r="D299" s="148">
        <f>'Toim ja inv rahavirta'!D292/'Veroposentin tuotto'!AJ292*-1</f>
        <v>3.462955122777307</v>
      </c>
      <c r="E299" s="148">
        <f>'Toim ja inv rahavirta'!E292/'Veroposentin tuotto'!AK292*-1</f>
        <v>-2.5046670815183569</v>
      </c>
      <c r="F299" s="148">
        <f>'Toim ja inv rahavirta'!F292/'Veroposentin tuotto'!AL292*-1</f>
        <v>-0.57694653384834316</v>
      </c>
      <c r="G299" s="148">
        <f>'Toim ja inv rahavirta'!G292/'Veroposentin tuotto'!AM292*-1</f>
        <v>5.3304652644996819</v>
      </c>
      <c r="H299" s="148">
        <f>'Toim ja inv rahavirta'!H292/'Veroposentin tuotto'!AN292*-1</f>
        <v>-3.5610291163303431</v>
      </c>
      <c r="I299" s="148">
        <f>'Toim ja inv rahavirta'!I292/'Veroposentin tuotto'!AO292*-1</f>
        <v>-2.0899031916491997</v>
      </c>
      <c r="J299" s="148">
        <f>'Toim ja inv rahavirta'!J292/'Veroposentin tuotto'!AP292*-1</f>
        <v>-4.746883272959761</v>
      </c>
      <c r="K299" s="148">
        <f>'Toim ja inv rahavirta'!K292/'Veroposentin tuotto'!AQ292*-1</f>
        <v>-2.8190579397518105</v>
      </c>
      <c r="L299" s="148">
        <f>'Toim ja inv rahavirta'!L292/'Veroposentin tuotto'!AR292*-1</f>
        <v>-1.7052378549271765</v>
      </c>
      <c r="M299" s="148">
        <f>'Toim ja inv rahavirta'!M292/'Veroposentin tuotto'!AS292*-1</f>
        <v>1.8079068502055624</v>
      </c>
      <c r="N299" s="148">
        <f>'Toim ja inv rahavirta'!N292/'Veroposentin tuotto'!AT292*-1</f>
        <v>2.4421239737650682</v>
      </c>
      <c r="O299" s="148">
        <f>'Toim ja inv rahavirta'!O292/'Veroposentin tuotto'!AU292*-1</f>
        <v>3.1603959971784201</v>
      </c>
      <c r="P299" s="148">
        <f>'Toim ja inv rahavirta'!P292/'Veroposentin tuotto'!AV292*-1</f>
        <v>2.537591835451428</v>
      </c>
    </row>
    <row r="300" spans="1:16" x14ac:dyDescent="0.2">
      <c r="A300" s="34">
        <v>922</v>
      </c>
      <c r="B300" s="88" t="s">
        <v>607</v>
      </c>
      <c r="C300" s="148" t="e">
        <f>'Toim ja inv rahavirta'!C293/'Veroposentin tuotto'!AI293*-1</f>
        <v>#REF!</v>
      </c>
      <c r="D300" s="148">
        <f>'Toim ja inv rahavirta'!D293/'Veroposentin tuotto'!AJ293*-1</f>
        <v>-2.0173761946133797</v>
      </c>
      <c r="E300" s="148">
        <f>'Toim ja inv rahavirta'!E293/'Veroposentin tuotto'!AK293*-1</f>
        <v>-0.95440911817636465</v>
      </c>
      <c r="F300" s="148">
        <f>'Toim ja inv rahavirta'!F293/'Veroposentin tuotto'!AL293*-1</f>
        <v>2.0887324915476437</v>
      </c>
      <c r="G300" s="148">
        <f>'Toim ja inv rahavirta'!G293/'Veroposentin tuotto'!AM293*-1</f>
        <v>-1.1263591433278417</v>
      </c>
      <c r="H300" s="148">
        <f>'Toim ja inv rahavirta'!H293/'Veroposentin tuotto'!AN293*-1</f>
        <v>-2.3810403225363901</v>
      </c>
      <c r="I300" s="148">
        <f>'Toim ja inv rahavirta'!I293/'Veroposentin tuotto'!AO293*-1</f>
        <v>-2.5662749915060981</v>
      </c>
      <c r="J300" s="148">
        <f>'Toim ja inv rahavirta'!J293/'Veroposentin tuotto'!AP293*-1</f>
        <v>-0.32684337919689094</v>
      </c>
      <c r="K300" s="148">
        <f>'Toim ja inv rahavirta'!K293/'Veroposentin tuotto'!AQ293*-1</f>
        <v>2.3050922881332148</v>
      </c>
      <c r="L300" s="148">
        <f>'Toim ja inv rahavirta'!L293/'Veroposentin tuotto'!AR293*-1</f>
        <v>1.6383939209308749</v>
      </c>
      <c r="M300" s="148">
        <f>'Toim ja inv rahavirta'!M293/'Veroposentin tuotto'!AS293*-1</f>
        <v>1.7463680896059968</v>
      </c>
      <c r="N300" s="148">
        <f>'Toim ja inv rahavirta'!N293/'Veroposentin tuotto'!AT293*-1</f>
        <v>2.8709455994405233</v>
      </c>
      <c r="O300" s="148">
        <f>'Toim ja inv rahavirta'!O293/'Veroposentin tuotto'!AU293*-1</f>
        <v>2.9030179702766503</v>
      </c>
      <c r="P300" s="148">
        <f>'Toim ja inv rahavirta'!P293/'Veroposentin tuotto'!AV293*-1</f>
        <v>2.8479004279014513</v>
      </c>
    </row>
    <row r="301" spans="1:16" x14ac:dyDescent="0.2">
      <c r="A301" s="34">
        <v>924</v>
      </c>
      <c r="B301" s="88" t="s">
        <v>608</v>
      </c>
      <c r="C301" s="148" t="e">
        <f>'Toim ja inv rahavirta'!C294/'Veroposentin tuotto'!AI294*-1</f>
        <v>#REF!</v>
      </c>
      <c r="D301" s="148">
        <f>'Toim ja inv rahavirta'!D294/'Veroposentin tuotto'!AJ294*-1</f>
        <v>1.4472123368920522</v>
      </c>
      <c r="E301" s="148">
        <f>'Toim ja inv rahavirta'!E294/'Veroposentin tuotto'!AK294*-1</f>
        <v>0.11686586985391766</v>
      </c>
      <c r="F301" s="148">
        <f>'Toim ja inv rahavirta'!F294/'Veroposentin tuotto'!AL294*-1</f>
        <v>-1.8090452261306533</v>
      </c>
      <c r="G301" s="148">
        <f>'Toim ja inv rahavirta'!G294/'Veroposentin tuotto'!AM294*-1</f>
        <v>1.0797698296287939</v>
      </c>
      <c r="H301" s="148">
        <f>'Toim ja inv rahavirta'!H294/'Veroposentin tuotto'!AN294*-1</f>
        <v>0.18356399660356859</v>
      </c>
      <c r="I301" s="148">
        <f>'Toim ja inv rahavirta'!I294/'Veroposentin tuotto'!AO294*-1</f>
        <v>-2.9137193643434038</v>
      </c>
      <c r="J301" s="148">
        <f>'Toim ja inv rahavirta'!J294/'Veroposentin tuotto'!AP294*-1</f>
        <v>-3.69389896301232</v>
      </c>
      <c r="K301" s="148">
        <f>'Toim ja inv rahavirta'!K294/'Veroposentin tuotto'!AQ294*-1</f>
        <v>2.6679483754253748</v>
      </c>
      <c r="L301" s="148">
        <f>'Toim ja inv rahavirta'!L294/'Veroposentin tuotto'!AR294*-1</f>
        <v>2.3933960599449766</v>
      </c>
      <c r="M301" s="148">
        <f>'Toim ja inv rahavirta'!M294/'Veroposentin tuotto'!AS294*-1</f>
        <v>3.15059938486035</v>
      </c>
      <c r="N301" s="148">
        <f>'Toim ja inv rahavirta'!N294/'Veroposentin tuotto'!AT294*-1</f>
        <v>3.0419465442221347</v>
      </c>
      <c r="O301" s="148">
        <f>'Toim ja inv rahavirta'!O294/'Veroposentin tuotto'!AU294*-1</f>
        <v>3.7493699409812886</v>
      </c>
      <c r="P301" s="148">
        <f>'Toim ja inv rahavirta'!P294/'Veroposentin tuotto'!AV294*-1</f>
        <v>3.4080554955603404</v>
      </c>
    </row>
    <row r="302" spans="1:16" x14ac:dyDescent="0.2">
      <c r="A302" s="34">
        <v>925</v>
      </c>
      <c r="B302" s="88" t="s">
        <v>609</v>
      </c>
      <c r="C302" s="148" t="e">
        <f>'Toim ja inv rahavirta'!C295/'Veroposentin tuotto'!AI295*-1</f>
        <v>#REF!</v>
      </c>
      <c r="D302" s="148">
        <f>'Toim ja inv rahavirta'!D295/'Veroposentin tuotto'!AJ295*-1</f>
        <v>3.329157667386609</v>
      </c>
      <c r="E302" s="148">
        <f>'Toim ja inv rahavirta'!E295/'Veroposentin tuotto'!AK295*-1</f>
        <v>-4.5461200585651538</v>
      </c>
      <c r="F302" s="148">
        <f>'Toim ja inv rahavirta'!F295/'Veroposentin tuotto'!AL295*-1</f>
        <v>-3.9714847590953788</v>
      </c>
      <c r="G302" s="148">
        <f>'Toim ja inv rahavirta'!G295/'Veroposentin tuotto'!AM295*-1</f>
        <v>-7.4198094867807152</v>
      </c>
      <c r="H302" s="148">
        <f>'Toim ja inv rahavirta'!H295/'Veroposentin tuotto'!AN295*-1</f>
        <v>-7.4280802455395332</v>
      </c>
      <c r="I302" s="148">
        <f>'Toim ja inv rahavirta'!I295/'Veroposentin tuotto'!AO295*-1</f>
        <v>-6.7803338954635581</v>
      </c>
      <c r="J302" s="148">
        <f>'Toim ja inv rahavirta'!J295/'Veroposentin tuotto'!AP295*-1</f>
        <v>-5.943411621530573</v>
      </c>
      <c r="K302" s="148">
        <f>'Toim ja inv rahavirta'!K295/'Veroposentin tuotto'!AQ295*-1</f>
        <v>-6.1665776669960568</v>
      </c>
      <c r="L302" s="148">
        <f>'Toim ja inv rahavirta'!L295/'Veroposentin tuotto'!AR295*-1</f>
        <v>0.80426616550291141</v>
      </c>
      <c r="M302" s="148">
        <f>'Toim ja inv rahavirta'!M295/'Veroposentin tuotto'!AS295*-1</f>
        <v>1.4534084754315011</v>
      </c>
      <c r="N302" s="148">
        <f>'Toim ja inv rahavirta'!N295/'Veroposentin tuotto'!AT295*-1</f>
        <v>1.449354521413583</v>
      </c>
      <c r="O302" s="148">
        <f>'Toim ja inv rahavirta'!O295/'Veroposentin tuotto'!AU295*-1</f>
        <v>1.574149184215393</v>
      </c>
      <c r="P302" s="148">
        <f>'Toim ja inv rahavirta'!P295/'Veroposentin tuotto'!AV295*-1</f>
        <v>1.3048824465163233</v>
      </c>
    </row>
    <row r="303" spans="1:16" x14ac:dyDescent="0.2">
      <c r="A303" s="34">
        <v>927</v>
      </c>
      <c r="B303" s="88" t="s">
        <v>610</v>
      </c>
      <c r="C303" s="148" t="e">
        <f>'Toim ja inv rahavirta'!C296/'Veroposentin tuotto'!AI296*-1</f>
        <v>#REF!</v>
      </c>
      <c r="D303" s="148">
        <f>'Toim ja inv rahavirta'!D296/'Veroposentin tuotto'!AJ296*-1</f>
        <v>-0.27030552724972767</v>
      </c>
      <c r="E303" s="148">
        <f>'Toim ja inv rahavirta'!E296/'Veroposentin tuotto'!AK296*-1</f>
        <v>-1.0664491818150099</v>
      </c>
      <c r="F303" s="148">
        <f>'Toim ja inv rahavirta'!F296/'Veroposentin tuotto'!AL296*-1</f>
        <v>2.8450976376410249</v>
      </c>
      <c r="G303" s="148">
        <f>'Toim ja inv rahavirta'!G296/'Veroposentin tuotto'!AM296*-1</f>
        <v>3.0935355362843251</v>
      </c>
      <c r="H303" s="148">
        <f>'Toim ja inv rahavirta'!H296/'Veroposentin tuotto'!AN296*-1</f>
        <v>-2.0019570903489212</v>
      </c>
      <c r="I303" s="148">
        <f>'Toim ja inv rahavirta'!I296/'Veroposentin tuotto'!AO296*-1</f>
        <v>-0.69017987852120177</v>
      </c>
      <c r="J303" s="148">
        <f>'Toim ja inv rahavirta'!J296/'Veroposentin tuotto'!AP296*-1</f>
        <v>0.29438671019346985</v>
      </c>
      <c r="K303" s="148">
        <f>'Toim ja inv rahavirta'!K296/'Veroposentin tuotto'!AQ296*-1</f>
        <v>-2.6589140566767386</v>
      </c>
      <c r="L303" s="148">
        <f>'Toim ja inv rahavirta'!L296/'Veroposentin tuotto'!AR296*-1</f>
        <v>0.10212450543690579</v>
      </c>
      <c r="M303" s="148">
        <f>'Toim ja inv rahavirta'!M296/'Veroposentin tuotto'!AS296*-1</f>
        <v>-1.2286207536592924</v>
      </c>
      <c r="N303" s="148">
        <f>'Toim ja inv rahavirta'!N296/'Veroposentin tuotto'!AT296*-1</f>
        <v>-1.0458316182389373</v>
      </c>
      <c r="O303" s="148">
        <f>'Toim ja inv rahavirta'!O296/'Veroposentin tuotto'!AU296*-1</f>
        <v>-1.0517406622532355</v>
      </c>
      <c r="P303" s="148">
        <f>'Toim ja inv rahavirta'!P296/'Veroposentin tuotto'!AV296*-1</f>
        <v>-1.1062621149442642</v>
      </c>
    </row>
    <row r="304" spans="1:16" x14ac:dyDescent="0.2">
      <c r="A304" s="34">
        <v>931</v>
      </c>
      <c r="B304" s="88" t="s">
        <v>611</v>
      </c>
      <c r="C304" s="148" t="e">
        <f>'Toim ja inv rahavirta'!C297/'Veroposentin tuotto'!AI297*-1</f>
        <v>#REF!</v>
      </c>
      <c r="D304" s="148">
        <f>'Toim ja inv rahavirta'!D297/'Veroposentin tuotto'!AJ297*-1</f>
        <v>-2.4613529482696248</v>
      </c>
      <c r="E304" s="148">
        <f>'Toim ja inv rahavirta'!E297/'Veroposentin tuotto'!AK297*-1</f>
        <v>-2.5474658085277557</v>
      </c>
      <c r="F304" s="148">
        <f>'Toim ja inv rahavirta'!F297/'Veroposentin tuotto'!AL297*-1</f>
        <v>-22.140367493843531</v>
      </c>
      <c r="G304" s="148">
        <f>'Toim ja inv rahavirta'!G297/'Veroposentin tuotto'!AM297*-1</f>
        <v>0.66521659212058093</v>
      </c>
      <c r="H304" s="148">
        <f>'Toim ja inv rahavirta'!H297/'Veroposentin tuotto'!AN297*-1</f>
        <v>0.53407392686936839</v>
      </c>
      <c r="I304" s="148">
        <f>'Toim ja inv rahavirta'!I297/'Veroposentin tuotto'!AO297*-1</f>
        <v>-2.0769030354517746</v>
      </c>
      <c r="J304" s="148">
        <f>'Toim ja inv rahavirta'!J297/'Veroposentin tuotto'!AP297*-1</f>
        <v>0.83810785365979346</v>
      </c>
      <c r="K304" s="148">
        <f>'Toim ja inv rahavirta'!K297/'Veroposentin tuotto'!AQ297*-1</f>
        <v>-3.191168547364196</v>
      </c>
      <c r="L304" s="148">
        <f>'Toim ja inv rahavirta'!L297/'Veroposentin tuotto'!AR297*-1</f>
        <v>-0.87840102500191963</v>
      </c>
      <c r="M304" s="148">
        <f>'Toim ja inv rahavirta'!M297/'Veroposentin tuotto'!AS297*-1</f>
        <v>-0.87287662983780423</v>
      </c>
      <c r="N304" s="148">
        <f>'Toim ja inv rahavirta'!N297/'Veroposentin tuotto'!AT297*-1</f>
        <v>-0.9768081678475673</v>
      </c>
      <c r="O304" s="148">
        <f>'Toim ja inv rahavirta'!O297/'Veroposentin tuotto'!AU297*-1</f>
        <v>-0.7076177350583448</v>
      </c>
      <c r="P304" s="148">
        <f>'Toim ja inv rahavirta'!P297/'Veroposentin tuotto'!AV297*-1</f>
        <v>-1.314681297339978</v>
      </c>
    </row>
    <row r="305" spans="1:16" x14ac:dyDescent="0.2">
      <c r="A305" s="34">
        <v>934</v>
      </c>
      <c r="B305" s="88" t="s">
        <v>612</v>
      </c>
      <c r="C305" s="148" t="e">
        <f>'Toim ja inv rahavirta'!C298/'Veroposentin tuotto'!AI298*-1</f>
        <v>#REF!</v>
      </c>
      <c r="D305" s="148">
        <f>'Toim ja inv rahavirta'!D298/'Veroposentin tuotto'!AJ298*-1</f>
        <v>-4.5385933420365534</v>
      </c>
      <c r="E305" s="148">
        <f>'Toim ja inv rahavirta'!E298/'Veroposentin tuotto'!AK298*-1</f>
        <v>-2.9036641725352115</v>
      </c>
      <c r="F305" s="148">
        <f>'Toim ja inv rahavirta'!F298/'Veroposentin tuotto'!AL298*-1</f>
        <v>2.365676059673218</v>
      </c>
      <c r="G305" s="148">
        <f>'Toim ja inv rahavirta'!G298/'Veroposentin tuotto'!AM298*-1</f>
        <v>3.9772302790595475</v>
      </c>
      <c r="H305" s="148">
        <f>'Toim ja inv rahavirta'!H298/'Veroposentin tuotto'!AN298*-1</f>
        <v>-0.21366740260517095</v>
      </c>
      <c r="I305" s="148">
        <f>'Toim ja inv rahavirta'!I298/'Veroposentin tuotto'!AO298*-1</f>
        <v>-1.7122319030660704</v>
      </c>
      <c r="J305" s="148">
        <f>'Toim ja inv rahavirta'!J298/'Veroposentin tuotto'!AP298*-1</f>
        <v>0.20976496632137859</v>
      </c>
      <c r="K305" s="148">
        <f>'Toim ja inv rahavirta'!K298/'Veroposentin tuotto'!AQ298*-1</f>
        <v>-0.16502173753141619</v>
      </c>
      <c r="L305" s="148">
        <f>'Toim ja inv rahavirta'!L298/'Veroposentin tuotto'!AR298*-1</f>
        <v>3.9900840396567432</v>
      </c>
      <c r="M305" s="148">
        <f>'Toim ja inv rahavirta'!M298/'Veroposentin tuotto'!AS298*-1</f>
        <v>5.2228047938404529</v>
      </c>
      <c r="N305" s="148">
        <f>'Toim ja inv rahavirta'!N298/'Veroposentin tuotto'!AT298*-1</f>
        <v>5.7371515938188953</v>
      </c>
      <c r="O305" s="148">
        <f>'Toim ja inv rahavirta'!O298/'Veroposentin tuotto'!AU298*-1</f>
        <v>6.171262171124031</v>
      </c>
      <c r="P305" s="148">
        <f>'Toim ja inv rahavirta'!P298/'Veroposentin tuotto'!AV298*-1</f>
        <v>5.8477611171859696</v>
      </c>
    </row>
    <row r="306" spans="1:16" x14ac:dyDescent="0.2">
      <c r="A306" s="34">
        <v>935</v>
      </c>
      <c r="B306" s="88" t="s">
        <v>613</v>
      </c>
      <c r="C306" s="148" t="e">
        <f>'Toim ja inv rahavirta'!C299/'Veroposentin tuotto'!AI299*-1</f>
        <v>#REF!</v>
      </c>
      <c r="D306" s="148">
        <f>'Toim ja inv rahavirta'!D299/'Veroposentin tuotto'!AJ299*-1</f>
        <v>1.5439429928741093</v>
      </c>
      <c r="E306" s="148">
        <f>'Toim ja inv rahavirta'!E299/'Veroposentin tuotto'!AK299*-1</f>
        <v>-3.5047619047619047</v>
      </c>
      <c r="F306" s="148">
        <f>'Toim ja inv rahavirta'!F299/'Veroposentin tuotto'!AL299*-1</f>
        <v>8.5314174378957617</v>
      </c>
      <c r="G306" s="148">
        <f>'Toim ja inv rahavirta'!G299/'Veroposentin tuotto'!AM299*-1</f>
        <v>-1.5176510910544956</v>
      </c>
      <c r="H306" s="148">
        <f>'Toim ja inv rahavirta'!H299/'Veroposentin tuotto'!AN299*-1</f>
        <v>-4.0879153134823962</v>
      </c>
      <c r="I306" s="148">
        <f>'Toim ja inv rahavirta'!I299/'Veroposentin tuotto'!AO299*-1</f>
        <v>4.6590575863756545</v>
      </c>
      <c r="J306" s="148">
        <f>'Toim ja inv rahavirta'!J299/'Veroposentin tuotto'!AP299*-1</f>
        <v>11.608126680893299</v>
      </c>
      <c r="K306" s="148">
        <f>'Toim ja inv rahavirta'!K299/'Veroposentin tuotto'!AQ299*-1</f>
        <v>0.87432425676710968</v>
      </c>
      <c r="L306" s="148">
        <f>'Toim ja inv rahavirta'!L299/'Veroposentin tuotto'!AR299*-1</f>
        <v>2.6335822267824942</v>
      </c>
      <c r="M306" s="148">
        <f>'Toim ja inv rahavirta'!M299/'Veroposentin tuotto'!AS299*-1</f>
        <v>4.2182390734877542</v>
      </c>
      <c r="N306" s="148">
        <f>'Toim ja inv rahavirta'!N299/'Veroposentin tuotto'!AT299*-1</f>
        <v>4.5154324944283646</v>
      </c>
      <c r="O306" s="148">
        <f>'Toim ja inv rahavirta'!O299/'Veroposentin tuotto'!AU299*-1</f>
        <v>4.8901898400669213</v>
      </c>
      <c r="P306" s="148">
        <f>'Toim ja inv rahavirta'!P299/'Veroposentin tuotto'!AV299*-1</f>
        <v>4.6562643028986699</v>
      </c>
    </row>
    <row r="307" spans="1:16" x14ac:dyDescent="0.2">
      <c r="A307" s="34">
        <v>936</v>
      </c>
      <c r="B307" s="88" t="s">
        <v>614</v>
      </c>
      <c r="C307" s="148" t="e">
        <f>'Toim ja inv rahavirta'!C300/'Veroposentin tuotto'!AI300*-1</f>
        <v>#REF!</v>
      </c>
      <c r="D307" s="148">
        <f>'Toim ja inv rahavirta'!D300/'Veroposentin tuotto'!AJ300*-1</f>
        <v>-1.5457067187064399</v>
      </c>
      <c r="E307" s="148">
        <f>'Toim ja inv rahavirta'!E300/'Veroposentin tuotto'!AK300*-1</f>
        <v>1.2586853424506452</v>
      </c>
      <c r="F307" s="148">
        <f>'Toim ja inv rahavirta'!F300/'Veroposentin tuotto'!AL300*-1</f>
        <v>3.6177517945266935</v>
      </c>
      <c r="G307" s="148">
        <f>'Toim ja inv rahavirta'!G300/'Veroposentin tuotto'!AM300*-1</f>
        <v>4.1290817976075003</v>
      </c>
      <c r="H307" s="148">
        <f>'Toim ja inv rahavirta'!H300/'Veroposentin tuotto'!AN300*-1</f>
        <v>5.4619350870661023</v>
      </c>
      <c r="I307" s="148">
        <f>'Toim ja inv rahavirta'!I300/'Veroposentin tuotto'!AO300*-1</f>
        <v>2.8185628077122451</v>
      </c>
      <c r="J307" s="148">
        <f>'Toim ja inv rahavirta'!J300/'Veroposentin tuotto'!AP300*-1</f>
        <v>-4.2021881005172164</v>
      </c>
      <c r="K307" s="148">
        <f>'Toim ja inv rahavirta'!K300/'Veroposentin tuotto'!AQ300*-1</f>
        <v>-2.8760381808369879</v>
      </c>
      <c r="L307" s="148">
        <f>'Toim ja inv rahavirta'!L300/'Veroposentin tuotto'!AR300*-1</f>
        <v>2.8460176389148275</v>
      </c>
      <c r="M307" s="148">
        <f>'Toim ja inv rahavirta'!M300/'Veroposentin tuotto'!AS300*-1</f>
        <v>2.0269475944736937</v>
      </c>
      <c r="N307" s="148">
        <f>'Toim ja inv rahavirta'!N300/'Veroposentin tuotto'!AT300*-1</f>
        <v>2.4109238722876021</v>
      </c>
      <c r="O307" s="148">
        <f>'Toim ja inv rahavirta'!O300/'Veroposentin tuotto'!AU300*-1</f>
        <v>2.8258659434036479</v>
      </c>
      <c r="P307" s="148">
        <f>'Toim ja inv rahavirta'!P300/'Veroposentin tuotto'!AV300*-1</f>
        <v>2.2383037805011634</v>
      </c>
    </row>
    <row r="308" spans="1:16" x14ac:dyDescent="0.2">
      <c r="A308" s="34">
        <v>946</v>
      </c>
      <c r="B308" s="88" t="s">
        <v>615</v>
      </c>
      <c r="C308" s="148" t="e">
        <f>'Toim ja inv rahavirta'!C301/'Veroposentin tuotto'!AI301*-1</f>
        <v>#REF!</v>
      </c>
      <c r="D308" s="148">
        <f>'Toim ja inv rahavirta'!D301/'Veroposentin tuotto'!AJ301*-1</f>
        <v>-0.75333368195366834</v>
      </c>
      <c r="E308" s="148">
        <f>'Toim ja inv rahavirta'!E301/'Veroposentin tuotto'!AK301*-1</f>
        <v>-0.91149881046788273</v>
      </c>
      <c r="F308" s="148">
        <f>'Toim ja inv rahavirta'!F301/'Veroposentin tuotto'!AL301*-1</f>
        <v>3.5799262642381553</v>
      </c>
      <c r="G308" s="148">
        <f>'Toim ja inv rahavirta'!G301/'Veroposentin tuotto'!AM301*-1</f>
        <v>6.6684500393391026</v>
      </c>
      <c r="H308" s="148">
        <f>'Toim ja inv rahavirta'!H301/'Veroposentin tuotto'!AN301*-1</f>
        <v>6.8344774979961915</v>
      </c>
      <c r="I308" s="148">
        <f>'Toim ja inv rahavirta'!I301/'Veroposentin tuotto'!AO301*-1</f>
        <v>-0.34209839281400739</v>
      </c>
      <c r="J308" s="148">
        <f>'Toim ja inv rahavirta'!J301/'Veroposentin tuotto'!AP301*-1</f>
        <v>3.0244118352490523</v>
      </c>
      <c r="K308" s="148">
        <f>'Toim ja inv rahavirta'!K301/'Veroposentin tuotto'!AQ301*-1</f>
        <v>5.219356179082685</v>
      </c>
      <c r="L308" s="148">
        <f>'Toim ja inv rahavirta'!L301/'Veroposentin tuotto'!AR301*-1</f>
        <v>4.0337318409318099</v>
      </c>
      <c r="M308" s="148">
        <f>'Toim ja inv rahavirta'!M301/'Veroposentin tuotto'!AS301*-1</f>
        <v>4.2521302935654619</v>
      </c>
      <c r="N308" s="148">
        <f>'Toim ja inv rahavirta'!N301/'Veroposentin tuotto'!AT301*-1</f>
        <v>3.9806875199316569</v>
      </c>
      <c r="O308" s="148">
        <f>'Toim ja inv rahavirta'!O301/'Veroposentin tuotto'!AU301*-1</f>
        <v>4.0148355486045588</v>
      </c>
      <c r="P308" s="148">
        <f>'Toim ja inv rahavirta'!P301/'Veroposentin tuotto'!AV301*-1</f>
        <v>3.6729537527684495</v>
      </c>
    </row>
    <row r="309" spans="1:16" x14ac:dyDescent="0.2">
      <c r="A309" s="34">
        <v>976</v>
      </c>
      <c r="B309" s="88" t="s">
        <v>616</v>
      </c>
      <c r="C309" s="148" t="e">
        <f>'Toim ja inv rahavirta'!C302/'Veroposentin tuotto'!AI302*-1</f>
        <v>#REF!</v>
      </c>
      <c r="D309" s="148">
        <f>'Toim ja inv rahavirta'!D302/'Veroposentin tuotto'!AJ302*-1</f>
        <v>3.9005182086146242</v>
      </c>
      <c r="E309" s="148">
        <f>'Toim ja inv rahavirta'!E302/'Veroposentin tuotto'!AK302*-1</f>
        <v>-0.96507845388442404</v>
      </c>
      <c r="F309" s="148">
        <f>'Toim ja inv rahavirta'!F302/'Veroposentin tuotto'!AL302*-1</f>
        <v>2.5566189709087466</v>
      </c>
      <c r="G309" s="148">
        <f>'Toim ja inv rahavirta'!G302/'Veroposentin tuotto'!AM302*-1</f>
        <v>-0.62263436790310378</v>
      </c>
      <c r="H309" s="148">
        <f>'Toim ja inv rahavirta'!H302/'Veroposentin tuotto'!AN302*-1</f>
        <v>0.67129516917863219</v>
      </c>
      <c r="I309" s="148">
        <f>'Toim ja inv rahavirta'!I302/'Veroposentin tuotto'!AO302*-1</f>
        <v>-1.774141867211132E-2</v>
      </c>
      <c r="J309" s="148">
        <f>'Toim ja inv rahavirta'!J302/'Veroposentin tuotto'!AP302*-1</f>
        <v>3.9013195094086757</v>
      </c>
      <c r="K309" s="148">
        <f>'Toim ja inv rahavirta'!K302/'Veroposentin tuotto'!AQ302*-1</f>
        <v>-1.3922497620038361</v>
      </c>
      <c r="L309" s="148">
        <f>'Toim ja inv rahavirta'!L302/'Veroposentin tuotto'!AR302*-1</f>
        <v>1.0574053399535726</v>
      </c>
      <c r="M309" s="148">
        <f>'Toim ja inv rahavirta'!M302/'Veroposentin tuotto'!AS302*-1</f>
        <v>1.3717243165599662</v>
      </c>
      <c r="N309" s="148">
        <f>'Toim ja inv rahavirta'!N302/'Veroposentin tuotto'!AT302*-1</f>
        <v>1.6774794446772381</v>
      </c>
      <c r="O309" s="148">
        <f>'Toim ja inv rahavirta'!O302/'Veroposentin tuotto'!AU302*-1</f>
        <v>2.1422565713863095</v>
      </c>
      <c r="P309" s="148">
        <f>'Toim ja inv rahavirta'!P302/'Veroposentin tuotto'!AV302*-1</f>
        <v>1.569260272670423</v>
      </c>
    </row>
    <row r="310" spans="1:16" x14ac:dyDescent="0.2">
      <c r="A310" s="34">
        <v>977</v>
      </c>
      <c r="B310" s="88" t="s">
        <v>617</v>
      </c>
      <c r="C310" s="148" t="e">
        <f>'Toim ja inv rahavirta'!C303/'Veroposentin tuotto'!AI303*-1</f>
        <v>#REF!</v>
      </c>
      <c r="D310" s="148">
        <f>'Toim ja inv rahavirta'!D303/'Veroposentin tuotto'!AJ303*-1</f>
        <v>5.6738126864534113</v>
      </c>
      <c r="E310" s="148">
        <f>'Toim ja inv rahavirta'!E303/'Veroposentin tuotto'!AK303*-1</f>
        <v>2.469515258754396</v>
      </c>
      <c r="F310" s="148">
        <f>'Toim ja inv rahavirta'!F303/'Veroposentin tuotto'!AL303*-1</f>
        <v>5.6357708379151097</v>
      </c>
      <c r="G310" s="148">
        <f>'Toim ja inv rahavirta'!G303/'Veroposentin tuotto'!AM303*-1</f>
        <v>9.129070039821972</v>
      </c>
      <c r="H310" s="148">
        <f>'Toim ja inv rahavirta'!H303/'Veroposentin tuotto'!AN303*-1</f>
        <v>4.8928140081120546</v>
      </c>
      <c r="I310" s="148">
        <f>'Toim ja inv rahavirta'!I303/'Veroposentin tuotto'!AO303*-1</f>
        <v>2.5451909941942112</v>
      </c>
      <c r="J310" s="148">
        <f>'Toim ja inv rahavirta'!J303/'Veroposentin tuotto'!AP303*-1</f>
        <v>-1.5872192641034326</v>
      </c>
      <c r="K310" s="148">
        <f>'Toim ja inv rahavirta'!K303/'Veroposentin tuotto'!AQ303*-1</f>
        <v>-2.3563628963432772</v>
      </c>
      <c r="L310" s="148">
        <f>'Toim ja inv rahavirta'!L303/'Veroposentin tuotto'!AR303*-1</f>
        <v>0.55024413993091004</v>
      </c>
      <c r="M310" s="148">
        <f>'Toim ja inv rahavirta'!M303/'Veroposentin tuotto'!AS303*-1</f>
        <v>1.5229844579814242</v>
      </c>
      <c r="N310" s="148">
        <f>'Toim ja inv rahavirta'!N303/'Veroposentin tuotto'!AT303*-1</f>
        <v>1.2161020722153848</v>
      </c>
      <c r="O310" s="148">
        <f>'Toim ja inv rahavirta'!O303/'Veroposentin tuotto'!AU303*-1</f>
        <v>1.0154181249866565</v>
      </c>
      <c r="P310" s="148">
        <f>'Toim ja inv rahavirta'!P303/'Veroposentin tuotto'!AV303*-1</f>
        <v>0.74159224611242591</v>
      </c>
    </row>
    <row r="311" spans="1:16" x14ac:dyDescent="0.2">
      <c r="A311" s="34">
        <v>980</v>
      </c>
      <c r="B311" s="88" t="s">
        <v>618</v>
      </c>
      <c r="C311" s="148" t="e">
        <f>'Toim ja inv rahavirta'!C304/'Veroposentin tuotto'!AI304*-1</f>
        <v>#REF!</v>
      </c>
      <c r="D311" s="148">
        <f>'Toim ja inv rahavirta'!D304/'Veroposentin tuotto'!AJ304*-1</f>
        <v>-6.3321212996853529</v>
      </c>
      <c r="E311" s="148">
        <f>'Toim ja inv rahavirta'!E304/'Veroposentin tuotto'!AK304*-1</f>
        <v>-2.1086962311892399</v>
      </c>
      <c r="F311" s="148">
        <f>'Toim ja inv rahavirta'!F304/'Veroposentin tuotto'!AL304*-1</f>
        <v>-0.19313716735131276</v>
      </c>
      <c r="G311" s="148">
        <f>'Toim ja inv rahavirta'!G304/'Veroposentin tuotto'!AM304*-1</f>
        <v>1.5450017220595833</v>
      </c>
      <c r="H311" s="148">
        <f>'Toim ja inv rahavirta'!H304/'Veroposentin tuotto'!AN304*-1</f>
        <v>-1.1014815382523333</v>
      </c>
      <c r="I311" s="148">
        <f>'Toim ja inv rahavirta'!I304/'Veroposentin tuotto'!AO304*-1</f>
        <v>0.17519399112777084</v>
      </c>
      <c r="J311" s="148">
        <f>'Toim ja inv rahavirta'!J304/'Veroposentin tuotto'!AP304*-1</f>
        <v>2.4754847376233209</v>
      </c>
      <c r="K311" s="148">
        <f>'Toim ja inv rahavirta'!K304/'Veroposentin tuotto'!AQ304*-1</f>
        <v>0.92702059290112548</v>
      </c>
      <c r="L311" s="148">
        <f>'Toim ja inv rahavirta'!L304/'Veroposentin tuotto'!AR304*-1</f>
        <v>1.1630164668465306</v>
      </c>
      <c r="M311" s="148">
        <f>'Toim ja inv rahavirta'!M304/'Veroposentin tuotto'!AS304*-1</f>
        <v>1.2866127514983394</v>
      </c>
      <c r="N311" s="148">
        <f>'Toim ja inv rahavirta'!N304/'Veroposentin tuotto'!AT304*-1</f>
        <v>1.1697868196310526</v>
      </c>
      <c r="O311" s="148">
        <f>'Toim ja inv rahavirta'!O304/'Veroposentin tuotto'!AU304*-1</f>
        <v>1.2128632888461452</v>
      </c>
      <c r="P311" s="148">
        <f>'Toim ja inv rahavirta'!P304/'Veroposentin tuotto'!AV304*-1</f>
        <v>1.0429317720929336</v>
      </c>
    </row>
    <row r="312" spans="1:16" x14ac:dyDescent="0.2">
      <c r="A312" s="34">
        <v>981</v>
      </c>
      <c r="B312" s="88" t="s">
        <v>619</v>
      </c>
      <c r="C312" s="148" t="e">
        <f>'Toim ja inv rahavirta'!C305/'Veroposentin tuotto'!AI305*-1</f>
        <v>#REF!</v>
      </c>
      <c r="D312" s="148">
        <f>'Toim ja inv rahavirta'!D305/'Veroposentin tuotto'!AJ305*-1</f>
        <v>-0.80929169840060933</v>
      </c>
      <c r="E312" s="148">
        <f>'Toim ja inv rahavirta'!E305/'Veroposentin tuotto'!AK305*-1</f>
        <v>-1.0088065379737918</v>
      </c>
      <c r="F312" s="148">
        <f>'Toim ja inv rahavirta'!F305/'Veroposentin tuotto'!AL305*-1</f>
        <v>5.1253286590709903</v>
      </c>
      <c r="G312" s="148">
        <f>'Toim ja inv rahavirta'!G305/'Veroposentin tuotto'!AM305*-1</f>
        <v>2.3925533398410264</v>
      </c>
      <c r="H312" s="148">
        <f>'Toim ja inv rahavirta'!H305/'Veroposentin tuotto'!AN305*-1</f>
        <v>-6.0577681873182563</v>
      </c>
      <c r="I312" s="148">
        <f>'Toim ja inv rahavirta'!I305/'Veroposentin tuotto'!AO305*-1</f>
        <v>-2.8739147180800018</v>
      </c>
      <c r="J312" s="148">
        <f>'Toim ja inv rahavirta'!J305/'Veroposentin tuotto'!AP305*-1</f>
        <v>-4.1479979954608899</v>
      </c>
      <c r="K312" s="148">
        <f>'Toim ja inv rahavirta'!K305/'Veroposentin tuotto'!AQ305*-1</f>
        <v>-1.5973760745199952</v>
      </c>
      <c r="L312" s="148">
        <f>'Toim ja inv rahavirta'!L305/'Veroposentin tuotto'!AR305*-1</f>
        <v>-9.0981349466121422E-2</v>
      </c>
      <c r="M312" s="148">
        <f>'Toim ja inv rahavirta'!M305/'Veroposentin tuotto'!AS305*-1</f>
        <v>8.7121639869882944E-2</v>
      </c>
      <c r="N312" s="148">
        <f>'Toim ja inv rahavirta'!N305/'Veroposentin tuotto'!AT305*-1</f>
        <v>1.0040608781333455</v>
      </c>
      <c r="O312" s="148">
        <f>'Toim ja inv rahavirta'!O305/'Veroposentin tuotto'!AU305*-1</f>
        <v>1.0402814617511487</v>
      </c>
      <c r="P312" s="148">
        <f>'Toim ja inv rahavirta'!P305/'Veroposentin tuotto'!AV305*-1</f>
        <v>0.74983043679879247</v>
      </c>
    </row>
    <row r="313" spans="1:16" x14ac:dyDescent="0.2">
      <c r="A313" s="34">
        <v>989</v>
      </c>
      <c r="B313" s="88" t="s">
        <v>620</v>
      </c>
      <c r="C313" s="148" t="e">
        <f>'Toim ja inv rahavirta'!C306/'Veroposentin tuotto'!AI306*-1</f>
        <v>#REF!</v>
      </c>
      <c r="D313" s="148">
        <f>'Toim ja inv rahavirta'!D306/'Veroposentin tuotto'!AJ306*-1</f>
        <v>-1.7349521791420881</v>
      </c>
      <c r="E313" s="148">
        <f>'Toim ja inv rahavirta'!E306/'Veroposentin tuotto'!AK306*-1</f>
        <v>-0.45021986695230581</v>
      </c>
      <c r="F313" s="148">
        <f>'Toim ja inv rahavirta'!F306/'Veroposentin tuotto'!AL306*-1</f>
        <v>3.4470226115780753</v>
      </c>
      <c r="G313" s="148">
        <f>'Toim ja inv rahavirta'!G306/'Veroposentin tuotto'!AM306*-1</f>
        <v>-3.2470588235294118</v>
      </c>
      <c r="H313" s="148">
        <f>'Toim ja inv rahavirta'!H306/'Veroposentin tuotto'!AN306*-1</f>
        <v>-1.9952683024016222</v>
      </c>
      <c r="I313" s="148">
        <f>'Toim ja inv rahavirta'!I306/'Veroposentin tuotto'!AO306*-1</f>
        <v>-0.40372704454885416</v>
      </c>
      <c r="J313" s="148">
        <f>'Toim ja inv rahavirta'!J306/'Veroposentin tuotto'!AP306*-1</f>
        <v>2.36151095749406</v>
      </c>
      <c r="K313" s="148">
        <f>'Toim ja inv rahavirta'!K306/'Veroposentin tuotto'!AQ306*-1</f>
        <v>23.169123639500452</v>
      </c>
      <c r="L313" s="148">
        <f>'Toim ja inv rahavirta'!L306/'Veroposentin tuotto'!AR306*-1</f>
        <v>4.7314801128039372</v>
      </c>
      <c r="M313" s="148">
        <f>'Toim ja inv rahavirta'!M306/'Veroposentin tuotto'!AS306*-1</f>
        <v>13.263878306628614</v>
      </c>
      <c r="N313" s="148">
        <f>'Toim ja inv rahavirta'!N306/'Veroposentin tuotto'!AT306*-1</f>
        <v>13.421086135856394</v>
      </c>
      <c r="O313" s="148">
        <f>'Toim ja inv rahavirta'!O306/'Veroposentin tuotto'!AU306*-1</f>
        <v>13.667990676422031</v>
      </c>
      <c r="P313" s="148">
        <f>'Toim ja inv rahavirta'!P306/'Veroposentin tuotto'!AV306*-1</f>
        <v>12.976845864583236</v>
      </c>
    </row>
    <row r="314" spans="1:16" x14ac:dyDescent="0.2">
      <c r="A314" s="34">
        <v>992</v>
      </c>
      <c r="B314" s="88" t="s">
        <v>621</v>
      </c>
      <c r="C314" s="148" t="e">
        <f>'Toim ja inv rahavirta'!C307/'Veroposentin tuotto'!AI307*-1</f>
        <v>#REF!</v>
      </c>
      <c r="D314" s="148">
        <f>'Toim ja inv rahavirta'!D307/'Veroposentin tuotto'!AJ307*-1</f>
        <v>-1.8752376576462386</v>
      </c>
      <c r="E314" s="148">
        <f>'Toim ja inv rahavirta'!E307/'Veroposentin tuotto'!AK307*-1</f>
        <v>-3.2818017274228373</v>
      </c>
      <c r="F314" s="148">
        <f>'Toim ja inv rahavirta'!F307/'Veroposentin tuotto'!AL307*-1</f>
        <v>0.49039658108462147</v>
      </c>
      <c r="G314" s="148">
        <f>'Toim ja inv rahavirta'!G307/'Veroposentin tuotto'!AM307*-1</f>
        <v>3.4092999404486202</v>
      </c>
      <c r="H314" s="148">
        <f>'Toim ja inv rahavirta'!H307/'Veroposentin tuotto'!AN307*-1</f>
        <v>-0.63955253072256524</v>
      </c>
      <c r="I314" s="148">
        <f>'Toim ja inv rahavirta'!I307/'Veroposentin tuotto'!AO307*-1</f>
        <v>-1.9966639170663603</v>
      </c>
      <c r="J314" s="148">
        <f>'Toim ja inv rahavirta'!J307/'Veroposentin tuotto'!AP307*-1</f>
        <v>2.9770094908863536</v>
      </c>
      <c r="K314" s="148">
        <f>'Toim ja inv rahavirta'!K307/'Veroposentin tuotto'!AQ307*-1</f>
        <v>-2.0916941114596215</v>
      </c>
      <c r="L314" s="148">
        <f>'Toim ja inv rahavirta'!L307/'Veroposentin tuotto'!AR307*-1</f>
        <v>-1.2736490506604876</v>
      </c>
      <c r="M314" s="148">
        <f>'Toim ja inv rahavirta'!M307/'Veroposentin tuotto'!AS307*-1</f>
        <v>0.44612852858609825</v>
      </c>
      <c r="N314" s="148">
        <f>'Toim ja inv rahavirta'!N307/'Veroposentin tuotto'!AT307*-1</f>
        <v>0.61189787004813434</v>
      </c>
      <c r="O314" s="148">
        <f>'Toim ja inv rahavirta'!O307/'Veroposentin tuotto'!AU307*-1</f>
        <v>0.56147205852657223</v>
      </c>
      <c r="P314" s="148">
        <f>'Toim ja inv rahavirta'!P307/'Veroposentin tuotto'!AV307*-1</f>
        <v>-6.9014406794139817E-3</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29"/>
  <sheetViews>
    <sheetView workbookViewId="0">
      <selection activeCell="A7" sqref="A7"/>
    </sheetView>
  </sheetViews>
  <sheetFormatPr defaultRowHeight="15" x14ac:dyDescent="0.25"/>
  <cols>
    <col min="1" max="1" width="48.7109375" bestFit="1" customWidth="1"/>
    <col min="4" max="7" width="9.28515625" bestFit="1" customWidth="1"/>
    <col min="8" max="8" width="10.28515625" bestFit="1" customWidth="1"/>
    <col min="9" max="9" width="10.42578125" bestFit="1" customWidth="1"/>
    <col min="10" max="12" width="9.28515625" bestFit="1" customWidth="1"/>
  </cols>
  <sheetData>
    <row r="1" spans="1:13" x14ac:dyDescent="0.25">
      <c r="A1" s="277"/>
      <c r="D1" s="402"/>
      <c r="E1" s="402"/>
      <c r="F1" s="402"/>
      <c r="G1" s="164">
        <v>2022</v>
      </c>
      <c r="H1" s="164">
        <v>2023</v>
      </c>
      <c r="I1" s="164">
        <v>2024</v>
      </c>
      <c r="J1" s="164">
        <v>2025</v>
      </c>
      <c r="K1" s="164">
        <v>2026</v>
      </c>
      <c r="L1" s="409">
        <v>2027</v>
      </c>
      <c r="M1" s="409">
        <v>2028</v>
      </c>
    </row>
    <row r="2" spans="1:13" x14ac:dyDescent="0.25">
      <c r="A2" s="17" t="s">
        <v>719</v>
      </c>
      <c r="D2" s="403"/>
      <c r="E2" s="404"/>
      <c r="F2" s="404"/>
      <c r="G2" s="350">
        <v>3.7987557886176117E-2</v>
      </c>
      <c r="H2" s="411">
        <v>4.4999999999999998E-2</v>
      </c>
      <c r="I2" s="411">
        <v>2.1000000000000001E-2</v>
      </c>
      <c r="J2" s="411">
        <v>3.4000000000000002E-2</v>
      </c>
      <c r="K2" s="411">
        <v>3.3000000000000002E-2</v>
      </c>
      <c r="L2" s="411">
        <v>3.2000000000000001E-2</v>
      </c>
      <c r="M2" s="437">
        <v>2.7E-2</v>
      </c>
    </row>
    <row r="3" spans="1:13" x14ac:dyDescent="0.25">
      <c r="F3" s="26"/>
      <c r="G3" s="350"/>
      <c r="H3" s="350"/>
      <c r="I3" s="350"/>
      <c r="J3" s="350"/>
      <c r="K3" s="350"/>
    </row>
    <row r="4" spans="1:13" x14ac:dyDescent="0.25">
      <c r="G4" s="321"/>
      <c r="H4" s="321"/>
      <c r="I4" s="321"/>
      <c r="J4" s="321"/>
      <c r="K4" s="321"/>
    </row>
    <row r="5" spans="1:13" x14ac:dyDescent="0.25">
      <c r="A5" s="353"/>
      <c r="B5" s="16"/>
      <c r="C5" s="16"/>
      <c r="D5" s="16"/>
      <c r="E5" s="16"/>
      <c r="F5" s="16"/>
      <c r="G5" s="173"/>
      <c r="H5" s="173"/>
      <c r="I5" s="173"/>
      <c r="J5" s="173"/>
      <c r="K5" s="173"/>
    </row>
    <row r="6" spans="1:13" x14ac:dyDescent="0.25">
      <c r="A6" s="282" t="s">
        <v>819</v>
      </c>
      <c r="B6" s="16"/>
      <c r="C6" s="16"/>
      <c r="D6" s="16"/>
      <c r="E6" s="16"/>
      <c r="F6" s="16"/>
      <c r="G6" s="173"/>
      <c r="H6" s="173"/>
      <c r="I6" s="173"/>
      <c r="J6" s="173"/>
      <c r="K6" s="173"/>
    </row>
    <row r="7" spans="1:13" x14ac:dyDescent="0.25">
      <c r="A7" s="175"/>
      <c r="B7" s="173"/>
      <c r="C7" s="173"/>
      <c r="D7" s="173"/>
      <c r="E7" s="173"/>
      <c r="F7" s="173"/>
      <c r="G7" s="173"/>
      <c r="H7" s="173"/>
      <c r="I7" s="173"/>
      <c r="J7" s="173"/>
      <c r="K7" s="173"/>
    </row>
    <row r="8" spans="1:13" x14ac:dyDescent="0.25">
      <c r="A8" s="173"/>
      <c r="B8" s="175"/>
      <c r="C8" s="282">
        <v>2018</v>
      </c>
      <c r="D8" s="282">
        <v>2019</v>
      </c>
      <c r="E8" s="282">
        <v>2020</v>
      </c>
      <c r="F8" s="282">
        <v>2021</v>
      </c>
      <c r="G8" s="282">
        <v>2022</v>
      </c>
      <c r="H8" s="282">
        <v>2023</v>
      </c>
      <c r="I8" s="282">
        <v>2024</v>
      </c>
      <c r="J8" s="282">
        <v>2025</v>
      </c>
      <c r="K8" s="282">
        <v>2026</v>
      </c>
      <c r="L8" s="282">
        <v>2027</v>
      </c>
      <c r="M8" s="282">
        <v>2028</v>
      </c>
    </row>
    <row r="9" spans="1:13" x14ac:dyDescent="0.25">
      <c r="A9" s="175" t="s">
        <v>721</v>
      </c>
      <c r="B9" s="175"/>
      <c r="C9" s="176"/>
      <c r="D9" s="175"/>
      <c r="E9" s="175"/>
      <c r="F9" s="175"/>
      <c r="G9" s="175"/>
      <c r="H9" s="175"/>
      <c r="I9" s="175"/>
    </row>
    <row r="10" spans="1:13" x14ac:dyDescent="0.25">
      <c r="A10" s="175" t="s">
        <v>722</v>
      </c>
      <c r="B10" s="176"/>
      <c r="C10" s="355">
        <v>-28.567267000000001</v>
      </c>
      <c r="D10" s="355">
        <v>-29.835964999999998</v>
      </c>
      <c r="E10" s="355">
        <v>-30.644585999999997</v>
      </c>
      <c r="F10" s="355">
        <v>-31.529929937929957</v>
      </c>
      <c r="G10" s="355">
        <v>-33.664854537879975</v>
      </c>
      <c r="H10" s="355">
        <v>-14.05931547511001</v>
      </c>
      <c r="I10" s="355">
        <v>-14.445171157102813</v>
      </c>
      <c r="J10" s="355">
        <v>-16.084163553251063</v>
      </c>
      <c r="K10" s="355">
        <v>-16.692190309003976</v>
      </c>
      <c r="L10" s="355">
        <v>-17.277303840921249</v>
      </c>
      <c r="M10" s="186">
        <v>-17.796576334959767</v>
      </c>
    </row>
    <row r="11" spans="1:13" x14ac:dyDescent="0.25">
      <c r="A11" s="178" t="s">
        <v>325</v>
      </c>
      <c r="B11" s="176"/>
      <c r="C11" s="177"/>
      <c r="D11" s="360">
        <f t="shared" ref="D11:L11" si="0">D10/C10-1</f>
        <v>4.4410898669445587E-2</v>
      </c>
      <c r="E11" s="360">
        <f t="shared" si="0"/>
        <v>2.7102223775902656E-2</v>
      </c>
      <c r="F11" s="360">
        <f t="shared" si="0"/>
        <v>2.8890712960845999E-2</v>
      </c>
      <c r="G11" s="360">
        <f>G10/F10-1</f>
        <v>6.7711048015420383E-2</v>
      </c>
      <c r="H11" s="360">
        <f t="shared" si="0"/>
        <v>-0.58237409107797122</v>
      </c>
      <c r="I11" s="360">
        <f t="shared" si="0"/>
        <v>2.7444841299415046E-2</v>
      </c>
      <c r="J11" s="360">
        <f t="shared" si="0"/>
        <v>0.11346299592596676</v>
      </c>
      <c r="K11" s="360">
        <f t="shared" si="0"/>
        <v>3.7802821000910258E-2</v>
      </c>
      <c r="L11" s="360">
        <f t="shared" si="0"/>
        <v>3.505313090048201E-2</v>
      </c>
      <c r="M11" s="360">
        <f>M10/L10-1</f>
        <v>3.0055180994653874E-2</v>
      </c>
    </row>
    <row r="13" spans="1:13" s="173" customFormat="1" x14ac:dyDescent="0.25">
      <c r="A13" s="17" t="s">
        <v>724</v>
      </c>
      <c r="B13" s="186"/>
      <c r="C13" s="354">
        <v>0.30918799999999996</v>
      </c>
      <c r="D13" s="354">
        <v>0.470972</v>
      </c>
      <c r="E13" s="354">
        <v>0.37017900000000004</v>
      </c>
      <c r="F13" s="354">
        <v>0.52369496930999959</v>
      </c>
      <c r="G13" s="185">
        <v>0.26587837963999994</v>
      </c>
      <c r="H13" s="354">
        <v>0.36411744577999988</v>
      </c>
      <c r="I13" s="354">
        <v>0.16859362486234125</v>
      </c>
      <c r="J13" s="354">
        <v>0.10721598460347173</v>
      </c>
      <c r="K13" s="354">
        <v>9.0132042077720478E-2</v>
      </c>
      <c r="L13" s="410">
        <v>7.3098230945814066E-2</v>
      </c>
      <c r="M13" s="410">
        <v>3.6432477075647965E-2</v>
      </c>
    </row>
    <row r="14" spans="1:13" s="173" customFormat="1" x14ac:dyDescent="0.25">
      <c r="D14" s="360">
        <f t="shared" ref="D14:L14" si="1">D13/C13-1</f>
        <v>0.52325446006960186</v>
      </c>
      <c r="E14" s="360">
        <f t="shared" si="1"/>
        <v>-0.21401059935622491</v>
      </c>
      <c r="F14" s="360">
        <f t="shared" si="1"/>
        <v>0.41470739644874377</v>
      </c>
      <c r="G14" s="360">
        <f t="shared" si="1"/>
        <v>-0.4923029717273949</v>
      </c>
      <c r="H14" s="360">
        <f t="shared" si="1"/>
        <v>0.36948873493593548</v>
      </c>
      <c r="I14" s="360">
        <f t="shared" si="1"/>
        <v>-0.53698009580072226</v>
      </c>
      <c r="J14" s="360">
        <f>J13/I13-1</f>
        <v>-0.36405670919635968</v>
      </c>
      <c r="K14" s="360">
        <f t="shared" si="1"/>
        <v>-0.15934137609177035</v>
      </c>
      <c r="L14" s="360">
        <f t="shared" si="1"/>
        <v>-0.18898729840402628</v>
      </c>
      <c r="M14" s="360">
        <f>M13/L13-1</f>
        <v>-0.50159563912491301</v>
      </c>
    </row>
    <row r="15" spans="1:13" s="173" customFormat="1" x14ac:dyDescent="0.25">
      <c r="L15" s="186"/>
    </row>
    <row r="16" spans="1:13" x14ac:dyDescent="0.25">
      <c r="A16" s="17" t="s">
        <v>723</v>
      </c>
      <c r="B16" s="185"/>
      <c r="C16" s="354">
        <v>-2.8188590000000002</v>
      </c>
      <c r="D16" s="354">
        <v>-2.9402579999999996</v>
      </c>
      <c r="E16" s="354">
        <v>-3.0894620000000002</v>
      </c>
      <c r="F16" s="354">
        <v>-3.10124174743</v>
      </c>
      <c r="G16" s="185">
        <v>-3.1796954554699997</v>
      </c>
      <c r="H16" s="354">
        <v>-2.7992048731499981</v>
      </c>
      <c r="I16" s="354">
        <v>-2.8992048731499982</v>
      </c>
      <c r="J16" s="354">
        <v>-2.9992048731499983</v>
      </c>
      <c r="K16" s="354">
        <v>-3.0992048731499979</v>
      </c>
      <c r="L16" s="410">
        <v>-3.199204873149998</v>
      </c>
      <c r="M16" s="185">
        <v>-3.2992048731499981</v>
      </c>
    </row>
    <row r="17" spans="1:13" x14ac:dyDescent="0.25">
      <c r="D17" s="360">
        <f t="shared" ref="D17:M17" si="2">D16/C16-1</f>
        <v>4.30667160010485E-2</v>
      </c>
      <c r="E17" s="360">
        <f t="shared" si="2"/>
        <v>5.0745206713152635E-2</v>
      </c>
      <c r="F17" s="360">
        <f t="shared" si="2"/>
        <v>3.8128798573990874E-3</v>
      </c>
      <c r="G17" s="360">
        <f t="shared" si="2"/>
        <v>2.5297514489160511E-2</v>
      </c>
      <c r="H17" s="360">
        <f t="shared" si="2"/>
        <v>-0.11966258644847483</v>
      </c>
      <c r="I17" s="360">
        <f t="shared" si="2"/>
        <v>3.5724430519252559E-2</v>
      </c>
      <c r="J17" s="360">
        <f t="shared" si="2"/>
        <v>3.4492215754090338E-2</v>
      </c>
      <c r="K17" s="360">
        <f t="shared" si="2"/>
        <v>3.3342170418312111E-2</v>
      </c>
      <c r="L17" s="360">
        <f t="shared" si="2"/>
        <v>3.2266340591534215E-2</v>
      </c>
      <c r="M17" s="360">
        <f t="shared" si="2"/>
        <v>3.1257766840526946E-2</v>
      </c>
    </row>
    <row r="18" spans="1:13" x14ac:dyDescent="0.25">
      <c r="L18" s="186"/>
    </row>
    <row r="19" spans="1:13" x14ac:dyDescent="0.25">
      <c r="L19" s="186"/>
    </row>
    <row r="20" spans="1:13" x14ac:dyDescent="0.25">
      <c r="A20" s="17" t="s">
        <v>725</v>
      </c>
      <c r="B20" s="186"/>
      <c r="C20" s="354">
        <v>-3.8704460000000003</v>
      </c>
      <c r="D20" s="354">
        <v>-4.0467209999999998</v>
      </c>
      <c r="E20" s="354">
        <v>-4.6896100000000009</v>
      </c>
      <c r="F20" s="354">
        <v>-4.1139285578899996</v>
      </c>
      <c r="G20" s="185">
        <v>-3.7355489547500014</v>
      </c>
      <c r="H20" s="354">
        <v>-3.9498964378000005</v>
      </c>
      <c r="I20" s="354">
        <v>-4.0710125288283425</v>
      </c>
      <c r="J20" s="354">
        <v>-4.2454883448749063</v>
      </c>
      <c r="K20" s="354">
        <v>-4.3953382994965828</v>
      </c>
      <c r="L20" s="410">
        <v>-4.5912749585917831</v>
      </c>
      <c r="M20" s="185">
        <v>-4.7818849114198798</v>
      </c>
    </row>
    <row r="21" spans="1:13" x14ac:dyDescent="0.25">
      <c r="D21" s="360">
        <f t="shared" ref="D21:M21" si="3">D20/C20-1</f>
        <v>4.5543846884829264E-2</v>
      </c>
      <c r="E21" s="360">
        <f t="shared" si="3"/>
        <v>0.15886664783660676</v>
      </c>
      <c r="F21" s="360">
        <f t="shared" si="3"/>
        <v>-0.12275678406306734</v>
      </c>
      <c r="G21" s="360">
        <f t="shared" si="3"/>
        <v>-9.1975248917318564E-2</v>
      </c>
      <c r="H21" s="360">
        <f t="shared" si="3"/>
        <v>5.7380450810968986E-2</v>
      </c>
      <c r="I21" s="360">
        <f t="shared" si="3"/>
        <v>3.0663105460000617E-2</v>
      </c>
      <c r="J21" s="360">
        <f t="shared" si="3"/>
        <v>4.2858088696862584E-2</v>
      </c>
      <c r="K21" s="360">
        <f t="shared" si="3"/>
        <v>3.529628218213654E-2</v>
      </c>
      <c r="L21" s="360">
        <f t="shared" si="3"/>
        <v>4.4578288573974278E-2</v>
      </c>
      <c r="M21" s="360">
        <f t="shared" si="3"/>
        <v>4.1515691076484673E-2</v>
      </c>
    </row>
    <row r="22" spans="1:13" x14ac:dyDescent="0.25">
      <c r="L22" s="186"/>
    </row>
    <row r="23" spans="1:13" x14ac:dyDescent="0.25">
      <c r="L23" s="186"/>
    </row>
    <row r="24" spans="1:13" x14ac:dyDescent="0.25">
      <c r="A24" s="17" t="s">
        <v>726</v>
      </c>
      <c r="B24" s="187"/>
      <c r="C24" s="354">
        <v>6.0358910000000003</v>
      </c>
      <c r="D24" s="354">
        <v>6.3073170000000003</v>
      </c>
      <c r="E24" s="354">
        <v>7.9412669999999999</v>
      </c>
      <c r="F24" s="354">
        <v>8.1052398519600022</v>
      </c>
      <c r="G24" s="185">
        <v>8.845801165699994</v>
      </c>
      <c r="H24" s="354">
        <v>6.7926313048299987</v>
      </c>
      <c r="I24" s="354">
        <v>6.7731847780736283</v>
      </c>
      <c r="J24" s="354">
        <v>6.7538883988635732</v>
      </c>
      <c r="K24" s="354">
        <v>6.7347333667531766</v>
      </c>
      <c r="L24" s="410">
        <v>6.7157063324984021</v>
      </c>
      <c r="M24" s="434">
        <v>6.6966240975068487</v>
      </c>
    </row>
    <row r="25" spans="1:13" x14ac:dyDescent="0.25">
      <c r="D25" s="360">
        <f t="shared" ref="D25:M25" si="4">D24/C24-1</f>
        <v>4.4968671568124785E-2</v>
      </c>
      <c r="E25" s="360">
        <f t="shared" si="4"/>
        <v>0.25905626750645316</v>
      </c>
      <c r="F25" s="360">
        <f t="shared" si="4"/>
        <v>2.0648197820323011E-2</v>
      </c>
      <c r="G25" s="360">
        <f t="shared" si="4"/>
        <v>9.1368217013455766E-2</v>
      </c>
      <c r="H25" s="360">
        <f t="shared" si="4"/>
        <v>-0.23210671621596668</v>
      </c>
      <c r="I25" s="360">
        <f t="shared" si="4"/>
        <v>-2.8628856600155794E-3</v>
      </c>
      <c r="J25" s="360">
        <f t="shared" si="4"/>
        <v>-2.8489373673256102E-3</v>
      </c>
      <c r="K25" s="360">
        <f t="shared" si="4"/>
        <v>-2.8361487456055601E-3</v>
      </c>
      <c r="L25" s="360">
        <f t="shared" si="4"/>
        <v>-2.825209732682743E-3</v>
      </c>
      <c r="M25" s="360">
        <f t="shared" si="4"/>
        <v>-2.8414338040976261E-3</v>
      </c>
    </row>
    <row r="29" spans="1:13" x14ac:dyDescent="0.25">
      <c r="H29" s="321"/>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4:X51"/>
  <sheetViews>
    <sheetView workbookViewId="0">
      <selection activeCell="M10" sqref="M10"/>
    </sheetView>
  </sheetViews>
  <sheetFormatPr defaultColWidth="9.140625" defaultRowHeight="11.25" x14ac:dyDescent="0.2"/>
  <cols>
    <col min="1" max="1" width="9.140625" style="4"/>
    <col min="2" max="2" width="33.5703125" style="4" bestFit="1" customWidth="1"/>
    <col min="3" max="4" width="9.140625" style="4"/>
    <col min="5" max="5" width="9.28515625" style="4" bestFit="1" customWidth="1"/>
    <col min="6" max="7" width="9.140625" style="4"/>
    <col min="8" max="10" width="9.42578125" style="4" bestFit="1" customWidth="1"/>
    <col min="11" max="12" width="9.42578125" style="4" customWidth="1"/>
    <col min="13" max="13" width="9.140625" style="4"/>
    <col min="14" max="14" width="29.85546875" style="4" customWidth="1"/>
    <col min="15" max="18" width="10.28515625" style="4" bestFit="1" customWidth="1"/>
    <col min="19" max="19" width="13.28515625" style="4" customWidth="1"/>
    <col min="20" max="22" width="9.7109375" style="4" bestFit="1" customWidth="1"/>
    <col min="23" max="24" width="9.42578125" style="4" bestFit="1" customWidth="1"/>
    <col min="25" max="16384" width="9.140625" style="4"/>
  </cols>
  <sheetData>
    <row r="4" spans="2:24" x14ac:dyDescent="0.2">
      <c r="B4" s="98"/>
      <c r="C4" s="98"/>
      <c r="D4" s="98"/>
      <c r="E4" s="98"/>
      <c r="F4" s="98"/>
      <c r="G4" s="98"/>
      <c r="H4" s="98"/>
      <c r="I4" s="98"/>
      <c r="J4" s="98"/>
      <c r="K4" s="98"/>
      <c r="L4" s="98"/>
      <c r="N4" s="3"/>
      <c r="O4" s="12"/>
      <c r="P4" s="12"/>
      <c r="S4" s="5"/>
    </row>
    <row r="5" spans="2:24" x14ac:dyDescent="0.2">
      <c r="B5" s="104"/>
      <c r="C5" s="211">
        <v>2019</v>
      </c>
      <c r="D5" s="211">
        <v>2020</v>
      </c>
      <c r="E5" s="211">
        <v>2021</v>
      </c>
      <c r="F5" s="211">
        <v>2022</v>
      </c>
      <c r="G5" s="211">
        <v>2023</v>
      </c>
      <c r="H5" s="211">
        <v>2024</v>
      </c>
      <c r="I5" s="211">
        <v>2025</v>
      </c>
      <c r="J5" s="211">
        <v>2026</v>
      </c>
      <c r="K5" s="211">
        <v>2027</v>
      </c>
      <c r="L5" s="211">
        <v>2028</v>
      </c>
      <c r="N5" s="208"/>
      <c r="O5" s="211">
        <v>2019</v>
      </c>
      <c r="P5" s="211">
        <v>2020</v>
      </c>
      <c r="Q5" s="211">
        <v>2021</v>
      </c>
      <c r="R5" s="211">
        <v>2022</v>
      </c>
      <c r="S5" s="211">
        <v>2023</v>
      </c>
      <c r="T5" s="211">
        <v>2024</v>
      </c>
      <c r="U5" s="211">
        <v>2025</v>
      </c>
      <c r="V5" s="211">
        <v>2026</v>
      </c>
      <c r="W5" s="211">
        <v>2027</v>
      </c>
      <c r="X5" s="211">
        <v>2028</v>
      </c>
    </row>
    <row r="6" spans="2:24" x14ac:dyDescent="0.2">
      <c r="B6" s="216"/>
      <c r="C6" s="206" t="s">
        <v>319</v>
      </c>
      <c r="D6" s="206" t="s">
        <v>319</v>
      </c>
      <c r="E6" s="206" t="s">
        <v>319</v>
      </c>
      <c r="F6" s="206" t="s">
        <v>319</v>
      </c>
      <c r="G6" s="206" t="s">
        <v>319</v>
      </c>
      <c r="H6" s="206" t="s">
        <v>319</v>
      </c>
      <c r="I6" s="206" t="s">
        <v>319</v>
      </c>
      <c r="J6" s="206" t="s">
        <v>319</v>
      </c>
      <c r="K6" s="206" t="s">
        <v>319</v>
      </c>
      <c r="L6" s="206" t="s">
        <v>319</v>
      </c>
      <c r="O6" s="206" t="s">
        <v>322</v>
      </c>
      <c r="P6" s="206" t="s">
        <v>322</v>
      </c>
      <c r="Q6" s="206" t="s">
        <v>322</v>
      </c>
      <c r="R6" s="206" t="s">
        <v>322</v>
      </c>
      <c r="S6" s="206" t="s">
        <v>322</v>
      </c>
      <c r="T6" s="206" t="s">
        <v>322</v>
      </c>
      <c r="U6" s="206" t="s">
        <v>322</v>
      </c>
      <c r="V6" s="206" t="s">
        <v>322</v>
      </c>
      <c r="W6" s="206" t="s">
        <v>322</v>
      </c>
      <c r="X6" s="206" t="s">
        <v>322</v>
      </c>
    </row>
    <row r="7" spans="2:24" ht="15" x14ac:dyDescent="0.25">
      <c r="B7" s="175" t="s">
        <v>721</v>
      </c>
      <c r="C7" s="98"/>
      <c r="D7" s="10"/>
      <c r="E7" s="10"/>
      <c r="F7" s="98"/>
      <c r="G7" s="10"/>
      <c r="H7" s="10"/>
      <c r="I7" s="10"/>
      <c r="J7" s="10"/>
      <c r="K7" s="10"/>
      <c r="L7" s="10"/>
      <c r="N7" s="225" t="s">
        <v>721</v>
      </c>
      <c r="O7" s="1"/>
      <c r="P7" s="1"/>
      <c r="Q7" s="1"/>
      <c r="R7" s="1"/>
      <c r="S7" s="1"/>
      <c r="T7" s="1"/>
      <c r="U7" s="1"/>
      <c r="V7" s="1"/>
      <c r="W7" s="1"/>
      <c r="X7" s="1"/>
    </row>
    <row r="8" spans="2:24" x14ac:dyDescent="0.2">
      <c r="B8" s="3" t="s">
        <v>314</v>
      </c>
      <c r="C8" s="122">
        <f t="shared" ref="C8:C18" si="0">O8/C$37*1000</f>
        <v>-5389.4385432473446</v>
      </c>
      <c r="D8" s="122">
        <f t="shared" ref="D8:D18" si="1">P8/D$37*1000</f>
        <v>-5114.8801171374535</v>
      </c>
      <c r="E8" s="122">
        <f t="shared" ref="E8:E18" si="2">Q8/E$37*1000</f>
        <v>-5943.5199587052884</v>
      </c>
      <c r="F8" s="122">
        <f t="shared" ref="F8:F18" si="3">R8/F$37*1000</f>
        <v>-6202.7507946336436</v>
      </c>
      <c r="G8" s="122">
        <f t="shared" ref="G8:G18" si="4">S8/G$37*1000</f>
        <v>-2466.5958957634866</v>
      </c>
      <c r="H8" s="122">
        <f t="shared" ref="H8:H18" si="5">T8/H$37*1000</f>
        <v>-2245.436041980452</v>
      </c>
      <c r="I8" s="122">
        <f t="shared" ref="I8:I18" si="6">U8/I$37*1000</f>
        <v>-2870.4268171195413</v>
      </c>
      <c r="J8" s="122">
        <f t="shared" ref="J8:J18" si="7">V8/J$37*1000</f>
        <v>-2948.921625620841</v>
      </c>
      <c r="K8" s="122">
        <f t="shared" ref="K8:K18" si="8">W8/K$37*1000</f>
        <v>-3021.7425654759932</v>
      </c>
      <c r="L8" s="122">
        <f t="shared" ref="L8:L18" si="9">X8/L$37*1000</f>
        <v>-3064.1365516714127</v>
      </c>
      <c r="N8" s="3" t="s">
        <v>314</v>
      </c>
      <c r="O8" s="347">
        <f>VLOOKUP(linkki,Toimintakate,7)</f>
        <v>-88791</v>
      </c>
      <c r="P8" s="212">
        <f>VLOOKUP(linkki,Toimintakate,8)</f>
        <v>-83838</v>
      </c>
      <c r="Q8" s="212">
        <f>VLOOKUP(linkki,Toimintakate,9)</f>
        <v>-97871.943159999995</v>
      </c>
      <c r="R8" s="212">
        <f>VLOOKUP(linkki,Toimintakate,10)</f>
        <v>-102177.91384000001</v>
      </c>
      <c r="S8" s="212">
        <f>VLOOKUP(linkki,Toimintakate,11)</f>
        <v>-40464.505669999999</v>
      </c>
      <c r="T8" s="212">
        <f>VLOOKUP(linkki,Toimintakate,12)</f>
        <v>-35715.905683741075</v>
      </c>
      <c r="U8" s="212">
        <f>VLOOKUP(linkki,Toimintakate,13)</f>
        <v>-45338.391576403155</v>
      </c>
      <c r="V8" s="212">
        <f>VLOOKUP(linkki,Toimintakate,14)</f>
        <v>-46274.478149242241</v>
      </c>
      <c r="W8" s="212">
        <f>VLOOKUP(linkki,Toimintakate,15)</f>
        <v>-47124.075308598112</v>
      </c>
      <c r="X8" s="212">
        <f>VLOOKUP(linkki,Toimintakate,16)</f>
        <v>-47785.20952331568</v>
      </c>
    </row>
    <row r="9" spans="2:24" x14ac:dyDescent="0.2">
      <c r="B9" s="1" t="s">
        <v>299</v>
      </c>
      <c r="C9" s="122">
        <f t="shared" si="0"/>
        <v>3823.5508345978756</v>
      </c>
      <c r="D9" s="122">
        <f t="shared" si="1"/>
        <v>3913.7331462387897</v>
      </c>
      <c r="E9" s="122">
        <f t="shared" si="2"/>
        <v>4059.7915406570728</v>
      </c>
      <c r="F9" s="122">
        <f t="shared" si="3"/>
        <v>4212.902869544102</v>
      </c>
      <c r="G9" s="122">
        <f t="shared" si="4"/>
        <v>2374.0385620237735</v>
      </c>
      <c r="H9" s="122">
        <f t="shared" si="5"/>
        <v>2455.9074959645991</v>
      </c>
      <c r="I9" s="122">
        <f t="shared" si="6"/>
        <v>2599.8490465857358</v>
      </c>
      <c r="J9" s="122">
        <f t="shared" si="7"/>
        <v>2729.2517012229196</v>
      </c>
      <c r="K9" s="122">
        <f t="shared" si="8"/>
        <v>2840.9214335891925</v>
      </c>
      <c r="L9" s="122">
        <f t="shared" si="9"/>
        <v>2943.0086727755424</v>
      </c>
      <c r="N9" s="1" t="s">
        <v>299</v>
      </c>
      <c r="O9" s="214">
        <f>VLOOKUP(linkki,Verotulot,26)</f>
        <v>62993</v>
      </c>
      <c r="P9" s="214">
        <f>VLOOKUP(linkki,Verotulot,31)</f>
        <v>64150</v>
      </c>
      <c r="Q9" s="214">
        <f>VLOOKUP(linkki,Verotulot,36)</f>
        <v>66852.587300000014</v>
      </c>
      <c r="R9" s="214">
        <f>VLOOKUP(linkki,Verotulot,41)</f>
        <v>69399.148969999995</v>
      </c>
      <c r="S9" s="214">
        <f>VLOOKUP(linkki,Verotulot,46)</f>
        <v>38946.102610000002</v>
      </c>
      <c r="T9" s="214">
        <f>VLOOKUP(linkki,Verotulot,51)</f>
        <v>39063.664630812913</v>
      </c>
      <c r="U9" s="214">
        <f>VLOOKUP(linkki,Verotulot,56)</f>
        <v>41064.615690821694</v>
      </c>
      <c r="V9" s="214">
        <f>VLOOKUP(linkki,Verotulot,61)</f>
        <v>42827.417695590048</v>
      </c>
      <c r="W9" s="214">
        <f>VLOOKUP(linkki,Verotulot,66)</f>
        <v>44304.169756823452</v>
      </c>
      <c r="X9" s="214">
        <f>VLOOKUP(linkki,Verotulot,71)</f>
        <v>45896.220251934581</v>
      </c>
    </row>
    <row r="10" spans="2:24" x14ac:dyDescent="0.2">
      <c r="B10" s="19" t="s">
        <v>296</v>
      </c>
      <c r="C10" s="122">
        <f t="shared" si="0"/>
        <v>3510.773899848255</v>
      </c>
      <c r="D10" s="122">
        <f t="shared" si="1"/>
        <v>3605.8812763101705</v>
      </c>
      <c r="E10" s="122">
        <f t="shared" si="2"/>
        <v>3698.131875265683</v>
      </c>
      <c r="F10" s="122">
        <f t="shared" si="3"/>
        <v>3819.055183633825</v>
      </c>
      <c r="G10" s="122">
        <f t="shared" si="4"/>
        <v>2016.7505510515084</v>
      </c>
      <c r="H10" s="122">
        <f t="shared" si="5"/>
        <v>2090.6100652320374</v>
      </c>
      <c r="I10" s="122">
        <f t="shared" si="6"/>
        <v>2226.2457656759861</v>
      </c>
      <c r="J10" s="122">
        <f t="shared" si="7"/>
        <v>2341.2655055974342</v>
      </c>
      <c r="K10" s="122">
        <f t="shared" si="8"/>
        <v>2436.2195301613078</v>
      </c>
      <c r="L10" s="122">
        <f t="shared" si="9"/>
        <v>2526.4627609665222</v>
      </c>
      <c r="N10" s="19" t="s">
        <v>296</v>
      </c>
      <c r="O10" s="20">
        <f>VLOOKUP(linkki,Verotulot,23)</f>
        <v>57840</v>
      </c>
      <c r="P10" s="20">
        <f>VLOOKUP(linkki,Verotulot,28)</f>
        <v>59104</v>
      </c>
      <c r="Q10" s="20">
        <f>VLOOKUP(linkki,Verotulot,33)</f>
        <v>60897.137590000006</v>
      </c>
      <c r="R10" s="20">
        <f>VLOOKUP(linkki,Verotulot,38)</f>
        <v>62911.296040000001</v>
      </c>
      <c r="S10" s="20">
        <f>VLOOKUP(linkki,Verotulot,43)</f>
        <v>33084.79279</v>
      </c>
      <c r="T10" s="20">
        <f>VLOOKUP(linkki,Verotulot,48)</f>
        <v>33253.243697580787</v>
      </c>
      <c r="U10" s="20">
        <f>VLOOKUP(linkki,Verotulot,53)</f>
        <v>35163.551868852199</v>
      </c>
      <c r="V10" s="20">
        <f>VLOOKUP(linkki,Verotulot,58)</f>
        <v>36739.138313834934</v>
      </c>
      <c r="W10" s="20">
        <f>VLOOKUP(linkki,Verotulot,63)</f>
        <v>37992.84357286559</v>
      </c>
      <c r="X10" s="20">
        <f>VLOOKUP(linkki,Verotulot,68)</f>
        <v>39400.186757272917</v>
      </c>
    </row>
    <row r="11" spans="2:24" x14ac:dyDescent="0.2">
      <c r="B11" s="19" t="s">
        <v>297</v>
      </c>
      <c r="C11" s="122">
        <f t="shared" si="0"/>
        <v>96.874051593323216</v>
      </c>
      <c r="D11" s="122">
        <f t="shared" si="1"/>
        <v>108.16911719846257</v>
      </c>
      <c r="E11" s="122">
        <f t="shared" si="2"/>
        <v>148.12247100261129</v>
      </c>
      <c r="F11" s="122">
        <f t="shared" si="3"/>
        <v>161.68864930492322</v>
      </c>
      <c r="G11" s="122">
        <f t="shared" si="4"/>
        <v>120.73055166107893</v>
      </c>
      <c r="H11" s="122">
        <f t="shared" si="5"/>
        <v>104.48535359475902</v>
      </c>
      <c r="I11" s="122">
        <f t="shared" si="6"/>
        <v>106.48226417787755</v>
      </c>
      <c r="J11" s="122">
        <f t="shared" si="7"/>
        <v>112.38593174519086</v>
      </c>
      <c r="K11" s="122">
        <f t="shared" si="8"/>
        <v>119.84448713267332</v>
      </c>
      <c r="L11" s="122">
        <f t="shared" si="9"/>
        <v>124.04635177299569</v>
      </c>
      <c r="N11" s="19" t="s">
        <v>297</v>
      </c>
      <c r="O11" s="20">
        <f>VLOOKUP(linkki,Verotulot,25)</f>
        <v>1596</v>
      </c>
      <c r="P11" s="20">
        <f>VLOOKUP(linkki,Verotulot,30)</f>
        <v>1773</v>
      </c>
      <c r="Q11" s="20">
        <f>VLOOKUP(linkki,Verotulot,35)</f>
        <v>2439.1327299999998</v>
      </c>
      <c r="R11" s="20">
        <f>VLOOKUP(linkki,Verotulot,40)</f>
        <v>2663.49712</v>
      </c>
      <c r="S11" s="20">
        <f>VLOOKUP(linkki,Verotulot,45)</f>
        <v>1980.5846999999999</v>
      </c>
      <c r="T11" s="20">
        <f>VLOOKUP(linkki,Verotulot,50)</f>
        <v>1661.944034278237</v>
      </c>
      <c r="U11" s="20">
        <f>VLOOKUP(linkki,Verotulot,55)</f>
        <v>1681.8873626895759</v>
      </c>
      <c r="V11" s="20">
        <f>VLOOKUP(linkki,Verotulot,60)</f>
        <v>1763.5600409455351</v>
      </c>
      <c r="W11" s="20">
        <f>VLOOKUP(linkki,Verotulot,65)</f>
        <v>1868.9747768340403</v>
      </c>
      <c r="X11" s="20">
        <f>VLOOKUP(linkki,Verotulot,70)</f>
        <v>1934.5028558998679</v>
      </c>
    </row>
    <row r="12" spans="2:24" x14ac:dyDescent="0.2">
      <c r="B12" s="19" t="s">
        <v>300</v>
      </c>
      <c r="C12" s="122">
        <f t="shared" si="0"/>
        <v>215.90288315629741</v>
      </c>
      <c r="D12" s="122">
        <f t="shared" si="1"/>
        <v>199.68275273015678</v>
      </c>
      <c r="E12" s="122">
        <f t="shared" si="2"/>
        <v>213.53719438877755</v>
      </c>
      <c r="F12" s="122">
        <f t="shared" si="3"/>
        <v>232.15903660535423</v>
      </c>
      <c r="G12" s="122">
        <f t="shared" si="4"/>
        <v>236.55745931118562</v>
      </c>
      <c r="H12" s="122">
        <f t="shared" si="5"/>
        <v>260.81207713780265</v>
      </c>
      <c r="I12" s="122">
        <f t="shared" si="6"/>
        <v>267.12101673187209</v>
      </c>
      <c r="J12" s="122">
        <f t="shared" si="7"/>
        <v>275.60026388029399</v>
      </c>
      <c r="K12" s="122">
        <f t="shared" si="8"/>
        <v>284.85741629521164</v>
      </c>
      <c r="L12" s="122">
        <f t="shared" si="9"/>
        <v>292.49956003602421</v>
      </c>
      <c r="N12" s="19" t="s">
        <v>300</v>
      </c>
      <c r="O12" s="20">
        <f>VLOOKUP(linkki,Verotulot,24)</f>
        <v>3557</v>
      </c>
      <c r="P12" s="20">
        <f>VLOOKUP(linkki,Verotulot,29)</f>
        <v>3273</v>
      </c>
      <c r="Q12" s="20">
        <f>VLOOKUP(linkki,Verotulot,34)</f>
        <v>3516.3169800000001</v>
      </c>
      <c r="R12" s="20">
        <f>VLOOKUP(linkki,Verotulot,39)</f>
        <v>3824.35581</v>
      </c>
      <c r="S12" s="20">
        <f>VLOOKUP(linkki,Verotulot,44)</f>
        <v>3880.7251200000001</v>
      </c>
      <c r="T12" s="20">
        <f>VLOOKUP(linkki,Verotulot,49)</f>
        <v>4148.4768989538888</v>
      </c>
      <c r="U12" s="20">
        <f>VLOOKUP(linkki,Verotulot,54)</f>
        <v>4219.17645927992</v>
      </c>
      <c r="V12" s="20">
        <f>VLOOKUP(linkki,Verotulot,59)</f>
        <v>4324.7193408095736</v>
      </c>
      <c r="W12" s="20">
        <f>VLOOKUP(linkki,Verotulot,64)</f>
        <v>4442.351407123826</v>
      </c>
      <c r="X12" s="20">
        <f>VLOOKUP(linkki,Verotulot,69)</f>
        <v>4561.5306387617975</v>
      </c>
    </row>
    <row r="13" spans="2:24" x14ac:dyDescent="0.2">
      <c r="B13" s="1" t="s">
        <v>298</v>
      </c>
      <c r="C13" s="122">
        <f t="shared" si="0"/>
        <v>1908.8922610015175</v>
      </c>
      <c r="D13" s="122">
        <f t="shared" si="1"/>
        <v>2250.498551825729</v>
      </c>
      <c r="E13" s="122">
        <f t="shared" si="2"/>
        <v>2097.5765901990926</v>
      </c>
      <c r="F13" s="122">
        <f t="shared" si="3"/>
        <v>2180.8087375126911</v>
      </c>
      <c r="G13" s="122">
        <f t="shared" si="4"/>
        <v>582.60163183627412</v>
      </c>
      <c r="H13" s="122">
        <f t="shared" si="5"/>
        <v>361.23416525883914</v>
      </c>
      <c r="I13" s="122">
        <f t="shared" si="6"/>
        <v>404.57395918709761</v>
      </c>
      <c r="J13" s="122">
        <f t="shared" si="7"/>
        <v>427.66138502714955</v>
      </c>
      <c r="K13" s="122">
        <f t="shared" si="8"/>
        <v>447.92821600373492</v>
      </c>
      <c r="L13" s="122">
        <f t="shared" si="9"/>
        <v>508.89121480593622</v>
      </c>
      <c r="N13" s="1" t="s">
        <v>298</v>
      </c>
      <c r="O13" s="215">
        <f>VLOOKUP(linkki,valtionosuudet,26)</f>
        <v>31449</v>
      </c>
      <c r="P13" s="215">
        <f>VLOOKUP(linkki,valtionosuudet,33)</f>
        <v>36887.921762975522</v>
      </c>
      <c r="Q13" s="215">
        <f>VLOOKUP(linkki,valtionosuudet,40)</f>
        <v>34540.793710808459</v>
      </c>
      <c r="R13" s="215">
        <f>VLOOKUP(linkki,valtionosuudet,47)</f>
        <v>35924.462333046562</v>
      </c>
      <c r="S13" s="215">
        <f>VLOOKUP(linkki,valtionosuudet,55)</f>
        <v>9557.5797702740765</v>
      </c>
      <c r="T13" s="215">
        <f>VLOOKUP(linkki,valtionosuudet,63)</f>
        <v>5745.7906326070961</v>
      </c>
      <c r="U13" s="215">
        <f>VLOOKUP(linkki,valtionosuudet,69)</f>
        <v>6390.2456853602062</v>
      </c>
      <c r="V13" s="215">
        <f>VLOOKUP(linkki,valtionosuudet,77)</f>
        <v>6710.8624538460308</v>
      </c>
      <c r="W13" s="215">
        <f>VLOOKUP(linkki,valtionosuudet,83)</f>
        <v>6985.4405285782459</v>
      </c>
      <c r="X13" s="215">
        <f>VLOOKUP(linkki,valtionosuudet,89)</f>
        <v>7936.1584948985756</v>
      </c>
    </row>
    <row r="14" spans="2:24" x14ac:dyDescent="0.2">
      <c r="B14" s="207" t="s">
        <v>733</v>
      </c>
      <c r="C14" s="122">
        <f>O14/C$37*1000</f>
        <v>24.643399089529591</v>
      </c>
      <c r="D14" s="122">
        <f t="shared" si="1"/>
        <v>29.101336099078761</v>
      </c>
      <c r="E14" s="122">
        <f t="shared" si="2"/>
        <v>-3.1522620999574911</v>
      </c>
      <c r="F14" s="122">
        <f t="shared" si="3"/>
        <v>0.64554300977356893</v>
      </c>
      <c r="G14" s="122">
        <f t="shared" si="4"/>
        <v>-91.399141115513558</v>
      </c>
      <c r="H14" s="122">
        <f t="shared" si="5"/>
        <v>-127.75682132528604</v>
      </c>
      <c r="I14" s="122">
        <f t="shared" si="6"/>
        <v>-163.15289648622982</v>
      </c>
      <c r="J14" s="122">
        <f t="shared" si="7"/>
        <v>-202.5873056334438</v>
      </c>
      <c r="K14" s="122">
        <f t="shared" si="8"/>
        <v>-210.99287612264393</v>
      </c>
      <c r="L14" s="122">
        <f t="shared" si="9"/>
        <v>-217.33430520309258</v>
      </c>
      <c r="N14" s="207" t="s">
        <v>733</v>
      </c>
      <c r="O14" s="212">
        <f>VLOOKUP(linkki,Rahoitusnetto,7)</f>
        <v>406</v>
      </c>
      <c r="P14" s="212">
        <f>VLOOKUP(linkki,Rahoitusnetto,8)</f>
        <v>477</v>
      </c>
      <c r="Q14" s="212">
        <f>VLOOKUP(linkki,Rahoitusnetto,9)</f>
        <v>-51.908300000000004</v>
      </c>
      <c r="R14" s="212">
        <f>VLOOKUP(linkki,Rahoitusnetto,10)</f>
        <v>10.634030000000001</v>
      </c>
      <c r="S14" s="212">
        <f>VLOOKUP(linkki,Rahoitusnetto,11)</f>
        <v>-1499.40291</v>
      </c>
      <c r="T14" s="212">
        <f>VLOOKUP(linkki,Rahoitusnetto,12)</f>
        <v>-2032.1</v>
      </c>
      <c r="U14" s="212">
        <f>VLOOKUP(linkki,Rahoitusnetto,13)</f>
        <v>-2577</v>
      </c>
      <c r="V14" s="212">
        <f>VLOOKUP(linkki,Rahoitusnetto,14)</f>
        <v>-3179</v>
      </c>
      <c r="W14" s="212">
        <f>VLOOKUP(linkki,Rahoitusnetto,15)</f>
        <v>-3290.4339031326322</v>
      </c>
      <c r="X14" s="212">
        <f>VLOOKUP(linkki,Rahoitusnetto,16)</f>
        <v>-3389.3284896422288</v>
      </c>
    </row>
    <row r="15" spans="2:24" x14ac:dyDescent="0.2">
      <c r="B15" s="3" t="s">
        <v>302</v>
      </c>
      <c r="C15" s="122">
        <f t="shared" si="0"/>
        <v>367.64795144157813</v>
      </c>
      <c r="D15" s="122">
        <f t="shared" si="1"/>
        <v>1078.4529170261437</v>
      </c>
      <c r="E15" s="122">
        <f t="shared" si="2"/>
        <v>210.69591005091866</v>
      </c>
      <c r="F15" s="122">
        <f t="shared" si="3"/>
        <v>191.60635543292349</v>
      </c>
      <c r="G15" s="122">
        <f t="shared" si="4"/>
        <v>398.64515698104725</v>
      </c>
      <c r="H15" s="122">
        <f t="shared" si="5"/>
        <v>443.94879791769978</v>
      </c>
      <c r="I15" s="122">
        <f t="shared" si="6"/>
        <v>-29.156707832937936</v>
      </c>
      <c r="J15" s="122">
        <f t="shared" si="7"/>
        <v>5.4041549957836832</v>
      </c>
      <c r="K15" s="122">
        <f t="shared" si="8"/>
        <v>56.114207994290069</v>
      </c>
      <c r="L15" s="122">
        <f t="shared" si="9"/>
        <v>170.42903070697326</v>
      </c>
      <c r="N15" s="3" t="s">
        <v>302</v>
      </c>
      <c r="O15" s="41">
        <f t="shared" ref="O15:V15" si="10">O8+O9+O13+O14</f>
        <v>6057</v>
      </c>
      <c r="P15" s="41">
        <f t="shared" si="10"/>
        <v>17676.921762975522</v>
      </c>
      <c r="Q15" s="41">
        <f t="shared" si="10"/>
        <v>3469.5295508084773</v>
      </c>
      <c r="R15" s="41">
        <f t="shared" si="10"/>
        <v>3156.3314930465485</v>
      </c>
      <c r="S15" s="41">
        <f t="shared" si="10"/>
        <v>6539.7738002740798</v>
      </c>
      <c r="T15" s="41">
        <f t="shared" si="10"/>
        <v>7061.4495796789324</v>
      </c>
      <c r="U15" s="41">
        <f t="shared" si="10"/>
        <v>-460.53020022125474</v>
      </c>
      <c r="V15" s="41">
        <f t="shared" si="10"/>
        <v>84.802000193837557</v>
      </c>
      <c r="W15" s="41">
        <f t="shared" ref="W15:X15" si="11">W8+W9+W13+W14</f>
        <v>875.10107367095361</v>
      </c>
      <c r="X15" s="41">
        <f t="shared" si="11"/>
        <v>2657.8407338752481</v>
      </c>
    </row>
    <row r="16" spans="2:24" x14ac:dyDescent="0.2">
      <c r="B16" s="4" t="s">
        <v>315</v>
      </c>
      <c r="C16" s="122">
        <f t="shared" si="0"/>
        <v>-366.79817905918054</v>
      </c>
      <c r="D16" s="122">
        <f t="shared" si="1"/>
        <v>-253.492770422793</v>
      </c>
      <c r="E16" s="122">
        <f t="shared" si="2"/>
        <v>-264.1094376632052</v>
      </c>
      <c r="F16" s="122">
        <f t="shared" si="3"/>
        <v>-283.05684635464098</v>
      </c>
      <c r="G16" s="122">
        <f t="shared" si="4"/>
        <v>-366.27161292288935</v>
      </c>
      <c r="H16" s="122">
        <f t="shared" si="5"/>
        <v>-396.34729033069283</v>
      </c>
      <c r="I16" s="122">
        <f t="shared" si="6"/>
        <v>-417.34726179170622</v>
      </c>
      <c r="J16" s="122">
        <f t="shared" si="7"/>
        <v>-410.02421616110126</v>
      </c>
      <c r="K16" s="122">
        <f t="shared" si="8"/>
        <v>-425.88681385059249</v>
      </c>
      <c r="L16" s="122">
        <f t="shared" si="9"/>
        <v>-439.19908457838926</v>
      </c>
      <c r="N16" s="4" t="s">
        <v>315</v>
      </c>
      <c r="O16" s="215">
        <f>VLOOKUP(linkki,Poistot,7)*-1</f>
        <v>-6043</v>
      </c>
      <c r="P16" s="215">
        <f>VLOOKUP(linkki,Poistot,8)*-1</f>
        <v>-4155</v>
      </c>
      <c r="Q16" s="215">
        <f>VLOOKUP(linkki,Poistot,9)*-1</f>
        <v>-4349.0901100000001</v>
      </c>
      <c r="R16" s="215">
        <f>VLOOKUP(linkki,Poistot,10)*-1</f>
        <v>-4662.7954300000001</v>
      </c>
      <c r="S16" s="215">
        <f>VLOOKUP(linkki,Poistot,11)*-1</f>
        <v>-6008.6858099999999</v>
      </c>
      <c r="T16" s="215">
        <f>VLOOKUP(linkki,Poistot,12)*-1</f>
        <v>-6304.3</v>
      </c>
      <c r="U16" s="215">
        <f>VLOOKUP(linkki,Poistot,13)*-1</f>
        <v>-6592</v>
      </c>
      <c r="V16" s="215">
        <f>VLOOKUP(linkki,Poistot,14)*-1</f>
        <v>-6434.1</v>
      </c>
      <c r="W16" s="215">
        <f>VLOOKUP(linkki,Poistot,15)*-1</f>
        <v>-6641.7048619999905</v>
      </c>
      <c r="X16" s="215">
        <f>VLOOKUP(linkki,Poistot,16)*-1</f>
        <v>-6849.3097239999806</v>
      </c>
    </row>
    <row r="17" spans="2:24" x14ac:dyDescent="0.2">
      <c r="B17" s="4" t="s">
        <v>735</v>
      </c>
      <c r="C17" s="122">
        <f t="shared" si="0"/>
        <v>0</v>
      </c>
      <c r="D17" s="122">
        <f t="shared" si="1"/>
        <v>0</v>
      </c>
      <c r="E17" s="122">
        <f t="shared" si="2"/>
        <v>0</v>
      </c>
      <c r="F17" s="122">
        <f t="shared" si="3"/>
        <v>3.5007770290778852</v>
      </c>
      <c r="G17" s="122">
        <f t="shared" si="4"/>
        <v>0</v>
      </c>
      <c r="H17" s="122">
        <f t="shared" si="5"/>
        <v>0</v>
      </c>
      <c r="I17" s="122">
        <f t="shared" si="6"/>
        <v>0</v>
      </c>
      <c r="J17" s="122">
        <f t="shared" si="7"/>
        <v>0</v>
      </c>
      <c r="K17" s="122">
        <f t="shared" si="8"/>
        <v>0</v>
      </c>
      <c r="L17" s="122">
        <f t="shared" si="9"/>
        <v>0</v>
      </c>
      <c r="N17" s="4" t="s">
        <v>735</v>
      </c>
      <c r="O17" s="215">
        <f>VLOOKUP(linkki,satut,7)</f>
        <v>0</v>
      </c>
      <c r="P17" s="215">
        <f>VLOOKUP(linkki,satut,8)</f>
        <v>0</v>
      </c>
      <c r="Q17" s="215">
        <f>VLOOKUP(linkki,satut,9)</f>
        <v>0</v>
      </c>
      <c r="R17" s="215">
        <f>VLOOKUP(linkki,satut,10)</f>
        <v>57.668300000000002</v>
      </c>
      <c r="S17" s="215">
        <f>VLOOKUP(linkki,satut,11)</f>
        <v>0</v>
      </c>
      <c r="T17" s="215">
        <f>VLOOKUP(linkki,satut,12)</f>
        <v>0</v>
      </c>
      <c r="U17" s="215">
        <f>VLOOKUP(linkki,satut,13)</f>
        <v>0</v>
      </c>
      <c r="V17" s="215">
        <f>VLOOKUP(linkki,satut,14)</f>
        <v>0</v>
      </c>
      <c r="W17" s="215">
        <f>VLOOKUP(linkki,satut,15)</f>
        <v>0</v>
      </c>
      <c r="X17" s="215">
        <f>VLOOKUP(linkki,satut,16)</f>
        <v>0</v>
      </c>
    </row>
    <row r="18" spans="2:24" x14ac:dyDescent="0.2">
      <c r="B18" s="8" t="s">
        <v>644</v>
      </c>
      <c r="C18" s="122">
        <f t="shared" si="0"/>
        <v>0.84977238239757213</v>
      </c>
      <c r="D18" s="122">
        <f t="shared" si="1"/>
        <v>824.96014660335072</v>
      </c>
      <c r="E18" s="122">
        <f t="shared" si="2"/>
        <v>-53.413527612286558</v>
      </c>
      <c r="F18" s="122">
        <f t="shared" si="3"/>
        <v>-87.949713892639565</v>
      </c>
      <c r="G18" s="122">
        <f t="shared" si="4"/>
        <v>32.373544058157869</v>
      </c>
      <c r="H18" s="122">
        <f t="shared" si="5"/>
        <v>47.601507587006928</v>
      </c>
      <c r="I18" s="122">
        <f t="shared" si="6"/>
        <v>-446.50396962464418</v>
      </c>
      <c r="J18" s="122">
        <f t="shared" si="7"/>
        <v>-404.62006116531751</v>
      </c>
      <c r="K18" s="122">
        <f t="shared" si="8"/>
        <v>-369.7726058563025</v>
      </c>
      <c r="L18" s="122">
        <f t="shared" si="9"/>
        <v>-268.770053871416</v>
      </c>
      <c r="N18" s="8" t="s">
        <v>644</v>
      </c>
      <c r="O18" s="166">
        <f t="shared" ref="O18:V18" si="12">O15+O16+O17</f>
        <v>14</v>
      </c>
      <c r="P18" s="166">
        <f t="shared" si="12"/>
        <v>13521.921762975522</v>
      </c>
      <c r="Q18" s="166">
        <f t="shared" si="12"/>
        <v>-879.56055919152277</v>
      </c>
      <c r="R18" s="166">
        <f t="shared" si="12"/>
        <v>-1448.7956369534515</v>
      </c>
      <c r="S18" s="166">
        <f t="shared" si="12"/>
        <v>531.08799027407986</v>
      </c>
      <c r="T18" s="166">
        <f t="shared" si="12"/>
        <v>757.14957967893224</v>
      </c>
      <c r="U18" s="166">
        <f t="shared" si="12"/>
        <v>-7052.5302002212547</v>
      </c>
      <c r="V18" s="166">
        <f t="shared" si="12"/>
        <v>-6349.2979998061628</v>
      </c>
      <c r="W18" s="166">
        <f t="shared" ref="W18:X18" si="13">W15+W16+W17</f>
        <v>-5766.6037883290373</v>
      </c>
      <c r="X18" s="166">
        <f t="shared" si="13"/>
        <v>-4191.468990124733</v>
      </c>
    </row>
    <row r="19" spans="2:24" ht="33.75" x14ac:dyDescent="0.2">
      <c r="B19" s="259" t="s">
        <v>748</v>
      </c>
      <c r="C19" s="261">
        <f t="shared" ref="C19" si="14">O19</f>
        <v>-0.29928250345781465</v>
      </c>
      <c r="D19" s="261">
        <f t="shared" ref="D19:L19" si="15">P19</f>
        <v>-1.288952680465034</v>
      </c>
      <c r="E19" s="261">
        <f t="shared" si="15"/>
        <v>5.6480056801715985</v>
      </c>
      <c r="F19" s="261">
        <f t="shared" si="15"/>
        <v>6.7096078285303742</v>
      </c>
      <c r="G19" s="261">
        <f t="shared" si="15"/>
        <v>2.0177730640287503</v>
      </c>
      <c r="H19" s="261">
        <f t="shared" si="15"/>
        <v>2.5679513199717685</v>
      </c>
      <c r="I19" s="261">
        <f t="shared" si="15"/>
        <v>4.7354777518950515</v>
      </c>
      <c r="J19" s="261">
        <f t="shared" si="15"/>
        <v>4.5410309104990869</v>
      </c>
      <c r="K19" s="261">
        <f t="shared" si="15"/>
        <v>4.3819784431681512</v>
      </c>
      <c r="L19" s="261">
        <f t="shared" si="15"/>
        <v>3.9620639865570908</v>
      </c>
      <c r="N19" s="259" t="s">
        <v>748</v>
      </c>
      <c r="O19" s="260">
        <f>VLOOKUP(linkki,korotuspaine,7)</f>
        <v>-0.29928250345781465</v>
      </c>
      <c r="P19" s="260">
        <f>VLOOKUP(linkki,korotuspaine,8)</f>
        <v>-1.288952680465034</v>
      </c>
      <c r="Q19" s="260">
        <f>VLOOKUP(linkki,korotuspaine,9)</f>
        <v>5.6480056801715985</v>
      </c>
      <c r="R19" s="260">
        <f>VLOOKUP(linkki,korotuspaine,10)</f>
        <v>6.7096078285303742</v>
      </c>
      <c r="S19" s="260">
        <f>VLOOKUP(linkki,korotuspaine,11)</f>
        <v>2.0177730640287503</v>
      </c>
      <c r="T19" s="260">
        <f>VLOOKUP(linkki,korotuspaine,12)</f>
        <v>2.5679513199717685</v>
      </c>
      <c r="U19" s="260">
        <f>VLOOKUP(linkki,korotuspaine,13)</f>
        <v>4.7354777518950515</v>
      </c>
      <c r="V19" s="260">
        <f>VLOOKUP(linkki,korotuspaine,14)</f>
        <v>4.5410309104990869</v>
      </c>
      <c r="W19" s="260">
        <f>VLOOKUP(linkki,korotuspaine,15)</f>
        <v>4.3819784431681512</v>
      </c>
      <c r="X19" s="260">
        <f>VLOOKUP(linkki,korotuspaine,16)</f>
        <v>3.9620639865570908</v>
      </c>
    </row>
    <row r="20" spans="2:24" x14ac:dyDescent="0.2">
      <c r="C20" s="159"/>
      <c r="D20" s="159"/>
      <c r="E20" s="159"/>
      <c r="F20" s="159"/>
      <c r="G20" s="159"/>
      <c r="H20" s="159"/>
      <c r="I20" s="159"/>
      <c r="J20" s="159"/>
      <c r="K20" s="159"/>
      <c r="L20" s="159"/>
      <c r="N20" s="259"/>
      <c r="O20" s="19"/>
      <c r="P20" s="20"/>
      <c r="Q20" s="20"/>
      <c r="R20" s="20"/>
      <c r="S20" s="20"/>
      <c r="T20" s="20"/>
      <c r="U20" s="20"/>
      <c r="V20" s="152"/>
      <c r="W20" s="152"/>
      <c r="X20" s="152"/>
    </row>
    <row r="21" spans="2:24" ht="15" x14ac:dyDescent="0.25">
      <c r="B21" s="175" t="s">
        <v>734</v>
      </c>
      <c r="C21" s="159"/>
      <c r="D21" s="159"/>
      <c r="E21" s="159"/>
      <c r="F21" s="159"/>
      <c r="G21" s="159"/>
      <c r="H21" s="159"/>
      <c r="I21" s="159"/>
      <c r="J21" s="159"/>
      <c r="K21" s="159"/>
      <c r="L21" s="159"/>
      <c r="N21" s="175" t="s">
        <v>734</v>
      </c>
      <c r="O21" s="19"/>
      <c r="P21" s="20"/>
      <c r="Q21" s="20"/>
      <c r="R21" s="20"/>
      <c r="S21" s="20"/>
      <c r="T21" s="20"/>
      <c r="U21" s="20"/>
      <c r="V21" s="152"/>
      <c r="W21" s="152"/>
      <c r="X21" s="152"/>
    </row>
    <row r="22" spans="2:24" x14ac:dyDescent="0.2">
      <c r="B22" s="3" t="s">
        <v>302</v>
      </c>
      <c r="C22" s="122">
        <f t="shared" ref="C22:L28" si="16">O22/C$37*1000</f>
        <v>367.64795144157813</v>
      </c>
      <c r="D22" s="122">
        <f t="shared" si="16"/>
        <v>1078.4529170261437</v>
      </c>
      <c r="E22" s="122">
        <f t="shared" si="16"/>
        <v>210.69591005091866</v>
      </c>
      <c r="F22" s="122">
        <f t="shared" si="16"/>
        <v>191.60635543292349</v>
      </c>
      <c r="G22" s="122">
        <f t="shared" si="16"/>
        <v>398.64515698104725</v>
      </c>
      <c r="H22" s="122">
        <f t="shared" si="16"/>
        <v>443.94879791769978</v>
      </c>
      <c r="I22" s="122">
        <f t="shared" si="16"/>
        <v>-29.156707832937936</v>
      </c>
      <c r="J22" s="122">
        <f t="shared" si="16"/>
        <v>5.4041549957836832</v>
      </c>
      <c r="K22" s="122">
        <f t="shared" si="16"/>
        <v>56.114207994290069</v>
      </c>
      <c r="L22" s="122">
        <f t="shared" si="16"/>
        <v>170.42903070697326</v>
      </c>
      <c r="N22" s="3" t="s">
        <v>302</v>
      </c>
      <c r="O22" s="213">
        <f t="shared" ref="O22:V22" si="17">O15</f>
        <v>6057</v>
      </c>
      <c r="P22" s="213">
        <f t="shared" si="17"/>
        <v>17676.921762975522</v>
      </c>
      <c r="Q22" s="213">
        <f t="shared" si="17"/>
        <v>3469.5295508084773</v>
      </c>
      <c r="R22" s="213">
        <f t="shared" si="17"/>
        <v>3156.3314930465485</v>
      </c>
      <c r="S22" s="213">
        <f t="shared" si="17"/>
        <v>6539.7738002740798</v>
      </c>
      <c r="T22" s="213">
        <f t="shared" si="17"/>
        <v>7061.4495796789324</v>
      </c>
      <c r="U22" s="213">
        <f t="shared" si="17"/>
        <v>-460.53020022125474</v>
      </c>
      <c r="V22" s="213">
        <f t="shared" si="17"/>
        <v>84.802000193837557</v>
      </c>
      <c r="W22" s="213">
        <f t="shared" ref="W22:X22" si="18">W15</f>
        <v>875.10107367095361</v>
      </c>
      <c r="X22" s="213">
        <f t="shared" si="18"/>
        <v>2657.8407338752481</v>
      </c>
    </row>
    <row r="23" spans="2:24" x14ac:dyDescent="0.2">
      <c r="B23" s="4" t="s">
        <v>735</v>
      </c>
      <c r="C23" s="122">
        <f t="shared" si="16"/>
        <v>0</v>
      </c>
      <c r="D23" s="122">
        <f t="shared" si="16"/>
        <v>0</v>
      </c>
      <c r="E23" s="122">
        <f t="shared" si="16"/>
        <v>0</v>
      </c>
      <c r="F23" s="122">
        <f t="shared" si="16"/>
        <v>3.5007770290778852</v>
      </c>
      <c r="G23" s="122">
        <f t="shared" si="16"/>
        <v>0</v>
      </c>
      <c r="H23" s="122">
        <f t="shared" si="16"/>
        <v>0</v>
      </c>
      <c r="I23" s="122">
        <f t="shared" si="16"/>
        <v>0</v>
      </c>
      <c r="J23" s="122">
        <f t="shared" si="16"/>
        <v>0</v>
      </c>
      <c r="K23" s="122">
        <f t="shared" si="16"/>
        <v>0</v>
      </c>
      <c r="L23" s="122">
        <f t="shared" si="16"/>
        <v>0</v>
      </c>
      <c r="N23" s="4" t="s">
        <v>735</v>
      </c>
      <c r="O23" s="214">
        <f t="shared" ref="O23:V23" si="19">O17</f>
        <v>0</v>
      </c>
      <c r="P23" s="214">
        <f t="shared" si="19"/>
        <v>0</v>
      </c>
      <c r="Q23" s="214">
        <f t="shared" si="19"/>
        <v>0</v>
      </c>
      <c r="R23" s="214">
        <f t="shared" si="19"/>
        <v>57.668300000000002</v>
      </c>
      <c r="S23" s="214">
        <f t="shared" si="19"/>
        <v>0</v>
      </c>
      <c r="T23" s="214">
        <f t="shared" si="19"/>
        <v>0</v>
      </c>
      <c r="U23" s="214">
        <f t="shared" si="19"/>
        <v>0</v>
      </c>
      <c r="V23" s="214">
        <f t="shared" si="19"/>
        <v>0</v>
      </c>
      <c r="W23" s="214">
        <f t="shared" ref="W23:X23" si="20">W17</f>
        <v>0</v>
      </c>
      <c r="X23" s="214">
        <f t="shared" si="20"/>
        <v>0</v>
      </c>
    </row>
    <row r="24" spans="2:24" x14ac:dyDescent="0.2">
      <c r="B24" s="4" t="s">
        <v>736</v>
      </c>
      <c r="C24" s="122">
        <f t="shared" si="16"/>
        <v>-9.044006069802732</v>
      </c>
      <c r="D24" s="122">
        <f t="shared" si="16"/>
        <v>-283.63126105789758</v>
      </c>
      <c r="E24" s="122">
        <f t="shared" si="16"/>
        <v>-14.944019554260036</v>
      </c>
      <c r="F24" s="122">
        <f t="shared" si="16"/>
        <v>-26.728388271717357</v>
      </c>
      <c r="G24" s="122">
        <f t="shared" si="16"/>
        <v>-6.5379865894544338</v>
      </c>
      <c r="H24" s="122">
        <f t="shared" si="16"/>
        <v>0</v>
      </c>
      <c r="I24" s="122">
        <f t="shared" si="16"/>
        <v>0</v>
      </c>
      <c r="J24" s="122">
        <f t="shared" si="16"/>
        <v>0</v>
      </c>
      <c r="K24" s="122">
        <f t="shared" si="16"/>
        <v>0</v>
      </c>
      <c r="L24" s="122">
        <f t="shared" si="16"/>
        <v>0</v>
      </c>
      <c r="N24" s="4" t="s">
        <v>736</v>
      </c>
      <c r="O24" s="215">
        <f>VLOOKUP(linkki,tulrah,7)</f>
        <v>-149</v>
      </c>
      <c r="P24" s="215">
        <f>VLOOKUP(linkki,tulrah,8)</f>
        <v>-4649</v>
      </c>
      <c r="Q24" s="215">
        <f>VLOOKUP(linkki,tulrah,9)</f>
        <v>-246.08317000000002</v>
      </c>
      <c r="R24" s="215">
        <f>VLOOKUP(linkki,tulrah,10)</f>
        <v>-440.29674</v>
      </c>
      <c r="S24" s="215">
        <f>VLOOKUP(linkki,tulrah,11)</f>
        <v>-107.25566999999999</v>
      </c>
      <c r="T24" s="215">
        <f>VLOOKUP(linkki,tulrah,12)</f>
        <v>0</v>
      </c>
      <c r="U24" s="215">
        <f>VLOOKUP(linkki,tulrah,13)</f>
        <v>0</v>
      </c>
      <c r="V24" s="215">
        <f>VLOOKUP(linkki,tulrah,14)</f>
        <v>0</v>
      </c>
      <c r="W24" s="215">
        <f>VLOOKUP(linkki,tulrah,15)</f>
        <v>0</v>
      </c>
      <c r="X24" s="215">
        <f>VLOOKUP(linkki,tulrah,16)</f>
        <v>0</v>
      </c>
    </row>
    <row r="25" spans="2:24" x14ac:dyDescent="0.2">
      <c r="B25" s="8" t="s">
        <v>737</v>
      </c>
      <c r="C25" s="122">
        <f t="shared" si="16"/>
        <v>358.60394537177541</v>
      </c>
      <c r="D25" s="122">
        <f t="shared" si="16"/>
        <v>794.8216559682462</v>
      </c>
      <c r="E25" s="122">
        <f t="shared" si="16"/>
        <v>195.7518904966586</v>
      </c>
      <c r="F25" s="122">
        <f t="shared" si="16"/>
        <v>168.37874419028398</v>
      </c>
      <c r="G25" s="122">
        <f t="shared" si="16"/>
        <v>392.10717039159283</v>
      </c>
      <c r="H25" s="122">
        <f t="shared" si="16"/>
        <v>443.94879791769978</v>
      </c>
      <c r="I25" s="122">
        <f t="shared" si="16"/>
        <v>-29.156707832937936</v>
      </c>
      <c r="J25" s="122">
        <f t="shared" si="16"/>
        <v>5.4041549957836832</v>
      </c>
      <c r="K25" s="122">
        <f t="shared" si="16"/>
        <v>56.114207994290069</v>
      </c>
      <c r="L25" s="122">
        <f t="shared" si="16"/>
        <v>170.42903070697326</v>
      </c>
      <c r="N25" s="8" t="s">
        <v>737</v>
      </c>
      <c r="O25" s="166">
        <f t="shared" ref="O25:V25" si="21">O22+O23+O24</f>
        <v>5908</v>
      </c>
      <c r="P25" s="166">
        <f t="shared" si="21"/>
        <v>13027.921762975522</v>
      </c>
      <c r="Q25" s="166">
        <f t="shared" si="21"/>
        <v>3223.4463808084774</v>
      </c>
      <c r="R25" s="166">
        <f t="shared" si="21"/>
        <v>2773.7030530465481</v>
      </c>
      <c r="S25" s="166">
        <f t="shared" si="21"/>
        <v>6432.5181302740802</v>
      </c>
      <c r="T25" s="166">
        <f t="shared" si="21"/>
        <v>7061.4495796789324</v>
      </c>
      <c r="U25" s="166">
        <f t="shared" si="21"/>
        <v>-460.53020022125474</v>
      </c>
      <c r="V25" s="166">
        <f t="shared" si="21"/>
        <v>84.802000193837557</v>
      </c>
      <c r="W25" s="166">
        <f t="shared" ref="W25:X25" si="22">W22+W23+W24</f>
        <v>875.10107367095361</v>
      </c>
      <c r="X25" s="166">
        <f t="shared" si="22"/>
        <v>2657.8407338752481</v>
      </c>
    </row>
    <row r="26" spans="2:24" x14ac:dyDescent="0.2">
      <c r="B26" s="4" t="s">
        <v>738</v>
      </c>
      <c r="C26" s="122">
        <f t="shared" si="16"/>
        <v>0</v>
      </c>
      <c r="D26" s="122">
        <f t="shared" si="16"/>
        <v>0</v>
      </c>
      <c r="E26" s="122">
        <f t="shared" si="16"/>
        <v>0</v>
      </c>
      <c r="F26" s="122">
        <f t="shared" si="16"/>
        <v>0</v>
      </c>
      <c r="G26" s="122">
        <f t="shared" si="16"/>
        <v>0</v>
      </c>
      <c r="H26" s="122">
        <f t="shared" si="16"/>
        <v>0</v>
      </c>
      <c r="I26" s="122">
        <f t="shared" si="16"/>
        <v>0</v>
      </c>
      <c r="J26" s="122">
        <f t="shared" si="16"/>
        <v>0</v>
      </c>
      <c r="K26" s="122">
        <f t="shared" si="16"/>
        <v>0</v>
      </c>
      <c r="L26" s="122">
        <f t="shared" si="16"/>
        <v>0</v>
      </c>
      <c r="N26" s="4" t="s">
        <v>738</v>
      </c>
    </row>
    <row r="27" spans="2:24" x14ac:dyDescent="0.2">
      <c r="B27" s="4" t="s">
        <v>739</v>
      </c>
      <c r="C27" s="122">
        <f t="shared" si="16"/>
        <v>0</v>
      </c>
      <c r="D27" s="122">
        <f t="shared" si="16"/>
        <v>0</v>
      </c>
      <c r="E27" s="122">
        <f t="shared" si="16"/>
        <v>0</v>
      </c>
      <c r="F27" s="122">
        <f t="shared" si="16"/>
        <v>0</v>
      </c>
      <c r="G27" s="122">
        <f t="shared" si="16"/>
        <v>0</v>
      </c>
      <c r="H27" s="122">
        <f t="shared" si="16"/>
        <v>0</v>
      </c>
      <c r="I27" s="122">
        <f t="shared" si="16"/>
        <v>0</v>
      </c>
      <c r="J27" s="122">
        <f t="shared" si="16"/>
        <v>0</v>
      </c>
      <c r="K27" s="122">
        <f t="shared" si="16"/>
        <v>0</v>
      </c>
      <c r="L27" s="122">
        <f t="shared" si="16"/>
        <v>0</v>
      </c>
      <c r="N27" s="4" t="s">
        <v>739</v>
      </c>
    </row>
    <row r="28" spans="2:24" x14ac:dyDescent="0.2">
      <c r="B28" s="4" t="s">
        <v>740</v>
      </c>
      <c r="C28" s="122">
        <f t="shared" si="16"/>
        <v>-311.38088012139605</v>
      </c>
      <c r="D28" s="122">
        <f t="shared" si="16"/>
        <v>-585.93130376426086</v>
      </c>
      <c r="E28" s="122">
        <f t="shared" si="16"/>
        <v>-1134.4966022955</v>
      </c>
      <c r="F28" s="122">
        <f t="shared" si="16"/>
        <v>-1333.1224968129666</v>
      </c>
      <c r="G28" s="122">
        <f t="shared" si="16"/>
        <v>-826.8662450472417</v>
      </c>
      <c r="H28" s="122">
        <f t="shared" si="16"/>
        <v>-986.23009858021237</v>
      </c>
      <c r="I28" s="122">
        <f t="shared" si="16"/>
        <v>-1035.7258470770819</v>
      </c>
      <c r="J28" s="122">
        <f t="shared" si="16"/>
        <v>-1079.3192085920687</v>
      </c>
      <c r="K28" s="122">
        <f t="shared" si="16"/>
        <v>-1134.443648801572</v>
      </c>
      <c r="L28" s="122">
        <f t="shared" si="16"/>
        <v>-1181.5408608688979</v>
      </c>
      <c r="N28" s="4" t="s">
        <v>740</v>
      </c>
      <c r="O28" s="215">
        <f>VLOOKUP(linkki,nettoinvestoinnit,7)</f>
        <v>-5130</v>
      </c>
      <c r="P28" s="215">
        <f>VLOOKUP(linkki,nettoinvestoinnit,8)</f>
        <v>-9604</v>
      </c>
      <c r="Q28" s="215">
        <f>VLOOKUP(linkki,nettoinvestoinnit,9)</f>
        <v>-18681.755550000002</v>
      </c>
      <c r="R28" s="215">
        <f>VLOOKUP(linkki,nettoinvestoinnit,10)</f>
        <v>-21960.526890000001</v>
      </c>
      <c r="S28" s="215">
        <f>VLOOKUP(linkki,nettoinvestoinnit,11)</f>
        <v>-13564.740750000001</v>
      </c>
      <c r="T28" s="215">
        <f>VLOOKUP(linkki,nettoinvestoinnit,12)</f>
        <v>-15686.975948016858</v>
      </c>
      <c r="U28" s="215">
        <f>VLOOKUP(linkki,nettoinvestoinnit,13)</f>
        <v>-16359.289754582509</v>
      </c>
      <c r="V28" s="215">
        <f>VLOOKUP(linkki,nettoinvestoinnit,14)</f>
        <v>-16936.67702122674</v>
      </c>
      <c r="W28" s="215">
        <f>VLOOKUP(linkki,nettoinvestoinnit,15)</f>
        <v>-17691.648703060513</v>
      </c>
      <c r="X28" s="215">
        <f>VLOOKUP(linkki,nettoinvestoinnit,16)</f>
        <v>-18426.129725250463</v>
      </c>
    </row>
    <row r="29" spans="2:24" x14ac:dyDescent="0.2">
      <c r="C29" s="122"/>
      <c r="D29" s="122"/>
      <c r="E29" s="122"/>
      <c r="F29" s="122"/>
      <c r="G29" s="122"/>
      <c r="H29" s="122"/>
      <c r="I29" s="122"/>
      <c r="J29" s="122"/>
      <c r="K29" s="122"/>
      <c r="L29" s="122"/>
    </row>
    <row r="30" spans="2:24" x14ac:dyDescent="0.2">
      <c r="B30" s="8" t="s">
        <v>741</v>
      </c>
      <c r="C30" s="122">
        <f t="shared" ref="C30:L30" si="23">O30/C$37*1000</f>
        <v>47.223065250379364</v>
      </c>
      <c r="D30" s="122">
        <f t="shared" si="23"/>
        <v>208.89035220398526</v>
      </c>
      <c r="E30" s="122">
        <f t="shared" si="23"/>
        <v>-938.74471179884165</v>
      </c>
      <c r="F30" s="122">
        <f t="shared" si="23"/>
        <v>-1164.7437526226827</v>
      </c>
      <c r="G30" s="122">
        <f t="shared" si="23"/>
        <v>-434.75907465564893</v>
      </c>
      <c r="H30" s="122">
        <f t="shared" si="23"/>
        <v>-542.28130066251254</v>
      </c>
      <c r="I30" s="122">
        <f t="shared" si="23"/>
        <v>-1064.8825549100197</v>
      </c>
      <c r="J30" s="122">
        <f t="shared" si="23"/>
        <v>-1073.9150535962849</v>
      </c>
      <c r="K30" s="122">
        <f t="shared" si="23"/>
        <v>-1078.3294408072816</v>
      </c>
      <c r="L30" s="122">
        <f t="shared" si="23"/>
        <v>-1011.1118301619247</v>
      </c>
      <c r="N30" s="8" t="s">
        <v>741</v>
      </c>
      <c r="O30" s="166">
        <f t="shared" ref="O30:V30" si="24">O25+O28</f>
        <v>778</v>
      </c>
      <c r="P30" s="166">
        <f t="shared" si="24"/>
        <v>3423.9217629755221</v>
      </c>
      <c r="Q30" s="166">
        <f t="shared" si="24"/>
        <v>-15458.309169191525</v>
      </c>
      <c r="R30" s="166">
        <f t="shared" si="24"/>
        <v>-19186.823836953452</v>
      </c>
      <c r="S30" s="166">
        <f t="shared" si="24"/>
        <v>-7132.2226197259206</v>
      </c>
      <c r="T30" s="166">
        <f t="shared" si="24"/>
        <v>-8625.5263683379253</v>
      </c>
      <c r="U30" s="166">
        <f t="shared" si="24"/>
        <v>-16819.819954803763</v>
      </c>
      <c r="V30" s="166">
        <f t="shared" si="24"/>
        <v>-16851.875021032902</v>
      </c>
      <c r="W30" s="166">
        <f t="shared" ref="W30:X30" si="25">W25+W28</f>
        <v>-16816.547629389559</v>
      </c>
      <c r="X30" s="166">
        <f t="shared" si="25"/>
        <v>-15768.288991375215</v>
      </c>
    </row>
    <row r="31" spans="2:24" x14ac:dyDescent="0.2">
      <c r="C31" s="122"/>
      <c r="D31" s="122"/>
      <c r="E31" s="122"/>
      <c r="F31" s="122"/>
      <c r="G31" s="122"/>
      <c r="H31" s="122"/>
      <c r="I31" s="122"/>
      <c r="J31" s="122"/>
      <c r="K31" s="122"/>
      <c r="L31" s="122"/>
    </row>
    <row r="32" spans="2:24" x14ac:dyDescent="0.2">
      <c r="B32" s="4" t="s">
        <v>742</v>
      </c>
      <c r="C32" s="122">
        <f t="shared" ref="C32:L34" si="26">O32/C$37*1000</f>
        <v>3253.960546282246</v>
      </c>
      <c r="D32" s="122">
        <f t="shared" si="26"/>
        <v>3199.5607345494477</v>
      </c>
      <c r="E32" s="122">
        <f t="shared" si="26"/>
        <v>4163.3271956033286</v>
      </c>
      <c r="F32" s="122">
        <f t="shared" si="26"/>
        <v>4957.3683026771068</v>
      </c>
      <c r="G32" s="122">
        <f t="shared" si="26"/>
        <v>5550.4373959158784</v>
      </c>
      <c r="H32" s="122">
        <f t="shared" si="26"/>
        <v>6266.8459605392882</v>
      </c>
      <c r="I32" s="122">
        <f t="shared" si="26"/>
        <v>7375.7690283723769</v>
      </c>
      <c r="J32" s="122">
        <f t="shared" si="26"/>
        <v>8498.0975544337616</v>
      </c>
      <c r="K32" s="122">
        <f t="shared" si="26"/>
        <v>9629.284671597572</v>
      </c>
      <c r="L32" s="122">
        <f t="shared" si="26"/>
        <v>10640.396501759496</v>
      </c>
      <c r="N32" s="4" t="s">
        <v>742</v>
      </c>
      <c r="O32" s="215">
        <f>VLOOKUP(linkki,lainakanta,7)</f>
        <v>53609</v>
      </c>
      <c r="P32" s="215">
        <f>VLOOKUP(linkki,lainakanta,8)</f>
        <v>52444</v>
      </c>
      <c r="Q32" s="215">
        <f>VLOOKUP(linkki,lainakanta,9)</f>
        <v>68557.508930000011</v>
      </c>
      <c r="R32" s="215">
        <f>VLOOKUP(linkki,lainakanta,10)</f>
        <v>81662.728049999991</v>
      </c>
      <c r="S32" s="215">
        <f>VLOOKUP(linkki,lainakanta,11)</f>
        <v>91054.925479999991</v>
      </c>
      <c r="T32" s="215">
        <f>VLOOKUP(linkki,lainakanta,12)</f>
        <v>99680.451848337922</v>
      </c>
      <c r="U32" s="215">
        <f>VLOOKUP(linkki,lainakanta,13)</f>
        <v>116500.27180314169</v>
      </c>
      <c r="V32" s="215">
        <f>VLOOKUP(linkki,lainakanta,14)</f>
        <v>133352.14682417459</v>
      </c>
      <c r="W32" s="215">
        <f>VLOOKUP(linkki,lainakanta,15)</f>
        <v>150168.69445356415</v>
      </c>
      <c r="X32" s="215">
        <f>VLOOKUP(linkki,lainakanta,16)</f>
        <v>165936.98344493937</v>
      </c>
    </row>
    <row r="33" spans="2:24" x14ac:dyDescent="0.2">
      <c r="B33" s="4" t="s">
        <v>743</v>
      </c>
      <c r="C33" s="122">
        <f t="shared" si="26"/>
        <v>178.69499241274659</v>
      </c>
      <c r="D33" s="122">
        <f t="shared" si="26"/>
        <v>528.58275883106592</v>
      </c>
      <c r="E33" s="122">
        <f t="shared" si="26"/>
        <v>543.04075545029445</v>
      </c>
      <c r="F33" s="122">
        <f t="shared" si="26"/>
        <v>279.10912159290956</v>
      </c>
      <c r="G33" s="122">
        <f t="shared" si="26"/>
        <v>-7.5262078634562632</v>
      </c>
      <c r="H33" s="122">
        <f t="shared" si="26"/>
        <v>-7.7400959912325638</v>
      </c>
      <c r="I33" s="122">
        <f t="shared" si="26"/>
        <v>-7.7722838148771665</v>
      </c>
      <c r="J33" s="122">
        <f t="shared" si="26"/>
        <v>-7.8011119102393156</v>
      </c>
      <c r="K33" s="122">
        <f t="shared" si="26"/>
        <v>-7.8274575126751635</v>
      </c>
      <c r="L33" s="122">
        <f t="shared" si="26"/>
        <v>-7.8052163102985102</v>
      </c>
      <c r="N33" s="4" t="s">
        <v>743</v>
      </c>
      <c r="O33" s="215">
        <f>VLOOKUP(linkki,kassavarat,7)</f>
        <v>2944</v>
      </c>
      <c r="P33" s="215">
        <f>VLOOKUP(linkki,kassavarat,8)</f>
        <v>8664</v>
      </c>
      <c r="Q33" s="215">
        <f>VLOOKUP(linkki,kassavarat,9)</f>
        <v>8942.2521199999992</v>
      </c>
      <c r="R33" s="215">
        <f>VLOOKUP(linkki,kassavarat,10)</f>
        <v>4597.7645599999996</v>
      </c>
      <c r="S33" s="215">
        <f>VLOOKUP(linkki,kassavarat,11)</f>
        <v>-123.46744</v>
      </c>
      <c r="T33" s="215">
        <f>VLOOKUP(linkki,kassavarat,12)</f>
        <v>-123.11396683654516</v>
      </c>
      <c r="U33" s="215">
        <f>VLOOKUP(linkki,kassavarat,13)</f>
        <v>-122.76322285598484</v>
      </c>
      <c r="V33" s="215">
        <f>VLOOKUP(linkki,kassavarat,14)</f>
        <v>-122.41504809547534</v>
      </c>
      <c r="W33" s="215">
        <f>VLOOKUP(linkki,kassavarat,15)</f>
        <v>-122.06919991016917</v>
      </c>
      <c r="X33" s="215">
        <f>VLOOKUP(linkki,kassavarat,16)</f>
        <v>-121.72234835910527</v>
      </c>
    </row>
    <row r="34" spans="2:24" ht="11.25" customHeight="1" x14ac:dyDescent="0.2">
      <c r="B34" s="1" t="s">
        <v>744</v>
      </c>
      <c r="C34" s="122">
        <f t="shared" si="26"/>
        <v>3075.2655538694989</v>
      </c>
      <c r="D34" s="122">
        <f t="shared" si="26"/>
        <v>2670.9779757183824</v>
      </c>
      <c r="E34" s="122">
        <f t="shared" si="26"/>
        <v>3620.2864401530342</v>
      </c>
      <c r="F34" s="122">
        <f t="shared" si="26"/>
        <v>4678.2591810841977</v>
      </c>
      <c r="G34" s="122">
        <f t="shared" si="26"/>
        <v>5557.9636037793352</v>
      </c>
      <c r="H34" s="122">
        <f t="shared" si="26"/>
        <v>6274.5860565305211</v>
      </c>
      <c r="I34" s="122">
        <f t="shared" si="26"/>
        <v>7383.5413121872543</v>
      </c>
      <c r="J34" s="122">
        <f t="shared" si="26"/>
        <v>8505.8986663440028</v>
      </c>
      <c r="K34" s="122">
        <f t="shared" si="26"/>
        <v>9637.11212911025</v>
      </c>
      <c r="L34" s="122">
        <f t="shared" si="26"/>
        <v>10648.201718069797</v>
      </c>
      <c r="N34" s="1" t="s">
        <v>744</v>
      </c>
      <c r="O34" s="43">
        <f t="shared" ref="O34:U34" si="27">O32-O33</f>
        <v>50665</v>
      </c>
      <c r="P34" s="43">
        <f t="shared" si="27"/>
        <v>43780</v>
      </c>
      <c r="Q34" s="43">
        <f t="shared" si="27"/>
        <v>59615.256810000014</v>
      </c>
      <c r="R34" s="43">
        <f t="shared" si="27"/>
        <v>77064.963489999995</v>
      </c>
      <c r="S34" s="43">
        <f t="shared" si="27"/>
        <v>91178.392919999984</v>
      </c>
      <c r="T34" s="43">
        <f t="shared" si="27"/>
        <v>99803.565815174472</v>
      </c>
      <c r="U34" s="43">
        <f t="shared" si="27"/>
        <v>116623.03502599767</v>
      </c>
      <c r="V34" s="43">
        <f>V32-V33</f>
        <v>133474.56187227007</v>
      </c>
      <c r="W34" s="43">
        <f>W32-W33</f>
        <v>150290.76365347434</v>
      </c>
      <c r="X34" s="43">
        <f>X32-X33</f>
        <v>166058.70579329846</v>
      </c>
    </row>
    <row r="35" spans="2:24" ht="23.25" customHeight="1" x14ac:dyDescent="0.2">
      <c r="B35" s="217"/>
      <c r="C35" s="98"/>
      <c r="D35" s="11"/>
      <c r="E35" s="218"/>
      <c r="F35" s="98"/>
      <c r="G35" s="11"/>
      <c r="H35" s="218"/>
      <c r="I35" s="218"/>
      <c r="J35" s="218"/>
      <c r="K35" s="218"/>
      <c r="L35" s="218"/>
    </row>
    <row r="36" spans="2:24" x14ac:dyDescent="0.2">
      <c r="C36" s="7"/>
      <c r="D36" s="7"/>
      <c r="E36" s="7"/>
      <c r="F36" s="7"/>
      <c r="G36" s="7"/>
      <c r="H36" s="7"/>
      <c r="I36" s="7"/>
      <c r="J36" s="7"/>
      <c r="K36" s="7"/>
      <c r="L36" s="7"/>
    </row>
    <row r="37" spans="2:24" x14ac:dyDescent="0.2">
      <c r="B37" s="6" t="s">
        <v>318</v>
      </c>
      <c r="C37" s="6">
        <f>VLOOKUP(linkki,väestöennuste,8)</f>
        <v>16475</v>
      </c>
      <c r="D37" s="6">
        <f>VLOOKUP(linkki,väestöennuste,9)</f>
        <v>16391</v>
      </c>
      <c r="E37" s="6">
        <f>VLOOKUP(linkki,väestöennuste,10)</f>
        <v>16467</v>
      </c>
      <c r="F37" s="6">
        <f>VLOOKUP(linkki,väestöennuste,11)</f>
        <v>16473</v>
      </c>
      <c r="G37" s="6">
        <f>VLOOKUP(linkki,väestöennuste,12)</f>
        <v>16405</v>
      </c>
      <c r="H37" s="6">
        <f>VLOOKUP(linkki,väestöennuste,13)</f>
        <v>15906</v>
      </c>
      <c r="I37" s="6">
        <f>VLOOKUP(linkki,väestöennuste,14)</f>
        <v>15795</v>
      </c>
      <c r="J37" s="6">
        <f>VLOOKUP(linkki,väestöennuste,15)</f>
        <v>15692</v>
      </c>
      <c r="K37" s="6">
        <f>VLOOKUP(linkki,väestöennuste,16)</f>
        <v>15595</v>
      </c>
      <c r="L37" s="6">
        <f>VLOOKUP(linkki,väestöennuste,16)</f>
        <v>15595</v>
      </c>
    </row>
    <row r="38" spans="2:24" x14ac:dyDescent="0.2">
      <c r="B38" s="8" t="s">
        <v>771</v>
      </c>
      <c r="C38" s="348">
        <f>VLOOKUP(linkki,veroprosentti,7)</f>
        <v>22.25</v>
      </c>
      <c r="D38" s="348">
        <f>VLOOKUP(linkki,veroprosentti,8)</f>
        <v>22.25</v>
      </c>
      <c r="E38" s="348">
        <f>VLOOKUP(linkki,veroprosentti,9)</f>
        <v>22.25</v>
      </c>
      <c r="F38" s="348">
        <f>VLOOKUP(linkki,veroprosentti,10)</f>
        <v>22</v>
      </c>
      <c r="G38" s="348">
        <f>VLOOKUP(linkki,veroprosentti,11)</f>
        <v>9.36</v>
      </c>
      <c r="H38" s="348">
        <f>VLOOKUP(linkki,veroprosentti,12)</f>
        <v>9.9</v>
      </c>
      <c r="I38" s="348">
        <f>VLOOKUP(linkki,veroprosentti,13)</f>
        <v>9.9</v>
      </c>
      <c r="J38" s="348">
        <f>VLOOKUP(linkki,veroprosentti,14)</f>
        <v>9.9</v>
      </c>
      <c r="K38" s="348">
        <f>VLOOKUP(linkki,veroprosentti,14)</f>
        <v>9.9</v>
      </c>
      <c r="L38" s="348">
        <f>VLOOKUP(linkki,veroprosentti,14)</f>
        <v>9.9</v>
      </c>
    </row>
    <row r="44" spans="2:24" x14ac:dyDescent="0.2">
      <c r="B44" s="9"/>
    </row>
    <row r="46" spans="2:24" x14ac:dyDescent="0.2">
      <c r="B46" s="27"/>
    </row>
    <row r="47" spans="2:24" x14ac:dyDescent="0.2">
      <c r="B47" s="27"/>
    </row>
    <row r="48" spans="2:24" x14ac:dyDescent="0.2">
      <c r="B48" s="27"/>
    </row>
    <row r="49" spans="2:2" x14ac:dyDescent="0.2">
      <c r="B49" s="27"/>
    </row>
    <row r="50" spans="2:2" x14ac:dyDescent="0.2">
      <c r="B50" s="27"/>
    </row>
    <row r="51" spans="2:2" x14ac:dyDescent="0.2">
      <c r="B51" s="27"/>
    </row>
  </sheetData>
  <pageMargins left="0.7" right="0.7" top="0.75" bottom="0.75" header="0.3" footer="0.3"/>
  <pageSetup paperSize="9" orientation="portrait" r:id="rId1"/>
  <ignoredErrors>
    <ignoredError sqref="P8 Q8:V12 O14:P34 Q14:V34" unlockedFormula="1"/>
    <ignoredError sqref="W22" evalError="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ul31"/>
  <dimension ref="A1:OG316"/>
  <sheetViews>
    <sheetView workbookViewId="0"/>
  </sheetViews>
  <sheetFormatPr defaultColWidth="8.85546875" defaultRowHeight="15" x14ac:dyDescent="0.25"/>
  <cols>
    <col min="1" max="1" width="22.28515625" style="14" bestFit="1" customWidth="1"/>
    <col min="2" max="2" width="10.42578125" style="14" bestFit="1" customWidth="1"/>
    <col min="3" max="3" width="13.5703125" style="14" bestFit="1" customWidth="1"/>
    <col min="5" max="16384" width="8.85546875" style="14"/>
  </cols>
  <sheetData>
    <row r="1" spans="1:373" x14ac:dyDescent="0.25">
      <c r="A1" s="15" t="s">
        <v>0</v>
      </c>
      <c r="B1" s="14" t="s">
        <v>294</v>
      </c>
      <c r="C1" s="14" t="s">
        <v>647</v>
      </c>
    </row>
    <row r="2" spans="1:373" x14ac:dyDescent="0.25">
      <c r="A2" s="96" t="s">
        <v>334</v>
      </c>
      <c r="B2" s="34">
        <v>20</v>
      </c>
      <c r="C2" s="99">
        <v>6</v>
      </c>
    </row>
    <row r="3" spans="1:373" x14ac:dyDescent="0.25">
      <c r="A3" s="96" t="s">
        <v>328</v>
      </c>
      <c r="B3" s="34">
        <v>5</v>
      </c>
      <c r="C3" s="99">
        <v>14</v>
      </c>
    </row>
    <row r="4" spans="1:373" x14ac:dyDescent="0.25">
      <c r="A4" s="96" t="s">
        <v>329</v>
      </c>
      <c r="B4" s="34">
        <v>9</v>
      </c>
      <c r="C4" s="99">
        <v>17</v>
      </c>
    </row>
    <row r="5" spans="1:373" x14ac:dyDescent="0.25">
      <c r="A5" s="96" t="s">
        <v>330</v>
      </c>
      <c r="B5" s="34">
        <v>10</v>
      </c>
      <c r="C5" s="99">
        <v>14</v>
      </c>
    </row>
    <row r="6" spans="1:373" x14ac:dyDescent="0.25">
      <c r="A6" s="96" t="s">
        <v>331</v>
      </c>
      <c r="B6" s="34">
        <v>16</v>
      </c>
      <c r="C6" s="99">
        <v>7</v>
      </c>
    </row>
    <row r="7" spans="1:373" x14ac:dyDescent="0.25">
      <c r="A7" s="96" t="s">
        <v>332</v>
      </c>
      <c r="B7" s="34">
        <v>18</v>
      </c>
      <c r="C7" s="99">
        <v>1</v>
      </c>
    </row>
    <row r="8" spans="1:373" x14ac:dyDescent="0.25">
      <c r="A8" s="96" t="s">
        <v>333</v>
      </c>
      <c r="B8" s="34">
        <v>19</v>
      </c>
      <c r="C8" s="99">
        <v>2</v>
      </c>
      <c r="HE8"/>
      <c r="HF8"/>
    </row>
    <row r="9" spans="1:373" x14ac:dyDescent="0.25">
      <c r="A9" s="96" t="s">
        <v>335</v>
      </c>
      <c r="B9" s="34">
        <v>46</v>
      </c>
      <c r="C9" s="99">
        <v>10</v>
      </c>
    </row>
    <row r="10" spans="1:373" x14ac:dyDescent="0.25">
      <c r="A10" s="96" t="s">
        <v>336</v>
      </c>
      <c r="B10" s="34">
        <v>47</v>
      </c>
      <c r="C10" s="99">
        <v>19</v>
      </c>
    </row>
    <row r="11" spans="1:373" x14ac:dyDescent="0.25">
      <c r="A11" s="96" t="s">
        <v>337</v>
      </c>
      <c r="B11" s="34">
        <v>49</v>
      </c>
      <c r="C11" s="99">
        <v>1</v>
      </c>
    </row>
    <row r="12" spans="1:373" x14ac:dyDescent="0.25">
      <c r="A12" s="96" t="s">
        <v>338</v>
      </c>
      <c r="B12" s="34">
        <v>50</v>
      </c>
      <c r="C12" s="99">
        <v>4</v>
      </c>
    </row>
    <row r="13" spans="1:373" x14ac:dyDescent="0.25">
      <c r="A13" s="96" t="s">
        <v>339</v>
      </c>
      <c r="B13" s="34">
        <v>51</v>
      </c>
      <c r="C13" s="99">
        <v>4</v>
      </c>
    </row>
    <row r="14" spans="1:373" x14ac:dyDescent="0.25">
      <c r="A14" s="96" t="s">
        <v>340</v>
      </c>
      <c r="B14" s="34">
        <v>52</v>
      </c>
      <c r="C14" s="99">
        <v>14</v>
      </c>
    </row>
    <row r="15" spans="1:373" x14ac:dyDescent="0.25">
      <c r="A15" s="96" t="s">
        <v>341</v>
      </c>
      <c r="B15" s="34">
        <v>61</v>
      </c>
      <c r="C15" s="99">
        <v>5</v>
      </c>
      <c r="JG15" s="14" t="s">
        <v>304</v>
      </c>
      <c r="NI15" s="14" t="s">
        <v>304</v>
      </c>
    </row>
    <row r="16" spans="1:373" x14ac:dyDescent="0.25">
      <c r="A16" s="96" t="s">
        <v>342</v>
      </c>
      <c r="B16" s="34">
        <v>69</v>
      </c>
      <c r="C16" s="99">
        <v>17</v>
      </c>
    </row>
    <row r="17" spans="1:397" x14ac:dyDescent="0.25">
      <c r="A17" s="96" t="s">
        <v>343</v>
      </c>
      <c r="B17" s="34">
        <v>71</v>
      </c>
      <c r="C17" s="99">
        <v>17</v>
      </c>
    </row>
    <row r="18" spans="1:397" x14ac:dyDescent="0.25">
      <c r="A18" s="96" t="s">
        <v>344</v>
      </c>
      <c r="B18" s="34">
        <v>72</v>
      </c>
      <c r="C18" s="99">
        <v>17</v>
      </c>
    </row>
    <row r="19" spans="1:397" x14ac:dyDescent="0.25">
      <c r="A19" s="96" t="s">
        <v>345</v>
      </c>
      <c r="B19" s="34">
        <v>74</v>
      </c>
      <c r="C19" s="99">
        <v>16</v>
      </c>
    </row>
    <row r="20" spans="1:397" x14ac:dyDescent="0.25">
      <c r="A20" s="96" t="s">
        <v>346</v>
      </c>
      <c r="B20" s="34">
        <v>75</v>
      </c>
      <c r="C20" s="99">
        <v>8</v>
      </c>
    </row>
    <row r="21" spans="1:397" x14ac:dyDescent="0.25">
      <c r="A21" s="96" t="s">
        <v>347</v>
      </c>
      <c r="B21" s="34">
        <v>77</v>
      </c>
      <c r="C21" s="99">
        <v>13</v>
      </c>
    </row>
    <row r="22" spans="1:397" x14ac:dyDescent="0.25">
      <c r="A22" s="96" t="s">
        <v>348</v>
      </c>
      <c r="B22" s="34">
        <v>78</v>
      </c>
      <c r="C22" s="99">
        <v>1</v>
      </c>
    </row>
    <row r="23" spans="1:397" x14ac:dyDescent="0.25">
      <c r="A23" s="96" t="s">
        <v>349</v>
      </c>
      <c r="B23" s="34">
        <v>79</v>
      </c>
      <c r="C23" s="99">
        <v>4</v>
      </c>
      <c r="JB23" s="14">
        <v>63125000</v>
      </c>
      <c r="JC23" s="14">
        <v>750000</v>
      </c>
      <c r="JD23" s="14">
        <v>62375000</v>
      </c>
      <c r="JH23" s="14">
        <v>38955</v>
      </c>
      <c r="JL23" s="14">
        <v>63125000</v>
      </c>
      <c r="JM23" s="14">
        <v>711045</v>
      </c>
      <c r="JN23" s="14">
        <v>62375000</v>
      </c>
      <c r="ND23" s="14">
        <f>JB23</f>
        <v>63125000</v>
      </c>
      <c r="NE23" s="14">
        <f t="shared" ref="NE23:NE85" si="0">JC23</f>
        <v>750000</v>
      </c>
      <c r="NF23" s="14">
        <f t="shared" ref="NF23:NF85" si="1">JD23</f>
        <v>62375000</v>
      </c>
      <c r="NI23" s="14">
        <f t="shared" ref="NI23:NI85" si="2">JG23</f>
        <v>0</v>
      </c>
      <c r="NJ23" s="14">
        <f t="shared" ref="NJ23:NJ85" si="3">JH23</f>
        <v>38955</v>
      </c>
      <c r="NK23" s="14">
        <f t="shared" ref="NK23:NK85" si="4">JI23</f>
        <v>0</v>
      </c>
      <c r="NN23" s="14">
        <f t="shared" ref="NN23:NN85" si="5">JL23</f>
        <v>63125000</v>
      </c>
      <c r="NO23" s="14">
        <f t="shared" ref="NO23:NO85" si="6">JM23</f>
        <v>711045</v>
      </c>
      <c r="NP23" s="14">
        <f t="shared" ref="NP23:NP85" si="7">JN23</f>
        <v>62375000</v>
      </c>
      <c r="NS23" s="14">
        <f>JQ23</f>
        <v>0</v>
      </c>
      <c r="NT23" s="14">
        <f t="shared" ref="NT23:NT85" si="8">JR23</f>
        <v>0</v>
      </c>
      <c r="NU23" s="14">
        <f t="shared" ref="NU23:NU85" si="9">JS23</f>
        <v>0</v>
      </c>
      <c r="NV23" s="14">
        <f t="shared" ref="NV23:NV85" si="10">JT23</f>
        <v>0</v>
      </c>
      <c r="NW23" s="14">
        <f t="shared" ref="NW23:NW85" si="11">JU23</f>
        <v>0</v>
      </c>
      <c r="NX23" s="14">
        <f t="shared" ref="NX23:NX85" si="12">JV23</f>
        <v>0</v>
      </c>
      <c r="NY23" s="14">
        <f t="shared" ref="NY23:NY85" si="13">JW23</f>
        <v>0</v>
      </c>
      <c r="OC23" s="14">
        <f>KA23</f>
        <v>0</v>
      </c>
      <c r="OD23" s="14">
        <f>KB23</f>
        <v>0</v>
      </c>
      <c r="OE23" s="14">
        <f>KC23</f>
        <v>0</v>
      </c>
      <c r="OF23" s="14">
        <f>KD23</f>
        <v>0</v>
      </c>
      <c r="OG23" s="14">
        <f>KE23</f>
        <v>0</v>
      </c>
    </row>
    <row r="24" spans="1:397" x14ac:dyDescent="0.25">
      <c r="A24" s="96" t="s">
        <v>350</v>
      </c>
      <c r="B24" s="34">
        <v>81</v>
      </c>
      <c r="C24" s="99">
        <v>7</v>
      </c>
      <c r="JB24" s="14">
        <v>16412000</v>
      </c>
      <c r="JC24" s="14">
        <v>120000</v>
      </c>
      <c r="JD24" s="14">
        <v>16292000</v>
      </c>
      <c r="JH24" s="14">
        <v>40500</v>
      </c>
      <c r="JL24" s="14">
        <v>16412000</v>
      </c>
      <c r="JM24" s="14">
        <v>79500</v>
      </c>
      <c r="JN24" s="14">
        <v>16292000</v>
      </c>
      <c r="ND24" s="14">
        <f t="shared" ref="ND24:ND86" si="14">JB24</f>
        <v>16412000</v>
      </c>
      <c r="NE24" s="14">
        <f t="shared" si="0"/>
        <v>120000</v>
      </c>
      <c r="NF24" s="14">
        <f t="shared" si="1"/>
        <v>16292000</v>
      </c>
      <c r="NI24" s="14">
        <f t="shared" si="2"/>
        <v>0</v>
      </c>
      <c r="NJ24" s="14">
        <f t="shared" si="3"/>
        <v>40500</v>
      </c>
      <c r="NK24" s="14">
        <f t="shared" si="4"/>
        <v>0</v>
      </c>
      <c r="NN24" s="14">
        <f t="shared" si="5"/>
        <v>16412000</v>
      </c>
      <c r="NO24" s="14">
        <f t="shared" si="6"/>
        <v>79500</v>
      </c>
      <c r="NP24" s="14">
        <f t="shared" si="7"/>
        <v>16292000</v>
      </c>
      <c r="NS24" s="14">
        <f t="shared" ref="NS24:NS86" si="15">JQ24</f>
        <v>0</v>
      </c>
      <c r="NT24" s="14">
        <f t="shared" si="8"/>
        <v>0</v>
      </c>
      <c r="NU24" s="14">
        <f t="shared" si="9"/>
        <v>0</v>
      </c>
      <c r="NV24" s="14">
        <f t="shared" si="10"/>
        <v>0</v>
      </c>
      <c r="NW24" s="14">
        <f t="shared" si="11"/>
        <v>0</v>
      </c>
      <c r="NX24" s="14">
        <f t="shared" si="12"/>
        <v>0</v>
      </c>
      <c r="NY24" s="14">
        <f t="shared" si="13"/>
        <v>0</v>
      </c>
    </row>
    <row r="25" spans="1:397" x14ac:dyDescent="0.25">
      <c r="A25" s="96" t="s">
        <v>351</v>
      </c>
      <c r="B25" s="34">
        <v>82</v>
      </c>
      <c r="C25" s="99">
        <v>5</v>
      </c>
      <c r="JB25" s="14">
        <v>72509000</v>
      </c>
      <c r="JC25" s="14">
        <v>1996000</v>
      </c>
      <c r="JD25" s="14">
        <v>70513000</v>
      </c>
      <c r="JH25" s="14">
        <v>29480</v>
      </c>
      <c r="JL25" s="14">
        <v>72509000</v>
      </c>
      <c r="JM25" s="14">
        <v>1966520</v>
      </c>
      <c r="JN25" s="14">
        <v>70513000</v>
      </c>
      <c r="ND25" s="14">
        <f t="shared" si="14"/>
        <v>72509000</v>
      </c>
      <c r="NE25" s="14">
        <f t="shared" si="0"/>
        <v>1996000</v>
      </c>
      <c r="NF25" s="14">
        <f t="shared" si="1"/>
        <v>70513000</v>
      </c>
      <c r="NI25" s="14">
        <f t="shared" si="2"/>
        <v>0</v>
      </c>
      <c r="NJ25" s="14">
        <f t="shared" si="3"/>
        <v>29480</v>
      </c>
      <c r="NK25" s="14">
        <f t="shared" si="4"/>
        <v>0</v>
      </c>
      <c r="NN25" s="14">
        <f t="shared" si="5"/>
        <v>72509000</v>
      </c>
      <c r="NO25" s="14">
        <f t="shared" si="6"/>
        <v>1966520</v>
      </c>
      <c r="NP25" s="14">
        <f t="shared" si="7"/>
        <v>70513000</v>
      </c>
      <c r="NS25" s="14">
        <f t="shared" si="15"/>
        <v>0</v>
      </c>
      <c r="NT25" s="14">
        <f t="shared" si="8"/>
        <v>0</v>
      </c>
      <c r="NU25" s="14">
        <f t="shared" si="9"/>
        <v>0</v>
      </c>
      <c r="NV25" s="14">
        <f t="shared" si="10"/>
        <v>0</v>
      </c>
      <c r="NW25" s="14">
        <f t="shared" si="11"/>
        <v>0</v>
      </c>
      <c r="NX25" s="14">
        <f t="shared" si="12"/>
        <v>0</v>
      </c>
      <c r="NY25" s="14">
        <f t="shared" si="13"/>
        <v>0</v>
      </c>
    </row>
    <row r="26" spans="1:397" x14ac:dyDescent="0.25">
      <c r="A26" s="96" t="s">
        <v>352</v>
      </c>
      <c r="B26" s="34">
        <v>86</v>
      </c>
      <c r="C26" s="99">
        <v>5</v>
      </c>
      <c r="JB26" s="14">
        <v>46904000</v>
      </c>
      <c r="JC26" s="14">
        <v>54000</v>
      </c>
      <c r="JD26" s="14">
        <v>46850000</v>
      </c>
      <c r="JH26" s="14">
        <v>82829</v>
      </c>
      <c r="JL26" s="14">
        <v>46904000</v>
      </c>
      <c r="JM26" s="14">
        <v>-28829</v>
      </c>
      <c r="JN26" s="14">
        <v>46850000</v>
      </c>
      <c r="ND26" s="14">
        <f t="shared" si="14"/>
        <v>46904000</v>
      </c>
      <c r="NE26" s="14">
        <f t="shared" si="0"/>
        <v>54000</v>
      </c>
      <c r="NF26" s="14">
        <f t="shared" si="1"/>
        <v>46850000</v>
      </c>
      <c r="NI26" s="14">
        <f t="shared" si="2"/>
        <v>0</v>
      </c>
      <c r="NJ26" s="14">
        <f t="shared" si="3"/>
        <v>82829</v>
      </c>
      <c r="NK26" s="14">
        <f t="shared" si="4"/>
        <v>0</v>
      </c>
      <c r="NN26" s="14">
        <f t="shared" si="5"/>
        <v>46904000</v>
      </c>
      <c r="NO26" s="14">
        <f t="shared" si="6"/>
        <v>-28829</v>
      </c>
      <c r="NP26" s="14">
        <f t="shared" si="7"/>
        <v>46850000</v>
      </c>
      <c r="NS26" s="14">
        <f t="shared" si="15"/>
        <v>0</v>
      </c>
      <c r="NT26" s="14">
        <f t="shared" si="8"/>
        <v>0</v>
      </c>
      <c r="NU26" s="14">
        <f t="shared" si="9"/>
        <v>0</v>
      </c>
      <c r="NV26" s="14">
        <f t="shared" si="10"/>
        <v>0</v>
      </c>
      <c r="NW26" s="14">
        <f t="shared" si="11"/>
        <v>0</v>
      </c>
      <c r="NX26" s="14">
        <f t="shared" si="12"/>
        <v>0</v>
      </c>
      <c r="NY26" s="14">
        <f t="shared" si="13"/>
        <v>0</v>
      </c>
    </row>
    <row r="27" spans="1:397" x14ac:dyDescent="0.25">
      <c r="A27" s="96" t="s">
        <v>365</v>
      </c>
      <c r="B27" s="34">
        <v>111</v>
      </c>
      <c r="C27" s="99">
        <v>7</v>
      </c>
      <c r="JB27" s="14">
        <v>26824000</v>
      </c>
      <c r="JC27" s="14">
        <v>405000</v>
      </c>
      <c r="JD27" s="14">
        <v>26419000</v>
      </c>
      <c r="JH27" s="14">
        <v>35372</v>
      </c>
      <c r="JL27" s="14">
        <v>26824000</v>
      </c>
      <c r="JM27" s="14">
        <v>369628</v>
      </c>
      <c r="JN27" s="14">
        <v>26419000</v>
      </c>
      <c r="ND27" s="14">
        <f t="shared" si="14"/>
        <v>26824000</v>
      </c>
      <c r="NE27" s="14">
        <f t="shared" si="0"/>
        <v>405000</v>
      </c>
      <c r="NF27" s="14">
        <f t="shared" si="1"/>
        <v>26419000</v>
      </c>
      <c r="NI27" s="14">
        <f t="shared" si="2"/>
        <v>0</v>
      </c>
      <c r="NJ27" s="14">
        <f t="shared" si="3"/>
        <v>35372</v>
      </c>
      <c r="NK27" s="14">
        <f t="shared" si="4"/>
        <v>0</v>
      </c>
      <c r="NN27" s="14">
        <f t="shared" si="5"/>
        <v>26824000</v>
      </c>
      <c r="NO27" s="14">
        <f t="shared" si="6"/>
        <v>369628</v>
      </c>
      <c r="NP27" s="14">
        <f t="shared" si="7"/>
        <v>26419000</v>
      </c>
      <c r="NS27" s="14">
        <f t="shared" si="15"/>
        <v>0</v>
      </c>
      <c r="NT27" s="14">
        <f t="shared" si="8"/>
        <v>0</v>
      </c>
      <c r="NU27" s="14">
        <f t="shared" si="9"/>
        <v>0</v>
      </c>
      <c r="NV27" s="14">
        <f t="shared" si="10"/>
        <v>0</v>
      </c>
      <c r="NW27" s="14">
        <f t="shared" si="11"/>
        <v>0</v>
      </c>
      <c r="NX27" s="14">
        <f t="shared" si="12"/>
        <v>0</v>
      </c>
      <c r="NY27" s="14">
        <f t="shared" si="13"/>
        <v>0</v>
      </c>
    </row>
    <row r="28" spans="1:397" x14ac:dyDescent="0.25">
      <c r="A28" s="96" t="s">
        <v>353</v>
      </c>
      <c r="B28" s="34">
        <v>90</v>
      </c>
      <c r="C28" s="99">
        <v>12</v>
      </c>
      <c r="JB28" s="14">
        <v>19839000</v>
      </c>
      <c r="JC28" s="14">
        <v>0</v>
      </c>
      <c r="JD28" s="14">
        <v>19839000</v>
      </c>
      <c r="JH28" s="14">
        <v>18811</v>
      </c>
      <c r="JL28" s="14">
        <v>19839000</v>
      </c>
      <c r="JM28" s="14">
        <v>-18811</v>
      </c>
      <c r="JN28" s="14">
        <v>19839000</v>
      </c>
      <c r="ND28" s="14">
        <f t="shared" si="14"/>
        <v>19839000</v>
      </c>
      <c r="NE28" s="14">
        <f t="shared" si="0"/>
        <v>0</v>
      </c>
      <c r="NF28" s="14">
        <f t="shared" si="1"/>
        <v>19839000</v>
      </c>
      <c r="NI28" s="14">
        <f t="shared" si="2"/>
        <v>0</v>
      </c>
      <c r="NJ28" s="14">
        <f t="shared" si="3"/>
        <v>18811</v>
      </c>
      <c r="NK28" s="14">
        <f t="shared" si="4"/>
        <v>0</v>
      </c>
      <c r="NN28" s="14">
        <f t="shared" si="5"/>
        <v>19839000</v>
      </c>
      <c r="NO28" s="14">
        <f t="shared" si="6"/>
        <v>-18811</v>
      </c>
      <c r="NP28" s="14">
        <f t="shared" si="7"/>
        <v>19839000</v>
      </c>
      <c r="NS28" s="14">
        <f t="shared" si="15"/>
        <v>0</v>
      </c>
      <c r="NT28" s="14">
        <f t="shared" si="8"/>
        <v>0</v>
      </c>
      <c r="NU28" s="14">
        <f t="shared" si="9"/>
        <v>0</v>
      </c>
      <c r="NV28" s="14">
        <f t="shared" si="10"/>
        <v>0</v>
      </c>
      <c r="NW28" s="14">
        <f t="shared" si="11"/>
        <v>0</v>
      </c>
      <c r="NX28" s="14">
        <f t="shared" si="12"/>
        <v>0</v>
      </c>
      <c r="NY28" s="14">
        <f t="shared" si="13"/>
        <v>0</v>
      </c>
    </row>
    <row r="29" spans="1:397" x14ac:dyDescent="0.25">
      <c r="A29" s="96" t="s">
        <v>354</v>
      </c>
      <c r="B29" s="34">
        <v>91</v>
      </c>
      <c r="C29" s="99">
        <v>1</v>
      </c>
      <c r="JB29" s="14">
        <v>87061000</v>
      </c>
      <c r="JC29" s="14">
        <v>0</v>
      </c>
      <c r="JD29" s="14">
        <v>87061000</v>
      </c>
      <c r="JH29" s="14">
        <v>28101</v>
      </c>
      <c r="JL29" s="14">
        <v>87061000</v>
      </c>
      <c r="JM29" s="14">
        <v>-28101</v>
      </c>
      <c r="JN29" s="14">
        <v>87061000</v>
      </c>
      <c r="ND29" s="14">
        <f t="shared" si="14"/>
        <v>87061000</v>
      </c>
      <c r="NE29" s="14">
        <f t="shared" si="0"/>
        <v>0</v>
      </c>
      <c r="NF29" s="14">
        <f t="shared" si="1"/>
        <v>87061000</v>
      </c>
      <c r="NI29" s="14">
        <f t="shared" si="2"/>
        <v>0</v>
      </c>
      <c r="NJ29" s="14">
        <f t="shared" si="3"/>
        <v>28101</v>
      </c>
      <c r="NK29" s="14">
        <f t="shared" si="4"/>
        <v>0</v>
      </c>
      <c r="NN29" s="14">
        <f t="shared" si="5"/>
        <v>87061000</v>
      </c>
      <c r="NO29" s="14">
        <f t="shared" si="6"/>
        <v>-28101</v>
      </c>
      <c r="NP29" s="14">
        <f t="shared" si="7"/>
        <v>87061000</v>
      </c>
      <c r="NS29" s="14">
        <f t="shared" si="15"/>
        <v>0</v>
      </c>
      <c r="NT29" s="14">
        <f t="shared" si="8"/>
        <v>0</v>
      </c>
      <c r="NU29" s="14">
        <f t="shared" si="9"/>
        <v>0</v>
      </c>
      <c r="NV29" s="14">
        <f t="shared" si="10"/>
        <v>0</v>
      </c>
      <c r="NW29" s="14">
        <f t="shared" si="11"/>
        <v>0</v>
      </c>
      <c r="NX29" s="14">
        <f t="shared" si="12"/>
        <v>0</v>
      </c>
      <c r="NY29" s="14">
        <f t="shared" si="13"/>
        <v>0</v>
      </c>
    </row>
    <row r="30" spans="1:397" x14ac:dyDescent="0.25">
      <c r="A30" s="96" t="s">
        <v>356</v>
      </c>
      <c r="B30" s="34">
        <v>97</v>
      </c>
      <c r="C30" s="99">
        <v>10</v>
      </c>
      <c r="JB30" s="14">
        <v>9703000</v>
      </c>
      <c r="JC30" s="14">
        <v>45000</v>
      </c>
      <c r="JD30" s="14">
        <v>9658000</v>
      </c>
      <c r="JH30" s="14">
        <v>39003</v>
      </c>
      <c r="JL30" s="14">
        <v>9703000</v>
      </c>
      <c r="JM30" s="14">
        <v>5997</v>
      </c>
      <c r="JN30" s="14">
        <v>9658000</v>
      </c>
      <c r="ND30" s="14">
        <f t="shared" si="14"/>
        <v>9703000</v>
      </c>
      <c r="NE30" s="14">
        <f t="shared" si="0"/>
        <v>45000</v>
      </c>
      <c r="NF30" s="14">
        <f t="shared" si="1"/>
        <v>9658000</v>
      </c>
      <c r="NI30" s="14">
        <f t="shared" si="2"/>
        <v>0</v>
      </c>
      <c r="NJ30" s="14">
        <f t="shared" si="3"/>
        <v>39003</v>
      </c>
      <c r="NK30" s="14">
        <f t="shared" si="4"/>
        <v>0</v>
      </c>
      <c r="NN30" s="14">
        <f t="shared" si="5"/>
        <v>9703000</v>
      </c>
      <c r="NO30" s="14">
        <f t="shared" si="6"/>
        <v>5997</v>
      </c>
      <c r="NP30" s="14">
        <f t="shared" si="7"/>
        <v>9658000</v>
      </c>
      <c r="NS30" s="14">
        <f t="shared" si="15"/>
        <v>0</v>
      </c>
      <c r="NT30" s="14">
        <f t="shared" si="8"/>
        <v>0</v>
      </c>
      <c r="NU30" s="14">
        <f t="shared" si="9"/>
        <v>0</v>
      </c>
      <c r="NV30" s="14">
        <f t="shared" si="10"/>
        <v>0</v>
      </c>
      <c r="NW30" s="14">
        <f t="shared" si="11"/>
        <v>0</v>
      </c>
      <c r="NX30" s="14">
        <f t="shared" si="12"/>
        <v>0</v>
      </c>
      <c r="NY30" s="14">
        <f t="shared" si="13"/>
        <v>0</v>
      </c>
    </row>
    <row r="31" spans="1:397" x14ac:dyDescent="0.25">
      <c r="A31" s="96" t="s">
        <v>357</v>
      </c>
      <c r="B31" s="34">
        <v>98</v>
      </c>
      <c r="C31" s="99">
        <v>7</v>
      </c>
      <c r="JB31" s="14">
        <v>14684000</v>
      </c>
      <c r="JC31" s="14">
        <v>0</v>
      </c>
      <c r="JD31" s="14">
        <v>14684000</v>
      </c>
      <c r="JH31" s="14">
        <v>79097</v>
      </c>
      <c r="JL31" s="14">
        <v>14684000</v>
      </c>
      <c r="JM31" s="14">
        <v>-79097</v>
      </c>
      <c r="JN31" s="14">
        <v>14684000</v>
      </c>
      <c r="ND31" s="14">
        <f t="shared" si="14"/>
        <v>14684000</v>
      </c>
      <c r="NE31" s="14">
        <f t="shared" si="0"/>
        <v>0</v>
      </c>
      <c r="NF31" s="14">
        <f t="shared" si="1"/>
        <v>14684000</v>
      </c>
      <c r="NI31" s="14">
        <f t="shared" si="2"/>
        <v>0</v>
      </c>
      <c r="NJ31" s="14">
        <f t="shared" si="3"/>
        <v>79097</v>
      </c>
      <c r="NK31" s="14">
        <f t="shared" si="4"/>
        <v>0</v>
      </c>
      <c r="NN31" s="14">
        <f t="shared" si="5"/>
        <v>14684000</v>
      </c>
      <c r="NO31" s="14">
        <f t="shared" si="6"/>
        <v>-79097</v>
      </c>
      <c r="NP31" s="14">
        <f t="shared" si="7"/>
        <v>14684000</v>
      </c>
      <c r="NS31" s="14">
        <f t="shared" si="15"/>
        <v>0</v>
      </c>
      <c r="NT31" s="14">
        <f t="shared" si="8"/>
        <v>0</v>
      </c>
      <c r="NU31" s="14">
        <f t="shared" si="9"/>
        <v>0</v>
      </c>
      <c r="NV31" s="14">
        <f t="shared" si="10"/>
        <v>0</v>
      </c>
      <c r="NW31" s="14">
        <f t="shared" si="11"/>
        <v>0</v>
      </c>
      <c r="NX31" s="14">
        <f t="shared" si="12"/>
        <v>0</v>
      </c>
      <c r="NY31" s="14">
        <f t="shared" si="13"/>
        <v>0</v>
      </c>
    </row>
    <row r="32" spans="1:397" x14ac:dyDescent="0.25">
      <c r="A32" s="96" t="s">
        <v>359</v>
      </c>
      <c r="B32" s="34">
        <v>102</v>
      </c>
      <c r="C32" s="99">
        <v>4</v>
      </c>
      <c r="JB32" s="14">
        <v>66785000</v>
      </c>
      <c r="JC32" s="14">
        <v>192000</v>
      </c>
      <c r="JD32" s="14">
        <v>66593000</v>
      </c>
      <c r="JH32" s="14">
        <v>6428</v>
      </c>
      <c r="JL32" s="14">
        <v>66785000</v>
      </c>
      <c r="JM32" s="14">
        <v>185572</v>
      </c>
      <c r="JN32" s="14">
        <v>66593000</v>
      </c>
      <c r="ND32" s="14">
        <f t="shared" si="14"/>
        <v>66785000</v>
      </c>
      <c r="NE32" s="14">
        <f t="shared" si="0"/>
        <v>192000</v>
      </c>
      <c r="NF32" s="14">
        <f t="shared" si="1"/>
        <v>66593000</v>
      </c>
      <c r="NI32" s="14">
        <f t="shared" si="2"/>
        <v>0</v>
      </c>
      <c r="NJ32" s="14">
        <f t="shared" si="3"/>
        <v>6428</v>
      </c>
      <c r="NK32" s="14">
        <f t="shared" si="4"/>
        <v>0</v>
      </c>
      <c r="NN32" s="14">
        <f t="shared" si="5"/>
        <v>66785000</v>
      </c>
      <c r="NO32" s="14">
        <f t="shared" si="6"/>
        <v>185572</v>
      </c>
      <c r="NP32" s="14">
        <f t="shared" si="7"/>
        <v>66593000</v>
      </c>
      <c r="NS32" s="14">
        <f t="shared" si="15"/>
        <v>0</v>
      </c>
      <c r="NT32" s="14">
        <f t="shared" si="8"/>
        <v>0</v>
      </c>
      <c r="NU32" s="14">
        <f t="shared" si="9"/>
        <v>0</v>
      </c>
      <c r="NV32" s="14">
        <f t="shared" si="10"/>
        <v>0</v>
      </c>
      <c r="NW32" s="14">
        <f t="shared" si="11"/>
        <v>0</v>
      </c>
      <c r="NX32" s="14">
        <f t="shared" si="12"/>
        <v>0</v>
      </c>
      <c r="NY32" s="14">
        <f t="shared" si="13"/>
        <v>0</v>
      </c>
    </row>
    <row r="33" spans="1:389" x14ac:dyDescent="0.25">
      <c r="A33" s="96" t="s">
        <v>360</v>
      </c>
      <c r="B33" s="34">
        <v>103</v>
      </c>
      <c r="C33" s="99">
        <v>5</v>
      </c>
      <c r="JB33" s="14">
        <v>63340000</v>
      </c>
      <c r="JC33" s="14">
        <v>332000</v>
      </c>
      <c r="JD33" s="14">
        <v>63008000</v>
      </c>
      <c r="JH33" s="14">
        <v>168681</v>
      </c>
      <c r="JL33" s="14">
        <v>63340000</v>
      </c>
      <c r="JM33" s="14">
        <v>163319</v>
      </c>
      <c r="JN33" s="14">
        <v>63008000</v>
      </c>
      <c r="ND33" s="14">
        <f t="shared" si="14"/>
        <v>63340000</v>
      </c>
      <c r="NE33" s="14">
        <f t="shared" si="0"/>
        <v>332000</v>
      </c>
      <c r="NF33" s="14">
        <f t="shared" si="1"/>
        <v>63008000</v>
      </c>
      <c r="NI33" s="14">
        <f t="shared" si="2"/>
        <v>0</v>
      </c>
      <c r="NJ33" s="14">
        <f t="shared" si="3"/>
        <v>168681</v>
      </c>
      <c r="NK33" s="14">
        <f t="shared" si="4"/>
        <v>0</v>
      </c>
      <c r="NN33" s="14">
        <f t="shared" si="5"/>
        <v>63340000</v>
      </c>
      <c r="NO33" s="14">
        <f t="shared" si="6"/>
        <v>163319</v>
      </c>
      <c r="NP33" s="14">
        <f t="shared" si="7"/>
        <v>63008000</v>
      </c>
      <c r="NS33" s="14">
        <f t="shared" si="15"/>
        <v>0</v>
      </c>
      <c r="NT33" s="14">
        <f t="shared" si="8"/>
        <v>0</v>
      </c>
      <c r="NU33" s="14">
        <f t="shared" si="9"/>
        <v>0</v>
      </c>
      <c r="NV33" s="14">
        <f t="shared" si="10"/>
        <v>0</v>
      </c>
      <c r="NW33" s="14">
        <f t="shared" si="11"/>
        <v>0</v>
      </c>
      <c r="NX33" s="14">
        <f t="shared" si="12"/>
        <v>0</v>
      </c>
      <c r="NY33" s="14">
        <f t="shared" si="13"/>
        <v>0</v>
      </c>
    </row>
    <row r="34" spans="1:389" x14ac:dyDescent="0.25">
      <c r="A34" s="96" t="s">
        <v>361</v>
      </c>
      <c r="B34" s="34">
        <v>105</v>
      </c>
      <c r="C34" s="99">
        <v>18</v>
      </c>
      <c r="JB34" s="14">
        <v>17304000</v>
      </c>
      <c r="JC34" s="14">
        <v>410000</v>
      </c>
      <c r="JD34" s="14">
        <v>16894000</v>
      </c>
      <c r="JH34" s="14">
        <v>12700</v>
      </c>
      <c r="JL34" s="14">
        <v>17304000</v>
      </c>
      <c r="JM34" s="14">
        <v>397300</v>
      </c>
      <c r="JN34" s="14">
        <v>16894000</v>
      </c>
      <c r="ND34" s="14">
        <f t="shared" si="14"/>
        <v>17304000</v>
      </c>
      <c r="NE34" s="14">
        <f t="shared" si="0"/>
        <v>410000</v>
      </c>
      <c r="NF34" s="14">
        <f t="shared" si="1"/>
        <v>16894000</v>
      </c>
      <c r="NI34" s="14">
        <f t="shared" si="2"/>
        <v>0</v>
      </c>
      <c r="NJ34" s="14">
        <f t="shared" si="3"/>
        <v>12700</v>
      </c>
      <c r="NK34" s="14">
        <f t="shared" si="4"/>
        <v>0</v>
      </c>
      <c r="NN34" s="14">
        <f t="shared" si="5"/>
        <v>17304000</v>
      </c>
      <c r="NO34" s="14">
        <f t="shared" si="6"/>
        <v>397300</v>
      </c>
      <c r="NP34" s="14">
        <f t="shared" si="7"/>
        <v>16894000</v>
      </c>
      <c r="NS34" s="14">
        <f t="shared" si="15"/>
        <v>0</v>
      </c>
      <c r="NT34" s="14">
        <f t="shared" si="8"/>
        <v>0</v>
      </c>
      <c r="NU34" s="14">
        <f t="shared" si="9"/>
        <v>0</v>
      </c>
      <c r="NV34" s="14">
        <f t="shared" si="10"/>
        <v>0</v>
      </c>
      <c r="NW34" s="14">
        <f t="shared" si="11"/>
        <v>0</v>
      </c>
      <c r="NX34" s="14">
        <f t="shared" si="12"/>
        <v>0</v>
      </c>
      <c r="NY34" s="14">
        <f t="shared" si="13"/>
        <v>0</v>
      </c>
    </row>
    <row r="35" spans="1:389" x14ac:dyDescent="0.25">
      <c r="A35" s="96" t="s">
        <v>362</v>
      </c>
      <c r="B35" s="34">
        <v>106</v>
      </c>
      <c r="C35" s="99">
        <v>1</v>
      </c>
      <c r="JB35" s="14">
        <v>99783000</v>
      </c>
      <c r="JC35" s="14">
        <v>60000</v>
      </c>
      <c r="JD35" s="14">
        <v>99723000</v>
      </c>
      <c r="JH35" s="14">
        <v>12052</v>
      </c>
      <c r="JL35" s="14">
        <v>99783000</v>
      </c>
      <c r="JM35" s="14">
        <v>47948</v>
      </c>
      <c r="JN35" s="14">
        <v>99723000</v>
      </c>
      <c r="ND35" s="14">
        <f t="shared" si="14"/>
        <v>99783000</v>
      </c>
      <c r="NE35" s="14">
        <f t="shared" si="0"/>
        <v>60000</v>
      </c>
      <c r="NF35" s="14">
        <f t="shared" si="1"/>
        <v>99723000</v>
      </c>
      <c r="NI35" s="14">
        <f t="shared" si="2"/>
        <v>0</v>
      </c>
      <c r="NJ35" s="14">
        <f t="shared" si="3"/>
        <v>12052</v>
      </c>
      <c r="NK35" s="14">
        <f t="shared" si="4"/>
        <v>0</v>
      </c>
      <c r="NN35" s="14">
        <f t="shared" si="5"/>
        <v>99783000</v>
      </c>
      <c r="NO35" s="14">
        <f t="shared" si="6"/>
        <v>47948</v>
      </c>
      <c r="NP35" s="14">
        <f t="shared" si="7"/>
        <v>99723000</v>
      </c>
      <c r="NS35" s="14">
        <f t="shared" si="15"/>
        <v>0</v>
      </c>
      <c r="NT35" s="14">
        <f t="shared" si="8"/>
        <v>0</v>
      </c>
      <c r="NU35" s="14">
        <f t="shared" si="9"/>
        <v>0</v>
      </c>
      <c r="NV35" s="14">
        <f t="shared" si="10"/>
        <v>0</v>
      </c>
      <c r="NW35" s="14">
        <f t="shared" si="11"/>
        <v>0</v>
      </c>
      <c r="NX35" s="14">
        <f t="shared" si="12"/>
        <v>0</v>
      </c>
      <c r="NY35" s="14">
        <f t="shared" si="13"/>
        <v>0</v>
      </c>
    </row>
    <row r="36" spans="1:389" x14ac:dyDescent="0.25">
      <c r="A36" s="96" t="s">
        <v>363</v>
      </c>
      <c r="B36" s="34">
        <v>108</v>
      </c>
      <c r="C36" s="99">
        <v>6</v>
      </c>
      <c r="JB36" s="14">
        <v>47533000</v>
      </c>
      <c r="JC36" s="14">
        <v>0</v>
      </c>
      <c r="JD36" s="14">
        <v>47533000</v>
      </c>
      <c r="JH36" s="14">
        <v>9452</v>
      </c>
      <c r="JL36" s="14">
        <v>47533000</v>
      </c>
      <c r="JM36" s="14">
        <v>-9452</v>
      </c>
      <c r="JN36" s="14">
        <v>47533000</v>
      </c>
      <c r="ND36" s="14">
        <f t="shared" si="14"/>
        <v>47533000</v>
      </c>
      <c r="NE36" s="14">
        <f t="shared" si="0"/>
        <v>0</v>
      </c>
      <c r="NF36" s="14">
        <f t="shared" si="1"/>
        <v>47533000</v>
      </c>
      <c r="NI36" s="14">
        <f t="shared" si="2"/>
        <v>0</v>
      </c>
      <c r="NJ36" s="14">
        <f t="shared" si="3"/>
        <v>9452</v>
      </c>
      <c r="NK36" s="14">
        <f t="shared" si="4"/>
        <v>0</v>
      </c>
      <c r="NN36" s="14">
        <f t="shared" si="5"/>
        <v>47533000</v>
      </c>
      <c r="NO36" s="14">
        <f t="shared" si="6"/>
        <v>-9452</v>
      </c>
      <c r="NP36" s="14">
        <f t="shared" si="7"/>
        <v>47533000</v>
      </c>
      <c r="NS36" s="14">
        <f t="shared" si="15"/>
        <v>0</v>
      </c>
      <c r="NT36" s="14">
        <f t="shared" si="8"/>
        <v>0</v>
      </c>
      <c r="NU36" s="14">
        <f t="shared" si="9"/>
        <v>0</v>
      </c>
      <c r="NV36" s="14">
        <f t="shared" si="10"/>
        <v>0</v>
      </c>
      <c r="NW36" s="14">
        <f t="shared" si="11"/>
        <v>0</v>
      </c>
      <c r="NX36" s="14">
        <f t="shared" si="12"/>
        <v>0</v>
      </c>
      <c r="NY36" s="14">
        <f t="shared" si="13"/>
        <v>0</v>
      </c>
    </row>
    <row r="37" spans="1:389" x14ac:dyDescent="0.25">
      <c r="A37" s="96" t="s">
        <v>364</v>
      </c>
      <c r="B37" s="34">
        <v>109</v>
      </c>
      <c r="C37" s="99">
        <v>5</v>
      </c>
      <c r="JB37" s="14">
        <v>44951000</v>
      </c>
      <c r="JC37" s="14">
        <v>1284000</v>
      </c>
      <c r="JD37" s="14">
        <v>43667000</v>
      </c>
      <c r="JH37" s="14">
        <v>55596</v>
      </c>
      <c r="JL37" s="14">
        <v>44951000</v>
      </c>
      <c r="JM37" s="14">
        <v>1228404</v>
      </c>
      <c r="JN37" s="14">
        <v>43667000</v>
      </c>
      <c r="ND37" s="14">
        <f t="shared" si="14"/>
        <v>44951000</v>
      </c>
      <c r="NE37" s="14">
        <f t="shared" si="0"/>
        <v>1284000</v>
      </c>
      <c r="NF37" s="14">
        <f t="shared" si="1"/>
        <v>43667000</v>
      </c>
      <c r="NI37" s="14">
        <f t="shared" si="2"/>
        <v>0</v>
      </c>
      <c r="NJ37" s="14">
        <f t="shared" si="3"/>
        <v>55596</v>
      </c>
      <c r="NK37" s="14">
        <f t="shared" si="4"/>
        <v>0</v>
      </c>
      <c r="NN37" s="14">
        <f t="shared" si="5"/>
        <v>44951000</v>
      </c>
      <c r="NO37" s="14">
        <f t="shared" si="6"/>
        <v>1228404</v>
      </c>
      <c r="NP37" s="14">
        <f t="shared" si="7"/>
        <v>43667000</v>
      </c>
      <c r="NS37" s="14">
        <f t="shared" si="15"/>
        <v>0</v>
      </c>
      <c r="NT37" s="14">
        <f t="shared" si="8"/>
        <v>0</v>
      </c>
      <c r="NU37" s="14">
        <f t="shared" si="9"/>
        <v>0</v>
      </c>
      <c r="NV37" s="14">
        <f t="shared" si="10"/>
        <v>0</v>
      </c>
      <c r="NW37" s="14">
        <f t="shared" si="11"/>
        <v>0</v>
      </c>
      <c r="NX37" s="14">
        <f t="shared" si="12"/>
        <v>0</v>
      </c>
      <c r="NY37" s="14">
        <f t="shared" si="13"/>
        <v>0</v>
      </c>
    </row>
    <row r="38" spans="1:389" x14ac:dyDescent="0.25">
      <c r="A38" s="96" t="s">
        <v>366</v>
      </c>
      <c r="B38" s="34">
        <v>139</v>
      </c>
      <c r="C38" s="99">
        <v>17</v>
      </c>
      <c r="JB38" s="14">
        <v>7388000</v>
      </c>
      <c r="JC38" s="14">
        <v>255000</v>
      </c>
      <c r="JD38" s="14">
        <v>7133000</v>
      </c>
      <c r="JH38" s="14">
        <v>28172</v>
      </c>
      <c r="JL38" s="14">
        <v>7388000</v>
      </c>
      <c r="JM38" s="14">
        <v>226828</v>
      </c>
      <c r="JN38" s="14">
        <v>7133000</v>
      </c>
      <c r="ND38" s="14">
        <f t="shared" si="14"/>
        <v>7388000</v>
      </c>
      <c r="NE38" s="14">
        <f t="shared" si="0"/>
        <v>255000</v>
      </c>
      <c r="NF38" s="14">
        <f t="shared" si="1"/>
        <v>7133000</v>
      </c>
      <c r="NI38" s="14">
        <f t="shared" si="2"/>
        <v>0</v>
      </c>
      <c r="NJ38" s="14">
        <f t="shared" si="3"/>
        <v>28172</v>
      </c>
      <c r="NK38" s="14">
        <f t="shared" si="4"/>
        <v>0</v>
      </c>
      <c r="NN38" s="14">
        <f t="shared" si="5"/>
        <v>7388000</v>
      </c>
      <c r="NO38" s="14">
        <f t="shared" si="6"/>
        <v>226828</v>
      </c>
      <c r="NP38" s="14">
        <f t="shared" si="7"/>
        <v>7133000</v>
      </c>
      <c r="NS38" s="14">
        <f t="shared" si="15"/>
        <v>0</v>
      </c>
      <c r="NT38" s="14">
        <f t="shared" si="8"/>
        <v>0</v>
      </c>
      <c r="NU38" s="14">
        <f t="shared" si="9"/>
        <v>0</v>
      </c>
      <c r="NV38" s="14">
        <f t="shared" si="10"/>
        <v>0</v>
      </c>
      <c r="NW38" s="14">
        <f t="shared" si="11"/>
        <v>0</v>
      </c>
      <c r="NX38" s="14">
        <f t="shared" si="12"/>
        <v>0</v>
      </c>
      <c r="NY38" s="14">
        <f t="shared" si="13"/>
        <v>0</v>
      </c>
    </row>
    <row r="39" spans="1:389" x14ac:dyDescent="0.25">
      <c r="A39" s="96" t="s">
        <v>367</v>
      </c>
      <c r="B39" s="34">
        <v>140</v>
      </c>
      <c r="C39" s="99">
        <v>11</v>
      </c>
      <c r="JB39" s="14">
        <v>8052000</v>
      </c>
      <c r="JC39" s="14">
        <v>0</v>
      </c>
      <c r="JD39" s="14">
        <v>8052000</v>
      </c>
      <c r="JH39" s="14">
        <v>60048</v>
      </c>
      <c r="JL39" s="14">
        <v>8052000</v>
      </c>
      <c r="JM39" s="14">
        <v>-60048</v>
      </c>
      <c r="JN39" s="14">
        <v>8052000</v>
      </c>
      <c r="ND39" s="14">
        <f t="shared" si="14"/>
        <v>8052000</v>
      </c>
      <c r="NE39" s="14">
        <f t="shared" si="0"/>
        <v>0</v>
      </c>
      <c r="NF39" s="14">
        <f t="shared" si="1"/>
        <v>8052000</v>
      </c>
      <c r="NI39" s="14">
        <f t="shared" si="2"/>
        <v>0</v>
      </c>
      <c r="NJ39" s="14">
        <f t="shared" si="3"/>
        <v>60048</v>
      </c>
      <c r="NK39" s="14">
        <f t="shared" si="4"/>
        <v>0</v>
      </c>
      <c r="NN39" s="14">
        <f t="shared" si="5"/>
        <v>8052000</v>
      </c>
      <c r="NO39" s="14">
        <f t="shared" si="6"/>
        <v>-60048</v>
      </c>
      <c r="NP39" s="14">
        <f t="shared" si="7"/>
        <v>8052000</v>
      </c>
      <c r="NS39" s="14">
        <f t="shared" si="15"/>
        <v>0</v>
      </c>
      <c r="NT39" s="14">
        <f t="shared" si="8"/>
        <v>0</v>
      </c>
      <c r="NU39" s="14">
        <f t="shared" si="9"/>
        <v>0</v>
      </c>
      <c r="NV39" s="14">
        <f t="shared" si="10"/>
        <v>0</v>
      </c>
      <c r="NW39" s="14">
        <f t="shared" si="11"/>
        <v>0</v>
      </c>
      <c r="NX39" s="14">
        <f t="shared" si="12"/>
        <v>0</v>
      </c>
      <c r="NY39" s="14">
        <f t="shared" si="13"/>
        <v>0</v>
      </c>
    </row>
    <row r="40" spans="1:389" x14ac:dyDescent="0.25">
      <c r="A40" s="96" t="s">
        <v>368</v>
      </c>
      <c r="B40" s="34">
        <v>142</v>
      </c>
      <c r="C40" s="99">
        <v>7</v>
      </c>
      <c r="JB40" s="14">
        <v>117951000</v>
      </c>
      <c r="JC40" s="14">
        <v>3000</v>
      </c>
      <c r="JD40" s="14">
        <v>117948000</v>
      </c>
      <c r="JH40" s="14">
        <v>9534</v>
      </c>
      <c r="JL40" s="14">
        <v>117951000</v>
      </c>
      <c r="JM40" s="14">
        <v>-6534</v>
      </c>
      <c r="JN40" s="14">
        <v>117948000</v>
      </c>
      <c r="ND40" s="14">
        <f t="shared" si="14"/>
        <v>117951000</v>
      </c>
      <c r="NE40" s="14">
        <f t="shared" si="0"/>
        <v>3000</v>
      </c>
      <c r="NF40" s="14">
        <f t="shared" si="1"/>
        <v>117948000</v>
      </c>
      <c r="NI40" s="14">
        <f t="shared" si="2"/>
        <v>0</v>
      </c>
      <c r="NJ40" s="14">
        <f t="shared" si="3"/>
        <v>9534</v>
      </c>
      <c r="NK40" s="14">
        <f t="shared" si="4"/>
        <v>0</v>
      </c>
      <c r="NN40" s="14">
        <f t="shared" si="5"/>
        <v>117951000</v>
      </c>
      <c r="NO40" s="14">
        <f t="shared" si="6"/>
        <v>-6534</v>
      </c>
      <c r="NP40" s="14">
        <f t="shared" si="7"/>
        <v>117948000</v>
      </c>
      <c r="NS40" s="14">
        <f t="shared" si="15"/>
        <v>0</v>
      </c>
      <c r="NT40" s="14">
        <f t="shared" si="8"/>
        <v>0</v>
      </c>
      <c r="NU40" s="14">
        <f t="shared" si="9"/>
        <v>0</v>
      </c>
      <c r="NV40" s="14">
        <f t="shared" si="10"/>
        <v>0</v>
      </c>
      <c r="NW40" s="14">
        <f t="shared" si="11"/>
        <v>0</v>
      </c>
      <c r="NX40" s="14">
        <f t="shared" si="12"/>
        <v>0</v>
      </c>
      <c r="NY40" s="14">
        <f t="shared" si="13"/>
        <v>0</v>
      </c>
    </row>
    <row r="41" spans="1:389" x14ac:dyDescent="0.25">
      <c r="A41" s="96" t="s">
        <v>369</v>
      </c>
      <c r="B41" s="34">
        <v>143</v>
      </c>
      <c r="C41" s="99">
        <v>6</v>
      </c>
      <c r="JB41" s="14">
        <v>34292000</v>
      </c>
      <c r="JC41" s="14">
        <v>0</v>
      </c>
      <c r="JD41" s="14">
        <v>34292000</v>
      </c>
      <c r="JH41" s="14">
        <v>15593</v>
      </c>
      <c r="JL41" s="14">
        <v>34292000</v>
      </c>
      <c r="JM41" s="14">
        <v>-15593</v>
      </c>
      <c r="JN41" s="14">
        <v>34292000</v>
      </c>
      <c r="ND41" s="14">
        <f t="shared" si="14"/>
        <v>34292000</v>
      </c>
      <c r="NE41" s="14">
        <f t="shared" si="0"/>
        <v>0</v>
      </c>
      <c r="NF41" s="14">
        <f t="shared" si="1"/>
        <v>34292000</v>
      </c>
      <c r="NI41" s="14">
        <f t="shared" si="2"/>
        <v>0</v>
      </c>
      <c r="NJ41" s="14">
        <f t="shared" si="3"/>
        <v>15593</v>
      </c>
      <c r="NK41" s="14">
        <f t="shared" si="4"/>
        <v>0</v>
      </c>
      <c r="NN41" s="14">
        <f t="shared" si="5"/>
        <v>34292000</v>
      </c>
      <c r="NO41" s="14">
        <f t="shared" si="6"/>
        <v>-15593</v>
      </c>
      <c r="NP41" s="14">
        <f t="shared" si="7"/>
        <v>34292000</v>
      </c>
      <c r="NS41" s="14">
        <f t="shared" si="15"/>
        <v>0</v>
      </c>
      <c r="NT41" s="14">
        <f t="shared" si="8"/>
        <v>0</v>
      </c>
      <c r="NU41" s="14">
        <f t="shared" si="9"/>
        <v>0</v>
      </c>
      <c r="NV41" s="14">
        <f t="shared" si="10"/>
        <v>0</v>
      </c>
      <c r="NW41" s="14">
        <f t="shared" si="11"/>
        <v>0</v>
      </c>
      <c r="NX41" s="14">
        <f t="shared" si="12"/>
        <v>0</v>
      </c>
      <c r="NY41" s="14">
        <f t="shared" si="13"/>
        <v>0</v>
      </c>
    </row>
    <row r="42" spans="1:389" x14ac:dyDescent="0.25">
      <c r="A42" s="96" t="s">
        <v>370</v>
      </c>
      <c r="B42" s="34">
        <v>145</v>
      </c>
      <c r="C42" s="99">
        <v>14</v>
      </c>
      <c r="JB42" s="14">
        <v>52690000</v>
      </c>
      <c r="JC42" s="14">
        <v>100000</v>
      </c>
      <c r="JD42" s="14">
        <v>52590000</v>
      </c>
      <c r="JH42" s="14">
        <v>19587</v>
      </c>
      <c r="JL42" s="14">
        <v>52690000</v>
      </c>
      <c r="JM42" s="14">
        <v>80413</v>
      </c>
      <c r="JN42" s="14">
        <v>52590000</v>
      </c>
      <c r="ND42" s="14">
        <f t="shared" si="14"/>
        <v>52690000</v>
      </c>
      <c r="NE42" s="14">
        <f t="shared" si="0"/>
        <v>100000</v>
      </c>
      <c r="NF42" s="14">
        <f t="shared" si="1"/>
        <v>52590000</v>
      </c>
      <c r="NI42" s="14">
        <f t="shared" si="2"/>
        <v>0</v>
      </c>
      <c r="NJ42" s="14">
        <f t="shared" si="3"/>
        <v>19587</v>
      </c>
      <c r="NK42" s="14">
        <f t="shared" si="4"/>
        <v>0</v>
      </c>
      <c r="NN42" s="14">
        <f t="shared" si="5"/>
        <v>52690000</v>
      </c>
      <c r="NO42" s="14">
        <f t="shared" si="6"/>
        <v>80413</v>
      </c>
      <c r="NP42" s="14">
        <f t="shared" si="7"/>
        <v>52590000</v>
      </c>
      <c r="NS42" s="14">
        <f t="shared" si="15"/>
        <v>0</v>
      </c>
      <c r="NT42" s="14">
        <f t="shared" si="8"/>
        <v>0</v>
      </c>
      <c r="NU42" s="14">
        <f t="shared" si="9"/>
        <v>0</v>
      </c>
      <c r="NV42" s="14">
        <f t="shared" si="10"/>
        <v>0</v>
      </c>
      <c r="NW42" s="14">
        <f t="shared" si="11"/>
        <v>0</v>
      </c>
      <c r="NX42" s="14">
        <f t="shared" si="12"/>
        <v>0</v>
      </c>
      <c r="NY42" s="14">
        <f t="shared" si="13"/>
        <v>0</v>
      </c>
    </row>
    <row r="43" spans="1:389" x14ac:dyDescent="0.25">
      <c r="A43" s="96" t="s">
        <v>371</v>
      </c>
      <c r="B43" s="34">
        <v>146</v>
      </c>
      <c r="C43" s="99">
        <v>12</v>
      </c>
      <c r="JB43" s="14">
        <v>43860000</v>
      </c>
      <c r="JC43" s="14">
        <v>0</v>
      </c>
      <c r="JD43" s="14">
        <v>43860000</v>
      </c>
      <c r="JH43" s="14">
        <v>8929</v>
      </c>
      <c r="JL43" s="14">
        <v>43860000</v>
      </c>
      <c r="JM43" s="14">
        <v>-8929</v>
      </c>
      <c r="JN43" s="14">
        <v>43860000</v>
      </c>
      <c r="ND43" s="14">
        <f t="shared" si="14"/>
        <v>43860000</v>
      </c>
      <c r="NE43" s="14">
        <f t="shared" si="0"/>
        <v>0</v>
      </c>
      <c r="NF43" s="14">
        <f t="shared" si="1"/>
        <v>43860000</v>
      </c>
      <c r="NI43" s="14">
        <f t="shared" si="2"/>
        <v>0</v>
      </c>
      <c r="NJ43" s="14">
        <f t="shared" si="3"/>
        <v>8929</v>
      </c>
      <c r="NK43" s="14">
        <f t="shared" si="4"/>
        <v>0</v>
      </c>
      <c r="NN43" s="14">
        <f t="shared" si="5"/>
        <v>43860000</v>
      </c>
      <c r="NO43" s="14">
        <f t="shared" si="6"/>
        <v>-8929</v>
      </c>
      <c r="NP43" s="14">
        <f t="shared" si="7"/>
        <v>43860000</v>
      </c>
      <c r="NS43" s="14">
        <f t="shared" si="15"/>
        <v>0</v>
      </c>
      <c r="NT43" s="14">
        <f t="shared" si="8"/>
        <v>0</v>
      </c>
      <c r="NU43" s="14">
        <f t="shared" si="9"/>
        <v>0</v>
      </c>
      <c r="NV43" s="14">
        <f t="shared" si="10"/>
        <v>0</v>
      </c>
      <c r="NW43" s="14">
        <f t="shared" si="11"/>
        <v>0</v>
      </c>
      <c r="NX43" s="14">
        <f t="shared" si="12"/>
        <v>0</v>
      </c>
      <c r="NY43" s="14">
        <f t="shared" si="13"/>
        <v>0</v>
      </c>
    </row>
    <row r="44" spans="1:389" x14ac:dyDescent="0.25">
      <c r="A44" s="96" t="s">
        <v>376</v>
      </c>
      <c r="B44" s="34">
        <v>153</v>
      </c>
      <c r="C44" s="99">
        <v>9</v>
      </c>
      <c r="JB44" s="14">
        <v>18768000</v>
      </c>
      <c r="JC44" s="14">
        <v>20000</v>
      </c>
      <c r="JD44" s="14">
        <v>18748000</v>
      </c>
      <c r="JH44" s="14">
        <v>12689</v>
      </c>
      <c r="JL44" s="14">
        <v>18768000</v>
      </c>
      <c r="JM44" s="14">
        <v>7311</v>
      </c>
      <c r="JN44" s="14">
        <v>18748000</v>
      </c>
      <c r="ND44" s="14">
        <f t="shared" si="14"/>
        <v>18768000</v>
      </c>
      <c r="NE44" s="14">
        <f t="shared" si="0"/>
        <v>20000</v>
      </c>
      <c r="NF44" s="14">
        <f t="shared" si="1"/>
        <v>18748000</v>
      </c>
      <c r="NI44" s="14">
        <f t="shared" si="2"/>
        <v>0</v>
      </c>
      <c r="NJ44" s="14">
        <f t="shared" si="3"/>
        <v>12689</v>
      </c>
      <c r="NK44" s="14">
        <f t="shared" si="4"/>
        <v>0</v>
      </c>
      <c r="NN44" s="14">
        <f t="shared" si="5"/>
        <v>18768000</v>
      </c>
      <c r="NO44" s="14">
        <f t="shared" si="6"/>
        <v>7311</v>
      </c>
      <c r="NP44" s="14">
        <f t="shared" si="7"/>
        <v>18748000</v>
      </c>
      <c r="NS44" s="14">
        <f t="shared" si="15"/>
        <v>0</v>
      </c>
      <c r="NT44" s="14">
        <f t="shared" si="8"/>
        <v>0</v>
      </c>
      <c r="NU44" s="14">
        <f t="shared" si="9"/>
        <v>0</v>
      </c>
      <c r="NV44" s="14">
        <f t="shared" si="10"/>
        <v>0</v>
      </c>
      <c r="NW44" s="14">
        <f t="shared" si="11"/>
        <v>0</v>
      </c>
      <c r="NX44" s="14">
        <f t="shared" si="12"/>
        <v>0</v>
      </c>
      <c r="NY44" s="14">
        <f t="shared" si="13"/>
        <v>0</v>
      </c>
    </row>
    <row r="45" spans="1:389" x14ac:dyDescent="0.25">
      <c r="A45" s="96" t="s">
        <v>372</v>
      </c>
      <c r="B45" s="34">
        <v>148</v>
      </c>
      <c r="C45" s="99">
        <v>19</v>
      </c>
      <c r="JB45" s="14">
        <v>45982000</v>
      </c>
      <c r="JC45" s="14">
        <v>95000</v>
      </c>
      <c r="JD45" s="14">
        <v>45887000</v>
      </c>
      <c r="JH45" s="14">
        <v>10124</v>
      </c>
      <c r="JL45" s="14">
        <v>45982000</v>
      </c>
      <c r="JM45" s="14">
        <v>84876</v>
      </c>
      <c r="JN45" s="14">
        <v>45887000</v>
      </c>
      <c r="ND45" s="14">
        <f t="shared" si="14"/>
        <v>45982000</v>
      </c>
      <c r="NE45" s="14">
        <f t="shared" si="0"/>
        <v>95000</v>
      </c>
      <c r="NF45" s="14">
        <f t="shared" si="1"/>
        <v>45887000</v>
      </c>
      <c r="NI45" s="14">
        <f t="shared" si="2"/>
        <v>0</v>
      </c>
      <c r="NJ45" s="14">
        <f t="shared" si="3"/>
        <v>10124</v>
      </c>
      <c r="NK45" s="14">
        <f t="shared" si="4"/>
        <v>0</v>
      </c>
      <c r="NN45" s="14">
        <f t="shared" si="5"/>
        <v>45982000</v>
      </c>
      <c r="NO45" s="14">
        <f t="shared" si="6"/>
        <v>84876</v>
      </c>
      <c r="NP45" s="14">
        <f t="shared" si="7"/>
        <v>45887000</v>
      </c>
      <c r="NS45" s="14">
        <f t="shared" si="15"/>
        <v>0</v>
      </c>
      <c r="NT45" s="14">
        <f t="shared" si="8"/>
        <v>0</v>
      </c>
      <c r="NU45" s="14">
        <f t="shared" si="9"/>
        <v>0</v>
      </c>
      <c r="NV45" s="14">
        <f t="shared" si="10"/>
        <v>0</v>
      </c>
      <c r="NW45" s="14">
        <f t="shared" si="11"/>
        <v>0</v>
      </c>
      <c r="NX45" s="14">
        <f t="shared" si="12"/>
        <v>0</v>
      </c>
      <c r="NY45" s="14">
        <f t="shared" si="13"/>
        <v>0</v>
      </c>
    </row>
    <row r="46" spans="1:389" x14ac:dyDescent="0.25">
      <c r="A46" s="96" t="s">
        <v>373</v>
      </c>
      <c r="B46" s="34">
        <v>149</v>
      </c>
      <c r="C46" s="99">
        <v>1</v>
      </c>
      <c r="JB46" s="14">
        <v>45973000</v>
      </c>
      <c r="JC46" s="14">
        <v>40000</v>
      </c>
      <c r="JD46" s="14">
        <v>45933000</v>
      </c>
      <c r="JH46" s="14">
        <v>10463</v>
      </c>
      <c r="JL46" s="14">
        <v>45973000</v>
      </c>
      <c r="JM46" s="14">
        <v>29537</v>
      </c>
      <c r="JN46" s="14">
        <v>45933000</v>
      </c>
      <c r="ND46" s="14">
        <f t="shared" si="14"/>
        <v>45973000</v>
      </c>
      <c r="NE46" s="14">
        <f t="shared" si="0"/>
        <v>40000</v>
      </c>
      <c r="NF46" s="14">
        <f t="shared" si="1"/>
        <v>45933000</v>
      </c>
      <c r="NI46" s="14">
        <f t="shared" si="2"/>
        <v>0</v>
      </c>
      <c r="NJ46" s="14">
        <f t="shared" si="3"/>
        <v>10463</v>
      </c>
      <c r="NK46" s="14">
        <f t="shared" si="4"/>
        <v>0</v>
      </c>
      <c r="NN46" s="14">
        <f t="shared" si="5"/>
        <v>45973000</v>
      </c>
      <c r="NO46" s="14">
        <f t="shared" si="6"/>
        <v>29537</v>
      </c>
      <c r="NP46" s="14">
        <f t="shared" si="7"/>
        <v>45933000</v>
      </c>
      <c r="NS46" s="14">
        <f t="shared" si="15"/>
        <v>0</v>
      </c>
      <c r="NT46" s="14">
        <f t="shared" si="8"/>
        <v>0</v>
      </c>
      <c r="NU46" s="14">
        <f t="shared" si="9"/>
        <v>0</v>
      </c>
      <c r="NV46" s="14">
        <f t="shared" si="10"/>
        <v>0</v>
      </c>
      <c r="NW46" s="14">
        <f t="shared" si="11"/>
        <v>0</v>
      </c>
      <c r="NX46" s="14">
        <f t="shared" si="12"/>
        <v>0</v>
      </c>
      <c r="NY46" s="14">
        <f t="shared" si="13"/>
        <v>0</v>
      </c>
    </row>
    <row r="47" spans="1:389" x14ac:dyDescent="0.25">
      <c r="A47" s="96" t="s">
        <v>374</v>
      </c>
      <c r="B47" s="34">
        <v>151</v>
      </c>
      <c r="C47" s="99">
        <v>14</v>
      </c>
      <c r="JB47" s="14">
        <v>26184000</v>
      </c>
      <c r="JC47" s="14">
        <v>503000</v>
      </c>
      <c r="JD47" s="14">
        <v>25681000</v>
      </c>
      <c r="JH47" s="14">
        <v>7550</v>
      </c>
      <c r="JL47" s="14">
        <v>26184000</v>
      </c>
      <c r="JM47" s="14">
        <v>495450</v>
      </c>
      <c r="JN47" s="14">
        <v>25681000</v>
      </c>
      <c r="ND47" s="14">
        <f t="shared" si="14"/>
        <v>26184000</v>
      </c>
      <c r="NE47" s="14">
        <f t="shared" si="0"/>
        <v>503000</v>
      </c>
      <c r="NF47" s="14">
        <f t="shared" si="1"/>
        <v>25681000</v>
      </c>
      <c r="NI47" s="14">
        <f t="shared" si="2"/>
        <v>0</v>
      </c>
      <c r="NJ47" s="14">
        <f t="shared" si="3"/>
        <v>7550</v>
      </c>
      <c r="NK47" s="14">
        <f t="shared" si="4"/>
        <v>0</v>
      </c>
      <c r="NN47" s="14">
        <f t="shared" si="5"/>
        <v>26184000</v>
      </c>
      <c r="NO47" s="14">
        <f t="shared" si="6"/>
        <v>495450</v>
      </c>
      <c r="NP47" s="14">
        <f t="shared" si="7"/>
        <v>25681000</v>
      </c>
      <c r="NS47" s="14">
        <f t="shared" si="15"/>
        <v>0</v>
      </c>
      <c r="NT47" s="14">
        <f t="shared" si="8"/>
        <v>0</v>
      </c>
      <c r="NU47" s="14">
        <f t="shared" si="9"/>
        <v>0</v>
      </c>
      <c r="NV47" s="14">
        <f t="shared" si="10"/>
        <v>0</v>
      </c>
      <c r="NW47" s="14">
        <f t="shared" si="11"/>
        <v>0</v>
      </c>
      <c r="NX47" s="14">
        <f t="shared" si="12"/>
        <v>0</v>
      </c>
      <c r="NY47" s="14">
        <f t="shared" si="13"/>
        <v>0</v>
      </c>
    </row>
    <row r="48" spans="1:389" x14ac:dyDescent="0.25">
      <c r="A48" s="96" t="s">
        <v>375</v>
      </c>
      <c r="B48" s="34">
        <v>152</v>
      </c>
      <c r="C48" s="99">
        <v>14</v>
      </c>
      <c r="JB48" s="14">
        <v>3462453000</v>
      </c>
      <c r="JC48" s="14">
        <v>570000</v>
      </c>
      <c r="JD48" s="14">
        <v>3461883000</v>
      </c>
      <c r="JH48" s="14">
        <v>105811</v>
      </c>
      <c r="JL48" s="14">
        <v>3462453000</v>
      </c>
      <c r="JM48" s="14">
        <v>464189</v>
      </c>
      <c r="JN48" s="14">
        <v>3461883000</v>
      </c>
      <c r="ND48" s="14">
        <f t="shared" si="14"/>
        <v>3462453000</v>
      </c>
      <c r="NE48" s="14">
        <f t="shared" si="0"/>
        <v>570000</v>
      </c>
      <c r="NF48" s="14">
        <f t="shared" si="1"/>
        <v>3461883000</v>
      </c>
      <c r="NI48" s="14">
        <f t="shared" si="2"/>
        <v>0</v>
      </c>
      <c r="NJ48" s="14">
        <f t="shared" si="3"/>
        <v>105811</v>
      </c>
      <c r="NK48" s="14">
        <f t="shared" si="4"/>
        <v>0</v>
      </c>
      <c r="NN48" s="14">
        <f t="shared" si="5"/>
        <v>3462453000</v>
      </c>
      <c r="NO48" s="14">
        <f t="shared" si="6"/>
        <v>464189</v>
      </c>
      <c r="NP48" s="14">
        <f t="shared" si="7"/>
        <v>3461883000</v>
      </c>
      <c r="NS48" s="14">
        <f t="shared" si="15"/>
        <v>0</v>
      </c>
      <c r="NT48" s="14">
        <f t="shared" si="8"/>
        <v>0</v>
      </c>
      <c r="NU48" s="14">
        <f t="shared" si="9"/>
        <v>0</v>
      </c>
      <c r="NV48" s="14">
        <f t="shared" si="10"/>
        <v>0</v>
      </c>
      <c r="NW48" s="14">
        <f t="shared" si="11"/>
        <v>0</v>
      </c>
      <c r="NX48" s="14">
        <f t="shared" si="12"/>
        <v>0</v>
      </c>
      <c r="NY48" s="14">
        <f t="shared" si="13"/>
        <v>0</v>
      </c>
    </row>
    <row r="49" spans="1:389" x14ac:dyDescent="0.25">
      <c r="A49" s="96" t="s">
        <v>377</v>
      </c>
      <c r="B49" s="34">
        <v>165</v>
      </c>
      <c r="C49" s="99">
        <v>5</v>
      </c>
      <c r="JB49" s="14">
        <v>1190505000</v>
      </c>
      <c r="JC49" s="14">
        <v>0</v>
      </c>
      <c r="JD49" s="14">
        <v>1190505000</v>
      </c>
      <c r="JH49" s="14">
        <v>24127</v>
      </c>
      <c r="JL49" s="14">
        <v>1190505000</v>
      </c>
      <c r="JM49" s="14">
        <v>-24127</v>
      </c>
      <c r="JN49" s="14">
        <v>1190505000</v>
      </c>
      <c r="ND49" s="14">
        <f t="shared" si="14"/>
        <v>1190505000</v>
      </c>
      <c r="NE49" s="14">
        <f t="shared" si="0"/>
        <v>0</v>
      </c>
      <c r="NF49" s="14">
        <f t="shared" si="1"/>
        <v>1190505000</v>
      </c>
      <c r="NI49" s="14">
        <f t="shared" si="2"/>
        <v>0</v>
      </c>
      <c r="NJ49" s="14">
        <f t="shared" si="3"/>
        <v>24127</v>
      </c>
      <c r="NK49" s="14">
        <f t="shared" si="4"/>
        <v>0</v>
      </c>
      <c r="NN49" s="14">
        <f t="shared" si="5"/>
        <v>1190505000</v>
      </c>
      <c r="NO49" s="14">
        <f t="shared" si="6"/>
        <v>-24127</v>
      </c>
      <c r="NP49" s="14">
        <f t="shared" si="7"/>
        <v>1190505000</v>
      </c>
      <c r="NS49" s="14">
        <f t="shared" si="15"/>
        <v>0</v>
      </c>
      <c r="NT49" s="14">
        <f t="shared" si="8"/>
        <v>0</v>
      </c>
      <c r="NU49" s="14">
        <f t="shared" si="9"/>
        <v>0</v>
      </c>
      <c r="NV49" s="14">
        <f t="shared" si="10"/>
        <v>0</v>
      </c>
      <c r="NW49" s="14">
        <f t="shared" si="11"/>
        <v>0</v>
      </c>
      <c r="NX49" s="14">
        <f t="shared" si="12"/>
        <v>0</v>
      </c>
      <c r="NY49" s="14">
        <f t="shared" si="13"/>
        <v>0</v>
      </c>
    </row>
    <row r="50" spans="1:389" x14ac:dyDescent="0.25">
      <c r="A50" s="96" t="s">
        <v>378</v>
      </c>
      <c r="B50" s="34">
        <v>167</v>
      </c>
      <c r="C50" s="99">
        <v>12</v>
      </c>
      <c r="JB50" s="14">
        <v>14659000</v>
      </c>
      <c r="JC50" s="14">
        <v>0</v>
      </c>
      <c r="JD50" s="14">
        <v>14659000</v>
      </c>
      <c r="JH50" s="14">
        <v>24315</v>
      </c>
      <c r="JL50" s="14">
        <v>14659000</v>
      </c>
      <c r="JM50" s="14">
        <v>-24315</v>
      </c>
      <c r="JN50" s="14">
        <v>14659000</v>
      </c>
      <c r="ND50" s="14">
        <f t="shared" si="14"/>
        <v>14659000</v>
      </c>
      <c r="NE50" s="14">
        <f t="shared" si="0"/>
        <v>0</v>
      </c>
      <c r="NF50" s="14">
        <f t="shared" si="1"/>
        <v>14659000</v>
      </c>
      <c r="NI50" s="14">
        <f t="shared" si="2"/>
        <v>0</v>
      </c>
      <c r="NJ50" s="14">
        <f t="shared" si="3"/>
        <v>24315</v>
      </c>
      <c r="NK50" s="14">
        <f t="shared" si="4"/>
        <v>0</v>
      </c>
      <c r="NN50" s="14">
        <f t="shared" si="5"/>
        <v>14659000</v>
      </c>
      <c r="NO50" s="14">
        <f t="shared" si="6"/>
        <v>-24315</v>
      </c>
      <c r="NP50" s="14">
        <f t="shared" si="7"/>
        <v>14659000</v>
      </c>
      <c r="NS50" s="14">
        <f t="shared" si="15"/>
        <v>0</v>
      </c>
      <c r="NT50" s="14">
        <f t="shared" si="8"/>
        <v>0</v>
      </c>
      <c r="NU50" s="14">
        <f t="shared" si="9"/>
        <v>0</v>
      </c>
      <c r="NV50" s="14">
        <f t="shared" si="10"/>
        <v>0</v>
      </c>
      <c r="NW50" s="14">
        <f t="shared" si="11"/>
        <v>0</v>
      </c>
      <c r="NX50" s="14">
        <f t="shared" si="12"/>
        <v>0</v>
      </c>
      <c r="NY50" s="14">
        <f t="shared" si="13"/>
        <v>0</v>
      </c>
    </row>
    <row r="51" spans="1:389" x14ac:dyDescent="0.25">
      <c r="A51" s="96" t="s">
        <v>379</v>
      </c>
      <c r="B51" s="34">
        <v>169</v>
      </c>
      <c r="C51" s="99">
        <v>5</v>
      </c>
      <c r="JB51" s="14">
        <v>125047000</v>
      </c>
      <c r="JC51" s="14">
        <v>0</v>
      </c>
      <c r="JD51" s="14">
        <v>125047000</v>
      </c>
      <c r="JH51" s="14">
        <v>14438</v>
      </c>
      <c r="JL51" s="14">
        <v>125047000</v>
      </c>
      <c r="JM51" s="14">
        <v>-14438</v>
      </c>
      <c r="JN51" s="14">
        <v>125047000</v>
      </c>
      <c r="ND51" s="14">
        <f t="shared" si="14"/>
        <v>125047000</v>
      </c>
      <c r="NE51" s="14">
        <f t="shared" si="0"/>
        <v>0</v>
      </c>
      <c r="NF51" s="14">
        <f t="shared" si="1"/>
        <v>125047000</v>
      </c>
      <c r="NI51" s="14">
        <f t="shared" si="2"/>
        <v>0</v>
      </c>
      <c r="NJ51" s="14">
        <f t="shared" si="3"/>
        <v>14438</v>
      </c>
      <c r="NK51" s="14">
        <f t="shared" si="4"/>
        <v>0</v>
      </c>
      <c r="NN51" s="14">
        <f t="shared" si="5"/>
        <v>125047000</v>
      </c>
      <c r="NO51" s="14">
        <f t="shared" si="6"/>
        <v>-14438</v>
      </c>
      <c r="NP51" s="14">
        <f t="shared" si="7"/>
        <v>125047000</v>
      </c>
      <c r="NS51" s="14">
        <f t="shared" si="15"/>
        <v>0</v>
      </c>
      <c r="NT51" s="14">
        <f t="shared" si="8"/>
        <v>0</v>
      </c>
      <c r="NU51" s="14">
        <f t="shared" si="9"/>
        <v>0</v>
      </c>
      <c r="NV51" s="14">
        <f t="shared" si="10"/>
        <v>0</v>
      </c>
      <c r="NW51" s="14">
        <f t="shared" si="11"/>
        <v>0</v>
      </c>
      <c r="NX51" s="14">
        <f t="shared" si="12"/>
        <v>0</v>
      </c>
      <c r="NY51" s="14">
        <f t="shared" si="13"/>
        <v>0</v>
      </c>
    </row>
    <row r="52" spans="1:389" x14ac:dyDescent="0.25">
      <c r="A52" s="96" t="s">
        <v>380</v>
      </c>
      <c r="B52" s="34">
        <v>171</v>
      </c>
      <c r="C52" s="99">
        <v>11</v>
      </c>
      <c r="JB52" s="14">
        <v>10397000</v>
      </c>
      <c r="JC52" s="14">
        <v>172000</v>
      </c>
      <c r="JD52" s="14">
        <v>10225000</v>
      </c>
      <c r="JH52" s="14">
        <v>12399</v>
      </c>
      <c r="JL52" s="14">
        <v>10397000</v>
      </c>
      <c r="JM52" s="14">
        <v>159601</v>
      </c>
      <c r="JN52" s="14">
        <v>10225000</v>
      </c>
      <c r="ND52" s="14">
        <f t="shared" si="14"/>
        <v>10397000</v>
      </c>
      <c r="NE52" s="14">
        <f t="shared" si="0"/>
        <v>172000</v>
      </c>
      <c r="NF52" s="14">
        <f t="shared" si="1"/>
        <v>10225000</v>
      </c>
      <c r="NI52" s="14">
        <f t="shared" si="2"/>
        <v>0</v>
      </c>
      <c r="NJ52" s="14">
        <f t="shared" si="3"/>
        <v>12399</v>
      </c>
      <c r="NK52" s="14">
        <f t="shared" si="4"/>
        <v>0</v>
      </c>
      <c r="NN52" s="14">
        <f t="shared" si="5"/>
        <v>10397000</v>
      </c>
      <c r="NO52" s="14">
        <f t="shared" si="6"/>
        <v>159601</v>
      </c>
      <c r="NP52" s="14">
        <f t="shared" si="7"/>
        <v>10225000</v>
      </c>
      <c r="NS52" s="14">
        <f t="shared" si="15"/>
        <v>0</v>
      </c>
      <c r="NT52" s="14">
        <f t="shared" si="8"/>
        <v>0</v>
      </c>
      <c r="NU52" s="14">
        <f t="shared" si="9"/>
        <v>0</v>
      </c>
      <c r="NV52" s="14">
        <f t="shared" si="10"/>
        <v>0</v>
      </c>
      <c r="NW52" s="14">
        <f t="shared" si="11"/>
        <v>0</v>
      </c>
      <c r="NX52" s="14">
        <f t="shared" si="12"/>
        <v>0</v>
      </c>
      <c r="NY52" s="14">
        <f t="shared" si="13"/>
        <v>0</v>
      </c>
    </row>
    <row r="53" spans="1:389" x14ac:dyDescent="0.25">
      <c r="A53" s="96" t="s">
        <v>381</v>
      </c>
      <c r="B53" s="34">
        <v>172</v>
      </c>
      <c r="C53" s="99">
        <v>13</v>
      </c>
      <c r="JB53" s="14">
        <v>60586000</v>
      </c>
      <c r="JC53" s="14">
        <v>401000</v>
      </c>
      <c r="JD53" s="14">
        <v>60185000</v>
      </c>
      <c r="JH53" s="14">
        <v>10639</v>
      </c>
      <c r="JL53" s="14">
        <v>60586000</v>
      </c>
      <c r="JM53" s="14">
        <v>390361</v>
      </c>
      <c r="JN53" s="14">
        <v>60185000</v>
      </c>
      <c r="ND53" s="14">
        <f t="shared" si="14"/>
        <v>60586000</v>
      </c>
      <c r="NE53" s="14">
        <f t="shared" si="0"/>
        <v>401000</v>
      </c>
      <c r="NF53" s="14">
        <f t="shared" si="1"/>
        <v>60185000</v>
      </c>
      <c r="NI53" s="14">
        <f t="shared" si="2"/>
        <v>0</v>
      </c>
      <c r="NJ53" s="14">
        <f t="shared" si="3"/>
        <v>10639</v>
      </c>
      <c r="NK53" s="14">
        <f t="shared" si="4"/>
        <v>0</v>
      </c>
      <c r="NN53" s="14">
        <f t="shared" si="5"/>
        <v>60586000</v>
      </c>
      <c r="NO53" s="14">
        <f t="shared" si="6"/>
        <v>390361</v>
      </c>
      <c r="NP53" s="14">
        <f t="shared" si="7"/>
        <v>60185000</v>
      </c>
      <c r="NS53" s="14">
        <f t="shared" si="15"/>
        <v>0</v>
      </c>
      <c r="NT53" s="14">
        <f t="shared" si="8"/>
        <v>0</v>
      </c>
      <c r="NU53" s="14">
        <f t="shared" si="9"/>
        <v>0</v>
      </c>
      <c r="NV53" s="14">
        <f t="shared" si="10"/>
        <v>0</v>
      </c>
      <c r="NW53" s="14">
        <f t="shared" si="11"/>
        <v>0</v>
      </c>
      <c r="NX53" s="14">
        <f t="shared" si="12"/>
        <v>0</v>
      </c>
      <c r="NY53" s="14">
        <f t="shared" si="13"/>
        <v>0</v>
      </c>
    </row>
    <row r="54" spans="1:389" x14ac:dyDescent="0.25">
      <c r="A54" s="96" t="s">
        <v>382</v>
      </c>
      <c r="B54" s="34">
        <v>176</v>
      </c>
      <c r="C54" s="99">
        <v>12</v>
      </c>
      <c r="JB54" s="14">
        <v>14083000</v>
      </c>
      <c r="JC54" s="14">
        <v>0</v>
      </c>
      <c r="JD54" s="14">
        <v>14083000</v>
      </c>
      <c r="JH54" s="14">
        <v>21268</v>
      </c>
      <c r="JL54" s="14">
        <v>14083000</v>
      </c>
      <c r="JM54" s="14">
        <v>-21268</v>
      </c>
      <c r="JN54" s="14">
        <v>14083000</v>
      </c>
      <c r="ND54" s="14">
        <f t="shared" si="14"/>
        <v>14083000</v>
      </c>
      <c r="NE54" s="14">
        <f t="shared" si="0"/>
        <v>0</v>
      </c>
      <c r="NF54" s="14">
        <f t="shared" si="1"/>
        <v>14083000</v>
      </c>
      <c r="NI54" s="14">
        <f t="shared" si="2"/>
        <v>0</v>
      </c>
      <c r="NJ54" s="14">
        <f t="shared" si="3"/>
        <v>21268</v>
      </c>
      <c r="NK54" s="14">
        <f t="shared" si="4"/>
        <v>0</v>
      </c>
      <c r="NN54" s="14">
        <f t="shared" si="5"/>
        <v>14083000</v>
      </c>
      <c r="NO54" s="14">
        <f t="shared" si="6"/>
        <v>-21268</v>
      </c>
      <c r="NP54" s="14">
        <f t="shared" si="7"/>
        <v>14083000</v>
      </c>
      <c r="NS54" s="14">
        <f t="shared" si="15"/>
        <v>0</v>
      </c>
      <c r="NT54" s="14">
        <f t="shared" si="8"/>
        <v>0</v>
      </c>
      <c r="NU54" s="14">
        <f t="shared" si="9"/>
        <v>0</v>
      </c>
      <c r="NV54" s="14">
        <f t="shared" si="10"/>
        <v>0</v>
      </c>
      <c r="NW54" s="14">
        <f t="shared" si="11"/>
        <v>0</v>
      </c>
      <c r="NX54" s="14">
        <f t="shared" si="12"/>
        <v>0</v>
      </c>
      <c r="NY54" s="14">
        <f t="shared" si="13"/>
        <v>0</v>
      </c>
    </row>
    <row r="55" spans="1:389" x14ac:dyDescent="0.25">
      <c r="A55" s="96" t="s">
        <v>383</v>
      </c>
      <c r="B55" s="34">
        <v>177</v>
      </c>
      <c r="C55" s="99">
        <v>6</v>
      </c>
      <c r="JB55" s="14">
        <v>18048000</v>
      </c>
      <c r="JC55" s="14">
        <v>2800000</v>
      </c>
      <c r="JD55" s="14">
        <v>15248000</v>
      </c>
      <c r="JH55" s="14">
        <v>8453</v>
      </c>
      <c r="JL55" s="14">
        <v>18048000</v>
      </c>
      <c r="JM55" s="14">
        <v>2791547</v>
      </c>
      <c r="JN55" s="14">
        <v>15248000</v>
      </c>
      <c r="ND55" s="14">
        <f t="shared" si="14"/>
        <v>18048000</v>
      </c>
      <c r="NE55" s="14">
        <f t="shared" si="0"/>
        <v>2800000</v>
      </c>
      <c r="NF55" s="14">
        <f t="shared" si="1"/>
        <v>15248000</v>
      </c>
      <c r="NI55" s="14">
        <f t="shared" si="2"/>
        <v>0</v>
      </c>
      <c r="NJ55" s="14">
        <f t="shared" si="3"/>
        <v>8453</v>
      </c>
      <c r="NK55" s="14">
        <f t="shared" si="4"/>
        <v>0</v>
      </c>
      <c r="NN55" s="14">
        <f t="shared" si="5"/>
        <v>18048000</v>
      </c>
      <c r="NO55" s="14">
        <f t="shared" si="6"/>
        <v>2791547</v>
      </c>
      <c r="NP55" s="14">
        <f t="shared" si="7"/>
        <v>15248000</v>
      </c>
      <c r="NS55" s="14">
        <f t="shared" si="15"/>
        <v>0</v>
      </c>
      <c r="NT55" s="14">
        <f t="shared" si="8"/>
        <v>0</v>
      </c>
      <c r="NU55" s="14">
        <f t="shared" si="9"/>
        <v>0</v>
      </c>
      <c r="NV55" s="14">
        <f t="shared" si="10"/>
        <v>0</v>
      </c>
      <c r="NW55" s="14">
        <f t="shared" si="11"/>
        <v>0</v>
      </c>
      <c r="NX55" s="14">
        <f t="shared" si="12"/>
        <v>0</v>
      </c>
      <c r="NY55" s="14">
        <f t="shared" si="13"/>
        <v>0</v>
      </c>
    </row>
    <row r="56" spans="1:389" x14ac:dyDescent="0.25">
      <c r="A56" s="96" t="s">
        <v>384</v>
      </c>
      <c r="B56" s="34">
        <v>178</v>
      </c>
      <c r="C56" s="99">
        <v>10</v>
      </c>
      <c r="JB56" s="14">
        <v>243588000</v>
      </c>
      <c r="JC56" s="14">
        <v>112000</v>
      </c>
      <c r="JD56" s="14">
        <v>243476000</v>
      </c>
      <c r="JH56" s="14">
        <v>12445</v>
      </c>
      <c r="JL56" s="14">
        <v>243588000</v>
      </c>
      <c r="JM56" s="14">
        <v>99555</v>
      </c>
      <c r="JN56" s="14">
        <v>243476000</v>
      </c>
      <c r="ND56" s="14">
        <f t="shared" si="14"/>
        <v>243588000</v>
      </c>
      <c r="NE56" s="14">
        <f t="shared" si="0"/>
        <v>112000</v>
      </c>
      <c r="NF56" s="14">
        <f t="shared" si="1"/>
        <v>243476000</v>
      </c>
      <c r="NI56" s="14">
        <f t="shared" si="2"/>
        <v>0</v>
      </c>
      <c r="NJ56" s="14">
        <f t="shared" si="3"/>
        <v>12445</v>
      </c>
      <c r="NK56" s="14">
        <f t="shared" si="4"/>
        <v>0</v>
      </c>
      <c r="NN56" s="14">
        <f t="shared" si="5"/>
        <v>243588000</v>
      </c>
      <c r="NO56" s="14">
        <f t="shared" si="6"/>
        <v>99555</v>
      </c>
      <c r="NP56" s="14">
        <f t="shared" si="7"/>
        <v>243476000</v>
      </c>
      <c r="NS56" s="14">
        <f t="shared" si="15"/>
        <v>0</v>
      </c>
      <c r="NT56" s="14">
        <f t="shared" si="8"/>
        <v>0</v>
      </c>
      <c r="NU56" s="14">
        <f t="shared" si="9"/>
        <v>0</v>
      </c>
      <c r="NV56" s="14">
        <f t="shared" si="10"/>
        <v>0</v>
      </c>
      <c r="NW56" s="14">
        <f t="shared" si="11"/>
        <v>0</v>
      </c>
      <c r="NX56" s="14">
        <f t="shared" si="12"/>
        <v>0</v>
      </c>
      <c r="NY56" s="14">
        <f t="shared" si="13"/>
        <v>0</v>
      </c>
    </row>
    <row r="57" spans="1:389" x14ac:dyDescent="0.25">
      <c r="A57" s="96" t="s">
        <v>385</v>
      </c>
      <c r="B57" s="34">
        <v>179</v>
      </c>
      <c r="C57" s="99">
        <v>13</v>
      </c>
      <c r="JB57" s="14">
        <v>61706000</v>
      </c>
      <c r="JC57" s="14">
        <v>29000</v>
      </c>
      <c r="JD57" s="14">
        <v>61677000</v>
      </c>
      <c r="JH57" s="14">
        <v>16000</v>
      </c>
      <c r="JL57" s="14">
        <v>61706000</v>
      </c>
      <c r="JM57" s="14">
        <v>13000</v>
      </c>
      <c r="JN57" s="14">
        <v>61677000</v>
      </c>
      <c r="ND57" s="14">
        <f t="shared" si="14"/>
        <v>61706000</v>
      </c>
      <c r="NE57" s="14">
        <f t="shared" si="0"/>
        <v>29000</v>
      </c>
      <c r="NF57" s="14">
        <f t="shared" si="1"/>
        <v>61677000</v>
      </c>
      <c r="NI57" s="14">
        <f t="shared" si="2"/>
        <v>0</v>
      </c>
      <c r="NJ57" s="14">
        <f t="shared" si="3"/>
        <v>16000</v>
      </c>
      <c r="NK57" s="14">
        <f t="shared" si="4"/>
        <v>0</v>
      </c>
      <c r="NN57" s="14">
        <f t="shared" si="5"/>
        <v>61706000</v>
      </c>
      <c r="NO57" s="14">
        <f t="shared" si="6"/>
        <v>13000</v>
      </c>
      <c r="NP57" s="14">
        <f t="shared" si="7"/>
        <v>61677000</v>
      </c>
      <c r="NS57" s="14">
        <f t="shared" si="15"/>
        <v>0</v>
      </c>
      <c r="NT57" s="14">
        <f t="shared" si="8"/>
        <v>0</v>
      </c>
      <c r="NU57" s="14">
        <f t="shared" si="9"/>
        <v>0</v>
      </c>
      <c r="NV57" s="14">
        <f t="shared" si="10"/>
        <v>0</v>
      </c>
      <c r="NW57" s="14">
        <f t="shared" si="11"/>
        <v>0</v>
      </c>
      <c r="NX57" s="14">
        <f t="shared" si="12"/>
        <v>0</v>
      </c>
      <c r="NY57" s="14">
        <f t="shared" si="13"/>
        <v>0</v>
      </c>
    </row>
    <row r="58" spans="1:389" x14ac:dyDescent="0.25">
      <c r="A58" s="96" t="s">
        <v>386</v>
      </c>
      <c r="B58" s="34">
        <v>181</v>
      </c>
      <c r="C58" s="99">
        <v>4</v>
      </c>
      <c r="JB58" s="14">
        <v>368115000</v>
      </c>
      <c r="JC58" s="14">
        <v>500000</v>
      </c>
      <c r="JD58" s="14">
        <v>367615000</v>
      </c>
      <c r="JH58" s="14">
        <v>77249</v>
      </c>
      <c r="JL58" s="14">
        <v>368115000</v>
      </c>
      <c r="JM58" s="14">
        <v>422751</v>
      </c>
      <c r="JN58" s="14">
        <v>367615000</v>
      </c>
      <c r="ND58" s="14">
        <f t="shared" si="14"/>
        <v>368115000</v>
      </c>
      <c r="NE58" s="14">
        <f t="shared" si="0"/>
        <v>500000</v>
      </c>
      <c r="NF58" s="14">
        <f t="shared" si="1"/>
        <v>367615000</v>
      </c>
      <c r="NI58" s="14">
        <f t="shared" si="2"/>
        <v>0</v>
      </c>
      <c r="NJ58" s="14">
        <f t="shared" si="3"/>
        <v>77249</v>
      </c>
      <c r="NK58" s="14">
        <f t="shared" si="4"/>
        <v>0</v>
      </c>
      <c r="NN58" s="14">
        <f t="shared" si="5"/>
        <v>368115000</v>
      </c>
      <c r="NO58" s="14">
        <f t="shared" si="6"/>
        <v>422751</v>
      </c>
      <c r="NP58" s="14">
        <f t="shared" si="7"/>
        <v>367615000</v>
      </c>
      <c r="NS58" s="14">
        <f t="shared" si="15"/>
        <v>0</v>
      </c>
      <c r="NT58" s="14">
        <f t="shared" si="8"/>
        <v>0</v>
      </c>
      <c r="NU58" s="14">
        <f t="shared" si="9"/>
        <v>0</v>
      </c>
      <c r="NV58" s="14">
        <f t="shared" si="10"/>
        <v>0</v>
      </c>
      <c r="NW58" s="14">
        <f t="shared" si="11"/>
        <v>0</v>
      </c>
      <c r="NX58" s="14">
        <f t="shared" si="12"/>
        <v>0</v>
      </c>
      <c r="NY58" s="14">
        <f t="shared" si="13"/>
        <v>0</v>
      </c>
    </row>
    <row r="59" spans="1:389" x14ac:dyDescent="0.25">
      <c r="A59" s="96" t="s">
        <v>387</v>
      </c>
      <c r="B59" s="34">
        <v>182</v>
      </c>
      <c r="C59" s="99">
        <v>13</v>
      </c>
      <c r="JB59" s="14">
        <v>110529000</v>
      </c>
      <c r="JC59" s="14">
        <v>0</v>
      </c>
      <c r="JD59" s="14">
        <v>110529000</v>
      </c>
      <c r="JH59" s="14">
        <v>32763</v>
      </c>
      <c r="JL59" s="14">
        <v>110529000</v>
      </c>
      <c r="JM59" s="14">
        <v>-32763</v>
      </c>
      <c r="JN59" s="14">
        <v>110529000</v>
      </c>
      <c r="ND59" s="14">
        <f t="shared" si="14"/>
        <v>110529000</v>
      </c>
      <c r="NE59" s="14">
        <f t="shared" si="0"/>
        <v>0</v>
      </c>
      <c r="NF59" s="14">
        <f t="shared" si="1"/>
        <v>110529000</v>
      </c>
      <c r="NI59" s="14">
        <f t="shared" si="2"/>
        <v>0</v>
      </c>
      <c r="NJ59" s="14">
        <f t="shared" si="3"/>
        <v>32763</v>
      </c>
      <c r="NK59" s="14">
        <f t="shared" si="4"/>
        <v>0</v>
      </c>
      <c r="NN59" s="14">
        <f t="shared" si="5"/>
        <v>110529000</v>
      </c>
      <c r="NO59" s="14">
        <f t="shared" si="6"/>
        <v>-32763</v>
      </c>
      <c r="NP59" s="14">
        <f t="shared" si="7"/>
        <v>110529000</v>
      </c>
      <c r="NS59" s="14">
        <f t="shared" si="15"/>
        <v>0</v>
      </c>
      <c r="NT59" s="14">
        <f t="shared" si="8"/>
        <v>0</v>
      </c>
      <c r="NU59" s="14">
        <f t="shared" si="9"/>
        <v>0</v>
      </c>
      <c r="NV59" s="14">
        <f t="shared" si="10"/>
        <v>0</v>
      </c>
      <c r="NW59" s="14">
        <f t="shared" si="11"/>
        <v>0</v>
      </c>
      <c r="NX59" s="14">
        <f t="shared" si="12"/>
        <v>0</v>
      </c>
      <c r="NY59" s="14">
        <f t="shared" si="13"/>
        <v>0</v>
      </c>
    </row>
    <row r="60" spans="1:389" x14ac:dyDescent="0.25">
      <c r="A60" s="96" t="s">
        <v>388</v>
      </c>
      <c r="B60" s="34">
        <v>186</v>
      </c>
      <c r="C60" s="99">
        <v>1</v>
      </c>
      <c r="JB60" s="14">
        <v>59637000</v>
      </c>
      <c r="JC60" s="14">
        <v>0</v>
      </c>
      <c r="JD60" s="14">
        <v>59637000</v>
      </c>
      <c r="JH60" s="14">
        <v>72719</v>
      </c>
      <c r="JL60" s="14">
        <v>59637000</v>
      </c>
      <c r="JM60" s="14">
        <v>-72719</v>
      </c>
      <c r="JN60" s="14">
        <v>59637000</v>
      </c>
      <c r="ND60" s="14">
        <f t="shared" si="14"/>
        <v>59637000</v>
      </c>
      <c r="NE60" s="14">
        <f t="shared" si="0"/>
        <v>0</v>
      </c>
      <c r="NF60" s="14">
        <f t="shared" si="1"/>
        <v>59637000</v>
      </c>
      <c r="NI60" s="14">
        <f t="shared" si="2"/>
        <v>0</v>
      </c>
      <c r="NJ60" s="14">
        <f t="shared" si="3"/>
        <v>72719</v>
      </c>
      <c r="NK60" s="14">
        <f t="shared" si="4"/>
        <v>0</v>
      </c>
      <c r="NN60" s="14">
        <f t="shared" si="5"/>
        <v>59637000</v>
      </c>
      <c r="NO60" s="14">
        <f t="shared" si="6"/>
        <v>-72719</v>
      </c>
      <c r="NP60" s="14">
        <f t="shared" si="7"/>
        <v>59637000</v>
      </c>
      <c r="NS60" s="14">
        <f t="shared" si="15"/>
        <v>0</v>
      </c>
      <c r="NT60" s="14">
        <f t="shared" si="8"/>
        <v>0</v>
      </c>
      <c r="NU60" s="14">
        <f t="shared" si="9"/>
        <v>0</v>
      </c>
      <c r="NV60" s="14">
        <f t="shared" si="10"/>
        <v>0</v>
      </c>
      <c r="NW60" s="14">
        <f t="shared" si="11"/>
        <v>0</v>
      </c>
      <c r="NX60" s="14">
        <f t="shared" si="12"/>
        <v>0</v>
      </c>
      <c r="NY60" s="14">
        <f t="shared" si="13"/>
        <v>0</v>
      </c>
    </row>
    <row r="61" spans="1:389" x14ac:dyDescent="0.25">
      <c r="A61" s="96" t="s">
        <v>389</v>
      </c>
      <c r="B61" s="34">
        <v>202</v>
      </c>
      <c r="C61" s="99">
        <v>2</v>
      </c>
      <c r="JB61" s="14">
        <v>126571000</v>
      </c>
      <c r="JC61" s="14">
        <v>0</v>
      </c>
      <c r="JD61" s="14">
        <v>126571000</v>
      </c>
      <c r="JH61" s="14">
        <v>18459</v>
      </c>
      <c r="JL61" s="14">
        <v>126571000</v>
      </c>
      <c r="JM61" s="14">
        <v>-18459</v>
      </c>
      <c r="JN61" s="14">
        <v>126571000</v>
      </c>
      <c r="ND61" s="14">
        <f t="shared" si="14"/>
        <v>126571000</v>
      </c>
      <c r="NE61" s="14">
        <f t="shared" si="0"/>
        <v>0</v>
      </c>
      <c r="NF61" s="14">
        <f t="shared" si="1"/>
        <v>126571000</v>
      </c>
      <c r="NI61" s="14">
        <f t="shared" si="2"/>
        <v>0</v>
      </c>
      <c r="NJ61" s="14">
        <f t="shared" si="3"/>
        <v>18459</v>
      </c>
      <c r="NK61" s="14">
        <f t="shared" si="4"/>
        <v>0</v>
      </c>
      <c r="NN61" s="14">
        <f t="shared" si="5"/>
        <v>126571000</v>
      </c>
      <c r="NO61" s="14">
        <f t="shared" si="6"/>
        <v>-18459</v>
      </c>
      <c r="NP61" s="14">
        <f t="shared" si="7"/>
        <v>126571000</v>
      </c>
      <c r="NS61" s="14">
        <f t="shared" si="15"/>
        <v>0</v>
      </c>
      <c r="NT61" s="14">
        <f t="shared" si="8"/>
        <v>0</v>
      </c>
      <c r="NU61" s="14">
        <f t="shared" si="9"/>
        <v>0</v>
      </c>
      <c r="NV61" s="14">
        <f t="shared" si="10"/>
        <v>0</v>
      </c>
      <c r="NW61" s="14">
        <f t="shared" si="11"/>
        <v>0</v>
      </c>
      <c r="NX61" s="14">
        <f t="shared" si="12"/>
        <v>0</v>
      </c>
      <c r="NY61" s="14">
        <f t="shared" si="13"/>
        <v>0</v>
      </c>
    </row>
    <row r="62" spans="1:389" x14ac:dyDescent="0.25">
      <c r="A62" s="96" t="s">
        <v>390</v>
      </c>
      <c r="B62" s="34">
        <v>204</v>
      </c>
      <c r="C62" s="99">
        <v>11</v>
      </c>
      <c r="JB62" s="14">
        <v>39022000</v>
      </c>
      <c r="JC62" s="14">
        <v>1660000</v>
      </c>
      <c r="JD62" s="14">
        <v>37362000</v>
      </c>
      <c r="JH62" s="14">
        <v>176561</v>
      </c>
      <c r="JL62" s="14">
        <v>39022000</v>
      </c>
      <c r="JM62" s="14">
        <v>1483439</v>
      </c>
      <c r="JN62" s="14">
        <v>37362000</v>
      </c>
      <c r="ND62" s="14">
        <f t="shared" si="14"/>
        <v>39022000</v>
      </c>
      <c r="NE62" s="14">
        <f t="shared" si="0"/>
        <v>1660000</v>
      </c>
      <c r="NF62" s="14">
        <f t="shared" si="1"/>
        <v>37362000</v>
      </c>
      <c r="NI62" s="14">
        <f t="shared" si="2"/>
        <v>0</v>
      </c>
      <c r="NJ62" s="14">
        <f t="shared" si="3"/>
        <v>176561</v>
      </c>
      <c r="NK62" s="14">
        <f t="shared" si="4"/>
        <v>0</v>
      </c>
      <c r="NN62" s="14">
        <f t="shared" si="5"/>
        <v>39022000</v>
      </c>
      <c r="NO62" s="14">
        <f t="shared" si="6"/>
        <v>1483439</v>
      </c>
      <c r="NP62" s="14">
        <f t="shared" si="7"/>
        <v>37362000</v>
      </c>
      <c r="NS62" s="14">
        <f t="shared" si="15"/>
        <v>0</v>
      </c>
      <c r="NT62" s="14">
        <f t="shared" si="8"/>
        <v>0</v>
      </c>
      <c r="NU62" s="14">
        <f t="shared" si="9"/>
        <v>0</v>
      </c>
      <c r="NV62" s="14">
        <f t="shared" si="10"/>
        <v>0</v>
      </c>
      <c r="NW62" s="14">
        <f t="shared" si="11"/>
        <v>0</v>
      </c>
      <c r="NX62" s="14">
        <f t="shared" si="12"/>
        <v>0</v>
      </c>
      <c r="NY62" s="14">
        <f t="shared" si="13"/>
        <v>0</v>
      </c>
    </row>
    <row r="63" spans="1:389" x14ac:dyDescent="0.25">
      <c r="A63" s="96" t="s">
        <v>391</v>
      </c>
      <c r="B63" s="34">
        <v>205</v>
      </c>
      <c r="C63" s="99">
        <v>18</v>
      </c>
      <c r="JB63" s="14">
        <v>42449000</v>
      </c>
      <c r="JC63" s="14">
        <v>180000</v>
      </c>
      <c r="JD63" s="14">
        <v>42269000</v>
      </c>
      <c r="JH63" s="14">
        <v>18946</v>
      </c>
      <c r="JL63" s="14">
        <v>42449000</v>
      </c>
      <c r="JM63" s="14">
        <v>161054</v>
      </c>
      <c r="JN63" s="14">
        <v>42269000</v>
      </c>
      <c r="ND63" s="14">
        <f t="shared" si="14"/>
        <v>42449000</v>
      </c>
      <c r="NE63" s="14">
        <f t="shared" si="0"/>
        <v>180000</v>
      </c>
      <c r="NF63" s="14">
        <f t="shared" si="1"/>
        <v>42269000</v>
      </c>
      <c r="NI63" s="14">
        <f t="shared" si="2"/>
        <v>0</v>
      </c>
      <c r="NJ63" s="14">
        <f t="shared" si="3"/>
        <v>18946</v>
      </c>
      <c r="NK63" s="14">
        <f t="shared" si="4"/>
        <v>0</v>
      </c>
      <c r="NN63" s="14">
        <f t="shared" si="5"/>
        <v>42449000</v>
      </c>
      <c r="NO63" s="14">
        <f t="shared" si="6"/>
        <v>161054</v>
      </c>
      <c r="NP63" s="14">
        <f t="shared" si="7"/>
        <v>42269000</v>
      </c>
      <c r="NS63" s="14">
        <f t="shared" si="15"/>
        <v>0</v>
      </c>
      <c r="NT63" s="14">
        <f t="shared" si="8"/>
        <v>0</v>
      </c>
      <c r="NU63" s="14">
        <f t="shared" si="9"/>
        <v>0</v>
      </c>
      <c r="NV63" s="14">
        <f t="shared" si="10"/>
        <v>0</v>
      </c>
      <c r="NW63" s="14">
        <f t="shared" si="11"/>
        <v>0</v>
      </c>
      <c r="NX63" s="14">
        <f t="shared" si="12"/>
        <v>0</v>
      </c>
      <c r="NY63" s="14">
        <f t="shared" si="13"/>
        <v>0</v>
      </c>
    </row>
    <row r="64" spans="1:389" x14ac:dyDescent="0.25">
      <c r="A64" s="96" t="s">
        <v>392</v>
      </c>
      <c r="B64" s="34">
        <v>208</v>
      </c>
      <c r="C64" s="99">
        <v>17</v>
      </c>
      <c r="JB64" s="14">
        <v>65845000</v>
      </c>
      <c r="JC64" s="14">
        <v>585000</v>
      </c>
      <c r="JD64" s="14">
        <v>65260000</v>
      </c>
      <c r="JH64" s="14">
        <v>15943</v>
      </c>
      <c r="JL64" s="14">
        <v>65845000</v>
      </c>
      <c r="JM64" s="14">
        <v>569057</v>
      </c>
      <c r="JN64" s="14">
        <v>65260000</v>
      </c>
      <c r="ND64" s="14">
        <f t="shared" si="14"/>
        <v>65845000</v>
      </c>
      <c r="NE64" s="14">
        <f t="shared" si="0"/>
        <v>585000</v>
      </c>
      <c r="NF64" s="14">
        <f t="shared" si="1"/>
        <v>65260000</v>
      </c>
      <c r="NI64" s="14">
        <f t="shared" si="2"/>
        <v>0</v>
      </c>
      <c r="NJ64" s="14">
        <f t="shared" si="3"/>
        <v>15943</v>
      </c>
      <c r="NK64" s="14">
        <f t="shared" si="4"/>
        <v>0</v>
      </c>
      <c r="NN64" s="14">
        <f t="shared" si="5"/>
        <v>65845000</v>
      </c>
      <c r="NO64" s="14">
        <f t="shared" si="6"/>
        <v>569057</v>
      </c>
      <c r="NP64" s="14">
        <f t="shared" si="7"/>
        <v>65260000</v>
      </c>
      <c r="NS64" s="14">
        <f t="shared" si="15"/>
        <v>0</v>
      </c>
      <c r="NT64" s="14">
        <f t="shared" si="8"/>
        <v>0</v>
      </c>
      <c r="NU64" s="14">
        <f t="shared" si="9"/>
        <v>0</v>
      </c>
      <c r="NV64" s="14">
        <f t="shared" si="10"/>
        <v>0</v>
      </c>
      <c r="NW64" s="14">
        <f t="shared" si="11"/>
        <v>0</v>
      </c>
      <c r="NX64" s="14">
        <f t="shared" si="12"/>
        <v>0</v>
      </c>
      <c r="NY64" s="14">
        <f t="shared" si="13"/>
        <v>0</v>
      </c>
    </row>
    <row r="65" spans="1:389" x14ac:dyDescent="0.25">
      <c r="A65" s="96" t="s">
        <v>393</v>
      </c>
      <c r="B65" s="34">
        <v>211</v>
      </c>
      <c r="C65" s="99">
        <v>6</v>
      </c>
      <c r="JB65" s="14">
        <v>40688000</v>
      </c>
      <c r="JC65" s="14">
        <v>150000</v>
      </c>
      <c r="JD65" s="14">
        <v>40538000</v>
      </c>
      <c r="JH65" s="14">
        <v>8448</v>
      </c>
      <c r="JL65" s="14">
        <v>40688000</v>
      </c>
      <c r="JM65" s="14">
        <v>141552</v>
      </c>
      <c r="JN65" s="14">
        <v>40538000</v>
      </c>
      <c r="ND65" s="14">
        <f t="shared" si="14"/>
        <v>40688000</v>
      </c>
      <c r="NE65" s="14">
        <f t="shared" si="0"/>
        <v>150000</v>
      </c>
      <c r="NF65" s="14">
        <f t="shared" si="1"/>
        <v>40538000</v>
      </c>
      <c r="NI65" s="14">
        <f t="shared" si="2"/>
        <v>0</v>
      </c>
      <c r="NJ65" s="14">
        <f t="shared" si="3"/>
        <v>8448</v>
      </c>
      <c r="NK65" s="14">
        <f t="shared" si="4"/>
        <v>0</v>
      </c>
      <c r="NN65" s="14">
        <f t="shared" si="5"/>
        <v>40688000</v>
      </c>
      <c r="NO65" s="14">
        <f t="shared" si="6"/>
        <v>141552</v>
      </c>
      <c r="NP65" s="14">
        <f t="shared" si="7"/>
        <v>40538000</v>
      </c>
      <c r="NS65" s="14">
        <f t="shared" si="15"/>
        <v>0</v>
      </c>
      <c r="NT65" s="14">
        <f t="shared" si="8"/>
        <v>0</v>
      </c>
      <c r="NU65" s="14">
        <f t="shared" si="9"/>
        <v>0</v>
      </c>
      <c r="NV65" s="14">
        <f t="shared" si="10"/>
        <v>0</v>
      </c>
      <c r="NW65" s="14">
        <f t="shared" si="11"/>
        <v>0</v>
      </c>
      <c r="NX65" s="14">
        <f t="shared" si="12"/>
        <v>0</v>
      </c>
      <c r="NY65" s="14">
        <f t="shared" si="13"/>
        <v>0</v>
      </c>
    </row>
    <row r="66" spans="1:389" x14ac:dyDescent="0.25">
      <c r="A66" s="96" t="s">
        <v>394</v>
      </c>
      <c r="B66" s="34">
        <v>213</v>
      </c>
      <c r="C66" s="99">
        <v>10</v>
      </c>
      <c r="JB66" s="14">
        <v>49832000</v>
      </c>
      <c r="JC66" s="14">
        <v>0</v>
      </c>
      <c r="JD66" s="14">
        <v>49832000</v>
      </c>
      <c r="JH66" s="14">
        <v>30792</v>
      </c>
      <c r="JL66" s="14">
        <v>49832000</v>
      </c>
      <c r="JM66" s="14">
        <v>-30792</v>
      </c>
      <c r="JN66" s="14">
        <v>49832000</v>
      </c>
      <c r="ND66" s="14">
        <f t="shared" si="14"/>
        <v>49832000</v>
      </c>
      <c r="NE66" s="14">
        <f t="shared" si="0"/>
        <v>0</v>
      </c>
      <c r="NF66" s="14">
        <f t="shared" si="1"/>
        <v>49832000</v>
      </c>
      <c r="NI66" s="14">
        <f t="shared" si="2"/>
        <v>0</v>
      </c>
      <c r="NJ66" s="14">
        <f t="shared" si="3"/>
        <v>30792</v>
      </c>
      <c r="NK66" s="14">
        <f t="shared" si="4"/>
        <v>0</v>
      </c>
      <c r="NN66" s="14">
        <f t="shared" si="5"/>
        <v>49832000</v>
      </c>
      <c r="NO66" s="14">
        <f t="shared" si="6"/>
        <v>-30792</v>
      </c>
      <c r="NP66" s="14">
        <f t="shared" si="7"/>
        <v>49832000</v>
      </c>
      <c r="NS66" s="14">
        <f t="shared" si="15"/>
        <v>0</v>
      </c>
      <c r="NT66" s="14">
        <f t="shared" si="8"/>
        <v>0</v>
      </c>
      <c r="NU66" s="14">
        <f t="shared" si="9"/>
        <v>0</v>
      </c>
      <c r="NV66" s="14">
        <f t="shared" si="10"/>
        <v>0</v>
      </c>
      <c r="NW66" s="14">
        <f t="shared" si="11"/>
        <v>0</v>
      </c>
      <c r="NX66" s="14">
        <f t="shared" si="12"/>
        <v>0</v>
      </c>
      <c r="NY66" s="14">
        <f t="shared" si="13"/>
        <v>0</v>
      </c>
    </row>
    <row r="67" spans="1:389" x14ac:dyDescent="0.25">
      <c r="A67" s="96" t="s">
        <v>395</v>
      </c>
      <c r="B67" s="34">
        <v>214</v>
      </c>
      <c r="C67" s="99">
        <v>4</v>
      </c>
      <c r="JB67" s="14">
        <v>30731000</v>
      </c>
      <c r="JC67" s="14">
        <v>2300000</v>
      </c>
      <c r="JD67" s="14">
        <v>28431000</v>
      </c>
      <c r="JH67" s="14">
        <v>77050</v>
      </c>
      <c r="JL67" s="14">
        <v>30731000</v>
      </c>
      <c r="JM67" s="14">
        <v>2222950</v>
      </c>
      <c r="JN67" s="14">
        <v>28431000</v>
      </c>
      <c r="ND67" s="14">
        <f t="shared" si="14"/>
        <v>30731000</v>
      </c>
      <c r="NE67" s="14">
        <f t="shared" si="0"/>
        <v>2300000</v>
      </c>
      <c r="NF67" s="14">
        <f t="shared" si="1"/>
        <v>28431000</v>
      </c>
      <c r="NI67" s="14">
        <f t="shared" si="2"/>
        <v>0</v>
      </c>
      <c r="NJ67" s="14">
        <f t="shared" si="3"/>
        <v>77050</v>
      </c>
      <c r="NK67" s="14">
        <f t="shared" si="4"/>
        <v>0</v>
      </c>
      <c r="NN67" s="14">
        <f t="shared" si="5"/>
        <v>30731000</v>
      </c>
      <c r="NO67" s="14">
        <f t="shared" si="6"/>
        <v>2222950</v>
      </c>
      <c r="NP67" s="14">
        <f t="shared" si="7"/>
        <v>28431000</v>
      </c>
      <c r="NS67" s="14">
        <f t="shared" si="15"/>
        <v>0</v>
      </c>
      <c r="NT67" s="14">
        <f t="shared" si="8"/>
        <v>0</v>
      </c>
      <c r="NU67" s="14">
        <f t="shared" si="9"/>
        <v>0</v>
      </c>
      <c r="NV67" s="14">
        <f t="shared" si="10"/>
        <v>0</v>
      </c>
      <c r="NW67" s="14">
        <f t="shared" si="11"/>
        <v>0</v>
      </c>
      <c r="NX67" s="14">
        <f t="shared" si="12"/>
        <v>0</v>
      </c>
      <c r="NY67" s="14">
        <f t="shared" si="13"/>
        <v>0</v>
      </c>
    </row>
    <row r="68" spans="1:389" x14ac:dyDescent="0.25">
      <c r="A68" s="96" t="s">
        <v>396</v>
      </c>
      <c r="B68" s="34">
        <v>216</v>
      </c>
      <c r="C68" s="99">
        <v>13</v>
      </c>
      <c r="JB68" s="14">
        <v>14700000</v>
      </c>
      <c r="JC68" s="14">
        <v>35000</v>
      </c>
      <c r="JD68" s="14">
        <v>14665000</v>
      </c>
      <c r="JH68" s="14">
        <v>18698</v>
      </c>
      <c r="JL68" s="14">
        <v>14700000</v>
      </c>
      <c r="JM68" s="14">
        <v>16302</v>
      </c>
      <c r="JN68" s="14">
        <v>14665000</v>
      </c>
      <c r="ND68" s="14">
        <f t="shared" si="14"/>
        <v>14700000</v>
      </c>
      <c r="NE68" s="14">
        <f t="shared" si="0"/>
        <v>35000</v>
      </c>
      <c r="NF68" s="14">
        <f t="shared" si="1"/>
        <v>14665000</v>
      </c>
      <c r="NI68" s="14">
        <f t="shared" si="2"/>
        <v>0</v>
      </c>
      <c r="NJ68" s="14">
        <f t="shared" si="3"/>
        <v>18698</v>
      </c>
      <c r="NK68" s="14">
        <f t="shared" si="4"/>
        <v>0</v>
      </c>
      <c r="NN68" s="14">
        <f t="shared" si="5"/>
        <v>14700000</v>
      </c>
      <c r="NO68" s="14">
        <f t="shared" si="6"/>
        <v>16302</v>
      </c>
      <c r="NP68" s="14">
        <f t="shared" si="7"/>
        <v>14665000</v>
      </c>
      <c r="NS68" s="14">
        <f t="shared" si="15"/>
        <v>0</v>
      </c>
      <c r="NT68" s="14">
        <f t="shared" si="8"/>
        <v>0</v>
      </c>
      <c r="NU68" s="14">
        <f t="shared" si="9"/>
        <v>0</v>
      </c>
      <c r="NV68" s="14">
        <f t="shared" si="10"/>
        <v>0</v>
      </c>
      <c r="NW68" s="14">
        <f t="shared" si="11"/>
        <v>0</v>
      </c>
      <c r="NX68" s="14">
        <f t="shared" si="12"/>
        <v>0</v>
      </c>
      <c r="NY68" s="14">
        <f t="shared" si="13"/>
        <v>0</v>
      </c>
    </row>
    <row r="69" spans="1:389" x14ac:dyDescent="0.25">
      <c r="A69" s="96" t="s">
        <v>397</v>
      </c>
      <c r="B69" s="34">
        <v>217</v>
      </c>
      <c r="C69" s="99">
        <v>16</v>
      </c>
      <c r="JB69" s="14">
        <v>28216000</v>
      </c>
      <c r="JC69" s="14">
        <v>696000</v>
      </c>
      <c r="JD69" s="14">
        <v>27520000</v>
      </c>
      <c r="JH69" s="14">
        <v>50725</v>
      </c>
      <c r="JL69" s="14">
        <v>28216000</v>
      </c>
      <c r="JM69" s="14">
        <v>645275</v>
      </c>
      <c r="JN69" s="14">
        <v>27520000</v>
      </c>
      <c r="ND69" s="14">
        <f t="shared" si="14"/>
        <v>28216000</v>
      </c>
      <c r="NE69" s="14">
        <f t="shared" si="0"/>
        <v>696000</v>
      </c>
      <c r="NF69" s="14">
        <f t="shared" si="1"/>
        <v>27520000</v>
      </c>
      <c r="NI69" s="14">
        <f t="shared" si="2"/>
        <v>0</v>
      </c>
      <c r="NJ69" s="14">
        <f t="shared" si="3"/>
        <v>50725</v>
      </c>
      <c r="NK69" s="14">
        <f t="shared" si="4"/>
        <v>0</v>
      </c>
      <c r="NN69" s="14">
        <f t="shared" si="5"/>
        <v>28216000</v>
      </c>
      <c r="NO69" s="14">
        <f t="shared" si="6"/>
        <v>645275</v>
      </c>
      <c r="NP69" s="14">
        <f t="shared" si="7"/>
        <v>27520000</v>
      </c>
      <c r="NS69" s="14">
        <f t="shared" si="15"/>
        <v>0</v>
      </c>
      <c r="NT69" s="14">
        <f t="shared" si="8"/>
        <v>0</v>
      </c>
      <c r="NU69" s="14">
        <f t="shared" si="9"/>
        <v>0</v>
      </c>
      <c r="NV69" s="14">
        <f t="shared" si="10"/>
        <v>0</v>
      </c>
      <c r="NW69" s="14">
        <f t="shared" si="11"/>
        <v>0</v>
      </c>
      <c r="NX69" s="14">
        <f t="shared" si="12"/>
        <v>0</v>
      </c>
      <c r="NY69" s="14">
        <f t="shared" si="13"/>
        <v>0</v>
      </c>
    </row>
    <row r="70" spans="1:389" x14ac:dyDescent="0.25">
      <c r="A70" s="96" t="s">
        <v>398</v>
      </c>
      <c r="B70" s="34">
        <v>218</v>
      </c>
      <c r="C70" s="99">
        <v>14</v>
      </c>
      <c r="JB70" s="14">
        <v>158135000</v>
      </c>
      <c r="JC70" s="14">
        <v>100000</v>
      </c>
      <c r="JD70" s="14">
        <v>158035000</v>
      </c>
      <c r="JH70" s="14">
        <v>47295</v>
      </c>
      <c r="JL70" s="14">
        <v>158135000</v>
      </c>
      <c r="JM70" s="14">
        <v>52705</v>
      </c>
      <c r="JN70" s="14">
        <v>158035000</v>
      </c>
      <c r="ND70" s="14">
        <f t="shared" si="14"/>
        <v>158135000</v>
      </c>
      <c r="NE70" s="14">
        <f t="shared" si="0"/>
        <v>100000</v>
      </c>
      <c r="NF70" s="14">
        <f t="shared" si="1"/>
        <v>158035000</v>
      </c>
      <c r="NI70" s="14">
        <f t="shared" si="2"/>
        <v>0</v>
      </c>
      <c r="NJ70" s="14">
        <f t="shared" si="3"/>
        <v>47295</v>
      </c>
      <c r="NK70" s="14">
        <f t="shared" si="4"/>
        <v>0</v>
      </c>
      <c r="NN70" s="14">
        <f t="shared" si="5"/>
        <v>158135000</v>
      </c>
      <c r="NO70" s="14">
        <f t="shared" si="6"/>
        <v>52705</v>
      </c>
      <c r="NP70" s="14">
        <f t="shared" si="7"/>
        <v>158035000</v>
      </c>
      <c r="NS70" s="14">
        <f t="shared" si="15"/>
        <v>0</v>
      </c>
      <c r="NT70" s="14">
        <f t="shared" si="8"/>
        <v>0</v>
      </c>
      <c r="NU70" s="14">
        <f t="shared" si="9"/>
        <v>0</v>
      </c>
      <c r="NV70" s="14">
        <f t="shared" si="10"/>
        <v>0</v>
      </c>
      <c r="NW70" s="14">
        <f t="shared" si="11"/>
        <v>0</v>
      </c>
      <c r="NX70" s="14">
        <f t="shared" si="12"/>
        <v>0</v>
      </c>
      <c r="NY70" s="14">
        <f t="shared" si="13"/>
        <v>0</v>
      </c>
    </row>
    <row r="71" spans="1:389" x14ac:dyDescent="0.25">
      <c r="A71" s="96" t="s">
        <v>399</v>
      </c>
      <c r="B71" s="34">
        <v>224</v>
      </c>
      <c r="C71" s="99">
        <v>1</v>
      </c>
      <c r="JB71" s="14">
        <v>86544000</v>
      </c>
      <c r="JC71" s="14">
        <v>50000</v>
      </c>
      <c r="JD71" s="14">
        <v>86494000</v>
      </c>
      <c r="JH71" s="14">
        <v>27671</v>
      </c>
      <c r="JL71" s="14">
        <v>86544000</v>
      </c>
      <c r="JM71" s="14">
        <v>22329</v>
      </c>
      <c r="JN71" s="14">
        <v>86494000</v>
      </c>
      <c r="ND71" s="14">
        <f t="shared" si="14"/>
        <v>86544000</v>
      </c>
      <c r="NE71" s="14">
        <f t="shared" si="0"/>
        <v>50000</v>
      </c>
      <c r="NF71" s="14">
        <f t="shared" si="1"/>
        <v>86494000</v>
      </c>
      <c r="NI71" s="14">
        <f t="shared" si="2"/>
        <v>0</v>
      </c>
      <c r="NJ71" s="14">
        <f t="shared" si="3"/>
        <v>27671</v>
      </c>
      <c r="NK71" s="14">
        <f t="shared" si="4"/>
        <v>0</v>
      </c>
      <c r="NN71" s="14">
        <f t="shared" si="5"/>
        <v>86544000</v>
      </c>
      <c r="NO71" s="14">
        <f t="shared" si="6"/>
        <v>22329</v>
      </c>
      <c r="NP71" s="14">
        <f t="shared" si="7"/>
        <v>86494000</v>
      </c>
      <c r="NS71" s="14">
        <f t="shared" si="15"/>
        <v>0</v>
      </c>
      <c r="NT71" s="14">
        <f t="shared" si="8"/>
        <v>0</v>
      </c>
      <c r="NU71" s="14">
        <f t="shared" si="9"/>
        <v>0</v>
      </c>
      <c r="NV71" s="14">
        <f t="shared" si="10"/>
        <v>0</v>
      </c>
      <c r="NW71" s="14">
        <f t="shared" si="11"/>
        <v>0</v>
      </c>
      <c r="NX71" s="14">
        <f t="shared" si="12"/>
        <v>0</v>
      </c>
      <c r="NY71" s="14">
        <f t="shared" si="13"/>
        <v>0</v>
      </c>
    </row>
    <row r="72" spans="1:389" x14ac:dyDescent="0.25">
      <c r="A72" s="96" t="s">
        <v>400</v>
      </c>
      <c r="B72" s="34">
        <v>226</v>
      </c>
      <c r="C72" s="99">
        <v>13</v>
      </c>
      <c r="JB72" s="14">
        <v>400162000</v>
      </c>
      <c r="JC72" s="14">
        <v>150000</v>
      </c>
      <c r="JD72" s="14">
        <v>400012000</v>
      </c>
      <c r="JH72" s="14">
        <v>24853</v>
      </c>
      <c r="JL72" s="14">
        <v>400162000</v>
      </c>
      <c r="JM72" s="14">
        <v>125147</v>
      </c>
      <c r="JN72" s="14">
        <v>400012000</v>
      </c>
      <c r="ND72" s="14">
        <f t="shared" si="14"/>
        <v>400162000</v>
      </c>
      <c r="NE72" s="14">
        <f t="shared" si="0"/>
        <v>150000</v>
      </c>
      <c r="NF72" s="14">
        <f t="shared" si="1"/>
        <v>400012000</v>
      </c>
      <c r="NI72" s="14">
        <f t="shared" si="2"/>
        <v>0</v>
      </c>
      <c r="NJ72" s="14">
        <f t="shared" si="3"/>
        <v>24853</v>
      </c>
      <c r="NK72" s="14">
        <f t="shared" si="4"/>
        <v>0</v>
      </c>
      <c r="NN72" s="14">
        <f t="shared" si="5"/>
        <v>400162000</v>
      </c>
      <c r="NO72" s="14">
        <f t="shared" si="6"/>
        <v>125147</v>
      </c>
      <c r="NP72" s="14">
        <f t="shared" si="7"/>
        <v>400012000</v>
      </c>
      <c r="NS72" s="14">
        <f t="shared" si="15"/>
        <v>0</v>
      </c>
      <c r="NT72" s="14">
        <f t="shared" si="8"/>
        <v>0</v>
      </c>
      <c r="NU72" s="14">
        <f t="shared" si="9"/>
        <v>0</v>
      </c>
      <c r="NV72" s="14">
        <f t="shared" si="10"/>
        <v>0</v>
      </c>
      <c r="NW72" s="14">
        <f t="shared" si="11"/>
        <v>0</v>
      </c>
      <c r="NX72" s="14">
        <f t="shared" si="12"/>
        <v>0</v>
      </c>
      <c r="NY72" s="14">
        <f t="shared" si="13"/>
        <v>0</v>
      </c>
    </row>
    <row r="73" spans="1:389" x14ac:dyDescent="0.25">
      <c r="A73" s="96" t="s">
        <v>401</v>
      </c>
      <c r="B73" s="34">
        <v>230</v>
      </c>
      <c r="C73" s="99">
        <v>4</v>
      </c>
      <c r="JB73" s="14">
        <v>28479000</v>
      </c>
      <c r="JC73" s="14">
        <v>790000</v>
      </c>
      <c r="JD73" s="14">
        <v>27689000</v>
      </c>
      <c r="JH73" s="14">
        <v>136767</v>
      </c>
      <c r="JL73" s="14">
        <v>28479000</v>
      </c>
      <c r="JM73" s="14">
        <v>653233</v>
      </c>
      <c r="JN73" s="14">
        <v>27689000</v>
      </c>
      <c r="ND73" s="14">
        <f t="shared" si="14"/>
        <v>28479000</v>
      </c>
      <c r="NE73" s="14">
        <f t="shared" si="0"/>
        <v>790000</v>
      </c>
      <c r="NF73" s="14">
        <f t="shared" si="1"/>
        <v>27689000</v>
      </c>
      <c r="NI73" s="14">
        <f t="shared" si="2"/>
        <v>0</v>
      </c>
      <c r="NJ73" s="14">
        <f t="shared" si="3"/>
        <v>136767</v>
      </c>
      <c r="NK73" s="14">
        <f t="shared" si="4"/>
        <v>0</v>
      </c>
      <c r="NN73" s="14">
        <f t="shared" si="5"/>
        <v>28479000</v>
      </c>
      <c r="NO73" s="14">
        <f t="shared" si="6"/>
        <v>653233</v>
      </c>
      <c r="NP73" s="14">
        <f t="shared" si="7"/>
        <v>27689000</v>
      </c>
      <c r="NS73" s="14">
        <f t="shared" si="15"/>
        <v>0</v>
      </c>
      <c r="NT73" s="14">
        <f t="shared" si="8"/>
        <v>0</v>
      </c>
      <c r="NU73" s="14">
        <f t="shared" si="9"/>
        <v>0</v>
      </c>
      <c r="NV73" s="14">
        <f t="shared" si="10"/>
        <v>0</v>
      </c>
      <c r="NW73" s="14">
        <f t="shared" si="11"/>
        <v>0</v>
      </c>
      <c r="NX73" s="14">
        <f t="shared" si="12"/>
        <v>0</v>
      </c>
      <c r="NY73" s="14">
        <f t="shared" si="13"/>
        <v>0</v>
      </c>
    </row>
    <row r="74" spans="1:389" x14ac:dyDescent="0.25">
      <c r="A74" s="96" t="s">
        <v>402</v>
      </c>
      <c r="B74" s="34">
        <v>231</v>
      </c>
      <c r="C74" s="99">
        <v>15</v>
      </c>
      <c r="JB74" s="14">
        <v>30851000</v>
      </c>
      <c r="JC74" s="14">
        <v>350000</v>
      </c>
      <c r="JD74" s="14">
        <v>30501000</v>
      </c>
      <c r="JH74" s="14">
        <v>38244</v>
      </c>
      <c r="JL74" s="14">
        <v>30851000</v>
      </c>
      <c r="JM74" s="14">
        <v>311756</v>
      </c>
      <c r="JN74" s="14">
        <v>30501000</v>
      </c>
      <c r="ND74" s="14">
        <f t="shared" si="14"/>
        <v>30851000</v>
      </c>
      <c r="NE74" s="14">
        <f t="shared" si="0"/>
        <v>350000</v>
      </c>
      <c r="NF74" s="14">
        <f t="shared" si="1"/>
        <v>30501000</v>
      </c>
      <c r="NI74" s="14">
        <f t="shared" si="2"/>
        <v>0</v>
      </c>
      <c r="NJ74" s="14">
        <f t="shared" si="3"/>
        <v>38244</v>
      </c>
      <c r="NK74" s="14">
        <f t="shared" si="4"/>
        <v>0</v>
      </c>
      <c r="NN74" s="14">
        <f t="shared" si="5"/>
        <v>30851000</v>
      </c>
      <c r="NO74" s="14">
        <f t="shared" si="6"/>
        <v>311756</v>
      </c>
      <c r="NP74" s="14">
        <f t="shared" si="7"/>
        <v>30501000</v>
      </c>
      <c r="NS74" s="14">
        <f t="shared" si="15"/>
        <v>0</v>
      </c>
      <c r="NT74" s="14">
        <f t="shared" si="8"/>
        <v>0</v>
      </c>
      <c r="NU74" s="14">
        <f t="shared" si="9"/>
        <v>0</v>
      </c>
      <c r="NV74" s="14">
        <f t="shared" si="10"/>
        <v>0</v>
      </c>
      <c r="NW74" s="14">
        <f t="shared" si="11"/>
        <v>0</v>
      </c>
      <c r="NX74" s="14">
        <f t="shared" si="12"/>
        <v>0</v>
      </c>
      <c r="NY74" s="14">
        <f t="shared" si="13"/>
        <v>0</v>
      </c>
    </row>
    <row r="75" spans="1:389" x14ac:dyDescent="0.25">
      <c r="A75" s="96" t="s">
        <v>403</v>
      </c>
      <c r="B75" s="34">
        <v>232</v>
      </c>
      <c r="C75" s="99">
        <v>14</v>
      </c>
      <c r="JB75" s="14">
        <v>29835000</v>
      </c>
      <c r="JC75" s="14">
        <v>4000</v>
      </c>
      <c r="JD75" s="14">
        <v>29831000</v>
      </c>
      <c r="JH75" s="14">
        <v>10200</v>
      </c>
      <c r="JL75" s="14">
        <v>29835000</v>
      </c>
      <c r="JM75" s="14">
        <v>-6200</v>
      </c>
      <c r="JN75" s="14">
        <v>29831000</v>
      </c>
      <c r="ND75" s="14">
        <f t="shared" si="14"/>
        <v>29835000</v>
      </c>
      <c r="NE75" s="14">
        <f t="shared" si="0"/>
        <v>4000</v>
      </c>
      <c r="NF75" s="14">
        <f t="shared" si="1"/>
        <v>29831000</v>
      </c>
      <c r="NI75" s="14">
        <f t="shared" si="2"/>
        <v>0</v>
      </c>
      <c r="NJ75" s="14">
        <f t="shared" si="3"/>
        <v>10200</v>
      </c>
      <c r="NK75" s="14">
        <f t="shared" si="4"/>
        <v>0</v>
      </c>
      <c r="NN75" s="14">
        <f t="shared" si="5"/>
        <v>29835000</v>
      </c>
      <c r="NO75" s="14">
        <f t="shared" si="6"/>
        <v>-6200</v>
      </c>
      <c r="NP75" s="14">
        <f t="shared" si="7"/>
        <v>29831000</v>
      </c>
      <c r="NS75" s="14">
        <f t="shared" si="15"/>
        <v>0</v>
      </c>
      <c r="NT75" s="14">
        <f t="shared" si="8"/>
        <v>0</v>
      </c>
      <c r="NU75" s="14">
        <f t="shared" si="9"/>
        <v>0</v>
      </c>
      <c r="NV75" s="14">
        <f t="shared" si="10"/>
        <v>0</v>
      </c>
      <c r="NW75" s="14">
        <f t="shared" si="11"/>
        <v>0</v>
      </c>
      <c r="NX75" s="14">
        <f t="shared" si="12"/>
        <v>0</v>
      </c>
      <c r="NY75" s="14">
        <f t="shared" si="13"/>
        <v>0</v>
      </c>
    </row>
    <row r="76" spans="1:389" x14ac:dyDescent="0.25">
      <c r="A76" s="96" t="s">
        <v>404</v>
      </c>
      <c r="B76" s="34">
        <v>233</v>
      </c>
      <c r="C76" s="99">
        <v>14</v>
      </c>
      <c r="JB76" s="14">
        <v>36174000</v>
      </c>
      <c r="JC76" s="14">
        <v>0</v>
      </c>
      <c r="JD76" s="14">
        <v>36174000</v>
      </c>
      <c r="JH76" s="14">
        <v>31750</v>
      </c>
      <c r="JL76" s="14">
        <v>36174000</v>
      </c>
      <c r="JM76" s="14">
        <v>-31750</v>
      </c>
      <c r="JN76" s="14">
        <v>36174000</v>
      </c>
      <c r="ND76" s="14">
        <f t="shared" si="14"/>
        <v>36174000</v>
      </c>
      <c r="NE76" s="14">
        <f t="shared" si="0"/>
        <v>0</v>
      </c>
      <c r="NF76" s="14">
        <f t="shared" si="1"/>
        <v>36174000</v>
      </c>
      <c r="NI76" s="14">
        <f t="shared" si="2"/>
        <v>0</v>
      </c>
      <c r="NJ76" s="14">
        <f t="shared" si="3"/>
        <v>31750</v>
      </c>
      <c r="NK76" s="14">
        <f t="shared" si="4"/>
        <v>0</v>
      </c>
      <c r="NN76" s="14">
        <f t="shared" si="5"/>
        <v>36174000</v>
      </c>
      <c r="NO76" s="14">
        <f t="shared" si="6"/>
        <v>-31750</v>
      </c>
      <c r="NP76" s="14">
        <f t="shared" si="7"/>
        <v>36174000</v>
      </c>
      <c r="NS76" s="14">
        <f t="shared" si="15"/>
        <v>0</v>
      </c>
      <c r="NT76" s="14">
        <f t="shared" si="8"/>
        <v>0</v>
      </c>
      <c r="NU76" s="14">
        <f t="shared" si="9"/>
        <v>0</v>
      </c>
      <c r="NV76" s="14">
        <f t="shared" si="10"/>
        <v>0</v>
      </c>
      <c r="NW76" s="14">
        <f t="shared" si="11"/>
        <v>0</v>
      </c>
      <c r="NX76" s="14">
        <f t="shared" si="12"/>
        <v>0</v>
      </c>
      <c r="NY76" s="14">
        <f t="shared" si="13"/>
        <v>0</v>
      </c>
    </row>
    <row r="77" spans="1:389" x14ac:dyDescent="0.25">
      <c r="A77" s="96" t="s">
        <v>405</v>
      </c>
      <c r="B77" s="34">
        <v>235</v>
      </c>
      <c r="C77" s="99">
        <v>1</v>
      </c>
      <c r="JB77" s="14">
        <v>11255000</v>
      </c>
      <c r="JC77" s="14">
        <v>30000</v>
      </c>
      <c r="JD77" s="14">
        <v>11225000</v>
      </c>
      <c r="JH77" s="14">
        <v>23349</v>
      </c>
      <c r="JL77" s="14">
        <v>11255000</v>
      </c>
      <c r="JM77" s="14">
        <v>6651</v>
      </c>
      <c r="JN77" s="14">
        <v>11225000</v>
      </c>
      <c r="ND77" s="14">
        <f t="shared" si="14"/>
        <v>11255000</v>
      </c>
      <c r="NE77" s="14">
        <f t="shared" si="0"/>
        <v>30000</v>
      </c>
      <c r="NF77" s="14">
        <f t="shared" si="1"/>
        <v>11225000</v>
      </c>
      <c r="NI77" s="14">
        <f t="shared" si="2"/>
        <v>0</v>
      </c>
      <c r="NJ77" s="14">
        <f t="shared" si="3"/>
        <v>23349</v>
      </c>
      <c r="NK77" s="14">
        <f t="shared" si="4"/>
        <v>0</v>
      </c>
      <c r="NN77" s="14">
        <f t="shared" si="5"/>
        <v>11255000</v>
      </c>
      <c r="NO77" s="14">
        <f t="shared" si="6"/>
        <v>6651</v>
      </c>
      <c r="NP77" s="14">
        <f t="shared" si="7"/>
        <v>11225000</v>
      </c>
      <c r="NS77" s="14">
        <f t="shared" si="15"/>
        <v>0</v>
      </c>
      <c r="NT77" s="14">
        <f t="shared" si="8"/>
        <v>0</v>
      </c>
      <c r="NU77" s="14">
        <f t="shared" si="9"/>
        <v>0</v>
      </c>
      <c r="NV77" s="14">
        <f t="shared" si="10"/>
        <v>0</v>
      </c>
      <c r="NW77" s="14">
        <f t="shared" si="11"/>
        <v>0</v>
      </c>
      <c r="NX77" s="14">
        <f t="shared" si="12"/>
        <v>0</v>
      </c>
      <c r="NY77" s="14">
        <f t="shared" si="13"/>
        <v>0</v>
      </c>
    </row>
    <row r="78" spans="1:389" x14ac:dyDescent="0.25">
      <c r="A78" s="96" t="s">
        <v>406</v>
      </c>
      <c r="B78" s="34">
        <v>236</v>
      </c>
      <c r="C78" s="99">
        <v>16</v>
      </c>
      <c r="JB78" s="14">
        <v>39753000</v>
      </c>
      <c r="JC78" s="14">
        <v>1200000</v>
      </c>
      <c r="JD78" s="14">
        <v>38553000</v>
      </c>
      <c r="JH78" s="14">
        <v>24984</v>
      </c>
      <c r="JL78" s="14">
        <v>39753000</v>
      </c>
      <c r="JM78" s="14">
        <v>1175016</v>
      </c>
      <c r="JN78" s="14">
        <v>38553000</v>
      </c>
      <c r="ND78" s="14">
        <f t="shared" si="14"/>
        <v>39753000</v>
      </c>
      <c r="NE78" s="14">
        <f t="shared" si="0"/>
        <v>1200000</v>
      </c>
      <c r="NF78" s="14">
        <f t="shared" si="1"/>
        <v>38553000</v>
      </c>
      <c r="NI78" s="14">
        <f t="shared" si="2"/>
        <v>0</v>
      </c>
      <c r="NJ78" s="14">
        <f t="shared" si="3"/>
        <v>24984</v>
      </c>
      <c r="NK78" s="14">
        <f t="shared" si="4"/>
        <v>0</v>
      </c>
      <c r="NN78" s="14">
        <f t="shared" si="5"/>
        <v>39753000</v>
      </c>
      <c r="NO78" s="14">
        <f t="shared" si="6"/>
        <v>1175016</v>
      </c>
      <c r="NP78" s="14">
        <f t="shared" si="7"/>
        <v>38553000</v>
      </c>
      <c r="NS78" s="14">
        <f t="shared" si="15"/>
        <v>0</v>
      </c>
      <c r="NT78" s="14">
        <f t="shared" si="8"/>
        <v>0</v>
      </c>
      <c r="NU78" s="14">
        <f t="shared" si="9"/>
        <v>0</v>
      </c>
      <c r="NV78" s="14">
        <f t="shared" si="10"/>
        <v>0</v>
      </c>
      <c r="NW78" s="14">
        <f t="shared" si="11"/>
        <v>0</v>
      </c>
      <c r="NX78" s="14">
        <f t="shared" si="12"/>
        <v>0</v>
      </c>
      <c r="NY78" s="14">
        <f t="shared" si="13"/>
        <v>0</v>
      </c>
    </row>
    <row r="79" spans="1:389" x14ac:dyDescent="0.25">
      <c r="A79" s="96" t="s">
        <v>407</v>
      </c>
      <c r="B79" s="34">
        <v>239</v>
      </c>
      <c r="C79" s="99">
        <v>11</v>
      </c>
      <c r="JB79" s="14">
        <v>669405000</v>
      </c>
      <c r="JC79" s="14">
        <v>580000</v>
      </c>
      <c r="JD79" s="14">
        <v>668825000</v>
      </c>
      <c r="JH79" s="14">
        <v>0</v>
      </c>
      <c r="JL79" s="14">
        <v>669405000</v>
      </c>
      <c r="JM79" s="14">
        <v>580000</v>
      </c>
      <c r="JN79" s="14">
        <v>668825000</v>
      </c>
      <c r="ND79" s="14">
        <f t="shared" si="14"/>
        <v>669405000</v>
      </c>
      <c r="NE79" s="14">
        <f t="shared" si="0"/>
        <v>580000</v>
      </c>
      <c r="NF79" s="14">
        <f t="shared" si="1"/>
        <v>668825000</v>
      </c>
      <c r="NI79" s="14">
        <f t="shared" si="2"/>
        <v>0</v>
      </c>
      <c r="NJ79" s="14">
        <f t="shared" si="3"/>
        <v>0</v>
      </c>
      <c r="NK79" s="14">
        <f t="shared" si="4"/>
        <v>0</v>
      </c>
      <c r="NN79" s="14">
        <f t="shared" si="5"/>
        <v>669405000</v>
      </c>
      <c r="NO79" s="14">
        <f t="shared" si="6"/>
        <v>580000</v>
      </c>
      <c r="NP79" s="14">
        <f t="shared" si="7"/>
        <v>668825000</v>
      </c>
      <c r="NS79" s="14">
        <f t="shared" si="15"/>
        <v>0</v>
      </c>
      <c r="NT79" s="14">
        <f t="shared" si="8"/>
        <v>0</v>
      </c>
      <c r="NU79" s="14">
        <f t="shared" si="9"/>
        <v>0</v>
      </c>
      <c r="NV79" s="14">
        <f t="shared" si="10"/>
        <v>0</v>
      </c>
      <c r="NW79" s="14">
        <f t="shared" si="11"/>
        <v>0</v>
      </c>
      <c r="NX79" s="14">
        <f t="shared" si="12"/>
        <v>0</v>
      </c>
      <c r="NY79" s="14">
        <f t="shared" si="13"/>
        <v>0</v>
      </c>
    </row>
    <row r="80" spans="1:389" x14ac:dyDescent="0.25">
      <c r="A80" s="96" t="s">
        <v>408</v>
      </c>
      <c r="B80" s="34">
        <v>240</v>
      </c>
      <c r="C80" s="99">
        <v>19</v>
      </c>
      <c r="JB80" s="14">
        <v>11706000</v>
      </c>
      <c r="JC80" s="14">
        <v>0</v>
      </c>
      <c r="JD80" s="14">
        <v>11706000</v>
      </c>
      <c r="JH80" s="14">
        <v>20639</v>
      </c>
      <c r="JL80" s="14">
        <v>11706000</v>
      </c>
      <c r="JM80" s="14">
        <v>-20639</v>
      </c>
      <c r="JN80" s="14">
        <v>11706000</v>
      </c>
      <c r="ND80" s="14">
        <f t="shared" si="14"/>
        <v>11706000</v>
      </c>
      <c r="NE80" s="14">
        <f t="shared" si="0"/>
        <v>0</v>
      </c>
      <c r="NF80" s="14">
        <f t="shared" si="1"/>
        <v>11706000</v>
      </c>
      <c r="NI80" s="14">
        <f t="shared" si="2"/>
        <v>0</v>
      </c>
      <c r="NJ80" s="14">
        <f t="shared" si="3"/>
        <v>20639</v>
      </c>
      <c r="NK80" s="14">
        <f t="shared" si="4"/>
        <v>0</v>
      </c>
      <c r="NN80" s="14">
        <f t="shared" si="5"/>
        <v>11706000</v>
      </c>
      <c r="NO80" s="14">
        <f t="shared" si="6"/>
        <v>-20639</v>
      </c>
      <c r="NP80" s="14">
        <f t="shared" si="7"/>
        <v>11706000</v>
      </c>
      <c r="NS80" s="14">
        <f t="shared" si="15"/>
        <v>0</v>
      </c>
      <c r="NT80" s="14">
        <f t="shared" si="8"/>
        <v>0</v>
      </c>
      <c r="NU80" s="14">
        <f t="shared" si="9"/>
        <v>0</v>
      </c>
      <c r="NV80" s="14">
        <f t="shared" si="10"/>
        <v>0</v>
      </c>
      <c r="NW80" s="14">
        <f t="shared" si="11"/>
        <v>0</v>
      </c>
      <c r="NX80" s="14">
        <f t="shared" si="12"/>
        <v>0</v>
      </c>
      <c r="NY80" s="14">
        <f t="shared" si="13"/>
        <v>0</v>
      </c>
    </row>
    <row r="81" spans="1:389" x14ac:dyDescent="0.25">
      <c r="A81" s="96" t="s">
        <v>442</v>
      </c>
      <c r="B81" s="34">
        <v>320</v>
      </c>
      <c r="C81" s="99">
        <v>19</v>
      </c>
      <c r="JB81" s="14">
        <v>133517000</v>
      </c>
      <c r="JC81" s="14">
        <v>5000</v>
      </c>
      <c r="JD81" s="14">
        <v>133512000</v>
      </c>
      <c r="JH81" s="14">
        <v>42488</v>
      </c>
      <c r="JL81" s="14">
        <v>133517000</v>
      </c>
      <c r="JM81" s="14">
        <v>-37488</v>
      </c>
      <c r="JN81" s="14">
        <v>133512000</v>
      </c>
      <c r="ND81" s="14">
        <f t="shared" si="14"/>
        <v>133517000</v>
      </c>
      <c r="NE81" s="14">
        <f t="shared" si="0"/>
        <v>5000</v>
      </c>
      <c r="NF81" s="14">
        <f t="shared" si="1"/>
        <v>133512000</v>
      </c>
      <c r="NI81" s="14">
        <f t="shared" si="2"/>
        <v>0</v>
      </c>
      <c r="NJ81" s="14">
        <f t="shared" si="3"/>
        <v>42488</v>
      </c>
      <c r="NK81" s="14">
        <f t="shared" si="4"/>
        <v>0</v>
      </c>
      <c r="NN81" s="14">
        <f t="shared" si="5"/>
        <v>133517000</v>
      </c>
      <c r="NO81" s="14">
        <f t="shared" si="6"/>
        <v>-37488</v>
      </c>
      <c r="NP81" s="14">
        <f t="shared" si="7"/>
        <v>133512000</v>
      </c>
      <c r="NS81" s="14">
        <f t="shared" si="15"/>
        <v>0</v>
      </c>
      <c r="NT81" s="14">
        <f t="shared" si="8"/>
        <v>0</v>
      </c>
      <c r="NU81" s="14">
        <f t="shared" si="9"/>
        <v>0</v>
      </c>
      <c r="NV81" s="14">
        <f t="shared" si="10"/>
        <v>0</v>
      </c>
      <c r="NW81" s="14">
        <f t="shared" si="11"/>
        <v>0</v>
      </c>
      <c r="NX81" s="14">
        <f t="shared" si="12"/>
        <v>0</v>
      </c>
      <c r="NY81" s="14">
        <f t="shared" si="13"/>
        <v>0</v>
      </c>
    </row>
    <row r="82" spans="1:389" x14ac:dyDescent="0.25">
      <c r="A82" s="96" t="s">
        <v>409</v>
      </c>
      <c r="B82" s="34">
        <v>241</v>
      </c>
      <c r="C82" s="99">
        <v>19</v>
      </c>
      <c r="JB82" s="14">
        <v>210295000</v>
      </c>
      <c r="JC82" s="14">
        <v>33000</v>
      </c>
      <c r="JD82" s="14">
        <v>210262000</v>
      </c>
      <c r="JH82" s="14">
        <v>0</v>
      </c>
      <c r="JL82" s="14">
        <v>210295000</v>
      </c>
      <c r="JM82" s="14">
        <v>33000</v>
      </c>
      <c r="JN82" s="14">
        <v>210262000</v>
      </c>
      <c r="ND82" s="14">
        <f t="shared" si="14"/>
        <v>210295000</v>
      </c>
      <c r="NE82" s="14">
        <f t="shared" si="0"/>
        <v>33000</v>
      </c>
      <c r="NF82" s="14">
        <f t="shared" si="1"/>
        <v>210262000</v>
      </c>
      <c r="NI82" s="14">
        <f t="shared" si="2"/>
        <v>0</v>
      </c>
      <c r="NJ82" s="14">
        <f t="shared" si="3"/>
        <v>0</v>
      </c>
      <c r="NK82" s="14">
        <f t="shared" si="4"/>
        <v>0</v>
      </c>
      <c r="NN82" s="14">
        <f t="shared" si="5"/>
        <v>210295000</v>
      </c>
      <c r="NO82" s="14">
        <f t="shared" si="6"/>
        <v>33000</v>
      </c>
      <c r="NP82" s="14">
        <f t="shared" si="7"/>
        <v>210262000</v>
      </c>
      <c r="NS82" s="14">
        <f t="shared" si="15"/>
        <v>0</v>
      </c>
      <c r="NT82" s="14">
        <f t="shared" si="8"/>
        <v>0</v>
      </c>
      <c r="NU82" s="14">
        <f t="shared" si="9"/>
        <v>0</v>
      </c>
      <c r="NV82" s="14">
        <f t="shared" si="10"/>
        <v>0</v>
      </c>
      <c r="NW82" s="14">
        <f t="shared" si="11"/>
        <v>0</v>
      </c>
      <c r="NX82" s="14">
        <f t="shared" si="12"/>
        <v>0</v>
      </c>
      <c r="NY82" s="14">
        <f t="shared" si="13"/>
        <v>0</v>
      </c>
    </row>
    <row r="83" spans="1:389" x14ac:dyDescent="0.25">
      <c r="A83" s="96" t="s">
        <v>443</v>
      </c>
      <c r="B83" s="34">
        <v>322</v>
      </c>
      <c r="C83" s="99">
        <v>2</v>
      </c>
      <c r="JB83" s="14">
        <v>166736000</v>
      </c>
      <c r="JC83" s="14">
        <v>98000</v>
      </c>
      <c r="JD83" s="14">
        <v>166638000</v>
      </c>
      <c r="JH83" s="14">
        <v>32439</v>
      </c>
      <c r="JL83" s="14">
        <v>166736000</v>
      </c>
      <c r="JM83" s="14">
        <v>65561</v>
      </c>
      <c r="JN83" s="14">
        <v>166638000</v>
      </c>
      <c r="ND83" s="14">
        <f t="shared" si="14"/>
        <v>166736000</v>
      </c>
      <c r="NE83" s="14">
        <f t="shared" si="0"/>
        <v>98000</v>
      </c>
      <c r="NF83" s="14">
        <f t="shared" si="1"/>
        <v>166638000</v>
      </c>
      <c r="NI83" s="14">
        <f t="shared" si="2"/>
        <v>0</v>
      </c>
      <c r="NJ83" s="14">
        <f t="shared" si="3"/>
        <v>32439</v>
      </c>
      <c r="NK83" s="14">
        <f t="shared" si="4"/>
        <v>0</v>
      </c>
      <c r="NN83" s="14">
        <f t="shared" si="5"/>
        <v>166736000</v>
      </c>
      <c r="NO83" s="14">
        <f t="shared" si="6"/>
        <v>65561</v>
      </c>
      <c r="NP83" s="14">
        <f t="shared" si="7"/>
        <v>166638000</v>
      </c>
      <c r="NS83" s="14">
        <f t="shared" si="15"/>
        <v>0</v>
      </c>
      <c r="NT83" s="14">
        <f t="shared" si="8"/>
        <v>0</v>
      </c>
      <c r="NU83" s="14">
        <f t="shared" si="9"/>
        <v>0</v>
      </c>
      <c r="NV83" s="14">
        <f t="shared" si="10"/>
        <v>0</v>
      </c>
      <c r="NW83" s="14">
        <f t="shared" si="11"/>
        <v>0</v>
      </c>
      <c r="NX83" s="14">
        <f t="shared" si="12"/>
        <v>0</v>
      </c>
      <c r="NY83" s="14">
        <f t="shared" si="13"/>
        <v>0</v>
      </c>
    </row>
    <row r="84" spans="1:389" x14ac:dyDescent="0.25">
      <c r="A84" s="96" t="s">
        <v>410</v>
      </c>
      <c r="B84" s="34">
        <v>244</v>
      </c>
      <c r="C84" s="99">
        <v>17</v>
      </c>
      <c r="JB84" s="14">
        <v>21794000</v>
      </c>
      <c r="JC84" s="14">
        <v>248000</v>
      </c>
      <c r="JD84" s="14">
        <v>21546000</v>
      </c>
      <c r="JH84" s="14">
        <v>0</v>
      </c>
      <c r="JL84" s="14">
        <v>21794000</v>
      </c>
      <c r="JM84" s="14">
        <v>248000</v>
      </c>
      <c r="JN84" s="14">
        <v>21546000</v>
      </c>
      <c r="ND84" s="14">
        <f t="shared" si="14"/>
        <v>21794000</v>
      </c>
      <c r="NE84" s="14">
        <f t="shared" si="0"/>
        <v>248000</v>
      </c>
      <c r="NF84" s="14">
        <f t="shared" si="1"/>
        <v>21546000</v>
      </c>
      <c r="NI84" s="14">
        <f t="shared" si="2"/>
        <v>0</v>
      </c>
      <c r="NJ84" s="14">
        <f t="shared" si="3"/>
        <v>0</v>
      </c>
      <c r="NK84" s="14">
        <f t="shared" si="4"/>
        <v>0</v>
      </c>
      <c r="NN84" s="14">
        <f t="shared" si="5"/>
        <v>21794000</v>
      </c>
      <c r="NO84" s="14">
        <f t="shared" si="6"/>
        <v>248000</v>
      </c>
      <c r="NP84" s="14">
        <f t="shared" si="7"/>
        <v>21546000</v>
      </c>
      <c r="NS84" s="14">
        <f t="shared" si="15"/>
        <v>0</v>
      </c>
      <c r="NT84" s="14">
        <f t="shared" si="8"/>
        <v>0</v>
      </c>
      <c r="NU84" s="14">
        <f t="shared" si="9"/>
        <v>0</v>
      </c>
      <c r="NV84" s="14">
        <f t="shared" si="10"/>
        <v>0</v>
      </c>
      <c r="NW84" s="14">
        <f t="shared" si="11"/>
        <v>0</v>
      </c>
      <c r="NX84" s="14">
        <f t="shared" si="12"/>
        <v>0</v>
      </c>
      <c r="NY84" s="14">
        <f t="shared" si="13"/>
        <v>0</v>
      </c>
    </row>
    <row r="85" spans="1:389" x14ac:dyDescent="0.25">
      <c r="A85" s="96" t="s">
        <v>411</v>
      </c>
      <c r="B85" s="34">
        <v>245</v>
      </c>
      <c r="C85" s="99">
        <v>1</v>
      </c>
      <c r="JB85" s="14">
        <v>271732000</v>
      </c>
      <c r="JC85" s="14">
        <v>120000</v>
      </c>
      <c r="JD85" s="14">
        <v>271612000</v>
      </c>
      <c r="JH85" s="14">
        <v>13975</v>
      </c>
      <c r="JL85" s="14">
        <v>271732000</v>
      </c>
      <c r="JM85" s="14">
        <v>106025</v>
      </c>
      <c r="JN85" s="14">
        <v>271612000</v>
      </c>
      <c r="ND85" s="14">
        <f t="shared" si="14"/>
        <v>271732000</v>
      </c>
      <c r="NE85" s="14">
        <f t="shared" si="0"/>
        <v>120000</v>
      </c>
      <c r="NF85" s="14">
        <f t="shared" si="1"/>
        <v>271612000</v>
      </c>
      <c r="NI85" s="14">
        <f t="shared" si="2"/>
        <v>0</v>
      </c>
      <c r="NJ85" s="14">
        <f t="shared" si="3"/>
        <v>13975</v>
      </c>
      <c r="NK85" s="14">
        <f t="shared" si="4"/>
        <v>0</v>
      </c>
      <c r="NN85" s="14">
        <f t="shared" si="5"/>
        <v>271732000</v>
      </c>
      <c r="NO85" s="14">
        <f t="shared" si="6"/>
        <v>106025</v>
      </c>
      <c r="NP85" s="14">
        <f t="shared" si="7"/>
        <v>271612000</v>
      </c>
      <c r="NS85" s="14">
        <f t="shared" si="15"/>
        <v>0</v>
      </c>
      <c r="NT85" s="14">
        <f t="shared" si="8"/>
        <v>0</v>
      </c>
      <c r="NU85" s="14">
        <f t="shared" si="9"/>
        <v>0</v>
      </c>
      <c r="NV85" s="14">
        <f t="shared" si="10"/>
        <v>0</v>
      </c>
      <c r="NW85" s="14">
        <f t="shared" si="11"/>
        <v>0</v>
      </c>
      <c r="NX85" s="14">
        <f t="shared" si="12"/>
        <v>0</v>
      </c>
      <c r="NY85" s="14">
        <f t="shared" si="13"/>
        <v>0</v>
      </c>
    </row>
    <row r="86" spans="1:389" x14ac:dyDescent="0.25">
      <c r="A86" s="96" t="s">
        <v>412</v>
      </c>
      <c r="B86" s="34">
        <v>249</v>
      </c>
      <c r="C86" s="99">
        <v>13</v>
      </c>
      <c r="JB86" s="14">
        <v>67934000</v>
      </c>
      <c r="JC86" s="14">
        <v>0</v>
      </c>
      <c r="JD86" s="14">
        <v>67934000</v>
      </c>
      <c r="JH86" s="14">
        <v>13859</v>
      </c>
      <c r="JL86" s="14">
        <v>67934000</v>
      </c>
      <c r="JM86" s="14">
        <v>-13859</v>
      </c>
      <c r="JN86" s="14">
        <v>67934000</v>
      </c>
      <c r="ND86" s="14">
        <f t="shared" si="14"/>
        <v>67934000</v>
      </c>
      <c r="NE86" s="14">
        <f t="shared" ref="NE86:NE149" si="16">JC86</f>
        <v>0</v>
      </c>
      <c r="NF86" s="14">
        <f t="shared" ref="NF86:NF149" si="17">JD86</f>
        <v>67934000</v>
      </c>
      <c r="NI86" s="14">
        <f t="shared" ref="NI86:NI149" si="18">JG86</f>
        <v>0</v>
      </c>
      <c r="NJ86" s="14">
        <f t="shared" ref="NJ86:NJ149" si="19">JH86</f>
        <v>13859</v>
      </c>
      <c r="NK86" s="14">
        <f t="shared" ref="NK86:NK149" si="20">JI86</f>
        <v>0</v>
      </c>
      <c r="NN86" s="14">
        <f t="shared" ref="NN86:NN149" si="21">JL86</f>
        <v>67934000</v>
      </c>
      <c r="NO86" s="14">
        <f t="shared" ref="NO86:NO149" si="22">JM86</f>
        <v>-13859</v>
      </c>
      <c r="NP86" s="14">
        <f t="shared" ref="NP86:NP149" si="23">JN86</f>
        <v>67934000</v>
      </c>
      <c r="NS86" s="14">
        <f t="shared" si="15"/>
        <v>0</v>
      </c>
      <c r="NT86" s="14">
        <f t="shared" ref="NT86:NT149" si="24">JR86</f>
        <v>0</v>
      </c>
      <c r="NU86" s="14">
        <f t="shared" ref="NU86:NU149" si="25">JS86</f>
        <v>0</v>
      </c>
      <c r="NV86" s="14">
        <f t="shared" ref="NV86:NV149" si="26">JT86</f>
        <v>0</v>
      </c>
      <c r="NW86" s="14">
        <f t="shared" ref="NW86:NW149" si="27">JU86</f>
        <v>0</v>
      </c>
      <c r="NX86" s="14">
        <f t="shared" ref="NX86:NX149" si="28">JV86</f>
        <v>0</v>
      </c>
      <c r="NY86" s="14">
        <f t="shared" ref="NY86:NY149" si="29">JW86</f>
        <v>0</v>
      </c>
    </row>
    <row r="87" spans="1:389" x14ac:dyDescent="0.25">
      <c r="A87" s="96" t="s">
        <v>413</v>
      </c>
      <c r="B87" s="34">
        <v>250</v>
      </c>
      <c r="C87" s="99">
        <v>6</v>
      </c>
      <c r="JB87" s="14">
        <v>158060000</v>
      </c>
      <c r="JC87" s="14">
        <v>1700000</v>
      </c>
      <c r="JD87" s="14">
        <v>156360000</v>
      </c>
      <c r="JH87" s="14">
        <v>327890</v>
      </c>
      <c r="JL87" s="14">
        <v>158060000</v>
      </c>
      <c r="JM87" s="14">
        <v>1372110</v>
      </c>
      <c r="JN87" s="14">
        <v>156360000</v>
      </c>
      <c r="ND87" s="14">
        <f t="shared" ref="ND87:ND150" si="30">JB87</f>
        <v>158060000</v>
      </c>
      <c r="NE87" s="14">
        <f t="shared" si="16"/>
        <v>1700000</v>
      </c>
      <c r="NF87" s="14">
        <f t="shared" si="17"/>
        <v>156360000</v>
      </c>
      <c r="NI87" s="14">
        <f t="shared" si="18"/>
        <v>0</v>
      </c>
      <c r="NJ87" s="14">
        <f t="shared" si="19"/>
        <v>327890</v>
      </c>
      <c r="NK87" s="14">
        <f t="shared" si="20"/>
        <v>0</v>
      </c>
      <c r="NN87" s="14">
        <f t="shared" si="21"/>
        <v>158060000</v>
      </c>
      <c r="NO87" s="14">
        <f t="shared" si="22"/>
        <v>1372110</v>
      </c>
      <c r="NP87" s="14">
        <f t="shared" si="23"/>
        <v>156360000</v>
      </c>
      <c r="NS87" s="14">
        <f t="shared" ref="NS87:NS150" si="31">JQ87</f>
        <v>0</v>
      </c>
      <c r="NT87" s="14">
        <f t="shared" si="24"/>
        <v>0</v>
      </c>
      <c r="NU87" s="14">
        <f t="shared" si="25"/>
        <v>0</v>
      </c>
      <c r="NV87" s="14">
        <f t="shared" si="26"/>
        <v>0</v>
      </c>
      <c r="NW87" s="14">
        <f t="shared" si="27"/>
        <v>0</v>
      </c>
      <c r="NX87" s="14">
        <f t="shared" si="28"/>
        <v>0</v>
      </c>
      <c r="NY87" s="14">
        <f t="shared" si="29"/>
        <v>0</v>
      </c>
    </row>
    <row r="88" spans="1:389" x14ac:dyDescent="0.25">
      <c r="A88" s="96" t="s">
        <v>414</v>
      </c>
      <c r="B88" s="34">
        <v>256</v>
      </c>
      <c r="C88" s="99">
        <v>13</v>
      </c>
      <c r="JB88" s="14">
        <v>36555000</v>
      </c>
      <c r="JC88" s="14">
        <v>475000</v>
      </c>
      <c r="JD88" s="14">
        <v>36080000</v>
      </c>
      <c r="JH88" s="14">
        <v>17620</v>
      </c>
      <c r="JL88" s="14">
        <v>36555000</v>
      </c>
      <c r="JM88" s="14">
        <v>457380</v>
      </c>
      <c r="JN88" s="14">
        <v>36080000</v>
      </c>
      <c r="ND88" s="14">
        <f t="shared" si="30"/>
        <v>36555000</v>
      </c>
      <c r="NE88" s="14">
        <f t="shared" si="16"/>
        <v>475000</v>
      </c>
      <c r="NF88" s="14">
        <f t="shared" si="17"/>
        <v>36080000</v>
      </c>
      <c r="NI88" s="14">
        <f t="shared" si="18"/>
        <v>0</v>
      </c>
      <c r="NJ88" s="14">
        <f t="shared" si="19"/>
        <v>17620</v>
      </c>
      <c r="NK88" s="14">
        <f t="shared" si="20"/>
        <v>0</v>
      </c>
      <c r="NN88" s="14">
        <f t="shared" si="21"/>
        <v>36555000</v>
      </c>
      <c r="NO88" s="14">
        <f t="shared" si="22"/>
        <v>457380</v>
      </c>
      <c r="NP88" s="14">
        <f t="shared" si="23"/>
        <v>36080000</v>
      </c>
      <c r="NS88" s="14">
        <f t="shared" si="31"/>
        <v>0</v>
      </c>
      <c r="NT88" s="14">
        <f t="shared" si="24"/>
        <v>0</v>
      </c>
      <c r="NU88" s="14">
        <f t="shared" si="25"/>
        <v>0</v>
      </c>
      <c r="NV88" s="14">
        <f t="shared" si="26"/>
        <v>0</v>
      </c>
      <c r="NW88" s="14">
        <f t="shared" si="27"/>
        <v>0</v>
      </c>
      <c r="NX88" s="14">
        <f t="shared" si="28"/>
        <v>0</v>
      </c>
      <c r="NY88" s="14">
        <f t="shared" si="29"/>
        <v>0</v>
      </c>
    </row>
    <row r="89" spans="1:389" x14ac:dyDescent="0.25">
      <c r="A89" s="96" t="s">
        <v>415</v>
      </c>
      <c r="B89" s="34">
        <v>257</v>
      </c>
      <c r="C89" s="99">
        <v>1</v>
      </c>
      <c r="JB89" s="14">
        <v>67241000</v>
      </c>
      <c r="JC89" s="14">
        <v>270000</v>
      </c>
      <c r="JD89" s="14">
        <v>66971000</v>
      </c>
      <c r="JH89" s="14">
        <v>28159</v>
      </c>
      <c r="JL89" s="14">
        <v>67241000</v>
      </c>
      <c r="JM89" s="14">
        <v>241841</v>
      </c>
      <c r="JN89" s="14">
        <v>66971000</v>
      </c>
      <c r="ND89" s="14">
        <f t="shared" si="30"/>
        <v>67241000</v>
      </c>
      <c r="NE89" s="14">
        <f t="shared" si="16"/>
        <v>270000</v>
      </c>
      <c r="NF89" s="14">
        <f t="shared" si="17"/>
        <v>66971000</v>
      </c>
      <c r="NI89" s="14">
        <f t="shared" si="18"/>
        <v>0</v>
      </c>
      <c r="NJ89" s="14">
        <f t="shared" si="19"/>
        <v>28159</v>
      </c>
      <c r="NK89" s="14">
        <f t="shared" si="20"/>
        <v>0</v>
      </c>
      <c r="NN89" s="14">
        <f t="shared" si="21"/>
        <v>67241000</v>
      </c>
      <c r="NO89" s="14">
        <f t="shared" si="22"/>
        <v>241841</v>
      </c>
      <c r="NP89" s="14">
        <f t="shared" si="23"/>
        <v>66971000</v>
      </c>
      <c r="NS89" s="14">
        <f t="shared" si="31"/>
        <v>0</v>
      </c>
      <c r="NT89" s="14">
        <f t="shared" si="24"/>
        <v>0</v>
      </c>
      <c r="NU89" s="14">
        <f t="shared" si="25"/>
        <v>0</v>
      </c>
      <c r="NV89" s="14">
        <f t="shared" si="26"/>
        <v>0</v>
      </c>
      <c r="NW89" s="14">
        <f t="shared" si="27"/>
        <v>0</v>
      </c>
      <c r="NX89" s="14">
        <f t="shared" si="28"/>
        <v>0</v>
      </c>
      <c r="NY89" s="14">
        <f t="shared" si="29"/>
        <v>0</v>
      </c>
    </row>
    <row r="90" spans="1:389" x14ac:dyDescent="0.25">
      <c r="A90" s="96" t="s">
        <v>416</v>
      </c>
      <c r="B90" s="34">
        <v>260</v>
      </c>
      <c r="C90" s="99">
        <v>12</v>
      </c>
      <c r="JB90" s="14">
        <v>9797000</v>
      </c>
      <c r="JC90" s="14">
        <v>0</v>
      </c>
      <c r="JD90" s="14">
        <v>9797000</v>
      </c>
      <c r="JH90" s="14">
        <v>20600</v>
      </c>
      <c r="JL90" s="14">
        <v>9797000</v>
      </c>
      <c r="JM90" s="14">
        <v>-20600</v>
      </c>
      <c r="JN90" s="14">
        <v>9797000</v>
      </c>
      <c r="ND90" s="14">
        <f t="shared" si="30"/>
        <v>9797000</v>
      </c>
      <c r="NE90" s="14">
        <f t="shared" si="16"/>
        <v>0</v>
      </c>
      <c r="NF90" s="14">
        <f t="shared" si="17"/>
        <v>9797000</v>
      </c>
      <c r="NI90" s="14">
        <f t="shared" si="18"/>
        <v>0</v>
      </c>
      <c r="NJ90" s="14">
        <f t="shared" si="19"/>
        <v>20600</v>
      </c>
      <c r="NK90" s="14">
        <f t="shared" si="20"/>
        <v>0</v>
      </c>
      <c r="NN90" s="14">
        <f t="shared" si="21"/>
        <v>9797000</v>
      </c>
      <c r="NO90" s="14">
        <f t="shared" si="22"/>
        <v>-20600</v>
      </c>
      <c r="NP90" s="14">
        <f t="shared" si="23"/>
        <v>9797000</v>
      </c>
      <c r="NS90" s="14">
        <f t="shared" si="31"/>
        <v>0</v>
      </c>
      <c r="NT90" s="14">
        <f t="shared" si="24"/>
        <v>0</v>
      </c>
      <c r="NU90" s="14">
        <f t="shared" si="25"/>
        <v>0</v>
      </c>
      <c r="NV90" s="14">
        <f t="shared" si="26"/>
        <v>0</v>
      </c>
      <c r="NW90" s="14">
        <f t="shared" si="27"/>
        <v>0</v>
      </c>
      <c r="NX90" s="14">
        <f t="shared" si="28"/>
        <v>0</v>
      </c>
      <c r="NY90" s="14">
        <f t="shared" si="29"/>
        <v>0</v>
      </c>
    </row>
    <row r="91" spans="1:389" x14ac:dyDescent="0.25">
      <c r="A91" s="96" t="s">
        <v>417</v>
      </c>
      <c r="B91" s="34">
        <v>261</v>
      </c>
      <c r="C91" s="99">
        <v>19</v>
      </c>
      <c r="JB91" s="14">
        <v>31770000</v>
      </c>
      <c r="JC91" s="14">
        <v>53000</v>
      </c>
      <c r="JD91" s="14">
        <v>31717000</v>
      </c>
      <c r="JH91" s="14">
        <v>12247</v>
      </c>
      <c r="JL91" s="14">
        <v>31770000</v>
      </c>
      <c r="JM91" s="14">
        <v>40753</v>
      </c>
      <c r="JN91" s="14">
        <v>31717000</v>
      </c>
      <c r="ND91" s="14">
        <f t="shared" si="30"/>
        <v>31770000</v>
      </c>
      <c r="NE91" s="14">
        <f t="shared" si="16"/>
        <v>53000</v>
      </c>
      <c r="NF91" s="14">
        <f t="shared" si="17"/>
        <v>31717000</v>
      </c>
      <c r="NI91" s="14">
        <f t="shared" si="18"/>
        <v>0</v>
      </c>
      <c r="NJ91" s="14">
        <f t="shared" si="19"/>
        <v>12247</v>
      </c>
      <c r="NK91" s="14">
        <f t="shared" si="20"/>
        <v>0</v>
      </c>
      <c r="NN91" s="14">
        <f t="shared" si="21"/>
        <v>31770000</v>
      </c>
      <c r="NO91" s="14">
        <f t="shared" si="22"/>
        <v>40753</v>
      </c>
      <c r="NP91" s="14">
        <f t="shared" si="23"/>
        <v>31717000</v>
      </c>
      <c r="NS91" s="14">
        <f t="shared" si="31"/>
        <v>0</v>
      </c>
      <c r="NT91" s="14">
        <f t="shared" si="24"/>
        <v>0</v>
      </c>
      <c r="NU91" s="14">
        <f t="shared" si="25"/>
        <v>0</v>
      </c>
      <c r="NV91" s="14">
        <f t="shared" si="26"/>
        <v>0</v>
      </c>
      <c r="NW91" s="14">
        <f t="shared" si="27"/>
        <v>0</v>
      </c>
      <c r="NX91" s="14">
        <f t="shared" si="28"/>
        <v>0</v>
      </c>
      <c r="NY91" s="14">
        <f t="shared" si="29"/>
        <v>0</v>
      </c>
    </row>
    <row r="92" spans="1:389" x14ac:dyDescent="0.25">
      <c r="A92" s="96" t="s">
        <v>418</v>
      </c>
      <c r="B92" s="34">
        <v>263</v>
      </c>
      <c r="C92" s="99">
        <v>11</v>
      </c>
      <c r="JB92" s="14">
        <v>8550000</v>
      </c>
      <c r="JC92" s="14">
        <v>5115000</v>
      </c>
      <c r="JD92" s="14">
        <v>3435000</v>
      </c>
      <c r="JH92" s="14">
        <v>71256</v>
      </c>
      <c r="JL92" s="14">
        <v>8550000</v>
      </c>
      <c r="JM92" s="14">
        <v>5043744</v>
      </c>
      <c r="JN92" s="14">
        <v>3435000</v>
      </c>
      <c r="ND92" s="14">
        <f t="shared" si="30"/>
        <v>8550000</v>
      </c>
      <c r="NE92" s="14">
        <f t="shared" si="16"/>
        <v>5115000</v>
      </c>
      <c r="NF92" s="14">
        <f t="shared" si="17"/>
        <v>3435000</v>
      </c>
      <c r="NI92" s="14">
        <f t="shared" si="18"/>
        <v>0</v>
      </c>
      <c r="NJ92" s="14">
        <f t="shared" si="19"/>
        <v>71256</v>
      </c>
      <c r="NK92" s="14">
        <f t="shared" si="20"/>
        <v>0</v>
      </c>
      <c r="NN92" s="14">
        <f t="shared" si="21"/>
        <v>8550000</v>
      </c>
      <c r="NO92" s="14">
        <f t="shared" si="22"/>
        <v>5043744</v>
      </c>
      <c r="NP92" s="14">
        <f t="shared" si="23"/>
        <v>3435000</v>
      </c>
      <c r="NS92" s="14">
        <f t="shared" si="31"/>
        <v>0</v>
      </c>
      <c r="NT92" s="14">
        <f t="shared" si="24"/>
        <v>0</v>
      </c>
      <c r="NU92" s="14">
        <f t="shared" si="25"/>
        <v>0</v>
      </c>
      <c r="NV92" s="14">
        <f t="shared" si="26"/>
        <v>0</v>
      </c>
      <c r="NW92" s="14">
        <f t="shared" si="27"/>
        <v>0</v>
      </c>
      <c r="NX92" s="14">
        <f t="shared" si="28"/>
        <v>0</v>
      </c>
      <c r="NY92" s="14">
        <f t="shared" si="29"/>
        <v>0</v>
      </c>
    </row>
    <row r="93" spans="1:389" x14ac:dyDescent="0.25">
      <c r="A93" s="96" t="s">
        <v>419</v>
      </c>
      <c r="B93" s="34">
        <v>265</v>
      </c>
      <c r="C93" s="99">
        <v>13</v>
      </c>
      <c r="JB93" s="14">
        <v>48361000</v>
      </c>
      <c r="JC93" s="14">
        <v>0</v>
      </c>
      <c r="JD93" s="14">
        <v>48361000</v>
      </c>
      <c r="JH93" s="14">
        <v>7584</v>
      </c>
      <c r="JL93" s="14">
        <v>48361000</v>
      </c>
      <c r="JM93" s="14">
        <v>-7584</v>
      </c>
      <c r="JN93" s="14">
        <v>48361000</v>
      </c>
      <c r="ND93" s="14">
        <f t="shared" si="30"/>
        <v>48361000</v>
      </c>
      <c r="NE93" s="14">
        <f t="shared" si="16"/>
        <v>0</v>
      </c>
      <c r="NF93" s="14">
        <f t="shared" si="17"/>
        <v>48361000</v>
      </c>
      <c r="NI93" s="14">
        <f t="shared" si="18"/>
        <v>0</v>
      </c>
      <c r="NJ93" s="14">
        <f t="shared" si="19"/>
        <v>7584</v>
      </c>
      <c r="NK93" s="14">
        <f t="shared" si="20"/>
        <v>0</v>
      </c>
      <c r="NN93" s="14">
        <f t="shared" si="21"/>
        <v>48361000</v>
      </c>
      <c r="NO93" s="14">
        <f t="shared" si="22"/>
        <v>-7584</v>
      </c>
      <c r="NP93" s="14">
        <f t="shared" si="23"/>
        <v>48361000</v>
      </c>
      <c r="NS93" s="14">
        <f t="shared" si="31"/>
        <v>0</v>
      </c>
      <c r="NT93" s="14">
        <f t="shared" si="24"/>
        <v>0</v>
      </c>
      <c r="NU93" s="14">
        <f t="shared" si="25"/>
        <v>0</v>
      </c>
      <c r="NV93" s="14">
        <f t="shared" si="26"/>
        <v>0</v>
      </c>
      <c r="NW93" s="14">
        <f t="shared" si="27"/>
        <v>0</v>
      </c>
      <c r="NX93" s="14">
        <f t="shared" si="28"/>
        <v>0</v>
      </c>
      <c r="NY93" s="14">
        <f t="shared" si="29"/>
        <v>0</v>
      </c>
    </row>
    <row r="94" spans="1:389" x14ac:dyDescent="0.25">
      <c r="A94" s="96" t="s">
        <v>420</v>
      </c>
      <c r="B94" s="34">
        <v>271</v>
      </c>
      <c r="C94" s="99">
        <v>4</v>
      </c>
      <c r="JB94" s="14">
        <v>26731000</v>
      </c>
      <c r="JC94" s="14">
        <v>0</v>
      </c>
      <c r="JD94" s="14">
        <v>26731000</v>
      </c>
      <c r="JH94" s="14">
        <v>21300</v>
      </c>
      <c r="JL94" s="14">
        <v>26731000</v>
      </c>
      <c r="JM94" s="14">
        <v>-21300</v>
      </c>
      <c r="JN94" s="14">
        <v>26731000</v>
      </c>
      <c r="ND94" s="14">
        <f t="shared" si="30"/>
        <v>26731000</v>
      </c>
      <c r="NE94" s="14">
        <f t="shared" si="16"/>
        <v>0</v>
      </c>
      <c r="NF94" s="14">
        <f t="shared" si="17"/>
        <v>26731000</v>
      </c>
      <c r="NI94" s="14">
        <f t="shared" si="18"/>
        <v>0</v>
      </c>
      <c r="NJ94" s="14">
        <f t="shared" si="19"/>
        <v>21300</v>
      </c>
      <c r="NK94" s="14">
        <f t="shared" si="20"/>
        <v>0</v>
      </c>
      <c r="NN94" s="14">
        <f t="shared" si="21"/>
        <v>26731000</v>
      </c>
      <c r="NO94" s="14">
        <f t="shared" si="22"/>
        <v>-21300</v>
      </c>
      <c r="NP94" s="14">
        <f t="shared" si="23"/>
        <v>26731000</v>
      </c>
      <c r="NS94" s="14">
        <f t="shared" si="31"/>
        <v>0</v>
      </c>
      <c r="NT94" s="14">
        <f t="shared" si="24"/>
        <v>0</v>
      </c>
      <c r="NU94" s="14">
        <f t="shared" si="25"/>
        <v>0</v>
      </c>
      <c r="NV94" s="14">
        <f t="shared" si="26"/>
        <v>0</v>
      </c>
      <c r="NW94" s="14">
        <f t="shared" si="27"/>
        <v>0</v>
      </c>
      <c r="NX94" s="14">
        <f t="shared" si="28"/>
        <v>0</v>
      </c>
      <c r="NY94" s="14">
        <f t="shared" si="29"/>
        <v>0</v>
      </c>
    </row>
    <row r="95" spans="1:389" x14ac:dyDescent="0.25">
      <c r="A95" s="96" t="s">
        <v>421</v>
      </c>
      <c r="B95" s="34">
        <v>272</v>
      </c>
      <c r="C95" s="99">
        <v>16</v>
      </c>
      <c r="JB95" s="14">
        <v>15222000</v>
      </c>
      <c r="JC95" s="14">
        <v>0</v>
      </c>
      <c r="JD95" s="14">
        <v>15222000</v>
      </c>
      <c r="JH95" s="14">
        <v>12305</v>
      </c>
      <c r="JL95" s="14">
        <v>15222000</v>
      </c>
      <c r="JM95" s="14">
        <v>-12305</v>
      </c>
      <c r="JN95" s="14">
        <v>15222000</v>
      </c>
      <c r="ND95" s="14">
        <f t="shared" si="30"/>
        <v>15222000</v>
      </c>
      <c r="NE95" s="14">
        <f t="shared" si="16"/>
        <v>0</v>
      </c>
      <c r="NF95" s="14">
        <f t="shared" si="17"/>
        <v>15222000</v>
      </c>
      <c r="NI95" s="14">
        <f t="shared" si="18"/>
        <v>0</v>
      </c>
      <c r="NJ95" s="14">
        <f t="shared" si="19"/>
        <v>12305</v>
      </c>
      <c r="NK95" s="14">
        <f t="shared" si="20"/>
        <v>0</v>
      </c>
      <c r="NN95" s="14">
        <f t="shared" si="21"/>
        <v>15222000</v>
      </c>
      <c r="NO95" s="14">
        <f t="shared" si="22"/>
        <v>-12305</v>
      </c>
      <c r="NP95" s="14">
        <f t="shared" si="23"/>
        <v>15222000</v>
      </c>
      <c r="NS95" s="14">
        <f t="shared" si="31"/>
        <v>0</v>
      </c>
      <c r="NT95" s="14">
        <f t="shared" si="24"/>
        <v>0</v>
      </c>
      <c r="NU95" s="14">
        <f t="shared" si="25"/>
        <v>0</v>
      </c>
      <c r="NV95" s="14">
        <f t="shared" si="26"/>
        <v>0</v>
      </c>
      <c r="NW95" s="14">
        <f t="shared" si="27"/>
        <v>0</v>
      </c>
      <c r="NX95" s="14">
        <f t="shared" si="28"/>
        <v>0</v>
      </c>
      <c r="NY95" s="14">
        <f t="shared" si="29"/>
        <v>0</v>
      </c>
    </row>
    <row r="96" spans="1:389" x14ac:dyDescent="0.25">
      <c r="A96" s="100" t="s">
        <v>305</v>
      </c>
      <c r="B96" s="39">
        <v>1</v>
      </c>
      <c r="C96" s="98">
        <v>0</v>
      </c>
      <c r="JB96" s="14">
        <v>9000000</v>
      </c>
      <c r="JC96" s="14">
        <v>0</v>
      </c>
      <c r="JD96" s="14">
        <v>9000000</v>
      </c>
      <c r="JH96" s="14">
        <v>6697</v>
      </c>
      <c r="JL96" s="14">
        <v>9000000</v>
      </c>
      <c r="JM96" s="14">
        <v>-6697</v>
      </c>
      <c r="JN96" s="14">
        <v>9000000</v>
      </c>
      <c r="ND96" s="14">
        <f t="shared" si="30"/>
        <v>9000000</v>
      </c>
      <c r="NE96" s="14">
        <f t="shared" si="16"/>
        <v>0</v>
      </c>
      <c r="NF96" s="14">
        <f t="shared" si="17"/>
        <v>9000000</v>
      </c>
      <c r="NI96" s="14">
        <f t="shared" si="18"/>
        <v>0</v>
      </c>
      <c r="NJ96" s="14">
        <f t="shared" si="19"/>
        <v>6697</v>
      </c>
      <c r="NK96" s="14">
        <f t="shared" si="20"/>
        <v>0</v>
      </c>
      <c r="NN96" s="14">
        <f t="shared" si="21"/>
        <v>9000000</v>
      </c>
      <c r="NO96" s="14">
        <f t="shared" si="22"/>
        <v>-6697</v>
      </c>
      <c r="NP96" s="14">
        <f t="shared" si="23"/>
        <v>9000000</v>
      </c>
      <c r="NS96" s="14">
        <f t="shared" si="31"/>
        <v>0</v>
      </c>
      <c r="NT96" s="14">
        <f t="shared" si="24"/>
        <v>0</v>
      </c>
      <c r="NU96" s="14">
        <f t="shared" si="25"/>
        <v>0</v>
      </c>
      <c r="NV96" s="14">
        <f t="shared" si="26"/>
        <v>0</v>
      </c>
      <c r="NW96" s="14">
        <f t="shared" si="27"/>
        <v>0</v>
      </c>
      <c r="NX96" s="14">
        <f t="shared" si="28"/>
        <v>0</v>
      </c>
      <c r="NY96" s="14">
        <f t="shared" si="29"/>
        <v>0</v>
      </c>
    </row>
    <row r="97" spans="1:389" x14ac:dyDescent="0.25">
      <c r="A97" s="96" t="s">
        <v>422</v>
      </c>
      <c r="B97" s="34">
        <v>273</v>
      </c>
      <c r="C97" s="99">
        <v>19</v>
      </c>
      <c r="JB97" s="14">
        <v>86155000</v>
      </c>
      <c r="JC97" s="14">
        <v>352000</v>
      </c>
      <c r="JD97" s="14">
        <v>85803000</v>
      </c>
      <c r="JH97" s="14">
        <v>35000</v>
      </c>
      <c r="JL97" s="14">
        <v>86155000</v>
      </c>
      <c r="JM97" s="14">
        <v>317000</v>
      </c>
      <c r="JN97" s="14">
        <v>85803000</v>
      </c>
      <c r="ND97" s="14">
        <f t="shared" si="30"/>
        <v>86155000</v>
      </c>
      <c r="NE97" s="14">
        <f t="shared" si="16"/>
        <v>352000</v>
      </c>
      <c r="NF97" s="14">
        <f t="shared" si="17"/>
        <v>85803000</v>
      </c>
      <c r="NI97" s="14">
        <f t="shared" si="18"/>
        <v>0</v>
      </c>
      <c r="NJ97" s="14">
        <f t="shared" si="19"/>
        <v>35000</v>
      </c>
      <c r="NK97" s="14">
        <f t="shared" si="20"/>
        <v>0</v>
      </c>
      <c r="NN97" s="14">
        <f t="shared" si="21"/>
        <v>86155000</v>
      </c>
      <c r="NO97" s="14">
        <f t="shared" si="22"/>
        <v>317000</v>
      </c>
      <c r="NP97" s="14">
        <f t="shared" si="23"/>
        <v>85803000</v>
      </c>
      <c r="NS97" s="14">
        <f t="shared" si="31"/>
        <v>0</v>
      </c>
      <c r="NT97" s="14">
        <f t="shared" si="24"/>
        <v>0</v>
      </c>
      <c r="NU97" s="14">
        <f t="shared" si="25"/>
        <v>0</v>
      </c>
      <c r="NV97" s="14">
        <f t="shared" si="26"/>
        <v>0</v>
      </c>
      <c r="NW97" s="14">
        <f t="shared" si="27"/>
        <v>0</v>
      </c>
      <c r="NX97" s="14">
        <f t="shared" si="28"/>
        <v>0</v>
      </c>
      <c r="NY97" s="14">
        <f t="shared" si="29"/>
        <v>0</v>
      </c>
    </row>
    <row r="98" spans="1:389" x14ac:dyDescent="0.25">
      <c r="A98" s="96" t="s">
        <v>423</v>
      </c>
      <c r="B98" s="34">
        <v>275</v>
      </c>
      <c r="C98" s="99">
        <v>13</v>
      </c>
      <c r="JB98" s="14">
        <v>103669000</v>
      </c>
      <c r="JC98" s="14">
        <v>0</v>
      </c>
      <c r="JD98" s="14">
        <v>103669000</v>
      </c>
      <c r="JH98" s="14">
        <v>24171</v>
      </c>
      <c r="JL98" s="14">
        <v>103669000</v>
      </c>
      <c r="JM98" s="14">
        <v>-24171</v>
      </c>
      <c r="JN98" s="14">
        <v>103669000</v>
      </c>
      <c r="ND98" s="14">
        <f t="shared" si="30"/>
        <v>103669000</v>
      </c>
      <c r="NE98" s="14">
        <f t="shared" si="16"/>
        <v>0</v>
      </c>
      <c r="NF98" s="14">
        <f t="shared" si="17"/>
        <v>103669000</v>
      </c>
      <c r="NI98" s="14">
        <f t="shared" si="18"/>
        <v>0</v>
      </c>
      <c r="NJ98" s="14">
        <f t="shared" si="19"/>
        <v>24171</v>
      </c>
      <c r="NK98" s="14">
        <f t="shared" si="20"/>
        <v>0</v>
      </c>
      <c r="NN98" s="14">
        <f t="shared" si="21"/>
        <v>103669000</v>
      </c>
      <c r="NO98" s="14">
        <f t="shared" si="22"/>
        <v>-24171</v>
      </c>
      <c r="NP98" s="14">
        <f t="shared" si="23"/>
        <v>103669000</v>
      </c>
      <c r="NS98" s="14">
        <f t="shared" si="31"/>
        <v>0</v>
      </c>
      <c r="NT98" s="14">
        <f t="shared" si="24"/>
        <v>0</v>
      </c>
      <c r="NU98" s="14">
        <f t="shared" si="25"/>
        <v>0</v>
      </c>
      <c r="NV98" s="14">
        <f t="shared" si="26"/>
        <v>0</v>
      </c>
      <c r="NW98" s="14">
        <f t="shared" si="27"/>
        <v>0</v>
      </c>
      <c r="NX98" s="14">
        <f t="shared" si="28"/>
        <v>0</v>
      </c>
      <c r="NY98" s="14">
        <f t="shared" si="29"/>
        <v>0</v>
      </c>
    </row>
    <row r="99" spans="1:389" x14ac:dyDescent="0.25">
      <c r="A99" s="96" t="s">
        <v>424</v>
      </c>
      <c r="B99" s="34">
        <v>276</v>
      </c>
      <c r="C99" s="99">
        <v>12</v>
      </c>
      <c r="JB99" s="14">
        <v>62759000</v>
      </c>
      <c r="JC99" s="14">
        <v>0</v>
      </c>
      <c r="JD99" s="14">
        <v>62759000</v>
      </c>
      <c r="JH99" s="14">
        <v>7440</v>
      </c>
      <c r="JL99" s="14">
        <v>62759000</v>
      </c>
      <c r="JM99" s="14">
        <v>-7440</v>
      </c>
      <c r="JN99" s="14">
        <v>62759000</v>
      </c>
      <c r="ND99" s="14">
        <f t="shared" si="30"/>
        <v>62759000</v>
      </c>
      <c r="NE99" s="14">
        <f t="shared" si="16"/>
        <v>0</v>
      </c>
      <c r="NF99" s="14">
        <f t="shared" si="17"/>
        <v>62759000</v>
      </c>
      <c r="NI99" s="14">
        <f t="shared" si="18"/>
        <v>0</v>
      </c>
      <c r="NJ99" s="14">
        <f t="shared" si="19"/>
        <v>7440</v>
      </c>
      <c r="NK99" s="14">
        <f t="shared" si="20"/>
        <v>0</v>
      </c>
      <c r="NN99" s="14">
        <f t="shared" si="21"/>
        <v>62759000</v>
      </c>
      <c r="NO99" s="14">
        <f t="shared" si="22"/>
        <v>-7440</v>
      </c>
      <c r="NP99" s="14">
        <f t="shared" si="23"/>
        <v>62759000</v>
      </c>
      <c r="NS99" s="14">
        <f t="shared" si="31"/>
        <v>0</v>
      </c>
      <c r="NT99" s="14">
        <f t="shared" si="24"/>
        <v>0</v>
      </c>
      <c r="NU99" s="14">
        <f t="shared" si="25"/>
        <v>0</v>
      </c>
      <c r="NV99" s="14">
        <f t="shared" si="26"/>
        <v>0</v>
      </c>
      <c r="NW99" s="14">
        <f t="shared" si="27"/>
        <v>0</v>
      </c>
      <c r="NX99" s="14">
        <f t="shared" si="28"/>
        <v>0</v>
      </c>
      <c r="NY99" s="14">
        <f t="shared" si="29"/>
        <v>0</v>
      </c>
    </row>
    <row r="100" spans="1:389" x14ac:dyDescent="0.25">
      <c r="A100" s="96" t="s">
        <v>425</v>
      </c>
      <c r="B100" s="34">
        <v>280</v>
      </c>
      <c r="C100" s="99">
        <v>15</v>
      </c>
      <c r="JB100" s="14">
        <v>24710000</v>
      </c>
      <c r="JC100" s="14">
        <v>380000</v>
      </c>
      <c r="JD100" s="14">
        <v>24330000</v>
      </c>
      <c r="JH100" s="14">
        <v>188500</v>
      </c>
      <c r="JL100" s="14">
        <v>24710000</v>
      </c>
      <c r="JM100" s="14">
        <v>191500</v>
      </c>
      <c r="JN100" s="14">
        <v>24330000</v>
      </c>
      <c r="ND100" s="14">
        <f t="shared" si="30"/>
        <v>24710000</v>
      </c>
      <c r="NE100" s="14">
        <f t="shared" si="16"/>
        <v>380000</v>
      </c>
      <c r="NF100" s="14">
        <f t="shared" si="17"/>
        <v>24330000</v>
      </c>
      <c r="NI100" s="14">
        <f t="shared" si="18"/>
        <v>0</v>
      </c>
      <c r="NJ100" s="14">
        <f t="shared" si="19"/>
        <v>188500</v>
      </c>
      <c r="NK100" s="14">
        <f t="shared" si="20"/>
        <v>0</v>
      </c>
      <c r="NN100" s="14">
        <f t="shared" si="21"/>
        <v>24710000</v>
      </c>
      <c r="NO100" s="14">
        <f t="shared" si="22"/>
        <v>191500</v>
      </c>
      <c r="NP100" s="14">
        <f t="shared" si="23"/>
        <v>24330000</v>
      </c>
      <c r="NS100" s="14">
        <f t="shared" si="31"/>
        <v>0</v>
      </c>
      <c r="NT100" s="14">
        <f t="shared" si="24"/>
        <v>0</v>
      </c>
      <c r="NU100" s="14">
        <f t="shared" si="25"/>
        <v>0</v>
      </c>
      <c r="NV100" s="14">
        <f t="shared" si="26"/>
        <v>0</v>
      </c>
      <c r="NW100" s="14">
        <f t="shared" si="27"/>
        <v>0</v>
      </c>
      <c r="NX100" s="14">
        <f t="shared" si="28"/>
        <v>0</v>
      </c>
      <c r="NY100" s="14">
        <f t="shared" si="29"/>
        <v>0</v>
      </c>
    </row>
    <row r="101" spans="1:389" x14ac:dyDescent="0.25">
      <c r="A101" s="96" t="s">
        <v>426</v>
      </c>
      <c r="B101" s="34">
        <v>284</v>
      </c>
      <c r="C101" s="99">
        <v>2</v>
      </c>
      <c r="JB101" s="14">
        <v>15027000</v>
      </c>
      <c r="JC101" s="14">
        <v>840000</v>
      </c>
      <c r="JD101" s="14">
        <v>14187000</v>
      </c>
      <c r="JH101" s="14">
        <v>4494</v>
      </c>
      <c r="JL101" s="14">
        <v>15027000</v>
      </c>
      <c r="JM101" s="14">
        <v>835506</v>
      </c>
      <c r="JN101" s="14">
        <v>14187000</v>
      </c>
      <c r="ND101" s="14">
        <f t="shared" si="30"/>
        <v>15027000</v>
      </c>
      <c r="NE101" s="14">
        <f t="shared" si="16"/>
        <v>840000</v>
      </c>
      <c r="NF101" s="14">
        <f t="shared" si="17"/>
        <v>14187000</v>
      </c>
      <c r="NI101" s="14">
        <f t="shared" si="18"/>
        <v>0</v>
      </c>
      <c r="NJ101" s="14">
        <f t="shared" si="19"/>
        <v>4494</v>
      </c>
      <c r="NK101" s="14">
        <f t="shared" si="20"/>
        <v>0</v>
      </c>
      <c r="NN101" s="14">
        <f t="shared" si="21"/>
        <v>15027000</v>
      </c>
      <c r="NO101" s="14">
        <f t="shared" si="22"/>
        <v>835506</v>
      </c>
      <c r="NP101" s="14">
        <f t="shared" si="23"/>
        <v>14187000</v>
      </c>
      <c r="NS101" s="14">
        <f t="shared" si="31"/>
        <v>0</v>
      </c>
      <c r="NT101" s="14">
        <f t="shared" si="24"/>
        <v>0</v>
      </c>
      <c r="NU101" s="14">
        <f t="shared" si="25"/>
        <v>0</v>
      </c>
      <c r="NV101" s="14">
        <f t="shared" si="26"/>
        <v>0</v>
      </c>
      <c r="NW101" s="14">
        <f t="shared" si="27"/>
        <v>0</v>
      </c>
      <c r="NX101" s="14">
        <f t="shared" si="28"/>
        <v>0</v>
      </c>
      <c r="NY101" s="14">
        <f t="shared" si="29"/>
        <v>0</v>
      </c>
    </row>
    <row r="102" spans="1:389" x14ac:dyDescent="0.25">
      <c r="A102" s="96" t="s">
        <v>427</v>
      </c>
      <c r="B102" s="34">
        <v>285</v>
      </c>
      <c r="C102" s="99">
        <v>8</v>
      </c>
      <c r="JB102" s="14">
        <v>132009000</v>
      </c>
      <c r="JC102" s="14">
        <v>0</v>
      </c>
      <c r="JD102" s="14">
        <v>132009000</v>
      </c>
      <c r="JH102" s="14">
        <v>12301</v>
      </c>
      <c r="JL102" s="14">
        <v>132009000</v>
      </c>
      <c r="JM102" s="14">
        <v>-12301</v>
      </c>
      <c r="JN102" s="14">
        <v>132009000</v>
      </c>
      <c r="ND102" s="14">
        <f t="shared" si="30"/>
        <v>132009000</v>
      </c>
      <c r="NE102" s="14">
        <f t="shared" si="16"/>
        <v>0</v>
      </c>
      <c r="NF102" s="14">
        <f t="shared" si="17"/>
        <v>132009000</v>
      </c>
      <c r="NI102" s="14">
        <f t="shared" si="18"/>
        <v>0</v>
      </c>
      <c r="NJ102" s="14">
        <f t="shared" si="19"/>
        <v>12301</v>
      </c>
      <c r="NK102" s="14">
        <f t="shared" si="20"/>
        <v>0</v>
      </c>
      <c r="NN102" s="14">
        <f t="shared" si="21"/>
        <v>132009000</v>
      </c>
      <c r="NO102" s="14">
        <f t="shared" si="22"/>
        <v>-12301</v>
      </c>
      <c r="NP102" s="14">
        <f t="shared" si="23"/>
        <v>132009000</v>
      </c>
      <c r="NS102" s="14">
        <f t="shared" si="31"/>
        <v>0</v>
      </c>
      <c r="NT102" s="14">
        <f t="shared" si="24"/>
        <v>0</v>
      </c>
      <c r="NU102" s="14">
        <f t="shared" si="25"/>
        <v>0</v>
      </c>
      <c r="NV102" s="14">
        <f t="shared" si="26"/>
        <v>0</v>
      </c>
      <c r="NW102" s="14">
        <f t="shared" si="27"/>
        <v>0</v>
      </c>
      <c r="NX102" s="14">
        <f t="shared" si="28"/>
        <v>0</v>
      </c>
      <c r="NY102" s="14">
        <f t="shared" si="29"/>
        <v>0</v>
      </c>
    </row>
    <row r="103" spans="1:389" x14ac:dyDescent="0.25">
      <c r="A103" s="96" t="s">
        <v>428</v>
      </c>
      <c r="B103" s="34">
        <v>286</v>
      </c>
      <c r="C103" s="99">
        <v>8</v>
      </c>
      <c r="JB103" s="14">
        <v>47736000</v>
      </c>
      <c r="JC103" s="14">
        <v>128000</v>
      </c>
      <c r="JD103" s="14">
        <v>47608000</v>
      </c>
      <c r="JH103" s="14">
        <v>20604</v>
      </c>
      <c r="JL103" s="14">
        <v>47736000</v>
      </c>
      <c r="JM103" s="14">
        <v>107396</v>
      </c>
      <c r="JN103" s="14">
        <v>47608000</v>
      </c>
      <c r="ND103" s="14">
        <f t="shared" si="30"/>
        <v>47736000</v>
      </c>
      <c r="NE103" s="14">
        <f t="shared" si="16"/>
        <v>128000</v>
      </c>
      <c r="NF103" s="14">
        <f t="shared" si="17"/>
        <v>47608000</v>
      </c>
      <c r="NI103" s="14">
        <f t="shared" si="18"/>
        <v>0</v>
      </c>
      <c r="NJ103" s="14">
        <f t="shared" si="19"/>
        <v>20604</v>
      </c>
      <c r="NK103" s="14">
        <f t="shared" si="20"/>
        <v>0</v>
      </c>
      <c r="NN103" s="14">
        <f t="shared" si="21"/>
        <v>47736000</v>
      </c>
      <c r="NO103" s="14">
        <f t="shared" si="22"/>
        <v>107396</v>
      </c>
      <c r="NP103" s="14">
        <f t="shared" si="23"/>
        <v>47608000</v>
      </c>
      <c r="NS103" s="14">
        <f t="shared" si="31"/>
        <v>0</v>
      </c>
      <c r="NT103" s="14">
        <f t="shared" si="24"/>
        <v>0</v>
      </c>
      <c r="NU103" s="14">
        <f t="shared" si="25"/>
        <v>0</v>
      </c>
      <c r="NV103" s="14">
        <f t="shared" si="26"/>
        <v>0</v>
      </c>
      <c r="NW103" s="14">
        <f t="shared" si="27"/>
        <v>0</v>
      </c>
      <c r="NX103" s="14">
        <f t="shared" si="28"/>
        <v>0</v>
      </c>
      <c r="NY103" s="14">
        <f t="shared" si="29"/>
        <v>0</v>
      </c>
    </row>
    <row r="104" spans="1:389" x14ac:dyDescent="0.25">
      <c r="A104" s="96" t="s">
        <v>429</v>
      </c>
      <c r="B104" s="34">
        <v>287</v>
      </c>
      <c r="C104" s="99">
        <v>15</v>
      </c>
      <c r="JB104" s="14">
        <v>86892000</v>
      </c>
      <c r="JC104" s="14">
        <v>0</v>
      </c>
      <c r="JD104" s="14">
        <v>86892000</v>
      </c>
      <c r="JH104" s="14">
        <v>38063</v>
      </c>
      <c r="JL104" s="14">
        <v>86892000</v>
      </c>
      <c r="JM104" s="14">
        <v>-38063</v>
      </c>
      <c r="JN104" s="14">
        <v>86892000</v>
      </c>
      <c r="ND104" s="14">
        <f t="shared" si="30"/>
        <v>86892000</v>
      </c>
      <c r="NE104" s="14">
        <f t="shared" si="16"/>
        <v>0</v>
      </c>
      <c r="NF104" s="14">
        <f t="shared" si="17"/>
        <v>86892000</v>
      </c>
      <c r="NI104" s="14">
        <f t="shared" si="18"/>
        <v>0</v>
      </c>
      <c r="NJ104" s="14">
        <f t="shared" si="19"/>
        <v>38063</v>
      </c>
      <c r="NK104" s="14">
        <f t="shared" si="20"/>
        <v>0</v>
      </c>
      <c r="NN104" s="14">
        <f t="shared" si="21"/>
        <v>86892000</v>
      </c>
      <c r="NO104" s="14">
        <f t="shared" si="22"/>
        <v>-38063</v>
      </c>
      <c r="NP104" s="14">
        <f t="shared" si="23"/>
        <v>86892000</v>
      </c>
      <c r="NS104" s="14">
        <f t="shared" si="31"/>
        <v>0</v>
      </c>
      <c r="NT104" s="14">
        <f t="shared" si="24"/>
        <v>0</v>
      </c>
      <c r="NU104" s="14">
        <f t="shared" si="25"/>
        <v>0</v>
      </c>
      <c r="NV104" s="14">
        <f t="shared" si="26"/>
        <v>0</v>
      </c>
      <c r="NW104" s="14">
        <f t="shared" si="27"/>
        <v>0</v>
      </c>
      <c r="NX104" s="14">
        <f t="shared" si="28"/>
        <v>0</v>
      </c>
      <c r="NY104" s="14">
        <f t="shared" si="29"/>
        <v>0</v>
      </c>
    </row>
    <row r="105" spans="1:389" x14ac:dyDescent="0.25">
      <c r="A105" s="96" t="s">
        <v>430</v>
      </c>
      <c r="B105" s="34">
        <v>288</v>
      </c>
      <c r="C105" s="99">
        <v>15</v>
      </c>
      <c r="JB105" s="14">
        <v>172262000</v>
      </c>
      <c r="JC105" s="14">
        <v>80000</v>
      </c>
      <c r="JD105" s="14">
        <v>172182000</v>
      </c>
      <c r="JH105" s="14">
        <v>26300</v>
      </c>
      <c r="JL105" s="14">
        <v>172262000</v>
      </c>
      <c r="JM105" s="14">
        <v>53700</v>
      </c>
      <c r="JN105" s="14">
        <v>172182000</v>
      </c>
      <c r="ND105" s="14">
        <f t="shared" si="30"/>
        <v>172262000</v>
      </c>
      <c r="NE105" s="14">
        <f t="shared" si="16"/>
        <v>80000</v>
      </c>
      <c r="NF105" s="14">
        <f t="shared" si="17"/>
        <v>172182000</v>
      </c>
      <c r="NI105" s="14">
        <f t="shared" si="18"/>
        <v>0</v>
      </c>
      <c r="NJ105" s="14">
        <f t="shared" si="19"/>
        <v>26300</v>
      </c>
      <c r="NK105" s="14">
        <f t="shared" si="20"/>
        <v>0</v>
      </c>
      <c r="NN105" s="14">
        <f t="shared" si="21"/>
        <v>172262000</v>
      </c>
      <c r="NO105" s="14">
        <f t="shared" si="22"/>
        <v>53700</v>
      </c>
      <c r="NP105" s="14">
        <f t="shared" si="23"/>
        <v>172182000</v>
      </c>
      <c r="NS105" s="14">
        <f t="shared" si="31"/>
        <v>0</v>
      </c>
      <c r="NT105" s="14">
        <f t="shared" si="24"/>
        <v>0</v>
      </c>
      <c r="NU105" s="14">
        <f t="shared" si="25"/>
        <v>0</v>
      </c>
      <c r="NV105" s="14">
        <f t="shared" si="26"/>
        <v>0</v>
      </c>
      <c r="NW105" s="14">
        <f t="shared" si="27"/>
        <v>0</v>
      </c>
      <c r="NX105" s="14">
        <f t="shared" si="28"/>
        <v>0</v>
      </c>
      <c r="NY105" s="14">
        <f t="shared" si="29"/>
        <v>0</v>
      </c>
    </row>
    <row r="106" spans="1:389" x14ac:dyDescent="0.25">
      <c r="A106" s="96" t="s">
        <v>431</v>
      </c>
      <c r="B106" s="34">
        <v>290</v>
      </c>
      <c r="C106" s="99">
        <v>18</v>
      </c>
      <c r="JB106" s="14">
        <v>62974000</v>
      </c>
      <c r="JC106" s="14">
        <v>50000</v>
      </c>
      <c r="JD106" s="14">
        <v>62924000</v>
      </c>
      <c r="JH106" s="14">
        <v>18357</v>
      </c>
      <c r="JL106" s="14">
        <v>62974000</v>
      </c>
      <c r="JM106" s="14">
        <v>31643</v>
      </c>
      <c r="JN106" s="14">
        <v>62924000</v>
      </c>
      <c r="ND106" s="14">
        <f t="shared" si="30"/>
        <v>62974000</v>
      </c>
      <c r="NE106" s="14">
        <f t="shared" si="16"/>
        <v>50000</v>
      </c>
      <c r="NF106" s="14">
        <f t="shared" si="17"/>
        <v>62924000</v>
      </c>
      <c r="NI106" s="14">
        <f t="shared" si="18"/>
        <v>0</v>
      </c>
      <c r="NJ106" s="14">
        <f t="shared" si="19"/>
        <v>18357</v>
      </c>
      <c r="NK106" s="14">
        <f t="shared" si="20"/>
        <v>0</v>
      </c>
      <c r="NN106" s="14">
        <f t="shared" si="21"/>
        <v>62974000</v>
      </c>
      <c r="NO106" s="14">
        <f t="shared" si="22"/>
        <v>31643</v>
      </c>
      <c r="NP106" s="14">
        <f t="shared" si="23"/>
        <v>62924000</v>
      </c>
      <c r="NS106" s="14">
        <f t="shared" si="31"/>
        <v>0</v>
      </c>
      <c r="NT106" s="14">
        <f t="shared" si="24"/>
        <v>0</v>
      </c>
      <c r="NU106" s="14">
        <f t="shared" si="25"/>
        <v>0</v>
      </c>
      <c r="NV106" s="14">
        <f t="shared" si="26"/>
        <v>0</v>
      </c>
      <c r="NW106" s="14">
        <f t="shared" si="27"/>
        <v>0</v>
      </c>
      <c r="NX106" s="14">
        <f t="shared" si="28"/>
        <v>0</v>
      </c>
      <c r="NY106" s="14">
        <f t="shared" si="29"/>
        <v>0</v>
      </c>
    </row>
    <row r="107" spans="1:389" x14ac:dyDescent="0.25">
      <c r="A107" s="96" t="s">
        <v>432</v>
      </c>
      <c r="B107" s="34">
        <v>291</v>
      </c>
      <c r="C107" s="99">
        <v>6</v>
      </c>
      <c r="JB107" s="14">
        <v>13745000</v>
      </c>
      <c r="JC107" s="14">
        <v>330000</v>
      </c>
      <c r="JD107" s="14">
        <v>13415000</v>
      </c>
      <c r="JH107" s="14">
        <v>24424</v>
      </c>
      <c r="JL107" s="14">
        <v>13745000</v>
      </c>
      <c r="JM107" s="14">
        <v>305576</v>
      </c>
      <c r="JN107" s="14">
        <v>13415000</v>
      </c>
      <c r="ND107" s="14">
        <f t="shared" si="30"/>
        <v>13745000</v>
      </c>
      <c r="NE107" s="14">
        <f t="shared" si="16"/>
        <v>330000</v>
      </c>
      <c r="NF107" s="14">
        <f t="shared" si="17"/>
        <v>13415000</v>
      </c>
      <c r="NI107" s="14">
        <f t="shared" si="18"/>
        <v>0</v>
      </c>
      <c r="NJ107" s="14">
        <f t="shared" si="19"/>
        <v>24424</v>
      </c>
      <c r="NK107" s="14">
        <f t="shared" si="20"/>
        <v>0</v>
      </c>
      <c r="NN107" s="14">
        <f t="shared" si="21"/>
        <v>13745000</v>
      </c>
      <c r="NO107" s="14">
        <f t="shared" si="22"/>
        <v>305576</v>
      </c>
      <c r="NP107" s="14">
        <f t="shared" si="23"/>
        <v>13415000</v>
      </c>
      <c r="NS107" s="14">
        <f t="shared" si="31"/>
        <v>0</v>
      </c>
      <c r="NT107" s="14">
        <f t="shared" si="24"/>
        <v>0</v>
      </c>
      <c r="NU107" s="14">
        <f t="shared" si="25"/>
        <v>0</v>
      </c>
      <c r="NV107" s="14">
        <f t="shared" si="26"/>
        <v>0</v>
      </c>
      <c r="NW107" s="14">
        <f t="shared" si="27"/>
        <v>0</v>
      </c>
      <c r="NX107" s="14">
        <f t="shared" si="28"/>
        <v>0</v>
      </c>
      <c r="NY107" s="14">
        <f t="shared" si="29"/>
        <v>0</v>
      </c>
    </row>
    <row r="108" spans="1:389" x14ac:dyDescent="0.25">
      <c r="A108" s="96" t="s">
        <v>433</v>
      </c>
      <c r="B108" s="34">
        <v>297</v>
      </c>
      <c r="C108" s="99">
        <v>11</v>
      </c>
      <c r="JB108" s="14">
        <v>12099000</v>
      </c>
      <c r="JC108" s="14">
        <v>124000</v>
      </c>
      <c r="JD108" s="14">
        <v>11975000</v>
      </c>
      <c r="JH108" s="14">
        <v>10860</v>
      </c>
      <c r="JL108" s="14">
        <v>12099000</v>
      </c>
      <c r="JM108" s="14">
        <v>113140</v>
      </c>
      <c r="JN108" s="14">
        <v>11975000</v>
      </c>
      <c r="ND108" s="14">
        <f t="shared" si="30"/>
        <v>12099000</v>
      </c>
      <c r="NE108" s="14">
        <f t="shared" si="16"/>
        <v>124000</v>
      </c>
      <c r="NF108" s="14">
        <f t="shared" si="17"/>
        <v>11975000</v>
      </c>
      <c r="NI108" s="14">
        <f t="shared" si="18"/>
        <v>0</v>
      </c>
      <c r="NJ108" s="14">
        <f t="shared" si="19"/>
        <v>10860</v>
      </c>
      <c r="NK108" s="14">
        <f t="shared" si="20"/>
        <v>0</v>
      </c>
      <c r="NN108" s="14">
        <f t="shared" si="21"/>
        <v>12099000</v>
      </c>
      <c r="NO108" s="14">
        <f t="shared" si="22"/>
        <v>113140</v>
      </c>
      <c r="NP108" s="14">
        <f t="shared" si="23"/>
        <v>11975000</v>
      </c>
      <c r="NS108" s="14">
        <f t="shared" si="31"/>
        <v>0</v>
      </c>
      <c r="NT108" s="14">
        <f t="shared" si="24"/>
        <v>0</v>
      </c>
      <c r="NU108" s="14">
        <f t="shared" si="25"/>
        <v>0</v>
      </c>
      <c r="NV108" s="14">
        <f t="shared" si="26"/>
        <v>0</v>
      </c>
      <c r="NW108" s="14">
        <f t="shared" si="27"/>
        <v>0</v>
      </c>
      <c r="NX108" s="14">
        <f t="shared" si="28"/>
        <v>0</v>
      </c>
      <c r="NY108" s="14">
        <f t="shared" si="29"/>
        <v>0</v>
      </c>
    </row>
    <row r="109" spans="1:389" x14ac:dyDescent="0.25">
      <c r="A109" s="96" t="s">
        <v>434</v>
      </c>
      <c r="B109" s="34">
        <v>300</v>
      </c>
      <c r="C109" s="99">
        <v>14</v>
      </c>
      <c r="JB109" s="14">
        <v>207803000</v>
      </c>
      <c r="JC109" s="14">
        <v>0</v>
      </c>
      <c r="JD109" s="14">
        <v>207803000</v>
      </c>
      <c r="JH109" s="14">
        <v>7828</v>
      </c>
      <c r="JL109" s="14">
        <v>207803000</v>
      </c>
      <c r="JM109" s="14">
        <v>-7828</v>
      </c>
      <c r="JN109" s="14">
        <v>207803000</v>
      </c>
      <c r="ND109" s="14">
        <f t="shared" si="30"/>
        <v>207803000</v>
      </c>
      <c r="NE109" s="14">
        <f t="shared" si="16"/>
        <v>0</v>
      </c>
      <c r="NF109" s="14">
        <f t="shared" si="17"/>
        <v>207803000</v>
      </c>
      <c r="NI109" s="14">
        <f t="shared" si="18"/>
        <v>0</v>
      </c>
      <c r="NJ109" s="14">
        <f t="shared" si="19"/>
        <v>7828</v>
      </c>
      <c r="NK109" s="14">
        <f t="shared" si="20"/>
        <v>0</v>
      </c>
      <c r="NN109" s="14">
        <f t="shared" si="21"/>
        <v>207803000</v>
      </c>
      <c r="NO109" s="14">
        <f t="shared" si="22"/>
        <v>-7828</v>
      </c>
      <c r="NP109" s="14">
        <f t="shared" si="23"/>
        <v>207803000</v>
      </c>
      <c r="NS109" s="14">
        <f t="shared" si="31"/>
        <v>0</v>
      </c>
      <c r="NT109" s="14">
        <f t="shared" si="24"/>
        <v>0</v>
      </c>
      <c r="NU109" s="14">
        <f t="shared" si="25"/>
        <v>0</v>
      </c>
      <c r="NV109" s="14">
        <f t="shared" si="26"/>
        <v>0</v>
      </c>
      <c r="NW109" s="14">
        <f t="shared" si="27"/>
        <v>0</v>
      </c>
      <c r="NX109" s="14">
        <f t="shared" si="28"/>
        <v>0</v>
      </c>
      <c r="NY109" s="14">
        <f t="shared" si="29"/>
        <v>0</v>
      </c>
    </row>
    <row r="110" spans="1:389" x14ac:dyDescent="0.25">
      <c r="A110" s="96" t="s">
        <v>435</v>
      </c>
      <c r="B110" s="34">
        <v>301</v>
      </c>
      <c r="C110" s="99">
        <v>14</v>
      </c>
      <c r="JB110" s="14">
        <v>67414000</v>
      </c>
      <c r="JC110" s="14">
        <v>407000</v>
      </c>
      <c r="JD110" s="14">
        <v>67007000</v>
      </c>
      <c r="JH110" s="14">
        <v>11360</v>
      </c>
      <c r="JL110" s="14">
        <v>67414000</v>
      </c>
      <c r="JM110" s="14">
        <v>395640</v>
      </c>
      <c r="JN110" s="14">
        <v>67007000</v>
      </c>
      <c r="ND110" s="14">
        <f t="shared" si="30"/>
        <v>67414000</v>
      </c>
      <c r="NE110" s="14">
        <f t="shared" si="16"/>
        <v>407000</v>
      </c>
      <c r="NF110" s="14">
        <f t="shared" si="17"/>
        <v>67007000</v>
      </c>
      <c r="NI110" s="14">
        <f t="shared" si="18"/>
        <v>0</v>
      </c>
      <c r="NJ110" s="14">
        <f t="shared" si="19"/>
        <v>11360</v>
      </c>
      <c r="NK110" s="14">
        <f t="shared" si="20"/>
        <v>0</v>
      </c>
      <c r="NN110" s="14">
        <f t="shared" si="21"/>
        <v>67414000</v>
      </c>
      <c r="NO110" s="14">
        <f t="shared" si="22"/>
        <v>395640</v>
      </c>
      <c r="NP110" s="14">
        <f t="shared" si="23"/>
        <v>67007000</v>
      </c>
      <c r="NS110" s="14">
        <f t="shared" si="31"/>
        <v>0</v>
      </c>
      <c r="NT110" s="14">
        <f t="shared" si="24"/>
        <v>0</v>
      </c>
      <c r="NU110" s="14">
        <f t="shared" si="25"/>
        <v>0</v>
      </c>
      <c r="NV110" s="14">
        <f t="shared" si="26"/>
        <v>0</v>
      </c>
      <c r="NW110" s="14">
        <f t="shared" si="27"/>
        <v>0</v>
      </c>
      <c r="NX110" s="14">
        <f t="shared" si="28"/>
        <v>0</v>
      </c>
      <c r="NY110" s="14">
        <f t="shared" si="29"/>
        <v>0</v>
      </c>
    </row>
    <row r="111" spans="1:389" x14ac:dyDescent="0.25">
      <c r="A111" s="96" t="s">
        <v>436</v>
      </c>
      <c r="B111" s="34">
        <v>304</v>
      </c>
      <c r="C111" s="99">
        <v>2</v>
      </c>
      <c r="JB111" s="14">
        <v>48304000</v>
      </c>
      <c r="JC111" s="14">
        <v>0</v>
      </c>
      <c r="JD111" s="14">
        <v>48304000</v>
      </c>
      <c r="JH111" s="14">
        <v>9986</v>
      </c>
      <c r="JL111" s="14">
        <v>48304000</v>
      </c>
      <c r="JM111" s="14">
        <v>-9986</v>
      </c>
      <c r="JN111" s="14">
        <v>48304000</v>
      </c>
      <c r="ND111" s="14">
        <f t="shared" si="30"/>
        <v>48304000</v>
      </c>
      <c r="NE111" s="14">
        <f t="shared" si="16"/>
        <v>0</v>
      </c>
      <c r="NF111" s="14">
        <f t="shared" si="17"/>
        <v>48304000</v>
      </c>
      <c r="NI111" s="14">
        <f t="shared" si="18"/>
        <v>0</v>
      </c>
      <c r="NJ111" s="14">
        <f t="shared" si="19"/>
        <v>9986</v>
      </c>
      <c r="NK111" s="14">
        <f t="shared" si="20"/>
        <v>0</v>
      </c>
      <c r="NN111" s="14">
        <f t="shared" si="21"/>
        <v>48304000</v>
      </c>
      <c r="NO111" s="14">
        <f t="shared" si="22"/>
        <v>-9986</v>
      </c>
      <c r="NP111" s="14">
        <f t="shared" si="23"/>
        <v>48304000</v>
      </c>
      <c r="NS111" s="14">
        <f t="shared" si="31"/>
        <v>0</v>
      </c>
      <c r="NT111" s="14">
        <f t="shared" si="24"/>
        <v>0</v>
      </c>
      <c r="NU111" s="14">
        <f t="shared" si="25"/>
        <v>0</v>
      </c>
      <c r="NV111" s="14">
        <f t="shared" si="26"/>
        <v>0</v>
      </c>
      <c r="NW111" s="14">
        <f t="shared" si="27"/>
        <v>0</v>
      </c>
      <c r="NX111" s="14">
        <f t="shared" si="28"/>
        <v>0</v>
      </c>
      <c r="NY111" s="14">
        <f t="shared" si="29"/>
        <v>0</v>
      </c>
    </row>
    <row r="112" spans="1:389" x14ac:dyDescent="0.25">
      <c r="A112" s="96" t="s">
        <v>437</v>
      </c>
      <c r="B112" s="34">
        <v>305</v>
      </c>
      <c r="C112" s="99">
        <v>17</v>
      </c>
      <c r="JB112" s="14">
        <v>55410000</v>
      </c>
      <c r="JC112" s="14">
        <v>1900000</v>
      </c>
      <c r="JD112" s="14">
        <v>53510000</v>
      </c>
      <c r="JH112" s="14">
        <v>0</v>
      </c>
      <c r="JL112" s="14">
        <v>55410000</v>
      </c>
      <c r="JM112" s="14">
        <v>1900000</v>
      </c>
      <c r="JN112" s="14">
        <v>53510000</v>
      </c>
      <c r="ND112" s="14">
        <f t="shared" si="30"/>
        <v>55410000</v>
      </c>
      <c r="NE112" s="14">
        <f t="shared" si="16"/>
        <v>1900000</v>
      </c>
      <c r="NF112" s="14">
        <f t="shared" si="17"/>
        <v>53510000</v>
      </c>
      <c r="NI112" s="14">
        <f t="shared" si="18"/>
        <v>0</v>
      </c>
      <c r="NJ112" s="14">
        <f t="shared" si="19"/>
        <v>0</v>
      </c>
      <c r="NK112" s="14">
        <f t="shared" si="20"/>
        <v>0</v>
      </c>
      <c r="NN112" s="14">
        <f t="shared" si="21"/>
        <v>55410000</v>
      </c>
      <c r="NO112" s="14">
        <f t="shared" si="22"/>
        <v>1900000</v>
      </c>
      <c r="NP112" s="14">
        <f t="shared" si="23"/>
        <v>53510000</v>
      </c>
      <c r="NS112" s="14">
        <f t="shared" si="31"/>
        <v>0</v>
      </c>
      <c r="NT112" s="14">
        <f t="shared" si="24"/>
        <v>0</v>
      </c>
      <c r="NU112" s="14">
        <f t="shared" si="25"/>
        <v>0</v>
      </c>
      <c r="NV112" s="14">
        <f t="shared" si="26"/>
        <v>0</v>
      </c>
      <c r="NW112" s="14">
        <f t="shared" si="27"/>
        <v>0</v>
      </c>
      <c r="NX112" s="14">
        <f t="shared" si="28"/>
        <v>0</v>
      </c>
      <c r="NY112" s="14">
        <f t="shared" si="29"/>
        <v>0</v>
      </c>
    </row>
    <row r="113" spans="1:389" x14ac:dyDescent="0.25">
      <c r="A113" s="96" t="s">
        <v>439</v>
      </c>
      <c r="B113" s="34">
        <v>312</v>
      </c>
      <c r="C113" s="99">
        <v>13</v>
      </c>
      <c r="JB113" s="14">
        <v>8801000</v>
      </c>
      <c r="JC113" s="14">
        <v>0</v>
      </c>
      <c r="JD113" s="14">
        <v>8801000</v>
      </c>
      <c r="JH113" s="14">
        <v>17619</v>
      </c>
      <c r="JL113" s="14">
        <v>8801000</v>
      </c>
      <c r="JM113" s="14">
        <v>-17619</v>
      </c>
      <c r="JN113" s="14">
        <v>8801000</v>
      </c>
      <c r="ND113" s="14">
        <f t="shared" si="30"/>
        <v>8801000</v>
      </c>
      <c r="NE113" s="14">
        <f t="shared" si="16"/>
        <v>0</v>
      </c>
      <c r="NF113" s="14">
        <f t="shared" si="17"/>
        <v>8801000</v>
      </c>
      <c r="NI113" s="14">
        <f t="shared" si="18"/>
        <v>0</v>
      </c>
      <c r="NJ113" s="14">
        <f t="shared" si="19"/>
        <v>17619</v>
      </c>
      <c r="NK113" s="14">
        <f t="shared" si="20"/>
        <v>0</v>
      </c>
      <c r="NN113" s="14">
        <f t="shared" si="21"/>
        <v>8801000</v>
      </c>
      <c r="NO113" s="14">
        <f t="shared" si="22"/>
        <v>-17619</v>
      </c>
      <c r="NP113" s="14">
        <f t="shared" si="23"/>
        <v>8801000</v>
      </c>
      <c r="NS113" s="14">
        <f t="shared" si="31"/>
        <v>0</v>
      </c>
      <c r="NT113" s="14">
        <f t="shared" si="24"/>
        <v>0</v>
      </c>
      <c r="NU113" s="14">
        <f t="shared" si="25"/>
        <v>0</v>
      </c>
      <c r="NV113" s="14">
        <f t="shared" si="26"/>
        <v>0</v>
      </c>
      <c r="NW113" s="14">
        <f t="shared" si="27"/>
        <v>0</v>
      </c>
      <c r="NX113" s="14">
        <f t="shared" si="28"/>
        <v>0</v>
      </c>
      <c r="NY113" s="14">
        <f t="shared" si="29"/>
        <v>0</v>
      </c>
    </row>
    <row r="114" spans="1:389" x14ac:dyDescent="0.25">
      <c r="A114" s="96" t="s">
        <v>440</v>
      </c>
      <c r="B114" s="34">
        <v>316</v>
      </c>
      <c r="C114" s="99">
        <v>7</v>
      </c>
      <c r="JB114" s="14">
        <v>44227000</v>
      </c>
      <c r="JC114" s="14">
        <v>60000</v>
      </c>
      <c r="JD114" s="14">
        <v>44167000</v>
      </c>
      <c r="JH114" s="14">
        <v>0</v>
      </c>
      <c r="JL114" s="14">
        <v>44227000</v>
      </c>
      <c r="JM114" s="14">
        <v>60000</v>
      </c>
      <c r="JN114" s="14">
        <v>44167000</v>
      </c>
      <c r="ND114" s="14">
        <f t="shared" si="30"/>
        <v>44227000</v>
      </c>
      <c r="NE114" s="14">
        <f t="shared" si="16"/>
        <v>60000</v>
      </c>
      <c r="NF114" s="14">
        <f t="shared" si="17"/>
        <v>44167000</v>
      </c>
      <c r="NI114" s="14">
        <f t="shared" si="18"/>
        <v>0</v>
      </c>
      <c r="NJ114" s="14">
        <f t="shared" si="19"/>
        <v>0</v>
      </c>
      <c r="NK114" s="14">
        <f t="shared" si="20"/>
        <v>0</v>
      </c>
      <c r="NN114" s="14">
        <f t="shared" si="21"/>
        <v>44227000</v>
      </c>
      <c r="NO114" s="14">
        <f t="shared" si="22"/>
        <v>60000</v>
      </c>
      <c r="NP114" s="14">
        <f t="shared" si="23"/>
        <v>44167000</v>
      </c>
      <c r="NS114" s="14">
        <f t="shared" si="31"/>
        <v>0</v>
      </c>
      <c r="NT114" s="14">
        <f t="shared" si="24"/>
        <v>0</v>
      </c>
      <c r="NU114" s="14">
        <f t="shared" si="25"/>
        <v>0</v>
      </c>
      <c r="NV114" s="14">
        <f t="shared" si="26"/>
        <v>0</v>
      </c>
      <c r="NW114" s="14">
        <f t="shared" si="27"/>
        <v>0</v>
      </c>
      <c r="NX114" s="14">
        <f t="shared" si="28"/>
        <v>0</v>
      </c>
      <c r="NY114" s="14">
        <f t="shared" si="29"/>
        <v>0</v>
      </c>
    </row>
    <row r="115" spans="1:389" x14ac:dyDescent="0.25">
      <c r="A115" s="96" t="s">
        <v>441</v>
      </c>
      <c r="B115" s="34">
        <v>317</v>
      </c>
      <c r="C115" s="99">
        <v>17</v>
      </c>
      <c r="JB115" s="14">
        <v>275724000</v>
      </c>
      <c r="JC115" s="14">
        <v>0</v>
      </c>
      <c r="JD115" s="14">
        <v>275724000</v>
      </c>
      <c r="JH115" s="14">
        <v>41100</v>
      </c>
      <c r="JL115" s="14">
        <v>275724000</v>
      </c>
      <c r="JM115" s="14">
        <v>-41100</v>
      </c>
      <c r="JN115" s="14">
        <v>275724000</v>
      </c>
      <c r="ND115" s="14">
        <f t="shared" si="30"/>
        <v>275724000</v>
      </c>
      <c r="NE115" s="14">
        <f t="shared" si="16"/>
        <v>0</v>
      </c>
      <c r="NF115" s="14">
        <f t="shared" si="17"/>
        <v>275724000</v>
      </c>
      <c r="NI115" s="14">
        <f t="shared" si="18"/>
        <v>0</v>
      </c>
      <c r="NJ115" s="14">
        <f t="shared" si="19"/>
        <v>41100</v>
      </c>
      <c r="NK115" s="14">
        <f t="shared" si="20"/>
        <v>0</v>
      </c>
      <c r="NN115" s="14">
        <f t="shared" si="21"/>
        <v>275724000</v>
      </c>
      <c r="NO115" s="14">
        <f t="shared" si="22"/>
        <v>-41100</v>
      </c>
      <c r="NP115" s="14">
        <f t="shared" si="23"/>
        <v>275724000</v>
      </c>
      <c r="NS115" s="14">
        <f t="shared" si="31"/>
        <v>0</v>
      </c>
      <c r="NT115" s="14">
        <f t="shared" si="24"/>
        <v>0</v>
      </c>
      <c r="NU115" s="14">
        <f t="shared" si="25"/>
        <v>0</v>
      </c>
      <c r="NV115" s="14">
        <f t="shared" si="26"/>
        <v>0</v>
      </c>
      <c r="NW115" s="14">
        <f t="shared" si="27"/>
        <v>0</v>
      </c>
      <c r="NX115" s="14">
        <f t="shared" si="28"/>
        <v>0</v>
      </c>
      <c r="NY115" s="14">
        <f t="shared" si="29"/>
        <v>0</v>
      </c>
    </row>
    <row r="116" spans="1:389" x14ac:dyDescent="0.25">
      <c r="A116" s="96" t="s">
        <v>444</v>
      </c>
      <c r="B116" s="34">
        <v>398</v>
      </c>
      <c r="C116" s="99">
        <v>7</v>
      </c>
      <c r="JB116" s="14">
        <v>27721000</v>
      </c>
      <c r="JC116" s="14">
        <v>1119000</v>
      </c>
      <c r="JD116" s="14">
        <v>26602000</v>
      </c>
      <c r="JH116" s="14">
        <v>33296</v>
      </c>
      <c r="JL116" s="14">
        <v>27721000</v>
      </c>
      <c r="JM116" s="14">
        <v>1085704</v>
      </c>
      <c r="JN116" s="14">
        <v>26602000</v>
      </c>
      <c r="ND116" s="14">
        <f t="shared" si="30"/>
        <v>27721000</v>
      </c>
      <c r="NE116" s="14">
        <f t="shared" si="16"/>
        <v>1119000</v>
      </c>
      <c r="NF116" s="14">
        <f t="shared" si="17"/>
        <v>26602000</v>
      </c>
      <c r="NI116" s="14">
        <f t="shared" si="18"/>
        <v>0</v>
      </c>
      <c r="NJ116" s="14">
        <f t="shared" si="19"/>
        <v>33296</v>
      </c>
      <c r="NK116" s="14">
        <f t="shared" si="20"/>
        <v>0</v>
      </c>
      <c r="NN116" s="14">
        <f t="shared" si="21"/>
        <v>27721000</v>
      </c>
      <c r="NO116" s="14">
        <f t="shared" si="22"/>
        <v>1085704</v>
      </c>
      <c r="NP116" s="14">
        <f t="shared" si="23"/>
        <v>26602000</v>
      </c>
      <c r="NS116" s="14">
        <f t="shared" si="31"/>
        <v>0</v>
      </c>
      <c r="NT116" s="14">
        <f t="shared" si="24"/>
        <v>0</v>
      </c>
      <c r="NU116" s="14">
        <f t="shared" si="25"/>
        <v>0</v>
      </c>
      <c r="NV116" s="14">
        <f t="shared" si="26"/>
        <v>0</v>
      </c>
      <c r="NW116" s="14">
        <f t="shared" si="27"/>
        <v>0</v>
      </c>
      <c r="NX116" s="14">
        <f t="shared" si="28"/>
        <v>0</v>
      </c>
      <c r="NY116" s="14">
        <f t="shared" si="29"/>
        <v>0</v>
      </c>
    </row>
    <row r="117" spans="1:389" x14ac:dyDescent="0.25">
      <c r="A117" s="96" t="s">
        <v>445</v>
      </c>
      <c r="B117" s="34">
        <v>399</v>
      </c>
      <c r="C117" s="99">
        <v>15</v>
      </c>
      <c r="JB117" s="14">
        <v>17884000</v>
      </c>
      <c r="JC117" s="14">
        <v>0</v>
      </c>
      <c r="JD117" s="14">
        <v>17884000</v>
      </c>
      <c r="JH117" s="14">
        <v>60630</v>
      </c>
      <c r="JL117" s="14">
        <v>17884000</v>
      </c>
      <c r="JM117" s="14">
        <v>-60630</v>
      </c>
      <c r="JN117" s="14">
        <v>17884000</v>
      </c>
      <c r="ND117" s="14">
        <f t="shared" si="30"/>
        <v>17884000</v>
      </c>
      <c r="NE117" s="14">
        <f t="shared" si="16"/>
        <v>0</v>
      </c>
      <c r="NF117" s="14">
        <f t="shared" si="17"/>
        <v>17884000</v>
      </c>
      <c r="NI117" s="14">
        <f t="shared" si="18"/>
        <v>0</v>
      </c>
      <c r="NJ117" s="14">
        <f t="shared" si="19"/>
        <v>60630</v>
      </c>
      <c r="NK117" s="14">
        <f t="shared" si="20"/>
        <v>0</v>
      </c>
      <c r="NN117" s="14">
        <f t="shared" si="21"/>
        <v>17884000</v>
      </c>
      <c r="NO117" s="14">
        <f t="shared" si="22"/>
        <v>-60630</v>
      </c>
      <c r="NP117" s="14">
        <f t="shared" si="23"/>
        <v>17884000</v>
      </c>
      <c r="NS117" s="14">
        <f t="shared" si="31"/>
        <v>0</v>
      </c>
      <c r="NT117" s="14">
        <f t="shared" si="24"/>
        <v>0</v>
      </c>
      <c r="NU117" s="14">
        <f t="shared" si="25"/>
        <v>0</v>
      </c>
      <c r="NV117" s="14">
        <f t="shared" si="26"/>
        <v>0</v>
      </c>
      <c r="NW117" s="14">
        <f t="shared" si="27"/>
        <v>0</v>
      </c>
      <c r="NX117" s="14">
        <f t="shared" si="28"/>
        <v>0</v>
      </c>
      <c r="NY117" s="14">
        <f t="shared" si="29"/>
        <v>0</v>
      </c>
    </row>
    <row r="118" spans="1:389" x14ac:dyDescent="0.25">
      <c r="A118" s="96" t="s">
        <v>446</v>
      </c>
      <c r="B118" s="34">
        <v>400</v>
      </c>
      <c r="C118" s="99">
        <v>2</v>
      </c>
      <c r="JB118" s="14">
        <v>74243000</v>
      </c>
      <c r="JC118" s="14">
        <v>10000</v>
      </c>
      <c r="JD118" s="14">
        <v>74233000</v>
      </c>
      <c r="JH118" s="14">
        <v>19316</v>
      </c>
      <c r="JL118" s="14">
        <v>74243000</v>
      </c>
      <c r="JM118" s="14">
        <v>-9316</v>
      </c>
      <c r="JN118" s="14">
        <v>74233000</v>
      </c>
      <c r="ND118" s="14">
        <f t="shared" si="30"/>
        <v>74243000</v>
      </c>
      <c r="NE118" s="14">
        <f t="shared" si="16"/>
        <v>10000</v>
      </c>
      <c r="NF118" s="14">
        <f t="shared" si="17"/>
        <v>74233000</v>
      </c>
      <c r="NI118" s="14">
        <f t="shared" si="18"/>
        <v>0</v>
      </c>
      <c r="NJ118" s="14">
        <f t="shared" si="19"/>
        <v>19316</v>
      </c>
      <c r="NK118" s="14">
        <f t="shared" si="20"/>
        <v>0</v>
      </c>
      <c r="NN118" s="14">
        <f t="shared" si="21"/>
        <v>74243000</v>
      </c>
      <c r="NO118" s="14">
        <f t="shared" si="22"/>
        <v>-9316</v>
      </c>
      <c r="NP118" s="14">
        <f t="shared" si="23"/>
        <v>74233000</v>
      </c>
      <c r="NS118" s="14">
        <f t="shared" si="31"/>
        <v>0</v>
      </c>
      <c r="NT118" s="14">
        <f t="shared" si="24"/>
        <v>0</v>
      </c>
      <c r="NU118" s="14">
        <f t="shared" si="25"/>
        <v>0</v>
      </c>
      <c r="NV118" s="14">
        <f t="shared" si="26"/>
        <v>0</v>
      </c>
      <c r="NW118" s="14">
        <f t="shared" si="27"/>
        <v>0</v>
      </c>
      <c r="NX118" s="14">
        <f t="shared" si="28"/>
        <v>0</v>
      </c>
      <c r="NY118" s="14">
        <f t="shared" si="29"/>
        <v>0</v>
      </c>
    </row>
    <row r="119" spans="1:389" x14ac:dyDescent="0.25">
      <c r="A119" s="96" t="s">
        <v>450</v>
      </c>
      <c r="B119" s="34">
        <v>407</v>
      </c>
      <c r="C119" s="99">
        <v>1</v>
      </c>
      <c r="JB119" s="14">
        <v>13688000</v>
      </c>
      <c r="JC119" s="14">
        <v>457000</v>
      </c>
      <c r="JD119" s="14">
        <v>13231000</v>
      </c>
      <c r="JH119" s="14">
        <v>7937</v>
      </c>
      <c r="JL119" s="14">
        <v>13688000</v>
      </c>
      <c r="JM119" s="14">
        <v>449063</v>
      </c>
      <c r="JN119" s="14">
        <v>13231000</v>
      </c>
      <c r="ND119" s="14">
        <f t="shared" si="30"/>
        <v>13688000</v>
      </c>
      <c r="NE119" s="14">
        <f t="shared" si="16"/>
        <v>457000</v>
      </c>
      <c r="NF119" s="14">
        <f t="shared" si="17"/>
        <v>13231000</v>
      </c>
      <c r="NI119" s="14">
        <f t="shared" si="18"/>
        <v>0</v>
      </c>
      <c r="NJ119" s="14">
        <f t="shared" si="19"/>
        <v>7937</v>
      </c>
      <c r="NK119" s="14">
        <f t="shared" si="20"/>
        <v>0</v>
      </c>
      <c r="NN119" s="14">
        <f t="shared" si="21"/>
        <v>13688000</v>
      </c>
      <c r="NO119" s="14">
        <f t="shared" si="22"/>
        <v>449063</v>
      </c>
      <c r="NP119" s="14">
        <f t="shared" si="23"/>
        <v>13231000</v>
      </c>
      <c r="NS119" s="14">
        <f t="shared" si="31"/>
        <v>0</v>
      </c>
      <c r="NT119" s="14">
        <f t="shared" si="24"/>
        <v>0</v>
      </c>
      <c r="NU119" s="14">
        <f t="shared" si="25"/>
        <v>0</v>
      </c>
      <c r="NV119" s="14">
        <f t="shared" si="26"/>
        <v>0</v>
      </c>
      <c r="NW119" s="14">
        <f t="shared" si="27"/>
        <v>0</v>
      </c>
      <c r="NX119" s="14">
        <f t="shared" si="28"/>
        <v>0</v>
      </c>
      <c r="NY119" s="14">
        <f t="shared" si="29"/>
        <v>0</v>
      </c>
    </row>
    <row r="120" spans="1:389" x14ac:dyDescent="0.25">
      <c r="A120" s="96" t="s">
        <v>447</v>
      </c>
      <c r="B120" s="34">
        <v>402</v>
      </c>
      <c r="C120" s="99">
        <v>11</v>
      </c>
      <c r="JB120" s="14">
        <v>14720000</v>
      </c>
      <c r="JC120" s="14">
        <v>0</v>
      </c>
      <c r="JD120" s="14">
        <v>14720000</v>
      </c>
      <c r="JH120" s="14">
        <v>11026</v>
      </c>
      <c r="JL120" s="14">
        <v>14720000</v>
      </c>
      <c r="JM120" s="14">
        <v>-11026</v>
      </c>
      <c r="JN120" s="14">
        <v>14720000</v>
      </c>
      <c r="ND120" s="14">
        <f t="shared" si="30"/>
        <v>14720000</v>
      </c>
      <c r="NE120" s="14">
        <f t="shared" si="16"/>
        <v>0</v>
      </c>
      <c r="NF120" s="14">
        <f t="shared" si="17"/>
        <v>14720000</v>
      </c>
      <c r="NI120" s="14">
        <f t="shared" si="18"/>
        <v>0</v>
      </c>
      <c r="NJ120" s="14">
        <f t="shared" si="19"/>
        <v>11026</v>
      </c>
      <c r="NK120" s="14">
        <f t="shared" si="20"/>
        <v>0</v>
      </c>
      <c r="NN120" s="14">
        <f t="shared" si="21"/>
        <v>14720000</v>
      </c>
      <c r="NO120" s="14">
        <f t="shared" si="22"/>
        <v>-11026</v>
      </c>
      <c r="NP120" s="14">
        <f t="shared" si="23"/>
        <v>14720000</v>
      </c>
      <c r="NS120" s="14">
        <f t="shared" si="31"/>
        <v>0</v>
      </c>
      <c r="NT120" s="14">
        <f t="shared" si="24"/>
        <v>0</v>
      </c>
      <c r="NU120" s="14">
        <f t="shared" si="25"/>
        <v>0</v>
      </c>
      <c r="NV120" s="14">
        <f t="shared" si="26"/>
        <v>0</v>
      </c>
      <c r="NW120" s="14">
        <f t="shared" si="27"/>
        <v>0</v>
      </c>
      <c r="NX120" s="14">
        <f t="shared" si="28"/>
        <v>0</v>
      </c>
      <c r="NY120" s="14">
        <f t="shared" si="29"/>
        <v>0</v>
      </c>
    </row>
    <row r="121" spans="1:389" x14ac:dyDescent="0.25">
      <c r="A121" s="96" t="s">
        <v>448</v>
      </c>
      <c r="B121" s="34">
        <v>403</v>
      </c>
      <c r="C121" s="99">
        <v>14</v>
      </c>
      <c r="JB121" s="14">
        <v>319413000</v>
      </c>
      <c r="JC121" s="14">
        <v>16000</v>
      </c>
      <c r="JD121" s="14">
        <v>319397000</v>
      </c>
      <c r="JH121" s="14">
        <v>0</v>
      </c>
      <c r="JL121" s="14">
        <v>319413000</v>
      </c>
      <c r="JM121" s="14">
        <v>16000</v>
      </c>
      <c r="JN121" s="14">
        <v>319397000</v>
      </c>
      <c r="ND121" s="14">
        <f t="shared" si="30"/>
        <v>319413000</v>
      </c>
      <c r="NE121" s="14">
        <f t="shared" si="16"/>
        <v>16000</v>
      </c>
      <c r="NF121" s="14">
        <f t="shared" si="17"/>
        <v>319397000</v>
      </c>
      <c r="NI121" s="14">
        <f t="shared" si="18"/>
        <v>0</v>
      </c>
      <c r="NJ121" s="14">
        <f t="shared" si="19"/>
        <v>0</v>
      </c>
      <c r="NK121" s="14">
        <f t="shared" si="20"/>
        <v>0</v>
      </c>
      <c r="NN121" s="14">
        <f t="shared" si="21"/>
        <v>319413000</v>
      </c>
      <c r="NO121" s="14">
        <f t="shared" si="22"/>
        <v>16000</v>
      </c>
      <c r="NP121" s="14">
        <f t="shared" si="23"/>
        <v>319397000</v>
      </c>
      <c r="NS121" s="14">
        <f t="shared" si="31"/>
        <v>0</v>
      </c>
      <c r="NT121" s="14">
        <f t="shared" si="24"/>
        <v>0</v>
      </c>
      <c r="NU121" s="14">
        <f t="shared" si="25"/>
        <v>0</v>
      </c>
      <c r="NV121" s="14">
        <f t="shared" si="26"/>
        <v>0</v>
      </c>
      <c r="NW121" s="14">
        <f t="shared" si="27"/>
        <v>0</v>
      </c>
      <c r="NX121" s="14">
        <f t="shared" si="28"/>
        <v>0</v>
      </c>
      <c r="NY121" s="14">
        <f t="shared" si="29"/>
        <v>0</v>
      </c>
    </row>
    <row r="122" spans="1:389" x14ac:dyDescent="0.25">
      <c r="A122" s="96" t="s">
        <v>449</v>
      </c>
      <c r="B122" s="34">
        <v>405</v>
      </c>
      <c r="C122" s="99">
        <v>9</v>
      </c>
      <c r="JB122" s="14">
        <v>514357000</v>
      </c>
      <c r="JC122" s="14">
        <v>57000</v>
      </c>
      <c r="JD122" s="14">
        <v>514300000</v>
      </c>
      <c r="JH122" s="14">
        <v>28206</v>
      </c>
      <c r="JL122" s="14">
        <v>514357000</v>
      </c>
      <c r="JM122" s="14">
        <v>28794</v>
      </c>
      <c r="JN122" s="14">
        <v>514300000</v>
      </c>
      <c r="ND122" s="14">
        <f t="shared" si="30"/>
        <v>514357000</v>
      </c>
      <c r="NE122" s="14">
        <f t="shared" si="16"/>
        <v>57000</v>
      </c>
      <c r="NF122" s="14">
        <f t="shared" si="17"/>
        <v>514300000</v>
      </c>
      <c r="NI122" s="14">
        <f t="shared" si="18"/>
        <v>0</v>
      </c>
      <c r="NJ122" s="14">
        <f t="shared" si="19"/>
        <v>28206</v>
      </c>
      <c r="NK122" s="14">
        <f t="shared" si="20"/>
        <v>0</v>
      </c>
      <c r="NN122" s="14">
        <f t="shared" si="21"/>
        <v>514357000</v>
      </c>
      <c r="NO122" s="14">
        <f t="shared" si="22"/>
        <v>28794</v>
      </c>
      <c r="NP122" s="14">
        <f t="shared" si="23"/>
        <v>514300000</v>
      </c>
      <c r="NS122" s="14">
        <f t="shared" si="31"/>
        <v>0</v>
      </c>
      <c r="NT122" s="14">
        <f t="shared" si="24"/>
        <v>0</v>
      </c>
      <c r="NU122" s="14">
        <f t="shared" si="25"/>
        <v>0</v>
      </c>
      <c r="NV122" s="14">
        <f t="shared" si="26"/>
        <v>0</v>
      </c>
      <c r="NW122" s="14">
        <f t="shared" si="27"/>
        <v>0</v>
      </c>
      <c r="NX122" s="14">
        <f t="shared" si="28"/>
        <v>0</v>
      </c>
      <c r="NY122" s="14">
        <f t="shared" si="29"/>
        <v>0</v>
      </c>
    </row>
    <row r="123" spans="1:389" x14ac:dyDescent="0.25">
      <c r="A123" s="96" t="s">
        <v>451</v>
      </c>
      <c r="B123" s="34">
        <v>408</v>
      </c>
      <c r="C123" s="99">
        <v>14</v>
      </c>
      <c r="JB123" s="14">
        <v>42211000</v>
      </c>
      <c r="JC123" s="14">
        <v>0</v>
      </c>
      <c r="JD123" s="14">
        <v>42211000</v>
      </c>
      <c r="JH123" s="14">
        <v>30120</v>
      </c>
      <c r="JL123" s="14">
        <v>42211000</v>
      </c>
      <c r="JM123" s="14">
        <v>-30120</v>
      </c>
      <c r="JN123" s="14">
        <v>42211000</v>
      </c>
      <c r="ND123" s="14">
        <f t="shared" si="30"/>
        <v>42211000</v>
      </c>
      <c r="NE123" s="14">
        <f t="shared" si="16"/>
        <v>0</v>
      </c>
      <c r="NF123" s="14">
        <f t="shared" si="17"/>
        <v>42211000</v>
      </c>
      <c r="NI123" s="14">
        <f t="shared" si="18"/>
        <v>0</v>
      </c>
      <c r="NJ123" s="14">
        <f t="shared" si="19"/>
        <v>30120</v>
      </c>
      <c r="NK123" s="14">
        <f t="shared" si="20"/>
        <v>0</v>
      </c>
      <c r="NN123" s="14">
        <f t="shared" si="21"/>
        <v>42211000</v>
      </c>
      <c r="NO123" s="14">
        <f t="shared" si="22"/>
        <v>-30120</v>
      </c>
      <c r="NP123" s="14">
        <f t="shared" si="23"/>
        <v>42211000</v>
      </c>
      <c r="NS123" s="14">
        <f t="shared" si="31"/>
        <v>0</v>
      </c>
      <c r="NT123" s="14">
        <f t="shared" si="24"/>
        <v>0</v>
      </c>
      <c r="NU123" s="14">
        <f t="shared" si="25"/>
        <v>0</v>
      </c>
      <c r="NV123" s="14">
        <f t="shared" si="26"/>
        <v>0</v>
      </c>
      <c r="NW123" s="14">
        <f t="shared" si="27"/>
        <v>0</v>
      </c>
      <c r="NX123" s="14">
        <f t="shared" si="28"/>
        <v>0</v>
      </c>
      <c r="NY123" s="14">
        <f t="shared" si="29"/>
        <v>0</v>
      </c>
    </row>
    <row r="124" spans="1:389" x14ac:dyDescent="0.25">
      <c r="A124" s="96" t="s">
        <v>452</v>
      </c>
      <c r="B124" s="34">
        <v>410</v>
      </c>
      <c r="C124" s="99">
        <v>13</v>
      </c>
      <c r="JB124" s="14">
        <v>39389000</v>
      </c>
      <c r="JC124" s="14">
        <v>407000</v>
      </c>
      <c r="JD124" s="14">
        <v>38982000</v>
      </c>
      <c r="JH124" s="14">
        <v>17012</v>
      </c>
      <c r="JL124" s="14">
        <v>39389000</v>
      </c>
      <c r="JM124" s="14">
        <v>389988</v>
      </c>
      <c r="JN124" s="14">
        <v>38982000</v>
      </c>
      <c r="ND124" s="14">
        <f t="shared" si="30"/>
        <v>39389000</v>
      </c>
      <c r="NE124" s="14">
        <f t="shared" si="16"/>
        <v>407000</v>
      </c>
      <c r="NF124" s="14">
        <f t="shared" si="17"/>
        <v>38982000</v>
      </c>
      <c r="NI124" s="14">
        <f t="shared" si="18"/>
        <v>0</v>
      </c>
      <c r="NJ124" s="14">
        <f t="shared" si="19"/>
        <v>17012</v>
      </c>
      <c r="NK124" s="14">
        <f t="shared" si="20"/>
        <v>0</v>
      </c>
      <c r="NN124" s="14">
        <f t="shared" si="21"/>
        <v>39389000</v>
      </c>
      <c r="NO124" s="14">
        <f t="shared" si="22"/>
        <v>389988</v>
      </c>
      <c r="NP124" s="14">
        <f t="shared" si="23"/>
        <v>38982000</v>
      </c>
      <c r="NS124" s="14">
        <f t="shared" si="31"/>
        <v>0</v>
      </c>
      <c r="NT124" s="14">
        <f t="shared" si="24"/>
        <v>0</v>
      </c>
      <c r="NU124" s="14">
        <f t="shared" si="25"/>
        <v>0</v>
      </c>
      <c r="NV124" s="14">
        <f t="shared" si="26"/>
        <v>0</v>
      </c>
      <c r="NW124" s="14">
        <f t="shared" si="27"/>
        <v>0</v>
      </c>
      <c r="NX124" s="14">
        <f t="shared" si="28"/>
        <v>0</v>
      </c>
      <c r="NY124" s="14">
        <f t="shared" si="29"/>
        <v>0</v>
      </c>
    </row>
    <row r="125" spans="1:389" x14ac:dyDescent="0.25">
      <c r="A125" s="96" t="s">
        <v>453</v>
      </c>
      <c r="B125" s="34">
        <v>416</v>
      </c>
      <c r="C125" s="99">
        <v>9</v>
      </c>
      <c r="JB125" s="14">
        <v>62522000</v>
      </c>
      <c r="JC125" s="14">
        <v>500000</v>
      </c>
      <c r="JD125" s="14">
        <v>62022000</v>
      </c>
      <c r="JH125" s="14">
        <v>6785</v>
      </c>
      <c r="JL125" s="14">
        <v>62522000</v>
      </c>
      <c r="JM125" s="14">
        <v>493215</v>
      </c>
      <c r="JN125" s="14">
        <v>62022000</v>
      </c>
      <c r="ND125" s="14">
        <f t="shared" si="30"/>
        <v>62522000</v>
      </c>
      <c r="NE125" s="14">
        <f t="shared" si="16"/>
        <v>500000</v>
      </c>
      <c r="NF125" s="14">
        <f t="shared" si="17"/>
        <v>62022000</v>
      </c>
      <c r="NI125" s="14">
        <f t="shared" si="18"/>
        <v>0</v>
      </c>
      <c r="NJ125" s="14">
        <f t="shared" si="19"/>
        <v>6785</v>
      </c>
      <c r="NK125" s="14">
        <f t="shared" si="20"/>
        <v>0</v>
      </c>
      <c r="NN125" s="14">
        <f t="shared" si="21"/>
        <v>62522000</v>
      </c>
      <c r="NO125" s="14">
        <f t="shared" si="22"/>
        <v>493215</v>
      </c>
      <c r="NP125" s="14">
        <f t="shared" si="23"/>
        <v>62022000</v>
      </c>
      <c r="NS125" s="14">
        <f t="shared" si="31"/>
        <v>0</v>
      </c>
      <c r="NT125" s="14">
        <f t="shared" si="24"/>
        <v>0</v>
      </c>
      <c r="NU125" s="14">
        <f t="shared" si="25"/>
        <v>0</v>
      </c>
      <c r="NV125" s="14">
        <f t="shared" si="26"/>
        <v>0</v>
      </c>
      <c r="NW125" s="14">
        <f t="shared" si="27"/>
        <v>0</v>
      </c>
      <c r="NX125" s="14">
        <f t="shared" si="28"/>
        <v>0</v>
      </c>
      <c r="NY125" s="14">
        <f t="shared" si="29"/>
        <v>0</v>
      </c>
    </row>
    <row r="126" spans="1:389" x14ac:dyDescent="0.25">
      <c r="A126" s="96" t="s">
        <v>454</v>
      </c>
      <c r="B126" s="34">
        <v>418</v>
      </c>
      <c r="C126" s="99">
        <v>6</v>
      </c>
      <c r="JB126" s="14">
        <v>16892000</v>
      </c>
      <c r="JC126" s="14">
        <v>629000</v>
      </c>
      <c r="JD126" s="14">
        <v>16263000</v>
      </c>
      <c r="JH126" s="14">
        <v>78618</v>
      </c>
      <c r="JL126" s="14">
        <v>16892000</v>
      </c>
      <c r="JM126" s="14">
        <v>550382</v>
      </c>
      <c r="JN126" s="14">
        <v>16263000</v>
      </c>
      <c r="ND126" s="14">
        <f t="shared" si="30"/>
        <v>16892000</v>
      </c>
      <c r="NE126" s="14">
        <f t="shared" si="16"/>
        <v>629000</v>
      </c>
      <c r="NF126" s="14">
        <f t="shared" si="17"/>
        <v>16263000</v>
      </c>
      <c r="NI126" s="14">
        <f t="shared" si="18"/>
        <v>0</v>
      </c>
      <c r="NJ126" s="14">
        <f t="shared" si="19"/>
        <v>78618</v>
      </c>
      <c r="NK126" s="14">
        <f t="shared" si="20"/>
        <v>0</v>
      </c>
      <c r="NN126" s="14">
        <f t="shared" si="21"/>
        <v>16892000</v>
      </c>
      <c r="NO126" s="14">
        <f t="shared" si="22"/>
        <v>550382</v>
      </c>
      <c r="NP126" s="14">
        <f t="shared" si="23"/>
        <v>16263000</v>
      </c>
      <c r="NS126" s="14">
        <f t="shared" si="31"/>
        <v>0</v>
      </c>
      <c r="NT126" s="14">
        <f t="shared" si="24"/>
        <v>0</v>
      </c>
      <c r="NU126" s="14">
        <f t="shared" si="25"/>
        <v>0</v>
      </c>
      <c r="NV126" s="14">
        <f t="shared" si="26"/>
        <v>0</v>
      </c>
      <c r="NW126" s="14">
        <f t="shared" si="27"/>
        <v>0</v>
      </c>
      <c r="NX126" s="14">
        <f t="shared" si="28"/>
        <v>0</v>
      </c>
      <c r="NY126" s="14">
        <f t="shared" si="29"/>
        <v>0</v>
      </c>
    </row>
    <row r="127" spans="1:389" x14ac:dyDescent="0.25">
      <c r="A127" s="96" t="s">
        <v>455</v>
      </c>
      <c r="B127" s="34">
        <v>420</v>
      </c>
      <c r="C127" s="99">
        <v>11</v>
      </c>
      <c r="JB127" s="14">
        <v>648954000</v>
      </c>
      <c r="JC127" s="14">
        <v>217000</v>
      </c>
      <c r="JD127" s="14">
        <v>648737000</v>
      </c>
      <c r="JH127" s="14">
        <v>24901</v>
      </c>
      <c r="JL127" s="14">
        <v>648954000</v>
      </c>
      <c r="JM127" s="14">
        <v>192099</v>
      </c>
      <c r="JN127" s="14">
        <v>648737000</v>
      </c>
      <c r="ND127" s="14">
        <f t="shared" si="30"/>
        <v>648954000</v>
      </c>
      <c r="NE127" s="14">
        <f t="shared" si="16"/>
        <v>217000</v>
      </c>
      <c r="NF127" s="14">
        <f t="shared" si="17"/>
        <v>648737000</v>
      </c>
      <c r="NI127" s="14">
        <f t="shared" si="18"/>
        <v>0</v>
      </c>
      <c r="NJ127" s="14">
        <f t="shared" si="19"/>
        <v>24901</v>
      </c>
      <c r="NK127" s="14">
        <f t="shared" si="20"/>
        <v>0</v>
      </c>
      <c r="NN127" s="14">
        <f t="shared" si="21"/>
        <v>648954000</v>
      </c>
      <c r="NO127" s="14">
        <f t="shared" si="22"/>
        <v>192099</v>
      </c>
      <c r="NP127" s="14">
        <f t="shared" si="23"/>
        <v>648737000</v>
      </c>
      <c r="NS127" s="14">
        <f t="shared" si="31"/>
        <v>0</v>
      </c>
      <c r="NT127" s="14">
        <f t="shared" si="24"/>
        <v>0</v>
      </c>
      <c r="NU127" s="14">
        <f t="shared" si="25"/>
        <v>0</v>
      </c>
      <c r="NV127" s="14">
        <f t="shared" si="26"/>
        <v>0</v>
      </c>
      <c r="NW127" s="14">
        <f t="shared" si="27"/>
        <v>0</v>
      </c>
      <c r="NX127" s="14">
        <f t="shared" si="28"/>
        <v>0</v>
      </c>
      <c r="NY127" s="14">
        <f t="shared" si="29"/>
        <v>0</v>
      </c>
    </row>
    <row r="128" spans="1:389" x14ac:dyDescent="0.25">
      <c r="A128" s="96" t="s">
        <v>456</v>
      </c>
      <c r="B128" s="34">
        <v>421</v>
      </c>
      <c r="C128" s="99">
        <v>16</v>
      </c>
      <c r="JB128" s="14">
        <v>24506000</v>
      </c>
      <c r="JC128" s="14">
        <v>1561000</v>
      </c>
      <c r="JD128" s="14">
        <v>22945000</v>
      </c>
      <c r="JH128" s="14">
        <v>54206</v>
      </c>
      <c r="JL128" s="14">
        <v>24506000</v>
      </c>
      <c r="JM128" s="14">
        <v>1506794</v>
      </c>
      <c r="JN128" s="14">
        <v>22945000</v>
      </c>
      <c r="ND128" s="14">
        <f t="shared" si="30"/>
        <v>24506000</v>
      </c>
      <c r="NE128" s="14">
        <f t="shared" si="16"/>
        <v>1561000</v>
      </c>
      <c r="NF128" s="14">
        <f t="shared" si="17"/>
        <v>22945000</v>
      </c>
      <c r="NI128" s="14">
        <f t="shared" si="18"/>
        <v>0</v>
      </c>
      <c r="NJ128" s="14">
        <f t="shared" si="19"/>
        <v>54206</v>
      </c>
      <c r="NK128" s="14">
        <f t="shared" si="20"/>
        <v>0</v>
      </c>
      <c r="NN128" s="14">
        <f t="shared" si="21"/>
        <v>24506000</v>
      </c>
      <c r="NO128" s="14">
        <f t="shared" si="22"/>
        <v>1506794</v>
      </c>
      <c r="NP128" s="14">
        <f t="shared" si="23"/>
        <v>22945000</v>
      </c>
      <c r="NS128" s="14">
        <f t="shared" si="31"/>
        <v>0</v>
      </c>
      <c r="NT128" s="14">
        <f t="shared" si="24"/>
        <v>0</v>
      </c>
      <c r="NU128" s="14">
        <f t="shared" si="25"/>
        <v>0</v>
      </c>
      <c r="NV128" s="14">
        <f t="shared" si="26"/>
        <v>0</v>
      </c>
      <c r="NW128" s="14">
        <f t="shared" si="27"/>
        <v>0</v>
      </c>
      <c r="NX128" s="14">
        <f t="shared" si="28"/>
        <v>0</v>
      </c>
      <c r="NY128" s="14">
        <f t="shared" si="29"/>
        <v>0</v>
      </c>
    </row>
    <row r="129" spans="1:389" x14ac:dyDescent="0.25">
      <c r="A129" s="96" t="s">
        <v>457</v>
      </c>
      <c r="B129" s="34">
        <v>422</v>
      </c>
      <c r="C129" s="99">
        <v>12</v>
      </c>
      <c r="JB129" s="14">
        <v>136330000</v>
      </c>
      <c r="JC129" s="14">
        <v>0</v>
      </c>
      <c r="JD129" s="14">
        <v>136330000</v>
      </c>
      <c r="JH129" s="14">
        <v>19056</v>
      </c>
      <c r="JL129" s="14">
        <v>136330000</v>
      </c>
      <c r="JM129" s="14">
        <v>-19056</v>
      </c>
      <c r="JN129" s="14">
        <v>136330000</v>
      </c>
      <c r="ND129" s="14">
        <f t="shared" si="30"/>
        <v>136330000</v>
      </c>
      <c r="NE129" s="14">
        <f t="shared" si="16"/>
        <v>0</v>
      </c>
      <c r="NF129" s="14">
        <f t="shared" si="17"/>
        <v>136330000</v>
      </c>
      <c r="NI129" s="14">
        <f t="shared" si="18"/>
        <v>0</v>
      </c>
      <c r="NJ129" s="14">
        <f t="shared" si="19"/>
        <v>19056</v>
      </c>
      <c r="NK129" s="14">
        <f t="shared" si="20"/>
        <v>0</v>
      </c>
      <c r="NN129" s="14">
        <f t="shared" si="21"/>
        <v>136330000</v>
      </c>
      <c r="NO129" s="14">
        <f t="shared" si="22"/>
        <v>-19056</v>
      </c>
      <c r="NP129" s="14">
        <f t="shared" si="23"/>
        <v>136330000</v>
      </c>
      <c r="NS129" s="14">
        <f t="shared" si="31"/>
        <v>0</v>
      </c>
      <c r="NT129" s="14">
        <f t="shared" si="24"/>
        <v>0</v>
      </c>
      <c r="NU129" s="14">
        <f t="shared" si="25"/>
        <v>0</v>
      </c>
      <c r="NV129" s="14">
        <f t="shared" si="26"/>
        <v>0</v>
      </c>
      <c r="NW129" s="14">
        <f t="shared" si="27"/>
        <v>0</v>
      </c>
      <c r="NX129" s="14">
        <f t="shared" si="28"/>
        <v>0</v>
      </c>
      <c r="NY129" s="14">
        <f t="shared" si="29"/>
        <v>0</v>
      </c>
    </row>
    <row r="130" spans="1:389" x14ac:dyDescent="0.25">
      <c r="A130" s="96" t="s">
        <v>458</v>
      </c>
      <c r="B130" s="34">
        <v>423</v>
      </c>
      <c r="C130" s="99">
        <v>2</v>
      </c>
      <c r="JB130" s="14">
        <v>6232000</v>
      </c>
      <c r="JC130" s="14">
        <v>0</v>
      </c>
      <c r="JD130" s="14">
        <v>6232000</v>
      </c>
      <c r="JH130" s="14">
        <v>7372</v>
      </c>
      <c r="JL130" s="14">
        <v>6232000</v>
      </c>
      <c r="JM130" s="14">
        <v>-7372</v>
      </c>
      <c r="JN130" s="14">
        <v>6232000</v>
      </c>
      <c r="ND130" s="14">
        <f t="shared" si="30"/>
        <v>6232000</v>
      </c>
      <c r="NE130" s="14">
        <f t="shared" si="16"/>
        <v>0</v>
      </c>
      <c r="NF130" s="14">
        <f t="shared" si="17"/>
        <v>6232000</v>
      </c>
      <c r="NI130" s="14">
        <f t="shared" si="18"/>
        <v>0</v>
      </c>
      <c r="NJ130" s="14">
        <f t="shared" si="19"/>
        <v>7372</v>
      </c>
      <c r="NK130" s="14">
        <f t="shared" si="20"/>
        <v>0</v>
      </c>
      <c r="NN130" s="14">
        <f t="shared" si="21"/>
        <v>6232000</v>
      </c>
      <c r="NO130" s="14">
        <f t="shared" si="22"/>
        <v>-7372</v>
      </c>
      <c r="NP130" s="14">
        <f t="shared" si="23"/>
        <v>6232000</v>
      </c>
      <c r="NS130" s="14">
        <f t="shared" si="31"/>
        <v>0</v>
      </c>
      <c r="NT130" s="14">
        <f t="shared" si="24"/>
        <v>0</v>
      </c>
      <c r="NU130" s="14">
        <f t="shared" si="25"/>
        <v>0</v>
      </c>
      <c r="NV130" s="14">
        <f t="shared" si="26"/>
        <v>0</v>
      </c>
      <c r="NW130" s="14">
        <f t="shared" si="27"/>
        <v>0</v>
      </c>
      <c r="NX130" s="14">
        <f t="shared" si="28"/>
        <v>0</v>
      </c>
      <c r="NY130" s="14">
        <f t="shared" si="29"/>
        <v>0</v>
      </c>
    </row>
    <row r="131" spans="1:389" x14ac:dyDescent="0.25">
      <c r="A131" s="96" t="s">
        <v>459</v>
      </c>
      <c r="B131" s="34">
        <v>425</v>
      </c>
      <c r="C131" s="99">
        <v>17</v>
      </c>
      <c r="JB131" s="14">
        <v>97779000</v>
      </c>
      <c r="JC131" s="14">
        <v>13000</v>
      </c>
      <c r="JD131" s="14">
        <v>97766000</v>
      </c>
      <c r="JH131" s="14">
        <v>33542</v>
      </c>
      <c r="JL131" s="14">
        <v>97779000</v>
      </c>
      <c r="JM131" s="14">
        <v>-20542</v>
      </c>
      <c r="JN131" s="14">
        <v>97766000</v>
      </c>
      <c r="ND131" s="14">
        <f t="shared" si="30"/>
        <v>97779000</v>
      </c>
      <c r="NE131" s="14">
        <f t="shared" si="16"/>
        <v>13000</v>
      </c>
      <c r="NF131" s="14">
        <f t="shared" si="17"/>
        <v>97766000</v>
      </c>
      <c r="NI131" s="14">
        <f t="shared" si="18"/>
        <v>0</v>
      </c>
      <c r="NJ131" s="14">
        <f t="shared" si="19"/>
        <v>33542</v>
      </c>
      <c r="NK131" s="14">
        <f t="shared" si="20"/>
        <v>0</v>
      </c>
      <c r="NN131" s="14">
        <f t="shared" si="21"/>
        <v>97779000</v>
      </c>
      <c r="NO131" s="14">
        <f t="shared" si="22"/>
        <v>-20542</v>
      </c>
      <c r="NP131" s="14">
        <f t="shared" si="23"/>
        <v>97766000</v>
      </c>
      <c r="NS131" s="14">
        <f t="shared" si="31"/>
        <v>0</v>
      </c>
      <c r="NT131" s="14">
        <f t="shared" si="24"/>
        <v>0</v>
      </c>
      <c r="NU131" s="14">
        <f t="shared" si="25"/>
        <v>0</v>
      </c>
      <c r="NV131" s="14">
        <f t="shared" si="26"/>
        <v>0</v>
      </c>
      <c r="NW131" s="14">
        <f t="shared" si="27"/>
        <v>0</v>
      </c>
      <c r="NX131" s="14">
        <f t="shared" si="28"/>
        <v>0</v>
      </c>
      <c r="NY131" s="14">
        <f t="shared" si="29"/>
        <v>0</v>
      </c>
    </row>
    <row r="132" spans="1:389" x14ac:dyDescent="0.25">
      <c r="A132" s="96" t="s">
        <v>460</v>
      </c>
      <c r="B132" s="34">
        <v>426</v>
      </c>
      <c r="C132" s="99">
        <v>12</v>
      </c>
      <c r="JB132" s="14">
        <v>42333000</v>
      </c>
      <c r="JC132" s="14">
        <v>200000</v>
      </c>
      <c r="JD132" s="14">
        <v>42133000</v>
      </c>
      <c r="JH132" s="14">
        <v>24382</v>
      </c>
      <c r="JL132" s="14">
        <v>42333000</v>
      </c>
      <c r="JM132" s="14">
        <v>175618</v>
      </c>
      <c r="JN132" s="14">
        <v>42133000</v>
      </c>
      <c r="ND132" s="14">
        <f t="shared" si="30"/>
        <v>42333000</v>
      </c>
      <c r="NE132" s="14">
        <f t="shared" si="16"/>
        <v>200000</v>
      </c>
      <c r="NF132" s="14">
        <f t="shared" si="17"/>
        <v>42133000</v>
      </c>
      <c r="NI132" s="14">
        <f t="shared" si="18"/>
        <v>0</v>
      </c>
      <c r="NJ132" s="14">
        <f t="shared" si="19"/>
        <v>24382</v>
      </c>
      <c r="NK132" s="14">
        <f t="shared" si="20"/>
        <v>0</v>
      </c>
      <c r="NN132" s="14">
        <f t="shared" si="21"/>
        <v>42333000</v>
      </c>
      <c r="NO132" s="14">
        <f t="shared" si="22"/>
        <v>175618</v>
      </c>
      <c r="NP132" s="14">
        <f t="shared" si="23"/>
        <v>42133000</v>
      </c>
      <c r="NS132" s="14">
        <f t="shared" si="31"/>
        <v>0</v>
      </c>
      <c r="NT132" s="14">
        <f t="shared" si="24"/>
        <v>0</v>
      </c>
      <c r="NU132" s="14">
        <f t="shared" si="25"/>
        <v>0</v>
      </c>
      <c r="NV132" s="14">
        <f t="shared" si="26"/>
        <v>0</v>
      </c>
      <c r="NW132" s="14">
        <f t="shared" si="27"/>
        <v>0</v>
      </c>
      <c r="NX132" s="14">
        <f t="shared" si="28"/>
        <v>0</v>
      </c>
      <c r="NY132" s="14">
        <f t="shared" si="29"/>
        <v>0</v>
      </c>
    </row>
    <row r="133" spans="1:389" x14ac:dyDescent="0.25">
      <c r="A133" s="96" t="s">
        <v>468</v>
      </c>
      <c r="B133" s="34">
        <v>444</v>
      </c>
      <c r="C133" s="99">
        <v>1</v>
      </c>
      <c r="JB133" s="14">
        <v>8938000</v>
      </c>
      <c r="JC133" s="14">
        <v>0</v>
      </c>
      <c r="JD133" s="14">
        <v>8938000</v>
      </c>
      <c r="JH133" s="14">
        <v>38249</v>
      </c>
      <c r="JL133" s="14">
        <v>8938000</v>
      </c>
      <c r="JM133" s="14">
        <v>-38249</v>
      </c>
      <c r="JN133" s="14">
        <v>8938000</v>
      </c>
      <c r="ND133" s="14">
        <f t="shared" si="30"/>
        <v>8938000</v>
      </c>
      <c r="NE133" s="14">
        <f t="shared" si="16"/>
        <v>0</v>
      </c>
      <c r="NF133" s="14">
        <f t="shared" si="17"/>
        <v>8938000</v>
      </c>
      <c r="NI133" s="14">
        <f t="shared" si="18"/>
        <v>0</v>
      </c>
      <c r="NJ133" s="14">
        <f t="shared" si="19"/>
        <v>38249</v>
      </c>
      <c r="NK133" s="14">
        <f t="shared" si="20"/>
        <v>0</v>
      </c>
      <c r="NN133" s="14">
        <f t="shared" si="21"/>
        <v>8938000</v>
      </c>
      <c r="NO133" s="14">
        <f t="shared" si="22"/>
        <v>-38249</v>
      </c>
      <c r="NP133" s="14">
        <f t="shared" si="23"/>
        <v>8938000</v>
      </c>
      <c r="NS133" s="14">
        <f t="shared" si="31"/>
        <v>0</v>
      </c>
      <c r="NT133" s="14">
        <f t="shared" si="24"/>
        <v>0</v>
      </c>
      <c r="NU133" s="14">
        <f t="shared" si="25"/>
        <v>0</v>
      </c>
      <c r="NV133" s="14">
        <f t="shared" si="26"/>
        <v>0</v>
      </c>
      <c r="NW133" s="14">
        <f t="shared" si="27"/>
        <v>0</v>
      </c>
      <c r="NX133" s="14">
        <f t="shared" si="28"/>
        <v>0</v>
      </c>
      <c r="NY133" s="14">
        <f t="shared" si="29"/>
        <v>0</v>
      </c>
    </row>
    <row r="134" spans="1:389" x14ac:dyDescent="0.25">
      <c r="A134" s="96" t="s">
        <v>461</v>
      </c>
      <c r="B134" s="34">
        <v>430</v>
      </c>
      <c r="C134" s="99">
        <v>2</v>
      </c>
      <c r="JB134" s="14">
        <v>24853000</v>
      </c>
      <c r="JC134" s="14">
        <v>150000</v>
      </c>
      <c r="JD134" s="14">
        <v>24703000</v>
      </c>
      <c r="JH134" s="14">
        <v>100258</v>
      </c>
      <c r="JL134" s="14">
        <v>24853000</v>
      </c>
      <c r="JM134" s="14">
        <v>49742</v>
      </c>
      <c r="JN134" s="14">
        <v>24703000</v>
      </c>
      <c r="ND134" s="14">
        <f t="shared" si="30"/>
        <v>24853000</v>
      </c>
      <c r="NE134" s="14">
        <f t="shared" si="16"/>
        <v>150000</v>
      </c>
      <c r="NF134" s="14">
        <f t="shared" si="17"/>
        <v>24703000</v>
      </c>
      <c r="NI134" s="14">
        <f t="shared" si="18"/>
        <v>0</v>
      </c>
      <c r="NJ134" s="14">
        <f t="shared" si="19"/>
        <v>100258</v>
      </c>
      <c r="NK134" s="14">
        <f t="shared" si="20"/>
        <v>0</v>
      </c>
      <c r="NN134" s="14">
        <f t="shared" si="21"/>
        <v>24853000</v>
      </c>
      <c r="NO134" s="14">
        <f t="shared" si="22"/>
        <v>49742</v>
      </c>
      <c r="NP134" s="14">
        <f t="shared" si="23"/>
        <v>24703000</v>
      </c>
      <c r="NS134" s="14">
        <f t="shared" si="31"/>
        <v>0</v>
      </c>
      <c r="NT134" s="14">
        <f t="shared" si="24"/>
        <v>0</v>
      </c>
      <c r="NU134" s="14">
        <f t="shared" si="25"/>
        <v>0</v>
      </c>
      <c r="NV134" s="14">
        <f t="shared" si="26"/>
        <v>0</v>
      </c>
      <c r="NW134" s="14">
        <f t="shared" si="27"/>
        <v>0</v>
      </c>
      <c r="NX134" s="14">
        <f t="shared" si="28"/>
        <v>0</v>
      </c>
      <c r="NY134" s="14">
        <f t="shared" si="29"/>
        <v>0</v>
      </c>
    </row>
    <row r="135" spans="1:389" x14ac:dyDescent="0.25">
      <c r="A135" s="96" t="s">
        <v>462</v>
      </c>
      <c r="B135" s="34">
        <v>433</v>
      </c>
      <c r="C135" s="99">
        <v>5</v>
      </c>
      <c r="JB135" s="14">
        <v>18065000</v>
      </c>
      <c r="JC135" s="14">
        <v>391000</v>
      </c>
      <c r="JD135" s="14">
        <v>17674000</v>
      </c>
      <c r="JH135" s="14">
        <v>94699</v>
      </c>
      <c r="JL135" s="14">
        <v>18065000</v>
      </c>
      <c r="JM135" s="14">
        <v>296301</v>
      </c>
      <c r="JN135" s="14">
        <v>17674000</v>
      </c>
      <c r="ND135" s="14">
        <f t="shared" si="30"/>
        <v>18065000</v>
      </c>
      <c r="NE135" s="14">
        <f t="shared" si="16"/>
        <v>391000</v>
      </c>
      <c r="NF135" s="14">
        <f t="shared" si="17"/>
        <v>17674000</v>
      </c>
      <c r="NI135" s="14">
        <f t="shared" si="18"/>
        <v>0</v>
      </c>
      <c r="NJ135" s="14">
        <f t="shared" si="19"/>
        <v>94699</v>
      </c>
      <c r="NK135" s="14">
        <f t="shared" si="20"/>
        <v>0</v>
      </c>
      <c r="NN135" s="14">
        <f t="shared" si="21"/>
        <v>18065000</v>
      </c>
      <c r="NO135" s="14">
        <f t="shared" si="22"/>
        <v>296301</v>
      </c>
      <c r="NP135" s="14">
        <f t="shared" si="23"/>
        <v>17674000</v>
      </c>
      <c r="NS135" s="14">
        <f t="shared" si="31"/>
        <v>0</v>
      </c>
      <c r="NT135" s="14">
        <f t="shared" si="24"/>
        <v>0</v>
      </c>
      <c r="NU135" s="14">
        <f t="shared" si="25"/>
        <v>0</v>
      </c>
      <c r="NV135" s="14">
        <f t="shared" si="26"/>
        <v>0</v>
      </c>
      <c r="NW135" s="14">
        <f t="shared" si="27"/>
        <v>0</v>
      </c>
      <c r="NX135" s="14">
        <f t="shared" si="28"/>
        <v>0</v>
      </c>
      <c r="NY135" s="14">
        <f t="shared" si="29"/>
        <v>0</v>
      </c>
    </row>
    <row r="136" spans="1:389" x14ac:dyDescent="0.25">
      <c r="A136" s="96" t="s">
        <v>463</v>
      </c>
      <c r="B136" s="34">
        <v>434</v>
      </c>
      <c r="C136" s="99">
        <v>1</v>
      </c>
      <c r="JB136" s="14">
        <v>55077000</v>
      </c>
      <c r="JC136" s="14">
        <v>0</v>
      </c>
      <c r="JD136" s="14">
        <v>55077000</v>
      </c>
      <c r="JH136" s="14">
        <v>17442</v>
      </c>
      <c r="JL136" s="14">
        <v>55077000</v>
      </c>
      <c r="JM136" s="14">
        <v>-17442</v>
      </c>
      <c r="JN136" s="14">
        <v>55077000</v>
      </c>
      <c r="ND136" s="14">
        <f t="shared" si="30"/>
        <v>55077000</v>
      </c>
      <c r="NE136" s="14">
        <f t="shared" si="16"/>
        <v>0</v>
      </c>
      <c r="NF136" s="14">
        <f t="shared" si="17"/>
        <v>55077000</v>
      </c>
      <c r="NI136" s="14">
        <f t="shared" si="18"/>
        <v>0</v>
      </c>
      <c r="NJ136" s="14">
        <f t="shared" si="19"/>
        <v>17442</v>
      </c>
      <c r="NK136" s="14">
        <f t="shared" si="20"/>
        <v>0</v>
      </c>
      <c r="NN136" s="14">
        <f t="shared" si="21"/>
        <v>55077000</v>
      </c>
      <c r="NO136" s="14">
        <f t="shared" si="22"/>
        <v>-17442</v>
      </c>
      <c r="NP136" s="14">
        <f t="shared" si="23"/>
        <v>55077000</v>
      </c>
      <c r="NS136" s="14">
        <f t="shared" si="31"/>
        <v>0</v>
      </c>
      <c r="NT136" s="14">
        <f t="shared" si="24"/>
        <v>0</v>
      </c>
      <c r="NU136" s="14">
        <f t="shared" si="25"/>
        <v>0</v>
      </c>
      <c r="NV136" s="14">
        <f t="shared" si="26"/>
        <v>0</v>
      </c>
      <c r="NW136" s="14">
        <f t="shared" si="27"/>
        <v>0</v>
      </c>
      <c r="NX136" s="14">
        <f t="shared" si="28"/>
        <v>0</v>
      </c>
      <c r="NY136" s="14">
        <f t="shared" si="29"/>
        <v>0</v>
      </c>
    </row>
    <row r="137" spans="1:389" x14ac:dyDescent="0.25">
      <c r="A137" s="96" t="s">
        <v>464</v>
      </c>
      <c r="B137" s="34">
        <v>435</v>
      </c>
      <c r="C137" s="99">
        <v>13</v>
      </c>
      <c r="JB137" s="14">
        <v>46083000</v>
      </c>
      <c r="JC137" s="14">
        <v>0</v>
      </c>
      <c r="JD137" s="14">
        <v>46083000</v>
      </c>
      <c r="JH137" s="14">
        <v>85103</v>
      </c>
      <c r="JL137" s="14">
        <v>46083000</v>
      </c>
      <c r="JM137" s="14">
        <v>-85103</v>
      </c>
      <c r="JN137" s="14">
        <v>46083000</v>
      </c>
      <c r="ND137" s="14">
        <f t="shared" si="30"/>
        <v>46083000</v>
      </c>
      <c r="NE137" s="14">
        <f t="shared" si="16"/>
        <v>0</v>
      </c>
      <c r="NF137" s="14">
        <f t="shared" si="17"/>
        <v>46083000</v>
      </c>
      <c r="NI137" s="14">
        <f t="shared" si="18"/>
        <v>0</v>
      </c>
      <c r="NJ137" s="14">
        <f t="shared" si="19"/>
        <v>85103</v>
      </c>
      <c r="NK137" s="14">
        <f t="shared" si="20"/>
        <v>0</v>
      </c>
      <c r="NN137" s="14">
        <f t="shared" si="21"/>
        <v>46083000</v>
      </c>
      <c r="NO137" s="14">
        <f t="shared" si="22"/>
        <v>-85103</v>
      </c>
      <c r="NP137" s="14">
        <f t="shared" si="23"/>
        <v>46083000</v>
      </c>
      <c r="NS137" s="14">
        <f t="shared" si="31"/>
        <v>0</v>
      </c>
      <c r="NT137" s="14">
        <f t="shared" si="24"/>
        <v>0</v>
      </c>
      <c r="NU137" s="14">
        <f t="shared" si="25"/>
        <v>0</v>
      </c>
      <c r="NV137" s="14">
        <f t="shared" si="26"/>
        <v>0</v>
      </c>
      <c r="NW137" s="14">
        <f t="shared" si="27"/>
        <v>0</v>
      </c>
      <c r="NX137" s="14">
        <f t="shared" si="28"/>
        <v>0</v>
      </c>
      <c r="NY137" s="14">
        <f t="shared" si="29"/>
        <v>0</v>
      </c>
    </row>
    <row r="138" spans="1:389" x14ac:dyDescent="0.25">
      <c r="A138" s="96" t="s">
        <v>465</v>
      </c>
      <c r="B138" s="34">
        <v>436</v>
      </c>
      <c r="C138" s="99">
        <v>17</v>
      </c>
      <c r="JB138" s="14">
        <v>633671000</v>
      </c>
      <c r="JC138" s="14">
        <v>175000</v>
      </c>
      <c r="JD138" s="14">
        <v>633496000</v>
      </c>
      <c r="JH138" s="14">
        <v>64612</v>
      </c>
      <c r="JL138" s="14">
        <v>633671000</v>
      </c>
      <c r="JM138" s="14">
        <v>110388</v>
      </c>
      <c r="JN138" s="14">
        <v>633496000</v>
      </c>
      <c r="ND138" s="14">
        <f t="shared" si="30"/>
        <v>633671000</v>
      </c>
      <c r="NE138" s="14">
        <f t="shared" si="16"/>
        <v>175000</v>
      </c>
      <c r="NF138" s="14">
        <f t="shared" si="17"/>
        <v>633496000</v>
      </c>
      <c r="NI138" s="14">
        <f t="shared" si="18"/>
        <v>0</v>
      </c>
      <c r="NJ138" s="14">
        <f t="shared" si="19"/>
        <v>64612</v>
      </c>
      <c r="NK138" s="14">
        <f t="shared" si="20"/>
        <v>0</v>
      </c>
      <c r="NN138" s="14">
        <f t="shared" si="21"/>
        <v>633671000</v>
      </c>
      <c r="NO138" s="14">
        <f t="shared" si="22"/>
        <v>110388</v>
      </c>
      <c r="NP138" s="14">
        <f t="shared" si="23"/>
        <v>633496000</v>
      </c>
      <c r="NS138" s="14">
        <f t="shared" si="31"/>
        <v>0</v>
      </c>
      <c r="NT138" s="14">
        <f t="shared" si="24"/>
        <v>0</v>
      </c>
      <c r="NU138" s="14">
        <f t="shared" si="25"/>
        <v>0</v>
      </c>
      <c r="NV138" s="14">
        <f t="shared" si="26"/>
        <v>0</v>
      </c>
      <c r="NW138" s="14">
        <f t="shared" si="27"/>
        <v>0</v>
      </c>
      <c r="NX138" s="14">
        <f t="shared" si="28"/>
        <v>0</v>
      </c>
      <c r="NY138" s="14">
        <f t="shared" si="29"/>
        <v>0</v>
      </c>
    </row>
    <row r="139" spans="1:389" x14ac:dyDescent="0.25">
      <c r="A139" s="96" t="s">
        <v>466</v>
      </c>
      <c r="B139" s="34">
        <v>440</v>
      </c>
      <c r="C139" s="99">
        <v>15</v>
      </c>
      <c r="JB139" s="14">
        <v>45900000</v>
      </c>
      <c r="JC139" s="14">
        <v>0</v>
      </c>
      <c r="JD139" s="14">
        <v>45900000</v>
      </c>
      <c r="JH139" s="14">
        <v>69300</v>
      </c>
      <c r="JL139" s="14">
        <v>45900000</v>
      </c>
      <c r="JM139" s="14">
        <v>-69300</v>
      </c>
      <c r="JN139" s="14">
        <v>45900000</v>
      </c>
      <c r="ND139" s="14">
        <f t="shared" si="30"/>
        <v>45900000</v>
      </c>
      <c r="NE139" s="14">
        <f t="shared" si="16"/>
        <v>0</v>
      </c>
      <c r="NF139" s="14">
        <f t="shared" si="17"/>
        <v>45900000</v>
      </c>
      <c r="NI139" s="14">
        <f t="shared" si="18"/>
        <v>0</v>
      </c>
      <c r="NJ139" s="14">
        <f t="shared" si="19"/>
        <v>69300</v>
      </c>
      <c r="NK139" s="14">
        <f t="shared" si="20"/>
        <v>0</v>
      </c>
      <c r="NN139" s="14">
        <f t="shared" si="21"/>
        <v>45900000</v>
      </c>
      <c r="NO139" s="14">
        <f t="shared" si="22"/>
        <v>-69300</v>
      </c>
      <c r="NP139" s="14">
        <f t="shared" si="23"/>
        <v>45900000</v>
      </c>
      <c r="NS139" s="14">
        <f t="shared" si="31"/>
        <v>0</v>
      </c>
      <c r="NT139" s="14">
        <f t="shared" si="24"/>
        <v>0</v>
      </c>
      <c r="NU139" s="14">
        <f t="shared" si="25"/>
        <v>0</v>
      </c>
      <c r="NV139" s="14">
        <f t="shared" si="26"/>
        <v>0</v>
      </c>
      <c r="NW139" s="14">
        <f t="shared" si="27"/>
        <v>0</v>
      </c>
      <c r="NX139" s="14">
        <f t="shared" si="28"/>
        <v>0</v>
      </c>
      <c r="NY139" s="14">
        <f t="shared" si="29"/>
        <v>0</v>
      </c>
    </row>
    <row r="140" spans="1:389" x14ac:dyDescent="0.25">
      <c r="A140" s="96" t="s">
        <v>467</v>
      </c>
      <c r="B140" s="34">
        <v>441</v>
      </c>
      <c r="C140" s="99">
        <v>9</v>
      </c>
      <c r="JB140" s="14">
        <v>49703000</v>
      </c>
      <c r="JC140" s="14">
        <v>82000</v>
      </c>
      <c r="JD140" s="14">
        <v>49621000</v>
      </c>
      <c r="JH140" s="14">
        <v>13429</v>
      </c>
      <c r="JL140" s="14">
        <v>49703000</v>
      </c>
      <c r="JM140" s="14">
        <v>68571</v>
      </c>
      <c r="JN140" s="14">
        <v>49621000</v>
      </c>
      <c r="ND140" s="14">
        <f t="shared" si="30"/>
        <v>49703000</v>
      </c>
      <c r="NE140" s="14">
        <f t="shared" si="16"/>
        <v>82000</v>
      </c>
      <c r="NF140" s="14">
        <f t="shared" si="17"/>
        <v>49621000</v>
      </c>
      <c r="NI140" s="14">
        <f t="shared" si="18"/>
        <v>0</v>
      </c>
      <c r="NJ140" s="14">
        <f t="shared" si="19"/>
        <v>13429</v>
      </c>
      <c r="NK140" s="14">
        <f t="shared" si="20"/>
        <v>0</v>
      </c>
      <c r="NN140" s="14">
        <f t="shared" si="21"/>
        <v>49703000</v>
      </c>
      <c r="NO140" s="14">
        <f t="shared" si="22"/>
        <v>68571</v>
      </c>
      <c r="NP140" s="14">
        <f t="shared" si="23"/>
        <v>49621000</v>
      </c>
      <c r="NS140" s="14">
        <f t="shared" si="31"/>
        <v>0</v>
      </c>
      <c r="NT140" s="14">
        <f t="shared" si="24"/>
        <v>0</v>
      </c>
      <c r="NU140" s="14">
        <f t="shared" si="25"/>
        <v>0</v>
      </c>
      <c r="NV140" s="14">
        <f t="shared" si="26"/>
        <v>0</v>
      </c>
      <c r="NW140" s="14">
        <f t="shared" si="27"/>
        <v>0</v>
      </c>
      <c r="NX140" s="14">
        <f t="shared" si="28"/>
        <v>0</v>
      </c>
      <c r="NY140" s="14">
        <f t="shared" si="29"/>
        <v>0</v>
      </c>
    </row>
    <row r="141" spans="1:389" x14ac:dyDescent="0.25">
      <c r="A141" s="96" t="s">
        <v>470</v>
      </c>
      <c r="B141" s="34">
        <v>475</v>
      </c>
      <c r="C141" s="99">
        <v>15</v>
      </c>
      <c r="JB141" s="14">
        <v>61225000</v>
      </c>
      <c r="JC141" s="14">
        <v>30000</v>
      </c>
      <c r="JD141" s="14">
        <v>61195000</v>
      </c>
      <c r="JH141" s="14">
        <v>104560</v>
      </c>
      <c r="JL141" s="14">
        <v>61225000</v>
      </c>
      <c r="JM141" s="14">
        <v>-74560</v>
      </c>
      <c r="JN141" s="14">
        <v>61195000</v>
      </c>
      <c r="ND141" s="14">
        <f t="shared" si="30"/>
        <v>61225000</v>
      </c>
      <c r="NE141" s="14">
        <f t="shared" si="16"/>
        <v>30000</v>
      </c>
      <c r="NF141" s="14">
        <f t="shared" si="17"/>
        <v>61195000</v>
      </c>
      <c r="NI141" s="14">
        <f t="shared" si="18"/>
        <v>0</v>
      </c>
      <c r="NJ141" s="14">
        <f t="shared" si="19"/>
        <v>104560</v>
      </c>
      <c r="NK141" s="14">
        <f t="shared" si="20"/>
        <v>0</v>
      </c>
      <c r="NN141" s="14">
        <f t="shared" si="21"/>
        <v>61225000</v>
      </c>
      <c r="NO141" s="14">
        <f t="shared" si="22"/>
        <v>-74560</v>
      </c>
      <c r="NP141" s="14">
        <f t="shared" si="23"/>
        <v>61195000</v>
      </c>
      <c r="NS141" s="14">
        <f t="shared" si="31"/>
        <v>0</v>
      </c>
      <c r="NT141" s="14">
        <f t="shared" si="24"/>
        <v>0</v>
      </c>
      <c r="NU141" s="14">
        <f t="shared" si="25"/>
        <v>0</v>
      </c>
      <c r="NV141" s="14">
        <f t="shared" si="26"/>
        <v>0</v>
      </c>
      <c r="NW141" s="14">
        <f t="shared" si="27"/>
        <v>0</v>
      </c>
      <c r="NX141" s="14">
        <f t="shared" si="28"/>
        <v>0</v>
      </c>
      <c r="NY141" s="14">
        <f t="shared" si="29"/>
        <v>0</v>
      </c>
    </row>
    <row r="142" spans="1:389" x14ac:dyDescent="0.25">
      <c r="A142" s="96" t="s">
        <v>471</v>
      </c>
      <c r="B142" s="34">
        <v>480</v>
      </c>
      <c r="C142" s="99">
        <v>2</v>
      </c>
      <c r="JB142" s="14">
        <v>20838000</v>
      </c>
      <c r="JC142" s="14">
        <v>459000</v>
      </c>
      <c r="JD142" s="14">
        <v>20379000</v>
      </c>
      <c r="JH142" s="14">
        <v>51989</v>
      </c>
      <c r="JL142" s="14">
        <v>20838000</v>
      </c>
      <c r="JM142" s="14">
        <v>407011</v>
      </c>
      <c r="JN142" s="14">
        <v>20379000</v>
      </c>
      <c r="ND142" s="14">
        <f t="shared" si="30"/>
        <v>20838000</v>
      </c>
      <c r="NE142" s="14">
        <f t="shared" si="16"/>
        <v>459000</v>
      </c>
      <c r="NF142" s="14">
        <f t="shared" si="17"/>
        <v>20379000</v>
      </c>
      <c r="NI142" s="14">
        <f t="shared" si="18"/>
        <v>0</v>
      </c>
      <c r="NJ142" s="14">
        <f t="shared" si="19"/>
        <v>51989</v>
      </c>
      <c r="NK142" s="14">
        <f t="shared" si="20"/>
        <v>0</v>
      </c>
      <c r="NN142" s="14">
        <f t="shared" si="21"/>
        <v>20838000</v>
      </c>
      <c r="NO142" s="14">
        <f t="shared" si="22"/>
        <v>407011</v>
      </c>
      <c r="NP142" s="14">
        <f t="shared" si="23"/>
        <v>20379000</v>
      </c>
      <c r="NS142" s="14">
        <f t="shared" si="31"/>
        <v>0</v>
      </c>
      <c r="NT142" s="14">
        <f t="shared" si="24"/>
        <v>0</v>
      </c>
      <c r="NU142" s="14">
        <f t="shared" si="25"/>
        <v>0</v>
      </c>
      <c r="NV142" s="14">
        <f t="shared" si="26"/>
        <v>0</v>
      </c>
      <c r="NW142" s="14">
        <f t="shared" si="27"/>
        <v>0</v>
      </c>
      <c r="NX142" s="14">
        <f t="shared" si="28"/>
        <v>0</v>
      </c>
      <c r="NY142" s="14">
        <f t="shared" si="29"/>
        <v>0</v>
      </c>
    </row>
    <row r="143" spans="1:389" x14ac:dyDescent="0.25">
      <c r="A143" s="96" t="s">
        <v>472</v>
      </c>
      <c r="B143" s="34">
        <v>481</v>
      </c>
      <c r="C143" s="99">
        <v>2</v>
      </c>
      <c r="JB143" s="14">
        <v>401510000</v>
      </c>
      <c r="JC143" s="14">
        <v>1800000</v>
      </c>
      <c r="JD143" s="14">
        <v>399710000</v>
      </c>
      <c r="JH143" s="14">
        <v>58271</v>
      </c>
      <c r="JL143" s="14">
        <v>401510000</v>
      </c>
      <c r="JM143" s="14">
        <v>1741729</v>
      </c>
      <c r="JN143" s="14">
        <v>399710000</v>
      </c>
      <c r="ND143" s="14">
        <f t="shared" si="30"/>
        <v>401510000</v>
      </c>
      <c r="NE143" s="14">
        <f t="shared" si="16"/>
        <v>1800000</v>
      </c>
      <c r="NF143" s="14">
        <f t="shared" si="17"/>
        <v>399710000</v>
      </c>
      <c r="NI143" s="14">
        <f t="shared" si="18"/>
        <v>0</v>
      </c>
      <c r="NJ143" s="14">
        <f t="shared" si="19"/>
        <v>58271</v>
      </c>
      <c r="NK143" s="14">
        <f t="shared" si="20"/>
        <v>0</v>
      </c>
      <c r="NN143" s="14">
        <f t="shared" si="21"/>
        <v>401510000</v>
      </c>
      <c r="NO143" s="14">
        <f t="shared" si="22"/>
        <v>1741729</v>
      </c>
      <c r="NP143" s="14">
        <f t="shared" si="23"/>
        <v>399710000</v>
      </c>
      <c r="NS143" s="14">
        <f t="shared" si="31"/>
        <v>0</v>
      </c>
      <c r="NT143" s="14">
        <f t="shared" si="24"/>
        <v>0</v>
      </c>
      <c r="NU143" s="14">
        <f t="shared" si="25"/>
        <v>0</v>
      </c>
      <c r="NV143" s="14">
        <f t="shared" si="26"/>
        <v>0</v>
      </c>
      <c r="NW143" s="14">
        <f t="shared" si="27"/>
        <v>0</v>
      </c>
      <c r="NX143" s="14">
        <f t="shared" si="28"/>
        <v>0</v>
      </c>
      <c r="NY143" s="14">
        <f t="shared" si="29"/>
        <v>0</v>
      </c>
    </row>
    <row r="144" spans="1:389" x14ac:dyDescent="0.25">
      <c r="A144" s="96" t="s">
        <v>473</v>
      </c>
      <c r="B144" s="34">
        <v>483</v>
      </c>
      <c r="C144" s="99">
        <v>17</v>
      </c>
      <c r="JB144" s="14">
        <v>15986000</v>
      </c>
      <c r="JC144" s="14">
        <v>0</v>
      </c>
      <c r="JD144" s="14">
        <v>15986000</v>
      </c>
      <c r="JH144" s="14">
        <v>108562</v>
      </c>
      <c r="JL144" s="14">
        <v>15986000</v>
      </c>
      <c r="JM144" s="14">
        <v>-108562</v>
      </c>
      <c r="JN144" s="14">
        <v>15986000</v>
      </c>
      <c r="ND144" s="14">
        <f t="shared" si="30"/>
        <v>15986000</v>
      </c>
      <c r="NE144" s="14">
        <f t="shared" si="16"/>
        <v>0</v>
      </c>
      <c r="NF144" s="14">
        <f t="shared" si="17"/>
        <v>15986000</v>
      </c>
      <c r="NI144" s="14">
        <f t="shared" si="18"/>
        <v>0</v>
      </c>
      <c r="NJ144" s="14">
        <f t="shared" si="19"/>
        <v>108562</v>
      </c>
      <c r="NK144" s="14">
        <f t="shared" si="20"/>
        <v>0</v>
      </c>
      <c r="NN144" s="14">
        <f t="shared" si="21"/>
        <v>15986000</v>
      </c>
      <c r="NO144" s="14">
        <f t="shared" si="22"/>
        <v>-108562</v>
      </c>
      <c r="NP144" s="14">
        <f t="shared" si="23"/>
        <v>15986000</v>
      </c>
      <c r="NS144" s="14">
        <f t="shared" si="31"/>
        <v>0</v>
      </c>
      <c r="NT144" s="14">
        <f t="shared" si="24"/>
        <v>0</v>
      </c>
      <c r="NU144" s="14">
        <f t="shared" si="25"/>
        <v>0</v>
      </c>
      <c r="NV144" s="14">
        <f t="shared" si="26"/>
        <v>0</v>
      </c>
      <c r="NW144" s="14">
        <f t="shared" si="27"/>
        <v>0</v>
      </c>
      <c r="NX144" s="14">
        <f t="shared" si="28"/>
        <v>0</v>
      </c>
      <c r="NY144" s="14">
        <f t="shared" si="29"/>
        <v>0</v>
      </c>
    </row>
    <row r="145" spans="1:389" x14ac:dyDescent="0.25">
      <c r="A145" s="96" t="s">
        <v>474</v>
      </c>
      <c r="B145" s="34">
        <v>484</v>
      </c>
      <c r="C145" s="99">
        <v>4</v>
      </c>
      <c r="JB145" s="14">
        <v>82946000</v>
      </c>
      <c r="JC145" s="14">
        <v>1940000</v>
      </c>
      <c r="JD145" s="14">
        <v>81006000</v>
      </c>
      <c r="JH145" s="14">
        <v>42438</v>
      </c>
      <c r="JL145" s="14">
        <v>82946000</v>
      </c>
      <c r="JM145" s="14">
        <v>1897562</v>
      </c>
      <c r="JN145" s="14">
        <v>81006000</v>
      </c>
      <c r="ND145" s="14">
        <f t="shared" si="30"/>
        <v>82946000</v>
      </c>
      <c r="NE145" s="14">
        <f t="shared" si="16"/>
        <v>1940000</v>
      </c>
      <c r="NF145" s="14">
        <f t="shared" si="17"/>
        <v>81006000</v>
      </c>
      <c r="NI145" s="14">
        <f t="shared" si="18"/>
        <v>0</v>
      </c>
      <c r="NJ145" s="14">
        <f t="shared" si="19"/>
        <v>42438</v>
      </c>
      <c r="NK145" s="14">
        <f t="shared" si="20"/>
        <v>0</v>
      </c>
      <c r="NN145" s="14">
        <f t="shared" si="21"/>
        <v>82946000</v>
      </c>
      <c r="NO145" s="14">
        <f t="shared" si="22"/>
        <v>1897562</v>
      </c>
      <c r="NP145" s="14">
        <f t="shared" si="23"/>
        <v>81006000</v>
      </c>
      <c r="NS145" s="14">
        <f t="shared" si="31"/>
        <v>0</v>
      </c>
      <c r="NT145" s="14">
        <f t="shared" si="24"/>
        <v>0</v>
      </c>
      <c r="NU145" s="14">
        <f t="shared" si="25"/>
        <v>0</v>
      </c>
      <c r="NV145" s="14">
        <f t="shared" si="26"/>
        <v>0</v>
      </c>
      <c r="NW145" s="14">
        <f t="shared" si="27"/>
        <v>0</v>
      </c>
      <c r="NX145" s="14">
        <f t="shared" si="28"/>
        <v>0</v>
      </c>
      <c r="NY145" s="14">
        <f t="shared" si="29"/>
        <v>0</v>
      </c>
    </row>
    <row r="146" spans="1:389" x14ac:dyDescent="0.25">
      <c r="A146" s="96" t="s">
        <v>475</v>
      </c>
      <c r="B146" s="34">
        <v>489</v>
      </c>
      <c r="C146" s="99">
        <v>8</v>
      </c>
      <c r="JB146" s="14">
        <v>103053000</v>
      </c>
      <c r="JC146" s="14">
        <v>115000</v>
      </c>
      <c r="JD146" s="14">
        <v>102938000</v>
      </c>
      <c r="JH146" s="14">
        <v>29804</v>
      </c>
      <c r="JL146" s="14">
        <v>103053000</v>
      </c>
      <c r="JM146" s="14">
        <v>85196</v>
      </c>
      <c r="JN146" s="14">
        <v>102938000</v>
      </c>
      <c r="ND146" s="14">
        <f t="shared" si="30"/>
        <v>103053000</v>
      </c>
      <c r="NE146" s="14">
        <f t="shared" si="16"/>
        <v>115000</v>
      </c>
      <c r="NF146" s="14">
        <f t="shared" si="17"/>
        <v>102938000</v>
      </c>
      <c r="NI146" s="14">
        <f t="shared" si="18"/>
        <v>0</v>
      </c>
      <c r="NJ146" s="14">
        <f t="shared" si="19"/>
        <v>29804</v>
      </c>
      <c r="NK146" s="14">
        <f t="shared" si="20"/>
        <v>0</v>
      </c>
      <c r="NN146" s="14">
        <f t="shared" si="21"/>
        <v>103053000</v>
      </c>
      <c r="NO146" s="14">
        <f t="shared" si="22"/>
        <v>85196</v>
      </c>
      <c r="NP146" s="14">
        <f t="shared" si="23"/>
        <v>102938000</v>
      </c>
      <c r="NS146" s="14">
        <f t="shared" si="31"/>
        <v>0</v>
      </c>
      <c r="NT146" s="14">
        <f t="shared" si="24"/>
        <v>0</v>
      </c>
      <c r="NU146" s="14">
        <f t="shared" si="25"/>
        <v>0</v>
      </c>
      <c r="NV146" s="14">
        <f t="shared" si="26"/>
        <v>0</v>
      </c>
      <c r="NW146" s="14">
        <f t="shared" si="27"/>
        <v>0</v>
      </c>
      <c r="NX146" s="14">
        <f t="shared" si="28"/>
        <v>0</v>
      </c>
      <c r="NY146" s="14">
        <f t="shared" si="29"/>
        <v>0</v>
      </c>
    </row>
    <row r="147" spans="1:389" x14ac:dyDescent="0.25">
      <c r="A147" s="96" t="s">
        <v>476</v>
      </c>
      <c r="B147" s="34">
        <v>491</v>
      </c>
      <c r="C147" s="99">
        <v>10</v>
      </c>
      <c r="JB147" s="14">
        <v>16577000</v>
      </c>
      <c r="JC147" s="14">
        <v>46000</v>
      </c>
      <c r="JD147" s="14">
        <v>16531000</v>
      </c>
      <c r="JH147" s="14">
        <v>69422</v>
      </c>
      <c r="JL147" s="14">
        <v>16577000</v>
      </c>
      <c r="JM147" s="14">
        <v>-23422</v>
      </c>
      <c r="JN147" s="14">
        <v>16531000</v>
      </c>
      <c r="ND147" s="14">
        <f t="shared" si="30"/>
        <v>16577000</v>
      </c>
      <c r="NE147" s="14">
        <f t="shared" si="16"/>
        <v>46000</v>
      </c>
      <c r="NF147" s="14">
        <f t="shared" si="17"/>
        <v>16531000</v>
      </c>
      <c r="NI147" s="14">
        <f t="shared" si="18"/>
        <v>0</v>
      </c>
      <c r="NJ147" s="14">
        <f t="shared" si="19"/>
        <v>69422</v>
      </c>
      <c r="NK147" s="14">
        <f t="shared" si="20"/>
        <v>0</v>
      </c>
      <c r="NN147" s="14">
        <f t="shared" si="21"/>
        <v>16577000</v>
      </c>
      <c r="NO147" s="14">
        <f t="shared" si="22"/>
        <v>-23422</v>
      </c>
      <c r="NP147" s="14">
        <f t="shared" si="23"/>
        <v>16531000</v>
      </c>
      <c r="NS147" s="14">
        <f t="shared" si="31"/>
        <v>0</v>
      </c>
      <c r="NT147" s="14">
        <f t="shared" si="24"/>
        <v>0</v>
      </c>
      <c r="NU147" s="14">
        <f t="shared" si="25"/>
        <v>0</v>
      </c>
      <c r="NV147" s="14">
        <f t="shared" si="26"/>
        <v>0</v>
      </c>
      <c r="NW147" s="14">
        <f t="shared" si="27"/>
        <v>0</v>
      </c>
      <c r="NX147" s="14">
        <f t="shared" si="28"/>
        <v>0</v>
      </c>
      <c r="NY147" s="14">
        <f t="shared" si="29"/>
        <v>0</v>
      </c>
    </row>
    <row r="148" spans="1:389" x14ac:dyDescent="0.25">
      <c r="A148" s="96" t="s">
        <v>477</v>
      </c>
      <c r="B148" s="34">
        <v>494</v>
      </c>
      <c r="C148" s="99">
        <v>17</v>
      </c>
      <c r="JB148" s="14">
        <v>115243000</v>
      </c>
      <c r="JC148" s="14">
        <v>0</v>
      </c>
      <c r="JD148" s="14">
        <v>115243000</v>
      </c>
      <c r="JH148" s="14">
        <v>14900</v>
      </c>
      <c r="JL148" s="14">
        <v>115243000</v>
      </c>
      <c r="JM148" s="14">
        <v>-14900</v>
      </c>
      <c r="JN148" s="14">
        <v>115243000</v>
      </c>
      <c r="ND148" s="14">
        <f t="shared" si="30"/>
        <v>115243000</v>
      </c>
      <c r="NE148" s="14">
        <f t="shared" si="16"/>
        <v>0</v>
      </c>
      <c r="NF148" s="14">
        <f t="shared" si="17"/>
        <v>115243000</v>
      </c>
      <c r="NI148" s="14">
        <f t="shared" si="18"/>
        <v>0</v>
      </c>
      <c r="NJ148" s="14">
        <f t="shared" si="19"/>
        <v>14900</v>
      </c>
      <c r="NK148" s="14">
        <f t="shared" si="20"/>
        <v>0</v>
      </c>
      <c r="NN148" s="14">
        <f t="shared" si="21"/>
        <v>115243000</v>
      </c>
      <c r="NO148" s="14">
        <f t="shared" si="22"/>
        <v>-14900</v>
      </c>
      <c r="NP148" s="14">
        <f t="shared" si="23"/>
        <v>115243000</v>
      </c>
      <c r="NS148" s="14">
        <f t="shared" si="31"/>
        <v>0</v>
      </c>
      <c r="NT148" s="14">
        <f t="shared" si="24"/>
        <v>0</v>
      </c>
      <c r="NU148" s="14">
        <f t="shared" si="25"/>
        <v>0</v>
      </c>
      <c r="NV148" s="14">
        <f t="shared" si="26"/>
        <v>0</v>
      </c>
      <c r="NW148" s="14">
        <f t="shared" si="27"/>
        <v>0</v>
      </c>
      <c r="NX148" s="14">
        <f t="shared" si="28"/>
        <v>0</v>
      </c>
      <c r="NY148" s="14">
        <f t="shared" si="29"/>
        <v>0</v>
      </c>
    </row>
    <row r="149" spans="1:389" x14ac:dyDescent="0.25">
      <c r="A149" s="96" t="s">
        <v>478</v>
      </c>
      <c r="B149" s="34">
        <v>495</v>
      </c>
      <c r="C149" s="99">
        <v>13</v>
      </c>
      <c r="JB149" s="14">
        <v>59711000</v>
      </c>
      <c r="JC149" s="14">
        <v>710000</v>
      </c>
      <c r="JD149" s="14">
        <v>59001000</v>
      </c>
      <c r="JH149" s="14">
        <v>26940</v>
      </c>
      <c r="JL149" s="14">
        <v>59711000</v>
      </c>
      <c r="JM149" s="14">
        <v>683060</v>
      </c>
      <c r="JN149" s="14">
        <v>59001000</v>
      </c>
      <c r="ND149" s="14">
        <f t="shared" si="30"/>
        <v>59711000</v>
      </c>
      <c r="NE149" s="14">
        <f t="shared" si="16"/>
        <v>710000</v>
      </c>
      <c r="NF149" s="14">
        <f t="shared" si="17"/>
        <v>59001000</v>
      </c>
      <c r="NI149" s="14">
        <f t="shared" si="18"/>
        <v>0</v>
      </c>
      <c r="NJ149" s="14">
        <f t="shared" si="19"/>
        <v>26940</v>
      </c>
      <c r="NK149" s="14">
        <f t="shared" si="20"/>
        <v>0</v>
      </c>
      <c r="NN149" s="14">
        <f t="shared" si="21"/>
        <v>59711000</v>
      </c>
      <c r="NO149" s="14">
        <f t="shared" si="22"/>
        <v>683060</v>
      </c>
      <c r="NP149" s="14">
        <f t="shared" si="23"/>
        <v>59001000</v>
      </c>
      <c r="NS149" s="14">
        <f t="shared" si="31"/>
        <v>0</v>
      </c>
      <c r="NT149" s="14">
        <f t="shared" si="24"/>
        <v>0</v>
      </c>
      <c r="NU149" s="14">
        <f t="shared" si="25"/>
        <v>0</v>
      </c>
      <c r="NV149" s="14">
        <f t="shared" si="26"/>
        <v>0</v>
      </c>
      <c r="NW149" s="14">
        <f t="shared" si="27"/>
        <v>0</v>
      </c>
      <c r="NX149" s="14">
        <f t="shared" si="28"/>
        <v>0</v>
      </c>
      <c r="NY149" s="14">
        <f t="shared" si="29"/>
        <v>0</v>
      </c>
    </row>
    <row r="150" spans="1:389" x14ac:dyDescent="0.25">
      <c r="A150" s="96" t="s">
        <v>479</v>
      </c>
      <c r="B150" s="34">
        <v>498</v>
      </c>
      <c r="C150" s="99">
        <v>19</v>
      </c>
      <c r="JB150" s="14">
        <v>5575000</v>
      </c>
      <c r="JC150" s="14">
        <v>0</v>
      </c>
      <c r="JD150" s="14">
        <v>5575000</v>
      </c>
      <c r="JH150" s="14">
        <v>81038</v>
      </c>
      <c r="JL150" s="14">
        <v>5575000</v>
      </c>
      <c r="JM150" s="14">
        <v>-81038</v>
      </c>
      <c r="JN150" s="14">
        <v>5575000</v>
      </c>
      <c r="ND150" s="14">
        <f t="shared" si="30"/>
        <v>5575000</v>
      </c>
      <c r="NE150" s="14">
        <f t="shared" ref="NE150:NE213" si="32">JC150</f>
        <v>0</v>
      </c>
      <c r="NF150" s="14">
        <f t="shared" ref="NF150:NF213" si="33">JD150</f>
        <v>5575000</v>
      </c>
      <c r="NI150" s="14">
        <f t="shared" ref="NI150:NI213" si="34">JG150</f>
        <v>0</v>
      </c>
      <c r="NJ150" s="14">
        <f t="shared" ref="NJ150:NJ213" si="35">JH150</f>
        <v>81038</v>
      </c>
      <c r="NK150" s="14">
        <f t="shared" ref="NK150:NK213" si="36">JI150</f>
        <v>0</v>
      </c>
      <c r="NN150" s="14">
        <f t="shared" ref="NN150:NN213" si="37">JL150</f>
        <v>5575000</v>
      </c>
      <c r="NO150" s="14">
        <f t="shared" ref="NO150:NO213" si="38">JM150</f>
        <v>-81038</v>
      </c>
      <c r="NP150" s="14">
        <f t="shared" ref="NP150:NP213" si="39">JN150</f>
        <v>5575000</v>
      </c>
      <c r="NS150" s="14">
        <f t="shared" si="31"/>
        <v>0</v>
      </c>
      <c r="NT150" s="14">
        <f t="shared" ref="NT150:NT213" si="40">JR150</f>
        <v>0</v>
      </c>
      <c r="NU150" s="14">
        <f t="shared" ref="NU150:NU213" si="41">JS150</f>
        <v>0</v>
      </c>
      <c r="NV150" s="14">
        <f t="shared" ref="NV150:NV213" si="42">JT150</f>
        <v>0</v>
      </c>
      <c r="NW150" s="14">
        <f t="shared" ref="NW150:NW213" si="43">JU150</f>
        <v>0</v>
      </c>
      <c r="NX150" s="14">
        <f t="shared" ref="NX150:NX213" si="44">JV150</f>
        <v>0</v>
      </c>
      <c r="NY150" s="14">
        <f t="shared" ref="NY150:NY213" si="45">JW150</f>
        <v>0</v>
      </c>
    </row>
    <row r="151" spans="1:389" x14ac:dyDescent="0.25">
      <c r="A151" s="96" t="s">
        <v>480</v>
      </c>
      <c r="B151" s="34">
        <v>499</v>
      </c>
      <c r="C151" s="99">
        <v>15</v>
      </c>
      <c r="JB151" s="14">
        <v>74718000</v>
      </c>
      <c r="JC151" s="14">
        <v>57000</v>
      </c>
      <c r="JD151" s="14">
        <v>74661000</v>
      </c>
      <c r="JH151" s="14">
        <v>11056</v>
      </c>
      <c r="JL151" s="14">
        <v>74718000</v>
      </c>
      <c r="JM151" s="14">
        <v>45944</v>
      </c>
      <c r="JN151" s="14">
        <v>74661000</v>
      </c>
      <c r="ND151" s="14">
        <f t="shared" ref="ND151:ND214" si="46">JB151</f>
        <v>74718000</v>
      </c>
      <c r="NE151" s="14">
        <f t="shared" si="32"/>
        <v>57000</v>
      </c>
      <c r="NF151" s="14">
        <f t="shared" si="33"/>
        <v>74661000</v>
      </c>
      <c r="NI151" s="14">
        <f t="shared" si="34"/>
        <v>0</v>
      </c>
      <c r="NJ151" s="14">
        <f t="shared" si="35"/>
        <v>11056</v>
      </c>
      <c r="NK151" s="14">
        <f t="shared" si="36"/>
        <v>0</v>
      </c>
      <c r="NN151" s="14">
        <f t="shared" si="37"/>
        <v>74718000</v>
      </c>
      <c r="NO151" s="14">
        <f t="shared" si="38"/>
        <v>45944</v>
      </c>
      <c r="NP151" s="14">
        <f t="shared" si="39"/>
        <v>74661000</v>
      </c>
      <c r="NS151" s="14">
        <f t="shared" ref="NS151:NS214" si="47">JQ151</f>
        <v>0</v>
      </c>
      <c r="NT151" s="14">
        <f t="shared" si="40"/>
        <v>0</v>
      </c>
      <c r="NU151" s="14">
        <f t="shared" si="41"/>
        <v>0</v>
      </c>
      <c r="NV151" s="14">
        <f t="shared" si="42"/>
        <v>0</v>
      </c>
      <c r="NW151" s="14">
        <f t="shared" si="43"/>
        <v>0</v>
      </c>
      <c r="NX151" s="14">
        <f t="shared" si="44"/>
        <v>0</v>
      </c>
      <c r="NY151" s="14">
        <f t="shared" si="45"/>
        <v>0</v>
      </c>
    </row>
    <row r="152" spans="1:389" x14ac:dyDescent="0.25">
      <c r="A152" s="96" t="s">
        <v>481</v>
      </c>
      <c r="B152" s="34">
        <v>500</v>
      </c>
      <c r="C152" s="99">
        <v>13</v>
      </c>
      <c r="JB152" s="14">
        <v>93986000</v>
      </c>
      <c r="JC152" s="14">
        <v>0</v>
      </c>
      <c r="JD152" s="14">
        <v>93986000</v>
      </c>
      <c r="JH152" s="14">
        <v>5521</v>
      </c>
      <c r="JL152" s="14">
        <v>93986000</v>
      </c>
      <c r="JM152" s="14">
        <v>-5521</v>
      </c>
      <c r="JN152" s="14">
        <v>93986000</v>
      </c>
      <c r="ND152" s="14">
        <f t="shared" si="46"/>
        <v>93986000</v>
      </c>
      <c r="NE152" s="14">
        <f t="shared" si="32"/>
        <v>0</v>
      </c>
      <c r="NF152" s="14">
        <f t="shared" si="33"/>
        <v>93986000</v>
      </c>
      <c r="NI152" s="14">
        <f t="shared" si="34"/>
        <v>0</v>
      </c>
      <c r="NJ152" s="14">
        <f t="shared" si="35"/>
        <v>5521</v>
      </c>
      <c r="NK152" s="14">
        <f t="shared" si="36"/>
        <v>0</v>
      </c>
      <c r="NN152" s="14">
        <f t="shared" si="37"/>
        <v>93986000</v>
      </c>
      <c r="NO152" s="14">
        <f t="shared" si="38"/>
        <v>-5521</v>
      </c>
      <c r="NP152" s="14">
        <f t="shared" si="39"/>
        <v>93986000</v>
      </c>
      <c r="NS152" s="14">
        <f t="shared" si="47"/>
        <v>0</v>
      </c>
      <c r="NT152" s="14">
        <f t="shared" si="40"/>
        <v>0</v>
      </c>
      <c r="NU152" s="14">
        <f t="shared" si="41"/>
        <v>0</v>
      </c>
      <c r="NV152" s="14">
        <f t="shared" si="42"/>
        <v>0</v>
      </c>
      <c r="NW152" s="14">
        <f t="shared" si="43"/>
        <v>0</v>
      </c>
      <c r="NX152" s="14">
        <f t="shared" si="44"/>
        <v>0</v>
      </c>
      <c r="NY152" s="14">
        <f t="shared" si="45"/>
        <v>0</v>
      </c>
    </row>
    <row r="153" spans="1:389" x14ac:dyDescent="0.25">
      <c r="A153" s="96" t="s">
        <v>482</v>
      </c>
      <c r="B153" s="34">
        <v>503</v>
      </c>
      <c r="C153" s="99">
        <v>2</v>
      </c>
      <c r="JB153" s="14">
        <v>54075000</v>
      </c>
      <c r="JC153" s="14">
        <v>0</v>
      </c>
      <c r="JD153" s="14">
        <v>54075000</v>
      </c>
      <c r="JH153" s="14">
        <v>0</v>
      </c>
      <c r="JL153" s="14">
        <v>54075000</v>
      </c>
      <c r="JM153" s="14">
        <v>0</v>
      </c>
      <c r="JN153" s="14">
        <v>54075000</v>
      </c>
      <c r="ND153" s="14">
        <f t="shared" si="46"/>
        <v>54075000</v>
      </c>
      <c r="NE153" s="14">
        <f t="shared" si="32"/>
        <v>0</v>
      </c>
      <c r="NF153" s="14">
        <f t="shared" si="33"/>
        <v>54075000</v>
      </c>
      <c r="NI153" s="14">
        <f t="shared" si="34"/>
        <v>0</v>
      </c>
      <c r="NJ153" s="14">
        <f t="shared" si="35"/>
        <v>0</v>
      </c>
      <c r="NK153" s="14">
        <f t="shared" si="36"/>
        <v>0</v>
      </c>
      <c r="NN153" s="14">
        <f t="shared" si="37"/>
        <v>54075000</v>
      </c>
      <c r="NO153" s="14">
        <f t="shared" si="38"/>
        <v>0</v>
      </c>
      <c r="NP153" s="14">
        <f t="shared" si="39"/>
        <v>54075000</v>
      </c>
      <c r="NS153" s="14">
        <f t="shared" si="47"/>
        <v>0</v>
      </c>
      <c r="NT153" s="14">
        <f t="shared" si="40"/>
        <v>0</v>
      </c>
      <c r="NU153" s="14">
        <f t="shared" si="41"/>
        <v>0</v>
      </c>
      <c r="NV153" s="14">
        <f t="shared" si="42"/>
        <v>0</v>
      </c>
      <c r="NW153" s="14">
        <f t="shared" si="43"/>
        <v>0</v>
      </c>
      <c r="NX153" s="14">
        <f t="shared" si="44"/>
        <v>0</v>
      </c>
      <c r="NY153" s="14">
        <f t="shared" si="45"/>
        <v>0</v>
      </c>
    </row>
    <row r="154" spans="1:389" x14ac:dyDescent="0.25">
      <c r="A154" s="96" t="s">
        <v>483</v>
      </c>
      <c r="B154" s="34">
        <v>504</v>
      </c>
      <c r="C154" s="99">
        <v>1</v>
      </c>
      <c r="JB154" s="14">
        <v>66558000</v>
      </c>
      <c r="JC154" s="14">
        <v>25000</v>
      </c>
      <c r="JD154" s="14">
        <v>66533000</v>
      </c>
      <c r="JH154" s="14">
        <v>13280</v>
      </c>
      <c r="JL154" s="14">
        <v>66558000</v>
      </c>
      <c r="JM154" s="14">
        <v>11720</v>
      </c>
      <c r="JN154" s="14">
        <v>66533000</v>
      </c>
      <c r="ND154" s="14">
        <f t="shared" si="46"/>
        <v>66558000</v>
      </c>
      <c r="NE154" s="14">
        <f t="shared" si="32"/>
        <v>25000</v>
      </c>
      <c r="NF154" s="14">
        <f t="shared" si="33"/>
        <v>66533000</v>
      </c>
      <c r="NI154" s="14">
        <f t="shared" si="34"/>
        <v>0</v>
      </c>
      <c r="NJ154" s="14">
        <f t="shared" si="35"/>
        <v>13280</v>
      </c>
      <c r="NK154" s="14">
        <f t="shared" si="36"/>
        <v>0</v>
      </c>
      <c r="NN154" s="14">
        <f t="shared" si="37"/>
        <v>66558000</v>
      </c>
      <c r="NO154" s="14">
        <f t="shared" si="38"/>
        <v>11720</v>
      </c>
      <c r="NP154" s="14">
        <f t="shared" si="39"/>
        <v>66533000</v>
      </c>
      <c r="NS154" s="14">
        <f t="shared" si="47"/>
        <v>0</v>
      </c>
      <c r="NT154" s="14">
        <f t="shared" si="40"/>
        <v>0</v>
      </c>
      <c r="NU154" s="14">
        <f t="shared" si="41"/>
        <v>0</v>
      </c>
      <c r="NV154" s="14">
        <f t="shared" si="42"/>
        <v>0</v>
      </c>
      <c r="NW154" s="14">
        <f t="shared" si="43"/>
        <v>0</v>
      </c>
      <c r="NX154" s="14">
        <f t="shared" si="44"/>
        <v>0</v>
      </c>
      <c r="NY154" s="14">
        <f t="shared" si="45"/>
        <v>0</v>
      </c>
    </row>
    <row r="155" spans="1:389" x14ac:dyDescent="0.25">
      <c r="A155" s="96" t="s">
        <v>484</v>
      </c>
      <c r="B155" s="34">
        <v>505</v>
      </c>
      <c r="C155" s="99">
        <v>1</v>
      </c>
      <c r="JB155" s="14">
        <v>95476000</v>
      </c>
      <c r="JC155" s="14">
        <v>0</v>
      </c>
      <c r="JD155" s="14">
        <v>95476000</v>
      </c>
      <c r="JH155" s="14">
        <v>27269</v>
      </c>
      <c r="JL155" s="14">
        <v>95476000</v>
      </c>
      <c r="JM155" s="14">
        <v>-27269</v>
      </c>
      <c r="JN155" s="14">
        <v>95476000</v>
      </c>
      <c r="ND155" s="14">
        <f t="shared" si="46"/>
        <v>95476000</v>
      </c>
      <c r="NE155" s="14">
        <f t="shared" si="32"/>
        <v>0</v>
      </c>
      <c r="NF155" s="14">
        <f t="shared" si="33"/>
        <v>95476000</v>
      </c>
      <c r="NI155" s="14">
        <f t="shared" si="34"/>
        <v>0</v>
      </c>
      <c r="NJ155" s="14">
        <f t="shared" si="35"/>
        <v>27269</v>
      </c>
      <c r="NK155" s="14">
        <f t="shared" si="36"/>
        <v>0</v>
      </c>
      <c r="NN155" s="14">
        <f t="shared" si="37"/>
        <v>95476000</v>
      </c>
      <c r="NO155" s="14">
        <f t="shared" si="38"/>
        <v>-27269</v>
      </c>
      <c r="NP155" s="14">
        <f t="shared" si="39"/>
        <v>95476000</v>
      </c>
      <c r="NS155" s="14">
        <f t="shared" si="47"/>
        <v>0</v>
      </c>
      <c r="NT155" s="14">
        <f t="shared" si="40"/>
        <v>0</v>
      </c>
      <c r="NU155" s="14">
        <f t="shared" si="41"/>
        <v>0</v>
      </c>
      <c r="NV155" s="14">
        <f t="shared" si="42"/>
        <v>0</v>
      </c>
      <c r="NW155" s="14">
        <f t="shared" si="43"/>
        <v>0</v>
      </c>
      <c r="NX155" s="14">
        <f t="shared" si="44"/>
        <v>0</v>
      </c>
      <c r="NY155" s="14">
        <f t="shared" si="45"/>
        <v>0</v>
      </c>
    </row>
    <row r="156" spans="1:389" x14ac:dyDescent="0.25">
      <c r="A156" s="96" t="s">
        <v>486</v>
      </c>
      <c r="B156" s="34">
        <v>508</v>
      </c>
      <c r="C156" s="99">
        <v>6</v>
      </c>
      <c r="JB156" s="14">
        <v>44647000</v>
      </c>
      <c r="JC156" s="14">
        <v>226000</v>
      </c>
      <c r="JD156" s="14">
        <v>44421000</v>
      </c>
      <c r="JH156" s="14">
        <v>39939</v>
      </c>
      <c r="JL156" s="14">
        <v>44647000</v>
      </c>
      <c r="JM156" s="14">
        <v>186061</v>
      </c>
      <c r="JN156" s="14">
        <v>44421000</v>
      </c>
      <c r="ND156" s="14">
        <f t="shared" si="46"/>
        <v>44647000</v>
      </c>
      <c r="NE156" s="14">
        <f t="shared" si="32"/>
        <v>226000</v>
      </c>
      <c r="NF156" s="14">
        <f t="shared" si="33"/>
        <v>44421000</v>
      </c>
      <c r="NI156" s="14">
        <f t="shared" si="34"/>
        <v>0</v>
      </c>
      <c r="NJ156" s="14">
        <f t="shared" si="35"/>
        <v>39939</v>
      </c>
      <c r="NK156" s="14">
        <f t="shared" si="36"/>
        <v>0</v>
      </c>
      <c r="NN156" s="14">
        <f t="shared" si="37"/>
        <v>44647000</v>
      </c>
      <c r="NO156" s="14">
        <f t="shared" si="38"/>
        <v>186061</v>
      </c>
      <c r="NP156" s="14">
        <f t="shared" si="39"/>
        <v>44421000</v>
      </c>
      <c r="NS156" s="14">
        <f t="shared" si="47"/>
        <v>0</v>
      </c>
      <c r="NT156" s="14">
        <f t="shared" si="40"/>
        <v>0</v>
      </c>
      <c r="NU156" s="14">
        <f t="shared" si="41"/>
        <v>0</v>
      </c>
      <c r="NV156" s="14">
        <f t="shared" si="42"/>
        <v>0</v>
      </c>
      <c r="NW156" s="14">
        <f t="shared" si="43"/>
        <v>0</v>
      </c>
      <c r="NX156" s="14">
        <f t="shared" si="44"/>
        <v>0</v>
      </c>
      <c r="NY156" s="14">
        <f t="shared" si="45"/>
        <v>0</v>
      </c>
    </row>
    <row r="157" spans="1:389" x14ac:dyDescent="0.25">
      <c r="A157" s="96" t="s">
        <v>485</v>
      </c>
      <c r="B157" s="34">
        <v>507</v>
      </c>
      <c r="C157" s="99">
        <v>10</v>
      </c>
      <c r="JB157" s="14">
        <v>92744000</v>
      </c>
      <c r="JC157" s="14">
        <v>562000</v>
      </c>
      <c r="JD157" s="14">
        <v>92182000</v>
      </c>
      <c r="JH157" s="14">
        <v>59350</v>
      </c>
      <c r="JL157" s="14">
        <v>92744000</v>
      </c>
      <c r="JM157" s="14">
        <v>502650</v>
      </c>
      <c r="JN157" s="14">
        <v>92182000</v>
      </c>
      <c r="ND157" s="14">
        <f t="shared" si="46"/>
        <v>92744000</v>
      </c>
      <c r="NE157" s="14">
        <f t="shared" si="32"/>
        <v>562000</v>
      </c>
      <c r="NF157" s="14">
        <f t="shared" si="33"/>
        <v>92182000</v>
      </c>
      <c r="NI157" s="14">
        <f t="shared" si="34"/>
        <v>0</v>
      </c>
      <c r="NJ157" s="14">
        <f t="shared" si="35"/>
        <v>59350</v>
      </c>
      <c r="NK157" s="14">
        <f t="shared" si="36"/>
        <v>0</v>
      </c>
      <c r="NN157" s="14">
        <f t="shared" si="37"/>
        <v>92744000</v>
      </c>
      <c r="NO157" s="14">
        <f t="shared" si="38"/>
        <v>502650</v>
      </c>
      <c r="NP157" s="14">
        <f t="shared" si="39"/>
        <v>92182000</v>
      </c>
      <c r="NS157" s="14">
        <f t="shared" si="47"/>
        <v>0</v>
      </c>
      <c r="NT157" s="14">
        <f t="shared" si="40"/>
        <v>0</v>
      </c>
      <c r="NU157" s="14">
        <f t="shared" si="41"/>
        <v>0</v>
      </c>
      <c r="NV157" s="14">
        <f t="shared" si="42"/>
        <v>0</v>
      </c>
      <c r="NW157" s="14">
        <f t="shared" si="43"/>
        <v>0</v>
      </c>
      <c r="NX157" s="14">
        <f t="shared" si="44"/>
        <v>0</v>
      </c>
      <c r="NY157" s="14">
        <f t="shared" si="45"/>
        <v>0</v>
      </c>
    </row>
    <row r="158" spans="1:389" x14ac:dyDescent="0.25">
      <c r="A158" s="96" t="s">
        <v>487</v>
      </c>
      <c r="B158" s="34">
        <v>529</v>
      </c>
      <c r="C158" s="99">
        <v>2</v>
      </c>
      <c r="JB158" s="14">
        <v>5315000</v>
      </c>
      <c r="JC158" s="14">
        <v>1818000</v>
      </c>
      <c r="JD158" s="14">
        <v>3497000</v>
      </c>
      <c r="JH158" s="14">
        <v>236570</v>
      </c>
      <c r="JL158" s="14">
        <v>5315000</v>
      </c>
      <c r="JM158" s="14">
        <v>1581430</v>
      </c>
      <c r="JN158" s="14">
        <v>3497000</v>
      </c>
      <c r="ND158" s="14">
        <f t="shared" si="46"/>
        <v>5315000</v>
      </c>
      <c r="NE158" s="14">
        <f t="shared" si="32"/>
        <v>1818000</v>
      </c>
      <c r="NF158" s="14">
        <f t="shared" si="33"/>
        <v>3497000</v>
      </c>
      <c r="NI158" s="14">
        <f t="shared" si="34"/>
        <v>0</v>
      </c>
      <c r="NJ158" s="14">
        <f t="shared" si="35"/>
        <v>236570</v>
      </c>
      <c r="NK158" s="14">
        <f t="shared" si="36"/>
        <v>0</v>
      </c>
      <c r="NN158" s="14">
        <f t="shared" si="37"/>
        <v>5315000</v>
      </c>
      <c r="NO158" s="14">
        <f t="shared" si="38"/>
        <v>1581430</v>
      </c>
      <c r="NP158" s="14">
        <f t="shared" si="39"/>
        <v>3497000</v>
      </c>
      <c r="NS158" s="14">
        <f t="shared" si="47"/>
        <v>0</v>
      </c>
      <c r="NT158" s="14">
        <f t="shared" si="40"/>
        <v>0</v>
      </c>
      <c r="NU158" s="14">
        <f t="shared" si="41"/>
        <v>0</v>
      </c>
      <c r="NV158" s="14">
        <f t="shared" si="42"/>
        <v>0</v>
      </c>
      <c r="NW158" s="14">
        <f t="shared" si="43"/>
        <v>0</v>
      </c>
      <c r="NX158" s="14">
        <f t="shared" si="44"/>
        <v>0</v>
      </c>
      <c r="NY158" s="14">
        <f t="shared" si="45"/>
        <v>0</v>
      </c>
    </row>
    <row r="159" spans="1:389" x14ac:dyDescent="0.25">
      <c r="A159" s="96" t="s">
        <v>488</v>
      </c>
      <c r="B159" s="34">
        <v>531</v>
      </c>
      <c r="C159" s="99">
        <v>4</v>
      </c>
      <c r="JB159" s="14">
        <v>11575000</v>
      </c>
      <c r="JC159" s="14">
        <v>548000</v>
      </c>
      <c r="JD159" s="14">
        <v>11027000</v>
      </c>
      <c r="JH159" s="14">
        <v>78792</v>
      </c>
      <c r="JL159" s="14">
        <v>11575000</v>
      </c>
      <c r="JM159" s="14">
        <v>469208</v>
      </c>
      <c r="JN159" s="14">
        <v>11027000</v>
      </c>
      <c r="ND159" s="14">
        <f t="shared" si="46"/>
        <v>11575000</v>
      </c>
      <c r="NE159" s="14">
        <f t="shared" si="32"/>
        <v>548000</v>
      </c>
      <c r="NF159" s="14">
        <f t="shared" si="33"/>
        <v>11027000</v>
      </c>
      <c r="NI159" s="14">
        <f t="shared" si="34"/>
        <v>0</v>
      </c>
      <c r="NJ159" s="14">
        <f t="shared" si="35"/>
        <v>78792</v>
      </c>
      <c r="NK159" s="14">
        <f t="shared" si="36"/>
        <v>0</v>
      </c>
      <c r="NN159" s="14">
        <f t="shared" si="37"/>
        <v>11575000</v>
      </c>
      <c r="NO159" s="14">
        <f t="shared" si="38"/>
        <v>469208</v>
      </c>
      <c r="NP159" s="14">
        <f t="shared" si="39"/>
        <v>11027000</v>
      </c>
      <c r="NS159" s="14">
        <f t="shared" si="47"/>
        <v>0</v>
      </c>
      <c r="NT159" s="14">
        <f t="shared" si="40"/>
        <v>0</v>
      </c>
      <c r="NU159" s="14">
        <f t="shared" si="41"/>
        <v>0</v>
      </c>
      <c r="NV159" s="14">
        <f t="shared" si="42"/>
        <v>0</v>
      </c>
      <c r="NW159" s="14">
        <f t="shared" si="43"/>
        <v>0</v>
      </c>
      <c r="NX159" s="14">
        <f t="shared" si="44"/>
        <v>0</v>
      </c>
      <c r="NY159" s="14">
        <f t="shared" si="45"/>
        <v>0</v>
      </c>
    </row>
    <row r="160" spans="1:389" x14ac:dyDescent="0.25">
      <c r="A160" s="96" t="s">
        <v>489</v>
      </c>
      <c r="B160" s="34">
        <v>535</v>
      </c>
      <c r="C160" s="99">
        <v>17</v>
      </c>
      <c r="JB160" s="14">
        <v>27768000</v>
      </c>
      <c r="JC160" s="14">
        <v>218000</v>
      </c>
      <c r="JD160" s="14">
        <v>27550000</v>
      </c>
      <c r="JH160" s="14">
        <v>8921</v>
      </c>
      <c r="JL160" s="14">
        <v>27768000</v>
      </c>
      <c r="JM160" s="14">
        <v>209079</v>
      </c>
      <c r="JN160" s="14">
        <v>27550000</v>
      </c>
      <c r="ND160" s="14">
        <f t="shared" si="46"/>
        <v>27768000</v>
      </c>
      <c r="NE160" s="14">
        <f t="shared" si="32"/>
        <v>218000</v>
      </c>
      <c r="NF160" s="14">
        <f t="shared" si="33"/>
        <v>27550000</v>
      </c>
      <c r="NI160" s="14">
        <f t="shared" si="34"/>
        <v>0</v>
      </c>
      <c r="NJ160" s="14">
        <f t="shared" si="35"/>
        <v>8921</v>
      </c>
      <c r="NK160" s="14">
        <f t="shared" si="36"/>
        <v>0</v>
      </c>
      <c r="NN160" s="14">
        <f t="shared" si="37"/>
        <v>27768000</v>
      </c>
      <c r="NO160" s="14">
        <f t="shared" si="38"/>
        <v>209079</v>
      </c>
      <c r="NP160" s="14">
        <f t="shared" si="39"/>
        <v>27550000</v>
      </c>
      <c r="NS160" s="14">
        <f t="shared" si="47"/>
        <v>0</v>
      </c>
      <c r="NT160" s="14">
        <f t="shared" si="40"/>
        <v>0</v>
      </c>
      <c r="NU160" s="14">
        <f t="shared" si="41"/>
        <v>0</v>
      </c>
      <c r="NV160" s="14">
        <f t="shared" si="42"/>
        <v>0</v>
      </c>
      <c r="NW160" s="14">
        <f t="shared" si="43"/>
        <v>0</v>
      </c>
      <c r="NX160" s="14">
        <f t="shared" si="44"/>
        <v>0</v>
      </c>
      <c r="NY160" s="14">
        <f t="shared" si="45"/>
        <v>0</v>
      </c>
    </row>
    <row r="161" spans="1:389" x14ac:dyDescent="0.25">
      <c r="A161" s="96" t="s">
        <v>490</v>
      </c>
      <c r="B161" s="34">
        <v>536</v>
      </c>
      <c r="C161" s="99">
        <v>6</v>
      </c>
      <c r="JB161" s="14">
        <v>29490000</v>
      </c>
      <c r="JC161" s="14">
        <v>0</v>
      </c>
      <c r="JD161" s="14">
        <v>29490000</v>
      </c>
      <c r="JH161" s="14">
        <v>12382</v>
      </c>
      <c r="JL161" s="14">
        <v>29490000</v>
      </c>
      <c r="JM161" s="14">
        <v>-12382</v>
      </c>
      <c r="JN161" s="14">
        <v>29490000</v>
      </c>
      <c r="ND161" s="14">
        <f t="shared" si="46"/>
        <v>29490000</v>
      </c>
      <c r="NE161" s="14">
        <f t="shared" si="32"/>
        <v>0</v>
      </c>
      <c r="NF161" s="14">
        <f t="shared" si="33"/>
        <v>29490000</v>
      </c>
      <c r="NI161" s="14">
        <f t="shared" si="34"/>
        <v>0</v>
      </c>
      <c r="NJ161" s="14">
        <f t="shared" si="35"/>
        <v>12382</v>
      </c>
      <c r="NK161" s="14">
        <f t="shared" si="36"/>
        <v>0</v>
      </c>
      <c r="NN161" s="14">
        <f t="shared" si="37"/>
        <v>29490000</v>
      </c>
      <c r="NO161" s="14">
        <f t="shared" si="38"/>
        <v>-12382</v>
      </c>
      <c r="NP161" s="14">
        <f t="shared" si="39"/>
        <v>29490000</v>
      </c>
      <c r="NS161" s="14">
        <f t="shared" si="47"/>
        <v>0</v>
      </c>
      <c r="NT161" s="14">
        <f t="shared" si="40"/>
        <v>0</v>
      </c>
      <c r="NU161" s="14">
        <f t="shared" si="41"/>
        <v>0</v>
      </c>
      <c r="NV161" s="14">
        <f t="shared" si="42"/>
        <v>0</v>
      </c>
      <c r="NW161" s="14">
        <f t="shared" si="43"/>
        <v>0</v>
      </c>
      <c r="NX161" s="14">
        <f t="shared" si="44"/>
        <v>0</v>
      </c>
      <c r="NY161" s="14">
        <f t="shared" si="45"/>
        <v>0</v>
      </c>
    </row>
    <row r="162" spans="1:389" x14ac:dyDescent="0.25">
      <c r="A162" s="96" t="s">
        <v>491</v>
      </c>
      <c r="B162" s="34">
        <v>538</v>
      </c>
      <c r="C162" s="99">
        <v>2</v>
      </c>
      <c r="JB162" s="14">
        <v>253865000</v>
      </c>
      <c r="JC162" s="14">
        <v>0</v>
      </c>
      <c r="JD162" s="14">
        <v>253865000</v>
      </c>
      <c r="JH162" s="14">
        <v>15831</v>
      </c>
      <c r="JL162" s="14">
        <v>253865000</v>
      </c>
      <c r="JM162" s="14">
        <v>-15831</v>
      </c>
      <c r="JN162" s="14">
        <v>253865000</v>
      </c>
      <c r="ND162" s="14">
        <f t="shared" si="46"/>
        <v>253865000</v>
      </c>
      <c r="NE162" s="14">
        <f t="shared" si="32"/>
        <v>0</v>
      </c>
      <c r="NF162" s="14">
        <f t="shared" si="33"/>
        <v>253865000</v>
      </c>
      <c r="NI162" s="14">
        <f t="shared" si="34"/>
        <v>0</v>
      </c>
      <c r="NJ162" s="14">
        <f t="shared" si="35"/>
        <v>15831</v>
      </c>
      <c r="NK162" s="14">
        <f t="shared" si="36"/>
        <v>0</v>
      </c>
      <c r="NN162" s="14">
        <f t="shared" si="37"/>
        <v>253865000</v>
      </c>
      <c r="NO162" s="14">
        <f t="shared" si="38"/>
        <v>-15831</v>
      </c>
      <c r="NP162" s="14">
        <f t="shared" si="39"/>
        <v>253865000</v>
      </c>
      <c r="NS162" s="14">
        <f t="shared" si="47"/>
        <v>0</v>
      </c>
      <c r="NT162" s="14">
        <f t="shared" si="40"/>
        <v>0</v>
      </c>
      <c r="NU162" s="14">
        <f t="shared" si="41"/>
        <v>0</v>
      </c>
      <c r="NV162" s="14">
        <f t="shared" si="42"/>
        <v>0</v>
      </c>
      <c r="NW162" s="14">
        <f t="shared" si="43"/>
        <v>0</v>
      </c>
      <c r="NX162" s="14">
        <f t="shared" si="44"/>
        <v>0</v>
      </c>
      <c r="NY162" s="14">
        <f t="shared" si="45"/>
        <v>0</v>
      </c>
    </row>
    <row r="163" spans="1:389" x14ac:dyDescent="0.25">
      <c r="A163" s="96" t="s">
        <v>492</v>
      </c>
      <c r="B163" s="34">
        <v>541</v>
      </c>
      <c r="C163" s="99">
        <v>12</v>
      </c>
      <c r="JB163" s="14">
        <v>93347000</v>
      </c>
      <c r="JC163" s="14">
        <v>0</v>
      </c>
      <c r="JD163" s="14">
        <v>93347000</v>
      </c>
      <c r="JH163" s="14">
        <v>91177</v>
      </c>
      <c r="JL163" s="14">
        <v>93347000</v>
      </c>
      <c r="JM163" s="14">
        <v>-91177</v>
      </c>
      <c r="JN163" s="14">
        <v>93347000</v>
      </c>
      <c r="ND163" s="14">
        <f t="shared" si="46"/>
        <v>93347000</v>
      </c>
      <c r="NE163" s="14">
        <f t="shared" si="32"/>
        <v>0</v>
      </c>
      <c r="NF163" s="14">
        <f t="shared" si="33"/>
        <v>93347000</v>
      </c>
      <c r="NI163" s="14">
        <f t="shared" si="34"/>
        <v>0</v>
      </c>
      <c r="NJ163" s="14">
        <f t="shared" si="35"/>
        <v>91177</v>
      </c>
      <c r="NK163" s="14">
        <f t="shared" si="36"/>
        <v>0</v>
      </c>
      <c r="NN163" s="14">
        <f t="shared" si="37"/>
        <v>93347000</v>
      </c>
      <c r="NO163" s="14">
        <f t="shared" si="38"/>
        <v>-91177</v>
      </c>
      <c r="NP163" s="14">
        <f t="shared" si="39"/>
        <v>93347000</v>
      </c>
      <c r="NS163" s="14">
        <f t="shared" si="47"/>
        <v>0</v>
      </c>
      <c r="NT163" s="14">
        <f t="shared" si="40"/>
        <v>0</v>
      </c>
      <c r="NU163" s="14">
        <f t="shared" si="41"/>
        <v>0</v>
      </c>
      <c r="NV163" s="14">
        <f t="shared" si="42"/>
        <v>0</v>
      </c>
      <c r="NW163" s="14">
        <f t="shared" si="43"/>
        <v>0</v>
      </c>
      <c r="NX163" s="14">
        <f t="shared" si="44"/>
        <v>0</v>
      </c>
      <c r="NY163" s="14">
        <f t="shared" si="45"/>
        <v>0</v>
      </c>
    </row>
    <row r="164" spans="1:389" x14ac:dyDescent="0.25">
      <c r="A164" s="96" t="s">
        <v>493</v>
      </c>
      <c r="B164" s="34">
        <v>543</v>
      </c>
      <c r="C164" s="99">
        <v>1</v>
      </c>
      <c r="JB164" s="14">
        <v>35581000</v>
      </c>
      <c r="JC164" s="14">
        <v>108000</v>
      </c>
      <c r="JD164" s="14">
        <v>35473000</v>
      </c>
      <c r="JH164" s="14">
        <v>19300</v>
      </c>
      <c r="JL164" s="14">
        <v>35581000</v>
      </c>
      <c r="JM164" s="14">
        <v>88700</v>
      </c>
      <c r="JN164" s="14">
        <v>35473000</v>
      </c>
      <c r="ND164" s="14">
        <f t="shared" si="46"/>
        <v>35581000</v>
      </c>
      <c r="NE164" s="14">
        <f t="shared" si="32"/>
        <v>108000</v>
      </c>
      <c r="NF164" s="14">
        <f t="shared" si="33"/>
        <v>35473000</v>
      </c>
      <c r="NI164" s="14">
        <f t="shared" si="34"/>
        <v>0</v>
      </c>
      <c r="NJ164" s="14">
        <f t="shared" si="35"/>
        <v>19300</v>
      </c>
      <c r="NK164" s="14">
        <f t="shared" si="36"/>
        <v>0</v>
      </c>
      <c r="NN164" s="14">
        <f t="shared" si="37"/>
        <v>35581000</v>
      </c>
      <c r="NO164" s="14">
        <f t="shared" si="38"/>
        <v>88700</v>
      </c>
      <c r="NP164" s="14">
        <f t="shared" si="39"/>
        <v>35473000</v>
      </c>
      <c r="NS164" s="14">
        <f t="shared" si="47"/>
        <v>0</v>
      </c>
      <c r="NT164" s="14">
        <f t="shared" si="40"/>
        <v>0</v>
      </c>
      <c r="NU164" s="14">
        <f t="shared" si="41"/>
        <v>0</v>
      </c>
      <c r="NV164" s="14">
        <f t="shared" si="42"/>
        <v>0</v>
      </c>
      <c r="NW164" s="14">
        <f t="shared" si="43"/>
        <v>0</v>
      </c>
      <c r="NX164" s="14">
        <f t="shared" si="44"/>
        <v>0</v>
      </c>
      <c r="NY164" s="14">
        <f t="shared" si="45"/>
        <v>0</v>
      </c>
    </row>
    <row r="165" spans="1:389" x14ac:dyDescent="0.25">
      <c r="A165" s="96" t="s">
        <v>494</v>
      </c>
      <c r="B165" s="34">
        <v>545</v>
      </c>
      <c r="C165" s="99">
        <v>15</v>
      </c>
      <c r="JB165" s="14">
        <v>11525000</v>
      </c>
      <c r="JC165" s="14">
        <v>0</v>
      </c>
      <c r="JD165" s="14">
        <v>11525000</v>
      </c>
      <c r="JH165" s="14">
        <v>16989</v>
      </c>
      <c r="JL165" s="14">
        <v>11525000</v>
      </c>
      <c r="JM165" s="14">
        <v>-16989</v>
      </c>
      <c r="JN165" s="14">
        <v>11525000</v>
      </c>
      <c r="ND165" s="14">
        <f t="shared" si="46"/>
        <v>11525000</v>
      </c>
      <c r="NE165" s="14">
        <f t="shared" si="32"/>
        <v>0</v>
      </c>
      <c r="NF165" s="14">
        <f t="shared" si="33"/>
        <v>11525000</v>
      </c>
      <c r="NI165" s="14">
        <f t="shared" si="34"/>
        <v>0</v>
      </c>
      <c r="NJ165" s="14">
        <f t="shared" si="35"/>
        <v>16989</v>
      </c>
      <c r="NK165" s="14">
        <f t="shared" si="36"/>
        <v>0</v>
      </c>
      <c r="NN165" s="14">
        <f t="shared" si="37"/>
        <v>11525000</v>
      </c>
      <c r="NO165" s="14">
        <f t="shared" si="38"/>
        <v>-16989</v>
      </c>
      <c r="NP165" s="14">
        <f t="shared" si="39"/>
        <v>11525000</v>
      </c>
      <c r="NS165" s="14">
        <f t="shared" si="47"/>
        <v>0</v>
      </c>
      <c r="NT165" s="14">
        <f t="shared" si="40"/>
        <v>0</v>
      </c>
      <c r="NU165" s="14">
        <f t="shared" si="41"/>
        <v>0</v>
      </c>
      <c r="NV165" s="14">
        <f t="shared" si="42"/>
        <v>0</v>
      </c>
      <c r="NW165" s="14">
        <f t="shared" si="43"/>
        <v>0</v>
      </c>
      <c r="NX165" s="14">
        <f t="shared" si="44"/>
        <v>0</v>
      </c>
      <c r="NY165" s="14">
        <f t="shared" si="45"/>
        <v>0</v>
      </c>
    </row>
    <row r="166" spans="1:389" x14ac:dyDescent="0.25">
      <c r="A166" s="96" t="s">
        <v>495</v>
      </c>
      <c r="B166" s="34">
        <v>560</v>
      </c>
      <c r="C166" s="99">
        <v>7</v>
      </c>
      <c r="JB166" s="14">
        <v>48260000</v>
      </c>
      <c r="JC166" s="14">
        <v>150000</v>
      </c>
      <c r="JD166" s="14">
        <v>48110000</v>
      </c>
      <c r="JH166" s="14">
        <v>17856</v>
      </c>
      <c r="JL166" s="14">
        <v>48260000</v>
      </c>
      <c r="JM166" s="14">
        <v>132144</v>
      </c>
      <c r="JN166" s="14">
        <v>48110000</v>
      </c>
      <c r="ND166" s="14">
        <f t="shared" si="46"/>
        <v>48260000</v>
      </c>
      <c r="NE166" s="14">
        <f t="shared" si="32"/>
        <v>150000</v>
      </c>
      <c r="NF166" s="14">
        <f t="shared" si="33"/>
        <v>48110000</v>
      </c>
      <c r="NI166" s="14">
        <f t="shared" si="34"/>
        <v>0</v>
      </c>
      <c r="NJ166" s="14">
        <f t="shared" si="35"/>
        <v>17856</v>
      </c>
      <c r="NK166" s="14">
        <f t="shared" si="36"/>
        <v>0</v>
      </c>
      <c r="NN166" s="14">
        <f t="shared" si="37"/>
        <v>48260000</v>
      </c>
      <c r="NO166" s="14">
        <f t="shared" si="38"/>
        <v>132144</v>
      </c>
      <c r="NP166" s="14">
        <f t="shared" si="39"/>
        <v>48110000</v>
      </c>
      <c r="NS166" s="14">
        <f t="shared" si="47"/>
        <v>0</v>
      </c>
      <c r="NT166" s="14">
        <f t="shared" si="40"/>
        <v>0</v>
      </c>
      <c r="NU166" s="14">
        <f t="shared" si="41"/>
        <v>0</v>
      </c>
      <c r="NV166" s="14">
        <f t="shared" si="42"/>
        <v>0</v>
      </c>
      <c r="NW166" s="14">
        <f t="shared" si="43"/>
        <v>0</v>
      </c>
      <c r="NX166" s="14">
        <f t="shared" si="44"/>
        <v>0</v>
      </c>
      <c r="NY166" s="14">
        <f t="shared" si="45"/>
        <v>0</v>
      </c>
    </row>
    <row r="167" spans="1:389" x14ac:dyDescent="0.25">
      <c r="A167" s="96" t="s">
        <v>496</v>
      </c>
      <c r="B167" s="34">
        <v>561</v>
      </c>
      <c r="C167" s="99">
        <v>2</v>
      </c>
      <c r="JB167" s="14">
        <v>6847000</v>
      </c>
      <c r="JC167" s="14">
        <v>270000</v>
      </c>
      <c r="JD167" s="14">
        <v>6577000</v>
      </c>
      <c r="JH167" s="14">
        <v>14886</v>
      </c>
      <c r="JL167" s="14">
        <v>6847000</v>
      </c>
      <c r="JM167" s="14">
        <v>255114</v>
      </c>
      <c r="JN167" s="14">
        <v>6577000</v>
      </c>
      <c r="ND167" s="14">
        <f t="shared" si="46"/>
        <v>6847000</v>
      </c>
      <c r="NE167" s="14">
        <f t="shared" si="32"/>
        <v>270000</v>
      </c>
      <c r="NF167" s="14">
        <f t="shared" si="33"/>
        <v>6577000</v>
      </c>
      <c r="NI167" s="14">
        <f t="shared" si="34"/>
        <v>0</v>
      </c>
      <c r="NJ167" s="14">
        <f t="shared" si="35"/>
        <v>14886</v>
      </c>
      <c r="NK167" s="14">
        <f t="shared" si="36"/>
        <v>0</v>
      </c>
      <c r="NN167" s="14">
        <f t="shared" si="37"/>
        <v>6847000</v>
      </c>
      <c r="NO167" s="14">
        <f t="shared" si="38"/>
        <v>255114</v>
      </c>
      <c r="NP167" s="14">
        <f t="shared" si="39"/>
        <v>6577000</v>
      </c>
      <c r="NS167" s="14">
        <f t="shared" si="47"/>
        <v>0</v>
      </c>
      <c r="NT167" s="14">
        <f t="shared" si="40"/>
        <v>0</v>
      </c>
      <c r="NU167" s="14">
        <f t="shared" si="41"/>
        <v>0</v>
      </c>
      <c r="NV167" s="14">
        <f t="shared" si="42"/>
        <v>0</v>
      </c>
      <c r="NW167" s="14">
        <f t="shared" si="43"/>
        <v>0</v>
      </c>
      <c r="NX167" s="14">
        <f t="shared" si="44"/>
        <v>0</v>
      </c>
      <c r="NY167" s="14">
        <f t="shared" si="45"/>
        <v>0</v>
      </c>
    </row>
    <row r="168" spans="1:389" x14ac:dyDescent="0.25">
      <c r="A168" s="96" t="s">
        <v>497</v>
      </c>
      <c r="B168" s="34">
        <v>562</v>
      </c>
      <c r="C168" s="99">
        <v>6</v>
      </c>
      <c r="JB168" s="14">
        <v>22257000</v>
      </c>
      <c r="JC168" s="14">
        <v>12000</v>
      </c>
      <c r="JD168" s="14">
        <v>22245000</v>
      </c>
      <c r="JH168" s="14">
        <v>49970</v>
      </c>
      <c r="JL168" s="14">
        <v>22257000</v>
      </c>
      <c r="JM168" s="14">
        <v>-37970</v>
      </c>
      <c r="JN168" s="14">
        <v>22245000</v>
      </c>
      <c r="ND168" s="14">
        <f t="shared" si="46"/>
        <v>22257000</v>
      </c>
      <c r="NE168" s="14">
        <f t="shared" si="32"/>
        <v>12000</v>
      </c>
      <c r="NF168" s="14">
        <f t="shared" si="33"/>
        <v>22245000</v>
      </c>
      <c r="NI168" s="14">
        <f t="shared" si="34"/>
        <v>0</v>
      </c>
      <c r="NJ168" s="14">
        <f t="shared" si="35"/>
        <v>49970</v>
      </c>
      <c r="NK168" s="14">
        <f t="shared" si="36"/>
        <v>0</v>
      </c>
      <c r="NN168" s="14">
        <f t="shared" si="37"/>
        <v>22257000</v>
      </c>
      <c r="NO168" s="14">
        <f t="shared" si="38"/>
        <v>-37970</v>
      </c>
      <c r="NP168" s="14">
        <f t="shared" si="39"/>
        <v>22245000</v>
      </c>
      <c r="NS168" s="14">
        <f t="shared" si="47"/>
        <v>0</v>
      </c>
      <c r="NT168" s="14">
        <f t="shared" si="40"/>
        <v>0</v>
      </c>
      <c r="NU168" s="14">
        <f t="shared" si="41"/>
        <v>0</v>
      </c>
      <c r="NV168" s="14">
        <f t="shared" si="42"/>
        <v>0</v>
      </c>
      <c r="NW168" s="14">
        <f t="shared" si="43"/>
        <v>0</v>
      </c>
      <c r="NX168" s="14">
        <f t="shared" si="44"/>
        <v>0</v>
      </c>
      <c r="NY168" s="14">
        <f t="shared" si="45"/>
        <v>0</v>
      </c>
    </row>
    <row r="169" spans="1:389" x14ac:dyDescent="0.25">
      <c r="A169" s="96" t="s">
        <v>498</v>
      </c>
      <c r="B169" s="34">
        <v>563</v>
      </c>
      <c r="C169" s="99">
        <v>17</v>
      </c>
      <c r="JB169" s="14">
        <v>12831000</v>
      </c>
      <c r="JC169" s="14">
        <v>220000</v>
      </c>
      <c r="JD169" s="14">
        <v>12611000</v>
      </c>
      <c r="JH169" s="14">
        <v>32236</v>
      </c>
      <c r="JL169" s="14">
        <v>12831000</v>
      </c>
      <c r="JM169" s="14">
        <v>187764</v>
      </c>
      <c r="JN169" s="14">
        <v>12611000</v>
      </c>
      <c r="ND169" s="14">
        <f t="shared" si="46"/>
        <v>12831000</v>
      </c>
      <c r="NE169" s="14">
        <f t="shared" si="32"/>
        <v>220000</v>
      </c>
      <c r="NF169" s="14">
        <f t="shared" si="33"/>
        <v>12611000</v>
      </c>
      <c r="NI169" s="14">
        <f t="shared" si="34"/>
        <v>0</v>
      </c>
      <c r="NJ169" s="14">
        <f t="shared" si="35"/>
        <v>32236</v>
      </c>
      <c r="NK169" s="14">
        <f t="shared" si="36"/>
        <v>0</v>
      </c>
      <c r="NN169" s="14">
        <f t="shared" si="37"/>
        <v>12831000</v>
      </c>
      <c r="NO169" s="14">
        <f t="shared" si="38"/>
        <v>187764</v>
      </c>
      <c r="NP169" s="14">
        <f t="shared" si="39"/>
        <v>12611000</v>
      </c>
      <c r="NS169" s="14">
        <f t="shared" si="47"/>
        <v>0</v>
      </c>
      <c r="NT169" s="14">
        <f t="shared" si="40"/>
        <v>0</v>
      </c>
      <c r="NU169" s="14">
        <f t="shared" si="41"/>
        <v>0</v>
      </c>
      <c r="NV169" s="14">
        <f t="shared" si="42"/>
        <v>0</v>
      </c>
      <c r="NW169" s="14">
        <f t="shared" si="43"/>
        <v>0</v>
      </c>
      <c r="NX169" s="14">
        <f t="shared" si="44"/>
        <v>0</v>
      </c>
      <c r="NY169" s="14">
        <f t="shared" si="45"/>
        <v>0</v>
      </c>
    </row>
    <row r="170" spans="1:389" x14ac:dyDescent="0.25">
      <c r="A170" s="96" t="s">
        <v>499</v>
      </c>
      <c r="B170" s="34">
        <v>564</v>
      </c>
      <c r="C170" s="99">
        <v>17</v>
      </c>
      <c r="JB170" s="14">
        <v>317030000</v>
      </c>
      <c r="JC170" s="14">
        <v>0</v>
      </c>
      <c r="JD170" s="14">
        <v>317030000</v>
      </c>
      <c r="JH170" s="14">
        <v>9850</v>
      </c>
      <c r="JL170" s="14">
        <v>317030000</v>
      </c>
      <c r="JM170" s="14">
        <v>-9850</v>
      </c>
      <c r="JN170" s="14">
        <v>317030000</v>
      </c>
      <c r="ND170" s="14">
        <f t="shared" si="46"/>
        <v>317030000</v>
      </c>
      <c r="NE170" s="14">
        <f t="shared" si="32"/>
        <v>0</v>
      </c>
      <c r="NF170" s="14">
        <f t="shared" si="33"/>
        <v>317030000</v>
      </c>
      <c r="NI170" s="14">
        <f t="shared" si="34"/>
        <v>0</v>
      </c>
      <c r="NJ170" s="14">
        <f t="shared" si="35"/>
        <v>9850</v>
      </c>
      <c r="NK170" s="14">
        <f t="shared" si="36"/>
        <v>0</v>
      </c>
      <c r="NN170" s="14">
        <f t="shared" si="37"/>
        <v>317030000</v>
      </c>
      <c r="NO170" s="14">
        <f t="shared" si="38"/>
        <v>-9850</v>
      </c>
      <c r="NP170" s="14">
        <f t="shared" si="39"/>
        <v>317030000</v>
      </c>
      <c r="NS170" s="14">
        <f t="shared" si="47"/>
        <v>0</v>
      </c>
      <c r="NT170" s="14">
        <f t="shared" si="40"/>
        <v>0</v>
      </c>
      <c r="NU170" s="14">
        <f t="shared" si="41"/>
        <v>0</v>
      </c>
      <c r="NV170" s="14">
        <f t="shared" si="42"/>
        <v>0</v>
      </c>
      <c r="NW170" s="14">
        <f t="shared" si="43"/>
        <v>0</v>
      </c>
      <c r="NX170" s="14">
        <f t="shared" si="44"/>
        <v>0</v>
      </c>
      <c r="NY170" s="14">
        <f t="shared" si="45"/>
        <v>0</v>
      </c>
    </row>
    <row r="171" spans="1:389" x14ac:dyDescent="0.25">
      <c r="A171" s="96" t="s">
        <v>438</v>
      </c>
      <c r="B171" s="34">
        <v>309</v>
      </c>
      <c r="C171" s="99">
        <v>12</v>
      </c>
      <c r="JB171" s="14">
        <v>53653000</v>
      </c>
      <c r="JC171" s="14">
        <v>94000</v>
      </c>
      <c r="JD171" s="14">
        <v>53559000</v>
      </c>
      <c r="JH171" s="14">
        <v>30416</v>
      </c>
      <c r="JL171" s="14">
        <v>53653000</v>
      </c>
      <c r="JM171" s="14">
        <v>63584</v>
      </c>
      <c r="JN171" s="14">
        <v>53559000</v>
      </c>
      <c r="ND171" s="14">
        <f t="shared" si="46"/>
        <v>53653000</v>
      </c>
      <c r="NE171" s="14">
        <f t="shared" si="32"/>
        <v>94000</v>
      </c>
      <c r="NF171" s="14">
        <f t="shared" si="33"/>
        <v>53559000</v>
      </c>
      <c r="NI171" s="14">
        <f t="shared" si="34"/>
        <v>0</v>
      </c>
      <c r="NJ171" s="14">
        <f t="shared" si="35"/>
        <v>30416</v>
      </c>
      <c r="NK171" s="14">
        <f t="shared" si="36"/>
        <v>0</v>
      </c>
      <c r="NN171" s="14">
        <f t="shared" si="37"/>
        <v>53653000</v>
      </c>
      <c r="NO171" s="14">
        <f t="shared" si="38"/>
        <v>63584</v>
      </c>
      <c r="NP171" s="14">
        <f t="shared" si="39"/>
        <v>53559000</v>
      </c>
      <c r="NS171" s="14">
        <f t="shared" si="47"/>
        <v>0</v>
      </c>
      <c r="NT171" s="14">
        <f t="shared" si="40"/>
        <v>0</v>
      </c>
      <c r="NU171" s="14">
        <f t="shared" si="41"/>
        <v>0</v>
      </c>
      <c r="NV171" s="14">
        <f t="shared" si="42"/>
        <v>0</v>
      </c>
      <c r="NW171" s="14">
        <f t="shared" si="43"/>
        <v>0</v>
      </c>
      <c r="NX171" s="14">
        <f t="shared" si="44"/>
        <v>0</v>
      </c>
      <c r="NY171" s="14">
        <f t="shared" si="45"/>
        <v>0</v>
      </c>
    </row>
    <row r="172" spans="1:389" x14ac:dyDescent="0.25">
      <c r="A172" s="96" t="s">
        <v>500</v>
      </c>
      <c r="B172" s="34">
        <v>576</v>
      </c>
      <c r="C172" s="99">
        <v>7</v>
      </c>
      <c r="JB172" s="14">
        <v>11216000</v>
      </c>
      <c r="JC172" s="14">
        <v>50000</v>
      </c>
      <c r="JD172" s="14">
        <v>11166000</v>
      </c>
      <c r="JH172" s="14">
        <v>6231</v>
      </c>
      <c r="JL172" s="14">
        <v>11216000</v>
      </c>
      <c r="JM172" s="14">
        <v>43769</v>
      </c>
      <c r="JN172" s="14">
        <v>11166000</v>
      </c>
      <c r="ND172" s="14">
        <f t="shared" si="46"/>
        <v>11216000</v>
      </c>
      <c r="NE172" s="14">
        <f t="shared" si="32"/>
        <v>50000</v>
      </c>
      <c r="NF172" s="14">
        <f t="shared" si="33"/>
        <v>11166000</v>
      </c>
      <c r="NI172" s="14">
        <f t="shared" si="34"/>
        <v>0</v>
      </c>
      <c r="NJ172" s="14">
        <f t="shared" si="35"/>
        <v>6231</v>
      </c>
      <c r="NK172" s="14">
        <f t="shared" si="36"/>
        <v>0</v>
      </c>
      <c r="NN172" s="14">
        <f t="shared" si="37"/>
        <v>11216000</v>
      </c>
      <c r="NO172" s="14">
        <f t="shared" si="38"/>
        <v>43769</v>
      </c>
      <c r="NP172" s="14">
        <f t="shared" si="39"/>
        <v>11166000</v>
      </c>
      <c r="NS172" s="14">
        <f t="shared" si="47"/>
        <v>0</v>
      </c>
      <c r="NT172" s="14">
        <f t="shared" si="40"/>
        <v>0</v>
      </c>
      <c r="NU172" s="14">
        <f t="shared" si="41"/>
        <v>0</v>
      </c>
      <c r="NV172" s="14">
        <f t="shared" si="42"/>
        <v>0</v>
      </c>
      <c r="NW172" s="14">
        <f t="shared" si="43"/>
        <v>0</v>
      </c>
      <c r="NX172" s="14">
        <f t="shared" si="44"/>
        <v>0</v>
      </c>
      <c r="NY172" s="14">
        <f t="shared" si="45"/>
        <v>0</v>
      </c>
    </row>
    <row r="173" spans="1:389" x14ac:dyDescent="0.25">
      <c r="A173" s="96" t="s">
        <v>501</v>
      </c>
      <c r="B173" s="34">
        <v>577</v>
      </c>
      <c r="C173" s="99">
        <v>2</v>
      </c>
      <c r="JB173" s="14">
        <v>17103000</v>
      </c>
      <c r="JC173" s="14">
        <v>336000</v>
      </c>
      <c r="JD173" s="14">
        <v>16767000</v>
      </c>
      <c r="JH173" s="14">
        <v>13603</v>
      </c>
      <c r="JL173" s="14">
        <v>17103000</v>
      </c>
      <c r="JM173" s="14">
        <v>322397</v>
      </c>
      <c r="JN173" s="14">
        <v>16767000</v>
      </c>
      <c r="ND173" s="14">
        <f t="shared" si="46"/>
        <v>17103000</v>
      </c>
      <c r="NE173" s="14">
        <f t="shared" si="32"/>
        <v>336000</v>
      </c>
      <c r="NF173" s="14">
        <f t="shared" si="33"/>
        <v>16767000</v>
      </c>
      <c r="NI173" s="14">
        <f t="shared" si="34"/>
        <v>0</v>
      </c>
      <c r="NJ173" s="14">
        <f t="shared" si="35"/>
        <v>13603</v>
      </c>
      <c r="NK173" s="14">
        <f t="shared" si="36"/>
        <v>0</v>
      </c>
      <c r="NN173" s="14">
        <f t="shared" si="37"/>
        <v>17103000</v>
      </c>
      <c r="NO173" s="14">
        <f t="shared" si="38"/>
        <v>322397</v>
      </c>
      <c r="NP173" s="14">
        <f t="shared" si="39"/>
        <v>16767000</v>
      </c>
      <c r="NS173" s="14">
        <f t="shared" si="47"/>
        <v>0</v>
      </c>
      <c r="NT173" s="14">
        <f t="shared" si="40"/>
        <v>0</v>
      </c>
      <c r="NU173" s="14">
        <f t="shared" si="41"/>
        <v>0</v>
      </c>
      <c r="NV173" s="14">
        <f t="shared" si="42"/>
        <v>0</v>
      </c>
      <c r="NW173" s="14">
        <f t="shared" si="43"/>
        <v>0</v>
      </c>
      <c r="NX173" s="14">
        <f t="shared" si="44"/>
        <v>0</v>
      </c>
      <c r="NY173" s="14">
        <f t="shared" si="45"/>
        <v>0</v>
      </c>
    </row>
    <row r="174" spans="1:389" x14ac:dyDescent="0.25">
      <c r="A174" s="96" t="s">
        <v>502</v>
      </c>
      <c r="B174" s="34">
        <v>578</v>
      </c>
      <c r="C174" s="99">
        <v>18</v>
      </c>
      <c r="JB174" s="14">
        <v>103902000</v>
      </c>
      <c r="JC174" s="14">
        <v>0</v>
      </c>
      <c r="JD174" s="14">
        <v>103902000</v>
      </c>
      <c r="JH174" s="14">
        <v>109928</v>
      </c>
      <c r="JL174" s="14">
        <v>103902000</v>
      </c>
      <c r="JM174" s="14">
        <v>-109928</v>
      </c>
      <c r="JN174" s="14">
        <v>103902000</v>
      </c>
      <c r="ND174" s="14">
        <f t="shared" si="46"/>
        <v>103902000</v>
      </c>
      <c r="NE174" s="14">
        <f t="shared" si="32"/>
        <v>0</v>
      </c>
      <c r="NF174" s="14">
        <f t="shared" si="33"/>
        <v>103902000</v>
      </c>
      <c r="NI174" s="14">
        <f t="shared" si="34"/>
        <v>0</v>
      </c>
      <c r="NJ174" s="14">
        <f t="shared" si="35"/>
        <v>109928</v>
      </c>
      <c r="NK174" s="14">
        <f t="shared" si="36"/>
        <v>0</v>
      </c>
      <c r="NN174" s="14">
        <f t="shared" si="37"/>
        <v>103902000</v>
      </c>
      <c r="NO174" s="14">
        <f t="shared" si="38"/>
        <v>-109928</v>
      </c>
      <c r="NP174" s="14">
        <f t="shared" si="39"/>
        <v>103902000</v>
      </c>
      <c r="NS174" s="14">
        <f t="shared" si="47"/>
        <v>0</v>
      </c>
      <c r="NT174" s="14">
        <f t="shared" si="40"/>
        <v>0</v>
      </c>
      <c r="NU174" s="14">
        <f t="shared" si="41"/>
        <v>0</v>
      </c>
      <c r="NV174" s="14">
        <f t="shared" si="42"/>
        <v>0</v>
      </c>
      <c r="NW174" s="14">
        <f t="shared" si="43"/>
        <v>0</v>
      </c>
      <c r="NX174" s="14">
        <f t="shared" si="44"/>
        <v>0</v>
      </c>
      <c r="NY174" s="14">
        <f t="shared" si="45"/>
        <v>0</v>
      </c>
    </row>
    <row r="175" spans="1:389" x14ac:dyDescent="0.25">
      <c r="A175" s="96" t="s">
        <v>469</v>
      </c>
      <c r="B175" s="34">
        <v>445</v>
      </c>
      <c r="C175" s="99">
        <v>2</v>
      </c>
      <c r="JB175" s="14">
        <v>48174000</v>
      </c>
      <c r="JC175" s="14">
        <v>488000</v>
      </c>
      <c r="JD175" s="14">
        <v>47686000</v>
      </c>
      <c r="JH175" s="14">
        <v>86078</v>
      </c>
      <c r="JL175" s="14">
        <v>48174000</v>
      </c>
      <c r="JM175" s="14">
        <v>401922</v>
      </c>
      <c r="JN175" s="14">
        <v>47686000</v>
      </c>
      <c r="ND175" s="14">
        <f t="shared" si="46"/>
        <v>48174000</v>
      </c>
      <c r="NE175" s="14">
        <f t="shared" si="32"/>
        <v>488000</v>
      </c>
      <c r="NF175" s="14">
        <f t="shared" si="33"/>
        <v>47686000</v>
      </c>
      <c r="NI175" s="14">
        <f t="shared" si="34"/>
        <v>0</v>
      </c>
      <c r="NJ175" s="14">
        <f t="shared" si="35"/>
        <v>86078</v>
      </c>
      <c r="NK175" s="14">
        <f t="shared" si="36"/>
        <v>0</v>
      </c>
      <c r="NN175" s="14">
        <f t="shared" si="37"/>
        <v>48174000</v>
      </c>
      <c r="NO175" s="14">
        <f t="shared" si="38"/>
        <v>401922</v>
      </c>
      <c r="NP175" s="14">
        <f t="shared" si="39"/>
        <v>47686000</v>
      </c>
      <c r="NS175" s="14">
        <f t="shared" si="47"/>
        <v>0</v>
      </c>
      <c r="NT175" s="14">
        <f t="shared" si="40"/>
        <v>0</v>
      </c>
      <c r="NU175" s="14">
        <f t="shared" si="41"/>
        <v>0</v>
      </c>
      <c r="NV175" s="14">
        <f t="shared" si="42"/>
        <v>0</v>
      </c>
      <c r="NW175" s="14">
        <f t="shared" si="43"/>
        <v>0</v>
      </c>
      <c r="NX175" s="14">
        <f t="shared" si="44"/>
        <v>0</v>
      </c>
      <c r="NY175" s="14">
        <f t="shared" si="45"/>
        <v>0</v>
      </c>
    </row>
    <row r="176" spans="1:389" x14ac:dyDescent="0.25">
      <c r="A176" s="96" t="s">
        <v>503</v>
      </c>
      <c r="B176" s="34">
        <v>580</v>
      </c>
      <c r="C176" s="99">
        <v>9</v>
      </c>
      <c r="JB176" s="14">
        <v>36341000</v>
      </c>
      <c r="JC176" s="14">
        <v>0</v>
      </c>
      <c r="JD176" s="14">
        <v>36341000</v>
      </c>
      <c r="JH176" s="14">
        <v>5748</v>
      </c>
      <c r="JL176" s="14">
        <v>36341000</v>
      </c>
      <c r="JM176" s="14">
        <v>-5748</v>
      </c>
      <c r="JN176" s="14">
        <v>36341000</v>
      </c>
      <c r="ND176" s="14">
        <f t="shared" si="46"/>
        <v>36341000</v>
      </c>
      <c r="NE176" s="14">
        <f t="shared" si="32"/>
        <v>0</v>
      </c>
      <c r="NF176" s="14">
        <f t="shared" si="33"/>
        <v>36341000</v>
      </c>
      <c r="NI176" s="14">
        <f t="shared" si="34"/>
        <v>0</v>
      </c>
      <c r="NJ176" s="14">
        <f t="shared" si="35"/>
        <v>5748</v>
      </c>
      <c r="NK176" s="14">
        <f t="shared" si="36"/>
        <v>0</v>
      </c>
      <c r="NN176" s="14">
        <f t="shared" si="37"/>
        <v>36341000</v>
      </c>
      <c r="NO176" s="14">
        <f t="shared" si="38"/>
        <v>-5748</v>
      </c>
      <c r="NP176" s="14">
        <f t="shared" si="39"/>
        <v>36341000</v>
      </c>
      <c r="NS176" s="14">
        <f t="shared" si="47"/>
        <v>0</v>
      </c>
      <c r="NT176" s="14">
        <f t="shared" si="40"/>
        <v>0</v>
      </c>
      <c r="NU176" s="14">
        <f t="shared" si="41"/>
        <v>0</v>
      </c>
      <c r="NV176" s="14">
        <f t="shared" si="42"/>
        <v>0</v>
      </c>
      <c r="NW176" s="14">
        <f t="shared" si="43"/>
        <v>0</v>
      </c>
      <c r="NX176" s="14">
        <f t="shared" si="44"/>
        <v>0</v>
      </c>
      <c r="NY176" s="14">
        <f t="shared" si="45"/>
        <v>0</v>
      </c>
    </row>
    <row r="177" spans="1:389" x14ac:dyDescent="0.25">
      <c r="A177" s="96" t="s">
        <v>504</v>
      </c>
      <c r="B177" s="34">
        <v>581</v>
      </c>
      <c r="C177" s="99">
        <v>6</v>
      </c>
      <c r="JB177" s="14">
        <v>10868000</v>
      </c>
      <c r="JC177" s="14">
        <v>1045000</v>
      </c>
      <c r="JD177" s="14">
        <v>9823000</v>
      </c>
      <c r="JH177" s="14">
        <v>230582</v>
      </c>
      <c r="JL177" s="14">
        <v>10868000</v>
      </c>
      <c r="JM177" s="14">
        <v>814418</v>
      </c>
      <c r="JN177" s="14">
        <v>9823000</v>
      </c>
      <c r="ND177" s="14">
        <f t="shared" si="46"/>
        <v>10868000</v>
      </c>
      <c r="NE177" s="14">
        <f t="shared" si="32"/>
        <v>1045000</v>
      </c>
      <c r="NF177" s="14">
        <f t="shared" si="33"/>
        <v>9823000</v>
      </c>
      <c r="NI177" s="14">
        <f t="shared" si="34"/>
        <v>0</v>
      </c>
      <c r="NJ177" s="14">
        <f t="shared" si="35"/>
        <v>230582</v>
      </c>
      <c r="NK177" s="14">
        <f t="shared" si="36"/>
        <v>0</v>
      </c>
      <c r="NN177" s="14">
        <f t="shared" si="37"/>
        <v>10868000</v>
      </c>
      <c r="NO177" s="14">
        <f t="shared" si="38"/>
        <v>814418</v>
      </c>
      <c r="NP177" s="14">
        <f t="shared" si="39"/>
        <v>9823000</v>
      </c>
      <c r="NS177" s="14">
        <f t="shared" si="47"/>
        <v>0</v>
      </c>
      <c r="NT177" s="14">
        <f t="shared" si="40"/>
        <v>0</v>
      </c>
      <c r="NU177" s="14">
        <f t="shared" si="41"/>
        <v>0</v>
      </c>
      <c r="NV177" s="14">
        <f t="shared" si="42"/>
        <v>0</v>
      </c>
      <c r="NW177" s="14">
        <f t="shared" si="43"/>
        <v>0</v>
      </c>
      <c r="NX177" s="14">
        <f t="shared" si="44"/>
        <v>0</v>
      </c>
      <c r="NY177" s="14">
        <f t="shared" si="45"/>
        <v>0</v>
      </c>
    </row>
    <row r="178" spans="1:389" x14ac:dyDescent="0.25">
      <c r="A178" s="96" t="s">
        <v>512</v>
      </c>
      <c r="B178" s="34">
        <v>599</v>
      </c>
      <c r="C178" s="99">
        <v>15</v>
      </c>
      <c r="JB178" s="14">
        <v>106833000</v>
      </c>
      <c r="JC178" s="14">
        <v>0</v>
      </c>
      <c r="JD178" s="14">
        <v>106833000</v>
      </c>
      <c r="JH178" s="14">
        <v>42422</v>
      </c>
      <c r="JL178" s="14">
        <v>106833000</v>
      </c>
      <c r="JM178" s="14">
        <v>-42422</v>
      </c>
      <c r="JN178" s="14">
        <v>106833000</v>
      </c>
      <c r="ND178" s="14">
        <f t="shared" si="46"/>
        <v>106833000</v>
      </c>
      <c r="NE178" s="14">
        <f t="shared" si="32"/>
        <v>0</v>
      </c>
      <c r="NF178" s="14">
        <f t="shared" si="33"/>
        <v>106833000</v>
      </c>
      <c r="NI178" s="14">
        <f t="shared" si="34"/>
        <v>0</v>
      </c>
      <c r="NJ178" s="14">
        <f t="shared" si="35"/>
        <v>42422</v>
      </c>
      <c r="NK178" s="14">
        <f t="shared" si="36"/>
        <v>0</v>
      </c>
      <c r="NN178" s="14">
        <f t="shared" si="37"/>
        <v>106833000</v>
      </c>
      <c r="NO178" s="14">
        <f t="shared" si="38"/>
        <v>-42422</v>
      </c>
      <c r="NP178" s="14">
        <f t="shared" si="39"/>
        <v>106833000</v>
      </c>
      <c r="NS178" s="14">
        <f t="shared" si="47"/>
        <v>0</v>
      </c>
      <c r="NT178" s="14">
        <f t="shared" si="40"/>
        <v>0</v>
      </c>
      <c r="NU178" s="14">
        <f t="shared" si="41"/>
        <v>0</v>
      </c>
      <c r="NV178" s="14">
        <f t="shared" si="42"/>
        <v>0</v>
      </c>
      <c r="NW178" s="14">
        <f t="shared" si="43"/>
        <v>0</v>
      </c>
      <c r="NX178" s="14">
        <f t="shared" si="44"/>
        <v>0</v>
      </c>
      <c r="NY178" s="14">
        <f t="shared" si="45"/>
        <v>0</v>
      </c>
    </row>
    <row r="179" spans="1:389" x14ac:dyDescent="0.25">
      <c r="A179" s="96" t="s">
        <v>505</v>
      </c>
      <c r="B179" s="34">
        <v>583</v>
      </c>
      <c r="C179" s="99">
        <v>19</v>
      </c>
      <c r="JB179" s="14">
        <v>38735000</v>
      </c>
      <c r="JC179" s="14">
        <v>415000</v>
      </c>
      <c r="JD179" s="14">
        <v>38320000</v>
      </c>
      <c r="JH179" s="14">
        <v>19365</v>
      </c>
      <c r="JL179" s="14">
        <v>38735000</v>
      </c>
      <c r="JM179" s="14">
        <v>395635</v>
      </c>
      <c r="JN179" s="14">
        <v>38320000</v>
      </c>
      <c r="ND179" s="14">
        <f t="shared" si="46"/>
        <v>38735000</v>
      </c>
      <c r="NE179" s="14">
        <f t="shared" si="32"/>
        <v>415000</v>
      </c>
      <c r="NF179" s="14">
        <f t="shared" si="33"/>
        <v>38320000</v>
      </c>
      <c r="NI179" s="14">
        <f t="shared" si="34"/>
        <v>0</v>
      </c>
      <c r="NJ179" s="14">
        <f t="shared" si="35"/>
        <v>19365</v>
      </c>
      <c r="NK179" s="14">
        <f t="shared" si="36"/>
        <v>0</v>
      </c>
      <c r="NN179" s="14">
        <f t="shared" si="37"/>
        <v>38735000</v>
      </c>
      <c r="NO179" s="14">
        <f t="shared" si="38"/>
        <v>395635</v>
      </c>
      <c r="NP179" s="14">
        <f t="shared" si="39"/>
        <v>38320000</v>
      </c>
      <c r="NS179" s="14">
        <f t="shared" si="47"/>
        <v>0</v>
      </c>
      <c r="NT179" s="14">
        <f t="shared" si="40"/>
        <v>0</v>
      </c>
      <c r="NU179" s="14">
        <f t="shared" si="41"/>
        <v>0</v>
      </c>
      <c r="NV179" s="14">
        <f t="shared" si="42"/>
        <v>0</v>
      </c>
      <c r="NW179" s="14">
        <f t="shared" si="43"/>
        <v>0</v>
      </c>
      <c r="NX179" s="14">
        <f t="shared" si="44"/>
        <v>0</v>
      </c>
      <c r="NY179" s="14">
        <f t="shared" si="45"/>
        <v>0</v>
      </c>
    </row>
    <row r="180" spans="1:389" x14ac:dyDescent="0.25">
      <c r="A180" s="96" t="s">
        <v>591</v>
      </c>
      <c r="B180" s="34">
        <v>854</v>
      </c>
      <c r="C180" s="99">
        <v>19</v>
      </c>
      <c r="JB180" s="14">
        <v>67144000</v>
      </c>
      <c r="JC180" s="14">
        <v>485000</v>
      </c>
      <c r="JD180" s="14">
        <v>66659000</v>
      </c>
      <c r="JH180" s="14">
        <v>103640</v>
      </c>
      <c r="JL180" s="14">
        <v>67144000</v>
      </c>
      <c r="JM180" s="14">
        <v>381360</v>
      </c>
      <c r="JN180" s="14">
        <v>66659000</v>
      </c>
      <c r="ND180" s="14">
        <f t="shared" si="46"/>
        <v>67144000</v>
      </c>
      <c r="NE180" s="14">
        <f t="shared" si="32"/>
        <v>485000</v>
      </c>
      <c r="NF180" s="14">
        <f t="shared" si="33"/>
        <v>66659000</v>
      </c>
      <c r="NI180" s="14">
        <f t="shared" si="34"/>
        <v>0</v>
      </c>
      <c r="NJ180" s="14">
        <f t="shared" si="35"/>
        <v>103640</v>
      </c>
      <c r="NK180" s="14">
        <f t="shared" si="36"/>
        <v>0</v>
      </c>
      <c r="NN180" s="14">
        <f t="shared" si="37"/>
        <v>67144000</v>
      </c>
      <c r="NO180" s="14">
        <f t="shared" si="38"/>
        <v>381360</v>
      </c>
      <c r="NP180" s="14">
        <f t="shared" si="39"/>
        <v>66659000</v>
      </c>
      <c r="NS180" s="14">
        <f t="shared" si="47"/>
        <v>0</v>
      </c>
      <c r="NT180" s="14">
        <f t="shared" si="40"/>
        <v>0</v>
      </c>
      <c r="NU180" s="14">
        <f t="shared" si="41"/>
        <v>0</v>
      </c>
      <c r="NV180" s="14">
        <f t="shared" si="42"/>
        <v>0</v>
      </c>
      <c r="NW180" s="14">
        <f t="shared" si="43"/>
        <v>0</v>
      </c>
      <c r="NX180" s="14">
        <f t="shared" si="44"/>
        <v>0</v>
      </c>
      <c r="NY180" s="14">
        <f t="shared" si="45"/>
        <v>0</v>
      </c>
    </row>
    <row r="181" spans="1:389" x14ac:dyDescent="0.25">
      <c r="A181" s="96" t="s">
        <v>506</v>
      </c>
      <c r="B181" s="34">
        <v>584</v>
      </c>
      <c r="C181" s="99">
        <v>16</v>
      </c>
      <c r="JB181" s="14">
        <v>99443000</v>
      </c>
      <c r="JC181" s="14">
        <v>400000</v>
      </c>
      <c r="JD181" s="14">
        <v>99043000</v>
      </c>
      <c r="JH181" s="14">
        <v>136869</v>
      </c>
      <c r="JL181" s="14">
        <v>99443000</v>
      </c>
      <c r="JM181" s="14">
        <v>263131</v>
      </c>
      <c r="JN181" s="14">
        <v>99043000</v>
      </c>
      <c r="ND181" s="14">
        <f t="shared" si="46"/>
        <v>99443000</v>
      </c>
      <c r="NE181" s="14">
        <f t="shared" si="32"/>
        <v>400000</v>
      </c>
      <c r="NF181" s="14">
        <f t="shared" si="33"/>
        <v>99043000</v>
      </c>
      <c r="NI181" s="14">
        <f t="shared" si="34"/>
        <v>0</v>
      </c>
      <c r="NJ181" s="14">
        <f t="shared" si="35"/>
        <v>136869</v>
      </c>
      <c r="NK181" s="14">
        <f t="shared" si="36"/>
        <v>0</v>
      </c>
      <c r="NN181" s="14">
        <f t="shared" si="37"/>
        <v>99443000</v>
      </c>
      <c r="NO181" s="14">
        <f t="shared" si="38"/>
        <v>263131</v>
      </c>
      <c r="NP181" s="14">
        <f t="shared" si="39"/>
        <v>99043000</v>
      </c>
      <c r="NS181" s="14">
        <f t="shared" si="47"/>
        <v>0</v>
      </c>
      <c r="NT181" s="14">
        <f t="shared" si="40"/>
        <v>0</v>
      </c>
      <c r="NU181" s="14">
        <f t="shared" si="41"/>
        <v>0</v>
      </c>
      <c r="NV181" s="14">
        <f t="shared" si="42"/>
        <v>0</v>
      </c>
      <c r="NW181" s="14">
        <f t="shared" si="43"/>
        <v>0</v>
      </c>
      <c r="NX181" s="14">
        <f t="shared" si="44"/>
        <v>0</v>
      </c>
      <c r="NY181" s="14">
        <f t="shared" si="45"/>
        <v>0</v>
      </c>
    </row>
    <row r="182" spans="1:389" x14ac:dyDescent="0.25">
      <c r="A182" s="96" t="s">
        <v>507</v>
      </c>
      <c r="B182" s="34">
        <v>588</v>
      </c>
      <c r="C182" s="99">
        <v>10</v>
      </c>
      <c r="JB182" s="14">
        <v>29948000</v>
      </c>
      <c r="JC182" s="14">
        <v>912000</v>
      </c>
      <c r="JD182" s="14">
        <v>29036000</v>
      </c>
      <c r="JH182" s="14">
        <v>35898</v>
      </c>
      <c r="JL182" s="14">
        <v>29948000</v>
      </c>
      <c r="JM182" s="14">
        <v>876102</v>
      </c>
      <c r="JN182" s="14">
        <v>29036000</v>
      </c>
      <c r="ND182" s="14">
        <f t="shared" si="46"/>
        <v>29948000</v>
      </c>
      <c r="NE182" s="14">
        <f t="shared" si="32"/>
        <v>912000</v>
      </c>
      <c r="NF182" s="14">
        <f t="shared" si="33"/>
        <v>29036000</v>
      </c>
      <c r="NI182" s="14">
        <f t="shared" si="34"/>
        <v>0</v>
      </c>
      <c r="NJ182" s="14">
        <f t="shared" si="35"/>
        <v>35898</v>
      </c>
      <c r="NK182" s="14">
        <f t="shared" si="36"/>
        <v>0</v>
      </c>
      <c r="NN182" s="14">
        <f t="shared" si="37"/>
        <v>29948000</v>
      </c>
      <c r="NO182" s="14">
        <f t="shared" si="38"/>
        <v>876102</v>
      </c>
      <c r="NP182" s="14">
        <f t="shared" si="39"/>
        <v>29036000</v>
      </c>
      <c r="NS182" s="14">
        <f t="shared" si="47"/>
        <v>0</v>
      </c>
      <c r="NT182" s="14">
        <f t="shared" si="40"/>
        <v>0</v>
      </c>
      <c r="NU182" s="14">
        <f t="shared" si="41"/>
        <v>0</v>
      </c>
      <c r="NV182" s="14">
        <f t="shared" si="42"/>
        <v>0</v>
      </c>
      <c r="NW182" s="14">
        <f t="shared" si="43"/>
        <v>0</v>
      </c>
      <c r="NX182" s="14">
        <f t="shared" si="44"/>
        <v>0</v>
      </c>
      <c r="NY182" s="14">
        <f t="shared" si="45"/>
        <v>0</v>
      </c>
    </row>
    <row r="183" spans="1:389" x14ac:dyDescent="0.25">
      <c r="A183" s="96" t="s">
        <v>508</v>
      </c>
      <c r="B183" s="34">
        <v>592</v>
      </c>
      <c r="C183" s="99">
        <v>13</v>
      </c>
      <c r="JB183" s="14">
        <v>67043000</v>
      </c>
      <c r="JC183" s="14">
        <v>0</v>
      </c>
      <c r="JD183" s="14">
        <v>67043000</v>
      </c>
      <c r="JH183" s="14">
        <v>37993</v>
      </c>
      <c r="JL183" s="14">
        <v>67043000</v>
      </c>
      <c r="JM183" s="14">
        <v>-37993</v>
      </c>
      <c r="JN183" s="14">
        <v>67043000</v>
      </c>
      <c r="ND183" s="14">
        <f t="shared" si="46"/>
        <v>67043000</v>
      </c>
      <c r="NE183" s="14">
        <f t="shared" si="32"/>
        <v>0</v>
      </c>
      <c r="NF183" s="14">
        <f t="shared" si="33"/>
        <v>67043000</v>
      </c>
      <c r="NI183" s="14">
        <f t="shared" si="34"/>
        <v>0</v>
      </c>
      <c r="NJ183" s="14">
        <f t="shared" si="35"/>
        <v>37993</v>
      </c>
      <c r="NK183" s="14">
        <f t="shared" si="36"/>
        <v>0</v>
      </c>
      <c r="NN183" s="14">
        <f t="shared" si="37"/>
        <v>67043000</v>
      </c>
      <c r="NO183" s="14">
        <f t="shared" si="38"/>
        <v>-37993</v>
      </c>
      <c r="NP183" s="14">
        <f t="shared" si="39"/>
        <v>67043000</v>
      </c>
      <c r="NS183" s="14">
        <f t="shared" si="47"/>
        <v>0</v>
      </c>
      <c r="NT183" s="14">
        <f t="shared" si="40"/>
        <v>0</v>
      </c>
      <c r="NU183" s="14">
        <f t="shared" si="41"/>
        <v>0</v>
      </c>
      <c r="NV183" s="14">
        <f t="shared" si="42"/>
        <v>0</v>
      </c>
      <c r="NW183" s="14">
        <f t="shared" si="43"/>
        <v>0</v>
      </c>
      <c r="NX183" s="14">
        <f t="shared" si="44"/>
        <v>0</v>
      </c>
      <c r="NY183" s="14">
        <f t="shared" si="45"/>
        <v>0</v>
      </c>
    </row>
    <row r="184" spans="1:389" x14ac:dyDescent="0.25">
      <c r="A184" s="96" t="s">
        <v>509</v>
      </c>
      <c r="B184" s="34">
        <v>593</v>
      </c>
      <c r="C184" s="99">
        <v>10</v>
      </c>
      <c r="JB184" s="14">
        <v>164909000</v>
      </c>
      <c r="JC184" s="14">
        <v>270000</v>
      </c>
      <c r="JD184" s="14">
        <v>164639000</v>
      </c>
      <c r="JH184" s="14">
        <v>35905</v>
      </c>
      <c r="JL184" s="14">
        <v>164909000</v>
      </c>
      <c r="JM184" s="14">
        <v>234095</v>
      </c>
      <c r="JN184" s="14">
        <v>164639000</v>
      </c>
      <c r="ND184" s="14">
        <f t="shared" si="46"/>
        <v>164909000</v>
      </c>
      <c r="NE184" s="14">
        <f t="shared" si="32"/>
        <v>270000</v>
      </c>
      <c r="NF184" s="14">
        <f t="shared" si="33"/>
        <v>164639000</v>
      </c>
      <c r="NI184" s="14">
        <f t="shared" si="34"/>
        <v>0</v>
      </c>
      <c r="NJ184" s="14">
        <f t="shared" si="35"/>
        <v>35905</v>
      </c>
      <c r="NK184" s="14">
        <f t="shared" si="36"/>
        <v>0</v>
      </c>
      <c r="NN184" s="14">
        <f t="shared" si="37"/>
        <v>164909000</v>
      </c>
      <c r="NO184" s="14">
        <f t="shared" si="38"/>
        <v>234095</v>
      </c>
      <c r="NP184" s="14">
        <f t="shared" si="39"/>
        <v>164639000</v>
      </c>
      <c r="NS184" s="14">
        <f t="shared" si="47"/>
        <v>0</v>
      </c>
      <c r="NT184" s="14">
        <f t="shared" si="40"/>
        <v>0</v>
      </c>
      <c r="NU184" s="14">
        <f t="shared" si="41"/>
        <v>0</v>
      </c>
      <c r="NV184" s="14">
        <f t="shared" si="42"/>
        <v>0</v>
      </c>
      <c r="NW184" s="14">
        <f t="shared" si="43"/>
        <v>0</v>
      </c>
      <c r="NX184" s="14">
        <f t="shared" si="44"/>
        <v>0</v>
      </c>
      <c r="NY184" s="14">
        <f t="shared" si="45"/>
        <v>0</v>
      </c>
    </row>
    <row r="185" spans="1:389" x14ac:dyDescent="0.25">
      <c r="A185" s="96" t="s">
        <v>510</v>
      </c>
      <c r="B185" s="34">
        <v>595</v>
      </c>
      <c r="C185" s="99">
        <v>11</v>
      </c>
      <c r="JB185" s="14">
        <v>26162000</v>
      </c>
      <c r="JC185" s="14">
        <v>0</v>
      </c>
      <c r="JD185" s="14">
        <v>26162000</v>
      </c>
      <c r="JH185" s="14">
        <v>69908</v>
      </c>
      <c r="JL185" s="14">
        <v>26162000</v>
      </c>
      <c r="JM185" s="14">
        <v>-69908</v>
      </c>
      <c r="JN185" s="14">
        <v>26162000</v>
      </c>
      <c r="ND185" s="14">
        <f t="shared" si="46"/>
        <v>26162000</v>
      </c>
      <c r="NE185" s="14">
        <f t="shared" si="32"/>
        <v>0</v>
      </c>
      <c r="NF185" s="14">
        <f t="shared" si="33"/>
        <v>26162000</v>
      </c>
      <c r="NI185" s="14">
        <f t="shared" si="34"/>
        <v>0</v>
      </c>
      <c r="NJ185" s="14">
        <f t="shared" si="35"/>
        <v>69908</v>
      </c>
      <c r="NK185" s="14">
        <f t="shared" si="36"/>
        <v>0</v>
      </c>
      <c r="NN185" s="14">
        <f t="shared" si="37"/>
        <v>26162000</v>
      </c>
      <c r="NO185" s="14">
        <f t="shared" si="38"/>
        <v>-69908</v>
      </c>
      <c r="NP185" s="14">
        <f t="shared" si="39"/>
        <v>26162000</v>
      </c>
      <c r="NS185" s="14">
        <f t="shared" si="47"/>
        <v>0</v>
      </c>
      <c r="NT185" s="14">
        <f t="shared" si="40"/>
        <v>0</v>
      </c>
      <c r="NU185" s="14">
        <f t="shared" si="41"/>
        <v>0</v>
      </c>
      <c r="NV185" s="14">
        <f t="shared" si="42"/>
        <v>0</v>
      </c>
      <c r="NW185" s="14">
        <f t="shared" si="43"/>
        <v>0</v>
      </c>
      <c r="NX185" s="14">
        <f t="shared" si="44"/>
        <v>0</v>
      </c>
      <c r="NY185" s="14">
        <f t="shared" si="45"/>
        <v>0</v>
      </c>
    </row>
    <row r="186" spans="1:389" x14ac:dyDescent="0.25">
      <c r="A186" s="96" t="s">
        <v>511</v>
      </c>
      <c r="B186" s="34">
        <v>598</v>
      </c>
      <c r="C186" s="99">
        <v>15</v>
      </c>
      <c r="JB186" s="14">
        <v>52051000</v>
      </c>
      <c r="JC186" s="14">
        <v>22000</v>
      </c>
      <c r="JD186" s="14">
        <v>52029000</v>
      </c>
      <c r="JH186" s="14">
        <v>5000</v>
      </c>
      <c r="JL186" s="14">
        <v>52051000</v>
      </c>
      <c r="JM186" s="14">
        <v>17000</v>
      </c>
      <c r="JN186" s="14">
        <v>52029000</v>
      </c>
      <c r="ND186" s="14">
        <f t="shared" si="46"/>
        <v>52051000</v>
      </c>
      <c r="NE186" s="14">
        <f t="shared" si="32"/>
        <v>22000</v>
      </c>
      <c r="NF186" s="14">
        <f t="shared" si="33"/>
        <v>52029000</v>
      </c>
      <c r="NI186" s="14">
        <f t="shared" si="34"/>
        <v>0</v>
      </c>
      <c r="NJ186" s="14">
        <f t="shared" si="35"/>
        <v>5000</v>
      </c>
      <c r="NK186" s="14">
        <f t="shared" si="36"/>
        <v>0</v>
      </c>
      <c r="NN186" s="14">
        <f t="shared" si="37"/>
        <v>52051000</v>
      </c>
      <c r="NO186" s="14">
        <f t="shared" si="38"/>
        <v>17000</v>
      </c>
      <c r="NP186" s="14">
        <f t="shared" si="39"/>
        <v>52029000</v>
      </c>
      <c r="NS186" s="14">
        <f t="shared" si="47"/>
        <v>0</v>
      </c>
      <c r="NT186" s="14">
        <f t="shared" si="40"/>
        <v>0</v>
      </c>
      <c r="NU186" s="14">
        <f t="shared" si="41"/>
        <v>0</v>
      </c>
      <c r="NV186" s="14">
        <f t="shared" si="42"/>
        <v>0</v>
      </c>
      <c r="NW186" s="14">
        <f t="shared" si="43"/>
        <v>0</v>
      </c>
      <c r="NX186" s="14">
        <f t="shared" si="44"/>
        <v>0</v>
      </c>
      <c r="NY186" s="14">
        <f t="shared" si="45"/>
        <v>0</v>
      </c>
    </row>
    <row r="187" spans="1:389" x14ac:dyDescent="0.25">
      <c r="A187" s="96" t="s">
        <v>513</v>
      </c>
      <c r="B187" s="34">
        <v>601</v>
      </c>
      <c r="C187" s="99">
        <v>13</v>
      </c>
      <c r="JB187" s="14">
        <v>213565000</v>
      </c>
      <c r="JC187" s="14">
        <v>62000</v>
      </c>
      <c r="JD187" s="14">
        <v>213503000</v>
      </c>
      <c r="JH187" s="14">
        <v>7300</v>
      </c>
      <c r="JL187" s="14">
        <v>213565000</v>
      </c>
      <c r="JM187" s="14">
        <v>54700</v>
      </c>
      <c r="JN187" s="14">
        <v>213503000</v>
      </c>
      <c r="ND187" s="14">
        <f t="shared" si="46"/>
        <v>213565000</v>
      </c>
      <c r="NE187" s="14">
        <f t="shared" si="32"/>
        <v>62000</v>
      </c>
      <c r="NF187" s="14">
        <f t="shared" si="33"/>
        <v>213503000</v>
      </c>
      <c r="NI187" s="14">
        <f t="shared" si="34"/>
        <v>0</v>
      </c>
      <c r="NJ187" s="14">
        <f t="shared" si="35"/>
        <v>7300</v>
      </c>
      <c r="NK187" s="14">
        <f t="shared" si="36"/>
        <v>0</v>
      </c>
      <c r="NN187" s="14">
        <f t="shared" si="37"/>
        <v>213565000</v>
      </c>
      <c r="NO187" s="14">
        <f t="shared" si="38"/>
        <v>54700</v>
      </c>
      <c r="NP187" s="14">
        <f t="shared" si="39"/>
        <v>213503000</v>
      </c>
      <c r="NS187" s="14">
        <f t="shared" si="47"/>
        <v>0</v>
      </c>
      <c r="NT187" s="14">
        <f t="shared" si="40"/>
        <v>0</v>
      </c>
      <c r="NU187" s="14">
        <f t="shared" si="41"/>
        <v>0</v>
      </c>
      <c r="NV187" s="14">
        <f t="shared" si="42"/>
        <v>0</v>
      </c>
      <c r="NW187" s="14">
        <f t="shared" si="43"/>
        <v>0</v>
      </c>
      <c r="NX187" s="14">
        <f t="shared" si="44"/>
        <v>0</v>
      </c>
      <c r="NY187" s="14">
        <f t="shared" si="45"/>
        <v>0</v>
      </c>
    </row>
    <row r="188" spans="1:389" x14ac:dyDescent="0.25">
      <c r="A188" s="96" t="s">
        <v>514</v>
      </c>
      <c r="B188" s="34">
        <v>604</v>
      </c>
      <c r="C188" s="99">
        <v>6</v>
      </c>
      <c r="JB188" s="14">
        <v>57709000</v>
      </c>
      <c r="JC188" s="14">
        <v>65000</v>
      </c>
      <c r="JD188" s="14">
        <v>57644000</v>
      </c>
      <c r="JH188" s="14">
        <v>41337</v>
      </c>
      <c r="JL188" s="14">
        <v>57709000</v>
      </c>
      <c r="JM188" s="14">
        <v>23663</v>
      </c>
      <c r="JN188" s="14">
        <v>57644000</v>
      </c>
      <c r="ND188" s="14">
        <f t="shared" si="46"/>
        <v>57709000</v>
      </c>
      <c r="NE188" s="14">
        <f t="shared" si="32"/>
        <v>65000</v>
      </c>
      <c r="NF188" s="14">
        <f t="shared" si="33"/>
        <v>57644000</v>
      </c>
      <c r="NI188" s="14">
        <f t="shared" si="34"/>
        <v>0</v>
      </c>
      <c r="NJ188" s="14">
        <f t="shared" si="35"/>
        <v>41337</v>
      </c>
      <c r="NK188" s="14">
        <f t="shared" si="36"/>
        <v>0</v>
      </c>
      <c r="NN188" s="14">
        <f t="shared" si="37"/>
        <v>57709000</v>
      </c>
      <c r="NO188" s="14">
        <f t="shared" si="38"/>
        <v>23663</v>
      </c>
      <c r="NP188" s="14">
        <f t="shared" si="39"/>
        <v>57644000</v>
      </c>
      <c r="NS188" s="14">
        <f t="shared" si="47"/>
        <v>0</v>
      </c>
      <c r="NT188" s="14">
        <f t="shared" si="40"/>
        <v>0</v>
      </c>
      <c r="NU188" s="14">
        <f t="shared" si="41"/>
        <v>0</v>
      </c>
      <c r="NV188" s="14">
        <f t="shared" si="42"/>
        <v>0</v>
      </c>
      <c r="NW188" s="14">
        <f t="shared" si="43"/>
        <v>0</v>
      </c>
      <c r="NX188" s="14">
        <f t="shared" si="44"/>
        <v>0</v>
      </c>
      <c r="NY188" s="14">
        <f t="shared" si="45"/>
        <v>0</v>
      </c>
    </row>
    <row r="189" spans="1:389" x14ac:dyDescent="0.25">
      <c r="A189" s="96" t="s">
        <v>515</v>
      </c>
      <c r="B189" s="34">
        <v>607</v>
      </c>
      <c r="C189" s="99">
        <v>12</v>
      </c>
      <c r="JB189" s="14">
        <v>86780000</v>
      </c>
      <c r="JC189" s="14">
        <v>115000</v>
      </c>
      <c r="JD189" s="14">
        <v>86665000</v>
      </c>
      <c r="JH189" s="14">
        <v>19181</v>
      </c>
      <c r="JL189" s="14">
        <v>86780000</v>
      </c>
      <c r="JM189" s="14">
        <v>95819</v>
      </c>
      <c r="JN189" s="14">
        <v>86665000</v>
      </c>
      <c r="ND189" s="14">
        <f t="shared" si="46"/>
        <v>86780000</v>
      </c>
      <c r="NE189" s="14">
        <f t="shared" si="32"/>
        <v>115000</v>
      </c>
      <c r="NF189" s="14">
        <f t="shared" si="33"/>
        <v>86665000</v>
      </c>
      <c r="NI189" s="14">
        <f t="shared" si="34"/>
        <v>0</v>
      </c>
      <c r="NJ189" s="14">
        <f t="shared" si="35"/>
        <v>19181</v>
      </c>
      <c r="NK189" s="14">
        <f t="shared" si="36"/>
        <v>0</v>
      </c>
      <c r="NN189" s="14">
        <f t="shared" si="37"/>
        <v>86780000</v>
      </c>
      <c r="NO189" s="14">
        <f t="shared" si="38"/>
        <v>95819</v>
      </c>
      <c r="NP189" s="14">
        <f t="shared" si="39"/>
        <v>86665000</v>
      </c>
      <c r="NS189" s="14">
        <f t="shared" si="47"/>
        <v>0</v>
      </c>
      <c r="NT189" s="14">
        <f t="shared" si="40"/>
        <v>0</v>
      </c>
      <c r="NU189" s="14">
        <f t="shared" si="41"/>
        <v>0</v>
      </c>
      <c r="NV189" s="14">
        <f t="shared" si="42"/>
        <v>0</v>
      </c>
      <c r="NW189" s="14">
        <f t="shared" si="43"/>
        <v>0</v>
      </c>
      <c r="NX189" s="14">
        <f t="shared" si="44"/>
        <v>0</v>
      </c>
      <c r="NY189" s="14">
        <f t="shared" si="45"/>
        <v>0</v>
      </c>
    </row>
    <row r="190" spans="1:389" x14ac:dyDescent="0.25">
      <c r="A190" s="96" t="s">
        <v>516</v>
      </c>
      <c r="B190" s="34">
        <v>608</v>
      </c>
      <c r="C190" s="99">
        <v>4</v>
      </c>
      <c r="JB190" s="14">
        <v>8183000</v>
      </c>
      <c r="JC190" s="14">
        <v>15000</v>
      </c>
      <c r="JD190" s="14">
        <v>8168000</v>
      </c>
      <c r="JH190" s="14">
        <v>28155</v>
      </c>
      <c r="JL190" s="14">
        <v>8183000</v>
      </c>
      <c r="JM190" s="14">
        <v>-13155</v>
      </c>
      <c r="JN190" s="14">
        <v>8168000</v>
      </c>
      <c r="ND190" s="14">
        <f t="shared" si="46"/>
        <v>8183000</v>
      </c>
      <c r="NE190" s="14">
        <f t="shared" si="32"/>
        <v>15000</v>
      </c>
      <c r="NF190" s="14">
        <f t="shared" si="33"/>
        <v>8168000</v>
      </c>
      <c r="NI190" s="14">
        <f t="shared" si="34"/>
        <v>0</v>
      </c>
      <c r="NJ190" s="14">
        <f t="shared" si="35"/>
        <v>28155</v>
      </c>
      <c r="NK190" s="14">
        <f t="shared" si="36"/>
        <v>0</v>
      </c>
      <c r="NN190" s="14">
        <f t="shared" si="37"/>
        <v>8183000</v>
      </c>
      <c r="NO190" s="14">
        <f t="shared" si="38"/>
        <v>-13155</v>
      </c>
      <c r="NP190" s="14">
        <f t="shared" si="39"/>
        <v>8168000</v>
      </c>
      <c r="NS190" s="14">
        <f t="shared" si="47"/>
        <v>0</v>
      </c>
      <c r="NT190" s="14">
        <f t="shared" si="40"/>
        <v>0</v>
      </c>
      <c r="NU190" s="14">
        <f t="shared" si="41"/>
        <v>0</v>
      </c>
      <c r="NV190" s="14">
        <f t="shared" si="42"/>
        <v>0</v>
      </c>
      <c r="NW190" s="14">
        <f t="shared" si="43"/>
        <v>0</v>
      </c>
      <c r="NX190" s="14">
        <f t="shared" si="44"/>
        <v>0</v>
      </c>
      <c r="NY190" s="14">
        <f t="shared" si="45"/>
        <v>0</v>
      </c>
    </row>
    <row r="191" spans="1:389" x14ac:dyDescent="0.25">
      <c r="A191" s="96" t="s">
        <v>517</v>
      </c>
      <c r="B191" s="34">
        <v>609</v>
      </c>
      <c r="C191" s="99">
        <v>4</v>
      </c>
      <c r="JB191" s="14">
        <v>57009000</v>
      </c>
      <c r="JC191" s="14">
        <v>170000</v>
      </c>
      <c r="JD191" s="14">
        <v>56839000</v>
      </c>
      <c r="JH191" s="14">
        <v>41007</v>
      </c>
      <c r="JL191" s="14">
        <v>57009000</v>
      </c>
      <c r="JM191" s="14">
        <v>128993</v>
      </c>
      <c r="JN191" s="14">
        <v>56839000</v>
      </c>
      <c r="ND191" s="14">
        <f t="shared" si="46"/>
        <v>57009000</v>
      </c>
      <c r="NE191" s="14">
        <f t="shared" si="32"/>
        <v>170000</v>
      </c>
      <c r="NF191" s="14">
        <f t="shared" si="33"/>
        <v>56839000</v>
      </c>
      <c r="NI191" s="14">
        <f t="shared" si="34"/>
        <v>0</v>
      </c>
      <c r="NJ191" s="14">
        <f t="shared" si="35"/>
        <v>41007</v>
      </c>
      <c r="NK191" s="14">
        <f t="shared" si="36"/>
        <v>0</v>
      </c>
      <c r="NN191" s="14">
        <f t="shared" si="37"/>
        <v>57009000</v>
      </c>
      <c r="NO191" s="14">
        <f t="shared" si="38"/>
        <v>128993</v>
      </c>
      <c r="NP191" s="14">
        <f t="shared" si="39"/>
        <v>56839000</v>
      </c>
      <c r="NS191" s="14">
        <f t="shared" si="47"/>
        <v>0</v>
      </c>
      <c r="NT191" s="14">
        <f t="shared" si="40"/>
        <v>0</v>
      </c>
      <c r="NU191" s="14">
        <f t="shared" si="41"/>
        <v>0</v>
      </c>
      <c r="NV191" s="14">
        <f t="shared" si="42"/>
        <v>0</v>
      </c>
      <c r="NW191" s="14">
        <f t="shared" si="43"/>
        <v>0</v>
      </c>
      <c r="NX191" s="14">
        <f t="shared" si="44"/>
        <v>0</v>
      </c>
      <c r="NY191" s="14">
        <f t="shared" si="45"/>
        <v>0</v>
      </c>
    </row>
    <row r="192" spans="1:389" x14ac:dyDescent="0.25">
      <c r="A192" s="96" t="s">
        <v>518</v>
      </c>
      <c r="B192" s="34">
        <v>611</v>
      </c>
      <c r="C192" s="99">
        <v>1</v>
      </c>
      <c r="JB192" s="14">
        <v>49769000</v>
      </c>
      <c r="JC192" s="14">
        <v>25000</v>
      </c>
      <c r="JD192" s="14">
        <v>49744000</v>
      </c>
      <c r="JH192" s="14">
        <v>9235</v>
      </c>
      <c r="JL192" s="14">
        <v>49769000</v>
      </c>
      <c r="JM192" s="14">
        <v>15765</v>
      </c>
      <c r="JN192" s="14">
        <v>49744000</v>
      </c>
      <c r="ND192" s="14">
        <f t="shared" si="46"/>
        <v>49769000</v>
      </c>
      <c r="NE192" s="14">
        <f t="shared" si="32"/>
        <v>25000</v>
      </c>
      <c r="NF192" s="14">
        <f t="shared" si="33"/>
        <v>49744000</v>
      </c>
      <c r="NI192" s="14">
        <f t="shared" si="34"/>
        <v>0</v>
      </c>
      <c r="NJ192" s="14">
        <f t="shared" si="35"/>
        <v>9235</v>
      </c>
      <c r="NK192" s="14">
        <f t="shared" si="36"/>
        <v>0</v>
      </c>
      <c r="NN192" s="14">
        <f t="shared" si="37"/>
        <v>49769000</v>
      </c>
      <c r="NO192" s="14">
        <f t="shared" si="38"/>
        <v>15765</v>
      </c>
      <c r="NP192" s="14">
        <f t="shared" si="39"/>
        <v>49744000</v>
      </c>
      <c r="NS192" s="14">
        <f t="shared" si="47"/>
        <v>0</v>
      </c>
      <c r="NT192" s="14">
        <f t="shared" si="40"/>
        <v>0</v>
      </c>
      <c r="NU192" s="14">
        <f t="shared" si="41"/>
        <v>0</v>
      </c>
      <c r="NV192" s="14">
        <f t="shared" si="42"/>
        <v>0</v>
      </c>
      <c r="NW192" s="14">
        <f t="shared" si="43"/>
        <v>0</v>
      </c>
      <c r="NX192" s="14">
        <f t="shared" si="44"/>
        <v>0</v>
      </c>
      <c r="NY192" s="14">
        <f t="shared" si="45"/>
        <v>0</v>
      </c>
    </row>
    <row r="193" spans="1:389" x14ac:dyDescent="0.25">
      <c r="A193" s="96" t="s">
        <v>532</v>
      </c>
      <c r="B193" s="34">
        <v>638</v>
      </c>
      <c r="C193" s="99">
        <v>1</v>
      </c>
      <c r="JB193" s="14">
        <v>1054063000</v>
      </c>
      <c r="JC193" s="14">
        <v>141000</v>
      </c>
      <c r="JD193" s="14">
        <v>1053922000</v>
      </c>
      <c r="JH193" s="14">
        <v>5725</v>
      </c>
      <c r="JL193" s="14">
        <v>1054063000</v>
      </c>
      <c r="JM193" s="14">
        <v>135275</v>
      </c>
      <c r="JN193" s="14">
        <v>1053922000</v>
      </c>
      <c r="ND193" s="14">
        <f t="shared" si="46"/>
        <v>1054063000</v>
      </c>
      <c r="NE193" s="14">
        <f t="shared" si="32"/>
        <v>141000</v>
      </c>
      <c r="NF193" s="14">
        <f t="shared" si="33"/>
        <v>1053922000</v>
      </c>
      <c r="NI193" s="14">
        <f t="shared" si="34"/>
        <v>0</v>
      </c>
      <c r="NJ193" s="14">
        <f t="shared" si="35"/>
        <v>5725</v>
      </c>
      <c r="NK193" s="14">
        <f t="shared" si="36"/>
        <v>0</v>
      </c>
      <c r="NN193" s="14">
        <f t="shared" si="37"/>
        <v>1054063000</v>
      </c>
      <c r="NO193" s="14">
        <f t="shared" si="38"/>
        <v>135275</v>
      </c>
      <c r="NP193" s="14">
        <f t="shared" si="39"/>
        <v>1053922000</v>
      </c>
      <c r="NS193" s="14">
        <f t="shared" si="47"/>
        <v>0</v>
      </c>
      <c r="NT193" s="14">
        <f t="shared" si="40"/>
        <v>0</v>
      </c>
      <c r="NU193" s="14">
        <f t="shared" si="41"/>
        <v>0</v>
      </c>
      <c r="NV193" s="14">
        <f t="shared" si="42"/>
        <v>0</v>
      </c>
      <c r="NW193" s="14">
        <f t="shared" si="43"/>
        <v>0</v>
      </c>
      <c r="NX193" s="14">
        <f t="shared" si="44"/>
        <v>0</v>
      </c>
      <c r="NY193" s="14">
        <f t="shared" si="45"/>
        <v>0</v>
      </c>
    </row>
    <row r="194" spans="1:389" x14ac:dyDescent="0.25">
      <c r="A194" s="96" t="s">
        <v>519</v>
      </c>
      <c r="B194" s="34">
        <v>614</v>
      </c>
      <c r="C194" s="99">
        <v>19</v>
      </c>
      <c r="JB194" s="14">
        <v>20730000</v>
      </c>
      <c r="JC194" s="14">
        <v>0</v>
      </c>
      <c r="JD194" s="14">
        <v>20730000</v>
      </c>
      <c r="JH194" s="14">
        <v>77177</v>
      </c>
      <c r="JL194" s="14">
        <v>20730000</v>
      </c>
      <c r="JM194" s="14">
        <v>-77177</v>
      </c>
      <c r="JN194" s="14">
        <v>20730000</v>
      </c>
      <c r="ND194" s="14">
        <f t="shared" si="46"/>
        <v>20730000</v>
      </c>
      <c r="NE194" s="14">
        <f t="shared" si="32"/>
        <v>0</v>
      </c>
      <c r="NF194" s="14">
        <f t="shared" si="33"/>
        <v>20730000</v>
      </c>
      <c r="NI194" s="14">
        <f t="shared" si="34"/>
        <v>0</v>
      </c>
      <c r="NJ194" s="14">
        <f t="shared" si="35"/>
        <v>77177</v>
      </c>
      <c r="NK194" s="14">
        <f t="shared" si="36"/>
        <v>0</v>
      </c>
      <c r="NN194" s="14">
        <f t="shared" si="37"/>
        <v>20730000</v>
      </c>
      <c r="NO194" s="14">
        <f t="shared" si="38"/>
        <v>-77177</v>
      </c>
      <c r="NP194" s="14">
        <f t="shared" si="39"/>
        <v>20730000</v>
      </c>
      <c r="NS194" s="14">
        <f t="shared" si="47"/>
        <v>0</v>
      </c>
      <c r="NT194" s="14">
        <f t="shared" si="40"/>
        <v>0</v>
      </c>
      <c r="NU194" s="14">
        <f t="shared" si="41"/>
        <v>0</v>
      </c>
      <c r="NV194" s="14">
        <f t="shared" si="42"/>
        <v>0</v>
      </c>
      <c r="NW194" s="14">
        <f t="shared" si="43"/>
        <v>0</v>
      </c>
      <c r="NX194" s="14">
        <f t="shared" si="44"/>
        <v>0</v>
      </c>
      <c r="NY194" s="14">
        <f t="shared" si="45"/>
        <v>0</v>
      </c>
    </row>
    <row r="195" spans="1:389" x14ac:dyDescent="0.25">
      <c r="A195" s="96" t="s">
        <v>520</v>
      </c>
      <c r="B195" s="34">
        <v>615</v>
      </c>
      <c r="C195" s="99">
        <v>17</v>
      </c>
      <c r="JB195" s="14">
        <v>55395000</v>
      </c>
      <c r="JC195" s="14">
        <v>9000</v>
      </c>
      <c r="JD195" s="14">
        <v>55386000</v>
      </c>
      <c r="JH195" s="14">
        <v>6114</v>
      </c>
      <c r="JL195" s="14">
        <v>55395000</v>
      </c>
      <c r="JM195" s="14">
        <v>2886</v>
      </c>
      <c r="JN195" s="14">
        <v>55386000</v>
      </c>
      <c r="ND195" s="14">
        <f t="shared" si="46"/>
        <v>55395000</v>
      </c>
      <c r="NE195" s="14">
        <f t="shared" si="32"/>
        <v>9000</v>
      </c>
      <c r="NF195" s="14">
        <f t="shared" si="33"/>
        <v>55386000</v>
      </c>
      <c r="NI195" s="14">
        <f t="shared" si="34"/>
        <v>0</v>
      </c>
      <c r="NJ195" s="14">
        <f t="shared" si="35"/>
        <v>6114</v>
      </c>
      <c r="NK195" s="14">
        <f t="shared" si="36"/>
        <v>0</v>
      </c>
      <c r="NN195" s="14">
        <f t="shared" si="37"/>
        <v>55395000</v>
      </c>
      <c r="NO195" s="14">
        <f t="shared" si="38"/>
        <v>2886</v>
      </c>
      <c r="NP195" s="14">
        <f t="shared" si="39"/>
        <v>55386000</v>
      </c>
      <c r="NS195" s="14">
        <f t="shared" si="47"/>
        <v>0</v>
      </c>
      <c r="NT195" s="14">
        <f t="shared" si="40"/>
        <v>0</v>
      </c>
      <c r="NU195" s="14">
        <f t="shared" si="41"/>
        <v>0</v>
      </c>
      <c r="NV195" s="14">
        <f t="shared" si="42"/>
        <v>0</v>
      </c>
      <c r="NW195" s="14">
        <f t="shared" si="43"/>
        <v>0</v>
      </c>
      <c r="NX195" s="14">
        <f t="shared" si="44"/>
        <v>0</v>
      </c>
      <c r="NY195" s="14">
        <f t="shared" si="45"/>
        <v>0</v>
      </c>
    </row>
    <row r="196" spans="1:389" x14ac:dyDescent="0.25">
      <c r="A196" s="96" t="s">
        <v>521</v>
      </c>
      <c r="B196" s="34">
        <v>616</v>
      </c>
      <c r="C196" s="99">
        <v>1</v>
      </c>
      <c r="JB196" s="14">
        <v>24821000</v>
      </c>
      <c r="JC196" s="14">
        <v>70000</v>
      </c>
      <c r="JD196" s="14">
        <v>24751000</v>
      </c>
      <c r="JH196" s="14">
        <v>17100</v>
      </c>
      <c r="JL196" s="14">
        <v>24821000</v>
      </c>
      <c r="JM196" s="14">
        <v>52900</v>
      </c>
      <c r="JN196" s="14">
        <v>24751000</v>
      </c>
      <c r="ND196" s="14">
        <f t="shared" si="46"/>
        <v>24821000</v>
      </c>
      <c r="NE196" s="14">
        <f t="shared" si="32"/>
        <v>70000</v>
      </c>
      <c r="NF196" s="14">
        <f t="shared" si="33"/>
        <v>24751000</v>
      </c>
      <c r="NI196" s="14">
        <f t="shared" si="34"/>
        <v>0</v>
      </c>
      <c r="NJ196" s="14">
        <f t="shared" si="35"/>
        <v>17100</v>
      </c>
      <c r="NK196" s="14">
        <f t="shared" si="36"/>
        <v>0</v>
      </c>
      <c r="NN196" s="14">
        <f t="shared" si="37"/>
        <v>24821000</v>
      </c>
      <c r="NO196" s="14">
        <f t="shared" si="38"/>
        <v>52900</v>
      </c>
      <c r="NP196" s="14">
        <f t="shared" si="39"/>
        <v>24751000</v>
      </c>
      <c r="NS196" s="14">
        <f t="shared" si="47"/>
        <v>0</v>
      </c>
      <c r="NT196" s="14">
        <f t="shared" si="40"/>
        <v>0</v>
      </c>
      <c r="NU196" s="14">
        <f t="shared" si="41"/>
        <v>0</v>
      </c>
      <c r="NV196" s="14">
        <f t="shared" si="42"/>
        <v>0</v>
      </c>
      <c r="NW196" s="14">
        <f t="shared" si="43"/>
        <v>0</v>
      </c>
      <c r="NX196" s="14">
        <f t="shared" si="44"/>
        <v>0</v>
      </c>
      <c r="NY196" s="14">
        <f t="shared" si="45"/>
        <v>0</v>
      </c>
    </row>
    <row r="197" spans="1:389" x14ac:dyDescent="0.25">
      <c r="A197" s="96" t="s">
        <v>522</v>
      </c>
      <c r="B197" s="34">
        <v>619</v>
      </c>
      <c r="C197" s="99">
        <v>6</v>
      </c>
      <c r="JB197" s="14">
        <v>33508000</v>
      </c>
      <c r="JC197" s="14">
        <v>0</v>
      </c>
      <c r="JD197" s="14">
        <v>33508000</v>
      </c>
      <c r="JH197" s="14">
        <v>6600</v>
      </c>
      <c r="JL197" s="14">
        <v>33508000</v>
      </c>
      <c r="JM197" s="14">
        <v>-6600</v>
      </c>
      <c r="JN197" s="14">
        <v>33508000</v>
      </c>
      <c r="ND197" s="14">
        <f t="shared" si="46"/>
        <v>33508000</v>
      </c>
      <c r="NE197" s="14">
        <f t="shared" si="32"/>
        <v>0</v>
      </c>
      <c r="NF197" s="14">
        <f t="shared" si="33"/>
        <v>33508000</v>
      </c>
      <c r="NI197" s="14">
        <f t="shared" si="34"/>
        <v>0</v>
      </c>
      <c r="NJ197" s="14">
        <f t="shared" si="35"/>
        <v>6600</v>
      </c>
      <c r="NK197" s="14">
        <f t="shared" si="36"/>
        <v>0</v>
      </c>
      <c r="NN197" s="14">
        <f t="shared" si="37"/>
        <v>33508000</v>
      </c>
      <c r="NO197" s="14">
        <f t="shared" si="38"/>
        <v>-6600</v>
      </c>
      <c r="NP197" s="14">
        <f t="shared" si="39"/>
        <v>33508000</v>
      </c>
      <c r="NS197" s="14">
        <f t="shared" si="47"/>
        <v>0</v>
      </c>
      <c r="NT197" s="14">
        <f t="shared" si="40"/>
        <v>0</v>
      </c>
      <c r="NU197" s="14">
        <f t="shared" si="41"/>
        <v>0</v>
      </c>
      <c r="NV197" s="14">
        <f t="shared" si="42"/>
        <v>0</v>
      </c>
      <c r="NW197" s="14">
        <f t="shared" si="43"/>
        <v>0</v>
      </c>
      <c r="NX197" s="14">
        <f t="shared" si="44"/>
        <v>0</v>
      </c>
      <c r="NY197" s="14">
        <f t="shared" si="45"/>
        <v>0</v>
      </c>
    </row>
    <row r="198" spans="1:389" x14ac:dyDescent="0.25">
      <c r="A198" s="96" t="s">
        <v>523</v>
      </c>
      <c r="B198" s="34">
        <v>620</v>
      </c>
      <c r="C198" s="7">
        <v>18</v>
      </c>
      <c r="JB198" s="14">
        <v>40667000</v>
      </c>
      <c r="JC198" s="14">
        <v>0</v>
      </c>
      <c r="JD198" s="14">
        <v>40667000</v>
      </c>
      <c r="JH198" s="14">
        <v>11208</v>
      </c>
      <c r="JL198" s="14">
        <v>40667000</v>
      </c>
      <c r="JM198" s="14">
        <v>-11208</v>
      </c>
      <c r="JN198" s="14">
        <v>40667000</v>
      </c>
      <c r="ND198" s="14">
        <f t="shared" si="46"/>
        <v>40667000</v>
      </c>
      <c r="NE198" s="14">
        <f t="shared" si="32"/>
        <v>0</v>
      </c>
      <c r="NF198" s="14">
        <f t="shared" si="33"/>
        <v>40667000</v>
      </c>
      <c r="NI198" s="14">
        <f t="shared" si="34"/>
        <v>0</v>
      </c>
      <c r="NJ198" s="14">
        <f t="shared" si="35"/>
        <v>11208</v>
      </c>
      <c r="NK198" s="14">
        <f t="shared" si="36"/>
        <v>0</v>
      </c>
      <c r="NN198" s="14">
        <f t="shared" si="37"/>
        <v>40667000</v>
      </c>
      <c r="NO198" s="14">
        <f t="shared" si="38"/>
        <v>-11208</v>
      </c>
      <c r="NP198" s="14">
        <f t="shared" si="39"/>
        <v>40667000</v>
      </c>
      <c r="NS198" s="14">
        <f t="shared" si="47"/>
        <v>0</v>
      </c>
      <c r="NT198" s="14">
        <f t="shared" si="40"/>
        <v>0</v>
      </c>
      <c r="NU198" s="14">
        <f t="shared" si="41"/>
        <v>0</v>
      </c>
      <c r="NV198" s="14">
        <f t="shared" si="42"/>
        <v>0</v>
      </c>
      <c r="NW198" s="14">
        <f t="shared" si="43"/>
        <v>0</v>
      </c>
      <c r="NX198" s="14">
        <f t="shared" si="44"/>
        <v>0</v>
      </c>
      <c r="NY198" s="14">
        <f t="shared" si="45"/>
        <v>0</v>
      </c>
    </row>
    <row r="199" spans="1:389" x14ac:dyDescent="0.25">
      <c r="A199" s="96" t="s">
        <v>524</v>
      </c>
      <c r="B199" s="34">
        <v>623</v>
      </c>
      <c r="C199" s="99">
        <v>10</v>
      </c>
      <c r="JB199" s="14">
        <v>9016000</v>
      </c>
      <c r="JC199" s="14">
        <v>0</v>
      </c>
      <c r="JD199" s="14">
        <v>9016000</v>
      </c>
      <c r="JH199" s="14">
        <v>11541</v>
      </c>
      <c r="JL199" s="14">
        <v>9016000</v>
      </c>
      <c r="JM199" s="14">
        <v>-11541</v>
      </c>
      <c r="JN199" s="14">
        <v>9016000</v>
      </c>
      <c r="ND199" s="14">
        <f t="shared" si="46"/>
        <v>9016000</v>
      </c>
      <c r="NE199" s="14">
        <f t="shared" si="32"/>
        <v>0</v>
      </c>
      <c r="NF199" s="14">
        <f t="shared" si="33"/>
        <v>9016000</v>
      </c>
      <c r="NI199" s="14">
        <f t="shared" si="34"/>
        <v>0</v>
      </c>
      <c r="NJ199" s="14">
        <f t="shared" si="35"/>
        <v>11541</v>
      </c>
      <c r="NK199" s="14">
        <f t="shared" si="36"/>
        <v>0</v>
      </c>
      <c r="NN199" s="14">
        <f t="shared" si="37"/>
        <v>9016000</v>
      </c>
      <c r="NO199" s="14">
        <f t="shared" si="38"/>
        <v>-11541</v>
      </c>
      <c r="NP199" s="14">
        <f t="shared" si="39"/>
        <v>9016000</v>
      </c>
      <c r="NS199" s="14">
        <f t="shared" si="47"/>
        <v>0</v>
      </c>
      <c r="NT199" s="14">
        <f t="shared" si="40"/>
        <v>0</v>
      </c>
      <c r="NU199" s="14">
        <f t="shared" si="41"/>
        <v>0</v>
      </c>
      <c r="NV199" s="14">
        <f t="shared" si="42"/>
        <v>0</v>
      </c>
      <c r="NW199" s="14">
        <f t="shared" si="43"/>
        <v>0</v>
      </c>
      <c r="NX199" s="14">
        <f t="shared" si="44"/>
        <v>0</v>
      </c>
      <c r="NY199" s="14">
        <f t="shared" si="45"/>
        <v>0</v>
      </c>
    </row>
    <row r="200" spans="1:389" x14ac:dyDescent="0.25">
      <c r="A200" s="96" t="s">
        <v>525</v>
      </c>
      <c r="B200" s="34">
        <v>624</v>
      </c>
      <c r="C200" s="99">
        <v>8</v>
      </c>
      <c r="JB200" s="14">
        <v>18805000</v>
      </c>
      <c r="JC200" s="14">
        <v>60000</v>
      </c>
      <c r="JD200" s="14">
        <v>18745000</v>
      </c>
      <c r="JH200" s="14">
        <v>9726</v>
      </c>
      <c r="JL200" s="14">
        <v>18805000</v>
      </c>
      <c r="JM200" s="14">
        <v>50274</v>
      </c>
      <c r="JN200" s="14">
        <v>18745000</v>
      </c>
      <c r="ND200" s="14">
        <f t="shared" si="46"/>
        <v>18805000</v>
      </c>
      <c r="NE200" s="14">
        <f t="shared" si="32"/>
        <v>60000</v>
      </c>
      <c r="NF200" s="14">
        <f t="shared" si="33"/>
        <v>18745000</v>
      </c>
      <c r="NI200" s="14">
        <f t="shared" si="34"/>
        <v>0</v>
      </c>
      <c r="NJ200" s="14">
        <f t="shared" si="35"/>
        <v>9726</v>
      </c>
      <c r="NK200" s="14">
        <f t="shared" si="36"/>
        <v>0</v>
      </c>
      <c r="NN200" s="14">
        <f t="shared" si="37"/>
        <v>18805000</v>
      </c>
      <c r="NO200" s="14">
        <f t="shared" si="38"/>
        <v>50274</v>
      </c>
      <c r="NP200" s="14">
        <f t="shared" si="39"/>
        <v>18745000</v>
      </c>
      <c r="NS200" s="14">
        <f t="shared" si="47"/>
        <v>0</v>
      </c>
      <c r="NT200" s="14">
        <f t="shared" si="40"/>
        <v>0</v>
      </c>
      <c r="NU200" s="14">
        <f t="shared" si="41"/>
        <v>0</v>
      </c>
      <c r="NV200" s="14">
        <f t="shared" si="42"/>
        <v>0</v>
      </c>
      <c r="NW200" s="14">
        <f t="shared" si="43"/>
        <v>0</v>
      </c>
      <c r="NX200" s="14">
        <f t="shared" si="44"/>
        <v>0</v>
      </c>
      <c r="NY200" s="14">
        <f t="shared" si="45"/>
        <v>0</v>
      </c>
    </row>
    <row r="201" spans="1:389" x14ac:dyDescent="0.25">
      <c r="A201" s="96" t="s">
        <v>526</v>
      </c>
      <c r="B201" s="34">
        <v>625</v>
      </c>
      <c r="C201" s="99">
        <v>17</v>
      </c>
      <c r="JB201" s="14">
        <v>12278000</v>
      </c>
      <c r="JC201" s="14">
        <v>0</v>
      </c>
      <c r="JD201" s="14">
        <v>12278000</v>
      </c>
      <c r="JH201" s="14">
        <v>257013</v>
      </c>
      <c r="JL201" s="14">
        <v>12278000</v>
      </c>
      <c r="JM201" s="14">
        <v>-257013</v>
      </c>
      <c r="JN201" s="14">
        <v>12278000</v>
      </c>
      <c r="ND201" s="14">
        <f t="shared" si="46"/>
        <v>12278000</v>
      </c>
      <c r="NE201" s="14">
        <f t="shared" si="32"/>
        <v>0</v>
      </c>
      <c r="NF201" s="14">
        <f t="shared" si="33"/>
        <v>12278000</v>
      </c>
      <c r="NI201" s="14">
        <f t="shared" si="34"/>
        <v>0</v>
      </c>
      <c r="NJ201" s="14">
        <f t="shared" si="35"/>
        <v>257013</v>
      </c>
      <c r="NK201" s="14">
        <f t="shared" si="36"/>
        <v>0</v>
      </c>
      <c r="NN201" s="14">
        <f t="shared" si="37"/>
        <v>12278000</v>
      </c>
      <c r="NO201" s="14">
        <f t="shared" si="38"/>
        <v>-257013</v>
      </c>
      <c r="NP201" s="14">
        <f t="shared" si="39"/>
        <v>12278000</v>
      </c>
      <c r="NS201" s="14">
        <f t="shared" si="47"/>
        <v>0</v>
      </c>
      <c r="NT201" s="14">
        <f t="shared" si="40"/>
        <v>0</v>
      </c>
      <c r="NU201" s="14">
        <f t="shared" si="41"/>
        <v>0</v>
      </c>
      <c r="NV201" s="14">
        <f t="shared" si="42"/>
        <v>0</v>
      </c>
      <c r="NW201" s="14">
        <f t="shared" si="43"/>
        <v>0</v>
      </c>
      <c r="NX201" s="14">
        <f t="shared" si="44"/>
        <v>0</v>
      </c>
      <c r="NY201" s="14">
        <f t="shared" si="45"/>
        <v>0</v>
      </c>
    </row>
    <row r="202" spans="1:389" x14ac:dyDescent="0.25">
      <c r="A202" s="96" t="s">
        <v>527</v>
      </c>
      <c r="B202" s="34">
        <v>626</v>
      </c>
      <c r="C202" s="99">
        <v>17</v>
      </c>
      <c r="JB202" s="14">
        <v>23539000</v>
      </c>
      <c r="JC202" s="14">
        <v>115000</v>
      </c>
      <c r="JD202" s="14">
        <v>23424000</v>
      </c>
      <c r="JH202" s="14">
        <v>38615</v>
      </c>
      <c r="JL202" s="14">
        <v>23539000</v>
      </c>
      <c r="JM202" s="14">
        <v>76385</v>
      </c>
      <c r="JN202" s="14">
        <v>23424000</v>
      </c>
      <c r="ND202" s="14">
        <f t="shared" si="46"/>
        <v>23539000</v>
      </c>
      <c r="NE202" s="14">
        <f t="shared" si="32"/>
        <v>115000</v>
      </c>
      <c r="NF202" s="14">
        <f t="shared" si="33"/>
        <v>23424000</v>
      </c>
      <c r="NI202" s="14">
        <f t="shared" si="34"/>
        <v>0</v>
      </c>
      <c r="NJ202" s="14">
        <f t="shared" si="35"/>
        <v>38615</v>
      </c>
      <c r="NK202" s="14">
        <f t="shared" si="36"/>
        <v>0</v>
      </c>
      <c r="NN202" s="14">
        <f t="shared" si="37"/>
        <v>23539000</v>
      </c>
      <c r="NO202" s="14">
        <f t="shared" si="38"/>
        <v>76385</v>
      </c>
      <c r="NP202" s="14">
        <f t="shared" si="39"/>
        <v>23424000</v>
      </c>
      <c r="NS202" s="14">
        <f t="shared" si="47"/>
        <v>0</v>
      </c>
      <c r="NT202" s="14">
        <f t="shared" si="40"/>
        <v>0</v>
      </c>
      <c r="NU202" s="14">
        <f t="shared" si="41"/>
        <v>0</v>
      </c>
      <c r="NV202" s="14">
        <f t="shared" si="42"/>
        <v>0</v>
      </c>
      <c r="NW202" s="14">
        <f t="shared" si="43"/>
        <v>0</v>
      </c>
      <c r="NX202" s="14">
        <f t="shared" si="44"/>
        <v>0</v>
      </c>
      <c r="NY202" s="14">
        <f t="shared" si="45"/>
        <v>0</v>
      </c>
    </row>
    <row r="203" spans="1:389" x14ac:dyDescent="0.25">
      <c r="A203" s="96" t="s">
        <v>528</v>
      </c>
      <c r="B203" s="34">
        <v>630</v>
      </c>
      <c r="C203" s="99">
        <v>17</v>
      </c>
      <c r="JB203" s="14">
        <v>113961000</v>
      </c>
      <c r="JC203" s="14">
        <v>0</v>
      </c>
      <c r="JD203" s="14">
        <v>113961000</v>
      </c>
      <c r="JH203" s="14">
        <v>23183</v>
      </c>
      <c r="JL203" s="14">
        <v>113961000</v>
      </c>
      <c r="JM203" s="14">
        <v>-23183</v>
      </c>
      <c r="JN203" s="14">
        <v>113961000</v>
      </c>
      <c r="ND203" s="14">
        <f t="shared" si="46"/>
        <v>113961000</v>
      </c>
      <c r="NE203" s="14">
        <f t="shared" si="32"/>
        <v>0</v>
      </c>
      <c r="NF203" s="14">
        <f t="shared" si="33"/>
        <v>113961000</v>
      </c>
      <c r="NI203" s="14">
        <f t="shared" si="34"/>
        <v>0</v>
      </c>
      <c r="NJ203" s="14">
        <f t="shared" si="35"/>
        <v>23183</v>
      </c>
      <c r="NK203" s="14">
        <f t="shared" si="36"/>
        <v>0</v>
      </c>
      <c r="NN203" s="14">
        <f t="shared" si="37"/>
        <v>113961000</v>
      </c>
      <c r="NO203" s="14">
        <f t="shared" si="38"/>
        <v>-23183</v>
      </c>
      <c r="NP203" s="14">
        <f t="shared" si="39"/>
        <v>113961000</v>
      </c>
      <c r="NS203" s="14">
        <f t="shared" si="47"/>
        <v>0</v>
      </c>
      <c r="NT203" s="14">
        <f t="shared" si="40"/>
        <v>0</v>
      </c>
      <c r="NU203" s="14">
        <f t="shared" si="41"/>
        <v>0</v>
      </c>
      <c r="NV203" s="14">
        <f t="shared" si="42"/>
        <v>0</v>
      </c>
      <c r="NW203" s="14">
        <f t="shared" si="43"/>
        <v>0</v>
      </c>
      <c r="NX203" s="14">
        <f t="shared" si="44"/>
        <v>0</v>
      </c>
      <c r="NY203" s="14">
        <f t="shared" si="45"/>
        <v>0</v>
      </c>
    </row>
    <row r="204" spans="1:389" x14ac:dyDescent="0.25">
      <c r="A204" s="96" t="s">
        <v>529</v>
      </c>
      <c r="B204" s="34">
        <v>631</v>
      </c>
      <c r="C204" s="99">
        <v>2</v>
      </c>
      <c r="JB204" s="14">
        <v>33613000</v>
      </c>
      <c r="JC204" s="14">
        <v>0</v>
      </c>
      <c r="JD204" s="14">
        <v>33613000</v>
      </c>
      <c r="JH204" s="14">
        <v>68889</v>
      </c>
      <c r="JL204" s="14">
        <v>33613000</v>
      </c>
      <c r="JM204" s="14">
        <v>-68889</v>
      </c>
      <c r="JN204" s="14">
        <v>33613000</v>
      </c>
      <c r="ND204" s="14">
        <f t="shared" si="46"/>
        <v>33613000</v>
      </c>
      <c r="NE204" s="14">
        <f t="shared" si="32"/>
        <v>0</v>
      </c>
      <c r="NF204" s="14">
        <f t="shared" si="33"/>
        <v>33613000</v>
      </c>
      <c r="NI204" s="14">
        <f t="shared" si="34"/>
        <v>0</v>
      </c>
      <c r="NJ204" s="14">
        <f t="shared" si="35"/>
        <v>68889</v>
      </c>
      <c r="NK204" s="14">
        <f t="shared" si="36"/>
        <v>0</v>
      </c>
      <c r="NN204" s="14">
        <f t="shared" si="37"/>
        <v>33613000</v>
      </c>
      <c r="NO204" s="14">
        <f t="shared" si="38"/>
        <v>-68889</v>
      </c>
      <c r="NP204" s="14">
        <f t="shared" si="39"/>
        <v>33613000</v>
      </c>
      <c r="NS204" s="14">
        <f t="shared" si="47"/>
        <v>0</v>
      </c>
      <c r="NT204" s="14">
        <f t="shared" si="40"/>
        <v>0</v>
      </c>
      <c r="NU204" s="14">
        <f t="shared" si="41"/>
        <v>0</v>
      </c>
      <c r="NV204" s="14">
        <f t="shared" si="42"/>
        <v>0</v>
      </c>
      <c r="NW204" s="14">
        <f t="shared" si="43"/>
        <v>0</v>
      </c>
      <c r="NX204" s="14">
        <f t="shared" si="44"/>
        <v>0</v>
      </c>
      <c r="NY204" s="14">
        <f t="shared" si="45"/>
        <v>0</v>
      </c>
    </row>
    <row r="205" spans="1:389" x14ac:dyDescent="0.25">
      <c r="A205" s="96" t="s">
        <v>530</v>
      </c>
      <c r="B205" s="34">
        <v>635</v>
      </c>
      <c r="C205" s="99">
        <v>6</v>
      </c>
      <c r="JB205" s="14">
        <v>118265000</v>
      </c>
      <c r="JC205" s="14">
        <v>610000</v>
      </c>
      <c r="JD205" s="14">
        <v>117655000</v>
      </c>
      <c r="JH205" s="14">
        <v>360672</v>
      </c>
      <c r="JL205" s="14">
        <v>118265000</v>
      </c>
      <c r="JM205" s="14">
        <v>249328</v>
      </c>
      <c r="JN205" s="14">
        <v>117655000</v>
      </c>
      <c r="ND205" s="14">
        <f t="shared" si="46"/>
        <v>118265000</v>
      </c>
      <c r="NE205" s="14">
        <f t="shared" si="32"/>
        <v>610000</v>
      </c>
      <c r="NF205" s="14">
        <f t="shared" si="33"/>
        <v>117655000</v>
      </c>
      <c r="NI205" s="14">
        <f t="shared" si="34"/>
        <v>0</v>
      </c>
      <c r="NJ205" s="14">
        <f t="shared" si="35"/>
        <v>360672</v>
      </c>
      <c r="NK205" s="14">
        <f t="shared" si="36"/>
        <v>0</v>
      </c>
      <c r="NN205" s="14">
        <f t="shared" si="37"/>
        <v>118265000</v>
      </c>
      <c r="NO205" s="14">
        <f t="shared" si="38"/>
        <v>249328</v>
      </c>
      <c r="NP205" s="14">
        <f t="shared" si="39"/>
        <v>117655000</v>
      </c>
      <c r="NS205" s="14">
        <f t="shared" si="47"/>
        <v>0</v>
      </c>
      <c r="NT205" s="14">
        <f t="shared" si="40"/>
        <v>0</v>
      </c>
      <c r="NU205" s="14">
        <f t="shared" si="41"/>
        <v>0</v>
      </c>
      <c r="NV205" s="14">
        <f t="shared" si="42"/>
        <v>0</v>
      </c>
      <c r="NW205" s="14">
        <f t="shared" si="43"/>
        <v>0</v>
      </c>
      <c r="NX205" s="14">
        <f t="shared" si="44"/>
        <v>0</v>
      </c>
      <c r="NY205" s="14">
        <f t="shared" si="45"/>
        <v>0</v>
      </c>
    </row>
    <row r="206" spans="1:389" x14ac:dyDescent="0.25">
      <c r="A206" s="96" t="s">
        <v>531</v>
      </c>
      <c r="B206" s="34">
        <v>636</v>
      </c>
      <c r="C206" s="99">
        <v>2</v>
      </c>
      <c r="JB206" s="14">
        <v>60601000</v>
      </c>
      <c r="JC206" s="14">
        <v>108000</v>
      </c>
      <c r="JD206" s="14">
        <v>60493000</v>
      </c>
      <c r="JH206" s="14">
        <v>23682</v>
      </c>
      <c r="JL206" s="14">
        <v>60601000</v>
      </c>
      <c r="JM206" s="14">
        <v>84318</v>
      </c>
      <c r="JN206" s="14">
        <v>60493000</v>
      </c>
      <c r="ND206" s="14">
        <f t="shared" si="46"/>
        <v>60601000</v>
      </c>
      <c r="NE206" s="14">
        <f t="shared" si="32"/>
        <v>108000</v>
      </c>
      <c r="NF206" s="14">
        <f t="shared" si="33"/>
        <v>60493000</v>
      </c>
      <c r="NI206" s="14">
        <f t="shared" si="34"/>
        <v>0</v>
      </c>
      <c r="NJ206" s="14">
        <f t="shared" si="35"/>
        <v>23682</v>
      </c>
      <c r="NK206" s="14">
        <f t="shared" si="36"/>
        <v>0</v>
      </c>
      <c r="NN206" s="14">
        <f t="shared" si="37"/>
        <v>60601000</v>
      </c>
      <c r="NO206" s="14">
        <f t="shared" si="38"/>
        <v>84318</v>
      </c>
      <c r="NP206" s="14">
        <f t="shared" si="39"/>
        <v>60493000</v>
      </c>
      <c r="NS206" s="14">
        <f t="shared" si="47"/>
        <v>0</v>
      </c>
      <c r="NT206" s="14">
        <f t="shared" si="40"/>
        <v>0</v>
      </c>
      <c r="NU206" s="14">
        <f t="shared" si="41"/>
        <v>0</v>
      </c>
      <c r="NV206" s="14">
        <f t="shared" si="42"/>
        <v>0</v>
      </c>
      <c r="NW206" s="14">
        <f t="shared" si="43"/>
        <v>0</v>
      </c>
      <c r="NX206" s="14">
        <f t="shared" si="44"/>
        <v>0</v>
      </c>
      <c r="NY206" s="14">
        <f t="shared" si="45"/>
        <v>0</v>
      </c>
    </row>
    <row r="207" spans="1:389" x14ac:dyDescent="0.25">
      <c r="A207" s="96" t="s">
        <v>533</v>
      </c>
      <c r="B207" s="34">
        <v>678</v>
      </c>
      <c r="C207" s="99">
        <v>17</v>
      </c>
      <c r="JB207" s="14">
        <v>29275000</v>
      </c>
      <c r="JC207" s="14">
        <v>250000</v>
      </c>
      <c r="JD207" s="14">
        <v>29025000</v>
      </c>
      <c r="JH207" s="14">
        <v>19562</v>
      </c>
      <c r="JL207" s="14">
        <v>29275000</v>
      </c>
      <c r="JM207" s="14">
        <v>230438</v>
      </c>
      <c r="JN207" s="14">
        <v>29025000</v>
      </c>
      <c r="ND207" s="14">
        <f t="shared" si="46"/>
        <v>29275000</v>
      </c>
      <c r="NE207" s="14">
        <f t="shared" si="32"/>
        <v>250000</v>
      </c>
      <c r="NF207" s="14">
        <f t="shared" si="33"/>
        <v>29025000</v>
      </c>
      <c r="NI207" s="14">
        <f t="shared" si="34"/>
        <v>0</v>
      </c>
      <c r="NJ207" s="14">
        <f t="shared" si="35"/>
        <v>19562</v>
      </c>
      <c r="NK207" s="14">
        <f t="shared" si="36"/>
        <v>0</v>
      </c>
      <c r="NN207" s="14">
        <f t="shared" si="37"/>
        <v>29275000</v>
      </c>
      <c r="NO207" s="14">
        <f t="shared" si="38"/>
        <v>230438</v>
      </c>
      <c r="NP207" s="14">
        <f t="shared" si="39"/>
        <v>29025000</v>
      </c>
      <c r="NS207" s="14">
        <f t="shared" si="47"/>
        <v>0</v>
      </c>
      <c r="NT207" s="14">
        <f t="shared" si="40"/>
        <v>0</v>
      </c>
      <c r="NU207" s="14">
        <f t="shared" si="41"/>
        <v>0</v>
      </c>
      <c r="NV207" s="14">
        <f t="shared" si="42"/>
        <v>0</v>
      </c>
      <c r="NW207" s="14">
        <f t="shared" si="43"/>
        <v>0</v>
      </c>
      <c r="NX207" s="14">
        <f t="shared" si="44"/>
        <v>0</v>
      </c>
      <c r="NY207" s="14">
        <f t="shared" si="45"/>
        <v>0</v>
      </c>
    </row>
    <row r="208" spans="1:389" x14ac:dyDescent="0.25">
      <c r="A208" s="96" t="s">
        <v>549</v>
      </c>
      <c r="B208" s="34">
        <v>710</v>
      </c>
      <c r="C208" s="99">
        <v>1</v>
      </c>
      <c r="JB208" s="14">
        <v>94269000</v>
      </c>
      <c r="JC208" s="14">
        <v>1391000</v>
      </c>
      <c r="JD208" s="14">
        <v>92878000</v>
      </c>
      <c r="JH208" s="14">
        <v>0</v>
      </c>
      <c r="JL208" s="14">
        <v>94269000</v>
      </c>
      <c r="JM208" s="14">
        <v>1391000</v>
      </c>
      <c r="JN208" s="14">
        <v>92878000</v>
      </c>
      <c r="ND208" s="14">
        <f t="shared" si="46"/>
        <v>94269000</v>
      </c>
      <c r="NE208" s="14">
        <f t="shared" si="32"/>
        <v>1391000</v>
      </c>
      <c r="NF208" s="14">
        <f t="shared" si="33"/>
        <v>92878000</v>
      </c>
      <c r="NI208" s="14">
        <f t="shared" si="34"/>
        <v>0</v>
      </c>
      <c r="NJ208" s="14">
        <f t="shared" si="35"/>
        <v>0</v>
      </c>
      <c r="NK208" s="14">
        <f t="shared" si="36"/>
        <v>0</v>
      </c>
      <c r="NN208" s="14">
        <f t="shared" si="37"/>
        <v>94269000</v>
      </c>
      <c r="NO208" s="14">
        <f t="shared" si="38"/>
        <v>1391000</v>
      </c>
      <c r="NP208" s="14">
        <f t="shared" si="39"/>
        <v>92878000</v>
      </c>
      <c r="NS208" s="14">
        <f t="shared" si="47"/>
        <v>0</v>
      </c>
      <c r="NT208" s="14">
        <f t="shared" si="40"/>
        <v>0</v>
      </c>
      <c r="NU208" s="14">
        <f t="shared" si="41"/>
        <v>0</v>
      </c>
      <c r="NV208" s="14">
        <f t="shared" si="42"/>
        <v>0</v>
      </c>
      <c r="NW208" s="14">
        <f t="shared" si="43"/>
        <v>0</v>
      </c>
      <c r="NX208" s="14">
        <f t="shared" si="44"/>
        <v>0</v>
      </c>
      <c r="NY208" s="14">
        <f t="shared" si="45"/>
        <v>0</v>
      </c>
    </row>
    <row r="209" spans="1:389" x14ac:dyDescent="0.25">
      <c r="A209" s="96" t="s">
        <v>534</v>
      </c>
      <c r="B209" s="34">
        <v>680</v>
      </c>
      <c r="C209" s="99">
        <v>2</v>
      </c>
      <c r="JB209" s="14">
        <v>27090000</v>
      </c>
      <c r="JC209" s="14">
        <v>0</v>
      </c>
      <c r="JD209" s="14">
        <v>27090000</v>
      </c>
      <c r="JH209" s="14">
        <v>12472</v>
      </c>
      <c r="JL209" s="14">
        <v>27090000</v>
      </c>
      <c r="JM209" s="14">
        <v>-12472</v>
      </c>
      <c r="JN209" s="14">
        <v>27090000</v>
      </c>
      <c r="ND209" s="14">
        <f t="shared" si="46"/>
        <v>27090000</v>
      </c>
      <c r="NE209" s="14">
        <f t="shared" si="32"/>
        <v>0</v>
      </c>
      <c r="NF209" s="14">
        <f t="shared" si="33"/>
        <v>27090000</v>
      </c>
      <c r="NI209" s="14">
        <f t="shared" si="34"/>
        <v>0</v>
      </c>
      <c r="NJ209" s="14">
        <f t="shared" si="35"/>
        <v>12472</v>
      </c>
      <c r="NK209" s="14">
        <f t="shared" si="36"/>
        <v>0</v>
      </c>
      <c r="NN209" s="14">
        <f t="shared" si="37"/>
        <v>27090000</v>
      </c>
      <c r="NO209" s="14">
        <f t="shared" si="38"/>
        <v>-12472</v>
      </c>
      <c r="NP209" s="14">
        <f t="shared" si="39"/>
        <v>27090000</v>
      </c>
      <c r="NS209" s="14">
        <f t="shared" si="47"/>
        <v>0</v>
      </c>
      <c r="NT209" s="14">
        <f t="shared" si="40"/>
        <v>0</v>
      </c>
      <c r="NU209" s="14">
        <f t="shared" si="41"/>
        <v>0</v>
      </c>
      <c r="NV209" s="14">
        <f t="shared" si="42"/>
        <v>0</v>
      </c>
      <c r="NW209" s="14">
        <f t="shared" si="43"/>
        <v>0</v>
      </c>
      <c r="NX209" s="14">
        <f t="shared" si="44"/>
        <v>0</v>
      </c>
      <c r="NY209" s="14">
        <f t="shared" si="45"/>
        <v>0</v>
      </c>
    </row>
    <row r="210" spans="1:389" x14ac:dyDescent="0.25">
      <c r="A210" s="96" t="s">
        <v>535</v>
      </c>
      <c r="B210" s="34">
        <v>681</v>
      </c>
      <c r="C210" s="99">
        <v>10</v>
      </c>
      <c r="JB210" s="14">
        <v>14764000</v>
      </c>
      <c r="JC210" s="14">
        <v>96000</v>
      </c>
      <c r="JD210" s="14">
        <v>14668000</v>
      </c>
      <c r="JH210" s="14">
        <v>60233</v>
      </c>
      <c r="JL210" s="14">
        <v>14764000</v>
      </c>
      <c r="JM210" s="14">
        <v>35767</v>
      </c>
      <c r="JN210" s="14">
        <v>14668000</v>
      </c>
      <c r="ND210" s="14">
        <f t="shared" si="46"/>
        <v>14764000</v>
      </c>
      <c r="NE210" s="14">
        <f t="shared" si="32"/>
        <v>96000</v>
      </c>
      <c r="NF210" s="14">
        <f t="shared" si="33"/>
        <v>14668000</v>
      </c>
      <c r="NI210" s="14">
        <f t="shared" si="34"/>
        <v>0</v>
      </c>
      <c r="NJ210" s="14">
        <f t="shared" si="35"/>
        <v>60233</v>
      </c>
      <c r="NK210" s="14">
        <f t="shared" si="36"/>
        <v>0</v>
      </c>
      <c r="NN210" s="14">
        <f t="shared" si="37"/>
        <v>14764000</v>
      </c>
      <c r="NO210" s="14">
        <f t="shared" si="38"/>
        <v>35767</v>
      </c>
      <c r="NP210" s="14">
        <f t="shared" si="39"/>
        <v>14668000</v>
      </c>
      <c r="NS210" s="14">
        <f t="shared" si="47"/>
        <v>0</v>
      </c>
      <c r="NT210" s="14">
        <f t="shared" si="40"/>
        <v>0</v>
      </c>
      <c r="NU210" s="14">
        <f t="shared" si="41"/>
        <v>0</v>
      </c>
      <c r="NV210" s="14">
        <f t="shared" si="42"/>
        <v>0</v>
      </c>
      <c r="NW210" s="14">
        <f t="shared" si="43"/>
        <v>0</v>
      </c>
      <c r="NX210" s="14">
        <f t="shared" si="44"/>
        <v>0</v>
      </c>
      <c r="NY210" s="14">
        <f t="shared" si="45"/>
        <v>0</v>
      </c>
    </row>
    <row r="211" spans="1:389" x14ac:dyDescent="0.25">
      <c r="A211" s="96" t="s">
        <v>536</v>
      </c>
      <c r="B211" s="34">
        <v>683</v>
      </c>
      <c r="C211" s="99">
        <v>19</v>
      </c>
      <c r="JB211" s="14">
        <v>440673000</v>
      </c>
      <c r="JC211" s="14">
        <v>51000</v>
      </c>
      <c r="JD211" s="14">
        <v>440622000</v>
      </c>
      <c r="JH211" s="14">
        <v>3150</v>
      </c>
      <c r="JL211" s="14">
        <v>440673000</v>
      </c>
      <c r="JM211" s="14">
        <v>47850</v>
      </c>
      <c r="JN211" s="14">
        <v>440622000</v>
      </c>
      <c r="ND211" s="14">
        <f t="shared" si="46"/>
        <v>440673000</v>
      </c>
      <c r="NE211" s="14">
        <f t="shared" si="32"/>
        <v>51000</v>
      </c>
      <c r="NF211" s="14">
        <f t="shared" si="33"/>
        <v>440622000</v>
      </c>
      <c r="NI211" s="14">
        <f t="shared" si="34"/>
        <v>0</v>
      </c>
      <c r="NJ211" s="14">
        <f t="shared" si="35"/>
        <v>3150</v>
      </c>
      <c r="NK211" s="14">
        <f t="shared" si="36"/>
        <v>0</v>
      </c>
      <c r="NN211" s="14">
        <f t="shared" si="37"/>
        <v>440673000</v>
      </c>
      <c r="NO211" s="14">
        <f t="shared" si="38"/>
        <v>47850</v>
      </c>
      <c r="NP211" s="14">
        <f t="shared" si="39"/>
        <v>440622000</v>
      </c>
      <c r="NS211" s="14">
        <f t="shared" si="47"/>
        <v>0</v>
      </c>
      <c r="NT211" s="14">
        <f t="shared" si="40"/>
        <v>0</v>
      </c>
      <c r="NU211" s="14">
        <f t="shared" si="41"/>
        <v>0</v>
      </c>
      <c r="NV211" s="14">
        <f t="shared" si="42"/>
        <v>0</v>
      </c>
      <c r="NW211" s="14">
        <f t="shared" si="43"/>
        <v>0</v>
      </c>
      <c r="NX211" s="14">
        <f t="shared" si="44"/>
        <v>0</v>
      </c>
      <c r="NY211" s="14">
        <f t="shared" si="45"/>
        <v>0</v>
      </c>
    </row>
    <row r="212" spans="1:389" x14ac:dyDescent="0.25">
      <c r="A212" s="96" t="s">
        <v>537</v>
      </c>
      <c r="B212" s="34">
        <v>684</v>
      </c>
      <c r="C212" s="99">
        <v>4</v>
      </c>
      <c r="JB212" s="14">
        <v>25137000</v>
      </c>
      <c r="JC212" s="14">
        <v>0</v>
      </c>
      <c r="JD212" s="14">
        <v>25137000</v>
      </c>
      <c r="JH212" s="14">
        <v>34622</v>
      </c>
      <c r="JL212" s="14">
        <v>25137000</v>
      </c>
      <c r="JM212" s="14">
        <v>-34622</v>
      </c>
      <c r="JN212" s="14">
        <v>25137000</v>
      </c>
      <c r="ND212" s="14">
        <f t="shared" si="46"/>
        <v>25137000</v>
      </c>
      <c r="NE212" s="14">
        <f t="shared" si="32"/>
        <v>0</v>
      </c>
      <c r="NF212" s="14">
        <f t="shared" si="33"/>
        <v>25137000</v>
      </c>
      <c r="NI212" s="14">
        <f t="shared" si="34"/>
        <v>0</v>
      </c>
      <c r="NJ212" s="14">
        <f t="shared" si="35"/>
        <v>34622</v>
      </c>
      <c r="NK212" s="14">
        <f t="shared" si="36"/>
        <v>0</v>
      </c>
      <c r="NN212" s="14">
        <f t="shared" si="37"/>
        <v>25137000</v>
      </c>
      <c r="NO212" s="14">
        <f t="shared" si="38"/>
        <v>-34622</v>
      </c>
      <c r="NP212" s="14">
        <f t="shared" si="39"/>
        <v>25137000</v>
      </c>
      <c r="NS212" s="14">
        <f t="shared" si="47"/>
        <v>0</v>
      </c>
      <c r="NT212" s="14">
        <f t="shared" si="40"/>
        <v>0</v>
      </c>
      <c r="NU212" s="14">
        <f t="shared" si="41"/>
        <v>0</v>
      </c>
      <c r="NV212" s="14">
        <f t="shared" si="42"/>
        <v>0</v>
      </c>
      <c r="NW212" s="14">
        <f t="shared" si="43"/>
        <v>0</v>
      </c>
      <c r="NX212" s="14">
        <f t="shared" si="44"/>
        <v>0</v>
      </c>
      <c r="NY212" s="14">
        <f t="shared" si="45"/>
        <v>0</v>
      </c>
    </row>
    <row r="213" spans="1:389" x14ac:dyDescent="0.25">
      <c r="A213" s="96" t="s">
        <v>538</v>
      </c>
      <c r="B213" s="34">
        <v>686</v>
      </c>
      <c r="C213" s="99">
        <v>11</v>
      </c>
      <c r="JB213" s="14">
        <v>25480000</v>
      </c>
      <c r="JC213" s="14">
        <v>800000</v>
      </c>
      <c r="JD213" s="14">
        <v>24680000</v>
      </c>
      <c r="JH213" s="14">
        <v>676936</v>
      </c>
      <c r="JL213" s="14">
        <v>25480000</v>
      </c>
      <c r="JM213" s="14">
        <v>123064</v>
      </c>
      <c r="JN213" s="14">
        <v>24680000</v>
      </c>
      <c r="ND213" s="14">
        <f t="shared" si="46"/>
        <v>25480000</v>
      </c>
      <c r="NE213" s="14">
        <f t="shared" si="32"/>
        <v>800000</v>
      </c>
      <c r="NF213" s="14">
        <f t="shared" si="33"/>
        <v>24680000</v>
      </c>
      <c r="NI213" s="14">
        <f t="shared" si="34"/>
        <v>0</v>
      </c>
      <c r="NJ213" s="14">
        <f t="shared" si="35"/>
        <v>676936</v>
      </c>
      <c r="NK213" s="14">
        <f t="shared" si="36"/>
        <v>0</v>
      </c>
      <c r="NN213" s="14">
        <f t="shared" si="37"/>
        <v>25480000</v>
      </c>
      <c r="NO213" s="14">
        <f t="shared" si="38"/>
        <v>123064</v>
      </c>
      <c r="NP213" s="14">
        <f t="shared" si="39"/>
        <v>24680000</v>
      </c>
      <c r="NS213" s="14">
        <f t="shared" si="47"/>
        <v>0</v>
      </c>
      <c r="NT213" s="14">
        <f t="shared" si="40"/>
        <v>0</v>
      </c>
      <c r="NU213" s="14">
        <f t="shared" si="41"/>
        <v>0</v>
      </c>
      <c r="NV213" s="14">
        <f t="shared" si="42"/>
        <v>0</v>
      </c>
      <c r="NW213" s="14">
        <f t="shared" si="43"/>
        <v>0</v>
      </c>
      <c r="NX213" s="14">
        <f t="shared" si="44"/>
        <v>0</v>
      </c>
      <c r="NY213" s="14">
        <f t="shared" si="45"/>
        <v>0</v>
      </c>
    </row>
    <row r="214" spans="1:389" x14ac:dyDescent="0.25">
      <c r="A214" s="96" t="s">
        <v>539</v>
      </c>
      <c r="B214" s="34">
        <v>687</v>
      </c>
      <c r="C214" s="99">
        <v>11</v>
      </c>
      <c r="JB214" s="14">
        <v>60320000</v>
      </c>
      <c r="JC214" s="14">
        <v>48000</v>
      </c>
      <c r="JD214" s="14">
        <v>60272000</v>
      </c>
      <c r="JH214" s="14">
        <v>17251</v>
      </c>
      <c r="JL214" s="14">
        <v>60320000</v>
      </c>
      <c r="JM214" s="14">
        <v>30749</v>
      </c>
      <c r="JN214" s="14">
        <v>60272000</v>
      </c>
      <c r="ND214" s="14">
        <f t="shared" si="46"/>
        <v>60320000</v>
      </c>
      <c r="NE214" s="14">
        <f t="shared" ref="NE214:NE277" si="48">JC214</f>
        <v>48000</v>
      </c>
      <c r="NF214" s="14">
        <f t="shared" ref="NF214:NF277" si="49">JD214</f>
        <v>60272000</v>
      </c>
      <c r="NI214" s="14">
        <f t="shared" ref="NI214:NI277" si="50">JG214</f>
        <v>0</v>
      </c>
      <c r="NJ214" s="14">
        <f t="shared" ref="NJ214:NJ277" si="51">JH214</f>
        <v>17251</v>
      </c>
      <c r="NK214" s="14">
        <f t="shared" ref="NK214:NK277" si="52">JI214</f>
        <v>0</v>
      </c>
      <c r="NN214" s="14">
        <f t="shared" ref="NN214:NN277" si="53">JL214</f>
        <v>60320000</v>
      </c>
      <c r="NO214" s="14">
        <f t="shared" ref="NO214:NO277" si="54">JM214</f>
        <v>30749</v>
      </c>
      <c r="NP214" s="14">
        <f t="shared" ref="NP214:NP277" si="55">JN214</f>
        <v>60272000</v>
      </c>
      <c r="NS214" s="14">
        <f t="shared" si="47"/>
        <v>0</v>
      </c>
      <c r="NT214" s="14">
        <f t="shared" ref="NT214:NT277" si="56">JR214</f>
        <v>0</v>
      </c>
      <c r="NU214" s="14">
        <f t="shared" ref="NU214:NU277" si="57">JS214</f>
        <v>0</v>
      </c>
      <c r="NV214" s="14">
        <f t="shared" ref="NV214:NV277" si="58">JT214</f>
        <v>0</v>
      </c>
      <c r="NW214" s="14">
        <f t="shared" ref="NW214:NW277" si="59">JU214</f>
        <v>0</v>
      </c>
      <c r="NX214" s="14">
        <f t="shared" ref="NX214:NX277" si="60">JV214</f>
        <v>0</v>
      </c>
      <c r="NY214" s="14">
        <f t="shared" ref="NY214:NY277" si="61">JW214</f>
        <v>0</v>
      </c>
    </row>
    <row r="215" spans="1:389" x14ac:dyDescent="0.25">
      <c r="A215" s="96" t="s">
        <v>540</v>
      </c>
      <c r="B215" s="34">
        <v>689</v>
      </c>
      <c r="C215" s="99">
        <v>9</v>
      </c>
      <c r="JB215" s="14">
        <v>10991000</v>
      </c>
      <c r="JC215" s="14">
        <v>0</v>
      </c>
      <c r="JD215" s="14">
        <v>10991000</v>
      </c>
      <c r="JH215" s="14">
        <v>29128</v>
      </c>
      <c r="JL215" s="14">
        <v>10991000</v>
      </c>
      <c r="JM215" s="14">
        <v>-29128</v>
      </c>
      <c r="JN215" s="14">
        <v>10991000</v>
      </c>
      <c r="ND215" s="14">
        <f t="shared" ref="ND215:ND278" si="62">JB215</f>
        <v>10991000</v>
      </c>
      <c r="NE215" s="14">
        <f t="shared" si="48"/>
        <v>0</v>
      </c>
      <c r="NF215" s="14">
        <f t="shared" si="49"/>
        <v>10991000</v>
      </c>
      <c r="NI215" s="14">
        <f t="shared" si="50"/>
        <v>0</v>
      </c>
      <c r="NJ215" s="14">
        <f t="shared" si="51"/>
        <v>29128</v>
      </c>
      <c r="NK215" s="14">
        <f t="shared" si="52"/>
        <v>0</v>
      </c>
      <c r="NN215" s="14">
        <f t="shared" si="53"/>
        <v>10991000</v>
      </c>
      <c r="NO215" s="14">
        <f t="shared" si="54"/>
        <v>-29128</v>
      </c>
      <c r="NP215" s="14">
        <f t="shared" si="55"/>
        <v>10991000</v>
      </c>
      <c r="NS215" s="14">
        <f t="shared" ref="NS215:NS278" si="63">JQ215</f>
        <v>0</v>
      </c>
      <c r="NT215" s="14">
        <f t="shared" si="56"/>
        <v>0</v>
      </c>
      <c r="NU215" s="14">
        <f t="shared" si="57"/>
        <v>0</v>
      </c>
      <c r="NV215" s="14">
        <f t="shared" si="58"/>
        <v>0</v>
      </c>
      <c r="NW215" s="14">
        <f t="shared" si="59"/>
        <v>0</v>
      </c>
      <c r="NX215" s="14">
        <f t="shared" si="60"/>
        <v>0</v>
      </c>
      <c r="NY215" s="14">
        <f t="shared" si="61"/>
        <v>0</v>
      </c>
    </row>
    <row r="216" spans="1:389" x14ac:dyDescent="0.25">
      <c r="A216" s="96" t="s">
        <v>541</v>
      </c>
      <c r="B216" s="34">
        <v>691</v>
      </c>
      <c r="C216" s="99">
        <v>17</v>
      </c>
      <c r="JB216" s="14">
        <v>20381000</v>
      </c>
      <c r="JC216" s="14">
        <v>113000</v>
      </c>
      <c r="JD216" s="14">
        <v>20268000</v>
      </c>
      <c r="JH216" s="14">
        <v>74894</v>
      </c>
      <c r="JL216" s="14">
        <v>20381000</v>
      </c>
      <c r="JM216" s="14">
        <v>38106</v>
      </c>
      <c r="JN216" s="14">
        <v>20268000</v>
      </c>
      <c r="ND216" s="14">
        <f t="shared" si="62"/>
        <v>20381000</v>
      </c>
      <c r="NE216" s="14">
        <f t="shared" si="48"/>
        <v>113000</v>
      </c>
      <c r="NF216" s="14">
        <f t="shared" si="49"/>
        <v>20268000</v>
      </c>
      <c r="NI216" s="14">
        <f t="shared" si="50"/>
        <v>0</v>
      </c>
      <c r="NJ216" s="14">
        <f t="shared" si="51"/>
        <v>74894</v>
      </c>
      <c r="NK216" s="14">
        <f t="shared" si="52"/>
        <v>0</v>
      </c>
      <c r="NN216" s="14">
        <f t="shared" si="53"/>
        <v>20381000</v>
      </c>
      <c r="NO216" s="14">
        <f t="shared" si="54"/>
        <v>38106</v>
      </c>
      <c r="NP216" s="14">
        <f t="shared" si="55"/>
        <v>20268000</v>
      </c>
      <c r="NS216" s="14">
        <f t="shared" si="63"/>
        <v>0</v>
      </c>
      <c r="NT216" s="14">
        <f t="shared" si="56"/>
        <v>0</v>
      </c>
      <c r="NU216" s="14">
        <f t="shared" si="57"/>
        <v>0</v>
      </c>
      <c r="NV216" s="14">
        <f t="shared" si="58"/>
        <v>0</v>
      </c>
      <c r="NW216" s="14">
        <f t="shared" si="59"/>
        <v>0</v>
      </c>
      <c r="NX216" s="14">
        <f t="shared" si="60"/>
        <v>0</v>
      </c>
      <c r="NY216" s="14">
        <f t="shared" si="61"/>
        <v>0</v>
      </c>
    </row>
    <row r="217" spans="1:389" x14ac:dyDescent="0.25">
      <c r="A217" s="96" t="s">
        <v>542</v>
      </c>
      <c r="B217" s="34">
        <v>694</v>
      </c>
      <c r="C217" s="99">
        <v>5</v>
      </c>
      <c r="JB217" s="14">
        <v>23195000</v>
      </c>
      <c r="JC217" s="14">
        <v>50000</v>
      </c>
      <c r="JD217" s="14">
        <v>23145000</v>
      </c>
      <c r="JH217" s="14">
        <v>225000</v>
      </c>
      <c r="JL217" s="14">
        <v>23195000</v>
      </c>
      <c r="JM217" s="14">
        <v>-175000</v>
      </c>
      <c r="JN217" s="14">
        <v>23145000</v>
      </c>
      <c r="ND217" s="14">
        <f t="shared" si="62"/>
        <v>23195000</v>
      </c>
      <c r="NE217" s="14">
        <f t="shared" si="48"/>
        <v>50000</v>
      </c>
      <c r="NF217" s="14">
        <f t="shared" si="49"/>
        <v>23145000</v>
      </c>
      <c r="NI217" s="14">
        <f t="shared" si="50"/>
        <v>0</v>
      </c>
      <c r="NJ217" s="14">
        <f t="shared" si="51"/>
        <v>225000</v>
      </c>
      <c r="NK217" s="14">
        <f t="shared" si="52"/>
        <v>0</v>
      </c>
      <c r="NN217" s="14">
        <f t="shared" si="53"/>
        <v>23195000</v>
      </c>
      <c r="NO217" s="14">
        <f t="shared" si="54"/>
        <v>-175000</v>
      </c>
      <c r="NP217" s="14">
        <f t="shared" si="55"/>
        <v>23145000</v>
      </c>
      <c r="NS217" s="14">
        <f t="shared" si="63"/>
        <v>0</v>
      </c>
      <c r="NT217" s="14">
        <f t="shared" si="56"/>
        <v>0</v>
      </c>
      <c r="NU217" s="14">
        <f t="shared" si="57"/>
        <v>0</v>
      </c>
      <c r="NV217" s="14">
        <f t="shared" si="58"/>
        <v>0</v>
      </c>
      <c r="NW217" s="14">
        <f t="shared" si="59"/>
        <v>0</v>
      </c>
      <c r="NX217" s="14">
        <f t="shared" si="60"/>
        <v>0</v>
      </c>
      <c r="NY217" s="14">
        <f t="shared" si="61"/>
        <v>0</v>
      </c>
    </row>
    <row r="218" spans="1:389" x14ac:dyDescent="0.25">
      <c r="A218" s="97" t="s">
        <v>543</v>
      </c>
      <c r="B218" s="89">
        <v>697</v>
      </c>
      <c r="C218" s="99">
        <v>18</v>
      </c>
      <c r="JB218" s="14">
        <v>16753000</v>
      </c>
      <c r="JC218" s="14">
        <v>22000</v>
      </c>
      <c r="JD218" s="14">
        <v>16731000</v>
      </c>
      <c r="JH218" s="14">
        <v>27440</v>
      </c>
      <c r="JL218" s="14">
        <v>16753000</v>
      </c>
      <c r="JM218" s="14">
        <v>-5440</v>
      </c>
      <c r="JN218" s="14">
        <v>16731000</v>
      </c>
      <c r="ND218" s="14">
        <f t="shared" si="62"/>
        <v>16753000</v>
      </c>
      <c r="NE218" s="14">
        <f t="shared" si="48"/>
        <v>22000</v>
      </c>
      <c r="NF218" s="14">
        <f t="shared" si="49"/>
        <v>16731000</v>
      </c>
      <c r="NI218" s="14">
        <f t="shared" si="50"/>
        <v>0</v>
      </c>
      <c r="NJ218" s="14">
        <f t="shared" si="51"/>
        <v>27440</v>
      </c>
      <c r="NK218" s="14">
        <f t="shared" si="52"/>
        <v>0</v>
      </c>
      <c r="NN218" s="14">
        <f t="shared" si="53"/>
        <v>16753000</v>
      </c>
      <c r="NO218" s="14">
        <f t="shared" si="54"/>
        <v>-5440</v>
      </c>
      <c r="NP218" s="14">
        <f t="shared" si="55"/>
        <v>16731000</v>
      </c>
      <c r="NS218" s="14">
        <f t="shared" si="63"/>
        <v>0</v>
      </c>
      <c r="NT218" s="14">
        <f t="shared" si="56"/>
        <v>0</v>
      </c>
      <c r="NU218" s="14">
        <f t="shared" si="57"/>
        <v>0</v>
      </c>
      <c r="NV218" s="14">
        <f t="shared" si="58"/>
        <v>0</v>
      </c>
      <c r="NW218" s="14">
        <f t="shared" si="59"/>
        <v>0</v>
      </c>
      <c r="NX218" s="14">
        <f t="shared" si="60"/>
        <v>0</v>
      </c>
      <c r="NY218" s="14">
        <f t="shared" si="61"/>
        <v>0</v>
      </c>
    </row>
    <row r="219" spans="1:389" x14ac:dyDescent="0.25">
      <c r="A219" s="96" t="s">
        <v>544</v>
      </c>
      <c r="B219" s="34">
        <v>698</v>
      </c>
      <c r="C219" s="99">
        <v>19</v>
      </c>
      <c r="JB219" s="14">
        <v>29955000</v>
      </c>
      <c r="JC219" s="14">
        <v>82000</v>
      </c>
      <c r="JD219" s="14">
        <v>29873000</v>
      </c>
      <c r="JH219" s="14">
        <v>13597</v>
      </c>
      <c r="JL219" s="14">
        <v>29955000</v>
      </c>
      <c r="JM219" s="14">
        <v>68403</v>
      </c>
      <c r="JN219" s="14">
        <v>29873000</v>
      </c>
      <c r="ND219" s="14">
        <f t="shared" si="62"/>
        <v>29955000</v>
      </c>
      <c r="NE219" s="14">
        <f t="shared" si="48"/>
        <v>82000</v>
      </c>
      <c r="NF219" s="14">
        <f t="shared" si="49"/>
        <v>29873000</v>
      </c>
      <c r="NI219" s="14">
        <f t="shared" si="50"/>
        <v>0</v>
      </c>
      <c r="NJ219" s="14">
        <f t="shared" si="51"/>
        <v>13597</v>
      </c>
      <c r="NK219" s="14">
        <f t="shared" si="52"/>
        <v>0</v>
      </c>
      <c r="NN219" s="14">
        <f t="shared" si="53"/>
        <v>29955000</v>
      </c>
      <c r="NO219" s="14">
        <f t="shared" si="54"/>
        <v>68403</v>
      </c>
      <c r="NP219" s="14">
        <f t="shared" si="55"/>
        <v>29873000</v>
      </c>
      <c r="NS219" s="14">
        <f t="shared" si="63"/>
        <v>0</v>
      </c>
      <c r="NT219" s="14">
        <f t="shared" si="56"/>
        <v>0</v>
      </c>
      <c r="NU219" s="14">
        <f t="shared" si="57"/>
        <v>0</v>
      </c>
      <c r="NV219" s="14">
        <f t="shared" si="58"/>
        <v>0</v>
      </c>
      <c r="NW219" s="14">
        <f t="shared" si="59"/>
        <v>0</v>
      </c>
      <c r="NX219" s="14">
        <f t="shared" si="60"/>
        <v>0</v>
      </c>
      <c r="NY219" s="14">
        <f t="shared" si="61"/>
        <v>0</v>
      </c>
    </row>
    <row r="220" spans="1:389" x14ac:dyDescent="0.25">
      <c r="A220" s="96" t="s">
        <v>545</v>
      </c>
      <c r="B220" s="34">
        <v>700</v>
      </c>
      <c r="C220" s="99">
        <v>9</v>
      </c>
      <c r="JB220" s="14">
        <v>20186000</v>
      </c>
      <c r="JC220" s="14">
        <v>250000</v>
      </c>
      <c r="JD220" s="14">
        <v>19936000</v>
      </c>
      <c r="JH220" s="14">
        <v>347166</v>
      </c>
      <c r="JL220" s="14">
        <v>20186000</v>
      </c>
      <c r="JM220" s="14">
        <v>-97166</v>
      </c>
      <c r="JN220" s="14">
        <v>19936000</v>
      </c>
      <c r="ND220" s="14">
        <f t="shared" si="62"/>
        <v>20186000</v>
      </c>
      <c r="NE220" s="14">
        <f t="shared" si="48"/>
        <v>250000</v>
      </c>
      <c r="NF220" s="14">
        <f t="shared" si="49"/>
        <v>19936000</v>
      </c>
      <c r="NI220" s="14">
        <f t="shared" si="50"/>
        <v>0</v>
      </c>
      <c r="NJ220" s="14">
        <f t="shared" si="51"/>
        <v>347166</v>
      </c>
      <c r="NK220" s="14">
        <f t="shared" si="52"/>
        <v>0</v>
      </c>
      <c r="NN220" s="14">
        <f t="shared" si="53"/>
        <v>20186000</v>
      </c>
      <c r="NO220" s="14">
        <f t="shared" si="54"/>
        <v>-97166</v>
      </c>
      <c r="NP220" s="14">
        <f t="shared" si="55"/>
        <v>19936000</v>
      </c>
      <c r="NS220" s="14">
        <f t="shared" si="63"/>
        <v>0</v>
      </c>
      <c r="NT220" s="14">
        <f t="shared" si="56"/>
        <v>0</v>
      </c>
      <c r="NU220" s="14">
        <f t="shared" si="57"/>
        <v>0</v>
      </c>
      <c r="NV220" s="14">
        <f t="shared" si="58"/>
        <v>0</v>
      </c>
      <c r="NW220" s="14">
        <f t="shared" si="59"/>
        <v>0</v>
      </c>
      <c r="NX220" s="14">
        <f t="shared" si="60"/>
        <v>0</v>
      </c>
      <c r="NY220" s="14">
        <f t="shared" si="61"/>
        <v>0</v>
      </c>
    </row>
    <row r="221" spans="1:389" x14ac:dyDescent="0.25">
      <c r="A221" s="96" t="s">
        <v>546</v>
      </c>
      <c r="B221" s="34">
        <v>702</v>
      </c>
      <c r="C221" s="99">
        <v>6</v>
      </c>
      <c r="JB221" s="14">
        <v>39114000</v>
      </c>
      <c r="JC221" s="14">
        <v>45000</v>
      </c>
      <c r="JD221" s="14">
        <v>39069000</v>
      </c>
      <c r="JH221" s="14">
        <v>47181</v>
      </c>
      <c r="JL221" s="14">
        <v>39114000</v>
      </c>
      <c r="JM221" s="14">
        <v>-2181</v>
      </c>
      <c r="JN221" s="14">
        <v>39069000</v>
      </c>
      <c r="ND221" s="14">
        <f t="shared" si="62"/>
        <v>39114000</v>
      </c>
      <c r="NE221" s="14">
        <f t="shared" si="48"/>
        <v>45000</v>
      </c>
      <c r="NF221" s="14">
        <f t="shared" si="49"/>
        <v>39069000</v>
      </c>
      <c r="NI221" s="14">
        <f t="shared" si="50"/>
        <v>0</v>
      </c>
      <c r="NJ221" s="14">
        <f t="shared" si="51"/>
        <v>47181</v>
      </c>
      <c r="NK221" s="14">
        <f t="shared" si="52"/>
        <v>0</v>
      </c>
      <c r="NN221" s="14">
        <f t="shared" si="53"/>
        <v>39114000</v>
      </c>
      <c r="NO221" s="14">
        <f t="shared" si="54"/>
        <v>-2181</v>
      </c>
      <c r="NP221" s="14">
        <f t="shared" si="55"/>
        <v>39069000</v>
      </c>
      <c r="NS221" s="14">
        <f t="shared" si="63"/>
        <v>0</v>
      </c>
      <c r="NT221" s="14">
        <f t="shared" si="56"/>
        <v>0</v>
      </c>
      <c r="NU221" s="14">
        <f t="shared" si="57"/>
        <v>0</v>
      </c>
      <c r="NV221" s="14">
        <f t="shared" si="58"/>
        <v>0</v>
      </c>
      <c r="NW221" s="14">
        <f t="shared" si="59"/>
        <v>0</v>
      </c>
      <c r="NX221" s="14">
        <f t="shared" si="60"/>
        <v>0</v>
      </c>
      <c r="NY221" s="14">
        <f t="shared" si="61"/>
        <v>0</v>
      </c>
    </row>
    <row r="222" spans="1:389" x14ac:dyDescent="0.25">
      <c r="A222" s="96" t="s">
        <v>547</v>
      </c>
      <c r="B222" s="34">
        <v>704</v>
      </c>
      <c r="C222" s="99">
        <v>2</v>
      </c>
      <c r="JB222" s="14">
        <v>9926000</v>
      </c>
      <c r="JC222" s="14">
        <v>209000</v>
      </c>
      <c r="JD222" s="14">
        <v>9717000</v>
      </c>
      <c r="JH222" s="14">
        <v>34500</v>
      </c>
      <c r="JL222" s="14">
        <v>9926000</v>
      </c>
      <c r="JM222" s="14">
        <v>174500</v>
      </c>
      <c r="JN222" s="14">
        <v>9717000</v>
      </c>
      <c r="ND222" s="14">
        <f t="shared" si="62"/>
        <v>9926000</v>
      </c>
      <c r="NE222" s="14">
        <f t="shared" si="48"/>
        <v>209000</v>
      </c>
      <c r="NF222" s="14">
        <f t="shared" si="49"/>
        <v>9717000</v>
      </c>
      <c r="NI222" s="14">
        <f t="shared" si="50"/>
        <v>0</v>
      </c>
      <c r="NJ222" s="14">
        <f t="shared" si="51"/>
        <v>34500</v>
      </c>
      <c r="NK222" s="14">
        <f t="shared" si="52"/>
        <v>0</v>
      </c>
      <c r="NN222" s="14">
        <f t="shared" si="53"/>
        <v>9926000</v>
      </c>
      <c r="NO222" s="14">
        <f t="shared" si="54"/>
        <v>174500</v>
      </c>
      <c r="NP222" s="14">
        <f t="shared" si="55"/>
        <v>9717000</v>
      </c>
      <c r="NS222" s="14">
        <f t="shared" si="63"/>
        <v>0</v>
      </c>
      <c r="NT222" s="14">
        <f t="shared" si="56"/>
        <v>0</v>
      </c>
      <c r="NU222" s="14">
        <f t="shared" si="57"/>
        <v>0</v>
      </c>
      <c r="NV222" s="14">
        <f t="shared" si="58"/>
        <v>0</v>
      </c>
      <c r="NW222" s="14">
        <f t="shared" si="59"/>
        <v>0</v>
      </c>
      <c r="NX222" s="14">
        <f t="shared" si="60"/>
        <v>0</v>
      </c>
      <c r="NY222" s="14">
        <f t="shared" si="61"/>
        <v>0</v>
      </c>
    </row>
    <row r="223" spans="1:389" x14ac:dyDescent="0.25">
      <c r="A223" s="96" t="s">
        <v>548</v>
      </c>
      <c r="B223" s="34">
        <v>707</v>
      </c>
      <c r="C223" s="99">
        <v>12</v>
      </c>
      <c r="JB223" s="14">
        <v>12252000</v>
      </c>
      <c r="JC223" s="14">
        <v>647000</v>
      </c>
      <c r="JD223" s="14">
        <v>11605000</v>
      </c>
      <c r="JH223" s="14">
        <v>136932</v>
      </c>
      <c r="JL223" s="14">
        <v>12252000</v>
      </c>
      <c r="JM223" s="14">
        <v>510068</v>
      </c>
      <c r="JN223" s="14">
        <v>11605000</v>
      </c>
      <c r="ND223" s="14">
        <f t="shared" si="62"/>
        <v>12252000</v>
      </c>
      <c r="NE223" s="14">
        <f t="shared" si="48"/>
        <v>647000</v>
      </c>
      <c r="NF223" s="14">
        <f t="shared" si="49"/>
        <v>11605000</v>
      </c>
      <c r="NI223" s="14">
        <f t="shared" si="50"/>
        <v>0</v>
      </c>
      <c r="NJ223" s="14">
        <f t="shared" si="51"/>
        <v>136932</v>
      </c>
      <c r="NK223" s="14">
        <f t="shared" si="52"/>
        <v>0</v>
      </c>
      <c r="NN223" s="14">
        <f t="shared" si="53"/>
        <v>12252000</v>
      </c>
      <c r="NO223" s="14">
        <f t="shared" si="54"/>
        <v>510068</v>
      </c>
      <c r="NP223" s="14">
        <f t="shared" si="55"/>
        <v>11605000</v>
      </c>
      <c r="NS223" s="14">
        <f t="shared" si="63"/>
        <v>0</v>
      </c>
      <c r="NT223" s="14">
        <f t="shared" si="56"/>
        <v>0</v>
      </c>
      <c r="NU223" s="14">
        <f t="shared" si="57"/>
        <v>0</v>
      </c>
      <c r="NV223" s="14">
        <f t="shared" si="58"/>
        <v>0</v>
      </c>
      <c r="NW223" s="14">
        <f t="shared" si="59"/>
        <v>0</v>
      </c>
      <c r="NX223" s="14">
        <f t="shared" si="60"/>
        <v>0</v>
      </c>
      <c r="NY223" s="14">
        <f t="shared" si="61"/>
        <v>0</v>
      </c>
    </row>
    <row r="224" spans="1:389" x14ac:dyDescent="0.25">
      <c r="A224" s="96" t="s">
        <v>550</v>
      </c>
      <c r="B224" s="34">
        <v>729</v>
      </c>
      <c r="C224" s="99">
        <v>13</v>
      </c>
      <c r="JB224" s="14">
        <v>39690000</v>
      </c>
      <c r="JC224" s="14">
        <v>0</v>
      </c>
      <c r="JD224" s="14">
        <v>39690000</v>
      </c>
      <c r="JH224" s="14">
        <v>27637</v>
      </c>
      <c r="JL224" s="14">
        <v>39690000</v>
      </c>
      <c r="JM224" s="14">
        <v>-27637</v>
      </c>
      <c r="JN224" s="14">
        <v>39690000</v>
      </c>
      <c r="ND224" s="14">
        <f t="shared" si="62"/>
        <v>39690000</v>
      </c>
      <c r="NE224" s="14">
        <f t="shared" si="48"/>
        <v>0</v>
      </c>
      <c r="NF224" s="14">
        <f t="shared" si="49"/>
        <v>39690000</v>
      </c>
      <c r="NI224" s="14">
        <f t="shared" si="50"/>
        <v>0</v>
      </c>
      <c r="NJ224" s="14">
        <f t="shared" si="51"/>
        <v>27637</v>
      </c>
      <c r="NK224" s="14">
        <f t="shared" si="52"/>
        <v>0</v>
      </c>
      <c r="NN224" s="14">
        <f t="shared" si="53"/>
        <v>39690000</v>
      </c>
      <c r="NO224" s="14">
        <f t="shared" si="54"/>
        <v>-27637</v>
      </c>
      <c r="NP224" s="14">
        <f t="shared" si="55"/>
        <v>39690000</v>
      </c>
      <c r="NS224" s="14">
        <f t="shared" si="63"/>
        <v>0</v>
      </c>
      <c r="NT224" s="14">
        <f t="shared" si="56"/>
        <v>0</v>
      </c>
      <c r="NU224" s="14">
        <f t="shared" si="57"/>
        <v>0</v>
      </c>
      <c r="NV224" s="14">
        <f t="shared" si="58"/>
        <v>0</v>
      </c>
      <c r="NW224" s="14">
        <f t="shared" si="59"/>
        <v>0</v>
      </c>
      <c r="NX224" s="14">
        <f t="shared" si="60"/>
        <v>0</v>
      </c>
      <c r="NY224" s="14">
        <f t="shared" si="61"/>
        <v>0</v>
      </c>
    </row>
    <row r="225" spans="1:389" x14ac:dyDescent="0.25">
      <c r="A225" s="96" t="s">
        <v>551</v>
      </c>
      <c r="B225" s="34">
        <v>732</v>
      </c>
      <c r="C225" s="99">
        <v>19</v>
      </c>
      <c r="JB225" s="14">
        <v>49105000</v>
      </c>
      <c r="JC225" s="14">
        <v>167000</v>
      </c>
      <c r="JD225" s="14">
        <v>48938000</v>
      </c>
      <c r="JH225" s="14">
        <v>81780</v>
      </c>
      <c r="JL225" s="14">
        <v>49105000</v>
      </c>
      <c r="JM225" s="14">
        <v>85220</v>
      </c>
      <c r="JN225" s="14">
        <v>48938000</v>
      </c>
      <c r="ND225" s="14">
        <f t="shared" si="62"/>
        <v>49105000</v>
      </c>
      <c r="NE225" s="14">
        <f t="shared" si="48"/>
        <v>167000</v>
      </c>
      <c r="NF225" s="14">
        <f t="shared" si="49"/>
        <v>48938000</v>
      </c>
      <c r="NI225" s="14">
        <f t="shared" si="50"/>
        <v>0</v>
      </c>
      <c r="NJ225" s="14">
        <f t="shared" si="51"/>
        <v>81780</v>
      </c>
      <c r="NK225" s="14">
        <f t="shared" si="52"/>
        <v>0</v>
      </c>
      <c r="NN225" s="14">
        <f t="shared" si="53"/>
        <v>49105000</v>
      </c>
      <c r="NO225" s="14">
        <f t="shared" si="54"/>
        <v>85220</v>
      </c>
      <c r="NP225" s="14">
        <f t="shared" si="55"/>
        <v>48938000</v>
      </c>
      <c r="NS225" s="14">
        <f t="shared" si="63"/>
        <v>0</v>
      </c>
      <c r="NT225" s="14">
        <f t="shared" si="56"/>
        <v>0</v>
      </c>
      <c r="NU225" s="14">
        <f t="shared" si="57"/>
        <v>0</v>
      </c>
      <c r="NV225" s="14">
        <f t="shared" si="58"/>
        <v>0</v>
      </c>
      <c r="NW225" s="14">
        <f t="shared" si="59"/>
        <v>0</v>
      </c>
      <c r="NX225" s="14">
        <f t="shared" si="60"/>
        <v>0</v>
      </c>
      <c r="NY225" s="14">
        <f t="shared" si="61"/>
        <v>0</v>
      </c>
    </row>
    <row r="226" spans="1:389" x14ac:dyDescent="0.25">
      <c r="A226" s="96" t="s">
        <v>552</v>
      </c>
      <c r="B226" s="34">
        <v>734</v>
      </c>
      <c r="C226" s="99">
        <v>2</v>
      </c>
      <c r="JB226" s="14">
        <v>268827000</v>
      </c>
      <c r="JC226" s="14">
        <v>1035000</v>
      </c>
      <c r="JD226" s="14">
        <v>267792000</v>
      </c>
      <c r="JH226" s="14">
        <v>109307</v>
      </c>
      <c r="JL226" s="14">
        <v>268827000</v>
      </c>
      <c r="JM226" s="14">
        <v>925693</v>
      </c>
      <c r="JN226" s="14">
        <v>267792000</v>
      </c>
      <c r="ND226" s="14">
        <f t="shared" si="62"/>
        <v>268827000</v>
      </c>
      <c r="NE226" s="14">
        <f t="shared" si="48"/>
        <v>1035000</v>
      </c>
      <c r="NF226" s="14">
        <f t="shared" si="49"/>
        <v>267792000</v>
      </c>
      <c r="NI226" s="14">
        <f t="shared" si="50"/>
        <v>0</v>
      </c>
      <c r="NJ226" s="14">
        <f t="shared" si="51"/>
        <v>109307</v>
      </c>
      <c r="NK226" s="14">
        <f t="shared" si="52"/>
        <v>0</v>
      </c>
      <c r="NN226" s="14">
        <f t="shared" si="53"/>
        <v>268827000</v>
      </c>
      <c r="NO226" s="14">
        <f t="shared" si="54"/>
        <v>925693</v>
      </c>
      <c r="NP226" s="14">
        <f t="shared" si="55"/>
        <v>267792000</v>
      </c>
      <c r="NS226" s="14">
        <f t="shared" si="63"/>
        <v>0</v>
      </c>
      <c r="NT226" s="14">
        <f t="shared" si="56"/>
        <v>0</v>
      </c>
      <c r="NU226" s="14">
        <f t="shared" si="57"/>
        <v>0</v>
      </c>
      <c r="NV226" s="14">
        <f t="shared" si="58"/>
        <v>0</v>
      </c>
      <c r="NW226" s="14">
        <f t="shared" si="59"/>
        <v>0</v>
      </c>
      <c r="NX226" s="14">
        <f t="shared" si="60"/>
        <v>0</v>
      </c>
      <c r="NY226" s="14">
        <f t="shared" si="61"/>
        <v>0</v>
      </c>
    </row>
    <row r="227" spans="1:389" x14ac:dyDescent="0.25">
      <c r="A227" s="96" t="s">
        <v>576</v>
      </c>
      <c r="B227" s="34">
        <v>790</v>
      </c>
      <c r="C227" s="99">
        <v>6</v>
      </c>
      <c r="JB227" s="14">
        <v>144559000</v>
      </c>
      <c r="JC227" s="14">
        <v>408000</v>
      </c>
      <c r="JD227" s="14">
        <v>144151000</v>
      </c>
      <c r="JH227" s="14">
        <v>13495</v>
      </c>
      <c r="JL227" s="14">
        <v>144559000</v>
      </c>
      <c r="JM227" s="14">
        <v>394505</v>
      </c>
      <c r="JN227" s="14">
        <v>144151000</v>
      </c>
      <c r="ND227" s="14">
        <f t="shared" si="62"/>
        <v>144559000</v>
      </c>
      <c r="NE227" s="14">
        <f t="shared" si="48"/>
        <v>408000</v>
      </c>
      <c r="NF227" s="14">
        <f t="shared" si="49"/>
        <v>144151000</v>
      </c>
      <c r="NI227" s="14">
        <f t="shared" si="50"/>
        <v>0</v>
      </c>
      <c r="NJ227" s="14">
        <f t="shared" si="51"/>
        <v>13495</v>
      </c>
      <c r="NK227" s="14">
        <f t="shared" si="52"/>
        <v>0</v>
      </c>
      <c r="NN227" s="14">
        <f t="shared" si="53"/>
        <v>144559000</v>
      </c>
      <c r="NO227" s="14">
        <f t="shared" si="54"/>
        <v>394505</v>
      </c>
      <c r="NP227" s="14">
        <f t="shared" si="55"/>
        <v>144151000</v>
      </c>
      <c r="NS227" s="14">
        <f t="shared" si="63"/>
        <v>0</v>
      </c>
      <c r="NT227" s="14">
        <f t="shared" si="56"/>
        <v>0</v>
      </c>
      <c r="NU227" s="14">
        <f t="shared" si="57"/>
        <v>0</v>
      </c>
      <c r="NV227" s="14">
        <f t="shared" si="58"/>
        <v>0</v>
      </c>
      <c r="NW227" s="14">
        <f t="shared" si="59"/>
        <v>0</v>
      </c>
      <c r="NX227" s="14">
        <f t="shared" si="60"/>
        <v>0</v>
      </c>
      <c r="NY227" s="14">
        <f t="shared" si="61"/>
        <v>0</v>
      </c>
    </row>
    <row r="228" spans="1:389" x14ac:dyDescent="0.25">
      <c r="A228" s="96" t="s">
        <v>553</v>
      </c>
      <c r="B228" s="34">
        <v>738</v>
      </c>
      <c r="C228" s="99">
        <v>2</v>
      </c>
      <c r="JB228" s="14">
        <v>128831000</v>
      </c>
      <c r="JC228" s="14">
        <v>25000</v>
      </c>
      <c r="JD228" s="14">
        <v>128806000</v>
      </c>
      <c r="JH228" s="14">
        <v>173936</v>
      </c>
      <c r="JL228" s="14">
        <v>128831000</v>
      </c>
      <c r="JM228" s="14">
        <v>-148936</v>
      </c>
      <c r="JN228" s="14">
        <v>128806000</v>
      </c>
      <c r="ND228" s="14">
        <f t="shared" si="62"/>
        <v>128831000</v>
      </c>
      <c r="NE228" s="14">
        <f t="shared" si="48"/>
        <v>25000</v>
      </c>
      <c r="NF228" s="14">
        <f t="shared" si="49"/>
        <v>128806000</v>
      </c>
      <c r="NI228" s="14">
        <f t="shared" si="50"/>
        <v>0</v>
      </c>
      <c r="NJ228" s="14">
        <f t="shared" si="51"/>
        <v>173936</v>
      </c>
      <c r="NK228" s="14">
        <f t="shared" si="52"/>
        <v>0</v>
      </c>
      <c r="NN228" s="14">
        <f t="shared" si="53"/>
        <v>128831000</v>
      </c>
      <c r="NO228" s="14">
        <f t="shared" si="54"/>
        <v>-148936</v>
      </c>
      <c r="NP228" s="14">
        <f t="shared" si="55"/>
        <v>128806000</v>
      </c>
      <c r="NS228" s="14">
        <f t="shared" si="63"/>
        <v>0</v>
      </c>
      <c r="NT228" s="14">
        <f t="shared" si="56"/>
        <v>0</v>
      </c>
      <c r="NU228" s="14">
        <f t="shared" si="57"/>
        <v>0</v>
      </c>
      <c r="NV228" s="14">
        <f t="shared" si="58"/>
        <v>0</v>
      </c>
      <c r="NW228" s="14">
        <f t="shared" si="59"/>
        <v>0</v>
      </c>
      <c r="NX228" s="14">
        <f t="shared" si="60"/>
        <v>0</v>
      </c>
      <c r="NY228" s="14">
        <f t="shared" si="61"/>
        <v>0</v>
      </c>
    </row>
    <row r="229" spans="1:389" x14ac:dyDescent="0.25">
      <c r="A229" s="96" t="s">
        <v>554</v>
      </c>
      <c r="B229" s="34">
        <v>739</v>
      </c>
      <c r="C229" s="99">
        <v>9</v>
      </c>
      <c r="JB229" s="14">
        <v>23292000</v>
      </c>
      <c r="JC229" s="14">
        <v>0</v>
      </c>
      <c r="JD229" s="14">
        <v>23292000</v>
      </c>
      <c r="JH229" s="14">
        <v>40182</v>
      </c>
      <c r="JL229" s="14">
        <v>23292000</v>
      </c>
      <c r="JM229" s="14">
        <v>-40182</v>
      </c>
      <c r="JN229" s="14">
        <v>23292000</v>
      </c>
      <c r="ND229" s="14">
        <f t="shared" si="62"/>
        <v>23292000</v>
      </c>
      <c r="NE229" s="14">
        <f t="shared" si="48"/>
        <v>0</v>
      </c>
      <c r="NF229" s="14">
        <f t="shared" si="49"/>
        <v>23292000</v>
      </c>
      <c r="NI229" s="14">
        <f t="shared" si="50"/>
        <v>0</v>
      </c>
      <c r="NJ229" s="14">
        <f t="shared" si="51"/>
        <v>40182</v>
      </c>
      <c r="NK229" s="14">
        <f t="shared" si="52"/>
        <v>0</v>
      </c>
      <c r="NN229" s="14">
        <f t="shared" si="53"/>
        <v>23292000</v>
      </c>
      <c r="NO229" s="14">
        <f t="shared" si="54"/>
        <v>-40182</v>
      </c>
      <c r="NP229" s="14">
        <f t="shared" si="55"/>
        <v>23292000</v>
      </c>
      <c r="NS229" s="14">
        <f t="shared" si="63"/>
        <v>0</v>
      </c>
      <c r="NT229" s="14">
        <f t="shared" si="56"/>
        <v>0</v>
      </c>
      <c r="NU229" s="14">
        <f t="shared" si="57"/>
        <v>0</v>
      </c>
      <c r="NV229" s="14">
        <f t="shared" si="58"/>
        <v>0</v>
      </c>
      <c r="NW229" s="14">
        <f t="shared" si="59"/>
        <v>0</v>
      </c>
      <c r="NX229" s="14">
        <f t="shared" si="60"/>
        <v>0</v>
      </c>
      <c r="NY229" s="14">
        <f t="shared" si="61"/>
        <v>0</v>
      </c>
    </row>
    <row r="230" spans="1:389" x14ac:dyDescent="0.25">
      <c r="A230" s="96" t="s">
        <v>555</v>
      </c>
      <c r="B230" s="34">
        <v>740</v>
      </c>
      <c r="C230" s="99">
        <v>10</v>
      </c>
      <c r="JB230" s="14">
        <v>29876000</v>
      </c>
      <c r="JC230" s="14">
        <v>610000</v>
      </c>
      <c r="JD230" s="14">
        <v>29266000</v>
      </c>
      <c r="JH230" s="14">
        <v>28837</v>
      </c>
      <c r="JL230" s="14">
        <v>29876000</v>
      </c>
      <c r="JM230" s="14">
        <v>581163</v>
      </c>
      <c r="JN230" s="14">
        <v>29266000</v>
      </c>
      <c r="ND230" s="14">
        <f t="shared" si="62"/>
        <v>29876000</v>
      </c>
      <c r="NE230" s="14">
        <f t="shared" si="48"/>
        <v>610000</v>
      </c>
      <c r="NF230" s="14">
        <f t="shared" si="49"/>
        <v>29266000</v>
      </c>
      <c r="NI230" s="14">
        <f t="shared" si="50"/>
        <v>0</v>
      </c>
      <c r="NJ230" s="14">
        <f t="shared" si="51"/>
        <v>28837</v>
      </c>
      <c r="NK230" s="14">
        <f t="shared" si="52"/>
        <v>0</v>
      </c>
      <c r="NN230" s="14">
        <f t="shared" si="53"/>
        <v>29876000</v>
      </c>
      <c r="NO230" s="14">
        <f t="shared" si="54"/>
        <v>581163</v>
      </c>
      <c r="NP230" s="14">
        <f t="shared" si="55"/>
        <v>29266000</v>
      </c>
      <c r="NS230" s="14">
        <f t="shared" si="63"/>
        <v>0</v>
      </c>
      <c r="NT230" s="14">
        <f t="shared" si="56"/>
        <v>0</v>
      </c>
      <c r="NU230" s="14">
        <f t="shared" si="57"/>
        <v>0</v>
      </c>
      <c r="NV230" s="14">
        <f t="shared" si="58"/>
        <v>0</v>
      </c>
      <c r="NW230" s="14">
        <f t="shared" si="59"/>
        <v>0</v>
      </c>
      <c r="NX230" s="14">
        <f t="shared" si="60"/>
        <v>0</v>
      </c>
      <c r="NY230" s="14">
        <f t="shared" si="61"/>
        <v>0</v>
      </c>
    </row>
    <row r="231" spans="1:389" x14ac:dyDescent="0.25">
      <c r="A231" s="96" t="s">
        <v>556</v>
      </c>
      <c r="B231" s="34">
        <v>742</v>
      </c>
      <c r="C231" s="99">
        <v>19</v>
      </c>
      <c r="JB231" s="14">
        <v>217755000</v>
      </c>
      <c r="JC231" s="14">
        <v>318000</v>
      </c>
      <c r="JD231" s="14">
        <v>217437000</v>
      </c>
      <c r="JH231" s="14">
        <v>40133</v>
      </c>
      <c r="JL231" s="14">
        <v>217755000</v>
      </c>
      <c r="JM231" s="14">
        <v>277867</v>
      </c>
      <c r="JN231" s="14">
        <v>217437000</v>
      </c>
      <c r="ND231" s="14">
        <f t="shared" si="62"/>
        <v>217755000</v>
      </c>
      <c r="NE231" s="14">
        <f t="shared" si="48"/>
        <v>318000</v>
      </c>
      <c r="NF231" s="14">
        <f t="shared" si="49"/>
        <v>217437000</v>
      </c>
      <c r="NI231" s="14">
        <f t="shared" si="50"/>
        <v>0</v>
      </c>
      <c r="NJ231" s="14">
        <f t="shared" si="51"/>
        <v>40133</v>
      </c>
      <c r="NK231" s="14">
        <f t="shared" si="52"/>
        <v>0</v>
      </c>
      <c r="NN231" s="14">
        <f t="shared" si="53"/>
        <v>217755000</v>
      </c>
      <c r="NO231" s="14">
        <f t="shared" si="54"/>
        <v>277867</v>
      </c>
      <c r="NP231" s="14">
        <f t="shared" si="55"/>
        <v>217437000</v>
      </c>
      <c r="NS231" s="14">
        <f t="shared" si="63"/>
        <v>0</v>
      </c>
      <c r="NT231" s="14">
        <f t="shared" si="56"/>
        <v>0</v>
      </c>
      <c r="NU231" s="14">
        <f t="shared" si="57"/>
        <v>0</v>
      </c>
      <c r="NV231" s="14">
        <f t="shared" si="58"/>
        <v>0</v>
      </c>
      <c r="NW231" s="14">
        <f t="shared" si="59"/>
        <v>0</v>
      </c>
      <c r="NX231" s="14">
        <f t="shared" si="60"/>
        <v>0</v>
      </c>
      <c r="NY231" s="14">
        <f t="shared" si="61"/>
        <v>0</v>
      </c>
    </row>
    <row r="232" spans="1:389" x14ac:dyDescent="0.25">
      <c r="A232" s="96" t="s">
        <v>557</v>
      </c>
      <c r="B232" s="34">
        <v>743</v>
      </c>
      <c r="C232" s="99">
        <v>14</v>
      </c>
      <c r="JB232" s="14">
        <v>22732000</v>
      </c>
      <c r="JC232" s="14">
        <v>1000000</v>
      </c>
      <c r="JD232" s="14">
        <v>21732000</v>
      </c>
      <c r="JH232" s="14">
        <v>122860</v>
      </c>
      <c r="JL232" s="14">
        <v>22732000</v>
      </c>
      <c r="JM232" s="14">
        <v>877140</v>
      </c>
      <c r="JN232" s="14">
        <v>21732000</v>
      </c>
      <c r="ND232" s="14">
        <f t="shared" si="62"/>
        <v>22732000</v>
      </c>
      <c r="NE232" s="14">
        <f t="shared" si="48"/>
        <v>1000000</v>
      </c>
      <c r="NF232" s="14">
        <f t="shared" si="49"/>
        <v>21732000</v>
      </c>
      <c r="NI232" s="14">
        <f t="shared" si="50"/>
        <v>0</v>
      </c>
      <c r="NJ232" s="14">
        <f t="shared" si="51"/>
        <v>122860</v>
      </c>
      <c r="NK232" s="14">
        <f t="shared" si="52"/>
        <v>0</v>
      </c>
      <c r="NN232" s="14">
        <f t="shared" si="53"/>
        <v>22732000</v>
      </c>
      <c r="NO232" s="14">
        <f t="shared" si="54"/>
        <v>877140</v>
      </c>
      <c r="NP232" s="14">
        <f t="shared" si="55"/>
        <v>21732000</v>
      </c>
      <c r="NS232" s="14">
        <f t="shared" si="63"/>
        <v>0</v>
      </c>
      <c r="NT232" s="14">
        <f t="shared" si="56"/>
        <v>0</v>
      </c>
      <c r="NU232" s="14">
        <f t="shared" si="57"/>
        <v>0</v>
      </c>
      <c r="NV232" s="14">
        <f t="shared" si="58"/>
        <v>0</v>
      </c>
      <c r="NW232" s="14">
        <f t="shared" si="59"/>
        <v>0</v>
      </c>
      <c r="NX232" s="14">
        <f t="shared" si="60"/>
        <v>0</v>
      </c>
      <c r="NY232" s="14">
        <f t="shared" si="61"/>
        <v>0</v>
      </c>
    </row>
    <row r="233" spans="1:389" x14ac:dyDescent="0.25">
      <c r="A233" s="96" t="s">
        <v>558</v>
      </c>
      <c r="B233" s="34">
        <v>746</v>
      </c>
      <c r="C233" s="99">
        <v>17</v>
      </c>
      <c r="JB233" s="14">
        <v>14755000</v>
      </c>
      <c r="JC233" s="14">
        <v>19000</v>
      </c>
      <c r="JD233" s="14">
        <v>14736000</v>
      </c>
      <c r="JH233" s="14">
        <v>12421</v>
      </c>
      <c r="JL233" s="14">
        <v>14755000</v>
      </c>
      <c r="JM233" s="14">
        <v>6579</v>
      </c>
      <c r="JN233" s="14">
        <v>14736000</v>
      </c>
      <c r="ND233" s="14">
        <f t="shared" si="62"/>
        <v>14755000</v>
      </c>
      <c r="NE233" s="14">
        <f t="shared" si="48"/>
        <v>19000</v>
      </c>
      <c r="NF233" s="14">
        <f t="shared" si="49"/>
        <v>14736000</v>
      </c>
      <c r="NI233" s="14">
        <f t="shared" si="50"/>
        <v>0</v>
      </c>
      <c r="NJ233" s="14">
        <f t="shared" si="51"/>
        <v>12421</v>
      </c>
      <c r="NK233" s="14">
        <f t="shared" si="52"/>
        <v>0</v>
      </c>
      <c r="NN233" s="14">
        <f t="shared" si="53"/>
        <v>14755000</v>
      </c>
      <c r="NO233" s="14">
        <f t="shared" si="54"/>
        <v>6579</v>
      </c>
      <c r="NP233" s="14">
        <f t="shared" si="55"/>
        <v>14736000</v>
      </c>
      <c r="NS233" s="14">
        <f t="shared" si="63"/>
        <v>0</v>
      </c>
      <c r="NT233" s="14">
        <f t="shared" si="56"/>
        <v>0</v>
      </c>
      <c r="NU233" s="14">
        <f t="shared" si="57"/>
        <v>0</v>
      </c>
      <c r="NV233" s="14">
        <f t="shared" si="58"/>
        <v>0</v>
      </c>
      <c r="NW233" s="14">
        <f t="shared" si="59"/>
        <v>0</v>
      </c>
      <c r="NX233" s="14">
        <f t="shared" si="60"/>
        <v>0</v>
      </c>
      <c r="NY233" s="14">
        <f t="shared" si="61"/>
        <v>0</v>
      </c>
    </row>
    <row r="234" spans="1:389" x14ac:dyDescent="0.25">
      <c r="A234" s="96" t="s">
        <v>559</v>
      </c>
      <c r="B234" s="34">
        <v>747</v>
      </c>
      <c r="C234" s="99">
        <v>4</v>
      </c>
      <c r="JB234" s="14">
        <v>24078000</v>
      </c>
      <c r="JC234" s="14">
        <v>20000</v>
      </c>
      <c r="JD234" s="14">
        <v>24058000</v>
      </c>
      <c r="JH234" s="14">
        <v>16036</v>
      </c>
      <c r="JL234" s="14">
        <v>24078000</v>
      </c>
      <c r="JM234" s="14">
        <v>3964</v>
      </c>
      <c r="JN234" s="14">
        <v>24058000</v>
      </c>
      <c r="ND234" s="14">
        <f t="shared" si="62"/>
        <v>24078000</v>
      </c>
      <c r="NE234" s="14">
        <f t="shared" si="48"/>
        <v>20000</v>
      </c>
      <c r="NF234" s="14">
        <f t="shared" si="49"/>
        <v>24058000</v>
      </c>
      <c r="NI234" s="14">
        <f t="shared" si="50"/>
        <v>0</v>
      </c>
      <c r="NJ234" s="14">
        <f t="shared" si="51"/>
        <v>16036</v>
      </c>
      <c r="NK234" s="14">
        <f t="shared" si="52"/>
        <v>0</v>
      </c>
      <c r="NN234" s="14">
        <f t="shared" si="53"/>
        <v>24078000</v>
      </c>
      <c r="NO234" s="14">
        <f t="shared" si="54"/>
        <v>3964</v>
      </c>
      <c r="NP234" s="14">
        <f t="shared" si="55"/>
        <v>24058000</v>
      </c>
      <c r="NS234" s="14">
        <f t="shared" si="63"/>
        <v>0</v>
      </c>
      <c r="NT234" s="14">
        <f t="shared" si="56"/>
        <v>0</v>
      </c>
      <c r="NU234" s="14">
        <f t="shared" si="57"/>
        <v>0</v>
      </c>
      <c r="NV234" s="14">
        <f t="shared" si="58"/>
        <v>0</v>
      </c>
      <c r="NW234" s="14">
        <f t="shared" si="59"/>
        <v>0</v>
      </c>
      <c r="NX234" s="14">
        <f t="shared" si="60"/>
        <v>0</v>
      </c>
      <c r="NY234" s="14">
        <f t="shared" si="61"/>
        <v>0</v>
      </c>
    </row>
    <row r="235" spans="1:389" x14ac:dyDescent="0.25">
      <c r="A235" s="96" t="s">
        <v>560</v>
      </c>
      <c r="B235" s="34">
        <v>748</v>
      </c>
      <c r="C235" s="99">
        <v>17</v>
      </c>
      <c r="JB235" s="14">
        <v>19278000</v>
      </c>
      <c r="JC235" s="14">
        <v>300000</v>
      </c>
      <c r="JD235" s="14">
        <v>18978000</v>
      </c>
      <c r="JH235" s="14">
        <v>698720</v>
      </c>
      <c r="JL235" s="14">
        <v>19278000</v>
      </c>
      <c r="JM235" s="14">
        <v>-398720</v>
      </c>
      <c r="JN235" s="14">
        <v>18978000</v>
      </c>
      <c r="ND235" s="14">
        <f t="shared" si="62"/>
        <v>19278000</v>
      </c>
      <c r="NE235" s="14">
        <f t="shared" si="48"/>
        <v>300000</v>
      </c>
      <c r="NF235" s="14">
        <f t="shared" si="49"/>
        <v>18978000</v>
      </c>
      <c r="NI235" s="14">
        <f t="shared" si="50"/>
        <v>0</v>
      </c>
      <c r="NJ235" s="14">
        <f t="shared" si="51"/>
        <v>698720</v>
      </c>
      <c r="NK235" s="14">
        <f t="shared" si="52"/>
        <v>0</v>
      </c>
      <c r="NN235" s="14">
        <f t="shared" si="53"/>
        <v>19278000</v>
      </c>
      <c r="NO235" s="14">
        <f t="shared" si="54"/>
        <v>-398720</v>
      </c>
      <c r="NP235" s="14">
        <f t="shared" si="55"/>
        <v>18978000</v>
      </c>
      <c r="NS235" s="14">
        <f t="shared" si="63"/>
        <v>0</v>
      </c>
      <c r="NT235" s="14">
        <f t="shared" si="56"/>
        <v>0</v>
      </c>
      <c r="NU235" s="14">
        <f t="shared" si="57"/>
        <v>0</v>
      </c>
      <c r="NV235" s="14">
        <f t="shared" si="58"/>
        <v>0</v>
      </c>
      <c r="NW235" s="14">
        <f t="shared" si="59"/>
        <v>0</v>
      </c>
      <c r="NX235" s="14">
        <f t="shared" si="60"/>
        <v>0</v>
      </c>
      <c r="NY235" s="14">
        <f t="shared" si="61"/>
        <v>0</v>
      </c>
    </row>
    <row r="236" spans="1:389" x14ac:dyDescent="0.25">
      <c r="A236" s="96" t="s">
        <v>577</v>
      </c>
      <c r="B236" s="34">
        <v>791</v>
      </c>
      <c r="C236" s="99">
        <v>17</v>
      </c>
      <c r="JB236" s="14">
        <v>154447000</v>
      </c>
      <c r="JC236" s="14">
        <v>0</v>
      </c>
      <c r="JD236" s="14">
        <v>154447000</v>
      </c>
      <c r="JH236" s="14">
        <v>72097</v>
      </c>
      <c r="JL236" s="14">
        <v>154447000</v>
      </c>
      <c r="JM236" s="14">
        <v>-72097</v>
      </c>
      <c r="JN236" s="14">
        <v>154447000</v>
      </c>
      <c r="ND236" s="14">
        <f t="shared" si="62"/>
        <v>154447000</v>
      </c>
      <c r="NE236" s="14">
        <f t="shared" si="48"/>
        <v>0</v>
      </c>
      <c r="NF236" s="14">
        <f t="shared" si="49"/>
        <v>154447000</v>
      </c>
      <c r="NI236" s="14">
        <f t="shared" si="50"/>
        <v>0</v>
      </c>
      <c r="NJ236" s="14">
        <f t="shared" si="51"/>
        <v>72097</v>
      </c>
      <c r="NK236" s="14">
        <f t="shared" si="52"/>
        <v>0</v>
      </c>
      <c r="NN236" s="14">
        <f t="shared" si="53"/>
        <v>154447000</v>
      </c>
      <c r="NO236" s="14">
        <f t="shared" si="54"/>
        <v>-72097</v>
      </c>
      <c r="NP236" s="14">
        <f t="shared" si="55"/>
        <v>154447000</v>
      </c>
      <c r="NS236" s="14">
        <f t="shared" si="63"/>
        <v>0</v>
      </c>
      <c r="NT236" s="14">
        <f t="shared" si="56"/>
        <v>0</v>
      </c>
      <c r="NU236" s="14">
        <f t="shared" si="57"/>
        <v>0</v>
      </c>
      <c r="NV236" s="14">
        <f t="shared" si="58"/>
        <v>0</v>
      </c>
      <c r="NW236" s="14">
        <f t="shared" si="59"/>
        <v>0</v>
      </c>
      <c r="NX236" s="14">
        <f t="shared" si="60"/>
        <v>0</v>
      </c>
      <c r="NY236" s="14">
        <f t="shared" si="61"/>
        <v>0</v>
      </c>
    </row>
    <row r="237" spans="1:389" x14ac:dyDescent="0.25">
      <c r="A237" s="96" t="s">
        <v>561</v>
      </c>
      <c r="B237" s="34">
        <v>749</v>
      </c>
      <c r="C237" s="99">
        <v>11</v>
      </c>
      <c r="JB237" s="14">
        <v>11663000</v>
      </c>
      <c r="JC237" s="14">
        <v>3095000</v>
      </c>
      <c r="JD237" s="14">
        <v>8568000</v>
      </c>
      <c r="JH237" s="14">
        <v>139900</v>
      </c>
      <c r="JL237" s="14">
        <v>11663000</v>
      </c>
      <c r="JM237" s="14">
        <v>2955100</v>
      </c>
      <c r="JN237" s="14">
        <v>8568000</v>
      </c>
      <c r="ND237" s="14">
        <f t="shared" si="62"/>
        <v>11663000</v>
      </c>
      <c r="NE237" s="14">
        <f t="shared" si="48"/>
        <v>3095000</v>
      </c>
      <c r="NF237" s="14">
        <f t="shared" si="49"/>
        <v>8568000</v>
      </c>
      <c r="NI237" s="14">
        <f t="shared" si="50"/>
        <v>0</v>
      </c>
      <c r="NJ237" s="14">
        <f t="shared" si="51"/>
        <v>139900</v>
      </c>
      <c r="NK237" s="14">
        <f t="shared" si="52"/>
        <v>0</v>
      </c>
      <c r="NN237" s="14">
        <f t="shared" si="53"/>
        <v>11663000</v>
      </c>
      <c r="NO237" s="14">
        <f t="shared" si="54"/>
        <v>2955100</v>
      </c>
      <c r="NP237" s="14">
        <f t="shared" si="55"/>
        <v>8568000</v>
      </c>
      <c r="NS237" s="14">
        <f t="shared" si="63"/>
        <v>0</v>
      </c>
      <c r="NT237" s="14">
        <f t="shared" si="56"/>
        <v>0</v>
      </c>
      <c r="NU237" s="14">
        <f t="shared" si="57"/>
        <v>0</v>
      </c>
      <c r="NV237" s="14">
        <f t="shared" si="58"/>
        <v>0</v>
      </c>
      <c r="NW237" s="14">
        <f t="shared" si="59"/>
        <v>0</v>
      </c>
      <c r="NX237" s="14">
        <f t="shared" si="60"/>
        <v>0</v>
      </c>
      <c r="NY237" s="14">
        <f t="shared" si="61"/>
        <v>0</v>
      </c>
    </row>
    <row r="238" spans="1:389" x14ac:dyDescent="0.25">
      <c r="A238" s="96" t="s">
        <v>562</v>
      </c>
      <c r="B238" s="34">
        <v>751</v>
      </c>
      <c r="C238" s="99">
        <v>19</v>
      </c>
      <c r="JB238" s="14">
        <v>361907000</v>
      </c>
      <c r="JC238" s="14">
        <v>0</v>
      </c>
      <c r="JD238" s="14">
        <v>361907000</v>
      </c>
      <c r="JH238" s="14">
        <v>6743</v>
      </c>
      <c r="JL238" s="14">
        <v>361907000</v>
      </c>
      <c r="JM238" s="14">
        <v>-6743</v>
      </c>
      <c r="JN238" s="14">
        <v>361907000</v>
      </c>
      <c r="ND238" s="14">
        <f t="shared" si="62"/>
        <v>361907000</v>
      </c>
      <c r="NE238" s="14">
        <f t="shared" si="48"/>
        <v>0</v>
      </c>
      <c r="NF238" s="14">
        <f t="shared" si="49"/>
        <v>361907000</v>
      </c>
      <c r="NI238" s="14">
        <f t="shared" si="50"/>
        <v>0</v>
      </c>
      <c r="NJ238" s="14">
        <f t="shared" si="51"/>
        <v>6743</v>
      </c>
      <c r="NK238" s="14">
        <f t="shared" si="52"/>
        <v>0</v>
      </c>
      <c r="NN238" s="14">
        <f t="shared" si="53"/>
        <v>361907000</v>
      </c>
      <c r="NO238" s="14">
        <f t="shared" si="54"/>
        <v>-6743</v>
      </c>
      <c r="NP238" s="14">
        <f t="shared" si="55"/>
        <v>361907000</v>
      </c>
      <c r="NS238" s="14">
        <f t="shared" si="63"/>
        <v>0</v>
      </c>
      <c r="NT238" s="14">
        <f t="shared" si="56"/>
        <v>0</v>
      </c>
      <c r="NU238" s="14">
        <f t="shared" si="57"/>
        <v>0</v>
      </c>
      <c r="NV238" s="14">
        <f t="shared" si="58"/>
        <v>0</v>
      </c>
      <c r="NW238" s="14">
        <f t="shared" si="59"/>
        <v>0</v>
      </c>
      <c r="NX238" s="14">
        <f t="shared" si="60"/>
        <v>0</v>
      </c>
      <c r="NY238" s="14">
        <f t="shared" si="61"/>
        <v>0</v>
      </c>
    </row>
    <row r="239" spans="1:389" x14ac:dyDescent="0.25">
      <c r="A239" s="96" t="s">
        <v>563</v>
      </c>
      <c r="B239" s="34">
        <v>753</v>
      </c>
      <c r="C239" s="99">
        <v>1</v>
      </c>
      <c r="JB239" s="14">
        <v>31626000</v>
      </c>
      <c r="JC239" s="14">
        <v>0</v>
      </c>
      <c r="JD239" s="14">
        <v>31626000</v>
      </c>
      <c r="JH239" s="14">
        <v>107531</v>
      </c>
      <c r="JL239" s="14">
        <v>31626000</v>
      </c>
      <c r="JM239" s="14">
        <v>-107531</v>
      </c>
      <c r="JN239" s="14">
        <v>31626000</v>
      </c>
      <c r="ND239" s="14">
        <f t="shared" si="62"/>
        <v>31626000</v>
      </c>
      <c r="NE239" s="14">
        <f t="shared" si="48"/>
        <v>0</v>
      </c>
      <c r="NF239" s="14">
        <f t="shared" si="49"/>
        <v>31626000</v>
      </c>
      <c r="NI239" s="14">
        <f t="shared" si="50"/>
        <v>0</v>
      </c>
      <c r="NJ239" s="14">
        <f t="shared" si="51"/>
        <v>107531</v>
      </c>
      <c r="NK239" s="14">
        <f t="shared" si="52"/>
        <v>0</v>
      </c>
      <c r="NN239" s="14">
        <f t="shared" si="53"/>
        <v>31626000</v>
      </c>
      <c r="NO239" s="14">
        <f t="shared" si="54"/>
        <v>-107531</v>
      </c>
      <c r="NP239" s="14">
        <f t="shared" si="55"/>
        <v>31626000</v>
      </c>
      <c r="NS239" s="14">
        <f t="shared" si="63"/>
        <v>0</v>
      </c>
      <c r="NT239" s="14">
        <f t="shared" si="56"/>
        <v>0</v>
      </c>
      <c r="NU239" s="14">
        <f t="shared" si="57"/>
        <v>0</v>
      </c>
      <c r="NV239" s="14">
        <f t="shared" si="58"/>
        <v>0</v>
      </c>
      <c r="NW239" s="14">
        <f t="shared" si="59"/>
        <v>0</v>
      </c>
      <c r="NX239" s="14">
        <f t="shared" si="60"/>
        <v>0</v>
      </c>
      <c r="NY239" s="14">
        <f t="shared" si="61"/>
        <v>0</v>
      </c>
    </row>
    <row r="240" spans="1:389" x14ac:dyDescent="0.25">
      <c r="A240" s="96" t="s">
        <v>564</v>
      </c>
      <c r="B240" s="34">
        <v>755</v>
      </c>
      <c r="C240" s="99">
        <v>1</v>
      </c>
      <c r="JB240" s="14">
        <v>29704000</v>
      </c>
      <c r="JC240" s="14">
        <v>298000</v>
      </c>
      <c r="JD240" s="14">
        <v>29406000</v>
      </c>
      <c r="JH240" s="14">
        <v>0</v>
      </c>
      <c r="JL240" s="14">
        <v>29704000</v>
      </c>
      <c r="JM240" s="14">
        <v>298000</v>
      </c>
      <c r="JN240" s="14">
        <v>29406000</v>
      </c>
      <c r="ND240" s="14">
        <f t="shared" si="62"/>
        <v>29704000</v>
      </c>
      <c r="NE240" s="14">
        <f t="shared" si="48"/>
        <v>298000</v>
      </c>
      <c r="NF240" s="14">
        <f t="shared" si="49"/>
        <v>29406000</v>
      </c>
      <c r="NI240" s="14">
        <f t="shared" si="50"/>
        <v>0</v>
      </c>
      <c r="NJ240" s="14">
        <f t="shared" si="51"/>
        <v>0</v>
      </c>
      <c r="NK240" s="14">
        <f t="shared" si="52"/>
        <v>0</v>
      </c>
      <c r="NN240" s="14">
        <f t="shared" si="53"/>
        <v>29704000</v>
      </c>
      <c r="NO240" s="14">
        <f t="shared" si="54"/>
        <v>298000</v>
      </c>
      <c r="NP240" s="14">
        <f t="shared" si="55"/>
        <v>29406000</v>
      </c>
      <c r="NS240" s="14">
        <f t="shared" si="63"/>
        <v>0</v>
      </c>
      <c r="NT240" s="14">
        <f t="shared" si="56"/>
        <v>0</v>
      </c>
      <c r="NU240" s="14">
        <f t="shared" si="57"/>
        <v>0</v>
      </c>
      <c r="NV240" s="14">
        <f t="shared" si="58"/>
        <v>0</v>
      </c>
      <c r="NW240" s="14">
        <f t="shared" si="59"/>
        <v>0</v>
      </c>
      <c r="NX240" s="14">
        <f t="shared" si="60"/>
        <v>0</v>
      </c>
      <c r="NY240" s="14">
        <f t="shared" si="61"/>
        <v>0</v>
      </c>
    </row>
    <row r="241" spans="1:389" x14ac:dyDescent="0.25">
      <c r="A241" s="96" t="s">
        <v>565</v>
      </c>
      <c r="B241" s="34">
        <v>758</v>
      </c>
      <c r="C241" s="99">
        <v>19</v>
      </c>
      <c r="JB241" s="14">
        <v>29033000</v>
      </c>
      <c r="JC241" s="14">
        <v>0</v>
      </c>
      <c r="JD241" s="14">
        <v>29033000</v>
      </c>
      <c r="JH241" s="14">
        <v>33171</v>
      </c>
      <c r="JL241" s="14">
        <v>29033000</v>
      </c>
      <c r="JM241" s="14">
        <v>-33171</v>
      </c>
      <c r="JN241" s="14">
        <v>29033000</v>
      </c>
      <c r="ND241" s="14">
        <f t="shared" si="62"/>
        <v>29033000</v>
      </c>
      <c r="NE241" s="14">
        <f t="shared" si="48"/>
        <v>0</v>
      </c>
      <c r="NF241" s="14">
        <f t="shared" si="49"/>
        <v>29033000</v>
      </c>
      <c r="NI241" s="14">
        <f t="shared" si="50"/>
        <v>0</v>
      </c>
      <c r="NJ241" s="14">
        <f t="shared" si="51"/>
        <v>33171</v>
      </c>
      <c r="NK241" s="14">
        <f t="shared" si="52"/>
        <v>0</v>
      </c>
      <c r="NN241" s="14">
        <f t="shared" si="53"/>
        <v>29033000</v>
      </c>
      <c r="NO241" s="14">
        <f t="shared" si="54"/>
        <v>-33171</v>
      </c>
      <c r="NP241" s="14">
        <f t="shared" si="55"/>
        <v>29033000</v>
      </c>
      <c r="NS241" s="14">
        <f t="shared" si="63"/>
        <v>0</v>
      </c>
      <c r="NT241" s="14">
        <f t="shared" si="56"/>
        <v>0</v>
      </c>
      <c r="NU241" s="14">
        <f t="shared" si="57"/>
        <v>0</v>
      </c>
      <c r="NV241" s="14">
        <f t="shared" si="58"/>
        <v>0</v>
      </c>
      <c r="NW241" s="14">
        <f t="shared" si="59"/>
        <v>0</v>
      </c>
      <c r="NX241" s="14">
        <f t="shared" si="60"/>
        <v>0</v>
      </c>
      <c r="NY241" s="14">
        <f t="shared" si="61"/>
        <v>0</v>
      </c>
    </row>
    <row r="242" spans="1:389" x14ac:dyDescent="0.25">
      <c r="A242" s="96" t="s">
        <v>566</v>
      </c>
      <c r="B242" s="34">
        <v>759</v>
      </c>
      <c r="C242" s="99">
        <v>14</v>
      </c>
      <c r="JB242" s="14">
        <v>16002000</v>
      </c>
      <c r="JC242" s="14">
        <v>63520000</v>
      </c>
      <c r="JD242" s="14">
        <v>-47518000</v>
      </c>
      <c r="JH242" s="14">
        <v>826082</v>
      </c>
      <c r="JL242" s="14">
        <v>16002000</v>
      </c>
      <c r="JM242" s="14">
        <v>62693918</v>
      </c>
      <c r="JN242" s="14">
        <v>-47518000</v>
      </c>
      <c r="ND242" s="14">
        <f t="shared" si="62"/>
        <v>16002000</v>
      </c>
      <c r="NE242" s="14">
        <f t="shared" si="48"/>
        <v>63520000</v>
      </c>
      <c r="NF242" s="14">
        <f t="shared" si="49"/>
        <v>-47518000</v>
      </c>
      <c r="NI242" s="14">
        <f t="shared" si="50"/>
        <v>0</v>
      </c>
      <c r="NJ242" s="14">
        <f t="shared" si="51"/>
        <v>826082</v>
      </c>
      <c r="NK242" s="14">
        <f t="shared" si="52"/>
        <v>0</v>
      </c>
      <c r="NN242" s="14">
        <f t="shared" si="53"/>
        <v>16002000</v>
      </c>
      <c r="NO242" s="14">
        <f t="shared" si="54"/>
        <v>62693918</v>
      </c>
      <c r="NP242" s="14">
        <f t="shared" si="55"/>
        <v>-47518000</v>
      </c>
      <c r="NS242" s="14">
        <f t="shared" si="63"/>
        <v>0</v>
      </c>
      <c r="NT242" s="14">
        <f t="shared" si="56"/>
        <v>0</v>
      </c>
      <c r="NU242" s="14">
        <f t="shared" si="57"/>
        <v>0</v>
      </c>
      <c r="NV242" s="14">
        <f t="shared" si="58"/>
        <v>0</v>
      </c>
      <c r="NW242" s="14">
        <f t="shared" si="59"/>
        <v>0</v>
      </c>
      <c r="NX242" s="14">
        <f t="shared" si="60"/>
        <v>0</v>
      </c>
      <c r="NY242" s="14">
        <f t="shared" si="61"/>
        <v>0</v>
      </c>
    </row>
    <row r="243" spans="1:389" x14ac:dyDescent="0.25">
      <c r="A243" s="96" t="s">
        <v>567</v>
      </c>
      <c r="B243" s="34">
        <v>761</v>
      </c>
      <c r="C243" s="99">
        <v>2</v>
      </c>
      <c r="JB243" s="14">
        <v>167078000</v>
      </c>
      <c r="JC243" s="14">
        <v>1798000</v>
      </c>
      <c r="JD243" s="14">
        <v>165280000</v>
      </c>
      <c r="JH243" s="14">
        <v>183571</v>
      </c>
      <c r="JL243" s="14">
        <v>167078000</v>
      </c>
      <c r="JM243" s="14">
        <v>1614429</v>
      </c>
      <c r="JN243" s="14">
        <v>165280000</v>
      </c>
      <c r="ND243" s="14">
        <f t="shared" si="62"/>
        <v>167078000</v>
      </c>
      <c r="NE243" s="14">
        <f t="shared" si="48"/>
        <v>1798000</v>
      </c>
      <c r="NF243" s="14">
        <f t="shared" si="49"/>
        <v>165280000</v>
      </c>
      <c r="NI243" s="14">
        <f t="shared" si="50"/>
        <v>0</v>
      </c>
      <c r="NJ243" s="14">
        <f t="shared" si="51"/>
        <v>183571</v>
      </c>
      <c r="NK243" s="14">
        <f t="shared" si="52"/>
        <v>0</v>
      </c>
      <c r="NN243" s="14">
        <f t="shared" si="53"/>
        <v>167078000</v>
      </c>
      <c r="NO243" s="14">
        <f t="shared" si="54"/>
        <v>1614429</v>
      </c>
      <c r="NP243" s="14">
        <f t="shared" si="55"/>
        <v>165280000</v>
      </c>
      <c r="NS243" s="14">
        <f t="shared" si="63"/>
        <v>0</v>
      </c>
      <c r="NT243" s="14">
        <f t="shared" si="56"/>
        <v>0</v>
      </c>
      <c r="NU243" s="14">
        <f t="shared" si="57"/>
        <v>0</v>
      </c>
      <c r="NV243" s="14">
        <f t="shared" si="58"/>
        <v>0</v>
      </c>
      <c r="NW243" s="14">
        <f t="shared" si="59"/>
        <v>0</v>
      </c>
      <c r="NX243" s="14">
        <f t="shared" si="60"/>
        <v>0</v>
      </c>
      <c r="NY243" s="14">
        <f t="shared" si="61"/>
        <v>0</v>
      </c>
    </row>
    <row r="244" spans="1:389" x14ac:dyDescent="0.25">
      <c r="A244" s="96" t="s">
        <v>568</v>
      </c>
      <c r="B244" s="34">
        <v>762</v>
      </c>
      <c r="C244" s="99">
        <v>11</v>
      </c>
      <c r="JB244" s="14">
        <v>60118000</v>
      </c>
      <c r="JC244" s="14">
        <v>700000</v>
      </c>
      <c r="JD244" s="14">
        <v>59418000</v>
      </c>
      <c r="JH244" s="14">
        <v>0</v>
      </c>
      <c r="JL244" s="14">
        <v>60118000</v>
      </c>
      <c r="JM244" s="14">
        <v>700000</v>
      </c>
      <c r="JN244" s="14">
        <v>59418000</v>
      </c>
      <c r="ND244" s="14">
        <f t="shared" si="62"/>
        <v>60118000</v>
      </c>
      <c r="NE244" s="14">
        <f t="shared" si="48"/>
        <v>700000</v>
      </c>
      <c r="NF244" s="14">
        <f t="shared" si="49"/>
        <v>59418000</v>
      </c>
      <c r="NI244" s="14">
        <f t="shared" si="50"/>
        <v>0</v>
      </c>
      <c r="NJ244" s="14">
        <f t="shared" si="51"/>
        <v>0</v>
      </c>
      <c r="NK244" s="14">
        <f t="shared" si="52"/>
        <v>0</v>
      </c>
      <c r="NN244" s="14">
        <f t="shared" si="53"/>
        <v>60118000</v>
      </c>
      <c r="NO244" s="14">
        <f t="shared" si="54"/>
        <v>700000</v>
      </c>
      <c r="NP244" s="14">
        <f t="shared" si="55"/>
        <v>59418000</v>
      </c>
      <c r="NS244" s="14">
        <f t="shared" si="63"/>
        <v>0</v>
      </c>
      <c r="NT244" s="14">
        <f t="shared" si="56"/>
        <v>0</v>
      </c>
      <c r="NU244" s="14">
        <f t="shared" si="57"/>
        <v>0</v>
      </c>
      <c r="NV244" s="14">
        <f t="shared" si="58"/>
        <v>0</v>
      </c>
      <c r="NW244" s="14">
        <f t="shared" si="59"/>
        <v>0</v>
      </c>
      <c r="NX244" s="14">
        <f t="shared" si="60"/>
        <v>0</v>
      </c>
      <c r="NY244" s="14">
        <f t="shared" si="61"/>
        <v>0</v>
      </c>
    </row>
    <row r="245" spans="1:389" x14ac:dyDescent="0.25">
      <c r="A245" s="96" t="s">
        <v>569</v>
      </c>
      <c r="B245" s="34">
        <v>765</v>
      </c>
      <c r="C245" s="99">
        <v>18</v>
      </c>
      <c r="JB245" s="14">
        <v>31846000</v>
      </c>
      <c r="JC245" s="14">
        <v>69000</v>
      </c>
      <c r="JD245" s="14">
        <v>31777000</v>
      </c>
      <c r="JH245" s="14">
        <v>25708</v>
      </c>
      <c r="JL245" s="14">
        <v>31846000</v>
      </c>
      <c r="JM245" s="14">
        <v>43292</v>
      </c>
      <c r="JN245" s="14">
        <v>31777000</v>
      </c>
      <c r="ND245" s="14">
        <f t="shared" si="62"/>
        <v>31846000</v>
      </c>
      <c r="NE245" s="14">
        <f t="shared" si="48"/>
        <v>69000</v>
      </c>
      <c r="NF245" s="14">
        <f t="shared" si="49"/>
        <v>31777000</v>
      </c>
      <c r="NI245" s="14">
        <f t="shared" si="50"/>
        <v>0</v>
      </c>
      <c r="NJ245" s="14">
        <f t="shared" si="51"/>
        <v>25708</v>
      </c>
      <c r="NK245" s="14">
        <f t="shared" si="52"/>
        <v>0</v>
      </c>
      <c r="NN245" s="14">
        <f t="shared" si="53"/>
        <v>31846000</v>
      </c>
      <c r="NO245" s="14">
        <f t="shared" si="54"/>
        <v>43292</v>
      </c>
      <c r="NP245" s="14">
        <f t="shared" si="55"/>
        <v>31777000</v>
      </c>
      <c r="NS245" s="14">
        <f t="shared" si="63"/>
        <v>0</v>
      </c>
      <c r="NT245" s="14">
        <f t="shared" si="56"/>
        <v>0</v>
      </c>
      <c r="NU245" s="14">
        <f t="shared" si="57"/>
        <v>0</v>
      </c>
      <c r="NV245" s="14">
        <f t="shared" si="58"/>
        <v>0</v>
      </c>
      <c r="NW245" s="14">
        <f t="shared" si="59"/>
        <v>0</v>
      </c>
      <c r="NX245" s="14">
        <f t="shared" si="60"/>
        <v>0</v>
      </c>
      <c r="NY245" s="14">
        <f t="shared" si="61"/>
        <v>0</v>
      </c>
    </row>
    <row r="246" spans="1:389" x14ac:dyDescent="0.25">
      <c r="A246" s="96" t="s">
        <v>570</v>
      </c>
      <c r="B246" s="34">
        <v>768</v>
      </c>
      <c r="C246" s="99">
        <v>10</v>
      </c>
      <c r="JB246" s="14">
        <v>298672000</v>
      </c>
      <c r="JC246" s="14">
        <v>80000</v>
      </c>
      <c r="JD246" s="14">
        <v>298592000</v>
      </c>
      <c r="JH246" s="14">
        <v>19218</v>
      </c>
      <c r="JL246" s="14">
        <v>298672000</v>
      </c>
      <c r="JM246" s="14">
        <v>60782</v>
      </c>
      <c r="JN246" s="14">
        <v>298592000</v>
      </c>
      <c r="ND246" s="14">
        <f t="shared" si="62"/>
        <v>298672000</v>
      </c>
      <c r="NE246" s="14">
        <f t="shared" si="48"/>
        <v>80000</v>
      </c>
      <c r="NF246" s="14">
        <f t="shared" si="49"/>
        <v>298592000</v>
      </c>
      <c r="NI246" s="14">
        <f t="shared" si="50"/>
        <v>0</v>
      </c>
      <c r="NJ246" s="14">
        <f t="shared" si="51"/>
        <v>19218</v>
      </c>
      <c r="NK246" s="14">
        <f t="shared" si="52"/>
        <v>0</v>
      </c>
      <c r="NN246" s="14">
        <f t="shared" si="53"/>
        <v>298672000</v>
      </c>
      <c r="NO246" s="14">
        <f t="shared" si="54"/>
        <v>60782</v>
      </c>
      <c r="NP246" s="14">
        <f t="shared" si="55"/>
        <v>298592000</v>
      </c>
      <c r="NS246" s="14">
        <f t="shared" si="63"/>
        <v>0</v>
      </c>
      <c r="NT246" s="14">
        <f t="shared" si="56"/>
        <v>0</v>
      </c>
      <c r="NU246" s="14">
        <f t="shared" si="57"/>
        <v>0</v>
      </c>
      <c r="NV246" s="14">
        <f t="shared" si="58"/>
        <v>0</v>
      </c>
      <c r="NW246" s="14">
        <f t="shared" si="59"/>
        <v>0</v>
      </c>
      <c r="NX246" s="14">
        <f t="shared" si="60"/>
        <v>0</v>
      </c>
      <c r="NY246" s="14">
        <f t="shared" si="61"/>
        <v>0</v>
      </c>
    </row>
    <row r="247" spans="1:389" x14ac:dyDescent="0.25">
      <c r="A247" s="96" t="s">
        <v>571</v>
      </c>
      <c r="B247" s="34">
        <v>777</v>
      </c>
      <c r="C247" s="99">
        <v>18</v>
      </c>
      <c r="JB247" s="14">
        <v>15682000</v>
      </c>
      <c r="JC247" s="14">
        <v>270000</v>
      </c>
      <c r="JD247" s="14">
        <v>15412000</v>
      </c>
      <c r="JH247" s="14">
        <v>7202</v>
      </c>
      <c r="JL247" s="14">
        <v>15682000</v>
      </c>
      <c r="JM247" s="14">
        <v>262798</v>
      </c>
      <c r="JN247" s="14">
        <v>15412000</v>
      </c>
      <c r="ND247" s="14">
        <f t="shared" si="62"/>
        <v>15682000</v>
      </c>
      <c r="NE247" s="14">
        <f t="shared" si="48"/>
        <v>270000</v>
      </c>
      <c r="NF247" s="14">
        <f t="shared" si="49"/>
        <v>15412000</v>
      </c>
      <c r="NI247" s="14">
        <f t="shared" si="50"/>
        <v>0</v>
      </c>
      <c r="NJ247" s="14">
        <f t="shared" si="51"/>
        <v>7202</v>
      </c>
      <c r="NK247" s="14">
        <f t="shared" si="52"/>
        <v>0</v>
      </c>
      <c r="NN247" s="14">
        <f t="shared" si="53"/>
        <v>15682000</v>
      </c>
      <c r="NO247" s="14">
        <f t="shared" si="54"/>
        <v>262798</v>
      </c>
      <c r="NP247" s="14">
        <f t="shared" si="55"/>
        <v>15412000</v>
      </c>
      <c r="NS247" s="14">
        <f t="shared" si="63"/>
        <v>0</v>
      </c>
      <c r="NT247" s="14">
        <f t="shared" si="56"/>
        <v>0</v>
      </c>
      <c r="NU247" s="14">
        <f t="shared" si="57"/>
        <v>0</v>
      </c>
      <c r="NV247" s="14">
        <f t="shared" si="58"/>
        <v>0</v>
      </c>
      <c r="NW247" s="14">
        <f t="shared" si="59"/>
        <v>0</v>
      </c>
      <c r="NX247" s="14">
        <f t="shared" si="60"/>
        <v>0</v>
      </c>
      <c r="NY247" s="14">
        <f t="shared" si="61"/>
        <v>0</v>
      </c>
    </row>
    <row r="248" spans="1:389" x14ac:dyDescent="0.25">
      <c r="A248" s="96" t="s">
        <v>572</v>
      </c>
      <c r="B248" s="34">
        <v>778</v>
      </c>
      <c r="C248" s="99">
        <v>11</v>
      </c>
      <c r="JB248" s="14">
        <v>24952000</v>
      </c>
      <c r="JC248" s="14">
        <v>1735000</v>
      </c>
      <c r="JD248" s="14">
        <v>23217000</v>
      </c>
      <c r="JH248" s="14">
        <v>41206</v>
      </c>
      <c r="JL248" s="14">
        <v>24952000</v>
      </c>
      <c r="JM248" s="14">
        <v>1693794</v>
      </c>
      <c r="JN248" s="14">
        <v>23217000</v>
      </c>
      <c r="ND248" s="14">
        <f t="shared" si="62"/>
        <v>24952000</v>
      </c>
      <c r="NE248" s="14">
        <f t="shared" si="48"/>
        <v>1735000</v>
      </c>
      <c r="NF248" s="14">
        <f t="shared" si="49"/>
        <v>23217000</v>
      </c>
      <c r="NI248" s="14">
        <f t="shared" si="50"/>
        <v>0</v>
      </c>
      <c r="NJ248" s="14">
        <f t="shared" si="51"/>
        <v>41206</v>
      </c>
      <c r="NK248" s="14">
        <f t="shared" si="52"/>
        <v>0</v>
      </c>
      <c r="NN248" s="14">
        <f t="shared" si="53"/>
        <v>24952000</v>
      </c>
      <c r="NO248" s="14">
        <f t="shared" si="54"/>
        <v>1693794</v>
      </c>
      <c r="NP248" s="14">
        <f t="shared" si="55"/>
        <v>23217000</v>
      </c>
      <c r="NS248" s="14">
        <f t="shared" si="63"/>
        <v>0</v>
      </c>
      <c r="NT248" s="14">
        <f t="shared" si="56"/>
        <v>0</v>
      </c>
      <c r="NU248" s="14">
        <f t="shared" si="57"/>
        <v>0</v>
      </c>
      <c r="NV248" s="14">
        <f t="shared" si="58"/>
        <v>0</v>
      </c>
      <c r="NW248" s="14">
        <f t="shared" si="59"/>
        <v>0</v>
      </c>
      <c r="NX248" s="14">
        <f t="shared" si="60"/>
        <v>0</v>
      </c>
      <c r="NY248" s="14">
        <f t="shared" si="61"/>
        <v>0</v>
      </c>
    </row>
    <row r="249" spans="1:389" x14ac:dyDescent="0.25">
      <c r="A249" s="96" t="s">
        <v>573</v>
      </c>
      <c r="B249" s="34">
        <v>781</v>
      </c>
      <c r="C249" s="99">
        <v>7</v>
      </c>
      <c r="JB249" s="14">
        <v>208799000</v>
      </c>
      <c r="JC249" s="14">
        <v>468000</v>
      </c>
      <c r="JD249" s="14">
        <v>208331000</v>
      </c>
      <c r="JH249" s="14">
        <v>22209</v>
      </c>
      <c r="JL249" s="14">
        <v>208799000</v>
      </c>
      <c r="JM249" s="14">
        <v>445791</v>
      </c>
      <c r="JN249" s="14">
        <v>208331000</v>
      </c>
      <c r="ND249" s="14">
        <f t="shared" si="62"/>
        <v>208799000</v>
      </c>
      <c r="NE249" s="14">
        <f t="shared" si="48"/>
        <v>468000</v>
      </c>
      <c r="NF249" s="14">
        <f t="shared" si="49"/>
        <v>208331000</v>
      </c>
      <c r="NI249" s="14">
        <f t="shared" si="50"/>
        <v>0</v>
      </c>
      <c r="NJ249" s="14">
        <f t="shared" si="51"/>
        <v>22209</v>
      </c>
      <c r="NK249" s="14">
        <f t="shared" si="52"/>
        <v>0</v>
      </c>
      <c r="NN249" s="14">
        <f t="shared" si="53"/>
        <v>208799000</v>
      </c>
      <c r="NO249" s="14">
        <f t="shared" si="54"/>
        <v>445791</v>
      </c>
      <c r="NP249" s="14">
        <f t="shared" si="55"/>
        <v>208331000</v>
      </c>
      <c r="NS249" s="14">
        <f t="shared" si="63"/>
        <v>0</v>
      </c>
      <c r="NT249" s="14">
        <f t="shared" si="56"/>
        <v>0</v>
      </c>
      <c r="NU249" s="14">
        <f t="shared" si="57"/>
        <v>0</v>
      </c>
      <c r="NV249" s="14">
        <f t="shared" si="58"/>
        <v>0</v>
      </c>
      <c r="NW249" s="14">
        <f t="shared" si="59"/>
        <v>0</v>
      </c>
      <c r="NX249" s="14">
        <f t="shared" si="60"/>
        <v>0</v>
      </c>
      <c r="NY249" s="14">
        <f t="shared" si="61"/>
        <v>0</v>
      </c>
    </row>
    <row r="250" spans="1:389" x14ac:dyDescent="0.25">
      <c r="A250" s="96" t="s">
        <v>574</v>
      </c>
      <c r="B250" s="34">
        <v>783</v>
      </c>
      <c r="C250" s="99">
        <v>4</v>
      </c>
      <c r="JB250" s="14">
        <v>8859000</v>
      </c>
      <c r="JC250" s="14">
        <v>25000</v>
      </c>
      <c r="JD250" s="14">
        <v>8834000</v>
      </c>
      <c r="JH250" s="14">
        <v>16319</v>
      </c>
      <c r="JL250" s="14">
        <v>8859000</v>
      </c>
      <c r="JM250" s="14">
        <v>8681</v>
      </c>
      <c r="JN250" s="14">
        <v>8834000</v>
      </c>
      <c r="ND250" s="14">
        <f t="shared" si="62"/>
        <v>8859000</v>
      </c>
      <c r="NE250" s="14">
        <f t="shared" si="48"/>
        <v>25000</v>
      </c>
      <c r="NF250" s="14">
        <f t="shared" si="49"/>
        <v>8834000</v>
      </c>
      <c r="NI250" s="14">
        <f t="shared" si="50"/>
        <v>0</v>
      </c>
      <c r="NJ250" s="14">
        <f t="shared" si="51"/>
        <v>16319</v>
      </c>
      <c r="NK250" s="14">
        <f t="shared" si="52"/>
        <v>0</v>
      </c>
      <c r="NN250" s="14">
        <f t="shared" si="53"/>
        <v>8859000</v>
      </c>
      <c r="NO250" s="14">
        <f t="shared" si="54"/>
        <v>8681</v>
      </c>
      <c r="NP250" s="14">
        <f t="shared" si="55"/>
        <v>8834000</v>
      </c>
      <c r="NS250" s="14">
        <f t="shared" si="63"/>
        <v>0</v>
      </c>
      <c r="NT250" s="14">
        <f t="shared" si="56"/>
        <v>0</v>
      </c>
      <c r="NU250" s="14">
        <f t="shared" si="57"/>
        <v>0</v>
      </c>
      <c r="NV250" s="14">
        <f t="shared" si="58"/>
        <v>0</v>
      </c>
      <c r="NW250" s="14">
        <f t="shared" si="59"/>
        <v>0</v>
      </c>
      <c r="NX250" s="14">
        <f t="shared" si="60"/>
        <v>0</v>
      </c>
      <c r="NY250" s="14">
        <f t="shared" si="61"/>
        <v>0</v>
      </c>
    </row>
    <row r="251" spans="1:389" x14ac:dyDescent="0.25">
      <c r="A251" s="96" t="s">
        <v>578</v>
      </c>
      <c r="B251" s="34">
        <v>831</v>
      </c>
      <c r="C251" s="99">
        <v>9</v>
      </c>
      <c r="JB251" s="14">
        <v>347020000</v>
      </c>
      <c r="JC251" s="14">
        <v>127000</v>
      </c>
      <c r="JD251" s="14">
        <v>346893000</v>
      </c>
      <c r="JH251" s="14">
        <v>8688</v>
      </c>
      <c r="JL251" s="14">
        <v>347020000</v>
      </c>
      <c r="JM251" s="14">
        <v>118312</v>
      </c>
      <c r="JN251" s="14">
        <v>346893000</v>
      </c>
      <c r="ND251" s="14">
        <f t="shared" si="62"/>
        <v>347020000</v>
      </c>
      <c r="NE251" s="14">
        <f t="shared" si="48"/>
        <v>127000</v>
      </c>
      <c r="NF251" s="14">
        <f t="shared" si="49"/>
        <v>346893000</v>
      </c>
      <c r="NI251" s="14">
        <f t="shared" si="50"/>
        <v>0</v>
      </c>
      <c r="NJ251" s="14">
        <f t="shared" si="51"/>
        <v>8688</v>
      </c>
      <c r="NK251" s="14">
        <f t="shared" si="52"/>
        <v>0</v>
      </c>
      <c r="NN251" s="14">
        <f t="shared" si="53"/>
        <v>347020000</v>
      </c>
      <c r="NO251" s="14">
        <f t="shared" si="54"/>
        <v>118312</v>
      </c>
      <c r="NP251" s="14">
        <f t="shared" si="55"/>
        <v>346893000</v>
      </c>
      <c r="NS251" s="14">
        <f t="shared" si="63"/>
        <v>0</v>
      </c>
      <c r="NT251" s="14">
        <f t="shared" si="56"/>
        <v>0</v>
      </c>
      <c r="NU251" s="14">
        <f t="shared" si="57"/>
        <v>0</v>
      </c>
      <c r="NV251" s="14">
        <f t="shared" si="58"/>
        <v>0</v>
      </c>
      <c r="NW251" s="14">
        <f t="shared" si="59"/>
        <v>0</v>
      </c>
      <c r="NX251" s="14">
        <f t="shared" si="60"/>
        <v>0</v>
      </c>
      <c r="NY251" s="14">
        <f t="shared" si="61"/>
        <v>0</v>
      </c>
    </row>
    <row r="252" spans="1:389" x14ac:dyDescent="0.25">
      <c r="A252" s="96" t="s">
        <v>579</v>
      </c>
      <c r="B252" s="34">
        <v>832</v>
      </c>
      <c r="C252" s="99">
        <v>17</v>
      </c>
      <c r="JB252" s="14">
        <v>34083000</v>
      </c>
      <c r="JC252" s="14">
        <v>0</v>
      </c>
      <c r="JD252" s="14">
        <v>34083000</v>
      </c>
      <c r="JH252" s="14">
        <v>4863</v>
      </c>
      <c r="JL252" s="14">
        <v>34083000</v>
      </c>
      <c r="JM252" s="14">
        <v>-4863</v>
      </c>
      <c r="JN252" s="14">
        <v>34083000</v>
      </c>
      <c r="ND252" s="14">
        <f t="shared" si="62"/>
        <v>34083000</v>
      </c>
      <c r="NE252" s="14">
        <f t="shared" si="48"/>
        <v>0</v>
      </c>
      <c r="NF252" s="14">
        <f t="shared" si="49"/>
        <v>34083000</v>
      </c>
      <c r="NI252" s="14">
        <f t="shared" si="50"/>
        <v>0</v>
      </c>
      <c r="NJ252" s="14">
        <f t="shared" si="51"/>
        <v>4863</v>
      </c>
      <c r="NK252" s="14">
        <f t="shared" si="52"/>
        <v>0</v>
      </c>
      <c r="NN252" s="14">
        <f t="shared" si="53"/>
        <v>34083000</v>
      </c>
      <c r="NO252" s="14">
        <f t="shared" si="54"/>
        <v>-4863</v>
      </c>
      <c r="NP252" s="14">
        <f t="shared" si="55"/>
        <v>34083000</v>
      </c>
      <c r="NS252" s="14">
        <f t="shared" si="63"/>
        <v>0</v>
      </c>
      <c r="NT252" s="14">
        <f t="shared" si="56"/>
        <v>0</v>
      </c>
      <c r="NU252" s="14">
        <f t="shared" si="57"/>
        <v>0</v>
      </c>
      <c r="NV252" s="14">
        <f t="shared" si="58"/>
        <v>0</v>
      </c>
      <c r="NW252" s="14">
        <f t="shared" si="59"/>
        <v>0</v>
      </c>
      <c r="NX252" s="14">
        <f t="shared" si="60"/>
        <v>0</v>
      </c>
      <c r="NY252" s="14">
        <f t="shared" si="61"/>
        <v>0</v>
      </c>
    </row>
    <row r="253" spans="1:389" x14ac:dyDescent="0.25">
      <c r="A253" s="96" t="s">
        <v>580</v>
      </c>
      <c r="B253" s="34">
        <v>833</v>
      </c>
      <c r="C253" s="99">
        <v>2</v>
      </c>
      <c r="JB253" s="14">
        <v>10079000</v>
      </c>
      <c r="JC253" s="14">
        <v>1000000</v>
      </c>
      <c r="JD253" s="14">
        <v>9079000</v>
      </c>
      <c r="JH253" s="14">
        <v>99264</v>
      </c>
      <c r="JL253" s="14">
        <v>10079000</v>
      </c>
      <c r="JM253" s="14">
        <v>900736</v>
      </c>
      <c r="JN253" s="14">
        <v>9079000</v>
      </c>
      <c r="ND253" s="14">
        <f t="shared" si="62"/>
        <v>10079000</v>
      </c>
      <c r="NE253" s="14">
        <f t="shared" si="48"/>
        <v>1000000</v>
      </c>
      <c r="NF253" s="14">
        <f t="shared" si="49"/>
        <v>9079000</v>
      </c>
      <c r="NI253" s="14">
        <f t="shared" si="50"/>
        <v>0</v>
      </c>
      <c r="NJ253" s="14">
        <f t="shared" si="51"/>
        <v>99264</v>
      </c>
      <c r="NK253" s="14">
        <f t="shared" si="52"/>
        <v>0</v>
      </c>
      <c r="NN253" s="14">
        <f t="shared" si="53"/>
        <v>10079000</v>
      </c>
      <c r="NO253" s="14">
        <f t="shared" si="54"/>
        <v>900736</v>
      </c>
      <c r="NP253" s="14">
        <f t="shared" si="55"/>
        <v>9079000</v>
      </c>
      <c r="NS253" s="14">
        <f t="shared" si="63"/>
        <v>0</v>
      </c>
      <c r="NT253" s="14">
        <f t="shared" si="56"/>
        <v>0</v>
      </c>
      <c r="NU253" s="14">
        <f t="shared" si="57"/>
        <v>0</v>
      </c>
      <c r="NV253" s="14">
        <f t="shared" si="58"/>
        <v>0</v>
      </c>
      <c r="NW253" s="14">
        <f t="shared" si="59"/>
        <v>0</v>
      </c>
      <c r="NX253" s="14">
        <f t="shared" si="60"/>
        <v>0</v>
      </c>
      <c r="NY253" s="14">
        <f t="shared" si="61"/>
        <v>0</v>
      </c>
    </row>
    <row r="254" spans="1:389" x14ac:dyDescent="0.25">
      <c r="A254" s="96" t="s">
        <v>581</v>
      </c>
      <c r="B254" s="34">
        <v>834</v>
      </c>
      <c r="C254" s="99">
        <v>5</v>
      </c>
      <c r="JB254" s="14">
        <v>35318000</v>
      </c>
      <c r="JC254" s="14">
        <v>491000</v>
      </c>
      <c r="JD254" s="14">
        <v>34827000</v>
      </c>
      <c r="JH254" s="14">
        <v>13778</v>
      </c>
      <c r="JL254" s="14">
        <v>35318000</v>
      </c>
      <c r="JM254" s="14">
        <v>477222</v>
      </c>
      <c r="JN254" s="14">
        <v>34827000</v>
      </c>
      <c r="ND254" s="14">
        <f t="shared" si="62"/>
        <v>35318000</v>
      </c>
      <c r="NE254" s="14">
        <f t="shared" si="48"/>
        <v>491000</v>
      </c>
      <c r="NF254" s="14">
        <f t="shared" si="49"/>
        <v>34827000</v>
      </c>
      <c r="NI254" s="14">
        <f t="shared" si="50"/>
        <v>0</v>
      </c>
      <c r="NJ254" s="14">
        <f t="shared" si="51"/>
        <v>13778</v>
      </c>
      <c r="NK254" s="14">
        <f t="shared" si="52"/>
        <v>0</v>
      </c>
      <c r="NN254" s="14">
        <f t="shared" si="53"/>
        <v>35318000</v>
      </c>
      <c r="NO254" s="14">
        <f t="shared" si="54"/>
        <v>477222</v>
      </c>
      <c r="NP254" s="14">
        <f t="shared" si="55"/>
        <v>34827000</v>
      </c>
      <c r="NS254" s="14">
        <f t="shared" si="63"/>
        <v>0</v>
      </c>
      <c r="NT254" s="14">
        <f t="shared" si="56"/>
        <v>0</v>
      </c>
      <c r="NU254" s="14">
        <f t="shared" si="57"/>
        <v>0</v>
      </c>
      <c r="NV254" s="14">
        <f t="shared" si="58"/>
        <v>0</v>
      </c>
      <c r="NW254" s="14">
        <f t="shared" si="59"/>
        <v>0</v>
      </c>
      <c r="NX254" s="14">
        <f t="shared" si="60"/>
        <v>0</v>
      </c>
      <c r="NY254" s="14">
        <f t="shared" si="61"/>
        <v>0</v>
      </c>
    </row>
    <row r="255" spans="1:389" x14ac:dyDescent="0.25">
      <c r="A255" s="96" t="s">
        <v>582</v>
      </c>
      <c r="B255" s="34">
        <v>837</v>
      </c>
      <c r="C255" s="99">
        <v>6</v>
      </c>
      <c r="JB255" s="14">
        <v>117775000</v>
      </c>
      <c r="JC255" s="14">
        <v>0</v>
      </c>
      <c r="JD255" s="14">
        <v>117775000</v>
      </c>
      <c r="JH255" s="14">
        <v>25187</v>
      </c>
      <c r="JL255" s="14">
        <v>117775000</v>
      </c>
      <c r="JM255" s="14">
        <v>-25187</v>
      </c>
      <c r="JN255" s="14">
        <v>117775000</v>
      </c>
      <c r="ND255" s="14">
        <f t="shared" si="62"/>
        <v>117775000</v>
      </c>
      <c r="NE255" s="14">
        <f t="shared" si="48"/>
        <v>0</v>
      </c>
      <c r="NF255" s="14">
        <f t="shared" si="49"/>
        <v>117775000</v>
      </c>
      <c r="NI255" s="14">
        <f t="shared" si="50"/>
        <v>0</v>
      </c>
      <c r="NJ255" s="14">
        <f t="shared" si="51"/>
        <v>25187</v>
      </c>
      <c r="NK255" s="14">
        <f t="shared" si="52"/>
        <v>0</v>
      </c>
      <c r="NN255" s="14">
        <f t="shared" si="53"/>
        <v>117775000</v>
      </c>
      <c r="NO255" s="14">
        <f t="shared" si="54"/>
        <v>-25187</v>
      </c>
      <c r="NP255" s="14">
        <f t="shared" si="55"/>
        <v>117775000</v>
      </c>
      <c r="NS255" s="14">
        <f t="shared" si="63"/>
        <v>0</v>
      </c>
      <c r="NT255" s="14">
        <f t="shared" si="56"/>
        <v>0</v>
      </c>
      <c r="NU255" s="14">
        <f t="shared" si="57"/>
        <v>0</v>
      </c>
      <c r="NV255" s="14">
        <f t="shared" si="58"/>
        <v>0</v>
      </c>
      <c r="NW255" s="14">
        <f t="shared" si="59"/>
        <v>0</v>
      </c>
      <c r="NX255" s="14">
        <f t="shared" si="60"/>
        <v>0</v>
      </c>
      <c r="NY255" s="14">
        <f t="shared" si="61"/>
        <v>0</v>
      </c>
    </row>
    <row r="256" spans="1:389" x14ac:dyDescent="0.25">
      <c r="A256" s="96" t="s">
        <v>583</v>
      </c>
      <c r="B256" s="34">
        <v>844</v>
      </c>
      <c r="C256" s="99">
        <v>11</v>
      </c>
      <c r="JB256" s="14">
        <v>20628000</v>
      </c>
      <c r="JC256" s="14">
        <v>573000</v>
      </c>
      <c r="JD256" s="14">
        <v>20055000</v>
      </c>
      <c r="JH256" s="14">
        <v>252836</v>
      </c>
      <c r="JL256" s="14">
        <v>20628000</v>
      </c>
      <c r="JM256" s="14">
        <v>320164</v>
      </c>
      <c r="JN256" s="14">
        <v>20055000</v>
      </c>
      <c r="ND256" s="14">
        <f t="shared" si="62"/>
        <v>20628000</v>
      </c>
      <c r="NE256" s="14">
        <f t="shared" si="48"/>
        <v>573000</v>
      </c>
      <c r="NF256" s="14">
        <f t="shared" si="49"/>
        <v>20055000</v>
      </c>
      <c r="NI256" s="14">
        <f t="shared" si="50"/>
        <v>0</v>
      </c>
      <c r="NJ256" s="14">
        <f t="shared" si="51"/>
        <v>252836</v>
      </c>
      <c r="NK256" s="14">
        <f t="shared" si="52"/>
        <v>0</v>
      </c>
      <c r="NN256" s="14">
        <f t="shared" si="53"/>
        <v>20628000</v>
      </c>
      <c r="NO256" s="14">
        <f t="shared" si="54"/>
        <v>320164</v>
      </c>
      <c r="NP256" s="14">
        <f t="shared" si="55"/>
        <v>20055000</v>
      </c>
      <c r="NS256" s="14">
        <f t="shared" si="63"/>
        <v>0</v>
      </c>
      <c r="NT256" s="14">
        <f t="shared" si="56"/>
        <v>0</v>
      </c>
      <c r="NU256" s="14">
        <f t="shared" si="57"/>
        <v>0</v>
      </c>
      <c r="NV256" s="14">
        <f t="shared" si="58"/>
        <v>0</v>
      </c>
      <c r="NW256" s="14">
        <f t="shared" si="59"/>
        <v>0</v>
      </c>
      <c r="NX256" s="14">
        <f t="shared" si="60"/>
        <v>0</v>
      </c>
      <c r="NY256" s="14">
        <f t="shared" si="61"/>
        <v>0</v>
      </c>
    </row>
    <row r="257" spans="1:389" x14ac:dyDescent="0.25">
      <c r="A257" s="96" t="s">
        <v>584</v>
      </c>
      <c r="B257" s="34">
        <v>845</v>
      </c>
      <c r="C257" s="99">
        <v>19</v>
      </c>
      <c r="JB257" s="14">
        <v>105228000</v>
      </c>
      <c r="JC257" s="14">
        <v>60000</v>
      </c>
      <c r="JD257" s="14">
        <v>105168000</v>
      </c>
      <c r="JH257" s="14">
        <v>64566</v>
      </c>
      <c r="JL257" s="14">
        <v>105228000</v>
      </c>
      <c r="JM257" s="14">
        <v>-4566</v>
      </c>
      <c r="JN257" s="14">
        <v>105168000</v>
      </c>
      <c r="ND257" s="14">
        <f t="shared" si="62"/>
        <v>105228000</v>
      </c>
      <c r="NE257" s="14">
        <f t="shared" si="48"/>
        <v>60000</v>
      </c>
      <c r="NF257" s="14">
        <f t="shared" si="49"/>
        <v>105168000</v>
      </c>
      <c r="NI257" s="14">
        <f t="shared" si="50"/>
        <v>0</v>
      </c>
      <c r="NJ257" s="14">
        <f t="shared" si="51"/>
        <v>64566</v>
      </c>
      <c r="NK257" s="14">
        <f t="shared" si="52"/>
        <v>0</v>
      </c>
      <c r="NN257" s="14">
        <f t="shared" si="53"/>
        <v>105228000</v>
      </c>
      <c r="NO257" s="14">
        <f t="shared" si="54"/>
        <v>-4566</v>
      </c>
      <c r="NP257" s="14">
        <f t="shared" si="55"/>
        <v>105168000</v>
      </c>
      <c r="NS257" s="14">
        <f t="shared" si="63"/>
        <v>0</v>
      </c>
      <c r="NT257" s="14">
        <f t="shared" si="56"/>
        <v>0</v>
      </c>
      <c r="NU257" s="14">
        <f t="shared" si="57"/>
        <v>0</v>
      </c>
      <c r="NV257" s="14">
        <f t="shared" si="58"/>
        <v>0</v>
      </c>
      <c r="NW257" s="14">
        <f t="shared" si="59"/>
        <v>0</v>
      </c>
      <c r="NX257" s="14">
        <f t="shared" si="60"/>
        <v>0</v>
      </c>
      <c r="NY257" s="14">
        <f t="shared" si="61"/>
        <v>0</v>
      </c>
    </row>
    <row r="258" spans="1:389" x14ac:dyDescent="0.25">
      <c r="A258" s="96" t="s">
        <v>585</v>
      </c>
      <c r="B258" s="34">
        <v>846</v>
      </c>
      <c r="C258" s="99">
        <v>14</v>
      </c>
      <c r="JB258" s="14">
        <v>31314000</v>
      </c>
      <c r="JC258" s="14">
        <v>423000</v>
      </c>
      <c r="JD258" s="14">
        <v>30891000</v>
      </c>
      <c r="JH258" s="14">
        <v>22063</v>
      </c>
      <c r="JL258" s="14">
        <v>31314000</v>
      </c>
      <c r="JM258" s="14">
        <v>400937</v>
      </c>
      <c r="JN258" s="14">
        <v>30891000</v>
      </c>
      <c r="ND258" s="14">
        <f t="shared" si="62"/>
        <v>31314000</v>
      </c>
      <c r="NE258" s="14">
        <f t="shared" si="48"/>
        <v>423000</v>
      </c>
      <c r="NF258" s="14">
        <f t="shared" si="49"/>
        <v>30891000</v>
      </c>
      <c r="NI258" s="14">
        <f t="shared" si="50"/>
        <v>0</v>
      </c>
      <c r="NJ258" s="14">
        <f t="shared" si="51"/>
        <v>22063</v>
      </c>
      <c r="NK258" s="14">
        <f t="shared" si="52"/>
        <v>0</v>
      </c>
      <c r="NN258" s="14">
        <f t="shared" si="53"/>
        <v>31314000</v>
      </c>
      <c r="NO258" s="14">
        <f t="shared" si="54"/>
        <v>400937</v>
      </c>
      <c r="NP258" s="14">
        <f t="shared" si="55"/>
        <v>30891000</v>
      </c>
      <c r="NS258" s="14">
        <f t="shared" si="63"/>
        <v>0</v>
      </c>
      <c r="NT258" s="14">
        <f t="shared" si="56"/>
        <v>0</v>
      </c>
      <c r="NU258" s="14">
        <f t="shared" si="57"/>
        <v>0</v>
      </c>
      <c r="NV258" s="14">
        <f t="shared" si="58"/>
        <v>0</v>
      </c>
      <c r="NW258" s="14">
        <f t="shared" si="59"/>
        <v>0</v>
      </c>
      <c r="NX258" s="14">
        <f t="shared" si="60"/>
        <v>0</v>
      </c>
      <c r="NY258" s="14">
        <f t="shared" si="61"/>
        <v>0</v>
      </c>
    </row>
    <row r="259" spans="1:389" x14ac:dyDescent="0.25">
      <c r="A259" s="96" t="s">
        <v>586</v>
      </c>
      <c r="B259" s="34">
        <v>848</v>
      </c>
      <c r="C259" s="99">
        <v>12</v>
      </c>
      <c r="JB259" s="14">
        <v>64018000</v>
      </c>
      <c r="JC259" s="14">
        <v>273000</v>
      </c>
      <c r="JD259" s="14">
        <v>63745000</v>
      </c>
      <c r="JH259" s="14">
        <v>10593</v>
      </c>
      <c r="JL259" s="14">
        <v>64018000</v>
      </c>
      <c r="JM259" s="14">
        <v>262407</v>
      </c>
      <c r="JN259" s="14">
        <v>63745000</v>
      </c>
      <c r="ND259" s="14">
        <f t="shared" si="62"/>
        <v>64018000</v>
      </c>
      <c r="NE259" s="14">
        <f t="shared" si="48"/>
        <v>273000</v>
      </c>
      <c r="NF259" s="14">
        <f t="shared" si="49"/>
        <v>63745000</v>
      </c>
      <c r="NI259" s="14">
        <f t="shared" si="50"/>
        <v>0</v>
      </c>
      <c r="NJ259" s="14">
        <f t="shared" si="51"/>
        <v>10593</v>
      </c>
      <c r="NK259" s="14">
        <f t="shared" si="52"/>
        <v>0</v>
      </c>
      <c r="NN259" s="14">
        <f t="shared" si="53"/>
        <v>64018000</v>
      </c>
      <c r="NO259" s="14">
        <f t="shared" si="54"/>
        <v>262407</v>
      </c>
      <c r="NP259" s="14">
        <f t="shared" si="55"/>
        <v>63745000</v>
      </c>
      <c r="NS259" s="14">
        <f t="shared" si="63"/>
        <v>0</v>
      </c>
      <c r="NT259" s="14">
        <f t="shared" si="56"/>
        <v>0</v>
      </c>
      <c r="NU259" s="14">
        <f t="shared" si="57"/>
        <v>0</v>
      </c>
      <c r="NV259" s="14">
        <f t="shared" si="58"/>
        <v>0</v>
      </c>
      <c r="NW259" s="14">
        <f t="shared" si="59"/>
        <v>0</v>
      </c>
      <c r="NX259" s="14">
        <f t="shared" si="60"/>
        <v>0</v>
      </c>
      <c r="NY259" s="14">
        <f t="shared" si="61"/>
        <v>0</v>
      </c>
    </row>
    <row r="260" spans="1:389" x14ac:dyDescent="0.25">
      <c r="A260" s="96" t="s">
        <v>587</v>
      </c>
      <c r="B260" s="34">
        <v>849</v>
      </c>
      <c r="C260" s="99">
        <v>16</v>
      </c>
      <c r="JB260" s="14">
        <v>14290000</v>
      </c>
      <c r="JC260" s="14">
        <v>0</v>
      </c>
      <c r="JD260" s="14">
        <v>14290000</v>
      </c>
      <c r="JH260" s="14">
        <v>17651</v>
      </c>
      <c r="JL260" s="14">
        <v>14290000</v>
      </c>
      <c r="JM260" s="14">
        <v>-17651</v>
      </c>
      <c r="JN260" s="14">
        <v>14290000</v>
      </c>
      <c r="ND260" s="14">
        <f t="shared" si="62"/>
        <v>14290000</v>
      </c>
      <c r="NE260" s="14">
        <f t="shared" si="48"/>
        <v>0</v>
      </c>
      <c r="NF260" s="14">
        <f t="shared" si="49"/>
        <v>14290000</v>
      </c>
      <c r="NI260" s="14">
        <f t="shared" si="50"/>
        <v>0</v>
      </c>
      <c r="NJ260" s="14">
        <f t="shared" si="51"/>
        <v>17651</v>
      </c>
      <c r="NK260" s="14">
        <f t="shared" si="52"/>
        <v>0</v>
      </c>
      <c r="NN260" s="14">
        <f t="shared" si="53"/>
        <v>14290000</v>
      </c>
      <c r="NO260" s="14">
        <f t="shared" si="54"/>
        <v>-17651</v>
      </c>
      <c r="NP260" s="14">
        <f t="shared" si="55"/>
        <v>14290000</v>
      </c>
      <c r="NS260" s="14">
        <f t="shared" si="63"/>
        <v>0</v>
      </c>
      <c r="NT260" s="14">
        <f t="shared" si="56"/>
        <v>0</v>
      </c>
      <c r="NU260" s="14">
        <f t="shared" si="57"/>
        <v>0</v>
      </c>
      <c r="NV260" s="14">
        <f t="shared" si="58"/>
        <v>0</v>
      </c>
      <c r="NW260" s="14">
        <f t="shared" si="59"/>
        <v>0</v>
      </c>
      <c r="NX260" s="14">
        <f t="shared" si="60"/>
        <v>0</v>
      </c>
      <c r="NY260" s="14">
        <f t="shared" si="61"/>
        <v>0</v>
      </c>
    </row>
    <row r="261" spans="1:389" x14ac:dyDescent="0.25">
      <c r="A261" s="96" t="s">
        <v>588</v>
      </c>
      <c r="B261" s="34">
        <v>850</v>
      </c>
      <c r="C261" s="99">
        <v>13</v>
      </c>
      <c r="JB261" s="14">
        <v>54736000</v>
      </c>
      <c r="JC261" s="14">
        <v>0</v>
      </c>
      <c r="JD261" s="14">
        <v>54736000</v>
      </c>
      <c r="JH261" s="14">
        <v>22954</v>
      </c>
      <c r="JL261" s="14">
        <v>54736000</v>
      </c>
      <c r="JM261" s="14">
        <v>-22954</v>
      </c>
      <c r="JN261" s="14">
        <v>54736000</v>
      </c>
      <c r="ND261" s="14">
        <f t="shared" si="62"/>
        <v>54736000</v>
      </c>
      <c r="NE261" s="14">
        <f t="shared" si="48"/>
        <v>0</v>
      </c>
      <c r="NF261" s="14">
        <f t="shared" si="49"/>
        <v>54736000</v>
      </c>
      <c r="NI261" s="14">
        <f t="shared" si="50"/>
        <v>0</v>
      </c>
      <c r="NJ261" s="14">
        <f t="shared" si="51"/>
        <v>22954</v>
      </c>
      <c r="NK261" s="14">
        <f t="shared" si="52"/>
        <v>0</v>
      </c>
      <c r="NN261" s="14">
        <f t="shared" si="53"/>
        <v>54736000</v>
      </c>
      <c r="NO261" s="14">
        <f t="shared" si="54"/>
        <v>-22954</v>
      </c>
      <c r="NP261" s="14">
        <f t="shared" si="55"/>
        <v>54736000</v>
      </c>
      <c r="NS261" s="14">
        <f t="shared" si="63"/>
        <v>0</v>
      </c>
      <c r="NT261" s="14">
        <f t="shared" si="56"/>
        <v>0</v>
      </c>
      <c r="NU261" s="14">
        <f t="shared" si="57"/>
        <v>0</v>
      </c>
      <c r="NV261" s="14">
        <f t="shared" si="58"/>
        <v>0</v>
      </c>
      <c r="NW261" s="14">
        <f t="shared" si="59"/>
        <v>0</v>
      </c>
      <c r="NX261" s="14">
        <f t="shared" si="60"/>
        <v>0</v>
      </c>
      <c r="NY261" s="14">
        <f t="shared" si="61"/>
        <v>0</v>
      </c>
    </row>
    <row r="262" spans="1:389" x14ac:dyDescent="0.25">
      <c r="A262" s="96" t="s">
        <v>589</v>
      </c>
      <c r="B262" s="34">
        <v>851</v>
      </c>
      <c r="C262" s="99">
        <v>19</v>
      </c>
      <c r="JB262" s="14">
        <v>28088000</v>
      </c>
      <c r="JC262" s="14">
        <v>0</v>
      </c>
      <c r="JD262" s="14">
        <v>28088000</v>
      </c>
      <c r="JH262" s="14">
        <v>8264</v>
      </c>
      <c r="JL262" s="14">
        <v>28088000</v>
      </c>
      <c r="JM262" s="14">
        <v>-8264</v>
      </c>
      <c r="JN262" s="14">
        <v>28088000</v>
      </c>
      <c r="ND262" s="14">
        <f t="shared" si="62"/>
        <v>28088000</v>
      </c>
      <c r="NE262" s="14">
        <f t="shared" si="48"/>
        <v>0</v>
      </c>
      <c r="NF262" s="14">
        <f t="shared" si="49"/>
        <v>28088000</v>
      </c>
      <c r="NI262" s="14">
        <f t="shared" si="50"/>
        <v>0</v>
      </c>
      <c r="NJ262" s="14">
        <f t="shared" si="51"/>
        <v>8264</v>
      </c>
      <c r="NK262" s="14">
        <f t="shared" si="52"/>
        <v>0</v>
      </c>
      <c r="NN262" s="14">
        <f t="shared" si="53"/>
        <v>28088000</v>
      </c>
      <c r="NO262" s="14">
        <f t="shared" si="54"/>
        <v>-8264</v>
      </c>
      <c r="NP262" s="14">
        <f t="shared" si="55"/>
        <v>28088000</v>
      </c>
      <c r="NS262" s="14">
        <f t="shared" si="63"/>
        <v>0</v>
      </c>
      <c r="NT262" s="14">
        <f t="shared" si="56"/>
        <v>0</v>
      </c>
      <c r="NU262" s="14">
        <f t="shared" si="57"/>
        <v>0</v>
      </c>
      <c r="NV262" s="14">
        <f t="shared" si="58"/>
        <v>0</v>
      </c>
      <c r="NW262" s="14">
        <f t="shared" si="59"/>
        <v>0</v>
      </c>
      <c r="NX262" s="14">
        <f t="shared" si="60"/>
        <v>0</v>
      </c>
      <c r="NY262" s="14">
        <f t="shared" si="61"/>
        <v>0</v>
      </c>
    </row>
    <row r="263" spans="1:389" x14ac:dyDescent="0.25">
      <c r="A263" s="96" t="s">
        <v>590</v>
      </c>
      <c r="B263" s="34">
        <v>853</v>
      </c>
      <c r="C263" s="99">
        <v>2</v>
      </c>
      <c r="JB263" s="14">
        <v>67787000</v>
      </c>
      <c r="JC263" s="14">
        <v>0</v>
      </c>
      <c r="JD263" s="14">
        <v>67787000</v>
      </c>
      <c r="JH263" s="14">
        <v>14285</v>
      </c>
      <c r="JL263" s="14">
        <v>67787000</v>
      </c>
      <c r="JM263" s="14">
        <v>-14285</v>
      </c>
      <c r="JN263" s="14">
        <v>67787000</v>
      </c>
      <c r="ND263" s="14">
        <f t="shared" si="62"/>
        <v>67787000</v>
      </c>
      <c r="NE263" s="14">
        <f t="shared" si="48"/>
        <v>0</v>
      </c>
      <c r="NF263" s="14">
        <f t="shared" si="49"/>
        <v>67787000</v>
      </c>
      <c r="NI263" s="14">
        <f t="shared" si="50"/>
        <v>0</v>
      </c>
      <c r="NJ263" s="14">
        <f t="shared" si="51"/>
        <v>14285</v>
      </c>
      <c r="NK263" s="14">
        <f t="shared" si="52"/>
        <v>0</v>
      </c>
      <c r="NN263" s="14">
        <f t="shared" si="53"/>
        <v>67787000</v>
      </c>
      <c r="NO263" s="14">
        <f t="shared" si="54"/>
        <v>-14285</v>
      </c>
      <c r="NP263" s="14">
        <f t="shared" si="55"/>
        <v>67787000</v>
      </c>
      <c r="NS263" s="14">
        <f t="shared" si="63"/>
        <v>0</v>
      </c>
      <c r="NT263" s="14">
        <f t="shared" si="56"/>
        <v>0</v>
      </c>
      <c r="NU263" s="14">
        <f t="shared" si="57"/>
        <v>0</v>
      </c>
      <c r="NV263" s="14">
        <f t="shared" si="58"/>
        <v>0</v>
      </c>
      <c r="NW263" s="14">
        <f t="shared" si="59"/>
        <v>0</v>
      </c>
      <c r="NX263" s="14">
        <f t="shared" si="60"/>
        <v>0</v>
      </c>
      <c r="NY263" s="14">
        <f t="shared" si="61"/>
        <v>0</v>
      </c>
    </row>
    <row r="264" spans="1:389" x14ac:dyDescent="0.25">
      <c r="A264" s="96" t="s">
        <v>592</v>
      </c>
      <c r="B264" s="34">
        <v>857</v>
      </c>
      <c r="C264" s="99">
        <v>11</v>
      </c>
      <c r="JB264" s="14">
        <v>18824000</v>
      </c>
      <c r="JC264" s="14">
        <v>2626000</v>
      </c>
      <c r="JD264" s="14">
        <v>16198000</v>
      </c>
      <c r="JH264" s="14">
        <v>45930</v>
      </c>
      <c r="JL264" s="14">
        <v>18824000</v>
      </c>
      <c r="JM264" s="14">
        <v>2580070</v>
      </c>
      <c r="JN264" s="14">
        <v>16198000</v>
      </c>
      <c r="ND264" s="14">
        <f t="shared" si="62"/>
        <v>18824000</v>
      </c>
      <c r="NE264" s="14">
        <f t="shared" si="48"/>
        <v>2626000</v>
      </c>
      <c r="NF264" s="14">
        <f t="shared" si="49"/>
        <v>16198000</v>
      </c>
      <c r="NI264" s="14">
        <f t="shared" si="50"/>
        <v>0</v>
      </c>
      <c r="NJ264" s="14">
        <f t="shared" si="51"/>
        <v>45930</v>
      </c>
      <c r="NK264" s="14">
        <f t="shared" si="52"/>
        <v>0</v>
      </c>
      <c r="NN264" s="14">
        <f t="shared" si="53"/>
        <v>18824000</v>
      </c>
      <c r="NO264" s="14">
        <f t="shared" si="54"/>
        <v>2580070</v>
      </c>
      <c r="NP264" s="14">
        <f t="shared" si="55"/>
        <v>16198000</v>
      </c>
      <c r="NS264" s="14">
        <f t="shared" si="63"/>
        <v>0</v>
      </c>
      <c r="NT264" s="14">
        <f t="shared" si="56"/>
        <v>0</v>
      </c>
      <c r="NU264" s="14">
        <f t="shared" si="57"/>
        <v>0</v>
      </c>
      <c r="NV264" s="14">
        <f t="shared" si="58"/>
        <v>0</v>
      </c>
      <c r="NW264" s="14">
        <f t="shared" si="59"/>
        <v>0</v>
      </c>
      <c r="NX264" s="14">
        <f t="shared" si="60"/>
        <v>0</v>
      </c>
      <c r="NY264" s="14">
        <f t="shared" si="61"/>
        <v>0</v>
      </c>
    </row>
    <row r="265" spans="1:389" x14ac:dyDescent="0.25">
      <c r="A265" s="96" t="s">
        <v>593</v>
      </c>
      <c r="B265" s="34">
        <v>858</v>
      </c>
      <c r="C265" s="99">
        <v>1</v>
      </c>
      <c r="JB265" s="14">
        <v>60121000</v>
      </c>
      <c r="JC265" s="14">
        <v>209000</v>
      </c>
      <c r="JD265" s="14">
        <v>59912000</v>
      </c>
      <c r="JH265" s="14">
        <v>0</v>
      </c>
      <c r="JL265" s="14">
        <v>60121000</v>
      </c>
      <c r="JM265" s="14">
        <v>209000</v>
      </c>
      <c r="JN265" s="14">
        <v>59912000</v>
      </c>
      <c r="ND265" s="14">
        <f t="shared" si="62"/>
        <v>60121000</v>
      </c>
      <c r="NE265" s="14">
        <f t="shared" si="48"/>
        <v>209000</v>
      </c>
      <c r="NF265" s="14">
        <f t="shared" si="49"/>
        <v>59912000</v>
      </c>
      <c r="NI265" s="14">
        <f t="shared" si="50"/>
        <v>0</v>
      </c>
      <c r="NJ265" s="14">
        <f t="shared" si="51"/>
        <v>0</v>
      </c>
      <c r="NK265" s="14">
        <f t="shared" si="52"/>
        <v>0</v>
      </c>
      <c r="NN265" s="14">
        <f t="shared" si="53"/>
        <v>60121000</v>
      </c>
      <c r="NO265" s="14">
        <f t="shared" si="54"/>
        <v>209000</v>
      </c>
      <c r="NP265" s="14">
        <f t="shared" si="55"/>
        <v>59912000</v>
      </c>
      <c r="NS265" s="14">
        <f t="shared" si="63"/>
        <v>0</v>
      </c>
      <c r="NT265" s="14">
        <f t="shared" si="56"/>
        <v>0</v>
      </c>
      <c r="NU265" s="14">
        <f t="shared" si="57"/>
        <v>0</v>
      </c>
      <c r="NV265" s="14">
        <f t="shared" si="58"/>
        <v>0</v>
      </c>
      <c r="NW265" s="14">
        <f t="shared" si="59"/>
        <v>0</v>
      </c>
      <c r="NX265" s="14">
        <f t="shared" si="60"/>
        <v>0</v>
      </c>
      <c r="NY265" s="14">
        <f t="shared" si="61"/>
        <v>0</v>
      </c>
    </row>
    <row r="266" spans="1:389" x14ac:dyDescent="0.25">
      <c r="A266" s="96" t="s">
        <v>594</v>
      </c>
      <c r="B266" s="34">
        <v>859</v>
      </c>
      <c r="C266" s="99">
        <v>17</v>
      </c>
      <c r="JB266" s="14">
        <v>47649000</v>
      </c>
      <c r="JC266" s="14">
        <v>0</v>
      </c>
      <c r="JD266" s="14">
        <v>47649000</v>
      </c>
      <c r="JH266" s="14">
        <v>16117</v>
      </c>
      <c r="JL266" s="14">
        <v>47649000</v>
      </c>
      <c r="JM266" s="14">
        <v>-16117</v>
      </c>
      <c r="JN266" s="14">
        <v>47649000</v>
      </c>
      <c r="ND266" s="14">
        <f t="shared" si="62"/>
        <v>47649000</v>
      </c>
      <c r="NE266" s="14">
        <f t="shared" si="48"/>
        <v>0</v>
      </c>
      <c r="NF266" s="14">
        <f t="shared" si="49"/>
        <v>47649000</v>
      </c>
      <c r="NI266" s="14">
        <f t="shared" si="50"/>
        <v>0</v>
      </c>
      <c r="NJ266" s="14">
        <f t="shared" si="51"/>
        <v>16117</v>
      </c>
      <c r="NK266" s="14">
        <f t="shared" si="52"/>
        <v>0</v>
      </c>
      <c r="NN266" s="14">
        <f t="shared" si="53"/>
        <v>47649000</v>
      </c>
      <c r="NO266" s="14">
        <f t="shared" si="54"/>
        <v>-16117</v>
      </c>
      <c r="NP266" s="14">
        <f t="shared" si="55"/>
        <v>47649000</v>
      </c>
      <c r="NS266" s="14">
        <f t="shared" si="63"/>
        <v>0</v>
      </c>
      <c r="NT266" s="14">
        <f t="shared" si="56"/>
        <v>0</v>
      </c>
      <c r="NU266" s="14">
        <f t="shared" si="57"/>
        <v>0</v>
      </c>
      <c r="NV266" s="14">
        <f t="shared" si="58"/>
        <v>0</v>
      </c>
      <c r="NW266" s="14">
        <f t="shared" si="59"/>
        <v>0</v>
      </c>
      <c r="NX266" s="14">
        <f t="shared" si="60"/>
        <v>0</v>
      </c>
      <c r="NY266" s="14">
        <f t="shared" si="61"/>
        <v>0</v>
      </c>
    </row>
    <row r="267" spans="1:389" x14ac:dyDescent="0.25">
      <c r="A267" s="96" t="s">
        <v>595</v>
      </c>
      <c r="B267" s="34">
        <v>886</v>
      </c>
      <c r="C267" s="99">
        <v>4</v>
      </c>
      <c r="JB267" s="14">
        <v>25731000</v>
      </c>
      <c r="JC267" s="14">
        <v>0</v>
      </c>
      <c r="JD267" s="14">
        <v>25731000</v>
      </c>
      <c r="JH267" s="14">
        <v>5919</v>
      </c>
      <c r="JL267" s="14">
        <v>25731000</v>
      </c>
      <c r="JM267" s="14">
        <v>-5919</v>
      </c>
      <c r="JN267" s="14">
        <v>25731000</v>
      </c>
      <c r="ND267" s="14">
        <f t="shared" si="62"/>
        <v>25731000</v>
      </c>
      <c r="NE267" s="14">
        <f t="shared" si="48"/>
        <v>0</v>
      </c>
      <c r="NF267" s="14">
        <f t="shared" si="49"/>
        <v>25731000</v>
      </c>
      <c r="NI267" s="14">
        <f t="shared" si="50"/>
        <v>0</v>
      </c>
      <c r="NJ267" s="14">
        <f t="shared" si="51"/>
        <v>5919</v>
      </c>
      <c r="NK267" s="14">
        <f t="shared" si="52"/>
        <v>0</v>
      </c>
      <c r="NN267" s="14">
        <f t="shared" si="53"/>
        <v>25731000</v>
      </c>
      <c r="NO267" s="14">
        <f t="shared" si="54"/>
        <v>-5919</v>
      </c>
      <c r="NP267" s="14">
        <f t="shared" si="55"/>
        <v>25731000</v>
      </c>
      <c r="NS267" s="14">
        <f t="shared" si="63"/>
        <v>0</v>
      </c>
      <c r="NT267" s="14">
        <f t="shared" si="56"/>
        <v>0</v>
      </c>
      <c r="NU267" s="14">
        <f t="shared" si="57"/>
        <v>0</v>
      </c>
      <c r="NV267" s="14">
        <f t="shared" si="58"/>
        <v>0</v>
      </c>
      <c r="NW267" s="14">
        <f t="shared" si="59"/>
        <v>0</v>
      </c>
      <c r="NX267" s="14">
        <f t="shared" si="60"/>
        <v>0</v>
      </c>
      <c r="NY267" s="14">
        <f t="shared" si="61"/>
        <v>0</v>
      </c>
    </row>
    <row r="268" spans="1:389" x14ac:dyDescent="0.25">
      <c r="A268" s="96" t="s">
        <v>596</v>
      </c>
      <c r="B268" s="34">
        <v>887</v>
      </c>
      <c r="C268" s="99">
        <v>6</v>
      </c>
      <c r="JB268" s="14">
        <v>38861000</v>
      </c>
      <c r="JC268" s="14">
        <v>0</v>
      </c>
      <c r="JD268" s="14">
        <v>38861000</v>
      </c>
      <c r="JH268" s="14">
        <v>6116</v>
      </c>
      <c r="JL268" s="14">
        <v>38861000</v>
      </c>
      <c r="JM268" s="14">
        <v>-6116</v>
      </c>
      <c r="JN268" s="14">
        <v>38861000</v>
      </c>
      <c r="ND268" s="14">
        <f t="shared" si="62"/>
        <v>38861000</v>
      </c>
      <c r="NE268" s="14">
        <f t="shared" si="48"/>
        <v>0</v>
      </c>
      <c r="NF268" s="14">
        <f t="shared" si="49"/>
        <v>38861000</v>
      </c>
      <c r="NI268" s="14">
        <f t="shared" si="50"/>
        <v>0</v>
      </c>
      <c r="NJ268" s="14">
        <f t="shared" si="51"/>
        <v>6116</v>
      </c>
      <c r="NK268" s="14">
        <f t="shared" si="52"/>
        <v>0</v>
      </c>
      <c r="NN268" s="14">
        <f t="shared" si="53"/>
        <v>38861000</v>
      </c>
      <c r="NO268" s="14">
        <f t="shared" si="54"/>
        <v>-6116</v>
      </c>
      <c r="NP268" s="14">
        <f t="shared" si="55"/>
        <v>38861000</v>
      </c>
      <c r="NS268" s="14">
        <f t="shared" si="63"/>
        <v>0</v>
      </c>
      <c r="NT268" s="14">
        <f t="shared" si="56"/>
        <v>0</v>
      </c>
      <c r="NU268" s="14">
        <f t="shared" si="57"/>
        <v>0</v>
      </c>
      <c r="NV268" s="14">
        <f t="shared" si="58"/>
        <v>0</v>
      </c>
      <c r="NW268" s="14">
        <f t="shared" si="59"/>
        <v>0</v>
      </c>
      <c r="NX268" s="14">
        <f t="shared" si="60"/>
        <v>0</v>
      </c>
      <c r="NY268" s="14">
        <f t="shared" si="61"/>
        <v>0</v>
      </c>
    </row>
    <row r="269" spans="1:389" x14ac:dyDescent="0.25">
      <c r="A269" s="96" t="s">
        <v>597</v>
      </c>
      <c r="B269" s="34">
        <v>889</v>
      </c>
      <c r="C269" s="99">
        <v>17</v>
      </c>
      <c r="JB269" s="14">
        <v>23858000</v>
      </c>
      <c r="JC269" s="14">
        <v>259000</v>
      </c>
      <c r="JD269" s="14">
        <v>23599000</v>
      </c>
      <c r="JH269" s="14">
        <v>9000</v>
      </c>
      <c r="JL269" s="14">
        <v>23858000</v>
      </c>
      <c r="JM269" s="14">
        <v>250000</v>
      </c>
      <c r="JN269" s="14">
        <v>23599000</v>
      </c>
      <c r="ND269" s="14">
        <f t="shared" si="62"/>
        <v>23858000</v>
      </c>
      <c r="NE269" s="14">
        <f t="shared" si="48"/>
        <v>259000</v>
      </c>
      <c r="NF269" s="14">
        <f t="shared" si="49"/>
        <v>23599000</v>
      </c>
      <c r="NI269" s="14">
        <f t="shared" si="50"/>
        <v>0</v>
      </c>
      <c r="NJ269" s="14">
        <f t="shared" si="51"/>
        <v>9000</v>
      </c>
      <c r="NK269" s="14">
        <f t="shared" si="52"/>
        <v>0</v>
      </c>
      <c r="NN269" s="14">
        <f t="shared" si="53"/>
        <v>23858000</v>
      </c>
      <c r="NO269" s="14">
        <f t="shared" si="54"/>
        <v>250000</v>
      </c>
      <c r="NP269" s="14">
        <f t="shared" si="55"/>
        <v>23599000</v>
      </c>
      <c r="NS269" s="14">
        <f t="shared" si="63"/>
        <v>0</v>
      </c>
      <c r="NT269" s="14">
        <f t="shared" si="56"/>
        <v>0</v>
      </c>
      <c r="NU269" s="14">
        <f t="shared" si="57"/>
        <v>0</v>
      </c>
      <c r="NV269" s="14">
        <f t="shared" si="58"/>
        <v>0</v>
      </c>
      <c r="NW269" s="14">
        <f t="shared" si="59"/>
        <v>0</v>
      </c>
      <c r="NX269" s="14">
        <f t="shared" si="60"/>
        <v>0</v>
      </c>
      <c r="NY269" s="14">
        <f t="shared" si="61"/>
        <v>0</v>
      </c>
    </row>
    <row r="270" spans="1:389" x14ac:dyDescent="0.25">
      <c r="A270" s="96" t="s">
        <v>598</v>
      </c>
      <c r="B270" s="34">
        <v>890</v>
      </c>
      <c r="C270" s="99">
        <v>19</v>
      </c>
      <c r="JB270" s="14">
        <v>142602000</v>
      </c>
      <c r="JC270" s="14">
        <v>345000</v>
      </c>
      <c r="JD270" s="14">
        <v>142257000</v>
      </c>
      <c r="JH270" s="14">
        <v>31042</v>
      </c>
      <c r="JL270" s="14">
        <v>142602000</v>
      </c>
      <c r="JM270" s="14">
        <v>313958</v>
      </c>
      <c r="JN270" s="14">
        <v>142257000</v>
      </c>
      <c r="ND270" s="14">
        <f t="shared" si="62"/>
        <v>142602000</v>
      </c>
      <c r="NE270" s="14">
        <f t="shared" si="48"/>
        <v>345000</v>
      </c>
      <c r="NF270" s="14">
        <f t="shared" si="49"/>
        <v>142257000</v>
      </c>
      <c r="NI270" s="14">
        <f t="shared" si="50"/>
        <v>0</v>
      </c>
      <c r="NJ270" s="14">
        <f t="shared" si="51"/>
        <v>31042</v>
      </c>
      <c r="NK270" s="14">
        <f t="shared" si="52"/>
        <v>0</v>
      </c>
      <c r="NN270" s="14">
        <f t="shared" si="53"/>
        <v>142602000</v>
      </c>
      <c r="NO270" s="14">
        <f t="shared" si="54"/>
        <v>313958</v>
      </c>
      <c r="NP270" s="14">
        <f t="shared" si="55"/>
        <v>142257000</v>
      </c>
      <c r="NS270" s="14">
        <f t="shared" si="63"/>
        <v>0</v>
      </c>
      <c r="NT270" s="14">
        <f t="shared" si="56"/>
        <v>0</v>
      </c>
      <c r="NU270" s="14">
        <f t="shared" si="57"/>
        <v>0</v>
      </c>
      <c r="NV270" s="14">
        <f t="shared" si="58"/>
        <v>0</v>
      </c>
      <c r="NW270" s="14">
        <f t="shared" si="59"/>
        <v>0</v>
      </c>
      <c r="NX270" s="14">
        <f t="shared" si="60"/>
        <v>0</v>
      </c>
      <c r="NY270" s="14">
        <f t="shared" si="61"/>
        <v>0</v>
      </c>
    </row>
    <row r="271" spans="1:389" x14ac:dyDescent="0.25">
      <c r="A271" s="96" t="s">
        <v>599</v>
      </c>
      <c r="B271" s="34">
        <v>892</v>
      </c>
      <c r="C271" s="99">
        <v>13</v>
      </c>
      <c r="JB271" s="14">
        <v>40126000</v>
      </c>
      <c r="JC271" s="14">
        <v>0</v>
      </c>
      <c r="JD271" s="14">
        <v>40126000</v>
      </c>
      <c r="JH271" s="14">
        <v>192</v>
      </c>
      <c r="JL271" s="14">
        <v>40126000</v>
      </c>
      <c r="JM271" s="14">
        <v>-192</v>
      </c>
      <c r="JN271" s="14">
        <v>40126000</v>
      </c>
      <c r="ND271" s="14">
        <f t="shared" si="62"/>
        <v>40126000</v>
      </c>
      <c r="NE271" s="14">
        <f t="shared" si="48"/>
        <v>0</v>
      </c>
      <c r="NF271" s="14">
        <f t="shared" si="49"/>
        <v>40126000</v>
      </c>
      <c r="NI271" s="14">
        <f t="shared" si="50"/>
        <v>0</v>
      </c>
      <c r="NJ271" s="14">
        <f t="shared" si="51"/>
        <v>192</v>
      </c>
      <c r="NK271" s="14">
        <f t="shared" si="52"/>
        <v>0</v>
      </c>
      <c r="NN271" s="14">
        <f t="shared" si="53"/>
        <v>40126000</v>
      </c>
      <c r="NO271" s="14">
        <f t="shared" si="54"/>
        <v>-192</v>
      </c>
      <c r="NP271" s="14">
        <f t="shared" si="55"/>
        <v>40126000</v>
      </c>
      <c r="NS271" s="14">
        <f t="shared" si="63"/>
        <v>0</v>
      </c>
      <c r="NT271" s="14">
        <f t="shared" si="56"/>
        <v>0</v>
      </c>
      <c r="NU271" s="14">
        <f t="shared" si="57"/>
        <v>0</v>
      </c>
      <c r="NV271" s="14">
        <f t="shared" si="58"/>
        <v>0</v>
      </c>
      <c r="NW271" s="14">
        <f t="shared" si="59"/>
        <v>0</v>
      </c>
      <c r="NX271" s="14">
        <f t="shared" si="60"/>
        <v>0</v>
      </c>
      <c r="NY271" s="14">
        <f t="shared" si="61"/>
        <v>0</v>
      </c>
    </row>
    <row r="272" spans="1:389" x14ac:dyDescent="0.25">
      <c r="A272" s="96" t="s">
        <v>600</v>
      </c>
      <c r="B272" s="34">
        <v>893</v>
      </c>
      <c r="C272" s="99">
        <v>15</v>
      </c>
      <c r="JB272" s="14">
        <v>25676000</v>
      </c>
      <c r="JC272" s="14">
        <v>120000</v>
      </c>
      <c r="JD272" s="14">
        <v>25556000</v>
      </c>
      <c r="JH272" s="14">
        <v>11500</v>
      </c>
      <c r="JL272" s="14">
        <v>25676000</v>
      </c>
      <c r="JM272" s="14">
        <v>108500</v>
      </c>
      <c r="JN272" s="14">
        <v>25556000</v>
      </c>
      <c r="ND272" s="14">
        <f t="shared" si="62"/>
        <v>25676000</v>
      </c>
      <c r="NE272" s="14">
        <f t="shared" si="48"/>
        <v>120000</v>
      </c>
      <c r="NF272" s="14">
        <f t="shared" si="49"/>
        <v>25556000</v>
      </c>
      <c r="NI272" s="14">
        <f t="shared" si="50"/>
        <v>0</v>
      </c>
      <c r="NJ272" s="14">
        <f t="shared" si="51"/>
        <v>11500</v>
      </c>
      <c r="NK272" s="14">
        <f t="shared" si="52"/>
        <v>0</v>
      </c>
      <c r="NN272" s="14">
        <f t="shared" si="53"/>
        <v>25676000</v>
      </c>
      <c r="NO272" s="14">
        <f t="shared" si="54"/>
        <v>108500</v>
      </c>
      <c r="NP272" s="14">
        <f t="shared" si="55"/>
        <v>25556000</v>
      </c>
      <c r="NS272" s="14">
        <f t="shared" si="63"/>
        <v>0</v>
      </c>
      <c r="NT272" s="14">
        <f t="shared" si="56"/>
        <v>0</v>
      </c>
      <c r="NU272" s="14">
        <f t="shared" si="57"/>
        <v>0</v>
      </c>
      <c r="NV272" s="14">
        <f t="shared" si="58"/>
        <v>0</v>
      </c>
      <c r="NW272" s="14">
        <f t="shared" si="59"/>
        <v>0</v>
      </c>
      <c r="NX272" s="14">
        <f t="shared" si="60"/>
        <v>0</v>
      </c>
      <c r="NY272" s="14">
        <f t="shared" si="61"/>
        <v>0</v>
      </c>
    </row>
    <row r="273" spans="1:389" x14ac:dyDescent="0.25">
      <c r="A273" s="96" t="s">
        <v>601</v>
      </c>
      <c r="B273" s="34">
        <v>895</v>
      </c>
      <c r="C273" s="99">
        <v>2</v>
      </c>
      <c r="JB273" s="14">
        <v>29658000</v>
      </c>
      <c r="JC273" s="14">
        <v>135000</v>
      </c>
      <c r="JD273" s="14">
        <v>29523000</v>
      </c>
      <c r="JH273" s="14">
        <v>17045</v>
      </c>
      <c r="JL273" s="14">
        <v>29658000</v>
      </c>
      <c r="JM273" s="14">
        <v>117955</v>
      </c>
      <c r="JN273" s="14">
        <v>29523000</v>
      </c>
      <c r="ND273" s="14">
        <f t="shared" si="62"/>
        <v>29658000</v>
      </c>
      <c r="NE273" s="14">
        <f t="shared" si="48"/>
        <v>135000</v>
      </c>
      <c r="NF273" s="14">
        <f t="shared" si="49"/>
        <v>29523000</v>
      </c>
      <c r="NI273" s="14">
        <f t="shared" si="50"/>
        <v>0</v>
      </c>
      <c r="NJ273" s="14">
        <f t="shared" si="51"/>
        <v>17045</v>
      </c>
      <c r="NK273" s="14">
        <f t="shared" si="52"/>
        <v>0</v>
      </c>
      <c r="NN273" s="14">
        <f t="shared" si="53"/>
        <v>29658000</v>
      </c>
      <c r="NO273" s="14">
        <f t="shared" si="54"/>
        <v>117955</v>
      </c>
      <c r="NP273" s="14">
        <f t="shared" si="55"/>
        <v>29523000</v>
      </c>
      <c r="NS273" s="14">
        <f t="shared" si="63"/>
        <v>0</v>
      </c>
      <c r="NT273" s="14">
        <f t="shared" si="56"/>
        <v>0</v>
      </c>
      <c r="NU273" s="14">
        <f t="shared" si="57"/>
        <v>0</v>
      </c>
      <c r="NV273" s="14">
        <f t="shared" si="58"/>
        <v>0</v>
      </c>
      <c r="NW273" s="14">
        <f t="shared" si="59"/>
        <v>0</v>
      </c>
      <c r="NX273" s="14">
        <f t="shared" si="60"/>
        <v>0</v>
      </c>
      <c r="NY273" s="14">
        <f t="shared" si="61"/>
        <v>0</v>
      </c>
    </row>
    <row r="274" spans="1:389" x14ac:dyDescent="0.25">
      <c r="A274" s="96" t="s">
        <v>575</v>
      </c>
      <c r="B274" s="34">
        <v>785</v>
      </c>
      <c r="C274" s="99">
        <v>17</v>
      </c>
      <c r="JB274" s="14">
        <v>10228000</v>
      </c>
      <c r="JC274" s="14">
        <v>26000</v>
      </c>
      <c r="JD274" s="14">
        <v>10202000</v>
      </c>
      <c r="JH274" s="14">
        <v>4043</v>
      </c>
      <c r="JL274" s="14">
        <v>10228000</v>
      </c>
      <c r="JM274" s="14">
        <v>21957</v>
      </c>
      <c r="JN274" s="14">
        <v>10202000</v>
      </c>
      <c r="ND274" s="14">
        <f t="shared" si="62"/>
        <v>10228000</v>
      </c>
      <c r="NE274" s="14">
        <f t="shared" si="48"/>
        <v>26000</v>
      </c>
      <c r="NF274" s="14">
        <f t="shared" si="49"/>
        <v>10202000</v>
      </c>
      <c r="NI274" s="14">
        <f t="shared" si="50"/>
        <v>0</v>
      </c>
      <c r="NJ274" s="14">
        <f t="shared" si="51"/>
        <v>4043</v>
      </c>
      <c r="NK274" s="14">
        <f t="shared" si="52"/>
        <v>0</v>
      </c>
      <c r="NN274" s="14">
        <f t="shared" si="53"/>
        <v>10228000</v>
      </c>
      <c r="NO274" s="14">
        <f t="shared" si="54"/>
        <v>21957</v>
      </c>
      <c r="NP274" s="14">
        <f t="shared" si="55"/>
        <v>10202000</v>
      </c>
      <c r="NS274" s="14">
        <f t="shared" si="63"/>
        <v>0</v>
      </c>
      <c r="NT274" s="14">
        <f t="shared" si="56"/>
        <v>0</v>
      </c>
      <c r="NU274" s="14">
        <f t="shared" si="57"/>
        <v>0</v>
      </c>
      <c r="NV274" s="14">
        <f t="shared" si="58"/>
        <v>0</v>
      </c>
      <c r="NW274" s="14">
        <f t="shared" si="59"/>
        <v>0</v>
      </c>
      <c r="NX274" s="14">
        <f t="shared" si="60"/>
        <v>0</v>
      </c>
      <c r="NY274" s="14">
        <f t="shared" si="61"/>
        <v>0</v>
      </c>
    </row>
    <row r="275" spans="1:389" x14ac:dyDescent="0.25">
      <c r="A275" s="96" t="s">
        <v>602</v>
      </c>
      <c r="B275" s="34">
        <v>905</v>
      </c>
      <c r="C275" s="99">
        <v>15</v>
      </c>
      <c r="JB275" s="14">
        <v>34561000</v>
      </c>
      <c r="JC275" s="14">
        <v>0</v>
      </c>
      <c r="JD275" s="14">
        <v>34561000</v>
      </c>
      <c r="JH275" s="14">
        <v>55053</v>
      </c>
      <c r="JL275" s="14">
        <v>34561000</v>
      </c>
      <c r="JM275" s="14">
        <v>-55053</v>
      </c>
      <c r="JN275" s="14">
        <v>34561000</v>
      </c>
      <c r="ND275" s="14">
        <f t="shared" si="62"/>
        <v>34561000</v>
      </c>
      <c r="NE275" s="14">
        <f t="shared" si="48"/>
        <v>0</v>
      </c>
      <c r="NF275" s="14">
        <f t="shared" si="49"/>
        <v>34561000</v>
      </c>
      <c r="NI275" s="14">
        <f t="shared" si="50"/>
        <v>0</v>
      </c>
      <c r="NJ275" s="14">
        <f t="shared" si="51"/>
        <v>55053</v>
      </c>
      <c r="NK275" s="14">
        <f t="shared" si="52"/>
        <v>0</v>
      </c>
      <c r="NN275" s="14">
        <f t="shared" si="53"/>
        <v>34561000</v>
      </c>
      <c r="NO275" s="14">
        <f t="shared" si="54"/>
        <v>-55053</v>
      </c>
      <c r="NP275" s="14">
        <f t="shared" si="55"/>
        <v>34561000</v>
      </c>
      <c r="NS275" s="14">
        <f t="shared" si="63"/>
        <v>0</v>
      </c>
      <c r="NT275" s="14">
        <f t="shared" si="56"/>
        <v>0</v>
      </c>
      <c r="NU275" s="14">
        <f t="shared" si="57"/>
        <v>0</v>
      </c>
      <c r="NV275" s="14">
        <f t="shared" si="58"/>
        <v>0</v>
      </c>
      <c r="NW275" s="14">
        <f t="shared" si="59"/>
        <v>0</v>
      </c>
      <c r="NX275" s="14">
        <f t="shared" si="60"/>
        <v>0</v>
      </c>
      <c r="NY275" s="14">
        <f t="shared" si="61"/>
        <v>0</v>
      </c>
    </row>
    <row r="276" spans="1:389" x14ac:dyDescent="0.25">
      <c r="A276" s="96" t="s">
        <v>603</v>
      </c>
      <c r="B276" s="34">
        <v>908</v>
      </c>
      <c r="C276" s="99">
        <v>6</v>
      </c>
      <c r="JB276" s="14">
        <v>1203079000</v>
      </c>
      <c r="JC276" s="14">
        <v>0</v>
      </c>
      <c r="JD276" s="14">
        <v>1203079000</v>
      </c>
      <c r="JH276" s="14">
        <v>13259</v>
      </c>
      <c r="JL276" s="14">
        <v>1203079000</v>
      </c>
      <c r="JM276" s="14">
        <v>-13259</v>
      </c>
      <c r="JN276" s="14">
        <v>1203079000</v>
      </c>
      <c r="ND276" s="14">
        <f t="shared" si="62"/>
        <v>1203079000</v>
      </c>
      <c r="NE276" s="14">
        <f t="shared" si="48"/>
        <v>0</v>
      </c>
      <c r="NF276" s="14">
        <f t="shared" si="49"/>
        <v>1203079000</v>
      </c>
      <c r="NI276" s="14">
        <f t="shared" si="50"/>
        <v>0</v>
      </c>
      <c r="NJ276" s="14">
        <f t="shared" si="51"/>
        <v>13259</v>
      </c>
      <c r="NK276" s="14">
        <f t="shared" si="52"/>
        <v>0</v>
      </c>
      <c r="NN276" s="14">
        <f t="shared" si="53"/>
        <v>1203079000</v>
      </c>
      <c r="NO276" s="14">
        <f t="shared" si="54"/>
        <v>-13259</v>
      </c>
      <c r="NP276" s="14">
        <f t="shared" si="55"/>
        <v>1203079000</v>
      </c>
      <c r="NS276" s="14">
        <f t="shared" si="63"/>
        <v>0</v>
      </c>
      <c r="NT276" s="14">
        <f t="shared" si="56"/>
        <v>0</v>
      </c>
      <c r="NU276" s="14">
        <f t="shared" si="57"/>
        <v>0</v>
      </c>
      <c r="NV276" s="14">
        <f t="shared" si="58"/>
        <v>0</v>
      </c>
      <c r="NW276" s="14">
        <f t="shared" si="59"/>
        <v>0</v>
      </c>
      <c r="NX276" s="14">
        <f t="shared" si="60"/>
        <v>0</v>
      </c>
      <c r="NY276" s="14">
        <f t="shared" si="61"/>
        <v>0</v>
      </c>
    </row>
    <row r="277" spans="1:389" x14ac:dyDescent="0.25">
      <c r="A277" s="96" t="s">
        <v>355</v>
      </c>
      <c r="B277" s="34">
        <v>92</v>
      </c>
      <c r="C277" s="99">
        <v>1</v>
      </c>
      <c r="JB277" s="14">
        <v>11213000</v>
      </c>
      <c r="JC277" s="14">
        <v>10000</v>
      </c>
      <c r="JD277" s="14">
        <v>11203000</v>
      </c>
      <c r="JH277" s="14">
        <v>106410</v>
      </c>
      <c r="JL277" s="14">
        <v>11213000</v>
      </c>
      <c r="JM277" s="14">
        <v>-96410</v>
      </c>
      <c r="JN277" s="14">
        <v>11203000</v>
      </c>
      <c r="ND277" s="14">
        <f t="shared" si="62"/>
        <v>11213000</v>
      </c>
      <c r="NE277" s="14">
        <f t="shared" si="48"/>
        <v>10000</v>
      </c>
      <c r="NF277" s="14">
        <f t="shared" si="49"/>
        <v>11203000</v>
      </c>
      <c r="NI277" s="14">
        <f t="shared" si="50"/>
        <v>0</v>
      </c>
      <c r="NJ277" s="14">
        <f t="shared" si="51"/>
        <v>106410</v>
      </c>
      <c r="NK277" s="14">
        <f t="shared" si="52"/>
        <v>0</v>
      </c>
      <c r="NN277" s="14">
        <f t="shared" si="53"/>
        <v>11213000</v>
      </c>
      <c r="NO277" s="14">
        <f t="shared" si="54"/>
        <v>-96410</v>
      </c>
      <c r="NP277" s="14">
        <f t="shared" si="55"/>
        <v>11203000</v>
      </c>
      <c r="NS277" s="14">
        <f t="shared" si="63"/>
        <v>0</v>
      </c>
      <c r="NT277" s="14">
        <f t="shared" si="56"/>
        <v>0</v>
      </c>
      <c r="NU277" s="14">
        <f t="shared" si="57"/>
        <v>0</v>
      </c>
      <c r="NV277" s="14">
        <f t="shared" si="58"/>
        <v>0</v>
      </c>
      <c r="NW277" s="14">
        <f t="shared" si="59"/>
        <v>0</v>
      </c>
      <c r="NX277" s="14">
        <f t="shared" si="60"/>
        <v>0</v>
      </c>
      <c r="NY277" s="14">
        <f t="shared" si="61"/>
        <v>0</v>
      </c>
    </row>
    <row r="278" spans="1:389" x14ac:dyDescent="0.25">
      <c r="A278" s="96" t="s">
        <v>604</v>
      </c>
      <c r="B278" s="34">
        <v>915</v>
      </c>
      <c r="C278" s="99">
        <v>11</v>
      </c>
      <c r="JB278" s="14">
        <v>22851000</v>
      </c>
      <c r="JC278" s="14">
        <v>112000</v>
      </c>
      <c r="JD278" s="14">
        <v>22739000</v>
      </c>
      <c r="JH278" s="14">
        <v>56225</v>
      </c>
      <c r="JL278" s="14">
        <v>22851000</v>
      </c>
      <c r="JM278" s="14">
        <v>55775</v>
      </c>
      <c r="JN278" s="14">
        <v>22739000</v>
      </c>
      <c r="ND278" s="14">
        <f t="shared" si="62"/>
        <v>22851000</v>
      </c>
      <c r="NE278" s="14">
        <f t="shared" ref="NE278:NE316" si="64">JC278</f>
        <v>112000</v>
      </c>
      <c r="NF278" s="14">
        <f t="shared" ref="NF278:NF316" si="65">JD278</f>
        <v>22739000</v>
      </c>
      <c r="NI278" s="14">
        <f t="shared" ref="NI278:NI316" si="66">JG278</f>
        <v>0</v>
      </c>
      <c r="NJ278" s="14">
        <f t="shared" ref="NJ278:NJ316" si="67">JH278</f>
        <v>56225</v>
      </c>
      <c r="NK278" s="14">
        <f t="shared" ref="NK278:NK316" si="68">JI278</f>
        <v>0</v>
      </c>
      <c r="NN278" s="14">
        <f t="shared" ref="NN278:NN316" si="69">JL278</f>
        <v>22851000</v>
      </c>
      <c r="NO278" s="14">
        <f t="shared" ref="NO278:NO316" si="70">JM278</f>
        <v>55775</v>
      </c>
      <c r="NP278" s="14">
        <f t="shared" ref="NP278:NP316" si="71">JN278</f>
        <v>22739000</v>
      </c>
      <c r="NS278" s="14">
        <f t="shared" si="63"/>
        <v>0</v>
      </c>
      <c r="NT278" s="14">
        <f t="shared" ref="NT278:NT316" si="72">JR278</f>
        <v>0</v>
      </c>
      <c r="NU278" s="14">
        <f t="shared" ref="NU278:NU316" si="73">JS278</f>
        <v>0</v>
      </c>
      <c r="NV278" s="14">
        <f t="shared" ref="NV278:NV316" si="74">JT278</f>
        <v>0</v>
      </c>
      <c r="NW278" s="14">
        <f t="shared" ref="NW278:NW316" si="75">JU278</f>
        <v>0</v>
      </c>
      <c r="NX278" s="14">
        <f t="shared" ref="NX278:NX316" si="76">JV278</f>
        <v>0</v>
      </c>
      <c r="NY278" s="14">
        <f t="shared" ref="NY278:NY316" si="77">JW278</f>
        <v>0</v>
      </c>
    </row>
    <row r="279" spans="1:389" x14ac:dyDescent="0.25">
      <c r="A279" s="96" t="s">
        <v>605</v>
      </c>
      <c r="B279" s="34">
        <v>918</v>
      </c>
      <c r="C279" s="99">
        <v>2</v>
      </c>
      <c r="JB279" s="14">
        <v>35178000</v>
      </c>
      <c r="JC279" s="14">
        <v>30000</v>
      </c>
      <c r="JD279" s="14">
        <v>35148000</v>
      </c>
      <c r="JH279" s="14">
        <v>11742</v>
      </c>
      <c r="JL279" s="14">
        <v>35178000</v>
      </c>
      <c r="JM279" s="14">
        <v>18258</v>
      </c>
      <c r="JN279" s="14">
        <v>35148000</v>
      </c>
      <c r="ND279" s="14">
        <f t="shared" ref="ND279:ND316" si="78">JB279</f>
        <v>35178000</v>
      </c>
      <c r="NE279" s="14">
        <f t="shared" si="64"/>
        <v>30000</v>
      </c>
      <c r="NF279" s="14">
        <f t="shared" si="65"/>
        <v>35148000</v>
      </c>
      <c r="NI279" s="14">
        <f t="shared" si="66"/>
        <v>0</v>
      </c>
      <c r="NJ279" s="14">
        <f t="shared" si="67"/>
        <v>11742</v>
      </c>
      <c r="NK279" s="14">
        <f t="shared" si="68"/>
        <v>0</v>
      </c>
      <c r="NN279" s="14">
        <f t="shared" si="69"/>
        <v>35178000</v>
      </c>
      <c r="NO279" s="14">
        <f t="shared" si="70"/>
        <v>18258</v>
      </c>
      <c r="NP279" s="14">
        <f t="shared" si="71"/>
        <v>35148000</v>
      </c>
      <c r="NS279" s="14">
        <f t="shared" ref="NS279:NS316" si="79">JQ279</f>
        <v>0</v>
      </c>
      <c r="NT279" s="14">
        <f t="shared" si="72"/>
        <v>0</v>
      </c>
      <c r="NU279" s="14">
        <f t="shared" si="73"/>
        <v>0</v>
      </c>
      <c r="NV279" s="14">
        <f t="shared" si="74"/>
        <v>0</v>
      </c>
      <c r="NW279" s="14">
        <f t="shared" si="75"/>
        <v>0</v>
      </c>
      <c r="NX279" s="14">
        <f t="shared" si="76"/>
        <v>0</v>
      </c>
      <c r="NY279" s="14">
        <f t="shared" si="77"/>
        <v>0</v>
      </c>
    </row>
    <row r="280" spans="1:389" x14ac:dyDescent="0.25">
      <c r="A280" s="96" t="s">
        <v>606</v>
      </c>
      <c r="B280" s="34">
        <v>921</v>
      </c>
      <c r="C280" s="99">
        <v>11</v>
      </c>
      <c r="JB280" s="14">
        <v>30491000</v>
      </c>
      <c r="JC280" s="14">
        <v>257000</v>
      </c>
      <c r="JD280" s="14">
        <v>30234000</v>
      </c>
      <c r="JH280" s="14">
        <v>39304</v>
      </c>
      <c r="JL280" s="14">
        <v>30491000</v>
      </c>
      <c r="JM280" s="14">
        <v>217696</v>
      </c>
      <c r="JN280" s="14">
        <v>30234000</v>
      </c>
      <c r="ND280" s="14">
        <f t="shared" si="78"/>
        <v>30491000</v>
      </c>
      <c r="NE280" s="14">
        <f t="shared" si="64"/>
        <v>257000</v>
      </c>
      <c r="NF280" s="14">
        <f t="shared" si="65"/>
        <v>30234000</v>
      </c>
      <c r="NI280" s="14">
        <f t="shared" si="66"/>
        <v>0</v>
      </c>
      <c r="NJ280" s="14">
        <f t="shared" si="67"/>
        <v>39304</v>
      </c>
      <c r="NK280" s="14">
        <f t="shared" si="68"/>
        <v>0</v>
      </c>
      <c r="NN280" s="14">
        <f t="shared" si="69"/>
        <v>30491000</v>
      </c>
      <c r="NO280" s="14">
        <f t="shared" si="70"/>
        <v>217696</v>
      </c>
      <c r="NP280" s="14">
        <f t="shared" si="71"/>
        <v>30234000</v>
      </c>
      <c r="NS280" s="14">
        <f t="shared" si="79"/>
        <v>0</v>
      </c>
      <c r="NT280" s="14">
        <f t="shared" si="72"/>
        <v>0</v>
      </c>
      <c r="NU280" s="14">
        <f t="shared" si="73"/>
        <v>0</v>
      </c>
      <c r="NV280" s="14">
        <f t="shared" si="74"/>
        <v>0</v>
      </c>
      <c r="NW280" s="14">
        <f t="shared" si="75"/>
        <v>0</v>
      </c>
      <c r="NX280" s="14">
        <f t="shared" si="76"/>
        <v>0</v>
      </c>
      <c r="NY280" s="14">
        <f t="shared" si="77"/>
        <v>0</v>
      </c>
    </row>
    <row r="281" spans="1:389" x14ac:dyDescent="0.25">
      <c r="A281" s="96" t="s">
        <v>607</v>
      </c>
      <c r="B281" s="34">
        <v>922</v>
      </c>
      <c r="C281" s="99">
        <v>6</v>
      </c>
      <c r="JB281" s="14">
        <v>20452000</v>
      </c>
      <c r="JC281" s="14">
        <v>900000</v>
      </c>
      <c r="JD281" s="14">
        <v>19552000</v>
      </c>
      <c r="JH281" s="14">
        <v>38432</v>
      </c>
      <c r="JL281" s="14">
        <v>20452000</v>
      </c>
      <c r="JM281" s="14">
        <v>861568</v>
      </c>
      <c r="JN281" s="14">
        <v>19552000</v>
      </c>
      <c r="ND281" s="14">
        <f t="shared" si="78"/>
        <v>20452000</v>
      </c>
      <c r="NE281" s="14">
        <f t="shared" si="64"/>
        <v>900000</v>
      </c>
      <c r="NF281" s="14">
        <f t="shared" si="65"/>
        <v>19552000</v>
      </c>
      <c r="NI281" s="14">
        <f t="shared" si="66"/>
        <v>0</v>
      </c>
      <c r="NJ281" s="14">
        <f t="shared" si="67"/>
        <v>38432</v>
      </c>
      <c r="NK281" s="14">
        <f t="shared" si="68"/>
        <v>0</v>
      </c>
      <c r="NN281" s="14">
        <f t="shared" si="69"/>
        <v>20452000</v>
      </c>
      <c r="NO281" s="14">
        <f t="shared" si="70"/>
        <v>861568</v>
      </c>
      <c r="NP281" s="14">
        <f t="shared" si="71"/>
        <v>19552000</v>
      </c>
      <c r="NS281" s="14">
        <f t="shared" si="79"/>
        <v>0</v>
      </c>
      <c r="NT281" s="14">
        <f t="shared" si="72"/>
        <v>0</v>
      </c>
      <c r="NU281" s="14">
        <f t="shared" si="73"/>
        <v>0</v>
      </c>
      <c r="NV281" s="14">
        <f t="shared" si="74"/>
        <v>0</v>
      </c>
      <c r="NW281" s="14">
        <f t="shared" si="75"/>
        <v>0</v>
      </c>
      <c r="NX281" s="14">
        <f t="shared" si="76"/>
        <v>0</v>
      </c>
      <c r="NY281" s="14">
        <f t="shared" si="77"/>
        <v>0</v>
      </c>
    </row>
    <row r="282" spans="1:389" x14ac:dyDescent="0.25">
      <c r="A282" s="96" t="s">
        <v>608</v>
      </c>
      <c r="B282" s="34">
        <v>924</v>
      </c>
      <c r="C282" s="99">
        <v>16</v>
      </c>
      <c r="JB282" s="14">
        <v>13910000</v>
      </c>
      <c r="JC282" s="14">
        <v>525000</v>
      </c>
      <c r="JD282" s="14">
        <v>13385000</v>
      </c>
      <c r="JH282" s="14">
        <v>11720</v>
      </c>
      <c r="JL282" s="14">
        <v>13910000</v>
      </c>
      <c r="JM282" s="14">
        <v>513280</v>
      </c>
      <c r="JN282" s="14">
        <v>13385000</v>
      </c>
      <c r="ND282" s="14">
        <f t="shared" si="78"/>
        <v>13910000</v>
      </c>
      <c r="NE282" s="14">
        <f t="shared" si="64"/>
        <v>525000</v>
      </c>
      <c r="NF282" s="14">
        <f t="shared" si="65"/>
        <v>13385000</v>
      </c>
      <c r="NI282" s="14">
        <f t="shared" si="66"/>
        <v>0</v>
      </c>
      <c r="NJ282" s="14">
        <f t="shared" si="67"/>
        <v>11720</v>
      </c>
      <c r="NK282" s="14">
        <f t="shared" si="68"/>
        <v>0</v>
      </c>
      <c r="NN282" s="14">
        <f t="shared" si="69"/>
        <v>13910000</v>
      </c>
      <c r="NO282" s="14">
        <f t="shared" si="70"/>
        <v>513280</v>
      </c>
      <c r="NP282" s="14">
        <f t="shared" si="71"/>
        <v>13385000</v>
      </c>
      <c r="NS282" s="14">
        <f t="shared" si="79"/>
        <v>0</v>
      </c>
      <c r="NT282" s="14">
        <f t="shared" si="72"/>
        <v>0</v>
      </c>
      <c r="NU282" s="14">
        <f t="shared" si="73"/>
        <v>0</v>
      </c>
      <c r="NV282" s="14">
        <f t="shared" si="74"/>
        <v>0</v>
      </c>
      <c r="NW282" s="14">
        <f t="shared" si="75"/>
        <v>0</v>
      </c>
      <c r="NX282" s="14">
        <f t="shared" si="76"/>
        <v>0</v>
      </c>
      <c r="NY282" s="14">
        <f t="shared" si="77"/>
        <v>0</v>
      </c>
    </row>
    <row r="283" spans="1:389" x14ac:dyDescent="0.25">
      <c r="A283" s="96" t="s">
        <v>609</v>
      </c>
      <c r="B283" s="34">
        <v>925</v>
      </c>
      <c r="C283" s="99">
        <v>11</v>
      </c>
      <c r="JB283" s="14">
        <v>118872000</v>
      </c>
      <c r="JC283" s="14">
        <v>498000</v>
      </c>
      <c r="JD283" s="14">
        <v>118374000</v>
      </c>
      <c r="JH283" s="14">
        <v>23395</v>
      </c>
      <c r="JL283" s="14">
        <v>118872000</v>
      </c>
      <c r="JM283" s="14">
        <v>474605</v>
      </c>
      <c r="JN283" s="14">
        <v>118374000</v>
      </c>
      <c r="ND283" s="14">
        <f t="shared" si="78"/>
        <v>118872000</v>
      </c>
      <c r="NE283" s="14">
        <f t="shared" si="64"/>
        <v>498000</v>
      </c>
      <c r="NF283" s="14">
        <f t="shared" si="65"/>
        <v>118374000</v>
      </c>
      <c r="NI283" s="14">
        <f t="shared" si="66"/>
        <v>0</v>
      </c>
      <c r="NJ283" s="14">
        <f t="shared" si="67"/>
        <v>23395</v>
      </c>
      <c r="NK283" s="14">
        <f t="shared" si="68"/>
        <v>0</v>
      </c>
      <c r="NN283" s="14">
        <f t="shared" si="69"/>
        <v>118872000</v>
      </c>
      <c r="NO283" s="14">
        <f t="shared" si="70"/>
        <v>474605</v>
      </c>
      <c r="NP283" s="14">
        <f t="shared" si="71"/>
        <v>118374000</v>
      </c>
      <c r="NS283" s="14">
        <f t="shared" si="79"/>
        <v>0</v>
      </c>
      <c r="NT283" s="14">
        <f t="shared" si="72"/>
        <v>0</v>
      </c>
      <c r="NU283" s="14">
        <f t="shared" si="73"/>
        <v>0</v>
      </c>
      <c r="NV283" s="14">
        <f t="shared" si="74"/>
        <v>0</v>
      </c>
      <c r="NW283" s="14">
        <f t="shared" si="75"/>
        <v>0</v>
      </c>
      <c r="NX283" s="14">
        <f t="shared" si="76"/>
        <v>0</v>
      </c>
      <c r="NY283" s="14">
        <f t="shared" si="77"/>
        <v>0</v>
      </c>
    </row>
    <row r="284" spans="1:389" x14ac:dyDescent="0.25">
      <c r="A284" s="96" t="s">
        <v>610</v>
      </c>
      <c r="B284" s="34">
        <v>927</v>
      </c>
      <c r="C284" s="99">
        <v>1</v>
      </c>
      <c r="JB284" s="14">
        <v>1055810000</v>
      </c>
      <c r="JC284" s="14">
        <v>25000</v>
      </c>
      <c r="JD284" s="14">
        <v>1055785000</v>
      </c>
      <c r="JH284" s="14">
        <v>6077</v>
      </c>
      <c r="JL284" s="14">
        <v>1055810000</v>
      </c>
      <c r="JM284" s="14">
        <v>18923</v>
      </c>
      <c r="JN284" s="14">
        <v>1055785000</v>
      </c>
      <c r="ND284" s="14">
        <f t="shared" si="78"/>
        <v>1055810000</v>
      </c>
      <c r="NE284" s="14">
        <f t="shared" si="64"/>
        <v>25000</v>
      </c>
      <c r="NF284" s="14">
        <f t="shared" si="65"/>
        <v>1055785000</v>
      </c>
      <c r="NI284" s="14">
        <f t="shared" si="66"/>
        <v>0</v>
      </c>
      <c r="NJ284" s="14">
        <f t="shared" si="67"/>
        <v>6077</v>
      </c>
      <c r="NK284" s="14">
        <f t="shared" si="68"/>
        <v>0</v>
      </c>
      <c r="NN284" s="14">
        <f t="shared" si="69"/>
        <v>1055810000</v>
      </c>
      <c r="NO284" s="14">
        <f t="shared" si="70"/>
        <v>18923</v>
      </c>
      <c r="NP284" s="14">
        <f t="shared" si="71"/>
        <v>1055785000</v>
      </c>
      <c r="NS284" s="14">
        <f t="shared" si="79"/>
        <v>0</v>
      </c>
      <c r="NT284" s="14">
        <f t="shared" si="72"/>
        <v>0</v>
      </c>
      <c r="NU284" s="14">
        <f t="shared" si="73"/>
        <v>0</v>
      </c>
      <c r="NV284" s="14">
        <f t="shared" si="74"/>
        <v>0</v>
      </c>
      <c r="NW284" s="14">
        <f t="shared" si="75"/>
        <v>0</v>
      </c>
      <c r="NX284" s="14">
        <f t="shared" si="76"/>
        <v>0</v>
      </c>
      <c r="NY284" s="14">
        <f t="shared" si="77"/>
        <v>0</v>
      </c>
    </row>
    <row r="285" spans="1:389" x14ac:dyDescent="0.25">
      <c r="A285" s="96" t="s">
        <v>611</v>
      </c>
      <c r="B285" s="34">
        <v>931</v>
      </c>
      <c r="C285" s="99">
        <v>13</v>
      </c>
      <c r="JB285" s="14">
        <v>26762000</v>
      </c>
      <c r="JC285" s="14">
        <v>3694000</v>
      </c>
      <c r="JD285" s="14">
        <v>23068000</v>
      </c>
      <c r="JH285" s="14">
        <v>2031109</v>
      </c>
      <c r="JL285" s="14">
        <v>26762000</v>
      </c>
      <c r="JM285" s="14">
        <v>1662891</v>
      </c>
      <c r="JN285" s="14">
        <v>23068000</v>
      </c>
      <c r="ND285" s="14">
        <f t="shared" si="78"/>
        <v>26762000</v>
      </c>
      <c r="NE285" s="14">
        <f t="shared" si="64"/>
        <v>3694000</v>
      </c>
      <c r="NF285" s="14">
        <f t="shared" si="65"/>
        <v>23068000</v>
      </c>
      <c r="NI285" s="14">
        <f t="shared" si="66"/>
        <v>0</v>
      </c>
      <c r="NJ285" s="14">
        <f t="shared" si="67"/>
        <v>2031109</v>
      </c>
      <c r="NK285" s="14">
        <f t="shared" si="68"/>
        <v>0</v>
      </c>
      <c r="NN285" s="14">
        <f t="shared" si="69"/>
        <v>26762000</v>
      </c>
      <c r="NO285" s="14">
        <f t="shared" si="70"/>
        <v>1662891</v>
      </c>
      <c r="NP285" s="14">
        <f t="shared" si="71"/>
        <v>23068000</v>
      </c>
      <c r="NS285" s="14">
        <f t="shared" si="79"/>
        <v>0</v>
      </c>
      <c r="NT285" s="14">
        <f t="shared" si="72"/>
        <v>0</v>
      </c>
      <c r="NU285" s="14">
        <f t="shared" si="73"/>
        <v>0</v>
      </c>
      <c r="NV285" s="14">
        <f t="shared" si="74"/>
        <v>0</v>
      </c>
      <c r="NW285" s="14">
        <f t="shared" si="75"/>
        <v>0</v>
      </c>
      <c r="NX285" s="14">
        <f t="shared" si="76"/>
        <v>0</v>
      </c>
      <c r="NY285" s="14">
        <f t="shared" si="77"/>
        <v>0</v>
      </c>
    </row>
    <row r="286" spans="1:389" x14ac:dyDescent="0.25">
      <c r="A286" s="96" t="s">
        <v>612</v>
      </c>
      <c r="B286" s="34">
        <v>934</v>
      </c>
      <c r="C286" s="99">
        <v>14</v>
      </c>
      <c r="JB286" s="14">
        <v>19292000</v>
      </c>
      <c r="JC286" s="14">
        <v>0</v>
      </c>
      <c r="JD286" s="14">
        <v>19292000</v>
      </c>
      <c r="JH286" s="14">
        <v>10619</v>
      </c>
      <c r="JL286" s="14">
        <v>19292000</v>
      </c>
      <c r="JM286" s="14">
        <v>-10619</v>
      </c>
      <c r="JN286" s="14">
        <v>19292000</v>
      </c>
      <c r="ND286" s="14">
        <f t="shared" si="78"/>
        <v>19292000</v>
      </c>
      <c r="NE286" s="14">
        <f t="shared" si="64"/>
        <v>0</v>
      </c>
      <c r="NF286" s="14">
        <f t="shared" si="65"/>
        <v>19292000</v>
      </c>
      <c r="NI286" s="14">
        <f t="shared" si="66"/>
        <v>0</v>
      </c>
      <c r="NJ286" s="14">
        <f t="shared" si="67"/>
        <v>10619</v>
      </c>
      <c r="NK286" s="14">
        <f t="shared" si="68"/>
        <v>0</v>
      </c>
      <c r="NN286" s="14">
        <f t="shared" si="69"/>
        <v>19292000</v>
      </c>
      <c r="NO286" s="14">
        <f t="shared" si="70"/>
        <v>-10619</v>
      </c>
      <c r="NP286" s="14">
        <f t="shared" si="71"/>
        <v>19292000</v>
      </c>
      <c r="NS286" s="14">
        <f t="shared" si="79"/>
        <v>0</v>
      </c>
      <c r="NT286" s="14">
        <f t="shared" si="72"/>
        <v>0</v>
      </c>
      <c r="NU286" s="14">
        <f t="shared" si="73"/>
        <v>0</v>
      </c>
      <c r="NV286" s="14">
        <f t="shared" si="74"/>
        <v>0</v>
      </c>
      <c r="NW286" s="14">
        <f t="shared" si="75"/>
        <v>0</v>
      </c>
      <c r="NX286" s="14">
        <f t="shared" si="76"/>
        <v>0</v>
      </c>
      <c r="NY286" s="14">
        <f t="shared" si="77"/>
        <v>0</v>
      </c>
    </row>
    <row r="287" spans="1:389" x14ac:dyDescent="0.25">
      <c r="A287" s="96" t="s">
        <v>613</v>
      </c>
      <c r="B287" s="34">
        <v>935</v>
      </c>
      <c r="C287" s="99">
        <v>8</v>
      </c>
      <c r="JB287" s="14">
        <v>198898000</v>
      </c>
      <c r="JC287" s="14">
        <v>450000</v>
      </c>
      <c r="JD287" s="14">
        <v>198448000</v>
      </c>
      <c r="JH287" s="14">
        <v>145388</v>
      </c>
      <c r="JL287" s="14">
        <v>198898000</v>
      </c>
      <c r="JM287" s="14">
        <v>304612</v>
      </c>
      <c r="JN287" s="14">
        <v>198448000</v>
      </c>
      <c r="ND287" s="14">
        <f t="shared" si="78"/>
        <v>198898000</v>
      </c>
      <c r="NE287" s="14">
        <f t="shared" si="64"/>
        <v>450000</v>
      </c>
      <c r="NF287" s="14">
        <f t="shared" si="65"/>
        <v>198448000</v>
      </c>
      <c r="NI287" s="14">
        <f t="shared" si="66"/>
        <v>0</v>
      </c>
      <c r="NJ287" s="14">
        <f t="shared" si="67"/>
        <v>145388</v>
      </c>
      <c r="NK287" s="14">
        <f t="shared" si="68"/>
        <v>0</v>
      </c>
      <c r="NN287" s="14">
        <f t="shared" si="69"/>
        <v>198898000</v>
      </c>
      <c r="NO287" s="14">
        <f t="shared" si="70"/>
        <v>304612</v>
      </c>
      <c r="NP287" s="14">
        <f t="shared" si="71"/>
        <v>198448000</v>
      </c>
      <c r="NS287" s="14">
        <f t="shared" si="79"/>
        <v>0</v>
      </c>
      <c r="NT287" s="14">
        <f t="shared" si="72"/>
        <v>0</v>
      </c>
      <c r="NU287" s="14">
        <f t="shared" si="73"/>
        <v>0</v>
      </c>
      <c r="NV287" s="14">
        <f t="shared" si="74"/>
        <v>0</v>
      </c>
      <c r="NW287" s="14">
        <f t="shared" si="75"/>
        <v>0</v>
      </c>
      <c r="NX287" s="14">
        <f t="shared" si="76"/>
        <v>0</v>
      </c>
      <c r="NY287" s="14">
        <f t="shared" si="77"/>
        <v>0</v>
      </c>
    </row>
    <row r="288" spans="1:389" x14ac:dyDescent="0.25">
      <c r="A288" s="96" t="s">
        <v>614</v>
      </c>
      <c r="B288" s="34">
        <v>936</v>
      </c>
      <c r="C288" s="99">
        <v>6</v>
      </c>
      <c r="JB288" s="14">
        <v>37413000</v>
      </c>
      <c r="JC288" s="14">
        <v>100000</v>
      </c>
      <c r="JD288" s="14">
        <v>37313000</v>
      </c>
      <c r="JH288" s="14">
        <v>3231</v>
      </c>
      <c r="JL288" s="14">
        <v>37413000</v>
      </c>
      <c r="JM288" s="14">
        <v>96769</v>
      </c>
      <c r="JN288" s="14">
        <v>37313000</v>
      </c>
      <c r="ND288" s="14">
        <f t="shared" si="78"/>
        <v>37413000</v>
      </c>
      <c r="NE288" s="14">
        <f t="shared" si="64"/>
        <v>100000</v>
      </c>
      <c r="NF288" s="14">
        <f t="shared" si="65"/>
        <v>37313000</v>
      </c>
      <c r="NI288" s="14">
        <f t="shared" si="66"/>
        <v>0</v>
      </c>
      <c r="NJ288" s="14">
        <f t="shared" si="67"/>
        <v>3231</v>
      </c>
      <c r="NK288" s="14">
        <f t="shared" si="68"/>
        <v>0</v>
      </c>
      <c r="NN288" s="14">
        <f t="shared" si="69"/>
        <v>37413000</v>
      </c>
      <c r="NO288" s="14">
        <f t="shared" si="70"/>
        <v>96769</v>
      </c>
      <c r="NP288" s="14">
        <f t="shared" si="71"/>
        <v>37313000</v>
      </c>
      <c r="NS288" s="14">
        <f t="shared" si="79"/>
        <v>0</v>
      </c>
      <c r="NT288" s="14">
        <f t="shared" si="72"/>
        <v>0</v>
      </c>
      <c r="NU288" s="14">
        <f t="shared" si="73"/>
        <v>0</v>
      </c>
      <c r="NV288" s="14">
        <f t="shared" si="74"/>
        <v>0</v>
      </c>
      <c r="NW288" s="14">
        <f t="shared" si="75"/>
        <v>0</v>
      </c>
      <c r="NX288" s="14">
        <f t="shared" si="76"/>
        <v>0</v>
      </c>
      <c r="NY288" s="14">
        <f t="shared" si="77"/>
        <v>0</v>
      </c>
    </row>
    <row r="289" spans="1:389" x14ac:dyDescent="0.25">
      <c r="A289" s="96" t="s">
        <v>615</v>
      </c>
      <c r="B289" s="34">
        <v>946</v>
      </c>
      <c r="C289" s="99">
        <v>15</v>
      </c>
      <c r="JB289" s="14">
        <v>69403000</v>
      </c>
      <c r="JC289" s="14">
        <v>297000</v>
      </c>
      <c r="JD289" s="14">
        <v>69106000</v>
      </c>
      <c r="JH289" s="14">
        <v>11746</v>
      </c>
      <c r="JL289" s="14">
        <v>69403000</v>
      </c>
      <c r="JM289" s="14">
        <v>285254</v>
      </c>
      <c r="JN289" s="14">
        <v>69106000</v>
      </c>
      <c r="ND289" s="14">
        <f t="shared" si="78"/>
        <v>69403000</v>
      </c>
      <c r="NE289" s="14">
        <f t="shared" si="64"/>
        <v>297000</v>
      </c>
      <c r="NF289" s="14">
        <f t="shared" si="65"/>
        <v>69106000</v>
      </c>
      <c r="NI289" s="14">
        <f t="shared" si="66"/>
        <v>0</v>
      </c>
      <c r="NJ289" s="14">
        <f t="shared" si="67"/>
        <v>11746</v>
      </c>
      <c r="NK289" s="14">
        <f t="shared" si="68"/>
        <v>0</v>
      </c>
      <c r="NN289" s="14">
        <f t="shared" si="69"/>
        <v>69403000</v>
      </c>
      <c r="NO289" s="14">
        <f t="shared" si="70"/>
        <v>285254</v>
      </c>
      <c r="NP289" s="14">
        <f t="shared" si="71"/>
        <v>69106000</v>
      </c>
      <c r="NS289" s="14">
        <f t="shared" si="79"/>
        <v>0</v>
      </c>
      <c r="NT289" s="14">
        <f t="shared" si="72"/>
        <v>0</v>
      </c>
      <c r="NU289" s="14">
        <f t="shared" si="73"/>
        <v>0</v>
      </c>
      <c r="NV289" s="14">
        <f t="shared" si="74"/>
        <v>0</v>
      </c>
      <c r="NW289" s="14">
        <f t="shared" si="75"/>
        <v>0</v>
      </c>
      <c r="NX289" s="14">
        <f t="shared" si="76"/>
        <v>0</v>
      </c>
      <c r="NY289" s="14">
        <f t="shared" si="77"/>
        <v>0</v>
      </c>
    </row>
    <row r="290" spans="1:389" x14ac:dyDescent="0.25">
      <c r="A290" s="96" t="s">
        <v>616</v>
      </c>
      <c r="B290" s="34">
        <v>976</v>
      </c>
      <c r="C290" s="99">
        <v>19</v>
      </c>
      <c r="JB290" s="14">
        <v>29800000</v>
      </c>
      <c r="JC290" s="14">
        <v>2590000</v>
      </c>
      <c r="JD290" s="14">
        <v>27210000</v>
      </c>
      <c r="JH290" s="14">
        <v>443680</v>
      </c>
      <c r="JL290" s="14">
        <v>29800000</v>
      </c>
      <c r="JM290" s="14">
        <v>2146320</v>
      </c>
      <c r="JN290" s="14">
        <v>27210000</v>
      </c>
      <c r="ND290" s="14">
        <f t="shared" si="78"/>
        <v>29800000</v>
      </c>
      <c r="NE290" s="14">
        <f t="shared" si="64"/>
        <v>2590000</v>
      </c>
      <c r="NF290" s="14">
        <f t="shared" si="65"/>
        <v>27210000</v>
      </c>
      <c r="NI290" s="14">
        <f t="shared" si="66"/>
        <v>0</v>
      </c>
      <c r="NJ290" s="14">
        <f t="shared" si="67"/>
        <v>443680</v>
      </c>
      <c r="NK290" s="14">
        <f t="shared" si="68"/>
        <v>0</v>
      </c>
      <c r="NN290" s="14">
        <f t="shared" si="69"/>
        <v>29800000</v>
      </c>
      <c r="NO290" s="14">
        <f t="shared" si="70"/>
        <v>2146320</v>
      </c>
      <c r="NP290" s="14">
        <f t="shared" si="71"/>
        <v>27210000</v>
      </c>
      <c r="NS290" s="14">
        <f t="shared" si="79"/>
        <v>0</v>
      </c>
      <c r="NT290" s="14">
        <f t="shared" si="72"/>
        <v>0</v>
      </c>
      <c r="NU290" s="14">
        <f t="shared" si="73"/>
        <v>0</v>
      </c>
      <c r="NV290" s="14">
        <f t="shared" si="74"/>
        <v>0</v>
      </c>
      <c r="NW290" s="14">
        <f t="shared" si="75"/>
        <v>0</v>
      </c>
      <c r="NX290" s="14">
        <f t="shared" si="76"/>
        <v>0</v>
      </c>
      <c r="NY290" s="14">
        <f t="shared" si="77"/>
        <v>0</v>
      </c>
    </row>
    <row r="291" spans="1:389" x14ac:dyDescent="0.25">
      <c r="A291" s="96" t="s">
        <v>617</v>
      </c>
      <c r="B291" s="34">
        <v>977</v>
      </c>
      <c r="C291" s="99">
        <v>17</v>
      </c>
      <c r="JB291" s="14">
        <v>21871000</v>
      </c>
      <c r="JC291" s="14">
        <v>0</v>
      </c>
      <c r="JD291" s="14">
        <v>21871000</v>
      </c>
      <c r="JH291" s="14">
        <v>6317</v>
      </c>
      <c r="JL291" s="14">
        <v>21871000</v>
      </c>
      <c r="JM291" s="14">
        <v>-6317</v>
      </c>
      <c r="JN291" s="14">
        <v>21871000</v>
      </c>
      <c r="ND291" s="14">
        <f t="shared" si="78"/>
        <v>21871000</v>
      </c>
      <c r="NE291" s="14">
        <f t="shared" si="64"/>
        <v>0</v>
      </c>
      <c r="NF291" s="14">
        <f t="shared" si="65"/>
        <v>21871000</v>
      </c>
      <c r="NI291" s="14">
        <f t="shared" si="66"/>
        <v>0</v>
      </c>
      <c r="NJ291" s="14">
        <f t="shared" si="67"/>
        <v>6317</v>
      </c>
      <c r="NK291" s="14">
        <f t="shared" si="68"/>
        <v>0</v>
      </c>
      <c r="NN291" s="14">
        <f t="shared" si="69"/>
        <v>21871000</v>
      </c>
      <c r="NO291" s="14">
        <f t="shared" si="70"/>
        <v>-6317</v>
      </c>
      <c r="NP291" s="14">
        <f t="shared" si="71"/>
        <v>21871000</v>
      </c>
      <c r="NS291" s="14">
        <f t="shared" si="79"/>
        <v>0</v>
      </c>
      <c r="NT291" s="14">
        <f t="shared" si="72"/>
        <v>0</v>
      </c>
      <c r="NU291" s="14">
        <f t="shared" si="73"/>
        <v>0</v>
      </c>
      <c r="NV291" s="14">
        <f t="shared" si="74"/>
        <v>0</v>
      </c>
      <c r="NW291" s="14">
        <f t="shared" si="75"/>
        <v>0</v>
      </c>
      <c r="NX291" s="14">
        <f t="shared" si="76"/>
        <v>0</v>
      </c>
      <c r="NY291" s="14">
        <f t="shared" si="77"/>
        <v>0</v>
      </c>
    </row>
    <row r="292" spans="1:389" x14ac:dyDescent="0.25">
      <c r="A292" s="96" t="s">
        <v>618</v>
      </c>
      <c r="B292" s="34">
        <v>980</v>
      </c>
      <c r="C292" s="99">
        <v>6</v>
      </c>
      <c r="JB292" s="14">
        <v>10866000</v>
      </c>
      <c r="JC292" s="14">
        <v>380000</v>
      </c>
      <c r="JD292" s="14">
        <v>10486000</v>
      </c>
      <c r="JH292" s="14">
        <v>25632</v>
      </c>
      <c r="JL292" s="14">
        <v>10866000</v>
      </c>
      <c r="JM292" s="14">
        <v>354368</v>
      </c>
      <c r="JN292" s="14">
        <v>10486000</v>
      </c>
      <c r="ND292" s="14">
        <f t="shared" si="78"/>
        <v>10866000</v>
      </c>
      <c r="NE292" s="14">
        <f t="shared" si="64"/>
        <v>380000</v>
      </c>
      <c r="NF292" s="14">
        <f t="shared" si="65"/>
        <v>10486000</v>
      </c>
      <c r="NI292" s="14">
        <f t="shared" si="66"/>
        <v>0</v>
      </c>
      <c r="NJ292" s="14">
        <f t="shared" si="67"/>
        <v>25632</v>
      </c>
      <c r="NK292" s="14">
        <f t="shared" si="68"/>
        <v>0</v>
      </c>
      <c r="NN292" s="14">
        <f t="shared" si="69"/>
        <v>10866000</v>
      </c>
      <c r="NO292" s="14">
        <f t="shared" si="70"/>
        <v>354368</v>
      </c>
      <c r="NP292" s="14">
        <f t="shared" si="71"/>
        <v>10486000</v>
      </c>
      <c r="NS292" s="14">
        <f t="shared" si="79"/>
        <v>0</v>
      </c>
      <c r="NT292" s="14">
        <f t="shared" si="72"/>
        <v>0</v>
      </c>
      <c r="NU292" s="14">
        <f t="shared" si="73"/>
        <v>0</v>
      </c>
      <c r="NV292" s="14">
        <f t="shared" si="74"/>
        <v>0</v>
      </c>
      <c r="NW292" s="14">
        <f t="shared" si="75"/>
        <v>0</v>
      </c>
      <c r="NX292" s="14">
        <f t="shared" si="76"/>
        <v>0</v>
      </c>
      <c r="NY292" s="14">
        <f t="shared" si="77"/>
        <v>0</v>
      </c>
    </row>
    <row r="293" spans="1:389" x14ac:dyDescent="0.25">
      <c r="A293" s="96" t="s">
        <v>619</v>
      </c>
      <c r="B293" s="34">
        <v>981</v>
      </c>
      <c r="C293" s="99">
        <v>5</v>
      </c>
      <c r="JB293" s="14">
        <v>19499000</v>
      </c>
      <c r="JC293" s="14">
        <v>0</v>
      </c>
      <c r="JD293" s="14">
        <v>19499000</v>
      </c>
      <c r="JH293" s="14">
        <v>53091</v>
      </c>
      <c r="JL293" s="14">
        <v>19499000</v>
      </c>
      <c r="JM293" s="14">
        <v>-53091</v>
      </c>
      <c r="JN293" s="14">
        <v>19499000</v>
      </c>
      <c r="ND293" s="14">
        <f t="shared" si="78"/>
        <v>19499000</v>
      </c>
      <c r="NE293" s="14">
        <f t="shared" si="64"/>
        <v>0</v>
      </c>
      <c r="NF293" s="14">
        <f t="shared" si="65"/>
        <v>19499000</v>
      </c>
      <c r="NI293" s="14">
        <f t="shared" si="66"/>
        <v>0</v>
      </c>
      <c r="NJ293" s="14">
        <f t="shared" si="67"/>
        <v>53091</v>
      </c>
      <c r="NK293" s="14">
        <f t="shared" si="68"/>
        <v>0</v>
      </c>
      <c r="NN293" s="14">
        <f t="shared" si="69"/>
        <v>19499000</v>
      </c>
      <c r="NO293" s="14">
        <f t="shared" si="70"/>
        <v>-53091</v>
      </c>
      <c r="NP293" s="14">
        <f t="shared" si="71"/>
        <v>19499000</v>
      </c>
      <c r="NS293" s="14">
        <f t="shared" si="79"/>
        <v>0</v>
      </c>
      <c r="NT293" s="14">
        <f t="shared" si="72"/>
        <v>0</v>
      </c>
      <c r="NU293" s="14">
        <f t="shared" si="73"/>
        <v>0</v>
      </c>
      <c r="NV293" s="14">
        <f t="shared" si="74"/>
        <v>0</v>
      </c>
      <c r="NW293" s="14">
        <f t="shared" si="75"/>
        <v>0</v>
      </c>
      <c r="NX293" s="14">
        <f t="shared" si="76"/>
        <v>0</v>
      </c>
      <c r="NY293" s="14">
        <f t="shared" si="77"/>
        <v>0</v>
      </c>
    </row>
    <row r="294" spans="1:389" x14ac:dyDescent="0.25">
      <c r="A294" s="96" t="s">
        <v>620</v>
      </c>
      <c r="B294" s="34">
        <v>989</v>
      </c>
      <c r="C294" s="99">
        <v>14</v>
      </c>
      <c r="JB294" s="14">
        <v>43585000</v>
      </c>
      <c r="JC294" s="14">
        <v>31000</v>
      </c>
      <c r="JD294" s="14">
        <v>43554000</v>
      </c>
      <c r="JH294" s="14">
        <v>6880</v>
      </c>
      <c r="JL294" s="14">
        <v>43585000</v>
      </c>
      <c r="JM294" s="14">
        <v>24120</v>
      </c>
      <c r="JN294" s="14">
        <v>43554000</v>
      </c>
      <c r="ND294" s="14">
        <f t="shared" si="78"/>
        <v>43585000</v>
      </c>
      <c r="NE294" s="14">
        <f t="shared" si="64"/>
        <v>31000</v>
      </c>
      <c r="NF294" s="14">
        <f t="shared" si="65"/>
        <v>43554000</v>
      </c>
      <c r="NI294" s="14">
        <f t="shared" si="66"/>
        <v>0</v>
      </c>
      <c r="NJ294" s="14">
        <f t="shared" si="67"/>
        <v>6880</v>
      </c>
      <c r="NK294" s="14">
        <f t="shared" si="68"/>
        <v>0</v>
      </c>
      <c r="NN294" s="14">
        <f t="shared" si="69"/>
        <v>43585000</v>
      </c>
      <c r="NO294" s="14">
        <f t="shared" si="70"/>
        <v>24120</v>
      </c>
      <c r="NP294" s="14">
        <f t="shared" si="71"/>
        <v>43554000</v>
      </c>
      <c r="NS294" s="14">
        <f t="shared" si="79"/>
        <v>0</v>
      </c>
      <c r="NT294" s="14">
        <f t="shared" si="72"/>
        <v>0</v>
      </c>
      <c r="NU294" s="14">
        <f t="shared" si="73"/>
        <v>0</v>
      </c>
      <c r="NV294" s="14">
        <f t="shared" si="74"/>
        <v>0</v>
      </c>
      <c r="NW294" s="14">
        <f t="shared" si="75"/>
        <v>0</v>
      </c>
      <c r="NX294" s="14">
        <f t="shared" si="76"/>
        <v>0</v>
      </c>
      <c r="NY294" s="14">
        <f t="shared" si="77"/>
        <v>0</v>
      </c>
    </row>
    <row r="295" spans="1:389" x14ac:dyDescent="0.25">
      <c r="A295" s="96" t="s">
        <v>621</v>
      </c>
      <c r="B295" s="34">
        <v>992</v>
      </c>
      <c r="C295" s="99">
        <v>13</v>
      </c>
      <c r="JB295" s="14">
        <v>85822000</v>
      </c>
      <c r="JC295" s="14">
        <v>25000</v>
      </c>
      <c r="JD295" s="14">
        <v>85797000</v>
      </c>
      <c r="JH295" s="14">
        <v>125974</v>
      </c>
      <c r="JL295" s="14">
        <v>85822000</v>
      </c>
      <c r="JM295" s="14">
        <v>-100974</v>
      </c>
      <c r="JN295" s="14">
        <v>85797000</v>
      </c>
      <c r="ND295" s="14">
        <f t="shared" si="78"/>
        <v>85822000</v>
      </c>
      <c r="NE295" s="14">
        <f t="shared" si="64"/>
        <v>25000</v>
      </c>
      <c r="NF295" s="14">
        <f t="shared" si="65"/>
        <v>85797000</v>
      </c>
      <c r="NI295" s="14">
        <f t="shared" si="66"/>
        <v>0</v>
      </c>
      <c r="NJ295" s="14">
        <f t="shared" si="67"/>
        <v>125974</v>
      </c>
      <c r="NK295" s="14">
        <f t="shared" si="68"/>
        <v>0</v>
      </c>
      <c r="NN295" s="14">
        <f t="shared" si="69"/>
        <v>85822000</v>
      </c>
      <c r="NO295" s="14">
        <f t="shared" si="70"/>
        <v>-100974</v>
      </c>
      <c r="NP295" s="14">
        <f t="shared" si="71"/>
        <v>85797000</v>
      </c>
      <c r="NS295" s="14">
        <f t="shared" si="79"/>
        <v>0</v>
      </c>
      <c r="NT295" s="14">
        <f t="shared" si="72"/>
        <v>0</v>
      </c>
      <c r="NU295" s="14">
        <f t="shared" si="73"/>
        <v>0</v>
      </c>
      <c r="NV295" s="14">
        <f t="shared" si="74"/>
        <v>0</v>
      </c>
      <c r="NW295" s="14">
        <f t="shared" si="75"/>
        <v>0</v>
      </c>
      <c r="NX295" s="14">
        <f t="shared" si="76"/>
        <v>0</v>
      </c>
      <c r="NY295" s="14">
        <f t="shared" si="77"/>
        <v>0</v>
      </c>
    </row>
    <row r="296" spans="1:389" x14ac:dyDescent="0.25">
      <c r="JB296" s="14">
        <v>430928000</v>
      </c>
      <c r="JC296" s="14">
        <v>350000</v>
      </c>
      <c r="JD296" s="14">
        <v>430578000</v>
      </c>
      <c r="JH296" s="14">
        <v>44595</v>
      </c>
      <c r="JL296" s="14">
        <v>430928000</v>
      </c>
      <c r="JM296" s="14">
        <v>305405</v>
      </c>
      <c r="JN296" s="14">
        <v>430578000</v>
      </c>
      <c r="ND296" s="14">
        <f t="shared" si="78"/>
        <v>430928000</v>
      </c>
      <c r="NE296" s="14">
        <f t="shared" si="64"/>
        <v>350000</v>
      </c>
      <c r="NF296" s="14">
        <f t="shared" si="65"/>
        <v>430578000</v>
      </c>
      <c r="NI296" s="14">
        <f t="shared" si="66"/>
        <v>0</v>
      </c>
      <c r="NJ296" s="14">
        <f t="shared" si="67"/>
        <v>44595</v>
      </c>
      <c r="NK296" s="14">
        <f t="shared" si="68"/>
        <v>0</v>
      </c>
      <c r="NN296" s="14">
        <f t="shared" si="69"/>
        <v>430928000</v>
      </c>
      <c r="NO296" s="14">
        <f t="shared" si="70"/>
        <v>305405</v>
      </c>
      <c r="NP296" s="14">
        <f t="shared" si="71"/>
        <v>430578000</v>
      </c>
      <c r="NS296" s="14">
        <f t="shared" si="79"/>
        <v>0</v>
      </c>
      <c r="NT296" s="14">
        <f t="shared" si="72"/>
        <v>0</v>
      </c>
      <c r="NU296" s="14">
        <f t="shared" si="73"/>
        <v>0</v>
      </c>
      <c r="NV296" s="14">
        <f t="shared" si="74"/>
        <v>0</v>
      </c>
      <c r="NW296" s="14">
        <f t="shared" si="75"/>
        <v>0</v>
      </c>
      <c r="NX296" s="14">
        <f t="shared" si="76"/>
        <v>0</v>
      </c>
      <c r="NY296" s="14">
        <f t="shared" si="77"/>
        <v>0</v>
      </c>
    </row>
    <row r="297" spans="1:389" x14ac:dyDescent="0.25">
      <c r="JB297" s="14">
        <v>113739000</v>
      </c>
      <c r="JC297" s="14">
        <v>2171000</v>
      </c>
      <c r="JD297" s="14">
        <v>111568000</v>
      </c>
      <c r="JH297" s="14">
        <v>706671</v>
      </c>
      <c r="JL297" s="14">
        <v>113739000</v>
      </c>
      <c r="JM297" s="14">
        <v>1464329</v>
      </c>
      <c r="JN297" s="14">
        <v>111568000</v>
      </c>
      <c r="ND297" s="14">
        <f t="shared" si="78"/>
        <v>113739000</v>
      </c>
      <c r="NE297" s="14">
        <f t="shared" si="64"/>
        <v>2171000</v>
      </c>
      <c r="NF297" s="14">
        <f t="shared" si="65"/>
        <v>111568000</v>
      </c>
      <c r="NI297" s="14">
        <f t="shared" si="66"/>
        <v>0</v>
      </c>
      <c r="NJ297" s="14">
        <f t="shared" si="67"/>
        <v>706671</v>
      </c>
      <c r="NK297" s="14">
        <f t="shared" si="68"/>
        <v>0</v>
      </c>
      <c r="NN297" s="14">
        <f t="shared" si="69"/>
        <v>113739000</v>
      </c>
      <c r="NO297" s="14">
        <f t="shared" si="70"/>
        <v>1464329</v>
      </c>
      <c r="NP297" s="14">
        <f t="shared" si="71"/>
        <v>111568000</v>
      </c>
      <c r="NS297" s="14">
        <f t="shared" si="79"/>
        <v>0</v>
      </c>
      <c r="NT297" s="14">
        <f t="shared" si="72"/>
        <v>0</v>
      </c>
      <c r="NU297" s="14">
        <f t="shared" si="73"/>
        <v>0</v>
      </c>
      <c r="NV297" s="14">
        <f t="shared" si="74"/>
        <v>0</v>
      </c>
      <c r="NW297" s="14">
        <f t="shared" si="75"/>
        <v>0</v>
      </c>
      <c r="NX297" s="14">
        <f t="shared" si="76"/>
        <v>0</v>
      </c>
      <c r="NY297" s="14">
        <f t="shared" si="77"/>
        <v>0</v>
      </c>
    </row>
    <row r="298" spans="1:389" x14ac:dyDescent="0.25">
      <c r="A298" s="375"/>
      <c r="B298" s="375"/>
      <c r="C298" s="375"/>
      <c r="JB298" s="14">
        <v>17267000</v>
      </c>
      <c r="JC298" s="14">
        <v>16577000</v>
      </c>
      <c r="JD298" s="14">
        <v>690000</v>
      </c>
      <c r="JH298" s="14">
        <v>850083</v>
      </c>
      <c r="JL298" s="14">
        <v>17267000</v>
      </c>
      <c r="JM298" s="14">
        <v>15726917</v>
      </c>
      <c r="JN298" s="14">
        <v>690000</v>
      </c>
      <c r="ND298" s="14">
        <f t="shared" si="78"/>
        <v>17267000</v>
      </c>
      <c r="NE298" s="14">
        <f t="shared" si="64"/>
        <v>16577000</v>
      </c>
      <c r="NF298" s="14">
        <f t="shared" si="65"/>
        <v>690000</v>
      </c>
      <c r="NI298" s="14">
        <f t="shared" si="66"/>
        <v>0</v>
      </c>
      <c r="NJ298" s="14">
        <f t="shared" si="67"/>
        <v>850083</v>
      </c>
      <c r="NK298" s="14">
        <f t="shared" si="68"/>
        <v>0</v>
      </c>
      <c r="NN298" s="14">
        <f t="shared" si="69"/>
        <v>17267000</v>
      </c>
      <c r="NO298" s="14">
        <f t="shared" si="70"/>
        <v>15726917</v>
      </c>
      <c r="NP298" s="14">
        <f t="shared" si="71"/>
        <v>690000</v>
      </c>
      <c r="NS298" s="14">
        <f t="shared" si="79"/>
        <v>0</v>
      </c>
      <c r="NT298" s="14">
        <f t="shared" si="72"/>
        <v>0</v>
      </c>
      <c r="NU298" s="14">
        <f t="shared" si="73"/>
        <v>0</v>
      </c>
      <c r="NV298" s="14">
        <f t="shared" si="74"/>
        <v>0</v>
      </c>
      <c r="NW298" s="14">
        <f t="shared" si="75"/>
        <v>0</v>
      </c>
      <c r="NX298" s="14">
        <f t="shared" si="76"/>
        <v>0</v>
      </c>
      <c r="NY298" s="14">
        <f t="shared" si="77"/>
        <v>0</v>
      </c>
    </row>
    <row r="299" spans="1:389" x14ac:dyDescent="0.25">
      <c r="A299" s="357">
        <f>VLOOKUP(retro,kunnat,2)</f>
        <v>20</v>
      </c>
      <c r="B299" s="357"/>
      <c r="C299" s="375"/>
      <c r="JB299" s="14">
        <v>128565000</v>
      </c>
      <c r="JC299" s="14">
        <v>100000</v>
      </c>
      <c r="JD299" s="14">
        <v>128465000</v>
      </c>
      <c r="JH299" s="14">
        <v>29129</v>
      </c>
      <c r="JL299" s="14">
        <v>128565000</v>
      </c>
      <c r="JM299" s="14">
        <v>70871</v>
      </c>
      <c r="JN299" s="14">
        <v>128465000</v>
      </c>
      <c r="ND299" s="14">
        <f t="shared" si="78"/>
        <v>128565000</v>
      </c>
      <c r="NE299" s="14">
        <f t="shared" si="64"/>
        <v>100000</v>
      </c>
      <c r="NF299" s="14">
        <f t="shared" si="65"/>
        <v>128465000</v>
      </c>
      <c r="NI299" s="14">
        <f t="shared" si="66"/>
        <v>0</v>
      </c>
      <c r="NJ299" s="14">
        <f t="shared" si="67"/>
        <v>29129</v>
      </c>
      <c r="NK299" s="14">
        <f t="shared" si="68"/>
        <v>0</v>
      </c>
      <c r="NN299" s="14">
        <f t="shared" si="69"/>
        <v>128565000</v>
      </c>
      <c r="NO299" s="14">
        <f t="shared" si="70"/>
        <v>70871</v>
      </c>
      <c r="NP299" s="14">
        <f t="shared" si="71"/>
        <v>128465000</v>
      </c>
      <c r="NS299" s="14">
        <f t="shared" si="79"/>
        <v>0</v>
      </c>
      <c r="NT299" s="14">
        <f t="shared" si="72"/>
        <v>0</v>
      </c>
      <c r="NU299" s="14">
        <f t="shared" si="73"/>
        <v>0</v>
      </c>
      <c r="NV299" s="14">
        <f t="shared" si="74"/>
        <v>0</v>
      </c>
      <c r="NW299" s="14">
        <f t="shared" si="75"/>
        <v>0</v>
      </c>
      <c r="NX299" s="14">
        <f t="shared" si="76"/>
        <v>0</v>
      </c>
      <c r="NY299" s="14">
        <f t="shared" si="77"/>
        <v>0</v>
      </c>
    </row>
    <row r="300" spans="1:389" x14ac:dyDescent="0.25">
      <c r="A300" s="375"/>
      <c r="B300" s="375"/>
      <c r="C300" s="375"/>
      <c r="JB300" s="14">
        <v>12798000</v>
      </c>
      <c r="JC300" s="14">
        <v>1222000</v>
      </c>
      <c r="JD300" s="14">
        <v>11576000</v>
      </c>
      <c r="JH300" s="14">
        <v>40885</v>
      </c>
      <c r="JL300" s="14">
        <v>12798000</v>
      </c>
      <c r="JM300" s="14">
        <v>1181115</v>
      </c>
      <c r="JN300" s="14">
        <v>11576000</v>
      </c>
      <c r="ND300" s="14">
        <f t="shared" si="78"/>
        <v>12798000</v>
      </c>
      <c r="NE300" s="14">
        <f t="shared" si="64"/>
        <v>1222000</v>
      </c>
      <c r="NF300" s="14">
        <f t="shared" si="65"/>
        <v>11576000</v>
      </c>
      <c r="NI300" s="14">
        <f t="shared" si="66"/>
        <v>0</v>
      </c>
      <c r="NJ300" s="14">
        <f t="shared" si="67"/>
        <v>40885</v>
      </c>
      <c r="NK300" s="14">
        <f t="shared" si="68"/>
        <v>0</v>
      </c>
      <c r="NN300" s="14">
        <f t="shared" si="69"/>
        <v>12798000</v>
      </c>
      <c r="NO300" s="14">
        <f t="shared" si="70"/>
        <v>1181115</v>
      </c>
      <c r="NP300" s="14">
        <f t="shared" si="71"/>
        <v>11576000</v>
      </c>
      <c r="NS300" s="14">
        <f t="shared" si="79"/>
        <v>0</v>
      </c>
      <c r="NT300" s="14">
        <f t="shared" si="72"/>
        <v>0</v>
      </c>
      <c r="NU300" s="14">
        <f t="shared" si="73"/>
        <v>0</v>
      </c>
      <c r="NV300" s="14">
        <f t="shared" si="74"/>
        <v>0</v>
      </c>
      <c r="NW300" s="14">
        <f t="shared" si="75"/>
        <v>0</v>
      </c>
      <c r="NX300" s="14">
        <f t="shared" si="76"/>
        <v>0</v>
      </c>
      <c r="NY300" s="14">
        <f t="shared" si="77"/>
        <v>0</v>
      </c>
    </row>
    <row r="301" spans="1:389" x14ac:dyDescent="0.25">
      <c r="A301" s="375"/>
      <c r="B301" s="375"/>
      <c r="C301" s="375"/>
      <c r="JB301" s="14">
        <v>16862000</v>
      </c>
      <c r="JC301" s="14">
        <v>220000</v>
      </c>
      <c r="JD301" s="14">
        <v>16642000</v>
      </c>
      <c r="JH301" s="14">
        <v>28870</v>
      </c>
      <c r="JL301" s="14">
        <v>16862000</v>
      </c>
      <c r="JM301" s="14">
        <v>191130</v>
      </c>
      <c r="JN301" s="14">
        <v>16642000</v>
      </c>
      <c r="ND301" s="14">
        <f t="shared" si="78"/>
        <v>16862000</v>
      </c>
      <c r="NE301" s="14">
        <f t="shared" si="64"/>
        <v>220000</v>
      </c>
      <c r="NF301" s="14">
        <f t="shared" si="65"/>
        <v>16642000</v>
      </c>
      <c r="NI301" s="14">
        <f t="shared" si="66"/>
        <v>0</v>
      </c>
      <c r="NJ301" s="14">
        <f t="shared" si="67"/>
        <v>28870</v>
      </c>
      <c r="NK301" s="14">
        <f t="shared" si="68"/>
        <v>0</v>
      </c>
      <c r="NN301" s="14">
        <f t="shared" si="69"/>
        <v>16862000</v>
      </c>
      <c r="NO301" s="14">
        <f t="shared" si="70"/>
        <v>191130</v>
      </c>
      <c r="NP301" s="14">
        <f t="shared" si="71"/>
        <v>16642000</v>
      </c>
      <c r="NS301" s="14">
        <f t="shared" si="79"/>
        <v>0</v>
      </c>
      <c r="NT301" s="14">
        <f t="shared" si="72"/>
        <v>0</v>
      </c>
      <c r="NU301" s="14">
        <f t="shared" si="73"/>
        <v>0</v>
      </c>
      <c r="NV301" s="14">
        <f t="shared" si="74"/>
        <v>0</v>
      </c>
      <c r="NW301" s="14">
        <f t="shared" si="75"/>
        <v>0</v>
      </c>
      <c r="NX301" s="14">
        <f t="shared" si="76"/>
        <v>0</v>
      </c>
      <c r="NY301" s="14">
        <f t="shared" si="77"/>
        <v>0</v>
      </c>
    </row>
    <row r="302" spans="1:389" x14ac:dyDescent="0.25">
      <c r="A302" s="376" t="s">
        <v>320</v>
      </c>
      <c r="B302" s="375">
        <v>1</v>
      </c>
      <c r="C302" s="375"/>
      <c r="JB302" s="14">
        <v>25333000</v>
      </c>
      <c r="JC302" s="14">
        <v>717000</v>
      </c>
      <c r="JD302" s="14">
        <v>24616000</v>
      </c>
      <c r="JH302" s="14">
        <v>1050</v>
      </c>
      <c r="JL302" s="14">
        <v>25333000</v>
      </c>
      <c r="JM302" s="14">
        <v>715950</v>
      </c>
      <c r="JN302" s="14">
        <v>24616000</v>
      </c>
      <c r="ND302" s="14">
        <f t="shared" si="78"/>
        <v>25333000</v>
      </c>
      <c r="NE302" s="14">
        <f t="shared" si="64"/>
        <v>717000</v>
      </c>
      <c r="NF302" s="14">
        <f t="shared" si="65"/>
        <v>24616000</v>
      </c>
      <c r="NI302" s="14">
        <f t="shared" si="66"/>
        <v>0</v>
      </c>
      <c r="NJ302" s="14">
        <f t="shared" si="67"/>
        <v>1050</v>
      </c>
      <c r="NK302" s="14">
        <f t="shared" si="68"/>
        <v>0</v>
      </c>
      <c r="NN302" s="14">
        <f t="shared" si="69"/>
        <v>25333000</v>
      </c>
      <c r="NO302" s="14">
        <f t="shared" si="70"/>
        <v>715950</v>
      </c>
      <c r="NP302" s="14">
        <f t="shared" si="71"/>
        <v>24616000</v>
      </c>
      <c r="NS302" s="14">
        <f t="shared" si="79"/>
        <v>0</v>
      </c>
      <c r="NT302" s="14">
        <f t="shared" si="72"/>
        <v>0</v>
      </c>
      <c r="NU302" s="14">
        <f t="shared" si="73"/>
        <v>0</v>
      </c>
      <c r="NV302" s="14">
        <f t="shared" si="74"/>
        <v>0</v>
      </c>
      <c r="NW302" s="14">
        <f t="shared" si="75"/>
        <v>0</v>
      </c>
      <c r="NX302" s="14">
        <f t="shared" si="76"/>
        <v>0</v>
      </c>
      <c r="NY302" s="14">
        <f t="shared" si="77"/>
        <v>0</v>
      </c>
    </row>
    <row r="303" spans="1:389" x14ac:dyDescent="0.25">
      <c r="A303" s="377" t="s">
        <v>321</v>
      </c>
      <c r="B303" s="375">
        <v>2</v>
      </c>
      <c r="C303" s="375"/>
      <c r="JB303" s="14">
        <v>20809000</v>
      </c>
      <c r="JC303" s="14">
        <v>1446000</v>
      </c>
      <c r="JD303" s="14">
        <v>19363000</v>
      </c>
      <c r="JH303" s="14">
        <v>0</v>
      </c>
      <c r="JL303" s="14">
        <v>20809000</v>
      </c>
      <c r="JM303" s="14">
        <v>1446000</v>
      </c>
      <c r="JN303" s="14">
        <v>19363000</v>
      </c>
      <c r="ND303" s="14">
        <f t="shared" si="78"/>
        <v>20809000</v>
      </c>
      <c r="NE303" s="14">
        <f t="shared" si="64"/>
        <v>1446000</v>
      </c>
      <c r="NF303" s="14">
        <f t="shared" si="65"/>
        <v>19363000</v>
      </c>
      <c r="NI303" s="14">
        <f t="shared" si="66"/>
        <v>0</v>
      </c>
      <c r="NJ303" s="14">
        <f t="shared" si="67"/>
        <v>0</v>
      </c>
      <c r="NK303" s="14">
        <f t="shared" si="68"/>
        <v>0</v>
      </c>
      <c r="NN303" s="14">
        <f t="shared" si="69"/>
        <v>20809000</v>
      </c>
      <c r="NO303" s="14">
        <f t="shared" si="70"/>
        <v>1446000</v>
      </c>
      <c r="NP303" s="14">
        <f t="shared" si="71"/>
        <v>19363000</v>
      </c>
      <c r="NS303" s="14">
        <f t="shared" si="79"/>
        <v>0</v>
      </c>
      <c r="NT303" s="14">
        <f t="shared" si="72"/>
        <v>0</v>
      </c>
      <c r="NU303" s="14">
        <f t="shared" si="73"/>
        <v>0</v>
      </c>
      <c r="NV303" s="14">
        <f t="shared" si="74"/>
        <v>0</v>
      </c>
      <c r="NW303" s="14">
        <f t="shared" si="75"/>
        <v>0</v>
      </c>
      <c r="NX303" s="14">
        <f t="shared" si="76"/>
        <v>0</v>
      </c>
      <c r="NY303" s="14">
        <f t="shared" si="77"/>
        <v>0</v>
      </c>
    </row>
    <row r="304" spans="1:389" x14ac:dyDescent="0.25">
      <c r="A304" s="375"/>
      <c r="B304" s="375"/>
      <c r="C304" s="375"/>
      <c r="JB304" s="14">
        <v>23684000</v>
      </c>
      <c r="JC304" s="14">
        <v>0</v>
      </c>
      <c r="JD304" s="14">
        <v>23684000</v>
      </c>
      <c r="JH304" s="14">
        <v>19368</v>
      </c>
      <c r="JL304" s="14">
        <v>23684000</v>
      </c>
      <c r="JM304" s="14">
        <v>-19368</v>
      </c>
      <c r="JN304" s="14">
        <v>23684000</v>
      </c>
      <c r="ND304" s="14">
        <f t="shared" si="78"/>
        <v>23684000</v>
      </c>
      <c r="NE304" s="14">
        <f t="shared" si="64"/>
        <v>0</v>
      </c>
      <c r="NF304" s="14">
        <f t="shared" si="65"/>
        <v>23684000</v>
      </c>
      <c r="NI304" s="14">
        <f t="shared" si="66"/>
        <v>0</v>
      </c>
      <c r="NJ304" s="14">
        <f t="shared" si="67"/>
        <v>19368</v>
      </c>
      <c r="NK304" s="14">
        <f t="shared" si="68"/>
        <v>0</v>
      </c>
      <c r="NN304" s="14">
        <f t="shared" si="69"/>
        <v>23684000</v>
      </c>
      <c r="NO304" s="14">
        <f t="shared" si="70"/>
        <v>-19368</v>
      </c>
      <c r="NP304" s="14">
        <f t="shared" si="71"/>
        <v>23684000</v>
      </c>
      <c r="NS304" s="14">
        <f t="shared" si="79"/>
        <v>0</v>
      </c>
      <c r="NT304" s="14">
        <f t="shared" si="72"/>
        <v>0</v>
      </c>
      <c r="NU304" s="14">
        <f t="shared" si="73"/>
        <v>0</v>
      </c>
      <c r="NV304" s="14">
        <f t="shared" si="74"/>
        <v>0</v>
      </c>
      <c r="NW304" s="14">
        <f t="shared" si="75"/>
        <v>0</v>
      </c>
      <c r="NX304" s="14">
        <f t="shared" si="76"/>
        <v>0</v>
      </c>
      <c r="NY304" s="14">
        <f t="shared" si="77"/>
        <v>0</v>
      </c>
    </row>
    <row r="305" spans="1:389" x14ac:dyDescent="0.25">
      <c r="A305" s="375"/>
      <c r="B305" s="375"/>
      <c r="C305" s="375"/>
      <c r="JB305" s="14">
        <v>145754000</v>
      </c>
      <c r="JC305" s="14">
        <v>180000</v>
      </c>
      <c r="JD305" s="14">
        <v>145574000</v>
      </c>
      <c r="JH305" s="14">
        <v>10814</v>
      </c>
      <c r="JL305" s="14">
        <v>145754000</v>
      </c>
      <c r="JM305" s="14">
        <v>169186</v>
      </c>
      <c r="JN305" s="14">
        <v>145574000</v>
      </c>
      <c r="ND305" s="14">
        <f t="shared" si="78"/>
        <v>145754000</v>
      </c>
      <c r="NE305" s="14">
        <f t="shared" si="64"/>
        <v>180000</v>
      </c>
      <c r="NF305" s="14">
        <f t="shared" si="65"/>
        <v>145574000</v>
      </c>
      <c r="NI305" s="14">
        <f t="shared" si="66"/>
        <v>0</v>
      </c>
      <c r="NJ305" s="14">
        <f t="shared" si="67"/>
        <v>10814</v>
      </c>
      <c r="NK305" s="14">
        <f t="shared" si="68"/>
        <v>0</v>
      </c>
      <c r="NN305" s="14">
        <f t="shared" si="69"/>
        <v>145754000</v>
      </c>
      <c r="NO305" s="14">
        <f t="shared" si="70"/>
        <v>169186</v>
      </c>
      <c r="NP305" s="14">
        <f t="shared" si="71"/>
        <v>145574000</v>
      </c>
      <c r="NS305" s="14">
        <f t="shared" si="79"/>
        <v>0</v>
      </c>
      <c r="NT305" s="14">
        <f t="shared" si="72"/>
        <v>0</v>
      </c>
      <c r="NU305" s="14">
        <f t="shared" si="73"/>
        <v>0</v>
      </c>
      <c r="NV305" s="14">
        <f t="shared" si="74"/>
        <v>0</v>
      </c>
      <c r="NW305" s="14">
        <f t="shared" si="75"/>
        <v>0</v>
      </c>
      <c r="NX305" s="14">
        <f t="shared" si="76"/>
        <v>0</v>
      </c>
      <c r="NY305" s="14">
        <f t="shared" si="77"/>
        <v>0</v>
      </c>
    </row>
    <row r="306" spans="1:389" x14ac:dyDescent="0.25">
      <c r="A306" s="375">
        <f>VLOOKUP(retro2,muuttujat,2)</f>
        <v>1</v>
      </c>
      <c r="B306" s="375" t="s">
        <v>321</v>
      </c>
      <c r="C306" s="375"/>
      <c r="JB306" s="14">
        <v>44133000</v>
      </c>
      <c r="JC306" s="14">
        <v>1016000</v>
      </c>
      <c r="JD306" s="14">
        <v>43117000</v>
      </c>
      <c r="JH306" s="14">
        <v>64713</v>
      </c>
      <c r="JL306" s="14">
        <v>44133000</v>
      </c>
      <c r="JM306" s="14">
        <v>951287</v>
      </c>
      <c r="JN306" s="14">
        <v>43117000</v>
      </c>
      <c r="ND306" s="14">
        <f t="shared" si="78"/>
        <v>44133000</v>
      </c>
      <c r="NE306" s="14">
        <f t="shared" si="64"/>
        <v>1016000</v>
      </c>
      <c r="NF306" s="14">
        <f t="shared" si="65"/>
        <v>43117000</v>
      </c>
      <c r="NI306" s="14">
        <f t="shared" si="66"/>
        <v>0</v>
      </c>
      <c r="NJ306" s="14">
        <f t="shared" si="67"/>
        <v>64713</v>
      </c>
      <c r="NK306" s="14">
        <f t="shared" si="68"/>
        <v>0</v>
      </c>
      <c r="NN306" s="14">
        <f t="shared" si="69"/>
        <v>44133000</v>
      </c>
      <c r="NO306" s="14">
        <f t="shared" si="70"/>
        <v>951287</v>
      </c>
      <c r="NP306" s="14">
        <f t="shared" si="71"/>
        <v>43117000</v>
      </c>
      <c r="NS306" s="14">
        <f t="shared" si="79"/>
        <v>0</v>
      </c>
      <c r="NT306" s="14">
        <f t="shared" si="72"/>
        <v>0</v>
      </c>
      <c r="NU306" s="14">
        <f t="shared" si="73"/>
        <v>0</v>
      </c>
      <c r="NV306" s="14">
        <f t="shared" si="74"/>
        <v>0</v>
      </c>
      <c r="NW306" s="14">
        <f t="shared" si="75"/>
        <v>0</v>
      </c>
      <c r="NX306" s="14">
        <f t="shared" si="76"/>
        <v>0</v>
      </c>
      <c r="NY306" s="14">
        <f t="shared" si="77"/>
        <v>0</v>
      </c>
    </row>
    <row r="307" spans="1:389" x14ac:dyDescent="0.25">
      <c r="A307" s="375"/>
      <c r="B307" s="375"/>
      <c r="C307" s="375"/>
      <c r="JB307" s="14">
        <v>17588000</v>
      </c>
      <c r="JC307" s="14">
        <v>2306000</v>
      </c>
      <c r="JD307" s="14">
        <v>15282000</v>
      </c>
      <c r="JH307" s="14">
        <v>63861</v>
      </c>
      <c r="JL307" s="14">
        <v>17588000</v>
      </c>
      <c r="JM307" s="14">
        <v>2242139</v>
      </c>
      <c r="JN307" s="14">
        <v>15282000</v>
      </c>
      <c r="ND307" s="14">
        <f t="shared" si="78"/>
        <v>17588000</v>
      </c>
      <c r="NE307" s="14">
        <f t="shared" si="64"/>
        <v>2306000</v>
      </c>
      <c r="NF307" s="14">
        <f t="shared" si="65"/>
        <v>15282000</v>
      </c>
      <c r="NI307" s="14">
        <f t="shared" si="66"/>
        <v>0</v>
      </c>
      <c r="NJ307" s="14">
        <f t="shared" si="67"/>
        <v>63861</v>
      </c>
      <c r="NK307" s="14">
        <f t="shared" si="68"/>
        <v>0</v>
      </c>
      <c r="NN307" s="14">
        <f t="shared" si="69"/>
        <v>17588000</v>
      </c>
      <c r="NO307" s="14">
        <f t="shared" si="70"/>
        <v>2242139</v>
      </c>
      <c r="NP307" s="14">
        <f t="shared" si="71"/>
        <v>15282000</v>
      </c>
      <c r="NS307" s="14">
        <f t="shared" si="79"/>
        <v>0</v>
      </c>
      <c r="NT307" s="14">
        <f t="shared" si="72"/>
        <v>0</v>
      </c>
      <c r="NU307" s="14">
        <f t="shared" si="73"/>
        <v>0</v>
      </c>
      <c r="NV307" s="14">
        <f t="shared" si="74"/>
        <v>0</v>
      </c>
      <c r="NW307" s="14">
        <f t="shared" si="75"/>
        <v>0</v>
      </c>
      <c r="NX307" s="14">
        <f t="shared" si="76"/>
        <v>0</v>
      </c>
      <c r="NY307" s="14">
        <f t="shared" si="77"/>
        <v>0</v>
      </c>
    </row>
    <row r="308" spans="1:389" x14ac:dyDescent="0.25">
      <c r="A308" s="375"/>
      <c r="B308" s="375"/>
      <c r="C308" s="375"/>
      <c r="JB308" s="14">
        <v>20294000</v>
      </c>
      <c r="JC308" s="14">
        <v>6000</v>
      </c>
      <c r="JD308" s="14">
        <v>20288000</v>
      </c>
      <c r="JH308" s="14">
        <v>9933</v>
      </c>
      <c r="JL308" s="14">
        <v>20294000</v>
      </c>
      <c r="JM308" s="14">
        <v>-3933</v>
      </c>
      <c r="JN308" s="14">
        <v>20288000</v>
      </c>
      <c r="ND308" s="14">
        <f t="shared" si="78"/>
        <v>20294000</v>
      </c>
      <c r="NE308" s="14">
        <f t="shared" si="64"/>
        <v>6000</v>
      </c>
      <c r="NF308" s="14">
        <f t="shared" si="65"/>
        <v>20288000</v>
      </c>
      <c r="NI308" s="14">
        <f t="shared" si="66"/>
        <v>0</v>
      </c>
      <c r="NJ308" s="14">
        <f t="shared" si="67"/>
        <v>9933</v>
      </c>
      <c r="NK308" s="14">
        <f t="shared" si="68"/>
        <v>0</v>
      </c>
      <c r="NN308" s="14">
        <f t="shared" si="69"/>
        <v>20294000</v>
      </c>
      <c r="NO308" s="14">
        <f t="shared" si="70"/>
        <v>-3933</v>
      </c>
      <c r="NP308" s="14">
        <f t="shared" si="71"/>
        <v>20288000</v>
      </c>
      <c r="NS308" s="14">
        <f t="shared" si="79"/>
        <v>0</v>
      </c>
      <c r="NT308" s="14">
        <f t="shared" si="72"/>
        <v>0</v>
      </c>
      <c r="NU308" s="14">
        <f t="shared" si="73"/>
        <v>0</v>
      </c>
      <c r="NV308" s="14">
        <f t="shared" si="74"/>
        <v>0</v>
      </c>
      <c r="NW308" s="14">
        <f t="shared" si="75"/>
        <v>0</v>
      </c>
      <c r="NX308" s="14">
        <f t="shared" si="76"/>
        <v>0</v>
      </c>
      <c r="NY308" s="14">
        <f t="shared" si="77"/>
        <v>0</v>
      </c>
    </row>
    <row r="309" spans="1:389" x14ac:dyDescent="0.25">
      <c r="JB309" s="14">
        <v>45253000</v>
      </c>
      <c r="JC309" s="14">
        <v>0</v>
      </c>
      <c r="JD309" s="14">
        <v>45253000</v>
      </c>
      <c r="JH309" s="14">
        <v>9035</v>
      </c>
      <c r="JL309" s="14">
        <v>45253000</v>
      </c>
      <c r="JM309" s="14">
        <v>-9035</v>
      </c>
      <c r="JN309" s="14">
        <v>45253000</v>
      </c>
      <c r="ND309" s="14">
        <f t="shared" si="78"/>
        <v>45253000</v>
      </c>
      <c r="NE309" s="14">
        <f t="shared" si="64"/>
        <v>0</v>
      </c>
      <c r="NF309" s="14">
        <f t="shared" si="65"/>
        <v>45253000</v>
      </c>
      <c r="NI309" s="14">
        <f t="shared" si="66"/>
        <v>0</v>
      </c>
      <c r="NJ309" s="14">
        <f t="shared" si="67"/>
        <v>9035</v>
      </c>
      <c r="NK309" s="14">
        <f t="shared" si="68"/>
        <v>0</v>
      </c>
      <c r="NN309" s="14">
        <f t="shared" si="69"/>
        <v>45253000</v>
      </c>
      <c r="NO309" s="14">
        <f t="shared" si="70"/>
        <v>-9035</v>
      </c>
      <c r="NP309" s="14">
        <f t="shared" si="71"/>
        <v>45253000</v>
      </c>
      <c r="NS309" s="14">
        <f t="shared" si="79"/>
        <v>0</v>
      </c>
      <c r="NT309" s="14">
        <f t="shared" si="72"/>
        <v>0</v>
      </c>
      <c r="NU309" s="14">
        <f t="shared" si="73"/>
        <v>0</v>
      </c>
      <c r="NV309" s="14">
        <f t="shared" si="74"/>
        <v>0</v>
      </c>
      <c r="NW309" s="14">
        <f t="shared" si="75"/>
        <v>0</v>
      </c>
      <c r="NX309" s="14">
        <f t="shared" si="76"/>
        <v>0</v>
      </c>
      <c r="NY309" s="14">
        <f t="shared" si="77"/>
        <v>0</v>
      </c>
    </row>
    <row r="310" spans="1:389" x14ac:dyDescent="0.25">
      <c r="JB310" s="14">
        <v>40854000</v>
      </c>
      <c r="JC310" s="14">
        <v>400000</v>
      </c>
      <c r="JD310" s="14">
        <v>40454000</v>
      </c>
      <c r="JH310" s="14">
        <v>8</v>
      </c>
      <c r="JL310" s="14">
        <v>40854000</v>
      </c>
      <c r="JM310" s="14">
        <v>399992</v>
      </c>
      <c r="JN310" s="14">
        <v>40454000</v>
      </c>
      <c r="ND310" s="14">
        <f t="shared" si="78"/>
        <v>40854000</v>
      </c>
      <c r="NE310" s="14">
        <f t="shared" si="64"/>
        <v>400000</v>
      </c>
      <c r="NF310" s="14">
        <f t="shared" si="65"/>
        <v>40454000</v>
      </c>
      <c r="NI310" s="14">
        <f t="shared" si="66"/>
        <v>0</v>
      </c>
      <c r="NJ310" s="14">
        <f t="shared" si="67"/>
        <v>8</v>
      </c>
      <c r="NK310" s="14">
        <f t="shared" si="68"/>
        <v>0</v>
      </c>
      <c r="NN310" s="14">
        <f t="shared" si="69"/>
        <v>40854000</v>
      </c>
      <c r="NO310" s="14">
        <f t="shared" si="70"/>
        <v>399992</v>
      </c>
      <c r="NP310" s="14">
        <f t="shared" si="71"/>
        <v>40454000</v>
      </c>
      <c r="NS310" s="14">
        <f t="shared" si="79"/>
        <v>0</v>
      </c>
      <c r="NT310" s="14">
        <f t="shared" si="72"/>
        <v>0</v>
      </c>
      <c r="NU310" s="14">
        <f t="shared" si="73"/>
        <v>0</v>
      </c>
      <c r="NV310" s="14">
        <f t="shared" si="74"/>
        <v>0</v>
      </c>
      <c r="NW310" s="14">
        <f t="shared" si="75"/>
        <v>0</v>
      </c>
      <c r="NX310" s="14">
        <f t="shared" si="76"/>
        <v>0</v>
      </c>
      <c r="NY310" s="14">
        <f t="shared" si="77"/>
        <v>0</v>
      </c>
    </row>
    <row r="311" spans="1:389" x14ac:dyDescent="0.25">
      <c r="JB311" s="14">
        <v>31538000</v>
      </c>
      <c r="JC311" s="14">
        <v>0</v>
      </c>
      <c r="JD311" s="14">
        <v>31538000</v>
      </c>
      <c r="JH311" s="14">
        <v>6009</v>
      </c>
      <c r="JL311" s="14">
        <v>31538000</v>
      </c>
      <c r="JM311" s="14">
        <v>-6009</v>
      </c>
      <c r="JN311" s="14">
        <v>31538000</v>
      </c>
      <c r="ND311" s="14">
        <f t="shared" si="78"/>
        <v>31538000</v>
      </c>
      <c r="NE311" s="14">
        <f t="shared" si="64"/>
        <v>0</v>
      </c>
      <c r="NF311" s="14">
        <f t="shared" si="65"/>
        <v>31538000</v>
      </c>
      <c r="NI311" s="14">
        <f t="shared" si="66"/>
        <v>0</v>
      </c>
      <c r="NJ311" s="14">
        <f t="shared" si="67"/>
        <v>6009</v>
      </c>
      <c r="NK311" s="14">
        <f t="shared" si="68"/>
        <v>0</v>
      </c>
      <c r="NN311" s="14">
        <f t="shared" si="69"/>
        <v>31538000</v>
      </c>
      <c r="NO311" s="14">
        <f t="shared" si="70"/>
        <v>-6009</v>
      </c>
      <c r="NP311" s="14">
        <f t="shared" si="71"/>
        <v>31538000</v>
      </c>
      <c r="NS311" s="14">
        <f t="shared" si="79"/>
        <v>0</v>
      </c>
      <c r="NT311" s="14">
        <f t="shared" si="72"/>
        <v>0</v>
      </c>
      <c r="NU311" s="14">
        <f t="shared" si="73"/>
        <v>0</v>
      </c>
      <c r="NV311" s="14">
        <f t="shared" si="74"/>
        <v>0</v>
      </c>
      <c r="NW311" s="14">
        <f t="shared" si="75"/>
        <v>0</v>
      </c>
      <c r="NX311" s="14">
        <f t="shared" si="76"/>
        <v>0</v>
      </c>
      <c r="NY311" s="14">
        <f t="shared" si="77"/>
        <v>0</v>
      </c>
    </row>
    <row r="312" spans="1:389" x14ac:dyDescent="0.25">
      <c r="JB312" s="14">
        <v>86233000</v>
      </c>
      <c r="JC312" s="14">
        <v>13000</v>
      </c>
      <c r="JD312" s="14">
        <v>86220000</v>
      </c>
      <c r="JH312" s="14">
        <v>5008</v>
      </c>
      <c r="JL312" s="14">
        <v>86233000</v>
      </c>
      <c r="JM312" s="14">
        <v>7992</v>
      </c>
      <c r="JN312" s="14">
        <v>86220000</v>
      </c>
      <c r="ND312" s="14">
        <f t="shared" si="78"/>
        <v>86233000</v>
      </c>
      <c r="NE312" s="14">
        <f t="shared" si="64"/>
        <v>13000</v>
      </c>
      <c r="NF312" s="14">
        <f t="shared" si="65"/>
        <v>86220000</v>
      </c>
      <c r="NI312" s="14">
        <f t="shared" si="66"/>
        <v>0</v>
      </c>
      <c r="NJ312" s="14">
        <f t="shared" si="67"/>
        <v>5008</v>
      </c>
      <c r="NK312" s="14">
        <f t="shared" si="68"/>
        <v>0</v>
      </c>
      <c r="NN312" s="14">
        <f t="shared" si="69"/>
        <v>86233000</v>
      </c>
      <c r="NO312" s="14">
        <f t="shared" si="70"/>
        <v>7992</v>
      </c>
      <c r="NP312" s="14">
        <f t="shared" si="71"/>
        <v>86220000</v>
      </c>
      <c r="NS312" s="14">
        <f t="shared" si="79"/>
        <v>0</v>
      </c>
      <c r="NT312" s="14">
        <f t="shared" si="72"/>
        <v>0</v>
      </c>
      <c r="NU312" s="14">
        <f t="shared" si="73"/>
        <v>0</v>
      </c>
      <c r="NV312" s="14">
        <f t="shared" si="74"/>
        <v>0</v>
      </c>
      <c r="NW312" s="14">
        <f t="shared" si="75"/>
        <v>0</v>
      </c>
      <c r="NX312" s="14">
        <f t="shared" si="76"/>
        <v>0</v>
      </c>
      <c r="NY312" s="14">
        <f t="shared" si="77"/>
        <v>0</v>
      </c>
    </row>
    <row r="313" spans="1:389" x14ac:dyDescent="0.25">
      <c r="JB313" s="14">
        <v>164310000</v>
      </c>
      <c r="JC313" s="14">
        <v>99000</v>
      </c>
      <c r="JD313" s="14">
        <v>164211000</v>
      </c>
      <c r="JH313" s="14">
        <v>0</v>
      </c>
      <c r="JL313" s="14">
        <v>164310000</v>
      </c>
      <c r="JM313" s="14">
        <v>99000</v>
      </c>
      <c r="JN313" s="14">
        <v>164211000</v>
      </c>
      <c r="ND313" s="14">
        <f t="shared" si="78"/>
        <v>164310000</v>
      </c>
      <c r="NE313" s="14">
        <f t="shared" si="64"/>
        <v>99000</v>
      </c>
      <c r="NF313" s="14">
        <f t="shared" si="65"/>
        <v>164211000</v>
      </c>
      <c r="NI313" s="14">
        <f t="shared" si="66"/>
        <v>0</v>
      </c>
      <c r="NJ313" s="14">
        <f t="shared" si="67"/>
        <v>0</v>
      </c>
      <c r="NK313" s="14">
        <f t="shared" si="68"/>
        <v>0</v>
      </c>
      <c r="NN313" s="14">
        <f t="shared" si="69"/>
        <v>164310000</v>
      </c>
      <c r="NO313" s="14">
        <f t="shared" si="70"/>
        <v>99000</v>
      </c>
      <c r="NP313" s="14">
        <f t="shared" si="71"/>
        <v>164211000</v>
      </c>
      <c r="NS313" s="14">
        <f t="shared" si="79"/>
        <v>0</v>
      </c>
      <c r="NT313" s="14">
        <f t="shared" si="72"/>
        <v>0</v>
      </c>
      <c r="NU313" s="14">
        <f t="shared" si="73"/>
        <v>0</v>
      </c>
      <c r="NV313" s="14">
        <f t="shared" si="74"/>
        <v>0</v>
      </c>
      <c r="NW313" s="14">
        <f t="shared" si="75"/>
        <v>0</v>
      </c>
      <c r="NX313" s="14">
        <f t="shared" si="76"/>
        <v>0</v>
      </c>
      <c r="NY313" s="14">
        <f t="shared" si="77"/>
        <v>0</v>
      </c>
    </row>
    <row r="314" spans="1:389" x14ac:dyDescent="0.25">
      <c r="JB314" s="14">
        <v>12092000</v>
      </c>
      <c r="JC314" s="14">
        <v>1400000</v>
      </c>
      <c r="JD314" s="14">
        <v>10692000</v>
      </c>
      <c r="JH314" s="14">
        <v>25090</v>
      </c>
      <c r="JL314" s="14">
        <v>12092000</v>
      </c>
      <c r="JM314" s="14">
        <v>1374910</v>
      </c>
      <c r="JN314" s="14">
        <v>10692000</v>
      </c>
      <c r="ND314" s="14">
        <f t="shared" si="78"/>
        <v>12092000</v>
      </c>
      <c r="NE314" s="14">
        <f t="shared" si="64"/>
        <v>1400000</v>
      </c>
      <c r="NF314" s="14">
        <f t="shared" si="65"/>
        <v>10692000</v>
      </c>
      <c r="NI314" s="14">
        <f t="shared" si="66"/>
        <v>0</v>
      </c>
      <c r="NJ314" s="14">
        <f t="shared" si="67"/>
        <v>25090</v>
      </c>
      <c r="NK314" s="14">
        <f t="shared" si="68"/>
        <v>0</v>
      </c>
      <c r="NN314" s="14">
        <f t="shared" si="69"/>
        <v>12092000</v>
      </c>
      <c r="NO314" s="14">
        <f t="shared" si="70"/>
        <v>1374910</v>
      </c>
      <c r="NP314" s="14">
        <f t="shared" si="71"/>
        <v>10692000</v>
      </c>
      <c r="NS314" s="14">
        <f t="shared" si="79"/>
        <v>0</v>
      </c>
      <c r="NT314" s="14">
        <f t="shared" si="72"/>
        <v>0</v>
      </c>
      <c r="NU314" s="14">
        <f t="shared" si="73"/>
        <v>0</v>
      </c>
      <c r="NV314" s="14">
        <f t="shared" si="74"/>
        <v>0</v>
      </c>
      <c r="NW314" s="14">
        <f t="shared" si="75"/>
        <v>0</v>
      </c>
      <c r="NX314" s="14">
        <f t="shared" si="76"/>
        <v>0</v>
      </c>
      <c r="NY314" s="14">
        <f t="shared" si="77"/>
        <v>0</v>
      </c>
    </row>
    <row r="315" spans="1:389" x14ac:dyDescent="0.25">
      <c r="JB315" s="14">
        <v>43476000</v>
      </c>
      <c r="JC315" s="14">
        <v>20000</v>
      </c>
      <c r="JD315" s="14">
        <v>43456000</v>
      </c>
      <c r="JH315" s="14">
        <v>32690</v>
      </c>
      <c r="JL315" s="14">
        <v>43476000</v>
      </c>
      <c r="JM315" s="14">
        <v>-12690</v>
      </c>
      <c r="JN315" s="14">
        <v>43456000</v>
      </c>
      <c r="ND315" s="14">
        <f t="shared" si="78"/>
        <v>43476000</v>
      </c>
      <c r="NE315" s="14">
        <f t="shared" si="64"/>
        <v>20000</v>
      </c>
      <c r="NF315" s="14">
        <f t="shared" si="65"/>
        <v>43456000</v>
      </c>
      <c r="NI315" s="14">
        <f t="shared" si="66"/>
        <v>0</v>
      </c>
      <c r="NJ315" s="14">
        <f t="shared" si="67"/>
        <v>32690</v>
      </c>
      <c r="NK315" s="14">
        <f t="shared" si="68"/>
        <v>0</v>
      </c>
      <c r="NN315" s="14">
        <f t="shared" si="69"/>
        <v>43476000</v>
      </c>
      <c r="NO315" s="14">
        <f t="shared" si="70"/>
        <v>-12690</v>
      </c>
      <c r="NP315" s="14">
        <f t="shared" si="71"/>
        <v>43456000</v>
      </c>
      <c r="NS315" s="14">
        <f t="shared" si="79"/>
        <v>0</v>
      </c>
      <c r="NT315" s="14">
        <f t="shared" si="72"/>
        <v>0</v>
      </c>
      <c r="NU315" s="14">
        <f t="shared" si="73"/>
        <v>0</v>
      </c>
      <c r="NV315" s="14">
        <f t="shared" si="74"/>
        <v>0</v>
      </c>
      <c r="NW315" s="14">
        <f t="shared" si="75"/>
        <v>0</v>
      </c>
      <c r="NX315" s="14">
        <f t="shared" si="76"/>
        <v>0</v>
      </c>
      <c r="NY315" s="14">
        <f t="shared" si="77"/>
        <v>0</v>
      </c>
    </row>
    <row r="316" spans="1:389" x14ac:dyDescent="0.25">
      <c r="JB316" s="14">
        <v>115975000</v>
      </c>
      <c r="JC316" s="14">
        <v>1477000</v>
      </c>
      <c r="JD316" s="14">
        <v>114498000</v>
      </c>
      <c r="JH316" s="14">
        <v>448346</v>
      </c>
      <c r="JL316" s="14">
        <v>115975000</v>
      </c>
      <c r="JM316" s="14">
        <v>1028654</v>
      </c>
      <c r="JN316" s="14">
        <v>114498000</v>
      </c>
      <c r="ND316" s="14">
        <f t="shared" si="78"/>
        <v>115975000</v>
      </c>
      <c r="NE316" s="14">
        <f t="shared" si="64"/>
        <v>1477000</v>
      </c>
      <c r="NF316" s="14">
        <f t="shared" si="65"/>
        <v>114498000</v>
      </c>
      <c r="NI316" s="14">
        <f t="shared" si="66"/>
        <v>0</v>
      </c>
      <c r="NJ316" s="14">
        <f t="shared" si="67"/>
        <v>448346</v>
      </c>
      <c r="NK316" s="14">
        <f t="shared" si="68"/>
        <v>0</v>
      </c>
      <c r="NN316" s="14">
        <f t="shared" si="69"/>
        <v>115975000</v>
      </c>
      <c r="NO316" s="14">
        <f t="shared" si="70"/>
        <v>1028654</v>
      </c>
      <c r="NP316" s="14">
        <f t="shared" si="71"/>
        <v>114498000</v>
      </c>
      <c r="NS316" s="14">
        <f t="shared" si="79"/>
        <v>0</v>
      </c>
      <c r="NT316" s="14">
        <f t="shared" si="72"/>
        <v>0</v>
      </c>
      <c r="NU316" s="14">
        <f t="shared" si="73"/>
        <v>0</v>
      </c>
      <c r="NV316" s="14">
        <f t="shared" si="74"/>
        <v>0</v>
      </c>
      <c r="NW316" s="14">
        <f t="shared" si="75"/>
        <v>0</v>
      </c>
      <c r="NX316" s="14">
        <f t="shared" si="76"/>
        <v>0</v>
      </c>
      <c r="NY316" s="14">
        <f t="shared" si="77"/>
        <v>0</v>
      </c>
    </row>
  </sheetData>
  <sheetProtection selectLockedCells="1"/>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BG223"/>
  <sheetViews>
    <sheetView zoomScale="110" zoomScaleNormal="110" workbookViewId="0"/>
  </sheetViews>
  <sheetFormatPr defaultColWidth="9.140625" defaultRowHeight="11.25" x14ac:dyDescent="0.2"/>
  <cols>
    <col min="1" max="1" width="9.140625" style="4"/>
    <col min="2" max="2" width="39.5703125" style="4" customWidth="1"/>
    <col min="3" max="9" width="9.7109375" style="4" bestFit="1" customWidth="1"/>
    <col min="10" max="12" width="9.7109375" style="4" customWidth="1"/>
    <col min="13" max="13" width="7.5703125" style="4" customWidth="1"/>
    <col min="14" max="14" width="7" style="4" bestFit="1" customWidth="1"/>
    <col min="15" max="16" width="5.85546875" style="4" bestFit="1" customWidth="1"/>
    <col min="17" max="17" width="6.7109375" style="4" customWidth="1"/>
    <col min="18" max="18" width="6.42578125" style="4" bestFit="1" customWidth="1"/>
    <col min="19" max="19" width="7.5703125" style="4" bestFit="1" customWidth="1"/>
    <col min="20" max="20" width="5.85546875" style="7" customWidth="1"/>
    <col min="21" max="21" width="7.140625" style="7" bestFit="1" customWidth="1"/>
    <col min="22" max="23" width="7.7109375" style="7" bestFit="1" customWidth="1"/>
    <col min="24" max="24" width="5.85546875" style="7" customWidth="1"/>
    <col min="25" max="25" width="9.140625" style="117"/>
    <col min="26" max="26" width="39.85546875" style="4" customWidth="1"/>
    <col min="27" max="27" width="7.5703125" style="4" bestFit="1" customWidth="1"/>
    <col min="28" max="29" width="8.140625" style="4" bestFit="1" customWidth="1"/>
    <col min="30" max="30" width="8.85546875" style="4" bestFit="1" customWidth="1"/>
    <col min="31" max="31" width="8.140625" style="4" bestFit="1" customWidth="1"/>
    <col min="32" max="32" width="8.85546875" style="4" bestFit="1" customWidth="1"/>
    <col min="33" max="33" width="7.5703125" style="4" bestFit="1" customWidth="1"/>
    <col min="34" max="35" width="8.28515625" style="4" bestFit="1" customWidth="1"/>
    <col min="36" max="36" width="3.5703125" style="4" bestFit="1" customWidth="1"/>
    <col min="37" max="42" width="8.5703125" style="4" bestFit="1" customWidth="1"/>
    <col min="43" max="44" width="4.5703125" style="4" bestFit="1" customWidth="1"/>
    <col min="45" max="45" width="4.140625" style="4" customWidth="1"/>
    <col min="46" max="46" width="9.5703125" style="4" bestFit="1" customWidth="1"/>
    <col min="47" max="47" width="6.85546875" style="4" bestFit="1" customWidth="1"/>
    <col min="48" max="50" width="4.42578125" style="4" bestFit="1" customWidth="1"/>
    <col min="51" max="51" width="4.42578125" style="7" bestFit="1" customWidth="1"/>
    <col min="52" max="53" width="4.42578125" style="4" bestFit="1" customWidth="1"/>
    <col min="54" max="55" width="4.42578125" style="4" customWidth="1"/>
    <col min="56" max="56" width="8" style="4" bestFit="1" customWidth="1"/>
    <col min="57" max="58" width="9.7109375" style="4" bestFit="1" customWidth="1"/>
    <col min="59" max="59" width="9.140625" style="4"/>
    <col min="60" max="60" width="8.5703125" style="4" customWidth="1"/>
    <col min="61" max="61" width="7.85546875" style="4" bestFit="1" customWidth="1"/>
    <col min="62" max="62" width="27.42578125" style="4" customWidth="1"/>
    <col min="63" max="63" width="39" style="4" customWidth="1"/>
    <col min="64" max="16384" width="9.140625" style="4"/>
  </cols>
  <sheetData>
    <row r="1" spans="1:46" ht="15.75" x14ac:dyDescent="0.25">
      <c r="B1" s="131" t="s">
        <v>791</v>
      </c>
    </row>
    <row r="2" spans="1:46" x14ac:dyDescent="0.2">
      <c r="Y2" s="257"/>
    </row>
    <row r="3" spans="1:46" x14ac:dyDescent="0.2">
      <c r="AJ3" s="98"/>
      <c r="AT3" s="4" t="s">
        <v>814</v>
      </c>
    </row>
    <row r="4" spans="1:46" x14ac:dyDescent="0.2">
      <c r="B4" s="189" t="s">
        <v>756</v>
      </c>
      <c r="C4" s="132">
        <v>2019</v>
      </c>
      <c r="D4" s="132">
        <v>2020</v>
      </c>
      <c r="E4" s="132">
        <v>2021</v>
      </c>
      <c r="F4" s="132">
        <v>2022</v>
      </c>
      <c r="G4" s="132">
        <v>2023</v>
      </c>
      <c r="H4" s="132">
        <v>2024</v>
      </c>
      <c r="I4" s="132">
        <v>2025</v>
      </c>
      <c r="J4" s="132">
        <v>2026</v>
      </c>
      <c r="K4" s="132">
        <v>2027</v>
      </c>
      <c r="L4" s="132">
        <v>2028</v>
      </c>
      <c r="M4" s="136" t="s">
        <v>319</v>
      </c>
      <c r="N4" s="132">
        <v>2019</v>
      </c>
      <c r="O4" s="132">
        <v>2020</v>
      </c>
      <c r="P4" s="132">
        <v>2021</v>
      </c>
      <c r="Q4" s="132">
        <v>2022</v>
      </c>
      <c r="R4" s="132">
        <v>2023</v>
      </c>
      <c r="S4" s="132">
        <v>2024</v>
      </c>
      <c r="T4" s="132">
        <v>2025</v>
      </c>
      <c r="U4" s="132">
        <v>2026</v>
      </c>
      <c r="V4" s="132">
        <v>2027</v>
      </c>
      <c r="W4" s="132">
        <v>2028</v>
      </c>
      <c r="X4" s="197"/>
      <c r="Z4" s="189" t="s">
        <v>752</v>
      </c>
      <c r="AA4" s="132">
        <v>2020</v>
      </c>
      <c r="AB4" s="132">
        <v>2021</v>
      </c>
      <c r="AC4" s="132">
        <v>2022</v>
      </c>
      <c r="AD4" s="132">
        <v>2023</v>
      </c>
      <c r="AE4" s="132">
        <v>2024</v>
      </c>
      <c r="AF4" s="132">
        <v>2025</v>
      </c>
      <c r="AG4" s="132">
        <v>2026</v>
      </c>
      <c r="AH4" s="132">
        <v>2027</v>
      </c>
      <c r="AI4" s="132">
        <v>2028</v>
      </c>
      <c r="AJ4" s="136" t="s">
        <v>319</v>
      </c>
      <c r="AK4" s="132">
        <v>2020</v>
      </c>
      <c r="AL4" s="132">
        <v>2021</v>
      </c>
      <c r="AM4" s="132">
        <v>2022</v>
      </c>
      <c r="AN4" s="132">
        <v>2023</v>
      </c>
      <c r="AO4" s="132">
        <v>2024</v>
      </c>
      <c r="AP4" s="132">
        <v>2025</v>
      </c>
      <c r="AQ4" s="132">
        <v>2026</v>
      </c>
      <c r="AR4" s="132">
        <v>2027</v>
      </c>
      <c r="AS4" s="132">
        <v>2028</v>
      </c>
      <c r="AT4" s="151" t="s">
        <v>754</v>
      </c>
    </row>
    <row r="5" spans="1:46" x14ac:dyDescent="0.2">
      <c r="B5" s="133" t="s">
        <v>774</v>
      </c>
      <c r="C5" s="234">
        <f>SUMIF('1. Väestöennuste'!$AA$15:$AA$307,'1. Väestöennuste'!$U2,'Toim ja inv rahavirta'!G$15:G$307)/1000</f>
        <v>-489.70600000000002</v>
      </c>
      <c r="D5" s="234">
        <f>SUMIF('1. Väestöennuste'!$AA$15:$AA$307,'1. Väestöennuste'!$U2,'Toim ja inv rahavirta'!H$15:H$307)/1000</f>
        <v>-72.897931571026362</v>
      </c>
      <c r="E5" s="234">
        <f>SUMIF('1. Väestöennuste'!$AA$15:$AA$307,'1. Väestöennuste'!$U2,'Toim ja inv rahavirta'!I$15:I$307)/1000</f>
        <v>362.85672546477684</v>
      </c>
      <c r="F5" s="234">
        <f>SUMIF('1. Väestöennuste'!$AA$15:$AA$307,'1. Väestöennuste'!$U2,'Toim ja inv rahavirta'!J$15:J$307)/1000</f>
        <v>788.72122998175485</v>
      </c>
      <c r="G5" s="234">
        <f>SUMIF('1. Väestöennuste'!$AA$15:$AA$307,'1. Väestöennuste'!$U2,'Toim ja inv rahavirta'!K$15:K$307)/1000</f>
        <v>60.689323772475753</v>
      </c>
      <c r="H5" s="234">
        <f>SUMIF('1. Väestöennuste'!$AA$15:$AA$307,'1. Väestöennuste'!$U2,'Toim ja inv rahavirta'!L$15:L$307)/1000</f>
        <v>-276.48811987489472</v>
      </c>
      <c r="I5" s="234">
        <f>SUMIF('1. Väestöennuste'!$AA$15:$AA$307,'1. Väestöennuste'!$U2,'Toim ja inv rahavirta'!M$15:M$307)/1000</f>
        <v>-759.05291394926883</v>
      </c>
      <c r="J5" s="234">
        <f>SUMIF('1. Väestöennuste'!$AA$15:$AA$307,'1. Väestöennuste'!$U2,'Toim ja inv rahavirta'!N$15:N$307)/1000</f>
        <v>-776.76416490026384</v>
      </c>
      <c r="K5" s="234">
        <f>SUMIF('1. Väestöennuste'!$AA$15:$AA$307,'1. Väestöennuste'!$U2,'Toim ja inv rahavirta'!O$15:O$307)/1000</f>
        <v>-825.04690322320369</v>
      </c>
      <c r="L5" s="234">
        <f>SUMIF('1. Väestöennuste'!$AA$15:$AA$307,'1. Väestöennuste'!$U2,'Toim ja inv rahavirta'!P$15:P$307)/1000</f>
        <v>-809.0991494200133</v>
      </c>
      <c r="M5" s="136"/>
      <c r="N5" s="41">
        <f>C5/'1. Väestöennuste'!BJ2*1000000</f>
        <v>-223.0562753565691</v>
      </c>
      <c r="O5" s="41">
        <f>D5/'1. Väestöennuste'!BK2*1000000</f>
        <v>-32.936487059536027</v>
      </c>
      <c r="P5" s="41">
        <f>E5/'1. Väestöennuste'!BL2*1000000</f>
        <v>162.7343371225985</v>
      </c>
      <c r="Q5" s="41">
        <f>F5/'1. Väestöennuste'!BM2*1000000</f>
        <v>349.06366975746096</v>
      </c>
      <c r="R5" s="41">
        <f>G5/'1. Väestöennuste'!BN2*1000000</f>
        <v>26.386972269881323</v>
      </c>
      <c r="S5" s="41">
        <f>H5/'1. Väestöennuste'!BO2*1000000</f>
        <v>-120.19116644991973</v>
      </c>
      <c r="T5" s="41">
        <f>I5/'1. Väestöennuste'!BP2*1000000</f>
        <v>-327.29704855959187</v>
      </c>
      <c r="U5" s="41">
        <f>J5/'1. Väestöennuste'!BQ2*1000000</f>
        <v>-332.37022175450784</v>
      </c>
      <c r="V5" s="41">
        <f>K5/'1. Väestöennuste'!BR2*1000000</f>
        <v>-350.46696674414886</v>
      </c>
      <c r="W5" s="41">
        <f>L5/'1. Väestöennuste'!BS2*1000000</f>
        <v>-341.32565328854315</v>
      </c>
      <c r="X5" s="165"/>
      <c r="Z5" s="133" t="s">
        <v>774</v>
      </c>
      <c r="AA5" s="41">
        <f>D5-C5</f>
        <v>416.80806842897368</v>
      </c>
      <c r="AB5" s="41">
        <f t="shared" ref="AB5:AB12" si="0">E5-D5</f>
        <v>435.75465703580323</v>
      </c>
      <c r="AC5" s="41">
        <f t="shared" ref="AC5:AC12" si="1">F5-E5</f>
        <v>425.864504516978</v>
      </c>
      <c r="AD5" s="41">
        <f t="shared" ref="AD5:AD12" si="2">G5-F5</f>
        <v>-728.0319062092791</v>
      </c>
      <c r="AE5" s="41">
        <f t="shared" ref="AE5:AI12" si="3">H5-G5</f>
        <v>-337.17744364737047</v>
      </c>
      <c r="AF5" s="41">
        <f t="shared" si="3"/>
        <v>-482.56479407437411</v>
      </c>
      <c r="AG5" s="41">
        <f t="shared" si="3"/>
        <v>-17.711250950995009</v>
      </c>
      <c r="AH5" s="41">
        <f t="shared" si="3"/>
        <v>-48.282738322939849</v>
      </c>
      <c r="AI5" s="41">
        <f t="shared" si="3"/>
        <v>15.94775380319038</v>
      </c>
      <c r="AJ5" s="136"/>
      <c r="AK5" s="41">
        <f t="shared" ref="AK5:AO12" si="4">O5-N5</f>
        <v>190.11978829703307</v>
      </c>
      <c r="AL5" s="41">
        <f t="shared" si="4"/>
        <v>195.67082418213454</v>
      </c>
      <c r="AM5" s="41">
        <f t="shared" si="4"/>
        <v>186.32933263486245</v>
      </c>
      <c r="AN5" s="41">
        <f t="shared" si="4"/>
        <v>-322.67669748757964</v>
      </c>
      <c r="AO5" s="41">
        <f t="shared" si="4"/>
        <v>-146.57813871980105</v>
      </c>
      <c r="AP5" s="41">
        <f t="shared" ref="AP5:AP11" si="5">T5-S5</f>
        <v>-207.10588210967214</v>
      </c>
      <c r="AQ5" s="41">
        <f>U5-T5</f>
        <v>-5.0731731949159666</v>
      </c>
      <c r="AR5" s="41">
        <f>V5-U5</f>
        <v>-18.096744989641024</v>
      </c>
      <c r="AS5" s="41">
        <f>W5-V5</f>
        <v>9.1413134556057116</v>
      </c>
      <c r="AT5" s="41">
        <f>V5-S5</f>
        <v>-230.27580029422913</v>
      </c>
    </row>
    <row r="6" spans="1:46" x14ac:dyDescent="0.2">
      <c r="B6" s="134" t="s">
        <v>775</v>
      </c>
      <c r="C6" s="234">
        <f>SUMIF('1. Väestöennuste'!$AA$15:$AA$307,'1. Väestöennuste'!$U3,'Toim ja inv rahavirta'!G$15:G$307)/1000</f>
        <v>-527.51499999999999</v>
      </c>
      <c r="D6" s="234">
        <f>SUMIF('1. Väestöennuste'!$AA$15:$AA$307,'1. Väestöennuste'!$U3,'Toim ja inv rahavirta'!H$15:H$307)/1000</f>
        <v>107.89117996359663</v>
      </c>
      <c r="E6" s="234">
        <f>SUMIF('1. Väestöennuste'!$AA$15:$AA$307,'1. Väestöennuste'!$U3,'Toim ja inv rahavirta'!I$15:I$307)/1000</f>
        <v>119.37558503021035</v>
      </c>
      <c r="F6" s="234">
        <f>SUMIF('1. Väestöennuste'!$AA$15:$AA$307,'1. Väestöennuste'!$U3,'Toim ja inv rahavirta'!J$15:J$307)/1000</f>
        <v>36.817909384787235</v>
      </c>
      <c r="G6" s="234">
        <f>SUMIF('1. Väestöennuste'!$AA$15:$AA$307,'1. Väestöennuste'!$U3,'Toim ja inv rahavirta'!K$15:K$307)/1000</f>
        <v>181.32955447604272</v>
      </c>
      <c r="H6" s="234">
        <f>SUMIF('1. Väestöennuste'!$AA$15:$AA$307,'1. Väestöennuste'!$U3,'Toim ja inv rahavirta'!L$15:L$307)/1000</f>
        <v>-201.19845336915967</v>
      </c>
      <c r="I6" s="234">
        <f>SUMIF('1. Väestöennuste'!$AA$15:$AA$307,'1. Väestöennuste'!$U3,'Toim ja inv rahavirta'!M$15:M$307)/1000</f>
        <v>-347.73735016269052</v>
      </c>
      <c r="J6" s="234">
        <f>SUMIF('1. Väestöennuste'!$AA$15:$AA$307,'1. Väestöennuste'!$U3,'Toim ja inv rahavirta'!N$15:N$307)/1000</f>
        <v>-332.21632770209163</v>
      </c>
      <c r="K6" s="234">
        <f>SUMIF('1. Väestöennuste'!$AA$15:$AA$307,'1. Väestöennuste'!$U3,'Toim ja inv rahavirta'!O$15:O$307)/1000</f>
        <v>-339.62221333503282</v>
      </c>
      <c r="L6" s="234">
        <f>SUMIF('1. Väestöennuste'!$AA$15:$AA$307,'1. Väestöennuste'!$U3,'Toim ja inv rahavirta'!P$15:P$307)/1000</f>
        <v>-282.6645655967331</v>
      </c>
      <c r="M6" s="136"/>
      <c r="N6" s="41">
        <f>C6/'1. Väestöennuste'!BJ3*1000000</f>
        <v>-521.30315164499814</v>
      </c>
      <c r="O6" s="41">
        <f>D6/'1. Väestöennuste'!BK3*1000000</f>
        <v>102.52005192328386</v>
      </c>
      <c r="P6" s="41">
        <f>E6/'1. Väestöennuste'!BL3*1000000</f>
        <v>113.17280967741081</v>
      </c>
      <c r="Q6" s="41">
        <f>F6/'1. Väestöennuste'!BM3*1000000</f>
        <v>34.902726951504292</v>
      </c>
      <c r="R6" s="41">
        <f>G6/'1. Väestöennuste'!BN3*1000000</f>
        <v>171.09224971438263</v>
      </c>
      <c r="S6" s="41">
        <f>H6/'1. Väestöennuste'!BO3*1000000</f>
        <v>-191.11521464451505</v>
      </c>
      <c r="T6" s="41">
        <f>I6/'1. Väestöennuste'!BP3*1000000</f>
        <v>-330.41532666241352</v>
      </c>
      <c r="U6" s="41">
        <f>J6/'1. Väestöennuste'!BQ3*1000000</f>
        <v>-315.7943879404142</v>
      </c>
      <c r="V6" s="41">
        <f>K6/'1. Väestöennuste'!BR3*1000000</f>
        <v>-322.9830933166395</v>
      </c>
      <c r="W6" s="41">
        <f>L6/'1. Väestöennuste'!BS3*1000000</f>
        <v>-268.96509732935948</v>
      </c>
      <c r="X6" s="165"/>
      <c r="Z6" s="134" t="s">
        <v>775</v>
      </c>
      <c r="AA6" s="41">
        <f t="shared" ref="AA6:AA12" si="6">D6-C6</f>
        <v>635.40617996359663</v>
      </c>
      <c r="AB6" s="41">
        <f t="shared" si="0"/>
        <v>11.484405066613718</v>
      </c>
      <c r="AC6" s="41">
        <f t="shared" si="1"/>
        <v>-82.557675645423103</v>
      </c>
      <c r="AD6" s="41">
        <f t="shared" si="2"/>
        <v>144.51164509125547</v>
      </c>
      <c r="AE6" s="41">
        <f t="shared" si="3"/>
        <v>-382.52800784520241</v>
      </c>
      <c r="AF6" s="41">
        <f t="shared" si="3"/>
        <v>-146.53889679353085</v>
      </c>
      <c r="AG6" s="41">
        <f t="shared" si="3"/>
        <v>15.521022460598886</v>
      </c>
      <c r="AH6" s="41">
        <f t="shared" si="3"/>
        <v>-7.4058856329411924</v>
      </c>
      <c r="AI6" s="41">
        <f t="shared" si="3"/>
        <v>56.957647738299727</v>
      </c>
      <c r="AJ6" s="136"/>
      <c r="AK6" s="41">
        <f t="shared" si="4"/>
        <v>623.823203568282</v>
      </c>
      <c r="AL6" s="41">
        <f t="shared" si="4"/>
        <v>10.652757754126952</v>
      </c>
      <c r="AM6" s="41">
        <f t="shared" si="4"/>
        <v>-78.270082725906519</v>
      </c>
      <c r="AN6" s="41">
        <f t="shared" si="4"/>
        <v>136.18952276287834</v>
      </c>
      <c r="AO6" s="41">
        <f t="shared" si="4"/>
        <v>-362.20746435889771</v>
      </c>
      <c r="AP6" s="41">
        <f t="shared" si="5"/>
        <v>-139.30011201789847</v>
      </c>
      <c r="AQ6" s="41">
        <f t="shared" ref="AQ6:AS11" si="7">U6-T6</f>
        <v>14.620938721999323</v>
      </c>
      <c r="AR6" s="41">
        <f t="shared" si="7"/>
        <v>-7.1887053762253004</v>
      </c>
      <c r="AS6" s="41">
        <f t="shared" si="7"/>
        <v>54.017995987280017</v>
      </c>
      <c r="AT6" s="41">
        <f t="shared" ref="AT6:AT12" si="8">V6-S6</f>
        <v>-131.86787867212445</v>
      </c>
    </row>
    <row r="7" spans="1:46" x14ac:dyDescent="0.2">
      <c r="B7" s="133" t="s">
        <v>776</v>
      </c>
      <c r="C7" s="234">
        <f>SUMIF('1. Väestöennuste'!$AA$15:$AA$307,'1. Väestöennuste'!$U4,'Toim ja inv rahavirta'!G$15:G$307)/1000</f>
        <v>-23.172000000000001</v>
      </c>
      <c r="D7" s="234">
        <f>SUMIF('1. Väestöennuste'!$AA$15:$AA$307,'1. Väestöennuste'!$U4,'Toim ja inv rahavirta'!H$15:H$307)/1000</f>
        <v>32.541187772809636</v>
      </c>
      <c r="E7" s="234">
        <f>SUMIF('1. Väestöennuste'!$AA$15:$AA$307,'1. Väestöennuste'!$U4,'Toim ja inv rahavirta'!I$15:I$307)/1000</f>
        <v>20.060500222184611</v>
      </c>
      <c r="F7" s="234">
        <f>SUMIF('1. Väestöennuste'!$AA$15:$AA$307,'1. Väestöennuste'!$U4,'Toim ja inv rahavirta'!J$15:J$307)/1000</f>
        <v>-139.04955122965586</v>
      </c>
      <c r="G7" s="234">
        <f>SUMIF('1. Väestöennuste'!$AA$15:$AA$307,'1. Väestöennuste'!$U4,'Toim ja inv rahavirta'!K$15:K$307)/1000</f>
        <v>-49.446590993609</v>
      </c>
      <c r="H7" s="234">
        <f>SUMIF('1. Väestöennuste'!$AA$15:$AA$307,'1. Väestöennuste'!$U4,'Toim ja inv rahavirta'!L$15:L$307)/1000</f>
        <v>-201.57841800634668</v>
      </c>
      <c r="I7" s="234">
        <f>SUMIF('1. Väestöennuste'!$AA$15:$AA$307,'1. Väestöennuste'!$U4,'Toim ja inv rahavirta'!M$15:M$307)/1000</f>
        <v>-278.88003227523785</v>
      </c>
      <c r="J7" s="234">
        <f>SUMIF('1. Väestöennuste'!$AA$15:$AA$307,'1. Väestöennuste'!$U4,'Toim ja inv rahavirta'!N$15:N$307)/1000</f>
        <v>-300.81493208452724</v>
      </c>
      <c r="K7" s="234">
        <f>SUMIF('1. Väestöennuste'!$AA$15:$AA$307,'1. Väestöennuste'!$U4,'Toim ja inv rahavirta'!O$15:O$307)/1000</f>
        <v>-317.02470871930143</v>
      </c>
      <c r="L7" s="234">
        <f>SUMIF('1. Väestöennuste'!$AA$15:$AA$307,'1. Väestöennuste'!$U4,'Toim ja inv rahavirta'!P$15:P$307)/1000</f>
        <v>-285.12662861098852</v>
      </c>
      <c r="M7" s="136"/>
      <c r="N7" s="41">
        <f>C7/'1. Väestöennuste'!BJ4*1000000</f>
        <v>-28.322192439837341</v>
      </c>
      <c r="O7" s="41">
        <f>D7/'1. Väestöennuste'!BK4*1000000</f>
        <v>42.89501488591138</v>
      </c>
      <c r="P7" s="41">
        <f>E7/'1. Väestöennuste'!BL4*1000000</f>
        <v>26.379601978006079</v>
      </c>
      <c r="Q7" s="41">
        <f>F7/'1. Väestöennuste'!BM4*1000000</f>
        <v>-183.01845357088629</v>
      </c>
      <c r="R7" s="41">
        <f>G7/'1. Väestöennuste'!BN4*1000000</f>
        <v>-64.873512193136975</v>
      </c>
      <c r="S7" s="41">
        <f>H7/'1. Väestöennuste'!BO4*1000000</f>
        <v>-266.89760283654965</v>
      </c>
      <c r="T7" s="41">
        <f>I7/'1. Väestöennuste'!BP4*1000000</f>
        <v>-369.70805988829466</v>
      </c>
      <c r="U7" s="41">
        <f>J7/'1. Väestöennuste'!BQ4*1000000</f>
        <v>-399.30620285623468</v>
      </c>
      <c r="V7" s="41">
        <f>K7/'1. Väestöennuste'!BR4*1000000</f>
        <v>-421.40337484471286</v>
      </c>
      <c r="W7" s="41">
        <f>L7/'1. Väestöennuste'!BS4*1000000</f>
        <v>-379.56204495877728</v>
      </c>
      <c r="X7" s="165"/>
      <c r="Z7" s="133" t="s">
        <v>776</v>
      </c>
      <c r="AA7" s="41">
        <f t="shared" si="6"/>
        <v>55.713187772809633</v>
      </c>
      <c r="AB7" s="41">
        <f t="shared" si="0"/>
        <v>-12.480687550625024</v>
      </c>
      <c r="AC7" s="41">
        <f t="shared" si="1"/>
        <v>-159.11005145184046</v>
      </c>
      <c r="AD7" s="41">
        <f t="shared" si="2"/>
        <v>89.602960236046869</v>
      </c>
      <c r="AE7" s="41">
        <f t="shared" si="3"/>
        <v>-152.13182701273769</v>
      </c>
      <c r="AF7" s="41">
        <f t="shared" si="3"/>
        <v>-77.301614268891171</v>
      </c>
      <c r="AG7" s="41">
        <f t="shared" si="3"/>
        <v>-21.934899809289391</v>
      </c>
      <c r="AH7" s="41">
        <f t="shared" si="3"/>
        <v>-16.209776634774187</v>
      </c>
      <c r="AI7" s="41">
        <f t="shared" si="3"/>
        <v>31.898080108312911</v>
      </c>
      <c r="AJ7" s="136"/>
      <c r="AK7" s="41">
        <f t="shared" si="4"/>
        <v>71.217207325748717</v>
      </c>
      <c r="AL7" s="41">
        <f t="shared" si="4"/>
        <v>-16.515412907905301</v>
      </c>
      <c r="AM7" s="41">
        <f t="shared" si="4"/>
        <v>-209.39805554889239</v>
      </c>
      <c r="AN7" s="41">
        <f t="shared" si="4"/>
        <v>118.14494137774932</v>
      </c>
      <c r="AO7" s="41">
        <f t="shared" si="4"/>
        <v>-202.02409064341268</v>
      </c>
      <c r="AP7" s="41">
        <f t="shared" si="5"/>
        <v>-102.810457051745</v>
      </c>
      <c r="AQ7" s="41">
        <f t="shared" si="7"/>
        <v>-29.598142967940021</v>
      </c>
      <c r="AR7" s="41">
        <f t="shared" si="7"/>
        <v>-22.097171988478181</v>
      </c>
      <c r="AS7" s="41">
        <f t="shared" si="7"/>
        <v>41.841329885935579</v>
      </c>
      <c r="AT7" s="41">
        <f t="shared" si="8"/>
        <v>-154.50577200816321</v>
      </c>
    </row>
    <row r="8" spans="1:46" x14ac:dyDescent="0.2">
      <c r="B8" s="133" t="s">
        <v>777</v>
      </c>
      <c r="C8" s="234">
        <f>SUMIF('1. Väestöennuste'!$AA$15:$AA$307,'1. Väestöennuste'!$U5,'Toim ja inv rahavirta'!G$15:G$307)/1000</f>
        <v>-167.09399999999999</v>
      </c>
      <c r="D8" s="234">
        <f>SUMIF('1. Väestöennuste'!$AA$15:$AA$307,'1. Väestöennuste'!$U5,'Toim ja inv rahavirta'!H$15:H$307)/1000</f>
        <v>22.700801272798554</v>
      </c>
      <c r="E8" s="234">
        <f>SUMIF('1. Väestöennuste'!$AA$15:$AA$307,'1. Väestöennuste'!$U5,'Toim ja inv rahavirta'!I$15:I$307)/1000</f>
        <v>-57.839346167229081</v>
      </c>
      <c r="F8" s="234">
        <f>SUMIF('1. Väestöennuste'!$AA$15:$AA$307,'1. Väestöennuste'!$U5,'Toim ja inv rahavirta'!J$15:J$307)/1000</f>
        <v>-125.63836268955129</v>
      </c>
      <c r="G8" s="234">
        <f>SUMIF('1. Väestöennuste'!$AA$15:$AA$307,'1. Väestöennuste'!$U5,'Toim ja inv rahavirta'!K$15:K$307)/1000</f>
        <v>-2.3020552328282431</v>
      </c>
      <c r="H8" s="234">
        <f>SUMIF('1. Väestöennuste'!$AA$15:$AA$307,'1. Väestöennuste'!$U5,'Toim ja inv rahavirta'!L$15:L$307)/1000</f>
        <v>-139.7069684938069</v>
      </c>
      <c r="I8" s="234">
        <f>SUMIF('1. Väestöennuste'!$AA$15:$AA$307,'1. Väestöennuste'!$U5,'Toim ja inv rahavirta'!M$15:M$307)/1000</f>
        <v>-237.02854834878679</v>
      </c>
      <c r="J8" s="234">
        <f>SUMIF('1. Väestöennuste'!$AA$15:$AA$307,'1. Väestöennuste'!$U5,'Toim ja inv rahavirta'!N$15:N$307)/1000</f>
        <v>-235.4504406189007</v>
      </c>
      <c r="K8" s="234">
        <f>SUMIF('1. Väestöennuste'!$AA$15:$AA$307,'1. Väestöennuste'!$U5,'Toim ja inv rahavirta'!O$15:O$307)/1000</f>
        <v>-247.95802121029612</v>
      </c>
      <c r="L8" s="234">
        <f>SUMIF('1. Väestöennuste'!$AA$15:$AA$307,'1. Väestöennuste'!$U5,'Toim ja inv rahavirta'!P$15:P$307)/1000</f>
        <v>-208.16997644702602</v>
      </c>
      <c r="M8" s="136"/>
      <c r="N8" s="41">
        <f>C8/'1. Väestöennuste'!BJ5*1000000</f>
        <v>-280.46164536692953</v>
      </c>
      <c r="O8" s="41">
        <f>D8/'1. Väestöennuste'!BK5*1000000</f>
        <v>37.606273354491307</v>
      </c>
      <c r="P8" s="41">
        <f>E8/'1. Väestöennuste'!BL5*1000000</f>
        <v>-95.878767962518467</v>
      </c>
      <c r="Q8" s="41">
        <f>F8/'1. Väestöennuste'!BM5*1000000</f>
        <v>-209.07703482424634</v>
      </c>
      <c r="R8" s="41">
        <f>G8/'1. Väestöennuste'!BN5*1000000</f>
        <v>-3.8347199286183562</v>
      </c>
      <c r="S8" s="41">
        <f>H8/'1. Väestöennuste'!BO5*1000000</f>
        <v>-235.70880952541194</v>
      </c>
      <c r="T8" s="41">
        <f>I8/'1. Väestöennuste'!BP5*1000000</f>
        <v>-401.72219484872284</v>
      </c>
      <c r="U8" s="41">
        <f>J8/'1. Väestöennuste'!BQ5*1000000</f>
        <v>-400.84994776600536</v>
      </c>
      <c r="V8" s="41">
        <f>K8/'1. Väestöennuste'!BR5*1000000</f>
        <v>-424.04978162920168</v>
      </c>
      <c r="W8" s="41">
        <f>L8/'1. Väestöennuste'!BS5*1000000</f>
        <v>-357.64411588348611</v>
      </c>
      <c r="X8" s="165"/>
      <c r="Z8" s="133" t="s">
        <v>777</v>
      </c>
      <c r="AA8" s="41">
        <f t="shared" si="6"/>
        <v>189.79480127279854</v>
      </c>
      <c r="AB8" s="41">
        <f t="shared" si="0"/>
        <v>-80.540147440027638</v>
      </c>
      <c r="AC8" s="41">
        <f t="shared" si="1"/>
        <v>-67.799016522322205</v>
      </c>
      <c r="AD8" s="41">
        <f t="shared" si="2"/>
        <v>123.33630745672305</v>
      </c>
      <c r="AE8" s="41">
        <f t="shared" si="3"/>
        <v>-137.40491326097865</v>
      </c>
      <c r="AF8" s="41">
        <f t="shared" si="3"/>
        <v>-97.321579854979888</v>
      </c>
      <c r="AG8" s="41">
        <f t="shared" si="3"/>
        <v>1.5781077298860851</v>
      </c>
      <c r="AH8" s="41">
        <f t="shared" si="3"/>
        <v>-12.507580591395424</v>
      </c>
      <c r="AI8" s="41">
        <f t="shared" si="3"/>
        <v>39.788044763270108</v>
      </c>
      <c r="AJ8" s="136"/>
      <c r="AK8" s="41">
        <f t="shared" si="4"/>
        <v>318.06791872142082</v>
      </c>
      <c r="AL8" s="41">
        <f t="shared" si="4"/>
        <v>-133.48504131700977</v>
      </c>
      <c r="AM8" s="41">
        <f t="shared" si="4"/>
        <v>-113.19826686172787</v>
      </c>
      <c r="AN8" s="41">
        <f t="shared" si="4"/>
        <v>205.24231489562797</v>
      </c>
      <c r="AO8" s="41">
        <f t="shared" si="4"/>
        <v>-231.87408959679357</v>
      </c>
      <c r="AP8" s="41">
        <f t="shared" si="5"/>
        <v>-166.0133853233109</v>
      </c>
      <c r="AQ8" s="41">
        <f t="shared" si="7"/>
        <v>0.87224708271747886</v>
      </c>
      <c r="AR8" s="41">
        <f t="shared" si="7"/>
        <v>-23.199833863196318</v>
      </c>
      <c r="AS8" s="41">
        <f t="shared" si="7"/>
        <v>66.405665745715567</v>
      </c>
      <c r="AT8" s="41">
        <f t="shared" si="8"/>
        <v>-188.34097210378974</v>
      </c>
    </row>
    <row r="9" spans="1:46" x14ac:dyDescent="0.2">
      <c r="B9" s="133" t="s">
        <v>778</v>
      </c>
      <c r="C9" s="234">
        <f>SUMIF('1. Väestöennuste'!$AA$15:$AA$307,'1. Väestöennuste'!$U6,'Toim ja inv rahavirta'!G$15:G$307)/1000</f>
        <v>-168.18299999999999</v>
      </c>
      <c r="D9" s="234">
        <f>SUMIF('1. Väestöennuste'!$AA$15:$AA$307,'1. Väestöennuste'!$U6,'Toim ja inv rahavirta'!H$15:H$307)/1000</f>
        <v>177.64400892617275</v>
      </c>
      <c r="E9" s="234">
        <f>SUMIF('1. Väestöennuste'!$AA$15:$AA$307,'1. Väestöennuste'!$U6,'Toim ja inv rahavirta'!I$15:I$307)/1000</f>
        <v>105.73825728073145</v>
      </c>
      <c r="F9" s="234">
        <f>SUMIF('1. Väestöennuste'!$AA$15:$AA$307,'1. Väestöennuste'!$U6,'Toim ja inv rahavirta'!J$15:J$307)/1000</f>
        <v>69.438287290449111</v>
      </c>
      <c r="G9" s="234">
        <f>SUMIF('1. Väestöennuste'!$AA$15:$AA$307,'1. Väestöennuste'!$U6,'Toim ja inv rahavirta'!K$15:K$307)/1000</f>
        <v>38.539676460735599</v>
      </c>
      <c r="H9" s="234">
        <f>SUMIF('1. Väestöennuste'!$AA$15:$AA$307,'1. Väestöennuste'!$U6,'Toim ja inv rahavirta'!L$15:L$307)/1000</f>
        <v>-54.966264011694264</v>
      </c>
      <c r="I9" s="234">
        <f>SUMIF('1. Väestöennuste'!$AA$15:$AA$307,'1. Väestöennuste'!$U6,'Toim ja inv rahavirta'!M$15:M$307)/1000</f>
        <v>-117.90009872329675</v>
      </c>
      <c r="J9" s="234">
        <f>SUMIF('1. Väestöennuste'!$AA$15:$AA$307,'1. Väestöennuste'!$U6,'Toim ja inv rahavirta'!N$15:N$307)/1000</f>
        <v>-131.3193723627806</v>
      </c>
      <c r="K9" s="234">
        <f>SUMIF('1. Väestöennuste'!$AA$15:$AA$307,'1. Väestöennuste'!$U6,'Toim ja inv rahavirta'!O$15:O$307)/1000</f>
        <v>-140.98671758361954</v>
      </c>
      <c r="L9" s="234">
        <f>SUMIF('1. Väestöennuste'!$AA$15:$AA$307,'1. Väestöennuste'!$U6,'Toim ja inv rahavirta'!P$15:P$307)/1000</f>
        <v>-92.485776078438263</v>
      </c>
      <c r="M9" s="136"/>
      <c r="N9" s="41">
        <f>C9/'1. Väestöennuste'!BJ6*1000000</f>
        <v>-315.70677974692097</v>
      </c>
      <c r="O9" s="41">
        <f>D9/'1. Väestöennuste'!BK6*1000000</f>
        <v>333.03901351543345</v>
      </c>
      <c r="P9" s="41">
        <f>E9/'1. Väestöennuste'!BL6*1000000</f>
        <v>199.17543942271595</v>
      </c>
      <c r="Q9" s="41">
        <f>F9/'1. Väestöennuste'!BM6*1000000</f>
        <v>132.18887501608447</v>
      </c>
      <c r="R9" s="41">
        <f>G9/'1. Väestöennuste'!BN6*1000000</f>
        <v>73.909096151163197</v>
      </c>
      <c r="S9" s="41">
        <f>H9/'1. Väestöennuste'!BO6*1000000</f>
        <v>-107.0494716528344</v>
      </c>
      <c r="T9" s="41">
        <f>I9/'1. Väestöennuste'!BP6*1000000</f>
        <v>-230.94888516482126</v>
      </c>
      <c r="U9" s="41">
        <f>J9/'1. Väestöennuste'!BQ6*1000000</f>
        <v>-259.46291860187426</v>
      </c>
      <c r="V9" s="41">
        <f>K9/'1. Väestöennuste'!BR6*1000000</f>
        <v>-280.9031939981063</v>
      </c>
      <c r="W9" s="41">
        <f>L9/'1. Väestöennuste'!BS6*1000000</f>
        <v>-185.79462233381531</v>
      </c>
      <c r="X9" s="165"/>
      <c r="Z9" s="133" t="s">
        <v>778</v>
      </c>
      <c r="AA9" s="41">
        <f t="shared" si="6"/>
        <v>345.82700892617277</v>
      </c>
      <c r="AB9" s="41">
        <f t="shared" si="0"/>
        <v>-71.905751645441299</v>
      </c>
      <c r="AC9" s="41">
        <f t="shared" si="1"/>
        <v>-36.299969990282335</v>
      </c>
      <c r="AD9" s="41">
        <f t="shared" si="2"/>
        <v>-30.898610829713512</v>
      </c>
      <c r="AE9" s="41">
        <f t="shared" si="3"/>
        <v>-93.50594047242987</v>
      </c>
      <c r="AF9" s="41">
        <f t="shared" si="3"/>
        <v>-62.933834711602486</v>
      </c>
      <c r="AG9" s="41">
        <f t="shared" si="3"/>
        <v>-13.419273639483848</v>
      </c>
      <c r="AH9" s="41">
        <f t="shared" si="3"/>
        <v>-9.6673452208389392</v>
      </c>
      <c r="AI9" s="41">
        <f t="shared" si="3"/>
        <v>48.500941505181274</v>
      </c>
      <c r="AJ9" s="136"/>
      <c r="AK9" s="41">
        <f t="shared" si="4"/>
        <v>648.74579326235448</v>
      </c>
      <c r="AL9" s="41">
        <f t="shared" si="4"/>
        <v>-133.8635740927175</v>
      </c>
      <c r="AM9" s="41">
        <f t="shared" si="4"/>
        <v>-66.986564406631487</v>
      </c>
      <c r="AN9" s="41">
        <f t="shared" si="4"/>
        <v>-58.279778864921269</v>
      </c>
      <c r="AO9" s="41">
        <f t="shared" si="4"/>
        <v>-180.9585678039976</v>
      </c>
      <c r="AP9" s="41">
        <f t="shared" si="5"/>
        <v>-123.89941351198686</v>
      </c>
      <c r="AQ9" s="41">
        <f t="shared" si="7"/>
        <v>-28.514033437053001</v>
      </c>
      <c r="AR9" s="41">
        <f t="shared" si="7"/>
        <v>-21.440275396232039</v>
      </c>
      <c r="AS9" s="41">
        <f t="shared" si="7"/>
        <v>95.108571664290992</v>
      </c>
      <c r="AT9" s="41">
        <f t="shared" si="8"/>
        <v>-173.8537223452719</v>
      </c>
    </row>
    <row r="10" spans="1:46" x14ac:dyDescent="0.2">
      <c r="B10" s="133" t="s">
        <v>779</v>
      </c>
      <c r="C10" s="234">
        <f>SUMIF('1. Väestöennuste'!$AA$15:$AA$307,'1. Väestöennuste'!$U7,'Toim ja inv rahavirta'!G$15:G$307)/1000</f>
        <v>-47.655000000000001</v>
      </c>
      <c r="D10" s="234">
        <f>SUMIF('1. Väestöennuste'!$AA$15:$AA$307,'1. Väestöennuste'!$U7,'Toim ja inv rahavirta'!H$15:H$307)/1000</f>
        <v>79.390133956147807</v>
      </c>
      <c r="E10" s="234">
        <f>SUMIF('1. Väestöennuste'!$AA$15:$AA$307,'1. Väestöennuste'!$U7,'Toim ja inv rahavirta'!I$15:I$307)/1000</f>
        <v>48.660943491232871</v>
      </c>
      <c r="F10" s="234">
        <f>SUMIF('1. Väestöennuste'!$AA$15:$AA$307,'1. Väestöennuste'!$U7,'Toim ja inv rahavirta'!J$15:J$307)/1000</f>
        <v>12.745949786334597</v>
      </c>
      <c r="G10" s="234">
        <f>SUMIF('1. Väestöennuste'!$AA$15:$AA$307,'1. Väestöennuste'!$U7,'Toim ja inv rahavirta'!K$15:K$307)/1000</f>
        <v>47.565959382425021</v>
      </c>
      <c r="H10" s="234">
        <f>SUMIF('1. Väestöennuste'!$AA$15:$AA$307,'1. Väestöennuste'!$U7,'Toim ja inv rahavirta'!L$15:L$307)/1000</f>
        <v>-33.015090407045207</v>
      </c>
      <c r="I10" s="234">
        <f>SUMIF('1. Väestöennuste'!$AA$15:$AA$307,'1. Väestöennuste'!$U7,'Toim ja inv rahavirta'!M$15:M$307)/1000</f>
        <v>-93.835748339546058</v>
      </c>
      <c r="J10" s="234">
        <f>SUMIF('1. Väestöennuste'!$AA$15:$AA$307,'1. Väestöennuste'!$U7,'Toim ja inv rahavirta'!N$15:N$307)/1000</f>
        <v>-112.29994597112359</v>
      </c>
      <c r="K10" s="234">
        <f>SUMIF('1. Väestöennuste'!$AA$15:$AA$307,'1. Väestöennuste'!$U7,'Toim ja inv rahavirta'!O$15:O$307)/1000</f>
        <v>-131.44832402776012</v>
      </c>
      <c r="L10" s="234">
        <f>SUMIF('1. Väestöennuste'!$AA$15:$AA$307,'1. Väestöennuste'!$U7,'Toim ja inv rahavirta'!P$15:P$307)/1000</f>
        <v>-115.69685088568653</v>
      </c>
      <c r="M10" s="136"/>
      <c r="N10" s="41">
        <f>C10/'1. Väestöennuste'!BJ7*1000000</f>
        <v>-161.53196912741214</v>
      </c>
      <c r="O10" s="41">
        <f>D10/'1. Väestöennuste'!BK7*1000000</f>
        <v>273.38953537338426</v>
      </c>
      <c r="P10" s="41">
        <f>E10/'1. Väestöennuste'!BL7*1000000</f>
        <v>169.32672008474128</v>
      </c>
      <c r="Q10" s="41">
        <f>F10/'1. Väestöennuste'!BM7*1000000</f>
        <v>45.099249120142233</v>
      </c>
      <c r="R10" s="41">
        <f>G10/'1. Väestöennuste'!BN7*1000000</f>
        <v>169.99377928746298</v>
      </c>
      <c r="S10" s="41">
        <f>H10/'1. Väestöennuste'!BO7*1000000</f>
        <v>-120.29502682462518</v>
      </c>
      <c r="T10" s="41">
        <f>I10/'1. Väestöennuste'!BP7*1000000</f>
        <v>-346.28037411911515</v>
      </c>
      <c r="U10" s="41">
        <f>J10/'1. Väestöennuste'!BQ7*1000000</f>
        <v>-419.52744663863689</v>
      </c>
      <c r="V10" s="41">
        <f>K10/'1. Väestöennuste'!BR7*1000000</f>
        <v>-496.94090704784276</v>
      </c>
      <c r="W10" s="41">
        <f>L10/'1. Väestöennuste'!BS7*1000000</f>
        <v>-442.53691434243621</v>
      </c>
      <c r="X10" s="165"/>
      <c r="Z10" s="133" t="s">
        <v>779</v>
      </c>
      <c r="AA10" s="41">
        <f t="shared" si="6"/>
        <v>127.04513395614781</v>
      </c>
      <c r="AB10" s="41">
        <f t="shared" si="0"/>
        <v>-30.729190464914936</v>
      </c>
      <c r="AC10" s="41">
        <f t="shared" si="1"/>
        <v>-35.914993704898272</v>
      </c>
      <c r="AD10" s="41">
        <f t="shared" si="2"/>
        <v>34.820009596090422</v>
      </c>
      <c r="AE10" s="41">
        <f t="shared" si="3"/>
        <v>-80.581049789470228</v>
      </c>
      <c r="AF10" s="41">
        <f t="shared" si="3"/>
        <v>-60.820657932500851</v>
      </c>
      <c r="AG10" s="41">
        <f t="shared" si="3"/>
        <v>-18.464197631577534</v>
      </c>
      <c r="AH10" s="41">
        <f t="shared" si="3"/>
        <v>-19.148378056636531</v>
      </c>
      <c r="AI10" s="41">
        <f t="shared" si="3"/>
        <v>15.751473142073593</v>
      </c>
      <c r="AJ10" s="136"/>
      <c r="AK10" s="41">
        <f t="shared" si="4"/>
        <v>434.9215045007964</v>
      </c>
      <c r="AL10" s="41">
        <f t="shared" si="4"/>
        <v>-104.06281528864298</v>
      </c>
      <c r="AM10" s="41">
        <f t="shared" si="4"/>
        <v>-124.22747096459905</v>
      </c>
      <c r="AN10" s="41">
        <f t="shared" si="4"/>
        <v>124.89453016732075</v>
      </c>
      <c r="AO10" s="41">
        <f t="shared" si="4"/>
        <v>-290.2888061120882</v>
      </c>
      <c r="AP10" s="41">
        <f t="shared" si="5"/>
        <v>-225.98534729448997</v>
      </c>
      <c r="AQ10" s="41">
        <f t="shared" si="7"/>
        <v>-73.247072519521737</v>
      </c>
      <c r="AR10" s="41">
        <f t="shared" si="7"/>
        <v>-77.413460409205868</v>
      </c>
      <c r="AS10" s="41">
        <f t="shared" si="7"/>
        <v>54.403992705406552</v>
      </c>
      <c r="AT10" s="41">
        <f t="shared" si="8"/>
        <v>-376.64588022321755</v>
      </c>
    </row>
    <row r="11" spans="1:46" x14ac:dyDescent="0.2">
      <c r="A11" s="1"/>
      <c r="B11" s="193" t="s">
        <v>780</v>
      </c>
      <c r="C11" s="235">
        <f>SUMIF('1. Väestöennuste'!$AA$15:$AA$307,'1. Väestöennuste'!$U8,'Toim ja inv rahavirta'!G$15:G$307)/1000</f>
        <v>-6.8339999999999996</v>
      </c>
      <c r="D11" s="235">
        <f>SUMIF('1. Väestöennuste'!$AA$15:$AA$307,'1. Väestöennuste'!$U8,'Toim ja inv rahavirta'!H$15:H$307)/1000</f>
        <v>2.1870604506676492</v>
      </c>
      <c r="E11" s="235">
        <f>SUMIF('1. Väestöennuste'!$AA$15:$AA$307,'1. Väestöennuste'!$U8,'Toim ja inv rahavirta'!I$15:I$307)/1000</f>
        <v>9.3144225541931966</v>
      </c>
      <c r="F11" s="235">
        <f>SUMIF('1. Väestöennuste'!$AA$15:$AA$307,'1. Väestöennuste'!$U8,'Toim ja inv rahavirta'!J$15:J$307)/1000</f>
        <v>2.4879884869036495</v>
      </c>
      <c r="G11" s="235">
        <f>SUMIF('1. Väestöennuste'!$AA$15:$AA$307,'1. Väestöennuste'!$U8,'Toim ja inv rahavirta'!K$15:K$307)/1000</f>
        <v>1.9378224309033996</v>
      </c>
      <c r="H11" s="235">
        <f>SUMIF('1. Väestöennuste'!$AA$15:$AA$307,'1. Väestöennuste'!$U8,'Toim ja inv rahavirta'!L$15:L$307)/1000</f>
        <v>-9.8955184246585937</v>
      </c>
      <c r="I11" s="235">
        <f>SUMIF('1. Väestöennuste'!$AA$15:$AA$307,'1. Väestöennuste'!$U8,'Toim ja inv rahavirta'!M$15:M$307)/1000</f>
        <v>-22.199622593098635</v>
      </c>
      <c r="J11" s="235">
        <f>SUMIF('1. Väestöennuste'!$AA$15:$AA$307,'1. Väestöennuste'!$U8,'Toim ja inv rahavirta'!N$15:N$307)/1000</f>
        <v>-26.085397644197183</v>
      </c>
      <c r="K11" s="235">
        <f>SUMIF('1. Väestöennuste'!$AA$15:$AA$307,'1. Väestöennuste'!$U8,'Toim ja inv rahavirta'!O$15:O$307)/1000</f>
        <v>-28.924455823392314</v>
      </c>
      <c r="L11" s="235">
        <f>SUMIF('1. Väestöennuste'!$AA$15:$AA$307,'1. Väestöennuste'!$U8,'Toim ja inv rahavirta'!P$15:P$307)/1000</f>
        <v>-26.270683278616183</v>
      </c>
      <c r="M11" s="194"/>
      <c r="N11" s="226">
        <f>C11/'1. Väestöennuste'!BJ8*1000000</f>
        <v>-147.3543490448057</v>
      </c>
      <c r="O11" s="226">
        <f>D11/'1. Väestöennuste'!BK8*1000000</f>
        <v>42.122037877347736</v>
      </c>
      <c r="P11" s="226">
        <f>E11/'1. Väestöennuste'!BL8*1000000</f>
        <v>181.31674591098474</v>
      </c>
      <c r="Q11" s="226">
        <f>F11/'1. Väestöennuste'!BM8*1000000</f>
        <v>49.157103647356401</v>
      </c>
      <c r="R11" s="226">
        <f>G11/'1. Väestöennuste'!BN8*1000000</f>
        <v>38.970004241310377</v>
      </c>
      <c r="S11" s="226">
        <f>H11/'1. Väestöennuste'!BO8*1000000</f>
        <v>-199.91350178101766</v>
      </c>
      <c r="T11" s="226">
        <f>I11/'1. Väestöennuste'!BP8*1000000</f>
        <v>-467.64598582500128</v>
      </c>
      <c r="U11" s="226">
        <f>J11/'1. Väestöennuste'!BQ8*1000000</f>
        <v>-554.8077853584274</v>
      </c>
      <c r="V11" s="226">
        <f>K11/'1. Väestöennuste'!BR8*1000000</f>
        <v>-620.97631600919544</v>
      </c>
      <c r="W11" s="226">
        <f>L11/'1. Väestöennuste'!BS8*1000000</f>
        <v>-569.19624038254938</v>
      </c>
      <c r="X11" s="159"/>
      <c r="Y11" s="198"/>
      <c r="Z11" s="193" t="s">
        <v>780</v>
      </c>
      <c r="AA11" s="226">
        <f t="shared" si="6"/>
        <v>9.0210604506676493</v>
      </c>
      <c r="AB11" s="226">
        <f t="shared" si="0"/>
        <v>7.127362103525547</v>
      </c>
      <c r="AC11" s="226">
        <f t="shared" si="1"/>
        <v>-6.8264340672895472</v>
      </c>
      <c r="AD11" s="226">
        <f>G11-F11</f>
        <v>-0.55016605600024993</v>
      </c>
      <c r="AE11" s="226">
        <f t="shared" si="3"/>
        <v>-11.833340855561993</v>
      </c>
      <c r="AF11" s="226">
        <f t="shared" si="3"/>
        <v>-12.304104168440041</v>
      </c>
      <c r="AG11" s="226">
        <f t="shared" si="3"/>
        <v>-3.8857750510985483</v>
      </c>
      <c r="AH11" s="226">
        <f t="shared" si="3"/>
        <v>-2.8390581791951313</v>
      </c>
      <c r="AI11" s="226">
        <f t="shared" si="3"/>
        <v>2.6537725447761318</v>
      </c>
      <c r="AJ11" s="194"/>
      <c r="AK11" s="226">
        <f t="shared" si="4"/>
        <v>189.47638692215344</v>
      </c>
      <c r="AL11" s="226">
        <f t="shared" si="4"/>
        <v>139.194708033637</v>
      </c>
      <c r="AM11" s="226">
        <f t="shared" si="4"/>
        <v>-132.15964226362834</v>
      </c>
      <c r="AN11" s="226">
        <f t="shared" si="4"/>
        <v>-10.187099406046023</v>
      </c>
      <c r="AO11" s="226">
        <f t="shared" si="4"/>
        <v>-238.88350602232805</v>
      </c>
      <c r="AP11" s="226">
        <f t="shared" si="5"/>
        <v>-267.73248404398362</v>
      </c>
      <c r="AQ11" s="226">
        <f t="shared" si="7"/>
        <v>-87.16179953342612</v>
      </c>
      <c r="AR11" s="226">
        <f t="shared" si="7"/>
        <v>-66.168530650768048</v>
      </c>
      <c r="AS11" s="226">
        <f t="shared" si="7"/>
        <v>51.780075626646067</v>
      </c>
      <c r="AT11" s="41">
        <f t="shared" si="8"/>
        <v>-421.06281422817779</v>
      </c>
    </row>
    <row r="12" spans="1:46" x14ac:dyDescent="0.2">
      <c r="A12" s="3"/>
      <c r="B12" s="3" t="s">
        <v>694</v>
      </c>
      <c r="C12" s="192">
        <f t="shared" ref="C12:I12" si="9">SUM(C5:C11)</f>
        <v>-1430.1590000000001</v>
      </c>
      <c r="D12" s="192">
        <f t="shared" si="9"/>
        <v>349.45644077116668</v>
      </c>
      <c r="E12" s="192">
        <f t="shared" si="9"/>
        <v>608.16708787610025</v>
      </c>
      <c r="F12" s="192">
        <f t="shared" si="9"/>
        <v>645.52345101102219</v>
      </c>
      <c r="G12" s="192">
        <f t="shared" si="9"/>
        <v>278.31369029614524</v>
      </c>
      <c r="H12" s="192">
        <f t="shared" si="9"/>
        <v>-916.84883258760613</v>
      </c>
      <c r="I12" s="192">
        <f t="shared" si="9"/>
        <v>-1856.6343143919255</v>
      </c>
      <c r="J12" s="192">
        <f>SUM(J5:J11)</f>
        <v>-1914.950581283885</v>
      </c>
      <c r="K12" s="192">
        <f t="shared" ref="K12:L12" si="10">SUM(K5:K11)</f>
        <v>-2031.0113439226061</v>
      </c>
      <c r="L12" s="192">
        <f t="shared" si="10"/>
        <v>-1819.5136303175018</v>
      </c>
      <c r="M12" s="196"/>
      <c r="N12" s="41">
        <f>C12/'1. Väestöennuste'!BJ9*1000000</f>
        <v>-260.24619100165086</v>
      </c>
      <c r="O12" s="41">
        <f>D12/'1. Väestöennuste'!BK9*1000000</f>
        <v>63.495235314359064</v>
      </c>
      <c r="P12" s="41">
        <f>E12/'1. Väestöennuste'!BL9*1000000</f>
        <v>110.21718743138922</v>
      </c>
      <c r="Q12" s="41">
        <f>F12/'1. Väestöennuste'!BM9*1000000</f>
        <v>116.65501080777493</v>
      </c>
      <c r="R12" s="41">
        <f>G12/'1. Väestöennuste'!BN9*1000000</f>
        <v>49.936875985033176</v>
      </c>
      <c r="S12" s="41">
        <f>H12/'1. Väestöennuste'!BO9*1000000</f>
        <v>-165.53938674022248</v>
      </c>
      <c r="T12" s="41">
        <f>I12/'1. Väestöennuste'!BP9*1000000</f>
        <v>-334.83681549705744</v>
      </c>
      <c r="U12" s="41">
        <f>J12/'1. Väestöennuste'!BQ9*1000000</f>
        <v>-344.99958946401443</v>
      </c>
      <c r="V12" s="41">
        <f>K12/'1. Väestöennuste'!BR9*1000000</f>
        <v>-365.57273442425065</v>
      </c>
      <c r="W12" s="41">
        <f>L12/'1. Väestöennuste'!BS9*1000000</f>
        <v>-327.24876948864716</v>
      </c>
      <c r="X12" s="165"/>
      <c r="Y12" s="106"/>
      <c r="Z12" s="3" t="s">
        <v>694</v>
      </c>
      <c r="AA12" s="192">
        <f t="shared" si="6"/>
        <v>1779.6154407711667</v>
      </c>
      <c r="AB12" s="192">
        <f t="shared" si="0"/>
        <v>258.71064710493357</v>
      </c>
      <c r="AC12" s="192">
        <f t="shared" si="1"/>
        <v>37.356363134921935</v>
      </c>
      <c r="AD12" s="192">
        <f t="shared" si="2"/>
        <v>-367.20976071487695</v>
      </c>
      <c r="AE12" s="192">
        <f t="shared" si="3"/>
        <v>-1195.1625228837513</v>
      </c>
      <c r="AF12" s="192">
        <f t="shared" si="3"/>
        <v>-939.78548180431937</v>
      </c>
      <c r="AG12" s="192">
        <f t="shared" si="3"/>
        <v>-58.316266891959458</v>
      </c>
      <c r="AH12" s="192">
        <f t="shared" si="3"/>
        <v>-116.06076263872114</v>
      </c>
      <c r="AI12" s="192">
        <f t="shared" si="3"/>
        <v>211.49771360510431</v>
      </c>
      <c r="AJ12" s="196"/>
      <c r="AK12" s="192">
        <f t="shared" si="4"/>
        <v>323.74142631600989</v>
      </c>
      <c r="AL12" s="192">
        <f t="shared" si="4"/>
        <v>46.721952117030156</v>
      </c>
      <c r="AM12" s="192">
        <f t="shared" si="4"/>
        <v>6.4378233763857082</v>
      </c>
      <c r="AN12" s="192">
        <f t="shared" si="4"/>
        <v>-66.718134822741746</v>
      </c>
      <c r="AO12" s="192">
        <f>S12-R12</f>
        <v>-215.47626272525565</v>
      </c>
      <c r="AP12" s="41">
        <f>T12-S12</f>
        <v>-169.29742875683496</v>
      </c>
      <c r="AQ12" s="41">
        <f>U12-T12</f>
        <v>-10.162773966956991</v>
      </c>
      <c r="AR12" s="41">
        <f>V12-U12</f>
        <v>-20.57314496023622</v>
      </c>
      <c r="AS12" s="41">
        <f>W12-V12</f>
        <v>38.323964935603499</v>
      </c>
      <c r="AT12" s="417">
        <f t="shared" si="8"/>
        <v>-200.03334768402817</v>
      </c>
    </row>
    <row r="13" spans="1:46" x14ac:dyDescent="0.2">
      <c r="T13" s="4"/>
      <c r="U13" s="4"/>
      <c r="V13" s="4"/>
      <c r="W13" s="4"/>
      <c r="AJ13" s="98"/>
    </row>
    <row r="15" spans="1:46" x14ac:dyDescent="0.2">
      <c r="AJ15" s="98"/>
      <c r="AT15" s="4" t="s">
        <v>814</v>
      </c>
    </row>
    <row r="16" spans="1:46" x14ac:dyDescent="0.2">
      <c r="B16" s="189" t="s">
        <v>766</v>
      </c>
      <c r="C16" s="132">
        <v>2019</v>
      </c>
      <c r="D16" s="132">
        <v>2020</v>
      </c>
      <c r="E16" s="132">
        <v>2021</v>
      </c>
      <c r="F16" s="132">
        <v>2022</v>
      </c>
      <c r="G16" s="132">
        <v>2023</v>
      </c>
      <c r="H16" s="132">
        <v>2024</v>
      </c>
      <c r="I16" s="132">
        <v>2025</v>
      </c>
      <c r="J16" s="132">
        <v>2026</v>
      </c>
      <c r="K16" s="132">
        <v>2027</v>
      </c>
      <c r="L16" s="132">
        <v>2028</v>
      </c>
      <c r="M16" s="136" t="s">
        <v>319</v>
      </c>
      <c r="N16" s="132">
        <v>2019</v>
      </c>
      <c r="O16" s="132">
        <v>2020</v>
      </c>
      <c r="P16" s="132">
        <v>2021</v>
      </c>
      <c r="Q16" s="132">
        <v>2022</v>
      </c>
      <c r="R16" s="132">
        <v>2023</v>
      </c>
      <c r="S16" s="132">
        <v>2024</v>
      </c>
      <c r="T16" s="132">
        <v>2025</v>
      </c>
      <c r="U16" s="132">
        <v>2026</v>
      </c>
      <c r="V16" s="132">
        <v>2027</v>
      </c>
      <c r="W16" s="132">
        <v>2028</v>
      </c>
      <c r="X16" s="197"/>
      <c r="Z16" s="189" t="s">
        <v>772</v>
      </c>
      <c r="AA16" s="132">
        <v>2020</v>
      </c>
      <c r="AB16" s="132">
        <v>2021</v>
      </c>
      <c r="AC16" s="132">
        <v>2022</v>
      </c>
      <c r="AD16" s="132">
        <v>2023</v>
      </c>
      <c r="AE16" s="132">
        <v>2024</v>
      </c>
      <c r="AF16" s="132">
        <v>2025</v>
      </c>
      <c r="AG16" s="132">
        <v>2026</v>
      </c>
      <c r="AH16" s="132">
        <v>2027</v>
      </c>
      <c r="AI16" s="132">
        <v>2028</v>
      </c>
      <c r="AJ16" s="136" t="s">
        <v>319</v>
      </c>
      <c r="AK16" s="132">
        <v>2020</v>
      </c>
      <c r="AL16" s="132">
        <v>2021</v>
      </c>
      <c r="AM16" s="132">
        <v>2022</v>
      </c>
      <c r="AN16" s="132">
        <v>2023</v>
      </c>
      <c r="AO16" s="132">
        <v>2024</v>
      </c>
      <c r="AP16" s="132">
        <v>2025</v>
      </c>
      <c r="AQ16" s="132">
        <v>2026</v>
      </c>
      <c r="AR16" s="132">
        <v>2027</v>
      </c>
      <c r="AS16" s="132">
        <v>2028</v>
      </c>
      <c r="AT16" s="151" t="s">
        <v>754</v>
      </c>
    </row>
    <row r="17" spans="2:56" x14ac:dyDescent="0.2">
      <c r="B17" s="133" t="s">
        <v>774</v>
      </c>
      <c r="C17" s="234">
        <f>SUMIF('1. Väestöennuste'!$AA$15:$AA$307,'1. Väestöennuste'!$U2,'Tilikauden tulos'!G$15:G$307)/1000</f>
        <v>100.693</v>
      </c>
      <c r="D17" s="234">
        <f>SUMIF('1. Väestöennuste'!$AA$15:$AA$307,'1. Väestöennuste'!$U2,'Tilikauden tulos'!H$15:H$307)/1000</f>
        <v>812.23306842897341</v>
      </c>
      <c r="E17" s="234">
        <f>SUMIF('1. Väestöennuste'!$AA$15:$AA$307,'1. Väestöennuste'!$U2,'Tilikauden tulos'!I$15:I$307)/1000</f>
        <v>736.17190748477708</v>
      </c>
      <c r="F17" s="234">
        <f>SUMIF('1. Väestöennuste'!$AA$15:$AA$307,'1. Väestöennuste'!$U2,'Tilikauden tulos'!J$15:J$307)/1000</f>
        <v>687.15020750175461</v>
      </c>
      <c r="G17" s="234">
        <f>SUMIF('1. Väestöennuste'!$AA$15:$AA$307,'1. Väestöennuste'!$U2,'Tilikauden tulos'!K$15:K$307)/1000</f>
        <v>900.61132442247572</v>
      </c>
      <c r="H17" s="234">
        <f>SUMIF('1. Väestöennuste'!$AA$15:$AA$307,'1. Väestöennuste'!$U2,'Tilikauden tulos'!L$15:L$307)/1000</f>
        <v>255.4995131373513</v>
      </c>
      <c r="I17" s="234">
        <f>SUMIF('1. Väestöennuste'!$AA$15:$AA$307,'1. Väestöennuste'!$U2,'Tilikauden tulos'!M$15:M$307)/1000</f>
        <v>-13.347695532021856</v>
      </c>
      <c r="J17" s="234">
        <f>SUMIF('1. Väestöennuste'!$AA$15:$AA$307,'1. Väestöennuste'!$U2,'Tilikauden tulos'!N$15:N$307)/1000</f>
        <v>1.0133491222758311</v>
      </c>
      <c r="K17" s="234">
        <f>SUMIF('1. Väestöennuste'!$AA$15:$AA$307,'1. Väestöennuste'!$U2,'Tilikauden tulos'!O$15:O$307)/1000</f>
        <v>2.2621916572641059</v>
      </c>
      <c r="L17" s="234">
        <f>SUMIF('1. Väestöennuste'!$AA$15:$AA$307,'1. Väestöennuste'!$U2,'Tilikauden tulos'!P$15:P$307)/1000</f>
        <v>65.339936540507992</v>
      </c>
      <c r="M17" s="136"/>
      <c r="N17" s="41">
        <f>C17/'1. Väestöennuste'!BJ2*1000000</f>
        <v>45.864672955771447</v>
      </c>
      <c r="O17" s="41">
        <f>D17/'1. Väestöennuste'!BK2*1000000</f>
        <v>366.98028834429743</v>
      </c>
      <c r="P17" s="41">
        <f>E17/'1. Väestöennuste'!BL2*1000000</f>
        <v>330.15909301216283</v>
      </c>
      <c r="Q17" s="41">
        <f>F17/'1. Väestöennuste'!BM2*1000000</f>
        <v>304.11147055178401</v>
      </c>
      <c r="R17" s="41">
        <f>G17/'1. Väestöennuste'!BN2*1000000</f>
        <v>391.57473780017233</v>
      </c>
      <c r="S17" s="41">
        <f>H17/'1. Väestöennuste'!BO2*1000000</f>
        <v>111.06728392257848</v>
      </c>
      <c r="T17" s="41">
        <f>I17/'1. Väestöennuste'!BP2*1000000</f>
        <v>-5.7554108184278485</v>
      </c>
      <c r="U17" s="41">
        <f>J17/'1. Väestöennuste'!BQ2*1000000</f>
        <v>0.43360274289790357</v>
      </c>
      <c r="V17" s="41">
        <f>K17/'1. Väestöennuste'!BR2*1000000</f>
        <v>0.96094348723442746</v>
      </c>
      <c r="W17" s="41">
        <f>L17/'1. Väestöennuste'!BS2*1000000</f>
        <v>27.564231826850556</v>
      </c>
      <c r="X17" s="165"/>
      <c r="Z17" s="133" t="s">
        <v>774</v>
      </c>
      <c r="AA17" s="41">
        <f>D17-C17</f>
        <v>711.54006842897343</v>
      </c>
      <c r="AB17" s="41">
        <f t="shared" ref="AB17:AB24" si="11">E17-D17</f>
        <v>-76.061160944196331</v>
      </c>
      <c r="AC17" s="41">
        <f t="shared" ref="AC17:AC24" si="12">F17-E17</f>
        <v>-49.021699983022472</v>
      </c>
      <c r="AD17" s="41">
        <f t="shared" ref="AD17:AD22" si="13">G17-F17</f>
        <v>213.46111692072111</v>
      </c>
      <c r="AE17" s="41">
        <f t="shared" ref="AE17:AE24" si="14">H17-G17</f>
        <v>-645.11181128512442</v>
      </c>
      <c r="AF17" s="41">
        <f>I17-H17</f>
        <v>-268.84720866937317</v>
      </c>
      <c r="AG17" s="41">
        <f>J17-I17</f>
        <v>14.361044654297686</v>
      </c>
      <c r="AH17" s="41">
        <f>K17-J17</f>
        <v>1.2488425349882748</v>
      </c>
      <c r="AI17" s="41">
        <f>L17-K17</f>
        <v>63.077744883243888</v>
      </c>
      <c r="AJ17" s="136"/>
      <c r="AK17" s="41">
        <f t="shared" ref="AK17:AK24" si="15">O17-N17</f>
        <v>321.11561538852601</v>
      </c>
      <c r="AL17" s="41">
        <f t="shared" ref="AL17:AL24" si="16">P17-O17</f>
        <v>-36.821195332134607</v>
      </c>
      <c r="AM17" s="41">
        <f t="shared" ref="AM17:AM24" si="17">Q17-P17</f>
        <v>-26.047622460378818</v>
      </c>
      <c r="AN17" s="41">
        <f t="shared" ref="AN17:AN24" si="18">R17-Q17</f>
        <v>87.46326724838832</v>
      </c>
      <c r="AO17" s="41">
        <f t="shared" ref="AO17:AO24" si="19">S17-R17</f>
        <v>-280.50745387759383</v>
      </c>
      <c r="AP17" s="41">
        <f t="shared" ref="AP17:AP24" si="20">T17-S17</f>
        <v>-116.82269474100633</v>
      </c>
      <c r="AQ17" s="41">
        <f t="shared" ref="AQ17:AS24" si="21">U17-T17</f>
        <v>6.1890135613257522</v>
      </c>
      <c r="AR17" s="41">
        <f t="shared" si="21"/>
        <v>0.52734074433652389</v>
      </c>
      <c r="AS17" s="41">
        <f t="shared" si="21"/>
        <v>26.603288339616128</v>
      </c>
      <c r="AT17" s="41">
        <f>V17-S17</f>
        <v>-110.10634043534405</v>
      </c>
    </row>
    <row r="18" spans="2:56" x14ac:dyDescent="0.2">
      <c r="B18" s="134" t="s">
        <v>775</v>
      </c>
      <c r="C18" s="234">
        <f>SUMIF('1. Väestöennuste'!$AA$15:$AA$307,'1. Väestöennuste'!$U3,'Tilikauden tulos'!G$15:G$307)/1000</f>
        <v>-261.35300000000001</v>
      </c>
      <c r="D18" s="234">
        <f>SUMIF('1. Väestöennuste'!$AA$15:$AA$307,'1. Väestöennuste'!$U3,'Tilikauden tulos'!H$15:H$307)/1000</f>
        <v>245.27617996359663</v>
      </c>
      <c r="E18" s="234">
        <f>SUMIF('1. Väestöennuste'!$AA$15:$AA$307,'1. Väestöennuste'!$U3,'Tilikauden tulos'!I$15:I$307)/1000</f>
        <v>186.22450868021033</v>
      </c>
      <c r="F18" s="234">
        <f>SUMIF('1. Väestöennuste'!$AA$15:$AA$307,'1. Väestöennuste'!$U3,'Tilikauden tulos'!J$15:J$307)/1000</f>
        <v>120.79589403478722</v>
      </c>
      <c r="G18" s="234">
        <f>SUMIF('1. Väestöennuste'!$AA$15:$AA$307,'1. Väestöennuste'!$U3,'Tilikauden tulos'!K$15:K$307)/1000</f>
        <v>324.7730616760428</v>
      </c>
      <c r="H18" s="234">
        <f>SUMIF('1. Väestöennuste'!$AA$15:$AA$307,'1. Väestöennuste'!$U3,'Tilikauden tulos'!L$15:L$307)/1000</f>
        <v>7.9252105175383036</v>
      </c>
      <c r="I18" s="234">
        <f>SUMIF('1. Väestöennuste'!$AA$15:$AA$307,'1. Väestöennuste'!$U3,'Tilikauden tulos'!M$15:M$307)/1000</f>
        <v>-118.35457383177904</v>
      </c>
      <c r="J18" s="234">
        <f>SUMIF('1. Väestöennuste'!$AA$15:$AA$307,'1. Väestöennuste'!$U3,'Tilikauden tulos'!N$15:N$307)/1000</f>
        <v>-97.10489354236924</v>
      </c>
      <c r="K18" s="234">
        <f>SUMIF('1. Väestöennuste'!$AA$15:$AA$307,'1. Väestöennuste'!$U3,'Tilikauden tulos'!O$15:O$307)/1000</f>
        <v>-88.625661850792753</v>
      </c>
      <c r="L18" s="234">
        <f>SUMIF('1. Väestöennuste'!$AA$15:$AA$307,'1. Väestöennuste'!$U3,'Tilikauden tulos'!P$15:P$307)/1000</f>
        <v>-16.598537617509106</v>
      </c>
      <c r="M18" s="136"/>
      <c r="N18" s="41">
        <f>C18/'1. Väestöennuste'!BJ3*1000000</f>
        <v>-258.27539044742844</v>
      </c>
      <c r="O18" s="41">
        <f>D18/'1. Väestöennuste'!BK3*1000000</f>
        <v>233.06563811700843</v>
      </c>
      <c r="P18" s="41">
        <f>E18/'1. Väestöennuste'!BL3*1000000</f>
        <v>176.54825208019878</v>
      </c>
      <c r="Q18" s="41">
        <f>F18/'1. Väestöennuste'!BM3*1000000</f>
        <v>114.51237120218114</v>
      </c>
      <c r="R18" s="41">
        <f>G18/'1. Väestöennuste'!BN3*1000000</f>
        <v>306.43738098481629</v>
      </c>
      <c r="S18" s="41">
        <f>H18/'1. Väestöennuste'!BO3*1000000</f>
        <v>7.5280315718096276</v>
      </c>
      <c r="T18" s="41">
        <f>I18/'1. Väestöennuste'!BP3*1000000</f>
        <v>-112.45891520229854</v>
      </c>
      <c r="U18" s="41">
        <f>J18/'1. Väestöennuste'!BQ3*1000000</f>
        <v>-92.304856399863525</v>
      </c>
      <c r="V18" s="41">
        <f>K18/'1. Väestöennuste'!BR3*1000000</f>
        <v>-84.283622471907492</v>
      </c>
      <c r="W18" s="41">
        <f>L18/'1. Väestöennuste'!BS3*1000000</f>
        <v>-15.794081852437074</v>
      </c>
      <c r="X18" s="165"/>
      <c r="Z18" s="134" t="s">
        <v>775</v>
      </c>
      <c r="AA18" s="41">
        <f t="shared" ref="AA18:AA24" si="22">D18-C18</f>
        <v>506.62917996359664</v>
      </c>
      <c r="AB18" s="41">
        <f t="shared" si="11"/>
        <v>-59.051671283386298</v>
      </c>
      <c r="AC18" s="41">
        <f t="shared" si="12"/>
        <v>-65.42861464542311</v>
      </c>
      <c r="AD18" s="41">
        <f t="shared" si="13"/>
        <v>203.97716764125556</v>
      </c>
      <c r="AE18" s="41">
        <f t="shared" si="14"/>
        <v>-316.84785115850451</v>
      </c>
      <c r="AF18" s="41">
        <f t="shared" ref="AF18:AF24" si="23">I18-H18</f>
        <v>-126.27978434931734</v>
      </c>
      <c r="AG18" s="41">
        <f t="shared" ref="AG18:AI24" si="24">J18-I18</f>
        <v>21.249680289409795</v>
      </c>
      <c r="AH18" s="41">
        <f t="shared" si="24"/>
        <v>8.4792316915764872</v>
      </c>
      <c r="AI18" s="41">
        <f t="shared" si="24"/>
        <v>72.027124233283644</v>
      </c>
      <c r="AJ18" s="136"/>
      <c r="AK18" s="41">
        <f t="shared" si="15"/>
        <v>491.3410285644369</v>
      </c>
      <c r="AL18" s="41">
        <f t="shared" si="16"/>
        <v>-56.517386036809654</v>
      </c>
      <c r="AM18" s="41">
        <f t="shared" si="17"/>
        <v>-62.035880878017636</v>
      </c>
      <c r="AN18" s="41">
        <f t="shared" si="18"/>
        <v>191.92500978263513</v>
      </c>
      <c r="AO18" s="41">
        <f t="shared" si="19"/>
        <v>-298.90934941300668</v>
      </c>
      <c r="AP18" s="41">
        <f t="shared" si="20"/>
        <v>-119.98694677410816</v>
      </c>
      <c r="AQ18" s="41">
        <f t="shared" si="21"/>
        <v>20.154058802435017</v>
      </c>
      <c r="AR18" s="41">
        <f t="shared" si="21"/>
        <v>8.0212339279560325</v>
      </c>
      <c r="AS18" s="41">
        <f t="shared" si="21"/>
        <v>68.489540619470418</v>
      </c>
      <c r="AT18" s="41">
        <f t="shared" ref="AT18:AT24" si="25">V18-S18</f>
        <v>-91.811654043717112</v>
      </c>
    </row>
    <row r="19" spans="2:56" x14ac:dyDescent="0.2">
      <c r="B19" s="133" t="s">
        <v>776</v>
      </c>
      <c r="C19" s="234">
        <f>SUMIF('1. Väestöennuste'!$AA$15:$AA$307,'1. Väestöennuste'!$U4,'Tilikauden tulos'!G$15:G$307)/1000</f>
        <v>-143.34700000000001</v>
      </c>
      <c r="D19" s="234">
        <f>SUMIF('1. Väestöennuste'!$AA$15:$AA$307,'1. Väestöennuste'!$U4,'Tilikauden tulos'!H$15:H$307)/1000</f>
        <v>205.63018777280968</v>
      </c>
      <c r="E19" s="234">
        <f>SUMIF('1. Väestöennuste'!$AA$15:$AA$307,'1. Väestöennuste'!$U4,'Tilikauden tulos'!I$15:I$307)/1000</f>
        <v>117.99714971218462</v>
      </c>
      <c r="F19" s="234">
        <f>SUMIF('1. Väestöennuste'!$AA$15:$AA$307,'1. Väestöennuste'!$U4,'Tilikauden tulos'!J$15:J$307)/1000</f>
        <v>73.542888630344123</v>
      </c>
      <c r="G19" s="234">
        <f>SUMIF('1. Väestöennuste'!$AA$15:$AA$307,'1. Väestöennuste'!$U4,'Tilikauden tulos'!K$15:K$307)/1000</f>
        <v>223.64357202639098</v>
      </c>
      <c r="H19" s="234">
        <f>SUMIF('1. Väestöennuste'!$AA$15:$AA$307,'1. Väestöennuste'!$U4,'Tilikauden tulos'!L$15:L$307)/1000</f>
        <v>-1.2185355204354873</v>
      </c>
      <c r="I19" s="234">
        <f>SUMIF('1. Väestöennuste'!$AA$15:$AA$307,'1. Väestöennuste'!$U4,'Tilikauden tulos'!M$15:M$307)/1000</f>
        <v>-66.550849410248489</v>
      </c>
      <c r="J19" s="234">
        <f>SUMIF('1. Väestöennuste'!$AA$15:$AA$307,'1. Väestöennuste'!$U4,'Tilikauden tulos'!N$15:N$307)/1000</f>
        <v>-90.642422743722733</v>
      </c>
      <c r="K19" s="234">
        <f>SUMIF('1. Väestöennuste'!$AA$15:$AA$307,'1. Väestöennuste'!$U4,'Tilikauden tulos'!O$15:O$307)/1000</f>
        <v>-93.127497268035711</v>
      </c>
      <c r="L19" s="234">
        <f>SUMIF('1. Väestöennuste'!$AA$15:$AA$307,'1. Väestöennuste'!$U4,'Tilikauden tulos'!P$15:P$307)/1000</f>
        <v>-48.187111428008677</v>
      </c>
      <c r="M19" s="136"/>
      <c r="N19" s="41">
        <f>C19/'1. Väestöennuste'!BJ4*1000000</f>
        <v>-175.20720350739529</v>
      </c>
      <c r="O19" s="41">
        <f>D19/'1. Väestöennuste'!BK4*1000000</f>
        <v>271.05679199815677</v>
      </c>
      <c r="P19" s="41">
        <f>E19/'1. Väestöennuste'!BL4*1000000</f>
        <v>155.16651177543002</v>
      </c>
      <c r="Q19" s="41">
        <f>F19/'1. Väestöennuste'!BM4*1000000</f>
        <v>96.797908581749326</v>
      </c>
      <c r="R19" s="41">
        <f>G19/'1. Väestöennuste'!BN4*1000000</f>
        <v>293.41848862029781</v>
      </c>
      <c r="S19" s="41">
        <f>H19/'1. Väestöennuste'!BO4*1000000</f>
        <v>-1.6133880431841636</v>
      </c>
      <c r="T19" s="41">
        <f>I19/'1. Väestöennuste'!BP4*1000000</f>
        <v>-88.225697690317162</v>
      </c>
      <c r="U19" s="41">
        <f>J19/'1. Väestöennuste'!BQ4*1000000</f>
        <v>-120.32009645490338</v>
      </c>
      <c r="V19" s="41">
        <f>K19/'1. Väestöennuste'!BR4*1000000</f>
        <v>-123.78922071446327</v>
      </c>
      <c r="W19" s="41">
        <f>L19/'1. Väestöennuste'!BS4*1000000</f>
        <v>-64.14693234150829</v>
      </c>
      <c r="X19" s="165"/>
      <c r="Z19" s="133" t="s">
        <v>776</v>
      </c>
      <c r="AA19" s="41">
        <f t="shared" si="22"/>
        <v>348.97718777280966</v>
      </c>
      <c r="AB19" s="41">
        <f t="shared" si="11"/>
        <v>-87.633038060625054</v>
      </c>
      <c r="AC19" s="41">
        <f t="shared" si="12"/>
        <v>-44.4542610818405</v>
      </c>
      <c r="AD19" s="41">
        <f t="shared" si="13"/>
        <v>150.10068339604686</v>
      </c>
      <c r="AE19" s="41">
        <f t="shared" si="14"/>
        <v>-224.86210754682648</v>
      </c>
      <c r="AF19" s="41">
        <f t="shared" si="23"/>
        <v>-65.332313889813008</v>
      </c>
      <c r="AG19" s="41">
        <f t="shared" si="24"/>
        <v>-24.091573333474244</v>
      </c>
      <c r="AH19" s="41">
        <f t="shared" si="24"/>
        <v>-2.4850745243129779</v>
      </c>
      <c r="AI19" s="41">
        <f t="shared" si="24"/>
        <v>44.940385840027034</v>
      </c>
      <c r="AJ19" s="136"/>
      <c r="AK19" s="41">
        <f t="shared" si="15"/>
        <v>446.26399550555209</v>
      </c>
      <c r="AL19" s="41">
        <f t="shared" si="16"/>
        <v>-115.89028022272674</v>
      </c>
      <c r="AM19" s="41">
        <f t="shared" si="17"/>
        <v>-58.368603193680698</v>
      </c>
      <c r="AN19" s="41">
        <f t="shared" si="18"/>
        <v>196.6205800385485</v>
      </c>
      <c r="AO19" s="41">
        <f t="shared" si="19"/>
        <v>-295.03187666348197</v>
      </c>
      <c r="AP19" s="41">
        <f t="shared" si="20"/>
        <v>-86.612309647133003</v>
      </c>
      <c r="AQ19" s="41">
        <f t="shared" si="21"/>
        <v>-32.094398764586217</v>
      </c>
      <c r="AR19" s="41">
        <f t="shared" si="21"/>
        <v>-3.4691242595598908</v>
      </c>
      <c r="AS19" s="41">
        <f t="shared" si="21"/>
        <v>59.64228837295498</v>
      </c>
      <c r="AT19" s="41">
        <f t="shared" si="25"/>
        <v>-122.17583267127911</v>
      </c>
    </row>
    <row r="20" spans="2:56" x14ac:dyDescent="0.2">
      <c r="B20" s="133" t="s">
        <v>777</v>
      </c>
      <c r="C20" s="234">
        <f>SUMIF('1. Väestöennuste'!$AA$15:$AA$307,'1. Väestöennuste'!$U5,'Tilikauden tulos'!G$15:G$307)/1000</f>
        <v>-77.766999999999996</v>
      </c>
      <c r="D20" s="234">
        <f>SUMIF('1. Väestöennuste'!$AA$15:$AA$307,'1. Väestöennuste'!$U5,'Tilikauden tulos'!H$15:H$307)/1000</f>
        <v>170.22080127279852</v>
      </c>
      <c r="E20" s="234">
        <f>SUMIF('1. Väestöennuste'!$AA$15:$AA$307,'1. Väestöennuste'!$U5,'Tilikauden tulos'!I$15:I$307)/1000</f>
        <v>63.723730412770927</v>
      </c>
      <c r="F20" s="234">
        <f>SUMIF('1. Väestöennuste'!$AA$15:$AA$307,'1. Väestöennuste'!$U5,'Tilikauden tulos'!J$15:J$307)/1000</f>
        <v>25.219452370448728</v>
      </c>
      <c r="G20" s="234">
        <f>SUMIF('1. Väestöennuste'!$AA$15:$AA$307,'1. Väestöennuste'!$U5,'Tilikauden tulos'!K$15:K$307)/1000</f>
        <v>114.78424632717176</v>
      </c>
      <c r="H20" s="234">
        <f>SUMIF('1. Väestöennuste'!$AA$15:$AA$307,'1. Väestöennuste'!$U5,'Tilikauden tulos'!L$15:L$307)/1000</f>
        <v>-22.395805322377047</v>
      </c>
      <c r="I20" s="234">
        <f>SUMIF('1. Väestöennuste'!$AA$15:$AA$307,'1. Väestöennuste'!$U5,'Tilikauden tulos'!M$15:M$307)/1000</f>
        <v>-111.11689715911331</v>
      </c>
      <c r="J20" s="234">
        <f>SUMIF('1. Väestöennuste'!$AA$15:$AA$307,'1. Väestöennuste'!$U5,'Tilikauden tulos'!N$15:N$307)/1000</f>
        <v>-169.63604469592963</v>
      </c>
      <c r="K20" s="234">
        <f>SUMIF('1. Väestöennuste'!$AA$15:$AA$307,'1. Väestöennuste'!$U5,'Tilikauden tulos'!O$15:O$307)/1000</f>
        <v>-171.83878426181533</v>
      </c>
      <c r="L20" s="234">
        <f>SUMIF('1. Väestöennuste'!$AA$15:$AA$307,'1. Väestöennuste'!$U5,'Tilikauden tulos'!P$15:P$307)/1000</f>
        <v>-125.29053912029454</v>
      </c>
      <c r="M20" s="136"/>
      <c r="N20" s="41">
        <f>C20/'1. Väestöennuste'!BJ5*1000000</f>
        <v>-130.52928755820079</v>
      </c>
      <c r="O20" s="41">
        <f>D20/'1. Väestöennuste'!BK5*1000000</f>
        <v>281.98872393794773</v>
      </c>
      <c r="P20" s="41">
        <f>E20/'1. Väestöennuste'!BL5*1000000</f>
        <v>105.63315747531463</v>
      </c>
      <c r="Q20" s="41">
        <f>F20/'1. Väestöennuste'!BM5*1000000</f>
        <v>41.96813941720719</v>
      </c>
      <c r="R20" s="41">
        <f>G20/'1. Väestöennuste'!BN5*1000000</f>
        <v>191.20541966383166</v>
      </c>
      <c r="S20" s="41">
        <f>H20/'1. Väestöennuste'!BO5*1000000</f>
        <v>-37.785435242153916</v>
      </c>
      <c r="T20" s="41">
        <f>I20/'1. Väestöennuste'!BP5*1000000</f>
        <v>-188.32382901765044</v>
      </c>
      <c r="U20" s="41">
        <f>J20/'1. Väestöennuste'!BQ5*1000000</f>
        <v>-288.80217627478322</v>
      </c>
      <c r="V20" s="41">
        <f>K20/'1. Väestöennuste'!BR5*1000000</f>
        <v>-293.87312653156687</v>
      </c>
      <c r="W20" s="41">
        <f>L20/'1. Väestöennuste'!BS5*1000000</f>
        <v>-215.25401912915106</v>
      </c>
      <c r="X20" s="165"/>
      <c r="Z20" s="133" t="s">
        <v>777</v>
      </c>
      <c r="AA20" s="41">
        <f t="shared" si="22"/>
        <v>247.98780127279852</v>
      </c>
      <c r="AB20" s="41">
        <f t="shared" si="11"/>
        <v>-106.49707086002761</v>
      </c>
      <c r="AC20" s="41">
        <f t="shared" si="12"/>
        <v>-38.504278042322198</v>
      </c>
      <c r="AD20" s="41">
        <f t="shared" si="13"/>
        <v>89.564793956723037</v>
      </c>
      <c r="AE20" s="41">
        <f t="shared" si="14"/>
        <v>-137.1800516495488</v>
      </c>
      <c r="AF20" s="41">
        <f t="shared" si="23"/>
        <v>-88.721091836736264</v>
      </c>
      <c r="AG20" s="41">
        <f t="shared" si="24"/>
        <v>-58.51914753681632</v>
      </c>
      <c r="AH20" s="41">
        <f t="shared" si="24"/>
        <v>-2.2027395658857074</v>
      </c>
      <c r="AI20" s="41">
        <f t="shared" si="24"/>
        <v>46.548245141520795</v>
      </c>
      <c r="AJ20" s="136"/>
      <c r="AK20" s="41">
        <f t="shared" si="15"/>
        <v>412.51801149614852</v>
      </c>
      <c r="AL20" s="41">
        <f t="shared" si="16"/>
        <v>-176.35556646263308</v>
      </c>
      <c r="AM20" s="41">
        <f t="shared" si="17"/>
        <v>-63.665018058107442</v>
      </c>
      <c r="AN20" s="41">
        <f t="shared" si="18"/>
        <v>149.23728024662447</v>
      </c>
      <c r="AO20" s="41">
        <f t="shared" si="19"/>
        <v>-228.99085490598557</v>
      </c>
      <c r="AP20" s="41">
        <f t="shared" si="20"/>
        <v>-150.53839377549653</v>
      </c>
      <c r="AQ20" s="41">
        <f t="shared" si="21"/>
        <v>-100.47834725713278</v>
      </c>
      <c r="AR20" s="41">
        <f t="shared" si="21"/>
        <v>-5.0709502567836466</v>
      </c>
      <c r="AS20" s="41">
        <f t="shared" si="21"/>
        <v>78.619107402415807</v>
      </c>
      <c r="AT20" s="41">
        <f t="shared" si="25"/>
        <v>-256.08769128941293</v>
      </c>
    </row>
    <row r="21" spans="2:56" x14ac:dyDescent="0.2">
      <c r="B21" s="133" t="s">
        <v>778</v>
      </c>
      <c r="C21" s="234">
        <f>SUMIF('1. Väestöennuste'!$AA$15:$AA$307,'1. Väestöennuste'!$U6,'Tilikauden tulos'!G$15:G$307)/1000</f>
        <v>-110.529</v>
      </c>
      <c r="D21" s="234">
        <f>SUMIF('1. Väestöennuste'!$AA$15:$AA$307,'1. Väestöennuste'!$U6,'Tilikauden tulos'!H$15:H$307)/1000</f>
        <v>189.91600892617274</v>
      </c>
      <c r="E21" s="234">
        <f>SUMIF('1. Väestöennuste'!$AA$15:$AA$307,'1. Väestöennuste'!$U6,'Tilikauden tulos'!I$15:I$307)/1000</f>
        <v>101.07692980073142</v>
      </c>
      <c r="F21" s="234">
        <f>SUMIF('1. Väestöennuste'!$AA$15:$AA$307,'1. Väestöennuste'!$U6,'Tilikauden tulos'!J$15:J$307)/1000</f>
        <v>119.41091562044915</v>
      </c>
      <c r="G21" s="234">
        <f>SUMIF('1. Väestöennuste'!$AA$15:$AA$307,'1. Väestöennuste'!$U6,'Tilikauden tulos'!K$15:K$307)/1000</f>
        <v>120.84277365073555</v>
      </c>
      <c r="H21" s="234">
        <f>SUMIF('1. Väestöennuste'!$AA$15:$AA$307,'1. Väestöennuste'!$U6,'Tilikauden tulos'!L$15:L$307)/1000</f>
        <v>14.248904609687159</v>
      </c>
      <c r="I21" s="234">
        <f>SUMIF('1. Väestöennuste'!$AA$15:$AA$307,'1. Väestöennuste'!$U6,'Tilikauden tulos'!M$15:M$307)/1000</f>
        <v>-32.94672623260756</v>
      </c>
      <c r="J21" s="234">
        <f>SUMIF('1. Väestöennuste'!$AA$15:$AA$307,'1. Väestöennuste'!$U6,'Tilikauden tulos'!N$15:N$307)/1000</f>
        <v>-39.077154647522924</v>
      </c>
      <c r="K21" s="234">
        <f>SUMIF('1. Väestöennuste'!$AA$15:$AA$307,'1. Väestöennuste'!$U6,'Tilikauden tulos'!O$15:O$307)/1000</f>
        <v>-41.18362223505347</v>
      </c>
      <c r="L21" s="234">
        <f>SUMIF('1. Väestöennuste'!$AA$15:$AA$307,'1. Väestöennuste'!$U6,'Tilikauden tulos'!P$15:P$307)/1000</f>
        <v>13.607241773422786</v>
      </c>
      <c r="M21" s="136"/>
      <c r="N21" s="41">
        <f>C21/'1. Väestöennuste'!BJ6*1000000</f>
        <v>-207.48086702370293</v>
      </c>
      <c r="O21" s="41">
        <f>D21/'1. Väestöennuste'!BK6*1000000</f>
        <v>356.04600822674922</v>
      </c>
      <c r="P21" s="41">
        <f>E21/'1. Väestöennuste'!BL6*1000000</f>
        <v>190.3950606553862</v>
      </c>
      <c r="Q21" s="41">
        <f>F21/'1. Väestöennuste'!BM6*1000000</f>
        <v>227.3211972306074</v>
      </c>
      <c r="R21" s="41">
        <f>G21/'1. Väestöennuste'!BN6*1000000</f>
        <v>231.74507409331255</v>
      </c>
      <c r="S21" s="41">
        <f>H21/'1. Väestöennuste'!BO6*1000000</f>
        <v>27.750434516963455</v>
      </c>
      <c r="T21" s="41">
        <f>I21/'1. Väestöennuste'!BP6*1000000</f>
        <v>-64.537772026036208</v>
      </c>
      <c r="U21" s="41">
        <f>J21/'1. Väestöennuste'!BQ6*1000000</f>
        <v>-77.209267856482498</v>
      </c>
      <c r="V21" s="41">
        <f>K21/'1. Väestöennuste'!BR6*1000000</f>
        <v>-82.054616381692682</v>
      </c>
      <c r="W21" s="41">
        <f>L21/'1. Väestöennuste'!BS6*1000000</f>
        <v>27.335580166985316</v>
      </c>
      <c r="X21" s="165"/>
      <c r="Z21" s="133" t="s">
        <v>778</v>
      </c>
      <c r="AA21" s="41">
        <f t="shared" si="22"/>
        <v>300.4450089261727</v>
      </c>
      <c r="AB21" s="41">
        <f t="shared" si="11"/>
        <v>-88.839079125441316</v>
      </c>
      <c r="AC21" s="41">
        <f t="shared" si="12"/>
        <v>18.333985819717725</v>
      </c>
      <c r="AD21" s="41">
        <f t="shared" si="13"/>
        <v>1.4318580302864063</v>
      </c>
      <c r="AE21" s="41">
        <f t="shared" si="14"/>
        <v>-106.59386904104839</v>
      </c>
      <c r="AF21" s="41">
        <f t="shared" si="23"/>
        <v>-47.195630842294719</v>
      </c>
      <c r="AG21" s="41">
        <f t="shared" si="24"/>
        <v>-6.1304284149153645</v>
      </c>
      <c r="AH21" s="41">
        <f t="shared" si="24"/>
        <v>-2.1064675875305454</v>
      </c>
      <c r="AI21" s="41">
        <f t="shared" si="24"/>
        <v>54.790864008476255</v>
      </c>
      <c r="AJ21" s="136"/>
      <c r="AK21" s="41">
        <f t="shared" si="15"/>
        <v>563.52687525045212</v>
      </c>
      <c r="AL21" s="41">
        <f t="shared" si="16"/>
        <v>-165.65094757136302</v>
      </c>
      <c r="AM21" s="41">
        <f t="shared" si="17"/>
        <v>36.926136575221193</v>
      </c>
      <c r="AN21" s="41">
        <f t="shared" si="18"/>
        <v>4.423876862705157</v>
      </c>
      <c r="AO21" s="41">
        <f t="shared" si="19"/>
        <v>-203.9946395763491</v>
      </c>
      <c r="AP21" s="41">
        <f t="shared" si="20"/>
        <v>-92.28820654299966</v>
      </c>
      <c r="AQ21" s="41">
        <f t="shared" si="21"/>
        <v>-12.67149583044629</v>
      </c>
      <c r="AR21" s="41">
        <f t="shared" si="21"/>
        <v>-4.8453485252101842</v>
      </c>
      <c r="AS21" s="41">
        <f t="shared" si="21"/>
        <v>109.39019654867801</v>
      </c>
      <c r="AT21" s="41">
        <f t="shared" si="25"/>
        <v>-109.80505089865613</v>
      </c>
    </row>
    <row r="22" spans="2:56" x14ac:dyDescent="0.2">
      <c r="B22" s="133" t="s">
        <v>779</v>
      </c>
      <c r="C22" s="234">
        <f>SUMIF('1. Väestöennuste'!$AA$15:$AA$307,'1. Väestöennuste'!$U7,'Tilikauden tulos'!G$15:G$307)/1000</f>
        <v>-46.792999999999999</v>
      </c>
      <c r="D22" s="234">
        <f>SUMIF('1. Väestöennuste'!$AA$15:$AA$307,'1. Väestöennuste'!$U7,'Tilikauden tulos'!H$15:H$307)/1000</f>
        <v>98.142133956147774</v>
      </c>
      <c r="E22" s="234">
        <f>SUMIF('1. Väestöennuste'!$AA$15:$AA$307,'1. Väestöennuste'!$U7,'Tilikauden tulos'!I$15:I$307)/1000</f>
        <v>68.870658571232852</v>
      </c>
      <c r="F22" s="234">
        <f>SUMIF('1. Väestöennuste'!$AA$15:$AA$307,'1. Väestöennuste'!$U7,'Tilikauden tulos'!J$15:J$307)/1000</f>
        <v>50.320206326334592</v>
      </c>
      <c r="G22" s="234">
        <f>SUMIF('1. Väestöennuste'!$AA$15:$AA$307,'1. Väestöennuste'!$U7,'Tilikauden tulos'!K$15:K$307)/1000</f>
        <v>48.582931832425004</v>
      </c>
      <c r="H22" s="234">
        <f>SUMIF('1. Väestöennuste'!$AA$15:$AA$307,'1. Väestöennuste'!$U7,'Tilikauden tulos'!L$15:L$307)/1000</f>
        <v>2.9980857761251181</v>
      </c>
      <c r="I22" s="234">
        <f>SUMIF('1. Väestöennuste'!$AA$15:$AA$307,'1. Väestöennuste'!$U7,'Tilikauden tulos'!M$15:M$307)/1000</f>
        <v>-50.139874414018024</v>
      </c>
      <c r="J22" s="234">
        <f>SUMIF('1. Väestöennuste'!$AA$15:$AA$307,'1. Väestöennuste'!$U7,'Tilikauden tulos'!N$15:N$307)/1000</f>
        <v>-64.247146670552382</v>
      </c>
      <c r="K22" s="234">
        <f>SUMIF('1. Väestöennuste'!$AA$15:$AA$307,'1. Väestöennuste'!$U7,'Tilikauden tulos'!O$15:O$307)/1000</f>
        <v>-80.02545593013194</v>
      </c>
      <c r="L22" s="234">
        <f>SUMIF('1. Väestöennuste'!$AA$15:$AA$307,'1. Väestöennuste'!$U7,'Tilikauden tulos'!P$15:P$307)/1000</f>
        <v>-61.082747177167903</v>
      </c>
      <c r="M22" s="136"/>
      <c r="N22" s="41">
        <f>C22/'1. Väestöennuste'!BJ7*1000000</f>
        <v>-158.61012341578001</v>
      </c>
      <c r="O22" s="41">
        <f>D22/'1. Väestöennuste'!BK7*1000000</f>
        <v>337.96431704781043</v>
      </c>
      <c r="P22" s="41">
        <f>E22/'1. Väestöennuste'!BL7*1000000</f>
        <v>239.65097857266139</v>
      </c>
      <c r="Q22" s="41">
        <f>F22/'1. Väestöennuste'!BM7*1000000</f>
        <v>178.04899273347459</v>
      </c>
      <c r="R22" s="41">
        <f>G22/'1. Väestöennuste'!BN7*1000000</f>
        <v>173.62829002689327</v>
      </c>
      <c r="S22" s="41">
        <f>H22/'1. Väestöennuste'!BO7*1000000</f>
        <v>10.923938248084788</v>
      </c>
      <c r="T22" s="41">
        <f>I22/'1. Väestöennuste'!BP7*1000000</f>
        <v>-185.03027660146441</v>
      </c>
      <c r="U22" s="41">
        <f>J22/'1. Väestöennuste'!BQ7*1000000</f>
        <v>-240.01295070476306</v>
      </c>
      <c r="V22" s="41">
        <f>K22/'1. Väestöennuste'!BR7*1000000</f>
        <v>-302.53655153821882</v>
      </c>
      <c r="W22" s="41">
        <f>L22/'1. Väestöennuste'!BS7*1000000</f>
        <v>-233.63963883555653</v>
      </c>
      <c r="X22" s="165"/>
      <c r="Z22" s="133" t="s">
        <v>779</v>
      </c>
      <c r="AA22" s="41">
        <f t="shared" si="22"/>
        <v>144.93513395614778</v>
      </c>
      <c r="AB22" s="41">
        <f t="shared" si="11"/>
        <v>-29.271475384914922</v>
      </c>
      <c r="AC22" s="41">
        <f t="shared" si="12"/>
        <v>-18.55045224489826</v>
      </c>
      <c r="AD22" s="41">
        <f t="shared" si="13"/>
        <v>-1.7372744939095881</v>
      </c>
      <c r="AE22" s="41">
        <f t="shared" si="14"/>
        <v>-45.584846056299888</v>
      </c>
      <c r="AF22" s="41">
        <f t="shared" si="23"/>
        <v>-53.13796019014314</v>
      </c>
      <c r="AG22" s="41">
        <f t="shared" si="24"/>
        <v>-14.107272256534358</v>
      </c>
      <c r="AH22" s="41">
        <f t="shared" si="24"/>
        <v>-15.778309259579558</v>
      </c>
      <c r="AI22" s="41">
        <f t="shared" si="24"/>
        <v>18.942708752964037</v>
      </c>
      <c r="AJ22" s="136"/>
      <c r="AK22" s="41">
        <f t="shared" si="15"/>
        <v>496.57444046359046</v>
      </c>
      <c r="AL22" s="41">
        <f t="shared" si="16"/>
        <v>-98.313338475149038</v>
      </c>
      <c r="AM22" s="41">
        <f t="shared" si="17"/>
        <v>-61.601985839186796</v>
      </c>
      <c r="AN22" s="41">
        <f t="shared" si="18"/>
        <v>-4.4207027065813236</v>
      </c>
      <c r="AO22" s="41">
        <f t="shared" si="19"/>
        <v>-162.70435177880847</v>
      </c>
      <c r="AP22" s="41">
        <f t="shared" si="20"/>
        <v>-195.9542148495492</v>
      </c>
      <c r="AQ22" s="41">
        <f t="shared" si="21"/>
        <v>-54.982674103298649</v>
      </c>
      <c r="AR22" s="41">
        <f t="shared" si="21"/>
        <v>-62.52360083345576</v>
      </c>
      <c r="AS22" s="41">
        <f t="shared" si="21"/>
        <v>68.896912702662291</v>
      </c>
      <c r="AT22" s="41">
        <f t="shared" si="25"/>
        <v>-313.46048978630358</v>
      </c>
    </row>
    <row r="23" spans="2:56" x14ac:dyDescent="0.2">
      <c r="B23" s="193" t="s">
        <v>780</v>
      </c>
      <c r="C23" s="235">
        <f>SUMIF('1. Väestöennuste'!$AA$15:$AA$307,'1. Väestöennuste'!$U8,'Tilikauden tulos'!G$15:G$307)/1000</f>
        <v>-19.012</v>
      </c>
      <c r="D23" s="235">
        <f>SUMIF('1. Väestöennuste'!$AA$15:$AA$307,'1. Väestöennuste'!$U8,'Tilikauden tulos'!H$15:H$307)/1000</f>
        <v>19.27606045066765</v>
      </c>
      <c r="E23" s="235">
        <f>SUMIF('1. Väestöennuste'!$AA$15:$AA$307,'1. Väestöennuste'!$U8,'Tilikauden tulos'!I$15:I$307)/1000</f>
        <v>9.930670134193198</v>
      </c>
      <c r="F23" s="235">
        <f>SUMIF('1. Väestöennuste'!$AA$15:$AA$307,'1. Väestöennuste'!$U8,'Tilikauden tulos'!J$15:J$307)/1000</f>
        <v>5.5175583469036491</v>
      </c>
      <c r="G23" s="235">
        <f>SUMIF('1. Väestöennuste'!$AA$15:$AA$307,'1. Väestöennuste'!$U8,'Tilikauden tulos'!K$15:K$307)/1000</f>
        <v>-1.5783986090966013</v>
      </c>
      <c r="H23" s="235">
        <f>SUMIF('1. Väestöennuste'!$AA$15:$AA$307,'1. Väestöennuste'!$U8,'Tilikauden tulos'!L$15:L$307)/1000</f>
        <v>-5.0676195938989341</v>
      </c>
      <c r="I23" s="235">
        <f>SUMIF('1. Väestöennuste'!$AA$15:$AA$307,'1. Väestöennuste'!$U8,'Tilikauden tulos'!M$15:M$307)/1000</f>
        <v>-14.590581437329565</v>
      </c>
      <c r="J23" s="235">
        <f>SUMIF('1. Väestöennuste'!$AA$15:$AA$307,'1. Väestöennuste'!$U8,'Tilikauden tulos'!N$15:N$307)/1000</f>
        <v>-16.4072223359018</v>
      </c>
      <c r="K23" s="235">
        <f>SUMIF('1. Väestöennuste'!$AA$15:$AA$307,'1. Väestöennuste'!$U8,'Tilikauden tulos'!O$15:O$307)/1000</f>
        <v>-18.427551563119003</v>
      </c>
      <c r="L23" s="235">
        <f>SUMIF('1. Väestöennuste'!$AA$15:$AA$307,'1. Väestöennuste'!$U8,'Tilikauden tulos'!P$15:P$307)/1000</f>
        <v>-15.139607192193976</v>
      </c>
      <c r="M23" s="194"/>
      <c r="N23" s="226">
        <f>C23/'1. Väestöennuste'!BJ8*1000000</f>
        <v>-409.93574539652423</v>
      </c>
      <c r="O23" s="226">
        <f>D23/'1. Väestöennuste'!BK8*1000000</f>
        <v>371.25034572373272</v>
      </c>
      <c r="P23" s="226">
        <f>E23/'1. Väestöennuste'!BL8*1000000</f>
        <v>193.31276662305967</v>
      </c>
      <c r="Q23" s="226">
        <f>F23/'1. Väestöennuste'!BM8*1000000</f>
        <v>109.01464736142195</v>
      </c>
      <c r="R23" s="226">
        <f>G23/'1. Väestöennuste'!BN8*1000000</f>
        <v>-31.741917891980073</v>
      </c>
      <c r="S23" s="226">
        <f>H23/'1. Väestöennuste'!BO8*1000000</f>
        <v>-102.37822165900188</v>
      </c>
      <c r="T23" s="226">
        <f>I23/'1. Väestöennuste'!BP8*1000000</f>
        <v>-307.35778553916214</v>
      </c>
      <c r="U23" s="226">
        <f>J23/'1. Väestöennuste'!BQ8*1000000</f>
        <v>-348.96361605167914</v>
      </c>
      <c r="V23" s="226">
        <f>K23/'1. Väestöennuste'!BR8*1000000</f>
        <v>-395.61930404514919</v>
      </c>
      <c r="W23" s="226">
        <f>L23/'1. Väestöennuste'!BS8*1000000</f>
        <v>-328.02372908510586</v>
      </c>
      <c r="X23" s="159"/>
      <c r="Y23" s="198"/>
      <c r="Z23" s="193" t="s">
        <v>780</v>
      </c>
      <c r="AA23" s="226">
        <f t="shared" si="22"/>
        <v>38.288060450667651</v>
      </c>
      <c r="AB23" s="226">
        <f t="shared" si="11"/>
        <v>-9.3453903164744521</v>
      </c>
      <c r="AC23" s="226">
        <f t="shared" si="12"/>
        <v>-4.4131117872895489</v>
      </c>
      <c r="AD23" s="226">
        <f>G23-F23</f>
        <v>-7.0959569560002507</v>
      </c>
      <c r="AE23" s="226">
        <f t="shared" si="14"/>
        <v>-3.4892209848023326</v>
      </c>
      <c r="AF23" s="226">
        <f t="shared" si="23"/>
        <v>-9.5229618434306307</v>
      </c>
      <c r="AG23" s="226">
        <f t="shared" si="24"/>
        <v>-1.8166408985722349</v>
      </c>
      <c r="AH23" s="226">
        <f t="shared" si="24"/>
        <v>-2.0203292272172035</v>
      </c>
      <c r="AI23" s="226">
        <f t="shared" si="24"/>
        <v>3.2879443709250271</v>
      </c>
      <c r="AJ23" s="194"/>
      <c r="AK23" s="226">
        <f t="shared" si="15"/>
        <v>781.18609112025695</v>
      </c>
      <c r="AL23" s="226">
        <f t="shared" si="16"/>
        <v>-177.93757910067305</v>
      </c>
      <c r="AM23" s="226">
        <f t="shared" si="17"/>
        <v>-84.298119261637723</v>
      </c>
      <c r="AN23" s="226">
        <f t="shared" si="18"/>
        <v>-140.75656525340202</v>
      </c>
      <c r="AO23" s="226">
        <f t="shared" si="19"/>
        <v>-70.636303767021815</v>
      </c>
      <c r="AP23" s="226">
        <f t="shared" si="20"/>
        <v>-204.97956388016024</v>
      </c>
      <c r="AQ23" s="226">
        <f t="shared" si="21"/>
        <v>-41.605830512517002</v>
      </c>
      <c r="AR23" s="226">
        <f t="shared" si="21"/>
        <v>-46.655687993470053</v>
      </c>
      <c r="AS23" s="226">
        <f t="shared" si="21"/>
        <v>67.595574960043336</v>
      </c>
      <c r="AT23" s="41">
        <f t="shared" si="25"/>
        <v>-293.2410823861473</v>
      </c>
    </row>
    <row r="24" spans="2:56" x14ac:dyDescent="0.2">
      <c r="B24" s="3" t="s">
        <v>694</v>
      </c>
      <c r="C24" s="192">
        <f>SUM(C17:C23)</f>
        <v>-558.10799999999995</v>
      </c>
      <c r="D24" s="192">
        <f t="shared" ref="D24:J24" si="26">SUM(D17:D23)</f>
        <v>1740.6944407711665</v>
      </c>
      <c r="E24" s="192">
        <f t="shared" si="26"/>
        <v>1283.9955547961004</v>
      </c>
      <c r="F24" s="192">
        <f t="shared" si="26"/>
        <v>1081.9571228310219</v>
      </c>
      <c r="G24" s="192">
        <f t="shared" si="26"/>
        <v>1731.6595113261451</v>
      </c>
      <c r="H24" s="192">
        <f t="shared" si="26"/>
        <v>251.98975360399038</v>
      </c>
      <c r="I24" s="192">
        <f t="shared" si="26"/>
        <v>-407.04719801711781</v>
      </c>
      <c r="J24" s="192">
        <f t="shared" si="26"/>
        <v>-476.10153551372287</v>
      </c>
      <c r="K24" s="192">
        <f t="shared" ref="K24:L24" si="27">SUM(K17:K23)</f>
        <v>-490.96638145168407</v>
      </c>
      <c r="L24" s="192">
        <f t="shared" si="27"/>
        <v>-187.35136422124344</v>
      </c>
      <c r="M24" s="196"/>
      <c r="N24" s="41">
        <f>C24/'1. Väestöennuste'!BJ9*1000000</f>
        <v>-101.55897432911259</v>
      </c>
      <c r="O24" s="41">
        <f>D24/'1. Väestöennuste'!BK9*1000000</f>
        <v>316.27919887027383</v>
      </c>
      <c r="P24" s="41">
        <f>E24/'1. Väestöennuste'!BL9*1000000</f>
        <v>232.69654268575516</v>
      </c>
      <c r="Q24" s="41">
        <f>F24/'1. Väestöennuste'!BM9*1000000</f>
        <v>195.5246082225552</v>
      </c>
      <c r="R24" s="41">
        <f>G24/'1. Väestöennuste'!BN9*1000000</f>
        <v>310.70575857545072</v>
      </c>
      <c r="S24" s="41">
        <f>H24/'1. Väestöennuste'!BO9*1000000</f>
        <v>45.497390402619594</v>
      </c>
      <c r="T24" s="41">
        <f>I24/'1. Väestöennuste'!BP9*1000000</f>
        <v>-73.409387343834723</v>
      </c>
      <c r="U24" s="41">
        <f>J24/'1. Väestöennuste'!BQ9*1000000</f>
        <v>-85.774972942276179</v>
      </c>
      <c r="V24" s="41">
        <f>K24/'1. Väestöennuste'!BR9*1000000</f>
        <v>-88.371698717853789</v>
      </c>
      <c r="W24" s="41">
        <f>L24/'1. Väestöennuste'!BS9*1000000</f>
        <v>-33.696094594643242</v>
      </c>
      <c r="X24" s="165"/>
      <c r="Y24" s="106"/>
      <c r="Z24" s="3" t="s">
        <v>694</v>
      </c>
      <c r="AA24" s="192">
        <f t="shared" si="22"/>
        <v>2298.8024407711664</v>
      </c>
      <c r="AB24" s="192">
        <f t="shared" si="11"/>
        <v>-456.6988859750661</v>
      </c>
      <c r="AC24" s="192">
        <f t="shared" si="12"/>
        <v>-202.03843196507842</v>
      </c>
      <c r="AD24" s="192">
        <f>G24-F24</f>
        <v>649.70238849512316</v>
      </c>
      <c r="AE24" s="192">
        <f t="shared" si="14"/>
        <v>-1479.6697577221548</v>
      </c>
      <c r="AF24" s="192">
        <f t="shared" si="23"/>
        <v>-659.03695162110819</v>
      </c>
      <c r="AG24" s="192">
        <f t="shared" si="24"/>
        <v>-69.054337496605058</v>
      </c>
      <c r="AH24" s="192">
        <f t="shared" si="24"/>
        <v>-14.864845937961206</v>
      </c>
      <c r="AI24" s="192">
        <f t="shared" si="24"/>
        <v>303.61501723044063</v>
      </c>
      <c r="AJ24" s="196"/>
      <c r="AK24" s="192">
        <f t="shared" si="15"/>
        <v>417.8381731993864</v>
      </c>
      <c r="AL24" s="192">
        <f t="shared" si="16"/>
        <v>-83.582656184518669</v>
      </c>
      <c r="AM24" s="192">
        <f t="shared" si="17"/>
        <v>-37.17193446319996</v>
      </c>
      <c r="AN24" s="192">
        <f t="shared" si="18"/>
        <v>115.18115035289551</v>
      </c>
      <c r="AO24" s="192">
        <f t="shared" si="19"/>
        <v>-265.20836817283111</v>
      </c>
      <c r="AP24" s="41">
        <f t="shared" si="20"/>
        <v>-118.90677774645431</v>
      </c>
      <c r="AQ24" s="41">
        <f t="shared" si="21"/>
        <v>-12.365585598441456</v>
      </c>
      <c r="AR24" s="41">
        <f t="shared" si="21"/>
        <v>-2.5967257755776103</v>
      </c>
      <c r="AS24" s="41">
        <f t="shared" si="21"/>
        <v>54.675604123210547</v>
      </c>
      <c r="AT24" s="417">
        <f t="shared" si="25"/>
        <v>-133.86908912047338</v>
      </c>
    </row>
    <row r="26" spans="2:56" s="117" customFormat="1" x14ac:dyDescent="0.2"/>
    <row r="28" spans="2:56" x14ac:dyDescent="0.2">
      <c r="BD28" s="4" t="s">
        <v>814</v>
      </c>
    </row>
    <row r="29" spans="2:56" x14ac:dyDescent="0.2">
      <c r="B29" s="190" t="s">
        <v>745</v>
      </c>
      <c r="C29" s="132">
        <v>2019</v>
      </c>
      <c r="D29" s="132">
        <v>2020</v>
      </c>
      <c r="E29" s="132">
        <v>2021</v>
      </c>
      <c r="F29" s="132">
        <v>2022</v>
      </c>
      <c r="G29" s="132">
        <v>2023</v>
      </c>
      <c r="H29" s="132">
        <v>2024</v>
      </c>
      <c r="I29" s="132">
        <v>2025</v>
      </c>
      <c r="J29" s="132">
        <v>2026</v>
      </c>
      <c r="K29" s="132">
        <v>2027</v>
      </c>
      <c r="L29" s="132">
        <v>2028</v>
      </c>
      <c r="M29" s="136" t="s">
        <v>319</v>
      </c>
      <c r="N29" s="132">
        <v>2019</v>
      </c>
      <c r="O29" s="132">
        <v>2020</v>
      </c>
      <c r="P29" s="132">
        <v>2021</v>
      </c>
      <c r="Q29" s="132">
        <v>2022</v>
      </c>
      <c r="R29" s="132">
        <v>2023</v>
      </c>
      <c r="S29" s="132">
        <v>2024</v>
      </c>
      <c r="T29" s="132">
        <v>2025</v>
      </c>
      <c r="U29" s="132">
        <v>2026</v>
      </c>
      <c r="V29" s="132">
        <v>2027</v>
      </c>
      <c r="W29" s="132">
        <v>2028</v>
      </c>
      <c r="X29" s="197"/>
      <c r="Y29" s="257"/>
      <c r="Z29" s="190" t="s">
        <v>782</v>
      </c>
      <c r="AA29" s="132">
        <v>2020</v>
      </c>
      <c r="AB29" s="132">
        <v>2021</v>
      </c>
      <c r="AC29" s="132">
        <v>2022</v>
      </c>
      <c r="AD29" s="132">
        <v>2023</v>
      </c>
      <c r="AE29" s="132">
        <v>2024</v>
      </c>
      <c r="AF29" s="132">
        <v>2025</v>
      </c>
      <c r="AG29" s="132">
        <v>2026</v>
      </c>
      <c r="AH29" s="132">
        <v>2027</v>
      </c>
      <c r="AI29" s="132">
        <v>2028</v>
      </c>
      <c r="AJ29" s="136" t="s">
        <v>319</v>
      </c>
      <c r="AK29" s="132">
        <v>2020</v>
      </c>
      <c r="AL29" s="132">
        <v>2021</v>
      </c>
      <c r="AM29" s="132">
        <v>2022</v>
      </c>
      <c r="AN29" s="132">
        <v>2023</v>
      </c>
      <c r="AO29" s="132">
        <v>2024</v>
      </c>
      <c r="AP29" s="132">
        <v>2025</v>
      </c>
      <c r="AQ29" s="132">
        <v>2026</v>
      </c>
      <c r="AR29" s="132">
        <v>2027</v>
      </c>
      <c r="AS29" s="132">
        <v>2028</v>
      </c>
      <c r="AT29" s="200" t="s">
        <v>731</v>
      </c>
      <c r="AU29" s="132">
        <v>2020</v>
      </c>
      <c r="AV29" s="132">
        <v>2021</v>
      </c>
      <c r="AW29" s="132">
        <v>2022</v>
      </c>
      <c r="AX29" s="132">
        <v>2023</v>
      </c>
      <c r="AY29" s="132">
        <v>2024</v>
      </c>
      <c r="AZ29" s="132">
        <v>2025</v>
      </c>
      <c r="BA29" s="132">
        <v>2026</v>
      </c>
      <c r="BB29" s="132">
        <v>2027</v>
      </c>
      <c r="BC29" s="132">
        <v>2028</v>
      </c>
      <c r="BD29" s="151" t="s">
        <v>731</v>
      </c>
    </row>
    <row r="30" spans="2:56" x14ac:dyDescent="0.2">
      <c r="B30" s="133" t="s">
        <v>774</v>
      </c>
      <c r="C30" s="43">
        <f>SUMIF('1. Väestöennuste'!$X$15:$X$307,'1. Väestöennuste'!$U2,'2. Toimintakate'!H$15:H$307)</f>
        <v>-11081837</v>
      </c>
      <c r="D30" s="43">
        <f>SUMIF('1. Väestöennuste'!$X$15:$X$307,'1. Väestöennuste'!$U2,'2. Toimintakate'!I$15:I$307)</f>
        <v>-11646115</v>
      </c>
      <c r="E30" s="43">
        <f>SUMIF('1. Väestöennuste'!$X$15:$X$307,'1. Väestöennuste'!$U2,'2. Toimintakate'!J$15:J$307)</f>
        <v>-12064624.133750001</v>
      </c>
      <c r="F30" s="43">
        <f>SUMIF('1. Väestöennuste'!$X$15:$X$307,'1. Väestöennuste'!$U2,'2. Toimintakate'!K$15:K$307)</f>
        <v>-12895958.692949999</v>
      </c>
      <c r="G30" s="43">
        <f>SUMIF('1. Väestöennuste'!$X$15:$X$307,'1. Väestöennuste'!$U2,'2. Toimintakate'!L$15:L$307)</f>
        <v>-5748321.1294900002</v>
      </c>
      <c r="H30" s="43">
        <f>SUMIF('1. Väestöennuste'!$X$15:$X$307,'1. Väestöennuste'!$U2,'2. Toimintakate'!M$15:M$307)</f>
        <v>-5964205.2209307151</v>
      </c>
      <c r="I30" s="43">
        <f>SUMIF('1. Väestöennuste'!$X$15:$X$307,'1. Väestöennuste'!$U2,'2. Toimintakate'!N$15:N$307)</f>
        <v>-6719524.6594125135</v>
      </c>
      <c r="J30" s="43">
        <f>SUMIF('1. Väestöennuste'!$X$15:$X$307,'1. Väestöennuste'!$U2,'2. Toimintakate'!O$15:O$307)</f>
        <v>-7038133.3341075787</v>
      </c>
      <c r="K30" s="43">
        <f>SUMIF('1. Väestöennuste'!$X$15:$X$307,'1. Väestöennuste'!$U2,'2. Toimintakate'!P$15:P$307)</f>
        <v>-7342820.943422813</v>
      </c>
      <c r="L30" s="43">
        <f>SUMIF('1. Väestöennuste'!$X$15:$X$307,'1. Väestöennuste'!$U2,'2. Toimintakate'!Q$15:Q$307)</f>
        <v>-7622809.4745613988</v>
      </c>
      <c r="M30" s="136"/>
      <c r="N30" s="43">
        <f>C30/'1. Väestöennuste'!BJ2*1000</f>
        <v>-5047.6679585886541</v>
      </c>
      <c r="O30" s="43">
        <f>D30/'1. Väestöennuste'!BK2*1000</f>
        <v>-5261.9067197761888</v>
      </c>
      <c r="P30" s="43">
        <f>E30/'1. Väestöennuste'!BL2*1000</f>
        <v>-5410.7543646168251</v>
      </c>
      <c r="Q30" s="43">
        <f>F30/'1. Väestöennuste'!BM2*1000</f>
        <v>-5707.3532387430332</v>
      </c>
      <c r="R30" s="43">
        <f>G30/'1. Väestöennuste'!BN2*1000</f>
        <v>-2499.2993959016039</v>
      </c>
      <c r="S30" s="43">
        <f>H30/'1. Väestöennuste'!BO2*1000</f>
        <v>-2592.6784224028206</v>
      </c>
      <c r="T30" s="43">
        <f>I30/'1. Väestöennuste'!BP2*1000</f>
        <v>-2897.4008904155276</v>
      </c>
      <c r="U30" s="43">
        <f>J30/'1. Väestöennuste'!BQ2*1000</f>
        <v>-3011.552338148208</v>
      </c>
      <c r="V30" s="43">
        <f>K30/'1. Väestöennuste'!BR2*1000</f>
        <v>-3119.1150143504083</v>
      </c>
      <c r="W30" s="43">
        <f>L30/'1. Väestöennuste'!BS2*1000</f>
        <v>-3215.7497948970258</v>
      </c>
      <c r="X30" s="159"/>
      <c r="Z30" s="133" t="s">
        <v>774</v>
      </c>
      <c r="AA30" s="41">
        <f>D30-C30</f>
        <v>-564278</v>
      </c>
      <c r="AB30" s="41">
        <f t="shared" ref="AB30:AB37" si="28">E30-D30</f>
        <v>-418509.13375000097</v>
      </c>
      <c r="AC30" s="41">
        <f t="shared" ref="AC30:AC37" si="29">F30-E30</f>
        <v>-831334.55919999816</v>
      </c>
      <c r="AD30" s="41">
        <f t="shared" ref="AD30:AD37" si="30">G30-F30</f>
        <v>7147637.5634599989</v>
      </c>
      <c r="AE30" s="41">
        <f t="shared" ref="AE30:AI37" si="31">H30-G30</f>
        <v>-215884.0914407149</v>
      </c>
      <c r="AF30" s="41">
        <f t="shared" si="31"/>
        <v>-755319.4384817984</v>
      </c>
      <c r="AG30" s="41">
        <f t="shared" si="31"/>
        <v>-318608.67469506525</v>
      </c>
      <c r="AH30" s="41">
        <f t="shared" si="31"/>
        <v>-304687.60931523424</v>
      </c>
      <c r="AI30" s="41">
        <f t="shared" si="31"/>
        <v>-279988.53113858588</v>
      </c>
      <c r="AJ30" s="136"/>
      <c r="AK30" s="41">
        <f t="shared" ref="AK30:AP30" si="32">O30-N30</f>
        <v>-214.23876118753469</v>
      </c>
      <c r="AL30" s="41">
        <f t="shared" si="32"/>
        <v>-148.84764484063635</v>
      </c>
      <c r="AM30" s="41">
        <f t="shared" si="32"/>
        <v>-296.5988741262081</v>
      </c>
      <c r="AN30" s="41">
        <f t="shared" si="32"/>
        <v>3208.0538428414293</v>
      </c>
      <c r="AO30" s="41">
        <f t="shared" si="32"/>
        <v>-93.379026501216686</v>
      </c>
      <c r="AP30" s="41">
        <f t="shared" si="32"/>
        <v>-304.72246801270694</v>
      </c>
      <c r="AQ30" s="41">
        <f>U30-T30</f>
        <v>-114.15144773268048</v>
      </c>
      <c r="AR30" s="41">
        <f>V30-U30</f>
        <v>-107.56267620220024</v>
      </c>
      <c r="AS30" s="41">
        <f>W30-V30</f>
        <v>-96.634780546617549</v>
      </c>
      <c r="AT30" s="150"/>
      <c r="AU30" s="69">
        <f t="shared" ref="AU30:BC37" si="33">(D30/C30-1)*100</f>
        <v>5.0919175223385738</v>
      </c>
      <c r="AV30" s="69">
        <f t="shared" si="33"/>
        <v>3.5935514439793925</v>
      </c>
      <c r="AW30" s="69">
        <f t="shared" si="33"/>
        <v>6.8906793115451892</v>
      </c>
      <c r="AX30" s="69">
        <f t="shared" si="33"/>
        <v>-55.425406777764351</v>
      </c>
      <c r="AY30" s="69">
        <f t="shared" si="33"/>
        <v>3.7556024894501494</v>
      </c>
      <c r="AZ30" s="69">
        <f t="shared" si="33"/>
        <v>12.664209404315741</v>
      </c>
      <c r="BA30" s="69">
        <f t="shared" si="33"/>
        <v>4.741535909817185</v>
      </c>
      <c r="BB30" s="69">
        <f t="shared" si="33"/>
        <v>4.3290968620711467</v>
      </c>
      <c r="BC30" s="69">
        <f t="shared" si="33"/>
        <v>3.8130921793671169</v>
      </c>
      <c r="BD30" s="202">
        <f>(K30/H30-1)*100</f>
        <v>23.114827062858257</v>
      </c>
    </row>
    <row r="31" spans="2:56" x14ac:dyDescent="0.2">
      <c r="B31" s="134" t="s">
        <v>775</v>
      </c>
      <c r="C31" s="43">
        <f>SUMIF('1. Väestöennuste'!$X$15:$X$307,'1. Väestöennuste'!$U3,'2. Toimintakate'!H$15:H$307)</f>
        <v>-5670466</v>
      </c>
      <c r="D31" s="43">
        <f>SUMIF('1. Väestöennuste'!$X$15:$X$307,'1. Väestöennuste'!$U3,'2. Toimintakate'!I$15:I$307)</f>
        <v>-5804668</v>
      </c>
      <c r="E31" s="43">
        <f>SUMIF('1. Väestöennuste'!$X$15:$X$307,'1. Väestöennuste'!$U3,'2. Toimintakate'!J$15:J$307)</f>
        <v>-5983362.0737000005</v>
      </c>
      <c r="F31" s="43">
        <f>SUMIF('1. Väestöennuste'!$X$15:$X$307,'1. Väestöennuste'!$U3,'2. Toimintakate'!K$15:K$307)</f>
        <v>-6391127.57761</v>
      </c>
      <c r="G31" s="43">
        <f>SUMIF('1. Väestöennuste'!$X$15:$X$307,'1. Väestöennuste'!$U3,'2. Toimintakate'!L$15:L$307)</f>
        <v>-2461979.1317599993</v>
      </c>
      <c r="H31" s="43">
        <f>SUMIF('1. Väestöennuste'!$X$15:$X$307,'1. Väestöennuste'!$U3,'2. Toimintakate'!M$15:M$307)</f>
        <v>-2507286.0345109636</v>
      </c>
      <c r="I31" s="43">
        <f>SUMIF('1. Väestöennuste'!$X$15:$X$307,'1. Väestöennuste'!$U3,'2. Toimintakate'!N$15:N$307)</f>
        <v>-2819038.8124987665</v>
      </c>
      <c r="J31" s="43">
        <f>SUMIF('1. Väestöennuste'!$X$15:$X$307,'1. Väestöennuste'!$U3,'2. Toimintakate'!O$15:O$307)</f>
        <v>-2915621.7101863786</v>
      </c>
      <c r="K31" s="43">
        <f>SUMIF('1. Väestöennuste'!$X$15:$X$307,'1. Väestöennuste'!$U3,'2. Toimintakate'!P$15:P$307)</f>
        <v>-3008744.2494832226</v>
      </c>
      <c r="L31" s="43">
        <f>SUMIF('1. Väestöennuste'!$X$15:$X$307,'1. Väestöennuste'!$U3,'2. Toimintakate'!Q$15:Q$307)</f>
        <v>-3087707.6737935753</v>
      </c>
      <c r="M31" s="136"/>
      <c r="N31" s="43">
        <f>C31/'1. Väestöennuste'!BJ3*1000</f>
        <v>-5603.6924013455664</v>
      </c>
      <c r="O31" s="43">
        <f>D31/'1. Väestöennuste'!BK3*1000</f>
        <v>-5515.6952121407339</v>
      </c>
      <c r="P31" s="43">
        <f>E31/'1. Väestöennuste'!BL3*1000</f>
        <v>-5672.4655801814179</v>
      </c>
      <c r="Q31" s="43">
        <f>F31/'1. Väestöennuste'!BM3*1000</f>
        <v>-6058.6759129164484</v>
      </c>
      <c r="R31" s="43">
        <f>G31/'1. Väestöennuste'!BN3*1000</f>
        <v>-2322.9834188906757</v>
      </c>
      <c r="S31" s="43">
        <f>H31/'1. Väestöennuste'!BO3*1000</f>
        <v>-2381.6311737822139</v>
      </c>
      <c r="T31" s="43">
        <f>I31/'1. Väestöennuste'!BP3*1000</f>
        <v>-2678.6125495866845</v>
      </c>
      <c r="U31" s="43">
        <f>J31/'1. Väestöennuste'!BQ3*1000</f>
        <v>-2771.4982577850406</v>
      </c>
      <c r="V31" s="43">
        <f>K31/'1. Väestöennuste'!BR3*1000</f>
        <v>-2861.3367634410311</v>
      </c>
      <c r="W31" s="43">
        <f>L31/'1. Väestöennuste'!BS3*1000</f>
        <v>-2938.0605002726861</v>
      </c>
      <c r="X31" s="159"/>
      <c r="Z31" s="134" t="s">
        <v>775</v>
      </c>
      <c r="AA31" s="41">
        <f t="shared" ref="AA31:AA36" si="34">D31-C31</f>
        <v>-134202</v>
      </c>
      <c r="AB31" s="41">
        <f t="shared" si="28"/>
        <v>-178694.07370000053</v>
      </c>
      <c r="AC31" s="41">
        <f t="shared" si="29"/>
        <v>-407765.5039099995</v>
      </c>
      <c r="AD31" s="41">
        <f t="shared" si="30"/>
        <v>3929148.4458500007</v>
      </c>
      <c r="AE31" s="41">
        <f t="shared" si="31"/>
        <v>-45306.902750964276</v>
      </c>
      <c r="AF31" s="41">
        <f t="shared" si="31"/>
        <v>-311752.77798780287</v>
      </c>
      <c r="AG31" s="41">
        <f t="shared" si="31"/>
        <v>-96582.897687612101</v>
      </c>
      <c r="AH31" s="41">
        <f t="shared" si="31"/>
        <v>-93122.539296844043</v>
      </c>
      <c r="AI31" s="41">
        <f t="shared" si="31"/>
        <v>-78963.424310352653</v>
      </c>
      <c r="AJ31" s="136"/>
      <c r="AK31" s="41">
        <f t="shared" ref="AK31:AP37" si="35">O31-N31</f>
        <v>87.997189204832466</v>
      </c>
      <c r="AL31" s="41">
        <f t="shared" si="35"/>
        <v>-156.77036804068393</v>
      </c>
      <c r="AM31" s="41">
        <f t="shared" si="35"/>
        <v>-386.21033273503053</v>
      </c>
      <c r="AN31" s="41">
        <f t="shared" si="35"/>
        <v>3735.6924940257727</v>
      </c>
      <c r="AO31" s="41">
        <f t="shared" si="35"/>
        <v>-58.64775489153817</v>
      </c>
      <c r="AP31" s="41">
        <f t="shared" si="35"/>
        <v>-296.98137580447064</v>
      </c>
      <c r="AQ31" s="41">
        <f t="shared" ref="AQ31:AS36" si="36">U31-T31</f>
        <v>-92.885708198356042</v>
      </c>
      <c r="AR31" s="41">
        <f t="shared" si="36"/>
        <v>-89.838505655990502</v>
      </c>
      <c r="AS31" s="41">
        <f t="shared" si="36"/>
        <v>-76.72373683165506</v>
      </c>
      <c r="AT31" s="150"/>
      <c r="AU31" s="69">
        <f t="shared" si="33"/>
        <v>2.3666837963581822</v>
      </c>
      <c r="AV31" s="69">
        <f t="shared" si="33"/>
        <v>3.0784546799231371</v>
      </c>
      <c r="AW31" s="69">
        <f t="shared" si="33"/>
        <v>6.8149896143230526</v>
      </c>
      <c r="AX31" s="69">
        <f t="shared" si="33"/>
        <v>-61.478172640692755</v>
      </c>
      <c r="AY31" s="69">
        <f t="shared" si="33"/>
        <v>1.8402634760992242</v>
      </c>
      <c r="AZ31" s="69">
        <f t="shared" si="33"/>
        <v>12.433873666456607</v>
      </c>
      <c r="BA31" s="69">
        <f t="shared" si="33"/>
        <v>3.4260932222498264</v>
      </c>
      <c r="BB31" s="69">
        <f t="shared" si="33"/>
        <v>3.1939170630915337</v>
      </c>
      <c r="BC31" s="69">
        <f t="shared" si="33"/>
        <v>2.6244644862691624</v>
      </c>
      <c r="BD31" s="202">
        <f t="shared" ref="BD31:BD37" si="37">(K31/H31-1)*100</f>
        <v>20.000040205626824</v>
      </c>
    </row>
    <row r="32" spans="2:56" x14ac:dyDescent="0.2">
      <c r="B32" s="133" t="s">
        <v>776</v>
      </c>
      <c r="C32" s="43">
        <f>SUMIF('1. Väestöennuste'!$X$15:$X$307,'1. Väestöennuste'!$U4,'2. Toimintakate'!H$15:H$307)</f>
        <v>-4567137</v>
      </c>
      <c r="D32" s="43">
        <f>SUMIF('1. Väestöennuste'!$X$15:$X$307,'1. Väestöennuste'!$U4,'2. Toimintakate'!I$15:I$307)</f>
        <v>-4669452</v>
      </c>
      <c r="E32" s="43">
        <f>SUMIF('1. Väestöennuste'!$X$15:$X$307,'1. Väestöennuste'!$U4,'2. Toimintakate'!J$15:J$307)</f>
        <v>-4809760.5802999996</v>
      </c>
      <c r="F32" s="43">
        <f>SUMIF('1. Väestöennuste'!$X$15:$X$307,'1. Väestöennuste'!$U4,'2. Toimintakate'!K$15:K$307)</f>
        <v>-5110718.7898400007</v>
      </c>
      <c r="G32" s="43">
        <f>SUMIF('1. Väestöennuste'!$X$15:$X$307,'1. Väestöennuste'!$U4,'2. Toimintakate'!L$15:L$307)</f>
        <v>-2097353.3543500002</v>
      </c>
      <c r="H32" s="43">
        <f>SUMIF('1. Väestöennuste'!$X$15:$X$307,'1. Väestöennuste'!$U4,'2. Toimintakate'!M$15:M$307)</f>
        <v>-2174197.5883953827</v>
      </c>
      <c r="I32" s="43">
        <f>SUMIF('1. Väestöennuste'!$X$15:$X$307,'1. Väestöennuste'!$U4,'2. Toimintakate'!N$15:N$307)</f>
        <v>-2360079.407300849</v>
      </c>
      <c r="J32" s="43">
        <f>SUMIF('1. Väestöennuste'!$X$15:$X$307,'1. Väestöennuste'!$U4,'2. Toimintakate'!O$15:O$307)</f>
        <v>-2430992.5097456742</v>
      </c>
      <c r="K32" s="43">
        <f>SUMIF('1. Väestöennuste'!$X$15:$X$307,'1. Väestöennuste'!$U4,'2. Toimintakate'!P$15:P$307)</f>
        <v>-2501265.8207466938</v>
      </c>
      <c r="L32" s="43">
        <f>SUMIF('1. Väestöennuste'!$X$15:$X$307,'1. Väestöennuste'!$U4,'2. Toimintakate'!Q$15:Q$307)</f>
        <v>-2561546.6851256872</v>
      </c>
      <c r="M32" s="136"/>
      <c r="N32" s="43">
        <f>C32/'1. Väestöennuste'!BJ4*1000</f>
        <v>-5582.2256608450452</v>
      </c>
      <c r="O32" s="43">
        <f>D32/'1. Väestöennuste'!BK4*1000</f>
        <v>-6155.1598683933016</v>
      </c>
      <c r="P32" s="43">
        <f>E32/'1. Väestöennuste'!BL4*1000</f>
        <v>-6324.8457572111429</v>
      </c>
      <c r="Q32" s="43">
        <f>F32/'1. Väestöennuste'!BM4*1000</f>
        <v>-6726.7807862777181</v>
      </c>
      <c r="R32" s="43">
        <f>G32/'1. Väestöennuste'!BN4*1000</f>
        <v>-2751.7099899632644</v>
      </c>
      <c r="S32" s="43">
        <f>H32/'1. Väestöennuste'!BO4*1000</f>
        <v>-2878.7214929797924</v>
      </c>
      <c r="T32" s="43">
        <f>I32/'1. Väestöennuste'!BP4*1000</f>
        <v>-3128.7301989206894</v>
      </c>
      <c r="U32" s="43">
        <f>J32/'1. Väestöennuste'!BQ4*1000</f>
        <v>-3226.9355165046436</v>
      </c>
      <c r="V32" s="43">
        <f>K32/'1. Väestöennuste'!BR4*1000</f>
        <v>-3324.7940278991073</v>
      </c>
      <c r="W32" s="43">
        <f>L32/'1. Väestöennuste'!BS4*1000</f>
        <v>-3409.944216014248</v>
      </c>
      <c r="X32" s="159"/>
      <c r="Z32" s="133" t="s">
        <v>776</v>
      </c>
      <c r="AA32" s="41">
        <f t="shared" si="34"/>
        <v>-102315</v>
      </c>
      <c r="AB32" s="41">
        <f t="shared" si="28"/>
        <v>-140308.58029999956</v>
      </c>
      <c r="AC32" s="41">
        <f t="shared" si="29"/>
        <v>-300958.20954000112</v>
      </c>
      <c r="AD32" s="41">
        <f t="shared" si="30"/>
        <v>3013365.4354900005</v>
      </c>
      <c r="AE32" s="41">
        <f t="shared" si="31"/>
        <v>-76844.234045382589</v>
      </c>
      <c r="AF32" s="41">
        <f t="shared" si="31"/>
        <v>-185881.81890546624</v>
      </c>
      <c r="AG32" s="41">
        <f t="shared" si="31"/>
        <v>-70913.102444825228</v>
      </c>
      <c r="AH32" s="41">
        <f t="shared" si="31"/>
        <v>-70273.311001019552</v>
      </c>
      <c r="AI32" s="41">
        <f t="shared" si="31"/>
        <v>-60280.864378993399</v>
      </c>
      <c r="AJ32" s="136"/>
      <c r="AK32" s="41">
        <f t="shared" si="35"/>
        <v>-572.93420754825638</v>
      </c>
      <c r="AL32" s="41">
        <f t="shared" si="35"/>
        <v>-169.68588881784126</v>
      </c>
      <c r="AM32" s="41">
        <f t="shared" si="35"/>
        <v>-401.93502906657523</v>
      </c>
      <c r="AN32" s="41">
        <f t="shared" si="35"/>
        <v>3975.0707963144537</v>
      </c>
      <c r="AO32" s="41">
        <f t="shared" si="35"/>
        <v>-127.01150301652797</v>
      </c>
      <c r="AP32" s="41">
        <f t="shared" si="35"/>
        <v>-250.00870594089702</v>
      </c>
      <c r="AQ32" s="41">
        <f t="shared" si="36"/>
        <v>-98.205317583954184</v>
      </c>
      <c r="AR32" s="41">
        <f t="shared" si="36"/>
        <v>-97.858511394463676</v>
      </c>
      <c r="AS32" s="41">
        <f t="shared" si="36"/>
        <v>-85.150188115140736</v>
      </c>
      <c r="AT32" s="150"/>
      <c r="AU32" s="69">
        <f t="shared" si="33"/>
        <v>2.2402437238033368</v>
      </c>
      <c r="AV32" s="69">
        <f t="shared" si="33"/>
        <v>3.0048189873244091</v>
      </c>
      <c r="AW32" s="69">
        <f t="shared" si="33"/>
        <v>6.2572388898665121</v>
      </c>
      <c r="AX32" s="69">
        <f t="shared" si="33"/>
        <v>-58.961675635147571</v>
      </c>
      <c r="AY32" s="69">
        <f t="shared" si="33"/>
        <v>3.6638668389379569</v>
      </c>
      <c r="AZ32" s="69">
        <f t="shared" si="33"/>
        <v>8.5494446271855207</v>
      </c>
      <c r="BA32" s="69">
        <f t="shared" si="33"/>
        <v>3.0046913771399897</v>
      </c>
      <c r="BB32" s="69">
        <f t="shared" si="33"/>
        <v>2.8907251140963597</v>
      </c>
      <c r="BC32" s="69">
        <f t="shared" si="33"/>
        <v>2.4100143167109733</v>
      </c>
      <c r="BD32" s="202">
        <f t="shared" si="37"/>
        <v>15.043169677724478</v>
      </c>
    </row>
    <row r="33" spans="1:56" x14ac:dyDescent="0.2">
      <c r="B33" s="133" t="s">
        <v>777</v>
      </c>
      <c r="C33" s="43">
        <f>SUMIF('1. Väestöennuste'!$X$15:$X$307,'1. Väestöennuste'!$U5,'2. Toimintakate'!H$15:H$307)</f>
        <v>-3400855</v>
      </c>
      <c r="D33" s="43">
        <f>SUMIF('1. Väestöennuste'!$X$15:$X$307,'1. Väestöennuste'!$U5,'2. Toimintakate'!I$15:I$307)</f>
        <v>-3453170</v>
      </c>
      <c r="E33" s="43">
        <f>SUMIF('1. Väestöennuste'!$X$15:$X$307,'1. Väestöennuste'!$U5,'2. Toimintakate'!J$15:J$307)</f>
        <v>-3582185.6259299996</v>
      </c>
      <c r="F33" s="43">
        <f>SUMIF('1. Väestöennuste'!$X$15:$X$307,'1. Väestöennuste'!$U5,'2. Toimintakate'!K$15:K$307)</f>
        <v>-3832881.702610001</v>
      </c>
      <c r="G33" s="43">
        <f>SUMIF('1. Väestöennuste'!$X$15:$X$307,'1. Väestöennuste'!$U5,'2. Toimintakate'!L$15:L$307)</f>
        <v>-1579134.72223</v>
      </c>
      <c r="H33" s="43">
        <f>SUMIF('1. Väestöennuste'!$X$15:$X$307,'1. Väestöennuste'!$U5,'2. Toimintakate'!M$15:M$307)</f>
        <v>-1600948.3968295415</v>
      </c>
      <c r="I33" s="43">
        <f>SUMIF('1. Väestöennuste'!$X$15:$X$307,'1. Väestöennuste'!$U5,'2. Toimintakate'!N$15:N$307)</f>
        <v>-1761347.72594711</v>
      </c>
      <c r="J33" s="43">
        <f>SUMIF('1. Väestöennuste'!$X$15:$X$307,'1. Väestöennuste'!$U5,'2. Toimintakate'!O$15:O$307)</f>
        <v>-1811677.583525311</v>
      </c>
      <c r="K33" s="43">
        <f>SUMIF('1. Väestöennuste'!$X$15:$X$307,'1. Väestöennuste'!$U5,'2. Toimintakate'!P$15:P$307)</f>
        <v>-1858351.0003635953</v>
      </c>
      <c r="L33" s="43">
        <f>SUMIF('1. Väestöennuste'!$X$15:$X$307,'1. Väestöennuste'!$U5,'2. Toimintakate'!Q$15:Q$307)</f>
        <v>-1896601.4799051003</v>
      </c>
      <c r="M33" s="136"/>
      <c r="N33" s="43">
        <f>C33/'1. Väestöennuste'!BJ5*1000</f>
        <v>-5708.2204564756912</v>
      </c>
      <c r="O33" s="43">
        <f>D33/'1. Väestöennuste'!BK5*1000</f>
        <v>-5720.5405835227384</v>
      </c>
      <c r="P33" s="43">
        <f>E33/'1. Väestöennuste'!BL5*1000</f>
        <v>-5938.0952100355562</v>
      </c>
      <c r="Q33" s="43">
        <f>F33/'1. Väestöennuste'!BM5*1000</f>
        <v>-6378.3666394472484</v>
      </c>
      <c r="R33" s="43">
        <f>G33/'1. Väestöennuste'!BN5*1000</f>
        <v>-2630.4926584532559</v>
      </c>
      <c r="S33" s="43">
        <f>H33/'1. Väestöennuste'!BO5*1000</f>
        <v>-2701.0652710930158</v>
      </c>
      <c r="T33" s="43">
        <f>I33/'1. Väestöennuste'!BP5*1000</f>
        <v>-2985.1782803735905</v>
      </c>
      <c r="U33" s="43">
        <f>J33/'1. Väestöennuste'!BQ5*1000</f>
        <v>-3084.3470193390131</v>
      </c>
      <c r="V33" s="43">
        <f>K33/'1. Väestöennuste'!BR5*1000</f>
        <v>-3178.0917271728454</v>
      </c>
      <c r="W33" s="43">
        <f>L33/'1. Väestöennuste'!BS5*1000</f>
        <v>-3258.4351069309132</v>
      </c>
      <c r="X33" s="159"/>
      <c r="Z33" s="133" t="s">
        <v>777</v>
      </c>
      <c r="AA33" s="41">
        <f t="shared" si="34"/>
        <v>-52315</v>
      </c>
      <c r="AB33" s="41">
        <f t="shared" si="28"/>
        <v>-129015.62592999963</v>
      </c>
      <c r="AC33" s="41">
        <f t="shared" si="29"/>
        <v>-250696.07668000134</v>
      </c>
      <c r="AD33" s="41">
        <f t="shared" si="30"/>
        <v>2253746.980380001</v>
      </c>
      <c r="AE33" s="41">
        <f t="shared" si="31"/>
        <v>-21813.674599541584</v>
      </c>
      <c r="AF33" s="41">
        <f t="shared" si="31"/>
        <v>-160399.32911756844</v>
      </c>
      <c r="AG33" s="41">
        <f t="shared" si="31"/>
        <v>-50329.857578200987</v>
      </c>
      <c r="AH33" s="41">
        <f t="shared" si="31"/>
        <v>-46673.416838284349</v>
      </c>
      <c r="AI33" s="41">
        <f t="shared" si="31"/>
        <v>-38250.479541504988</v>
      </c>
      <c r="AJ33" s="136"/>
      <c r="AK33" s="41">
        <f t="shared" si="35"/>
        <v>-12.320127047047208</v>
      </c>
      <c r="AL33" s="41">
        <f t="shared" si="35"/>
        <v>-217.55462651281778</v>
      </c>
      <c r="AM33" s="41">
        <f t="shared" si="35"/>
        <v>-440.27142941169222</v>
      </c>
      <c r="AN33" s="41">
        <f t="shared" si="35"/>
        <v>3747.8739809939925</v>
      </c>
      <c r="AO33" s="41">
        <f t="shared" si="35"/>
        <v>-70.572612639759882</v>
      </c>
      <c r="AP33" s="41">
        <f t="shared" si="35"/>
        <v>-284.11300928057472</v>
      </c>
      <c r="AQ33" s="41">
        <f t="shared" si="36"/>
        <v>-99.168738965422563</v>
      </c>
      <c r="AR33" s="41">
        <f t="shared" si="36"/>
        <v>-93.744707833832308</v>
      </c>
      <c r="AS33" s="41">
        <f t="shared" si="36"/>
        <v>-80.34337975806784</v>
      </c>
      <c r="AT33" s="150"/>
      <c r="AU33" s="69">
        <f t="shared" si="33"/>
        <v>1.5382896359885878</v>
      </c>
      <c r="AV33" s="69">
        <f t="shared" si="33"/>
        <v>3.7361504336594908</v>
      </c>
      <c r="AW33" s="69">
        <f t="shared" si="33"/>
        <v>6.9984111059268717</v>
      </c>
      <c r="AX33" s="69">
        <f t="shared" si="33"/>
        <v>-58.800327149291142</v>
      </c>
      <c r="AY33" s="69">
        <f t="shared" si="33"/>
        <v>1.3813688149885595</v>
      </c>
      <c r="AZ33" s="69">
        <f t="shared" si="33"/>
        <v>10.01901931600151</v>
      </c>
      <c r="BA33" s="69">
        <f t="shared" si="33"/>
        <v>2.8574628869002971</v>
      </c>
      <c r="BB33" s="69">
        <f t="shared" si="33"/>
        <v>2.5762540345320994</v>
      </c>
      <c r="BC33" s="69">
        <f t="shared" si="33"/>
        <v>2.0583022009308838</v>
      </c>
      <c r="BD33" s="202">
        <f t="shared" si="37"/>
        <v>16.078132439734105</v>
      </c>
    </row>
    <row r="34" spans="1:56" x14ac:dyDescent="0.2">
      <c r="B34" s="133" t="s">
        <v>778</v>
      </c>
      <c r="C34" s="43">
        <f>SUMIF('1. Väestöennuste'!$X$15:$X$307,'1. Väestöennuste'!$U6,'2. Toimintakate'!H$15:H$307)</f>
        <v>-3334943</v>
      </c>
      <c r="D34" s="43">
        <f>SUMIF('1. Väestöennuste'!$X$15:$X$307,'1. Väestöennuste'!$U6,'2. Toimintakate'!I$15:I$307)</f>
        <v>-3351050</v>
      </c>
      <c r="E34" s="43">
        <f>SUMIF('1. Väestöennuste'!$X$15:$X$307,'1. Väestöennuste'!$U6,'2. Toimintakate'!J$15:J$307)</f>
        <v>-3465042.0130500002</v>
      </c>
      <c r="F34" s="43">
        <f>SUMIF('1. Väestöennuste'!$X$15:$X$307,'1. Väestöennuste'!$U6,'2. Toimintakate'!K$15:K$307)</f>
        <v>-3664196.5353000006</v>
      </c>
      <c r="G34" s="43">
        <f>SUMIF('1. Väestöennuste'!$X$15:$X$307,'1. Väestöennuste'!$U6,'2. Toimintakate'!L$15:L$307)</f>
        <v>-1447357.2596900004</v>
      </c>
      <c r="H34" s="43">
        <f>SUMIF('1. Väestöennuste'!$X$15:$X$307,'1. Väestöennuste'!$U6,'2. Toimintakate'!M$15:M$307)</f>
        <v>-1468375.2410855019</v>
      </c>
      <c r="I34" s="43">
        <f>SUMIF('1. Väestöennuste'!$X$15:$X$307,'1. Väestöennuste'!$U6,'2. Toimintakate'!N$15:N$307)</f>
        <v>-1603786.8994991712</v>
      </c>
      <c r="J34" s="43">
        <f>SUMIF('1. Väestöennuste'!$X$15:$X$307,'1. Väestöennuste'!$U6,'2. Toimintakate'!O$15:O$307)</f>
        <v>-1643745.9345769798</v>
      </c>
      <c r="K34" s="43">
        <f>SUMIF('1. Väestöennuste'!$X$15:$X$307,'1. Väestöennuste'!$U6,'2. Toimintakate'!P$15:P$307)</f>
        <v>-1685378.1336259306</v>
      </c>
      <c r="L34" s="43">
        <f>SUMIF('1. Väestöennuste'!$X$15:$X$307,'1. Väestöennuste'!$U6,'2. Toimintakate'!Q$15:Q$307)</f>
        <v>-1719204.9749811734</v>
      </c>
      <c r="M34" s="136"/>
      <c r="N34" s="43">
        <f>C34/'1. Väestöennuste'!BJ6*1000</f>
        <v>-6260.2291264250007</v>
      </c>
      <c r="O34" s="43">
        <f>D34/'1. Väestöennuste'!BK6*1000</f>
        <v>-6282.3981117466537</v>
      </c>
      <c r="P34" s="43">
        <f>E34/'1. Väestöennuste'!BL6*1000</f>
        <v>-6526.9778726830928</v>
      </c>
      <c r="Q34" s="43">
        <f>F34/'1. Väestöennuste'!BM6*1000</f>
        <v>-6975.4891247982105</v>
      </c>
      <c r="R34" s="43">
        <f>G34/'1. Väestöennuste'!BN6*1000</f>
        <v>-2775.655550209322</v>
      </c>
      <c r="S34" s="43">
        <f>H34/'1. Väestöennuste'!BO6*1000</f>
        <v>-2859.7321752277694</v>
      </c>
      <c r="T34" s="43">
        <f>I34/'1. Väestöennuste'!BP6*1000</f>
        <v>-3141.5817331125795</v>
      </c>
      <c r="U34" s="43">
        <f>J34/'1. Väestöennuste'!BQ6*1000</f>
        <v>-3247.7395372184064</v>
      </c>
      <c r="V34" s="43">
        <f>K34/'1. Väestöennuste'!BR6*1000</f>
        <v>-3357.9624303920673</v>
      </c>
      <c r="W34" s="43">
        <f>L34/'1. Väestöennuste'!BS6*1000</f>
        <v>-3453.7098847517973</v>
      </c>
      <c r="X34" s="159"/>
      <c r="Z34" s="133" t="s">
        <v>778</v>
      </c>
      <c r="AA34" s="41">
        <f t="shared" si="34"/>
        <v>-16107</v>
      </c>
      <c r="AB34" s="41">
        <f t="shared" si="28"/>
        <v>-113992.01305000018</v>
      </c>
      <c r="AC34" s="41">
        <f t="shared" si="29"/>
        <v>-199154.52225000039</v>
      </c>
      <c r="AD34" s="41">
        <f t="shared" si="30"/>
        <v>2216839.2756099999</v>
      </c>
      <c r="AE34" s="41">
        <f t="shared" si="31"/>
        <v>-21017.981395501411</v>
      </c>
      <c r="AF34" s="41">
        <f t="shared" si="31"/>
        <v>-135411.65841366933</v>
      </c>
      <c r="AG34" s="41">
        <f t="shared" si="31"/>
        <v>-39959.035077808658</v>
      </c>
      <c r="AH34" s="41">
        <f t="shared" si="31"/>
        <v>-41632.199048950803</v>
      </c>
      <c r="AI34" s="41">
        <f t="shared" si="31"/>
        <v>-33826.841355242766</v>
      </c>
      <c r="AJ34" s="136"/>
      <c r="AK34" s="41">
        <f t="shared" si="35"/>
        <v>-22.168985321653054</v>
      </c>
      <c r="AL34" s="41">
        <f t="shared" si="35"/>
        <v>-244.57976093643902</v>
      </c>
      <c r="AM34" s="41">
        <f t="shared" si="35"/>
        <v>-448.51125211511771</v>
      </c>
      <c r="AN34" s="41">
        <f t="shared" si="35"/>
        <v>4199.833574588889</v>
      </c>
      <c r="AO34" s="41">
        <f t="shared" si="35"/>
        <v>-84.07662501844743</v>
      </c>
      <c r="AP34" s="41">
        <f t="shared" si="35"/>
        <v>-281.84955788481011</v>
      </c>
      <c r="AQ34" s="41">
        <f t="shared" si="36"/>
        <v>-106.15780410582693</v>
      </c>
      <c r="AR34" s="41">
        <f t="shared" si="36"/>
        <v>-110.22289317366085</v>
      </c>
      <c r="AS34" s="41">
        <f t="shared" si="36"/>
        <v>-95.74745435973</v>
      </c>
      <c r="AT34" s="132"/>
      <c r="AU34" s="69">
        <f t="shared" si="33"/>
        <v>0.48297677051751808</v>
      </c>
      <c r="AV34" s="69">
        <f t="shared" si="33"/>
        <v>3.4016804598558714</v>
      </c>
      <c r="AW34" s="69">
        <f t="shared" si="33"/>
        <v>5.7475355709958764</v>
      </c>
      <c r="AX34" s="69">
        <f t="shared" si="33"/>
        <v>-60.500010145566598</v>
      </c>
      <c r="AY34" s="69">
        <f t="shared" si="33"/>
        <v>1.452162640204202</v>
      </c>
      <c r="AZ34" s="69">
        <f t="shared" si="33"/>
        <v>9.2218701749265275</v>
      </c>
      <c r="BA34" s="69">
        <f t="shared" si="33"/>
        <v>2.4915426787865069</v>
      </c>
      <c r="BB34" s="69">
        <f t="shared" si="33"/>
        <v>2.5327636207760351</v>
      </c>
      <c r="BC34" s="69">
        <f t="shared" si="33"/>
        <v>2.0070772653533631</v>
      </c>
      <c r="BD34" s="202">
        <f t="shared" si="37"/>
        <v>14.778435815902791</v>
      </c>
    </row>
    <row r="35" spans="1:56" x14ac:dyDescent="0.2">
      <c r="B35" s="133" t="s">
        <v>779</v>
      </c>
      <c r="C35" s="43">
        <f>SUMIF('1. Väestöennuste'!$X$15:$X$307,'1. Väestöennuste'!$U7,'2. Toimintakate'!H$15:H$307)</f>
        <v>-1971647</v>
      </c>
      <c r="D35" s="43">
        <f>SUMIF('1. Väestöennuste'!$X$15:$X$307,'1. Väestöennuste'!$U7,'2. Toimintakate'!I$15:I$307)</f>
        <v>-1974358</v>
      </c>
      <c r="E35" s="43">
        <f>SUMIF('1. Väestöennuste'!$X$15:$X$307,'1. Väestöennuste'!$U7,'2. Toimintakate'!J$15:J$307)</f>
        <v>-2035274.7133499996</v>
      </c>
      <c r="F35" s="43">
        <f>SUMIF('1. Väestöennuste'!$X$15:$X$307,'1. Väestöennuste'!$U7,'2. Toimintakate'!K$15:K$307)</f>
        <v>-2139836.8856100002</v>
      </c>
      <c r="G35" s="43">
        <f>SUMIF('1. Väestöennuste'!$X$15:$X$307,'1. Väestöennuste'!$U7,'2. Toimintakate'!L$15:L$307)</f>
        <v>-800545.07093999989</v>
      </c>
      <c r="H35" s="43">
        <f>SUMIF('1. Väestöennuste'!$X$15:$X$307,'1. Väestöennuste'!$U7,'2. Toimintakate'!M$15:M$307)</f>
        <v>-811813.94037145912</v>
      </c>
      <c r="I35" s="43">
        <f>SUMIF('1. Väestöennuste'!$X$15:$X$307,'1. Väestöennuste'!$U7,'2. Toimintakate'!N$15:N$307)</f>
        <v>-912113.86704512266</v>
      </c>
      <c r="J35" s="43">
        <f>SUMIF('1. Väestöennuste'!$X$15:$X$307,'1. Väestöennuste'!$U7,'2. Toimintakate'!O$15:O$307)</f>
        <v>-947144.91282567556</v>
      </c>
      <c r="K35" s="43">
        <f>SUMIF('1. Väestöennuste'!$X$15:$X$307,'1. Väestöennuste'!$U7,'2. Toimintakate'!P$15:P$307)</f>
        <v>-978970.1132079052</v>
      </c>
      <c r="L35" s="43">
        <f>SUMIF('1. Väestöennuste'!$X$15:$X$307,'1. Väestöennuste'!$U7,'2. Toimintakate'!Q$15:Q$307)</f>
        <v>-1009616.2835118829</v>
      </c>
      <c r="M35" s="136"/>
      <c r="N35" s="43">
        <f>C35/'1. Väestöennuste'!BJ7*1000</f>
        <v>-6683.1187143878869</v>
      </c>
      <c r="O35" s="43">
        <f>D35/'1. Väestöennuste'!BK7*1000</f>
        <v>-6798.9407421692058</v>
      </c>
      <c r="P35" s="43">
        <f>E35/'1. Väestöennuste'!BL7*1000</f>
        <v>-7082.1970754648028</v>
      </c>
      <c r="Q35" s="43">
        <f>F35/'1. Väestöennuste'!BM7*1000</f>
        <v>-7571.4276612058602</v>
      </c>
      <c r="R35" s="43">
        <f>G35/'1. Väestöennuste'!BN7*1000</f>
        <v>-2861.0309529323467</v>
      </c>
      <c r="S35" s="43">
        <f>H35/'1. Väestöennuste'!BO7*1000</f>
        <v>-2957.9558477522728</v>
      </c>
      <c r="T35" s="43">
        <f>I35/'1. Väestöennuste'!BP7*1000</f>
        <v>-3365.9573958606943</v>
      </c>
      <c r="U35" s="43">
        <f>J35/'1. Väestöennuste'!BQ7*1000</f>
        <v>-3538.3212648802519</v>
      </c>
      <c r="V35" s="43">
        <f>K35/'1. Väestöennuste'!BR7*1000</f>
        <v>-3701.0003712753728</v>
      </c>
      <c r="W35" s="43">
        <f>L35/'1. Väestöennuste'!BS7*1000</f>
        <v>-3861.7513904218285</v>
      </c>
      <c r="X35" s="159"/>
      <c r="Z35" s="133" t="s">
        <v>779</v>
      </c>
      <c r="AA35" s="43">
        <f t="shared" si="34"/>
        <v>-2711</v>
      </c>
      <c r="AB35" s="43">
        <f t="shared" si="28"/>
        <v>-60916.713349999627</v>
      </c>
      <c r="AC35" s="43">
        <f t="shared" si="29"/>
        <v>-104562.1722600006</v>
      </c>
      <c r="AD35" s="43">
        <f t="shared" si="30"/>
        <v>1339291.8146700002</v>
      </c>
      <c r="AE35" s="43">
        <f t="shared" si="31"/>
        <v>-11268.869431459229</v>
      </c>
      <c r="AF35" s="43">
        <f t="shared" si="31"/>
        <v>-100299.92667366355</v>
      </c>
      <c r="AG35" s="41">
        <f t="shared" si="31"/>
        <v>-35031.0457805529</v>
      </c>
      <c r="AH35" s="41">
        <f t="shared" si="31"/>
        <v>-31825.200382229639</v>
      </c>
      <c r="AI35" s="41">
        <f t="shared" si="31"/>
        <v>-30646.170303977677</v>
      </c>
      <c r="AJ35" s="227"/>
      <c r="AK35" s="43">
        <f t="shared" si="35"/>
        <v>-115.82202778131887</v>
      </c>
      <c r="AL35" s="43">
        <f t="shared" si="35"/>
        <v>-283.25633329559696</v>
      </c>
      <c r="AM35" s="43">
        <f t="shared" si="35"/>
        <v>-489.23058574105744</v>
      </c>
      <c r="AN35" s="43">
        <f t="shared" si="35"/>
        <v>4710.3967082735135</v>
      </c>
      <c r="AO35" s="43">
        <f t="shared" si="35"/>
        <v>-96.924894819926067</v>
      </c>
      <c r="AP35" s="43">
        <f t="shared" si="35"/>
        <v>-408.0015481084215</v>
      </c>
      <c r="AQ35" s="41">
        <f t="shared" si="36"/>
        <v>-172.36386901955757</v>
      </c>
      <c r="AR35" s="41">
        <f t="shared" si="36"/>
        <v>-162.67910639512093</v>
      </c>
      <c r="AS35" s="41">
        <f t="shared" si="36"/>
        <v>-160.75101914645575</v>
      </c>
      <c r="AT35" s="199"/>
      <c r="AU35" s="234">
        <f t="shared" si="33"/>
        <v>0.13749925823436371</v>
      </c>
      <c r="AV35" s="234">
        <f t="shared" si="33"/>
        <v>3.0853934975318298</v>
      </c>
      <c r="AW35" s="234">
        <f t="shared" si="33"/>
        <v>5.1374967503966307</v>
      </c>
      <c r="AX35" s="234">
        <f t="shared" si="33"/>
        <v>-62.588500257962899</v>
      </c>
      <c r="AY35" s="234">
        <f t="shared" si="33"/>
        <v>1.4076495928239563</v>
      </c>
      <c r="AZ35" s="234">
        <f t="shared" si="33"/>
        <v>12.355038720789846</v>
      </c>
      <c r="BA35" s="69">
        <f t="shared" si="33"/>
        <v>3.8406439202639531</v>
      </c>
      <c r="BB35" s="69">
        <f t="shared" si="33"/>
        <v>3.3601194443713567</v>
      </c>
      <c r="BC35" s="69">
        <f t="shared" si="33"/>
        <v>3.1304500403547264</v>
      </c>
      <c r="BD35" s="202">
        <f t="shared" si="37"/>
        <v>20.590453615512061</v>
      </c>
    </row>
    <row r="36" spans="1:56" x14ac:dyDescent="0.2">
      <c r="B36" s="193" t="s">
        <v>780</v>
      </c>
      <c r="C36" s="226">
        <f>SUMIF('1. Väestöennuste'!$X$15:$X$307,'1. Väestöennuste'!$U8,'2. Toimintakate'!H$15:H$307)</f>
        <v>-330050</v>
      </c>
      <c r="D36" s="226">
        <f>SUMIF('1. Väestöennuste'!$X$15:$X$307,'1. Väestöennuste'!$U8,'2. Toimintakate'!I$15:I$307)</f>
        <v>-322466</v>
      </c>
      <c r="E36" s="226">
        <f>SUMIF('1. Väestöennuste'!$X$15:$X$307,'1. Väestöennuste'!$U8,'2. Toimintakate'!J$15:J$307)</f>
        <v>-339988.73294000002</v>
      </c>
      <c r="F36" s="226">
        <f>SUMIF('1. Väestöennuste'!$X$15:$X$307,'1. Väestöennuste'!$U8,'2. Toimintakate'!K$15:K$307)</f>
        <v>-357059.2984599999</v>
      </c>
      <c r="G36" s="226">
        <f>SUMIF('1. Väestöennuste'!$X$15:$X$307,'1. Väestöennuste'!$U8,'2. Toimintakate'!L$15:L$307)</f>
        <v>-134530.03175000002</v>
      </c>
      <c r="H36" s="226">
        <f>SUMIF('1. Väestöennuste'!$X$15:$X$307,'1. Väestöennuste'!$U8,'2. Toimintakate'!M$15:M$307)</f>
        <v>-134010.77567003574</v>
      </c>
      <c r="I36" s="226">
        <f>SUMIF('1. Väestöennuste'!$X$15:$X$307,'1. Väestöennuste'!$U8,'2. Toimintakate'!N$15:N$307)</f>
        <v>-148408.33733458983</v>
      </c>
      <c r="J36" s="226">
        <f>SUMIF('1. Väestöennuste'!$X$15:$X$307,'1. Väestöennuste'!$U8,'2. Toimintakate'!O$15:O$307)</f>
        <v>-154088.30393651416</v>
      </c>
      <c r="K36" s="226">
        <f>SUMIF('1. Väestöennuste'!$X$15:$X$307,'1. Väestöennuste'!$U8,'2. Toimintakate'!P$15:P$307)</f>
        <v>-159723.29023090014</v>
      </c>
      <c r="L36" s="226">
        <f>SUMIF('1. Väestöennuste'!$X$15:$X$307,'1. Väestöennuste'!$U8,'2. Toimintakate'!Q$15:Q$307)</f>
        <v>-164792.19846715246</v>
      </c>
      <c r="M36" s="194"/>
      <c r="N36" s="226">
        <f>C36/'1. Väestöennuste'!BJ8*1000</f>
        <v>-7116.5207641554189</v>
      </c>
      <c r="O36" s="226">
        <f>D36/'1. Väestöennuste'!BK8*1000</f>
        <v>-6210.5851084318783</v>
      </c>
      <c r="P36" s="226">
        <f>E36/'1. Väestöennuste'!BL8*1000</f>
        <v>-6618.3008495065314</v>
      </c>
      <c r="Q36" s="226">
        <f>F36/'1. Väestöennuste'!BM8*1000</f>
        <v>-7054.695403552445</v>
      </c>
      <c r="R36" s="226">
        <f>G36/'1. Väestöennuste'!BN8*1000</f>
        <v>-2705.4263715159077</v>
      </c>
      <c r="S36" s="226">
        <f>H36/'1. Väestöennuste'!BO8*1000</f>
        <v>-2707.3430911742812</v>
      </c>
      <c r="T36" s="226">
        <f>I36/'1. Väestöennuste'!BP8*1000</f>
        <v>-3126.2947343554974</v>
      </c>
      <c r="U36" s="226">
        <f>J36/'1. Väestöennuste'!BQ8*1000</f>
        <v>-3277.2891493824395</v>
      </c>
      <c r="V36" s="226">
        <f>K36/'1. Väestöennuste'!BR8*1000</f>
        <v>-3429.0837122072207</v>
      </c>
      <c r="W36" s="226">
        <f>L36/'1. Väestöennuste'!BS8*1000</f>
        <v>-3570.4857318358636</v>
      </c>
      <c r="X36" s="159"/>
      <c r="Z36" s="193" t="s">
        <v>780</v>
      </c>
      <c r="AA36" s="226">
        <f t="shared" si="34"/>
        <v>7584</v>
      </c>
      <c r="AB36" s="226">
        <f t="shared" si="28"/>
        <v>-17522.732940000016</v>
      </c>
      <c r="AC36" s="226">
        <f t="shared" si="29"/>
        <v>-17070.565519999887</v>
      </c>
      <c r="AD36" s="226">
        <f t="shared" si="30"/>
        <v>222529.26670999988</v>
      </c>
      <c r="AE36" s="226">
        <f t="shared" si="31"/>
        <v>519.25607996428153</v>
      </c>
      <c r="AF36" s="226">
        <f t="shared" si="31"/>
        <v>-14397.561664554087</v>
      </c>
      <c r="AG36" s="226">
        <f t="shared" si="31"/>
        <v>-5679.9666019243305</v>
      </c>
      <c r="AH36" s="226">
        <f t="shared" si="31"/>
        <v>-5634.9862943859771</v>
      </c>
      <c r="AI36" s="226">
        <f t="shared" si="31"/>
        <v>-5068.9082362523186</v>
      </c>
      <c r="AJ36" s="194"/>
      <c r="AK36" s="226">
        <f t="shared" si="35"/>
        <v>905.93565572354055</v>
      </c>
      <c r="AL36" s="226">
        <f t="shared" si="35"/>
        <v>-407.71574107465312</v>
      </c>
      <c r="AM36" s="226">
        <f t="shared" si="35"/>
        <v>-436.39455404591354</v>
      </c>
      <c r="AN36" s="226">
        <f t="shared" si="35"/>
        <v>4349.2690320365373</v>
      </c>
      <c r="AO36" s="226">
        <f t="shared" si="35"/>
        <v>-1.9167196583734949</v>
      </c>
      <c r="AP36" s="226">
        <f t="shared" si="35"/>
        <v>-418.95164318121624</v>
      </c>
      <c r="AQ36" s="226">
        <f t="shared" si="36"/>
        <v>-150.99441502694208</v>
      </c>
      <c r="AR36" s="226">
        <f t="shared" si="36"/>
        <v>-151.79456282478122</v>
      </c>
      <c r="AS36" s="226">
        <f t="shared" si="36"/>
        <v>-141.40201962864285</v>
      </c>
      <c r="AT36" s="288"/>
      <c r="AU36" s="235">
        <f t="shared" si="33"/>
        <v>-2.2978336615664285</v>
      </c>
      <c r="AV36" s="235">
        <f t="shared" si="33"/>
        <v>5.4339784473401931</v>
      </c>
      <c r="AW36" s="235">
        <f t="shared" si="33"/>
        <v>5.0209209500517327</v>
      </c>
      <c r="AX36" s="235">
        <f t="shared" si="33"/>
        <v>-62.322775984205059</v>
      </c>
      <c r="AY36" s="235">
        <f t="shared" si="33"/>
        <v>-0.38597781715329349</v>
      </c>
      <c r="AZ36" s="235">
        <f t="shared" si="33"/>
        <v>10.743585053193083</v>
      </c>
      <c r="BA36" s="235">
        <f t="shared" si="33"/>
        <v>3.8272557350458758</v>
      </c>
      <c r="BB36" s="235">
        <f t="shared" si="33"/>
        <v>3.6569850861020825</v>
      </c>
      <c r="BC36" s="235">
        <f t="shared" si="33"/>
        <v>3.1735561100228793</v>
      </c>
      <c r="BD36" s="202">
        <f t="shared" si="37"/>
        <v>19.186900778915206</v>
      </c>
    </row>
    <row r="37" spans="1:56" x14ac:dyDescent="0.2">
      <c r="A37" s="3"/>
      <c r="B37" s="3" t="s">
        <v>694</v>
      </c>
      <c r="C37" s="192">
        <f>'2. Toimintakate'!H13</f>
        <v>-30356935</v>
      </c>
      <c r="D37" s="192">
        <f>'2. Toimintakate'!I13</f>
        <v>-31221279</v>
      </c>
      <c r="E37" s="192">
        <f>'2. Toimintakate'!J13</f>
        <v>-32280237.873019982</v>
      </c>
      <c r="F37" s="192">
        <f>'2. Toimintakate'!K13</f>
        <v>-34391779.482380003</v>
      </c>
      <c r="G37" s="192">
        <f>'2. Toimintakate'!L13</f>
        <v>-14269220.700210003</v>
      </c>
      <c r="H37" s="192">
        <f>'2. Toimintakate'!M13</f>
        <v>-14660837.197793601</v>
      </c>
      <c r="I37" s="192">
        <f>'2. Toimintakate'!N13</f>
        <v>-16324299.709038125</v>
      </c>
      <c r="J37" s="192">
        <f>'2. Toimintakate'!O13</f>
        <v>-16941404.288904123</v>
      </c>
      <c r="K37" s="192">
        <f>'2. Toimintakate'!P13</f>
        <v>-17535253.551081069</v>
      </c>
      <c r="L37" s="192">
        <f>'2. Toimintakate'!Q13</f>
        <v>-18062278.77034596</v>
      </c>
      <c r="M37" s="196"/>
      <c r="N37" s="192">
        <f>C37/'1. Väestöennuste'!BJ9*1000</f>
        <v>-5524.0548108529883</v>
      </c>
      <c r="O37" s="192">
        <f>D37/'1. Väestöennuste'!BK9*1000</f>
        <v>-5672.8170542387761</v>
      </c>
      <c r="P37" s="192">
        <f>E37/'1. Väestöennuste'!BL9*1000</f>
        <v>-5850.0979400340357</v>
      </c>
      <c r="Q37" s="192">
        <f>F37/'1. Väestöennuste'!BM9*1000</f>
        <v>-6215.0699574617738</v>
      </c>
      <c r="R37" s="192">
        <f>G37/'1. Väestöennuste'!BN9*1000</f>
        <v>-2560.2775909127613</v>
      </c>
      <c r="S37" s="192">
        <f>H37/'1. Väestöennuste'!BO9*1000</f>
        <v>-2647.0514141044036</v>
      </c>
      <c r="T37" s="192">
        <f>I37/'1. Väestöennuste'!BP9*1000</f>
        <v>-2944.0242956966213</v>
      </c>
      <c r="U37" s="192">
        <f>J37/'1. Väestöennuste'!BQ9*1000</f>
        <v>-3052.1819109802641</v>
      </c>
      <c r="V37" s="192">
        <f>K37/'1. Väestöennuste'!BR9*1000</f>
        <v>-3156.2652806805463</v>
      </c>
      <c r="W37" s="192">
        <f>L37/'1. Väestöennuste'!BS9*1000</f>
        <v>-3248.592592694783</v>
      </c>
      <c r="X37" s="122"/>
      <c r="Y37" s="106"/>
      <c r="Z37" s="3" t="s">
        <v>694</v>
      </c>
      <c r="AA37" s="166">
        <f>D37-C37</f>
        <v>-864344</v>
      </c>
      <c r="AB37" s="166">
        <f t="shared" si="28"/>
        <v>-1058958.8730199821</v>
      </c>
      <c r="AC37" s="166">
        <f t="shared" si="29"/>
        <v>-2111541.6093600206</v>
      </c>
      <c r="AD37" s="166">
        <f t="shared" si="30"/>
        <v>20122558.782169998</v>
      </c>
      <c r="AE37" s="166">
        <f t="shared" si="31"/>
        <v>-391616.4975835979</v>
      </c>
      <c r="AF37" s="166">
        <f t="shared" si="31"/>
        <v>-1663462.5112445243</v>
      </c>
      <c r="AG37" s="166">
        <f t="shared" si="31"/>
        <v>-617104.57986599766</v>
      </c>
      <c r="AH37" s="166">
        <f t="shared" si="31"/>
        <v>-593849.26217694581</v>
      </c>
      <c r="AI37" s="166">
        <f t="shared" si="31"/>
        <v>-527025.219264891</v>
      </c>
      <c r="AJ37" s="196"/>
      <c r="AK37" s="192">
        <f t="shared" si="35"/>
        <v>-148.76224338578777</v>
      </c>
      <c r="AL37" s="192">
        <f t="shared" si="35"/>
        <v>-177.28088579525956</v>
      </c>
      <c r="AM37" s="192">
        <f t="shared" si="35"/>
        <v>-364.97201742773814</v>
      </c>
      <c r="AN37" s="192">
        <f t="shared" si="35"/>
        <v>3654.7923665490125</v>
      </c>
      <c r="AO37" s="192">
        <f t="shared" si="35"/>
        <v>-86.77382319164235</v>
      </c>
      <c r="AP37" s="192">
        <f t="shared" si="35"/>
        <v>-296.97288159221762</v>
      </c>
      <c r="AQ37" s="192">
        <f>U37-T37</f>
        <v>-108.15761528364283</v>
      </c>
      <c r="AR37" s="192">
        <f>V37-U37</f>
        <v>-104.08336970028222</v>
      </c>
      <c r="AS37" s="192">
        <f>W37-V37</f>
        <v>-92.327312014236668</v>
      </c>
      <c r="AT37" s="199"/>
      <c r="AU37" s="69">
        <f t="shared" si="33"/>
        <v>2.8472703189567738</v>
      </c>
      <c r="AV37" s="69">
        <f t="shared" si="33"/>
        <v>3.3917856889206233</v>
      </c>
      <c r="AW37" s="69">
        <f t="shared" si="33"/>
        <v>6.5412826809583713</v>
      </c>
      <c r="AX37" s="69">
        <f t="shared" si="33"/>
        <v>-58.5097924126881</v>
      </c>
      <c r="AY37" s="69">
        <f t="shared" si="33"/>
        <v>2.744484129941549</v>
      </c>
      <c r="AZ37" s="69">
        <f t="shared" si="33"/>
        <v>11.34629959259672</v>
      </c>
      <c r="BA37" s="69">
        <f t="shared" si="33"/>
        <v>3.7802821000911369</v>
      </c>
      <c r="BB37" s="69">
        <f t="shared" si="33"/>
        <v>3.5053130900482232</v>
      </c>
      <c r="BC37" s="69">
        <f t="shared" si="33"/>
        <v>3.0055180994654096</v>
      </c>
      <c r="BD37" s="418">
        <f t="shared" si="37"/>
        <v>19.60608602706575</v>
      </c>
    </row>
    <row r="40" spans="1:56" x14ac:dyDescent="0.2">
      <c r="BD40" s="4" t="s">
        <v>814</v>
      </c>
    </row>
    <row r="41" spans="1:56" x14ac:dyDescent="0.2">
      <c r="B41" s="190" t="s">
        <v>746</v>
      </c>
      <c r="C41" s="132">
        <v>2019</v>
      </c>
      <c r="D41" s="132">
        <v>2020</v>
      </c>
      <c r="E41" s="132">
        <v>2021</v>
      </c>
      <c r="F41" s="132">
        <v>2022</v>
      </c>
      <c r="G41" s="132">
        <v>2023</v>
      </c>
      <c r="H41" s="132">
        <v>2024</v>
      </c>
      <c r="I41" s="132">
        <v>2025</v>
      </c>
      <c r="J41" s="132">
        <v>2026</v>
      </c>
      <c r="K41" s="132">
        <v>2027</v>
      </c>
      <c r="L41" s="132">
        <v>2028</v>
      </c>
      <c r="M41" s="136" t="s">
        <v>319</v>
      </c>
      <c r="N41" s="132">
        <v>2019</v>
      </c>
      <c r="O41" s="132">
        <v>2020</v>
      </c>
      <c r="P41" s="132">
        <v>2021</v>
      </c>
      <c r="Q41" s="132">
        <v>2022</v>
      </c>
      <c r="R41" s="132">
        <v>2023</v>
      </c>
      <c r="S41" s="132">
        <v>2024</v>
      </c>
      <c r="T41" s="132">
        <v>2025</v>
      </c>
      <c r="U41" s="132">
        <v>2026</v>
      </c>
      <c r="V41" s="132">
        <v>2027</v>
      </c>
      <c r="W41" s="132">
        <v>2028</v>
      </c>
      <c r="X41" s="197"/>
      <c r="Z41" s="190" t="s">
        <v>783</v>
      </c>
      <c r="AA41" s="132">
        <v>2020</v>
      </c>
      <c r="AB41" s="132">
        <v>2021</v>
      </c>
      <c r="AC41" s="132">
        <v>2022</v>
      </c>
      <c r="AD41" s="132">
        <v>2023</v>
      </c>
      <c r="AE41" s="132">
        <v>2024</v>
      </c>
      <c r="AF41" s="132">
        <v>2025</v>
      </c>
      <c r="AG41" s="132">
        <v>2026</v>
      </c>
      <c r="AH41" s="132">
        <v>2027</v>
      </c>
      <c r="AI41" s="132">
        <v>2028</v>
      </c>
      <c r="AJ41" s="136" t="s">
        <v>319</v>
      </c>
      <c r="AK41" s="132">
        <v>2020</v>
      </c>
      <c r="AL41" s="132">
        <v>2021</v>
      </c>
      <c r="AM41" s="132">
        <v>2022</v>
      </c>
      <c r="AN41" s="132">
        <v>2023</v>
      </c>
      <c r="AO41" s="132">
        <v>2024</v>
      </c>
      <c r="AP41" s="132">
        <v>2025</v>
      </c>
      <c r="AQ41" s="132">
        <v>2026</v>
      </c>
      <c r="AR41" s="132">
        <v>2027</v>
      </c>
      <c r="AS41" s="132">
        <v>2028</v>
      </c>
      <c r="AT41" s="200" t="s">
        <v>731</v>
      </c>
      <c r="AU41" s="132">
        <v>2020</v>
      </c>
      <c r="AV41" s="132">
        <v>2021</v>
      </c>
      <c r="AW41" s="132">
        <v>2022</v>
      </c>
      <c r="AX41" s="132">
        <v>2023</v>
      </c>
      <c r="AY41" s="132">
        <v>2024</v>
      </c>
      <c r="AZ41" s="132">
        <v>2025</v>
      </c>
      <c r="BA41" s="132">
        <v>2026</v>
      </c>
      <c r="BB41" s="132">
        <v>2027</v>
      </c>
      <c r="BC41" s="132">
        <v>2028</v>
      </c>
      <c r="BD41" s="151" t="s">
        <v>731</v>
      </c>
    </row>
    <row r="42" spans="1:56" x14ac:dyDescent="0.2">
      <c r="B42" s="133" t="s">
        <v>774</v>
      </c>
      <c r="C42" s="43">
        <f>SUMIF('1. Väestöennuste'!$X$15:$X$307,'1. Väestöennuste'!$U2,'3. Verotulot'!AA$15:AA$307)</f>
        <v>10049609</v>
      </c>
      <c r="D42" s="43">
        <f>SUMIF('1. Väestöennuste'!$X$15:$X$307,'1. Väestöennuste'!$U2,'3. Verotulot'!AF$15:AF$307)</f>
        <v>10459967</v>
      </c>
      <c r="E42" s="43">
        <f>SUMIF('1. Väestöennuste'!$X$15:$X$307,'1. Väestöennuste'!$U2,'3. Verotulot'!AK$15:AK$307)</f>
        <v>11204904.43352</v>
      </c>
      <c r="F42" s="43">
        <f>SUMIF('1. Väestöennuste'!$X$15:$X$307,'1. Väestöennuste'!$U2,'3. Verotulot'!AP$15:AP$307)</f>
        <v>11950462.334629999</v>
      </c>
      <c r="G42" s="43">
        <f>SUMIF('1. Väestöennuste'!$X$15:$X$307,'1. Väestöennuste'!$U2,'3. Verotulot'!AU$15:AU$307)</f>
        <v>6261072.02092</v>
      </c>
      <c r="H42" s="43">
        <f>SUMIF('1. Väestöennuste'!$X$15:$X$307,'1. Väestöennuste'!$U2,'3. Verotulot'!AZ$15:AZ$307)</f>
        <v>5839053.3125453535</v>
      </c>
      <c r="I42" s="43">
        <f>SUMIF('1. Väestöennuste'!$X$15:$X$307,'1. Väestöennuste'!$U2,'3. Verotulot'!BE$15:BE$307)</f>
        <v>6076824.5654417938</v>
      </c>
      <c r="J42" s="43">
        <f>SUMIF('1. Väestöennuste'!$X$15:$X$307,'1. Väestöennuste'!$U2,'3. Verotulot'!BJ$15:BJ$307)</f>
        <v>6358124.9263114966</v>
      </c>
      <c r="K42" s="43">
        <f>SUMIF('1. Väestöennuste'!$X$15:$X$307,'1. Väestöennuste'!$U2,'3. Verotulot'!BO$15:BO$307)</f>
        <v>6632947.3074163301</v>
      </c>
      <c r="L42" s="43">
        <f>SUMIF('1. Väestöennuste'!$X$15:$X$307,'1. Väestöennuste'!$U2,'3. Verotulot'!BT$15:BT$307)</f>
        <v>6907996.0287622493</v>
      </c>
      <c r="M42" s="136"/>
      <c r="N42" s="43">
        <f>C42/'1. Väestöennuste'!BJ2*1000</f>
        <v>4577.4982383917195</v>
      </c>
      <c r="O42" s="43">
        <f>D42/'1. Väestöennuste'!BK2*1000</f>
        <v>4725.9855021126941</v>
      </c>
      <c r="P42" s="43">
        <f>E42/'1. Väestöennuste'!BL2*1000</f>
        <v>5025.1864373613353</v>
      </c>
      <c r="Q42" s="43">
        <f>F42/'1. Väestöennuste'!BM2*1000</f>
        <v>5288.905736594359</v>
      </c>
      <c r="R42" s="43">
        <f>G42/'1. Väestöennuste'!BN2*1000</f>
        <v>2722.2371831843243</v>
      </c>
      <c r="S42" s="43">
        <f>H42/'1. Väestöennuste'!BO2*1000</f>
        <v>2538.2740817784334</v>
      </c>
      <c r="T42" s="43">
        <f>I42/'1. Väestöennuste'!BP2*1000</f>
        <v>2620.2741710526561</v>
      </c>
      <c r="U42" s="43">
        <f>J42/'1. Väestöennuste'!BQ2*1000</f>
        <v>2720.5830124415647</v>
      </c>
      <c r="V42" s="43">
        <f>K42/'1. Väestöennuste'!BR2*1000</f>
        <v>2817.5718426702324</v>
      </c>
      <c r="W42" s="43">
        <f>L42/'1. Väestöennuste'!BS2*1000</f>
        <v>2914.1994020413113</v>
      </c>
      <c r="X42" s="159"/>
      <c r="Z42" s="133" t="s">
        <v>774</v>
      </c>
      <c r="AA42" s="41">
        <f t="shared" ref="AA42:AI49" si="38">D42-C42</f>
        <v>410358</v>
      </c>
      <c r="AB42" s="41">
        <f t="shared" si="38"/>
        <v>744937.43352000043</v>
      </c>
      <c r="AC42" s="41">
        <f t="shared" si="38"/>
        <v>745557.90110999905</v>
      </c>
      <c r="AD42" s="41">
        <f t="shared" si="38"/>
        <v>-5689390.3137099994</v>
      </c>
      <c r="AE42" s="41">
        <f t="shared" si="38"/>
        <v>-422018.70837464649</v>
      </c>
      <c r="AF42" s="41">
        <f t="shared" si="38"/>
        <v>237771.25289644022</v>
      </c>
      <c r="AG42" s="41">
        <f t="shared" si="38"/>
        <v>281300.36086970288</v>
      </c>
      <c r="AH42" s="41">
        <f t="shared" si="38"/>
        <v>274822.38110483345</v>
      </c>
      <c r="AI42" s="41">
        <f t="shared" si="38"/>
        <v>275048.72134591918</v>
      </c>
      <c r="AJ42" s="150"/>
      <c r="AK42" s="43">
        <f t="shared" ref="AK42:AP42" si="39">O42-N42</f>
        <v>148.48726372097462</v>
      </c>
      <c r="AL42" s="43">
        <f t="shared" si="39"/>
        <v>299.20093524864114</v>
      </c>
      <c r="AM42" s="43">
        <f t="shared" si="39"/>
        <v>263.71929923302378</v>
      </c>
      <c r="AN42" s="43">
        <f t="shared" si="39"/>
        <v>-2566.6685534100347</v>
      </c>
      <c r="AO42" s="43">
        <f t="shared" si="39"/>
        <v>-183.96310140589094</v>
      </c>
      <c r="AP42" s="43">
        <f t="shared" si="39"/>
        <v>82.000089274222773</v>
      </c>
      <c r="AQ42" s="43">
        <f>U42-T42</f>
        <v>100.3088413889086</v>
      </c>
      <c r="AR42" s="43">
        <f>V42-U42</f>
        <v>96.988830228667666</v>
      </c>
      <c r="AS42" s="43">
        <f>W42-V42</f>
        <v>96.62755937107886</v>
      </c>
      <c r="AT42" s="150"/>
      <c r="AU42" s="69">
        <f t="shared" ref="AU42:BC49" si="40">(D42/C42-1)*100</f>
        <v>4.0833230427173905</v>
      </c>
      <c r="AV42" s="69">
        <f t="shared" si="40"/>
        <v>7.1217952553769948</v>
      </c>
      <c r="AW42" s="69">
        <f t="shared" si="40"/>
        <v>6.6538532794588434</v>
      </c>
      <c r="AX42" s="69">
        <f t="shared" si="40"/>
        <v>-47.6081188693705</v>
      </c>
      <c r="AY42" s="69">
        <f t="shared" si="40"/>
        <v>-6.7403586313104729</v>
      </c>
      <c r="AZ42" s="69">
        <f t="shared" si="40"/>
        <v>4.0720856647358028</v>
      </c>
      <c r="BA42" s="69">
        <f t="shared" si="40"/>
        <v>4.6290683208040306</v>
      </c>
      <c r="BB42" s="69">
        <f t="shared" si="40"/>
        <v>4.3223809580643868</v>
      </c>
      <c r="BC42" s="69">
        <f t="shared" si="40"/>
        <v>4.1467044527609298</v>
      </c>
      <c r="BD42" s="202">
        <f>(K42/H42-1)*100</f>
        <v>13.596279266114507</v>
      </c>
    </row>
    <row r="43" spans="1:56" x14ac:dyDescent="0.2">
      <c r="B43" s="134" t="s">
        <v>775</v>
      </c>
      <c r="C43" s="43">
        <f>SUMIF('1. Väestöennuste'!$X$15:$X$307,'1. Väestöennuste'!$U3,'3. Verotulot'!AA$15:AA$307)</f>
        <v>4114507</v>
      </c>
      <c r="D43" s="43">
        <f>SUMIF('1. Väestöennuste'!$X$15:$X$307,'1. Väestöennuste'!$U3,'3. Verotulot'!AF$15:AF$307)</f>
        <v>4301548</v>
      </c>
      <c r="E43" s="43">
        <f>SUMIF('1. Väestöennuste'!$X$15:$X$307,'1. Väestöennuste'!$U3,'3. Verotulot'!AK$15:AK$307)</f>
        <v>4593416.3614299996</v>
      </c>
      <c r="F43" s="43">
        <f>SUMIF('1. Väestöennuste'!$X$15:$X$307,'1. Väestöennuste'!$U3,'3. Verotulot'!AP$15:AP$307)</f>
        <v>4805815.7473900001</v>
      </c>
      <c r="G43" s="43">
        <f>SUMIF('1. Väestöennuste'!$X$15:$X$307,'1. Väestöennuste'!$U3,'3. Verotulot'!AU$15:AU$307)</f>
        <v>2656444.0570799997</v>
      </c>
      <c r="H43" s="43">
        <f>SUMIF('1. Väestöennuste'!$X$15:$X$307,'1. Väestöennuste'!$U3,'3. Verotulot'!AZ$15:AZ$307)</f>
        <v>2529460.2439655829</v>
      </c>
      <c r="I43" s="43">
        <f>SUMIF('1. Väestöennuste'!$X$15:$X$307,'1. Väestöennuste'!$U3,'3. Verotulot'!BE$15:BE$307)</f>
        <v>2641542.0450858288</v>
      </c>
      <c r="J43" s="43">
        <f>SUMIF('1. Väestöennuste'!$X$15:$X$307,'1. Väestöennuste'!$U3,'3. Verotulot'!BJ$15:BJ$307)</f>
        <v>2753399.1775640165</v>
      </c>
      <c r="K43" s="43">
        <f>SUMIF('1. Väestöennuste'!$X$15:$X$307,'1. Väestöennuste'!$U3,'3. Verotulot'!BO$15:BO$307)</f>
        <v>2856147.2936875839</v>
      </c>
      <c r="L43" s="43">
        <f>SUMIF('1. Väestöennuste'!$X$15:$X$307,'1. Väestöennuste'!$U3,'3. Verotulot'!BT$15:BT$307)</f>
        <v>2962480.0434874846</v>
      </c>
      <c r="M43" s="136"/>
      <c r="N43" s="43">
        <f>C43/'1. Väestöennuste'!BJ3*1000</f>
        <v>4066.0558781558943</v>
      </c>
      <c r="O43" s="43">
        <f>D43/'1. Väestöennuste'!BK3*1000</f>
        <v>4087.4047763616372</v>
      </c>
      <c r="P43" s="43">
        <f>E43/'1. Väestöennuste'!BL3*1000</f>
        <v>4354.741679462044</v>
      </c>
      <c r="Q43" s="43">
        <f>F43/'1. Väestöennuste'!BM3*1000</f>
        <v>4555.8283349923022</v>
      </c>
      <c r="R43" s="43">
        <f>G43/'1. Väestöennuste'!BN3*1000</f>
        <v>2506.4694571136069</v>
      </c>
      <c r="S43" s="43">
        <f>H43/'1. Väestöennuste'!BO3*1000</f>
        <v>2402.694103086727</v>
      </c>
      <c r="T43" s="43">
        <f>I43/'1. Väestöennuste'!BP3*1000</f>
        <v>2509.9575219952289</v>
      </c>
      <c r="U43" s="43">
        <f>J43/'1. Väestöennuste'!BQ3*1000</f>
        <v>2617.2946225995925</v>
      </c>
      <c r="V43" s="43">
        <f>K43/'1. Väestöennuste'!BR3*1000</f>
        <v>2716.2159943087786</v>
      </c>
      <c r="W43" s="43">
        <f>L43/'1. Väestöennuste'!BS3*1000</f>
        <v>2818.9020847051147</v>
      </c>
      <c r="X43" s="159"/>
      <c r="Z43" s="134" t="s">
        <v>775</v>
      </c>
      <c r="AA43" s="41">
        <f t="shared" si="38"/>
        <v>187041</v>
      </c>
      <c r="AB43" s="41">
        <f t="shared" si="38"/>
        <v>291868.36142999958</v>
      </c>
      <c r="AC43" s="41">
        <f t="shared" si="38"/>
        <v>212399.38596000057</v>
      </c>
      <c r="AD43" s="41">
        <f t="shared" si="38"/>
        <v>-2149371.6903100004</v>
      </c>
      <c r="AE43" s="41">
        <f t="shared" si="38"/>
        <v>-126983.81311441679</v>
      </c>
      <c r="AF43" s="41">
        <f t="shared" si="38"/>
        <v>112081.80112024583</v>
      </c>
      <c r="AG43" s="41">
        <f t="shared" si="38"/>
        <v>111857.13247818779</v>
      </c>
      <c r="AH43" s="41">
        <f t="shared" si="38"/>
        <v>102748.11612356734</v>
      </c>
      <c r="AI43" s="41">
        <f t="shared" si="38"/>
        <v>106332.74979990069</v>
      </c>
      <c r="AJ43" s="150"/>
      <c r="AK43" s="43">
        <f t="shared" ref="AK43:AP49" si="41">O43-N43</f>
        <v>21.348898205742898</v>
      </c>
      <c r="AL43" s="43">
        <f t="shared" si="41"/>
        <v>267.33690310040674</v>
      </c>
      <c r="AM43" s="43">
        <f t="shared" si="41"/>
        <v>201.08665553025821</v>
      </c>
      <c r="AN43" s="43">
        <f t="shared" si="41"/>
        <v>-2049.3588778786952</v>
      </c>
      <c r="AO43" s="43">
        <f t="shared" si="41"/>
        <v>-103.77535402688</v>
      </c>
      <c r="AP43" s="43">
        <f t="shared" si="41"/>
        <v>107.26341890850199</v>
      </c>
      <c r="AQ43" s="43">
        <f t="shared" ref="AQ43:AS49" si="42">U43-T43</f>
        <v>107.33710060436351</v>
      </c>
      <c r="AR43" s="43">
        <f t="shared" si="42"/>
        <v>98.921371709186133</v>
      </c>
      <c r="AS43" s="43">
        <f t="shared" si="42"/>
        <v>102.68609039633611</v>
      </c>
      <c r="AT43" s="150"/>
      <c r="AU43" s="69">
        <f t="shared" si="40"/>
        <v>4.5458909171864237</v>
      </c>
      <c r="AV43" s="69">
        <f t="shared" si="40"/>
        <v>6.785193642614229</v>
      </c>
      <c r="AW43" s="69">
        <f t="shared" si="40"/>
        <v>4.6239959378269191</v>
      </c>
      <c r="AX43" s="69">
        <f t="shared" si="40"/>
        <v>-44.724388184821841</v>
      </c>
      <c r="AY43" s="69">
        <f t="shared" si="40"/>
        <v>-4.7802178546157315</v>
      </c>
      <c r="AZ43" s="69">
        <f t="shared" si="40"/>
        <v>4.431056047930948</v>
      </c>
      <c r="BA43" s="69">
        <f t="shared" si="40"/>
        <v>4.2345391657225395</v>
      </c>
      <c r="BB43" s="69">
        <f t="shared" si="40"/>
        <v>3.731682531207503</v>
      </c>
      <c r="BC43" s="69">
        <f t="shared" si="40"/>
        <v>3.7229434922669613</v>
      </c>
      <c r="BD43" s="202">
        <f t="shared" ref="BD43:BD49" si="43">(K43/H43-1)*100</f>
        <v>12.915286986674857</v>
      </c>
    </row>
    <row r="44" spans="1:56" x14ac:dyDescent="0.2">
      <c r="B44" s="133" t="s">
        <v>776</v>
      </c>
      <c r="C44" s="43">
        <f>SUMIF('1. Väestöennuste'!$X$15:$X$307,'1. Väestöennuste'!$U4,'3. Verotulot'!AA$15:AA$307)</f>
        <v>3361211</v>
      </c>
      <c r="D44" s="43">
        <f>SUMIF('1. Väestöennuste'!$X$15:$X$307,'1. Väestöennuste'!$U4,'3. Verotulot'!AF$15:AF$307)</f>
        <v>3503666</v>
      </c>
      <c r="E44" s="43">
        <f>SUMIF('1. Väestöennuste'!$X$15:$X$307,'1. Väestöennuste'!$U4,'3. Verotulot'!AK$15:AK$307)</f>
        <v>3698846.8118099999</v>
      </c>
      <c r="F44" s="43">
        <f>SUMIF('1. Väestöennuste'!$X$15:$X$307,'1. Väestöennuste'!$U4,'3. Verotulot'!AP$15:AP$307)</f>
        <v>3862638.79213</v>
      </c>
      <c r="G44" s="43">
        <f>SUMIF('1. Väestöennuste'!$X$15:$X$307,'1. Väestöennuste'!$U4,'3. Verotulot'!AU$15:AU$307)</f>
        <v>2092010.26251</v>
      </c>
      <c r="H44" s="43">
        <f>SUMIF('1. Väestöennuste'!$X$15:$X$307,'1. Väestöennuste'!$U4,'3. Verotulot'!AZ$15:AZ$307)</f>
        <v>2035833.564229249</v>
      </c>
      <c r="I44" s="43">
        <f>SUMIF('1. Väestöennuste'!$X$15:$X$307,'1. Väestöennuste'!$U4,'3. Verotulot'!BE$15:BE$307)</f>
        <v>2129339.9037835328</v>
      </c>
      <c r="J44" s="43">
        <f>SUMIF('1. Väestöennuste'!$X$15:$X$307,'1. Väestöennuste'!$U4,'3. Verotulot'!BJ$15:BJ$307)</f>
        <v>2217835.8033687263</v>
      </c>
      <c r="K44" s="43">
        <f>SUMIF('1. Väestöennuste'!$X$15:$X$307,'1. Väestöennuste'!$U4,'3. Verotulot'!BO$15:BO$307)</f>
        <v>2298332.0826579994</v>
      </c>
      <c r="L44" s="43">
        <f>SUMIF('1. Väestöennuste'!$X$15:$X$307,'1. Väestöennuste'!$U4,'3. Verotulot'!BT$15:BT$307)</f>
        <v>2381727.5693504955</v>
      </c>
      <c r="M44" s="136"/>
      <c r="N44" s="43">
        <f>C44/'1. Väestöennuste'!BJ4*1000</f>
        <v>4108.2713953434368</v>
      </c>
      <c r="O44" s="43">
        <f>D44/'1. Väestöennuste'!BK4*1000</f>
        <v>4618.448664951281</v>
      </c>
      <c r="P44" s="43">
        <f>E44/'1. Väestöennuste'!BL4*1000</f>
        <v>4863.9917047162553</v>
      </c>
      <c r="Q44" s="43">
        <f>F44/'1. Väestöennuste'!BM4*1000</f>
        <v>5084.0450198287081</v>
      </c>
      <c r="R44" s="43">
        <f>G44/'1. Väestöennuste'!BN4*1000</f>
        <v>2744.6998983337708</v>
      </c>
      <c r="S44" s="43">
        <f>H44/'1. Väestöennuste'!BO4*1000</f>
        <v>2695.522186556042</v>
      </c>
      <c r="T44" s="43">
        <f>I44/'1. Väestöennuste'!BP4*1000</f>
        <v>2822.8414858098736</v>
      </c>
      <c r="U44" s="43">
        <f>J44/'1. Väestöennuste'!BQ4*1000</f>
        <v>2943.9881426927486</v>
      </c>
      <c r="V44" s="43">
        <f>K44/'1. Väestöennuste'!BR4*1000</f>
        <v>3055.0454570514421</v>
      </c>
      <c r="W44" s="43">
        <f>L44/'1. Väestöennuste'!BS4*1000</f>
        <v>3170.5680776338831</v>
      </c>
      <c r="X44" s="159"/>
      <c r="Z44" s="133" t="s">
        <v>776</v>
      </c>
      <c r="AA44" s="41">
        <f t="shared" si="38"/>
        <v>142455</v>
      </c>
      <c r="AB44" s="41">
        <f t="shared" si="38"/>
        <v>195180.81180999987</v>
      </c>
      <c r="AC44" s="41">
        <f t="shared" si="38"/>
        <v>163791.98032000009</v>
      </c>
      <c r="AD44" s="41">
        <f t="shared" si="38"/>
        <v>-1770628.5296199999</v>
      </c>
      <c r="AE44" s="41">
        <f t="shared" si="38"/>
        <v>-56176.698280751007</v>
      </c>
      <c r="AF44" s="41">
        <f t="shared" si="38"/>
        <v>93506.339554283768</v>
      </c>
      <c r="AG44" s="41">
        <f t="shared" si="38"/>
        <v>88495.899585193489</v>
      </c>
      <c r="AH44" s="41">
        <f t="shared" si="38"/>
        <v>80496.279289273079</v>
      </c>
      <c r="AI44" s="41">
        <f t="shared" si="38"/>
        <v>83395.48669249611</v>
      </c>
      <c r="AJ44" s="150"/>
      <c r="AK44" s="43">
        <f t="shared" si="41"/>
        <v>510.17726960784421</v>
      </c>
      <c r="AL44" s="43">
        <f t="shared" si="41"/>
        <v>245.54303976497431</v>
      </c>
      <c r="AM44" s="43">
        <f t="shared" si="41"/>
        <v>220.05331511245276</v>
      </c>
      <c r="AN44" s="43">
        <f t="shared" si="41"/>
        <v>-2339.3451214949373</v>
      </c>
      <c r="AO44" s="43">
        <f t="shared" si="41"/>
        <v>-49.177711777728746</v>
      </c>
      <c r="AP44" s="43">
        <f t="shared" si="41"/>
        <v>127.31929925383156</v>
      </c>
      <c r="AQ44" s="43">
        <f t="shared" si="42"/>
        <v>121.14665688287505</v>
      </c>
      <c r="AR44" s="43">
        <f t="shared" si="42"/>
        <v>111.05731435869347</v>
      </c>
      <c r="AS44" s="43">
        <f t="shared" si="42"/>
        <v>115.52262058244105</v>
      </c>
      <c r="AT44" s="150"/>
      <c r="AU44" s="69">
        <f t="shared" si="40"/>
        <v>4.2382046232741777</v>
      </c>
      <c r="AV44" s="69">
        <f t="shared" si="40"/>
        <v>5.5707596503205448</v>
      </c>
      <c r="AW44" s="69">
        <f t="shared" si="40"/>
        <v>4.4281904240270453</v>
      </c>
      <c r="AX44" s="69">
        <f t="shared" si="40"/>
        <v>-45.839868155096397</v>
      </c>
      <c r="AY44" s="69">
        <f t="shared" si="40"/>
        <v>-2.6852974522863948</v>
      </c>
      <c r="AZ44" s="69">
        <f t="shared" si="40"/>
        <v>4.5930247539505809</v>
      </c>
      <c r="BA44" s="69">
        <f t="shared" si="40"/>
        <v>4.1560250398702925</v>
      </c>
      <c r="BB44" s="69">
        <f t="shared" si="40"/>
        <v>3.629496789933917</v>
      </c>
      <c r="BC44" s="69">
        <f t="shared" si="40"/>
        <v>3.6285220626625092</v>
      </c>
      <c r="BD44" s="202">
        <f t="shared" si="43"/>
        <v>12.893908570965639</v>
      </c>
    </row>
    <row r="45" spans="1:56" x14ac:dyDescent="0.2">
      <c r="B45" s="133" t="s">
        <v>777</v>
      </c>
      <c r="C45" s="43">
        <f>SUMIF('1. Väestöennuste'!$X$15:$X$307,'1. Väestöennuste'!$U5,'3. Verotulot'!AA$15:AA$307)</f>
        <v>2224341</v>
      </c>
      <c r="D45" s="43">
        <f>SUMIF('1. Väestöennuste'!$X$15:$X$307,'1. Väestöennuste'!$U5,'3. Verotulot'!AF$15:AF$307)</f>
        <v>2305323</v>
      </c>
      <c r="E45" s="43">
        <f>SUMIF('1. Väestöennuste'!$X$15:$X$307,'1. Väestöennuste'!$U5,'3. Verotulot'!AK$15:AK$307)</f>
        <v>2434591.7214599992</v>
      </c>
      <c r="F45" s="43">
        <f>SUMIF('1. Väestöennuste'!$X$15:$X$307,'1. Väestöennuste'!$U5,'3. Verotulot'!AP$15:AP$307)</f>
        <v>2541493.1834099991</v>
      </c>
      <c r="G45" s="43">
        <f>SUMIF('1. Väestöennuste'!$X$15:$X$307,'1. Väestöennuste'!$U5,'3. Verotulot'!AU$15:AU$307)</f>
        <v>1408812.8471499998</v>
      </c>
      <c r="H45" s="43">
        <f>SUMIF('1. Väestöennuste'!$X$15:$X$307,'1. Väestöennuste'!$U5,'3. Verotulot'!AZ$15:AZ$307)</f>
        <v>1374673.9200751025</v>
      </c>
      <c r="I45" s="43">
        <f>SUMIF('1. Väestöennuste'!$X$15:$X$307,'1. Väestöennuste'!$U5,'3. Verotulot'!BE$15:BE$307)</f>
        <v>1437220.1056563735</v>
      </c>
      <c r="J45" s="43">
        <f>SUMIF('1. Väestöennuste'!$X$15:$X$307,'1. Väestöennuste'!$U5,'3. Verotulot'!BJ$15:BJ$307)</f>
        <v>1496546.7118544159</v>
      </c>
      <c r="K45" s="43">
        <f>SUMIF('1. Väestöennuste'!$X$15:$X$307,'1. Väestöennuste'!$U5,'3. Verotulot'!BO$15:BO$307)</f>
        <v>1549046.9170948179</v>
      </c>
      <c r="L45" s="43">
        <f>SUMIF('1. Väestöennuste'!$X$15:$X$307,'1. Väestöennuste'!$U5,'3. Verotulot'!BT$15:BT$307)</f>
        <v>1603259.25503547</v>
      </c>
      <c r="M45" s="136"/>
      <c r="N45" s="43">
        <f>C45/'1. Väestöennuste'!BJ5*1000</f>
        <v>3733.4813740596392</v>
      </c>
      <c r="O45" s="43">
        <f>D45/'1. Väestöennuste'!BK5*1000</f>
        <v>3819.0108739588236</v>
      </c>
      <c r="P45" s="43">
        <f>E45/'1. Väestöennuste'!BL5*1000</f>
        <v>4035.7588771912365</v>
      </c>
      <c r="Q45" s="43">
        <f>F45/'1. Väestöennuste'!BM5*1000</f>
        <v>4229.3440270818519</v>
      </c>
      <c r="R45" s="43">
        <f>G45/'1. Väestöennuste'!BN5*1000</f>
        <v>2346.7737105605515</v>
      </c>
      <c r="S45" s="43">
        <f>H45/'1. Väestöennuste'!BO5*1000</f>
        <v>2319.3027282736962</v>
      </c>
      <c r="T45" s="43">
        <f>I45/'1. Väestöennuste'!BP5*1000</f>
        <v>2435.8382960494851</v>
      </c>
      <c r="U45" s="43">
        <f>J45/'1. Väestöennuste'!BQ5*1000</f>
        <v>2547.842636010228</v>
      </c>
      <c r="V45" s="43">
        <f>K45/'1. Väestöennuste'!BR5*1000</f>
        <v>2649.1298959445389</v>
      </c>
      <c r="W45" s="43">
        <f>L45/'1. Väestöennuste'!BS5*1000</f>
        <v>2754.461755656162</v>
      </c>
      <c r="X45" s="159"/>
      <c r="Z45" s="133" t="s">
        <v>777</v>
      </c>
      <c r="AA45" s="41">
        <f t="shared" si="38"/>
        <v>80982</v>
      </c>
      <c r="AB45" s="41">
        <f t="shared" si="38"/>
        <v>129268.72145999921</v>
      </c>
      <c r="AC45" s="41">
        <f t="shared" si="38"/>
        <v>106901.46194999991</v>
      </c>
      <c r="AD45" s="41">
        <f t="shared" si="38"/>
        <v>-1132680.3362599993</v>
      </c>
      <c r="AE45" s="41">
        <f t="shared" si="38"/>
        <v>-34138.927074897336</v>
      </c>
      <c r="AF45" s="41">
        <f t="shared" si="38"/>
        <v>62546.185581271071</v>
      </c>
      <c r="AG45" s="41">
        <f t="shared" si="38"/>
        <v>59326.606198042398</v>
      </c>
      <c r="AH45" s="41">
        <f t="shared" si="38"/>
        <v>52500.205240401905</v>
      </c>
      <c r="AI45" s="41">
        <f t="shared" si="38"/>
        <v>54212.337940652156</v>
      </c>
      <c r="AJ45" s="150"/>
      <c r="AK45" s="43">
        <f t="shared" si="41"/>
        <v>85.52949989918443</v>
      </c>
      <c r="AL45" s="43">
        <f t="shared" si="41"/>
        <v>216.74800323241288</v>
      </c>
      <c r="AM45" s="43">
        <f t="shared" si="41"/>
        <v>193.58514989061541</v>
      </c>
      <c r="AN45" s="43">
        <f t="shared" si="41"/>
        <v>-1882.5703165213004</v>
      </c>
      <c r="AO45" s="43">
        <f t="shared" si="41"/>
        <v>-27.47098228685536</v>
      </c>
      <c r="AP45" s="43">
        <f t="shared" si="41"/>
        <v>116.53556777578888</v>
      </c>
      <c r="AQ45" s="43">
        <f t="shared" si="42"/>
        <v>112.00433996074298</v>
      </c>
      <c r="AR45" s="43">
        <f t="shared" si="42"/>
        <v>101.2872599343109</v>
      </c>
      <c r="AS45" s="43">
        <f t="shared" si="42"/>
        <v>105.33185971162311</v>
      </c>
      <c r="AT45" s="150"/>
      <c r="AU45" s="69">
        <f t="shared" si="40"/>
        <v>3.6407187567014221</v>
      </c>
      <c r="AV45" s="69">
        <f t="shared" si="40"/>
        <v>5.6074017159417178</v>
      </c>
      <c r="AW45" s="69">
        <f t="shared" si="40"/>
        <v>4.3909400088607997</v>
      </c>
      <c r="AX45" s="69">
        <f t="shared" si="40"/>
        <v>-44.567514233512419</v>
      </c>
      <c r="AY45" s="69">
        <f t="shared" si="40"/>
        <v>-2.4232407550768498</v>
      </c>
      <c r="AZ45" s="69">
        <f t="shared" si="40"/>
        <v>4.5498924994411771</v>
      </c>
      <c r="BA45" s="69">
        <f t="shared" si="40"/>
        <v>4.1278719915310402</v>
      </c>
      <c r="BB45" s="69">
        <f t="shared" si="40"/>
        <v>3.5080899797205412</v>
      </c>
      <c r="BC45" s="69">
        <f t="shared" si="40"/>
        <v>3.4997221415556279</v>
      </c>
      <c r="BD45" s="202">
        <f t="shared" si="43"/>
        <v>12.684680670321358</v>
      </c>
    </row>
    <row r="46" spans="1:56" x14ac:dyDescent="0.2">
      <c r="B46" s="133" t="s">
        <v>778</v>
      </c>
      <c r="C46" s="43">
        <f>SUMIF('1. Väestöennuste'!$X$15:$X$307,'1. Väestöennuste'!$U6,'3. Verotulot'!AA$15:AA$307)</f>
        <v>1987957</v>
      </c>
      <c r="D46" s="43">
        <f>SUMIF('1. Väestöennuste'!$X$15:$X$307,'1. Väestöennuste'!$U6,'3. Verotulot'!AF$15:AF$307)</f>
        <v>2050676</v>
      </c>
      <c r="E46" s="43">
        <f>SUMIF('1. Väestöennuste'!$X$15:$X$307,'1. Väestöennuste'!$U6,'3. Verotulot'!AK$15:AK$307)</f>
        <v>2183467.3933100002</v>
      </c>
      <c r="F46" s="43">
        <f>SUMIF('1. Väestöennuste'!$X$15:$X$307,'1. Väestöennuste'!$U6,'3. Verotulot'!AP$15:AP$307)</f>
        <v>2309762.8695399994</v>
      </c>
      <c r="G46" s="43">
        <f>SUMIF('1. Väestöennuste'!$X$15:$X$307,'1. Väestöennuste'!$U6,'3. Verotulot'!AU$15:AU$307)</f>
        <v>1275322.0728500001</v>
      </c>
      <c r="H46" s="43">
        <f>SUMIF('1. Väestöennuste'!$X$15:$X$307,'1. Väestöennuste'!$U6,'3. Verotulot'!AZ$15:AZ$307)</f>
        <v>1239914.4318348693</v>
      </c>
      <c r="I46" s="43">
        <f>SUMIF('1. Väestöennuste'!$X$15:$X$307,'1. Väestöennuste'!$U6,'3. Verotulot'!BE$15:BE$307)</f>
        <v>1293529.5539699201</v>
      </c>
      <c r="J46" s="43">
        <f>SUMIF('1. Väestöennuste'!$X$15:$X$307,'1. Väestöennuste'!$U6,'3. Verotulot'!BJ$15:BJ$307)</f>
        <v>1339553.9378961965</v>
      </c>
      <c r="K46" s="43">
        <f>SUMIF('1. Väestöennuste'!$X$15:$X$307,'1. Väestöennuste'!$U6,'3. Verotulot'!BO$15:BO$307)</f>
        <v>1381214.4783768733</v>
      </c>
      <c r="L46" s="43">
        <f>SUMIF('1. Väestöennuste'!$X$15:$X$307,'1. Väestöennuste'!$U6,'3. Verotulot'!BT$15:BT$307)</f>
        <v>1423988.6687937574</v>
      </c>
      <c r="M46" s="136"/>
      <c r="N46" s="43">
        <f>C46/'1. Väestöennuste'!BJ6*1000</f>
        <v>3731.717847495584</v>
      </c>
      <c r="O46" s="43">
        <f>D46/'1. Väestöennuste'!BK6*1000</f>
        <v>3844.5153101876067</v>
      </c>
      <c r="P46" s="43">
        <f>E46/'1. Väestöennuste'!BL6*1000</f>
        <v>4112.9207981276377</v>
      </c>
      <c r="Q46" s="43">
        <f>F46/'1. Väestöennuste'!BM6*1000</f>
        <v>4397.0692134339488</v>
      </c>
      <c r="R46" s="43">
        <f>G46/'1. Väestöennuste'!BN6*1000</f>
        <v>2445.7367150448658</v>
      </c>
      <c r="S46" s="43">
        <f>H46/'1. Väestöennuste'!BO6*1000</f>
        <v>2414.7936413216639</v>
      </c>
      <c r="T46" s="43">
        <f>I46/'1. Väestöennuste'!BP6*1000</f>
        <v>2533.8334034666204</v>
      </c>
      <c r="U46" s="43">
        <f>J46/'1. Väestöennuste'!BQ6*1000</f>
        <v>2646.7121194503211</v>
      </c>
      <c r="V46" s="43">
        <f>K46/'1. Väestöennuste'!BR6*1000</f>
        <v>2751.9440499235379</v>
      </c>
      <c r="W46" s="43">
        <f>L46/'1. Väestöennuste'!BS6*1000</f>
        <v>2860.6500171635494</v>
      </c>
      <c r="X46" s="159"/>
      <c r="Z46" s="133" t="s">
        <v>778</v>
      </c>
      <c r="AA46" s="41">
        <f t="shared" si="38"/>
        <v>62719</v>
      </c>
      <c r="AB46" s="41">
        <f t="shared" si="38"/>
        <v>132791.39331000019</v>
      </c>
      <c r="AC46" s="41">
        <f t="shared" si="38"/>
        <v>126295.47622999921</v>
      </c>
      <c r="AD46" s="41">
        <f t="shared" si="38"/>
        <v>-1034440.7966899993</v>
      </c>
      <c r="AE46" s="41">
        <f t="shared" si="38"/>
        <v>-35407.641015130794</v>
      </c>
      <c r="AF46" s="41">
        <f t="shared" si="38"/>
        <v>53615.122135050828</v>
      </c>
      <c r="AG46" s="41">
        <f t="shared" si="38"/>
        <v>46024.38392627635</v>
      </c>
      <c r="AH46" s="41">
        <f t="shared" si="38"/>
        <v>41660.540480676806</v>
      </c>
      <c r="AI46" s="41">
        <f t="shared" si="38"/>
        <v>42774.190416884143</v>
      </c>
      <c r="AJ46" s="150"/>
      <c r="AK46" s="43">
        <f t="shared" si="41"/>
        <v>112.79746269202269</v>
      </c>
      <c r="AL46" s="43">
        <f t="shared" si="41"/>
        <v>268.40548794003098</v>
      </c>
      <c r="AM46" s="43">
        <f t="shared" si="41"/>
        <v>284.14841530631111</v>
      </c>
      <c r="AN46" s="43">
        <f t="shared" si="41"/>
        <v>-1951.332498389083</v>
      </c>
      <c r="AO46" s="43">
        <f t="shared" si="41"/>
        <v>-30.943073723201906</v>
      </c>
      <c r="AP46" s="43">
        <f t="shared" si="41"/>
        <v>119.03976214495651</v>
      </c>
      <c r="AQ46" s="43">
        <f t="shared" si="42"/>
        <v>112.87871598370066</v>
      </c>
      <c r="AR46" s="43">
        <f t="shared" si="42"/>
        <v>105.23193047321683</v>
      </c>
      <c r="AS46" s="43">
        <f t="shared" si="42"/>
        <v>108.70596724001143</v>
      </c>
      <c r="AT46" s="132"/>
      <c r="AU46" s="69">
        <f t="shared" si="40"/>
        <v>3.1549475164704299</v>
      </c>
      <c r="AV46" s="69">
        <f t="shared" si="40"/>
        <v>6.4754936084491233</v>
      </c>
      <c r="AW46" s="69">
        <f t="shared" si="40"/>
        <v>5.7841704720189568</v>
      </c>
      <c r="AX46" s="69">
        <f t="shared" si="40"/>
        <v>-44.785584283637448</v>
      </c>
      <c r="AY46" s="69">
        <f t="shared" si="40"/>
        <v>-2.776368555748765</v>
      </c>
      <c r="AZ46" s="69">
        <f t="shared" si="40"/>
        <v>4.3240985634556361</v>
      </c>
      <c r="BA46" s="69">
        <f t="shared" si="40"/>
        <v>3.5580465699469155</v>
      </c>
      <c r="BB46" s="69">
        <f t="shared" si="40"/>
        <v>3.1100308320623382</v>
      </c>
      <c r="BC46" s="69">
        <f t="shared" si="40"/>
        <v>3.0968536086553256</v>
      </c>
      <c r="BD46" s="202">
        <f t="shared" si="43"/>
        <v>11.395951439399177</v>
      </c>
    </row>
    <row r="47" spans="1:56" x14ac:dyDescent="0.2">
      <c r="B47" s="133" t="s">
        <v>779</v>
      </c>
      <c r="C47" s="43">
        <f>SUMIF('1. Väestöennuste'!$X$15:$X$307,'1. Väestöennuste'!$U7,'3. Verotulot'!AA$15:AA$307)</f>
        <v>1011317</v>
      </c>
      <c r="D47" s="43">
        <f>SUMIF('1. Väestöennuste'!$X$15:$X$307,'1. Väestöennuste'!$U7,'3. Verotulot'!AF$15:AF$307)</f>
        <v>1035954</v>
      </c>
      <c r="E47" s="43">
        <f>SUMIF('1. Väestöennuste'!$X$15:$X$307,'1. Väestöennuste'!$U7,'3. Verotulot'!AK$15:AK$307)</f>
        <v>1118892.0730999999</v>
      </c>
      <c r="F47" s="43">
        <f>SUMIF('1. Väestöennuste'!$X$15:$X$307,'1. Väestöennuste'!$U7,'3. Verotulot'!AP$15:AP$307)</f>
        <v>1148777.8735400001</v>
      </c>
      <c r="G47" s="43">
        <f>SUMIF('1. Väestöennuste'!$X$15:$X$307,'1. Väestöennuste'!$U7,'3. Verotulot'!AU$15:AU$307)</f>
        <v>649712.32794999972</v>
      </c>
      <c r="H47" s="43">
        <f>SUMIF('1. Väestöennuste'!$X$15:$X$307,'1. Väestöennuste'!$U7,'3. Verotulot'!AZ$15:AZ$307)</f>
        <v>640157.39963765943</v>
      </c>
      <c r="I47" s="43">
        <f>SUMIF('1. Väestöennuste'!$X$15:$X$307,'1. Väestöennuste'!$U7,'3. Verotulot'!BE$15:BE$307)</f>
        <v>662052.79287202551</v>
      </c>
      <c r="J47" s="43">
        <f>SUMIF('1. Väestöennuste'!$X$15:$X$307,'1. Väestöennuste'!$U7,'3. Verotulot'!BJ$15:BJ$307)</f>
        <v>682440.45391546178</v>
      </c>
      <c r="K47" s="43">
        <f>SUMIF('1. Väestöennuste'!$X$15:$X$307,'1. Väestöennuste'!$U7,'3. Verotulot'!BO$15:BO$307)</f>
        <v>701559.00766653335</v>
      </c>
      <c r="L47" s="43">
        <f>SUMIF('1. Väestöennuste'!$X$15:$X$307,'1. Väestöennuste'!$U7,'3. Verotulot'!BT$15:BT$307)</f>
        <v>720893.99799157807</v>
      </c>
      <c r="M47" s="227"/>
      <c r="N47" s="43">
        <f>C47/'1. Väestöennuste'!BJ7*1000</f>
        <v>3427.9724356736347</v>
      </c>
      <c r="O47" s="43">
        <f>D47/'1. Väestöennuste'!BK7*1000</f>
        <v>3567.4329871346322</v>
      </c>
      <c r="P47" s="43">
        <f>E47/'1. Väestöennuste'!BL7*1000</f>
        <v>3893.437144328569</v>
      </c>
      <c r="Q47" s="43">
        <f>F47/'1. Väestöennuste'!BM7*1000</f>
        <v>4064.7437320076428</v>
      </c>
      <c r="R47" s="43">
        <f>G47/'1. Väestöennuste'!BN7*1000</f>
        <v>2321.9767983631741</v>
      </c>
      <c r="S47" s="43">
        <f>H47/'1. Väestöennuste'!BO7*1000</f>
        <v>2332.5016109894277</v>
      </c>
      <c r="T47" s="43">
        <f>I47/'1. Väestöennuste'!BP7*1000</f>
        <v>2443.1615121005289</v>
      </c>
      <c r="U47" s="43">
        <f>J47/'1. Väestöennuste'!BQ7*1000</f>
        <v>2549.4446915200192</v>
      </c>
      <c r="V47" s="43">
        <f>K47/'1. Väestöennuste'!BR7*1000</f>
        <v>2652.246593450403</v>
      </c>
      <c r="W47" s="43">
        <f>L47/'1. Väestöennuste'!BS7*1000</f>
        <v>2757.397483137921</v>
      </c>
      <c r="X47" s="159"/>
      <c r="Z47" s="133" t="s">
        <v>779</v>
      </c>
      <c r="AA47" s="43">
        <f t="shared" si="38"/>
        <v>24637</v>
      </c>
      <c r="AB47" s="43">
        <f t="shared" si="38"/>
        <v>82938.073099999921</v>
      </c>
      <c r="AC47" s="43">
        <f t="shared" si="38"/>
        <v>29885.800440000137</v>
      </c>
      <c r="AD47" s="43">
        <f t="shared" si="38"/>
        <v>-499065.54559000034</v>
      </c>
      <c r="AE47" s="43">
        <f t="shared" si="38"/>
        <v>-9554.9283123402856</v>
      </c>
      <c r="AF47" s="43">
        <f t="shared" si="38"/>
        <v>21895.393234366085</v>
      </c>
      <c r="AG47" s="41">
        <f t="shared" si="38"/>
        <v>20387.661043436266</v>
      </c>
      <c r="AH47" s="41">
        <f t="shared" si="38"/>
        <v>19118.553751071566</v>
      </c>
      <c r="AI47" s="41">
        <f t="shared" si="38"/>
        <v>19334.990325044724</v>
      </c>
      <c r="AJ47" s="286"/>
      <c r="AK47" s="43">
        <f t="shared" si="41"/>
        <v>139.46055146099752</v>
      </c>
      <c r="AL47" s="43">
        <f t="shared" si="41"/>
        <v>326.00415719393686</v>
      </c>
      <c r="AM47" s="43">
        <f t="shared" si="41"/>
        <v>171.3065876790738</v>
      </c>
      <c r="AN47" s="43">
        <f t="shared" si="41"/>
        <v>-1742.7669336444687</v>
      </c>
      <c r="AO47" s="43">
        <f>S47-R47</f>
        <v>10.524812626253606</v>
      </c>
      <c r="AP47" s="43">
        <f t="shared" si="41"/>
        <v>110.65990111110114</v>
      </c>
      <c r="AQ47" s="43">
        <f t="shared" si="42"/>
        <v>106.28317941949035</v>
      </c>
      <c r="AR47" s="43">
        <f t="shared" si="42"/>
        <v>102.80190193038379</v>
      </c>
      <c r="AS47" s="43">
        <f t="shared" si="42"/>
        <v>105.15088968751797</v>
      </c>
      <c r="AT47" s="199"/>
      <c r="AU47" s="234">
        <f t="shared" si="40"/>
        <v>2.4361303132450107</v>
      </c>
      <c r="AV47" s="234">
        <f t="shared" si="40"/>
        <v>8.0059609886153247</v>
      </c>
      <c r="AW47" s="234">
        <f t="shared" si="40"/>
        <v>2.6710172641762231</v>
      </c>
      <c r="AX47" s="234">
        <f t="shared" si="40"/>
        <v>-43.44317183374293</v>
      </c>
      <c r="AY47" s="234">
        <f t="shared" si="40"/>
        <v>-1.4706398357082762</v>
      </c>
      <c r="AZ47" s="234">
        <f t="shared" si="40"/>
        <v>3.4203140113289843</v>
      </c>
      <c r="BA47" s="69">
        <f t="shared" si="40"/>
        <v>3.0794615267754288</v>
      </c>
      <c r="BB47" s="69">
        <f t="shared" si="40"/>
        <v>2.8014977191606949</v>
      </c>
      <c r="BC47" s="69">
        <f t="shared" si="40"/>
        <v>2.7560034314654702</v>
      </c>
      <c r="BD47" s="202">
        <f t="shared" si="43"/>
        <v>9.5916423154099881</v>
      </c>
    </row>
    <row r="48" spans="1:56" x14ac:dyDescent="0.2">
      <c r="B48" s="193" t="s">
        <v>780</v>
      </c>
      <c r="C48" s="226">
        <f>SUMIF('1. Väestöennuste'!$X$15:$X$307,'1. Väestöennuste'!$U8,'3. Verotulot'!AA$15:AA$307)</f>
        <v>163373</v>
      </c>
      <c r="D48" s="226">
        <f>SUMIF('1. Väestöennuste'!$X$15:$X$307,'1. Väestöennuste'!$U8,'3. Verotulot'!AF$15:AF$307)</f>
        <v>168454</v>
      </c>
      <c r="E48" s="226">
        <f>SUMIF('1. Väestöennuste'!$X$15:$X$307,'1. Väestöennuste'!$U8,'3. Verotulot'!AK$15:AK$307)</f>
        <v>184251.83329000004</v>
      </c>
      <c r="F48" s="226">
        <f>SUMIF('1. Väestöennuste'!$X$15:$X$307,'1. Väestöennuste'!$U8,'3. Verotulot'!AP$15:AP$307)</f>
        <v>189521.71290999997</v>
      </c>
      <c r="G48" s="226">
        <f>SUMIF('1. Väestöennuste'!$X$15:$X$307,'1. Väestöennuste'!$U8,'3. Verotulot'!AU$15:AU$307)</f>
        <v>111166.16719000001</v>
      </c>
      <c r="H48" s="226">
        <f>SUMIF('1. Väestöennuste'!$X$15:$X$307,'1. Väestöennuste'!$U8,'3. Verotulot'!AZ$15:AZ$307)</f>
        <v>108395.29614546313</v>
      </c>
      <c r="I48" s="226">
        <f>SUMIF('1. Väestöennuste'!$X$15:$X$307,'1. Väestöennuste'!$U8,'3. Verotulot'!BE$15:BE$307)</f>
        <v>108917.81368080518</v>
      </c>
      <c r="J48" s="226">
        <f>SUMIF('1. Väestöennuste'!$X$15:$X$307,'1. Väestöennuste'!$U8,'3. Verotulot'!BJ$15:BJ$307)</f>
        <v>112630.3719888754</v>
      </c>
      <c r="K48" s="226">
        <f>SUMIF('1. Väestöennuste'!$X$15:$X$307,'1. Väestöennuste'!$U8,'3. Verotulot'!BO$15:BO$307)</f>
        <v>116037.4269028698</v>
      </c>
      <c r="L48" s="43">
        <f>SUMIF('1. Väestöennuste'!$X$15:$X$307,'1. Väestöennuste'!$U8,'3. Verotulot'!BT$15:BT$307)</f>
        <v>119538.56095628346</v>
      </c>
      <c r="M48" s="194"/>
      <c r="N48" s="226">
        <f>C48/'1. Väestöennuste'!BJ8*1000</f>
        <v>3522.6400448488507</v>
      </c>
      <c r="O48" s="226">
        <f>D48/'1. Väestöennuste'!BK8*1000</f>
        <v>3244.3665498247374</v>
      </c>
      <c r="P48" s="226">
        <f>E48/'1. Väestöennuste'!BL8*1000</f>
        <v>3586.6896359813909</v>
      </c>
      <c r="Q48" s="226">
        <f>F48/'1. Väestöennuste'!BM8*1000</f>
        <v>3744.5263649655221</v>
      </c>
      <c r="R48" s="226">
        <f>G48/'1. Väestöennuste'!BN8*1000</f>
        <v>2235.5742909142105</v>
      </c>
      <c r="S48" s="226">
        <f>H48/'1. Väestöennuste'!BO8*1000</f>
        <v>2189.8482018922227</v>
      </c>
      <c r="T48" s="226">
        <f>I48/'1. Väestöennuste'!BP8*1000</f>
        <v>2294.407399903208</v>
      </c>
      <c r="U48" s="226">
        <f>J48/'1. Väestöennuste'!BQ8*1000</f>
        <v>2395.5244270981857</v>
      </c>
      <c r="V48" s="226">
        <f>K48/'1. Väestöennuste'!BR8*1000</f>
        <v>2491.1961807438934</v>
      </c>
      <c r="W48" s="226">
        <f>L48/'1. Väestöennuste'!BS8*1000</f>
        <v>2589.9935207410722</v>
      </c>
      <c r="X48" s="159"/>
      <c r="Z48" s="193" t="s">
        <v>780</v>
      </c>
      <c r="AA48" s="226">
        <f t="shared" si="38"/>
        <v>5081</v>
      </c>
      <c r="AB48" s="226">
        <f t="shared" si="38"/>
        <v>15797.833290000039</v>
      </c>
      <c r="AC48" s="226">
        <f t="shared" si="38"/>
        <v>5269.8796199999342</v>
      </c>
      <c r="AD48" s="226">
        <f t="shared" si="38"/>
        <v>-78355.545719999966</v>
      </c>
      <c r="AE48" s="226">
        <f t="shared" si="38"/>
        <v>-2770.8710445368779</v>
      </c>
      <c r="AF48" s="226">
        <f t="shared" si="38"/>
        <v>522.51753534204909</v>
      </c>
      <c r="AG48" s="226">
        <f t="shared" si="38"/>
        <v>3712.5583080702199</v>
      </c>
      <c r="AH48" s="226">
        <f t="shared" si="38"/>
        <v>3407.0549139944051</v>
      </c>
      <c r="AI48" s="226">
        <f t="shared" si="38"/>
        <v>3501.1340534136543</v>
      </c>
      <c r="AJ48" s="287"/>
      <c r="AK48" s="226">
        <f t="shared" si="41"/>
        <v>-278.27349502411334</v>
      </c>
      <c r="AL48" s="226">
        <f t="shared" si="41"/>
        <v>342.32308615665352</v>
      </c>
      <c r="AM48" s="226">
        <f t="shared" si="41"/>
        <v>157.83672898413124</v>
      </c>
      <c r="AN48" s="226">
        <f t="shared" si="41"/>
        <v>-1508.9520740513117</v>
      </c>
      <c r="AO48" s="226">
        <f t="shared" si="41"/>
        <v>-45.726089021987718</v>
      </c>
      <c r="AP48" s="226">
        <f t="shared" si="41"/>
        <v>104.55919801098526</v>
      </c>
      <c r="AQ48" s="226">
        <f t="shared" si="42"/>
        <v>101.11702719497771</v>
      </c>
      <c r="AR48" s="226">
        <f t="shared" si="42"/>
        <v>95.671753645707668</v>
      </c>
      <c r="AS48" s="226">
        <f t="shared" si="42"/>
        <v>98.797339997178824</v>
      </c>
      <c r="AT48" s="288"/>
      <c r="AU48" s="235">
        <f t="shared" si="40"/>
        <v>3.1100610259957362</v>
      </c>
      <c r="AV48" s="235">
        <f t="shared" si="40"/>
        <v>9.3781289194676543</v>
      </c>
      <c r="AW48" s="235">
        <f t="shared" si="40"/>
        <v>2.8601504397003819</v>
      </c>
      <c r="AX48" s="235">
        <f t="shared" si="40"/>
        <v>-41.343835762612294</v>
      </c>
      <c r="AY48" s="235">
        <f t="shared" si="40"/>
        <v>-2.4925488703780085</v>
      </c>
      <c r="AZ48" s="235">
        <f t="shared" si="40"/>
        <v>0.48204816437869002</v>
      </c>
      <c r="BA48" s="235">
        <f t="shared" si="40"/>
        <v>3.4085868808845676</v>
      </c>
      <c r="BB48" s="235">
        <f t="shared" si="40"/>
        <v>3.0249877131995229</v>
      </c>
      <c r="BC48" s="235">
        <f t="shared" si="40"/>
        <v>3.0172455102303486</v>
      </c>
      <c r="BD48" s="202">
        <f t="shared" si="43"/>
        <v>7.0502420576914915</v>
      </c>
    </row>
    <row r="49" spans="2:59" x14ac:dyDescent="0.2">
      <c r="B49" s="8" t="s">
        <v>694</v>
      </c>
      <c r="C49" s="192">
        <f t="shared" ref="C49:H49" si="44">SUM(C42:C48)</f>
        <v>22912315</v>
      </c>
      <c r="D49" s="192">
        <f t="shared" si="44"/>
        <v>23825588</v>
      </c>
      <c r="E49" s="192">
        <f t="shared" si="44"/>
        <v>25418370.627920002</v>
      </c>
      <c r="F49" s="192">
        <f t="shared" si="44"/>
        <v>26808472.513549998</v>
      </c>
      <c r="G49" s="192">
        <f t="shared" si="44"/>
        <v>14454539.755649999</v>
      </c>
      <c r="H49" s="192">
        <f t="shared" si="44"/>
        <v>13767488.168433281</v>
      </c>
      <c r="I49" s="192">
        <f>SUM(I42:I48)</f>
        <v>14349426.780490281</v>
      </c>
      <c r="J49" s="192">
        <f>SUM(J42:J48)</f>
        <v>14960531.382899189</v>
      </c>
      <c r="K49" s="192">
        <f>SUM(K42:K48)</f>
        <v>15535284.513803007</v>
      </c>
      <c r="L49" s="428">
        <f>SUM(L42:L48)</f>
        <v>16119884.124377318</v>
      </c>
      <c r="M49" s="167"/>
      <c r="N49" s="43">
        <f>C49/'1. Väestöennuste'!BJ9*1000</f>
        <v>4169.3564881806778</v>
      </c>
      <c r="O49" s="43">
        <f>D49/'1. Väestöennuste'!BK9*1000</f>
        <v>4329.0411623965419</v>
      </c>
      <c r="P49" s="43">
        <f>E49/'1. Väestöennuste'!BL9*1000</f>
        <v>4606.5322763219401</v>
      </c>
      <c r="Q49" s="43">
        <f>F49/'1. Väestöennuste'!BM9*1000</f>
        <v>4844.6615625041222</v>
      </c>
      <c r="R49" s="43">
        <f>G49/'1. Väestöennuste'!BN9*1000</f>
        <v>2593.5287568159674</v>
      </c>
      <c r="S49" s="43">
        <f>H49/'1. Väestöennuste'!BO9*1000</f>
        <v>2485.7549765576505</v>
      </c>
      <c r="T49" s="43">
        <f>I49/'1. Väestöennuste'!BP9*1000</f>
        <v>2587.8636035880727</v>
      </c>
      <c r="U49" s="43">
        <f>J49/'1. Väestöennuste'!BQ9*1000</f>
        <v>2695.3056834517693</v>
      </c>
      <c r="V49" s="43">
        <f>K49/'1. Väestöennuste'!BR9*1000</f>
        <v>2796.2800191952524</v>
      </c>
      <c r="W49" s="43">
        <f>L49/'1. Väestöennuste'!BS9*1000</f>
        <v>2899.2430483093112</v>
      </c>
      <c r="X49" s="159"/>
      <c r="Z49" s="8" t="s">
        <v>694</v>
      </c>
      <c r="AA49" s="166">
        <f t="shared" si="38"/>
        <v>913273</v>
      </c>
      <c r="AB49" s="166">
        <f t="shared" si="38"/>
        <v>1592782.6279200017</v>
      </c>
      <c r="AC49" s="166">
        <f t="shared" si="38"/>
        <v>1390101.8856299967</v>
      </c>
      <c r="AD49" s="166">
        <f t="shared" si="38"/>
        <v>-12353932.7579</v>
      </c>
      <c r="AE49" s="166">
        <f t="shared" si="38"/>
        <v>-687051.58721671812</v>
      </c>
      <c r="AF49" s="166">
        <f t="shared" si="38"/>
        <v>581938.6120570004</v>
      </c>
      <c r="AG49" s="166">
        <f t="shared" si="38"/>
        <v>611104.60240890831</v>
      </c>
      <c r="AH49" s="166">
        <f t="shared" si="38"/>
        <v>574753.13090381771</v>
      </c>
      <c r="AI49" s="166">
        <f t="shared" si="38"/>
        <v>584599.61057431065</v>
      </c>
      <c r="AJ49" s="151"/>
      <c r="AK49" s="192">
        <f t="shared" si="41"/>
        <v>159.68467421586411</v>
      </c>
      <c r="AL49" s="192">
        <f t="shared" si="41"/>
        <v>277.49111392539817</v>
      </c>
      <c r="AM49" s="192">
        <f t="shared" si="41"/>
        <v>238.12928618218211</v>
      </c>
      <c r="AN49" s="192">
        <f t="shared" si="41"/>
        <v>-2251.1328056881548</v>
      </c>
      <c r="AO49" s="192">
        <f t="shared" si="41"/>
        <v>-107.77378025831695</v>
      </c>
      <c r="AP49" s="192">
        <f t="shared" si="41"/>
        <v>102.10862703042221</v>
      </c>
      <c r="AQ49" s="43">
        <f t="shared" si="42"/>
        <v>107.44207986369656</v>
      </c>
      <c r="AR49" s="43">
        <f t="shared" si="42"/>
        <v>100.97433574348315</v>
      </c>
      <c r="AS49" s="43">
        <f t="shared" si="42"/>
        <v>102.96302911405883</v>
      </c>
      <c r="AT49" s="199"/>
      <c r="AU49" s="69">
        <f t="shared" si="40"/>
        <v>3.9859481680484921</v>
      </c>
      <c r="AV49" s="69">
        <f t="shared" si="40"/>
        <v>6.6851765753693115</v>
      </c>
      <c r="AW49" s="69">
        <f t="shared" si="40"/>
        <v>5.4688866803408898</v>
      </c>
      <c r="AX49" s="69">
        <f t="shared" si="40"/>
        <v>-46.082195662792294</v>
      </c>
      <c r="AY49" s="69">
        <f t="shared" si="40"/>
        <v>-4.7531889553810487</v>
      </c>
      <c r="AZ49" s="69">
        <f t="shared" si="40"/>
        <v>4.2269047551556582</v>
      </c>
      <c r="BA49" s="69">
        <f t="shared" si="40"/>
        <v>4.2587387758218798</v>
      </c>
      <c r="BB49" s="69">
        <f t="shared" si="40"/>
        <v>3.8417962316552146</v>
      </c>
      <c r="BC49" s="69">
        <f t="shared" si="40"/>
        <v>3.7630441209808296</v>
      </c>
      <c r="BD49" s="418">
        <f t="shared" si="43"/>
        <v>12.840369454051981</v>
      </c>
    </row>
    <row r="52" spans="2:59" x14ac:dyDescent="0.2">
      <c r="BD52" s="4" t="s">
        <v>814</v>
      </c>
    </row>
    <row r="53" spans="2:59" x14ac:dyDescent="0.2">
      <c r="B53" s="190" t="s">
        <v>773</v>
      </c>
      <c r="C53" s="132">
        <v>2019</v>
      </c>
      <c r="D53" s="132">
        <v>2020</v>
      </c>
      <c r="E53" s="132">
        <v>2021</v>
      </c>
      <c r="F53" s="132">
        <v>2022</v>
      </c>
      <c r="G53" s="132">
        <v>2023</v>
      </c>
      <c r="H53" s="132">
        <v>2024</v>
      </c>
      <c r="I53" s="132">
        <v>2025</v>
      </c>
      <c r="J53" s="132">
        <v>2026</v>
      </c>
      <c r="K53" s="132">
        <v>2027</v>
      </c>
      <c r="L53" s="132">
        <v>2028</v>
      </c>
      <c r="M53" s="136" t="s">
        <v>319</v>
      </c>
      <c r="N53" s="132">
        <v>2019</v>
      </c>
      <c r="O53" s="132">
        <v>2020</v>
      </c>
      <c r="P53" s="132">
        <v>2021</v>
      </c>
      <c r="Q53" s="132">
        <v>2022</v>
      </c>
      <c r="R53" s="132">
        <v>2023</v>
      </c>
      <c r="S53" s="132">
        <v>2024</v>
      </c>
      <c r="T53" s="132">
        <v>2025</v>
      </c>
      <c r="U53" s="132">
        <v>2026</v>
      </c>
      <c r="V53" s="132">
        <v>2027</v>
      </c>
      <c r="W53" s="132">
        <v>2028</v>
      </c>
      <c r="X53" s="197"/>
      <c r="Z53" s="190" t="s">
        <v>784</v>
      </c>
      <c r="AA53" s="132">
        <v>2020</v>
      </c>
      <c r="AB53" s="132">
        <v>2021</v>
      </c>
      <c r="AC53" s="132">
        <v>2022</v>
      </c>
      <c r="AD53" s="132">
        <v>2023</v>
      </c>
      <c r="AE53" s="132">
        <v>2024</v>
      </c>
      <c r="AF53" s="132">
        <v>2025</v>
      </c>
      <c r="AG53" s="132">
        <v>2026</v>
      </c>
      <c r="AH53" s="132">
        <v>2027</v>
      </c>
      <c r="AI53" s="132">
        <v>2028</v>
      </c>
      <c r="AJ53" s="136" t="s">
        <v>319</v>
      </c>
      <c r="AK53" s="132">
        <v>2020</v>
      </c>
      <c r="AL53" s="132">
        <v>2021</v>
      </c>
      <c r="AM53" s="132">
        <v>2022</v>
      </c>
      <c r="AN53" s="132">
        <v>2023</v>
      </c>
      <c r="AO53" s="132">
        <v>2024</v>
      </c>
      <c r="AP53" s="132">
        <v>2025</v>
      </c>
      <c r="AQ53" s="132">
        <v>2026</v>
      </c>
      <c r="AR53" s="132">
        <v>2027</v>
      </c>
      <c r="AS53" s="132">
        <v>2028</v>
      </c>
      <c r="AT53" s="200" t="s">
        <v>731</v>
      </c>
      <c r="AU53" s="132">
        <v>2020</v>
      </c>
      <c r="AV53" s="132">
        <v>2021</v>
      </c>
      <c r="AW53" s="132">
        <v>2022</v>
      </c>
      <c r="AX53" s="132">
        <v>2023</v>
      </c>
      <c r="AY53" s="132">
        <v>2024</v>
      </c>
      <c r="AZ53" s="132">
        <v>2025</v>
      </c>
      <c r="BA53" s="132">
        <v>2026</v>
      </c>
      <c r="BB53" s="132">
        <v>2027</v>
      </c>
      <c r="BC53" s="132">
        <v>2028</v>
      </c>
      <c r="BD53" s="151" t="s">
        <v>731</v>
      </c>
    </row>
    <row r="54" spans="2:59" x14ac:dyDescent="0.2">
      <c r="B54" s="133" t="s">
        <v>774</v>
      </c>
      <c r="C54" s="43">
        <f>SUMIF('1. Väestöennuste'!$X$15:$X$307,'1. Väestöennuste'!$U2,'4. Valtionosuudet'!Z$15:Z$307)</f>
        <v>1891501</v>
      </c>
      <c r="D54" s="43">
        <f>SUMIF('1. Väestöennuste'!$X$15:$X$307,'1. Väestöennuste'!$U2,'4. Valtionosuudet'!AG$15:AG$307)</f>
        <v>2758187.0684289737</v>
      </c>
      <c r="E54" s="43">
        <f>SUMIF('1. Väestöennuste'!$X$15:$X$307,'1. Väestöennuste'!$U2,'4. Valtionosuudet'!AN$15:AN$307)</f>
        <v>2350566.019244778</v>
      </c>
      <c r="F54" s="43">
        <f>SUMIF('1. Väestöennuste'!$X$15:$X$307,'1. Väestöennuste'!$U2,'4. Valtionosuudet'!AU$15:AU$307)</f>
        <v>2558281.4388417536</v>
      </c>
      <c r="G54" s="43">
        <f>SUMIF('1. Väestöennuste'!$X$15:$X$307,'1. Väestöennuste'!$U2,'4. Valtionosuudet'!BC$15:BC$307)</f>
        <v>1175217.7264124763</v>
      </c>
      <c r="H54" s="43">
        <f>SUMIF('1. Väestöennuste'!$X$15:$X$307,'1. Väestöennuste'!$U2,'4. Valtionosuudet'!BK$15:BK$307)</f>
        <v>1282748.7151427118</v>
      </c>
      <c r="I54" s="43">
        <f>SUMIF('1. Väestöennuste'!$X$15:$X$307,'1. Väestöennuste'!$U2,'4. Valtionosuudet'!BQ$15:BQ$307)</f>
        <v>1598252.448448699</v>
      </c>
      <c r="J54" s="43">
        <f>SUMIF('1. Väestöennuste'!$X$15:$X$307,'1. Väestöennuste'!$U2,'4. Valtionosuudet'!BY$15:BY$307)</f>
        <v>1712898.9592783579</v>
      </c>
      <c r="K54" s="43">
        <f>SUMIF('1. Väestöennuste'!$X$15:$X$307,'1. Väestöennuste'!$U2,'4. Valtionosuudet'!CE$15:CE$307)</f>
        <v>1776819.1459660179</v>
      </c>
      <c r="L54" s="43">
        <f>SUMIF('1. Väestöennuste'!$X$15:$X$307,'1. Väestöennuste'!$U2,'4. Valtionosuudet'!CK$15:CK$307)</f>
        <v>1878334.6430964437</v>
      </c>
      <c r="M54" s="136"/>
      <c r="N54" s="43">
        <f>C54/'1. Väestöennuste'!BJ2*1000</f>
        <v>861.56013586361166</v>
      </c>
      <c r="O54" s="43">
        <f>D54/'1. Väestöennuste'!BK2*1000</f>
        <v>1246.1943806811287</v>
      </c>
      <c r="P54" s="43">
        <f>E54/'1. Väestöennuste'!BL2*1000</f>
        <v>1054.1841342881096</v>
      </c>
      <c r="Q54" s="43">
        <f>F54/'1. Väestöennuste'!BM2*1000</f>
        <v>1132.2163945493867</v>
      </c>
      <c r="R54" s="43">
        <f>G54/'1. Väestöennuste'!BN2*1000</f>
        <v>510.9702272211353</v>
      </c>
      <c r="S54" s="43">
        <f>H54/'1. Väestöennuste'!BO2*1000</f>
        <v>557.61912810177682</v>
      </c>
      <c r="T54" s="43">
        <f>I54/'1. Väestöennuste'!BP2*1000</f>
        <v>689.15262640749427</v>
      </c>
      <c r="U54" s="43">
        <f>J54/'1. Väestöennuste'!BQ2*1000</f>
        <v>732.93366592357359</v>
      </c>
      <c r="V54" s="43">
        <f>K54/'1. Väestöennuste'!BR2*1000</f>
        <v>754.76486743587373</v>
      </c>
      <c r="W54" s="43">
        <f>L54/'1. Väestöennuste'!BS2*1000</f>
        <v>792.39213093843091</v>
      </c>
      <c r="X54" s="159"/>
      <c r="Z54" s="133" t="s">
        <v>774</v>
      </c>
      <c r="AA54" s="41">
        <f t="shared" ref="AA54:AI61" si="45">D54-C54</f>
        <v>866686.06842897367</v>
      </c>
      <c r="AB54" s="41">
        <f t="shared" si="45"/>
        <v>-407621.0491841957</v>
      </c>
      <c r="AC54" s="41">
        <f t="shared" si="45"/>
        <v>207715.41959697567</v>
      </c>
      <c r="AD54" s="41">
        <f t="shared" si="45"/>
        <v>-1383063.7124292774</v>
      </c>
      <c r="AE54" s="41">
        <f t="shared" si="45"/>
        <v>107530.98873023549</v>
      </c>
      <c r="AF54" s="41">
        <f t="shared" si="45"/>
        <v>315503.7333059872</v>
      </c>
      <c r="AG54" s="41">
        <f t="shared" si="45"/>
        <v>114646.51082965895</v>
      </c>
      <c r="AH54" s="41">
        <f t="shared" si="45"/>
        <v>63920.186687659938</v>
      </c>
      <c r="AI54" s="41">
        <f t="shared" si="45"/>
        <v>101515.49713042588</v>
      </c>
      <c r="AJ54" s="150"/>
      <c r="AK54" s="43">
        <f t="shared" ref="AK54:AP54" si="46">O54-N54</f>
        <v>384.63424481751701</v>
      </c>
      <c r="AL54" s="43">
        <f t="shared" si="46"/>
        <v>-192.01024639301909</v>
      </c>
      <c r="AM54" s="43">
        <f t="shared" si="46"/>
        <v>78.032260261277088</v>
      </c>
      <c r="AN54" s="43">
        <f t="shared" si="46"/>
        <v>-621.24616732825143</v>
      </c>
      <c r="AO54" s="43">
        <f t="shared" si="46"/>
        <v>46.64890088064152</v>
      </c>
      <c r="AP54" s="43">
        <f t="shared" si="46"/>
        <v>131.53349830571744</v>
      </c>
      <c r="AQ54" s="43">
        <f>U54-T54</f>
        <v>43.781039516079318</v>
      </c>
      <c r="AR54" s="43">
        <f>V54-U54</f>
        <v>21.83120151230014</v>
      </c>
      <c r="AS54" s="43">
        <f>W54-V54</f>
        <v>37.627263502557184</v>
      </c>
      <c r="AT54" s="150"/>
      <c r="AU54" s="69">
        <f t="shared" ref="AU54:BC61" si="47">(D54/C54-1)*100</f>
        <v>45.820016401205898</v>
      </c>
      <c r="AV54" s="69">
        <f t="shared" si="47"/>
        <v>-14.778586044795405</v>
      </c>
      <c r="AW54" s="69">
        <f t="shared" si="47"/>
        <v>8.8368255941908558</v>
      </c>
      <c r="AX54" s="69">
        <f t="shared" si="47"/>
        <v>-54.062218934577075</v>
      </c>
      <c r="AY54" s="69">
        <f t="shared" si="47"/>
        <v>9.1498780450231632</v>
      </c>
      <c r="AZ54" s="69">
        <f t="shared" si="47"/>
        <v>24.595911076074305</v>
      </c>
      <c r="BA54" s="69">
        <f t="shared" si="47"/>
        <v>7.1732416828728995</v>
      </c>
      <c r="BB54" s="69">
        <f t="shared" si="47"/>
        <v>3.7316962767371509</v>
      </c>
      <c r="BC54" s="69">
        <f t="shared" si="47"/>
        <v>5.7133275134332306</v>
      </c>
      <c r="BD54" s="202">
        <f>(K54/H54-1)*100</f>
        <v>38.516540690382882</v>
      </c>
    </row>
    <row r="55" spans="2:59" x14ac:dyDescent="0.2">
      <c r="B55" s="134" t="s">
        <v>775</v>
      </c>
      <c r="C55" s="43">
        <f>SUMIF('1. Väestöennuste'!$X$15:$X$307,'1. Väestöennuste'!$U3,'4. Valtionosuudet'!Z$15:Z$307)</f>
        <v>1630041</v>
      </c>
      <c r="D55" s="43">
        <f>SUMIF('1. Väestöennuste'!$X$15:$X$307,'1. Väestöennuste'!$U3,'4. Valtionosuudet'!AG$15:AG$307)</f>
        <v>2075281.0412824107</v>
      </c>
      <c r="E55" s="43">
        <f>SUMIF('1. Väestöennuste'!$X$15:$X$307,'1. Väestöennuste'!$U3,'4. Valtionosuudet'!AN$15:AN$307)</f>
        <v>1889229.5570676576</v>
      </c>
      <c r="F55" s="43">
        <f>SUMIF('1. Väestöennuste'!$X$15:$X$307,'1. Väestöennuste'!$U3,'4. Valtionosuudet'!AU$15:AU$307)</f>
        <v>2003535.182634681</v>
      </c>
      <c r="G55" s="43">
        <f>SUMIF('1. Väestöennuste'!$X$15:$X$307,'1. Väestöennuste'!$U3,'4. Valtionosuudet'!BC$15:BC$307)</f>
        <v>485503.41509534419</v>
      </c>
      <c r="H55" s="43">
        <f>SUMIF('1. Väestöennuste'!$X$15:$X$307,'1. Väestöennuste'!$U3,'4. Valtionosuudet'!BK$15:BK$307)</f>
        <v>359727.37027224281</v>
      </c>
      <c r="I55" s="43">
        <f>SUMIF('1. Väestöennuste'!$X$15:$X$307,'1. Väestöennuste'!$U3,'4. Valtionosuudet'!BQ$15:BQ$307)</f>
        <v>448120.38822204887</v>
      </c>
      <c r="J55" s="43">
        <f>SUMIF('1. Väestöennuste'!$X$15:$X$307,'1. Väestöennuste'!$U3,'4. Valtionosuudet'!BY$15:BY$307)</f>
        <v>471654.84333282924</v>
      </c>
      <c r="K55" s="43">
        <f>SUMIF('1. Väestöennuste'!$X$15:$X$307,'1. Väestöennuste'!$U3,'4. Valtionosuudet'!CE$15:CE$307)</f>
        <v>484319.40769084403</v>
      </c>
      <c r="L55" s="43">
        <f>SUMIF('1. Väestöennuste'!$X$15:$X$307,'1. Väestöennuste'!$U3,'4. Valtionosuudet'!CK$15:CK$307)</f>
        <v>541251.34724725131</v>
      </c>
      <c r="M55" s="136"/>
      <c r="N55" s="43">
        <f>C55/'1. Väestöennuste'!BJ3*1000</f>
        <v>1610.8461571909131</v>
      </c>
      <c r="O55" s="43">
        <f>D55/'1. Väestöennuste'!BK3*1000</f>
        <v>1971.96768243211</v>
      </c>
      <c r="P55" s="43">
        <f>E55/'1. Väestöennuste'!BL3*1000</f>
        <v>1791.0648734818637</v>
      </c>
      <c r="Q55" s="43">
        <f>F55/'1. Väestöennuste'!BM3*1000</f>
        <v>1899.3159194998834</v>
      </c>
      <c r="R55" s="43">
        <f>G55/'1. Väestöennuste'!BN3*1000</f>
        <v>458.0933967035852</v>
      </c>
      <c r="S55" s="43">
        <f>H55/'1. Väestöennuste'!BO3*1000</f>
        <v>341.6993144422687</v>
      </c>
      <c r="T55" s="43">
        <f>I55/'1. Väestöennuste'!BP3*1000</f>
        <v>425.79793165503372</v>
      </c>
      <c r="U55" s="43">
        <f>J55/'1. Väestöennuste'!BQ3*1000</f>
        <v>448.34025347178925</v>
      </c>
      <c r="V55" s="43">
        <f>K55/'1. Väestöennuste'!BR3*1000</f>
        <v>460.59113422877994</v>
      </c>
      <c r="W55" s="43">
        <f>L55/'1. Väestöennuste'!BS3*1000</f>
        <v>515.01935159320306</v>
      </c>
      <c r="X55" s="159"/>
      <c r="Z55" s="134" t="s">
        <v>775</v>
      </c>
      <c r="AA55" s="41">
        <f t="shared" si="45"/>
        <v>445240.04128241073</v>
      </c>
      <c r="AB55" s="41">
        <f t="shared" si="45"/>
        <v>-186051.48421475315</v>
      </c>
      <c r="AC55" s="41">
        <f t="shared" si="45"/>
        <v>114305.62556702341</v>
      </c>
      <c r="AD55" s="41">
        <f t="shared" si="45"/>
        <v>-1518031.7675393368</v>
      </c>
      <c r="AE55" s="41">
        <f t="shared" si="45"/>
        <v>-125776.04482310137</v>
      </c>
      <c r="AF55" s="41">
        <f t="shared" si="45"/>
        <v>88393.017949806061</v>
      </c>
      <c r="AG55" s="41">
        <f t="shared" si="45"/>
        <v>23534.455110780371</v>
      </c>
      <c r="AH55" s="41">
        <f t="shared" si="45"/>
        <v>12664.564358014788</v>
      </c>
      <c r="AI55" s="41">
        <f t="shared" si="45"/>
        <v>56931.939556407277</v>
      </c>
      <c r="AJ55" s="150"/>
      <c r="AK55" s="43">
        <f t="shared" ref="AK55:AP61" si="48">O55-N55</f>
        <v>361.12152524119688</v>
      </c>
      <c r="AL55" s="43">
        <f t="shared" si="48"/>
        <v>-180.90280895024625</v>
      </c>
      <c r="AM55" s="43">
        <f t="shared" si="48"/>
        <v>108.25104601801968</v>
      </c>
      <c r="AN55" s="43">
        <f t="shared" si="48"/>
        <v>-1441.2225227962981</v>
      </c>
      <c r="AO55" s="43">
        <f t="shared" si="48"/>
        <v>-116.3940822613165</v>
      </c>
      <c r="AP55" s="43">
        <f t="shared" si="48"/>
        <v>84.098617212765021</v>
      </c>
      <c r="AQ55" s="43">
        <f t="shared" ref="AQ55:AS60" si="49">U55-T55</f>
        <v>22.542321816755532</v>
      </c>
      <c r="AR55" s="43">
        <f t="shared" si="49"/>
        <v>12.250880756990682</v>
      </c>
      <c r="AS55" s="43">
        <f t="shared" si="49"/>
        <v>54.428217364423119</v>
      </c>
      <c r="AT55" s="150"/>
      <c r="AU55" s="69">
        <f t="shared" si="47"/>
        <v>27.314652900289673</v>
      </c>
      <c r="AV55" s="69">
        <f t="shared" si="47"/>
        <v>-8.9651223383115148</v>
      </c>
      <c r="AW55" s="69">
        <f t="shared" si="47"/>
        <v>6.050383085496569</v>
      </c>
      <c r="AX55" s="69">
        <f t="shared" si="47"/>
        <v>-75.767662115276693</v>
      </c>
      <c r="AY55" s="69">
        <f t="shared" si="47"/>
        <v>-25.906315159163441</v>
      </c>
      <c r="AZ55" s="69">
        <f t="shared" si="47"/>
        <v>24.572224760909901</v>
      </c>
      <c r="BA55" s="69">
        <f t="shared" si="47"/>
        <v>5.251815299936502</v>
      </c>
      <c r="BB55" s="69">
        <f t="shared" si="47"/>
        <v>2.6851339569681665</v>
      </c>
      <c r="BC55" s="69">
        <f t="shared" si="47"/>
        <v>11.755039887385376</v>
      </c>
      <c r="BD55" s="202">
        <f t="shared" ref="BD55:BD61" si="50">(K55/H55-1)*100</f>
        <v>34.635128632083109</v>
      </c>
    </row>
    <row r="56" spans="2:59" x14ac:dyDescent="0.2">
      <c r="B56" s="133" t="s">
        <v>776</v>
      </c>
      <c r="C56" s="43">
        <f>SUMIF('1. Väestöennuste'!$X$15:$X$307,'1. Väestöennuste'!$U4,'4. Valtionosuudet'!Z$15:Z$307)</f>
        <v>1276605</v>
      </c>
      <c r="D56" s="43">
        <f>SUMIF('1. Väestöennuste'!$X$15:$X$307,'1. Väestöennuste'!$U4,'4. Valtionosuudet'!AG$15:AG$307)</f>
        <v>1652223.3478629075</v>
      </c>
      <c r="E56" s="43">
        <f>SUMIF('1. Väestöennuste'!$X$15:$X$307,'1. Väestöennuste'!$U4,'4. Valtionosuudet'!AN$15:AN$307)</f>
        <v>1501546.1245719558</v>
      </c>
      <c r="F56" s="43">
        <f>SUMIF('1. Väestöennuste'!$X$15:$X$307,'1. Väestöennuste'!$U4,'4. Valtionosuudet'!AU$15:AU$307)</f>
        <v>1625918.5022201056</v>
      </c>
      <c r="G56" s="43">
        <f>SUMIF('1. Väestöennuste'!$X$15:$X$307,'1. Väestöennuste'!$U4,'4. Valtionosuudet'!BC$15:BC$307)</f>
        <v>569878.45073807961</v>
      </c>
      <c r="H56" s="43">
        <f>SUMIF('1. Väestöennuste'!$X$15:$X$307,'1. Väestöennuste'!$U4,'4. Valtionosuudet'!BK$15:BK$307)</f>
        <v>484349.92252283008</v>
      </c>
      <c r="I56" s="43">
        <f>SUMIF('1. Väestöennuste'!$X$15:$X$307,'1. Väestöennuste'!$U4,'4. Valtionosuudet'!BQ$15:BQ$307)</f>
        <v>530371.91826402256</v>
      </c>
      <c r="J56" s="43">
        <f>SUMIF('1. Väestöennuste'!$X$15:$X$307,'1. Väestöennuste'!$U4,'4. Valtionosuudet'!BY$15:BY$307)</f>
        <v>526723.84897200356</v>
      </c>
      <c r="K56" s="43">
        <f>SUMIF('1. Väestöennuste'!$X$15:$X$307,'1. Väestöennuste'!$U4,'4. Valtionosuudet'!CE$15:CE$307)</f>
        <v>527268.25868166063</v>
      </c>
      <c r="L56" s="43">
        <f>SUMIF('1. Väestöennuste'!$X$15:$X$307,'1. Väestöennuste'!$U4,'4. Valtionosuudet'!CK$15:CK$307)</f>
        <v>567131.74470530672</v>
      </c>
      <c r="M56" s="136"/>
      <c r="N56" s="43">
        <f>C56/'1. Väestöennuste'!BJ4*1000</f>
        <v>1560.3423303840216</v>
      </c>
      <c r="O56" s="43">
        <f>D56/'1. Väestöennuste'!BK4*1000</f>
        <v>2177.9212730719137</v>
      </c>
      <c r="P56" s="43">
        <f>E56/'1. Väestöennuste'!BL4*1000</f>
        <v>1974.5364611606944</v>
      </c>
      <c r="Q56" s="43">
        <f>F56/'1. Väestöennuste'!BM4*1000</f>
        <v>2140.0507033434446</v>
      </c>
      <c r="R56" s="43">
        <f>G56/'1. Väestöennuste'!BN4*1000</f>
        <v>747.6757422436101</v>
      </c>
      <c r="S56" s="43">
        <f>H56/'1. Väestöennuste'!BO4*1000</f>
        <v>641.29798484350533</v>
      </c>
      <c r="T56" s="43">
        <f>I56/'1. Väestöennuste'!BP4*1000</f>
        <v>703.10796840091814</v>
      </c>
      <c r="U56" s="43">
        <f>J56/'1. Väestöennuste'!BQ4*1000</f>
        <v>699.18105005416317</v>
      </c>
      <c r="V56" s="43">
        <f>K56/'1. Väestöennuste'!BR4*1000</f>
        <v>700.86847348444269</v>
      </c>
      <c r="W56" s="43">
        <f>L56/'1. Väestöennuste'!BS4*1000</f>
        <v>754.96871628597307</v>
      </c>
      <c r="X56" s="159"/>
      <c r="Z56" s="133" t="s">
        <v>776</v>
      </c>
      <c r="AA56" s="41">
        <f t="shared" si="45"/>
        <v>375618.34786290745</v>
      </c>
      <c r="AB56" s="41">
        <f t="shared" si="45"/>
        <v>-150677.22329095169</v>
      </c>
      <c r="AC56" s="41">
        <f t="shared" si="45"/>
        <v>124372.37764814985</v>
      </c>
      <c r="AD56" s="41">
        <f t="shared" si="45"/>
        <v>-1056040.051482026</v>
      </c>
      <c r="AE56" s="41">
        <f t="shared" si="45"/>
        <v>-85528.528215249535</v>
      </c>
      <c r="AF56" s="41">
        <f t="shared" si="45"/>
        <v>46021.995741192484</v>
      </c>
      <c r="AG56" s="41">
        <f t="shared" si="45"/>
        <v>-3648.0692920190049</v>
      </c>
      <c r="AH56" s="41">
        <f t="shared" si="45"/>
        <v>544.40970965707675</v>
      </c>
      <c r="AI56" s="41">
        <f t="shared" si="45"/>
        <v>39863.486023646081</v>
      </c>
      <c r="AJ56" s="150"/>
      <c r="AK56" s="43">
        <f t="shared" si="48"/>
        <v>617.57894268789209</v>
      </c>
      <c r="AL56" s="43">
        <f t="shared" si="48"/>
        <v>-203.38481191121923</v>
      </c>
      <c r="AM56" s="43">
        <f t="shared" si="48"/>
        <v>165.51424218275019</v>
      </c>
      <c r="AN56" s="43">
        <f t="shared" si="48"/>
        <v>-1392.3749610998345</v>
      </c>
      <c r="AO56" s="43">
        <f t="shared" si="48"/>
        <v>-106.37775740010477</v>
      </c>
      <c r="AP56" s="43">
        <f t="shared" si="48"/>
        <v>61.809983557412806</v>
      </c>
      <c r="AQ56" s="43">
        <f t="shared" si="49"/>
        <v>-3.9269183467549738</v>
      </c>
      <c r="AR56" s="43">
        <f t="shared" si="49"/>
        <v>1.687423430279523</v>
      </c>
      <c r="AS56" s="43">
        <f t="shared" si="49"/>
        <v>54.100242801530385</v>
      </c>
      <c r="AT56" s="150"/>
      <c r="AU56" s="69">
        <f t="shared" si="47"/>
        <v>29.423223930887588</v>
      </c>
      <c r="AV56" s="69">
        <f t="shared" si="47"/>
        <v>-9.1196643290295647</v>
      </c>
      <c r="AW56" s="69">
        <f t="shared" si="47"/>
        <v>8.2829541905417479</v>
      </c>
      <c r="AX56" s="69">
        <f t="shared" si="47"/>
        <v>-64.95036805596709</v>
      </c>
      <c r="AY56" s="69">
        <f t="shared" si="47"/>
        <v>-15.008205364578542</v>
      </c>
      <c r="AZ56" s="69">
        <f t="shared" si="47"/>
        <v>9.5018071854906072</v>
      </c>
      <c r="BA56" s="69">
        <f t="shared" si="47"/>
        <v>-0.68783228643771732</v>
      </c>
      <c r="BB56" s="69">
        <f t="shared" si="47"/>
        <v>0.1033577102536043</v>
      </c>
      <c r="BC56" s="69">
        <f t="shared" si="47"/>
        <v>7.5603803884037202</v>
      </c>
      <c r="BD56" s="202">
        <f t="shared" si="50"/>
        <v>8.8610184833481718</v>
      </c>
    </row>
    <row r="57" spans="2:59" x14ac:dyDescent="0.2">
      <c r="B57" s="133" t="s">
        <v>777</v>
      </c>
      <c r="C57" s="43">
        <f>SUMIF('1. Väestöennuste'!$X$15:$X$307,'1. Väestöennuste'!$U5,'4. Valtionosuudet'!Z$15:Z$307)</f>
        <v>1266300</v>
      </c>
      <c r="D57" s="43">
        <f>SUMIF('1. Väestöennuste'!$X$15:$X$307,'1. Väestöennuste'!$U5,'4. Valtionosuudet'!AG$15:AG$307)</f>
        <v>1523673.4680799257</v>
      </c>
      <c r="E57" s="43">
        <f>SUMIF('1. Väestöennuste'!$X$15:$X$307,'1. Väestöennuste'!$U5,'4. Valtionosuudet'!AN$15:AN$307)</f>
        <v>1427101.9705648834</v>
      </c>
      <c r="F57" s="43">
        <f>SUMIF('1. Väestöennuste'!$X$15:$X$307,'1. Väestöennuste'!$U5,'4. Valtionosuudet'!AU$15:AU$307)</f>
        <v>1547178.765988704</v>
      </c>
      <c r="G57" s="43">
        <f>SUMIF('1. Väestöennuste'!$X$15:$X$307,'1. Väestöennuste'!$U5,'4. Valtionosuudet'!BC$15:BC$307)</f>
        <v>543433.2961809336</v>
      </c>
      <c r="H57" s="43">
        <f>SUMIF('1. Väestöennuste'!$X$15:$X$307,'1. Väestöennuste'!$U5,'4. Valtionosuudet'!BK$15:BK$307)</f>
        <v>470523.6369359112</v>
      </c>
      <c r="I57" s="43">
        <f>SUMIF('1. Väestöennuste'!$X$15:$X$307,'1. Väestöennuste'!$U5,'4. Valtionosuudet'!BQ$15:BQ$307)</f>
        <v>506381.5648245578</v>
      </c>
      <c r="J57" s="43">
        <f>SUMIF('1. Väestöennuste'!$X$15:$X$307,'1. Väestöennuste'!$U5,'4. Valtionosuudet'!BY$15:BY$307)</f>
        <v>512457.38597072853</v>
      </c>
      <c r="K57" s="43">
        <f>SUMIF('1. Väestöennuste'!$X$15:$X$307,'1. Väestöennuste'!$U5,'4. Valtionosuudet'!CE$15:CE$307)</f>
        <v>517041.58671449689</v>
      </c>
      <c r="L57" s="43">
        <f>SUMIF('1. Väestöennuste'!$X$15:$X$307,'1. Väestöennuste'!$U5,'4. Valtionosuudet'!CK$15:CK$307)</f>
        <v>559111.93133915099</v>
      </c>
      <c r="M57" s="136"/>
      <c r="N57" s="43">
        <f>C57/'1. Väestöennuste'!BJ5*1000</f>
        <v>2125.4418562494334</v>
      </c>
      <c r="O57" s="43">
        <f>D57/'1. Väestöennuste'!BK5*1000</f>
        <v>2524.1259220333932</v>
      </c>
      <c r="P57" s="43">
        <f>E57/'1. Väestöennuste'!BL5*1000</f>
        <v>2365.6695270903406</v>
      </c>
      <c r="Q57" s="43">
        <f>F57/'1. Väestöennuste'!BM5*1000</f>
        <v>2574.6877133003018</v>
      </c>
      <c r="R57" s="43">
        <f>G57/'1. Väestöennuste'!BN5*1000</f>
        <v>905.24087390359716</v>
      </c>
      <c r="S57" s="43">
        <f>H57/'1. Väestöennuste'!BO5*1000</f>
        <v>793.85135552953591</v>
      </c>
      <c r="T57" s="43">
        <f>I57/'1. Väestöennuste'!BP5*1000</f>
        <v>858.2287453109376</v>
      </c>
      <c r="U57" s="43">
        <f>J57/'1. Väestöennuste'!BQ5*1000</f>
        <v>872.44906341525984</v>
      </c>
      <c r="V57" s="43">
        <f>K57/'1. Väestöennuste'!BR5*1000</f>
        <v>884.22778528930382</v>
      </c>
      <c r="W57" s="43">
        <f>L57/'1. Väestöennuste'!BS5*1000</f>
        <v>960.57604356113552</v>
      </c>
      <c r="X57" s="159"/>
      <c r="Z57" s="133" t="s">
        <v>777</v>
      </c>
      <c r="AA57" s="41">
        <f t="shared" si="45"/>
        <v>257373.46807992575</v>
      </c>
      <c r="AB57" s="41">
        <f t="shared" si="45"/>
        <v>-96571.497515042312</v>
      </c>
      <c r="AC57" s="41">
        <f t="shared" si="45"/>
        <v>120076.79542382061</v>
      </c>
      <c r="AD57" s="41">
        <f t="shared" si="45"/>
        <v>-1003745.4698077705</v>
      </c>
      <c r="AE57" s="41">
        <f t="shared" si="45"/>
        <v>-72909.659245022398</v>
      </c>
      <c r="AF57" s="41">
        <f t="shared" si="45"/>
        <v>35857.927888646605</v>
      </c>
      <c r="AG57" s="41">
        <f t="shared" si="45"/>
        <v>6075.8211461707251</v>
      </c>
      <c r="AH57" s="41">
        <f t="shared" si="45"/>
        <v>4584.2007437683642</v>
      </c>
      <c r="AI57" s="41">
        <f t="shared" si="45"/>
        <v>42070.344624654099</v>
      </c>
      <c r="AJ57" s="150"/>
      <c r="AK57" s="43">
        <f t="shared" si="48"/>
        <v>398.6840657839598</v>
      </c>
      <c r="AL57" s="43">
        <f t="shared" si="48"/>
        <v>-158.4563949430526</v>
      </c>
      <c r="AM57" s="43">
        <f t="shared" si="48"/>
        <v>209.01818620996119</v>
      </c>
      <c r="AN57" s="43">
        <f t="shared" si="48"/>
        <v>-1669.4468393967045</v>
      </c>
      <c r="AO57" s="43">
        <f t="shared" si="48"/>
        <v>-111.38951837406125</v>
      </c>
      <c r="AP57" s="43">
        <f t="shared" si="48"/>
        <v>64.377389781401689</v>
      </c>
      <c r="AQ57" s="43">
        <f t="shared" si="49"/>
        <v>14.220318104322246</v>
      </c>
      <c r="AR57" s="43">
        <f t="shared" si="49"/>
        <v>11.778721874043981</v>
      </c>
      <c r="AS57" s="43">
        <f t="shared" si="49"/>
        <v>76.348258271831696</v>
      </c>
      <c r="AT57" s="150"/>
      <c r="AU57" s="69">
        <f t="shared" si="47"/>
        <v>20.324841513063706</v>
      </c>
      <c r="AV57" s="69">
        <f t="shared" si="47"/>
        <v>-6.338070429009834</v>
      </c>
      <c r="AW57" s="69">
        <f t="shared" si="47"/>
        <v>8.4140305248328708</v>
      </c>
      <c r="AX57" s="69">
        <f t="shared" si="47"/>
        <v>-64.875856098395985</v>
      </c>
      <c r="AY57" s="69">
        <f t="shared" si="47"/>
        <v>-13.416487314525439</v>
      </c>
      <c r="AZ57" s="69">
        <f t="shared" si="47"/>
        <v>7.6208558027299977</v>
      </c>
      <c r="BA57" s="69">
        <f t="shared" si="47"/>
        <v>1.1998503832334029</v>
      </c>
      <c r="BB57" s="69">
        <f t="shared" si="47"/>
        <v>0.89455257534920563</v>
      </c>
      <c r="BC57" s="69">
        <f t="shared" si="47"/>
        <v>8.1367429053409435</v>
      </c>
      <c r="BD57" s="202">
        <f t="shared" si="50"/>
        <v>9.8864214519624127</v>
      </c>
    </row>
    <row r="58" spans="2:59" x14ac:dyDescent="0.2">
      <c r="B58" s="133" t="s">
        <v>778</v>
      </c>
      <c r="C58" s="43">
        <f>SUMIF('1. Väestöennuste'!$X$15:$X$307,'1. Väestöennuste'!$U6,'4. Valtionosuudet'!Z$15:Z$307)</f>
        <v>1401914</v>
      </c>
      <c r="D58" s="43">
        <f>SUMIF('1. Väestöennuste'!$X$15:$X$307,'1. Väestöennuste'!$U6,'4. Valtionosuudet'!AG$15:AG$307)</f>
        <v>1645050.9242801613</v>
      </c>
      <c r="E58" s="43">
        <f>SUMIF('1. Väestöennuste'!$X$15:$X$307,'1. Väestöennuste'!$U6,'4. Valtionosuudet'!AN$15:AN$307)</f>
        <v>1557778.5620050528</v>
      </c>
      <c r="F58" s="43">
        <f>SUMIF('1. Väestöennuste'!$X$15:$X$307,'1. Väestöennuste'!$U6,'4. Valtionosuudet'!AU$15:AU$307)</f>
        <v>1659792.2205228459</v>
      </c>
      <c r="G58" s="43">
        <f>SUMIF('1. Väestöennuste'!$X$15:$X$307,'1. Väestöennuste'!$U6,'4. Valtionosuudet'!BC$15:BC$307)</f>
        <v>496046.62013681605</v>
      </c>
      <c r="H58" s="43">
        <f>SUMIF('1. Väestöennuste'!$X$15:$X$307,'1. Väestöennuste'!$U6,'4. Valtionosuudet'!BK$15:BK$307)</f>
        <v>455321.80503406038</v>
      </c>
      <c r="I58" s="43">
        <f>SUMIF('1. Väestöennuste'!$X$15:$X$307,'1. Väestöennuste'!$U6,'4. Valtionosuudet'!BQ$15:BQ$307)</f>
        <v>485739.96667258535</v>
      </c>
      <c r="J58" s="43">
        <f>SUMIF('1. Väestöennuste'!$X$15:$X$307,'1. Väestöennuste'!$U6,'4. Valtionosuudet'!BY$15:BY$307)</f>
        <v>484872.45658645232</v>
      </c>
      <c r="K58" s="43">
        <f>SUMIF('1. Väestöennuste'!$X$15:$X$307,'1. Väestöennuste'!$U6,'4. Valtionosuudet'!CE$15:CE$307)</f>
        <v>487806.26201295637</v>
      </c>
      <c r="L58" s="43">
        <f>SUMIF('1. Väestöennuste'!$X$15:$X$307,'1. Väestöennuste'!$U6,'4. Valtionosuudet'!CK$15:CK$307)</f>
        <v>537316.01250584808</v>
      </c>
      <c r="M58" s="136"/>
      <c r="N58" s="43">
        <f>C58/'1. Väestöennuste'!BJ6*1000</f>
        <v>2631.6200473420317</v>
      </c>
      <c r="O58" s="43">
        <f>D58/'1. Väestöennuste'!BK6*1000</f>
        <v>3084.0676266915657</v>
      </c>
      <c r="P58" s="43">
        <f>E58/'1. Väestöennuste'!BL6*1000</f>
        <v>2934.3327343374262</v>
      </c>
      <c r="Q58" s="43">
        <f>F58/'1. Väestöennuste'!BM6*1000</f>
        <v>3159.7275070109918</v>
      </c>
      <c r="R58" s="43">
        <f>G58/'1. Väestöennuste'!BN6*1000</f>
        <v>951.28866430685389</v>
      </c>
      <c r="S58" s="43">
        <f>H58/'1. Väestöennuste'!BO6*1000</f>
        <v>886.76135330101783</v>
      </c>
      <c r="T58" s="43">
        <f>I58/'1. Väestöennuste'!BP6*1000</f>
        <v>951.49287403322865</v>
      </c>
      <c r="U58" s="43">
        <f>J58/'1. Väestöennuste'!BQ6*1000</f>
        <v>958.01876350757198</v>
      </c>
      <c r="V58" s="43">
        <f>K58/'1. Väestöennuste'!BR6*1000</f>
        <v>971.90954864557307</v>
      </c>
      <c r="W58" s="43">
        <f>L58/'1. Väestöennuste'!BS6*1000</f>
        <v>1079.4138282709364</v>
      </c>
      <c r="X58" s="159"/>
      <c r="Z58" s="133" t="s">
        <v>778</v>
      </c>
      <c r="AA58" s="41">
        <f t="shared" si="45"/>
        <v>243136.92428016127</v>
      </c>
      <c r="AB58" s="41">
        <f t="shared" si="45"/>
        <v>-87272.362275108462</v>
      </c>
      <c r="AC58" s="41">
        <f t="shared" si="45"/>
        <v>102013.65851779305</v>
      </c>
      <c r="AD58" s="41">
        <f t="shared" si="45"/>
        <v>-1163745.6003860298</v>
      </c>
      <c r="AE58" s="41">
        <f t="shared" si="45"/>
        <v>-40724.815102755674</v>
      </c>
      <c r="AF58" s="41">
        <f t="shared" si="45"/>
        <v>30418.161638524965</v>
      </c>
      <c r="AG58" s="41">
        <f t="shared" si="45"/>
        <v>-867.51008613302838</v>
      </c>
      <c r="AH58" s="41">
        <f t="shared" si="45"/>
        <v>2933.8054265040555</v>
      </c>
      <c r="AI58" s="41">
        <f t="shared" si="45"/>
        <v>49509.750492891704</v>
      </c>
      <c r="AJ58" s="150"/>
      <c r="AK58" s="43">
        <f t="shared" si="48"/>
        <v>452.44757934953395</v>
      </c>
      <c r="AL58" s="43">
        <f t="shared" si="48"/>
        <v>-149.73489235413945</v>
      </c>
      <c r="AM58" s="43">
        <f t="shared" si="48"/>
        <v>225.39477267356551</v>
      </c>
      <c r="AN58" s="43">
        <f t="shared" si="48"/>
        <v>-2208.4388427041376</v>
      </c>
      <c r="AO58" s="43">
        <f t="shared" si="48"/>
        <v>-64.527311005836054</v>
      </c>
      <c r="AP58" s="43">
        <f t="shared" si="48"/>
        <v>64.731520732210811</v>
      </c>
      <c r="AQ58" s="43">
        <f t="shared" si="49"/>
        <v>6.5258894743433302</v>
      </c>
      <c r="AR58" s="43">
        <f t="shared" si="49"/>
        <v>13.890785138001092</v>
      </c>
      <c r="AS58" s="43">
        <f t="shared" si="49"/>
        <v>107.50427962536332</v>
      </c>
      <c r="AT58" s="132"/>
      <c r="AU58" s="69">
        <f t="shared" si="47"/>
        <v>17.343212513760562</v>
      </c>
      <c r="AV58" s="69">
        <f t="shared" si="47"/>
        <v>-5.3051465451318442</v>
      </c>
      <c r="AW58" s="69">
        <f t="shared" si="47"/>
        <v>6.5486623712736725</v>
      </c>
      <c r="AX58" s="69">
        <f t="shared" si="47"/>
        <v>-70.113932695710673</v>
      </c>
      <c r="AY58" s="69">
        <f t="shared" si="47"/>
        <v>-8.2098765417498942</v>
      </c>
      <c r="AZ58" s="69">
        <f t="shared" si="47"/>
        <v>6.6805853139955573</v>
      </c>
      <c r="BA58" s="69">
        <f t="shared" si="47"/>
        <v>-0.17859557492780898</v>
      </c>
      <c r="BB58" s="69">
        <f t="shared" si="47"/>
        <v>0.60506745364714565</v>
      </c>
      <c r="BC58" s="69">
        <f t="shared" si="47"/>
        <v>10.149470055711717</v>
      </c>
      <c r="BD58" s="202">
        <f t="shared" si="50"/>
        <v>7.1343951947273831</v>
      </c>
    </row>
    <row r="59" spans="2:59" x14ac:dyDescent="0.2">
      <c r="B59" s="133" t="s">
        <v>779</v>
      </c>
      <c r="C59" s="43">
        <f>SUMIF('1. Väestöennuste'!$X$15:$X$307,'1. Väestöennuste'!$U7,'4. Valtionosuudet'!Z$15:Z$307)</f>
        <v>1005074</v>
      </c>
      <c r="D59" s="43">
        <f>SUMIF('1. Väestöennuste'!$X$15:$X$307,'1. Väestöennuste'!$U7,'4. Valtionosuudet'!AG$15:AG$307)</f>
        <v>1130794.6391718015</v>
      </c>
      <c r="E59" s="43">
        <f>SUMIF('1. Väestöennuste'!$X$15:$X$307,'1. Väestöennuste'!$U7,'4. Valtionosuudet'!AN$15:AN$307)</f>
        <v>1080866.4376520601</v>
      </c>
      <c r="F59" s="43">
        <f>SUMIF('1. Väestöennuste'!$X$15:$X$307,'1. Väestöennuste'!$U7,'4. Valtionosuudet'!AU$15:AU$307)</f>
        <v>1134362.9300972726</v>
      </c>
      <c r="G59" s="43">
        <f>SUMIF('1. Väestöennuste'!$X$15:$X$307,'1. Väestöennuste'!$U7,'4. Valtionosuudet'!BC$15:BC$307)</f>
        <v>305867.68691961403</v>
      </c>
      <c r="H59" s="43">
        <f>SUMIF('1. Väestöennuste'!$X$15:$X$307,'1. Väestöennuste'!$U7,'4. Valtionosuudet'!BK$15:BK$307)</f>
        <v>278578.7602108689</v>
      </c>
      <c r="I59" s="43">
        <f>SUMIF('1. Väestöennuste'!$X$15:$X$307,'1. Väestöennuste'!$U7,'4. Valtionosuudet'!BQ$15:BQ$307)</f>
        <v>301757.15104438784</v>
      </c>
      <c r="J59" s="43">
        <f>SUMIF('1. Väestöennuste'!$X$15:$X$307,'1. Väestöennuste'!$U7,'4. Valtionosuudet'!BY$15:BY$307)</f>
        <v>304013.77598098567</v>
      </c>
      <c r="K59" s="43">
        <f>SUMIF('1. Väestöennuste'!$X$15:$X$307,'1. Väestöennuste'!$U7,'4. Valtionosuudet'!CE$15:CE$307)</f>
        <v>304500.39355280285</v>
      </c>
      <c r="L59" s="43">
        <f>SUMIF('1. Väestöennuste'!$X$15:$X$307,'1. Väestöennuste'!$U7,'4. Valtionosuudet'!CK$15:CK$307)</f>
        <v>338256.11529116653</v>
      </c>
      <c r="M59" s="136"/>
      <c r="N59" s="43">
        <f>C59/'1. Väestöennuste'!BJ7*1000</f>
        <v>3406.8110867435653</v>
      </c>
      <c r="O59" s="43">
        <f>D59/'1. Väestöennuste'!BK7*1000</f>
        <v>3894.0282072915284</v>
      </c>
      <c r="P59" s="43">
        <f>E59/'1. Väestöennuste'!BL7*1000</f>
        <v>3761.1183755669695</v>
      </c>
      <c r="Q59" s="43">
        <f>F59/'1. Väestöennuste'!BM7*1000</f>
        <v>4013.7390492437639</v>
      </c>
      <c r="R59" s="43">
        <f>G59/'1. Väestöennuste'!BN7*1000</f>
        <v>1093.1263604575036</v>
      </c>
      <c r="S59" s="43">
        <f>H59/'1. Väestöennuste'!BO7*1000</f>
        <v>1015.0400625644247</v>
      </c>
      <c r="T59" s="43">
        <f>I59/'1. Väestöennuste'!BP7*1000</f>
        <v>1113.5689862957238</v>
      </c>
      <c r="U59" s="43">
        <f>J59/'1. Väestöennuste'!BQ7*1000</f>
        <v>1135.7273779372003</v>
      </c>
      <c r="V59" s="43">
        <f>K59/'1. Väestöennuste'!BR7*1000</f>
        <v>1151.1649379158189</v>
      </c>
      <c r="W59" s="43">
        <f>L59/'1. Väestöennuste'!BS7*1000</f>
        <v>1293.8192904343887</v>
      </c>
      <c r="X59" s="159"/>
      <c r="Z59" s="133" t="s">
        <v>779</v>
      </c>
      <c r="AA59" s="41">
        <f t="shared" si="45"/>
        <v>125720.63917180151</v>
      </c>
      <c r="AB59" s="41">
        <f t="shared" si="45"/>
        <v>-49928.201519741444</v>
      </c>
      <c r="AC59" s="41">
        <f t="shared" si="45"/>
        <v>53496.492445212556</v>
      </c>
      <c r="AD59" s="41">
        <f t="shared" si="45"/>
        <v>-828495.24317765865</v>
      </c>
      <c r="AE59" s="41">
        <f t="shared" si="45"/>
        <v>-27288.92670874513</v>
      </c>
      <c r="AF59" s="43">
        <f t="shared" si="45"/>
        <v>23178.390833518934</v>
      </c>
      <c r="AG59" s="43">
        <f t="shared" si="45"/>
        <v>2256.6249365978292</v>
      </c>
      <c r="AH59" s="43">
        <f t="shared" si="45"/>
        <v>486.61757181718713</v>
      </c>
      <c r="AI59" s="43">
        <f t="shared" si="45"/>
        <v>33755.721738363674</v>
      </c>
      <c r="AJ59" s="150"/>
      <c r="AK59" s="43">
        <f t="shared" si="48"/>
        <v>487.21712054796308</v>
      </c>
      <c r="AL59" s="43">
        <f t="shared" si="48"/>
        <v>-132.9098317245589</v>
      </c>
      <c r="AM59" s="43">
        <f t="shared" si="48"/>
        <v>252.62067367679447</v>
      </c>
      <c r="AN59" s="43">
        <f t="shared" si="48"/>
        <v>-2920.6126887862602</v>
      </c>
      <c r="AO59" s="43">
        <f t="shared" si="48"/>
        <v>-78.086297893078836</v>
      </c>
      <c r="AP59" s="43">
        <f t="shared" si="48"/>
        <v>98.528923731299074</v>
      </c>
      <c r="AQ59" s="43">
        <f t="shared" si="49"/>
        <v>22.158391641476555</v>
      </c>
      <c r="AR59" s="43">
        <f t="shared" si="49"/>
        <v>15.437559978618538</v>
      </c>
      <c r="AS59" s="43">
        <f t="shared" si="49"/>
        <v>142.65435251856979</v>
      </c>
      <c r="AT59" s="199"/>
      <c r="AU59" s="69">
        <f t="shared" si="47"/>
        <v>12.508595304604597</v>
      </c>
      <c r="AV59" s="69">
        <f t="shared" si="47"/>
        <v>-4.4153199697081202</v>
      </c>
      <c r="AW59" s="69">
        <f t="shared" si="47"/>
        <v>4.9494082322901756</v>
      </c>
      <c r="AX59" s="69">
        <f t="shared" si="47"/>
        <v>-73.036170452662304</v>
      </c>
      <c r="AY59" s="69">
        <f t="shared" si="47"/>
        <v>-8.9218076559741348</v>
      </c>
      <c r="AZ59" s="69">
        <f t="shared" si="47"/>
        <v>8.3202290138609811</v>
      </c>
      <c r="BA59" s="69">
        <f t="shared" si="47"/>
        <v>0.74782815545135772</v>
      </c>
      <c r="BB59" s="69">
        <f t="shared" si="47"/>
        <v>0.16006431624586703</v>
      </c>
      <c r="BC59" s="69">
        <f t="shared" si="47"/>
        <v>11.085608574922956</v>
      </c>
      <c r="BD59" s="202">
        <f t="shared" si="50"/>
        <v>9.3049568180692219</v>
      </c>
      <c r="BG59" s="41"/>
    </row>
    <row r="60" spans="2:59" x14ac:dyDescent="0.2">
      <c r="B60" s="193" t="s">
        <v>780</v>
      </c>
      <c r="C60" s="226">
        <f>SUMIF('1. Väestöennuste'!$X$15:$X$307,'1. Väestöennuste'!$U8,'4. Valtionosuudet'!Z$15:Z$307)</f>
        <v>169360</v>
      </c>
      <c r="D60" s="226">
        <f>SUMIF('1. Väestöennuste'!$X$15:$X$307,'1. Väestöennuste'!$U8,'4. Valtionosuudet'!AG$15:AG$307)</f>
        <v>188124.95166498513</v>
      </c>
      <c r="E60" s="226">
        <f>SUMIF('1. Väestöennuste'!$X$15:$X$307,'1. Väestöennuste'!$U8,'4. Valtionosuudet'!AN$15:AN$307)</f>
        <v>180112.00422971361</v>
      </c>
      <c r="F60" s="226">
        <f>SUMIF('1. Väestöennuste'!$X$15:$X$307,'1. Väestöennuste'!$U8,'4. Valtionosuudet'!AU$15:AU$307)</f>
        <v>188602.51878565821</v>
      </c>
      <c r="G60" s="226">
        <f>SUMIF('1. Väestöennuste'!$X$15:$X$307,'1. Väestöennuste'!$U8,'4. Valtionosuudet'!BC$15:BC$307)</f>
        <v>42432.673632882237</v>
      </c>
      <c r="H60" s="226">
        <f>SUMIF('1. Väestöennuste'!$X$15:$X$307,'1. Väestöennuste'!$U8,'4. Valtionosuudet'!BK$15:BK$307)</f>
        <v>40184.937605682964</v>
      </c>
      <c r="I60" s="226">
        <f>SUMIF('1. Väestöennuste'!$X$15:$X$307,'1. Väestöennuste'!$U8,'4. Valtionosuudet'!BQ$15:BQ$307)</f>
        <v>45562.133114425058</v>
      </c>
      <c r="J60" s="226">
        <f>SUMIF('1. Väestöennuste'!$X$15:$X$307,'1. Väestöennuste'!$U8,'4. Valtionosuudet'!BY$15:BY$307)</f>
        <v>44875.695149843268</v>
      </c>
      <c r="K60" s="226">
        <f>SUMIF('1. Väestöennuste'!$X$15:$X$307,'1. Väestöennuste'!$U8,'4. Valtionosuudet'!CE$15:CE$307)</f>
        <v>46037.470403999519</v>
      </c>
      <c r="L60" s="43">
        <f>SUMIF('1. Väestöennuste'!$X$15:$X$307,'1. Väestöennuste'!$U8,'4. Valtionosuudet'!CK$15:CK$307)</f>
        <v>50924.269442386547</v>
      </c>
      <c r="M60" s="194"/>
      <c r="N60" s="226">
        <f>C60/'1. Väestöennuste'!BJ8*1000</f>
        <v>3651.7314243822502</v>
      </c>
      <c r="O60" s="226">
        <f>D60/'1. Väestöennuste'!BK8*1000</f>
        <v>3623.2223655672956</v>
      </c>
      <c r="P60" s="226">
        <f>E60/'1. Väestöennuste'!BL8*1000</f>
        <v>3506.1027472642854</v>
      </c>
      <c r="Q60" s="226">
        <f>F60/'1. Väestöennuste'!BM8*1000</f>
        <v>3726.3651391077037</v>
      </c>
      <c r="R60" s="226">
        <f>G60/'1. Väestöennuste'!BN8*1000</f>
        <v>853.3297195206178</v>
      </c>
      <c r="S60" s="226">
        <f>H60/'1. Väestöennuste'!BO8*1000</f>
        <v>811.83332200010022</v>
      </c>
      <c r="T60" s="226">
        <f>I60/'1. Väestöennuste'!BP8*1000</f>
        <v>959.78877871595409</v>
      </c>
      <c r="U60" s="226">
        <f>J60/'1. Väestöennuste'!BQ8*1000</f>
        <v>954.45679541109109</v>
      </c>
      <c r="V60" s="226">
        <f>K60/'1. Väestöennuste'!BR8*1000</f>
        <v>988.37395401360095</v>
      </c>
      <c r="W60" s="226">
        <f>L60/'1. Väestöennuste'!BS8*1000</f>
        <v>1103.3554934000638</v>
      </c>
      <c r="X60" s="159"/>
      <c r="Z60" s="193" t="s">
        <v>780</v>
      </c>
      <c r="AA60" s="226">
        <f t="shared" si="45"/>
        <v>18764.951664985128</v>
      </c>
      <c r="AB60" s="226">
        <f t="shared" si="45"/>
        <v>-8012.9474352715188</v>
      </c>
      <c r="AC60" s="226">
        <f t="shared" si="45"/>
        <v>8490.5145559445955</v>
      </c>
      <c r="AD60" s="226">
        <f t="shared" si="45"/>
        <v>-146169.84515277596</v>
      </c>
      <c r="AE60" s="226">
        <f t="shared" si="45"/>
        <v>-2247.7360271992729</v>
      </c>
      <c r="AF60" s="226">
        <f t="shared" si="45"/>
        <v>5377.1955087420938</v>
      </c>
      <c r="AG60" s="226">
        <f t="shared" si="45"/>
        <v>-686.43796458178986</v>
      </c>
      <c r="AH60" s="226">
        <f t="shared" si="45"/>
        <v>1161.7752541562513</v>
      </c>
      <c r="AI60" s="226">
        <f t="shared" si="45"/>
        <v>4886.7990383870274</v>
      </c>
      <c r="AJ60" s="287"/>
      <c r="AK60" s="226">
        <f t="shared" si="48"/>
        <v>-28.509058814954642</v>
      </c>
      <c r="AL60" s="226">
        <f t="shared" si="48"/>
        <v>-117.11961830301016</v>
      </c>
      <c r="AM60" s="226">
        <f t="shared" si="48"/>
        <v>220.2623918434183</v>
      </c>
      <c r="AN60" s="226">
        <f t="shared" si="48"/>
        <v>-2873.0354195870859</v>
      </c>
      <c r="AO60" s="226">
        <f t="shared" si="48"/>
        <v>-41.496397520517576</v>
      </c>
      <c r="AP60" s="226">
        <f t="shared" si="48"/>
        <v>147.95545671585387</v>
      </c>
      <c r="AQ60" s="226">
        <f t="shared" si="49"/>
        <v>-5.3319833048630016</v>
      </c>
      <c r="AR60" s="226">
        <f t="shared" si="49"/>
        <v>33.917158602509858</v>
      </c>
      <c r="AS60" s="226">
        <f t="shared" si="49"/>
        <v>114.98153938646283</v>
      </c>
      <c r="AT60" s="288"/>
      <c r="AU60" s="235">
        <f t="shared" si="47"/>
        <v>11.079919499873125</v>
      </c>
      <c r="AV60" s="235">
        <f t="shared" si="47"/>
        <v>-4.259375146334154</v>
      </c>
      <c r="AW60" s="235">
        <f t="shared" si="47"/>
        <v>4.7140192527733271</v>
      </c>
      <c r="AX60" s="235">
        <f t="shared" si="47"/>
        <v>-77.501533963549107</v>
      </c>
      <c r="AY60" s="235">
        <f t="shared" si="47"/>
        <v>-5.2971821824054022</v>
      </c>
      <c r="AZ60" s="235">
        <f t="shared" si="47"/>
        <v>13.381121955460372</v>
      </c>
      <c r="BA60" s="235">
        <f t="shared" si="47"/>
        <v>-1.5065975134611609</v>
      </c>
      <c r="BB60" s="235">
        <f t="shared" si="47"/>
        <v>2.5888741116477432</v>
      </c>
      <c r="BC60" s="235">
        <f t="shared" si="47"/>
        <v>10.614829606195064</v>
      </c>
      <c r="BD60" s="202">
        <f t="shared" si="50"/>
        <v>14.56399623098803</v>
      </c>
      <c r="BG60" s="41"/>
    </row>
    <row r="61" spans="2:59" x14ac:dyDescent="0.2">
      <c r="B61" s="4" t="s">
        <v>694</v>
      </c>
      <c r="C61" s="192">
        <f>'4. Valtionosuudet'!Z13</f>
        <v>8640795</v>
      </c>
      <c r="D61" s="192">
        <f>'4. Valtionosuudet'!AG13</f>
        <v>10973335.440771153</v>
      </c>
      <c r="E61" s="192">
        <f>'4. Valtionosuudet'!AN13</f>
        <v>9987200.675336102</v>
      </c>
      <c r="F61" s="192">
        <f>'4. Valtionosuudet'!AU13</f>
        <v>10717671.559091017</v>
      </c>
      <c r="G61" s="192">
        <f>'4. Valtionosuudet'!BC13</f>
        <v>3618379.8691161484</v>
      </c>
      <c r="H61" s="192">
        <f>'4. Valtionosuudet'!BK13</f>
        <v>3371435.1477243057</v>
      </c>
      <c r="I61" s="192">
        <f>'4. Valtionosuudet'!BQ13</f>
        <v>3916185.5705907275</v>
      </c>
      <c r="J61" s="192">
        <f>'4. Valtionosuudet'!BY13</f>
        <v>4057496.9652712019</v>
      </c>
      <c r="K61" s="192">
        <f>'4. Valtionosuudet'!CE13</f>
        <v>4143792.5250227782</v>
      </c>
      <c r="L61" s="428">
        <f>'4. Valtionosuudet'!CK13</f>
        <v>4472326.063627555</v>
      </c>
      <c r="M61" s="167"/>
      <c r="N61" s="192">
        <f>C61/'1. Väestöennuste'!BJ9*1000</f>
        <v>1572.3664193814182</v>
      </c>
      <c r="O61" s="192">
        <f>D61/'1. Väestöennuste'!BK9*1000</f>
        <v>1993.8236492582312</v>
      </c>
      <c r="P61" s="192">
        <f>E61/'1. Väestöennuste'!BL9*1000</f>
        <v>1809.9650419962718</v>
      </c>
      <c r="Q61" s="192">
        <f>F61/'1. Väestöennuste'!BM9*1000</f>
        <v>1936.8314034165062</v>
      </c>
      <c r="R61" s="192">
        <f>G61/'1. Väestöennuste'!BN9*1000</f>
        <v>649.23355584314322</v>
      </c>
      <c r="S61" s="192">
        <f>H61/'1. Väestöennuste'!BO9*1000</f>
        <v>608.72118385490251</v>
      </c>
      <c r="T61" s="192">
        <f>I61/'1. Väestöennuste'!BP9*1000</f>
        <v>706.26891638679547</v>
      </c>
      <c r="U61" s="192">
        <f>J61/'1. Väestöennuste'!BQ9*1000</f>
        <v>731.00308746950805</v>
      </c>
      <c r="V61" s="192">
        <f>K61/'1. Väestöennuste'!BR9*1000</f>
        <v>745.86366481519383</v>
      </c>
      <c r="W61" s="192">
        <f>L61/'1. Väestöennuste'!BS9*1000</f>
        <v>804.37056182906053</v>
      </c>
      <c r="X61" s="122"/>
      <c r="Z61" s="8" t="s">
        <v>694</v>
      </c>
      <c r="AA61" s="166">
        <f t="shared" si="45"/>
        <v>2332540.4407711532</v>
      </c>
      <c r="AB61" s="166">
        <f t="shared" si="45"/>
        <v>-986134.76543505117</v>
      </c>
      <c r="AC61" s="166">
        <f t="shared" si="45"/>
        <v>730470.88375491463</v>
      </c>
      <c r="AD61" s="166">
        <f t="shared" si="45"/>
        <v>-7099291.6899748687</v>
      </c>
      <c r="AE61" s="166">
        <f t="shared" si="45"/>
        <v>-246944.7213918427</v>
      </c>
      <c r="AF61" s="166">
        <f t="shared" si="45"/>
        <v>544750.42286642175</v>
      </c>
      <c r="AG61" s="41">
        <f t="shared" si="45"/>
        <v>141311.39468047442</v>
      </c>
      <c r="AH61" s="41">
        <f t="shared" si="45"/>
        <v>86295.559751576278</v>
      </c>
      <c r="AI61" s="41">
        <f t="shared" si="45"/>
        <v>328533.53860477684</v>
      </c>
      <c r="AJ61" s="151"/>
      <c r="AK61" s="192">
        <f t="shared" si="48"/>
        <v>421.45722987681302</v>
      </c>
      <c r="AL61" s="192">
        <f t="shared" si="48"/>
        <v>-183.85860726195938</v>
      </c>
      <c r="AM61" s="192">
        <f t="shared" si="48"/>
        <v>126.8663614202344</v>
      </c>
      <c r="AN61" s="192">
        <f t="shared" si="48"/>
        <v>-1287.597847573363</v>
      </c>
      <c r="AO61" s="192">
        <f t="shared" si="48"/>
        <v>-40.512371988240716</v>
      </c>
      <c r="AP61" s="192">
        <f t="shared" si="48"/>
        <v>97.547732531892962</v>
      </c>
      <c r="AQ61" s="192">
        <f>U61-T61</f>
        <v>24.734171082712578</v>
      </c>
      <c r="AR61" s="192">
        <f>V61-U61</f>
        <v>14.860577345685783</v>
      </c>
      <c r="AS61" s="192">
        <f>W61-V61</f>
        <v>58.506897013866705</v>
      </c>
      <c r="AT61" s="199"/>
      <c r="AU61" s="69">
        <f t="shared" si="47"/>
        <v>26.994511972233504</v>
      </c>
      <c r="AV61" s="69">
        <f t="shared" si="47"/>
        <v>-8.9866455897364865</v>
      </c>
      <c r="AW61" s="69">
        <f t="shared" si="47"/>
        <v>7.3140703536562546</v>
      </c>
      <c r="AX61" s="69">
        <f t="shared" si="47"/>
        <v>-66.239123403189737</v>
      </c>
      <c r="AY61" s="69">
        <f t="shared" si="47"/>
        <v>-6.8247317950108748</v>
      </c>
      <c r="AZ61" s="69">
        <f t="shared" si="47"/>
        <v>16.157820008316758</v>
      </c>
      <c r="BA61" s="69">
        <f t="shared" si="47"/>
        <v>3.6083937324542736</v>
      </c>
      <c r="BB61" s="69">
        <f t="shared" si="47"/>
        <v>2.1268176043061748</v>
      </c>
      <c r="BC61" s="69">
        <f t="shared" si="47"/>
        <v>7.9283298239689382</v>
      </c>
      <c r="BD61" s="418">
        <f t="shared" si="50"/>
        <v>22.90886057291679</v>
      </c>
      <c r="BG61" s="41"/>
    </row>
    <row r="64" spans="2:59" x14ac:dyDescent="0.2">
      <c r="BD64" s="4" t="s">
        <v>814</v>
      </c>
    </row>
    <row r="65" spans="2:56" x14ac:dyDescent="0.2">
      <c r="B65" s="191" t="s">
        <v>732</v>
      </c>
      <c r="C65" s="132">
        <v>2019</v>
      </c>
      <c r="D65" s="132">
        <v>2020</v>
      </c>
      <c r="E65" s="132">
        <v>2021</v>
      </c>
      <c r="F65" s="132">
        <v>2022</v>
      </c>
      <c r="G65" s="132">
        <v>2023</v>
      </c>
      <c r="H65" s="132">
        <v>2024</v>
      </c>
      <c r="I65" s="132">
        <v>2025</v>
      </c>
      <c r="J65" s="132">
        <v>2026</v>
      </c>
      <c r="K65" s="132">
        <v>2027</v>
      </c>
      <c r="L65" s="132">
        <v>2028</v>
      </c>
      <c r="M65" s="136" t="s">
        <v>319</v>
      </c>
      <c r="N65" s="132">
        <v>2019</v>
      </c>
      <c r="O65" s="132">
        <v>2020</v>
      </c>
      <c r="P65" s="132">
        <v>2021</v>
      </c>
      <c r="Q65" s="132">
        <v>2022</v>
      </c>
      <c r="R65" s="132">
        <v>2023</v>
      </c>
      <c r="S65" s="132">
        <v>2024</v>
      </c>
      <c r="T65" s="132">
        <v>2025</v>
      </c>
      <c r="U65" s="132">
        <v>2026</v>
      </c>
      <c r="V65" s="132">
        <v>2027</v>
      </c>
      <c r="W65" s="132">
        <v>2028</v>
      </c>
      <c r="X65" s="197"/>
      <c r="Z65" s="190" t="s">
        <v>788</v>
      </c>
      <c r="AA65" s="132">
        <v>2020</v>
      </c>
      <c r="AB65" s="132">
        <v>2021</v>
      </c>
      <c r="AC65" s="132">
        <v>2022</v>
      </c>
      <c r="AD65" s="132">
        <v>2023</v>
      </c>
      <c r="AE65" s="132">
        <v>2024</v>
      </c>
      <c r="AF65" s="132">
        <v>2025</v>
      </c>
      <c r="AG65" s="132">
        <v>2026</v>
      </c>
      <c r="AH65" s="132">
        <v>2027</v>
      </c>
      <c r="AI65" s="132">
        <v>2028</v>
      </c>
      <c r="AJ65" s="136" t="s">
        <v>319</v>
      </c>
      <c r="AK65" s="132">
        <v>2020</v>
      </c>
      <c r="AL65" s="132">
        <v>2021</v>
      </c>
      <c r="AM65" s="132">
        <v>2022</v>
      </c>
      <c r="AN65" s="132">
        <v>2023</v>
      </c>
      <c r="AO65" s="132">
        <v>2024</v>
      </c>
      <c r="AP65" s="132">
        <v>2025</v>
      </c>
      <c r="AQ65" s="132">
        <v>2026</v>
      </c>
      <c r="AR65" s="132">
        <v>2027</v>
      </c>
      <c r="AS65" s="132">
        <v>2028</v>
      </c>
      <c r="AT65" s="200" t="s">
        <v>731</v>
      </c>
      <c r="AU65" s="132">
        <v>2020</v>
      </c>
      <c r="AV65" s="132">
        <v>2021</v>
      </c>
      <c r="AW65" s="132">
        <v>2022</v>
      </c>
      <c r="AX65" s="132">
        <v>2023</v>
      </c>
      <c r="AY65" s="132">
        <v>2024</v>
      </c>
      <c r="AZ65" s="132">
        <v>2025</v>
      </c>
      <c r="BA65" s="132">
        <v>2026</v>
      </c>
      <c r="BB65" s="132">
        <v>2027</v>
      </c>
      <c r="BC65" s="132">
        <v>2028</v>
      </c>
      <c r="BD65" s="151" t="s">
        <v>731</v>
      </c>
    </row>
    <row r="66" spans="2:56" x14ac:dyDescent="0.2">
      <c r="B66" s="133" t="s">
        <v>774</v>
      </c>
      <c r="C66" s="43">
        <f>SUMIF('1. Väestöennuste'!$X$15:$X$307,'1. Väestöennuste'!$U2,Vuosikate!G$15:G$307)</f>
        <v>1172065</v>
      </c>
      <c r="D66" s="43">
        <f>SUMIF('1. Väestöennuste'!$X$15:$X$307,'1. Väestöennuste'!$U2,Vuosikate!H$15:H$307)</f>
        <v>1859839.0684289737</v>
      </c>
      <c r="E66" s="43">
        <f>SUMIF('1. Väestöennuste'!$X$15:$X$307,'1. Väestöennuste'!$U2,Vuosikate!I$15:I$307)</f>
        <v>1853944.4992747768</v>
      </c>
      <c r="F66" s="43">
        <f>SUMIF('1. Väestöennuste'!$X$15:$X$307,'1. Väestöennuste'!$U2,Vuosikate!J$15:J$307)</f>
        <v>1812615.0671117546</v>
      </c>
      <c r="G66" s="43">
        <f>SUMIF('1. Väestöennuste'!$X$15:$X$307,'1. Väestöennuste'!$U2,Vuosikate!K$15:K$307)</f>
        <v>2021641.8241324751</v>
      </c>
      <c r="H66" s="43">
        <f>SUMIF('1. Väestöennuste'!$X$15:$X$307,'1. Väestöennuste'!$U2,Vuosikate!L$15:L$307)</f>
        <v>1396590.1268673511</v>
      </c>
      <c r="I66" s="43">
        <f>SUMIF('1. Väestöennuste'!$X$15:$X$307,'1. Väestöennuste'!$U2,Vuosikate!M$15:M$307)</f>
        <v>1158323.2823679782</v>
      </c>
      <c r="J66" s="43">
        <f>SUMIF('1. Väestöennuste'!$X$15:$X$307,'1. Väestöennuste'!$U2,Vuosikate!N$15:N$307)</f>
        <v>1208284.1992022756</v>
      </c>
      <c r="K66" s="43">
        <f>SUMIF('1. Väestöennuste'!$X$15:$X$307,'1. Väestöennuste'!$U2,Vuosikate!O$15:O$307)</f>
        <v>1248487.2541721764</v>
      </c>
      <c r="L66" s="43">
        <f>SUMIF('1. Väestöennuste'!$X$15:$X$307,'1. Väestöennuste'!$U2,Vuosikate!P$15:P$307)</f>
        <v>1350519.2114903326</v>
      </c>
      <c r="M66" s="136"/>
      <c r="N66" s="43">
        <f>C66/'1. Väestöennuste'!BJ2*1000</f>
        <v>533.86410086010221</v>
      </c>
      <c r="O66" s="43">
        <f>D66/'1. Väestöennuste'!BK2*1000</f>
        <v>840.30594682163985</v>
      </c>
      <c r="P66" s="43">
        <f>E66/'1. Väestöennuste'!BL2*1000</f>
        <v>831.45883203660003</v>
      </c>
      <c r="Q66" s="43">
        <f>F66/'1. Väestöennuste'!BM2*1000</f>
        <v>802.20747601574237</v>
      </c>
      <c r="R66" s="43">
        <f>G66/'1. Väestöennuste'!BN2*1000</f>
        <v>878.98502466440914</v>
      </c>
      <c r="S66" s="43">
        <f>H66/'1. Väestöennuste'!BO2*1000</f>
        <v>607.10672298173449</v>
      </c>
      <c r="T66" s="43">
        <f>I66/'1. Väestöennuste'!BP2*1000</f>
        <v>499.45897661389671</v>
      </c>
      <c r="U66" s="43">
        <f>J66/'1. Väestöennuste'!BQ2*1000</f>
        <v>517.01366435061175</v>
      </c>
      <c r="V66" s="43">
        <f>K66/'1. Väestöennuste'!BR2*1000</f>
        <v>530.33777749976048</v>
      </c>
      <c r="W66" s="43">
        <f>L66/'1. Väestöennuste'!BS2*1000</f>
        <v>569.7285091340176</v>
      </c>
      <c r="X66" s="159"/>
      <c r="Z66" s="133" t="s">
        <v>774</v>
      </c>
      <c r="AA66" s="41">
        <f t="shared" ref="AA66:AI73" si="51">D66-C66</f>
        <v>687774.06842897367</v>
      </c>
      <c r="AB66" s="41">
        <f t="shared" si="51"/>
        <v>-5894.5691541968845</v>
      </c>
      <c r="AC66" s="41">
        <f t="shared" si="51"/>
        <v>-41329.432163022226</v>
      </c>
      <c r="AD66" s="41">
        <f t="shared" si="51"/>
        <v>209026.75702072051</v>
      </c>
      <c r="AE66" s="41">
        <f t="shared" si="51"/>
        <v>-625051.69726512395</v>
      </c>
      <c r="AF66" s="41">
        <f t="shared" si="51"/>
        <v>-238266.84449937288</v>
      </c>
      <c r="AG66" s="41">
        <f t="shared" si="51"/>
        <v>49960.916834297357</v>
      </c>
      <c r="AH66" s="41">
        <f t="shared" si="51"/>
        <v>40203.054969900753</v>
      </c>
      <c r="AI66" s="41">
        <f t="shared" si="51"/>
        <v>102031.95731815626</v>
      </c>
      <c r="AJ66" s="150"/>
      <c r="AK66" s="43">
        <f t="shared" ref="AK66:AP73" si="52">O66-N66</f>
        <v>306.44184596153764</v>
      </c>
      <c r="AL66" s="43">
        <f t="shared" si="52"/>
        <v>-8.8471147850398211</v>
      </c>
      <c r="AM66" s="43">
        <f t="shared" si="52"/>
        <v>-29.251356020857656</v>
      </c>
      <c r="AN66" s="43">
        <f t="shared" si="52"/>
        <v>76.777548648666766</v>
      </c>
      <c r="AO66" s="43">
        <f t="shared" si="52"/>
        <v>-271.87830168267465</v>
      </c>
      <c r="AP66" s="43">
        <f t="shared" si="52"/>
        <v>-107.64774636783778</v>
      </c>
      <c r="AQ66" s="43">
        <f t="shared" ref="AQ66:AS73" si="53">U66-T66</f>
        <v>17.554687736715039</v>
      </c>
      <c r="AR66" s="43">
        <f t="shared" si="53"/>
        <v>13.324113149148729</v>
      </c>
      <c r="AS66" s="43">
        <f t="shared" si="53"/>
        <v>39.390731634257122</v>
      </c>
      <c r="AT66" s="150"/>
      <c r="AU66" s="69">
        <f t="shared" ref="AU66:BC73" si="54">(D66/C66-1)*100</f>
        <v>58.680539767758063</v>
      </c>
      <c r="AV66" s="69">
        <f t="shared" si="54"/>
        <v>-0.31693974248944157</v>
      </c>
      <c r="AW66" s="69">
        <f t="shared" si="54"/>
        <v>-2.2292701954772287</v>
      </c>
      <c r="AX66" s="69">
        <f t="shared" si="54"/>
        <v>11.531778633716572</v>
      </c>
      <c r="AY66" s="69">
        <f t="shared" si="54"/>
        <v>-30.91802364809827</v>
      </c>
      <c r="AZ66" s="69">
        <f t="shared" si="54"/>
        <v>-17.060613555519112</v>
      </c>
      <c r="BA66" s="69">
        <f t="shared" si="54"/>
        <v>4.3132101024647929</v>
      </c>
      <c r="BB66" s="69">
        <f t="shared" si="54"/>
        <v>3.3272846732948613</v>
      </c>
      <c r="BC66" s="69">
        <f t="shared" si="54"/>
        <v>8.1724468533569183</v>
      </c>
      <c r="BD66" s="202">
        <f>(K66/H66-1)*100</f>
        <v>-10.604605449086179</v>
      </c>
    </row>
    <row r="67" spans="2:56" x14ac:dyDescent="0.2">
      <c r="B67" s="134" t="s">
        <v>775</v>
      </c>
      <c r="C67" s="43">
        <f>SUMIF('1. Väestöennuste'!$X$15:$X$307,'1. Väestöennuste'!$U3,Vuosikate!G$15:G$307)</f>
        <v>139780</v>
      </c>
      <c r="D67" s="43">
        <f>SUMIF('1. Väestöennuste'!$X$15:$X$307,'1. Väestöennuste'!$U3,Vuosikate!H$15:H$307)</f>
        <v>633334.04128241108</v>
      </c>
      <c r="E67" s="43">
        <f>SUMIF('1. Väestöennuste'!$X$15:$X$307,'1. Väestöennuste'!$U3,Vuosikate!I$15:I$307)</f>
        <v>579809.91857765766</v>
      </c>
      <c r="F67" s="43">
        <f>SUMIF('1. Väestöennuste'!$X$15:$X$307,'1. Väestöennuste'!$U3,Vuosikate!J$15:J$307)</f>
        <v>487212.74354468042</v>
      </c>
      <c r="G67" s="43">
        <f>SUMIF('1. Väestöennuste'!$X$15:$X$307,'1. Väestöennuste'!$U3,Vuosikate!K$15:K$307)</f>
        <v>721910.98369534407</v>
      </c>
      <c r="H67" s="43">
        <f>SUMIF('1. Väestöennuste'!$X$15:$X$307,'1. Väestöennuste'!$U3,Vuosikate!L$15:L$307)</f>
        <v>398281.81445686182</v>
      </c>
      <c r="I67" s="43">
        <f>SUMIF('1. Väestöennuste'!$X$15:$X$307,'1. Väestöennuste'!$U3,Vuosikate!M$15:M$307)</f>
        <v>278475.15185911034</v>
      </c>
      <c r="J67" s="43">
        <f>SUMIF('1. Väestöennuste'!$X$15:$X$307,'1. Väestöennuste'!$U3,Vuosikate!N$15:N$307)</f>
        <v>318422.20528046758</v>
      </c>
      <c r="K67" s="43">
        <f>SUMIF('1. Väestöennuste'!$X$15:$X$307,'1. Väestöennuste'!$U3,Vuosikate!O$15:O$307)</f>
        <v>341027.47041634901</v>
      </c>
      <c r="L67" s="43">
        <f>SUMIF('1. Väestöennuste'!$X$15:$X$307,'1. Väestöennuste'!$U3,Vuosikate!P$15:P$307)</f>
        <v>425608.39947811514</v>
      </c>
      <c r="M67" s="136"/>
      <c r="N67" s="43">
        <f>C67/'1. Väestöennuste'!BJ3*1000</f>
        <v>138.13399531186383</v>
      </c>
      <c r="O67" s="43">
        <f>D67/'1. Väestöennuste'!BK3*1000</f>
        <v>601.80488172400862</v>
      </c>
      <c r="P67" s="43">
        <f>E67/'1. Väestöennuste'!BL3*1000</f>
        <v>549.68289828827403</v>
      </c>
      <c r="Q67" s="43">
        <f>F67/'1. Väestöennuste'!BM3*1000</f>
        <v>461.86906425109436</v>
      </c>
      <c r="R67" s="43">
        <f>G67/'1. Väestöennuste'!BN3*1000</f>
        <v>681.15412653417184</v>
      </c>
      <c r="S67" s="43">
        <f>H67/'1. Väestöennuste'!BO3*1000</f>
        <v>378.32156850266142</v>
      </c>
      <c r="T67" s="43">
        <f>I67/'1. Väestöennuste'!BP3*1000</f>
        <v>264.60332266822843</v>
      </c>
      <c r="U67" s="43">
        <f>J67/'1. Väestöennuste'!BQ3*1000</f>
        <v>302.6821291979175</v>
      </c>
      <c r="V67" s="43">
        <f>K67/'1. Väestöennuste'!BR3*1000</f>
        <v>324.31950260086046</v>
      </c>
      <c r="W67" s="43">
        <f>L67/'1. Väestöennuste'!BS3*1000</f>
        <v>404.98109251210366</v>
      </c>
      <c r="X67" s="159"/>
      <c r="Z67" s="134" t="s">
        <v>775</v>
      </c>
      <c r="AA67" s="41">
        <f t="shared" si="51"/>
        <v>493554.04128241108</v>
      </c>
      <c r="AB67" s="41">
        <f t="shared" si="51"/>
        <v>-53524.122704753419</v>
      </c>
      <c r="AC67" s="41">
        <f t="shared" si="51"/>
        <v>-92597.175032977248</v>
      </c>
      <c r="AD67" s="41">
        <f t="shared" si="51"/>
        <v>234698.24015066365</v>
      </c>
      <c r="AE67" s="41">
        <f t="shared" si="51"/>
        <v>-323629.16923848225</v>
      </c>
      <c r="AF67" s="41">
        <f t="shared" si="51"/>
        <v>-119806.66259775148</v>
      </c>
      <c r="AG67" s="41">
        <f t="shared" si="51"/>
        <v>39947.053421357239</v>
      </c>
      <c r="AH67" s="41">
        <f t="shared" si="51"/>
        <v>22605.265135881433</v>
      </c>
      <c r="AI67" s="41">
        <f t="shared" si="51"/>
        <v>84580.929061766132</v>
      </c>
      <c r="AJ67" s="150"/>
      <c r="AK67" s="43">
        <f t="shared" si="52"/>
        <v>463.6708864121448</v>
      </c>
      <c r="AL67" s="43">
        <f t="shared" si="52"/>
        <v>-52.121983435734592</v>
      </c>
      <c r="AM67" s="43">
        <f t="shared" si="52"/>
        <v>-87.813834037179674</v>
      </c>
      <c r="AN67" s="43">
        <f t="shared" si="52"/>
        <v>219.28506228307748</v>
      </c>
      <c r="AO67" s="43">
        <f t="shared" si="52"/>
        <v>-302.83255803151042</v>
      </c>
      <c r="AP67" s="43">
        <f t="shared" si="52"/>
        <v>-113.71824583443299</v>
      </c>
      <c r="AQ67" s="43">
        <f t="shared" si="53"/>
        <v>38.078806529689075</v>
      </c>
      <c r="AR67" s="43">
        <f t="shared" si="53"/>
        <v>21.637373402942956</v>
      </c>
      <c r="AS67" s="43">
        <f t="shared" si="53"/>
        <v>80.661589911243198</v>
      </c>
      <c r="AT67" s="150"/>
      <c r="AU67" s="69">
        <f t="shared" si="54"/>
        <v>353.09346207069041</v>
      </c>
      <c r="AV67" s="69">
        <f t="shared" si="54"/>
        <v>-8.451167822335071</v>
      </c>
      <c r="AW67" s="69">
        <f t="shared" si="54"/>
        <v>-15.970264058284666</v>
      </c>
      <c r="AX67" s="69">
        <f t="shared" si="54"/>
        <v>48.171613583654228</v>
      </c>
      <c r="AY67" s="69">
        <f t="shared" si="54"/>
        <v>-44.829511746985418</v>
      </c>
      <c r="AZ67" s="69">
        <f t="shared" si="54"/>
        <v>-30.080876969271674</v>
      </c>
      <c r="BA67" s="69">
        <f t="shared" si="54"/>
        <v>14.34492562609957</v>
      </c>
      <c r="BB67" s="69">
        <f t="shared" si="54"/>
        <v>7.0991484767749302</v>
      </c>
      <c r="BC67" s="69">
        <f t="shared" si="54"/>
        <v>24.801793520769479</v>
      </c>
      <c r="BD67" s="202">
        <f t="shared" ref="BD67:BD73" si="55">(K67/H67-1)*100</f>
        <v>-14.375334740952395</v>
      </c>
    </row>
    <row r="68" spans="2:56" x14ac:dyDescent="0.2">
      <c r="B68" s="133" t="s">
        <v>776</v>
      </c>
      <c r="C68" s="43">
        <f>SUMIF('1. Väestöennuste'!$X$15:$X$307,'1. Väestöennuste'!$U4,Vuosikate!G$15:G$307)</f>
        <v>163544</v>
      </c>
      <c r="D68" s="43">
        <f>SUMIF('1. Väestöennuste'!$X$15:$X$307,'1. Väestöennuste'!$U4,Vuosikate!H$15:H$307)</f>
        <v>533823.34786290803</v>
      </c>
      <c r="E68" s="43">
        <f>SUMIF('1. Väestöennuste'!$X$15:$X$307,'1. Väestöennuste'!$U4,Vuosikate!I$15:I$307)</f>
        <v>454237.35762195586</v>
      </c>
      <c r="F68" s="43">
        <f>SUMIF('1. Väestöennuste'!$X$15:$X$307,'1. Väestöennuste'!$U4,Vuosikate!J$15:J$307)</f>
        <v>404972.35643010604</v>
      </c>
      <c r="G68" s="43">
        <f>SUMIF('1. Väestöennuste'!$X$15:$X$307,'1. Väestöennuste'!$U4,Vuosikate!K$15:K$307)</f>
        <v>597944.47836807941</v>
      </c>
      <c r="H68" s="43">
        <f>SUMIF('1. Väestöennuste'!$X$15:$X$307,'1. Väestöennuste'!$U4,Vuosikate!L$15:L$307)</f>
        <v>350718.42527669674</v>
      </c>
      <c r="I68" s="43">
        <f>SUMIF('1. Väestöennuste'!$X$15:$X$307,'1. Väestöennuste'!$U4,Vuosikate!M$15:M$307)</f>
        <v>289889.33086670632</v>
      </c>
      <c r="J68" s="43">
        <f>SUMIF('1. Väestöennuste'!$X$15:$X$307,'1. Väestöennuste'!$U4,Vuosikate!N$15:N$307)</f>
        <v>289742.13259505568</v>
      </c>
      <c r="K68" s="43">
        <f>SUMIF('1. Väestöennuste'!$X$15:$X$307,'1. Väestöennuste'!$U4,Vuosikate!O$15:O$307)</f>
        <v>299674.36939873063</v>
      </c>
      <c r="L68" s="43">
        <f>SUMIF('1. Väestöennuste'!$X$15:$X$307,'1. Väestöennuste'!$U4,Vuosikate!P$15:P$307)</f>
        <v>361911.3124283824</v>
      </c>
      <c r="M68" s="136"/>
      <c r="N68" s="43">
        <f>C68/'1. Väestöennuste'!BJ4*1000</f>
        <v>199.8931745374054</v>
      </c>
      <c r="O68" s="43">
        <f>D68/'1. Väestöennuste'!BK4*1000</f>
        <v>703.67316070004119</v>
      </c>
      <c r="P68" s="43">
        <f>E68/'1. Väestöennuste'!BL4*1000</f>
        <v>597.32312578910762</v>
      </c>
      <c r="Q68" s="43">
        <f>F68/'1. Väestöennuste'!BM4*1000</f>
        <v>533.02879266674222</v>
      </c>
      <c r="R68" s="43">
        <f>G68/'1. Väestöennuste'!BN4*1000</f>
        <v>784.49813483085734</v>
      </c>
      <c r="S68" s="43">
        <f>H68/'1. Väestöennuste'!BO4*1000</f>
        <v>464.36472665448122</v>
      </c>
      <c r="T68" s="43">
        <f>I68/'1. Väestöennuste'!BP4*1000</f>
        <v>384.30296074862468</v>
      </c>
      <c r="U68" s="43">
        <f>J68/'1. Väestöennuste'!BQ4*1000</f>
        <v>384.60800457036322</v>
      </c>
      <c r="V68" s="43">
        <f>K68/'1. Väestöennuste'!BR4*1000</f>
        <v>398.34053039348385</v>
      </c>
      <c r="W68" s="43">
        <f>L68/'1. Väestöennuste'!BS4*1000</f>
        <v>481.77821380004821</v>
      </c>
      <c r="X68" s="159"/>
      <c r="Z68" s="133" t="s">
        <v>776</v>
      </c>
      <c r="AA68" s="41">
        <f t="shared" si="51"/>
        <v>370279.34786290803</v>
      </c>
      <c r="AB68" s="41">
        <f t="shared" si="51"/>
        <v>-79585.990240952175</v>
      </c>
      <c r="AC68" s="41">
        <f t="shared" si="51"/>
        <v>-49265.00119184982</v>
      </c>
      <c r="AD68" s="41">
        <f t="shared" si="51"/>
        <v>192972.12193797337</v>
      </c>
      <c r="AE68" s="41">
        <f t="shared" si="51"/>
        <v>-247226.05309138267</v>
      </c>
      <c r="AF68" s="41">
        <f t="shared" si="51"/>
        <v>-60829.094409990415</v>
      </c>
      <c r="AG68" s="41">
        <f t="shared" si="51"/>
        <v>-147.19827165064635</v>
      </c>
      <c r="AH68" s="41">
        <f t="shared" si="51"/>
        <v>9932.236803674954</v>
      </c>
      <c r="AI68" s="41">
        <f t="shared" si="51"/>
        <v>62236.943029651768</v>
      </c>
      <c r="AJ68" s="150"/>
      <c r="AK68" s="43">
        <f t="shared" si="52"/>
        <v>503.77998616263579</v>
      </c>
      <c r="AL68" s="43">
        <f t="shared" si="52"/>
        <v>-106.35003491093357</v>
      </c>
      <c r="AM68" s="43">
        <f t="shared" si="52"/>
        <v>-64.294333122365401</v>
      </c>
      <c r="AN68" s="43">
        <f t="shared" si="52"/>
        <v>251.46934216411512</v>
      </c>
      <c r="AO68" s="43">
        <f t="shared" si="52"/>
        <v>-320.13340817637612</v>
      </c>
      <c r="AP68" s="43">
        <f t="shared" si="52"/>
        <v>-80.061765905856532</v>
      </c>
      <c r="AQ68" s="43">
        <f t="shared" si="53"/>
        <v>0.30504382173853628</v>
      </c>
      <c r="AR68" s="43">
        <f t="shared" si="53"/>
        <v>13.732525823120625</v>
      </c>
      <c r="AS68" s="43">
        <f t="shared" si="53"/>
        <v>83.437683406564361</v>
      </c>
      <c r="AT68" s="150"/>
      <c r="AU68" s="69">
        <f t="shared" si="54"/>
        <v>226.40961934580787</v>
      </c>
      <c r="AV68" s="69">
        <f t="shared" si="54"/>
        <v>-14.908675418481465</v>
      </c>
      <c r="AW68" s="69">
        <f t="shared" si="54"/>
        <v>-10.845651588359928</v>
      </c>
      <c r="AX68" s="69">
        <f t="shared" si="54"/>
        <v>47.650689948087432</v>
      </c>
      <c r="AY68" s="69">
        <f t="shared" si="54"/>
        <v>-41.345988136911373</v>
      </c>
      <c r="AZ68" s="69">
        <f t="shared" si="54"/>
        <v>-17.344139921362768</v>
      </c>
      <c r="BA68" s="69">
        <f t="shared" si="54"/>
        <v>-5.0777402262636162E-2</v>
      </c>
      <c r="BB68" s="69">
        <f t="shared" si="54"/>
        <v>3.4279573753107861</v>
      </c>
      <c r="BC68" s="69">
        <f t="shared" si="54"/>
        <v>20.768190204095372</v>
      </c>
      <c r="BD68" s="202">
        <f t="shared" si="55"/>
        <v>-14.554141499037376</v>
      </c>
    </row>
    <row r="69" spans="2:56" x14ac:dyDescent="0.2">
      <c r="B69" s="133" t="s">
        <v>777</v>
      </c>
      <c r="C69" s="43">
        <f>SUMIF('1. Väestöennuste'!$X$15:$X$307,'1. Väestöennuste'!$U5,Vuosikate!G$15:G$307)</f>
        <v>136248</v>
      </c>
      <c r="D69" s="43">
        <f>SUMIF('1. Väestöennuste'!$X$15:$X$307,'1. Väestöennuste'!$U5,Vuosikate!H$15:H$307)</f>
        <v>393822.46807992563</v>
      </c>
      <c r="E69" s="43">
        <f>SUMIF('1. Väestöennuste'!$X$15:$X$307,'1. Väestöennuste'!$U5,Vuosikate!I$15:I$307)</f>
        <v>302317.26410488307</v>
      </c>
      <c r="F69" s="43">
        <f>SUMIF('1. Väestöennuste'!$X$15:$X$307,'1. Väestöennuste'!$U5,Vuosikate!J$15:J$307)</f>
        <v>261266.47356870453</v>
      </c>
      <c r="G69" s="43">
        <f>SUMIF('1. Väestöennuste'!$X$15:$X$307,'1. Väestöennuste'!$U5,Vuosikate!K$15:K$307)</f>
        <v>379829.31308093347</v>
      </c>
      <c r="H69" s="43">
        <f>SUMIF('1. Väestöennuste'!$X$15:$X$307,'1. Väestöennuste'!$U5,Vuosikate!L$15:L$307)</f>
        <v>229592.43218147254</v>
      </c>
      <c r="I69" s="43">
        <f>SUMIF('1. Väestöennuste'!$X$15:$X$307,'1. Väestöennuste'!$U5,Vuosikate!M$15:M$307)</f>
        <v>158192.49453382182</v>
      </c>
      <c r="J69" s="43">
        <f>SUMIF('1. Väestöennuste'!$X$15:$X$307,'1. Väestöennuste'!$U5,Vuosikate!N$15:N$307)</f>
        <v>168385.01529983373</v>
      </c>
      <c r="K69" s="43">
        <f>SUMIF('1. Väestöennuste'!$X$15:$X$307,'1. Väestöennuste'!$U5,Vuosikate!O$15:O$307)</f>
        <v>177781.51429281611</v>
      </c>
      <c r="L69" s="43">
        <f>SUMIF('1. Väestöennuste'!$X$15:$X$307,'1. Väestöennuste'!$U5,Vuosikate!P$15:P$307)</f>
        <v>234913.38464075432</v>
      </c>
      <c r="M69" s="136"/>
      <c r="N69" s="43">
        <f>C69/'1. Väestöennuste'!BJ5*1000</f>
        <v>228.68767435068531</v>
      </c>
      <c r="O69" s="43">
        <f>D69/'1. Väestöennuste'!BK5*1000</f>
        <v>652.40848592866928</v>
      </c>
      <c r="P69" s="43">
        <f>E69/'1. Väestöennuste'!BL5*1000</f>
        <v>501.14340387544752</v>
      </c>
      <c r="Q69" s="43">
        <f>F69/'1. Väestöennuste'!BM5*1000</f>
        <v>434.77818735753829</v>
      </c>
      <c r="R69" s="43">
        <f>G69/'1. Väestöennuste'!BN5*1000</f>
        <v>632.71246300872281</v>
      </c>
      <c r="S69" s="43">
        <f>H69/'1. Väestöennuste'!BO5*1000</f>
        <v>387.36048351043939</v>
      </c>
      <c r="T69" s="43">
        <f>I69/'1. Väestöennuste'!BP5*1000</f>
        <v>268.10878501946814</v>
      </c>
      <c r="U69" s="43">
        <f>J69/'1. Väestöennuste'!BQ5*1000</f>
        <v>286.67232225216765</v>
      </c>
      <c r="V69" s="43">
        <f>K69/'1. Väestöennuste'!BR5*1000</f>
        <v>304.03619106816404</v>
      </c>
      <c r="W69" s="43">
        <f>L69/'1. Väestöennuste'!BS5*1000</f>
        <v>403.59033129073566</v>
      </c>
      <c r="X69" s="159"/>
      <c r="Z69" s="133" t="s">
        <v>777</v>
      </c>
      <c r="AA69" s="41">
        <f t="shared" si="51"/>
        <v>257574.46807992563</v>
      </c>
      <c r="AB69" s="41">
        <f t="shared" si="51"/>
        <v>-91505.203975042561</v>
      </c>
      <c r="AC69" s="41">
        <f t="shared" si="51"/>
        <v>-41050.790536178538</v>
      </c>
      <c r="AD69" s="41">
        <f t="shared" si="51"/>
        <v>118562.83951222894</v>
      </c>
      <c r="AE69" s="41">
        <f t="shared" si="51"/>
        <v>-150236.88089946093</v>
      </c>
      <c r="AF69" s="41">
        <f t="shared" si="51"/>
        <v>-71399.937647650717</v>
      </c>
      <c r="AG69" s="41">
        <f t="shared" si="51"/>
        <v>10192.520766011905</v>
      </c>
      <c r="AH69" s="41">
        <f t="shared" si="51"/>
        <v>9396.4989929823787</v>
      </c>
      <c r="AI69" s="41">
        <f t="shared" si="51"/>
        <v>57131.870347938209</v>
      </c>
      <c r="AJ69" s="150"/>
      <c r="AK69" s="43">
        <f t="shared" si="52"/>
        <v>423.72081157798397</v>
      </c>
      <c r="AL69" s="43">
        <f t="shared" si="52"/>
        <v>-151.26508205322176</v>
      </c>
      <c r="AM69" s="43">
        <f t="shared" si="52"/>
        <v>-66.365216517909232</v>
      </c>
      <c r="AN69" s="43">
        <f t="shared" si="52"/>
        <v>197.93427565118452</v>
      </c>
      <c r="AO69" s="43">
        <f t="shared" si="52"/>
        <v>-245.35197949828341</v>
      </c>
      <c r="AP69" s="43">
        <f t="shared" si="52"/>
        <v>-119.25169849097125</v>
      </c>
      <c r="AQ69" s="43">
        <f t="shared" si="53"/>
        <v>18.563537232699503</v>
      </c>
      <c r="AR69" s="43">
        <f t="shared" si="53"/>
        <v>17.363868815996398</v>
      </c>
      <c r="AS69" s="43">
        <f t="shared" si="53"/>
        <v>99.554140222571618</v>
      </c>
      <c r="AT69" s="150"/>
      <c r="AU69" s="69">
        <f t="shared" si="54"/>
        <v>189.04825617985264</v>
      </c>
      <c r="AV69" s="69">
        <f t="shared" si="54"/>
        <v>-23.235140549795076</v>
      </c>
      <c r="AW69" s="69">
        <f t="shared" si="54"/>
        <v>-13.578711972577517</v>
      </c>
      <c r="AX69" s="69">
        <f t="shared" si="54"/>
        <v>45.380043559645934</v>
      </c>
      <c r="AY69" s="69">
        <f t="shared" si="54"/>
        <v>-39.553787905634522</v>
      </c>
      <c r="AZ69" s="69">
        <f t="shared" si="54"/>
        <v>-31.098558854594728</v>
      </c>
      <c r="BA69" s="69">
        <f t="shared" si="54"/>
        <v>6.4431127380905728</v>
      </c>
      <c r="BB69" s="69">
        <f t="shared" si="54"/>
        <v>5.5803653170981793</v>
      </c>
      <c r="BC69" s="69">
        <f t="shared" si="54"/>
        <v>32.13600163953987</v>
      </c>
      <c r="BD69" s="202">
        <f t="shared" si="55"/>
        <v>-22.566474598650743</v>
      </c>
    </row>
    <row r="70" spans="2:56" x14ac:dyDescent="0.2">
      <c r="B70" s="133" t="s">
        <v>778</v>
      </c>
      <c r="C70" s="43">
        <f>SUMIF('1. Väestöennuste'!$X$15:$X$307,'1. Väestöennuste'!$U6,Vuosikate!G$15:G$307)</f>
        <v>80291</v>
      </c>
      <c r="D70" s="43">
        <f>SUMIF('1. Väestöennuste'!$X$15:$X$307,'1. Väestöennuste'!$U6,Vuosikate!H$15:H$307)</f>
        <v>383637.92428016133</v>
      </c>
      <c r="E70" s="43">
        <f>SUMIF('1. Väestöennuste'!$X$15:$X$307,'1. Väestöennuste'!$U6,Vuosikate!I$15:I$307)</f>
        <v>301041.28090505349</v>
      </c>
      <c r="F70" s="43">
        <f>SUMIF('1. Väestöennuste'!$X$15:$X$307,'1. Väestöennuste'!$U6,Vuosikate!J$15:J$307)</f>
        <v>328459.84418284567</v>
      </c>
      <c r="G70" s="43">
        <f>SUMIF('1. Väestöennuste'!$X$15:$X$307,'1. Väestöennuste'!$U6,Vuosikate!K$15:K$307)</f>
        <v>331000.32560681616</v>
      </c>
      <c r="H70" s="43">
        <f>SUMIF('1. Väestöennuste'!$X$15:$X$307,'1. Väestöennuste'!$U6,Vuosikate!L$15:L$307)</f>
        <v>220737.48256342826</v>
      </c>
      <c r="I70" s="43">
        <f>SUMIF('1. Väestöennuste'!$X$15:$X$307,'1. Väestöennuste'!$U6,Vuosikate!M$15:M$307)</f>
        <v>170607.46723333487</v>
      </c>
      <c r="J70" s="43">
        <f>SUMIF('1. Väestöennuste'!$X$15:$X$307,'1. Väestöennuste'!$U6,Vuosikate!N$15:N$307)</f>
        <v>165428.40999566868</v>
      </c>
      <c r="K70" s="43">
        <f>SUMIF('1. Väestöennuste'!$X$15:$X$307,'1. Väestöennuste'!$U6,Vuosikate!O$15:O$307)</f>
        <v>167855.92475190331</v>
      </c>
      <c r="L70" s="43">
        <f>SUMIF('1. Väestöennuste'!$X$15:$X$307,'1. Väestöennuste'!$U6,Vuosikate!P$15:P$307)</f>
        <v>225838.55272126023</v>
      </c>
      <c r="M70" s="136"/>
      <c r="N70" s="43">
        <f>C70/'1. Väestöennuste'!BJ6*1000</f>
        <v>150.71923471849135</v>
      </c>
      <c r="O70" s="43">
        <f>D70/'1. Väestöennuste'!BK6*1000</f>
        <v>719.22715897766102</v>
      </c>
      <c r="P70" s="43">
        <f>E70/'1. Väestöennuste'!BL6*1000</f>
        <v>567.06088175303921</v>
      </c>
      <c r="Q70" s="43">
        <f>F70/'1. Väestöennuste'!BM6*1000</f>
        <v>625.28525666071255</v>
      </c>
      <c r="R70" s="43">
        <f>G70/'1. Väestöennuste'!BN6*1000</f>
        <v>634.77271056658901</v>
      </c>
      <c r="S70" s="43">
        <f>H70/'1. Väestöennuste'!BO6*1000</f>
        <v>429.89697967037398</v>
      </c>
      <c r="T70" s="43">
        <f>I70/'1. Väestöennuste'!BP6*1000</f>
        <v>334.19483770582127</v>
      </c>
      <c r="U70" s="43">
        <f>J70/'1. Väestöennuste'!BQ6*1000</f>
        <v>326.8561013112872</v>
      </c>
      <c r="V70" s="43">
        <f>K70/'1. Väestöennuste'!BR6*1000</f>
        <v>334.43764208745341</v>
      </c>
      <c r="W70" s="43">
        <f>L70/'1. Väestöennuste'!BS6*1000</f>
        <v>453.68693858043179</v>
      </c>
      <c r="X70" s="159"/>
      <c r="Z70" s="133" t="s">
        <v>778</v>
      </c>
      <c r="AA70" s="41">
        <f t="shared" si="51"/>
        <v>303346.92428016133</v>
      </c>
      <c r="AB70" s="41">
        <f t="shared" si="51"/>
        <v>-82596.643375107844</v>
      </c>
      <c r="AC70" s="41">
        <f t="shared" si="51"/>
        <v>27418.563277792186</v>
      </c>
      <c r="AD70" s="41">
        <f t="shared" si="51"/>
        <v>2540.4814239704865</v>
      </c>
      <c r="AE70" s="41">
        <f t="shared" si="51"/>
        <v>-110262.8430433879</v>
      </c>
      <c r="AF70" s="41">
        <f t="shared" si="51"/>
        <v>-50130.015330093389</v>
      </c>
      <c r="AG70" s="41">
        <f t="shared" si="51"/>
        <v>-5179.0572376661876</v>
      </c>
      <c r="AH70" s="41">
        <f t="shared" si="51"/>
        <v>2427.5147562346247</v>
      </c>
      <c r="AI70" s="41">
        <f t="shared" si="51"/>
        <v>57982.627969356923</v>
      </c>
      <c r="AJ70" s="150"/>
      <c r="AK70" s="43">
        <f t="shared" si="52"/>
        <v>568.50792425916961</v>
      </c>
      <c r="AL70" s="43">
        <f t="shared" si="52"/>
        <v>-152.16627722462181</v>
      </c>
      <c r="AM70" s="43">
        <f t="shared" si="52"/>
        <v>58.224374907673337</v>
      </c>
      <c r="AN70" s="43">
        <f t="shared" si="52"/>
        <v>9.487453905876464</v>
      </c>
      <c r="AO70" s="43">
        <f t="shared" si="52"/>
        <v>-204.87573089621503</v>
      </c>
      <c r="AP70" s="43">
        <f t="shared" si="52"/>
        <v>-95.702141964552709</v>
      </c>
      <c r="AQ70" s="43">
        <f t="shared" si="53"/>
        <v>-7.3387363945340667</v>
      </c>
      <c r="AR70" s="43">
        <f t="shared" si="53"/>
        <v>7.5815407761662073</v>
      </c>
      <c r="AS70" s="43">
        <f t="shared" si="53"/>
        <v>119.24929649297837</v>
      </c>
      <c r="AT70" s="132"/>
      <c r="AU70" s="69">
        <f t="shared" si="54"/>
        <v>377.8093737531745</v>
      </c>
      <c r="AV70" s="69">
        <f t="shared" si="54"/>
        <v>-21.529843153564133</v>
      </c>
      <c r="AW70" s="69">
        <f t="shared" si="54"/>
        <v>9.1079081232184222</v>
      </c>
      <c r="AX70" s="69">
        <f t="shared" si="54"/>
        <v>0.7734526667303232</v>
      </c>
      <c r="AY70" s="69">
        <f t="shared" si="54"/>
        <v>-33.312004403997264</v>
      </c>
      <c r="AZ70" s="69">
        <f t="shared" si="54"/>
        <v>-22.710241481388948</v>
      </c>
      <c r="BA70" s="69">
        <f t="shared" si="54"/>
        <v>-3.0356568335798251</v>
      </c>
      <c r="BB70" s="69">
        <f t="shared" si="54"/>
        <v>1.4674110428179565</v>
      </c>
      <c r="BC70" s="69">
        <f t="shared" si="54"/>
        <v>34.543092866729118</v>
      </c>
      <c r="BD70" s="202">
        <f t="shared" si="55"/>
        <v>-23.956764024582721</v>
      </c>
    </row>
    <row r="71" spans="2:56" x14ac:dyDescent="0.2">
      <c r="B71" s="133" t="s">
        <v>779</v>
      </c>
      <c r="C71" s="43">
        <f>SUMIF('1. Väestöennuste'!$X$15:$X$307,'1. Väestöennuste'!$U7,Vuosikate!G$15:G$307)</f>
        <v>55436</v>
      </c>
      <c r="D71" s="43">
        <f>SUMIF('1. Väestöennuste'!$X$15:$X$307,'1. Väestöennuste'!$U7,Vuosikate!H$15:H$307)</f>
        <v>201503.639171802</v>
      </c>
      <c r="E71" s="43">
        <f>SUMIF('1. Väestöennuste'!$X$15:$X$307,'1. Väestöennuste'!$U7,Vuosikate!I$15:I$307)</f>
        <v>177491.73771205972</v>
      </c>
      <c r="F71" s="43">
        <f>SUMIF('1. Väestöennuste'!$X$15:$X$307,'1. Väestöennuste'!$U7,Vuosikate!J$15:J$307)</f>
        <v>150394.59924727227</v>
      </c>
      <c r="G71" s="43">
        <f>SUMIF('1. Väestöennuste'!$X$15:$X$307,'1. Väestöennuste'!$U7,Vuosikate!K$15:K$307)</f>
        <v>156242.9100896139</v>
      </c>
      <c r="H71" s="43">
        <f>SUMIF('1. Väestöennuste'!$X$15:$X$307,'1. Väestöennuste'!$U7,Vuosikate!L$15:L$307)</f>
        <v>101511.90715706947</v>
      </c>
      <c r="I71" s="43">
        <f>SUMIF('1. Väestöennuste'!$X$15:$X$307,'1. Väestöennuste'!$U7,Vuosikate!M$15:M$307)</f>
        <v>46398.719471290315</v>
      </c>
      <c r="J71" s="43">
        <f>SUMIF('1. Väestöennuste'!$X$15:$X$307,'1. Väestöennuste'!$U7,Vuosikate!N$15:N$307)</f>
        <v>32667.361450771314</v>
      </c>
      <c r="K71" s="43">
        <f>SUMIF('1. Väestöennuste'!$X$15:$X$307,'1. Väestöennuste'!$U7,Vuosikate!O$15:O$307)</f>
        <v>20214.511051648391</v>
      </c>
      <c r="L71" s="43">
        <f>SUMIF('1. Väestöennuste'!$X$15:$X$307,'1. Väestöennuste'!$U7,Vuosikate!P$15:P$307)</f>
        <v>42452.43014525457</v>
      </c>
      <c r="M71" s="227"/>
      <c r="N71" s="43">
        <f>C71/'1. Väestöennuste'!BJ7*1000</f>
        <v>187.9065416125741</v>
      </c>
      <c r="O71" s="43">
        <f>D71/'1. Väestöennuste'!BK7*1000</f>
        <v>693.90217076159809</v>
      </c>
      <c r="P71" s="43">
        <f>E71/'1. Väestöennuste'!BL7*1000</f>
        <v>617.62250446991504</v>
      </c>
      <c r="Q71" s="43">
        <f>F71/'1. Väestöennuste'!BM7*1000</f>
        <v>532.14421926003922</v>
      </c>
      <c r="R71" s="43">
        <f>G71/'1. Väestöennuste'!BN7*1000</f>
        <v>558.38930020232976</v>
      </c>
      <c r="S71" s="43">
        <f>H71/'1. Väestöennuste'!BO7*1000</f>
        <v>369.87260806872433</v>
      </c>
      <c r="T71" s="43">
        <f>I71/'1. Väestöennuste'!BP7*1000</f>
        <v>171.22435981463829</v>
      </c>
      <c r="U71" s="43">
        <f>J71/'1. Väestöennuste'!BQ7*1000</f>
        <v>122.03794596114537</v>
      </c>
      <c r="V71" s="43">
        <f>K71/'1. Väestöennuste'!BR7*1000</f>
        <v>76.421038699689575</v>
      </c>
      <c r="W71" s="43">
        <f>L71/'1. Väestöennuste'!BS7*1000</f>
        <v>162.37924627162855</v>
      </c>
      <c r="X71" s="159"/>
      <c r="Z71" s="133" t="s">
        <v>779</v>
      </c>
      <c r="AA71" s="43">
        <f t="shared" si="51"/>
        <v>146067.639171802</v>
      </c>
      <c r="AB71" s="43">
        <f t="shared" si="51"/>
        <v>-24011.901459742279</v>
      </c>
      <c r="AC71" s="43">
        <f t="shared" si="51"/>
        <v>-27097.138464787451</v>
      </c>
      <c r="AD71" s="43">
        <f t="shared" si="51"/>
        <v>5848.310842341627</v>
      </c>
      <c r="AE71" s="43">
        <f t="shared" si="51"/>
        <v>-54731.002932544434</v>
      </c>
      <c r="AF71" s="43">
        <f t="shared" si="51"/>
        <v>-55113.18768577915</v>
      </c>
      <c r="AG71" s="43">
        <f t="shared" si="51"/>
        <v>-13731.358020519001</v>
      </c>
      <c r="AH71" s="43">
        <f t="shared" si="51"/>
        <v>-12452.850399122923</v>
      </c>
      <c r="AI71" s="43">
        <f t="shared" si="51"/>
        <v>22237.919093606179</v>
      </c>
      <c r="AJ71" s="286"/>
      <c r="AK71" s="43">
        <f t="shared" si="52"/>
        <v>505.99562914902401</v>
      </c>
      <c r="AL71" s="43">
        <f t="shared" si="52"/>
        <v>-76.279666291683043</v>
      </c>
      <c r="AM71" s="43">
        <f t="shared" si="52"/>
        <v>-85.478285209875821</v>
      </c>
      <c r="AN71" s="43">
        <f t="shared" si="52"/>
        <v>26.245080942290542</v>
      </c>
      <c r="AO71" s="43">
        <f t="shared" si="52"/>
        <v>-188.51669213360543</v>
      </c>
      <c r="AP71" s="43">
        <f t="shared" si="52"/>
        <v>-198.64824825408604</v>
      </c>
      <c r="AQ71" s="43">
        <f t="shared" si="53"/>
        <v>-49.186413853492922</v>
      </c>
      <c r="AR71" s="43">
        <f t="shared" si="53"/>
        <v>-45.616907261455793</v>
      </c>
      <c r="AS71" s="43">
        <f t="shared" si="53"/>
        <v>85.958207571938971</v>
      </c>
      <c r="AT71" s="199"/>
      <c r="AU71" s="234">
        <f t="shared" si="54"/>
        <v>263.48877836027492</v>
      </c>
      <c r="AV71" s="234">
        <f t="shared" si="54"/>
        <v>-11.916361192499226</v>
      </c>
      <c r="AW71" s="234">
        <f t="shared" si="54"/>
        <v>-15.26670413737593</v>
      </c>
      <c r="AX71" s="234">
        <f t="shared" si="54"/>
        <v>3.8886441877650668</v>
      </c>
      <c r="AY71" s="234">
        <f t="shared" si="54"/>
        <v>-35.029431352215077</v>
      </c>
      <c r="AZ71" s="234">
        <f t="shared" si="54"/>
        <v>-54.292337942683375</v>
      </c>
      <c r="BA71" s="234">
        <f t="shared" si="54"/>
        <v>-29.594260740353885</v>
      </c>
      <c r="BB71" s="234">
        <f t="shared" si="54"/>
        <v>-38.120159835648117</v>
      </c>
      <c r="BC71" s="234">
        <f t="shared" si="54"/>
        <v>110.00968085148313</v>
      </c>
      <c r="BD71" s="202">
        <f t="shared" si="55"/>
        <v>-80.086561648013898</v>
      </c>
    </row>
    <row r="72" spans="2:56" x14ac:dyDescent="0.2">
      <c r="B72" s="193" t="s">
        <v>780</v>
      </c>
      <c r="C72" s="226">
        <f>SUMIF('1. Väestöennuste'!$X$15:$X$307,'1. Väestöennuste'!$U8,Vuosikate!G$15:G$307)</f>
        <v>253</v>
      </c>
      <c r="D72" s="226">
        <f>SUMIF('1. Väestöennuste'!$X$15:$X$307,'1. Väestöennuste'!$U8,Vuosikate!H$15:H$307)</f>
        <v>34688.951664985158</v>
      </c>
      <c r="E72" s="226">
        <f>SUMIF('1. Väestöennuste'!$X$15:$X$307,'1. Väestöennuste'!$U8,Vuosikate!I$15:I$307)</f>
        <v>26628.705599713616</v>
      </c>
      <c r="F72" s="226">
        <f>SUMIF('1. Väestöennuste'!$X$15:$X$307,'1. Väestöennuste'!$U8,Vuosikate!J$15:J$307)</f>
        <v>24076.539965658219</v>
      </c>
      <c r="G72" s="226">
        <f>SUMIF('1. Väestöennuste'!$X$15:$X$307,'1. Väestöennuste'!$U8,Vuosikate!K$15:K$307)</f>
        <v>18104.397782882246</v>
      </c>
      <c r="H72" s="226">
        <f>SUMIF('1. Väestöennuste'!$X$15:$X$307,'1. Väestöennuste'!$U8,Vuosikate!L$15:L$307)</f>
        <v>13676.149631110356</v>
      </c>
      <c r="I72" s="226">
        <f>SUMIF('1. Väestöennuste'!$X$15:$X$307,'1. Väestöennuste'!$U8,Vuosikate!M$15:M$307)</f>
        <v>5026.9637506404415</v>
      </c>
      <c r="J72" s="226">
        <f>SUMIF('1. Väestöennuste'!$X$15:$X$307,'1. Väestöennuste'!$U8,Vuosikate!N$15:N$307)</f>
        <v>2364.2182222044935</v>
      </c>
      <c r="K72" s="226">
        <f>SUMIF('1. Väestöennuste'!$X$15:$X$307,'1. Väestöennuste'!$U8,Vuosikate!O$15:O$307)</f>
        <v>1261.1320458757004</v>
      </c>
      <c r="L72" s="226">
        <f>SUMIF('1. Väestöennuste'!$X$15:$X$307,'1. Väestöennuste'!$U8,Vuosikate!P$15:P$307)</f>
        <v>4547.3824770244355</v>
      </c>
      <c r="M72" s="194"/>
      <c r="N72" s="226">
        <f>C72/'1. Väestöennuste'!BJ8*1000</f>
        <v>5.4551727111992747</v>
      </c>
      <c r="O72" s="226">
        <f>D72/'1. Väestöennuste'!BK8*1000</f>
        <v>668.0973703822109</v>
      </c>
      <c r="P72" s="226">
        <f>E72/'1. Väestöennuste'!BL8*1000</f>
        <v>518.36066262509223</v>
      </c>
      <c r="Q72" s="226">
        <f>F72/'1. Väestöennuste'!BM8*1000</f>
        <v>475.69873284844249</v>
      </c>
      <c r="R72" s="226">
        <f>G72/'1. Väestöennuste'!BN8*1000</f>
        <v>364.0831312167125</v>
      </c>
      <c r="S72" s="226">
        <f>H72/'1. Väestöennuste'!BO8*1000</f>
        <v>276.29143277864921</v>
      </c>
      <c r="T72" s="226">
        <f>I72/'1. Väestöennuste'!BP8*1000</f>
        <v>105.89546777275477</v>
      </c>
      <c r="U72" s="226">
        <f>J72/'1. Väestöennuste'!BQ8*1000</f>
        <v>50.284327417838085</v>
      </c>
      <c r="V72" s="226">
        <f>K72/'1. Väestöennuste'!BR8*1000</f>
        <v>27.075120674031226</v>
      </c>
      <c r="W72" s="226">
        <f>L72/'1. Väestöennuste'!BS8*1000</f>
        <v>98.526291914556396</v>
      </c>
      <c r="X72" s="159"/>
      <c r="Z72" s="193" t="s">
        <v>780</v>
      </c>
      <c r="AA72" s="226">
        <f t="shared" si="51"/>
        <v>34435.951664985158</v>
      </c>
      <c r="AB72" s="226">
        <f t="shared" si="51"/>
        <v>-8060.2460652715417</v>
      </c>
      <c r="AC72" s="226">
        <f t="shared" si="51"/>
        <v>-2552.1656340553964</v>
      </c>
      <c r="AD72" s="226">
        <f t="shared" si="51"/>
        <v>-5972.1421827759732</v>
      </c>
      <c r="AE72" s="226">
        <f t="shared" si="51"/>
        <v>-4428.2481517718898</v>
      </c>
      <c r="AF72" s="226">
        <f t="shared" si="51"/>
        <v>-8649.185880469915</v>
      </c>
      <c r="AG72" s="226">
        <f t="shared" si="51"/>
        <v>-2662.745528435948</v>
      </c>
      <c r="AH72" s="226">
        <f t="shared" si="51"/>
        <v>-1103.086176328793</v>
      </c>
      <c r="AI72" s="226">
        <f t="shared" si="51"/>
        <v>3286.2504311487351</v>
      </c>
      <c r="AJ72" s="287"/>
      <c r="AK72" s="226">
        <f t="shared" si="52"/>
        <v>662.64219767101167</v>
      </c>
      <c r="AL72" s="226">
        <f t="shared" si="52"/>
        <v>-149.73670775711867</v>
      </c>
      <c r="AM72" s="226">
        <f t="shared" si="52"/>
        <v>-42.661929776649743</v>
      </c>
      <c r="AN72" s="226">
        <f t="shared" si="52"/>
        <v>-111.61560163172999</v>
      </c>
      <c r="AO72" s="226">
        <f t="shared" si="52"/>
        <v>-87.791698438063293</v>
      </c>
      <c r="AP72" s="226">
        <f t="shared" si="52"/>
        <v>-170.39596500589442</v>
      </c>
      <c r="AQ72" s="226">
        <f t="shared" si="53"/>
        <v>-55.611140354916685</v>
      </c>
      <c r="AR72" s="226">
        <f t="shared" si="53"/>
        <v>-23.20920674380686</v>
      </c>
      <c r="AS72" s="226">
        <f t="shared" si="53"/>
        <v>71.45117124052517</v>
      </c>
      <c r="AT72" s="288"/>
      <c r="AU72" s="235">
        <f t="shared" si="54"/>
        <v>13611.048088926942</v>
      </c>
      <c r="AV72" s="235">
        <f t="shared" si="54"/>
        <v>-23.235773000910577</v>
      </c>
      <c r="AW72" s="235">
        <f t="shared" si="54"/>
        <v>-9.5842647119987809</v>
      </c>
      <c r="AX72" s="235">
        <f t="shared" si="54"/>
        <v>-24.804819094830034</v>
      </c>
      <c r="AY72" s="235">
        <f t="shared" si="54"/>
        <v>-24.459516438369523</v>
      </c>
      <c r="AZ72" s="235">
        <f t="shared" si="54"/>
        <v>-63.242843298488353</v>
      </c>
      <c r="BA72" s="235">
        <f t="shared" si="54"/>
        <v>-52.96926058193101</v>
      </c>
      <c r="BB72" s="235">
        <f t="shared" si="54"/>
        <v>-46.657544805666483</v>
      </c>
      <c r="BC72" s="235">
        <f t="shared" si="54"/>
        <v>260.57940894419505</v>
      </c>
      <c r="BD72" s="202">
        <f t="shared" si="55"/>
        <v>-90.778603043309118</v>
      </c>
    </row>
    <row r="73" spans="2:56" x14ac:dyDescent="0.2">
      <c r="B73" s="8" t="s">
        <v>694</v>
      </c>
      <c r="C73" s="192">
        <f t="shared" ref="C73:J73" si="56">SUM(C66:C72)</f>
        <v>1747617</v>
      </c>
      <c r="D73" s="192">
        <f t="shared" si="56"/>
        <v>4040649.4407711672</v>
      </c>
      <c r="E73" s="192">
        <f t="shared" si="56"/>
        <v>3695470.7637960999</v>
      </c>
      <c r="F73" s="192">
        <f t="shared" si="56"/>
        <v>3468997.6240510214</v>
      </c>
      <c r="G73" s="192">
        <f t="shared" si="56"/>
        <v>4226674.2327561444</v>
      </c>
      <c r="H73" s="192">
        <f t="shared" si="56"/>
        <v>2711108.3381339903</v>
      </c>
      <c r="I73" s="192">
        <f t="shared" si="56"/>
        <v>2106913.4100828823</v>
      </c>
      <c r="J73" s="192">
        <f t="shared" si="56"/>
        <v>2185293.5420462773</v>
      </c>
      <c r="K73" s="192">
        <f t="shared" ref="K73:L73" si="57">SUM(K66:K72)</f>
        <v>2256302.1761294995</v>
      </c>
      <c r="L73" s="192">
        <f t="shared" si="57"/>
        <v>2645790.6733811232</v>
      </c>
      <c r="M73" s="167"/>
      <c r="N73" s="192">
        <f>C73/'1. Väestöennuste'!BJ9*1000</f>
        <v>318.01405828284265</v>
      </c>
      <c r="O73" s="192">
        <f>D73/'1. Väestöennuste'!BK9*1000</f>
        <v>734.17444102168429</v>
      </c>
      <c r="P73" s="192">
        <f>E73/'1. Väestöennuste'!BL9*1000</f>
        <v>669.72449173953407</v>
      </c>
      <c r="Q73" s="192">
        <f>F73/'1. Väestöennuste'!BM9*1000</f>
        <v>626.89582336940953</v>
      </c>
      <c r="R73" s="192">
        <f>G73/'1. Väestöennuste'!BN9*1000</f>
        <v>758.377738319983</v>
      </c>
      <c r="S73" s="192">
        <f>H73/'1. Väestöennuste'!BO9*1000</f>
        <v>489.49750027425756</v>
      </c>
      <c r="T73" s="192">
        <f>I73/'1. Väestöennuste'!BP9*1000</f>
        <v>379.9736821040338</v>
      </c>
      <c r="U73" s="192">
        <f>J73/'1. Väestöennuste'!BQ9*1000</f>
        <v>393.70487271731884</v>
      </c>
      <c r="V73" s="192">
        <f>K73/'1. Väestöennuste'!BR9*1000</f>
        <v>406.12405178495146</v>
      </c>
      <c r="W73" s="192">
        <f>L73/'1. Väestöennuste'!BS9*1000</f>
        <v>475.85889314686017</v>
      </c>
      <c r="X73" s="159"/>
      <c r="Z73" s="8" t="s">
        <v>694</v>
      </c>
      <c r="AA73" s="166">
        <f t="shared" si="51"/>
        <v>2293032.4407711672</v>
      </c>
      <c r="AB73" s="166">
        <f t="shared" si="51"/>
        <v>-345178.67697506724</v>
      </c>
      <c r="AC73" s="166">
        <f t="shared" si="51"/>
        <v>-226473.13974507852</v>
      </c>
      <c r="AD73" s="166">
        <f t="shared" si="51"/>
        <v>757676.60870512296</v>
      </c>
      <c r="AE73" s="166">
        <f t="shared" si="51"/>
        <v>-1515565.8946221541</v>
      </c>
      <c r="AF73" s="166">
        <f t="shared" si="51"/>
        <v>-604194.92805110803</v>
      </c>
      <c r="AG73" s="166">
        <f t="shared" si="51"/>
        <v>78380.131963395048</v>
      </c>
      <c r="AH73" s="166">
        <f t="shared" si="51"/>
        <v>71008.634083222132</v>
      </c>
      <c r="AI73" s="166">
        <f t="shared" si="51"/>
        <v>389488.49725162378</v>
      </c>
      <c r="AJ73" s="151"/>
      <c r="AK73" s="192">
        <f t="shared" si="52"/>
        <v>416.16038273884163</v>
      </c>
      <c r="AL73" s="192">
        <f t="shared" si="52"/>
        <v>-64.449949282150214</v>
      </c>
      <c r="AM73" s="192">
        <f t="shared" si="52"/>
        <v>-42.828668370124547</v>
      </c>
      <c r="AN73" s="192">
        <f t="shared" si="52"/>
        <v>131.48191495057347</v>
      </c>
      <c r="AO73" s="192">
        <f t="shared" si="52"/>
        <v>-268.88023804572543</v>
      </c>
      <c r="AP73" s="192">
        <f t="shared" si="52"/>
        <v>-109.52381817022376</v>
      </c>
      <c r="AQ73" s="192">
        <f t="shared" si="53"/>
        <v>13.731190613285037</v>
      </c>
      <c r="AR73" s="192">
        <f t="shared" si="53"/>
        <v>12.419179067632626</v>
      </c>
      <c r="AS73" s="192">
        <f t="shared" si="53"/>
        <v>69.734841361908707</v>
      </c>
      <c r="AT73" s="199"/>
      <c r="AU73" s="69">
        <f t="shared" si="54"/>
        <v>131.20909448530011</v>
      </c>
      <c r="AV73" s="69">
        <f t="shared" si="54"/>
        <v>-8.542653403488254</v>
      </c>
      <c r="AW73" s="69">
        <f t="shared" si="54"/>
        <v>-6.1283975498818037</v>
      </c>
      <c r="AX73" s="69">
        <f t="shared" si="54"/>
        <v>21.841370067596767</v>
      </c>
      <c r="AY73" s="69">
        <f t="shared" si="54"/>
        <v>-35.85717306710621</v>
      </c>
      <c r="AZ73" s="69">
        <f t="shared" si="54"/>
        <v>-22.285901288141265</v>
      </c>
      <c r="BA73" s="69">
        <f t="shared" si="54"/>
        <v>3.7201401627754427</v>
      </c>
      <c r="BB73" s="69">
        <f t="shared" si="54"/>
        <v>3.2493865339816352</v>
      </c>
      <c r="BC73" s="69">
        <f t="shared" si="54"/>
        <v>17.262248885464416</v>
      </c>
      <c r="BD73" s="418">
        <f t="shared" si="55"/>
        <v>-16.775654281581609</v>
      </c>
    </row>
    <row r="76" spans="2:56" x14ac:dyDescent="0.2">
      <c r="BD76" s="4" t="s">
        <v>814</v>
      </c>
    </row>
    <row r="77" spans="2:56" x14ac:dyDescent="0.2">
      <c r="B77" s="190" t="s">
        <v>755</v>
      </c>
      <c r="C77" s="132">
        <v>2019</v>
      </c>
      <c r="D77" s="132">
        <v>2020</v>
      </c>
      <c r="E77" s="132">
        <v>2021</v>
      </c>
      <c r="F77" s="132">
        <v>2022</v>
      </c>
      <c r="G77" s="132">
        <v>2023</v>
      </c>
      <c r="H77" s="132">
        <v>2024</v>
      </c>
      <c r="I77" s="132">
        <v>2025</v>
      </c>
      <c r="J77" s="132">
        <v>2026</v>
      </c>
      <c r="K77" s="132">
        <v>2027</v>
      </c>
      <c r="L77" s="132">
        <v>2028</v>
      </c>
      <c r="M77" s="136" t="s">
        <v>319</v>
      </c>
      <c r="N77" s="132">
        <v>2019</v>
      </c>
      <c r="O77" s="132">
        <v>2020</v>
      </c>
      <c r="P77" s="132">
        <v>2021</v>
      </c>
      <c r="Q77" s="132">
        <v>2022</v>
      </c>
      <c r="R77" s="132">
        <v>2023</v>
      </c>
      <c r="S77" s="132">
        <v>2024</v>
      </c>
      <c r="T77" s="132">
        <v>2025</v>
      </c>
      <c r="U77" s="132">
        <v>2026</v>
      </c>
      <c r="V77" s="132">
        <v>2027</v>
      </c>
      <c r="W77" s="132">
        <v>2028</v>
      </c>
      <c r="X77" s="197"/>
      <c r="Z77" s="190" t="s">
        <v>786</v>
      </c>
      <c r="AA77" s="132">
        <v>2020</v>
      </c>
      <c r="AB77" s="132">
        <v>2021</v>
      </c>
      <c r="AC77" s="132">
        <v>2022</v>
      </c>
      <c r="AD77" s="132">
        <v>2023</v>
      </c>
      <c r="AE77" s="132">
        <v>2024</v>
      </c>
      <c r="AF77" s="132">
        <v>2025</v>
      </c>
      <c r="AG77" s="132">
        <v>2026</v>
      </c>
      <c r="AH77" s="132">
        <v>2027</v>
      </c>
      <c r="AI77" s="132">
        <v>2028</v>
      </c>
      <c r="AJ77" s="136" t="s">
        <v>319</v>
      </c>
      <c r="AK77" s="132">
        <v>2020</v>
      </c>
      <c r="AL77" s="132">
        <v>2021</v>
      </c>
      <c r="AM77" s="132">
        <v>2022</v>
      </c>
      <c r="AN77" s="132">
        <v>2023</v>
      </c>
      <c r="AO77" s="132">
        <v>2024</v>
      </c>
      <c r="AP77" s="132">
        <v>2025</v>
      </c>
      <c r="AQ77" s="132">
        <v>2026</v>
      </c>
      <c r="AR77" s="132">
        <v>2027</v>
      </c>
      <c r="AS77" s="132">
        <v>2028</v>
      </c>
      <c r="AT77" s="200" t="s">
        <v>731</v>
      </c>
      <c r="AU77" s="132">
        <v>2020</v>
      </c>
      <c r="AV77" s="132">
        <v>2021</v>
      </c>
      <c r="AW77" s="132">
        <v>2022</v>
      </c>
      <c r="AX77" s="132">
        <v>2023</v>
      </c>
      <c r="AY77" s="132">
        <v>2024</v>
      </c>
      <c r="AZ77" s="132">
        <v>2025</v>
      </c>
      <c r="BA77" s="132">
        <v>2026</v>
      </c>
      <c r="BB77" s="132">
        <v>2027</v>
      </c>
      <c r="BC77" s="132">
        <v>2028</v>
      </c>
      <c r="BD77" s="151" t="s">
        <v>731</v>
      </c>
    </row>
    <row r="78" spans="2:56" x14ac:dyDescent="0.2">
      <c r="B78" s="133" t="s">
        <v>774</v>
      </c>
      <c r="C78" s="43">
        <f>SUMIF('1. Väestöennuste'!$X$15:$X$307,'1. Väestöennuste'!$U2,'7. Nettoinvestoinnit '!G$15:G$307)</f>
        <v>-1306824</v>
      </c>
      <c r="D78" s="43">
        <f>SUMIF('1. Väestöennuste'!$X$15:$X$307,'1. Väestöennuste'!$U2,'7. Nettoinvestoinnit '!H$15:H$307)</f>
        <v>-1644059</v>
      </c>
      <c r="E78" s="43">
        <f>SUMIF('1. Väestöennuste'!$X$15:$X$307,'1. Väestöennuste'!$U2,'7. Nettoinvestoinnit '!I$15:I$307)</f>
        <v>-1324949.93976</v>
      </c>
      <c r="F78" s="43">
        <f>SUMIF('1. Väestöennuste'!$X$15:$X$307,'1. Väestöennuste'!$U2,'7. Nettoinvestoinnit '!J$15:J$307)</f>
        <v>-547374.97117000003</v>
      </c>
      <c r="G78" s="43">
        <f>SUMIF('1. Väestöennuste'!$X$15:$X$307,'1. Väestöennuste'!$U2,'7. Nettoinvestoinnit '!K$15:K$307)</f>
        <v>-1817655.8754999996</v>
      </c>
      <c r="H78" s="43">
        <f>SUMIF('1. Väestöennuste'!$X$15:$X$307,'1. Väestöennuste'!$U2,'7. Nettoinvestoinnit '!L$15:L$307)</f>
        <v>-1838578.246742246</v>
      </c>
      <c r="I78" s="43">
        <f>SUMIF('1. Väestöennuste'!$X$15:$X$307,'1. Väestöennuste'!$U2,'7. Nettoinvestoinnit '!M$15:M$307)</f>
        <v>-1917376.1963172469</v>
      </c>
      <c r="J78" s="43">
        <f>SUMIF('1. Väestöennuste'!$X$15:$X$307,'1. Väestöennuste'!$U2,'7. Nettoinvestoinnit '!N$15:N$307)</f>
        <v>-1985048.3641025396</v>
      </c>
      <c r="K78" s="43">
        <f>SUMIF('1. Väestöennuste'!$X$15:$X$307,'1. Väestöennuste'!$U2,'7. Nettoinvestoinnit '!O$15:O$307)</f>
        <v>-2073534.1573953801</v>
      </c>
      <c r="L78" s="43">
        <f>SUMIF('1. Väestöennuste'!$X$15:$X$307,'1. Väestöennuste'!$U2,'7. Nettoinvestoinnit '!P$15:P$307)</f>
        <v>-2159618.3609103458</v>
      </c>
      <c r="M78" s="136"/>
      <c r="N78" s="43">
        <f>C78/'1. Väestöennuste'!BJ2*1000</f>
        <v>-595.24550237606456</v>
      </c>
      <c r="O78" s="43">
        <f>D78/'1. Väestöennuste'!BK2*1000</f>
        <v>-742.81295520510662</v>
      </c>
      <c r="P78" s="43">
        <f>E78/'1. Väestöennuste'!BL2*1000</f>
        <v>-594.2148375265557</v>
      </c>
      <c r="Q78" s="43">
        <f>F78/'1. Väestöennuste'!BM2*1000</f>
        <v>-242.25126560166831</v>
      </c>
      <c r="R78" s="43">
        <f>G78/'1. Väestöennuste'!BN2*1000</f>
        <v>-790.29444063038989</v>
      </c>
      <c r="S78" s="43">
        <f>H78/'1. Väestöennuste'!BO2*1000</f>
        <v>-799.24180534551817</v>
      </c>
      <c r="T78" s="43">
        <f>I78/'1. Väestöennuste'!BP2*1000</f>
        <v>-826.75602517348841</v>
      </c>
      <c r="U78" s="43">
        <f>J78/'1. Väestöennuste'!BQ2*1000</f>
        <v>-849.3838861051197</v>
      </c>
      <c r="V78" s="43">
        <f>K78/'1. Väestöennuste'!BR2*1000</f>
        <v>-880.80474424390957</v>
      </c>
      <c r="W78" s="43">
        <f>L78/'1. Väestöennuste'!BS2*1000</f>
        <v>-911.05416242256081</v>
      </c>
      <c r="X78" s="159"/>
      <c r="Z78" s="133" t="s">
        <v>774</v>
      </c>
      <c r="AA78" s="41">
        <f t="shared" ref="AA78:AI85" si="58">D78-C78</f>
        <v>-337235</v>
      </c>
      <c r="AB78" s="41">
        <f t="shared" si="58"/>
        <v>319109.06024000002</v>
      </c>
      <c r="AC78" s="41">
        <f t="shared" si="58"/>
        <v>777574.96858999995</v>
      </c>
      <c r="AD78" s="41">
        <f t="shared" si="58"/>
        <v>-1270280.9043299996</v>
      </c>
      <c r="AE78" s="41">
        <f t="shared" si="58"/>
        <v>-20922.371242246358</v>
      </c>
      <c r="AF78" s="41">
        <f t="shared" si="58"/>
        <v>-78797.949575000908</v>
      </c>
      <c r="AG78" s="41">
        <f t="shared" si="58"/>
        <v>-67672.167785292724</v>
      </c>
      <c r="AH78" s="41">
        <f t="shared" si="58"/>
        <v>-88485.793292840477</v>
      </c>
      <c r="AI78" s="41">
        <f t="shared" si="58"/>
        <v>-86084.203514965717</v>
      </c>
      <c r="AJ78" s="150"/>
      <c r="AK78" s="43">
        <f t="shared" ref="AK78:AP85" si="59">O78-N78</f>
        <v>-147.56745282904205</v>
      </c>
      <c r="AL78" s="43">
        <f t="shared" si="59"/>
        <v>148.59811767855092</v>
      </c>
      <c r="AM78" s="43">
        <f t="shared" si="59"/>
        <v>351.96357192488739</v>
      </c>
      <c r="AN78" s="43">
        <f t="shared" si="59"/>
        <v>-548.04317502872163</v>
      </c>
      <c r="AO78" s="43">
        <f t="shared" si="59"/>
        <v>-8.9473647151282876</v>
      </c>
      <c r="AP78" s="43">
        <f t="shared" si="59"/>
        <v>-27.514219827970237</v>
      </c>
      <c r="AQ78" s="43">
        <f t="shared" ref="AQ78:AS85" si="60">U78-T78</f>
        <v>-22.62786093163129</v>
      </c>
      <c r="AR78" s="43">
        <f t="shared" si="60"/>
        <v>-31.420858138789868</v>
      </c>
      <c r="AS78" s="43">
        <f t="shared" si="60"/>
        <v>-30.24941817865124</v>
      </c>
      <c r="AT78" s="150"/>
      <c r="AU78" s="69">
        <f t="shared" ref="AU78:BC85" si="61">(D78/C78-1)*100</f>
        <v>25.805693804215402</v>
      </c>
      <c r="AV78" s="69">
        <f t="shared" si="61"/>
        <v>-19.40983019709147</v>
      </c>
      <c r="AW78" s="69">
        <f t="shared" si="61"/>
        <v>-58.687120566294681</v>
      </c>
      <c r="AX78" s="69">
        <f t="shared" si="61"/>
        <v>232.06777277645827</v>
      </c>
      <c r="AY78" s="69">
        <f t="shared" si="61"/>
        <v>1.1510633846734564</v>
      </c>
      <c r="AZ78" s="69">
        <f t="shared" si="61"/>
        <v>4.2858088696862362</v>
      </c>
      <c r="BA78" s="69">
        <f t="shared" si="61"/>
        <v>3.5294152454417915</v>
      </c>
      <c r="BB78" s="69">
        <f t="shared" si="61"/>
        <v>4.457613975206387</v>
      </c>
      <c r="BC78" s="69">
        <f t="shared" si="61"/>
        <v>4.1515691076484673</v>
      </c>
      <c r="BD78" s="202">
        <f>(K78/H78-1)*100</f>
        <v>12.77921736915193</v>
      </c>
    </row>
    <row r="79" spans="2:56" x14ac:dyDescent="0.2">
      <c r="B79" s="134" t="s">
        <v>775</v>
      </c>
      <c r="C79" s="43">
        <f>SUMIF('1. Väestöennuste'!$X$15:$X$307,'1. Väestöennuste'!$U3,'7. Nettoinvestoinnit '!G$15:G$307)</f>
        <v>-542333</v>
      </c>
      <c r="D79" s="43">
        <f>SUMIF('1. Väestöennuste'!$X$15:$X$307,'1. Väestöennuste'!$U3,'7. Nettoinvestoinnit '!H$15:H$307)</f>
        <v>-497780</v>
      </c>
      <c r="E79" s="43">
        <f>SUMIF('1. Väestöennuste'!$X$15:$X$307,'1. Väestöennuste'!$U3,'7. Nettoinvestoinnit '!I$15:I$307)</f>
        <v>-438814.41047999996</v>
      </c>
      <c r="F79" s="43">
        <f>SUMIF('1. Väestöennuste'!$X$15:$X$307,'1. Väestöennuste'!$U3,'7. Nettoinvestoinnit '!J$15:J$307)</f>
        <v>-401814.37957999995</v>
      </c>
      <c r="G79" s="43">
        <f>SUMIF('1. Väestöennuste'!$X$15:$X$307,'1. Väestöennuste'!$U3,'7. Nettoinvestoinnit '!K$15:K$307)</f>
        <v>-513368.44449000002</v>
      </c>
      <c r="H79" s="43">
        <f>SUMIF('1. Väestöennuste'!$X$15:$X$307,'1. Väestöennuste'!$U3,'7. Nettoinvestoinnit '!L$15:L$307)</f>
        <v>-572049.19182712201</v>
      </c>
      <c r="I79" s="43">
        <f>SUMIF('1. Väestöennuste'!$X$15:$X$307,'1. Väestöennuste'!$U3,'7. Nettoinvestoinnit '!M$15:M$307)</f>
        <v>-596566.12682941707</v>
      </c>
      <c r="J79" s="43">
        <f>SUMIF('1. Väestöennuste'!$X$15:$X$307,'1. Väestöennuste'!$U3,'7. Nettoinvestoinnit '!N$15:N$307)</f>
        <v>-617621.4226588764</v>
      </c>
      <c r="K79" s="43">
        <f>SUMIF('1. Väestöennuste'!$X$15:$X$307,'1. Väestöennuste'!$U3,'7. Nettoinvestoinnit '!O$15:O$307)</f>
        <v>-645152.60150918679</v>
      </c>
      <c r="L79" s="43">
        <f>SUMIF('1. Väestöennuste'!$X$15:$X$307,'1. Väestöennuste'!$U3,'7. Nettoinvestoinnit '!P$15:P$307)</f>
        <v>-671936.5576106325</v>
      </c>
      <c r="M79" s="136"/>
      <c r="N79" s="43">
        <f>C79/'1. Väestöennuste'!BJ3*1000</f>
        <v>-535.94665960415693</v>
      </c>
      <c r="O79" s="43">
        <f>D79/'1. Väestöennuste'!BK3*1000</f>
        <v>-472.99910394520668</v>
      </c>
      <c r="P79" s="43">
        <f>E79/'1. Väestöennuste'!BL3*1000</f>
        <v>-416.01354035995178</v>
      </c>
      <c r="Q79" s="43">
        <f>F79/'1. Väestöennuste'!BM3*1000</f>
        <v>-380.91292553030127</v>
      </c>
      <c r="R79" s="43">
        <f>G79/'1. Väestöennuste'!BN3*1000</f>
        <v>-484.38525288370357</v>
      </c>
      <c r="S79" s="43">
        <f>H79/'1. Väestöennuste'!BO3*1000</f>
        <v>-543.38043982210763</v>
      </c>
      <c r="T79" s="43">
        <f>I79/'1. Väestöennuste'!BP3*1000</f>
        <v>-566.84906461687729</v>
      </c>
      <c r="U79" s="43">
        <f>J79/'1. Väestöennuste'!BQ3*1000</f>
        <v>-587.09149094666782</v>
      </c>
      <c r="V79" s="43">
        <f>K79/'1. Väestöennuste'!BR3*1000</f>
        <v>-613.5446231579582</v>
      </c>
      <c r="W79" s="43">
        <f>L79/'1. Väestöennuste'!BS3*1000</f>
        <v>-639.37084308875012</v>
      </c>
      <c r="X79" s="159"/>
      <c r="Z79" s="134" t="s">
        <v>775</v>
      </c>
      <c r="AA79" s="41">
        <f t="shared" si="58"/>
        <v>44553</v>
      </c>
      <c r="AB79" s="41">
        <f t="shared" si="58"/>
        <v>58965.589520000038</v>
      </c>
      <c r="AC79" s="41">
        <f t="shared" si="58"/>
        <v>37000.030900000012</v>
      </c>
      <c r="AD79" s="41">
        <f t="shared" si="58"/>
        <v>-111554.06491000007</v>
      </c>
      <c r="AE79" s="41">
        <f t="shared" si="58"/>
        <v>-58680.747337121982</v>
      </c>
      <c r="AF79" s="41">
        <f t="shared" si="58"/>
        <v>-24516.935002295068</v>
      </c>
      <c r="AG79" s="41">
        <f t="shared" si="58"/>
        <v>-21055.295829459326</v>
      </c>
      <c r="AH79" s="41">
        <f t="shared" si="58"/>
        <v>-27531.178850310389</v>
      </c>
      <c r="AI79" s="41">
        <f t="shared" si="58"/>
        <v>-26783.956101445714</v>
      </c>
      <c r="AJ79" s="150"/>
      <c r="AK79" s="43">
        <f t="shared" si="59"/>
        <v>62.94755565895025</v>
      </c>
      <c r="AL79" s="43">
        <f t="shared" si="59"/>
        <v>56.985563585254909</v>
      </c>
      <c r="AM79" s="43">
        <f t="shared" si="59"/>
        <v>35.10061482965051</v>
      </c>
      <c r="AN79" s="43">
        <f t="shared" si="59"/>
        <v>-103.47232735340231</v>
      </c>
      <c r="AO79" s="43">
        <f t="shared" si="59"/>
        <v>-58.995186938404061</v>
      </c>
      <c r="AP79" s="43">
        <f t="shared" si="59"/>
        <v>-23.468624794769653</v>
      </c>
      <c r="AQ79" s="43">
        <f t="shared" si="60"/>
        <v>-20.242426329790533</v>
      </c>
      <c r="AR79" s="43">
        <f t="shared" si="60"/>
        <v>-26.453132211290381</v>
      </c>
      <c r="AS79" s="43">
        <f t="shared" si="60"/>
        <v>-25.826219930791922</v>
      </c>
      <c r="AT79" s="150"/>
      <c r="AU79" s="69">
        <f t="shared" si="61"/>
        <v>-8.2150634388834849</v>
      </c>
      <c r="AV79" s="69">
        <f t="shared" si="61"/>
        <v>-11.84571286913898</v>
      </c>
      <c r="AW79" s="69">
        <f t="shared" si="61"/>
        <v>-8.4318176469016297</v>
      </c>
      <c r="AX79" s="69">
        <f t="shared" si="61"/>
        <v>27.762586552179378</v>
      </c>
      <c r="AY79" s="69">
        <f t="shared" si="61"/>
        <v>11.43053258667226</v>
      </c>
      <c r="AZ79" s="69">
        <f t="shared" si="61"/>
        <v>4.285808869686214</v>
      </c>
      <c r="BA79" s="69">
        <f t="shared" si="61"/>
        <v>3.5294152454418359</v>
      </c>
      <c r="BB79" s="69">
        <f t="shared" si="61"/>
        <v>4.4576139752063648</v>
      </c>
      <c r="BC79" s="69">
        <f t="shared" si="61"/>
        <v>4.1515691076484451</v>
      </c>
      <c r="BD79" s="202">
        <f t="shared" ref="BD79:BD85" si="62">(K79/H79-1)*100</f>
        <v>12.77921736915193</v>
      </c>
    </row>
    <row r="80" spans="2:56" x14ac:dyDescent="0.2">
      <c r="B80" s="133" t="s">
        <v>776</v>
      </c>
      <c r="C80" s="43">
        <f>SUMIF('1. Väestöennuste'!$X$15:$X$307,'1. Väestöennuste'!$U4,'7. Nettoinvestoinnit '!G$15:G$307)</f>
        <v>-239146</v>
      </c>
      <c r="D80" s="43">
        <f>SUMIF('1. Väestöennuste'!$X$15:$X$307,'1. Väestöennuste'!$U4,'7. Nettoinvestoinnit '!H$15:H$307)</f>
        <v>-492717</v>
      </c>
      <c r="E80" s="43">
        <f>SUMIF('1. Väestöennuste'!$X$15:$X$307,'1. Väestöennuste'!$U4,'7. Nettoinvestoinnit '!I$15:I$307)</f>
        <v>-411800.05379999988</v>
      </c>
      <c r="F80" s="43">
        <f>SUMIF('1. Väestöennuste'!$X$15:$X$307,'1. Väestöennuste'!$U4,'7. Nettoinvestoinnit '!J$15:J$307)</f>
        <v>-382279.19361999998</v>
      </c>
      <c r="G80" s="43">
        <f>SUMIF('1. Väestöennuste'!$X$15:$X$307,'1. Väestöennuste'!$U4,'7. Nettoinvestoinnit '!K$15:K$307)</f>
        <v>-588621.94824000006</v>
      </c>
      <c r="H80" s="43">
        <f>SUMIF('1. Väestöennuste'!$X$15:$X$307,'1. Väestöennuste'!$U4,'7. Nettoinvestoinnit '!L$15:L$307)</f>
        <v>-582471.35115937016</v>
      </c>
      <c r="I80" s="43">
        <f>SUMIF('1. Väestöennuste'!$X$15:$X$307,'1. Väestöennuste'!$U4,'7. Nettoinvestoinnit '!M$15:M$307)</f>
        <v>-607434.95999073959</v>
      </c>
      <c r="J80" s="43">
        <f>SUMIF('1. Väestöennuste'!$X$15:$X$307,'1. Väestöennuste'!$U4,'7. Nettoinvestoinnit '!N$15:N$307)</f>
        <v>-628873.86207479599</v>
      </c>
      <c r="K80" s="43">
        <f>SUMIF('1. Väestöennuste'!$X$15:$X$307,'1. Väestöennuste'!$U4,'7. Nettoinvestoinnit '!O$15:O$307)</f>
        <v>-656906.63123706228</v>
      </c>
      <c r="L80" s="43">
        <f>SUMIF('1. Väestöennuste'!$X$15:$X$307,'1. Väestöennuste'!$U4,'7. Nettoinvestoinnit '!P$15:P$307)</f>
        <v>-684178.56400559447</v>
      </c>
      <c r="M80" s="136"/>
      <c r="N80" s="43">
        <f>C80/'1. Väestöennuste'!BJ4*1000</f>
        <v>-292.2984219410211</v>
      </c>
      <c r="O80" s="43">
        <f>D80/'1. Väestöennuste'!BK4*1000</f>
        <v>-649.48775678069774</v>
      </c>
      <c r="P80" s="43">
        <f>E80/'1. Väestöennuste'!BL4*1000</f>
        <v>-541.51797778961259</v>
      </c>
      <c r="Q80" s="43">
        <f>F80/'1. Väestöennuste'!BM4*1000</f>
        <v>-503.15981770487139</v>
      </c>
      <c r="R80" s="43">
        <f>G80/'1. Väestöennuste'!BN4*1000</f>
        <v>-772.26705358173717</v>
      </c>
      <c r="S80" s="43">
        <f>H80/'1. Väestöennuste'!BO4*1000</f>
        <v>-771.2145421267636</v>
      </c>
      <c r="T80" s="43">
        <f>I80/'1. Väestöennuste'!BP4*1000</f>
        <v>-805.26955886486542</v>
      </c>
      <c r="U80" s="43">
        <f>J80/'1. Väestöennuste'!BQ4*1000</f>
        <v>-834.77649264452361</v>
      </c>
      <c r="V80" s="43">
        <f>K80/'1. Väestöennuste'!BR4*1000</f>
        <v>-873.18957717668752</v>
      </c>
      <c r="W80" s="43">
        <f>L80/'1. Väestöennuste'!BS4*1000</f>
        <v>-910.7820484393543</v>
      </c>
      <c r="X80" s="159"/>
      <c r="Z80" s="133" t="s">
        <v>776</v>
      </c>
      <c r="AA80" s="41">
        <f t="shared" si="58"/>
        <v>-253571</v>
      </c>
      <c r="AB80" s="41">
        <f t="shared" si="58"/>
        <v>80916.946200000122</v>
      </c>
      <c r="AC80" s="41">
        <f t="shared" si="58"/>
        <v>29520.860179999901</v>
      </c>
      <c r="AD80" s="41">
        <f t="shared" si="58"/>
        <v>-206342.75462000008</v>
      </c>
      <c r="AE80" s="41">
        <f t="shared" si="58"/>
        <v>6150.597080629901</v>
      </c>
      <c r="AF80" s="41">
        <f t="shared" si="58"/>
        <v>-24963.608831369434</v>
      </c>
      <c r="AG80" s="41">
        <f t="shared" si="58"/>
        <v>-21438.902084056404</v>
      </c>
      <c r="AH80" s="41">
        <f t="shared" si="58"/>
        <v>-28032.769162266282</v>
      </c>
      <c r="AI80" s="41">
        <f t="shared" si="58"/>
        <v>-27271.932768532191</v>
      </c>
      <c r="AJ80" s="150"/>
      <c r="AK80" s="43">
        <f t="shared" si="59"/>
        <v>-357.18933483967663</v>
      </c>
      <c r="AL80" s="43">
        <f t="shared" si="59"/>
        <v>107.96977899108515</v>
      </c>
      <c r="AM80" s="43">
        <f t="shared" si="59"/>
        <v>38.358160084741201</v>
      </c>
      <c r="AN80" s="43">
        <f t="shared" si="59"/>
        <v>-269.10723587686579</v>
      </c>
      <c r="AO80" s="43">
        <f t="shared" si="59"/>
        <v>1.052511454973569</v>
      </c>
      <c r="AP80" s="43">
        <f t="shared" si="59"/>
        <v>-34.055016738101813</v>
      </c>
      <c r="AQ80" s="43">
        <f t="shared" si="60"/>
        <v>-29.506933779658198</v>
      </c>
      <c r="AR80" s="43">
        <f t="shared" si="60"/>
        <v>-38.413084532163907</v>
      </c>
      <c r="AS80" s="43">
        <f t="shared" si="60"/>
        <v>-37.592471262666777</v>
      </c>
      <c r="AT80" s="150"/>
      <c r="AU80" s="69">
        <f t="shared" si="61"/>
        <v>106.03188010671305</v>
      </c>
      <c r="AV80" s="69">
        <f t="shared" si="61"/>
        <v>-16.422600843892155</v>
      </c>
      <c r="AW80" s="69">
        <f t="shared" si="61"/>
        <v>-7.1687363582369485</v>
      </c>
      <c r="AX80" s="69">
        <f t="shared" si="61"/>
        <v>53.976977576528171</v>
      </c>
      <c r="AY80" s="69">
        <f t="shared" si="61"/>
        <v>-1.044914668747976</v>
      </c>
      <c r="AZ80" s="69">
        <f t="shared" si="61"/>
        <v>4.285808869686214</v>
      </c>
      <c r="BA80" s="69">
        <f t="shared" si="61"/>
        <v>3.5294152454417915</v>
      </c>
      <c r="BB80" s="69">
        <f t="shared" si="61"/>
        <v>4.457613975206387</v>
      </c>
      <c r="BC80" s="69">
        <f t="shared" si="61"/>
        <v>4.1515691076484895</v>
      </c>
      <c r="BD80" s="202">
        <f t="shared" si="62"/>
        <v>12.77921736915193</v>
      </c>
    </row>
    <row r="81" spans="2:56" x14ac:dyDescent="0.2">
      <c r="B81" s="133" t="s">
        <v>777</v>
      </c>
      <c r="C81" s="43">
        <f>SUMIF('1. Väestöennuste'!$X$15:$X$307,'1. Väestöennuste'!$U5,'7. Nettoinvestoinnit '!G$15:G$307)</f>
        <v>-262499</v>
      </c>
      <c r="D81" s="43">
        <f>SUMIF('1. Väestöennuste'!$X$15:$X$307,'1. Väestöennuste'!$U5,'7. Nettoinvestoinnit '!H$15:H$307)</f>
        <v>-356877</v>
      </c>
      <c r="E81" s="43">
        <f>SUMIF('1. Väestöennuste'!$X$15:$X$307,'1. Väestöennuste'!$U5,'7. Nettoinvestoinnit '!I$15:I$307)</f>
        <v>-347649.46107999992</v>
      </c>
      <c r="F81" s="43">
        <f>SUMIF('1. Väestöennuste'!$X$15:$X$307,'1. Väestöennuste'!$U5,'7. Nettoinvestoinnit '!J$15:J$307)</f>
        <v>-365809.75588999997</v>
      </c>
      <c r="G81" s="43">
        <f>SUMIF('1. Väestöennuste'!$X$15:$X$307,'1. Väestöennuste'!$U5,'7. Nettoinvestoinnit '!K$15:K$307)</f>
        <v>-370660.66364999994</v>
      </c>
      <c r="H81" s="43">
        <f>SUMIF('1. Väestöennuste'!$X$15:$X$307,'1. Väestöennuste'!$U5,'7. Nettoinvestoinnit '!L$15:L$307)</f>
        <v>-369613.84786542197</v>
      </c>
      <c r="I81" s="43">
        <f>SUMIF('1. Väestöennuste'!$X$15:$X$307,'1. Väestöennuste'!$U5,'7. Nettoinvestoinnit '!M$15:M$307)</f>
        <v>-385454.79094082664</v>
      </c>
      <c r="J81" s="43">
        <f>SUMIF('1. Väestöennuste'!$X$15:$X$307,'1. Väestöennuste'!$U5,'7. Nettoinvestoinnit '!N$15:N$307)</f>
        <v>-399059.09109657811</v>
      </c>
      <c r="K81" s="43">
        <f>SUMIF('1. Väestöennuste'!$X$15:$X$307,'1. Väestöennuste'!$U5,'7. Nettoinvestoinnit '!O$15:O$307)</f>
        <v>-416847.60491063062</v>
      </c>
      <c r="L81" s="43">
        <f>SUMIF('1. Väestöennuste'!$X$15:$X$307,'1. Väestöennuste'!$U5,'7. Nettoinvestoinnit '!P$15:P$307)</f>
        <v>-434153.32130207302</v>
      </c>
      <c r="M81" s="136"/>
      <c r="N81" s="43">
        <f>C81/'1. Väestöennuste'!BJ5*1000</f>
        <v>-440.59572125374717</v>
      </c>
      <c r="O81" s="43">
        <f>D81/'1. Väestöennuste'!BK5*1000</f>
        <v>-591.20441849832014</v>
      </c>
      <c r="P81" s="43">
        <f>E81/'1. Väestöennuste'!BL5*1000</f>
        <v>-576.28939847991296</v>
      </c>
      <c r="Q81" s="43">
        <f>F81/'1. Väestöennuste'!BM5*1000</f>
        <v>-608.75052359802226</v>
      </c>
      <c r="R81" s="43">
        <f>G81/'1. Väestöennuste'!BN5*1000</f>
        <v>-617.43950074876852</v>
      </c>
      <c r="S81" s="43">
        <f>H81/'1. Väestöennuste'!BO5*1000</f>
        <v>-623.59981755904573</v>
      </c>
      <c r="T81" s="43">
        <f>I81/'1. Väestöennuste'!BP5*1000</f>
        <v>-653.27888016193492</v>
      </c>
      <c r="U81" s="43">
        <f>J81/'1. Väestöennuste'!BQ5*1000</f>
        <v>-679.3905987227613</v>
      </c>
      <c r="V81" s="43">
        <f>K81/'1. Väestöennuste'!BR5*1000</f>
        <v>-712.87928082428471</v>
      </c>
      <c r="W81" s="43">
        <f>L81/'1. Väestöennuste'!BS5*1000</f>
        <v>-745.89229150665665</v>
      </c>
      <c r="X81" s="159"/>
      <c r="Z81" s="133" t="s">
        <v>777</v>
      </c>
      <c r="AA81" s="41">
        <f t="shared" si="58"/>
        <v>-94378</v>
      </c>
      <c r="AB81" s="41">
        <f t="shared" si="58"/>
        <v>9227.5389200000791</v>
      </c>
      <c r="AC81" s="41">
        <f t="shared" si="58"/>
        <v>-18160.29481000005</v>
      </c>
      <c r="AD81" s="41">
        <f t="shared" si="58"/>
        <v>-4850.9077599999728</v>
      </c>
      <c r="AE81" s="41">
        <f t="shared" si="58"/>
        <v>1046.8157845779788</v>
      </c>
      <c r="AF81" s="41">
        <f t="shared" si="58"/>
        <v>-15840.943075404677</v>
      </c>
      <c r="AG81" s="41">
        <f t="shared" si="58"/>
        <v>-13604.300155751465</v>
      </c>
      <c r="AH81" s="41">
        <f t="shared" si="58"/>
        <v>-17788.513814052509</v>
      </c>
      <c r="AI81" s="41">
        <f t="shared" si="58"/>
        <v>-17305.716391442402</v>
      </c>
      <c r="AJ81" s="150"/>
      <c r="AK81" s="43">
        <f t="shared" si="59"/>
        <v>-150.60869724457297</v>
      </c>
      <c r="AL81" s="43">
        <f t="shared" si="59"/>
        <v>14.915020018407176</v>
      </c>
      <c r="AM81" s="43">
        <f t="shared" si="59"/>
        <v>-32.461125118109294</v>
      </c>
      <c r="AN81" s="43">
        <f t="shared" si="59"/>
        <v>-8.6889771507462683</v>
      </c>
      <c r="AO81" s="43">
        <f t="shared" si="59"/>
        <v>-6.1603168102772088</v>
      </c>
      <c r="AP81" s="43">
        <f t="shared" si="59"/>
        <v>-29.679062602889189</v>
      </c>
      <c r="AQ81" s="43">
        <f t="shared" si="60"/>
        <v>-26.111718560826375</v>
      </c>
      <c r="AR81" s="43">
        <f t="shared" si="60"/>
        <v>-33.488682101523409</v>
      </c>
      <c r="AS81" s="43">
        <f t="shared" si="60"/>
        <v>-33.013010682371942</v>
      </c>
      <c r="AT81" s="150"/>
      <c r="AU81" s="69">
        <f t="shared" si="61"/>
        <v>35.95366077585058</v>
      </c>
      <c r="AV81" s="69">
        <f t="shared" si="61"/>
        <v>-2.585635644773987</v>
      </c>
      <c r="AW81" s="69">
        <f t="shared" si="61"/>
        <v>5.2237373685503963</v>
      </c>
      <c r="AX81" s="69">
        <f t="shared" si="61"/>
        <v>1.3260739173557301</v>
      </c>
      <c r="AY81" s="69">
        <f t="shared" si="61"/>
        <v>-0.2824189041992442</v>
      </c>
      <c r="AZ81" s="69">
        <f t="shared" si="61"/>
        <v>4.2858088696861918</v>
      </c>
      <c r="BA81" s="69">
        <f t="shared" si="61"/>
        <v>3.5294152454418359</v>
      </c>
      <c r="BB81" s="69">
        <f t="shared" si="61"/>
        <v>4.4576139752063426</v>
      </c>
      <c r="BC81" s="69">
        <f t="shared" si="61"/>
        <v>4.1515691076484895</v>
      </c>
      <c r="BD81" s="202">
        <f t="shared" si="62"/>
        <v>12.779217369151885</v>
      </c>
    </row>
    <row r="82" spans="2:56" x14ac:dyDescent="0.2">
      <c r="B82" s="133" t="s">
        <v>778</v>
      </c>
      <c r="C82" s="43">
        <f>SUMIF('1. Väestöennuste'!$X$15:$X$307,'1. Väestöennuste'!$U6,'7. Nettoinvestoinnit '!G$15:G$307)</f>
        <v>-249833</v>
      </c>
      <c r="D82" s="43">
        <f>SUMIF('1. Väestöennuste'!$X$15:$X$307,'1. Väestöennuste'!$U6,'7. Nettoinvestoinnit '!H$15:H$307)</f>
        <v>-191901</v>
      </c>
      <c r="E82" s="43">
        <f>SUMIF('1. Väestöennuste'!$X$15:$X$307,'1. Väestöennuste'!$U6,'7. Nettoinvestoinnit '!I$15:I$307)</f>
        <v>-188930.01962999997</v>
      </c>
      <c r="F82" s="43">
        <f>SUMIF('1. Väestöennuste'!$X$15:$X$307,'1. Väestöennuste'!$U6,'7. Nettoinvestoinnit '!J$15:J$307)</f>
        <v>-237234.88061999998</v>
      </c>
      <c r="G82" s="43">
        <f>SUMIF('1. Väestöennuste'!$X$15:$X$307,'1. Väestöennuste'!$U6,'7. Nettoinvestoinnit '!K$15:K$307)</f>
        <v>-269097.07948999992</v>
      </c>
      <c r="H82" s="43">
        <f>SUMIF('1. Väestöennuste'!$X$15:$X$307,'1. Väestöennuste'!$U6,'7. Nettoinvestoinnit '!L$15:L$307)</f>
        <v>-277205.76182700961</v>
      </c>
      <c r="I82" s="43">
        <f>SUMIF('1. Väestöennuste'!$X$15:$X$307,'1. Väestöennuste'!$U6,'7. Nettoinvestoinnit '!M$15:M$307)</f>
        <v>-289086.27095467283</v>
      </c>
      <c r="J82" s="43">
        <f>SUMIF('1. Väestöennuste'!$X$15:$X$307,'1. Väestöennuste'!$U6,'7. Nettoinvestoinnit '!N$15:N$307)</f>
        <v>-299289.3258742264</v>
      </c>
      <c r="K82" s="43">
        <f>SUMIF('1. Väestöennuste'!$X$15:$X$307,'1. Väestöennuste'!$U6,'7. Nettoinvestoinnit '!O$15:O$307)</f>
        <v>-312630.48869069666</v>
      </c>
      <c r="L82" s="43">
        <f>SUMIF('1. Väestöennuste'!$X$15:$X$307,'1. Väestöennuste'!$U6,'7. Nettoinvestoinnit '!P$15:P$307)</f>
        <v>-325609.55948027008</v>
      </c>
      <c r="M82" s="136"/>
      <c r="N82" s="43">
        <f>C82/'1. Väestöennuste'!BJ6*1000</f>
        <v>-468.97707797168863</v>
      </c>
      <c r="O82" s="43">
        <f>D82/'1. Väestöennuste'!BK6*1000</f>
        <v>-359.76738038593709</v>
      </c>
      <c r="P82" s="43">
        <f>E82/'1. Väestöennuste'!BL6*1000</f>
        <v>-355.88083866410483</v>
      </c>
      <c r="Q82" s="43">
        <f>F82/'1. Väestöennuste'!BM6*1000</f>
        <v>-451.62133467606827</v>
      </c>
      <c r="R82" s="43">
        <f>G82/'1. Väestöennuste'!BN6*1000</f>
        <v>-516.05835202810624</v>
      </c>
      <c r="S82" s="43">
        <f>H82/'1. Väestöennuste'!BO6*1000</f>
        <v>-539.87169905506812</v>
      </c>
      <c r="T82" s="43">
        <f>I82/'1. Väestöennuste'!BP6*1000</f>
        <v>-566.27732051461567</v>
      </c>
      <c r="U82" s="43">
        <f>J82/'1. Väestöennuste'!BQ6*1000</f>
        <v>-591.34064228686157</v>
      </c>
      <c r="V82" s="43">
        <f>K82/'1. Väestöennuste'!BR6*1000</f>
        <v>-622.88777495880038</v>
      </c>
      <c r="W82" s="43">
        <f>L82/'1. Väestöennuste'!BS6*1000</f>
        <v>-654.11685663543517</v>
      </c>
      <c r="X82" s="159"/>
      <c r="Z82" s="133" t="s">
        <v>778</v>
      </c>
      <c r="AA82" s="41">
        <f t="shared" si="58"/>
        <v>57932</v>
      </c>
      <c r="AB82" s="41">
        <f t="shared" si="58"/>
        <v>2970.9803700000339</v>
      </c>
      <c r="AC82" s="41">
        <f t="shared" si="58"/>
        <v>-48304.860990000016</v>
      </c>
      <c r="AD82" s="41">
        <f t="shared" si="58"/>
        <v>-31862.198869999935</v>
      </c>
      <c r="AE82" s="41">
        <f t="shared" si="58"/>
        <v>-8108.6823370096972</v>
      </c>
      <c r="AF82" s="41">
        <f t="shared" si="58"/>
        <v>-11880.509127663216</v>
      </c>
      <c r="AG82" s="41">
        <f t="shared" si="58"/>
        <v>-10203.054919553571</v>
      </c>
      <c r="AH82" s="41">
        <f t="shared" si="58"/>
        <v>-13341.162816470256</v>
      </c>
      <c r="AI82" s="41">
        <f t="shared" si="58"/>
        <v>-12979.070789573423</v>
      </c>
      <c r="AJ82" s="150"/>
      <c r="AK82" s="43">
        <f t="shared" si="59"/>
        <v>109.20969758575154</v>
      </c>
      <c r="AL82" s="43">
        <f t="shared" si="59"/>
        <v>3.8865417218322591</v>
      </c>
      <c r="AM82" s="43">
        <f t="shared" si="59"/>
        <v>-95.740496011963444</v>
      </c>
      <c r="AN82" s="43">
        <f t="shared" si="59"/>
        <v>-64.437017352037969</v>
      </c>
      <c r="AO82" s="43">
        <f t="shared" si="59"/>
        <v>-23.813347026961878</v>
      </c>
      <c r="AP82" s="43">
        <f t="shared" si="59"/>
        <v>-26.405621459547547</v>
      </c>
      <c r="AQ82" s="43">
        <f t="shared" si="60"/>
        <v>-25.063321772245899</v>
      </c>
      <c r="AR82" s="43">
        <f t="shared" si="60"/>
        <v>-31.547132671938812</v>
      </c>
      <c r="AS82" s="43">
        <f t="shared" si="60"/>
        <v>-31.229081676634792</v>
      </c>
      <c r="AT82" s="132"/>
      <c r="AU82" s="69">
        <f t="shared" si="61"/>
        <v>-23.188289777571413</v>
      </c>
      <c r="AV82" s="69">
        <f t="shared" si="61"/>
        <v>-1.548183891694177</v>
      </c>
      <c r="AW82" s="69">
        <f t="shared" si="61"/>
        <v>25.567594331806088</v>
      </c>
      <c r="AX82" s="69">
        <f t="shared" si="61"/>
        <v>13.430655216774978</v>
      </c>
      <c r="AY82" s="69">
        <f t="shared" si="61"/>
        <v>3.0132925828765922</v>
      </c>
      <c r="AZ82" s="69">
        <f t="shared" si="61"/>
        <v>4.285808869686214</v>
      </c>
      <c r="BA82" s="69">
        <f t="shared" si="61"/>
        <v>3.5294152454418581</v>
      </c>
      <c r="BB82" s="69">
        <f t="shared" si="61"/>
        <v>4.4576139752062982</v>
      </c>
      <c r="BC82" s="69">
        <f t="shared" si="61"/>
        <v>4.1515691076484673</v>
      </c>
      <c r="BD82" s="202">
        <f t="shared" si="62"/>
        <v>12.779217369151885</v>
      </c>
    </row>
    <row r="83" spans="2:56" x14ac:dyDescent="0.2">
      <c r="B83" s="133" t="s">
        <v>779</v>
      </c>
      <c r="C83" s="43">
        <f>SUMIF('1. Väestöennuste'!$X$15:$X$307,'1. Väestöennuste'!$U7,'7. Nettoinvestoinnit '!G$15:G$307)</f>
        <v>-117140</v>
      </c>
      <c r="D83" s="43">
        <f>SUMIF('1. Väestöennuste'!$X$15:$X$307,'1. Väestöennuste'!$U7,'7. Nettoinvestoinnit '!H$15:H$307)</f>
        <v>-111711</v>
      </c>
      <c r="E83" s="43">
        <f>SUMIF('1. Väestöennuste'!$X$15:$X$307,'1. Väestöennuste'!$U7,'7. Nettoinvestoinnit '!I$15:I$307)</f>
        <v>-137419.18228000001</v>
      </c>
      <c r="F83" s="43">
        <f>SUMIF('1. Väestöennuste'!$X$15:$X$307,'1. Väestöennuste'!$U7,'7. Nettoinvestoinnit '!J$15:J$307)</f>
        <v>-128590.82858</v>
      </c>
      <c r="G83" s="43">
        <f>SUMIF('1. Väestöennuste'!$X$15:$X$307,'1. Väestöennuste'!$U7,'7. Nettoinvestoinnit '!K$15:K$307)</f>
        <v>-112180.33929999999</v>
      </c>
      <c r="H83" s="43">
        <f>SUMIF('1. Väestöennuste'!$X$15:$X$307,'1. Väestöennuste'!$U7,'7. Nettoinvestoinnit '!L$15:L$307)</f>
        <v>-136787.41409207505</v>
      </c>
      <c r="I83" s="43">
        <f>SUMIF('1. Väestöennuste'!$X$15:$X$307,'1. Väestöennuste'!$U7,'7. Nettoinvestoinnit '!M$15:M$307)</f>
        <v>-142649.86121784759</v>
      </c>
      <c r="J83" s="43">
        <f>SUMIF('1. Väestöennuste'!$X$15:$X$307,'1. Väestöennuste'!$U7,'7. Nettoinvestoinnit '!N$15:N$307)</f>
        <v>-147684.56716727183</v>
      </c>
      <c r="K83" s="43">
        <f>SUMIF('1. Väestöennuste'!$X$15:$X$307,'1. Väestöennuste'!$U7,'7. Nettoinvestoinnit '!O$15:O$307)</f>
        <v>-154267.77507254315</v>
      </c>
      <c r="L83" s="43">
        <f>SUMIF('1. Väestöennuste'!$X$15:$X$307,'1. Väestöennuste'!$U7,'7. Nettoinvestoinnit '!P$15:P$307)</f>
        <v>-160672.30836551148</v>
      </c>
      <c r="M83" s="227"/>
      <c r="N83" s="43">
        <f>C83/'1. Väestöennuste'!BJ7*1000</f>
        <v>-397.0591724600788</v>
      </c>
      <c r="O83" s="43">
        <f>D83/'1. Väestöennuste'!BK7*1000</f>
        <v>-384.69034959640766</v>
      </c>
      <c r="P83" s="43">
        <f>E83/'1. Väestöennuste'!BL7*1000</f>
        <v>-478.18101628859455</v>
      </c>
      <c r="Q83" s="43">
        <f>F83/'1. Väestöennuste'!BM7*1000</f>
        <v>-454.99550130917845</v>
      </c>
      <c r="R83" s="43">
        <f>G83/'1. Väestöennuste'!BN7*1000</f>
        <v>-400.91611915228185</v>
      </c>
      <c r="S83" s="43">
        <f>H83/'1. Väestöennuste'!BO7*1000</f>
        <v>-498.40377368665099</v>
      </c>
      <c r="T83" s="43">
        <f>I83/'1. Väestöennuste'!BP7*1000</f>
        <v>-526.41821677398343</v>
      </c>
      <c r="U83" s="43">
        <f>J83/'1. Väestöennuste'!BQ7*1000</f>
        <v>-551.71646643133215</v>
      </c>
      <c r="V83" s="43">
        <f>K83/'1. Väestöennuste'!BR7*1000</f>
        <v>-583.20993165810319</v>
      </c>
      <c r="W83" s="43">
        <f>L83/'1. Väestöennuste'!BS7*1000</f>
        <v>-614.56666296477772</v>
      </c>
      <c r="X83" s="159"/>
      <c r="Z83" s="133" t="s">
        <v>779</v>
      </c>
      <c r="AA83" s="43">
        <f t="shared" si="58"/>
        <v>5429</v>
      </c>
      <c r="AB83" s="43">
        <f t="shared" si="58"/>
        <v>-25708.182280000008</v>
      </c>
      <c r="AC83" s="43">
        <f t="shared" si="58"/>
        <v>8828.3537000000069</v>
      </c>
      <c r="AD83" s="43">
        <f t="shared" si="58"/>
        <v>16410.489280000009</v>
      </c>
      <c r="AE83" s="43">
        <f t="shared" si="58"/>
        <v>-24607.074792075058</v>
      </c>
      <c r="AF83" s="43">
        <f t="shared" si="58"/>
        <v>-5862.4471257725381</v>
      </c>
      <c r="AG83" s="43">
        <f t="shared" si="58"/>
        <v>-5034.7059494242421</v>
      </c>
      <c r="AH83" s="43">
        <f t="shared" si="58"/>
        <v>-6583.2079052713234</v>
      </c>
      <c r="AI83" s="43">
        <f t="shared" si="58"/>
        <v>-6404.5332929683209</v>
      </c>
      <c r="AJ83" s="286"/>
      <c r="AK83" s="43">
        <f t="shared" si="59"/>
        <v>12.368822863671141</v>
      </c>
      <c r="AL83" s="43">
        <f t="shared" si="59"/>
        <v>-93.490666692186892</v>
      </c>
      <c r="AM83" s="43">
        <f t="shared" si="59"/>
        <v>23.185514979416098</v>
      </c>
      <c r="AN83" s="43">
        <f t="shared" si="59"/>
        <v>54.0793821568966</v>
      </c>
      <c r="AO83" s="43">
        <f t="shared" si="59"/>
        <v>-97.487654534369142</v>
      </c>
      <c r="AP83" s="43">
        <f t="shared" si="59"/>
        <v>-28.014443087332438</v>
      </c>
      <c r="AQ83" s="43">
        <f t="shared" si="60"/>
        <v>-25.29824965734872</v>
      </c>
      <c r="AR83" s="43">
        <f t="shared" si="60"/>
        <v>-31.493465226771036</v>
      </c>
      <c r="AS83" s="43">
        <f t="shared" si="60"/>
        <v>-31.356731306674533</v>
      </c>
      <c r="AT83" s="199"/>
      <c r="AU83" s="234">
        <f t="shared" si="61"/>
        <v>-4.634625234761824</v>
      </c>
      <c r="AV83" s="234">
        <f t="shared" si="61"/>
        <v>23.013116237434094</v>
      </c>
      <c r="AW83" s="234">
        <f t="shared" si="61"/>
        <v>-6.4243969098955134</v>
      </c>
      <c r="AX83" s="234">
        <f t="shared" si="61"/>
        <v>-12.761788271541141</v>
      </c>
      <c r="AY83" s="234">
        <f t="shared" si="61"/>
        <v>21.935282907523757</v>
      </c>
      <c r="AZ83" s="234">
        <f t="shared" si="61"/>
        <v>4.2858088696861918</v>
      </c>
      <c r="BA83" s="234">
        <f t="shared" si="61"/>
        <v>3.5294152454417693</v>
      </c>
      <c r="BB83" s="234">
        <f t="shared" si="61"/>
        <v>4.4576139752063648</v>
      </c>
      <c r="BC83" s="234">
        <f t="shared" si="61"/>
        <v>4.1515691076484673</v>
      </c>
      <c r="BD83" s="202">
        <f t="shared" si="62"/>
        <v>12.779217369151841</v>
      </c>
    </row>
    <row r="84" spans="2:56" x14ac:dyDescent="0.2">
      <c r="B84" s="193" t="s">
        <v>780</v>
      </c>
      <c r="C84" s="226">
        <f>SUMIF('1. Väestöennuste'!$X$15:$X$307,'1. Väestöennuste'!$U8,'7. Nettoinvestoinnit '!G$15:G$307)</f>
        <v>-15282</v>
      </c>
      <c r="D84" s="226">
        <f>SUMIF('1. Väestöennuste'!$X$15:$X$307,'1. Väestöennuste'!$U8,'7. Nettoinvestoinnit '!H$15:H$307)</f>
        <v>-25657</v>
      </c>
      <c r="E84" s="226">
        <f>SUMIF('1. Väestöennuste'!$X$15:$X$307,'1. Väestöennuste'!$U8,'7. Nettoinvestoinnit '!I$15:I$307)</f>
        <v>-18731.075190000007</v>
      </c>
      <c r="F84" s="226">
        <f>SUMIF('1. Väestöennuste'!$X$15:$X$307,'1. Väestöennuste'!$U8,'7. Nettoinvestoinnit '!J$15:J$307)</f>
        <v>-22457.679040000003</v>
      </c>
      <c r="G84" s="226">
        <f>SUMIF('1. Väestöennuste'!$X$15:$X$307,'1. Väestöennuste'!$U8,'7. Nettoinvestoinnit '!K$15:K$307)</f>
        <v>-16835.328450000001</v>
      </c>
      <c r="H84" s="226">
        <f>SUMIF('1. Väestöennuste'!$X$15:$X$307,'1. Väestöennuste'!$U8,'7. Nettoinvestoinnit '!L$15:L$307)</f>
        <v>-24812.267208351866</v>
      </c>
      <c r="I84" s="226">
        <f>SUMIF('1. Väestöennuste'!$X$15:$X$307,'1. Väestöennuste'!$U8,'7. Nettoinvestoinnit '!M$15:M$307)</f>
        <v>-25867.51822405677</v>
      </c>
      <c r="J84" s="226">
        <f>SUMIF('1. Väestöennuste'!$X$15:$X$307,'1. Väestöennuste'!$U8,'7. Nettoinvestoinnit '!N$15:N$307)</f>
        <v>-26780.490355874055</v>
      </c>
      <c r="K84" s="226">
        <f>SUMIF('1. Väestöennuste'!$X$15:$X$307,'1. Väestöennuste'!$U8,'7. Nettoinvestoinnit '!O$15:O$307)</f>
        <v>-27974.2612366063</v>
      </c>
      <c r="L84" s="226">
        <f>SUMIF('1. Väestöennuste'!$X$15:$X$307,'1. Väestöennuste'!$U8,'7. Nettoinvestoinnit '!P$15:P$307)</f>
        <v>-29135.632024198134</v>
      </c>
      <c r="M84" s="194"/>
      <c r="N84" s="226">
        <f>C84/'1. Väestöennuste'!BJ8*1000</f>
        <v>-329.5096813144163</v>
      </c>
      <c r="O84" s="226">
        <f>D84/'1. Väestöennuste'!BK8*1000</f>
        <v>-494.14506374947035</v>
      </c>
      <c r="P84" s="226">
        <f>E84/'1. Väestöennuste'!BL8*1000</f>
        <v>-364.62352669794257</v>
      </c>
      <c r="Q84" s="226">
        <f>F84/'1. Väestöennuste'!BM8*1000</f>
        <v>-443.71365143342621</v>
      </c>
      <c r="R84" s="226">
        <f>G84/'1. Väestöennuste'!BN8*1000</f>
        <v>-338.56188814704586</v>
      </c>
      <c r="S84" s="226">
        <f>H84/'1. Väestöennuste'!BO8*1000</f>
        <v>-501.26805002832111</v>
      </c>
      <c r="T84" s="226">
        <f>I84/'1. Väestöennuste'!BP8*1000</f>
        <v>-544.91201415720695</v>
      </c>
      <c r="U84" s="226">
        <f>J84/'1. Väestöennuste'!BQ8*1000</f>
        <v>-569.59164463649438</v>
      </c>
      <c r="V84" s="226">
        <f>K84/'1. Väestöennuste'!BR8*1000</f>
        <v>-600.57668126422425</v>
      </c>
      <c r="W84" s="226">
        <f>L84/'1. Väestöennuste'!BS8*1000</f>
        <v>-631.26992295788307</v>
      </c>
      <c r="X84" s="159"/>
      <c r="Z84" s="193" t="s">
        <v>780</v>
      </c>
      <c r="AA84" s="226">
        <f t="shared" si="58"/>
        <v>-10375</v>
      </c>
      <c r="AB84" s="226">
        <f t="shared" si="58"/>
        <v>6925.9248099999932</v>
      </c>
      <c r="AC84" s="226">
        <f t="shared" si="58"/>
        <v>-3726.6038499999959</v>
      </c>
      <c r="AD84" s="226">
        <f t="shared" si="58"/>
        <v>5622.3505900000018</v>
      </c>
      <c r="AE84" s="226">
        <f t="shared" si="58"/>
        <v>-7976.9387583518655</v>
      </c>
      <c r="AF84" s="226">
        <f t="shared" si="58"/>
        <v>-1055.2510157049037</v>
      </c>
      <c r="AG84" s="226">
        <f t="shared" si="58"/>
        <v>-912.97213181728512</v>
      </c>
      <c r="AH84" s="226">
        <f t="shared" si="58"/>
        <v>-1193.7708807322451</v>
      </c>
      <c r="AI84" s="226">
        <f t="shared" si="58"/>
        <v>-1161.3707875918335</v>
      </c>
      <c r="AJ84" s="287"/>
      <c r="AK84" s="226">
        <f t="shared" si="59"/>
        <v>-164.63538243505405</v>
      </c>
      <c r="AL84" s="226">
        <f t="shared" si="59"/>
        <v>129.52153705152779</v>
      </c>
      <c r="AM84" s="226">
        <f t="shared" si="59"/>
        <v>-79.090124735483641</v>
      </c>
      <c r="AN84" s="226">
        <f t="shared" si="59"/>
        <v>105.15176328638034</v>
      </c>
      <c r="AO84" s="226">
        <f t="shared" si="59"/>
        <v>-162.70616188127525</v>
      </c>
      <c r="AP84" s="226">
        <f t="shared" si="59"/>
        <v>-43.643964128885841</v>
      </c>
      <c r="AQ84" s="226">
        <f t="shared" si="60"/>
        <v>-24.679630479287425</v>
      </c>
      <c r="AR84" s="226">
        <f t="shared" si="60"/>
        <v>-30.985036627729869</v>
      </c>
      <c r="AS84" s="226">
        <f t="shared" si="60"/>
        <v>-30.69324169365882</v>
      </c>
      <c r="AT84" s="288"/>
      <c r="AU84" s="235">
        <f t="shared" si="61"/>
        <v>67.890328491035206</v>
      </c>
      <c r="AV84" s="235">
        <f t="shared" si="61"/>
        <v>-26.994289316755637</v>
      </c>
      <c r="AW84" s="235">
        <f t="shared" si="61"/>
        <v>19.895301322529125</v>
      </c>
      <c r="AX84" s="235">
        <f t="shared" si="61"/>
        <v>-25.035314557599097</v>
      </c>
      <c r="AY84" s="235">
        <f t="shared" si="61"/>
        <v>47.382139184530516</v>
      </c>
      <c r="AZ84" s="235">
        <f t="shared" si="61"/>
        <v>4.252940720184184</v>
      </c>
      <c r="BA84" s="235">
        <f t="shared" si="61"/>
        <v>3.5294152454417693</v>
      </c>
      <c r="BB84" s="235">
        <f t="shared" si="61"/>
        <v>4.4576139752064092</v>
      </c>
      <c r="BC84" s="235">
        <f t="shared" si="61"/>
        <v>4.1515691076484895</v>
      </c>
      <c r="BD84" s="202">
        <f t="shared" si="62"/>
        <v>12.743672320238829</v>
      </c>
    </row>
    <row r="85" spans="2:56" x14ac:dyDescent="0.2">
      <c r="B85" s="8" t="s">
        <v>694</v>
      </c>
      <c r="C85" s="166">
        <f t="shared" ref="C85:J85" si="63">SUM(C78:C84)</f>
        <v>-2733057</v>
      </c>
      <c r="D85" s="166">
        <f t="shared" si="63"/>
        <v>-3320702</v>
      </c>
      <c r="E85" s="166">
        <f t="shared" si="63"/>
        <v>-2868294.1422199998</v>
      </c>
      <c r="F85" s="166">
        <f t="shared" si="63"/>
        <v>-2085561.6884999999</v>
      </c>
      <c r="G85" s="166">
        <f t="shared" si="63"/>
        <v>-3688419.6791199995</v>
      </c>
      <c r="H85" s="166">
        <f t="shared" si="63"/>
        <v>-3801518.0807215963</v>
      </c>
      <c r="I85" s="166">
        <f t="shared" si="63"/>
        <v>-3964435.7244748073</v>
      </c>
      <c r="J85" s="166">
        <f t="shared" si="63"/>
        <v>-4104357.1233301624</v>
      </c>
      <c r="K85" s="166">
        <f t="shared" ref="K85:L85" si="64">SUM(K78:K84)</f>
        <v>-4287313.5200521061</v>
      </c>
      <c r="L85" s="166">
        <f t="shared" si="64"/>
        <v>-4465304.3036986254</v>
      </c>
      <c r="M85" s="167"/>
      <c r="N85" s="192">
        <f>C85/'1. Väestöennuste'!BJ9*1000</f>
        <v>-497.33468379417872</v>
      </c>
      <c r="O85" s="192">
        <f>D85/'1. Väestöennuste'!BK9*1000</f>
        <v>-603.36205117172847</v>
      </c>
      <c r="P85" s="192">
        <f>E85/'1. Väestöennuste'!BL9*1000</f>
        <v>-519.81654282782006</v>
      </c>
      <c r="Q85" s="192">
        <f>F85/'1. Väestöennuste'!BM9*1000</f>
        <v>-376.88982628160886</v>
      </c>
      <c r="R85" s="192">
        <f>G85/'1. Väestöennuste'!BN9*1000</f>
        <v>-661.80056001191383</v>
      </c>
      <c r="S85" s="192">
        <f>H85/'1. Väestöennuste'!BO9*1000</f>
        <v>-686.37375039073311</v>
      </c>
      <c r="T85" s="192">
        <f>I85/'1. Väestöennuste'!BP9*1000</f>
        <v>-714.97064496552184</v>
      </c>
      <c r="U85" s="192">
        <f>J85/'1. Väestöennuste'!BQ9*1000</f>
        <v>-739.44546475619563</v>
      </c>
      <c r="V85" s="192">
        <f>K85/'1. Väestöennuste'!BR9*1000</f>
        <v>-771.69678620920229</v>
      </c>
      <c r="W85" s="192">
        <f>L85/'1. Väestöennuste'!BS9*1000</f>
        <v>-803.10766263550738</v>
      </c>
      <c r="X85" s="122"/>
      <c r="Z85" s="8" t="s">
        <v>694</v>
      </c>
      <c r="AA85" s="166">
        <f t="shared" si="58"/>
        <v>-587645</v>
      </c>
      <c r="AB85" s="166">
        <f t="shared" si="58"/>
        <v>452407.85778000019</v>
      </c>
      <c r="AC85" s="166">
        <f t="shared" si="58"/>
        <v>782732.45371999987</v>
      </c>
      <c r="AD85" s="166">
        <f t="shared" si="58"/>
        <v>-1602857.9906199996</v>
      </c>
      <c r="AE85" s="166">
        <f t="shared" si="58"/>
        <v>-113098.40160159674</v>
      </c>
      <c r="AF85" s="166">
        <f t="shared" si="58"/>
        <v>-162917.64375321101</v>
      </c>
      <c r="AG85" s="166">
        <f t="shared" si="58"/>
        <v>-139921.3988553551</v>
      </c>
      <c r="AH85" s="166">
        <f t="shared" si="58"/>
        <v>-182956.39672194375</v>
      </c>
      <c r="AI85" s="166">
        <f t="shared" si="58"/>
        <v>-177990.7836465193</v>
      </c>
      <c r="AJ85" s="151"/>
      <c r="AK85" s="192">
        <f>O85-N85</f>
        <v>-106.02736737754975</v>
      </c>
      <c r="AL85" s="192">
        <f t="shared" si="59"/>
        <v>83.545508343908409</v>
      </c>
      <c r="AM85" s="192">
        <f t="shared" si="59"/>
        <v>142.9267165462112</v>
      </c>
      <c r="AN85" s="192">
        <f t="shared" si="59"/>
        <v>-284.91073373030497</v>
      </c>
      <c r="AO85" s="192">
        <f t="shared" si="59"/>
        <v>-24.573190378819277</v>
      </c>
      <c r="AP85" s="192">
        <f t="shared" si="59"/>
        <v>-28.596894574788735</v>
      </c>
      <c r="AQ85" s="192">
        <f t="shared" si="60"/>
        <v>-24.474819790673791</v>
      </c>
      <c r="AR85" s="192">
        <f t="shared" si="60"/>
        <v>-32.251321453006653</v>
      </c>
      <c r="AS85" s="192">
        <f t="shared" si="60"/>
        <v>-31.410876426305094</v>
      </c>
      <c r="AT85" s="199"/>
      <c r="AU85" s="69">
        <f t="shared" si="61"/>
        <v>21.501381054255365</v>
      </c>
      <c r="AV85" s="69">
        <f t="shared" si="61"/>
        <v>-13.623861996047825</v>
      </c>
      <c r="AW85" s="69">
        <f t="shared" si="61"/>
        <v>-27.289127784997014</v>
      </c>
      <c r="AX85" s="69">
        <f t="shared" si="61"/>
        <v>76.854978659145985</v>
      </c>
      <c r="AY85" s="69">
        <f t="shared" si="61"/>
        <v>3.0663105460000173</v>
      </c>
      <c r="AZ85" s="69">
        <f t="shared" si="61"/>
        <v>4.2855943413607545</v>
      </c>
      <c r="BA85" s="69">
        <f t="shared" si="61"/>
        <v>3.5294152454418137</v>
      </c>
      <c r="BB85" s="69">
        <f t="shared" si="61"/>
        <v>4.457613975206387</v>
      </c>
      <c r="BC85" s="69">
        <f t="shared" si="61"/>
        <v>4.1515691076484673</v>
      </c>
      <c r="BD85" s="418">
        <f t="shared" si="62"/>
        <v>12.77898536887394</v>
      </c>
    </row>
    <row r="88" spans="2:56" x14ac:dyDescent="0.2">
      <c r="BD88" s="4" t="s">
        <v>814</v>
      </c>
    </row>
    <row r="89" spans="2:56" x14ac:dyDescent="0.2">
      <c r="B89" s="190" t="s">
        <v>785</v>
      </c>
      <c r="C89" s="132">
        <v>2019</v>
      </c>
      <c r="D89" s="132">
        <v>2020</v>
      </c>
      <c r="E89" s="132">
        <v>2021</v>
      </c>
      <c r="F89" s="132">
        <v>2022</v>
      </c>
      <c r="G89" s="132">
        <v>2023</v>
      </c>
      <c r="H89" s="132">
        <v>2024</v>
      </c>
      <c r="I89" s="132">
        <v>2025</v>
      </c>
      <c r="J89" s="132">
        <v>2026</v>
      </c>
      <c r="K89" s="132">
        <v>2027</v>
      </c>
      <c r="L89" s="132">
        <v>2028</v>
      </c>
      <c r="M89" s="136" t="s">
        <v>319</v>
      </c>
      <c r="N89" s="132">
        <v>2019</v>
      </c>
      <c r="O89" s="132">
        <v>2020</v>
      </c>
      <c r="P89" s="132">
        <v>2021</v>
      </c>
      <c r="Q89" s="132">
        <v>2022</v>
      </c>
      <c r="R89" s="132">
        <v>2023</v>
      </c>
      <c r="S89" s="132">
        <v>2024</v>
      </c>
      <c r="T89" s="132">
        <v>2025</v>
      </c>
      <c r="U89" s="132">
        <v>2026</v>
      </c>
      <c r="V89" s="132">
        <v>2027</v>
      </c>
      <c r="W89" s="132">
        <v>2028</v>
      </c>
      <c r="X89" s="197"/>
      <c r="Z89" s="190" t="s">
        <v>787</v>
      </c>
      <c r="AA89" s="132">
        <v>2020</v>
      </c>
      <c r="AB89" s="132">
        <v>2021</v>
      </c>
      <c r="AC89" s="132">
        <v>2022</v>
      </c>
      <c r="AD89" s="132">
        <v>2023</v>
      </c>
      <c r="AE89" s="132">
        <v>2024</v>
      </c>
      <c r="AF89" s="132">
        <v>2025</v>
      </c>
      <c r="AG89" s="132">
        <v>2026</v>
      </c>
      <c r="AH89" s="132">
        <v>2027</v>
      </c>
      <c r="AI89" s="132">
        <v>2028</v>
      </c>
      <c r="AJ89" s="136" t="s">
        <v>319</v>
      </c>
      <c r="AK89" s="132">
        <v>2020</v>
      </c>
      <c r="AL89" s="132">
        <v>2021</v>
      </c>
      <c r="AM89" s="132">
        <v>2022</v>
      </c>
      <c r="AN89" s="132">
        <v>2023</v>
      </c>
      <c r="AO89" s="132">
        <v>2024</v>
      </c>
      <c r="AP89" s="132">
        <v>2025</v>
      </c>
      <c r="AQ89" s="132">
        <v>2026</v>
      </c>
      <c r="AR89" s="132">
        <v>2027</v>
      </c>
      <c r="AS89" s="132">
        <v>2028</v>
      </c>
      <c r="AT89" s="200" t="s">
        <v>731</v>
      </c>
      <c r="AU89" s="132">
        <v>2020</v>
      </c>
      <c r="AV89" s="132">
        <v>2021</v>
      </c>
      <c r="AW89" s="132">
        <v>2022</v>
      </c>
      <c r="AX89" s="132">
        <v>2023</v>
      </c>
      <c r="AY89" s="132">
        <v>2024</v>
      </c>
      <c r="AZ89" s="132">
        <v>2025</v>
      </c>
      <c r="BA89" s="132">
        <v>2026</v>
      </c>
      <c r="BB89" s="132">
        <v>2027</v>
      </c>
      <c r="BC89" s="132">
        <v>2028</v>
      </c>
      <c r="BD89" s="151" t="s">
        <v>731</v>
      </c>
    </row>
    <row r="90" spans="2:56" x14ac:dyDescent="0.2">
      <c r="B90" s="133" t="s">
        <v>774</v>
      </c>
      <c r="C90" s="43">
        <f>SUMIF('1. Väestöennuste'!$X$15:$X$307,'1. Väestöennuste'!$U2,Lainakanta!G$15:G$307)</f>
        <v>6840037</v>
      </c>
      <c r="D90" s="43">
        <f>SUMIF('1. Väestöennuste'!$X$15:$X$307,'1. Väestöennuste'!$U2,Lainakanta!H$15:H$307)</f>
        <v>7233236</v>
      </c>
      <c r="E90" s="43">
        <f>SUMIF('1. Väestöennuste'!$X$15:$X$307,'1. Väestöennuste'!$U2,Lainakanta!I$15:I$307)</f>
        <v>7188220.8331100009</v>
      </c>
      <c r="F90" s="43">
        <f>SUMIF('1. Väestöennuste'!$X$15:$X$307,'1. Väestöennuste'!$U2,Lainakanta!J$15:J$307)</f>
        <v>6877594.6470999997</v>
      </c>
      <c r="G90" s="43">
        <f>SUMIF('1. Väestöennuste'!$X$15:$X$307,'1. Väestöennuste'!$U2,Lainakanta!K$15:K$307)</f>
        <v>6877290.3432999998</v>
      </c>
      <c r="H90" s="43">
        <f>SUMIF('1. Väestöennuste'!$X$15:$X$307,'1. Väestöennuste'!$U2,Lainakanta!L$15:L$307)</f>
        <v>7153778.4631748963</v>
      </c>
      <c r="I90" s="43">
        <f>SUMIF('1. Väestöennuste'!$X$15:$X$307,'1. Väestöennuste'!$U2,Lainakanta!M$15:M$307)</f>
        <v>7912831.3771241643</v>
      </c>
      <c r="J90" s="43">
        <f>SUMIF('1. Väestöennuste'!$X$15:$X$307,'1. Väestöennuste'!$U2,Lainakanta!N$15:N$307)</f>
        <v>8689595.542024428</v>
      </c>
      <c r="K90" s="43">
        <f>SUMIF('1. Väestöennuste'!$X$15:$X$307,'1. Väestöennuste'!$U2,Lainakanta!O$15:O$307)</f>
        <v>9514642.4452476315</v>
      </c>
      <c r="L90" s="43">
        <f>SUMIF('1. Väestöennuste'!$X$15:$X$307,'1. Väestöennuste'!$U2,Lainakanta!P$15:P$307)</f>
        <v>10323741.594667643</v>
      </c>
      <c r="M90" s="136"/>
      <c r="N90" s="43">
        <f>C90/'1. Väestöennuste'!BJ2*1000</f>
        <v>3115.5697020684265</v>
      </c>
      <c r="O90" s="43">
        <f>D90/'1. Väestöennuste'!BK2*1000</f>
        <v>3268.0952501436777</v>
      </c>
      <c r="P90" s="43">
        <f>E90/'1. Väestöennuste'!BL2*1000</f>
        <v>3223.7802699362132</v>
      </c>
      <c r="Q90" s="43">
        <f>F90/'1. Väestöennuste'!BM2*1000</f>
        <v>3043.8110898530404</v>
      </c>
      <c r="R90" s="43">
        <f>G90/'1. Väestöennuste'!BN2*1000</f>
        <v>2990.1613381113602</v>
      </c>
      <c r="S90" s="43">
        <f>H90/'1. Väestöennuste'!BO2*1000</f>
        <v>3109.7935723327155</v>
      </c>
      <c r="T90" s="43">
        <f>I90/'1. Väestöennuste'!BP2*1000</f>
        <v>3411.9444216448419</v>
      </c>
      <c r="U90" s="43">
        <f>J90/'1. Väestöennuste'!BQ2*1000</f>
        <v>3718.1977848199022</v>
      </c>
      <c r="V90" s="43">
        <f>K90/'1. Väestöennuste'!BR2*1000</f>
        <v>4041.6706788595188</v>
      </c>
      <c r="W90" s="43">
        <f>L90/'1. Väestöennuste'!BS2*1000</f>
        <v>4355.1619683545277</v>
      </c>
      <c r="X90" s="159"/>
      <c r="Z90" s="133" t="s">
        <v>774</v>
      </c>
      <c r="AA90" s="41">
        <f t="shared" ref="AA90:AI97" si="65">D90-C90</f>
        <v>393199</v>
      </c>
      <c r="AB90" s="41">
        <f t="shared" si="65"/>
        <v>-45015.166889999062</v>
      </c>
      <c r="AC90" s="41">
        <f t="shared" si="65"/>
        <v>-310626.18601000123</v>
      </c>
      <c r="AD90" s="41">
        <f t="shared" si="65"/>
        <v>-304.30379999987781</v>
      </c>
      <c r="AE90" s="41">
        <f t="shared" si="65"/>
        <v>276488.11987489648</v>
      </c>
      <c r="AF90" s="41">
        <f t="shared" si="65"/>
        <v>759052.91394926794</v>
      </c>
      <c r="AG90" s="41">
        <f t="shared" si="65"/>
        <v>776764.16490026377</v>
      </c>
      <c r="AH90" s="41">
        <f t="shared" si="65"/>
        <v>825046.9032232035</v>
      </c>
      <c r="AI90" s="41">
        <f t="shared" si="65"/>
        <v>809099.14942001179</v>
      </c>
      <c r="AJ90" s="150"/>
      <c r="AK90" s="43">
        <f t="shared" ref="AK90:AP97" si="66">O90-N90</f>
        <v>152.52554807525121</v>
      </c>
      <c r="AL90" s="43">
        <f t="shared" si="66"/>
        <v>-44.314980207464487</v>
      </c>
      <c r="AM90" s="43">
        <f t="shared" si="66"/>
        <v>-179.96918008317289</v>
      </c>
      <c r="AN90" s="43">
        <f t="shared" si="66"/>
        <v>-53.64975174168012</v>
      </c>
      <c r="AO90" s="43">
        <f t="shared" si="66"/>
        <v>119.63223422135525</v>
      </c>
      <c r="AP90" s="43">
        <f t="shared" si="66"/>
        <v>302.15084931212641</v>
      </c>
      <c r="AQ90" s="43">
        <f t="shared" ref="AQ90:AS97" si="67">U90-T90</f>
        <v>306.25336317506026</v>
      </c>
      <c r="AR90" s="43">
        <f t="shared" si="67"/>
        <v>323.47289403961668</v>
      </c>
      <c r="AS90" s="43">
        <f t="shared" si="67"/>
        <v>313.49128949500891</v>
      </c>
      <c r="AT90" s="150"/>
      <c r="AU90" s="69">
        <f t="shared" ref="AU90:BC97" si="68">(D90/C90-1)*100</f>
        <v>5.7484922961674068</v>
      </c>
      <c r="AV90" s="69">
        <f t="shared" si="68"/>
        <v>-0.62233787049115197</v>
      </c>
      <c r="AW90" s="69">
        <f t="shared" si="68"/>
        <v>-4.3213222467959111</v>
      </c>
      <c r="AX90" s="69">
        <f t="shared" si="68"/>
        <v>-4.424567245009392E-3</v>
      </c>
      <c r="AY90" s="69">
        <f t="shared" si="68"/>
        <v>4.0203060518487099</v>
      </c>
      <c r="AZ90" s="69">
        <f t="shared" si="68"/>
        <v>10.610517474878511</v>
      </c>
      <c r="BA90" s="69">
        <f t="shared" si="68"/>
        <v>9.8165135572820805</v>
      </c>
      <c r="BB90" s="69">
        <f t="shared" si="68"/>
        <v>9.4946525328265317</v>
      </c>
      <c r="BC90" s="69">
        <f t="shared" si="68"/>
        <v>8.5037262732257535</v>
      </c>
      <c r="BD90" s="202">
        <f>(K90/H90-1)*100</f>
        <v>33.001636746589533</v>
      </c>
    </row>
    <row r="91" spans="2:56" x14ac:dyDescent="0.2">
      <c r="B91" s="134" t="s">
        <v>775</v>
      </c>
      <c r="C91" s="43">
        <f>SUMIF('1. Väestöennuste'!$X$15:$X$307,'1. Väestöennuste'!$U3,Lainakanta!G$15:G$307)</f>
        <v>3954291</v>
      </c>
      <c r="D91" s="43">
        <f>SUMIF('1. Väestöennuste'!$X$15:$X$307,'1. Väestöennuste'!$U3,Lainakanta!H$15:H$307)</f>
        <v>4053272</v>
      </c>
      <c r="E91" s="43">
        <f>SUMIF('1. Väestöennuste'!$X$15:$X$307,'1. Väestöennuste'!$U3,Lainakanta!I$15:I$307)</f>
        <v>4109008.7100400003</v>
      </c>
      <c r="F91" s="43">
        <f>SUMIF('1. Väestöennuste'!$X$15:$X$307,'1. Väestöennuste'!$U3,Lainakanta!J$15:J$307)</f>
        <v>4084103.0031399997</v>
      </c>
      <c r="G91" s="43">
        <f>SUMIF('1. Väestöennuste'!$X$15:$X$307,'1. Väestöennuste'!$U3,Lainakanta!K$15:K$307)</f>
        <v>3993628.44527</v>
      </c>
      <c r="H91" s="43">
        <f>SUMIF('1. Väestöennuste'!$X$15:$X$307,'1. Väestöennuste'!$U3,Lainakanta!L$15:L$307)</f>
        <v>4167395.8226402598</v>
      </c>
      <c r="I91" s="43">
        <f>SUMIF('1. Väestöennuste'!$X$15:$X$307,'1. Väestöennuste'!$U3,Lainakanta!M$15:M$307)</f>
        <v>4485486.797610566</v>
      </c>
      <c r="J91" s="43">
        <f>SUMIF('1. Väestöennuste'!$X$15:$X$307,'1. Väestöennuste'!$U3,Lainakanta!N$15:N$307)</f>
        <v>4784686.0149889756</v>
      </c>
      <c r="K91" s="43">
        <f>SUMIF('1. Väestöennuste'!$X$15:$X$307,'1. Väestöennuste'!$U3,Lainakanta!O$15:O$307)</f>
        <v>5088811.1460818127</v>
      </c>
      <c r="L91" s="43">
        <f>SUMIF('1. Väestöennuste'!$X$15:$X$307,'1. Väestöennuste'!$U3,Lainakanta!P$15:P$307)</f>
        <v>5335139.3042143304</v>
      </c>
      <c r="M91" s="136"/>
      <c r="N91" s="43">
        <f>C91/'1. Väestöennuste'!BJ3*1000</f>
        <v>3907.7265306606478</v>
      </c>
      <c r="O91" s="43">
        <f>D91/'1. Väestöennuste'!BK3*1000</f>
        <v>3851.4886577327252</v>
      </c>
      <c r="P91" s="43">
        <f>E91/'1. Väestöennuste'!BL3*1000</f>
        <v>3895.5039306110689</v>
      </c>
      <c r="Q91" s="43">
        <f>F91/'1. Väestöennuste'!BM3*1000</f>
        <v>3871.6574173359418</v>
      </c>
      <c r="R91" s="43">
        <f>G91/'1. Väestöennuste'!BN3*1000</f>
        <v>3768.1605582661455</v>
      </c>
      <c r="S91" s="43">
        <f>H91/'1. Väestöennuste'!BO3*1000</f>
        <v>3958.5430892513582</v>
      </c>
      <c r="T91" s="43">
        <f>I91/'1. Väestöennuste'!BP3*1000</f>
        <v>4262.0488848236846</v>
      </c>
      <c r="U91" s="43">
        <f>J91/'1. Väestöennuste'!BQ3*1000</f>
        <v>4548.1719758983118</v>
      </c>
      <c r="V91" s="43">
        <f>K91/'1. Väestöennuste'!BR3*1000</f>
        <v>4839.4948879398171</v>
      </c>
      <c r="W91" s="43">
        <f>L91/'1. Väestöennuste'!BS3*1000</f>
        <v>5076.5693223497674</v>
      </c>
      <c r="X91" s="159"/>
      <c r="Z91" s="134" t="s">
        <v>775</v>
      </c>
      <c r="AA91" s="41">
        <f t="shared" si="65"/>
        <v>98981</v>
      </c>
      <c r="AB91" s="41">
        <f t="shared" si="65"/>
        <v>55736.710040000267</v>
      </c>
      <c r="AC91" s="41">
        <f t="shared" si="65"/>
        <v>-24905.706900000572</v>
      </c>
      <c r="AD91" s="41">
        <f t="shared" si="65"/>
        <v>-90474.557869999669</v>
      </c>
      <c r="AE91" s="41">
        <f t="shared" si="65"/>
        <v>173767.37737025972</v>
      </c>
      <c r="AF91" s="41">
        <f t="shared" si="65"/>
        <v>318090.97497030627</v>
      </c>
      <c r="AG91" s="41">
        <f t="shared" si="65"/>
        <v>299199.21737840958</v>
      </c>
      <c r="AH91" s="41">
        <f t="shared" si="65"/>
        <v>304125.13109283708</v>
      </c>
      <c r="AI91" s="41">
        <f t="shared" si="65"/>
        <v>246328.15813251771</v>
      </c>
      <c r="AJ91" s="150"/>
      <c r="AK91" s="43">
        <f t="shared" si="66"/>
        <v>-56.237872927922581</v>
      </c>
      <c r="AL91" s="43">
        <f t="shared" si="66"/>
        <v>44.015272878343694</v>
      </c>
      <c r="AM91" s="43">
        <f t="shared" si="66"/>
        <v>-23.846513275127108</v>
      </c>
      <c r="AN91" s="43">
        <f t="shared" si="66"/>
        <v>-103.4968590697963</v>
      </c>
      <c r="AO91" s="43">
        <f t="shared" si="66"/>
        <v>190.38253098521272</v>
      </c>
      <c r="AP91" s="43">
        <f t="shared" si="66"/>
        <v>303.50579557232641</v>
      </c>
      <c r="AQ91" s="43">
        <f t="shared" si="67"/>
        <v>286.12309107462715</v>
      </c>
      <c r="AR91" s="43">
        <f t="shared" si="67"/>
        <v>291.32291204150533</v>
      </c>
      <c r="AS91" s="43">
        <f t="shared" si="67"/>
        <v>237.0744344099503</v>
      </c>
      <c r="AT91" s="150"/>
      <c r="AU91" s="69">
        <f t="shared" si="68"/>
        <v>2.5031288794881368</v>
      </c>
      <c r="AV91" s="69">
        <f t="shared" si="68"/>
        <v>1.3751041144043796</v>
      </c>
      <c r="AW91" s="69">
        <f t="shared" si="68"/>
        <v>-0.60612446109314932</v>
      </c>
      <c r="AX91" s="69">
        <f t="shared" si="68"/>
        <v>-2.2152858975505674</v>
      </c>
      <c r="AY91" s="69">
        <f t="shared" si="68"/>
        <v>4.3511152765367322</v>
      </c>
      <c r="AZ91" s="69">
        <f t="shared" si="68"/>
        <v>7.6328476705334714</v>
      </c>
      <c r="BA91" s="69">
        <f t="shared" si="68"/>
        <v>6.6703845285598362</v>
      </c>
      <c r="BB91" s="69">
        <f t="shared" si="68"/>
        <v>6.3562191989214201</v>
      </c>
      <c r="BC91" s="69">
        <f t="shared" si="68"/>
        <v>4.8405836070804176</v>
      </c>
      <c r="BD91" s="202">
        <f t="shared" ref="BD91:BD97" si="69">(K91/H91-1)*100</f>
        <v>22.110098552092627</v>
      </c>
    </row>
    <row r="92" spans="2:56" x14ac:dyDescent="0.2">
      <c r="B92" s="133" t="s">
        <v>776</v>
      </c>
      <c r="C92" s="43">
        <f>SUMIF('1. Väestöennuste'!$X$15:$X$307,'1. Väestöennuste'!$U4,Lainakanta!G$15:G$307)</f>
        <v>2666629</v>
      </c>
      <c r="D92" s="43">
        <f>SUMIF('1. Väestöennuste'!$X$15:$X$307,'1. Väestöennuste'!$U4,Lainakanta!H$15:H$307)</f>
        <v>2752949</v>
      </c>
      <c r="E92" s="43">
        <f>SUMIF('1. Väestöennuste'!$X$15:$X$307,'1. Väestöennuste'!$U4,Lainakanta!I$15:I$307)</f>
        <v>2850783.9158999994</v>
      </c>
      <c r="F92" s="43">
        <f>SUMIF('1. Väestöennuste'!$X$15:$X$307,'1. Väestöennuste'!$U4,Lainakanta!J$15:J$307)</f>
        <v>2860900.5310099996</v>
      </c>
      <c r="G92" s="43">
        <f>SUMIF('1. Väestöennuste'!$X$15:$X$307,'1. Väestöennuste'!$U4,Lainakanta!K$15:K$307)</f>
        <v>2914432.9739799998</v>
      </c>
      <c r="H92" s="43">
        <f>SUMIF('1. Väestöennuste'!$X$15:$X$307,'1. Väestöennuste'!$U4,Lainakanta!L$15:L$307)</f>
        <v>3146185.8998626731</v>
      </c>
      <c r="I92" s="43">
        <f>SUMIF('1. Väestöennuste'!$X$15:$X$307,'1. Väestöennuste'!$U4,Lainakanta!M$15:M$307)</f>
        <v>3464131.5289867064</v>
      </c>
      <c r="J92" s="43">
        <f>SUMIF('1. Väestöennuste'!$X$15:$X$307,'1. Väestöennuste'!$U4,Lainakanta!N$15:N$307)</f>
        <v>3803263.2584664472</v>
      </c>
      <c r="K92" s="43">
        <f>SUMIF('1. Väestöennuste'!$X$15:$X$307,'1. Väestöennuste'!$U4,Lainakanta!O$15:O$307)</f>
        <v>4160495.5203047781</v>
      </c>
      <c r="L92" s="43">
        <f>SUMIF('1. Väestöennuste'!$X$15:$X$307,'1. Väestöennuste'!$U4,Lainakanta!P$15:P$307)</f>
        <v>4482762.7718819901</v>
      </c>
      <c r="M92" s="136"/>
      <c r="N92" s="43">
        <f>C92/'1. Väestöennuste'!BJ4*1000</f>
        <v>3259.3120880222255</v>
      </c>
      <c r="O92" s="43">
        <f>D92/'1. Väestöennuste'!BK4*1000</f>
        <v>3628.8714831062557</v>
      </c>
      <c r="P92" s="43">
        <f>E92/'1. Väestöennuste'!BL4*1000</f>
        <v>3748.7871286269396</v>
      </c>
      <c r="Q92" s="43">
        <f>F92/'1. Väestöennuste'!BM4*1000</f>
        <v>3765.5467879993203</v>
      </c>
      <c r="R92" s="43">
        <f>G92/'1. Väestöennuste'!BN4*1000</f>
        <v>3823.7115901075831</v>
      </c>
      <c r="S92" s="43">
        <f>H92/'1. Väestöennuste'!BO4*1000</f>
        <v>4165.671519086246</v>
      </c>
      <c r="T92" s="43">
        <f>I92/'1. Väestöennuste'!BP4*1000</f>
        <v>4592.3594325876866</v>
      </c>
      <c r="U92" s="43">
        <f>J92/'1. Väestöennuste'!BQ4*1000</f>
        <v>5048.5080633368643</v>
      </c>
      <c r="V92" s="43">
        <f>K92/'1. Väestöennuste'!BR4*1000</f>
        <v>5530.3161080579848</v>
      </c>
      <c r="W92" s="43">
        <f>L92/'1. Väestöennuste'!BS4*1000</f>
        <v>5967.4770225758957</v>
      </c>
      <c r="X92" s="159"/>
      <c r="Z92" s="133" t="s">
        <v>776</v>
      </c>
      <c r="AA92" s="41">
        <f t="shared" si="65"/>
        <v>86320</v>
      </c>
      <c r="AB92" s="41">
        <f t="shared" si="65"/>
        <v>97834.91589999944</v>
      </c>
      <c r="AC92" s="41">
        <f t="shared" si="65"/>
        <v>10116.61511000013</v>
      </c>
      <c r="AD92" s="41">
        <f t="shared" si="65"/>
        <v>53532.442970000207</v>
      </c>
      <c r="AE92" s="41">
        <f t="shared" si="65"/>
        <v>231752.92588267336</v>
      </c>
      <c r="AF92" s="41">
        <f t="shared" si="65"/>
        <v>317945.62912403326</v>
      </c>
      <c r="AG92" s="41">
        <f t="shared" si="65"/>
        <v>339131.72947974084</v>
      </c>
      <c r="AH92" s="41">
        <f t="shared" si="65"/>
        <v>357232.26183833089</v>
      </c>
      <c r="AI92" s="41">
        <f t="shared" si="65"/>
        <v>322267.25157721201</v>
      </c>
      <c r="AJ92" s="150"/>
      <c r="AK92" s="43">
        <f t="shared" si="66"/>
        <v>369.55939508403026</v>
      </c>
      <c r="AL92" s="43">
        <f t="shared" si="66"/>
        <v>119.91564552068394</v>
      </c>
      <c r="AM92" s="43">
        <f t="shared" si="66"/>
        <v>16.759659372380611</v>
      </c>
      <c r="AN92" s="43">
        <f t="shared" si="66"/>
        <v>58.164802108262847</v>
      </c>
      <c r="AO92" s="43">
        <f t="shared" si="66"/>
        <v>341.9599289786629</v>
      </c>
      <c r="AP92" s="43">
        <f t="shared" si="66"/>
        <v>426.68791350144056</v>
      </c>
      <c r="AQ92" s="43">
        <f t="shared" si="67"/>
        <v>456.14863074917776</v>
      </c>
      <c r="AR92" s="43">
        <f t="shared" si="67"/>
        <v>481.8080447211205</v>
      </c>
      <c r="AS92" s="43">
        <f t="shared" si="67"/>
        <v>437.1609145179109</v>
      </c>
      <c r="AT92" s="150"/>
      <c r="AU92" s="69">
        <f t="shared" si="68"/>
        <v>3.2370457232708372</v>
      </c>
      <c r="AV92" s="69">
        <f t="shared" si="68"/>
        <v>3.5538223156331483</v>
      </c>
      <c r="AW92" s="69">
        <f t="shared" si="68"/>
        <v>0.35487134095206763</v>
      </c>
      <c r="AX92" s="69">
        <f t="shared" si="68"/>
        <v>1.8711745616371234</v>
      </c>
      <c r="AY92" s="69">
        <f t="shared" si="68"/>
        <v>7.9519044682708095</v>
      </c>
      <c r="AZ92" s="69">
        <f t="shared" si="68"/>
        <v>10.105748332859509</v>
      </c>
      <c r="BA92" s="69">
        <f t="shared" si="68"/>
        <v>9.7898052265625211</v>
      </c>
      <c r="BB92" s="69">
        <f t="shared" si="68"/>
        <v>9.3927829224836223</v>
      </c>
      <c r="BC92" s="69">
        <f t="shared" si="68"/>
        <v>7.7458862773539083</v>
      </c>
      <c r="BD92" s="202">
        <f t="shared" si="69"/>
        <v>32.239341625883533</v>
      </c>
    </row>
    <row r="93" spans="2:56" x14ac:dyDescent="0.2">
      <c r="B93" s="133" t="s">
        <v>777</v>
      </c>
      <c r="C93" s="43">
        <f>SUMIF('1. Väestöennuste'!$X$15:$X$307,'1. Väestöennuste'!$U5,Lainakanta!G$15:G$307)</f>
        <v>2107494</v>
      </c>
      <c r="D93" s="43">
        <f>SUMIF('1. Väestöennuste'!$X$15:$X$307,'1. Väestöennuste'!$U5,Lainakanta!H$15:H$307)</f>
        <v>2174720</v>
      </c>
      <c r="E93" s="43">
        <f>SUMIF('1. Väestöennuste'!$X$15:$X$307,'1. Väestöennuste'!$U5,Lainakanta!I$15:I$307)</f>
        <v>2220045.7752900003</v>
      </c>
      <c r="F93" s="43">
        <f>SUMIF('1. Väestöennuste'!$X$15:$X$307,'1. Väestöennuste'!$U5,Lainakanta!J$15:J$307)</f>
        <v>2231905.0427900003</v>
      </c>
      <c r="G93" s="43">
        <f>SUMIF('1. Väestöennuste'!$X$15:$X$307,'1. Väestöennuste'!$U5,Lainakanta!K$15:K$307)</f>
        <v>2328570.3683899995</v>
      </c>
      <c r="H93" s="43">
        <f>SUMIF('1. Väestöennuste'!$X$15:$X$307,'1. Väestöennuste'!$U5,Lainakanta!L$15:L$307)</f>
        <v>2466241.7840739498</v>
      </c>
      <c r="I93" s="43">
        <f>SUMIF('1. Väestöennuste'!$X$15:$X$307,'1. Väestöennuste'!$U5,Lainakanta!M$15:M$307)</f>
        <v>2693454.0804809541</v>
      </c>
      <c r="J93" s="43">
        <f>SUMIF('1. Väestöennuste'!$X$15:$X$307,'1. Väestöennuste'!$U5,Lainakanta!N$15:N$307)</f>
        <v>2921078.1562776985</v>
      </c>
      <c r="K93" s="43">
        <f>SUMIF('1. Väestöennuste'!$X$15:$X$307,'1. Väestöennuste'!$U5,Lainakanta!O$15:O$307)</f>
        <v>3160144.2468955126</v>
      </c>
      <c r="L93" s="43">
        <f>SUMIF('1. Väestöennuste'!$X$15:$X$307,'1. Väestöennuste'!$U5,Lainakanta!P$15:P$307)</f>
        <v>3359384.1835568314</v>
      </c>
      <c r="M93" s="136"/>
      <c r="N93" s="43">
        <f>C93/'1. Väestöennuste'!BJ5*1000</f>
        <v>3537.3576240974048</v>
      </c>
      <c r="O93" s="43">
        <f>D93/'1. Väestöennuste'!BK5*1000</f>
        <v>3602.6532194472243</v>
      </c>
      <c r="P93" s="43">
        <f>E93/'1. Väestöennuste'!BL5*1000</f>
        <v>3680.111686252083</v>
      </c>
      <c r="Q93" s="43">
        <f>F93/'1. Väestöennuste'!BM5*1000</f>
        <v>3714.1528938009951</v>
      </c>
      <c r="R93" s="43">
        <f>G93/'1. Väestöennuste'!BN5*1000</f>
        <v>3878.8883383501097</v>
      </c>
      <c r="S93" s="43">
        <f>H93/'1. Väestöennuste'!BO5*1000</f>
        <v>4160.9586206980648</v>
      </c>
      <c r="T93" s="43">
        <f>I93/'1. Väestöennuste'!BP5*1000</f>
        <v>4564.9365549961849</v>
      </c>
      <c r="U93" s="43">
        <f>J93/'1. Väestöennuste'!BQ5*1000</f>
        <v>4973.080633387186</v>
      </c>
      <c r="V93" s="43">
        <f>K93/'1. Väestöennuste'!BR5*1000</f>
        <v>5404.3763991659725</v>
      </c>
      <c r="W93" s="43">
        <f>L93/'1. Väestöennuste'!BS5*1000</f>
        <v>5771.552683760292</v>
      </c>
      <c r="X93" s="159"/>
      <c r="Z93" s="133" t="s">
        <v>777</v>
      </c>
      <c r="AA93" s="41">
        <f t="shared" si="65"/>
        <v>67226</v>
      </c>
      <c r="AB93" s="41">
        <f t="shared" si="65"/>
        <v>45325.775290000252</v>
      </c>
      <c r="AC93" s="41">
        <f t="shared" si="65"/>
        <v>11859.267500000075</v>
      </c>
      <c r="AD93" s="41">
        <f t="shared" si="65"/>
        <v>96665.325599999167</v>
      </c>
      <c r="AE93" s="41">
        <f t="shared" si="65"/>
        <v>137671.4156839503</v>
      </c>
      <c r="AF93" s="41">
        <f t="shared" si="65"/>
        <v>227212.29640700435</v>
      </c>
      <c r="AG93" s="41">
        <f t="shared" si="65"/>
        <v>227624.07579674432</v>
      </c>
      <c r="AH93" s="41">
        <f t="shared" si="65"/>
        <v>239066.0906178141</v>
      </c>
      <c r="AI93" s="41">
        <f t="shared" si="65"/>
        <v>199239.93666131888</v>
      </c>
      <c r="AJ93" s="150"/>
      <c r="AK93" s="43">
        <f t="shared" si="66"/>
        <v>65.29559534981945</v>
      </c>
      <c r="AL93" s="43">
        <f t="shared" si="66"/>
        <v>77.458466804858745</v>
      </c>
      <c r="AM93" s="43">
        <f t="shared" si="66"/>
        <v>34.041207548912098</v>
      </c>
      <c r="AN93" s="43">
        <f t="shared" si="66"/>
        <v>164.73544454911462</v>
      </c>
      <c r="AO93" s="43">
        <f t="shared" si="66"/>
        <v>282.07028234795507</v>
      </c>
      <c r="AP93" s="43">
        <f t="shared" si="66"/>
        <v>403.97793429812009</v>
      </c>
      <c r="AQ93" s="43">
        <f t="shared" si="67"/>
        <v>408.14407839100113</v>
      </c>
      <c r="AR93" s="43">
        <f t="shared" si="67"/>
        <v>431.29576577878652</v>
      </c>
      <c r="AS93" s="43">
        <f t="shared" si="67"/>
        <v>367.17628459431944</v>
      </c>
      <c r="AT93" s="150"/>
      <c r="AU93" s="69">
        <f t="shared" si="68"/>
        <v>3.1898548702866902</v>
      </c>
      <c r="AV93" s="69">
        <f t="shared" si="68"/>
        <v>2.084212003844188</v>
      </c>
      <c r="AW93" s="69">
        <f t="shared" si="68"/>
        <v>0.53419022400342797</v>
      </c>
      <c r="AX93" s="69">
        <f t="shared" si="68"/>
        <v>4.3310680224622145</v>
      </c>
      <c r="AY93" s="69">
        <f t="shared" si="68"/>
        <v>5.91227207701428</v>
      </c>
      <c r="AZ93" s="69">
        <f t="shared" si="68"/>
        <v>9.2128962324073314</v>
      </c>
      <c r="BA93" s="69">
        <f t="shared" si="68"/>
        <v>8.4510100783340203</v>
      </c>
      <c r="BB93" s="69">
        <f t="shared" si="68"/>
        <v>8.1841730288536141</v>
      </c>
      <c r="BC93" s="69">
        <f t="shared" si="68"/>
        <v>6.3047734880156137</v>
      </c>
      <c r="BD93" s="202">
        <f t="shared" si="69"/>
        <v>28.136027347461258</v>
      </c>
    </row>
    <row r="94" spans="2:56" x14ac:dyDescent="0.2">
      <c r="B94" s="133" t="s">
        <v>778</v>
      </c>
      <c r="C94" s="43">
        <f>SUMIF('1. Väestöennuste'!$X$15:$X$307,'1. Väestöennuste'!$U6,Lainakanta!G$15:G$307)</f>
        <v>1818926</v>
      </c>
      <c r="D94" s="43">
        <f>SUMIF('1. Väestöennuste'!$X$15:$X$307,'1. Väestöennuste'!$U6,Lainakanta!H$15:H$307)</f>
        <v>1775791</v>
      </c>
      <c r="E94" s="43">
        <f>SUMIF('1. Väestöennuste'!$X$15:$X$307,'1. Väestöennuste'!$U6,Lainakanta!I$15:I$307)</f>
        <v>1711240.2641699999</v>
      </c>
      <c r="F94" s="43">
        <f>SUMIF('1. Väestöennuste'!$X$15:$X$307,'1. Väestöennuste'!$U6,Lainakanta!J$15:J$307)</f>
        <v>1658945.1331199999</v>
      </c>
      <c r="G94" s="43">
        <f>SUMIF('1. Väestöennuste'!$X$15:$X$307,'1. Väestöennuste'!$U6,Lainakanta!K$15:K$307)</f>
        <v>1681582.4005100008</v>
      </c>
      <c r="H94" s="43">
        <f>SUMIF('1. Väestöennuste'!$X$15:$X$307,'1. Väestöennuste'!$U6,Lainakanta!L$15:L$307)</f>
        <v>1733675.6797735805</v>
      </c>
      <c r="I94" s="43">
        <f>SUMIF('1. Väestöennuste'!$X$15:$X$307,'1. Väestöennuste'!$U6,Lainakanta!M$15:M$307)</f>
        <v>1851066.4834949193</v>
      </c>
      <c r="J94" s="43">
        <f>SUMIF('1. Väestöennuste'!$X$15:$X$307,'1. Väestöennuste'!$U6,Lainakanta!N$15:N$307)</f>
        <v>1984014.3993734766</v>
      </c>
      <c r="K94" s="43">
        <f>SUMIF('1. Väestöennuste'!$X$15:$X$307,'1. Väestöennuste'!$U6,Lainakanta!O$15:O$307)</f>
        <v>2128788.9633122701</v>
      </c>
      <c r="L94" s="43">
        <f>SUMIF('1. Väestöennuste'!$X$15:$X$307,'1. Väestöennuste'!$U6,Lainakanta!P$15:P$307)</f>
        <v>2228559.9700712799</v>
      </c>
      <c r="M94" s="136"/>
      <c r="N94" s="43">
        <f>C94/'1. Väestöennuste'!BJ6*1000</f>
        <v>3414.4192341553426</v>
      </c>
      <c r="O94" s="43">
        <f>D94/'1. Väestöennuste'!BK6*1000</f>
        <v>3329.1732517439909</v>
      </c>
      <c r="P94" s="43">
        <f>E94/'1. Väestöennuste'!BL6*1000</f>
        <v>3223.4031498078657</v>
      </c>
      <c r="Q94" s="43">
        <f>F94/'1. Väestöennuste'!BM6*1000</f>
        <v>3158.1149163899972</v>
      </c>
      <c r="R94" s="43">
        <f>G94/'1. Väestöennuste'!BN6*1000</f>
        <v>3224.8385751763858</v>
      </c>
      <c r="S94" s="43">
        <f>H94/'1. Väestöennuste'!BO6*1000</f>
        <v>3376.4176786263952</v>
      </c>
      <c r="T94" s="43">
        <f>I94/'1. Väestöennuste'!BP6*1000</f>
        <v>3625.9659267328875</v>
      </c>
      <c r="U94" s="43">
        <f>J94/'1. Väestöennuste'!BQ6*1000</f>
        <v>3920.0474183463934</v>
      </c>
      <c r="V94" s="43">
        <f>K94/'1. Väestöennuste'!BR6*1000</f>
        <v>4241.4181235737242</v>
      </c>
      <c r="W94" s="43">
        <f>L94/'1. Väestöennuste'!BS6*1000</f>
        <v>4476.9528412292057</v>
      </c>
      <c r="X94" s="159"/>
      <c r="Z94" s="133" t="s">
        <v>778</v>
      </c>
      <c r="AA94" s="41">
        <f t="shared" si="65"/>
        <v>-43135</v>
      </c>
      <c r="AB94" s="41">
        <f t="shared" si="65"/>
        <v>-64550.735830000136</v>
      </c>
      <c r="AC94" s="41">
        <f t="shared" si="65"/>
        <v>-52295.131049999967</v>
      </c>
      <c r="AD94" s="41">
        <f t="shared" si="65"/>
        <v>22637.267390000867</v>
      </c>
      <c r="AE94" s="41">
        <f t="shared" si="65"/>
        <v>52093.279263579752</v>
      </c>
      <c r="AF94" s="41">
        <f t="shared" si="65"/>
        <v>117390.80372133874</v>
      </c>
      <c r="AG94" s="41">
        <f t="shared" si="65"/>
        <v>132947.91587855737</v>
      </c>
      <c r="AH94" s="41">
        <f t="shared" si="65"/>
        <v>144774.56393879349</v>
      </c>
      <c r="AI94" s="41">
        <f t="shared" si="65"/>
        <v>99771.00675900979</v>
      </c>
      <c r="AJ94" s="150"/>
      <c r="AK94" s="43">
        <f t="shared" si="66"/>
        <v>-85.245982411351633</v>
      </c>
      <c r="AL94" s="43">
        <f t="shared" si="66"/>
        <v>-105.77010193612523</v>
      </c>
      <c r="AM94" s="43">
        <f t="shared" si="66"/>
        <v>-65.288233417868469</v>
      </c>
      <c r="AN94" s="43">
        <f t="shared" si="66"/>
        <v>66.723658786388569</v>
      </c>
      <c r="AO94" s="43">
        <f t="shared" si="66"/>
        <v>151.57910345000937</v>
      </c>
      <c r="AP94" s="43">
        <f t="shared" si="66"/>
        <v>249.54824810649234</v>
      </c>
      <c r="AQ94" s="43">
        <f t="shared" si="67"/>
        <v>294.08149161350593</v>
      </c>
      <c r="AR94" s="43">
        <f t="shared" si="67"/>
        <v>321.37070522733075</v>
      </c>
      <c r="AS94" s="43">
        <f t="shared" si="67"/>
        <v>235.53471765548147</v>
      </c>
      <c r="AT94" s="132"/>
      <c r="AU94" s="69">
        <f t="shared" si="68"/>
        <v>-2.3714543637289309</v>
      </c>
      <c r="AV94" s="69">
        <f t="shared" si="68"/>
        <v>-3.6350412762538031</v>
      </c>
      <c r="AW94" s="69">
        <f t="shared" si="68"/>
        <v>-3.0559782950972503</v>
      </c>
      <c r="AX94" s="69">
        <f t="shared" si="68"/>
        <v>1.3645579313058098</v>
      </c>
      <c r="AY94" s="69">
        <f t="shared" si="68"/>
        <v>3.0978725305272237</v>
      </c>
      <c r="AZ94" s="69">
        <f t="shared" si="68"/>
        <v>6.7712090035588535</v>
      </c>
      <c r="BA94" s="69">
        <f t="shared" si="68"/>
        <v>7.1822334348328853</v>
      </c>
      <c r="BB94" s="69">
        <f t="shared" si="68"/>
        <v>7.2970520770671454</v>
      </c>
      <c r="BC94" s="69">
        <f t="shared" si="68"/>
        <v>4.6867495312345131</v>
      </c>
      <c r="BD94" s="202">
        <f t="shared" si="69"/>
        <v>22.790495831970816</v>
      </c>
    </row>
    <row r="95" spans="2:56" x14ac:dyDescent="0.2">
      <c r="B95" s="133" t="s">
        <v>779</v>
      </c>
      <c r="C95" s="43">
        <f>SUMIF('1. Väestöennuste'!$X$15:$X$307,'1. Väestöennuste'!$U7,Lainakanta!G$15:G$307)</f>
        <v>874973</v>
      </c>
      <c r="D95" s="43">
        <f>SUMIF('1. Väestöennuste'!$X$15:$X$307,'1. Väestöennuste'!$U7,Lainakanta!H$15:H$307)</f>
        <v>871025</v>
      </c>
      <c r="E95" s="43">
        <f>SUMIF('1. Väestöennuste'!$X$15:$X$307,'1. Väestöennuste'!$U7,Lainakanta!I$15:I$307)</f>
        <v>865614.14188000024</v>
      </c>
      <c r="F95" s="43">
        <f>SUMIF('1. Väestöennuste'!$X$15:$X$307,'1. Väestöennuste'!$U7,Lainakanta!J$15:J$307)</f>
        <v>818329.05454000004</v>
      </c>
      <c r="G95" s="43">
        <f>SUMIF('1. Väestöennuste'!$X$15:$X$307,'1. Väestöennuste'!$U7,Lainakanta!K$15:K$307)</f>
        <v>802752.55085999996</v>
      </c>
      <c r="H95" s="43">
        <f>SUMIF('1. Väestöennuste'!$X$15:$X$307,'1. Väestöennuste'!$U7,Lainakanta!L$15:L$307)</f>
        <v>838028.05779500585</v>
      </c>
      <c r="I95" s="43">
        <f>SUMIF('1. Väestöennuste'!$X$15:$X$307,'1. Väestöennuste'!$U7,Lainakanta!M$15:M$307)</f>
        <v>934279.19954156294</v>
      </c>
      <c r="J95" s="43">
        <f>SUMIF('1. Väestöennuste'!$X$15:$X$307,'1. Väestöennuste'!$U7,Lainakanta!N$15:N$307)</f>
        <v>1049296.4052580632</v>
      </c>
      <c r="K95" s="43">
        <f>SUMIF('1. Väestöennuste'!$X$15:$X$307,'1. Väestöennuste'!$U7,Lainakanta!O$15:O$307)</f>
        <v>1183349.6692789583</v>
      </c>
      <c r="L95" s="43">
        <f>SUMIF('1. Väestöennuste'!$X$15:$X$307,'1. Väestöennuste'!$U7,Lainakanta!P$15:P$307)</f>
        <v>1301569.5474992145</v>
      </c>
      <c r="M95" s="136"/>
      <c r="N95" s="43">
        <f>C95/'1. Väestöennuste'!BJ7*1000</f>
        <v>2965.8191506309763</v>
      </c>
      <c r="O95" s="43">
        <f>D95/'1. Väestöennuste'!BK7*1000</f>
        <v>2999.4800132235046</v>
      </c>
      <c r="P95" s="43">
        <f>E95/'1. Väestöennuste'!BL7*1000</f>
        <v>3012.0994988499515</v>
      </c>
      <c r="Q95" s="43">
        <f>F95/'1. Väestöennuste'!BM7*1000</f>
        <v>2895.5100648927892</v>
      </c>
      <c r="R95" s="43">
        <f>G95/'1. Väestöennuste'!BN7*1000</f>
        <v>2868.9201631821588</v>
      </c>
      <c r="S95" s="43">
        <f>H95/'1. Väestöennuste'!BO7*1000</f>
        <v>3053.4705932753236</v>
      </c>
      <c r="T95" s="43">
        <f>I95/'1. Väestöennuste'!BP7*1000</f>
        <v>3447.7537236479284</v>
      </c>
      <c r="U95" s="43">
        <f>J95/'1. Väestöennuste'!BQ7*1000</f>
        <v>3919.9363620193485</v>
      </c>
      <c r="V95" s="43">
        <f>K95/'1. Väestöennuste'!BR7*1000</f>
        <v>4473.6580884976593</v>
      </c>
      <c r="W95" s="43">
        <f>L95/'1. Väestöennuste'!BS7*1000</f>
        <v>4978.4636914749644</v>
      </c>
      <c r="X95" s="159"/>
      <c r="Z95" s="133" t="s">
        <v>779</v>
      </c>
      <c r="AA95" s="41">
        <f t="shared" si="65"/>
        <v>-3948</v>
      </c>
      <c r="AB95" s="41">
        <f t="shared" si="65"/>
        <v>-5410.858119999757</v>
      </c>
      <c r="AC95" s="41">
        <f t="shared" si="65"/>
        <v>-47285.087340000202</v>
      </c>
      <c r="AD95" s="41">
        <f t="shared" si="65"/>
        <v>-15576.503680000082</v>
      </c>
      <c r="AE95" s="41">
        <f t="shared" si="65"/>
        <v>35275.506935005891</v>
      </c>
      <c r="AF95" s="41">
        <f t="shared" si="65"/>
        <v>96251.141746557085</v>
      </c>
      <c r="AG95" s="41">
        <f t="shared" si="65"/>
        <v>115017.20571650029</v>
      </c>
      <c r="AH95" s="41">
        <f t="shared" si="65"/>
        <v>134053.26402089512</v>
      </c>
      <c r="AI95" s="41">
        <f t="shared" si="65"/>
        <v>118219.87822025619</v>
      </c>
      <c r="AJ95" s="150"/>
      <c r="AK95" s="43">
        <f t="shared" si="66"/>
        <v>33.660862592528247</v>
      </c>
      <c r="AL95" s="43">
        <f t="shared" si="66"/>
        <v>12.619485626446931</v>
      </c>
      <c r="AM95" s="43">
        <f t="shared" si="66"/>
        <v>-116.58943395716233</v>
      </c>
      <c r="AN95" s="43">
        <f t="shared" si="66"/>
        <v>-26.589901710630329</v>
      </c>
      <c r="AO95" s="43">
        <f t="shared" si="66"/>
        <v>184.55043009316478</v>
      </c>
      <c r="AP95" s="43">
        <f t="shared" si="66"/>
        <v>394.28313037260477</v>
      </c>
      <c r="AQ95" s="43">
        <f t="shared" si="67"/>
        <v>472.18263837142013</v>
      </c>
      <c r="AR95" s="43">
        <f t="shared" si="67"/>
        <v>553.72172647831076</v>
      </c>
      <c r="AS95" s="43">
        <f t="shared" si="67"/>
        <v>504.80560297730517</v>
      </c>
      <c r="AT95" s="199"/>
      <c r="AU95" s="69">
        <f t="shared" si="68"/>
        <v>-0.45121392317248876</v>
      </c>
      <c r="AV95" s="69">
        <f t="shared" si="68"/>
        <v>-0.62120583450530065</v>
      </c>
      <c r="AW95" s="69">
        <f t="shared" si="68"/>
        <v>-5.4626056867905559</v>
      </c>
      <c r="AX95" s="69">
        <f t="shared" si="68"/>
        <v>-1.903452357408475</v>
      </c>
      <c r="AY95" s="69">
        <f t="shared" si="68"/>
        <v>4.3943188840963154</v>
      </c>
      <c r="AZ95" s="69">
        <f t="shared" si="68"/>
        <v>11.485431883964626</v>
      </c>
      <c r="BA95" s="69">
        <f t="shared" si="68"/>
        <v>12.310795934763142</v>
      </c>
      <c r="BB95" s="69">
        <f t="shared" si="68"/>
        <v>12.775538289195421</v>
      </c>
      <c r="BC95" s="69">
        <f t="shared" si="68"/>
        <v>9.9902743279837392</v>
      </c>
      <c r="BD95" s="202">
        <f t="shared" si="69"/>
        <v>41.206449864286434</v>
      </c>
    </row>
    <row r="96" spans="2:56" x14ac:dyDescent="0.2">
      <c r="B96" s="193" t="s">
        <v>780</v>
      </c>
      <c r="C96" s="226">
        <f>SUMIF('1. Väestöennuste'!$X$15:$X$307,'1. Väestöennuste'!$U8,Lainakanta!G$15:G$307)</f>
        <v>153327</v>
      </c>
      <c r="D96" s="226">
        <f>SUMIF('1. Väestöennuste'!$X$15:$X$307,'1. Väestöennuste'!$U8,Lainakanta!H$15:H$307)</f>
        <v>172392</v>
      </c>
      <c r="E96" s="226">
        <f>SUMIF('1. Väestöennuste'!$X$15:$X$307,'1. Väestöennuste'!$U8,Lainakanta!I$15:I$307)</f>
        <v>178798.35138000001</v>
      </c>
      <c r="F96" s="226">
        <f>SUMIF('1. Väestöennuste'!$X$15:$X$307,'1. Väestöennuste'!$U8,Lainakanta!J$15:J$307)</f>
        <v>171517.83694000004</v>
      </c>
      <c r="G96" s="226">
        <f>SUMIF('1. Väestöennuste'!$X$15:$X$307,'1. Väestöennuste'!$U8,Lainakanta!K$15:K$307)</f>
        <v>170432.19172000003</v>
      </c>
      <c r="H96" s="226">
        <f>SUMIF('1. Väestöennuste'!$X$15:$X$307,'1. Väestöennuste'!$U8,Lainakanta!L$15:L$307)</f>
        <v>180232.39929724153</v>
      </c>
      <c r="I96" s="226">
        <f>SUMIF('1. Väestöennuste'!$X$15:$X$307,'1. Väestöennuste'!$U8,Lainakanta!M$15:M$307)</f>
        <v>200922.95377065786</v>
      </c>
      <c r="J96" s="226">
        <f>SUMIF('1. Väestöennuste'!$X$15:$X$307,'1. Väestöennuste'!$U8,Lainakanta!N$15:N$307)</f>
        <v>225189.22590432747</v>
      </c>
      <c r="K96" s="226">
        <f>SUMIF('1. Väestöennuste'!$X$15:$X$307,'1. Väestöennuste'!$U8,Lainakanta!O$15:O$307)</f>
        <v>251902.35509505801</v>
      </c>
      <c r="L96" s="226">
        <f>SUMIF('1. Väestöennuste'!$X$15:$X$307,'1. Väestöennuste'!$U8,Lainakanta!P$15:P$307)</f>
        <v>276490.60464223172</v>
      </c>
      <c r="M96" s="194"/>
      <c r="N96" s="226">
        <f>C96/'1. Väestöennuste'!BJ8*1000</f>
        <v>3306.0287205140366</v>
      </c>
      <c r="O96" s="226">
        <f>D96/'1. Väestöennuste'!BK8*1000</f>
        <v>3320.2110858595588</v>
      </c>
      <c r="P96" s="226">
        <f>E96/'1. Väestöennuste'!BL8*1000</f>
        <v>3480.5308711140528</v>
      </c>
      <c r="Q96" s="226">
        <f>F96/'1. Väestöennuste'!BM8*1000</f>
        <v>3388.8099290696073</v>
      </c>
      <c r="R96" s="226">
        <f>G96/'1. Väestöennuste'!BN8*1000</f>
        <v>3427.4261295901547</v>
      </c>
      <c r="S96" s="226">
        <f>H96/'1. Väestöennuste'!BO8*1000</f>
        <v>3641.1321298862913</v>
      </c>
      <c r="T96" s="226">
        <f>I96/'1. Väestöennuste'!BP8*1000</f>
        <v>4232.5409991501729</v>
      </c>
      <c r="U96" s="226">
        <f>J96/'1. Väestöennuste'!BQ8*1000</f>
        <v>4789.527743248771</v>
      </c>
      <c r="V96" s="226">
        <f>K96/'1. Väestöennuste'!BR8*1000</f>
        <v>5408.0670494226588</v>
      </c>
      <c r="W96" s="226">
        <f>L96/'1. Väestöennuste'!BS8*1000</f>
        <v>5990.6097985490251</v>
      </c>
      <c r="X96" s="159"/>
      <c r="Z96" s="193" t="s">
        <v>780</v>
      </c>
      <c r="AA96" s="226">
        <f t="shared" si="65"/>
        <v>19065</v>
      </c>
      <c r="AB96" s="226">
        <f t="shared" si="65"/>
        <v>6406.3513800000073</v>
      </c>
      <c r="AC96" s="226">
        <f t="shared" si="65"/>
        <v>-7280.5144399999699</v>
      </c>
      <c r="AD96" s="226">
        <f t="shared" si="65"/>
        <v>-1085.6452200000058</v>
      </c>
      <c r="AE96" s="226">
        <f t="shared" si="65"/>
        <v>9800.2075772414973</v>
      </c>
      <c r="AF96" s="226">
        <f t="shared" si="65"/>
        <v>20690.554473416327</v>
      </c>
      <c r="AG96" s="226">
        <f t="shared" si="65"/>
        <v>24266.272133669612</v>
      </c>
      <c r="AH96" s="226">
        <f t="shared" si="65"/>
        <v>26713.129190730542</v>
      </c>
      <c r="AI96" s="226">
        <f t="shared" si="65"/>
        <v>24588.249547173706</v>
      </c>
      <c r="AJ96" s="287"/>
      <c r="AK96" s="226">
        <f t="shared" si="66"/>
        <v>14.182365345522157</v>
      </c>
      <c r="AL96" s="226">
        <f t="shared" si="66"/>
        <v>160.31978525449404</v>
      </c>
      <c r="AM96" s="226">
        <f t="shared" si="66"/>
        <v>-91.720942044445565</v>
      </c>
      <c r="AN96" s="226">
        <f t="shared" si="66"/>
        <v>38.616200520547409</v>
      </c>
      <c r="AO96" s="226">
        <f t="shared" si="66"/>
        <v>213.70600029613661</v>
      </c>
      <c r="AP96" s="226">
        <f t="shared" si="66"/>
        <v>591.40886926388157</v>
      </c>
      <c r="AQ96" s="226">
        <f t="shared" si="67"/>
        <v>556.98674409859814</v>
      </c>
      <c r="AR96" s="226">
        <f t="shared" si="67"/>
        <v>618.53930617388778</v>
      </c>
      <c r="AS96" s="226">
        <f t="shared" si="67"/>
        <v>582.54274912636629</v>
      </c>
      <c r="AT96" s="288"/>
      <c r="AU96" s="235">
        <f t="shared" si="68"/>
        <v>12.434209239077276</v>
      </c>
      <c r="AV96" s="235">
        <f t="shared" si="68"/>
        <v>3.7161535222052011</v>
      </c>
      <c r="AW96" s="235">
        <f t="shared" si="68"/>
        <v>-4.071913629967816</v>
      </c>
      <c r="AX96" s="235">
        <f t="shared" si="68"/>
        <v>-0.63296345113061925</v>
      </c>
      <c r="AY96" s="235">
        <f t="shared" si="68"/>
        <v>5.7502092053959286</v>
      </c>
      <c r="AZ96" s="235">
        <f t="shared" si="68"/>
        <v>11.47993066401629</v>
      </c>
      <c r="BA96" s="235">
        <f t="shared" si="68"/>
        <v>12.077401649872321</v>
      </c>
      <c r="BB96" s="235">
        <f t="shared" si="68"/>
        <v>11.862525430981187</v>
      </c>
      <c r="BC96" s="235">
        <f t="shared" si="68"/>
        <v>9.761024083278258</v>
      </c>
      <c r="BD96" s="202">
        <f t="shared" si="69"/>
        <v>39.765300843394691</v>
      </c>
    </row>
    <row r="97" spans="2:56" x14ac:dyDescent="0.2">
      <c r="B97" s="8" t="s">
        <v>694</v>
      </c>
      <c r="C97" s="166">
        <f t="shared" ref="C97:J97" si="70">SUM(C90:C96)</f>
        <v>18415677</v>
      </c>
      <c r="D97" s="166">
        <f t="shared" si="70"/>
        <v>19033385</v>
      </c>
      <c r="E97" s="166">
        <f t="shared" si="70"/>
        <v>19123711.991770003</v>
      </c>
      <c r="F97" s="166">
        <f t="shared" si="70"/>
        <v>18703295.248640005</v>
      </c>
      <c r="G97" s="166">
        <f t="shared" si="70"/>
        <v>18768689.27403</v>
      </c>
      <c r="H97" s="166">
        <f t="shared" si="70"/>
        <v>19685538.106617607</v>
      </c>
      <c r="I97" s="166">
        <f t="shared" si="70"/>
        <v>21542172.421009529</v>
      </c>
      <c r="J97" s="166">
        <f t="shared" si="70"/>
        <v>23457123.002293415</v>
      </c>
      <c r="K97" s="166">
        <f t="shared" ref="K97:L97" si="71">SUM(K90:K96)</f>
        <v>25488134.346216016</v>
      </c>
      <c r="L97" s="166">
        <f t="shared" si="71"/>
        <v>27307647.976533517</v>
      </c>
      <c r="M97" s="167"/>
      <c r="N97" s="192">
        <f>C97/'1. Väestöennuste'!BJ9*1000</f>
        <v>3351.1027752625469</v>
      </c>
      <c r="O97" s="192">
        <f>D97/'1. Väestöennuste'!BK9*1000</f>
        <v>3458.3115902424274</v>
      </c>
      <c r="P97" s="192">
        <f>E97/'1. Väestöennuste'!BL9*1000</f>
        <v>3465.7609578014963</v>
      </c>
      <c r="Q97" s="192">
        <f>F97/'1. Väestöennuste'!BM9*1000</f>
        <v>3379.9439911190007</v>
      </c>
      <c r="R97" s="192">
        <f>G97/'1. Väestöennuste'!BN9*1000</f>
        <v>3367.6018872142408</v>
      </c>
      <c r="S97" s="192">
        <f>H97/'1. Väestöennuste'!BO9*1000</f>
        <v>3554.2739326216929</v>
      </c>
      <c r="T97" s="192">
        <f>I97/'1. Väestöennuste'!BP9*1000</f>
        <v>3885.0474519543532</v>
      </c>
      <c r="U97" s="192">
        <f>J97/'1. Väestöennuste'!BQ9*1000</f>
        <v>4226.0609150406071</v>
      </c>
      <c r="V97" s="192">
        <f>K97/'1. Väestöennuste'!BR9*1000</f>
        <v>4587.747378270632</v>
      </c>
      <c r="W97" s="192">
        <f>L97/'1. Väestöennuste'!BS9*1000</f>
        <v>4911.4192106328737</v>
      </c>
      <c r="X97" s="122"/>
      <c r="Z97" s="8" t="s">
        <v>694</v>
      </c>
      <c r="AA97" s="166">
        <f t="shared" si="65"/>
        <v>617708</v>
      </c>
      <c r="AB97" s="166">
        <f t="shared" si="65"/>
        <v>90326.991770002991</v>
      </c>
      <c r="AC97" s="166">
        <f t="shared" si="65"/>
        <v>-420416.74312999845</v>
      </c>
      <c r="AD97" s="166">
        <f t="shared" si="65"/>
        <v>65394.025389995426</v>
      </c>
      <c r="AE97" s="166">
        <f t="shared" si="65"/>
        <v>916848.8325876072</v>
      </c>
      <c r="AF97" s="166">
        <f t="shared" si="65"/>
        <v>1856634.3143919222</v>
      </c>
      <c r="AG97" s="166">
        <f t="shared" si="65"/>
        <v>1914950.581283886</v>
      </c>
      <c r="AH97" s="166">
        <f t="shared" si="65"/>
        <v>2031011.3439226002</v>
      </c>
      <c r="AI97" s="166">
        <f t="shared" si="65"/>
        <v>1819513.6303175017</v>
      </c>
      <c r="AJ97" s="151"/>
      <c r="AK97" s="192">
        <f t="shared" si="66"/>
        <v>107.20881497988057</v>
      </c>
      <c r="AL97" s="192">
        <f t="shared" si="66"/>
        <v>7.4493675590688326</v>
      </c>
      <c r="AM97" s="192">
        <f t="shared" si="66"/>
        <v>-85.816966682495604</v>
      </c>
      <c r="AN97" s="192">
        <f t="shared" si="66"/>
        <v>-12.342103904759824</v>
      </c>
      <c r="AO97" s="192">
        <f t="shared" si="66"/>
        <v>186.67204540745206</v>
      </c>
      <c r="AP97" s="192">
        <f t="shared" si="66"/>
        <v>330.77351933266027</v>
      </c>
      <c r="AQ97" s="192">
        <f t="shared" si="67"/>
        <v>341.01346308625398</v>
      </c>
      <c r="AR97" s="192">
        <f t="shared" si="67"/>
        <v>361.68646323002486</v>
      </c>
      <c r="AS97" s="192">
        <f t="shared" si="67"/>
        <v>323.67183236224173</v>
      </c>
      <c r="AT97" s="199"/>
      <c r="AU97" s="290">
        <f t="shared" si="68"/>
        <v>3.3542508374794</v>
      </c>
      <c r="AV97" s="290">
        <f t="shared" si="68"/>
        <v>0.47457134802875167</v>
      </c>
      <c r="AW97" s="290">
        <f t="shared" si="68"/>
        <v>-2.1984055360744104</v>
      </c>
      <c r="AX97" s="290">
        <f t="shared" si="68"/>
        <v>0.34963905836191689</v>
      </c>
      <c r="AY97" s="290">
        <f t="shared" si="68"/>
        <v>4.8849912703080367</v>
      </c>
      <c r="AZ97" s="290">
        <f t="shared" si="68"/>
        <v>9.4314633632889269</v>
      </c>
      <c r="BA97" s="290">
        <f t="shared" si="68"/>
        <v>8.8893104365662001</v>
      </c>
      <c r="BB97" s="290">
        <f t="shared" si="68"/>
        <v>8.6583991724987985</v>
      </c>
      <c r="BC97" s="290">
        <f t="shared" si="68"/>
        <v>7.1386693337467833</v>
      </c>
      <c r="BD97" s="418">
        <f t="shared" si="69"/>
        <v>29.476442087441711</v>
      </c>
    </row>
    <row r="99" spans="2:56" s="117" customFormat="1" x14ac:dyDescent="0.2"/>
    <row r="102" spans="2:56" ht="22.5" x14ac:dyDescent="0.2">
      <c r="B102" s="137" t="s">
        <v>748</v>
      </c>
      <c r="C102" s="132">
        <v>2021</v>
      </c>
      <c r="D102" s="132">
        <v>2022</v>
      </c>
      <c r="E102" s="132">
        <v>2023</v>
      </c>
      <c r="F102" s="132">
        <v>2024</v>
      </c>
      <c r="G102" s="132">
        <v>2025</v>
      </c>
      <c r="H102" s="132">
        <v>2026</v>
      </c>
      <c r="I102" s="132">
        <v>2027</v>
      </c>
      <c r="J102" s="132">
        <v>2028</v>
      </c>
      <c r="T102" s="4"/>
    </row>
    <row r="103" spans="2:56" x14ac:dyDescent="0.2">
      <c r="B103" s="349" t="s">
        <v>774</v>
      </c>
      <c r="C103" s="145">
        <f t="shared" ref="C103:J110" si="72">E5/E173*-1*1000</f>
        <v>-0.78342935612292042</v>
      </c>
      <c r="D103" s="145">
        <f t="shared" si="72"/>
        <v>-1.6004483755586925</v>
      </c>
      <c r="E103" s="145">
        <f t="shared" si="72"/>
        <v>-9.2590106271523753E-2</v>
      </c>
      <c r="F103" s="145">
        <f t="shared" si="72"/>
        <v>0.46081214970014611</v>
      </c>
      <c r="G103" s="145">
        <f t="shared" si="72"/>
        <v>1.2028387369800422</v>
      </c>
      <c r="H103" s="145">
        <f>J5/J173*-1*1000</f>
        <v>1.1729898733172019</v>
      </c>
      <c r="I103" s="145">
        <f t="shared" si="72"/>
        <v>1.1958989693036453</v>
      </c>
      <c r="J103" s="145">
        <f t="shared" si="72"/>
        <v>1.1221694473877959</v>
      </c>
      <c r="T103" s="4"/>
    </row>
    <row r="104" spans="2:56" x14ac:dyDescent="0.2">
      <c r="B104" s="134" t="s">
        <v>775</v>
      </c>
      <c r="C104" s="145">
        <f t="shared" si="72"/>
        <v>-0.65405704641807116</v>
      </c>
      <c r="D104" s="145">
        <f t="shared" si="72"/>
        <v>-0.19339793121656365</v>
      </c>
      <c r="E104" s="145">
        <f t="shared" si="72"/>
        <v>-0.7509529170929401</v>
      </c>
      <c r="F104" s="145">
        <f t="shared" si="72"/>
        <v>0.88293642248436133</v>
      </c>
      <c r="G104" s="145">
        <f t="shared" si="72"/>
        <v>1.444779585986818</v>
      </c>
      <c r="H104" s="145">
        <f t="shared" si="72"/>
        <v>1.3188047425096334</v>
      </c>
      <c r="I104" s="145">
        <f t="shared" si="72"/>
        <v>1.2988773496646129</v>
      </c>
      <c r="J104" s="145">
        <f t="shared" si="72"/>
        <v>1.0384220539801277</v>
      </c>
      <c r="T104" s="4"/>
    </row>
    <row r="105" spans="2:56" x14ac:dyDescent="0.2">
      <c r="B105" s="133" t="s">
        <v>776</v>
      </c>
      <c r="C105" s="145">
        <f t="shared" si="72"/>
        <v>-0.13030636857911129</v>
      </c>
      <c r="D105" s="145">
        <f t="shared" si="72"/>
        <v>0.86460282346213213</v>
      </c>
      <c r="E105" s="145">
        <f t="shared" si="72"/>
        <v>0.24308668229313246</v>
      </c>
      <c r="F105" s="145">
        <f t="shared" si="72"/>
        <v>1.0521542436069367</v>
      </c>
      <c r="G105" s="145">
        <f t="shared" si="72"/>
        <v>1.378734941187675</v>
      </c>
      <c r="H105" s="145">
        <f t="shared" si="72"/>
        <v>1.424246956495256</v>
      </c>
      <c r="I105" s="145">
        <f t="shared" si="72"/>
        <v>1.4493201047272974</v>
      </c>
      <c r="J105" s="145">
        <f t="shared" si="72"/>
        <v>1.2551972991871105</v>
      </c>
      <c r="T105" s="4"/>
    </row>
    <row r="106" spans="2:56" x14ac:dyDescent="0.2">
      <c r="B106" s="133" t="s">
        <v>777</v>
      </c>
      <c r="C106" s="145">
        <f t="shared" si="72"/>
        <v>0.58716346226005378</v>
      </c>
      <c r="D106" s="145">
        <f t="shared" si="72"/>
        <v>1.2237418340515751</v>
      </c>
      <c r="E106" s="145">
        <f t="shared" si="72"/>
        <v>1.773114094883994E-2</v>
      </c>
      <c r="F106" s="145">
        <f t="shared" si="72"/>
        <v>1.1520256743418453</v>
      </c>
      <c r="G106" s="145">
        <f t="shared" si="72"/>
        <v>1.850060864129021</v>
      </c>
      <c r="H106" s="145">
        <f t="shared" si="72"/>
        <v>1.7607247131078583</v>
      </c>
      <c r="I106" s="145">
        <f t="shared" si="72"/>
        <v>1.7932768899623177</v>
      </c>
      <c r="J106" s="145">
        <f t="shared" si="72"/>
        <v>1.4518674371751277</v>
      </c>
      <c r="T106" s="4"/>
    </row>
    <row r="107" spans="2:56" x14ac:dyDescent="0.2">
      <c r="B107" s="133" t="s">
        <v>778</v>
      </c>
      <c r="C107" s="145">
        <f t="shared" si="72"/>
        <v>-1.2661942086225568</v>
      </c>
      <c r="D107" s="145">
        <f t="shared" si="72"/>
        <v>-0.78507009361227387</v>
      </c>
      <c r="E107" s="145">
        <f t="shared" si="72"/>
        <v>-0.3626304498652968</v>
      </c>
      <c r="F107" s="145">
        <f t="shared" si="72"/>
        <v>0.54792134792436376</v>
      </c>
      <c r="G107" s="145">
        <f t="shared" si="72"/>
        <v>1.1147128862225648</v>
      </c>
      <c r="H107" s="145">
        <f t="shared" si="72"/>
        <v>1.1967702550709378</v>
      </c>
      <c r="I107" s="145">
        <f t="shared" si="72"/>
        <v>1.2487737662122715</v>
      </c>
      <c r="J107" s="145">
        <f t="shared" si="72"/>
        <v>0.79351831754710522</v>
      </c>
      <c r="T107" s="4"/>
    </row>
    <row r="108" spans="2:56" x14ac:dyDescent="0.2">
      <c r="B108" s="133" t="s">
        <v>779</v>
      </c>
      <c r="C108" s="145">
        <f t="shared" si="72"/>
        <v>-1.1885826400716109</v>
      </c>
      <c r="D108" s="145">
        <f t="shared" si="72"/>
        <v>-0.30330745949221499</v>
      </c>
      <c r="E108" s="145">
        <f t="shared" si="72"/>
        <v>-0.93086123984552904</v>
      </c>
      <c r="F108" s="145">
        <f t="shared" si="72"/>
        <v>0.67693252864233588</v>
      </c>
      <c r="G108" s="145">
        <f t="shared" si="72"/>
        <v>1.8416933566436378</v>
      </c>
      <c r="H108" s="145">
        <f t="shared" si="72"/>
        <v>2.1378163939763324</v>
      </c>
      <c r="I108" s="145">
        <f t="shared" si="72"/>
        <v>2.4425374737477985</v>
      </c>
      <c r="J108" s="145">
        <f t="shared" si="72"/>
        <v>2.0909661863036204</v>
      </c>
      <c r="T108" s="4"/>
      <c r="Y108" s="257"/>
      <c r="AX108" s="7"/>
    </row>
    <row r="109" spans="2:56" x14ac:dyDescent="0.2">
      <c r="B109" s="193" t="s">
        <v>780</v>
      </c>
      <c r="C109" s="195">
        <f t="shared" si="72"/>
        <v>-1.4986371628823527</v>
      </c>
      <c r="D109" s="195">
        <f t="shared" si="72"/>
        <v>-0.38774146877442844</v>
      </c>
      <c r="E109" s="195">
        <f t="shared" si="72"/>
        <v>-0.24285612464662779</v>
      </c>
      <c r="F109" s="195">
        <f t="shared" si="72"/>
        <v>1.3258778855127495</v>
      </c>
      <c r="G109" s="195">
        <f t="shared" si="72"/>
        <v>2.9005633089965652</v>
      </c>
      <c r="H109" s="195">
        <f t="shared" si="72"/>
        <v>3.2888881648595194</v>
      </c>
      <c r="I109" s="195">
        <f t="shared" si="72"/>
        <v>3.5499763990684916</v>
      </c>
      <c r="J109" s="195">
        <f t="shared" si="72"/>
        <v>3.1226378660001077</v>
      </c>
      <c r="T109" s="4"/>
    </row>
    <row r="110" spans="2:56" x14ac:dyDescent="0.2">
      <c r="B110" s="13" t="s">
        <v>694</v>
      </c>
      <c r="C110" s="145">
        <f t="shared" si="72"/>
        <v>-0.59122733374795611</v>
      </c>
      <c r="D110" s="145">
        <f t="shared" si="72"/>
        <v>-0.59583975500327768</v>
      </c>
      <c r="E110" s="145">
        <f t="shared" si="72"/>
        <v>-0.19952986060001038</v>
      </c>
      <c r="F110" s="145">
        <f t="shared" si="72"/>
        <v>0.70708009275055728</v>
      </c>
      <c r="G110" s="145">
        <f t="shared" si="72"/>
        <v>1.3593096707353773</v>
      </c>
      <c r="H110" s="145">
        <f t="shared" si="72"/>
        <v>1.3404505693721915</v>
      </c>
      <c r="I110" s="145">
        <f t="shared" si="72"/>
        <v>1.3699152550037117</v>
      </c>
      <c r="J110" s="145">
        <f t="shared" si="72"/>
        <v>1.1789201554887179</v>
      </c>
      <c r="T110" s="4"/>
    </row>
    <row r="111" spans="2:56" ht="12" thickBot="1" x14ac:dyDescent="0.25"/>
    <row r="112" spans="2:56" ht="12" thickBot="1" x14ac:dyDescent="0.25">
      <c r="B112" s="127"/>
      <c r="C112" s="128">
        <v>2021</v>
      </c>
      <c r="D112" s="128">
        <v>2022</v>
      </c>
      <c r="E112" s="128">
        <v>2023</v>
      </c>
      <c r="F112" s="128">
        <v>2024</v>
      </c>
      <c r="G112" s="128">
        <v>2025</v>
      </c>
      <c r="H112" s="128">
        <v>2026</v>
      </c>
      <c r="I112" s="128">
        <v>2027</v>
      </c>
      <c r="J112" s="128">
        <v>2028</v>
      </c>
      <c r="T112" s="4"/>
    </row>
    <row r="113" spans="2:20" ht="12" thickBot="1" x14ac:dyDescent="0.25">
      <c r="B113" s="129" t="s">
        <v>685</v>
      </c>
      <c r="C113" s="130">
        <f>Vuosikate!I7</f>
        <v>8</v>
      </c>
      <c r="D113" s="130">
        <f>Vuosikate!J7</f>
        <v>13</v>
      </c>
      <c r="E113" s="130">
        <f>Vuosikate!K7</f>
        <v>15</v>
      </c>
      <c r="F113" s="130">
        <f>Vuosikate!L7</f>
        <v>15</v>
      </c>
      <c r="G113" s="130">
        <f>Vuosikate!M7</f>
        <v>51</v>
      </c>
      <c r="H113" s="130">
        <f>Vuosikate!N7</f>
        <v>57</v>
      </c>
      <c r="I113" s="130">
        <f>Vuosikate!O7</f>
        <v>66</v>
      </c>
      <c r="J113" s="130">
        <f>Vuosikate!P7</f>
        <v>49</v>
      </c>
      <c r="T113" s="4"/>
    </row>
    <row r="114" spans="2:20" ht="12" thickBot="1" x14ac:dyDescent="0.25">
      <c r="B114" s="129" t="s">
        <v>686</v>
      </c>
      <c r="C114" s="130">
        <f>'Taseen kertynyt ali_ylijäämä'!I7</f>
        <v>14</v>
      </c>
      <c r="D114" s="130">
        <f>'Taseen kertynyt ali_ylijäämä'!J7</f>
        <v>21</v>
      </c>
      <c r="E114" s="130">
        <f>'Taseen kertynyt ali_ylijäämä'!K7</f>
        <v>18</v>
      </c>
      <c r="F114" s="130">
        <f>'Taseen kertynyt ali_ylijäämä'!L7</f>
        <v>27</v>
      </c>
      <c r="G114" s="130">
        <f>'Taseen kertynyt ali_ylijäämä'!M7</f>
        <v>43</v>
      </c>
      <c r="H114" s="130">
        <f>'Taseen kertynyt ali_ylijäämä'!N7</f>
        <v>65</v>
      </c>
      <c r="I114" s="130">
        <f>'Taseen kertynyt ali_ylijäämä'!O7</f>
        <v>85</v>
      </c>
      <c r="J114" s="130">
        <f>'Taseen kertynyt ali_ylijäämä'!P7</f>
        <v>101</v>
      </c>
      <c r="T114" s="4"/>
    </row>
    <row r="117" spans="2:20" ht="15.75" x14ac:dyDescent="0.25">
      <c r="B117" s="131" t="s">
        <v>816</v>
      </c>
    </row>
    <row r="118" spans="2:20" x14ac:dyDescent="0.2">
      <c r="B118" s="378" t="s">
        <v>705</v>
      </c>
      <c r="C118" s="379"/>
      <c r="D118" s="379"/>
      <c r="E118" s="379"/>
      <c r="F118" s="379"/>
      <c r="G118" s="379"/>
      <c r="H118" s="379"/>
      <c r="I118" s="380"/>
      <c r="T118" s="4"/>
    </row>
    <row r="119" spans="2:20" x14ac:dyDescent="0.2">
      <c r="B119" s="381"/>
      <c r="C119" s="286">
        <v>2022</v>
      </c>
      <c r="D119" s="286">
        <v>2023</v>
      </c>
      <c r="E119" s="286">
        <v>2024</v>
      </c>
      <c r="F119" s="286">
        <v>2025</v>
      </c>
      <c r="G119" s="286">
        <v>2026</v>
      </c>
      <c r="H119" s="286">
        <v>2027</v>
      </c>
      <c r="I119" s="390">
        <v>2028</v>
      </c>
      <c r="T119" s="4"/>
    </row>
    <row r="120" spans="2:20" x14ac:dyDescent="0.2">
      <c r="B120" s="381"/>
      <c r="C120" s="382" t="s">
        <v>695</v>
      </c>
      <c r="D120" s="382"/>
      <c r="E120" s="382"/>
      <c r="F120" s="382"/>
      <c r="G120" s="382"/>
      <c r="H120" s="382"/>
      <c r="I120" s="383"/>
      <c r="T120" s="4"/>
    </row>
    <row r="121" spans="2:20" x14ac:dyDescent="0.2">
      <c r="B121" s="384" t="s">
        <v>706</v>
      </c>
      <c r="C121" s="1">
        <f>Korotuspaine!J1</f>
        <v>37</v>
      </c>
      <c r="D121" s="1">
        <f>Korotuspaine!K1</f>
        <v>25</v>
      </c>
      <c r="E121" s="1">
        <f>Korotuspaine!L1</f>
        <v>25</v>
      </c>
      <c r="F121" s="1">
        <f>Korotuspaine!M1</f>
        <v>60</v>
      </c>
      <c r="G121" s="1">
        <f>Korotuspaine!N1</f>
        <v>58</v>
      </c>
      <c r="H121" s="1">
        <f>Korotuspaine!O1</f>
        <v>64</v>
      </c>
      <c r="I121" s="385">
        <f>Korotuspaine!P1</f>
        <v>57</v>
      </c>
      <c r="T121" s="4"/>
    </row>
    <row r="122" spans="2:20" x14ac:dyDescent="0.2">
      <c r="B122" s="384" t="s">
        <v>711</v>
      </c>
      <c r="C122" s="1">
        <f>Korotuspaine!J2</f>
        <v>23</v>
      </c>
      <c r="D122" s="1">
        <f>Korotuspaine!K2</f>
        <v>16</v>
      </c>
      <c r="E122" s="1">
        <f>Korotuspaine!L2</f>
        <v>34</v>
      </c>
      <c r="F122" s="1">
        <f>Korotuspaine!M2</f>
        <v>43</v>
      </c>
      <c r="G122" s="1">
        <f>Korotuspaine!N2</f>
        <v>52</v>
      </c>
      <c r="H122" s="1">
        <f>Korotuspaine!O2</f>
        <v>56</v>
      </c>
      <c r="I122" s="385">
        <f>Korotuspaine!P2</f>
        <v>34</v>
      </c>
      <c r="T122" s="4"/>
    </row>
    <row r="123" spans="2:20" x14ac:dyDescent="0.2">
      <c r="B123" s="384" t="s">
        <v>712</v>
      </c>
      <c r="C123" s="1">
        <f>Korotuspaine!J3</f>
        <v>26</v>
      </c>
      <c r="D123" s="1">
        <f>Korotuspaine!K3</f>
        <v>21</v>
      </c>
      <c r="E123" s="1">
        <f>Korotuspaine!L3</f>
        <v>74</v>
      </c>
      <c r="F123" s="1">
        <f>Korotuspaine!M3</f>
        <v>90</v>
      </c>
      <c r="G123" s="1">
        <f>Korotuspaine!N3</f>
        <v>92</v>
      </c>
      <c r="H123" s="1">
        <f>Korotuspaine!O3</f>
        <v>86</v>
      </c>
      <c r="I123" s="385">
        <f>Korotuspaine!P3</f>
        <v>87</v>
      </c>
      <c r="T123" s="4"/>
    </row>
    <row r="124" spans="2:20" x14ac:dyDescent="0.2">
      <c r="B124" s="384" t="s">
        <v>713</v>
      </c>
      <c r="C124" s="1">
        <f>Korotuspaine!J4</f>
        <v>53</v>
      </c>
      <c r="D124" s="1">
        <f>Korotuspaine!K4</f>
        <v>38</v>
      </c>
      <c r="E124" s="1">
        <f>Korotuspaine!L4</f>
        <v>79</v>
      </c>
      <c r="F124" s="1">
        <f>Korotuspaine!M4</f>
        <v>55</v>
      </c>
      <c r="G124" s="1">
        <f>Korotuspaine!N4</f>
        <v>52</v>
      </c>
      <c r="H124" s="1">
        <f>Korotuspaine!O4</f>
        <v>51</v>
      </c>
      <c r="I124" s="385">
        <f>Korotuspaine!P4</f>
        <v>65</v>
      </c>
      <c r="T124" s="4"/>
    </row>
    <row r="125" spans="2:20" x14ac:dyDescent="0.2">
      <c r="B125" s="386" t="s">
        <v>714</v>
      </c>
      <c r="C125" s="3">
        <f>Korotuspaine!J5</f>
        <v>139</v>
      </c>
      <c r="D125" s="3">
        <f>Korotuspaine!K5</f>
        <v>100</v>
      </c>
      <c r="E125" s="3">
        <f>Korotuspaine!L5</f>
        <v>212</v>
      </c>
      <c r="F125" s="3">
        <f>Korotuspaine!M5</f>
        <v>248</v>
      </c>
      <c r="G125" s="3">
        <f>Korotuspaine!N5</f>
        <v>254</v>
      </c>
      <c r="H125" s="3">
        <f>Korotuspaine!O5</f>
        <v>257</v>
      </c>
      <c r="I125" s="387">
        <f>Korotuspaine!P5</f>
        <v>243</v>
      </c>
      <c r="T125" s="4"/>
    </row>
    <row r="126" spans="2:20" x14ac:dyDescent="0.2">
      <c r="B126" s="384"/>
      <c r="C126" s="1"/>
      <c r="D126" s="1"/>
      <c r="E126" s="1"/>
      <c r="F126" s="1"/>
      <c r="G126" s="1"/>
      <c r="H126" s="1"/>
      <c r="I126" s="385"/>
      <c r="T126" s="4"/>
    </row>
    <row r="127" spans="2:20" x14ac:dyDescent="0.2">
      <c r="B127" s="384" t="s">
        <v>707</v>
      </c>
      <c r="C127" s="1">
        <f>Korotuspaine!J7</f>
        <v>47</v>
      </c>
      <c r="D127" s="1">
        <f>Korotuspaine!K7</f>
        <v>58</v>
      </c>
      <c r="E127" s="1">
        <f>Korotuspaine!L7</f>
        <v>48</v>
      </c>
      <c r="F127" s="1">
        <f>Korotuspaine!M7</f>
        <v>26</v>
      </c>
      <c r="G127" s="1">
        <f>Korotuspaine!N7</f>
        <v>26</v>
      </c>
      <c r="H127" s="1">
        <f>Korotuspaine!O7</f>
        <v>24</v>
      </c>
      <c r="I127" s="385">
        <f>Korotuspaine!P7</f>
        <v>28</v>
      </c>
      <c r="T127" s="4"/>
    </row>
    <row r="128" spans="2:20" x14ac:dyDescent="0.2">
      <c r="B128" s="384" t="s">
        <v>708</v>
      </c>
      <c r="C128" s="1">
        <f>Korotuspaine!J8</f>
        <v>39</v>
      </c>
      <c r="D128" s="1">
        <f>Korotuspaine!K8</f>
        <v>56</v>
      </c>
      <c r="E128" s="1">
        <f>Korotuspaine!L8</f>
        <v>16</v>
      </c>
      <c r="F128" s="1">
        <f>Korotuspaine!M8</f>
        <v>11</v>
      </c>
      <c r="G128" s="1">
        <f>Korotuspaine!N8</f>
        <v>7</v>
      </c>
      <c r="H128" s="1">
        <f>Korotuspaine!O8</f>
        <v>6</v>
      </c>
      <c r="I128" s="385">
        <f>Korotuspaine!P8</f>
        <v>14</v>
      </c>
      <c r="T128" s="4"/>
    </row>
    <row r="129" spans="2:48" x14ac:dyDescent="0.2">
      <c r="B129" s="384" t="s">
        <v>709</v>
      </c>
      <c r="C129" s="1">
        <f>Korotuspaine!J9</f>
        <v>21</v>
      </c>
      <c r="D129" s="1">
        <f>Korotuspaine!K9</f>
        <v>41</v>
      </c>
      <c r="E129" s="1">
        <f>Korotuspaine!L9</f>
        <v>13</v>
      </c>
      <c r="F129" s="1">
        <f>Korotuspaine!M9</f>
        <v>3</v>
      </c>
      <c r="G129" s="1">
        <f>Korotuspaine!N9</f>
        <v>2</v>
      </c>
      <c r="H129" s="1">
        <f>Korotuspaine!O9</f>
        <v>2</v>
      </c>
      <c r="I129" s="385">
        <f>Korotuspaine!P9</f>
        <v>4</v>
      </c>
      <c r="T129" s="4"/>
    </row>
    <row r="130" spans="2:48" x14ac:dyDescent="0.2">
      <c r="B130" s="384" t="s">
        <v>710</v>
      </c>
      <c r="C130" s="1">
        <f>Korotuspaine!J10</f>
        <v>47</v>
      </c>
      <c r="D130" s="1">
        <f>Korotuspaine!K10</f>
        <v>38</v>
      </c>
      <c r="E130" s="1">
        <f>Korotuspaine!L10</f>
        <v>4</v>
      </c>
      <c r="F130" s="1">
        <f>Korotuspaine!M10</f>
        <v>4</v>
      </c>
      <c r="G130" s="1">
        <f>Korotuspaine!N10</f>
        <v>3</v>
      </c>
      <c r="H130" s="1">
        <f>Korotuspaine!O10</f>
        <v>3</v>
      </c>
      <c r="I130" s="385">
        <f>Korotuspaine!P10</f>
        <v>3</v>
      </c>
      <c r="T130" s="4"/>
    </row>
    <row r="131" spans="2:48" x14ac:dyDescent="0.2">
      <c r="B131" s="386" t="s">
        <v>715</v>
      </c>
      <c r="C131" s="3">
        <f>Korotuspaine!J11</f>
        <v>154</v>
      </c>
      <c r="D131" s="3">
        <f>Korotuspaine!K11</f>
        <v>193</v>
      </c>
      <c r="E131" s="3">
        <f>Korotuspaine!L11</f>
        <v>81</v>
      </c>
      <c r="F131" s="3">
        <f>Korotuspaine!M11</f>
        <v>44</v>
      </c>
      <c r="G131" s="3">
        <f>Korotuspaine!N11</f>
        <v>38</v>
      </c>
      <c r="H131" s="3">
        <f>Korotuspaine!O11</f>
        <v>35</v>
      </c>
      <c r="I131" s="387">
        <f>Korotuspaine!P11</f>
        <v>49</v>
      </c>
      <c r="T131" s="4"/>
    </row>
    <row r="132" spans="2:48" x14ac:dyDescent="0.2">
      <c r="B132" s="384"/>
      <c r="C132" s="1"/>
      <c r="D132" s="1"/>
      <c r="E132" s="1"/>
      <c r="F132" s="1"/>
      <c r="G132" s="1"/>
      <c r="H132" s="1"/>
      <c r="I132" s="385"/>
      <c r="T132" s="4"/>
    </row>
    <row r="133" spans="2:48" x14ac:dyDescent="0.2">
      <c r="B133" s="388" t="s">
        <v>717</v>
      </c>
      <c r="C133" s="163">
        <f t="shared" ref="C133:H133" si="73">C131+C125</f>
        <v>293</v>
      </c>
      <c r="D133" s="163">
        <f t="shared" si="73"/>
        <v>293</v>
      </c>
      <c r="E133" s="163">
        <f t="shared" si="73"/>
        <v>293</v>
      </c>
      <c r="F133" s="163">
        <f t="shared" si="73"/>
        <v>292</v>
      </c>
      <c r="G133" s="163">
        <f t="shared" si="73"/>
        <v>292</v>
      </c>
      <c r="H133" s="163">
        <f t="shared" si="73"/>
        <v>292</v>
      </c>
      <c r="I133" s="389">
        <f t="shared" ref="I133" si="74">I131+I125</f>
        <v>292</v>
      </c>
      <c r="T133" s="4"/>
    </row>
    <row r="136" spans="2:48" x14ac:dyDescent="0.2">
      <c r="T136" s="4"/>
      <c r="U136" s="4"/>
      <c r="V136" s="4"/>
      <c r="W136" s="4"/>
    </row>
    <row r="137" spans="2:48" x14ac:dyDescent="0.2">
      <c r="B137" s="190" t="s">
        <v>728</v>
      </c>
      <c r="C137" s="132">
        <v>2019</v>
      </c>
      <c r="D137" s="132">
        <v>2020</v>
      </c>
      <c r="E137" s="132">
        <v>2021</v>
      </c>
      <c r="F137" s="132">
        <v>2022</v>
      </c>
      <c r="G137" s="132">
        <v>2023</v>
      </c>
      <c r="H137" s="132">
        <v>2024</v>
      </c>
      <c r="I137" s="132">
        <v>2025</v>
      </c>
      <c r="J137" s="132">
        <v>2026</v>
      </c>
      <c r="K137" s="132">
        <v>2027</v>
      </c>
      <c r="L137" s="132">
        <v>2028</v>
      </c>
      <c r="M137" s="132" t="s">
        <v>310</v>
      </c>
      <c r="N137" s="132"/>
      <c r="O137" s="132">
        <v>2020</v>
      </c>
      <c r="P137" s="132">
        <v>2021</v>
      </c>
      <c r="Q137" s="132">
        <v>2022</v>
      </c>
      <c r="R137" s="132">
        <v>2023</v>
      </c>
      <c r="S137" s="132">
        <v>2024</v>
      </c>
      <c r="T137" s="132">
        <v>2025</v>
      </c>
      <c r="U137" s="132">
        <v>2026</v>
      </c>
      <c r="V137" s="132">
        <v>2027</v>
      </c>
      <c r="W137" s="132">
        <v>2028</v>
      </c>
      <c r="X137" s="197"/>
      <c r="AJ137" s="7"/>
      <c r="AK137" s="7"/>
      <c r="AL137" s="7"/>
      <c r="AM137" s="7"/>
      <c r="AN137" s="7"/>
      <c r="AO137" s="7"/>
      <c r="AP137" s="7"/>
      <c r="AQ137" s="7"/>
      <c r="AR137" s="7"/>
      <c r="AS137" s="7"/>
      <c r="AT137" s="7"/>
      <c r="AU137" s="7"/>
      <c r="AV137" s="7"/>
    </row>
    <row r="138" spans="2:48" x14ac:dyDescent="0.2">
      <c r="B138" s="133" t="s">
        <v>774</v>
      </c>
      <c r="C138" s="43">
        <f>SUMIF('1. Väestöennuste'!$X$15:$X$307,'1. Väestöennuste'!$U2,Vuosikate!BE$15:BE$307)*-1</f>
        <v>0</v>
      </c>
      <c r="D138" s="43">
        <f>SUMIF('1. Väestöennuste'!$X$15:$X$307,'1. Väestöennuste'!$U2,Vuosikate!BF$15:BF$307)*-1</f>
        <v>0</v>
      </c>
      <c r="E138" s="43">
        <f>SUMIF('1. Väestöennuste'!$X$15:$X$307,'1. Väestöennuste'!$U2,Vuosikate!BG$15:BG$307)*-1</f>
        <v>0</v>
      </c>
      <c r="F138" s="43">
        <f>SUMIF('1. Väestöennuste'!$X$15:$X$307,'1. Väestöennuste'!$U2,Vuosikate!BH$15:BH$307)*-1</f>
        <v>0</v>
      </c>
      <c r="G138" s="43">
        <f>SUMIF('1. Väestöennuste'!$X$15:$X$307,'1. Väestöennuste'!$U2,Vuosikate!BI$15:BI$307)*-1</f>
        <v>0</v>
      </c>
      <c r="H138" s="43">
        <f>SUMIF('1. Väestöennuste'!$X$15:$X$307,'1. Väestöennuste'!$U2,Vuosikate!BJ$15:BJ$307)*-1</f>
        <v>0</v>
      </c>
      <c r="I138" s="43">
        <f>SUMIF('1. Väestöennuste'!$X$15:$X$307,'1. Väestöennuste'!$U2,Vuosikate!BK$15:BK$307)*-1</f>
        <v>1</v>
      </c>
      <c r="J138" s="43">
        <f>SUMIF('1. Väestöennuste'!$X$15:$X$307,'1. Väestöennuste'!$U2,Vuosikate!BL$15:BL$307)*-1</f>
        <v>1</v>
      </c>
      <c r="K138" s="43">
        <f>SUMIF('1. Väestöennuste'!$X$15:$X$307,'1. Väestöennuste'!$U2,Vuosikate!BM$15:BM$307)*-1</f>
        <v>1</v>
      </c>
      <c r="L138" s="43">
        <f>SUMIF('1. Väestöennuste'!$X$15:$X$307,'1. Väestöennuste'!$U2,Vuosikate!BN$15:BN$307)*-1</f>
        <v>1</v>
      </c>
      <c r="M138" s="132"/>
      <c r="N138" s="43"/>
      <c r="O138" s="44">
        <f t="shared" ref="O138:O143" si="75">D138-C138</f>
        <v>0</v>
      </c>
      <c r="P138" s="44">
        <f t="shared" ref="P138:P143" si="76">E138-D138</f>
        <v>0</v>
      </c>
      <c r="Q138" s="44">
        <f t="shared" ref="Q138:Q143" si="77">F138-E138</f>
        <v>0</v>
      </c>
      <c r="R138" s="44">
        <f t="shared" ref="R138:R143" si="78">G138-F138</f>
        <v>0</v>
      </c>
      <c r="S138" s="44">
        <f t="shared" ref="S138:S143" si="79">H138-G138</f>
        <v>0</v>
      </c>
      <c r="T138" s="44">
        <f t="shared" ref="T138:W143" si="80">I138-H138</f>
        <v>1</v>
      </c>
      <c r="U138" s="44">
        <f t="shared" si="80"/>
        <v>0</v>
      </c>
      <c r="V138" s="44">
        <f t="shared" si="80"/>
        <v>0</v>
      </c>
      <c r="W138" s="44">
        <f t="shared" si="80"/>
        <v>0</v>
      </c>
      <c r="X138" s="170"/>
      <c r="AB138" s="153"/>
      <c r="AJ138" s="197"/>
      <c r="AK138" s="197"/>
      <c r="AL138" s="197"/>
      <c r="AM138" s="197"/>
      <c r="AN138" s="197"/>
      <c r="AO138" s="197"/>
      <c r="AP138" s="197"/>
      <c r="AQ138" s="197"/>
      <c r="AR138" s="197"/>
      <c r="AS138" s="197"/>
      <c r="AT138" s="197"/>
      <c r="AU138" s="7"/>
      <c r="AV138" s="7"/>
    </row>
    <row r="139" spans="2:48" x14ac:dyDescent="0.2">
      <c r="B139" s="134" t="s">
        <v>775</v>
      </c>
      <c r="C139" s="43">
        <f>SUMIF('1. Väestöennuste'!$X$15:$X$307,'1. Väestöennuste'!$U3,Vuosikate!BE$15:BE$307)*-1</f>
        <v>6</v>
      </c>
      <c r="D139" s="43">
        <f>SUMIF('1. Väestöennuste'!$X$15:$X$307,'1. Väestöennuste'!$U3,Vuosikate!BF$15:BF$307)*-1</f>
        <v>0</v>
      </c>
      <c r="E139" s="43">
        <f>SUMIF('1. Väestöennuste'!$X$15:$X$307,'1. Väestöennuste'!$U3,Vuosikate!BG$15:BG$307)*-1</f>
        <v>0</v>
      </c>
      <c r="F139" s="43">
        <f>SUMIF('1. Väestöennuste'!$X$15:$X$307,'1. Väestöennuste'!$U3,Vuosikate!BH$15:BH$307)*-1</f>
        <v>0</v>
      </c>
      <c r="G139" s="43">
        <f>SUMIF('1. Väestöennuste'!$X$15:$X$307,'1. Väestöennuste'!$U3,Vuosikate!BI$15:BI$307)*-1</f>
        <v>0</v>
      </c>
      <c r="H139" s="43">
        <f>SUMIF('1. Väestöennuste'!$X$15:$X$307,'1. Väestöennuste'!$U3,Vuosikate!BJ$15:BJ$307)*-1</f>
        <v>0</v>
      </c>
      <c r="I139" s="43">
        <f>SUMIF('1. Väestöennuste'!$X$15:$X$307,'1. Väestöennuste'!$U3,Vuosikate!BK$15:BK$307)*-1</f>
        <v>1</v>
      </c>
      <c r="J139" s="43">
        <f>SUMIF('1. Väestöennuste'!$X$15:$X$307,'1. Väestöennuste'!$U3,Vuosikate!BL$15:BL$307)*-1</f>
        <v>1</v>
      </c>
      <c r="K139" s="43">
        <f>SUMIF('1. Väestöennuste'!$X$15:$X$307,'1. Väestöennuste'!$U3,Vuosikate!BM$15:BM$307)*-1</f>
        <v>1</v>
      </c>
      <c r="L139" s="43">
        <f>SUMIF('1. Väestöennuste'!$X$15:$X$307,'1. Väestöennuste'!$U3,Vuosikate!BN$15:BN$307)*-1</f>
        <v>1</v>
      </c>
      <c r="M139" s="132"/>
      <c r="N139" s="43"/>
      <c r="O139" s="44">
        <f t="shared" si="75"/>
        <v>-6</v>
      </c>
      <c r="P139" s="44">
        <f t="shared" si="76"/>
        <v>0</v>
      </c>
      <c r="Q139" s="44">
        <f t="shared" si="77"/>
        <v>0</v>
      </c>
      <c r="R139" s="44">
        <f t="shared" si="78"/>
        <v>0</v>
      </c>
      <c r="S139" s="44">
        <f t="shared" si="79"/>
        <v>0</v>
      </c>
      <c r="T139" s="44">
        <f t="shared" si="80"/>
        <v>1</v>
      </c>
      <c r="U139" s="44">
        <f t="shared" si="80"/>
        <v>0</v>
      </c>
      <c r="V139" s="44">
        <f t="shared" si="80"/>
        <v>0</v>
      </c>
      <c r="W139" s="44">
        <f t="shared" si="80"/>
        <v>0</v>
      </c>
      <c r="X139" s="170"/>
      <c r="AB139" s="153"/>
      <c r="AJ139" s="159"/>
      <c r="AK139" s="159"/>
      <c r="AL139" s="170"/>
      <c r="AM139" s="170"/>
      <c r="AN139" s="170"/>
      <c r="AO139" s="170"/>
      <c r="AP139" s="170"/>
      <c r="AQ139" s="170"/>
      <c r="AR139" s="170"/>
      <c r="AS139" s="170"/>
      <c r="AT139" s="159"/>
      <c r="AU139" s="201"/>
      <c r="AV139" s="7"/>
    </row>
    <row r="140" spans="2:48" x14ac:dyDescent="0.2">
      <c r="B140" s="133" t="s">
        <v>776</v>
      </c>
      <c r="C140" s="43">
        <f>SUMIF('1. Väestöennuste'!$X$15:$X$307,'1. Väestöennuste'!$U4,Vuosikate!BE$15:BE$307)*-1</f>
        <v>6</v>
      </c>
      <c r="D140" s="43">
        <f>SUMIF('1. Väestöennuste'!$X$15:$X$307,'1. Väestöennuste'!$U4,Vuosikate!BF$15:BF$307)*-1</f>
        <v>0</v>
      </c>
      <c r="E140" s="43">
        <f>SUMIF('1. Väestöennuste'!$X$15:$X$307,'1. Väestöennuste'!$U4,Vuosikate!BG$15:BG$307)*-1</f>
        <v>0</v>
      </c>
      <c r="F140" s="43">
        <f>SUMIF('1. Väestöennuste'!$X$15:$X$307,'1. Väestöennuste'!$U4,Vuosikate!BH$15:BH$307)*-1</f>
        <v>0</v>
      </c>
      <c r="G140" s="43">
        <f>SUMIF('1. Väestöennuste'!$X$15:$X$307,'1. Väestöennuste'!$U4,Vuosikate!BI$15:BI$307)*-1</f>
        <v>0</v>
      </c>
      <c r="H140" s="43">
        <f>SUMIF('1. Väestöennuste'!$X$15:$X$307,'1. Väestöennuste'!$U4,Vuosikate!BJ$15:BJ$307)*-1</f>
        <v>0</v>
      </c>
      <c r="I140" s="43">
        <f>SUMIF('1. Väestöennuste'!$X$15:$X$307,'1. Väestöennuste'!$U4,Vuosikate!BK$15:BK$307)*-1</f>
        <v>1</v>
      </c>
      <c r="J140" s="43">
        <f>SUMIF('1. Väestöennuste'!$X$15:$X$307,'1. Väestöennuste'!$U4,Vuosikate!BL$15:BL$307)*-1</f>
        <v>0</v>
      </c>
      <c r="K140" s="43">
        <f>SUMIF('1. Väestöennuste'!$X$15:$X$307,'1. Väestöennuste'!$U4,Vuosikate!BM$15:BM$307)*-1</f>
        <v>0</v>
      </c>
      <c r="L140" s="43">
        <f>SUMIF('1. Väestöennuste'!$X$15:$X$307,'1. Väestöennuste'!$U4,Vuosikate!BN$15:BN$307)*-1</f>
        <v>0</v>
      </c>
      <c r="M140" s="132"/>
      <c r="N140" s="43"/>
      <c r="O140" s="44">
        <f t="shared" si="75"/>
        <v>-6</v>
      </c>
      <c r="P140" s="44">
        <f t="shared" si="76"/>
        <v>0</v>
      </c>
      <c r="Q140" s="44">
        <f t="shared" si="77"/>
        <v>0</v>
      </c>
      <c r="R140" s="44">
        <f t="shared" si="78"/>
        <v>0</v>
      </c>
      <c r="S140" s="44">
        <f t="shared" si="79"/>
        <v>0</v>
      </c>
      <c r="T140" s="44">
        <f t="shared" si="80"/>
        <v>1</v>
      </c>
      <c r="U140" s="44">
        <f t="shared" si="80"/>
        <v>-1</v>
      </c>
      <c r="V140" s="44">
        <f t="shared" si="80"/>
        <v>0</v>
      </c>
      <c r="W140" s="44">
        <f t="shared" si="80"/>
        <v>0</v>
      </c>
      <c r="X140" s="170"/>
      <c r="AB140" s="153"/>
      <c r="AJ140" s="159"/>
      <c r="AK140" s="159"/>
      <c r="AL140" s="170"/>
      <c r="AM140" s="170"/>
      <c r="AN140" s="170"/>
      <c r="AO140" s="170"/>
      <c r="AP140" s="170"/>
      <c r="AQ140" s="170"/>
      <c r="AR140" s="170"/>
      <c r="AS140" s="170"/>
      <c r="AT140" s="159"/>
      <c r="AU140" s="201"/>
      <c r="AV140" s="7"/>
    </row>
    <row r="141" spans="2:48" x14ac:dyDescent="0.2">
      <c r="B141" s="133" t="s">
        <v>777</v>
      </c>
      <c r="C141" s="43">
        <f>SUMIF('1. Väestöennuste'!$X$15:$X$307,'1. Väestöennuste'!$U5,Vuosikate!BE$15:BE$307)*-1</f>
        <v>7</v>
      </c>
      <c r="D141" s="43">
        <f>SUMIF('1. Väestöennuste'!$X$15:$X$307,'1. Väestöennuste'!$U5,Vuosikate!BF$15:BF$307)*-1</f>
        <v>1</v>
      </c>
      <c r="E141" s="43">
        <f>SUMIF('1. Väestöennuste'!$X$15:$X$307,'1. Väestöennuste'!$U5,Vuosikate!BG$15:BG$307)*-1</f>
        <v>1</v>
      </c>
      <c r="F141" s="43">
        <f>SUMIF('1. Väestöennuste'!$X$15:$X$307,'1. Väestöennuste'!$U5,Vuosikate!BH$15:BH$307)*-1</f>
        <v>0</v>
      </c>
      <c r="G141" s="43">
        <f>SUMIF('1. Väestöennuste'!$X$15:$X$307,'1. Väestöennuste'!$U5,Vuosikate!BI$15:BI$307)*-1</f>
        <v>1</v>
      </c>
      <c r="H141" s="43">
        <f>SUMIF('1. Väestöennuste'!$X$15:$X$307,'1. Väestöennuste'!$U5,Vuosikate!BJ$15:BJ$307)*-1</f>
        <v>1</v>
      </c>
      <c r="I141" s="43">
        <f>SUMIF('1. Väestöennuste'!$X$15:$X$307,'1. Väestöennuste'!$U5,Vuosikate!BK$15:BK$307)*-1</f>
        <v>3</v>
      </c>
      <c r="J141" s="43">
        <f>SUMIF('1. Väestöennuste'!$X$15:$X$307,'1. Väestöennuste'!$U5,Vuosikate!BL$15:BL$307)*-1</f>
        <v>2</v>
      </c>
      <c r="K141" s="43">
        <f>SUMIF('1. Väestöennuste'!$X$15:$X$307,'1. Väestöennuste'!$U5,Vuosikate!BM$15:BM$307)*-1</f>
        <v>1</v>
      </c>
      <c r="L141" s="43">
        <f>SUMIF('1. Väestöennuste'!$X$15:$X$307,'1. Väestöennuste'!$U5,Vuosikate!BN$15:BN$307)*-1</f>
        <v>1</v>
      </c>
      <c r="M141" s="132"/>
      <c r="N141" s="43"/>
      <c r="O141" s="44">
        <f t="shared" si="75"/>
        <v>-6</v>
      </c>
      <c r="P141" s="44">
        <f t="shared" si="76"/>
        <v>0</v>
      </c>
      <c r="Q141" s="44">
        <f t="shared" si="77"/>
        <v>-1</v>
      </c>
      <c r="R141" s="44">
        <f t="shared" si="78"/>
        <v>1</v>
      </c>
      <c r="S141" s="44">
        <f t="shared" si="79"/>
        <v>0</v>
      </c>
      <c r="T141" s="44">
        <f t="shared" si="80"/>
        <v>2</v>
      </c>
      <c r="U141" s="44">
        <f t="shared" si="80"/>
        <v>-1</v>
      </c>
      <c r="V141" s="44">
        <f t="shared" si="80"/>
        <v>-1</v>
      </c>
      <c r="W141" s="44">
        <f t="shared" si="80"/>
        <v>0</v>
      </c>
      <c r="X141" s="170"/>
      <c r="AB141" s="153"/>
      <c r="AJ141" s="159"/>
      <c r="AK141" s="159"/>
      <c r="AL141" s="170"/>
      <c r="AM141" s="170"/>
      <c r="AN141" s="170"/>
      <c r="AO141" s="170"/>
      <c r="AP141" s="170"/>
      <c r="AQ141" s="170"/>
      <c r="AR141" s="170"/>
      <c r="AS141" s="170"/>
      <c r="AT141" s="159"/>
      <c r="AU141" s="201"/>
      <c r="AV141" s="7"/>
    </row>
    <row r="142" spans="2:48" x14ac:dyDescent="0.2">
      <c r="B142" s="133" t="s">
        <v>778</v>
      </c>
      <c r="C142" s="43">
        <f>SUMIF('1. Väestöennuste'!$X$15:$X$307,'1. Väestöennuste'!$U6,Vuosikate!BE$15:BE$307)*-1</f>
        <v>13</v>
      </c>
      <c r="D142" s="43">
        <f>SUMIF('1. Väestöennuste'!$X$15:$X$307,'1. Väestöennuste'!$U6,Vuosikate!BF$15:BF$307)*-1</f>
        <v>0</v>
      </c>
      <c r="E142" s="43">
        <f>SUMIF('1. Väestöennuste'!$X$15:$X$307,'1. Väestöennuste'!$U6,Vuosikate!BG$15:BG$307)*-1</f>
        <v>1</v>
      </c>
      <c r="F142" s="43">
        <f>SUMIF('1. Väestöennuste'!$X$15:$X$307,'1. Väestöennuste'!$U6,Vuosikate!BH$15:BH$307)*-1</f>
        <v>2</v>
      </c>
      <c r="G142" s="43">
        <f>SUMIF('1. Väestöennuste'!$X$15:$X$307,'1. Väestöennuste'!$U6,Vuosikate!BI$15:BI$307)*-1</f>
        <v>2</v>
      </c>
      <c r="H142" s="43">
        <f>SUMIF('1. Väestöennuste'!$X$15:$X$307,'1. Väestöennuste'!$U6,Vuosikate!BJ$15:BJ$307)*-1</f>
        <v>1</v>
      </c>
      <c r="I142" s="43">
        <f>SUMIF('1. Väestöennuste'!$X$15:$X$307,'1. Väestöennuste'!$U6,Vuosikate!BK$15:BK$307)*-1</f>
        <v>11</v>
      </c>
      <c r="J142" s="43">
        <f>SUMIF('1. Väestöennuste'!$X$15:$X$307,'1. Väestöennuste'!$U6,Vuosikate!BL$15:BL$307)*-1</f>
        <v>10</v>
      </c>
      <c r="K142" s="43">
        <f>SUMIF('1. Väestöennuste'!$X$15:$X$307,'1. Väestöennuste'!$U6,Vuosikate!BM$15:BM$307)*-1</f>
        <v>10</v>
      </c>
      <c r="L142" s="43">
        <f>SUMIF('1. Väestöennuste'!$X$15:$X$307,'1. Väestöennuste'!$U6,Vuosikate!BN$15:BN$307)*-1</f>
        <v>6</v>
      </c>
      <c r="M142" s="132"/>
      <c r="N142" s="43"/>
      <c r="O142" s="44">
        <f t="shared" si="75"/>
        <v>-13</v>
      </c>
      <c r="P142" s="44">
        <f t="shared" si="76"/>
        <v>1</v>
      </c>
      <c r="Q142" s="44">
        <f t="shared" si="77"/>
        <v>1</v>
      </c>
      <c r="R142" s="44">
        <f t="shared" si="78"/>
        <v>0</v>
      </c>
      <c r="S142" s="44">
        <f t="shared" si="79"/>
        <v>-1</v>
      </c>
      <c r="T142" s="44">
        <f t="shared" si="80"/>
        <v>10</v>
      </c>
      <c r="U142" s="44">
        <f t="shared" si="80"/>
        <v>-1</v>
      </c>
      <c r="V142" s="44">
        <f t="shared" si="80"/>
        <v>0</v>
      </c>
      <c r="W142" s="44">
        <f t="shared" si="80"/>
        <v>-4</v>
      </c>
      <c r="X142" s="170"/>
      <c r="AB142" s="153"/>
      <c r="AJ142" s="159"/>
      <c r="AK142" s="159"/>
      <c r="AL142" s="170"/>
      <c r="AM142" s="170"/>
      <c r="AN142" s="170"/>
      <c r="AO142" s="170"/>
      <c r="AP142" s="170"/>
      <c r="AQ142" s="170"/>
      <c r="AR142" s="170"/>
      <c r="AS142" s="170"/>
      <c r="AT142" s="159"/>
      <c r="AU142" s="201"/>
      <c r="AV142" s="7"/>
    </row>
    <row r="143" spans="2:48" x14ac:dyDescent="0.2">
      <c r="B143" s="133" t="s">
        <v>779</v>
      </c>
      <c r="C143" s="43">
        <f>SUMIF('1. Väestöennuste'!$X$15:$X$307,'1. Väestöennuste'!$U7,Vuosikate!BE$15:BE$307)*-1</f>
        <v>18</v>
      </c>
      <c r="D143" s="43">
        <f>SUMIF('1. Väestöennuste'!$X$15:$X$307,'1. Väestöennuste'!$U7,Vuosikate!BF$15:BF$307)*-1</f>
        <v>1</v>
      </c>
      <c r="E143" s="43">
        <f>SUMIF('1. Väestöennuste'!$X$15:$X$307,'1. Väestöennuste'!$U7,Vuosikate!BG$15:BG$307)*-1</f>
        <v>2</v>
      </c>
      <c r="F143" s="43">
        <f>SUMIF('1. Väestöennuste'!$X$15:$X$307,'1. Väestöennuste'!$U7,Vuosikate!BH$15:BH$307)*-1</f>
        <v>5</v>
      </c>
      <c r="G143" s="43">
        <f>SUMIF('1. Väestöennuste'!$X$15:$X$307,'1. Väestöennuste'!$U7,Vuosikate!BI$15:BI$307)*-1</f>
        <v>5</v>
      </c>
      <c r="H143" s="43">
        <f>SUMIF('1. Väestöennuste'!$X$15:$X$307,'1. Väestöennuste'!$U7,Vuosikate!BJ$15:BJ$307)*-1</f>
        <v>6</v>
      </c>
      <c r="I143" s="43">
        <f>SUMIF('1. Väestöennuste'!$X$15:$X$307,'1. Väestöennuste'!$U7,Vuosikate!BK$15:BK$307)*-1</f>
        <v>22</v>
      </c>
      <c r="J143" s="43">
        <f>SUMIF('1. Väestöennuste'!$X$15:$X$307,'1. Väestöennuste'!$U7,Vuosikate!BL$15:BL$307)*-1</f>
        <v>29</v>
      </c>
      <c r="K143" s="43">
        <f>SUMIF('1. Väestöennuste'!$X$15:$X$307,'1. Väestöennuste'!$U7,Vuosikate!BM$15:BM$307)*-1</f>
        <v>37</v>
      </c>
      <c r="L143" s="43">
        <f>SUMIF('1. Väestöennuste'!$X$15:$X$307,'1. Väestöennuste'!$U7,Vuosikate!BN$15:BN$307)*-1</f>
        <v>26</v>
      </c>
      <c r="M143" s="132"/>
      <c r="N143" s="43"/>
      <c r="O143" s="44">
        <f t="shared" si="75"/>
        <v>-17</v>
      </c>
      <c r="P143" s="44">
        <f t="shared" si="76"/>
        <v>1</v>
      </c>
      <c r="Q143" s="44">
        <f t="shared" si="77"/>
        <v>3</v>
      </c>
      <c r="R143" s="44">
        <f t="shared" si="78"/>
        <v>0</v>
      </c>
      <c r="S143" s="44">
        <f t="shared" si="79"/>
        <v>1</v>
      </c>
      <c r="T143" s="44">
        <f t="shared" si="80"/>
        <v>16</v>
      </c>
      <c r="U143" s="44">
        <f t="shared" si="80"/>
        <v>7</v>
      </c>
      <c r="V143" s="44">
        <f t="shared" si="80"/>
        <v>8</v>
      </c>
      <c r="W143" s="44">
        <f t="shared" si="80"/>
        <v>-11</v>
      </c>
      <c r="X143" s="170"/>
      <c r="AB143" s="153"/>
      <c r="AJ143" s="159"/>
      <c r="AK143" s="159"/>
      <c r="AL143" s="170"/>
      <c r="AM143" s="170"/>
      <c r="AN143" s="170"/>
      <c r="AO143" s="170"/>
      <c r="AP143" s="170"/>
      <c r="AQ143" s="170"/>
      <c r="AR143" s="170"/>
      <c r="AS143" s="170"/>
      <c r="AT143" s="159"/>
      <c r="AU143" s="201"/>
      <c r="AV143" s="7"/>
    </row>
    <row r="144" spans="2:48" x14ac:dyDescent="0.2">
      <c r="B144" s="193" t="s">
        <v>780</v>
      </c>
      <c r="C144" s="226">
        <f>SUMIF('1. Väestöennuste'!$X$15:$X$307,'1. Väestöennuste'!$U8,Vuosikate!BE$15:BE$307)*-1</f>
        <v>15</v>
      </c>
      <c r="D144" s="226">
        <f>SUMIF('1. Väestöennuste'!$X$15:$X$307,'1. Väestöennuste'!$U8,Vuosikate!BF$15:BF$307)*-1</f>
        <v>0</v>
      </c>
      <c r="E144" s="226">
        <f>SUMIF('1. Väestöennuste'!$X$15:$X$307,'1. Väestöennuste'!$U8,Vuosikate!BG$15:BG$307)*-1</f>
        <v>4</v>
      </c>
      <c r="F144" s="226">
        <f>SUMIF('1. Väestöennuste'!$X$15:$X$307,'1. Väestöennuste'!$U8,Vuosikate!BH$15:BH$307)*-1</f>
        <v>6</v>
      </c>
      <c r="G144" s="226">
        <f>SUMIF('1. Väestöennuste'!$X$15:$X$307,'1. Väestöennuste'!$U8,Vuosikate!BI$15:BI$307)*-1</f>
        <v>7</v>
      </c>
      <c r="H144" s="226">
        <f>SUMIF('1. Väestöennuste'!$X$15:$X$307,'1. Väestöennuste'!$U8,Vuosikate!BJ$15:BJ$307)*-1</f>
        <v>7</v>
      </c>
      <c r="I144" s="226">
        <f>SUMIF('1. Väestöennuste'!$X$15:$X$307,'1. Väestöennuste'!$U8,Vuosikate!BK$15:BK$307)*-1</f>
        <v>12</v>
      </c>
      <c r="J144" s="226">
        <f>SUMIF('1. Väestöennuste'!$X$15:$X$307,'1. Väestöennuste'!$U8,Vuosikate!BL$15:BL$307)*-1</f>
        <v>14</v>
      </c>
      <c r="K144" s="226">
        <f>SUMIF('1. Väestöennuste'!$X$15:$X$307,'1. Väestöennuste'!$U8,Vuosikate!BM$15:BM$307)*-1</f>
        <v>16</v>
      </c>
      <c r="L144" s="226">
        <f>SUMIF('1. Väestöennuste'!$X$15:$X$307,'1. Väestöennuste'!$U8,Vuosikate!BN$15:BN$307)*-1</f>
        <v>14</v>
      </c>
      <c r="M144" s="228"/>
      <c r="N144" s="226"/>
      <c r="O144" s="229">
        <f t="shared" ref="O144:W145" si="81">D144-C144</f>
        <v>-15</v>
      </c>
      <c r="P144" s="229">
        <f t="shared" si="81"/>
        <v>4</v>
      </c>
      <c r="Q144" s="229">
        <f t="shared" si="81"/>
        <v>2</v>
      </c>
      <c r="R144" s="229">
        <f t="shared" si="81"/>
        <v>1</v>
      </c>
      <c r="S144" s="229">
        <f t="shared" si="81"/>
        <v>0</v>
      </c>
      <c r="T144" s="229">
        <f t="shared" si="81"/>
        <v>5</v>
      </c>
      <c r="U144" s="229">
        <f t="shared" si="81"/>
        <v>2</v>
      </c>
      <c r="V144" s="229">
        <f t="shared" si="81"/>
        <v>2</v>
      </c>
      <c r="W144" s="229">
        <f t="shared" si="81"/>
        <v>-2</v>
      </c>
      <c r="X144" s="170"/>
      <c r="AB144" s="153"/>
      <c r="AJ144" s="159"/>
      <c r="AK144" s="159"/>
      <c r="AL144" s="170"/>
      <c r="AM144" s="170"/>
      <c r="AN144" s="170"/>
      <c r="AO144" s="170"/>
      <c r="AP144" s="170"/>
      <c r="AQ144" s="170"/>
      <c r="AR144" s="170"/>
      <c r="AS144" s="170"/>
      <c r="AT144" s="159"/>
      <c r="AU144" s="201"/>
      <c r="AV144" s="7"/>
    </row>
    <row r="145" spans="2:48" x14ac:dyDescent="0.2">
      <c r="B145" s="8" t="s">
        <v>694</v>
      </c>
      <c r="C145" s="166">
        <f t="shared" ref="C145:J145" si="82">SUM(C138:C144)</f>
        <v>65</v>
      </c>
      <c r="D145" s="166">
        <f t="shared" si="82"/>
        <v>2</v>
      </c>
      <c r="E145" s="166">
        <f t="shared" si="82"/>
        <v>8</v>
      </c>
      <c r="F145" s="166">
        <f t="shared" si="82"/>
        <v>13</v>
      </c>
      <c r="G145" s="166">
        <f t="shared" si="82"/>
        <v>15</v>
      </c>
      <c r="H145" s="166">
        <f t="shared" si="82"/>
        <v>15</v>
      </c>
      <c r="I145" s="166">
        <f t="shared" si="82"/>
        <v>51</v>
      </c>
      <c r="J145" s="166">
        <f t="shared" si="82"/>
        <v>57</v>
      </c>
      <c r="K145" s="166">
        <f t="shared" ref="K145:L145" si="83">SUM(K138:K144)</f>
        <v>66</v>
      </c>
      <c r="L145" s="166">
        <f t="shared" si="83"/>
        <v>49</v>
      </c>
      <c r="M145" s="132"/>
      <c r="N145" s="166"/>
      <c r="O145" s="44">
        <f t="shared" si="81"/>
        <v>-63</v>
      </c>
      <c r="P145" s="44">
        <f t="shared" si="81"/>
        <v>6</v>
      </c>
      <c r="Q145" s="44">
        <f t="shared" si="81"/>
        <v>5</v>
      </c>
      <c r="R145" s="44">
        <f t="shared" si="81"/>
        <v>2</v>
      </c>
      <c r="S145" s="44">
        <f t="shared" si="81"/>
        <v>0</v>
      </c>
      <c r="T145" s="44">
        <f t="shared" si="81"/>
        <v>36</v>
      </c>
      <c r="U145" s="44">
        <f t="shared" si="81"/>
        <v>6</v>
      </c>
      <c r="V145" s="44">
        <f t="shared" si="81"/>
        <v>9</v>
      </c>
      <c r="W145" s="44">
        <f t="shared" si="81"/>
        <v>-17</v>
      </c>
      <c r="X145" s="170"/>
      <c r="AJ145" s="159"/>
      <c r="AK145" s="159"/>
      <c r="AL145" s="170"/>
      <c r="AM145" s="170"/>
      <c r="AN145" s="170"/>
      <c r="AO145" s="170"/>
      <c r="AP145" s="170"/>
      <c r="AQ145" s="170"/>
      <c r="AR145" s="170"/>
      <c r="AS145" s="170"/>
      <c r="AT145" s="159"/>
      <c r="AU145" s="201"/>
      <c r="AV145" s="7"/>
    </row>
    <row r="146" spans="2:48" x14ac:dyDescent="0.2">
      <c r="T146" s="4"/>
      <c r="U146" s="4"/>
      <c r="V146" s="4"/>
      <c r="W146" s="4"/>
      <c r="AJ146" s="159"/>
      <c r="AK146" s="159"/>
      <c r="AL146" s="170"/>
      <c r="AM146" s="170"/>
      <c r="AN146" s="170"/>
      <c r="AO146" s="170"/>
      <c r="AP146" s="170"/>
      <c r="AQ146" s="170"/>
      <c r="AR146" s="170"/>
      <c r="AS146" s="170"/>
      <c r="AT146" s="159"/>
      <c r="AU146" s="201"/>
      <c r="AV146" s="7"/>
    </row>
    <row r="147" spans="2:48" x14ac:dyDescent="0.2">
      <c r="T147" s="4"/>
      <c r="U147" s="4"/>
      <c r="V147" s="4"/>
      <c r="W147" s="4"/>
      <c r="AJ147" s="7"/>
      <c r="AK147" s="7"/>
      <c r="AL147" s="7"/>
      <c r="AM147" s="7"/>
      <c r="AN147" s="7"/>
      <c r="AO147" s="7"/>
      <c r="AP147" s="7"/>
      <c r="AQ147" s="7"/>
      <c r="AR147" s="7"/>
      <c r="AS147" s="7"/>
      <c r="AT147" s="7"/>
      <c r="AU147" s="7"/>
      <c r="AV147" s="7"/>
    </row>
    <row r="148" spans="2:48" ht="12.95" customHeight="1" x14ac:dyDescent="0.2">
      <c r="B148" s="190" t="s">
        <v>789</v>
      </c>
      <c r="C148" s="132">
        <v>2019</v>
      </c>
      <c r="D148" s="132">
        <v>2020</v>
      </c>
      <c r="E148" s="132">
        <v>2021</v>
      </c>
      <c r="F148" s="132">
        <v>2022</v>
      </c>
      <c r="G148" s="132">
        <v>2023</v>
      </c>
      <c r="H148" s="132">
        <v>2024</v>
      </c>
      <c r="I148" s="132">
        <v>2025</v>
      </c>
      <c r="J148" s="132">
        <v>2026</v>
      </c>
      <c r="K148" s="132">
        <v>2027</v>
      </c>
      <c r="L148" s="132">
        <v>2028</v>
      </c>
      <c r="M148" s="132" t="s">
        <v>310</v>
      </c>
      <c r="N148" s="132"/>
      <c r="O148" s="132">
        <v>2020</v>
      </c>
      <c r="P148" s="132">
        <v>2021</v>
      </c>
      <c r="Q148" s="132">
        <v>2022</v>
      </c>
      <c r="R148" s="132">
        <v>2023</v>
      </c>
      <c r="S148" s="132">
        <v>2024</v>
      </c>
      <c r="T148" s="132">
        <v>2025</v>
      </c>
      <c r="U148" s="132">
        <v>2026</v>
      </c>
      <c r="V148" s="132">
        <v>2027</v>
      </c>
      <c r="W148" s="132">
        <v>2028</v>
      </c>
      <c r="X148" s="197"/>
      <c r="AJ148" s="7"/>
      <c r="AK148" s="7"/>
      <c r="AL148" s="7"/>
      <c r="AM148" s="7"/>
      <c r="AN148" s="7"/>
      <c r="AO148" s="7"/>
      <c r="AP148" s="7"/>
      <c r="AQ148" s="7"/>
      <c r="AR148" s="7"/>
      <c r="AS148" s="7"/>
      <c r="AT148" s="7"/>
      <c r="AU148" s="7"/>
      <c r="AV148" s="7"/>
    </row>
    <row r="149" spans="2:48" x14ac:dyDescent="0.2">
      <c r="B149" s="133" t="s">
        <v>774</v>
      </c>
      <c r="C149" s="43">
        <f>SUMIF('1. Väestöennuste'!$X$15:$X$307,'1. Väestöennuste'!$U2,'Taseen kertynyt ali_ylijäämä'!AO$15:AO$307)*-1</f>
        <v>0</v>
      </c>
      <c r="D149" s="43">
        <f>SUMIF('1. Väestöennuste'!$X$15:$X$307,'1. Väestöennuste'!$U2,'Taseen kertynyt ali_ylijäämä'!AP$15:AP$307)*-1</f>
        <v>0</v>
      </c>
      <c r="E149" s="43">
        <f>SUMIF('1. Väestöennuste'!$X$15:$X$307,'1. Väestöennuste'!$U2,'Taseen kertynyt ali_ylijäämä'!AQ$15:AQ$307)*-1</f>
        <v>0</v>
      </c>
      <c r="F149" s="43">
        <f>SUMIF('1. Väestöennuste'!$X$15:$X$307,'1. Väestöennuste'!$U2,'Taseen kertynyt ali_ylijäämä'!AR$15:AR$307)*-1</f>
        <v>1</v>
      </c>
      <c r="G149" s="43">
        <f>SUMIF('1. Väestöennuste'!$X$15:$X$307,'1. Väestöennuste'!$U2,'Taseen kertynyt ali_ylijäämä'!AS$15:AS$307)*-1</f>
        <v>1</v>
      </c>
      <c r="H149" s="43">
        <f>SUMIF('1. Väestöennuste'!$X$15:$X$307,'1. Väestöennuste'!$U2,'Taseen kertynyt ali_ylijäämä'!AT$15:AT$307)*-1</f>
        <v>1</v>
      </c>
      <c r="I149" s="43">
        <f>SUMIF('1. Väestöennuste'!$X$15:$X$307,'1. Väestöennuste'!$U2,'Taseen kertynyt ali_ylijäämä'!AU$15:AU$307)*-1</f>
        <v>1</v>
      </c>
      <c r="J149" s="43">
        <f>SUMIF('1. Väestöennuste'!$X$15:$X$307,'1. Väestöennuste'!$U2,'Taseen kertynyt ali_ylijäämä'!AV$15:AV$307)*-1</f>
        <v>1</v>
      </c>
      <c r="K149" s="43">
        <f>SUMIF('1. Väestöennuste'!$X$15:$X$307,'1. Väestöennuste'!$U2,'Taseen kertynyt ali_ylijäämä'!AW$15:AW$307)*-1</f>
        <v>2</v>
      </c>
      <c r="L149" s="43">
        <f>SUMIF('1. Väestöennuste'!$X$15:$X$307,'1. Väestöennuste'!$U2,'Taseen kertynyt ali_ylijäämä'!AX$15:AX$307)*-1</f>
        <v>2</v>
      </c>
      <c r="M149" s="132"/>
      <c r="N149" s="43"/>
      <c r="O149" s="44">
        <f>D149-C149</f>
        <v>0</v>
      </c>
      <c r="P149" s="44">
        <f t="shared" ref="P149:P156" si="84">E149-D149</f>
        <v>0</v>
      </c>
      <c r="Q149" s="44">
        <f t="shared" ref="Q149:Q156" si="85">F149-E149</f>
        <v>1</v>
      </c>
      <c r="R149" s="44">
        <f t="shared" ref="R149:R156" si="86">G149-F149</f>
        <v>0</v>
      </c>
      <c r="S149" s="44">
        <f t="shared" ref="S149:S156" si="87">H149-G149</f>
        <v>0</v>
      </c>
      <c r="T149" s="44">
        <f>I149-H149</f>
        <v>0</v>
      </c>
      <c r="U149" s="44">
        <f>J149-I149</f>
        <v>0</v>
      </c>
      <c r="V149" s="44">
        <f>K149-J149</f>
        <v>1</v>
      </c>
      <c r="W149" s="44">
        <f>L149-K149</f>
        <v>0</v>
      </c>
      <c r="X149" s="170"/>
      <c r="AJ149" s="7"/>
      <c r="AK149" s="7"/>
      <c r="AL149" s="7"/>
      <c r="AM149" s="7"/>
      <c r="AN149" s="7"/>
      <c r="AO149" s="7"/>
      <c r="AP149" s="7"/>
      <c r="AQ149" s="7"/>
      <c r="AR149" s="7"/>
      <c r="AS149" s="7"/>
      <c r="AT149" s="7"/>
      <c r="AU149" s="7"/>
      <c r="AV149" s="7"/>
    </row>
    <row r="150" spans="2:48" x14ac:dyDescent="0.2">
      <c r="B150" s="134" t="s">
        <v>775</v>
      </c>
      <c r="C150" s="43">
        <f>SUMIF('1. Väestöennuste'!$X$15:$X$307,'1. Väestöennuste'!$U3,'Taseen kertynyt ali_ylijäämä'!AO$15:AO$307)*-1</f>
        <v>6</v>
      </c>
      <c r="D150" s="43">
        <f>SUMIF('1. Väestöennuste'!$X$15:$X$307,'1. Väestöennuste'!$U3,'Taseen kertynyt ali_ylijäämä'!AP$15:AP$307)*-1</f>
        <v>1</v>
      </c>
      <c r="E150" s="43">
        <f>SUMIF('1. Väestöennuste'!$X$15:$X$307,'1. Väestöennuste'!$U3,'Taseen kertynyt ali_ylijäämä'!AQ$15:AQ$307)*-1</f>
        <v>1</v>
      </c>
      <c r="F150" s="43">
        <f>SUMIF('1. Väestöennuste'!$X$15:$X$307,'1. Väestöennuste'!$U3,'Taseen kertynyt ali_ylijäämä'!AR$15:AR$307)*-1</f>
        <v>3</v>
      </c>
      <c r="G150" s="43">
        <f>SUMIF('1. Väestöennuste'!$X$15:$X$307,'1. Väestöennuste'!$U3,'Taseen kertynyt ali_ylijäämä'!AS$15:AS$307)*-1</f>
        <v>1</v>
      </c>
      <c r="H150" s="43">
        <f>SUMIF('1. Väestöennuste'!$X$15:$X$307,'1. Väestöennuste'!$U3,'Taseen kertynyt ali_ylijäämä'!AT$15:AT$307)*-1</f>
        <v>2</v>
      </c>
      <c r="I150" s="43">
        <f>SUMIF('1. Väestöennuste'!$X$15:$X$307,'1. Väestöennuste'!$U3,'Taseen kertynyt ali_ylijäämä'!AU$15:AU$307)*-1</f>
        <v>4</v>
      </c>
      <c r="J150" s="43">
        <f>SUMIF('1. Väestöennuste'!$X$15:$X$307,'1. Väestöennuste'!$U3,'Taseen kertynyt ali_ylijäämä'!AV$15:AV$307)*-1</f>
        <v>6</v>
      </c>
      <c r="K150" s="43">
        <f>SUMIF('1. Väestöennuste'!$X$15:$X$307,'1. Väestöennuste'!$U3,'Taseen kertynyt ali_ylijäämä'!AW$15:AW$307)*-1</f>
        <v>6</v>
      </c>
      <c r="L150" s="43">
        <f>SUMIF('1. Väestöennuste'!$X$15:$X$307,'1. Väestöennuste'!$U3,'Taseen kertynyt ali_ylijäämä'!AX$15:AX$307)*-1</f>
        <v>6</v>
      </c>
      <c r="M150" s="132"/>
      <c r="N150" s="43"/>
      <c r="O150" s="44">
        <f t="shared" ref="O150:O156" si="88">D150-C150</f>
        <v>-5</v>
      </c>
      <c r="P150" s="44">
        <f t="shared" si="84"/>
        <v>0</v>
      </c>
      <c r="Q150" s="44">
        <f t="shared" si="85"/>
        <v>2</v>
      </c>
      <c r="R150" s="44">
        <f t="shared" si="86"/>
        <v>-2</v>
      </c>
      <c r="S150" s="44">
        <f t="shared" si="87"/>
        <v>1</v>
      </c>
      <c r="T150" s="44">
        <f t="shared" ref="T150:W156" si="89">I150-H150</f>
        <v>2</v>
      </c>
      <c r="U150" s="44">
        <f t="shared" si="89"/>
        <v>2</v>
      </c>
      <c r="V150" s="44">
        <f t="shared" si="89"/>
        <v>0</v>
      </c>
      <c r="W150" s="44">
        <f t="shared" si="89"/>
        <v>0</v>
      </c>
      <c r="X150" s="170"/>
      <c r="AJ150" s="7"/>
      <c r="AK150" s="7"/>
      <c r="AL150" s="7"/>
      <c r="AM150" s="7"/>
      <c r="AN150" s="7"/>
      <c r="AO150" s="7"/>
      <c r="AP150" s="7"/>
      <c r="AQ150" s="7"/>
      <c r="AR150" s="7"/>
      <c r="AS150" s="7"/>
      <c r="AT150" s="197"/>
      <c r="AU150" s="7"/>
      <c r="AV150" s="7"/>
    </row>
    <row r="151" spans="2:48" x14ac:dyDescent="0.2">
      <c r="B151" s="133" t="s">
        <v>776</v>
      </c>
      <c r="C151" s="43">
        <f>SUMIF('1. Väestöennuste'!$X$15:$X$307,'1. Väestöennuste'!$U4,'Taseen kertynyt ali_ylijäämä'!AO$15:AO$307)*-1</f>
        <v>5</v>
      </c>
      <c r="D151" s="43">
        <f>SUMIF('1. Väestöennuste'!$X$15:$X$307,'1. Väestöennuste'!$U4,'Taseen kertynyt ali_ylijäämä'!AP$15:AP$307)*-1</f>
        <v>2</v>
      </c>
      <c r="E151" s="43">
        <f>SUMIF('1. Väestöennuste'!$X$15:$X$307,'1. Väestöennuste'!$U4,'Taseen kertynyt ali_ylijäämä'!AQ$15:AQ$307)*-1</f>
        <v>1</v>
      </c>
      <c r="F151" s="43">
        <f>SUMIF('1. Väestöennuste'!$X$15:$X$307,'1. Väestöennuste'!$U4,'Taseen kertynyt ali_ylijäämä'!AR$15:AR$307)*-1</f>
        <v>2</v>
      </c>
      <c r="G151" s="43">
        <f>SUMIF('1. Väestöennuste'!$X$15:$X$307,'1. Väestöennuste'!$U4,'Taseen kertynyt ali_ylijäämä'!AS$15:AS$307)*-1</f>
        <v>2</v>
      </c>
      <c r="H151" s="43">
        <f>SUMIF('1. Väestöennuste'!$X$15:$X$307,'1. Väestöennuste'!$U4,'Taseen kertynyt ali_ylijäämä'!AT$15:AT$307)*-1</f>
        <v>3</v>
      </c>
      <c r="I151" s="43">
        <f>SUMIF('1. Väestöennuste'!$X$15:$X$307,'1. Väestöennuste'!$U4,'Taseen kertynyt ali_ylijäämä'!AU$15:AU$307)*-1</f>
        <v>4</v>
      </c>
      <c r="J151" s="43">
        <f>SUMIF('1. Väestöennuste'!$X$15:$X$307,'1. Väestöennuste'!$U4,'Taseen kertynyt ali_ylijäämä'!AV$15:AV$307)*-1</f>
        <v>6</v>
      </c>
      <c r="K151" s="43">
        <f>SUMIF('1. Väestöennuste'!$X$15:$X$307,'1. Väestöennuste'!$U4,'Taseen kertynyt ali_ylijäämä'!AW$15:AW$307)*-1</f>
        <v>7</v>
      </c>
      <c r="L151" s="43">
        <f>SUMIF('1. Väestöennuste'!$X$15:$X$307,'1. Väestöennuste'!$U4,'Taseen kertynyt ali_ylijäämä'!AX$15:AX$307)*-1</f>
        <v>8</v>
      </c>
      <c r="M151" s="132"/>
      <c r="N151" s="43"/>
      <c r="O151" s="44">
        <f t="shared" si="88"/>
        <v>-3</v>
      </c>
      <c r="P151" s="44">
        <f t="shared" si="84"/>
        <v>-1</v>
      </c>
      <c r="Q151" s="44">
        <f t="shared" si="85"/>
        <v>1</v>
      </c>
      <c r="R151" s="44">
        <f t="shared" si="86"/>
        <v>0</v>
      </c>
      <c r="S151" s="44">
        <f t="shared" si="87"/>
        <v>1</v>
      </c>
      <c r="T151" s="44">
        <f t="shared" si="89"/>
        <v>1</v>
      </c>
      <c r="U151" s="44">
        <f t="shared" si="89"/>
        <v>2</v>
      </c>
      <c r="V151" s="44">
        <f t="shared" si="89"/>
        <v>1</v>
      </c>
      <c r="W151" s="44">
        <f t="shared" si="89"/>
        <v>1</v>
      </c>
      <c r="X151" s="170"/>
      <c r="AJ151" s="7"/>
      <c r="AK151" s="7"/>
      <c r="AL151" s="7"/>
      <c r="AM151" s="7"/>
      <c r="AN151" s="7"/>
      <c r="AO151" s="7"/>
      <c r="AP151" s="7"/>
      <c r="AQ151" s="7"/>
      <c r="AR151" s="7"/>
      <c r="AS151" s="7"/>
      <c r="AT151" s="159"/>
      <c r="AU151" s="7"/>
      <c r="AV151" s="7"/>
    </row>
    <row r="152" spans="2:48" x14ac:dyDescent="0.2">
      <c r="B152" s="133" t="s">
        <v>777</v>
      </c>
      <c r="C152" s="43">
        <f>SUMIF('1. Väestöennuste'!$X$15:$X$307,'1. Väestöennuste'!$U5,'Taseen kertynyt ali_ylijäämä'!AO$15:AO$307)*-1</f>
        <v>8</v>
      </c>
      <c r="D152" s="43">
        <f>SUMIF('1. Väestöennuste'!$X$15:$X$307,'1. Väestöennuste'!$U5,'Taseen kertynyt ali_ylijäämä'!AP$15:AP$307)*-1</f>
        <v>3</v>
      </c>
      <c r="E152" s="43">
        <f>SUMIF('1. Väestöennuste'!$X$15:$X$307,'1. Väestöennuste'!$U5,'Taseen kertynyt ali_ylijäämä'!AQ$15:AQ$307)*-1</f>
        <v>2</v>
      </c>
      <c r="F152" s="43">
        <f>SUMIF('1. Väestöennuste'!$X$15:$X$307,'1. Väestöennuste'!$U5,'Taseen kertynyt ali_ylijäämä'!AR$15:AR$307)*-1</f>
        <v>3</v>
      </c>
      <c r="G152" s="43">
        <f>SUMIF('1. Väestöennuste'!$X$15:$X$307,'1. Väestöennuste'!$U5,'Taseen kertynyt ali_ylijäämä'!AS$15:AS$307)*-1</f>
        <v>1</v>
      </c>
      <c r="H152" s="43">
        <f>SUMIF('1. Väestöennuste'!$X$15:$X$307,'1. Väestöennuste'!$U5,'Taseen kertynyt ali_ylijäämä'!AT$15:AT$307)*-1</f>
        <v>2</v>
      </c>
      <c r="I152" s="43">
        <f>SUMIF('1. Väestöennuste'!$X$15:$X$307,'1. Väestöennuste'!$U5,'Taseen kertynyt ali_ylijäämä'!AU$15:AU$307)*-1</f>
        <v>5</v>
      </c>
      <c r="J152" s="43">
        <f>SUMIF('1. Väestöennuste'!$X$15:$X$307,'1. Väestöennuste'!$U5,'Taseen kertynyt ali_ylijäämä'!AV$15:AV$307)*-1</f>
        <v>10</v>
      </c>
      <c r="K152" s="43">
        <f>SUMIF('1. Väestöennuste'!$X$15:$X$307,'1. Väestöennuste'!$U5,'Taseen kertynyt ali_ylijäämä'!AW$15:AW$307)*-1</f>
        <v>16</v>
      </c>
      <c r="L152" s="43">
        <f>SUMIF('1. Väestöennuste'!$X$15:$X$307,'1. Väestöennuste'!$U5,'Taseen kertynyt ali_ylijäämä'!AX$15:AX$307)*-1</f>
        <v>18</v>
      </c>
      <c r="M152" s="132"/>
      <c r="N152" s="43"/>
      <c r="O152" s="44">
        <f t="shared" si="88"/>
        <v>-5</v>
      </c>
      <c r="P152" s="44">
        <f t="shared" si="84"/>
        <v>-1</v>
      </c>
      <c r="Q152" s="44">
        <f t="shared" si="85"/>
        <v>1</v>
      </c>
      <c r="R152" s="44">
        <f t="shared" si="86"/>
        <v>-2</v>
      </c>
      <c r="S152" s="44">
        <f t="shared" si="87"/>
        <v>1</v>
      </c>
      <c r="T152" s="44">
        <f t="shared" si="89"/>
        <v>3</v>
      </c>
      <c r="U152" s="44">
        <f t="shared" si="89"/>
        <v>5</v>
      </c>
      <c r="V152" s="44">
        <f t="shared" si="89"/>
        <v>6</v>
      </c>
      <c r="W152" s="44">
        <f t="shared" si="89"/>
        <v>2</v>
      </c>
      <c r="X152" s="170"/>
      <c r="AJ152" s="7"/>
      <c r="AK152" s="7"/>
      <c r="AL152" s="7"/>
      <c r="AM152" s="7"/>
      <c r="AN152" s="7"/>
      <c r="AO152" s="7"/>
      <c r="AP152" s="7"/>
      <c r="AQ152" s="7"/>
      <c r="AR152" s="7"/>
      <c r="AS152" s="7"/>
      <c r="AT152" s="159"/>
      <c r="AU152" s="7"/>
      <c r="AV152" s="7"/>
    </row>
    <row r="153" spans="2:48" x14ac:dyDescent="0.2">
      <c r="B153" s="133" t="s">
        <v>778</v>
      </c>
      <c r="C153" s="43">
        <f>SUMIF('1. Väestöennuste'!$X$15:$X$307,'1. Väestöennuste'!$U6,'Taseen kertynyt ali_ylijäämä'!AO$15:AO$307)*-1</f>
        <v>12</v>
      </c>
      <c r="D153" s="43">
        <f>SUMIF('1. Väestöennuste'!$X$15:$X$307,'1. Väestöennuste'!$U6,'Taseen kertynyt ali_ylijäämä'!AP$15:AP$307)*-1</f>
        <v>9</v>
      </c>
      <c r="E153" s="43">
        <f>SUMIF('1. Väestöennuste'!$X$15:$X$307,'1. Väestöennuste'!$U6,'Taseen kertynyt ali_ylijäämä'!AQ$15:AQ$307)*-1</f>
        <v>4</v>
      </c>
      <c r="F153" s="43">
        <f>SUMIF('1. Väestöennuste'!$X$15:$X$307,'1. Väestöennuste'!$U6,'Taseen kertynyt ali_ylijäämä'!AR$15:AR$307)*-1</f>
        <v>5</v>
      </c>
      <c r="G153" s="43">
        <f>SUMIF('1. Väestöennuste'!$X$15:$X$307,'1. Väestöennuste'!$U6,'Taseen kertynyt ali_ylijäämä'!AS$15:AS$307)*-1</f>
        <v>6</v>
      </c>
      <c r="H153" s="43">
        <f>SUMIF('1. Väestöennuste'!$X$15:$X$307,'1. Väestöennuste'!$U6,'Taseen kertynyt ali_ylijäämä'!AT$15:AT$307)*-1</f>
        <v>7</v>
      </c>
      <c r="I153" s="43">
        <f>SUMIF('1. Väestöennuste'!$X$15:$X$307,'1. Väestöennuste'!$U6,'Taseen kertynyt ali_ylijäämä'!AU$15:AU$307)*-1</f>
        <v>8</v>
      </c>
      <c r="J153" s="43">
        <f>SUMIF('1. Väestöennuste'!$X$15:$X$307,'1. Väestöennuste'!$U6,'Taseen kertynyt ali_ylijäämä'!AV$15:AV$307)*-1</f>
        <v>11</v>
      </c>
      <c r="K153" s="43">
        <f>SUMIF('1. Väestöennuste'!$X$15:$X$307,'1. Väestöennuste'!$U6,'Taseen kertynyt ali_ylijäämä'!AW$15:AW$307)*-1</f>
        <v>15</v>
      </c>
      <c r="L153" s="43">
        <f>SUMIF('1. Väestöennuste'!$X$15:$X$307,'1. Väestöennuste'!$U6,'Taseen kertynyt ali_ylijäämä'!AX$15:AX$307)*-1</f>
        <v>20</v>
      </c>
      <c r="M153" s="132"/>
      <c r="N153" s="43"/>
      <c r="O153" s="44">
        <f t="shared" si="88"/>
        <v>-3</v>
      </c>
      <c r="P153" s="44">
        <f t="shared" si="84"/>
        <v>-5</v>
      </c>
      <c r="Q153" s="44">
        <f t="shared" si="85"/>
        <v>1</v>
      </c>
      <c r="R153" s="44">
        <f t="shared" si="86"/>
        <v>1</v>
      </c>
      <c r="S153" s="44">
        <f t="shared" si="87"/>
        <v>1</v>
      </c>
      <c r="T153" s="44">
        <f t="shared" si="89"/>
        <v>1</v>
      </c>
      <c r="U153" s="44">
        <f t="shared" si="89"/>
        <v>3</v>
      </c>
      <c r="V153" s="44">
        <f t="shared" si="89"/>
        <v>4</v>
      </c>
      <c r="W153" s="44">
        <f t="shared" si="89"/>
        <v>5</v>
      </c>
      <c r="X153" s="170"/>
      <c r="AJ153" s="7"/>
      <c r="AK153" s="7"/>
      <c r="AL153" s="7"/>
      <c r="AM153" s="7"/>
      <c r="AN153" s="7"/>
      <c r="AO153" s="7"/>
      <c r="AP153" s="7"/>
      <c r="AQ153" s="7"/>
      <c r="AR153" s="7"/>
      <c r="AS153" s="7"/>
      <c r="AT153" s="159"/>
      <c r="AU153" s="7"/>
      <c r="AV153" s="7"/>
    </row>
    <row r="154" spans="2:48" x14ac:dyDescent="0.2">
      <c r="B154" s="133" t="s">
        <v>779</v>
      </c>
      <c r="C154" s="43">
        <f>SUMIF('1. Väestöennuste'!$X$15:$X$307,'1. Väestöennuste'!$U7,'Taseen kertynyt ali_ylijäämä'!AO$15:AO$307)*-1</f>
        <v>19</v>
      </c>
      <c r="D154" s="43">
        <f>SUMIF('1. Väestöennuste'!$X$15:$X$307,'1. Väestöennuste'!$U7,'Taseen kertynyt ali_ylijäämä'!AP$15:AP$307)*-1</f>
        <v>9</v>
      </c>
      <c r="E154" s="43">
        <f>SUMIF('1. Väestöennuste'!$X$15:$X$307,'1. Väestöennuste'!$U7,'Taseen kertynyt ali_ylijäämä'!AQ$15:AQ$307)*-1</f>
        <v>2</v>
      </c>
      <c r="F154" s="43">
        <f>SUMIF('1. Väestöennuste'!$X$15:$X$307,'1. Väestöennuste'!$U7,'Taseen kertynyt ali_ylijäämä'!AR$15:AR$307)*-1</f>
        <v>4</v>
      </c>
      <c r="G154" s="43">
        <f>SUMIF('1. Väestöennuste'!$X$15:$X$307,'1. Väestöennuste'!$U7,'Taseen kertynyt ali_ylijäämä'!AS$15:AS$307)*-1</f>
        <v>3</v>
      </c>
      <c r="H154" s="43">
        <f>SUMIF('1. Väestöennuste'!$X$15:$X$307,'1. Väestöennuste'!$U7,'Taseen kertynyt ali_ylijäämä'!AT$15:AT$307)*-1</f>
        <v>6</v>
      </c>
      <c r="I154" s="43">
        <f>SUMIF('1. Väestöennuste'!$X$15:$X$307,'1. Väestöennuste'!$U7,'Taseen kertynyt ali_ylijäämä'!AU$15:AU$307)*-1</f>
        <v>13</v>
      </c>
      <c r="J154" s="43">
        <f>SUMIF('1. Väestöennuste'!$X$15:$X$307,'1. Väestöennuste'!$U7,'Taseen kertynyt ali_ylijäämä'!AV$15:AV$307)*-1</f>
        <v>19</v>
      </c>
      <c r="K154" s="43">
        <f>SUMIF('1. Väestöennuste'!$X$15:$X$307,'1. Väestöennuste'!$U7,'Taseen kertynyt ali_ylijäämä'!AW$15:AW$307)*-1</f>
        <v>25</v>
      </c>
      <c r="L154" s="43">
        <f>SUMIF('1. Väestöennuste'!$X$15:$X$307,'1. Väestöennuste'!$U7,'Taseen kertynyt ali_ylijäämä'!AX$15:AX$307)*-1</f>
        <v>32</v>
      </c>
      <c r="M154" s="132"/>
      <c r="N154" s="43"/>
      <c r="O154" s="44">
        <f t="shared" si="88"/>
        <v>-10</v>
      </c>
      <c r="P154" s="44">
        <f t="shared" si="84"/>
        <v>-7</v>
      </c>
      <c r="Q154" s="44">
        <f t="shared" si="85"/>
        <v>2</v>
      </c>
      <c r="R154" s="44">
        <f t="shared" si="86"/>
        <v>-1</v>
      </c>
      <c r="S154" s="44">
        <f t="shared" si="87"/>
        <v>3</v>
      </c>
      <c r="T154" s="44">
        <f t="shared" si="89"/>
        <v>7</v>
      </c>
      <c r="U154" s="44">
        <f t="shared" si="89"/>
        <v>6</v>
      </c>
      <c r="V154" s="44">
        <f t="shared" si="89"/>
        <v>6</v>
      </c>
      <c r="W154" s="44">
        <f t="shared" si="89"/>
        <v>7</v>
      </c>
      <c r="X154" s="170"/>
      <c r="AJ154" s="7"/>
      <c r="AK154" s="7"/>
      <c r="AL154" s="7"/>
      <c r="AM154" s="7"/>
      <c r="AN154" s="7"/>
      <c r="AO154" s="7"/>
      <c r="AP154" s="7"/>
      <c r="AQ154" s="7"/>
      <c r="AR154" s="7"/>
      <c r="AS154" s="7"/>
      <c r="AT154" s="159"/>
      <c r="AU154" s="7"/>
      <c r="AV154" s="7"/>
    </row>
    <row r="155" spans="2:48" x14ac:dyDescent="0.2">
      <c r="B155" s="193" t="s">
        <v>780</v>
      </c>
      <c r="C155" s="226">
        <f>SUMIF('1. Väestöennuste'!$X$15:$X$307,'1. Väestöennuste'!$U8,'Taseen kertynyt ali_ylijäämä'!AO$15:AO$307)*-1</f>
        <v>6</v>
      </c>
      <c r="D155" s="226">
        <f>SUMIF('1. Väestöennuste'!$X$15:$X$307,'1. Väestöennuste'!$U8,'Taseen kertynyt ali_ylijäämä'!AP$15:AP$307)*-1</f>
        <v>3</v>
      </c>
      <c r="E155" s="226">
        <f>SUMIF('1. Väestöennuste'!$X$15:$X$307,'1. Väestöennuste'!$U8,'Taseen kertynyt ali_ylijäämä'!AQ$15:AQ$307)*-1</f>
        <v>4</v>
      </c>
      <c r="F155" s="226">
        <f>SUMIF('1. Väestöennuste'!$X$15:$X$307,'1. Väestöennuste'!$U8,'Taseen kertynyt ali_ylijäämä'!AR$15:AR$307)*-1</f>
        <v>3</v>
      </c>
      <c r="G155" s="226">
        <f>SUMIF('1. Väestöennuste'!$X$15:$X$307,'1. Väestöennuste'!$U8,'Taseen kertynyt ali_ylijäämä'!AS$15:AS$307)*-1</f>
        <v>4</v>
      </c>
      <c r="H155" s="226">
        <f>SUMIF('1. Väestöennuste'!$X$15:$X$307,'1. Väestöennuste'!$U8,'Taseen kertynyt ali_ylijäämä'!AT$15:AT$307)*-1</f>
        <v>6</v>
      </c>
      <c r="I155" s="226">
        <f>SUMIF('1. Väestöennuste'!$X$15:$X$307,'1. Väestöennuste'!$U8,'Taseen kertynyt ali_ylijäämä'!AU$15:AU$307)*-1</f>
        <v>8</v>
      </c>
      <c r="J155" s="226">
        <f>SUMIF('1. Väestöennuste'!$X$15:$X$307,'1. Väestöennuste'!$U8,'Taseen kertynyt ali_ylijäämä'!AV$15:AV$307)*-1</f>
        <v>12</v>
      </c>
      <c r="K155" s="226">
        <f>SUMIF('1. Väestöennuste'!$X$15:$X$307,'1. Väestöennuste'!$U8,'Taseen kertynyt ali_ylijäämä'!AW$15:AW$307)*-1</f>
        <v>14</v>
      </c>
      <c r="L155" s="226">
        <f>SUMIF('1. Väestöennuste'!$X$15:$X$307,'1. Väestöennuste'!$U8,'Taseen kertynyt ali_ylijäämä'!AX$15:AX$307)*-1</f>
        <v>15</v>
      </c>
      <c r="M155" s="228"/>
      <c r="N155" s="226"/>
      <c r="O155" s="229">
        <f t="shared" si="88"/>
        <v>-3</v>
      </c>
      <c r="P155" s="229">
        <f t="shared" si="84"/>
        <v>1</v>
      </c>
      <c r="Q155" s="229">
        <f t="shared" si="85"/>
        <v>-1</v>
      </c>
      <c r="R155" s="229">
        <f t="shared" si="86"/>
        <v>1</v>
      </c>
      <c r="S155" s="229">
        <f t="shared" si="87"/>
        <v>2</v>
      </c>
      <c r="T155" s="229">
        <f t="shared" si="89"/>
        <v>2</v>
      </c>
      <c r="U155" s="229">
        <f t="shared" si="89"/>
        <v>4</v>
      </c>
      <c r="V155" s="229">
        <f t="shared" si="89"/>
        <v>2</v>
      </c>
      <c r="W155" s="229">
        <f t="shared" si="89"/>
        <v>1</v>
      </c>
      <c r="X155" s="170"/>
      <c r="AJ155" s="7"/>
      <c r="AK155" s="7"/>
      <c r="AL155" s="7"/>
      <c r="AM155" s="7"/>
      <c r="AN155" s="7"/>
      <c r="AO155" s="7"/>
      <c r="AP155" s="7"/>
      <c r="AQ155" s="7"/>
      <c r="AR155" s="7"/>
      <c r="AS155" s="7"/>
      <c r="AT155" s="159"/>
      <c r="AU155" s="7"/>
      <c r="AV155" s="7"/>
    </row>
    <row r="156" spans="2:48" x14ac:dyDescent="0.2">
      <c r="B156" s="8" t="s">
        <v>694</v>
      </c>
      <c r="C156" s="166">
        <f t="shared" ref="C156:J156" si="90">SUM(C149:C155)</f>
        <v>56</v>
      </c>
      <c r="D156" s="166">
        <f t="shared" si="90"/>
        <v>27</v>
      </c>
      <c r="E156" s="166">
        <f t="shared" si="90"/>
        <v>14</v>
      </c>
      <c r="F156" s="166">
        <f t="shared" si="90"/>
        <v>21</v>
      </c>
      <c r="G156" s="166">
        <f t="shared" si="90"/>
        <v>18</v>
      </c>
      <c r="H156" s="166">
        <f t="shared" si="90"/>
        <v>27</v>
      </c>
      <c r="I156" s="166">
        <f t="shared" si="90"/>
        <v>43</v>
      </c>
      <c r="J156" s="166">
        <f t="shared" si="90"/>
        <v>65</v>
      </c>
      <c r="K156" s="166">
        <f t="shared" ref="K156:L156" si="91">SUM(K149:K155)</f>
        <v>85</v>
      </c>
      <c r="L156" s="166">
        <f t="shared" si="91"/>
        <v>101</v>
      </c>
      <c r="M156" s="132"/>
      <c r="N156" s="166"/>
      <c r="O156" s="331">
        <f t="shared" si="88"/>
        <v>-29</v>
      </c>
      <c r="P156" s="331">
        <f t="shared" si="84"/>
        <v>-13</v>
      </c>
      <c r="Q156" s="331">
        <f t="shared" si="85"/>
        <v>7</v>
      </c>
      <c r="R156" s="331">
        <f t="shared" si="86"/>
        <v>-3</v>
      </c>
      <c r="S156" s="331">
        <f t="shared" si="87"/>
        <v>9</v>
      </c>
      <c r="T156" s="331">
        <f t="shared" si="89"/>
        <v>16</v>
      </c>
      <c r="U156" s="331">
        <f t="shared" si="89"/>
        <v>22</v>
      </c>
      <c r="V156" s="331">
        <f t="shared" si="89"/>
        <v>20</v>
      </c>
      <c r="W156" s="331">
        <f t="shared" si="89"/>
        <v>16</v>
      </c>
      <c r="X156" s="170"/>
      <c r="AJ156" s="7"/>
      <c r="AK156" s="7"/>
      <c r="AL156" s="7"/>
      <c r="AM156" s="7"/>
      <c r="AN156" s="7"/>
      <c r="AO156" s="7"/>
      <c r="AP156" s="7"/>
      <c r="AQ156" s="7"/>
      <c r="AR156" s="7"/>
      <c r="AS156" s="7"/>
      <c r="AT156" s="159"/>
      <c r="AU156" s="7"/>
      <c r="AV156" s="7"/>
    </row>
    <row r="157" spans="2:48" x14ac:dyDescent="0.2">
      <c r="AJ157" s="7"/>
      <c r="AK157" s="7"/>
      <c r="AL157" s="7"/>
      <c r="AM157" s="7"/>
      <c r="AN157" s="7"/>
      <c r="AO157" s="7"/>
      <c r="AP157" s="7"/>
      <c r="AQ157" s="7"/>
      <c r="AR157" s="7"/>
      <c r="AS157" s="7"/>
      <c r="AT157" s="159"/>
      <c r="AU157" s="7"/>
      <c r="AV157" s="7"/>
    </row>
    <row r="158" spans="2:48" x14ac:dyDescent="0.2">
      <c r="AJ158" s="7"/>
      <c r="AK158" s="7"/>
      <c r="AL158" s="7"/>
      <c r="AM158" s="7"/>
      <c r="AN158" s="7"/>
      <c r="AO158" s="7"/>
      <c r="AP158" s="7"/>
      <c r="AQ158" s="7"/>
      <c r="AR158" s="7"/>
      <c r="AS158" s="7"/>
      <c r="AT158" s="159"/>
      <c r="AU158" s="7"/>
      <c r="AV158" s="7"/>
    </row>
    <row r="159" spans="2:48" x14ac:dyDescent="0.2">
      <c r="H159" s="41"/>
      <c r="AJ159" s="7"/>
      <c r="AK159" s="7"/>
      <c r="AL159" s="7"/>
      <c r="AM159" s="7"/>
      <c r="AN159" s="7"/>
      <c r="AO159" s="7"/>
      <c r="AP159" s="7"/>
      <c r="AQ159" s="7"/>
      <c r="AR159" s="7"/>
      <c r="AS159" s="7"/>
      <c r="AT159" s="7"/>
      <c r="AU159" s="7"/>
      <c r="AV159" s="7"/>
    </row>
    <row r="160" spans="2:48" ht="11.45" customHeight="1" x14ac:dyDescent="0.2">
      <c r="B160" s="151" t="s">
        <v>704</v>
      </c>
      <c r="C160" s="132">
        <v>2019</v>
      </c>
      <c r="D160" s="132">
        <v>2020</v>
      </c>
      <c r="E160" s="132">
        <v>2021</v>
      </c>
      <c r="F160" s="132">
        <v>2022</v>
      </c>
      <c r="G160" s="132">
        <v>2023</v>
      </c>
      <c r="H160" s="132">
        <v>2024</v>
      </c>
      <c r="I160" s="132">
        <v>2025</v>
      </c>
      <c r="J160" s="132">
        <v>2026</v>
      </c>
      <c r="K160" s="132">
        <v>2027</v>
      </c>
      <c r="L160" s="132">
        <v>2028</v>
      </c>
      <c r="M160" s="132" t="s">
        <v>310</v>
      </c>
      <c r="N160" s="132"/>
      <c r="O160" s="132">
        <v>2020</v>
      </c>
      <c r="P160" s="132">
        <v>2021</v>
      </c>
      <c r="Q160" s="132">
        <v>2022</v>
      </c>
      <c r="R160" s="132">
        <v>2023</v>
      </c>
      <c r="S160" s="132">
        <v>2024</v>
      </c>
      <c r="T160" s="132">
        <v>2025</v>
      </c>
      <c r="U160" s="132">
        <v>2026</v>
      </c>
      <c r="V160" s="132">
        <v>2027</v>
      </c>
      <c r="W160" s="132">
        <v>2028</v>
      </c>
      <c r="AJ160" s="7"/>
      <c r="AK160" s="7"/>
      <c r="AL160" s="7"/>
      <c r="AM160" s="7"/>
      <c r="AN160" s="7"/>
      <c r="AO160" s="7"/>
      <c r="AP160" s="7"/>
      <c r="AQ160" s="7"/>
      <c r="AR160" s="7"/>
      <c r="AS160" s="7"/>
      <c r="AT160" s="7"/>
      <c r="AU160" s="7"/>
      <c r="AV160" s="7"/>
    </row>
    <row r="161" spans="2:48" x14ac:dyDescent="0.2">
      <c r="B161" s="349" t="s">
        <v>774</v>
      </c>
      <c r="C161" s="152">
        <f>SUMIF('1. Väestöennuste'!$AA$15:$AA$307,'1. Väestöennuste'!$U2,'3. Verotulot'!X$15:X$307)/SUMIF('1. Väestöennuste'!$AA$15:$AA$307,'1. Väestöennuste'!$U2,'Veroposentin tuotto'!W$15:W$307)</f>
        <v>0.18884419209086589</v>
      </c>
      <c r="D161" s="152">
        <f>SUMIF('1. Väestöennuste'!$X$15:$X$307,'1. Väestöennuste'!$U2,'3. Verotulot'!AC$15:AC$307)/SUMIF('1. Väestöennuste'!$X$15:$X$307,'1. Väestöennuste'!$U2,'Veroposentin tuotto'!X$15:X$307)</f>
        <v>0.1893825594917464</v>
      </c>
      <c r="E161" s="152">
        <f>SUMIF('1. Väestöennuste'!$AD$15:$AD$307,'1. Väestöennuste'!$U2,'3. Verotulot'!AH$15:AH$307)/SUMIF('1. Väestöennuste'!$AD$15:$AD$307,'1. Väestöennuste'!$U2,'Veroposentin tuotto'!Y$15:Y$307)</f>
        <v>0.18985749084527145</v>
      </c>
      <c r="F161" s="152">
        <f>SUMIF('1. Väestöennuste'!$AD$15:$AD$307,'1. Väestöennuste'!$U2,'3. Verotulot'!AM$15:AM$307)/SUMIF('1. Väestöennuste'!$AD$15:$AD$307,'1. Väestöennuste'!$U2,'Veroposentin tuotto'!Z$15:Z$307)</f>
        <v>0.18974871419398612</v>
      </c>
      <c r="G161" s="152">
        <f>SUMIF('1. Väestöennuste'!$AD$15:$AD$307,'1. Väestöennuste'!$U2,'3. Verotulot'!AR$15:AR$307)/SUMIF('1. Väestöennuste'!$AD$15:$AD$307,'1. Väestöennuste'!$U2,'Veroposentin tuotto'!AA$15:AA$307)</f>
        <v>6.3183471280042605E-2</v>
      </c>
      <c r="H161" s="152">
        <f>SUMIF('1. Väestöennuste'!$AD$15:$AD$307,'1. Väestöennuste'!$U2,'3. Verotulot'!AW$15:AW$307)/SUMIF('1. Väestöennuste'!$AD$15:$AD$307,'1. Väestöennuste'!$U2,'Veroposentin tuotto'!AB$15:AB$307)</f>
        <v>6.3551634905406731E-2</v>
      </c>
      <c r="I161" s="152">
        <f>SUMIF('1. Väestöennuste'!$AD$15:$AD$307,'1. Väestöennuste'!$U2,'3. Verotulot'!BB$15:BB$307)/SUMIF('1. Väestöennuste'!$AD$15:$AD$307,'1. Väestöennuste'!$U2,'Veroposentin tuotto'!AC$15:AC$307)</f>
        <v>6.3662925015244856E-2</v>
      </c>
      <c r="J161" s="152">
        <f>SUMIF('1. Väestöennuste'!$AD$15:$AD$307,'1. Väestöennuste'!$U2,'3. Verotulot'!BG$15:BG$307)/SUMIF('1. Väestöennuste'!$AD$15:$AD$307,'1. Väestöennuste'!$U2,'Veroposentin tuotto'!AD$15:AD$307)</f>
        <v>6.3739340149541981E-2</v>
      </c>
      <c r="K161" s="152">
        <f>SUMIF('1. Väestöennuste'!$AD$15:$AD$307,'1. Väestöennuste'!$U2,'3. Verotulot'!BL$15:BL$307)/SUMIF('1. Väestöennuste'!$AD$15:$AD$307,'1. Väestöennuste'!$U2,'Veroposentin tuotto'!AE$15:AE$307)</f>
        <v>6.3790551066394252E-2</v>
      </c>
      <c r="L161" s="152">
        <f>SUMIF('1. Väestöennuste'!$AD$15:$AD$307,'1. Väestöennuste'!$U2,'3. Verotulot'!BQ$15:BQ$307)/SUMIF('1. Väestöennuste'!$AD$15:$AD$307,'1. Väestöennuste'!$U2,'Veroposentin tuotto'!AF$15:AF$307)</f>
        <v>6.3843849625749544E-2</v>
      </c>
      <c r="M161" s="328"/>
      <c r="N161" s="43"/>
      <c r="O161" s="152">
        <f t="shared" ref="O161:W168" si="92">D161-C161</f>
        <v>5.3836740088050727E-4</v>
      </c>
      <c r="P161" s="152">
        <f t="shared" si="92"/>
        <v>4.7493135352505433E-4</v>
      </c>
      <c r="Q161" s="152">
        <f t="shared" si="92"/>
        <v>-1.0877665128533609E-4</v>
      </c>
      <c r="R161" s="152">
        <f t="shared" si="92"/>
        <v>-0.1265652429139435</v>
      </c>
      <c r="S161" s="152">
        <f t="shared" si="92"/>
        <v>3.6816362536412628E-4</v>
      </c>
      <c r="T161" s="152">
        <f t="shared" si="92"/>
        <v>1.1129010983812471E-4</v>
      </c>
      <c r="U161" s="152">
        <f t="shared" si="92"/>
        <v>7.641513429712532E-5</v>
      </c>
      <c r="V161" s="152">
        <f t="shared" si="92"/>
        <v>5.1210916852270638E-5</v>
      </c>
      <c r="W161" s="152">
        <f t="shared" si="92"/>
        <v>5.3298559355291486E-5</v>
      </c>
      <c r="AJ161" s="7"/>
      <c r="AK161" s="7"/>
      <c r="AL161" s="7"/>
      <c r="AM161" s="7"/>
      <c r="AN161" s="7"/>
      <c r="AO161" s="7"/>
      <c r="AP161" s="7"/>
      <c r="AQ161" s="7"/>
      <c r="AR161" s="7"/>
      <c r="AS161" s="7"/>
      <c r="AT161" s="197"/>
      <c r="AU161" s="7"/>
      <c r="AV161" s="7"/>
    </row>
    <row r="162" spans="2:48" x14ac:dyDescent="0.2">
      <c r="B162" s="134" t="s">
        <v>775</v>
      </c>
      <c r="C162" s="152">
        <f>SUMIF('1. Väestöennuste'!$X$15:$X$307,'1. Väestöennuste'!$U3,'3. Verotulot'!X$15:X$307)/SUMIF('1. Väestöennuste'!$X$15:$X$307,'1. Väestöennuste'!$U3,'Veroposentin tuotto'!W$15:W$307)</f>
        <v>0.20558932766630172</v>
      </c>
      <c r="D162" s="152">
        <f>SUMIF('1. Väestöennuste'!$X$15:$X$307,'1. Väestöennuste'!$U3,'3. Verotulot'!AC$15:AC$307)/SUMIF('1. Väestöennuste'!$X$15:$X$307,'1. Väestöennuste'!$U3,'Veroposentin tuotto'!X$15:X$307)</f>
        <v>0.2075133077685955</v>
      </c>
      <c r="E162" s="152">
        <f>SUMIF('1. Väestöennuste'!$AD$15:$AD$307,'1. Väestöennuste'!$U3,'3. Verotulot'!AH$15:AH$307)/SUMIF('1. Väestöennuste'!$AD$15:$AD$307,'1. Väestöennuste'!$U3,'Veroposentin tuotto'!Y$15:Y$307)</f>
        <v>0.20806176253297062</v>
      </c>
      <c r="F162" s="152">
        <f>SUMIF('1. Väestöennuste'!$AD$15:$AD$307,'1. Väestöennuste'!$U3,'3. Verotulot'!AM$15:AM$307)/SUMIF('1. Väestöennuste'!$AD$15:$AD$307,'1. Väestöennuste'!$U3,'Veroposentin tuotto'!Z$15:Z$307)</f>
        <v>0.20824317865528674</v>
      </c>
      <c r="G162" s="152">
        <f>SUMIF('1. Väestöennuste'!$AD$15:$AD$307,'1. Väestöennuste'!$U3,'3. Verotulot'!AR$15:AR$307)/SUMIF('1. Väestöennuste'!$AD$15:$AD$307,'1. Väestöennuste'!$U3,'Veroposentin tuotto'!AA$15:AA$307)</f>
        <v>8.1809001280309643E-2</v>
      </c>
      <c r="H162" s="152">
        <f>SUMIF('1. Väestöennuste'!$AD$15:$AD$307,'1. Väestöennuste'!$U3,'3. Verotulot'!AW$15:AW$307)/SUMIF('1. Väestöennuste'!$AD$15:$AD$307,'1. Väestöennuste'!$U3,'Veroposentin tuotto'!AB$15:AB$307)</f>
        <v>8.2404866045850594E-2</v>
      </c>
      <c r="I162" s="152">
        <f>SUMIF('1. Väestöennuste'!$AD$15:$AD$307,'1. Väestöennuste'!$U3,'3. Verotulot'!BB$15:BB$307)/SUMIF('1. Väestöennuste'!$AD$15:$AD$307,'1. Väestöennuste'!$U3,'Veroposentin tuotto'!AC$15:AC$307)</f>
        <v>8.2377547862799633E-2</v>
      </c>
      <c r="J162" s="152">
        <f>SUMIF('1. Väestöennuste'!$AD$15:$AD$307,'1. Väestöennuste'!$U3,'3. Verotulot'!BG$15:BG$307)/SUMIF('1. Väestöennuste'!$AD$15:$AD$307,'1. Väestöennuste'!$U3,'Veroposentin tuotto'!AD$15:AD$307)</f>
        <v>8.2362945124109285E-2</v>
      </c>
      <c r="K162" s="152">
        <f>SUMIF('1. Väestöennuste'!$AD$15:$AD$307,'1. Väestöennuste'!$U3,'3. Verotulot'!BL$15:BL$307)/SUMIF('1. Väestöennuste'!$AD$15:$AD$307,'1. Väestöennuste'!$U3,'Veroposentin tuotto'!AE$15:AE$307)</f>
        <v>8.2345596334090526E-2</v>
      </c>
      <c r="L162" s="152">
        <f>SUMIF('1. Väestöennuste'!$AD$15:$AD$307,'1. Väestöennuste'!$U3,'3. Verotulot'!BQ$15:BQ$307)/SUMIF('1. Väestöennuste'!$AD$15:$AD$307,'1. Väestöennuste'!$U3,'Veroposentin tuotto'!AF$15:AF$307)</f>
        <v>8.2331350167705653E-2</v>
      </c>
      <c r="M162" s="328"/>
      <c r="N162" s="43"/>
      <c r="O162" s="152">
        <f t="shared" si="92"/>
        <v>1.9239801022937764E-3</v>
      </c>
      <c r="P162" s="152">
        <f t="shared" si="92"/>
        <v>5.4845476437512253E-4</v>
      </c>
      <c r="Q162" s="152">
        <f t="shared" si="92"/>
        <v>1.8141612231611925E-4</v>
      </c>
      <c r="R162" s="152">
        <f t="shared" si="92"/>
        <v>-0.12643417737497709</v>
      </c>
      <c r="S162" s="152">
        <f t="shared" si="92"/>
        <v>5.9586476554095158E-4</v>
      </c>
      <c r="T162" s="152">
        <f t="shared" si="92"/>
        <v>-2.7318183050961675E-5</v>
      </c>
      <c r="U162" s="152">
        <f t="shared" si="92"/>
        <v>-1.460273869034745E-5</v>
      </c>
      <c r="V162" s="152">
        <f t="shared" si="92"/>
        <v>-1.7348790018759108E-5</v>
      </c>
      <c r="W162" s="152">
        <f t="shared" si="92"/>
        <v>-1.4246166384873638E-5</v>
      </c>
      <c r="AJ162" s="7"/>
      <c r="AK162" s="7"/>
      <c r="AL162" s="7"/>
      <c r="AM162" s="7"/>
      <c r="AN162" s="7"/>
      <c r="AO162" s="7"/>
      <c r="AP162" s="7"/>
      <c r="AQ162" s="7"/>
      <c r="AR162" s="7"/>
      <c r="AS162" s="7"/>
      <c r="AT162" s="159"/>
      <c r="AU162" s="7"/>
      <c r="AV162" s="7"/>
    </row>
    <row r="163" spans="2:48" x14ac:dyDescent="0.2">
      <c r="B163" s="133" t="s">
        <v>776</v>
      </c>
      <c r="C163" s="152">
        <f>SUMIF('1. Väestöennuste'!$X$15:$X$307,'1. Väestöennuste'!$U4,'3. Verotulot'!X$15:X$307)/SUMIF('1. Väestöennuste'!$X$15:$X$307,'1. Väestöennuste'!$U4,'Veroposentin tuotto'!W$15:W$307)</f>
        <v>0.20472395749329661</v>
      </c>
      <c r="D163" s="152">
        <f>SUMIF('1. Väestöennuste'!$X$15:$X$307,'1. Väestöennuste'!$U4,'3. Verotulot'!AC$15:AC$307)/SUMIF('1. Väestöennuste'!$X$15:$X$307,'1. Väestöennuste'!$U4,'Veroposentin tuotto'!X$15:X$307)</f>
        <v>0.2057647971849223</v>
      </c>
      <c r="E163" s="152">
        <f>SUMIF('1. Väestöennuste'!$AD$15:$AD$307,'1. Väestöennuste'!$U4,'3. Verotulot'!AH$15:AH$307)/SUMIF('1. Väestöennuste'!$AD$15:$AD$307,'1. Väestöennuste'!$U4,'Veroposentin tuotto'!Y$15:Y$307)</f>
        <v>0.20643688798667936</v>
      </c>
      <c r="F163" s="152">
        <f>SUMIF('1. Väestöennuste'!$AD$15:$AD$307,'1. Väestöennuste'!$U4,'3. Verotulot'!AM$15:AM$307)/SUMIF('1. Väestöennuste'!$AD$15:$AD$307,'1. Väestöennuste'!$U4,'Veroposentin tuotto'!Z$15:Z$307)</f>
        <v>0.20577917944358837</v>
      </c>
      <c r="G163" s="152">
        <f>SUMIF('1. Väestöennuste'!$AD$15:$AD$307,'1. Väestöennuste'!$U4,'3. Verotulot'!AR$15:AR$307)/SUMIF('1. Väestöennuste'!$AD$15:$AD$307,'1. Väestöennuste'!$U4,'Veroposentin tuotto'!AA$15:AA$307)</f>
        <v>7.9267000156657413E-2</v>
      </c>
      <c r="H163" s="152">
        <f>SUMIF('1. Väestöennuste'!$AD$15:$AD$307,'1. Väestöennuste'!$U4,'3. Verotulot'!AW$15:AW$307)/SUMIF('1. Väestöennuste'!$AD$15:$AD$307,'1. Väestöennuste'!$U4,'Veroposentin tuotto'!AB$15:AB$307)</f>
        <v>8.1179899940559894E-2</v>
      </c>
      <c r="I163" s="152">
        <f>SUMIF('1. Väestöennuste'!$AD$15:$AD$307,'1. Väestöennuste'!$U4,'3. Verotulot'!BB$15:BB$307)/SUMIF('1. Väestöennuste'!$AD$15:$AD$307,'1. Väestöennuste'!$U4,'Veroposentin tuotto'!AC$15:AC$307)</f>
        <v>8.1168412220733552E-2</v>
      </c>
      <c r="J163" s="152">
        <f>SUMIF('1. Väestöennuste'!$AD$15:$AD$307,'1. Väestöennuste'!$U4,'3. Verotulot'!BG$15:BG$307)/SUMIF('1. Väestöennuste'!$AD$15:$AD$307,'1. Väestöennuste'!$U4,'Veroposentin tuotto'!AD$15:AD$307)</f>
        <v>8.1145668122408796E-2</v>
      </c>
      <c r="K163" s="152">
        <f>SUMIF('1. Väestöennuste'!$AD$15:$AD$307,'1. Väestöennuste'!$U4,'3. Verotulot'!BL$15:BL$307)/SUMIF('1. Väestöennuste'!$AD$15:$AD$307,'1. Väestöennuste'!$U4,'Veroposentin tuotto'!AE$15:AE$307)</f>
        <v>8.1117783760306941E-2</v>
      </c>
      <c r="L163" s="152">
        <f>SUMIF('1. Väestöennuste'!$AD$15:$AD$307,'1. Väestöennuste'!$U4,'3. Verotulot'!BQ$15:BQ$307)/SUMIF('1. Väestöennuste'!$AD$15:$AD$307,'1. Väestöennuste'!$U4,'Veroposentin tuotto'!AF$15:AF$307)</f>
        <v>8.109352689290375E-2</v>
      </c>
      <c r="M163" s="328"/>
      <c r="N163" s="43"/>
      <c r="O163" s="152">
        <f t="shared" si="92"/>
        <v>1.040839691625689E-3</v>
      </c>
      <c r="P163" s="152">
        <f t="shared" si="92"/>
        <v>6.720908017570637E-4</v>
      </c>
      <c r="Q163" s="152">
        <f t="shared" si="92"/>
        <v>-6.5770854309099569E-4</v>
      </c>
      <c r="R163" s="152">
        <f t="shared" si="92"/>
        <v>-0.12651217928693095</v>
      </c>
      <c r="S163" s="152">
        <f t="shared" si="92"/>
        <v>1.9128997839024803E-3</v>
      </c>
      <c r="T163" s="152">
        <f t="shared" si="92"/>
        <v>-1.1487719826341891E-5</v>
      </c>
      <c r="U163" s="152">
        <f t="shared" si="92"/>
        <v>-2.2744098324756212E-5</v>
      </c>
      <c r="V163" s="152">
        <f t="shared" si="92"/>
        <v>-2.7884362101854299E-5</v>
      </c>
      <c r="W163" s="152">
        <f t="shared" si="92"/>
        <v>-2.4256867403191218E-5</v>
      </c>
      <c r="AJ163" s="7"/>
      <c r="AK163" s="7"/>
      <c r="AL163" s="7"/>
      <c r="AM163" s="7"/>
      <c r="AN163" s="7"/>
      <c r="AO163" s="7"/>
      <c r="AP163" s="7"/>
      <c r="AQ163" s="7"/>
      <c r="AR163" s="7"/>
      <c r="AS163" s="7"/>
      <c r="AT163" s="159"/>
      <c r="AU163" s="7"/>
      <c r="AV163" s="7"/>
    </row>
    <row r="164" spans="2:48" x14ac:dyDescent="0.2">
      <c r="B164" s="133" t="s">
        <v>777</v>
      </c>
      <c r="C164" s="152">
        <f>SUMIF('1. Väestöennuste'!$X$15:$X$307,'1. Väestöennuste'!$U5,'3. Verotulot'!X$15:X$307)/SUMIF('1. Väestöennuste'!$X$15:$X$307,'1. Väestöennuste'!$U5,'Veroposentin tuotto'!W$15:W$307)</f>
        <v>0.20818540772023786</v>
      </c>
      <c r="D164" s="152">
        <f>SUMIF('1. Väestöennuste'!$X$15:$X$307,'1. Väestöennuste'!$U5,'3. Verotulot'!AC$15:AC$307)/SUMIF('1. Väestöennuste'!$X$15:$X$307,'1. Väestöennuste'!$U5,'Veroposentin tuotto'!X$15:X$307)</f>
        <v>0.20869956368314854</v>
      </c>
      <c r="E164" s="152">
        <f>SUMIF('1. Väestöennuste'!$AD$15:$AD$307,'1. Väestöennuste'!$U5,'3. Verotulot'!AH$15:AH$307)/SUMIF('1. Väestöennuste'!$AD$15:$AD$307,'1. Väestöennuste'!$U5,'Veroposentin tuotto'!Y$15:Y$307)</f>
        <v>0.20878127883895009</v>
      </c>
      <c r="F164" s="152">
        <f>SUMIF('1. Väestöennuste'!$AD$15:$AD$307,'1. Väestöennuste'!$U5,'3. Verotulot'!AM$15:AM$307)/SUMIF('1. Väestöennuste'!$AD$15:$AD$307,'1. Väestöennuste'!$U5,'Veroposentin tuotto'!Z$15:Z$307)</f>
        <v>0.2084640044709189</v>
      </c>
      <c r="G164" s="152">
        <f>SUMIF('1. Väestöennuste'!$AD$15:$AD$307,'1. Väestöennuste'!$U5,'3. Verotulot'!AR$15:AR$307)/SUMIF('1. Väestöennuste'!$AD$15:$AD$307,'1. Väestöennuste'!$U5,'Veroposentin tuotto'!AA$15:AA$307)</f>
        <v>8.1969690296069375E-2</v>
      </c>
      <c r="H164" s="152">
        <f>SUMIF('1. Väestöennuste'!$AD$15:$AD$307,'1. Väestöennuste'!$U5,'3. Verotulot'!AW$15:AW$307)/SUMIF('1. Väestöennuste'!$AD$15:$AD$307,'1. Väestöennuste'!$U5,'Veroposentin tuotto'!AB$15:AB$307)</f>
        <v>8.5058360170371661E-2</v>
      </c>
      <c r="I164" s="152">
        <f>SUMIF('1. Väestöennuste'!$AD$15:$AD$307,'1. Väestöennuste'!$U5,'3. Verotulot'!BB$15:BB$307)/SUMIF('1. Väestöennuste'!$AD$15:$AD$307,'1. Väestöennuste'!$U5,'Veroposentin tuotto'!AC$15:AC$307)</f>
        <v>8.5043512834369422E-2</v>
      </c>
      <c r="J164" s="152">
        <f>SUMIF('1. Väestöennuste'!$AD$15:$AD$307,'1. Väestöennuste'!$U5,'3. Verotulot'!BG$15:BG$307)/SUMIF('1. Väestöennuste'!$AD$15:$AD$307,'1. Väestöennuste'!$U5,'Veroposentin tuotto'!AD$15:AD$307)</f>
        <v>8.5078506625914957E-2</v>
      </c>
      <c r="K164" s="152">
        <f>SUMIF('1. Väestöennuste'!$AD$15:$AD$307,'1. Väestöennuste'!$U5,'3. Verotulot'!BL$15:BL$307)/SUMIF('1. Väestöennuste'!$AD$15:$AD$307,'1. Väestöennuste'!$U5,'Veroposentin tuotto'!AE$15:AE$307)</f>
        <v>8.5085756815353047E-2</v>
      </c>
      <c r="L164" s="152">
        <f>SUMIF('1. Väestöennuste'!$AD$15:$AD$307,'1. Väestöennuste'!$U5,'3. Verotulot'!BQ$15:BQ$307)/SUMIF('1. Väestöennuste'!$AD$15:$AD$307,'1. Väestöennuste'!$U5,'Veroposentin tuotto'!AF$15:AF$307)</f>
        <v>8.5095415228710392E-2</v>
      </c>
      <c r="M164" s="328"/>
      <c r="N164" s="43"/>
      <c r="O164" s="152">
        <f t="shared" si="92"/>
        <v>5.1415596291068399E-4</v>
      </c>
      <c r="P164" s="152">
        <f t="shared" si="92"/>
        <v>8.1715155801548311E-5</v>
      </c>
      <c r="Q164" s="152">
        <f t="shared" si="92"/>
        <v>-3.1727436803119513E-4</v>
      </c>
      <c r="R164" s="152">
        <f t="shared" si="92"/>
        <v>-0.12649431417484952</v>
      </c>
      <c r="S164" s="152">
        <f t="shared" si="92"/>
        <v>3.0886698743022856E-3</v>
      </c>
      <c r="T164" s="152">
        <f t="shared" si="92"/>
        <v>-1.4847336002238309E-5</v>
      </c>
      <c r="U164" s="152">
        <f t="shared" si="92"/>
        <v>3.4993791545534503E-5</v>
      </c>
      <c r="V164" s="152">
        <f t="shared" si="92"/>
        <v>7.2501894380905263E-6</v>
      </c>
      <c r="W164" s="152">
        <f t="shared" si="92"/>
        <v>9.6584133573440756E-6</v>
      </c>
      <c r="AJ164" s="7"/>
      <c r="AK164" s="7"/>
      <c r="AL164" s="7"/>
      <c r="AM164" s="7"/>
      <c r="AN164" s="7"/>
      <c r="AO164" s="7"/>
      <c r="AP164" s="7"/>
      <c r="AQ164" s="7"/>
      <c r="AR164" s="7"/>
      <c r="AS164" s="7"/>
      <c r="AT164" s="159"/>
      <c r="AU164" s="7"/>
      <c r="AV164" s="7"/>
    </row>
    <row r="165" spans="2:48" x14ac:dyDescent="0.2">
      <c r="B165" s="133" t="s">
        <v>778</v>
      </c>
      <c r="C165" s="152">
        <f>SUMIF('1. Väestöennuste'!$X$15:$X$307,'1. Väestöennuste'!$U6,'3. Verotulot'!X$15:X$307)/SUMIF('1. Väestöennuste'!$X$15:$X$307,'1. Väestöennuste'!$U6,'Veroposentin tuotto'!W$15:W$307)</f>
        <v>0.20901316785333152</v>
      </c>
      <c r="D165" s="152">
        <f>SUMIF('1. Väestöennuste'!$X$15:$X$307,'1. Väestöennuste'!$U6,'3. Verotulot'!AC$15:AC$307)/SUMIF('1. Väestöennuste'!$X$15:$X$307,'1. Väestöennuste'!$U6,'Veroposentin tuotto'!X$15:X$307)</f>
        <v>0.20987189329479375</v>
      </c>
      <c r="E165" s="152">
        <f>SUMIF('1. Väestöennuste'!$AD$15:$AD$307,'1. Väestöennuste'!$U6,'3. Verotulot'!AH$15:AH$307)/SUMIF('1. Väestöennuste'!$AD$15:$AD$307,'1. Väestöennuste'!$U6,'Veroposentin tuotto'!Y$15:Y$307)</f>
        <v>0.21213274259620352</v>
      </c>
      <c r="F165" s="152">
        <f>SUMIF('1. Väestöennuste'!$AD$15:$AD$307,'1. Väestöennuste'!$U6,'3. Verotulot'!AM$15:AM$307)/SUMIF('1. Väestöennuste'!$AD$15:$AD$307,'1. Väestöennuste'!$U6,'Veroposentin tuotto'!Z$15:Z$307)</f>
        <v>0.21227206617812322</v>
      </c>
      <c r="G165" s="152">
        <f>SUMIF('1. Väestöennuste'!$AD$15:$AD$307,'1. Väestöennuste'!$U6,'3. Verotulot'!AR$15:AR$307)/SUMIF('1. Väestöennuste'!$AD$15:$AD$307,'1. Väestöennuste'!$U6,'Veroposentin tuotto'!AA$15:AA$307)</f>
        <v>8.5718453833448977E-2</v>
      </c>
      <c r="H165" s="152">
        <f>SUMIF('1. Väestöennuste'!$AD$15:$AD$307,'1. Väestöennuste'!$U6,'3. Verotulot'!AW$15:AW$307)/SUMIF('1. Väestöennuste'!$AD$15:$AD$307,'1. Väestöennuste'!$U6,'Veroposentin tuotto'!AB$15:AB$307)</f>
        <v>8.6822496352869968E-2</v>
      </c>
      <c r="I165" s="152">
        <f>SUMIF('1. Väestöennuste'!$AD$15:$AD$307,'1. Väestöennuste'!$U6,'3. Verotulot'!BB$15:BB$307)/SUMIF('1. Väestöennuste'!$AD$15:$AD$307,'1. Väestöennuste'!$U6,'Veroposentin tuotto'!AC$15:AC$307)</f>
        <v>8.678388960516549E-2</v>
      </c>
      <c r="J165" s="152">
        <f>SUMIF('1. Väestöennuste'!$AD$15:$AD$307,'1. Väestöennuste'!$U6,'3. Verotulot'!BG$15:BG$307)/SUMIF('1. Väestöennuste'!$AD$15:$AD$307,'1. Väestöennuste'!$U6,'Veroposentin tuotto'!AD$15:AD$307)</f>
        <v>8.676066599090429E-2</v>
      </c>
      <c r="K165" s="152">
        <f>SUMIF('1. Väestöennuste'!$AD$15:$AD$307,'1. Väestöennuste'!$U6,'3. Verotulot'!BL$15:BL$307)/SUMIF('1. Väestöennuste'!$AD$15:$AD$307,'1. Väestöennuste'!$U6,'Veroposentin tuotto'!AE$15:AE$307)</f>
        <v>8.6732816037721872E-2</v>
      </c>
      <c r="L165" s="152">
        <f>SUMIF('1. Väestöennuste'!$AD$15:$AD$307,'1. Väestöennuste'!$U6,'3. Verotulot'!BQ$15:BQ$307)/SUMIF('1. Väestöennuste'!$AD$15:$AD$307,'1. Väestöennuste'!$U6,'Veroposentin tuotto'!AF$15:AF$307)</f>
        <v>8.6706354649565151E-2</v>
      </c>
      <c r="M165" s="328"/>
      <c r="N165" s="43"/>
      <c r="O165" s="152">
        <f t="shared" si="92"/>
        <v>8.5872544146223251E-4</v>
      </c>
      <c r="P165" s="152">
        <f t="shared" si="92"/>
        <v>2.2608493014097675E-3</v>
      </c>
      <c r="Q165" s="152">
        <f t="shared" si="92"/>
        <v>1.3932358191970362E-4</v>
      </c>
      <c r="R165" s="152">
        <f t="shared" si="92"/>
        <v>-0.12655361234467424</v>
      </c>
      <c r="S165" s="152">
        <f t="shared" si="92"/>
        <v>1.1040425194209919E-3</v>
      </c>
      <c r="T165" s="152">
        <f t="shared" si="92"/>
        <v>-3.860674770447825E-5</v>
      </c>
      <c r="U165" s="152">
        <f t="shared" si="92"/>
        <v>-2.3223614261200232E-5</v>
      </c>
      <c r="V165" s="152">
        <f t="shared" si="92"/>
        <v>-2.7849953182418341E-5</v>
      </c>
      <c r="W165" s="152">
        <f t="shared" si="92"/>
        <v>-2.64613881567205E-5</v>
      </c>
      <c r="AJ165" s="7"/>
      <c r="AK165" s="7"/>
      <c r="AL165" s="7"/>
      <c r="AM165" s="7"/>
      <c r="AN165" s="7"/>
      <c r="AO165" s="7"/>
      <c r="AP165" s="7"/>
      <c r="AQ165" s="7"/>
      <c r="AR165" s="7"/>
      <c r="AS165" s="7"/>
      <c r="AT165" s="159"/>
      <c r="AU165" s="7"/>
      <c r="AV165" s="7"/>
    </row>
    <row r="166" spans="2:48" x14ac:dyDescent="0.2">
      <c r="B166" s="133" t="s">
        <v>779</v>
      </c>
      <c r="C166" s="152">
        <f>SUMIF('1. Väestöennuste'!$X$15:$X$307,'1. Väestöennuste'!$U7,'3. Verotulot'!X$15:X$307)/SUMIF('1. Väestöennuste'!$X$15:$X$307,'1. Väestöennuste'!$U7,'Veroposentin tuotto'!W$15:W$307)</f>
        <v>0.21187593914195732</v>
      </c>
      <c r="D166" s="152">
        <f>SUMIF('1. Väestöennuste'!$X$15:$X$307,'1. Väestöennuste'!$U7,'3. Verotulot'!AC$15:AC$307)/SUMIF('1. Väestöennuste'!$X$15:$X$307,'1. Väestöennuste'!$U7,'Veroposentin tuotto'!X$15:X$307)</f>
        <v>0.21267389249989055</v>
      </c>
      <c r="E166" s="152">
        <f>SUMIF('1. Väestöennuste'!$AD$15:$AD$307,'1. Väestöennuste'!$U7,'3. Verotulot'!AH$15:AH$307)/SUMIF('1. Väestöennuste'!$AD$15:$AD$307,'1. Väestöennuste'!$U7,'Veroposentin tuotto'!Y$15:Y$307)</f>
        <v>0.21307367769528221</v>
      </c>
      <c r="F166" s="152">
        <f>SUMIF('1. Väestöennuste'!$AD$15:$AD$307,'1. Väestöennuste'!$U7,'3. Verotulot'!AM$15:AM$307)/SUMIF('1. Väestöennuste'!$AD$15:$AD$307,'1. Väestöennuste'!$U7,'Veroposentin tuotto'!Z$15:Z$307)</f>
        <v>0.21358244183937289</v>
      </c>
      <c r="G166" s="152">
        <f>SUMIF('1. Väestöennuste'!$AD$15:$AD$307,'1. Väestöennuste'!$U7,'3. Verotulot'!AR$15:AR$307)/SUMIF('1. Väestöennuste'!$AD$15:$AD$307,'1. Väestöennuste'!$U7,'Veroposentin tuotto'!AA$15:AA$307)</f>
        <v>8.7098001606834688E-2</v>
      </c>
      <c r="H166" s="152">
        <f>SUMIF('1. Väestöennuste'!$AD$15:$AD$307,'1. Väestöennuste'!$U7,'3. Verotulot'!AW$15:AW$307)/SUMIF('1. Väestöennuste'!$AD$15:$AD$307,'1. Väestöennuste'!$U7,'Veroposentin tuotto'!AB$15:AB$307)</f>
        <v>8.9102235250533957E-2</v>
      </c>
      <c r="I166" s="152">
        <f>SUMIF('1. Väestöennuste'!$AD$15:$AD$307,'1. Väestöennuste'!$U7,'3. Verotulot'!BB$15:BB$307)/SUMIF('1. Väestöennuste'!$AD$15:$AD$307,'1. Väestöennuste'!$U7,'Veroposentin tuotto'!AC$15:AC$307)</f>
        <v>8.913805519277343E-2</v>
      </c>
      <c r="J166" s="152">
        <f>SUMIF('1. Väestöennuste'!$AD$15:$AD$307,'1. Väestöennuste'!$U7,'3. Verotulot'!BG$15:BG$307)/SUMIF('1. Väestöennuste'!$AD$15:$AD$307,'1. Väestöennuste'!$U7,'Veroposentin tuotto'!AD$15:AD$307)</f>
        <v>8.9162167805330775E-2</v>
      </c>
      <c r="K166" s="152">
        <f>SUMIF('1. Väestöennuste'!$AD$15:$AD$307,'1. Väestöennuste'!$U7,'3. Verotulot'!BL$15:BL$307)/SUMIF('1. Väestöennuste'!$AD$15:$AD$307,'1. Väestöennuste'!$U7,'Veroposentin tuotto'!AE$15:AE$307)</f>
        <v>8.9169995576448752E-2</v>
      </c>
      <c r="L166" s="152">
        <f>SUMIF('1. Väestöennuste'!$AD$15:$AD$307,'1. Väestöennuste'!$U7,'3. Verotulot'!BQ$15:BQ$307)/SUMIF('1. Väestöennuste'!$AD$15:$AD$307,'1. Väestöennuste'!$U7,'Veroposentin tuotto'!AF$15:AF$307)</f>
        <v>8.9176006963515908E-2</v>
      </c>
      <c r="M166" s="328"/>
      <c r="N166" s="43"/>
      <c r="O166" s="152">
        <f t="shared" si="92"/>
        <v>7.9795335793322875E-4</v>
      </c>
      <c r="P166" s="152">
        <f t="shared" si="92"/>
        <v>3.9978519539166091E-4</v>
      </c>
      <c r="Q166" s="152">
        <f t="shared" si="92"/>
        <v>5.0876414409067872E-4</v>
      </c>
      <c r="R166" s="152">
        <f t="shared" si="92"/>
        <v>-0.12648444023253819</v>
      </c>
      <c r="S166" s="152">
        <f t="shared" si="92"/>
        <v>2.0042336436992686E-3</v>
      </c>
      <c r="T166" s="152">
        <f t="shared" si="92"/>
        <v>3.5819942239473379E-5</v>
      </c>
      <c r="U166" s="152">
        <f t="shared" si="92"/>
        <v>2.411261255734487E-5</v>
      </c>
      <c r="V166" s="152">
        <f t="shared" si="92"/>
        <v>7.8277711179769449E-6</v>
      </c>
      <c r="W166" s="152">
        <f t="shared" si="92"/>
        <v>6.0113870671563152E-6</v>
      </c>
      <c r="AJ166" s="7"/>
      <c r="AK166" s="7"/>
      <c r="AL166" s="7"/>
      <c r="AM166" s="7"/>
      <c r="AN166" s="7"/>
      <c r="AO166" s="7"/>
      <c r="AP166" s="7"/>
      <c r="AQ166" s="7"/>
      <c r="AR166" s="7"/>
      <c r="AS166" s="7"/>
      <c r="AT166" s="159"/>
      <c r="AU166" s="7"/>
      <c r="AV166" s="7"/>
    </row>
    <row r="167" spans="2:48" x14ac:dyDescent="0.2">
      <c r="B167" s="193" t="s">
        <v>780</v>
      </c>
      <c r="C167" s="289">
        <f>SUMIF('1. Väestöennuste'!$X$15:$X$307,'1. Väestöennuste'!$U8,'3. Verotulot'!X$15:X$307)/SUMIF('1. Väestöennuste'!$X$15:$X$307,'1. Väestöennuste'!$U8,'Veroposentin tuotto'!W$15:W$307)</f>
        <v>0.21268704144719086</v>
      </c>
      <c r="D167" s="289">
        <f>SUMIF('1. Väestöennuste'!$X$15:$X$307,'1. Väestöennuste'!$U8,'3. Verotulot'!AC$15:AC$307)/SUMIF('1. Väestöennuste'!$X$15:$X$307,'1. Väestöennuste'!$U8,'Veroposentin tuotto'!X$15:X$307)</f>
        <v>0.21332823653713243</v>
      </c>
      <c r="E167" s="289">
        <f>SUMIF('1. Väestöennuste'!$AD$15:$AD$307,'1. Väestöennuste'!$U8,'3. Verotulot'!AH$15:AH$307)/SUMIF('1. Väestöennuste'!$AD$15:$AD$307,'1. Väestöennuste'!$U8,'Veroposentin tuotto'!Y$15:Y$307)</f>
        <v>0.21403092511722563</v>
      </c>
      <c r="F167" s="289">
        <f>SUMIF('1. Väestöennuste'!$AD$15:$AD$307,'1. Väestöennuste'!$U8,'3. Verotulot'!AM$15:AM$307)/SUMIF('1. Väestöennuste'!$AD$15:$AD$307,'1. Väestöennuste'!$U8,'Veroposentin tuotto'!Z$15:Z$307)</f>
        <v>0.21408587550260497</v>
      </c>
      <c r="G167" s="289">
        <f>SUMIF('1. Väestöennuste'!$AD$15:$AD$307,'1. Väestöennuste'!$U8,'3. Verotulot'!AR$15:AR$307)/SUMIF('1. Väestöennuste'!$AD$15:$AD$307,'1. Väestöennuste'!$U8,'Veroposentin tuotto'!AA$15:AA$307)</f>
        <v>8.7368518435542566E-2</v>
      </c>
      <c r="H167" s="289">
        <f>SUMIF('1. Väestöennuste'!$AD$15:$AD$307,'1. Väestöennuste'!$U8,'3. Verotulot'!AW$15:AW$307)/SUMIF('1. Väestöennuste'!$AD$15:$AD$307,'1. Väestöennuste'!$U8,'Veroposentin tuotto'!AB$15:AB$307)</f>
        <v>8.9227095384328714E-2</v>
      </c>
      <c r="I167" s="289">
        <f>SUMIF('1. Väestöennuste'!$AD$15:$AD$307,'1. Väestöennuste'!$U8,'3. Verotulot'!BB$15:BB$307)/SUMIF('1. Väestöennuste'!$AD$15:$AD$307,'1. Väestöennuste'!$U8,'Veroposentin tuotto'!AC$15:AC$307)</f>
        <v>8.920813622534686E-2</v>
      </c>
      <c r="J167" s="289">
        <f>SUMIF('1. Väestöennuste'!$AD$15:$AD$307,'1. Väestöennuste'!$U8,'3. Verotulot'!BG$15:BG$307)/SUMIF('1. Väestöennuste'!$AD$15:$AD$307,'1. Väestöennuste'!$U8,'Veroposentin tuotto'!AD$15:AD$307)</f>
        <v>8.9182496235093681E-2</v>
      </c>
      <c r="K167" s="152">
        <f>SUMIF('1. Väestöennuste'!$AD$15:$AD$307,'1. Väestöennuste'!$U8,'3. Verotulot'!BL$15:BL$307)/SUMIF('1. Väestöennuste'!$AD$15:$AD$307,'1. Väestöennuste'!$U8,'Veroposentin tuotto'!AE$15:AE$307)</f>
        <v>8.9104300847469384E-2</v>
      </c>
      <c r="L167" s="152">
        <f>SUMIF('1. Väestöennuste'!$AD$15:$AD$307,'1. Väestöennuste'!$U8,'3. Verotulot'!BQ$15:BQ$307)/SUMIF('1. Väestöennuste'!$AD$15:$AD$307,'1. Väestöennuste'!$U8,'Veroposentin tuotto'!AF$15:AF$307)</f>
        <v>8.9052343749932497E-2</v>
      </c>
      <c r="M167" s="329"/>
      <c r="N167" s="226"/>
      <c r="O167" s="289">
        <f t="shared" si="92"/>
        <v>6.4119508994156527E-4</v>
      </c>
      <c r="P167" s="289">
        <f t="shared" si="92"/>
        <v>7.0268858009320256E-4</v>
      </c>
      <c r="Q167" s="289">
        <f t="shared" si="92"/>
        <v>5.4950385379337607E-5</v>
      </c>
      <c r="R167" s="289">
        <f t="shared" si="92"/>
        <v>-0.12671735706706239</v>
      </c>
      <c r="S167" s="289">
        <f t="shared" si="92"/>
        <v>1.8585769487861475E-3</v>
      </c>
      <c r="T167" s="289">
        <f t="shared" si="92"/>
        <v>-1.8959158981854407E-5</v>
      </c>
      <c r="U167" s="289">
        <f t="shared" si="92"/>
        <v>-2.5639990253178979E-5</v>
      </c>
      <c r="V167" s="289">
        <f t="shared" si="92"/>
        <v>-7.8195387624296897E-5</v>
      </c>
      <c r="W167" s="289">
        <f t="shared" si="92"/>
        <v>-5.1957097536886598E-5</v>
      </c>
      <c r="AJ167" s="7"/>
      <c r="AK167" s="7"/>
      <c r="AL167" s="7"/>
      <c r="AM167" s="7"/>
      <c r="AN167" s="7"/>
      <c r="AO167" s="7"/>
      <c r="AP167" s="7"/>
      <c r="AQ167" s="7"/>
      <c r="AR167" s="7"/>
      <c r="AS167" s="7"/>
      <c r="AT167" s="159"/>
      <c r="AU167" s="7"/>
      <c r="AV167" s="7"/>
    </row>
    <row r="168" spans="2:48" x14ac:dyDescent="0.2">
      <c r="B168" s="4" t="s">
        <v>694</v>
      </c>
      <c r="C168" s="153">
        <f>'Veroposentin tuotto'!G13</f>
        <v>0.19879081910999197</v>
      </c>
      <c r="D168" s="153">
        <f>'Veroposentin tuotto'!H13</f>
        <v>0.19959459303450608</v>
      </c>
      <c r="E168" s="153">
        <f>'Veroposentin tuotto'!I13</f>
        <v>0.2002866692280377</v>
      </c>
      <c r="F168" s="153">
        <f>'Veroposentin tuotto'!J13</f>
        <v>0.20009126687043649</v>
      </c>
      <c r="G168" s="153">
        <f>'Veroposentin tuotto'!K13</f>
        <v>7.3264109021531409E-2</v>
      </c>
      <c r="H168" s="153">
        <f>'Veroposentin tuotto'!L13</f>
        <v>7.4420324309766792E-2</v>
      </c>
      <c r="I168" s="153">
        <f>'Veroposentin tuotto'!M13</f>
        <v>7.4472039444042903E-2</v>
      </c>
      <c r="J168" s="153">
        <f>'Veroposentin tuotto'!N13</f>
        <v>7.4467598802036225E-2</v>
      </c>
      <c r="K168" s="413">
        <f>'Veroposentin tuotto'!O13</f>
        <v>7.4441537220309606E-2</v>
      </c>
      <c r="L168" s="413">
        <f>'Veroposentin tuotto'!P13</f>
        <v>7.4417887038186872E-2</v>
      </c>
      <c r="M168" s="330"/>
      <c r="N168" s="166"/>
      <c r="O168" s="152">
        <f t="shared" si="92"/>
        <v>8.0377392451411178E-4</v>
      </c>
      <c r="P168" s="152">
        <f t="shared" si="92"/>
        <v>6.9207619353162109E-4</v>
      </c>
      <c r="Q168" s="152">
        <f t="shared" si="92"/>
        <v>-1.9540235760120983E-4</v>
      </c>
      <c r="R168" s="152">
        <f t="shared" si="92"/>
        <v>-0.12682715784890508</v>
      </c>
      <c r="S168" s="152">
        <f t="shared" si="92"/>
        <v>1.1562152882353821E-3</v>
      </c>
      <c r="T168" s="152">
        <f t="shared" si="92"/>
        <v>5.1715134276111852E-5</v>
      </c>
      <c r="U168" s="152">
        <f t="shared" si="92"/>
        <v>-4.4406420066783747E-6</v>
      </c>
      <c r="V168" s="152">
        <f t="shared" si="92"/>
        <v>-2.6061581726619099E-5</v>
      </c>
      <c r="W168" s="152">
        <f t="shared" si="92"/>
        <v>-2.3650182122733621E-5</v>
      </c>
      <c r="AJ168" s="7"/>
      <c r="AK168" s="7"/>
      <c r="AL168" s="7"/>
      <c r="AM168" s="7"/>
      <c r="AN168" s="7"/>
      <c r="AO168" s="7"/>
      <c r="AP168" s="7"/>
      <c r="AQ168" s="7"/>
      <c r="AR168" s="7"/>
      <c r="AS168" s="7"/>
      <c r="AT168" s="159"/>
      <c r="AU168" s="7"/>
      <c r="AV168" s="7"/>
    </row>
    <row r="169" spans="2:48" x14ac:dyDescent="0.2">
      <c r="AJ169" s="7"/>
      <c r="AK169" s="7"/>
      <c r="AL169" s="7"/>
      <c r="AM169" s="7"/>
      <c r="AN169" s="7"/>
      <c r="AO169" s="7"/>
      <c r="AP169" s="7"/>
      <c r="AQ169" s="7"/>
      <c r="AR169" s="7"/>
      <c r="AS169" s="7"/>
      <c r="AT169" s="126"/>
      <c r="AU169" s="7"/>
      <c r="AV169" s="7"/>
    </row>
    <row r="170" spans="2:48" x14ac:dyDescent="0.2">
      <c r="AJ170" s="7"/>
      <c r="AK170" s="7"/>
      <c r="AL170" s="7"/>
      <c r="AM170" s="7"/>
      <c r="AN170" s="7"/>
      <c r="AO170" s="7"/>
      <c r="AP170" s="7"/>
      <c r="AQ170" s="7"/>
      <c r="AR170" s="7"/>
      <c r="AS170" s="7"/>
      <c r="AT170" s="7"/>
      <c r="AU170" s="7"/>
      <c r="AV170" s="7"/>
    </row>
    <row r="171" spans="2:48" x14ac:dyDescent="0.2">
      <c r="AJ171" s="7"/>
      <c r="AK171" s="7"/>
      <c r="AL171" s="7"/>
      <c r="AM171" s="7"/>
      <c r="AN171" s="7"/>
      <c r="AO171" s="7"/>
      <c r="AP171" s="7"/>
      <c r="AQ171" s="7"/>
      <c r="AR171" s="7"/>
      <c r="AS171" s="7"/>
      <c r="AT171" s="7"/>
      <c r="AU171" s="7"/>
      <c r="AV171" s="7"/>
    </row>
    <row r="172" spans="2:48" x14ac:dyDescent="0.2">
      <c r="B172" s="190" t="s">
        <v>790</v>
      </c>
      <c r="C172" s="132">
        <v>2019</v>
      </c>
      <c r="D172" s="132">
        <v>2020</v>
      </c>
      <c r="E172" s="132">
        <v>2021</v>
      </c>
      <c r="F172" s="132">
        <v>2022</v>
      </c>
      <c r="G172" s="132">
        <v>2023</v>
      </c>
      <c r="H172" s="132">
        <v>2024</v>
      </c>
      <c r="I172" s="132">
        <v>2025</v>
      </c>
      <c r="J172" s="132">
        <v>2026</v>
      </c>
      <c r="K172" s="132">
        <v>2027</v>
      </c>
      <c r="L172" s="132">
        <v>2028</v>
      </c>
      <c r="M172" s="132" t="s">
        <v>319</v>
      </c>
      <c r="N172" s="132">
        <v>2019</v>
      </c>
      <c r="O172" s="132">
        <v>2020</v>
      </c>
      <c r="P172" s="132">
        <v>2021</v>
      </c>
      <c r="Q172" s="132">
        <v>2022</v>
      </c>
      <c r="R172" s="132">
        <v>2023</v>
      </c>
      <c r="S172" s="132">
        <v>2024</v>
      </c>
      <c r="T172" s="132">
        <v>2025</v>
      </c>
      <c r="U172" s="132">
        <v>2026</v>
      </c>
      <c r="V172" s="132">
        <v>2027</v>
      </c>
      <c r="W172" s="132">
        <v>2028</v>
      </c>
      <c r="AJ172" s="7"/>
      <c r="AK172" s="7"/>
      <c r="AL172" s="7"/>
      <c r="AM172" s="7"/>
      <c r="AN172" s="7"/>
      <c r="AO172" s="7"/>
      <c r="AP172" s="7"/>
      <c r="AQ172" s="7"/>
      <c r="AR172" s="7"/>
      <c r="AS172" s="7"/>
      <c r="AT172" s="197"/>
      <c r="AU172" s="7"/>
      <c r="AV172" s="7"/>
    </row>
    <row r="173" spans="2:48" x14ac:dyDescent="0.2">
      <c r="B173" s="349" t="s">
        <v>774</v>
      </c>
      <c r="C173" s="43">
        <f>SUMIF('1. Väestöennuste'!$X$15:$X$307,'1. Väestöennuste'!$U2,'3. Verotulot'!X$15:X$307)/C161/100</f>
        <v>431248.58169222495</v>
      </c>
      <c r="D173" s="159">
        <f>SUMIF('1. Väestöennuste'!$X$15:$X$307,'1. Väestöennuste'!$U2,'3. Verotulot'!AC$15:AC$307)/D161/100</f>
        <v>456100.39399517397</v>
      </c>
      <c r="E173" s="43">
        <f>SUMIF('1. Väestöennuste'!$X$15:$X$307,'1. Väestöennuste'!$U2,'3. Verotulot'!AH$15:AH$307)/E161/100</f>
        <v>463164.57588531374</v>
      </c>
      <c r="F173" s="43">
        <f>SUMIF('1. Väestöennuste'!$X$15:$X$307,'1. Väestöennuste'!$U2,'3. Verotulot'!AM$15:AM$307)/F161/100</f>
        <v>492812.66551720182</v>
      </c>
      <c r="G173" s="43">
        <f>SUMIF('1. Väestöennuste'!$X$15:$X$307,'1. Väestöennuste'!$U2,'3. Verotulot'!AR$15:AR$307)/G161/100</f>
        <v>655462.29739171232</v>
      </c>
      <c r="H173" s="43">
        <f>SUMIF('1. Väestöennuste'!$X$15:$X$307,'1. Väestöennuste'!$U2,'3. Verotulot'!AW$15:AW$307)/H161/100</f>
        <v>600001.801286723</v>
      </c>
      <c r="I173" s="43">
        <f>SUMIF('1. Väestöennuste'!$X$15:$X$307,'1. Väestöennuste'!$U2,'3. Verotulot'!BB$15:BB$307)/I161/100</f>
        <v>631051.27114131441</v>
      </c>
      <c r="J173" s="43">
        <f>SUMIF('1. Väestöennuste'!$X$15:$X$307,'1. Väestöennuste'!$U2,'3. Verotulot'!BG$15:BG$307)/J161/100</f>
        <v>662208.75607696734</v>
      </c>
      <c r="K173" s="43">
        <f>SUMIF('1. Väestöennuste'!$X$15:$X$307,'1. Väestöennuste'!$U2,'3. Verotulot'!BL$15:BL$307)/K161/100</f>
        <v>689896.826070196</v>
      </c>
      <c r="L173" s="43">
        <f>SUMIF('1. Väestöennuste'!$X$15:$X$307,'1. Väestöennuste'!$U2,'3. Verotulot'!BQ$15:BQ$307)/L161/100</f>
        <v>721013.34722973197</v>
      </c>
      <c r="M173" s="328"/>
      <c r="N173" s="43">
        <f>C173/SUMIF('1. Väestöennuste'!$X$15:$X$307,'1. Väestöennuste'!$U2,'1. Väestöennuste'!I$15:I$307)*1000</f>
        <v>196.4294952176833</v>
      </c>
      <c r="O173" s="43">
        <f>D173/SUMIF('1. Väestöennuste'!$X$15:$X$307,'1. Väestöennuste'!$U2,'1. Väestöennuste'!J$15:J$307)*1000</f>
        <v>206.07367590443448</v>
      </c>
      <c r="P173" s="43">
        <f>E173/SUMIF('1. Väestöennuste'!$X$15:$X$307,'1. Väestöennuste'!$U2,'1. Väestöennuste'!K$15:K$307)*1000</f>
        <v>207.72049943079409</v>
      </c>
      <c r="Q173" s="43">
        <f>F173/SUMIF('1. Väestöennuste'!$X$15:$X$307,'1. Väestöennuste'!$U2,'1. Väestöennuste'!L$15:L$307)*1000</f>
        <v>218.10367337566146</v>
      </c>
      <c r="R173" s="43">
        <f>G173/SUMIF('1. Väestöennuste'!$X$15:$X$307,'1. Väestöennuste'!$U2,'1. Väestöennuste'!M$15:M$307)*1000</f>
        <v>284.98695306062825</v>
      </c>
      <c r="S173" s="43">
        <f>H173/SUMIF('1. Väestöennuste'!$X$15:$X$307,'1. Väestöennuste'!$U2,'1. Väestöennuste'!N$15:N$307)*1000</f>
        <v>260.82464737123144</v>
      </c>
      <c r="T173" s="43">
        <f>I173/SUMIF('1. Väestöennuste'!$X$15:$X$307,'1. Väestöennuste'!$U2,'1. Väestöennuste'!O$15:O$307)*1000</f>
        <v>272.10384775380112</v>
      </c>
      <c r="U173" s="43">
        <f>J173/SUMIF('1. Väestöennuste'!$X$15:$X$307,'1. Väestöennuste'!$U2,'1. Väestöennuste'!P$15:P$307)*1000</f>
        <v>283.35301890933522</v>
      </c>
      <c r="V173" s="43">
        <f>K173/SUMIF('1. Väestöennuste'!$X$15:$X$307,'1. Väestöennuste'!$U2,'1. Väestöennuste'!Q$15:Q$307)*1000</f>
        <v>293.05733656432591</v>
      </c>
      <c r="W173" s="43">
        <f>L173/SUMIF('1. Väestöennuste'!$X$15:$X$307,'1. Väestöennuste'!$U2,'1. Väestöennuste'!R$15:R$307)*1000</f>
        <v>304.16587627036768</v>
      </c>
      <c r="AJ173" s="7"/>
      <c r="AK173" s="7"/>
      <c r="AL173" s="7"/>
      <c r="AM173" s="7"/>
      <c r="AN173" s="7"/>
      <c r="AO173" s="7"/>
      <c r="AP173" s="7"/>
      <c r="AQ173" s="7"/>
      <c r="AR173" s="7"/>
      <c r="AS173" s="7"/>
      <c r="AT173" s="159"/>
      <c r="AU173" s="7"/>
      <c r="AV173" s="7"/>
    </row>
    <row r="174" spans="2:48" x14ac:dyDescent="0.2">
      <c r="B174" s="134" t="s">
        <v>775</v>
      </c>
      <c r="C174" s="43">
        <f>SUMIF('1. Väestöennuste'!$X$15:$X$307,'1. Väestöennuste'!$U3,'3. Verotulot'!X$15:X$307)/C162/100</f>
        <v>170595.57710567277</v>
      </c>
      <c r="D174" s="159">
        <f>SUMIF('1. Väestöennuste'!$X$15:$X$307,'1. Väestöennuste'!$U3,'3. Verotulot'!AC$15:AC$307)/D162/100</f>
        <v>177554.68502813781</v>
      </c>
      <c r="E174" s="43">
        <f>SUMIF('1. Väestöennuste'!$X$15:$X$307,'1. Väestöennuste'!$U3,'3. Verotulot'!AH$15:AH$307)/E162/100</f>
        <v>182515.55530816168</v>
      </c>
      <c r="F174" s="43">
        <f>SUMIF('1. Väestöennuste'!$X$15:$X$307,'1. Väestöennuste'!$U3,'3. Verotulot'!AM$15:AM$307)/F162/100</f>
        <v>190373.85329401057</v>
      </c>
      <c r="G174" s="43">
        <f>SUMIF('1. Väestöennuste'!$X$15:$X$307,'1. Väestöennuste'!$U3,'3. Verotulot'!AR$15:AR$307)/G162/100</f>
        <v>241465.94326845239</v>
      </c>
      <c r="H174" s="43">
        <f>SUMIF('1. Väestöennuste'!$X$15:$X$307,'1. Väestöennuste'!$U3,'3. Verotulot'!AW$15:AW$307)/H162/100</f>
        <v>227874.22542048694</v>
      </c>
      <c r="I174" s="43">
        <f>SUMIF('1. Väestöennuste'!$X$15:$X$307,'1. Väestöennuste'!$U3,'3. Verotulot'!BB$15:BB$307)/I162/100</f>
        <v>240685.39833719883</v>
      </c>
      <c r="J174" s="43">
        <f>SUMIF('1. Väestöennuste'!$X$15:$X$307,'1. Väestöennuste'!$U3,'3. Verotulot'!BG$15:BG$307)/J162/100</f>
        <v>251907.13757208444</v>
      </c>
      <c r="K174" s="43">
        <f>SUMIF('1. Väestöennuste'!$X$15:$X$307,'1. Väestöennuste'!$U3,'3. Verotulot'!BL$15:BL$307)/K162/100</f>
        <v>261473.65909700998</v>
      </c>
      <c r="L174" s="43">
        <f>SUMIF('1. Väestöennuste'!$X$15:$X$307,'1. Väestöennuste'!$U3,'3. Verotulot'!BQ$15:BQ$307)/L162/100</f>
        <v>272205.8574481532</v>
      </c>
      <c r="M174" s="328"/>
      <c r="N174" s="43">
        <f>C174/SUMIF('1. Väestöennuste'!$X$15:$X$307,'1. Väestöennuste'!$U3,'1. Väestöennuste'!I$15:I$307)*1000</f>
        <v>168.58669801215987</v>
      </c>
      <c r="O174" s="43">
        <f>D174/SUMIF('1. Väestöennuste'!$X$15:$X$307,'1. Väestöennuste'!$U3,'1. Väestöennuste'!J$15:J$307)*1000</f>
        <v>175.39573887828499</v>
      </c>
      <c r="P174" s="43">
        <f>E174/SUMIF('1. Väestöennuste'!$X$15:$X$307,'1. Väestöennuste'!$U3,'1. Väestöennuste'!K$15:K$307)*1000</f>
        <v>179.929074857091</v>
      </c>
      <c r="Q174" s="43">
        <f>F174/SUMIF('1. Väestöennuste'!$X$15:$X$307,'1. Väestöennuste'!$U3,'1. Väestöennuste'!L$15:L$307)*1000</f>
        <v>187.7176485667905</v>
      </c>
      <c r="R174" s="43">
        <f>G174/SUMIF('1. Väestöennuste'!$X$15:$X$307,'1. Väestöennuste'!$U3,'1. Väestöennuste'!M$15:M$307)*1000</f>
        <v>237.03783939079298</v>
      </c>
      <c r="S174" s="43">
        <f>H174/SUMIF('1. Väestöennuste'!$X$15:$X$307,'1. Väestöennuste'!$U3,'1. Väestöennuste'!N$15:N$307)*1000</f>
        <v>225.32868724072844</v>
      </c>
      <c r="T174" s="43">
        <f>I174/SUMIF('1. Väestöennuste'!$X$15:$X$307,'1. Väestöennuste'!$U3,'1. Väestöennuste'!O$15:O$307)*1000</f>
        <v>238.14581140438247</v>
      </c>
      <c r="U174" s="43">
        <f>J174/SUMIF('1. Väestöennuste'!$X$15:$X$307,'1. Väestöennuste'!$U3,'1. Väestöennuste'!P$15:P$307)*1000</f>
        <v>249.42263866830942</v>
      </c>
      <c r="V174" s="43">
        <f>K174/SUMIF('1. Väestöennuste'!$X$15:$X$307,'1. Väestöennuste'!$U3,'1. Väestöennuste'!Q$15:Q$307)*1000</f>
        <v>259.08695011257294</v>
      </c>
      <c r="W174" s="43">
        <f>L174/SUMIF('1. Väestöennuste'!$X$15:$X$307,'1. Väestöennuste'!$U3,'1. Väestöennuste'!R$15:R$307)*1000</f>
        <v>269.94560291494633</v>
      </c>
      <c r="AJ174" s="7"/>
      <c r="AK174" s="7"/>
      <c r="AL174" s="7"/>
      <c r="AM174" s="7"/>
      <c r="AN174" s="7"/>
      <c r="AO174" s="7"/>
      <c r="AP174" s="7"/>
      <c r="AQ174" s="7"/>
      <c r="AR174" s="7"/>
      <c r="AS174" s="7"/>
      <c r="AT174" s="159"/>
      <c r="AU174" s="7"/>
      <c r="AV174" s="7"/>
    </row>
    <row r="175" spans="2:48" x14ac:dyDescent="0.2">
      <c r="B175" s="133" t="s">
        <v>776</v>
      </c>
      <c r="C175" s="43">
        <f>SUMIF('1. Väestöennuste'!$X$15:$X$307,'1. Väestöennuste'!$U4,'3. Verotulot'!X$15:X$307)/C163/100</f>
        <v>144068.53189600806</v>
      </c>
      <c r="D175" s="159">
        <f>SUMIF('1. Väestöennuste'!$X$15:$X$307,'1. Väestöennuste'!$U4,'3. Verotulot'!AC$15:AC$307)/D163/100</f>
        <v>150295.09626083943</v>
      </c>
      <c r="E175" s="43">
        <f>SUMIF('1. Väestöennuste'!$X$15:$X$307,'1. Väestöennuste'!$U4,'3. Verotulot'!AH$15:AH$307)/E163/100</f>
        <v>153948.73206067074</v>
      </c>
      <c r="F175" s="43">
        <f>SUMIF('1. Väestöennuste'!$X$15:$X$307,'1. Väestöennuste'!$U4,'3. Verotulot'!AM$15:AM$307)/F163/100</f>
        <v>160824.77116239251</v>
      </c>
      <c r="G175" s="43">
        <f>SUMIF('1. Väestöennuste'!$X$15:$X$307,'1. Väestöennuste'!$U4,'3. Verotulot'!AR$15:AR$307)/G163/100</f>
        <v>203411.3532142519</v>
      </c>
      <c r="H175" s="43">
        <f>SUMIF('1. Väestöennuste'!$X$15:$X$307,'1. Väestöennuste'!$U4,'3. Verotulot'!AW$15:AW$307)/H163/100</f>
        <v>191586.37550641506</v>
      </c>
      <c r="I175" s="43">
        <f>SUMIF('1. Väestöennuste'!$X$15:$X$307,'1. Väestöennuste'!$U4,'3. Verotulot'!BB$15:BB$307)/I163/100</f>
        <v>202272.40490112186</v>
      </c>
      <c r="J175" s="43">
        <f>SUMIF('1. Väestöennuste'!$X$15:$X$307,'1. Väestöennuste'!$U4,'3. Verotulot'!BG$15:BG$307)/J163/100</f>
        <v>211209.81211345788</v>
      </c>
      <c r="K175" s="43">
        <f>SUMIF('1. Väestöennuste'!$X$15:$X$307,'1. Väestöennuste'!$U4,'3. Verotulot'!BL$15:BL$307)/K163/100</f>
        <v>218740.29600862571</v>
      </c>
      <c r="L175" s="43">
        <f>SUMIF('1. Väestöennuste'!$X$15:$X$307,'1. Väestöennuste'!$U4,'3. Verotulot'!BQ$15:BQ$307)/L163/100</f>
        <v>227156.82131856232</v>
      </c>
      <c r="M175" s="328"/>
      <c r="N175" s="43">
        <f>C175/SUMIF('1. Väestöennuste'!$X$15:$X$307,'1. Väestöennuste'!$U4,'1. Väestöennuste'!I$15:I$307)*1000</f>
        <v>176.08910257567686</v>
      </c>
      <c r="O175" s="43">
        <f>D175/SUMIF('1. Väestöennuste'!$X$15:$X$307,'1. Väestöennuste'!$U4,'1. Väestöennuste'!J$15:J$307)*1000</f>
        <v>183.66209015113751</v>
      </c>
      <c r="P175" s="43">
        <f>E175/SUMIF('1. Väestöennuste'!$X$15:$X$307,'1. Väestöennuste'!$U4,'1. Väestöennuste'!K$15:K$307)*1000</f>
        <v>187.72724641756972</v>
      </c>
      <c r="Q175" s="43">
        <f>F175/SUMIF('1. Väestöennuste'!$X$15:$X$307,'1. Väestöennuste'!$U4,'1. Väestöennuste'!L$15:L$307)*1000</f>
        <v>196.39649760085447</v>
      </c>
      <c r="R175" s="43">
        <f>G175/SUMIF('1. Väestöennuste'!$X$15:$X$307,'1. Väestöennuste'!$U4,'1. Väestöennuste'!M$15:M$307)*1000</f>
        <v>247.62987756061895</v>
      </c>
      <c r="S175" s="43">
        <f>H175/SUMIF('1. Väestöennuste'!$X$15:$X$307,'1. Väestöennuste'!$U4,'1. Väestöennuste'!N$15:N$307)*1000</f>
        <v>235.45058382184004</v>
      </c>
      <c r="T175" s="43">
        <f>I175/SUMIF('1. Väestöennuste'!$X$15:$X$307,'1. Väestöennuste'!$U4,'1. Väestöennuste'!O$15:O$307)*1000</f>
        <v>248.9598445494872</v>
      </c>
      <c r="U175" s="43">
        <f>J175/SUMIF('1. Väestöennuste'!$X$15:$X$307,'1. Väestöennuste'!$U4,'1. Väestöennuste'!P$15:P$307)*1000</f>
        <v>260.36873022326063</v>
      </c>
      <c r="V175" s="43">
        <f>K175/SUMIF('1. Väestöennuste'!$X$15:$X$307,'1. Väestöennuste'!$U4,'1. Väestöennuste'!Q$15:Q$307)*1000</f>
        <v>270.0924294315962</v>
      </c>
      <c r="W175" s="43">
        <f>L175/SUMIF('1. Väestöennuste'!$X$15:$X$307,'1. Väestöennuste'!$U4,'1. Väestöennuste'!R$15:R$307)*1000</f>
        <v>280.96742077867299</v>
      </c>
      <c r="AJ175" s="7"/>
      <c r="AK175" s="7"/>
      <c r="AL175" s="7"/>
      <c r="AM175" s="7"/>
      <c r="AN175" s="7"/>
      <c r="AO175" s="7"/>
      <c r="AP175" s="7"/>
      <c r="AQ175" s="7"/>
      <c r="AR175" s="7"/>
      <c r="AS175" s="7"/>
      <c r="AT175" s="159"/>
      <c r="AU175" s="7"/>
      <c r="AV175" s="7"/>
    </row>
    <row r="176" spans="2:48" x14ac:dyDescent="0.2">
      <c r="B176" s="133" t="s">
        <v>777</v>
      </c>
      <c r="C176" s="43">
        <f>SUMIF('1. Väestöennuste'!$X$15:$X$307,'1. Väestöennuste'!$U5,'3. Verotulot'!X$15:X$307)/C164/100</f>
        <v>92600.48632181804</v>
      </c>
      <c r="D176" s="159">
        <f>SUMIF('1. Väestöennuste'!$X$15:$X$307,'1. Väestöennuste'!$U5,'3. Verotulot'!AC$15:AC$307)/D164/100</f>
        <v>96355.064884228705</v>
      </c>
      <c r="E176" s="43">
        <f>SUMIF('1. Väestöennuste'!$X$15:$X$307,'1. Väestöennuste'!$U5,'3. Verotulot'!AH$15:AH$307)/E164/100</f>
        <v>98506.378350926956</v>
      </c>
      <c r="F176" s="43">
        <f>SUMIF('1. Väestöennuste'!$X$15:$X$307,'1. Väestöennuste'!$U5,'3. Verotulot'!AM$15:AM$307)/F164/100</f>
        <v>102667.37574344965</v>
      </c>
      <c r="G176" s="43">
        <f>SUMIF('1. Väestöennuste'!$X$15:$X$307,'1. Väestöennuste'!$U5,'3. Verotulot'!AR$15:AR$307)/G164/100</f>
        <v>129831.19583056807</v>
      </c>
      <c r="H176" s="43">
        <f>SUMIF('1. Väestöennuste'!$X$15:$X$307,'1. Väestöennuste'!$U5,'3. Verotulot'!AW$15:AW$307)/H164/100</f>
        <v>121270.70742032012</v>
      </c>
      <c r="I176" s="43">
        <f>SUMIF('1. Väestöennuste'!$X$15:$X$307,'1. Väestöennuste'!$U5,'3. Verotulot'!BB$15:BB$307)/I164/100</f>
        <v>128119.32458253259</v>
      </c>
      <c r="J176" s="43">
        <f>SUMIF('1. Väestöennuste'!$X$15:$X$307,'1. Väestöennuste'!$U5,'3. Verotulot'!BG$15:BG$307)/J164/100</f>
        <v>133723.59623629448</v>
      </c>
      <c r="K176" s="43">
        <f>SUMIF('1. Väestöennuste'!$X$15:$X$307,'1. Väestöennuste'!$U5,'3. Verotulot'!BL$15:BL$307)/K164/100</f>
        <v>138270.90651656504</v>
      </c>
      <c r="L176" s="43">
        <f>SUMIF('1. Väestöennuste'!$X$15:$X$307,'1. Väestöennuste'!$U5,'3. Verotulot'!BQ$15:BQ$307)/L164/100</f>
        <v>143380.84257338164</v>
      </c>
      <c r="M176" s="328"/>
      <c r="N176" s="43">
        <f>C176/SUMIF('1. Väestöennuste'!$X$15:$X$307,'1. Väestöennuste'!$U5,'1. Väestöennuste'!I$15:I$307)*1000</f>
        <v>155.42679423315582</v>
      </c>
      <c r="O176" s="43">
        <f>D176/SUMIF('1. Väestöennuste'!$X$15:$X$307,'1. Väestöennuste'!$U5,'1. Väestöennuste'!J$15:J$307)*1000</f>
        <v>162.29096117050301</v>
      </c>
      <c r="P176" s="43">
        <f>E176/SUMIF('1. Väestöennuste'!$X$15:$X$307,'1. Väestöennuste'!$U5,'1. Väestöennuste'!K$15:K$307)*1000</f>
        <v>165.99550130921855</v>
      </c>
      <c r="Q176" s="43">
        <f>F176/SUMIF('1. Väestöennuste'!$X$15:$X$307,'1. Väestöennuste'!$U5,'1. Väestöennuste'!L$15:L$307)*1000</f>
        <v>173.51020392397882</v>
      </c>
      <c r="R176" s="43">
        <f>G176/SUMIF('1. Väestöennuste'!$X$15:$X$307,'1. Väestöennuste'!$U5,'1. Väestöennuste'!M$15:M$307)*1000</f>
        <v>219.56722136726069</v>
      </c>
      <c r="S176" s="43">
        <f>H176/SUMIF('1. Väestöennuste'!$X$15:$X$307,'1. Väestöennuste'!$U5,'1. Väestöennuste'!N$15:N$307)*1000</f>
        <v>207.71471879856074</v>
      </c>
      <c r="T176" s="43">
        <f>I176/SUMIF('1. Väestöennuste'!$X$15:$X$307,'1. Väestöennuste'!$U5,'1. Väestöennuste'!O$15:O$307)*1000</f>
        <v>220.37143512671182</v>
      </c>
      <c r="U176" s="43">
        <f>J176/SUMIF('1. Väestöennuste'!$X$15:$X$307,'1. Väestöennuste'!$U5,'1. Väestöennuste'!P$15:P$307)*1000</f>
        <v>230.97726775731542</v>
      </c>
      <c r="V176" s="43">
        <f>K176/SUMIF('1. Väestöennuste'!$X$15:$X$307,'1. Väestöennuste'!$U5,'1. Väestöennuste'!Q$15:Q$307)*1000</f>
        <v>239.83464148462522</v>
      </c>
      <c r="W176" s="43">
        <f>L176/SUMIF('1. Väestöennuste'!$X$15:$X$307,'1. Väestöennuste'!$U5,'1. Väestöennuste'!R$15:R$307)*1000</f>
        <v>249.76282003766389</v>
      </c>
      <c r="AJ176" s="7"/>
      <c r="AK176" s="7"/>
      <c r="AL176" s="7"/>
      <c r="AM176" s="7"/>
      <c r="AN176" s="7"/>
      <c r="AO176" s="7"/>
      <c r="AP176" s="7"/>
      <c r="AQ176" s="7"/>
      <c r="AR176" s="7"/>
      <c r="AS176" s="7"/>
      <c r="AT176" s="159"/>
      <c r="AU176" s="7"/>
      <c r="AV176" s="7"/>
    </row>
    <row r="177" spans="2:48" x14ac:dyDescent="0.2">
      <c r="B177" s="133" t="s">
        <v>778</v>
      </c>
      <c r="C177" s="43">
        <f>SUMIF('1. Väestöennuste'!$X$15:$X$307,'1. Väestöennuste'!$U6,'3. Verotulot'!X$15:X$307)/C165/100</f>
        <v>79684.070487306046</v>
      </c>
      <c r="D177" s="159">
        <f>SUMIF('1. Väestöennuste'!$X$15:$X$307,'1. Väestöennuste'!$U6,'3. Verotulot'!AC$15:AC$307)/D165/100</f>
        <v>82194.093402348517</v>
      </c>
      <c r="E177" s="43">
        <f>SUMIF('1. Väestöennuste'!$X$15:$X$307,'1. Väestöennuste'!$U6,'3. Verotulot'!AH$15:AH$307)/E165/100</f>
        <v>83508.71972140827</v>
      </c>
      <c r="F177" s="43">
        <f>SUMIF('1. Väestöennuste'!$X$15:$X$307,'1. Väestöennuste'!$U6,'3. Verotulot'!AM$15:AM$307)/F165/100</f>
        <v>88448.5192538017</v>
      </c>
      <c r="G177" s="43">
        <f>SUMIF('1. Väestöennuste'!$X$15:$X$307,'1. Väestöennuste'!$U6,'3. Verotulot'!AR$15:AR$307)/G165/100</f>
        <v>106278.10343850496</v>
      </c>
      <c r="H177" s="43">
        <f>SUMIF('1. Väestöennuste'!$X$15:$X$307,'1. Väestöennuste'!$U6,'3. Verotulot'!AW$15:AW$307)/H165/100</f>
        <v>100317.79966215503</v>
      </c>
      <c r="I177" s="43">
        <f>SUMIF('1. Väestöennuste'!$X$15:$X$307,'1. Väestöennuste'!$U6,'3. Verotulot'!BB$15:BB$307)/I165/100</f>
        <v>105767.23403891528</v>
      </c>
      <c r="J177" s="43">
        <f>SUMIF('1. Väestöennuste'!$X$15:$X$307,'1. Väestöennuste'!$U6,'3. Verotulot'!BG$15:BG$307)/J165/100</f>
        <v>109728.1385515357</v>
      </c>
      <c r="K177" s="43">
        <f>SUMIF('1. Väestöennuste'!$X$15:$X$307,'1. Väestöennuste'!$U6,'3. Verotulot'!BL$15:BL$307)/K165/100</f>
        <v>112900.1276278045</v>
      </c>
      <c r="L177" s="43">
        <f>SUMIF('1. Väestöennuste'!$X$15:$X$307,'1. Väestöennuste'!$U6,'3. Verotulot'!BQ$15:BQ$307)/L165/100</f>
        <v>116551.53262791324</v>
      </c>
      <c r="M177" s="328"/>
      <c r="N177" s="43">
        <f>C177/SUMIF('1. Väestöennuste'!$X$15:$X$307,'1. Väestöennuste'!$U6,'1. Väestöennuste'!I$15:I$307)*1000</f>
        <v>149.57992954504354</v>
      </c>
      <c r="O177" s="43">
        <f>D177/SUMIF('1. Väestöennuste'!$X$15:$X$307,'1. Väestöennuste'!$U6,'1. Väestöennuste'!J$15:J$307)*1000</f>
        <v>155.46305293566076</v>
      </c>
      <c r="P177" s="43">
        <f>E177/SUMIF('1. Väestöennuste'!$X$15:$X$307,'1. Väestöennuste'!$U6,'1. Väestöennuste'!K$15:K$307)*1000</f>
        <v>158.61677766416693</v>
      </c>
      <c r="Q177" s="43">
        <f>F177/SUMIF('1. Väestöennuste'!$X$15:$X$307,'1. Väestöennuste'!$U6,'1. Väestöennuste'!L$15:L$307)*1000</f>
        <v>169.77660758546884</v>
      </c>
      <c r="R177" s="43">
        <f>G177/SUMIF('1. Väestöennuste'!$X$15:$X$307,'1. Väestöennuste'!$U6,'1. Väestöennuste'!M$15:M$307)*1000</f>
        <v>205.51128019202721</v>
      </c>
      <c r="S177" s="43">
        <f>H177/SUMIF('1. Väestöennuste'!$X$15:$X$307,'1. Väestöennuste'!$U6,'1. Väestöennuste'!N$15:N$307)*1000</f>
        <v>196.70079658933696</v>
      </c>
      <c r="T177" s="43">
        <f>I177/SUMIF('1. Väestöennuste'!$X$15:$X$307,'1. Väestöennuste'!$U6,'1. Väestöennuste'!O$15:O$307)*1000</f>
        <v>208.48023266922638</v>
      </c>
      <c r="U177" s="43">
        <f>J177/SUMIF('1. Väestöennuste'!$X$15:$X$307,'1. Väestöennuste'!$U6,'1. Väestöennuste'!P$15:P$307)*1000</f>
        <v>218.05202208087059</v>
      </c>
      <c r="V177" s="43">
        <f>K177/SUMIF('1. Väestöennuste'!$X$15:$X$307,'1. Väestöennuste'!$U6,'1. Väestöennuste'!Q$15:Q$307)*1000</f>
        <v>226.13312321297849</v>
      </c>
      <c r="W177" s="43">
        <f>L177/SUMIF('1. Väestöennuste'!$X$15:$X$307,'1. Väestöennuste'!$U6,'1. Väestöennuste'!R$15:R$307)*1000</f>
        <v>235.27275056150467</v>
      </c>
      <c r="AJ177" s="7"/>
      <c r="AK177" s="7"/>
      <c r="AL177" s="7"/>
      <c r="AM177" s="7"/>
      <c r="AN177" s="7"/>
      <c r="AO177" s="7"/>
      <c r="AP177" s="7"/>
      <c r="AQ177" s="7"/>
      <c r="AR177" s="7"/>
      <c r="AS177" s="7"/>
      <c r="AT177" s="159"/>
      <c r="AU177" s="7"/>
      <c r="AV177" s="7"/>
    </row>
    <row r="178" spans="2:48" x14ac:dyDescent="0.2">
      <c r="B178" s="133" t="s">
        <v>779</v>
      </c>
      <c r="C178" s="43">
        <f>SUMIF('1. Väestöennuste'!$X$15:$X$307,'1. Väestöennuste'!$U7,'3. Verotulot'!X$15:X$307)/C166/100</f>
        <v>38875.579895276955</v>
      </c>
      <c r="D178" s="159">
        <f>SUMIF('1. Väestöennuste'!$X$15:$X$307,'1. Väestöennuste'!$U7,'3. Verotulot'!AC$15:AC$307)/D166/100</f>
        <v>39687.664060619682</v>
      </c>
      <c r="E178" s="43">
        <f>SUMIF('1. Väestöennuste'!$X$15:$X$307,'1. Väestöennuste'!$U7,'3. Verotulot'!AH$15:AH$307)/E166/100</f>
        <v>40940.311469046108</v>
      </c>
      <c r="F178" s="43">
        <f>SUMIF('1. Väestöennuste'!$X$15:$X$307,'1. Väestöennuste'!$U7,'3. Verotulot'!AM$15:AM$307)/F166/100</f>
        <v>42023.199190924439</v>
      </c>
      <c r="G178" s="43">
        <f>SUMIF('1. Väestöennuste'!$X$15:$X$307,'1. Väestöennuste'!$U7,'3. Verotulot'!AR$15:AR$307)/G166/100</f>
        <v>51098.872040604372</v>
      </c>
      <c r="H178" s="43">
        <f>SUMIF('1. Väestöennuste'!$X$15:$X$307,'1. Väestöennuste'!$U7,'3. Verotulot'!AW$15:AW$307)/H166/100</f>
        <v>48771.611660117262</v>
      </c>
      <c r="I178" s="43">
        <f>SUMIF('1. Väestöennuste'!$X$15:$X$307,'1. Väestöennuste'!$U7,'3. Verotulot'!BB$15:BB$307)/I166/100</f>
        <v>50950.79916591294</v>
      </c>
      <c r="J178" s="43">
        <f>SUMIF('1. Väestöennuste'!$X$15:$X$307,'1. Väestöennuste'!$U7,'3. Verotulot'!BG$15:BG$307)/J166/100</f>
        <v>52530.210867288755</v>
      </c>
      <c r="K178" s="43">
        <f>SUMIF('1. Väestöennuste'!$X$15:$X$307,'1. Väestöennuste'!$U7,'3. Verotulot'!BL$15:BL$307)/K166/100</f>
        <v>53816.297780712237</v>
      </c>
      <c r="L178" s="43">
        <f>SUMIF('1. Väestöennuste'!$X$15:$X$307,'1. Väestöennuste'!$U7,'3. Verotulot'!BQ$15:BQ$307)/L166/100</f>
        <v>55331.76559407387</v>
      </c>
      <c r="M178" s="328"/>
      <c r="N178" s="43">
        <f>C178/SUMIF('1. Väestöennuste'!$X$15:$X$307,'1. Väestöennuste'!$U7,'1. Väestöennuste'!I$15:I$307)*1000</f>
        <v>131.77313968007809</v>
      </c>
      <c r="O178" s="43">
        <f>D178/SUMIF('1. Väestöennuste'!$X$15:$X$307,'1. Väestöennuste'!$U7,'1. Väestöennuste'!J$15:J$307)*1000</f>
        <v>136.21380909936977</v>
      </c>
      <c r="P178" s="43">
        <f>E178/SUMIF('1. Väestöennuste'!$X$15:$X$307,'1. Väestöennuste'!$U7,'1. Väestöennuste'!K$15:K$307)*1000</f>
        <v>141.98475936314082</v>
      </c>
      <c r="Q178" s="43">
        <f>F178/SUMIF('1. Väestöennuste'!$X$15:$X$307,'1. Väestöennuste'!$U7,'1. Väestöennuste'!L$15:L$307)*1000</f>
        <v>148.18136974792904</v>
      </c>
      <c r="R178" s="43">
        <f>G178/SUMIF('1. Väestöennuste'!$X$15:$X$307,'1. Väestöennuste'!$U7,'1. Väestöennuste'!M$15:M$307)*1000</f>
        <v>181.97150370398307</v>
      </c>
      <c r="S178" s="43">
        <f>H178/SUMIF('1. Väestöennuste'!$X$15:$X$307,'1. Väestöennuste'!$U7,'1. Väestöennuste'!N$15:N$307)*1000</f>
        <v>177.0191628076673</v>
      </c>
      <c r="T178" s="43">
        <f>I178/SUMIF('1. Väestöennuste'!$X$15:$X$307,'1. Väestöennuste'!$U7,'1. Väestöennuste'!O$15:O$307)*1000</f>
        <v>187.27229650643568</v>
      </c>
      <c r="U178" s="43">
        <f>J178/SUMIF('1. Väestöennuste'!$X$15:$X$307,'1. Väestöennuste'!$U7,'1. Väestöennuste'!P$15:P$307)*1000</f>
        <v>195.43361633439275</v>
      </c>
      <c r="V178" s="43">
        <f>K178/SUMIF('1. Väestöennuste'!$X$15:$X$307,'1. Väestöennuste'!$U7,'1. Väestöennuste'!Q$15:Q$307)*1000</f>
        <v>202.59338036761534</v>
      </c>
      <c r="W178" s="43">
        <f>L178/SUMIF('1. Väestöennuste'!$X$15:$X$307,'1. Väestöennuste'!$U7,'1. Väestöennuste'!R$15:R$307)*1000</f>
        <v>210.7258655330584</v>
      </c>
      <c r="AJ178" s="7"/>
      <c r="AK178" s="7"/>
      <c r="AL178" s="7"/>
      <c r="AM178" s="7"/>
      <c r="AN178" s="7"/>
      <c r="AO178" s="7"/>
      <c r="AP178" s="7"/>
      <c r="AQ178" s="7"/>
      <c r="AR178" s="7"/>
      <c r="AS178" s="7"/>
      <c r="AT178" s="159"/>
      <c r="AU178" s="7"/>
      <c r="AV178" s="7"/>
    </row>
    <row r="179" spans="2:48" x14ac:dyDescent="0.2">
      <c r="B179" s="193" t="s">
        <v>780</v>
      </c>
      <c r="C179" s="226">
        <f>SUMIF('1. Väestöennuste'!$X$15:$X$307,'1. Väestöennuste'!$U8,'3. Verotulot'!X$15:X$307)/C167/100</f>
        <v>5879.389696200582</v>
      </c>
      <c r="D179" s="285">
        <f>SUMIF('1. Väestöennuste'!$X$15:$X$307,'1. Väestöennuste'!$U8,'3. Verotulot'!AC$15:AC$307)/D167/100</f>
        <v>6060.0041559663732</v>
      </c>
      <c r="E179" s="226">
        <f>SUMIF('1. Väestöennuste'!$X$15:$X$307,'1. Väestöennuste'!$U8,'3. Verotulot'!AH$15:AH$307)/E167/100</f>
        <v>6215.2619625944808</v>
      </c>
      <c r="F179" s="226">
        <f>SUMIF('1. Väestöennuste'!$X$15:$X$307,'1. Väestöennuste'!$U8,'3. Verotulot'!AM$15:AM$307)/F167/100</f>
        <v>6416.6169658552972</v>
      </c>
      <c r="G179" s="226">
        <f>SUMIF('1. Väestöennuste'!$X$15:$X$307,'1. Väestöennuste'!$U8,'3. Verotulot'!AR$15:AR$307)/G167/100</f>
        <v>7979.3022874060234</v>
      </c>
      <c r="H179" s="226">
        <f>SUMIF('1. Väestöennuste'!$X$15:$X$307,'1. Väestöennuste'!$U8,'3. Verotulot'!AW$15:AW$307)/H167/100</f>
        <v>7463.3708977141232</v>
      </c>
      <c r="I179" s="226">
        <f>SUMIF('1. Väestöennuste'!$X$15:$X$307,'1. Väestöennuste'!$U8,'3. Verotulot'!BB$15:BB$307)/I167/100</f>
        <v>7653.5556125401299</v>
      </c>
      <c r="J179" s="226">
        <f>SUMIF('1. Väestöennuste'!$X$15:$X$307,'1. Väestöennuste'!$U8,'3. Verotulot'!BG$15:BG$307)/J167/100</f>
        <v>7931.3726513748416</v>
      </c>
      <c r="K179" s="43">
        <f>SUMIF('1. Väestöennuste'!$X$15:$X$307,'1. Väestöennuste'!$U8,'3. Verotulot'!BL$15:BL$307)/K167/100</f>
        <v>8147.7882024742603</v>
      </c>
      <c r="L179" s="43">
        <f>SUMIF('1. Väestöennuste'!$X$15:$X$307,'1. Väestöennuste'!$U8,'3. Verotulot'!BQ$15:BQ$307)/L167/100</f>
        <v>8412.9778751024969</v>
      </c>
      <c r="M179" s="329"/>
      <c r="N179" s="226">
        <f>C179/SUMIF('1. Väestöennuste'!$X$15:$X$307,'1. Väestöennuste'!$U8,'1. Väestöennuste'!I$15:I$307)*1000</f>
        <v>126.77109181509729</v>
      </c>
      <c r="O179" s="226">
        <f>D179/SUMIF('1. Väestöennuste'!$X$15:$X$307,'1. Väestöennuste'!$U8,'1. Väestöennuste'!J$15:J$307)*1000</f>
        <v>131.86248353822864</v>
      </c>
      <c r="P179" s="226">
        <f>E179/SUMIF('1. Väestöennuste'!$X$15:$X$307,'1. Väestöennuste'!$U8,'1. Väestöennuste'!K$15:K$307)*1000</f>
        <v>136.73439583312026</v>
      </c>
      <c r="Q179" s="226">
        <f>F179/SUMIF('1. Väestöennuste'!$X$15:$X$307,'1. Väestöennuste'!$U8,'1. Väestöennuste'!L$15:L$307)*1000</f>
        <v>143.29842703683278</v>
      </c>
      <c r="R179" s="226">
        <f>G179/SUMIF('1. Väestöennuste'!$X$15:$X$307,'1. Väestöennuste'!$U8,'1. Väestöennuste'!M$15:M$307)*1000</f>
        <v>181.46738276150242</v>
      </c>
      <c r="S179" s="226">
        <f>H179/SUMIF('1. Väestöennuste'!$X$15:$X$307,'1. Väestöennuste'!$U8,'1. Väestöennuste'!N$15:N$307)*1000</f>
        <v>170.38881552701071</v>
      </c>
      <c r="T179" s="226">
        <f>I179/SUMIF('1. Väestöennuste'!$X$15:$X$307,'1. Väestöennuste'!$U8,'1. Väestöennuste'!O$15:O$307)*1000</f>
        <v>182.96372576653988</v>
      </c>
      <c r="U179" s="226">
        <f>J179/SUMIF('1. Väestöennuste'!$X$15:$X$307,'1. Väestöennuste'!$U8,'1. Väestöennuste'!P$15:P$307)*1000</f>
        <v>191.43108349524141</v>
      </c>
      <c r="V179" s="226">
        <f>K179/SUMIF('1. Väestöennuste'!$X$15:$X$307,'1. Väestöennuste'!$U8,'1. Väestöennuste'!Q$15:Q$307)*1000</f>
        <v>198.48448727099293</v>
      </c>
      <c r="W179" s="226">
        <f>L179/SUMIF('1. Väestöennuste'!$X$15:$X$307,'1. Väestöennuste'!$U8,'1. Väestöennuste'!R$15:R$307)*1000</f>
        <v>206.79344874032142</v>
      </c>
      <c r="AJ179" s="7"/>
      <c r="AK179" s="7"/>
      <c r="AL179" s="7"/>
      <c r="AM179" s="7"/>
      <c r="AN179" s="7"/>
      <c r="AO179" s="7"/>
      <c r="AP179" s="7"/>
      <c r="AQ179" s="7"/>
      <c r="AR179" s="7"/>
      <c r="AS179" s="7"/>
      <c r="AT179" s="159"/>
      <c r="AU179" s="7"/>
      <c r="AV179" s="7"/>
    </row>
    <row r="180" spans="2:48" x14ac:dyDescent="0.2">
      <c r="B180" s="4" t="s">
        <v>694</v>
      </c>
      <c r="C180" s="5">
        <f>'3. Verotulot'!X13/C168/100</f>
        <v>962952.21709450765</v>
      </c>
      <c r="D180" s="284">
        <f>'3. Verotulot'!AC13/D168/100</f>
        <v>1008247.0017873147</v>
      </c>
      <c r="E180" s="5">
        <f>'3. Verotulot'!AH13/E168/100</f>
        <v>1028651.8453413821</v>
      </c>
      <c r="F180" s="5">
        <f>'3. Verotulot'!AM13/F168/100</f>
        <v>1083384.3253837118</v>
      </c>
      <c r="G180" s="5">
        <f>'3. Verotulot'!AR13/G168/100</f>
        <v>1394847.3148791983</v>
      </c>
      <c r="H180" s="5">
        <f>'3. Verotulot'!AW13/H168/100</f>
        <v>1296668.9940612582</v>
      </c>
      <c r="I180" s="5">
        <f>'3. Verotulot'!BB13/I168/100</f>
        <v>1365865.5966064737</v>
      </c>
      <c r="J180" s="5">
        <f>'3. Verotulot'!BG13/J168/100</f>
        <v>1428587.2415129519</v>
      </c>
      <c r="K180" s="414">
        <f>'3. Verotulot'!BL13/K168/100</f>
        <v>1482581.7410998195</v>
      </c>
      <c r="L180" s="414">
        <f>'3. Verotulot'!BQ13/L168/100</f>
        <v>1543373.0790387818</v>
      </c>
      <c r="M180" s="330"/>
      <c r="N180" s="5">
        <f>C180/'1. Väestöennuste'!I13*1000</f>
        <v>175.22852117522623</v>
      </c>
      <c r="O180" s="5">
        <f>D180/'1. Väestöennuste'!J13*1000</f>
        <v>183.19559511396673</v>
      </c>
      <c r="P180" s="5">
        <f>E180/'1. Väestöennuste'!K13*1000</f>
        <v>186.42099432834323</v>
      </c>
      <c r="Q180" s="5">
        <f>F180/'1. Väestöennuste'!L13*1000</f>
        <v>195.78252345235541</v>
      </c>
      <c r="R180" s="5">
        <f>G180/'1. Väestöennuste'!M13*1000</f>
        <v>250.27269519893892</v>
      </c>
      <c r="S180" s="5">
        <f>H180/'1. Väestöennuste'!N13*1000</f>
        <v>234.11688214311138</v>
      </c>
      <c r="T180" s="5">
        <f>I180/'1. Väestöennuste'!O13*1000</f>
        <v>246.32857597188507</v>
      </c>
      <c r="U180" s="5">
        <f>J180/'1. Väestöennuste'!P13*1000</f>
        <v>257.37583865222064</v>
      </c>
      <c r="V180" s="5">
        <f>K180/'1. Väestöennuste'!Q13*1000</f>
        <v>266.85791919534478</v>
      </c>
      <c r="W180" s="5">
        <f>L180/'1. Väestöennuste'!R13*1000</f>
        <v>277.58348855524247</v>
      </c>
      <c r="AJ180" s="7"/>
      <c r="AK180" s="7"/>
      <c r="AL180" s="7"/>
      <c r="AM180" s="7"/>
      <c r="AN180" s="7"/>
      <c r="AO180" s="7"/>
      <c r="AP180" s="7"/>
      <c r="AQ180" s="7"/>
      <c r="AR180" s="7"/>
      <c r="AS180" s="7"/>
      <c r="AT180" s="126"/>
      <c r="AU180" s="7"/>
      <c r="AV180" s="7"/>
    </row>
    <row r="181" spans="2:48" x14ac:dyDescent="0.2">
      <c r="AJ181" s="7"/>
      <c r="AK181" s="7"/>
      <c r="AL181" s="7"/>
      <c r="AM181" s="7"/>
      <c r="AN181" s="7"/>
      <c r="AO181" s="7"/>
      <c r="AP181" s="7"/>
      <c r="AQ181" s="7"/>
      <c r="AR181" s="7"/>
      <c r="AS181" s="7"/>
      <c r="AT181" s="7"/>
      <c r="AU181" s="7"/>
      <c r="AV181" s="7"/>
    </row>
    <row r="182" spans="2:48" x14ac:dyDescent="0.2">
      <c r="AJ182" s="7"/>
      <c r="AK182" s="7"/>
      <c r="AL182" s="7"/>
      <c r="AM182" s="7"/>
      <c r="AN182" s="7"/>
      <c r="AO182" s="7"/>
      <c r="AP182" s="7"/>
      <c r="AQ182" s="7"/>
      <c r="AR182" s="7"/>
      <c r="AS182" s="7"/>
      <c r="AT182" s="7"/>
      <c r="AU182" s="7"/>
      <c r="AV182" s="7"/>
    </row>
    <row r="183" spans="2:48" x14ac:dyDescent="0.2">
      <c r="AJ183" s="7"/>
      <c r="AK183" s="7"/>
      <c r="AL183" s="7"/>
      <c r="AM183" s="7"/>
      <c r="AN183" s="7"/>
      <c r="AO183" s="7"/>
      <c r="AP183" s="7"/>
      <c r="AQ183" s="7"/>
      <c r="AR183" s="7"/>
      <c r="AS183" s="7"/>
      <c r="AT183" s="7"/>
      <c r="AU183" s="7"/>
      <c r="AV183" s="7"/>
    </row>
    <row r="184" spans="2:48" x14ac:dyDescent="0.2">
      <c r="AJ184" s="7"/>
      <c r="AK184" s="7"/>
      <c r="AL184" s="7"/>
      <c r="AM184" s="7"/>
      <c r="AN184" s="7"/>
      <c r="AO184" s="7"/>
      <c r="AP184" s="7"/>
      <c r="AQ184" s="7"/>
      <c r="AR184" s="7"/>
      <c r="AS184" s="7"/>
      <c r="AT184" s="7"/>
      <c r="AU184" s="7"/>
      <c r="AV184" s="7"/>
    </row>
    <row r="185" spans="2:48" x14ac:dyDescent="0.2">
      <c r="AF185" s="41"/>
      <c r="AG185" s="41"/>
      <c r="AH185" s="41"/>
      <c r="AI185" s="41"/>
      <c r="AJ185" s="7"/>
      <c r="AK185" s="7"/>
      <c r="AL185" s="7"/>
      <c r="AM185" s="7"/>
      <c r="AN185" s="7"/>
      <c r="AO185" s="7"/>
      <c r="AP185" s="7"/>
      <c r="AQ185" s="7"/>
      <c r="AR185" s="7"/>
      <c r="AS185" s="7"/>
      <c r="AT185" s="7"/>
      <c r="AU185" s="7"/>
      <c r="AV185" s="7"/>
    </row>
    <row r="186" spans="2:48" x14ac:dyDescent="0.2">
      <c r="AJ186" s="7"/>
      <c r="AK186" s="7"/>
      <c r="AL186" s="7"/>
      <c r="AM186" s="7"/>
      <c r="AN186" s="7"/>
      <c r="AO186" s="7"/>
      <c r="AP186" s="7"/>
      <c r="AQ186" s="7"/>
      <c r="AR186" s="7"/>
      <c r="AS186" s="7"/>
      <c r="AT186" s="7"/>
      <c r="AU186" s="7"/>
      <c r="AV186" s="7"/>
    </row>
    <row r="187" spans="2:48" x14ac:dyDescent="0.2">
      <c r="AJ187" s="7"/>
      <c r="AK187" s="7"/>
      <c r="AL187" s="7"/>
      <c r="AM187" s="7"/>
      <c r="AN187" s="7"/>
      <c r="AO187" s="7"/>
      <c r="AP187" s="7"/>
      <c r="AQ187" s="7"/>
      <c r="AR187" s="7"/>
      <c r="AS187" s="7"/>
      <c r="AT187" s="7"/>
      <c r="AU187" s="7"/>
      <c r="AV187" s="7"/>
    </row>
    <row r="188" spans="2:48" x14ac:dyDescent="0.2">
      <c r="AJ188" s="7"/>
      <c r="AK188" s="7"/>
      <c r="AL188" s="7"/>
      <c r="AM188" s="7"/>
      <c r="AN188" s="7"/>
      <c r="AO188" s="7"/>
      <c r="AP188" s="7"/>
      <c r="AQ188" s="7"/>
      <c r="AR188" s="7"/>
      <c r="AS188" s="7"/>
      <c r="AT188" s="7"/>
      <c r="AU188" s="7"/>
      <c r="AV188" s="7"/>
    </row>
    <row r="189" spans="2:48" x14ac:dyDescent="0.2">
      <c r="AJ189" s="7"/>
      <c r="AK189" s="7"/>
      <c r="AL189" s="7"/>
      <c r="AM189" s="7"/>
      <c r="AN189" s="7"/>
      <c r="AO189" s="7"/>
      <c r="AP189" s="7"/>
      <c r="AQ189" s="7"/>
      <c r="AR189" s="7"/>
      <c r="AS189" s="7"/>
      <c r="AT189" s="7"/>
      <c r="AU189" s="7"/>
      <c r="AV189" s="7"/>
    </row>
    <row r="190" spans="2:48" x14ac:dyDescent="0.2">
      <c r="AJ190" s="7"/>
      <c r="AK190" s="7"/>
      <c r="AL190" s="7"/>
      <c r="AM190" s="7"/>
      <c r="AN190" s="7"/>
      <c r="AO190" s="7"/>
      <c r="AP190" s="7"/>
      <c r="AQ190" s="7"/>
      <c r="AR190" s="7"/>
      <c r="AS190" s="7"/>
      <c r="AT190" s="7"/>
      <c r="AU190" s="7"/>
      <c r="AV190" s="7"/>
    </row>
    <row r="191" spans="2:48" x14ac:dyDescent="0.2">
      <c r="AJ191" s="7"/>
      <c r="AK191" s="7"/>
      <c r="AL191" s="7"/>
      <c r="AM191" s="7"/>
      <c r="AN191" s="7"/>
      <c r="AO191" s="7"/>
      <c r="AP191" s="7"/>
      <c r="AQ191" s="7"/>
      <c r="AR191" s="7"/>
      <c r="AS191" s="7"/>
      <c r="AT191" s="7"/>
      <c r="AU191" s="7"/>
      <c r="AV191" s="7"/>
    </row>
    <row r="192" spans="2:48" x14ac:dyDescent="0.2">
      <c r="AJ192" s="7"/>
      <c r="AK192" s="7"/>
      <c r="AL192" s="7"/>
      <c r="AM192" s="7"/>
      <c r="AN192" s="7"/>
      <c r="AO192" s="7"/>
      <c r="AP192" s="7"/>
      <c r="AQ192" s="7"/>
      <c r="AR192" s="7"/>
      <c r="AS192" s="7"/>
      <c r="AT192" s="7"/>
      <c r="AU192" s="7"/>
      <c r="AV192" s="7"/>
    </row>
    <row r="193" spans="36:48" x14ac:dyDescent="0.2">
      <c r="AJ193" s="7"/>
      <c r="AK193" s="7"/>
      <c r="AL193" s="7"/>
      <c r="AM193" s="7"/>
      <c r="AN193" s="7"/>
      <c r="AO193" s="7"/>
      <c r="AP193" s="7"/>
      <c r="AQ193" s="7"/>
      <c r="AR193" s="7"/>
      <c r="AS193" s="7"/>
      <c r="AT193" s="7"/>
      <c r="AU193" s="7"/>
      <c r="AV193" s="7"/>
    </row>
    <row r="194" spans="36:48" x14ac:dyDescent="0.2">
      <c r="AJ194" s="7"/>
      <c r="AK194" s="7"/>
      <c r="AL194" s="7"/>
      <c r="AM194" s="7"/>
      <c r="AN194" s="7"/>
      <c r="AO194" s="7"/>
      <c r="AP194" s="7"/>
      <c r="AQ194" s="7"/>
      <c r="AR194" s="7"/>
      <c r="AS194" s="7"/>
      <c r="AT194" s="7"/>
      <c r="AU194" s="7"/>
      <c r="AV194" s="7"/>
    </row>
    <row r="195" spans="36:48" x14ac:dyDescent="0.2">
      <c r="AJ195" s="7"/>
      <c r="AK195" s="7"/>
      <c r="AL195" s="7"/>
      <c r="AM195" s="7"/>
      <c r="AN195" s="7"/>
      <c r="AO195" s="7"/>
      <c r="AP195" s="7"/>
      <c r="AQ195" s="7"/>
      <c r="AR195" s="7"/>
      <c r="AS195" s="7"/>
      <c r="AT195" s="7"/>
      <c r="AU195" s="7"/>
      <c r="AV195" s="7"/>
    </row>
    <row r="196" spans="36:48" x14ac:dyDescent="0.2">
      <c r="AJ196" s="7"/>
      <c r="AK196" s="7"/>
      <c r="AL196" s="7"/>
      <c r="AM196" s="7"/>
      <c r="AN196" s="7"/>
      <c r="AO196" s="7"/>
      <c r="AP196" s="7"/>
      <c r="AQ196" s="7"/>
      <c r="AR196" s="7"/>
      <c r="AS196" s="7"/>
      <c r="AT196" s="7"/>
      <c r="AU196" s="7"/>
      <c r="AV196" s="7"/>
    </row>
    <row r="197" spans="36:48" x14ac:dyDescent="0.2">
      <c r="AJ197" s="7"/>
      <c r="AK197" s="7"/>
      <c r="AL197" s="7"/>
      <c r="AM197" s="7"/>
      <c r="AN197" s="7"/>
      <c r="AO197" s="7"/>
      <c r="AP197" s="7"/>
      <c r="AQ197" s="7"/>
      <c r="AR197" s="7"/>
      <c r="AS197" s="7"/>
      <c r="AT197" s="7"/>
      <c r="AU197" s="7"/>
      <c r="AV197" s="7"/>
    </row>
    <row r="198" spans="36:48" x14ac:dyDescent="0.2">
      <c r="AJ198" s="7"/>
      <c r="AK198" s="7"/>
      <c r="AL198" s="7"/>
      <c r="AM198" s="7"/>
      <c r="AN198" s="7"/>
      <c r="AO198" s="7"/>
      <c r="AP198" s="7"/>
      <c r="AQ198" s="7"/>
      <c r="AR198" s="7"/>
      <c r="AS198" s="7"/>
      <c r="AT198" s="7"/>
      <c r="AU198" s="7"/>
      <c r="AV198" s="7"/>
    </row>
    <row r="199" spans="36:48" x14ac:dyDescent="0.2">
      <c r="AJ199" s="7"/>
      <c r="AK199" s="7"/>
      <c r="AL199" s="7"/>
      <c r="AM199" s="7"/>
      <c r="AN199" s="7"/>
      <c r="AO199" s="7"/>
      <c r="AP199" s="7"/>
      <c r="AQ199" s="7"/>
      <c r="AR199" s="7"/>
      <c r="AS199" s="7"/>
      <c r="AT199" s="7"/>
      <c r="AU199" s="7"/>
      <c r="AV199" s="7"/>
    </row>
    <row r="200" spans="36:48" x14ac:dyDescent="0.2">
      <c r="AJ200" s="7"/>
      <c r="AK200" s="7"/>
      <c r="AL200" s="7"/>
      <c r="AM200" s="7"/>
      <c r="AN200" s="7"/>
      <c r="AO200" s="7"/>
      <c r="AP200" s="7"/>
      <c r="AQ200" s="7"/>
      <c r="AR200" s="7"/>
      <c r="AS200" s="7"/>
      <c r="AT200" s="7"/>
      <c r="AU200" s="7"/>
      <c r="AV200" s="7"/>
    </row>
    <row r="201" spans="36:48" x14ac:dyDescent="0.2">
      <c r="AJ201" s="7"/>
      <c r="AK201" s="7"/>
      <c r="AL201" s="7"/>
      <c r="AM201" s="7"/>
      <c r="AN201" s="7"/>
      <c r="AO201" s="7"/>
      <c r="AP201" s="7"/>
      <c r="AQ201" s="7"/>
      <c r="AR201" s="7"/>
      <c r="AS201" s="7"/>
      <c r="AT201" s="7"/>
      <c r="AU201" s="7"/>
      <c r="AV201" s="7"/>
    </row>
    <row r="202" spans="36:48" x14ac:dyDescent="0.2">
      <c r="AJ202" s="7"/>
      <c r="AK202" s="7"/>
      <c r="AL202" s="7"/>
      <c r="AM202" s="7"/>
      <c r="AN202" s="7"/>
      <c r="AO202" s="7"/>
      <c r="AP202" s="7"/>
      <c r="AQ202" s="7"/>
      <c r="AR202" s="7"/>
      <c r="AS202" s="7"/>
      <c r="AT202" s="7"/>
      <c r="AU202" s="7"/>
      <c r="AV202" s="7"/>
    </row>
    <row r="203" spans="36:48" x14ac:dyDescent="0.2">
      <c r="AJ203" s="7"/>
      <c r="AK203" s="7"/>
      <c r="AL203" s="7"/>
      <c r="AM203" s="7"/>
      <c r="AN203" s="7"/>
      <c r="AO203" s="7"/>
      <c r="AP203" s="7"/>
      <c r="AQ203" s="7"/>
      <c r="AR203" s="7"/>
      <c r="AS203" s="7"/>
      <c r="AT203" s="7"/>
      <c r="AU203" s="7"/>
      <c r="AV203" s="7"/>
    </row>
    <row r="204" spans="36:48" x14ac:dyDescent="0.2">
      <c r="AJ204" s="7"/>
      <c r="AK204" s="7"/>
      <c r="AL204" s="7"/>
      <c r="AM204" s="7"/>
      <c r="AN204" s="7"/>
      <c r="AO204" s="7"/>
      <c r="AP204" s="7"/>
      <c r="AQ204" s="7"/>
      <c r="AR204" s="7"/>
      <c r="AS204" s="7"/>
      <c r="AT204" s="7"/>
      <c r="AU204" s="7"/>
      <c r="AV204" s="7"/>
    </row>
    <row r="205" spans="36:48" x14ac:dyDescent="0.2">
      <c r="AJ205" s="7"/>
      <c r="AK205" s="7"/>
      <c r="AL205" s="7"/>
      <c r="AM205" s="7"/>
      <c r="AN205" s="7"/>
      <c r="AO205" s="7"/>
      <c r="AP205" s="7"/>
      <c r="AQ205" s="7"/>
      <c r="AR205" s="7"/>
      <c r="AS205" s="7"/>
      <c r="AT205" s="7"/>
      <c r="AU205" s="7"/>
      <c r="AV205" s="7"/>
    </row>
    <row r="206" spans="36:48" x14ac:dyDescent="0.2">
      <c r="AJ206" s="7"/>
      <c r="AK206" s="7"/>
      <c r="AL206" s="7"/>
      <c r="AM206" s="7"/>
      <c r="AN206" s="7"/>
      <c r="AO206" s="7"/>
      <c r="AP206" s="7"/>
      <c r="AQ206" s="7"/>
      <c r="AR206" s="7"/>
      <c r="AS206" s="7"/>
      <c r="AT206" s="7"/>
      <c r="AU206" s="7"/>
      <c r="AV206" s="7"/>
    </row>
    <row r="207" spans="36:48" x14ac:dyDescent="0.2">
      <c r="AJ207" s="7"/>
      <c r="AK207" s="7"/>
      <c r="AL207" s="7"/>
      <c r="AM207" s="7"/>
      <c r="AN207" s="7"/>
      <c r="AO207" s="7"/>
      <c r="AP207" s="7"/>
      <c r="AQ207" s="7"/>
      <c r="AR207" s="7"/>
      <c r="AS207" s="7"/>
      <c r="AT207" s="7"/>
      <c r="AU207" s="7"/>
      <c r="AV207" s="7"/>
    </row>
    <row r="208" spans="36:48" x14ac:dyDescent="0.2">
      <c r="AJ208" s="7"/>
      <c r="AK208" s="7"/>
      <c r="AL208" s="7"/>
      <c r="AM208" s="7"/>
      <c r="AN208" s="7"/>
      <c r="AO208" s="7"/>
      <c r="AP208" s="7"/>
      <c r="AQ208" s="7"/>
      <c r="AR208" s="7"/>
      <c r="AS208" s="7"/>
      <c r="AT208" s="7"/>
      <c r="AU208" s="7"/>
      <c r="AV208" s="7"/>
    </row>
    <row r="209" spans="36:48" x14ac:dyDescent="0.2">
      <c r="AJ209" s="7"/>
      <c r="AK209" s="7"/>
      <c r="AL209" s="7"/>
      <c r="AM209" s="7"/>
      <c r="AN209" s="7"/>
      <c r="AO209" s="7"/>
      <c r="AP209" s="7"/>
      <c r="AQ209" s="7"/>
      <c r="AR209" s="7"/>
      <c r="AS209" s="7"/>
      <c r="AT209" s="7"/>
      <c r="AU209" s="7"/>
      <c r="AV209" s="7"/>
    </row>
    <row r="210" spans="36:48" x14ac:dyDescent="0.2">
      <c r="AJ210" s="7"/>
      <c r="AK210" s="7"/>
      <c r="AL210" s="7"/>
      <c r="AM210" s="7"/>
      <c r="AN210" s="7"/>
      <c r="AO210" s="7"/>
      <c r="AP210" s="7"/>
      <c r="AQ210" s="7"/>
      <c r="AR210" s="7"/>
      <c r="AS210" s="7"/>
      <c r="AT210" s="7"/>
      <c r="AU210" s="7"/>
      <c r="AV210" s="7"/>
    </row>
    <row r="211" spans="36:48" x14ac:dyDescent="0.2">
      <c r="AJ211" s="7"/>
      <c r="AK211" s="7"/>
      <c r="AL211" s="7"/>
      <c r="AM211" s="7"/>
      <c r="AN211" s="7"/>
      <c r="AO211" s="7"/>
      <c r="AP211" s="7"/>
      <c r="AQ211" s="7"/>
      <c r="AR211" s="7"/>
      <c r="AS211" s="7"/>
      <c r="AT211" s="7"/>
      <c r="AU211" s="7"/>
      <c r="AV211" s="7"/>
    </row>
    <row r="212" spans="36:48" x14ac:dyDescent="0.2">
      <c r="AJ212" s="7"/>
      <c r="AK212" s="7"/>
      <c r="AL212" s="7"/>
      <c r="AM212" s="7"/>
      <c r="AN212" s="7"/>
      <c r="AO212" s="7"/>
      <c r="AP212" s="7"/>
      <c r="AQ212" s="7"/>
      <c r="AR212" s="7"/>
      <c r="AS212" s="7"/>
      <c r="AT212" s="7"/>
      <c r="AU212" s="7"/>
      <c r="AV212" s="7"/>
    </row>
    <row r="213" spans="36:48" x14ac:dyDescent="0.2">
      <c r="AJ213" s="7"/>
      <c r="AK213" s="7"/>
      <c r="AL213" s="7"/>
      <c r="AM213" s="7"/>
      <c r="AN213" s="7"/>
      <c r="AO213" s="7"/>
      <c r="AP213" s="7"/>
      <c r="AQ213" s="7"/>
      <c r="AR213" s="7"/>
      <c r="AS213" s="7"/>
      <c r="AT213" s="7"/>
      <c r="AU213" s="7"/>
      <c r="AV213" s="7"/>
    </row>
    <row r="214" spans="36:48" x14ac:dyDescent="0.2">
      <c r="AJ214" s="7"/>
      <c r="AK214" s="7"/>
      <c r="AL214" s="7"/>
      <c r="AM214" s="7"/>
      <c r="AN214" s="7"/>
      <c r="AO214" s="7"/>
      <c r="AP214" s="7"/>
      <c r="AQ214" s="7"/>
      <c r="AR214" s="7"/>
      <c r="AS214" s="7"/>
      <c r="AT214" s="7"/>
      <c r="AU214" s="7"/>
      <c r="AV214" s="7"/>
    </row>
    <row r="215" spans="36:48" x14ac:dyDescent="0.2">
      <c r="AJ215" s="7"/>
      <c r="AK215" s="7"/>
      <c r="AL215" s="7"/>
      <c r="AM215" s="7"/>
      <c r="AN215" s="7"/>
      <c r="AO215" s="7"/>
      <c r="AP215" s="7"/>
      <c r="AQ215" s="7"/>
      <c r="AR215" s="7"/>
      <c r="AS215" s="7"/>
      <c r="AT215" s="7"/>
      <c r="AU215" s="7"/>
      <c r="AV215" s="7"/>
    </row>
    <row r="216" spans="36:48" x14ac:dyDescent="0.2">
      <c r="AJ216" s="7"/>
      <c r="AK216" s="7"/>
      <c r="AL216" s="7"/>
      <c r="AM216" s="7"/>
      <c r="AN216" s="7"/>
      <c r="AO216" s="7"/>
      <c r="AP216" s="7"/>
      <c r="AQ216" s="7"/>
      <c r="AR216" s="7"/>
      <c r="AS216" s="7"/>
      <c r="AT216" s="7"/>
      <c r="AU216" s="7"/>
      <c r="AV216" s="7"/>
    </row>
    <row r="217" spans="36:48" x14ac:dyDescent="0.2">
      <c r="AJ217" s="7"/>
      <c r="AK217" s="7"/>
      <c r="AL217" s="7"/>
      <c r="AM217" s="7"/>
      <c r="AN217" s="7"/>
      <c r="AO217" s="7"/>
      <c r="AP217" s="7"/>
      <c r="AQ217" s="7"/>
      <c r="AR217" s="7"/>
      <c r="AS217" s="7"/>
      <c r="AT217" s="7"/>
      <c r="AU217" s="7"/>
      <c r="AV217" s="7"/>
    </row>
    <row r="218" spans="36:48" x14ac:dyDescent="0.2">
      <c r="AJ218" s="7"/>
      <c r="AK218" s="7"/>
      <c r="AL218" s="7"/>
      <c r="AM218" s="7"/>
      <c r="AN218" s="7"/>
      <c r="AO218" s="7"/>
      <c r="AP218" s="7"/>
      <c r="AQ218" s="7"/>
      <c r="AR218" s="7"/>
      <c r="AS218" s="7"/>
      <c r="AT218" s="7"/>
      <c r="AU218" s="7"/>
      <c r="AV218" s="7"/>
    </row>
    <row r="219" spans="36:48" x14ac:dyDescent="0.2">
      <c r="AJ219" s="7"/>
      <c r="AK219" s="7"/>
      <c r="AL219" s="7"/>
      <c r="AM219" s="7"/>
      <c r="AN219" s="7"/>
      <c r="AO219" s="7"/>
      <c r="AP219" s="7"/>
      <c r="AQ219" s="7"/>
      <c r="AR219" s="7"/>
      <c r="AS219" s="7"/>
      <c r="AT219" s="7"/>
      <c r="AU219" s="7"/>
      <c r="AV219" s="7"/>
    </row>
    <row r="220" spans="36:48" x14ac:dyDescent="0.2">
      <c r="AJ220" s="7"/>
      <c r="AK220" s="7"/>
      <c r="AL220" s="7"/>
      <c r="AM220" s="7"/>
      <c r="AN220" s="7"/>
      <c r="AO220" s="7"/>
      <c r="AP220" s="7"/>
      <c r="AQ220" s="7"/>
      <c r="AR220" s="7"/>
      <c r="AS220" s="7"/>
      <c r="AT220" s="7"/>
      <c r="AU220" s="7"/>
      <c r="AV220" s="7"/>
    </row>
    <row r="221" spans="36:48" x14ac:dyDescent="0.2">
      <c r="AJ221" s="7"/>
      <c r="AK221" s="7"/>
      <c r="AL221" s="7"/>
      <c r="AM221" s="7"/>
      <c r="AN221" s="7"/>
      <c r="AO221" s="7"/>
      <c r="AP221" s="7"/>
      <c r="AQ221" s="7"/>
      <c r="AR221" s="7"/>
      <c r="AS221" s="7"/>
      <c r="AT221" s="7"/>
      <c r="AU221" s="7"/>
      <c r="AV221" s="7"/>
    </row>
    <row r="222" spans="36:48" x14ac:dyDescent="0.2">
      <c r="AJ222" s="7"/>
      <c r="AK222" s="7"/>
      <c r="AL222" s="7"/>
      <c r="AM222" s="7"/>
      <c r="AN222" s="7"/>
      <c r="AO222" s="7"/>
      <c r="AP222" s="7"/>
      <c r="AQ222" s="7"/>
      <c r="AR222" s="7"/>
      <c r="AS222" s="7"/>
      <c r="AT222" s="7"/>
      <c r="AU222" s="7"/>
      <c r="AV222" s="7"/>
    </row>
    <row r="223" spans="36:48" x14ac:dyDescent="0.2">
      <c r="AJ223" s="7"/>
      <c r="AK223" s="7"/>
      <c r="AL223" s="7"/>
      <c r="AM223" s="7"/>
      <c r="AN223" s="7"/>
      <c r="AO223" s="7"/>
      <c r="AP223" s="7"/>
      <c r="AQ223" s="7"/>
      <c r="AR223" s="7"/>
      <c r="AS223" s="7"/>
      <c r="AT223" s="7"/>
      <c r="AU223" s="7"/>
      <c r="AV223" s="7"/>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A181"/>
  <sheetViews>
    <sheetView zoomScale="90" zoomScaleNormal="90" workbookViewId="0">
      <selection activeCell="A2" sqref="A2"/>
    </sheetView>
  </sheetViews>
  <sheetFormatPr defaultRowHeight="15" x14ac:dyDescent="0.25"/>
  <sheetData>
    <row r="1" s="141" customFormat="1" x14ac:dyDescent="0.25"/>
    <row r="28" s="203" customFormat="1" x14ac:dyDescent="0.25"/>
    <row r="29" s="203" customFormat="1" x14ac:dyDescent="0.25"/>
    <row r="30" s="141" customFormat="1" x14ac:dyDescent="0.25"/>
    <row r="31" s="203" customFormat="1" x14ac:dyDescent="0.25"/>
    <row r="32" s="203" customFormat="1" x14ac:dyDescent="0.25"/>
    <row r="33" s="203" customFormat="1" x14ac:dyDescent="0.25"/>
    <row r="34" s="203" customFormat="1" x14ac:dyDescent="0.25"/>
    <row r="35" s="203" customFormat="1" x14ac:dyDescent="0.25"/>
    <row r="36" s="203" customFormat="1" x14ac:dyDescent="0.25"/>
    <row r="37" s="203" customFormat="1" x14ac:dyDescent="0.25"/>
    <row r="38" s="203" customFormat="1" x14ac:dyDescent="0.25"/>
    <row r="39" s="203" customFormat="1" x14ac:dyDescent="0.25"/>
    <row r="40" s="203" customFormat="1" x14ac:dyDescent="0.25"/>
    <row r="41" s="203" customFormat="1" x14ac:dyDescent="0.25"/>
    <row r="42" s="203" customFormat="1" x14ac:dyDescent="0.25"/>
    <row r="43" s="203" customFormat="1" x14ac:dyDescent="0.25"/>
    <row r="44" s="203" customFormat="1" x14ac:dyDescent="0.25"/>
    <row r="45" s="203" customFormat="1" x14ac:dyDescent="0.25"/>
    <row r="46" s="203" customFormat="1" x14ac:dyDescent="0.25"/>
    <row r="47" s="203" customFormat="1" x14ac:dyDescent="0.25"/>
    <row r="48" s="203" customFormat="1" x14ac:dyDescent="0.25"/>
    <row r="49" s="203" customFormat="1" x14ac:dyDescent="0.25"/>
    <row r="50" s="203" customFormat="1" x14ac:dyDescent="0.25"/>
    <row r="51" s="203" customFormat="1" x14ac:dyDescent="0.25"/>
    <row r="52" s="203" customFormat="1" x14ac:dyDescent="0.25"/>
    <row r="53" s="203" customFormat="1" x14ac:dyDescent="0.25"/>
    <row r="54" s="203" customFormat="1" x14ac:dyDescent="0.25"/>
    <row r="55" s="203" customFormat="1" x14ac:dyDescent="0.25"/>
    <row r="56" s="141" customFormat="1" x14ac:dyDescent="0.25"/>
    <row r="57" s="203" customFormat="1" x14ac:dyDescent="0.25"/>
    <row r="58" s="203" customFormat="1" x14ac:dyDescent="0.25"/>
    <row r="59" s="203" customFormat="1" x14ac:dyDescent="0.25"/>
    <row r="60" s="203" customFormat="1" x14ac:dyDescent="0.25"/>
    <row r="61" s="203" customFormat="1" x14ac:dyDescent="0.25"/>
    <row r="62" s="203" customFormat="1" x14ac:dyDescent="0.25"/>
    <row r="63" s="203" customFormat="1" x14ac:dyDescent="0.25"/>
    <row r="64" s="203" customFormat="1" x14ac:dyDescent="0.25"/>
    <row r="65" s="203" customFormat="1" x14ac:dyDescent="0.25"/>
    <row r="66" s="203" customFormat="1" x14ac:dyDescent="0.25"/>
    <row r="67" s="203" customFormat="1" x14ac:dyDescent="0.25"/>
    <row r="68" s="203" customFormat="1" x14ac:dyDescent="0.25"/>
    <row r="69" s="203" customFormat="1" x14ac:dyDescent="0.25"/>
    <row r="70" s="203" customFormat="1" x14ac:dyDescent="0.25"/>
    <row r="71" s="203" customFormat="1" x14ac:dyDescent="0.25"/>
    <row r="72" s="203" customFormat="1" x14ac:dyDescent="0.25"/>
    <row r="73" s="203" customFormat="1" x14ac:dyDescent="0.25"/>
    <row r="74" s="203" customFormat="1" x14ac:dyDescent="0.25"/>
    <row r="75" s="203" customFormat="1" x14ac:dyDescent="0.25"/>
    <row r="76" s="203" customFormat="1" x14ac:dyDescent="0.25"/>
    <row r="77" s="203" customFormat="1" x14ac:dyDescent="0.25"/>
    <row r="78" s="203" customFormat="1" x14ac:dyDescent="0.25"/>
    <row r="79" s="203" customFormat="1" x14ac:dyDescent="0.25"/>
    <row r="80" s="203" customFormat="1" x14ac:dyDescent="0.25"/>
    <row r="81" s="141" customFormat="1" x14ac:dyDescent="0.25"/>
    <row r="82" s="203" customFormat="1" x14ac:dyDescent="0.25"/>
    <row r="83" s="203" customFormat="1" x14ac:dyDescent="0.25"/>
    <row r="84" s="203" customFormat="1" x14ac:dyDescent="0.25"/>
    <row r="85" s="203" customFormat="1" x14ac:dyDescent="0.25"/>
    <row r="86" s="203" customFormat="1" x14ac:dyDescent="0.25"/>
    <row r="87" s="203" customFormat="1" x14ac:dyDescent="0.25"/>
    <row r="88" s="203" customFormat="1" x14ac:dyDescent="0.25"/>
    <row r="89" s="203" customFormat="1" x14ac:dyDescent="0.25"/>
    <row r="90" s="203" customFormat="1" x14ac:dyDescent="0.25"/>
    <row r="91" s="203" customFormat="1" x14ac:dyDescent="0.25"/>
    <row r="92" s="203" customFormat="1" x14ac:dyDescent="0.25"/>
    <row r="93" s="203" customFormat="1" x14ac:dyDescent="0.25"/>
    <row r="94" s="203" customFormat="1" x14ac:dyDescent="0.25"/>
    <row r="95" s="203" customFormat="1" x14ac:dyDescent="0.25"/>
    <row r="96" s="203" customFormat="1" x14ac:dyDescent="0.25"/>
    <row r="97" s="203" customFormat="1" x14ac:dyDescent="0.25"/>
    <row r="98" s="203" customFormat="1" x14ac:dyDescent="0.25"/>
    <row r="99" s="203" customFormat="1" x14ac:dyDescent="0.25"/>
    <row r="100" s="203" customFormat="1" x14ac:dyDescent="0.25"/>
    <row r="101" s="203" customFormat="1" x14ac:dyDescent="0.25"/>
    <row r="102" s="203" customFormat="1" x14ac:dyDescent="0.25"/>
    <row r="103" s="203" customFormat="1" x14ac:dyDescent="0.25"/>
    <row r="104" s="203" customFormat="1" x14ac:dyDescent="0.25"/>
    <row r="105" s="141" customFormat="1" x14ac:dyDescent="0.25"/>
    <row r="130" s="203" customFormat="1" x14ac:dyDescent="0.25"/>
    <row r="131" s="141" customFormat="1" x14ac:dyDescent="0.25"/>
    <row r="156" s="141" customFormat="1" x14ac:dyDescent="0.25"/>
    <row r="180" s="203" customFormat="1" x14ac:dyDescent="0.25"/>
    <row r="181" s="141" customFormat="1"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S312"/>
  <sheetViews>
    <sheetView workbookViewId="0"/>
  </sheetViews>
  <sheetFormatPr defaultColWidth="9.140625" defaultRowHeight="11.25" x14ac:dyDescent="0.2"/>
  <cols>
    <col min="1" max="1" width="11.5703125" style="4" bestFit="1" customWidth="1"/>
    <col min="2" max="2" width="4.28515625" style="4" bestFit="1" customWidth="1"/>
    <col min="3" max="3" width="11.5703125" style="4" bestFit="1" customWidth="1"/>
    <col min="4" max="4" width="6.85546875" style="4" bestFit="1" customWidth="1"/>
    <col min="5" max="5" width="10.7109375" style="7" bestFit="1" customWidth="1"/>
    <col min="6" max="11" width="10.7109375" style="4" bestFit="1" customWidth="1"/>
    <col min="12" max="12" width="11.85546875" style="4" bestFit="1" customWidth="1"/>
    <col min="13" max="20" width="10.7109375" style="4" bestFit="1" customWidth="1"/>
    <col min="21" max="21" width="11.85546875" style="4" customWidth="1"/>
    <col min="22" max="22" width="20" style="4" bestFit="1" customWidth="1"/>
    <col min="23" max="23" width="11.85546875" style="4" customWidth="1"/>
    <col min="24" max="25" width="11.85546875" style="7" customWidth="1"/>
    <col min="26" max="26" width="11.85546875" style="4" customWidth="1"/>
    <col min="27" max="28" width="11.85546875" style="24" customWidth="1"/>
    <col min="29" max="60" width="11.85546875" style="4" customWidth="1"/>
    <col min="61" max="61" width="20" style="4" bestFit="1" customWidth="1"/>
    <col min="62" max="70" width="11.85546875" style="4" customWidth="1"/>
    <col min="71" max="16384" width="9.140625" style="4"/>
  </cols>
  <sheetData>
    <row r="1" spans="1:71" x14ac:dyDescent="0.2">
      <c r="B1" s="4">
        <v>1</v>
      </c>
      <c r="C1" s="4">
        <v>2</v>
      </c>
      <c r="D1" s="4">
        <v>3</v>
      </c>
      <c r="E1" s="7">
        <v>4</v>
      </c>
      <c r="F1" s="4">
        <v>5</v>
      </c>
      <c r="G1" s="4">
        <v>6</v>
      </c>
      <c r="H1" s="4">
        <v>7</v>
      </c>
      <c r="I1" s="4">
        <v>8</v>
      </c>
      <c r="J1" s="4">
        <v>9</v>
      </c>
      <c r="K1" s="4">
        <v>10</v>
      </c>
      <c r="L1" s="4">
        <v>11</v>
      </c>
      <c r="M1" s="4">
        <v>12</v>
      </c>
      <c r="N1" s="4">
        <v>13</v>
      </c>
      <c r="O1" s="4">
        <v>14</v>
      </c>
      <c r="P1" s="4">
        <v>15</v>
      </c>
      <c r="Q1" s="4">
        <v>16</v>
      </c>
      <c r="R1" s="4">
        <v>17</v>
      </c>
      <c r="S1" s="4">
        <v>18</v>
      </c>
      <c r="T1" s="4">
        <v>19</v>
      </c>
      <c r="X1" s="7" t="s">
        <v>309</v>
      </c>
      <c r="Y1" s="7" t="s">
        <v>695</v>
      </c>
      <c r="AA1" s="24" t="s">
        <v>309</v>
      </c>
      <c r="AB1" s="24" t="s">
        <v>695</v>
      </c>
      <c r="AD1" s="4" t="s">
        <v>309</v>
      </c>
      <c r="AE1" s="4" t="s">
        <v>695</v>
      </c>
      <c r="AG1" s="4" t="s">
        <v>309</v>
      </c>
      <c r="AH1" s="4" t="s">
        <v>695</v>
      </c>
      <c r="AJ1" s="4" t="s">
        <v>309</v>
      </c>
      <c r="AK1" s="4" t="s">
        <v>695</v>
      </c>
      <c r="AM1" s="4" t="s">
        <v>309</v>
      </c>
      <c r="AN1" s="4" t="s">
        <v>695</v>
      </c>
      <c r="AP1" s="4" t="s">
        <v>309</v>
      </c>
      <c r="AQ1" s="4" t="s">
        <v>695</v>
      </c>
      <c r="AS1" s="4" t="s">
        <v>309</v>
      </c>
      <c r="AT1" s="4" t="s">
        <v>695</v>
      </c>
      <c r="AV1" s="4" t="s">
        <v>309</v>
      </c>
      <c r="AW1" s="4" t="s">
        <v>695</v>
      </c>
      <c r="AY1" s="4" t="s">
        <v>309</v>
      </c>
      <c r="AZ1" s="4" t="s">
        <v>695</v>
      </c>
      <c r="BB1" s="4" t="s">
        <v>309</v>
      </c>
      <c r="BC1" s="4" t="s">
        <v>695</v>
      </c>
      <c r="BE1" s="4" t="s">
        <v>309</v>
      </c>
      <c r="BF1" s="4" t="s">
        <v>695</v>
      </c>
      <c r="BJ1" s="23">
        <v>2019</v>
      </c>
      <c r="BK1" s="23">
        <v>2020</v>
      </c>
      <c r="BL1" s="23">
        <v>2021</v>
      </c>
      <c r="BM1" s="23">
        <v>2022</v>
      </c>
      <c r="BN1" s="23">
        <v>2023</v>
      </c>
      <c r="BO1" s="23">
        <v>2024</v>
      </c>
      <c r="BP1" s="23">
        <v>2025</v>
      </c>
      <c r="BQ1" s="23">
        <v>2026</v>
      </c>
      <c r="BR1" s="23">
        <v>2027</v>
      </c>
      <c r="BS1" s="23">
        <v>2028</v>
      </c>
    </row>
    <row r="2" spans="1:71" x14ac:dyDescent="0.2">
      <c r="U2" s="4">
        <v>1</v>
      </c>
      <c r="V2" s="4" t="s">
        <v>687</v>
      </c>
      <c r="W2" s="5"/>
      <c r="X2" s="284">
        <f t="shared" ref="X2:X8" si="0">SUMIF(X$15:X$307,$U2,I$15:I$307)</f>
        <v>2195437</v>
      </c>
      <c r="Y2" s="7">
        <f>COUNTIF(X$15:X$307,1)</f>
        <v>9</v>
      </c>
      <c r="Z2" s="5"/>
      <c r="AA2" s="125">
        <f t="shared" ref="AA2:AA8" si="1">SUMIF($AA$15:$AA$307,$U2,J$15:J$307)</f>
        <v>2213288</v>
      </c>
      <c r="AB2" s="24">
        <f>COUNTIF(AA$15:AA$307,1)</f>
        <v>9</v>
      </c>
      <c r="AC2" s="5"/>
      <c r="AD2" s="5">
        <f t="shared" ref="AD2:AD8" si="2">SUMIF($AA$15:$AA$307,$U2,K$15:K$307)</f>
        <v>2229749</v>
      </c>
      <c r="AE2" s="4">
        <f>COUNTIF(AD$15:AD$307,1)</f>
        <v>9</v>
      </c>
      <c r="AF2" s="5"/>
      <c r="AG2" s="5">
        <f t="shared" ref="AG2:AG8" si="3">SUMIF($AA$15:$AA$307,$U2,L$15:L$307)</f>
        <v>2259534</v>
      </c>
      <c r="AH2" s="4">
        <f>COUNTIF(AG$15:AG$307,1)</f>
        <v>9</v>
      </c>
      <c r="AI2" s="5"/>
      <c r="AJ2" s="5">
        <f>SUMIF($AA$15:$AA$307,$U2,M$15:M$307)</f>
        <v>2299973</v>
      </c>
      <c r="AK2" s="4">
        <f>COUNTIF(AJ$15:AJ$307,1)</f>
        <v>9</v>
      </c>
      <c r="AL2" s="5"/>
      <c r="AM2" s="5">
        <f t="shared" ref="AM2:AM8" si="4">SUMIF($AA$15:$AA$307,$U2,N$15:N$307)</f>
        <v>2300403</v>
      </c>
      <c r="AN2" s="4">
        <f>COUNTIF(AM$15:AM$307,1)</f>
        <v>9</v>
      </c>
      <c r="AO2" s="5"/>
      <c r="AP2" s="5">
        <f t="shared" ref="AP2:AP8" si="5">SUMIF(AA$15:AA$307,$U2,O$15:O$307)</f>
        <v>2319156</v>
      </c>
      <c r="AQ2" s="4">
        <f>COUNTIF(AP$15:AP$307,1)</f>
        <v>9</v>
      </c>
      <c r="AR2" s="5"/>
      <c r="AS2" s="5">
        <f t="shared" ref="AS2:AS8" si="6">SUMIF(AA$15:AA$307,$U2,P$15:P$307)</f>
        <v>2337045</v>
      </c>
      <c r="AT2" s="4">
        <f>COUNTIF(AS$15:AS$307,1)</f>
        <v>9</v>
      </c>
      <c r="AU2" s="5"/>
      <c r="AV2" s="5">
        <f t="shared" ref="AV2:AV8" si="7">SUMIF(AA$15:AA$307,$U2,Q$15:Q$307)</f>
        <v>2354136</v>
      </c>
      <c r="AW2" s="4">
        <f>COUNTIF(AV$15:AV$307,1)</f>
        <v>9</v>
      </c>
      <c r="AX2" s="5"/>
      <c r="AY2" s="5">
        <f t="shared" ref="AY2:AY8" si="8">SUMIF(AA$15:AA$307,$U2,R$15:R$307)</f>
        <v>2370461</v>
      </c>
      <c r="AZ2" s="4">
        <f>COUNTIF(AY$15:AY$307,1)</f>
        <v>9</v>
      </c>
      <c r="BA2" s="5"/>
      <c r="BB2" s="5">
        <f t="shared" ref="BB2:BB8" si="9">SUMIF(AA$15:AA$307,$U2,S$15:S$307)</f>
        <v>2386044</v>
      </c>
      <c r="BC2" s="4">
        <f>COUNTIF(BB$15:BB$307,1)</f>
        <v>9</v>
      </c>
      <c r="BD2" s="5"/>
      <c r="BE2" s="5">
        <f t="shared" ref="BE2:BE8" si="10">SUMIF(AA$15:AA$307,$U2,T$15:T$307)</f>
        <v>2400783</v>
      </c>
      <c r="BF2" s="4">
        <f>COUNTIF(BE$15:BE$307,1)</f>
        <v>9</v>
      </c>
      <c r="BH2" s="4">
        <v>1</v>
      </c>
      <c r="BI2" s="4" t="s">
        <v>687</v>
      </c>
      <c r="BJ2" s="5">
        <f>X2</f>
        <v>2195437</v>
      </c>
      <c r="BK2" s="5">
        <f>AA2</f>
        <v>2213288</v>
      </c>
      <c r="BL2" s="5">
        <f>AD2</f>
        <v>2229749</v>
      </c>
      <c r="BM2" s="5">
        <f>AG2</f>
        <v>2259534</v>
      </c>
      <c r="BN2" s="5">
        <f>AJ2</f>
        <v>2299973</v>
      </c>
      <c r="BO2" s="5">
        <f>AM2</f>
        <v>2300403</v>
      </c>
      <c r="BP2" s="5">
        <f>AP2</f>
        <v>2319156</v>
      </c>
      <c r="BQ2" s="5">
        <f>AS2</f>
        <v>2337045</v>
      </c>
      <c r="BR2" s="5">
        <f t="shared" ref="BR2:BR9" si="11">AV2</f>
        <v>2354136</v>
      </c>
      <c r="BS2" s="5">
        <f>AY2</f>
        <v>2370461</v>
      </c>
    </row>
    <row r="3" spans="1:71" x14ac:dyDescent="0.2">
      <c r="U3" s="4">
        <v>2</v>
      </c>
      <c r="V3" s="4" t="s">
        <v>688</v>
      </c>
      <c r="W3" s="5"/>
      <c r="X3" s="284">
        <f t="shared" si="0"/>
        <v>1011916</v>
      </c>
      <c r="Y3" s="7">
        <f>COUNTIF(X$15:X$307,2)</f>
        <v>17</v>
      </c>
      <c r="Z3" s="5"/>
      <c r="AA3" s="125">
        <f t="shared" si="1"/>
        <v>1052391</v>
      </c>
      <c r="AB3" s="24">
        <f>COUNTIF(AA$15:AA$307,2)</f>
        <v>18</v>
      </c>
      <c r="AC3" s="5"/>
      <c r="AD3" s="5">
        <f t="shared" si="2"/>
        <v>1054808</v>
      </c>
      <c r="AE3" s="4">
        <f>COUNTIF(AD$15:AD$307,2)</f>
        <v>18</v>
      </c>
      <c r="AF3" s="5"/>
      <c r="AG3" s="5">
        <f t="shared" si="3"/>
        <v>1054872</v>
      </c>
      <c r="AH3" s="4">
        <f>COUNTIF(AG$15:AG$307,2)</f>
        <v>19</v>
      </c>
      <c r="AI3" s="5"/>
      <c r="AJ3" s="5">
        <f t="shared" ref="AJ3:AJ8" si="12">SUMIF($AA$15:$AA$307,$U3,M$15:M$307)</f>
        <v>1059835</v>
      </c>
      <c r="AK3" s="4">
        <f>COUNTIF(AJ$15:AJ$307,2)</f>
        <v>19</v>
      </c>
      <c r="AL3" s="5"/>
      <c r="AM3" s="5">
        <f t="shared" si="4"/>
        <v>1052760</v>
      </c>
      <c r="AN3" s="4">
        <f>COUNTIF(AM$15:AM$307,2)</f>
        <v>18</v>
      </c>
      <c r="AO3" s="5"/>
      <c r="AP3" s="5">
        <f t="shared" si="5"/>
        <v>1052425</v>
      </c>
      <c r="AQ3" s="4">
        <f>COUNTIF(AP$15:AP$307,2)</f>
        <v>18</v>
      </c>
      <c r="AR3" s="5"/>
      <c r="AS3" s="5">
        <f t="shared" si="6"/>
        <v>1052002</v>
      </c>
      <c r="AT3" s="4">
        <f>COUNTIF(AS$15:AS$307,2)</f>
        <v>18</v>
      </c>
      <c r="AU3" s="5"/>
      <c r="AV3" s="5">
        <f t="shared" si="7"/>
        <v>1051517</v>
      </c>
      <c r="AW3" s="4">
        <f>COUNTIF(AV$15:AV$307,2)</f>
        <v>18</v>
      </c>
      <c r="AX3" s="5"/>
      <c r="AY3" s="5">
        <f t="shared" si="8"/>
        <v>1050934</v>
      </c>
      <c r="AZ3" s="4">
        <f>COUNTIF(AY$15:AY$307,2)</f>
        <v>18</v>
      </c>
      <c r="BA3" s="5"/>
      <c r="BB3" s="5">
        <f t="shared" si="9"/>
        <v>1050248</v>
      </c>
      <c r="BC3" s="4">
        <f>COUNTIF(BB$15:BB$307,2)</f>
        <v>19</v>
      </c>
      <c r="BD3" s="5"/>
      <c r="BE3" s="5">
        <f t="shared" si="10"/>
        <v>1049448</v>
      </c>
      <c r="BF3" s="4">
        <f>COUNTIF(BE$15:BE$307,2)</f>
        <v>19</v>
      </c>
      <c r="BH3" s="4">
        <v>2</v>
      </c>
      <c r="BI3" s="4" t="s">
        <v>688</v>
      </c>
      <c r="BJ3" s="5">
        <f t="shared" ref="BJ3:BJ9" si="13">X3</f>
        <v>1011916</v>
      </c>
      <c r="BK3" s="5">
        <f t="shared" ref="BK3:BK9" si="14">AA3</f>
        <v>1052391</v>
      </c>
      <c r="BL3" s="5">
        <f t="shared" ref="BL3:BL9" si="15">AD3</f>
        <v>1054808</v>
      </c>
      <c r="BM3" s="5">
        <f t="shared" ref="BM3:BM9" si="16">AG3</f>
        <v>1054872</v>
      </c>
      <c r="BN3" s="5">
        <f t="shared" ref="BN3:BN9" si="17">AJ3</f>
        <v>1059835</v>
      </c>
      <c r="BO3" s="5">
        <f t="shared" ref="BO3:BO9" si="18">AM3</f>
        <v>1052760</v>
      </c>
      <c r="BP3" s="5">
        <f t="shared" ref="BP3:BP8" si="19">AP3</f>
        <v>1052425</v>
      </c>
      <c r="BQ3" s="5">
        <f t="shared" ref="BQ3:BQ9" si="20">AS3</f>
        <v>1052002</v>
      </c>
      <c r="BR3" s="5">
        <f t="shared" si="11"/>
        <v>1051517</v>
      </c>
      <c r="BS3" s="5">
        <f t="shared" ref="BS3:BS9" si="21">AY3</f>
        <v>1050934</v>
      </c>
    </row>
    <row r="4" spans="1:71" x14ac:dyDescent="0.2">
      <c r="U4" s="4">
        <v>3</v>
      </c>
      <c r="V4" s="4" t="s">
        <v>689</v>
      </c>
      <c r="W4" s="5"/>
      <c r="X4" s="284">
        <f t="shared" si="0"/>
        <v>818157</v>
      </c>
      <c r="Y4" s="7">
        <f>COUNTIF(X$15:X$307,3)</f>
        <v>30</v>
      </c>
      <c r="Z4" s="5"/>
      <c r="AA4" s="125">
        <f t="shared" si="1"/>
        <v>758624</v>
      </c>
      <c r="AB4" s="24">
        <f>COUNTIF(AA$15:AA$307,3)</f>
        <v>28</v>
      </c>
      <c r="AC4" s="5"/>
      <c r="AD4" s="5">
        <f t="shared" si="2"/>
        <v>760455</v>
      </c>
      <c r="AE4" s="4">
        <f>COUNTIF(AD$15:AD$307,3)</f>
        <v>27</v>
      </c>
      <c r="AF4" s="5"/>
      <c r="AG4" s="5">
        <f t="shared" si="3"/>
        <v>759757</v>
      </c>
      <c r="AH4" s="4">
        <f>COUNTIF(AG$15:AG$307,3)</f>
        <v>25</v>
      </c>
      <c r="AI4" s="5"/>
      <c r="AJ4" s="5">
        <f t="shared" si="12"/>
        <v>762200</v>
      </c>
      <c r="AK4" s="4">
        <f>COUNTIF(AJ$15:AJ$307,3)</f>
        <v>25</v>
      </c>
      <c r="AL4" s="5"/>
      <c r="AM4" s="5">
        <f t="shared" si="4"/>
        <v>755265</v>
      </c>
      <c r="AN4" s="4">
        <f>COUNTIF(AM$15:AM$307,3)</f>
        <v>27</v>
      </c>
      <c r="AO4" s="5"/>
      <c r="AP4" s="5">
        <f t="shared" si="5"/>
        <v>754325</v>
      </c>
      <c r="AQ4" s="4">
        <f>COUNTIF(AP$15:AP$307,3)</f>
        <v>27</v>
      </c>
      <c r="AR4" s="5"/>
      <c r="AS4" s="5">
        <f t="shared" si="6"/>
        <v>753344</v>
      </c>
      <c r="AT4" s="4">
        <f>COUNTIF(AS$15:AS$307,3)</f>
        <v>27</v>
      </c>
      <c r="AU4" s="5"/>
      <c r="AV4" s="5">
        <f t="shared" si="7"/>
        <v>752307</v>
      </c>
      <c r="AW4" s="4">
        <f>COUNTIF(AV$15:AV$307,3)</f>
        <v>25</v>
      </c>
      <c r="AX4" s="5"/>
      <c r="AY4" s="5">
        <f t="shared" si="8"/>
        <v>751199</v>
      </c>
      <c r="AZ4" s="4">
        <f>COUNTIF(AY$15:AY$307,3)</f>
        <v>26</v>
      </c>
      <c r="BA4" s="5"/>
      <c r="BB4" s="5">
        <f t="shared" si="9"/>
        <v>750031</v>
      </c>
      <c r="BC4" s="4">
        <f>COUNTIF(BB$15:BB$307,3)</f>
        <v>25</v>
      </c>
      <c r="BD4" s="5"/>
      <c r="BE4" s="5">
        <f t="shared" si="10"/>
        <v>748831</v>
      </c>
      <c r="BF4" s="4">
        <f>COUNTIF(BE$15:BE$307,3)</f>
        <v>25</v>
      </c>
      <c r="BH4" s="4">
        <v>3</v>
      </c>
      <c r="BI4" s="4" t="s">
        <v>689</v>
      </c>
      <c r="BJ4" s="5">
        <f t="shared" si="13"/>
        <v>818157</v>
      </c>
      <c r="BK4" s="5">
        <f t="shared" si="14"/>
        <v>758624</v>
      </c>
      <c r="BL4" s="5">
        <f t="shared" si="15"/>
        <v>760455</v>
      </c>
      <c r="BM4" s="5">
        <f t="shared" si="16"/>
        <v>759757</v>
      </c>
      <c r="BN4" s="5">
        <f t="shared" si="17"/>
        <v>762200</v>
      </c>
      <c r="BO4" s="5">
        <f t="shared" si="18"/>
        <v>755265</v>
      </c>
      <c r="BP4" s="5">
        <f t="shared" si="19"/>
        <v>754325</v>
      </c>
      <c r="BQ4" s="5">
        <f t="shared" si="20"/>
        <v>753344</v>
      </c>
      <c r="BR4" s="5">
        <f t="shared" si="11"/>
        <v>752307</v>
      </c>
      <c r="BS4" s="5">
        <f t="shared" si="21"/>
        <v>751199</v>
      </c>
    </row>
    <row r="5" spans="1:71" x14ac:dyDescent="0.2">
      <c r="U5" s="4">
        <v>4</v>
      </c>
      <c r="V5" s="4" t="s">
        <v>690</v>
      </c>
      <c r="W5" s="5"/>
      <c r="X5" s="284">
        <f t="shared" si="0"/>
        <v>595782</v>
      </c>
      <c r="Y5" s="7">
        <f>COUNTIF(X$15:X$307,4)</f>
        <v>41</v>
      </c>
      <c r="Z5" s="5"/>
      <c r="AA5" s="125">
        <f t="shared" si="1"/>
        <v>603644</v>
      </c>
      <c r="AB5" s="24">
        <f>COUNTIF(AA$15:AA$307,4)</f>
        <v>41</v>
      </c>
      <c r="AC5" s="5"/>
      <c r="AD5" s="5">
        <f t="shared" si="2"/>
        <v>603255</v>
      </c>
      <c r="AE5" s="4">
        <f>COUNTIF(AD$15:AD$307,4)</f>
        <v>42</v>
      </c>
      <c r="AF5" s="5"/>
      <c r="AG5" s="5">
        <f t="shared" si="3"/>
        <v>600919</v>
      </c>
      <c r="AH5" s="4">
        <f>COUNTIF(AG$15:AG$307,4)</f>
        <v>43</v>
      </c>
      <c r="AI5" s="5"/>
      <c r="AJ5" s="5">
        <f t="shared" si="12"/>
        <v>600319</v>
      </c>
      <c r="AK5" s="4">
        <f>COUNTIF(AJ$15:AJ$307,4)</f>
        <v>43</v>
      </c>
      <c r="AL5" s="5"/>
      <c r="AM5" s="5">
        <f t="shared" si="4"/>
        <v>592710</v>
      </c>
      <c r="AN5" s="4">
        <f>COUNTIF(AM$15:AM$307,4)</f>
        <v>41</v>
      </c>
      <c r="AO5" s="5"/>
      <c r="AP5" s="5">
        <f t="shared" si="5"/>
        <v>590031</v>
      </c>
      <c r="AQ5" s="4">
        <f>COUNTIF(AP$15:AP$307,4)</f>
        <v>39</v>
      </c>
      <c r="AR5" s="5"/>
      <c r="AS5" s="5">
        <f t="shared" si="6"/>
        <v>587378</v>
      </c>
      <c r="AT5" s="4">
        <f>COUNTIF(AS$15:AS$307,4)</f>
        <v>38</v>
      </c>
      <c r="AU5" s="5"/>
      <c r="AV5" s="5">
        <f t="shared" si="7"/>
        <v>584738</v>
      </c>
      <c r="AW5" s="4">
        <f>COUNTIF(AV$15:AV$307,4)</f>
        <v>40</v>
      </c>
      <c r="AX5" s="5"/>
      <c r="AY5" s="5">
        <f t="shared" si="8"/>
        <v>582059</v>
      </c>
      <c r="AZ5" s="4">
        <f>COUNTIF(AY$15:AY$307,4)</f>
        <v>39</v>
      </c>
      <c r="BA5" s="5"/>
      <c r="BB5" s="5">
        <f t="shared" si="9"/>
        <v>579369</v>
      </c>
      <c r="BC5" s="4">
        <f>COUNTIF(BB$15:BB$307,4)</f>
        <v>39</v>
      </c>
      <c r="BD5" s="5"/>
      <c r="BE5" s="5">
        <f t="shared" si="10"/>
        <v>576657</v>
      </c>
      <c r="BF5" s="4">
        <f>COUNTIF(BE$15:BE$307,4)</f>
        <v>39</v>
      </c>
      <c r="BH5" s="4">
        <v>4</v>
      </c>
      <c r="BI5" s="4" t="s">
        <v>690</v>
      </c>
      <c r="BJ5" s="5">
        <f t="shared" si="13"/>
        <v>595782</v>
      </c>
      <c r="BK5" s="5">
        <f t="shared" si="14"/>
        <v>603644</v>
      </c>
      <c r="BL5" s="5">
        <f t="shared" si="15"/>
        <v>603255</v>
      </c>
      <c r="BM5" s="5">
        <f t="shared" si="16"/>
        <v>600919</v>
      </c>
      <c r="BN5" s="5">
        <f t="shared" si="17"/>
        <v>600319</v>
      </c>
      <c r="BO5" s="5">
        <f t="shared" si="18"/>
        <v>592710</v>
      </c>
      <c r="BP5" s="5">
        <f t="shared" si="19"/>
        <v>590031</v>
      </c>
      <c r="BQ5" s="5">
        <f t="shared" si="20"/>
        <v>587378</v>
      </c>
      <c r="BR5" s="5">
        <f t="shared" si="11"/>
        <v>584738</v>
      </c>
      <c r="BS5" s="5">
        <f t="shared" si="21"/>
        <v>582059</v>
      </c>
    </row>
    <row r="6" spans="1:71" x14ac:dyDescent="0.2">
      <c r="K6" s="279"/>
      <c r="L6" s="279"/>
      <c r="U6" s="4">
        <v>5</v>
      </c>
      <c r="V6" s="4" t="s">
        <v>691</v>
      </c>
      <c r="W6" s="5"/>
      <c r="X6" s="284">
        <f t="shared" si="0"/>
        <v>532719</v>
      </c>
      <c r="Y6" s="7">
        <f>COUNTIF(X$15:X$307,5)</f>
        <v>73</v>
      </c>
      <c r="Z6" s="5"/>
      <c r="AA6" s="125">
        <f t="shared" si="1"/>
        <v>533403</v>
      </c>
      <c r="AB6" s="24">
        <f>COUNTIF(AA$15:AA$307,5)</f>
        <v>73</v>
      </c>
      <c r="AC6" s="5"/>
      <c r="AD6" s="5">
        <f t="shared" si="2"/>
        <v>530880</v>
      </c>
      <c r="AE6" s="4">
        <f>COUNTIF(AD$15:AD$307,5)</f>
        <v>72</v>
      </c>
      <c r="AF6" s="5"/>
      <c r="AG6" s="5">
        <f t="shared" si="3"/>
        <v>525296</v>
      </c>
      <c r="AH6" s="4">
        <f>COUNTIF(AG$15:AG$307,5)</f>
        <v>70</v>
      </c>
      <c r="AI6" s="5"/>
      <c r="AJ6" s="5">
        <f t="shared" si="12"/>
        <v>521447</v>
      </c>
      <c r="AK6" s="4">
        <f>COUNTIF(AJ$15:AJ$307,5)</f>
        <v>67</v>
      </c>
      <c r="AL6" s="5"/>
      <c r="AM6" s="5">
        <f t="shared" si="4"/>
        <v>513466</v>
      </c>
      <c r="AN6" s="4">
        <f>COUNTIF(AM$15:AM$307,5)</f>
        <v>68</v>
      </c>
      <c r="AO6" s="5"/>
      <c r="AP6" s="5">
        <f t="shared" si="5"/>
        <v>510503</v>
      </c>
      <c r="AQ6" s="4">
        <f>COUNTIF(AP$15:AP$307,5)</f>
        <v>70</v>
      </c>
      <c r="AR6" s="5"/>
      <c r="AS6" s="5">
        <f t="shared" si="6"/>
        <v>506120</v>
      </c>
      <c r="AT6" s="4">
        <f>COUNTIF(AS$15:AS$307,5)</f>
        <v>70</v>
      </c>
      <c r="AU6" s="5"/>
      <c r="AV6" s="5">
        <f t="shared" si="7"/>
        <v>501905</v>
      </c>
      <c r="AW6" s="4">
        <f>COUNTIF(AV$15:AV$307,5)</f>
        <v>69</v>
      </c>
      <c r="AX6" s="5"/>
      <c r="AY6" s="5">
        <f t="shared" si="8"/>
        <v>497785</v>
      </c>
      <c r="AZ6" s="4">
        <f>COUNTIF(AY$15:AY$307,5)</f>
        <v>69</v>
      </c>
      <c r="BA6" s="5"/>
      <c r="BB6" s="5">
        <f t="shared" si="9"/>
        <v>493784</v>
      </c>
      <c r="BC6" s="4">
        <f>COUNTIF(BB$15:BB$307,5)</f>
        <v>69</v>
      </c>
      <c r="BD6" s="5"/>
      <c r="BE6" s="5">
        <f t="shared" si="10"/>
        <v>489933</v>
      </c>
      <c r="BF6" s="4">
        <f>COUNTIF(BE$15:BE$307,5)</f>
        <v>69</v>
      </c>
      <c r="BH6" s="4">
        <v>5</v>
      </c>
      <c r="BI6" s="4" t="s">
        <v>691</v>
      </c>
      <c r="BJ6" s="5">
        <f t="shared" si="13"/>
        <v>532719</v>
      </c>
      <c r="BK6" s="5">
        <f t="shared" si="14"/>
        <v>533403</v>
      </c>
      <c r="BL6" s="5">
        <f t="shared" si="15"/>
        <v>530880</v>
      </c>
      <c r="BM6" s="5">
        <f t="shared" si="16"/>
        <v>525296</v>
      </c>
      <c r="BN6" s="5">
        <f t="shared" si="17"/>
        <v>521447</v>
      </c>
      <c r="BO6" s="5">
        <f t="shared" si="18"/>
        <v>513466</v>
      </c>
      <c r="BP6" s="5">
        <f t="shared" si="19"/>
        <v>510503</v>
      </c>
      <c r="BQ6" s="5">
        <f t="shared" si="20"/>
        <v>506120</v>
      </c>
      <c r="BR6" s="5">
        <f t="shared" si="11"/>
        <v>501905</v>
      </c>
      <c r="BS6" s="5">
        <f t="shared" si="21"/>
        <v>497785</v>
      </c>
    </row>
    <row r="7" spans="1:71" x14ac:dyDescent="0.2">
      <c r="U7" s="4">
        <v>6</v>
      </c>
      <c r="V7" s="4" t="s">
        <v>693</v>
      </c>
      <c r="W7" s="5"/>
      <c r="X7" s="284">
        <f t="shared" si="0"/>
        <v>295019</v>
      </c>
      <c r="Y7" s="7">
        <f>COUNTIF(X$15:X$307,6)</f>
        <v>90</v>
      </c>
      <c r="Z7" s="5"/>
      <c r="AA7" s="125">
        <f t="shared" si="1"/>
        <v>290392</v>
      </c>
      <c r="AB7" s="24">
        <f>COUNTIF(AA$15:AA$307,6)</f>
        <v>88</v>
      </c>
      <c r="AC7" s="5"/>
      <c r="AD7" s="5">
        <f t="shared" si="2"/>
        <v>287379</v>
      </c>
      <c r="AE7" s="4">
        <f>COUNTIF(AD$15:AD$307,6)</f>
        <v>88</v>
      </c>
      <c r="AF7" s="5"/>
      <c r="AG7" s="5">
        <f t="shared" si="3"/>
        <v>282620</v>
      </c>
      <c r="AH7" s="4">
        <f>COUNTIF(AG$15:AG$307,6)</f>
        <v>87</v>
      </c>
      <c r="AI7" s="5"/>
      <c r="AJ7" s="5">
        <f t="shared" si="12"/>
        <v>279810</v>
      </c>
      <c r="AK7" s="4">
        <f>COUNTIF(AJ$15:AJ$307,6)</f>
        <v>91</v>
      </c>
      <c r="AL7" s="5"/>
      <c r="AM7" s="5">
        <f t="shared" si="4"/>
        <v>274451</v>
      </c>
      <c r="AN7" s="4">
        <f>COUNTIF(AM$15:AM$307,6)</f>
        <v>91</v>
      </c>
      <c r="AO7" s="5"/>
      <c r="AP7" s="5">
        <f t="shared" si="5"/>
        <v>270982</v>
      </c>
      <c r="AQ7" s="4">
        <f>COUNTIF(AP$15:AP$307,6)</f>
        <v>90</v>
      </c>
      <c r="AR7" s="5"/>
      <c r="AS7" s="5">
        <f t="shared" si="6"/>
        <v>267682</v>
      </c>
      <c r="AT7" s="4">
        <f>COUNTIF(AS$15:AS$307,6)</f>
        <v>88</v>
      </c>
      <c r="AU7" s="5"/>
      <c r="AV7" s="5">
        <f t="shared" si="7"/>
        <v>264515</v>
      </c>
      <c r="AW7" s="4">
        <f>COUNTIF(AV$15:AV$307,6)</f>
        <v>88</v>
      </c>
      <c r="AX7" s="5"/>
      <c r="AY7" s="5">
        <f t="shared" si="8"/>
        <v>261440</v>
      </c>
      <c r="AZ7" s="4">
        <f>COUNTIF(AY$15:AY$307,6)</f>
        <v>87</v>
      </c>
      <c r="BA7" s="5"/>
      <c r="BB7" s="5">
        <f t="shared" si="9"/>
        <v>258487</v>
      </c>
      <c r="BC7" s="4">
        <f>COUNTIF(BB$15:BB$307,6)</f>
        <v>86</v>
      </c>
      <c r="BD7" s="5"/>
      <c r="BE7" s="5">
        <f t="shared" si="10"/>
        <v>255641</v>
      </c>
      <c r="BF7" s="4">
        <f>COUNTIF(BE$15:BE$307,6)</f>
        <v>86</v>
      </c>
      <c r="BH7" s="4">
        <v>6</v>
      </c>
      <c r="BI7" s="4" t="s">
        <v>693</v>
      </c>
      <c r="BJ7" s="5">
        <f t="shared" si="13"/>
        <v>295019</v>
      </c>
      <c r="BK7" s="5">
        <f t="shared" si="14"/>
        <v>290392</v>
      </c>
      <c r="BL7" s="5">
        <f t="shared" si="15"/>
        <v>287379</v>
      </c>
      <c r="BM7" s="5">
        <f t="shared" si="16"/>
        <v>282620</v>
      </c>
      <c r="BN7" s="5">
        <f t="shared" si="17"/>
        <v>279810</v>
      </c>
      <c r="BO7" s="5">
        <f t="shared" si="18"/>
        <v>274451</v>
      </c>
      <c r="BP7" s="5">
        <f t="shared" si="19"/>
        <v>270982</v>
      </c>
      <c r="BQ7" s="5">
        <f t="shared" si="20"/>
        <v>267682</v>
      </c>
      <c r="BR7" s="5">
        <f t="shared" si="11"/>
        <v>264515</v>
      </c>
      <c r="BS7" s="5">
        <f t="shared" si="21"/>
        <v>261440</v>
      </c>
    </row>
    <row r="8" spans="1:71" x14ac:dyDescent="0.2">
      <c r="U8" s="4">
        <v>7</v>
      </c>
      <c r="V8" s="4" t="s">
        <v>692</v>
      </c>
      <c r="W8" s="5"/>
      <c r="X8" s="284">
        <f t="shared" si="0"/>
        <v>46378</v>
      </c>
      <c r="Y8" s="7">
        <f>COUNTIF(X$15:X$307,7)</f>
        <v>33</v>
      </c>
      <c r="Z8" s="5"/>
      <c r="AA8" s="125">
        <f t="shared" si="1"/>
        <v>51922</v>
      </c>
      <c r="AB8" s="24">
        <f>COUNTIF(AA$15:AA$307,7)</f>
        <v>36</v>
      </c>
      <c r="AC8" s="5"/>
      <c r="AD8" s="5">
        <f t="shared" si="2"/>
        <v>51371</v>
      </c>
      <c r="AE8" s="4">
        <f>COUNTIF(AD$15:AD$307,7)</f>
        <v>37</v>
      </c>
      <c r="AF8" s="5"/>
      <c r="AG8" s="5">
        <f t="shared" si="3"/>
        <v>50613</v>
      </c>
      <c r="AH8" s="4">
        <f>COUNTIF(AG$15:AG$307,7)</f>
        <v>40</v>
      </c>
      <c r="AI8" s="5"/>
      <c r="AJ8" s="5">
        <f t="shared" si="12"/>
        <v>49726</v>
      </c>
      <c r="AK8" s="4">
        <f>COUNTIF(AJ$15:AJ$307,7)</f>
        <v>39</v>
      </c>
      <c r="AL8" s="5"/>
      <c r="AM8" s="5">
        <f t="shared" si="4"/>
        <v>49499</v>
      </c>
      <c r="AN8" s="4">
        <f>COUNTIF(AM$15:AM$307,7)</f>
        <v>39</v>
      </c>
      <c r="AO8" s="5"/>
      <c r="AP8" s="5">
        <f t="shared" si="5"/>
        <v>47471</v>
      </c>
      <c r="AQ8" s="4">
        <f>COUNTIF(AP$15:AP$307,7)</f>
        <v>39</v>
      </c>
      <c r="AR8" s="5"/>
      <c r="AS8" s="5">
        <f t="shared" si="6"/>
        <v>47017</v>
      </c>
      <c r="AT8" s="4">
        <f>COUNTIF(AS$15:AS$307,7)</f>
        <v>42</v>
      </c>
      <c r="AU8" s="5"/>
      <c r="AV8" s="5">
        <f t="shared" si="7"/>
        <v>46579</v>
      </c>
      <c r="AW8" s="4">
        <f>COUNTIF(AV$15:AV$307,7)</f>
        <v>43</v>
      </c>
      <c r="AX8" s="5"/>
      <c r="AY8" s="5">
        <f t="shared" si="8"/>
        <v>46154</v>
      </c>
      <c r="AZ8" s="4">
        <f>COUNTIF(AY$15:AY$307,7)</f>
        <v>44</v>
      </c>
      <c r="BA8" s="5"/>
      <c r="BB8" s="5">
        <f t="shared" si="9"/>
        <v>45733</v>
      </c>
      <c r="BC8" s="4">
        <f>COUNTIF(BB$15:BB$307,7)</f>
        <v>45</v>
      </c>
      <c r="BD8" s="5"/>
      <c r="BE8" s="5">
        <f t="shared" si="10"/>
        <v>45331</v>
      </c>
      <c r="BF8" s="4">
        <f>COUNTIF(BE$15:BE$307,7)</f>
        <v>45</v>
      </c>
      <c r="BH8" s="4">
        <v>7</v>
      </c>
      <c r="BI8" s="4" t="s">
        <v>692</v>
      </c>
      <c r="BJ8" s="5">
        <f t="shared" si="13"/>
        <v>46378</v>
      </c>
      <c r="BK8" s="5">
        <f t="shared" si="14"/>
        <v>51922</v>
      </c>
      <c r="BL8" s="5">
        <f t="shared" si="15"/>
        <v>51371</v>
      </c>
      <c r="BM8" s="5">
        <f t="shared" si="16"/>
        <v>50613</v>
      </c>
      <c r="BN8" s="5">
        <f t="shared" si="17"/>
        <v>49726</v>
      </c>
      <c r="BO8" s="5">
        <f t="shared" si="18"/>
        <v>49499</v>
      </c>
      <c r="BP8" s="5">
        <f t="shared" si="19"/>
        <v>47471</v>
      </c>
      <c r="BQ8" s="5">
        <f t="shared" si="20"/>
        <v>47017</v>
      </c>
      <c r="BR8" s="5">
        <f t="shared" si="11"/>
        <v>46579</v>
      </c>
      <c r="BS8" s="5">
        <f t="shared" si="21"/>
        <v>46154</v>
      </c>
    </row>
    <row r="9" spans="1:71" x14ac:dyDescent="0.2">
      <c r="I9" s="4" t="s">
        <v>727</v>
      </c>
      <c r="J9" s="4" t="s">
        <v>727</v>
      </c>
      <c r="K9" s="4" t="s">
        <v>727</v>
      </c>
      <c r="L9" s="4" t="s">
        <v>727</v>
      </c>
      <c r="M9" s="4" t="s">
        <v>727</v>
      </c>
      <c r="N9" s="4" t="s">
        <v>625</v>
      </c>
      <c r="O9" s="4" t="s">
        <v>625</v>
      </c>
      <c r="P9" s="4" t="s">
        <v>625</v>
      </c>
      <c r="Q9" s="4" t="s">
        <v>625</v>
      </c>
      <c r="R9" s="4" t="s">
        <v>625</v>
      </c>
      <c r="S9" s="4" t="s">
        <v>625</v>
      </c>
      <c r="T9" s="4" t="s">
        <v>625</v>
      </c>
      <c r="W9" s="5"/>
      <c r="X9" s="284">
        <f>SUM(X2:X8)</f>
        <v>5495408</v>
      </c>
      <c r="Y9" s="284">
        <f>SUM(Y2:Y8)</f>
        <v>293</v>
      </c>
      <c r="Z9" s="5"/>
      <c r="AA9" s="125">
        <f>SUM(AA2:AA8)</f>
        <v>5503664</v>
      </c>
      <c r="AB9" s="125">
        <f>SUM(AB2:AB8)</f>
        <v>293</v>
      </c>
      <c r="AC9" s="5"/>
      <c r="AD9" s="5">
        <f>SUM(AD2:AD8)</f>
        <v>5517897</v>
      </c>
      <c r="AE9" s="5">
        <f>SUM(AE2:AE8)</f>
        <v>293</v>
      </c>
      <c r="AF9" s="5"/>
      <c r="AG9" s="5">
        <f>SUM(AG2:AG8)</f>
        <v>5533611</v>
      </c>
      <c r="AH9" s="5">
        <f>SUM(AH2:AH8)</f>
        <v>293</v>
      </c>
      <c r="AI9" s="5"/>
      <c r="AJ9" s="5">
        <f>SUM(AJ2:AJ8)</f>
        <v>5573310</v>
      </c>
      <c r="AK9" s="5">
        <f>SUM(AK2:AK8)</f>
        <v>293</v>
      </c>
      <c r="AL9" s="5"/>
      <c r="AM9" s="5">
        <f>SUM(AM2:AM8)</f>
        <v>5538554</v>
      </c>
      <c r="AN9" s="5">
        <f>SUM(AN2:AN8)</f>
        <v>293</v>
      </c>
      <c r="AO9" s="5"/>
      <c r="AP9" s="5">
        <f>SUM(AP2:AP8)</f>
        <v>5544893</v>
      </c>
      <c r="AQ9" s="5">
        <f>SUM(AQ2:AQ8)</f>
        <v>292</v>
      </c>
      <c r="AR9" s="5"/>
      <c r="AS9" s="5">
        <f>SUM(AS2:AS8)</f>
        <v>5550588</v>
      </c>
      <c r="AT9" s="5">
        <f>SUM(AT2:AT8)</f>
        <v>292</v>
      </c>
      <c r="AU9" s="5"/>
      <c r="AV9" s="5">
        <f>SUM(AV2:AV8)</f>
        <v>5555697</v>
      </c>
      <c r="AW9" s="5">
        <f>SUM(AW2:AW8)</f>
        <v>292</v>
      </c>
      <c r="AX9" s="5"/>
      <c r="AY9" s="5">
        <f>SUM(AY2:AY8)</f>
        <v>5560032</v>
      </c>
      <c r="AZ9" s="5">
        <f>SUM(AZ2:AZ8)</f>
        <v>292</v>
      </c>
      <c r="BA9" s="5"/>
      <c r="BB9" s="5">
        <f>SUM(BB2:BB8)</f>
        <v>5563696</v>
      </c>
      <c r="BC9" s="5">
        <f>SUM(BC2:BC8)</f>
        <v>292</v>
      </c>
      <c r="BD9" s="5"/>
      <c r="BE9" s="5">
        <f>SUM(BE2:BE8)</f>
        <v>5566624</v>
      </c>
      <c r="BF9" s="5">
        <f>SUM(BF2:BF8)</f>
        <v>292</v>
      </c>
      <c r="BG9" s="5"/>
      <c r="BH9" s="5"/>
      <c r="BI9" s="5"/>
      <c r="BJ9" s="5">
        <f t="shared" si="13"/>
        <v>5495408</v>
      </c>
      <c r="BK9" s="5">
        <f t="shared" si="14"/>
        <v>5503664</v>
      </c>
      <c r="BL9" s="5">
        <f t="shared" si="15"/>
        <v>5517897</v>
      </c>
      <c r="BM9" s="5">
        <f t="shared" si="16"/>
        <v>5533611</v>
      </c>
      <c r="BN9" s="5">
        <f t="shared" si="17"/>
        <v>5573310</v>
      </c>
      <c r="BO9" s="5">
        <f t="shared" si="18"/>
        <v>5538554</v>
      </c>
      <c r="BP9" s="5">
        <f>AP9</f>
        <v>5544893</v>
      </c>
      <c r="BQ9" s="5">
        <f t="shared" si="20"/>
        <v>5550588</v>
      </c>
      <c r="BR9" s="5">
        <f t="shared" si="11"/>
        <v>5555697</v>
      </c>
      <c r="BS9" s="5">
        <f t="shared" si="21"/>
        <v>5560032</v>
      </c>
    </row>
    <row r="10" spans="1:71" x14ac:dyDescent="0.2">
      <c r="W10" s="5"/>
      <c r="X10" s="284"/>
      <c r="Y10" s="284"/>
      <c r="Z10" s="5"/>
      <c r="AA10" s="125"/>
      <c r="AB10" s="12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f>SUM(BJ2:BJ8)</f>
        <v>5495408</v>
      </c>
      <c r="BK10" s="5">
        <f t="shared" ref="BK10:BQ10" si="22">SUM(BK2:BK8)</f>
        <v>5503664</v>
      </c>
      <c r="BL10" s="5">
        <f t="shared" si="22"/>
        <v>5517897</v>
      </c>
      <c r="BM10" s="5">
        <f t="shared" si="22"/>
        <v>5533611</v>
      </c>
      <c r="BN10" s="5">
        <f t="shared" si="22"/>
        <v>5573310</v>
      </c>
      <c r="BO10" s="5">
        <f t="shared" si="22"/>
        <v>5538554</v>
      </c>
      <c r="BP10" s="5">
        <f t="shared" si="22"/>
        <v>5544893</v>
      </c>
      <c r="BQ10" s="5">
        <f t="shared" si="22"/>
        <v>5550588</v>
      </c>
      <c r="BR10" s="5">
        <f t="shared" ref="BR10:BS10" si="23">SUM(BR2:BR8)</f>
        <v>5555697</v>
      </c>
      <c r="BS10" s="5">
        <f t="shared" si="23"/>
        <v>5560032</v>
      </c>
    </row>
    <row r="11" spans="1:71" x14ac:dyDescent="0.2">
      <c r="A11" s="23" t="s">
        <v>295</v>
      </c>
      <c r="B11" s="23" t="s">
        <v>306</v>
      </c>
      <c r="C11" s="23" t="s">
        <v>648</v>
      </c>
      <c r="D11" s="23" t="s">
        <v>768</v>
      </c>
      <c r="E11" s="135" t="s">
        <v>684</v>
      </c>
      <c r="F11" s="23" t="s">
        <v>668</v>
      </c>
      <c r="G11" s="23" t="s">
        <v>669</v>
      </c>
      <c r="H11" s="23" t="s">
        <v>670</v>
      </c>
      <c r="I11" s="23" t="s">
        <v>671</v>
      </c>
      <c r="J11" s="23" t="s">
        <v>672</v>
      </c>
      <c r="K11" s="23" t="s">
        <v>673</v>
      </c>
      <c r="L11" s="23" t="s">
        <v>674</v>
      </c>
      <c r="M11" s="23" t="s">
        <v>675</v>
      </c>
      <c r="N11" s="23" t="s">
        <v>676</v>
      </c>
      <c r="O11" s="23" t="s">
        <v>677</v>
      </c>
      <c r="P11" s="23" t="s">
        <v>678</v>
      </c>
      <c r="Q11" s="23" t="s">
        <v>679</v>
      </c>
      <c r="R11" s="23" t="s">
        <v>680</v>
      </c>
      <c r="S11" s="23" t="s">
        <v>681</v>
      </c>
      <c r="T11" s="23" t="s">
        <v>682</v>
      </c>
      <c r="U11" s="23"/>
      <c r="V11" s="23"/>
      <c r="W11" s="23"/>
      <c r="X11" s="104" t="s">
        <v>671</v>
      </c>
      <c r="Y11" s="135"/>
      <c r="Z11" s="23"/>
      <c r="AA11" s="124" t="s">
        <v>672</v>
      </c>
      <c r="AB11" s="124"/>
      <c r="AC11" s="23"/>
      <c r="AD11" s="23" t="s">
        <v>673</v>
      </c>
      <c r="AE11" s="23"/>
      <c r="AF11" s="23"/>
      <c r="AG11" s="23" t="s">
        <v>674</v>
      </c>
      <c r="AH11" s="23"/>
      <c r="AI11" s="23"/>
      <c r="AJ11" s="23" t="s">
        <v>675</v>
      </c>
      <c r="AK11" s="23"/>
      <c r="AL11" s="23"/>
      <c r="AM11" s="23" t="s">
        <v>676</v>
      </c>
      <c r="AN11" s="23"/>
      <c r="AO11" s="23"/>
      <c r="AP11" s="23" t="s">
        <v>677</v>
      </c>
      <c r="AQ11" s="23"/>
      <c r="AR11" s="23"/>
      <c r="AS11" s="23" t="s">
        <v>678</v>
      </c>
      <c r="AT11" s="23"/>
      <c r="AU11" s="23"/>
      <c r="AV11" s="23" t="s">
        <v>679</v>
      </c>
      <c r="AW11" s="23"/>
      <c r="AX11" s="23"/>
      <c r="AY11" s="23" t="s">
        <v>680</v>
      </c>
      <c r="AZ11" s="23"/>
      <c r="BA11" s="23"/>
      <c r="BB11" s="23" t="s">
        <v>681</v>
      </c>
      <c r="BC11" s="23"/>
      <c r="BD11" s="23"/>
      <c r="BE11" s="23" t="s">
        <v>682</v>
      </c>
      <c r="BF11" s="23"/>
      <c r="BG11" s="23"/>
      <c r="BH11" s="23"/>
      <c r="BI11" s="23"/>
      <c r="BJ11" s="23"/>
      <c r="BK11" s="23"/>
      <c r="BL11" s="23"/>
      <c r="BM11" s="23"/>
      <c r="BN11" s="23"/>
      <c r="BO11" s="23"/>
      <c r="BP11" s="23"/>
      <c r="BQ11" s="23"/>
      <c r="BR11" s="23"/>
      <c r="BS11" s="23"/>
    </row>
    <row r="12" spans="1:71" x14ac:dyDescent="0.2">
      <c r="X12" s="357"/>
    </row>
    <row r="13" spans="1:71" x14ac:dyDescent="0.2">
      <c r="A13" s="4" t="s">
        <v>316</v>
      </c>
      <c r="B13" s="4">
        <v>1</v>
      </c>
      <c r="E13" s="284">
        <f t="shared" ref="E13:T13" si="24">SUM(E15:E307)</f>
        <v>5456001</v>
      </c>
      <c r="F13" s="5">
        <f t="shared" si="24"/>
        <v>5474083</v>
      </c>
      <c r="G13" s="5">
        <f t="shared" si="24"/>
        <v>5483641</v>
      </c>
      <c r="H13" s="5">
        <f t="shared" si="24"/>
        <v>5488130</v>
      </c>
      <c r="I13" s="5">
        <f t="shared" si="24"/>
        <v>5495408</v>
      </c>
      <c r="J13" s="5">
        <f t="shared" si="24"/>
        <v>5503664</v>
      </c>
      <c r="K13" s="5">
        <f t="shared" si="24"/>
        <v>5517897</v>
      </c>
      <c r="L13" s="5">
        <f t="shared" si="24"/>
        <v>5533611</v>
      </c>
      <c r="M13" s="5">
        <f t="shared" si="24"/>
        <v>5573310</v>
      </c>
      <c r="N13" s="5">
        <f t="shared" si="24"/>
        <v>5538554</v>
      </c>
      <c r="O13" s="5">
        <f t="shared" si="24"/>
        <v>5544893</v>
      </c>
      <c r="P13" s="5">
        <f t="shared" si="24"/>
        <v>5550588</v>
      </c>
      <c r="Q13" s="5">
        <f t="shared" si="24"/>
        <v>5555697</v>
      </c>
      <c r="R13" s="5">
        <f t="shared" si="24"/>
        <v>5560032</v>
      </c>
      <c r="S13" s="5">
        <f t="shared" si="24"/>
        <v>5563696</v>
      </c>
      <c r="T13" s="5">
        <f t="shared" si="24"/>
        <v>5566624</v>
      </c>
      <c r="U13" s="5"/>
      <c r="V13" s="5"/>
      <c r="W13" s="5"/>
      <c r="X13" s="284"/>
      <c r="Y13" s="284"/>
      <c r="Z13" s="5"/>
      <c r="AA13" s="125"/>
      <c r="AB13" s="12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row>
    <row r="14" spans="1:71" x14ac:dyDescent="0.2">
      <c r="E14" s="284"/>
      <c r="F14" s="5"/>
      <c r="G14" s="5"/>
      <c r="H14" s="5"/>
      <c r="I14" s="5"/>
      <c r="J14" s="5"/>
      <c r="K14" s="5"/>
      <c r="L14" s="5"/>
      <c r="M14" s="5"/>
      <c r="N14" s="5"/>
      <c r="O14" s="5"/>
      <c r="P14" s="5"/>
      <c r="Q14" s="5"/>
      <c r="R14" s="5"/>
      <c r="S14" s="5"/>
      <c r="T14" s="5"/>
      <c r="U14" s="5"/>
      <c r="V14" s="5"/>
      <c r="W14" s="5"/>
      <c r="X14" s="284"/>
      <c r="Y14" s="284"/>
      <c r="Z14" s="5"/>
      <c r="AA14" s="125"/>
      <c r="AB14" s="12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23">
        <v>2019</v>
      </c>
      <c r="BK14" s="23">
        <v>2020</v>
      </c>
      <c r="BL14" s="23">
        <v>2021</v>
      </c>
      <c r="BM14" s="23">
        <v>2022</v>
      </c>
      <c r="BN14" s="23">
        <v>2023</v>
      </c>
      <c r="BO14" s="23">
        <v>2024</v>
      </c>
      <c r="BP14" s="23">
        <v>2025</v>
      </c>
      <c r="BQ14" s="23">
        <v>2026</v>
      </c>
      <c r="BR14" s="23">
        <v>2027</v>
      </c>
      <c r="BS14" s="23">
        <v>2028</v>
      </c>
    </row>
    <row r="15" spans="1:71" x14ac:dyDescent="0.2">
      <c r="A15" s="4" t="s">
        <v>2</v>
      </c>
      <c r="B15" s="4">
        <v>5</v>
      </c>
      <c r="C15" s="4">
        <v>14</v>
      </c>
      <c r="D15" s="4">
        <v>14</v>
      </c>
      <c r="E15" s="284">
        <v>10006</v>
      </c>
      <c r="F15" s="5">
        <v>9899</v>
      </c>
      <c r="G15" s="5">
        <v>9831</v>
      </c>
      <c r="H15" s="5">
        <v>9700</v>
      </c>
      <c r="I15" s="5">
        <v>9562</v>
      </c>
      <c r="J15" s="5">
        <v>9419</v>
      </c>
      <c r="K15" s="5">
        <v>9311</v>
      </c>
      <c r="L15" s="5">
        <v>9183</v>
      </c>
      <c r="M15" s="5">
        <v>9113</v>
      </c>
      <c r="N15" s="5">
        <v>8951</v>
      </c>
      <c r="O15" s="5">
        <v>8841</v>
      </c>
      <c r="P15" s="5">
        <v>8730</v>
      </c>
      <c r="Q15" s="5">
        <v>8621</v>
      </c>
      <c r="R15" s="5">
        <v>8512</v>
      </c>
      <c r="S15" s="5">
        <v>8407</v>
      </c>
      <c r="T15" s="5">
        <v>8307</v>
      </c>
      <c r="U15" s="5"/>
      <c r="V15" s="5"/>
      <c r="X15" s="7">
        <f>IF(I15&gt;100000,1,IF(I15&gt;40000,2,IF(I15&gt;20000,3,IF(I15&gt;10000,4,IF(I15&gt;5000,5,IF(I15&gt;1999,6,IF(I15&gt;0,7,"")))))))</f>
        <v>5</v>
      </c>
      <c r="AA15" s="24">
        <f t="shared" ref="AA15:AA78" si="25">IF(J15&gt;100000,1,IF(J15&gt;40000,2,IF(J15&gt;20000,3,IF(J15&gt;10000,4,IF(J15&gt;5000,5,IF(J15&gt;1999,6,IF(J15&gt;0,7,"")))))))</f>
        <v>5</v>
      </c>
      <c r="AD15" s="4">
        <f t="shared" ref="AD15:AD78" si="26">IF(K15&gt;100000,1,IF(K15&gt;40000,2,IF(K15&gt;20000,3,IF(K15&gt;10000,4,IF(K15&gt;5000,5,IF(K15&gt;1999,6,IF(K15&gt;0,7,"")))))))</f>
        <v>5</v>
      </c>
      <c r="AG15" s="4">
        <f t="shared" ref="AG15:AG78" si="27">IF(L15&gt;100000,1,IF(L15&gt;40000,2,IF(L15&gt;20000,3,IF(L15&gt;10000,4,IF(L15&gt;5000,5,IF(L15&gt;1999,6,IF(L15&gt;0,7,"")))))))</f>
        <v>5</v>
      </c>
      <c r="AJ15" s="4">
        <f>IF(M15&gt;100000,1,IF(M15&gt;40000,2,IF(M15&gt;20000,3,IF(M15&gt;10000,4,IF(M15&gt;5000,5,IF(M15&gt;1999,6,IF(M15&gt;0,7,"")))))))</f>
        <v>5</v>
      </c>
      <c r="AM15" s="4">
        <f t="shared" ref="AM15:AM78" si="28">IF(N15&gt;100000,1,IF(N15&gt;40000,2,IF(N15&gt;20000,3,IF(N15&gt;10000,4,IF(N15&gt;5000,5,IF(N15&gt;1999,6,IF(N15&gt;0,7,"")))))))</f>
        <v>5</v>
      </c>
      <c r="AP15" s="4">
        <f t="shared" ref="AP15:AP78" si="29">IF(O15&gt;100000,1,IF(O15&gt;40000,2,IF(O15&gt;20000,3,IF(O15&gt;10000,4,IF(O15&gt;5000,5,IF(O15&gt;1999,6,IF(O15&gt;0,7,"")))))))</f>
        <v>5</v>
      </c>
      <c r="AS15" s="4">
        <f t="shared" ref="AS15:AS78" si="30">IF(P15&gt;100000,1,IF(P15&gt;40000,2,IF(P15&gt;20000,3,IF(P15&gt;10000,4,IF(P15&gt;5000,5,IF(P15&gt;1999,6,IF(P15&gt;0,7,"")))))))</f>
        <v>5</v>
      </c>
      <c r="AV15" s="4">
        <f t="shared" ref="AV15:AV78" si="31">IF(Q15&gt;100000,1,IF(Q15&gt;40000,2,IF(Q15&gt;20000,3,IF(Q15&gt;10000,4,IF(Q15&gt;5000,5,IF(Q15&gt;1999,6,IF(Q15&gt;0,7,"")))))))</f>
        <v>5</v>
      </c>
      <c r="AY15" s="4">
        <f t="shared" ref="AY15:AY78" si="32">IF(R15&gt;100000,1,IF(R15&gt;40000,2,IF(R15&gt;20000,3,IF(R15&gt;10000,4,IF(R15&gt;5000,5,IF(R15&gt;1999,6,IF(R15&gt;0,7,"")))))))</f>
        <v>5</v>
      </c>
      <c r="BB15" s="4">
        <f t="shared" ref="BB15:BB78" si="33">IF(S15&gt;100000,1,IF(S15&gt;40000,2,IF(S15&gt;20000,3,IF(S15&gt;10000,4,IF(S15&gt;5000,5,IF(S15&gt;1999,6,IF(S15&gt;0,7,"")))))))</f>
        <v>5</v>
      </c>
      <c r="BE15" s="4">
        <f t="shared" ref="BE15:BE78" si="34">IF(T15&gt;100000,1,IF(T15&gt;40000,2,IF(T15&gt;20000,3,IF(T15&gt;10000,4,IF(T15&gt;5000,5,IF(T15&gt;1999,6,IF(T15&gt;0,7,"")))))))</f>
        <v>5</v>
      </c>
      <c r="BH15" s="4">
        <v>1</v>
      </c>
      <c r="BI15" s="4" t="s">
        <v>687</v>
      </c>
      <c r="BK15" s="69">
        <f t="shared" ref="BK15:BP15" si="35">(BK2/BJ2-1)*100</f>
        <v>0.81309552494559512</v>
      </c>
      <c r="BL15" s="69">
        <f t="shared" si="35"/>
        <v>0.74373511264689274</v>
      </c>
      <c r="BM15" s="69">
        <f t="shared" si="35"/>
        <v>1.3358005766568315</v>
      </c>
      <c r="BN15" s="69">
        <f t="shared" si="35"/>
        <v>1.7897053109180883</v>
      </c>
      <c r="BO15" s="69">
        <f t="shared" si="35"/>
        <v>1.8695871647178564E-2</v>
      </c>
      <c r="BP15" s="69">
        <f t="shared" si="35"/>
        <v>0.81520498799558805</v>
      </c>
      <c r="BQ15" s="69">
        <f>(BQ2/BP2-1)*100</f>
        <v>0.77135820100071584</v>
      </c>
      <c r="BR15" s="69">
        <f>(BR2/BQ2-1)*100</f>
        <v>0.7313081262876775</v>
      </c>
      <c r="BS15" s="69">
        <f>(BS2/BR2-1)*100</f>
        <v>0.69346036082877927</v>
      </c>
    </row>
    <row r="16" spans="1:71" x14ac:dyDescent="0.2">
      <c r="A16" s="4" t="s">
        <v>3</v>
      </c>
      <c r="B16" s="4">
        <v>9</v>
      </c>
      <c r="C16" s="4">
        <v>17</v>
      </c>
      <c r="D16" s="4">
        <v>17</v>
      </c>
      <c r="E16" s="284">
        <v>2687</v>
      </c>
      <c r="F16" s="5">
        <v>2639</v>
      </c>
      <c r="G16" s="5">
        <v>2610</v>
      </c>
      <c r="H16" s="5">
        <v>2573</v>
      </c>
      <c r="I16" s="5">
        <v>2519</v>
      </c>
      <c r="J16" s="5">
        <v>2517</v>
      </c>
      <c r="K16" s="5">
        <v>2491</v>
      </c>
      <c r="L16" s="5">
        <v>2447</v>
      </c>
      <c r="M16" s="5">
        <v>2437</v>
      </c>
      <c r="N16" s="5">
        <v>2421</v>
      </c>
      <c r="O16" s="5">
        <v>2397</v>
      </c>
      <c r="P16" s="5">
        <v>2375</v>
      </c>
      <c r="Q16" s="5">
        <v>2352</v>
      </c>
      <c r="R16" s="5">
        <v>2329</v>
      </c>
      <c r="S16" s="5">
        <v>2308</v>
      </c>
      <c r="T16" s="5">
        <v>2285</v>
      </c>
      <c r="U16" s="5"/>
      <c r="V16" s="5"/>
      <c r="X16" s="7">
        <f t="shared" ref="X16:X79" si="36">IF(I16&gt;100000,1,IF(I16&gt;40000,2,IF(I16&gt;20000,3,IF(I16&gt;10000,4,IF(I16&gt;5000,5,IF(I16&gt;1999,6,IF(I16&gt;0,7,"")))))))</f>
        <v>6</v>
      </c>
      <c r="AA16" s="24">
        <f t="shared" si="25"/>
        <v>6</v>
      </c>
      <c r="AD16" s="4">
        <f t="shared" si="26"/>
        <v>6</v>
      </c>
      <c r="AG16" s="4">
        <f t="shared" si="27"/>
        <v>6</v>
      </c>
      <c r="AJ16" s="4">
        <f t="shared" ref="AJ16:AJ78" si="37">IF(M16&gt;100000,1,IF(M16&gt;40000,2,IF(M16&gt;20000,3,IF(M16&gt;10000,4,IF(M16&gt;5000,5,IF(M16&gt;1999,6,IF(M16&gt;0,7,"")))))))</f>
        <v>6</v>
      </c>
      <c r="AM16" s="4">
        <f t="shared" si="28"/>
        <v>6</v>
      </c>
      <c r="AP16" s="4">
        <f t="shared" si="29"/>
        <v>6</v>
      </c>
      <c r="AS16" s="4">
        <f t="shared" si="30"/>
        <v>6</v>
      </c>
      <c r="AV16" s="4">
        <f t="shared" si="31"/>
        <v>6</v>
      </c>
      <c r="AY16" s="4">
        <f t="shared" si="32"/>
        <v>6</v>
      </c>
      <c r="BB16" s="4">
        <f t="shared" si="33"/>
        <v>6</v>
      </c>
      <c r="BE16" s="4">
        <f t="shared" si="34"/>
        <v>6</v>
      </c>
      <c r="BH16" s="4">
        <v>2</v>
      </c>
      <c r="BI16" s="4" t="s">
        <v>688</v>
      </c>
      <c r="BK16" s="148">
        <f t="shared" ref="BK16:BS16" si="38">(BK3/BJ3-1)*100</f>
        <v>3.9998379312116805</v>
      </c>
      <c r="BL16" s="69">
        <f t="shared" si="38"/>
        <v>0.22966749050494784</v>
      </c>
      <c r="BM16" s="69">
        <f t="shared" si="38"/>
        <v>6.0674549301920067E-3</v>
      </c>
      <c r="BN16" s="69">
        <f t="shared" si="38"/>
        <v>0.47048362265753596</v>
      </c>
      <c r="BO16" s="69">
        <f t="shared" si="38"/>
        <v>-0.66755674232309437</v>
      </c>
      <c r="BP16" s="69">
        <f t="shared" si="38"/>
        <v>-3.1821117823627176E-2</v>
      </c>
      <c r="BQ16" s="69">
        <f t="shared" si="38"/>
        <v>-4.0192887854240134E-2</v>
      </c>
      <c r="BR16" s="69">
        <f t="shared" si="38"/>
        <v>-4.6102573949480252E-2</v>
      </c>
      <c r="BS16" s="69">
        <f t="shared" si="38"/>
        <v>-5.5443706568703011E-2</v>
      </c>
    </row>
    <row r="17" spans="1:71" x14ac:dyDescent="0.2">
      <c r="A17" s="4" t="s">
        <v>4</v>
      </c>
      <c r="B17" s="4">
        <v>10</v>
      </c>
      <c r="C17" s="4">
        <v>14</v>
      </c>
      <c r="D17" s="4">
        <v>14</v>
      </c>
      <c r="E17" s="284">
        <v>12044</v>
      </c>
      <c r="F17" s="5">
        <v>11907</v>
      </c>
      <c r="G17" s="5">
        <v>11713</v>
      </c>
      <c r="H17" s="5">
        <v>11544</v>
      </c>
      <c r="I17" s="5">
        <v>11468</v>
      </c>
      <c r="J17" s="5">
        <v>11332</v>
      </c>
      <c r="K17" s="5">
        <v>11197</v>
      </c>
      <c r="L17" s="5">
        <v>11102</v>
      </c>
      <c r="M17" s="5">
        <v>10933</v>
      </c>
      <c r="N17" s="5">
        <v>10815</v>
      </c>
      <c r="O17" s="5">
        <v>10686</v>
      </c>
      <c r="P17" s="5">
        <v>10562</v>
      </c>
      <c r="Q17" s="5">
        <v>10443</v>
      </c>
      <c r="R17" s="5">
        <v>10325</v>
      </c>
      <c r="S17" s="5">
        <v>10213</v>
      </c>
      <c r="T17" s="5">
        <v>10100</v>
      </c>
      <c r="U17" s="5"/>
      <c r="V17" s="5"/>
      <c r="X17" s="7">
        <f t="shared" si="36"/>
        <v>4</v>
      </c>
      <c r="AA17" s="24">
        <f t="shared" si="25"/>
        <v>4</v>
      </c>
      <c r="AD17" s="4">
        <f t="shared" si="26"/>
        <v>4</v>
      </c>
      <c r="AG17" s="4">
        <f t="shared" si="27"/>
        <v>4</v>
      </c>
      <c r="AJ17" s="4">
        <f t="shared" si="37"/>
        <v>4</v>
      </c>
      <c r="AM17" s="4">
        <f t="shared" si="28"/>
        <v>4</v>
      </c>
      <c r="AP17" s="4">
        <f t="shared" si="29"/>
        <v>4</v>
      </c>
      <c r="AS17" s="4">
        <f t="shared" si="30"/>
        <v>4</v>
      </c>
      <c r="AV17" s="4">
        <f t="shared" si="31"/>
        <v>4</v>
      </c>
      <c r="AY17" s="4">
        <f t="shared" si="32"/>
        <v>4</v>
      </c>
      <c r="BB17" s="4">
        <f t="shared" si="33"/>
        <v>4</v>
      </c>
      <c r="BE17" s="4">
        <f t="shared" si="34"/>
        <v>4</v>
      </c>
      <c r="BH17" s="4">
        <v>3</v>
      </c>
      <c r="BI17" s="4" t="s">
        <v>689</v>
      </c>
      <c r="BK17" s="69">
        <f t="shared" ref="BK17:BS17" si="39">(BK4/BJ4-1)*100</f>
        <v>-7.2764762753359076</v>
      </c>
      <c r="BL17" s="69">
        <f t="shared" si="39"/>
        <v>0.24135803771037079</v>
      </c>
      <c r="BM17" s="69">
        <f t="shared" si="39"/>
        <v>-9.1787153743483341E-2</v>
      </c>
      <c r="BN17" s="69">
        <f t="shared" si="39"/>
        <v>0.32155017986013057</v>
      </c>
      <c r="BO17" s="69">
        <f t="shared" si="39"/>
        <v>-0.90986617685646642</v>
      </c>
      <c r="BP17" s="69">
        <f t="shared" si="39"/>
        <v>-0.12445962675352584</v>
      </c>
      <c r="BQ17" s="69">
        <f t="shared" si="39"/>
        <v>-0.13005004474199167</v>
      </c>
      <c r="BR17" s="69">
        <f t="shared" si="39"/>
        <v>-0.13765291818876868</v>
      </c>
      <c r="BS17" s="69">
        <f t="shared" si="39"/>
        <v>-0.14728029913320118</v>
      </c>
    </row>
    <row r="18" spans="1:71" x14ac:dyDescent="0.2">
      <c r="A18" s="4" t="s">
        <v>5</v>
      </c>
      <c r="B18" s="4">
        <v>16</v>
      </c>
      <c r="C18" s="4">
        <v>7</v>
      </c>
      <c r="D18" s="4">
        <v>7</v>
      </c>
      <c r="E18" s="284">
        <v>8287</v>
      </c>
      <c r="F18" s="5">
        <v>8323</v>
      </c>
      <c r="G18" s="5">
        <v>8248</v>
      </c>
      <c r="H18" s="5">
        <v>8149</v>
      </c>
      <c r="I18" s="5">
        <v>8083</v>
      </c>
      <c r="J18" s="5">
        <v>8059</v>
      </c>
      <c r="K18" s="5">
        <v>8033</v>
      </c>
      <c r="L18" s="5">
        <v>8014</v>
      </c>
      <c r="M18" s="5">
        <v>7968</v>
      </c>
      <c r="N18" s="5">
        <v>7886</v>
      </c>
      <c r="O18" s="5">
        <v>7837</v>
      </c>
      <c r="P18" s="5">
        <v>7791</v>
      </c>
      <c r="Q18" s="5">
        <v>7743</v>
      </c>
      <c r="R18" s="5">
        <v>7699</v>
      </c>
      <c r="S18" s="5">
        <v>7657</v>
      </c>
      <c r="T18" s="5">
        <v>7618</v>
      </c>
      <c r="U18" s="5"/>
      <c r="V18" s="5"/>
      <c r="X18" s="7">
        <f t="shared" si="36"/>
        <v>5</v>
      </c>
      <c r="AA18" s="24">
        <f t="shared" si="25"/>
        <v>5</v>
      </c>
      <c r="AD18" s="4">
        <f t="shared" si="26"/>
        <v>5</v>
      </c>
      <c r="AG18" s="4">
        <f t="shared" si="27"/>
        <v>5</v>
      </c>
      <c r="AJ18" s="4">
        <f t="shared" si="37"/>
        <v>5</v>
      </c>
      <c r="AM18" s="4">
        <f t="shared" si="28"/>
        <v>5</v>
      </c>
      <c r="AP18" s="4">
        <f t="shared" si="29"/>
        <v>5</v>
      </c>
      <c r="AS18" s="4">
        <f t="shared" si="30"/>
        <v>5</v>
      </c>
      <c r="AV18" s="4">
        <f t="shared" si="31"/>
        <v>5</v>
      </c>
      <c r="AY18" s="4">
        <f t="shared" si="32"/>
        <v>5</v>
      </c>
      <c r="BB18" s="4">
        <f t="shared" si="33"/>
        <v>5</v>
      </c>
      <c r="BE18" s="4">
        <f t="shared" si="34"/>
        <v>5</v>
      </c>
      <c r="BH18" s="4">
        <v>4</v>
      </c>
      <c r="BI18" s="4" t="s">
        <v>690</v>
      </c>
      <c r="BK18" s="69">
        <f t="shared" ref="BK18:BS18" si="40">(BK5/BJ5-1)*100</f>
        <v>1.3196101929900506</v>
      </c>
      <c r="BL18" s="69">
        <f t="shared" si="40"/>
        <v>-6.4441955854777078E-2</v>
      </c>
      <c r="BM18" s="69">
        <f t="shared" si="40"/>
        <v>-0.38723259649733333</v>
      </c>
      <c r="BN18" s="69">
        <f t="shared" si="40"/>
        <v>-9.9847067574831971E-2</v>
      </c>
      <c r="BO18" s="69">
        <f t="shared" si="40"/>
        <v>-1.2674927830036986</v>
      </c>
      <c r="BP18" s="69">
        <f t="shared" si="40"/>
        <v>-0.45199169914460491</v>
      </c>
      <c r="BQ18" s="69">
        <f t="shared" si="40"/>
        <v>-0.44963739193364383</v>
      </c>
      <c r="BR18" s="69">
        <f t="shared" si="40"/>
        <v>-0.44945503576913071</v>
      </c>
      <c r="BS18" s="69">
        <f t="shared" si="40"/>
        <v>-0.45815390824608393</v>
      </c>
    </row>
    <row r="19" spans="1:71" x14ac:dyDescent="0.2">
      <c r="A19" s="4" t="s">
        <v>6</v>
      </c>
      <c r="B19" s="4">
        <v>18</v>
      </c>
      <c r="C19" s="4">
        <v>1</v>
      </c>
      <c r="D19" s="4">
        <v>34</v>
      </c>
      <c r="E19" s="284">
        <v>5104</v>
      </c>
      <c r="F19" s="5">
        <v>5046</v>
      </c>
      <c r="G19" s="5">
        <v>4990</v>
      </c>
      <c r="H19" s="5">
        <v>4958</v>
      </c>
      <c r="I19" s="5">
        <v>4943</v>
      </c>
      <c r="J19" s="5">
        <v>4878</v>
      </c>
      <c r="K19" s="5">
        <v>4847</v>
      </c>
      <c r="L19" s="5">
        <v>4763</v>
      </c>
      <c r="M19" s="5">
        <v>4700</v>
      </c>
      <c r="N19" s="5">
        <v>4734</v>
      </c>
      <c r="O19" s="5">
        <v>4709</v>
      </c>
      <c r="P19" s="5">
        <v>4686</v>
      </c>
      <c r="Q19" s="5">
        <v>4665</v>
      </c>
      <c r="R19" s="5">
        <v>4642</v>
      </c>
      <c r="S19" s="5">
        <v>4619</v>
      </c>
      <c r="T19" s="5">
        <v>4598</v>
      </c>
      <c r="U19" s="5"/>
      <c r="V19" s="5"/>
      <c r="X19" s="7">
        <f t="shared" si="36"/>
        <v>6</v>
      </c>
      <c r="AA19" s="24">
        <f t="shared" si="25"/>
        <v>6</v>
      </c>
      <c r="AD19" s="4">
        <f t="shared" si="26"/>
        <v>6</v>
      </c>
      <c r="AG19" s="4">
        <f t="shared" si="27"/>
        <v>6</v>
      </c>
      <c r="AJ19" s="4">
        <f t="shared" si="37"/>
        <v>6</v>
      </c>
      <c r="AM19" s="4">
        <f t="shared" si="28"/>
        <v>6</v>
      </c>
      <c r="AP19" s="4">
        <f t="shared" si="29"/>
        <v>6</v>
      </c>
      <c r="AS19" s="4">
        <f t="shared" si="30"/>
        <v>6</v>
      </c>
      <c r="AV19" s="4">
        <f t="shared" si="31"/>
        <v>6</v>
      </c>
      <c r="AY19" s="4">
        <f t="shared" si="32"/>
        <v>6</v>
      </c>
      <c r="BB19" s="4">
        <f t="shared" si="33"/>
        <v>6</v>
      </c>
      <c r="BE19" s="4">
        <f t="shared" si="34"/>
        <v>6</v>
      </c>
      <c r="BH19" s="4">
        <v>5</v>
      </c>
      <c r="BI19" s="4" t="s">
        <v>691</v>
      </c>
      <c r="BK19" s="69">
        <f t="shared" ref="BK19:BS19" si="41">(BK6/BJ6-1)*100</f>
        <v>0.12839789832914672</v>
      </c>
      <c r="BL19" s="69">
        <f t="shared" si="41"/>
        <v>-0.47300071428170165</v>
      </c>
      <c r="BM19" s="69">
        <f t="shared" si="41"/>
        <v>-1.0518384569017436</v>
      </c>
      <c r="BN19" s="69">
        <f t="shared" si="41"/>
        <v>-0.73272973713868206</v>
      </c>
      <c r="BO19" s="69">
        <f t="shared" si="41"/>
        <v>-1.5305486463629059</v>
      </c>
      <c r="BP19" s="69">
        <f t="shared" si="41"/>
        <v>-0.57705865626935804</v>
      </c>
      <c r="BQ19" s="69">
        <f t="shared" si="41"/>
        <v>-0.85856498394720759</v>
      </c>
      <c r="BR19" s="69">
        <f t="shared" si="41"/>
        <v>-0.83280644906346124</v>
      </c>
      <c r="BS19" s="69">
        <f t="shared" si="41"/>
        <v>-0.82087247586695167</v>
      </c>
    </row>
    <row r="20" spans="1:71" x14ac:dyDescent="0.2">
      <c r="A20" s="4" t="s">
        <v>7</v>
      </c>
      <c r="B20" s="4">
        <v>19</v>
      </c>
      <c r="C20" s="4">
        <v>2</v>
      </c>
      <c r="D20" s="4">
        <v>2</v>
      </c>
      <c r="E20" s="284">
        <v>3986</v>
      </c>
      <c r="F20" s="5">
        <v>3984</v>
      </c>
      <c r="G20" s="5">
        <v>3991</v>
      </c>
      <c r="H20" s="5">
        <v>3984</v>
      </c>
      <c r="I20" s="5">
        <v>3941</v>
      </c>
      <c r="J20" s="5">
        <v>3959</v>
      </c>
      <c r="K20" s="5">
        <v>3955</v>
      </c>
      <c r="L20" s="5">
        <v>3965</v>
      </c>
      <c r="M20" s="5">
        <v>3961</v>
      </c>
      <c r="N20" s="5">
        <v>3962</v>
      </c>
      <c r="O20" s="5">
        <v>3967</v>
      </c>
      <c r="P20" s="5">
        <v>3973</v>
      </c>
      <c r="Q20" s="5">
        <v>3982</v>
      </c>
      <c r="R20" s="5">
        <v>3988</v>
      </c>
      <c r="S20" s="5">
        <v>3992</v>
      </c>
      <c r="T20" s="5">
        <v>3995</v>
      </c>
      <c r="U20" s="5"/>
      <c r="V20" s="5"/>
      <c r="X20" s="7">
        <f t="shared" si="36"/>
        <v>6</v>
      </c>
      <c r="AA20" s="24">
        <f t="shared" si="25"/>
        <v>6</v>
      </c>
      <c r="AD20" s="4">
        <f t="shared" si="26"/>
        <v>6</v>
      </c>
      <c r="AG20" s="4">
        <f t="shared" si="27"/>
        <v>6</v>
      </c>
      <c r="AJ20" s="4">
        <f t="shared" si="37"/>
        <v>6</v>
      </c>
      <c r="AM20" s="4">
        <f t="shared" si="28"/>
        <v>6</v>
      </c>
      <c r="AP20" s="4">
        <f t="shared" si="29"/>
        <v>6</v>
      </c>
      <c r="AS20" s="4">
        <f t="shared" si="30"/>
        <v>6</v>
      </c>
      <c r="AV20" s="4">
        <f t="shared" si="31"/>
        <v>6</v>
      </c>
      <c r="AY20" s="4">
        <f t="shared" si="32"/>
        <v>6</v>
      </c>
      <c r="BB20" s="4">
        <f t="shared" si="33"/>
        <v>6</v>
      </c>
      <c r="BE20" s="4">
        <f t="shared" si="34"/>
        <v>6</v>
      </c>
      <c r="BH20" s="4">
        <v>6</v>
      </c>
      <c r="BI20" s="4" t="s">
        <v>693</v>
      </c>
      <c r="BK20" s="69">
        <f t="shared" ref="BK20:BS20" si="42">(BK7/BJ7-1)*100</f>
        <v>-1.5683735623807316</v>
      </c>
      <c r="BL20" s="69">
        <f t="shared" si="42"/>
        <v>-1.0375630182649642</v>
      </c>
      <c r="BM20" s="69">
        <f t="shared" si="42"/>
        <v>-1.6560013083767422</v>
      </c>
      <c r="BN20" s="69">
        <f t="shared" si="42"/>
        <v>-0.99426792159083011</v>
      </c>
      <c r="BO20" s="69">
        <f t="shared" si="42"/>
        <v>-1.9152281905578827</v>
      </c>
      <c r="BP20" s="69">
        <f t="shared" si="42"/>
        <v>-1.2639779049812172</v>
      </c>
      <c r="BQ20" s="69">
        <f t="shared" si="42"/>
        <v>-1.2177930637459311</v>
      </c>
      <c r="BR20" s="69">
        <f t="shared" si="42"/>
        <v>-1.1831202695736009</v>
      </c>
      <c r="BS20" s="69">
        <f t="shared" si="42"/>
        <v>-1.1625049619114258</v>
      </c>
    </row>
    <row r="21" spans="1:71" x14ac:dyDescent="0.2">
      <c r="A21" s="4" t="s">
        <v>1</v>
      </c>
      <c r="B21" s="4">
        <v>20</v>
      </c>
      <c r="C21" s="4">
        <v>6</v>
      </c>
      <c r="D21" s="4">
        <v>6</v>
      </c>
      <c r="E21" s="284">
        <v>17043</v>
      </c>
      <c r="F21" s="5">
        <v>16923</v>
      </c>
      <c r="G21" s="5">
        <v>16769</v>
      </c>
      <c r="H21" s="5">
        <v>16611</v>
      </c>
      <c r="I21" s="5">
        <v>16475</v>
      </c>
      <c r="J21" s="5">
        <v>16391</v>
      </c>
      <c r="K21" s="5">
        <v>16467</v>
      </c>
      <c r="L21" s="5">
        <v>16473</v>
      </c>
      <c r="M21" s="5">
        <v>16405</v>
      </c>
      <c r="N21" s="5">
        <v>15906</v>
      </c>
      <c r="O21" s="5">
        <v>15795</v>
      </c>
      <c r="P21" s="5">
        <v>15692</v>
      </c>
      <c r="Q21" s="5">
        <v>15595</v>
      </c>
      <c r="R21" s="5">
        <v>15502</v>
      </c>
      <c r="S21" s="5">
        <v>15414</v>
      </c>
      <c r="T21" s="5">
        <v>15326</v>
      </c>
      <c r="U21" s="5"/>
      <c r="V21" s="5"/>
      <c r="X21" s="7">
        <f t="shared" si="36"/>
        <v>4</v>
      </c>
      <c r="AA21" s="24">
        <f t="shared" si="25"/>
        <v>4</v>
      </c>
      <c r="AD21" s="4">
        <f t="shared" si="26"/>
        <v>4</v>
      </c>
      <c r="AG21" s="4">
        <f t="shared" si="27"/>
        <v>4</v>
      </c>
      <c r="AJ21" s="4">
        <f t="shared" si="37"/>
        <v>4</v>
      </c>
      <c r="AM21" s="4">
        <f t="shared" si="28"/>
        <v>4</v>
      </c>
      <c r="AP21" s="4">
        <f t="shared" si="29"/>
        <v>4</v>
      </c>
      <c r="AS21" s="4">
        <f t="shared" si="30"/>
        <v>4</v>
      </c>
      <c r="AV21" s="4">
        <f t="shared" si="31"/>
        <v>4</v>
      </c>
      <c r="AY21" s="4">
        <f t="shared" si="32"/>
        <v>4</v>
      </c>
      <c r="BB21" s="4">
        <f t="shared" si="33"/>
        <v>4</v>
      </c>
      <c r="BE21" s="4">
        <f t="shared" si="34"/>
        <v>4</v>
      </c>
      <c r="BH21" s="4">
        <v>7</v>
      </c>
      <c r="BI21" s="4" t="s">
        <v>692</v>
      </c>
      <c r="BK21" s="69">
        <f t="shared" ref="BK21:BS21" si="43">(BK8/BJ8-1)*100</f>
        <v>11.953943680193202</v>
      </c>
      <c r="BL21" s="69">
        <f t="shared" si="43"/>
        <v>-1.0612071954084978</v>
      </c>
      <c r="BM21" s="69">
        <f t="shared" si="43"/>
        <v>-1.4755406746997379</v>
      </c>
      <c r="BN21" s="69">
        <f t="shared" si="43"/>
        <v>-1.7525141761997931</v>
      </c>
      <c r="BO21" s="69">
        <f t="shared" si="43"/>
        <v>-0.45650162892652002</v>
      </c>
      <c r="BP21" s="69">
        <f t="shared" si="43"/>
        <v>-4.0970524657063745</v>
      </c>
      <c r="BQ21" s="69">
        <f t="shared" si="43"/>
        <v>-0.95637336479114099</v>
      </c>
      <c r="BR21" s="69">
        <f t="shared" si="43"/>
        <v>-0.93157793989407933</v>
      </c>
      <c r="BS21" s="69">
        <f t="shared" si="43"/>
        <v>-0.91242834753858526</v>
      </c>
    </row>
    <row r="22" spans="1:71" x14ac:dyDescent="0.2">
      <c r="A22" s="4" t="s">
        <v>8</v>
      </c>
      <c r="B22" s="4">
        <v>46</v>
      </c>
      <c r="C22" s="4">
        <v>10</v>
      </c>
      <c r="D22" s="4">
        <v>10</v>
      </c>
      <c r="E22" s="284">
        <v>1473</v>
      </c>
      <c r="F22" s="5">
        <v>1453</v>
      </c>
      <c r="G22" s="5">
        <v>1416</v>
      </c>
      <c r="H22" s="5">
        <v>1405</v>
      </c>
      <c r="I22" s="5">
        <v>1361</v>
      </c>
      <c r="J22" s="5">
        <v>1369</v>
      </c>
      <c r="K22" s="5">
        <v>1362</v>
      </c>
      <c r="L22" s="5">
        <v>1341</v>
      </c>
      <c r="M22" s="5">
        <v>1320</v>
      </c>
      <c r="N22" s="5">
        <v>1314</v>
      </c>
      <c r="O22" s="5">
        <v>1300</v>
      </c>
      <c r="P22" s="5">
        <v>1287</v>
      </c>
      <c r="Q22" s="5">
        <v>1274</v>
      </c>
      <c r="R22" s="5">
        <v>1259</v>
      </c>
      <c r="S22" s="5">
        <v>1246</v>
      </c>
      <c r="T22" s="5">
        <v>1230</v>
      </c>
      <c r="U22" s="5"/>
      <c r="V22" s="5"/>
      <c r="X22" s="7">
        <f t="shared" si="36"/>
        <v>7</v>
      </c>
      <c r="AA22" s="24">
        <f t="shared" si="25"/>
        <v>7</v>
      </c>
      <c r="AD22" s="4">
        <f t="shared" si="26"/>
        <v>7</v>
      </c>
      <c r="AG22" s="4">
        <f t="shared" si="27"/>
        <v>7</v>
      </c>
      <c r="AJ22" s="4">
        <f t="shared" si="37"/>
        <v>7</v>
      </c>
      <c r="AM22" s="4">
        <f t="shared" si="28"/>
        <v>7</v>
      </c>
      <c r="AP22" s="4">
        <f t="shared" si="29"/>
        <v>7</v>
      </c>
      <c r="AS22" s="4">
        <f t="shared" si="30"/>
        <v>7</v>
      </c>
      <c r="AV22" s="4">
        <f t="shared" si="31"/>
        <v>7</v>
      </c>
      <c r="AY22" s="4">
        <f t="shared" si="32"/>
        <v>7</v>
      </c>
      <c r="BB22" s="4">
        <f t="shared" si="33"/>
        <v>7</v>
      </c>
      <c r="BE22" s="4">
        <f t="shared" si="34"/>
        <v>7</v>
      </c>
      <c r="BR22" s="5"/>
    </row>
    <row r="23" spans="1:71" x14ac:dyDescent="0.2">
      <c r="A23" s="4" t="s">
        <v>9</v>
      </c>
      <c r="B23" s="4">
        <v>47</v>
      </c>
      <c r="C23" s="4">
        <v>19</v>
      </c>
      <c r="D23" s="4">
        <v>19</v>
      </c>
      <c r="E23" s="284">
        <v>1861</v>
      </c>
      <c r="F23" s="5">
        <v>1872</v>
      </c>
      <c r="G23" s="5">
        <v>1893</v>
      </c>
      <c r="H23" s="5">
        <v>1852</v>
      </c>
      <c r="I23" s="5">
        <v>1838</v>
      </c>
      <c r="J23" s="5">
        <v>1808</v>
      </c>
      <c r="K23" s="5">
        <v>1789</v>
      </c>
      <c r="L23" s="5">
        <v>1811</v>
      </c>
      <c r="M23" s="5">
        <v>1771</v>
      </c>
      <c r="N23" s="5">
        <v>1774</v>
      </c>
      <c r="O23" s="5">
        <v>1768</v>
      </c>
      <c r="P23" s="5">
        <v>1761</v>
      </c>
      <c r="Q23" s="5">
        <v>1753</v>
      </c>
      <c r="R23" s="5">
        <v>1745</v>
      </c>
      <c r="S23" s="5">
        <v>1735</v>
      </c>
      <c r="T23" s="5">
        <v>1726</v>
      </c>
      <c r="U23" s="5"/>
      <c r="V23" s="5"/>
      <c r="X23" s="7">
        <f t="shared" si="36"/>
        <v>7</v>
      </c>
      <c r="AA23" s="24">
        <f t="shared" si="25"/>
        <v>7</v>
      </c>
      <c r="AD23" s="4">
        <f t="shared" si="26"/>
        <v>7</v>
      </c>
      <c r="AG23" s="4">
        <f t="shared" si="27"/>
        <v>7</v>
      </c>
      <c r="AJ23" s="4">
        <f t="shared" si="37"/>
        <v>7</v>
      </c>
      <c r="AM23" s="4">
        <f t="shared" si="28"/>
        <v>7</v>
      </c>
      <c r="AP23" s="4">
        <f t="shared" si="29"/>
        <v>7</v>
      </c>
      <c r="AS23" s="4">
        <f t="shared" si="30"/>
        <v>7</v>
      </c>
      <c r="AV23" s="4">
        <f t="shared" si="31"/>
        <v>7</v>
      </c>
      <c r="AY23" s="4">
        <f t="shared" si="32"/>
        <v>7</v>
      </c>
      <c r="BB23" s="4">
        <f t="shared" si="33"/>
        <v>7</v>
      </c>
      <c r="BE23" s="4">
        <f t="shared" si="34"/>
        <v>7</v>
      </c>
      <c r="BR23" s="5"/>
    </row>
    <row r="24" spans="1:71" x14ac:dyDescent="0.2">
      <c r="A24" s="4" t="s">
        <v>10</v>
      </c>
      <c r="B24" s="4">
        <v>49</v>
      </c>
      <c r="C24" s="4">
        <v>1</v>
      </c>
      <c r="D24" s="4">
        <v>33</v>
      </c>
      <c r="E24" s="284">
        <v>269802</v>
      </c>
      <c r="F24" s="5">
        <v>274583</v>
      </c>
      <c r="G24" s="5">
        <v>279044</v>
      </c>
      <c r="H24" s="5">
        <v>283632</v>
      </c>
      <c r="I24" s="5">
        <v>289731</v>
      </c>
      <c r="J24" s="5">
        <v>292796</v>
      </c>
      <c r="K24" s="5">
        <v>297132</v>
      </c>
      <c r="L24" s="5">
        <v>305274</v>
      </c>
      <c r="M24" s="5">
        <v>314024</v>
      </c>
      <c r="N24" s="5">
        <v>310835</v>
      </c>
      <c r="O24" s="5">
        <v>314747</v>
      </c>
      <c r="P24" s="5">
        <v>318468</v>
      </c>
      <c r="Q24" s="5">
        <v>322009</v>
      </c>
      <c r="R24" s="5">
        <v>325376</v>
      </c>
      <c r="S24" s="5">
        <v>328580</v>
      </c>
      <c r="T24" s="5">
        <v>331612</v>
      </c>
      <c r="U24" s="5"/>
      <c r="V24" s="5"/>
      <c r="X24" s="7">
        <f t="shared" si="36"/>
        <v>1</v>
      </c>
      <c r="AA24" s="24">
        <f t="shared" si="25"/>
        <v>1</v>
      </c>
      <c r="AD24" s="4">
        <f t="shared" si="26"/>
        <v>1</v>
      </c>
      <c r="AG24" s="4">
        <f t="shared" si="27"/>
        <v>1</v>
      </c>
      <c r="AJ24" s="4">
        <f t="shared" si="37"/>
        <v>1</v>
      </c>
      <c r="AM24" s="4">
        <f t="shared" si="28"/>
        <v>1</v>
      </c>
      <c r="AP24" s="4">
        <f t="shared" si="29"/>
        <v>1</v>
      </c>
      <c r="AS24" s="4">
        <f t="shared" si="30"/>
        <v>1</v>
      </c>
      <c r="AV24" s="4">
        <f t="shared" si="31"/>
        <v>1</v>
      </c>
      <c r="AY24" s="4">
        <f t="shared" si="32"/>
        <v>1</v>
      </c>
      <c r="BB24" s="4">
        <f t="shared" si="33"/>
        <v>1</v>
      </c>
      <c r="BE24" s="4">
        <f t="shared" si="34"/>
        <v>1</v>
      </c>
      <c r="BR24" s="5"/>
    </row>
    <row r="25" spans="1:71" x14ac:dyDescent="0.2">
      <c r="A25" s="4" t="s">
        <v>11</v>
      </c>
      <c r="B25" s="4">
        <v>50</v>
      </c>
      <c r="C25" s="4">
        <v>4</v>
      </c>
      <c r="D25" s="4">
        <v>4</v>
      </c>
      <c r="E25" s="284">
        <v>12128</v>
      </c>
      <c r="F25" s="5">
        <v>12004</v>
      </c>
      <c r="G25" s="5">
        <v>11910</v>
      </c>
      <c r="H25" s="5">
        <v>11748</v>
      </c>
      <c r="I25" s="5">
        <v>11632</v>
      </c>
      <c r="J25" s="5">
        <v>11483</v>
      </c>
      <c r="K25" s="5">
        <v>11417</v>
      </c>
      <c r="L25" s="5">
        <v>11276</v>
      </c>
      <c r="M25" s="5">
        <v>11184</v>
      </c>
      <c r="N25" s="5">
        <v>10981</v>
      </c>
      <c r="O25" s="5">
        <v>10865</v>
      </c>
      <c r="P25" s="5">
        <v>10754</v>
      </c>
      <c r="Q25" s="5">
        <v>10650</v>
      </c>
      <c r="R25" s="5">
        <v>10549</v>
      </c>
      <c r="S25" s="5">
        <v>10449</v>
      </c>
      <c r="T25" s="5">
        <v>10353</v>
      </c>
      <c r="U25" s="5"/>
      <c r="V25" s="5"/>
      <c r="X25" s="7">
        <f t="shared" si="36"/>
        <v>4</v>
      </c>
      <c r="AA25" s="24">
        <f t="shared" si="25"/>
        <v>4</v>
      </c>
      <c r="AD25" s="4">
        <f t="shared" si="26"/>
        <v>4</v>
      </c>
      <c r="AG25" s="4">
        <f t="shared" si="27"/>
        <v>4</v>
      </c>
      <c r="AJ25" s="4">
        <f t="shared" si="37"/>
        <v>4</v>
      </c>
      <c r="AM25" s="4">
        <f t="shared" si="28"/>
        <v>4</v>
      </c>
      <c r="AP25" s="4">
        <f t="shared" si="29"/>
        <v>4</v>
      </c>
      <c r="AS25" s="4">
        <f t="shared" si="30"/>
        <v>4</v>
      </c>
      <c r="AV25" s="4">
        <f t="shared" si="31"/>
        <v>4</v>
      </c>
      <c r="AY25" s="4">
        <f t="shared" si="32"/>
        <v>4</v>
      </c>
      <c r="BB25" s="4">
        <f t="shared" si="33"/>
        <v>4</v>
      </c>
      <c r="BE25" s="4">
        <f t="shared" si="34"/>
        <v>4</v>
      </c>
      <c r="BR25" s="5"/>
    </row>
    <row r="26" spans="1:71" x14ac:dyDescent="0.2">
      <c r="A26" s="4" t="s">
        <v>12</v>
      </c>
      <c r="B26" s="4">
        <v>51</v>
      </c>
      <c r="C26" s="4">
        <v>4</v>
      </c>
      <c r="D26" s="4">
        <v>4</v>
      </c>
      <c r="E26" s="284">
        <v>9287</v>
      </c>
      <c r="F26" s="5">
        <v>9418</v>
      </c>
      <c r="G26" s="5">
        <v>9521</v>
      </c>
      <c r="H26" s="5">
        <v>9454</v>
      </c>
      <c r="I26" s="5">
        <v>9402</v>
      </c>
      <c r="J26" s="5">
        <v>9452</v>
      </c>
      <c r="K26" s="5">
        <v>9334</v>
      </c>
      <c r="L26" s="5">
        <v>9211</v>
      </c>
      <c r="M26" s="5">
        <v>9143</v>
      </c>
      <c r="N26" s="5">
        <v>9561</v>
      </c>
      <c r="O26" s="5">
        <v>9568</v>
      </c>
      <c r="P26" s="5">
        <v>9565</v>
      </c>
      <c r="Q26" s="5">
        <v>9559</v>
      </c>
      <c r="R26" s="5">
        <v>9548</v>
      </c>
      <c r="S26" s="5">
        <v>9530</v>
      </c>
      <c r="T26" s="5">
        <v>9513</v>
      </c>
      <c r="U26" s="5"/>
      <c r="V26" s="5"/>
      <c r="X26" s="7">
        <f t="shared" si="36"/>
        <v>5</v>
      </c>
      <c r="AA26" s="24">
        <f t="shared" si="25"/>
        <v>5</v>
      </c>
      <c r="AD26" s="4">
        <f t="shared" si="26"/>
        <v>5</v>
      </c>
      <c r="AG26" s="4">
        <f t="shared" si="27"/>
        <v>5</v>
      </c>
      <c r="AJ26" s="4">
        <f t="shared" si="37"/>
        <v>5</v>
      </c>
      <c r="AM26" s="4">
        <f t="shared" si="28"/>
        <v>5</v>
      </c>
      <c r="AP26" s="4">
        <f t="shared" si="29"/>
        <v>5</v>
      </c>
      <c r="AS26" s="4">
        <f t="shared" si="30"/>
        <v>5</v>
      </c>
      <c r="AV26" s="4">
        <f t="shared" si="31"/>
        <v>5</v>
      </c>
      <c r="AY26" s="4">
        <f t="shared" si="32"/>
        <v>5</v>
      </c>
      <c r="BB26" s="4">
        <f t="shared" si="33"/>
        <v>5</v>
      </c>
      <c r="BE26" s="4">
        <f t="shared" si="34"/>
        <v>5</v>
      </c>
      <c r="BR26" s="5"/>
    </row>
    <row r="27" spans="1:71" x14ac:dyDescent="0.2">
      <c r="A27" s="4" t="s">
        <v>13</v>
      </c>
      <c r="B27" s="4">
        <v>52</v>
      </c>
      <c r="C27" s="4">
        <v>14</v>
      </c>
      <c r="D27" s="4">
        <v>14</v>
      </c>
      <c r="E27" s="284">
        <v>2576</v>
      </c>
      <c r="F27" s="5">
        <v>2535</v>
      </c>
      <c r="G27" s="5">
        <v>2499</v>
      </c>
      <c r="H27" s="5">
        <v>2473</v>
      </c>
      <c r="I27" s="5">
        <v>2425</v>
      </c>
      <c r="J27" s="5">
        <v>2408</v>
      </c>
      <c r="K27" s="5">
        <v>2404</v>
      </c>
      <c r="L27" s="5">
        <v>2346</v>
      </c>
      <c r="M27" s="5">
        <v>2292</v>
      </c>
      <c r="N27" s="5">
        <v>2294</v>
      </c>
      <c r="O27" s="5">
        <v>2269</v>
      </c>
      <c r="P27" s="5">
        <v>2244</v>
      </c>
      <c r="Q27" s="5">
        <v>2219</v>
      </c>
      <c r="R27" s="5">
        <v>2195</v>
      </c>
      <c r="S27" s="5">
        <v>2169</v>
      </c>
      <c r="T27" s="5">
        <v>2142</v>
      </c>
      <c r="U27" s="5"/>
      <c r="V27" s="5"/>
      <c r="X27" s="7">
        <f t="shared" si="36"/>
        <v>6</v>
      </c>
      <c r="AA27" s="24">
        <f t="shared" si="25"/>
        <v>6</v>
      </c>
      <c r="AD27" s="4">
        <f t="shared" si="26"/>
        <v>6</v>
      </c>
      <c r="AG27" s="4">
        <f t="shared" si="27"/>
        <v>6</v>
      </c>
      <c r="AJ27" s="4">
        <f t="shared" si="37"/>
        <v>6</v>
      </c>
      <c r="AM27" s="4">
        <f t="shared" si="28"/>
        <v>6</v>
      </c>
      <c r="AP27" s="4">
        <f t="shared" si="29"/>
        <v>6</v>
      </c>
      <c r="AS27" s="4">
        <f t="shared" si="30"/>
        <v>6</v>
      </c>
      <c r="AV27" s="4">
        <f t="shared" si="31"/>
        <v>6</v>
      </c>
      <c r="AY27" s="4">
        <f t="shared" si="32"/>
        <v>6</v>
      </c>
      <c r="BB27" s="4">
        <f t="shared" si="33"/>
        <v>6</v>
      </c>
      <c r="BE27" s="4">
        <f t="shared" si="34"/>
        <v>6</v>
      </c>
      <c r="BR27" s="5"/>
    </row>
    <row r="28" spans="1:71" x14ac:dyDescent="0.2">
      <c r="A28" s="4" t="s">
        <v>14</v>
      </c>
      <c r="B28" s="4">
        <v>61</v>
      </c>
      <c r="C28" s="4">
        <v>5</v>
      </c>
      <c r="D28" s="4">
        <v>5</v>
      </c>
      <c r="E28" s="284">
        <v>17422</v>
      </c>
      <c r="F28" s="5">
        <v>17332</v>
      </c>
      <c r="G28" s="5">
        <v>17185</v>
      </c>
      <c r="H28" s="5">
        <v>17028</v>
      </c>
      <c r="I28" s="5">
        <v>16901</v>
      </c>
      <c r="J28" s="5">
        <v>16800</v>
      </c>
      <c r="K28" s="5">
        <v>16573</v>
      </c>
      <c r="L28" s="5">
        <v>16459</v>
      </c>
      <c r="M28" s="5">
        <v>16469</v>
      </c>
      <c r="N28" s="5">
        <v>16286</v>
      </c>
      <c r="O28" s="5">
        <v>16162</v>
      </c>
      <c r="P28" s="5">
        <v>16044</v>
      </c>
      <c r="Q28" s="5">
        <v>15923</v>
      </c>
      <c r="R28" s="5">
        <v>15803</v>
      </c>
      <c r="S28" s="5">
        <v>15688</v>
      </c>
      <c r="T28" s="5">
        <v>15575</v>
      </c>
      <c r="U28" s="5"/>
      <c r="V28" s="5"/>
      <c r="X28" s="7">
        <f t="shared" si="36"/>
        <v>4</v>
      </c>
      <c r="AA28" s="24">
        <f t="shared" si="25"/>
        <v>4</v>
      </c>
      <c r="AD28" s="4">
        <f t="shared" si="26"/>
        <v>4</v>
      </c>
      <c r="AG28" s="4">
        <f t="shared" si="27"/>
        <v>4</v>
      </c>
      <c r="AJ28" s="4">
        <f t="shared" si="37"/>
        <v>4</v>
      </c>
      <c r="AM28" s="4">
        <f t="shared" si="28"/>
        <v>4</v>
      </c>
      <c r="AP28" s="4">
        <f t="shared" si="29"/>
        <v>4</v>
      </c>
      <c r="AS28" s="4">
        <f t="shared" si="30"/>
        <v>4</v>
      </c>
      <c r="AV28" s="4">
        <f t="shared" si="31"/>
        <v>4</v>
      </c>
      <c r="AY28" s="4">
        <f t="shared" si="32"/>
        <v>4</v>
      </c>
      <c r="BB28" s="4">
        <f t="shared" si="33"/>
        <v>4</v>
      </c>
      <c r="BE28" s="4">
        <f t="shared" si="34"/>
        <v>4</v>
      </c>
      <c r="BR28" s="5"/>
    </row>
    <row r="29" spans="1:71" x14ac:dyDescent="0.2">
      <c r="A29" s="4" t="s">
        <v>15</v>
      </c>
      <c r="B29" s="4">
        <v>69</v>
      </c>
      <c r="C29" s="4">
        <v>17</v>
      </c>
      <c r="D29" s="4">
        <v>17</v>
      </c>
      <c r="E29" s="284">
        <v>7438</v>
      </c>
      <c r="F29" s="5">
        <v>7332</v>
      </c>
      <c r="G29" s="5">
        <v>7251</v>
      </c>
      <c r="H29" s="5">
        <v>7147</v>
      </c>
      <c r="I29" s="5">
        <v>7010</v>
      </c>
      <c r="J29" s="5">
        <v>6896</v>
      </c>
      <c r="K29" s="5">
        <v>6802</v>
      </c>
      <c r="L29" s="5">
        <v>6687</v>
      </c>
      <c r="M29" s="5">
        <v>6558</v>
      </c>
      <c r="N29" s="5">
        <v>6466</v>
      </c>
      <c r="O29" s="5">
        <v>6369</v>
      </c>
      <c r="P29" s="5">
        <v>6274</v>
      </c>
      <c r="Q29" s="5">
        <v>6184</v>
      </c>
      <c r="R29" s="5">
        <v>6095</v>
      </c>
      <c r="S29" s="5">
        <v>6009</v>
      </c>
      <c r="T29" s="5">
        <v>5926</v>
      </c>
      <c r="U29" s="5"/>
      <c r="V29" s="5"/>
      <c r="X29" s="7">
        <f t="shared" si="36"/>
        <v>5</v>
      </c>
      <c r="AA29" s="24">
        <f t="shared" si="25"/>
        <v>5</v>
      </c>
      <c r="AD29" s="4">
        <f t="shared" si="26"/>
        <v>5</v>
      </c>
      <c r="AG29" s="4">
        <f t="shared" si="27"/>
        <v>5</v>
      </c>
      <c r="AJ29" s="4">
        <f t="shared" si="37"/>
        <v>5</v>
      </c>
      <c r="AM29" s="4">
        <f t="shared" si="28"/>
        <v>5</v>
      </c>
      <c r="AP29" s="4">
        <f t="shared" si="29"/>
        <v>5</v>
      </c>
      <c r="AS29" s="4">
        <f t="shared" si="30"/>
        <v>5</v>
      </c>
      <c r="AV29" s="4">
        <f t="shared" si="31"/>
        <v>5</v>
      </c>
      <c r="AY29" s="4">
        <f t="shared" si="32"/>
        <v>5</v>
      </c>
      <c r="BB29" s="4">
        <f t="shared" si="33"/>
        <v>5</v>
      </c>
      <c r="BE29" s="4">
        <f t="shared" si="34"/>
        <v>5</v>
      </c>
      <c r="BR29" s="5"/>
    </row>
    <row r="30" spans="1:71" x14ac:dyDescent="0.2">
      <c r="A30" s="4" t="s">
        <v>16</v>
      </c>
      <c r="B30" s="4">
        <v>71</v>
      </c>
      <c r="C30" s="4">
        <v>17</v>
      </c>
      <c r="D30" s="4">
        <v>17</v>
      </c>
      <c r="E30" s="284">
        <v>7167</v>
      </c>
      <c r="F30" s="5">
        <v>7098</v>
      </c>
      <c r="G30" s="5">
        <v>6970</v>
      </c>
      <c r="H30" s="5">
        <v>6854</v>
      </c>
      <c r="I30" s="5">
        <v>6758</v>
      </c>
      <c r="J30" s="5">
        <v>6667</v>
      </c>
      <c r="K30" s="5">
        <v>6613</v>
      </c>
      <c r="L30" s="5">
        <v>6591</v>
      </c>
      <c r="M30" s="5">
        <v>6473</v>
      </c>
      <c r="N30" s="5">
        <v>6297</v>
      </c>
      <c r="O30" s="5">
        <v>6214</v>
      </c>
      <c r="P30" s="5">
        <v>6135</v>
      </c>
      <c r="Q30" s="5">
        <v>6060</v>
      </c>
      <c r="R30" s="5">
        <v>5990</v>
      </c>
      <c r="S30" s="5">
        <v>5920</v>
      </c>
      <c r="T30" s="5">
        <v>5851</v>
      </c>
      <c r="U30" s="5"/>
      <c r="V30" s="5"/>
      <c r="X30" s="7">
        <f t="shared" si="36"/>
        <v>5</v>
      </c>
      <c r="AA30" s="24">
        <f t="shared" si="25"/>
        <v>5</v>
      </c>
      <c r="AD30" s="4">
        <f t="shared" si="26"/>
        <v>5</v>
      </c>
      <c r="AG30" s="4">
        <f t="shared" si="27"/>
        <v>5</v>
      </c>
      <c r="AJ30" s="4">
        <f t="shared" si="37"/>
        <v>5</v>
      </c>
      <c r="AM30" s="4">
        <f t="shared" si="28"/>
        <v>5</v>
      </c>
      <c r="AP30" s="4">
        <f t="shared" si="29"/>
        <v>5</v>
      </c>
      <c r="AS30" s="4">
        <f t="shared" si="30"/>
        <v>5</v>
      </c>
      <c r="AV30" s="4">
        <f t="shared" si="31"/>
        <v>5</v>
      </c>
      <c r="AY30" s="4">
        <f t="shared" si="32"/>
        <v>5</v>
      </c>
      <c r="BB30" s="4">
        <f t="shared" si="33"/>
        <v>5</v>
      </c>
      <c r="BE30" s="4">
        <f t="shared" si="34"/>
        <v>5</v>
      </c>
      <c r="BR30" s="5"/>
    </row>
    <row r="31" spans="1:71" x14ac:dyDescent="0.2">
      <c r="A31" s="4" t="s">
        <v>17</v>
      </c>
      <c r="B31" s="4">
        <v>72</v>
      </c>
      <c r="C31" s="4">
        <v>17</v>
      </c>
      <c r="D31" s="4">
        <v>17</v>
      </c>
      <c r="E31" s="284">
        <v>993</v>
      </c>
      <c r="F31" s="5">
        <v>994</v>
      </c>
      <c r="G31" s="5">
        <v>967</v>
      </c>
      <c r="H31" s="5">
        <v>974</v>
      </c>
      <c r="I31" s="5">
        <v>959</v>
      </c>
      <c r="J31" s="5">
        <v>949</v>
      </c>
      <c r="K31" s="5">
        <v>950</v>
      </c>
      <c r="L31" s="5">
        <v>960</v>
      </c>
      <c r="M31" s="5">
        <v>948</v>
      </c>
      <c r="N31" s="5">
        <v>926</v>
      </c>
      <c r="O31" s="5">
        <v>920</v>
      </c>
      <c r="P31" s="5">
        <v>914</v>
      </c>
      <c r="Q31" s="5">
        <v>908</v>
      </c>
      <c r="R31" s="5">
        <v>901</v>
      </c>
      <c r="S31" s="5">
        <v>895</v>
      </c>
      <c r="T31" s="5">
        <v>889</v>
      </c>
      <c r="U31" s="5"/>
      <c r="V31" s="5"/>
      <c r="X31" s="7">
        <f t="shared" si="36"/>
        <v>7</v>
      </c>
      <c r="AA31" s="24">
        <f t="shared" si="25"/>
        <v>7</v>
      </c>
      <c r="AD31" s="4">
        <f t="shared" si="26"/>
        <v>7</v>
      </c>
      <c r="AG31" s="4">
        <f t="shared" si="27"/>
        <v>7</v>
      </c>
      <c r="AJ31" s="4">
        <f t="shared" si="37"/>
        <v>7</v>
      </c>
      <c r="AM31" s="4">
        <f t="shared" si="28"/>
        <v>7</v>
      </c>
      <c r="AP31" s="4">
        <f t="shared" si="29"/>
        <v>7</v>
      </c>
      <c r="AS31" s="4">
        <f t="shared" si="30"/>
        <v>7</v>
      </c>
      <c r="AV31" s="4">
        <f t="shared" si="31"/>
        <v>7</v>
      </c>
      <c r="AY31" s="4">
        <f t="shared" si="32"/>
        <v>7</v>
      </c>
      <c r="BB31" s="4">
        <f t="shared" si="33"/>
        <v>7</v>
      </c>
      <c r="BE31" s="4">
        <f t="shared" si="34"/>
        <v>7</v>
      </c>
      <c r="BR31" s="5"/>
    </row>
    <row r="32" spans="1:71" x14ac:dyDescent="0.2">
      <c r="A32" s="4" t="s">
        <v>18</v>
      </c>
      <c r="B32" s="4">
        <v>74</v>
      </c>
      <c r="C32" s="4">
        <v>16</v>
      </c>
      <c r="D32" s="4">
        <v>16</v>
      </c>
      <c r="E32" s="284">
        <v>1225</v>
      </c>
      <c r="F32" s="5">
        <v>1219</v>
      </c>
      <c r="G32" s="5">
        <v>1171</v>
      </c>
      <c r="H32" s="5">
        <v>1165</v>
      </c>
      <c r="I32" s="5">
        <v>1127</v>
      </c>
      <c r="J32" s="5">
        <v>1103</v>
      </c>
      <c r="K32" s="5">
        <v>1083</v>
      </c>
      <c r="L32" s="5">
        <v>1052</v>
      </c>
      <c r="M32" s="5">
        <v>1013</v>
      </c>
      <c r="N32" s="5">
        <v>1001</v>
      </c>
      <c r="O32" s="5">
        <v>979</v>
      </c>
      <c r="P32" s="5">
        <v>959</v>
      </c>
      <c r="Q32" s="5">
        <v>940</v>
      </c>
      <c r="R32" s="5">
        <v>922</v>
      </c>
      <c r="S32" s="5">
        <v>905</v>
      </c>
      <c r="T32" s="5">
        <v>888</v>
      </c>
      <c r="U32" s="5"/>
      <c r="V32" s="5"/>
      <c r="X32" s="7">
        <f t="shared" si="36"/>
        <v>7</v>
      </c>
      <c r="AA32" s="24">
        <f t="shared" si="25"/>
        <v>7</v>
      </c>
      <c r="AD32" s="4">
        <f t="shared" si="26"/>
        <v>7</v>
      </c>
      <c r="AG32" s="4">
        <f t="shared" si="27"/>
        <v>7</v>
      </c>
      <c r="AJ32" s="4">
        <f t="shared" si="37"/>
        <v>7</v>
      </c>
      <c r="AM32" s="4">
        <f t="shared" si="28"/>
        <v>7</v>
      </c>
      <c r="AP32" s="4">
        <f t="shared" si="29"/>
        <v>7</v>
      </c>
      <c r="AS32" s="4">
        <f t="shared" si="30"/>
        <v>7</v>
      </c>
      <c r="AV32" s="4">
        <f t="shared" si="31"/>
        <v>7</v>
      </c>
      <c r="AY32" s="4">
        <f t="shared" si="32"/>
        <v>7</v>
      </c>
      <c r="BB32" s="4">
        <f t="shared" si="33"/>
        <v>7</v>
      </c>
      <c r="BE32" s="4">
        <f t="shared" si="34"/>
        <v>7</v>
      </c>
      <c r="BR32" s="5"/>
    </row>
    <row r="33" spans="1:70" x14ac:dyDescent="0.2">
      <c r="A33" s="4" t="s">
        <v>19</v>
      </c>
      <c r="B33" s="4">
        <v>75</v>
      </c>
      <c r="C33" s="4">
        <v>8</v>
      </c>
      <c r="D33" s="4">
        <v>8</v>
      </c>
      <c r="E33" s="284">
        <v>20851</v>
      </c>
      <c r="F33" s="5">
        <v>20636</v>
      </c>
      <c r="G33" s="5">
        <v>20493</v>
      </c>
      <c r="H33" s="5">
        <v>20286</v>
      </c>
      <c r="I33" s="5">
        <v>20111</v>
      </c>
      <c r="J33" s="5">
        <v>19877</v>
      </c>
      <c r="K33" s="5">
        <v>19702</v>
      </c>
      <c r="L33" s="5">
        <v>19549</v>
      </c>
      <c r="M33" s="5">
        <v>19534</v>
      </c>
      <c r="N33" s="5">
        <v>19098</v>
      </c>
      <c r="O33" s="5">
        <v>18914</v>
      </c>
      <c r="P33" s="5">
        <v>18734</v>
      </c>
      <c r="Q33" s="5">
        <v>18558</v>
      </c>
      <c r="R33" s="5">
        <v>18377</v>
      </c>
      <c r="S33" s="5">
        <v>18201</v>
      </c>
      <c r="T33" s="5">
        <v>18025</v>
      </c>
      <c r="U33" s="5"/>
      <c r="V33" s="5"/>
      <c r="X33" s="7">
        <f t="shared" si="36"/>
        <v>3</v>
      </c>
      <c r="AA33" s="24">
        <f t="shared" si="25"/>
        <v>4</v>
      </c>
      <c r="AD33" s="4">
        <f t="shared" si="26"/>
        <v>4</v>
      </c>
      <c r="AG33" s="4">
        <f t="shared" si="27"/>
        <v>4</v>
      </c>
      <c r="AJ33" s="4">
        <f t="shared" si="37"/>
        <v>4</v>
      </c>
      <c r="AM33" s="4">
        <f t="shared" si="28"/>
        <v>4</v>
      </c>
      <c r="AP33" s="4">
        <f t="shared" si="29"/>
        <v>4</v>
      </c>
      <c r="AS33" s="4">
        <f t="shared" si="30"/>
        <v>4</v>
      </c>
      <c r="AV33" s="4">
        <f t="shared" si="31"/>
        <v>4</v>
      </c>
      <c r="AY33" s="4">
        <f t="shared" si="32"/>
        <v>4</v>
      </c>
      <c r="BB33" s="4">
        <f t="shared" si="33"/>
        <v>4</v>
      </c>
      <c r="BE33" s="4">
        <f t="shared" si="34"/>
        <v>4</v>
      </c>
      <c r="BR33" s="5"/>
    </row>
    <row r="34" spans="1:70" x14ac:dyDescent="0.2">
      <c r="A34" s="4" t="s">
        <v>20</v>
      </c>
      <c r="B34" s="4">
        <v>77</v>
      </c>
      <c r="C34" s="4">
        <v>13</v>
      </c>
      <c r="D34" s="4">
        <v>13</v>
      </c>
      <c r="E34" s="284">
        <v>5240</v>
      </c>
      <c r="F34" s="5">
        <v>5159</v>
      </c>
      <c r="G34" s="5">
        <v>5019</v>
      </c>
      <c r="H34" s="5">
        <v>4939</v>
      </c>
      <c r="I34" s="5">
        <v>4875</v>
      </c>
      <c r="J34" s="5">
        <v>4782</v>
      </c>
      <c r="K34" s="5">
        <v>4683</v>
      </c>
      <c r="L34" s="5">
        <v>4601</v>
      </c>
      <c r="M34" s="5">
        <v>4549</v>
      </c>
      <c r="N34" s="5">
        <v>4471</v>
      </c>
      <c r="O34" s="5">
        <v>4404</v>
      </c>
      <c r="P34" s="5">
        <v>4340</v>
      </c>
      <c r="Q34" s="5">
        <v>4279</v>
      </c>
      <c r="R34" s="5">
        <v>4217</v>
      </c>
      <c r="S34" s="5">
        <v>4158</v>
      </c>
      <c r="T34" s="5">
        <v>4100</v>
      </c>
      <c r="U34" s="5"/>
      <c r="V34" s="5"/>
      <c r="X34" s="7">
        <f t="shared" si="36"/>
        <v>6</v>
      </c>
      <c r="AA34" s="24">
        <f t="shared" si="25"/>
        <v>6</v>
      </c>
      <c r="AD34" s="4">
        <f t="shared" si="26"/>
        <v>6</v>
      </c>
      <c r="AG34" s="4">
        <f t="shared" si="27"/>
        <v>6</v>
      </c>
      <c r="AJ34" s="4">
        <f t="shared" si="37"/>
        <v>6</v>
      </c>
      <c r="AM34" s="4">
        <f t="shared" si="28"/>
        <v>6</v>
      </c>
      <c r="AP34" s="4">
        <f t="shared" si="29"/>
        <v>6</v>
      </c>
      <c r="AS34" s="4">
        <f t="shared" si="30"/>
        <v>6</v>
      </c>
      <c r="AV34" s="4">
        <f t="shared" si="31"/>
        <v>6</v>
      </c>
      <c r="AY34" s="4">
        <f t="shared" si="32"/>
        <v>6</v>
      </c>
      <c r="BB34" s="4">
        <f t="shared" si="33"/>
        <v>6</v>
      </c>
      <c r="BE34" s="4">
        <f t="shared" si="34"/>
        <v>6</v>
      </c>
      <c r="BR34" s="5"/>
    </row>
    <row r="35" spans="1:70" x14ac:dyDescent="0.2">
      <c r="A35" s="4" t="s">
        <v>21</v>
      </c>
      <c r="B35" s="4">
        <v>78</v>
      </c>
      <c r="C35" s="4">
        <v>1</v>
      </c>
      <c r="D35" s="4">
        <v>33</v>
      </c>
      <c r="E35" s="284">
        <v>8864</v>
      </c>
      <c r="F35" s="5">
        <v>8663</v>
      </c>
      <c r="G35" s="5">
        <v>8517</v>
      </c>
      <c r="H35" s="5">
        <v>8379</v>
      </c>
      <c r="I35" s="5">
        <v>8199</v>
      </c>
      <c r="J35" s="5">
        <v>8042</v>
      </c>
      <c r="K35" s="5">
        <v>7979</v>
      </c>
      <c r="L35" s="5">
        <v>7832</v>
      </c>
      <c r="M35" s="5">
        <v>7721</v>
      </c>
      <c r="N35" s="5">
        <v>7467</v>
      </c>
      <c r="O35" s="5">
        <v>7348</v>
      </c>
      <c r="P35" s="5">
        <v>7236</v>
      </c>
      <c r="Q35" s="5">
        <v>7126</v>
      </c>
      <c r="R35" s="5">
        <v>7024</v>
      </c>
      <c r="S35" s="5">
        <v>6924</v>
      </c>
      <c r="T35" s="5">
        <v>6829</v>
      </c>
      <c r="U35" s="5"/>
      <c r="V35" s="5"/>
      <c r="X35" s="7">
        <f t="shared" si="36"/>
        <v>5</v>
      </c>
      <c r="AA35" s="24">
        <f t="shared" si="25"/>
        <v>5</v>
      </c>
      <c r="AD35" s="4">
        <f t="shared" si="26"/>
        <v>5</v>
      </c>
      <c r="AG35" s="4">
        <f t="shared" si="27"/>
        <v>5</v>
      </c>
      <c r="AJ35" s="4">
        <f t="shared" si="37"/>
        <v>5</v>
      </c>
      <c r="AM35" s="4">
        <f t="shared" si="28"/>
        <v>5</v>
      </c>
      <c r="AP35" s="4">
        <f t="shared" si="29"/>
        <v>5</v>
      </c>
      <c r="AS35" s="4">
        <f t="shared" si="30"/>
        <v>5</v>
      </c>
      <c r="AV35" s="4">
        <f t="shared" si="31"/>
        <v>5</v>
      </c>
      <c r="AY35" s="4">
        <f t="shared" si="32"/>
        <v>5</v>
      </c>
      <c r="BB35" s="4">
        <f t="shared" si="33"/>
        <v>5</v>
      </c>
      <c r="BE35" s="4">
        <f t="shared" si="34"/>
        <v>5</v>
      </c>
      <c r="BR35" s="5"/>
    </row>
    <row r="36" spans="1:70" x14ac:dyDescent="0.2">
      <c r="A36" s="4" t="s">
        <v>22</v>
      </c>
      <c r="B36" s="4">
        <v>79</v>
      </c>
      <c r="C36" s="4">
        <v>4</v>
      </c>
      <c r="D36" s="4">
        <v>4</v>
      </c>
      <c r="E36" s="284">
        <v>7296</v>
      </c>
      <c r="F36" s="5">
        <v>7240</v>
      </c>
      <c r="G36" s="5">
        <v>7151</v>
      </c>
      <c r="H36" s="5">
        <v>7018</v>
      </c>
      <c r="I36" s="5">
        <v>6931</v>
      </c>
      <c r="J36" s="5">
        <v>6869</v>
      </c>
      <c r="K36" s="5">
        <v>6785</v>
      </c>
      <c r="L36" s="5">
        <v>6753</v>
      </c>
      <c r="M36" s="5">
        <v>6703</v>
      </c>
      <c r="N36" s="5">
        <v>6556</v>
      </c>
      <c r="O36" s="5">
        <v>6487</v>
      </c>
      <c r="P36" s="5">
        <v>6422</v>
      </c>
      <c r="Q36" s="5">
        <v>6359</v>
      </c>
      <c r="R36" s="5">
        <v>6300</v>
      </c>
      <c r="S36" s="5">
        <v>6242</v>
      </c>
      <c r="T36" s="5">
        <v>6182</v>
      </c>
      <c r="U36" s="5"/>
      <c r="V36" s="5"/>
      <c r="X36" s="7">
        <f t="shared" si="36"/>
        <v>5</v>
      </c>
      <c r="AA36" s="24">
        <f t="shared" si="25"/>
        <v>5</v>
      </c>
      <c r="AD36" s="4">
        <f t="shared" si="26"/>
        <v>5</v>
      </c>
      <c r="AG36" s="4">
        <f t="shared" si="27"/>
        <v>5</v>
      </c>
      <c r="AJ36" s="4">
        <f t="shared" si="37"/>
        <v>5</v>
      </c>
      <c r="AM36" s="4">
        <f t="shared" si="28"/>
        <v>5</v>
      </c>
      <c r="AP36" s="4">
        <f t="shared" si="29"/>
        <v>5</v>
      </c>
      <c r="AS36" s="4">
        <f t="shared" si="30"/>
        <v>5</v>
      </c>
      <c r="AV36" s="4">
        <f t="shared" si="31"/>
        <v>5</v>
      </c>
      <c r="AY36" s="4">
        <f t="shared" si="32"/>
        <v>5</v>
      </c>
      <c r="BB36" s="4">
        <f t="shared" si="33"/>
        <v>5</v>
      </c>
      <c r="BE36" s="4">
        <f t="shared" si="34"/>
        <v>5</v>
      </c>
      <c r="BR36" s="5"/>
    </row>
    <row r="37" spans="1:70" x14ac:dyDescent="0.2">
      <c r="A37" s="4" t="s">
        <v>23</v>
      </c>
      <c r="B37" s="4">
        <v>81</v>
      </c>
      <c r="C37" s="4">
        <v>7</v>
      </c>
      <c r="D37" s="4">
        <v>7</v>
      </c>
      <c r="E37" s="284">
        <v>2982</v>
      </c>
      <c r="F37" s="5">
        <v>2924</v>
      </c>
      <c r="G37" s="5">
        <v>2882</v>
      </c>
      <c r="H37" s="5">
        <v>2780</v>
      </c>
      <c r="I37" s="5">
        <v>2697</v>
      </c>
      <c r="J37" s="5">
        <v>2655</v>
      </c>
      <c r="K37" s="5">
        <v>2621</v>
      </c>
      <c r="L37" s="5">
        <v>2574</v>
      </c>
      <c r="M37" s="5">
        <v>2531</v>
      </c>
      <c r="N37" s="5">
        <v>2424</v>
      </c>
      <c r="O37" s="5">
        <v>2378</v>
      </c>
      <c r="P37" s="5">
        <v>2337</v>
      </c>
      <c r="Q37" s="5">
        <v>2299</v>
      </c>
      <c r="R37" s="5">
        <v>2265</v>
      </c>
      <c r="S37" s="5">
        <v>2232</v>
      </c>
      <c r="T37" s="5">
        <v>2201</v>
      </c>
      <c r="U37" s="5"/>
      <c r="V37" s="5"/>
      <c r="X37" s="7">
        <f t="shared" si="36"/>
        <v>6</v>
      </c>
      <c r="AA37" s="24">
        <f t="shared" si="25"/>
        <v>6</v>
      </c>
      <c r="AD37" s="4">
        <f t="shared" si="26"/>
        <v>6</v>
      </c>
      <c r="AG37" s="4">
        <f t="shared" si="27"/>
        <v>6</v>
      </c>
      <c r="AJ37" s="4">
        <f t="shared" si="37"/>
        <v>6</v>
      </c>
      <c r="AM37" s="4">
        <f t="shared" si="28"/>
        <v>6</v>
      </c>
      <c r="AP37" s="4">
        <f t="shared" si="29"/>
        <v>6</v>
      </c>
      <c r="AS37" s="4">
        <f t="shared" si="30"/>
        <v>6</v>
      </c>
      <c r="AV37" s="4">
        <f t="shared" si="31"/>
        <v>6</v>
      </c>
      <c r="AY37" s="4">
        <f t="shared" si="32"/>
        <v>6</v>
      </c>
      <c r="BB37" s="4">
        <f t="shared" si="33"/>
        <v>6</v>
      </c>
      <c r="BE37" s="4">
        <f t="shared" si="34"/>
        <v>6</v>
      </c>
      <c r="BR37" s="5"/>
    </row>
    <row r="38" spans="1:70" x14ac:dyDescent="0.2">
      <c r="A38" s="4" t="s">
        <v>24</v>
      </c>
      <c r="B38" s="4">
        <v>82</v>
      </c>
      <c r="C38" s="4">
        <v>5</v>
      </c>
      <c r="D38" s="4">
        <v>5</v>
      </c>
      <c r="E38" s="284">
        <v>9747</v>
      </c>
      <c r="F38" s="5">
        <v>9682</v>
      </c>
      <c r="G38" s="5">
        <v>9610</v>
      </c>
      <c r="H38" s="5">
        <v>9475</v>
      </c>
      <c r="I38" s="5">
        <v>9422</v>
      </c>
      <c r="J38" s="5">
        <v>9389</v>
      </c>
      <c r="K38" s="5">
        <v>9405</v>
      </c>
      <c r="L38" s="5">
        <v>9359</v>
      </c>
      <c r="M38" s="5">
        <v>9371</v>
      </c>
      <c r="N38" s="5">
        <v>9177</v>
      </c>
      <c r="O38" s="5">
        <v>9122</v>
      </c>
      <c r="P38" s="5">
        <v>9066</v>
      </c>
      <c r="Q38" s="5">
        <v>9009</v>
      </c>
      <c r="R38" s="5">
        <v>8952</v>
      </c>
      <c r="S38" s="5">
        <v>8894</v>
      </c>
      <c r="T38" s="5">
        <v>8836</v>
      </c>
      <c r="U38" s="5"/>
      <c r="V38" s="5"/>
      <c r="X38" s="7">
        <f t="shared" si="36"/>
        <v>5</v>
      </c>
      <c r="AA38" s="24">
        <f t="shared" si="25"/>
        <v>5</v>
      </c>
      <c r="AD38" s="4">
        <f t="shared" si="26"/>
        <v>5</v>
      </c>
      <c r="AG38" s="4">
        <f t="shared" si="27"/>
        <v>5</v>
      </c>
      <c r="AJ38" s="4">
        <f t="shared" si="37"/>
        <v>5</v>
      </c>
      <c r="AM38" s="4">
        <f t="shared" si="28"/>
        <v>5</v>
      </c>
      <c r="AP38" s="4">
        <f t="shared" si="29"/>
        <v>5</v>
      </c>
      <c r="AS38" s="4">
        <f t="shared" si="30"/>
        <v>5</v>
      </c>
      <c r="AV38" s="4">
        <f t="shared" si="31"/>
        <v>5</v>
      </c>
      <c r="AY38" s="4">
        <f t="shared" si="32"/>
        <v>5</v>
      </c>
      <c r="BB38" s="4">
        <f t="shared" si="33"/>
        <v>5</v>
      </c>
      <c r="BE38" s="4">
        <f t="shared" si="34"/>
        <v>5</v>
      </c>
      <c r="BR38" s="5"/>
    </row>
    <row r="39" spans="1:70" x14ac:dyDescent="0.2">
      <c r="A39" s="4" t="s">
        <v>25</v>
      </c>
      <c r="B39" s="4">
        <v>86</v>
      </c>
      <c r="C39" s="4">
        <v>5</v>
      </c>
      <c r="D39" s="4">
        <v>5</v>
      </c>
      <c r="E39" s="284">
        <v>8729</v>
      </c>
      <c r="F39" s="5">
        <v>8641</v>
      </c>
      <c r="G39" s="5">
        <v>8504</v>
      </c>
      <c r="H39" s="5">
        <v>8417</v>
      </c>
      <c r="I39" s="5">
        <v>8260</v>
      </c>
      <c r="J39" s="5">
        <v>8175</v>
      </c>
      <c r="K39" s="5">
        <v>8143</v>
      </c>
      <c r="L39" s="5">
        <v>8031</v>
      </c>
      <c r="M39" s="5">
        <v>7998</v>
      </c>
      <c r="N39" s="5">
        <v>7809</v>
      </c>
      <c r="O39" s="5">
        <v>7731</v>
      </c>
      <c r="P39" s="5">
        <v>7659</v>
      </c>
      <c r="Q39" s="5">
        <v>7592</v>
      </c>
      <c r="R39" s="5">
        <v>7525</v>
      </c>
      <c r="S39" s="5">
        <v>7464</v>
      </c>
      <c r="T39" s="5">
        <v>7405</v>
      </c>
      <c r="U39" s="5"/>
      <c r="V39" s="5"/>
      <c r="X39" s="7">
        <f t="shared" si="36"/>
        <v>5</v>
      </c>
      <c r="AA39" s="24">
        <f t="shared" si="25"/>
        <v>5</v>
      </c>
      <c r="AD39" s="4">
        <f t="shared" si="26"/>
        <v>5</v>
      </c>
      <c r="AG39" s="4">
        <f t="shared" si="27"/>
        <v>5</v>
      </c>
      <c r="AJ39" s="4">
        <f t="shared" si="37"/>
        <v>5</v>
      </c>
      <c r="AM39" s="4">
        <f t="shared" si="28"/>
        <v>5</v>
      </c>
      <c r="AP39" s="4">
        <f t="shared" si="29"/>
        <v>5</v>
      </c>
      <c r="AS39" s="4">
        <f t="shared" si="30"/>
        <v>5</v>
      </c>
      <c r="AV39" s="4">
        <f t="shared" si="31"/>
        <v>5</v>
      </c>
      <c r="AY39" s="4">
        <f t="shared" si="32"/>
        <v>5</v>
      </c>
      <c r="BB39" s="4">
        <f t="shared" si="33"/>
        <v>5</v>
      </c>
      <c r="BE39" s="4">
        <f t="shared" si="34"/>
        <v>5</v>
      </c>
      <c r="BR39" s="5"/>
    </row>
    <row r="40" spans="1:70" x14ac:dyDescent="0.2">
      <c r="A40" s="4" t="s">
        <v>27</v>
      </c>
      <c r="B40" s="4">
        <v>90</v>
      </c>
      <c r="C40" s="4">
        <v>12</v>
      </c>
      <c r="D40" s="4">
        <v>12</v>
      </c>
      <c r="E40" s="284">
        <v>3574</v>
      </c>
      <c r="F40" s="5">
        <v>3514</v>
      </c>
      <c r="G40" s="5">
        <v>3455</v>
      </c>
      <c r="H40" s="5">
        <v>3329</v>
      </c>
      <c r="I40" s="5">
        <v>3254</v>
      </c>
      <c r="J40" s="5">
        <v>3196</v>
      </c>
      <c r="K40" s="5">
        <v>3136</v>
      </c>
      <c r="L40" s="5">
        <v>3061</v>
      </c>
      <c r="M40" s="5">
        <v>3001</v>
      </c>
      <c r="N40" s="5">
        <v>2954</v>
      </c>
      <c r="O40" s="5">
        <v>2903</v>
      </c>
      <c r="P40" s="5">
        <v>2855</v>
      </c>
      <c r="Q40" s="5">
        <v>2806</v>
      </c>
      <c r="R40" s="5">
        <v>2758</v>
      </c>
      <c r="S40" s="5">
        <v>2714</v>
      </c>
      <c r="T40" s="5">
        <v>2671</v>
      </c>
      <c r="U40" s="5"/>
      <c r="V40" s="5"/>
      <c r="X40" s="7">
        <f t="shared" si="36"/>
        <v>6</v>
      </c>
      <c r="AA40" s="24">
        <f t="shared" si="25"/>
        <v>6</v>
      </c>
      <c r="AD40" s="4">
        <f t="shared" si="26"/>
        <v>6</v>
      </c>
      <c r="AG40" s="4">
        <f t="shared" si="27"/>
        <v>6</v>
      </c>
      <c r="AJ40" s="4">
        <f t="shared" si="37"/>
        <v>6</v>
      </c>
      <c r="AM40" s="4">
        <f t="shared" si="28"/>
        <v>6</v>
      </c>
      <c r="AP40" s="4">
        <f t="shared" si="29"/>
        <v>6</v>
      </c>
      <c r="AS40" s="4">
        <f t="shared" si="30"/>
        <v>6</v>
      </c>
      <c r="AV40" s="4">
        <f t="shared" si="31"/>
        <v>6</v>
      </c>
      <c r="AY40" s="4">
        <f t="shared" si="32"/>
        <v>6</v>
      </c>
      <c r="BB40" s="4">
        <f t="shared" si="33"/>
        <v>6</v>
      </c>
      <c r="BE40" s="4">
        <f t="shared" si="34"/>
        <v>6</v>
      </c>
      <c r="BR40" s="5"/>
    </row>
    <row r="41" spans="1:70" x14ac:dyDescent="0.2">
      <c r="A41" s="4" t="s">
        <v>28</v>
      </c>
      <c r="B41" s="4">
        <v>91</v>
      </c>
      <c r="C41" s="4">
        <v>1</v>
      </c>
      <c r="D41" s="4">
        <v>31</v>
      </c>
      <c r="E41" s="284">
        <v>628208</v>
      </c>
      <c r="F41" s="5">
        <v>635181</v>
      </c>
      <c r="G41" s="5">
        <v>643272</v>
      </c>
      <c r="H41" s="5">
        <v>648042</v>
      </c>
      <c r="I41" s="5">
        <v>653835</v>
      </c>
      <c r="J41" s="5">
        <v>656920</v>
      </c>
      <c r="K41" s="5">
        <v>658457</v>
      </c>
      <c r="L41" s="5">
        <v>664028</v>
      </c>
      <c r="M41" s="5">
        <v>674500</v>
      </c>
      <c r="N41" s="5">
        <v>677923</v>
      </c>
      <c r="O41" s="5">
        <v>682559</v>
      </c>
      <c r="P41" s="5">
        <v>687053</v>
      </c>
      <c r="Q41" s="5">
        <v>691402</v>
      </c>
      <c r="R41" s="5">
        <v>695599</v>
      </c>
      <c r="S41" s="5">
        <v>699653</v>
      </c>
      <c r="T41" s="5">
        <v>703540</v>
      </c>
      <c r="U41" s="5"/>
      <c r="V41" s="5"/>
      <c r="X41" s="7">
        <f t="shared" si="36"/>
        <v>1</v>
      </c>
      <c r="AA41" s="24">
        <f t="shared" si="25"/>
        <v>1</v>
      </c>
      <c r="AD41" s="4">
        <f t="shared" si="26"/>
        <v>1</v>
      </c>
      <c r="AG41" s="4">
        <f t="shared" si="27"/>
        <v>1</v>
      </c>
      <c r="AJ41" s="4">
        <f t="shared" si="37"/>
        <v>1</v>
      </c>
      <c r="AM41" s="4">
        <f t="shared" si="28"/>
        <v>1</v>
      </c>
      <c r="AP41" s="4">
        <f t="shared" si="29"/>
        <v>1</v>
      </c>
      <c r="AS41" s="4">
        <f t="shared" si="30"/>
        <v>1</v>
      </c>
      <c r="AV41" s="4">
        <f t="shared" si="31"/>
        <v>1</v>
      </c>
      <c r="AY41" s="4">
        <f t="shared" si="32"/>
        <v>1</v>
      </c>
      <c r="BB41" s="4">
        <f t="shared" si="33"/>
        <v>1</v>
      </c>
      <c r="BE41" s="4">
        <f t="shared" si="34"/>
        <v>1</v>
      </c>
      <c r="BR41" s="5"/>
    </row>
    <row r="42" spans="1:70" x14ac:dyDescent="0.2">
      <c r="A42" s="4" t="s">
        <v>275</v>
      </c>
      <c r="B42" s="4">
        <v>92</v>
      </c>
      <c r="C42" s="4">
        <v>1</v>
      </c>
      <c r="D42" s="4">
        <v>32</v>
      </c>
      <c r="E42" s="284">
        <v>214605</v>
      </c>
      <c r="F42" s="5">
        <v>219341</v>
      </c>
      <c r="G42" s="5">
        <v>223027</v>
      </c>
      <c r="H42" s="5">
        <v>228166</v>
      </c>
      <c r="I42" s="5">
        <v>233775</v>
      </c>
      <c r="J42" s="5">
        <v>237231</v>
      </c>
      <c r="K42" s="5">
        <v>239206</v>
      </c>
      <c r="L42" s="5">
        <v>242819</v>
      </c>
      <c r="M42" s="5">
        <v>247443</v>
      </c>
      <c r="N42" s="5">
        <v>251752</v>
      </c>
      <c r="O42" s="5">
        <v>254929</v>
      </c>
      <c r="P42" s="5">
        <v>257964</v>
      </c>
      <c r="Q42" s="5">
        <v>260859</v>
      </c>
      <c r="R42" s="5">
        <v>263624</v>
      </c>
      <c r="S42" s="5">
        <v>266264</v>
      </c>
      <c r="T42" s="5">
        <v>268791</v>
      </c>
      <c r="U42" s="5"/>
      <c r="V42" s="5"/>
      <c r="X42" s="7">
        <f t="shared" si="36"/>
        <v>1</v>
      </c>
      <c r="AA42" s="24">
        <f t="shared" si="25"/>
        <v>1</v>
      </c>
      <c r="AD42" s="4">
        <f t="shared" si="26"/>
        <v>1</v>
      </c>
      <c r="AG42" s="4">
        <f t="shared" si="27"/>
        <v>1</v>
      </c>
      <c r="AJ42" s="4">
        <f t="shared" si="37"/>
        <v>1</v>
      </c>
      <c r="AM42" s="4">
        <f t="shared" si="28"/>
        <v>1</v>
      </c>
      <c r="AP42" s="4">
        <f t="shared" si="29"/>
        <v>1</v>
      </c>
      <c r="AS42" s="4">
        <f t="shared" si="30"/>
        <v>1</v>
      </c>
      <c r="AV42" s="4">
        <f t="shared" si="31"/>
        <v>1</v>
      </c>
      <c r="AY42" s="4">
        <f t="shared" si="32"/>
        <v>1</v>
      </c>
      <c r="BB42" s="4">
        <f t="shared" si="33"/>
        <v>1</v>
      </c>
      <c r="BE42" s="4">
        <f t="shared" si="34"/>
        <v>1</v>
      </c>
      <c r="BR42" s="5"/>
    </row>
    <row r="43" spans="1:70" x14ac:dyDescent="0.2">
      <c r="A43" s="4" t="s">
        <v>29</v>
      </c>
      <c r="B43" s="4">
        <v>97</v>
      </c>
      <c r="C43" s="4">
        <v>10</v>
      </c>
      <c r="D43" s="4">
        <v>10</v>
      </c>
      <c r="E43" s="284">
        <v>2290</v>
      </c>
      <c r="F43" s="5">
        <v>2274</v>
      </c>
      <c r="G43" s="5">
        <v>2236</v>
      </c>
      <c r="H43" s="5">
        <v>2152</v>
      </c>
      <c r="I43" s="5">
        <v>2136</v>
      </c>
      <c r="J43" s="5">
        <v>2156</v>
      </c>
      <c r="K43" s="5">
        <v>2131</v>
      </c>
      <c r="L43" s="5">
        <v>2091</v>
      </c>
      <c r="M43" s="5">
        <v>2062</v>
      </c>
      <c r="N43" s="5">
        <v>2099</v>
      </c>
      <c r="O43" s="5">
        <v>2086</v>
      </c>
      <c r="P43" s="5">
        <v>2074</v>
      </c>
      <c r="Q43" s="5">
        <v>2064</v>
      </c>
      <c r="R43" s="5">
        <v>2052</v>
      </c>
      <c r="S43" s="5">
        <v>2038</v>
      </c>
      <c r="T43" s="5">
        <v>2025</v>
      </c>
      <c r="U43" s="5"/>
      <c r="V43" s="5"/>
      <c r="X43" s="7">
        <f t="shared" si="36"/>
        <v>6</v>
      </c>
      <c r="AA43" s="24">
        <f t="shared" si="25"/>
        <v>6</v>
      </c>
      <c r="AD43" s="4">
        <f t="shared" si="26"/>
        <v>6</v>
      </c>
      <c r="AG43" s="4">
        <f t="shared" si="27"/>
        <v>6</v>
      </c>
      <c r="AJ43" s="4">
        <f t="shared" si="37"/>
        <v>6</v>
      </c>
      <c r="AM43" s="4">
        <f t="shared" si="28"/>
        <v>6</v>
      </c>
      <c r="AP43" s="4">
        <f t="shared" si="29"/>
        <v>6</v>
      </c>
      <c r="AS43" s="4">
        <f t="shared" si="30"/>
        <v>6</v>
      </c>
      <c r="AV43" s="4">
        <f t="shared" si="31"/>
        <v>6</v>
      </c>
      <c r="AY43" s="4">
        <f t="shared" si="32"/>
        <v>6</v>
      </c>
      <c r="BB43" s="4">
        <f t="shared" si="33"/>
        <v>6</v>
      </c>
      <c r="BE43" s="4">
        <f t="shared" si="34"/>
        <v>6</v>
      </c>
      <c r="BR43" s="5"/>
    </row>
    <row r="44" spans="1:70" x14ac:dyDescent="0.2">
      <c r="A44" s="4" t="s">
        <v>30</v>
      </c>
      <c r="B44" s="4">
        <v>98</v>
      </c>
      <c r="C44" s="4">
        <v>7</v>
      </c>
      <c r="D44" s="4">
        <v>7</v>
      </c>
      <c r="E44" s="284">
        <v>23915</v>
      </c>
      <c r="F44" s="5">
        <v>23791</v>
      </c>
      <c r="G44" s="5">
        <v>23782</v>
      </c>
      <c r="H44" s="5">
        <v>23602</v>
      </c>
      <c r="I44" s="5">
        <v>23410</v>
      </c>
      <c r="J44" s="5">
        <v>23251</v>
      </c>
      <c r="K44" s="5">
        <v>23090</v>
      </c>
      <c r="L44" s="5">
        <v>22943</v>
      </c>
      <c r="M44" s="5">
        <v>22885</v>
      </c>
      <c r="N44" s="5">
        <v>22735</v>
      </c>
      <c r="O44" s="5">
        <v>22597</v>
      </c>
      <c r="P44" s="5">
        <v>22461</v>
      </c>
      <c r="Q44" s="5">
        <v>22333</v>
      </c>
      <c r="R44" s="5">
        <v>22201</v>
      </c>
      <c r="S44" s="5">
        <v>22070</v>
      </c>
      <c r="T44" s="5">
        <v>21939</v>
      </c>
      <c r="U44" s="5"/>
      <c r="V44" s="5"/>
      <c r="X44" s="7">
        <f t="shared" si="36"/>
        <v>3</v>
      </c>
      <c r="AA44" s="24">
        <f t="shared" si="25"/>
        <v>3</v>
      </c>
      <c r="AD44" s="4">
        <f t="shared" si="26"/>
        <v>3</v>
      </c>
      <c r="AG44" s="4">
        <f t="shared" si="27"/>
        <v>3</v>
      </c>
      <c r="AJ44" s="4">
        <f t="shared" si="37"/>
        <v>3</v>
      </c>
      <c r="AM44" s="4">
        <f t="shared" si="28"/>
        <v>3</v>
      </c>
      <c r="AP44" s="4">
        <f t="shared" si="29"/>
        <v>3</v>
      </c>
      <c r="AS44" s="4">
        <f t="shared" si="30"/>
        <v>3</v>
      </c>
      <c r="AV44" s="4">
        <f t="shared" si="31"/>
        <v>3</v>
      </c>
      <c r="AY44" s="4">
        <f t="shared" si="32"/>
        <v>3</v>
      </c>
      <c r="BB44" s="4">
        <f t="shared" si="33"/>
        <v>3</v>
      </c>
      <c r="BE44" s="4">
        <f t="shared" si="34"/>
        <v>3</v>
      </c>
      <c r="BR44" s="5"/>
    </row>
    <row r="45" spans="1:70" x14ac:dyDescent="0.2">
      <c r="A45" s="4" t="s">
        <v>31</v>
      </c>
      <c r="B45" s="4">
        <v>102</v>
      </c>
      <c r="C45" s="4">
        <v>4</v>
      </c>
      <c r="D45" s="4">
        <v>4</v>
      </c>
      <c r="E45" s="284">
        <v>10473</v>
      </c>
      <c r="F45" s="5">
        <v>10403</v>
      </c>
      <c r="G45" s="5">
        <v>10207</v>
      </c>
      <c r="H45" s="5">
        <v>10091</v>
      </c>
      <c r="I45" s="5">
        <v>10044</v>
      </c>
      <c r="J45" s="5">
        <v>9937</v>
      </c>
      <c r="K45" s="5">
        <v>9870</v>
      </c>
      <c r="L45" s="5">
        <v>9745</v>
      </c>
      <c r="M45" s="5">
        <v>9646</v>
      </c>
      <c r="N45" s="5">
        <v>9533</v>
      </c>
      <c r="O45" s="5">
        <v>9443</v>
      </c>
      <c r="P45" s="5">
        <v>9355</v>
      </c>
      <c r="Q45" s="5">
        <v>9273</v>
      </c>
      <c r="R45" s="5">
        <v>9193</v>
      </c>
      <c r="S45" s="5">
        <v>9117</v>
      </c>
      <c r="T45" s="5">
        <v>9044</v>
      </c>
      <c r="U45" s="5"/>
      <c r="V45" s="5"/>
      <c r="X45" s="7">
        <f t="shared" si="36"/>
        <v>4</v>
      </c>
      <c r="AA45" s="24">
        <f t="shared" si="25"/>
        <v>5</v>
      </c>
      <c r="AD45" s="4">
        <f t="shared" si="26"/>
        <v>5</v>
      </c>
      <c r="AG45" s="4">
        <f t="shared" si="27"/>
        <v>5</v>
      </c>
      <c r="AJ45" s="4">
        <f t="shared" si="37"/>
        <v>5</v>
      </c>
      <c r="AM45" s="4">
        <f t="shared" si="28"/>
        <v>5</v>
      </c>
      <c r="AP45" s="4">
        <f t="shared" si="29"/>
        <v>5</v>
      </c>
      <c r="AS45" s="4">
        <f t="shared" si="30"/>
        <v>5</v>
      </c>
      <c r="AV45" s="4">
        <f t="shared" si="31"/>
        <v>5</v>
      </c>
      <c r="AY45" s="4">
        <f t="shared" si="32"/>
        <v>5</v>
      </c>
      <c r="BB45" s="4">
        <f t="shared" si="33"/>
        <v>5</v>
      </c>
      <c r="BE45" s="4">
        <f t="shared" si="34"/>
        <v>5</v>
      </c>
      <c r="BR45" s="5"/>
    </row>
    <row r="46" spans="1:70" x14ac:dyDescent="0.2">
      <c r="A46" s="4" t="s">
        <v>32</v>
      </c>
      <c r="B46" s="4">
        <v>103</v>
      </c>
      <c r="C46" s="4">
        <v>5</v>
      </c>
      <c r="D46" s="4">
        <v>5</v>
      </c>
      <c r="E46" s="284">
        <v>2388</v>
      </c>
      <c r="F46" s="5">
        <v>2345</v>
      </c>
      <c r="G46" s="5">
        <v>2290</v>
      </c>
      <c r="H46" s="5">
        <v>2235</v>
      </c>
      <c r="I46" s="5">
        <v>2184</v>
      </c>
      <c r="J46" s="5">
        <v>2174</v>
      </c>
      <c r="K46" s="5">
        <v>2166</v>
      </c>
      <c r="L46" s="5">
        <v>2161</v>
      </c>
      <c r="M46" s="5">
        <v>2125</v>
      </c>
      <c r="N46" s="5">
        <v>2084</v>
      </c>
      <c r="O46" s="5">
        <v>2064</v>
      </c>
      <c r="P46" s="5">
        <v>2042</v>
      </c>
      <c r="Q46" s="5">
        <v>2021</v>
      </c>
      <c r="R46" s="5">
        <v>2003</v>
      </c>
      <c r="S46" s="5">
        <v>1984</v>
      </c>
      <c r="T46" s="5">
        <v>1966</v>
      </c>
      <c r="U46" s="5"/>
      <c r="V46" s="5"/>
      <c r="X46" s="7">
        <f t="shared" si="36"/>
        <v>6</v>
      </c>
      <c r="AA46" s="24">
        <f t="shared" si="25"/>
        <v>6</v>
      </c>
      <c r="AD46" s="4">
        <f t="shared" si="26"/>
        <v>6</v>
      </c>
      <c r="AG46" s="4">
        <f t="shared" si="27"/>
        <v>6</v>
      </c>
      <c r="AJ46" s="4">
        <f t="shared" si="37"/>
        <v>6</v>
      </c>
      <c r="AM46" s="4">
        <f t="shared" si="28"/>
        <v>6</v>
      </c>
      <c r="AP46" s="4">
        <f t="shared" si="29"/>
        <v>6</v>
      </c>
      <c r="AS46" s="4">
        <f t="shared" si="30"/>
        <v>6</v>
      </c>
      <c r="AV46" s="4">
        <f t="shared" si="31"/>
        <v>6</v>
      </c>
      <c r="AY46" s="4">
        <f t="shared" si="32"/>
        <v>6</v>
      </c>
      <c r="BB46" s="4">
        <f t="shared" si="33"/>
        <v>7</v>
      </c>
      <c r="BE46" s="4">
        <f t="shared" si="34"/>
        <v>7</v>
      </c>
      <c r="BR46" s="5"/>
    </row>
    <row r="47" spans="1:70" x14ac:dyDescent="0.2">
      <c r="A47" s="4" t="s">
        <v>33</v>
      </c>
      <c r="B47" s="4">
        <v>105</v>
      </c>
      <c r="C47" s="4">
        <v>18</v>
      </c>
      <c r="D47" s="4">
        <v>18</v>
      </c>
      <c r="E47" s="284">
        <v>2422</v>
      </c>
      <c r="F47" s="5">
        <v>2406</v>
      </c>
      <c r="G47" s="5">
        <v>2326</v>
      </c>
      <c r="H47" s="5">
        <v>2287</v>
      </c>
      <c r="I47" s="5">
        <v>2271</v>
      </c>
      <c r="J47" s="5">
        <v>2199</v>
      </c>
      <c r="K47" s="5">
        <v>2139</v>
      </c>
      <c r="L47" s="5">
        <v>2094</v>
      </c>
      <c r="M47" s="5">
        <v>2063</v>
      </c>
      <c r="N47" s="5">
        <v>2042</v>
      </c>
      <c r="O47" s="5">
        <v>2009</v>
      </c>
      <c r="P47" s="5">
        <v>1976</v>
      </c>
      <c r="Q47" s="5">
        <v>1945</v>
      </c>
      <c r="R47" s="5">
        <v>1916</v>
      </c>
      <c r="S47" s="5">
        <v>1886</v>
      </c>
      <c r="T47" s="5">
        <v>1858</v>
      </c>
      <c r="U47" s="5"/>
      <c r="V47" s="5"/>
      <c r="X47" s="7">
        <f t="shared" si="36"/>
        <v>6</v>
      </c>
      <c r="AA47" s="24">
        <f t="shared" si="25"/>
        <v>6</v>
      </c>
      <c r="AD47" s="4">
        <f t="shared" si="26"/>
        <v>6</v>
      </c>
      <c r="AG47" s="4">
        <f t="shared" si="27"/>
        <v>6</v>
      </c>
      <c r="AJ47" s="4">
        <f t="shared" si="37"/>
        <v>6</v>
      </c>
      <c r="AM47" s="4">
        <f t="shared" si="28"/>
        <v>6</v>
      </c>
      <c r="AP47" s="4">
        <f t="shared" si="29"/>
        <v>6</v>
      </c>
      <c r="AS47" s="4">
        <f t="shared" si="30"/>
        <v>7</v>
      </c>
      <c r="AV47" s="4">
        <f t="shared" si="31"/>
        <v>7</v>
      </c>
      <c r="AY47" s="4">
        <f t="shared" si="32"/>
        <v>7</v>
      </c>
      <c r="BB47" s="4">
        <f t="shared" si="33"/>
        <v>7</v>
      </c>
      <c r="BE47" s="4">
        <f t="shared" si="34"/>
        <v>7</v>
      </c>
      <c r="BR47" s="5"/>
    </row>
    <row r="48" spans="1:70" x14ac:dyDescent="0.2">
      <c r="A48" s="4" t="s">
        <v>34</v>
      </c>
      <c r="B48" s="4">
        <v>106</v>
      </c>
      <c r="C48" s="4">
        <v>1</v>
      </c>
      <c r="D48" s="4">
        <v>35</v>
      </c>
      <c r="E48" s="284">
        <v>46463</v>
      </c>
      <c r="F48" s="5">
        <v>46596</v>
      </c>
      <c r="G48" s="5">
        <v>46739</v>
      </c>
      <c r="H48" s="5">
        <v>46504</v>
      </c>
      <c r="I48" s="5">
        <v>46470</v>
      </c>
      <c r="J48" s="5">
        <v>46576</v>
      </c>
      <c r="K48" s="5">
        <v>46880</v>
      </c>
      <c r="L48" s="5">
        <v>46797</v>
      </c>
      <c r="M48" s="5">
        <v>46901</v>
      </c>
      <c r="N48" s="5">
        <v>46900</v>
      </c>
      <c r="O48" s="5">
        <v>46983</v>
      </c>
      <c r="P48" s="5">
        <v>47068</v>
      </c>
      <c r="Q48" s="5">
        <v>47151</v>
      </c>
      <c r="R48" s="5">
        <v>47236</v>
      </c>
      <c r="S48" s="5">
        <v>47324</v>
      </c>
      <c r="T48" s="5">
        <v>47409</v>
      </c>
      <c r="U48" s="5"/>
      <c r="V48" s="5"/>
      <c r="X48" s="7">
        <f t="shared" si="36"/>
        <v>2</v>
      </c>
      <c r="AA48" s="24">
        <f t="shared" si="25"/>
        <v>2</v>
      </c>
      <c r="AD48" s="4">
        <f t="shared" si="26"/>
        <v>2</v>
      </c>
      <c r="AG48" s="4">
        <f t="shared" si="27"/>
        <v>2</v>
      </c>
      <c r="AJ48" s="4">
        <f t="shared" si="37"/>
        <v>2</v>
      </c>
      <c r="AM48" s="4">
        <f t="shared" si="28"/>
        <v>2</v>
      </c>
      <c r="AP48" s="4">
        <f t="shared" si="29"/>
        <v>2</v>
      </c>
      <c r="AS48" s="4">
        <f t="shared" si="30"/>
        <v>2</v>
      </c>
      <c r="AV48" s="4">
        <f t="shared" si="31"/>
        <v>2</v>
      </c>
      <c r="AY48" s="4">
        <f t="shared" si="32"/>
        <v>2</v>
      </c>
      <c r="BB48" s="4">
        <f t="shared" si="33"/>
        <v>2</v>
      </c>
      <c r="BE48" s="4">
        <f t="shared" si="34"/>
        <v>2</v>
      </c>
      <c r="BR48" s="5"/>
    </row>
    <row r="49" spans="1:70" x14ac:dyDescent="0.2">
      <c r="A49" s="4" t="s">
        <v>35</v>
      </c>
      <c r="B49" s="4">
        <v>108</v>
      </c>
      <c r="C49" s="4">
        <v>6</v>
      </c>
      <c r="D49" s="4">
        <v>6</v>
      </c>
      <c r="E49" s="284">
        <v>10667</v>
      </c>
      <c r="F49" s="5">
        <v>10681</v>
      </c>
      <c r="G49" s="5">
        <v>10599</v>
      </c>
      <c r="H49" s="5">
        <v>10510</v>
      </c>
      <c r="I49" s="5">
        <v>10404</v>
      </c>
      <c r="J49" s="5">
        <v>10344</v>
      </c>
      <c r="K49" s="5">
        <v>10337</v>
      </c>
      <c r="L49" s="5">
        <v>10257</v>
      </c>
      <c r="M49" s="5">
        <v>10319</v>
      </c>
      <c r="N49" s="5">
        <v>10055</v>
      </c>
      <c r="O49" s="5">
        <v>9995</v>
      </c>
      <c r="P49" s="5">
        <v>9942</v>
      </c>
      <c r="Q49" s="5">
        <v>9894</v>
      </c>
      <c r="R49" s="5">
        <v>9847</v>
      </c>
      <c r="S49" s="5">
        <v>9800</v>
      </c>
      <c r="T49" s="5">
        <v>9755</v>
      </c>
      <c r="U49" s="5"/>
      <c r="V49" s="5"/>
      <c r="X49" s="7">
        <f t="shared" si="36"/>
        <v>4</v>
      </c>
      <c r="AA49" s="24">
        <f t="shared" si="25"/>
        <v>4</v>
      </c>
      <c r="AD49" s="4">
        <f t="shared" si="26"/>
        <v>4</v>
      </c>
      <c r="AG49" s="4">
        <f t="shared" si="27"/>
        <v>4</v>
      </c>
      <c r="AJ49" s="4">
        <f t="shared" si="37"/>
        <v>4</v>
      </c>
      <c r="AM49" s="4">
        <f t="shared" si="28"/>
        <v>4</v>
      </c>
      <c r="AP49" s="4">
        <f t="shared" si="29"/>
        <v>5</v>
      </c>
      <c r="AS49" s="4">
        <f t="shared" si="30"/>
        <v>5</v>
      </c>
      <c r="AV49" s="4">
        <f t="shared" si="31"/>
        <v>5</v>
      </c>
      <c r="AY49" s="4">
        <f t="shared" si="32"/>
        <v>5</v>
      </c>
      <c r="BB49" s="4">
        <f t="shared" si="33"/>
        <v>5</v>
      </c>
      <c r="BE49" s="4">
        <f t="shared" si="34"/>
        <v>5</v>
      </c>
      <c r="BR49" s="5"/>
    </row>
    <row r="50" spans="1:70" x14ac:dyDescent="0.2">
      <c r="A50" s="4" t="s">
        <v>36</v>
      </c>
      <c r="B50" s="4">
        <v>109</v>
      </c>
      <c r="C50" s="4">
        <v>5</v>
      </c>
      <c r="D50" s="4">
        <v>5</v>
      </c>
      <c r="E50" s="284">
        <v>68011</v>
      </c>
      <c r="F50" s="5">
        <v>67850</v>
      </c>
      <c r="G50" s="5">
        <v>67662</v>
      </c>
      <c r="H50" s="5">
        <v>67532</v>
      </c>
      <c r="I50" s="5">
        <v>67633</v>
      </c>
      <c r="J50" s="5">
        <v>67848</v>
      </c>
      <c r="K50" s="5">
        <v>67971</v>
      </c>
      <c r="L50" s="5">
        <v>68043</v>
      </c>
      <c r="M50" s="5">
        <v>68319</v>
      </c>
      <c r="N50" s="5">
        <v>68065</v>
      </c>
      <c r="O50" s="5">
        <v>68090</v>
      </c>
      <c r="P50" s="5">
        <v>68109</v>
      </c>
      <c r="Q50" s="5">
        <v>68120</v>
      </c>
      <c r="R50" s="5">
        <v>68119</v>
      </c>
      <c r="S50" s="5">
        <v>68112</v>
      </c>
      <c r="T50" s="5">
        <v>68096</v>
      </c>
      <c r="U50" s="5"/>
      <c r="V50" s="5"/>
      <c r="X50" s="7">
        <f t="shared" si="36"/>
        <v>2</v>
      </c>
      <c r="AA50" s="24">
        <f t="shared" si="25"/>
        <v>2</v>
      </c>
      <c r="AD50" s="4">
        <f t="shared" si="26"/>
        <v>2</v>
      </c>
      <c r="AG50" s="4">
        <f t="shared" si="27"/>
        <v>2</v>
      </c>
      <c r="AJ50" s="4">
        <f t="shared" si="37"/>
        <v>2</v>
      </c>
      <c r="AM50" s="4">
        <f t="shared" si="28"/>
        <v>2</v>
      </c>
      <c r="AP50" s="4">
        <f t="shared" si="29"/>
        <v>2</v>
      </c>
      <c r="AS50" s="4">
        <f t="shared" si="30"/>
        <v>2</v>
      </c>
      <c r="AV50" s="4">
        <f t="shared" si="31"/>
        <v>2</v>
      </c>
      <c r="AY50" s="4">
        <f t="shared" si="32"/>
        <v>2</v>
      </c>
      <c r="BB50" s="4">
        <f t="shared" si="33"/>
        <v>2</v>
      </c>
      <c r="BE50" s="4">
        <f t="shared" si="34"/>
        <v>2</v>
      </c>
      <c r="BR50" s="5"/>
    </row>
    <row r="51" spans="1:70" x14ac:dyDescent="0.2">
      <c r="A51" s="4" t="s">
        <v>26</v>
      </c>
      <c r="B51" s="4">
        <v>111</v>
      </c>
      <c r="C51" s="4">
        <v>7</v>
      </c>
      <c r="D51" s="4">
        <v>7</v>
      </c>
      <c r="E51" s="284">
        <v>19575</v>
      </c>
      <c r="F51" s="5">
        <v>19350</v>
      </c>
      <c r="G51" s="5">
        <v>19128</v>
      </c>
      <c r="H51" s="5">
        <v>18889</v>
      </c>
      <c r="I51" s="5">
        <v>18667</v>
      </c>
      <c r="J51" s="5">
        <v>18497</v>
      </c>
      <c r="K51" s="5">
        <v>18344</v>
      </c>
      <c r="L51" s="5">
        <v>18131</v>
      </c>
      <c r="M51" s="5">
        <v>17953</v>
      </c>
      <c r="N51" s="5">
        <v>17645</v>
      </c>
      <c r="O51" s="5">
        <v>17462</v>
      </c>
      <c r="P51" s="5">
        <v>17290</v>
      </c>
      <c r="Q51" s="5">
        <v>17127</v>
      </c>
      <c r="R51" s="5">
        <v>16968</v>
      </c>
      <c r="S51" s="5">
        <v>16817</v>
      </c>
      <c r="T51" s="5">
        <v>16672</v>
      </c>
      <c r="U51" s="5"/>
      <c r="V51" s="5"/>
      <c r="X51" s="7">
        <f t="shared" si="36"/>
        <v>4</v>
      </c>
      <c r="AA51" s="24">
        <f t="shared" si="25"/>
        <v>4</v>
      </c>
      <c r="AD51" s="4">
        <f t="shared" si="26"/>
        <v>4</v>
      </c>
      <c r="AG51" s="4">
        <f t="shared" si="27"/>
        <v>4</v>
      </c>
      <c r="AJ51" s="4">
        <f t="shared" si="37"/>
        <v>4</v>
      </c>
      <c r="AM51" s="4">
        <f t="shared" si="28"/>
        <v>4</v>
      </c>
      <c r="AP51" s="4">
        <f t="shared" si="29"/>
        <v>4</v>
      </c>
      <c r="AS51" s="4">
        <f t="shared" si="30"/>
        <v>4</v>
      </c>
      <c r="AV51" s="4">
        <f t="shared" si="31"/>
        <v>4</v>
      </c>
      <c r="AY51" s="4">
        <f t="shared" si="32"/>
        <v>4</v>
      </c>
      <c r="BB51" s="4">
        <f t="shared" si="33"/>
        <v>4</v>
      </c>
      <c r="BE51" s="4">
        <f t="shared" si="34"/>
        <v>4</v>
      </c>
      <c r="BR51" s="5"/>
    </row>
    <row r="52" spans="1:70" x14ac:dyDescent="0.2">
      <c r="A52" s="4" t="s">
        <v>37</v>
      </c>
      <c r="B52" s="4">
        <v>139</v>
      </c>
      <c r="C52" s="4">
        <v>17</v>
      </c>
      <c r="D52" s="4">
        <v>17</v>
      </c>
      <c r="E52" s="284">
        <v>9663</v>
      </c>
      <c r="F52" s="5">
        <v>9628</v>
      </c>
      <c r="G52" s="5">
        <v>9966</v>
      </c>
      <c r="H52" s="5">
        <v>9862</v>
      </c>
      <c r="I52" s="5">
        <v>9844</v>
      </c>
      <c r="J52" s="5">
        <v>9848</v>
      </c>
      <c r="K52" s="5">
        <v>9912</v>
      </c>
      <c r="L52" s="5">
        <v>9853</v>
      </c>
      <c r="M52" s="5">
        <v>9766</v>
      </c>
      <c r="N52" s="5">
        <v>9684</v>
      </c>
      <c r="O52" s="5">
        <v>9641</v>
      </c>
      <c r="P52" s="5">
        <v>9597</v>
      </c>
      <c r="Q52" s="5">
        <v>9551</v>
      </c>
      <c r="R52" s="5">
        <v>9507</v>
      </c>
      <c r="S52" s="5">
        <v>9468</v>
      </c>
      <c r="T52" s="5">
        <v>9430</v>
      </c>
      <c r="U52" s="5"/>
      <c r="V52" s="5"/>
      <c r="X52" s="7">
        <f t="shared" si="36"/>
        <v>5</v>
      </c>
      <c r="AA52" s="24">
        <f t="shared" si="25"/>
        <v>5</v>
      </c>
      <c r="AD52" s="4">
        <f t="shared" si="26"/>
        <v>5</v>
      </c>
      <c r="AG52" s="4">
        <f t="shared" si="27"/>
        <v>5</v>
      </c>
      <c r="AJ52" s="4">
        <f t="shared" si="37"/>
        <v>5</v>
      </c>
      <c r="AM52" s="4">
        <f t="shared" si="28"/>
        <v>5</v>
      </c>
      <c r="AP52" s="4">
        <f t="shared" si="29"/>
        <v>5</v>
      </c>
      <c r="AS52" s="4">
        <f t="shared" si="30"/>
        <v>5</v>
      </c>
      <c r="AV52" s="4">
        <f t="shared" si="31"/>
        <v>5</v>
      </c>
      <c r="AY52" s="4">
        <f t="shared" si="32"/>
        <v>5</v>
      </c>
      <c r="BB52" s="4">
        <f t="shared" si="33"/>
        <v>5</v>
      </c>
      <c r="BE52" s="4">
        <f t="shared" si="34"/>
        <v>5</v>
      </c>
      <c r="BR52" s="5"/>
    </row>
    <row r="53" spans="1:70" x14ac:dyDescent="0.2">
      <c r="A53" s="4" t="s">
        <v>38</v>
      </c>
      <c r="B53" s="4">
        <v>140</v>
      </c>
      <c r="C53" s="4">
        <v>11</v>
      </c>
      <c r="D53" s="4">
        <v>11</v>
      </c>
      <c r="E53" s="284">
        <v>21945</v>
      </c>
      <c r="F53" s="5">
        <v>21767</v>
      </c>
      <c r="G53" s="5">
        <v>21639</v>
      </c>
      <c r="H53" s="5">
        <v>21472</v>
      </c>
      <c r="I53" s="5">
        <v>21368</v>
      </c>
      <c r="J53" s="5">
        <v>21124</v>
      </c>
      <c r="K53" s="5">
        <v>20958</v>
      </c>
      <c r="L53" s="5">
        <v>20801</v>
      </c>
      <c r="M53" s="5">
        <v>20618</v>
      </c>
      <c r="N53" s="5">
        <v>20458</v>
      </c>
      <c r="O53" s="5">
        <v>20296</v>
      </c>
      <c r="P53" s="5">
        <v>20136</v>
      </c>
      <c r="Q53" s="5">
        <v>19977</v>
      </c>
      <c r="R53" s="5">
        <v>19821</v>
      </c>
      <c r="S53" s="5">
        <v>19665</v>
      </c>
      <c r="T53" s="5">
        <v>19508</v>
      </c>
      <c r="U53" s="5"/>
      <c r="V53" s="5"/>
      <c r="X53" s="7">
        <f t="shared" si="36"/>
        <v>3</v>
      </c>
      <c r="AA53" s="24">
        <f t="shared" si="25"/>
        <v>3</v>
      </c>
      <c r="AD53" s="4">
        <f t="shared" si="26"/>
        <v>3</v>
      </c>
      <c r="AG53" s="4">
        <f t="shared" si="27"/>
        <v>3</v>
      </c>
      <c r="AJ53" s="4">
        <f t="shared" si="37"/>
        <v>3</v>
      </c>
      <c r="AM53" s="4">
        <f t="shared" si="28"/>
        <v>3</v>
      </c>
      <c r="AP53" s="4">
        <f t="shared" si="29"/>
        <v>3</v>
      </c>
      <c r="AS53" s="4">
        <f t="shared" si="30"/>
        <v>3</v>
      </c>
      <c r="AV53" s="4">
        <f t="shared" si="31"/>
        <v>4</v>
      </c>
      <c r="AY53" s="4">
        <f t="shared" si="32"/>
        <v>4</v>
      </c>
      <c r="BB53" s="4">
        <f t="shared" si="33"/>
        <v>4</v>
      </c>
      <c r="BE53" s="4">
        <f t="shared" si="34"/>
        <v>4</v>
      </c>
      <c r="BR53" s="5"/>
    </row>
    <row r="54" spans="1:70" x14ac:dyDescent="0.2">
      <c r="A54" s="4" t="s">
        <v>39</v>
      </c>
      <c r="B54" s="4">
        <v>142</v>
      </c>
      <c r="C54" s="4">
        <v>7</v>
      </c>
      <c r="D54" s="4">
        <v>7</v>
      </c>
      <c r="E54" s="284">
        <v>6910</v>
      </c>
      <c r="F54" s="5">
        <v>6889</v>
      </c>
      <c r="G54" s="5">
        <v>6820</v>
      </c>
      <c r="H54" s="5">
        <v>6765</v>
      </c>
      <c r="I54" s="5">
        <v>6711</v>
      </c>
      <c r="J54" s="5">
        <v>6625</v>
      </c>
      <c r="K54" s="5">
        <v>6559</v>
      </c>
      <c r="L54" s="5">
        <v>6504</v>
      </c>
      <c r="M54" s="5">
        <v>6444</v>
      </c>
      <c r="N54" s="5">
        <v>6409</v>
      </c>
      <c r="O54" s="5">
        <v>6355</v>
      </c>
      <c r="P54" s="5">
        <v>6305</v>
      </c>
      <c r="Q54" s="5">
        <v>6256</v>
      </c>
      <c r="R54" s="5">
        <v>6208</v>
      </c>
      <c r="S54" s="5">
        <v>6163</v>
      </c>
      <c r="T54" s="5">
        <v>6116</v>
      </c>
      <c r="U54" s="5"/>
      <c r="V54" s="5"/>
      <c r="X54" s="7">
        <f t="shared" si="36"/>
        <v>5</v>
      </c>
      <c r="AA54" s="24">
        <f t="shared" si="25"/>
        <v>5</v>
      </c>
      <c r="AD54" s="4">
        <f t="shared" si="26"/>
        <v>5</v>
      </c>
      <c r="AG54" s="4">
        <f t="shared" si="27"/>
        <v>5</v>
      </c>
      <c r="AJ54" s="4">
        <f t="shared" si="37"/>
        <v>5</v>
      </c>
      <c r="AM54" s="4">
        <f t="shared" si="28"/>
        <v>5</v>
      </c>
      <c r="AP54" s="4">
        <f t="shared" si="29"/>
        <v>5</v>
      </c>
      <c r="AS54" s="4">
        <f t="shared" si="30"/>
        <v>5</v>
      </c>
      <c r="AV54" s="4">
        <f t="shared" si="31"/>
        <v>5</v>
      </c>
      <c r="AY54" s="4">
        <f t="shared" si="32"/>
        <v>5</v>
      </c>
      <c r="BB54" s="4">
        <f t="shared" si="33"/>
        <v>5</v>
      </c>
      <c r="BE54" s="4">
        <f t="shared" si="34"/>
        <v>5</v>
      </c>
      <c r="BR54" s="5"/>
    </row>
    <row r="55" spans="1:70" x14ac:dyDescent="0.2">
      <c r="A55" s="4" t="s">
        <v>40</v>
      </c>
      <c r="B55" s="4">
        <v>143</v>
      </c>
      <c r="C55" s="4">
        <v>6</v>
      </c>
      <c r="D55" s="4">
        <v>6</v>
      </c>
      <c r="E55" s="284">
        <v>7207</v>
      </c>
      <c r="F55" s="5">
        <v>7128</v>
      </c>
      <c r="G55" s="5">
        <v>7119</v>
      </c>
      <c r="H55" s="5">
        <v>7003</v>
      </c>
      <c r="I55" s="5">
        <v>6942</v>
      </c>
      <c r="J55" s="5">
        <v>6866</v>
      </c>
      <c r="K55" s="5">
        <v>6877</v>
      </c>
      <c r="L55" s="5">
        <v>6804</v>
      </c>
      <c r="M55" s="5">
        <v>6850</v>
      </c>
      <c r="N55" s="5">
        <v>6640</v>
      </c>
      <c r="O55" s="5">
        <v>6590</v>
      </c>
      <c r="P55" s="5">
        <v>6543</v>
      </c>
      <c r="Q55" s="5">
        <v>6497</v>
      </c>
      <c r="R55" s="5">
        <v>6453</v>
      </c>
      <c r="S55" s="5">
        <v>6407</v>
      </c>
      <c r="T55" s="5">
        <v>6364</v>
      </c>
      <c r="U55" s="5"/>
      <c r="V55" s="5"/>
      <c r="X55" s="7">
        <f t="shared" si="36"/>
        <v>5</v>
      </c>
      <c r="AA55" s="24">
        <f t="shared" si="25"/>
        <v>5</v>
      </c>
      <c r="AD55" s="4">
        <f t="shared" si="26"/>
        <v>5</v>
      </c>
      <c r="AG55" s="4">
        <f t="shared" si="27"/>
        <v>5</v>
      </c>
      <c r="AJ55" s="4">
        <f t="shared" si="37"/>
        <v>5</v>
      </c>
      <c r="AM55" s="4">
        <f t="shared" si="28"/>
        <v>5</v>
      </c>
      <c r="AP55" s="4">
        <f t="shared" si="29"/>
        <v>5</v>
      </c>
      <c r="AS55" s="4">
        <f t="shared" si="30"/>
        <v>5</v>
      </c>
      <c r="AV55" s="4">
        <f t="shared" si="31"/>
        <v>5</v>
      </c>
      <c r="AY55" s="4">
        <f t="shared" si="32"/>
        <v>5</v>
      </c>
      <c r="BB55" s="4">
        <f t="shared" si="33"/>
        <v>5</v>
      </c>
      <c r="BE55" s="4">
        <f t="shared" si="34"/>
        <v>5</v>
      </c>
      <c r="BR55" s="5"/>
    </row>
    <row r="56" spans="1:70" x14ac:dyDescent="0.2">
      <c r="A56" s="4" t="s">
        <v>41</v>
      </c>
      <c r="B56" s="4">
        <v>145</v>
      </c>
      <c r="C56" s="4">
        <v>14</v>
      </c>
      <c r="D56" s="4">
        <v>14</v>
      </c>
      <c r="E56" s="284">
        <v>12159</v>
      </c>
      <c r="F56" s="5">
        <v>12167</v>
      </c>
      <c r="G56" s="5">
        <v>12205</v>
      </c>
      <c r="H56" s="5">
        <v>12187</v>
      </c>
      <c r="I56" s="5">
        <v>12269</v>
      </c>
      <c r="J56" s="5">
        <v>12294</v>
      </c>
      <c r="K56" s="5">
        <v>12366</v>
      </c>
      <c r="L56" s="5">
        <v>12369</v>
      </c>
      <c r="M56" s="5">
        <v>12343</v>
      </c>
      <c r="N56" s="5">
        <v>12437</v>
      </c>
      <c r="O56" s="5">
        <v>12456</v>
      </c>
      <c r="P56" s="5">
        <v>12469</v>
      </c>
      <c r="Q56" s="5">
        <v>12477</v>
      </c>
      <c r="R56" s="5">
        <v>12477</v>
      </c>
      <c r="S56" s="5">
        <v>12477</v>
      </c>
      <c r="T56" s="5">
        <v>12473</v>
      </c>
      <c r="U56" s="5"/>
      <c r="V56" s="5"/>
      <c r="X56" s="7">
        <f t="shared" si="36"/>
        <v>4</v>
      </c>
      <c r="AA56" s="24">
        <f t="shared" si="25"/>
        <v>4</v>
      </c>
      <c r="AD56" s="4">
        <f t="shared" si="26"/>
        <v>4</v>
      </c>
      <c r="AG56" s="4">
        <f t="shared" si="27"/>
        <v>4</v>
      </c>
      <c r="AJ56" s="4">
        <f t="shared" si="37"/>
        <v>4</v>
      </c>
      <c r="AM56" s="4">
        <f t="shared" si="28"/>
        <v>4</v>
      </c>
      <c r="AP56" s="4">
        <f t="shared" si="29"/>
        <v>4</v>
      </c>
      <c r="AS56" s="4">
        <f t="shared" si="30"/>
        <v>4</v>
      </c>
      <c r="AV56" s="4">
        <f t="shared" si="31"/>
        <v>4</v>
      </c>
      <c r="AY56" s="4">
        <f t="shared" si="32"/>
        <v>4</v>
      </c>
      <c r="BB56" s="4">
        <f t="shared" si="33"/>
        <v>4</v>
      </c>
      <c r="BE56" s="4">
        <f t="shared" si="34"/>
        <v>4</v>
      </c>
      <c r="BR56" s="5"/>
    </row>
    <row r="57" spans="1:70" x14ac:dyDescent="0.2">
      <c r="A57" s="4" t="s">
        <v>42</v>
      </c>
      <c r="B57" s="4">
        <v>146</v>
      </c>
      <c r="C57" s="4">
        <v>12</v>
      </c>
      <c r="D57" s="4">
        <v>12</v>
      </c>
      <c r="E57" s="284">
        <v>5336</v>
      </c>
      <c r="F57" s="5">
        <v>5237</v>
      </c>
      <c r="G57" s="5">
        <v>5128</v>
      </c>
      <c r="H57" s="5">
        <v>4973</v>
      </c>
      <c r="I57" s="5">
        <v>4857</v>
      </c>
      <c r="J57" s="5">
        <v>4749</v>
      </c>
      <c r="K57" s="5">
        <v>4643</v>
      </c>
      <c r="L57" s="5">
        <v>4492</v>
      </c>
      <c r="M57" s="5">
        <v>4406</v>
      </c>
      <c r="N57" s="5">
        <v>4352</v>
      </c>
      <c r="O57" s="5">
        <v>4270</v>
      </c>
      <c r="P57" s="5">
        <v>4191</v>
      </c>
      <c r="Q57" s="5">
        <v>4115</v>
      </c>
      <c r="R57" s="5">
        <v>4042</v>
      </c>
      <c r="S57" s="5">
        <v>3973</v>
      </c>
      <c r="T57" s="5">
        <v>3908</v>
      </c>
      <c r="U57" s="5"/>
      <c r="V57" s="5"/>
      <c r="X57" s="7">
        <f t="shared" si="36"/>
        <v>6</v>
      </c>
      <c r="AA57" s="24">
        <f t="shared" si="25"/>
        <v>6</v>
      </c>
      <c r="AD57" s="4">
        <f t="shared" si="26"/>
        <v>6</v>
      </c>
      <c r="AG57" s="4">
        <f t="shared" si="27"/>
        <v>6</v>
      </c>
      <c r="AJ57" s="4">
        <f t="shared" si="37"/>
        <v>6</v>
      </c>
      <c r="AM57" s="4">
        <f t="shared" si="28"/>
        <v>6</v>
      </c>
      <c r="AP57" s="4">
        <f t="shared" si="29"/>
        <v>6</v>
      </c>
      <c r="AS57" s="4">
        <f t="shared" si="30"/>
        <v>6</v>
      </c>
      <c r="AV57" s="4">
        <f t="shared" si="31"/>
        <v>6</v>
      </c>
      <c r="AY57" s="4">
        <f t="shared" si="32"/>
        <v>6</v>
      </c>
      <c r="BB57" s="4">
        <f t="shared" si="33"/>
        <v>6</v>
      </c>
      <c r="BE57" s="4">
        <f t="shared" si="34"/>
        <v>6</v>
      </c>
      <c r="BR57" s="5"/>
    </row>
    <row r="58" spans="1:70" x14ac:dyDescent="0.2">
      <c r="A58" s="4" t="s">
        <v>44</v>
      </c>
      <c r="B58" s="4">
        <v>148</v>
      </c>
      <c r="C58" s="4">
        <v>19</v>
      </c>
      <c r="D58" s="4">
        <v>19</v>
      </c>
      <c r="E58" s="284">
        <v>6804</v>
      </c>
      <c r="F58" s="5">
        <v>6825</v>
      </c>
      <c r="G58" s="5">
        <v>6869</v>
      </c>
      <c r="H58" s="5">
        <v>6930</v>
      </c>
      <c r="I58" s="5">
        <v>6907</v>
      </c>
      <c r="J58" s="5">
        <v>6862</v>
      </c>
      <c r="K58" s="5">
        <v>7008</v>
      </c>
      <c r="L58" s="5">
        <v>7047</v>
      </c>
      <c r="M58" s="5">
        <v>7127</v>
      </c>
      <c r="N58" s="5">
        <v>6892</v>
      </c>
      <c r="O58" s="5">
        <v>6900</v>
      </c>
      <c r="P58" s="5">
        <v>6906</v>
      </c>
      <c r="Q58" s="5">
        <v>6913</v>
      </c>
      <c r="R58" s="5">
        <v>6920</v>
      </c>
      <c r="S58" s="5">
        <v>6924</v>
      </c>
      <c r="T58" s="5">
        <v>6928</v>
      </c>
      <c r="U58" s="5"/>
      <c r="V58" s="5"/>
      <c r="X58" s="7">
        <f t="shared" si="36"/>
        <v>5</v>
      </c>
      <c r="AA58" s="24">
        <f t="shared" si="25"/>
        <v>5</v>
      </c>
      <c r="AD58" s="4">
        <f t="shared" si="26"/>
        <v>5</v>
      </c>
      <c r="AG58" s="4">
        <f t="shared" si="27"/>
        <v>5</v>
      </c>
      <c r="AJ58" s="4">
        <f t="shared" si="37"/>
        <v>5</v>
      </c>
      <c r="AM58" s="4">
        <f t="shared" si="28"/>
        <v>5</v>
      </c>
      <c r="AP58" s="4">
        <f t="shared" si="29"/>
        <v>5</v>
      </c>
      <c r="AS58" s="4">
        <f t="shared" si="30"/>
        <v>5</v>
      </c>
      <c r="AV58" s="4">
        <f t="shared" si="31"/>
        <v>5</v>
      </c>
      <c r="AY58" s="4">
        <f t="shared" si="32"/>
        <v>5</v>
      </c>
      <c r="BB58" s="4">
        <f t="shared" si="33"/>
        <v>5</v>
      </c>
      <c r="BE58" s="4">
        <f t="shared" si="34"/>
        <v>5</v>
      </c>
      <c r="BR58" s="5"/>
    </row>
    <row r="59" spans="1:70" x14ac:dyDescent="0.2">
      <c r="A59" s="4" t="s">
        <v>45</v>
      </c>
      <c r="B59" s="4">
        <v>149</v>
      </c>
      <c r="C59" s="4">
        <v>1</v>
      </c>
      <c r="D59" s="4">
        <v>33</v>
      </c>
      <c r="E59" s="284">
        <v>5541</v>
      </c>
      <c r="F59" s="5">
        <v>5585</v>
      </c>
      <c r="G59" s="5">
        <v>5481</v>
      </c>
      <c r="H59" s="5">
        <v>5403</v>
      </c>
      <c r="I59" s="5">
        <v>5386</v>
      </c>
      <c r="J59" s="5">
        <v>5321</v>
      </c>
      <c r="K59" s="5">
        <v>5353</v>
      </c>
      <c r="L59" s="5">
        <v>5384</v>
      </c>
      <c r="M59" s="5">
        <v>5379</v>
      </c>
      <c r="N59" s="5">
        <v>5184</v>
      </c>
      <c r="O59" s="5">
        <v>5161</v>
      </c>
      <c r="P59" s="5">
        <v>5137</v>
      </c>
      <c r="Q59" s="5">
        <v>5116</v>
      </c>
      <c r="R59" s="5">
        <v>5096</v>
      </c>
      <c r="S59" s="5">
        <v>5076</v>
      </c>
      <c r="T59" s="5">
        <v>5059</v>
      </c>
      <c r="U59" s="5"/>
      <c r="V59" s="5"/>
      <c r="X59" s="7">
        <f t="shared" si="36"/>
        <v>5</v>
      </c>
      <c r="AA59" s="24">
        <f t="shared" si="25"/>
        <v>5</v>
      </c>
      <c r="AD59" s="4">
        <f t="shared" si="26"/>
        <v>5</v>
      </c>
      <c r="AG59" s="4">
        <f t="shared" si="27"/>
        <v>5</v>
      </c>
      <c r="AJ59" s="4">
        <f t="shared" si="37"/>
        <v>5</v>
      </c>
      <c r="AM59" s="4">
        <f t="shared" si="28"/>
        <v>5</v>
      </c>
      <c r="AP59" s="4">
        <f t="shared" si="29"/>
        <v>5</v>
      </c>
      <c r="AS59" s="4">
        <f t="shared" si="30"/>
        <v>5</v>
      </c>
      <c r="AV59" s="4">
        <f t="shared" si="31"/>
        <v>5</v>
      </c>
      <c r="AY59" s="4">
        <f t="shared" si="32"/>
        <v>5</v>
      </c>
      <c r="BB59" s="4">
        <f t="shared" si="33"/>
        <v>5</v>
      </c>
      <c r="BE59" s="4">
        <f t="shared" si="34"/>
        <v>5</v>
      </c>
      <c r="BR59" s="5"/>
    </row>
    <row r="60" spans="1:70" x14ac:dyDescent="0.2">
      <c r="A60" s="4" t="s">
        <v>46</v>
      </c>
      <c r="B60" s="4">
        <v>151</v>
      </c>
      <c r="C60" s="4">
        <v>14</v>
      </c>
      <c r="D60" s="4">
        <v>14</v>
      </c>
      <c r="E60" s="284">
        <v>2123</v>
      </c>
      <c r="F60" s="5">
        <v>2079</v>
      </c>
      <c r="G60" s="5">
        <v>2032</v>
      </c>
      <c r="H60" s="5">
        <v>1976</v>
      </c>
      <c r="I60" s="5">
        <v>1951</v>
      </c>
      <c r="J60" s="5">
        <v>1925</v>
      </c>
      <c r="K60" s="5">
        <v>1891</v>
      </c>
      <c r="L60" s="5">
        <v>1852</v>
      </c>
      <c r="M60" s="5">
        <v>1814</v>
      </c>
      <c r="N60" s="5">
        <v>1796</v>
      </c>
      <c r="O60" s="5">
        <v>1770</v>
      </c>
      <c r="P60" s="5">
        <v>1745</v>
      </c>
      <c r="Q60" s="5">
        <v>1725</v>
      </c>
      <c r="R60" s="5">
        <v>1704</v>
      </c>
      <c r="S60" s="5">
        <v>1684</v>
      </c>
      <c r="T60" s="5">
        <v>1664</v>
      </c>
      <c r="U60" s="5"/>
      <c r="V60" s="5"/>
      <c r="X60" s="7">
        <f t="shared" si="36"/>
        <v>7</v>
      </c>
      <c r="AA60" s="24">
        <f t="shared" si="25"/>
        <v>7</v>
      </c>
      <c r="AD60" s="4">
        <f t="shared" si="26"/>
        <v>7</v>
      </c>
      <c r="AG60" s="4">
        <f t="shared" si="27"/>
        <v>7</v>
      </c>
      <c r="AJ60" s="4">
        <f t="shared" si="37"/>
        <v>7</v>
      </c>
      <c r="AM60" s="4">
        <f t="shared" si="28"/>
        <v>7</v>
      </c>
      <c r="AP60" s="4">
        <f t="shared" si="29"/>
        <v>7</v>
      </c>
      <c r="AS60" s="4">
        <f t="shared" si="30"/>
        <v>7</v>
      </c>
      <c r="AV60" s="4">
        <f t="shared" si="31"/>
        <v>7</v>
      </c>
      <c r="AY60" s="4">
        <f t="shared" si="32"/>
        <v>7</v>
      </c>
      <c r="BB60" s="4">
        <f t="shared" si="33"/>
        <v>7</v>
      </c>
      <c r="BE60" s="4">
        <f t="shared" si="34"/>
        <v>7</v>
      </c>
      <c r="BR60" s="5"/>
    </row>
    <row r="61" spans="1:70" x14ac:dyDescent="0.2">
      <c r="A61" s="4" t="s">
        <v>47</v>
      </c>
      <c r="B61" s="4">
        <v>152</v>
      </c>
      <c r="C61" s="4">
        <v>14</v>
      </c>
      <c r="D61" s="4">
        <v>14</v>
      </c>
      <c r="E61" s="284">
        <v>4785</v>
      </c>
      <c r="F61" s="5">
        <v>4712</v>
      </c>
      <c r="G61" s="5">
        <v>4673</v>
      </c>
      <c r="H61" s="5">
        <v>4601</v>
      </c>
      <c r="I61" s="5">
        <v>4522</v>
      </c>
      <c r="J61" s="5">
        <v>4471</v>
      </c>
      <c r="K61" s="5">
        <v>4480</v>
      </c>
      <c r="L61" s="5">
        <v>4406</v>
      </c>
      <c r="M61" s="5">
        <v>4357</v>
      </c>
      <c r="N61" s="5">
        <v>4267</v>
      </c>
      <c r="O61" s="5">
        <v>4220</v>
      </c>
      <c r="P61" s="5">
        <v>4174</v>
      </c>
      <c r="Q61" s="5">
        <v>4127</v>
      </c>
      <c r="R61" s="5">
        <v>4086</v>
      </c>
      <c r="S61" s="5">
        <v>4046</v>
      </c>
      <c r="T61" s="5">
        <v>4007</v>
      </c>
      <c r="U61" s="5"/>
      <c r="V61" s="5"/>
      <c r="X61" s="7">
        <f t="shared" si="36"/>
        <v>6</v>
      </c>
      <c r="AA61" s="24">
        <f t="shared" si="25"/>
        <v>6</v>
      </c>
      <c r="AD61" s="4">
        <f t="shared" si="26"/>
        <v>6</v>
      </c>
      <c r="AG61" s="4">
        <f t="shared" si="27"/>
        <v>6</v>
      </c>
      <c r="AJ61" s="4">
        <f t="shared" si="37"/>
        <v>6</v>
      </c>
      <c r="AM61" s="4">
        <f t="shared" si="28"/>
        <v>6</v>
      </c>
      <c r="AP61" s="4">
        <f t="shared" si="29"/>
        <v>6</v>
      </c>
      <c r="AS61" s="4">
        <f t="shared" si="30"/>
        <v>6</v>
      </c>
      <c r="AV61" s="4">
        <f t="shared" si="31"/>
        <v>6</v>
      </c>
      <c r="AY61" s="4">
        <f t="shared" si="32"/>
        <v>6</v>
      </c>
      <c r="BB61" s="4">
        <f t="shared" si="33"/>
        <v>6</v>
      </c>
      <c r="BE61" s="4">
        <f t="shared" si="34"/>
        <v>6</v>
      </c>
      <c r="BR61" s="5"/>
    </row>
    <row r="62" spans="1:70" x14ac:dyDescent="0.2">
      <c r="A62" s="4" t="s">
        <v>43</v>
      </c>
      <c r="B62" s="4">
        <v>153</v>
      </c>
      <c r="C62" s="4">
        <v>9</v>
      </c>
      <c r="D62" s="4">
        <v>9</v>
      </c>
      <c r="E62" s="284">
        <v>27835</v>
      </c>
      <c r="F62" s="5">
        <v>27517</v>
      </c>
      <c r="G62" s="5">
        <v>27269</v>
      </c>
      <c r="H62" s="5">
        <v>26932</v>
      </c>
      <c r="I62" s="5">
        <v>26508</v>
      </c>
      <c r="J62" s="5">
        <v>26075</v>
      </c>
      <c r="K62" s="5">
        <v>25655</v>
      </c>
      <c r="L62" s="5">
        <v>25208</v>
      </c>
      <c r="M62" s="5">
        <v>24919</v>
      </c>
      <c r="N62" s="5">
        <v>24718</v>
      </c>
      <c r="O62" s="5">
        <v>24393</v>
      </c>
      <c r="P62" s="5">
        <v>24077</v>
      </c>
      <c r="Q62" s="5">
        <v>23775</v>
      </c>
      <c r="R62" s="5">
        <v>23491</v>
      </c>
      <c r="S62" s="5">
        <v>23212</v>
      </c>
      <c r="T62" s="5">
        <v>22939</v>
      </c>
      <c r="U62" s="5"/>
      <c r="V62" s="5"/>
      <c r="X62" s="7">
        <f t="shared" si="36"/>
        <v>3</v>
      </c>
      <c r="AA62" s="24">
        <f t="shared" si="25"/>
        <v>3</v>
      </c>
      <c r="AD62" s="4">
        <f t="shared" si="26"/>
        <v>3</v>
      </c>
      <c r="AG62" s="4">
        <f t="shared" si="27"/>
        <v>3</v>
      </c>
      <c r="AJ62" s="4">
        <f t="shared" si="37"/>
        <v>3</v>
      </c>
      <c r="AM62" s="4">
        <f t="shared" si="28"/>
        <v>3</v>
      </c>
      <c r="AP62" s="4">
        <f t="shared" si="29"/>
        <v>3</v>
      </c>
      <c r="AS62" s="4">
        <f t="shared" si="30"/>
        <v>3</v>
      </c>
      <c r="AV62" s="4">
        <f t="shared" si="31"/>
        <v>3</v>
      </c>
      <c r="AY62" s="4">
        <f t="shared" si="32"/>
        <v>3</v>
      </c>
      <c r="BB62" s="4">
        <f t="shared" si="33"/>
        <v>3</v>
      </c>
      <c r="BE62" s="4">
        <f t="shared" si="34"/>
        <v>3</v>
      </c>
      <c r="BR62" s="5"/>
    </row>
    <row r="63" spans="1:70" x14ac:dyDescent="0.2">
      <c r="A63" s="4" t="s">
        <v>48</v>
      </c>
      <c r="B63" s="4">
        <v>165</v>
      </c>
      <c r="C63" s="4">
        <v>5</v>
      </c>
      <c r="D63" s="4">
        <v>5</v>
      </c>
      <c r="E63" s="284">
        <v>16853</v>
      </c>
      <c r="F63" s="5">
        <v>16709</v>
      </c>
      <c r="G63" s="5">
        <v>16607</v>
      </c>
      <c r="H63" s="5">
        <v>16447</v>
      </c>
      <c r="I63" s="5">
        <v>16413</v>
      </c>
      <c r="J63" s="5">
        <v>16237</v>
      </c>
      <c r="K63" s="5">
        <v>16340</v>
      </c>
      <c r="L63" s="5">
        <v>16280</v>
      </c>
      <c r="M63" s="5">
        <v>16123</v>
      </c>
      <c r="N63" s="5">
        <v>15777</v>
      </c>
      <c r="O63" s="5">
        <v>15672</v>
      </c>
      <c r="P63" s="5">
        <v>15568</v>
      </c>
      <c r="Q63" s="5">
        <v>15467</v>
      </c>
      <c r="R63" s="5">
        <v>15365</v>
      </c>
      <c r="S63" s="5">
        <v>15269</v>
      </c>
      <c r="T63" s="5">
        <v>15181</v>
      </c>
      <c r="U63" s="5"/>
      <c r="V63" s="5"/>
      <c r="X63" s="7">
        <f t="shared" si="36"/>
        <v>4</v>
      </c>
      <c r="AA63" s="24">
        <f t="shared" si="25"/>
        <v>4</v>
      </c>
      <c r="AD63" s="4">
        <f t="shared" si="26"/>
        <v>4</v>
      </c>
      <c r="AG63" s="4">
        <f t="shared" si="27"/>
        <v>4</v>
      </c>
      <c r="AJ63" s="4">
        <f t="shared" si="37"/>
        <v>4</v>
      </c>
      <c r="AM63" s="4">
        <f t="shared" si="28"/>
        <v>4</v>
      </c>
      <c r="AP63" s="4">
        <f t="shared" si="29"/>
        <v>4</v>
      </c>
      <c r="AS63" s="4">
        <f t="shared" si="30"/>
        <v>4</v>
      </c>
      <c r="AV63" s="4">
        <f t="shared" si="31"/>
        <v>4</v>
      </c>
      <c r="AY63" s="4">
        <f t="shared" si="32"/>
        <v>4</v>
      </c>
      <c r="BB63" s="4">
        <f t="shared" si="33"/>
        <v>4</v>
      </c>
      <c r="BE63" s="4">
        <f t="shared" si="34"/>
        <v>4</v>
      </c>
      <c r="BR63" s="5"/>
    </row>
    <row r="64" spans="1:70" x14ac:dyDescent="0.2">
      <c r="A64" s="4" t="s">
        <v>49</v>
      </c>
      <c r="B64" s="4">
        <v>167</v>
      </c>
      <c r="C64" s="4">
        <v>12</v>
      </c>
      <c r="D64" s="4">
        <v>12</v>
      </c>
      <c r="E64" s="284">
        <v>75514</v>
      </c>
      <c r="F64" s="5">
        <v>75848</v>
      </c>
      <c r="G64" s="5">
        <v>76067</v>
      </c>
      <c r="H64" s="5">
        <v>76551</v>
      </c>
      <c r="I64" s="5">
        <v>76850</v>
      </c>
      <c r="J64" s="5">
        <v>76935</v>
      </c>
      <c r="K64" s="5">
        <v>77261</v>
      </c>
      <c r="L64" s="5">
        <v>77513</v>
      </c>
      <c r="M64" s="5">
        <v>78062</v>
      </c>
      <c r="N64" s="5">
        <v>77836</v>
      </c>
      <c r="O64" s="5">
        <v>77993</v>
      </c>
      <c r="P64" s="5">
        <v>78142</v>
      </c>
      <c r="Q64" s="5">
        <v>78282</v>
      </c>
      <c r="R64" s="5">
        <v>78411</v>
      </c>
      <c r="S64" s="5">
        <v>78528</v>
      </c>
      <c r="T64" s="5">
        <v>78622</v>
      </c>
      <c r="U64" s="5"/>
      <c r="V64" s="5"/>
      <c r="X64" s="7">
        <f t="shared" si="36"/>
        <v>2</v>
      </c>
      <c r="AA64" s="24">
        <f t="shared" si="25"/>
        <v>2</v>
      </c>
      <c r="AD64" s="4">
        <f t="shared" si="26"/>
        <v>2</v>
      </c>
      <c r="AG64" s="4">
        <f t="shared" si="27"/>
        <v>2</v>
      </c>
      <c r="AJ64" s="4">
        <f t="shared" si="37"/>
        <v>2</v>
      </c>
      <c r="AM64" s="4">
        <f t="shared" si="28"/>
        <v>2</v>
      </c>
      <c r="AP64" s="4">
        <f t="shared" si="29"/>
        <v>2</v>
      </c>
      <c r="AS64" s="4">
        <f t="shared" si="30"/>
        <v>2</v>
      </c>
      <c r="AV64" s="4">
        <f t="shared" si="31"/>
        <v>2</v>
      </c>
      <c r="AY64" s="4">
        <f t="shared" si="32"/>
        <v>2</v>
      </c>
      <c r="BB64" s="4">
        <f t="shared" si="33"/>
        <v>2</v>
      </c>
      <c r="BE64" s="4">
        <f t="shared" si="34"/>
        <v>2</v>
      </c>
      <c r="BR64" s="5"/>
    </row>
    <row r="65" spans="1:70" x14ac:dyDescent="0.2">
      <c r="A65" s="4" t="s">
        <v>50</v>
      </c>
      <c r="B65" s="4">
        <v>169</v>
      </c>
      <c r="C65" s="4">
        <v>5</v>
      </c>
      <c r="D65" s="4">
        <v>5</v>
      </c>
      <c r="E65" s="284">
        <v>5425</v>
      </c>
      <c r="F65" s="5">
        <v>5341</v>
      </c>
      <c r="G65" s="5">
        <v>5286</v>
      </c>
      <c r="H65" s="5">
        <v>5195</v>
      </c>
      <c r="I65" s="5">
        <v>5133</v>
      </c>
      <c r="J65" s="5">
        <v>5061</v>
      </c>
      <c r="K65" s="5">
        <v>5046</v>
      </c>
      <c r="L65" s="5">
        <v>4990</v>
      </c>
      <c r="M65" s="5">
        <v>4916</v>
      </c>
      <c r="N65" s="5">
        <v>4819</v>
      </c>
      <c r="O65" s="5">
        <v>4764</v>
      </c>
      <c r="P65" s="5">
        <v>4713</v>
      </c>
      <c r="Q65" s="5">
        <v>4663</v>
      </c>
      <c r="R65" s="5">
        <v>4618</v>
      </c>
      <c r="S65" s="5">
        <v>4571</v>
      </c>
      <c r="T65" s="5">
        <v>4526</v>
      </c>
      <c r="U65" s="5"/>
      <c r="V65" s="5"/>
      <c r="X65" s="7">
        <f t="shared" si="36"/>
        <v>5</v>
      </c>
      <c r="AA65" s="24">
        <f t="shared" si="25"/>
        <v>5</v>
      </c>
      <c r="AD65" s="4">
        <f t="shared" si="26"/>
        <v>5</v>
      </c>
      <c r="AG65" s="4">
        <f t="shared" si="27"/>
        <v>6</v>
      </c>
      <c r="AJ65" s="4">
        <f t="shared" si="37"/>
        <v>6</v>
      </c>
      <c r="AM65" s="4">
        <f t="shared" si="28"/>
        <v>6</v>
      </c>
      <c r="AP65" s="4">
        <f t="shared" si="29"/>
        <v>6</v>
      </c>
      <c r="AS65" s="4">
        <f t="shared" si="30"/>
        <v>6</v>
      </c>
      <c r="AV65" s="4">
        <f t="shared" si="31"/>
        <v>6</v>
      </c>
      <c r="AY65" s="4">
        <f t="shared" si="32"/>
        <v>6</v>
      </c>
      <c r="BB65" s="4">
        <f t="shared" si="33"/>
        <v>6</v>
      </c>
      <c r="BE65" s="4">
        <f t="shared" si="34"/>
        <v>6</v>
      </c>
      <c r="BR65" s="5"/>
    </row>
    <row r="66" spans="1:70" x14ac:dyDescent="0.2">
      <c r="A66" s="4" t="s">
        <v>51</v>
      </c>
      <c r="B66" s="4">
        <v>171</v>
      </c>
      <c r="C66" s="4">
        <v>11</v>
      </c>
      <c r="D66" s="4">
        <v>11</v>
      </c>
      <c r="E66" s="284">
        <v>5110</v>
      </c>
      <c r="F66" s="5">
        <v>5039</v>
      </c>
      <c r="G66" s="5">
        <v>4917</v>
      </c>
      <c r="H66" s="5">
        <v>4812</v>
      </c>
      <c r="I66" s="5">
        <v>4767</v>
      </c>
      <c r="J66" s="5">
        <v>4689</v>
      </c>
      <c r="K66" s="5">
        <v>4624</v>
      </c>
      <c r="L66" s="5">
        <v>4540</v>
      </c>
      <c r="M66" s="5">
        <v>4590</v>
      </c>
      <c r="N66" s="5">
        <v>4401</v>
      </c>
      <c r="O66" s="5">
        <v>4330</v>
      </c>
      <c r="P66" s="5">
        <v>4261</v>
      </c>
      <c r="Q66" s="5">
        <v>4195</v>
      </c>
      <c r="R66" s="5">
        <v>4127</v>
      </c>
      <c r="S66" s="5">
        <v>4062</v>
      </c>
      <c r="T66" s="5">
        <v>3999</v>
      </c>
      <c r="U66" s="5"/>
      <c r="V66" s="5"/>
      <c r="X66" s="7">
        <f t="shared" si="36"/>
        <v>6</v>
      </c>
      <c r="AA66" s="24">
        <f t="shared" si="25"/>
        <v>6</v>
      </c>
      <c r="AD66" s="4">
        <f t="shared" si="26"/>
        <v>6</v>
      </c>
      <c r="AG66" s="4">
        <f t="shared" si="27"/>
        <v>6</v>
      </c>
      <c r="AJ66" s="4">
        <f t="shared" si="37"/>
        <v>6</v>
      </c>
      <c r="AM66" s="4">
        <f t="shared" si="28"/>
        <v>6</v>
      </c>
      <c r="AP66" s="4">
        <f t="shared" si="29"/>
        <v>6</v>
      </c>
      <c r="AS66" s="4">
        <f t="shared" si="30"/>
        <v>6</v>
      </c>
      <c r="AV66" s="4">
        <f t="shared" si="31"/>
        <v>6</v>
      </c>
      <c r="AY66" s="4">
        <f t="shared" si="32"/>
        <v>6</v>
      </c>
      <c r="BB66" s="4">
        <f t="shared" si="33"/>
        <v>6</v>
      </c>
      <c r="BE66" s="4">
        <f t="shared" si="34"/>
        <v>6</v>
      </c>
      <c r="BR66" s="5"/>
    </row>
    <row r="67" spans="1:70" x14ac:dyDescent="0.2">
      <c r="A67" s="4" t="s">
        <v>52</v>
      </c>
      <c r="B67" s="4">
        <v>172</v>
      </c>
      <c r="C67" s="4">
        <v>13</v>
      </c>
      <c r="D67" s="4">
        <v>13</v>
      </c>
      <c r="E67" s="284">
        <v>4688</v>
      </c>
      <c r="F67" s="5">
        <v>4673</v>
      </c>
      <c r="G67" s="5">
        <v>4567</v>
      </c>
      <c r="H67" s="5">
        <v>4467</v>
      </c>
      <c r="I67" s="5">
        <v>4377</v>
      </c>
      <c r="J67" s="5">
        <v>4297</v>
      </c>
      <c r="K67" s="5">
        <v>4263</v>
      </c>
      <c r="L67" s="5">
        <v>4171</v>
      </c>
      <c r="M67" s="5">
        <v>4079</v>
      </c>
      <c r="N67" s="5">
        <v>4024</v>
      </c>
      <c r="O67" s="5">
        <v>3968</v>
      </c>
      <c r="P67" s="5">
        <v>3910</v>
      </c>
      <c r="Q67" s="5">
        <v>3859</v>
      </c>
      <c r="R67" s="5">
        <v>3811</v>
      </c>
      <c r="S67" s="5">
        <v>3764</v>
      </c>
      <c r="T67" s="5">
        <v>3720</v>
      </c>
      <c r="U67" s="5"/>
      <c r="V67" s="5"/>
      <c r="X67" s="7">
        <f t="shared" si="36"/>
        <v>6</v>
      </c>
      <c r="AA67" s="24">
        <f t="shared" si="25"/>
        <v>6</v>
      </c>
      <c r="AD67" s="4">
        <f t="shared" si="26"/>
        <v>6</v>
      </c>
      <c r="AG67" s="4">
        <f t="shared" si="27"/>
        <v>6</v>
      </c>
      <c r="AJ67" s="4">
        <f t="shared" si="37"/>
        <v>6</v>
      </c>
      <c r="AM67" s="4">
        <f t="shared" si="28"/>
        <v>6</v>
      </c>
      <c r="AP67" s="4">
        <f t="shared" si="29"/>
        <v>6</v>
      </c>
      <c r="AS67" s="4">
        <f t="shared" si="30"/>
        <v>6</v>
      </c>
      <c r="AV67" s="4">
        <f t="shared" si="31"/>
        <v>6</v>
      </c>
      <c r="AY67" s="4">
        <f t="shared" si="32"/>
        <v>6</v>
      </c>
      <c r="BB67" s="4">
        <f t="shared" si="33"/>
        <v>6</v>
      </c>
      <c r="BE67" s="4">
        <f t="shared" si="34"/>
        <v>6</v>
      </c>
      <c r="BR67" s="5"/>
    </row>
    <row r="68" spans="1:70" x14ac:dyDescent="0.2">
      <c r="A68" s="4" t="s">
        <v>53</v>
      </c>
      <c r="B68" s="4">
        <v>176</v>
      </c>
      <c r="C68" s="4">
        <v>12</v>
      </c>
      <c r="D68" s="4">
        <v>12</v>
      </c>
      <c r="E68" s="284">
        <v>5034</v>
      </c>
      <c r="F68" s="5">
        <v>4938</v>
      </c>
      <c r="G68" s="5">
        <v>4817</v>
      </c>
      <c r="H68" s="5">
        <v>4709</v>
      </c>
      <c r="I68" s="5">
        <v>4606</v>
      </c>
      <c r="J68" s="5">
        <v>4527</v>
      </c>
      <c r="K68" s="5">
        <v>4444</v>
      </c>
      <c r="L68" s="5">
        <v>4352</v>
      </c>
      <c r="M68" s="5">
        <v>4259</v>
      </c>
      <c r="N68" s="5">
        <v>4169</v>
      </c>
      <c r="O68" s="5">
        <v>4086</v>
      </c>
      <c r="P68" s="5">
        <v>4005</v>
      </c>
      <c r="Q68" s="5">
        <v>3934</v>
      </c>
      <c r="R68" s="5">
        <v>3865</v>
      </c>
      <c r="S68" s="5">
        <v>3801</v>
      </c>
      <c r="T68" s="5">
        <v>3743</v>
      </c>
      <c r="U68" s="5"/>
      <c r="V68" s="5"/>
      <c r="X68" s="7">
        <f t="shared" si="36"/>
        <v>6</v>
      </c>
      <c r="AA68" s="24">
        <f t="shared" si="25"/>
        <v>6</v>
      </c>
      <c r="AD68" s="4">
        <f t="shared" si="26"/>
        <v>6</v>
      </c>
      <c r="AG68" s="4">
        <f t="shared" si="27"/>
        <v>6</v>
      </c>
      <c r="AJ68" s="4">
        <f t="shared" si="37"/>
        <v>6</v>
      </c>
      <c r="AM68" s="4">
        <f t="shared" si="28"/>
        <v>6</v>
      </c>
      <c r="AP68" s="4">
        <f t="shared" si="29"/>
        <v>6</v>
      </c>
      <c r="AS68" s="4">
        <f t="shared" si="30"/>
        <v>6</v>
      </c>
      <c r="AV68" s="4">
        <f t="shared" si="31"/>
        <v>6</v>
      </c>
      <c r="AY68" s="4">
        <f t="shared" si="32"/>
        <v>6</v>
      </c>
      <c r="BB68" s="4">
        <f t="shared" si="33"/>
        <v>6</v>
      </c>
      <c r="BE68" s="4">
        <f t="shared" si="34"/>
        <v>6</v>
      </c>
      <c r="BR68" s="5"/>
    </row>
    <row r="69" spans="1:70" x14ac:dyDescent="0.2">
      <c r="A69" s="4" t="s">
        <v>54</v>
      </c>
      <c r="B69" s="4">
        <v>177</v>
      </c>
      <c r="C69" s="4">
        <v>6</v>
      </c>
      <c r="D69" s="4">
        <v>6</v>
      </c>
      <c r="E69" s="284">
        <v>1988</v>
      </c>
      <c r="F69" s="5">
        <v>1957</v>
      </c>
      <c r="G69" s="5">
        <v>1904</v>
      </c>
      <c r="H69" s="5">
        <v>1884</v>
      </c>
      <c r="I69" s="5">
        <v>1844</v>
      </c>
      <c r="J69" s="5">
        <v>1800</v>
      </c>
      <c r="K69" s="5">
        <v>1786</v>
      </c>
      <c r="L69" s="5">
        <v>1768</v>
      </c>
      <c r="M69" s="5">
        <v>1708</v>
      </c>
      <c r="N69" s="5">
        <v>1674</v>
      </c>
      <c r="O69" s="5">
        <v>1647</v>
      </c>
      <c r="P69" s="5">
        <v>1622</v>
      </c>
      <c r="Q69" s="5">
        <v>1600</v>
      </c>
      <c r="R69" s="5">
        <v>1578</v>
      </c>
      <c r="S69" s="5">
        <v>1557</v>
      </c>
      <c r="T69" s="5">
        <v>1538</v>
      </c>
      <c r="U69" s="5"/>
      <c r="V69" s="5"/>
      <c r="X69" s="7">
        <f t="shared" si="36"/>
        <v>7</v>
      </c>
      <c r="AA69" s="24">
        <f t="shared" si="25"/>
        <v>7</v>
      </c>
      <c r="AD69" s="4">
        <f t="shared" si="26"/>
        <v>7</v>
      </c>
      <c r="AG69" s="4">
        <f t="shared" si="27"/>
        <v>7</v>
      </c>
      <c r="AJ69" s="4">
        <f t="shared" si="37"/>
        <v>7</v>
      </c>
      <c r="AM69" s="4">
        <f t="shared" si="28"/>
        <v>7</v>
      </c>
      <c r="AP69" s="4">
        <f t="shared" si="29"/>
        <v>7</v>
      </c>
      <c r="AS69" s="4">
        <f t="shared" si="30"/>
        <v>7</v>
      </c>
      <c r="AV69" s="4">
        <f t="shared" si="31"/>
        <v>7</v>
      </c>
      <c r="AY69" s="4">
        <f t="shared" si="32"/>
        <v>7</v>
      </c>
      <c r="BB69" s="4">
        <f t="shared" si="33"/>
        <v>7</v>
      </c>
      <c r="BE69" s="4">
        <f t="shared" si="34"/>
        <v>7</v>
      </c>
      <c r="BR69" s="5"/>
    </row>
    <row r="70" spans="1:70" x14ac:dyDescent="0.2">
      <c r="A70" s="4" t="s">
        <v>55</v>
      </c>
      <c r="B70" s="4">
        <v>178</v>
      </c>
      <c r="C70" s="4">
        <v>10</v>
      </c>
      <c r="D70" s="4">
        <v>10</v>
      </c>
      <c r="E70" s="284">
        <v>6548</v>
      </c>
      <c r="F70" s="5">
        <v>6421</v>
      </c>
      <c r="G70" s="5">
        <v>6334</v>
      </c>
      <c r="H70" s="5">
        <v>6225</v>
      </c>
      <c r="I70" s="5">
        <v>6116</v>
      </c>
      <c r="J70" s="5">
        <v>5932</v>
      </c>
      <c r="K70" s="5">
        <v>5887</v>
      </c>
      <c r="L70" s="5">
        <v>5769</v>
      </c>
      <c r="M70" s="5">
        <v>5734</v>
      </c>
      <c r="N70" s="5">
        <v>5522</v>
      </c>
      <c r="O70" s="5">
        <v>5433</v>
      </c>
      <c r="P70" s="5">
        <v>5347</v>
      </c>
      <c r="Q70" s="5">
        <v>5269</v>
      </c>
      <c r="R70" s="5">
        <v>5193</v>
      </c>
      <c r="S70" s="5">
        <v>5120</v>
      </c>
      <c r="T70" s="5">
        <v>5048</v>
      </c>
      <c r="U70" s="5"/>
      <c r="V70" s="5"/>
      <c r="X70" s="7">
        <f t="shared" si="36"/>
        <v>5</v>
      </c>
      <c r="AA70" s="24">
        <f t="shared" si="25"/>
        <v>5</v>
      </c>
      <c r="AD70" s="4">
        <f t="shared" si="26"/>
        <v>5</v>
      </c>
      <c r="AG70" s="4">
        <f t="shared" si="27"/>
        <v>5</v>
      </c>
      <c r="AJ70" s="4">
        <f t="shared" si="37"/>
        <v>5</v>
      </c>
      <c r="AM70" s="4">
        <f t="shared" si="28"/>
        <v>5</v>
      </c>
      <c r="AP70" s="4">
        <f t="shared" si="29"/>
        <v>5</v>
      </c>
      <c r="AS70" s="4">
        <f t="shared" si="30"/>
        <v>5</v>
      </c>
      <c r="AV70" s="4">
        <f t="shared" si="31"/>
        <v>5</v>
      </c>
      <c r="AY70" s="4">
        <f t="shared" si="32"/>
        <v>5</v>
      </c>
      <c r="BB70" s="4">
        <f t="shared" si="33"/>
        <v>5</v>
      </c>
      <c r="BE70" s="4">
        <f t="shared" si="34"/>
        <v>5</v>
      </c>
      <c r="BR70" s="5"/>
    </row>
    <row r="71" spans="1:70" x14ac:dyDescent="0.2">
      <c r="A71" s="4" t="s">
        <v>56</v>
      </c>
      <c r="B71" s="4">
        <v>179</v>
      </c>
      <c r="C71" s="4">
        <v>13</v>
      </c>
      <c r="D71" s="4">
        <v>13</v>
      </c>
      <c r="E71" s="284">
        <v>137368</v>
      </c>
      <c r="F71" s="5">
        <v>138850</v>
      </c>
      <c r="G71" s="5">
        <v>140188</v>
      </c>
      <c r="H71" s="5">
        <v>141305</v>
      </c>
      <c r="I71" s="5">
        <v>142400</v>
      </c>
      <c r="J71" s="5">
        <v>143420</v>
      </c>
      <c r="K71" s="5">
        <v>144473</v>
      </c>
      <c r="L71" s="5">
        <v>145887</v>
      </c>
      <c r="M71" s="5">
        <v>147746</v>
      </c>
      <c r="N71" s="5">
        <v>147567</v>
      </c>
      <c r="O71" s="5">
        <v>148403</v>
      </c>
      <c r="P71" s="5">
        <v>149175</v>
      </c>
      <c r="Q71" s="5">
        <v>149896</v>
      </c>
      <c r="R71" s="5">
        <v>150567</v>
      </c>
      <c r="S71" s="5">
        <v>151191</v>
      </c>
      <c r="T71" s="5">
        <v>151760</v>
      </c>
      <c r="U71" s="5"/>
      <c r="V71" s="5"/>
      <c r="X71" s="7">
        <f t="shared" si="36"/>
        <v>1</v>
      </c>
      <c r="AA71" s="24">
        <f t="shared" si="25"/>
        <v>1</v>
      </c>
      <c r="AD71" s="4">
        <f t="shared" si="26"/>
        <v>1</v>
      </c>
      <c r="AG71" s="4">
        <f t="shared" si="27"/>
        <v>1</v>
      </c>
      <c r="AJ71" s="4">
        <f t="shared" si="37"/>
        <v>1</v>
      </c>
      <c r="AM71" s="4">
        <f t="shared" si="28"/>
        <v>1</v>
      </c>
      <c r="AP71" s="4">
        <f t="shared" si="29"/>
        <v>1</v>
      </c>
      <c r="AS71" s="4">
        <f t="shared" si="30"/>
        <v>1</v>
      </c>
      <c r="AV71" s="4">
        <f t="shared" si="31"/>
        <v>1</v>
      </c>
      <c r="AY71" s="4">
        <f t="shared" si="32"/>
        <v>1</v>
      </c>
      <c r="BB71" s="4">
        <f t="shared" si="33"/>
        <v>1</v>
      </c>
      <c r="BE71" s="4">
        <f t="shared" si="34"/>
        <v>1</v>
      </c>
      <c r="BR71" s="5"/>
    </row>
    <row r="72" spans="1:70" x14ac:dyDescent="0.2">
      <c r="A72" s="4" t="s">
        <v>57</v>
      </c>
      <c r="B72" s="4">
        <v>181</v>
      </c>
      <c r="C72" s="4">
        <v>4</v>
      </c>
      <c r="D72" s="4">
        <v>4</v>
      </c>
      <c r="E72" s="284">
        <v>1948</v>
      </c>
      <c r="F72" s="5">
        <v>1915</v>
      </c>
      <c r="G72" s="5">
        <v>1867</v>
      </c>
      <c r="H72" s="5">
        <v>1809</v>
      </c>
      <c r="I72" s="5">
        <v>1739</v>
      </c>
      <c r="J72" s="5">
        <v>1707</v>
      </c>
      <c r="K72" s="5">
        <v>1685</v>
      </c>
      <c r="L72" s="5">
        <v>1683</v>
      </c>
      <c r="M72" s="5">
        <v>1682</v>
      </c>
      <c r="N72" s="5">
        <v>1564</v>
      </c>
      <c r="O72" s="5">
        <v>1535</v>
      </c>
      <c r="P72" s="5">
        <v>1507</v>
      </c>
      <c r="Q72" s="5">
        <v>1478</v>
      </c>
      <c r="R72" s="5">
        <v>1453</v>
      </c>
      <c r="S72" s="5">
        <v>1426</v>
      </c>
      <c r="T72" s="5">
        <v>1403</v>
      </c>
      <c r="U72" s="5"/>
      <c r="V72" s="5"/>
      <c r="X72" s="7">
        <f t="shared" si="36"/>
        <v>7</v>
      </c>
      <c r="AA72" s="24">
        <f t="shared" si="25"/>
        <v>7</v>
      </c>
      <c r="AD72" s="4">
        <f t="shared" si="26"/>
        <v>7</v>
      </c>
      <c r="AG72" s="4">
        <f t="shared" si="27"/>
        <v>7</v>
      </c>
      <c r="AJ72" s="4">
        <f t="shared" si="37"/>
        <v>7</v>
      </c>
      <c r="AM72" s="4">
        <f t="shared" si="28"/>
        <v>7</v>
      </c>
      <c r="AP72" s="4">
        <f t="shared" si="29"/>
        <v>7</v>
      </c>
      <c r="AS72" s="4">
        <f t="shared" si="30"/>
        <v>7</v>
      </c>
      <c r="AV72" s="4">
        <f t="shared" si="31"/>
        <v>7</v>
      </c>
      <c r="AY72" s="4">
        <f t="shared" si="32"/>
        <v>7</v>
      </c>
      <c r="BB72" s="4">
        <f t="shared" si="33"/>
        <v>7</v>
      </c>
      <c r="BE72" s="4">
        <f t="shared" si="34"/>
        <v>7</v>
      </c>
      <c r="BR72" s="5"/>
    </row>
    <row r="73" spans="1:70" x14ac:dyDescent="0.2">
      <c r="A73" s="4" t="s">
        <v>58</v>
      </c>
      <c r="B73" s="4">
        <v>182</v>
      </c>
      <c r="C73" s="4">
        <v>13</v>
      </c>
      <c r="D73" s="4">
        <v>13</v>
      </c>
      <c r="E73" s="284">
        <v>21542</v>
      </c>
      <c r="F73" s="5">
        <v>21259</v>
      </c>
      <c r="G73" s="5">
        <v>20877</v>
      </c>
      <c r="H73" s="5">
        <v>20607</v>
      </c>
      <c r="I73" s="5">
        <v>20182</v>
      </c>
      <c r="J73" s="5">
        <v>19887</v>
      </c>
      <c r="K73" s="5">
        <v>19767</v>
      </c>
      <c r="L73" s="5">
        <v>19347</v>
      </c>
      <c r="M73" s="5">
        <v>19182</v>
      </c>
      <c r="N73" s="5">
        <v>18626</v>
      </c>
      <c r="O73" s="5">
        <v>18362</v>
      </c>
      <c r="P73" s="5">
        <v>18104</v>
      </c>
      <c r="Q73" s="5">
        <v>17859</v>
      </c>
      <c r="R73" s="5">
        <v>17619</v>
      </c>
      <c r="S73" s="5">
        <v>17383</v>
      </c>
      <c r="T73" s="5">
        <v>17156</v>
      </c>
      <c r="U73" s="5"/>
      <c r="V73" s="5"/>
      <c r="X73" s="7">
        <f t="shared" si="36"/>
        <v>3</v>
      </c>
      <c r="AA73" s="24">
        <f t="shared" si="25"/>
        <v>4</v>
      </c>
      <c r="AD73" s="4">
        <f t="shared" si="26"/>
        <v>4</v>
      </c>
      <c r="AG73" s="4">
        <f t="shared" si="27"/>
        <v>4</v>
      </c>
      <c r="AJ73" s="4">
        <f t="shared" si="37"/>
        <v>4</v>
      </c>
      <c r="AM73" s="4">
        <f t="shared" si="28"/>
        <v>4</v>
      </c>
      <c r="AP73" s="4">
        <f t="shared" si="29"/>
        <v>4</v>
      </c>
      <c r="AS73" s="4">
        <f t="shared" si="30"/>
        <v>4</v>
      </c>
      <c r="AV73" s="4">
        <f t="shared" si="31"/>
        <v>4</v>
      </c>
      <c r="AY73" s="4">
        <f t="shared" si="32"/>
        <v>4</v>
      </c>
      <c r="BB73" s="4">
        <f t="shared" si="33"/>
        <v>4</v>
      </c>
      <c r="BE73" s="4">
        <f t="shared" si="34"/>
        <v>4</v>
      </c>
      <c r="BR73" s="5"/>
    </row>
    <row r="74" spans="1:70" x14ac:dyDescent="0.2">
      <c r="A74" s="4" t="s">
        <v>59</v>
      </c>
      <c r="B74" s="4">
        <v>186</v>
      </c>
      <c r="C74" s="4">
        <v>1</v>
      </c>
      <c r="D74" s="4">
        <v>35</v>
      </c>
      <c r="E74" s="284">
        <v>40900</v>
      </c>
      <c r="F74" s="5">
        <v>41529</v>
      </c>
      <c r="G74" s="5">
        <v>42572</v>
      </c>
      <c r="H74" s="5">
        <v>43410</v>
      </c>
      <c r="I74" s="5">
        <v>43711</v>
      </c>
      <c r="J74" s="5">
        <v>44455</v>
      </c>
      <c r="K74" s="5">
        <v>45226</v>
      </c>
      <c r="L74" s="5">
        <v>45630</v>
      </c>
      <c r="M74" s="5">
        <v>46490</v>
      </c>
      <c r="N74" s="5">
        <v>47160</v>
      </c>
      <c r="O74" s="5">
        <v>47765</v>
      </c>
      <c r="P74" s="5">
        <v>48340</v>
      </c>
      <c r="Q74" s="5">
        <v>48892</v>
      </c>
      <c r="R74" s="5">
        <v>49414</v>
      </c>
      <c r="S74" s="5">
        <v>49909</v>
      </c>
      <c r="T74" s="5">
        <v>50377</v>
      </c>
      <c r="U74" s="5"/>
      <c r="V74" s="5"/>
      <c r="X74" s="7">
        <f t="shared" si="36"/>
        <v>2</v>
      </c>
      <c r="AA74" s="24">
        <f t="shared" si="25"/>
        <v>2</v>
      </c>
      <c r="AD74" s="4">
        <f t="shared" si="26"/>
        <v>2</v>
      </c>
      <c r="AG74" s="4">
        <f t="shared" si="27"/>
        <v>2</v>
      </c>
      <c r="AJ74" s="4">
        <f t="shared" si="37"/>
        <v>2</v>
      </c>
      <c r="AM74" s="4">
        <f t="shared" si="28"/>
        <v>2</v>
      </c>
      <c r="AP74" s="4">
        <f t="shared" si="29"/>
        <v>2</v>
      </c>
      <c r="AS74" s="4">
        <f t="shared" si="30"/>
        <v>2</v>
      </c>
      <c r="AV74" s="4">
        <f t="shared" si="31"/>
        <v>2</v>
      </c>
      <c r="AY74" s="4">
        <f t="shared" si="32"/>
        <v>2</v>
      </c>
      <c r="BB74" s="4">
        <f t="shared" si="33"/>
        <v>2</v>
      </c>
      <c r="BE74" s="4">
        <f t="shared" si="34"/>
        <v>2</v>
      </c>
      <c r="BR74" s="5"/>
    </row>
    <row r="75" spans="1:70" x14ac:dyDescent="0.2">
      <c r="A75" s="4" t="s">
        <v>60</v>
      </c>
      <c r="B75" s="4">
        <v>202</v>
      </c>
      <c r="C75" s="4">
        <v>2</v>
      </c>
      <c r="D75" s="4">
        <v>2</v>
      </c>
      <c r="E75" s="284">
        <v>32590</v>
      </c>
      <c r="F75" s="5">
        <v>32738</v>
      </c>
      <c r="G75" s="5">
        <v>33099</v>
      </c>
      <c r="H75" s="5">
        <v>33458</v>
      </c>
      <c r="I75" s="5">
        <v>33937</v>
      </c>
      <c r="J75" s="5">
        <v>34667</v>
      </c>
      <c r="K75" s="5">
        <v>35497</v>
      </c>
      <c r="L75" s="5">
        <v>35848</v>
      </c>
      <c r="M75" s="5">
        <v>36339</v>
      </c>
      <c r="N75" s="5">
        <v>36541</v>
      </c>
      <c r="O75" s="5">
        <v>36948</v>
      </c>
      <c r="P75" s="5">
        <v>37335</v>
      </c>
      <c r="Q75" s="5">
        <v>37701</v>
      </c>
      <c r="R75" s="5">
        <v>38046</v>
      </c>
      <c r="S75" s="5">
        <v>38365</v>
      </c>
      <c r="T75" s="5">
        <v>38669</v>
      </c>
      <c r="U75" s="5"/>
      <c r="V75" s="5"/>
      <c r="X75" s="7">
        <f t="shared" si="36"/>
        <v>3</v>
      </c>
      <c r="AA75" s="24">
        <f t="shared" si="25"/>
        <v>3</v>
      </c>
      <c r="AD75" s="4">
        <f t="shared" si="26"/>
        <v>3</v>
      </c>
      <c r="AG75" s="4">
        <f t="shared" si="27"/>
        <v>3</v>
      </c>
      <c r="AJ75" s="4">
        <f t="shared" si="37"/>
        <v>3</v>
      </c>
      <c r="AM75" s="4">
        <f t="shared" si="28"/>
        <v>3</v>
      </c>
      <c r="AP75" s="4">
        <f t="shared" si="29"/>
        <v>3</v>
      </c>
      <c r="AS75" s="4">
        <f t="shared" si="30"/>
        <v>3</v>
      </c>
      <c r="AV75" s="4">
        <f t="shared" si="31"/>
        <v>3</v>
      </c>
      <c r="AY75" s="4">
        <f t="shared" si="32"/>
        <v>3</v>
      </c>
      <c r="BB75" s="4">
        <f t="shared" si="33"/>
        <v>3</v>
      </c>
      <c r="BE75" s="4">
        <f t="shared" si="34"/>
        <v>3</v>
      </c>
      <c r="BR75" s="5"/>
    </row>
    <row r="76" spans="1:70" x14ac:dyDescent="0.2">
      <c r="A76" s="4" t="s">
        <v>61</v>
      </c>
      <c r="B76" s="4">
        <v>204</v>
      </c>
      <c r="C76" s="4">
        <v>11</v>
      </c>
      <c r="D76" s="4">
        <v>11</v>
      </c>
      <c r="E76" s="284">
        <v>3194</v>
      </c>
      <c r="F76" s="5">
        <v>3154</v>
      </c>
      <c r="G76" s="5">
        <v>3048</v>
      </c>
      <c r="H76" s="5">
        <v>2990</v>
      </c>
      <c r="I76" s="5">
        <v>2893</v>
      </c>
      <c r="J76" s="5">
        <v>2807</v>
      </c>
      <c r="K76" s="5">
        <v>2778</v>
      </c>
      <c r="L76" s="5">
        <v>2689</v>
      </c>
      <c r="M76" s="5">
        <v>2628</v>
      </c>
      <c r="N76" s="5">
        <v>2573</v>
      </c>
      <c r="O76" s="5">
        <v>2529</v>
      </c>
      <c r="P76" s="5">
        <v>2489</v>
      </c>
      <c r="Q76" s="5">
        <v>2451</v>
      </c>
      <c r="R76" s="5">
        <v>2413</v>
      </c>
      <c r="S76" s="5">
        <v>2380</v>
      </c>
      <c r="T76" s="5">
        <v>2347</v>
      </c>
      <c r="U76" s="5"/>
      <c r="V76" s="5"/>
      <c r="X76" s="7">
        <f t="shared" si="36"/>
        <v>6</v>
      </c>
      <c r="AA76" s="24">
        <f t="shared" si="25"/>
        <v>6</v>
      </c>
      <c r="AD76" s="4">
        <f t="shared" si="26"/>
        <v>6</v>
      </c>
      <c r="AG76" s="4">
        <f t="shared" si="27"/>
        <v>6</v>
      </c>
      <c r="AJ76" s="4">
        <f t="shared" si="37"/>
        <v>6</v>
      </c>
      <c r="AM76" s="4">
        <f t="shared" si="28"/>
        <v>6</v>
      </c>
      <c r="AP76" s="4">
        <f t="shared" si="29"/>
        <v>6</v>
      </c>
      <c r="AS76" s="4">
        <f t="shared" si="30"/>
        <v>6</v>
      </c>
      <c r="AV76" s="4">
        <f t="shared" si="31"/>
        <v>6</v>
      </c>
      <c r="AY76" s="4">
        <f t="shared" si="32"/>
        <v>6</v>
      </c>
      <c r="BB76" s="4">
        <f t="shared" si="33"/>
        <v>6</v>
      </c>
      <c r="BE76" s="4">
        <f t="shared" si="34"/>
        <v>6</v>
      </c>
      <c r="BR76" s="5"/>
    </row>
    <row r="77" spans="1:70" x14ac:dyDescent="0.2">
      <c r="A77" s="4" t="s">
        <v>62</v>
      </c>
      <c r="B77" s="4">
        <v>205</v>
      </c>
      <c r="C77" s="4">
        <v>18</v>
      </c>
      <c r="D77" s="4">
        <v>18</v>
      </c>
      <c r="E77" s="284">
        <v>37622</v>
      </c>
      <c r="F77" s="5">
        <v>37521</v>
      </c>
      <c r="G77" s="5">
        <v>37239</v>
      </c>
      <c r="H77" s="5">
        <v>36973</v>
      </c>
      <c r="I77" s="5">
        <v>36709</v>
      </c>
      <c r="J77" s="5">
        <v>36567</v>
      </c>
      <c r="K77" s="5">
        <v>36493</v>
      </c>
      <c r="L77" s="5">
        <v>36297</v>
      </c>
      <c r="M77" s="5">
        <v>36513</v>
      </c>
      <c r="N77" s="5">
        <v>35887</v>
      </c>
      <c r="O77" s="5">
        <v>35702</v>
      </c>
      <c r="P77" s="5">
        <v>35510</v>
      </c>
      <c r="Q77" s="5">
        <v>35321</v>
      </c>
      <c r="R77" s="5">
        <v>35125</v>
      </c>
      <c r="S77" s="5">
        <v>34928</v>
      </c>
      <c r="T77" s="5">
        <v>34732</v>
      </c>
      <c r="U77" s="5"/>
      <c r="V77" s="5"/>
      <c r="X77" s="7">
        <f t="shared" si="36"/>
        <v>3</v>
      </c>
      <c r="AA77" s="24">
        <f t="shared" si="25"/>
        <v>3</v>
      </c>
      <c r="AD77" s="4">
        <f t="shared" si="26"/>
        <v>3</v>
      </c>
      <c r="AG77" s="4">
        <f t="shared" si="27"/>
        <v>3</v>
      </c>
      <c r="AJ77" s="4">
        <f t="shared" si="37"/>
        <v>3</v>
      </c>
      <c r="AM77" s="4">
        <f t="shared" si="28"/>
        <v>3</v>
      </c>
      <c r="AP77" s="4">
        <f t="shared" si="29"/>
        <v>3</v>
      </c>
      <c r="AS77" s="4">
        <f t="shared" si="30"/>
        <v>3</v>
      </c>
      <c r="AV77" s="4">
        <f t="shared" si="31"/>
        <v>3</v>
      </c>
      <c r="AY77" s="4">
        <f t="shared" si="32"/>
        <v>3</v>
      </c>
      <c r="BB77" s="4">
        <f t="shared" si="33"/>
        <v>3</v>
      </c>
      <c r="BE77" s="4">
        <f t="shared" si="34"/>
        <v>3</v>
      </c>
      <c r="BR77" s="5"/>
    </row>
    <row r="78" spans="1:70" x14ac:dyDescent="0.2">
      <c r="A78" s="4" t="s">
        <v>63</v>
      </c>
      <c r="B78" s="4">
        <v>208</v>
      </c>
      <c r="C78" s="4">
        <v>17</v>
      </c>
      <c r="D78" s="4">
        <v>17</v>
      </c>
      <c r="E78" s="284">
        <v>12621</v>
      </c>
      <c r="F78" s="5">
        <v>12586</v>
      </c>
      <c r="G78" s="5">
        <v>12516</v>
      </c>
      <c r="H78" s="5">
        <v>12387</v>
      </c>
      <c r="I78" s="5">
        <v>12373</v>
      </c>
      <c r="J78" s="5">
        <v>12400</v>
      </c>
      <c r="K78" s="5">
        <v>12412</v>
      </c>
      <c r="L78" s="5">
        <v>12335</v>
      </c>
      <c r="M78" s="5">
        <v>12372</v>
      </c>
      <c r="N78" s="5">
        <v>12216</v>
      </c>
      <c r="O78" s="5">
        <v>12159</v>
      </c>
      <c r="P78" s="5">
        <v>12100</v>
      </c>
      <c r="Q78" s="5">
        <v>12038</v>
      </c>
      <c r="R78" s="5">
        <v>11974</v>
      </c>
      <c r="S78" s="5">
        <v>11911</v>
      </c>
      <c r="T78" s="5">
        <v>11844</v>
      </c>
      <c r="U78" s="5"/>
      <c r="V78" s="5"/>
      <c r="X78" s="7">
        <f t="shared" si="36"/>
        <v>4</v>
      </c>
      <c r="AA78" s="24">
        <f t="shared" si="25"/>
        <v>4</v>
      </c>
      <c r="AD78" s="4">
        <f t="shared" si="26"/>
        <v>4</v>
      </c>
      <c r="AG78" s="4">
        <f t="shared" si="27"/>
        <v>4</v>
      </c>
      <c r="AJ78" s="4">
        <f t="shared" si="37"/>
        <v>4</v>
      </c>
      <c r="AM78" s="4">
        <f t="shared" si="28"/>
        <v>4</v>
      </c>
      <c r="AP78" s="4">
        <f t="shared" si="29"/>
        <v>4</v>
      </c>
      <c r="AS78" s="4">
        <f t="shared" si="30"/>
        <v>4</v>
      </c>
      <c r="AV78" s="4">
        <f t="shared" si="31"/>
        <v>4</v>
      </c>
      <c r="AY78" s="4">
        <f t="shared" si="32"/>
        <v>4</v>
      </c>
      <c r="BB78" s="4">
        <f t="shared" si="33"/>
        <v>4</v>
      </c>
      <c r="BE78" s="4">
        <f t="shared" si="34"/>
        <v>4</v>
      </c>
      <c r="BR78" s="5"/>
    </row>
    <row r="79" spans="1:70" x14ac:dyDescent="0.2">
      <c r="A79" s="4" t="s">
        <v>64</v>
      </c>
      <c r="B79" s="4">
        <v>211</v>
      </c>
      <c r="C79" s="4">
        <v>6</v>
      </c>
      <c r="D79" s="4">
        <v>6</v>
      </c>
      <c r="E79" s="284">
        <v>30607</v>
      </c>
      <c r="F79" s="5">
        <v>31190</v>
      </c>
      <c r="G79" s="5">
        <v>31437</v>
      </c>
      <c r="H79" s="5">
        <v>31676</v>
      </c>
      <c r="I79" s="5">
        <v>31868</v>
      </c>
      <c r="J79" s="5">
        <v>32214</v>
      </c>
      <c r="K79" s="5">
        <v>32622</v>
      </c>
      <c r="L79" s="5">
        <v>32959</v>
      </c>
      <c r="M79" s="5">
        <v>33473</v>
      </c>
      <c r="N79" s="5">
        <v>33227</v>
      </c>
      <c r="O79" s="5">
        <v>33456</v>
      </c>
      <c r="P79" s="5">
        <v>33672</v>
      </c>
      <c r="Q79" s="5">
        <v>33878</v>
      </c>
      <c r="R79" s="5">
        <v>34075</v>
      </c>
      <c r="S79" s="5">
        <v>34267</v>
      </c>
      <c r="T79" s="5">
        <v>34456</v>
      </c>
      <c r="U79" s="5"/>
      <c r="V79" s="5"/>
      <c r="X79" s="7">
        <f t="shared" si="36"/>
        <v>3</v>
      </c>
      <c r="AA79" s="24">
        <f t="shared" ref="AA79:AA142" si="44">IF(J79&gt;100000,1,IF(J79&gt;40000,2,IF(J79&gt;20000,3,IF(J79&gt;10000,4,IF(J79&gt;5000,5,IF(J79&gt;1999,6,IF(J79&gt;0,7,"")))))))</f>
        <v>3</v>
      </c>
      <c r="AD79" s="4">
        <f t="shared" ref="AD79:AD142" si="45">IF(K79&gt;100000,1,IF(K79&gt;40000,2,IF(K79&gt;20000,3,IF(K79&gt;10000,4,IF(K79&gt;5000,5,IF(K79&gt;1999,6,IF(K79&gt;0,7,"")))))))</f>
        <v>3</v>
      </c>
      <c r="AG79" s="4">
        <f t="shared" ref="AG79:AG142" si="46">IF(L79&gt;100000,1,IF(L79&gt;40000,2,IF(L79&gt;20000,3,IF(L79&gt;10000,4,IF(L79&gt;5000,5,IF(L79&gt;1999,6,IF(L79&gt;0,7,"")))))))</f>
        <v>3</v>
      </c>
      <c r="AJ79" s="4">
        <f t="shared" ref="AJ79:AJ142" si="47">IF(M79&gt;100000,1,IF(M79&gt;40000,2,IF(M79&gt;20000,3,IF(M79&gt;10000,4,IF(M79&gt;5000,5,IF(M79&gt;1999,6,IF(M79&gt;0,7,"")))))))</f>
        <v>3</v>
      </c>
      <c r="AM79" s="4">
        <f t="shared" ref="AM79:AM142" si="48">IF(N79&gt;100000,1,IF(N79&gt;40000,2,IF(N79&gt;20000,3,IF(N79&gt;10000,4,IF(N79&gt;5000,5,IF(N79&gt;1999,6,IF(N79&gt;0,7,"")))))))</f>
        <v>3</v>
      </c>
      <c r="AP79" s="4">
        <f t="shared" ref="AP79:AP142" si="49">IF(O79&gt;100000,1,IF(O79&gt;40000,2,IF(O79&gt;20000,3,IF(O79&gt;10000,4,IF(O79&gt;5000,5,IF(O79&gt;1999,6,IF(O79&gt;0,7,"")))))))</f>
        <v>3</v>
      </c>
      <c r="AS79" s="4">
        <f t="shared" ref="AS79:AS142" si="50">IF(P79&gt;100000,1,IF(P79&gt;40000,2,IF(P79&gt;20000,3,IF(P79&gt;10000,4,IF(P79&gt;5000,5,IF(P79&gt;1999,6,IF(P79&gt;0,7,"")))))))</f>
        <v>3</v>
      </c>
      <c r="AV79" s="4">
        <f t="shared" ref="AV79:AV142" si="51">IF(Q79&gt;100000,1,IF(Q79&gt;40000,2,IF(Q79&gt;20000,3,IF(Q79&gt;10000,4,IF(Q79&gt;5000,5,IF(Q79&gt;1999,6,IF(Q79&gt;0,7,"")))))))</f>
        <v>3</v>
      </c>
      <c r="AY79" s="4">
        <f t="shared" ref="AY79:AY142" si="52">IF(R79&gt;100000,1,IF(R79&gt;40000,2,IF(R79&gt;20000,3,IF(R79&gt;10000,4,IF(R79&gt;5000,5,IF(R79&gt;1999,6,IF(R79&gt;0,7,"")))))))</f>
        <v>3</v>
      </c>
      <c r="BB79" s="4">
        <f t="shared" ref="BB79:BB142" si="53">IF(S79&gt;100000,1,IF(S79&gt;40000,2,IF(S79&gt;20000,3,IF(S79&gt;10000,4,IF(S79&gt;5000,5,IF(S79&gt;1999,6,IF(S79&gt;0,7,"")))))))</f>
        <v>3</v>
      </c>
      <c r="BE79" s="4">
        <f t="shared" ref="BE79:BE142" si="54">IF(T79&gt;100000,1,IF(T79&gt;40000,2,IF(T79&gt;20000,3,IF(T79&gt;10000,4,IF(T79&gt;5000,5,IF(T79&gt;1999,6,IF(T79&gt;0,7,"")))))))</f>
        <v>3</v>
      </c>
      <c r="BR79" s="5"/>
    </row>
    <row r="80" spans="1:70" x14ac:dyDescent="0.2">
      <c r="A80" s="4" t="s">
        <v>65</v>
      </c>
      <c r="B80" s="4">
        <v>213</v>
      </c>
      <c r="C80" s="4">
        <v>10</v>
      </c>
      <c r="D80" s="4">
        <v>10</v>
      </c>
      <c r="E80" s="284">
        <v>5628</v>
      </c>
      <c r="F80" s="5">
        <v>5603</v>
      </c>
      <c r="G80" s="5">
        <v>5549</v>
      </c>
      <c r="H80" s="5">
        <v>5452</v>
      </c>
      <c r="I80" s="5">
        <v>5356</v>
      </c>
      <c r="J80" s="5">
        <v>5312</v>
      </c>
      <c r="K80" s="5">
        <v>5230</v>
      </c>
      <c r="L80" s="5">
        <v>5154</v>
      </c>
      <c r="M80" s="5">
        <v>5114</v>
      </c>
      <c r="N80" s="5">
        <v>5067</v>
      </c>
      <c r="O80" s="5">
        <v>5011</v>
      </c>
      <c r="P80" s="5">
        <v>4957</v>
      </c>
      <c r="Q80" s="5">
        <v>4904</v>
      </c>
      <c r="R80" s="5">
        <v>4853</v>
      </c>
      <c r="S80" s="5">
        <v>4804</v>
      </c>
      <c r="T80" s="5">
        <v>4756</v>
      </c>
      <c r="U80" s="5"/>
      <c r="V80" s="5"/>
      <c r="X80" s="7">
        <f t="shared" ref="X80:X143" si="55">IF(I80&gt;100000,1,IF(I80&gt;40000,2,IF(I80&gt;20000,3,IF(I80&gt;10000,4,IF(I80&gt;5000,5,IF(I80&gt;1999,6,IF(I80&gt;0,7,"")))))))</f>
        <v>5</v>
      </c>
      <c r="AA80" s="24">
        <f t="shared" si="44"/>
        <v>5</v>
      </c>
      <c r="AD80" s="4">
        <f t="shared" si="45"/>
        <v>5</v>
      </c>
      <c r="AG80" s="4">
        <f t="shared" si="46"/>
        <v>5</v>
      </c>
      <c r="AJ80" s="4">
        <f t="shared" si="47"/>
        <v>5</v>
      </c>
      <c r="AM80" s="4">
        <f t="shared" si="48"/>
        <v>5</v>
      </c>
      <c r="AP80" s="4">
        <f t="shared" si="49"/>
        <v>5</v>
      </c>
      <c r="AS80" s="4">
        <f t="shared" si="50"/>
        <v>6</v>
      </c>
      <c r="AV80" s="4">
        <f t="shared" si="51"/>
        <v>6</v>
      </c>
      <c r="AY80" s="4">
        <f t="shared" si="52"/>
        <v>6</v>
      </c>
      <c r="BB80" s="4">
        <f t="shared" si="53"/>
        <v>6</v>
      </c>
      <c r="BE80" s="4">
        <f t="shared" si="54"/>
        <v>6</v>
      </c>
      <c r="BR80" s="5"/>
    </row>
    <row r="81" spans="1:70" x14ac:dyDescent="0.2">
      <c r="A81" s="4" t="s">
        <v>66</v>
      </c>
      <c r="B81" s="4">
        <v>214</v>
      </c>
      <c r="C81" s="4">
        <v>4</v>
      </c>
      <c r="D81" s="4">
        <v>4</v>
      </c>
      <c r="E81" s="284">
        <v>13562</v>
      </c>
      <c r="F81" s="5">
        <v>13396</v>
      </c>
      <c r="G81" s="5">
        <v>13292</v>
      </c>
      <c r="H81" s="5">
        <v>13137</v>
      </c>
      <c r="I81" s="5">
        <v>12906</v>
      </c>
      <c r="J81" s="5">
        <v>12758</v>
      </c>
      <c r="K81" s="5">
        <v>12662</v>
      </c>
      <c r="L81" s="5">
        <v>12528</v>
      </c>
      <c r="M81" s="5">
        <v>12394</v>
      </c>
      <c r="N81" s="5">
        <v>12137</v>
      </c>
      <c r="O81" s="5">
        <v>11998</v>
      </c>
      <c r="P81" s="5">
        <v>11866</v>
      </c>
      <c r="Q81" s="5">
        <v>11741</v>
      </c>
      <c r="R81" s="5">
        <v>11619</v>
      </c>
      <c r="S81" s="5">
        <v>11501</v>
      </c>
      <c r="T81" s="5">
        <v>11383</v>
      </c>
      <c r="U81" s="5"/>
      <c r="V81" s="5"/>
      <c r="X81" s="7">
        <f t="shared" si="55"/>
        <v>4</v>
      </c>
      <c r="AA81" s="24">
        <f t="shared" si="44"/>
        <v>4</v>
      </c>
      <c r="AD81" s="4">
        <f t="shared" si="45"/>
        <v>4</v>
      </c>
      <c r="AG81" s="4">
        <f t="shared" si="46"/>
        <v>4</v>
      </c>
      <c r="AJ81" s="4">
        <f t="shared" si="47"/>
        <v>4</v>
      </c>
      <c r="AM81" s="4">
        <f t="shared" si="48"/>
        <v>4</v>
      </c>
      <c r="AP81" s="4">
        <f t="shared" si="49"/>
        <v>4</v>
      </c>
      <c r="AS81" s="4">
        <f t="shared" si="50"/>
        <v>4</v>
      </c>
      <c r="AV81" s="4">
        <f t="shared" si="51"/>
        <v>4</v>
      </c>
      <c r="AY81" s="4">
        <f t="shared" si="52"/>
        <v>4</v>
      </c>
      <c r="BB81" s="4">
        <f t="shared" si="53"/>
        <v>4</v>
      </c>
      <c r="BE81" s="4">
        <f t="shared" si="54"/>
        <v>4</v>
      </c>
      <c r="BR81" s="5"/>
    </row>
    <row r="82" spans="1:70" x14ac:dyDescent="0.2">
      <c r="A82" s="4" t="s">
        <v>67</v>
      </c>
      <c r="B82" s="4">
        <v>216</v>
      </c>
      <c r="C82" s="4">
        <v>13</v>
      </c>
      <c r="D82" s="4">
        <v>13</v>
      </c>
      <c r="E82" s="284">
        <v>1462</v>
      </c>
      <c r="F82" s="5">
        <v>1424</v>
      </c>
      <c r="G82" s="5">
        <v>1408</v>
      </c>
      <c r="H82" s="5">
        <v>1353</v>
      </c>
      <c r="I82" s="5">
        <v>1339</v>
      </c>
      <c r="J82" s="5">
        <v>1323</v>
      </c>
      <c r="K82" s="5">
        <v>1311</v>
      </c>
      <c r="L82" s="5">
        <v>1269</v>
      </c>
      <c r="M82" s="5">
        <v>1217</v>
      </c>
      <c r="N82" s="5">
        <v>1242</v>
      </c>
      <c r="O82" s="5">
        <v>1224</v>
      </c>
      <c r="P82" s="5">
        <v>1210</v>
      </c>
      <c r="Q82" s="5">
        <v>1194</v>
      </c>
      <c r="R82" s="5">
        <v>1179</v>
      </c>
      <c r="S82" s="5">
        <v>1165</v>
      </c>
      <c r="T82" s="5">
        <v>1151</v>
      </c>
      <c r="U82" s="5"/>
      <c r="V82" s="5"/>
      <c r="X82" s="7">
        <f t="shared" si="55"/>
        <v>7</v>
      </c>
      <c r="AA82" s="24">
        <f t="shared" si="44"/>
        <v>7</v>
      </c>
      <c r="AD82" s="4">
        <f t="shared" si="45"/>
        <v>7</v>
      </c>
      <c r="AG82" s="4">
        <f t="shared" si="46"/>
        <v>7</v>
      </c>
      <c r="AJ82" s="4">
        <f t="shared" si="47"/>
        <v>7</v>
      </c>
      <c r="AM82" s="4">
        <f t="shared" si="48"/>
        <v>7</v>
      </c>
      <c r="AP82" s="4">
        <f t="shared" si="49"/>
        <v>7</v>
      </c>
      <c r="AS82" s="4">
        <f t="shared" si="50"/>
        <v>7</v>
      </c>
      <c r="AV82" s="4">
        <f t="shared" si="51"/>
        <v>7</v>
      </c>
      <c r="AY82" s="4">
        <f t="shared" si="52"/>
        <v>7</v>
      </c>
      <c r="BB82" s="4">
        <f t="shared" si="53"/>
        <v>7</v>
      </c>
      <c r="BE82" s="4">
        <f t="shared" si="54"/>
        <v>7</v>
      </c>
      <c r="BR82" s="5"/>
    </row>
    <row r="83" spans="1:70" x14ac:dyDescent="0.2">
      <c r="A83" s="4" t="s">
        <v>68</v>
      </c>
      <c r="B83" s="4">
        <v>217</v>
      </c>
      <c r="C83" s="4">
        <v>16</v>
      </c>
      <c r="D83" s="4">
        <v>16</v>
      </c>
      <c r="E83" s="284">
        <v>5590</v>
      </c>
      <c r="F83" s="5">
        <v>5578</v>
      </c>
      <c r="G83" s="5">
        <v>5520</v>
      </c>
      <c r="H83" s="5">
        <v>5502</v>
      </c>
      <c r="I83" s="5">
        <v>5464</v>
      </c>
      <c r="J83" s="5">
        <v>5426</v>
      </c>
      <c r="K83" s="5">
        <v>5390</v>
      </c>
      <c r="L83" s="5">
        <v>5352</v>
      </c>
      <c r="M83" s="5">
        <v>5246</v>
      </c>
      <c r="N83" s="5">
        <v>5279</v>
      </c>
      <c r="O83" s="5">
        <v>5245</v>
      </c>
      <c r="P83" s="5">
        <v>5214</v>
      </c>
      <c r="Q83" s="5">
        <v>5185</v>
      </c>
      <c r="R83" s="5">
        <v>5155</v>
      </c>
      <c r="S83" s="5">
        <v>5122</v>
      </c>
      <c r="T83" s="5">
        <v>5087</v>
      </c>
      <c r="U83" s="5"/>
      <c r="V83" s="5"/>
      <c r="X83" s="7">
        <f t="shared" si="55"/>
        <v>5</v>
      </c>
      <c r="AA83" s="24">
        <f t="shared" si="44"/>
        <v>5</v>
      </c>
      <c r="AD83" s="4">
        <f t="shared" si="45"/>
        <v>5</v>
      </c>
      <c r="AG83" s="4">
        <f t="shared" si="46"/>
        <v>5</v>
      </c>
      <c r="AJ83" s="4">
        <f t="shared" si="47"/>
        <v>5</v>
      </c>
      <c r="AM83" s="4">
        <f t="shared" si="48"/>
        <v>5</v>
      </c>
      <c r="AP83" s="4">
        <f t="shared" si="49"/>
        <v>5</v>
      </c>
      <c r="AS83" s="4">
        <f t="shared" si="50"/>
        <v>5</v>
      </c>
      <c r="AV83" s="4">
        <f t="shared" si="51"/>
        <v>5</v>
      </c>
      <c r="AY83" s="4">
        <f t="shared" si="52"/>
        <v>5</v>
      </c>
      <c r="BB83" s="4">
        <f t="shared" si="53"/>
        <v>5</v>
      </c>
      <c r="BE83" s="4">
        <f t="shared" si="54"/>
        <v>5</v>
      </c>
      <c r="BR83" s="5"/>
    </row>
    <row r="84" spans="1:70" x14ac:dyDescent="0.2">
      <c r="A84" s="4" t="s">
        <v>69</v>
      </c>
      <c r="B84" s="4">
        <v>218</v>
      </c>
      <c r="C84" s="4">
        <v>14</v>
      </c>
      <c r="D84" s="4">
        <v>14</v>
      </c>
      <c r="E84" s="284">
        <v>1369</v>
      </c>
      <c r="F84" s="5">
        <v>1349</v>
      </c>
      <c r="G84" s="5">
        <v>1329</v>
      </c>
      <c r="H84" s="5">
        <v>1274</v>
      </c>
      <c r="I84" s="5">
        <v>1245</v>
      </c>
      <c r="J84" s="5">
        <v>1207</v>
      </c>
      <c r="K84" s="5">
        <v>1192</v>
      </c>
      <c r="L84" s="5">
        <v>1200</v>
      </c>
      <c r="M84" s="5">
        <v>1188</v>
      </c>
      <c r="N84" s="5">
        <v>1107</v>
      </c>
      <c r="O84" s="5">
        <v>1088</v>
      </c>
      <c r="P84" s="5">
        <v>1071</v>
      </c>
      <c r="Q84" s="5">
        <v>1052</v>
      </c>
      <c r="R84" s="5">
        <v>1039</v>
      </c>
      <c r="S84" s="5">
        <v>1023</v>
      </c>
      <c r="T84" s="5">
        <v>1010</v>
      </c>
      <c r="U84" s="5"/>
      <c r="V84" s="5"/>
      <c r="X84" s="7">
        <f t="shared" si="55"/>
        <v>7</v>
      </c>
      <c r="AA84" s="24">
        <f t="shared" si="44"/>
        <v>7</v>
      </c>
      <c r="AD84" s="4">
        <f t="shared" si="45"/>
        <v>7</v>
      </c>
      <c r="AG84" s="4">
        <f t="shared" si="46"/>
        <v>7</v>
      </c>
      <c r="AJ84" s="4">
        <f t="shared" si="47"/>
        <v>7</v>
      </c>
      <c r="AM84" s="4">
        <f t="shared" si="48"/>
        <v>7</v>
      </c>
      <c r="AP84" s="4">
        <f t="shared" si="49"/>
        <v>7</v>
      </c>
      <c r="AS84" s="4">
        <f t="shared" si="50"/>
        <v>7</v>
      </c>
      <c r="AV84" s="4">
        <f t="shared" si="51"/>
        <v>7</v>
      </c>
      <c r="AY84" s="4">
        <f t="shared" si="52"/>
        <v>7</v>
      </c>
      <c r="BB84" s="4">
        <f t="shared" si="53"/>
        <v>7</v>
      </c>
      <c r="BE84" s="4">
        <f t="shared" si="54"/>
        <v>7</v>
      </c>
      <c r="BR84" s="5"/>
    </row>
    <row r="85" spans="1:70" x14ac:dyDescent="0.2">
      <c r="A85" s="4" t="s">
        <v>70</v>
      </c>
      <c r="B85" s="4">
        <v>224</v>
      </c>
      <c r="C85" s="4">
        <v>1</v>
      </c>
      <c r="D85" s="4">
        <v>33</v>
      </c>
      <c r="E85" s="284">
        <v>8969</v>
      </c>
      <c r="F85" s="5">
        <v>8911</v>
      </c>
      <c r="G85" s="5">
        <v>8900</v>
      </c>
      <c r="H85" s="5">
        <v>8778</v>
      </c>
      <c r="I85" s="5">
        <v>8714</v>
      </c>
      <c r="J85" s="5">
        <v>8696</v>
      </c>
      <c r="K85" s="5">
        <v>8717</v>
      </c>
      <c r="L85" s="5">
        <v>8603</v>
      </c>
      <c r="M85" s="5">
        <v>8581</v>
      </c>
      <c r="N85" s="5">
        <v>8469</v>
      </c>
      <c r="O85" s="5">
        <v>8424</v>
      </c>
      <c r="P85" s="5">
        <v>8386</v>
      </c>
      <c r="Q85" s="5">
        <v>8349</v>
      </c>
      <c r="R85" s="5">
        <v>8315</v>
      </c>
      <c r="S85" s="5">
        <v>8285</v>
      </c>
      <c r="T85" s="5">
        <v>8260</v>
      </c>
      <c r="U85" s="5"/>
      <c r="V85" s="5"/>
      <c r="X85" s="7">
        <f t="shared" si="55"/>
        <v>5</v>
      </c>
      <c r="AA85" s="24">
        <f t="shared" si="44"/>
        <v>5</v>
      </c>
      <c r="AD85" s="4">
        <f t="shared" si="45"/>
        <v>5</v>
      </c>
      <c r="AG85" s="4">
        <f t="shared" si="46"/>
        <v>5</v>
      </c>
      <c r="AJ85" s="4">
        <f t="shared" si="47"/>
        <v>5</v>
      </c>
      <c r="AM85" s="4">
        <f t="shared" si="48"/>
        <v>5</v>
      </c>
      <c r="AP85" s="4">
        <f t="shared" si="49"/>
        <v>5</v>
      </c>
      <c r="AS85" s="4">
        <f t="shared" si="50"/>
        <v>5</v>
      </c>
      <c r="AV85" s="4">
        <f t="shared" si="51"/>
        <v>5</v>
      </c>
      <c r="AY85" s="4">
        <f t="shared" si="52"/>
        <v>5</v>
      </c>
      <c r="BB85" s="4">
        <f t="shared" si="53"/>
        <v>5</v>
      </c>
      <c r="BE85" s="4">
        <f t="shared" si="54"/>
        <v>5</v>
      </c>
      <c r="BR85" s="5"/>
    </row>
    <row r="86" spans="1:70" x14ac:dyDescent="0.2">
      <c r="A86" s="4" t="s">
        <v>71</v>
      </c>
      <c r="B86" s="4">
        <v>226</v>
      </c>
      <c r="C86" s="4">
        <v>13</v>
      </c>
      <c r="D86" s="4">
        <v>13</v>
      </c>
      <c r="E86" s="284">
        <v>4268</v>
      </c>
      <c r="F86" s="5">
        <v>4232</v>
      </c>
      <c r="G86" s="5">
        <v>4146</v>
      </c>
      <c r="H86" s="5">
        <v>4031</v>
      </c>
      <c r="I86" s="5">
        <v>3949</v>
      </c>
      <c r="J86" s="5">
        <v>3858</v>
      </c>
      <c r="K86" s="5">
        <v>3774</v>
      </c>
      <c r="L86" s="5">
        <v>3665</v>
      </c>
      <c r="M86" s="5">
        <v>3625</v>
      </c>
      <c r="N86" s="5">
        <v>3564</v>
      </c>
      <c r="O86" s="5">
        <v>3499</v>
      </c>
      <c r="P86" s="5">
        <v>3436</v>
      </c>
      <c r="Q86" s="5">
        <v>3375</v>
      </c>
      <c r="R86" s="5">
        <v>3317</v>
      </c>
      <c r="S86" s="5">
        <v>3264</v>
      </c>
      <c r="T86" s="5">
        <v>3211</v>
      </c>
      <c r="U86" s="5"/>
      <c r="V86" s="5"/>
      <c r="X86" s="7">
        <f t="shared" si="55"/>
        <v>6</v>
      </c>
      <c r="AA86" s="24">
        <f t="shared" si="44"/>
        <v>6</v>
      </c>
      <c r="AD86" s="4">
        <f t="shared" si="45"/>
        <v>6</v>
      </c>
      <c r="AG86" s="4">
        <f t="shared" si="46"/>
        <v>6</v>
      </c>
      <c r="AJ86" s="4">
        <f t="shared" si="47"/>
        <v>6</v>
      </c>
      <c r="AM86" s="4">
        <f t="shared" si="48"/>
        <v>6</v>
      </c>
      <c r="AP86" s="4">
        <f t="shared" si="49"/>
        <v>6</v>
      </c>
      <c r="AS86" s="4">
        <f t="shared" si="50"/>
        <v>6</v>
      </c>
      <c r="AV86" s="4">
        <f t="shared" si="51"/>
        <v>6</v>
      </c>
      <c r="AY86" s="4">
        <f t="shared" si="52"/>
        <v>6</v>
      </c>
      <c r="BB86" s="4">
        <f t="shared" si="53"/>
        <v>6</v>
      </c>
      <c r="BE86" s="4">
        <f t="shared" si="54"/>
        <v>6</v>
      </c>
      <c r="BR86" s="5"/>
    </row>
    <row r="87" spans="1:70" x14ac:dyDescent="0.2">
      <c r="A87" s="4" t="s">
        <v>72</v>
      </c>
      <c r="B87" s="4">
        <v>230</v>
      </c>
      <c r="C87" s="4">
        <v>4</v>
      </c>
      <c r="D87" s="4">
        <v>4</v>
      </c>
      <c r="E87" s="284">
        <v>2475</v>
      </c>
      <c r="F87" s="5">
        <v>2449</v>
      </c>
      <c r="G87" s="5">
        <v>2403</v>
      </c>
      <c r="H87" s="5">
        <v>2390</v>
      </c>
      <c r="I87" s="5">
        <v>2342</v>
      </c>
      <c r="J87" s="5">
        <v>2322</v>
      </c>
      <c r="K87" s="5">
        <v>2290</v>
      </c>
      <c r="L87" s="5">
        <v>2240</v>
      </c>
      <c r="M87" s="5">
        <v>2216</v>
      </c>
      <c r="N87" s="5">
        <v>2209</v>
      </c>
      <c r="O87" s="5">
        <v>2183</v>
      </c>
      <c r="P87" s="5">
        <v>2161</v>
      </c>
      <c r="Q87" s="5">
        <v>2140</v>
      </c>
      <c r="R87" s="5">
        <v>2120</v>
      </c>
      <c r="S87" s="5">
        <v>2100</v>
      </c>
      <c r="T87" s="5">
        <v>2082</v>
      </c>
      <c r="U87" s="5"/>
      <c r="V87" s="5"/>
      <c r="X87" s="7">
        <f t="shared" si="55"/>
        <v>6</v>
      </c>
      <c r="AA87" s="24">
        <f t="shared" si="44"/>
        <v>6</v>
      </c>
      <c r="AD87" s="4">
        <f t="shared" si="45"/>
        <v>6</v>
      </c>
      <c r="AG87" s="4">
        <f t="shared" si="46"/>
        <v>6</v>
      </c>
      <c r="AJ87" s="4">
        <f t="shared" si="47"/>
        <v>6</v>
      </c>
      <c r="AM87" s="4">
        <f t="shared" si="48"/>
        <v>6</v>
      </c>
      <c r="AP87" s="4">
        <f t="shared" si="49"/>
        <v>6</v>
      </c>
      <c r="AS87" s="4">
        <f t="shared" si="50"/>
        <v>6</v>
      </c>
      <c r="AV87" s="4">
        <f t="shared" si="51"/>
        <v>6</v>
      </c>
      <c r="AY87" s="4">
        <f t="shared" si="52"/>
        <v>6</v>
      </c>
      <c r="BB87" s="4">
        <f t="shared" si="53"/>
        <v>6</v>
      </c>
      <c r="BE87" s="4">
        <f t="shared" si="54"/>
        <v>6</v>
      </c>
      <c r="BR87" s="5"/>
    </row>
    <row r="88" spans="1:70" x14ac:dyDescent="0.2">
      <c r="A88" s="4" t="s">
        <v>73</v>
      </c>
      <c r="B88" s="4">
        <v>231</v>
      </c>
      <c r="C88" s="4">
        <v>15</v>
      </c>
      <c r="D88" s="4">
        <v>15</v>
      </c>
      <c r="E88" s="284">
        <v>1285</v>
      </c>
      <c r="F88" s="5">
        <v>1296</v>
      </c>
      <c r="G88" s="5">
        <v>1274</v>
      </c>
      <c r="H88" s="5">
        <v>1262</v>
      </c>
      <c r="I88" s="5">
        <v>1246</v>
      </c>
      <c r="J88" s="5">
        <v>1278</v>
      </c>
      <c r="K88" s="5">
        <v>1289</v>
      </c>
      <c r="L88" s="5">
        <v>1256</v>
      </c>
      <c r="M88" s="5">
        <v>1208</v>
      </c>
      <c r="N88" s="5">
        <v>1302</v>
      </c>
      <c r="O88" s="5">
        <v>1306</v>
      </c>
      <c r="P88" s="5">
        <v>1311</v>
      </c>
      <c r="Q88" s="5">
        <v>1314</v>
      </c>
      <c r="R88" s="5">
        <v>1317</v>
      </c>
      <c r="S88" s="5">
        <v>1318</v>
      </c>
      <c r="T88" s="5">
        <v>1319</v>
      </c>
      <c r="U88" s="5"/>
      <c r="V88" s="5"/>
      <c r="X88" s="7">
        <f t="shared" si="55"/>
        <v>7</v>
      </c>
      <c r="AA88" s="24">
        <f t="shared" si="44"/>
        <v>7</v>
      </c>
      <c r="AD88" s="4">
        <f t="shared" si="45"/>
        <v>7</v>
      </c>
      <c r="AG88" s="4">
        <f t="shared" si="46"/>
        <v>7</v>
      </c>
      <c r="AJ88" s="4">
        <f t="shared" si="47"/>
        <v>7</v>
      </c>
      <c r="AM88" s="4">
        <f t="shared" si="48"/>
        <v>7</v>
      </c>
      <c r="AP88" s="4">
        <f t="shared" si="49"/>
        <v>7</v>
      </c>
      <c r="AS88" s="4">
        <f t="shared" si="50"/>
        <v>7</v>
      </c>
      <c r="AV88" s="4">
        <f t="shared" si="51"/>
        <v>7</v>
      </c>
      <c r="AY88" s="4">
        <f t="shared" si="52"/>
        <v>7</v>
      </c>
      <c r="BB88" s="4">
        <f t="shared" si="53"/>
        <v>7</v>
      </c>
      <c r="BE88" s="4">
        <f t="shared" si="54"/>
        <v>7</v>
      </c>
      <c r="BR88" s="5"/>
    </row>
    <row r="89" spans="1:70" x14ac:dyDescent="0.2">
      <c r="A89" s="4" t="s">
        <v>74</v>
      </c>
      <c r="B89" s="4">
        <v>232</v>
      </c>
      <c r="C89" s="4">
        <v>14</v>
      </c>
      <c r="D89" s="4">
        <v>14</v>
      </c>
      <c r="E89" s="284">
        <v>13875</v>
      </c>
      <c r="F89" s="5">
        <v>13772</v>
      </c>
      <c r="G89" s="5">
        <v>13610</v>
      </c>
      <c r="H89" s="5">
        <v>13375</v>
      </c>
      <c r="I89" s="5">
        <v>13184</v>
      </c>
      <c r="J89" s="5">
        <v>13007</v>
      </c>
      <c r="K89" s="5">
        <v>12890</v>
      </c>
      <c r="L89" s="5">
        <v>12750</v>
      </c>
      <c r="M89" s="5">
        <v>12618</v>
      </c>
      <c r="N89" s="5">
        <v>12386</v>
      </c>
      <c r="O89" s="5">
        <v>12251</v>
      </c>
      <c r="P89" s="5">
        <v>12120</v>
      </c>
      <c r="Q89" s="5">
        <v>11989</v>
      </c>
      <c r="R89" s="5">
        <v>11855</v>
      </c>
      <c r="S89" s="5">
        <v>11723</v>
      </c>
      <c r="T89" s="5">
        <v>11592</v>
      </c>
      <c r="U89" s="5"/>
      <c r="V89" s="5"/>
      <c r="X89" s="7">
        <f t="shared" si="55"/>
        <v>4</v>
      </c>
      <c r="AA89" s="24">
        <f t="shared" si="44"/>
        <v>4</v>
      </c>
      <c r="AD89" s="4">
        <f t="shared" si="45"/>
        <v>4</v>
      </c>
      <c r="AG89" s="4">
        <f t="shared" si="46"/>
        <v>4</v>
      </c>
      <c r="AJ89" s="4">
        <f t="shared" si="47"/>
        <v>4</v>
      </c>
      <c r="AM89" s="4">
        <f t="shared" si="48"/>
        <v>4</v>
      </c>
      <c r="AP89" s="4">
        <f t="shared" si="49"/>
        <v>4</v>
      </c>
      <c r="AS89" s="4">
        <f t="shared" si="50"/>
        <v>4</v>
      </c>
      <c r="AV89" s="4">
        <f t="shared" si="51"/>
        <v>4</v>
      </c>
      <c r="AY89" s="4">
        <f t="shared" si="52"/>
        <v>4</v>
      </c>
      <c r="BB89" s="4">
        <f t="shared" si="53"/>
        <v>4</v>
      </c>
      <c r="BE89" s="4">
        <f t="shared" si="54"/>
        <v>4</v>
      </c>
      <c r="BR89" s="5"/>
    </row>
    <row r="90" spans="1:70" x14ac:dyDescent="0.2">
      <c r="A90" s="4" t="s">
        <v>75</v>
      </c>
      <c r="B90" s="4">
        <v>233</v>
      </c>
      <c r="C90" s="4">
        <v>14</v>
      </c>
      <c r="D90" s="4">
        <v>14</v>
      </c>
      <c r="E90" s="284">
        <v>16784</v>
      </c>
      <c r="F90" s="5">
        <v>16599</v>
      </c>
      <c r="G90" s="5">
        <v>16278</v>
      </c>
      <c r="H90" s="5">
        <v>16022</v>
      </c>
      <c r="I90" s="5">
        <v>15726</v>
      </c>
      <c r="J90" s="5">
        <v>15514</v>
      </c>
      <c r="K90" s="5">
        <v>15312</v>
      </c>
      <c r="L90" s="5">
        <v>15116</v>
      </c>
      <c r="M90" s="5">
        <v>15165</v>
      </c>
      <c r="N90" s="5">
        <v>14615</v>
      </c>
      <c r="O90" s="5">
        <v>14412</v>
      </c>
      <c r="P90" s="5">
        <v>14215</v>
      </c>
      <c r="Q90" s="5">
        <v>14026</v>
      </c>
      <c r="R90" s="5">
        <v>13842</v>
      </c>
      <c r="S90" s="5">
        <v>13663</v>
      </c>
      <c r="T90" s="5">
        <v>13491</v>
      </c>
      <c r="U90" s="5"/>
      <c r="V90" s="5"/>
      <c r="X90" s="7">
        <f t="shared" si="55"/>
        <v>4</v>
      </c>
      <c r="AA90" s="24">
        <f t="shared" si="44"/>
        <v>4</v>
      </c>
      <c r="AD90" s="4">
        <f t="shared" si="45"/>
        <v>4</v>
      </c>
      <c r="AG90" s="4">
        <f t="shared" si="46"/>
        <v>4</v>
      </c>
      <c r="AJ90" s="4">
        <f t="shared" si="47"/>
        <v>4</v>
      </c>
      <c r="AM90" s="4">
        <f t="shared" si="48"/>
        <v>4</v>
      </c>
      <c r="AP90" s="4">
        <f t="shared" si="49"/>
        <v>4</v>
      </c>
      <c r="AS90" s="4">
        <f t="shared" si="50"/>
        <v>4</v>
      </c>
      <c r="AV90" s="4">
        <f t="shared" si="51"/>
        <v>4</v>
      </c>
      <c r="AY90" s="4">
        <f t="shared" si="52"/>
        <v>4</v>
      </c>
      <c r="BB90" s="4">
        <f t="shared" si="53"/>
        <v>4</v>
      </c>
      <c r="BE90" s="4">
        <f t="shared" si="54"/>
        <v>4</v>
      </c>
      <c r="BR90" s="5"/>
    </row>
    <row r="91" spans="1:70" x14ac:dyDescent="0.2">
      <c r="A91" s="4" t="s">
        <v>76</v>
      </c>
      <c r="B91" s="4">
        <v>235</v>
      </c>
      <c r="C91" s="4">
        <v>1</v>
      </c>
      <c r="D91" s="4">
        <v>33</v>
      </c>
      <c r="E91" s="284">
        <v>9486</v>
      </c>
      <c r="F91" s="5">
        <v>9397</v>
      </c>
      <c r="G91" s="5">
        <v>9624</v>
      </c>
      <c r="H91" s="5">
        <v>9615</v>
      </c>
      <c r="I91" s="5">
        <v>9797</v>
      </c>
      <c r="J91" s="5">
        <v>10178</v>
      </c>
      <c r="K91" s="5">
        <v>10396</v>
      </c>
      <c r="L91" s="5">
        <v>10284</v>
      </c>
      <c r="M91" s="5">
        <v>10270</v>
      </c>
      <c r="N91" s="5">
        <v>10679</v>
      </c>
      <c r="O91" s="5">
        <v>10803</v>
      </c>
      <c r="P91" s="5">
        <v>10924</v>
      </c>
      <c r="Q91" s="5">
        <v>11038</v>
      </c>
      <c r="R91" s="5">
        <v>11147</v>
      </c>
      <c r="S91" s="5">
        <v>11256</v>
      </c>
      <c r="T91" s="5">
        <v>11358</v>
      </c>
      <c r="U91" s="5"/>
      <c r="V91" s="5"/>
      <c r="X91" s="7">
        <f t="shared" si="55"/>
        <v>5</v>
      </c>
      <c r="AA91" s="24">
        <f t="shared" si="44"/>
        <v>4</v>
      </c>
      <c r="AD91" s="4">
        <f t="shared" si="45"/>
        <v>4</v>
      </c>
      <c r="AG91" s="4">
        <f t="shared" si="46"/>
        <v>4</v>
      </c>
      <c r="AJ91" s="4">
        <f t="shared" si="47"/>
        <v>4</v>
      </c>
      <c r="AM91" s="4">
        <f t="shared" si="48"/>
        <v>4</v>
      </c>
      <c r="AP91" s="4">
        <f t="shared" si="49"/>
        <v>4</v>
      </c>
      <c r="AS91" s="4">
        <f t="shared" si="50"/>
        <v>4</v>
      </c>
      <c r="AV91" s="4">
        <f t="shared" si="51"/>
        <v>4</v>
      </c>
      <c r="AY91" s="4">
        <f t="shared" si="52"/>
        <v>4</v>
      </c>
      <c r="BB91" s="4">
        <f t="shared" si="53"/>
        <v>4</v>
      </c>
      <c r="BE91" s="4">
        <f t="shared" si="54"/>
        <v>4</v>
      </c>
      <c r="BR91" s="5"/>
    </row>
    <row r="92" spans="1:70" x14ac:dyDescent="0.2">
      <c r="A92" s="4" t="s">
        <v>77</v>
      </c>
      <c r="B92" s="4">
        <v>236</v>
      </c>
      <c r="C92" s="4">
        <v>16</v>
      </c>
      <c r="D92" s="4">
        <v>16</v>
      </c>
      <c r="E92" s="284">
        <v>4305</v>
      </c>
      <c r="F92" s="5">
        <v>4298</v>
      </c>
      <c r="G92" s="5">
        <v>4309</v>
      </c>
      <c r="H92" s="5">
        <v>4273</v>
      </c>
      <c r="I92" s="5">
        <v>4261</v>
      </c>
      <c r="J92" s="5">
        <v>4228</v>
      </c>
      <c r="K92" s="5">
        <v>4196</v>
      </c>
      <c r="L92" s="5">
        <v>4198</v>
      </c>
      <c r="M92" s="5">
        <v>4137</v>
      </c>
      <c r="N92" s="5">
        <v>4120</v>
      </c>
      <c r="O92" s="5">
        <v>4089</v>
      </c>
      <c r="P92" s="5">
        <v>4058</v>
      </c>
      <c r="Q92" s="5">
        <v>4027</v>
      </c>
      <c r="R92" s="5">
        <v>3996</v>
      </c>
      <c r="S92" s="5">
        <v>3963</v>
      </c>
      <c r="T92" s="5">
        <v>3926</v>
      </c>
      <c r="U92" s="5"/>
      <c r="V92" s="5"/>
      <c r="X92" s="7">
        <f t="shared" si="55"/>
        <v>6</v>
      </c>
      <c r="AA92" s="24">
        <f t="shared" si="44"/>
        <v>6</v>
      </c>
      <c r="AD92" s="4">
        <f t="shared" si="45"/>
        <v>6</v>
      </c>
      <c r="AG92" s="4">
        <f t="shared" si="46"/>
        <v>6</v>
      </c>
      <c r="AJ92" s="4">
        <f t="shared" si="47"/>
        <v>6</v>
      </c>
      <c r="AM92" s="4">
        <f t="shared" si="48"/>
        <v>6</v>
      </c>
      <c r="AP92" s="4">
        <f t="shared" si="49"/>
        <v>6</v>
      </c>
      <c r="AS92" s="4">
        <f t="shared" si="50"/>
        <v>6</v>
      </c>
      <c r="AV92" s="4">
        <f t="shared" si="51"/>
        <v>6</v>
      </c>
      <c r="AY92" s="4">
        <f t="shared" si="52"/>
        <v>6</v>
      </c>
      <c r="BB92" s="4">
        <f t="shared" si="53"/>
        <v>6</v>
      </c>
      <c r="BE92" s="4">
        <f t="shared" si="54"/>
        <v>6</v>
      </c>
      <c r="BR92" s="5"/>
    </row>
    <row r="93" spans="1:70" x14ac:dyDescent="0.2">
      <c r="A93" s="4" t="s">
        <v>78</v>
      </c>
      <c r="B93" s="4">
        <v>239</v>
      </c>
      <c r="C93" s="4">
        <v>11</v>
      </c>
      <c r="D93" s="4">
        <v>11</v>
      </c>
      <c r="E93" s="284">
        <v>2379</v>
      </c>
      <c r="F93" s="5">
        <v>2346</v>
      </c>
      <c r="G93" s="5">
        <v>2309</v>
      </c>
      <c r="H93" s="5">
        <v>2244</v>
      </c>
      <c r="I93" s="5">
        <v>2202</v>
      </c>
      <c r="J93" s="5">
        <v>2155</v>
      </c>
      <c r="K93" s="5">
        <v>2095</v>
      </c>
      <c r="L93" s="5">
        <v>2029</v>
      </c>
      <c r="M93" s="5">
        <v>2035</v>
      </c>
      <c r="N93" s="5">
        <v>2005</v>
      </c>
      <c r="O93" s="5">
        <v>1971</v>
      </c>
      <c r="P93" s="5">
        <v>1943</v>
      </c>
      <c r="Q93" s="5">
        <v>1914</v>
      </c>
      <c r="R93" s="5">
        <v>1889</v>
      </c>
      <c r="S93" s="5">
        <v>1862</v>
      </c>
      <c r="T93" s="5">
        <v>1836</v>
      </c>
      <c r="U93" s="5"/>
      <c r="V93" s="5"/>
      <c r="X93" s="7">
        <f t="shared" si="55"/>
        <v>6</v>
      </c>
      <c r="AA93" s="24">
        <f t="shared" si="44"/>
        <v>6</v>
      </c>
      <c r="AD93" s="4">
        <f t="shared" si="45"/>
        <v>6</v>
      </c>
      <c r="AG93" s="4">
        <f t="shared" si="46"/>
        <v>6</v>
      </c>
      <c r="AJ93" s="4">
        <f t="shared" si="47"/>
        <v>6</v>
      </c>
      <c r="AM93" s="4">
        <f t="shared" si="48"/>
        <v>6</v>
      </c>
      <c r="AP93" s="4">
        <f t="shared" si="49"/>
        <v>7</v>
      </c>
      <c r="AS93" s="4">
        <f t="shared" si="50"/>
        <v>7</v>
      </c>
      <c r="AV93" s="4">
        <f t="shared" si="51"/>
        <v>7</v>
      </c>
      <c r="AY93" s="4">
        <f t="shared" si="52"/>
        <v>7</v>
      </c>
      <c r="BB93" s="4">
        <f t="shared" si="53"/>
        <v>7</v>
      </c>
      <c r="BE93" s="4">
        <f t="shared" si="54"/>
        <v>7</v>
      </c>
      <c r="BR93" s="5"/>
    </row>
    <row r="94" spans="1:70" x14ac:dyDescent="0.2">
      <c r="A94" s="4" t="s">
        <v>79</v>
      </c>
      <c r="B94" s="4">
        <v>240</v>
      </c>
      <c r="C94" s="4">
        <v>19</v>
      </c>
      <c r="D94" s="4">
        <v>19</v>
      </c>
      <c r="E94" s="284">
        <v>21758</v>
      </c>
      <c r="F94" s="5">
        <v>21602</v>
      </c>
      <c r="G94" s="5">
        <v>21256</v>
      </c>
      <c r="H94" s="5">
        <v>21021</v>
      </c>
      <c r="I94" s="5">
        <v>20707</v>
      </c>
      <c r="J94" s="5">
        <v>20437</v>
      </c>
      <c r="K94" s="5">
        <v>19982</v>
      </c>
      <c r="L94" s="5">
        <v>19499</v>
      </c>
      <c r="M94" s="5">
        <v>19371</v>
      </c>
      <c r="N94" s="5">
        <v>19342</v>
      </c>
      <c r="O94" s="5">
        <v>19094</v>
      </c>
      <c r="P94" s="5">
        <v>18855</v>
      </c>
      <c r="Q94" s="5">
        <v>18624</v>
      </c>
      <c r="R94" s="5">
        <v>18403</v>
      </c>
      <c r="S94" s="5">
        <v>18188</v>
      </c>
      <c r="T94" s="5">
        <v>17979</v>
      </c>
      <c r="U94" s="5"/>
      <c r="V94" s="5"/>
      <c r="X94" s="7">
        <f t="shared" si="55"/>
        <v>3</v>
      </c>
      <c r="AA94" s="24">
        <f t="shared" si="44"/>
        <v>3</v>
      </c>
      <c r="AD94" s="4">
        <f t="shared" si="45"/>
        <v>4</v>
      </c>
      <c r="AG94" s="4">
        <f t="shared" si="46"/>
        <v>4</v>
      </c>
      <c r="AJ94" s="4">
        <f t="shared" si="47"/>
        <v>4</v>
      </c>
      <c r="AM94" s="4">
        <f t="shared" si="48"/>
        <v>4</v>
      </c>
      <c r="AP94" s="4">
        <f t="shared" si="49"/>
        <v>4</v>
      </c>
      <c r="AS94" s="4">
        <f t="shared" si="50"/>
        <v>4</v>
      </c>
      <c r="AV94" s="4">
        <f t="shared" si="51"/>
        <v>4</v>
      </c>
      <c r="AY94" s="4">
        <f t="shared" si="52"/>
        <v>4</v>
      </c>
      <c r="BB94" s="4">
        <f t="shared" si="53"/>
        <v>4</v>
      </c>
      <c r="BE94" s="4">
        <f t="shared" si="54"/>
        <v>4</v>
      </c>
      <c r="BR94" s="5"/>
    </row>
    <row r="95" spans="1:70" x14ac:dyDescent="0.2">
      <c r="A95" s="4" t="s">
        <v>81</v>
      </c>
      <c r="B95" s="4">
        <v>241</v>
      </c>
      <c r="C95" s="4">
        <v>19</v>
      </c>
      <c r="D95" s="4">
        <v>19</v>
      </c>
      <c r="E95" s="284">
        <v>8388</v>
      </c>
      <c r="F95" s="5">
        <v>8316</v>
      </c>
      <c r="G95" s="5">
        <v>8296</v>
      </c>
      <c r="H95" s="5">
        <v>8147</v>
      </c>
      <c r="I95" s="5">
        <v>8079</v>
      </c>
      <c r="J95" s="5">
        <v>7984</v>
      </c>
      <c r="K95" s="5">
        <v>7904</v>
      </c>
      <c r="L95" s="5">
        <v>7771</v>
      </c>
      <c r="M95" s="5">
        <v>7691</v>
      </c>
      <c r="N95" s="5">
        <v>7712</v>
      </c>
      <c r="O95" s="5">
        <v>7645</v>
      </c>
      <c r="P95" s="5">
        <v>7578</v>
      </c>
      <c r="Q95" s="5">
        <v>7506</v>
      </c>
      <c r="R95" s="5">
        <v>7438</v>
      </c>
      <c r="S95" s="5">
        <v>7367</v>
      </c>
      <c r="T95" s="5">
        <v>7294</v>
      </c>
      <c r="U95" s="5"/>
      <c r="V95" s="5"/>
      <c r="X95" s="7">
        <f t="shared" si="55"/>
        <v>5</v>
      </c>
      <c r="AA95" s="24">
        <f t="shared" si="44"/>
        <v>5</v>
      </c>
      <c r="AD95" s="4">
        <f t="shared" si="45"/>
        <v>5</v>
      </c>
      <c r="AG95" s="4">
        <f t="shared" si="46"/>
        <v>5</v>
      </c>
      <c r="AJ95" s="4">
        <f t="shared" si="47"/>
        <v>5</v>
      </c>
      <c r="AM95" s="4">
        <f t="shared" si="48"/>
        <v>5</v>
      </c>
      <c r="AP95" s="4">
        <f t="shared" si="49"/>
        <v>5</v>
      </c>
      <c r="AS95" s="4">
        <f t="shared" si="50"/>
        <v>5</v>
      </c>
      <c r="AV95" s="4">
        <f t="shared" si="51"/>
        <v>5</v>
      </c>
      <c r="AY95" s="4">
        <f t="shared" si="52"/>
        <v>5</v>
      </c>
      <c r="BB95" s="4">
        <f t="shared" si="53"/>
        <v>5</v>
      </c>
      <c r="BE95" s="4">
        <f t="shared" si="54"/>
        <v>5</v>
      </c>
      <c r="BR95" s="5"/>
    </row>
    <row r="96" spans="1:70" x14ac:dyDescent="0.2">
      <c r="A96" s="4" t="s">
        <v>83</v>
      </c>
      <c r="B96" s="4">
        <v>244</v>
      </c>
      <c r="C96" s="4">
        <v>17</v>
      </c>
      <c r="D96" s="4">
        <v>17</v>
      </c>
      <c r="E96" s="284">
        <v>17066</v>
      </c>
      <c r="F96" s="5">
        <v>17297</v>
      </c>
      <c r="G96" s="5">
        <v>17535</v>
      </c>
      <c r="H96" s="5">
        <v>17923</v>
      </c>
      <c r="I96" s="5">
        <v>18355</v>
      </c>
      <c r="J96" s="5">
        <v>18796</v>
      </c>
      <c r="K96" s="5">
        <v>19116</v>
      </c>
      <c r="L96" s="5">
        <v>19300</v>
      </c>
      <c r="M96" s="5">
        <v>19514</v>
      </c>
      <c r="N96" s="5">
        <v>20157</v>
      </c>
      <c r="O96" s="5">
        <v>20443</v>
      </c>
      <c r="P96" s="5">
        <v>20710</v>
      </c>
      <c r="Q96" s="5">
        <v>20966</v>
      </c>
      <c r="R96" s="5">
        <v>21203</v>
      </c>
      <c r="S96" s="5">
        <v>21422</v>
      </c>
      <c r="T96" s="5">
        <v>21632</v>
      </c>
      <c r="U96" s="5"/>
      <c r="V96" s="5"/>
      <c r="X96" s="7">
        <f t="shared" si="55"/>
        <v>4</v>
      </c>
      <c r="AA96" s="24">
        <f t="shared" si="44"/>
        <v>4</v>
      </c>
      <c r="AD96" s="4">
        <f t="shared" si="45"/>
        <v>4</v>
      </c>
      <c r="AG96" s="4">
        <f t="shared" si="46"/>
        <v>4</v>
      </c>
      <c r="AJ96" s="4">
        <f t="shared" si="47"/>
        <v>4</v>
      </c>
      <c r="AM96" s="4">
        <f t="shared" si="48"/>
        <v>3</v>
      </c>
      <c r="AP96" s="4">
        <f t="shared" si="49"/>
        <v>3</v>
      </c>
      <c r="AS96" s="4">
        <f t="shared" si="50"/>
        <v>3</v>
      </c>
      <c r="AV96" s="4">
        <f t="shared" si="51"/>
        <v>3</v>
      </c>
      <c r="AY96" s="4">
        <f t="shared" si="52"/>
        <v>3</v>
      </c>
      <c r="BB96" s="4">
        <f t="shared" si="53"/>
        <v>3</v>
      </c>
      <c r="BE96" s="4">
        <f t="shared" si="54"/>
        <v>3</v>
      </c>
      <c r="BR96" s="5"/>
    </row>
    <row r="97" spans="1:70" x14ac:dyDescent="0.2">
      <c r="A97" s="4" t="s">
        <v>84</v>
      </c>
      <c r="B97" s="4">
        <v>245</v>
      </c>
      <c r="C97" s="4">
        <v>1</v>
      </c>
      <c r="D97" s="4">
        <v>32</v>
      </c>
      <c r="E97" s="284">
        <v>35293</v>
      </c>
      <c r="F97" s="5">
        <v>35511</v>
      </c>
      <c r="G97" s="5">
        <v>35554</v>
      </c>
      <c r="H97" s="5">
        <v>36254</v>
      </c>
      <c r="I97" s="5">
        <v>36756</v>
      </c>
      <c r="J97" s="5">
        <v>37105</v>
      </c>
      <c r="K97" s="5">
        <v>37232</v>
      </c>
      <c r="L97" s="5">
        <v>37676</v>
      </c>
      <c r="M97" s="5">
        <v>38211</v>
      </c>
      <c r="N97" s="5">
        <v>38599</v>
      </c>
      <c r="O97" s="5">
        <v>38915</v>
      </c>
      <c r="P97" s="5">
        <v>39218</v>
      </c>
      <c r="Q97" s="5">
        <v>39499</v>
      </c>
      <c r="R97" s="5">
        <v>39767</v>
      </c>
      <c r="S97" s="5">
        <v>40022</v>
      </c>
      <c r="T97" s="5">
        <v>40261</v>
      </c>
      <c r="U97" s="5"/>
      <c r="V97" s="5"/>
      <c r="X97" s="7">
        <f t="shared" si="55"/>
        <v>3</v>
      </c>
      <c r="AA97" s="24">
        <f t="shared" si="44"/>
        <v>3</v>
      </c>
      <c r="AD97" s="4">
        <f t="shared" si="45"/>
        <v>3</v>
      </c>
      <c r="AG97" s="4">
        <f t="shared" si="46"/>
        <v>3</v>
      </c>
      <c r="AJ97" s="4">
        <f t="shared" si="47"/>
        <v>3</v>
      </c>
      <c r="AM97" s="4">
        <f t="shared" si="48"/>
        <v>3</v>
      </c>
      <c r="AP97" s="4">
        <f t="shared" si="49"/>
        <v>3</v>
      </c>
      <c r="AS97" s="4">
        <f t="shared" si="50"/>
        <v>3</v>
      </c>
      <c r="AV97" s="4">
        <f t="shared" si="51"/>
        <v>3</v>
      </c>
      <c r="AY97" s="4">
        <f t="shared" si="52"/>
        <v>3</v>
      </c>
      <c r="BB97" s="4">
        <f t="shared" si="53"/>
        <v>2</v>
      </c>
      <c r="BE97" s="4">
        <f t="shared" si="54"/>
        <v>2</v>
      </c>
      <c r="BR97" s="5"/>
    </row>
    <row r="98" spans="1:70" x14ac:dyDescent="0.2">
      <c r="A98" s="4" t="s">
        <v>85</v>
      </c>
      <c r="B98" s="4">
        <v>249</v>
      </c>
      <c r="C98" s="4">
        <v>13</v>
      </c>
      <c r="D98" s="4">
        <v>13</v>
      </c>
      <c r="E98" s="284">
        <v>10117</v>
      </c>
      <c r="F98" s="5">
        <v>9992</v>
      </c>
      <c r="G98" s="5">
        <v>9919</v>
      </c>
      <c r="H98" s="5">
        <v>9762</v>
      </c>
      <c r="I98" s="5">
        <v>9605</v>
      </c>
      <c r="J98" s="5">
        <v>9486</v>
      </c>
      <c r="K98" s="5">
        <v>9443</v>
      </c>
      <c r="L98" s="5">
        <v>9250</v>
      </c>
      <c r="M98" s="5">
        <v>9184</v>
      </c>
      <c r="N98" s="5">
        <v>8985</v>
      </c>
      <c r="O98" s="5">
        <v>8880</v>
      </c>
      <c r="P98" s="5">
        <v>8776</v>
      </c>
      <c r="Q98" s="5">
        <v>8679</v>
      </c>
      <c r="R98" s="5">
        <v>8583</v>
      </c>
      <c r="S98" s="5">
        <v>8490</v>
      </c>
      <c r="T98" s="5">
        <v>8396</v>
      </c>
      <c r="U98" s="5"/>
      <c r="V98" s="5"/>
      <c r="X98" s="7">
        <f t="shared" si="55"/>
        <v>5</v>
      </c>
      <c r="AA98" s="24">
        <f t="shared" si="44"/>
        <v>5</v>
      </c>
      <c r="AD98" s="4">
        <f t="shared" si="45"/>
        <v>5</v>
      </c>
      <c r="AG98" s="4">
        <f t="shared" si="46"/>
        <v>5</v>
      </c>
      <c r="AJ98" s="4">
        <f t="shared" si="47"/>
        <v>5</v>
      </c>
      <c r="AM98" s="4">
        <f t="shared" si="48"/>
        <v>5</v>
      </c>
      <c r="AP98" s="4">
        <f t="shared" si="49"/>
        <v>5</v>
      </c>
      <c r="AS98" s="4">
        <f t="shared" si="50"/>
        <v>5</v>
      </c>
      <c r="AV98" s="4">
        <f t="shared" si="51"/>
        <v>5</v>
      </c>
      <c r="AY98" s="4">
        <f t="shared" si="52"/>
        <v>5</v>
      </c>
      <c r="BB98" s="4">
        <f t="shared" si="53"/>
        <v>5</v>
      </c>
      <c r="BE98" s="4">
        <f t="shared" si="54"/>
        <v>5</v>
      </c>
      <c r="BR98" s="5"/>
    </row>
    <row r="99" spans="1:70" x14ac:dyDescent="0.2">
      <c r="A99" s="4" t="s">
        <v>86</v>
      </c>
      <c r="B99" s="4">
        <v>250</v>
      </c>
      <c r="C99" s="4">
        <v>6</v>
      </c>
      <c r="D99" s="4">
        <v>6</v>
      </c>
      <c r="E99" s="284">
        <v>2038</v>
      </c>
      <c r="F99" s="5">
        <v>1994</v>
      </c>
      <c r="G99" s="5">
        <v>1967</v>
      </c>
      <c r="H99" s="5">
        <v>1910</v>
      </c>
      <c r="I99" s="5">
        <v>1865</v>
      </c>
      <c r="J99" s="5">
        <v>1822</v>
      </c>
      <c r="K99" s="5">
        <v>1808</v>
      </c>
      <c r="L99" s="5">
        <v>1771</v>
      </c>
      <c r="M99" s="5">
        <v>1749</v>
      </c>
      <c r="N99" s="5">
        <v>1670</v>
      </c>
      <c r="O99" s="5">
        <v>1638</v>
      </c>
      <c r="P99" s="5">
        <v>1607</v>
      </c>
      <c r="Q99" s="5">
        <v>1578</v>
      </c>
      <c r="R99" s="5">
        <v>1547</v>
      </c>
      <c r="S99" s="5">
        <v>1518</v>
      </c>
      <c r="T99" s="5">
        <v>1487</v>
      </c>
      <c r="U99" s="5"/>
      <c r="V99" s="5"/>
      <c r="X99" s="7">
        <f t="shared" si="55"/>
        <v>7</v>
      </c>
      <c r="AA99" s="24">
        <f t="shared" si="44"/>
        <v>7</v>
      </c>
      <c r="AD99" s="4">
        <f t="shared" si="45"/>
        <v>7</v>
      </c>
      <c r="AG99" s="4">
        <f t="shared" si="46"/>
        <v>7</v>
      </c>
      <c r="AJ99" s="4">
        <f t="shared" si="47"/>
        <v>7</v>
      </c>
      <c r="AM99" s="4">
        <f t="shared" si="48"/>
        <v>7</v>
      </c>
      <c r="AP99" s="4">
        <f t="shared" si="49"/>
        <v>7</v>
      </c>
      <c r="AS99" s="4">
        <f t="shared" si="50"/>
        <v>7</v>
      </c>
      <c r="AV99" s="4">
        <f t="shared" si="51"/>
        <v>7</v>
      </c>
      <c r="AY99" s="4">
        <f t="shared" si="52"/>
        <v>7</v>
      </c>
      <c r="BB99" s="4">
        <f t="shared" si="53"/>
        <v>7</v>
      </c>
      <c r="BE99" s="4">
        <f t="shared" si="54"/>
        <v>7</v>
      </c>
      <c r="BR99" s="5"/>
    </row>
    <row r="100" spans="1:70" x14ac:dyDescent="0.2">
      <c r="A100" s="4" t="s">
        <v>87</v>
      </c>
      <c r="B100" s="4">
        <v>256</v>
      </c>
      <c r="C100" s="4">
        <v>13</v>
      </c>
      <c r="D100" s="4">
        <v>13</v>
      </c>
      <c r="E100" s="284">
        <v>1745</v>
      </c>
      <c r="F100" s="5">
        <v>1699</v>
      </c>
      <c r="G100" s="5">
        <v>1656</v>
      </c>
      <c r="H100" s="5">
        <v>1615</v>
      </c>
      <c r="I100" s="5">
        <v>1620</v>
      </c>
      <c r="J100" s="5">
        <v>1597</v>
      </c>
      <c r="K100" s="5">
        <v>1581</v>
      </c>
      <c r="L100" s="5">
        <v>1554</v>
      </c>
      <c r="M100" s="5">
        <v>1523</v>
      </c>
      <c r="N100" s="5">
        <v>1496</v>
      </c>
      <c r="O100" s="5">
        <v>1474</v>
      </c>
      <c r="P100" s="5">
        <v>1450</v>
      </c>
      <c r="Q100" s="5">
        <v>1428</v>
      </c>
      <c r="R100" s="5">
        <v>1409</v>
      </c>
      <c r="S100" s="5">
        <v>1388</v>
      </c>
      <c r="T100" s="5">
        <v>1368</v>
      </c>
      <c r="U100" s="5"/>
      <c r="V100" s="5"/>
      <c r="X100" s="7">
        <f t="shared" si="55"/>
        <v>7</v>
      </c>
      <c r="AA100" s="24">
        <f t="shared" si="44"/>
        <v>7</v>
      </c>
      <c r="AD100" s="4">
        <f t="shared" si="45"/>
        <v>7</v>
      </c>
      <c r="AG100" s="4">
        <f t="shared" si="46"/>
        <v>7</v>
      </c>
      <c r="AJ100" s="4">
        <f t="shared" si="47"/>
        <v>7</v>
      </c>
      <c r="AM100" s="4">
        <f t="shared" si="48"/>
        <v>7</v>
      </c>
      <c r="AP100" s="4">
        <f t="shared" si="49"/>
        <v>7</v>
      </c>
      <c r="AS100" s="4">
        <f t="shared" si="50"/>
        <v>7</v>
      </c>
      <c r="AV100" s="4">
        <f t="shared" si="51"/>
        <v>7</v>
      </c>
      <c r="AY100" s="4">
        <f t="shared" si="52"/>
        <v>7</v>
      </c>
      <c r="BB100" s="4">
        <f t="shared" si="53"/>
        <v>7</v>
      </c>
      <c r="BE100" s="4">
        <f t="shared" si="54"/>
        <v>7</v>
      </c>
      <c r="BR100" s="5"/>
    </row>
    <row r="101" spans="1:70" x14ac:dyDescent="0.2">
      <c r="A101" s="4" t="s">
        <v>88</v>
      </c>
      <c r="B101" s="4">
        <v>257</v>
      </c>
      <c r="C101" s="4">
        <v>1</v>
      </c>
      <c r="D101" s="4">
        <v>33</v>
      </c>
      <c r="E101" s="284">
        <v>38649</v>
      </c>
      <c r="F101" s="5">
        <v>39033</v>
      </c>
      <c r="G101" s="5">
        <v>39170</v>
      </c>
      <c r="H101" s="5">
        <v>39262</v>
      </c>
      <c r="I101" s="5">
        <v>39586</v>
      </c>
      <c r="J101" s="5">
        <v>40082</v>
      </c>
      <c r="K101" s="5">
        <v>40433</v>
      </c>
      <c r="L101" s="5">
        <v>40722</v>
      </c>
      <c r="M101" s="5">
        <v>41154</v>
      </c>
      <c r="N101" s="5">
        <v>41463</v>
      </c>
      <c r="O101" s="5">
        <v>41761</v>
      </c>
      <c r="P101" s="5">
        <v>42041</v>
      </c>
      <c r="Q101" s="5">
        <v>42305</v>
      </c>
      <c r="R101" s="5">
        <v>42561</v>
      </c>
      <c r="S101" s="5">
        <v>42810</v>
      </c>
      <c r="T101" s="5">
        <v>43050</v>
      </c>
      <c r="U101" s="5"/>
      <c r="V101" s="5"/>
      <c r="X101" s="7">
        <f t="shared" si="55"/>
        <v>3</v>
      </c>
      <c r="AA101" s="24">
        <f t="shared" si="44"/>
        <v>2</v>
      </c>
      <c r="AD101" s="4">
        <f t="shared" si="45"/>
        <v>2</v>
      </c>
      <c r="AG101" s="4">
        <f t="shared" si="46"/>
        <v>2</v>
      </c>
      <c r="AJ101" s="4">
        <f t="shared" si="47"/>
        <v>2</v>
      </c>
      <c r="AM101" s="4">
        <f t="shared" si="48"/>
        <v>2</v>
      </c>
      <c r="AP101" s="4">
        <f t="shared" si="49"/>
        <v>2</v>
      </c>
      <c r="AS101" s="4">
        <f t="shared" si="50"/>
        <v>2</v>
      </c>
      <c r="AV101" s="4">
        <f t="shared" si="51"/>
        <v>2</v>
      </c>
      <c r="AY101" s="4">
        <f t="shared" si="52"/>
        <v>2</v>
      </c>
      <c r="BB101" s="4">
        <f t="shared" si="53"/>
        <v>2</v>
      </c>
      <c r="BE101" s="4">
        <f t="shared" si="54"/>
        <v>2</v>
      </c>
      <c r="BR101" s="5"/>
    </row>
    <row r="102" spans="1:70" x14ac:dyDescent="0.2">
      <c r="A102" s="4" t="s">
        <v>89</v>
      </c>
      <c r="B102" s="4">
        <v>260</v>
      </c>
      <c r="C102" s="4">
        <v>12</v>
      </c>
      <c r="D102" s="4">
        <v>12</v>
      </c>
      <c r="E102" s="284">
        <v>10832</v>
      </c>
      <c r="F102" s="5">
        <v>10719</v>
      </c>
      <c r="G102" s="5">
        <v>10486</v>
      </c>
      <c r="H102" s="5">
        <v>10358</v>
      </c>
      <c r="I102" s="5">
        <v>10136</v>
      </c>
      <c r="J102" s="5">
        <v>9933</v>
      </c>
      <c r="K102" s="5">
        <v>9877</v>
      </c>
      <c r="L102" s="5">
        <v>9727</v>
      </c>
      <c r="M102" s="5">
        <v>9689</v>
      </c>
      <c r="N102" s="5">
        <v>9242</v>
      </c>
      <c r="O102" s="5">
        <v>9092</v>
      </c>
      <c r="P102" s="5">
        <v>8948</v>
      </c>
      <c r="Q102" s="5">
        <v>8813</v>
      </c>
      <c r="R102" s="5">
        <v>8684</v>
      </c>
      <c r="S102" s="5">
        <v>8557</v>
      </c>
      <c r="T102" s="5">
        <v>8431</v>
      </c>
      <c r="U102" s="5"/>
      <c r="V102" s="5"/>
      <c r="X102" s="7">
        <f t="shared" si="55"/>
        <v>4</v>
      </c>
      <c r="AA102" s="24">
        <f t="shared" si="44"/>
        <v>5</v>
      </c>
      <c r="AD102" s="4">
        <f t="shared" si="45"/>
        <v>5</v>
      </c>
      <c r="AG102" s="4">
        <f t="shared" si="46"/>
        <v>5</v>
      </c>
      <c r="AJ102" s="4">
        <f t="shared" si="47"/>
        <v>5</v>
      </c>
      <c r="AM102" s="4">
        <f t="shared" si="48"/>
        <v>5</v>
      </c>
      <c r="AP102" s="4">
        <f t="shared" si="49"/>
        <v>5</v>
      </c>
      <c r="AS102" s="4">
        <f t="shared" si="50"/>
        <v>5</v>
      </c>
      <c r="AV102" s="4">
        <f t="shared" si="51"/>
        <v>5</v>
      </c>
      <c r="AY102" s="4">
        <f t="shared" si="52"/>
        <v>5</v>
      </c>
      <c r="BB102" s="4">
        <f t="shared" si="53"/>
        <v>5</v>
      </c>
      <c r="BE102" s="4">
        <f t="shared" si="54"/>
        <v>5</v>
      </c>
      <c r="BR102" s="5"/>
    </row>
    <row r="103" spans="1:70" x14ac:dyDescent="0.2">
      <c r="A103" s="4" t="s">
        <v>90</v>
      </c>
      <c r="B103" s="4">
        <v>261</v>
      </c>
      <c r="C103" s="4">
        <v>19</v>
      </c>
      <c r="D103" s="4">
        <v>19</v>
      </c>
      <c r="E103" s="284">
        <v>6416</v>
      </c>
      <c r="F103" s="5">
        <v>6383</v>
      </c>
      <c r="G103" s="5">
        <v>6421</v>
      </c>
      <c r="H103" s="5">
        <v>6436</v>
      </c>
      <c r="I103" s="5">
        <v>6453</v>
      </c>
      <c r="J103" s="5">
        <v>6436</v>
      </c>
      <c r="K103" s="5">
        <v>6523</v>
      </c>
      <c r="L103" s="5">
        <v>6637</v>
      </c>
      <c r="M103" s="5">
        <v>6822</v>
      </c>
      <c r="N103" s="5">
        <v>6405</v>
      </c>
      <c r="O103" s="5">
        <v>6393</v>
      </c>
      <c r="P103" s="5">
        <v>6379</v>
      </c>
      <c r="Q103" s="5">
        <v>6365</v>
      </c>
      <c r="R103" s="5">
        <v>6353</v>
      </c>
      <c r="S103" s="5">
        <v>6338</v>
      </c>
      <c r="T103" s="5">
        <v>6326</v>
      </c>
      <c r="U103" s="5"/>
      <c r="V103" s="5"/>
      <c r="X103" s="7">
        <f t="shared" si="55"/>
        <v>5</v>
      </c>
      <c r="AA103" s="24">
        <f t="shared" si="44"/>
        <v>5</v>
      </c>
      <c r="AD103" s="4">
        <f t="shared" si="45"/>
        <v>5</v>
      </c>
      <c r="AG103" s="4">
        <f t="shared" si="46"/>
        <v>5</v>
      </c>
      <c r="AJ103" s="4">
        <f t="shared" si="47"/>
        <v>5</v>
      </c>
      <c r="AM103" s="4">
        <f t="shared" si="48"/>
        <v>5</v>
      </c>
      <c r="AP103" s="4">
        <f t="shared" si="49"/>
        <v>5</v>
      </c>
      <c r="AS103" s="4">
        <f t="shared" si="50"/>
        <v>5</v>
      </c>
      <c r="AV103" s="4">
        <f t="shared" si="51"/>
        <v>5</v>
      </c>
      <c r="AY103" s="4">
        <f t="shared" si="52"/>
        <v>5</v>
      </c>
      <c r="BB103" s="4">
        <f t="shared" si="53"/>
        <v>5</v>
      </c>
      <c r="BE103" s="4">
        <f t="shared" si="54"/>
        <v>5</v>
      </c>
      <c r="BR103" s="5"/>
    </row>
    <row r="104" spans="1:70" x14ac:dyDescent="0.2">
      <c r="A104" s="4" t="s">
        <v>91</v>
      </c>
      <c r="B104" s="4">
        <v>263</v>
      </c>
      <c r="C104" s="4">
        <v>11</v>
      </c>
      <c r="D104" s="4">
        <v>11</v>
      </c>
      <c r="E104" s="284">
        <v>8600</v>
      </c>
      <c r="F104" s="5">
        <v>8444</v>
      </c>
      <c r="G104" s="5">
        <v>8283</v>
      </c>
      <c r="H104" s="5">
        <v>8153</v>
      </c>
      <c r="I104" s="5">
        <v>7998</v>
      </c>
      <c r="J104" s="5">
        <v>7854</v>
      </c>
      <c r="K104" s="5">
        <v>7759</v>
      </c>
      <c r="L104" s="5">
        <v>7597</v>
      </c>
      <c r="M104" s="5">
        <v>7475</v>
      </c>
      <c r="N104" s="5">
        <v>7331</v>
      </c>
      <c r="O104" s="5">
        <v>7215</v>
      </c>
      <c r="P104" s="5">
        <v>7102</v>
      </c>
      <c r="Q104" s="5">
        <v>6994</v>
      </c>
      <c r="R104" s="5">
        <v>6891</v>
      </c>
      <c r="S104" s="5">
        <v>6790</v>
      </c>
      <c r="T104" s="5">
        <v>6695</v>
      </c>
      <c r="U104" s="5"/>
      <c r="V104" s="5"/>
      <c r="X104" s="7">
        <f t="shared" si="55"/>
        <v>5</v>
      </c>
      <c r="AA104" s="24">
        <f t="shared" si="44"/>
        <v>5</v>
      </c>
      <c r="AD104" s="4">
        <f t="shared" si="45"/>
        <v>5</v>
      </c>
      <c r="AG104" s="4">
        <f t="shared" si="46"/>
        <v>5</v>
      </c>
      <c r="AJ104" s="4">
        <f t="shared" si="47"/>
        <v>5</v>
      </c>
      <c r="AM104" s="4">
        <f t="shared" si="48"/>
        <v>5</v>
      </c>
      <c r="AP104" s="4">
        <f t="shared" si="49"/>
        <v>5</v>
      </c>
      <c r="AS104" s="4">
        <f t="shared" si="50"/>
        <v>5</v>
      </c>
      <c r="AV104" s="4">
        <f t="shared" si="51"/>
        <v>5</v>
      </c>
      <c r="AY104" s="4">
        <f t="shared" si="52"/>
        <v>5</v>
      </c>
      <c r="BB104" s="4">
        <f t="shared" si="53"/>
        <v>5</v>
      </c>
      <c r="BE104" s="4">
        <f t="shared" si="54"/>
        <v>5</v>
      </c>
      <c r="BR104" s="5"/>
    </row>
    <row r="105" spans="1:70" x14ac:dyDescent="0.2">
      <c r="A105" s="4" t="s">
        <v>92</v>
      </c>
      <c r="B105" s="4">
        <v>265</v>
      </c>
      <c r="C105" s="4">
        <v>13</v>
      </c>
      <c r="D105" s="4">
        <v>13</v>
      </c>
      <c r="E105" s="284">
        <v>1200</v>
      </c>
      <c r="F105" s="5">
        <v>1161</v>
      </c>
      <c r="G105" s="5">
        <v>1132</v>
      </c>
      <c r="H105" s="5">
        <v>1103</v>
      </c>
      <c r="I105" s="5">
        <v>1096</v>
      </c>
      <c r="J105" s="5">
        <v>1107</v>
      </c>
      <c r="K105" s="5">
        <v>1088</v>
      </c>
      <c r="L105" s="5">
        <v>1064</v>
      </c>
      <c r="M105" s="5">
        <v>1035</v>
      </c>
      <c r="N105" s="5">
        <v>1047</v>
      </c>
      <c r="O105" s="5">
        <v>1032</v>
      </c>
      <c r="P105" s="5">
        <v>1017</v>
      </c>
      <c r="Q105" s="5">
        <v>1003</v>
      </c>
      <c r="R105" s="5">
        <v>989</v>
      </c>
      <c r="S105" s="5">
        <v>977</v>
      </c>
      <c r="T105" s="5">
        <v>966</v>
      </c>
      <c r="U105" s="5"/>
      <c r="V105" s="5"/>
      <c r="X105" s="7">
        <f t="shared" si="55"/>
        <v>7</v>
      </c>
      <c r="AA105" s="24">
        <f t="shared" si="44"/>
        <v>7</v>
      </c>
      <c r="AD105" s="4">
        <f t="shared" si="45"/>
        <v>7</v>
      </c>
      <c r="AG105" s="4">
        <f t="shared" si="46"/>
        <v>7</v>
      </c>
      <c r="AJ105" s="4">
        <f t="shared" si="47"/>
        <v>7</v>
      </c>
      <c r="AM105" s="4">
        <f t="shared" si="48"/>
        <v>7</v>
      </c>
      <c r="AP105" s="4">
        <f t="shared" si="49"/>
        <v>7</v>
      </c>
      <c r="AS105" s="4">
        <f t="shared" si="50"/>
        <v>7</v>
      </c>
      <c r="AV105" s="4">
        <f t="shared" si="51"/>
        <v>7</v>
      </c>
      <c r="AY105" s="4">
        <f t="shared" si="52"/>
        <v>7</v>
      </c>
      <c r="BB105" s="4">
        <f t="shared" si="53"/>
        <v>7</v>
      </c>
      <c r="BE105" s="4">
        <f t="shared" si="54"/>
        <v>7</v>
      </c>
      <c r="BR105" s="5"/>
    </row>
    <row r="106" spans="1:70" x14ac:dyDescent="0.2">
      <c r="A106" s="4" t="s">
        <v>93</v>
      </c>
      <c r="B106" s="4">
        <v>271</v>
      </c>
      <c r="C106" s="4">
        <v>4</v>
      </c>
      <c r="D106" s="4">
        <v>4</v>
      </c>
      <c r="E106" s="284">
        <v>7591</v>
      </c>
      <c r="F106" s="5">
        <v>7498</v>
      </c>
      <c r="G106" s="5">
        <v>7381</v>
      </c>
      <c r="H106" s="5">
        <v>7226</v>
      </c>
      <c r="I106" s="5">
        <v>7103</v>
      </c>
      <c r="J106" s="5">
        <v>7013</v>
      </c>
      <c r="K106" s="5">
        <v>6951</v>
      </c>
      <c r="L106" s="5">
        <v>6903</v>
      </c>
      <c r="M106" s="5">
        <v>6766</v>
      </c>
      <c r="N106" s="5">
        <v>6634</v>
      </c>
      <c r="O106" s="5">
        <v>6550</v>
      </c>
      <c r="P106" s="5">
        <v>6473</v>
      </c>
      <c r="Q106" s="5">
        <v>6402</v>
      </c>
      <c r="R106" s="5">
        <v>6334</v>
      </c>
      <c r="S106" s="5">
        <v>6271</v>
      </c>
      <c r="T106" s="5">
        <v>6212</v>
      </c>
      <c r="U106" s="5"/>
      <c r="V106" s="5"/>
      <c r="X106" s="7">
        <f t="shared" si="55"/>
        <v>5</v>
      </c>
      <c r="AA106" s="24">
        <f t="shared" si="44"/>
        <v>5</v>
      </c>
      <c r="AD106" s="4">
        <f t="shared" si="45"/>
        <v>5</v>
      </c>
      <c r="AG106" s="4">
        <f t="shared" si="46"/>
        <v>5</v>
      </c>
      <c r="AJ106" s="4">
        <f t="shared" si="47"/>
        <v>5</v>
      </c>
      <c r="AM106" s="4">
        <f t="shared" si="48"/>
        <v>5</v>
      </c>
      <c r="AP106" s="4">
        <f t="shared" si="49"/>
        <v>5</v>
      </c>
      <c r="AS106" s="4">
        <f t="shared" si="50"/>
        <v>5</v>
      </c>
      <c r="AV106" s="4">
        <f t="shared" si="51"/>
        <v>5</v>
      </c>
      <c r="AY106" s="4">
        <f t="shared" si="52"/>
        <v>5</v>
      </c>
      <c r="BB106" s="4">
        <f t="shared" si="53"/>
        <v>5</v>
      </c>
      <c r="BE106" s="4">
        <f t="shared" si="54"/>
        <v>5</v>
      </c>
      <c r="BR106" s="5"/>
    </row>
    <row r="107" spans="1:70" x14ac:dyDescent="0.2">
      <c r="A107" s="4" t="s">
        <v>94</v>
      </c>
      <c r="B107" s="4">
        <v>272</v>
      </c>
      <c r="C107" s="4">
        <v>16</v>
      </c>
      <c r="D107" s="4">
        <v>16</v>
      </c>
      <c r="E107" s="284">
        <v>47570</v>
      </c>
      <c r="F107" s="5">
        <v>47723</v>
      </c>
      <c r="G107" s="5">
        <v>47723</v>
      </c>
      <c r="H107" s="5">
        <v>47657</v>
      </c>
      <c r="I107" s="5">
        <v>47681</v>
      </c>
      <c r="J107" s="5">
        <v>47772</v>
      </c>
      <c r="K107" s="5">
        <v>47909</v>
      </c>
      <c r="L107" s="5">
        <v>48006</v>
      </c>
      <c r="M107" s="5">
        <v>48295</v>
      </c>
      <c r="N107" s="5">
        <v>47886</v>
      </c>
      <c r="O107" s="5">
        <v>47872</v>
      </c>
      <c r="P107" s="5">
        <v>47843</v>
      </c>
      <c r="Q107" s="5">
        <v>47803</v>
      </c>
      <c r="R107" s="5">
        <v>47748</v>
      </c>
      <c r="S107" s="5">
        <v>47680</v>
      </c>
      <c r="T107" s="5">
        <v>47598</v>
      </c>
      <c r="U107" s="5"/>
      <c r="V107" s="5"/>
      <c r="X107" s="7">
        <f t="shared" si="55"/>
        <v>2</v>
      </c>
      <c r="AA107" s="24">
        <f t="shared" si="44"/>
        <v>2</v>
      </c>
      <c r="AD107" s="4">
        <f t="shared" si="45"/>
        <v>2</v>
      </c>
      <c r="AG107" s="4">
        <f t="shared" si="46"/>
        <v>2</v>
      </c>
      <c r="AJ107" s="4">
        <f t="shared" si="47"/>
        <v>2</v>
      </c>
      <c r="AM107" s="4">
        <f t="shared" si="48"/>
        <v>2</v>
      </c>
      <c r="AP107" s="4">
        <f t="shared" si="49"/>
        <v>2</v>
      </c>
      <c r="AS107" s="4">
        <f t="shared" si="50"/>
        <v>2</v>
      </c>
      <c r="AV107" s="4">
        <f t="shared" si="51"/>
        <v>2</v>
      </c>
      <c r="AY107" s="4">
        <f t="shared" si="52"/>
        <v>2</v>
      </c>
      <c r="BB107" s="4">
        <f t="shared" si="53"/>
        <v>2</v>
      </c>
      <c r="BE107" s="4">
        <f t="shared" si="54"/>
        <v>2</v>
      </c>
      <c r="BR107" s="5"/>
    </row>
    <row r="108" spans="1:70" x14ac:dyDescent="0.2">
      <c r="A108" s="4" t="s">
        <v>95</v>
      </c>
      <c r="B108" s="4">
        <v>273</v>
      </c>
      <c r="C108" s="4">
        <v>19</v>
      </c>
      <c r="D108" s="4">
        <v>19</v>
      </c>
      <c r="E108" s="284">
        <v>3848</v>
      </c>
      <c r="F108" s="5">
        <v>3827</v>
      </c>
      <c r="G108" s="5">
        <v>3854</v>
      </c>
      <c r="H108" s="5">
        <v>3834</v>
      </c>
      <c r="I108" s="5">
        <v>3846</v>
      </c>
      <c r="J108" s="5">
        <v>3925</v>
      </c>
      <c r="K108" s="5">
        <v>3989</v>
      </c>
      <c r="L108" s="5">
        <v>3999</v>
      </c>
      <c r="M108" s="5">
        <v>4011</v>
      </c>
      <c r="N108" s="5">
        <v>3968</v>
      </c>
      <c r="O108" s="5">
        <v>3974</v>
      </c>
      <c r="P108" s="5">
        <v>3978</v>
      </c>
      <c r="Q108" s="5">
        <v>3977</v>
      </c>
      <c r="R108" s="5">
        <v>3977</v>
      </c>
      <c r="S108" s="5">
        <v>3978</v>
      </c>
      <c r="T108" s="5">
        <v>3976</v>
      </c>
      <c r="U108" s="5"/>
      <c r="V108" s="5"/>
      <c r="X108" s="7">
        <f t="shared" si="55"/>
        <v>6</v>
      </c>
      <c r="AA108" s="24">
        <f t="shared" si="44"/>
        <v>6</v>
      </c>
      <c r="AD108" s="4">
        <f t="shared" si="45"/>
        <v>6</v>
      </c>
      <c r="AG108" s="4">
        <f t="shared" si="46"/>
        <v>6</v>
      </c>
      <c r="AJ108" s="4">
        <f t="shared" si="47"/>
        <v>6</v>
      </c>
      <c r="AM108" s="4">
        <f t="shared" si="48"/>
        <v>6</v>
      </c>
      <c r="AP108" s="4">
        <f t="shared" si="49"/>
        <v>6</v>
      </c>
      <c r="AS108" s="4">
        <f t="shared" si="50"/>
        <v>6</v>
      </c>
      <c r="AV108" s="4">
        <f t="shared" si="51"/>
        <v>6</v>
      </c>
      <c r="AY108" s="4">
        <f t="shared" si="52"/>
        <v>6</v>
      </c>
      <c r="BB108" s="4">
        <f t="shared" si="53"/>
        <v>6</v>
      </c>
      <c r="BE108" s="4">
        <f t="shared" si="54"/>
        <v>6</v>
      </c>
      <c r="BR108" s="5"/>
    </row>
    <row r="109" spans="1:70" x14ac:dyDescent="0.2">
      <c r="A109" s="4" t="s">
        <v>96</v>
      </c>
      <c r="B109" s="4">
        <v>275</v>
      </c>
      <c r="C109" s="4">
        <v>13</v>
      </c>
      <c r="D109" s="4">
        <v>13</v>
      </c>
      <c r="E109" s="284">
        <v>2757</v>
      </c>
      <c r="F109" s="5">
        <v>2753</v>
      </c>
      <c r="G109" s="5">
        <v>2748</v>
      </c>
      <c r="H109" s="5">
        <v>2698</v>
      </c>
      <c r="I109" s="5">
        <v>2627</v>
      </c>
      <c r="J109" s="5">
        <v>2593</v>
      </c>
      <c r="K109" s="5">
        <v>2586</v>
      </c>
      <c r="L109" s="5">
        <v>2521</v>
      </c>
      <c r="M109" s="5">
        <v>2499</v>
      </c>
      <c r="N109" s="5">
        <v>2450</v>
      </c>
      <c r="O109" s="5">
        <v>2419</v>
      </c>
      <c r="P109" s="5">
        <v>2390</v>
      </c>
      <c r="Q109" s="5">
        <v>2360</v>
      </c>
      <c r="R109" s="5">
        <v>2331</v>
      </c>
      <c r="S109" s="5">
        <v>2305</v>
      </c>
      <c r="T109" s="5">
        <v>2279</v>
      </c>
      <c r="U109" s="5"/>
      <c r="V109" s="5"/>
      <c r="X109" s="7">
        <f t="shared" si="55"/>
        <v>6</v>
      </c>
      <c r="AA109" s="24">
        <f t="shared" si="44"/>
        <v>6</v>
      </c>
      <c r="AD109" s="4">
        <f t="shared" si="45"/>
        <v>6</v>
      </c>
      <c r="AG109" s="4">
        <f t="shared" si="46"/>
        <v>6</v>
      </c>
      <c r="AJ109" s="4">
        <f t="shared" si="47"/>
        <v>6</v>
      </c>
      <c r="AM109" s="4">
        <f t="shared" si="48"/>
        <v>6</v>
      </c>
      <c r="AP109" s="4">
        <f t="shared" si="49"/>
        <v>6</v>
      </c>
      <c r="AS109" s="4">
        <f t="shared" si="50"/>
        <v>6</v>
      </c>
      <c r="AV109" s="4">
        <f t="shared" si="51"/>
        <v>6</v>
      </c>
      <c r="AY109" s="4">
        <f t="shared" si="52"/>
        <v>6</v>
      </c>
      <c r="BB109" s="4">
        <f t="shared" si="53"/>
        <v>6</v>
      </c>
      <c r="BE109" s="4">
        <f t="shared" si="54"/>
        <v>6</v>
      </c>
      <c r="BR109" s="5"/>
    </row>
    <row r="110" spans="1:70" x14ac:dyDescent="0.2">
      <c r="A110" s="4" t="s">
        <v>97</v>
      </c>
      <c r="B110" s="4">
        <v>276</v>
      </c>
      <c r="C110" s="4">
        <v>12</v>
      </c>
      <c r="D110" s="4">
        <v>12</v>
      </c>
      <c r="E110" s="284">
        <v>14827</v>
      </c>
      <c r="F110" s="5">
        <v>14806</v>
      </c>
      <c r="G110" s="5">
        <v>14830</v>
      </c>
      <c r="H110" s="5">
        <v>14849</v>
      </c>
      <c r="I110" s="5">
        <v>14821</v>
      </c>
      <c r="J110" s="5">
        <v>14857</v>
      </c>
      <c r="K110" s="5">
        <v>15035</v>
      </c>
      <c r="L110" s="5">
        <v>15157</v>
      </c>
      <c r="M110" s="5">
        <v>15136</v>
      </c>
      <c r="N110" s="5">
        <v>14949</v>
      </c>
      <c r="O110" s="5">
        <v>14946</v>
      </c>
      <c r="P110" s="5">
        <v>14932</v>
      </c>
      <c r="Q110" s="5">
        <v>14911</v>
      </c>
      <c r="R110" s="5">
        <v>14882</v>
      </c>
      <c r="S110" s="5">
        <v>14849</v>
      </c>
      <c r="T110" s="5">
        <v>14809</v>
      </c>
      <c r="U110" s="5"/>
      <c r="V110" s="5"/>
      <c r="X110" s="7">
        <f t="shared" si="55"/>
        <v>4</v>
      </c>
      <c r="AA110" s="24">
        <f t="shared" si="44"/>
        <v>4</v>
      </c>
      <c r="AD110" s="4">
        <f t="shared" si="45"/>
        <v>4</v>
      </c>
      <c r="AG110" s="4">
        <f t="shared" si="46"/>
        <v>4</v>
      </c>
      <c r="AJ110" s="4">
        <f t="shared" si="47"/>
        <v>4</v>
      </c>
      <c r="AM110" s="4">
        <f t="shared" si="48"/>
        <v>4</v>
      </c>
      <c r="AP110" s="4">
        <f t="shared" si="49"/>
        <v>4</v>
      </c>
      <c r="AS110" s="4">
        <f t="shared" si="50"/>
        <v>4</v>
      </c>
      <c r="AV110" s="4">
        <f t="shared" si="51"/>
        <v>4</v>
      </c>
      <c r="AY110" s="4">
        <f t="shared" si="52"/>
        <v>4</v>
      </c>
      <c r="BB110" s="4">
        <f t="shared" si="53"/>
        <v>4</v>
      </c>
      <c r="BE110" s="4">
        <f t="shared" si="54"/>
        <v>4</v>
      </c>
      <c r="BR110" s="5"/>
    </row>
    <row r="111" spans="1:70" x14ac:dyDescent="0.2">
      <c r="A111" s="4" t="s">
        <v>98</v>
      </c>
      <c r="B111" s="4">
        <v>280</v>
      </c>
      <c r="C111" s="4">
        <v>15</v>
      </c>
      <c r="D111" s="4">
        <v>15</v>
      </c>
      <c r="E111" s="284">
        <v>2201</v>
      </c>
      <c r="F111" s="5">
        <v>2171</v>
      </c>
      <c r="G111" s="5">
        <v>2154</v>
      </c>
      <c r="H111" s="5">
        <v>2122</v>
      </c>
      <c r="I111" s="5">
        <v>2077</v>
      </c>
      <c r="J111" s="5">
        <v>2068</v>
      </c>
      <c r="K111" s="5">
        <v>2050</v>
      </c>
      <c r="L111" s="5">
        <v>2024</v>
      </c>
      <c r="M111" s="5">
        <v>2015</v>
      </c>
      <c r="N111" s="5">
        <v>2015</v>
      </c>
      <c r="O111" s="5">
        <v>2005</v>
      </c>
      <c r="P111" s="5">
        <v>1995</v>
      </c>
      <c r="Q111" s="5">
        <v>1982</v>
      </c>
      <c r="R111" s="5">
        <v>1971</v>
      </c>
      <c r="S111" s="5">
        <v>1959</v>
      </c>
      <c r="T111" s="5">
        <v>1948</v>
      </c>
      <c r="U111" s="5"/>
      <c r="V111" s="5"/>
      <c r="X111" s="7">
        <f t="shared" si="55"/>
        <v>6</v>
      </c>
      <c r="AA111" s="24">
        <f t="shared" si="44"/>
        <v>6</v>
      </c>
      <c r="AD111" s="4">
        <f t="shared" si="45"/>
        <v>6</v>
      </c>
      <c r="AG111" s="4">
        <f t="shared" si="46"/>
        <v>6</v>
      </c>
      <c r="AJ111" s="4">
        <f t="shared" si="47"/>
        <v>6</v>
      </c>
      <c r="AM111" s="4">
        <f t="shared" si="48"/>
        <v>6</v>
      </c>
      <c r="AP111" s="4">
        <f t="shared" si="49"/>
        <v>6</v>
      </c>
      <c r="AS111" s="4">
        <f t="shared" si="50"/>
        <v>7</v>
      </c>
      <c r="AV111" s="4">
        <f t="shared" si="51"/>
        <v>7</v>
      </c>
      <c r="AY111" s="4">
        <f t="shared" si="52"/>
        <v>7</v>
      </c>
      <c r="BB111" s="4">
        <f t="shared" si="53"/>
        <v>7</v>
      </c>
      <c r="BE111" s="4">
        <f t="shared" si="54"/>
        <v>7</v>
      </c>
      <c r="BR111" s="5"/>
    </row>
    <row r="112" spans="1:70" x14ac:dyDescent="0.2">
      <c r="A112" s="4" t="s">
        <v>99</v>
      </c>
      <c r="B112" s="4">
        <v>284</v>
      </c>
      <c r="C112" s="4">
        <v>2</v>
      </c>
      <c r="D112" s="4">
        <v>2</v>
      </c>
      <c r="E112" s="284">
        <v>2399</v>
      </c>
      <c r="F112" s="5">
        <v>2416</v>
      </c>
      <c r="G112" s="5">
        <v>2359</v>
      </c>
      <c r="H112" s="5">
        <v>2340</v>
      </c>
      <c r="I112" s="5">
        <v>2308</v>
      </c>
      <c r="J112" s="5">
        <v>2292</v>
      </c>
      <c r="K112" s="5">
        <v>2271</v>
      </c>
      <c r="L112" s="5">
        <v>2227</v>
      </c>
      <c r="M112" s="5">
        <v>2207</v>
      </c>
      <c r="N112" s="5">
        <v>2198</v>
      </c>
      <c r="O112" s="5">
        <v>2177</v>
      </c>
      <c r="P112" s="5">
        <v>2157</v>
      </c>
      <c r="Q112" s="5">
        <v>2139</v>
      </c>
      <c r="R112" s="5">
        <v>2118</v>
      </c>
      <c r="S112" s="5">
        <v>2100</v>
      </c>
      <c r="T112" s="5">
        <v>2083</v>
      </c>
      <c r="U112" s="5"/>
      <c r="V112" s="5"/>
      <c r="X112" s="7">
        <f t="shared" si="55"/>
        <v>6</v>
      </c>
      <c r="AA112" s="24">
        <f t="shared" si="44"/>
        <v>6</v>
      </c>
      <c r="AD112" s="4">
        <f t="shared" si="45"/>
        <v>6</v>
      </c>
      <c r="AG112" s="4">
        <f t="shared" si="46"/>
        <v>6</v>
      </c>
      <c r="AJ112" s="4">
        <f t="shared" si="47"/>
        <v>6</v>
      </c>
      <c r="AM112" s="4">
        <f t="shared" si="48"/>
        <v>6</v>
      </c>
      <c r="AP112" s="4">
        <f t="shared" si="49"/>
        <v>6</v>
      </c>
      <c r="AS112" s="4">
        <f t="shared" si="50"/>
        <v>6</v>
      </c>
      <c r="AV112" s="4">
        <f t="shared" si="51"/>
        <v>6</v>
      </c>
      <c r="AY112" s="4">
        <f t="shared" si="52"/>
        <v>6</v>
      </c>
      <c r="BB112" s="4">
        <f t="shared" si="53"/>
        <v>6</v>
      </c>
      <c r="BE112" s="4">
        <f t="shared" si="54"/>
        <v>6</v>
      </c>
      <c r="BR112" s="5"/>
    </row>
    <row r="113" spans="1:70" x14ac:dyDescent="0.2">
      <c r="A113" s="4" t="s">
        <v>100</v>
      </c>
      <c r="B113" s="4">
        <v>285</v>
      </c>
      <c r="C113" s="4">
        <v>8</v>
      </c>
      <c r="D113" s="4">
        <v>8</v>
      </c>
      <c r="E113" s="284">
        <v>54319</v>
      </c>
      <c r="F113" s="5">
        <v>54187</v>
      </c>
      <c r="G113" s="5">
        <v>53539</v>
      </c>
      <c r="H113" s="5">
        <v>52883</v>
      </c>
      <c r="I113" s="5">
        <v>52126</v>
      </c>
      <c r="J113" s="5">
        <v>51668</v>
      </c>
      <c r="K113" s="5">
        <v>51241</v>
      </c>
      <c r="L113" s="5">
        <v>50617</v>
      </c>
      <c r="M113" s="5">
        <v>50500</v>
      </c>
      <c r="N113" s="5">
        <v>49819</v>
      </c>
      <c r="O113" s="5">
        <v>49388</v>
      </c>
      <c r="P113" s="5">
        <v>48974</v>
      </c>
      <c r="Q113" s="5">
        <v>48570</v>
      </c>
      <c r="R113" s="5">
        <v>48175</v>
      </c>
      <c r="S113" s="5">
        <v>47787</v>
      </c>
      <c r="T113" s="5">
        <v>47411</v>
      </c>
      <c r="U113" s="5"/>
      <c r="V113" s="5"/>
      <c r="X113" s="7">
        <f t="shared" si="55"/>
        <v>2</v>
      </c>
      <c r="AA113" s="24">
        <f t="shared" si="44"/>
        <v>2</v>
      </c>
      <c r="AD113" s="4">
        <f t="shared" si="45"/>
        <v>2</v>
      </c>
      <c r="AG113" s="4">
        <f t="shared" si="46"/>
        <v>2</v>
      </c>
      <c r="AJ113" s="4">
        <f t="shared" si="47"/>
        <v>2</v>
      </c>
      <c r="AM113" s="4">
        <f t="shared" si="48"/>
        <v>2</v>
      </c>
      <c r="AP113" s="4">
        <f t="shared" si="49"/>
        <v>2</v>
      </c>
      <c r="AS113" s="4">
        <f t="shared" si="50"/>
        <v>2</v>
      </c>
      <c r="AV113" s="4">
        <f t="shared" si="51"/>
        <v>2</v>
      </c>
      <c r="AY113" s="4">
        <f t="shared" si="52"/>
        <v>2</v>
      </c>
      <c r="BB113" s="4">
        <f t="shared" si="53"/>
        <v>2</v>
      </c>
      <c r="BE113" s="4">
        <f t="shared" si="54"/>
        <v>2</v>
      </c>
      <c r="BR113" s="5"/>
    </row>
    <row r="114" spans="1:70" x14ac:dyDescent="0.2">
      <c r="A114" s="4" t="s">
        <v>101</v>
      </c>
      <c r="B114" s="4">
        <v>286</v>
      </c>
      <c r="C114" s="4">
        <v>8</v>
      </c>
      <c r="D114" s="4">
        <v>8</v>
      </c>
      <c r="E114" s="284">
        <v>85855</v>
      </c>
      <c r="F114" s="5">
        <v>85306</v>
      </c>
      <c r="G114" s="5">
        <v>84196</v>
      </c>
      <c r="H114" s="5">
        <v>83177</v>
      </c>
      <c r="I114" s="5">
        <v>82113</v>
      </c>
      <c r="J114" s="5">
        <v>81187</v>
      </c>
      <c r="K114" s="5">
        <v>80454</v>
      </c>
      <c r="L114" s="5">
        <v>79429</v>
      </c>
      <c r="M114" s="5">
        <v>78880</v>
      </c>
      <c r="N114" s="5">
        <v>77916</v>
      </c>
      <c r="O114" s="5">
        <v>77145</v>
      </c>
      <c r="P114" s="5">
        <v>76391</v>
      </c>
      <c r="Q114" s="5">
        <v>75659</v>
      </c>
      <c r="R114" s="5">
        <v>74952</v>
      </c>
      <c r="S114" s="5">
        <v>74257</v>
      </c>
      <c r="T114" s="5">
        <v>73577</v>
      </c>
      <c r="U114" s="5"/>
      <c r="V114" s="5"/>
      <c r="X114" s="7">
        <f t="shared" si="55"/>
        <v>2</v>
      </c>
      <c r="AA114" s="24">
        <f t="shared" si="44"/>
        <v>2</v>
      </c>
      <c r="AD114" s="4">
        <f t="shared" si="45"/>
        <v>2</v>
      </c>
      <c r="AG114" s="4">
        <f t="shared" si="46"/>
        <v>2</v>
      </c>
      <c r="AJ114" s="4">
        <f t="shared" si="47"/>
        <v>2</v>
      </c>
      <c r="AM114" s="4">
        <f t="shared" si="48"/>
        <v>2</v>
      </c>
      <c r="AP114" s="4">
        <f t="shared" si="49"/>
        <v>2</v>
      </c>
      <c r="AS114" s="4">
        <f t="shared" si="50"/>
        <v>2</v>
      </c>
      <c r="AV114" s="4">
        <f t="shared" si="51"/>
        <v>2</v>
      </c>
      <c r="AY114" s="4">
        <f t="shared" si="52"/>
        <v>2</v>
      </c>
      <c r="BB114" s="4">
        <f t="shared" si="53"/>
        <v>2</v>
      </c>
      <c r="BE114" s="4">
        <f t="shared" si="54"/>
        <v>2</v>
      </c>
      <c r="BR114" s="5"/>
    </row>
    <row r="115" spans="1:70" x14ac:dyDescent="0.2">
      <c r="A115" s="4" t="s">
        <v>102</v>
      </c>
      <c r="B115" s="4">
        <v>287</v>
      </c>
      <c r="C115" s="4">
        <v>15</v>
      </c>
      <c r="D115" s="4">
        <v>15</v>
      </c>
      <c r="E115" s="284">
        <v>6793</v>
      </c>
      <c r="F115" s="5">
        <v>6727</v>
      </c>
      <c r="G115" s="5">
        <v>6638</v>
      </c>
      <c r="H115" s="5">
        <v>6596</v>
      </c>
      <c r="I115" s="5">
        <v>6486</v>
      </c>
      <c r="J115" s="5">
        <v>6404</v>
      </c>
      <c r="K115" s="5">
        <v>6380</v>
      </c>
      <c r="L115" s="5">
        <v>6242</v>
      </c>
      <c r="M115" s="5">
        <v>6199</v>
      </c>
      <c r="N115" s="5">
        <v>6109</v>
      </c>
      <c r="O115" s="5">
        <v>6047</v>
      </c>
      <c r="P115" s="5">
        <v>5988</v>
      </c>
      <c r="Q115" s="5">
        <v>5931</v>
      </c>
      <c r="R115" s="5">
        <v>5874</v>
      </c>
      <c r="S115" s="5">
        <v>5817</v>
      </c>
      <c r="T115" s="5">
        <v>5762</v>
      </c>
      <c r="U115" s="5"/>
      <c r="V115" s="5"/>
      <c r="X115" s="7">
        <f t="shared" si="55"/>
        <v>5</v>
      </c>
      <c r="AA115" s="24">
        <f t="shared" si="44"/>
        <v>5</v>
      </c>
      <c r="AD115" s="4">
        <f t="shared" si="45"/>
        <v>5</v>
      </c>
      <c r="AG115" s="4">
        <f t="shared" si="46"/>
        <v>5</v>
      </c>
      <c r="AJ115" s="4">
        <f t="shared" si="47"/>
        <v>5</v>
      </c>
      <c r="AM115" s="4">
        <f t="shared" si="48"/>
        <v>5</v>
      </c>
      <c r="AP115" s="4">
        <f t="shared" si="49"/>
        <v>5</v>
      </c>
      <c r="AS115" s="4">
        <f t="shared" si="50"/>
        <v>5</v>
      </c>
      <c r="AV115" s="4">
        <f t="shared" si="51"/>
        <v>5</v>
      </c>
      <c r="AY115" s="4">
        <f t="shared" si="52"/>
        <v>5</v>
      </c>
      <c r="BB115" s="4">
        <f t="shared" si="53"/>
        <v>5</v>
      </c>
      <c r="BE115" s="4">
        <f t="shared" si="54"/>
        <v>5</v>
      </c>
      <c r="BR115" s="5"/>
    </row>
    <row r="116" spans="1:70" x14ac:dyDescent="0.2">
      <c r="A116" s="4" t="s">
        <v>103</v>
      </c>
      <c r="B116" s="4">
        <v>288</v>
      </c>
      <c r="C116" s="4">
        <v>15</v>
      </c>
      <c r="D116" s="4">
        <v>15</v>
      </c>
      <c r="E116" s="284">
        <v>6682</v>
      </c>
      <c r="F116" s="5">
        <v>6620</v>
      </c>
      <c r="G116" s="5">
        <v>6531</v>
      </c>
      <c r="H116" s="5">
        <v>6509</v>
      </c>
      <c r="I116" s="5">
        <v>6428</v>
      </c>
      <c r="J116" s="5">
        <v>6416</v>
      </c>
      <c r="K116" s="5">
        <v>6442</v>
      </c>
      <c r="L116" s="5">
        <v>6405</v>
      </c>
      <c r="M116" s="5">
        <v>6368</v>
      </c>
      <c r="N116" s="5">
        <v>6224</v>
      </c>
      <c r="O116" s="5">
        <v>6177</v>
      </c>
      <c r="P116" s="5">
        <v>6131</v>
      </c>
      <c r="Q116" s="5">
        <v>6084</v>
      </c>
      <c r="R116" s="5">
        <v>6036</v>
      </c>
      <c r="S116" s="5">
        <v>5990</v>
      </c>
      <c r="T116" s="5">
        <v>5943</v>
      </c>
      <c r="U116" s="5"/>
      <c r="V116" s="5"/>
      <c r="X116" s="7">
        <f t="shared" si="55"/>
        <v>5</v>
      </c>
      <c r="AA116" s="24">
        <f t="shared" si="44"/>
        <v>5</v>
      </c>
      <c r="AD116" s="4">
        <f t="shared" si="45"/>
        <v>5</v>
      </c>
      <c r="AG116" s="4">
        <f t="shared" si="46"/>
        <v>5</v>
      </c>
      <c r="AJ116" s="4">
        <f t="shared" si="47"/>
        <v>5</v>
      </c>
      <c r="AM116" s="4">
        <f t="shared" si="48"/>
        <v>5</v>
      </c>
      <c r="AP116" s="4">
        <f t="shared" si="49"/>
        <v>5</v>
      </c>
      <c r="AS116" s="4">
        <f t="shared" si="50"/>
        <v>5</v>
      </c>
      <c r="AV116" s="4">
        <f t="shared" si="51"/>
        <v>5</v>
      </c>
      <c r="AY116" s="4">
        <f t="shared" si="52"/>
        <v>5</v>
      </c>
      <c r="BB116" s="4">
        <f t="shared" si="53"/>
        <v>5</v>
      </c>
      <c r="BE116" s="4">
        <f t="shared" si="54"/>
        <v>5</v>
      </c>
      <c r="BR116" s="5"/>
    </row>
    <row r="117" spans="1:70" x14ac:dyDescent="0.2">
      <c r="A117" s="4" t="s">
        <v>104</v>
      </c>
      <c r="B117" s="4">
        <v>290</v>
      </c>
      <c r="C117" s="4">
        <v>18</v>
      </c>
      <c r="D117" s="4">
        <v>18</v>
      </c>
      <c r="E117" s="284">
        <v>8806</v>
      </c>
      <c r="F117" s="5">
        <v>8647</v>
      </c>
      <c r="G117" s="5">
        <v>8499</v>
      </c>
      <c r="H117" s="5">
        <v>8329</v>
      </c>
      <c r="I117" s="5">
        <v>8190</v>
      </c>
      <c r="J117" s="5">
        <v>8042</v>
      </c>
      <c r="K117" s="5">
        <v>7928</v>
      </c>
      <c r="L117" s="5">
        <v>7755</v>
      </c>
      <c r="M117" s="5">
        <v>7582</v>
      </c>
      <c r="N117" s="5">
        <v>7477</v>
      </c>
      <c r="O117" s="5">
        <v>7347</v>
      </c>
      <c r="P117" s="5">
        <v>7217</v>
      </c>
      <c r="Q117" s="5">
        <v>7090</v>
      </c>
      <c r="R117" s="5">
        <v>6967</v>
      </c>
      <c r="S117" s="5">
        <v>6850</v>
      </c>
      <c r="T117" s="5">
        <v>6738</v>
      </c>
      <c r="U117" s="5"/>
      <c r="V117" s="5"/>
      <c r="X117" s="7">
        <f t="shared" si="55"/>
        <v>5</v>
      </c>
      <c r="AA117" s="24">
        <f t="shared" si="44"/>
        <v>5</v>
      </c>
      <c r="AD117" s="4">
        <f t="shared" si="45"/>
        <v>5</v>
      </c>
      <c r="AG117" s="4">
        <f t="shared" si="46"/>
        <v>5</v>
      </c>
      <c r="AJ117" s="4">
        <f t="shared" si="47"/>
        <v>5</v>
      </c>
      <c r="AM117" s="4">
        <f t="shared" si="48"/>
        <v>5</v>
      </c>
      <c r="AP117" s="4">
        <f t="shared" si="49"/>
        <v>5</v>
      </c>
      <c r="AS117" s="4">
        <f t="shared" si="50"/>
        <v>5</v>
      </c>
      <c r="AV117" s="4">
        <f t="shared" si="51"/>
        <v>5</v>
      </c>
      <c r="AY117" s="4">
        <f t="shared" si="52"/>
        <v>5</v>
      </c>
      <c r="BB117" s="4">
        <f t="shared" si="53"/>
        <v>5</v>
      </c>
      <c r="BE117" s="4">
        <f t="shared" si="54"/>
        <v>5</v>
      </c>
      <c r="BR117" s="5"/>
    </row>
    <row r="118" spans="1:70" x14ac:dyDescent="0.2">
      <c r="A118" s="4" t="s">
        <v>105</v>
      </c>
      <c r="B118" s="4">
        <v>291</v>
      </c>
      <c r="C118" s="4">
        <v>6</v>
      </c>
      <c r="D118" s="4">
        <v>6</v>
      </c>
      <c r="E118" s="284">
        <v>2334</v>
      </c>
      <c r="F118" s="5">
        <v>2286</v>
      </c>
      <c r="G118" s="5">
        <v>2252</v>
      </c>
      <c r="H118" s="5">
        <v>2238</v>
      </c>
      <c r="I118" s="5">
        <v>2206</v>
      </c>
      <c r="J118" s="5">
        <v>2161</v>
      </c>
      <c r="K118" s="5">
        <v>2158</v>
      </c>
      <c r="L118" s="5">
        <v>2119</v>
      </c>
      <c r="M118" s="5">
        <v>2092</v>
      </c>
      <c r="N118" s="5">
        <v>2042</v>
      </c>
      <c r="O118" s="5">
        <v>2015</v>
      </c>
      <c r="P118" s="5">
        <v>1989</v>
      </c>
      <c r="Q118" s="5">
        <v>1967</v>
      </c>
      <c r="R118" s="5">
        <v>1946</v>
      </c>
      <c r="S118" s="5">
        <v>1925</v>
      </c>
      <c r="T118" s="5">
        <v>1905</v>
      </c>
      <c r="U118" s="5"/>
      <c r="V118" s="5"/>
      <c r="X118" s="7">
        <f t="shared" si="55"/>
        <v>6</v>
      </c>
      <c r="AA118" s="24">
        <f t="shared" si="44"/>
        <v>6</v>
      </c>
      <c r="AD118" s="4">
        <f t="shared" si="45"/>
        <v>6</v>
      </c>
      <c r="AG118" s="4">
        <f t="shared" si="46"/>
        <v>6</v>
      </c>
      <c r="AJ118" s="4">
        <f t="shared" si="47"/>
        <v>6</v>
      </c>
      <c r="AM118" s="4">
        <f t="shared" si="48"/>
        <v>6</v>
      </c>
      <c r="AP118" s="4">
        <f t="shared" si="49"/>
        <v>6</v>
      </c>
      <c r="AS118" s="4">
        <f t="shared" si="50"/>
        <v>7</v>
      </c>
      <c r="AV118" s="4">
        <f t="shared" si="51"/>
        <v>7</v>
      </c>
      <c r="AY118" s="4">
        <f t="shared" si="52"/>
        <v>7</v>
      </c>
      <c r="BB118" s="4">
        <f t="shared" si="53"/>
        <v>7</v>
      </c>
      <c r="BE118" s="4">
        <f t="shared" si="54"/>
        <v>7</v>
      </c>
      <c r="BR118" s="5"/>
    </row>
    <row r="119" spans="1:70" x14ac:dyDescent="0.2">
      <c r="A119" s="4" t="s">
        <v>106</v>
      </c>
      <c r="B119" s="4">
        <v>297</v>
      </c>
      <c r="C119" s="4">
        <v>11</v>
      </c>
      <c r="D119" s="4">
        <v>11</v>
      </c>
      <c r="E119" s="284">
        <v>116921</v>
      </c>
      <c r="F119" s="5">
        <v>117740</v>
      </c>
      <c r="G119" s="5">
        <v>118209</v>
      </c>
      <c r="H119" s="5">
        <v>118664</v>
      </c>
      <c r="I119" s="5">
        <v>119282</v>
      </c>
      <c r="J119" s="5">
        <v>120210</v>
      </c>
      <c r="K119" s="5">
        <v>121543</v>
      </c>
      <c r="L119" s="5">
        <v>122594</v>
      </c>
      <c r="M119" s="5">
        <v>124021</v>
      </c>
      <c r="N119" s="5">
        <v>122773</v>
      </c>
      <c r="O119" s="5">
        <v>123285</v>
      </c>
      <c r="P119" s="5">
        <v>123769</v>
      </c>
      <c r="Q119" s="5">
        <v>124225</v>
      </c>
      <c r="R119" s="5">
        <v>124651</v>
      </c>
      <c r="S119" s="5">
        <v>125039</v>
      </c>
      <c r="T119" s="5">
        <v>125383</v>
      </c>
      <c r="U119" s="5"/>
      <c r="V119" s="5"/>
      <c r="X119" s="7">
        <f t="shared" si="55"/>
        <v>1</v>
      </c>
      <c r="AA119" s="24">
        <f t="shared" si="44"/>
        <v>1</v>
      </c>
      <c r="AD119" s="4">
        <f t="shared" si="45"/>
        <v>1</v>
      </c>
      <c r="AG119" s="4">
        <f t="shared" si="46"/>
        <v>1</v>
      </c>
      <c r="AJ119" s="4">
        <f t="shared" si="47"/>
        <v>1</v>
      </c>
      <c r="AM119" s="4">
        <f t="shared" si="48"/>
        <v>1</v>
      </c>
      <c r="AP119" s="4">
        <f t="shared" si="49"/>
        <v>1</v>
      </c>
      <c r="AS119" s="4">
        <f t="shared" si="50"/>
        <v>1</v>
      </c>
      <c r="AV119" s="4">
        <f t="shared" si="51"/>
        <v>1</v>
      </c>
      <c r="AY119" s="4">
        <f t="shared" si="52"/>
        <v>1</v>
      </c>
      <c r="BB119" s="4">
        <f t="shared" si="53"/>
        <v>1</v>
      </c>
      <c r="BE119" s="4">
        <f t="shared" si="54"/>
        <v>1</v>
      </c>
      <c r="BR119" s="5"/>
    </row>
    <row r="120" spans="1:70" x14ac:dyDescent="0.2">
      <c r="A120" s="4" t="s">
        <v>107</v>
      </c>
      <c r="B120" s="4">
        <v>300</v>
      </c>
      <c r="C120" s="4">
        <v>14</v>
      </c>
      <c r="D120" s="4">
        <v>14</v>
      </c>
      <c r="E120" s="284">
        <v>3715</v>
      </c>
      <c r="F120" s="5">
        <v>3690</v>
      </c>
      <c r="G120" s="5">
        <v>3637</v>
      </c>
      <c r="H120" s="5">
        <v>3572</v>
      </c>
      <c r="I120" s="5">
        <v>3551</v>
      </c>
      <c r="J120" s="5">
        <v>3534</v>
      </c>
      <c r="K120" s="5">
        <v>3528</v>
      </c>
      <c r="L120" s="5">
        <v>3437</v>
      </c>
      <c r="M120" s="5">
        <v>3381</v>
      </c>
      <c r="N120" s="5">
        <v>3387</v>
      </c>
      <c r="O120" s="5">
        <v>3354</v>
      </c>
      <c r="P120" s="5">
        <v>3319</v>
      </c>
      <c r="Q120" s="5">
        <v>3287</v>
      </c>
      <c r="R120" s="5">
        <v>3257</v>
      </c>
      <c r="S120" s="5">
        <v>3229</v>
      </c>
      <c r="T120" s="5">
        <v>3204</v>
      </c>
      <c r="U120" s="5"/>
      <c r="V120" s="5"/>
      <c r="X120" s="7">
        <f t="shared" si="55"/>
        <v>6</v>
      </c>
      <c r="AA120" s="24">
        <f t="shared" si="44"/>
        <v>6</v>
      </c>
      <c r="AD120" s="4">
        <f t="shared" si="45"/>
        <v>6</v>
      </c>
      <c r="AG120" s="4">
        <f t="shared" si="46"/>
        <v>6</v>
      </c>
      <c r="AJ120" s="4">
        <f t="shared" si="47"/>
        <v>6</v>
      </c>
      <c r="AM120" s="4">
        <f t="shared" si="48"/>
        <v>6</v>
      </c>
      <c r="AP120" s="4">
        <f t="shared" si="49"/>
        <v>6</v>
      </c>
      <c r="AS120" s="4">
        <f t="shared" si="50"/>
        <v>6</v>
      </c>
      <c r="AV120" s="4">
        <f t="shared" si="51"/>
        <v>6</v>
      </c>
      <c r="AY120" s="4">
        <f t="shared" si="52"/>
        <v>6</v>
      </c>
      <c r="BB120" s="4">
        <f t="shared" si="53"/>
        <v>6</v>
      </c>
      <c r="BE120" s="4">
        <f t="shared" si="54"/>
        <v>6</v>
      </c>
      <c r="BR120" s="5"/>
    </row>
    <row r="121" spans="1:70" x14ac:dyDescent="0.2">
      <c r="A121" s="4" t="s">
        <v>108</v>
      </c>
      <c r="B121" s="4">
        <v>301</v>
      </c>
      <c r="C121" s="4">
        <v>14</v>
      </c>
      <c r="D121" s="4">
        <v>14</v>
      </c>
      <c r="E121" s="284">
        <v>21734</v>
      </c>
      <c r="F121" s="5">
        <v>21501</v>
      </c>
      <c r="G121" s="5">
        <v>21203</v>
      </c>
      <c r="H121" s="5">
        <v>20952</v>
      </c>
      <c r="I121" s="5">
        <v>20678</v>
      </c>
      <c r="J121" s="5">
        <v>20456</v>
      </c>
      <c r="K121" s="5">
        <v>20197</v>
      </c>
      <c r="L121" s="5">
        <v>19890</v>
      </c>
      <c r="M121" s="5">
        <v>19759</v>
      </c>
      <c r="N121" s="5">
        <v>19495</v>
      </c>
      <c r="O121" s="5">
        <v>19269</v>
      </c>
      <c r="P121" s="5">
        <v>19049</v>
      </c>
      <c r="Q121" s="5">
        <v>18834</v>
      </c>
      <c r="R121" s="5">
        <v>18622</v>
      </c>
      <c r="S121" s="5">
        <v>18410</v>
      </c>
      <c r="T121" s="5">
        <v>18203</v>
      </c>
      <c r="U121" s="5"/>
      <c r="V121" s="5"/>
      <c r="X121" s="7">
        <f t="shared" si="55"/>
        <v>3</v>
      </c>
      <c r="AA121" s="24">
        <f t="shared" si="44"/>
        <v>3</v>
      </c>
      <c r="AD121" s="4">
        <f t="shared" si="45"/>
        <v>3</v>
      </c>
      <c r="AG121" s="4">
        <f t="shared" si="46"/>
        <v>4</v>
      </c>
      <c r="AJ121" s="4">
        <f t="shared" si="47"/>
        <v>4</v>
      </c>
      <c r="AM121" s="4">
        <f t="shared" si="48"/>
        <v>4</v>
      </c>
      <c r="AP121" s="4">
        <f t="shared" si="49"/>
        <v>4</v>
      </c>
      <c r="AS121" s="4">
        <f t="shared" si="50"/>
        <v>4</v>
      </c>
      <c r="AV121" s="4">
        <f t="shared" si="51"/>
        <v>4</v>
      </c>
      <c r="AY121" s="4">
        <f t="shared" si="52"/>
        <v>4</v>
      </c>
      <c r="BB121" s="4">
        <f t="shared" si="53"/>
        <v>4</v>
      </c>
      <c r="BE121" s="4">
        <f t="shared" si="54"/>
        <v>4</v>
      </c>
      <c r="BR121" s="5"/>
    </row>
    <row r="122" spans="1:70" x14ac:dyDescent="0.2">
      <c r="A122" s="4" t="s">
        <v>109</v>
      </c>
      <c r="B122" s="4">
        <v>304</v>
      </c>
      <c r="C122" s="4">
        <v>2</v>
      </c>
      <c r="D122" s="4">
        <v>2</v>
      </c>
      <c r="E122" s="284">
        <v>895</v>
      </c>
      <c r="F122" s="5">
        <v>908</v>
      </c>
      <c r="G122" s="5">
        <v>923</v>
      </c>
      <c r="H122" s="5">
        <v>926</v>
      </c>
      <c r="I122" s="5">
        <v>949</v>
      </c>
      <c r="J122" s="5">
        <v>962</v>
      </c>
      <c r="K122" s="5">
        <v>971</v>
      </c>
      <c r="L122" s="5">
        <v>950</v>
      </c>
      <c r="M122" s="5">
        <v>949</v>
      </c>
      <c r="N122" s="5">
        <v>1025</v>
      </c>
      <c r="O122" s="5">
        <v>1037</v>
      </c>
      <c r="P122" s="5">
        <v>1050</v>
      </c>
      <c r="Q122" s="5">
        <v>1064</v>
      </c>
      <c r="R122" s="5">
        <v>1075</v>
      </c>
      <c r="S122" s="5">
        <v>1086</v>
      </c>
      <c r="T122" s="5">
        <v>1098</v>
      </c>
      <c r="U122" s="5"/>
      <c r="V122" s="5"/>
      <c r="X122" s="7">
        <f t="shared" si="55"/>
        <v>7</v>
      </c>
      <c r="AA122" s="24">
        <f t="shared" si="44"/>
        <v>7</v>
      </c>
      <c r="AD122" s="4">
        <f t="shared" si="45"/>
        <v>7</v>
      </c>
      <c r="AG122" s="4">
        <f t="shared" si="46"/>
        <v>7</v>
      </c>
      <c r="AJ122" s="4">
        <f t="shared" si="47"/>
        <v>7</v>
      </c>
      <c r="AM122" s="4">
        <f t="shared" si="48"/>
        <v>7</v>
      </c>
      <c r="AP122" s="4">
        <f t="shared" si="49"/>
        <v>7</v>
      </c>
      <c r="AS122" s="4">
        <f t="shared" si="50"/>
        <v>7</v>
      </c>
      <c r="AV122" s="4">
        <f t="shared" si="51"/>
        <v>7</v>
      </c>
      <c r="AY122" s="4">
        <f t="shared" si="52"/>
        <v>7</v>
      </c>
      <c r="BB122" s="4">
        <f t="shared" si="53"/>
        <v>7</v>
      </c>
      <c r="BE122" s="4">
        <f t="shared" si="54"/>
        <v>7</v>
      </c>
      <c r="BR122" s="5"/>
    </row>
    <row r="123" spans="1:70" x14ac:dyDescent="0.2">
      <c r="A123" s="4" t="s">
        <v>110</v>
      </c>
      <c r="B123" s="4">
        <v>305</v>
      </c>
      <c r="C123" s="4">
        <v>17</v>
      </c>
      <c r="D123" s="4">
        <v>17</v>
      </c>
      <c r="E123" s="284">
        <v>15688</v>
      </c>
      <c r="F123" s="5">
        <v>15533</v>
      </c>
      <c r="G123" s="5">
        <v>15386</v>
      </c>
      <c r="H123" s="5">
        <v>15207</v>
      </c>
      <c r="I123" s="5">
        <v>15134</v>
      </c>
      <c r="J123" s="5">
        <v>15213</v>
      </c>
      <c r="K123" s="5">
        <v>15165</v>
      </c>
      <c r="L123" s="5">
        <v>15146</v>
      </c>
      <c r="M123" s="5">
        <v>15019</v>
      </c>
      <c r="N123" s="5">
        <v>14776</v>
      </c>
      <c r="O123" s="5">
        <v>14673</v>
      </c>
      <c r="P123" s="5">
        <v>14574</v>
      </c>
      <c r="Q123" s="5">
        <v>14474</v>
      </c>
      <c r="R123" s="5">
        <v>14374</v>
      </c>
      <c r="S123" s="5">
        <v>14275</v>
      </c>
      <c r="T123" s="5">
        <v>14178</v>
      </c>
      <c r="U123" s="5"/>
      <c r="V123" s="5"/>
      <c r="X123" s="7">
        <f t="shared" si="55"/>
        <v>4</v>
      </c>
      <c r="AA123" s="24">
        <f t="shared" si="44"/>
        <v>4</v>
      </c>
      <c r="AD123" s="4">
        <f t="shared" si="45"/>
        <v>4</v>
      </c>
      <c r="AG123" s="4">
        <f t="shared" si="46"/>
        <v>4</v>
      </c>
      <c r="AJ123" s="4">
        <f t="shared" si="47"/>
        <v>4</v>
      </c>
      <c r="AM123" s="4">
        <f t="shared" si="48"/>
        <v>4</v>
      </c>
      <c r="AP123" s="4">
        <f t="shared" si="49"/>
        <v>4</v>
      </c>
      <c r="AS123" s="4">
        <f t="shared" si="50"/>
        <v>4</v>
      </c>
      <c r="AV123" s="4">
        <f t="shared" si="51"/>
        <v>4</v>
      </c>
      <c r="AY123" s="4">
        <f t="shared" si="52"/>
        <v>4</v>
      </c>
      <c r="BB123" s="4">
        <f t="shared" si="53"/>
        <v>4</v>
      </c>
      <c r="BE123" s="4">
        <f t="shared" si="54"/>
        <v>4</v>
      </c>
      <c r="BR123" s="5"/>
    </row>
    <row r="124" spans="1:70" x14ac:dyDescent="0.2">
      <c r="A124" s="4" t="s">
        <v>169</v>
      </c>
      <c r="B124" s="4">
        <v>309</v>
      </c>
      <c r="C124" s="4">
        <v>12</v>
      </c>
      <c r="D124" s="4">
        <v>12</v>
      </c>
      <c r="E124" s="284">
        <v>7139</v>
      </c>
      <c r="F124" s="5">
        <v>7091</v>
      </c>
      <c r="G124" s="5">
        <v>7003</v>
      </c>
      <c r="H124" s="5">
        <v>6803</v>
      </c>
      <c r="I124" s="5">
        <v>6688</v>
      </c>
      <c r="J124" s="5">
        <v>6552</v>
      </c>
      <c r="K124" s="5">
        <v>6506</v>
      </c>
      <c r="L124" s="5">
        <v>6457</v>
      </c>
      <c r="M124" s="5">
        <v>6409</v>
      </c>
      <c r="N124" s="5">
        <v>6144</v>
      </c>
      <c r="O124" s="5">
        <v>6049</v>
      </c>
      <c r="P124" s="5">
        <v>5953</v>
      </c>
      <c r="Q124" s="5">
        <v>5863</v>
      </c>
      <c r="R124" s="5">
        <v>5772</v>
      </c>
      <c r="S124" s="5">
        <v>5689</v>
      </c>
      <c r="T124" s="5">
        <v>5606</v>
      </c>
      <c r="U124" s="5"/>
      <c r="V124" s="5"/>
      <c r="X124" s="7">
        <f t="shared" si="55"/>
        <v>5</v>
      </c>
      <c r="AA124" s="24">
        <f t="shared" si="44"/>
        <v>5</v>
      </c>
      <c r="AD124" s="4">
        <f t="shared" si="45"/>
        <v>5</v>
      </c>
      <c r="AG124" s="4">
        <f t="shared" si="46"/>
        <v>5</v>
      </c>
      <c r="AJ124" s="4">
        <f t="shared" si="47"/>
        <v>5</v>
      </c>
      <c r="AM124" s="4">
        <f t="shared" si="48"/>
        <v>5</v>
      </c>
      <c r="AP124" s="4">
        <f t="shared" si="49"/>
        <v>5</v>
      </c>
      <c r="AS124" s="4">
        <f t="shared" si="50"/>
        <v>5</v>
      </c>
      <c r="AV124" s="4">
        <f t="shared" si="51"/>
        <v>5</v>
      </c>
      <c r="AY124" s="4">
        <f t="shared" si="52"/>
        <v>5</v>
      </c>
      <c r="BB124" s="4">
        <f t="shared" si="53"/>
        <v>5</v>
      </c>
      <c r="BE124" s="4">
        <f t="shared" si="54"/>
        <v>5</v>
      </c>
      <c r="BR124" s="5"/>
    </row>
    <row r="125" spans="1:70" x14ac:dyDescent="0.2">
      <c r="A125" s="4" t="s">
        <v>111</v>
      </c>
      <c r="B125" s="4">
        <v>312</v>
      </c>
      <c r="C125" s="4">
        <v>13</v>
      </c>
      <c r="D125" s="4">
        <v>13</v>
      </c>
      <c r="E125" s="284">
        <v>1379</v>
      </c>
      <c r="F125" s="5">
        <v>1375</v>
      </c>
      <c r="G125" s="5">
        <v>1352</v>
      </c>
      <c r="H125" s="5">
        <v>1343</v>
      </c>
      <c r="I125" s="5">
        <v>1313</v>
      </c>
      <c r="J125" s="5">
        <v>1288</v>
      </c>
      <c r="K125" s="5">
        <v>1232</v>
      </c>
      <c r="L125" s="5">
        <v>1196</v>
      </c>
      <c r="M125" s="5">
        <v>1174</v>
      </c>
      <c r="N125" s="5">
        <v>1199</v>
      </c>
      <c r="O125" s="5">
        <v>1179</v>
      </c>
      <c r="P125" s="5">
        <v>1161</v>
      </c>
      <c r="Q125" s="5">
        <v>1143</v>
      </c>
      <c r="R125" s="5">
        <v>1124</v>
      </c>
      <c r="S125" s="5">
        <v>1105</v>
      </c>
      <c r="T125" s="5">
        <v>1086</v>
      </c>
      <c r="U125" s="5"/>
      <c r="V125" s="5"/>
      <c r="X125" s="7">
        <f t="shared" si="55"/>
        <v>7</v>
      </c>
      <c r="AA125" s="24">
        <f t="shared" si="44"/>
        <v>7</v>
      </c>
      <c r="AD125" s="4">
        <f t="shared" si="45"/>
        <v>7</v>
      </c>
      <c r="AG125" s="4">
        <f t="shared" si="46"/>
        <v>7</v>
      </c>
      <c r="AJ125" s="4">
        <f t="shared" si="47"/>
        <v>7</v>
      </c>
      <c r="AM125" s="4">
        <f t="shared" si="48"/>
        <v>7</v>
      </c>
      <c r="AP125" s="4">
        <f t="shared" si="49"/>
        <v>7</v>
      </c>
      <c r="AS125" s="4">
        <f t="shared" si="50"/>
        <v>7</v>
      </c>
      <c r="AV125" s="4">
        <f t="shared" si="51"/>
        <v>7</v>
      </c>
      <c r="AY125" s="4">
        <f t="shared" si="52"/>
        <v>7</v>
      </c>
      <c r="BB125" s="4">
        <f t="shared" si="53"/>
        <v>7</v>
      </c>
      <c r="BE125" s="4">
        <f t="shared" si="54"/>
        <v>7</v>
      </c>
      <c r="BR125" s="5"/>
    </row>
    <row r="126" spans="1:70" x14ac:dyDescent="0.2">
      <c r="A126" s="4" t="s">
        <v>112</v>
      </c>
      <c r="B126" s="4">
        <v>316</v>
      </c>
      <c r="C126" s="4">
        <v>7</v>
      </c>
      <c r="D126" s="4">
        <v>7</v>
      </c>
      <c r="E126" s="284">
        <v>4604</v>
      </c>
      <c r="F126" s="5">
        <v>4540</v>
      </c>
      <c r="G126" s="5">
        <v>4508</v>
      </c>
      <c r="H126" s="5">
        <v>4451</v>
      </c>
      <c r="I126" s="5">
        <v>4368</v>
      </c>
      <c r="J126" s="5">
        <v>4326</v>
      </c>
      <c r="K126" s="5">
        <v>4245</v>
      </c>
      <c r="L126" s="5">
        <v>4198</v>
      </c>
      <c r="M126" s="5">
        <v>4114</v>
      </c>
      <c r="N126" s="5">
        <v>4131</v>
      </c>
      <c r="O126" s="5">
        <v>4091</v>
      </c>
      <c r="P126" s="5">
        <v>4055</v>
      </c>
      <c r="Q126" s="5">
        <v>4024</v>
      </c>
      <c r="R126" s="5">
        <v>3993</v>
      </c>
      <c r="S126" s="5">
        <v>3966</v>
      </c>
      <c r="T126" s="5">
        <v>3940</v>
      </c>
      <c r="U126" s="5"/>
      <c r="V126" s="5"/>
      <c r="X126" s="7">
        <f t="shared" si="55"/>
        <v>6</v>
      </c>
      <c r="AA126" s="24">
        <f t="shared" si="44"/>
        <v>6</v>
      </c>
      <c r="AD126" s="4">
        <f t="shared" si="45"/>
        <v>6</v>
      </c>
      <c r="AG126" s="4">
        <f t="shared" si="46"/>
        <v>6</v>
      </c>
      <c r="AJ126" s="4">
        <f t="shared" si="47"/>
        <v>6</v>
      </c>
      <c r="AM126" s="4">
        <f t="shared" si="48"/>
        <v>6</v>
      </c>
      <c r="AP126" s="4">
        <f t="shared" si="49"/>
        <v>6</v>
      </c>
      <c r="AS126" s="4">
        <f t="shared" si="50"/>
        <v>6</v>
      </c>
      <c r="AV126" s="4">
        <f t="shared" si="51"/>
        <v>6</v>
      </c>
      <c r="AY126" s="4">
        <f t="shared" si="52"/>
        <v>6</v>
      </c>
      <c r="BB126" s="4">
        <f t="shared" si="53"/>
        <v>6</v>
      </c>
      <c r="BE126" s="4">
        <f t="shared" si="54"/>
        <v>6</v>
      </c>
      <c r="BR126" s="5"/>
    </row>
    <row r="127" spans="1:70" x14ac:dyDescent="0.2">
      <c r="A127" s="4" t="s">
        <v>113</v>
      </c>
      <c r="B127" s="4">
        <v>317</v>
      </c>
      <c r="C127" s="4">
        <v>17</v>
      </c>
      <c r="D127" s="4">
        <v>17</v>
      </c>
      <c r="E127" s="284">
        <v>2658</v>
      </c>
      <c r="F127" s="5">
        <v>2655</v>
      </c>
      <c r="G127" s="5">
        <v>2611</v>
      </c>
      <c r="H127" s="5">
        <v>2613</v>
      </c>
      <c r="I127" s="5">
        <v>2576</v>
      </c>
      <c r="J127" s="5">
        <v>2538</v>
      </c>
      <c r="K127" s="5">
        <v>2533</v>
      </c>
      <c r="L127" s="5">
        <v>2474</v>
      </c>
      <c r="M127" s="5">
        <v>2440</v>
      </c>
      <c r="N127" s="5">
        <v>2420</v>
      </c>
      <c r="O127" s="5">
        <v>2394</v>
      </c>
      <c r="P127" s="5">
        <v>2369</v>
      </c>
      <c r="Q127" s="5">
        <v>2341</v>
      </c>
      <c r="R127" s="5">
        <v>2316</v>
      </c>
      <c r="S127" s="5">
        <v>2290</v>
      </c>
      <c r="T127" s="5">
        <v>2266</v>
      </c>
      <c r="U127" s="5"/>
      <c r="V127" s="5"/>
      <c r="X127" s="7">
        <f t="shared" si="55"/>
        <v>6</v>
      </c>
      <c r="AA127" s="24">
        <f t="shared" si="44"/>
        <v>6</v>
      </c>
      <c r="AD127" s="4">
        <f t="shared" si="45"/>
        <v>6</v>
      </c>
      <c r="AG127" s="4">
        <f t="shared" si="46"/>
        <v>6</v>
      </c>
      <c r="AJ127" s="4">
        <f t="shared" si="47"/>
        <v>6</v>
      </c>
      <c r="AM127" s="4">
        <f t="shared" si="48"/>
        <v>6</v>
      </c>
      <c r="AP127" s="4">
        <f t="shared" si="49"/>
        <v>6</v>
      </c>
      <c r="AS127" s="4">
        <f t="shared" si="50"/>
        <v>6</v>
      </c>
      <c r="AV127" s="4">
        <f t="shared" si="51"/>
        <v>6</v>
      </c>
      <c r="AY127" s="4">
        <f t="shared" si="52"/>
        <v>6</v>
      </c>
      <c r="BB127" s="4">
        <f t="shared" si="53"/>
        <v>6</v>
      </c>
      <c r="BE127" s="4">
        <f t="shared" si="54"/>
        <v>6</v>
      </c>
      <c r="BR127" s="5"/>
    </row>
    <row r="128" spans="1:70" x14ac:dyDescent="0.2">
      <c r="A128" s="4" t="s">
        <v>80</v>
      </c>
      <c r="B128" s="4">
        <v>320</v>
      </c>
      <c r="C128" s="4">
        <v>19</v>
      </c>
      <c r="D128" s="4">
        <v>19</v>
      </c>
      <c r="E128" s="284">
        <v>7766</v>
      </c>
      <c r="F128" s="5">
        <v>7661</v>
      </c>
      <c r="G128" s="5">
        <v>7534</v>
      </c>
      <c r="H128" s="5">
        <v>7370</v>
      </c>
      <c r="I128" s="5">
        <v>7274</v>
      </c>
      <c r="J128" s="5">
        <v>7191</v>
      </c>
      <c r="K128" s="5">
        <v>7105</v>
      </c>
      <c r="L128" s="5">
        <v>6996</v>
      </c>
      <c r="M128" s="5">
        <v>7030</v>
      </c>
      <c r="N128" s="5">
        <v>6743</v>
      </c>
      <c r="O128" s="5">
        <v>6651</v>
      </c>
      <c r="P128" s="5">
        <v>6560</v>
      </c>
      <c r="Q128" s="5">
        <v>6475</v>
      </c>
      <c r="R128" s="5">
        <v>6395</v>
      </c>
      <c r="S128" s="5">
        <v>6317</v>
      </c>
      <c r="T128" s="5">
        <v>6243</v>
      </c>
      <c r="U128" s="5"/>
      <c r="V128" s="5"/>
      <c r="X128" s="7">
        <f t="shared" si="55"/>
        <v>5</v>
      </c>
      <c r="AA128" s="24">
        <f t="shared" si="44"/>
        <v>5</v>
      </c>
      <c r="AD128" s="4">
        <f t="shared" si="45"/>
        <v>5</v>
      </c>
      <c r="AG128" s="4">
        <f t="shared" si="46"/>
        <v>5</v>
      </c>
      <c r="AJ128" s="4">
        <f t="shared" si="47"/>
        <v>5</v>
      </c>
      <c r="AM128" s="4">
        <f t="shared" si="48"/>
        <v>5</v>
      </c>
      <c r="AP128" s="4">
        <f t="shared" si="49"/>
        <v>5</v>
      </c>
      <c r="AS128" s="4">
        <f t="shared" si="50"/>
        <v>5</v>
      </c>
      <c r="AV128" s="4">
        <f t="shared" si="51"/>
        <v>5</v>
      </c>
      <c r="AY128" s="4">
        <f t="shared" si="52"/>
        <v>5</v>
      </c>
      <c r="BB128" s="4">
        <f t="shared" si="53"/>
        <v>5</v>
      </c>
      <c r="BE128" s="4">
        <f t="shared" si="54"/>
        <v>5</v>
      </c>
      <c r="BR128" s="5"/>
    </row>
    <row r="129" spans="1:70" x14ac:dyDescent="0.2">
      <c r="A129" s="4" t="s">
        <v>82</v>
      </c>
      <c r="B129" s="4">
        <v>322</v>
      </c>
      <c r="C129" s="4">
        <v>2</v>
      </c>
      <c r="D129" s="4">
        <v>2</v>
      </c>
      <c r="E129" s="284">
        <v>6909</v>
      </c>
      <c r="F129" s="5">
        <v>6872</v>
      </c>
      <c r="G129" s="5">
        <v>6793</v>
      </c>
      <c r="H129" s="5">
        <v>6724</v>
      </c>
      <c r="I129" s="5">
        <v>6640</v>
      </c>
      <c r="J129" s="5">
        <v>6609</v>
      </c>
      <c r="K129" s="5">
        <v>6614</v>
      </c>
      <c r="L129" s="5">
        <v>6549</v>
      </c>
      <c r="M129" s="5">
        <v>6462</v>
      </c>
      <c r="N129" s="5">
        <v>6365</v>
      </c>
      <c r="O129" s="5">
        <v>6320</v>
      </c>
      <c r="P129" s="5">
        <v>6278</v>
      </c>
      <c r="Q129" s="5">
        <v>6238</v>
      </c>
      <c r="R129" s="5">
        <v>6200</v>
      </c>
      <c r="S129" s="5">
        <v>6164</v>
      </c>
      <c r="T129" s="5">
        <v>6129</v>
      </c>
      <c r="U129" s="5"/>
      <c r="V129" s="5"/>
      <c r="X129" s="7">
        <f t="shared" si="55"/>
        <v>5</v>
      </c>
      <c r="AA129" s="24">
        <f t="shared" si="44"/>
        <v>5</v>
      </c>
      <c r="AD129" s="4">
        <f t="shared" si="45"/>
        <v>5</v>
      </c>
      <c r="AG129" s="4">
        <f t="shared" si="46"/>
        <v>5</v>
      </c>
      <c r="AJ129" s="4">
        <f t="shared" si="47"/>
        <v>5</v>
      </c>
      <c r="AM129" s="4">
        <f t="shared" si="48"/>
        <v>5</v>
      </c>
      <c r="AP129" s="4">
        <f t="shared" si="49"/>
        <v>5</v>
      </c>
      <c r="AS129" s="4">
        <f t="shared" si="50"/>
        <v>5</v>
      </c>
      <c r="AV129" s="4">
        <f t="shared" si="51"/>
        <v>5</v>
      </c>
      <c r="AY129" s="4">
        <f t="shared" si="52"/>
        <v>5</v>
      </c>
      <c r="BB129" s="4">
        <f t="shared" si="53"/>
        <v>5</v>
      </c>
      <c r="BE129" s="4">
        <f t="shared" si="54"/>
        <v>5</v>
      </c>
      <c r="BR129" s="5"/>
    </row>
    <row r="130" spans="1:70" x14ac:dyDescent="0.2">
      <c r="A130" s="4" t="s">
        <v>114</v>
      </c>
      <c r="B130" s="4">
        <v>398</v>
      </c>
      <c r="C130" s="4">
        <v>7</v>
      </c>
      <c r="D130" s="4">
        <v>7</v>
      </c>
      <c r="E130" s="284">
        <v>118743</v>
      </c>
      <c r="F130" s="5">
        <v>119452</v>
      </c>
      <c r="G130" s="5">
        <v>119573</v>
      </c>
      <c r="H130" s="5">
        <v>119951</v>
      </c>
      <c r="I130" s="5">
        <v>119823</v>
      </c>
      <c r="J130" s="5">
        <v>119984</v>
      </c>
      <c r="K130" s="5">
        <v>120027</v>
      </c>
      <c r="L130" s="5">
        <v>120175</v>
      </c>
      <c r="M130" s="5">
        <v>120693</v>
      </c>
      <c r="N130" s="5">
        <v>120796</v>
      </c>
      <c r="O130" s="5">
        <v>120902</v>
      </c>
      <c r="P130" s="5">
        <v>120967</v>
      </c>
      <c r="Q130" s="5">
        <v>120997</v>
      </c>
      <c r="R130" s="5">
        <v>120992</v>
      </c>
      <c r="S130" s="5">
        <v>120960</v>
      </c>
      <c r="T130" s="5">
        <v>120897</v>
      </c>
      <c r="U130" s="5"/>
      <c r="V130" s="5"/>
      <c r="X130" s="7">
        <f t="shared" si="55"/>
        <v>1</v>
      </c>
      <c r="AA130" s="24">
        <f t="shared" si="44"/>
        <v>1</v>
      </c>
      <c r="AD130" s="4">
        <f t="shared" si="45"/>
        <v>1</v>
      </c>
      <c r="AG130" s="4">
        <f t="shared" si="46"/>
        <v>1</v>
      </c>
      <c r="AJ130" s="4">
        <f t="shared" si="47"/>
        <v>1</v>
      </c>
      <c r="AM130" s="4">
        <f t="shared" si="48"/>
        <v>1</v>
      </c>
      <c r="AP130" s="4">
        <f t="shared" si="49"/>
        <v>1</v>
      </c>
      <c r="AS130" s="4">
        <f t="shared" si="50"/>
        <v>1</v>
      </c>
      <c r="AV130" s="4">
        <f t="shared" si="51"/>
        <v>1</v>
      </c>
      <c r="AY130" s="4">
        <f t="shared" si="52"/>
        <v>1</v>
      </c>
      <c r="BB130" s="4">
        <f t="shared" si="53"/>
        <v>1</v>
      </c>
      <c r="BE130" s="4">
        <f t="shared" si="54"/>
        <v>1</v>
      </c>
      <c r="BR130" s="5"/>
    </row>
    <row r="131" spans="1:70" x14ac:dyDescent="0.2">
      <c r="A131" s="4" t="s">
        <v>115</v>
      </c>
      <c r="B131" s="4">
        <v>399</v>
      </c>
      <c r="C131" s="4">
        <v>15</v>
      </c>
      <c r="D131" s="4">
        <v>15</v>
      </c>
      <c r="E131" s="284">
        <v>8090</v>
      </c>
      <c r="F131" s="5">
        <v>8139</v>
      </c>
      <c r="G131" s="5">
        <v>8051</v>
      </c>
      <c r="H131" s="5">
        <v>8058</v>
      </c>
      <c r="I131" s="5">
        <v>8017</v>
      </c>
      <c r="J131" s="5">
        <v>7996</v>
      </c>
      <c r="K131" s="5">
        <v>7916</v>
      </c>
      <c r="L131" s="5">
        <v>7817</v>
      </c>
      <c r="M131" s="5">
        <v>7682</v>
      </c>
      <c r="N131" s="5">
        <v>7887</v>
      </c>
      <c r="O131" s="5">
        <v>7852</v>
      </c>
      <c r="P131" s="5">
        <v>7816</v>
      </c>
      <c r="Q131" s="5">
        <v>7776</v>
      </c>
      <c r="R131" s="5">
        <v>7730</v>
      </c>
      <c r="S131" s="5">
        <v>7677</v>
      </c>
      <c r="T131" s="5">
        <v>7627</v>
      </c>
      <c r="U131" s="5"/>
      <c r="V131" s="5"/>
      <c r="X131" s="7">
        <f t="shared" si="55"/>
        <v>5</v>
      </c>
      <c r="AA131" s="24">
        <f t="shared" si="44"/>
        <v>5</v>
      </c>
      <c r="AD131" s="4">
        <f t="shared" si="45"/>
        <v>5</v>
      </c>
      <c r="AG131" s="4">
        <f t="shared" si="46"/>
        <v>5</v>
      </c>
      <c r="AJ131" s="4">
        <f t="shared" si="47"/>
        <v>5</v>
      </c>
      <c r="AM131" s="4">
        <f t="shared" si="48"/>
        <v>5</v>
      </c>
      <c r="AP131" s="4">
        <f t="shared" si="49"/>
        <v>5</v>
      </c>
      <c r="AS131" s="4">
        <f t="shared" si="50"/>
        <v>5</v>
      </c>
      <c r="AV131" s="4">
        <f t="shared" si="51"/>
        <v>5</v>
      </c>
      <c r="AY131" s="4">
        <f t="shared" si="52"/>
        <v>5</v>
      </c>
      <c r="BB131" s="4">
        <f t="shared" si="53"/>
        <v>5</v>
      </c>
      <c r="BE131" s="4">
        <f t="shared" si="54"/>
        <v>5</v>
      </c>
      <c r="BR131" s="5"/>
    </row>
    <row r="132" spans="1:70" x14ac:dyDescent="0.2">
      <c r="A132" s="4" t="s">
        <v>116</v>
      </c>
      <c r="B132" s="4">
        <v>400</v>
      </c>
      <c r="C132" s="4">
        <v>2</v>
      </c>
      <c r="D132" s="4">
        <v>2</v>
      </c>
      <c r="E132" s="284">
        <v>8520</v>
      </c>
      <c r="F132" s="5">
        <v>8520</v>
      </c>
      <c r="G132" s="5">
        <v>8610</v>
      </c>
      <c r="H132" s="5">
        <v>8647</v>
      </c>
      <c r="I132" s="5">
        <v>8588</v>
      </c>
      <c r="J132" s="5">
        <v>8468</v>
      </c>
      <c r="K132" s="5">
        <v>8456</v>
      </c>
      <c r="L132" s="5">
        <v>8366</v>
      </c>
      <c r="M132" s="5">
        <v>8441</v>
      </c>
      <c r="N132" s="5">
        <v>8378</v>
      </c>
      <c r="O132" s="5">
        <v>8351</v>
      </c>
      <c r="P132" s="5">
        <v>8324</v>
      </c>
      <c r="Q132" s="5">
        <v>8294</v>
      </c>
      <c r="R132" s="5">
        <v>8265</v>
      </c>
      <c r="S132" s="5">
        <v>8233</v>
      </c>
      <c r="T132" s="5">
        <v>8198</v>
      </c>
      <c r="U132" s="5"/>
      <c r="V132" s="5"/>
      <c r="X132" s="7">
        <f t="shared" si="55"/>
        <v>5</v>
      </c>
      <c r="AA132" s="24">
        <f t="shared" si="44"/>
        <v>5</v>
      </c>
      <c r="AD132" s="4">
        <f t="shared" si="45"/>
        <v>5</v>
      </c>
      <c r="AG132" s="4">
        <f t="shared" si="46"/>
        <v>5</v>
      </c>
      <c r="AJ132" s="4">
        <f t="shared" si="47"/>
        <v>5</v>
      </c>
      <c r="AM132" s="4">
        <f t="shared" si="48"/>
        <v>5</v>
      </c>
      <c r="AP132" s="4">
        <f t="shared" si="49"/>
        <v>5</v>
      </c>
      <c r="AS132" s="4">
        <f t="shared" si="50"/>
        <v>5</v>
      </c>
      <c r="AV132" s="4">
        <f t="shared" si="51"/>
        <v>5</v>
      </c>
      <c r="AY132" s="4">
        <f t="shared" si="52"/>
        <v>5</v>
      </c>
      <c r="BB132" s="4">
        <f t="shared" si="53"/>
        <v>5</v>
      </c>
      <c r="BE132" s="4">
        <f t="shared" si="54"/>
        <v>5</v>
      </c>
      <c r="BR132" s="5"/>
    </row>
    <row r="133" spans="1:70" x14ac:dyDescent="0.2">
      <c r="A133" s="4" t="s">
        <v>118</v>
      </c>
      <c r="B133" s="4">
        <v>402</v>
      </c>
      <c r="C133" s="4">
        <v>11</v>
      </c>
      <c r="D133" s="4">
        <v>11</v>
      </c>
      <c r="E133" s="284">
        <v>9982</v>
      </c>
      <c r="F133" s="5">
        <v>9882</v>
      </c>
      <c r="G133" s="5">
        <v>9692</v>
      </c>
      <c r="H133" s="5">
        <v>9617</v>
      </c>
      <c r="I133" s="5">
        <v>9485</v>
      </c>
      <c r="J133" s="5">
        <v>9358</v>
      </c>
      <c r="K133" s="5">
        <v>9247</v>
      </c>
      <c r="L133" s="5">
        <v>9099</v>
      </c>
      <c r="M133" s="5">
        <v>8975</v>
      </c>
      <c r="N133" s="5">
        <v>8938</v>
      </c>
      <c r="O133" s="5">
        <v>8840</v>
      </c>
      <c r="P133" s="5">
        <v>8744</v>
      </c>
      <c r="Q133" s="5">
        <v>8652</v>
      </c>
      <c r="R133" s="5">
        <v>8560</v>
      </c>
      <c r="S133" s="5">
        <v>8471</v>
      </c>
      <c r="T133" s="5">
        <v>8388</v>
      </c>
      <c r="U133" s="5"/>
      <c r="V133" s="5"/>
      <c r="X133" s="7">
        <f t="shared" si="55"/>
        <v>5</v>
      </c>
      <c r="AA133" s="24">
        <f t="shared" si="44"/>
        <v>5</v>
      </c>
      <c r="AD133" s="4">
        <f t="shared" si="45"/>
        <v>5</v>
      </c>
      <c r="AG133" s="4">
        <f t="shared" si="46"/>
        <v>5</v>
      </c>
      <c r="AJ133" s="4">
        <f t="shared" si="47"/>
        <v>5</v>
      </c>
      <c r="AM133" s="4">
        <f t="shared" si="48"/>
        <v>5</v>
      </c>
      <c r="AP133" s="4">
        <f t="shared" si="49"/>
        <v>5</v>
      </c>
      <c r="AS133" s="4">
        <f t="shared" si="50"/>
        <v>5</v>
      </c>
      <c r="AV133" s="4">
        <f t="shared" si="51"/>
        <v>5</v>
      </c>
      <c r="AY133" s="4">
        <f t="shared" si="52"/>
        <v>5</v>
      </c>
      <c r="BB133" s="4">
        <f t="shared" si="53"/>
        <v>5</v>
      </c>
      <c r="BE133" s="4">
        <f t="shared" si="54"/>
        <v>5</v>
      </c>
      <c r="BR133" s="5"/>
    </row>
    <row r="134" spans="1:70" x14ac:dyDescent="0.2">
      <c r="A134" s="4" t="s">
        <v>119</v>
      </c>
      <c r="B134" s="4">
        <v>403</v>
      </c>
      <c r="C134" s="4">
        <v>14</v>
      </c>
      <c r="D134" s="4">
        <v>14</v>
      </c>
      <c r="E134" s="284">
        <v>3215</v>
      </c>
      <c r="F134" s="5">
        <v>3176</v>
      </c>
      <c r="G134" s="5">
        <v>3140</v>
      </c>
      <c r="H134" s="5">
        <v>3078</v>
      </c>
      <c r="I134" s="5">
        <v>2996</v>
      </c>
      <c r="J134" s="5">
        <v>2925</v>
      </c>
      <c r="K134" s="5">
        <v>2866</v>
      </c>
      <c r="L134" s="5">
        <v>2820</v>
      </c>
      <c r="M134" s="5">
        <v>2789</v>
      </c>
      <c r="N134" s="5">
        <v>2711</v>
      </c>
      <c r="O134" s="5">
        <v>2664</v>
      </c>
      <c r="P134" s="5">
        <v>2618</v>
      </c>
      <c r="Q134" s="5">
        <v>2575</v>
      </c>
      <c r="R134" s="5">
        <v>2530</v>
      </c>
      <c r="S134" s="5">
        <v>2490</v>
      </c>
      <c r="T134" s="5">
        <v>2453</v>
      </c>
      <c r="U134" s="5"/>
      <c r="V134" s="5"/>
      <c r="X134" s="7">
        <f t="shared" si="55"/>
        <v>6</v>
      </c>
      <c r="AA134" s="24">
        <f t="shared" si="44"/>
        <v>6</v>
      </c>
      <c r="AD134" s="4">
        <f t="shared" si="45"/>
        <v>6</v>
      </c>
      <c r="AG134" s="4">
        <f t="shared" si="46"/>
        <v>6</v>
      </c>
      <c r="AJ134" s="4">
        <f t="shared" si="47"/>
        <v>6</v>
      </c>
      <c r="AM134" s="4">
        <f t="shared" si="48"/>
        <v>6</v>
      </c>
      <c r="AP134" s="4">
        <f t="shared" si="49"/>
        <v>6</v>
      </c>
      <c r="AS134" s="4">
        <f t="shared" si="50"/>
        <v>6</v>
      </c>
      <c r="AV134" s="4">
        <f t="shared" si="51"/>
        <v>6</v>
      </c>
      <c r="AY134" s="4">
        <f t="shared" si="52"/>
        <v>6</v>
      </c>
      <c r="BB134" s="4">
        <f t="shared" si="53"/>
        <v>6</v>
      </c>
      <c r="BE134" s="4">
        <f t="shared" si="54"/>
        <v>6</v>
      </c>
      <c r="BR134" s="5"/>
    </row>
    <row r="135" spans="1:70" x14ac:dyDescent="0.2">
      <c r="A135" s="4" t="s">
        <v>120</v>
      </c>
      <c r="B135" s="4">
        <v>405</v>
      </c>
      <c r="C135" s="4">
        <v>9</v>
      </c>
      <c r="D135" s="4">
        <v>9</v>
      </c>
      <c r="E135" s="284">
        <v>72875</v>
      </c>
      <c r="F135" s="5">
        <v>72872</v>
      </c>
      <c r="G135" s="5">
        <v>72909</v>
      </c>
      <c r="H135" s="5">
        <v>72699</v>
      </c>
      <c r="I135" s="5">
        <v>72634</v>
      </c>
      <c r="J135" s="5">
        <v>72662</v>
      </c>
      <c r="K135" s="5">
        <v>72634</v>
      </c>
      <c r="L135" s="5">
        <v>72650</v>
      </c>
      <c r="M135" s="5">
        <v>72988</v>
      </c>
      <c r="N135" s="5">
        <v>72534</v>
      </c>
      <c r="O135" s="5">
        <v>72466</v>
      </c>
      <c r="P135" s="5">
        <v>72387</v>
      </c>
      <c r="Q135" s="5">
        <v>72305</v>
      </c>
      <c r="R135" s="5">
        <v>72217</v>
      </c>
      <c r="S135" s="5">
        <v>72120</v>
      </c>
      <c r="T135" s="5">
        <v>72013</v>
      </c>
      <c r="U135" s="5"/>
      <c r="V135" s="5"/>
      <c r="X135" s="7">
        <f t="shared" si="55"/>
        <v>2</v>
      </c>
      <c r="AA135" s="24">
        <f t="shared" si="44"/>
        <v>2</v>
      </c>
      <c r="AD135" s="4">
        <f t="shared" si="45"/>
        <v>2</v>
      </c>
      <c r="AG135" s="4">
        <f t="shared" si="46"/>
        <v>2</v>
      </c>
      <c r="AJ135" s="4">
        <f t="shared" si="47"/>
        <v>2</v>
      </c>
      <c r="AM135" s="4">
        <f t="shared" si="48"/>
        <v>2</v>
      </c>
      <c r="AP135" s="4">
        <f t="shared" si="49"/>
        <v>2</v>
      </c>
      <c r="AS135" s="4">
        <f t="shared" si="50"/>
        <v>2</v>
      </c>
      <c r="AV135" s="4">
        <f t="shared" si="51"/>
        <v>2</v>
      </c>
      <c r="AY135" s="4">
        <f t="shared" si="52"/>
        <v>2</v>
      </c>
      <c r="BB135" s="4">
        <f t="shared" si="53"/>
        <v>2</v>
      </c>
      <c r="BE135" s="4">
        <f t="shared" si="54"/>
        <v>2</v>
      </c>
      <c r="BR135" s="5"/>
    </row>
    <row r="136" spans="1:70" x14ac:dyDescent="0.2">
      <c r="A136" s="4" t="s">
        <v>117</v>
      </c>
      <c r="B136" s="4">
        <v>407</v>
      </c>
      <c r="C136" s="4">
        <v>1</v>
      </c>
      <c r="D136" s="4">
        <v>34</v>
      </c>
      <c r="E136" s="284">
        <v>2774</v>
      </c>
      <c r="F136" s="5">
        <v>2739</v>
      </c>
      <c r="G136" s="5">
        <v>2706</v>
      </c>
      <c r="H136" s="5">
        <v>2665</v>
      </c>
      <c r="I136" s="5">
        <v>2606</v>
      </c>
      <c r="J136" s="5">
        <v>2621</v>
      </c>
      <c r="K136" s="5">
        <v>2580</v>
      </c>
      <c r="L136" s="5">
        <v>2518</v>
      </c>
      <c r="M136" s="5">
        <v>2449</v>
      </c>
      <c r="N136" s="5">
        <v>2527</v>
      </c>
      <c r="O136" s="5">
        <v>2508</v>
      </c>
      <c r="P136" s="5">
        <v>2491</v>
      </c>
      <c r="Q136" s="5">
        <v>2474</v>
      </c>
      <c r="R136" s="5">
        <v>2458</v>
      </c>
      <c r="S136" s="5">
        <v>2445</v>
      </c>
      <c r="T136" s="5">
        <v>2433</v>
      </c>
      <c r="U136" s="5"/>
      <c r="V136" s="5"/>
      <c r="X136" s="7">
        <f t="shared" si="55"/>
        <v>6</v>
      </c>
      <c r="AA136" s="24">
        <f t="shared" si="44"/>
        <v>6</v>
      </c>
      <c r="AD136" s="4">
        <f t="shared" si="45"/>
        <v>6</v>
      </c>
      <c r="AG136" s="4">
        <f t="shared" si="46"/>
        <v>6</v>
      </c>
      <c r="AJ136" s="4">
        <f t="shared" si="47"/>
        <v>6</v>
      </c>
      <c r="AM136" s="4">
        <f t="shared" si="48"/>
        <v>6</v>
      </c>
      <c r="AP136" s="4">
        <f t="shared" si="49"/>
        <v>6</v>
      </c>
      <c r="AS136" s="4">
        <f t="shared" si="50"/>
        <v>6</v>
      </c>
      <c r="AV136" s="4">
        <f t="shared" si="51"/>
        <v>6</v>
      </c>
      <c r="AY136" s="4">
        <f t="shared" si="52"/>
        <v>6</v>
      </c>
      <c r="BB136" s="4">
        <f t="shared" si="53"/>
        <v>6</v>
      </c>
      <c r="BE136" s="4">
        <f t="shared" si="54"/>
        <v>6</v>
      </c>
      <c r="BR136" s="5"/>
    </row>
    <row r="137" spans="1:70" x14ac:dyDescent="0.2">
      <c r="A137" s="4" t="s">
        <v>121</v>
      </c>
      <c r="B137" s="4">
        <v>408</v>
      </c>
      <c r="C137" s="4">
        <v>14</v>
      </c>
      <c r="D137" s="4">
        <v>14</v>
      </c>
      <c r="E137" s="284">
        <v>14609</v>
      </c>
      <c r="F137" s="5">
        <v>14575</v>
      </c>
      <c r="G137" s="5">
        <v>14494</v>
      </c>
      <c r="H137" s="5">
        <v>14427</v>
      </c>
      <c r="I137" s="5">
        <v>14278</v>
      </c>
      <c r="J137" s="5">
        <v>14221</v>
      </c>
      <c r="K137" s="5">
        <v>14203</v>
      </c>
      <c r="L137" s="5">
        <v>14099</v>
      </c>
      <c r="M137" s="5">
        <v>14024</v>
      </c>
      <c r="N137" s="5">
        <v>13878</v>
      </c>
      <c r="O137" s="5">
        <v>13787</v>
      </c>
      <c r="P137" s="5">
        <v>13700</v>
      </c>
      <c r="Q137" s="5">
        <v>13608</v>
      </c>
      <c r="R137" s="5">
        <v>13518</v>
      </c>
      <c r="S137" s="5">
        <v>13425</v>
      </c>
      <c r="T137" s="5">
        <v>13327</v>
      </c>
      <c r="U137" s="5"/>
      <c r="V137" s="5"/>
      <c r="X137" s="7">
        <f t="shared" si="55"/>
        <v>4</v>
      </c>
      <c r="AA137" s="24">
        <f t="shared" si="44"/>
        <v>4</v>
      </c>
      <c r="AD137" s="4">
        <f t="shared" si="45"/>
        <v>4</v>
      </c>
      <c r="AG137" s="4">
        <f t="shared" si="46"/>
        <v>4</v>
      </c>
      <c r="AJ137" s="4">
        <f t="shared" si="47"/>
        <v>4</v>
      </c>
      <c r="AM137" s="4">
        <f t="shared" si="48"/>
        <v>4</v>
      </c>
      <c r="AP137" s="4">
        <f t="shared" si="49"/>
        <v>4</v>
      </c>
      <c r="AS137" s="4">
        <f t="shared" si="50"/>
        <v>4</v>
      </c>
      <c r="AV137" s="4">
        <f t="shared" si="51"/>
        <v>4</v>
      </c>
      <c r="AY137" s="4">
        <f t="shared" si="52"/>
        <v>4</v>
      </c>
      <c r="BB137" s="4">
        <f t="shared" si="53"/>
        <v>4</v>
      </c>
      <c r="BE137" s="4">
        <f t="shared" si="54"/>
        <v>4</v>
      </c>
      <c r="BR137" s="5"/>
    </row>
    <row r="138" spans="1:70" x14ac:dyDescent="0.2">
      <c r="A138" s="4" t="s">
        <v>122</v>
      </c>
      <c r="B138" s="4">
        <v>410</v>
      </c>
      <c r="C138" s="4">
        <v>13</v>
      </c>
      <c r="D138" s="4">
        <v>13</v>
      </c>
      <c r="E138" s="284">
        <v>18865</v>
      </c>
      <c r="F138" s="5">
        <v>18970</v>
      </c>
      <c r="G138" s="5">
        <v>18978</v>
      </c>
      <c r="H138" s="5">
        <v>18927</v>
      </c>
      <c r="I138" s="5">
        <v>18903</v>
      </c>
      <c r="J138" s="5">
        <v>18823</v>
      </c>
      <c r="K138" s="5">
        <v>18788</v>
      </c>
      <c r="L138" s="5">
        <v>18775</v>
      </c>
      <c r="M138" s="5">
        <v>18762</v>
      </c>
      <c r="N138" s="5">
        <v>18747</v>
      </c>
      <c r="O138" s="5">
        <v>18713</v>
      </c>
      <c r="P138" s="5">
        <v>18674</v>
      </c>
      <c r="Q138" s="5">
        <v>18634</v>
      </c>
      <c r="R138" s="5">
        <v>18590</v>
      </c>
      <c r="S138" s="5">
        <v>18544</v>
      </c>
      <c r="T138" s="5">
        <v>18487</v>
      </c>
      <c r="U138" s="5"/>
      <c r="V138" s="5"/>
      <c r="X138" s="7">
        <f t="shared" si="55"/>
        <v>4</v>
      </c>
      <c r="AA138" s="24">
        <f t="shared" si="44"/>
        <v>4</v>
      </c>
      <c r="AD138" s="4">
        <f t="shared" si="45"/>
        <v>4</v>
      </c>
      <c r="AG138" s="4">
        <f t="shared" si="46"/>
        <v>4</v>
      </c>
      <c r="AJ138" s="4">
        <f t="shared" si="47"/>
        <v>4</v>
      </c>
      <c r="AM138" s="4">
        <f t="shared" si="48"/>
        <v>4</v>
      </c>
      <c r="AP138" s="4">
        <f t="shared" si="49"/>
        <v>4</v>
      </c>
      <c r="AS138" s="4">
        <f t="shared" si="50"/>
        <v>4</v>
      </c>
      <c r="AV138" s="4">
        <f t="shared" si="51"/>
        <v>4</v>
      </c>
      <c r="AY138" s="4">
        <f t="shared" si="52"/>
        <v>4</v>
      </c>
      <c r="BB138" s="4">
        <f t="shared" si="53"/>
        <v>4</v>
      </c>
      <c r="BE138" s="4">
        <f t="shared" si="54"/>
        <v>4</v>
      </c>
      <c r="BR138" s="5"/>
    </row>
    <row r="139" spans="1:70" x14ac:dyDescent="0.2">
      <c r="A139" s="4" t="s">
        <v>123</v>
      </c>
      <c r="B139" s="4">
        <v>416</v>
      </c>
      <c r="C139" s="4">
        <v>9</v>
      </c>
      <c r="D139" s="4">
        <v>9</v>
      </c>
      <c r="E139" s="284">
        <v>3073</v>
      </c>
      <c r="F139" s="5">
        <v>3076</v>
      </c>
      <c r="G139" s="5">
        <v>3063</v>
      </c>
      <c r="H139" s="5">
        <v>3043</v>
      </c>
      <c r="I139" s="5">
        <v>2971</v>
      </c>
      <c r="J139" s="5">
        <v>2964</v>
      </c>
      <c r="K139" s="5">
        <v>2917</v>
      </c>
      <c r="L139" s="5">
        <v>2886</v>
      </c>
      <c r="M139" s="5">
        <v>2862</v>
      </c>
      <c r="N139" s="5">
        <v>2884</v>
      </c>
      <c r="O139" s="5">
        <v>2866</v>
      </c>
      <c r="P139" s="5">
        <v>2846</v>
      </c>
      <c r="Q139" s="5">
        <v>2824</v>
      </c>
      <c r="R139" s="5">
        <v>2802</v>
      </c>
      <c r="S139" s="5">
        <v>2778</v>
      </c>
      <c r="T139" s="5">
        <v>2753</v>
      </c>
      <c r="U139" s="5"/>
      <c r="V139" s="5"/>
      <c r="X139" s="7">
        <f t="shared" si="55"/>
        <v>6</v>
      </c>
      <c r="AA139" s="24">
        <f t="shared" si="44"/>
        <v>6</v>
      </c>
      <c r="AD139" s="4">
        <f t="shared" si="45"/>
        <v>6</v>
      </c>
      <c r="AG139" s="4">
        <f t="shared" si="46"/>
        <v>6</v>
      </c>
      <c r="AJ139" s="4">
        <f t="shared" si="47"/>
        <v>6</v>
      </c>
      <c r="AM139" s="4">
        <f t="shared" si="48"/>
        <v>6</v>
      </c>
      <c r="AP139" s="4">
        <f t="shared" si="49"/>
        <v>6</v>
      </c>
      <c r="AS139" s="4">
        <f t="shared" si="50"/>
        <v>6</v>
      </c>
      <c r="AV139" s="4">
        <f t="shared" si="51"/>
        <v>6</v>
      </c>
      <c r="AY139" s="4">
        <f t="shared" si="52"/>
        <v>6</v>
      </c>
      <c r="BB139" s="4">
        <f t="shared" si="53"/>
        <v>6</v>
      </c>
      <c r="BE139" s="4">
        <f t="shared" si="54"/>
        <v>6</v>
      </c>
      <c r="BR139" s="5"/>
    </row>
    <row r="140" spans="1:70" x14ac:dyDescent="0.2">
      <c r="A140" s="4" t="s">
        <v>124</v>
      </c>
      <c r="B140" s="4">
        <v>418</v>
      </c>
      <c r="C140" s="4">
        <v>6</v>
      </c>
      <c r="D140" s="4">
        <v>6</v>
      </c>
      <c r="E140" s="284">
        <v>22536</v>
      </c>
      <c r="F140" s="5">
        <v>22745</v>
      </c>
      <c r="G140" s="5">
        <v>22829</v>
      </c>
      <c r="H140" s="5">
        <v>23206</v>
      </c>
      <c r="I140" s="5">
        <v>23523</v>
      </c>
      <c r="J140" s="5">
        <v>23828</v>
      </c>
      <c r="K140" s="5">
        <v>24164</v>
      </c>
      <c r="L140" s="5">
        <v>24580</v>
      </c>
      <c r="M140" s="5">
        <v>24711</v>
      </c>
      <c r="N140" s="5">
        <v>24683</v>
      </c>
      <c r="O140" s="5">
        <v>24856</v>
      </c>
      <c r="P140" s="5">
        <v>25015</v>
      </c>
      <c r="Q140" s="5">
        <v>25157</v>
      </c>
      <c r="R140" s="5">
        <v>25289</v>
      </c>
      <c r="S140" s="5">
        <v>25410</v>
      </c>
      <c r="T140" s="5">
        <v>25520</v>
      </c>
      <c r="U140" s="5"/>
      <c r="V140" s="5"/>
      <c r="X140" s="7">
        <f t="shared" si="55"/>
        <v>3</v>
      </c>
      <c r="AA140" s="24">
        <f t="shared" si="44"/>
        <v>3</v>
      </c>
      <c r="AD140" s="4">
        <f t="shared" si="45"/>
        <v>3</v>
      </c>
      <c r="AG140" s="4">
        <f t="shared" si="46"/>
        <v>3</v>
      </c>
      <c r="AJ140" s="4">
        <f t="shared" si="47"/>
        <v>3</v>
      </c>
      <c r="AM140" s="4">
        <f t="shared" si="48"/>
        <v>3</v>
      </c>
      <c r="AP140" s="4">
        <f t="shared" si="49"/>
        <v>3</v>
      </c>
      <c r="AS140" s="4">
        <f t="shared" si="50"/>
        <v>3</v>
      </c>
      <c r="AV140" s="4">
        <f t="shared" si="51"/>
        <v>3</v>
      </c>
      <c r="AY140" s="4">
        <f t="shared" si="52"/>
        <v>3</v>
      </c>
      <c r="BB140" s="4">
        <f t="shared" si="53"/>
        <v>3</v>
      </c>
      <c r="BE140" s="4">
        <f t="shared" si="54"/>
        <v>3</v>
      </c>
      <c r="BR140" s="5"/>
    </row>
    <row r="141" spans="1:70" x14ac:dyDescent="0.2">
      <c r="A141" s="4" t="s">
        <v>125</v>
      </c>
      <c r="B141" s="4">
        <v>420</v>
      </c>
      <c r="C141" s="4">
        <v>11</v>
      </c>
      <c r="D141" s="4">
        <v>11</v>
      </c>
      <c r="E141" s="284">
        <v>9953</v>
      </c>
      <c r="F141" s="5">
        <v>9865</v>
      </c>
      <c r="G141" s="5">
        <v>9782</v>
      </c>
      <c r="H141" s="5">
        <v>9650</v>
      </c>
      <c r="I141" s="5">
        <v>9454</v>
      </c>
      <c r="J141" s="5">
        <v>9402</v>
      </c>
      <c r="K141" s="5">
        <v>9280</v>
      </c>
      <c r="L141" s="5">
        <v>9177</v>
      </c>
      <c r="M141" s="5">
        <v>9049</v>
      </c>
      <c r="N141" s="5">
        <v>8988</v>
      </c>
      <c r="O141" s="5">
        <v>8891</v>
      </c>
      <c r="P141" s="5">
        <v>8795</v>
      </c>
      <c r="Q141" s="5">
        <v>8703</v>
      </c>
      <c r="R141" s="5">
        <v>8611</v>
      </c>
      <c r="S141" s="5">
        <v>8522</v>
      </c>
      <c r="T141" s="5">
        <v>8440</v>
      </c>
      <c r="U141" s="5"/>
      <c r="V141" s="5"/>
      <c r="X141" s="7">
        <f t="shared" si="55"/>
        <v>5</v>
      </c>
      <c r="AA141" s="24">
        <f t="shared" si="44"/>
        <v>5</v>
      </c>
      <c r="AD141" s="4">
        <f t="shared" si="45"/>
        <v>5</v>
      </c>
      <c r="AG141" s="4">
        <f t="shared" si="46"/>
        <v>5</v>
      </c>
      <c r="AJ141" s="4">
        <f t="shared" si="47"/>
        <v>5</v>
      </c>
      <c r="AM141" s="4">
        <f t="shared" si="48"/>
        <v>5</v>
      </c>
      <c r="AP141" s="4">
        <f t="shared" si="49"/>
        <v>5</v>
      </c>
      <c r="AS141" s="4">
        <f t="shared" si="50"/>
        <v>5</v>
      </c>
      <c r="AV141" s="4">
        <f t="shared" si="51"/>
        <v>5</v>
      </c>
      <c r="AY141" s="4">
        <f t="shared" si="52"/>
        <v>5</v>
      </c>
      <c r="BB141" s="4">
        <f t="shared" si="53"/>
        <v>5</v>
      </c>
      <c r="BE141" s="4">
        <f t="shared" si="54"/>
        <v>5</v>
      </c>
      <c r="BR141" s="5"/>
    </row>
    <row r="142" spans="1:70" x14ac:dyDescent="0.2">
      <c r="A142" s="4" t="s">
        <v>126</v>
      </c>
      <c r="B142" s="4">
        <v>421</v>
      </c>
      <c r="C142" s="4">
        <v>16</v>
      </c>
      <c r="D142" s="4">
        <v>16</v>
      </c>
      <c r="E142" s="284">
        <v>798</v>
      </c>
      <c r="F142" s="5">
        <v>811</v>
      </c>
      <c r="G142" s="5">
        <v>789</v>
      </c>
      <c r="H142" s="5">
        <v>737</v>
      </c>
      <c r="I142" s="5">
        <v>719</v>
      </c>
      <c r="J142" s="5">
        <v>722</v>
      </c>
      <c r="K142" s="5">
        <v>719</v>
      </c>
      <c r="L142" s="5">
        <v>695</v>
      </c>
      <c r="M142" s="5">
        <v>682</v>
      </c>
      <c r="N142" s="5">
        <v>678</v>
      </c>
      <c r="O142" s="5">
        <v>669</v>
      </c>
      <c r="P142" s="5">
        <v>660</v>
      </c>
      <c r="Q142" s="5">
        <v>654</v>
      </c>
      <c r="R142" s="5">
        <v>647</v>
      </c>
      <c r="S142" s="5">
        <v>639</v>
      </c>
      <c r="T142" s="5">
        <v>634</v>
      </c>
      <c r="U142" s="5"/>
      <c r="V142" s="5"/>
      <c r="X142" s="7">
        <f t="shared" si="55"/>
        <v>7</v>
      </c>
      <c r="AA142" s="24">
        <f t="shared" si="44"/>
        <v>7</v>
      </c>
      <c r="AD142" s="4">
        <f t="shared" si="45"/>
        <v>7</v>
      </c>
      <c r="AG142" s="4">
        <f t="shared" si="46"/>
        <v>7</v>
      </c>
      <c r="AJ142" s="4">
        <f t="shared" si="47"/>
        <v>7</v>
      </c>
      <c r="AM142" s="4">
        <f t="shared" si="48"/>
        <v>7</v>
      </c>
      <c r="AP142" s="4">
        <f t="shared" si="49"/>
        <v>7</v>
      </c>
      <c r="AS142" s="4">
        <f t="shared" si="50"/>
        <v>7</v>
      </c>
      <c r="AV142" s="4">
        <f t="shared" si="51"/>
        <v>7</v>
      </c>
      <c r="AY142" s="4">
        <f t="shared" si="52"/>
        <v>7</v>
      </c>
      <c r="BB142" s="4">
        <f t="shared" si="53"/>
        <v>7</v>
      </c>
      <c r="BE142" s="4">
        <f t="shared" si="54"/>
        <v>7</v>
      </c>
      <c r="BR142" s="5"/>
    </row>
    <row r="143" spans="1:70" x14ac:dyDescent="0.2">
      <c r="A143" s="4" t="s">
        <v>127</v>
      </c>
      <c r="B143" s="4">
        <v>422</v>
      </c>
      <c r="C143" s="4">
        <v>12</v>
      </c>
      <c r="D143" s="4">
        <v>12</v>
      </c>
      <c r="E143" s="284">
        <v>11772</v>
      </c>
      <c r="F143" s="5">
        <v>11580</v>
      </c>
      <c r="G143" s="5">
        <v>11297</v>
      </c>
      <c r="H143" s="5">
        <v>11098</v>
      </c>
      <c r="I143" s="5">
        <v>10884</v>
      </c>
      <c r="J143" s="5">
        <v>10719</v>
      </c>
      <c r="K143" s="5">
        <v>10543</v>
      </c>
      <c r="L143" s="5">
        <v>10372</v>
      </c>
      <c r="M143" s="5">
        <v>10228</v>
      </c>
      <c r="N143" s="5">
        <v>9976</v>
      </c>
      <c r="O143" s="5">
        <v>9811</v>
      </c>
      <c r="P143" s="5">
        <v>9650</v>
      </c>
      <c r="Q143" s="5">
        <v>9495</v>
      </c>
      <c r="R143" s="5">
        <v>9347</v>
      </c>
      <c r="S143" s="5">
        <v>9207</v>
      </c>
      <c r="T143" s="5">
        <v>9068</v>
      </c>
      <c r="U143" s="5"/>
      <c r="V143" s="5"/>
      <c r="X143" s="7">
        <f t="shared" si="55"/>
        <v>4</v>
      </c>
      <c r="AA143" s="24">
        <f t="shared" ref="AA143:AA206" si="56">IF(J143&gt;100000,1,IF(J143&gt;40000,2,IF(J143&gt;20000,3,IF(J143&gt;10000,4,IF(J143&gt;5000,5,IF(J143&gt;1999,6,IF(J143&gt;0,7,"")))))))</f>
        <v>4</v>
      </c>
      <c r="AD143" s="4">
        <f t="shared" ref="AD143:AD206" si="57">IF(K143&gt;100000,1,IF(K143&gt;40000,2,IF(K143&gt;20000,3,IF(K143&gt;10000,4,IF(K143&gt;5000,5,IF(K143&gt;1999,6,IF(K143&gt;0,7,"")))))))</f>
        <v>4</v>
      </c>
      <c r="AG143" s="4">
        <f t="shared" ref="AG143:AG206" si="58">IF(L143&gt;100000,1,IF(L143&gt;40000,2,IF(L143&gt;20000,3,IF(L143&gt;10000,4,IF(L143&gt;5000,5,IF(L143&gt;1999,6,IF(L143&gt;0,7,"")))))))</f>
        <v>4</v>
      </c>
      <c r="AJ143" s="4">
        <f t="shared" ref="AJ143:AJ206" si="59">IF(M143&gt;100000,1,IF(M143&gt;40000,2,IF(M143&gt;20000,3,IF(M143&gt;10000,4,IF(M143&gt;5000,5,IF(M143&gt;1999,6,IF(M143&gt;0,7,"")))))))</f>
        <v>4</v>
      </c>
      <c r="AM143" s="4">
        <f t="shared" ref="AM143:AM206" si="60">IF(N143&gt;100000,1,IF(N143&gt;40000,2,IF(N143&gt;20000,3,IF(N143&gt;10000,4,IF(N143&gt;5000,5,IF(N143&gt;1999,6,IF(N143&gt;0,7,"")))))))</f>
        <v>5</v>
      </c>
      <c r="AP143" s="4">
        <f t="shared" ref="AP143:AP206" si="61">IF(O143&gt;100000,1,IF(O143&gt;40000,2,IF(O143&gt;20000,3,IF(O143&gt;10000,4,IF(O143&gt;5000,5,IF(O143&gt;1999,6,IF(O143&gt;0,7,"")))))))</f>
        <v>5</v>
      </c>
      <c r="AS143" s="4">
        <f t="shared" ref="AS143:AS206" si="62">IF(P143&gt;100000,1,IF(P143&gt;40000,2,IF(P143&gt;20000,3,IF(P143&gt;10000,4,IF(P143&gt;5000,5,IF(P143&gt;1999,6,IF(P143&gt;0,7,"")))))))</f>
        <v>5</v>
      </c>
      <c r="AV143" s="4">
        <f t="shared" ref="AV143:AV206" si="63">IF(Q143&gt;100000,1,IF(Q143&gt;40000,2,IF(Q143&gt;20000,3,IF(Q143&gt;10000,4,IF(Q143&gt;5000,5,IF(Q143&gt;1999,6,IF(Q143&gt;0,7,"")))))))</f>
        <v>5</v>
      </c>
      <c r="AY143" s="4">
        <f t="shared" ref="AY143:AY206" si="64">IF(R143&gt;100000,1,IF(R143&gt;40000,2,IF(R143&gt;20000,3,IF(R143&gt;10000,4,IF(R143&gt;5000,5,IF(R143&gt;1999,6,IF(R143&gt;0,7,"")))))))</f>
        <v>5</v>
      </c>
      <c r="BB143" s="4">
        <f t="shared" ref="BB143:BB206" si="65">IF(S143&gt;100000,1,IF(S143&gt;40000,2,IF(S143&gt;20000,3,IF(S143&gt;10000,4,IF(S143&gt;5000,5,IF(S143&gt;1999,6,IF(S143&gt;0,7,"")))))))</f>
        <v>5</v>
      </c>
      <c r="BE143" s="4">
        <f t="shared" ref="BE143:BE206" si="66">IF(T143&gt;100000,1,IF(T143&gt;40000,2,IF(T143&gt;20000,3,IF(T143&gt;10000,4,IF(T143&gt;5000,5,IF(T143&gt;1999,6,IF(T143&gt;0,7,"")))))))</f>
        <v>5</v>
      </c>
      <c r="BR143" s="5"/>
    </row>
    <row r="144" spans="1:70" x14ac:dyDescent="0.2">
      <c r="A144" s="4" t="s">
        <v>128</v>
      </c>
      <c r="B144" s="4">
        <v>423</v>
      </c>
      <c r="C144" s="4">
        <v>2</v>
      </c>
      <c r="D144" s="4">
        <v>2</v>
      </c>
      <c r="E144" s="284">
        <v>19263</v>
      </c>
      <c r="F144" s="5">
        <v>19418</v>
      </c>
      <c r="G144" s="5">
        <v>19596</v>
      </c>
      <c r="H144" s="5">
        <v>19831</v>
      </c>
      <c r="I144" s="5">
        <v>19994</v>
      </c>
      <c r="J144" s="5">
        <v>20146</v>
      </c>
      <c r="K144" s="5">
        <v>20291</v>
      </c>
      <c r="L144" s="5">
        <v>20497</v>
      </c>
      <c r="M144" s="5">
        <v>20637</v>
      </c>
      <c r="N144" s="5">
        <v>20751</v>
      </c>
      <c r="O144" s="5">
        <v>20892</v>
      </c>
      <c r="P144" s="5">
        <v>21028</v>
      </c>
      <c r="Q144" s="5">
        <v>21157</v>
      </c>
      <c r="R144" s="5">
        <v>21275</v>
      </c>
      <c r="S144" s="5">
        <v>21385</v>
      </c>
      <c r="T144" s="5">
        <v>21480</v>
      </c>
      <c r="U144" s="5"/>
      <c r="V144" s="5"/>
      <c r="X144" s="7">
        <f t="shared" ref="X144:X207" si="67">IF(I144&gt;100000,1,IF(I144&gt;40000,2,IF(I144&gt;20000,3,IF(I144&gt;10000,4,IF(I144&gt;5000,5,IF(I144&gt;1999,6,IF(I144&gt;0,7,"")))))))</f>
        <v>4</v>
      </c>
      <c r="AA144" s="24">
        <f t="shared" si="56"/>
        <v>3</v>
      </c>
      <c r="AD144" s="4">
        <f t="shared" si="57"/>
        <v>3</v>
      </c>
      <c r="AG144" s="4">
        <f t="shared" si="58"/>
        <v>3</v>
      </c>
      <c r="AJ144" s="4">
        <f t="shared" si="59"/>
        <v>3</v>
      </c>
      <c r="AM144" s="4">
        <f t="shared" si="60"/>
        <v>3</v>
      </c>
      <c r="AP144" s="4">
        <f t="shared" si="61"/>
        <v>3</v>
      </c>
      <c r="AS144" s="4">
        <f t="shared" si="62"/>
        <v>3</v>
      </c>
      <c r="AV144" s="4">
        <f t="shared" si="63"/>
        <v>3</v>
      </c>
      <c r="AY144" s="4">
        <f t="shared" si="64"/>
        <v>3</v>
      </c>
      <c r="BB144" s="4">
        <f t="shared" si="65"/>
        <v>3</v>
      </c>
      <c r="BE144" s="4">
        <f t="shared" si="66"/>
        <v>3</v>
      </c>
      <c r="BR144" s="5"/>
    </row>
    <row r="145" spans="1:70" x14ac:dyDescent="0.2">
      <c r="A145" s="4" t="s">
        <v>129</v>
      </c>
      <c r="B145" s="4">
        <v>425</v>
      </c>
      <c r="C145" s="4">
        <v>17</v>
      </c>
      <c r="D145" s="4">
        <v>17</v>
      </c>
      <c r="E145" s="284">
        <v>9937</v>
      </c>
      <c r="F145" s="5">
        <v>10000</v>
      </c>
      <c r="G145" s="5">
        <v>10133</v>
      </c>
      <c r="H145" s="5">
        <v>10161</v>
      </c>
      <c r="I145" s="5">
        <v>10191</v>
      </c>
      <c r="J145" s="5">
        <v>10238</v>
      </c>
      <c r="K145" s="5">
        <v>10218</v>
      </c>
      <c r="L145" s="5">
        <v>10258</v>
      </c>
      <c r="M145" s="5">
        <v>10256</v>
      </c>
      <c r="N145" s="5">
        <v>10436</v>
      </c>
      <c r="O145" s="5">
        <v>10464</v>
      </c>
      <c r="P145" s="5">
        <v>10489</v>
      </c>
      <c r="Q145" s="5">
        <v>10512</v>
      </c>
      <c r="R145" s="5">
        <v>10530</v>
      </c>
      <c r="S145" s="5">
        <v>10544</v>
      </c>
      <c r="T145" s="5">
        <v>10563</v>
      </c>
      <c r="U145" s="5"/>
      <c r="V145" s="5"/>
      <c r="X145" s="7">
        <f t="shared" si="67"/>
        <v>4</v>
      </c>
      <c r="AA145" s="24">
        <f t="shared" si="56"/>
        <v>4</v>
      </c>
      <c r="AD145" s="4">
        <f t="shared" si="57"/>
        <v>4</v>
      </c>
      <c r="AG145" s="4">
        <f t="shared" si="58"/>
        <v>4</v>
      </c>
      <c r="AJ145" s="4">
        <f t="shared" si="59"/>
        <v>4</v>
      </c>
      <c r="AM145" s="4">
        <f t="shared" si="60"/>
        <v>4</v>
      </c>
      <c r="AP145" s="4">
        <f t="shared" si="61"/>
        <v>4</v>
      </c>
      <c r="AS145" s="4">
        <f t="shared" si="62"/>
        <v>4</v>
      </c>
      <c r="AV145" s="4">
        <f t="shared" si="63"/>
        <v>4</v>
      </c>
      <c r="AY145" s="4">
        <f t="shared" si="64"/>
        <v>4</v>
      </c>
      <c r="BB145" s="4">
        <f t="shared" si="65"/>
        <v>4</v>
      </c>
      <c r="BE145" s="4">
        <f t="shared" si="66"/>
        <v>4</v>
      </c>
      <c r="BR145" s="5"/>
    </row>
    <row r="146" spans="1:70" x14ac:dyDescent="0.2">
      <c r="A146" s="4" t="s">
        <v>130</v>
      </c>
      <c r="B146" s="4">
        <v>426</v>
      </c>
      <c r="C146" s="4">
        <v>12</v>
      </c>
      <c r="D146" s="4">
        <v>12</v>
      </c>
      <c r="E146" s="284">
        <v>12338</v>
      </c>
      <c r="F146" s="5">
        <v>12301</v>
      </c>
      <c r="G146" s="5">
        <v>12150</v>
      </c>
      <c r="H146" s="5">
        <v>12145</v>
      </c>
      <c r="I146" s="5">
        <v>12084</v>
      </c>
      <c r="J146" s="5">
        <v>11994</v>
      </c>
      <c r="K146" s="5">
        <v>11979</v>
      </c>
      <c r="L146" s="5">
        <v>11962</v>
      </c>
      <c r="M146" s="5">
        <v>11969</v>
      </c>
      <c r="N146" s="5">
        <v>11746</v>
      </c>
      <c r="O146" s="5">
        <v>11680</v>
      </c>
      <c r="P146" s="5">
        <v>11613</v>
      </c>
      <c r="Q146" s="5">
        <v>11543</v>
      </c>
      <c r="R146" s="5">
        <v>11469</v>
      </c>
      <c r="S146" s="5">
        <v>11390</v>
      </c>
      <c r="T146" s="5">
        <v>11314</v>
      </c>
      <c r="U146" s="5"/>
      <c r="V146" s="5"/>
      <c r="X146" s="7">
        <f t="shared" si="67"/>
        <v>4</v>
      </c>
      <c r="AA146" s="24">
        <f t="shared" si="56"/>
        <v>4</v>
      </c>
      <c r="AD146" s="4">
        <f t="shared" si="57"/>
        <v>4</v>
      </c>
      <c r="AG146" s="4">
        <f t="shared" si="58"/>
        <v>4</v>
      </c>
      <c r="AJ146" s="4">
        <f t="shared" si="59"/>
        <v>4</v>
      </c>
      <c r="AM146" s="4">
        <f t="shared" si="60"/>
        <v>4</v>
      </c>
      <c r="AP146" s="4">
        <f t="shared" si="61"/>
        <v>4</v>
      </c>
      <c r="AS146" s="4">
        <f t="shared" si="62"/>
        <v>4</v>
      </c>
      <c r="AV146" s="4">
        <f t="shared" si="63"/>
        <v>4</v>
      </c>
      <c r="AY146" s="4">
        <f t="shared" si="64"/>
        <v>4</v>
      </c>
      <c r="BB146" s="4">
        <f t="shared" si="65"/>
        <v>4</v>
      </c>
      <c r="BE146" s="4">
        <f t="shared" si="66"/>
        <v>4</v>
      </c>
      <c r="BR146" s="5"/>
    </row>
    <row r="147" spans="1:70" x14ac:dyDescent="0.2">
      <c r="A147" s="4" t="s">
        <v>132</v>
      </c>
      <c r="B147" s="4">
        <v>430</v>
      </c>
      <c r="C147" s="4">
        <v>2</v>
      </c>
      <c r="D147" s="4">
        <v>2</v>
      </c>
      <c r="E147" s="284">
        <v>16467</v>
      </c>
      <c r="F147" s="5">
        <v>16267</v>
      </c>
      <c r="G147" s="5">
        <v>16150</v>
      </c>
      <c r="H147" s="5">
        <v>16032</v>
      </c>
      <c r="I147" s="5">
        <v>15875</v>
      </c>
      <c r="J147" s="5">
        <v>15770</v>
      </c>
      <c r="K147" s="5">
        <v>15628</v>
      </c>
      <c r="L147" s="5">
        <v>15392</v>
      </c>
      <c r="M147" s="5">
        <v>15420</v>
      </c>
      <c r="N147" s="5">
        <v>15226</v>
      </c>
      <c r="O147" s="5">
        <v>15104</v>
      </c>
      <c r="P147" s="5">
        <v>14987</v>
      </c>
      <c r="Q147" s="5">
        <v>14874</v>
      </c>
      <c r="R147" s="5">
        <v>14765</v>
      </c>
      <c r="S147" s="5">
        <v>14657</v>
      </c>
      <c r="T147" s="5">
        <v>14549</v>
      </c>
      <c r="U147" s="5"/>
      <c r="V147" s="5"/>
      <c r="X147" s="7">
        <f t="shared" si="67"/>
        <v>4</v>
      </c>
      <c r="AA147" s="24">
        <f t="shared" si="56"/>
        <v>4</v>
      </c>
      <c r="AD147" s="4">
        <f t="shared" si="57"/>
        <v>4</v>
      </c>
      <c r="AG147" s="4">
        <f t="shared" si="58"/>
        <v>4</v>
      </c>
      <c r="AJ147" s="4">
        <f t="shared" si="59"/>
        <v>4</v>
      </c>
      <c r="AM147" s="4">
        <f t="shared" si="60"/>
        <v>4</v>
      </c>
      <c r="AP147" s="4">
        <f t="shared" si="61"/>
        <v>4</v>
      </c>
      <c r="AS147" s="4">
        <f t="shared" si="62"/>
        <v>4</v>
      </c>
      <c r="AV147" s="4">
        <f t="shared" si="63"/>
        <v>4</v>
      </c>
      <c r="AY147" s="4">
        <f t="shared" si="64"/>
        <v>4</v>
      </c>
      <c r="BB147" s="4">
        <f t="shared" si="65"/>
        <v>4</v>
      </c>
      <c r="BE147" s="4">
        <f t="shared" si="66"/>
        <v>4</v>
      </c>
      <c r="BR147" s="5"/>
    </row>
    <row r="148" spans="1:70" x14ac:dyDescent="0.2">
      <c r="A148" s="4" t="s">
        <v>133</v>
      </c>
      <c r="B148" s="4">
        <v>433</v>
      </c>
      <c r="C148" s="4">
        <v>5</v>
      </c>
      <c r="D148" s="4">
        <v>5</v>
      </c>
      <c r="E148" s="284">
        <v>8175</v>
      </c>
      <c r="F148" s="5">
        <v>8098</v>
      </c>
      <c r="G148" s="5">
        <v>8028</v>
      </c>
      <c r="H148" s="5">
        <v>7861</v>
      </c>
      <c r="I148" s="5">
        <v>7828</v>
      </c>
      <c r="J148" s="5">
        <v>7853</v>
      </c>
      <c r="K148" s="5">
        <v>7799</v>
      </c>
      <c r="L148" s="5">
        <v>7749</v>
      </c>
      <c r="M148" s="5">
        <v>7692</v>
      </c>
      <c r="N148" s="5">
        <v>7647</v>
      </c>
      <c r="O148" s="5">
        <v>7603</v>
      </c>
      <c r="P148" s="5">
        <v>7557</v>
      </c>
      <c r="Q148" s="5">
        <v>7515</v>
      </c>
      <c r="R148" s="5">
        <v>7471</v>
      </c>
      <c r="S148" s="5">
        <v>7431</v>
      </c>
      <c r="T148" s="5">
        <v>7393</v>
      </c>
      <c r="U148" s="5"/>
      <c r="V148" s="5"/>
      <c r="X148" s="7">
        <f t="shared" si="67"/>
        <v>5</v>
      </c>
      <c r="AA148" s="24">
        <f t="shared" si="56"/>
        <v>5</v>
      </c>
      <c r="AD148" s="4">
        <f t="shared" si="57"/>
        <v>5</v>
      </c>
      <c r="AG148" s="4">
        <f t="shared" si="58"/>
        <v>5</v>
      </c>
      <c r="AJ148" s="4">
        <f t="shared" si="59"/>
        <v>5</v>
      </c>
      <c r="AM148" s="4">
        <f t="shared" si="60"/>
        <v>5</v>
      </c>
      <c r="AP148" s="4">
        <f t="shared" si="61"/>
        <v>5</v>
      </c>
      <c r="AS148" s="4">
        <f t="shared" si="62"/>
        <v>5</v>
      </c>
      <c r="AV148" s="4">
        <f t="shared" si="63"/>
        <v>5</v>
      </c>
      <c r="AY148" s="4">
        <f t="shared" si="64"/>
        <v>5</v>
      </c>
      <c r="BB148" s="4">
        <f t="shared" si="65"/>
        <v>5</v>
      </c>
      <c r="BE148" s="4">
        <f t="shared" si="66"/>
        <v>5</v>
      </c>
      <c r="BR148" s="5"/>
    </row>
    <row r="149" spans="1:70" x14ac:dyDescent="0.2">
      <c r="A149" s="4" t="s">
        <v>134</v>
      </c>
      <c r="B149" s="4">
        <v>434</v>
      </c>
      <c r="C149" s="4">
        <v>1</v>
      </c>
      <c r="D149" s="4">
        <v>34</v>
      </c>
      <c r="E149" s="284">
        <v>15311</v>
      </c>
      <c r="F149" s="5">
        <v>15208</v>
      </c>
      <c r="G149" s="5">
        <v>15085</v>
      </c>
      <c r="H149" s="5">
        <v>14891</v>
      </c>
      <c r="I149" s="5">
        <v>14772</v>
      </c>
      <c r="J149" s="5">
        <v>14745</v>
      </c>
      <c r="K149" s="5">
        <v>14643</v>
      </c>
      <c r="L149" s="5">
        <v>14568</v>
      </c>
      <c r="M149" s="5">
        <v>14458</v>
      </c>
      <c r="N149" s="5">
        <v>14325</v>
      </c>
      <c r="O149" s="5">
        <v>14238</v>
      </c>
      <c r="P149" s="5">
        <v>14153</v>
      </c>
      <c r="Q149" s="5">
        <v>14078</v>
      </c>
      <c r="R149" s="5">
        <v>14008</v>
      </c>
      <c r="S149" s="5">
        <v>13940</v>
      </c>
      <c r="T149" s="5">
        <v>13874</v>
      </c>
      <c r="U149" s="5"/>
      <c r="V149" s="5"/>
      <c r="X149" s="7">
        <f t="shared" si="67"/>
        <v>4</v>
      </c>
      <c r="AA149" s="24">
        <f t="shared" si="56"/>
        <v>4</v>
      </c>
      <c r="AD149" s="4">
        <f t="shared" si="57"/>
        <v>4</v>
      </c>
      <c r="AG149" s="4">
        <f t="shared" si="58"/>
        <v>4</v>
      </c>
      <c r="AJ149" s="4">
        <f t="shared" si="59"/>
        <v>4</v>
      </c>
      <c r="AM149" s="4">
        <f t="shared" si="60"/>
        <v>4</v>
      </c>
      <c r="AP149" s="4">
        <f t="shared" si="61"/>
        <v>4</v>
      </c>
      <c r="AS149" s="4">
        <f t="shared" si="62"/>
        <v>4</v>
      </c>
      <c r="AV149" s="4">
        <f t="shared" si="63"/>
        <v>4</v>
      </c>
      <c r="AY149" s="4">
        <f t="shared" si="64"/>
        <v>4</v>
      </c>
      <c r="BB149" s="4">
        <f t="shared" si="65"/>
        <v>4</v>
      </c>
      <c r="BE149" s="4">
        <f t="shared" si="66"/>
        <v>4</v>
      </c>
      <c r="BR149" s="5"/>
    </row>
    <row r="150" spans="1:70" x14ac:dyDescent="0.2">
      <c r="A150" s="4" t="s">
        <v>135</v>
      </c>
      <c r="B150" s="4">
        <v>435</v>
      </c>
      <c r="C150" s="4">
        <v>13</v>
      </c>
      <c r="D150" s="4">
        <v>13</v>
      </c>
      <c r="E150" s="284">
        <v>761</v>
      </c>
      <c r="F150" s="5">
        <v>756</v>
      </c>
      <c r="G150" s="5">
        <v>734</v>
      </c>
      <c r="H150" s="5">
        <v>707</v>
      </c>
      <c r="I150" s="5">
        <v>690</v>
      </c>
      <c r="J150" s="5">
        <v>699</v>
      </c>
      <c r="K150" s="5">
        <v>703</v>
      </c>
      <c r="L150" s="5">
        <v>692</v>
      </c>
      <c r="M150" s="5">
        <v>702</v>
      </c>
      <c r="N150" s="5">
        <v>687</v>
      </c>
      <c r="O150" s="5">
        <v>683</v>
      </c>
      <c r="P150" s="5">
        <v>683</v>
      </c>
      <c r="Q150" s="5">
        <v>680</v>
      </c>
      <c r="R150" s="5">
        <v>679</v>
      </c>
      <c r="S150" s="5">
        <v>679</v>
      </c>
      <c r="T150" s="5">
        <v>676</v>
      </c>
      <c r="U150" s="5"/>
      <c r="V150" s="5"/>
      <c r="X150" s="7">
        <f t="shared" si="67"/>
        <v>7</v>
      </c>
      <c r="AA150" s="24">
        <f t="shared" si="56"/>
        <v>7</v>
      </c>
      <c r="AD150" s="4">
        <f t="shared" si="57"/>
        <v>7</v>
      </c>
      <c r="AG150" s="4">
        <f t="shared" si="58"/>
        <v>7</v>
      </c>
      <c r="AJ150" s="4">
        <f t="shared" si="59"/>
        <v>7</v>
      </c>
      <c r="AM150" s="4">
        <f t="shared" si="60"/>
        <v>7</v>
      </c>
      <c r="AP150" s="4">
        <f t="shared" si="61"/>
        <v>7</v>
      </c>
      <c r="AS150" s="4">
        <f t="shared" si="62"/>
        <v>7</v>
      </c>
      <c r="AV150" s="4">
        <f t="shared" si="63"/>
        <v>7</v>
      </c>
      <c r="AY150" s="4">
        <f t="shared" si="64"/>
        <v>7</v>
      </c>
      <c r="BB150" s="4">
        <f t="shared" si="65"/>
        <v>7</v>
      </c>
      <c r="BE150" s="4">
        <f t="shared" si="66"/>
        <v>7</v>
      </c>
      <c r="BR150" s="5"/>
    </row>
    <row r="151" spans="1:70" x14ac:dyDescent="0.2">
      <c r="A151" s="4" t="s">
        <v>136</v>
      </c>
      <c r="B151" s="4">
        <v>436</v>
      </c>
      <c r="C151" s="4">
        <v>17</v>
      </c>
      <c r="D151" s="4">
        <v>17</v>
      </c>
      <c r="E151" s="284">
        <v>2076</v>
      </c>
      <c r="F151" s="5">
        <v>2105</v>
      </c>
      <c r="G151" s="5">
        <v>2081</v>
      </c>
      <c r="H151" s="5">
        <v>2052</v>
      </c>
      <c r="I151" s="5">
        <v>2020</v>
      </c>
      <c r="J151" s="5">
        <v>2036</v>
      </c>
      <c r="K151" s="5">
        <v>2018</v>
      </c>
      <c r="L151" s="5">
        <v>1988</v>
      </c>
      <c r="M151" s="5">
        <v>2033</v>
      </c>
      <c r="N151" s="5">
        <v>2018</v>
      </c>
      <c r="O151" s="5">
        <v>2009</v>
      </c>
      <c r="P151" s="5">
        <v>2004</v>
      </c>
      <c r="Q151" s="5">
        <v>1997</v>
      </c>
      <c r="R151" s="5">
        <v>1992</v>
      </c>
      <c r="S151" s="5">
        <v>1986</v>
      </c>
      <c r="T151" s="5">
        <v>1982</v>
      </c>
      <c r="U151" s="5"/>
      <c r="V151" s="5"/>
      <c r="X151" s="7">
        <f t="shared" si="67"/>
        <v>6</v>
      </c>
      <c r="AA151" s="24">
        <f t="shared" si="56"/>
        <v>6</v>
      </c>
      <c r="AD151" s="4">
        <f t="shared" si="57"/>
        <v>6</v>
      </c>
      <c r="AG151" s="4">
        <f t="shared" si="58"/>
        <v>7</v>
      </c>
      <c r="AJ151" s="4">
        <f t="shared" si="59"/>
        <v>6</v>
      </c>
      <c r="AM151" s="4">
        <f t="shared" si="60"/>
        <v>6</v>
      </c>
      <c r="AP151" s="4">
        <f t="shared" si="61"/>
        <v>6</v>
      </c>
      <c r="AS151" s="4">
        <f t="shared" si="62"/>
        <v>6</v>
      </c>
      <c r="AV151" s="4">
        <f t="shared" si="63"/>
        <v>7</v>
      </c>
      <c r="AY151" s="4">
        <f t="shared" si="64"/>
        <v>7</v>
      </c>
      <c r="BB151" s="4">
        <f t="shared" si="65"/>
        <v>7</v>
      </c>
      <c r="BE151" s="4">
        <f t="shared" si="66"/>
        <v>7</v>
      </c>
      <c r="BR151" s="5"/>
    </row>
    <row r="152" spans="1:70" x14ac:dyDescent="0.2">
      <c r="A152" s="4" t="s">
        <v>137</v>
      </c>
      <c r="B152" s="4">
        <v>440</v>
      </c>
      <c r="C152" s="4">
        <v>15</v>
      </c>
      <c r="D152" s="4">
        <v>15</v>
      </c>
      <c r="E152" s="284">
        <v>5147</v>
      </c>
      <c r="F152" s="5">
        <v>5176</v>
      </c>
      <c r="G152" s="5">
        <v>5264</v>
      </c>
      <c r="H152" s="5">
        <v>5340</v>
      </c>
      <c r="I152" s="5">
        <v>5417</v>
      </c>
      <c r="J152" s="5">
        <v>5534</v>
      </c>
      <c r="K152" s="5">
        <v>5622</v>
      </c>
      <c r="L152" s="5">
        <v>5732</v>
      </c>
      <c r="M152" s="5">
        <v>5843</v>
      </c>
      <c r="N152" s="5">
        <v>5865</v>
      </c>
      <c r="O152" s="5">
        <v>5937</v>
      </c>
      <c r="P152" s="5">
        <v>6007</v>
      </c>
      <c r="Q152" s="5">
        <v>6075</v>
      </c>
      <c r="R152" s="5">
        <v>6139</v>
      </c>
      <c r="S152" s="5">
        <v>6203</v>
      </c>
      <c r="T152" s="5">
        <v>6263</v>
      </c>
      <c r="U152" s="5"/>
      <c r="V152" s="5"/>
      <c r="X152" s="7">
        <f t="shared" si="67"/>
        <v>5</v>
      </c>
      <c r="AA152" s="24">
        <f t="shared" si="56"/>
        <v>5</v>
      </c>
      <c r="AD152" s="4">
        <f t="shared" si="57"/>
        <v>5</v>
      </c>
      <c r="AG152" s="4">
        <f t="shared" si="58"/>
        <v>5</v>
      </c>
      <c r="AJ152" s="4">
        <f t="shared" si="59"/>
        <v>5</v>
      </c>
      <c r="AM152" s="4">
        <f t="shared" si="60"/>
        <v>5</v>
      </c>
      <c r="AP152" s="4">
        <f t="shared" si="61"/>
        <v>5</v>
      </c>
      <c r="AS152" s="4">
        <f t="shared" si="62"/>
        <v>5</v>
      </c>
      <c r="AV152" s="4">
        <f t="shared" si="63"/>
        <v>5</v>
      </c>
      <c r="AY152" s="4">
        <f t="shared" si="64"/>
        <v>5</v>
      </c>
      <c r="BB152" s="4">
        <f t="shared" si="65"/>
        <v>5</v>
      </c>
      <c r="BE152" s="4">
        <f t="shared" si="66"/>
        <v>5</v>
      </c>
      <c r="BR152" s="5"/>
    </row>
    <row r="153" spans="1:70" x14ac:dyDescent="0.2">
      <c r="A153" s="4" t="s">
        <v>138</v>
      </c>
      <c r="B153" s="4">
        <v>441</v>
      </c>
      <c r="C153" s="4">
        <v>9</v>
      </c>
      <c r="D153" s="4">
        <v>9</v>
      </c>
      <c r="E153" s="284">
        <v>4860</v>
      </c>
      <c r="F153" s="5">
        <v>4831</v>
      </c>
      <c r="G153" s="5">
        <v>4747</v>
      </c>
      <c r="H153" s="5">
        <v>4662</v>
      </c>
      <c r="I153" s="5">
        <v>4636</v>
      </c>
      <c r="J153" s="5">
        <v>4543</v>
      </c>
      <c r="K153" s="5">
        <v>4473</v>
      </c>
      <c r="L153" s="5">
        <v>4421</v>
      </c>
      <c r="M153" s="5">
        <v>4396</v>
      </c>
      <c r="N153" s="5">
        <v>4296</v>
      </c>
      <c r="O153" s="5">
        <v>4245</v>
      </c>
      <c r="P153" s="5">
        <v>4198</v>
      </c>
      <c r="Q153" s="5">
        <v>4150</v>
      </c>
      <c r="R153" s="5">
        <v>4103</v>
      </c>
      <c r="S153" s="5">
        <v>4061</v>
      </c>
      <c r="T153" s="5">
        <v>4017</v>
      </c>
      <c r="U153" s="5"/>
      <c r="V153" s="5"/>
      <c r="X153" s="7">
        <f t="shared" si="67"/>
        <v>6</v>
      </c>
      <c r="AA153" s="24">
        <f t="shared" si="56"/>
        <v>6</v>
      </c>
      <c r="AD153" s="4">
        <f t="shared" si="57"/>
        <v>6</v>
      </c>
      <c r="AG153" s="4">
        <f t="shared" si="58"/>
        <v>6</v>
      </c>
      <c r="AJ153" s="4">
        <f t="shared" si="59"/>
        <v>6</v>
      </c>
      <c r="AM153" s="4">
        <f t="shared" si="60"/>
        <v>6</v>
      </c>
      <c r="AP153" s="4">
        <f t="shared" si="61"/>
        <v>6</v>
      </c>
      <c r="AS153" s="4">
        <f t="shared" si="62"/>
        <v>6</v>
      </c>
      <c r="AV153" s="4">
        <f t="shared" si="63"/>
        <v>6</v>
      </c>
      <c r="AY153" s="4">
        <f t="shared" si="64"/>
        <v>6</v>
      </c>
      <c r="BB153" s="4">
        <f t="shared" si="65"/>
        <v>6</v>
      </c>
      <c r="BE153" s="4">
        <f t="shared" si="66"/>
        <v>6</v>
      </c>
      <c r="BR153" s="5"/>
    </row>
    <row r="154" spans="1:70" x14ac:dyDescent="0.2">
      <c r="A154" s="4" t="s">
        <v>131</v>
      </c>
      <c r="B154" s="4">
        <v>444</v>
      </c>
      <c r="C154" s="4">
        <v>1</v>
      </c>
      <c r="D154" s="4">
        <v>33</v>
      </c>
      <c r="E154" s="284">
        <v>47353</v>
      </c>
      <c r="F154" s="5">
        <v>47149</v>
      </c>
      <c r="G154" s="5">
        <v>46785</v>
      </c>
      <c r="H154" s="5">
        <v>46296</v>
      </c>
      <c r="I154" s="5">
        <v>45965</v>
      </c>
      <c r="J154" s="5">
        <v>45886</v>
      </c>
      <c r="K154" s="5">
        <v>45988</v>
      </c>
      <c r="L154" s="5">
        <v>45811</v>
      </c>
      <c r="M154" s="5">
        <v>45645</v>
      </c>
      <c r="N154" s="5">
        <v>44897</v>
      </c>
      <c r="O154" s="5">
        <v>44669</v>
      </c>
      <c r="P154" s="5">
        <v>44451</v>
      </c>
      <c r="Q154" s="5">
        <v>44243</v>
      </c>
      <c r="R154" s="5">
        <v>44047</v>
      </c>
      <c r="S154" s="5">
        <v>43865</v>
      </c>
      <c r="T154" s="5">
        <v>43691</v>
      </c>
      <c r="U154" s="5"/>
      <c r="V154" s="5"/>
      <c r="X154" s="7">
        <f t="shared" si="67"/>
        <v>2</v>
      </c>
      <c r="AA154" s="24">
        <f t="shared" si="56"/>
        <v>2</v>
      </c>
      <c r="AD154" s="4">
        <f t="shared" si="57"/>
        <v>2</v>
      </c>
      <c r="AG154" s="4">
        <f t="shared" si="58"/>
        <v>2</v>
      </c>
      <c r="AJ154" s="4">
        <f t="shared" si="59"/>
        <v>2</v>
      </c>
      <c r="AM154" s="4">
        <f t="shared" si="60"/>
        <v>2</v>
      </c>
      <c r="AP154" s="4">
        <f t="shared" si="61"/>
        <v>2</v>
      </c>
      <c r="AS154" s="4">
        <f t="shared" si="62"/>
        <v>2</v>
      </c>
      <c r="AV154" s="4">
        <f t="shared" si="63"/>
        <v>2</v>
      </c>
      <c r="AY154" s="4">
        <f t="shared" si="64"/>
        <v>2</v>
      </c>
      <c r="BB154" s="4">
        <f t="shared" si="65"/>
        <v>2</v>
      </c>
      <c r="BE154" s="4">
        <f t="shared" si="66"/>
        <v>2</v>
      </c>
      <c r="BR154" s="5"/>
    </row>
    <row r="155" spans="1:70" x14ac:dyDescent="0.2">
      <c r="A155" s="4" t="s">
        <v>173</v>
      </c>
      <c r="B155" s="4">
        <v>445</v>
      </c>
      <c r="C155" s="4">
        <v>2</v>
      </c>
      <c r="D155" s="4">
        <v>2</v>
      </c>
      <c r="E155" s="284">
        <v>15457</v>
      </c>
      <c r="F155" s="5">
        <v>15398</v>
      </c>
      <c r="G155" s="5">
        <v>15285</v>
      </c>
      <c r="H155" s="5">
        <v>15217</v>
      </c>
      <c r="I155" s="5">
        <v>15132</v>
      </c>
      <c r="J155" s="5">
        <v>15105</v>
      </c>
      <c r="K155" s="5">
        <v>15086</v>
      </c>
      <c r="L155" s="5">
        <v>14991</v>
      </c>
      <c r="M155" s="5">
        <v>14999</v>
      </c>
      <c r="N155" s="5">
        <v>14806</v>
      </c>
      <c r="O155" s="5">
        <v>14741</v>
      </c>
      <c r="P155" s="5">
        <v>14679</v>
      </c>
      <c r="Q155" s="5">
        <v>14621</v>
      </c>
      <c r="R155" s="5">
        <v>14563</v>
      </c>
      <c r="S155" s="5">
        <v>14505</v>
      </c>
      <c r="T155" s="5">
        <v>14443</v>
      </c>
      <c r="U155" s="5"/>
      <c r="V155" s="5"/>
      <c r="X155" s="7">
        <f t="shared" si="67"/>
        <v>4</v>
      </c>
      <c r="AA155" s="24">
        <f t="shared" si="56"/>
        <v>4</v>
      </c>
      <c r="AD155" s="4">
        <f t="shared" si="57"/>
        <v>4</v>
      </c>
      <c r="AG155" s="4">
        <f t="shared" si="58"/>
        <v>4</v>
      </c>
      <c r="AJ155" s="4">
        <f t="shared" si="59"/>
        <v>4</v>
      </c>
      <c r="AM155" s="4">
        <f t="shared" si="60"/>
        <v>4</v>
      </c>
      <c r="AP155" s="4">
        <f t="shared" si="61"/>
        <v>4</v>
      </c>
      <c r="AS155" s="4">
        <f t="shared" si="62"/>
        <v>4</v>
      </c>
      <c r="AV155" s="4">
        <f t="shared" si="63"/>
        <v>4</v>
      </c>
      <c r="AY155" s="4">
        <f t="shared" si="64"/>
        <v>4</v>
      </c>
      <c r="BB155" s="4">
        <f t="shared" si="65"/>
        <v>4</v>
      </c>
      <c r="BE155" s="4">
        <f t="shared" si="66"/>
        <v>4</v>
      </c>
      <c r="BR155" s="5"/>
    </row>
    <row r="156" spans="1:70" x14ac:dyDescent="0.2">
      <c r="A156" s="4" t="s">
        <v>139</v>
      </c>
      <c r="B156" s="4">
        <v>475</v>
      </c>
      <c r="C156" s="4">
        <v>15</v>
      </c>
      <c r="D156" s="4">
        <v>15</v>
      </c>
      <c r="E156" s="284">
        <v>5545</v>
      </c>
      <c r="F156" s="5">
        <v>5517</v>
      </c>
      <c r="G156" s="5">
        <v>5477</v>
      </c>
      <c r="H156" s="5">
        <v>5477</v>
      </c>
      <c r="I156" s="5">
        <v>5475</v>
      </c>
      <c r="J156" s="5">
        <v>5451</v>
      </c>
      <c r="K156" s="5">
        <v>5487</v>
      </c>
      <c r="L156" s="5">
        <v>5479</v>
      </c>
      <c r="M156" s="5">
        <v>5456</v>
      </c>
      <c r="N156" s="5">
        <v>5400</v>
      </c>
      <c r="O156" s="5">
        <v>5388</v>
      </c>
      <c r="P156" s="5">
        <v>5376</v>
      </c>
      <c r="Q156" s="5">
        <v>5362</v>
      </c>
      <c r="R156" s="5">
        <v>5341</v>
      </c>
      <c r="S156" s="5">
        <v>5321</v>
      </c>
      <c r="T156" s="5">
        <v>5303</v>
      </c>
      <c r="U156" s="5"/>
      <c r="V156" s="5"/>
      <c r="X156" s="7">
        <f t="shared" si="67"/>
        <v>5</v>
      </c>
      <c r="AA156" s="24">
        <f t="shared" si="56"/>
        <v>5</v>
      </c>
      <c r="AD156" s="4">
        <f t="shared" si="57"/>
        <v>5</v>
      </c>
      <c r="AG156" s="4">
        <f t="shared" si="58"/>
        <v>5</v>
      </c>
      <c r="AJ156" s="4">
        <f t="shared" si="59"/>
        <v>5</v>
      </c>
      <c r="AM156" s="4">
        <f t="shared" si="60"/>
        <v>5</v>
      </c>
      <c r="AP156" s="4">
        <f t="shared" si="61"/>
        <v>5</v>
      </c>
      <c r="AS156" s="4">
        <f t="shared" si="62"/>
        <v>5</v>
      </c>
      <c r="AV156" s="4">
        <f t="shared" si="63"/>
        <v>5</v>
      </c>
      <c r="AY156" s="4">
        <f t="shared" si="64"/>
        <v>5</v>
      </c>
      <c r="BB156" s="4">
        <f t="shared" si="65"/>
        <v>5</v>
      </c>
      <c r="BE156" s="4">
        <f t="shared" si="66"/>
        <v>5</v>
      </c>
      <c r="BR156" s="5"/>
    </row>
    <row r="157" spans="1:70" x14ac:dyDescent="0.2">
      <c r="A157" s="4" t="s">
        <v>140</v>
      </c>
      <c r="B157" s="4">
        <v>480</v>
      </c>
      <c r="C157" s="4">
        <v>2</v>
      </c>
      <c r="D157" s="4">
        <v>2</v>
      </c>
      <c r="E157" s="284">
        <v>2028</v>
      </c>
      <c r="F157" s="5">
        <v>2021</v>
      </c>
      <c r="G157" s="5">
        <v>1988</v>
      </c>
      <c r="H157" s="5">
        <v>2018</v>
      </c>
      <c r="I157" s="5">
        <v>2013</v>
      </c>
      <c r="J157" s="5">
        <v>1999</v>
      </c>
      <c r="K157" s="5">
        <v>1990</v>
      </c>
      <c r="L157" s="5">
        <v>1978</v>
      </c>
      <c r="M157" s="5">
        <v>1930</v>
      </c>
      <c r="N157" s="5">
        <v>1981</v>
      </c>
      <c r="O157" s="5">
        <v>1977</v>
      </c>
      <c r="P157" s="5">
        <v>1974</v>
      </c>
      <c r="Q157" s="5">
        <v>1969</v>
      </c>
      <c r="R157" s="5">
        <v>1961</v>
      </c>
      <c r="S157" s="5">
        <v>1954</v>
      </c>
      <c r="T157" s="5">
        <v>1948</v>
      </c>
      <c r="U157" s="5"/>
      <c r="V157" s="5"/>
      <c r="X157" s="7">
        <f t="shared" si="67"/>
        <v>6</v>
      </c>
      <c r="AA157" s="24">
        <f t="shared" si="56"/>
        <v>7</v>
      </c>
      <c r="AD157" s="4">
        <f t="shared" si="57"/>
        <v>7</v>
      </c>
      <c r="AG157" s="4">
        <f t="shared" si="58"/>
        <v>7</v>
      </c>
      <c r="AJ157" s="4">
        <f t="shared" si="59"/>
        <v>7</v>
      </c>
      <c r="AM157" s="4">
        <f t="shared" si="60"/>
        <v>7</v>
      </c>
      <c r="AP157" s="4">
        <f t="shared" si="61"/>
        <v>7</v>
      </c>
      <c r="AS157" s="4">
        <f t="shared" si="62"/>
        <v>7</v>
      </c>
      <c r="AV157" s="4">
        <f t="shared" si="63"/>
        <v>7</v>
      </c>
      <c r="AY157" s="4">
        <f t="shared" si="64"/>
        <v>7</v>
      </c>
      <c r="BB157" s="4">
        <f t="shared" si="65"/>
        <v>7</v>
      </c>
      <c r="BE157" s="4">
        <f t="shared" si="66"/>
        <v>7</v>
      </c>
      <c r="BR157" s="5"/>
    </row>
    <row r="158" spans="1:70" x14ac:dyDescent="0.2">
      <c r="A158" s="4" t="s">
        <v>141</v>
      </c>
      <c r="B158" s="4">
        <v>481</v>
      </c>
      <c r="C158" s="4">
        <v>2</v>
      </c>
      <c r="D158" s="4">
        <v>2</v>
      </c>
      <c r="E158" s="284">
        <v>9706</v>
      </c>
      <c r="F158" s="5">
        <v>9675</v>
      </c>
      <c r="G158" s="5">
        <v>9656</v>
      </c>
      <c r="H158" s="5">
        <v>9554</v>
      </c>
      <c r="I158" s="5">
        <v>9534</v>
      </c>
      <c r="J158" s="5">
        <v>9543</v>
      </c>
      <c r="K158" s="5">
        <v>9612</v>
      </c>
      <c r="L158" s="5">
        <v>9642</v>
      </c>
      <c r="M158" s="5">
        <v>9619</v>
      </c>
      <c r="N158" s="5">
        <v>9474</v>
      </c>
      <c r="O158" s="5">
        <v>9456</v>
      </c>
      <c r="P158" s="5">
        <v>9442</v>
      </c>
      <c r="Q158" s="5">
        <v>9431</v>
      </c>
      <c r="R158" s="5">
        <v>9422</v>
      </c>
      <c r="S158" s="5">
        <v>9409</v>
      </c>
      <c r="T158" s="5">
        <v>9397</v>
      </c>
      <c r="U158" s="5"/>
      <c r="V158" s="5"/>
      <c r="X158" s="7">
        <f t="shared" si="67"/>
        <v>5</v>
      </c>
      <c r="AA158" s="24">
        <f t="shared" si="56"/>
        <v>5</v>
      </c>
      <c r="AD158" s="4">
        <f t="shared" si="57"/>
        <v>5</v>
      </c>
      <c r="AG158" s="4">
        <f t="shared" si="58"/>
        <v>5</v>
      </c>
      <c r="AJ158" s="4">
        <f t="shared" si="59"/>
        <v>5</v>
      </c>
      <c r="AM158" s="4">
        <f t="shared" si="60"/>
        <v>5</v>
      </c>
      <c r="AP158" s="4">
        <f t="shared" si="61"/>
        <v>5</v>
      </c>
      <c r="AS158" s="4">
        <f t="shared" si="62"/>
        <v>5</v>
      </c>
      <c r="AV158" s="4">
        <f t="shared" si="63"/>
        <v>5</v>
      </c>
      <c r="AY158" s="4">
        <f t="shared" si="64"/>
        <v>5</v>
      </c>
      <c r="BB158" s="4">
        <f t="shared" si="65"/>
        <v>5</v>
      </c>
      <c r="BE158" s="4">
        <f t="shared" si="66"/>
        <v>5</v>
      </c>
      <c r="BR158" s="5"/>
    </row>
    <row r="159" spans="1:70" x14ac:dyDescent="0.2">
      <c r="A159" s="4" t="s">
        <v>142</v>
      </c>
      <c r="B159" s="4">
        <v>483</v>
      </c>
      <c r="C159" s="4">
        <v>17</v>
      </c>
      <c r="D159" s="4">
        <v>17</v>
      </c>
      <c r="E159" s="284">
        <v>1134</v>
      </c>
      <c r="F159" s="5">
        <v>1131</v>
      </c>
      <c r="G159" s="5">
        <v>1119</v>
      </c>
      <c r="H159" s="5">
        <v>1104</v>
      </c>
      <c r="I159" s="5">
        <v>1089</v>
      </c>
      <c r="J159" s="5">
        <v>1078</v>
      </c>
      <c r="K159" s="5">
        <v>1076</v>
      </c>
      <c r="L159" s="5">
        <v>1067</v>
      </c>
      <c r="M159" s="5">
        <v>1055</v>
      </c>
      <c r="N159" s="5">
        <v>1020</v>
      </c>
      <c r="O159" s="5">
        <v>1006</v>
      </c>
      <c r="P159" s="5">
        <v>993</v>
      </c>
      <c r="Q159" s="5">
        <v>979</v>
      </c>
      <c r="R159" s="5">
        <v>969</v>
      </c>
      <c r="S159" s="5">
        <v>957</v>
      </c>
      <c r="T159" s="5">
        <v>945</v>
      </c>
      <c r="U159" s="5"/>
      <c r="V159" s="5"/>
      <c r="X159" s="7">
        <f t="shared" si="67"/>
        <v>7</v>
      </c>
      <c r="AA159" s="24">
        <f t="shared" si="56"/>
        <v>7</v>
      </c>
      <c r="AD159" s="4">
        <f t="shared" si="57"/>
        <v>7</v>
      </c>
      <c r="AG159" s="4">
        <f t="shared" si="58"/>
        <v>7</v>
      </c>
      <c r="AJ159" s="4">
        <f t="shared" si="59"/>
        <v>7</v>
      </c>
      <c r="AM159" s="4">
        <f t="shared" si="60"/>
        <v>7</v>
      </c>
      <c r="AP159" s="4">
        <f t="shared" si="61"/>
        <v>7</v>
      </c>
      <c r="AS159" s="4">
        <f t="shared" si="62"/>
        <v>7</v>
      </c>
      <c r="AV159" s="4">
        <f t="shared" si="63"/>
        <v>7</v>
      </c>
      <c r="AY159" s="4">
        <f t="shared" si="64"/>
        <v>7</v>
      </c>
      <c r="BB159" s="4">
        <f t="shared" si="65"/>
        <v>7</v>
      </c>
      <c r="BE159" s="4">
        <f t="shared" si="66"/>
        <v>7</v>
      </c>
      <c r="BR159" s="5"/>
    </row>
    <row r="160" spans="1:70" x14ac:dyDescent="0.2">
      <c r="A160" s="4" t="s">
        <v>143</v>
      </c>
      <c r="B160" s="4">
        <v>484</v>
      </c>
      <c r="C160" s="4">
        <v>4</v>
      </c>
      <c r="D160" s="4">
        <v>4</v>
      </c>
      <c r="E160" s="284">
        <v>3185</v>
      </c>
      <c r="F160" s="5">
        <v>3169</v>
      </c>
      <c r="G160" s="5">
        <v>3156</v>
      </c>
      <c r="H160" s="5">
        <v>3115</v>
      </c>
      <c r="I160" s="5">
        <v>3067</v>
      </c>
      <c r="J160" s="5">
        <v>3066</v>
      </c>
      <c r="K160" s="5">
        <v>3055</v>
      </c>
      <c r="L160" s="5">
        <v>2967</v>
      </c>
      <c r="M160" s="5">
        <v>2966</v>
      </c>
      <c r="N160" s="5">
        <v>2981</v>
      </c>
      <c r="O160" s="5">
        <v>2965</v>
      </c>
      <c r="P160" s="5">
        <v>2950</v>
      </c>
      <c r="Q160" s="5">
        <v>2933</v>
      </c>
      <c r="R160" s="5">
        <v>2919</v>
      </c>
      <c r="S160" s="5">
        <v>2903</v>
      </c>
      <c r="T160" s="5">
        <v>2888</v>
      </c>
      <c r="U160" s="5"/>
      <c r="V160" s="5"/>
      <c r="X160" s="7">
        <f t="shared" si="67"/>
        <v>6</v>
      </c>
      <c r="AA160" s="24">
        <f t="shared" si="56"/>
        <v>6</v>
      </c>
      <c r="AD160" s="4">
        <f t="shared" si="57"/>
        <v>6</v>
      </c>
      <c r="AG160" s="4">
        <f t="shared" si="58"/>
        <v>6</v>
      </c>
      <c r="AJ160" s="4">
        <f t="shared" si="59"/>
        <v>6</v>
      </c>
      <c r="AM160" s="4">
        <f t="shared" si="60"/>
        <v>6</v>
      </c>
      <c r="AP160" s="4">
        <f t="shared" si="61"/>
        <v>6</v>
      </c>
      <c r="AS160" s="4">
        <f t="shared" si="62"/>
        <v>6</v>
      </c>
      <c r="AV160" s="4">
        <f t="shared" si="63"/>
        <v>6</v>
      </c>
      <c r="AY160" s="4">
        <f t="shared" si="64"/>
        <v>6</v>
      </c>
      <c r="BB160" s="4">
        <f t="shared" si="65"/>
        <v>6</v>
      </c>
      <c r="BE160" s="4">
        <f t="shared" si="66"/>
        <v>6</v>
      </c>
      <c r="BR160" s="5"/>
    </row>
    <row r="161" spans="1:70" x14ac:dyDescent="0.2">
      <c r="A161" s="4" t="s">
        <v>144</v>
      </c>
      <c r="B161" s="4">
        <v>489</v>
      </c>
      <c r="C161" s="4">
        <v>8</v>
      </c>
      <c r="D161" s="4">
        <v>8</v>
      </c>
      <c r="E161" s="284">
        <v>2085</v>
      </c>
      <c r="F161" s="5">
        <v>2034</v>
      </c>
      <c r="G161" s="5">
        <v>1992</v>
      </c>
      <c r="H161" s="5">
        <v>1940</v>
      </c>
      <c r="I161" s="5">
        <v>1857</v>
      </c>
      <c r="J161" s="5">
        <v>1868</v>
      </c>
      <c r="K161" s="5">
        <v>1835</v>
      </c>
      <c r="L161" s="5">
        <v>1791</v>
      </c>
      <c r="M161" s="5">
        <v>1752</v>
      </c>
      <c r="N161" s="5">
        <v>1729</v>
      </c>
      <c r="O161" s="5">
        <v>1702</v>
      </c>
      <c r="P161" s="5">
        <v>1675</v>
      </c>
      <c r="Q161" s="5">
        <v>1649</v>
      </c>
      <c r="R161" s="5">
        <v>1625</v>
      </c>
      <c r="S161" s="5">
        <v>1602</v>
      </c>
      <c r="T161" s="5">
        <v>1580</v>
      </c>
      <c r="U161" s="5"/>
      <c r="V161" s="5"/>
      <c r="X161" s="7">
        <f t="shared" si="67"/>
        <v>7</v>
      </c>
      <c r="AA161" s="24">
        <f t="shared" si="56"/>
        <v>7</v>
      </c>
      <c r="AD161" s="4">
        <f t="shared" si="57"/>
        <v>7</v>
      </c>
      <c r="AG161" s="4">
        <f t="shared" si="58"/>
        <v>7</v>
      </c>
      <c r="AJ161" s="4">
        <f t="shared" si="59"/>
        <v>7</v>
      </c>
      <c r="AM161" s="4">
        <f t="shared" si="60"/>
        <v>7</v>
      </c>
      <c r="AP161" s="4">
        <f t="shared" si="61"/>
        <v>7</v>
      </c>
      <c r="AS161" s="4">
        <f t="shared" si="62"/>
        <v>7</v>
      </c>
      <c r="AV161" s="4">
        <f t="shared" si="63"/>
        <v>7</v>
      </c>
      <c r="AY161" s="4">
        <f t="shared" si="64"/>
        <v>7</v>
      </c>
      <c r="BB161" s="4">
        <f t="shared" si="65"/>
        <v>7</v>
      </c>
      <c r="BE161" s="4">
        <f t="shared" si="66"/>
        <v>7</v>
      </c>
      <c r="BR161" s="5"/>
    </row>
    <row r="162" spans="1:70" x14ac:dyDescent="0.2">
      <c r="A162" s="4" t="s">
        <v>145</v>
      </c>
      <c r="B162" s="4">
        <v>491</v>
      </c>
      <c r="C162" s="4">
        <v>10</v>
      </c>
      <c r="D162" s="4">
        <v>10</v>
      </c>
      <c r="E162" s="284">
        <v>54665</v>
      </c>
      <c r="F162" s="5">
        <v>54517</v>
      </c>
      <c r="G162" s="5">
        <v>54261</v>
      </c>
      <c r="H162" s="5">
        <v>53818</v>
      </c>
      <c r="I162" s="5">
        <v>53134</v>
      </c>
      <c r="J162" s="5">
        <v>52583</v>
      </c>
      <c r="K162" s="5">
        <v>52122</v>
      </c>
      <c r="L162" s="5">
        <v>51980</v>
      </c>
      <c r="M162" s="5">
        <v>51919</v>
      </c>
      <c r="N162" s="5">
        <v>50982</v>
      </c>
      <c r="O162" s="5">
        <v>50588</v>
      </c>
      <c r="P162" s="5">
        <v>50193</v>
      </c>
      <c r="Q162" s="5">
        <v>49811</v>
      </c>
      <c r="R162" s="5">
        <v>49431</v>
      </c>
      <c r="S162" s="5">
        <v>49061</v>
      </c>
      <c r="T162" s="5">
        <v>48693</v>
      </c>
      <c r="U162" s="5"/>
      <c r="V162" s="5"/>
      <c r="X162" s="7">
        <f t="shared" si="67"/>
        <v>2</v>
      </c>
      <c r="AA162" s="24">
        <f t="shared" si="56"/>
        <v>2</v>
      </c>
      <c r="AD162" s="4">
        <f t="shared" si="57"/>
        <v>2</v>
      </c>
      <c r="AG162" s="4">
        <f t="shared" si="58"/>
        <v>2</v>
      </c>
      <c r="AJ162" s="4">
        <f t="shared" si="59"/>
        <v>2</v>
      </c>
      <c r="AM162" s="4">
        <f t="shared" si="60"/>
        <v>2</v>
      </c>
      <c r="AP162" s="4">
        <f t="shared" si="61"/>
        <v>2</v>
      </c>
      <c r="AS162" s="4">
        <f t="shared" si="62"/>
        <v>2</v>
      </c>
      <c r="AV162" s="4">
        <f t="shared" si="63"/>
        <v>2</v>
      </c>
      <c r="AY162" s="4">
        <f t="shared" si="64"/>
        <v>2</v>
      </c>
      <c r="BB162" s="4">
        <f t="shared" si="65"/>
        <v>2</v>
      </c>
      <c r="BE162" s="4">
        <f t="shared" si="66"/>
        <v>2</v>
      </c>
      <c r="BR162" s="5"/>
    </row>
    <row r="163" spans="1:70" x14ac:dyDescent="0.2">
      <c r="A163" s="4" t="s">
        <v>146</v>
      </c>
      <c r="B163" s="4">
        <v>494</v>
      </c>
      <c r="C163" s="4">
        <v>17</v>
      </c>
      <c r="D163" s="4">
        <v>17</v>
      </c>
      <c r="E163" s="284">
        <v>9063</v>
      </c>
      <c r="F163" s="5">
        <v>8995</v>
      </c>
      <c r="G163" s="5">
        <v>9019</v>
      </c>
      <c r="H163" s="5">
        <v>8980</v>
      </c>
      <c r="I163" s="5">
        <v>8908</v>
      </c>
      <c r="J163" s="5">
        <v>8903</v>
      </c>
      <c r="K163" s="5">
        <v>8909</v>
      </c>
      <c r="L163" s="5">
        <v>8882</v>
      </c>
      <c r="M163" s="5">
        <v>8827</v>
      </c>
      <c r="N163" s="5">
        <v>8780</v>
      </c>
      <c r="O163" s="5">
        <v>8750</v>
      </c>
      <c r="P163" s="5">
        <v>8720</v>
      </c>
      <c r="Q163" s="5">
        <v>8691</v>
      </c>
      <c r="R163" s="5">
        <v>8662</v>
      </c>
      <c r="S163" s="5">
        <v>8633</v>
      </c>
      <c r="T163" s="5">
        <v>8605</v>
      </c>
      <c r="U163" s="5"/>
      <c r="V163" s="5"/>
      <c r="X163" s="7">
        <f t="shared" si="67"/>
        <v>5</v>
      </c>
      <c r="AA163" s="24">
        <f t="shared" si="56"/>
        <v>5</v>
      </c>
      <c r="AD163" s="4">
        <f t="shared" si="57"/>
        <v>5</v>
      </c>
      <c r="AG163" s="4">
        <f t="shared" si="58"/>
        <v>5</v>
      </c>
      <c r="AJ163" s="4">
        <f t="shared" si="59"/>
        <v>5</v>
      </c>
      <c r="AM163" s="4">
        <f t="shared" si="60"/>
        <v>5</v>
      </c>
      <c r="AP163" s="4">
        <f t="shared" si="61"/>
        <v>5</v>
      </c>
      <c r="AS163" s="4">
        <f t="shared" si="62"/>
        <v>5</v>
      </c>
      <c r="AV163" s="4">
        <f t="shared" si="63"/>
        <v>5</v>
      </c>
      <c r="AY163" s="4">
        <f t="shared" si="64"/>
        <v>5</v>
      </c>
      <c r="BB163" s="4">
        <f t="shared" si="65"/>
        <v>5</v>
      </c>
      <c r="BE163" s="4">
        <f t="shared" si="66"/>
        <v>5</v>
      </c>
      <c r="BR163" s="5"/>
    </row>
    <row r="164" spans="1:70" x14ac:dyDescent="0.2">
      <c r="A164" s="4" t="s">
        <v>147</v>
      </c>
      <c r="B164" s="4">
        <v>495</v>
      </c>
      <c r="C164" s="4">
        <v>13</v>
      </c>
      <c r="D164" s="4">
        <v>13</v>
      </c>
      <c r="E164" s="284">
        <v>1710</v>
      </c>
      <c r="F164" s="5">
        <v>1663</v>
      </c>
      <c r="G164" s="5">
        <v>1636</v>
      </c>
      <c r="H164" s="5">
        <v>1584</v>
      </c>
      <c r="I164" s="5">
        <v>1566</v>
      </c>
      <c r="J164" s="5">
        <v>1558</v>
      </c>
      <c r="K164" s="5">
        <v>1488</v>
      </c>
      <c r="L164" s="5">
        <v>1477</v>
      </c>
      <c r="M164" s="5">
        <v>1430</v>
      </c>
      <c r="N164" s="5">
        <v>1457</v>
      </c>
      <c r="O164" s="5">
        <v>1434</v>
      </c>
      <c r="P164" s="5">
        <v>1413</v>
      </c>
      <c r="Q164" s="5">
        <v>1389</v>
      </c>
      <c r="R164" s="5">
        <v>1367</v>
      </c>
      <c r="S164" s="5">
        <v>1345</v>
      </c>
      <c r="T164" s="5">
        <v>1327</v>
      </c>
      <c r="U164" s="5"/>
      <c r="V164" s="5"/>
      <c r="X164" s="7">
        <f t="shared" si="67"/>
        <v>7</v>
      </c>
      <c r="AA164" s="24">
        <f t="shared" si="56"/>
        <v>7</v>
      </c>
      <c r="AD164" s="4">
        <f t="shared" si="57"/>
        <v>7</v>
      </c>
      <c r="AG164" s="4">
        <f t="shared" si="58"/>
        <v>7</v>
      </c>
      <c r="AJ164" s="4">
        <f t="shared" si="59"/>
        <v>7</v>
      </c>
      <c r="AM164" s="4">
        <f t="shared" si="60"/>
        <v>7</v>
      </c>
      <c r="AP164" s="4">
        <f t="shared" si="61"/>
        <v>7</v>
      </c>
      <c r="AS164" s="4">
        <f t="shared" si="62"/>
        <v>7</v>
      </c>
      <c r="AV164" s="4">
        <f t="shared" si="63"/>
        <v>7</v>
      </c>
      <c r="AY164" s="4">
        <f t="shared" si="64"/>
        <v>7</v>
      </c>
      <c r="BB164" s="4">
        <f t="shared" si="65"/>
        <v>7</v>
      </c>
      <c r="BE164" s="4">
        <f t="shared" si="66"/>
        <v>7</v>
      </c>
      <c r="BR164" s="5"/>
    </row>
    <row r="165" spans="1:70" x14ac:dyDescent="0.2">
      <c r="A165" s="4" t="s">
        <v>148</v>
      </c>
      <c r="B165" s="4">
        <v>498</v>
      </c>
      <c r="C165" s="4">
        <v>19</v>
      </c>
      <c r="D165" s="4">
        <v>19</v>
      </c>
      <c r="E165" s="284">
        <v>2358</v>
      </c>
      <c r="F165" s="5">
        <v>2350</v>
      </c>
      <c r="G165" s="5">
        <v>2332</v>
      </c>
      <c r="H165" s="5">
        <v>2299</v>
      </c>
      <c r="I165" s="5">
        <v>2308</v>
      </c>
      <c r="J165" s="5">
        <v>2297</v>
      </c>
      <c r="K165" s="5">
        <v>2321</v>
      </c>
      <c r="L165" s="5">
        <v>2281</v>
      </c>
      <c r="M165" s="5">
        <v>2325</v>
      </c>
      <c r="N165" s="5">
        <v>2255</v>
      </c>
      <c r="O165" s="5">
        <v>2245</v>
      </c>
      <c r="P165" s="5">
        <v>2236</v>
      </c>
      <c r="Q165" s="5">
        <v>2227</v>
      </c>
      <c r="R165" s="5">
        <v>2217</v>
      </c>
      <c r="S165" s="5">
        <v>2205</v>
      </c>
      <c r="T165" s="5">
        <v>2195</v>
      </c>
      <c r="U165" s="5"/>
      <c r="V165" s="5"/>
      <c r="X165" s="7">
        <f t="shared" si="67"/>
        <v>6</v>
      </c>
      <c r="AA165" s="24">
        <f t="shared" si="56"/>
        <v>6</v>
      </c>
      <c r="AD165" s="4">
        <f t="shared" si="57"/>
        <v>6</v>
      </c>
      <c r="AG165" s="4">
        <f t="shared" si="58"/>
        <v>6</v>
      </c>
      <c r="AJ165" s="4">
        <f t="shared" si="59"/>
        <v>6</v>
      </c>
      <c r="AM165" s="4">
        <f t="shared" si="60"/>
        <v>6</v>
      </c>
      <c r="AP165" s="4">
        <f t="shared" si="61"/>
        <v>6</v>
      </c>
      <c r="AS165" s="4">
        <f t="shared" si="62"/>
        <v>6</v>
      </c>
      <c r="AV165" s="4">
        <f t="shared" si="63"/>
        <v>6</v>
      </c>
      <c r="AY165" s="4">
        <f t="shared" si="64"/>
        <v>6</v>
      </c>
      <c r="BB165" s="4">
        <f t="shared" si="65"/>
        <v>6</v>
      </c>
      <c r="BE165" s="4">
        <f t="shared" si="66"/>
        <v>6</v>
      </c>
      <c r="BR165" s="5"/>
    </row>
    <row r="166" spans="1:70" x14ac:dyDescent="0.2">
      <c r="A166" s="4" t="s">
        <v>149</v>
      </c>
      <c r="B166" s="4">
        <v>499</v>
      </c>
      <c r="C166" s="4">
        <v>15</v>
      </c>
      <c r="D166" s="4">
        <v>15</v>
      </c>
      <c r="E166" s="284">
        <v>19302</v>
      </c>
      <c r="F166" s="5">
        <v>19380</v>
      </c>
      <c r="G166" s="5">
        <v>19384</v>
      </c>
      <c r="H166" s="5">
        <v>19444</v>
      </c>
      <c r="I166" s="5">
        <v>19448</v>
      </c>
      <c r="J166" s="5">
        <v>19453</v>
      </c>
      <c r="K166" s="5">
        <v>19536</v>
      </c>
      <c r="L166" s="5">
        <v>19662</v>
      </c>
      <c r="M166" s="5">
        <v>19763</v>
      </c>
      <c r="N166" s="5">
        <v>19523</v>
      </c>
      <c r="O166" s="5">
        <v>19520</v>
      </c>
      <c r="P166" s="5">
        <v>19512</v>
      </c>
      <c r="Q166" s="5">
        <v>19499</v>
      </c>
      <c r="R166" s="5">
        <v>19482</v>
      </c>
      <c r="S166" s="5">
        <v>19452</v>
      </c>
      <c r="T166" s="5">
        <v>19413</v>
      </c>
      <c r="U166" s="5"/>
      <c r="V166" s="5"/>
      <c r="X166" s="7">
        <f t="shared" si="67"/>
        <v>4</v>
      </c>
      <c r="AA166" s="24">
        <f t="shared" si="56"/>
        <v>4</v>
      </c>
      <c r="AD166" s="4">
        <f t="shared" si="57"/>
        <v>4</v>
      </c>
      <c r="AG166" s="4">
        <f t="shared" si="58"/>
        <v>4</v>
      </c>
      <c r="AJ166" s="4">
        <f t="shared" si="59"/>
        <v>4</v>
      </c>
      <c r="AM166" s="4">
        <f t="shared" si="60"/>
        <v>4</v>
      </c>
      <c r="AP166" s="4">
        <f t="shared" si="61"/>
        <v>4</v>
      </c>
      <c r="AS166" s="4">
        <f t="shared" si="62"/>
        <v>4</v>
      </c>
      <c r="AV166" s="4">
        <f t="shared" si="63"/>
        <v>4</v>
      </c>
      <c r="AY166" s="4">
        <f t="shared" si="64"/>
        <v>4</v>
      </c>
      <c r="BB166" s="4">
        <f t="shared" si="65"/>
        <v>4</v>
      </c>
      <c r="BE166" s="4">
        <f t="shared" si="66"/>
        <v>4</v>
      </c>
      <c r="BR166" s="5"/>
    </row>
    <row r="167" spans="1:70" x14ac:dyDescent="0.2">
      <c r="A167" s="4" t="s">
        <v>150</v>
      </c>
      <c r="B167" s="4">
        <v>500</v>
      </c>
      <c r="C167" s="4">
        <v>13</v>
      </c>
      <c r="D167" s="4">
        <v>13</v>
      </c>
      <c r="E167" s="284">
        <v>9791</v>
      </c>
      <c r="F167" s="5">
        <v>9941</v>
      </c>
      <c r="G167" s="5">
        <v>10097</v>
      </c>
      <c r="H167" s="5">
        <v>10170</v>
      </c>
      <c r="I167" s="5">
        <v>10164</v>
      </c>
      <c r="J167" s="5">
        <v>10267</v>
      </c>
      <c r="K167" s="5">
        <v>10426</v>
      </c>
      <c r="L167" s="5">
        <v>10486</v>
      </c>
      <c r="M167" s="5">
        <v>10551</v>
      </c>
      <c r="N167" s="5">
        <v>10629</v>
      </c>
      <c r="O167" s="5">
        <v>10700</v>
      </c>
      <c r="P167" s="5">
        <v>10763</v>
      </c>
      <c r="Q167" s="5">
        <v>10819</v>
      </c>
      <c r="R167" s="5">
        <v>10869</v>
      </c>
      <c r="S167" s="5">
        <v>10911</v>
      </c>
      <c r="T167" s="5">
        <v>10942</v>
      </c>
      <c r="U167" s="5"/>
      <c r="V167" s="5"/>
      <c r="X167" s="7">
        <f t="shared" si="67"/>
        <v>4</v>
      </c>
      <c r="AA167" s="24">
        <f t="shared" si="56"/>
        <v>4</v>
      </c>
      <c r="AD167" s="4">
        <f t="shared" si="57"/>
        <v>4</v>
      </c>
      <c r="AG167" s="4">
        <f t="shared" si="58"/>
        <v>4</v>
      </c>
      <c r="AJ167" s="4">
        <f t="shared" si="59"/>
        <v>4</v>
      </c>
      <c r="AM167" s="4">
        <f t="shared" si="60"/>
        <v>4</v>
      </c>
      <c r="AP167" s="4">
        <f t="shared" si="61"/>
        <v>4</v>
      </c>
      <c r="AS167" s="4">
        <f t="shared" si="62"/>
        <v>4</v>
      </c>
      <c r="AV167" s="4">
        <f t="shared" si="63"/>
        <v>4</v>
      </c>
      <c r="AY167" s="4">
        <f t="shared" si="64"/>
        <v>4</v>
      </c>
      <c r="BB167" s="4">
        <f t="shared" si="65"/>
        <v>4</v>
      </c>
      <c r="BE167" s="4">
        <f t="shared" si="66"/>
        <v>4</v>
      </c>
      <c r="BR167" s="5"/>
    </row>
    <row r="168" spans="1:70" x14ac:dyDescent="0.2">
      <c r="A168" s="4" t="s">
        <v>151</v>
      </c>
      <c r="B168" s="4">
        <v>503</v>
      </c>
      <c r="C168" s="4">
        <v>2</v>
      </c>
      <c r="D168" s="4">
        <v>2</v>
      </c>
      <c r="E168" s="284">
        <v>7859</v>
      </c>
      <c r="F168" s="5">
        <v>7842</v>
      </c>
      <c r="G168" s="5">
        <v>7838</v>
      </c>
      <c r="H168" s="5">
        <v>7766</v>
      </c>
      <c r="I168" s="5">
        <v>7654</v>
      </c>
      <c r="J168" s="5">
        <v>7645</v>
      </c>
      <c r="K168" s="5">
        <v>7594</v>
      </c>
      <c r="L168" s="5">
        <v>7539</v>
      </c>
      <c r="M168" s="5">
        <v>7515</v>
      </c>
      <c r="N168" s="5">
        <v>7461</v>
      </c>
      <c r="O168" s="5">
        <v>7422</v>
      </c>
      <c r="P168" s="5">
        <v>7385</v>
      </c>
      <c r="Q168" s="5">
        <v>7351</v>
      </c>
      <c r="R168" s="5">
        <v>7316</v>
      </c>
      <c r="S168" s="5">
        <v>7283</v>
      </c>
      <c r="T168" s="5">
        <v>7255</v>
      </c>
      <c r="U168" s="5"/>
      <c r="V168" s="5"/>
      <c r="X168" s="7">
        <f t="shared" si="67"/>
        <v>5</v>
      </c>
      <c r="AA168" s="24">
        <f t="shared" si="56"/>
        <v>5</v>
      </c>
      <c r="AD168" s="4">
        <f t="shared" si="57"/>
        <v>5</v>
      </c>
      <c r="AG168" s="4">
        <f t="shared" si="58"/>
        <v>5</v>
      </c>
      <c r="AJ168" s="4">
        <f t="shared" si="59"/>
        <v>5</v>
      </c>
      <c r="AM168" s="4">
        <f t="shared" si="60"/>
        <v>5</v>
      </c>
      <c r="AP168" s="4">
        <f t="shared" si="61"/>
        <v>5</v>
      </c>
      <c r="AS168" s="4">
        <f t="shared" si="62"/>
        <v>5</v>
      </c>
      <c r="AV168" s="4">
        <f t="shared" si="63"/>
        <v>5</v>
      </c>
      <c r="AY168" s="4">
        <f t="shared" si="64"/>
        <v>5</v>
      </c>
      <c r="BB168" s="4">
        <f t="shared" si="65"/>
        <v>5</v>
      </c>
      <c r="BE168" s="4">
        <f t="shared" si="66"/>
        <v>5</v>
      </c>
      <c r="BR168" s="5"/>
    </row>
    <row r="169" spans="1:70" x14ac:dyDescent="0.2">
      <c r="A169" s="4" t="s">
        <v>152</v>
      </c>
      <c r="B169" s="4">
        <v>504</v>
      </c>
      <c r="C169" s="4">
        <v>1</v>
      </c>
      <c r="D169" s="4">
        <v>34</v>
      </c>
      <c r="E169" s="284">
        <v>1969</v>
      </c>
      <c r="F169" s="5">
        <v>1986</v>
      </c>
      <c r="G169" s="5">
        <v>1969</v>
      </c>
      <c r="H169" s="5">
        <v>1922</v>
      </c>
      <c r="I169" s="5">
        <v>1882</v>
      </c>
      <c r="J169" s="5">
        <v>1871</v>
      </c>
      <c r="K169" s="5">
        <v>1816</v>
      </c>
      <c r="L169" s="5">
        <v>1764</v>
      </c>
      <c r="M169" s="5">
        <v>1715</v>
      </c>
      <c r="N169" s="5">
        <v>1790</v>
      </c>
      <c r="O169" s="5">
        <v>1773</v>
      </c>
      <c r="P169" s="5">
        <v>1756</v>
      </c>
      <c r="Q169" s="5">
        <v>1745</v>
      </c>
      <c r="R169" s="5">
        <v>1734</v>
      </c>
      <c r="S169" s="5">
        <v>1723</v>
      </c>
      <c r="T169" s="5">
        <v>1713</v>
      </c>
      <c r="U169" s="5"/>
      <c r="V169" s="5"/>
      <c r="X169" s="7">
        <f t="shared" si="67"/>
        <v>7</v>
      </c>
      <c r="AA169" s="24">
        <f t="shared" si="56"/>
        <v>7</v>
      </c>
      <c r="AD169" s="4">
        <f t="shared" si="57"/>
        <v>7</v>
      </c>
      <c r="AG169" s="4">
        <f t="shared" si="58"/>
        <v>7</v>
      </c>
      <c r="AJ169" s="4">
        <f t="shared" si="59"/>
        <v>7</v>
      </c>
      <c r="AM169" s="4">
        <f t="shared" si="60"/>
        <v>7</v>
      </c>
      <c r="AP169" s="4">
        <f t="shared" si="61"/>
        <v>7</v>
      </c>
      <c r="AS169" s="4">
        <f t="shared" si="62"/>
        <v>7</v>
      </c>
      <c r="AV169" s="4">
        <f t="shared" si="63"/>
        <v>7</v>
      </c>
      <c r="AY169" s="4">
        <f t="shared" si="64"/>
        <v>7</v>
      </c>
      <c r="BB169" s="4">
        <f t="shared" si="65"/>
        <v>7</v>
      </c>
      <c r="BE169" s="4">
        <f t="shared" si="66"/>
        <v>7</v>
      </c>
      <c r="BR169" s="5"/>
    </row>
    <row r="170" spans="1:70" x14ac:dyDescent="0.2">
      <c r="A170" s="4" t="s">
        <v>153</v>
      </c>
      <c r="B170" s="4">
        <v>505</v>
      </c>
      <c r="C170" s="4">
        <v>1</v>
      </c>
      <c r="D170" s="4">
        <v>35</v>
      </c>
      <c r="E170" s="284">
        <v>20685</v>
      </c>
      <c r="F170" s="5">
        <v>20853</v>
      </c>
      <c r="G170" s="5">
        <v>20803</v>
      </c>
      <c r="H170" s="5">
        <v>20686</v>
      </c>
      <c r="I170" s="5">
        <v>20721</v>
      </c>
      <c r="J170" s="5">
        <v>20783</v>
      </c>
      <c r="K170" s="5">
        <v>20837</v>
      </c>
      <c r="L170" s="5">
        <v>20912</v>
      </c>
      <c r="M170" s="5">
        <v>20957</v>
      </c>
      <c r="N170" s="5">
        <v>20890</v>
      </c>
      <c r="O170" s="5">
        <v>20927</v>
      </c>
      <c r="P170" s="5">
        <v>20970</v>
      </c>
      <c r="Q170" s="5">
        <v>21011</v>
      </c>
      <c r="R170" s="5">
        <v>21048</v>
      </c>
      <c r="S170" s="5">
        <v>21087</v>
      </c>
      <c r="T170" s="5">
        <v>21127</v>
      </c>
      <c r="U170" s="5"/>
      <c r="V170" s="5"/>
      <c r="X170" s="7">
        <f t="shared" si="67"/>
        <v>3</v>
      </c>
      <c r="AA170" s="24">
        <f t="shared" si="56"/>
        <v>3</v>
      </c>
      <c r="AD170" s="4">
        <f t="shared" si="57"/>
        <v>3</v>
      </c>
      <c r="AG170" s="4">
        <f t="shared" si="58"/>
        <v>3</v>
      </c>
      <c r="AJ170" s="4">
        <f t="shared" si="59"/>
        <v>3</v>
      </c>
      <c r="AM170" s="4">
        <f t="shared" si="60"/>
        <v>3</v>
      </c>
      <c r="AP170" s="4">
        <f t="shared" si="61"/>
        <v>3</v>
      </c>
      <c r="AS170" s="4">
        <f t="shared" si="62"/>
        <v>3</v>
      </c>
      <c r="AV170" s="4">
        <f t="shared" si="63"/>
        <v>3</v>
      </c>
      <c r="AY170" s="4">
        <f t="shared" si="64"/>
        <v>3</v>
      </c>
      <c r="BB170" s="4">
        <f t="shared" si="65"/>
        <v>3</v>
      </c>
      <c r="BE170" s="4">
        <f t="shared" si="66"/>
        <v>3</v>
      </c>
      <c r="BR170" s="5"/>
    </row>
    <row r="171" spans="1:70" x14ac:dyDescent="0.2">
      <c r="A171" s="4" t="s">
        <v>155</v>
      </c>
      <c r="B171" s="4">
        <v>507</v>
      </c>
      <c r="C171" s="4">
        <v>10</v>
      </c>
      <c r="D171" s="4">
        <v>10</v>
      </c>
      <c r="E171" s="284">
        <v>6159</v>
      </c>
      <c r="F171" s="5">
        <v>6097</v>
      </c>
      <c r="G171" s="5">
        <v>6054</v>
      </c>
      <c r="H171" s="5">
        <v>5924</v>
      </c>
      <c r="I171" s="5">
        <v>5791</v>
      </c>
      <c r="J171" s="5">
        <v>5676</v>
      </c>
      <c r="K171" s="5">
        <v>5635</v>
      </c>
      <c r="L171" s="5">
        <v>5564</v>
      </c>
      <c r="M171" s="5">
        <v>5522</v>
      </c>
      <c r="N171" s="5">
        <v>5380</v>
      </c>
      <c r="O171" s="5">
        <v>6839</v>
      </c>
      <c r="P171" s="5">
        <v>6759</v>
      </c>
      <c r="Q171" s="5">
        <v>6684</v>
      </c>
      <c r="R171" s="5">
        <v>6614</v>
      </c>
      <c r="S171" s="5">
        <v>6545</v>
      </c>
      <c r="T171" s="5">
        <v>6481</v>
      </c>
      <c r="U171" s="5"/>
      <c r="V171" s="5"/>
      <c r="X171" s="7">
        <f t="shared" si="67"/>
        <v>5</v>
      </c>
      <c r="AA171" s="24">
        <f t="shared" si="56"/>
        <v>5</v>
      </c>
      <c r="AD171" s="4">
        <f t="shared" si="57"/>
        <v>5</v>
      </c>
      <c r="AG171" s="4">
        <f t="shared" si="58"/>
        <v>5</v>
      </c>
      <c r="AJ171" s="4">
        <f t="shared" si="59"/>
        <v>5</v>
      </c>
      <c r="AM171" s="4">
        <f t="shared" si="60"/>
        <v>5</v>
      </c>
      <c r="AP171" s="4">
        <f t="shared" si="61"/>
        <v>5</v>
      </c>
      <c r="AS171" s="4">
        <f t="shared" si="62"/>
        <v>5</v>
      </c>
      <c r="AV171" s="4">
        <f t="shared" si="63"/>
        <v>5</v>
      </c>
      <c r="AY171" s="4">
        <f t="shared" si="64"/>
        <v>5</v>
      </c>
      <c r="BB171" s="4">
        <f t="shared" si="65"/>
        <v>5</v>
      </c>
      <c r="BE171" s="4">
        <f t="shared" si="66"/>
        <v>5</v>
      </c>
      <c r="BR171" s="5"/>
    </row>
    <row r="172" spans="1:70" x14ac:dyDescent="0.2">
      <c r="A172" s="4" t="s">
        <v>154</v>
      </c>
      <c r="B172" s="4">
        <v>508</v>
      </c>
      <c r="C172" s="4">
        <v>6</v>
      </c>
      <c r="D172" s="4">
        <v>6</v>
      </c>
      <c r="E172" s="284">
        <v>10604</v>
      </c>
      <c r="F172" s="5">
        <v>10448</v>
      </c>
      <c r="G172" s="5">
        <v>10256</v>
      </c>
      <c r="H172" s="5">
        <v>9983</v>
      </c>
      <c r="I172" s="5">
        <v>9855</v>
      </c>
      <c r="J172" s="5">
        <v>9673</v>
      </c>
      <c r="K172" s="5">
        <v>9563</v>
      </c>
      <c r="L172" s="5">
        <v>9360</v>
      </c>
      <c r="M172" s="5">
        <v>9271</v>
      </c>
      <c r="N172" s="5">
        <v>8959</v>
      </c>
      <c r="O172" s="5">
        <v>8813</v>
      </c>
      <c r="P172" s="5">
        <v>8676</v>
      </c>
      <c r="Q172" s="5">
        <v>8546</v>
      </c>
      <c r="R172" s="5">
        <v>8425</v>
      </c>
      <c r="S172" s="5">
        <v>8310</v>
      </c>
      <c r="T172" s="5">
        <v>8202</v>
      </c>
      <c r="U172" s="5"/>
      <c r="V172" s="5"/>
      <c r="X172" s="7">
        <f t="shared" si="67"/>
        <v>5</v>
      </c>
      <c r="AA172" s="24">
        <f t="shared" si="56"/>
        <v>5</v>
      </c>
      <c r="AD172" s="4">
        <f t="shared" si="57"/>
        <v>5</v>
      </c>
      <c r="AG172" s="4">
        <f t="shared" si="58"/>
        <v>5</v>
      </c>
      <c r="AJ172" s="4">
        <f t="shared" si="59"/>
        <v>5</v>
      </c>
      <c r="AM172" s="4">
        <f t="shared" si="60"/>
        <v>5</v>
      </c>
      <c r="AP172" s="4">
        <f t="shared" si="61"/>
        <v>5</v>
      </c>
      <c r="AS172" s="4">
        <f t="shared" si="62"/>
        <v>5</v>
      </c>
      <c r="AV172" s="4">
        <f t="shared" si="63"/>
        <v>5</v>
      </c>
      <c r="AY172" s="4">
        <f t="shared" si="64"/>
        <v>5</v>
      </c>
      <c r="BB172" s="4">
        <f t="shared" si="65"/>
        <v>5</v>
      </c>
      <c r="BE172" s="4">
        <f t="shared" si="66"/>
        <v>5</v>
      </c>
      <c r="BR172" s="5"/>
    </row>
    <row r="173" spans="1:70" x14ac:dyDescent="0.2">
      <c r="A173" s="4" t="s">
        <v>156</v>
      </c>
      <c r="B173" s="4">
        <v>529</v>
      </c>
      <c r="C173" s="4">
        <v>2</v>
      </c>
      <c r="D173" s="4">
        <v>2</v>
      </c>
      <c r="E173" s="284">
        <v>18961</v>
      </c>
      <c r="F173" s="5">
        <v>19068</v>
      </c>
      <c r="G173" s="5">
        <v>19167</v>
      </c>
      <c r="H173" s="5">
        <v>19245</v>
      </c>
      <c r="I173" s="5">
        <v>19314</v>
      </c>
      <c r="J173" s="5">
        <v>19427</v>
      </c>
      <c r="K173" s="5">
        <v>19579</v>
      </c>
      <c r="L173" s="5">
        <v>19850</v>
      </c>
      <c r="M173" s="5">
        <v>19999</v>
      </c>
      <c r="N173" s="5">
        <v>19725</v>
      </c>
      <c r="O173" s="5">
        <v>19800</v>
      </c>
      <c r="P173" s="5">
        <v>19873</v>
      </c>
      <c r="Q173" s="5">
        <v>19942</v>
      </c>
      <c r="R173" s="5">
        <v>20008</v>
      </c>
      <c r="S173" s="5">
        <v>20075</v>
      </c>
      <c r="T173" s="5">
        <v>20140</v>
      </c>
      <c r="U173" s="5"/>
      <c r="V173" s="5"/>
      <c r="X173" s="7">
        <f t="shared" si="67"/>
        <v>4</v>
      </c>
      <c r="AA173" s="24">
        <f t="shared" si="56"/>
        <v>4</v>
      </c>
      <c r="AD173" s="4">
        <f t="shared" si="57"/>
        <v>4</v>
      </c>
      <c r="AG173" s="4">
        <f t="shared" si="58"/>
        <v>4</v>
      </c>
      <c r="AJ173" s="4">
        <f t="shared" si="59"/>
        <v>4</v>
      </c>
      <c r="AM173" s="4">
        <f t="shared" si="60"/>
        <v>4</v>
      </c>
      <c r="AP173" s="4">
        <f t="shared" si="61"/>
        <v>4</v>
      </c>
      <c r="AS173" s="4">
        <f t="shared" si="62"/>
        <v>4</v>
      </c>
      <c r="AV173" s="4">
        <f t="shared" si="63"/>
        <v>4</v>
      </c>
      <c r="AY173" s="4">
        <f t="shared" si="64"/>
        <v>3</v>
      </c>
      <c r="BB173" s="4">
        <f t="shared" si="65"/>
        <v>3</v>
      </c>
      <c r="BE173" s="4">
        <f t="shared" si="66"/>
        <v>3</v>
      </c>
      <c r="BR173" s="5"/>
    </row>
    <row r="174" spans="1:70" x14ac:dyDescent="0.2">
      <c r="A174" s="4" t="s">
        <v>157</v>
      </c>
      <c r="B174" s="4">
        <v>531</v>
      </c>
      <c r="C174" s="4">
        <v>4</v>
      </c>
      <c r="D174" s="4">
        <v>4</v>
      </c>
      <c r="E174" s="284">
        <v>5651</v>
      </c>
      <c r="F174" s="5">
        <v>5548</v>
      </c>
      <c r="G174" s="5">
        <v>5521</v>
      </c>
      <c r="H174" s="5">
        <v>5437</v>
      </c>
      <c r="I174" s="5">
        <v>5329</v>
      </c>
      <c r="J174" s="5">
        <v>5256</v>
      </c>
      <c r="K174" s="5">
        <v>5169</v>
      </c>
      <c r="L174" s="5">
        <v>5072</v>
      </c>
      <c r="M174" s="5">
        <v>4966</v>
      </c>
      <c r="N174" s="5">
        <v>4977</v>
      </c>
      <c r="O174" s="5">
        <v>4907</v>
      </c>
      <c r="P174" s="5">
        <v>4840</v>
      </c>
      <c r="Q174" s="5">
        <v>4776</v>
      </c>
      <c r="R174" s="5">
        <v>4713</v>
      </c>
      <c r="S174" s="5">
        <v>4651</v>
      </c>
      <c r="T174" s="5">
        <v>4591</v>
      </c>
      <c r="U174" s="5"/>
      <c r="V174" s="5"/>
      <c r="X174" s="7">
        <f t="shared" si="67"/>
        <v>5</v>
      </c>
      <c r="AA174" s="24">
        <f t="shared" si="56"/>
        <v>5</v>
      </c>
      <c r="AD174" s="4">
        <f t="shared" si="57"/>
        <v>5</v>
      </c>
      <c r="AG174" s="4">
        <f t="shared" si="58"/>
        <v>5</v>
      </c>
      <c r="AJ174" s="4">
        <f t="shared" si="59"/>
        <v>6</v>
      </c>
      <c r="AM174" s="4">
        <f t="shared" si="60"/>
        <v>6</v>
      </c>
      <c r="AP174" s="4">
        <f t="shared" si="61"/>
        <v>6</v>
      </c>
      <c r="AS174" s="4">
        <f t="shared" si="62"/>
        <v>6</v>
      </c>
      <c r="AV174" s="4">
        <f t="shared" si="63"/>
        <v>6</v>
      </c>
      <c r="AY174" s="4">
        <f t="shared" si="64"/>
        <v>6</v>
      </c>
      <c r="BB174" s="4">
        <f t="shared" si="65"/>
        <v>6</v>
      </c>
      <c r="BE174" s="4">
        <f t="shared" si="66"/>
        <v>6</v>
      </c>
      <c r="BR174" s="5"/>
    </row>
    <row r="175" spans="1:70" x14ac:dyDescent="0.2">
      <c r="A175" s="4" t="s">
        <v>158</v>
      </c>
      <c r="B175" s="4">
        <v>535</v>
      </c>
      <c r="C175" s="4">
        <v>17</v>
      </c>
      <c r="D175" s="4">
        <v>17</v>
      </c>
      <c r="E175" s="284">
        <v>10876</v>
      </c>
      <c r="F175" s="5">
        <v>10889</v>
      </c>
      <c r="G175" s="5">
        <v>10815</v>
      </c>
      <c r="H175" s="5">
        <v>10737</v>
      </c>
      <c r="I175" s="5">
        <v>10639</v>
      </c>
      <c r="J175" s="5">
        <v>10500</v>
      </c>
      <c r="K175" s="5">
        <v>10396</v>
      </c>
      <c r="L175" s="5">
        <v>10419</v>
      </c>
      <c r="M175" s="5">
        <v>10454</v>
      </c>
      <c r="N175" s="5">
        <v>10063</v>
      </c>
      <c r="O175" s="5">
        <v>9957</v>
      </c>
      <c r="P175" s="5">
        <v>9847</v>
      </c>
      <c r="Q175" s="5">
        <v>9737</v>
      </c>
      <c r="R175" s="5">
        <v>9629</v>
      </c>
      <c r="S175" s="5">
        <v>9518</v>
      </c>
      <c r="T175" s="5">
        <v>9405</v>
      </c>
      <c r="U175" s="5"/>
      <c r="V175" s="5"/>
      <c r="X175" s="7">
        <f t="shared" si="67"/>
        <v>4</v>
      </c>
      <c r="AA175" s="24">
        <f t="shared" si="56"/>
        <v>4</v>
      </c>
      <c r="AD175" s="4">
        <f t="shared" si="57"/>
        <v>4</v>
      </c>
      <c r="AG175" s="4">
        <f t="shared" si="58"/>
        <v>4</v>
      </c>
      <c r="AJ175" s="4">
        <f t="shared" si="59"/>
        <v>4</v>
      </c>
      <c r="AM175" s="4">
        <f t="shared" si="60"/>
        <v>4</v>
      </c>
      <c r="AP175" s="4">
        <f t="shared" si="61"/>
        <v>5</v>
      </c>
      <c r="AS175" s="4">
        <f t="shared" si="62"/>
        <v>5</v>
      </c>
      <c r="AV175" s="4">
        <f t="shared" si="63"/>
        <v>5</v>
      </c>
      <c r="AY175" s="4">
        <f t="shared" si="64"/>
        <v>5</v>
      </c>
      <c r="BB175" s="4">
        <f t="shared" si="65"/>
        <v>5</v>
      </c>
      <c r="BE175" s="4">
        <f t="shared" si="66"/>
        <v>5</v>
      </c>
      <c r="BR175" s="5"/>
    </row>
    <row r="176" spans="1:70" x14ac:dyDescent="0.2">
      <c r="A176" s="4" t="s">
        <v>159</v>
      </c>
      <c r="B176" s="4">
        <v>536</v>
      </c>
      <c r="C176" s="4">
        <v>6</v>
      </c>
      <c r="D176" s="4">
        <v>6</v>
      </c>
      <c r="E176" s="284">
        <v>33162</v>
      </c>
      <c r="F176" s="5">
        <v>33210</v>
      </c>
      <c r="G176" s="5">
        <v>33322</v>
      </c>
      <c r="H176" s="5">
        <v>33527</v>
      </c>
      <c r="I176" s="5">
        <v>33929</v>
      </c>
      <c r="J176" s="5">
        <v>34476</v>
      </c>
      <c r="K176" s="5">
        <v>34884</v>
      </c>
      <c r="L176" s="5">
        <v>35346</v>
      </c>
      <c r="M176" s="5">
        <v>35647</v>
      </c>
      <c r="N176" s="5">
        <v>35510</v>
      </c>
      <c r="O176" s="5">
        <v>35731</v>
      </c>
      <c r="P176" s="5">
        <v>35942</v>
      </c>
      <c r="Q176" s="5">
        <v>36139</v>
      </c>
      <c r="R176" s="5">
        <v>36322</v>
      </c>
      <c r="S176" s="5">
        <v>36503</v>
      </c>
      <c r="T176" s="5">
        <v>36680</v>
      </c>
      <c r="U176" s="5"/>
      <c r="V176" s="5"/>
      <c r="X176" s="7">
        <f t="shared" si="67"/>
        <v>3</v>
      </c>
      <c r="AA176" s="24">
        <f t="shared" si="56"/>
        <v>3</v>
      </c>
      <c r="AD176" s="4">
        <f t="shared" si="57"/>
        <v>3</v>
      </c>
      <c r="AG176" s="4">
        <f t="shared" si="58"/>
        <v>3</v>
      </c>
      <c r="AJ176" s="4">
        <f t="shared" si="59"/>
        <v>3</v>
      </c>
      <c r="AM176" s="4">
        <f t="shared" si="60"/>
        <v>3</v>
      </c>
      <c r="AP176" s="4">
        <f t="shared" si="61"/>
        <v>3</v>
      </c>
      <c r="AS176" s="4">
        <f t="shared" si="62"/>
        <v>3</v>
      </c>
      <c r="AV176" s="4">
        <f t="shared" si="63"/>
        <v>3</v>
      </c>
      <c r="AY176" s="4">
        <f t="shared" si="64"/>
        <v>3</v>
      </c>
      <c r="BB176" s="4">
        <f t="shared" si="65"/>
        <v>3</v>
      </c>
      <c r="BE176" s="4">
        <f t="shared" si="66"/>
        <v>3</v>
      </c>
      <c r="BR176" s="5"/>
    </row>
    <row r="177" spans="1:70" x14ac:dyDescent="0.2">
      <c r="A177" s="4" t="s">
        <v>160</v>
      </c>
      <c r="B177" s="4">
        <v>538</v>
      </c>
      <c r="C177" s="4">
        <v>2</v>
      </c>
      <c r="D177" s="4">
        <v>2</v>
      </c>
      <c r="E177" s="284">
        <v>4859</v>
      </c>
      <c r="F177" s="5">
        <v>4815</v>
      </c>
      <c r="G177" s="5">
        <v>4813</v>
      </c>
      <c r="H177" s="5">
        <v>4733</v>
      </c>
      <c r="I177" s="5">
        <v>4715</v>
      </c>
      <c r="J177" s="5">
        <v>4693</v>
      </c>
      <c r="K177" s="5">
        <v>4689</v>
      </c>
      <c r="L177" s="5">
        <v>4644</v>
      </c>
      <c r="M177" s="5">
        <v>4695</v>
      </c>
      <c r="N177" s="5">
        <v>4613</v>
      </c>
      <c r="O177" s="5">
        <v>4597</v>
      </c>
      <c r="P177" s="5">
        <v>4581</v>
      </c>
      <c r="Q177" s="5">
        <v>4567</v>
      </c>
      <c r="R177" s="5">
        <v>4554</v>
      </c>
      <c r="S177" s="5">
        <v>4541</v>
      </c>
      <c r="T177" s="5">
        <v>4527</v>
      </c>
      <c r="U177" s="5"/>
      <c r="V177" s="5"/>
      <c r="X177" s="7">
        <f t="shared" si="67"/>
        <v>6</v>
      </c>
      <c r="AA177" s="24">
        <f t="shared" si="56"/>
        <v>6</v>
      </c>
      <c r="AD177" s="4">
        <f t="shared" si="57"/>
        <v>6</v>
      </c>
      <c r="AG177" s="4">
        <f t="shared" si="58"/>
        <v>6</v>
      </c>
      <c r="AJ177" s="4">
        <f t="shared" si="59"/>
        <v>6</v>
      </c>
      <c r="AM177" s="4">
        <f t="shared" si="60"/>
        <v>6</v>
      </c>
      <c r="AP177" s="4">
        <f t="shared" si="61"/>
        <v>6</v>
      </c>
      <c r="AS177" s="4">
        <f t="shared" si="62"/>
        <v>6</v>
      </c>
      <c r="AV177" s="4">
        <f t="shared" si="63"/>
        <v>6</v>
      </c>
      <c r="AY177" s="4">
        <f t="shared" si="64"/>
        <v>6</v>
      </c>
      <c r="BB177" s="4">
        <f t="shared" si="65"/>
        <v>6</v>
      </c>
      <c r="BE177" s="4">
        <f t="shared" si="66"/>
        <v>6</v>
      </c>
      <c r="BR177" s="5"/>
    </row>
    <row r="178" spans="1:70" x14ac:dyDescent="0.2">
      <c r="A178" s="4" t="s">
        <v>161</v>
      </c>
      <c r="B178" s="4">
        <v>541</v>
      </c>
      <c r="C178" s="4">
        <v>12</v>
      </c>
      <c r="D178" s="4">
        <v>12</v>
      </c>
      <c r="E178" s="284">
        <v>7996</v>
      </c>
      <c r="F178" s="5">
        <v>10130</v>
      </c>
      <c r="G178" s="5">
        <v>9983</v>
      </c>
      <c r="H178" s="5">
        <v>9784</v>
      </c>
      <c r="I178" s="5">
        <v>9552</v>
      </c>
      <c r="J178" s="5">
        <v>9501</v>
      </c>
      <c r="K178" s="5">
        <v>9423</v>
      </c>
      <c r="L178" s="5">
        <v>9243</v>
      </c>
      <c r="M178" s="5">
        <v>9130</v>
      </c>
      <c r="N178" s="5">
        <v>8886</v>
      </c>
      <c r="O178" s="5">
        <v>8746</v>
      </c>
      <c r="P178" s="5">
        <v>8614</v>
      </c>
      <c r="Q178" s="5">
        <v>8490</v>
      </c>
      <c r="R178" s="5">
        <v>8372</v>
      </c>
      <c r="S178" s="5">
        <v>8258</v>
      </c>
      <c r="T178" s="5">
        <v>8149</v>
      </c>
      <c r="U178" s="5"/>
      <c r="V178" s="5"/>
      <c r="X178" s="7">
        <f t="shared" si="67"/>
        <v>5</v>
      </c>
      <c r="AA178" s="24">
        <f t="shared" si="56"/>
        <v>5</v>
      </c>
      <c r="AD178" s="4">
        <f t="shared" si="57"/>
        <v>5</v>
      </c>
      <c r="AG178" s="4">
        <f t="shared" si="58"/>
        <v>5</v>
      </c>
      <c r="AJ178" s="4">
        <f t="shared" si="59"/>
        <v>5</v>
      </c>
      <c r="AM178" s="4">
        <f t="shared" si="60"/>
        <v>5</v>
      </c>
      <c r="AP178" s="4">
        <f t="shared" si="61"/>
        <v>5</v>
      </c>
      <c r="AS178" s="4">
        <f t="shared" si="62"/>
        <v>5</v>
      </c>
      <c r="AV178" s="4">
        <f t="shared" si="63"/>
        <v>5</v>
      </c>
      <c r="AY178" s="4">
        <f t="shared" si="64"/>
        <v>5</v>
      </c>
      <c r="BB178" s="4">
        <f t="shared" si="65"/>
        <v>5</v>
      </c>
      <c r="BE178" s="4">
        <f t="shared" si="66"/>
        <v>5</v>
      </c>
      <c r="BR178" s="5"/>
    </row>
    <row r="179" spans="1:70" x14ac:dyDescent="0.2">
      <c r="A179" s="4" t="s">
        <v>162</v>
      </c>
      <c r="B179" s="4">
        <v>543</v>
      </c>
      <c r="C179" s="4">
        <v>1</v>
      </c>
      <c r="D179" s="4">
        <v>35</v>
      </c>
      <c r="E179" s="284">
        <v>41897</v>
      </c>
      <c r="F179" s="5">
        <v>42010</v>
      </c>
      <c r="G179" s="5">
        <v>42159</v>
      </c>
      <c r="H179" s="5">
        <v>42665</v>
      </c>
      <c r="I179" s="5">
        <v>42993</v>
      </c>
      <c r="J179" s="5">
        <v>43663</v>
      </c>
      <c r="K179" s="5">
        <v>44127</v>
      </c>
      <c r="L179" s="5">
        <v>44458</v>
      </c>
      <c r="M179" s="5">
        <v>44785</v>
      </c>
      <c r="N179" s="5">
        <v>45148</v>
      </c>
      <c r="O179" s="5">
        <v>45488</v>
      </c>
      <c r="P179" s="5">
        <v>45820</v>
      </c>
      <c r="Q179" s="5">
        <v>46142</v>
      </c>
      <c r="R179" s="5">
        <v>46449</v>
      </c>
      <c r="S179" s="5">
        <v>46748</v>
      </c>
      <c r="T179" s="5">
        <v>47039</v>
      </c>
      <c r="U179" s="5"/>
      <c r="V179" s="5"/>
      <c r="X179" s="7">
        <f t="shared" si="67"/>
        <v>2</v>
      </c>
      <c r="AA179" s="24">
        <f t="shared" si="56"/>
        <v>2</v>
      </c>
      <c r="AD179" s="4">
        <f t="shared" si="57"/>
        <v>2</v>
      </c>
      <c r="AG179" s="4">
        <f t="shared" si="58"/>
        <v>2</v>
      </c>
      <c r="AJ179" s="4">
        <f t="shared" si="59"/>
        <v>2</v>
      </c>
      <c r="AM179" s="4">
        <f t="shared" si="60"/>
        <v>2</v>
      </c>
      <c r="AP179" s="4">
        <f t="shared" si="61"/>
        <v>2</v>
      </c>
      <c r="AS179" s="4">
        <f t="shared" si="62"/>
        <v>2</v>
      </c>
      <c r="AV179" s="4">
        <f t="shared" si="63"/>
        <v>2</v>
      </c>
      <c r="AY179" s="4">
        <f t="shared" si="64"/>
        <v>2</v>
      </c>
      <c r="BB179" s="4">
        <f t="shared" si="65"/>
        <v>2</v>
      </c>
      <c r="BE179" s="4">
        <f t="shared" si="66"/>
        <v>2</v>
      </c>
      <c r="BR179" s="5"/>
    </row>
    <row r="180" spans="1:70" x14ac:dyDescent="0.2">
      <c r="A180" s="4" t="s">
        <v>163</v>
      </c>
      <c r="B180" s="4">
        <v>545</v>
      </c>
      <c r="C180" s="4">
        <v>15</v>
      </c>
      <c r="D180" s="4">
        <v>15</v>
      </c>
      <c r="E180" s="284">
        <v>9387</v>
      </c>
      <c r="F180" s="5">
        <v>9439</v>
      </c>
      <c r="G180" s="5">
        <v>9507</v>
      </c>
      <c r="H180" s="5">
        <v>9471</v>
      </c>
      <c r="I180" s="5">
        <v>9479</v>
      </c>
      <c r="J180" s="5">
        <v>9558</v>
      </c>
      <c r="K180" s="5">
        <v>9562</v>
      </c>
      <c r="L180" s="5">
        <v>9584</v>
      </c>
      <c r="M180" s="5">
        <v>9621</v>
      </c>
      <c r="N180" s="5">
        <v>9612</v>
      </c>
      <c r="O180" s="5">
        <v>9622</v>
      </c>
      <c r="P180" s="5">
        <v>9628</v>
      </c>
      <c r="Q180" s="5">
        <v>9634</v>
      </c>
      <c r="R180" s="5">
        <v>9638</v>
      </c>
      <c r="S180" s="5">
        <v>9642</v>
      </c>
      <c r="T180" s="5">
        <v>9645</v>
      </c>
      <c r="U180" s="5"/>
      <c r="V180" s="5"/>
      <c r="X180" s="7">
        <f t="shared" si="67"/>
        <v>5</v>
      </c>
      <c r="AA180" s="24">
        <f t="shared" si="56"/>
        <v>5</v>
      </c>
      <c r="AD180" s="4">
        <f t="shared" si="57"/>
        <v>5</v>
      </c>
      <c r="AG180" s="4">
        <f t="shared" si="58"/>
        <v>5</v>
      </c>
      <c r="AJ180" s="4">
        <f t="shared" si="59"/>
        <v>5</v>
      </c>
      <c r="AM180" s="4">
        <f t="shared" si="60"/>
        <v>5</v>
      </c>
      <c r="AP180" s="4">
        <f t="shared" si="61"/>
        <v>5</v>
      </c>
      <c r="AS180" s="4">
        <f t="shared" si="62"/>
        <v>5</v>
      </c>
      <c r="AV180" s="4">
        <f t="shared" si="63"/>
        <v>5</v>
      </c>
      <c r="AY180" s="4">
        <f t="shared" si="64"/>
        <v>5</v>
      </c>
      <c r="BB180" s="4">
        <f t="shared" si="65"/>
        <v>5</v>
      </c>
      <c r="BE180" s="4">
        <f t="shared" si="66"/>
        <v>5</v>
      </c>
      <c r="BR180" s="5"/>
    </row>
    <row r="181" spans="1:70" x14ac:dyDescent="0.2">
      <c r="A181" s="4" t="s">
        <v>164</v>
      </c>
      <c r="B181" s="4">
        <v>560</v>
      </c>
      <c r="C181" s="4">
        <v>7</v>
      </c>
      <c r="D181" s="4">
        <v>7</v>
      </c>
      <c r="E181" s="284">
        <v>16326</v>
      </c>
      <c r="F181" s="5">
        <v>16279</v>
      </c>
      <c r="G181" s="5">
        <v>16221</v>
      </c>
      <c r="H181" s="5">
        <v>16091</v>
      </c>
      <c r="I181" s="5">
        <v>16003</v>
      </c>
      <c r="J181" s="5">
        <v>15882</v>
      </c>
      <c r="K181" s="5">
        <v>15808</v>
      </c>
      <c r="L181" s="5">
        <v>15735</v>
      </c>
      <c r="M181" s="5">
        <v>15669</v>
      </c>
      <c r="N181" s="5">
        <v>15523</v>
      </c>
      <c r="O181" s="5">
        <v>15433</v>
      </c>
      <c r="P181" s="5">
        <v>15348</v>
      </c>
      <c r="Q181" s="5">
        <v>15266</v>
      </c>
      <c r="R181" s="5">
        <v>15184</v>
      </c>
      <c r="S181" s="5">
        <v>15101</v>
      </c>
      <c r="T181" s="5">
        <v>15024</v>
      </c>
      <c r="U181" s="5"/>
      <c r="V181" s="5"/>
      <c r="X181" s="7">
        <f t="shared" si="67"/>
        <v>4</v>
      </c>
      <c r="AA181" s="24">
        <f t="shared" si="56"/>
        <v>4</v>
      </c>
      <c r="AD181" s="4">
        <f t="shared" si="57"/>
        <v>4</v>
      </c>
      <c r="AG181" s="4">
        <f t="shared" si="58"/>
        <v>4</v>
      </c>
      <c r="AJ181" s="4">
        <f t="shared" si="59"/>
        <v>4</v>
      </c>
      <c r="AM181" s="4">
        <f t="shared" si="60"/>
        <v>4</v>
      </c>
      <c r="AP181" s="4">
        <f t="shared" si="61"/>
        <v>4</v>
      </c>
      <c r="AS181" s="4">
        <f t="shared" si="62"/>
        <v>4</v>
      </c>
      <c r="AV181" s="4">
        <f t="shared" si="63"/>
        <v>4</v>
      </c>
      <c r="AY181" s="4">
        <f t="shared" si="64"/>
        <v>4</v>
      </c>
      <c r="BB181" s="4">
        <f t="shared" si="65"/>
        <v>4</v>
      </c>
      <c r="BE181" s="4">
        <f t="shared" si="66"/>
        <v>4</v>
      </c>
      <c r="BR181" s="5"/>
    </row>
    <row r="182" spans="1:70" x14ac:dyDescent="0.2">
      <c r="A182" s="4" t="s">
        <v>165</v>
      </c>
      <c r="B182" s="4">
        <v>561</v>
      </c>
      <c r="C182" s="4">
        <v>2</v>
      </c>
      <c r="D182" s="4">
        <v>2</v>
      </c>
      <c r="E182" s="284">
        <v>1377</v>
      </c>
      <c r="F182" s="5">
        <v>1363</v>
      </c>
      <c r="G182" s="5">
        <v>1382</v>
      </c>
      <c r="H182" s="5">
        <v>1364</v>
      </c>
      <c r="I182" s="5">
        <v>1329</v>
      </c>
      <c r="J182" s="5">
        <v>1334</v>
      </c>
      <c r="K182" s="5">
        <v>1337</v>
      </c>
      <c r="L182" s="5">
        <v>1317</v>
      </c>
      <c r="M182" s="5">
        <v>1315</v>
      </c>
      <c r="N182" s="5">
        <v>1310</v>
      </c>
      <c r="O182" s="5">
        <v>1305</v>
      </c>
      <c r="P182" s="5">
        <v>1301</v>
      </c>
      <c r="Q182" s="5">
        <v>1298</v>
      </c>
      <c r="R182" s="5">
        <v>1295</v>
      </c>
      <c r="S182" s="5">
        <v>1290</v>
      </c>
      <c r="T182" s="5">
        <v>1288</v>
      </c>
      <c r="U182" s="5"/>
      <c r="V182" s="5"/>
      <c r="X182" s="7">
        <f t="shared" si="67"/>
        <v>7</v>
      </c>
      <c r="AA182" s="24">
        <f t="shared" si="56"/>
        <v>7</v>
      </c>
      <c r="AD182" s="4">
        <f t="shared" si="57"/>
        <v>7</v>
      </c>
      <c r="AG182" s="4">
        <f t="shared" si="58"/>
        <v>7</v>
      </c>
      <c r="AJ182" s="4">
        <f t="shared" si="59"/>
        <v>7</v>
      </c>
      <c r="AM182" s="4">
        <f t="shared" si="60"/>
        <v>7</v>
      </c>
      <c r="AP182" s="4">
        <f t="shared" si="61"/>
        <v>7</v>
      </c>
      <c r="AS182" s="4">
        <f t="shared" si="62"/>
        <v>7</v>
      </c>
      <c r="AV182" s="4">
        <f t="shared" si="63"/>
        <v>7</v>
      </c>
      <c r="AY182" s="4">
        <f t="shared" si="64"/>
        <v>7</v>
      </c>
      <c r="BB182" s="4">
        <f t="shared" si="65"/>
        <v>7</v>
      </c>
      <c r="BE182" s="4">
        <f t="shared" si="66"/>
        <v>7</v>
      </c>
      <c r="BR182" s="5"/>
    </row>
    <row r="183" spans="1:70" x14ac:dyDescent="0.2">
      <c r="A183" s="4" t="s">
        <v>166</v>
      </c>
      <c r="B183" s="4">
        <v>562</v>
      </c>
      <c r="C183" s="4">
        <v>6</v>
      </c>
      <c r="D183" s="4">
        <v>6</v>
      </c>
      <c r="E183" s="284">
        <v>9408</v>
      </c>
      <c r="F183" s="5">
        <v>9312</v>
      </c>
      <c r="G183" s="5">
        <v>9285</v>
      </c>
      <c r="H183" s="5">
        <v>9221</v>
      </c>
      <c r="I183" s="5">
        <v>9158</v>
      </c>
      <c r="J183" s="5">
        <v>9008</v>
      </c>
      <c r="K183" s="5">
        <v>8978</v>
      </c>
      <c r="L183" s="5">
        <v>8935</v>
      </c>
      <c r="M183" s="5">
        <v>8839</v>
      </c>
      <c r="N183" s="5">
        <v>8683</v>
      </c>
      <c r="O183" s="5">
        <v>8613</v>
      </c>
      <c r="P183" s="5">
        <v>8545</v>
      </c>
      <c r="Q183" s="5">
        <v>8480</v>
      </c>
      <c r="R183" s="5">
        <v>8419</v>
      </c>
      <c r="S183" s="5">
        <v>8359</v>
      </c>
      <c r="T183" s="5">
        <v>8305</v>
      </c>
      <c r="U183" s="5"/>
      <c r="V183" s="5"/>
      <c r="X183" s="7">
        <f t="shared" si="67"/>
        <v>5</v>
      </c>
      <c r="AA183" s="24">
        <f t="shared" si="56"/>
        <v>5</v>
      </c>
      <c r="AD183" s="4">
        <f t="shared" si="57"/>
        <v>5</v>
      </c>
      <c r="AG183" s="4">
        <f t="shared" si="58"/>
        <v>5</v>
      </c>
      <c r="AJ183" s="4">
        <f t="shared" si="59"/>
        <v>5</v>
      </c>
      <c r="AM183" s="4">
        <f t="shared" si="60"/>
        <v>5</v>
      </c>
      <c r="AP183" s="4">
        <f t="shared" si="61"/>
        <v>5</v>
      </c>
      <c r="AS183" s="4">
        <f t="shared" si="62"/>
        <v>5</v>
      </c>
      <c r="AV183" s="4">
        <f t="shared" si="63"/>
        <v>5</v>
      </c>
      <c r="AY183" s="4">
        <f t="shared" si="64"/>
        <v>5</v>
      </c>
      <c r="BB183" s="4">
        <f t="shared" si="65"/>
        <v>5</v>
      </c>
      <c r="BE183" s="4">
        <f t="shared" si="66"/>
        <v>5</v>
      </c>
      <c r="BR183" s="5"/>
    </row>
    <row r="184" spans="1:70" x14ac:dyDescent="0.2">
      <c r="A184" s="4" t="s">
        <v>167</v>
      </c>
      <c r="B184" s="4">
        <v>563</v>
      </c>
      <c r="C184" s="4">
        <v>17</v>
      </c>
      <c r="D184" s="4">
        <v>17</v>
      </c>
      <c r="E184" s="284">
        <v>7610</v>
      </c>
      <c r="F184" s="5">
        <v>7514</v>
      </c>
      <c r="G184" s="5">
        <v>7472</v>
      </c>
      <c r="H184" s="5">
        <v>7430</v>
      </c>
      <c r="I184" s="5">
        <v>7288</v>
      </c>
      <c r="J184" s="5">
        <v>7155</v>
      </c>
      <c r="K184" s="5">
        <v>7102</v>
      </c>
      <c r="L184" s="5">
        <v>7025</v>
      </c>
      <c r="M184" s="5">
        <v>6978</v>
      </c>
      <c r="N184" s="5">
        <v>6822</v>
      </c>
      <c r="O184" s="5">
        <v>6742</v>
      </c>
      <c r="P184" s="5">
        <v>6663</v>
      </c>
      <c r="Q184" s="5">
        <v>6586</v>
      </c>
      <c r="R184" s="5">
        <v>6513</v>
      </c>
      <c r="S184" s="5">
        <v>6445</v>
      </c>
      <c r="T184" s="5">
        <v>6377</v>
      </c>
      <c r="U184" s="5"/>
      <c r="V184" s="5"/>
      <c r="X184" s="7">
        <f t="shared" si="67"/>
        <v>5</v>
      </c>
      <c r="AA184" s="24">
        <f t="shared" si="56"/>
        <v>5</v>
      </c>
      <c r="AD184" s="4">
        <f t="shared" si="57"/>
        <v>5</v>
      </c>
      <c r="AG184" s="4">
        <f t="shared" si="58"/>
        <v>5</v>
      </c>
      <c r="AJ184" s="4">
        <f t="shared" si="59"/>
        <v>5</v>
      </c>
      <c r="AM184" s="4">
        <f t="shared" si="60"/>
        <v>5</v>
      </c>
      <c r="AP184" s="4">
        <f t="shared" si="61"/>
        <v>5</v>
      </c>
      <c r="AS184" s="4">
        <f t="shared" si="62"/>
        <v>5</v>
      </c>
      <c r="AV184" s="4">
        <f t="shared" si="63"/>
        <v>5</v>
      </c>
      <c r="AY184" s="4">
        <f t="shared" si="64"/>
        <v>5</v>
      </c>
      <c r="BB184" s="4">
        <f t="shared" si="65"/>
        <v>5</v>
      </c>
      <c r="BE184" s="4">
        <f t="shared" si="66"/>
        <v>5</v>
      </c>
      <c r="BR184" s="5"/>
    </row>
    <row r="185" spans="1:70" x14ac:dyDescent="0.2">
      <c r="A185" s="4" t="s">
        <v>168</v>
      </c>
      <c r="B185" s="4">
        <v>564</v>
      </c>
      <c r="C185" s="4">
        <v>17</v>
      </c>
      <c r="D185" s="4">
        <v>17</v>
      </c>
      <c r="E185" s="284">
        <v>198525</v>
      </c>
      <c r="F185" s="5">
        <v>200526</v>
      </c>
      <c r="G185" s="5">
        <v>201810</v>
      </c>
      <c r="H185" s="5">
        <v>203567</v>
      </c>
      <c r="I185" s="5">
        <v>205489</v>
      </c>
      <c r="J185" s="5">
        <v>207327</v>
      </c>
      <c r="K185" s="5">
        <v>209551</v>
      </c>
      <c r="L185" s="5">
        <v>211848</v>
      </c>
      <c r="M185" s="5">
        <v>214633</v>
      </c>
      <c r="N185" s="5">
        <v>214895</v>
      </c>
      <c r="O185" s="5">
        <v>216501</v>
      </c>
      <c r="P185" s="5">
        <v>218018</v>
      </c>
      <c r="Q185" s="5">
        <v>219466</v>
      </c>
      <c r="R185" s="5">
        <v>220847</v>
      </c>
      <c r="S185" s="5">
        <v>222158</v>
      </c>
      <c r="T185" s="5">
        <v>223389</v>
      </c>
      <c r="U185" s="5"/>
      <c r="V185" s="5"/>
      <c r="X185" s="7">
        <f t="shared" si="67"/>
        <v>1</v>
      </c>
      <c r="AA185" s="24">
        <f t="shared" si="56"/>
        <v>1</v>
      </c>
      <c r="AD185" s="4">
        <f t="shared" si="57"/>
        <v>1</v>
      </c>
      <c r="AG185" s="4">
        <f t="shared" si="58"/>
        <v>1</v>
      </c>
      <c r="AJ185" s="4">
        <f t="shared" si="59"/>
        <v>1</v>
      </c>
      <c r="AM185" s="4">
        <f t="shared" si="60"/>
        <v>1</v>
      </c>
      <c r="AP185" s="4">
        <f t="shared" si="61"/>
        <v>1</v>
      </c>
      <c r="AS185" s="4">
        <f t="shared" si="62"/>
        <v>1</v>
      </c>
      <c r="AV185" s="4">
        <f t="shared" si="63"/>
        <v>1</v>
      </c>
      <c r="AY185" s="4">
        <f t="shared" si="64"/>
        <v>1</v>
      </c>
      <c r="BB185" s="4">
        <f t="shared" si="65"/>
        <v>1</v>
      </c>
      <c r="BE185" s="4">
        <f t="shared" si="66"/>
        <v>1</v>
      </c>
      <c r="BR185" s="5"/>
    </row>
    <row r="186" spans="1:70" x14ac:dyDescent="0.2">
      <c r="A186" s="4" t="s">
        <v>170</v>
      </c>
      <c r="B186" s="4">
        <v>576</v>
      </c>
      <c r="C186" s="4">
        <v>7</v>
      </c>
      <c r="D186" s="4">
        <v>7</v>
      </c>
      <c r="E186" s="284">
        <v>3143</v>
      </c>
      <c r="F186" s="5">
        <v>3073</v>
      </c>
      <c r="G186" s="5">
        <v>3027</v>
      </c>
      <c r="H186" s="5">
        <v>2963</v>
      </c>
      <c r="I186" s="5">
        <v>2896</v>
      </c>
      <c r="J186" s="5">
        <v>2861</v>
      </c>
      <c r="K186" s="5">
        <v>2813</v>
      </c>
      <c r="L186" s="5">
        <v>2750</v>
      </c>
      <c r="M186" s="5">
        <v>2726</v>
      </c>
      <c r="N186" s="5">
        <v>2680</v>
      </c>
      <c r="O186" s="5">
        <v>2642</v>
      </c>
      <c r="P186" s="5">
        <v>2606</v>
      </c>
      <c r="Q186" s="5">
        <v>2572</v>
      </c>
      <c r="R186" s="5">
        <v>2539</v>
      </c>
      <c r="S186" s="5">
        <v>2509</v>
      </c>
      <c r="T186" s="5">
        <v>2480</v>
      </c>
      <c r="U186" s="5"/>
      <c r="V186" s="5"/>
      <c r="X186" s="7">
        <f t="shared" si="67"/>
        <v>6</v>
      </c>
      <c r="AA186" s="24">
        <f t="shared" si="56"/>
        <v>6</v>
      </c>
      <c r="AD186" s="4">
        <f t="shared" si="57"/>
        <v>6</v>
      </c>
      <c r="AG186" s="4">
        <f t="shared" si="58"/>
        <v>6</v>
      </c>
      <c r="AJ186" s="4">
        <f t="shared" si="59"/>
        <v>6</v>
      </c>
      <c r="AM186" s="4">
        <f t="shared" si="60"/>
        <v>6</v>
      </c>
      <c r="AP186" s="4">
        <f t="shared" si="61"/>
        <v>6</v>
      </c>
      <c r="AS186" s="4">
        <f t="shared" si="62"/>
        <v>6</v>
      </c>
      <c r="AV186" s="4">
        <f t="shared" si="63"/>
        <v>6</v>
      </c>
      <c r="AY186" s="4">
        <f t="shared" si="64"/>
        <v>6</v>
      </c>
      <c r="BB186" s="4">
        <f t="shared" si="65"/>
        <v>6</v>
      </c>
      <c r="BE186" s="4">
        <f t="shared" si="66"/>
        <v>6</v>
      </c>
      <c r="BR186" s="5"/>
    </row>
    <row r="187" spans="1:70" x14ac:dyDescent="0.2">
      <c r="A187" s="4" t="s">
        <v>171</v>
      </c>
      <c r="B187" s="4">
        <v>577</v>
      </c>
      <c r="C187" s="4">
        <v>2</v>
      </c>
      <c r="D187" s="4">
        <v>2</v>
      </c>
      <c r="E187" s="284">
        <v>10620</v>
      </c>
      <c r="F187" s="5">
        <v>10713</v>
      </c>
      <c r="G187" s="5">
        <v>10730</v>
      </c>
      <c r="H187" s="5">
        <v>10832</v>
      </c>
      <c r="I187" s="5">
        <v>10850</v>
      </c>
      <c r="J187" s="5">
        <v>10922</v>
      </c>
      <c r="K187" s="5">
        <v>11041</v>
      </c>
      <c r="L187" s="5">
        <v>11138</v>
      </c>
      <c r="M187" s="5">
        <v>11236</v>
      </c>
      <c r="N187" s="5">
        <v>11123</v>
      </c>
      <c r="O187" s="5">
        <v>11173</v>
      </c>
      <c r="P187" s="5">
        <v>11220</v>
      </c>
      <c r="Q187" s="5">
        <v>11263</v>
      </c>
      <c r="R187" s="5">
        <v>11300</v>
      </c>
      <c r="S187" s="5">
        <v>11333</v>
      </c>
      <c r="T187" s="5">
        <v>11362</v>
      </c>
      <c r="U187" s="5"/>
      <c r="V187" s="5"/>
      <c r="X187" s="7">
        <f t="shared" si="67"/>
        <v>4</v>
      </c>
      <c r="AA187" s="24">
        <f t="shared" si="56"/>
        <v>4</v>
      </c>
      <c r="AD187" s="4">
        <f t="shared" si="57"/>
        <v>4</v>
      </c>
      <c r="AG187" s="4">
        <f t="shared" si="58"/>
        <v>4</v>
      </c>
      <c r="AJ187" s="4">
        <f t="shared" si="59"/>
        <v>4</v>
      </c>
      <c r="AM187" s="4">
        <f t="shared" si="60"/>
        <v>4</v>
      </c>
      <c r="AP187" s="4">
        <f t="shared" si="61"/>
        <v>4</v>
      </c>
      <c r="AS187" s="4">
        <f t="shared" si="62"/>
        <v>4</v>
      </c>
      <c r="AV187" s="4">
        <f t="shared" si="63"/>
        <v>4</v>
      </c>
      <c r="AY187" s="4">
        <f t="shared" si="64"/>
        <v>4</v>
      </c>
      <c r="BB187" s="4">
        <f t="shared" si="65"/>
        <v>4</v>
      </c>
      <c r="BE187" s="4">
        <f t="shared" si="66"/>
        <v>4</v>
      </c>
      <c r="BR187" s="5"/>
    </row>
    <row r="188" spans="1:70" x14ac:dyDescent="0.2">
      <c r="A188" s="4" t="s">
        <v>172</v>
      </c>
      <c r="B188" s="4">
        <v>578</v>
      </c>
      <c r="C188" s="4">
        <v>18</v>
      </c>
      <c r="D188" s="4">
        <v>18</v>
      </c>
      <c r="E188" s="284">
        <v>3488</v>
      </c>
      <c r="F188" s="5">
        <v>3491</v>
      </c>
      <c r="G188" s="5">
        <v>3435</v>
      </c>
      <c r="H188" s="5">
        <v>3336</v>
      </c>
      <c r="I188" s="5">
        <v>3273</v>
      </c>
      <c r="J188" s="5">
        <v>3235</v>
      </c>
      <c r="K188" s="5">
        <v>3183</v>
      </c>
      <c r="L188" s="5">
        <v>3100</v>
      </c>
      <c r="M188" s="5">
        <v>3037</v>
      </c>
      <c r="N188" s="5">
        <v>3052</v>
      </c>
      <c r="O188" s="5">
        <v>3012</v>
      </c>
      <c r="P188" s="5">
        <v>2974</v>
      </c>
      <c r="Q188" s="5">
        <v>2938</v>
      </c>
      <c r="R188" s="5">
        <v>2903</v>
      </c>
      <c r="S188" s="5">
        <v>2868</v>
      </c>
      <c r="T188" s="5">
        <v>2835</v>
      </c>
      <c r="U188" s="5"/>
      <c r="V188" s="5"/>
      <c r="X188" s="7">
        <f t="shared" si="67"/>
        <v>6</v>
      </c>
      <c r="AA188" s="24">
        <f t="shared" si="56"/>
        <v>6</v>
      </c>
      <c r="AD188" s="4">
        <f t="shared" si="57"/>
        <v>6</v>
      </c>
      <c r="AG188" s="4">
        <f t="shared" si="58"/>
        <v>6</v>
      </c>
      <c r="AJ188" s="4">
        <f t="shared" si="59"/>
        <v>6</v>
      </c>
      <c r="AM188" s="4">
        <f t="shared" si="60"/>
        <v>6</v>
      </c>
      <c r="AP188" s="4">
        <f t="shared" si="61"/>
        <v>6</v>
      </c>
      <c r="AS188" s="4">
        <f t="shared" si="62"/>
        <v>6</v>
      </c>
      <c r="AV188" s="4">
        <f t="shared" si="63"/>
        <v>6</v>
      </c>
      <c r="AY188" s="4">
        <f t="shared" si="64"/>
        <v>6</v>
      </c>
      <c r="BB188" s="4">
        <f t="shared" si="65"/>
        <v>6</v>
      </c>
      <c r="BE188" s="4">
        <f t="shared" si="66"/>
        <v>6</v>
      </c>
      <c r="BR188" s="5"/>
    </row>
    <row r="189" spans="1:70" x14ac:dyDescent="0.2">
      <c r="A189" s="4" t="s">
        <v>174</v>
      </c>
      <c r="B189" s="4">
        <v>580</v>
      </c>
      <c r="C189" s="4">
        <v>9</v>
      </c>
      <c r="D189" s="4">
        <v>9</v>
      </c>
      <c r="E189" s="284">
        <v>5235</v>
      </c>
      <c r="F189" s="5">
        <v>5126</v>
      </c>
      <c r="G189" s="5">
        <v>4969</v>
      </c>
      <c r="H189" s="5">
        <v>4842</v>
      </c>
      <c r="I189" s="5">
        <v>4734</v>
      </c>
      <c r="J189" s="5">
        <v>4655</v>
      </c>
      <c r="K189" s="5">
        <v>4567</v>
      </c>
      <c r="L189" s="5">
        <v>4438</v>
      </c>
      <c r="M189" s="5">
        <v>4366</v>
      </c>
      <c r="N189" s="5">
        <v>4295</v>
      </c>
      <c r="O189" s="5">
        <v>4219</v>
      </c>
      <c r="P189" s="5">
        <v>4144</v>
      </c>
      <c r="Q189" s="5">
        <v>4070</v>
      </c>
      <c r="R189" s="5">
        <v>4002</v>
      </c>
      <c r="S189" s="5">
        <v>3935</v>
      </c>
      <c r="T189" s="5">
        <v>3870</v>
      </c>
      <c r="U189" s="5"/>
      <c r="V189" s="5"/>
      <c r="X189" s="7">
        <f t="shared" si="67"/>
        <v>6</v>
      </c>
      <c r="AA189" s="24">
        <f t="shared" si="56"/>
        <v>6</v>
      </c>
      <c r="AD189" s="4">
        <f t="shared" si="57"/>
        <v>6</v>
      </c>
      <c r="AG189" s="4">
        <f t="shared" si="58"/>
        <v>6</v>
      </c>
      <c r="AJ189" s="4">
        <f t="shared" si="59"/>
        <v>6</v>
      </c>
      <c r="AM189" s="4">
        <f t="shared" si="60"/>
        <v>6</v>
      </c>
      <c r="AP189" s="4">
        <f t="shared" si="61"/>
        <v>6</v>
      </c>
      <c r="AS189" s="4">
        <f t="shared" si="62"/>
        <v>6</v>
      </c>
      <c r="AV189" s="4">
        <f t="shared" si="63"/>
        <v>6</v>
      </c>
      <c r="AY189" s="4">
        <f t="shared" si="64"/>
        <v>6</v>
      </c>
      <c r="BB189" s="4">
        <f t="shared" si="65"/>
        <v>6</v>
      </c>
      <c r="BE189" s="4">
        <f t="shared" si="66"/>
        <v>6</v>
      </c>
      <c r="BR189" s="5"/>
    </row>
    <row r="190" spans="1:70" x14ac:dyDescent="0.2">
      <c r="A190" s="4" t="s">
        <v>175</v>
      </c>
      <c r="B190" s="4">
        <v>581</v>
      </c>
      <c r="C190" s="4">
        <v>6</v>
      </c>
      <c r="D190" s="4">
        <v>6</v>
      </c>
      <c r="E190" s="284">
        <v>6766</v>
      </c>
      <c r="F190" s="5">
        <v>6692</v>
      </c>
      <c r="G190" s="5">
        <v>6562</v>
      </c>
      <c r="H190" s="5">
        <v>6469</v>
      </c>
      <c r="I190" s="5">
        <v>6404</v>
      </c>
      <c r="J190" s="5">
        <v>6352</v>
      </c>
      <c r="K190" s="5">
        <v>6286</v>
      </c>
      <c r="L190" s="5">
        <v>6240</v>
      </c>
      <c r="M190" s="5">
        <v>6123</v>
      </c>
      <c r="N190" s="5">
        <v>6046</v>
      </c>
      <c r="O190" s="5">
        <v>5981</v>
      </c>
      <c r="P190" s="5">
        <v>5918</v>
      </c>
      <c r="Q190" s="5">
        <v>5855</v>
      </c>
      <c r="R190" s="5">
        <v>5794</v>
      </c>
      <c r="S190" s="5">
        <v>5737</v>
      </c>
      <c r="T190" s="5">
        <v>5683</v>
      </c>
      <c r="U190" s="5"/>
      <c r="V190" s="5"/>
      <c r="X190" s="7">
        <f t="shared" si="67"/>
        <v>5</v>
      </c>
      <c r="AA190" s="24">
        <f t="shared" si="56"/>
        <v>5</v>
      </c>
      <c r="AD190" s="4">
        <f t="shared" si="57"/>
        <v>5</v>
      </c>
      <c r="AG190" s="4">
        <f t="shared" si="58"/>
        <v>5</v>
      </c>
      <c r="AJ190" s="4">
        <f t="shared" si="59"/>
        <v>5</v>
      </c>
      <c r="AM190" s="4">
        <f t="shared" si="60"/>
        <v>5</v>
      </c>
      <c r="AP190" s="4">
        <f t="shared" si="61"/>
        <v>5</v>
      </c>
      <c r="AS190" s="4">
        <f t="shared" si="62"/>
        <v>5</v>
      </c>
      <c r="AV190" s="4">
        <f t="shared" si="63"/>
        <v>5</v>
      </c>
      <c r="AY190" s="4">
        <f t="shared" si="64"/>
        <v>5</v>
      </c>
      <c r="BB190" s="4">
        <f t="shared" si="65"/>
        <v>5</v>
      </c>
      <c r="BE190" s="4">
        <f t="shared" si="66"/>
        <v>5</v>
      </c>
      <c r="BR190" s="5"/>
    </row>
    <row r="191" spans="1:70" x14ac:dyDescent="0.2">
      <c r="A191" s="4" t="s">
        <v>177</v>
      </c>
      <c r="B191" s="4">
        <v>583</v>
      </c>
      <c r="C191" s="4">
        <v>19</v>
      </c>
      <c r="D191" s="4">
        <v>19</v>
      </c>
      <c r="E191" s="284">
        <v>958</v>
      </c>
      <c r="F191" s="5">
        <v>951</v>
      </c>
      <c r="G191" s="5">
        <v>958</v>
      </c>
      <c r="H191" s="5">
        <v>954</v>
      </c>
      <c r="I191" s="5">
        <v>939</v>
      </c>
      <c r="J191" s="5">
        <v>931</v>
      </c>
      <c r="K191" s="5">
        <v>924</v>
      </c>
      <c r="L191" s="5">
        <v>947</v>
      </c>
      <c r="M191" s="5">
        <v>912</v>
      </c>
      <c r="N191" s="5">
        <v>916</v>
      </c>
      <c r="O191" s="5">
        <v>912</v>
      </c>
      <c r="P191" s="5">
        <v>910</v>
      </c>
      <c r="Q191" s="5">
        <v>907</v>
      </c>
      <c r="R191" s="5">
        <v>901</v>
      </c>
      <c r="S191" s="5">
        <v>899</v>
      </c>
      <c r="T191" s="5">
        <v>894</v>
      </c>
      <c r="U191" s="5"/>
      <c r="V191" s="5"/>
      <c r="X191" s="7">
        <f t="shared" si="67"/>
        <v>7</v>
      </c>
      <c r="AA191" s="24">
        <f t="shared" si="56"/>
        <v>7</v>
      </c>
      <c r="AD191" s="4">
        <f t="shared" si="57"/>
        <v>7</v>
      </c>
      <c r="AG191" s="4">
        <f t="shared" si="58"/>
        <v>7</v>
      </c>
      <c r="AJ191" s="4">
        <f t="shared" si="59"/>
        <v>7</v>
      </c>
      <c r="AM191" s="4">
        <f t="shared" si="60"/>
        <v>7</v>
      </c>
      <c r="AP191" s="4">
        <f t="shared" si="61"/>
        <v>7</v>
      </c>
      <c r="AS191" s="4">
        <f t="shared" si="62"/>
        <v>7</v>
      </c>
      <c r="AV191" s="4">
        <f t="shared" si="63"/>
        <v>7</v>
      </c>
      <c r="AY191" s="4">
        <f t="shared" si="64"/>
        <v>7</v>
      </c>
      <c r="BB191" s="4">
        <f t="shared" si="65"/>
        <v>7</v>
      </c>
      <c r="BE191" s="4">
        <f t="shared" si="66"/>
        <v>7</v>
      </c>
      <c r="BR191" s="5"/>
    </row>
    <row r="192" spans="1:70" x14ac:dyDescent="0.2">
      <c r="A192" s="4" t="s">
        <v>179</v>
      </c>
      <c r="B192" s="4">
        <v>584</v>
      </c>
      <c r="C192" s="4">
        <v>16</v>
      </c>
      <c r="D192" s="4">
        <v>16</v>
      </c>
      <c r="E192" s="284">
        <v>2931</v>
      </c>
      <c r="F192" s="5">
        <v>2907</v>
      </c>
      <c r="G192" s="5">
        <v>2860</v>
      </c>
      <c r="H192" s="5">
        <v>2825</v>
      </c>
      <c r="I192" s="5">
        <v>2759</v>
      </c>
      <c r="J192" s="5">
        <v>2706</v>
      </c>
      <c r="K192" s="5">
        <v>2676</v>
      </c>
      <c r="L192" s="5">
        <v>2653</v>
      </c>
      <c r="M192" s="5">
        <v>2578</v>
      </c>
      <c r="N192" s="5">
        <v>2502</v>
      </c>
      <c r="O192" s="5">
        <v>2449</v>
      </c>
      <c r="P192" s="5">
        <v>2398</v>
      </c>
      <c r="Q192" s="5">
        <v>2349</v>
      </c>
      <c r="R192" s="5">
        <v>2302</v>
      </c>
      <c r="S192" s="5">
        <v>2257</v>
      </c>
      <c r="T192" s="5">
        <v>2212</v>
      </c>
      <c r="U192" s="5"/>
      <c r="V192" s="5"/>
      <c r="X192" s="7">
        <f t="shared" si="67"/>
        <v>6</v>
      </c>
      <c r="AA192" s="24">
        <f t="shared" si="56"/>
        <v>6</v>
      </c>
      <c r="AD192" s="4">
        <f t="shared" si="57"/>
        <v>6</v>
      </c>
      <c r="AG192" s="4">
        <f t="shared" si="58"/>
        <v>6</v>
      </c>
      <c r="AJ192" s="4">
        <f t="shared" si="59"/>
        <v>6</v>
      </c>
      <c r="AM192" s="4">
        <f t="shared" si="60"/>
        <v>6</v>
      </c>
      <c r="AP192" s="4">
        <f t="shared" si="61"/>
        <v>6</v>
      </c>
      <c r="AS192" s="4">
        <f t="shared" si="62"/>
        <v>6</v>
      </c>
      <c r="AV192" s="4">
        <f t="shared" si="63"/>
        <v>6</v>
      </c>
      <c r="AY192" s="4">
        <f t="shared" si="64"/>
        <v>6</v>
      </c>
      <c r="BB192" s="4">
        <f t="shared" si="65"/>
        <v>6</v>
      </c>
      <c r="BE192" s="4">
        <f t="shared" si="66"/>
        <v>6</v>
      </c>
      <c r="BR192" s="5"/>
    </row>
    <row r="193" spans="1:70" x14ac:dyDescent="0.2">
      <c r="A193" s="4" t="s">
        <v>180</v>
      </c>
      <c r="B193" s="4">
        <v>588</v>
      </c>
      <c r="C193" s="4">
        <v>10</v>
      </c>
      <c r="D193" s="4">
        <v>10</v>
      </c>
      <c r="E193" s="284">
        <v>1817</v>
      </c>
      <c r="F193" s="5">
        <v>1796</v>
      </c>
      <c r="G193" s="5">
        <v>1739</v>
      </c>
      <c r="H193" s="5">
        <v>1713</v>
      </c>
      <c r="I193" s="5">
        <v>1690</v>
      </c>
      <c r="J193" s="5">
        <v>1654</v>
      </c>
      <c r="K193" s="5">
        <v>1644</v>
      </c>
      <c r="L193" s="5">
        <v>1600</v>
      </c>
      <c r="M193" s="5">
        <v>1577</v>
      </c>
      <c r="N193" s="5">
        <v>1544</v>
      </c>
      <c r="O193" s="5">
        <v>0</v>
      </c>
      <c r="P193" s="5">
        <v>0</v>
      </c>
      <c r="Q193" s="5">
        <v>0</v>
      </c>
      <c r="R193" s="5">
        <v>0</v>
      </c>
      <c r="S193" s="5">
        <v>0</v>
      </c>
      <c r="T193" s="5">
        <v>0</v>
      </c>
      <c r="U193" s="5"/>
      <c r="V193" s="5"/>
      <c r="X193" s="7">
        <f t="shared" si="67"/>
        <v>7</v>
      </c>
      <c r="AA193" s="24">
        <f t="shared" si="56"/>
        <v>7</v>
      </c>
      <c r="AD193" s="4">
        <f t="shared" si="57"/>
        <v>7</v>
      </c>
      <c r="AG193" s="4">
        <f t="shared" si="58"/>
        <v>7</v>
      </c>
      <c r="AJ193" s="4">
        <f t="shared" si="59"/>
        <v>7</v>
      </c>
      <c r="AM193" s="4">
        <f t="shared" si="60"/>
        <v>7</v>
      </c>
      <c r="AP193" s="4" t="str">
        <f t="shared" si="61"/>
        <v/>
      </c>
      <c r="AS193" s="4" t="str">
        <f t="shared" si="62"/>
        <v/>
      </c>
      <c r="AV193" s="4" t="str">
        <f t="shared" si="63"/>
        <v/>
      </c>
      <c r="AY193" s="4" t="str">
        <f t="shared" si="64"/>
        <v/>
      </c>
      <c r="BB193" s="4" t="str">
        <f t="shared" si="65"/>
        <v/>
      </c>
      <c r="BE193" s="4" t="str">
        <f t="shared" si="66"/>
        <v/>
      </c>
      <c r="BR193" s="5"/>
    </row>
    <row r="194" spans="1:70" x14ac:dyDescent="0.2">
      <c r="A194" s="4" t="s">
        <v>181</v>
      </c>
      <c r="B194" s="4">
        <v>592</v>
      </c>
      <c r="C194" s="4">
        <v>13</v>
      </c>
      <c r="D194" s="4">
        <v>13</v>
      </c>
      <c r="E194" s="284">
        <v>4008</v>
      </c>
      <c r="F194" s="5">
        <v>3981</v>
      </c>
      <c r="G194" s="5">
        <v>3920</v>
      </c>
      <c r="H194" s="5">
        <v>3900</v>
      </c>
      <c r="I194" s="5">
        <v>3841</v>
      </c>
      <c r="J194" s="5">
        <v>3772</v>
      </c>
      <c r="K194" s="5">
        <v>3678</v>
      </c>
      <c r="L194" s="5">
        <v>3651</v>
      </c>
      <c r="M194" s="5">
        <v>3596</v>
      </c>
      <c r="N194" s="5">
        <v>3615</v>
      </c>
      <c r="O194" s="5">
        <v>3579</v>
      </c>
      <c r="P194" s="5">
        <v>3546</v>
      </c>
      <c r="Q194" s="5">
        <v>3508</v>
      </c>
      <c r="R194" s="5">
        <v>3474</v>
      </c>
      <c r="S194" s="5">
        <v>3439</v>
      </c>
      <c r="T194" s="5">
        <v>3408</v>
      </c>
      <c r="U194" s="5"/>
      <c r="V194" s="5"/>
      <c r="X194" s="7">
        <f t="shared" si="67"/>
        <v>6</v>
      </c>
      <c r="AA194" s="24">
        <f t="shared" si="56"/>
        <v>6</v>
      </c>
      <c r="AD194" s="4">
        <f t="shared" si="57"/>
        <v>6</v>
      </c>
      <c r="AG194" s="4">
        <f t="shared" si="58"/>
        <v>6</v>
      </c>
      <c r="AJ194" s="4">
        <f t="shared" si="59"/>
        <v>6</v>
      </c>
      <c r="AM194" s="4">
        <f t="shared" si="60"/>
        <v>6</v>
      </c>
      <c r="AP194" s="4">
        <f t="shared" si="61"/>
        <v>6</v>
      </c>
      <c r="AS194" s="4">
        <f t="shared" si="62"/>
        <v>6</v>
      </c>
      <c r="AV194" s="4">
        <f t="shared" si="63"/>
        <v>6</v>
      </c>
      <c r="AY194" s="4">
        <f t="shared" si="64"/>
        <v>6</v>
      </c>
      <c r="BB194" s="4">
        <f t="shared" si="65"/>
        <v>6</v>
      </c>
      <c r="BE194" s="4">
        <f t="shared" si="66"/>
        <v>6</v>
      </c>
      <c r="BR194" s="5"/>
    </row>
    <row r="195" spans="1:70" x14ac:dyDescent="0.2">
      <c r="A195" s="4" t="s">
        <v>182</v>
      </c>
      <c r="B195" s="4">
        <v>593</v>
      </c>
      <c r="C195" s="4">
        <v>10</v>
      </c>
      <c r="D195" s="4">
        <v>10</v>
      </c>
      <c r="E195" s="284">
        <v>18801</v>
      </c>
      <c r="F195" s="5">
        <v>18475</v>
      </c>
      <c r="G195" s="5">
        <v>18220</v>
      </c>
      <c r="H195" s="5">
        <v>17933</v>
      </c>
      <c r="I195" s="5">
        <v>17682</v>
      </c>
      <c r="J195" s="5">
        <v>17375</v>
      </c>
      <c r="K195" s="5">
        <v>17253</v>
      </c>
      <c r="L195" s="5">
        <v>17077</v>
      </c>
      <c r="M195" s="5">
        <v>17050</v>
      </c>
      <c r="N195" s="5">
        <v>16262</v>
      </c>
      <c r="O195" s="5">
        <v>16011</v>
      </c>
      <c r="P195" s="5">
        <v>15772</v>
      </c>
      <c r="Q195" s="5">
        <v>15540</v>
      </c>
      <c r="R195" s="5">
        <v>15317</v>
      </c>
      <c r="S195" s="5">
        <v>15101</v>
      </c>
      <c r="T195" s="5">
        <v>14892</v>
      </c>
      <c r="U195" s="5"/>
      <c r="V195" s="5"/>
      <c r="X195" s="7">
        <f t="shared" si="67"/>
        <v>4</v>
      </c>
      <c r="AA195" s="24">
        <f t="shared" si="56"/>
        <v>4</v>
      </c>
      <c r="AD195" s="4">
        <f t="shared" si="57"/>
        <v>4</v>
      </c>
      <c r="AG195" s="4">
        <f t="shared" si="58"/>
        <v>4</v>
      </c>
      <c r="AJ195" s="4">
        <f t="shared" si="59"/>
        <v>4</v>
      </c>
      <c r="AM195" s="4">
        <f t="shared" si="60"/>
        <v>4</v>
      </c>
      <c r="AP195" s="4">
        <f t="shared" si="61"/>
        <v>4</v>
      </c>
      <c r="AS195" s="4">
        <f t="shared" si="62"/>
        <v>4</v>
      </c>
      <c r="AV195" s="4">
        <f t="shared" si="63"/>
        <v>4</v>
      </c>
      <c r="AY195" s="4">
        <f t="shared" si="64"/>
        <v>4</v>
      </c>
      <c r="BB195" s="4">
        <f t="shared" si="65"/>
        <v>4</v>
      </c>
      <c r="BE195" s="4">
        <f t="shared" si="66"/>
        <v>4</v>
      </c>
      <c r="BR195" s="5"/>
    </row>
    <row r="196" spans="1:70" x14ac:dyDescent="0.2">
      <c r="A196" s="4" t="s">
        <v>183</v>
      </c>
      <c r="B196" s="4">
        <v>595</v>
      </c>
      <c r="C196" s="4">
        <v>11</v>
      </c>
      <c r="D196" s="4">
        <v>11</v>
      </c>
      <c r="E196" s="284">
        <v>4740</v>
      </c>
      <c r="F196" s="5">
        <v>4697</v>
      </c>
      <c r="G196" s="5">
        <v>4624</v>
      </c>
      <c r="H196" s="5">
        <v>4498</v>
      </c>
      <c r="I196" s="5">
        <v>4391</v>
      </c>
      <c r="J196" s="5">
        <v>4321</v>
      </c>
      <c r="K196" s="5">
        <v>4269</v>
      </c>
      <c r="L196" s="5">
        <v>4140</v>
      </c>
      <c r="M196" s="5">
        <v>4073</v>
      </c>
      <c r="N196" s="5">
        <v>4013</v>
      </c>
      <c r="O196" s="5">
        <v>3943</v>
      </c>
      <c r="P196" s="5">
        <v>3873</v>
      </c>
      <c r="Q196" s="5">
        <v>3809</v>
      </c>
      <c r="R196" s="5">
        <v>3747</v>
      </c>
      <c r="S196" s="5">
        <v>3689</v>
      </c>
      <c r="T196" s="5">
        <v>3633</v>
      </c>
      <c r="U196" s="5"/>
      <c r="V196" s="5"/>
      <c r="X196" s="7">
        <f t="shared" si="67"/>
        <v>6</v>
      </c>
      <c r="AA196" s="24">
        <f t="shared" si="56"/>
        <v>6</v>
      </c>
      <c r="AD196" s="4">
        <f t="shared" si="57"/>
        <v>6</v>
      </c>
      <c r="AG196" s="4">
        <f t="shared" si="58"/>
        <v>6</v>
      </c>
      <c r="AJ196" s="4">
        <f t="shared" si="59"/>
        <v>6</v>
      </c>
      <c r="AM196" s="4">
        <f t="shared" si="60"/>
        <v>6</v>
      </c>
      <c r="AP196" s="4">
        <f t="shared" si="61"/>
        <v>6</v>
      </c>
      <c r="AS196" s="4">
        <f t="shared" si="62"/>
        <v>6</v>
      </c>
      <c r="AV196" s="4">
        <f t="shared" si="63"/>
        <v>6</v>
      </c>
      <c r="AY196" s="4">
        <f t="shared" si="64"/>
        <v>6</v>
      </c>
      <c r="BB196" s="4">
        <f t="shared" si="65"/>
        <v>6</v>
      </c>
      <c r="BE196" s="4">
        <f t="shared" si="66"/>
        <v>6</v>
      </c>
      <c r="BR196" s="5"/>
    </row>
    <row r="197" spans="1:70" x14ac:dyDescent="0.2">
      <c r="A197" s="4" t="s">
        <v>184</v>
      </c>
      <c r="B197" s="4">
        <v>598</v>
      </c>
      <c r="C197" s="4">
        <v>15</v>
      </c>
      <c r="D197" s="4">
        <v>15</v>
      </c>
      <c r="E197" s="284">
        <v>19436</v>
      </c>
      <c r="F197" s="5">
        <v>19377</v>
      </c>
      <c r="G197" s="5">
        <v>19379</v>
      </c>
      <c r="H197" s="5">
        <v>19278</v>
      </c>
      <c r="I197" s="5">
        <v>19208</v>
      </c>
      <c r="J197" s="5">
        <v>19066</v>
      </c>
      <c r="K197" s="5">
        <v>19097</v>
      </c>
      <c r="L197" s="5">
        <v>19207</v>
      </c>
      <c r="M197" s="5">
        <v>19475</v>
      </c>
      <c r="N197" s="5">
        <v>18765</v>
      </c>
      <c r="O197" s="5">
        <v>18684</v>
      </c>
      <c r="P197" s="5">
        <v>18600</v>
      </c>
      <c r="Q197" s="5">
        <v>18520</v>
      </c>
      <c r="R197" s="5">
        <v>18441</v>
      </c>
      <c r="S197" s="5">
        <v>18361</v>
      </c>
      <c r="T197" s="5">
        <v>18286</v>
      </c>
      <c r="U197" s="5"/>
      <c r="V197" s="5"/>
      <c r="X197" s="7">
        <f t="shared" si="67"/>
        <v>4</v>
      </c>
      <c r="AA197" s="24">
        <f t="shared" si="56"/>
        <v>4</v>
      </c>
      <c r="AD197" s="4">
        <f t="shared" si="57"/>
        <v>4</v>
      </c>
      <c r="AG197" s="4">
        <f t="shared" si="58"/>
        <v>4</v>
      </c>
      <c r="AJ197" s="4">
        <f t="shared" si="59"/>
        <v>4</v>
      </c>
      <c r="AM197" s="4">
        <f t="shared" si="60"/>
        <v>4</v>
      </c>
      <c r="AP197" s="4">
        <f t="shared" si="61"/>
        <v>4</v>
      </c>
      <c r="AS197" s="4">
        <f t="shared" si="62"/>
        <v>4</v>
      </c>
      <c r="AV197" s="4">
        <f t="shared" si="63"/>
        <v>4</v>
      </c>
      <c r="AY197" s="4">
        <f t="shared" si="64"/>
        <v>4</v>
      </c>
      <c r="BB197" s="4">
        <f t="shared" si="65"/>
        <v>4</v>
      </c>
      <c r="BE197" s="4">
        <f t="shared" si="66"/>
        <v>4</v>
      </c>
      <c r="BR197" s="5"/>
    </row>
    <row r="198" spans="1:70" x14ac:dyDescent="0.2">
      <c r="A198" s="4" t="s">
        <v>176</v>
      </c>
      <c r="B198" s="4">
        <v>599</v>
      </c>
      <c r="C198" s="4">
        <v>15</v>
      </c>
      <c r="D198" s="4">
        <v>15</v>
      </c>
      <c r="E198" s="284">
        <v>11129</v>
      </c>
      <c r="F198" s="5">
        <v>11067</v>
      </c>
      <c r="G198" s="5">
        <v>11084</v>
      </c>
      <c r="H198" s="5">
        <v>11016</v>
      </c>
      <c r="I198" s="5">
        <v>11081</v>
      </c>
      <c r="J198" s="5">
        <v>11174</v>
      </c>
      <c r="K198" s="5">
        <v>11172</v>
      </c>
      <c r="L198" s="5">
        <v>11206</v>
      </c>
      <c r="M198" s="5">
        <v>11225</v>
      </c>
      <c r="N198" s="5">
        <v>11270</v>
      </c>
      <c r="O198" s="5">
        <v>11291</v>
      </c>
      <c r="P198" s="5">
        <v>11309</v>
      </c>
      <c r="Q198" s="5">
        <v>11322</v>
      </c>
      <c r="R198" s="5">
        <v>11332</v>
      </c>
      <c r="S198" s="5">
        <v>11341</v>
      </c>
      <c r="T198" s="5">
        <v>11350</v>
      </c>
      <c r="U198" s="5"/>
      <c r="V198" s="5"/>
      <c r="X198" s="7">
        <f t="shared" si="67"/>
        <v>4</v>
      </c>
      <c r="AA198" s="24">
        <f t="shared" si="56"/>
        <v>4</v>
      </c>
      <c r="AD198" s="4">
        <f t="shared" si="57"/>
        <v>4</v>
      </c>
      <c r="AG198" s="4">
        <f t="shared" si="58"/>
        <v>4</v>
      </c>
      <c r="AJ198" s="4">
        <f t="shared" si="59"/>
        <v>4</v>
      </c>
      <c r="AM198" s="4">
        <f t="shared" si="60"/>
        <v>4</v>
      </c>
      <c r="AP198" s="4">
        <f t="shared" si="61"/>
        <v>4</v>
      </c>
      <c r="AS198" s="4">
        <f t="shared" si="62"/>
        <v>4</v>
      </c>
      <c r="AV198" s="4">
        <f t="shared" si="63"/>
        <v>4</v>
      </c>
      <c r="AY198" s="4">
        <f t="shared" si="64"/>
        <v>4</v>
      </c>
      <c r="BB198" s="4">
        <f t="shared" si="65"/>
        <v>4</v>
      </c>
      <c r="BE198" s="4">
        <f t="shared" si="66"/>
        <v>4</v>
      </c>
      <c r="BR198" s="5"/>
    </row>
    <row r="199" spans="1:70" x14ac:dyDescent="0.2">
      <c r="A199" s="4" t="s">
        <v>185</v>
      </c>
      <c r="B199" s="4">
        <v>601</v>
      </c>
      <c r="C199" s="4">
        <v>13</v>
      </c>
      <c r="D199" s="4">
        <v>13</v>
      </c>
      <c r="E199" s="284">
        <v>4221</v>
      </c>
      <c r="F199" s="5">
        <v>4202</v>
      </c>
      <c r="G199" s="5">
        <v>4127</v>
      </c>
      <c r="H199" s="5">
        <v>4053</v>
      </c>
      <c r="I199" s="5">
        <v>4032</v>
      </c>
      <c r="J199" s="5">
        <v>3931</v>
      </c>
      <c r="K199" s="5">
        <v>3873</v>
      </c>
      <c r="L199" s="5">
        <v>3786</v>
      </c>
      <c r="M199" s="5">
        <v>3739</v>
      </c>
      <c r="N199" s="5">
        <v>3683</v>
      </c>
      <c r="O199" s="5">
        <v>3628</v>
      </c>
      <c r="P199" s="5">
        <v>3573</v>
      </c>
      <c r="Q199" s="5">
        <v>3523</v>
      </c>
      <c r="R199" s="5">
        <v>3473</v>
      </c>
      <c r="S199" s="5">
        <v>3424</v>
      </c>
      <c r="T199" s="5">
        <v>3380</v>
      </c>
      <c r="U199" s="5"/>
      <c r="V199" s="5"/>
      <c r="X199" s="7">
        <f t="shared" si="67"/>
        <v>6</v>
      </c>
      <c r="AA199" s="24">
        <f t="shared" si="56"/>
        <v>6</v>
      </c>
      <c r="AD199" s="4">
        <f t="shared" si="57"/>
        <v>6</v>
      </c>
      <c r="AG199" s="4">
        <f t="shared" si="58"/>
        <v>6</v>
      </c>
      <c r="AJ199" s="4">
        <f t="shared" si="59"/>
        <v>6</v>
      </c>
      <c r="AM199" s="4">
        <f t="shared" si="60"/>
        <v>6</v>
      </c>
      <c r="AP199" s="4">
        <f t="shared" si="61"/>
        <v>6</v>
      </c>
      <c r="AS199" s="4">
        <f t="shared" si="62"/>
        <v>6</v>
      </c>
      <c r="AV199" s="4">
        <f t="shared" si="63"/>
        <v>6</v>
      </c>
      <c r="AY199" s="4">
        <f t="shared" si="64"/>
        <v>6</v>
      </c>
      <c r="BB199" s="4">
        <f t="shared" si="65"/>
        <v>6</v>
      </c>
      <c r="BE199" s="4">
        <f t="shared" si="66"/>
        <v>6</v>
      </c>
      <c r="BR199" s="5"/>
    </row>
    <row r="200" spans="1:70" x14ac:dyDescent="0.2">
      <c r="A200" s="4" t="s">
        <v>186</v>
      </c>
      <c r="B200" s="4">
        <v>604</v>
      </c>
      <c r="C200" s="4">
        <v>6</v>
      </c>
      <c r="D200" s="4">
        <v>6</v>
      </c>
      <c r="E200" s="284">
        <v>18913</v>
      </c>
      <c r="F200" s="5">
        <v>19163</v>
      </c>
      <c r="G200" s="5">
        <v>19237</v>
      </c>
      <c r="H200" s="5">
        <v>19368</v>
      </c>
      <c r="I200" s="5">
        <v>19623</v>
      </c>
      <c r="J200" s="5">
        <v>19803</v>
      </c>
      <c r="K200" s="5">
        <v>20206</v>
      </c>
      <c r="L200" s="5">
        <v>20405</v>
      </c>
      <c r="M200" s="5">
        <v>20763</v>
      </c>
      <c r="N200" s="5">
        <v>20477</v>
      </c>
      <c r="O200" s="5">
        <v>20631</v>
      </c>
      <c r="P200" s="5">
        <v>20778</v>
      </c>
      <c r="Q200" s="5">
        <v>20917</v>
      </c>
      <c r="R200" s="5">
        <v>21049</v>
      </c>
      <c r="S200" s="5">
        <v>21173</v>
      </c>
      <c r="T200" s="5">
        <v>21288</v>
      </c>
      <c r="U200" s="5"/>
      <c r="V200" s="5"/>
      <c r="X200" s="7">
        <f t="shared" si="67"/>
        <v>4</v>
      </c>
      <c r="AA200" s="24">
        <f t="shared" si="56"/>
        <v>4</v>
      </c>
      <c r="AD200" s="4">
        <f t="shared" si="57"/>
        <v>3</v>
      </c>
      <c r="AG200" s="4">
        <f t="shared" si="58"/>
        <v>3</v>
      </c>
      <c r="AJ200" s="4">
        <f t="shared" si="59"/>
        <v>3</v>
      </c>
      <c r="AM200" s="4">
        <f t="shared" si="60"/>
        <v>3</v>
      </c>
      <c r="AP200" s="4">
        <f t="shared" si="61"/>
        <v>3</v>
      </c>
      <c r="AS200" s="4">
        <f t="shared" si="62"/>
        <v>3</v>
      </c>
      <c r="AV200" s="4">
        <f t="shared" si="63"/>
        <v>3</v>
      </c>
      <c r="AY200" s="4">
        <f t="shared" si="64"/>
        <v>3</v>
      </c>
      <c r="BB200" s="4">
        <f t="shared" si="65"/>
        <v>3</v>
      </c>
      <c r="BE200" s="4">
        <f t="shared" si="66"/>
        <v>3</v>
      </c>
      <c r="BR200" s="5"/>
    </row>
    <row r="201" spans="1:70" x14ac:dyDescent="0.2">
      <c r="A201" s="4" t="s">
        <v>187</v>
      </c>
      <c r="B201" s="4">
        <v>607</v>
      </c>
      <c r="C201" s="4">
        <v>12</v>
      </c>
      <c r="D201" s="4">
        <v>12</v>
      </c>
      <c r="E201" s="284">
        <v>4556</v>
      </c>
      <c r="F201" s="5">
        <v>4514</v>
      </c>
      <c r="G201" s="5">
        <v>4414</v>
      </c>
      <c r="H201" s="5">
        <v>4307</v>
      </c>
      <c r="I201" s="5">
        <v>4246</v>
      </c>
      <c r="J201" s="5">
        <v>4201</v>
      </c>
      <c r="K201" s="5">
        <v>4161</v>
      </c>
      <c r="L201" s="5">
        <v>4084</v>
      </c>
      <c r="M201" s="5">
        <v>4064</v>
      </c>
      <c r="N201" s="5">
        <v>3949</v>
      </c>
      <c r="O201" s="5">
        <v>3892</v>
      </c>
      <c r="P201" s="5">
        <v>3840</v>
      </c>
      <c r="Q201" s="5">
        <v>3786</v>
      </c>
      <c r="R201" s="5">
        <v>3731</v>
      </c>
      <c r="S201" s="5">
        <v>3680</v>
      </c>
      <c r="T201" s="5">
        <v>3628</v>
      </c>
      <c r="U201" s="5"/>
      <c r="V201" s="5"/>
      <c r="X201" s="7">
        <f t="shared" si="67"/>
        <v>6</v>
      </c>
      <c r="AA201" s="24">
        <f t="shared" si="56"/>
        <v>6</v>
      </c>
      <c r="AD201" s="4">
        <f t="shared" si="57"/>
        <v>6</v>
      </c>
      <c r="AG201" s="4">
        <f t="shared" si="58"/>
        <v>6</v>
      </c>
      <c r="AJ201" s="4">
        <f t="shared" si="59"/>
        <v>6</v>
      </c>
      <c r="AM201" s="4">
        <f t="shared" si="60"/>
        <v>6</v>
      </c>
      <c r="AP201" s="4">
        <f t="shared" si="61"/>
        <v>6</v>
      </c>
      <c r="AS201" s="4">
        <f t="shared" si="62"/>
        <v>6</v>
      </c>
      <c r="AV201" s="4">
        <f t="shared" si="63"/>
        <v>6</v>
      </c>
      <c r="AY201" s="4">
        <f t="shared" si="64"/>
        <v>6</v>
      </c>
      <c r="BB201" s="4">
        <f t="shared" si="65"/>
        <v>6</v>
      </c>
      <c r="BE201" s="4">
        <f t="shared" si="66"/>
        <v>6</v>
      </c>
      <c r="BR201" s="5"/>
    </row>
    <row r="202" spans="1:70" x14ac:dyDescent="0.2">
      <c r="A202" s="4" t="s">
        <v>188</v>
      </c>
      <c r="B202" s="4">
        <v>608</v>
      </c>
      <c r="C202" s="4">
        <v>4</v>
      </c>
      <c r="D202" s="4">
        <v>4</v>
      </c>
      <c r="E202" s="284">
        <v>2240</v>
      </c>
      <c r="F202" s="5">
        <v>2233</v>
      </c>
      <c r="G202" s="5">
        <v>2166</v>
      </c>
      <c r="H202" s="5">
        <v>2146</v>
      </c>
      <c r="I202" s="5">
        <v>2089</v>
      </c>
      <c r="J202" s="5">
        <v>2063</v>
      </c>
      <c r="K202" s="5">
        <v>2013</v>
      </c>
      <c r="L202" s="5">
        <v>1980</v>
      </c>
      <c r="M202" s="5">
        <v>1943</v>
      </c>
      <c r="N202" s="5">
        <v>1948</v>
      </c>
      <c r="O202" s="5">
        <v>1923</v>
      </c>
      <c r="P202" s="5">
        <v>1897</v>
      </c>
      <c r="Q202" s="5">
        <v>1871</v>
      </c>
      <c r="R202" s="5">
        <v>1847</v>
      </c>
      <c r="S202" s="5">
        <v>1824</v>
      </c>
      <c r="T202" s="5">
        <v>1800</v>
      </c>
      <c r="U202" s="5"/>
      <c r="V202" s="5"/>
      <c r="X202" s="7">
        <f t="shared" si="67"/>
        <v>6</v>
      </c>
      <c r="AA202" s="24">
        <f t="shared" si="56"/>
        <v>6</v>
      </c>
      <c r="AD202" s="4">
        <f t="shared" si="57"/>
        <v>6</v>
      </c>
      <c r="AG202" s="4">
        <f t="shared" si="58"/>
        <v>7</v>
      </c>
      <c r="AJ202" s="4">
        <f t="shared" si="59"/>
        <v>7</v>
      </c>
      <c r="AM202" s="4">
        <f t="shared" si="60"/>
        <v>7</v>
      </c>
      <c r="AP202" s="4">
        <f t="shared" si="61"/>
        <v>7</v>
      </c>
      <c r="AS202" s="4">
        <f t="shared" si="62"/>
        <v>7</v>
      </c>
      <c r="AV202" s="4">
        <f t="shared" si="63"/>
        <v>7</v>
      </c>
      <c r="AY202" s="4">
        <f t="shared" si="64"/>
        <v>7</v>
      </c>
      <c r="BB202" s="4">
        <f t="shared" si="65"/>
        <v>7</v>
      </c>
      <c r="BE202" s="4">
        <f t="shared" si="66"/>
        <v>7</v>
      </c>
      <c r="BR202" s="5"/>
    </row>
    <row r="203" spans="1:70" x14ac:dyDescent="0.2">
      <c r="A203" s="4" t="s">
        <v>189</v>
      </c>
      <c r="B203" s="4">
        <v>609</v>
      </c>
      <c r="C203" s="4">
        <v>4</v>
      </c>
      <c r="D203" s="4">
        <v>4</v>
      </c>
      <c r="E203" s="284">
        <v>85363</v>
      </c>
      <c r="F203" s="5">
        <v>85059</v>
      </c>
      <c r="G203" s="5">
        <v>84587</v>
      </c>
      <c r="H203" s="5">
        <v>84403</v>
      </c>
      <c r="I203" s="5">
        <v>83934</v>
      </c>
      <c r="J203" s="5">
        <v>83684</v>
      </c>
      <c r="K203" s="5">
        <v>83482</v>
      </c>
      <c r="L203" s="5">
        <v>83205</v>
      </c>
      <c r="M203" s="5">
        <v>83106</v>
      </c>
      <c r="N203" s="5">
        <v>82247</v>
      </c>
      <c r="O203" s="5">
        <v>81874</v>
      </c>
      <c r="P203" s="5">
        <v>81495</v>
      </c>
      <c r="Q203" s="5">
        <v>81116</v>
      </c>
      <c r="R203" s="5">
        <v>80737</v>
      </c>
      <c r="S203" s="5">
        <v>80356</v>
      </c>
      <c r="T203" s="5">
        <v>79975</v>
      </c>
      <c r="U203" s="5"/>
      <c r="V203" s="5"/>
      <c r="X203" s="7">
        <f t="shared" si="67"/>
        <v>2</v>
      </c>
      <c r="AA203" s="24">
        <f t="shared" si="56"/>
        <v>2</v>
      </c>
      <c r="AD203" s="4">
        <f t="shared" si="57"/>
        <v>2</v>
      </c>
      <c r="AG203" s="4">
        <f t="shared" si="58"/>
        <v>2</v>
      </c>
      <c r="AJ203" s="4">
        <f t="shared" si="59"/>
        <v>2</v>
      </c>
      <c r="AM203" s="4">
        <f t="shared" si="60"/>
        <v>2</v>
      </c>
      <c r="AP203" s="4">
        <f t="shared" si="61"/>
        <v>2</v>
      </c>
      <c r="AS203" s="4">
        <f t="shared" si="62"/>
        <v>2</v>
      </c>
      <c r="AV203" s="4">
        <f t="shared" si="63"/>
        <v>2</v>
      </c>
      <c r="AY203" s="4">
        <f t="shared" si="64"/>
        <v>2</v>
      </c>
      <c r="BB203" s="4">
        <f t="shared" si="65"/>
        <v>2</v>
      </c>
      <c r="BE203" s="4">
        <f t="shared" si="66"/>
        <v>2</v>
      </c>
      <c r="BR203" s="5"/>
    </row>
    <row r="204" spans="1:70" x14ac:dyDescent="0.2">
      <c r="A204" s="4" t="s">
        <v>190</v>
      </c>
      <c r="B204" s="4">
        <v>611</v>
      </c>
      <c r="C204" s="4">
        <v>1</v>
      </c>
      <c r="D204" s="4">
        <v>35</v>
      </c>
      <c r="E204" s="284">
        <v>5125</v>
      </c>
      <c r="F204" s="5">
        <v>5108</v>
      </c>
      <c r="G204" s="5">
        <v>5121</v>
      </c>
      <c r="H204" s="5">
        <v>5068</v>
      </c>
      <c r="I204" s="5">
        <v>5035</v>
      </c>
      <c r="J204" s="5">
        <v>5070</v>
      </c>
      <c r="K204" s="5">
        <v>5066</v>
      </c>
      <c r="L204" s="5">
        <v>5011</v>
      </c>
      <c r="M204" s="5">
        <v>4973</v>
      </c>
      <c r="N204" s="5">
        <v>5062</v>
      </c>
      <c r="O204" s="5">
        <v>5067</v>
      </c>
      <c r="P204" s="5">
        <v>5075</v>
      </c>
      <c r="Q204" s="5">
        <v>5087</v>
      </c>
      <c r="R204" s="5">
        <v>5097</v>
      </c>
      <c r="S204" s="5">
        <v>5110</v>
      </c>
      <c r="T204" s="5">
        <v>5126</v>
      </c>
      <c r="U204" s="5"/>
      <c r="V204" s="5"/>
      <c r="X204" s="7">
        <f t="shared" si="67"/>
        <v>5</v>
      </c>
      <c r="AA204" s="24">
        <f t="shared" si="56"/>
        <v>5</v>
      </c>
      <c r="AD204" s="4">
        <f t="shared" si="57"/>
        <v>5</v>
      </c>
      <c r="AG204" s="4">
        <f t="shared" si="58"/>
        <v>5</v>
      </c>
      <c r="AJ204" s="4">
        <f t="shared" si="59"/>
        <v>6</v>
      </c>
      <c r="AM204" s="4">
        <f t="shared" si="60"/>
        <v>5</v>
      </c>
      <c r="AP204" s="4">
        <f t="shared" si="61"/>
        <v>5</v>
      </c>
      <c r="AS204" s="4">
        <f t="shared" si="62"/>
        <v>5</v>
      </c>
      <c r="AV204" s="4">
        <f t="shared" si="63"/>
        <v>5</v>
      </c>
      <c r="AY204" s="4">
        <f t="shared" si="64"/>
        <v>5</v>
      </c>
      <c r="BB204" s="4">
        <f t="shared" si="65"/>
        <v>5</v>
      </c>
      <c r="BE204" s="4">
        <f t="shared" si="66"/>
        <v>5</v>
      </c>
      <c r="BR204" s="5"/>
    </row>
    <row r="205" spans="1:70" x14ac:dyDescent="0.2">
      <c r="A205" s="4" t="s">
        <v>192</v>
      </c>
      <c r="B205" s="4">
        <v>614</v>
      </c>
      <c r="C205" s="4">
        <v>19</v>
      </c>
      <c r="D205" s="4">
        <v>19</v>
      </c>
      <c r="E205" s="284">
        <v>3477</v>
      </c>
      <c r="F205" s="5">
        <v>3424</v>
      </c>
      <c r="G205" s="5">
        <v>3310</v>
      </c>
      <c r="H205" s="5">
        <v>3237</v>
      </c>
      <c r="I205" s="5">
        <v>3183</v>
      </c>
      <c r="J205" s="5">
        <v>3117</v>
      </c>
      <c r="K205" s="5">
        <v>3066</v>
      </c>
      <c r="L205" s="5">
        <v>2999</v>
      </c>
      <c r="M205" s="5">
        <v>2923</v>
      </c>
      <c r="N205" s="5">
        <v>2856</v>
      </c>
      <c r="O205" s="5">
        <v>2804</v>
      </c>
      <c r="P205" s="5">
        <v>2757</v>
      </c>
      <c r="Q205" s="5">
        <v>2710</v>
      </c>
      <c r="R205" s="5">
        <v>2667</v>
      </c>
      <c r="S205" s="5">
        <v>2625</v>
      </c>
      <c r="T205" s="5">
        <v>2585</v>
      </c>
      <c r="U205" s="5"/>
      <c r="V205" s="5"/>
      <c r="X205" s="7">
        <f t="shared" si="67"/>
        <v>6</v>
      </c>
      <c r="AA205" s="24">
        <f t="shared" si="56"/>
        <v>6</v>
      </c>
      <c r="AD205" s="4">
        <f t="shared" si="57"/>
        <v>6</v>
      </c>
      <c r="AG205" s="4">
        <f t="shared" si="58"/>
        <v>6</v>
      </c>
      <c r="AJ205" s="4">
        <f t="shared" si="59"/>
        <v>6</v>
      </c>
      <c r="AM205" s="4">
        <f t="shared" si="60"/>
        <v>6</v>
      </c>
      <c r="AP205" s="4">
        <f t="shared" si="61"/>
        <v>6</v>
      </c>
      <c r="AS205" s="4">
        <f t="shared" si="62"/>
        <v>6</v>
      </c>
      <c r="AV205" s="4">
        <f t="shared" si="63"/>
        <v>6</v>
      </c>
      <c r="AY205" s="4">
        <f t="shared" si="64"/>
        <v>6</v>
      </c>
      <c r="BB205" s="4">
        <f t="shared" si="65"/>
        <v>6</v>
      </c>
      <c r="BE205" s="4">
        <f t="shared" si="66"/>
        <v>6</v>
      </c>
      <c r="BR205" s="5"/>
    </row>
    <row r="206" spans="1:70" x14ac:dyDescent="0.2">
      <c r="A206" s="4" t="s">
        <v>193</v>
      </c>
      <c r="B206" s="4">
        <v>615</v>
      </c>
      <c r="C206" s="4">
        <v>17</v>
      </c>
      <c r="D206" s="4">
        <v>17</v>
      </c>
      <c r="E206" s="284">
        <v>8257</v>
      </c>
      <c r="F206" s="5">
        <v>8187</v>
      </c>
      <c r="G206" s="5">
        <v>8103</v>
      </c>
      <c r="H206" s="5">
        <v>7990</v>
      </c>
      <c r="I206" s="5">
        <v>7873</v>
      </c>
      <c r="J206" s="5">
        <v>7779</v>
      </c>
      <c r="K206" s="5">
        <v>7702</v>
      </c>
      <c r="L206" s="5">
        <v>7603</v>
      </c>
      <c r="M206" s="5">
        <v>7479</v>
      </c>
      <c r="N206" s="5">
        <v>7401</v>
      </c>
      <c r="O206" s="5">
        <v>7314</v>
      </c>
      <c r="P206" s="5">
        <v>7228</v>
      </c>
      <c r="Q206" s="5">
        <v>7149</v>
      </c>
      <c r="R206" s="5">
        <v>7071</v>
      </c>
      <c r="S206" s="5">
        <v>6995</v>
      </c>
      <c r="T206" s="5">
        <v>6920</v>
      </c>
      <c r="U206" s="5"/>
      <c r="V206" s="5"/>
      <c r="X206" s="7">
        <f t="shared" si="67"/>
        <v>5</v>
      </c>
      <c r="AA206" s="24">
        <f t="shared" si="56"/>
        <v>5</v>
      </c>
      <c r="AD206" s="4">
        <f t="shared" si="57"/>
        <v>5</v>
      </c>
      <c r="AG206" s="4">
        <f t="shared" si="58"/>
        <v>5</v>
      </c>
      <c r="AJ206" s="4">
        <f t="shared" si="59"/>
        <v>5</v>
      </c>
      <c r="AM206" s="4">
        <f t="shared" si="60"/>
        <v>5</v>
      </c>
      <c r="AP206" s="4">
        <f t="shared" si="61"/>
        <v>5</v>
      </c>
      <c r="AS206" s="4">
        <f t="shared" si="62"/>
        <v>5</v>
      </c>
      <c r="AV206" s="4">
        <f t="shared" si="63"/>
        <v>5</v>
      </c>
      <c r="AY206" s="4">
        <f t="shared" si="64"/>
        <v>5</v>
      </c>
      <c r="BB206" s="4">
        <f t="shared" si="65"/>
        <v>5</v>
      </c>
      <c r="BE206" s="4">
        <f t="shared" si="66"/>
        <v>5</v>
      </c>
      <c r="BR206" s="5"/>
    </row>
    <row r="207" spans="1:70" x14ac:dyDescent="0.2">
      <c r="A207" s="4" t="s">
        <v>194</v>
      </c>
      <c r="B207" s="4">
        <v>616</v>
      </c>
      <c r="C207" s="4">
        <v>1</v>
      </c>
      <c r="D207" s="4">
        <v>34</v>
      </c>
      <c r="E207" s="284">
        <v>1971</v>
      </c>
      <c r="F207" s="5">
        <v>1988</v>
      </c>
      <c r="G207" s="5">
        <v>1940</v>
      </c>
      <c r="H207" s="5">
        <v>1899</v>
      </c>
      <c r="I207" s="5">
        <v>1860</v>
      </c>
      <c r="J207" s="5">
        <v>1833</v>
      </c>
      <c r="K207" s="5">
        <v>1848</v>
      </c>
      <c r="L207" s="5">
        <v>1807</v>
      </c>
      <c r="M207" s="5">
        <v>1781</v>
      </c>
      <c r="N207" s="5">
        <v>1744</v>
      </c>
      <c r="O207" s="5">
        <v>1728</v>
      </c>
      <c r="P207" s="5">
        <v>1717</v>
      </c>
      <c r="Q207" s="5">
        <v>1706</v>
      </c>
      <c r="R207" s="5">
        <v>1697</v>
      </c>
      <c r="S207" s="5">
        <v>1690</v>
      </c>
      <c r="T207" s="5">
        <v>1684</v>
      </c>
      <c r="U207" s="5"/>
      <c r="V207" s="5"/>
      <c r="X207" s="7">
        <f t="shared" si="67"/>
        <v>7</v>
      </c>
      <c r="AA207" s="24">
        <f t="shared" ref="AA207:AA271" si="68">IF(J207&gt;100000,1,IF(J207&gt;40000,2,IF(J207&gt;20000,3,IF(J207&gt;10000,4,IF(J207&gt;5000,5,IF(J207&gt;1999,6,IF(J207&gt;0,7,"")))))))</f>
        <v>7</v>
      </c>
      <c r="AD207" s="4">
        <f t="shared" ref="AD207:AD270" si="69">IF(K207&gt;100000,1,IF(K207&gt;40000,2,IF(K207&gt;20000,3,IF(K207&gt;10000,4,IF(K207&gt;5000,5,IF(K207&gt;1999,6,IF(K207&gt;0,7,"")))))))</f>
        <v>7</v>
      </c>
      <c r="AG207" s="4">
        <f t="shared" ref="AG207:AG270" si="70">IF(L207&gt;100000,1,IF(L207&gt;40000,2,IF(L207&gt;20000,3,IF(L207&gt;10000,4,IF(L207&gt;5000,5,IF(L207&gt;1999,6,IF(L207&gt;0,7,"")))))))</f>
        <v>7</v>
      </c>
      <c r="AJ207" s="4">
        <f t="shared" ref="AJ207:AJ270" si="71">IF(M207&gt;100000,1,IF(M207&gt;40000,2,IF(M207&gt;20000,3,IF(M207&gt;10000,4,IF(M207&gt;5000,5,IF(M207&gt;1999,6,IF(M207&gt;0,7,"")))))))</f>
        <v>7</v>
      </c>
      <c r="AM207" s="4">
        <f t="shared" ref="AM207:AM270" si="72">IF(N207&gt;100000,1,IF(N207&gt;40000,2,IF(N207&gt;20000,3,IF(N207&gt;10000,4,IF(N207&gt;5000,5,IF(N207&gt;1999,6,IF(N207&gt;0,7,"")))))))</f>
        <v>7</v>
      </c>
      <c r="AP207" s="4">
        <f t="shared" ref="AP207:AP270" si="73">IF(O207&gt;100000,1,IF(O207&gt;40000,2,IF(O207&gt;20000,3,IF(O207&gt;10000,4,IF(O207&gt;5000,5,IF(O207&gt;1999,6,IF(O207&gt;0,7,"")))))))</f>
        <v>7</v>
      </c>
      <c r="AS207" s="4">
        <f t="shared" ref="AS207:AS270" si="74">IF(P207&gt;100000,1,IF(P207&gt;40000,2,IF(P207&gt;20000,3,IF(P207&gt;10000,4,IF(P207&gt;5000,5,IF(P207&gt;1999,6,IF(P207&gt;0,7,"")))))))</f>
        <v>7</v>
      </c>
      <c r="AV207" s="4">
        <f t="shared" ref="AV207:AV270" si="75">IF(Q207&gt;100000,1,IF(Q207&gt;40000,2,IF(Q207&gt;20000,3,IF(Q207&gt;10000,4,IF(Q207&gt;5000,5,IF(Q207&gt;1999,6,IF(Q207&gt;0,7,"")))))))</f>
        <v>7</v>
      </c>
      <c r="AY207" s="4">
        <f t="shared" ref="AY207:AY270" si="76">IF(R207&gt;100000,1,IF(R207&gt;40000,2,IF(R207&gt;20000,3,IF(R207&gt;10000,4,IF(R207&gt;5000,5,IF(R207&gt;1999,6,IF(R207&gt;0,7,"")))))))</f>
        <v>7</v>
      </c>
      <c r="BB207" s="4">
        <f t="shared" ref="BB207:BB270" si="77">IF(S207&gt;100000,1,IF(S207&gt;40000,2,IF(S207&gt;20000,3,IF(S207&gt;10000,4,IF(S207&gt;5000,5,IF(S207&gt;1999,6,IF(S207&gt;0,7,"")))))))</f>
        <v>7</v>
      </c>
      <c r="BE207" s="4">
        <f t="shared" ref="BE207:BE270" si="78">IF(T207&gt;100000,1,IF(T207&gt;40000,2,IF(T207&gt;20000,3,IF(T207&gt;10000,4,IF(T207&gt;5000,5,IF(T207&gt;1999,6,IF(T207&gt;0,7,"")))))))</f>
        <v>7</v>
      </c>
      <c r="BR207" s="5"/>
    </row>
    <row r="208" spans="1:70" x14ac:dyDescent="0.2">
      <c r="A208" s="4" t="s">
        <v>195</v>
      </c>
      <c r="B208" s="4">
        <v>619</v>
      </c>
      <c r="C208" s="4">
        <v>6</v>
      </c>
      <c r="D208" s="4">
        <v>6</v>
      </c>
      <c r="E208" s="284">
        <v>3049</v>
      </c>
      <c r="F208" s="5">
        <v>3003</v>
      </c>
      <c r="G208" s="5">
        <v>2949</v>
      </c>
      <c r="H208" s="5">
        <v>2896</v>
      </c>
      <c r="I208" s="5">
        <v>2828</v>
      </c>
      <c r="J208" s="5">
        <v>2785</v>
      </c>
      <c r="K208" s="5">
        <v>2721</v>
      </c>
      <c r="L208" s="5">
        <v>2675</v>
      </c>
      <c r="M208" s="5">
        <v>2650</v>
      </c>
      <c r="N208" s="5">
        <v>2563</v>
      </c>
      <c r="O208" s="5">
        <v>2516</v>
      </c>
      <c r="P208" s="5">
        <v>2474</v>
      </c>
      <c r="Q208" s="5">
        <v>2436</v>
      </c>
      <c r="R208" s="5">
        <v>2400</v>
      </c>
      <c r="S208" s="5">
        <v>2367</v>
      </c>
      <c r="T208" s="5">
        <v>2336</v>
      </c>
      <c r="U208" s="5"/>
      <c r="V208" s="5"/>
      <c r="X208" s="7">
        <f t="shared" ref="X208:X271" si="79">IF(I208&gt;100000,1,IF(I208&gt;40000,2,IF(I208&gt;20000,3,IF(I208&gt;10000,4,IF(I208&gt;5000,5,IF(I208&gt;1999,6,IF(I208&gt;0,7,"")))))))</f>
        <v>6</v>
      </c>
      <c r="AA208" s="24">
        <f t="shared" si="68"/>
        <v>6</v>
      </c>
      <c r="AD208" s="4">
        <f t="shared" si="69"/>
        <v>6</v>
      </c>
      <c r="AG208" s="4">
        <f t="shared" si="70"/>
        <v>6</v>
      </c>
      <c r="AJ208" s="4">
        <f t="shared" si="71"/>
        <v>6</v>
      </c>
      <c r="AM208" s="4">
        <f t="shared" si="72"/>
        <v>6</v>
      </c>
      <c r="AP208" s="4">
        <f t="shared" si="73"/>
        <v>6</v>
      </c>
      <c r="AS208" s="4">
        <f t="shared" si="74"/>
        <v>6</v>
      </c>
      <c r="AV208" s="4">
        <f t="shared" si="75"/>
        <v>6</v>
      </c>
      <c r="AY208" s="4">
        <f t="shared" si="76"/>
        <v>6</v>
      </c>
      <c r="BB208" s="4">
        <f t="shared" si="77"/>
        <v>6</v>
      </c>
      <c r="BE208" s="4">
        <f t="shared" si="78"/>
        <v>6</v>
      </c>
      <c r="BR208" s="5"/>
    </row>
    <row r="209" spans="1:70" x14ac:dyDescent="0.2">
      <c r="A209" s="4" t="s">
        <v>196</v>
      </c>
      <c r="B209" s="4">
        <v>620</v>
      </c>
      <c r="C209" s="4">
        <v>18</v>
      </c>
      <c r="D209" s="4">
        <v>18</v>
      </c>
      <c r="E209" s="284">
        <v>2776</v>
      </c>
      <c r="F209" s="5">
        <v>2735</v>
      </c>
      <c r="G209" s="5">
        <v>2669</v>
      </c>
      <c r="H209" s="5">
        <v>2597</v>
      </c>
      <c r="I209" s="5">
        <v>2528</v>
      </c>
      <c r="J209" s="5">
        <v>2491</v>
      </c>
      <c r="K209" s="5">
        <v>2446</v>
      </c>
      <c r="L209" s="5">
        <v>2380</v>
      </c>
      <c r="M209" s="5">
        <v>2359</v>
      </c>
      <c r="N209" s="5">
        <v>2283</v>
      </c>
      <c r="O209" s="5">
        <v>2238</v>
      </c>
      <c r="P209" s="5">
        <v>2196</v>
      </c>
      <c r="Q209" s="5">
        <v>2157</v>
      </c>
      <c r="R209" s="5">
        <v>2119</v>
      </c>
      <c r="S209" s="5">
        <v>2082</v>
      </c>
      <c r="T209" s="5">
        <v>2049</v>
      </c>
      <c r="U209" s="5"/>
      <c r="V209" s="5"/>
      <c r="X209" s="7">
        <f t="shared" si="79"/>
        <v>6</v>
      </c>
      <c r="AA209" s="24">
        <f t="shared" si="68"/>
        <v>6</v>
      </c>
      <c r="AD209" s="4">
        <f t="shared" si="69"/>
        <v>6</v>
      </c>
      <c r="AG209" s="4">
        <f t="shared" si="70"/>
        <v>6</v>
      </c>
      <c r="AJ209" s="4">
        <f t="shared" si="71"/>
        <v>6</v>
      </c>
      <c r="AM209" s="4">
        <f t="shared" si="72"/>
        <v>6</v>
      </c>
      <c r="AP209" s="4">
        <f t="shared" si="73"/>
        <v>6</v>
      </c>
      <c r="AS209" s="4">
        <f t="shared" si="74"/>
        <v>6</v>
      </c>
      <c r="AV209" s="4">
        <f t="shared" si="75"/>
        <v>6</v>
      </c>
      <c r="AY209" s="4">
        <f t="shared" si="76"/>
        <v>6</v>
      </c>
      <c r="BB209" s="4">
        <f t="shared" si="77"/>
        <v>6</v>
      </c>
      <c r="BE209" s="4">
        <f t="shared" si="78"/>
        <v>6</v>
      </c>
      <c r="BR209" s="5"/>
    </row>
    <row r="210" spans="1:70" x14ac:dyDescent="0.2">
      <c r="A210" s="4" t="s">
        <v>197</v>
      </c>
      <c r="B210" s="4">
        <v>623</v>
      </c>
      <c r="C210" s="4">
        <v>10</v>
      </c>
      <c r="D210" s="4">
        <v>10</v>
      </c>
      <c r="E210" s="284">
        <v>2260</v>
      </c>
      <c r="F210" s="5">
        <v>2234</v>
      </c>
      <c r="G210" s="5">
        <v>2208</v>
      </c>
      <c r="H210" s="5">
        <v>2197</v>
      </c>
      <c r="I210" s="5">
        <v>2151</v>
      </c>
      <c r="J210" s="5">
        <v>2137</v>
      </c>
      <c r="K210" s="5">
        <v>2117</v>
      </c>
      <c r="L210" s="5">
        <v>2107</v>
      </c>
      <c r="M210" s="5">
        <v>2108</v>
      </c>
      <c r="N210" s="5">
        <v>2050</v>
      </c>
      <c r="O210" s="5">
        <v>2033</v>
      </c>
      <c r="P210" s="5">
        <v>2016</v>
      </c>
      <c r="Q210" s="5">
        <v>2000</v>
      </c>
      <c r="R210" s="5">
        <v>1983</v>
      </c>
      <c r="S210" s="5">
        <v>1968</v>
      </c>
      <c r="T210" s="5">
        <v>1954</v>
      </c>
      <c r="U210" s="5"/>
      <c r="V210" s="5"/>
      <c r="X210" s="7">
        <f t="shared" si="79"/>
        <v>6</v>
      </c>
      <c r="AA210" s="24">
        <f t="shared" si="68"/>
        <v>6</v>
      </c>
      <c r="AD210" s="4">
        <f t="shared" si="69"/>
        <v>6</v>
      </c>
      <c r="AG210" s="4">
        <f t="shared" si="70"/>
        <v>6</v>
      </c>
      <c r="AJ210" s="4">
        <f t="shared" si="71"/>
        <v>6</v>
      </c>
      <c r="AM210" s="4">
        <f t="shared" si="72"/>
        <v>6</v>
      </c>
      <c r="AP210" s="4">
        <f t="shared" si="73"/>
        <v>6</v>
      </c>
      <c r="AS210" s="4">
        <f t="shared" si="74"/>
        <v>6</v>
      </c>
      <c r="AV210" s="4">
        <f t="shared" si="75"/>
        <v>6</v>
      </c>
      <c r="AY210" s="4">
        <f t="shared" si="76"/>
        <v>7</v>
      </c>
      <c r="BB210" s="4">
        <f t="shared" si="77"/>
        <v>7</v>
      </c>
      <c r="BE210" s="4">
        <f t="shared" si="78"/>
        <v>7</v>
      </c>
      <c r="BR210" s="5"/>
    </row>
    <row r="211" spans="1:70" x14ac:dyDescent="0.2">
      <c r="A211" s="4" t="s">
        <v>198</v>
      </c>
      <c r="B211" s="4">
        <v>624</v>
      </c>
      <c r="C211" s="4">
        <v>8</v>
      </c>
      <c r="D211" s="4">
        <v>8</v>
      </c>
      <c r="E211" s="284">
        <v>5321</v>
      </c>
      <c r="F211" s="5">
        <v>5340</v>
      </c>
      <c r="G211" s="5">
        <v>5264</v>
      </c>
      <c r="H211" s="5">
        <v>5187</v>
      </c>
      <c r="I211" s="5">
        <v>5140</v>
      </c>
      <c r="J211" s="5">
        <v>5125</v>
      </c>
      <c r="K211" s="5">
        <v>5119</v>
      </c>
      <c r="L211" s="5">
        <v>5117</v>
      </c>
      <c r="M211" s="5">
        <v>5065</v>
      </c>
      <c r="N211" s="5">
        <v>4987</v>
      </c>
      <c r="O211" s="5">
        <v>4946</v>
      </c>
      <c r="P211" s="5">
        <v>4907</v>
      </c>
      <c r="Q211" s="5">
        <v>4868</v>
      </c>
      <c r="R211" s="5">
        <v>4825</v>
      </c>
      <c r="S211" s="5">
        <v>4778</v>
      </c>
      <c r="T211" s="5">
        <v>4730</v>
      </c>
      <c r="U211" s="5"/>
      <c r="V211" s="5"/>
      <c r="X211" s="7">
        <f t="shared" si="79"/>
        <v>5</v>
      </c>
      <c r="AA211" s="24">
        <f t="shared" si="68"/>
        <v>5</v>
      </c>
      <c r="AD211" s="4">
        <f t="shared" si="69"/>
        <v>5</v>
      </c>
      <c r="AG211" s="4">
        <f t="shared" si="70"/>
        <v>5</v>
      </c>
      <c r="AJ211" s="4">
        <f t="shared" si="71"/>
        <v>5</v>
      </c>
      <c r="AM211" s="4">
        <f t="shared" si="72"/>
        <v>6</v>
      </c>
      <c r="AP211" s="4">
        <f t="shared" si="73"/>
        <v>6</v>
      </c>
      <c r="AS211" s="4">
        <f t="shared" si="74"/>
        <v>6</v>
      </c>
      <c r="AV211" s="4">
        <f t="shared" si="75"/>
        <v>6</v>
      </c>
      <c r="AY211" s="4">
        <f t="shared" si="76"/>
        <v>6</v>
      </c>
      <c r="BB211" s="4">
        <f t="shared" si="77"/>
        <v>6</v>
      </c>
      <c r="BE211" s="4">
        <f t="shared" si="78"/>
        <v>6</v>
      </c>
      <c r="BR211" s="5"/>
    </row>
    <row r="212" spans="1:70" x14ac:dyDescent="0.2">
      <c r="A212" s="4" t="s">
        <v>199</v>
      </c>
      <c r="B212" s="4">
        <v>625</v>
      </c>
      <c r="C212" s="4">
        <v>17</v>
      </c>
      <c r="D212" s="4">
        <v>17</v>
      </c>
      <c r="E212" s="284">
        <v>3211</v>
      </c>
      <c r="F212" s="5">
        <v>3188</v>
      </c>
      <c r="G212" s="5">
        <v>3189</v>
      </c>
      <c r="H212" s="5">
        <v>3146</v>
      </c>
      <c r="I212" s="5">
        <v>3077</v>
      </c>
      <c r="J212" s="5">
        <v>3051</v>
      </c>
      <c r="K212" s="5">
        <v>3048</v>
      </c>
      <c r="L212" s="5">
        <v>2991</v>
      </c>
      <c r="M212" s="5">
        <v>2980</v>
      </c>
      <c r="N212" s="5">
        <v>2912</v>
      </c>
      <c r="O212" s="5">
        <v>2879</v>
      </c>
      <c r="P212" s="5">
        <v>2847</v>
      </c>
      <c r="Q212" s="5">
        <v>2814</v>
      </c>
      <c r="R212" s="5">
        <v>2781</v>
      </c>
      <c r="S212" s="5">
        <v>2748</v>
      </c>
      <c r="T212" s="5">
        <v>2717</v>
      </c>
      <c r="U212" s="5"/>
      <c r="V212" s="5"/>
      <c r="X212" s="7">
        <f t="shared" si="79"/>
        <v>6</v>
      </c>
      <c r="AA212" s="24">
        <f t="shared" si="68"/>
        <v>6</v>
      </c>
      <c r="AD212" s="4">
        <f t="shared" si="69"/>
        <v>6</v>
      </c>
      <c r="AG212" s="4">
        <f t="shared" si="70"/>
        <v>6</v>
      </c>
      <c r="AJ212" s="4">
        <f t="shared" si="71"/>
        <v>6</v>
      </c>
      <c r="AM212" s="4">
        <f t="shared" si="72"/>
        <v>6</v>
      </c>
      <c r="AP212" s="4">
        <f t="shared" si="73"/>
        <v>6</v>
      </c>
      <c r="AS212" s="4">
        <f t="shared" si="74"/>
        <v>6</v>
      </c>
      <c r="AV212" s="4">
        <f t="shared" si="75"/>
        <v>6</v>
      </c>
      <c r="AY212" s="4">
        <f t="shared" si="76"/>
        <v>6</v>
      </c>
      <c r="BB212" s="4">
        <f t="shared" si="77"/>
        <v>6</v>
      </c>
      <c r="BE212" s="4">
        <f t="shared" si="78"/>
        <v>6</v>
      </c>
      <c r="BR212" s="5"/>
    </row>
    <row r="213" spans="1:70" x14ac:dyDescent="0.2">
      <c r="A213" s="4" t="s">
        <v>200</v>
      </c>
      <c r="B213" s="4">
        <v>626</v>
      </c>
      <c r="C213" s="4">
        <v>17</v>
      </c>
      <c r="D213" s="4">
        <v>17</v>
      </c>
      <c r="E213" s="284">
        <v>5505</v>
      </c>
      <c r="F213" s="5">
        <v>5446</v>
      </c>
      <c r="G213" s="5">
        <v>5337</v>
      </c>
      <c r="H213" s="5">
        <v>5248</v>
      </c>
      <c r="I213" s="5">
        <v>5131</v>
      </c>
      <c r="J213" s="5">
        <v>5033</v>
      </c>
      <c r="K213" s="5">
        <v>4964</v>
      </c>
      <c r="L213" s="5">
        <v>4835</v>
      </c>
      <c r="M213" s="5">
        <v>4756</v>
      </c>
      <c r="N213" s="5">
        <v>4696</v>
      </c>
      <c r="O213" s="5">
        <v>4619</v>
      </c>
      <c r="P213" s="5">
        <v>4544</v>
      </c>
      <c r="Q213" s="5">
        <v>4472</v>
      </c>
      <c r="R213" s="5">
        <v>4399</v>
      </c>
      <c r="S213" s="5">
        <v>4329</v>
      </c>
      <c r="T213" s="5">
        <v>4261</v>
      </c>
      <c r="U213" s="5"/>
      <c r="V213" s="5"/>
      <c r="X213" s="7">
        <f t="shared" si="79"/>
        <v>5</v>
      </c>
      <c r="AA213" s="24">
        <f t="shared" si="68"/>
        <v>5</v>
      </c>
      <c r="AD213" s="4">
        <f t="shared" si="69"/>
        <v>6</v>
      </c>
      <c r="AG213" s="4">
        <f t="shared" si="70"/>
        <v>6</v>
      </c>
      <c r="AJ213" s="4">
        <f t="shared" si="71"/>
        <v>6</v>
      </c>
      <c r="AM213" s="4">
        <f t="shared" si="72"/>
        <v>6</v>
      </c>
      <c r="AP213" s="4">
        <f t="shared" si="73"/>
        <v>6</v>
      </c>
      <c r="AS213" s="4">
        <f t="shared" si="74"/>
        <v>6</v>
      </c>
      <c r="AV213" s="4">
        <f t="shared" si="75"/>
        <v>6</v>
      </c>
      <c r="AY213" s="4">
        <f t="shared" si="76"/>
        <v>6</v>
      </c>
      <c r="BB213" s="4">
        <f t="shared" si="77"/>
        <v>6</v>
      </c>
      <c r="BE213" s="4">
        <f t="shared" si="78"/>
        <v>6</v>
      </c>
      <c r="BR213" s="5"/>
    </row>
    <row r="214" spans="1:70" x14ac:dyDescent="0.2">
      <c r="A214" s="4" t="s">
        <v>201</v>
      </c>
      <c r="B214" s="4">
        <v>630</v>
      </c>
      <c r="C214" s="4">
        <v>17</v>
      </c>
      <c r="D214" s="4">
        <v>17</v>
      </c>
      <c r="E214" s="284">
        <v>1587</v>
      </c>
      <c r="F214" s="5">
        <v>1579</v>
      </c>
      <c r="G214" s="5">
        <v>1579</v>
      </c>
      <c r="H214" s="5">
        <v>1557</v>
      </c>
      <c r="I214" s="5">
        <v>1578</v>
      </c>
      <c r="J214" s="5">
        <v>1593</v>
      </c>
      <c r="K214" s="5">
        <v>1631</v>
      </c>
      <c r="L214" s="5">
        <v>1635</v>
      </c>
      <c r="M214" s="5">
        <v>1646</v>
      </c>
      <c r="N214" s="5">
        <v>1598</v>
      </c>
      <c r="O214" s="5">
        <v>1599</v>
      </c>
      <c r="P214" s="5">
        <v>1597</v>
      </c>
      <c r="Q214" s="5">
        <v>1595</v>
      </c>
      <c r="R214" s="5">
        <v>1597</v>
      </c>
      <c r="S214" s="5">
        <v>1596</v>
      </c>
      <c r="T214" s="5">
        <v>1595</v>
      </c>
      <c r="U214" s="5"/>
      <c r="V214" s="5"/>
      <c r="X214" s="7">
        <f t="shared" si="79"/>
        <v>7</v>
      </c>
      <c r="AA214" s="24">
        <f t="shared" si="68"/>
        <v>7</v>
      </c>
      <c r="AD214" s="4">
        <f t="shared" si="69"/>
        <v>7</v>
      </c>
      <c r="AG214" s="4">
        <f t="shared" si="70"/>
        <v>7</v>
      </c>
      <c r="AJ214" s="4">
        <f t="shared" si="71"/>
        <v>7</v>
      </c>
      <c r="AM214" s="4">
        <f t="shared" si="72"/>
        <v>7</v>
      </c>
      <c r="AP214" s="4">
        <f t="shared" si="73"/>
        <v>7</v>
      </c>
      <c r="AS214" s="4">
        <f t="shared" si="74"/>
        <v>7</v>
      </c>
      <c r="AV214" s="4">
        <f t="shared" si="75"/>
        <v>7</v>
      </c>
      <c r="AY214" s="4">
        <f t="shared" si="76"/>
        <v>7</v>
      </c>
      <c r="BB214" s="4">
        <f t="shared" si="77"/>
        <v>7</v>
      </c>
      <c r="BE214" s="4">
        <f t="shared" si="78"/>
        <v>7</v>
      </c>
      <c r="BR214" s="5"/>
    </row>
    <row r="215" spans="1:70" x14ac:dyDescent="0.2">
      <c r="A215" s="4" t="s">
        <v>202</v>
      </c>
      <c r="B215" s="4">
        <v>631</v>
      </c>
      <c r="C215" s="4">
        <v>2</v>
      </c>
      <c r="D215" s="4">
        <v>2</v>
      </c>
      <c r="E215" s="284">
        <v>2136</v>
      </c>
      <c r="F215" s="5">
        <v>2075</v>
      </c>
      <c r="G215" s="5">
        <v>2077</v>
      </c>
      <c r="H215" s="5">
        <v>2028</v>
      </c>
      <c r="I215" s="5">
        <v>2004</v>
      </c>
      <c r="J215" s="5">
        <v>1994</v>
      </c>
      <c r="K215" s="5">
        <v>1985</v>
      </c>
      <c r="L215" s="5">
        <v>1963</v>
      </c>
      <c r="M215" s="5">
        <v>1930</v>
      </c>
      <c r="N215" s="5">
        <v>1903</v>
      </c>
      <c r="O215" s="5">
        <v>1883</v>
      </c>
      <c r="P215" s="5">
        <v>1863</v>
      </c>
      <c r="Q215" s="5">
        <v>1842</v>
      </c>
      <c r="R215" s="5">
        <v>1821</v>
      </c>
      <c r="S215" s="5">
        <v>1802</v>
      </c>
      <c r="T215" s="5">
        <v>1783</v>
      </c>
      <c r="U215" s="5"/>
      <c r="V215" s="5"/>
      <c r="X215" s="7">
        <f t="shared" si="79"/>
        <v>6</v>
      </c>
      <c r="AA215" s="24">
        <f t="shared" si="68"/>
        <v>7</v>
      </c>
      <c r="AD215" s="4">
        <f t="shared" si="69"/>
        <v>7</v>
      </c>
      <c r="AG215" s="4">
        <f t="shared" si="70"/>
        <v>7</v>
      </c>
      <c r="AJ215" s="4">
        <f t="shared" si="71"/>
        <v>7</v>
      </c>
      <c r="AM215" s="4">
        <f t="shared" si="72"/>
        <v>7</v>
      </c>
      <c r="AP215" s="4">
        <f t="shared" si="73"/>
        <v>7</v>
      </c>
      <c r="AS215" s="4">
        <f t="shared" si="74"/>
        <v>7</v>
      </c>
      <c r="AV215" s="4">
        <f t="shared" si="75"/>
        <v>7</v>
      </c>
      <c r="AY215" s="4">
        <f t="shared" si="76"/>
        <v>7</v>
      </c>
      <c r="BB215" s="4">
        <f t="shared" si="77"/>
        <v>7</v>
      </c>
      <c r="BE215" s="4">
        <f t="shared" si="78"/>
        <v>7</v>
      </c>
      <c r="BR215" s="5"/>
    </row>
    <row r="216" spans="1:70" x14ac:dyDescent="0.2">
      <c r="A216" s="4" t="s">
        <v>203</v>
      </c>
      <c r="B216" s="4">
        <v>635</v>
      </c>
      <c r="C216" s="4">
        <v>6</v>
      </c>
      <c r="D216" s="4">
        <v>6</v>
      </c>
      <c r="E216" s="284">
        <v>6676</v>
      </c>
      <c r="F216" s="5">
        <v>6627</v>
      </c>
      <c r="G216" s="5">
        <v>6567</v>
      </c>
      <c r="H216" s="5">
        <v>6499</v>
      </c>
      <c r="I216" s="5">
        <v>6435</v>
      </c>
      <c r="J216" s="5">
        <v>6415</v>
      </c>
      <c r="K216" s="5">
        <v>6439</v>
      </c>
      <c r="L216" s="5">
        <v>6347</v>
      </c>
      <c r="M216" s="5">
        <v>6337</v>
      </c>
      <c r="N216" s="5">
        <v>6196</v>
      </c>
      <c r="O216" s="5">
        <v>6147</v>
      </c>
      <c r="P216" s="5">
        <v>6104</v>
      </c>
      <c r="Q216" s="5">
        <v>6063</v>
      </c>
      <c r="R216" s="5">
        <v>6025</v>
      </c>
      <c r="S216" s="5">
        <v>5990</v>
      </c>
      <c r="T216" s="5">
        <v>5960</v>
      </c>
      <c r="U216" s="5"/>
      <c r="V216" s="5"/>
      <c r="X216" s="7">
        <f t="shared" si="79"/>
        <v>5</v>
      </c>
      <c r="AA216" s="24">
        <f t="shared" si="68"/>
        <v>5</v>
      </c>
      <c r="AD216" s="4">
        <f t="shared" si="69"/>
        <v>5</v>
      </c>
      <c r="AG216" s="4">
        <f t="shared" si="70"/>
        <v>5</v>
      </c>
      <c r="AJ216" s="4">
        <f t="shared" si="71"/>
        <v>5</v>
      </c>
      <c r="AM216" s="4">
        <f t="shared" si="72"/>
        <v>5</v>
      </c>
      <c r="AP216" s="4">
        <f t="shared" si="73"/>
        <v>5</v>
      </c>
      <c r="AS216" s="4">
        <f t="shared" si="74"/>
        <v>5</v>
      </c>
      <c r="AV216" s="4">
        <f t="shared" si="75"/>
        <v>5</v>
      </c>
      <c r="AY216" s="4">
        <f t="shared" si="76"/>
        <v>5</v>
      </c>
      <c r="BB216" s="4">
        <f t="shared" si="77"/>
        <v>5</v>
      </c>
      <c r="BE216" s="4">
        <f t="shared" si="78"/>
        <v>5</v>
      </c>
      <c r="BR216" s="5"/>
    </row>
    <row r="217" spans="1:70" x14ac:dyDescent="0.2">
      <c r="A217" s="4" t="s">
        <v>204</v>
      </c>
      <c r="B217" s="4">
        <v>636</v>
      </c>
      <c r="C217" s="4">
        <v>2</v>
      </c>
      <c r="D217" s="4">
        <v>2</v>
      </c>
      <c r="E217" s="284">
        <v>8562</v>
      </c>
      <c r="F217" s="5">
        <v>8503</v>
      </c>
      <c r="G217" s="5">
        <v>8422</v>
      </c>
      <c r="H217" s="5">
        <v>8333</v>
      </c>
      <c r="I217" s="5">
        <v>8276</v>
      </c>
      <c r="J217" s="5">
        <v>8229</v>
      </c>
      <c r="K217" s="5">
        <v>8222</v>
      </c>
      <c r="L217" s="5">
        <v>8154</v>
      </c>
      <c r="M217" s="5">
        <v>8130</v>
      </c>
      <c r="N217" s="5">
        <v>7991</v>
      </c>
      <c r="O217" s="5">
        <v>7944</v>
      </c>
      <c r="P217" s="5">
        <v>7898</v>
      </c>
      <c r="Q217" s="5">
        <v>7854</v>
      </c>
      <c r="R217" s="5">
        <v>7805</v>
      </c>
      <c r="S217" s="5">
        <v>7762</v>
      </c>
      <c r="T217" s="5">
        <v>7721</v>
      </c>
      <c r="U217" s="5"/>
      <c r="V217" s="5"/>
      <c r="X217" s="7">
        <f t="shared" si="79"/>
        <v>5</v>
      </c>
      <c r="AA217" s="24">
        <f t="shared" si="68"/>
        <v>5</v>
      </c>
      <c r="AD217" s="4">
        <f t="shared" si="69"/>
        <v>5</v>
      </c>
      <c r="AG217" s="4">
        <f t="shared" si="70"/>
        <v>5</v>
      </c>
      <c r="AJ217" s="4">
        <f t="shared" si="71"/>
        <v>5</v>
      </c>
      <c r="AM217" s="4">
        <f t="shared" si="72"/>
        <v>5</v>
      </c>
      <c r="AP217" s="4">
        <f t="shared" si="73"/>
        <v>5</v>
      </c>
      <c r="AS217" s="4">
        <f t="shared" si="74"/>
        <v>5</v>
      </c>
      <c r="AV217" s="4">
        <f t="shared" si="75"/>
        <v>5</v>
      </c>
      <c r="AY217" s="4">
        <f t="shared" si="76"/>
        <v>5</v>
      </c>
      <c r="BB217" s="4">
        <f t="shared" si="77"/>
        <v>5</v>
      </c>
      <c r="BE217" s="4">
        <f t="shared" si="78"/>
        <v>5</v>
      </c>
      <c r="BR217" s="5"/>
    </row>
    <row r="218" spans="1:70" x14ac:dyDescent="0.2">
      <c r="A218" s="4" t="s">
        <v>191</v>
      </c>
      <c r="B218" s="4">
        <v>638</v>
      </c>
      <c r="C218" s="4">
        <v>1</v>
      </c>
      <c r="D218" s="4">
        <v>34</v>
      </c>
      <c r="E218" s="284">
        <v>49928</v>
      </c>
      <c r="F218" s="5">
        <v>50144</v>
      </c>
      <c r="G218" s="5">
        <v>50159</v>
      </c>
      <c r="H218" s="5">
        <v>50262</v>
      </c>
      <c r="I218" s="5">
        <v>50380</v>
      </c>
      <c r="J218" s="5">
        <v>50619</v>
      </c>
      <c r="K218" s="5">
        <v>51149</v>
      </c>
      <c r="L218" s="5">
        <v>51232</v>
      </c>
      <c r="M218" s="5">
        <v>51289</v>
      </c>
      <c r="N218" s="5">
        <v>51346</v>
      </c>
      <c r="O218" s="5">
        <v>51486</v>
      </c>
      <c r="P218" s="5">
        <v>51620</v>
      </c>
      <c r="Q218" s="5">
        <v>51740</v>
      </c>
      <c r="R218" s="5">
        <v>51849</v>
      </c>
      <c r="S218" s="5">
        <v>51947</v>
      </c>
      <c r="T218" s="5">
        <v>52037</v>
      </c>
      <c r="U218" s="5"/>
      <c r="V218" s="5"/>
      <c r="X218" s="7">
        <f t="shared" si="79"/>
        <v>2</v>
      </c>
      <c r="AA218" s="24">
        <f t="shared" si="68"/>
        <v>2</v>
      </c>
      <c r="AD218" s="4">
        <f t="shared" si="69"/>
        <v>2</v>
      </c>
      <c r="AG218" s="4">
        <f t="shared" si="70"/>
        <v>2</v>
      </c>
      <c r="AJ218" s="4">
        <f t="shared" si="71"/>
        <v>2</v>
      </c>
      <c r="AM218" s="4">
        <f t="shared" si="72"/>
        <v>2</v>
      </c>
      <c r="AP218" s="4">
        <f t="shared" si="73"/>
        <v>2</v>
      </c>
      <c r="AS218" s="4">
        <f t="shared" si="74"/>
        <v>2</v>
      </c>
      <c r="AV218" s="4">
        <f t="shared" si="75"/>
        <v>2</v>
      </c>
      <c r="AY218" s="4">
        <f t="shared" si="76"/>
        <v>2</v>
      </c>
      <c r="BB218" s="4">
        <f t="shared" si="77"/>
        <v>2</v>
      </c>
      <c r="BE218" s="4">
        <f t="shared" si="78"/>
        <v>2</v>
      </c>
      <c r="BR218" s="5"/>
    </row>
    <row r="219" spans="1:70" x14ac:dyDescent="0.2">
      <c r="A219" s="4" t="s">
        <v>205</v>
      </c>
      <c r="B219" s="4">
        <v>678</v>
      </c>
      <c r="C219" s="4">
        <v>17</v>
      </c>
      <c r="D219" s="4">
        <v>17</v>
      </c>
      <c r="E219" s="284">
        <v>25165</v>
      </c>
      <c r="F219" s="5">
        <v>25010</v>
      </c>
      <c r="G219" s="5">
        <v>25001</v>
      </c>
      <c r="H219" s="5">
        <v>24811</v>
      </c>
      <c r="I219" s="5">
        <v>24679</v>
      </c>
      <c r="J219" s="5">
        <v>24353</v>
      </c>
      <c r="K219" s="5">
        <v>24260</v>
      </c>
      <c r="L219" s="5">
        <v>24073</v>
      </c>
      <c r="M219" s="5">
        <v>23797</v>
      </c>
      <c r="N219" s="5">
        <v>23648</v>
      </c>
      <c r="O219" s="5">
        <v>23462</v>
      </c>
      <c r="P219" s="5">
        <v>23272</v>
      </c>
      <c r="Q219" s="5">
        <v>23080</v>
      </c>
      <c r="R219" s="5">
        <v>22884</v>
      </c>
      <c r="S219" s="5">
        <v>22688</v>
      </c>
      <c r="T219" s="5">
        <v>22491</v>
      </c>
      <c r="U219" s="5"/>
      <c r="V219" s="5"/>
      <c r="X219" s="7">
        <f t="shared" si="79"/>
        <v>3</v>
      </c>
      <c r="AA219" s="24">
        <f t="shared" si="68"/>
        <v>3</v>
      </c>
      <c r="AD219" s="4">
        <f t="shared" si="69"/>
        <v>3</v>
      </c>
      <c r="AG219" s="4">
        <f t="shared" si="70"/>
        <v>3</v>
      </c>
      <c r="AJ219" s="4">
        <f t="shared" si="71"/>
        <v>3</v>
      </c>
      <c r="AM219" s="4">
        <f t="shared" si="72"/>
        <v>3</v>
      </c>
      <c r="AP219" s="4">
        <f t="shared" si="73"/>
        <v>3</v>
      </c>
      <c r="AS219" s="4">
        <f t="shared" si="74"/>
        <v>3</v>
      </c>
      <c r="AV219" s="4">
        <f t="shared" si="75"/>
        <v>3</v>
      </c>
      <c r="AY219" s="4">
        <f t="shared" si="76"/>
        <v>3</v>
      </c>
      <c r="BB219" s="4">
        <f t="shared" si="77"/>
        <v>3</v>
      </c>
      <c r="BE219" s="4">
        <f t="shared" si="78"/>
        <v>3</v>
      </c>
      <c r="BR219" s="5"/>
    </row>
    <row r="220" spans="1:70" x14ac:dyDescent="0.2">
      <c r="A220" s="4" t="s">
        <v>207</v>
      </c>
      <c r="B220" s="4">
        <v>680</v>
      </c>
      <c r="C220" s="4">
        <v>2</v>
      </c>
      <c r="D220" s="4">
        <v>2</v>
      </c>
      <c r="E220" s="284">
        <v>24290</v>
      </c>
      <c r="F220" s="5">
        <v>24283</v>
      </c>
      <c r="G220" s="5">
        <v>24234</v>
      </c>
      <c r="H220" s="5">
        <v>24178</v>
      </c>
      <c r="I220" s="5">
        <v>24056</v>
      </c>
      <c r="J220" s="5">
        <v>24407</v>
      </c>
      <c r="K220" s="5">
        <v>24810</v>
      </c>
      <c r="L220" s="5">
        <v>24942</v>
      </c>
      <c r="M220" s="5">
        <v>25331</v>
      </c>
      <c r="N220" s="5">
        <v>24547</v>
      </c>
      <c r="O220" s="5">
        <v>24594</v>
      </c>
      <c r="P220" s="5">
        <v>24637</v>
      </c>
      <c r="Q220" s="5">
        <v>24679</v>
      </c>
      <c r="R220" s="5">
        <v>24724</v>
      </c>
      <c r="S220" s="5">
        <v>24768</v>
      </c>
      <c r="T220" s="5">
        <v>24809</v>
      </c>
      <c r="U220" s="5"/>
      <c r="V220" s="5"/>
      <c r="X220" s="7">
        <f t="shared" si="79"/>
        <v>3</v>
      </c>
      <c r="AA220" s="24">
        <f t="shared" si="68"/>
        <v>3</v>
      </c>
      <c r="AD220" s="4">
        <f t="shared" si="69"/>
        <v>3</v>
      </c>
      <c r="AG220" s="4">
        <f t="shared" si="70"/>
        <v>3</v>
      </c>
      <c r="AJ220" s="4">
        <f t="shared" si="71"/>
        <v>3</v>
      </c>
      <c r="AM220" s="4">
        <f t="shared" si="72"/>
        <v>3</v>
      </c>
      <c r="AP220" s="4">
        <f t="shared" si="73"/>
        <v>3</v>
      </c>
      <c r="AS220" s="4">
        <f t="shared" si="74"/>
        <v>3</v>
      </c>
      <c r="AV220" s="4">
        <f t="shared" si="75"/>
        <v>3</v>
      </c>
      <c r="AY220" s="4">
        <f t="shared" si="76"/>
        <v>3</v>
      </c>
      <c r="BB220" s="4">
        <f t="shared" si="77"/>
        <v>3</v>
      </c>
      <c r="BE220" s="4">
        <f t="shared" si="78"/>
        <v>3</v>
      </c>
      <c r="BR220" s="5"/>
    </row>
    <row r="221" spans="1:70" x14ac:dyDescent="0.2">
      <c r="A221" s="4" t="s">
        <v>208</v>
      </c>
      <c r="B221" s="4">
        <v>681</v>
      </c>
      <c r="C221" s="4">
        <v>10</v>
      </c>
      <c r="D221" s="4">
        <v>10</v>
      </c>
      <c r="E221" s="284">
        <v>3733</v>
      </c>
      <c r="F221" s="5">
        <v>3649</v>
      </c>
      <c r="G221" s="5">
        <v>3553</v>
      </c>
      <c r="H221" s="5">
        <v>3514</v>
      </c>
      <c r="I221" s="5">
        <v>3431</v>
      </c>
      <c r="J221" s="5">
        <v>3364</v>
      </c>
      <c r="K221" s="5">
        <v>3330</v>
      </c>
      <c r="L221" s="5">
        <v>3308</v>
      </c>
      <c r="M221" s="5">
        <v>3297</v>
      </c>
      <c r="N221" s="5">
        <v>3106</v>
      </c>
      <c r="O221" s="5">
        <v>3052</v>
      </c>
      <c r="P221" s="5">
        <v>3005</v>
      </c>
      <c r="Q221" s="5">
        <v>2959</v>
      </c>
      <c r="R221" s="5">
        <v>2914</v>
      </c>
      <c r="S221" s="5">
        <v>2871</v>
      </c>
      <c r="T221" s="5">
        <v>2829</v>
      </c>
      <c r="U221" s="5"/>
      <c r="V221" s="5"/>
      <c r="X221" s="7">
        <f t="shared" si="79"/>
        <v>6</v>
      </c>
      <c r="AA221" s="24">
        <f t="shared" si="68"/>
        <v>6</v>
      </c>
      <c r="AD221" s="4">
        <f t="shared" si="69"/>
        <v>6</v>
      </c>
      <c r="AG221" s="4">
        <f t="shared" si="70"/>
        <v>6</v>
      </c>
      <c r="AJ221" s="4">
        <f t="shared" si="71"/>
        <v>6</v>
      </c>
      <c r="AM221" s="4">
        <f t="shared" si="72"/>
        <v>6</v>
      </c>
      <c r="AP221" s="4">
        <f t="shared" si="73"/>
        <v>6</v>
      </c>
      <c r="AS221" s="4">
        <f t="shared" si="74"/>
        <v>6</v>
      </c>
      <c r="AV221" s="4">
        <f t="shared" si="75"/>
        <v>6</v>
      </c>
      <c r="AY221" s="4">
        <f t="shared" si="76"/>
        <v>6</v>
      </c>
      <c r="BB221" s="4">
        <f t="shared" si="77"/>
        <v>6</v>
      </c>
      <c r="BE221" s="4">
        <f t="shared" si="78"/>
        <v>6</v>
      </c>
      <c r="BR221" s="5"/>
    </row>
    <row r="222" spans="1:70" x14ac:dyDescent="0.2">
      <c r="A222" s="4" t="s">
        <v>209</v>
      </c>
      <c r="B222" s="4">
        <v>683</v>
      </c>
      <c r="C222" s="4">
        <v>19</v>
      </c>
      <c r="D222" s="4">
        <v>19</v>
      </c>
      <c r="E222" s="284">
        <v>4020</v>
      </c>
      <c r="F222" s="5">
        <v>4023</v>
      </c>
      <c r="G222" s="5">
        <v>3972</v>
      </c>
      <c r="H222" s="5">
        <v>3896</v>
      </c>
      <c r="I222" s="5">
        <v>3783</v>
      </c>
      <c r="J222" s="5">
        <v>3712</v>
      </c>
      <c r="K222" s="5">
        <v>3670</v>
      </c>
      <c r="L222" s="5">
        <v>3618</v>
      </c>
      <c r="M222" s="5">
        <v>3599</v>
      </c>
      <c r="N222" s="5">
        <v>3453</v>
      </c>
      <c r="O222" s="5">
        <v>3394</v>
      </c>
      <c r="P222" s="5">
        <v>3337</v>
      </c>
      <c r="Q222" s="5">
        <v>3284</v>
      </c>
      <c r="R222" s="5">
        <v>3232</v>
      </c>
      <c r="S222" s="5">
        <v>3181</v>
      </c>
      <c r="T222" s="5">
        <v>3135</v>
      </c>
      <c r="U222" s="5"/>
      <c r="V222" s="5"/>
      <c r="X222" s="7">
        <f t="shared" si="79"/>
        <v>6</v>
      </c>
      <c r="AA222" s="24">
        <f t="shared" si="68"/>
        <v>6</v>
      </c>
      <c r="AD222" s="4">
        <f t="shared" si="69"/>
        <v>6</v>
      </c>
      <c r="AG222" s="4">
        <f t="shared" si="70"/>
        <v>6</v>
      </c>
      <c r="AJ222" s="4">
        <f t="shared" si="71"/>
        <v>6</v>
      </c>
      <c r="AM222" s="4">
        <f t="shared" si="72"/>
        <v>6</v>
      </c>
      <c r="AP222" s="4">
        <f t="shared" si="73"/>
        <v>6</v>
      </c>
      <c r="AS222" s="4">
        <f t="shared" si="74"/>
        <v>6</v>
      </c>
      <c r="AV222" s="4">
        <f t="shared" si="75"/>
        <v>6</v>
      </c>
      <c r="AY222" s="4">
        <f t="shared" si="76"/>
        <v>6</v>
      </c>
      <c r="BB222" s="4">
        <f t="shared" si="77"/>
        <v>6</v>
      </c>
      <c r="BE222" s="4">
        <f t="shared" si="78"/>
        <v>6</v>
      </c>
      <c r="BR222" s="5"/>
    </row>
    <row r="223" spans="1:70" x14ac:dyDescent="0.2">
      <c r="A223" s="4" t="s">
        <v>210</v>
      </c>
      <c r="B223" s="4">
        <v>684</v>
      </c>
      <c r="C223" s="4">
        <v>4</v>
      </c>
      <c r="D223" s="4">
        <v>4</v>
      </c>
      <c r="E223" s="284">
        <v>39809</v>
      </c>
      <c r="F223" s="5">
        <v>39614</v>
      </c>
      <c r="G223" s="5">
        <v>39620</v>
      </c>
      <c r="H223" s="5">
        <v>39360</v>
      </c>
      <c r="I223" s="5">
        <v>39205</v>
      </c>
      <c r="J223" s="5">
        <v>39040</v>
      </c>
      <c r="K223" s="5">
        <v>38959</v>
      </c>
      <c r="L223" s="5">
        <v>38667</v>
      </c>
      <c r="M223" s="5">
        <v>38832</v>
      </c>
      <c r="N223" s="5">
        <v>38474</v>
      </c>
      <c r="O223" s="5">
        <v>38311</v>
      </c>
      <c r="P223" s="5">
        <v>38147</v>
      </c>
      <c r="Q223" s="5">
        <v>37981</v>
      </c>
      <c r="R223" s="5">
        <v>37818</v>
      </c>
      <c r="S223" s="5">
        <v>37651</v>
      </c>
      <c r="T223" s="5">
        <v>37478</v>
      </c>
      <c r="U223" s="5"/>
      <c r="V223" s="5"/>
      <c r="X223" s="7">
        <f t="shared" si="79"/>
        <v>3</v>
      </c>
      <c r="AA223" s="24">
        <f t="shared" si="68"/>
        <v>3</v>
      </c>
      <c r="AD223" s="4">
        <f t="shared" si="69"/>
        <v>3</v>
      </c>
      <c r="AG223" s="4">
        <f t="shared" si="70"/>
        <v>3</v>
      </c>
      <c r="AJ223" s="4">
        <f t="shared" si="71"/>
        <v>3</v>
      </c>
      <c r="AM223" s="4">
        <f t="shared" si="72"/>
        <v>3</v>
      </c>
      <c r="AP223" s="4">
        <f t="shared" si="73"/>
        <v>3</v>
      </c>
      <c r="AS223" s="4">
        <f t="shared" si="74"/>
        <v>3</v>
      </c>
      <c r="AV223" s="4">
        <f t="shared" si="75"/>
        <v>3</v>
      </c>
      <c r="AY223" s="4">
        <f t="shared" si="76"/>
        <v>3</v>
      </c>
      <c r="BB223" s="4">
        <f t="shared" si="77"/>
        <v>3</v>
      </c>
      <c r="BE223" s="4">
        <f t="shared" si="78"/>
        <v>3</v>
      </c>
      <c r="BR223" s="5"/>
    </row>
    <row r="224" spans="1:70" x14ac:dyDescent="0.2">
      <c r="A224" s="4" t="s">
        <v>211</v>
      </c>
      <c r="B224" s="4">
        <v>686</v>
      </c>
      <c r="C224" s="4">
        <v>11</v>
      </c>
      <c r="D224" s="4">
        <v>11</v>
      </c>
      <c r="E224" s="284">
        <v>3303</v>
      </c>
      <c r="F224" s="5">
        <v>3288</v>
      </c>
      <c r="G224" s="5">
        <v>3255</v>
      </c>
      <c r="H224" s="5">
        <v>3196</v>
      </c>
      <c r="I224" s="5">
        <v>3121</v>
      </c>
      <c r="J224" s="5">
        <v>3053</v>
      </c>
      <c r="K224" s="5">
        <v>3033</v>
      </c>
      <c r="L224" s="5">
        <v>2964</v>
      </c>
      <c r="M224" s="5">
        <v>2933</v>
      </c>
      <c r="N224" s="5">
        <v>2867</v>
      </c>
      <c r="O224" s="5">
        <v>2820</v>
      </c>
      <c r="P224" s="5">
        <v>2780</v>
      </c>
      <c r="Q224" s="5">
        <v>2742</v>
      </c>
      <c r="R224" s="5">
        <v>2704</v>
      </c>
      <c r="S224" s="5">
        <v>2671</v>
      </c>
      <c r="T224" s="5">
        <v>2639</v>
      </c>
      <c r="U224" s="5"/>
      <c r="V224" s="5"/>
      <c r="X224" s="7">
        <f t="shared" si="79"/>
        <v>6</v>
      </c>
      <c r="AA224" s="24">
        <f t="shared" si="68"/>
        <v>6</v>
      </c>
      <c r="AD224" s="4">
        <f t="shared" si="69"/>
        <v>6</v>
      </c>
      <c r="AG224" s="4">
        <f t="shared" si="70"/>
        <v>6</v>
      </c>
      <c r="AJ224" s="4">
        <f t="shared" si="71"/>
        <v>6</v>
      </c>
      <c r="AM224" s="4">
        <f t="shared" si="72"/>
        <v>6</v>
      </c>
      <c r="AP224" s="4">
        <f t="shared" si="73"/>
        <v>6</v>
      </c>
      <c r="AS224" s="4">
        <f t="shared" si="74"/>
        <v>6</v>
      </c>
      <c r="AV224" s="4">
        <f t="shared" si="75"/>
        <v>6</v>
      </c>
      <c r="AY224" s="4">
        <f t="shared" si="76"/>
        <v>6</v>
      </c>
      <c r="BB224" s="4">
        <f t="shared" si="77"/>
        <v>6</v>
      </c>
      <c r="BE224" s="4">
        <f t="shared" si="78"/>
        <v>6</v>
      </c>
      <c r="BR224" s="5"/>
    </row>
    <row r="225" spans="1:70" x14ac:dyDescent="0.2">
      <c r="A225" s="4" t="s">
        <v>212</v>
      </c>
      <c r="B225" s="4">
        <v>687</v>
      </c>
      <c r="C225" s="4">
        <v>11</v>
      </c>
      <c r="D225" s="4">
        <v>11</v>
      </c>
      <c r="E225" s="284">
        <v>1737</v>
      </c>
      <c r="F225" s="5">
        <v>1723</v>
      </c>
      <c r="G225" s="5">
        <v>1698</v>
      </c>
      <c r="H225" s="5">
        <v>1651</v>
      </c>
      <c r="I225" s="5">
        <v>1602</v>
      </c>
      <c r="J225" s="5">
        <v>1561</v>
      </c>
      <c r="K225" s="5">
        <v>1513</v>
      </c>
      <c r="L225" s="5">
        <v>1477</v>
      </c>
      <c r="M225" s="5">
        <v>1424</v>
      </c>
      <c r="N225" s="5">
        <v>1435</v>
      </c>
      <c r="O225" s="5">
        <v>1408</v>
      </c>
      <c r="P225" s="5">
        <v>1381</v>
      </c>
      <c r="Q225" s="5">
        <v>1355</v>
      </c>
      <c r="R225" s="5">
        <v>1331</v>
      </c>
      <c r="S225" s="5">
        <v>1309</v>
      </c>
      <c r="T225" s="5">
        <v>1287</v>
      </c>
      <c r="U225" s="5"/>
      <c r="V225" s="5"/>
      <c r="X225" s="7">
        <f t="shared" si="79"/>
        <v>7</v>
      </c>
      <c r="AA225" s="24">
        <f t="shared" si="68"/>
        <v>7</v>
      </c>
      <c r="AD225" s="4">
        <f t="shared" si="69"/>
        <v>7</v>
      </c>
      <c r="AG225" s="4">
        <f t="shared" si="70"/>
        <v>7</v>
      </c>
      <c r="AJ225" s="4">
        <f t="shared" si="71"/>
        <v>7</v>
      </c>
      <c r="AM225" s="4">
        <f t="shared" si="72"/>
        <v>7</v>
      </c>
      <c r="AP225" s="4">
        <f t="shared" si="73"/>
        <v>7</v>
      </c>
      <c r="AS225" s="4">
        <f t="shared" si="74"/>
        <v>7</v>
      </c>
      <c r="AV225" s="4">
        <f t="shared" si="75"/>
        <v>7</v>
      </c>
      <c r="AY225" s="4">
        <f t="shared" si="76"/>
        <v>7</v>
      </c>
      <c r="BB225" s="4">
        <f t="shared" si="77"/>
        <v>7</v>
      </c>
      <c r="BE225" s="4">
        <f t="shared" si="78"/>
        <v>7</v>
      </c>
      <c r="BR225" s="5"/>
    </row>
    <row r="226" spans="1:70" x14ac:dyDescent="0.2">
      <c r="A226" s="4" t="s">
        <v>213</v>
      </c>
      <c r="B226" s="4">
        <v>689</v>
      </c>
      <c r="C226" s="4">
        <v>9</v>
      </c>
      <c r="D226" s="4">
        <v>9</v>
      </c>
      <c r="E226" s="284">
        <v>3537</v>
      </c>
      <c r="F226" s="5">
        <v>3473</v>
      </c>
      <c r="G226" s="5">
        <v>3436</v>
      </c>
      <c r="H226" s="5">
        <v>3335</v>
      </c>
      <c r="I226" s="5">
        <v>3226</v>
      </c>
      <c r="J226" s="5">
        <v>3146</v>
      </c>
      <c r="K226" s="5">
        <v>3092</v>
      </c>
      <c r="L226" s="5">
        <v>3093</v>
      </c>
      <c r="M226" s="5">
        <v>3032</v>
      </c>
      <c r="N226" s="5">
        <v>2859</v>
      </c>
      <c r="O226" s="5">
        <v>2799</v>
      </c>
      <c r="P226" s="5">
        <v>2742</v>
      </c>
      <c r="Q226" s="5">
        <v>2689</v>
      </c>
      <c r="R226" s="5">
        <v>2639</v>
      </c>
      <c r="S226" s="5">
        <v>2593</v>
      </c>
      <c r="T226" s="5">
        <v>2548</v>
      </c>
      <c r="U226" s="5"/>
      <c r="V226" s="5"/>
      <c r="X226" s="7">
        <f t="shared" si="79"/>
        <v>6</v>
      </c>
      <c r="AA226" s="24">
        <f t="shared" si="68"/>
        <v>6</v>
      </c>
      <c r="AD226" s="4">
        <f t="shared" si="69"/>
        <v>6</v>
      </c>
      <c r="AG226" s="4">
        <f t="shared" si="70"/>
        <v>6</v>
      </c>
      <c r="AJ226" s="4">
        <f t="shared" si="71"/>
        <v>6</v>
      </c>
      <c r="AM226" s="4">
        <f t="shared" si="72"/>
        <v>6</v>
      </c>
      <c r="AP226" s="4">
        <f t="shared" si="73"/>
        <v>6</v>
      </c>
      <c r="AS226" s="4">
        <f t="shared" si="74"/>
        <v>6</v>
      </c>
      <c r="AV226" s="4">
        <f t="shared" si="75"/>
        <v>6</v>
      </c>
      <c r="AY226" s="4">
        <f t="shared" si="76"/>
        <v>6</v>
      </c>
      <c r="BB226" s="4">
        <f t="shared" si="77"/>
        <v>6</v>
      </c>
      <c r="BE226" s="4">
        <f t="shared" si="78"/>
        <v>6</v>
      </c>
      <c r="BR226" s="5"/>
    </row>
    <row r="227" spans="1:70" x14ac:dyDescent="0.2">
      <c r="A227" s="4" t="s">
        <v>214</v>
      </c>
      <c r="B227" s="4">
        <v>691</v>
      </c>
      <c r="C227" s="4">
        <v>17</v>
      </c>
      <c r="D227" s="4">
        <v>17</v>
      </c>
      <c r="E227" s="284">
        <v>2894</v>
      </c>
      <c r="F227" s="5">
        <v>2854</v>
      </c>
      <c r="G227" s="5">
        <v>2813</v>
      </c>
      <c r="H227" s="5">
        <v>2743</v>
      </c>
      <c r="I227" s="5">
        <v>2718</v>
      </c>
      <c r="J227" s="5">
        <v>2710</v>
      </c>
      <c r="K227" s="5">
        <v>2690</v>
      </c>
      <c r="L227" s="5">
        <v>2636</v>
      </c>
      <c r="M227" s="5">
        <v>2598</v>
      </c>
      <c r="N227" s="5">
        <v>2578</v>
      </c>
      <c r="O227" s="5">
        <v>2546</v>
      </c>
      <c r="P227" s="5">
        <v>2515</v>
      </c>
      <c r="Q227" s="5">
        <v>2486</v>
      </c>
      <c r="R227" s="5">
        <v>2455</v>
      </c>
      <c r="S227" s="5">
        <v>2429</v>
      </c>
      <c r="T227" s="5">
        <v>2401</v>
      </c>
      <c r="U227" s="5"/>
      <c r="V227" s="5"/>
      <c r="X227" s="7">
        <f t="shared" si="79"/>
        <v>6</v>
      </c>
      <c r="AA227" s="24">
        <f t="shared" si="68"/>
        <v>6</v>
      </c>
      <c r="AD227" s="4">
        <f t="shared" si="69"/>
        <v>6</v>
      </c>
      <c r="AG227" s="4">
        <f t="shared" si="70"/>
        <v>6</v>
      </c>
      <c r="AJ227" s="4">
        <f t="shared" si="71"/>
        <v>6</v>
      </c>
      <c r="AM227" s="4">
        <f t="shared" si="72"/>
        <v>6</v>
      </c>
      <c r="AP227" s="4">
        <f t="shared" si="73"/>
        <v>6</v>
      </c>
      <c r="AS227" s="4">
        <f t="shared" si="74"/>
        <v>6</v>
      </c>
      <c r="AV227" s="4">
        <f t="shared" si="75"/>
        <v>6</v>
      </c>
      <c r="AY227" s="4">
        <f t="shared" si="76"/>
        <v>6</v>
      </c>
      <c r="BB227" s="4">
        <f t="shared" si="77"/>
        <v>6</v>
      </c>
      <c r="BE227" s="4">
        <f t="shared" si="78"/>
        <v>6</v>
      </c>
      <c r="BR227" s="5"/>
    </row>
    <row r="228" spans="1:70" x14ac:dyDescent="0.2">
      <c r="A228" s="4" t="s">
        <v>215</v>
      </c>
      <c r="B228" s="4">
        <v>694</v>
      </c>
      <c r="C228" s="4">
        <v>5</v>
      </c>
      <c r="D228" s="4">
        <v>5</v>
      </c>
      <c r="E228" s="284">
        <v>29269</v>
      </c>
      <c r="F228" s="5">
        <v>29160</v>
      </c>
      <c r="G228" s="5">
        <v>29021</v>
      </c>
      <c r="H228" s="5">
        <v>28736</v>
      </c>
      <c r="I228" s="5">
        <v>28793</v>
      </c>
      <c r="J228" s="5">
        <v>28710</v>
      </c>
      <c r="K228" s="5">
        <v>28521</v>
      </c>
      <c r="L228" s="5">
        <v>28349</v>
      </c>
      <c r="M228" s="5">
        <v>28483</v>
      </c>
      <c r="N228" s="5">
        <v>28295</v>
      </c>
      <c r="O228" s="5">
        <v>28203</v>
      </c>
      <c r="P228" s="5">
        <v>28110</v>
      </c>
      <c r="Q228" s="5">
        <v>28017</v>
      </c>
      <c r="R228" s="5">
        <v>27926</v>
      </c>
      <c r="S228" s="5">
        <v>27832</v>
      </c>
      <c r="T228" s="5">
        <v>27742</v>
      </c>
      <c r="U228" s="5"/>
      <c r="V228" s="5"/>
      <c r="X228" s="7">
        <f t="shared" si="79"/>
        <v>3</v>
      </c>
      <c r="AA228" s="24">
        <f t="shared" si="68"/>
        <v>3</v>
      </c>
      <c r="AD228" s="4">
        <f t="shared" si="69"/>
        <v>3</v>
      </c>
      <c r="AG228" s="4">
        <f t="shared" si="70"/>
        <v>3</v>
      </c>
      <c r="AJ228" s="4">
        <f t="shared" si="71"/>
        <v>3</v>
      </c>
      <c r="AM228" s="4">
        <f t="shared" si="72"/>
        <v>3</v>
      </c>
      <c r="AP228" s="4">
        <f t="shared" si="73"/>
        <v>3</v>
      </c>
      <c r="AS228" s="4">
        <f t="shared" si="74"/>
        <v>3</v>
      </c>
      <c r="AV228" s="4">
        <f t="shared" si="75"/>
        <v>3</v>
      </c>
      <c r="AY228" s="4">
        <f t="shared" si="76"/>
        <v>3</v>
      </c>
      <c r="BB228" s="4">
        <f t="shared" si="77"/>
        <v>3</v>
      </c>
      <c r="BE228" s="4">
        <f t="shared" si="78"/>
        <v>3</v>
      </c>
      <c r="BR228" s="5"/>
    </row>
    <row r="229" spans="1:70" x14ac:dyDescent="0.2">
      <c r="A229" s="4" t="s">
        <v>216</v>
      </c>
      <c r="B229" s="4">
        <v>697</v>
      </c>
      <c r="C229" s="4">
        <v>18</v>
      </c>
      <c r="D229" s="4">
        <v>18</v>
      </c>
      <c r="E229" s="284">
        <v>1351</v>
      </c>
      <c r="F229" s="5">
        <v>1345</v>
      </c>
      <c r="G229" s="5">
        <v>1317</v>
      </c>
      <c r="H229" s="5">
        <v>1288</v>
      </c>
      <c r="I229" s="5">
        <v>1272</v>
      </c>
      <c r="J229" s="5">
        <v>1235</v>
      </c>
      <c r="K229" s="5">
        <v>1210</v>
      </c>
      <c r="L229" s="5">
        <v>1174</v>
      </c>
      <c r="M229" s="5">
        <v>1164</v>
      </c>
      <c r="N229" s="5">
        <v>1174</v>
      </c>
      <c r="O229" s="5">
        <v>1166</v>
      </c>
      <c r="P229" s="5">
        <v>1156</v>
      </c>
      <c r="Q229" s="5">
        <v>1145</v>
      </c>
      <c r="R229" s="5">
        <v>1137</v>
      </c>
      <c r="S229" s="5">
        <v>1128</v>
      </c>
      <c r="T229" s="5">
        <v>1119</v>
      </c>
      <c r="U229" s="5"/>
      <c r="V229" s="5"/>
      <c r="X229" s="7">
        <f t="shared" si="79"/>
        <v>7</v>
      </c>
      <c r="AA229" s="24">
        <f t="shared" si="68"/>
        <v>7</v>
      </c>
      <c r="AD229" s="4">
        <f t="shared" si="69"/>
        <v>7</v>
      </c>
      <c r="AG229" s="4">
        <f t="shared" si="70"/>
        <v>7</v>
      </c>
      <c r="AJ229" s="4">
        <f t="shared" si="71"/>
        <v>7</v>
      </c>
      <c r="AM229" s="4">
        <f t="shared" si="72"/>
        <v>7</v>
      </c>
      <c r="AP229" s="4">
        <f t="shared" si="73"/>
        <v>7</v>
      </c>
      <c r="AS229" s="4">
        <f t="shared" si="74"/>
        <v>7</v>
      </c>
      <c r="AV229" s="4">
        <f t="shared" si="75"/>
        <v>7</v>
      </c>
      <c r="AY229" s="4">
        <f t="shared" si="76"/>
        <v>7</v>
      </c>
      <c r="BB229" s="4">
        <f t="shared" si="77"/>
        <v>7</v>
      </c>
      <c r="BE229" s="4">
        <f t="shared" si="78"/>
        <v>7</v>
      </c>
      <c r="BR229" s="5"/>
    </row>
    <row r="230" spans="1:70" x14ac:dyDescent="0.2">
      <c r="A230" s="4" t="s">
        <v>217</v>
      </c>
      <c r="B230" s="4">
        <v>698</v>
      </c>
      <c r="C230" s="4">
        <v>19</v>
      </c>
      <c r="D230" s="4">
        <v>19</v>
      </c>
      <c r="E230" s="284">
        <v>61838</v>
      </c>
      <c r="F230" s="5">
        <v>62231</v>
      </c>
      <c r="G230" s="5">
        <v>62420</v>
      </c>
      <c r="H230" s="5">
        <v>62922</v>
      </c>
      <c r="I230" s="5">
        <v>63042</v>
      </c>
      <c r="J230" s="5">
        <v>63528</v>
      </c>
      <c r="K230" s="5">
        <v>64180</v>
      </c>
      <c r="L230" s="5">
        <v>64535</v>
      </c>
      <c r="M230" s="5">
        <v>65286</v>
      </c>
      <c r="N230" s="5">
        <v>64953</v>
      </c>
      <c r="O230" s="5">
        <v>65253</v>
      </c>
      <c r="P230" s="5">
        <v>65538</v>
      </c>
      <c r="Q230" s="5">
        <v>65802</v>
      </c>
      <c r="R230" s="5">
        <v>66044</v>
      </c>
      <c r="S230" s="5">
        <v>66264</v>
      </c>
      <c r="T230" s="5">
        <v>66467</v>
      </c>
      <c r="U230" s="5"/>
      <c r="V230" s="5"/>
      <c r="X230" s="7">
        <f t="shared" si="79"/>
        <v>2</v>
      </c>
      <c r="AA230" s="24">
        <f t="shared" si="68"/>
        <v>2</v>
      </c>
      <c r="AD230" s="4">
        <f t="shared" si="69"/>
        <v>2</v>
      </c>
      <c r="AG230" s="4">
        <f t="shared" si="70"/>
        <v>2</v>
      </c>
      <c r="AJ230" s="4">
        <f t="shared" si="71"/>
        <v>2</v>
      </c>
      <c r="AM230" s="4">
        <f t="shared" si="72"/>
        <v>2</v>
      </c>
      <c r="AP230" s="4">
        <f t="shared" si="73"/>
        <v>2</v>
      </c>
      <c r="AS230" s="4">
        <f t="shared" si="74"/>
        <v>2</v>
      </c>
      <c r="AV230" s="4">
        <f t="shared" si="75"/>
        <v>2</v>
      </c>
      <c r="AY230" s="4">
        <f t="shared" si="76"/>
        <v>2</v>
      </c>
      <c r="BB230" s="4">
        <f t="shared" si="77"/>
        <v>2</v>
      </c>
      <c r="BE230" s="4">
        <f t="shared" si="78"/>
        <v>2</v>
      </c>
      <c r="BR230" s="5"/>
    </row>
    <row r="231" spans="1:70" x14ac:dyDescent="0.2">
      <c r="A231" s="4" t="s">
        <v>218</v>
      </c>
      <c r="B231" s="4">
        <v>700</v>
      </c>
      <c r="C231" s="4">
        <v>9</v>
      </c>
      <c r="D231" s="4">
        <v>9</v>
      </c>
      <c r="E231" s="284">
        <v>5312</v>
      </c>
      <c r="F231" s="5">
        <v>5245</v>
      </c>
      <c r="G231" s="5">
        <v>5218</v>
      </c>
      <c r="H231" s="5">
        <v>5099</v>
      </c>
      <c r="I231" s="5">
        <v>4994</v>
      </c>
      <c r="J231" s="5">
        <v>4922</v>
      </c>
      <c r="K231" s="5">
        <v>4913</v>
      </c>
      <c r="L231" s="5">
        <v>4842</v>
      </c>
      <c r="M231" s="5">
        <v>4758</v>
      </c>
      <c r="N231" s="5">
        <v>4638</v>
      </c>
      <c r="O231" s="5">
        <v>4574</v>
      </c>
      <c r="P231" s="5">
        <v>4512</v>
      </c>
      <c r="Q231" s="5">
        <v>4451</v>
      </c>
      <c r="R231" s="5">
        <v>4389</v>
      </c>
      <c r="S231" s="5">
        <v>4333</v>
      </c>
      <c r="T231" s="5">
        <v>4277</v>
      </c>
      <c r="U231" s="5"/>
      <c r="V231" s="5"/>
      <c r="X231" s="7">
        <f t="shared" si="79"/>
        <v>6</v>
      </c>
      <c r="AA231" s="24">
        <f t="shared" si="68"/>
        <v>6</v>
      </c>
      <c r="AD231" s="4">
        <f t="shared" si="69"/>
        <v>6</v>
      </c>
      <c r="AG231" s="4">
        <f t="shared" si="70"/>
        <v>6</v>
      </c>
      <c r="AJ231" s="4">
        <f t="shared" si="71"/>
        <v>6</v>
      </c>
      <c r="AM231" s="4">
        <f t="shared" si="72"/>
        <v>6</v>
      </c>
      <c r="AP231" s="4">
        <f t="shared" si="73"/>
        <v>6</v>
      </c>
      <c r="AS231" s="4">
        <f t="shared" si="74"/>
        <v>6</v>
      </c>
      <c r="AV231" s="4">
        <f t="shared" si="75"/>
        <v>6</v>
      </c>
      <c r="AY231" s="4">
        <f t="shared" si="76"/>
        <v>6</v>
      </c>
      <c r="BB231" s="4">
        <f t="shared" si="77"/>
        <v>6</v>
      </c>
      <c r="BE231" s="4">
        <f t="shared" si="78"/>
        <v>6</v>
      </c>
      <c r="BR231" s="5"/>
    </row>
    <row r="232" spans="1:70" x14ac:dyDescent="0.2">
      <c r="A232" s="4" t="s">
        <v>219</v>
      </c>
      <c r="B232" s="4">
        <v>702</v>
      </c>
      <c r="C232" s="4">
        <v>6</v>
      </c>
      <c r="D232" s="4">
        <v>6</v>
      </c>
      <c r="E232" s="284">
        <v>4623</v>
      </c>
      <c r="F232" s="5">
        <v>4565</v>
      </c>
      <c r="G232" s="5">
        <v>4459</v>
      </c>
      <c r="H232" s="5">
        <v>4398</v>
      </c>
      <c r="I232" s="5">
        <v>4283</v>
      </c>
      <c r="J232" s="5">
        <v>4215</v>
      </c>
      <c r="K232" s="5">
        <v>4155</v>
      </c>
      <c r="L232" s="5">
        <v>4114</v>
      </c>
      <c r="M232" s="5">
        <v>4124</v>
      </c>
      <c r="N232" s="5">
        <v>3903</v>
      </c>
      <c r="O232" s="5">
        <v>3842</v>
      </c>
      <c r="P232" s="5">
        <v>3788</v>
      </c>
      <c r="Q232" s="5">
        <v>3738</v>
      </c>
      <c r="R232" s="5">
        <v>3692</v>
      </c>
      <c r="S232" s="5">
        <v>3647</v>
      </c>
      <c r="T232" s="5">
        <v>3606</v>
      </c>
      <c r="U232" s="5"/>
      <c r="V232" s="5"/>
      <c r="X232" s="7">
        <f t="shared" si="79"/>
        <v>6</v>
      </c>
      <c r="AA232" s="24">
        <f t="shared" si="68"/>
        <v>6</v>
      </c>
      <c r="AD232" s="4">
        <f t="shared" si="69"/>
        <v>6</v>
      </c>
      <c r="AG232" s="4">
        <f t="shared" si="70"/>
        <v>6</v>
      </c>
      <c r="AJ232" s="4">
        <f t="shared" si="71"/>
        <v>6</v>
      </c>
      <c r="AM232" s="4">
        <f t="shared" si="72"/>
        <v>6</v>
      </c>
      <c r="AP232" s="4">
        <f t="shared" si="73"/>
        <v>6</v>
      </c>
      <c r="AS232" s="4">
        <f t="shared" si="74"/>
        <v>6</v>
      </c>
      <c r="AV232" s="4">
        <f t="shared" si="75"/>
        <v>6</v>
      </c>
      <c r="AY232" s="4">
        <f t="shared" si="76"/>
        <v>6</v>
      </c>
      <c r="BB232" s="4">
        <f t="shared" si="77"/>
        <v>6</v>
      </c>
      <c r="BE232" s="4">
        <f t="shared" si="78"/>
        <v>6</v>
      </c>
      <c r="BR232" s="5"/>
    </row>
    <row r="233" spans="1:70" x14ac:dyDescent="0.2">
      <c r="A233" s="4" t="s">
        <v>220</v>
      </c>
      <c r="B233" s="4">
        <v>704</v>
      </c>
      <c r="C233" s="4">
        <v>2</v>
      </c>
      <c r="D233" s="4">
        <v>2</v>
      </c>
      <c r="E233" s="284">
        <v>6110</v>
      </c>
      <c r="F233" s="5">
        <v>6137</v>
      </c>
      <c r="G233" s="5">
        <v>6263</v>
      </c>
      <c r="H233" s="5">
        <v>6251</v>
      </c>
      <c r="I233" s="5">
        <v>6327</v>
      </c>
      <c r="J233" s="5">
        <v>6354</v>
      </c>
      <c r="K233" s="5">
        <v>6379</v>
      </c>
      <c r="L233" s="5">
        <v>6428</v>
      </c>
      <c r="M233" s="5">
        <v>6436</v>
      </c>
      <c r="N233" s="5">
        <v>6575</v>
      </c>
      <c r="O233" s="5">
        <v>6635</v>
      </c>
      <c r="P233" s="5">
        <v>6691</v>
      </c>
      <c r="Q233" s="5">
        <v>6747</v>
      </c>
      <c r="R233" s="5">
        <v>6797</v>
      </c>
      <c r="S233" s="5">
        <v>6845</v>
      </c>
      <c r="T233" s="5">
        <v>6885</v>
      </c>
      <c r="U233" s="5"/>
      <c r="V233" s="5"/>
      <c r="X233" s="7">
        <f t="shared" si="79"/>
        <v>5</v>
      </c>
      <c r="AA233" s="24">
        <f t="shared" si="68"/>
        <v>5</v>
      </c>
      <c r="AD233" s="4">
        <f t="shared" si="69"/>
        <v>5</v>
      </c>
      <c r="AG233" s="4">
        <f t="shared" si="70"/>
        <v>5</v>
      </c>
      <c r="AJ233" s="4">
        <f t="shared" si="71"/>
        <v>5</v>
      </c>
      <c r="AM233" s="4">
        <f t="shared" si="72"/>
        <v>5</v>
      </c>
      <c r="AP233" s="4">
        <f t="shared" si="73"/>
        <v>5</v>
      </c>
      <c r="AS233" s="4">
        <f t="shared" si="74"/>
        <v>5</v>
      </c>
      <c r="AV233" s="4">
        <f t="shared" si="75"/>
        <v>5</v>
      </c>
      <c r="AY233" s="4">
        <f t="shared" si="76"/>
        <v>5</v>
      </c>
      <c r="BB233" s="4">
        <f t="shared" si="77"/>
        <v>5</v>
      </c>
      <c r="BE233" s="4">
        <f t="shared" si="78"/>
        <v>5</v>
      </c>
      <c r="BR233" s="5"/>
    </row>
    <row r="234" spans="1:70" x14ac:dyDescent="0.2">
      <c r="A234" s="4" t="s">
        <v>221</v>
      </c>
      <c r="B234" s="4">
        <v>707</v>
      </c>
      <c r="C234" s="4">
        <v>12</v>
      </c>
      <c r="D234" s="4">
        <v>12</v>
      </c>
      <c r="E234" s="284">
        <v>2349</v>
      </c>
      <c r="F234" s="5">
        <v>2268</v>
      </c>
      <c r="G234" s="5">
        <v>2240</v>
      </c>
      <c r="H234" s="5">
        <v>2181</v>
      </c>
      <c r="I234" s="5">
        <v>2126</v>
      </c>
      <c r="J234" s="5">
        <v>2066</v>
      </c>
      <c r="K234" s="5">
        <v>2032</v>
      </c>
      <c r="L234" s="5">
        <v>1960</v>
      </c>
      <c r="M234" s="5">
        <v>1902</v>
      </c>
      <c r="N234" s="5">
        <v>1906</v>
      </c>
      <c r="O234" s="5">
        <v>1876</v>
      </c>
      <c r="P234" s="5">
        <v>1847</v>
      </c>
      <c r="Q234" s="5">
        <v>1819</v>
      </c>
      <c r="R234" s="5">
        <v>1793</v>
      </c>
      <c r="S234" s="5">
        <v>1767</v>
      </c>
      <c r="T234" s="5">
        <v>1743</v>
      </c>
      <c r="U234" s="5"/>
      <c r="V234" s="5"/>
      <c r="X234" s="7">
        <f t="shared" si="79"/>
        <v>6</v>
      </c>
      <c r="AA234" s="24">
        <f t="shared" si="68"/>
        <v>6</v>
      </c>
      <c r="AD234" s="4">
        <f t="shared" si="69"/>
        <v>6</v>
      </c>
      <c r="AG234" s="4">
        <f t="shared" si="70"/>
        <v>7</v>
      </c>
      <c r="AJ234" s="4">
        <f t="shared" si="71"/>
        <v>7</v>
      </c>
      <c r="AM234" s="4">
        <f t="shared" si="72"/>
        <v>7</v>
      </c>
      <c r="AP234" s="4">
        <f t="shared" si="73"/>
        <v>7</v>
      </c>
      <c r="AS234" s="4">
        <f t="shared" si="74"/>
        <v>7</v>
      </c>
      <c r="AV234" s="4">
        <f t="shared" si="75"/>
        <v>7</v>
      </c>
      <c r="AY234" s="4">
        <f t="shared" si="76"/>
        <v>7</v>
      </c>
      <c r="BB234" s="4">
        <f t="shared" si="77"/>
        <v>7</v>
      </c>
      <c r="BE234" s="4">
        <f t="shared" si="78"/>
        <v>7</v>
      </c>
      <c r="BR234" s="5"/>
    </row>
    <row r="235" spans="1:70" x14ac:dyDescent="0.2">
      <c r="A235" s="4" t="s">
        <v>206</v>
      </c>
      <c r="B235" s="4">
        <v>710</v>
      </c>
      <c r="C235" s="4">
        <v>1</v>
      </c>
      <c r="D235" s="4">
        <v>33</v>
      </c>
      <c r="E235" s="284">
        <v>28405</v>
      </c>
      <c r="F235" s="5">
        <v>28077</v>
      </c>
      <c r="G235" s="5">
        <v>27851</v>
      </c>
      <c r="H235" s="5">
        <v>27592</v>
      </c>
      <c r="I235" s="5">
        <v>27536</v>
      </c>
      <c r="J235" s="5">
        <v>27528</v>
      </c>
      <c r="K235" s="5">
        <v>27484</v>
      </c>
      <c r="L235" s="5">
        <v>27306</v>
      </c>
      <c r="M235" s="5">
        <v>27209</v>
      </c>
      <c r="N235" s="5">
        <v>26860</v>
      </c>
      <c r="O235" s="5">
        <v>26709</v>
      </c>
      <c r="P235" s="5">
        <v>26564</v>
      </c>
      <c r="Q235" s="5">
        <v>26427</v>
      </c>
      <c r="R235" s="5">
        <v>26297</v>
      </c>
      <c r="S235" s="5">
        <v>26173</v>
      </c>
      <c r="T235" s="5">
        <v>26057</v>
      </c>
      <c r="U235" s="5"/>
      <c r="V235" s="5"/>
      <c r="X235" s="7">
        <f t="shared" si="79"/>
        <v>3</v>
      </c>
      <c r="AA235" s="24">
        <f t="shared" si="68"/>
        <v>3</v>
      </c>
      <c r="AD235" s="4">
        <f t="shared" si="69"/>
        <v>3</v>
      </c>
      <c r="AG235" s="4">
        <f t="shared" si="70"/>
        <v>3</v>
      </c>
      <c r="AJ235" s="4">
        <f t="shared" si="71"/>
        <v>3</v>
      </c>
      <c r="AM235" s="4">
        <f t="shared" si="72"/>
        <v>3</v>
      </c>
      <c r="AP235" s="4">
        <f t="shared" si="73"/>
        <v>3</v>
      </c>
      <c r="AS235" s="4">
        <f t="shared" si="74"/>
        <v>3</v>
      </c>
      <c r="AV235" s="4">
        <f t="shared" si="75"/>
        <v>3</v>
      </c>
      <c r="AY235" s="4">
        <f t="shared" si="76"/>
        <v>3</v>
      </c>
      <c r="BB235" s="4">
        <f t="shared" si="77"/>
        <v>3</v>
      </c>
      <c r="BE235" s="4">
        <f t="shared" si="78"/>
        <v>3</v>
      </c>
      <c r="BR235" s="5"/>
    </row>
    <row r="236" spans="1:70" x14ac:dyDescent="0.2">
      <c r="A236" s="4" t="s">
        <v>222</v>
      </c>
      <c r="B236" s="4">
        <v>729</v>
      </c>
      <c r="C236" s="4">
        <v>13</v>
      </c>
      <c r="D236" s="4">
        <v>13</v>
      </c>
      <c r="E236" s="284">
        <v>9915</v>
      </c>
      <c r="F236" s="5">
        <v>9690</v>
      </c>
      <c r="G236" s="5">
        <v>9589</v>
      </c>
      <c r="H236" s="5">
        <v>9415</v>
      </c>
      <c r="I236" s="5">
        <v>9309</v>
      </c>
      <c r="J236" s="5">
        <v>9208</v>
      </c>
      <c r="K236" s="5">
        <v>9117</v>
      </c>
      <c r="L236" s="5">
        <v>8975</v>
      </c>
      <c r="M236" s="5">
        <v>8847</v>
      </c>
      <c r="N236" s="5">
        <v>8716</v>
      </c>
      <c r="O236" s="5">
        <v>8602</v>
      </c>
      <c r="P236" s="5">
        <v>8489</v>
      </c>
      <c r="Q236" s="5">
        <v>8382</v>
      </c>
      <c r="R236" s="5">
        <v>8278</v>
      </c>
      <c r="S236" s="5">
        <v>8179</v>
      </c>
      <c r="T236" s="5">
        <v>8084</v>
      </c>
      <c r="U236" s="5"/>
      <c r="V236" s="5"/>
      <c r="X236" s="7">
        <f t="shared" si="79"/>
        <v>5</v>
      </c>
      <c r="AA236" s="24">
        <f t="shared" si="68"/>
        <v>5</v>
      </c>
      <c r="AD236" s="4">
        <f t="shared" si="69"/>
        <v>5</v>
      </c>
      <c r="AG236" s="4">
        <f t="shared" si="70"/>
        <v>5</v>
      </c>
      <c r="AJ236" s="4">
        <f t="shared" si="71"/>
        <v>5</v>
      </c>
      <c r="AM236" s="4">
        <f t="shared" si="72"/>
        <v>5</v>
      </c>
      <c r="AP236" s="4">
        <f t="shared" si="73"/>
        <v>5</v>
      </c>
      <c r="AS236" s="4">
        <f t="shared" si="74"/>
        <v>5</v>
      </c>
      <c r="AV236" s="4">
        <f t="shared" si="75"/>
        <v>5</v>
      </c>
      <c r="AY236" s="4">
        <f t="shared" si="76"/>
        <v>5</v>
      </c>
      <c r="BB236" s="4">
        <f t="shared" si="77"/>
        <v>5</v>
      </c>
      <c r="BE236" s="4">
        <f t="shared" si="78"/>
        <v>5</v>
      </c>
      <c r="BR236" s="5"/>
    </row>
    <row r="237" spans="1:70" x14ac:dyDescent="0.2">
      <c r="A237" s="4" t="s">
        <v>223</v>
      </c>
      <c r="B237" s="4">
        <v>732</v>
      </c>
      <c r="C237" s="4">
        <v>19</v>
      </c>
      <c r="D237" s="4">
        <v>19</v>
      </c>
      <c r="E237" s="284">
        <v>3727</v>
      </c>
      <c r="F237" s="5">
        <v>3653</v>
      </c>
      <c r="G237" s="5">
        <v>3575</v>
      </c>
      <c r="H237" s="5">
        <v>3491</v>
      </c>
      <c r="I237" s="5">
        <v>3400</v>
      </c>
      <c r="J237" s="5">
        <v>3407</v>
      </c>
      <c r="K237" s="5">
        <v>3416</v>
      </c>
      <c r="L237" s="5">
        <v>3336</v>
      </c>
      <c r="M237" s="5">
        <v>3344</v>
      </c>
      <c r="N237" s="5">
        <v>3174</v>
      </c>
      <c r="O237" s="5">
        <v>3127</v>
      </c>
      <c r="P237" s="5">
        <v>3081</v>
      </c>
      <c r="Q237" s="5">
        <v>3038</v>
      </c>
      <c r="R237" s="5">
        <v>2997</v>
      </c>
      <c r="S237" s="5">
        <v>2959</v>
      </c>
      <c r="T237" s="5">
        <v>2925</v>
      </c>
      <c r="U237" s="5"/>
      <c r="V237" s="5"/>
      <c r="X237" s="7">
        <f t="shared" si="79"/>
        <v>6</v>
      </c>
      <c r="AA237" s="24">
        <f t="shared" si="68"/>
        <v>6</v>
      </c>
      <c r="AD237" s="4">
        <f t="shared" si="69"/>
        <v>6</v>
      </c>
      <c r="AG237" s="4">
        <f t="shared" si="70"/>
        <v>6</v>
      </c>
      <c r="AJ237" s="4">
        <f t="shared" si="71"/>
        <v>6</v>
      </c>
      <c r="AM237" s="4">
        <f t="shared" si="72"/>
        <v>6</v>
      </c>
      <c r="AP237" s="4">
        <f t="shared" si="73"/>
        <v>6</v>
      </c>
      <c r="AS237" s="4">
        <f t="shared" si="74"/>
        <v>6</v>
      </c>
      <c r="AV237" s="4">
        <f t="shared" si="75"/>
        <v>6</v>
      </c>
      <c r="AY237" s="4">
        <f t="shared" si="76"/>
        <v>6</v>
      </c>
      <c r="BB237" s="4">
        <f t="shared" si="77"/>
        <v>6</v>
      </c>
      <c r="BE237" s="4">
        <f t="shared" si="78"/>
        <v>6</v>
      </c>
      <c r="BR237" s="5"/>
    </row>
    <row r="238" spans="1:70" x14ac:dyDescent="0.2">
      <c r="A238" s="4" t="s">
        <v>224</v>
      </c>
      <c r="B238" s="4">
        <v>734</v>
      </c>
      <c r="C238" s="4">
        <v>2</v>
      </c>
      <c r="D238" s="4">
        <v>2</v>
      </c>
      <c r="E238" s="284">
        <v>53890</v>
      </c>
      <c r="F238" s="5">
        <v>53546</v>
      </c>
      <c r="G238" s="5">
        <v>52984</v>
      </c>
      <c r="H238" s="5">
        <v>52321</v>
      </c>
      <c r="I238" s="5">
        <v>51833</v>
      </c>
      <c r="J238" s="5">
        <v>51562</v>
      </c>
      <c r="K238" s="5">
        <v>51400</v>
      </c>
      <c r="L238" s="5">
        <v>50933</v>
      </c>
      <c r="M238" s="5">
        <v>51100</v>
      </c>
      <c r="N238" s="5">
        <v>49841</v>
      </c>
      <c r="O238" s="5">
        <v>49444</v>
      </c>
      <c r="P238" s="5">
        <v>49055</v>
      </c>
      <c r="Q238" s="5">
        <v>48681</v>
      </c>
      <c r="R238" s="5">
        <v>48319</v>
      </c>
      <c r="S238" s="5">
        <v>47960</v>
      </c>
      <c r="T238" s="5">
        <v>47619</v>
      </c>
      <c r="U238" s="5"/>
      <c r="V238" s="5"/>
      <c r="X238" s="7">
        <f t="shared" si="79"/>
        <v>2</v>
      </c>
      <c r="AA238" s="24">
        <f t="shared" si="68"/>
        <v>2</v>
      </c>
      <c r="AD238" s="4">
        <f t="shared" si="69"/>
        <v>2</v>
      </c>
      <c r="AG238" s="4">
        <f t="shared" si="70"/>
        <v>2</v>
      </c>
      <c r="AJ238" s="4">
        <f t="shared" si="71"/>
        <v>2</v>
      </c>
      <c r="AM238" s="4">
        <f t="shared" si="72"/>
        <v>2</v>
      </c>
      <c r="AP238" s="4">
        <f t="shared" si="73"/>
        <v>2</v>
      </c>
      <c r="AS238" s="4">
        <f t="shared" si="74"/>
        <v>2</v>
      </c>
      <c r="AV238" s="4">
        <f t="shared" si="75"/>
        <v>2</v>
      </c>
      <c r="AY238" s="4">
        <f t="shared" si="76"/>
        <v>2</v>
      </c>
      <c r="BB238" s="4">
        <f t="shared" si="77"/>
        <v>2</v>
      </c>
      <c r="BE238" s="4">
        <f t="shared" si="78"/>
        <v>2</v>
      </c>
      <c r="BR238" s="5"/>
    </row>
    <row r="239" spans="1:70" x14ac:dyDescent="0.2">
      <c r="A239" s="4" t="s">
        <v>226</v>
      </c>
      <c r="B239" s="4">
        <v>738</v>
      </c>
      <c r="C239" s="4">
        <v>2</v>
      </c>
      <c r="D239" s="4">
        <v>2</v>
      </c>
      <c r="E239" s="284">
        <v>3019</v>
      </c>
      <c r="F239" s="5">
        <v>3047</v>
      </c>
      <c r="G239" s="5">
        <v>3007</v>
      </c>
      <c r="H239" s="5">
        <v>2994</v>
      </c>
      <c r="I239" s="5">
        <v>2945</v>
      </c>
      <c r="J239" s="5">
        <v>2950</v>
      </c>
      <c r="K239" s="5">
        <v>2959</v>
      </c>
      <c r="L239" s="5">
        <v>2917</v>
      </c>
      <c r="M239" s="5">
        <v>2974</v>
      </c>
      <c r="N239" s="5">
        <v>2900</v>
      </c>
      <c r="O239" s="5">
        <v>2894</v>
      </c>
      <c r="P239" s="5">
        <v>2890</v>
      </c>
      <c r="Q239" s="5">
        <v>2881</v>
      </c>
      <c r="R239" s="5">
        <v>2876</v>
      </c>
      <c r="S239" s="5">
        <v>2868</v>
      </c>
      <c r="T239" s="5">
        <v>2861</v>
      </c>
      <c r="U239" s="5"/>
      <c r="V239" s="5"/>
      <c r="X239" s="7">
        <f t="shared" si="79"/>
        <v>6</v>
      </c>
      <c r="AA239" s="24">
        <f t="shared" si="68"/>
        <v>6</v>
      </c>
      <c r="AD239" s="4">
        <f t="shared" si="69"/>
        <v>6</v>
      </c>
      <c r="AG239" s="4">
        <f t="shared" si="70"/>
        <v>6</v>
      </c>
      <c r="AJ239" s="4">
        <f t="shared" si="71"/>
        <v>6</v>
      </c>
      <c r="AM239" s="4">
        <f t="shared" si="72"/>
        <v>6</v>
      </c>
      <c r="AP239" s="4">
        <f t="shared" si="73"/>
        <v>6</v>
      </c>
      <c r="AS239" s="4">
        <f t="shared" si="74"/>
        <v>6</v>
      </c>
      <c r="AV239" s="4">
        <f t="shared" si="75"/>
        <v>6</v>
      </c>
      <c r="AY239" s="4">
        <f t="shared" si="76"/>
        <v>6</v>
      </c>
      <c r="BB239" s="4">
        <f t="shared" si="77"/>
        <v>6</v>
      </c>
      <c r="BE239" s="4">
        <f t="shared" si="78"/>
        <v>6</v>
      </c>
      <c r="BR239" s="5"/>
    </row>
    <row r="240" spans="1:70" x14ac:dyDescent="0.2">
      <c r="A240" s="4" t="s">
        <v>227</v>
      </c>
      <c r="B240" s="4">
        <v>739</v>
      </c>
      <c r="C240" s="4">
        <v>9</v>
      </c>
      <c r="D240" s="4">
        <v>9</v>
      </c>
      <c r="E240" s="284">
        <v>3613</v>
      </c>
      <c r="F240" s="5">
        <v>3534</v>
      </c>
      <c r="G240" s="5">
        <v>3480</v>
      </c>
      <c r="H240" s="5">
        <v>3429</v>
      </c>
      <c r="I240" s="5">
        <v>3383</v>
      </c>
      <c r="J240" s="5">
        <v>3326</v>
      </c>
      <c r="K240" s="5">
        <v>3261</v>
      </c>
      <c r="L240" s="5">
        <v>3256</v>
      </c>
      <c r="M240" s="5">
        <v>3216</v>
      </c>
      <c r="N240" s="5">
        <v>3110</v>
      </c>
      <c r="O240" s="5">
        <v>3063</v>
      </c>
      <c r="P240" s="5">
        <v>3018</v>
      </c>
      <c r="Q240" s="5">
        <v>2975</v>
      </c>
      <c r="R240" s="5">
        <v>2933</v>
      </c>
      <c r="S240" s="5">
        <v>2896</v>
      </c>
      <c r="T240" s="5">
        <v>2858</v>
      </c>
      <c r="U240" s="5"/>
      <c r="V240" s="5"/>
      <c r="X240" s="7">
        <f t="shared" si="79"/>
        <v>6</v>
      </c>
      <c r="AA240" s="24">
        <f t="shared" si="68"/>
        <v>6</v>
      </c>
      <c r="AD240" s="4">
        <f t="shared" si="69"/>
        <v>6</v>
      </c>
      <c r="AG240" s="4">
        <f t="shared" si="70"/>
        <v>6</v>
      </c>
      <c r="AJ240" s="4">
        <f t="shared" si="71"/>
        <v>6</v>
      </c>
      <c r="AM240" s="4">
        <f t="shared" si="72"/>
        <v>6</v>
      </c>
      <c r="AP240" s="4">
        <f t="shared" si="73"/>
        <v>6</v>
      </c>
      <c r="AS240" s="4">
        <f t="shared" si="74"/>
        <v>6</v>
      </c>
      <c r="AV240" s="4">
        <f t="shared" si="75"/>
        <v>6</v>
      </c>
      <c r="AY240" s="4">
        <f t="shared" si="76"/>
        <v>6</v>
      </c>
      <c r="BB240" s="4">
        <f t="shared" si="77"/>
        <v>6</v>
      </c>
      <c r="BE240" s="4">
        <f t="shared" si="78"/>
        <v>6</v>
      </c>
      <c r="BR240" s="5"/>
    </row>
    <row r="241" spans="1:70" x14ac:dyDescent="0.2">
      <c r="A241" s="4" t="s">
        <v>228</v>
      </c>
      <c r="B241" s="4">
        <v>740</v>
      </c>
      <c r="C241" s="4">
        <v>10</v>
      </c>
      <c r="D241" s="4">
        <v>10</v>
      </c>
      <c r="E241" s="284">
        <v>35523</v>
      </c>
      <c r="F241" s="5">
        <v>35242</v>
      </c>
      <c r="G241" s="5">
        <v>34664</v>
      </c>
      <c r="H241" s="5">
        <v>33611</v>
      </c>
      <c r="I241" s="5">
        <v>32974</v>
      </c>
      <c r="J241" s="5">
        <v>32662</v>
      </c>
      <c r="K241" s="5">
        <v>32547</v>
      </c>
      <c r="L241" s="5">
        <v>32085</v>
      </c>
      <c r="M241" s="5">
        <v>31843</v>
      </c>
      <c r="N241" s="5">
        <v>30654</v>
      </c>
      <c r="O241" s="5">
        <v>30207</v>
      </c>
      <c r="P241" s="5">
        <v>29775</v>
      </c>
      <c r="Q241" s="5">
        <v>29358</v>
      </c>
      <c r="R241" s="5">
        <v>28955</v>
      </c>
      <c r="S241" s="5">
        <v>28565</v>
      </c>
      <c r="T241" s="5">
        <v>28185</v>
      </c>
      <c r="U241" s="5"/>
      <c r="V241" s="5"/>
      <c r="X241" s="7">
        <f t="shared" si="79"/>
        <v>3</v>
      </c>
      <c r="AA241" s="24">
        <f t="shared" si="68"/>
        <v>3</v>
      </c>
      <c r="AD241" s="4">
        <f t="shared" si="69"/>
        <v>3</v>
      </c>
      <c r="AG241" s="4">
        <f t="shared" si="70"/>
        <v>3</v>
      </c>
      <c r="AJ241" s="4">
        <f t="shared" si="71"/>
        <v>3</v>
      </c>
      <c r="AM241" s="4">
        <f t="shared" si="72"/>
        <v>3</v>
      </c>
      <c r="AP241" s="4">
        <f t="shared" si="73"/>
        <v>3</v>
      </c>
      <c r="AS241" s="4">
        <f t="shared" si="74"/>
        <v>3</v>
      </c>
      <c r="AV241" s="4">
        <f t="shared" si="75"/>
        <v>3</v>
      </c>
      <c r="AY241" s="4">
        <f t="shared" si="76"/>
        <v>3</v>
      </c>
      <c r="BB241" s="4">
        <f t="shared" si="77"/>
        <v>3</v>
      </c>
      <c r="BE241" s="4">
        <f t="shared" si="78"/>
        <v>3</v>
      </c>
      <c r="BR241" s="5"/>
    </row>
    <row r="242" spans="1:70" x14ac:dyDescent="0.2">
      <c r="A242" s="4" t="s">
        <v>229</v>
      </c>
      <c r="B242" s="4">
        <v>742</v>
      </c>
      <c r="C242" s="4">
        <v>19</v>
      </c>
      <c r="D242" s="4">
        <v>19</v>
      </c>
      <c r="E242" s="284">
        <v>1061</v>
      </c>
      <c r="F242" s="5">
        <v>1044</v>
      </c>
      <c r="G242" s="5">
        <v>1012</v>
      </c>
      <c r="H242" s="5">
        <v>1015</v>
      </c>
      <c r="I242" s="5">
        <v>1005</v>
      </c>
      <c r="J242" s="5">
        <v>1009</v>
      </c>
      <c r="K242" s="5">
        <v>1009</v>
      </c>
      <c r="L242" s="5">
        <v>988</v>
      </c>
      <c r="M242" s="5">
        <v>978</v>
      </c>
      <c r="N242" s="5">
        <v>977</v>
      </c>
      <c r="O242" s="5">
        <v>972</v>
      </c>
      <c r="P242" s="5">
        <v>967</v>
      </c>
      <c r="Q242" s="5">
        <v>964</v>
      </c>
      <c r="R242" s="5">
        <v>960</v>
      </c>
      <c r="S242" s="5">
        <v>954</v>
      </c>
      <c r="T242" s="5">
        <v>949</v>
      </c>
      <c r="U242" s="5"/>
      <c r="V242" s="5"/>
      <c r="X242" s="7">
        <f t="shared" si="79"/>
        <v>7</v>
      </c>
      <c r="AA242" s="24">
        <f t="shared" si="68"/>
        <v>7</v>
      </c>
      <c r="AD242" s="4">
        <f t="shared" si="69"/>
        <v>7</v>
      </c>
      <c r="AG242" s="4">
        <f t="shared" si="70"/>
        <v>7</v>
      </c>
      <c r="AJ242" s="4">
        <f t="shared" si="71"/>
        <v>7</v>
      </c>
      <c r="AM242" s="4">
        <f t="shared" si="72"/>
        <v>7</v>
      </c>
      <c r="AP242" s="4">
        <f t="shared" si="73"/>
        <v>7</v>
      </c>
      <c r="AS242" s="4">
        <f t="shared" si="74"/>
        <v>7</v>
      </c>
      <c r="AV242" s="4">
        <f t="shared" si="75"/>
        <v>7</v>
      </c>
      <c r="AY242" s="4">
        <f t="shared" si="76"/>
        <v>7</v>
      </c>
      <c r="BB242" s="4">
        <f t="shared" si="77"/>
        <v>7</v>
      </c>
      <c r="BE242" s="4">
        <f t="shared" si="78"/>
        <v>7</v>
      </c>
      <c r="BR242" s="5"/>
    </row>
    <row r="243" spans="1:70" x14ac:dyDescent="0.2">
      <c r="A243" s="4" t="s">
        <v>230</v>
      </c>
      <c r="B243" s="4">
        <v>743</v>
      </c>
      <c r="C243" s="4">
        <v>14</v>
      </c>
      <c r="D243" s="4">
        <v>14</v>
      </c>
      <c r="E243" s="284">
        <v>61530</v>
      </c>
      <c r="F243" s="5">
        <v>62052</v>
      </c>
      <c r="G243" s="5">
        <v>62676</v>
      </c>
      <c r="H243" s="5">
        <v>63288</v>
      </c>
      <c r="I243" s="5">
        <v>63781</v>
      </c>
      <c r="J243" s="5">
        <v>64130</v>
      </c>
      <c r="K243" s="5">
        <v>64736</v>
      </c>
      <c r="L243" s="5">
        <v>65323</v>
      </c>
      <c r="M243" s="5">
        <v>66160</v>
      </c>
      <c r="N243" s="5">
        <v>66090</v>
      </c>
      <c r="O243" s="5">
        <v>66485</v>
      </c>
      <c r="P243" s="5">
        <v>66855</v>
      </c>
      <c r="Q243" s="5">
        <v>67202</v>
      </c>
      <c r="R243" s="5">
        <v>67516</v>
      </c>
      <c r="S243" s="5">
        <v>67798</v>
      </c>
      <c r="T243" s="5">
        <v>68050</v>
      </c>
      <c r="U243" s="5"/>
      <c r="V243" s="5"/>
      <c r="X243" s="7">
        <f t="shared" si="79"/>
        <v>2</v>
      </c>
      <c r="AA243" s="24">
        <f t="shared" si="68"/>
        <v>2</v>
      </c>
      <c r="AD243" s="4">
        <f t="shared" si="69"/>
        <v>2</v>
      </c>
      <c r="AG243" s="4">
        <f t="shared" si="70"/>
        <v>2</v>
      </c>
      <c r="AJ243" s="4">
        <f t="shared" si="71"/>
        <v>2</v>
      </c>
      <c r="AM243" s="4">
        <f t="shared" si="72"/>
        <v>2</v>
      </c>
      <c r="AP243" s="4">
        <f t="shared" si="73"/>
        <v>2</v>
      </c>
      <c r="AS243" s="4">
        <f t="shared" si="74"/>
        <v>2</v>
      </c>
      <c r="AV243" s="4">
        <f t="shared" si="75"/>
        <v>2</v>
      </c>
      <c r="AY243" s="4">
        <f t="shared" si="76"/>
        <v>2</v>
      </c>
      <c r="BB243" s="4">
        <f t="shared" si="77"/>
        <v>2</v>
      </c>
      <c r="BE243" s="4">
        <f t="shared" si="78"/>
        <v>2</v>
      </c>
      <c r="BR243" s="5"/>
    </row>
    <row r="244" spans="1:70" x14ac:dyDescent="0.2">
      <c r="A244" s="4" t="s">
        <v>231</v>
      </c>
      <c r="B244" s="4">
        <v>746</v>
      </c>
      <c r="C244" s="4">
        <v>17</v>
      </c>
      <c r="D244" s="4">
        <v>17</v>
      </c>
      <c r="E244" s="284">
        <v>5124</v>
      </c>
      <c r="F244" s="5">
        <v>5069</v>
      </c>
      <c r="G244" s="5">
        <v>5035</v>
      </c>
      <c r="H244" s="5">
        <v>4980</v>
      </c>
      <c r="I244" s="5">
        <v>4910</v>
      </c>
      <c r="J244" s="5">
        <v>4834</v>
      </c>
      <c r="K244" s="5">
        <v>4781</v>
      </c>
      <c r="L244" s="5">
        <v>4735</v>
      </c>
      <c r="M244" s="5">
        <v>4713</v>
      </c>
      <c r="N244" s="5">
        <v>4571</v>
      </c>
      <c r="O244" s="5">
        <v>4502</v>
      </c>
      <c r="P244" s="5">
        <v>4431</v>
      </c>
      <c r="Q244" s="5">
        <v>4364</v>
      </c>
      <c r="R244" s="5">
        <v>4299</v>
      </c>
      <c r="S244" s="5">
        <v>4237</v>
      </c>
      <c r="T244" s="5">
        <v>4178</v>
      </c>
      <c r="U244" s="5"/>
      <c r="V244" s="5"/>
      <c r="X244" s="7">
        <f t="shared" si="79"/>
        <v>6</v>
      </c>
      <c r="AA244" s="24">
        <f t="shared" si="68"/>
        <v>6</v>
      </c>
      <c r="AD244" s="4">
        <f t="shared" si="69"/>
        <v>6</v>
      </c>
      <c r="AG244" s="4">
        <f t="shared" si="70"/>
        <v>6</v>
      </c>
      <c r="AJ244" s="4">
        <f t="shared" si="71"/>
        <v>6</v>
      </c>
      <c r="AM244" s="4">
        <f t="shared" si="72"/>
        <v>6</v>
      </c>
      <c r="AP244" s="4">
        <f t="shared" si="73"/>
        <v>6</v>
      </c>
      <c r="AS244" s="4">
        <f t="shared" si="74"/>
        <v>6</v>
      </c>
      <c r="AV244" s="4">
        <f t="shared" si="75"/>
        <v>6</v>
      </c>
      <c r="AY244" s="4">
        <f t="shared" si="76"/>
        <v>6</v>
      </c>
      <c r="BB244" s="4">
        <f t="shared" si="77"/>
        <v>6</v>
      </c>
      <c r="BE244" s="4">
        <f t="shared" si="78"/>
        <v>6</v>
      </c>
      <c r="BR244" s="5"/>
    </row>
    <row r="245" spans="1:70" x14ac:dyDescent="0.2">
      <c r="A245" s="4" t="s">
        <v>232</v>
      </c>
      <c r="B245" s="4">
        <v>747</v>
      </c>
      <c r="C245" s="4">
        <v>4</v>
      </c>
      <c r="D245" s="4">
        <v>4</v>
      </c>
      <c r="E245" s="284">
        <v>1527</v>
      </c>
      <c r="F245" s="5">
        <v>1494</v>
      </c>
      <c r="G245" s="5">
        <v>1476</v>
      </c>
      <c r="H245" s="5">
        <v>1458</v>
      </c>
      <c r="I245" s="5">
        <v>1437</v>
      </c>
      <c r="J245" s="5">
        <v>1385</v>
      </c>
      <c r="K245" s="5">
        <v>1352</v>
      </c>
      <c r="L245" s="5">
        <v>1308</v>
      </c>
      <c r="M245" s="5">
        <v>1283</v>
      </c>
      <c r="N245" s="5">
        <v>1292</v>
      </c>
      <c r="O245" s="5">
        <v>1275</v>
      </c>
      <c r="P245" s="5">
        <v>1258</v>
      </c>
      <c r="Q245" s="5">
        <v>1243</v>
      </c>
      <c r="R245" s="5">
        <v>1225</v>
      </c>
      <c r="S245" s="5">
        <v>1209</v>
      </c>
      <c r="T245" s="5">
        <v>1192</v>
      </c>
      <c r="U245" s="5"/>
      <c r="V245" s="5"/>
      <c r="X245" s="7">
        <f t="shared" si="79"/>
        <v>7</v>
      </c>
      <c r="AA245" s="24">
        <f t="shared" si="68"/>
        <v>7</v>
      </c>
      <c r="AD245" s="4">
        <f t="shared" si="69"/>
        <v>7</v>
      </c>
      <c r="AG245" s="4">
        <f t="shared" si="70"/>
        <v>7</v>
      </c>
      <c r="AJ245" s="4">
        <f t="shared" si="71"/>
        <v>7</v>
      </c>
      <c r="AM245" s="4">
        <f t="shared" si="72"/>
        <v>7</v>
      </c>
      <c r="AP245" s="4">
        <f t="shared" si="73"/>
        <v>7</v>
      </c>
      <c r="AS245" s="4">
        <f t="shared" si="74"/>
        <v>7</v>
      </c>
      <c r="AV245" s="4">
        <f t="shared" si="75"/>
        <v>7</v>
      </c>
      <c r="AY245" s="4">
        <f t="shared" si="76"/>
        <v>7</v>
      </c>
      <c r="BB245" s="4">
        <f t="shared" si="77"/>
        <v>7</v>
      </c>
      <c r="BE245" s="4">
        <f t="shared" si="78"/>
        <v>7</v>
      </c>
      <c r="BR245" s="5"/>
    </row>
    <row r="246" spans="1:70" x14ac:dyDescent="0.2">
      <c r="A246" s="4" t="s">
        <v>233</v>
      </c>
      <c r="B246" s="4">
        <v>748</v>
      </c>
      <c r="C246" s="4">
        <v>17</v>
      </c>
      <c r="D246" s="4">
        <v>17</v>
      </c>
      <c r="E246" s="284">
        <v>5466</v>
      </c>
      <c r="F246" s="5">
        <v>5366</v>
      </c>
      <c r="G246" s="5">
        <v>5343</v>
      </c>
      <c r="H246" s="5">
        <v>5249</v>
      </c>
      <c r="I246" s="5">
        <v>5145</v>
      </c>
      <c r="J246" s="5">
        <v>5034</v>
      </c>
      <c r="K246" s="5">
        <v>5028</v>
      </c>
      <c r="L246" s="5">
        <v>4897</v>
      </c>
      <c r="M246" s="5">
        <v>4837</v>
      </c>
      <c r="N246" s="5">
        <v>4658</v>
      </c>
      <c r="O246" s="5">
        <v>4574</v>
      </c>
      <c r="P246" s="5">
        <v>4498</v>
      </c>
      <c r="Q246" s="5">
        <v>4425</v>
      </c>
      <c r="R246" s="5">
        <v>4354</v>
      </c>
      <c r="S246" s="5">
        <v>4288</v>
      </c>
      <c r="T246" s="5">
        <v>4223</v>
      </c>
      <c r="U246" s="5"/>
      <c r="V246" s="5"/>
      <c r="X246" s="7">
        <f t="shared" si="79"/>
        <v>5</v>
      </c>
      <c r="AA246" s="24">
        <f t="shared" si="68"/>
        <v>5</v>
      </c>
      <c r="AD246" s="4">
        <f t="shared" si="69"/>
        <v>5</v>
      </c>
      <c r="AG246" s="4">
        <f t="shared" si="70"/>
        <v>6</v>
      </c>
      <c r="AJ246" s="4">
        <f t="shared" si="71"/>
        <v>6</v>
      </c>
      <c r="AM246" s="4">
        <f t="shared" si="72"/>
        <v>6</v>
      </c>
      <c r="AP246" s="4">
        <f t="shared" si="73"/>
        <v>6</v>
      </c>
      <c r="AS246" s="4">
        <f t="shared" si="74"/>
        <v>6</v>
      </c>
      <c r="AV246" s="4">
        <f t="shared" si="75"/>
        <v>6</v>
      </c>
      <c r="AY246" s="4">
        <f t="shared" si="76"/>
        <v>6</v>
      </c>
      <c r="BB246" s="4">
        <f t="shared" si="77"/>
        <v>6</v>
      </c>
      <c r="BE246" s="4">
        <f t="shared" si="78"/>
        <v>6</v>
      </c>
      <c r="BR246" s="5"/>
    </row>
    <row r="247" spans="1:70" x14ac:dyDescent="0.2">
      <c r="A247" s="4" t="s">
        <v>235</v>
      </c>
      <c r="B247" s="4">
        <v>749</v>
      </c>
      <c r="C247" s="4">
        <v>11</v>
      </c>
      <c r="D247" s="4">
        <v>11</v>
      </c>
      <c r="E247" s="284">
        <v>21794</v>
      </c>
      <c r="F247" s="5">
        <v>21768</v>
      </c>
      <c r="G247" s="5">
        <v>21657</v>
      </c>
      <c r="H247" s="5">
        <v>21674</v>
      </c>
      <c r="I247" s="5">
        <v>21423</v>
      </c>
      <c r="J247" s="5">
        <v>21251</v>
      </c>
      <c r="K247" s="5">
        <v>21293</v>
      </c>
      <c r="L247" s="5">
        <v>21232</v>
      </c>
      <c r="M247" s="5">
        <v>21290</v>
      </c>
      <c r="N247" s="5">
        <v>20844</v>
      </c>
      <c r="O247" s="5">
        <v>20741</v>
      </c>
      <c r="P247" s="5">
        <v>20627</v>
      </c>
      <c r="Q247" s="5">
        <v>20508</v>
      </c>
      <c r="R247" s="5">
        <v>20387</v>
      </c>
      <c r="S247" s="5">
        <v>20262</v>
      </c>
      <c r="T247" s="5">
        <v>20136</v>
      </c>
      <c r="U247" s="5"/>
      <c r="V247" s="5"/>
      <c r="X247" s="7">
        <f t="shared" si="79"/>
        <v>3</v>
      </c>
      <c r="AA247" s="24">
        <f t="shared" si="68"/>
        <v>3</v>
      </c>
      <c r="AD247" s="4">
        <f t="shared" si="69"/>
        <v>3</v>
      </c>
      <c r="AG247" s="4">
        <f t="shared" si="70"/>
        <v>3</v>
      </c>
      <c r="AJ247" s="4">
        <f t="shared" si="71"/>
        <v>3</v>
      </c>
      <c r="AM247" s="4">
        <f t="shared" si="72"/>
        <v>3</v>
      </c>
      <c r="AP247" s="4">
        <f t="shared" si="73"/>
        <v>3</v>
      </c>
      <c r="AS247" s="4">
        <f t="shared" si="74"/>
        <v>3</v>
      </c>
      <c r="AV247" s="4">
        <f t="shared" si="75"/>
        <v>3</v>
      </c>
      <c r="AY247" s="4">
        <f t="shared" si="76"/>
        <v>3</v>
      </c>
      <c r="BB247" s="4">
        <f t="shared" si="77"/>
        <v>3</v>
      </c>
      <c r="BE247" s="4">
        <f t="shared" si="78"/>
        <v>3</v>
      </c>
      <c r="BR247" s="5"/>
    </row>
    <row r="248" spans="1:70" x14ac:dyDescent="0.2">
      <c r="A248" s="4" t="s">
        <v>236</v>
      </c>
      <c r="B248" s="4">
        <v>751</v>
      </c>
      <c r="C248" s="4">
        <v>19</v>
      </c>
      <c r="D248" s="4">
        <v>19</v>
      </c>
      <c r="E248" s="284">
        <v>3238</v>
      </c>
      <c r="F248" s="5">
        <v>3170</v>
      </c>
      <c r="G248" s="5">
        <v>3110</v>
      </c>
      <c r="H248" s="5">
        <v>3045</v>
      </c>
      <c r="I248" s="5">
        <v>2988</v>
      </c>
      <c r="J248" s="5">
        <v>2950</v>
      </c>
      <c r="K248" s="5">
        <v>2904</v>
      </c>
      <c r="L248" s="5">
        <v>2877</v>
      </c>
      <c r="M248" s="5">
        <v>2828</v>
      </c>
      <c r="N248" s="5">
        <v>2765</v>
      </c>
      <c r="O248" s="5">
        <v>2720</v>
      </c>
      <c r="P248" s="5">
        <v>2678</v>
      </c>
      <c r="Q248" s="5">
        <v>2641</v>
      </c>
      <c r="R248" s="5">
        <v>2600</v>
      </c>
      <c r="S248" s="5">
        <v>2563</v>
      </c>
      <c r="T248" s="5">
        <v>2526</v>
      </c>
      <c r="U248" s="5"/>
      <c r="V248" s="5"/>
      <c r="X248" s="7">
        <f t="shared" si="79"/>
        <v>6</v>
      </c>
      <c r="AA248" s="24">
        <f t="shared" si="68"/>
        <v>6</v>
      </c>
      <c r="AD248" s="4">
        <f t="shared" si="69"/>
        <v>6</v>
      </c>
      <c r="AG248" s="4">
        <f t="shared" si="70"/>
        <v>6</v>
      </c>
      <c r="AJ248" s="4">
        <f t="shared" si="71"/>
        <v>6</v>
      </c>
      <c r="AM248" s="4">
        <f t="shared" si="72"/>
        <v>6</v>
      </c>
      <c r="AP248" s="4">
        <f t="shared" si="73"/>
        <v>6</v>
      </c>
      <c r="AS248" s="4">
        <f t="shared" si="74"/>
        <v>6</v>
      </c>
      <c r="AV248" s="4">
        <f t="shared" si="75"/>
        <v>6</v>
      </c>
      <c r="AY248" s="4">
        <f t="shared" si="76"/>
        <v>6</v>
      </c>
      <c r="BB248" s="4">
        <f t="shared" si="77"/>
        <v>6</v>
      </c>
      <c r="BE248" s="4">
        <f t="shared" si="78"/>
        <v>6</v>
      </c>
      <c r="BR248" s="5"/>
    </row>
    <row r="249" spans="1:70" x14ac:dyDescent="0.2">
      <c r="A249" s="4" t="s">
        <v>237</v>
      </c>
      <c r="B249" s="4">
        <v>753</v>
      </c>
      <c r="C249" s="4">
        <v>1</v>
      </c>
      <c r="D249" s="4">
        <v>34</v>
      </c>
      <c r="E249" s="284">
        <v>19399</v>
      </c>
      <c r="F249" s="5">
        <v>19922</v>
      </c>
      <c r="G249" s="5">
        <v>20310</v>
      </c>
      <c r="H249" s="5">
        <v>20666</v>
      </c>
      <c r="I249" s="5">
        <v>21170</v>
      </c>
      <c r="J249" s="5">
        <v>21687</v>
      </c>
      <c r="K249" s="5">
        <v>22190</v>
      </c>
      <c r="L249" s="5">
        <v>22320</v>
      </c>
      <c r="M249" s="5">
        <v>22595</v>
      </c>
      <c r="N249" s="5">
        <v>23240</v>
      </c>
      <c r="O249" s="5">
        <v>23604</v>
      </c>
      <c r="P249" s="5">
        <v>23960</v>
      </c>
      <c r="Q249" s="5">
        <v>24302</v>
      </c>
      <c r="R249" s="5">
        <v>24631</v>
      </c>
      <c r="S249" s="5">
        <v>24947</v>
      </c>
      <c r="T249" s="5">
        <v>25253</v>
      </c>
      <c r="U249" s="5"/>
      <c r="V249" s="5"/>
      <c r="X249" s="7">
        <f t="shared" si="79"/>
        <v>3</v>
      </c>
      <c r="AA249" s="24">
        <f t="shared" si="68"/>
        <v>3</v>
      </c>
      <c r="AD249" s="4">
        <f t="shared" si="69"/>
        <v>3</v>
      </c>
      <c r="AG249" s="4">
        <f t="shared" si="70"/>
        <v>3</v>
      </c>
      <c r="AJ249" s="4">
        <f t="shared" si="71"/>
        <v>3</v>
      </c>
      <c r="AM249" s="4">
        <f t="shared" si="72"/>
        <v>3</v>
      </c>
      <c r="AP249" s="4">
        <f t="shared" si="73"/>
        <v>3</v>
      </c>
      <c r="AS249" s="4">
        <f t="shared" si="74"/>
        <v>3</v>
      </c>
      <c r="AV249" s="4">
        <f t="shared" si="75"/>
        <v>3</v>
      </c>
      <c r="AY249" s="4">
        <f t="shared" si="76"/>
        <v>3</v>
      </c>
      <c r="BB249" s="4">
        <f t="shared" si="77"/>
        <v>3</v>
      </c>
      <c r="BE249" s="4">
        <f t="shared" si="78"/>
        <v>3</v>
      </c>
      <c r="BR249" s="5"/>
    </row>
    <row r="250" spans="1:70" x14ac:dyDescent="0.2">
      <c r="A250" s="4" t="s">
        <v>238</v>
      </c>
      <c r="B250" s="4">
        <v>755</v>
      </c>
      <c r="C250" s="4">
        <v>1</v>
      </c>
      <c r="D250" s="4">
        <v>33</v>
      </c>
      <c r="E250" s="284">
        <v>6182</v>
      </c>
      <c r="F250" s="5">
        <v>6178</v>
      </c>
      <c r="G250" s="5">
        <v>6146</v>
      </c>
      <c r="H250" s="5">
        <v>6134</v>
      </c>
      <c r="I250" s="5">
        <v>6145</v>
      </c>
      <c r="J250" s="5">
        <v>6149</v>
      </c>
      <c r="K250" s="5">
        <v>6198</v>
      </c>
      <c r="L250" s="5">
        <v>6217</v>
      </c>
      <c r="M250" s="5">
        <v>6158</v>
      </c>
      <c r="N250" s="5">
        <v>6191</v>
      </c>
      <c r="O250" s="5">
        <v>6200</v>
      </c>
      <c r="P250" s="5">
        <v>6207</v>
      </c>
      <c r="Q250" s="5">
        <v>6212</v>
      </c>
      <c r="R250" s="5">
        <v>6217</v>
      </c>
      <c r="S250" s="5">
        <v>6220</v>
      </c>
      <c r="T250" s="5">
        <v>6228</v>
      </c>
      <c r="U250" s="5"/>
      <c r="V250" s="5"/>
      <c r="X250" s="7">
        <f t="shared" si="79"/>
        <v>5</v>
      </c>
      <c r="AA250" s="24">
        <f t="shared" si="68"/>
        <v>5</v>
      </c>
      <c r="AD250" s="4">
        <f t="shared" si="69"/>
        <v>5</v>
      </c>
      <c r="AG250" s="4">
        <f t="shared" si="70"/>
        <v>5</v>
      </c>
      <c r="AJ250" s="4">
        <f t="shared" si="71"/>
        <v>5</v>
      </c>
      <c r="AM250" s="4">
        <f t="shared" si="72"/>
        <v>5</v>
      </c>
      <c r="AP250" s="4">
        <f t="shared" si="73"/>
        <v>5</v>
      </c>
      <c r="AS250" s="4">
        <f t="shared" si="74"/>
        <v>5</v>
      </c>
      <c r="AV250" s="4">
        <f t="shared" si="75"/>
        <v>5</v>
      </c>
      <c r="AY250" s="4">
        <f t="shared" si="76"/>
        <v>5</v>
      </c>
      <c r="BB250" s="4">
        <f t="shared" si="77"/>
        <v>5</v>
      </c>
      <c r="BE250" s="4">
        <f t="shared" si="78"/>
        <v>5</v>
      </c>
      <c r="BR250" s="5"/>
    </row>
    <row r="251" spans="1:70" x14ac:dyDescent="0.2">
      <c r="A251" s="4" t="s">
        <v>239</v>
      </c>
      <c r="B251" s="4">
        <v>758</v>
      </c>
      <c r="C251" s="4">
        <v>19</v>
      </c>
      <c r="D251" s="4">
        <v>19</v>
      </c>
      <c r="E251" s="284">
        <v>8782</v>
      </c>
      <c r="F251" s="5">
        <v>8653</v>
      </c>
      <c r="G251" s="5">
        <v>8545</v>
      </c>
      <c r="H251" s="5">
        <v>8444</v>
      </c>
      <c r="I251" s="5">
        <v>8303</v>
      </c>
      <c r="J251" s="5">
        <v>8266</v>
      </c>
      <c r="K251" s="5">
        <v>8187</v>
      </c>
      <c r="L251" s="5">
        <v>8134</v>
      </c>
      <c r="M251" s="5">
        <v>8126</v>
      </c>
      <c r="N251" s="5">
        <v>7879</v>
      </c>
      <c r="O251" s="5">
        <v>7798</v>
      </c>
      <c r="P251" s="5">
        <v>7717</v>
      </c>
      <c r="Q251" s="5">
        <v>7635</v>
      </c>
      <c r="R251" s="5">
        <v>7557</v>
      </c>
      <c r="S251" s="5">
        <v>7484</v>
      </c>
      <c r="T251" s="5">
        <v>7409</v>
      </c>
      <c r="U251" s="5"/>
      <c r="V251" s="5"/>
      <c r="X251" s="7">
        <f t="shared" si="79"/>
        <v>5</v>
      </c>
      <c r="AA251" s="24">
        <f t="shared" si="68"/>
        <v>5</v>
      </c>
      <c r="AD251" s="4">
        <f t="shared" si="69"/>
        <v>5</v>
      </c>
      <c r="AG251" s="4">
        <f t="shared" si="70"/>
        <v>5</v>
      </c>
      <c r="AJ251" s="4">
        <f t="shared" si="71"/>
        <v>5</v>
      </c>
      <c r="AM251" s="4">
        <f t="shared" si="72"/>
        <v>5</v>
      </c>
      <c r="AP251" s="4">
        <f t="shared" si="73"/>
        <v>5</v>
      </c>
      <c r="AS251" s="4">
        <f t="shared" si="74"/>
        <v>5</v>
      </c>
      <c r="AV251" s="4">
        <f t="shared" si="75"/>
        <v>5</v>
      </c>
      <c r="AY251" s="4">
        <f t="shared" si="76"/>
        <v>5</v>
      </c>
      <c r="BB251" s="4">
        <f t="shared" si="77"/>
        <v>5</v>
      </c>
      <c r="BE251" s="4">
        <f t="shared" si="78"/>
        <v>5</v>
      </c>
      <c r="BR251" s="5"/>
    </row>
    <row r="252" spans="1:70" x14ac:dyDescent="0.2">
      <c r="A252" s="4" t="s">
        <v>240</v>
      </c>
      <c r="B252" s="4">
        <v>759</v>
      </c>
      <c r="C252" s="4">
        <v>14</v>
      </c>
      <c r="D252" s="4">
        <v>14</v>
      </c>
      <c r="E252" s="284">
        <v>2224</v>
      </c>
      <c r="F252" s="5">
        <v>2186</v>
      </c>
      <c r="G252" s="5">
        <v>2114</v>
      </c>
      <c r="H252" s="5">
        <v>2085</v>
      </c>
      <c r="I252" s="5">
        <v>2052</v>
      </c>
      <c r="J252" s="5">
        <v>2007</v>
      </c>
      <c r="K252" s="5">
        <v>1997</v>
      </c>
      <c r="L252" s="5">
        <v>1942</v>
      </c>
      <c r="M252" s="5">
        <v>1873</v>
      </c>
      <c r="N252" s="5">
        <v>1858</v>
      </c>
      <c r="O252" s="5">
        <v>1828</v>
      </c>
      <c r="P252" s="5">
        <v>1795</v>
      </c>
      <c r="Q252" s="5">
        <v>1766</v>
      </c>
      <c r="R252" s="5">
        <v>1737</v>
      </c>
      <c r="S252" s="5">
        <v>1709</v>
      </c>
      <c r="T252" s="5">
        <v>1679</v>
      </c>
      <c r="U252" s="5"/>
      <c r="V252" s="5"/>
      <c r="X252" s="7">
        <f t="shared" si="79"/>
        <v>6</v>
      </c>
      <c r="AA252" s="24">
        <f t="shared" si="68"/>
        <v>6</v>
      </c>
      <c r="AD252" s="4">
        <f t="shared" si="69"/>
        <v>7</v>
      </c>
      <c r="AG252" s="4">
        <f t="shared" si="70"/>
        <v>7</v>
      </c>
      <c r="AJ252" s="4">
        <f t="shared" si="71"/>
        <v>7</v>
      </c>
      <c r="AM252" s="4">
        <f t="shared" si="72"/>
        <v>7</v>
      </c>
      <c r="AP252" s="4">
        <f t="shared" si="73"/>
        <v>7</v>
      </c>
      <c r="AS252" s="4">
        <f t="shared" si="74"/>
        <v>7</v>
      </c>
      <c r="AV252" s="4">
        <f t="shared" si="75"/>
        <v>7</v>
      </c>
      <c r="AY252" s="4">
        <f t="shared" si="76"/>
        <v>7</v>
      </c>
      <c r="BB252" s="4">
        <f t="shared" si="77"/>
        <v>7</v>
      </c>
      <c r="BE252" s="4">
        <f t="shared" si="78"/>
        <v>7</v>
      </c>
      <c r="BR252" s="5"/>
    </row>
    <row r="253" spans="1:70" x14ac:dyDescent="0.2">
      <c r="A253" s="4" t="s">
        <v>241</v>
      </c>
      <c r="B253" s="4">
        <v>761</v>
      </c>
      <c r="C253" s="4">
        <v>2</v>
      </c>
      <c r="D253" s="4">
        <v>2</v>
      </c>
      <c r="E253" s="284">
        <v>9093</v>
      </c>
      <c r="F253" s="5">
        <v>9027</v>
      </c>
      <c r="G253" s="5">
        <v>8919</v>
      </c>
      <c r="H253" s="5">
        <v>8828</v>
      </c>
      <c r="I253" s="5">
        <v>8711</v>
      </c>
      <c r="J253" s="5">
        <v>8646</v>
      </c>
      <c r="K253" s="5">
        <v>8563</v>
      </c>
      <c r="L253" s="5">
        <v>8426</v>
      </c>
      <c r="M253" s="5">
        <v>8410</v>
      </c>
      <c r="N253" s="5">
        <v>8287</v>
      </c>
      <c r="O253" s="5">
        <v>8212</v>
      </c>
      <c r="P253" s="5">
        <v>8141</v>
      </c>
      <c r="Q253" s="5">
        <v>8074</v>
      </c>
      <c r="R253" s="5">
        <v>8014</v>
      </c>
      <c r="S253" s="5">
        <v>7956</v>
      </c>
      <c r="T253" s="5">
        <v>7898</v>
      </c>
      <c r="U253" s="5"/>
      <c r="V253" s="5"/>
      <c r="X253" s="7">
        <f t="shared" si="79"/>
        <v>5</v>
      </c>
      <c r="AA253" s="24">
        <f t="shared" si="68"/>
        <v>5</v>
      </c>
      <c r="AD253" s="4">
        <f t="shared" si="69"/>
        <v>5</v>
      </c>
      <c r="AG253" s="4">
        <f t="shared" si="70"/>
        <v>5</v>
      </c>
      <c r="AJ253" s="4">
        <f t="shared" si="71"/>
        <v>5</v>
      </c>
      <c r="AM253" s="4">
        <f t="shared" si="72"/>
        <v>5</v>
      </c>
      <c r="AP253" s="4">
        <f t="shared" si="73"/>
        <v>5</v>
      </c>
      <c r="AS253" s="4">
        <f t="shared" si="74"/>
        <v>5</v>
      </c>
      <c r="AV253" s="4">
        <f t="shared" si="75"/>
        <v>5</v>
      </c>
      <c r="AY253" s="4">
        <f t="shared" si="76"/>
        <v>5</v>
      </c>
      <c r="BB253" s="4">
        <f t="shared" si="77"/>
        <v>5</v>
      </c>
      <c r="BE253" s="4">
        <f t="shared" si="78"/>
        <v>5</v>
      </c>
      <c r="BR253" s="5"/>
    </row>
    <row r="254" spans="1:70" x14ac:dyDescent="0.2">
      <c r="A254" s="4" t="s">
        <v>242</v>
      </c>
      <c r="B254" s="4">
        <v>762</v>
      </c>
      <c r="C254" s="4">
        <v>11</v>
      </c>
      <c r="D254" s="4">
        <v>11</v>
      </c>
      <c r="E254" s="284">
        <v>4278</v>
      </c>
      <c r="F254" s="5">
        <v>4199</v>
      </c>
      <c r="G254" s="5">
        <v>4075</v>
      </c>
      <c r="H254" s="5">
        <v>3967</v>
      </c>
      <c r="I254" s="5">
        <v>3897</v>
      </c>
      <c r="J254" s="5">
        <v>3841</v>
      </c>
      <c r="K254" s="5">
        <v>3777</v>
      </c>
      <c r="L254" s="5">
        <v>3672</v>
      </c>
      <c r="M254" s="5">
        <v>3637</v>
      </c>
      <c r="N254" s="5">
        <v>3556</v>
      </c>
      <c r="O254" s="5">
        <v>3497</v>
      </c>
      <c r="P254" s="5">
        <v>3442</v>
      </c>
      <c r="Q254" s="5">
        <v>3391</v>
      </c>
      <c r="R254" s="5">
        <v>3341</v>
      </c>
      <c r="S254" s="5">
        <v>3293</v>
      </c>
      <c r="T254" s="5">
        <v>3248</v>
      </c>
      <c r="U254" s="5"/>
      <c r="V254" s="5"/>
      <c r="X254" s="7">
        <f t="shared" si="79"/>
        <v>6</v>
      </c>
      <c r="AA254" s="24">
        <f t="shared" si="68"/>
        <v>6</v>
      </c>
      <c r="AD254" s="4">
        <f t="shared" si="69"/>
        <v>6</v>
      </c>
      <c r="AG254" s="4">
        <f t="shared" si="70"/>
        <v>6</v>
      </c>
      <c r="AJ254" s="4">
        <f t="shared" si="71"/>
        <v>6</v>
      </c>
      <c r="AM254" s="4">
        <f t="shared" si="72"/>
        <v>6</v>
      </c>
      <c r="AP254" s="4">
        <f t="shared" si="73"/>
        <v>6</v>
      </c>
      <c r="AS254" s="4">
        <f t="shared" si="74"/>
        <v>6</v>
      </c>
      <c r="AV254" s="4">
        <f t="shared" si="75"/>
        <v>6</v>
      </c>
      <c r="AY254" s="4">
        <f t="shared" si="76"/>
        <v>6</v>
      </c>
      <c r="BB254" s="4">
        <f t="shared" si="77"/>
        <v>6</v>
      </c>
      <c r="BE254" s="4">
        <f t="shared" si="78"/>
        <v>6</v>
      </c>
      <c r="BR254" s="5"/>
    </row>
    <row r="255" spans="1:70" x14ac:dyDescent="0.2">
      <c r="A255" s="4" t="s">
        <v>243</v>
      </c>
      <c r="B255" s="4">
        <v>765</v>
      </c>
      <c r="C255" s="4">
        <v>18</v>
      </c>
      <c r="D255" s="4">
        <v>18</v>
      </c>
      <c r="E255" s="284">
        <v>10523</v>
      </c>
      <c r="F255" s="5">
        <v>10471</v>
      </c>
      <c r="G255" s="5">
        <v>10423</v>
      </c>
      <c r="H255" s="5">
        <v>10389</v>
      </c>
      <c r="I255" s="5">
        <v>10336</v>
      </c>
      <c r="J255" s="5">
        <v>10301</v>
      </c>
      <c r="K255" s="5">
        <v>10348</v>
      </c>
      <c r="L255" s="5">
        <v>10354</v>
      </c>
      <c r="M255" s="5">
        <v>10274</v>
      </c>
      <c r="N255" s="5">
        <v>10098</v>
      </c>
      <c r="O255" s="5">
        <v>10047</v>
      </c>
      <c r="P255" s="5">
        <v>9999</v>
      </c>
      <c r="Q255" s="5">
        <v>9949</v>
      </c>
      <c r="R255" s="5">
        <v>9900</v>
      </c>
      <c r="S255" s="5">
        <v>9850</v>
      </c>
      <c r="T255" s="5">
        <v>9798</v>
      </c>
      <c r="U255" s="5"/>
      <c r="V255" s="5"/>
      <c r="X255" s="7">
        <f t="shared" si="79"/>
        <v>4</v>
      </c>
      <c r="AA255" s="24">
        <f t="shared" si="68"/>
        <v>4</v>
      </c>
      <c r="AD255" s="4">
        <f t="shared" si="69"/>
        <v>4</v>
      </c>
      <c r="AG255" s="4">
        <f t="shared" si="70"/>
        <v>4</v>
      </c>
      <c r="AJ255" s="4">
        <f t="shared" si="71"/>
        <v>4</v>
      </c>
      <c r="AM255" s="4">
        <f t="shared" si="72"/>
        <v>4</v>
      </c>
      <c r="AP255" s="4">
        <f t="shared" si="73"/>
        <v>4</v>
      </c>
      <c r="AS255" s="4">
        <f t="shared" si="74"/>
        <v>5</v>
      </c>
      <c r="AV255" s="4">
        <f t="shared" si="75"/>
        <v>5</v>
      </c>
      <c r="AY255" s="4">
        <f t="shared" si="76"/>
        <v>5</v>
      </c>
      <c r="BB255" s="4">
        <f t="shared" si="77"/>
        <v>5</v>
      </c>
      <c r="BE255" s="4">
        <f t="shared" si="78"/>
        <v>5</v>
      </c>
      <c r="BR255" s="5"/>
    </row>
    <row r="256" spans="1:70" x14ac:dyDescent="0.2">
      <c r="A256" s="4" t="s">
        <v>244</v>
      </c>
      <c r="B256" s="4">
        <v>768</v>
      </c>
      <c r="C256" s="4">
        <v>10</v>
      </c>
      <c r="D256" s="4">
        <v>10</v>
      </c>
      <c r="E256" s="284">
        <v>2724</v>
      </c>
      <c r="F256" s="5">
        <v>2661</v>
      </c>
      <c r="G256" s="5">
        <v>2588</v>
      </c>
      <c r="H256" s="5">
        <v>2530</v>
      </c>
      <c r="I256" s="5">
        <v>2492</v>
      </c>
      <c r="J256" s="5">
        <v>2482</v>
      </c>
      <c r="K256" s="5">
        <v>2430</v>
      </c>
      <c r="L256" s="5">
        <v>2375</v>
      </c>
      <c r="M256" s="5">
        <v>2368</v>
      </c>
      <c r="N256" s="5">
        <v>2293</v>
      </c>
      <c r="O256" s="5">
        <v>2254</v>
      </c>
      <c r="P256" s="5">
        <v>2218</v>
      </c>
      <c r="Q256" s="5">
        <v>2185</v>
      </c>
      <c r="R256" s="5">
        <v>2157</v>
      </c>
      <c r="S256" s="5">
        <v>2127</v>
      </c>
      <c r="T256" s="5">
        <v>2097</v>
      </c>
      <c r="U256" s="5"/>
      <c r="V256" s="5"/>
      <c r="X256" s="7">
        <f t="shared" si="79"/>
        <v>6</v>
      </c>
      <c r="AA256" s="24">
        <f t="shared" si="68"/>
        <v>6</v>
      </c>
      <c r="AD256" s="4">
        <f t="shared" si="69"/>
        <v>6</v>
      </c>
      <c r="AG256" s="4">
        <f t="shared" si="70"/>
        <v>6</v>
      </c>
      <c r="AJ256" s="4">
        <f t="shared" si="71"/>
        <v>6</v>
      </c>
      <c r="AM256" s="4">
        <f t="shared" si="72"/>
        <v>6</v>
      </c>
      <c r="AP256" s="4">
        <f t="shared" si="73"/>
        <v>6</v>
      </c>
      <c r="AS256" s="4">
        <f t="shared" si="74"/>
        <v>6</v>
      </c>
      <c r="AV256" s="4">
        <f t="shared" si="75"/>
        <v>6</v>
      </c>
      <c r="AY256" s="4">
        <f t="shared" si="76"/>
        <v>6</v>
      </c>
      <c r="BB256" s="4">
        <f t="shared" si="77"/>
        <v>6</v>
      </c>
      <c r="BE256" s="4">
        <f t="shared" si="78"/>
        <v>6</v>
      </c>
      <c r="BR256" s="5"/>
    </row>
    <row r="257" spans="1:70" x14ac:dyDescent="0.2">
      <c r="A257" s="4" t="s">
        <v>245</v>
      </c>
      <c r="B257" s="4">
        <v>777</v>
      </c>
      <c r="C257" s="4">
        <v>18</v>
      </c>
      <c r="D257" s="4">
        <v>18</v>
      </c>
      <c r="E257" s="284">
        <v>8336</v>
      </c>
      <c r="F257" s="5">
        <v>8187</v>
      </c>
      <c r="G257" s="5">
        <v>8051</v>
      </c>
      <c r="H257" s="5">
        <v>7862</v>
      </c>
      <c r="I257" s="5">
        <v>7727</v>
      </c>
      <c r="J257" s="5">
        <v>7594</v>
      </c>
      <c r="K257" s="5">
        <v>7508</v>
      </c>
      <c r="L257" s="5">
        <v>7367</v>
      </c>
      <c r="M257" s="5">
        <v>7172</v>
      </c>
      <c r="N257" s="5">
        <v>7033</v>
      </c>
      <c r="O257" s="5">
        <v>6909</v>
      </c>
      <c r="P257" s="5">
        <v>6791</v>
      </c>
      <c r="Q257" s="5">
        <v>6678</v>
      </c>
      <c r="R257" s="5">
        <v>6571</v>
      </c>
      <c r="S257" s="5">
        <v>6467</v>
      </c>
      <c r="T257" s="5">
        <v>6365</v>
      </c>
      <c r="U257" s="5"/>
      <c r="V257" s="5"/>
      <c r="X257" s="7">
        <f t="shared" si="79"/>
        <v>5</v>
      </c>
      <c r="AA257" s="24">
        <f t="shared" si="68"/>
        <v>5</v>
      </c>
      <c r="AD257" s="4">
        <f t="shared" si="69"/>
        <v>5</v>
      </c>
      <c r="AG257" s="4">
        <f t="shared" si="70"/>
        <v>5</v>
      </c>
      <c r="AJ257" s="4">
        <f t="shared" si="71"/>
        <v>5</v>
      </c>
      <c r="AM257" s="4">
        <f t="shared" si="72"/>
        <v>5</v>
      </c>
      <c r="AP257" s="4">
        <f t="shared" si="73"/>
        <v>5</v>
      </c>
      <c r="AS257" s="4">
        <f t="shared" si="74"/>
        <v>5</v>
      </c>
      <c r="AV257" s="4">
        <f t="shared" si="75"/>
        <v>5</v>
      </c>
      <c r="AY257" s="4">
        <f t="shared" si="76"/>
        <v>5</v>
      </c>
      <c r="BB257" s="4">
        <f t="shared" si="77"/>
        <v>5</v>
      </c>
      <c r="BE257" s="4">
        <f t="shared" si="78"/>
        <v>5</v>
      </c>
      <c r="BR257" s="5"/>
    </row>
    <row r="258" spans="1:70" x14ac:dyDescent="0.2">
      <c r="A258" s="4" t="s">
        <v>246</v>
      </c>
      <c r="B258" s="4">
        <v>778</v>
      </c>
      <c r="C258" s="4">
        <v>11</v>
      </c>
      <c r="D258" s="4">
        <v>11</v>
      </c>
      <c r="E258" s="284">
        <v>7390</v>
      </c>
      <c r="F258" s="5">
        <v>7312</v>
      </c>
      <c r="G258" s="5">
        <v>7266</v>
      </c>
      <c r="H258" s="5">
        <v>7145</v>
      </c>
      <c r="I258" s="5">
        <v>7064</v>
      </c>
      <c r="J258" s="5">
        <v>6931</v>
      </c>
      <c r="K258" s="5">
        <v>6891</v>
      </c>
      <c r="L258" s="5">
        <v>6763</v>
      </c>
      <c r="M258" s="5">
        <v>6708</v>
      </c>
      <c r="N258" s="5">
        <v>6564</v>
      </c>
      <c r="O258" s="5">
        <v>6488</v>
      </c>
      <c r="P258" s="5">
        <v>6416</v>
      </c>
      <c r="Q258" s="5">
        <v>6349</v>
      </c>
      <c r="R258" s="5">
        <v>6281</v>
      </c>
      <c r="S258" s="5">
        <v>6217</v>
      </c>
      <c r="T258" s="5">
        <v>6158</v>
      </c>
      <c r="U258" s="5"/>
      <c r="V258" s="5"/>
      <c r="X258" s="7">
        <f t="shared" si="79"/>
        <v>5</v>
      </c>
      <c r="AA258" s="24">
        <f t="shared" si="68"/>
        <v>5</v>
      </c>
      <c r="AD258" s="4">
        <f t="shared" si="69"/>
        <v>5</v>
      </c>
      <c r="AG258" s="4">
        <f t="shared" si="70"/>
        <v>5</v>
      </c>
      <c r="AJ258" s="4">
        <f t="shared" si="71"/>
        <v>5</v>
      </c>
      <c r="AM258" s="4">
        <f t="shared" si="72"/>
        <v>5</v>
      </c>
      <c r="AP258" s="4">
        <f t="shared" si="73"/>
        <v>5</v>
      </c>
      <c r="AS258" s="4">
        <f t="shared" si="74"/>
        <v>5</v>
      </c>
      <c r="AV258" s="4">
        <f t="shared" si="75"/>
        <v>5</v>
      </c>
      <c r="AY258" s="4">
        <f t="shared" si="76"/>
        <v>5</v>
      </c>
      <c r="BB258" s="4">
        <f t="shared" si="77"/>
        <v>5</v>
      </c>
      <c r="BE258" s="4">
        <f t="shared" si="78"/>
        <v>5</v>
      </c>
      <c r="BR258" s="5"/>
    </row>
    <row r="259" spans="1:70" x14ac:dyDescent="0.2">
      <c r="A259" s="4" t="s">
        <v>247</v>
      </c>
      <c r="B259" s="4">
        <v>781</v>
      </c>
      <c r="C259" s="4">
        <v>7</v>
      </c>
      <c r="D259" s="4">
        <v>7</v>
      </c>
      <c r="E259" s="284">
        <v>4040</v>
      </c>
      <c r="F259" s="5">
        <v>3953</v>
      </c>
      <c r="G259" s="5">
        <v>3859</v>
      </c>
      <c r="H259" s="5">
        <v>3753</v>
      </c>
      <c r="I259" s="5">
        <v>3657</v>
      </c>
      <c r="J259" s="5">
        <v>3631</v>
      </c>
      <c r="K259" s="5">
        <v>3584</v>
      </c>
      <c r="L259" s="5">
        <v>3504</v>
      </c>
      <c r="M259" s="5">
        <v>3496</v>
      </c>
      <c r="N259" s="5">
        <v>3331</v>
      </c>
      <c r="O259" s="5">
        <v>3270</v>
      </c>
      <c r="P259" s="5">
        <v>3218</v>
      </c>
      <c r="Q259" s="5">
        <v>3169</v>
      </c>
      <c r="R259" s="5">
        <v>3124</v>
      </c>
      <c r="S259" s="5">
        <v>3081</v>
      </c>
      <c r="T259" s="5">
        <v>3040</v>
      </c>
      <c r="U259" s="5"/>
      <c r="V259" s="5"/>
      <c r="X259" s="7">
        <f t="shared" si="79"/>
        <v>6</v>
      </c>
      <c r="AA259" s="24">
        <f t="shared" si="68"/>
        <v>6</v>
      </c>
      <c r="AD259" s="4">
        <f t="shared" si="69"/>
        <v>6</v>
      </c>
      <c r="AG259" s="4">
        <f t="shared" si="70"/>
        <v>6</v>
      </c>
      <c r="AJ259" s="4">
        <f t="shared" si="71"/>
        <v>6</v>
      </c>
      <c r="AM259" s="4">
        <f t="shared" si="72"/>
        <v>6</v>
      </c>
      <c r="AP259" s="4">
        <f t="shared" si="73"/>
        <v>6</v>
      </c>
      <c r="AS259" s="4">
        <f t="shared" si="74"/>
        <v>6</v>
      </c>
      <c r="AV259" s="4">
        <f t="shared" si="75"/>
        <v>6</v>
      </c>
      <c r="AY259" s="4">
        <f t="shared" si="76"/>
        <v>6</v>
      </c>
      <c r="BB259" s="4">
        <f t="shared" si="77"/>
        <v>6</v>
      </c>
      <c r="BE259" s="4">
        <f t="shared" si="78"/>
        <v>6</v>
      </c>
      <c r="BR259" s="5"/>
    </row>
    <row r="260" spans="1:70" x14ac:dyDescent="0.2">
      <c r="A260" s="4" t="s">
        <v>248</v>
      </c>
      <c r="B260" s="4">
        <v>783</v>
      </c>
      <c r="C260" s="4">
        <v>4</v>
      </c>
      <c r="D260" s="4">
        <v>4</v>
      </c>
      <c r="E260" s="284">
        <v>7070</v>
      </c>
      <c r="F260" s="5">
        <v>6988</v>
      </c>
      <c r="G260" s="5">
        <v>6903</v>
      </c>
      <c r="H260" s="5">
        <v>6811</v>
      </c>
      <c r="I260" s="5">
        <v>6721</v>
      </c>
      <c r="J260" s="5">
        <v>6646</v>
      </c>
      <c r="K260" s="5">
        <v>6588</v>
      </c>
      <c r="L260" s="5">
        <v>6419</v>
      </c>
      <c r="M260" s="5">
        <v>6377</v>
      </c>
      <c r="N260" s="5">
        <v>6326</v>
      </c>
      <c r="O260" s="5">
        <v>6256</v>
      </c>
      <c r="P260" s="5">
        <v>6185</v>
      </c>
      <c r="Q260" s="5">
        <v>6118</v>
      </c>
      <c r="R260" s="5">
        <v>6052</v>
      </c>
      <c r="S260" s="5">
        <v>5988</v>
      </c>
      <c r="T260" s="5">
        <v>5927</v>
      </c>
      <c r="U260" s="5"/>
      <c r="V260" s="5"/>
      <c r="X260" s="7">
        <f t="shared" si="79"/>
        <v>5</v>
      </c>
      <c r="AA260" s="24">
        <f t="shared" si="68"/>
        <v>5</v>
      </c>
      <c r="AD260" s="4">
        <f t="shared" si="69"/>
        <v>5</v>
      </c>
      <c r="AG260" s="4">
        <f t="shared" si="70"/>
        <v>5</v>
      </c>
      <c r="AJ260" s="4">
        <f t="shared" si="71"/>
        <v>5</v>
      </c>
      <c r="AM260" s="4">
        <f t="shared" si="72"/>
        <v>5</v>
      </c>
      <c r="AP260" s="4">
        <f t="shared" si="73"/>
        <v>5</v>
      </c>
      <c r="AS260" s="4">
        <f t="shared" si="74"/>
        <v>5</v>
      </c>
      <c r="AV260" s="4">
        <f t="shared" si="75"/>
        <v>5</v>
      </c>
      <c r="AY260" s="4">
        <f t="shared" si="76"/>
        <v>5</v>
      </c>
      <c r="BB260" s="4">
        <f t="shared" si="77"/>
        <v>5</v>
      </c>
      <c r="BE260" s="4">
        <f t="shared" si="78"/>
        <v>5</v>
      </c>
      <c r="BR260" s="5"/>
    </row>
    <row r="261" spans="1:70" x14ac:dyDescent="0.2">
      <c r="A261" s="4" t="s">
        <v>272</v>
      </c>
      <c r="B261" s="4">
        <v>785</v>
      </c>
      <c r="C261" s="4">
        <v>17</v>
      </c>
      <c r="D261" s="4">
        <v>17</v>
      </c>
      <c r="E261" s="284">
        <v>3074</v>
      </c>
      <c r="F261" s="5">
        <v>3040</v>
      </c>
      <c r="G261" s="5">
        <v>2941</v>
      </c>
      <c r="H261" s="5">
        <v>2869</v>
      </c>
      <c r="I261" s="5">
        <v>2792</v>
      </c>
      <c r="J261" s="5">
        <v>2737</v>
      </c>
      <c r="K261" s="5">
        <v>2673</v>
      </c>
      <c r="L261" s="5">
        <v>2626</v>
      </c>
      <c r="M261" s="5">
        <v>2589</v>
      </c>
      <c r="N261" s="5">
        <v>2494</v>
      </c>
      <c r="O261" s="5">
        <v>2447</v>
      </c>
      <c r="P261" s="5">
        <v>2403</v>
      </c>
      <c r="Q261" s="5">
        <v>2362</v>
      </c>
      <c r="R261" s="5">
        <v>2325</v>
      </c>
      <c r="S261" s="5">
        <v>2290</v>
      </c>
      <c r="T261" s="5">
        <v>2257</v>
      </c>
      <c r="U261" s="5"/>
      <c r="V261" s="5"/>
      <c r="X261" s="7">
        <f t="shared" si="79"/>
        <v>6</v>
      </c>
      <c r="AA261" s="24">
        <f t="shared" si="68"/>
        <v>6</v>
      </c>
      <c r="AD261" s="4">
        <f t="shared" si="69"/>
        <v>6</v>
      </c>
      <c r="AG261" s="4">
        <f t="shared" si="70"/>
        <v>6</v>
      </c>
      <c r="AJ261" s="4">
        <f t="shared" si="71"/>
        <v>6</v>
      </c>
      <c r="AM261" s="4">
        <f t="shared" si="72"/>
        <v>6</v>
      </c>
      <c r="AP261" s="4">
        <f t="shared" si="73"/>
        <v>6</v>
      </c>
      <c r="AS261" s="4">
        <f t="shared" si="74"/>
        <v>6</v>
      </c>
      <c r="AV261" s="4">
        <f t="shared" si="75"/>
        <v>6</v>
      </c>
      <c r="AY261" s="4">
        <f t="shared" si="76"/>
        <v>6</v>
      </c>
      <c r="BB261" s="4">
        <f t="shared" si="77"/>
        <v>6</v>
      </c>
      <c r="BE261" s="4">
        <f t="shared" si="78"/>
        <v>6</v>
      </c>
      <c r="BR261" s="5"/>
    </row>
    <row r="262" spans="1:70" x14ac:dyDescent="0.2">
      <c r="A262" s="4" t="s">
        <v>225</v>
      </c>
      <c r="B262" s="4">
        <v>790</v>
      </c>
      <c r="C262" s="4">
        <v>6</v>
      </c>
      <c r="D262" s="4">
        <v>6</v>
      </c>
      <c r="E262" s="284">
        <v>25220</v>
      </c>
      <c r="F262" s="5">
        <v>25062</v>
      </c>
      <c r="G262" s="5">
        <v>24820</v>
      </c>
      <c r="H262" s="5">
        <v>24651</v>
      </c>
      <c r="I262" s="5">
        <v>24277</v>
      </c>
      <c r="J262" s="5">
        <v>24052</v>
      </c>
      <c r="K262" s="5">
        <v>23998</v>
      </c>
      <c r="L262" s="5">
        <v>23734</v>
      </c>
      <c r="M262" s="5">
        <v>23515</v>
      </c>
      <c r="N262" s="5">
        <v>23000</v>
      </c>
      <c r="O262" s="5">
        <v>22771</v>
      </c>
      <c r="P262" s="5">
        <v>22558</v>
      </c>
      <c r="Q262" s="5">
        <v>22351</v>
      </c>
      <c r="R262" s="5">
        <v>22152</v>
      </c>
      <c r="S262" s="5">
        <v>21967</v>
      </c>
      <c r="T262" s="5">
        <v>21791</v>
      </c>
      <c r="U262" s="5"/>
      <c r="V262" s="5"/>
      <c r="X262" s="7">
        <f t="shared" si="79"/>
        <v>3</v>
      </c>
      <c r="AA262" s="24">
        <f t="shared" si="68"/>
        <v>3</v>
      </c>
      <c r="AD262" s="4">
        <f t="shared" si="69"/>
        <v>3</v>
      </c>
      <c r="AG262" s="4">
        <f t="shared" si="70"/>
        <v>3</v>
      </c>
      <c r="AJ262" s="4">
        <f t="shared" si="71"/>
        <v>3</v>
      </c>
      <c r="AM262" s="4">
        <f t="shared" si="72"/>
        <v>3</v>
      </c>
      <c r="AP262" s="4">
        <f t="shared" si="73"/>
        <v>3</v>
      </c>
      <c r="AS262" s="4">
        <f t="shared" si="74"/>
        <v>3</v>
      </c>
      <c r="AV262" s="4">
        <f t="shared" si="75"/>
        <v>3</v>
      </c>
      <c r="AY262" s="4">
        <f t="shared" si="76"/>
        <v>3</v>
      </c>
      <c r="BB262" s="4">
        <f t="shared" si="77"/>
        <v>3</v>
      </c>
      <c r="BE262" s="4">
        <f t="shared" si="78"/>
        <v>3</v>
      </c>
      <c r="BR262" s="5"/>
    </row>
    <row r="263" spans="1:70" x14ac:dyDescent="0.2">
      <c r="A263" s="4" t="s">
        <v>234</v>
      </c>
      <c r="B263" s="4">
        <v>791</v>
      </c>
      <c r="C263" s="4">
        <v>17</v>
      </c>
      <c r="D263" s="4">
        <v>17</v>
      </c>
      <c r="E263" s="284">
        <v>5677</v>
      </c>
      <c r="F263" s="5">
        <v>5583</v>
      </c>
      <c r="G263" s="5">
        <v>5447</v>
      </c>
      <c r="H263" s="5">
        <v>5301</v>
      </c>
      <c r="I263" s="5">
        <v>5231</v>
      </c>
      <c r="J263" s="5">
        <v>5203</v>
      </c>
      <c r="K263" s="5">
        <v>5131</v>
      </c>
      <c r="L263" s="5">
        <v>5029</v>
      </c>
      <c r="M263" s="5">
        <v>4931</v>
      </c>
      <c r="N263" s="5">
        <v>4837</v>
      </c>
      <c r="O263" s="5">
        <v>4757</v>
      </c>
      <c r="P263" s="5">
        <v>4679</v>
      </c>
      <c r="Q263" s="5">
        <v>4606</v>
      </c>
      <c r="R263" s="5">
        <v>4537</v>
      </c>
      <c r="S263" s="5">
        <v>4470</v>
      </c>
      <c r="T263" s="5">
        <v>4408</v>
      </c>
      <c r="U263" s="5"/>
      <c r="V263" s="5"/>
      <c r="X263" s="7">
        <f t="shared" si="79"/>
        <v>5</v>
      </c>
      <c r="AA263" s="24">
        <f t="shared" si="68"/>
        <v>5</v>
      </c>
      <c r="AD263" s="4">
        <f t="shared" si="69"/>
        <v>5</v>
      </c>
      <c r="AG263" s="4">
        <f t="shared" si="70"/>
        <v>5</v>
      </c>
      <c r="AJ263" s="4">
        <f t="shared" si="71"/>
        <v>6</v>
      </c>
      <c r="AM263" s="4">
        <f t="shared" si="72"/>
        <v>6</v>
      </c>
      <c r="AP263" s="4">
        <f t="shared" si="73"/>
        <v>6</v>
      </c>
      <c r="AS263" s="4">
        <f t="shared" si="74"/>
        <v>6</v>
      </c>
      <c r="AV263" s="4">
        <f t="shared" si="75"/>
        <v>6</v>
      </c>
      <c r="AY263" s="4">
        <f t="shared" si="76"/>
        <v>6</v>
      </c>
      <c r="BB263" s="4">
        <f t="shared" si="77"/>
        <v>6</v>
      </c>
      <c r="BE263" s="4">
        <f t="shared" si="78"/>
        <v>6</v>
      </c>
      <c r="BR263" s="5"/>
    </row>
    <row r="264" spans="1:70" x14ac:dyDescent="0.2">
      <c r="A264" s="4" t="s">
        <v>249</v>
      </c>
      <c r="B264" s="4">
        <v>831</v>
      </c>
      <c r="C264" s="4">
        <v>9</v>
      </c>
      <c r="D264" s="4">
        <v>9</v>
      </c>
      <c r="E264" s="284">
        <v>4815</v>
      </c>
      <c r="F264" s="5">
        <v>4832</v>
      </c>
      <c r="G264" s="5">
        <v>4774</v>
      </c>
      <c r="H264" s="5">
        <v>4715</v>
      </c>
      <c r="I264" s="5">
        <v>4671</v>
      </c>
      <c r="J264" s="5">
        <v>4628</v>
      </c>
      <c r="K264" s="5">
        <v>4595</v>
      </c>
      <c r="L264" s="5">
        <v>4559</v>
      </c>
      <c r="M264" s="5">
        <v>4625</v>
      </c>
      <c r="N264" s="5">
        <v>4501</v>
      </c>
      <c r="O264" s="5">
        <v>4469</v>
      </c>
      <c r="P264" s="5">
        <v>4436</v>
      </c>
      <c r="Q264" s="5">
        <v>4406</v>
      </c>
      <c r="R264" s="5">
        <v>4375</v>
      </c>
      <c r="S264" s="5">
        <v>4344</v>
      </c>
      <c r="T264" s="5">
        <v>4316</v>
      </c>
      <c r="U264" s="5"/>
      <c r="V264" s="5"/>
      <c r="X264" s="7">
        <f t="shared" si="79"/>
        <v>6</v>
      </c>
      <c r="AA264" s="24">
        <f t="shared" si="68"/>
        <v>6</v>
      </c>
      <c r="AD264" s="4">
        <f t="shared" si="69"/>
        <v>6</v>
      </c>
      <c r="AG264" s="4">
        <f t="shared" si="70"/>
        <v>6</v>
      </c>
      <c r="AJ264" s="4">
        <f t="shared" si="71"/>
        <v>6</v>
      </c>
      <c r="AM264" s="4">
        <f t="shared" si="72"/>
        <v>6</v>
      </c>
      <c r="AP264" s="4">
        <f t="shared" si="73"/>
        <v>6</v>
      </c>
      <c r="AS264" s="4">
        <f t="shared" si="74"/>
        <v>6</v>
      </c>
      <c r="AV264" s="4">
        <f t="shared" si="75"/>
        <v>6</v>
      </c>
      <c r="AY264" s="4">
        <f t="shared" si="76"/>
        <v>6</v>
      </c>
      <c r="BB264" s="4">
        <f t="shared" si="77"/>
        <v>6</v>
      </c>
      <c r="BE264" s="4">
        <f t="shared" si="78"/>
        <v>6</v>
      </c>
      <c r="BR264" s="5"/>
    </row>
    <row r="265" spans="1:70" x14ac:dyDescent="0.2">
      <c r="A265" s="4" t="s">
        <v>250</v>
      </c>
      <c r="B265" s="4">
        <v>832</v>
      </c>
      <c r="C265" s="4">
        <v>17</v>
      </c>
      <c r="D265" s="4">
        <v>17</v>
      </c>
      <c r="E265" s="284">
        <v>4199</v>
      </c>
      <c r="F265" s="5">
        <v>4133</v>
      </c>
      <c r="G265" s="5">
        <v>4058</v>
      </c>
      <c r="H265" s="5">
        <v>4024</v>
      </c>
      <c r="I265" s="5">
        <v>3976</v>
      </c>
      <c r="J265" s="5">
        <v>3916</v>
      </c>
      <c r="K265" s="5">
        <v>3913</v>
      </c>
      <c r="L265" s="5">
        <v>3825</v>
      </c>
      <c r="M265" s="5">
        <v>3731</v>
      </c>
      <c r="N265" s="5">
        <v>3683</v>
      </c>
      <c r="O265" s="5">
        <v>3630</v>
      </c>
      <c r="P265" s="5">
        <v>3578</v>
      </c>
      <c r="Q265" s="5">
        <v>3527</v>
      </c>
      <c r="R265" s="5">
        <v>3476</v>
      </c>
      <c r="S265" s="5">
        <v>3428</v>
      </c>
      <c r="T265" s="5">
        <v>3380</v>
      </c>
      <c r="U265" s="5"/>
      <c r="V265" s="5"/>
      <c r="X265" s="7">
        <f t="shared" si="79"/>
        <v>6</v>
      </c>
      <c r="AA265" s="24">
        <f t="shared" si="68"/>
        <v>6</v>
      </c>
      <c r="AD265" s="4">
        <f t="shared" si="69"/>
        <v>6</v>
      </c>
      <c r="AG265" s="4">
        <f t="shared" si="70"/>
        <v>6</v>
      </c>
      <c r="AJ265" s="4">
        <f t="shared" si="71"/>
        <v>6</v>
      </c>
      <c r="AM265" s="4">
        <f t="shared" si="72"/>
        <v>6</v>
      </c>
      <c r="AP265" s="4">
        <f t="shared" si="73"/>
        <v>6</v>
      </c>
      <c r="AS265" s="4">
        <f t="shared" si="74"/>
        <v>6</v>
      </c>
      <c r="AV265" s="4">
        <f t="shared" si="75"/>
        <v>6</v>
      </c>
      <c r="AY265" s="4">
        <f t="shared" si="76"/>
        <v>6</v>
      </c>
      <c r="BB265" s="4">
        <f t="shared" si="77"/>
        <v>6</v>
      </c>
      <c r="BE265" s="4">
        <f t="shared" si="78"/>
        <v>6</v>
      </c>
      <c r="BR265" s="5"/>
    </row>
    <row r="266" spans="1:70" x14ac:dyDescent="0.2">
      <c r="A266" s="4" t="s">
        <v>251</v>
      </c>
      <c r="B266" s="4">
        <v>833</v>
      </c>
      <c r="C266" s="4">
        <v>2</v>
      </c>
      <c r="D266" s="4">
        <v>2</v>
      </c>
      <c r="E266" s="284">
        <v>1633</v>
      </c>
      <c r="F266" s="5">
        <v>1622</v>
      </c>
      <c r="G266" s="5">
        <v>1654</v>
      </c>
      <c r="H266" s="5">
        <v>1662</v>
      </c>
      <c r="I266" s="5">
        <v>1639</v>
      </c>
      <c r="J266" s="5">
        <v>1659</v>
      </c>
      <c r="K266" s="5">
        <v>1677</v>
      </c>
      <c r="L266" s="5">
        <v>1691</v>
      </c>
      <c r="M266" s="5">
        <v>1705</v>
      </c>
      <c r="N266" s="5">
        <v>1682</v>
      </c>
      <c r="O266" s="5">
        <v>1685</v>
      </c>
      <c r="P266" s="5">
        <v>1688</v>
      </c>
      <c r="Q266" s="5">
        <v>1693</v>
      </c>
      <c r="R266" s="5">
        <v>1695</v>
      </c>
      <c r="S266" s="5">
        <v>1696</v>
      </c>
      <c r="T266" s="5">
        <v>1698</v>
      </c>
      <c r="U266" s="5"/>
      <c r="V266" s="5"/>
      <c r="X266" s="7">
        <f t="shared" si="79"/>
        <v>7</v>
      </c>
      <c r="AA266" s="24">
        <f t="shared" si="68"/>
        <v>7</v>
      </c>
      <c r="AD266" s="4">
        <f t="shared" si="69"/>
        <v>7</v>
      </c>
      <c r="AG266" s="4">
        <f t="shared" si="70"/>
        <v>7</v>
      </c>
      <c r="AJ266" s="4">
        <f t="shared" si="71"/>
        <v>7</v>
      </c>
      <c r="AM266" s="4">
        <f t="shared" si="72"/>
        <v>7</v>
      </c>
      <c r="AP266" s="4">
        <f t="shared" si="73"/>
        <v>7</v>
      </c>
      <c r="AS266" s="4">
        <f t="shared" si="74"/>
        <v>7</v>
      </c>
      <c r="AV266" s="4">
        <f t="shared" si="75"/>
        <v>7</v>
      </c>
      <c r="AY266" s="4">
        <f t="shared" si="76"/>
        <v>7</v>
      </c>
      <c r="BB266" s="4">
        <f t="shared" si="77"/>
        <v>7</v>
      </c>
      <c r="BE266" s="4">
        <f t="shared" si="78"/>
        <v>7</v>
      </c>
      <c r="BR266" s="5"/>
    </row>
    <row r="267" spans="1:70" x14ac:dyDescent="0.2">
      <c r="A267" s="4" t="s">
        <v>252</v>
      </c>
      <c r="B267" s="4">
        <v>834</v>
      </c>
      <c r="C267" s="4">
        <v>5</v>
      </c>
      <c r="D267" s="4">
        <v>5</v>
      </c>
      <c r="E267" s="284">
        <v>6280</v>
      </c>
      <c r="F267" s="5">
        <v>6241</v>
      </c>
      <c r="G267" s="5">
        <v>6155</v>
      </c>
      <c r="H267" s="5">
        <v>6081</v>
      </c>
      <c r="I267" s="5">
        <v>6015</v>
      </c>
      <c r="J267" s="5">
        <v>6016</v>
      </c>
      <c r="K267" s="5">
        <v>5967</v>
      </c>
      <c r="L267" s="5">
        <v>5879</v>
      </c>
      <c r="M267" s="5">
        <v>5844</v>
      </c>
      <c r="N267" s="5">
        <v>5795</v>
      </c>
      <c r="O267" s="5">
        <v>5744</v>
      </c>
      <c r="P267" s="5">
        <v>5695</v>
      </c>
      <c r="Q267" s="5">
        <v>5648</v>
      </c>
      <c r="R267" s="5">
        <v>5606</v>
      </c>
      <c r="S267" s="5">
        <v>5562</v>
      </c>
      <c r="T267" s="5">
        <v>5524</v>
      </c>
      <c r="U267" s="5"/>
      <c r="V267" s="5"/>
      <c r="X267" s="7">
        <f t="shared" si="79"/>
        <v>5</v>
      </c>
      <c r="AA267" s="24">
        <f t="shared" si="68"/>
        <v>5</v>
      </c>
      <c r="AD267" s="4">
        <f t="shared" si="69"/>
        <v>5</v>
      </c>
      <c r="AG267" s="4">
        <f t="shared" si="70"/>
        <v>5</v>
      </c>
      <c r="AJ267" s="4">
        <f t="shared" si="71"/>
        <v>5</v>
      </c>
      <c r="AM267" s="4">
        <f t="shared" si="72"/>
        <v>5</v>
      </c>
      <c r="AP267" s="4">
        <f t="shared" si="73"/>
        <v>5</v>
      </c>
      <c r="AS267" s="4">
        <f t="shared" si="74"/>
        <v>5</v>
      </c>
      <c r="AV267" s="4">
        <f t="shared" si="75"/>
        <v>5</v>
      </c>
      <c r="AY267" s="4">
        <f t="shared" si="76"/>
        <v>5</v>
      </c>
      <c r="BB267" s="4">
        <f t="shared" si="77"/>
        <v>5</v>
      </c>
      <c r="BE267" s="4">
        <f t="shared" si="78"/>
        <v>5</v>
      </c>
      <c r="BR267" s="5"/>
    </row>
    <row r="268" spans="1:70" x14ac:dyDescent="0.2">
      <c r="A268" s="4" t="s">
        <v>253</v>
      </c>
      <c r="B268" s="4">
        <v>837</v>
      </c>
      <c r="C268" s="4">
        <v>6</v>
      </c>
      <c r="D268" s="4">
        <v>6</v>
      </c>
      <c r="E268" s="284">
        <v>225118</v>
      </c>
      <c r="F268" s="5">
        <v>228274</v>
      </c>
      <c r="G268" s="5">
        <v>231853</v>
      </c>
      <c r="H268" s="5">
        <v>235239</v>
      </c>
      <c r="I268" s="5">
        <v>238140</v>
      </c>
      <c r="J268" s="5">
        <v>241009</v>
      </c>
      <c r="K268" s="5">
        <v>244223</v>
      </c>
      <c r="L268" s="5">
        <v>249009</v>
      </c>
      <c r="M268" s="5">
        <v>255050</v>
      </c>
      <c r="N268" s="5">
        <v>253843</v>
      </c>
      <c r="O268" s="5">
        <v>256586</v>
      </c>
      <c r="P268" s="5">
        <v>259191</v>
      </c>
      <c r="Q268" s="5">
        <v>261677</v>
      </c>
      <c r="R268" s="5">
        <v>264062</v>
      </c>
      <c r="S268" s="5">
        <v>266346</v>
      </c>
      <c r="T268" s="5">
        <v>268502</v>
      </c>
      <c r="U268" s="5"/>
      <c r="V268" s="5"/>
      <c r="X268" s="7">
        <f t="shared" si="79"/>
        <v>1</v>
      </c>
      <c r="AA268" s="24">
        <f t="shared" si="68"/>
        <v>1</v>
      </c>
      <c r="AD268" s="4">
        <f t="shared" si="69"/>
        <v>1</v>
      </c>
      <c r="AG268" s="4">
        <f t="shared" si="70"/>
        <v>1</v>
      </c>
      <c r="AJ268" s="4">
        <f t="shared" si="71"/>
        <v>1</v>
      </c>
      <c r="AM268" s="4">
        <f t="shared" si="72"/>
        <v>1</v>
      </c>
      <c r="AP268" s="4">
        <f t="shared" si="73"/>
        <v>1</v>
      </c>
      <c r="AS268" s="4">
        <f t="shared" si="74"/>
        <v>1</v>
      </c>
      <c r="AV268" s="4">
        <f t="shared" si="75"/>
        <v>1</v>
      </c>
      <c r="AY268" s="4">
        <f t="shared" si="76"/>
        <v>1</v>
      </c>
      <c r="BB268" s="4">
        <f t="shared" si="77"/>
        <v>1</v>
      </c>
      <c r="BE268" s="4">
        <f t="shared" si="78"/>
        <v>1</v>
      </c>
      <c r="BR268" s="5"/>
    </row>
    <row r="269" spans="1:70" x14ac:dyDescent="0.2">
      <c r="A269" s="4" t="s">
        <v>254</v>
      </c>
      <c r="B269" s="4">
        <v>844</v>
      </c>
      <c r="C269" s="4">
        <v>11</v>
      </c>
      <c r="D269" s="4">
        <v>11</v>
      </c>
      <c r="E269" s="284">
        <v>1608</v>
      </c>
      <c r="F269" s="5">
        <v>1611</v>
      </c>
      <c r="G269" s="5">
        <v>1585</v>
      </c>
      <c r="H269" s="5">
        <v>1567</v>
      </c>
      <c r="I269" s="5">
        <v>1520</v>
      </c>
      <c r="J269" s="5">
        <v>1503</v>
      </c>
      <c r="K269" s="5">
        <v>1479</v>
      </c>
      <c r="L269" s="5">
        <v>1441</v>
      </c>
      <c r="M269" s="5">
        <v>1412</v>
      </c>
      <c r="N269" s="5">
        <v>1434</v>
      </c>
      <c r="O269" s="5">
        <v>1422</v>
      </c>
      <c r="P269" s="5">
        <v>1412</v>
      </c>
      <c r="Q269" s="5">
        <v>1402</v>
      </c>
      <c r="R269" s="5">
        <v>1391</v>
      </c>
      <c r="S269" s="5">
        <v>1380</v>
      </c>
      <c r="T269" s="5">
        <v>1368</v>
      </c>
      <c r="U269" s="5"/>
      <c r="V269" s="5"/>
      <c r="X269" s="7">
        <f t="shared" si="79"/>
        <v>7</v>
      </c>
      <c r="AA269" s="24">
        <f t="shared" si="68"/>
        <v>7</v>
      </c>
      <c r="AD269" s="4">
        <f t="shared" si="69"/>
        <v>7</v>
      </c>
      <c r="AG269" s="4">
        <f t="shared" si="70"/>
        <v>7</v>
      </c>
      <c r="AJ269" s="4">
        <f t="shared" si="71"/>
        <v>7</v>
      </c>
      <c r="AM269" s="4">
        <f t="shared" si="72"/>
        <v>7</v>
      </c>
      <c r="AP269" s="4">
        <f t="shared" si="73"/>
        <v>7</v>
      </c>
      <c r="AS269" s="4">
        <f t="shared" si="74"/>
        <v>7</v>
      </c>
      <c r="AV269" s="4">
        <f t="shared" si="75"/>
        <v>7</v>
      </c>
      <c r="AY269" s="4">
        <f t="shared" si="76"/>
        <v>7</v>
      </c>
      <c r="BB269" s="4">
        <f t="shared" si="77"/>
        <v>7</v>
      </c>
      <c r="BE269" s="4">
        <f t="shared" si="78"/>
        <v>7</v>
      </c>
      <c r="BR269" s="5"/>
    </row>
    <row r="270" spans="1:70" x14ac:dyDescent="0.2">
      <c r="A270" s="4" t="s">
        <v>255</v>
      </c>
      <c r="B270" s="4">
        <v>845</v>
      </c>
      <c r="C270" s="4">
        <v>19</v>
      </c>
      <c r="D270" s="4">
        <v>19</v>
      </c>
      <c r="E270" s="284">
        <v>3195</v>
      </c>
      <c r="F270" s="5">
        <v>3099</v>
      </c>
      <c r="G270" s="5">
        <v>3068</v>
      </c>
      <c r="H270" s="5">
        <v>3062</v>
      </c>
      <c r="I270" s="5">
        <v>3001</v>
      </c>
      <c r="J270" s="5">
        <v>2925</v>
      </c>
      <c r="K270" s="5">
        <v>2882</v>
      </c>
      <c r="L270" s="5">
        <v>2863</v>
      </c>
      <c r="M270" s="5">
        <v>2831</v>
      </c>
      <c r="N270" s="5">
        <v>2718</v>
      </c>
      <c r="O270" s="5">
        <v>2676</v>
      </c>
      <c r="P270" s="5">
        <v>2637</v>
      </c>
      <c r="Q270" s="5">
        <v>2598</v>
      </c>
      <c r="R270" s="5">
        <v>2561</v>
      </c>
      <c r="S270" s="5">
        <v>2528</v>
      </c>
      <c r="T270" s="5">
        <v>2495</v>
      </c>
      <c r="U270" s="5"/>
      <c r="V270" s="5"/>
      <c r="X270" s="7">
        <f t="shared" si="79"/>
        <v>6</v>
      </c>
      <c r="AA270" s="24">
        <f t="shared" si="68"/>
        <v>6</v>
      </c>
      <c r="AD270" s="4">
        <f t="shared" si="69"/>
        <v>6</v>
      </c>
      <c r="AG270" s="4">
        <f t="shared" si="70"/>
        <v>6</v>
      </c>
      <c r="AJ270" s="4">
        <f t="shared" si="71"/>
        <v>6</v>
      </c>
      <c r="AM270" s="4">
        <f t="shared" si="72"/>
        <v>6</v>
      </c>
      <c r="AP270" s="4">
        <f t="shared" si="73"/>
        <v>6</v>
      </c>
      <c r="AS270" s="4">
        <f t="shared" si="74"/>
        <v>6</v>
      </c>
      <c r="AV270" s="4">
        <f t="shared" si="75"/>
        <v>6</v>
      </c>
      <c r="AY270" s="4">
        <f t="shared" si="76"/>
        <v>6</v>
      </c>
      <c r="BB270" s="4">
        <f t="shared" si="77"/>
        <v>6</v>
      </c>
      <c r="BE270" s="4">
        <f t="shared" si="78"/>
        <v>6</v>
      </c>
      <c r="BR270" s="5"/>
    </row>
    <row r="271" spans="1:70" x14ac:dyDescent="0.2">
      <c r="A271" s="4" t="s">
        <v>256</v>
      </c>
      <c r="B271" s="4">
        <v>846</v>
      </c>
      <c r="C271" s="4">
        <v>14</v>
      </c>
      <c r="D271" s="4">
        <v>14</v>
      </c>
      <c r="E271" s="284">
        <v>5482</v>
      </c>
      <c r="F271" s="5">
        <v>5363</v>
      </c>
      <c r="G271" s="5">
        <v>5269</v>
      </c>
      <c r="H271" s="5">
        <v>5158</v>
      </c>
      <c r="I271" s="5">
        <v>5076</v>
      </c>
      <c r="J271" s="5">
        <v>4994</v>
      </c>
      <c r="K271" s="5">
        <v>4952</v>
      </c>
      <c r="L271" s="5">
        <v>4862</v>
      </c>
      <c r="M271" s="5">
        <v>4758</v>
      </c>
      <c r="N271" s="5">
        <v>4632</v>
      </c>
      <c r="O271" s="5">
        <v>4554</v>
      </c>
      <c r="P271" s="5">
        <v>4479</v>
      </c>
      <c r="Q271" s="5">
        <v>4407</v>
      </c>
      <c r="R271" s="5">
        <v>4334</v>
      </c>
      <c r="S271" s="5">
        <v>4266</v>
      </c>
      <c r="T271" s="5">
        <v>4200</v>
      </c>
      <c r="U271" s="5"/>
      <c r="V271" s="5"/>
      <c r="X271" s="7">
        <f t="shared" si="79"/>
        <v>5</v>
      </c>
      <c r="AA271" s="24">
        <f t="shared" si="68"/>
        <v>6</v>
      </c>
      <c r="AD271" s="4">
        <f t="shared" ref="AD271:AD285" si="80">IF(K271&gt;100000,1,IF(K271&gt;40000,2,IF(K271&gt;20000,3,IF(K271&gt;10000,4,IF(K271&gt;5000,5,IF(K271&gt;1999,6,IF(K271&gt;0,7,"")))))))</f>
        <v>6</v>
      </c>
      <c r="AG271" s="4">
        <f t="shared" ref="AG271:AG285" si="81">IF(L271&gt;100000,1,IF(L271&gt;40000,2,IF(L271&gt;20000,3,IF(L271&gt;10000,4,IF(L271&gt;5000,5,IF(L271&gt;1999,6,IF(L271&gt;0,7,"")))))))</f>
        <v>6</v>
      </c>
      <c r="AJ271" s="4">
        <f t="shared" ref="AJ271:AJ285" si="82">IF(M271&gt;100000,1,IF(M271&gt;40000,2,IF(M271&gt;20000,3,IF(M271&gt;10000,4,IF(M271&gt;5000,5,IF(M271&gt;1999,6,IF(M271&gt;0,7,"")))))))</f>
        <v>6</v>
      </c>
      <c r="AM271" s="4">
        <f t="shared" ref="AM271:AM285" si="83">IF(N271&gt;100000,1,IF(N271&gt;40000,2,IF(N271&gt;20000,3,IF(N271&gt;10000,4,IF(N271&gt;5000,5,IF(N271&gt;1999,6,IF(N271&gt;0,7,"")))))))</f>
        <v>6</v>
      </c>
      <c r="AP271" s="4">
        <f t="shared" ref="AP271:AP285" si="84">IF(O271&gt;100000,1,IF(O271&gt;40000,2,IF(O271&gt;20000,3,IF(O271&gt;10000,4,IF(O271&gt;5000,5,IF(O271&gt;1999,6,IF(O271&gt;0,7,"")))))))</f>
        <v>6</v>
      </c>
      <c r="AS271" s="4">
        <f t="shared" ref="AS271:AS285" si="85">IF(P271&gt;100000,1,IF(P271&gt;40000,2,IF(P271&gt;20000,3,IF(P271&gt;10000,4,IF(P271&gt;5000,5,IF(P271&gt;1999,6,IF(P271&gt;0,7,"")))))))</f>
        <v>6</v>
      </c>
      <c r="AV271" s="4">
        <f t="shared" ref="AV271:AV285" si="86">IF(Q271&gt;100000,1,IF(Q271&gt;40000,2,IF(Q271&gt;20000,3,IF(Q271&gt;10000,4,IF(Q271&gt;5000,5,IF(Q271&gt;1999,6,IF(Q271&gt;0,7,"")))))))</f>
        <v>6</v>
      </c>
      <c r="AY271" s="4">
        <f t="shared" ref="AY271:AY285" si="87">IF(R271&gt;100000,1,IF(R271&gt;40000,2,IF(R271&gt;20000,3,IF(R271&gt;10000,4,IF(R271&gt;5000,5,IF(R271&gt;1999,6,IF(R271&gt;0,7,"")))))))</f>
        <v>6</v>
      </c>
      <c r="BB271" s="4">
        <f t="shared" ref="BB271:BB307" si="88">IF(S271&gt;100000,1,IF(S271&gt;40000,2,IF(S271&gt;20000,3,IF(S271&gt;10000,4,IF(S271&gt;5000,5,IF(S271&gt;1999,6,IF(S271&gt;0,7,"")))))))</f>
        <v>6</v>
      </c>
      <c r="BE271" s="4">
        <f t="shared" ref="BE271:BE307" si="89">IF(T271&gt;100000,1,IF(T271&gt;40000,2,IF(T271&gt;20000,3,IF(T271&gt;10000,4,IF(T271&gt;5000,5,IF(T271&gt;1999,6,IF(T271&gt;0,7,"")))))))</f>
        <v>6</v>
      </c>
      <c r="BR271" s="5"/>
    </row>
    <row r="272" spans="1:70" x14ac:dyDescent="0.2">
      <c r="A272" s="4" t="s">
        <v>257</v>
      </c>
      <c r="B272" s="4">
        <v>848</v>
      </c>
      <c r="C272" s="4">
        <v>12</v>
      </c>
      <c r="D272" s="4">
        <v>12</v>
      </c>
      <c r="E272" s="284">
        <v>4738</v>
      </c>
      <c r="F272" s="5">
        <v>4653</v>
      </c>
      <c r="G272" s="5">
        <v>4571</v>
      </c>
      <c r="H272" s="5">
        <v>4482</v>
      </c>
      <c r="I272" s="5">
        <v>4361</v>
      </c>
      <c r="J272" s="5">
        <v>4307</v>
      </c>
      <c r="K272" s="5">
        <v>4241</v>
      </c>
      <c r="L272" s="5">
        <v>4160</v>
      </c>
      <c r="M272" s="5">
        <v>4066</v>
      </c>
      <c r="N272" s="5">
        <v>3998</v>
      </c>
      <c r="O272" s="5">
        <v>3939</v>
      </c>
      <c r="P272" s="5">
        <v>3883</v>
      </c>
      <c r="Q272" s="5">
        <v>3829</v>
      </c>
      <c r="R272" s="5">
        <v>3777</v>
      </c>
      <c r="S272" s="5">
        <v>3726</v>
      </c>
      <c r="T272" s="5">
        <v>3676</v>
      </c>
      <c r="U272" s="5"/>
      <c r="V272" s="5"/>
      <c r="X272" s="7">
        <f t="shared" ref="X272:X307" si="90">IF(I272&gt;100000,1,IF(I272&gt;40000,2,IF(I272&gt;20000,3,IF(I272&gt;10000,4,IF(I272&gt;5000,5,IF(I272&gt;1999,6,IF(I272&gt;0,7,"")))))))</f>
        <v>6</v>
      </c>
      <c r="AA272" s="24">
        <f t="shared" ref="AA272:AA307" si="91">IF(J272&gt;100000,1,IF(J272&gt;40000,2,IF(J272&gt;20000,3,IF(J272&gt;10000,4,IF(J272&gt;5000,5,IF(J272&gt;1999,6,IF(J272&gt;0,7,"")))))))</f>
        <v>6</v>
      </c>
      <c r="AD272" s="4">
        <f t="shared" si="80"/>
        <v>6</v>
      </c>
      <c r="AG272" s="4">
        <f t="shared" si="81"/>
        <v>6</v>
      </c>
      <c r="AJ272" s="4">
        <f t="shared" si="82"/>
        <v>6</v>
      </c>
      <c r="AM272" s="4">
        <f t="shared" si="83"/>
        <v>6</v>
      </c>
      <c r="AP272" s="4">
        <f t="shared" si="84"/>
        <v>6</v>
      </c>
      <c r="AS272" s="4">
        <f t="shared" si="85"/>
        <v>6</v>
      </c>
      <c r="AV272" s="4">
        <f t="shared" si="86"/>
        <v>6</v>
      </c>
      <c r="AY272" s="4">
        <f t="shared" si="87"/>
        <v>6</v>
      </c>
      <c r="BB272" s="4">
        <f t="shared" si="88"/>
        <v>6</v>
      </c>
      <c r="BE272" s="4">
        <f t="shared" si="89"/>
        <v>6</v>
      </c>
      <c r="BR272" s="5"/>
    </row>
    <row r="273" spans="1:70" x14ac:dyDescent="0.2">
      <c r="A273" s="4" t="s">
        <v>258</v>
      </c>
      <c r="B273" s="4">
        <v>849</v>
      </c>
      <c r="C273" s="4">
        <v>16</v>
      </c>
      <c r="D273" s="4">
        <v>16</v>
      </c>
      <c r="E273" s="284">
        <v>3311</v>
      </c>
      <c r="F273" s="5">
        <v>3232</v>
      </c>
      <c r="G273" s="5">
        <v>3192</v>
      </c>
      <c r="H273" s="5">
        <v>3112</v>
      </c>
      <c r="I273" s="5">
        <v>3033</v>
      </c>
      <c r="J273" s="5">
        <v>2966</v>
      </c>
      <c r="K273" s="5">
        <v>2938</v>
      </c>
      <c r="L273" s="5">
        <v>2903</v>
      </c>
      <c r="M273" s="5">
        <v>2849</v>
      </c>
      <c r="N273" s="5">
        <v>2699</v>
      </c>
      <c r="O273" s="5">
        <v>2637</v>
      </c>
      <c r="P273" s="5">
        <v>2579</v>
      </c>
      <c r="Q273" s="5">
        <v>2524</v>
      </c>
      <c r="R273" s="5">
        <v>2471</v>
      </c>
      <c r="S273" s="5">
        <v>2421</v>
      </c>
      <c r="T273" s="5">
        <v>2371</v>
      </c>
      <c r="U273" s="5"/>
      <c r="V273" s="5"/>
      <c r="X273" s="7">
        <f t="shared" si="90"/>
        <v>6</v>
      </c>
      <c r="AA273" s="24">
        <f t="shared" si="91"/>
        <v>6</v>
      </c>
      <c r="AD273" s="4">
        <f t="shared" si="80"/>
        <v>6</v>
      </c>
      <c r="AG273" s="4">
        <f t="shared" si="81"/>
        <v>6</v>
      </c>
      <c r="AJ273" s="4">
        <f t="shared" si="82"/>
        <v>6</v>
      </c>
      <c r="AM273" s="4">
        <f t="shared" si="83"/>
        <v>6</v>
      </c>
      <c r="AP273" s="4">
        <f t="shared" si="84"/>
        <v>6</v>
      </c>
      <c r="AS273" s="4">
        <f t="shared" si="85"/>
        <v>6</v>
      </c>
      <c r="AV273" s="4">
        <f t="shared" si="86"/>
        <v>6</v>
      </c>
      <c r="AY273" s="4">
        <f t="shared" si="87"/>
        <v>6</v>
      </c>
      <c r="BB273" s="4">
        <f t="shared" si="88"/>
        <v>6</v>
      </c>
      <c r="BE273" s="4">
        <f t="shared" si="89"/>
        <v>6</v>
      </c>
      <c r="BR273" s="5"/>
    </row>
    <row r="274" spans="1:70" x14ac:dyDescent="0.2">
      <c r="A274" s="4" t="s">
        <v>259</v>
      </c>
      <c r="B274" s="4">
        <v>850</v>
      </c>
      <c r="C274" s="4">
        <v>13</v>
      </c>
      <c r="D274" s="4">
        <v>13</v>
      </c>
      <c r="E274" s="284">
        <v>2431</v>
      </c>
      <c r="F274" s="5">
        <v>2432</v>
      </c>
      <c r="G274" s="5">
        <v>2384</v>
      </c>
      <c r="H274" s="5">
        <v>2406</v>
      </c>
      <c r="I274" s="5">
        <v>2388</v>
      </c>
      <c r="J274" s="5">
        <v>2401</v>
      </c>
      <c r="K274" s="5">
        <v>2387</v>
      </c>
      <c r="L274" s="5">
        <v>2407</v>
      </c>
      <c r="M274" s="5">
        <v>2368</v>
      </c>
      <c r="N274" s="5">
        <v>2390</v>
      </c>
      <c r="O274" s="5">
        <v>2383</v>
      </c>
      <c r="P274" s="5">
        <v>2377</v>
      </c>
      <c r="Q274" s="5">
        <v>2368</v>
      </c>
      <c r="R274" s="5">
        <v>2355</v>
      </c>
      <c r="S274" s="5">
        <v>2340</v>
      </c>
      <c r="T274" s="5">
        <v>2325</v>
      </c>
      <c r="U274" s="5"/>
      <c r="V274" s="5"/>
      <c r="X274" s="7">
        <f t="shared" si="90"/>
        <v>6</v>
      </c>
      <c r="AA274" s="24">
        <f t="shared" si="91"/>
        <v>6</v>
      </c>
      <c r="AD274" s="4">
        <f t="shared" si="80"/>
        <v>6</v>
      </c>
      <c r="AG274" s="4">
        <f t="shared" si="81"/>
        <v>6</v>
      </c>
      <c r="AJ274" s="4">
        <f t="shared" si="82"/>
        <v>6</v>
      </c>
      <c r="AM274" s="4">
        <f t="shared" si="83"/>
        <v>6</v>
      </c>
      <c r="AP274" s="4">
        <f t="shared" si="84"/>
        <v>6</v>
      </c>
      <c r="AS274" s="4">
        <f t="shared" si="85"/>
        <v>6</v>
      </c>
      <c r="AV274" s="4">
        <f t="shared" si="86"/>
        <v>6</v>
      </c>
      <c r="AY274" s="4">
        <f t="shared" si="87"/>
        <v>6</v>
      </c>
      <c r="BB274" s="4">
        <f t="shared" si="88"/>
        <v>6</v>
      </c>
      <c r="BE274" s="4">
        <f t="shared" si="89"/>
        <v>6</v>
      </c>
      <c r="BR274" s="5"/>
    </row>
    <row r="275" spans="1:70" x14ac:dyDescent="0.2">
      <c r="A275" s="4" t="s">
        <v>260</v>
      </c>
      <c r="B275" s="4">
        <v>851</v>
      </c>
      <c r="C275" s="4">
        <v>19</v>
      </c>
      <c r="D275" s="4">
        <v>19</v>
      </c>
      <c r="E275" s="284">
        <v>22199</v>
      </c>
      <c r="F275" s="5">
        <v>22117</v>
      </c>
      <c r="G275" s="5">
        <v>21928</v>
      </c>
      <c r="H275" s="5">
        <v>21875</v>
      </c>
      <c r="I275" s="5">
        <v>21602</v>
      </c>
      <c r="J275" s="5">
        <v>21467</v>
      </c>
      <c r="K275" s="5">
        <v>21333</v>
      </c>
      <c r="L275" s="5">
        <v>21227</v>
      </c>
      <c r="M275" s="5">
        <v>21018</v>
      </c>
      <c r="N275" s="5">
        <v>20888</v>
      </c>
      <c r="O275" s="5">
        <v>20748</v>
      </c>
      <c r="P275" s="5">
        <v>20612</v>
      </c>
      <c r="Q275" s="5">
        <v>20476</v>
      </c>
      <c r="R275" s="5">
        <v>20340</v>
      </c>
      <c r="S275" s="5">
        <v>20203</v>
      </c>
      <c r="T275" s="5">
        <v>20066</v>
      </c>
      <c r="U275" s="5"/>
      <c r="V275" s="5"/>
      <c r="X275" s="7">
        <f t="shared" si="90"/>
        <v>3</v>
      </c>
      <c r="AA275" s="24">
        <f t="shared" si="91"/>
        <v>3</v>
      </c>
      <c r="AD275" s="4">
        <f t="shared" si="80"/>
        <v>3</v>
      </c>
      <c r="AG275" s="4">
        <f t="shared" si="81"/>
        <v>3</v>
      </c>
      <c r="AJ275" s="4">
        <f t="shared" si="82"/>
        <v>3</v>
      </c>
      <c r="AM275" s="4">
        <f t="shared" si="83"/>
        <v>3</v>
      </c>
      <c r="AP275" s="4">
        <f t="shared" si="84"/>
        <v>3</v>
      </c>
      <c r="AS275" s="4">
        <f t="shared" si="85"/>
        <v>3</v>
      </c>
      <c r="AV275" s="4">
        <f t="shared" si="86"/>
        <v>3</v>
      </c>
      <c r="AY275" s="4">
        <f t="shared" si="87"/>
        <v>3</v>
      </c>
      <c r="BB275" s="4">
        <f t="shared" si="88"/>
        <v>3</v>
      </c>
      <c r="BE275" s="4">
        <f t="shared" si="89"/>
        <v>3</v>
      </c>
      <c r="BR275" s="5"/>
    </row>
    <row r="276" spans="1:70" x14ac:dyDescent="0.2">
      <c r="A276" s="4" t="s">
        <v>261</v>
      </c>
      <c r="B276" s="4">
        <v>853</v>
      </c>
      <c r="C276" s="4">
        <v>2</v>
      </c>
      <c r="D276" s="4">
        <v>2</v>
      </c>
      <c r="E276" s="284">
        <v>185908</v>
      </c>
      <c r="F276" s="5">
        <v>187604</v>
      </c>
      <c r="G276" s="5">
        <v>189669</v>
      </c>
      <c r="H276" s="5">
        <v>191331</v>
      </c>
      <c r="I276" s="5">
        <v>192962</v>
      </c>
      <c r="J276" s="5">
        <v>194391</v>
      </c>
      <c r="K276" s="5">
        <v>195137</v>
      </c>
      <c r="L276" s="5">
        <v>197900</v>
      </c>
      <c r="M276" s="5">
        <v>201863</v>
      </c>
      <c r="N276" s="5">
        <v>200019</v>
      </c>
      <c r="O276" s="5">
        <v>201244</v>
      </c>
      <c r="P276" s="5">
        <v>202440</v>
      </c>
      <c r="Q276" s="5">
        <v>203605</v>
      </c>
      <c r="R276" s="5">
        <v>204743</v>
      </c>
      <c r="S276" s="5">
        <v>205853</v>
      </c>
      <c r="T276" s="5">
        <v>206909</v>
      </c>
      <c r="U276" s="5"/>
      <c r="V276" s="5"/>
      <c r="X276" s="7">
        <f t="shared" si="90"/>
        <v>1</v>
      </c>
      <c r="AA276" s="24">
        <f t="shared" si="91"/>
        <v>1</v>
      </c>
      <c r="AD276" s="4">
        <f t="shared" si="80"/>
        <v>1</v>
      </c>
      <c r="AG276" s="4">
        <f t="shared" si="81"/>
        <v>1</v>
      </c>
      <c r="AJ276" s="4">
        <f t="shared" si="82"/>
        <v>1</v>
      </c>
      <c r="AM276" s="4">
        <f t="shared" si="83"/>
        <v>1</v>
      </c>
      <c r="AP276" s="4">
        <f t="shared" si="84"/>
        <v>1</v>
      </c>
      <c r="AS276" s="4">
        <f t="shared" si="85"/>
        <v>1</v>
      </c>
      <c r="AV276" s="4">
        <f t="shared" si="86"/>
        <v>1</v>
      </c>
      <c r="AY276" s="4">
        <f t="shared" si="87"/>
        <v>1</v>
      </c>
      <c r="BB276" s="4">
        <f t="shared" si="88"/>
        <v>1</v>
      </c>
      <c r="BE276" s="4">
        <f t="shared" si="89"/>
        <v>1</v>
      </c>
      <c r="BR276" s="5"/>
    </row>
    <row r="277" spans="1:70" x14ac:dyDescent="0.2">
      <c r="A277" s="4" t="s">
        <v>178</v>
      </c>
      <c r="B277" s="4">
        <v>854</v>
      </c>
      <c r="C277" s="4">
        <v>19</v>
      </c>
      <c r="D277" s="4">
        <v>19</v>
      </c>
      <c r="E277" s="284">
        <v>3623</v>
      </c>
      <c r="F277" s="5">
        <v>3565</v>
      </c>
      <c r="G277" s="5">
        <v>3510</v>
      </c>
      <c r="H277" s="5">
        <v>3438</v>
      </c>
      <c r="I277" s="5">
        <v>3373</v>
      </c>
      <c r="J277" s="5">
        <v>3304</v>
      </c>
      <c r="K277" s="5">
        <v>3296</v>
      </c>
      <c r="L277" s="5">
        <v>3262</v>
      </c>
      <c r="M277" s="5">
        <v>3253</v>
      </c>
      <c r="N277" s="5">
        <v>3064</v>
      </c>
      <c r="O277" s="5">
        <v>3014</v>
      </c>
      <c r="P277" s="5">
        <v>2968</v>
      </c>
      <c r="Q277" s="5">
        <v>2923</v>
      </c>
      <c r="R277" s="5">
        <v>2881</v>
      </c>
      <c r="S277" s="5">
        <v>2838</v>
      </c>
      <c r="T277" s="5">
        <v>2797</v>
      </c>
      <c r="U277" s="5"/>
      <c r="V277" s="5"/>
      <c r="X277" s="7">
        <f t="shared" si="90"/>
        <v>6</v>
      </c>
      <c r="AA277" s="24">
        <f t="shared" si="91"/>
        <v>6</v>
      </c>
      <c r="AD277" s="4">
        <f t="shared" si="80"/>
        <v>6</v>
      </c>
      <c r="AG277" s="4">
        <f t="shared" si="81"/>
        <v>6</v>
      </c>
      <c r="AJ277" s="4">
        <f t="shared" si="82"/>
        <v>6</v>
      </c>
      <c r="AM277" s="4">
        <f t="shared" si="83"/>
        <v>6</v>
      </c>
      <c r="AP277" s="4">
        <f t="shared" si="84"/>
        <v>6</v>
      </c>
      <c r="AS277" s="4">
        <f t="shared" si="85"/>
        <v>6</v>
      </c>
      <c r="AV277" s="4">
        <f t="shared" si="86"/>
        <v>6</v>
      </c>
      <c r="AY277" s="4">
        <f t="shared" si="87"/>
        <v>6</v>
      </c>
      <c r="BB277" s="4">
        <f t="shared" si="88"/>
        <v>6</v>
      </c>
      <c r="BE277" s="4">
        <f t="shared" si="89"/>
        <v>6</v>
      </c>
      <c r="BR277" s="5"/>
    </row>
    <row r="278" spans="1:70" x14ac:dyDescent="0.2">
      <c r="A278" s="4" t="s">
        <v>262</v>
      </c>
      <c r="B278" s="4">
        <v>857</v>
      </c>
      <c r="C278" s="4">
        <v>11</v>
      </c>
      <c r="D278" s="4">
        <v>11</v>
      </c>
      <c r="E278" s="284">
        <v>2719</v>
      </c>
      <c r="F278" s="5">
        <v>2643</v>
      </c>
      <c r="G278" s="5">
        <v>2597</v>
      </c>
      <c r="H278" s="5">
        <v>2551</v>
      </c>
      <c r="I278" s="5">
        <v>2477</v>
      </c>
      <c r="J278" s="5">
        <v>2433</v>
      </c>
      <c r="K278" s="5">
        <v>2420</v>
      </c>
      <c r="L278" s="5">
        <v>2394</v>
      </c>
      <c r="M278" s="5">
        <v>2313</v>
      </c>
      <c r="N278" s="5">
        <v>2244</v>
      </c>
      <c r="O278" s="5">
        <v>2207</v>
      </c>
      <c r="P278" s="5">
        <v>2174</v>
      </c>
      <c r="Q278" s="5">
        <v>2142</v>
      </c>
      <c r="R278" s="5">
        <v>2113</v>
      </c>
      <c r="S278" s="5">
        <v>2084</v>
      </c>
      <c r="T278" s="5">
        <v>2058</v>
      </c>
      <c r="U278" s="5"/>
      <c r="V278" s="5"/>
      <c r="X278" s="7">
        <f t="shared" si="90"/>
        <v>6</v>
      </c>
      <c r="AA278" s="24">
        <f t="shared" si="91"/>
        <v>6</v>
      </c>
      <c r="AD278" s="4">
        <f t="shared" si="80"/>
        <v>6</v>
      </c>
      <c r="AG278" s="4">
        <f t="shared" si="81"/>
        <v>6</v>
      </c>
      <c r="AJ278" s="4">
        <f t="shared" si="82"/>
        <v>6</v>
      </c>
      <c r="AM278" s="4">
        <f t="shared" si="83"/>
        <v>6</v>
      </c>
      <c r="AP278" s="4">
        <f t="shared" si="84"/>
        <v>6</v>
      </c>
      <c r="AS278" s="4">
        <f t="shared" si="85"/>
        <v>6</v>
      </c>
      <c r="AV278" s="4">
        <f t="shared" si="86"/>
        <v>6</v>
      </c>
      <c r="AY278" s="4">
        <f t="shared" si="87"/>
        <v>6</v>
      </c>
      <c r="BB278" s="4">
        <f t="shared" si="88"/>
        <v>6</v>
      </c>
      <c r="BE278" s="4">
        <f t="shared" si="89"/>
        <v>6</v>
      </c>
      <c r="BR278" s="5"/>
    </row>
    <row r="279" spans="1:70" x14ac:dyDescent="0.2">
      <c r="A279" s="4" t="s">
        <v>263</v>
      </c>
      <c r="B279" s="4">
        <v>858</v>
      </c>
      <c r="C279" s="4">
        <v>1</v>
      </c>
      <c r="D279" s="4">
        <v>35</v>
      </c>
      <c r="E279" s="284">
        <v>38459</v>
      </c>
      <c r="F279" s="5">
        <v>38588</v>
      </c>
      <c r="G279" s="5">
        <v>38646</v>
      </c>
      <c r="H279" s="5">
        <v>38664</v>
      </c>
      <c r="I279" s="5">
        <v>38599</v>
      </c>
      <c r="J279" s="5">
        <v>38783</v>
      </c>
      <c r="K279" s="5">
        <v>39718</v>
      </c>
      <c r="L279" s="5">
        <v>40384</v>
      </c>
      <c r="M279" s="5">
        <v>41338</v>
      </c>
      <c r="N279" s="5">
        <v>39253</v>
      </c>
      <c r="O279" s="5">
        <v>39359</v>
      </c>
      <c r="P279" s="5">
        <v>39465</v>
      </c>
      <c r="Q279" s="5">
        <v>39570</v>
      </c>
      <c r="R279" s="5">
        <v>39666</v>
      </c>
      <c r="S279" s="5">
        <v>39759</v>
      </c>
      <c r="T279" s="5">
        <v>39854</v>
      </c>
      <c r="U279" s="5"/>
      <c r="V279" s="5"/>
      <c r="X279" s="7">
        <f t="shared" si="90"/>
        <v>3</v>
      </c>
      <c r="AA279" s="24">
        <f t="shared" si="91"/>
        <v>3</v>
      </c>
      <c r="AD279" s="4">
        <f t="shared" si="80"/>
        <v>3</v>
      </c>
      <c r="AG279" s="4">
        <f t="shared" si="81"/>
        <v>2</v>
      </c>
      <c r="AJ279" s="4">
        <f t="shared" si="82"/>
        <v>2</v>
      </c>
      <c r="AM279" s="4">
        <f t="shared" si="83"/>
        <v>3</v>
      </c>
      <c r="AP279" s="4">
        <f t="shared" si="84"/>
        <v>3</v>
      </c>
      <c r="AS279" s="4">
        <f t="shared" si="85"/>
        <v>3</v>
      </c>
      <c r="AV279" s="4">
        <f t="shared" si="86"/>
        <v>3</v>
      </c>
      <c r="AY279" s="4">
        <f t="shared" si="87"/>
        <v>3</v>
      </c>
      <c r="BB279" s="4">
        <f t="shared" si="88"/>
        <v>3</v>
      </c>
      <c r="BE279" s="4">
        <f t="shared" si="89"/>
        <v>3</v>
      </c>
      <c r="BR279" s="5"/>
    </row>
    <row r="280" spans="1:70" x14ac:dyDescent="0.2">
      <c r="A280" s="4" t="s">
        <v>264</v>
      </c>
      <c r="B280" s="4">
        <v>859</v>
      </c>
      <c r="C280" s="4">
        <v>17</v>
      </c>
      <c r="D280" s="4">
        <v>17</v>
      </c>
      <c r="E280" s="284">
        <v>6793</v>
      </c>
      <c r="F280" s="5">
        <v>6750</v>
      </c>
      <c r="G280" s="5">
        <v>6730</v>
      </c>
      <c r="H280" s="5">
        <v>6758</v>
      </c>
      <c r="I280" s="5">
        <v>6637</v>
      </c>
      <c r="J280" s="5">
        <v>6603</v>
      </c>
      <c r="K280" s="5">
        <v>6593</v>
      </c>
      <c r="L280" s="5">
        <v>6562</v>
      </c>
      <c r="M280" s="5">
        <v>6525</v>
      </c>
      <c r="N280" s="5">
        <v>6473</v>
      </c>
      <c r="O280" s="5">
        <v>6430</v>
      </c>
      <c r="P280" s="5">
        <v>6383</v>
      </c>
      <c r="Q280" s="5">
        <v>6337</v>
      </c>
      <c r="R280" s="5">
        <v>6288</v>
      </c>
      <c r="S280" s="5">
        <v>6242</v>
      </c>
      <c r="T280" s="5">
        <v>6202</v>
      </c>
      <c r="U280" s="5"/>
      <c r="V280" s="5"/>
      <c r="X280" s="7">
        <f t="shared" si="90"/>
        <v>5</v>
      </c>
      <c r="AA280" s="24">
        <f t="shared" si="91"/>
        <v>5</v>
      </c>
      <c r="AD280" s="4">
        <f t="shared" si="80"/>
        <v>5</v>
      </c>
      <c r="AG280" s="4">
        <f t="shared" si="81"/>
        <v>5</v>
      </c>
      <c r="AJ280" s="4">
        <f t="shared" si="82"/>
        <v>5</v>
      </c>
      <c r="AM280" s="4">
        <f t="shared" si="83"/>
        <v>5</v>
      </c>
      <c r="AP280" s="4">
        <f t="shared" si="84"/>
        <v>5</v>
      </c>
      <c r="AS280" s="4">
        <f t="shared" si="85"/>
        <v>5</v>
      </c>
      <c r="AV280" s="4">
        <f t="shared" si="86"/>
        <v>5</v>
      </c>
      <c r="AY280" s="4">
        <f t="shared" si="87"/>
        <v>5</v>
      </c>
      <c r="BB280" s="4">
        <f t="shared" si="88"/>
        <v>5</v>
      </c>
      <c r="BE280" s="4">
        <f t="shared" si="89"/>
        <v>5</v>
      </c>
      <c r="BR280" s="5"/>
    </row>
    <row r="281" spans="1:70" x14ac:dyDescent="0.2">
      <c r="A281" s="4" t="s">
        <v>265</v>
      </c>
      <c r="B281" s="4">
        <v>886</v>
      </c>
      <c r="C281" s="4">
        <v>4</v>
      </c>
      <c r="D281" s="4">
        <v>4</v>
      </c>
      <c r="E281" s="284">
        <v>13352</v>
      </c>
      <c r="F281" s="5">
        <v>13312</v>
      </c>
      <c r="G281" s="5">
        <v>13237</v>
      </c>
      <c r="H281" s="5">
        <v>13021</v>
      </c>
      <c r="I281" s="5">
        <v>12871</v>
      </c>
      <c r="J281" s="5">
        <v>12735</v>
      </c>
      <c r="K281" s="5">
        <v>12669</v>
      </c>
      <c r="L281" s="5">
        <v>12599</v>
      </c>
      <c r="M281" s="5">
        <v>12533</v>
      </c>
      <c r="N281" s="5">
        <v>12284</v>
      </c>
      <c r="O281" s="5">
        <v>12167</v>
      </c>
      <c r="P281" s="5">
        <v>12048</v>
      </c>
      <c r="Q281" s="5">
        <v>11927</v>
      </c>
      <c r="R281" s="5">
        <v>11801</v>
      </c>
      <c r="S281" s="5">
        <v>11674</v>
      </c>
      <c r="T281" s="5">
        <v>11551</v>
      </c>
      <c r="U281" s="5"/>
      <c r="V281" s="5"/>
      <c r="X281" s="7">
        <f t="shared" si="90"/>
        <v>4</v>
      </c>
      <c r="AA281" s="24">
        <f t="shared" si="91"/>
        <v>4</v>
      </c>
      <c r="AD281" s="4">
        <f t="shared" si="80"/>
        <v>4</v>
      </c>
      <c r="AG281" s="4">
        <f t="shared" si="81"/>
        <v>4</v>
      </c>
      <c r="AJ281" s="4">
        <f t="shared" si="82"/>
        <v>4</v>
      </c>
      <c r="AM281" s="4">
        <f t="shared" si="83"/>
        <v>4</v>
      </c>
      <c r="AP281" s="4">
        <f t="shared" si="84"/>
        <v>4</v>
      </c>
      <c r="AS281" s="4">
        <f t="shared" si="85"/>
        <v>4</v>
      </c>
      <c r="AV281" s="4">
        <f t="shared" si="86"/>
        <v>4</v>
      </c>
      <c r="AY281" s="4">
        <f t="shared" si="87"/>
        <v>4</v>
      </c>
      <c r="BB281" s="4">
        <f t="shared" si="88"/>
        <v>4</v>
      </c>
      <c r="BE281" s="4">
        <f t="shared" si="89"/>
        <v>4</v>
      </c>
      <c r="BR281" s="5"/>
    </row>
    <row r="282" spans="1:70" x14ac:dyDescent="0.2">
      <c r="A282" s="4" t="s">
        <v>266</v>
      </c>
      <c r="B282" s="4">
        <v>887</v>
      </c>
      <c r="C282" s="4">
        <v>6</v>
      </c>
      <c r="D282" s="4">
        <v>6</v>
      </c>
      <c r="E282" s="284">
        <v>4928</v>
      </c>
      <c r="F282" s="5">
        <v>4858</v>
      </c>
      <c r="G282" s="5">
        <v>4829</v>
      </c>
      <c r="H282" s="5">
        <v>4792</v>
      </c>
      <c r="I282" s="5">
        <v>4688</v>
      </c>
      <c r="J282" s="5">
        <v>4644</v>
      </c>
      <c r="K282" s="5">
        <v>4669</v>
      </c>
      <c r="L282" s="5">
        <v>4569</v>
      </c>
      <c r="M282" s="5">
        <v>4568</v>
      </c>
      <c r="N282" s="5">
        <v>4438</v>
      </c>
      <c r="O282" s="5">
        <v>4390</v>
      </c>
      <c r="P282" s="5">
        <v>4346</v>
      </c>
      <c r="Q282" s="5">
        <v>4306</v>
      </c>
      <c r="R282" s="5">
        <v>4266</v>
      </c>
      <c r="S282" s="5">
        <v>4231</v>
      </c>
      <c r="T282" s="5">
        <v>4195</v>
      </c>
      <c r="U282" s="5"/>
      <c r="V282" s="5"/>
      <c r="X282" s="7">
        <f t="shared" si="90"/>
        <v>6</v>
      </c>
      <c r="AA282" s="24">
        <f t="shared" si="91"/>
        <v>6</v>
      </c>
      <c r="AD282" s="4">
        <f t="shared" si="80"/>
        <v>6</v>
      </c>
      <c r="AG282" s="4">
        <f t="shared" si="81"/>
        <v>6</v>
      </c>
      <c r="AJ282" s="4">
        <f t="shared" si="82"/>
        <v>6</v>
      </c>
      <c r="AM282" s="4">
        <f t="shared" si="83"/>
        <v>6</v>
      </c>
      <c r="AP282" s="4">
        <f t="shared" si="84"/>
        <v>6</v>
      </c>
      <c r="AS282" s="4">
        <f t="shared" si="85"/>
        <v>6</v>
      </c>
      <c r="AV282" s="4">
        <f t="shared" si="86"/>
        <v>6</v>
      </c>
      <c r="AY282" s="4">
        <f t="shared" si="87"/>
        <v>6</v>
      </c>
      <c r="BB282" s="4">
        <f t="shared" si="88"/>
        <v>6</v>
      </c>
      <c r="BE282" s="4">
        <f t="shared" si="89"/>
        <v>6</v>
      </c>
      <c r="BR282" s="5"/>
    </row>
    <row r="283" spans="1:70" x14ac:dyDescent="0.2">
      <c r="A283" s="4" t="s">
        <v>267</v>
      </c>
      <c r="B283" s="4">
        <v>889</v>
      </c>
      <c r="C283" s="4">
        <v>17</v>
      </c>
      <c r="D283" s="4">
        <v>17</v>
      </c>
      <c r="E283" s="284">
        <v>2861</v>
      </c>
      <c r="F283" s="5">
        <v>2824</v>
      </c>
      <c r="G283" s="5">
        <v>2768</v>
      </c>
      <c r="H283" s="5">
        <v>2702</v>
      </c>
      <c r="I283" s="5">
        <v>2676</v>
      </c>
      <c r="J283" s="5">
        <v>2619</v>
      </c>
      <c r="K283" s="5">
        <v>2568</v>
      </c>
      <c r="L283" s="5">
        <v>2523</v>
      </c>
      <c r="M283" s="5">
        <v>2491</v>
      </c>
      <c r="N283" s="5">
        <v>2433</v>
      </c>
      <c r="O283" s="5">
        <v>2397</v>
      </c>
      <c r="P283" s="5">
        <v>2363</v>
      </c>
      <c r="Q283" s="5">
        <v>2332</v>
      </c>
      <c r="R283" s="5">
        <v>2304</v>
      </c>
      <c r="S283" s="5">
        <v>2280</v>
      </c>
      <c r="T283" s="5">
        <v>2252</v>
      </c>
      <c r="U283" s="5"/>
      <c r="V283" s="5"/>
      <c r="X283" s="7">
        <f t="shared" si="90"/>
        <v>6</v>
      </c>
      <c r="AA283" s="24">
        <f t="shared" si="91"/>
        <v>6</v>
      </c>
      <c r="AD283" s="4">
        <f t="shared" si="80"/>
        <v>6</v>
      </c>
      <c r="AG283" s="4">
        <f t="shared" si="81"/>
        <v>6</v>
      </c>
      <c r="AJ283" s="4">
        <f t="shared" si="82"/>
        <v>6</v>
      </c>
      <c r="AM283" s="4">
        <f t="shared" si="83"/>
        <v>6</v>
      </c>
      <c r="AP283" s="4">
        <f t="shared" si="84"/>
        <v>6</v>
      </c>
      <c r="AS283" s="4">
        <f t="shared" si="85"/>
        <v>6</v>
      </c>
      <c r="AV283" s="4">
        <f t="shared" si="86"/>
        <v>6</v>
      </c>
      <c r="AY283" s="4">
        <f t="shared" si="87"/>
        <v>6</v>
      </c>
      <c r="BB283" s="4">
        <f t="shared" si="88"/>
        <v>6</v>
      </c>
      <c r="BE283" s="4">
        <f t="shared" si="89"/>
        <v>6</v>
      </c>
      <c r="BR283" s="5"/>
    </row>
    <row r="284" spans="1:70" x14ac:dyDescent="0.2">
      <c r="A284" s="4" t="s">
        <v>268</v>
      </c>
      <c r="B284" s="4">
        <v>890</v>
      </c>
      <c r="C284" s="4">
        <v>19</v>
      </c>
      <c r="D284" s="4">
        <v>19</v>
      </c>
      <c r="E284" s="284">
        <v>1250</v>
      </c>
      <c r="F284" s="5">
        <v>1241</v>
      </c>
      <c r="G284" s="5">
        <v>1242</v>
      </c>
      <c r="H284" s="5">
        <v>1232</v>
      </c>
      <c r="I284" s="5">
        <v>1212</v>
      </c>
      <c r="J284" s="5">
        <v>1219</v>
      </c>
      <c r="K284" s="5">
        <v>1176</v>
      </c>
      <c r="L284" s="5">
        <v>1180</v>
      </c>
      <c r="M284" s="5">
        <v>1139</v>
      </c>
      <c r="N284" s="5">
        <v>1198</v>
      </c>
      <c r="O284" s="5">
        <v>1195</v>
      </c>
      <c r="P284" s="5">
        <v>1193</v>
      </c>
      <c r="Q284" s="5">
        <v>1192</v>
      </c>
      <c r="R284" s="5">
        <v>1192</v>
      </c>
      <c r="S284" s="5">
        <v>1191</v>
      </c>
      <c r="T284" s="5">
        <v>1192</v>
      </c>
      <c r="U284" s="5"/>
      <c r="V284" s="5"/>
      <c r="X284" s="7">
        <f t="shared" si="90"/>
        <v>7</v>
      </c>
      <c r="AA284" s="24">
        <f t="shared" si="91"/>
        <v>7</v>
      </c>
      <c r="AD284" s="4">
        <f t="shared" si="80"/>
        <v>7</v>
      </c>
      <c r="AG284" s="4">
        <f t="shared" si="81"/>
        <v>7</v>
      </c>
      <c r="AJ284" s="4">
        <f t="shared" si="82"/>
        <v>7</v>
      </c>
      <c r="AM284" s="4">
        <f t="shared" si="83"/>
        <v>7</v>
      </c>
      <c r="AP284" s="4">
        <f t="shared" si="84"/>
        <v>7</v>
      </c>
      <c r="AS284" s="4">
        <f t="shared" si="85"/>
        <v>7</v>
      </c>
      <c r="AV284" s="4">
        <f t="shared" si="86"/>
        <v>7</v>
      </c>
      <c r="AY284" s="4">
        <f t="shared" si="87"/>
        <v>7</v>
      </c>
      <c r="BB284" s="4">
        <f t="shared" si="88"/>
        <v>7</v>
      </c>
      <c r="BE284" s="4">
        <f t="shared" si="89"/>
        <v>7</v>
      </c>
      <c r="BR284" s="5"/>
    </row>
    <row r="285" spans="1:70" x14ac:dyDescent="0.2">
      <c r="A285" s="4" t="s">
        <v>269</v>
      </c>
      <c r="B285" s="4">
        <v>892</v>
      </c>
      <c r="C285" s="4">
        <v>13</v>
      </c>
      <c r="D285" s="4">
        <v>13</v>
      </c>
      <c r="E285" s="284">
        <v>3666</v>
      </c>
      <c r="F285" s="5">
        <v>3717</v>
      </c>
      <c r="G285" s="5">
        <v>3747</v>
      </c>
      <c r="H285" s="5">
        <v>3783</v>
      </c>
      <c r="I285" s="5">
        <v>3681</v>
      </c>
      <c r="J285" s="5">
        <v>3646</v>
      </c>
      <c r="K285" s="5">
        <v>3634</v>
      </c>
      <c r="L285" s="5">
        <v>3592</v>
      </c>
      <c r="M285" s="5">
        <v>3615</v>
      </c>
      <c r="N285" s="5">
        <v>3662</v>
      </c>
      <c r="O285" s="5">
        <v>3655</v>
      </c>
      <c r="P285" s="5">
        <v>3641</v>
      </c>
      <c r="Q285" s="5">
        <v>3625</v>
      </c>
      <c r="R285" s="5">
        <v>3604</v>
      </c>
      <c r="S285" s="5">
        <v>3584</v>
      </c>
      <c r="T285" s="5">
        <v>3564</v>
      </c>
      <c r="U285" s="5"/>
      <c r="V285" s="5"/>
      <c r="X285" s="7">
        <f t="shared" si="90"/>
        <v>6</v>
      </c>
      <c r="AA285" s="24">
        <f t="shared" si="91"/>
        <v>6</v>
      </c>
      <c r="AD285" s="4">
        <f t="shared" si="80"/>
        <v>6</v>
      </c>
      <c r="AG285" s="4">
        <f t="shared" si="81"/>
        <v>6</v>
      </c>
      <c r="AJ285" s="4">
        <f t="shared" si="82"/>
        <v>6</v>
      </c>
      <c r="AM285" s="4">
        <f t="shared" si="83"/>
        <v>6</v>
      </c>
      <c r="AP285" s="4">
        <f t="shared" si="84"/>
        <v>6</v>
      </c>
      <c r="AS285" s="4">
        <f t="shared" si="85"/>
        <v>6</v>
      </c>
      <c r="AV285" s="4">
        <f t="shared" si="86"/>
        <v>6</v>
      </c>
      <c r="AY285" s="4">
        <f t="shared" si="87"/>
        <v>6</v>
      </c>
      <c r="BB285" s="4">
        <f t="shared" si="88"/>
        <v>6</v>
      </c>
      <c r="BE285" s="4">
        <f t="shared" si="89"/>
        <v>6</v>
      </c>
      <c r="BR285" s="5"/>
    </row>
    <row r="286" spans="1:70" x14ac:dyDescent="0.2">
      <c r="A286" s="4" t="s">
        <v>270</v>
      </c>
      <c r="B286" s="4">
        <v>893</v>
      </c>
      <c r="C286" s="4">
        <v>15</v>
      </c>
      <c r="D286" s="4">
        <v>15</v>
      </c>
      <c r="E286" s="284">
        <v>7564</v>
      </c>
      <c r="F286" s="5">
        <v>7516</v>
      </c>
      <c r="G286" s="5">
        <v>7521</v>
      </c>
      <c r="H286" s="5">
        <v>7455</v>
      </c>
      <c r="I286" s="5">
        <v>7464</v>
      </c>
      <c r="J286" s="5">
        <v>7479</v>
      </c>
      <c r="K286" s="5">
        <v>7497</v>
      </c>
      <c r="L286" s="5">
        <v>7434</v>
      </c>
      <c r="M286" s="5">
        <v>7500</v>
      </c>
      <c r="N286" s="5">
        <v>7434</v>
      </c>
      <c r="O286" s="5">
        <v>7418</v>
      </c>
      <c r="P286" s="5">
        <v>7395</v>
      </c>
      <c r="Q286" s="5">
        <v>7370</v>
      </c>
      <c r="R286" s="5">
        <v>7338</v>
      </c>
      <c r="S286" s="5">
        <v>7309</v>
      </c>
      <c r="T286" s="5">
        <v>7280</v>
      </c>
      <c r="U286" s="5"/>
      <c r="V286" s="5"/>
      <c r="X286" s="7">
        <f t="shared" si="90"/>
        <v>5</v>
      </c>
      <c r="AA286" s="24">
        <f t="shared" si="91"/>
        <v>5</v>
      </c>
      <c r="AD286" s="4">
        <f t="shared" ref="AD286:AD307" si="92">IF(K286&gt;100000,1,IF(K286&gt;40000,2,IF(K286&gt;20000,3,IF(K286&gt;10000,4,IF(K286&gt;5000,5,IF(K286&gt;1999,6,IF(K286&gt;0,7,"")))))))</f>
        <v>5</v>
      </c>
      <c r="AG286" s="4">
        <f t="shared" ref="AG286:AG307" si="93">IF(L286&gt;100000,1,IF(L286&gt;40000,2,IF(L286&gt;20000,3,IF(L286&gt;10000,4,IF(L286&gt;5000,5,IF(L286&gt;1999,6,IF(L286&gt;0,7,"")))))))</f>
        <v>5</v>
      </c>
      <c r="AJ286" s="4">
        <f t="shared" ref="AJ286:AJ307" si="94">IF(M286&gt;100000,1,IF(M286&gt;40000,2,IF(M286&gt;20000,3,IF(M286&gt;10000,4,IF(M286&gt;5000,5,IF(M286&gt;1999,6,IF(M286&gt;0,7,"")))))))</f>
        <v>5</v>
      </c>
      <c r="AM286" s="4">
        <f t="shared" ref="AM286:AM307" si="95">IF(N286&gt;100000,1,IF(N286&gt;40000,2,IF(N286&gt;20000,3,IF(N286&gt;10000,4,IF(N286&gt;5000,5,IF(N286&gt;1999,6,IF(N286&gt;0,7,"")))))))</f>
        <v>5</v>
      </c>
      <c r="AP286" s="4">
        <f t="shared" ref="AP286:AP307" si="96">IF(O286&gt;100000,1,IF(O286&gt;40000,2,IF(O286&gt;20000,3,IF(O286&gt;10000,4,IF(O286&gt;5000,5,IF(O286&gt;1999,6,IF(O286&gt;0,7,"")))))))</f>
        <v>5</v>
      </c>
      <c r="AS286" s="4">
        <f t="shared" ref="AS286:AS307" si="97">IF(P286&gt;100000,1,IF(P286&gt;40000,2,IF(P286&gt;20000,3,IF(P286&gt;10000,4,IF(P286&gt;5000,5,IF(P286&gt;1999,6,IF(P286&gt;0,7,"")))))))</f>
        <v>5</v>
      </c>
      <c r="AV286" s="4">
        <f t="shared" ref="AV286:AV307" si="98">IF(Q286&gt;100000,1,IF(Q286&gt;40000,2,IF(Q286&gt;20000,3,IF(Q286&gt;10000,4,IF(Q286&gt;5000,5,IF(Q286&gt;1999,6,IF(Q286&gt;0,7,"")))))))</f>
        <v>5</v>
      </c>
      <c r="AY286" s="4">
        <f t="shared" ref="AY286:AY307" si="99">IF(R286&gt;100000,1,IF(R286&gt;40000,2,IF(R286&gt;20000,3,IF(R286&gt;10000,4,IF(R286&gt;5000,5,IF(R286&gt;1999,6,IF(R286&gt;0,7,"")))))))</f>
        <v>5</v>
      </c>
      <c r="BB286" s="4">
        <f t="shared" si="88"/>
        <v>5</v>
      </c>
      <c r="BE286" s="4">
        <f t="shared" si="89"/>
        <v>5</v>
      </c>
      <c r="BR286" s="5"/>
    </row>
    <row r="287" spans="1:70" x14ac:dyDescent="0.2">
      <c r="A287" s="4" t="s">
        <v>271</v>
      </c>
      <c r="B287" s="4">
        <v>895</v>
      </c>
      <c r="C287" s="4">
        <v>2</v>
      </c>
      <c r="D287" s="4">
        <v>2</v>
      </c>
      <c r="E287" s="284">
        <v>15510</v>
      </c>
      <c r="F287" s="5">
        <v>15404</v>
      </c>
      <c r="G287" s="5">
        <v>15752</v>
      </c>
      <c r="H287" s="5">
        <v>15700</v>
      </c>
      <c r="I287" s="5">
        <v>15522</v>
      </c>
      <c r="J287" s="5">
        <v>15378</v>
      </c>
      <c r="K287" s="5">
        <v>15463</v>
      </c>
      <c r="L287" s="5">
        <v>15092</v>
      </c>
      <c r="M287" s="5">
        <v>14938</v>
      </c>
      <c r="N287" s="5">
        <v>15049</v>
      </c>
      <c r="O287" s="5">
        <v>14961</v>
      </c>
      <c r="P287" s="5">
        <v>14876</v>
      </c>
      <c r="Q287" s="5">
        <v>14790</v>
      </c>
      <c r="R287" s="5">
        <v>14708</v>
      </c>
      <c r="S287" s="5">
        <v>14624</v>
      </c>
      <c r="T287" s="5">
        <v>14540</v>
      </c>
      <c r="U287" s="5"/>
      <c r="V287" s="5"/>
      <c r="X287" s="7">
        <f t="shared" si="90"/>
        <v>4</v>
      </c>
      <c r="AA287" s="24">
        <f t="shared" si="91"/>
        <v>4</v>
      </c>
      <c r="AD287" s="4">
        <f t="shared" si="92"/>
        <v>4</v>
      </c>
      <c r="AG287" s="4">
        <f t="shared" si="93"/>
        <v>4</v>
      </c>
      <c r="AJ287" s="4">
        <f t="shared" si="94"/>
        <v>4</v>
      </c>
      <c r="AM287" s="4">
        <f t="shared" si="95"/>
        <v>4</v>
      </c>
      <c r="AP287" s="4">
        <f t="shared" si="96"/>
        <v>4</v>
      </c>
      <c r="AS287" s="4">
        <f t="shared" si="97"/>
        <v>4</v>
      </c>
      <c r="AV287" s="4">
        <f t="shared" si="98"/>
        <v>4</v>
      </c>
      <c r="AY287" s="4">
        <f t="shared" si="99"/>
        <v>4</v>
      </c>
      <c r="BB287" s="4">
        <f t="shared" si="88"/>
        <v>4</v>
      </c>
      <c r="BE287" s="4">
        <f t="shared" si="89"/>
        <v>4</v>
      </c>
      <c r="BR287" s="5"/>
    </row>
    <row r="288" spans="1:70" x14ac:dyDescent="0.2">
      <c r="A288" s="4" t="s">
        <v>273</v>
      </c>
      <c r="B288" s="4">
        <v>905</v>
      </c>
      <c r="C288" s="4">
        <v>15</v>
      </c>
      <c r="D288" s="4">
        <v>15</v>
      </c>
      <c r="E288" s="284">
        <v>67619</v>
      </c>
      <c r="F288" s="5">
        <v>67620</v>
      </c>
      <c r="G288" s="5">
        <v>67392</v>
      </c>
      <c r="H288" s="5">
        <v>67552</v>
      </c>
      <c r="I288" s="5">
        <v>67636</v>
      </c>
      <c r="J288" s="5">
        <v>67551</v>
      </c>
      <c r="K288" s="5">
        <v>67615</v>
      </c>
      <c r="L288" s="5">
        <v>67988</v>
      </c>
      <c r="M288" s="5">
        <v>68956</v>
      </c>
      <c r="N288" s="5">
        <v>67677</v>
      </c>
      <c r="O288" s="5">
        <v>67675</v>
      </c>
      <c r="P288" s="5">
        <v>67680</v>
      </c>
      <c r="Q288" s="5">
        <v>67693</v>
      </c>
      <c r="R288" s="5">
        <v>67709</v>
      </c>
      <c r="S288" s="5">
        <v>67722</v>
      </c>
      <c r="T288" s="5">
        <v>67724</v>
      </c>
      <c r="U288" s="5"/>
      <c r="V288" s="5"/>
      <c r="X288" s="7">
        <f t="shared" si="90"/>
        <v>2</v>
      </c>
      <c r="AA288" s="24">
        <f t="shared" si="91"/>
        <v>2</v>
      </c>
      <c r="AD288" s="4">
        <f t="shared" si="92"/>
        <v>2</v>
      </c>
      <c r="AG288" s="4">
        <f t="shared" si="93"/>
        <v>2</v>
      </c>
      <c r="AJ288" s="4">
        <f t="shared" si="94"/>
        <v>2</v>
      </c>
      <c r="AM288" s="4">
        <f t="shared" si="95"/>
        <v>2</v>
      </c>
      <c r="AP288" s="4">
        <f t="shared" si="96"/>
        <v>2</v>
      </c>
      <c r="AS288" s="4">
        <f t="shared" si="97"/>
        <v>2</v>
      </c>
      <c r="AV288" s="4">
        <f t="shared" si="98"/>
        <v>2</v>
      </c>
      <c r="AY288" s="4">
        <f t="shared" si="99"/>
        <v>2</v>
      </c>
      <c r="BB288" s="4">
        <f t="shared" si="88"/>
        <v>2</v>
      </c>
      <c r="BE288" s="4">
        <f t="shared" si="89"/>
        <v>2</v>
      </c>
      <c r="BR288" s="5"/>
    </row>
    <row r="289" spans="1:70" x14ac:dyDescent="0.2">
      <c r="A289" s="4" t="s">
        <v>274</v>
      </c>
      <c r="B289" s="4">
        <v>908</v>
      </c>
      <c r="C289" s="4">
        <v>6</v>
      </c>
      <c r="D289" s="4">
        <v>6</v>
      </c>
      <c r="E289" s="284">
        <v>21332</v>
      </c>
      <c r="F289" s="5">
        <v>21346</v>
      </c>
      <c r="G289" s="5">
        <v>21136</v>
      </c>
      <c r="H289" s="5">
        <v>21137</v>
      </c>
      <c r="I289" s="5">
        <v>20972</v>
      </c>
      <c r="J289" s="5">
        <v>20765</v>
      </c>
      <c r="K289" s="5">
        <v>20695</v>
      </c>
      <c r="L289" s="5">
        <v>20703</v>
      </c>
      <c r="M289" s="5">
        <v>20694</v>
      </c>
      <c r="N289" s="5">
        <v>20255</v>
      </c>
      <c r="O289" s="5">
        <v>20138</v>
      </c>
      <c r="P289" s="5">
        <v>20022</v>
      </c>
      <c r="Q289" s="5">
        <v>19904</v>
      </c>
      <c r="R289" s="5">
        <v>19783</v>
      </c>
      <c r="S289" s="5">
        <v>19659</v>
      </c>
      <c r="T289" s="5">
        <v>19536</v>
      </c>
      <c r="U289" s="5"/>
      <c r="V289" s="5"/>
      <c r="X289" s="7">
        <f t="shared" si="90"/>
        <v>3</v>
      </c>
      <c r="AA289" s="24">
        <f t="shared" si="91"/>
        <v>3</v>
      </c>
      <c r="AD289" s="4">
        <f t="shared" si="92"/>
        <v>3</v>
      </c>
      <c r="AG289" s="4">
        <f t="shared" si="93"/>
        <v>3</v>
      </c>
      <c r="AJ289" s="4">
        <f t="shared" si="94"/>
        <v>3</v>
      </c>
      <c r="AM289" s="4">
        <f t="shared" si="95"/>
        <v>3</v>
      </c>
      <c r="AP289" s="4">
        <f t="shared" si="96"/>
        <v>3</v>
      </c>
      <c r="AS289" s="4">
        <f t="shared" si="97"/>
        <v>3</v>
      </c>
      <c r="AV289" s="4">
        <f t="shared" si="98"/>
        <v>4</v>
      </c>
      <c r="AY289" s="4">
        <f t="shared" si="99"/>
        <v>4</v>
      </c>
      <c r="BB289" s="4">
        <f t="shared" si="88"/>
        <v>4</v>
      </c>
      <c r="BE289" s="4">
        <f t="shared" si="89"/>
        <v>4</v>
      </c>
      <c r="BR289" s="5"/>
    </row>
    <row r="290" spans="1:70" x14ac:dyDescent="0.2">
      <c r="A290" s="4" t="s">
        <v>276</v>
      </c>
      <c r="B290" s="4">
        <v>915</v>
      </c>
      <c r="C290" s="4">
        <v>11</v>
      </c>
      <c r="D290" s="4">
        <v>11</v>
      </c>
      <c r="E290" s="284">
        <v>21638</v>
      </c>
      <c r="F290" s="5">
        <v>21468</v>
      </c>
      <c r="G290" s="5">
        <v>21155</v>
      </c>
      <c r="H290" s="5">
        <v>20829</v>
      </c>
      <c r="I290" s="5">
        <v>20466</v>
      </c>
      <c r="J290" s="5">
        <v>20278</v>
      </c>
      <c r="K290" s="5">
        <v>19973</v>
      </c>
      <c r="L290" s="5">
        <v>19759</v>
      </c>
      <c r="M290" s="5">
        <v>19727</v>
      </c>
      <c r="N290" s="5">
        <v>19254</v>
      </c>
      <c r="O290" s="5">
        <v>19021</v>
      </c>
      <c r="P290" s="5">
        <v>18797</v>
      </c>
      <c r="Q290" s="5">
        <v>18582</v>
      </c>
      <c r="R290" s="5">
        <v>18370</v>
      </c>
      <c r="S290" s="5">
        <v>18162</v>
      </c>
      <c r="T290" s="5">
        <v>17961</v>
      </c>
      <c r="U290" s="5"/>
      <c r="V290" s="5"/>
      <c r="X290" s="7">
        <f t="shared" si="90"/>
        <v>3</v>
      </c>
      <c r="AA290" s="24">
        <f t="shared" si="91"/>
        <v>3</v>
      </c>
      <c r="AD290" s="4">
        <f t="shared" si="92"/>
        <v>4</v>
      </c>
      <c r="AG290" s="4">
        <f t="shared" si="93"/>
        <v>4</v>
      </c>
      <c r="AJ290" s="4">
        <f t="shared" si="94"/>
        <v>4</v>
      </c>
      <c r="AM290" s="4">
        <f t="shared" si="95"/>
        <v>4</v>
      </c>
      <c r="AP290" s="4">
        <f t="shared" si="96"/>
        <v>4</v>
      </c>
      <c r="AS290" s="4">
        <f t="shared" si="97"/>
        <v>4</v>
      </c>
      <c r="AV290" s="4">
        <f t="shared" si="98"/>
        <v>4</v>
      </c>
      <c r="AY290" s="4">
        <f t="shared" si="99"/>
        <v>4</v>
      </c>
      <c r="BB290" s="4">
        <f t="shared" si="88"/>
        <v>4</v>
      </c>
      <c r="BE290" s="4">
        <f t="shared" si="89"/>
        <v>4</v>
      </c>
      <c r="BR290" s="5"/>
    </row>
    <row r="291" spans="1:70" x14ac:dyDescent="0.2">
      <c r="A291" s="4" t="s">
        <v>277</v>
      </c>
      <c r="B291" s="4">
        <v>918</v>
      </c>
      <c r="C291" s="4">
        <v>2</v>
      </c>
      <c r="D291" s="4">
        <v>2</v>
      </c>
      <c r="E291" s="284">
        <v>2276</v>
      </c>
      <c r="F291" s="5">
        <v>2277</v>
      </c>
      <c r="G291" s="5">
        <v>2316</v>
      </c>
      <c r="H291" s="5">
        <v>2285</v>
      </c>
      <c r="I291" s="5">
        <v>2293</v>
      </c>
      <c r="J291" s="5">
        <v>2292</v>
      </c>
      <c r="K291" s="5">
        <v>2271</v>
      </c>
      <c r="L291" s="5">
        <v>2228</v>
      </c>
      <c r="M291" s="5">
        <v>2245</v>
      </c>
      <c r="N291" s="5">
        <v>2322</v>
      </c>
      <c r="O291" s="5">
        <v>2326</v>
      </c>
      <c r="P291" s="5">
        <v>2331</v>
      </c>
      <c r="Q291" s="5">
        <v>2337</v>
      </c>
      <c r="R291" s="5">
        <v>2342</v>
      </c>
      <c r="S291" s="5">
        <v>2346</v>
      </c>
      <c r="T291" s="5">
        <v>2353</v>
      </c>
      <c r="U291" s="5"/>
      <c r="V291" s="5"/>
      <c r="X291" s="7">
        <f t="shared" si="90"/>
        <v>6</v>
      </c>
      <c r="AA291" s="24">
        <f t="shared" si="91"/>
        <v>6</v>
      </c>
      <c r="AD291" s="4">
        <f t="shared" si="92"/>
        <v>6</v>
      </c>
      <c r="AG291" s="4">
        <f t="shared" si="93"/>
        <v>6</v>
      </c>
      <c r="AJ291" s="4">
        <f t="shared" si="94"/>
        <v>6</v>
      </c>
      <c r="AM291" s="4">
        <f t="shared" si="95"/>
        <v>6</v>
      </c>
      <c r="AP291" s="4">
        <f t="shared" si="96"/>
        <v>6</v>
      </c>
      <c r="AS291" s="4">
        <f t="shared" si="97"/>
        <v>6</v>
      </c>
      <c r="AV291" s="4">
        <f t="shared" si="98"/>
        <v>6</v>
      </c>
      <c r="AY291" s="4">
        <f t="shared" si="99"/>
        <v>6</v>
      </c>
      <c r="BB291" s="4">
        <f t="shared" si="88"/>
        <v>6</v>
      </c>
      <c r="BE291" s="4">
        <f t="shared" si="89"/>
        <v>6</v>
      </c>
      <c r="BR291" s="5"/>
    </row>
    <row r="292" spans="1:70" x14ac:dyDescent="0.2">
      <c r="A292" s="4" t="s">
        <v>278</v>
      </c>
      <c r="B292" s="4">
        <v>921</v>
      </c>
      <c r="C292" s="4">
        <v>11</v>
      </c>
      <c r="D292" s="4">
        <v>11</v>
      </c>
      <c r="E292" s="284">
        <v>2191</v>
      </c>
      <c r="F292" s="5">
        <v>2148</v>
      </c>
      <c r="G292" s="5">
        <v>2094</v>
      </c>
      <c r="H292" s="5">
        <v>2058</v>
      </c>
      <c r="I292" s="5">
        <v>2014</v>
      </c>
      <c r="J292" s="5">
        <v>1972</v>
      </c>
      <c r="K292" s="5">
        <v>1941</v>
      </c>
      <c r="L292" s="5">
        <v>1894</v>
      </c>
      <c r="M292" s="5">
        <v>1895</v>
      </c>
      <c r="N292" s="5">
        <v>1813</v>
      </c>
      <c r="O292" s="5">
        <v>1780</v>
      </c>
      <c r="P292" s="5">
        <v>1748</v>
      </c>
      <c r="Q292" s="5">
        <v>1718</v>
      </c>
      <c r="R292" s="5">
        <v>1689</v>
      </c>
      <c r="S292" s="5">
        <v>1662</v>
      </c>
      <c r="T292" s="5">
        <v>1636</v>
      </c>
      <c r="U292" s="5"/>
      <c r="V292" s="5"/>
      <c r="X292" s="7">
        <f t="shared" si="90"/>
        <v>6</v>
      </c>
      <c r="AA292" s="24">
        <f t="shared" si="91"/>
        <v>7</v>
      </c>
      <c r="AD292" s="4">
        <f t="shared" si="92"/>
        <v>7</v>
      </c>
      <c r="AG292" s="4">
        <f t="shared" si="93"/>
        <v>7</v>
      </c>
      <c r="AJ292" s="4">
        <f t="shared" si="94"/>
        <v>7</v>
      </c>
      <c r="AM292" s="4">
        <f t="shared" si="95"/>
        <v>7</v>
      </c>
      <c r="AP292" s="4">
        <f t="shared" si="96"/>
        <v>7</v>
      </c>
      <c r="AS292" s="4">
        <f t="shared" si="97"/>
        <v>7</v>
      </c>
      <c r="AV292" s="4">
        <f t="shared" si="98"/>
        <v>7</v>
      </c>
      <c r="AY292" s="4">
        <f t="shared" si="99"/>
        <v>7</v>
      </c>
      <c r="BB292" s="4">
        <f t="shared" si="88"/>
        <v>7</v>
      </c>
      <c r="BE292" s="4">
        <f t="shared" si="89"/>
        <v>7</v>
      </c>
      <c r="BR292" s="5"/>
    </row>
    <row r="293" spans="1:70" x14ac:dyDescent="0.2">
      <c r="A293" s="4" t="s">
        <v>279</v>
      </c>
      <c r="B293" s="4">
        <v>922</v>
      </c>
      <c r="C293" s="4">
        <v>6</v>
      </c>
      <c r="D293" s="4">
        <v>6</v>
      </c>
      <c r="E293" s="284">
        <v>4489</v>
      </c>
      <c r="F293" s="5">
        <v>4462</v>
      </c>
      <c r="G293" s="5">
        <v>4460</v>
      </c>
      <c r="H293" s="5">
        <v>4393</v>
      </c>
      <c r="I293" s="5">
        <v>4355</v>
      </c>
      <c r="J293" s="5">
        <v>4367</v>
      </c>
      <c r="K293" s="5">
        <v>4444</v>
      </c>
      <c r="L293" s="5">
        <v>4501</v>
      </c>
      <c r="M293" s="5">
        <v>4469</v>
      </c>
      <c r="N293" s="5">
        <v>4301</v>
      </c>
      <c r="O293" s="5">
        <v>4290</v>
      </c>
      <c r="P293" s="5">
        <v>4284</v>
      </c>
      <c r="Q293" s="5">
        <v>4278</v>
      </c>
      <c r="R293" s="5">
        <v>4272</v>
      </c>
      <c r="S293" s="5">
        <v>4266</v>
      </c>
      <c r="T293" s="5">
        <v>4262</v>
      </c>
      <c r="U293" s="5"/>
      <c r="V293" s="5"/>
      <c r="X293" s="7">
        <f t="shared" si="90"/>
        <v>6</v>
      </c>
      <c r="AA293" s="24">
        <f t="shared" si="91"/>
        <v>6</v>
      </c>
      <c r="AD293" s="4">
        <f t="shared" si="92"/>
        <v>6</v>
      </c>
      <c r="AG293" s="4">
        <f t="shared" si="93"/>
        <v>6</v>
      </c>
      <c r="AJ293" s="4">
        <f t="shared" si="94"/>
        <v>6</v>
      </c>
      <c r="AM293" s="4">
        <f t="shared" si="95"/>
        <v>6</v>
      </c>
      <c r="AP293" s="4">
        <f t="shared" si="96"/>
        <v>6</v>
      </c>
      <c r="AS293" s="4">
        <f t="shared" si="97"/>
        <v>6</v>
      </c>
      <c r="AV293" s="4">
        <f t="shared" si="98"/>
        <v>6</v>
      </c>
      <c r="AY293" s="4">
        <f t="shared" si="99"/>
        <v>6</v>
      </c>
      <c r="BB293" s="4">
        <f t="shared" si="88"/>
        <v>6</v>
      </c>
      <c r="BE293" s="4">
        <f t="shared" si="89"/>
        <v>6</v>
      </c>
      <c r="BR293" s="5"/>
    </row>
    <row r="294" spans="1:70" x14ac:dyDescent="0.2">
      <c r="A294" s="4" t="s">
        <v>280</v>
      </c>
      <c r="B294" s="4">
        <v>924</v>
      </c>
      <c r="C294" s="4">
        <v>16</v>
      </c>
      <c r="D294" s="4">
        <v>16</v>
      </c>
      <c r="E294" s="284">
        <v>3302</v>
      </c>
      <c r="F294" s="5">
        <v>3259</v>
      </c>
      <c r="G294" s="5">
        <v>3216</v>
      </c>
      <c r="H294" s="5">
        <v>3166</v>
      </c>
      <c r="I294" s="5">
        <v>3114</v>
      </c>
      <c r="J294" s="5">
        <v>3065</v>
      </c>
      <c r="K294" s="5">
        <v>3004</v>
      </c>
      <c r="L294" s="5">
        <v>2946</v>
      </c>
      <c r="M294" s="5">
        <v>2936</v>
      </c>
      <c r="N294" s="5">
        <v>2887</v>
      </c>
      <c r="O294" s="5">
        <v>2843</v>
      </c>
      <c r="P294" s="5">
        <v>2801</v>
      </c>
      <c r="Q294" s="5">
        <v>2758</v>
      </c>
      <c r="R294" s="5">
        <v>2716</v>
      </c>
      <c r="S294" s="5">
        <v>2673</v>
      </c>
      <c r="T294" s="5">
        <v>2632</v>
      </c>
      <c r="U294" s="5"/>
      <c r="V294" s="5"/>
      <c r="X294" s="7">
        <f t="shared" si="90"/>
        <v>6</v>
      </c>
      <c r="AA294" s="24">
        <f t="shared" si="91"/>
        <v>6</v>
      </c>
      <c r="AD294" s="4">
        <f t="shared" si="92"/>
        <v>6</v>
      </c>
      <c r="AG294" s="4">
        <f t="shared" si="93"/>
        <v>6</v>
      </c>
      <c r="AJ294" s="4">
        <f t="shared" si="94"/>
        <v>6</v>
      </c>
      <c r="AM294" s="4">
        <f t="shared" si="95"/>
        <v>6</v>
      </c>
      <c r="AP294" s="4">
        <f t="shared" si="96"/>
        <v>6</v>
      </c>
      <c r="AS294" s="4">
        <f t="shared" si="97"/>
        <v>6</v>
      </c>
      <c r="AV294" s="4">
        <f t="shared" si="98"/>
        <v>6</v>
      </c>
      <c r="AY294" s="4">
        <f t="shared" si="99"/>
        <v>6</v>
      </c>
      <c r="BB294" s="4">
        <f t="shared" si="88"/>
        <v>6</v>
      </c>
      <c r="BE294" s="4">
        <f t="shared" si="89"/>
        <v>6</v>
      </c>
      <c r="BR294" s="5"/>
    </row>
    <row r="295" spans="1:70" x14ac:dyDescent="0.2">
      <c r="A295" s="4" t="s">
        <v>281</v>
      </c>
      <c r="B295" s="4">
        <v>925</v>
      </c>
      <c r="C295" s="4">
        <v>11</v>
      </c>
      <c r="D295" s="4">
        <v>11</v>
      </c>
      <c r="E295" s="284">
        <v>3757</v>
      </c>
      <c r="F295" s="5">
        <v>3721</v>
      </c>
      <c r="G295" s="5">
        <v>3685</v>
      </c>
      <c r="H295" s="5">
        <v>3676</v>
      </c>
      <c r="I295" s="5">
        <v>3579</v>
      </c>
      <c r="J295" s="5">
        <v>3522</v>
      </c>
      <c r="K295" s="5">
        <v>3490</v>
      </c>
      <c r="L295" s="5">
        <v>3427</v>
      </c>
      <c r="M295" s="5">
        <v>3387</v>
      </c>
      <c r="N295" s="5">
        <v>3346</v>
      </c>
      <c r="O295" s="5">
        <v>3309</v>
      </c>
      <c r="P295" s="5">
        <v>3271</v>
      </c>
      <c r="Q295" s="5">
        <v>3236</v>
      </c>
      <c r="R295" s="5">
        <v>3201</v>
      </c>
      <c r="S295" s="5">
        <v>3165</v>
      </c>
      <c r="T295" s="5">
        <v>3130</v>
      </c>
      <c r="U295" s="5"/>
      <c r="V295" s="5"/>
      <c r="X295" s="7">
        <f t="shared" si="90"/>
        <v>6</v>
      </c>
      <c r="AA295" s="24">
        <f t="shared" si="91"/>
        <v>6</v>
      </c>
      <c r="AD295" s="4">
        <f t="shared" si="92"/>
        <v>6</v>
      </c>
      <c r="AG295" s="4">
        <f t="shared" si="93"/>
        <v>6</v>
      </c>
      <c r="AJ295" s="4">
        <f t="shared" si="94"/>
        <v>6</v>
      </c>
      <c r="AM295" s="4">
        <f t="shared" si="95"/>
        <v>6</v>
      </c>
      <c r="AP295" s="4">
        <f t="shared" si="96"/>
        <v>6</v>
      </c>
      <c r="AS295" s="4">
        <f t="shared" si="97"/>
        <v>6</v>
      </c>
      <c r="AV295" s="4">
        <f t="shared" si="98"/>
        <v>6</v>
      </c>
      <c r="AY295" s="4">
        <f t="shared" si="99"/>
        <v>6</v>
      </c>
      <c r="BB295" s="4">
        <f t="shared" si="88"/>
        <v>6</v>
      </c>
      <c r="BE295" s="4">
        <f t="shared" si="89"/>
        <v>6</v>
      </c>
      <c r="BR295" s="5"/>
    </row>
    <row r="296" spans="1:70" x14ac:dyDescent="0.2">
      <c r="A296" s="4" t="s">
        <v>282</v>
      </c>
      <c r="B296" s="4">
        <v>927</v>
      </c>
      <c r="C296" s="4">
        <v>1</v>
      </c>
      <c r="D296" s="4">
        <v>33</v>
      </c>
      <c r="E296" s="284">
        <v>28919</v>
      </c>
      <c r="F296" s="5">
        <v>28967</v>
      </c>
      <c r="G296" s="5">
        <v>29054</v>
      </c>
      <c r="H296" s="5">
        <v>29211</v>
      </c>
      <c r="I296" s="5">
        <v>29158</v>
      </c>
      <c r="J296" s="5">
        <v>29160</v>
      </c>
      <c r="K296" s="5">
        <v>29239</v>
      </c>
      <c r="L296" s="5">
        <v>28913</v>
      </c>
      <c r="M296" s="5">
        <v>28811</v>
      </c>
      <c r="N296" s="5">
        <v>29330</v>
      </c>
      <c r="O296" s="5">
        <v>29379</v>
      </c>
      <c r="P296" s="5">
        <v>29422</v>
      </c>
      <c r="Q296" s="5">
        <v>29462</v>
      </c>
      <c r="R296" s="5">
        <v>29495</v>
      </c>
      <c r="S296" s="5">
        <v>29526</v>
      </c>
      <c r="T296" s="5">
        <v>29556</v>
      </c>
      <c r="U296" s="5"/>
      <c r="V296" s="5"/>
      <c r="X296" s="7">
        <f t="shared" si="90"/>
        <v>3</v>
      </c>
      <c r="AA296" s="24">
        <f t="shared" si="91"/>
        <v>3</v>
      </c>
      <c r="AD296" s="4">
        <f t="shared" si="92"/>
        <v>3</v>
      </c>
      <c r="AG296" s="4">
        <f t="shared" si="93"/>
        <v>3</v>
      </c>
      <c r="AJ296" s="4">
        <f t="shared" si="94"/>
        <v>3</v>
      </c>
      <c r="AM296" s="4">
        <f t="shared" si="95"/>
        <v>3</v>
      </c>
      <c r="AP296" s="4">
        <f t="shared" si="96"/>
        <v>3</v>
      </c>
      <c r="AS296" s="4">
        <f t="shared" si="97"/>
        <v>3</v>
      </c>
      <c r="AV296" s="4">
        <f t="shared" si="98"/>
        <v>3</v>
      </c>
      <c r="AY296" s="4">
        <f t="shared" si="99"/>
        <v>3</v>
      </c>
      <c r="BB296" s="4">
        <f t="shared" si="88"/>
        <v>3</v>
      </c>
      <c r="BE296" s="4">
        <f t="shared" si="89"/>
        <v>3</v>
      </c>
      <c r="BR296" s="5"/>
    </row>
    <row r="297" spans="1:70" x14ac:dyDescent="0.2">
      <c r="A297" s="4" t="s">
        <v>283</v>
      </c>
      <c r="B297" s="4">
        <v>931</v>
      </c>
      <c r="C297" s="4">
        <v>13</v>
      </c>
      <c r="D297" s="4">
        <v>13</v>
      </c>
      <c r="E297" s="284">
        <v>6666</v>
      </c>
      <c r="F297" s="5">
        <v>6607</v>
      </c>
      <c r="G297" s="5">
        <v>6411</v>
      </c>
      <c r="H297" s="5">
        <v>6264</v>
      </c>
      <c r="I297" s="5">
        <v>6176</v>
      </c>
      <c r="J297" s="5">
        <v>6097</v>
      </c>
      <c r="K297" s="5">
        <v>6070</v>
      </c>
      <c r="L297" s="5">
        <v>5951</v>
      </c>
      <c r="M297" s="5">
        <v>5877</v>
      </c>
      <c r="N297" s="5">
        <v>5684</v>
      </c>
      <c r="O297" s="5">
        <v>5597</v>
      </c>
      <c r="P297" s="5">
        <v>5514</v>
      </c>
      <c r="Q297" s="5">
        <v>5434</v>
      </c>
      <c r="R297" s="5">
        <v>5360</v>
      </c>
      <c r="S297" s="5">
        <v>5284</v>
      </c>
      <c r="T297" s="5">
        <v>5212</v>
      </c>
      <c r="U297" s="5"/>
      <c r="V297" s="5"/>
      <c r="X297" s="7">
        <f t="shared" si="90"/>
        <v>5</v>
      </c>
      <c r="AA297" s="24">
        <f t="shared" si="91"/>
        <v>5</v>
      </c>
      <c r="AD297" s="4">
        <f t="shared" si="92"/>
        <v>5</v>
      </c>
      <c r="AG297" s="4">
        <f t="shared" si="93"/>
        <v>5</v>
      </c>
      <c r="AJ297" s="4">
        <f t="shared" si="94"/>
        <v>5</v>
      </c>
      <c r="AM297" s="4">
        <f t="shared" si="95"/>
        <v>5</v>
      </c>
      <c r="AP297" s="4">
        <f t="shared" si="96"/>
        <v>5</v>
      </c>
      <c r="AS297" s="4">
        <f t="shared" si="97"/>
        <v>5</v>
      </c>
      <c r="AV297" s="4">
        <f t="shared" si="98"/>
        <v>5</v>
      </c>
      <c r="AY297" s="4">
        <f t="shared" si="99"/>
        <v>5</v>
      </c>
      <c r="BB297" s="4">
        <f t="shared" si="88"/>
        <v>5</v>
      </c>
      <c r="BE297" s="4">
        <f t="shared" si="89"/>
        <v>5</v>
      </c>
      <c r="BR297" s="5"/>
    </row>
    <row r="298" spans="1:70" x14ac:dyDescent="0.2">
      <c r="A298" s="4" t="s">
        <v>284</v>
      </c>
      <c r="B298" s="4">
        <v>934</v>
      </c>
      <c r="C298" s="4">
        <v>14</v>
      </c>
      <c r="D298" s="4">
        <v>14</v>
      </c>
      <c r="E298" s="284">
        <v>3073</v>
      </c>
      <c r="F298" s="5">
        <v>3025</v>
      </c>
      <c r="G298" s="5">
        <v>2974</v>
      </c>
      <c r="H298" s="5">
        <v>2901</v>
      </c>
      <c r="I298" s="5">
        <v>2827</v>
      </c>
      <c r="J298" s="5">
        <v>2784</v>
      </c>
      <c r="K298" s="5">
        <v>2756</v>
      </c>
      <c r="L298" s="5">
        <v>2671</v>
      </c>
      <c r="M298" s="5">
        <v>2656</v>
      </c>
      <c r="N298" s="5">
        <v>2555</v>
      </c>
      <c r="O298" s="5">
        <v>2502</v>
      </c>
      <c r="P298" s="5">
        <v>2454</v>
      </c>
      <c r="Q298" s="5">
        <v>2409</v>
      </c>
      <c r="R298" s="5">
        <v>2368</v>
      </c>
      <c r="S298" s="5">
        <v>2325</v>
      </c>
      <c r="T298" s="5">
        <v>2285</v>
      </c>
      <c r="U298" s="5"/>
      <c r="V298" s="5"/>
      <c r="X298" s="7">
        <f t="shared" si="90"/>
        <v>6</v>
      </c>
      <c r="AA298" s="24">
        <f t="shared" si="91"/>
        <v>6</v>
      </c>
      <c r="AD298" s="4">
        <f t="shared" si="92"/>
        <v>6</v>
      </c>
      <c r="AG298" s="4">
        <f t="shared" si="93"/>
        <v>6</v>
      </c>
      <c r="AJ298" s="4">
        <f t="shared" si="94"/>
        <v>6</v>
      </c>
      <c r="AM298" s="4">
        <f t="shared" si="95"/>
        <v>6</v>
      </c>
      <c r="AP298" s="4">
        <f t="shared" si="96"/>
        <v>6</v>
      </c>
      <c r="AS298" s="4">
        <f t="shared" si="97"/>
        <v>6</v>
      </c>
      <c r="AV298" s="4">
        <f t="shared" si="98"/>
        <v>6</v>
      </c>
      <c r="AY298" s="4">
        <f t="shared" si="99"/>
        <v>6</v>
      </c>
      <c r="BB298" s="4">
        <f t="shared" si="88"/>
        <v>6</v>
      </c>
      <c r="BE298" s="4">
        <f t="shared" si="89"/>
        <v>6</v>
      </c>
      <c r="BR298" s="5"/>
    </row>
    <row r="299" spans="1:70" x14ac:dyDescent="0.2">
      <c r="A299" s="4" t="s">
        <v>285</v>
      </c>
      <c r="B299" s="4">
        <v>935</v>
      </c>
      <c r="C299" s="4">
        <v>8</v>
      </c>
      <c r="D299" s="4">
        <v>8</v>
      </c>
      <c r="E299" s="284">
        <v>3347</v>
      </c>
      <c r="F299" s="5">
        <v>3267</v>
      </c>
      <c r="G299" s="5">
        <v>3207</v>
      </c>
      <c r="H299" s="5">
        <v>3150</v>
      </c>
      <c r="I299" s="5">
        <v>3109</v>
      </c>
      <c r="J299" s="5">
        <v>3087</v>
      </c>
      <c r="K299" s="5">
        <v>3040</v>
      </c>
      <c r="L299" s="5">
        <v>2985</v>
      </c>
      <c r="M299" s="5">
        <v>2927</v>
      </c>
      <c r="N299" s="5">
        <v>2912</v>
      </c>
      <c r="O299" s="5">
        <v>2876</v>
      </c>
      <c r="P299" s="5">
        <v>2842</v>
      </c>
      <c r="Q299" s="5">
        <v>2809</v>
      </c>
      <c r="R299" s="5">
        <v>2776</v>
      </c>
      <c r="S299" s="5">
        <v>2742</v>
      </c>
      <c r="T299" s="5">
        <v>2710</v>
      </c>
      <c r="U299" s="5"/>
      <c r="V299" s="5"/>
      <c r="X299" s="7">
        <f t="shared" si="90"/>
        <v>6</v>
      </c>
      <c r="AA299" s="24">
        <f t="shared" si="91"/>
        <v>6</v>
      </c>
      <c r="AD299" s="4">
        <f t="shared" si="92"/>
        <v>6</v>
      </c>
      <c r="AG299" s="4">
        <f t="shared" si="93"/>
        <v>6</v>
      </c>
      <c r="AJ299" s="4">
        <f t="shared" si="94"/>
        <v>6</v>
      </c>
      <c r="AM299" s="4">
        <f t="shared" si="95"/>
        <v>6</v>
      </c>
      <c r="AP299" s="4">
        <f t="shared" si="96"/>
        <v>6</v>
      </c>
      <c r="AS299" s="4">
        <f t="shared" si="97"/>
        <v>6</v>
      </c>
      <c r="AV299" s="4">
        <f t="shared" si="98"/>
        <v>6</v>
      </c>
      <c r="AY299" s="4">
        <f t="shared" si="99"/>
        <v>6</v>
      </c>
      <c r="BB299" s="4">
        <f t="shared" si="88"/>
        <v>6</v>
      </c>
      <c r="BE299" s="4">
        <f t="shared" si="89"/>
        <v>6</v>
      </c>
      <c r="BR299" s="5"/>
    </row>
    <row r="300" spans="1:70" x14ac:dyDescent="0.2">
      <c r="A300" s="4" t="s">
        <v>286</v>
      </c>
      <c r="B300" s="4">
        <v>936</v>
      </c>
      <c r="C300" s="4">
        <v>6</v>
      </c>
      <c r="D300" s="4">
        <v>6</v>
      </c>
      <c r="E300" s="284">
        <v>7002</v>
      </c>
      <c r="F300" s="5">
        <v>6917</v>
      </c>
      <c r="G300" s="5">
        <v>6844</v>
      </c>
      <c r="H300" s="5">
        <v>6739</v>
      </c>
      <c r="I300" s="5">
        <v>6544</v>
      </c>
      <c r="J300" s="5">
        <v>6510</v>
      </c>
      <c r="K300" s="5">
        <v>6465</v>
      </c>
      <c r="L300" s="5">
        <v>6395</v>
      </c>
      <c r="M300" s="5">
        <v>6275</v>
      </c>
      <c r="N300" s="5">
        <v>6131</v>
      </c>
      <c r="O300" s="5">
        <v>6048</v>
      </c>
      <c r="P300" s="5">
        <v>5968</v>
      </c>
      <c r="Q300" s="5">
        <v>5894</v>
      </c>
      <c r="R300" s="5">
        <v>5821</v>
      </c>
      <c r="S300" s="5">
        <v>5752</v>
      </c>
      <c r="T300" s="5">
        <v>5685</v>
      </c>
      <c r="U300" s="5"/>
      <c r="V300" s="5"/>
      <c r="X300" s="7">
        <f t="shared" si="90"/>
        <v>5</v>
      </c>
      <c r="AA300" s="24">
        <f t="shared" si="91"/>
        <v>5</v>
      </c>
      <c r="AD300" s="4">
        <f t="shared" si="92"/>
        <v>5</v>
      </c>
      <c r="AG300" s="4">
        <f t="shared" si="93"/>
        <v>5</v>
      </c>
      <c r="AJ300" s="4">
        <f t="shared" si="94"/>
        <v>5</v>
      </c>
      <c r="AM300" s="4">
        <f t="shared" si="95"/>
        <v>5</v>
      </c>
      <c r="AP300" s="4">
        <f t="shared" si="96"/>
        <v>5</v>
      </c>
      <c r="AS300" s="4">
        <f t="shared" si="97"/>
        <v>5</v>
      </c>
      <c r="AV300" s="4">
        <f t="shared" si="98"/>
        <v>5</v>
      </c>
      <c r="AY300" s="4">
        <f t="shared" si="99"/>
        <v>5</v>
      </c>
      <c r="BB300" s="4">
        <f t="shared" si="88"/>
        <v>5</v>
      </c>
      <c r="BE300" s="4">
        <f t="shared" si="89"/>
        <v>5</v>
      </c>
      <c r="BR300" s="5"/>
    </row>
    <row r="301" spans="1:70" x14ac:dyDescent="0.2">
      <c r="A301" s="4" t="s">
        <v>287</v>
      </c>
      <c r="B301" s="4">
        <v>946</v>
      </c>
      <c r="C301" s="4">
        <v>15</v>
      </c>
      <c r="D301" s="4">
        <v>15</v>
      </c>
      <c r="E301" s="284">
        <v>6714</v>
      </c>
      <c r="F301" s="5">
        <v>6684</v>
      </c>
      <c r="G301" s="5">
        <v>6616</v>
      </c>
      <c r="H301" s="5">
        <v>6613</v>
      </c>
      <c r="I301" s="5">
        <v>6461</v>
      </c>
      <c r="J301" s="5">
        <v>6388</v>
      </c>
      <c r="K301" s="5">
        <v>6376</v>
      </c>
      <c r="L301" s="5">
        <v>6287</v>
      </c>
      <c r="M301" s="5">
        <v>6291</v>
      </c>
      <c r="N301" s="5">
        <v>6163</v>
      </c>
      <c r="O301" s="5">
        <v>6108</v>
      </c>
      <c r="P301" s="5">
        <v>6055</v>
      </c>
      <c r="Q301" s="5">
        <v>5999</v>
      </c>
      <c r="R301" s="5">
        <v>5941</v>
      </c>
      <c r="S301" s="5">
        <v>5886</v>
      </c>
      <c r="T301" s="5">
        <v>5831</v>
      </c>
      <c r="U301" s="5"/>
      <c r="V301" s="5"/>
      <c r="X301" s="7">
        <f t="shared" si="90"/>
        <v>5</v>
      </c>
      <c r="AA301" s="24">
        <f t="shared" si="91"/>
        <v>5</v>
      </c>
      <c r="AD301" s="4">
        <f t="shared" si="92"/>
        <v>5</v>
      </c>
      <c r="AG301" s="4">
        <f t="shared" si="93"/>
        <v>5</v>
      </c>
      <c r="AJ301" s="4">
        <f t="shared" si="94"/>
        <v>5</v>
      </c>
      <c r="AM301" s="4">
        <f t="shared" si="95"/>
        <v>5</v>
      </c>
      <c r="AP301" s="4">
        <f t="shared" si="96"/>
        <v>5</v>
      </c>
      <c r="AS301" s="4">
        <f t="shared" si="97"/>
        <v>5</v>
      </c>
      <c r="AV301" s="4">
        <f t="shared" si="98"/>
        <v>5</v>
      </c>
      <c r="AY301" s="4">
        <f t="shared" si="99"/>
        <v>5</v>
      </c>
      <c r="BB301" s="4">
        <f t="shared" si="88"/>
        <v>5</v>
      </c>
      <c r="BE301" s="4">
        <f t="shared" si="89"/>
        <v>5</v>
      </c>
      <c r="BR301" s="5"/>
    </row>
    <row r="302" spans="1:70" x14ac:dyDescent="0.2">
      <c r="A302" s="4" t="s">
        <v>288</v>
      </c>
      <c r="B302" s="4">
        <v>976</v>
      </c>
      <c r="C302" s="4">
        <v>19</v>
      </c>
      <c r="D302" s="4">
        <v>19</v>
      </c>
      <c r="E302" s="284">
        <v>4291</v>
      </c>
      <c r="F302" s="5">
        <v>4200</v>
      </c>
      <c r="G302" s="5">
        <v>4118</v>
      </c>
      <c r="H302" s="5">
        <v>4022</v>
      </c>
      <c r="I302" s="5">
        <v>3918</v>
      </c>
      <c r="J302" s="5">
        <v>3890</v>
      </c>
      <c r="K302" s="5">
        <v>3830</v>
      </c>
      <c r="L302" s="5">
        <v>3788</v>
      </c>
      <c r="M302" s="5">
        <v>3765</v>
      </c>
      <c r="N302" s="5">
        <v>3595</v>
      </c>
      <c r="O302" s="5">
        <v>3538</v>
      </c>
      <c r="P302" s="5">
        <v>3482</v>
      </c>
      <c r="Q302" s="5">
        <v>3430</v>
      </c>
      <c r="R302" s="5">
        <v>3378</v>
      </c>
      <c r="S302" s="5">
        <v>3329</v>
      </c>
      <c r="T302" s="5">
        <v>3284</v>
      </c>
      <c r="U302" s="5"/>
      <c r="V302" s="5"/>
      <c r="X302" s="7">
        <f t="shared" si="90"/>
        <v>6</v>
      </c>
      <c r="AA302" s="24">
        <f t="shared" si="91"/>
        <v>6</v>
      </c>
      <c r="AD302" s="4">
        <f t="shared" si="92"/>
        <v>6</v>
      </c>
      <c r="AG302" s="4">
        <f t="shared" si="93"/>
        <v>6</v>
      </c>
      <c r="AJ302" s="4">
        <f t="shared" si="94"/>
        <v>6</v>
      </c>
      <c r="AM302" s="4">
        <f t="shared" si="95"/>
        <v>6</v>
      </c>
      <c r="AP302" s="4">
        <f t="shared" si="96"/>
        <v>6</v>
      </c>
      <c r="AS302" s="4">
        <f t="shared" si="97"/>
        <v>6</v>
      </c>
      <c r="AV302" s="4">
        <f t="shared" si="98"/>
        <v>6</v>
      </c>
      <c r="AY302" s="4">
        <f t="shared" si="99"/>
        <v>6</v>
      </c>
      <c r="BB302" s="4">
        <f t="shared" si="88"/>
        <v>6</v>
      </c>
      <c r="BE302" s="4">
        <f t="shared" si="89"/>
        <v>6</v>
      </c>
      <c r="BR302" s="5"/>
    </row>
    <row r="303" spans="1:70" x14ac:dyDescent="0.2">
      <c r="A303" s="4" t="s">
        <v>289</v>
      </c>
      <c r="B303" s="4">
        <v>977</v>
      </c>
      <c r="C303" s="4">
        <v>17</v>
      </c>
      <c r="D303" s="4">
        <v>17</v>
      </c>
      <c r="E303" s="284">
        <v>15039</v>
      </c>
      <c r="F303" s="5">
        <v>15199</v>
      </c>
      <c r="G303" s="5">
        <v>15251</v>
      </c>
      <c r="H303" s="5">
        <v>15212</v>
      </c>
      <c r="I303" s="5">
        <v>15255</v>
      </c>
      <c r="J303" s="5">
        <v>15304</v>
      </c>
      <c r="K303" s="5">
        <v>15357</v>
      </c>
      <c r="L303" s="5">
        <v>15293</v>
      </c>
      <c r="M303" s="5">
        <v>15369</v>
      </c>
      <c r="N303" s="5">
        <v>15466</v>
      </c>
      <c r="O303" s="5">
        <v>15486</v>
      </c>
      <c r="P303" s="5">
        <v>15498</v>
      </c>
      <c r="Q303" s="5">
        <v>15499</v>
      </c>
      <c r="R303" s="5">
        <v>15490</v>
      </c>
      <c r="S303" s="5">
        <v>15476</v>
      </c>
      <c r="T303" s="5">
        <v>15455</v>
      </c>
      <c r="U303" s="5"/>
      <c r="V303" s="5"/>
      <c r="X303" s="7">
        <f t="shared" si="90"/>
        <v>4</v>
      </c>
      <c r="AA303" s="24">
        <f t="shared" si="91"/>
        <v>4</v>
      </c>
      <c r="AD303" s="4">
        <f t="shared" si="92"/>
        <v>4</v>
      </c>
      <c r="AG303" s="4">
        <f t="shared" si="93"/>
        <v>4</v>
      </c>
      <c r="AJ303" s="4">
        <f t="shared" si="94"/>
        <v>4</v>
      </c>
      <c r="AM303" s="4">
        <f t="shared" si="95"/>
        <v>4</v>
      </c>
      <c r="AP303" s="4">
        <f t="shared" si="96"/>
        <v>4</v>
      </c>
      <c r="AS303" s="4">
        <f t="shared" si="97"/>
        <v>4</v>
      </c>
      <c r="AV303" s="4">
        <f t="shared" si="98"/>
        <v>4</v>
      </c>
      <c r="AY303" s="4">
        <f t="shared" si="99"/>
        <v>4</v>
      </c>
      <c r="BB303" s="4">
        <f t="shared" si="88"/>
        <v>4</v>
      </c>
      <c r="BE303" s="4">
        <f t="shared" si="89"/>
        <v>4</v>
      </c>
      <c r="BR303" s="5"/>
    </row>
    <row r="304" spans="1:70" x14ac:dyDescent="0.2">
      <c r="A304" s="4" t="s">
        <v>290</v>
      </c>
      <c r="B304" s="4">
        <v>980</v>
      </c>
      <c r="C304" s="4">
        <v>6</v>
      </c>
      <c r="D304" s="4">
        <v>6</v>
      </c>
      <c r="E304" s="284">
        <v>32738</v>
      </c>
      <c r="F304" s="5">
        <v>32799</v>
      </c>
      <c r="G304" s="5">
        <v>32878</v>
      </c>
      <c r="H304" s="5">
        <v>32983</v>
      </c>
      <c r="I304" s="5">
        <v>33254</v>
      </c>
      <c r="J304" s="5">
        <v>33352</v>
      </c>
      <c r="K304" s="5">
        <v>33533</v>
      </c>
      <c r="L304" s="5">
        <v>33607</v>
      </c>
      <c r="M304" s="5">
        <v>33677</v>
      </c>
      <c r="N304" s="5">
        <v>33887</v>
      </c>
      <c r="O304" s="5">
        <v>34002</v>
      </c>
      <c r="P304" s="5">
        <v>34108</v>
      </c>
      <c r="Q304" s="5">
        <v>34204</v>
      </c>
      <c r="R304" s="5">
        <v>34286</v>
      </c>
      <c r="S304" s="5">
        <v>34357</v>
      </c>
      <c r="T304" s="5">
        <v>34423</v>
      </c>
      <c r="U304" s="5"/>
      <c r="V304" s="5"/>
      <c r="X304" s="7">
        <f t="shared" si="90"/>
        <v>3</v>
      </c>
      <c r="AA304" s="24">
        <f t="shared" si="91"/>
        <v>3</v>
      </c>
      <c r="AD304" s="4">
        <f t="shared" si="92"/>
        <v>3</v>
      </c>
      <c r="AG304" s="4">
        <f t="shared" si="93"/>
        <v>3</v>
      </c>
      <c r="AJ304" s="4">
        <f t="shared" si="94"/>
        <v>3</v>
      </c>
      <c r="AM304" s="4">
        <f t="shared" si="95"/>
        <v>3</v>
      </c>
      <c r="AP304" s="4">
        <f t="shared" si="96"/>
        <v>3</v>
      </c>
      <c r="AS304" s="4">
        <f t="shared" si="97"/>
        <v>3</v>
      </c>
      <c r="AV304" s="4">
        <f t="shared" si="98"/>
        <v>3</v>
      </c>
      <c r="AY304" s="4">
        <f t="shared" si="99"/>
        <v>3</v>
      </c>
      <c r="BB304" s="4">
        <f t="shared" si="88"/>
        <v>3</v>
      </c>
      <c r="BE304" s="4">
        <f t="shared" si="89"/>
        <v>3</v>
      </c>
      <c r="BR304" s="5"/>
    </row>
    <row r="305" spans="1:70" x14ac:dyDescent="0.2">
      <c r="A305" s="4" t="s">
        <v>291</v>
      </c>
      <c r="B305" s="4">
        <v>981</v>
      </c>
      <c r="C305" s="4">
        <v>5</v>
      </c>
      <c r="D305" s="4">
        <v>5</v>
      </c>
      <c r="E305" s="284">
        <v>2411</v>
      </c>
      <c r="F305" s="5">
        <v>2382</v>
      </c>
      <c r="G305" s="5">
        <v>2372</v>
      </c>
      <c r="H305" s="5">
        <v>2357</v>
      </c>
      <c r="I305" s="5">
        <v>2343</v>
      </c>
      <c r="J305" s="5">
        <v>2314</v>
      </c>
      <c r="K305" s="5">
        <v>2282</v>
      </c>
      <c r="L305" s="5">
        <v>2237</v>
      </c>
      <c r="M305" s="5">
        <v>2207</v>
      </c>
      <c r="N305" s="5">
        <v>2243</v>
      </c>
      <c r="O305" s="5">
        <v>2226</v>
      </c>
      <c r="P305" s="5">
        <v>2209</v>
      </c>
      <c r="Q305" s="5">
        <v>2195</v>
      </c>
      <c r="R305" s="5">
        <v>2180</v>
      </c>
      <c r="S305" s="5">
        <v>2165</v>
      </c>
      <c r="T305" s="5">
        <v>2153</v>
      </c>
      <c r="U305" s="5"/>
      <c r="V305" s="5"/>
      <c r="X305" s="7">
        <f t="shared" si="90"/>
        <v>6</v>
      </c>
      <c r="AA305" s="24">
        <f t="shared" si="91"/>
        <v>6</v>
      </c>
      <c r="AD305" s="4">
        <f t="shared" si="92"/>
        <v>6</v>
      </c>
      <c r="AG305" s="4">
        <f t="shared" si="93"/>
        <v>6</v>
      </c>
      <c r="AJ305" s="4">
        <f t="shared" si="94"/>
        <v>6</v>
      </c>
      <c r="AM305" s="4">
        <f t="shared" si="95"/>
        <v>6</v>
      </c>
      <c r="AP305" s="4">
        <f t="shared" si="96"/>
        <v>6</v>
      </c>
      <c r="AS305" s="4">
        <f t="shared" si="97"/>
        <v>6</v>
      </c>
      <c r="AV305" s="4">
        <f t="shared" si="98"/>
        <v>6</v>
      </c>
      <c r="AY305" s="4">
        <f t="shared" si="99"/>
        <v>6</v>
      </c>
      <c r="BB305" s="4">
        <f t="shared" si="88"/>
        <v>6</v>
      </c>
      <c r="BE305" s="4">
        <f t="shared" si="89"/>
        <v>6</v>
      </c>
      <c r="BR305" s="5"/>
    </row>
    <row r="306" spans="1:70" x14ac:dyDescent="0.2">
      <c r="A306" s="4" t="s">
        <v>292</v>
      </c>
      <c r="B306" s="4">
        <v>989</v>
      </c>
      <c r="C306" s="4">
        <v>14</v>
      </c>
      <c r="D306" s="4">
        <v>14</v>
      </c>
      <c r="E306" s="284">
        <v>6068</v>
      </c>
      <c r="F306" s="5">
        <v>5985</v>
      </c>
      <c r="G306" s="5">
        <v>5906</v>
      </c>
      <c r="H306" s="5">
        <v>5703</v>
      </c>
      <c r="I306" s="5">
        <v>5616</v>
      </c>
      <c r="J306" s="5">
        <v>5522</v>
      </c>
      <c r="K306" s="5">
        <v>5484</v>
      </c>
      <c r="L306" s="5">
        <v>5406</v>
      </c>
      <c r="M306" s="5">
        <v>5316</v>
      </c>
      <c r="N306" s="5">
        <v>5165</v>
      </c>
      <c r="O306" s="5">
        <v>5087</v>
      </c>
      <c r="P306" s="5">
        <v>5010</v>
      </c>
      <c r="Q306" s="5">
        <v>4934</v>
      </c>
      <c r="R306" s="5">
        <v>4863</v>
      </c>
      <c r="S306" s="5">
        <v>4797</v>
      </c>
      <c r="T306" s="5">
        <v>4734</v>
      </c>
      <c r="U306" s="5"/>
      <c r="V306" s="5"/>
      <c r="X306" s="7">
        <f t="shared" si="90"/>
        <v>5</v>
      </c>
      <c r="AA306" s="24">
        <f t="shared" si="91"/>
        <v>5</v>
      </c>
      <c r="AD306" s="4">
        <f t="shared" si="92"/>
        <v>5</v>
      </c>
      <c r="AG306" s="4">
        <f t="shared" si="93"/>
        <v>5</v>
      </c>
      <c r="AJ306" s="4">
        <f t="shared" si="94"/>
        <v>5</v>
      </c>
      <c r="AM306" s="4">
        <f t="shared" si="95"/>
        <v>5</v>
      </c>
      <c r="AP306" s="4">
        <f t="shared" si="96"/>
        <v>5</v>
      </c>
      <c r="AS306" s="4">
        <f t="shared" si="97"/>
        <v>5</v>
      </c>
      <c r="AV306" s="4">
        <f t="shared" si="98"/>
        <v>6</v>
      </c>
      <c r="AY306" s="4">
        <f t="shared" si="99"/>
        <v>6</v>
      </c>
      <c r="BB306" s="4">
        <f t="shared" si="88"/>
        <v>6</v>
      </c>
      <c r="BE306" s="4">
        <f t="shared" si="89"/>
        <v>6</v>
      </c>
      <c r="BR306" s="5"/>
    </row>
    <row r="307" spans="1:70" x14ac:dyDescent="0.2">
      <c r="A307" s="4" t="s">
        <v>293</v>
      </c>
      <c r="B307" s="4">
        <v>992</v>
      </c>
      <c r="C307" s="4">
        <v>13</v>
      </c>
      <c r="D307" s="4">
        <v>13</v>
      </c>
      <c r="E307" s="284">
        <v>19646</v>
      </c>
      <c r="F307" s="5">
        <v>19374</v>
      </c>
      <c r="G307" s="5">
        <v>19144</v>
      </c>
      <c r="H307" s="5">
        <v>18851</v>
      </c>
      <c r="I307" s="5">
        <v>18765</v>
      </c>
      <c r="J307" s="5">
        <v>18577</v>
      </c>
      <c r="K307" s="5">
        <v>18318</v>
      </c>
      <c r="L307" s="5">
        <v>18120</v>
      </c>
      <c r="M307" s="5">
        <v>17971</v>
      </c>
      <c r="N307" s="5">
        <v>17772</v>
      </c>
      <c r="O307" s="5">
        <v>17578</v>
      </c>
      <c r="P307" s="5">
        <v>17390</v>
      </c>
      <c r="Q307" s="5">
        <v>17207</v>
      </c>
      <c r="R307" s="5">
        <v>17031</v>
      </c>
      <c r="S307" s="5">
        <v>16856</v>
      </c>
      <c r="T307" s="5">
        <v>16683</v>
      </c>
      <c r="U307" s="5"/>
      <c r="V307" s="5"/>
      <c r="X307" s="7">
        <f t="shared" si="90"/>
        <v>4</v>
      </c>
      <c r="AA307" s="24">
        <f t="shared" si="91"/>
        <v>4</v>
      </c>
      <c r="AD307" s="4">
        <f t="shared" si="92"/>
        <v>4</v>
      </c>
      <c r="AG307" s="4">
        <f t="shared" si="93"/>
        <v>4</v>
      </c>
      <c r="AJ307" s="4">
        <f t="shared" si="94"/>
        <v>4</v>
      </c>
      <c r="AM307" s="4">
        <f t="shared" si="95"/>
        <v>4</v>
      </c>
      <c r="AP307" s="4">
        <f t="shared" si="96"/>
        <v>4</v>
      </c>
      <c r="AS307" s="4">
        <f t="shared" si="97"/>
        <v>4</v>
      </c>
      <c r="AV307" s="4">
        <f t="shared" si="98"/>
        <v>4</v>
      </c>
      <c r="AY307" s="4">
        <f t="shared" si="99"/>
        <v>4</v>
      </c>
      <c r="BB307" s="4">
        <f t="shared" si="88"/>
        <v>4</v>
      </c>
      <c r="BE307" s="4">
        <f t="shared" si="89"/>
        <v>4</v>
      </c>
      <c r="BR307" s="5"/>
    </row>
    <row r="309" spans="1:70" x14ac:dyDescent="0.2">
      <c r="F309" s="5"/>
      <c r="G309" s="5"/>
      <c r="H309" s="5"/>
      <c r="I309" s="5"/>
      <c r="J309" s="5"/>
      <c r="K309" s="5"/>
      <c r="L309" s="5"/>
      <c r="M309" s="5"/>
      <c r="N309" s="5"/>
      <c r="O309" s="5"/>
      <c r="P309" s="5"/>
      <c r="Q309" s="5"/>
      <c r="R309" s="5"/>
      <c r="S309" s="5"/>
      <c r="T309" s="5"/>
      <c r="U309" s="5"/>
      <c r="V309" s="5"/>
      <c r="BR309" s="5"/>
    </row>
    <row r="310" spans="1:70" x14ac:dyDescent="0.2">
      <c r="E310" s="284"/>
      <c r="F310" s="5"/>
      <c r="G310" s="5"/>
      <c r="H310" s="5"/>
      <c r="I310" s="5"/>
      <c r="J310" s="5"/>
      <c r="K310" s="5"/>
      <c r="L310" s="5"/>
      <c r="M310" s="5"/>
      <c r="N310" s="5"/>
      <c r="O310" s="5"/>
      <c r="P310" s="5"/>
      <c r="Q310" s="5"/>
      <c r="R310" s="5"/>
      <c r="S310" s="5"/>
      <c r="T310" s="5"/>
      <c r="U310" s="5"/>
      <c r="V310" s="5"/>
      <c r="BR310" s="5"/>
    </row>
    <row r="312" spans="1:70" x14ac:dyDescent="0.2">
      <c r="F312" s="5"/>
      <c r="G312" s="5"/>
      <c r="H312" s="5"/>
      <c r="I312" s="5"/>
      <c r="J312" s="5"/>
      <c r="K312" s="5"/>
      <c r="L312" s="5"/>
      <c r="M312" s="5"/>
      <c r="N312" s="5"/>
      <c r="O312" s="5"/>
      <c r="P312" s="5"/>
      <c r="Q312" s="5"/>
      <c r="R312" s="5"/>
      <c r="S312" s="5"/>
      <c r="T312" s="5"/>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DO1241"/>
  <sheetViews>
    <sheetView zoomScaleNormal="100" workbookViewId="0"/>
  </sheetViews>
  <sheetFormatPr defaultColWidth="9.140625" defaultRowHeight="15" x14ac:dyDescent="0.25"/>
  <cols>
    <col min="1" max="1" width="4.5703125" style="4" customWidth="1"/>
    <col min="2" max="2" width="5.28515625" style="4" customWidth="1"/>
    <col min="3" max="3" width="18.85546875" style="4" bestFit="1" customWidth="1"/>
    <col min="4" max="9" width="8.85546875" style="1" bestFit="1" customWidth="1"/>
    <col min="10" max="10" width="10.28515625" style="98" bestFit="1" customWidth="1"/>
    <col min="11" max="14" width="10.28515625" style="1" bestFit="1" customWidth="1"/>
    <col min="15" max="15" width="9.7109375" style="1" bestFit="1" customWidth="1"/>
    <col min="16" max="17" width="9.7109375" style="1" customWidth="1"/>
    <col min="18" max="18" width="9.140625" style="117"/>
    <col min="19" max="19" width="9.140625" style="4"/>
    <col min="20" max="20" width="20.5703125" style="4" bestFit="1" customWidth="1"/>
    <col min="21" max="35" width="9.140625" style="4"/>
    <col min="48" max="16384" width="9.140625" style="4"/>
  </cols>
  <sheetData>
    <row r="1" spans="1:34 16343:16343" s="18" customFormat="1" x14ac:dyDescent="0.25">
      <c r="A1" s="340" t="s">
        <v>770</v>
      </c>
      <c r="J1" s="22"/>
      <c r="R1" s="117"/>
      <c r="S1" s="340" t="s">
        <v>769</v>
      </c>
      <c r="T1" s="4"/>
      <c r="U1" s="4"/>
      <c r="V1" s="4"/>
      <c r="W1" s="4"/>
      <c r="X1" s="4"/>
      <c r="Y1" s="4"/>
      <c r="Z1" s="4"/>
      <c r="AA1" s="4"/>
      <c r="AB1" s="4"/>
      <c r="AC1" s="4"/>
      <c r="AD1" s="4"/>
      <c r="AE1" s="4"/>
      <c r="AF1" s="4"/>
      <c r="AG1" s="4"/>
      <c r="AH1" s="4"/>
    </row>
    <row r="2" spans="1:34 16343:16343" s="18" customFormat="1" x14ac:dyDescent="0.25">
      <c r="J2" s="361"/>
      <c r="K2" s="171"/>
      <c r="L2" s="171"/>
      <c r="M2" s="171"/>
      <c r="N2" s="171"/>
      <c r="O2" s="171"/>
      <c r="P2" s="171"/>
      <c r="Q2" s="171"/>
      <c r="R2" s="117"/>
      <c r="S2" s="4"/>
      <c r="T2" s="4"/>
      <c r="U2" s="4"/>
      <c r="V2" s="4"/>
      <c r="W2" s="4"/>
      <c r="X2" s="4"/>
      <c r="Y2" s="4"/>
      <c r="Z2" s="4"/>
      <c r="AA2" s="4"/>
      <c r="AB2" s="4"/>
      <c r="AC2" s="4"/>
      <c r="AD2" s="4"/>
      <c r="AE2" s="4"/>
      <c r="AF2" s="4"/>
      <c r="AG2" s="4"/>
      <c r="AH2" s="4"/>
    </row>
    <row r="3" spans="1:34 16343:16343" s="18" customFormat="1" x14ac:dyDescent="0.25">
      <c r="J3" s="105"/>
      <c r="K3" s="2"/>
      <c r="L3" s="336"/>
      <c r="M3" s="105"/>
      <c r="N3" s="105"/>
      <c r="O3" s="105"/>
      <c r="P3" s="105"/>
      <c r="Q3" s="105"/>
      <c r="R3" s="117"/>
      <c r="T3" s="4"/>
      <c r="U3" s="4"/>
      <c r="V3" s="4"/>
      <c r="W3" s="4"/>
      <c r="X3" s="4"/>
      <c r="Y3" s="4"/>
      <c r="Z3" s="4"/>
      <c r="AA3" s="4"/>
      <c r="AB3" s="4"/>
      <c r="AC3" s="4"/>
      <c r="AD3" s="4"/>
      <c r="AE3" s="4"/>
      <c r="AF3" s="4"/>
      <c r="AG3" s="4"/>
      <c r="AH3" s="4"/>
    </row>
    <row r="4" spans="1:34 16343:16343" s="18" customFormat="1" x14ac:dyDescent="0.25">
      <c r="I4" s="291"/>
      <c r="J4" s="291"/>
      <c r="K4" s="122"/>
      <c r="L4" s="122"/>
      <c r="M4" s="122"/>
      <c r="N4" s="122"/>
      <c r="O4" s="291"/>
      <c r="P4" s="291"/>
      <c r="Q4" s="291"/>
      <c r="R4" s="117"/>
      <c r="S4" s="4"/>
      <c r="T4" s="4"/>
      <c r="U4" s="4"/>
      <c r="V4" s="4"/>
      <c r="W4" s="4"/>
      <c r="X4" s="4"/>
      <c r="Y4" s="4"/>
      <c r="Z4" s="4"/>
      <c r="AA4" s="4"/>
      <c r="AB4" s="4"/>
      <c r="AC4" s="4"/>
      <c r="AD4" s="4"/>
      <c r="AE4" s="4"/>
      <c r="AF4" s="4"/>
      <c r="AG4" s="4"/>
      <c r="AH4" s="4"/>
    </row>
    <row r="5" spans="1:34 16343:16343" s="18" customFormat="1" x14ac:dyDescent="0.25">
      <c r="I5" s="292"/>
      <c r="J5" s="122"/>
      <c r="R5" s="117"/>
      <c r="S5" s="4"/>
      <c r="T5" s="4"/>
      <c r="U5" s="4"/>
      <c r="V5" s="4"/>
      <c r="W5" s="4"/>
      <c r="X5" s="4"/>
      <c r="Y5" s="4"/>
      <c r="Z5" s="4"/>
      <c r="AA5" s="4"/>
      <c r="AB5" s="4"/>
      <c r="AC5" s="4"/>
      <c r="AD5" s="4"/>
      <c r="AE5" s="4"/>
      <c r="AF5" s="4"/>
      <c r="AG5" s="4"/>
      <c r="AH5" s="4"/>
    </row>
    <row r="6" spans="1:34 16343:16343" s="1" customFormat="1" ht="11.25" x14ac:dyDescent="0.2">
      <c r="I6" s="293"/>
      <c r="J6" s="293"/>
      <c r="K6" s="122"/>
      <c r="L6" s="122"/>
      <c r="M6" s="297">
        <f>L13*M7</f>
        <v>-14660837.197793595</v>
      </c>
      <c r="N6" s="297">
        <f>M13*N7</f>
        <v>-16324299.709038118</v>
      </c>
      <c r="O6" s="297">
        <f>N13*O7</f>
        <v>-16941404.288904104</v>
      </c>
      <c r="P6" s="297">
        <f>O13*P7</f>
        <v>-17535253.551081065</v>
      </c>
      <c r="Q6" s="297">
        <f>P13*Q7</f>
        <v>-18062278.770345956</v>
      </c>
      <c r="R6" s="117"/>
      <c r="S6" s="4"/>
      <c r="T6" s="4"/>
      <c r="U6" s="4"/>
      <c r="V6" s="4"/>
      <c r="W6" s="4"/>
      <c r="X6" s="4"/>
      <c r="Y6" s="4"/>
      <c r="Z6" s="4"/>
      <c r="AA6" s="4"/>
      <c r="AB6" s="4"/>
      <c r="AC6" s="4"/>
      <c r="AD6" s="4"/>
      <c r="AE6" s="4"/>
      <c r="AF6" s="4"/>
      <c r="AG6" s="4"/>
      <c r="AH6" s="4"/>
    </row>
    <row r="7" spans="1:34 16343:16343" s="1" customFormat="1" ht="11.25" x14ac:dyDescent="0.2">
      <c r="J7" s="98"/>
      <c r="K7" s="293"/>
      <c r="L7" s="293"/>
      <c r="M7" s="436">
        <f>1+Makroennusteet!I11</f>
        <v>1.027444841299415</v>
      </c>
      <c r="N7" s="436">
        <f>1+Makroennusteet!J11</f>
        <v>1.1134629959259668</v>
      </c>
      <c r="O7" s="436">
        <f>1+Makroennusteet!K11</f>
        <v>1.0378028210009103</v>
      </c>
      <c r="P7" s="436">
        <f>1+Makroennusteet!L11</f>
        <v>1.035053130900482</v>
      </c>
      <c r="Q7" s="436">
        <f>1+Makroennusteet!M11</f>
        <v>1.0300551809946539</v>
      </c>
      <c r="R7" s="123"/>
      <c r="S7" s="4"/>
      <c r="T7" s="4"/>
      <c r="U7" s="4"/>
      <c r="V7" s="4"/>
      <c r="W7" s="4"/>
      <c r="X7" s="4"/>
      <c r="Y7" s="4"/>
      <c r="Z7" s="4"/>
      <c r="AA7" s="4"/>
      <c r="AB7" s="4"/>
      <c r="AC7" s="4"/>
      <c r="AD7" s="4"/>
      <c r="AE7" s="4"/>
      <c r="AF7" s="4"/>
      <c r="AG7" s="4"/>
      <c r="AH7" s="4"/>
    </row>
    <row r="8" spans="1:34 16343:16343" s="1" customFormat="1" ht="11.25" x14ac:dyDescent="0.2">
      <c r="R8" s="117"/>
      <c r="S8" s="4"/>
      <c r="T8" s="4"/>
      <c r="U8" s="4"/>
      <c r="V8" s="4"/>
      <c r="W8" s="4"/>
      <c r="X8" s="4"/>
      <c r="Y8" s="4"/>
      <c r="Z8" s="4"/>
      <c r="AA8" s="4"/>
      <c r="AB8" s="4"/>
      <c r="AC8" s="4"/>
      <c r="AD8" s="4"/>
      <c r="AE8" s="4"/>
      <c r="AF8" s="4"/>
      <c r="AG8" s="4"/>
      <c r="AH8" s="4"/>
    </row>
    <row r="9" spans="1:34 16343:16343" s="1" customFormat="1" ht="11.25" x14ac:dyDescent="0.2">
      <c r="B9" s="1" t="s">
        <v>622</v>
      </c>
      <c r="D9" s="19" t="s">
        <v>323</v>
      </c>
      <c r="E9" s="19" t="s">
        <v>323</v>
      </c>
      <c r="F9" s="19" t="s">
        <v>323</v>
      </c>
      <c r="G9" s="19" t="s">
        <v>323</v>
      </c>
      <c r="H9" s="19" t="s">
        <v>323</v>
      </c>
      <c r="I9" s="19" t="s">
        <v>323</v>
      </c>
      <c r="J9" s="362" t="s">
        <v>323</v>
      </c>
      <c r="K9" s="19" t="s">
        <v>323</v>
      </c>
      <c r="L9" s="19" t="s">
        <v>323</v>
      </c>
      <c r="M9" s="19" t="s">
        <v>757</v>
      </c>
      <c r="N9" s="19" t="s">
        <v>625</v>
      </c>
      <c r="O9" s="19" t="s">
        <v>625</v>
      </c>
      <c r="P9" s="19" t="s">
        <v>625</v>
      </c>
      <c r="Q9" s="19" t="s">
        <v>625</v>
      </c>
      <c r="R9" s="107"/>
      <c r="S9" s="120"/>
      <c r="T9" s="120"/>
      <c r="U9" s="120"/>
      <c r="V9" s="120"/>
      <c r="W9" s="120"/>
      <c r="X9" s="120"/>
      <c r="Y9" s="120"/>
      <c r="Z9" s="120"/>
      <c r="AA9" s="120"/>
      <c r="AB9" s="120"/>
      <c r="AC9" s="120"/>
      <c r="AD9" s="120"/>
      <c r="AE9" s="120"/>
      <c r="AF9" s="120"/>
      <c r="AG9" s="120"/>
      <c r="AH9" s="120"/>
    </row>
    <row r="10" spans="1:34 16343:16343" s="1" customFormat="1" ht="11.25" x14ac:dyDescent="0.2">
      <c r="B10" s="1" t="s">
        <v>623</v>
      </c>
      <c r="D10" s="42"/>
      <c r="E10" s="42">
        <f>(E13/D13-1)*100</f>
        <v>0.49098408416157202</v>
      </c>
      <c r="F10" s="42">
        <f>(F13/E13-1)*100</f>
        <v>-0.9561561510772143</v>
      </c>
      <c r="G10" s="42">
        <f>(G13/F13-1)*100</f>
        <v>3.5339514715313936</v>
      </c>
      <c r="H10" s="42">
        <f t="shared" ref="H10:N10" si="0">(H13/G13-1)*100</f>
        <v>4.309589269761549</v>
      </c>
      <c r="I10" s="42">
        <f t="shared" si="0"/>
        <v>2.8472703189567738</v>
      </c>
      <c r="J10" s="169">
        <f t="shared" si="0"/>
        <v>3.3917856889206233</v>
      </c>
      <c r="K10" s="42">
        <f t="shared" si="0"/>
        <v>6.5412826809583713</v>
      </c>
      <c r="L10" s="42">
        <f t="shared" si="0"/>
        <v>-58.5097924126881</v>
      </c>
      <c r="M10" s="42">
        <f t="shared" si="0"/>
        <v>2.744484129941549</v>
      </c>
      <c r="N10" s="42">
        <f t="shared" si="0"/>
        <v>11.34629959259672</v>
      </c>
      <c r="O10" s="42">
        <f>(O13/N13-1)*100</f>
        <v>3.7802821000911369</v>
      </c>
      <c r="P10" s="42">
        <f>(P13/O13-1)*100</f>
        <v>3.5053130900482232</v>
      </c>
      <c r="Q10" s="42">
        <f>(Q13/P13-1)*100</f>
        <v>3.0055180994654096</v>
      </c>
      <c r="R10" s="117"/>
      <c r="S10" s="4"/>
      <c r="T10" s="4"/>
      <c r="U10" s="4"/>
      <c r="V10" s="4"/>
      <c r="W10" s="4"/>
      <c r="X10" s="4"/>
      <c r="Y10" s="4"/>
      <c r="Z10" s="4"/>
      <c r="AA10" s="4"/>
      <c r="AB10" s="4"/>
      <c r="AC10" s="4"/>
      <c r="AD10" s="4"/>
      <c r="AE10" s="4"/>
      <c r="AF10" s="4"/>
      <c r="AG10" s="4"/>
      <c r="AH10" s="4"/>
    </row>
    <row r="11" spans="1:34 16343:16343" s="43" customFormat="1" ht="11.25" x14ac:dyDescent="0.2">
      <c r="B11" s="43" t="s">
        <v>624</v>
      </c>
      <c r="D11" s="44"/>
      <c r="E11" s="44">
        <f>E13-D13</f>
        <v>-138664</v>
      </c>
      <c r="F11" s="44">
        <f>F13-E13</f>
        <v>271364</v>
      </c>
      <c r="G11" s="44">
        <f>G13-F13</f>
        <v>-993371</v>
      </c>
      <c r="H11" s="44">
        <f t="shared" ref="H11:N11" si="1">H13-G13</f>
        <v>-1254208</v>
      </c>
      <c r="I11" s="44">
        <f t="shared" si="1"/>
        <v>-864344</v>
      </c>
      <c r="J11" s="170">
        <f t="shared" si="1"/>
        <v>-1058958.8730199821</v>
      </c>
      <c r="K11" s="44">
        <f t="shared" si="1"/>
        <v>-2111541.6093600206</v>
      </c>
      <c r="L11" s="44">
        <f t="shared" si="1"/>
        <v>20122558.782169998</v>
      </c>
      <c r="M11" s="44">
        <f t="shared" si="1"/>
        <v>-391616.4975835979</v>
      </c>
      <c r="N11" s="44">
        <f t="shared" si="1"/>
        <v>-1663462.5112445243</v>
      </c>
      <c r="O11" s="44">
        <f>O13-N13</f>
        <v>-617104.57986599766</v>
      </c>
      <c r="P11" s="44">
        <f>P13-O13</f>
        <v>-593849.26217694581</v>
      </c>
      <c r="Q11" s="44">
        <f>Q13-P13</f>
        <v>-527025.219264891</v>
      </c>
      <c r="R11" s="117"/>
      <c r="S11" s="4"/>
      <c r="T11" s="4"/>
      <c r="U11" s="4"/>
      <c r="V11" s="4"/>
      <c r="W11" s="4"/>
      <c r="X11" s="4"/>
      <c r="Y11" s="4"/>
      <c r="Z11" s="4"/>
      <c r="AA11" s="4"/>
      <c r="AB11" s="4"/>
      <c r="AC11" s="4"/>
      <c r="AD11" s="4"/>
      <c r="AE11" s="4"/>
      <c r="AF11" s="4"/>
      <c r="AG11" s="4"/>
      <c r="AH11" s="4"/>
    </row>
    <row r="12" spans="1:34 16343:16343" customFormat="1" x14ac:dyDescent="0.25">
      <c r="A12" s="155" t="s">
        <v>306</v>
      </c>
      <c r="B12" s="155" t="s">
        <v>326</v>
      </c>
      <c r="C12" s="155" t="s">
        <v>327</v>
      </c>
      <c r="D12" s="155">
        <v>2015</v>
      </c>
      <c r="E12" s="155">
        <v>2016</v>
      </c>
      <c r="F12" s="155">
        <v>2017</v>
      </c>
      <c r="G12" s="155">
        <v>2018</v>
      </c>
      <c r="H12" s="155">
        <v>2019</v>
      </c>
      <c r="I12" s="155">
        <v>2020</v>
      </c>
      <c r="J12" s="155">
        <v>2021</v>
      </c>
      <c r="K12" s="155">
        <v>2022</v>
      </c>
      <c r="L12" s="155">
        <v>2023</v>
      </c>
      <c r="M12" s="155">
        <v>2024</v>
      </c>
      <c r="N12" s="155">
        <v>2025</v>
      </c>
      <c r="O12" s="155">
        <v>2026</v>
      </c>
      <c r="P12" s="155">
        <v>2027</v>
      </c>
      <c r="Q12" s="155">
        <v>2028</v>
      </c>
      <c r="R12" s="117"/>
      <c r="S12" s="94" t="s">
        <v>326</v>
      </c>
      <c r="T12" s="94" t="s">
        <v>327</v>
      </c>
      <c r="U12" s="77">
        <v>2015</v>
      </c>
      <c r="V12" s="77">
        <v>2016</v>
      </c>
      <c r="W12" s="77">
        <v>2017</v>
      </c>
      <c r="X12" s="77">
        <v>2018</v>
      </c>
      <c r="Y12" s="77">
        <v>2019</v>
      </c>
      <c r="Z12" s="77">
        <v>2020</v>
      </c>
      <c r="AA12" s="77">
        <v>2021</v>
      </c>
      <c r="AB12" s="77">
        <v>2022</v>
      </c>
      <c r="AC12" s="77">
        <v>2023</v>
      </c>
      <c r="AD12" s="77">
        <v>2024</v>
      </c>
      <c r="AE12" s="77">
        <v>2025</v>
      </c>
      <c r="AF12" s="77">
        <v>2026</v>
      </c>
      <c r="AG12" s="77">
        <v>2027</v>
      </c>
      <c r="AH12" s="77">
        <v>2028</v>
      </c>
    </row>
    <row r="13" spans="1:34 16343:16343" s="29" customFormat="1" x14ac:dyDescent="0.25">
      <c r="B13" s="37">
        <v>1</v>
      </c>
      <c r="C13" s="37" t="s">
        <v>312</v>
      </c>
      <c r="D13" s="39">
        <v>-28242056</v>
      </c>
      <c r="E13" s="39">
        <v>-28380720</v>
      </c>
      <c r="F13" s="39">
        <v>-28109356</v>
      </c>
      <c r="G13" s="39">
        <f t="shared" ref="G13:N13" si="2">SUM(G15:G307)</f>
        <v>-29102727</v>
      </c>
      <c r="H13" s="39">
        <f t="shared" si="2"/>
        <v>-30356935</v>
      </c>
      <c r="I13" s="39">
        <f t="shared" si="2"/>
        <v>-31221279</v>
      </c>
      <c r="J13" s="39">
        <f t="shared" si="2"/>
        <v>-32280237.873019982</v>
      </c>
      <c r="K13" s="39">
        <f t="shared" si="2"/>
        <v>-34391779.482380003</v>
      </c>
      <c r="L13" s="39">
        <f>SUM(L15:L307)</f>
        <v>-14269220.700210003</v>
      </c>
      <c r="M13" s="39">
        <f t="shared" si="2"/>
        <v>-14660837.197793601</v>
      </c>
      <c r="N13" s="39">
        <f t="shared" si="2"/>
        <v>-16324299.709038125</v>
      </c>
      <c r="O13" s="39">
        <f>SUM(O15:O307)</f>
        <v>-16941404.288904123</v>
      </c>
      <c r="P13" s="39">
        <f>SUM(P15:P307)</f>
        <v>-17535253.551081069</v>
      </c>
      <c r="Q13" s="39">
        <f>SUM(Q15:Q307)</f>
        <v>-18062278.77034596</v>
      </c>
      <c r="R13" s="117"/>
      <c r="S13" s="39"/>
      <c r="T13" s="86" t="s">
        <v>312</v>
      </c>
      <c r="U13" s="41">
        <f>D13/'1. Väestöennuste'!F13*1000</f>
        <v>-5159.2305049083106</v>
      </c>
      <c r="V13" s="41">
        <f>E13/'1. Väestöennuste'!G13*1000</f>
        <v>-5175.5248018606617</v>
      </c>
      <c r="W13" s="41">
        <f>F13/'1. Väestöennuste'!H13*1000</f>
        <v>-5121.845874642182</v>
      </c>
      <c r="X13" s="41">
        <f>G13/'1. Väestöennuste'!I13*1000</f>
        <v>-5295.8264427318227</v>
      </c>
      <c r="Y13" s="41">
        <f>H13/'1. Väestöennuste'!J13*1000</f>
        <v>-5515.7682227694131</v>
      </c>
      <c r="Z13" s="41">
        <f>I13/'1. Väestöennuste'!J13*1000</f>
        <v>-5672.8170542387761</v>
      </c>
      <c r="AA13" s="41">
        <f>J13/'1. Väestöennuste'!K13*1000</f>
        <v>-5850.0979400340357</v>
      </c>
      <c r="AB13" s="41">
        <f>K13/'1. Väestöennuste'!L13*1000</f>
        <v>-6215.0699574617738</v>
      </c>
      <c r="AC13" s="41">
        <f>L13/'1. Väestöennuste'!M13*1000</f>
        <v>-2560.2775909127613</v>
      </c>
      <c r="AD13" s="41">
        <f>M13/'1. Väestöennuste'!N13*1000</f>
        <v>-2647.0514141044036</v>
      </c>
      <c r="AE13" s="41">
        <f>N13/'1. Väestöennuste'!O13*1000</f>
        <v>-2944.0242956966213</v>
      </c>
      <c r="AF13" s="41">
        <f>O13/'1. Väestöennuste'!P13*1000</f>
        <v>-3052.1819109802641</v>
      </c>
      <c r="AG13" s="41">
        <f>P13/'1. Väestöennuste'!Q13*1000</f>
        <v>-3156.2652806805463</v>
      </c>
      <c r="AH13" s="41">
        <f>Q13/'1. Väestöennuste'!R13*1000</f>
        <v>-3248.592592694783</v>
      </c>
      <c r="XDO13" s="40"/>
    </row>
    <row r="14" spans="1:34 16343:16343" s="29" customFormat="1" x14ac:dyDescent="0.25">
      <c r="B14" s="37"/>
      <c r="C14" s="37"/>
      <c r="D14" s="37"/>
      <c r="E14" s="37"/>
      <c r="F14" s="37"/>
      <c r="G14" s="37"/>
      <c r="H14" s="37"/>
      <c r="I14" s="37"/>
      <c r="J14" s="37"/>
      <c r="K14" s="37"/>
      <c r="L14" s="37"/>
      <c r="M14" s="37"/>
      <c r="N14" s="37"/>
      <c r="O14" s="37"/>
      <c r="P14" s="37"/>
      <c r="Q14" s="37"/>
      <c r="R14" s="117"/>
      <c r="S14" s="39"/>
      <c r="T14" s="86"/>
      <c r="U14" s="41"/>
      <c r="V14" s="41"/>
      <c r="W14" s="41"/>
      <c r="X14" s="41"/>
      <c r="Y14" s="41"/>
      <c r="Z14" s="41"/>
      <c r="AA14" s="41"/>
      <c r="AB14" s="41"/>
      <c r="AC14" s="41"/>
      <c r="AD14" s="41"/>
      <c r="AE14" s="41"/>
      <c r="AF14" s="41"/>
      <c r="AG14" s="41"/>
      <c r="AH14" s="41"/>
    </row>
    <row r="15" spans="1:34 16343:16343" customFormat="1" x14ac:dyDescent="0.25">
      <c r="A15" s="99">
        <v>14</v>
      </c>
      <c r="B15" s="30">
        <v>5</v>
      </c>
      <c r="C15" s="47" t="s">
        <v>328</v>
      </c>
      <c r="D15" s="65">
        <v>-57325</v>
      </c>
      <c r="E15" s="157">
        <v>-56196</v>
      </c>
      <c r="F15" s="157">
        <v>-58797</v>
      </c>
      <c r="G15" s="157">
        <v>-61242</v>
      </c>
      <c r="H15" s="43">
        <v>-62969</v>
      </c>
      <c r="I15" s="43">
        <v>-62640</v>
      </c>
      <c r="J15" s="159">
        <v>-64339.408950000005</v>
      </c>
      <c r="K15" s="43">
        <v>-67087.190239999996</v>
      </c>
      <c r="L15" s="43">
        <v>-25836.190500000001</v>
      </c>
      <c r="M15" s="43">
        <f>'2.1. Toimintakatennuste'!AX6</f>
        <v>-26830.310597782161</v>
      </c>
      <c r="N15" s="43">
        <f>$N$6*'2.1. Toimintakatennuste'!AG6</f>
        <v>-28031.224585481523</v>
      </c>
      <c r="O15" s="43">
        <f>$O$6*'2.1. Toimintakatennuste'!AH6</f>
        <v>-28524.254253248844</v>
      </c>
      <c r="P15" s="43">
        <f>P$6*'2.1. Toimintakatennuste'!AI6</f>
        <v>-28823.066706046829</v>
      </c>
      <c r="Q15" s="43">
        <f>Q$6*'2.1. Toimintakatennuste'!AJ6</f>
        <v>-29101.674023125852</v>
      </c>
      <c r="R15" s="117"/>
      <c r="S15" s="34">
        <v>5</v>
      </c>
      <c r="T15" s="88" t="s">
        <v>328</v>
      </c>
      <c r="U15" s="41">
        <f>D15/'1. Väestöennuste'!E15*1000</f>
        <v>-5729.0625624625227</v>
      </c>
      <c r="V15" s="41">
        <f>E15/'1. Väestöennuste'!F15*1000</f>
        <v>-5676.9370643499342</v>
      </c>
      <c r="W15" s="41">
        <f>F15/'1. Väestöennuste'!G15*1000</f>
        <v>-5980.7750991760759</v>
      </c>
      <c r="X15" s="41">
        <f>G15/'1. Väestöennuste'!H15*1000</f>
        <v>-6313.6082474226796</v>
      </c>
      <c r="Y15" s="41">
        <f>H15/'1. Väestöennuste'!I15*1000</f>
        <v>-6585.337795440284</v>
      </c>
      <c r="Z15" s="41">
        <f>I15/'1. Väestöennuste'!J15*1000</f>
        <v>-6650.3875145981528</v>
      </c>
      <c r="AA15" s="41">
        <f>J15/'1. Väestöennuste'!K15*1000</f>
        <v>-6910.0428471700152</v>
      </c>
      <c r="AB15" s="41">
        <f>K15/'1. Väestöennuste'!L15*1000</f>
        <v>-7305.5853468365449</v>
      </c>
      <c r="AC15" s="41">
        <f>L15/'1. Väestöennuste'!M15*1000</f>
        <v>-2835.0916822122244</v>
      </c>
      <c r="AD15" s="41">
        <f>M15/'1. Väestöennuste'!N15*1000</f>
        <v>-2997.4651544835392</v>
      </c>
      <c r="AE15" s="41">
        <f>N15/'1. Väestöennuste'!O15*1000</f>
        <v>-3170.5943428889855</v>
      </c>
      <c r="AF15" s="41">
        <f>O15/'1. Väestöennuste'!P15*1000</f>
        <v>-3267.383075973522</v>
      </c>
      <c r="AG15" s="41">
        <f>P15/'1. Väestöennuste'!Q15*1000</f>
        <v>-3343.3553771078564</v>
      </c>
      <c r="AH15" s="41">
        <f>Q15/'1. Väestöennuste'!R15*1000</f>
        <v>-3418.8996737694843</v>
      </c>
    </row>
    <row r="16" spans="1:34 16343:16343" customFormat="1" x14ac:dyDescent="0.25">
      <c r="A16" s="99">
        <v>17</v>
      </c>
      <c r="B16" s="30">
        <v>9</v>
      </c>
      <c r="C16" s="47" t="s">
        <v>329</v>
      </c>
      <c r="D16" s="65">
        <v>-14956</v>
      </c>
      <c r="E16" s="157">
        <v>-15152</v>
      </c>
      <c r="F16" s="157">
        <v>-15444</v>
      </c>
      <c r="G16" s="157">
        <v>-15419</v>
      </c>
      <c r="H16" s="43">
        <v>-15396</v>
      </c>
      <c r="I16" s="43">
        <v>-15872</v>
      </c>
      <c r="J16" s="159">
        <v>-16568.164229999998</v>
      </c>
      <c r="K16" s="43">
        <v>-17073.848129999998</v>
      </c>
      <c r="L16" s="43">
        <v>-7076.1585999999998</v>
      </c>
      <c r="M16" s="43">
        <f>'2.1. Toimintakatennuste'!AX7</f>
        <v>-7351.1545125800949</v>
      </c>
      <c r="N16" s="43">
        <f>$N$6*'2.1. Toimintakatennuste'!AG7</f>
        <v>-7824.5908762585632</v>
      </c>
      <c r="O16" s="43">
        <f>$O$6*'2.1. Toimintakatennuste'!AH7</f>
        <v>-8207.9305692092585</v>
      </c>
      <c r="P16" s="43">
        <f>P$6*'2.1. Toimintakatennuste'!AI7</f>
        <v>-8520.0181407680357</v>
      </c>
      <c r="Q16" s="43">
        <f>Q$6*'2.1. Toimintakatennuste'!AJ7</f>
        <v>-8822.2898603806843</v>
      </c>
      <c r="R16" s="117"/>
      <c r="S16" s="34">
        <v>9</v>
      </c>
      <c r="T16" s="88" t="s">
        <v>329</v>
      </c>
      <c r="U16" s="41">
        <f>D16/'1. Väestöennuste'!E16*1000</f>
        <v>-5566.0588016375141</v>
      </c>
      <c r="V16" s="41">
        <f>E16/'1. Väestöennuste'!F16*1000</f>
        <v>-5741.5687760515348</v>
      </c>
      <c r="W16" s="41">
        <f>F16/'1. Väestöennuste'!G16*1000</f>
        <v>-5917.2413793103451</v>
      </c>
      <c r="X16" s="41">
        <f>G16/'1. Väestöennuste'!H16*1000</f>
        <v>-5992.6156237854648</v>
      </c>
      <c r="Y16" s="41">
        <f>H16/'1. Väestöennuste'!I16*1000</f>
        <v>-6111.9491861849938</v>
      </c>
      <c r="Z16" s="41">
        <f>I16/'1. Väestöennuste'!J16*1000</f>
        <v>-6305.919745729042</v>
      </c>
      <c r="AA16" s="41">
        <f>J16/'1. Väestöennuste'!K16*1000</f>
        <v>-6651.2100481734233</v>
      </c>
      <c r="AB16" s="41">
        <f>K16/'1. Väestöennuste'!L16*1000</f>
        <v>-6977.4614344094807</v>
      </c>
      <c r="AC16" s="41">
        <f>L16/'1. Väestöennuste'!M16*1000</f>
        <v>-2903.635043085761</v>
      </c>
      <c r="AD16" s="41">
        <f>M16/'1. Väestöennuste'!N16*1000</f>
        <v>-3036.4124380752146</v>
      </c>
      <c r="AE16" s="41">
        <f>N16/'1. Väestöennuste'!O16*1000</f>
        <v>-3264.3266066994424</v>
      </c>
      <c r="AF16" s="41">
        <f>O16/'1. Väestöennuste'!P16*1000</f>
        <v>-3455.9707659828459</v>
      </c>
      <c r="AG16" s="41">
        <f>P16/'1. Väestöennuste'!Q16*1000</f>
        <v>-3622.4566925034164</v>
      </c>
      <c r="AH16" s="41">
        <f>Q16/'1. Väestöennuste'!R16*1000</f>
        <v>-3788.0162560672752</v>
      </c>
    </row>
    <row r="17" spans="1:34" customFormat="1" x14ac:dyDescent="0.25">
      <c r="A17" s="99">
        <v>14</v>
      </c>
      <c r="B17" s="30">
        <v>10</v>
      </c>
      <c r="C17" s="47" t="s">
        <v>330</v>
      </c>
      <c r="D17" s="65">
        <v>-70555</v>
      </c>
      <c r="E17" s="157">
        <v>-69628</v>
      </c>
      <c r="F17" s="157">
        <v>-69650</v>
      </c>
      <c r="G17" s="157">
        <v>-70262</v>
      </c>
      <c r="H17" s="43">
        <v>-72208</v>
      </c>
      <c r="I17" s="43">
        <v>-73751</v>
      </c>
      <c r="J17" s="159">
        <v>-76691.857349999991</v>
      </c>
      <c r="K17" s="43">
        <v>-79568.424769999998</v>
      </c>
      <c r="L17" s="43">
        <v>-28902.33871</v>
      </c>
      <c r="M17" s="43">
        <f>'2.1. Toimintakatennuste'!AX8</f>
        <v>-28315.665997264292</v>
      </c>
      <c r="N17" s="43">
        <f>$N$6*'2.1. Toimintakatennuste'!AG8</f>
        <v>-31833.612357001664</v>
      </c>
      <c r="O17" s="43">
        <f>$O$6*'2.1. Toimintakatennuste'!AH8</f>
        <v>-32751.543607933283</v>
      </c>
      <c r="P17" s="43">
        <f>P$6*'2.1. Toimintakatennuste'!AI8</f>
        <v>-33365.784114388334</v>
      </c>
      <c r="Q17" s="43">
        <f>Q$6*'2.1. Toimintakatennuste'!AJ8</f>
        <v>-34044.41883528218</v>
      </c>
      <c r="R17" s="117"/>
      <c r="S17" s="34">
        <v>10</v>
      </c>
      <c r="T17" s="88" t="s">
        <v>330</v>
      </c>
      <c r="U17" s="41">
        <f>D17/'1. Väestöennuste'!E17*1000</f>
        <v>-5858.103620059781</v>
      </c>
      <c r="V17" s="41">
        <f>E17/'1. Väestöennuste'!F17*1000</f>
        <v>-5847.6526413034353</v>
      </c>
      <c r="W17" s="41">
        <f>F17/'1. Väestöennuste'!G17*1000</f>
        <v>-5946.3843592589428</v>
      </c>
      <c r="X17" s="41">
        <f>G17/'1. Väestöennuste'!H17*1000</f>
        <v>-6086.4518364518362</v>
      </c>
      <c r="Y17" s="41">
        <f>H17/'1. Väestöennuste'!I17*1000</f>
        <v>-6296.4771538193227</v>
      </c>
      <c r="Z17" s="41">
        <f>I17/'1. Väestöennuste'!J17*1000</f>
        <v>-6508.2068478644542</v>
      </c>
      <c r="AA17" s="41">
        <f>J17/'1. Väestöennuste'!K17*1000</f>
        <v>-6849.3219031883536</v>
      </c>
      <c r="AB17" s="41">
        <f>K17/'1. Väestöennuste'!L17*1000</f>
        <v>-7167.0351981624926</v>
      </c>
      <c r="AC17" s="41">
        <f>L17/'1. Väestöennuste'!M17*1000</f>
        <v>-2643.5871864995884</v>
      </c>
      <c r="AD17" s="41">
        <f>M17/'1. Väestöennuste'!N17*1000</f>
        <v>-2618.1845582306328</v>
      </c>
      <c r="AE17" s="41">
        <f>N17/'1. Väestöennuste'!O17*1000</f>
        <v>-2979.001717855293</v>
      </c>
      <c r="AF17" s="41">
        <f>O17/'1. Väestöennuste'!P17*1000</f>
        <v>-3100.8846438111418</v>
      </c>
      <c r="AG17" s="41">
        <f>P17/'1. Väestöennuste'!Q17*1000</f>
        <v>-3195.0382183652528</v>
      </c>
      <c r="AH17" s="41">
        <f>Q17/'1. Väestöennuste'!R17*1000</f>
        <v>-3297.2802746036009</v>
      </c>
    </row>
    <row r="18" spans="1:34" customFormat="1" x14ac:dyDescent="0.25">
      <c r="A18" s="99">
        <v>7</v>
      </c>
      <c r="B18" s="30">
        <v>16</v>
      </c>
      <c r="C18" s="47" t="s">
        <v>331</v>
      </c>
      <c r="D18" s="65">
        <v>-42423</v>
      </c>
      <c r="E18" s="157">
        <v>-42238</v>
      </c>
      <c r="F18" s="157">
        <v>-42490</v>
      </c>
      <c r="G18" s="157">
        <v>-43254</v>
      </c>
      <c r="H18" s="43">
        <v>-45898</v>
      </c>
      <c r="I18" s="43">
        <v>-45098</v>
      </c>
      <c r="J18" s="159">
        <v>-47149.293180000008</v>
      </c>
      <c r="K18" s="43">
        <v>-52490.751179999999</v>
      </c>
      <c r="L18" s="43">
        <v>-21668.188859999998</v>
      </c>
      <c r="M18" s="43">
        <f>'2.1. Toimintakatennuste'!AX9</f>
        <v>-22869.326230609044</v>
      </c>
      <c r="N18" s="43">
        <f>$N$6*'2.1. Toimintakatennuste'!AG9</f>
        <v>-23811.137865942364</v>
      </c>
      <c r="O18" s="43">
        <f>$O$6*'2.1. Toimintakatennuste'!AH9</f>
        <v>-24388.667924684803</v>
      </c>
      <c r="P18" s="43">
        <f>P$6*'2.1. Toimintakatennuste'!AI9</f>
        <v>-24978.017088290046</v>
      </c>
      <c r="Q18" s="43">
        <f>Q$6*'2.1. Toimintakatennuste'!AJ9</f>
        <v>-25528.963430576539</v>
      </c>
      <c r="R18" s="117"/>
      <c r="S18" s="34">
        <v>16</v>
      </c>
      <c r="T18" s="88" t="s">
        <v>331</v>
      </c>
      <c r="U18" s="41">
        <f>D18/'1. Väestöennuste'!E18*1000</f>
        <v>-5119.2228792083988</v>
      </c>
      <c r="V18" s="41">
        <f>E18/'1. Väestöennuste'!F18*1000</f>
        <v>-5074.8528174936919</v>
      </c>
      <c r="W18" s="41">
        <f>F18/'1. Väestöennuste'!G18*1000</f>
        <v>-5151.5518913676042</v>
      </c>
      <c r="X18" s="41">
        <f>G18/'1. Väestöennuste'!H18*1000</f>
        <v>-5307.8905387164068</v>
      </c>
      <c r="Y18" s="41">
        <f>H18/'1. Väestöennuste'!I18*1000</f>
        <v>-5678.33725102066</v>
      </c>
      <c r="Z18" s="41">
        <f>I18/'1. Väestöennuste'!J18*1000</f>
        <v>-5595.9796500806551</v>
      </c>
      <c r="AA18" s="41">
        <f>J18/'1. Väestöennuste'!K18*1000</f>
        <v>-5869.4501655670374</v>
      </c>
      <c r="AB18" s="41">
        <f>K18/'1. Väestöennuste'!L18*1000</f>
        <v>-6549.8816046917891</v>
      </c>
      <c r="AC18" s="41">
        <f>L18/'1. Väestöennuste'!M18*1000</f>
        <v>-2719.4012123493976</v>
      </c>
      <c r="AD18" s="41">
        <f>M18/'1. Väestöennuste'!N18*1000</f>
        <v>-2899.9906455248597</v>
      </c>
      <c r="AE18" s="41">
        <f>N18/'1. Väestöennuste'!O18*1000</f>
        <v>-3038.2975457371908</v>
      </c>
      <c r="AF18" s="41">
        <f>O18/'1. Väestöennuste'!P18*1000</f>
        <v>-3130.364256794353</v>
      </c>
      <c r="AG18" s="41">
        <f>P18/'1. Väestöennuste'!Q18*1000</f>
        <v>-3225.8836482358315</v>
      </c>
      <c r="AH18" s="41">
        <f>Q18/'1. Väestöennuste'!R18*1000</f>
        <v>-3315.8804300008496</v>
      </c>
    </row>
    <row r="19" spans="1:34" customFormat="1" x14ac:dyDescent="0.25">
      <c r="A19" s="99">
        <v>1</v>
      </c>
      <c r="B19" s="30">
        <v>18</v>
      </c>
      <c r="C19" s="47" t="s">
        <v>332</v>
      </c>
      <c r="D19" s="65">
        <v>-25122</v>
      </c>
      <c r="E19" s="157">
        <v>-25437</v>
      </c>
      <c r="F19" s="157">
        <v>-25397</v>
      </c>
      <c r="G19" s="157">
        <v>-26333</v>
      </c>
      <c r="H19" s="43">
        <v>-25868</v>
      </c>
      <c r="I19" s="43">
        <v>-26475</v>
      </c>
      <c r="J19" s="159">
        <v>-26985.506560000002</v>
      </c>
      <c r="K19" s="43">
        <v>-28874.993039999998</v>
      </c>
      <c r="L19" s="43">
        <v>-13215.407539999998</v>
      </c>
      <c r="M19" s="43">
        <f>'2.1. Toimintakatennuste'!AX10</f>
        <v>-13640.774450758627</v>
      </c>
      <c r="N19" s="43">
        <f>$N$6*'2.1. Toimintakatennuste'!AG10</f>
        <v>-14782.085464451427</v>
      </c>
      <c r="O19" s="43">
        <f>$O$6*'2.1. Toimintakatennuste'!AH10</f>
        <v>-15479.160109168319</v>
      </c>
      <c r="P19" s="43">
        <f>P$6*'2.1. Toimintakatennuste'!AI10</f>
        <v>-16009.913627265551</v>
      </c>
      <c r="Q19" s="43">
        <f>Q$6*'2.1. Toimintakatennuste'!AJ10</f>
        <v>-16592.840214704087</v>
      </c>
      <c r="R19" s="117"/>
      <c r="S19" s="34">
        <v>18</v>
      </c>
      <c r="T19" s="88" t="s">
        <v>332</v>
      </c>
      <c r="U19" s="41">
        <f>D19/'1. Väestöennuste'!E19*1000</f>
        <v>-4922.0219435736681</v>
      </c>
      <c r="V19" s="41">
        <f>E19/'1. Väestöennuste'!F19*1000</f>
        <v>-5041.0225921521996</v>
      </c>
      <c r="W19" s="41">
        <f>F19/'1. Väestöennuste'!G19*1000</f>
        <v>-5089.5791583166329</v>
      </c>
      <c r="X19" s="41">
        <f>G19/'1. Väestöennuste'!H19*1000</f>
        <v>-5311.2141992739007</v>
      </c>
      <c r="Y19" s="41">
        <f>H19/'1. Väestöennuste'!I19*1000</f>
        <v>-5233.2591543597009</v>
      </c>
      <c r="Z19" s="41">
        <f>I19/'1. Väestöennuste'!J19*1000</f>
        <v>-5427.4292742927437</v>
      </c>
      <c r="AA19" s="41">
        <f>J19/'1. Väestöennuste'!K19*1000</f>
        <v>-5567.4657643903447</v>
      </c>
      <c r="AB19" s="41">
        <f>K19/'1. Väestöennuste'!L19*1000</f>
        <v>-6062.3541969347043</v>
      </c>
      <c r="AC19" s="41">
        <f>L19/'1. Väestöennuste'!M19*1000</f>
        <v>-2811.7888382978717</v>
      </c>
      <c r="AD19" s="41">
        <f>M19/'1. Väestöennuste'!N19*1000</f>
        <v>-2881.4479194673904</v>
      </c>
      <c r="AE19" s="41">
        <f>N19/'1. Väestöennuste'!O19*1000</f>
        <v>-3139.1134985031699</v>
      </c>
      <c r="AF19" s="41">
        <f>O19/'1. Väestöennuste'!P19*1000</f>
        <v>-3303.2778722083476</v>
      </c>
      <c r="AG19" s="41">
        <f>P19/'1. Väestöennuste'!Q19*1000</f>
        <v>-3431.9214635081566</v>
      </c>
      <c r="AH19" s="41">
        <f>Q19/'1. Väestöennuste'!R19*1000</f>
        <v>-3574.5024159207428</v>
      </c>
    </row>
    <row r="20" spans="1:34" customFormat="1" x14ac:dyDescent="0.25">
      <c r="A20" s="99">
        <v>2</v>
      </c>
      <c r="B20" s="30">
        <v>19</v>
      </c>
      <c r="C20" s="47" t="s">
        <v>333</v>
      </c>
      <c r="D20" s="65">
        <v>-18573</v>
      </c>
      <c r="E20" s="157">
        <v>-18730</v>
      </c>
      <c r="F20" s="157">
        <v>-18059</v>
      </c>
      <c r="G20" s="157">
        <v>-19508</v>
      </c>
      <c r="H20" s="43">
        <v>-20102</v>
      </c>
      <c r="I20" s="43">
        <v>-20569</v>
      </c>
      <c r="J20" s="159">
        <v>-20989.671150000002</v>
      </c>
      <c r="K20" s="43">
        <v>-22723.255590000001</v>
      </c>
      <c r="L20" s="43">
        <v>-10496.980609999999</v>
      </c>
      <c r="M20" s="43">
        <f>'2.1. Toimintakatennuste'!AX11</f>
        <v>-10565.632665332214</v>
      </c>
      <c r="N20" s="43">
        <f>$N$6*'2.1. Toimintakatennuste'!AG11</f>
        <v>-11990.814394855701</v>
      </c>
      <c r="O20" s="43">
        <f>$O$6*'2.1. Toimintakatennuste'!AH11</f>
        <v>-12528.485640252422</v>
      </c>
      <c r="P20" s="43">
        <f>P$6*'2.1. Toimintakatennuste'!AI11</f>
        <v>-12908.021253585988</v>
      </c>
      <c r="Q20" s="43">
        <f>Q$6*'2.1. Toimintakatennuste'!AJ11</f>
        <v>-13355.456714417547</v>
      </c>
      <c r="R20" s="117"/>
      <c r="S20" s="34">
        <v>19</v>
      </c>
      <c r="T20" s="88" t="s">
        <v>333</v>
      </c>
      <c r="U20" s="41">
        <f>D20/'1. Väestöennuste'!E20*1000</f>
        <v>-4659.5584545910688</v>
      </c>
      <c r="V20" s="41">
        <f>E20/'1. Väestöennuste'!F20*1000</f>
        <v>-4701.3052208835343</v>
      </c>
      <c r="W20" s="41">
        <f>F20/'1. Väestöennuste'!G20*1000</f>
        <v>-4524.9310949636683</v>
      </c>
      <c r="X20" s="41">
        <f>G20/'1. Väestöennuste'!H20*1000</f>
        <v>-4896.5863453815264</v>
      </c>
      <c r="Y20" s="41">
        <f>H20/'1. Väestöennuste'!I20*1000</f>
        <v>-5100.7358538442022</v>
      </c>
      <c r="Z20" s="41">
        <f>I20/'1. Väestöennuste'!J20*1000</f>
        <v>-5195.5039151300834</v>
      </c>
      <c r="AA20" s="41">
        <f>J20/'1. Väestöennuste'!K20*1000</f>
        <v>-5307.1229203539833</v>
      </c>
      <c r="AB20" s="41">
        <f>K20/'1. Väestöennuste'!L20*1000</f>
        <v>-5730.9597957124843</v>
      </c>
      <c r="AC20" s="41">
        <f>L20/'1. Väestöennuste'!M20*1000</f>
        <v>-2650.0834662963894</v>
      </c>
      <c r="AD20" s="41">
        <f>M20/'1. Väestöennuste'!N20*1000</f>
        <v>-2666.7422173983377</v>
      </c>
      <c r="AE20" s="41">
        <f>N20/'1. Väestöennuste'!O20*1000</f>
        <v>-3022.6403818643057</v>
      </c>
      <c r="AF20" s="41">
        <f>O20/'1. Väestöennuste'!P20*1000</f>
        <v>-3153.4069066832171</v>
      </c>
      <c r="AG20" s="41">
        <f>P20/'1. Väestöennuste'!Q20*1000</f>
        <v>-3241.5924795544925</v>
      </c>
      <c r="AH20" s="41">
        <f>Q20/'1. Väestöennuste'!R20*1000</f>
        <v>-3348.910911338402</v>
      </c>
    </row>
    <row r="21" spans="1:34" customFormat="1" x14ac:dyDescent="0.25">
      <c r="A21" s="99">
        <v>6</v>
      </c>
      <c r="B21" s="30">
        <v>20</v>
      </c>
      <c r="C21" s="47" t="s">
        <v>334</v>
      </c>
      <c r="D21" s="65">
        <v>-87536</v>
      </c>
      <c r="E21" s="157">
        <v>-86670</v>
      </c>
      <c r="F21" s="157">
        <v>-84433</v>
      </c>
      <c r="G21" s="157">
        <v>-88242</v>
      </c>
      <c r="H21" s="43">
        <v>-88791</v>
      </c>
      <c r="I21" s="43">
        <v>-83838</v>
      </c>
      <c r="J21" s="159">
        <v>-97871.943159999995</v>
      </c>
      <c r="K21" s="43">
        <v>-102177.91384000001</v>
      </c>
      <c r="L21" s="43">
        <v>-40464.505669999999</v>
      </c>
      <c r="M21" s="43">
        <f>'2.1. Toimintakatennuste'!AX12</f>
        <v>-35715.905683741075</v>
      </c>
      <c r="N21" s="43">
        <f>$N$6*'2.1. Toimintakatennuste'!AG12</f>
        <v>-45338.391576403155</v>
      </c>
      <c r="O21" s="43">
        <f>$O$6*'2.1. Toimintakatennuste'!AH12</f>
        <v>-46274.478149242241</v>
      </c>
      <c r="P21" s="43">
        <f>P$6*'2.1. Toimintakatennuste'!AI12</f>
        <v>-47124.075308598112</v>
      </c>
      <c r="Q21" s="43">
        <f>Q$6*'2.1. Toimintakatennuste'!AJ12</f>
        <v>-47785.20952331568</v>
      </c>
      <c r="R21" s="117"/>
      <c r="S21" s="34">
        <v>20</v>
      </c>
      <c r="T21" s="88" t="s">
        <v>334</v>
      </c>
      <c r="U21" s="41">
        <f>D21/'1. Väestöennuste'!E21*1000</f>
        <v>-5136.1849439652642</v>
      </c>
      <c r="V21" s="41">
        <f>E21/'1. Väestöennuste'!F21*1000</f>
        <v>-5121.4323701471376</v>
      </c>
      <c r="W21" s="41">
        <f>F21/'1. Väestöennuste'!G21*1000</f>
        <v>-5035.0647027252662</v>
      </c>
      <c r="X21" s="41">
        <f>G21/'1. Väestöennuste'!H21*1000</f>
        <v>-5312.2629582806567</v>
      </c>
      <c r="Y21" s="41">
        <f>H21/'1. Väestöennuste'!I21*1000</f>
        <v>-5389.4385432473446</v>
      </c>
      <c r="Z21" s="41">
        <f>I21/'1. Väestöennuste'!J21*1000</f>
        <v>-5114.8801171374535</v>
      </c>
      <c r="AA21" s="41">
        <f>J21/'1. Väestöennuste'!K21*1000</f>
        <v>-5943.5199587052884</v>
      </c>
      <c r="AB21" s="41">
        <f>K21/'1. Väestöennuste'!L21*1000</f>
        <v>-6202.7507946336436</v>
      </c>
      <c r="AC21" s="41">
        <f>L21/'1. Väestöennuste'!M21*1000</f>
        <v>-2466.5958957634866</v>
      </c>
      <c r="AD21" s="41">
        <f>M21/'1. Väestöennuste'!N21*1000</f>
        <v>-2245.436041980452</v>
      </c>
      <c r="AE21" s="41">
        <f>N21/'1. Väestöennuste'!O21*1000</f>
        <v>-2870.4268171195413</v>
      </c>
      <c r="AF21" s="41">
        <f>O21/'1. Väestöennuste'!P21*1000</f>
        <v>-2948.921625620841</v>
      </c>
      <c r="AG21" s="41">
        <f>P21/'1. Väestöennuste'!Q21*1000</f>
        <v>-3021.7425654759932</v>
      </c>
      <c r="AH21" s="41">
        <f>Q21/'1. Väestöennuste'!R21*1000</f>
        <v>-3082.5189990527465</v>
      </c>
    </row>
    <row r="22" spans="1:34" customFormat="1" x14ac:dyDescent="0.25">
      <c r="A22" s="99">
        <v>10</v>
      </c>
      <c r="B22" s="30">
        <v>46</v>
      </c>
      <c r="C22" s="47" t="s">
        <v>335</v>
      </c>
      <c r="D22" s="65">
        <v>-9131</v>
      </c>
      <c r="E22" s="157">
        <v>-8712</v>
      </c>
      <c r="F22" s="157">
        <v>-9545</v>
      </c>
      <c r="G22" s="157">
        <v>-9546</v>
      </c>
      <c r="H22" s="43">
        <v>-9244</v>
      </c>
      <c r="I22" s="43">
        <v>-9003</v>
      </c>
      <c r="J22" s="159">
        <v>-8919.9491899999994</v>
      </c>
      <c r="K22" s="43">
        <v>-9956.6758499999996</v>
      </c>
      <c r="L22" s="43">
        <v>-3835.60214</v>
      </c>
      <c r="M22" s="43">
        <f>'2.1. Toimintakatennuste'!AX13</f>
        <v>-4461.4025108695269</v>
      </c>
      <c r="N22" s="43">
        <f>$N$6*'2.1. Toimintakatennuste'!AG13</f>
        <v>-4421.986906750265</v>
      </c>
      <c r="O22" s="43">
        <f>$O$6*'2.1. Toimintakatennuste'!AH13</f>
        <v>-4599.803592084485</v>
      </c>
      <c r="P22" s="43">
        <f>P$6*'2.1. Toimintakatennuste'!AI13</f>
        <v>-4771.1348002265868</v>
      </c>
      <c r="Q22" s="43">
        <f>Q$6*'2.1. Toimintakatennuste'!AJ13</f>
        <v>-4929.3440461169721</v>
      </c>
      <c r="R22" s="117"/>
      <c r="S22" s="34">
        <v>46</v>
      </c>
      <c r="T22" s="88" t="s">
        <v>335</v>
      </c>
      <c r="U22" s="41">
        <f>D22/'1. Väestöennuste'!E22*1000</f>
        <v>-6198.9137813985062</v>
      </c>
      <c r="V22" s="41">
        <f>E22/'1. Väestöennuste'!F22*1000</f>
        <v>-5995.8706125258086</v>
      </c>
      <c r="W22" s="41">
        <f>F22/'1. Väestöennuste'!G22*1000</f>
        <v>-6740.8192090395487</v>
      </c>
      <c r="X22" s="41">
        <f>G22/'1. Väestöennuste'!H22*1000</f>
        <v>-6794.3060498220648</v>
      </c>
      <c r="Y22" s="41">
        <f>H22/'1. Väestöennuste'!I22*1000</f>
        <v>-6792.0646583394564</v>
      </c>
      <c r="Z22" s="41">
        <f>I22/'1. Väestöennuste'!J22*1000</f>
        <v>-6576.3330898466029</v>
      </c>
      <c r="AA22" s="41">
        <f>J22/'1. Väestöennuste'!K22*1000</f>
        <v>-6549.1550587371512</v>
      </c>
      <c r="AB22" s="41">
        <f>K22/'1. Väestöennuste'!L22*1000</f>
        <v>-7424.8142058165549</v>
      </c>
      <c r="AC22" s="41">
        <f>L22/'1. Väestöennuste'!M22*1000</f>
        <v>-2905.7591969696969</v>
      </c>
      <c r="AD22" s="41">
        <f>M22/'1. Väestöennuste'!N22*1000</f>
        <v>-3395.2834938124251</v>
      </c>
      <c r="AE22" s="41">
        <f>N22/'1. Väestöennuste'!O22*1000</f>
        <v>-3401.528389807896</v>
      </c>
      <c r="AF22" s="41">
        <f>O22/'1. Väestöennuste'!P22*1000</f>
        <v>-3574.05096510061</v>
      </c>
      <c r="AG22" s="41">
        <f>P22/'1. Väestöennuste'!Q22*1000</f>
        <v>-3745.0037678387653</v>
      </c>
      <c r="AH22" s="41">
        <f>Q22/'1. Väestöennuste'!R22*1000</f>
        <v>-3915.2851835718602</v>
      </c>
    </row>
    <row r="23" spans="1:34" customFormat="1" x14ac:dyDescent="0.25">
      <c r="A23" s="99">
        <v>19</v>
      </c>
      <c r="B23" s="30">
        <v>47</v>
      </c>
      <c r="C23" s="47" t="s">
        <v>336</v>
      </c>
      <c r="D23" s="65">
        <v>-14738</v>
      </c>
      <c r="E23" s="157">
        <v>-14785</v>
      </c>
      <c r="F23" s="157">
        <v>-14167</v>
      </c>
      <c r="G23" s="157">
        <v>-14820</v>
      </c>
      <c r="H23" s="43">
        <v>-14999</v>
      </c>
      <c r="I23" s="43">
        <v>-15231</v>
      </c>
      <c r="J23" s="159">
        <v>-15586.993920000001</v>
      </c>
      <c r="K23" s="43">
        <v>-16511.675759999998</v>
      </c>
      <c r="L23" s="43">
        <v>-7398.3690299999998</v>
      </c>
      <c r="M23" s="43">
        <f>'2.1. Toimintakatennuste'!AX14</f>
        <v>-7641.6937223340929</v>
      </c>
      <c r="N23" s="43">
        <f>$N$6*'2.1. Toimintakatennuste'!AG14</f>
        <v>-8410.6650936046535</v>
      </c>
      <c r="O23" s="43">
        <f>$O$6*'2.1. Toimintakatennuste'!AH14</f>
        <v>-8764.717105284848</v>
      </c>
      <c r="P23" s="43">
        <f>P$6*'2.1. Toimintakatennuste'!AI14</f>
        <v>-9102.3305661298909</v>
      </c>
      <c r="Q23" s="43">
        <f>Q$6*'2.1. Toimintakatennuste'!AJ14</f>
        <v>-9375.2559676779074</v>
      </c>
      <c r="R23" s="117"/>
      <c r="S23" s="34">
        <v>47</v>
      </c>
      <c r="T23" s="88" t="s">
        <v>336</v>
      </c>
      <c r="U23" s="41">
        <f>D23/'1. Väestöennuste'!E23*1000</f>
        <v>-7919.3981730252553</v>
      </c>
      <c r="V23" s="41">
        <f>E23/'1. Väestöennuste'!F23*1000</f>
        <v>-7897.970085470085</v>
      </c>
      <c r="W23" s="41">
        <f>F23/'1. Väestöennuste'!G23*1000</f>
        <v>-7483.8880084521925</v>
      </c>
      <c r="X23" s="41">
        <f>G23/'1. Väestöennuste'!H23*1000</f>
        <v>-8002.1598272138235</v>
      </c>
      <c r="Y23" s="41">
        <f>H23/'1. Väestöennuste'!I23*1000</f>
        <v>-8160.5005440696414</v>
      </c>
      <c r="Z23" s="41">
        <f>I23/'1. Väestöennuste'!J23*1000</f>
        <v>-8424.2256637168139</v>
      </c>
      <c r="AA23" s="41">
        <f>J23/'1. Väestöennuste'!K23*1000</f>
        <v>-8712.6852543320292</v>
      </c>
      <c r="AB23" s="41">
        <f>K23/'1. Väestöennuste'!L23*1000</f>
        <v>-9117.4355383765869</v>
      </c>
      <c r="AC23" s="41">
        <f>L23/'1. Väestöennuste'!M23*1000</f>
        <v>-4177.5093337097678</v>
      </c>
      <c r="AD23" s="41">
        <f>M23/'1. Väestöennuste'!N23*1000</f>
        <v>-4307.6063823754748</v>
      </c>
      <c r="AE23" s="41">
        <f>N23/'1. Väestöennuste'!O23*1000</f>
        <v>-4757.1635144822703</v>
      </c>
      <c r="AF23" s="41">
        <f>O23/'1. Väestöennuste'!P23*1000</f>
        <v>-4977.1249888045704</v>
      </c>
      <c r="AG23" s="41">
        <f>P23/'1. Väestöennuste'!Q23*1000</f>
        <v>-5192.4304427438046</v>
      </c>
      <c r="AH23" s="41">
        <f>Q23/'1. Väestöennuste'!R23*1000</f>
        <v>-5372.6395230245889</v>
      </c>
    </row>
    <row r="24" spans="1:34" customFormat="1" x14ac:dyDescent="0.25">
      <c r="A24" s="99">
        <v>1</v>
      </c>
      <c r="B24" s="30">
        <v>49</v>
      </c>
      <c r="C24" s="47" t="s">
        <v>337</v>
      </c>
      <c r="D24" s="65">
        <v>-1313012</v>
      </c>
      <c r="E24" s="157">
        <v>-1336350</v>
      </c>
      <c r="F24" s="157">
        <v>-1342967</v>
      </c>
      <c r="G24" s="157">
        <v>-1375898</v>
      </c>
      <c r="H24" s="43">
        <v>-1455718</v>
      </c>
      <c r="I24" s="43">
        <v>-1526390</v>
      </c>
      <c r="J24" s="159">
        <v>-1550173.7410300002</v>
      </c>
      <c r="K24" s="43">
        <v>-1652595.8901099998</v>
      </c>
      <c r="L24" s="43">
        <v>-868519.77996000007</v>
      </c>
      <c r="M24" s="43">
        <f>'2.1. Toimintakatennuste'!AX15</f>
        <v>-966341.42429447896</v>
      </c>
      <c r="N24" s="43">
        <f>$N$6*'2.1. Toimintakatennuste'!AG15</f>
        <v>-999951.04566184268</v>
      </c>
      <c r="O24" s="43">
        <f>$O$6*'2.1. Toimintakatennuste'!AH15</f>
        <v>-1049985.7125552699</v>
      </c>
      <c r="P24" s="43">
        <f>P$6*'2.1. Toimintakatennuste'!AI15</f>
        <v>-1097295.6862549796</v>
      </c>
      <c r="Q24" s="43">
        <f>Q$6*'2.1. Toimintakatennuste'!AJ15</f>
        <v>-1141183.8517820986</v>
      </c>
      <c r="R24" s="117"/>
      <c r="S24" s="34">
        <v>49</v>
      </c>
      <c r="T24" s="88" t="s">
        <v>337</v>
      </c>
      <c r="U24" s="41">
        <f>D24/'1. Väestöennuste'!E24*1000</f>
        <v>-4866.5762299760563</v>
      </c>
      <c r="V24" s="41">
        <f>E24/'1. Väestöennuste'!F24*1000</f>
        <v>-4866.8344362178286</v>
      </c>
      <c r="W24" s="41">
        <f>F24/'1. Väestöennuste'!G24*1000</f>
        <v>-4812.7427932512437</v>
      </c>
      <c r="X24" s="41">
        <f>G24/'1. Väestöennuste'!H24*1000</f>
        <v>-4850.9970666215377</v>
      </c>
      <c r="Y24" s="41">
        <f>H24/'1. Väestöennuste'!I24*1000</f>
        <v>-5024.377784910831</v>
      </c>
      <c r="Z24" s="41">
        <f>I24/'1. Väestöennuste'!J24*1000</f>
        <v>-5213.1518190139204</v>
      </c>
      <c r="AA24" s="41">
        <f>J24/'1. Väestöennuste'!K24*1000</f>
        <v>-5217.1214848282925</v>
      </c>
      <c r="AB24" s="41">
        <f>K24/'1. Väestöennuste'!L24*1000</f>
        <v>-5413.4839197245747</v>
      </c>
      <c r="AC24" s="41">
        <f>L24/'1. Väestöennuste'!M24*1000</f>
        <v>-2765.7751635543782</v>
      </c>
      <c r="AD24" s="41">
        <f>M24/'1. Väestöennuste'!N24*1000</f>
        <v>-3108.8565454163108</v>
      </c>
      <c r="AE24" s="41">
        <f>N24/'1. Väestöennuste'!O24*1000</f>
        <v>-3176.9994492778096</v>
      </c>
      <c r="AF24" s="41">
        <f>O24/'1. Väestöennuste'!P24*1000</f>
        <v>-3296.9896898754978</v>
      </c>
      <c r="AG24" s="41">
        <f>P24/'1. Väestöennuste'!Q24*1000</f>
        <v>-3407.6553334067667</v>
      </c>
      <c r="AH24" s="41">
        <f>Q24/'1. Väestöennuste'!R24*1000</f>
        <v>-3507.2772785395928</v>
      </c>
    </row>
    <row r="25" spans="1:34" customFormat="1" x14ac:dyDescent="0.25">
      <c r="A25" s="99">
        <v>4</v>
      </c>
      <c r="B25" s="30">
        <v>50</v>
      </c>
      <c r="C25" s="47" t="s">
        <v>338</v>
      </c>
      <c r="D25" s="65">
        <v>-65969</v>
      </c>
      <c r="E25" s="157">
        <v>-64179</v>
      </c>
      <c r="F25" s="157">
        <v>-63095</v>
      </c>
      <c r="G25" s="157">
        <v>-66830</v>
      </c>
      <c r="H25" s="43">
        <v>-67900</v>
      </c>
      <c r="I25" s="43">
        <v>-66458</v>
      </c>
      <c r="J25" s="159">
        <v>-68226.028640000004</v>
      </c>
      <c r="K25" s="43">
        <v>-74606.423739999998</v>
      </c>
      <c r="L25" s="43">
        <v>-27888.329300000001</v>
      </c>
      <c r="M25" s="43">
        <f>'2.1. Toimintakatennuste'!AX16</f>
        <v>-27492.9672899588</v>
      </c>
      <c r="N25" s="43">
        <f>$N$6*'2.1. Toimintakatennuste'!AG16</f>
        <v>-30305.840526537209</v>
      </c>
      <c r="O25" s="43">
        <f>$O$6*'2.1. Toimintakatennuste'!AH16</f>
        <v>-30817.224904383249</v>
      </c>
      <c r="P25" s="43">
        <f>P$6*'2.1. Toimintakatennuste'!AI16</f>
        <v>-31609.044744699753</v>
      </c>
      <c r="Q25" s="43">
        <f>Q$6*'2.1. Toimintakatennuste'!AJ16</f>
        <v>-32085.567664715454</v>
      </c>
      <c r="R25" s="117"/>
      <c r="S25" s="34">
        <v>50</v>
      </c>
      <c r="T25" s="88" t="s">
        <v>338</v>
      </c>
      <c r="U25" s="41">
        <f>D25/'1. Väestöennuste'!E25*1000</f>
        <v>-5439.3964379947229</v>
      </c>
      <c r="V25" s="41">
        <f>E25/'1. Väestöennuste'!F25*1000</f>
        <v>-5346.4678440519829</v>
      </c>
      <c r="W25" s="41">
        <f>F25/'1. Väestöennuste'!G25*1000</f>
        <v>-5297.6490344248532</v>
      </c>
      <c r="X25" s="41">
        <f>G25/'1. Väestöennuste'!H25*1000</f>
        <v>-5688.6278515491995</v>
      </c>
      <c r="Y25" s="41">
        <f>H25/'1. Väestöennuste'!I25*1000</f>
        <v>-5837.345254470426</v>
      </c>
      <c r="Z25" s="41">
        <f>I25/'1. Väestöennuste'!J25*1000</f>
        <v>-5787.5119742227644</v>
      </c>
      <c r="AA25" s="41">
        <f>J25/'1. Väestöennuste'!K25*1000</f>
        <v>-5975.8280318822808</v>
      </c>
      <c r="AB25" s="41">
        <f>K25/'1. Väestöennuste'!L25*1000</f>
        <v>-6616.3908957076974</v>
      </c>
      <c r="AC25" s="41">
        <f>L25/'1. Väestöennuste'!M25*1000</f>
        <v>-2493.5916756080114</v>
      </c>
      <c r="AD25" s="41">
        <f>M25/'1. Väestöennuste'!N25*1000</f>
        <v>-2503.6852099042712</v>
      </c>
      <c r="AE25" s="41">
        <f>N25/'1. Väestöennuste'!O25*1000</f>
        <v>-2789.3088381534476</v>
      </c>
      <c r="AF25" s="41">
        <f>O25/'1. Väestöennuste'!P25*1000</f>
        <v>-2865.6523065262459</v>
      </c>
      <c r="AG25" s="41">
        <f>P25/'1. Väestöennuste'!Q25*1000</f>
        <v>-2967.9854220375355</v>
      </c>
      <c r="AH25" s="41">
        <f>Q25/'1. Väestöennuste'!R25*1000</f>
        <v>-3041.5743354550627</v>
      </c>
    </row>
    <row r="26" spans="1:34" customFormat="1" x14ac:dyDescent="0.25">
      <c r="A26" s="99">
        <v>4</v>
      </c>
      <c r="B26" s="30">
        <v>51</v>
      </c>
      <c r="C26" s="47" t="s">
        <v>339</v>
      </c>
      <c r="D26" s="65">
        <v>-37581</v>
      </c>
      <c r="E26" s="157">
        <v>-39098</v>
      </c>
      <c r="F26" s="157">
        <v>-56491</v>
      </c>
      <c r="G26" s="157">
        <v>-56250</v>
      </c>
      <c r="H26" s="43">
        <v>-61648</v>
      </c>
      <c r="I26" s="43">
        <v>-62024</v>
      </c>
      <c r="J26" s="159">
        <v>-62641.831659999996</v>
      </c>
      <c r="K26" s="43">
        <v>-67900.276900000012</v>
      </c>
      <c r="L26" s="43">
        <v>-28975.452010000001</v>
      </c>
      <c r="M26" s="43">
        <f>'2.1. Toimintakatennuste'!AX17</f>
        <v>-32845.066552596007</v>
      </c>
      <c r="N26" s="43">
        <f>$N$6*'2.1. Toimintakatennuste'!AG17</f>
        <v>-31641.477655799485</v>
      </c>
      <c r="O26" s="43">
        <f>$O$6*'2.1. Toimintakatennuste'!AH17</f>
        <v>-32293.927550466378</v>
      </c>
      <c r="P26" s="43">
        <f>P$6*'2.1. Toimintakatennuste'!AI17</f>
        <v>-33247.482696712766</v>
      </c>
      <c r="Q26" s="43">
        <f>Q$6*'2.1. Toimintakatennuste'!AJ17</f>
        <v>-33939.772058980343</v>
      </c>
      <c r="R26" s="117"/>
      <c r="S26" s="34">
        <v>51</v>
      </c>
      <c r="T26" s="88" t="s">
        <v>339</v>
      </c>
      <c r="U26" s="41">
        <f>D26/'1. Väestöennuste'!E26*1000</f>
        <v>-4046.6243135565846</v>
      </c>
      <c r="V26" s="41">
        <f>E26/'1. Väestöennuste'!F26*1000</f>
        <v>-4151.4121894245063</v>
      </c>
      <c r="W26" s="41">
        <f>F26/'1. Väestöennuste'!G26*1000</f>
        <v>-5933.3053250708963</v>
      </c>
      <c r="X26" s="41">
        <f>G26/'1. Väestöennuste'!H26*1000</f>
        <v>-5949.8624920668499</v>
      </c>
      <c r="Y26" s="41">
        <f>H26/'1. Väestöennuste'!I26*1000</f>
        <v>-6556.9027866411398</v>
      </c>
      <c r="Z26" s="41">
        <f>I26/'1. Väestöennuste'!J26*1000</f>
        <v>-6561.9974608548455</v>
      </c>
      <c r="AA26" s="41">
        <f>J26/'1. Väestöennuste'!K26*1000</f>
        <v>-6711.1454531819154</v>
      </c>
      <c r="AB26" s="41">
        <f>K26/'1. Väestöennuste'!L26*1000</f>
        <v>-7371.6509499511467</v>
      </c>
      <c r="AC26" s="41">
        <f>L26/'1. Väestöennuste'!M26*1000</f>
        <v>-3169.1405457727224</v>
      </c>
      <c r="AD26" s="41">
        <f>M26/'1. Väestöennuste'!N26*1000</f>
        <v>-3435.3170748453099</v>
      </c>
      <c r="AE26" s="41">
        <f>N26/'1. Väestöennuste'!O26*1000</f>
        <v>-3307.0106245609832</v>
      </c>
      <c r="AF26" s="41">
        <f>O26/'1. Väestöennuste'!P26*1000</f>
        <v>-3376.2600680048486</v>
      </c>
      <c r="AG26" s="41">
        <f>P26/'1. Väestöennuste'!Q26*1000</f>
        <v>-3478.1339781057395</v>
      </c>
      <c r="AH26" s="41">
        <f>Q26/'1. Väestöennuste'!R26*1000</f>
        <v>-3554.6472621470825</v>
      </c>
    </row>
    <row r="27" spans="1:34" customFormat="1" x14ac:dyDescent="0.25">
      <c r="A27" s="99">
        <v>14</v>
      </c>
      <c r="B27" s="30">
        <v>52</v>
      </c>
      <c r="C27" s="47" t="s">
        <v>340</v>
      </c>
      <c r="D27" s="65">
        <v>-16282</v>
      </c>
      <c r="E27" s="157">
        <v>-16395</v>
      </c>
      <c r="F27" s="157">
        <v>-16119</v>
      </c>
      <c r="G27" s="157">
        <v>-16578</v>
      </c>
      <c r="H27" s="43">
        <v>-17814</v>
      </c>
      <c r="I27" s="43">
        <v>-17764</v>
      </c>
      <c r="J27" s="159">
        <v>-17358.766390000001</v>
      </c>
      <c r="K27" s="43">
        <v>-17875.548159999998</v>
      </c>
      <c r="L27" s="43">
        <v>-6876.0000099999997</v>
      </c>
      <c r="M27" s="43">
        <f>'2.1. Toimintakatennuste'!AX18</f>
        <v>-7341.7767432564106</v>
      </c>
      <c r="N27" s="43">
        <f>$N$6*'2.1. Toimintakatennuste'!AG18</f>
        <v>-8535.5813868043533</v>
      </c>
      <c r="O27" s="43">
        <f>$O$6*'2.1. Toimintakatennuste'!AH18</f>
        <v>-8804.5158052901024</v>
      </c>
      <c r="P27" s="43">
        <f>P$6*'2.1. Toimintakatennuste'!AI18</f>
        <v>-9115.6749294895108</v>
      </c>
      <c r="Q27" s="43">
        <f>Q$6*'2.1. Toimintakatennuste'!AJ18</f>
        <v>-9409.923112755383</v>
      </c>
      <c r="R27" s="117"/>
      <c r="S27" s="34">
        <v>52</v>
      </c>
      <c r="T27" s="88" t="s">
        <v>340</v>
      </c>
      <c r="U27" s="41">
        <f>D27/'1. Väestöennuste'!E27*1000</f>
        <v>-6320.652173913044</v>
      </c>
      <c r="V27" s="41">
        <f>E27/'1. Väestöennuste'!F27*1000</f>
        <v>-6467.4556213017759</v>
      </c>
      <c r="W27" s="41">
        <f>F27/'1. Väestöennuste'!G27*1000</f>
        <v>-6450.180072028812</v>
      </c>
      <c r="X27" s="41">
        <f>G27/'1. Väestöennuste'!H27*1000</f>
        <v>-6703.5988677719361</v>
      </c>
      <c r="Y27" s="41">
        <f>H27/'1. Väestöennuste'!I27*1000</f>
        <v>-7345.9793814432987</v>
      </c>
      <c r="Z27" s="41">
        <f>I27/'1. Väestöennuste'!J27*1000</f>
        <v>-7377.0764119601336</v>
      </c>
      <c r="AA27" s="41">
        <f>J27/'1. Väestöennuste'!K27*1000</f>
        <v>-7220.7846880199677</v>
      </c>
      <c r="AB27" s="41">
        <f>K27/'1. Väestöennuste'!L27*1000</f>
        <v>-7619.5857459505532</v>
      </c>
      <c r="AC27" s="41">
        <f>L27/'1. Väestöennuste'!M27*1000</f>
        <v>-3000.0000043630016</v>
      </c>
      <c r="AD27" s="41">
        <f>M27/'1. Väestöennuste'!N27*1000</f>
        <v>-3200.4257817159591</v>
      </c>
      <c r="AE27" s="41">
        <f>N27/'1. Väestöennuste'!O27*1000</f>
        <v>-3761.825203527701</v>
      </c>
      <c r="AF27" s="41">
        <f>O27/'1. Väestöennuste'!P27*1000</f>
        <v>-3923.5810184002239</v>
      </c>
      <c r="AG27" s="41">
        <f>P27/'1. Väestöennuste'!Q27*1000</f>
        <v>-4108.0103332534982</v>
      </c>
      <c r="AH27" s="41">
        <f>Q27/'1. Väestöennuste'!R27*1000</f>
        <v>-4286.9809169728396</v>
      </c>
    </row>
    <row r="28" spans="1:34" customFormat="1" x14ac:dyDescent="0.25">
      <c r="A28" s="99">
        <v>5</v>
      </c>
      <c r="B28" s="30">
        <v>61</v>
      </c>
      <c r="C28" s="47" t="s">
        <v>341</v>
      </c>
      <c r="D28" s="65">
        <v>-92536</v>
      </c>
      <c r="E28" s="157">
        <v>-93165</v>
      </c>
      <c r="F28" s="157">
        <v>-93652</v>
      </c>
      <c r="G28" s="157">
        <v>-94322</v>
      </c>
      <c r="H28" s="43">
        <v>-95834</v>
      </c>
      <c r="I28" s="43">
        <v>-98614</v>
      </c>
      <c r="J28" s="159">
        <v>-102094.02387999999</v>
      </c>
      <c r="K28" s="43">
        <v>-108382.50062999999</v>
      </c>
      <c r="L28" s="43">
        <v>-36228.997459999999</v>
      </c>
      <c r="M28" s="43">
        <f>'2.1. Toimintakatennuste'!AX19</f>
        <v>-38073.542091287025</v>
      </c>
      <c r="N28" s="43">
        <f>$N$6*'2.1. Toimintakatennuste'!AG19</f>
        <v>-41919.100680804833</v>
      </c>
      <c r="O28" s="43">
        <f>$O$6*'2.1. Toimintakatennuste'!AH19</f>
        <v>-42819.82542610517</v>
      </c>
      <c r="P28" s="43">
        <f>P$6*'2.1. Toimintakatennuste'!AI19</f>
        <v>-44185.415363953369</v>
      </c>
      <c r="Q28" s="43">
        <f>Q$6*'2.1. Toimintakatennuste'!AJ19</f>
        <v>-44963.370133550685</v>
      </c>
      <c r="R28" s="117"/>
      <c r="S28" s="34">
        <v>61</v>
      </c>
      <c r="T28" s="88" t="s">
        <v>341</v>
      </c>
      <c r="U28" s="41">
        <f>D28/'1. Väestöennuste'!E28*1000</f>
        <v>-5311.4452990471818</v>
      </c>
      <c r="V28" s="41">
        <f>E28/'1. Väestöennuste'!F28*1000</f>
        <v>-5375.3173321024688</v>
      </c>
      <c r="W28" s="41">
        <f>F28/'1. Väestöennuste'!G28*1000</f>
        <v>-5449.6363107361067</v>
      </c>
      <c r="X28" s="41">
        <f>G28/'1. Väestöennuste'!H28*1000</f>
        <v>-5539.2295043457834</v>
      </c>
      <c r="Y28" s="41">
        <f>H28/'1. Väestöennuste'!I28*1000</f>
        <v>-5670.3153659546779</v>
      </c>
      <c r="Z28" s="41">
        <f>I28/'1. Väestöennuste'!J28*1000</f>
        <v>-5869.8809523809523</v>
      </c>
      <c r="AA28" s="41">
        <f>J28/'1. Väestöennuste'!K28*1000</f>
        <v>-6160.2621058347913</v>
      </c>
      <c r="AB28" s="41">
        <f>K28/'1. Väestöennuste'!L28*1000</f>
        <v>-6584.9991269214415</v>
      </c>
      <c r="AC28" s="41">
        <f>L28/'1. Väestöennuste'!M28*1000</f>
        <v>-2199.8298293764042</v>
      </c>
      <c r="AD28" s="41">
        <f>M28/'1. Väestöennuste'!N28*1000</f>
        <v>-2337.808061604263</v>
      </c>
      <c r="AE28" s="41">
        <f>N28/'1. Väestöennuste'!O28*1000</f>
        <v>-2593.6827546593759</v>
      </c>
      <c r="AF28" s="41">
        <f>O28/'1. Väestöennuste'!P28*1000</f>
        <v>-2668.8996151898009</v>
      </c>
      <c r="AG28" s="41">
        <f>P28/'1. Väestöennuste'!Q28*1000</f>
        <v>-2774.9428728225444</v>
      </c>
      <c r="AH28" s="41">
        <f>Q28/'1. Väestöennuste'!R28*1000</f>
        <v>-2845.242683892342</v>
      </c>
    </row>
    <row r="29" spans="1:34" customFormat="1" x14ac:dyDescent="0.25">
      <c r="A29" s="99">
        <v>17</v>
      </c>
      <c r="B29" s="30">
        <v>69</v>
      </c>
      <c r="C29" s="47" t="s">
        <v>342</v>
      </c>
      <c r="D29" s="65">
        <v>-44670</v>
      </c>
      <c r="E29" s="157">
        <v>-46279</v>
      </c>
      <c r="F29" s="157">
        <v>-44171</v>
      </c>
      <c r="G29" s="157">
        <v>-46384</v>
      </c>
      <c r="H29" s="43">
        <v>-48177</v>
      </c>
      <c r="I29" s="43">
        <v>-47642</v>
      </c>
      <c r="J29" s="159">
        <v>-50017.160259999997</v>
      </c>
      <c r="K29" s="43">
        <v>-51323.372369999997</v>
      </c>
      <c r="L29" s="43">
        <v>-20885.137750000002</v>
      </c>
      <c r="M29" s="43">
        <f>'2.1. Toimintakatennuste'!AX20</f>
        <v>-18964.147454563863</v>
      </c>
      <c r="N29" s="43">
        <f>$N$6*'2.1. Toimintakatennuste'!AG20</f>
        <v>-22724.159167238424</v>
      </c>
      <c r="O29" s="43">
        <f>$O$6*'2.1. Toimintakatennuste'!AH20</f>
        <v>-22819.108013287252</v>
      </c>
      <c r="P29" s="43">
        <f>P$6*'2.1. Toimintakatennuste'!AI20</f>
        <v>-23260.135429520906</v>
      </c>
      <c r="Q29" s="43">
        <f>Q$6*'2.1. Toimintakatennuste'!AJ20</f>
        <v>-23650.787720733115</v>
      </c>
      <c r="R29" s="117"/>
      <c r="S29" s="34">
        <v>69</v>
      </c>
      <c r="T29" s="88" t="s">
        <v>342</v>
      </c>
      <c r="U29" s="41">
        <f>D29/'1. Väestöennuste'!E29*1000</f>
        <v>-6005.6466792148431</v>
      </c>
      <c r="V29" s="41">
        <f>E29/'1. Väestöennuste'!F29*1000</f>
        <v>-6311.9203491543913</v>
      </c>
      <c r="W29" s="41">
        <f>F29/'1. Väestöennuste'!G29*1000</f>
        <v>-6091.7114880706104</v>
      </c>
      <c r="X29" s="41">
        <f>G29/'1. Väestöennuste'!H29*1000</f>
        <v>-6489.9958024345879</v>
      </c>
      <c r="Y29" s="41">
        <f>H29/'1. Väestöennuste'!I29*1000</f>
        <v>-6872.6105563480742</v>
      </c>
      <c r="Z29" s="41">
        <f>I29/'1. Väestöennuste'!J29*1000</f>
        <v>-6908.6426914153126</v>
      </c>
      <c r="AA29" s="41">
        <f>J29/'1. Väestöennuste'!K29*1000</f>
        <v>-7353.3020082328721</v>
      </c>
      <c r="AB29" s="41">
        <f>K29/'1. Väestöennuste'!L29*1000</f>
        <v>-7675.0968102288025</v>
      </c>
      <c r="AC29" s="41">
        <f>L29/'1. Väestöennuste'!M29*1000</f>
        <v>-3184.6809621835928</v>
      </c>
      <c r="AD29" s="41">
        <f>M29/'1. Väestöennuste'!N29*1000</f>
        <v>-2932.9024829204864</v>
      </c>
      <c r="AE29" s="41">
        <f>N29/'1. Väestöennuste'!O29*1000</f>
        <v>-3567.9320407031601</v>
      </c>
      <c r="AF29" s="41">
        <f>O29/'1. Väestöennuste'!P29*1000</f>
        <v>-3637.0908532494823</v>
      </c>
      <c r="AG29" s="41">
        <f>P29/'1. Väestöennuste'!Q29*1000</f>
        <v>-3761.3414342692281</v>
      </c>
      <c r="AH29" s="41">
        <f>Q29/'1. Väestöennuste'!R29*1000</f>
        <v>-3880.3589369537513</v>
      </c>
    </row>
    <row r="30" spans="1:34" customFormat="1" x14ac:dyDescent="0.25">
      <c r="A30" s="99">
        <v>17</v>
      </c>
      <c r="B30" s="30">
        <v>71</v>
      </c>
      <c r="C30" s="47" t="s">
        <v>343</v>
      </c>
      <c r="D30" s="65">
        <v>-42407</v>
      </c>
      <c r="E30" s="157">
        <v>-43339</v>
      </c>
      <c r="F30" s="157">
        <v>-42073</v>
      </c>
      <c r="G30" s="157">
        <v>-44421</v>
      </c>
      <c r="H30" s="43">
        <v>-45334</v>
      </c>
      <c r="I30" s="43">
        <v>-45208</v>
      </c>
      <c r="J30" s="159">
        <v>-49874.320169999999</v>
      </c>
      <c r="K30" s="43">
        <v>-50747.817779999998</v>
      </c>
      <c r="L30" s="43">
        <v>-21101.795389999999</v>
      </c>
      <c r="M30" s="43">
        <f>'2.1. Toimintakatennuste'!AX21</f>
        <v>-19965.558774269455</v>
      </c>
      <c r="N30" s="43">
        <f>$N$6*'2.1. Toimintakatennuste'!AG21</f>
        <v>-22550.264226780266</v>
      </c>
      <c r="O30" s="43">
        <f>$O$6*'2.1. Toimintakatennuste'!AH21</f>
        <v>-23247.413023908819</v>
      </c>
      <c r="P30" s="43">
        <f>P$6*'2.1. Toimintakatennuste'!AI21</f>
        <v>-23589.977518056818</v>
      </c>
      <c r="Q30" s="43">
        <f>Q$6*'2.1. Toimintakatennuste'!AJ21</f>
        <v>-23943.749396684481</v>
      </c>
      <c r="R30" s="117"/>
      <c r="S30" s="34">
        <v>71</v>
      </c>
      <c r="T30" s="88" t="s">
        <v>343</v>
      </c>
      <c r="U30" s="41">
        <f>D30/'1. Väestöennuste'!E30*1000</f>
        <v>-5916.9806055532299</v>
      </c>
      <c r="V30" s="41">
        <f>E30/'1. Väestöennuste'!F30*1000</f>
        <v>-6105.8044519582982</v>
      </c>
      <c r="W30" s="41">
        <f>F30/'1. Väestöennuste'!G30*1000</f>
        <v>-6036.2984218077472</v>
      </c>
      <c r="X30" s="41">
        <f>G30/'1. Väestöennuste'!H30*1000</f>
        <v>-6481.0329734461629</v>
      </c>
      <c r="Y30" s="41">
        <f>H30/'1. Väestöennuste'!I30*1000</f>
        <v>-6708.1976916247404</v>
      </c>
      <c r="Z30" s="41">
        <f>I30/'1. Väestöennuste'!J30*1000</f>
        <v>-6780.8609569521532</v>
      </c>
      <c r="AA30" s="41">
        <f>J30/'1. Väestöennuste'!K30*1000</f>
        <v>-7541.8599984878274</v>
      </c>
      <c r="AB30" s="41">
        <f>K30/'1. Väestöennuste'!L30*1000</f>
        <v>-7699.5627036868455</v>
      </c>
      <c r="AC30" s="41">
        <f>L30/'1. Väestöennuste'!M30*1000</f>
        <v>-3259.9714799938206</v>
      </c>
      <c r="AD30" s="41">
        <f>M30/'1. Väestöennuste'!N30*1000</f>
        <v>-3170.6461448736627</v>
      </c>
      <c r="AE30" s="41">
        <f>N30/'1. Väestöennuste'!O30*1000</f>
        <v>-3628.9449994818578</v>
      </c>
      <c r="AF30" s="41">
        <f>O30/'1. Väestöennuste'!P30*1000</f>
        <v>-3789.3093763502557</v>
      </c>
      <c r="AG30" s="41">
        <f>P30/'1. Väestöennuste'!Q30*1000</f>
        <v>-3892.7355640357787</v>
      </c>
      <c r="AH30" s="41">
        <f>Q30/'1. Väestöennuste'!R30*1000</f>
        <v>-3997.2870445216163</v>
      </c>
    </row>
    <row r="31" spans="1:34" customFormat="1" x14ac:dyDescent="0.25">
      <c r="A31" s="99">
        <v>17</v>
      </c>
      <c r="B31" s="30">
        <v>72</v>
      </c>
      <c r="C31" s="47" t="s">
        <v>344</v>
      </c>
      <c r="D31" s="65">
        <v>-6347</v>
      </c>
      <c r="E31" s="157">
        <v>-6347</v>
      </c>
      <c r="F31" s="157">
        <v>-6373</v>
      </c>
      <c r="G31" s="157">
        <v>-6834</v>
      </c>
      <c r="H31" s="43">
        <v>-7069</v>
      </c>
      <c r="I31" s="43">
        <v>-6928</v>
      </c>
      <c r="J31" s="159">
        <v>-7177.9412499999989</v>
      </c>
      <c r="K31" s="43">
        <v>-7314.2550499999998</v>
      </c>
      <c r="L31" s="43">
        <v>-2851.6328900000003</v>
      </c>
      <c r="M31" s="43">
        <f>'2.1. Toimintakatennuste'!AX22</f>
        <v>-2879.1460954891204</v>
      </c>
      <c r="N31" s="43">
        <f>$N$6*'2.1. Toimintakatennuste'!AG22</f>
        <v>-3156.533733514344</v>
      </c>
      <c r="O31" s="43">
        <f>$O$6*'2.1. Toimintakatennuste'!AH22</f>
        <v>-3289.6159337781742</v>
      </c>
      <c r="P31" s="43">
        <f>P$6*'2.1. Toimintakatennuste'!AI22</f>
        <v>-3417.0431455556095</v>
      </c>
      <c r="Q31" s="43">
        <f>Q$6*'2.1. Toimintakatennuste'!AJ22</f>
        <v>-3539.7178495623539</v>
      </c>
      <c r="R31" s="117"/>
      <c r="S31" s="34">
        <v>72</v>
      </c>
      <c r="T31" s="88" t="s">
        <v>344</v>
      </c>
      <c r="U31" s="41">
        <f>D31/'1. Väestöennuste'!E31*1000</f>
        <v>-6391.742195367573</v>
      </c>
      <c r="V31" s="41">
        <f>E31/'1. Väestöennuste'!F31*1000</f>
        <v>-6385.3118712273636</v>
      </c>
      <c r="W31" s="41">
        <f>F31/'1. Väestöennuste'!G31*1000</f>
        <v>-6590.4860392967948</v>
      </c>
      <c r="X31" s="41">
        <f>G31/'1. Väestöennuste'!H31*1000</f>
        <v>-7016.4271047227921</v>
      </c>
      <c r="Y31" s="41">
        <f>H31/'1. Väestöennuste'!I31*1000</f>
        <v>-7371.2200208550576</v>
      </c>
      <c r="Z31" s="41">
        <f>I31/'1. Väestöennuste'!J31*1000</f>
        <v>-7300.3161222339304</v>
      </c>
      <c r="AA31" s="41">
        <f>J31/'1. Väestöennuste'!K31*1000</f>
        <v>-7555.7276315789468</v>
      </c>
      <c r="AB31" s="41">
        <f>K31/'1. Väestöennuste'!L31*1000</f>
        <v>-7619.0156770833337</v>
      </c>
      <c r="AC31" s="41">
        <f>L31/'1. Väestöennuste'!M31*1000</f>
        <v>-3008.0515717299581</v>
      </c>
      <c r="AD31" s="41">
        <f>M31/'1. Väestöennuste'!N31*1000</f>
        <v>-3109.2290448046656</v>
      </c>
      <c r="AE31" s="41">
        <f>N31/'1. Väestöennuste'!O31*1000</f>
        <v>-3431.0149277329829</v>
      </c>
      <c r="AF31" s="41">
        <f>O31/'1. Väestöennuste'!P31*1000</f>
        <v>-3599.1421594947201</v>
      </c>
      <c r="AG31" s="41">
        <f>P31/'1. Väestöennuste'!Q31*1000</f>
        <v>-3763.2633761625652</v>
      </c>
      <c r="AH31" s="41">
        <f>Q31/'1. Väestöennuste'!R31*1000</f>
        <v>-3928.6546610015025</v>
      </c>
    </row>
    <row r="32" spans="1:34" customFormat="1" x14ac:dyDescent="0.25">
      <c r="A32" s="99">
        <v>16</v>
      </c>
      <c r="B32" s="30">
        <v>74</v>
      </c>
      <c r="C32" s="47" t="s">
        <v>345</v>
      </c>
      <c r="D32" s="65">
        <v>-7493</v>
      </c>
      <c r="E32" s="157">
        <v>-7548</v>
      </c>
      <c r="F32" s="157">
        <v>-7412</v>
      </c>
      <c r="G32" s="157">
        <v>-7679</v>
      </c>
      <c r="H32" s="43">
        <v>-8177</v>
      </c>
      <c r="I32" s="43">
        <v>-7852</v>
      </c>
      <c r="J32" s="159">
        <v>-8357.2440699999988</v>
      </c>
      <c r="K32" s="43">
        <v>-8438.0582699999995</v>
      </c>
      <c r="L32" s="43">
        <v>-3365.6049600000001</v>
      </c>
      <c r="M32" s="43">
        <f>'2.1. Toimintakatennuste'!AX23</f>
        <v>-3204.3358914173359</v>
      </c>
      <c r="N32" s="43">
        <f>$N$6*'2.1. Toimintakatennuste'!AG23</f>
        <v>-3648.7784968638102</v>
      </c>
      <c r="O32" s="43">
        <f>$O$6*'2.1. Toimintakatennuste'!AH23</f>
        <v>-3719.5738002067346</v>
      </c>
      <c r="P32" s="43">
        <f>P$6*'2.1. Toimintakatennuste'!AI23</f>
        <v>-3899.857879317015</v>
      </c>
      <c r="Q32" s="43">
        <f>Q$6*'2.1. Toimintakatennuste'!AJ23</f>
        <v>-4018.8592148533803</v>
      </c>
      <c r="R32" s="117"/>
      <c r="S32" s="34">
        <v>74</v>
      </c>
      <c r="T32" s="88" t="s">
        <v>345</v>
      </c>
      <c r="U32" s="41">
        <f>D32/'1. Väestöennuste'!E32*1000</f>
        <v>-6116.7346938775509</v>
      </c>
      <c r="V32" s="41">
        <f>E32/'1. Väestöennuste'!F32*1000</f>
        <v>-6191.9606234618532</v>
      </c>
      <c r="W32" s="41">
        <f>F32/'1. Väestöennuste'!G32*1000</f>
        <v>-6329.6327924850557</v>
      </c>
      <c r="X32" s="41">
        <f>G32/'1. Väestöennuste'!H32*1000</f>
        <v>-6591.4163090128759</v>
      </c>
      <c r="Y32" s="41">
        <f>H32/'1. Väestöennuste'!I32*1000</f>
        <v>-7255.5456965394851</v>
      </c>
      <c r="Z32" s="41">
        <f>I32/'1. Väestöennuste'!J32*1000</f>
        <v>-7118.7669990933809</v>
      </c>
      <c r="AA32" s="41">
        <f>J32/'1. Väestöennuste'!K32*1000</f>
        <v>-7716.7535272391497</v>
      </c>
      <c r="AB32" s="41">
        <f>K32/'1. Väestöennuste'!L32*1000</f>
        <v>-8020.9679372623568</v>
      </c>
      <c r="AC32" s="41">
        <f>L32/'1. Väestöennuste'!M32*1000</f>
        <v>-3322.4135834155973</v>
      </c>
      <c r="AD32" s="41">
        <f>M32/'1. Väestöennuste'!N32*1000</f>
        <v>-3201.1347566606751</v>
      </c>
      <c r="AE32" s="41">
        <f>N32/'1. Väestöennuste'!O32*1000</f>
        <v>-3727.0464727924518</v>
      </c>
      <c r="AF32" s="41">
        <f>O32/'1. Väestöennuste'!P32*1000</f>
        <v>-3878.5962463052501</v>
      </c>
      <c r="AG32" s="41">
        <f>P32/'1. Väestöennuste'!Q32*1000</f>
        <v>-4148.7849779968246</v>
      </c>
      <c r="AH32" s="41">
        <f>Q32/'1. Väestöennuste'!R32*1000</f>
        <v>-4358.8494738106074</v>
      </c>
    </row>
    <row r="33" spans="1:34" customFormat="1" x14ac:dyDescent="0.25">
      <c r="A33" s="99">
        <v>8</v>
      </c>
      <c r="B33" s="30">
        <v>75</v>
      </c>
      <c r="C33" s="47" t="s">
        <v>346</v>
      </c>
      <c r="D33" s="65">
        <v>-107925</v>
      </c>
      <c r="E33" s="157">
        <v>-109857</v>
      </c>
      <c r="F33" s="157">
        <v>-104965</v>
      </c>
      <c r="G33" s="157">
        <v>-111190</v>
      </c>
      <c r="H33" s="43">
        <v>-115782</v>
      </c>
      <c r="I33" s="43">
        <v>-118104</v>
      </c>
      <c r="J33" s="159">
        <v>-127567.18441000002</v>
      </c>
      <c r="K33" s="43">
        <v>-133754.49489</v>
      </c>
      <c r="L33" s="43">
        <v>-46546.222560000002</v>
      </c>
      <c r="M33" s="43">
        <f>'2.1. Toimintakatennuste'!AX24</f>
        <v>-42988.422233760262</v>
      </c>
      <c r="N33" s="43">
        <f>$N$6*'2.1. Toimintakatennuste'!AG24</f>
        <v>-52614.114122656465</v>
      </c>
      <c r="O33" s="43">
        <f>$O$6*'2.1. Toimintakatennuste'!AH24</f>
        <v>-53611.022754523503</v>
      </c>
      <c r="P33" s="43">
        <f>P$6*'2.1. Toimintakatennuste'!AI24</f>
        <v>-54704.576404658692</v>
      </c>
      <c r="Q33" s="43">
        <f>Q$6*'2.1. Toimintakatennuste'!AJ24</f>
        <v>-55437.117885717009</v>
      </c>
      <c r="R33" s="117"/>
      <c r="S33" s="34">
        <v>75</v>
      </c>
      <c r="T33" s="88" t="s">
        <v>346</v>
      </c>
      <c r="U33" s="41">
        <f>D33/'1. Väestöennuste'!E33*1000</f>
        <v>-5176.0107428900292</v>
      </c>
      <c r="V33" s="41">
        <f>E33/'1. Väestöennuste'!F33*1000</f>
        <v>-5323.5607675906185</v>
      </c>
      <c r="W33" s="41">
        <f>F33/'1. Väestöennuste'!G33*1000</f>
        <v>-5121.9928756160634</v>
      </c>
      <c r="X33" s="41">
        <f>G33/'1. Väestöennuste'!H33*1000</f>
        <v>-5481.1199842255746</v>
      </c>
      <c r="Y33" s="41">
        <f>H33/'1. Väestöennuste'!I33*1000</f>
        <v>-5757.1478295460192</v>
      </c>
      <c r="Z33" s="41">
        <f>I33/'1. Väestöennuste'!J33*1000</f>
        <v>-5941.7417115258841</v>
      </c>
      <c r="AA33" s="41">
        <f>J33/'1. Väestöennuste'!K33*1000</f>
        <v>-6474.834250837479</v>
      </c>
      <c r="AB33" s="41">
        <f>K33/'1. Väestöennuste'!L33*1000</f>
        <v>-6842.0121177553838</v>
      </c>
      <c r="AC33" s="41">
        <f>L33/'1. Väestöennuste'!M33*1000</f>
        <v>-2382.8310924541825</v>
      </c>
      <c r="AD33" s="41">
        <f>M33/'1. Väestöennuste'!N33*1000</f>
        <v>-2250.9384351115436</v>
      </c>
      <c r="AE33" s="41">
        <f>N33/'1. Väestöennuste'!O33*1000</f>
        <v>-2781.7550027839943</v>
      </c>
      <c r="AF33" s="41">
        <f>O33/'1. Väestöennuste'!P33*1000</f>
        <v>-2861.6965279450997</v>
      </c>
      <c r="AG33" s="41">
        <f>P33/'1. Väestöennuste'!Q33*1000</f>
        <v>-2947.7624962096502</v>
      </c>
      <c r="AH33" s="41">
        <f>Q33/'1. Väestöennuste'!R33*1000</f>
        <v>-3016.6576636946734</v>
      </c>
    </row>
    <row r="34" spans="1:34" customFormat="1" x14ac:dyDescent="0.25">
      <c r="A34" s="99">
        <v>13</v>
      </c>
      <c r="B34" s="30">
        <v>77</v>
      </c>
      <c r="C34" s="47" t="s">
        <v>347</v>
      </c>
      <c r="D34" s="65">
        <v>-31769</v>
      </c>
      <c r="E34" s="157">
        <v>-32303</v>
      </c>
      <c r="F34" s="157">
        <v>-32220</v>
      </c>
      <c r="G34" s="157">
        <v>-32357</v>
      </c>
      <c r="H34" s="43">
        <v>-33859</v>
      </c>
      <c r="I34" s="43">
        <v>-31684</v>
      </c>
      <c r="J34" s="159">
        <v>-33288.15698</v>
      </c>
      <c r="K34" s="43">
        <v>-35352.778869999995</v>
      </c>
      <c r="L34" s="43">
        <v>-11913.90215</v>
      </c>
      <c r="M34" s="43">
        <f>'2.1. Toimintakatennuste'!AX25</f>
        <v>-12190.893066373199</v>
      </c>
      <c r="N34" s="43">
        <f>$N$6*'2.1. Toimintakatennuste'!AG25</f>
        <v>-13686.030328889035</v>
      </c>
      <c r="O34" s="43">
        <f>$O$6*'2.1. Toimintakatennuste'!AH25</f>
        <v>-14294.354431174261</v>
      </c>
      <c r="P34" s="43">
        <f>P$6*'2.1. Toimintakatennuste'!AI25</f>
        <v>-14694.19847023721</v>
      </c>
      <c r="Q34" s="43">
        <f>Q$6*'2.1. Toimintakatennuste'!AJ25</f>
        <v>-15130.236896859415</v>
      </c>
      <c r="R34" s="117"/>
      <c r="S34" s="34">
        <v>77</v>
      </c>
      <c r="T34" s="88" t="s">
        <v>347</v>
      </c>
      <c r="U34" s="41">
        <f>D34/'1. Väestöennuste'!E34*1000</f>
        <v>-6062.7862595419847</v>
      </c>
      <c r="V34" s="41">
        <f>E34/'1. Väestöennuste'!F34*1000</f>
        <v>-6261.4847838728438</v>
      </c>
      <c r="W34" s="41">
        <f>F34/'1. Väestöennuste'!G34*1000</f>
        <v>-6419.6054991034071</v>
      </c>
      <c r="X34" s="41">
        <f>G34/'1. Väestöennuste'!H34*1000</f>
        <v>-6551.3261793885404</v>
      </c>
      <c r="Y34" s="41">
        <f>H34/'1. Väestöennuste'!I34*1000</f>
        <v>-6945.4358974358975</v>
      </c>
      <c r="Z34" s="41">
        <f>I34/'1. Väestöennuste'!J34*1000</f>
        <v>-6625.6796319531568</v>
      </c>
      <c r="AA34" s="41">
        <f>J34/'1. Väestöennuste'!K34*1000</f>
        <v>-7108.2974546231044</v>
      </c>
      <c r="AB34" s="41">
        <f>K34/'1. Väestöennuste'!L34*1000</f>
        <v>-7683.7163377526613</v>
      </c>
      <c r="AC34" s="41">
        <f>L34/'1. Väestöennuste'!M34*1000</f>
        <v>-2619.0156408001758</v>
      </c>
      <c r="AD34" s="41">
        <f>M34/'1. Väestöennuste'!N34*1000</f>
        <v>-2726.6591515037348</v>
      </c>
      <c r="AE34" s="41">
        <f>N34/'1. Väestöennuste'!O34*1000</f>
        <v>-3107.6363144616339</v>
      </c>
      <c r="AF34" s="41">
        <f>O34/'1. Väestöennuste'!P34*1000</f>
        <v>-3293.6300532659584</v>
      </c>
      <c r="AG34" s="41">
        <f>P34/'1. Väestöennuste'!Q34*1000</f>
        <v>-3434.0262842339826</v>
      </c>
      <c r="AH34" s="41">
        <f>Q34/'1. Väestöennuste'!R34*1000</f>
        <v>-3587.9148439315659</v>
      </c>
    </row>
    <row r="35" spans="1:34" customFormat="1" x14ac:dyDescent="0.25">
      <c r="A35" s="99">
        <v>1</v>
      </c>
      <c r="B35" s="30">
        <v>78</v>
      </c>
      <c r="C35" s="47" t="s">
        <v>348</v>
      </c>
      <c r="D35" s="65">
        <v>-51498</v>
      </c>
      <c r="E35" s="157">
        <v>-49236</v>
      </c>
      <c r="F35" s="157">
        <v>-46706</v>
      </c>
      <c r="G35" s="157">
        <v>-49384</v>
      </c>
      <c r="H35" s="43">
        <v>-52014</v>
      </c>
      <c r="I35" s="43">
        <v>-49267</v>
      </c>
      <c r="J35" s="159">
        <v>-49925.280250000003</v>
      </c>
      <c r="K35" s="43">
        <v>-55748.181859999997</v>
      </c>
      <c r="L35" s="43">
        <v>-18132.900149999998</v>
      </c>
      <c r="M35" s="43">
        <f>'2.1. Toimintakatennuste'!AX26</f>
        <v>-18680.424750991544</v>
      </c>
      <c r="N35" s="43">
        <f>$N$6*'2.1. Toimintakatennuste'!AG26</f>
        <v>-19711.415219922652</v>
      </c>
      <c r="O35" s="43">
        <f>$O$6*'2.1. Toimintakatennuste'!AH26</f>
        <v>-19658.77389988647</v>
      </c>
      <c r="P35" s="43">
        <f>P$6*'2.1. Toimintakatennuste'!AI26</f>
        <v>-19948.802671755377</v>
      </c>
      <c r="Q35" s="43">
        <f>Q$6*'2.1. Toimintakatennuste'!AJ26</f>
        <v>-20100.992410928215</v>
      </c>
      <c r="R35" s="117"/>
      <c r="S35" s="34">
        <v>78</v>
      </c>
      <c r="T35" s="88" t="s">
        <v>348</v>
      </c>
      <c r="U35" s="41">
        <f>D35/'1. Väestöennuste'!E35*1000</f>
        <v>-5809.792418772563</v>
      </c>
      <c r="V35" s="41">
        <f>E35/'1. Väestöennuste'!F35*1000</f>
        <v>-5683.4814729308546</v>
      </c>
      <c r="W35" s="41">
        <f>F35/'1. Väestöennuste'!G35*1000</f>
        <v>-5483.8558177762125</v>
      </c>
      <c r="X35" s="41">
        <f>G35/'1. Väestöennuste'!H35*1000</f>
        <v>-5893.7820742332015</v>
      </c>
      <c r="Y35" s="41">
        <f>H35/'1. Väestöennuste'!I35*1000</f>
        <v>-6343.9443834613976</v>
      </c>
      <c r="Z35" s="41">
        <f>I35/'1. Väestöennuste'!J35*1000</f>
        <v>-6126.2123849788613</v>
      </c>
      <c r="AA35" s="41">
        <f>J35/'1. Väestöennuste'!K35*1000</f>
        <v>-6257.0848790575265</v>
      </c>
      <c r="AB35" s="41">
        <f>K35/'1. Väestöennuste'!L35*1000</f>
        <v>-7118.0007482124611</v>
      </c>
      <c r="AC35" s="41">
        <f>L35/'1. Väestöennuste'!M35*1000</f>
        <v>-2348.5170509001418</v>
      </c>
      <c r="AD35" s="41">
        <f>M35/'1. Väestöennuste'!N35*1000</f>
        <v>-2501.7309161633248</v>
      </c>
      <c r="AE35" s="41">
        <f>N35/'1. Väestöennuste'!O35*1000</f>
        <v>-2682.5551469682432</v>
      </c>
      <c r="AF35" s="41">
        <f>O35/'1. Väestöennuste'!P35*1000</f>
        <v>-2716.8012575851949</v>
      </c>
      <c r="AG35" s="41">
        <f>P35/'1. Väestöennuste'!Q35*1000</f>
        <v>-2799.4390502042347</v>
      </c>
      <c r="AH35" s="41">
        <f>Q35/'1. Väestöennuste'!R35*1000</f>
        <v>-2861.7586006446777</v>
      </c>
    </row>
    <row r="36" spans="1:34" customFormat="1" x14ac:dyDescent="0.25">
      <c r="A36" s="99">
        <v>4</v>
      </c>
      <c r="B36" s="30">
        <v>79</v>
      </c>
      <c r="C36" s="47" t="s">
        <v>349</v>
      </c>
      <c r="D36" s="65">
        <v>-41721</v>
      </c>
      <c r="E36" s="157">
        <v>-43231</v>
      </c>
      <c r="F36" s="157">
        <v>-43821</v>
      </c>
      <c r="G36" s="157">
        <v>-44588</v>
      </c>
      <c r="H36" s="43">
        <v>-45821</v>
      </c>
      <c r="I36" s="43">
        <v>-44333</v>
      </c>
      <c r="J36" s="159">
        <v>-45691.977209999997</v>
      </c>
      <c r="K36" s="43">
        <v>-49205.857219999998</v>
      </c>
      <c r="L36" s="43">
        <v>-18534.354739999999</v>
      </c>
      <c r="M36" s="43">
        <f>'2.1. Toimintakatennuste'!AX27</f>
        <v>-18051.322041617874</v>
      </c>
      <c r="N36" s="43">
        <f>$N$6*'2.1. Toimintakatennuste'!AG27</f>
        <v>-20727.192992589451</v>
      </c>
      <c r="O36" s="43">
        <f>$O$6*'2.1. Toimintakatennuste'!AH27</f>
        <v>-21330.750899200913</v>
      </c>
      <c r="P36" s="43">
        <f>P$6*'2.1. Toimintakatennuste'!AI27</f>
        <v>-21877.576418071141</v>
      </c>
      <c r="Q36" s="43">
        <f>Q$6*'2.1. Toimintakatennuste'!AJ27</f>
        <v>-22059.661458914583</v>
      </c>
      <c r="R36" s="117"/>
      <c r="S36" s="34">
        <v>79</v>
      </c>
      <c r="T36" s="88" t="s">
        <v>349</v>
      </c>
      <c r="U36" s="41">
        <f>D36/'1. Väestöennuste'!E36*1000</f>
        <v>-5718.3388157894733</v>
      </c>
      <c r="V36" s="41">
        <f>E36/'1. Väestöennuste'!F36*1000</f>
        <v>-5971.1325966850827</v>
      </c>
      <c r="W36" s="41">
        <f>F36/'1. Väestöennuste'!G36*1000</f>
        <v>-6127.9541322891901</v>
      </c>
      <c r="X36" s="41">
        <f>G36/'1. Väestöennuste'!H36*1000</f>
        <v>-6353.3770304930176</v>
      </c>
      <c r="Y36" s="41">
        <f>H36/'1. Väestöennuste'!I36*1000</f>
        <v>-6611.0229404126385</v>
      </c>
      <c r="Z36" s="41">
        <f>I36/'1. Väestöennuste'!J36*1000</f>
        <v>-6454.0690056776821</v>
      </c>
      <c r="AA36" s="41">
        <f>J36/'1. Väestöennuste'!K36*1000</f>
        <v>-6734.2634060427408</v>
      </c>
      <c r="AB36" s="41">
        <f>K36/'1. Väestöennuste'!L36*1000</f>
        <v>-7286.5181726640003</v>
      </c>
      <c r="AC36" s="41">
        <f>L36/'1. Väestöennuste'!M36*1000</f>
        <v>-2765.0835058928837</v>
      </c>
      <c r="AD36" s="41">
        <f>M36/'1. Väestöennuste'!N36*1000</f>
        <v>-2753.4048263602613</v>
      </c>
      <c r="AE36" s="41">
        <f>N36/'1. Väestöennuste'!O36*1000</f>
        <v>-3195.1893005379147</v>
      </c>
      <c r="AF36" s="41">
        <f>O36/'1. Väestöennuste'!P36*1000</f>
        <v>-3321.5121300530855</v>
      </c>
      <c r="AG36" s="41">
        <f>P36/'1. Väestöennuste'!Q36*1000</f>
        <v>-3440.4114511827552</v>
      </c>
      <c r="AH36" s="41">
        <f>Q36/'1. Väestöennuste'!R36*1000</f>
        <v>-3501.5335649070767</v>
      </c>
    </row>
    <row r="37" spans="1:34" customFormat="1" x14ac:dyDescent="0.25">
      <c r="A37" s="99">
        <v>7</v>
      </c>
      <c r="B37" s="30">
        <v>81</v>
      </c>
      <c r="C37" s="47" t="s">
        <v>350</v>
      </c>
      <c r="D37" s="65">
        <v>-17506</v>
      </c>
      <c r="E37" s="157">
        <v>-17037</v>
      </c>
      <c r="F37" s="157">
        <v>-17675</v>
      </c>
      <c r="G37" s="157">
        <v>-18483</v>
      </c>
      <c r="H37" s="43">
        <v>-18256</v>
      </c>
      <c r="I37" s="43">
        <v>-17621</v>
      </c>
      <c r="J37" s="159">
        <v>-18787.97134</v>
      </c>
      <c r="K37" s="43">
        <v>-20128.545040000001</v>
      </c>
      <c r="L37" s="43">
        <v>-6172.2934400000004</v>
      </c>
      <c r="M37" s="43">
        <f>'2.1. Toimintakatennuste'!AX28</f>
        <v>-5746.3979254439128</v>
      </c>
      <c r="N37" s="43">
        <f>$N$6*'2.1. Toimintakatennuste'!AG28</f>
        <v>-7163.3899727115149</v>
      </c>
      <c r="O37" s="43">
        <f>$O$6*'2.1. Toimintakatennuste'!AH28</f>
        <v>-7432.1927836652885</v>
      </c>
      <c r="P37" s="43">
        <f>P$6*'2.1. Toimintakatennuste'!AI28</f>
        <v>-7694.0175227494165</v>
      </c>
      <c r="Q37" s="43">
        <f>Q$6*'2.1. Toimintakatennuste'!AJ28</f>
        <v>-7940.5789416561593</v>
      </c>
      <c r="R37" s="117"/>
      <c r="S37" s="34">
        <v>81</v>
      </c>
      <c r="T37" s="88" t="s">
        <v>350</v>
      </c>
      <c r="U37" s="41">
        <f>D37/'1. Väestöennuste'!E37*1000</f>
        <v>-5870.5566733735741</v>
      </c>
      <c r="V37" s="41">
        <f>E37/'1. Väestöennuste'!F37*1000</f>
        <v>-5826.6073871409026</v>
      </c>
      <c r="W37" s="41">
        <f>F37/'1. Väestöennuste'!G37*1000</f>
        <v>-6132.8938237335178</v>
      </c>
      <c r="X37" s="41">
        <f>G37/'1. Väestöennuste'!H37*1000</f>
        <v>-6648.5611510791368</v>
      </c>
      <c r="Y37" s="41">
        <f>H37/'1. Väestöennuste'!I37*1000</f>
        <v>-6769.0025954764551</v>
      </c>
      <c r="Z37" s="41">
        <f>I37/'1. Väestöennuste'!J37*1000</f>
        <v>-6636.9114877589454</v>
      </c>
      <c r="AA37" s="41">
        <f>J37/'1. Väestöennuste'!K37*1000</f>
        <v>-7168.2454559328507</v>
      </c>
      <c r="AB37" s="41">
        <f>K37/'1. Väestöennuste'!L37*1000</f>
        <v>-7819.9475679875677</v>
      </c>
      <c r="AC37" s="41">
        <f>L37/'1. Väestöennuste'!M37*1000</f>
        <v>-2438.6777716317661</v>
      </c>
      <c r="AD37" s="41">
        <f>M37/'1. Väestöennuste'!N37*1000</f>
        <v>-2370.6262068663004</v>
      </c>
      <c r="AE37" s="41">
        <f>N37/'1. Väestöennuste'!O37*1000</f>
        <v>-3012.3591138399979</v>
      </c>
      <c r="AF37" s="41">
        <f>O37/'1. Väestöennuste'!P37*1000</f>
        <v>-3180.2279776060286</v>
      </c>
      <c r="AG37" s="41">
        <f>P37/'1. Väestöennuste'!Q37*1000</f>
        <v>-3346.6800881902636</v>
      </c>
      <c r="AH37" s="41">
        <f>Q37/'1. Väestöennuste'!R37*1000</f>
        <v>-3505.7743671771123</v>
      </c>
    </row>
    <row r="38" spans="1:34" customFormat="1" x14ac:dyDescent="0.25">
      <c r="A38" s="99">
        <v>5</v>
      </c>
      <c r="B38" s="30">
        <v>82</v>
      </c>
      <c r="C38" s="47" t="s">
        <v>351</v>
      </c>
      <c r="D38" s="65">
        <v>-43051</v>
      </c>
      <c r="E38" s="157">
        <v>-44832</v>
      </c>
      <c r="F38" s="157">
        <v>-44369</v>
      </c>
      <c r="G38" s="157">
        <v>-45727</v>
      </c>
      <c r="H38" s="43">
        <v>-46279</v>
      </c>
      <c r="I38" s="43">
        <v>-48134</v>
      </c>
      <c r="J38" s="159">
        <v>-51000.528780000001</v>
      </c>
      <c r="K38" s="43">
        <v>-54194.631259999995</v>
      </c>
      <c r="L38" s="43">
        <v>-23884.106050000002</v>
      </c>
      <c r="M38" s="43">
        <f>'2.1. Toimintakatennuste'!AX29</f>
        <v>-23587.705064114347</v>
      </c>
      <c r="N38" s="43">
        <f>$N$6*'2.1. Toimintakatennuste'!AG29</f>
        <v>-25703.015331543418</v>
      </c>
      <c r="O38" s="43">
        <f>$O$6*'2.1. Toimintakatennuste'!AH29</f>
        <v>-26333.851265578716</v>
      </c>
      <c r="P38" s="43">
        <f>P$6*'2.1. Toimintakatennuste'!AI29</f>
        <v>-27032.845972973002</v>
      </c>
      <c r="Q38" s="43">
        <f>Q$6*'2.1. Toimintakatennuste'!AJ29</f>
        <v>-27394.004519790757</v>
      </c>
      <c r="R38" s="117"/>
      <c r="S38" s="34">
        <v>82</v>
      </c>
      <c r="T38" s="88" t="s">
        <v>351</v>
      </c>
      <c r="U38" s="41">
        <f>D38/'1. Väestöennuste'!E38*1000</f>
        <v>-4416.8462090899757</v>
      </c>
      <c r="V38" s="41">
        <f>E38/'1. Väestöennuste'!F38*1000</f>
        <v>-4630.4482544928733</v>
      </c>
      <c r="W38" s="41">
        <f>F38/'1. Väestöennuste'!G38*1000</f>
        <v>-4616.9614984391264</v>
      </c>
      <c r="X38" s="41">
        <f>G38/'1. Väestöennuste'!H38*1000</f>
        <v>-4826.0686015831134</v>
      </c>
      <c r="Y38" s="41">
        <f>H38/'1. Väestöennuste'!I38*1000</f>
        <v>-4911.8021651454046</v>
      </c>
      <c r="Z38" s="41">
        <f>I38/'1. Väestöennuste'!J38*1000</f>
        <v>-5126.6375545851524</v>
      </c>
      <c r="AA38" s="41">
        <f>J38/'1. Väestöennuste'!K38*1000</f>
        <v>-5422.7037511961726</v>
      </c>
      <c r="AB38" s="41">
        <f>K38/'1. Väestöennuste'!L38*1000</f>
        <v>-5790.643365744203</v>
      </c>
      <c r="AC38" s="41">
        <f>L38/'1. Väestöennuste'!M38*1000</f>
        <v>-2548.7254348522038</v>
      </c>
      <c r="AD38" s="41">
        <f>M38/'1. Väestöennuste'!N38*1000</f>
        <v>-2570.3067521100957</v>
      </c>
      <c r="AE38" s="41">
        <f>N38/'1. Väestöennuste'!O38*1000</f>
        <v>-2817.6951689918242</v>
      </c>
      <c r="AF38" s="41">
        <f>O38/'1. Väestöennuste'!P38*1000</f>
        <v>-2904.6824691792099</v>
      </c>
      <c r="AG38" s="41">
        <f>P38/'1. Väestöennuste'!Q38*1000</f>
        <v>-3000.648903648907</v>
      </c>
      <c r="AH38" s="41">
        <f>Q38/'1. Väestöennuste'!R38*1000</f>
        <v>-3060.0988069471355</v>
      </c>
    </row>
    <row r="39" spans="1:34" customFormat="1" x14ac:dyDescent="0.25">
      <c r="A39" s="99">
        <v>5</v>
      </c>
      <c r="B39" s="30">
        <v>86</v>
      </c>
      <c r="C39" s="47" t="s">
        <v>352</v>
      </c>
      <c r="D39" s="65">
        <v>-41179</v>
      </c>
      <c r="E39" s="157">
        <v>-41300</v>
      </c>
      <c r="F39" s="157">
        <v>-42403</v>
      </c>
      <c r="G39" s="157">
        <v>-43322</v>
      </c>
      <c r="H39" s="43">
        <v>-43693</v>
      </c>
      <c r="I39" s="43">
        <v>-44257</v>
      </c>
      <c r="J39" s="159">
        <v>-45629.512350000005</v>
      </c>
      <c r="K39" s="43">
        <v>-49187.904880000002</v>
      </c>
      <c r="L39" s="43">
        <v>-20211.32935</v>
      </c>
      <c r="M39" s="43">
        <f>'2.1. Toimintakatennuste'!AX30</f>
        <v>-19136.358823211882</v>
      </c>
      <c r="N39" s="43">
        <f>$N$6*'2.1. Toimintakatennuste'!AG30</f>
        <v>-22001.339900969859</v>
      </c>
      <c r="O39" s="43">
        <f>$O$6*'2.1. Toimintakatennuste'!AH30</f>
        <v>-22241.074493362434</v>
      </c>
      <c r="P39" s="43">
        <f>P$6*'2.1. Toimintakatennuste'!AI30</f>
        <v>-22533.38342608944</v>
      </c>
      <c r="Q39" s="43">
        <f>Q$6*'2.1. Toimintakatennuste'!AJ30</f>
        <v>-22692.349770957037</v>
      </c>
      <c r="R39" s="117"/>
      <c r="S39" s="34">
        <v>86</v>
      </c>
      <c r="T39" s="88" t="s">
        <v>352</v>
      </c>
      <c r="U39" s="41">
        <f>D39/'1. Väestöennuste'!E39*1000</f>
        <v>-4717.4934127620572</v>
      </c>
      <c r="V39" s="41">
        <f>E39/'1. Väestöennuste'!F39*1000</f>
        <v>-4779.5394051614394</v>
      </c>
      <c r="W39" s="41">
        <f>F39/'1. Väestöennuste'!G39*1000</f>
        <v>-4986.2417685794926</v>
      </c>
      <c r="X39" s="41">
        <f>G39/'1. Väestöennuste'!H39*1000</f>
        <v>-5146.9644766543906</v>
      </c>
      <c r="Y39" s="41">
        <f>H39/'1. Väestöennuste'!I39*1000</f>
        <v>-5289.7094430992738</v>
      </c>
      <c r="Z39" s="41">
        <f>I39/'1. Väestöennuste'!J39*1000</f>
        <v>-5413.7003058103983</v>
      </c>
      <c r="AA39" s="41">
        <f>J39/'1. Väestöennuste'!K39*1000</f>
        <v>-5603.5260162102422</v>
      </c>
      <c r="AB39" s="41">
        <f>K39/'1. Väestöennuste'!L39*1000</f>
        <v>-6124.754685593326</v>
      </c>
      <c r="AC39" s="41">
        <f>L39/'1. Väestöennuste'!M39*1000</f>
        <v>-2527.0479307326827</v>
      </c>
      <c r="AD39" s="41">
        <f>M39/'1. Väestöennuste'!N39*1000</f>
        <v>-2450.5517765670229</v>
      </c>
      <c r="AE39" s="41">
        <f>N39/'1. Väestöennuste'!O39*1000</f>
        <v>-2845.8595137718094</v>
      </c>
      <c r="AF39" s="41">
        <f>O39/'1. Väestöennuste'!P39*1000</f>
        <v>-2903.9136301556905</v>
      </c>
      <c r="AG39" s="41">
        <f>P39/'1. Väestöennuste'!Q39*1000</f>
        <v>-2968.0431277778503</v>
      </c>
      <c r="AH39" s="41">
        <f>Q39/'1. Väestöennuste'!R39*1000</f>
        <v>-3015.5946539477791</v>
      </c>
    </row>
    <row r="40" spans="1:34" customFormat="1" x14ac:dyDescent="0.25">
      <c r="A40" s="99">
        <v>12</v>
      </c>
      <c r="B40" s="30">
        <v>90</v>
      </c>
      <c r="C40" s="47" t="s">
        <v>353</v>
      </c>
      <c r="D40" s="65">
        <v>-24362</v>
      </c>
      <c r="E40" s="157">
        <v>-24630</v>
      </c>
      <c r="F40" s="157">
        <v>-23636</v>
      </c>
      <c r="G40" s="157">
        <v>-23696</v>
      </c>
      <c r="H40" s="43">
        <v>-24290</v>
      </c>
      <c r="I40" s="43">
        <v>-24594</v>
      </c>
      <c r="J40" s="159">
        <v>-24726.421440000002</v>
      </c>
      <c r="K40" s="43">
        <v>-26362.808949999999</v>
      </c>
      <c r="L40" s="43">
        <v>-6849.0913</v>
      </c>
      <c r="M40" s="43">
        <f>'2.1. Toimintakatennuste'!AX31</f>
        <v>-7368.7988166649293</v>
      </c>
      <c r="N40" s="43">
        <f>$N$6*'2.1. Toimintakatennuste'!AG31</f>
        <v>-8209.4248114722232</v>
      </c>
      <c r="O40" s="43">
        <f>$O$6*'2.1. Toimintakatennuste'!AH31</f>
        <v>-8483.0376873091936</v>
      </c>
      <c r="P40" s="43">
        <f>P$6*'2.1. Toimintakatennuste'!AI31</f>
        <v>-8863.9403641460667</v>
      </c>
      <c r="Q40" s="43">
        <f>Q$6*'2.1. Toimintakatennuste'!AJ31</f>
        <v>-9122.7010253558801</v>
      </c>
      <c r="R40" s="117"/>
      <c r="S40" s="34">
        <v>90</v>
      </c>
      <c r="T40" s="88" t="s">
        <v>353</v>
      </c>
      <c r="U40" s="41">
        <f>D40/'1. Väestöennuste'!E40*1000</f>
        <v>-6816.452154448797</v>
      </c>
      <c r="V40" s="41">
        <f>E40/'1. Väestöennuste'!F40*1000</f>
        <v>-7009.1064314171881</v>
      </c>
      <c r="W40" s="41">
        <f>F40/'1. Väestöennuste'!G40*1000</f>
        <v>-6841.0998552821993</v>
      </c>
      <c r="X40" s="41">
        <f>G40/'1. Väestöennuste'!H40*1000</f>
        <v>-7118.0534695103634</v>
      </c>
      <c r="Y40" s="41">
        <f>H40/'1. Väestöennuste'!I40*1000</f>
        <v>-7464.6588813767676</v>
      </c>
      <c r="Z40" s="41">
        <f>I40/'1. Väestöennuste'!J40*1000</f>
        <v>-7695.2440550688361</v>
      </c>
      <c r="AA40" s="41">
        <f>J40/'1. Väestöennuste'!K40*1000</f>
        <v>-7884.7007142857146</v>
      </c>
      <c r="AB40" s="41">
        <f>K40/'1. Väestöennuste'!L40*1000</f>
        <v>-8612.4825057170856</v>
      </c>
      <c r="AC40" s="41">
        <f>L40/'1. Väestöennuste'!M40*1000</f>
        <v>-2282.2696767744083</v>
      </c>
      <c r="AD40" s="41">
        <f>M40/'1. Väestöennuste'!N40*1000</f>
        <v>-2494.5155100422917</v>
      </c>
      <c r="AE40" s="41">
        <f>N40/'1. Väestöennuste'!O40*1000</f>
        <v>-2827.9107170073107</v>
      </c>
      <c r="AF40" s="41">
        <f>O40/'1. Väestöennuste'!P40*1000</f>
        <v>-2971.2916593026948</v>
      </c>
      <c r="AG40" s="41">
        <f>P40/'1. Väestöennuste'!Q40*1000</f>
        <v>-3158.9238646279641</v>
      </c>
      <c r="AH40" s="41">
        <f>Q40/'1. Väestöennuste'!R40*1000</f>
        <v>-3307.7233594473823</v>
      </c>
    </row>
    <row r="41" spans="1:34" s="16" customFormat="1" x14ac:dyDescent="0.25">
      <c r="A41" s="99">
        <v>1</v>
      </c>
      <c r="B41" s="30">
        <v>91</v>
      </c>
      <c r="C41" s="47" t="s">
        <v>354</v>
      </c>
      <c r="D41" s="65">
        <v>-3146460</v>
      </c>
      <c r="E41" s="158">
        <v>-3067486</v>
      </c>
      <c r="F41" s="158">
        <v>-2860361</v>
      </c>
      <c r="G41" s="158">
        <v>-2974569</v>
      </c>
      <c r="H41" s="159">
        <v>-3118484</v>
      </c>
      <c r="I41" s="43">
        <v>-3324337</v>
      </c>
      <c r="J41" s="159">
        <v>-3555828.3294600002</v>
      </c>
      <c r="K41" s="43">
        <v>-3841784.1847700002</v>
      </c>
      <c r="L41" s="43">
        <v>-1585309.8473199999</v>
      </c>
      <c r="M41" s="43">
        <f>'2.1. Toimintakatennuste'!AX32</f>
        <v>-1637685.2148852935</v>
      </c>
      <c r="N41" s="43">
        <f>$N$6*'2.1. Toimintakatennuste'!AG32</f>
        <v>-1863283.0552279155</v>
      </c>
      <c r="O41" s="43">
        <f>$O$6*'2.1. Toimintakatennuste'!AH32</f>
        <v>-1954724.3245084221</v>
      </c>
      <c r="P41" s="43">
        <f>P$6*'2.1. Toimintakatennuste'!AI32</f>
        <v>-2040669.991906913</v>
      </c>
      <c r="Q41" s="43">
        <f>Q$6*'2.1. Toimintakatennuste'!AJ32</f>
        <v>-2120957.1982045076</v>
      </c>
      <c r="R41" s="117"/>
      <c r="S41" s="34">
        <v>91</v>
      </c>
      <c r="T41" s="88" t="s">
        <v>354</v>
      </c>
      <c r="U41" s="41">
        <f>D41/'1. Väestöennuste'!E41*1000</f>
        <v>-5008.6277156610549</v>
      </c>
      <c r="V41" s="41">
        <f>E41/'1. Väestöennuste'!F41*1000</f>
        <v>-4829.3100706727682</v>
      </c>
      <c r="W41" s="41">
        <f>F41/'1. Väestöennuste'!G41*1000</f>
        <v>-4446.5809175589802</v>
      </c>
      <c r="X41" s="41">
        <f>G41/'1. Väestöennuste'!H41*1000</f>
        <v>-4590.0867536363385</v>
      </c>
      <c r="Y41" s="41">
        <f>H41/'1. Väestöennuste'!I41*1000</f>
        <v>-4769.5274801746618</v>
      </c>
      <c r="Z41" s="41">
        <f>I41/'1. Väestöennuste'!J41*1000</f>
        <v>-5060.4898617792123</v>
      </c>
      <c r="AA41" s="41">
        <f>J41/'1. Väestöennuste'!K41*1000</f>
        <v>-5400.2437964210267</v>
      </c>
      <c r="AB41" s="41">
        <f>K41/'1. Väestöennuste'!L41*1000</f>
        <v>-5785.5755853217033</v>
      </c>
      <c r="AC41" s="41">
        <f>L41/'1. Väestöennuste'!M41*1000</f>
        <v>-2350.3481798665675</v>
      </c>
      <c r="AD41" s="41">
        <f>M41/'1. Väestöennuste'!N41*1000</f>
        <v>-2415.7392725800623</v>
      </c>
      <c r="AE41" s="41">
        <f>N41/'1. Väestöennuste'!O41*1000</f>
        <v>-2729.8490756519445</v>
      </c>
      <c r="AF41" s="41">
        <f>O41/'1. Väestöennuste'!P41*1000</f>
        <v>-2845.0852037738314</v>
      </c>
      <c r="AG41" s="41">
        <f>P41/'1. Väestöennuste'!Q41*1000</f>
        <v>-2951.4956449459401</v>
      </c>
      <c r="AH41" s="41">
        <f>Q41/'1. Väestöennuste'!R41*1000</f>
        <v>-3049.1090386911246</v>
      </c>
    </row>
    <row r="42" spans="1:34" customFormat="1" x14ac:dyDescent="0.25">
      <c r="A42" s="99">
        <v>1</v>
      </c>
      <c r="B42" s="30">
        <v>92</v>
      </c>
      <c r="C42" s="47" t="s">
        <v>355</v>
      </c>
      <c r="D42" s="65">
        <v>-1015598</v>
      </c>
      <c r="E42" s="157">
        <v>-990035</v>
      </c>
      <c r="F42" s="157">
        <v>-1008713</v>
      </c>
      <c r="G42" s="157">
        <v>-1072521</v>
      </c>
      <c r="H42" s="43">
        <v>-1176919</v>
      </c>
      <c r="I42" s="43">
        <v>-1226289</v>
      </c>
      <c r="J42" s="159">
        <v>-1246124.7162500001</v>
      </c>
      <c r="K42" s="43">
        <v>-1394029.0650899999</v>
      </c>
      <c r="L42" s="43">
        <v>-674050.36770000006</v>
      </c>
      <c r="M42" s="43">
        <f>'2.1. Toimintakatennuste'!AX33</f>
        <v>-677832.47257709457</v>
      </c>
      <c r="N42" s="43">
        <f>$N$6*'2.1. Toimintakatennuste'!AG33</f>
        <v>-788891.31345604686</v>
      </c>
      <c r="O42" s="43">
        <f>$O$6*'2.1. Toimintakatennuste'!AH33</f>
        <v>-829336.18186474382</v>
      </c>
      <c r="P42" s="43">
        <f>P$6*'2.1. Toimintakatennuste'!AI33</f>
        <v>-870819.86679866922</v>
      </c>
      <c r="Q42" s="43">
        <f>Q$6*'2.1. Toimintakatennuste'!AJ33</f>
        <v>-908632.92690595705</v>
      </c>
      <c r="R42" s="117"/>
      <c r="S42" s="34">
        <v>92</v>
      </c>
      <c r="T42" s="88" t="s">
        <v>355</v>
      </c>
      <c r="U42" s="41">
        <f>D42/'1. Väestöennuste'!E42*1000</f>
        <v>-4732.4060483213343</v>
      </c>
      <c r="V42" s="41">
        <f>E42/'1. Väestöennuste'!F42*1000</f>
        <v>-4513.6796130226448</v>
      </c>
      <c r="W42" s="41">
        <f>F42/'1. Väestöennuste'!G42*1000</f>
        <v>-4522.8290745066743</v>
      </c>
      <c r="X42" s="41">
        <f>G42/'1. Väestöennuste'!H42*1000</f>
        <v>-4700.6170945714957</v>
      </c>
      <c r="Y42" s="41">
        <f>H42/'1. Väestöennuste'!I42*1000</f>
        <v>-5034.4091541011658</v>
      </c>
      <c r="Z42" s="41">
        <f>I42/'1. Väestöennuste'!J42*1000</f>
        <v>-5169.1768782326089</v>
      </c>
      <c r="AA42" s="41">
        <f>J42/'1. Väestöennuste'!K42*1000</f>
        <v>-5209.4208182487064</v>
      </c>
      <c r="AB42" s="41">
        <f>K42/'1. Väestöennuste'!L42*1000</f>
        <v>-5741.0213578426728</v>
      </c>
      <c r="AC42" s="41">
        <f>L42/'1. Väestöennuste'!M42*1000</f>
        <v>-2724.0631890980953</v>
      </c>
      <c r="AD42" s="41">
        <f>M42/'1. Väestöennuste'!N42*1000</f>
        <v>-2692.4611227600758</v>
      </c>
      <c r="AE42" s="41">
        <f>N42/'1. Väestöennuste'!O42*1000</f>
        <v>-3094.5530459698462</v>
      </c>
      <c r="AF42" s="41">
        <f>O42/'1. Väestöennuste'!P42*1000</f>
        <v>-3214.9299199296947</v>
      </c>
      <c r="AG42" s="41">
        <f>P42/'1. Väestöennuste'!Q42*1000</f>
        <v>-3338.2780229881632</v>
      </c>
      <c r="AH42" s="41">
        <f>Q42/'1. Väestöennuste'!R42*1000</f>
        <v>-3446.70032662412</v>
      </c>
    </row>
    <row r="43" spans="1:34" customFormat="1" x14ac:dyDescent="0.25">
      <c r="A43" s="99">
        <v>10</v>
      </c>
      <c r="B43" s="30">
        <v>97</v>
      </c>
      <c r="C43" s="47" t="s">
        <v>356</v>
      </c>
      <c r="D43" s="65">
        <v>-13517</v>
      </c>
      <c r="E43" s="157">
        <v>-13726</v>
      </c>
      <c r="F43" s="157">
        <v>-14084</v>
      </c>
      <c r="G43" s="157">
        <v>-13227</v>
      </c>
      <c r="H43" s="43">
        <v>-14326</v>
      </c>
      <c r="I43" s="43">
        <v>-14611</v>
      </c>
      <c r="J43" s="159">
        <v>-15746.938709999999</v>
      </c>
      <c r="K43" s="43">
        <v>-15976.736449999999</v>
      </c>
      <c r="L43" s="43">
        <v>-4547.5612300000003</v>
      </c>
      <c r="M43" s="43">
        <f>'2.1. Toimintakatennuste'!AX34</f>
        <v>-5099.2390405160731</v>
      </c>
      <c r="N43" s="43">
        <f>$N$6*'2.1. Toimintakatennuste'!AG34</f>
        <v>-5320.3920875271688</v>
      </c>
      <c r="O43" s="43">
        <f>$O$6*'2.1. Toimintakatennuste'!AH34</f>
        <v>-5498.8125019590407</v>
      </c>
      <c r="P43" s="43">
        <f>P$6*'2.1. Toimintakatennuste'!AI34</f>
        <v>-5717.1770180757849</v>
      </c>
      <c r="Q43" s="43">
        <f>Q$6*'2.1. Toimintakatennuste'!AJ34</f>
        <v>-5925.1134347325897</v>
      </c>
      <c r="R43" s="117"/>
      <c r="S43" s="34">
        <v>97</v>
      </c>
      <c r="T43" s="88" t="s">
        <v>356</v>
      </c>
      <c r="U43" s="41">
        <f>D43/'1. Väestöennuste'!E43*1000</f>
        <v>-5902.620087336245</v>
      </c>
      <c r="V43" s="41">
        <f>E43/'1. Väestöennuste'!F43*1000</f>
        <v>-6036.059806508355</v>
      </c>
      <c r="W43" s="41">
        <f>F43/'1. Väestöennuste'!G43*1000</f>
        <v>-6298.747763864043</v>
      </c>
      <c r="X43" s="41">
        <f>G43/'1. Väestöennuste'!H43*1000</f>
        <v>-6146.3754646840143</v>
      </c>
      <c r="Y43" s="41">
        <f>H43/'1. Väestöennuste'!I43*1000</f>
        <v>-6706.9288389513104</v>
      </c>
      <c r="Z43" s="41">
        <f>I43/'1. Väestöennuste'!J43*1000</f>
        <v>-6776.9016697588122</v>
      </c>
      <c r="AA43" s="41">
        <f>J43/'1. Väestöennuste'!K43*1000</f>
        <v>-7389.4597419052079</v>
      </c>
      <c r="AB43" s="41">
        <f>K43/'1. Väestöennuste'!L43*1000</f>
        <v>-7640.7156623625051</v>
      </c>
      <c r="AC43" s="41">
        <f>L43/'1. Väestöennuste'!M43*1000</f>
        <v>-2205.4128176527647</v>
      </c>
      <c r="AD43" s="41">
        <f>M43/'1. Väestöennuste'!N43*1000</f>
        <v>-2429.3659078209016</v>
      </c>
      <c r="AE43" s="41">
        <f>N43/'1. Väestöennuste'!O43*1000</f>
        <v>-2550.5235318922187</v>
      </c>
      <c r="AF43" s="41">
        <f>O43/'1. Väestöennuste'!P43*1000</f>
        <v>-2651.3078601538286</v>
      </c>
      <c r="AG43" s="41">
        <f>P43/'1. Väestöennuste'!Q43*1000</f>
        <v>-2769.9501056568729</v>
      </c>
      <c r="AH43" s="41">
        <f>Q43/'1. Väestöennuste'!R43*1000</f>
        <v>-2887.4821806689033</v>
      </c>
    </row>
    <row r="44" spans="1:34" customFormat="1" x14ac:dyDescent="0.25">
      <c r="A44" s="99">
        <v>7</v>
      </c>
      <c r="B44" s="30">
        <v>98</v>
      </c>
      <c r="C44" s="47" t="s">
        <v>357</v>
      </c>
      <c r="D44" s="65">
        <v>-115766</v>
      </c>
      <c r="E44" s="157">
        <v>-113509</v>
      </c>
      <c r="F44" s="157">
        <v>-112617</v>
      </c>
      <c r="G44" s="157">
        <v>-117192</v>
      </c>
      <c r="H44" s="43">
        <v>-123350</v>
      </c>
      <c r="I44" s="43">
        <v>-123632</v>
      </c>
      <c r="J44" s="159">
        <v>-126749.17472999998</v>
      </c>
      <c r="K44" s="43">
        <v>-133563.52887000001</v>
      </c>
      <c r="L44" s="43">
        <v>-56272.213349999998</v>
      </c>
      <c r="M44" s="43">
        <f>'2.1. Toimintakatennuste'!AX35</f>
        <v>-58732.997133361925</v>
      </c>
      <c r="N44" s="43">
        <f>$N$6*'2.1. Toimintakatennuste'!AG35</f>
        <v>-62482.337572298646</v>
      </c>
      <c r="O44" s="43">
        <f>$O$6*'2.1. Toimintakatennuste'!AH35</f>
        <v>-64200.693280764099</v>
      </c>
      <c r="P44" s="43">
        <f>P$6*'2.1. Toimintakatennuste'!AI35</f>
        <v>-65938.891610432227</v>
      </c>
      <c r="Q44" s="43">
        <f>Q$6*'2.1. Toimintakatennuste'!AJ35</f>
        <v>-67200.119643489641</v>
      </c>
      <c r="R44" s="117"/>
      <c r="S44" s="34">
        <v>98</v>
      </c>
      <c r="T44" s="88" t="s">
        <v>357</v>
      </c>
      <c r="U44" s="41">
        <f>D44/'1. Väestöennuste'!E44*1000</f>
        <v>-4840.7275768346226</v>
      </c>
      <c r="V44" s="41">
        <f>E44/'1. Väestöennuste'!F44*1000</f>
        <v>-4771.0899079483843</v>
      </c>
      <c r="W44" s="41">
        <f>F44/'1. Väestöennuste'!G44*1000</f>
        <v>-4735.3881086536039</v>
      </c>
      <c r="X44" s="41">
        <f>G44/'1. Väestöennuste'!H44*1000</f>
        <v>-4965.3419201762563</v>
      </c>
      <c r="Y44" s="41">
        <f>H44/'1. Väestöennuste'!I44*1000</f>
        <v>-5269.1157624946609</v>
      </c>
      <c r="Z44" s="41">
        <f>I44/'1. Väestöennuste'!J44*1000</f>
        <v>-5317.2766762719884</v>
      </c>
      <c r="AA44" s="41">
        <f>J44/'1. Väestöennuste'!K44*1000</f>
        <v>-5489.3536045907313</v>
      </c>
      <c r="AB44" s="41">
        <f>K44/'1. Väestöennuste'!L44*1000</f>
        <v>-5821.5372388092228</v>
      </c>
      <c r="AC44" s="41">
        <f>L44/'1. Väestöennuste'!M44*1000</f>
        <v>-2458.9125344111862</v>
      </c>
      <c r="AD44" s="41">
        <f>M44/'1. Väestöennuste'!N44*1000</f>
        <v>-2583.3735268687892</v>
      </c>
      <c r="AE44" s="41">
        <f>N44/'1. Väestöennuste'!O44*1000</f>
        <v>-2765.072247302679</v>
      </c>
      <c r="AF44" s="41">
        <f>O44/'1. Väestöennuste'!P44*1000</f>
        <v>-2858.3185646571433</v>
      </c>
      <c r="AG44" s="41">
        <f>P44/'1. Väestöennuste'!Q44*1000</f>
        <v>-2952.5317516872888</v>
      </c>
      <c r="AH44" s="41">
        <f>Q44/'1. Väestöennuste'!R44*1000</f>
        <v>-3026.8960697036009</v>
      </c>
    </row>
    <row r="45" spans="1:34" customFormat="1" x14ac:dyDescent="0.25">
      <c r="A45" s="99">
        <v>4</v>
      </c>
      <c r="B45" s="30">
        <v>102</v>
      </c>
      <c r="C45" s="47" t="s">
        <v>359</v>
      </c>
      <c r="D45" s="65">
        <v>-53261</v>
      </c>
      <c r="E45" s="157">
        <v>-54645</v>
      </c>
      <c r="F45" s="157">
        <v>-56390</v>
      </c>
      <c r="G45" s="157">
        <v>-58957</v>
      </c>
      <c r="H45" s="43">
        <v>-59030</v>
      </c>
      <c r="I45" s="43">
        <v>-57675</v>
      </c>
      <c r="J45" s="159">
        <v>-60380.910229999994</v>
      </c>
      <c r="K45" s="43">
        <v>-65094.472249999999</v>
      </c>
      <c r="L45" s="43">
        <v>-24230.060980000002</v>
      </c>
      <c r="M45" s="43">
        <f>'2.1. Toimintakatennuste'!AX36</f>
        <v>-25380.164262246632</v>
      </c>
      <c r="N45" s="43">
        <f>$N$6*'2.1. Toimintakatennuste'!AG36</f>
        <v>-27075.956034533738</v>
      </c>
      <c r="O45" s="43">
        <f>$O$6*'2.1. Toimintakatennuste'!AH36</f>
        <v>-27662.44897941684</v>
      </c>
      <c r="P45" s="43">
        <f>P$6*'2.1. Toimintakatennuste'!AI36</f>
        <v>-28193.332161268827</v>
      </c>
      <c r="Q45" s="43">
        <f>Q$6*'2.1. Toimintakatennuste'!AJ36</f>
        <v>-28626.959629804103</v>
      </c>
      <c r="R45" s="117"/>
      <c r="S45" s="34">
        <v>102</v>
      </c>
      <c r="T45" s="88" t="s">
        <v>359</v>
      </c>
      <c r="U45" s="41">
        <f>D45/'1. Väestöennuste'!E45*1000</f>
        <v>-5085.5533276043161</v>
      </c>
      <c r="V45" s="41">
        <f>E45/'1. Väestöennuste'!F45*1000</f>
        <v>-5252.8116889358835</v>
      </c>
      <c r="W45" s="41">
        <f>F45/'1. Väestöennuste'!G45*1000</f>
        <v>-5524.6399529734499</v>
      </c>
      <c r="X45" s="41">
        <f>G45/'1. Väestöennuste'!H45*1000</f>
        <v>-5842.5329501536025</v>
      </c>
      <c r="Y45" s="41">
        <f>H45/'1. Väestöennuste'!I45*1000</f>
        <v>-5877.1405814416566</v>
      </c>
      <c r="Z45" s="41">
        <f>I45/'1. Väestöennuste'!J45*1000</f>
        <v>-5804.0656133641942</v>
      </c>
      <c r="AA45" s="41">
        <f>J45/'1. Väestöennuste'!K45*1000</f>
        <v>-6117.6200840932115</v>
      </c>
      <c r="AB45" s="41">
        <f>K45/'1. Väestöennuste'!L45*1000</f>
        <v>-6679.7816572601332</v>
      </c>
      <c r="AC45" s="41">
        <f>L45/'1. Väestöennuste'!M45*1000</f>
        <v>-2511.9283620153433</v>
      </c>
      <c r="AD45" s="41">
        <f>M45/'1. Väestöennuste'!N45*1000</f>
        <v>-2662.3480816371161</v>
      </c>
      <c r="AE45" s="41">
        <f>N45/'1. Väestöennuste'!O45*1000</f>
        <v>-2867.3044619859938</v>
      </c>
      <c r="AF45" s="41">
        <f>O45/'1. Väestöennuste'!P45*1000</f>
        <v>-2956.9694259130774</v>
      </c>
      <c r="AG45" s="41">
        <f>P45/'1. Väestöennuste'!Q45*1000</f>
        <v>-3040.3679673534807</v>
      </c>
      <c r="AH45" s="41">
        <f>Q45/'1. Väestöennuste'!R45*1000</f>
        <v>-3113.9953910371046</v>
      </c>
    </row>
    <row r="46" spans="1:34" customFormat="1" x14ac:dyDescent="0.25">
      <c r="A46" s="99">
        <v>5</v>
      </c>
      <c r="B46" s="30">
        <v>103</v>
      </c>
      <c r="C46" s="47" t="s">
        <v>360</v>
      </c>
      <c r="D46" s="65">
        <v>-13019</v>
      </c>
      <c r="E46" s="157">
        <v>-13637</v>
      </c>
      <c r="F46" s="157">
        <v>-13279</v>
      </c>
      <c r="G46" s="157">
        <v>-13275</v>
      </c>
      <c r="H46" s="43">
        <v>-13155</v>
      </c>
      <c r="I46" s="43">
        <v>-12875</v>
      </c>
      <c r="J46" s="159">
        <v>-13586.596029999999</v>
      </c>
      <c r="K46" s="43">
        <v>-14007.960009999999</v>
      </c>
      <c r="L46" s="43">
        <v>-6128.6856500000004</v>
      </c>
      <c r="M46" s="43">
        <f>'2.1. Toimintakatennuste'!AX37</f>
        <v>-5752.3151677961441</v>
      </c>
      <c r="N46" s="43">
        <f>$N$6*'2.1. Toimintakatennuste'!AG37</f>
        <v>-6954.2510247302316</v>
      </c>
      <c r="O46" s="43">
        <f>$O$6*'2.1. Toimintakatennuste'!AH37</f>
        <v>-7182.2647051271906</v>
      </c>
      <c r="P46" s="43">
        <f>P$6*'2.1. Toimintakatennuste'!AI37</f>
        <v>-7392.7536720380131</v>
      </c>
      <c r="Q46" s="43">
        <f>Q$6*'2.1. Toimintakatennuste'!AJ37</f>
        <v>-7702.2246536743833</v>
      </c>
      <c r="R46" s="117"/>
      <c r="S46" s="34">
        <v>103</v>
      </c>
      <c r="T46" s="88" t="s">
        <v>360</v>
      </c>
      <c r="U46" s="41">
        <f>D46/'1. Väestöennuste'!E46*1000</f>
        <v>-5451.8425460636508</v>
      </c>
      <c r="V46" s="41">
        <f>E46/'1. Väestöennuste'!F46*1000</f>
        <v>-5815.3518123667382</v>
      </c>
      <c r="W46" s="41">
        <f>F46/'1. Väestöennuste'!G46*1000</f>
        <v>-5798.6899563318784</v>
      </c>
      <c r="X46" s="41">
        <f>G46/'1. Väestöennuste'!H46*1000</f>
        <v>-5939.5973154362418</v>
      </c>
      <c r="Y46" s="41">
        <f>H46/'1. Väestöennuste'!I46*1000</f>
        <v>-6023.3516483516487</v>
      </c>
      <c r="Z46" s="41">
        <f>I46/'1. Väestöennuste'!J46*1000</f>
        <v>-5922.2631094756207</v>
      </c>
      <c r="AA46" s="41">
        <f>J46/'1. Väestöennuste'!K46*1000</f>
        <v>-6272.6666805170817</v>
      </c>
      <c r="AB46" s="41">
        <f>K46/'1. Väestöennuste'!L46*1000</f>
        <v>-6482.1656686719107</v>
      </c>
      <c r="AC46" s="41">
        <f>L46/'1. Väestöennuste'!M46*1000</f>
        <v>-2884.0873647058825</v>
      </c>
      <c r="AD46" s="41">
        <f>M46/'1. Väestöennuste'!N46*1000</f>
        <v>-2760.2280075797235</v>
      </c>
      <c r="AE46" s="41">
        <f>N46/'1. Väestöennuste'!O46*1000</f>
        <v>-3369.3076670204609</v>
      </c>
      <c r="AF46" s="41">
        <f>O46/'1. Väestöennuste'!P46*1000</f>
        <v>-3517.26968909265</v>
      </c>
      <c r="AG46" s="41">
        <f>P46/'1. Väestöennuste'!Q46*1000</f>
        <v>-3657.9681702315747</v>
      </c>
      <c r="AH46" s="41">
        <f>Q46/'1. Väestöennuste'!R46*1000</f>
        <v>-3845.344310371634</v>
      </c>
    </row>
    <row r="47" spans="1:34" customFormat="1" x14ac:dyDescent="0.25">
      <c r="A47" s="99">
        <v>18</v>
      </c>
      <c r="B47" s="30">
        <v>105</v>
      </c>
      <c r="C47" s="47" t="s">
        <v>361</v>
      </c>
      <c r="D47" s="65">
        <v>-17859</v>
      </c>
      <c r="E47" s="157">
        <v>-17384</v>
      </c>
      <c r="F47" s="157">
        <v>-17165</v>
      </c>
      <c r="G47" s="157">
        <v>-18175</v>
      </c>
      <c r="H47" s="43">
        <v>-18167</v>
      </c>
      <c r="I47" s="43">
        <v>-18228</v>
      </c>
      <c r="J47" s="159">
        <v>-19189.957129999999</v>
      </c>
      <c r="K47" s="43">
        <v>-19079.94125</v>
      </c>
      <c r="L47" s="43">
        <v>-6053.5091600000005</v>
      </c>
      <c r="M47" s="43">
        <f>'2.1. Toimintakatennuste'!AX38</f>
        <v>-6258.4179856130322</v>
      </c>
      <c r="N47" s="43">
        <f>$N$6*'2.1. Toimintakatennuste'!AG38</f>
        <v>-6894.3402054406624</v>
      </c>
      <c r="O47" s="43">
        <f>$O$6*'2.1. Toimintakatennuste'!AH38</f>
        <v>-7144.2405391187558</v>
      </c>
      <c r="P47" s="43">
        <f>P$6*'2.1. Toimintakatennuste'!AI38</f>
        <v>-7280.8775433402479</v>
      </c>
      <c r="Q47" s="43">
        <f>Q$6*'2.1. Toimintakatennuste'!AJ38</f>
        <v>-7505.9262659367105</v>
      </c>
      <c r="R47" s="117"/>
      <c r="S47" s="34">
        <v>105</v>
      </c>
      <c r="T47" s="88" t="s">
        <v>361</v>
      </c>
      <c r="U47" s="41">
        <f>D47/'1. Väestöennuste'!E47*1000</f>
        <v>-7373.6581337737407</v>
      </c>
      <c r="V47" s="41">
        <f>E47/'1. Väestöennuste'!F47*1000</f>
        <v>-7225.2701579384875</v>
      </c>
      <c r="W47" s="41">
        <f>F47/'1. Väestöennuste'!G47*1000</f>
        <v>-7379.6216680997422</v>
      </c>
      <c r="X47" s="41">
        <f>G47/'1. Väestöennuste'!H47*1000</f>
        <v>-7947.0922606034101</v>
      </c>
      <c r="Y47" s="41">
        <f>H47/'1. Väestöennuste'!I47*1000</f>
        <v>-7999.5596653456623</v>
      </c>
      <c r="Z47" s="41">
        <f>I47/'1. Väestöennuste'!J47*1000</f>
        <v>-8289.2223738062748</v>
      </c>
      <c r="AA47" s="41">
        <f>J47/'1. Väestöennuste'!K47*1000</f>
        <v>-8971.4619588592795</v>
      </c>
      <c r="AB47" s="41">
        <f>K47/'1. Väestöennuste'!L47*1000</f>
        <v>-9111.7197946513861</v>
      </c>
      <c r="AC47" s="41">
        <f>L47/'1. Väestöennuste'!M47*1000</f>
        <v>-2934.3233931168206</v>
      </c>
      <c r="AD47" s="41">
        <f>M47/'1. Väestöennuste'!N47*1000</f>
        <v>-3064.8472015734733</v>
      </c>
      <c r="AE47" s="41">
        <f>N47/'1. Väestöennuste'!O47*1000</f>
        <v>-3431.7273297365168</v>
      </c>
      <c r="AF47" s="41">
        <f>O47/'1. Väestöennuste'!P47*1000</f>
        <v>-3615.5063457078722</v>
      </c>
      <c r="AG47" s="41">
        <f>P47/'1. Väestöennuste'!Q47*1000</f>
        <v>-3743.3817703548834</v>
      </c>
      <c r="AH47" s="41">
        <f>Q47/'1. Väestöennuste'!R47*1000</f>
        <v>-3917.4980511151934</v>
      </c>
    </row>
    <row r="48" spans="1:34" customFormat="1" x14ac:dyDescent="0.25">
      <c r="A48" s="99">
        <v>1</v>
      </c>
      <c r="B48" s="30">
        <v>106</v>
      </c>
      <c r="C48" s="47" t="s">
        <v>362</v>
      </c>
      <c r="D48" s="65">
        <v>-226076</v>
      </c>
      <c r="E48" s="157">
        <v>-222067</v>
      </c>
      <c r="F48" s="157">
        <v>-221683</v>
      </c>
      <c r="G48" s="157">
        <v>-233619</v>
      </c>
      <c r="H48" s="43">
        <v>-251376</v>
      </c>
      <c r="I48" s="43">
        <v>-262419</v>
      </c>
      <c r="J48" s="159">
        <v>-252780.24292999998</v>
      </c>
      <c r="K48" s="43">
        <v>-275355.4473</v>
      </c>
      <c r="L48" s="43">
        <v>-97947.38493</v>
      </c>
      <c r="M48" s="43">
        <f>'2.1. Toimintakatennuste'!AX39</f>
        <v>-103163.72609251644</v>
      </c>
      <c r="N48" s="43">
        <f>$N$6*'2.1. Toimintakatennuste'!AG39</f>
        <v>-111575.65300893589</v>
      </c>
      <c r="O48" s="43">
        <f>$O$6*'2.1. Toimintakatennuste'!AH39</f>
        <v>-115512.20521562806</v>
      </c>
      <c r="P48" s="43">
        <f>P$6*'2.1. Toimintakatennuste'!AI39</f>
        <v>-119593.75334273149</v>
      </c>
      <c r="Q48" s="43">
        <f>Q$6*'2.1. Toimintakatennuste'!AJ39</f>
        <v>-122853.28104243803</v>
      </c>
      <c r="R48" s="117"/>
      <c r="S48" s="34">
        <v>106</v>
      </c>
      <c r="T48" s="88" t="s">
        <v>362</v>
      </c>
      <c r="U48" s="41">
        <f>D48/'1. Väestöennuste'!E48*1000</f>
        <v>-4865.7211114219917</v>
      </c>
      <c r="V48" s="41">
        <f>E48/'1. Väestöennuste'!F48*1000</f>
        <v>-4765.7953472401068</v>
      </c>
      <c r="W48" s="41">
        <f>F48/'1. Väestöennuste'!G48*1000</f>
        <v>-4742.9983525535417</v>
      </c>
      <c r="X48" s="41">
        <f>G48/'1. Väestöennuste'!H48*1000</f>
        <v>-5023.6323757096161</v>
      </c>
      <c r="Y48" s="41">
        <f>H48/'1. Väestöennuste'!I48*1000</f>
        <v>-5409.4254357650098</v>
      </c>
      <c r="Z48" s="41">
        <f>I48/'1. Väestöennuste'!J48*1000</f>
        <v>-5634.2107523187906</v>
      </c>
      <c r="AA48" s="41">
        <f>J48/'1. Väestöennuste'!K48*1000</f>
        <v>-5392.0700283703063</v>
      </c>
      <c r="AB48" s="41">
        <f>K48/'1. Väestöennuste'!L48*1000</f>
        <v>-5884.0405859349967</v>
      </c>
      <c r="AC48" s="41">
        <f>L48/'1. Väestöennuste'!M48*1000</f>
        <v>-2088.3858538197478</v>
      </c>
      <c r="AD48" s="41">
        <f>M48/'1. Väestöennuste'!N48*1000</f>
        <v>-2199.6530083692205</v>
      </c>
      <c r="AE48" s="41">
        <f>N48/'1. Väestöennuste'!O48*1000</f>
        <v>-2374.8090375015618</v>
      </c>
      <c r="AF48" s="41">
        <f>O48/'1. Väestöennuste'!P48*1000</f>
        <v>-2454.1558004510084</v>
      </c>
      <c r="AG48" s="41">
        <f>P48/'1. Väestöennuste'!Q48*1000</f>
        <v>-2536.3990868217325</v>
      </c>
      <c r="AH48" s="41">
        <f>Q48/'1. Väestöennuste'!R48*1000</f>
        <v>-2600.8400593284368</v>
      </c>
    </row>
    <row r="49" spans="1:34" customFormat="1" x14ac:dyDescent="0.25">
      <c r="A49" s="99">
        <v>6</v>
      </c>
      <c r="B49" s="30">
        <v>108</v>
      </c>
      <c r="C49" s="47" t="s">
        <v>363</v>
      </c>
      <c r="D49" s="65">
        <v>-54587</v>
      </c>
      <c r="E49" s="157">
        <v>-55074</v>
      </c>
      <c r="F49" s="157">
        <v>-54841</v>
      </c>
      <c r="G49" s="157">
        <v>-53525</v>
      </c>
      <c r="H49" s="43">
        <v>-56051</v>
      </c>
      <c r="I49" s="43">
        <v>-57389</v>
      </c>
      <c r="J49" s="159">
        <v>-60003.337209999998</v>
      </c>
      <c r="K49" s="43">
        <v>-62314.482219999998</v>
      </c>
      <c r="L49" s="43">
        <v>-25648.200659999999</v>
      </c>
      <c r="M49" s="43">
        <f>'2.1. Toimintakatennuste'!AX40</f>
        <v>-25190.741853335228</v>
      </c>
      <c r="N49" s="43">
        <f>$N$6*'2.1. Toimintakatennuste'!AG40</f>
        <v>-28375.017364644598</v>
      </c>
      <c r="O49" s="43">
        <f>$O$6*'2.1. Toimintakatennuste'!AH40</f>
        <v>-29028.038747961116</v>
      </c>
      <c r="P49" s="43">
        <f>P$6*'2.1. Toimintakatennuste'!AI40</f>
        <v>-29836.630674111668</v>
      </c>
      <c r="Q49" s="43">
        <f>Q$6*'2.1. Toimintakatennuste'!AJ40</f>
        <v>-30323.8442728593</v>
      </c>
      <c r="R49" s="117"/>
      <c r="S49" s="34">
        <v>108</v>
      </c>
      <c r="T49" s="88" t="s">
        <v>363</v>
      </c>
      <c r="U49" s="41">
        <f>D49/'1. Väestöennuste'!E49*1000</f>
        <v>-5117.3713321458699</v>
      </c>
      <c r="V49" s="41">
        <f>E49/'1. Väestöennuste'!F49*1000</f>
        <v>-5156.2587772680454</v>
      </c>
      <c r="W49" s="41">
        <f>F49/'1. Väestöennuste'!G49*1000</f>
        <v>-5174.1673742805933</v>
      </c>
      <c r="X49" s="41">
        <f>G49/'1. Väestöennuste'!H49*1000</f>
        <v>-5092.7687916270224</v>
      </c>
      <c r="Y49" s="41">
        <f>H49/'1. Väestöennuste'!I49*1000</f>
        <v>-5387.4471357170323</v>
      </c>
      <c r="Z49" s="41">
        <f>I49/'1. Väestöennuste'!J49*1000</f>
        <v>-5548.0471771075017</v>
      </c>
      <c r="AA49" s="41">
        <f>J49/'1. Väestöennuste'!K49*1000</f>
        <v>-5804.7148311889323</v>
      </c>
      <c r="AB49" s="41">
        <f>K49/'1. Väestöennuste'!L49*1000</f>
        <v>-6075.3126859705562</v>
      </c>
      <c r="AC49" s="41">
        <f>L49/'1. Väestöennuste'!M49*1000</f>
        <v>-2485.531607713926</v>
      </c>
      <c r="AD49" s="41">
        <f>M49/'1. Väestöennuste'!N49*1000</f>
        <v>-2505.2950624898285</v>
      </c>
      <c r="AE49" s="41">
        <f>N49/'1. Väestöennuste'!O49*1000</f>
        <v>-2838.9211970629913</v>
      </c>
      <c r="AF49" s="41">
        <f>O49/'1. Väestöennuste'!P49*1000</f>
        <v>-2919.7383572682675</v>
      </c>
      <c r="AG49" s="41">
        <f>P49/'1. Väestöennuste'!Q49*1000</f>
        <v>-3015.6287319700496</v>
      </c>
      <c r="AH49" s="41">
        <f>Q49/'1. Väestöennuste'!R49*1000</f>
        <v>-3079.5007893631869</v>
      </c>
    </row>
    <row r="50" spans="1:34" customFormat="1" x14ac:dyDescent="0.25">
      <c r="A50" s="99">
        <v>5</v>
      </c>
      <c r="B50" s="30">
        <v>109</v>
      </c>
      <c r="C50" s="47" t="s">
        <v>364</v>
      </c>
      <c r="D50" s="65">
        <v>-350194</v>
      </c>
      <c r="E50" s="157">
        <v>-355203</v>
      </c>
      <c r="F50" s="157">
        <v>-349568</v>
      </c>
      <c r="G50" s="157">
        <v>-356497</v>
      </c>
      <c r="H50" s="43">
        <v>-370118</v>
      </c>
      <c r="I50" s="43">
        <v>-386757</v>
      </c>
      <c r="J50" s="159">
        <v>-397559.36710999999</v>
      </c>
      <c r="K50" s="43">
        <v>-416983.62941000005</v>
      </c>
      <c r="L50" s="43">
        <v>-152337.11121999999</v>
      </c>
      <c r="M50" s="43">
        <f>'2.1. Toimintakatennuste'!AX41</f>
        <v>-156589.07361069374</v>
      </c>
      <c r="N50" s="43">
        <f>$N$6*'2.1. Toimintakatennuste'!AG41</f>
        <v>-172985.35275501458</v>
      </c>
      <c r="O50" s="43">
        <f>$O$6*'2.1. Toimintakatennuste'!AH41</f>
        <v>-178411.13674489121</v>
      </c>
      <c r="P50" s="43">
        <f>P$6*'2.1. Toimintakatennuste'!AI41</f>
        <v>-184118.36365104848</v>
      </c>
      <c r="Q50" s="43">
        <f>Q$6*'2.1. Toimintakatennuste'!AJ41</f>
        <v>-188826.82839936879</v>
      </c>
      <c r="R50" s="117"/>
      <c r="S50" s="34">
        <v>109</v>
      </c>
      <c r="T50" s="88" t="s">
        <v>364</v>
      </c>
      <c r="U50" s="41">
        <f>D50/'1. Väestöennuste'!E50*1000</f>
        <v>-5149.0788254841127</v>
      </c>
      <c r="V50" s="41">
        <f>E50/'1. Väestöennuste'!F50*1000</f>
        <v>-5235.1215917464997</v>
      </c>
      <c r="W50" s="41">
        <f>F50/'1. Väestöennuste'!G50*1000</f>
        <v>-5166.3858591232893</v>
      </c>
      <c r="X50" s="41">
        <f>G50/'1. Väestöennuste'!H50*1000</f>
        <v>-5278.9344310845236</v>
      </c>
      <c r="Y50" s="41">
        <f>H50/'1. Väestöennuste'!I50*1000</f>
        <v>-5472.446882439046</v>
      </c>
      <c r="Z50" s="41">
        <f>I50/'1. Väestöennuste'!J50*1000</f>
        <v>-5700.3448885744601</v>
      </c>
      <c r="AA50" s="41">
        <f>J50/'1. Väestöennuste'!K50*1000</f>
        <v>-5848.955688602492</v>
      </c>
      <c r="AB50" s="41">
        <f>K50/'1. Väestöennuste'!L50*1000</f>
        <v>-6128.236988521965</v>
      </c>
      <c r="AC50" s="41">
        <f>L50/'1. Väestöennuste'!M50*1000</f>
        <v>-2229.7912911488747</v>
      </c>
      <c r="AD50" s="41">
        <f>M50/'1. Väestöennuste'!N50*1000</f>
        <v>-2300.5814091044404</v>
      </c>
      <c r="AE50" s="41">
        <f>N50/'1. Väestöennuste'!O50*1000</f>
        <v>-2540.5397672935023</v>
      </c>
      <c r="AF50" s="41">
        <f>O50/'1. Väestöennuste'!P50*1000</f>
        <v>-2619.4942921624338</v>
      </c>
      <c r="AG50" s="41">
        <f>P50/'1. Väestöennuste'!Q50*1000</f>
        <v>-2702.8532538321856</v>
      </c>
      <c r="AH50" s="41">
        <f>Q50/'1. Väestöennuste'!R50*1000</f>
        <v>-2772.0140988471467</v>
      </c>
    </row>
    <row r="51" spans="1:34" customFormat="1" x14ac:dyDescent="0.25">
      <c r="A51" s="99">
        <v>7</v>
      </c>
      <c r="B51" s="30">
        <v>111</v>
      </c>
      <c r="C51" s="47" t="s">
        <v>365</v>
      </c>
      <c r="D51" s="65">
        <v>-107798</v>
      </c>
      <c r="E51" s="157">
        <v>-108420</v>
      </c>
      <c r="F51" s="157">
        <v>-105396</v>
      </c>
      <c r="G51" s="157">
        <v>-100576</v>
      </c>
      <c r="H51" s="43">
        <v>-107188</v>
      </c>
      <c r="I51" s="43">
        <v>-107039</v>
      </c>
      <c r="J51" s="159">
        <v>-111793.22229000001</v>
      </c>
      <c r="K51" s="43">
        <v>-118458.31372000001</v>
      </c>
      <c r="L51" s="43">
        <v>-41693.095609999997</v>
      </c>
      <c r="M51" s="43">
        <f>'2.1. Toimintakatennuste'!AX42</f>
        <v>-41643.549821864421</v>
      </c>
      <c r="N51" s="43">
        <f>$N$6*'2.1. Toimintakatennuste'!AG42</f>
        <v>-46969.618597588429</v>
      </c>
      <c r="O51" s="43">
        <f>$O$6*'2.1. Toimintakatennuste'!AH42</f>
        <v>-47757.284444121338</v>
      </c>
      <c r="P51" s="43">
        <f>P$6*'2.1. Toimintakatennuste'!AI42</f>
        <v>-48755.013344645384</v>
      </c>
      <c r="Q51" s="43">
        <f>Q$6*'2.1. Toimintakatennuste'!AJ42</f>
        <v>-49560.135044811643</v>
      </c>
      <c r="R51" s="117"/>
      <c r="S51" s="34">
        <v>111</v>
      </c>
      <c r="T51" s="88" t="s">
        <v>365</v>
      </c>
      <c r="U51" s="41">
        <f>D51/'1. Väestöennuste'!E51*1000</f>
        <v>-5506.9220945083007</v>
      </c>
      <c r="V51" s="41">
        <f>E51/'1. Väestöennuste'!F51*1000</f>
        <v>-5603.1007751937987</v>
      </c>
      <c r="W51" s="41">
        <f>F51/'1. Väestöennuste'!G51*1000</f>
        <v>-5510.0376411543284</v>
      </c>
      <c r="X51" s="41">
        <f>G51/'1. Väestöennuste'!H51*1000</f>
        <v>-5324.5804436444496</v>
      </c>
      <c r="Y51" s="41">
        <f>H51/'1. Väestöennuste'!I51*1000</f>
        <v>-5742.1117480044995</v>
      </c>
      <c r="Z51" s="41">
        <f>I51/'1. Väestöennuste'!J51*1000</f>
        <v>-5786.8302968048874</v>
      </c>
      <c r="AA51" s="41">
        <f>J51/'1. Väestöennuste'!K51*1000</f>
        <v>-6094.2663699302229</v>
      </c>
      <c r="AB51" s="41">
        <f>K51/'1. Väestöennuste'!L51*1000</f>
        <v>-6533.468298494292</v>
      </c>
      <c r="AC51" s="41">
        <f>L51/'1. Väestöennuste'!M51*1000</f>
        <v>-2322.3469954882189</v>
      </c>
      <c r="AD51" s="41">
        <f>M51/'1. Väestöennuste'!N51*1000</f>
        <v>-2360.0764988305141</v>
      </c>
      <c r="AE51" s="41">
        <f>N51/'1. Väestöennuste'!O51*1000</f>
        <v>-2689.8189553080078</v>
      </c>
      <c r="AF51" s="41">
        <f>O51/'1. Väestöennuste'!P51*1000</f>
        <v>-2762.1332819040681</v>
      </c>
      <c r="AG51" s="41">
        <f>P51/'1. Väestöennuste'!Q51*1000</f>
        <v>-2846.675620052863</v>
      </c>
      <c r="AH51" s="41">
        <f>Q51/'1. Väestöennuste'!R51*1000</f>
        <v>-2920.8000380016292</v>
      </c>
    </row>
    <row r="52" spans="1:34" customFormat="1" x14ac:dyDescent="0.25">
      <c r="A52" s="99">
        <v>17</v>
      </c>
      <c r="B52" s="30">
        <v>139</v>
      </c>
      <c r="C52" s="47" t="s">
        <v>366</v>
      </c>
      <c r="D52" s="65">
        <v>-54444</v>
      </c>
      <c r="E52" s="157">
        <v>-55390</v>
      </c>
      <c r="F52" s="157">
        <v>-55326</v>
      </c>
      <c r="G52" s="157">
        <v>-58141</v>
      </c>
      <c r="H52" s="43">
        <v>-61055</v>
      </c>
      <c r="I52" s="43">
        <v>-62873</v>
      </c>
      <c r="J52" s="159">
        <v>-64914.928789999991</v>
      </c>
      <c r="K52" s="43">
        <v>-66736.958780000001</v>
      </c>
      <c r="L52" s="43">
        <v>-31311.51341</v>
      </c>
      <c r="M52" s="43">
        <f>'2.1. Toimintakatennuste'!AX43</f>
        <v>-31874.811986752313</v>
      </c>
      <c r="N52" s="43">
        <f>$N$6*'2.1. Toimintakatennuste'!AG43</f>
        <v>-34208.855750803472</v>
      </c>
      <c r="O52" s="43">
        <f>$O$6*'2.1. Toimintakatennuste'!AH43</f>
        <v>-35411.026906121268</v>
      </c>
      <c r="P52" s="43">
        <f>P$6*'2.1. Toimintakatennuste'!AI43</f>
        <v>-36255.461242746795</v>
      </c>
      <c r="Q52" s="43">
        <f>Q$6*'2.1. Toimintakatennuste'!AJ43</f>
        <v>-36901.164795657809</v>
      </c>
      <c r="R52" s="117"/>
      <c r="S52" s="34">
        <v>139</v>
      </c>
      <c r="T52" s="88" t="s">
        <v>366</v>
      </c>
      <c r="U52" s="41">
        <f>D52/'1. Väestöennuste'!E52*1000</f>
        <v>-5634.2750698540822</v>
      </c>
      <c r="V52" s="41">
        <f>E52/'1. Väestöennuste'!F52*1000</f>
        <v>-5753.0120481927706</v>
      </c>
      <c r="W52" s="41">
        <f>F52/'1. Väestöennuste'!G52*1000</f>
        <v>-5551.4750150511736</v>
      </c>
      <c r="X52" s="41">
        <f>G52/'1. Väestöennuste'!H52*1000</f>
        <v>-5895.457310890286</v>
      </c>
      <c r="Y52" s="41">
        <f>H52/'1. Väestöennuste'!I52*1000</f>
        <v>-6202.2551808208045</v>
      </c>
      <c r="Z52" s="41">
        <f>I52/'1. Väestöennuste'!J52*1000</f>
        <v>-6384.3419983753047</v>
      </c>
      <c r="AA52" s="41">
        <f>J52/'1. Väestöennuste'!K52*1000</f>
        <v>-6549.1251805891834</v>
      </c>
      <c r="AB52" s="41">
        <f>K52/'1. Väestöennuste'!L52*1000</f>
        <v>-6773.2628417740789</v>
      </c>
      <c r="AC52" s="41">
        <f>L52/'1. Väestöennuste'!M52*1000</f>
        <v>-3206.1758560311282</v>
      </c>
      <c r="AD52" s="41">
        <f>M52/'1. Väestöennuste'!N52*1000</f>
        <v>-3291.4923571615359</v>
      </c>
      <c r="AE52" s="41">
        <f>N52/'1. Väestöennuste'!O52*1000</f>
        <v>-3548.2684110365599</v>
      </c>
      <c r="AF52" s="41">
        <f>O52/'1. Väestöennuste'!P52*1000</f>
        <v>-3689.8016990852625</v>
      </c>
      <c r="AG52" s="41">
        <f>P52/'1. Väestöennuste'!Q52*1000</f>
        <v>-3795.9858907702642</v>
      </c>
      <c r="AH52" s="41">
        <f>Q52/'1. Väestöennuste'!R52*1000</f>
        <v>-3881.4731035718742</v>
      </c>
    </row>
    <row r="53" spans="1:34" customFormat="1" x14ac:dyDescent="0.25">
      <c r="A53" s="99">
        <v>11</v>
      </c>
      <c r="B53" s="30">
        <v>140</v>
      </c>
      <c r="C53" s="47" t="s">
        <v>367</v>
      </c>
      <c r="D53" s="65">
        <v>-115230</v>
      </c>
      <c r="E53" s="157">
        <v>-116827</v>
      </c>
      <c r="F53" s="157">
        <v>-116929</v>
      </c>
      <c r="G53" s="157">
        <v>-118020</v>
      </c>
      <c r="H53" s="43">
        <v>-125064</v>
      </c>
      <c r="I53" s="43">
        <v>-127157</v>
      </c>
      <c r="J53" s="159">
        <v>-130438.57421000001</v>
      </c>
      <c r="K53" s="43">
        <v>-136494.35515000002</v>
      </c>
      <c r="L53" s="43">
        <v>-53189.577669999999</v>
      </c>
      <c r="M53" s="43">
        <f>'2.1. Toimintakatennuste'!AX44</f>
        <v>-53629.154811938017</v>
      </c>
      <c r="N53" s="43">
        <f>$N$6*'2.1. Toimintakatennuste'!AG44</f>
        <v>-60130.128764227462</v>
      </c>
      <c r="O53" s="43">
        <f>$O$6*'2.1. Toimintakatennuste'!AH44</f>
        <v>-61556.440182264079</v>
      </c>
      <c r="P53" s="43">
        <f>P$6*'2.1. Toimintakatennuste'!AI44</f>
        <v>-63171.856980671699</v>
      </c>
      <c r="Q53" s="43">
        <f>Q$6*'2.1. Toimintakatennuste'!AJ44</f>
        <v>-64167.805241174108</v>
      </c>
      <c r="R53" s="117"/>
      <c r="S53" s="34">
        <v>140</v>
      </c>
      <c r="T53" s="88" t="s">
        <v>367</v>
      </c>
      <c r="U53" s="41">
        <f>D53/'1. Väestöennuste'!E53*1000</f>
        <v>-5250.8544087491464</v>
      </c>
      <c r="V53" s="41">
        <f>E53/'1. Väestöennuste'!F53*1000</f>
        <v>-5367.1612992144073</v>
      </c>
      <c r="W53" s="41">
        <f>F53/'1. Väestöennuste'!G53*1000</f>
        <v>-5403.6230879430659</v>
      </c>
      <c r="X53" s="41">
        <f>G53/'1. Väestöennuste'!H53*1000</f>
        <v>-5496.4605067064085</v>
      </c>
      <c r="Y53" s="41">
        <f>H53/'1. Väestöennuste'!I53*1000</f>
        <v>-5852.8640958442529</v>
      </c>
      <c r="Z53" s="41">
        <f>I53/'1. Väestöennuste'!J53*1000</f>
        <v>-6019.5512213595912</v>
      </c>
      <c r="AA53" s="41">
        <f>J53/'1. Väestöennuste'!K53*1000</f>
        <v>-6223.8082932531725</v>
      </c>
      <c r="AB53" s="41">
        <f>K53/'1. Väestöennuste'!L53*1000</f>
        <v>-6561.9131363876741</v>
      </c>
      <c r="AC53" s="41">
        <f>L53/'1. Väestöennuste'!M53*1000</f>
        <v>-2579.7641706276072</v>
      </c>
      <c r="AD53" s="41">
        <f>M53/'1. Väestöennuste'!N53*1000</f>
        <v>-2621.4270609022396</v>
      </c>
      <c r="AE53" s="41">
        <f>N53/'1. Väestöennuste'!O53*1000</f>
        <v>-2962.6590837715539</v>
      </c>
      <c r="AF53" s="41">
        <f>O53/'1. Väestöennuste'!P53*1000</f>
        <v>-3057.0341767115651</v>
      </c>
      <c r="AG53" s="41">
        <f>P53/'1. Väestöennuste'!Q53*1000</f>
        <v>-3162.2294128583717</v>
      </c>
      <c r="AH53" s="41">
        <f>Q53/'1. Väestöennuste'!R53*1000</f>
        <v>-3237.364675908083</v>
      </c>
    </row>
    <row r="54" spans="1:34" customFormat="1" x14ac:dyDescent="0.25">
      <c r="A54" s="99">
        <v>7</v>
      </c>
      <c r="B54" s="30">
        <v>142</v>
      </c>
      <c r="C54" s="47" t="s">
        <v>368</v>
      </c>
      <c r="D54" s="65">
        <v>-36368</v>
      </c>
      <c r="E54" s="157">
        <v>-38283</v>
      </c>
      <c r="F54" s="157">
        <v>-38081</v>
      </c>
      <c r="G54" s="157">
        <v>-37865</v>
      </c>
      <c r="H54" s="43">
        <v>-41001</v>
      </c>
      <c r="I54" s="43">
        <v>-38537</v>
      </c>
      <c r="J54" s="159">
        <v>-39754.258110000002</v>
      </c>
      <c r="K54" s="43">
        <v>-41975.909879999999</v>
      </c>
      <c r="L54" s="43">
        <v>-16467.14704</v>
      </c>
      <c r="M54" s="43">
        <f>'2.1. Toimintakatennuste'!AX45</f>
        <v>-16990.607775603032</v>
      </c>
      <c r="N54" s="43">
        <f>$N$6*'2.1. Toimintakatennuste'!AG45</f>
        <v>-18440.40073535328</v>
      </c>
      <c r="O54" s="43">
        <f>$O$6*'2.1. Toimintakatennuste'!AH45</f>
        <v>-18945.481080914356</v>
      </c>
      <c r="P54" s="43">
        <f>P$6*'2.1. Toimintakatennuste'!AI45</f>
        <v>-19568.60401322805</v>
      </c>
      <c r="Q54" s="43">
        <f>Q$6*'2.1. Toimintakatennuste'!AJ45</f>
        <v>-20039.773844743988</v>
      </c>
      <c r="R54" s="117"/>
      <c r="S54" s="34">
        <v>142</v>
      </c>
      <c r="T54" s="88" t="s">
        <v>368</v>
      </c>
      <c r="U54" s="41">
        <f>D54/'1. Väestöennuste'!E54*1000</f>
        <v>-5263.0969609261938</v>
      </c>
      <c r="V54" s="41">
        <f>E54/'1. Väestöennuste'!F54*1000</f>
        <v>-5557.1200464508638</v>
      </c>
      <c r="W54" s="41">
        <f>F54/'1. Väestöennuste'!G54*1000</f>
        <v>-5583.7243401759533</v>
      </c>
      <c r="X54" s="41">
        <f>G54/'1. Väestöennuste'!H54*1000</f>
        <v>-5597.1914264597199</v>
      </c>
      <c r="Y54" s="41">
        <f>H54/'1. Väestöennuste'!I54*1000</f>
        <v>-6109.5216808225296</v>
      </c>
      <c r="Z54" s="41">
        <f>I54/'1. Väestöennuste'!J54*1000</f>
        <v>-5816.9056603773588</v>
      </c>
      <c r="AA54" s="41">
        <f>J54/'1. Väestöennuste'!K54*1000</f>
        <v>-6061.024258271078</v>
      </c>
      <c r="AB54" s="41">
        <f>K54/'1. Väestöennuste'!L54*1000</f>
        <v>-6453.8606826568266</v>
      </c>
      <c r="AC54" s="41">
        <f>L54/'1. Väestöennuste'!M54*1000</f>
        <v>-2555.4231905648662</v>
      </c>
      <c r="AD54" s="41">
        <f>M54/'1. Väestöennuste'!N54*1000</f>
        <v>-2651.0544196603264</v>
      </c>
      <c r="AE54" s="41">
        <f>N54/'1. Väestöennuste'!O54*1000</f>
        <v>-2901.7153006063381</v>
      </c>
      <c r="AF54" s="41">
        <f>O54/'1. Väestöennuste'!P54*1000</f>
        <v>-3004.8344299626256</v>
      </c>
      <c r="AG54" s="41">
        <f>P54/'1. Väestöennuste'!Q54*1000</f>
        <v>-3127.9737872806986</v>
      </c>
      <c r="AH54" s="41">
        <f>Q54/'1. Väestöennuste'!R54*1000</f>
        <v>-3228.0563538569568</v>
      </c>
    </row>
    <row r="55" spans="1:34" customFormat="1" x14ac:dyDescent="0.25">
      <c r="A55" s="99">
        <v>6</v>
      </c>
      <c r="B55" s="30">
        <v>143</v>
      </c>
      <c r="C55" s="47" t="s">
        <v>369</v>
      </c>
      <c r="D55" s="65">
        <v>-40399</v>
      </c>
      <c r="E55" s="157">
        <v>-40889</v>
      </c>
      <c r="F55" s="157">
        <v>-41949</v>
      </c>
      <c r="G55" s="157">
        <v>-42255</v>
      </c>
      <c r="H55" s="43">
        <v>-42328</v>
      </c>
      <c r="I55" s="43">
        <v>-40945</v>
      </c>
      <c r="J55" s="159">
        <v>-42975.351630000005</v>
      </c>
      <c r="K55" s="43">
        <v>-46294.114999999998</v>
      </c>
      <c r="L55" s="43">
        <v>-17272.197479999999</v>
      </c>
      <c r="M55" s="43">
        <f>'2.1. Toimintakatennuste'!AX46</f>
        <v>-16432.334113730365</v>
      </c>
      <c r="N55" s="43">
        <f>$N$6*'2.1. Toimintakatennuste'!AG46</f>
        <v>-19019.879982902559</v>
      </c>
      <c r="O55" s="43">
        <f>$O$6*'2.1. Toimintakatennuste'!AH46</f>
        <v>-19541.266435892445</v>
      </c>
      <c r="P55" s="43">
        <f>P$6*'2.1. Toimintakatennuste'!AI46</f>
        <v>-19813.150337690669</v>
      </c>
      <c r="Q55" s="43">
        <f>Q$6*'2.1. Toimintakatennuste'!AJ46</f>
        <v>-20062.999383779072</v>
      </c>
      <c r="R55" s="117"/>
      <c r="S55" s="34">
        <v>143</v>
      </c>
      <c r="T55" s="88" t="s">
        <v>369</v>
      </c>
      <c r="U55" s="41">
        <f>D55/'1. Väestöennuste'!E55*1000</f>
        <v>-5605.5224087692523</v>
      </c>
      <c r="V55" s="41">
        <f>E55/'1. Väestöennuste'!F55*1000</f>
        <v>-5736.3916947250282</v>
      </c>
      <c r="W55" s="41">
        <f>F55/'1. Väestöennuste'!G55*1000</f>
        <v>-5892.5410872313523</v>
      </c>
      <c r="X55" s="41">
        <f>G55/'1. Väestöennuste'!H55*1000</f>
        <v>-6033.8426388690559</v>
      </c>
      <c r="Y55" s="41">
        <f>H55/'1. Väestöennuste'!I55*1000</f>
        <v>-6097.378277153558</v>
      </c>
      <c r="Z55" s="41">
        <f>I55/'1. Väestöennuste'!J55*1000</f>
        <v>-5963.4430527235654</v>
      </c>
      <c r="AA55" s="41">
        <f>J55/'1. Väestöennuste'!K55*1000</f>
        <v>-6249.1423047840635</v>
      </c>
      <c r="AB55" s="41">
        <f>K55/'1. Väestöennuste'!L55*1000</f>
        <v>-6803.9557613168718</v>
      </c>
      <c r="AC55" s="41">
        <f>L55/'1. Väestöennuste'!M55*1000</f>
        <v>-2521.4886832116786</v>
      </c>
      <c r="AD55" s="41">
        <f>M55/'1. Väestöennuste'!N55*1000</f>
        <v>-2474.7491135136092</v>
      </c>
      <c r="AE55" s="41">
        <f>N55/'1. Väestöennuste'!O55*1000</f>
        <v>-2886.1729867833928</v>
      </c>
      <c r="AF55" s="41">
        <f>O55/'1. Väestöennuste'!P55*1000</f>
        <v>-2986.5912327514056</v>
      </c>
      <c r="AG55" s="41">
        <f>P55/'1. Väestöennuste'!Q55*1000</f>
        <v>-3049.5844755565136</v>
      </c>
      <c r="AH55" s="41">
        <f>Q55/'1. Väestöennuste'!R55*1000</f>
        <v>-3109.0964487492752</v>
      </c>
    </row>
    <row r="56" spans="1:34" customFormat="1" x14ac:dyDescent="0.25">
      <c r="A56" s="99">
        <v>14</v>
      </c>
      <c r="B56" s="30">
        <v>145</v>
      </c>
      <c r="C56" s="47" t="s">
        <v>370</v>
      </c>
      <c r="D56" s="65">
        <v>-62624</v>
      </c>
      <c r="E56" s="157">
        <v>-62422</v>
      </c>
      <c r="F56" s="157">
        <v>-63283</v>
      </c>
      <c r="G56" s="157">
        <v>-65551</v>
      </c>
      <c r="H56" s="43">
        <v>-70749</v>
      </c>
      <c r="I56" s="43">
        <v>-72465</v>
      </c>
      <c r="J56" s="159">
        <v>-75238.595840000009</v>
      </c>
      <c r="K56" s="43">
        <v>-81100.350040000005</v>
      </c>
      <c r="L56" s="43">
        <v>-34749.717859999997</v>
      </c>
      <c r="M56" s="43">
        <f>'2.1. Toimintakatennuste'!AX47</f>
        <v>-33004.649770462944</v>
      </c>
      <c r="N56" s="43">
        <f>$N$6*'2.1. Toimintakatennuste'!AG47</f>
        <v>-39025.805165529164</v>
      </c>
      <c r="O56" s="43">
        <f>$O$6*'2.1. Toimintakatennuste'!AH47</f>
        <v>-40346.334494712122</v>
      </c>
      <c r="P56" s="43">
        <f>P$6*'2.1. Toimintakatennuste'!AI47</f>
        <v>-41834.454381861578</v>
      </c>
      <c r="Q56" s="43">
        <f>Q$6*'2.1. Toimintakatennuste'!AJ47</f>
        <v>-43294.649208007329</v>
      </c>
      <c r="R56" s="117"/>
      <c r="S56" s="34">
        <v>145</v>
      </c>
      <c r="T56" s="88" t="s">
        <v>370</v>
      </c>
      <c r="U56" s="41">
        <f>D56/'1. Väestöennuste'!E56*1000</f>
        <v>-5150.4235545686315</v>
      </c>
      <c r="V56" s="41">
        <f>E56/'1. Väestöennuste'!F56*1000</f>
        <v>-5130.4347826086951</v>
      </c>
      <c r="W56" s="41">
        <f>F56/'1. Väestöennuste'!G56*1000</f>
        <v>-5185.0061450225312</v>
      </c>
      <c r="X56" s="41">
        <f>G56/'1. Väestöennuste'!H56*1000</f>
        <v>-5378.7642569951586</v>
      </c>
      <c r="Y56" s="41">
        <f>H56/'1. Väestöennuste'!I56*1000</f>
        <v>-5766.4846360746596</v>
      </c>
      <c r="Z56" s="41">
        <f>I56/'1. Väestöennuste'!J56*1000</f>
        <v>-5894.3387018057583</v>
      </c>
      <c r="AA56" s="41">
        <f>J56/'1. Väestöennuste'!K56*1000</f>
        <v>-6084.3114863334958</v>
      </c>
      <c r="AB56" s="41">
        <f>K56/'1. Väestöennuste'!L56*1000</f>
        <v>-6556.742666343278</v>
      </c>
      <c r="AC56" s="41">
        <f>L56/'1. Väestöennuste'!M56*1000</f>
        <v>-2815.3380750222796</v>
      </c>
      <c r="AD56" s="41">
        <f>M56/'1. Väestöennuste'!N56*1000</f>
        <v>-2653.7468658408734</v>
      </c>
      <c r="AE56" s="41">
        <f>N56/'1. Väestöennuste'!O56*1000</f>
        <v>-3133.0929002512175</v>
      </c>
      <c r="AF56" s="41">
        <f>O56/'1. Väestöennuste'!P56*1000</f>
        <v>-3235.7313733829596</v>
      </c>
      <c r="AG56" s="41">
        <f>P56/'1. Väestöennuste'!Q56*1000</f>
        <v>-3352.9257338993007</v>
      </c>
      <c r="AH56" s="41">
        <f>Q56/'1. Väestöennuste'!R56*1000</f>
        <v>-3469.9566568892628</v>
      </c>
    </row>
    <row r="57" spans="1:34" customFormat="1" x14ac:dyDescent="0.25">
      <c r="A57" s="99">
        <v>12</v>
      </c>
      <c r="B57" s="30">
        <v>146</v>
      </c>
      <c r="C57" s="47" t="s">
        <v>371</v>
      </c>
      <c r="D57" s="65">
        <v>-38965</v>
      </c>
      <c r="E57" s="157">
        <v>-38045</v>
      </c>
      <c r="F57" s="157">
        <v>-37821</v>
      </c>
      <c r="G57" s="157">
        <v>-37556</v>
      </c>
      <c r="H57" s="43">
        <v>-38269</v>
      </c>
      <c r="I57" s="43">
        <v>-36236</v>
      </c>
      <c r="J57" s="159">
        <v>-37935.86995</v>
      </c>
      <c r="K57" s="43">
        <v>-40290.01743</v>
      </c>
      <c r="L57" s="43">
        <v>-12579.49418</v>
      </c>
      <c r="M57" s="43">
        <f>'2.1. Toimintakatennuste'!AX48</f>
        <v>-13133.088795145031</v>
      </c>
      <c r="N57" s="43">
        <f>$N$6*'2.1. Toimintakatennuste'!AG48</f>
        <v>-14600.224697531066</v>
      </c>
      <c r="O57" s="43">
        <f>$O$6*'2.1. Toimintakatennuste'!AH48</f>
        <v>-15132.710592495794</v>
      </c>
      <c r="P57" s="43">
        <f>P$6*'2.1. Toimintakatennuste'!AI48</f>
        <v>-15647.865496508202</v>
      </c>
      <c r="Q57" s="43">
        <f>Q$6*'2.1. Toimintakatennuste'!AJ48</f>
        <v>-16122.661538928214</v>
      </c>
      <c r="R57" s="117"/>
      <c r="S57" s="34">
        <v>146</v>
      </c>
      <c r="T57" s="88" t="s">
        <v>371</v>
      </c>
      <c r="U57" s="41">
        <f>D57/'1. Väestöennuste'!E57*1000</f>
        <v>-7302.2863568215889</v>
      </c>
      <c r="V57" s="41">
        <f>E57/'1. Väestöennuste'!F57*1000</f>
        <v>-7264.655337025014</v>
      </c>
      <c r="W57" s="41">
        <f>F57/'1. Väestöennuste'!G57*1000</f>
        <v>-7375.3900156006239</v>
      </c>
      <c r="X57" s="41">
        <f>G57/'1. Väestöennuste'!H57*1000</f>
        <v>-7551.9806957570881</v>
      </c>
      <c r="Y57" s="41">
        <f>H57/'1. Väestöennuste'!I57*1000</f>
        <v>-7879.1435042207122</v>
      </c>
      <c r="Z57" s="41">
        <f>I57/'1. Väestöennuste'!J57*1000</f>
        <v>-7630.2379448304901</v>
      </c>
      <c r="AA57" s="41">
        <f>J57/'1. Väestöennuste'!K57*1000</f>
        <v>-8170.5513568813258</v>
      </c>
      <c r="AB57" s="41">
        <f>K57/'1. Väestöennuste'!L57*1000</f>
        <v>-8969.2825979519148</v>
      </c>
      <c r="AC57" s="41">
        <f>L57/'1. Väestöennuste'!M57*1000</f>
        <v>-2855.0826554698137</v>
      </c>
      <c r="AD57" s="41">
        <f>M57/'1. Väestöennuste'!N57*1000</f>
        <v>-3017.7134180020753</v>
      </c>
      <c r="AE57" s="41">
        <f>N57/'1. Väestöennuste'!O57*1000</f>
        <v>-3419.2563694452147</v>
      </c>
      <c r="AF57" s="41">
        <f>O57/'1. Väestöennuste'!P57*1000</f>
        <v>-3610.7636822943909</v>
      </c>
      <c r="AG57" s="41">
        <f>P57/'1. Väestöennuste'!Q57*1000</f>
        <v>-3802.6404608768412</v>
      </c>
      <c r="AH57" s="41">
        <f>Q57/'1. Väestöennuste'!R57*1000</f>
        <v>-3988.783161535926</v>
      </c>
    </row>
    <row r="58" spans="1:34" customFormat="1" x14ac:dyDescent="0.25">
      <c r="A58" s="99">
        <v>19</v>
      </c>
      <c r="B58" s="30">
        <v>148</v>
      </c>
      <c r="C58" s="47" t="s">
        <v>372</v>
      </c>
      <c r="D58" s="65">
        <v>-45459</v>
      </c>
      <c r="E58" s="157">
        <v>-46906</v>
      </c>
      <c r="F58" s="157">
        <v>-45904</v>
      </c>
      <c r="G58" s="157">
        <v>-48546</v>
      </c>
      <c r="H58" s="43">
        <v>-49538</v>
      </c>
      <c r="I58" s="43">
        <v>-50200</v>
      </c>
      <c r="J58" s="159">
        <v>-51114.401740000001</v>
      </c>
      <c r="K58" s="43">
        <v>-55751.898569999998</v>
      </c>
      <c r="L58" s="43">
        <v>-24991.435659999999</v>
      </c>
      <c r="M58" s="43">
        <f>'2.1. Toimintakatennuste'!AX49</f>
        <v>-25938.093261925042</v>
      </c>
      <c r="N58" s="43">
        <f>$N$6*'2.1. Toimintakatennuste'!AG49</f>
        <v>-28187.8685126362</v>
      </c>
      <c r="O58" s="43">
        <f>$O$6*'2.1. Toimintakatennuste'!AH49</f>
        <v>-28956.229180459537</v>
      </c>
      <c r="P58" s="43">
        <f>P$6*'2.1. Toimintakatennuste'!AI49</f>
        <v>-29821.155461937684</v>
      </c>
      <c r="Q58" s="43">
        <f>Q$6*'2.1. Toimintakatennuste'!AJ49</f>
        <v>-30675.376718679036</v>
      </c>
      <c r="R58" s="117"/>
      <c r="S58" s="34">
        <v>148</v>
      </c>
      <c r="T58" s="88" t="s">
        <v>372</v>
      </c>
      <c r="U58" s="41">
        <f>D58/'1. Väestöennuste'!E58*1000</f>
        <v>-6681.2169312169308</v>
      </c>
      <c r="V58" s="41">
        <f>E58/'1. Väestöennuste'!F58*1000</f>
        <v>-6872.6739926739929</v>
      </c>
      <c r="W58" s="41">
        <f>F58/'1. Väestöennuste'!G58*1000</f>
        <v>-6682.777696899112</v>
      </c>
      <c r="X58" s="41">
        <f>G58/'1. Väestöennuste'!H58*1000</f>
        <v>-7005.1948051948057</v>
      </c>
      <c r="Y58" s="41">
        <f>H58/'1. Väestöennuste'!I58*1000</f>
        <v>-7172.1442015346747</v>
      </c>
      <c r="Z58" s="41">
        <f>I58/'1. Väestöennuste'!J58*1000</f>
        <v>-7315.6514135820462</v>
      </c>
      <c r="AA58" s="41">
        <f>J58/'1. Väestöennuste'!K58*1000</f>
        <v>-7293.7217094748858</v>
      </c>
      <c r="AB58" s="41">
        <f>K58/'1. Väestöennuste'!L58*1000</f>
        <v>-7911.4372882077478</v>
      </c>
      <c r="AC58" s="41">
        <f>L58/'1. Väestöennuste'!M58*1000</f>
        <v>-3506.5856124596603</v>
      </c>
      <c r="AD58" s="41">
        <f>M58/'1. Väestöennuste'!N58*1000</f>
        <v>-3763.5074378881372</v>
      </c>
      <c r="AE58" s="41">
        <f>N58/'1. Väestöennuste'!O58*1000</f>
        <v>-4085.1983351646668</v>
      </c>
      <c r="AF58" s="41">
        <f>O58/'1. Väestöennuste'!P58*1000</f>
        <v>-4192.9089459107354</v>
      </c>
      <c r="AG58" s="41">
        <f>P58/'1. Väestöennuste'!Q58*1000</f>
        <v>-4313.7791786399075</v>
      </c>
      <c r="AH58" s="41">
        <f>Q58/'1. Väestöennuste'!R58*1000</f>
        <v>-4432.8579073235596</v>
      </c>
    </row>
    <row r="59" spans="1:34" customFormat="1" x14ac:dyDescent="0.25">
      <c r="A59" s="99">
        <v>1</v>
      </c>
      <c r="B59" s="30">
        <v>149</v>
      </c>
      <c r="C59" s="47" t="s">
        <v>373</v>
      </c>
      <c r="D59" s="65">
        <v>-29022</v>
      </c>
      <c r="E59" s="157">
        <v>-29630</v>
      </c>
      <c r="F59" s="157">
        <v>-29610</v>
      </c>
      <c r="G59" s="157">
        <v>-30083</v>
      </c>
      <c r="H59" s="43">
        <v>-32188</v>
      </c>
      <c r="I59" s="43">
        <v>-30865</v>
      </c>
      <c r="J59" s="159">
        <v>-30814.293710000002</v>
      </c>
      <c r="K59" s="43">
        <v>-34686.589070000002</v>
      </c>
      <c r="L59" s="43">
        <v>-15659.238890000001</v>
      </c>
      <c r="M59" s="43">
        <f>'2.1. Toimintakatennuste'!AX50</f>
        <v>-15988.003184608428</v>
      </c>
      <c r="N59" s="43">
        <f>$N$6*'2.1. Toimintakatennuste'!AG50</f>
        <v>-16700.291275954274</v>
      </c>
      <c r="O59" s="43">
        <f>$O$6*'2.1. Toimintakatennuste'!AH50</f>
        <v>-16985.038781690677</v>
      </c>
      <c r="P59" s="43">
        <f>P$6*'2.1. Toimintakatennuste'!AI50</f>
        <v>-17119.353113381036</v>
      </c>
      <c r="Q59" s="43">
        <f>Q$6*'2.1. Toimintakatennuste'!AJ50</f>
        <v>-17415.509780924775</v>
      </c>
      <c r="R59" s="117"/>
      <c r="S59" s="34">
        <v>149</v>
      </c>
      <c r="T59" s="88" t="s">
        <v>373</v>
      </c>
      <c r="U59" s="41">
        <f>D59/'1. Väestöennuste'!E59*1000</f>
        <v>-5237.6827287493234</v>
      </c>
      <c r="V59" s="41">
        <f>E59/'1. Väestöennuste'!F59*1000</f>
        <v>-5305.2820053715304</v>
      </c>
      <c r="W59" s="41">
        <f>F59/'1. Väestöennuste'!G59*1000</f>
        <v>-5402.2988505747126</v>
      </c>
      <c r="X59" s="41">
        <f>G59/'1. Väestöennuste'!H59*1000</f>
        <v>-5567.8326855450678</v>
      </c>
      <c r="Y59" s="41">
        <f>H59/'1. Väestöennuste'!I59*1000</f>
        <v>-5976.2346825102113</v>
      </c>
      <c r="Z59" s="41">
        <f>I59/'1. Väestöennuste'!J59*1000</f>
        <v>-5800.6013907160304</v>
      </c>
      <c r="AA59" s="41">
        <f>J59/'1. Väestöennuste'!K59*1000</f>
        <v>-5756.4531496357185</v>
      </c>
      <c r="AB59" s="41">
        <f>K59/'1. Väestöennuste'!L59*1000</f>
        <v>-6442.5314023031206</v>
      </c>
      <c r="AC59" s="41">
        <f>L59/'1. Väestöennuste'!M59*1000</f>
        <v>-2911.1803104666296</v>
      </c>
      <c r="AD59" s="41">
        <f>M59/'1. Väestöennuste'!N59*1000</f>
        <v>-3084.1055525865027</v>
      </c>
      <c r="AE59" s="41">
        <f>N59/'1. Väestöennuste'!O59*1000</f>
        <v>-3235.863452035318</v>
      </c>
      <c r="AF59" s="41">
        <f>O59/'1. Väestöennuste'!P59*1000</f>
        <v>-3306.4120657369431</v>
      </c>
      <c r="AG59" s="41">
        <f>P59/'1. Väestöennuste'!Q59*1000</f>
        <v>-3346.2379033192015</v>
      </c>
      <c r="AH59" s="41">
        <f>Q59/'1. Väestöennuste'!R59*1000</f>
        <v>-3417.4862207466199</v>
      </c>
    </row>
    <row r="60" spans="1:34" customFormat="1" x14ac:dyDescent="0.25">
      <c r="A60" s="99">
        <v>14</v>
      </c>
      <c r="B60" s="30">
        <v>151</v>
      </c>
      <c r="C60" s="47" t="s">
        <v>374</v>
      </c>
      <c r="D60" s="65">
        <v>-13948</v>
      </c>
      <c r="E60" s="157">
        <v>-13483</v>
      </c>
      <c r="F60" s="157">
        <v>-13750</v>
      </c>
      <c r="G60" s="157">
        <v>-13972</v>
      </c>
      <c r="H60" s="43">
        <v>-13857</v>
      </c>
      <c r="I60" s="43">
        <v>-13191</v>
      </c>
      <c r="J60" s="159">
        <v>-14295.413909999999</v>
      </c>
      <c r="K60" s="43">
        <v>-14959.299060000001</v>
      </c>
      <c r="L60" s="43">
        <v>-4478.7647300000008</v>
      </c>
      <c r="M60" s="43">
        <f>'2.1. Toimintakatennuste'!AX51</f>
        <v>-4997.5468639055189</v>
      </c>
      <c r="N60" s="43">
        <f>$N$6*'2.1. Toimintakatennuste'!AG51</f>
        <v>-5074.2257190401997</v>
      </c>
      <c r="O60" s="43">
        <f>$O$6*'2.1. Toimintakatennuste'!AH51</f>
        <v>-5216.5029391340622</v>
      </c>
      <c r="P60" s="43">
        <f>P$6*'2.1. Toimintakatennuste'!AI51</f>
        <v>-5408.715153983263</v>
      </c>
      <c r="Q60" s="43">
        <f>Q$6*'2.1. Toimintakatennuste'!AJ51</f>
        <v>-5593.7518539278581</v>
      </c>
      <c r="R60" s="117"/>
      <c r="S60" s="34">
        <v>151</v>
      </c>
      <c r="T60" s="88" t="s">
        <v>374</v>
      </c>
      <c r="U60" s="41">
        <f>D60/'1. Väestöennuste'!E60*1000</f>
        <v>-6569.9481865284979</v>
      </c>
      <c r="V60" s="41">
        <f>E60/'1. Väestöennuste'!F60*1000</f>
        <v>-6485.3294853294856</v>
      </c>
      <c r="W60" s="41">
        <f>F60/'1. Väestöennuste'!G60*1000</f>
        <v>-6766.7322834645665</v>
      </c>
      <c r="X60" s="41">
        <f>G60/'1. Väestöennuste'!H60*1000</f>
        <v>-7070.8502024291502</v>
      </c>
      <c r="Y60" s="41">
        <f>H60/'1. Väestöennuste'!I60*1000</f>
        <v>-7102.5115325474117</v>
      </c>
      <c r="Z60" s="41">
        <f>I60/'1. Väestöennuste'!J60*1000</f>
        <v>-6852.4675324675318</v>
      </c>
      <c r="AA60" s="41">
        <f>J60/'1. Väestöennuste'!K60*1000</f>
        <v>-7559.7112162876783</v>
      </c>
      <c r="AB60" s="41">
        <f>K60/'1. Väestöennuste'!L60*1000</f>
        <v>-8077.37530237581</v>
      </c>
      <c r="AC60" s="41">
        <f>L60/'1. Väestöennuste'!M60*1000</f>
        <v>-2468.9992998897469</v>
      </c>
      <c r="AD60" s="41">
        <f>M60/'1. Väestöennuste'!N60*1000</f>
        <v>-2782.5984765620929</v>
      </c>
      <c r="AE60" s="41">
        <f>N60/'1. Väestöennuste'!O60*1000</f>
        <v>-2866.7941915481356</v>
      </c>
      <c r="AF60" s="41">
        <f>O60/'1. Väestöennuste'!P60*1000</f>
        <v>-2989.3999651198064</v>
      </c>
      <c r="AG60" s="41">
        <f>P60/'1. Väestöennuste'!Q60*1000</f>
        <v>-3135.4870457873985</v>
      </c>
      <c r="AH60" s="41">
        <f>Q60/'1. Väestöennuste'!R60*1000</f>
        <v>-3282.718224136067</v>
      </c>
    </row>
    <row r="61" spans="1:34" customFormat="1" x14ac:dyDescent="0.25">
      <c r="A61" s="99">
        <v>14</v>
      </c>
      <c r="B61" s="30">
        <v>152</v>
      </c>
      <c r="C61" s="47" t="s">
        <v>375</v>
      </c>
      <c r="D61" s="65">
        <v>-25534</v>
      </c>
      <c r="E61" s="157">
        <v>-25388</v>
      </c>
      <c r="F61" s="157">
        <v>-25616</v>
      </c>
      <c r="G61" s="157">
        <v>-25109</v>
      </c>
      <c r="H61" s="43">
        <v>-27281</v>
      </c>
      <c r="I61" s="43">
        <v>-27516</v>
      </c>
      <c r="J61" s="159">
        <v>-29537.988439999997</v>
      </c>
      <c r="K61" s="43">
        <v>-29148.096420000002</v>
      </c>
      <c r="L61" s="43">
        <v>-10953.48619</v>
      </c>
      <c r="M61" s="43">
        <f>'2.1. Toimintakatennuste'!AX52</f>
        <v>-11297.827131234331</v>
      </c>
      <c r="N61" s="43">
        <f>$N$6*'2.1. Toimintakatennuste'!AG52</f>
        <v>-12422.864155807296</v>
      </c>
      <c r="O61" s="43">
        <f>$O$6*'2.1. Toimintakatennuste'!AH52</f>
        <v>-12879.111560905118</v>
      </c>
      <c r="P61" s="43">
        <f>P$6*'2.1. Toimintakatennuste'!AI52</f>
        <v>-13287.613969070433</v>
      </c>
      <c r="Q61" s="43">
        <f>Q$6*'2.1. Toimintakatennuste'!AJ52</f>
        <v>-13601.656914693242</v>
      </c>
      <c r="R61" s="117"/>
      <c r="S61" s="34">
        <v>152</v>
      </c>
      <c r="T61" s="88" t="s">
        <v>375</v>
      </c>
      <c r="U61" s="41">
        <f>D61/'1. Väestöennuste'!E61*1000</f>
        <v>-5336.2591431556948</v>
      </c>
      <c r="V61" s="41">
        <f>E61/'1. Väestöennuste'!F61*1000</f>
        <v>-5387.9456706281835</v>
      </c>
      <c r="W61" s="41">
        <f>F61/'1. Väestöennuste'!G61*1000</f>
        <v>-5481.7034025251442</v>
      </c>
      <c r="X61" s="41">
        <f>G61/'1. Väestöennuste'!H61*1000</f>
        <v>-5457.2918930667238</v>
      </c>
      <c r="Y61" s="41">
        <f>H61/'1. Väestöennuste'!I61*1000</f>
        <v>-6032.9500221141088</v>
      </c>
      <c r="Z61" s="41">
        <f>I61/'1. Väestöennuste'!J61*1000</f>
        <v>-6154.3278908521588</v>
      </c>
      <c r="AA61" s="41">
        <f>J61/'1. Väestöennuste'!K61*1000</f>
        <v>-6593.3009910714281</v>
      </c>
      <c r="AB61" s="41">
        <f>K61/'1. Väestöennuste'!L61*1000</f>
        <v>-6615.5461688606447</v>
      </c>
      <c r="AC61" s="41">
        <f>L61/'1. Väestöennuste'!M61*1000</f>
        <v>-2513.9972894193252</v>
      </c>
      <c r="AD61" s="41">
        <f>M61/'1. Väestöennuste'!N61*1000</f>
        <v>-2647.7213806501832</v>
      </c>
      <c r="AE61" s="41">
        <f>N61/'1. Väestöennuste'!O61*1000</f>
        <v>-2943.8066719922504</v>
      </c>
      <c r="AF61" s="41">
        <f>O61/'1. Väestöennuste'!P61*1000</f>
        <v>-3085.5561957127738</v>
      </c>
      <c r="AG61" s="41">
        <f>P61/'1. Väestöennuste'!Q61*1000</f>
        <v>-3219.6786937413212</v>
      </c>
      <c r="AH61" s="41">
        <f>Q61/'1. Väestöennuste'!R61*1000</f>
        <v>-3328.8440809332456</v>
      </c>
    </row>
    <row r="62" spans="1:34" customFormat="1" x14ac:dyDescent="0.25">
      <c r="A62" s="99">
        <v>9</v>
      </c>
      <c r="B62" s="30">
        <v>153</v>
      </c>
      <c r="C62" s="47" t="s">
        <v>376</v>
      </c>
      <c r="D62" s="65">
        <v>-144283</v>
      </c>
      <c r="E62" s="157">
        <v>-145740</v>
      </c>
      <c r="F62" s="157">
        <v>-145000</v>
      </c>
      <c r="G62" s="157">
        <v>-150774</v>
      </c>
      <c r="H62" s="43">
        <v>-149910</v>
      </c>
      <c r="I62" s="43">
        <v>-163509</v>
      </c>
      <c r="J62" s="159">
        <v>-163680.37839000003</v>
      </c>
      <c r="K62" s="43">
        <v>-173888.8051</v>
      </c>
      <c r="L62" s="43">
        <v>-63691.445399999997</v>
      </c>
      <c r="M62" s="43">
        <f>'2.1. Toimintakatennuste'!AX53</f>
        <v>-66494.882382817828</v>
      </c>
      <c r="N62" s="43">
        <f>$N$6*'2.1. Toimintakatennuste'!AG53</f>
        <v>-73728.108954644791</v>
      </c>
      <c r="O62" s="43">
        <f>$O$6*'2.1. Toimintakatennuste'!AH53</f>
        <v>-75798.644537055588</v>
      </c>
      <c r="P62" s="43">
        <f>P$6*'2.1. Toimintakatennuste'!AI53</f>
        <v>-77222.240460995759</v>
      </c>
      <c r="Q62" s="43">
        <f>Q$6*'2.1. Toimintakatennuste'!AJ53</f>
        <v>-78240.385620164787</v>
      </c>
      <c r="R62" s="117"/>
      <c r="S62" s="34">
        <v>153</v>
      </c>
      <c r="T62" s="88" t="s">
        <v>376</v>
      </c>
      <c r="U62" s="41">
        <f>D62/'1. Väestöennuste'!E62*1000</f>
        <v>-5183.5099694629062</v>
      </c>
      <c r="V62" s="41">
        <f>E62/'1. Väestöennuste'!F62*1000</f>
        <v>-5296.3622487916564</v>
      </c>
      <c r="W62" s="41">
        <f>F62/'1. Väestöennuste'!G62*1000</f>
        <v>-5317.3933770948697</v>
      </c>
      <c r="X62" s="41">
        <f>G62/'1. Väestöennuste'!H62*1000</f>
        <v>-5598.3216990940145</v>
      </c>
      <c r="Y62" s="41">
        <f>H62/'1. Väestöennuste'!I62*1000</f>
        <v>-5655.2738795835221</v>
      </c>
      <c r="Z62" s="41">
        <f>I62/'1. Väestöennuste'!J62*1000</f>
        <v>-6270.7190795781398</v>
      </c>
      <c r="AA62" s="41">
        <f>J62/'1. Väestöennuste'!K62*1000</f>
        <v>-6380.0576258039382</v>
      </c>
      <c r="AB62" s="41">
        <f>K62/'1. Väestöennuste'!L62*1000</f>
        <v>-6898.1595168200565</v>
      </c>
      <c r="AC62" s="41">
        <f>L62/'1. Väestöennuste'!M62*1000</f>
        <v>-2555.9390585497013</v>
      </c>
      <c r="AD62" s="41">
        <f>M62/'1. Väestöennuste'!N62*1000</f>
        <v>-2690.1400753628059</v>
      </c>
      <c r="AE62" s="41">
        <f>N62/'1. Väestöennuste'!O62*1000</f>
        <v>-3022.5109234060915</v>
      </c>
      <c r="AF62" s="41">
        <f>O62/'1. Väestöennuste'!P62*1000</f>
        <v>-3148.1764562468575</v>
      </c>
      <c r="AG62" s="41">
        <f>P62/'1. Väestöennuste'!Q62*1000</f>
        <v>-3248.0437628179079</v>
      </c>
      <c r="AH62" s="41">
        <f>Q62/'1. Väestöennuste'!R62*1000</f>
        <v>-3330.6536809912213</v>
      </c>
    </row>
    <row r="63" spans="1:34" customFormat="1" x14ac:dyDescent="0.25">
      <c r="A63" s="99">
        <v>5</v>
      </c>
      <c r="B63" s="30">
        <v>165</v>
      </c>
      <c r="C63" s="47" t="s">
        <v>377</v>
      </c>
      <c r="D63" s="65">
        <v>-81403</v>
      </c>
      <c r="E63" s="157">
        <v>-81730</v>
      </c>
      <c r="F63" s="157">
        <v>-79688</v>
      </c>
      <c r="G63" s="157">
        <v>-81427</v>
      </c>
      <c r="H63" s="43">
        <v>-85532</v>
      </c>
      <c r="I63" s="43">
        <v>-88061</v>
      </c>
      <c r="J63" s="159">
        <v>-89160.34835</v>
      </c>
      <c r="K63" s="43">
        <v>-96029.416129999998</v>
      </c>
      <c r="L63" s="43">
        <v>-38115.801500000001</v>
      </c>
      <c r="M63" s="43">
        <f>'2.1. Toimintakatennuste'!AX54</f>
        <v>-40291.074283448259</v>
      </c>
      <c r="N63" s="43">
        <f>$N$6*'2.1. Toimintakatennuste'!AG54</f>
        <v>-41858.089546277413</v>
      </c>
      <c r="O63" s="43">
        <f>$O$6*'2.1. Toimintakatennuste'!AH54</f>
        <v>-42641.814360622244</v>
      </c>
      <c r="P63" s="43">
        <f>P$6*'2.1. Toimintakatennuste'!AI54</f>
        <v>-43682.46741804028</v>
      </c>
      <c r="Q63" s="43">
        <f>Q$6*'2.1. Toimintakatennuste'!AJ54</f>
        <v>-44612.343324968002</v>
      </c>
      <c r="R63" s="117"/>
      <c r="S63" s="34">
        <v>165</v>
      </c>
      <c r="T63" s="88" t="s">
        <v>377</v>
      </c>
      <c r="U63" s="41">
        <f>D63/'1. Väestöennuste'!E63*1000</f>
        <v>-4830.1786032160444</v>
      </c>
      <c r="V63" s="41">
        <f>E63/'1. Väestöennuste'!F63*1000</f>
        <v>-4891.3759052007899</v>
      </c>
      <c r="W63" s="41">
        <f>F63/'1. Väestöennuste'!G63*1000</f>
        <v>-4798.458481363281</v>
      </c>
      <c r="X63" s="41">
        <f>G63/'1. Väestöennuste'!H63*1000</f>
        <v>-4950.8724995439898</v>
      </c>
      <c r="Y63" s="41">
        <f>H63/'1. Väestöennuste'!I63*1000</f>
        <v>-5211.2349966489983</v>
      </c>
      <c r="Z63" s="41">
        <f>I63/'1. Väestöennuste'!J63*1000</f>
        <v>-5423.4772433331282</v>
      </c>
      <c r="AA63" s="41">
        <f>J63/'1. Väestöennuste'!K63*1000</f>
        <v>-5456.5696664626685</v>
      </c>
      <c r="AB63" s="41">
        <f>K63/'1. Väestöennuste'!L63*1000</f>
        <v>-5898.6127843980348</v>
      </c>
      <c r="AC63" s="41">
        <f>L63/'1. Väestöennuste'!M63*1000</f>
        <v>-2364.0638528809777</v>
      </c>
      <c r="AD63" s="41">
        <f>M63/'1. Väestöennuste'!N63*1000</f>
        <v>-2553.7855285192531</v>
      </c>
      <c r="AE63" s="41">
        <f>N63/'1. Väestöennuste'!O63*1000</f>
        <v>-2670.8837127537909</v>
      </c>
      <c r="AF63" s="41">
        <f>O63/'1. Väestöennuste'!P63*1000</f>
        <v>-2739.0682400194146</v>
      </c>
      <c r="AG63" s="41">
        <f>P63/'1. Väestöennuste'!Q63*1000</f>
        <v>-2824.2365952052937</v>
      </c>
      <c r="AH63" s="41">
        <f>Q63/'1. Väestöennuste'!R63*1000</f>
        <v>-2903.5042840851288</v>
      </c>
    </row>
    <row r="64" spans="1:34" customFormat="1" x14ac:dyDescent="0.25">
      <c r="A64" s="99">
        <v>12</v>
      </c>
      <c r="B64" s="30">
        <v>167</v>
      </c>
      <c r="C64" s="47" t="s">
        <v>378</v>
      </c>
      <c r="D64" s="65">
        <v>-365098</v>
      </c>
      <c r="E64" s="157">
        <v>-377827</v>
      </c>
      <c r="F64" s="157">
        <v>-363923</v>
      </c>
      <c r="G64" s="157">
        <v>-375941</v>
      </c>
      <c r="H64" s="43">
        <v>-387072</v>
      </c>
      <c r="I64" s="43">
        <v>-395855</v>
      </c>
      <c r="J64" s="159">
        <v>-422295.76370999997</v>
      </c>
      <c r="K64" s="43">
        <v>-459351.02398</v>
      </c>
      <c r="L64" s="43">
        <v>-171110.08838999999</v>
      </c>
      <c r="M64" s="43">
        <f>'2.1. Toimintakatennuste'!AX55</f>
        <v>-173292.77167365694</v>
      </c>
      <c r="N64" s="43">
        <f>$N$6*'2.1. Toimintakatennuste'!AG55</f>
        <v>-202790.78360383242</v>
      </c>
      <c r="O64" s="43">
        <f>$O$6*'2.1. Toimintakatennuste'!AH55</f>
        <v>-211229.97441706853</v>
      </c>
      <c r="P64" s="43">
        <f>P$6*'2.1. Toimintakatennuste'!AI55</f>
        <v>-219475.81816746428</v>
      </c>
      <c r="Q64" s="43">
        <f>Q$6*'2.1. Toimintakatennuste'!AJ55</f>
        <v>-225789.41608249152</v>
      </c>
      <c r="R64" s="117"/>
      <c r="S64" s="34">
        <v>167</v>
      </c>
      <c r="T64" s="88" t="s">
        <v>378</v>
      </c>
      <c r="U64" s="41">
        <f>D64/'1. Väestöennuste'!E64*1000</f>
        <v>-4834.8385729798447</v>
      </c>
      <c r="V64" s="41">
        <f>E64/'1. Väestöennuste'!F64*1000</f>
        <v>-4981.3706360088599</v>
      </c>
      <c r="W64" s="41">
        <f>F64/'1. Väestöennuste'!G64*1000</f>
        <v>-4784.2428385502253</v>
      </c>
      <c r="X64" s="41">
        <f>G64/'1. Väestöennuste'!H64*1000</f>
        <v>-4910.9874462776443</v>
      </c>
      <c r="Y64" s="41">
        <f>H64/'1. Väestöennuste'!I64*1000</f>
        <v>-5036.720884840599</v>
      </c>
      <c r="Z64" s="41">
        <f>I64/'1. Väestöennuste'!J64*1000</f>
        <v>-5145.317475791252</v>
      </c>
      <c r="AA64" s="41">
        <f>J64/'1. Väestöennuste'!K64*1000</f>
        <v>-5465.8335215697434</v>
      </c>
      <c r="AB64" s="41">
        <f>K64/'1. Väestöennuste'!L64*1000</f>
        <v>-5926.1159286829306</v>
      </c>
      <c r="AC64" s="41">
        <f>L64/'1. Väestöennuste'!M64*1000</f>
        <v>-2191.9767414362941</v>
      </c>
      <c r="AD64" s="41">
        <f>M64/'1. Väestöennuste'!N64*1000</f>
        <v>-2226.3833145801036</v>
      </c>
      <c r="AE64" s="41">
        <f>N64/'1. Väestöennuste'!O64*1000</f>
        <v>-2600.1151847452002</v>
      </c>
      <c r="AF64" s="41">
        <f>O64/'1. Väestöennuste'!P64*1000</f>
        <v>-2703.1554659090957</v>
      </c>
      <c r="AG64" s="41">
        <f>P64/'1. Väestöennuste'!Q64*1000</f>
        <v>-2803.6562449536837</v>
      </c>
      <c r="AH64" s="41">
        <f>Q64/'1. Väestöennuste'!R64*1000</f>
        <v>-2879.5630215466135</v>
      </c>
    </row>
    <row r="65" spans="1:34" customFormat="1" x14ac:dyDescent="0.25">
      <c r="A65" s="99">
        <v>5</v>
      </c>
      <c r="B65" s="30">
        <v>169</v>
      </c>
      <c r="C65" s="47" t="s">
        <v>379</v>
      </c>
      <c r="D65" s="65">
        <v>-26294</v>
      </c>
      <c r="E65" s="157">
        <v>-27238</v>
      </c>
      <c r="F65" s="157">
        <v>-26340</v>
      </c>
      <c r="G65" s="157">
        <v>-26690</v>
      </c>
      <c r="H65" s="43">
        <v>-26919</v>
      </c>
      <c r="I65" s="43">
        <v>-27649</v>
      </c>
      <c r="J65" s="159">
        <v>-28867.36479</v>
      </c>
      <c r="K65" s="43">
        <v>-30673.925609999998</v>
      </c>
      <c r="L65" s="43">
        <v>-11937.6371</v>
      </c>
      <c r="M65" s="43">
        <f>'2.1. Toimintakatennuste'!AX56</f>
        <v>-11988.41150966354</v>
      </c>
      <c r="N65" s="43">
        <f>$N$6*'2.1. Toimintakatennuste'!AG56</f>
        <v>-13586.75883114319</v>
      </c>
      <c r="O65" s="43">
        <f>$O$6*'2.1. Toimintakatennuste'!AH56</f>
        <v>-14249.454201345245</v>
      </c>
      <c r="P65" s="43">
        <f>P$6*'2.1. Toimintakatennuste'!AI56</f>
        <v>-14888.452282384484</v>
      </c>
      <c r="Q65" s="43">
        <f>Q$6*'2.1. Toimintakatennuste'!AJ56</f>
        <v>-15540.515597061931</v>
      </c>
      <c r="R65" s="117"/>
      <c r="S65" s="34">
        <v>169</v>
      </c>
      <c r="T65" s="88" t="s">
        <v>379</v>
      </c>
      <c r="U65" s="41">
        <f>D65/'1. Väestöennuste'!E65*1000</f>
        <v>-4846.8202764976959</v>
      </c>
      <c r="V65" s="41">
        <f>E65/'1. Väestöennuste'!F65*1000</f>
        <v>-5099.7940460587906</v>
      </c>
      <c r="W65" s="41">
        <f>F65/'1. Väestöennuste'!G65*1000</f>
        <v>-4982.9738933030649</v>
      </c>
      <c r="X65" s="41">
        <f>G65/'1. Väestöennuste'!H65*1000</f>
        <v>-5137.6323387872953</v>
      </c>
      <c r="Y65" s="41">
        <f>H65/'1. Väestöennuste'!I65*1000</f>
        <v>-5244.3015780245478</v>
      </c>
      <c r="Z65" s="41">
        <f>I65/'1. Väestöennuste'!J65*1000</f>
        <v>-5463.1495751827706</v>
      </c>
      <c r="AA65" s="41">
        <f>J65/'1. Väestöennuste'!K65*1000</f>
        <v>-5720.8412187871581</v>
      </c>
      <c r="AB65" s="41">
        <f>K65/'1. Väestöennuste'!L65*1000</f>
        <v>-6147.0792805611218</v>
      </c>
      <c r="AC65" s="41">
        <f>L65/'1. Väestöennuste'!M65*1000</f>
        <v>-2428.3232506102522</v>
      </c>
      <c r="AD65" s="41">
        <f>M65/'1. Väestöennuste'!N65*1000</f>
        <v>-2487.7384332150941</v>
      </c>
      <c r="AE65" s="41">
        <f>N65/'1. Väestöennuste'!O65*1000</f>
        <v>-2851.9644901643978</v>
      </c>
      <c r="AF65" s="41">
        <f>O65/'1. Väestöennuste'!P65*1000</f>
        <v>-3023.436070728887</v>
      </c>
      <c r="AG65" s="41">
        <f>P65/'1. Väestöennuste'!Q65*1000</f>
        <v>-3192.8913322720314</v>
      </c>
      <c r="AH65" s="41">
        <f>Q65/'1. Väestöennuste'!R65*1000</f>
        <v>-3365.2047633308644</v>
      </c>
    </row>
    <row r="66" spans="1:34" customFormat="1" x14ac:dyDescent="0.25">
      <c r="A66" s="99">
        <v>11</v>
      </c>
      <c r="B66" s="30">
        <v>171</v>
      </c>
      <c r="C66" s="47" t="s">
        <v>380</v>
      </c>
      <c r="D66" s="65">
        <v>-28178</v>
      </c>
      <c r="E66" s="157">
        <v>-28821</v>
      </c>
      <c r="F66" s="157">
        <v>-28075</v>
      </c>
      <c r="G66" s="157">
        <v>-29208</v>
      </c>
      <c r="H66" s="43">
        <v>-28726</v>
      </c>
      <c r="I66" s="43">
        <v>-28546</v>
      </c>
      <c r="J66" s="159">
        <v>-29864.748809999997</v>
      </c>
      <c r="K66" s="43">
        <v>-31225.765609999999</v>
      </c>
      <c r="L66" s="43">
        <v>-11001.687260000001</v>
      </c>
      <c r="M66" s="43">
        <f>'2.1. Toimintakatennuste'!AX57</f>
        <v>-10850.016510341084</v>
      </c>
      <c r="N66" s="43">
        <f>$N$6*'2.1. Toimintakatennuste'!AG57</f>
        <v>-12710.418681728652</v>
      </c>
      <c r="O66" s="43">
        <f>$O$6*'2.1. Toimintakatennuste'!AH57</f>
        <v>-13049.799710936684</v>
      </c>
      <c r="P66" s="43">
        <f>P$6*'2.1. Toimintakatennuste'!AI57</f>
        <v>-13567.14670616138</v>
      </c>
      <c r="Q66" s="43">
        <f>Q$6*'2.1. Toimintakatennuste'!AJ57</f>
        <v>-13982.372910508418</v>
      </c>
      <c r="R66" s="117"/>
      <c r="S66" s="34">
        <v>171</v>
      </c>
      <c r="T66" s="88" t="s">
        <v>380</v>
      </c>
      <c r="U66" s="41">
        <f>D66/'1. Väestöennuste'!E66*1000</f>
        <v>-5514.2857142857147</v>
      </c>
      <c r="V66" s="41">
        <f>E66/'1. Väestöennuste'!F66*1000</f>
        <v>-5719.5872196864457</v>
      </c>
      <c r="W66" s="41">
        <f>F66/'1. Väestöennuste'!G66*1000</f>
        <v>-5709.7823876347366</v>
      </c>
      <c r="X66" s="41">
        <f>G66/'1. Väestöennuste'!H66*1000</f>
        <v>-6069.8254364089771</v>
      </c>
      <c r="Y66" s="41">
        <f>H66/'1. Väestöennuste'!I66*1000</f>
        <v>-6026.0121669813298</v>
      </c>
      <c r="Z66" s="41">
        <f>I66/'1. Väestöennuste'!J66*1000</f>
        <v>-6087.8652164640653</v>
      </c>
      <c r="AA66" s="41">
        <f>J66/'1. Väestöennuste'!K66*1000</f>
        <v>-6458.6394485294104</v>
      </c>
      <c r="AB66" s="41">
        <f>K66/'1. Väestöennuste'!L66*1000</f>
        <v>-6877.921940528634</v>
      </c>
      <c r="AC66" s="41">
        <f>L66/'1. Väestöennuste'!M66*1000</f>
        <v>-2396.8817559912854</v>
      </c>
      <c r="AD66" s="41">
        <f>M66/'1. Väestöennuste'!N66*1000</f>
        <v>-2465.3525358648226</v>
      </c>
      <c r="AE66" s="41">
        <f>N66/'1. Väestöennuste'!O66*1000</f>
        <v>-2935.4315662190879</v>
      </c>
      <c r="AF66" s="41">
        <f>O66/'1. Väestöennuste'!P66*1000</f>
        <v>-3062.6143419236528</v>
      </c>
      <c r="AG66" s="41">
        <f>P66/'1. Väestöennuste'!Q66*1000</f>
        <v>-3234.123171909745</v>
      </c>
      <c r="AH66" s="41">
        <f>Q66/'1. Väestöennuste'!R66*1000</f>
        <v>-3388.0234820713399</v>
      </c>
    </row>
    <row r="67" spans="1:34" customFormat="1" x14ac:dyDescent="0.25">
      <c r="A67" s="99">
        <v>13</v>
      </c>
      <c r="B67" s="30">
        <v>172</v>
      </c>
      <c r="C67" s="47" t="s">
        <v>381</v>
      </c>
      <c r="D67" s="65">
        <v>-26349</v>
      </c>
      <c r="E67" s="157">
        <v>-28004</v>
      </c>
      <c r="F67" s="157">
        <v>-29533</v>
      </c>
      <c r="G67" s="157">
        <v>-28889</v>
      </c>
      <c r="H67" s="43">
        <v>-30088</v>
      </c>
      <c r="I67" s="43">
        <v>-31052</v>
      </c>
      <c r="J67" s="159">
        <v>-30380.739719999998</v>
      </c>
      <c r="K67" s="43">
        <v>-33433.651449999998</v>
      </c>
      <c r="L67" s="43">
        <v>-9967.0460000000003</v>
      </c>
      <c r="M67" s="43">
        <f>'2.1. Toimintakatennuste'!AX58</f>
        <v>-10505.241270259339</v>
      </c>
      <c r="N67" s="43">
        <f>$N$6*'2.1. Toimintakatennuste'!AG58</f>
        <v>-11450.595885642233</v>
      </c>
      <c r="O67" s="43">
        <f>$O$6*'2.1. Toimintakatennuste'!AH58</f>
        <v>-11964.863982458739</v>
      </c>
      <c r="P67" s="43">
        <f>P$6*'2.1. Toimintakatennuste'!AI58</f>
        <v>-12275.476653638196</v>
      </c>
      <c r="Q67" s="43">
        <f>Q$6*'2.1. Toimintakatennuste'!AJ58</f>
        <v>-12705.645977391649</v>
      </c>
      <c r="R67" s="117"/>
      <c r="S67" s="34">
        <v>172</v>
      </c>
      <c r="T67" s="88" t="s">
        <v>381</v>
      </c>
      <c r="U67" s="41">
        <f>D67/'1. Väestöennuste'!E67*1000</f>
        <v>-5620.5204778156995</v>
      </c>
      <c r="V67" s="41">
        <f>E67/'1. Väestöennuste'!F67*1000</f>
        <v>-5992.7241600684783</v>
      </c>
      <c r="W67" s="41">
        <f>F67/'1. Väestöennuste'!G67*1000</f>
        <v>-6466.6082767681191</v>
      </c>
      <c r="X67" s="41">
        <f>G67/'1. Väestöennuste'!H67*1000</f>
        <v>-6467.2039400044778</v>
      </c>
      <c r="Y67" s="41">
        <f>H67/'1. Väestöennuste'!I67*1000</f>
        <v>-6874.1146904272337</v>
      </c>
      <c r="Z67" s="41">
        <f>I67/'1. Väestöennuste'!J67*1000</f>
        <v>-7226.4370491040263</v>
      </c>
      <c r="AA67" s="41">
        <f>J67/'1. Väestöennuste'!K67*1000</f>
        <v>-7126.610302603799</v>
      </c>
      <c r="AB67" s="41">
        <f>K67/'1. Väestöennuste'!L67*1000</f>
        <v>-8015.7399784224399</v>
      </c>
      <c r="AC67" s="41">
        <f>L67/'1. Väestöennuste'!M67*1000</f>
        <v>-2443.5023290022064</v>
      </c>
      <c r="AD67" s="41">
        <f>M67/'1. Väestöennuste'!N67*1000</f>
        <v>-2610.6464389312473</v>
      </c>
      <c r="AE67" s="41">
        <f>N67/'1. Väestöennuste'!O67*1000</f>
        <v>-2885.7348502122563</v>
      </c>
      <c r="AF67" s="41">
        <f>O67/'1. Väestöennuste'!P67*1000</f>
        <v>-3060.0675146953295</v>
      </c>
      <c r="AG67" s="41">
        <f>P67/'1. Väestöennuste'!Q67*1000</f>
        <v>-3180.9993919767289</v>
      </c>
      <c r="AH67" s="41">
        <f>Q67/'1. Väestöennuste'!R67*1000</f>
        <v>-3333.9401672504982</v>
      </c>
    </row>
    <row r="68" spans="1:34" customFormat="1" x14ac:dyDescent="0.25">
      <c r="A68" s="99">
        <v>12</v>
      </c>
      <c r="B68" s="30">
        <v>176</v>
      </c>
      <c r="C68" s="47" t="s">
        <v>382</v>
      </c>
      <c r="D68" s="65">
        <v>-33256</v>
      </c>
      <c r="E68" s="157">
        <v>-33732</v>
      </c>
      <c r="F68" s="157">
        <v>-32044</v>
      </c>
      <c r="G68" s="157">
        <v>-31958</v>
      </c>
      <c r="H68" s="43">
        <v>-32876</v>
      </c>
      <c r="I68" s="43">
        <v>-32726</v>
      </c>
      <c r="J68" s="159">
        <v>-34713.990890000001</v>
      </c>
      <c r="K68" s="43">
        <v>-35489.93965</v>
      </c>
      <c r="L68" s="43">
        <v>-9414.9894399999994</v>
      </c>
      <c r="M68" s="43">
        <f>'2.1. Toimintakatennuste'!AX59</f>
        <v>-9987.1363616030376</v>
      </c>
      <c r="N68" s="43">
        <f>$N$6*'2.1. Toimintakatennuste'!AG59</f>
        <v>-11272.934877621587</v>
      </c>
      <c r="O68" s="43">
        <f>$O$6*'2.1. Toimintakatennuste'!AH59</f>
        <v>-11667.785222960196</v>
      </c>
      <c r="P68" s="43">
        <f>P$6*'2.1. Toimintakatennuste'!AI59</f>
        <v>-12029.097105348003</v>
      </c>
      <c r="Q68" s="43">
        <f>Q$6*'2.1. Toimintakatennuste'!AJ59</f>
        <v>-12432.140379182361</v>
      </c>
      <c r="R68" s="117"/>
      <c r="S68" s="34">
        <v>176</v>
      </c>
      <c r="T68" s="88" t="s">
        <v>382</v>
      </c>
      <c r="U68" s="41">
        <f>D68/'1. Väestöennuste'!E68*1000</f>
        <v>-6606.2773142630112</v>
      </c>
      <c r="V68" s="41">
        <f>E68/'1. Väestöennuste'!F68*1000</f>
        <v>-6831.1057108140949</v>
      </c>
      <c r="W68" s="41">
        <f>F68/'1. Väestöennuste'!G68*1000</f>
        <v>-6652.2731990865686</v>
      </c>
      <c r="X68" s="41">
        <f>G68/'1. Väestöennuste'!H68*1000</f>
        <v>-6786.5788914843915</v>
      </c>
      <c r="Y68" s="41">
        <f>H68/'1. Väestöennuste'!I68*1000</f>
        <v>-7137.6465479808949</v>
      </c>
      <c r="Z68" s="41">
        <f>I68/'1. Väestöennuste'!J68*1000</f>
        <v>-7229.0700242986522</v>
      </c>
      <c r="AA68" s="41">
        <f>J68/'1. Väestöennuste'!K68*1000</f>
        <v>-7811.4290931593159</v>
      </c>
      <c r="AB68" s="41">
        <f>K68/'1. Väestöennuste'!L68*1000</f>
        <v>-8154.8574563419115</v>
      </c>
      <c r="AC68" s="41">
        <f>L68/'1. Väestöennuste'!M68*1000</f>
        <v>-2210.610340455506</v>
      </c>
      <c r="AD68" s="41">
        <f>M68/'1. Väestöennuste'!N68*1000</f>
        <v>-2395.5712069088599</v>
      </c>
      <c r="AE68" s="41">
        <f>N68/'1. Väestöennuste'!O68*1000</f>
        <v>-2758.9170038231982</v>
      </c>
      <c r="AF68" s="41">
        <f>O68/'1. Väestöennuste'!P68*1000</f>
        <v>-2913.3046748964284</v>
      </c>
      <c r="AG68" s="41">
        <f>P68/'1. Väestöennuste'!Q68*1000</f>
        <v>-3057.7267680091513</v>
      </c>
      <c r="AH68" s="41">
        <f>Q68/'1. Väestöennuste'!R68*1000</f>
        <v>-3216.5951821946601</v>
      </c>
    </row>
    <row r="69" spans="1:34" customFormat="1" x14ac:dyDescent="0.25">
      <c r="A69" s="99">
        <v>6</v>
      </c>
      <c r="B69" s="30">
        <v>177</v>
      </c>
      <c r="C69" s="47" t="s">
        <v>383</v>
      </c>
      <c r="D69" s="65">
        <v>-10752</v>
      </c>
      <c r="E69" s="157">
        <v>-10838</v>
      </c>
      <c r="F69" s="157">
        <v>-10541</v>
      </c>
      <c r="G69" s="157">
        <v>-10890</v>
      </c>
      <c r="H69" s="43">
        <v>-10762</v>
      </c>
      <c r="I69" s="43">
        <v>-10961</v>
      </c>
      <c r="J69" s="159">
        <v>-11288.09043</v>
      </c>
      <c r="K69" s="43">
        <v>-11593.11406</v>
      </c>
      <c r="L69" s="43">
        <v>-4467.6835599999995</v>
      </c>
      <c r="M69" s="43">
        <f>'2.1. Toimintakatennuste'!AX60</f>
        <v>-4699.261915221412</v>
      </c>
      <c r="N69" s="43">
        <f>$N$6*'2.1. Toimintakatennuste'!AG60</f>
        <v>-5108.0060859683417</v>
      </c>
      <c r="O69" s="43">
        <f>$O$6*'2.1. Toimintakatennuste'!AH60</f>
        <v>-5310.7782075771429</v>
      </c>
      <c r="P69" s="43">
        <f>P$6*'2.1. Toimintakatennuste'!AI60</f>
        <v>-5506.2790231362278</v>
      </c>
      <c r="Q69" s="43">
        <f>Q$6*'2.1. Toimintakatennuste'!AJ60</f>
        <v>-5694.1994021602668</v>
      </c>
      <c r="R69" s="117"/>
      <c r="S69" s="34">
        <v>177</v>
      </c>
      <c r="T69" s="88" t="s">
        <v>383</v>
      </c>
      <c r="U69" s="41">
        <f>D69/'1. Väestöennuste'!E69*1000</f>
        <v>-5408.4507042253517</v>
      </c>
      <c r="V69" s="41">
        <f>E69/'1. Väestöennuste'!F69*1000</f>
        <v>-5538.0684721512525</v>
      </c>
      <c r="W69" s="41">
        <f>F69/'1. Väestöennuste'!G69*1000</f>
        <v>-5536.2394957983188</v>
      </c>
      <c r="X69" s="41">
        <f>G69/'1. Väestöennuste'!H69*1000</f>
        <v>-5780.2547770700639</v>
      </c>
      <c r="Y69" s="41">
        <f>H69/'1. Väestöennuste'!I69*1000</f>
        <v>-5836.2255965292843</v>
      </c>
      <c r="Z69" s="41">
        <f>I69/'1. Väestöennuste'!J69*1000</f>
        <v>-6089.4444444444443</v>
      </c>
      <c r="AA69" s="41">
        <f>J69/'1. Väestöennuste'!K69*1000</f>
        <v>-6320.3193896976491</v>
      </c>
      <c r="AB69" s="41">
        <f>K69/'1. Väestöennuste'!L69*1000</f>
        <v>-6557.1912104072399</v>
      </c>
      <c r="AC69" s="41">
        <f>L69/'1. Väestöennuste'!M69*1000</f>
        <v>-2615.7397892271661</v>
      </c>
      <c r="AD69" s="41">
        <f>M69/'1. Väestöennuste'!N69*1000</f>
        <v>-2807.2054451740814</v>
      </c>
      <c r="AE69" s="41">
        <f>N69/'1. Väestöennuste'!O69*1000</f>
        <v>-3101.4001736298369</v>
      </c>
      <c r="AF69" s="41">
        <f>O69/'1. Väestöennuste'!P69*1000</f>
        <v>-3274.2159109600138</v>
      </c>
      <c r="AG69" s="41">
        <f>P69/'1. Väestöennuste'!Q69*1000</f>
        <v>-3441.4243894601423</v>
      </c>
      <c r="AH69" s="41">
        <f>Q69/'1. Väestöennuste'!R69*1000</f>
        <v>-3608.491382864554</v>
      </c>
    </row>
    <row r="70" spans="1:34" customFormat="1" x14ac:dyDescent="0.25">
      <c r="A70" s="99">
        <v>10</v>
      </c>
      <c r="B70" s="30">
        <v>178</v>
      </c>
      <c r="C70" s="47" t="s">
        <v>384</v>
      </c>
      <c r="D70" s="65">
        <v>-38085</v>
      </c>
      <c r="E70" s="157">
        <v>-37321</v>
      </c>
      <c r="F70" s="157">
        <v>-37557</v>
      </c>
      <c r="G70" s="157">
        <v>-39717</v>
      </c>
      <c r="H70" s="43">
        <v>-40546</v>
      </c>
      <c r="I70" s="43">
        <v>-40224</v>
      </c>
      <c r="J70" s="159">
        <v>-42966.554700000001</v>
      </c>
      <c r="K70" s="43">
        <v>-45263.174279999999</v>
      </c>
      <c r="L70" s="43">
        <v>-15045.57489</v>
      </c>
      <c r="M70" s="43">
        <f>'2.1. Toimintakatennuste'!AX61</f>
        <v>-14632.550390118595</v>
      </c>
      <c r="N70" s="43">
        <f>$N$6*'2.1. Toimintakatennuste'!AG61</f>
        <v>-16196.946155637012</v>
      </c>
      <c r="O70" s="43">
        <f>$O$6*'2.1. Toimintakatennuste'!AH61</f>
        <v>-16534.395349627466</v>
      </c>
      <c r="P70" s="43">
        <f>P$6*'2.1. Toimintakatennuste'!AI61</f>
        <v>-16887.003380263894</v>
      </c>
      <c r="Q70" s="43">
        <f>Q$6*'2.1. Toimintakatennuste'!AJ61</f>
        <v>-16988.778836402817</v>
      </c>
      <c r="R70" s="117"/>
      <c r="S70" s="34">
        <v>178</v>
      </c>
      <c r="T70" s="88" t="s">
        <v>384</v>
      </c>
      <c r="U70" s="41">
        <f>D70/'1. Väestöennuste'!E70*1000</f>
        <v>-5816.2797800855224</v>
      </c>
      <c r="V70" s="41">
        <f>E70/'1. Väestöennuste'!F70*1000</f>
        <v>-5812.3345273321911</v>
      </c>
      <c r="W70" s="41">
        <f>F70/'1. Väestöennuste'!G70*1000</f>
        <v>-5929.4284812125043</v>
      </c>
      <c r="X70" s="41">
        <f>G70/'1. Väestöennuste'!H70*1000</f>
        <v>-6380.2409638554218</v>
      </c>
      <c r="Y70" s="41">
        <f>H70/'1. Väestöennuste'!I70*1000</f>
        <v>-6629.4964028776976</v>
      </c>
      <c r="Z70" s="41">
        <f>I70/'1. Väestöennuste'!J70*1000</f>
        <v>-6780.8496291301417</v>
      </c>
      <c r="AA70" s="41">
        <f>J70/'1. Väestöennuste'!K70*1000</f>
        <v>-7298.5484457278753</v>
      </c>
      <c r="AB70" s="41">
        <f>K70/'1. Väestöennuste'!L70*1000</f>
        <v>-7845.9307124284969</v>
      </c>
      <c r="AC70" s="41">
        <f>L70/'1. Väestöennuste'!M70*1000</f>
        <v>-2623.9230711545169</v>
      </c>
      <c r="AD70" s="41">
        <f>M70/'1. Väestöennuste'!N70*1000</f>
        <v>-2649.8642502931175</v>
      </c>
      <c r="AE70" s="41">
        <f>N70/'1. Väestöennuste'!O70*1000</f>
        <v>-2981.2159314627297</v>
      </c>
      <c r="AF70" s="41">
        <f>O70/'1. Väestöennuste'!P70*1000</f>
        <v>-3092.275172924531</v>
      </c>
      <c r="AG70" s="41">
        <f>P70/'1. Väestöennuste'!Q70*1000</f>
        <v>-3204.9731220846256</v>
      </c>
      <c r="AH70" s="41">
        <f>Q70/'1. Väestöennuste'!R70*1000</f>
        <v>-3271.4767641830958</v>
      </c>
    </row>
    <row r="71" spans="1:34" customFormat="1" x14ac:dyDescent="0.25">
      <c r="A71" s="99">
        <v>13</v>
      </c>
      <c r="B71" s="30">
        <v>179</v>
      </c>
      <c r="C71" s="47" t="s">
        <v>385</v>
      </c>
      <c r="D71" s="65">
        <v>-619407</v>
      </c>
      <c r="E71" s="157">
        <v>-631833</v>
      </c>
      <c r="F71" s="157">
        <v>-627710</v>
      </c>
      <c r="G71" s="157">
        <v>-651550</v>
      </c>
      <c r="H71" s="43">
        <v>-686957</v>
      </c>
      <c r="I71" s="43">
        <v>-718988</v>
      </c>
      <c r="J71" s="159">
        <v>-767221.53970000008</v>
      </c>
      <c r="K71" s="43">
        <v>-819367.44390999991</v>
      </c>
      <c r="L71" s="43">
        <v>-336756.63863</v>
      </c>
      <c r="M71" s="43">
        <f>'2.1. Toimintakatennuste'!AX62</f>
        <v>-323410.26624807785</v>
      </c>
      <c r="N71" s="43">
        <f>$N$6*'2.1. Toimintakatennuste'!AG62</f>
        <v>-399513.8313880749</v>
      </c>
      <c r="O71" s="43">
        <f>$O$6*'2.1. Toimintakatennuste'!AH62</f>
        <v>-415567.29853241506</v>
      </c>
      <c r="P71" s="43">
        <f>P$6*'2.1. Toimintakatennuste'!AI62</f>
        <v>-431414.49161306868</v>
      </c>
      <c r="Q71" s="43">
        <f>Q$6*'2.1. Toimintakatennuste'!AJ62</f>
        <v>-444784.72153724264</v>
      </c>
      <c r="R71" s="117"/>
      <c r="S71" s="34">
        <v>179</v>
      </c>
      <c r="T71" s="88" t="s">
        <v>385</v>
      </c>
      <c r="U71" s="41">
        <f>D71/'1. Väestöennuste'!E71*1000</f>
        <v>-4509.1069244656683</v>
      </c>
      <c r="V71" s="41">
        <f>E71/'1. Väestöennuste'!F71*1000</f>
        <v>-4550.4717320849841</v>
      </c>
      <c r="W71" s="41">
        <f>F71/'1. Väestöennuste'!G71*1000</f>
        <v>-4477.6300396610268</v>
      </c>
      <c r="X71" s="41">
        <f>G71/'1. Väestöennuste'!H71*1000</f>
        <v>-4610.9479494710022</v>
      </c>
      <c r="Y71" s="41">
        <f>H71/'1. Väestöennuste'!I71*1000</f>
        <v>-4824.1362359550567</v>
      </c>
      <c r="Z71" s="41">
        <f>I71/'1. Väestöennuste'!J71*1000</f>
        <v>-5013.16413331474</v>
      </c>
      <c r="AA71" s="41">
        <f>J71/'1. Väestöennuste'!K71*1000</f>
        <v>-5310.483894568536</v>
      </c>
      <c r="AB71" s="41">
        <f>K71/'1. Väestöennuste'!L71*1000</f>
        <v>-5616.4527607668942</v>
      </c>
      <c r="AC71" s="41">
        <f>L71/'1. Väestöennuste'!M71*1000</f>
        <v>-2279.2944555520962</v>
      </c>
      <c r="AD71" s="41">
        <f>M71/'1. Väestöennuste'!N71*1000</f>
        <v>-2191.6164606455227</v>
      </c>
      <c r="AE71" s="41">
        <f>N71/'1. Väestöennuste'!O71*1000</f>
        <v>-2692.0872986939271</v>
      </c>
      <c r="AF71" s="41">
        <f>O71/'1. Väestöennuste'!P71*1000</f>
        <v>-2785.7703940500423</v>
      </c>
      <c r="AG71" s="41">
        <f>P71/'1. Väestöennuste'!Q71*1000</f>
        <v>-2878.0920879347591</v>
      </c>
      <c r="AH71" s="41">
        <f>Q71/'1. Väestöennuste'!R71*1000</f>
        <v>-2954.0651107961417</v>
      </c>
    </row>
    <row r="72" spans="1:34" customFormat="1" x14ac:dyDescent="0.25">
      <c r="A72" s="99">
        <v>4</v>
      </c>
      <c r="B72" s="30">
        <v>181</v>
      </c>
      <c r="C72" s="47" t="s">
        <v>386</v>
      </c>
      <c r="D72" s="65">
        <v>-11220</v>
      </c>
      <c r="E72" s="157">
        <v>-11507</v>
      </c>
      <c r="F72" s="157">
        <v>-11228</v>
      </c>
      <c r="G72" s="157">
        <v>-10596</v>
      </c>
      <c r="H72" s="43">
        <v>-10873</v>
      </c>
      <c r="I72" s="43">
        <v>-10466</v>
      </c>
      <c r="J72" s="159">
        <v>-10746.315970000001</v>
      </c>
      <c r="K72" s="43">
        <v>-11561.157220000001</v>
      </c>
      <c r="L72" s="43">
        <v>-4236.8862800000006</v>
      </c>
      <c r="M72" s="43">
        <f>'2.1. Toimintakatennuste'!AX63</f>
        <v>-4812.1811514923102</v>
      </c>
      <c r="N72" s="43">
        <f>$N$6*'2.1. Toimintakatennuste'!AG63</f>
        <v>-4760.8488642015982</v>
      </c>
      <c r="O72" s="43">
        <f>$O$6*'2.1. Toimintakatennuste'!AH63</f>
        <v>-4941.221913543287</v>
      </c>
      <c r="P72" s="43">
        <f>P$6*'2.1. Toimintakatennuste'!AI63</f>
        <v>-5111.0286617808288</v>
      </c>
      <c r="Q72" s="43">
        <f>Q$6*'2.1. Toimintakatennuste'!AJ63</f>
        <v>-5221.9046523863126</v>
      </c>
      <c r="R72" s="117"/>
      <c r="S72" s="34">
        <v>181</v>
      </c>
      <c r="T72" s="88" t="s">
        <v>386</v>
      </c>
      <c r="U72" s="41">
        <f>D72/'1. Väestöennuste'!E72*1000</f>
        <v>-5759.7535934291582</v>
      </c>
      <c r="V72" s="41">
        <f>E72/'1. Väestöennuste'!F72*1000</f>
        <v>-6008.8772845952999</v>
      </c>
      <c r="W72" s="41">
        <f>F72/'1. Väestöennuste'!G72*1000</f>
        <v>-6013.9260846277457</v>
      </c>
      <c r="X72" s="41">
        <f>G72/'1. Väestöennuste'!H72*1000</f>
        <v>-5857.3797678275296</v>
      </c>
      <c r="Y72" s="41">
        <f>H72/'1. Väestöennuste'!I72*1000</f>
        <v>-6252.4439332949969</v>
      </c>
      <c r="Z72" s="41">
        <f>I72/'1. Väestöennuste'!J72*1000</f>
        <v>-6131.2243702401875</v>
      </c>
      <c r="AA72" s="41">
        <f>J72/'1. Väestöennuste'!K72*1000</f>
        <v>-6377.635590504452</v>
      </c>
      <c r="AB72" s="41">
        <f>K72/'1. Väestöennuste'!L72*1000</f>
        <v>-6869.3744622697568</v>
      </c>
      <c r="AC72" s="41">
        <f>L72/'1. Väestöennuste'!M72*1000</f>
        <v>-2518.9573602853748</v>
      </c>
      <c r="AD72" s="41">
        <f>M72/'1. Väestöennuste'!N72*1000</f>
        <v>-3076.8421684733444</v>
      </c>
      <c r="AE72" s="41">
        <f>N72/'1. Väestöennuste'!O72*1000</f>
        <v>-3101.5302046915949</v>
      </c>
      <c r="AF72" s="41">
        <f>O72/'1. Väestöennuste'!P72*1000</f>
        <v>-3278.8466579583855</v>
      </c>
      <c r="AG72" s="41">
        <f>P72/'1. Väestöennuste'!Q72*1000</f>
        <v>-3458.0708131128745</v>
      </c>
      <c r="AH72" s="41">
        <f>Q72/'1. Väestöennuste'!R72*1000</f>
        <v>-3593.8779438309102</v>
      </c>
    </row>
    <row r="73" spans="1:34" customFormat="1" x14ac:dyDescent="0.25">
      <c r="A73" s="99">
        <v>13</v>
      </c>
      <c r="B73" s="30">
        <v>182</v>
      </c>
      <c r="C73" s="47" t="s">
        <v>387</v>
      </c>
      <c r="D73" s="65">
        <v>-122501</v>
      </c>
      <c r="E73" s="157">
        <v>-125494</v>
      </c>
      <c r="F73" s="157">
        <v>-124824</v>
      </c>
      <c r="G73" s="157">
        <v>-122256</v>
      </c>
      <c r="H73" s="43">
        <v>-122655</v>
      </c>
      <c r="I73" s="43">
        <v>-126822</v>
      </c>
      <c r="J73" s="159">
        <v>-130780.29653000001</v>
      </c>
      <c r="K73" s="43">
        <v>-138036.80601</v>
      </c>
      <c r="L73" s="43">
        <v>-44922.604439999996</v>
      </c>
      <c r="M73" s="43">
        <f>'2.1. Toimintakatennuste'!AX64</f>
        <v>-44447.997886337682</v>
      </c>
      <c r="N73" s="43">
        <f>$N$6*'2.1. Toimintakatennuste'!AG64</f>
        <v>-49981.845962489977</v>
      </c>
      <c r="O73" s="43">
        <f>$O$6*'2.1. Toimintakatennuste'!AH64</f>
        <v>-50791.540316440049</v>
      </c>
      <c r="P73" s="43">
        <f>P$6*'2.1. Toimintakatennuste'!AI64</f>
        <v>-51271.091495130837</v>
      </c>
      <c r="Q73" s="43">
        <f>Q$6*'2.1. Toimintakatennuste'!AJ64</f>
        <v>-51507.227228019743</v>
      </c>
      <c r="R73" s="117"/>
      <c r="S73" s="34">
        <v>182</v>
      </c>
      <c r="T73" s="88" t="s">
        <v>387</v>
      </c>
      <c r="U73" s="41">
        <f>D73/'1. Väestöennuste'!E73*1000</f>
        <v>-5686.6121994243804</v>
      </c>
      <c r="V73" s="41">
        <f>E73/'1. Väestöennuste'!F73*1000</f>
        <v>-5903.0998635871865</v>
      </c>
      <c r="W73" s="41">
        <f>F73/'1. Väestöennuste'!G73*1000</f>
        <v>-5979.019974134214</v>
      </c>
      <c r="X73" s="41">
        <f>G73/'1. Väestöennuste'!H73*1000</f>
        <v>-5932.74130149949</v>
      </c>
      <c r="Y73" s="41">
        <f>H73/'1. Väestöennuste'!I73*1000</f>
        <v>-6077.4452482410061</v>
      </c>
      <c r="Z73" s="41">
        <f>I73/'1. Väestöennuste'!J73*1000</f>
        <v>-6377.1307889576101</v>
      </c>
      <c r="AA73" s="41">
        <f>J73/'1. Väestöennuste'!K73*1000</f>
        <v>-6616.0923018161584</v>
      </c>
      <c r="AB73" s="41">
        <f>K73/'1. Väestöennuste'!L73*1000</f>
        <v>-7134.7912342998916</v>
      </c>
      <c r="AC73" s="41">
        <f>L73/'1. Väestöennuste'!M73*1000</f>
        <v>-2341.9145261182357</v>
      </c>
      <c r="AD73" s="41">
        <f>M73/'1. Väestöennuste'!N73*1000</f>
        <v>-2386.3415594511803</v>
      </c>
      <c r="AE73" s="41">
        <f>N73/'1. Väestöennuste'!O73*1000</f>
        <v>-2722.0262478210425</v>
      </c>
      <c r="AF73" s="41">
        <f>O73/'1. Väestöennuste'!P73*1000</f>
        <v>-2805.5424390433077</v>
      </c>
      <c r="AG73" s="41">
        <f>P73/'1. Väestöennuste'!Q73*1000</f>
        <v>-2870.8825519419252</v>
      </c>
      <c r="AH73" s="41">
        <f>Q73/'1. Väestöennuste'!R73*1000</f>
        <v>-2923.391068052656</v>
      </c>
    </row>
    <row r="74" spans="1:34" customFormat="1" x14ac:dyDescent="0.25">
      <c r="A74" s="99">
        <v>1</v>
      </c>
      <c r="B74" s="30">
        <v>186</v>
      </c>
      <c r="C74" s="47" t="s">
        <v>388</v>
      </c>
      <c r="D74" s="65">
        <v>-189780</v>
      </c>
      <c r="E74" s="157">
        <v>-193140</v>
      </c>
      <c r="F74" s="157">
        <v>-192018</v>
      </c>
      <c r="G74" s="157">
        <v>-205982</v>
      </c>
      <c r="H74" s="43">
        <v>-232567</v>
      </c>
      <c r="I74" s="43">
        <v>-230152</v>
      </c>
      <c r="J74" s="159">
        <v>-233172.49956999996</v>
      </c>
      <c r="K74" s="43">
        <v>-258455.22344</v>
      </c>
      <c r="L74" s="43">
        <v>-102986.40999</v>
      </c>
      <c r="M74" s="43">
        <f>'2.1. Toimintakatennuste'!AX65</f>
        <v>-96600.922186963988</v>
      </c>
      <c r="N74" s="43">
        <f>$N$6*'2.1. Toimintakatennuste'!AG65</f>
        <v>-119541.55774493625</v>
      </c>
      <c r="O74" s="43">
        <f>$O$6*'2.1. Toimintakatennuste'!AH65</f>
        <v>-125433.60121946396</v>
      </c>
      <c r="P74" s="43">
        <f>P$6*'2.1. Toimintakatennuste'!AI65</f>
        <v>-131293.36179990054</v>
      </c>
      <c r="Q74" s="43">
        <f>Q$6*'2.1. Toimintakatennuste'!AJ65</f>
        <v>-136555.82495032123</v>
      </c>
      <c r="R74" s="117"/>
      <c r="S74" s="34">
        <v>186</v>
      </c>
      <c r="T74" s="88" t="s">
        <v>388</v>
      </c>
      <c r="U74" s="41">
        <f>D74/'1. Väestöennuste'!E74*1000</f>
        <v>-4640.0977995110024</v>
      </c>
      <c r="V74" s="41">
        <f>E74/'1. Väestöennuste'!F74*1000</f>
        <v>-4650.7259986997042</v>
      </c>
      <c r="W74" s="41">
        <f>F74/'1. Väestöennuste'!G74*1000</f>
        <v>-4510.4293902095269</v>
      </c>
      <c r="X74" s="41">
        <f>G74/'1. Väestöennuste'!H74*1000</f>
        <v>-4745.035706058512</v>
      </c>
      <c r="Y74" s="41">
        <f>H74/'1. Väestöennuste'!I74*1000</f>
        <v>-5320.5600420946666</v>
      </c>
      <c r="Z74" s="41">
        <f>I74/'1. Väestöennuste'!J74*1000</f>
        <v>-5177.1904172758968</v>
      </c>
      <c r="AA74" s="41">
        <f>J74/'1. Väestöennuste'!K74*1000</f>
        <v>-5155.7179403440487</v>
      </c>
      <c r="AB74" s="41">
        <f>K74/'1. Väestöennuste'!L74*1000</f>
        <v>-5664.151291694061</v>
      </c>
      <c r="AC74" s="41">
        <f>L74/'1. Väestöennuste'!M74*1000</f>
        <v>-2215.2379004086902</v>
      </c>
      <c r="AD74" s="41">
        <f>M74/'1. Väestöennuste'!N74*1000</f>
        <v>-2048.3656104106021</v>
      </c>
      <c r="AE74" s="41">
        <f>N74/'1. Väestöennuste'!O74*1000</f>
        <v>-2502.7019312244579</v>
      </c>
      <c r="AF74" s="41">
        <f>O74/'1. Väestöennuste'!P74*1000</f>
        <v>-2594.8200500509715</v>
      </c>
      <c r="AG74" s="41">
        <f>P74/'1. Väestöennuste'!Q74*1000</f>
        <v>-2685.3751493066461</v>
      </c>
      <c r="AH74" s="41">
        <f>Q74/'1. Väestöennuste'!R74*1000</f>
        <v>-2763.5047749690621</v>
      </c>
    </row>
    <row r="75" spans="1:34" customFormat="1" x14ac:dyDescent="0.25">
      <c r="A75" s="99">
        <v>2</v>
      </c>
      <c r="B75" s="30">
        <v>202</v>
      </c>
      <c r="C75" s="47" t="s">
        <v>389</v>
      </c>
      <c r="D75" s="65">
        <v>-152217</v>
      </c>
      <c r="E75" s="157">
        <v>-155254</v>
      </c>
      <c r="F75" s="157">
        <v>-154069</v>
      </c>
      <c r="G75" s="157">
        <v>-162507</v>
      </c>
      <c r="H75" s="43">
        <v>-171510</v>
      </c>
      <c r="I75" s="43">
        <v>-174246</v>
      </c>
      <c r="J75" s="159">
        <v>-180552.71502999999</v>
      </c>
      <c r="K75" s="43">
        <v>-195015.38594000001</v>
      </c>
      <c r="L75" s="43">
        <v>-91852.562189999997</v>
      </c>
      <c r="M75" s="43">
        <f>'2.1. Toimintakatennuste'!AX66</f>
        <v>-96182.405575965357</v>
      </c>
      <c r="N75" s="43">
        <f>$N$6*'2.1. Toimintakatennuste'!AG66</f>
        <v>-106367.21137846053</v>
      </c>
      <c r="O75" s="43">
        <f>$O$6*'2.1. Toimintakatennuste'!AH66</f>
        <v>-110938.3121224333</v>
      </c>
      <c r="P75" s="43">
        <f>P$6*'2.1. Toimintakatennuste'!AI66</f>
        <v>-116203.24291810965</v>
      </c>
      <c r="Q75" s="43">
        <f>Q$6*'2.1. Toimintakatennuste'!AJ66</f>
        <v>-120984.27209265936</v>
      </c>
      <c r="R75" s="117"/>
      <c r="S75" s="34">
        <v>202</v>
      </c>
      <c r="T75" s="88" t="s">
        <v>389</v>
      </c>
      <c r="U75" s="41">
        <f>D75/'1. Väestöennuste'!E75*1000</f>
        <v>-4670.6658484197606</v>
      </c>
      <c r="V75" s="41">
        <f>E75/'1. Väestöennuste'!F75*1000</f>
        <v>-4742.3177958335882</v>
      </c>
      <c r="W75" s="41">
        <f>F75/'1. Väestöennuste'!G75*1000</f>
        <v>-4654.7931961690683</v>
      </c>
      <c r="X75" s="41">
        <f>G75/'1. Väestöennuste'!H75*1000</f>
        <v>-4857.044652997788</v>
      </c>
      <c r="Y75" s="41">
        <f>H75/'1. Väestöennuste'!I75*1000</f>
        <v>-5053.7761145652239</v>
      </c>
      <c r="Z75" s="41">
        <f>I75/'1. Väestöennuste'!J75*1000</f>
        <v>-5026.2785934750627</v>
      </c>
      <c r="AA75" s="41">
        <f>J75/'1. Väestöennuste'!K75*1000</f>
        <v>-5086.4218111389691</v>
      </c>
      <c r="AB75" s="41">
        <f>K75/'1. Väestöennuste'!L75*1000</f>
        <v>-5440.0632096630216</v>
      </c>
      <c r="AC75" s="41">
        <f>L75/'1. Väestöennuste'!M75*1000</f>
        <v>-2527.6579484850986</v>
      </c>
      <c r="AD75" s="41">
        <f>M75/'1. Väestöennuste'!N75*1000</f>
        <v>-2632.1777065752267</v>
      </c>
      <c r="AE75" s="41">
        <f>N75/'1. Väestöennuste'!O75*1000</f>
        <v>-2878.8354275863521</v>
      </c>
      <c r="AF75" s="41">
        <f>O75/'1. Väestöennuste'!P75*1000</f>
        <v>-2971.4292787580903</v>
      </c>
      <c r="AG75" s="41">
        <f>P75/'1. Väestöennuste'!Q75*1000</f>
        <v>-3082.2323789318493</v>
      </c>
      <c r="AH75" s="41">
        <f>Q75/'1. Väestöennuste'!R75*1000</f>
        <v>-3179.9472242196121</v>
      </c>
    </row>
    <row r="76" spans="1:34" customFormat="1" x14ac:dyDescent="0.25">
      <c r="A76" s="99">
        <v>11</v>
      </c>
      <c r="B76" s="30">
        <v>204</v>
      </c>
      <c r="C76" s="47" t="s">
        <v>390</v>
      </c>
      <c r="D76" s="65">
        <v>-21246</v>
      </c>
      <c r="E76" s="157">
        <v>-21527</v>
      </c>
      <c r="F76" s="157">
        <v>-21600</v>
      </c>
      <c r="G76" s="157">
        <v>-21713</v>
      </c>
      <c r="H76" s="43">
        <v>-21340</v>
      </c>
      <c r="I76" s="43">
        <v>-21110</v>
      </c>
      <c r="J76" s="159">
        <v>-22035.84044</v>
      </c>
      <c r="K76" s="43">
        <v>-22979.686160000001</v>
      </c>
      <c r="L76" s="43">
        <v>-6484.5271299999995</v>
      </c>
      <c r="M76" s="43">
        <f>'2.1. Toimintakatennuste'!AX67</f>
        <v>-5698.3712608308924</v>
      </c>
      <c r="N76" s="43">
        <f>$N$6*'2.1. Toimintakatennuste'!AG67</f>
        <v>-7520.0813211463055</v>
      </c>
      <c r="O76" s="43">
        <f>$O$6*'2.1. Toimintakatennuste'!AH67</f>
        <v>-7871.1241019040453</v>
      </c>
      <c r="P76" s="43">
        <f>P$6*'2.1. Toimintakatennuste'!AI67</f>
        <v>-8092.7939125355615</v>
      </c>
      <c r="Q76" s="43">
        <f>Q$6*'2.1. Toimintakatennuste'!AJ67</f>
        <v>-8358.335892968882</v>
      </c>
      <c r="R76" s="117"/>
      <c r="S76" s="34">
        <v>204</v>
      </c>
      <c r="T76" s="88" t="s">
        <v>390</v>
      </c>
      <c r="U76" s="41">
        <f>D76/'1. Väestöennuste'!E76*1000</f>
        <v>-6651.8472135253605</v>
      </c>
      <c r="V76" s="41">
        <f>E76/'1. Väestöennuste'!F76*1000</f>
        <v>-6825.3012048192768</v>
      </c>
      <c r="W76" s="41">
        <f>F76/'1. Väestöennuste'!G76*1000</f>
        <v>-7086.6141732283459</v>
      </c>
      <c r="X76" s="41">
        <f>G76/'1. Väestöennuste'!H76*1000</f>
        <v>-7261.8729096989964</v>
      </c>
      <c r="Y76" s="41">
        <f>H76/'1. Väestöennuste'!I76*1000</f>
        <v>-7376.4258555133083</v>
      </c>
      <c r="Z76" s="41">
        <f>I76/'1. Väestöennuste'!J76*1000</f>
        <v>-7520.484503028144</v>
      </c>
      <c r="AA76" s="41">
        <f>J76/'1. Väestöennuste'!K76*1000</f>
        <v>-7932.2679769618435</v>
      </c>
      <c r="AB76" s="41">
        <f>K76/'1. Väestöennuste'!L76*1000</f>
        <v>-8545.8111416883603</v>
      </c>
      <c r="AC76" s="41">
        <f>L76/'1. Väestöennuste'!M76*1000</f>
        <v>-2467.4760768645356</v>
      </c>
      <c r="AD76" s="41">
        <f>M76/'1. Väestöennuste'!N76*1000</f>
        <v>-2214.6798526354032</v>
      </c>
      <c r="AE76" s="41">
        <f>N76/'1. Väestöennuste'!O76*1000</f>
        <v>-2973.5394705995668</v>
      </c>
      <c r="AF76" s="41">
        <f>O76/'1. Väestöennuste'!P76*1000</f>
        <v>-3162.3640425488329</v>
      </c>
      <c r="AG76" s="41">
        <f>P76/'1. Väestöennuste'!Q76*1000</f>
        <v>-3301.8335016464962</v>
      </c>
      <c r="AH76" s="41">
        <f>Q76/'1. Väestöennuste'!R76*1000</f>
        <v>-3463.8772867670464</v>
      </c>
    </row>
    <row r="77" spans="1:34" customFormat="1" x14ac:dyDescent="0.25">
      <c r="A77" s="99">
        <v>18</v>
      </c>
      <c r="B77" s="30">
        <v>205</v>
      </c>
      <c r="C77" s="47" t="s">
        <v>391</v>
      </c>
      <c r="D77" s="65">
        <v>-230777</v>
      </c>
      <c r="E77" s="157">
        <v>-232207</v>
      </c>
      <c r="F77" s="157">
        <v>-232275</v>
      </c>
      <c r="G77" s="157">
        <v>-241462</v>
      </c>
      <c r="H77" s="43">
        <v>-254859</v>
      </c>
      <c r="I77" s="43">
        <v>-262295</v>
      </c>
      <c r="J77" s="159">
        <v>-264525.15849</v>
      </c>
      <c r="K77" s="43">
        <v>-268816.43507000001</v>
      </c>
      <c r="L77" s="43">
        <v>-125232.05882999999</v>
      </c>
      <c r="M77" s="43">
        <f>'2.1. Toimintakatennuste'!AX68</f>
        <v>-125953.15581316259</v>
      </c>
      <c r="N77" s="43">
        <f>$N$6*'2.1. Toimintakatennuste'!AG68</f>
        <v>-142945.43384280006</v>
      </c>
      <c r="O77" s="43">
        <f>$O$6*'2.1. Toimintakatennuste'!AH68</f>
        <v>-147653.66168115981</v>
      </c>
      <c r="P77" s="43">
        <f>P$6*'2.1. Toimintakatennuste'!AI68</f>
        <v>-152158.21268215228</v>
      </c>
      <c r="Q77" s="43">
        <f>Q$6*'2.1. Toimintakatennuste'!AJ68</f>
        <v>-155979.40647912709</v>
      </c>
      <c r="R77" s="117"/>
      <c r="S77" s="34">
        <v>205</v>
      </c>
      <c r="T77" s="88" t="s">
        <v>391</v>
      </c>
      <c r="U77" s="41">
        <f>D77/'1. Väestöennuste'!E77*1000</f>
        <v>-6134.0970708627929</v>
      </c>
      <c r="V77" s="41">
        <f>E77/'1. Väestöennuste'!F77*1000</f>
        <v>-6188.7209829162339</v>
      </c>
      <c r="W77" s="41">
        <f>F77/'1. Väestöennuste'!G77*1000</f>
        <v>-6237.4123902360425</v>
      </c>
      <c r="X77" s="41">
        <f>G77/'1. Väestöennuste'!H77*1000</f>
        <v>-6530.7656938847267</v>
      </c>
      <c r="Y77" s="41">
        <f>H77/'1. Väestöennuste'!I77*1000</f>
        <v>-6942.6843553352037</v>
      </c>
      <c r="Z77" s="41">
        <f>I77/'1. Väestöennuste'!J77*1000</f>
        <v>-7172.9975114173976</v>
      </c>
      <c r="AA77" s="41">
        <f>J77/'1. Väestöennuste'!K77*1000</f>
        <v>-7248.6547691338064</v>
      </c>
      <c r="AB77" s="41">
        <f>K77/'1. Väestöennuste'!L77*1000</f>
        <v>-7406.023502493319</v>
      </c>
      <c r="AC77" s="41">
        <f>L77/'1. Väestöennuste'!M77*1000</f>
        <v>-3429.7937400377946</v>
      </c>
      <c r="AD77" s="41">
        <f>M77/'1. Väestöennuste'!N77*1000</f>
        <v>-3509.7153791947667</v>
      </c>
      <c r="AE77" s="41">
        <f>N77/'1. Väestöennuste'!O77*1000</f>
        <v>-4003.8494718167062</v>
      </c>
      <c r="AF77" s="41">
        <f>O77/'1. Väestöennuste'!P77*1000</f>
        <v>-4158.0867834739456</v>
      </c>
      <c r="AG77" s="41">
        <f>P77/'1. Väestöennuste'!Q77*1000</f>
        <v>-4307.8681997155309</v>
      </c>
      <c r="AH77" s="41">
        <f>Q77/'1. Väestöennuste'!R77*1000</f>
        <v>-4440.6948463808421</v>
      </c>
    </row>
    <row r="78" spans="1:34" customFormat="1" x14ac:dyDescent="0.25">
      <c r="A78" s="99">
        <v>17</v>
      </c>
      <c r="B78" s="30">
        <v>208</v>
      </c>
      <c r="C78" s="47" t="s">
        <v>392</v>
      </c>
      <c r="D78" s="65">
        <v>-61456</v>
      </c>
      <c r="E78" s="157">
        <v>-63979</v>
      </c>
      <c r="F78" s="157">
        <v>-64779</v>
      </c>
      <c r="G78" s="157">
        <v>-64178</v>
      </c>
      <c r="H78" s="43">
        <v>-68249</v>
      </c>
      <c r="I78" s="43">
        <v>-72036</v>
      </c>
      <c r="J78" s="159">
        <v>-75799.494579999999</v>
      </c>
      <c r="K78" s="43">
        <v>-78751.989060000007</v>
      </c>
      <c r="L78" s="43">
        <v>-34969.101770000001</v>
      </c>
      <c r="M78" s="43">
        <f>'2.1. Toimintakatennuste'!AX69</f>
        <v>-37403.731207781391</v>
      </c>
      <c r="N78" s="43">
        <f>$N$6*'2.1. Toimintakatennuste'!AG69</f>
        <v>-38154.464782139767</v>
      </c>
      <c r="O78" s="43">
        <f>$O$6*'2.1. Toimintakatennuste'!AH69</f>
        <v>-39426.065717315687</v>
      </c>
      <c r="P78" s="43">
        <f>P$6*'2.1. Toimintakatennuste'!AI69</f>
        <v>-40349.204725135343</v>
      </c>
      <c r="Q78" s="43">
        <f>Q$6*'2.1. Toimintakatennuste'!AJ69</f>
        <v>-41082.672003517</v>
      </c>
      <c r="R78" s="117"/>
      <c r="S78" s="34">
        <v>208</v>
      </c>
      <c r="T78" s="88" t="s">
        <v>392</v>
      </c>
      <c r="U78" s="41">
        <f>D78/'1. Väestöennuste'!E78*1000</f>
        <v>-4869.3447428888358</v>
      </c>
      <c r="V78" s="41">
        <f>E78/'1. Väestöennuste'!F78*1000</f>
        <v>-5083.3465755601455</v>
      </c>
      <c r="W78" s="41">
        <f>F78/'1. Väestöennuste'!G78*1000</f>
        <v>-5175.6951102588691</v>
      </c>
      <c r="X78" s="41">
        <f>G78/'1. Väestöennuste'!H78*1000</f>
        <v>-5181.0769354968916</v>
      </c>
      <c r="Y78" s="41">
        <f>H78/'1. Väestöennuste'!I78*1000</f>
        <v>-5515.9621757051646</v>
      </c>
      <c r="Z78" s="41">
        <f>I78/'1. Väestöennuste'!J78*1000</f>
        <v>-5809.354838709678</v>
      </c>
      <c r="AA78" s="41">
        <f>J78/'1. Väestöennuste'!K78*1000</f>
        <v>-6106.9525120850785</v>
      </c>
      <c r="AB78" s="41">
        <f>K78/'1. Väestöennuste'!L78*1000</f>
        <v>-6384.4336489663565</v>
      </c>
      <c r="AC78" s="41">
        <f>L78/'1. Väestöennuste'!M78*1000</f>
        <v>-2826.4712067571936</v>
      </c>
      <c r="AD78" s="41">
        <f>M78/'1. Väestöennuste'!N78*1000</f>
        <v>-3061.8640477882605</v>
      </c>
      <c r="AE78" s="41">
        <f>N78/'1. Väestöennuste'!O78*1000</f>
        <v>-3137.9607518825369</v>
      </c>
      <c r="AF78" s="41">
        <f>O78/'1. Väestöennuste'!P78*1000</f>
        <v>-3258.3525386211313</v>
      </c>
      <c r="AG78" s="41">
        <f>P78/'1. Väestöennuste'!Q78*1000</f>
        <v>-3351.8196315945625</v>
      </c>
      <c r="AH78" s="41">
        <f>Q78/'1. Väestöennuste'!R78*1000</f>
        <v>-3430.9898115514452</v>
      </c>
    </row>
    <row r="79" spans="1:34" customFormat="1" x14ac:dyDescent="0.25">
      <c r="A79" s="99">
        <v>6</v>
      </c>
      <c r="B79" s="30">
        <v>211</v>
      </c>
      <c r="C79" s="47" t="s">
        <v>393</v>
      </c>
      <c r="D79" s="65">
        <v>-140514</v>
      </c>
      <c r="E79" s="157">
        <v>-142344</v>
      </c>
      <c r="F79" s="157">
        <v>-143785</v>
      </c>
      <c r="G79" s="157">
        <v>-155952</v>
      </c>
      <c r="H79" s="43">
        <v>-158821</v>
      </c>
      <c r="I79" s="43">
        <v>-159924</v>
      </c>
      <c r="J79" s="159">
        <v>-173984.80821000002</v>
      </c>
      <c r="K79" s="43">
        <v>-188352.61379</v>
      </c>
      <c r="L79" s="43">
        <v>-89636.140900000013</v>
      </c>
      <c r="M79" s="43">
        <f>'2.1. Toimintakatennuste'!AX70</f>
        <v>-97716.712172379266</v>
      </c>
      <c r="N79" s="43">
        <f>$N$6*'2.1. Toimintakatennuste'!AG70</f>
        <v>-100402.6994330239</v>
      </c>
      <c r="O79" s="43">
        <f>$O$6*'2.1. Toimintakatennuste'!AH70</f>
        <v>-103946.02679405376</v>
      </c>
      <c r="P79" s="43">
        <f>P$6*'2.1. Toimintakatennuste'!AI70</f>
        <v>-108334.4380621913</v>
      </c>
      <c r="Q79" s="43">
        <f>Q$6*'2.1. Toimintakatennuste'!AJ70</f>
        <v>-112310.64164489655</v>
      </c>
      <c r="R79" s="117"/>
      <c r="S79" s="34">
        <v>211</v>
      </c>
      <c r="T79" s="88" t="s">
        <v>393</v>
      </c>
      <c r="U79" s="41">
        <f>D79/'1. Väestöennuste'!E79*1000</f>
        <v>-4590.9105760120228</v>
      </c>
      <c r="V79" s="41">
        <f>E79/'1. Väestöennuste'!F79*1000</f>
        <v>-4563.770439243347</v>
      </c>
      <c r="W79" s="41">
        <f>F79/'1. Väestöennuste'!G79*1000</f>
        <v>-4573.7506759550843</v>
      </c>
      <c r="X79" s="41">
        <f>G79/'1. Väestöennuste'!H79*1000</f>
        <v>-4923.3489076903652</v>
      </c>
      <c r="Y79" s="41">
        <f>H79/'1. Väestöennuste'!I79*1000</f>
        <v>-4983.714070540982</v>
      </c>
      <c r="Z79" s="41">
        <f>I79/'1. Väestöennuste'!J79*1000</f>
        <v>-4964.4254051033713</v>
      </c>
      <c r="AA79" s="41">
        <f>J79/'1. Väestöennuste'!K79*1000</f>
        <v>-5333.3581083318013</v>
      </c>
      <c r="AB79" s="41">
        <f>K79/'1. Väestöennuste'!L79*1000</f>
        <v>-5714.7551136260199</v>
      </c>
      <c r="AC79" s="41">
        <f>L79/'1. Väestöennuste'!M79*1000</f>
        <v>-2677.8639769366359</v>
      </c>
      <c r="AD79" s="41">
        <f>M79/'1. Väestöennuste'!N79*1000</f>
        <v>-2940.8827812435447</v>
      </c>
      <c r="AE79" s="41">
        <f>N79/'1. Väestöennuste'!O79*1000</f>
        <v>-3001.0371662190305</v>
      </c>
      <c r="AF79" s="41">
        <f>O79/'1. Väestöennuste'!P79*1000</f>
        <v>-3087.016714007299</v>
      </c>
      <c r="AG79" s="41">
        <f>P79/'1. Väestöennuste'!Q79*1000</f>
        <v>-3197.7813938895833</v>
      </c>
      <c r="AH79" s="41">
        <f>Q79/'1. Väestöennuste'!R79*1000</f>
        <v>-3295.9836139368026</v>
      </c>
    </row>
    <row r="80" spans="1:34" customFormat="1" x14ac:dyDescent="0.25">
      <c r="A80" s="99">
        <v>10</v>
      </c>
      <c r="B80" s="30">
        <v>213</v>
      </c>
      <c r="C80" s="47" t="s">
        <v>394</v>
      </c>
      <c r="D80" s="65">
        <v>-35318</v>
      </c>
      <c r="E80" s="157">
        <v>-35209</v>
      </c>
      <c r="F80" s="157">
        <v>-34570</v>
      </c>
      <c r="G80" s="157">
        <v>-35358</v>
      </c>
      <c r="H80" s="43">
        <v>-36199</v>
      </c>
      <c r="I80" s="43">
        <v>-35690</v>
      </c>
      <c r="J80" s="159">
        <v>-38761.505840000005</v>
      </c>
      <c r="K80" s="43">
        <v>-40155.351299999995</v>
      </c>
      <c r="L80" s="43">
        <v>-13025.305920000001</v>
      </c>
      <c r="M80" s="43">
        <f>'2.1. Toimintakatennuste'!AX71</f>
        <v>-12683.115387826523</v>
      </c>
      <c r="N80" s="43">
        <f>$N$6*'2.1. Toimintakatennuste'!AG71</f>
        <v>-14637.285518117411</v>
      </c>
      <c r="O80" s="43">
        <f>$O$6*'2.1. Toimintakatennuste'!AH71</f>
        <v>-15023.35120123482</v>
      </c>
      <c r="P80" s="43">
        <f>P$6*'2.1. Toimintakatennuste'!AI71</f>
        <v>-15291.570779989963</v>
      </c>
      <c r="Q80" s="43">
        <f>Q$6*'2.1. Toimintakatennuste'!AJ71</f>
        <v>-15453.981696720508</v>
      </c>
      <c r="R80" s="117"/>
      <c r="S80" s="34">
        <v>213</v>
      </c>
      <c r="T80" s="88" t="s">
        <v>394</v>
      </c>
      <c r="U80" s="41">
        <f>D80/'1. Väestöennuste'!E80*1000</f>
        <v>-6275.4086709310586</v>
      </c>
      <c r="V80" s="41">
        <f>E80/'1. Väestöennuste'!F80*1000</f>
        <v>-6283.9550240942353</v>
      </c>
      <c r="W80" s="41">
        <f>F80/'1. Väestöennuste'!G80*1000</f>
        <v>-6229.9513425842497</v>
      </c>
      <c r="X80" s="41">
        <f>G80/'1. Väestöennuste'!H80*1000</f>
        <v>-6485.3264856933238</v>
      </c>
      <c r="Y80" s="41">
        <f>H80/'1. Väestöennuste'!I80*1000</f>
        <v>-6758.5884988797607</v>
      </c>
      <c r="Z80" s="41">
        <f>I80/'1. Väestöennuste'!J80*1000</f>
        <v>-6718.75</v>
      </c>
      <c r="AA80" s="41">
        <f>J80/'1. Väestöennuste'!K80*1000</f>
        <v>-7411.3777896749525</v>
      </c>
      <c r="AB80" s="41">
        <f>K80/'1. Väestöennuste'!L80*1000</f>
        <v>-7791.1042491268909</v>
      </c>
      <c r="AC80" s="41">
        <f>L80/'1. Väestöennuste'!M80*1000</f>
        <v>-2546.9898161908486</v>
      </c>
      <c r="AD80" s="41">
        <f>M80/'1. Väestöennuste'!N80*1000</f>
        <v>-2503.0817816906497</v>
      </c>
      <c r="AE80" s="41">
        <f>N80/'1. Väestöennuste'!O80*1000</f>
        <v>-2921.0308357847557</v>
      </c>
      <c r="AF80" s="41">
        <f>O80/'1. Väestöennuste'!P80*1000</f>
        <v>-3030.7345574409565</v>
      </c>
      <c r="AG80" s="41">
        <f>P80/'1. Väestöennuste'!Q80*1000</f>
        <v>-3118.1832748756042</v>
      </c>
      <c r="AH80" s="41">
        <f>Q80/'1. Väestöennuste'!R80*1000</f>
        <v>-3184.4182354668264</v>
      </c>
    </row>
    <row r="81" spans="1:34" customFormat="1" x14ac:dyDescent="0.25">
      <c r="A81" s="99">
        <v>4</v>
      </c>
      <c r="B81" s="30">
        <v>214</v>
      </c>
      <c r="C81" s="47" t="s">
        <v>395</v>
      </c>
      <c r="D81" s="65">
        <v>-75507</v>
      </c>
      <c r="E81" s="157">
        <v>-74540</v>
      </c>
      <c r="F81" s="157">
        <v>-74202</v>
      </c>
      <c r="G81" s="157">
        <v>-77132</v>
      </c>
      <c r="H81" s="43">
        <v>-77681</v>
      </c>
      <c r="I81" s="43">
        <v>-76132</v>
      </c>
      <c r="J81" s="159">
        <v>-77035.849180000005</v>
      </c>
      <c r="K81" s="43">
        <v>-83072.285730000003</v>
      </c>
      <c r="L81" s="43">
        <v>-31170.304050000002</v>
      </c>
      <c r="M81" s="43">
        <f>'2.1. Toimintakatennuste'!AX72</f>
        <v>-33159.347328374053</v>
      </c>
      <c r="N81" s="43">
        <f>$N$6*'2.1. Toimintakatennuste'!AG72</f>
        <v>-35700.208307784545</v>
      </c>
      <c r="O81" s="43">
        <f>$O$6*'2.1. Toimintakatennuste'!AH72</f>
        <v>-36612.051287849536</v>
      </c>
      <c r="P81" s="43">
        <f>P$6*'2.1. Toimintakatennuste'!AI72</f>
        <v>-37559.036498787245</v>
      </c>
      <c r="Q81" s="43">
        <f>Q$6*'2.1. Toimintakatennuste'!AJ72</f>
        <v>-38120.801241463188</v>
      </c>
      <c r="R81" s="117"/>
      <c r="S81" s="34">
        <v>214</v>
      </c>
      <c r="T81" s="88" t="s">
        <v>395</v>
      </c>
      <c r="U81" s="41">
        <f>D81/'1. Väestöennuste'!E81*1000</f>
        <v>-5567.5416605220471</v>
      </c>
      <c r="V81" s="41">
        <f>E81/'1. Väestöennuste'!F81*1000</f>
        <v>-5564.3475664377429</v>
      </c>
      <c r="W81" s="41">
        <f>F81/'1. Väestöennuste'!G81*1000</f>
        <v>-5582.4556123984357</v>
      </c>
      <c r="X81" s="41">
        <f>G81/'1. Väestöennuste'!H81*1000</f>
        <v>-5871.3557128720404</v>
      </c>
      <c r="Y81" s="41">
        <f>H81/'1. Väestöennuste'!I81*1000</f>
        <v>-6018.9834185650088</v>
      </c>
      <c r="Z81" s="41">
        <f>I81/'1. Väestöennuste'!J81*1000</f>
        <v>-5967.3930083085124</v>
      </c>
      <c r="AA81" s="41">
        <f>J81/'1. Väestöennuste'!K81*1000</f>
        <v>-6084.0190475438321</v>
      </c>
      <c r="AB81" s="41">
        <f>K81/'1. Väestöennuste'!L81*1000</f>
        <v>-6630.929576149425</v>
      </c>
      <c r="AC81" s="41">
        <f>L81/'1. Väestöennuste'!M81*1000</f>
        <v>-2514.9511094077784</v>
      </c>
      <c r="AD81" s="41">
        <f>M81/'1. Väestöennuste'!N81*1000</f>
        <v>-2732.0876104782114</v>
      </c>
      <c r="AE81" s="41">
        <f>N81/'1. Väestöennuste'!O81*1000</f>
        <v>-2975.5132778616889</v>
      </c>
      <c r="AF81" s="41">
        <f>O81/'1. Väestöennuste'!P81*1000</f>
        <v>-3085.4585612548067</v>
      </c>
      <c r="AG81" s="41">
        <f>P81/'1. Väestöennuste'!Q81*1000</f>
        <v>-3198.964014886913</v>
      </c>
      <c r="AH81" s="41">
        <f>Q81/'1. Väestöennuste'!R81*1000</f>
        <v>-3280.9020777573965</v>
      </c>
    </row>
    <row r="82" spans="1:34" customFormat="1" x14ac:dyDescent="0.25">
      <c r="A82" s="99">
        <v>13</v>
      </c>
      <c r="B82" s="30">
        <v>216</v>
      </c>
      <c r="C82" s="47" t="s">
        <v>396</v>
      </c>
      <c r="D82" s="65">
        <v>-9108</v>
      </c>
      <c r="E82" s="157">
        <v>-8658</v>
      </c>
      <c r="F82" s="157">
        <v>-8856</v>
      </c>
      <c r="G82" s="157">
        <v>-8974</v>
      </c>
      <c r="H82" s="43">
        <v>-9472</v>
      </c>
      <c r="I82" s="43">
        <v>-9556</v>
      </c>
      <c r="J82" s="159">
        <v>-10293.796859999999</v>
      </c>
      <c r="K82" s="43">
        <v>-11466.65596</v>
      </c>
      <c r="L82" s="43">
        <v>-3581.3687599999998</v>
      </c>
      <c r="M82" s="43">
        <f>'2.1. Toimintakatennuste'!AX73</f>
        <v>-3049.7408205362826</v>
      </c>
      <c r="N82" s="43">
        <f>$N$6*'2.1. Toimintakatennuste'!AG73</f>
        <v>-4127.8490110993316</v>
      </c>
      <c r="O82" s="43">
        <f>$O$6*'2.1. Toimintakatennuste'!AH73</f>
        <v>-4290.7999256163266</v>
      </c>
      <c r="P82" s="43">
        <f>P$6*'2.1. Toimintakatennuste'!AI73</f>
        <v>-4393.2252663521622</v>
      </c>
      <c r="Q82" s="43">
        <f>Q$6*'2.1. Toimintakatennuste'!AJ73</f>
        <v>-4537.0765730585763</v>
      </c>
      <c r="R82" s="117"/>
      <c r="S82" s="34">
        <v>216</v>
      </c>
      <c r="T82" s="88" t="s">
        <v>396</v>
      </c>
      <c r="U82" s="41">
        <f>D82/'1. Väestöennuste'!E82*1000</f>
        <v>-6229.8221614227086</v>
      </c>
      <c r="V82" s="41">
        <f>E82/'1. Väestöennuste'!F82*1000</f>
        <v>-6080.0561797752807</v>
      </c>
      <c r="W82" s="41">
        <f>F82/'1. Väestöennuste'!G82*1000</f>
        <v>-6289.7727272727279</v>
      </c>
      <c r="X82" s="41">
        <f>G82/'1. Väestöennuste'!H82*1000</f>
        <v>-6632.6681448632671</v>
      </c>
      <c r="Y82" s="41">
        <f>H82/'1. Väestöennuste'!I82*1000</f>
        <v>-7073.9357729648991</v>
      </c>
      <c r="Z82" s="41">
        <f>I82/'1. Väestöennuste'!J82*1000</f>
        <v>-7222.9780801209372</v>
      </c>
      <c r="AA82" s="41">
        <f>J82/'1. Väestöennuste'!K82*1000</f>
        <v>-7851.8664073226528</v>
      </c>
      <c r="AB82" s="41">
        <f>K82/'1. Väestöennuste'!L82*1000</f>
        <v>-9035.9779038613087</v>
      </c>
      <c r="AC82" s="41">
        <f>L82/'1. Väestöennuste'!M82*1000</f>
        <v>-2942.7845193097778</v>
      </c>
      <c r="AD82" s="41">
        <f>M82/'1. Väestöennuste'!N82*1000</f>
        <v>-2455.5079070340444</v>
      </c>
      <c r="AE82" s="41">
        <f>N82/'1. Väestöennuste'!O82*1000</f>
        <v>-3372.425662662853</v>
      </c>
      <c r="AF82" s="41">
        <f>O82/'1. Väestöennuste'!P82*1000</f>
        <v>-3546.115641005229</v>
      </c>
      <c r="AG82" s="41">
        <f>P82/'1. Väestöennuste'!Q82*1000</f>
        <v>-3679.4181460235868</v>
      </c>
      <c r="AH82" s="41">
        <f>Q82/'1. Väestöennuste'!R82*1000</f>
        <v>-3848.2413681582493</v>
      </c>
    </row>
    <row r="83" spans="1:34" customFormat="1" x14ac:dyDescent="0.25">
      <c r="A83" s="99">
        <v>16</v>
      </c>
      <c r="B83" s="30">
        <v>217</v>
      </c>
      <c r="C83" s="47" t="s">
        <v>397</v>
      </c>
      <c r="D83" s="65">
        <v>-29669</v>
      </c>
      <c r="E83" s="157">
        <v>-29714</v>
      </c>
      <c r="F83" s="157">
        <v>-30440</v>
      </c>
      <c r="G83" s="157">
        <v>-31003</v>
      </c>
      <c r="H83" s="43">
        <v>-31439</v>
      </c>
      <c r="I83" s="43">
        <v>-33498</v>
      </c>
      <c r="J83" s="159">
        <v>-34580.046790000008</v>
      </c>
      <c r="K83" s="43">
        <v>-37097.432390000002</v>
      </c>
      <c r="L83" s="43">
        <v>-15786.17895</v>
      </c>
      <c r="M83" s="43">
        <f>'2.1. Toimintakatennuste'!AX74</f>
        <v>-16321.672791160619</v>
      </c>
      <c r="N83" s="43">
        <f>$N$6*'2.1. Toimintakatennuste'!AG74</f>
        <v>-17444.541625608745</v>
      </c>
      <c r="O83" s="43">
        <f>$O$6*'2.1. Toimintakatennuste'!AH74</f>
        <v>-17914.000550933688</v>
      </c>
      <c r="P83" s="43">
        <f>P$6*'2.1. Toimintakatennuste'!AI74</f>
        <v>-18327.377920529623</v>
      </c>
      <c r="Q83" s="43">
        <f>Q$6*'2.1. Toimintakatennuste'!AJ74</f>
        <v>-18729.700502555097</v>
      </c>
      <c r="R83" s="117"/>
      <c r="S83" s="34">
        <v>217</v>
      </c>
      <c r="T83" s="88" t="s">
        <v>397</v>
      </c>
      <c r="U83" s="41">
        <f>D83/'1. Väestöennuste'!E83*1000</f>
        <v>-5307.5134168157419</v>
      </c>
      <c r="V83" s="41">
        <f>E83/'1. Väestöennuste'!F83*1000</f>
        <v>-5326.998924345643</v>
      </c>
      <c r="W83" s="41">
        <f>F83/'1. Väestöennuste'!G83*1000</f>
        <v>-5514.492753623188</v>
      </c>
      <c r="X83" s="41">
        <f>G83/'1. Väestöennuste'!H83*1000</f>
        <v>-5634.8600508905847</v>
      </c>
      <c r="Y83" s="41">
        <f>H83/'1. Väestöennuste'!I83*1000</f>
        <v>-5753.8433382137628</v>
      </c>
      <c r="Z83" s="41">
        <f>I83/'1. Väestöennuste'!J83*1000</f>
        <v>-6173.6085514190936</v>
      </c>
      <c r="AA83" s="41">
        <f>J83/'1. Väestöennuste'!K83*1000</f>
        <v>-6415.593096474955</v>
      </c>
      <c r="AB83" s="41">
        <f>K83/'1. Väestöennuste'!L83*1000</f>
        <v>-6931.5082940956654</v>
      </c>
      <c r="AC83" s="41">
        <f>L83/'1. Väestöennuste'!M83*1000</f>
        <v>-3009.1839401448724</v>
      </c>
      <c r="AD83" s="41">
        <f>M83/'1. Väestöennuste'!N83*1000</f>
        <v>-3091.8114777724227</v>
      </c>
      <c r="AE83" s="41">
        <f>N83/'1. Väestöennuste'!O83*1000</f>
        <v>-3325.9373928710665</v>
      </c>
      <c r="AF83" s="41">
        <f>O83/'1. Väestöennuste'!P83*1000</f>
        <v>-3435.7500097686398</v>
      </c>
      <c r="AG83" s="41">
        <f>P83/'1. Väestöennuste'!Q83*1000</f>
        <v>-3534.6919808157418</v>
      </c>
      <c r="AH83" s="41">
        <f>Q83/'1. Väestöennuste'!R83*1000</f>
        <v>-3633.3075659660713</v>
      </c>
    </row>
    <row r="84" spans="1:34" customFormat="1" x14ac:dyDescent="0.25">
      <c r="A84" s="99">
        <v>14</v>
      </c>
      <c r="B84" s="30">
        <v>218</v>
      </c>
      <c r="C84" s="47" t="s">
        <v>398</v>
      </c>
      <c r="D84" s="65">
        <v>-8045</v>
      </c>
      <c r="E84" s="157">
        <v>-7964</v>
      </c>
      <c r="F84" s="157">
        <v>-8246</v>
      </c>
      <c r="G84" s="157">
        <v>-8630</v>
      </c>
      <c r="H84" s="43">
        <v>-9140</v>
      </c>
      <c r="I84" s="43">
        <v>-8154</v>
      </c>
      <c r="J84" s="159">
        <v>-8812.4957699999995</v>
      </c>
      <c r="K84" s="43">
        <v>-9218.2875899999999</v>
      </c>
      <c r="L84" s="43">
        <v>-3009.66948</v>
      </c>
      <c r="M84" s="43">
        <f>'2.1. Toimintakatennuste'!AX75</f>
        <v>-2952.4016931918122</v>
      </c>
      <c r="N84" s="43">
        <f>$N$6*'2.1. Toimintakatennuste'!AG75</f>
        <v>-3389.9293945698796</v>
      </c>
      <c r="O84" s="43">
        <f>$O$6*'2.1. Toimintakatennuste'!AH75</f>
        <v>-3519.520206545732</v>
      </c>
      <c r="P84" s="43">
        <f>P$6*'2.1. Toimintakatennuste'!AI75</f>
        <v>-3639.6764393658977</v>
      </c>
      <c r="Q84" s="43">
        <f>Q$6*'2.1. Toimintakatennuste'!AJ75</f>
        <v>-3761.6295538605959</v>
      </c>
      <c r="R84" s="117"/>
      <c r="S84" s="34">
        <v>218</v>
      </c>
      <c r="T84" s="88" t="s">
        <v>398</v>
      </c>
      <c r="U84" s="41">
        <f>D84/'1. Väestöennuste'!E84*1000</f>
        <v>-5876.5522279035786</v>
      </c>
      <c r="V84" s="41">
        <f>E84/'1. Väestöennuste'!F84*1000</f>
        <v>-5903.6323202372123</v>
      </c>
      <c r="W84" s="41">
        <f>F84/'1. Väestöennuste'!G84*1000</f>
        <v>-6204.6651617757707</v>
      </c>
      <c r="X84" s="41">
        <f>G84/'1. Väestöennuste'!H84*1000</f>
        <v>-6773.9403453689174</v>
      </c>
      <c r="Y84" s="41">
        <f>H84/'1. Väestöennuste'!I84*1000</f>
        <v>-7341.3654618473893</v>
      </c>
      <c r="Z84" s="41">
        <f>I84/'1. Väestöennuste'!J84*1000</f>
        <v>-6755.5923777961889</v>
      </c>
      <c r="AA84" s="41">
        <f>J84/'1. Väestöennuste'!K84*1000</f>
        <v>-7393.0333640939598</v>
      </c>
      <c r="AB84" s="41">
        <f>K84/'1. Väestöennuste'!L84*1000</f>
        <v>-7681.9063249999999</v>
      </c>
      <c r="AC84" s="41">
        <f>L84/'1. Väestöennuste'!M84*1000</f>
        <v>-2533.3918181818181</v>
      </c>
      <c r="AD84" s="41">
        <f>M84/'1. Väestöennuste'!N84*1000</f>
        <v>-2667.0295331452685</v>
      </c>
      <c r="AE84" s="41">
        <f>N84/'1. Väestöennuste'!O84*1000</f>
        <v>-3115.74392883261</v>
      </c>
      <c r="AF84" s="41">
        <f>O84/'1. Väestöennuste'!P84*1000</f>
        <v>-3286.2000061117947</v>
      </c>
      <c r="AG84" s="41">
        <f>P84/'1. Väestöennuste'!Q84*1000</f>
        <v>-3459.7684784846938</v>
      </c>
      <c r="AH84" s="41">
        <f>Q84/'1. Väestöennuste'!R84*1000</f>
        <v>-3620.4326793653472</v>
      </c>
    </row>
    <row r="85" spans="1:34" customFormat="1" x14ac:dyDescent="0.25">
      <c r="A85" s="99">
        <v>1</v>
      </c>
      <c r="B85" s="30">
        <v>224</v>
      </c>
      <c r="C85" s="47" t="s">
        <v>399</v>
      </c>
      <c r="D85" s="65">
        <v>-45088</v>
      </c>
      <c r="E85" s="157">
        <v>-45249</v>
      </c>
      <c r="F85" s="157">
        <v>-45742</v>
      </c>
      <c r="G85" s="157">
        <v>-46031</v>
      </c>
      <c r="H85" s="43">
        <v>-49093</v>
      </c>
      <c r="I85" s="43">
        <v>-50174</v>
      </c>
      <c r="J85" s="159">
        <v>-51481.750520000001</v>
      </c>
      <c r="K85" s="43">
        <v>-52159.031560000003</v>
      </c>
      <c r="L85" s="43">
        <v>-19353.25834</v>
      </c>
      <c r="M85" s="43">
        <f>'2.1. Toimintakatennuste'!AX76</f>
        <v>-19384.009791705874</v>
      </c>
      <c r="N85" s="43">
        <f>$N$6*'2.1. Toimintakatennuste'!AG76</f>
        <v>-21786.363588435561</v>
      </c>
      <c r="O85" s="43">
        <f>$O$6*'2.1. Toimintakatennuste'!AH76</f>
        <v>-22049.825052796368</v>
      </c>
      <c r="P85" s="43">
        <f>P$6*'2.1. Toimintakatennuste'!AI76</f>
        <v>-22494.717287144053</v>
      </c>
      <c r="Q85" s="43">
        <f>Q$6*'2.1. Toimintakatennuste'!AJ76</f>
        <v>-22740.954651632685</v>
      </c>
      <c r="R85" s="117"/>
      <c r="S85" s="34">
        <v>224</v>
      </c>
      <c r="T85" s="88" t="s">
        <v>399</v>
      </c>
      <c r="U85" s="41">
        <f>D85/'1. Väestöennuste'!E85*1000</f>
        <v>-5027.0933214405177</v>
      </c>
      <c r="V85" s="41">
        <f>E85/'1. Väestöennuste'!F85*1000</f>
        <v>-5077.881270340029</v>
      </c>
      <c r="W85" s="41">
        <f>F85/'1. Väestöennuste'!G85*1000</f>
        <v>-5139.5505617977533</v>
      </c>
      <c r="X85" s="41">
        <f>G85/'1. Väestöennuste'!H85*1000</f>
        <v>-5243.9052175894285</v>
      </c>
      <c r="Y85" s="41">
        <f>H85/'1. Väestöennuste'!I85*1000</f>
        <v>-5633.8076658251084</v>
      </c>
      <c r="Z85" s="41">
        <f>I85/'1. Väestöennuste'!J85*1000</f>
        <v>-5769.7792088316464</v>
      </c>
      <c r="AA85" s="41">
        <f>J85/'1. Väestöennuste'!K85*1000</f>
        <v>-5905.9023196053695</v>
      </c>
      <c r="AB85" s="41">
        <f>K85/'1. Väestöennuste'!L85*1000</f>
        <v>-6062.8887085900269</v>
      </c>
      <c r="AC85" s="41">
        <f>L85/'1. Väestöennuste'!M85*1000</f>
        <v>-2255.3616524880549</v>
      </c>
      <c r="AD85" s="41">
        <f>M85/'1. Väestöennuste'!N85*1000</f>
        <v>-2288.8191984538757</v>
      </c>
      <c r="AE85" s="41">
        <f>N85/'1. Väestöennuste'!O85*1000</f>
        <v>-2586.2254972027017</v>
      </c>
      <c r="AF85" s="41">
        <f>O85/'1. Väestöennuste'!P85*1000</f>
        <v>-2629.3614420219851</v>
      </c>
      <c r="AG85" s="41">
        <f>P85/'1. Väestöennuste'!Q85*1000</f>
        <v>-2694.3007889740152</v>
      </c>
      <c r="AH85" s="41">
        <f>Q85/'1. Väestöennuste'!R85*1000</f>
        <v>-2734.9314072919647</v>
      </c>
    </row>
    <row r="86" spans="1:34" customFormat="1" x14ac:dyDescent="0.25">
      <c r="A86" s="99">
        <v>13</v>
      </c>
      <c r="B86" s="30">
        <v>226</v>
      </c>
      <c r="C86" s="47" t="s">
        <v>400</v>
      </c>
      <c r="D86" s="65">
        <v>-24753</v>
      </c>
      <c r="E86" s="157">
        <v>-25035</v>
      </c>
      <c r="F86" s="157">
        <v>-24851</v>
      </c>
      <c r="G86" s="157">
        <v>-25164</v>
      </c>
      <c r="H86" s="43">
        <v>-30310</v>
      </c>
      <c r="I86" s="43">
        <v>-25089</v>
      </c>
      <c r="J86" s="159">
        <v>-25902.785849999997</v>
      </c>
      <c r="K86" s="43">
        <v>-28562.834760000002</v>
      </c>
      <c r="L86" s="43">
        <v>-10092.873800000001</v>
      </c>
      <c r="M86" s="43">
        <f>'2.1. Toimintakatennuste'!AX77</f>
        <v>-9903.0104462441032</v>
      </c>
      <c r="N86" s="43">
        <f>$N$6*'2.1. Toimintakatennuste'!AG77</f>
        <v>-11746.606327460764</v>
      </c>
      <c r="O86" s="43">
        <f>$O$6*'2.1. Toimintakatennuste'!AH77</f>
        <v>-12080.897450065113</v>
      </c>
      <c r="P86" s="43">
        <f>P$6*'2.1. Toimintakatennuste'!AI77</f>
        <v>-12500.868552605723</v>
      </c>
      <c r="Q86" s="43">
        <f>Q$6*'2.1. Toimintakatennuste'!AJ77</f>
        <v>-12897.485313531321</v>
      </c>
      <c r="R86" s="117"/>
      <c r="S86" s="34">
        <v>226</v>
      </c>
      <c r="T86" s="88" t="s">
        <v>400</v>
      </c>
      <c r="U86" s="41">
        <f>D86/'1. Väestöennuste'!E86*1000</f>
        <v>-5799.6719775070287</v>
      </c>
      <c r="V86" s="41">
        <f>E86/'1. Väestöennuste'!F86*1000</f>
        <v>-5915.6427221172025</v>
      </c>
      <c r="W86" s="41">
        <f>F86/'1. Väestöennuste'!G86*1000</f>
        <v>-5993.9700916546062</v>
      </c>
      <c r="X86" s="41">
        <f>G86/'1. Väestöennuste'!H86*1000</f>
        <v>-6242.6196973455717</v>
      </c>
      <c r="Y86" s="41">
        <f>H86/'1. Väestöennuste'!I86*1000</f>
        <v>-7675.3608508483157</v>
      </c>
      <c r="Z86" s="41">
        <f>I86/'1. Väestöennuste'!J86*1000</f>
        <v>-6503.1104199066876</v>
      </c>
      <c r="AA86" s="41">
        <f>J86/'1. Väestöennuste'!K86*1000</f>
        <v>-6863.4832670906198</v>
      </c>
      <c r="AB86" s="41">
        <f>K86/'1. Väestöennuste'!L86*1000</f>
        <v>-7793.4064829467943</v>
      </c>
      <c r="AC86" s="41">
        <f>L86/'1. Väestöennuste'!M86*1000</f>
        <v>-2784.2410482758628</v>
      </c>
      <c r="AD86" s="41">
        <f>M86/'1. Väestöennuste'!N86*1000</f>
        <v>-2778.6224596644511</v>
      </c>
      <c r="AE86" s="41">
        <f>N86/'1. Väestöennuste'!O86*1000</f>
        <v>-3357.1324171079632</v>
      </c>
      <c r="AF86" s="41">
        <f>O86/'1. Väestöennuste'!P86*1000</f>
        <v>-3515.9771391342006</v>
      </c>
      <c r="AG86" s="41">
        <f>P86/'1. Väestöennuste'!Q86*1000</f>
        <v>-3703.961052623918</v>
      </c>
      <c r="AH86" s="41">
        <f>Q86/'1. Väestöennuste'!R86*1000</f>
        <v>-3888.2982555114022</v>
      </c>
    </row>
    <row r="87" spans="1:34" customFormat="1" x14ac:dyDescent="0.25">
      <c r="A87" s="99">
        <v>4</v>
      </c>
      <c r="B87" s="30">
        <v>230</v>
      </c>
      <c r="C87" s="47" t="s">
        <v>401</v>
      </c>
      <c r="D87" s="65">
        <v>-14504</v>
      </c>
      <c r="E87" s="157">
        <v>-14854</v>
      </c>
      <c r="F87" s="157">
        <v>-14338</v>
      </c>
      <c r="G87" s="157">
        <v>-14619</v>
      </c>
      <c r="H87" s="43">
        <v>-15474</v>
      </c>
      <c r="I87" s="43">
        <v>-14617</v>
      </c>
      <c r="J87" s="159">
        <v>-14929.524789999999</v>
      </c>
      <c r="K87" s="43">
        <v>-16140.48143</v>
      </c>
      <c r="L87" s="43">
        <v>-5831.6667800000005</v>
      </c>
      <c r="M87" s="43">
        <f>'2.1. Toimintakatennuste'!AX78</f>
        <v>-5906.0270681768634</v>
      </c>
      <c r="N87" s="43">
        <f>$N$6*'2.1. Toimintakatennuste'!AG78</f>
        <v>-6734.7641078995503</v>
      </c>
      <c r="O87" s="43">
        <f>$O$6*'2.1. Toimintakatennuste'!AH78</f>
        <v>-6949.6652673989456</v>
      </c>
      <c r="P87" s="43">
        <f>P$6*'2.1. Toimintakatennuste'!AI78</f>
        <v>-7321.813838500434</v>
      </c>
      <c r="Q87" s="43">
        <f>Q$6*'2.1. Toimintakatennuste'!AJ78</f>
        <v>-7524.2928166362071</v>
      </c>
      <c r="R87" s="117"/>
      <c r="S87" s="34">
        <v>230</v>
      </c>
      <c r="T87" s="88" t="s">
        <v>401</v>
      </c>
      <c r="U87" s="41">
        <f>D87/'1. Väestöennuste'!E87*1000</f>
        <v>-5860.2020202020203</v>
      </c>
      <c r="V87" s="41">
        <f>E87/'1. Väestöennuste'!F87*1000</f>
        <v>-6065.3327888934255</v>
      </c>
      <c r="W87" s="41">
        <f>F87/'1. Väestöennuste'!G87*1000</f>
        <v>-5966.7082813150228</v>
      </c>
      <c r="X87" s="41">
        <f>G87/'1. Väestöennuste'!H87*1000</f>
        <v>-6116.7364016736401</v>
      </c>
      <c r="Y87" s="41">
        <f>H87/'1. Väestöennuste'!I87*1000</f>
        <v>-6607.1733561058927</v>
      </c>
      <c r="Z87" s="41">
        <f>I87/'1. Väestöennuste'!J87*1000</f>
        <v>-6295.0043066322132</v>
      </c>
      <c r="AA87" s="41">
        <f>J87/'1. Väestöennuste'!K87*1000</f>
        <v>-6519.4431397379913</v>
      </c>
      <c r="AB87" s="41">
        <f>K87/'1. Väestöennuste'!L87*1000</f>
        <v>-7205.572066964286</v>
      </c>
      <c r="AC87" s="41">
        <f>L87/'1. Väestöennuste'!M87*1000</f>
        <v>-2631.6185830324912</v>
      </c>
      <c r="AD87" s="41">
        <f>M87/'1. Väestöennuste'!N87*1000</f>
        <v>-2673.6202209945059</v>
      </c>
      <c r="AE87" s="41">
        <f>N87/'1. Väestöennuste'!O87*1000</f>
        <v>-3085.0957892347915</v>
      </c>
      <c r="AF87" s="41">
        <f>O87/'1. Väestöennuste'!P87*1000</f>
        <v>-3215.948758629776</v>
      </c>
      <c r="AG87" s="41">
        <f>P87/'1. Väestöennuste'!Q87*1000</f>
        <v>-3421.4083357478662</v>
      </c>
      <c r="AH87" s="41">
        <f>Q87/'1. Väestöennuste'!R87*1000</f>
        <v>-3549.1947248283996</v>
      </c>
    </row>
    <row r="88" spans="1:34" customFormat="1" x14ac:dyDescent="0.25">
      <c r="A88" s="99">
        <v>15</v>
      </c>
      <c r="B88" s="30">
        <v>231</v>
      </c>
      <c r="C88" s="47" t="s">
        <v>402</v>
      </c>
      <c r="D88" s="65">
        <v>-7696</v>
      </c>
      <c r="E88" s="157">
        <v>-8398</v>
      </c>
      <c r="F88" s="157">
        <v>-8202</v>
      </c>
      <c r="G88" s="157">
        <v>-8310</v>
      </c>
      <c r="H88" s="43">
        <v>-8653</v>
      </c>
      <c r="I88" s="43">
        <v>-9012</v>
      </c>
      <c r="J88" s="159">
        <v>-10261.971700000002</v>
      </c>
      <c r="K88" s="43">
        <v>-9761.7651600000008</v>
      </c>
      <c r="L88" s="43">
        <v>-3852.6497100000001</v>
      </c>
      <c r="M88" s="43">
        <f>'2.1. Toimintakatennuste'!AX79</f>
        <v>-3605.9802463565161</v>
      </c>
      <c r="N88" s="43">
        <f>$N$6*'2.1. Toimintakatennuste'!AG79</f>
        <v>-4344.7654755478707</v>
      </c>
      <c r="O88" s="43">
        <f>$O$6*'2.1. Toimintakatennuste'!AH79</f>
        <v>-4597.4359448452078</v>
      </c>
      <c r="P88" s="43">
        <f>P$6*'2.1. Toimintakatennuste'!AI79</f>
        <v>-4785.9424734341646</v>
      </c>
      <c r="Q88" s="43">
        <f>Q$6*'2.1. Toimintakatennuste'!AJ79</f>
        <v>-4970.2813114628398</v>
      </c>
      <c r="R88" s="117"/>
      <c r="S88" s="34">
        <v>231</v>
      </c>
      <c r="T88" s="88" t="s">
        <v>402</v>
      </c>
      <c r="U88" s="41">
        <f>D88/'1. Väestöennuste'!E88*1000</f>
        <v>-5989.1050583657589</v>
      </c>
      <c r="V88" s="41">
        <f>E88/'1. Väestöennuste'!F88*1000</f>
        <v>-6479.9382716049386</v>
      </c>
      <c r="W88" s="41">
        <f>F88/'1. Väestöennuste'!G88*1000</f>
        <v>-6437.9905808477242</v>
      </c>
      <c r="X88" s="41">
        <f>G88/'1. Väestöennuste'!H88*1000</f>
        <v>-6584.7860538827263</v>
      </c>
      <c r="Y88" s="41">
        <f>H88/'1. Väestöennuste'!I88*1000</f>
        <v>-6944.6227929373999</v>
      </c>
      <c r="Z88" s="41">
        <f>I88/'1. Väestöennuste'!J88*1000</f>
        <v>-7051.6431924882627</v>
      </c>
      <c r="AA88" s="41">
        <f>J88/'1. Väestöennuste'!K88*1000</f>
        <v>-7961.1882854926316</v>
      </c>
      <c r="AB88" s="41">
        <f>K88/'1. Väestöennuste'!L88*1000</f>
        <v>-7772.1060191082815</v>
      </c>
      <c r="AC88" s="41">
        <f>L88/'1. Väestöennuste'!M88*1000</f>
        <v>-3189.2795612582781</v>
      </c>
      <c r="AD88" s="41">
        <f>M88/'1. Väestöennuste'!N88*1000</f>
        <v>-2769.5700816870321</v>
      </c>
      <c r="AE88" s="41">
        <f>N88/'1. Väestöennuste'!O88*1000</f>
        <v>-3326.7729521806054</v>
      </c>
      <c r="AF88" s="41">
        <f>O88/'1. Väestöennuste'!P88*1000</f>
        <v>-3506.816128791158</v>
      </c>
      <c r="AG88" s="41">
        <f>P88/'1. Väestöennuste'!Q88*1000</f>
        <v>-3642.2697666926674</v>
      </c>
      <c r="AH88" s="41">
        <f>Q88/'1. Väestöennuste'!R88*1000</f>
        <v>-3773.9417702830979</v>
      </c>
    </row>
    <row r="89" spans="1:34" customFormat="1" x14ac:dyDescent="0.25">
      <c r="A89" s="99">
        <v>14</v>
      </c>
      <c r="B89" s="30">
        <v>232</v>
      </c>
      <c r="C89" s="47" t="s">
        <v>403</v>
      </c>
      <c r="D89" s="65">
        <v>-82232</v>
      </c>
      <c r="E89" s="157">
        <v>-81415</v>
      </c>
      <c r="F89" s="157">
        <v>-79684</v>
      </c>
      <c r="G89" s="157">
        <v>-81674</v>
      </c>
      <c r="H89" s="43">
        <v>-83016</v>
      </c>
      <c r="I89" s="43">
        <v>-85233</v>
      </c>
      <c r="J89" s="159">
        <v>-87029.907709999985</v>
      </c>
      <c r="K89" s="43">
        <v>-89326.681900000011</v>
      </c>
      <c r="L89" s="43">
        <v>-33249.800149999995</v>
      </c>
      <c r="M89" s="43">
        <f>'2.1. Toimintakatennuste'!AX80</f>
        <v>-31784.578181969147</v>
      </c>
      <c r="N89" s="43">
        <f>$N$6*'2.1. Toimintakatennuste'!AG80</f>
        <v>-37137.302934871113</v>
      </c>
      <c r="O89" s="43">
        <f>$O$6*'2.1. Toimintakatennuste'!AH80</f>
        <v>-37734.820369597932</v>
      </c>
      <c r="P89" s="43">
        <f>P$6*'2.1. Toimintakatennuste'!AI80</f>
        <v>-38499.187501742053</v>
      </c>
      <c r="Q89" s="43">
        <f>Q$6*'2.1. Toimintakatennuste'!AJ80</f>
        <v>-39029.170554884207</v>
      </c>
      <c r="R89" s="117"/>
      <c r="S89" s="34">
        <v>232</v>
      </c>
      <c r="T89" s="88" t="s">
        <v>403</v>
      </c>
      <c r="U89" s="41">
        <f>D89/'1. Väestöennuste'!E89*1000</f>
        <v>-5926.6306306306305</v>
      </c>
      <c r="V89" s="41">
        <f>E89/'1. Väestöennuste'!F89*1000</f>
        <v>-5911.6322974150444</v>
      </c>
      <c r="W89" s="41">
        <f>F89/'1. Väestöennuste'!G89*1000</f>
        <v>-5854.8126377663484</v>
      </c>
      <c r="X89" s="41">
        <f>G89/'1. Väestöennuste'!H89*1000</f>
        <v>-6106.467289719626</v>
      </c>
      <c r="Y89" s="41">
        <f>H89/'1. Väestöennuste'!I89*1000</f>
        <v>-6296.7233009708743</v>
      </c>
      <c r="Z89" s="41">
        <f>I89/'1. Väestöennuste'!J89*1000</f>
        <v>-6552.8561543784117</v>
      </c>
      <c r="AA89" s="41">
        <f>J89/'1. Väestöennuste'!K89*1000</f>
        <v>-6751.7383793638464</v>
      </c>
      <c r="AB89" s="41">
        <f>K89/'1. Väestöennuste'!L89*1000</f>
        <v>-7006.0142666666679</v>
      </c>
      <c r="AC89" s="41">
        <f>L89/'1. Väestöennuste'!M89*1000</f>
        <v>-2635.1085869392923</v>
      </c>
      <c r="AD89" s="41">
        <f>M89/'1. Väestöennuste'!N89*1000</f>
        <v>-2566.1697224260574</v>
      </c>
      <c r="AE89" s="41">
        <f>N89/'1. Väestöennuste'!O89*1000</f>
        <v>-3031.3691074092822</v>
      </c>
      <c r="AF89" s="41">
        <f>O89/'1. Väestöennuste'!P89*1000</f>
        <v>-3113.4340238942191</v>
      </c>
      <c r="AG89" s="41">
        <f>P89/'1. Väestöennuste'!Q89*1000</f>
        <v>-3211.2092336093128</v>
      </c>
      <c r="AH89" s="41">
        <f>Q89/'1. Väestöennuste'!R89*1000</f>
        <v>-3292.2117718164664</v>
      </c>
    </row>
    <row r="90" spans="1:34" customFormat="1" x14ac:dyDescent="0.25">
      <c r="A90" s="99">
        <v>14</v>
      </c>
      <c r="B90" s="30">
        <v>233</v>
      </c>
      <c r="C90" s="47" t="s">
        <v>404</v>
      </c>
      <c r="D90" s="65">
        <v>-96129</v>
      </c>
      <c r="E90" s="157">
        <v>-98398</v>
      </c>
      <c r="F90" s="157">
        <v>-95865</v>
      </c>
      <c r="G90" s="157">
        <v>-99853</v>
      </c>
      <c r="H90" s="43">
        <v>-103850</v>
      </c>
      <c r="I90" s="43">
        <v>-101389</v>
      </c>
      <c r="J90" s="159">
        <v>-101519.89736</v>
      </c>
      <c r="K90" s="43">
        <v>-108111.68790999999</v>
      </c>
      <c r="L90" s="43">
        <v>-39220.228040000002</v>
      </c>
      <c r="M90" s="43">
        <f>'2.1. Toimintakatennuste'!AX81</f>
        <v>-39439.185692050145</v>
      </c>
      <c r="N90" s="43">
        <f>$N$6*'2.1. Toimintakatennuste'!AG81</f>
        <v>-42181.006309705423</v>
      </c>
      <c r="O90" s="43">
        <f>$O$6*'2.1. Toimintakatennuste'!AH81</f>
        <v>-42623.578023571456</v>
      </c>
      <c r="P90" s="43">
        <f>P$6*'2.1. Toimintakatennuste'!AI81</f>
        <v>-43226.899762521251</v>
      </c>
      <c r="Q90" s="43">
        <f>Q$6*'2.1. Toimintakatennuste'!AJ81</f>
        <v>-43477.380469232645</v>
      </c>
      <c r="R90" s="117"/>
      <c r="S90" s="34">
        <v>233</v>
      </c>
      <c r="T90" s="88" t="s">
        <v>404</v>
      </c>
      <c r="U90" s="41">
        <f>D90/'1. Väestöennuste'!E90*1000</f>
        <v>-5727.4189704480459</v>
      </c>
      <c r="V90" s="41">
        <f>E90/'1. Väestöennuste'!F90*1000</f>
        <v>-5927.9474667148615</v>
      </c>
      <c r="W90" s="41">
        <f>F90/'1. Väestöennuste'!G90*1000</f>
        <v>-5889.2370070033176</v>
      </c>
      <c r="X90" s="41">
        <f>G90/'1. Väestöennuste'!H90*1000</f>
        <v>-6232.2431656472354</v>
      </c>
      <c r="Y90" s="41">
        <f>H90/'1. Väestöennuste'!I90*1000</f>
        <v>-6603.7135953198531</v>
      </c>
      <c r="Z90" s="41">
        <f>I90/'1. Väestöennuste'!J90*1000</f>
        <v>-6535.3229341240167</v>
      </c>
      <c r="AA90" s="41">
        <f>J90/'1. Väestöennuste'!K90*1000</f>
        <v>-6630.0873406478577</v>
      </c>
      <c r="AB90" s="41">
        <f>K90/'1. Väestöennuste'!L90*1000</f>
        <v>-7152.1360088647789</v>
      </c>
      <c r="AC90" s="41">
        <f>L90/'1. Väestöennuste'!M90*1000</f>
        <v>-2586.2333030003297</v>
      </c>
      <c r="AD90" s="41">
        <f>M90/'1. Väestöennuste'!N90*1000</f>
        <v>-2698.5416142353843</v>
      </c>
      <c r="AE90" s="41">
        <f>N90/'1. Väestöennuste'!O90*1000</f>
        <v>-2926.7975513256606</v>
      </c>
      <c r="AF90" s="41">
        <f>O90/'1. Väestöennuste'!P90*1000</f>
        <v>-2998.4930020099509</v>
      </c>
      <c r="AG90" s="41">
        <f>P90/'1. Väestöennuste'!Q90*1000</f>
        <v>-3081.9121461942996</v>
      </c>
      <c r="AH90" s="41">
        <f>Q90/'1. Väestöennuste'!R90*1000</f>
        <v>-3140.9753264869705</v>
      </c>
    </row>
    <row r="91" spans="1:34" customFormat="1" x14ac:dyDescent="0.25">
      <c r="A91" s="99">
        <v>1</v>
      </c>
      <c r="B91" s="30">
        <v>235</v>
      </c>
      <c r="C91" s="47" t="s">
        <v>405</v>
      </c>
      <c r="D91" s="65">
        <v>-52057</v>
      </c>
      <c r="E91" s="157">
        <v>-49844</v>
      </c>
      <c r="F91" s="157">
        <v>-55275</v>
      </c>
      <c r="G91" s="157">
        <v>-56745</v>
      </c>
      <c r="H91" s="43">
        <v>-59196</v>
      </c>
      <c r="I91" s="43">
        <v>-63437</v>
      </c>
      <c r="J91" s="159">
        <v>-68884.208299999998</v>
      </c>
      <c r="K91" s="43">
        <v>-71306.589049999995</v>
      </c>
      <c r="L91" s="43">
        <v>-39122.297009999995</v>
      </c>
      <c r="M91" s="43">
        <f>'2.1. Toimintakatennuste'!AX82</f>
        <v>-41455.149928132298</v>
      </c>
      <c r="N91" s="43">
        <f>$N$6*'2.1. Toimintakatennuste'!AG82</f>
        <v>-44143.112972934454</v>
      </c>
      <c r="O91" s="43">
        <f>$O$6*'2.1. Toimintakatennuste'!AH82</f>
        <v>-46225.758744460516</v>
      </c>
      <c r="P91" s="43">
        <f>P$6*'2.1. Toimintakatennuste'!AI82</f>
        <v>-48540.0354949623</v>
      </c>
      <c r="Q91" s="43">
        <f>Q$6*'2.1. Toimintakatennuste'!AJ82</f>
        <v>-50735.419128113979</v>
      </c>
      <c r="R91" s="117"/>
      <c r="S91" s="34">
        <v>235</v>
      </c>
      <c r="T91" s="88" t="s">
        <v>405</v>
      </c>
      <c r="U91" s="41">
        <f>D91/'1. Väestöennuste'!E91*1000</f>
        <v>-5487.7714526670879</v>
      </c>
      <c r="V91" s="41">
        <f>E91/'1. Väestöennuste'!F91*1000</f>
        <v>-5304.2460359689267</v>
      </c>
      <c r="W91" s="41">
        <f>F91/'1. Väestöennuste'!G91*1000</f>
        <v>-5743.4538653366581</v>
      </c>
      <c r="X91" s="41">
        <f>G91/'1. Väestöennuste'!H91*1000</f>
        <v>-5901.716068642746</v>
      </c>
      <c r="Y91" s="41">
        <f>H91/'1. Väestöennuste'!I91*1000</f>
        <v>-6042.2578340308255</v>
      </c>
      <c r="Z91" s="41">
        <f>I91/'1. Väestöennuste'!J91*1000</f>
        <v>-6232.7569267046574</v>
      </c>
      <c r="AA91" s="41">
        <f>J91/'1. Väestöennuste'!K91*1000</f>
        <v>-6626.0300404001537</v>
      </c>
      <c r="AB91" s="41">
        <f>K91/'1. Väestöennuste'!L91*1000</f>
        <v>-6933.7406699727726</v>
      </c>
      <c r="AC91" s="41">
        <f>L91/'1. Väestöennuste'!M91*1000</f>
        <v>-3809.3765345666989</v>
      </c>
      <c r="AD91" s="41">
        <f>M91/'1. Väestöennuste'!N91*1000</f>
        <v>-3881.9318220931077</v>
      </c>
      <c r="AE91" s="41">
        <f>N91/'1. Väestöennuste'!O91*1000</f>
        <v>-4086.1902224321439</v>
      </c>
      <c r="AF91" s="41">
        <f>O91/'1. Väestöennuste'!P91*1000</f>
        <v>-4231.5780615580843</v>
      </c>
      <c r="AG91" s="41">
        <f>P91/'1. Väestöennuste'!Q91*1000</f>
        <v>-4397.5390011743348</v>
      </c>
      <c r="AH91" s="41">
        <f>Q91/'1. Väestöennuste'!R91*1000</f>
        <v>-4551.4864203923908</v>
      </c>
    </row>
    <row r="92" spans="1:34" customFormat="1" x14ac:dyDescent="0.25">
      <c r="A92" s="99">
        <v>16</v>
      </c>
      <c r="B92" s="30">
        <v>236</v>
      </c>
      <c r="C92" s="47" t="s">
        <v>406</v>
      </c>
      <c r="D92" s="65">
        <v>-22369</v>
      </c>
      <c r="E92" s="157">
        <v>-22397</v>
      </c>
      <c r="F92" s="157">
        <v>-22842</v>
      </c>
      <c r="G92" s="157">
        <v>-23789</v>
      </c>
      <c r="H92" s="43">
        <v>-25021</v>
      </c>
      <c r="I92" s="43">
        <v>-25278</v>
      </c>
      <c r="J92" s="159">
        <v>-25696.104810000001</v>
      </c>
      <c r="K92" s="43">
        <v>-26801.86736</v>
      </c>
      <c r="L92" s="43">
        <v>-12014.91877</v>
      </c>
      <c r="M92" s="43">
        <f>'2.1. Toimintakatennuste'!AX83</f>
        <v>-11908.98308006582</v>
      </c>
      <c r="N92" s="43">
        <f>$N$6*'2.1. Toimintakatennuste'!AG83</f>
        <v>-13439.325163638323</v>
      </c>
      <c r="O92" s="43">
        <f>$O$6*'2.1. Toimintakatennuste'!AH83</f>
        <v>-13987.556841836562</v>
      </c>
      <c r="P92" s="43">
        <f>P$6*'2.1. Toimintakatennuste'!AI83</f>
        <v>-14336.99549744596</v>
      </c>
      <c r="Q92" s="43">
        <f>Q$6*'2.1. Toimintakatennuste'!AJ83</f>
        <v>-14785.634498336218</v>
      </c>
      <c r="R92" s="117"/>
      <c r="S92" s="34">
        <v>236</v>
      </c>
      <c r="T92" s="88" t="s">
        <v>406</v>
      </c>
      <c r="U92" s="41">
        <f>D92/'1. Väestöennuste'!E92*1000</f>
        <v>-5196.0511033681769</v>
      </c>
      <c r="V92" s="41">
        <f>E92/'1. Väestöennuste'!F92*1000</f>
        <v>-5211.0283852954863</v>
      </c>
      <c r="W92" s="41">
        <f>F92/'1. Väestöennuste'!G92*1000</f>
        <v>-5300.9979113483405</v>
      </c>
      <c r="X92" s="41">
        <f>G92/'1. Väestöennuste'!H92*1000</f>
        <v>-5567.2829393868478</v>
      </c>
      <c r="Y92" s="41">
        <f>H92/'1. Väestöennuste'!I92*1000</f>
        <v>-5872.0957521708515</v>
      </c>
      <c r="Z92" s="41">
        <f>I92/'1. Väestöennuste'!J92*1000</f>
        <v>-5978.7133396404915</v>
      </c>
      <c r="AA92" s="41">
        <f>J92/'1. Väestöennuste'!K92*1000</f>
        <v>-6123.9525285986656</v>
      </c>
      <c r="AB92" s="41">
        <f>K92/'1. Väestöennuste'!L92*1000</f>
        <v>-6384.4371986660317</v>
      </c>
      <c r="AC92" s="41">
        <f>L92/'1. Väestöennuste'!M92*1000</f>
        <v>-2904.2588276528886</v>
      </c>
      <c r="AD92" s="41">
        <f>M92/'1. Väestöennuste'!N92*1000</f>
        <v>-2890.5298738023835</v>
      </c>
      <c r="AE92" s="41">
        <f>N92/'1. Väestöennuste'!O92*1000</f>
        <v>-3286.702167678729</v>
      </c>
      <c r="AF92" s="41">
        <f>O92/'1. Väestöennuste'!P92*1000</f>
        <v>-3446.909029530942</v>
      </c>
      <c r="AG92" s="41">
        <f>P92/'1. Väestöennuste'!Q92*1000</f>
        <v>-3560.2174068651502</v>
      </c>
      <c r="AH92" s="41">
        <f>Q92/'1. Väestöennuste'!R92*1000</f>
        <v>-3700.1087333173718</v>
      </c>
    </row>
    <row r="93" spans="1:34" customFormat="1" x14ac:dyDescent="0.25">
      <c r="A93" s="99">
        <v>11</v>
      </c>
      <c r="B93" s="30">
        <v>239</v>
      </c>
      <c r="C93" s="47" t="s">
        <v>407</v>
      </c>
      <c r="D93" s="65">
        <v>-14228</v>
      </c>
      <c r="E93" s="157">
        <v>-14465</v>
      </c>
      <c r="F93" s="157">
        <v>-15301</v>
      </c>
      <c r="G93" s="157">
        <v>-14531</v>
      </c>
      <c r="H93" s="43">
        <v>-14246</v>
      </c>
      <c r="I93" s="43">
        <v>-15232</v>
      </c>
      <c r="J93" s="159">
        <v>-15457.562260000002</v>
      </c>
      <c r="K93" s="43">
        <v>-15674.91785</v>
      </c>
      <c r="L93" s="43">
        <v>-5548.7378499999995</v>
      </c>
      <c r="M93" s="43">
        <f>'2.1. Toimintakatennuste'!AX84</f>
        <v>-5272.9675096365618</v>
      </c>
      <c r="N93" s="43">
        <f>$N$6*'2.1. Toimintakatennuste'!AG84</f>
        <v>-6115.5696657843646</v>
      </c>
      <c r="O93" s="43">
        <f>$O$6*'2.1. Toimintakatennuste'!AH84</f>
        <v>-6352.2129709420378</v>
      </c>
      <c r="P93" s="43">
        <f>P$6*'2.1. Toimintakatennuste'!AI84</f>
        <v>-6574.8813927351021</v>
      </c>
      <c r="Q93" s="43">
        <f>Q$6*'2.1. Toimintakatennuste'!AJ84</f>
        <v>-6793.4663119764546</v>
      </c>
      <c r="R93" s="117"/>
      <c r="S93" s="34">
        <v>239</v>
      </c>
      <c r="T93" s="88" t="s">
        <v>407</v>
      </c>
      <c r="U93" s="41">
        <f>D93/'1. Väestöennuste'!E93*1000</f>
        <v>-5980.6641445985706</v>
      </c>
      <c r="V93" s="41">
        <f>E93/'1. Väestöennuste'!F93*1000</f>
        <v>-6165.8141517476552</v>
      </c>
      <c r="W93" s="41">
        <f>F93/'1. Väestöennuste'!G93*1000</f>
        <v>-6626.6782156777826</v>
      </c>
      <c r="X93" s="41">
        <f>G93/'1. Väestöennuste'!H93*1000</f>
        <v>-6475.4901960784318</v>
      </c>
      <c r="Y93" s="41">
        <f>H93/'1. Väestöennuste'!I93*1000</f>
        <v>-6469.5731153496827</v>
      </c>
      <c r="Z93" s="41">
        <f>I93/'1. Väestöennuste'!J93*1000</f>
        <v>-7068.2134570765656</v>
      </c>
      <c r="AA93" s="41">
        <f>J93/'1. Väestöennuste'!K93*1000</f>
        <v>-7378.3113412887842</v>
      </c>
      <c r="AB93" s="41">
        <f>K93/'1. Väestöennuste'!L93*1000</f>
        <v>-7725.4400443568256</v>
      </c>
      <c r="AC93" s="41">
        <f>L93/'1. Väestöennuste'!M93*1000</f>
        <v>-2726.6525061425059</v>
      </c>
      <c r="AD93" s="41">
        <f>M93/'1. Väestöennuste'!N93*1000</f>
        <v>-2629.9089823623749</v>
      </c>
      <c r="AE93" s="41">
        <f>N93/'1. Väestöennuste'!O93*1000</f>
        <v>-3102.7750714278864</v>
      </c>
      <c r="AF93" s="41">
        <f>O93/'1. Väestöennuste'!P93*1000</f>
        <v>-3269.280993794152</v>
      </c>
      <c r="AG93" s="41">
        <f>P93/'1. Väestöennuste'!Q93*1000</f>
        <v>-3435.1522428083081</v>
      </c>
      <c r="AH93" s="41">
        <f>Q93/'1. Väestöennuste'!R93*1000</f>
        <v>-3596.3294399028346</v>
      </c>
    </row>
    <row r="94" spans="1:34" customFormat="1" x14ac:dyDescent="0.25">
      <c r="A94" s="99">
        <v>19</v>
      </c>
      <c r="B94" s="30">
        <v>240</v>
      </c>
      <c r="C94" s="47" t="s">
        <v>408</v>
      </c>
      <c r="D94" s="65">
        <v>-129540</v>
      </c>
      <c r="E94" s="157">
        <v>-131846</v>
      </c>
      <c r="F94" s="157">
        <v>-127854</v>
      </c>
      <c r="G94" s="157">
        <v>-136912</v>
      </c>
      <c r="H94" s="43">
        <v>-139603</v>
      </c>
      <c r="I94" s="43">
        <v>-139884</v>
      </c>
      <c r="J94" s="159">
        <v>-144021.71900000001</v>
      </c>
      <c r="K94" s="43">
        <v>-147956.84249000001</v>
      </c>
      <c r="L94" s="43">
        <v>-43140.993340000001</v>
      </c>
      <c r="M94" s="43">
        <f>'2.1. Toimintakatennuste'!AX85</f>
        <v>-46508.969472417353</v>
      </c>
      <c r="N94" s="43">
        <f>$N$6*'2.1. Toimintakatennuste'!AG85</f>
        <v>-49865.052817174423</v>
      </c>
      <c r="O94" s="43">
        <f>$O$6*'2.1. Toimintakatennuste'!AH85</f>
        <v>-51025.945374681411</v>
      </c>
      <c r="P94" s="43">
        <f>P$6*'2.1. Toimintakatennuste'!AI85</f>
        <v>-51889.985253916537</v>
      </c>
      <c r="Q94" s="43">
        <f>Q$6*'2.1. Toimintakatennuste'!AJ85</f>
        <v>-52623.203481742246</v>
      </c>
      <c r="R94" s="117"/>
      <c r="S94" s="34">
        <v>240</v>
      </c>
      <c r="T94" s="88" t="s">
        <v>408</v>
      </c>
      <c r="U94" s="41">
        <f>D94/'1. Väestöennuste'!E94*1000</f>
        <v>-5953.6722125195329</v>
      </c>
      <c r="V94" s="41">
        <f>E94/'1. Väestöennuste'!F94*1000</f>
        <v>-6103.4163503379314</v>
      </c>
      <c r="W94" s="41">
        <f>F94/'1. Väestöennuste'!G94*1000</f>
        <v>-6014.9604817463305</v>
      </c>
      <c r="X94" s="41">
        <f>G94/'1. Väestöennuste'!H94*1000</f>
        <v>-6513.1059416773705</v>
      </c>
      <c r="Y94" s="41">
        <f>H94/'1. Väestöennuste'!I94*1000</f>
        <v>-6741.8264355049023</v>
      </c>
      <c r="Z94" s="41">
        <f>I94/'1. Väestöennuste'!J94*1000</f>
        <v>-6844.6445172970589</v>
      </c>
      <c r="AA94" s="41">
        <f>J94/'1. Väestöennuste'!K94*1000</f>
        <v>-7207.5727654889406</v>
      </c>
      <c r="AB94" s="41">
        <f>K94/'1. Väestöennuste'!L94*1000</f>
        <v>-7587.9195081799071</v>
      </c>
      <c r="AC94" s="41">
        <f>L94/'1. Väestöennuste'!M94*1000</f>
        <v>-2227.091700996335</v>
      </c>
      <c r="AD94" s="41">
        <f>M94/'1. Väestöennuste'!N94*1000</f>
        <v>-2404.5584465110819</v>
      </c>
      <c r="AE94" s="41">
        <f>N94/'1. Väestöennuste'!O94*1000</f>
        <v>-2611.5561337160584</v>
      </c>
      <c r="AF94" s="41">
        <f>O94/'1. Väestöennuste'!P94*1000</f>
        <v>-2706.228871635185</v>
      </c>
      <c r="AG94" s="41">
        <f>P94/'1. Väestöennuste'!Q94*1000</f>
        <v>-2786.1890707644188</v>
      </c>
      <c r="AH94" s="41">
        <f>Q94/'1. Väestöennuste'!R94*1000</f>
        <v>-2859.4904896887597</v>
      </c>
    </row>
    <row r="95" spans="1:34" customFormat="1" x14ac:dyDescent="0.25">
      <c r="A95" s="99">
        <v>19</v>
      </c>
      <c r="B95" s="30">
        <v>241</v>
      </c>
      <c r="C95" s="47" t="s">
        <v>409</v>
      </c>
      <c r="D95" s="65">
        <v>-45928</v>
      </c>
      <c r="E95" s="157">
        <v>-45403</v>
      </c>
      <c r="F95" s="157">
        <v>-45120</v>
      </c>
      <c r="G95" s="157">
        <v>-47241</v>
      </c>
      <c r="H95" s="43">
        <v>-48422</v>
      </c>
      <c r="I95" s="43">
        <v>-48013</v>
      </c>
      <c r="J95" s="159">
        <v>-50174.819519999997</v>
      </c>
      <c r="K95" s="43">
        <v>-53194</v>
      </c>
      <c r="L95" s="43">
        <v>-19775.451000000001</v>
      </c>
      <c r="M95" s="43">
        <f>'2.1. Toimintakatennuste'!AX86</f>
        <v>-20342.164264223644</v>
      </c>
      <c r="N95" s="43">
        <f>$N$6*'2.1. Toimintakatennuste'!AG86</f>
        <v>-21956.917779697189</v>
      </c>
      <c r="O95" s="43">
        <f>$O$6*'2.1. Toimintakatennuste'!AH86</f>
        <v>-22575.091191694915</v>
      </c>
      <c r="P95" s="43">
        <f>P$6*'2.1. Toimintakatennuste'!AI86</f>
        <v>-23190.141181823165</v>
      </c>
      <c r="Q95" s="43">
        <f>Q$6*'2.1. Toimintakatennuste'!AJ86</f>
        <v>-23465.734262570626</v>
      </c>
      <c r="R95" s="117"/>
      <c r="S95" s="34">
        <v>241</v>
      </c>
      <c r="T95" s="88" t="s">
        <v>409</v>
      </c>
      <c r="U95" s="41">
        <f>D95/'1. Väestöennuste'!E95*1000</f>
        <v>-5475.4411063423931</v>
      </c>
      <c r="V95" s="41">
        <f>E95/'1. Väestöennuste'!F95*1000</f>
        <v>-5459.71620971621</v>
      </c>
      <c r="W95" s="41">
        <f>F95/'1. Väestöennuste'!G95*1000</f>
        <v>-5438.765670202507</v>
      </c>
      <c r="X95" s="41">
        <f>G95/'1. Väestöennuste'!H95*1000</f>
        <v>-5798.5761630047873</v>
      </c>
      <c r="Y95" s="41">
        <f>H95/'1. Väestöennuste'!I95*1000</f>
        <v>-5993.563559846516</v>
      </c>
      <c r="Z95" s="41">
        <f>I95/'1. Väestöennuste'!J95*1000</f>
        <v>-6013.6523046092179</v>
      </c>
      <c r="AA95" s="41">
        <f>J95/'1. Väestöennuste'!K95*1000</f>
        <v>-6348.028785425101</v>
      </c>
      <c r="AB95" s="41">
        <f>K95/'1. Väestöennuste'!L95*1000</f>
        <v>-6845.1936687684984</v>
      </c>
      <c r="AC95" s="41">
        <f>L95/'1. Väestöennuste'!M95*1000</f>
        <v>-2571.245741776102</v>
      </c>
      <c r="AD95" s="41">
        <f>M95/'1. Väestöennuste'!N95*1000</f>
        <v>-2637.728768701199</v>
      </c>
      <c r="AE95" s="41">
        <f>N95/'1. Väestöennuste'!O95*1000</f>
        <v>-2872.0624957092464</v>
      </c>
      <c r="AF95" s="41">
        <f>O95/'1. Väestöennuste'!P95*1000</f>
        <v>-2979.0302443514006</v>
      </c>
      <c r="AG95" s="41">
        <f>P95/'1. Väestöennuste'!Q95*1000</f>
        <v>-3089.5471864938936</v>
      </c>
      <c r="AH95" s="41">
        <f>Q95/'1. Väestöennuste'!R95*1000</f>
        <v>-3154.8446171780888</v>
      </c>
    </row>
    <row r="96" spans="1:34" customFormat="1" x14ac:dyDescent="0.25">
      <c r="A96" s="99">
        <v>17</v>
      </c>
      <c r="B96" s="30">
        <v>244</v>
      </c>
      <c r="C96" s="47" t="s">
        <v>410</v>
      </c>
      <c r="D96" s="65">
        <v>-78630</v>
      </c>
      <c r="E96" s="157">
        <v>-79309</v>
      </c>
      <c r="F96" s="157">
        <v>-83222</v>
      </c>
      <c r="G96" s="157">
        <v>-85353</v>
      </c>
      <c r="H96" s="43">
        <v>-93476</v>
      </c>
      <c r="I96" s="43">
        <v>-100123</v>
      </c>
      <c r="J96" s="159">
        <v>-103352.5482</v>
      </c>
      <c r="K96" s="43">
        <v>-109453.80756</v>
      </c>
      <c r="L96" s="43">
        <v>-59038.29767</v>
      </c>
      <c r="M96" s="43">
        <f>'2.1. Toimintakatennuste'!AX87</f>
        <v>-62514.572282496309</v>
      </c>
      <c r="N96" s="43">
        <f>$N$6*'2.1. Toimintakatennuste'!AG87</f>
        <v>-67122.915240896473</v>
      </c>
      <c r="O96" s="43">
        <f>$O$6*'2.1. Toimintakatennuste'!AH87</f>
        <v>-70550.509159077978</v>
      </c>
      <c r="P96" s="43">
        <f>P$6*'2.1. Toimintakatennuste'!AI87</f>
        <v>-72945.263050751935</v>
      </c>
      <c r="Q96" s="43">
        <f>Q$6*'2.1. Toimintakatennuste'!AJ87</f>
        <v>-75950.037159940286</v>
      </c>
      <c r="R96" s="117"/>
      <c r="S96" s="34">
        <v>244</v>
      </c>
      <c r="T96" s="88" t="s">
        <v>410</v>
      </c>
      <c r="U96" s="41">
        <f>D96/'1. Väestöennuste'!E96*1000</f>
        <v>-4607.4065393179426</v>
      </c>
      <c r="V96" s="41">
        <f>E96/'1. Väestöennuste'!F96*1000</f>
        <v>-4585.1303694282242</v>
      </c>
      <c r="W96" s="41">
        <f>F96/'1. Väestöennuste'!G96*1000</f>
        <v>-4746.0507556315943</v>
      </c>
      <c r="X96" s="41">
        <f>G96/'1. Väestöennuste'!H96*1000</f>
        <v>-4762.2049880042405</v>
      </c>
      <c r="Y96" s="41">
        <f>H96/'1. Väestöennuste'!I96*1000</f>
        <v>-5092.6722963770089</v>
      </c>
      <c r="Z96" s="41">
        <f>I96/'1. Väestöennuste'!J96*1000</f>
        <v>-5326.8248563524148</v>
      </c>
      <c r="AA96" s="41">
        <f>J96/'1. Väestöennuste'!K96*1000</f>
        <v>-5406.5990897677348</v>
      </c>
      <c r="AB96" s="41">
        <f>K96/'1. Väestöennuste'!L96*1000</f>
        <v>-5671.1817388601039</v>
      </c>
      <c r="AC96" s="41">
        <f>L96/'1. Väestöennuste'!M96*1000</f>
        <v>-3025.4329030439685</v>
      </c>
      <c r="AD96" s="41">
        <f>M96/'1. Väestöennuste'!N96*1000</f>
        <v>-3101.3827594630307</v>
      </c>
      <c r="AE96" s="41">
        <f>N96/'1. Väestöennuste'!O96*1000</f>
        <v>-3283.4180521888411</v>
      </c>
      <c r="AF96" s="41">
        <f>O96/'1. Väestöennuste'!P96*1000</f>
        <v>-3406.5914610853683</v>
      </c>
      <c r="AG96" s="41">
        <f>P96/'1. Väestöennuste'!Q96*1000</f>
        <v>-3479.2169727535979</v>
      </c>
      <c r="AH96" s="41">
        <f>Q96/'1. Väestöennuste'!R96*1000</f>
        <v>-3582.0420298986128</v>
      </c>
    </row>
    <row r="97" spans="1:34" customFormat="1" x14ac:dyDescent="0.25">
      <c r="A97" s="99">
        <v>1</v>
      </c>
      <c r="B97" s="30">
        <v>245</v>
      </c>
      <c r="C97" s="47" t="s">
        <v>411</v>
      </c>
      <c r="D97" s="65">
        <v>-154908</v>
      </c>
      <c r="E97" s="157">
        <v>-152653</v>
      </c>
      <c r="F97" s="157">
        <v>-157807</v>
      </c>
      <c r="G97" s="157">
        <v>-161311</v>
      </c>
      <c r="H97" s="43">
        <v>-172241</v>
      </c>
      <c r="I97" s="43">
        <v>-186956</v>
      </c>
      <c r="J97" s="159">
        <v>-194885.50613999998</v>
      </c>
      <c r="K97" s="43">
        <v>-214808.09300999998</v>
      </c>
      <c r="L97" s="43">
        <v>-82922.088310000006</v>
      </c>
      <c r="M97" s="43">
        <f>'2.1. Toimintakatennuste'!AX88</f>
        <v>-80259.395889776992</v>
      </c>
      <c r="N97" s="43">
        <f>$N$6*'2.1. Toimintakatennuste'!AG88</f>
        <v>-96678.441631802576</v>
      </c>
      <c r="O97" s="43">
        <f>$O$6*'2.1. Toimintakatennuste'!AH88</f>
        <v>-100778.44656536472</v>
      </c>
      <c r="P97" s="43">
        <f>P$6*'2.1. Toimintakatennuste'!AI88</f>
        <v>-105001.41332130239</v>
      </c>
      <c r="Q97" s="43">
        <f>Q$6*'2.1. Toimintakatennuste'!AJ88</f>
        <v>-108568.07501493882</v>
      </c>
      <c r="R97" s="117"/>
      <c r="S97" s="34">
        <v>245</v>
      </c>
      <c r="T97" s="88" t="s">
        <v>411</v>
      </c>
      <c r="U97" s="41">
        <f>D97/'1. Väestöennuste'!E97*1000</f>
        <v>-4389.1989913013913</v>
      </c>
      <c r="V97" s="41">
        <f>E97/'1. Väestöennuste'!F97*1000</f>
        <v>-4298.7524992255921</v>
      </c>
      <c r="W97" s="41">
        <f>F97/'1. Väestöennuste'!G97*1000</f>
        <v>-4438.516060077628</v>
      </c>
      <c r="X97" s="41">
        <f>G97/'1. Väestöennuste'!H97*1000</f>
        <v>-4449.4676449495228</v>
      </c>
      <c r="Y97" s="41">
        <f>H97/'1. Väestöennuste'!I97*1000</f>
        <v>-4686.0648601588855</v>
      </c>
      <c r="Z97" s="41">
        <f>I97/'1. Väestöennuste'!J97*1000</f>
        <v>-5038.5662309661775</v>
      </c>
      <c r="AA97" s="41">
        <f>J97/'1. Väestöennuste'!K97*1000</f>
        <v>-5234.3550209497198</v>
      </c>
      <c r="AB97" s="41">
        <f>K97/'1. Väestöennuste'!L97*1000</f>
        <v>-5701.4569755281873</v>
      </c>
      <c r="AC97" s="41">
        <f>L97/'1. Väestöennuste'!M97*1000</f>
        <v>-2170.1103951741648</v>
      </c>
      <c r="AD97" s="41">
        <f>M97/'1. Väestöennuste'!N97*1000</f>
        <v>-2079.3128290830591</v>
      </c>
      <c r="AE97" s="41">
        <f>N97/'1. Väestöennuste'!O97*1000</f>
        <v>-2484.3490076269454</v>
      </c>
      <c r="AF97" s="41">
        <f>O97/'1. Väestöennuste'!P97*1000</f>
        <v>-2569.6987751890642</v>
      </c>
      <c r="AG97" s="41">
        <f>P97/'1. Väestöennuste'!Q97*1000</f>
        <v>-2658.3309279045648</v>
      </c>
      <c r="AH97" s="41">
        <f>Q97/'1. Väestöennuste'!R97*1000</f>
        <v>-2730.1047354575103</v>
      </c>
    </row>
    <row r="98" spans="1:34" customFormat="1" x14ac:dyDescent="0.25">
      <c r="A98" s="99">
        <v>13</v>
      </c>
      <c r="B98" s="30">
        <v>249</v>
      </c>
      <c r="C98" s="47" t="s">
        <v>412</v>
      </c>
      <c r="D98" s="65">
        <v>-57886</v>
      </c>
      <c r="E98" s="157">
        <v>-57855</v>
      </c>
      <c r="F98" s="157">
        <v>-55547</v>
      </c>
      <c r="G98" s="157">
        <v>-56788</v>
      </c>
      <c r="H98" s="43">
        <v>-59628</v>
      </c>
      <c r="I98" s="43">
        <v>-59408</v>
      </c>
      <c r="J98" s="159">
        <v>-64268.240869999994</v>
      </c>
      <c r="K98" s="43">
        <v>-67528.106</v>
      </c>
      <c r="L98" s="43">
        <v>-21113.911680000001</v>
      </c>
      <c r="M98" s="43">
        <f>'2.1. Toimintakatennuste'!AX89</f>
        <v>-22231.61923263588</v>
      </c>
      <c r="N98" s="43">
        <f>$N$6*'2.1. Toimintakatennuste'!AG89</f>
        <v>-24549.636263189277</v>
      </c>
      <c r="O98" s="43">
        <f>$O$6*'2.1. Toimintakatennuste'!AH89</f>
        <v>-25145.713640649181</v>
      </c>
      <c r="P98" s="43">
        <f>P$6*'2.1. Toimintakatennuste'!AI89</f>
        <v>-25603.315835220772</v>
      </c>
      <c r="Q98" s="43">
        <f>Q$6*'2.1. Toimintakatennuste'!AJ89</f>
        <v>-25885.421737094224</v>
      </c>
      <c r="R98" s="117"/>
      <c r="S98" s="34">
        <v>249</v>
      </c>
      <c r="T98" s="88" t="s">
        <v>412</v>
      </c>
      <c r="U98" s="41">
        <f>D98/'1. Väestöennuste'!E98*1000</f>
        <v>-5721.6566175743792</v>
      </c>
      <c r="V98" s="41">
        <f>E98/'1. Väestöennuste'!F98*1000</f>
        <v>-5790.1321056845482</v>
      </c>
      <c r="W98" s="41">
        <f>F98/'1. Väestöennuste'!G98*1000</f>
        <v>-5600.0604899687469</v>
      </c>
      <c r="X98" s="41">
        <f>G98/'1. Väestöennuste'!H98*1000</f>
        <v>-5817.2505634091376</v>
      </c>
      <c r="Y98" s="41">
        <f>H98/'1. Väestöennuste'!I98*1000</f>
        <v>-6208.0166579906299</v>
      </c>
      <c r="Z98" s="41">
        <f>I98/'1. Väestöennuste'!J98*1000</f>
        <v>-6262.7029306346194</v>
      </c>
      <c r="AA98" s="41">
        <f>J98/'1. Väestöennuste'!K98*1000</f>
        <v>-6805.9134671185002</v>
      </c>
      <c r="AB98" s="41">
        <f>K98/'1. Väestöennuste'!L98*1000</f>
        <v>-7300.3357837837839</v>
      </c>
      <c r="AC98" s="41">
        <f>L98/'1. Väestöennuste'!M98*1000</f>
        <v>-2298.9886411149828</v>
      </c>
      <c r="AD98" s="41">
        <f>M98/'1. Väestöennuste'!N98*1000</f>
        <v>-2474.3037543278665</v>
      </c>
      <c r="AE98" s="41">
        <f>N98/'1. Väestöennuste'!O98*1000</f>
        <v>-2764.5986782870805</v>
      </c>
      <c r="AF98" s="41">
        <f>O98/'1. Väestöennuste'!P98*1000</f>
        <v>-2865.2818642489951</v>
      </c>
      <c r="AG98" s="41">
        <f>P98/'1. Väestöennuste'!Q98*1000</f>
        <v>-2950.0306297062762</v>
      </c>
      <c r="AH98" s="41">
        <f>Q98/'1. Väestöennuste'!R98*1000</f>
        <v>-3015.8944118716327</v>
      </c>
    </row>
    <row r="99" spans="1:34" customFormat="1" x14ac:dyDescent="0.25">
      <c r="A99" s="99">
        <v>6</v>
      </c>
      <c r="B99" s="30">
        <v>250</v>
      </c>
      <c r="C99" s="47" t="s">
        <v>413</v>
      </c>
      <c r="D99" s="65">
        <v>-12351</v>
      </c>
      <c r="E99" s="157">
        <v>-12212</v>
      </c>
      <c r="F99" s="157">
        <v>-12248</v>
      </c>
      <c r="G99" s="157">
        <v>-11794</v>
      </c>
      <c r="H99" s="43">
        <v>-12154</v>
      </c>
      <c r="I99" s="43">
        <v>-12219</v>
      </c>
      <c r="J99" s="159">
        <v>-12637.838519999999</v>
      </c>
      <c r="K99" s="43">
        <v>-13440.36543</v>
      </c>
      <c r="L99" s="43">
        <v>-5090.1160599999994</v>
      </c>
      <c r="M99" s="43">
        <f>'2.1. Toimintakatennuste'!AX90</f>
        <v>-4433.4678279439968</v>
      </c>
      <c r="N99" s="43">
        <f>$N$6*'2.1. Toimintakatennuste'!AG90</f>
        <v>-5640.0112682285508</v>
      </c>
      <c r="O99" s="43">
        <f>$O$6*'2.1. Toimintakatennuste'!AH90</f>
        <v>-5835.8903668598214</v>
      </c>
      <c r="P99" s="43">
        <f>P$6*'2.1. Toimintakatennuste'!AI90</f>
        <v>-6020.4128721529632</v>
      </c>
      <c r="Q99" s="43">
        <f>Q$6*'2.1. Toimintakatennuste'!AJ90</f>
        <v>-6194.1033737775442</v>
      </c>
      <c r="R99" s="117"/>
      <c r="S99" s="34">
        <v>250</v>
      </c>
      <c r="T99" s="88" t="s">
        <v>413</v>
      </c>
      <c r="U99" s="41">
        <f>D99/'1. Väestöennuste'!E99*1000</f>
        <v>-6060.353287536801</v>
      </c>
      <c r="V99" s="41">
        <f>E99/'1. Väestöennuste'!F99*1000</f>
        <v>-6124.3731193580743</v>
      </c>
      <c r="W99" s="41">
        <f>F99/'1. Väestöennuste'!G99*1000</f>
        <v>-6226.7412302999492</v>
      </c>
      <c r="X99" s="41">
        <f>G99/'1. Väestöennuste'!H99*1000</f>
        <v>-6174.8691099476437</v>
      </c>
      <c r="Y99" s="41">
        <f>H99/'1. Väestöennuste'!I99*1000</f>
        <v>-6516.8900804289542</v>
      </c>
      <c r="Z99" s="41">
        <f>I99/'1. Väestöennuste'!J99*1000</f>
        <v>-6706.3666300768391</v>
      </c>
      <c r="AA99" s="41">
        <f>J99/'1. Väestöennuste'!K99*1000</f>
        <v>-6989.9549336283189</v>
      </c>
      <c r="AB99" s="41">
        <f>K99/'1. Väestöennuste'!L99*1000</f>
        <v>-7589.1391473743643</v>
      </c>
      <c r="AC99" s="41">
        <f>L99/'1. Väestöennuste'!M99*1000</f>
        <v>-2910.3007775871924</v>
      </c>
      <c r="AD99" s="41">
        <f>M99/'1. Väestöennuste'!N99*1000</f>
        <v>-2654.7711544574831</v>
      </c>
      <c r="AE99" s="41">
        <f>N99/'1. Väestöennuste'!O99*1000</f>
        <v>-3443.2303224838529</v>
      </c>
      <c r="AF99" s="41">
        <f>O99/'1. Väestöennuste'!P99*1000</f>
        <v>-3631.5434765773621</v>
      </c>
      <c r="AG99" s="41">
        <f>P99/'1. Väestöennuste'!Q99*1000</f>
        <v>-3815.2172827331833</v>
      </c>
      <c r="AH99" s="41">
        <f>Q99/'1. Väestöennuste'!R99*1000</f>
        <v>-4003.9452965594987</v>
      </c>
    </row>
    <row r="100" spans="1:34" customFormat="1" x14ac:dyDescent="0.25">
      <c r="A100" s="99">
        <v>13</v>
      </c>
      <c r="B100" s="30">
        <v>256</v>
      </c>
      <c r="C100" s="47" t="s">
        <v>414</v>
      </c>
      <c r="D100" s="65">
        <v>-10896</v>
      </c>
      <c r="E100" s="157">
        <v>-11123</v>
      </c>
      <c r="F100" s="157">
        <v>-10721</v>
      </c>
      <c r="G100" s="157">
        <v>-11472</v>
      </c>
      <c r="H100" s="43">
        <v>-11281</v>
      </c>
      <c r="I100" s="43">
        <v>-11625</v>
      </c>
      <c r="J100" s="159">
        <v>-11844.29</v>
      </c>
      <c r="K100" s="43">
        <v>-12721.19685</v>
      </c>
      <c r="L100" s="43">
        <v>-4697.2042899999997</v>
      </c>
      <c r="M100" s="43">
        <f>'2.1. Toimintakatennuste'!AX91</f>
        <v>-4242.4038013325844</v>
      </c>
      <c r="N100" s="43">
        <f>$N$6*'2.1. Toimintakatennuste'!AG91</f>
        <v>-5555.7921154861669</v>
      </c>
      <c r="O100" s="43">
        <f>$O$6*'2.1. Toimintakatennuste'!AH91</f>
        <v>-5776.4400762488176</v>
      </c>
      <c r="P100" s="43">
        <f>P$6*'2.1. Toimintakatennuste'!AI91</f>
        <v>-5891.5430853860917</v>
      </c>
      <c r="Q100" s="43">
        <f>Q$6*'2.1. Toimintakatennuste'!AJ91</f>
        <v>-6091.1985235173188</v>
      </c>
      <c r="R100" s="117"/>
      <c r="S100" s="34">
        <v>256</v>
      </c>
      <c r="T100" s="88" t="s">
        <v>414</v>
      </c>
      <c r="U100" s="41">
        <f>D100/'1. Väestöennuste'!E100*1000</f>
        <v>-6244.1260744985666</v>
      </c>
      <c r="V100" s="41">
        <f>E100/'1. Väestöennuste'!F100*1000</f>
        <v>-6546.7922307239551</v>
      </c>
      <c r="W100" s="41">
        <f>F100/'1. Väestöennuste'!G100*1000</f>
        <v>-6474.0338164251207</v>
      </c>
      <c r="X100" s="41">
        <f>G100/'1. Väestöennuste'!H100*1000</f>
        <v>-7103.4055727554178</v>
      </c>
      <c r="Y100" s="41">
        <f>H100/'1. Väestöennuste'!I100*1000</f>
        <v>-6963.5802469135806</v>
      </c>
      <c r="Z100" s="41">
        <f>I100/'1. Väestöennuste'!J100*1000</f>
        <v>-7279.2736380713841</v>
      </c>
      <c r="AA100" s="41">
        <f>J100/'1. Väestöennuste'!K100*1000</f>
        <v>-7491.644528779254</v>
      </c>
      <c r="AB100" s="41">
        <f>K100/'1. Väestöennuste'!L100*1000</f>
        <v>-8186.0983590733586</v>
      </c>
      <c r="AC100" s="41">
        <f>L100/'1. Väestöennuste'!M100*1000</f>
        <v>-3084.1787852921866</v>
      </c>
      <c r="AD100" s="41">
        <f>M100/'1. Väestöennuste'!N100*1000</f>
        <v>-2835.8314180030643</v>
      </c>
      <c r="AE100" s="41">
        <f>N100/'1. Väestöennuste'!O100*1000</f>
        <v>-3769.1941081995706</v>
      </c>
      <c r="AF100" s="41">
        <f>O100/'1. Väestöennuste'!P100*1000</f>
        <v>-3983.7517767233226</v>
      </c>
      <c r="AG100" s="41">
        <f>P100/'1. Väestöennuste'!Q100*1000</f>
        <v>-4125.7304519510444</v>
      </c>
      <c r="AH100" s="41">
        <f>Q100/'1. Väestöennuste'!R100*1000</f>
        <v>-4323.0649563643146</v>
      </c>
    </row>
    <row r="101" spans="1:34" customFormat="1" x14ac:dyDescent="0.25">
      <c r="A101" s="99">
        <v>1</v>
      </c>
      <c r="B101" s="30">
        <v>257</v>
      </c>
      <c r="C101" s="47" t="s">
        <v>415</v>
      </c>
      <c r="D101" s="65">
        <v>-186649</v>
      </c>
      <c r="E101" s="157">
        <v>-190490</v>
      </c>
      <c r="F101" s="157">
        <v>-195688</v>
      </c>
      <c r="G101" s="157">
        <v>-198928</v>
      </c>
      <c r="H101" s="43">
        <v>-214168</v>
      </c>
      <c r="I101" s="43">
        <v>-217887</v>
      </c>
      <c r="J101" s="159">
        <v>-219771.50091999999</v>
      </c>
      <c r="K101" s="43">
        <v>-220227.40208</v>
      </c>
      <c r="L101" s="43">
        <v>-111876.6238</v>
      </c>
      <c r="M101" s="43">
        <f>'2.1. Toimintakatennuste'!AX92</f>
        <v>-118666.88241064989</v>
      </c>
      <c r="N101" s="43">
        <f>$N$6*'2.1. Toimintakatennuste'!AG92</f>
        <v>-125036.32854569831</v>
      </c>
      <c r="O101" s="43">
        <f>$O$6*'2.1. Toimintakatennuste'!AH92</f>
        <v>-130256.77577996293</v>
      </c>
      <c r="P101" s="43">
        <f>P$6*'2.1. Toimintakatennuste'!AI92</f>
        <v>-134924.41224374258</v>
      </c>
      <c r="Q101" s="43">
        <f>Q$6*'2.1. Toimintakatennuste'!AJ92</f>
        <v>-139260.3404931784</v>
      </c>
      <c r="R101" s="117"/>
      <c r="S101" s="34">
        <v>257</v>
      </c>
      <c r="T101" s="88" t="s">
        <v>415</v>
      </c>
      <c r="U101" s="41">
        <f>D101/'1. Väestöennuste'!E101*1000</f>
        <v>-4829.3358172268372</v>
      </c>
      <c r="V101" s="41">
        <f>E101/'1. Väestöennuste'!F101*1000</f>
        <v>-4880.229549355674</v>
      </c>
      <c r="W101" s="41">
        <f>F101/'1. Väestöennuste'!G101*1000</f>
        <v>-4995.8641817717644</v>
      </c>
      <c r="X101" s="41">
        <f>G101/'1. Väestöennuste'!H101*1000</f>
        <v>-5066.6802506240128</v>
      </c>
      <c r="Y101" s="41">
        <f>H101/'1. Väestöennuste'!I101*1000</f>
        <v>-5410.1955236699841</v>
      </c>
      <c r="Z101" s="41">
        <f>I101/'1. Väestöennuste'!J101*1000</f>
        <v>-5436.0311361708491</v>
      </c>
      <c r="AA101" s="41">
        <f>J101/'1. Väestöennuste'!K101*1000</f>
        <v>-5435.4487898498746</v>
      </c>
      <c r="AB101" s="41">
        <f>K101/'1. Väestöennuste'!L101*1000</f>
        <v>-5408.069399341879</v>
      </c>
      <c r="AC101" s="41">
        <f>L101/'1. Väestöennuste'!M101*1000</f>
        <v>-2718.487238178549</v>
      </c>
      <c r="AD101" s="41">
        <f>M101/'1. Väestöennuste'!N101*1000</f>
        <v>-2861.994607497043</v>
      </c>
      <c r="AE101" s="41">
        <f>N101/'1. Väestöennuste'!O101*1000</f>
        <v>-2994.0932579607361</v>
      </c>
      <c r="AF101" s="41">
        <f>O101/'1. Väestöennuste'!P101*1000</f>
        <v>-3098.3272467344482</v>
      </c>
      <c r="AG101" s="41">
        <f>P101/'1. Väestöennuste'!Q101*1000</f>
        <v>-3189.3254282884432</v>
      </c>
      <c r="AH101" s="41">
        <f>Q101/'1. Väestöennuste'!R101*1000</f>
        <v>-3272.017586362595</v>
      </c>
    </row>
    <row r="102" spans="1:34" customFormat="1" x14ac:dyDescent="0.25">
      <c r="A102" s="99">
        <v>12</v>
      </c>
      <c r="B102" s="30">
        <v>260</v>
      </c>
      <c r="C102" s="47" t="s">
        <v>416</v>
      </c>
      <c r="D102" s="65">
        <v>-63850</v>
      </c>
      <c r="E102" s="157">
        <v>-63598</v>
      </c>
      <c r="F102" s="157">
        <v>-62826</v>
      </c>
      <c r="G102" s="157">
        <v>-64023</v>
      </c>
      <c r="H102" s="43">
        <v>-65767</v>
      </c>
      <c r="I102" s="43">
        <v>-68350</v>
      </c>
      <c r="J102" s="159">
        <v>-69083.038799999995</v>
      </c>
      <c r="K102" s="43">
        <v>-73426.384999999995</v>
      </c>
      <c r="L102" s="43">
        <v>-23990.221510000003</v>
      </c>
      <c r="M102" s="43">
        <f>'2.1. Toimintakatennuste'!AX93</f>
        <v>-25815.580075817987</v>
      </c>
      <c r="N102" s="43">
        <f>$N$6*'2.1. Toimintakatennuste'!AG93</f>
        <v>-27262.435178196978</v>
      </c>
      <c r="O102" s="43">
        <f>$O$6*'2.1. Toimintakatennuste'!AH93</f>
        <v>-27964.66225067318</v>
      </c>
      <c r="P102" s="43">
        <f>P$6*'2.1. Toimintakatennuste'!AI93</f>
        <v>-28368.537321738113</v>
      </c>
      <c r="Q102" s="43">
        <f>Q$6*'2.1. Toimintakatennuste'!AJ93</f>
        <v>-28535.452164994782</v>
      </c>
      <c r="R102" s="117"/>
      <c r="S102" s="34">
        <v>260</v>
      </c>
      <c r="T102" s="88" t="s">
        <v>416</v>
      </c>
      <c r="U102" s="41">
        <f>D102/'1. Väestöennuste'!E102*1000</f>
        <v>-5894.5716395864101</v>
      </c>
      <c r="V102" s="41">
        <f>E102/'1. Väestöennuste'!F102*1000</f>
        <v>-5933.2027241347141</v>
      </c>
      <c r="W102" s="41">
        <f>F102/'1. Väestöennuste'!G102*1000</f>
        <v>-5991.4171275987037</v>
      </c>
      <c r="X102" s="41">
        <f>G102/'1. Väestöennuste'!H102*1000</f>
        <v>-6181.0195018343302</v>
      </c>
      <c r="Y102" s="41">
        <f>H102/'1. Väestöennuste'!I102*1000</f>
        <v>-6488.4569850039461</v>
      </c>
      <c r="Z102" s="41">
        <f>I102/'1. Väestöennuste'!J102*1000</f>
        <v>-6881.1033927312992</v>
      </c>
      <c r="AA102" s="41">
        <f>J102/'1. Väestöennuste'!K102*1000</f>
        <v>-6994.3341905436873</v>
      </c>
      <c r="AB102" s="41">
        <f>K102/'1. Väestöennuste'!L102*1000</f>
        <v>-7548.7185154723957</v>
      </c>
      <c r="AC102" s="41">
        <f>L102/'1. Väestöennuste'!M102*1000</f>
        <v>-2476.0265775621842</v>
      </c>
      <c r="AD102" s="41">
        <f>M102/'1. Väestöennuste'!N102*1000</f>
        <v>-2793.2893395172023</v>
      </c>
      <c r="AE102" s="41">
        <f>N102/'1. Väestöennuste'!O102*1000</f>
        <v>-2998.5080486358311</v>
      </c>
      <c r="AF102" s="41">
        <f>O102/'1. Väestöennuste'!P102*1000</f>
        <v>-3125.2416462531492</v>
      </c>
      <c r="AG102" s="41">
        <f>P102/'1. Väestöennuste'!Q102*1000</f>
        <v>-3218.9421674501432</v>
      </c>
      <c r="AH102" s="41">
        <f>Q102/'1. Väestöennuste'!R102*1000</f>
        <v>-3285.9802124590951</v>
      </c>
    </row>
    <row r="103" spans="1:34" customFormat="1" x14ac:dyDescent="0.25">
      <c r="A103" s="99">
        <v>19</v>
      </c>
      <c r="B103" s="30">
        <v>261</v>
      </c>
      <c r="C103" s="47" t="s">
        <v>417</v>
      </c>
      <c r="D103" s="65">
        <v>-45410</v>
      </c>
      <c r="E103" s="157">
        <v>-43129</v>
      </c>
      <c r="F103" s="157">
        <v>-43994</v>
      </c>
      <c r="G103" s="157">
        <v>-46698</v>
      </c>
      <c r="H103" s="43">
        <v>-48651</v>
      </c>
      <c r="I103" s="43">
        <v>-49817</v>
      </c>
      <c r="J103" s="159">
        <v>-45423.759330000001</v>
      </c>
      <c r="K103" s="43">
        <v>-52380.616799999996</v>
      </c>
      <c r="L103" s="43">
        <v>-26365.101440000002</v>
      </c>
      <c r="M103" s="43">
        <f>'2.1. Toimintakatennuste'!AX94</f>
        <v>-28318.909195601627</v>
      </c>
      <c r="N103" s="43">
        <f>$N$6*'2.1. Toimintakatennuste'!AG94</f>
        <v>-30145.136506877017</v>
      </c>
      <c r="O103" s="43">
        <f>$O$6*'2.1. Toimintakatennuste'!AH94</f>
        <v>-31134.609588360843</v>
      </c>
      <c r="P103" s="43">
        <f>P$6*'2.1. Toimintakatennuste'!AI94</f>
        <v>-32006.930014807316</v>
      </c>
      <c r="Q103" s="43">
        <f>Q$6*'2.1. Toimintakatennuste'!AJ94</f>
        <v>-33014.090961459711</v>
      </c>
      <c r="R103" s="117"/>
      <c r="S103" s="34">
        <v>261</v>
      </c>
      <c r="T103" s="88" t="s">
        <v>417</v>
      </c>
      <c r="U103" s="41">
        <f>D103/'1. Väestöennuste'!E103*1000</f>
        <v>-7077.618453865337</v>
      </c>
      <c r="V103" s="41">
        <f>E103/'1. Väestöennuste'!F103*1000</f>
        <v>-6756.8541438195207</v>
      </c>
      <c r="W103" s="41">
        <f>F103/'1. Väestöennuste'!G103*1000</f>
        <v>-6851.5807506618912</v>
      </c>
      <c r="X103" s="41">
        <f>G103/'1. Väestöennuste'!H103*1000</f>
        <v>-7255.7489123679297</v>
      </c>
      <c r="Y103" s="41">
        <f>H103/'1. Väestöennuste'!I103*1000</f>
        <v>-7539.2840539284052</v>
      </c>
      <c r="Z103" s="41">
        <f>I103/'1. Väestöennuste'!J103*1000</f>
        <v>-7740.3666873834682</v>
      </c>
      <c r="AA103" s="41">
        <f>J103/'1. Väestöennuste'!K103*1000</f>
        <v>-6963.6301287751039</v>
      </c>
      <c r="AB103" s="41">
        <f>K103/'1. Väestöennuste'!L103*1000</f>
        <v>-7892.2128672593035</v>
      </c>
      <c r="AC103" s="41">
        <f>L103/'1. Väestöennuste'!M103*1000</f>
        <v>-3864.7173028437414</v>
      </c>
      <c r="AD103" s="41">
        <f>M103/'1. Väestöennuste'!N103*1000</f>
        <v>-4421.3753623109487</v>
      </c>
      <c r="AE103" s="41">
        <f>N103/'1. Väestöennuste'!O103*1000</f>
        <v>-4715.3349768304424</v>
      </c>
      <c r="AF103" s="41">
        <f>O103/'1. Väestöennuste'!P103*1000</f>
        <v>-4880.7978661797843</v>
      </c>
      <c r="AG103" s="41">
        <f>P103/'1. Väestöennuste'!Q103*1000</f>
        <v>-5028.5828774245592</v>
      </c>
      <c r="AH103" s="41">
        <f>Q103/'1. Väestöennuste'!R103*1000</f>
        <v>-5196.614349356164</v>
      </c>
    </row>
    <row r="104" spans="1:34" customFormat="1" x14ac:dyDescent="0.25">
      <c r="A104" s="99">
        <v>11</v>
      </c>
      <c r="B104" s="30">
        <v>263</v>
      </c>
      <c r="C104" s="47" t="s">
        <v>418</v>
      </c>
      <c r="D104" s="65">
        <v>-52556</v>
      </c>
      <c r="E104" s="157">
        <v>-52314</v>
      </c>
      <c r="F104" s="157">
        <v>-52411</v>
      </c>
      <c r="G104" s="157">
        <v>-52304</v>
      </c>
      <c r="H104" s="43">
        <v>-54154</v>
      </c>
      <c r="I104" s="43">
        <v>-52971</v>
      </c>
      <c r="J104" s="159">
        <v>-53448.27547</v>
      </c>
      <c r="K104" s="43">
        <v>-55787.172780000001</v>
      </c>
      <c r="L104" s="43">
        <v>-20957.012129999999</v>
      </c>
      <c r="M104" s="43">
        <f>'2.1. Toimintakatennuste'!AX95</f>
        <v>-20379.344446970921</v>
      </c>
      <c r="N104" s="43">
        <f>$N$6*'2.1. Toimintakatennuste'!AG95</f>
        <v>-23067.768571180441</v>
      </c>
      <c r="O104" s="43">
        <f>$O$6*'2.1. Toimintakatennuste'!AH95</f>
        <v>-23678.99396733311</v>
      </c>
      <c r="P104" s="43">
        <f>P$6*'2.1. Toimintakatennuste'!AI95</f>
        <v>-24001.074880816315</v>
      </c>
      <c r="Q104" s="43">
        <f>Q$6*'2.1. Toimintakatennuste'!AJ95</f>
        <v>-24294.872006947204</v>
      </c>
      <c r="R104" s="117"/>
      <c r="S104" s="34">
        <v>263</v>
      </c>
      <c r="T104" s="88" t="s">
        <v>418</v>
      </c>
      <c r="U104" s="41">
        <f>D104/'1. Väestöennuste'!E104*1000</f>
        <v>-6111.1627906976746</v>
      </c>
      <c r="V104" s="41">
        <f>E104/'1. Väestöennuste'!F104*1000</f>
        <v>-6195.4050213169121</v>
      </c>
      <c r="W104" s="41">
        <f>F104/'1. Väestöennuste'!G104*1000</f>
        <v>-6327.5383315223953</v>
      </c>
      <c r="X104" s="41">
        <f>G104/'1. Väestöennuste'!H104*1000</f>
        <v>-6415.3072488654489</v>
      </c>
      <c r="Y104" s="41">
        <f>H104/'1. Väestöennuste'!I104*1000</f>
        <v>-6770.9427356839205</v>
      </c>
      <c r="Z104" s="41">
        <f>I104/'1. Väestöennuste'!J104*1000</f>
        <v>-6744.4614209320098</v>
      </c>
      <c r="AA104" s="41">
        <f>J104/'1. Väestöennuste'!K104*1000</f>
        <v>-6888.552064699059</v>
      </c>
      <c r="AB104" s="41">
        <f>K104/'1. Väestöennuste'!L104*1000</f>
        <v>-7343.3161484796628</v>
      </c>
      <c r="AC104" s="41">
        <f>L104/'1. Väestöennuste'!M104*1000</f>
        <v>-2803.6136628762542</v>
      </c>
      <c r="AD104" s="41">
        <f>M104/'1. Väestöennuste'!N104*1000</f>
        <v>-2779.8860246857075</v>
      </c>
      <c r="AE104" s="41">
        <f>N104/'1. Väestöennuste'!O104*1000</f>
        <v>-3197.1959211615304</v>
      </c>
      <c r="AF104" s="41">
        <f>O104/'1. Väestöennuste'!P104*1000</f>
        <v>-3334.1303812071401</v>
      </c>
      <c r="AG104" s="41">
        <f>P104/'1. Väestöennuste'!Q104*1000</f>
        <v>-3431.666411326325</v>
      </c>
      <c r="AH104" s="41">
        <f>Q104/'1. Väestöennuste'!R104*1000</f>
        <v>-3525.5945446157602</v>
      </c>
    </row>
    <row r="105" spans="1:34" customFormat="1" x14ac:dyDescent="0.25">
      <c r="A105" s="99">
        <v>13</v>
      </c>
      <c r="B105" s="30">
        <v>265</v>
      </c>
      <c r="C105" s="47" t="s">
        <v>419</v>
      </c>
      <c r="D105" s="65">
        <v>-8314</v>
      </c>
      <c r="E105" s="157">
        <v>-8515</v>
      </c>
      <c r="F105" s="157">
        <v>-7834</v>
      </c>
      <c r="G105" s="157">
        <v>-8036</v>
      </c>
      <c r="H105" s="43">
        <v>-8148</v>
      </c>
      <c r="I105" s="43">
        <v>-7636</v>
      </c>
      <c r="J105" s="159">
        <v>-7929.6298599999991</v>
      </c>
      <c r="K105" s="43">
        <v>-7946.2069499999998</v>
      </c>
      <c r="L105" s="43">
        <v>-2573.53647</v>
      </c>
      <c r="M105" s="43">
        <f>'2.1. Toimintakatennuste'!AX96</f>
        <v>-2840.3940851373682</v>
      </c>
      <c r="N105" s="43">
        <f>$N$6*'2.1. Toimintakatennuste'!AG96</f>
        <v>-2869.6753519876806</v>
      </c>
      <c r="O105" s="43">
        <f>$O$6*'2.1. Toimintakatennuste'!AH96</f>
        <v>-2983.6375083665484</v>
      </c>
      <c r="P105" s="43">
        <f>P$6*'2.1. Toimintakatennuste'!AI96</f>
        <v>-3092.6563787945411</v>
      </c>
      <c r="Q105" s="43">
        <f>Q$6*'2.1. Toimintakatennuste'!AJ96</f>
        <v>-3197.7601386641923</v>
      </c>
      <c r="R105" s="117"/>
      <c r="S105" s="34">
        <v>265</v>
      </c>
      <c r="T105" s="88" t="s">
        <v>419</v>
      </c>
      <c r="U105" s="41">
        <f>D105/'1. Väestöennuste'!E105*1000</f>
        <v>-6928.3333333333339</v>
      </c>
      <c r="V105" s="41">
        <f>E105/'1. Väestöennuste'!F105*1000</f>
        <v>-7334.1946597760552</v>
      </c>
      <c r="W105" s="41">
        <f>F105/'1. Väestöennuste'!G105*1000</f>
        <v>-6920.4946996466433</v>
      </c>
      <c r="X105" s="41">
        <f>G105/'1. Väestöennuste'!H105*1000</f>
        <v>-7285.5847688123304</v>
      </c>
      <c r="Y105" s="41">
        <f>H105/'1. Väestöennuste'!I105*1000</f>
        <v>-7434.3065693430653</v>
      </c>
      <c r="Z105" s="41">
        <f>I105/'1. Väestöennuste'!J105*1000</f>
        <v>-6897.9223125564595</v>
      </c>
      <c r="AA105" s="41">
        <f>J105/'1. Väestöennuste'!K105*1000</f>
        <v>-7288.2627389705876</v>
      </c>
      <c r="AB105" s="41">
        <f>K105/'1. Väestöennuste'!L105*1000</f>
        <v>-7468.2396146616538</v>
      </c>
      <c r="AC105" s="41">
        <f>L105/'1. Väestöennuste'!M105*1000</f>
        <v>-2486.5086666666666</v>
      </c>
      <c r="AD105" s="41">
        <f>M105/'1. Väestöennuste'!N105*1000</f>
        <v>-2712.8883334645352</v>
      </c>
      <c r="AE105" s="41">
        <f>N105/'1. Väestöennuste'!O105*1000</f>
        <v>-2780.6931705306984</v>
      </c>
      <c r="AF105" s="41">
        <f>O105/'1. Väestöennuste'!P105*1000</f>
        <v>-2933.76352838402</v>
      </c>
      <c r="AG105" s="41">
        <f>P105/'1. Väestöennuste'!Q105*1000</f>
        <v>-3083.4061603136001</v>
      </c>
      <c r="AH105" s="41">
        <f>Q105/'1. Väestöennuste'!R105*1000</f>
        <v>-3233.3267327241583</v>
      </c>
    </row>
    <row r="106" spans="1:34" customFormat="1" x14ac:dyDescent="0.25">
      <c r="A106" s="99">
        <v>4</v>
      </c>
      <c r="B106" s="30">
        <v>271</v>
      </c>
      <c r="C106" s="47" t="s">
        <v>420</v>
      </c>
      <c r="D106" s="65">
        <v>-43139</v>
      </c>
      <c r="E106" s="157">
        <v>-43536</v>
      </c>
      <c r="F106" s="157">
        <v>-42505</v>
      </c>
      <c r="G106" s="157">
        <v>-41503</v>
      </c>
      <c r="H106" s="43">
        <v>-43346</v>
      </c>
      <c r="I106" s="43">
        <v>-42383</v>
      </c>
      <c r="J106" s="159">
        <v>-43876.84244</v>
      </c>
      <c r="K106" s="43">
        <v>-46729.181039999996</v>
      </c>
      <c r="L106" s="43">
        <v>-16001.348669999999</v>
      </c>
      <c r="M106" s="43">
        <f>'2.1. Toimintakatennuste'!AX97</f>
        <v>-15852.272635614489</v>
      </c>
      <c r="N106" s="43">
        <f>$N$6*'2.1. Toimintakatennuste'!AG97</f>
        <v>-17742.090886946335</v>
      </c>
      <c r="O106" s="43">
        <f>$O$6*'2.1. Toimintakatennuste'!AH97</f>
        <v>-18340.12108385082</v>
      </c>
      <c r="P106" s="43">
        <f>P$6*'2.1. Toimintakatennuste'!AI97</f>
        <v>-18770.093343007371</v>
      </c>
      <c r="Q106" s="43">
        <f>Q$6*'2.1. Toimintakatennuste'!AJ97</f>
        <v>-19210.867294238433</v>
      </c>
      <c r="R106" s="117"/>
      <c r="S106" s="34">
        <v>271</v>
      </c>
      <c r="T106" s="88" t="s">
        <v>420</v>
      </c>
      <c r="U106" s="41">
        <f>D106/'1. Väestöennuste'!E106*1000</f>
        <v>-5682.9139770781194</v>
      </c>
      <c r="V106" s="41">
        <f>E106/'1. Väestöennuste'!F106*1000</f>
        <v>-5806.3483595625503</v>
      </c>
      <c r="W106" s="41">
        <f>F106/'1. Väestöennuste'!G106*1000</f>
        <v>-5758.7047825497903</v>
      </c>
      <c r="X106" s="41">
        <f>G106/'1. Väestöennuste'!H106*1000</f>
        <v>-5743.564904511486</v>
      </c>
      <c r="Y106" s="41">
        <f>H106/'1. Väestöennuste'!I106*1000</f>
        <v>-6102.4919048289457</v>
      </c>
      <c r="Z106" s="41">
        <f>I106/'1. Väestöennuste'!J106*1000</f>
        <v>-6043.4906602024812</v>
      </c>
      <c r="AA106" s="41">
        <f>J106/'1. Väestöennuste'!K106*1000</f>
        <v>-6312.3064940296363</v>
      </c>
      <c r="AB106" s="41">
        <f>K106/'1. Väestöennuste'!L106*1000</f>
        <v>-6769.4018600608424</v>
      </c>
      <c r="AC106" s="41">
        <f>L106/'1. Väestöennuste'!M106*1000</f>
        <v>-2364.9643319538873</v>
      </c>
      <c r="AD106" s="41">
        <f>M106/'1. Väestöennuste'!N106*1000</f>
        <v>-2389.5496888173784</v>
      </c>
      <c r="AE106" s="41">
        <f>N106/'1. Väestöennuste'!O106*1000</f>
        <v>-2708.7161659460053</v>
      </c>
      <c r="AF106" s="41">
        <f>O106/'1. Väestöennuste'!P106*1000</f>
        <v>-2833.3262913410813</v>
      </c>
      <c r="AG106" s="41">
        <f>P106/'1. Väestöennuste'!Q106*1000</f>
        <v>-2931.9108627003079</v>
      </c>
      <c r="AH106" s="41">
        <f>Q106/'1. Väestöennuste'!R106*1000</f>
        <v>-3032.9755753455056</v>
      </c>
    </row>
    <row r="107" spans="1:34" customFormat="1" x14ac:dyDescent="0.25">
      <c r="A107" s="99">
        <v>16</v>
      </c>
      <c r="B107" s="30">
        <v>272</v>
      </c>
      <c r="C107" s="47" t="s">
        <v>421</v>
      </c>
      <c r="D107" s="65">
        <v>-254136</v>
      </c>
      <c r="E107" s="157">
        <v>-259801</v>
      </c>
      <c r="F107" s="157">
        <v>-256587</v>
      </c>
      <c r="G107" s="157">
        <v>-265461</v>
      </c>
      <c r="H107" s="43">
        <v>-273234</v>
      </c>
      <c r="I107" s="43">
        <v>-281528</v>
      </c>
      <c r="J107" s="159">
        <v>-293535.37461</v>
      </c>
      <c r="K107" s="43">
        <v>-310123.00727</v>
      </c>
      <c r="L107" s="43">
        <v>-129348.99004999999</v>
      </c>
      <c r="M107" s="43">
        <f>'2.1. Toimintakatennuste'!AX98</f>
        <v>-132421.02455203346</v>
      </c>
      <c r="N107" s="43">
        <f>$N$6*'2.1. Toimintakatennuste'!AG98</f>
        <v>-146907.15307893467</v>
      </c>
      <c r="O107" s="43">
        <f>$O$6*'2.1. Toimintakatennuste'!AH98</f>
        <v>-152030.06004453523</v>
      </c>
      <c r="P107" s="43">
        <f>P$6*'2.1. Toimintakatennuste'!AI98</f>
        <v>-157003.68447086224</v>
      </c>
      <c r="Q107" s="43">
        <f>Q$6*'2.1. Toimintakatennuste'!AJ98</f>
        <v>-161171.10971441161</v>
      </c>
      <c r="R107" s="117"/>
      <c r="S107" s="34">
        <v>272</v>
      </c>
      <c r="T107" s="88" t="s">
        <v>421</v>
      </c>
      <c r="U107" s="41">
        <f>D107/'1. Väestöennuste'!E107*1000</f>
        <v>-5342.3586293882699</v>
      </c>
      <c r="V107" s="41">
        <f>E107/'1. Väestöennuste'!F107*1000</f>
        <v>-5443.9368857783456</v>
      </c>
      <c r="W107" s="41">
        <f>F107/'1. Väestöennuste'!G107*1000</f>
        <v>-5376.5899042390465</v>
      </c>
      <c r="X107" s="41">
        <f>G107/'1. Väestöennuste'!H107*1000</f>
        <v>-5570.2415175105443</v>
      </c>
      <c r="Y107" s="41">
        <f>H107/'1. Väestöennuste'!I107*1000</f>
        <v>-5730.458673266081</v>
      </c>
      <c r="Z107" s="41">
        <f>I107/'1. Väestöennuste'!J107*1000</f>
        <v>-5893.1591727371688</v>
      </c>
      <c r="AA107" s="41">
        <f>J107/'1. Väestöennuste'!K107*1000</f>
        <v>-6126.9359537873879</v>
      </c>
      <c r="AB107" s="41">
        <f>K107/'1. Väestöennuste'!L107*1000</f>
        <v>-6460.0884737324504</v>
      </c>
      <c r="AC107" s="41">
        <f>L107/'1. Väestöennuste'!M107*1000</f>
        <v>-2678.3101780722641</v>
      </c>
      <c r="AD107" s="41">
        <f>M107/'1. Väestöennuste'!N107*1000</f>
        <v>-2765.3390250184489</v>
      </c>
      <c r="AE107" s="41">
        <f>N107/'1. Väestöennuste'!O107*1000</f>
        <v>-3068.7490198641099</v>
      </c>
      <c r="AF107" s="41">
        <f>O107/'1. Väestöennuste'!P107*1000</f>
        <v>-3177.6866008514357</v>
      </c>
      <c r="AG107" s="41">
        <f>P107/'1. Väestöennuste'!Q107*1000</f>
        <v>-3284.3897761827134</v>
      </c>
      <c r="AH107" s="41">
        <f>Q107/'1. Väestöennuste'!R107*1000</f>
        <v>-3375.4525784202815</v>
      </c>
    </row>
    <row r="108" spans="1:34" customFormat="1" x14ac:dyDescent="0.25">
      <c r="A108" s="99">
        <v>19</v>
      </c>
      <c r="B108" s="30">
        <v>273</v>
      </c>
      <c r="C108" s="47" t="s">
        <v>422</v>
      </c>
      <c r="D108" s="65">
        <v>-23472</v>
      </c>
      <c r="E108" s="157">
        <v>-24582</v>
      </c>
      <c r="F108" s="157">
        <v>-24452</v>
      </c>
      <c r="G108" s="157">
        <v>-26419</v>
      </c>
      <c r="H108" s="43">
        <v>-27099</v>
      </c>
      <c r="I108" s="43">
        <v>-29049</v>
      </c>
      <c r="J108" s="159">
        <v>-30385.698529999998</v>
      </c>
      <c r="K108" s="43">
        <v>-31606.143329999999</v>
      </c>
      <c r="L108" s="43">
        <v>-12909.204810000001</v>
      </c>
      <c r="M108" s="43">
        <f>'2.1. Toimintakatennuste'!AX99</f>
        <v>-13356.854760912714</v>
      </c>
      <c r="N108" s="43">
        <f>$N$6*'2.1. Toimintakatennuste'!AG99</f>
        <v>-14794.510632888387</v>
      </c>
      <c r="O108" s="43">
        <f>$O$6*'2.1. Toimintakatennuste'!AH99</f>
        <v>-15392.367388998307</v>
      </c>
      <c r="P108" s="43">
        <f>P$6*'2.1. Toimintakatennuste'!AI99</f>
        <v>-16134.561419121206</v>
      </c>
      <c r="Q108" s="43">
        <f>Q$6*'2.1. Toimintakatennuste'!AJ99</f>
        <v>-16742.980155162793</v>
      </c>
      <c r="R108" s="117"/>
      <c r="S108" s="34">
        <v>273</v>
      </c>
      <c r="T108" s="88" t="s">
        <v>422</v>
      </c>
      <c r="U108" s="41">
        <f>D108/'1. Väestöennuste'!E108*1000</f>
        <v>-6099.7920997921001</v>
      </c>
      <c r="V108" s="41">
        <f>E108/'1. Väestöennuste'!F108*1000</f>
        <v>-6423.3080742095635</v>
      </c>
      <c r="W108" s="41">
        <f>F108/'1. Väestöennuste'!G108*1000</f>
        <v>-6344.5770627919046</v>
      </c>
      <c r="X108" s="41">
        <f>G108/'1. Väestöennuste'!H108*1000</f>
        <v>-6890.7146583202921</v>
      </c>
      <c r="Y108" s="41">
        <f>H108/'1. Väestöennuste'!I108*1000</f>
        <v>-7046.0218408736355</v>
      </c>
      <c r="Z108" s="41">
        <f>I108/'1. Väestöennuste'!J108*1000</f>
        <v>-7401.0191082802548</v>
      </c>
      <c r="AA108" s="41">
        <f>J108/'1. Väestöennuste'!K108*1000</f>
        <v>-7617.3724066181994</v>
      </c>
      <c r="AB108" s="41">
        <f>K108/'1. Väestöennuste'!L108*1000</f>
        <v>-7903.5117104276069</v>
      </c>
      <c r="AC108" s="41">
        <f>L108/'1. Väestöennuste'!M108*1000</f>
        <v>-3218.4504637247569</v>
      </c>
      <c r="AD108" s="41">
        <f>M108/'1. Väestöennuste'!N108*1000</f>
        <v>-3366.1428328913094</v>
      </c>
      <c r="AE108" s="41">
        <f>N108/'1. Väestöennuste'!O108*1000</f>
        <v>-3722.8260274001982</v>
      </c>
      <c r="AF108" s="41">
        <f>O108/'1. Väestöennuste'!P108*1000</f>
        <v>-3869.3734009548284</v>
      </c>
      <c r="AG108" s="41">
        <f>P108/'1. Väestöennuste'!Q108*1000</f>
        <v>-4056.967920322154</v>
      </c>
      <c r="AH108" s="41">
        <f>Q108/'1. Väestöennuste'!R108*1000</f>
        <v>-4209.9522643104829</v>
      </c>
    </row>
    <row r="109" spans="1:34" customFormat="1" x14ac:dyDescent="0.25">
      <c r="A109" s="99">
        <v>13</v>
      </c>
      <c r="B109" s="30">
        <v>275</v>
      </c>
      <c r="C109" s="47" t="s">
        <v>423</v>
      </c>
      <c r="D109" s="65">
        <v>-16641</v>
      </c>
      <c r="E109" s="157">
        <v>-17483</v>
      </c>
      <c r="F109" s="157">
        <v>-17928</v>
      </c>
      <c r="G109" s="157">
        <v>-17710</v>
      </c>
      <c r="H109" s="43">
        <v>-21631</v>
      </c>
      <c r="I109" s="43">
        <v>-16562</v>
      </c>
      <c r="J109" s="159">
        <v>-17695.60368</v>
      </c>
      <c r="K109" s="43">
        <v>-18859.217499999999</v>
      </c>
      <c r="L109" s="43">
        <v>-6358.64257</v>
      </c>
      <c r="M109" s="43">
        <f>'2.1. Toimintakatennuste'!AX100</f>
        <v>-6777.8135007604888</v>
      </c>
      <c r="N109" s="43">
        <f>$N$6*'2.1. Toimintakatennuste'!AG100</f>
        <v>-7245.8909883975484</v>
      </c>
      <c r="O109" s="43">
        <f>$O$6*'2.1. Toimintakatennuste'!AH100</f>
        <v>-7540.6262421952506</v>
      </c>
      <c r="P109" s="43">
        <f>P$6*'2.1. Toimintakatennuste'!AI100</f>
        <v>-7823.2297772502025</v>
      </c>
      <c r="Q109" s="43">
        <f>Q$6*'2.1. Toimintakatennuste'!AJ100</f>
        <v>-8091.9277306961767</v>
      </c>
      <c r="R109" s="117"/>
      <c r="S109" s="34">
        <v>275</v>
      </c>
      <c r="T109" s="88" t="s">
        <v>423</v>
      </c>
      <c r="U109" s="41">
        <f>D109/'1. Väestöennuste'!E109*1000</f>
        <v>-6035.9085963003263</v>
      </c>
      <c r="V109" s="41">
        <f>E109/'1. Väestöennuste'!F109*1000</f>
        <v>-6350.5266981474751</v>
      </c>
      <c r="W109" s="41">
        <f>F109/'1. Väestöennuste'!G109*1000</f>
        <v>-6524.0174672489084</v>
      </c>
      <c r="X109" s="41">
        <f>G109/'1. Väestöennuste'!H109*1000</f>
        <v>-6564.1215715344697</v>
      </c>
      <c r="Y109" s="41">
        <f>H109/'1. Väestöennuste'!I109*1000</f>
        <v>-8234.107346783403</v>
      </c>
      <c r="Z109" s="41">
        <f>I109/'1. Väestöennuste'!J109*1000</f>
        <v>-6387.196297724643</v>
      </c>
      <c r="AA109" s="41">
        <f>J109/'1. Väestöennuste'!K109*1000</f>
        <v>-6842.847517401392</v>
      </c>
      <c r="AB109" s="41">
        <f>K109/'1. Väestöennuste'!L109*1000</f>
        <v>-7480.8478778262588</v>
      </c>
      <c r="AC109" s="41">
        <f>L109/'1. Väestöennuste'!M109*1000</f>
        <v>-2544.474817927171</v>
      </c>
      <c r="AD109" s="41">
        <f>M109/'1. Väestöennuste'!N109*1000</f>
        <v>-2766.4544901063218</v>
      </c>
      <c r="AE109" s="41">
        <f>N109/'1. Väestöennuste'!O109*1000</f>
        <v>-2995.4076016525628</v>
      </c>
      <c r="AF109" s="41">
        <f>O109/'1. Väestöennuste'!P109*1000</f>
        <v>-3155.073741504289</v>
      </c>
      <c r="AG109" s="41">
        <f>P109/'1. Väestöennuste'!Q109*1000</f>
        <v>-3314.9278717161878</v>
      </c>
      <c r="AH109" s="41">
        <f>Q109/'1. Väestöennuste'!R109*1000</f>
        <v>-3471.4404679091276</v>
      </c>
    </row>
    <row r="110" spans="1:34" customFormat="1" x14ac:dyDescent="0.25">
      <c r="A110" s="99">
        <v>12</v>
      </c>
      <c r="B110" s="30">
        <v>276</v>
      </c>
      <c r="C110" s="47" t="s">
        <v>424</v>
      </c>
      <c r="D110" s="65">
        <v>-65238</v>
      </c>
      <c r="E110" s="157">
        <v>-66912</v>
      </c>
      <c r="F110" s="157">
        <v>-68841</v>
      </c>
      <c r="G110" s="157">
        <v>-71999</v>
      </c>
      <c r="H110" s="43">
        <v>-71783</v>
      </c>
      <c r="I110" s="43">
        <v>-73162</v>
      </c>
      <c r="J110" s="159">
        <v>-76744.350940000004</v>
      </c>
      <c r="K110" s="43">
        <v>-83713.499959999986</v>
      </c>
      <c r="L110" s="43">
        <v>-42831.541170000004</v>
      </c>
      <c r="M110" s="43">
        <f>'2.1. Toimintakatennuste'!AX101</f>
        <v>-42295.170680420051</v>
      </c>
      <c r="N110" s="43">
        <f>$N$6*'2.1. Toimintakatennuste'!AG101</f>
        <v>-48046.912403622424</v>
      </c>
      <c r="O110" s="43">
        <f>$O$6*'2.1. Toimintakatennuste'!AH101</f>
        <v>-49572.429034541645</v>
      </c>
      <c r="P110" s="43">
        <f>P$6*'2.1. Toimintakatennuste'!AI101</f>
        <v>-50842.641060362519</v>
      </c>
      <c r="Q110" s="43">
        <f>Q$6*'2.1. Toimintakatennuste'!AJ101</f>
        <v>-51933.614462650796</v>
      </c>
      <c r="R110" s="117"/>
      <c r="S110" s="34">
        <v>276</v>
      </c>
      <c r="T110" s="88" t="s">
        <v>424</v>
      </c>
      <c r="U110" s="41">
        <f>D110/'1. Väestöennuste'!E110*1000</f>
        <v>-4399.9460443784992</v>
      </c>
      <c r="V110" s="41">
        <f>E110/'1. Väestöennuste'!F110*1000</f>
        <v>-4519.2489531271103</v>
      </c>
      <c r="W110" s="41">
        <f>F110/'1. Väestöennuste'!G110*1000</f>
        <v>-4642.0094403236681</v>
      </c>
      <c r="X110" s="41">
        <f>G110/'1. Väestöennuste'!H110*1000</f>
        <v>-4848.7440231665432</v>
      </c>
      <c r="Y110" s="41">
        <f>H110/'1. Väestöennuste'!I110*1000</f>
        <v>-4843.3304095540107</v>
      </c>
      <c r="Z110" s="41">
        <f>I110/'1. Väestöennuste'!J110*1000</f>
        <v>-4924.4127347378344</v>
      </c>
      <c r="AA110" s="41">
        <f>J110/'1. Väestöennuste'!K110*1000</f>
        <v>-5104.3798430329234</v>
      </c>
      <c r="AB110" s="41">
        <f>K110/'1. Väestöennuste'!L110*1000</f>
        <v>-5523.0916381869756</v>
      </c>
      <c r="AC110" s="41">
        <f>L110/'1. Väestöennuste'!M110*1000</f>
        <v>-2829.7794113372092</v>
      </c>
      <c r="AD110" s="41">
        <f>M110/'1. Väestöennuste'!N110*1000</f>
        <v>-2829.2976573964847</v>
      </c>
      <c r="AE110" s="41">
        <f>N110/'1. Väestöennuste'!O110*1000</f>
        <v>-3214.7004150690768</v>
      </c>
      <c r="AF110" s="41">
        <f>O110/'1. Väestöennuste'!P110*1000</f>
        <v>-3319.8787191629817</v>
      </c>
      <c r="AG110" s="41">
        <f>P110/'1. Väestöennuste'!Q110*1000</f>
        <v>-3409.7405311758112</v>
      </c>
      <c r="AH110" s="41">
        <f>Q110/'1. Väestöennuste'!R110*1000</f>
        <v>-3489.6932174876224</v>
      </c>
    </row>
    <row r="111" spans="1:34" customFormat="1" x14ac:dyDescent="0.25">
      <c r="A111" s="99">
        <v>15</v>
      </c>
      <c r="B111" s="30">
        <v>280</v>
      </c>
      <c r="C111" s="47" t="s">
        <v>425</v>
      </c>
      <c r="D111" s="65">
        <v>-12626</v>
      </c>
      <c r="E111" s="157">
        <v>-12165</v>
      </c>
      <c r="F111" s="157">
        <v>-12408</v>
      </c>
      <c r="G111" s="157">
        <v>-12652</v>
      </c>
      <c r="H111" s="43">
        <v>-13305</v>
      </c>
      <c r="I111" s="43">
        <v>-13686</v>
      </c>
      <c r="J111" s="159">
        <v>-14059.684720000001</v>
      </c>
      <c r="K111" s="43">
        <v>-14245.370989999999</v>
      </c>
      <c r="L111" s="43">
        <v>-5460.0068200000005</v>
      </c>
      <c r="M111" s="43">
        <f>'2.1. Toimintakatennuste'!AX102</f>
        <v>-5668.3550922311606</v>
      </c>
      <c r="N111" s="43">
        <f>$N$6*'2.1. Toimintakatennuste'!AG102</f>
        <v>-6207.9812910236196</v>
      </c>
      <c r="O111" s="43">
        <f>$O$6*'2.1. Toimintakatennuste'!AH102</f>
        <v>-6365.638814534097</v>
      </c>
      <c r="P111" s="43">
        <f>P$6*'2.1. Toimintakatennuste'!AI102</f>
        <v>-6724.2170813347684</v>
      </c>
      <c r="Q111" s="43">
        <f>Q$6*'2.1. Toimintakatennuste'!AJ102</f>
        <v>-6907.905373003854</v>
      </c>
      <c r="R111" s="117"/>
      <c r="S111" s="34">
        <v>280</v>
      </c>
      <c r="T111" s="88" t="s">
        <v>425</v>
      </c>
      <c r="U111" s="41">
        <f>D111/'1. Väestöennuste'!E111*1000</f>
        <v>-5736.4834166288047</v>
      </c>
      <c r="V111" s="41">
        <f>E111/'1. Väestöennuste'!F111*1000</f>
        <v>-5603.4085674804237</v>
      </c>
      <c r="W111" s="41">
        <f>F111/'1. Väestöennuste'!G111*1000</f>
        <v>-5760.4456824512536</v>
      </c>
      <c r="X111" s="41">
        <f>G111/'1. Väestöennuste'!H111*1000</f>
        <v>-5962.2997172478799</v>
      </c>
      <c r="Y111" s="41">
        <f>H111/'1. Väestöennuste'!I111*1000</f>
        <v>-6405.8738565238318</v>
      </c>
      <c r="Z111" s="41">
        <f>I111/'1. Väestöennuste'!J111*1000</f>
        <v>-6617.9883945841393</v>
      </c>
      <c r="AA111" s="41">
        <f>J111/'1. Väestöennuste'!K111*1000</f>
        <v>-6858.3827902439034</v>
      </c>
      <c r="AB111" s="41">
        <f>K111/'1. Väestöennuste'!L111*1000</f>
        <v>-7038.2267737154152</v>
      </c>
      <c r="AC111" s="41">
        <f>L111/'1. Väestöennuste'!M111*1000</f>
        <v>-2709.6808039702232</v>
      </c>
      <c r="AD111" s="41">
        <f>M111/'1. Väestöennuste'!N111*1000</f>
        <v>-2813.0794502387894</v>
      </c>
      <c r="AE111" s="41">
        <f>N111/'1. Väestöennuste'!O111*1000</f>
        <v>-3096.2500204606581</v>
      </c>
      <c r="AF111" s="41">
        <f>O111/'1. Väestöennuste'!P111*1000</f>
        <v>-3190.7963982627052</v>
      </c>
      <c r="AG111" s="41">
        <f>P111/'1. Väestöennuste'!Q111*1000</f>
        <v>-3392.6423215614368</v>
      </c>
      <c r="AH111" s="41">
        <f>Q111/'1. Väestöennuste'!R111*1000</f>
        <v>-3504.7718787437111</v>
      </c>
    </row>
    <row r="112" spans="1:34" customFormat="1" x14ac:dyDescent="0.25">
      <c r="A112" s="99">
        <v>2</v>
      </c>
      <c r="B112" s="30">
        <v>284</v>
      </c>
      <c r="C112" s="47" t="s">
        <v>426</v>
      </c>
      <c r="D112" s="65">
        <v>-13479</v>
      </c>
      <c r="E112" s="157">
        <v>-13466</v>
      </c>
      <c r="F112" s="157">
        <v>-13329</v>
      </c>
      <c r="G112" s="157">
        <v>-14308</v>
      </c>
      <c r="H112" s="43">
        <v>-14049</v>
      </c>
      <c r="I112" s="43">
        <v>-14031</v>
      </c>
      <c r="J112" s="159">
        <v>-14705.33857</v>
      </c>
      <c r="K112" s="43">
        <v>-16621.08224</v>
      </c>
      <c r="L112" s="43">
        <v>-4644.9096200000004</v>
      </c>
      <c r="M112" s="43">
        <f>'2.1. Toimintakatennuste'!AX103</f>
        <v>-6628.7137129926186</v>
      </c>
      <c r="N112" s="43">
        <f>$N$6*'2.1. Toimintakatennuste'!AG103</f>
        <v>-5309.1927514809713</v>
      </c>
      <c r="O112" s="43">
        <f>$O$6*'2.1. Toimintakatennuste'!AH103</f>
        <v>-5529.214196978668</v>
      </c>
      <c r="P112" s="43">
        <f>P$6*'2.1. Toimintakatennuste'!AI103</f>
        <v>-5740.1512822497625</v>
      </c>
      <c r="Q112" s="43">
        <f>Q$6*'2.1. Toimintakatennuste'!AJ103</f>
        <v>-5890.46873176183</v>
      </c>
      <c r="R112" s="117"/>
      <c r="S112" s="34">
        <v>284</v>
      </c>
      <c r="T112" s="88" t="s">
        <v>426</v>
      </c>
      <c r="U112" s="41">
        <f>D112/'1. Väestöennuste'!E112*1000</f>
        <v>-5618.5910796165062</v>
      </c>
      <c r="V112" s="41">
        <f>E112/'1. Väestöennuste'!F112*1000</f>
        <v>-5573.6754966887411</v>
      </c>
      <c r="W112" s="41">
        <f>F112/'1. Väestöennuste'!G112*1000</f>
        <v>-5650.2755404832551</v>
      </c>
      <c r="X112" s="41">
        <f>G112/'1. Väestöennuste'!H112*1000</f>
        <v>-6114.5299145299141</v>
      </c>
      <c r="Y112" s="41">
        <f>H112/'1. Väestöennuste'!I112*1000</f>
        <v>-6087.0883882149046</v>
      </c>
      <c r="Z112" s="41">
        <f>I112/'1. Väestöennuste'!J112*1000</f>
        <v>-6121.7277486910989</v>
      </c>
      <c r="AA112" s="41">
        <f>J112/'1. Väestöennuste'!K112*1000</f>
        <v>-6475.2701761338612</v>
      </c>
      <c r="AB112" s="41">
        <f>K112/'1. Väestöennuste'!L112*1000</f>
        <v>-7463.4406106870229</v>
      </c>
      <c r="AC112" s="41">
        <f>L112/'1. Väestöennuste'!M112*1000</f>
        <v>-2104.6260172179432</v>
      </c>
      <c r="AD112" s="41">
        <f>M112/'1. Väestöennuste'!N112*1000</f>
        <v>-3015.7933180130203</v>
      </c>
      <c r="AE112" s="41">
        <f>N112/'1. Väestöennuste'!O112*1000</f>
        <v>-2438.7656185029723</v>
      </c>
      <c r="AF112" s="41">
        <f>O112/'1. Väestöennuste'!P112*1000</f>
        <v>-2563.3816397675791</v>
      </c>
      <c r="AG112" s="41">
        <f>P112/'1. Väestöennuste'!Q112*1000</f>
        <v>-2683.5676868862843</v>
      </c>
      <c r="AH112" s="41">
        <f>Q112/'1. Väestöennuste'!R112*1000</f>
        <v>-2781.1467099914212</v>
      </c>
    </row>
    <row r="113" spans="1:34" customFormat="1" x14ac:dyDescent="0.25">
      <c r="A113" s="99">
        <v>8</v>
      </c>
      <c r="B113" s="30">
        <v>285</v>
      </c>
      <c r="C113" s="47" t="s">
        <v>427</v>
      </c>
      <c r="D113" s="65">
        <v>-300198</v>
      </c>
      <c r="E113" s="157">
        <v>-303129</v>
      </c>
      <c r="F113" s="157">
        <v>-294553</v>
      </c>
      <c r="G113" s="157">
        <v>-312931</v>
      </c>
      <c r="H113" s="43">
        <v>-310247</v>
      </c>
      <c r="I113" s="43">
        <v>-323691</v>
      </c>
      <c r="J113" s="159">
        <v>-338514.65495</v>
      </c>
      <c r="K113" s="43">
        <v>-366753.81183999998</v>
      </c>
      <c r="L113" s="43">
        <v>-121721.80250000001</v>
      </c>
      <c r="M113" s="43">
        <f>'2.1. Toimintakatennuste'!AX104</f>
        <v>-129717.30061117237</v>
      </c>
      <c r="N113" s="43">
        <f>$N$6*'2.1. Toimintakatennuste'!AG104</f>
        <v>-140227.51653882454</v>
      </c>
      <c r="O113" s="43">
        <f>$O$6*'2.1. Toimintakatennuste'!AH104</f>
        <v>-143808.20102698461</v>
      </c>
      <c r="P113" s="43">
        <f>P$6*'2.1. Toimintakatennuste'!AI104</f>
        <v>-146995.55560520431</v>
      </c>
      <c r="Q113" s="43">
        <f>Q$6*'2.1. Toimintakatennuste'!AJ104</f>
        <v>-149951.17267303367</v>
      </c>
      <c r="R113" s="117"/>
      <c r="S113" s="34">
        <v>285</v>
      </c>
      <c r="T113" s="88" t="s">
        <v>427</v>
      </c>
      <c r="U113" s="41">
        <f>D113/'1. Väestöennuste'!E113*1000</f>
        <v>-5526.5744951122069</v>
      </c>
      <c r="V113" s="41">
        <f>E113/'1. Väestöennuste'!F113*1000</f>
        <v>-5594.1277428165431</v>
      </c>
      <c r="W113" s="41">
        <f>F113/'1. Väestöennuste'!G113*1000</f>
        <v>-5501.653000616373</v>
      </c>
      <c r="X113" s="41">
        <f>G113/'1. Väestöennuste'!H113*1000</f>
        <v>-5917.4214776014978</v>
      </c>
      <c r="Y113" s="41">
        <f>H113/'1. Väestöennuste'!I113*1000</f>
        <v>-5951.8666308560032</v>
      </c>
      <c r="Z113" s="41">
        <f>I113/'1. Väestöennuste'!J113*1000</f>
        <v>-6264.8254238600302</v>
      </c>
      <c r="AA113" s="41">
        <f>J113/'1. Väestöennuste'!K113*1000</f>
        <v>-6606.3241339942624</v>
      </c>
      <c r="AB113" s="41">
        <f>K113/'1. Väestöennuste'!L113*1000</f>
        <v>-7245.6647339826541</v>
      </c>
      <c r="AC113" s="41">
        <f>L113/'1. Väestöennuste'!M113*1000</f>
        <v>-2410.3327227722775</v>
      </c>
      <c r="AD113" s="41">
        <f>M113/'1. Väestöennuste'!N113*1000</f>
        <v>-2603.771665653112</v>
      </c>
      <c r="AE113" s="41">
        <f>N113/'1. Väestöennuste'!O113*1000</f>
        <v>-2839.3034044469209</v>
      </c>
      <c r="AF113" s="41">
        <f>O113/'1. Väestöennuste'!P113*1000</f>
        <v>-2936.4193455095478</v>
      </c>
      <c r="AG113" s="41">
        <f>P113/'1. Väestöennuste'!Q113*1000</f>
        <v>-3026.4680997571404</v>
      </c>
      <c r="AH113" s="41">
        <f>Q113/'1. Väestöennuste'!R113*1000</f>
        <v>-3112.6346169804601</v>
      </c>
    </row>
    <row r="114" spans="1:34" customFormat="1" x14ac:dyDescent="0.25">
      <c r="A114" s="99">
        <v>8</v>
      </c>
      <c r="B114" s="30">
        <v>286</v>
      </c>
      <c r="C114" s="47" t="s">
        <v>428</v>
      </c>
      <c r="D114" s="65">
        <v>-493462</v>
      </c>
      <c r="E114" s="157">
        <v>-498872</v>
      </c>
      <c r="F114" s="157">
        <v>-493156</v>
      </c>
      <c r="G114" s="157">
        <v>-513187</v>
      </c>
      <c r="H114" s="43">
        <v>-523161</v>
      </c>
      <c r="I114" s="43">
        <v>-519870</v>
      </c>
      <c r="J114" s="159">
        <v>-547394.20256000001</v>
      </c>
      <c r="K114" s="43">
        <v>-564122.02221000008</v>
      </c>
      <c r="L114" s="43">
        <v>-186802.69488999998</v>
      </c>
      <c r="M114" s="43">
        <f>'2.1. Toimintakatennuste'!AX105</f>
        <v>-183347.01034857472</v>
      </c>
      <c r="N114" s="43">
        <f>$N$6*'2.1. Toimintakatennuste'!AG105</f>
        <v>-211395.09786604819</v>
      </c>
      <c r="O114" s="43">
        <f>$O$6*'2.1. Toimintakatennuste'!AH105</f>
        <v>-216316.87154064336</v>
      </c>
      <c r="P114" s="43">
        <f>P$6*'2.1. Toimintakatennuste'!AI105</f>
        <v>-221331.7102025651</v>
      </c>
      <c r="Q114" s="43">
        <f>Q$6*'2.1. Toimintakatennuste'!AJ105</f>
        <v>-225649.69313970784</v>
      </c>
      <c r="R114" s="117"/>
      <c r="S114" s="34">
        <v>286</v>
      </c>
      <c r="T114" s="88" t="s">
        <v>428</v>
      </c>
      <c r="U114" s="41">
        <f>D114/'1. Väestöennuste'!E114*1000</f>
        <v>-5747.6209888765943</v>
      </c>
      <c r="V114" s="41">
        <f>E114/'1. Väestöennuste'!F114*1000</f>
        <v>-5848.0294469322207</v>
      </c>
      <c r="W114" s="41">
        <f>F114/'1. Väestöennuste'!G114*1000</f>
        <v>-5857.237873533184</v>
      </c>
      <c r="X114" s="41">
        <f>G114/'1. Väestöennuste'!H114*1000</f>
        <v>-6169.8185796554335</v>
      </c>
      <c r="Y114" s="41">
        <f>H114/'1. Väestöennuste'!I114*1000</f>
        <v>-6371.2323261846486</v>
      </c>
      <c r="Z114" s="41">
        <f>I114/'1. Väestöennuste'!J114*1000</f>
        <v>-6403.3650707625602</v>
      </c>
      <c r="AA114" s="41">
        <f>J114/'1. Väestöennuste'!K114*1000</f>
        <v>-6803.8158768986004</v>
      </c>
      <c r="AB114" s="41">
        <f>K114/'1. Väestöennuste'!L114*1000</f>
        <v>-7102.2173539890982</v>
      </c>
      <c r="AC114" s="41">
        <f>L114/'1. Väestöennuste'!M114*1000</f>
        <v>-2368.1883226419877</v>
      </c>
      <c r="AD114" s="41">
        <f>M114/'1. Väestöennuste'!N114*1000</f>
        <v>-2353.1368441472191</v>
      </c>
      <c r="AE114" s="41">
        <f>N114/'1. Väestöennuste'!O114*1000</f>
        <v>-2740.2307066698841</v>
      </c>
      <c r="AF114" s="41">
        <f>O114/'1. Väestöennuste'!P114*1000</f>
        <v>-2831.7062421050041</v>
      </c>
      <c r="AG114" s="41">
        <f>P114/'1. Väestöennuste'!Q114*1000</f>
        <v>-2925.385085747434</v>
      </c>
      <c r="AH114" s="41">
        <f>Q114/'1. Väestöennuste'!R114*1000</f>
        <v>-3010.5893523816289</v>
      </c>
    </row>
    <row r="115" spans="1:34" customFormat="1" x14ac:dyDescent="0.25">
      <c r="A115" s="99">
        <v>15</v>
      </c>
      <c r="B115" s="30">
        <v>287</v>
      </c>
      <c r="C115" s="47" t="s">
        <v>429</v>
      </c>
      <c r="D115" s="65">
        <v>-38967</v>
      </c>
      <c r="E115" s="157">
        <v>-35750</v>
      </c>
      <c r="F115" s="157">
        <v>-38848</v>
      </c>
      <c r="G115" s="157">
        <v>-40537</v>
      </c>
      <c r="H115" s="43">
        <v>-44152</v>
      </c>
      <c r="I115" s="43">
        <v>-44027</v>
      </c>
      <c r="J115" s="159">
        <v>-44299.818319999998</v>
      </c>
      <c r="K115" s="43">
        <v>-48528.866139999998</v>
      </c>
      <c r="L115" s="43">
        <v>-18723.114399999999</v>
      </c>
      <c r="M115" s="43">
        <f>'2.1. Toimintakatennuste'!AX106</f>
        <v>-19452.980354084015</v>
      </c>
      <c r="N115" s="43">
        <f>$N$6*'2.1. Toimintakatennuste'!AG106</f>
        <v>-20864.890249758628</v>
      </c>
      <c r="O115" s="43">
        <f>$O$6*'2.1. Toimintakatennuste'!AH106</f>
        <v>-21433.943118182975</v>
      </c>
      <c r="P115" s="43">
        <f>P$6*'2.1. Toimintakatennuste'!AI106</f>
        <v>-22054.983957960456</v>
      </c>
      <c r="Q115" s="43">
        <f>Q$6*'2.1. Toimintakatennuste'!AJ106</f>
        <v>-22723.492010087662</v>
      </c>
      <c r="R115" s="117"/>
      <c r="S115" s="34">
        <v>287</v>
      </c>
      <c r="T115" s="88" t="s">
        <v>429</v>
      </c>
      <c r="U115" s="41">
        <f>D115/'1. Väestöennuste'!E115*1000</f>
        <v>-5736.3462387752097</v>
      </c>
      <c r="V115" s="41">
        <f>E115/'1. Väestöennuste'!F115*1000</f>
        <v>-5314.404638025866</v>
      </c>
      <c r="W115" s="41">
        <f>F115/'1. Väestöennuste'!G115*1000</f>
        <v>-5852.3651702319976</v>
      </c>
      <c r="X115" s="41">
        <f>G115/'1. Väestöennuste'!H115*1000</f>
        <v>-6145.6943602183146</v>
      </c>
      <c r="Y115" s="41">
        <f>H115/'1. Väestöennuste'!I115*1000</f>
        <v>-6807.2772124576013</v>
      </c>
      <c r="Z115" s="41">
        <f>I115/'1. Väestöennuste'!J115*1000</f>
        <v>-6874.9219237976267</v>
      </c>
      <c r="AA115" s="41">
        <f>J115/'1. Väestöennuste'!K115*1000</f>
        <v>-6943.5451912225708</v>
      </c>
      <c r="AB115" s="41">
        <f>K115/'1. Väestöennuste'!L115*1000</f>
        <v>-7774.5700320410124</v>
      </c>
      <c r="AC115" s="41">
        <f>L115/'1. Väestöennuste'!M115*1000</f>
        <v>-3020.3443135989673</v>
      </c>
      <c r="AD115" s="41">
        <f>M115/'1. Väestöennuste'!N115*1000</f>
        <v>-3184.3150031239179</v>
      </c>
      <c r="AE115" s="41">
        <f>N115/'1. Väestöennuste'!O115*1000</f>
        <v>-3450.4531585511209</v>
      </c>
      <c r="AF115" s="41">
        <f>O115/'1. Väestöennuste'!P115*1000</f>
        <v>-3579.4828186678315</v>
      </c>
      <c r="AG115" s="41">
        <f>P115/'1. Väestöennuste'!Q115*1000</f>
        <v>-3718.5944963683119</v>
      </c>
      <c r="AH115" s="41">
        <f>Q115/'1. Väestöennuste'!R115*1000</f>
        <v>-3868.4868931031092</v>
      </c>
    </row>
    <row r="116" spans="1:34" customFormat="1" x14ac:dyDescent="0.25">
      <c r="A116" s="99">
        <v>15</v>
      </c>
      <c r="B116" s="30">
        <v>288</v>
      </c>
      <c r="C116" s="47" t="s">
        <v>430</v>
      </c>
      <c r="D116" s="65">
        <v>-37714</v>
      </c>
      <c r="E116" s="157">
        <v>-37641</v>
      </c>
      <c r="F116" s="157">
        <v>-37357</v>
      </c>
      <c r="G116" s="157">
        <v>-38535</v>
      </c>
      <c r="H116" s="43">
        <v>-38271</v>
      </c>
      <c r="I116" s="43">
        <v>-38674</v>
      </c>
      <c r="J116" s="159">
        <v>-40522.814780000001</v>
      </c>
      <c r="K116" s="43">
        <v>-41637.69485</v>
      </c>
      <c r="L116" s="43">
        <v>-17478.29621</v>
      </c>
      <c r="M116" s="43">
        <f>'2.1. Toimintakatennuste'!AX107</f>
        <v>-17976.753993673654</v>
      </c>
      <c r="N116" s="43">
        <f>$N$6*'2.1. Toimintakatennuste'!AG107</f>
        <v>-18838.253556960866</v>
      </c>
      <c r="O116" s="43">
        <f>$O$6*'2.1. Toimintakatennuste'!AH107</f>
        <v>-19222.45650443426</v>
      </c>
      <c r="P116" s="43">
        <f>P$6*'2.1. Toimintakatennuste'!AI107</f>
        <v>-19666.77335957277</v>
      </c>
      <c r="Q116" s="43">
        <f>Q$6*'2.1. Toimintakatennuste'!AJ107</f>
        <v>-20091.446344684111</v>
      </c>
      <c r="R116" s="117"/>
      <c r="S116" s="34">
        <v>288</v>
      </c>
      <c r="T116" s="88" t="s">
        <v>430</v>
      </c>
      <c r="U116" s="41">
        <f>D116/'1. Väestöennuste'!E116*1000</f>
        <v>-5644.1185273870105</v>
      </c>
      <c r="V116" s="41">
        <f>E116/'1. Väestöennuste'!F116*1000</f>
        <v>-5685.9516616314204</v>
      </c>
      <c r="W116" s="41">
        <f>F116/'1. Väestöennuste'!G116*1000</f>
        <v>-5719.9510029092025</v>
      </c>
      <c r="X116" s="41">
        <f>G116/'1. Väestöennuste'!H116*1000</f>
        <v>-5920.2642495006912</v>
      </c>
      <c r="Y116" s="41">
        <f>H116/'1. Väestöennuste'!I116*1000</f>
        <v>-5953.7958929682645</v>
      </c>
      <c r="Z116" s="41">
        <f>I116/'1. Väestöennuste'!J116*1000</f>
        <v>-6027.7431421446381</v>
      </c>
      <c r="AA116" s="41">
        <f>J116/'1. Väestöennuste'!K116*1000</f>
        <v>-6290.4090003104629</v>
      </c>
      <c r="AB116" s="41">
        <f>K116/'1. Väestöennuste'!L116*1000</f>
        <v>-6500.8110616705699</v>
      </c>
      <c r="AC116" s="41">
        <f>L116/'1. Väestöennuste'!M116*1000</f>
        <v>-2744.7073194095478</v>
      </c>
      <c r="AD116" s="41">
        <f>M116/'1. Väestöennuste'!N116*1000</f>
        <v>-2888.2959501403684</v>
      </c>
      <c r="AE116" s="41">
        <f>N116/'1. Väestöennuste'!O116*1000</f>
        <v>-3049.7415504226756</v>
      </c>
      <c r="AF116" s="41">
        <f>O116/'1. Väestöennuste'!P116*1000</f>
        <v>-3135.2889421683676</v>
      </c>
      <c r="AG116" s="41">
        <f>P116/'1. Väestöennuste'!Q116*1000</f>
        <v>-3232.5399999297783</v>
      </c>
      <c r="AH116" s="41">
        <f>Q116/'1. Väestöennuste'!R116*1000</f>
        <v>-3328.6027741358703</v>
      </c>
    </row>
    <row r="117" spans="1:34" customFormat="1" x14ac:dyDescent="0.25">
      <c r="A117" s="99">
        <v>18</v>
      </c>
      <c r="B117" s="30">
        <v>290</v>
      </c>
      <c r="C117" s="47" t="s">
        <v>431</v>
      </c>
      <c r="D117" s="65">
        <v>-60445</v>
      </c>
      <c r="E117" s="157">
        <v>-59843</v>
      </c>
      <c r="F117" s="157">
        <v>-59660</v>
      </c>
      <c r="G117" s="157">
        <v>-60492</v>
      </c>
      <c r="H117" s="43">
        <v>-60433</v>
      </c>
      <c r="I117" s="43">
        <v>-62193</v>
      </c>
      <c r="J117" s="159">
        <v>-62442.941840000007</v>
      </c>
      <c r="K117" s="43">
        <v>-63990.923569999999</v>
      </c>
      <c r="L117" s="43">
        <v>-22093.458149999999</v>
      </c>
      <c r="M117" s="43">
        <f>'2.1. Toimintakatennuste'!AX108</f>
        <v>-23001.403073804096</v>
      </c>
      <c r="N117" s="43">
        <f>$N$6*'2.1. Toimintakatennuste'!AG108</f>
        <v>-25030.980212321432</v>
      </c>
      <c r="O117" s="43">
        <f>$O$6*'2.1. Toimintakatennuste'!AH108</f>
        <v>-25176.734210198214</v>
      </c>
      <c r="P117" s="43">
        <f>P$6*'2.1. Toimintakatennuste'!AI108</f>
        <v>-25684.847291396152</v>
      </c>
      <c r="Q117" s="43">
        <f>Q$6*'2.1. Toimintakatennuste'!AJ108</f>
        <v>-26003.465605562116</v>
      </c>
      <c r="R117" s="117"/>
      <c r="S117" s="34">
        <v>290</v>
      </c>
      <c r="T117" s="88" t="s">
        <v>431</v>
      </c>
      <c r="U117" s="41">
        <f>D117/'1. Väestöennuste'!E117*1000</f>
        <v>-6864.0699523052472</v>
      </c>
      <c r="V117" s="41">
        <f>E117/'1. Väestöennuste'!F117*1000</f>
        <v>-6920.6661269804554</v>
      </c>
      <c r="W117" s="41">
        <f>F117/'1. Väestöennuste'!G117*1000</f>
        <v>-7019.6493705141775</v>
      </c>
      <c r="X117" s="41">
        <f>G117/'1. Väestöennuste'!H117*1000</f>
        <v>-7262.8166646656264</v>
      </c>
      <c r="Y117" s="41">
        <f>H117/'1. Väestöennuste'!I117*1000</f>
        <v>-7378.8766788766789</v>
      </c>
      <c r="Z117" s="41">
        <f>I117/'1. Väestöennuste'!J117*1000</f>
        <v>-7733.5239990052223</v>
      </c>
      <c r="AA117" s="41">
        <f>J117/'1. Väestöennuste'!K117*1000</f>
        <v>-7876.2540161453089</v>
      </c>
      <c r="AB117" s="41">
        <f>K117/'1. Väestöennuste'!L117*1000</f>
        <v>-8251.5697704706636</v>
      </c>
      <c r="AC117" s="41">
        <f>L117/'1. Väestöennuste'!M117*1000</f>
        <v>-2913.9353930361381</v>
      </c>
      <c r="AD117" s="41">
        <f>M117/'1. Väestöennuste'!N117*1000</f>
        <v>-3076.2876920963081</v>
      </c>
      <c r="AE117" s="41">
        <f>N117/'1. Väestöennuste'!O117*1000</f>
        <v>-3406.9661375148266</v>
      </c>
      <c r="AF117" s="41">
        <f>O117/'1. Väestöennuste'!P117*1000</f>
        <v>-3488.5318290422911</v>
      </c>
      <c r="AG117" s="41">
        <f>P117/'1. Väestöennuste'!Q117*1000</f>
        <v>-3622.6865009021371</v>
      </c>
      <c r="AH117" s="41">
        <f>Q117/'1. Väestöennuste'!R117*1000</f>
        <v>-3732.3762890142266</v>
      </c>
    </row>
    <row r="118" spans="1:34" customFormat="1" x14ac:dyDescent="0.25">
      <c r="A118" s="99">
        <v>6</v>
      </c>
      <c r="B118" s="30">
        <v>291</v>
      </c>
      <c r="C118" s="47" t="s">
        <v>432</v>
      </c>
      <c r="D118" s="65">
        <v>-15455</v>
      </c>
      <c r="E118" s="157">
        <v>-15921</v>
      </c>
      <c r="F118" s="157">
        <v>-15056</v>
      </c>
      <c r="G118" s="157">
        <v>-15580</v>
      </c>
      <c r="H118" s="43">
        <v>-15701</v>
      </c>
      <c r="I118" s="43">
        <v>-15956</v>
      </c>
      <c r="J118" s="159">
        <v>-16746.920620000001</v>
      </c>
      <c r="K118" s="43">
        <v>-18288.622360000001</v>
      </c>
      <c r="L118" s="43">
        <v>-6590.4876799999993</v>
      </c>
      <c r="M118" s="43">
        <f>'2.1. Toimintakatennuste'!AX109</f>
        <v>-6218.6204387709631</v>
      </c>
      <c r="N118" s="43">
        <f>$N$6*'2.1. Toimintakatennuste'!AG109</f>
        <v>-7449.7031741191049</v>
      </c>
      <c r="O118" s="43">
        <f>$O$6*'2.1. Toimintakatennuste'!AH109</f>
        <v>-7735.5959313209023</v>
      </c>
      <c r="P118" s="43">
        <f>P$6*'2.1. Toimintakatennuste'!AI109</f>
        <v>-8014.6481547867452</v>
      </c>
      <c r="Q118" s="43">
        <f>Q$6*'2.1. Toimintakatennuste'!AJ109</f>
        <v>-8284.4074200286286</v>
      </c>
      <c r="R118" s="117"/>
      <c r="S118" s="34">
        <v>291</v>
      </c>
      <c r="T118" s="88" t="s">
        <v>432</v>
      </c>
      <c r="U118" s="41">
        <f>D118/'1. Väestöennuste'!E118*1000</f>
        <v>-6621.6795201371033</v>
      </c>
      <c r="V118" s="41">
        <f>E118/'1. Väestöennuste'!F118*1000</f>
        <v>-6964.5669291338581</v>
      </c>
      <c r="W118" s="41">
        <f>F118/'1. Väestöennuste'!G118*1000</f>
        <v>-6685.6127886323266</v>
      </c>
      <c r="X118" s="41">
        <f>G118/'1. Väestöennuste'!H118*1000</f>
        <v>-6961.5728328865061</v>
      </c>
      <c r="Y118" s="41">
        <f>H118/'1. Väestöennuste'!I118*1000</f>
        <v>-7117.4070716228462</v>
      </c>
      <c r="Z118" s="41">
        <f>I118/'1. Väestöennuste'!J118*1000</f>
        <v>-7383.618695048589</v>
      </c>
      <c r="AA118" s="41">
        <f>J118/'1. Väestöennuste'!K118*1000</f>
        <v>-7760.3895366079705</v>
      </c>
      <c r="AB118" s="41">
        <f>K118/'1. Väestöennuste'!L118*1000</f>
        <v>-8630.7797829164701</v>
      </c>
      <c r="AC118" s="41">
        <f>L118/'1. Väestöennuste'!M118*1000</f>
        <v>-3150.3287189292541</v>
      </c>
      <c r="AD118" s="41">
        <f>M118/'1. Väestöennuste'!N118*1000</f>
        <v>-3045.3577075274061</v>
      </c>
      <c r="AE118" s="41">
        <f>N118/'1. Väestöennuste'!O118*1000</f>
        <v>-3697.1231633345433</v>
      </c>
      <c r="AF118" s="41">
        <f>O118/'1. Väestöennuste'!P118*1000</f>
        <v>-3889.1885024237822</v>
      </c>
      <c r="AG118" s="41">
        <f>P118/'1. Väestöennuste'!Q118*1000</f>
        <v>-4074.5542220573184</v>
      </c>
      <c r="AH118" s="41">
        <f>Q118/'1. Väestöennuste'!R118*1000</f>
        <v>-4257.1466701072095</v>
      </c>
    </row>
    <row r="119" spans="1:34" customFormat="1" x14ac:dyDescent="0.25">
      <c r="A119" s="99">
        <v>11</v>
      </c>
      <c r="B119" s="30">
        <v>297</v>
      </c>
      <c r="C119" s="47" t="s">
        <v>433</v>
      </c>
      <c r="D119" s="65">
        <v>-562706</v>
      </c>
      <c r="E119" s="157">
        <v>-574107</v>
      </c>
      <c r="F119" s="157">
        <v>-599113</v>
      </c>
      <c r="G119" s="157">
        <v>-620123</v>
      </c>
      <c r="H119" s="43">
        <v>-660008</v>
      </c>
      <c r="I119" s="43">
        <v>-689551</v>
      </c>
      <c r="J119" s="159">
        <v>-705865.57228999992</v>
      </c>
      <c r="K119" s="43">
        <v>-762831.91871</v>
      </c>
      <c r="L119" s="43">
        <v>-296291.22433</v>
      </c>
      <c r="M119" s="43">
        <f>'2.1. Toimintakatennuste'!AX110</f>
        <v>-295871.93061708601</v>
      </c>
      <c r="N119" s="43">
        <f>$N$6*'2.1. Toimintakatennuste'!AG110</f>
        <v>-341901.61380780651</v>
      </c>
      <c r="O119" s="43">
        <f>$O$6*'2.1. Toimintakatennuste'!AH110</f>
        <v>-357068.62360158755</v>
      </c>
      <c r="P119" s="43">
        <f>P$6*'2.1. Toimintakatennuste'!AI110</f>
        <v>-371133.89834306698</v>
      </c>
      <c r="Q119" s="43">
        <f>Q$6*'2.1. Toimintakatennuste'!AJ110</f>
        <v>-383579.43250146759</v>
      </c>
      <c r="R119" s="117"/>
      <c r="S119" s="34">
        <v>297</v>
      </c>
      <c r="T119" s="88" t="s">
        <v>433</v>
      </c>
      <c r="U119" s="41">
        <f>D119/'1. Väestöennuste'!E119*1000</f>
        <v>-4812.7025940592366</v>
      </c>
      <c r="V119" s="41">
        <f>E119/'1. Väestöennuste'!F119*1000</f>
        <v>-4876.0574146424324</v>
      </c>
      <c r="W119" s="41">
        <f>F119/'1. Väestöennuste'!G119*1000</f>
        <v>-5068.2519943489915</v>
      </c>
      <c r="X119" s="41">
        <f>G119/'1. Väestöennuste'!H119*1000</f>
        <v>-5225.8730533270418</v>
      </c>
      <c r="Y119" s="41">
        <f>H119/'1. Väestöennuste'!I119*1000</f>
        <v>-5533.173488036753</v>
      </c>
      <c r="Z119" s="41">
        <f>I119/'1. Väestöennuste'!J119*1000</f>
        <v>-5736.2199484235925</v>
      </c>
      <c r="AA119" s="41">
        <f>J119/'1. Väestöennuste'!K119*1000</f>
        <v>-5807.5378449602194</v>
      </c>
      <c r="AB119" s="41">
        <f>K119/'1. Väestöennuste'!L119*1000</f>
        <v>-6222.4245779565072</v>
      </c>
      <c r="AC119" s="41">
        <f>L119/'1. Väestöennuste'!M119*1000</f>
        <v>-2389.0407618870995</v>
      </c>
      <c r="AD119" s="41">
        <f>M119/'1. Väestöennuste'!N119*1000</f>
        <v>-2409.9104087795035</v>
      </c>
      <c r="AE119" s="41">
        <f>N119/'1. Väestöennuste'!O119*1000</f>
        <v>-2773.2620660080829</v>
      </c>
      <c r="AF119" s="41">
        <f>O119/'1. Väestöennuste'!P119*1000</f>
        <v>-2884.9600756375794</v>
      </c>
      <c r="AG119" s="41">
        <f>P119/'1. Väestöennuste'!Q119*1000</f>
        <v>-2987.5942712261381</v>
      </c>
      <c r="AH119" s="41">
        <f>Q119/'1. Väestöennuste'!R119*1000</f>
        <v>-3077.2270780135545</v>
      </c>
    </row>
    <row r="120" spans="1:34" customFormat="1" x14ac:dyDescent="0.25">
      <c r="A120" s="99">
        <v>14</v>
      </c>
      <c r="B120" s="30">
        <v>300</v>
      </c>
      <c r="C120" s="47" t="s">
        <v>434</v>
      </c>
      <c r="D120" s="65">
        <v>-22678</v>
      </c>
      <c r="E120" s="157">
        <v>-22336</v>
      </c>
      <c r="F120" s="157">
        <v>-22511</v>
      </c>
      <c r="G120" s="157">
        <v>-22993</v>
      </c>
      <c r="H120" s="43">
        <v>-23561</v>
      </c>
      <c r="I120" s="43">
        <v>-23804</v>
      </c>
      <c r="J120" s="159">
        <v>-24863.859789999999</v>
      </c>
      <c r="K120" s="43">
        <v>-25344.379829999998</v>
      </c>
      <c r="L120" s="43">
        <v>-10878.11004</v>
      </c>
      <c r="M120" s="43">
        <f>'2.1. Toimintakatennuste'!AX111</f>
        <v>-11197.424383554262</v>
      </c>
      <c r="N120" s="43">
        <f>$N$6*'2.1. Toimintakatennuste'!AG111</f>
        <v>-12008.805876504124</v>
      </c>
      <c r="O120" s="43">
        <f>$O$6*'2.1. Toimintakatennuste'!AH111</f>
        <v>-12321.377070536812</v>
      </c>
      <c r="P120" s="43">
        <f>P$6*'2.1. Toimintakatennuste'!AI111</f>
        <v>-12809.430127299882</v>
      </c>
      <c r="Q120" s="43">
        <f>Q$6*'2.1. Toimintakatennuste'!AJ111</f>
        <v>-13191.173633189394</v>
      </c>
      <c r="R120" s="117"/>
      <c r="S120" s="34">
        <v>300</v>
      </c>
      <c r="T120" s="88" t="s">
        <v>434</v>
      </c>
      <c r="U120" s="41">
        <f>D120/'1. Väestöennuste'!E120*1000</f>
        <v>-6104.4414535666219</v>
      </c>
      <c r="V120" s="41">
        <f>E120/'1. Väestöennuste'!F120*1000</f>
        <v>-6053.1165311653122</v>
      </c>
      <c r="W120" s="41">
        <f>F120/'1. Väestöennuste'!G120*1000</f>
        <v>-6189.4418476766568</v>
      </c>
      <c r="X120" s="41">
        <f>G120/'1. Väestöennuste'!H120*1000</f>
        <v>-6437.0100783874586</v>
      </c>
      <c r="Y120" s="41">
        <f>H120/'1. Väestöennuste'!I120*1000</f>
        <v>-6635.0323852435931</v>
      </c>
      <c r="Z120" s="41">
        <f>I120/'1. Väestöennuste'!J120*1000</f>
        <v>-6735.7102433503114</v>
      </c>
      <c r="AA120" s="41">
        <f>J120/'1. Väestöennuste'!K120*1000</f>
        <v>-7047.579305555555</v>
      </c>
      <c r="AB120" s="41">
        <f>K120/'1. Väestöennuste'!L120*1000</f>
        <v>-7373.9830753564156</v>
      </c>
      <c r="AC120" s="41">
        <f>L120/'1. Väestöennuste'!M120*1000</f>
        <v>-3217.423850931677</v>
      </c>
      <c r="AD120" s="41">
        <f>M120/'1. Väestöennuste'!N120*1000</f>
        <v>-3306.000703736127</v>
      </c>
      <c r="AE120" s="41">
        <f>N120/'1. Väestöennuste'!O120*1000</f>
        <v>-3580.4430162504841</v>
      </c>
      <c r="AF120" s="41">
        <f>O120/'1. Väestöennuste'!P120*1000</f>
        <v>-3712.3763394205521</v>
      </c>
      <c r="AG120" s="41">
        <f>P120/'1. Väestöennuste'!Q120*1000</f>
        <v>-3896.9973006692676</v>
      </c>
      <c r="AH120" s="41">
        <f>Q120/'1. Väestöennuste'!R120*1000</f>
        <v>-4050.0993654250515</v>
      </c>
    </row>
    <row r="121" spans="1:34" customFormat="1" x14ac:dyDescent="0.25">
      <c r="A121" s="99">
        <v>14</v>
      </c>
      <c r="B121" s="30">
        <v>301</v>
      </c>
      <c r="C121" s="47" t="s">
        <v>435</v>
      </c>
      <c r="D121" s="65">
        <v>-130204</v>
      </c>
      <c r="E121" s="157">
        <v>-127155</v>
      </c>
      <c r="F121" s="157">
        <v>-126740</v>
      </c>
      <c r="G121" s="157">
        <v>-126404</v>
      </c>
      <c r="H121" s="43">
        <v>-132764</v>
      </c>
      <c r="I121" s="43">
        <v>-138251</v>
      </c>
      <c r="J121" s="159">
        <v>-147310.69586000001</v>
      </c>
      <c r="K121" s="43">
        <v>-145450.02512999999</v>
      </c>
      <c r="L121" s="43">
        <v>-52809.97135</v>
      </c>
      <c r="M121" s="43">
        <f>'2.1. Toimintakatennuste'!AX112</f>
        <v>-54828.83301227857</v>
      </c>
      <c r="N121" s="43">
        <f>$N$6*'2.1. Toimintakatennuste'!AG112</f>
        <v>-57831.500230264079</v>
      </c>
      <c r="O121" s="43">
        <f>$O$6*'2.1. Toimintakatennuste'!AH112</f>
        <v>-58992.885486800842</v>
      </c>
      <c r="P121" s="43">
        <f>P$6*'2.1. Toimintakatennuste'!AI112</f>
        <v>-60072.268517135126</v>
      </c>
      <c r="Q121" s="43">
        <f>Q$6*'2.1. Toimintakatennuste'!AJ112</f>
        <v>-60883.539940077477</v>
      </c>
      <c r="R121" s="117"/>
      <c r="S121" s="34">
        <v>301</v>
      </c>
      <c r="T121" s="88" t="s">
        <v>435</v>
      </c>
      <c r="U121" s="41">
        <f>D121/'1. Väestöennuste'!E121*1000</f>
        <v>-5990.7978282874756</v>
      </c>
      <c r="V121" s="41">
        <f>E121/'1. Väestöennuste'!F121*1000</f>
        <v>-5913.9109808846106</v>
      </c>
      <c r="W121" s="41">
        <f>F121/'1. Väestöennuste'!G121*1000</f>
        <v>-5977.4560203744759</v>
      </c>
      <c r="X121" s="41">
        <f>G121/'1. Väestöennuste'!H121*1000</f>
        <v>-6033.0278732340594</v>
      </c>
      <c r="Y121" s="41">
        <f>H121/'1. Väestöennuste'!I121*1000</f>
        <v>-6420.5435728793891</v>
      </c>
      <c r="Z121" s="41">
        <f>I121/'1. Väestöennuste'!J121*1000</f>
        <v>-6758.4571763785689</v>
      </c>
      <c r="AA121" s="41">
        <f>J121/'1. Väestöennuste'!K121*1000</f>
        <v>-7293.6919275139871</v>
      </c>
      <c r="AB121" s="41">
        <f>K121/'1. Väestöennuste'!L121*1000</f>
        <v>-7312.7212232277525</v>
      </c>
      <c r="AC121" s="41">
        <f>L121/'1. Väestöennuste'!M121*1000</f>
        <v>-2672.7046586365705</v>
      </c>
      <c r="AD121" s="41">
        <f>M121/'1. Väestöennuste'!N121*1000</f>
        <v>-2812.4561688781005</v>
      </c>
      <c r="AE121" s="41">
        <f>N121/'1. Väestöennuste'!O121*1000</f>
        <v>-3001.2714842630171</v>
      </c>
      <c r="AF121" s="41">
        <f>O121/'1. Väestöennuste'!P121*1000</f>
        <v>-3096.901962664751</v>
      </c>
      <c r="AG121" s="41">
        <f>P121/'1. Väestöennuste'!Q121*1000</f>
        <v>-3189.5650694029482</v>
      </c>
      <c r="AH121" s="41">
        <f>Q121/'1. Väestöennuste'!R121*1000</f>
        <v>-3269.4415175640361</v>
      </c>
    </row>
    <row r="122" spans="1:34" customFormat="1" x14ac:dyDescent="0.25">
      <c r="A122" s="99">
        <v>2</v>
      </c>
      <c r="B122" s="30">
        <v>304</v>
      </c>
      <c r="C122" s="47" t="s">
        <v>436</v>
      </c>
      <c r="D122" s="65">
        <v>-5898</v>
      </c>
      <c r="E122" s="157">
        <v>-5959</v>
      </c>
      <c r="F122" s="157">
        <v>-5446</v>
      </c>
      <c r="G122" s="157">
        <v>-6073</v>
      </c>
      <c r="H122" s="43">
        <v>-6295</v>
      </c>
      <c r="I122" s="43">
        <v>-6116</v>
      </c>
      <c r="J122" s="159">
        <v>-7195.274260000001</v>
      </c>
      <c r="K122" s="43">
        <v>-7469.0900199999996</v>
      </c>
      <c r="L122" s="43">
        <v>-2748.08502</v>
      </c>
      <c r="M122" s="43">
        <f>'2.1. Toimintakatennuste'!AX113</f>
        <v>-2655.81831967168</v>
      </c>
      <c r="N122" s="43">
        <f>$N$6*'2.1. Toimintakatennuste'!AG113</f>
        <v>-3196.6828811178043</v>
      </c>
      <c r="O122" s="43">
        <f>$O$6*'2.1. Toimintakatennuste'!AH113</f>
        <v>-3358.6944494000368</v>
      </c>
      <c r="P122" s="43">
        <f>P$6*'2.1. Toimintakatennuste'!AI113</f>
        <v>-3519.3626038068301</v>
      </c>
      <c r="Q122" s="43">
        <f>Q$6*'2.1. Toimintakatennuste'!AJ113</f>
        <v>-3671.9362039199291</v>
      </c>
      <c r="R122" s="117"/>
      <c r="S122" s="34">
        <v>304</v>
      </c>
      <c r="T122" s="88" t="s">
        <v>436</v>
      </c>
      <c r="U122" s="41">
        <f>D122/'1. Väestöennuste'!E122*1000</f>
        <v>-6589.9441340782123</v>
      </c>
      <c r="V122" s="41">
        <f>E122/'1. Väestöennuste'!F122*1000</f>
        <v>-6562.7753303964755</v>
      </c>
      <c r="W122" s="41">
        <f>F122/'1. Väestöennuste'!G122*1000</f>
        <v>-5900.3250270855906</v>
      </c>
      <c r="X122" s="41">
        <f>G122/'1. Väestöennuste'!H122*1000</f>
        <v>-6558.3153347732186</v>
      </c>
      <c r="Y122" s="41">
        <f>H122/'1. Väestöennuste'!I122*1000</f>
        <v>-6633.2982086406746</v>
      </c>
      <c r="Z122" s="41">
        <f>I122/'1. Väestöennuste'!J122*1000</f>
        <v>-6357.5883575883581</v>
      </c>
      <c r="AA122" s="41">
        <f>J122/'1. Väestöennuste'!K122*1000</f>
        <v>-7410.1691658084455</v>
      </c>
      <c r="AB122" s="41">
        <f>K122/'1. Väestöennuste'!L122*1000</f>
        <v>-7862.2000210526312</v>
      </c>
      <c r="AC122" s="41">
        <f>L122/'1. Väestöennuste'!M122*1000</f>
        <v>-2895.7692518440467</v>
      </c>
      <c r="AD122" s="41">
        <f>M122/'1. Väestöennuste'!N122*1000</f>
        <v>-2591.0422630943222</v>
      </c>
      <c r="AE122" s="41">
        <f>N122/'1. Väestöennuste'!O122*1000</f>
        <v>-3082.6257291396378</v>
      </c>
      <c r="AF122" s="41">
        <f>O122/'1. Väestöennuste'!P122*1000</f>
        <v>-3198.7566184762254</v>
      </c>
      <c r="AG122" s="41">
        <f>P122/'1. Väestöennuste'!Q122*1000</f>
        <v>-3307.6716201192012</v>
      </c>
      <c r="AH122" s="41">
        <f>Q122/'1. Väestöennuste'!R122*1000</f>
        <v>-3415.7546082976087</v>
      </c>
    </row>
    <row r="123" spans="1:34" customFormat="1" x14ac:dyDescent="0.25">
      <c r="A123" s="99">
        <v>17</v>
      </c>
      <c r="B123" s="30">
        <v>305</v>
      </c>
      <c r="C123" s="47" t="s">
        <v>437</v>
      </c>
      <c r="D123" s="65">
        <v>-93356</v>
      </c>
      <c r="E123" s="157">
        <v>-91418</v>
      </c>
      <c r="F123" s="157">
        <v>-91020</v>
      </c>
      <c r="G123" s="157">
        <v>-92691</v>
      </c>
      <c r="H123" s="43">
        <v>-96328</v>
      </c>
      <c r="I123" s="43">
        <v>-96457</v>
      </c>
      <c r="J123" s="159">
        <v>-99200.589319999999</v>
      </c>
      <c r="K123" s="43">
        <v>-103170.70116</v>
      </c>
      <c r="L123" s="43">
        <v>-42370.027799999996</v>
      </c>
      <c r="M123" s="43">
        <f>'2.1. Toimintakatennuste'!AX114</f>
        <v>-45707.01729389617</v>
      </c>
      <c r="N123" s="43">
        <f>$N$6*'2.1. Toimintakatennuste'!AG114</f>
        <v>-47382.445866903756</v>
      </c>
      <c r="O123" s="43">
        <f>$O$6*'2.1. Toimintakatennuste'!AH114</f>
        <v>-48689.729250296674</v>
      </c>
      <c r="P123" s="43">
        <f>P$6*'2.1. Toimintakatennuste'!AI114</f>
        <v>-49803.066231185039</v>
      </c>
      <c r="Q123" s="43">
        <f>Q$6*'2.1. Toimintakatennuste'!AJ114</f>
        <v>-50631.007945769888</v>
      </c>
      <c r="R123" s="117"/>
      <c r="S123" s="34">
        <v>305</v>
      </c>
      <c r="T123" s="88" t="s">
        <v>437</v>
      </c>
      <c r="U123" s="41">
        <f>D123/'1. Väestöennuste'!E123*1000</f>
        <v>-5950.7904130545639</v>
      </c>
      <c r="V123" s="41">
        <f>E123/'1. Väestöennuste'!F123*1000</f>
        <v>-5885.4052662074291</v>
      </c>
      <c r="W123" s="41">
        <f>F123/'1. Väestöennuste'!G123*1000</f>
        <v>-5915.7675809177172</v>
      </c>
      <c r="X123" s="41">
        <f>G123/'1. Väestöennuste'!H123*1000</f>
        <v>-6095.2850660879858</v>
      </c>
      <c r="Y123" s="41">
        <f>H123/'1. Väestöennuste'!I123*1000</f>
        <v>-6365.0059468745867</v>
      </c>
      <c r="Z123" s="41">
        <f>I123/'1. Väestöennuste'!J123*1000</f>
        <v>-6340.4325248143041</v>
      </c>
      <c r="AA123" s="41">
        <f>J123/'1. Väestöennuste'!K123*1000</f>
        <v>-6541.4170339597758</v>
      </c>
      <c r="AB123" s="41">
        <f>K123/'1. Väestöennuste'!L123*1000</f>
        <v>-6811.7457520137332</v>
      </c>
      <c r="AC123" s="41">
        <f>L123/'1. Väestöennuste'!M123*1000</f>
        <v>-2821.095132831746</v>
      </c>
      <c r="AD123" s="41">
        <f>M123/'1. Väestöennuste'!N123*1000</f>
        <v>-3093.3281871884251</v>
      </c>
      <c r="AE123" s="41">
        <f>N123/'1. Väestöennuste'!O123*1000</f>
        <v>-3229.2268702312927</v>
      </c>
      <c r="AF123" s="41">
        <f>O123/'1. Väestöennuste'!P123*1000</f>
        <v>-3340.8624434126991</v>
      </c>
      <c r="AG123" s="41">
        <f>P123/'1. Väestöennuste'!Q123*1000</f>
        <v>-3440.8640480299186</v>
      </c>
      <c r="AH123" s="41">
        <f>Q123/'1. Väestöennuste'!R123*1000</f>
        <v>-3522.4021111569423</v>
      </c>
    </row>
    <row r="124" spans="1:34" customFormat="1" x14ac:dyDescent="0.25">
      <c r="A124" s="99">
        <v>12</v>
      </c>
      <c r="B124" s="30">
        <v>309</v>
      </c>
      <c r="C124" s="47" t="s">
        <v>438</v>
      </c>
      <c r="D124" s="65">
        <v>-39460</v>
      </c>
      <c r="E124" s="157">
        <v>-40870</v>
      </c>
      <c r="F124" s="157">
        <v>-39322</v>
      </c>
      <c r="G124" s="157">
        <v>-40039</v>
      </c>
      <c r="H124" s="43">
        <v>-41493</v>
      </c>
      <c r="I124" s="43">
        <v>-43486</v>
      </c>
      <c r="J124" s="159">
        <v>-43775.346909999993</v>
      </c>
      <c r="K124" s="43">
        <v>-47306.347950000003</v>
      </c>
      <c r="L124" s="43">
        <v>-14818.44932</v>
      </c>
      <c r="M124" s="43">
        <f>'2.1. Toimintakatennuste'!AX115</f>
        <v>-14853.107503068402</v>
      </c>
      <c r="N124" s="43">
        <f>$N$6*'2.1. Toimintakatennuste'!AG115</f>
        <v>-16997.950496850444</v>
      </c>
      <c r="O124" s="43">
        <f>$O$6*'2.1. Toimintakatennuste'!AH115</f>
        <v>-17267.380207052363</v>
      </c>
      <c r="P124" s="43">
        <f>P$6*'2.1. Toimintakatennuste'!AI115</f>
        <v>-17588.874417185285</v>
      </c>
      <c r="Q124" s="43">
        <f>Q$6*'2.1. Toimintakatennuste'!AJ115</f>
        <v>-17652.625412842786</v>
      </c>
      <c r="R124" s="117"/>
      <c r="S124" s="34">
        <v>309</v>
      </c>
      <c r="T124" s="88" t="s">
        <v>438</v>
      </c>
      <c r="U124" s="41">
        <f>D124/'1. Väestöennuste'!E124*1000</f>
        <v>-5527.3847877854041</v>
      </c>
      <c r="V124" s="41">
        <f>E124/'1. Väestöennuste'!F124*1000</f>
        <v>-5763.6440558454378</v>
      </c>
      <c r="W124" s="41">
        <f>F124/'1. Väestöennuste'!G124*1000</f>
        <v>-5615.0221333714126</v>
      </c>
      <c r="X124" s="41">
        <f>G124/'1. Väestöennuste'!H124*1000</f>
        <v>-5885.4916948405116</v>
      </c>
      <c r="Y124" s="41">
        <f>H124/'1. Väestöennuste'!I124*1000</f>
        <v>-6204.0968899521531</v>
      </c>
      <c r="Z124" s="41">
        <f>I124/'1. Väestöennuste'!J124*1000</f>
        <v>-6637.0573870573871</v>
      </c>
      <c r="AA124" s="41">
        <f>J124/'1. Väestöennuste'!K124*1000</f>
        <v>-6728.4578711958184</v>
      </c>
      <c r="AB124" s="41">
        <f>K124/'1. Väestöennuste'!L124*1000</f>
        <v>-7326.366416292396</v>
      </c>
      <c r="AC124" s="41">
        <f>L124/'1. Väestöennuste'!M124*1000</f>
        <v>-2312.131271649243</v>
      </c>
      <c r="AD124" s="41">
        <f>M124/'1. Väestöennuste'!N124*1000</f>
        <v>-2417.497965994206</v>
      </c>
      <c r="AE124" s="41">
        <f>N124/'1. Väestöennuste'!O124*1000</f>
        <v>-2810.0430644487428</v>
      </c>
      <c r="AF124" s="41">
        <f>O124/'1. Väestöennuste'!P124*1000</f>
        <v>-2900.6182104909062</v>
      </c>
      <c r="AG124" s="41">
        <f>P124/'1. Väestöennuste'!Q124*1000</f>
        <v>-2999.9785804511826</v>
      </c>
      <c r="AH124" s="41">
        <f>Q124/'1. Väestöennuste'!R124*1000</f>
        <v>-3058.3204110954234</v>
      </c>
    </row>
    <row r="125" spans="1:34" customFormat="1" x14ac:dyDescent="0.25">
      <c r="A125" s="99">
        <v>13</v>
      </c>
      <c r="B125" s="30">
        <v>312</v>
      </c>
      <c r="C125" s="47" t="s">
        <v>439</v>
      </c>
      <c r="D125" s="65">
        <v>-8611</v>
      </c>
      <c r="E125" s="157">
        <v>-9139</v>
      </c>
      <c r="F125" s="157">
        <v>-8519</v>
      </c>
      <c r="G125" s="157">
        <v>-8891</v>
      </c>
      <c r="H125" s="43">
        <v>-10745</v>
      </c>
      <c r="I125" s="43">
        <v>-8673</v>
      </c>
      <c r="J125" s="159">
        <v>-8912.4196400000001</v>
      </c>
      <c r="K125" s="43">
        <v>-9612.8965900000003</v>
      </c>
      <c r="L125" s="43">
        <v>-3526.8721700000001</v>
      </c>
      <c r="M125" s="43">
        <f>'2.1. Toimintakatennuste'!AX116</f>
        <v>-3467.5076295931399</v>
      </c>
      <c r="N125" s="43">
        <f>$N$6*'2.1. Toimintakatennuste'!AG116</f>
        <v>-3985.9857914515378</v>
      </c>
      <c r="O125" s="43">
        <f>$O$6*'2.1. Toimintakatennuste'!AH116</f>
        <v>-4143.6158799389887</v>
      </c>
      <c r="P125" s="43">
        <f>P$6*'2.1. Toimintakatennuste'!AI116</f>
        <v>-4292.3514339182957</v>
      </c>
      <c r="Q125" s="43">
        <f>Q$6*'2.1. Toimintakatennuste'!AJ116</f>
        <v>-4436.2863725967327</v>
      </c>
      <c r="R125" s="117"/>
      <c r="S125" s="34">
        <v>312</v>
      </c>
      <c r="T125" s="88" t="s">
        <v>439</v>
      </c>
      <c r="U125" s="41">
        <f>D125/'1. Väestöennuste'!E125*1000</f>
        <v>-6244.3799854967374</v>
      </c>
      <c r="V125" s="41">
        <f>E125/'1. Väestöennuste'!F125*1000</f>
        <v>-6646.545454545454</v>
      </c>
      <c r="W125" s="41">
        <f>F125/'1. Väestöennuste'!G125*1000</f>
        <v>-6301.0355029585799</v>
      </c>
      <c r="X125" s="41">
        <f>G125/'1. Väestöennuste'!H125*1000</f>
        <v>-6620.2531645569616</v>
      </c>
      <c r="Y125" s="41">
        <f>H125/'1. Väestöennuste'!I125*1000</f>
        <v>-8183.5491241431837</v>
      </c>
      <c r="Z125" s="41">
        <f>I125/'1. Väestöennuste'!J125*1000</f>
        <v>-6733.695652173913</v>
      </c>
      <c r="AA125" s="41">
        <f>J125/'1. Väestöennuste'!K125*1000</f>
        <v>-7234.1068506493502</v>
      </c>
      <c r="AB125" s="41">
        <f>K125/'1. Väestöennuste'!L125*1000</f>
        <v>-8037.5389548494986</v>
      </c>
      <c r="AC125" s="41">
        <f>L125/'1. Väestöennuste'!M125*1000</f>
        <v>-3004.1500596252131</v>
      </c>
      <c r="AD125" s="41">
        <f>M125/'1. Väestöennuste'!N125*1000</f>
        <v>-2891.9996910701752</v>
      </c>
      <c r="AE125" s="41">
        <f>N125/'1. Väestöennuste'!O125*1000</f>
        <v>-3380.8191615365035</v>
      </c>
      <c r="AF125" s="41">
        <f>O125/'1. Väestöennuste'!P125*1000</f>
        <v>-3569.005925873375</v>
      </c>
      <c r="AG125" s="41">
        <f>P125/'1. Väestöennuste'!Q125*1000</f>
        <v>-3755.3380874175818</v>
      </c>
      <c r="AH125" s="41">
        <f>Q125/'1. Väestöennuste'!R125*1000</f>
        <v>-3946.8739969721823</v>
      </c>
    </row>
    <row r="126" spans="1:34" customFormat="1" x14ac:dyDescent="0.25">
      <c r="A126" s="99">
        <v>7</v>
      </c>
      <c r="B126" s="30">
        <v>316</v>
      </c>
      <c r="C126" s="47" t="s">
        <v>440</v>
      </c>
      <c r="D126" s="65">
        <v>-23839</v>
      </c>
      <c r="E126" s="157">
        <v>-23821</v>
      </c>
      <c r="F126" s="157">
        <v>-22406</v>
      </c>
      <c r="G126" s="157">
        <v>-23233</v>
      </c>
      <c r="H126" s="43">
        <v>-23628</v>
      </c>
      <c r="I126" s="43">
        <v>-22720</v>
      </c>
      <c r="J126" s="159">
        <v>-24350.098000000002</v>
      </c>
      <c r="K126" s="43">
        <v>-26319.248050000002</v>
      </c>
      <c r="L126" s="43">
        <v>-10232.182779999999</v>
      </c>
      <c r="M126" s="43">
        <f>'2.1. Toimintakatennuste'!AX117</f>
        <v>-9663.2787204315136</v>
      </c>
      <c r="N126" s="43">
        <f>$N$6*'2.1. Toimintakatennuste'!AG117</f>
        <v>-11938.263129281537</v>
      </c>
      <c r="O126" s="43">
        <f>$O$6*'2.1. Toimintakatennuste'!AH117</f>
        <v>-12492.340565967024</v>
      </c>
      <c r="P126" s="43">
        <f>P$6*'2.1. Toimintakatennuste'!AI117</f>
        <v>-12904.623399002825</v>
      </c>
      <c r="Q126" s="43">
        <f>Q$6*'2.1. Toimintakatennuste'!AJ117</f>
        <v>-13435.329278965777</v>
      </c>
      <c r="R126" s="117"/>
      <c r="S126" s="34">
        <v>316</v>
      </c>
      <c r="T126" s="88" t="s">
        <v>440</v>
      </c>
      <c r="U126" s="41">
        <f>D126/'1. Väestöennuste'!E126*1000</f>
        <v>-5177.8887923544744</v>
      </c>
      <c r="V126" s="41">
        <f>E126/'1. Väestöennuste'!F126*1000</f>
        <v>-5246.9162995594716</v>
      </c>
      <c r="W126" s="41">
        <f>F126/'1. Väestöennuste'!G126*1000</f>
        <v>-4970.2750665483591</v>
      </c>
      <c r="X126" s="41">
        <f>G126/'1. Väestöennuste'!H126*1000</f>
        <v>-5219.7259042911701</v>
      </c>
      <c r="Y126" s="41">
        <f>H126/'1. Väestöennuste'!I126*1000</f>
        <v>-5409.3406593406598</v>
      </c>
      <c r="Z126" s="41">
        <f>I126/'1. Väestöennuste'!J126*1000</f>
        <v>-5251.9648636153488</v>
      </c>
      <c r="AA126" s="41">
        <f>J126/'1. Väestöennuste'!K126*1000</f>
        <v>-5736.1832744405192</v>
      </c>
      <c r="AB126" s="41">
        <f>K126/'1. Väestöennuste'!L126*1000</f>
        <v>-6269.4730943306349</v>
      </c>
      <c r="AC126" s="41">
        <f>L126/'1. Väestöennuste'!M126*1000</f>
        <v>-2487.1615896937283</v>
      </c>
      <c r="AD126" s="41">
        <f>M126/'1. Väestöennuste'!N126*1000</f>
        <v>-2339.210535083881</v>
      </c>
      <c r="AE126" s="41">
        <f>N126/'1. Väestöennuste'!O126*1000</f>
        <v>-2918.1772498854893</v>
      </c>
      <c r="AF126" s="41">
        <f>O126/'1. Väestöennuste'!P126*1000</f>
        <v>-3080.7251703987731</v>
      </c>
      <c r="AG126" s="41">
        <f>P126/'1. Väestöennuste'!Q126*1000</f>
        <v>-3206.9143635692903</v>
      </c>
      <c r="AH126" s="41">
        <f>Q126/'1. Väestöennuste'!R126*1000</f>
        <v>-3364.7205807577707</v>
      </c>
    </row>
    <row r="127" spans="1:34" customFormat="1" x14ac:dyDescent="0.25">
      <c r="A127" s="99">
        <v>17</v>
      </c>
      <c r="B127" s="30">
        <v>317</v>
      </c>
      <c r="C127" s="47" t="s">
        <v>441</v>
      </c>
      <c r="D127" s="65">
        <v>-17188</v>
      </c>
      <c r="E127" s="157">
        <v>-16998</v>
      </c>
      <c r="F127" s="157">
        <v>-17412</v>
      </c>
      <c r="G127" s="157">
        <v>-17674</v>
      </c>
      <c r="H127" s="43">
        <v>-17580</v>
      </c>
      <c r="I127" s="43">
        <v>-17787</v>
      </c>
      <c r="J127" s="159">
        <v>-18489.020990000001</v>
      </c>
      <c r="K127" s="43">
        <v>-19057.205550000002</v>
      </c>
      <c r="L127" s="43">
        <v>-8472.5825800000002</v>
      </c>
      <c r="M127" s="43">
        <f>'2.1. Toimintakatennuste'!AX118</f>
        <v>-8646.9797170977654</v>
      </c>
      <c r="N127" s="43">
        <f>$N$6*'2.1. Toimintakatennuste'!AG118</f>
        <v>-9571.078710707985</v>
      </c>
      <c r="O127" s="43">
        <f>$O$6*'2.1. Toimintakatennuste'!AH118</f>
        <v>-10006.363848679674</v>
      </c>
      <c r="P127" s="43">
        <f>P$6*'2.1. Toimintakatennuste'!AI118</f>
        <v>-10372.656389259822</v>
      </c>
      <c r="Q127" s="43">
        <f>Q$6*'2.1. Toimintakatennuste'!AJ118</f>
        <v>-10728.471115855147</v>
      </c>
      <c r="R127" s="117"/>
      <c r="S127" s="34">
        <v>317</v>
      </c>
      <c r="T127" s="88" t="s">
        <v>441</v>
      </c>
      <c r="U127" s="41">
        <f>D127/'1. Väestöennuste'!E127*1000</f>
        <v>-6466.5161775771257</v>
      </c>
      <c r="V127" s="41">
        <f>E127/'1. Väestöennuste'!F127*1000</f>
        <v>-6402.259887005649</v>
      </c>
      <c r="W127" s="41">
        <f>F127/'1. Väestöennuste'!G127*1000</f>
        <v>-6668.709306779012</v>
      </c>
      <c r="X127" s="41">
        <f>G127/'1. Väestöennuste'!H127*1000</f>
        <v>-6763.8729429774203</v>
      </c>
      <c r="Y127" s="41">
        <f>H127/'1. Väestöennuste'!I127*1000</f>
        <v>-6824.5341614906829</v>
      </c>
      <c r="Z127" s="41">
        <f>I127/'1. Väestöennuste'!J127*1000</f>
        <v>-7008.274231678487</v>
      </c>
      <c r="AA127" s="41">
        <f>J127/'1. Väestöennuste'!K127*1000</f>
        <v>-7299.2581879194631</v>
      </c>
      <c r="AB127" s="41">
        <f>K127/'1. Väestöennuste'!L127*1000</f>
        <v>-7702.9933508488284</v>
      </c>
      <c r="AC127" s="41">
        <f>L127/'1. Väestöennuste'!M127*1000</f>
        <v>-3472.3699098360657</v>
      </c>
      <c r="AD127" s="41">
        <f>M127/'1. Väestöennuste'!N127*1000</f>
        <v>-3573.1321145032089</v>
      </c>
      <c r="AE127" s="41">
        <f>N127/'1. Väestöennuste'!O127*1000</f>
        <v>-3997.9443236040038</v>
      </c>
      <c r="AF127" s="41">
        <f>O127/'1. Väestöennuste'!P127*1000</f>
        <v>-4223.8766773658399</v>
      </c>
      <c r="AG127" s="41">
        <f>P127/'1. Väestöennuste'!Q127*1000</f>
        <v>-4430.865608398045</v>
      </c>
      <c r="AH127" s="41">
        <f>Q127/'1. Väestöennuste'!R127*1000</f>
        <v>-4632.3277702310661</v>
      </c>
    </row>
    <row r="128" spans="1:34" customFormat="1" x14ac:dyDescent="0.25">
      <c r="A128" s="99">
        <v>19</v>
      </c>
      <c r="B128" s="30">
        <v>320</v>
      </c>
      <c r="C128" s="47" t="s">
        <v>442</v>
      </c>
      <c r="D128" s="65">
        <v>-55015</v>
      </c>
      <c r="E128" s="157">
        <v>-55075</v>
      </c>
      <c r="F128" s="157">
        <v>-55716</v>
      </c>
      <c r="G128" s="157">
        <v>-55129</v>
      </c>
      <c r="H128" s="43">
        <v>-55359</v>
      </c>
      <c r="I128" s="43">
        <v>-55327</v>
      </c>
      <c r="J128" s="159">
        <v>-54772.600200000001</v>
      </c>
      <c r="K128" s="43">
        <v>-57722.637670000004</v>
      </c>
      <c r="L128" s="43">
        <v>-20225.649260000002</v>
      </c>
      <c r="M128" s="43">
        <f>'2.1. Toimintakatennuste'!AX119</f>
        <v>-22520.239352144679</v>
      </c>
      <c r="N128" s="43">
        <f>$N$6*'2.1. Toimintakatennuste'!AG119</f>
        <v>-22860.027825219735</v>
      </c>
      <c r="O128" s="43">
        <f>$O$6*'2.1. Toimintakatennuste'!AH119</f>
        <v>-23388.373585027886</v>
      </c>
      <c r="P128" s="43">
        <f>P$6*'2.1. Toimintakatennuste'!AI119</f>
        <v>-23895.864523418197</v>
      </c>
      <c r="Q128" s="43">
        <f>Q$6*'2.1. Toimintakatennuste'!AJ119</f>
        <v>-24341.543561058745</v>
      </c>
      <c r="R128" s="117"/>
      <c r="S128" s="34">
        <v>320</v>
      </c>
      <c r="T128" s="88" t="s">
        <v>442</v>
      </c>
      <c r="U128" s="41">
        <f>D128/'1. Väestöennuste'!E128*1000</f>
        <v>-7084.0844707700226</v>
      </c>
      <c r="V128" s="41">
        <f>E128/'1. Väestöennuste'!F128*1000</f>
        <v>-7189.009267719618</v>
      </c>
      <c r="W128" s="41">
        <f>F128/'1. Väestöennuste'!G128*1000</f>
        <v>-7395.2747544465092</v>
      </c>
      <c r="X128" s="41">
        <f>G128/'1. Väestöennuste'!H128*1000</f>
        <v>-7480.1899592944374</v>
      </c>
      <c r="Y128" s="41">
        <f>H128/'1. Väestöennuste'!I128*1000</f>
        <v>-7610.5306571350011</v>
      </c>
      <c r="Z128" s="41">
        <f>I128/'1. Väestöennuste'!J128*1000</f>
        <v>-7693.9229592546235</v>
      </c>
      <c r="AA128" s="41">
        <f>J128/'1. Väestöennuste'!K128*1000</f>
        <v>-7709.0218437719914</v>
      </c>
      <c r="AB128" s="41">
        <f>K128/'1. Väestöennuste'!L128*1000</f>
        <v>-8250.8058419096633</v>
      </c>
      <c r="AC128" s="41">
        <f>L128/'1. Väestöennuste'!M128*1000</f>
        <v>-2877.0482588904697</v>
      </c>
      <c r="AD128" s="41">
        <f>M128/'1. Väestöennuste'!N128*1000</f>
        <v>-3339.7952472407947</v>
      </c>
      <c r="AE128" s="41">
        <f>N128/'1. Väestöennuste'!O128*1000</f>
        <v>-3437.0813148729117</v>
      </c>
      <c r="AF128" s="41">
        <f>O128/'1. Väestöennuste'!P128*1000</f>
        <v>-3565.300851376202</v>
      </c>
      <c r="AG128" s="41">
        <f>P128/'1. Väestöennuste'!Q128*1000</f>
        <v>-3690.4810074777138</v>
      </c>
      <c r="AH128" s="41">
        <f>Q128/'1. Väestöennuste'!R128*1000</f>
        <v>-3806.3398844501558</v>
      </c>
    </row>
    <row r="129" spans="1:34" customFormat="1" x14ac:dyDescent="0.25">
      <c r="A129" s="99">
        <v>2</v>
      </c>
      <c r="B129" s="30">
        <v>322</v>
      </c>
      <c r="C129" s="47" t="s">
        <v>443</v>
      </c>
      <c r="D129" s="65">
        <v>-41292</v>
      </c>
      <c r="E129" s="157">
        <v>-41169</v>
      </c>
      <c r="F129" s="157">
        <v>-40146</v>
      </c>
      <c r="G129" s="157">
        <v>-42753</v>
      </c>
      <c r="H129" s="43">
        <v>-43024</v>
      </c>
      <c r="I129" s="43">
        <v>-40800</v>
      </c>
      <c r="J129" s="159">
        <v>-41423.01685</v>
      </c>
      <c r="K129" s="43">
        <v>-45233.201329999996</v>
      </c>
      <c r="L129" s="43">
        <v>-17608.290270000001</v>
      </c>
      <c r="M129" s="43">
        <f>'2.1. Toimintakatennuste'!AX120</f>
        <v>-18089.478932434478</v>
      </c>
      <c r="N129" s="43">
        <f>$N$6*'2.1. Toimintakatennuste'!AG120</f>
        <v>-19278.901873333121</v>
      </c>
      <c r="O129" s="43">
        <f>$O$6*'2.1. Toimintakatennuste'!AH120</f>
        <v>-19477.995956637002</v>
      </c>
      <c r="P129" s="43">
        <f>P$6*'2.1. Toimintakatennuste'!AI120</f>
        <v>-20059.917465752435</v>
      </c>
      <c r="Q129" s="43">
        <f>Q$6*'2.1. Toimintakatennuste'!AJ120</f>
        <v>-20285.64119627155</v>
      </c>
      <c r="R129" s="117"/>
      <c r="S129" s="34">
        <v>322</v>
      </c>
      <c r="T129" s="88" t="s">
        <v>443</v>
      </c>
      <c r="U129" s="41">
        <f>D129/'1. Väestöennuste'!E129*1000</f>
        <v>-5976.5523230568824</v>
      </c>
      <c r="V129" s="41">
        <f>E129/'1. Väestöennuste'!F129*1000</f>
        <v>-5990.8323632130387</v>
      </c>
      <c r="W129" s="41">
        <f>F129/'1. Väestöennuste'!G129*1000</f>
        <v>-5909.9072574709262</v>
      </c>
      <c r="X129" s="41">
        <f>G129/'1. Väestöennuste'!H129*1000</f>
        <v>-6358.2688875669246</v>
      </c>
      <c r="Y129" s="41">
        <f>H129/'1. Väestöennuste'!I129*1000</f>
        <v>-6479.5180722891564</v>
      </c>
      <c r="Z129" s="41">
        <f>I129/'1. Väestöennuste'!J129*1000</f>
        <v>-6173.3999092147069</v>
      </c>
      <c r="AA129" s="41">
        <f>J129/'1. Väestöennuste'!K129*1000</f>
        <v>-6262.9296719080739</v>
      </c>
      <c r="AB129" s="41">
        <f>K129/'1. Väestöennuste'!L129*1000</f>
        <v>-6906.8867506489541</v>
      </c>
      <c r="AC129" s="41">
        <f>L129/'1. Väestöennuste'!M129*1000</f>
        <v>-2724.8979062209842</v>
      </c>
      <c r="AD129" s="41">
        <f>M129/'1. Väestöennuste'!N129*1000</f>
        <v>-2842.0233986542776</v>
      </c>
      <c r="AE129" s="41">
        <f>N129/'1. Väestöennuste'!O129*1000</f>
        <v>-3050.459157172962</v>
      </c>
      <c r="AF129" s="41">
        <f>O129/'1. Väestöennuste'!P129*1000</f>
        <v>-3102.5797955777321</v>
      </c>
      <c r="AG129" s="41">
        <f>P129/'1. Väestöennuste'!Q129*1000</f>
        <v>-3215.7610557474245</v>
      </c>
      <c r="AH129" s="41">
        <f>Q129/'1. Väestöennuste'!R129*1000</f>
        <v>-3271.8776123018629</v>
      </c>
    </row>
    <row r="130" spans="1:34" customFormat="1" x14ac:dyDescent="0.25">
      <c r="A130" s="99">
        <v>7</v>
      </c>
      <c r="B130" s="30">
        <v>398</v>
      </c>
      <c r="C130" s="47" t="s">
        <v>444</v>
      </c>
      <c r="D130" s="65">
        <v>-597623</v>
      </c>
      <c r="E130" s="157">
        <v>-608458</v>
      </c>
      <c r="F130" s="157">
        <v>-592853</v>
      </c>
      <c r="G130" s="157">
        <v>-622211</v>
      </c>
      <c r="H130" s="43">
        <v>-651477</v>
      </c>
      <c r="I130" s="43">
        <v>-668238</v>
      </c>
      <c r="J130" s="159">
        <v>-675180.39211000002</v>
      </c>
      <c r="K130" s="43">
        <v>-695129.98799000005</v>
      </c>
      <c r="L130" s="43">
        <v>-301995.39902999997</v>
      </c>
      <c r="M130" s="43">
        <f>'2.1. Toimintakatennuste'!AX121</f>
        <v>-351077.54477211827</v>
      </c>
      <c r="N130" s="43">
        <f>$N$6*'2.1. Toimintakatennuste'!AG121</f>
        <v>-344632.33865659323</v>
      </c>
      <c r="O130" s="43">
        <f>$O$6*'2.1. Toimintakatennuste'!AH121</f>
        <v>-357523.67458476254</v>
      </c>
      <c r="P130" s="43">
        <f>P$6*'2.1. Toimintakatennuste'!AI121</f>
        <v>-368920.7349811098</v>
      </c>
      <c r="Q130" s="43">
        <f>Q$6*'2.1. Toimintakatennuste'!AJ121</f>
        <v>-379574.57964751631</v>
      </c>
      <c r="R130" s="117"/>
      <c r="S130" s="34">
        <v>398</v>
      </c>
      <c r="T130" s="88" t="s">
        <v>444</v>
      </c>
      <c r="U130" s="41">
        <f>D130/'1. Väestöennuste'!E130*1000</f>
        <v>-5032.911413725441</v>
      </c>
      <c r="V130" s="41">
        <f>E130/'1. Väestöennuste'!F130*1000</f>
        <v>-5093.7447677728296</v>
      </c>
      <c r="W130" s="41">
        <f>F130/'1. Väestöennuste'!G130*1000</f>
        <v>-4958.0841828840958</v>
      </c>
      <c r="X130" s="41">
        <f>G130/'1. Väestöennuste'!H130*1000</f>
        <v>-5187.2097773257419</v>
      </c>
      <c r="Y130" s="41">
        <f>H130/'1. Väestöennuste'!I130*1000</f>
        <v>-5436.9945669863046</v>
      </c>
      <c r="Z130" s="41">
        <f>I130/'1. Väestöennuste'!J130*1000</f>
        <v>-5569.3925856780907</v>
      </c>
      <c r="AA130" s="41">
        <f>J130/'1. Väestöennuste'!K130*1000</f>
        <v>-5625.2375891257807</v>
      </c>
      <c r="AB130" s="41">
        <f>K130/'1. Väestöennuste'!L130*1000</f>
        <v>-5784.3144413563559</v>
      </c>
      <c r="AC130" s="41">
        <f>L130/'1. Väestöennuste'!M130*1000</f>
        <v>-2502.1782458800421</v>
      </c>
      <c r="AD130" s="41">
        <f>M130/'1. Väestöennuste'!N130*1000</f>
        <v>-2906.3673033222808</v>
      </c>
      <c r="AE130" s="41">
        <f>N130/'1. Väestöennuste'!O130*1000</f>
        <v>-2850.5098232998066</v>
      </c>
      <c r="AF130" s="41">
        <f>O130/'1. Väestöennuste'!P130*1000</f>
        <v>-2955.5471705900163</v>
      </c>
      <c r="AG130" s="41">
        <f>P130/'1. Väestöennuste'!Q130*1000</f>
        <v>-3049.0072892808071</v>
      </c>
      <c r="AH130" s="41">
        <f>Q130/'1. Väestöennuste'!R130*1000</f>
        <v>-3137.1874144366261</v>
      </c>
    </row>
    <row r="131" spans="1:34" customFormat="1" x14ac:dyDescent="0.25">
      <c r="A131" s="99">
        <v>15</v>
      </c>
      <c r="B131" s="30">
        <v>399</v>
      </c>
      <c r="C131" s="47" t="s">
        <v>445</v>
      </c>
      <c r="D131" s="65">
        <v>-42347</v>
      </c>
      <c r="E131" s="157">
        <v>-44111</v>
      </c>
      <c r="F131" s="157">
        <v>-43238</v>
      </c>
      <c r="G131" s="157">
        <v>-43838</v>
      </c>
      <c r="H131" s="43">
        <v>-45120</v>
      </c>
      <c r="I131" s="43">
        <v>-46440</v>
      </c>
      <c r="J131" s="159">
        <v>-48336.791259999998</v>
      </c>
      <c r="K131" s="43">
        <v>-51831.779569999999</v>
      </c>
      <c r="L131" s="43">
        <v>-21131.39028</v>
      </c>
      <c r="M131" s="43">
        <f>'2.1. Toimintakatennuste'!AX122</f>
        <v>-21245.157035786251</v>
      </c>
      <c r="N131" s="43">
        <f>$N$6*'2.1. Toimintakatennuste'!AG122</f>
        <v>-23131.860748652642</v>
      </c>
      <c r="O131" s="43">
        <f>$O$6*'2.1. Toimintakatennuste'!AH122</f>
        <v>-23470.422211826379</v>
      </c>
      <c r="P131" s="43">
        <f>P$6*'2.1. Toimintakatennuste'!AI122</f>
        <v>-23848.404179381178</v>
      </c>
      <c r="Q131" s="43">
        <f>Q$6*'2.1. Toimintakatennuste'!AJ122</f>
        <v>-24215.812765407143</v>
      </c>
      <c r="R131" s="117"/>
      <c r="S131" s="34">
        <v>399</v>
      </c>
      <c r="T131" s="88" t="s">
        <v>445</v>
      </c>
      <c r="U131" s="41">
        <f>D131/'1. Väestöennuste'!E131*1000</f>
        <v>-5234.4870210135969</v>
      </c>
      <c r="V131" s="41">
        <f>E131/'1. Väestöennuste'!F131*1000</f>
        <v>-5419.7075807838801</v>
      </c>
      <c r="W131" s="41">
        <f>F131/'1. Väestöennuste'!G131*1000</f>
        <v>-5370.5129797540676</v>
      </c>
      <c r="X131" s="41">
        <f>G131/'1. Väestöennuste'!H131*1000</f>
        <v>-5440.3077686770903</v>
      </c>
      <c r="Y131" s="41">
        <f>H131/'1. Väestöennuste'!I131*1000</f>
        <v>-5628.0404141199942</v>
      </c>
      <c r="Z131" s="41">
        <f>I131/'1. Väestöennuste'!J131*1000</f>
        <v>-5807.9039519759881</v>
      </c>
      <c r="AA131" s="41">
        <f>J131/'1. Väestöennuste'!K131*1000</f>
        <v>-6106.2141561394646</v>
      </c>
      <c r="AB131" s="41">
        <f>K131/'1. Väestöennuste'!L131*1000</f>
        <v>-6630.64853140591</v>
      </c>
      <c r="AC131" s="41">
        <f>L131/'1. Väestöennuste'!M131*1000</f>
        <v>-2750.7667638635771</v>
      </c>
      <c r="AD131" s="41">
        <f>M131/'1. Väestöennuste'!N131*1000</f>
        <v>-2693.6930437157666</v>
      </c>
      <c r="AE131" s="41">
        <f>N131/'1. Väestöennuste'!O131*1000</f>
        <v>-2945.9832843419058</v>
      </c>
      <c r="AF131" s="41">
        <f>O131/'1. Väestöennuste'!P131*1000</f>
        <v>-3002.8687579102325</v>
      </c>
      <c r="AG131" s="41">
        <f>P131/'1. Väestöennuste'!Q131*1000</f>
        <v>-3066.9244057846163</v>
      </c>
      <c r="AH131" s="41">
        <f>Q131/'1. Väestöennuste'!R131*1000</f>
        <v>-3132.705403028091</v>
      </c>
    </row>
    <row r="132" spans="1:34" customFormat="1" x14ac:dyDescent="0.25">
      <c r="A132" s="99">
        <v>2</v>
      </c>
      <c r="B132" s="30">
        <v>400</v>
      </c>
      <c r="C132" s="47" t="s">
        <v>446</v>
      </c>
      <c r="D132" s="65">
        <v>-45878</v>
      </c>
      <c r="E132" s="157">
        <v>-45956</v>
      </c>
      <c r="F132" s="157">
        <v>-45870</v>
      </c>
      <c r="G132" s="157">
        <v>-47767</v>
      </c>
      <c r="H132" s="43">
        <v>-50444</v>
      </c>
      <c r="I132" s="43">
        <v>-49262</v>
      </c>
      <c r="J132" s="159">
        <v>-50605.197820000001</v>
      </c>
      <c r="K132" s="43">
        <v>-54014.143250000001</v>
      </c>
      <c r="L132" s="43">
        <v>-23954.518980000001</v>
      </c>
      <c r="M132" s="43">
        <f>'2.1. Toimintakatennuste'!AX123</f>
        <v>-26050.528766086896</v>
      </c>
      <c r="N132" s="43">
        <f>$N$6*'2.1. Toimintakatennuste'!AG123</f>
        <v>-26418.313908570948</v>
      </c>
      <c r="O132" s="43">
        <f>$O$6*'2.1. Toimintakatennuste'!AH123</f>
        <v>-27125.247471410719</v>
      </c>
      <c r="P132" s="43">
        <f>P$6*'2.1. Toimintakatennuste'!AI123</f>
        <v>-27778.951864849263</v>
      </c>
      <c r="Q132" s="43">
        <f>Q$6*'2.1. Toimintakatennuste'!AJ123</f>
        <v>-28291.93624927945</v>
      </c>
      <c r="R132" s="117"/>
      <c r="S132" s="34">
        <v>400</v>
      </c>
      <c r="T132" s="88" t="s">
        <v>446</v>
      </c>
      <c r="U132" s="41">
        <f>D132/'1. Väestöennuste'!E132*1000</f>
        <v>-5384.7417840375583</v>
      </c>
      <c r="V132" s="41">
        <f>E132/'1. Väestöennuste'!F132*1000</f>
        <v>-5393.8967136150241</v>
      </c>
      <c r="W132" s="41">
        <f>F132/'1. Väestöennuste'!G132*1000</f>
        <v>-5327.5261324041812</v>
      </c>
      <c r="X132" s="41">
        <f>G132/'1. Väestöennuste'!H132*1000</f>
        <v>-5524.1124089279519</v>
      </c>
      <c r="Y132" s="41">
        <f>H132/'1. Väestöennuste'!I132*1000</f>
        <v>-5873.7773637633909</v>
      </c>
      <c r="Z132" s="41">
        <f>I132/'1. Väestöennuste'!J132*1000</f>
        <v>-5817.4303259329245</v>
      </c>
      <c r="AA132" s="41">
        <f>J132/'1. Väestöennuste'!K132*1000</f>
        <v>-5984.5314356669824</v>
      </c>
      <c r="AB132" s="41">
        <f>K132/'1. Väestöennuste'!L132*1000</f>
        <v>-6456.3881484580443</v>
      </c>
      <c r="AC132" s="41">
        <f>L132/'1. Väestöennuste'!M132*1000</f>
        <v>-2837.8769079492954</v>
      </c>
      <c r="AD132" s="41">
        <f>M132/'1. Väestöennuste'!N132*1000</f>
        <v>-3109.3970835625323</v>
      </c>
      <c r="AE132" s="41">
        <f>N132/'1. Väestöennuste'!O132*1000</f>
        <v>-3163.491067964429</v>
      </c>
      <c r="AF132" s="41">
        <f>O132/'1. Väestöennuste'!P132*1000</f>
        <v>-3258.6794175169052</v>
      </c>
      <c r="AG132" s="41">
        <f>P132/'1. Väestöennuste'!Q132*1000</f>
        <v>-3349.2828387809577</v>
      </c>
      <c r="AH132" s="41">
        <f>Q132/'1. Väestöennuste'!R132*1000</f>
        <v>-3423.1017845468177</v>
      </c>
    </row>
    <row r="133" spans="1:34" customFormat="1" x14ac:dyDescent="0.25">
      <c r="A133" s="99">
        <v>11</v>
      </c>
      <c r="B133" s="30">
        <v>402</v>
      </c>
      <c r="C133" s="47" t="s">
        <v>447</v>
      </c>
      <c r="D133" s="65">
        <v>-59064</v>
      </c>
      <c r="E133" s="157">
        <v>-59852</v>
      </c>
      <c r="F133" s="157">
        <v>-57587</v>
      </c>
      <c r="G133" s="157">
        <v>-57125</v>
      </c>
      <c r="H133" s="43">
        <v>-58968</v>
      </c>
      <c r="I133" s="43">
        <v>-60989</v>
      </c>
      <c r="J133" s="159">
        <v>-64004.24396</v>
      </c>
      <c r="K133" s="43">
        <v>-67408.601269999999</v>
      </c>
      <c r="L133" s="43">
        <v>-21823.380020000001</v>
      </c>
      <c r="M133" s="43">
        <f>'2.1. Toimintakatennuste'!AX124</f>
        <v>-22115.570628892136</v>
      </c>
      <c r="N133" s="43">
        <f>$N$6*'2.1. Toimintakatennuste'!AG124</f>
        <v>-24387.293996104694</v>
      </c>
      <c r="O133" s="43">
        <f>$O$6*'2.1. Toimintakatennuste'!AH124</f>
        <v>-24785.014417737053</v>
      </c>
      <c r="P133" s="43">
        <f>P$6*'2.1. Toimintakatennuste'!AI124</f>
        <v>-25383.375136317962</v>
      </c>
      <c r="Q133" s="43">
        <f>Q$6*'2.1. Toimintakatennuste'!AJ124</f>
        <v>-25889.519345179808</v>
      </c>
      <c r="R133" s="117"/>
      <c r="S133" s="34">
        <v>402</v>
      </c>
      <c r="T133" s="88" t="s">
        <v>447</v>
      </c>
      <c r="U133" s="41">
        <f>D133/'1. Väestöennuste'!E133*1000</f>
        <v>-5917.0506912442397</v>
      </c>
      <c r="V133" s="41">
        <f>E133/'1. Väestöennuste'!F133*1000</f>
        <v>-6056.6686905484721</v>
      </c>
      <c r="W133" s="41">
        <f>F133/'1. Väestöennuste'!G133*1000</f>
        <v>-5941.7044985555094</v>
      </c>
      <c r="X133" s="41">
        <f>G133/'1. Väestöennuste'!H133*1000</f>
        <v>-5940.0020796506187</v>
      </c>
      <c r="Y133" s="41">
        <f>H133/'1. Väestöennuste'!I133*1000</f>
        <v>-6216.9741697416976</v>
      </c>
      <c r="Z133" s="41">
        <f>I133/'1. Väestöennuste'!J133*1000</f>
        <v>-6517.3113913229326</v>
      </c>
      <c r="AA133" s="41">
        <f>J133/'1. Väestöennuste'!K133*1000</f>
        <v>-6921.6225759705849</v>
      </c>
      <c r="AB133" s="41">
        <f>K133/'1. Väestöennuste'!L133*1000</f>
        <v>-7408.3527057918454</v>
      </c>
      <c r="AC133" s="41">
        <f>L133/'1. Väestöennuste'!M133*1000</f>
        <v>-2431.5743754874652</v>
      </c>
      <c r="AD133" s="41">
        <f>M133/'1. Väestöennuste'!N133*1000</f>
        <v>-2474.3310168820917</v>
      </c>
      <c r="AE133" s="41">
        <f>N133/'1. Väestöennuste'!O133*1000</f>
        <v>-2758.7436647177256</v>
      </c>
      <c r="AF133" s="41">
        <f>O133/'1. Väestöennuste'!P133*1000</f>
        <v>-2834.5167449379064</v>
      </c>
      <c r="AG133" s="41">
        <f>P133/'1. Väestöennuste'!Q133*1000</f>
        <v>-2933.8158964768795</v>
      </c>
      <c r="AH133" s="41">
        <f>Q133/'1. Väestöennuste'!R133*1000</f>
        <v>-3024.4765590163329</v>
      </c>
    </row>
    <row r="134" spans="1:34" customFormat="1" x14ac:dyDescent="0.25">
      <c r="A134" s="99">
        <v>14</v>
      </c>
      <c r="B134" s="30">
        <v>403</v>
      </c>
      <c r="C134" s="47" t="s">
        <v>448</v>
      </c>
      <c r="D134" s="65">
        <v>-18729</v>
      </c>
      <c r="E134" s="157">
        <v>-18927</v>
      </c>
      <c r="F134" s="157">
        <v>-19328</v>
      </c>
      <c r="G134" s="157">
        <v>-18317</v>
      </c>
      <c r="H134" s="43">
        <v>-20285</v>
      </c>
      <c r="I134" s="43">
        <v>-20551</v>
      </c>
      <c r="J134" s="159">
        <v>-20794.073680000001</v>
      </c>
      <c r="K134" s="43">
        <v>-21480.649000000001</v>
      </c>
      <c r="L134" s="43">
        <v>-7790.5715499999997</v>
      </c>
      <c r="M134" s="43">
        <f>'2.1. Toimintakatennuste'!AX125</f>
        <v>-7323.1987611316281</v>
      </c>
      <c r="N134" s="43">
        <f>$N$6*'2.1. Toimintakatennuste'!AG125</f>
        <v>-8589.2129242725605</v>
      </c>
      <c r="O134" s="43">
        <f>$O$6*'2.1. Toimintakatennuste'!AH125</f>
        <v>-8964.7895575626881</v>
      </c>
      <c r="P134" s="43">
        <f>P$6*'2.1. Toimintakatennuste'!AI125</f>
        <v>-9144.0496147088106</v>
      </c>
      <c r="Q134" s="43">
        <f>Q$6*'2.1. Toimintakatennuste'!AJ125</f>
        <v>-9502.2376423676924</v>
      </c>
      <c r="R134" s="117"/>
      <c r="S134" s="34">
        <v>403</v>
      </c>
      <c r="T134" s="88" t="s">
        <v>448</v>
      </c>
      <c r="U134" s="41">
        <f>D134/'1. Väestöennuste'!E134*1000</f>
        <v>-5825.505443234837</v>
      </c>
      <c r="V134" s="41">
        <f>E134/'1. Väestöennuste'!F134*1000</f>
        <v>-5959.3828715365235</v>
      </c>
      <c r="W134" s="41">
        <f>F134/'1. Väestöennuste'!G134*1000</f>
        <v>-6155.4140127388537</v>
      </c>
      <c r="X134" s="41">
        <f>G134/'1. Väestöennuste'!H134*1000</f>
        <v>-5950.9421702404161</v>
      </c>
      <c r="Y134" s="41">
        <f>H134/'1. Väestöennuste'!I134*1000</f>
        <v>-6770.6942590120161</v>
      </c>
      <c r="Z134" s="41">
        <f>I134/'1. Väestöennuste'!J134*1000</f>
        <v>-7025.9829059829062</v>
      </c>
      <c r="AA134" s="41">
        <f>J134/'1. Väestöennuste'!K134*1000</f>
        <v>-7255.4339427773903</v>
      </c>
      <c r="AB134" s="41">
        <f>K134/'1. Väestöennuste'!L134*1000</f>
        <v>-7617.2514184397169</v>
      </c>
      <c r="AC134" s="41">
        <f>L134/'1. Väestöennuste'!M134*1000</f>
        <v>-2793.3207422015057</v>
      </c>
      <c r="AD134" s="41">
        <f>M134/'1. Väestöennuste'!N134*1000</f>
        <v>-2701.2905795395163</v>
      </c>
      <c r="AE134" s="41">
        <f>N134/'1. Väestöennuste'!O134*1000</f>
        <v>-3224.1790256278382</v>
      </c>
      <c r="AF134" s="41">
        <f>O134/'1. Väestöennuste'!P134*1000</f>
        <v>-3424.289364997207</v>
      </c>
      <c r="AG134" s="41">
        <f>P134/'1. Väestöennuste'!Q134*1000</f>
        <v>-3551.0872290131301</v>
      </c>
      <c r="AH134" s="41">
        <f>Q134/'1. Väestöennuste'!R134*1000</f>
        <v>-3755.8251550860446</v>
      </c>
    </row>
    <row r="135" spans="1:34" customFormat="1" x14ac:dyDescent="0.25">
      <c r="A135" s="99">
        <v>9</v>
      </c>
      <c r="B135" s="30">
        <v>405</v>
      </c>
      <c r="C135" s="47" t="s">
        <v>449</v>
      </c>
      <c r="D135" s="65">
        <v>-381620</v>
      </c>
      <c r="E135" s="157">
        <v>-389096</v>
      </c>
      <c r="F135" s="157">
        <v>-374966</v>
      </c>
      <c r="G135" s="157">
        <v>-388513</v>
      </c>
      <c r="H135" s="43">
        <v>-389688</v>
      </c>
      <c r="I135" s="43">
        <v>-422665</v>
      </c>
      <c r="J135" s="159">
        <v>-415634.74304999999</v>
      </c>
      <c r="K135" s="43">
        <v>-439333.75460000004</v>
      </c>
      <c r="L135" s="43">
        <v>-164204.89538</v>
      </c>
      <c r="M135" s="43">
        <f>'2.1. Toimintakatennuste'!AX126</f>
        <v>-166323.57512547434</v>
      </c>
      <c r="N135" s="43">
        <f>$N$6*'2.1. Toimintakatennuste'!AG126</f>
        <v>-190589.37849661574</v>
      </c>
      <c r="O135" s="43">
        <f>$O$6*'2.1. Toimintakatennuste'!AH126</f>
        <v>-197418.60427388633</v>
      </c>
      <c r="P135" s="43">
        <f>P$6*'2.1. Toimintakatennuste'!AI126</f>
        <v>-203822.88351331928</v>
      </c>
      <c r="Q135" s="43">
        <f>Q$6*'2.1. Toimintakatennuste'!AJ126</f>
        <v>-209438.28243480573</v>
      </c>
      <c r="R135" s="117"/>
      <c r="S135" s="34">
        <v>405</v>
      </c>
      <c r="T135" s="88" t="s">
        <v>449</v>
      </c>
      <c r="U135" s="41">
        <f>D135/'1. Väestöennuste'!E135*1000</f>
        <v>-5236.6380789022296</v>
      </c>
      <c r="V135" s="41">
        <f>E135/'1. Väestöennuste'!F135*1000</f>
        <v>-5339.4445054341868</v>
      </c>
      <c r="W135" s="41">
        <f>F135/'1. Väestöennuste'!G135*1000</f>
        <v>-5142.9315996653359</v>
      </c>
      <c r="X135" s="41">
        <f>G135/'1. Väestöennuste'!H135*1000</f>
        <v>-5344.1312810355021</v>
      </c>
      <c r="Y135" s="41">
        <f>H135/'1. Väestöennuste'!I135*1000</f>
        <v>-5365.0907288597618</v>
      </c>
      <c r="Z135" s="41">
        <f>I135/'1. Väestöennuste'!J135*1000</f>
        <v>-5816.8643857862426</v>
      </c>
      <c r="AA135" s="41">
        <f>J135/'1. Väestöennuste'!K135*1000</f>
        <v>-5722.3165879615608</v>
      </c>
      <c r="AB135" s="41">
        <f>K135/'1. Väestöennuste'!L135*1000</f>
        <v>-6047.2643441156233</v>
      </c>
      <c r="AC135" s="41">
        <f>L135/'1. Väestöennuste'!M135*1000</f>
        <v>-2249.7519507316269</v>
      </c>
      <c r="AD135" s="41">
        <f>M135/'1. Väestöennuste'!N135*1000</f>
        <v>-2293.0429195339339</v>
      </c>
      <c r="AE135" s="41">
        <f>N135/'1. Väestöennuste'!O135*1000</f>
        <v>-2630.052417638834</v>
      </c>
      <c r="AF135" s="41">
        <f>O135/'1. Väestöennuste'!P135*1000</f>
        <v>-2727.2660045848888</v>
      </c>
      <c r="AG135" s="41">
        <f>P135/'1. Väestöennuste'!Q135*1000</f>
        <v>-2818.9320726549927</v>
      </c>
      <c r="AH135" s="41">
        <f>Q135/'1. Väestöennuste'!R135*1000</f>
        <v>-2900.1243811679483</v>
      </c>
    </row>
    <row r="136" spans="1:34" customFormat="1" x14ac:dyDescent="0.25">
      <c r="A136" s="99">
        <v>1</v>
      </c>
      <c r="B136" s="30">
        <v>407</v>
      </c>
      <c r="C136" s="47" t="s">
        <v>450</v>
      </c>
      <c r="D136" s="65">
        <v>-14923</v>
      </c>
      <c r="E136" s="157">
        <v>-16070</v>
      </c>
      <c r="F136" s="157">
        <v>-16422</v>
      </c>
      <c r="G136" s="157">
        <v>-16097</v>
      </c>
      <c r="H136" s="43">
        <v>-16714</v>
      </c>
      <c r="I136" s="43">
        <v>-15433</v>
      </c>
      <c r="J136" s="159">
        <v>-16615.31755</v>
      </c>
      <c r="K136" s="43">
        <v>-17720.99667</v>
      </c>
      <c r="L136" s="43">
        <v>-7568.5640300000005</v>
      </c>
      <c r="M136" s="43">
        <f>'2.1. Toimintakatennuste'!AX127</f>
        <v>-7461.5641021182319</v>
      </c>
      <c r="N136" s="43">
        <f>$N$6*'2.1. Toimintakatennuste'!AG127</f>
        <v>-8385.3622448901569</v>
      </c>
      <c r="O136" s="43">
        <f>$O$6*'2.1. Toimintakatennuste'!AH127</f>
        <v>-8782.7003669713649</v>
      </c>
      <c r="P136" s="43">
        <f>P$6*'2.1. Toimintakatennuste'!AI127</f>
        <v>-9067.257730360694</v>
      </c>
      <c r="Q136" s="43">
        <f>Q$6*'2.1. Toimintakatennuste'!AJ127</f>
        <v>-9391.9565781019428</v>
      </c>
      <c r="R136" s="117"/>
      <c r="S136" s="34">
        <v>407</v>
      </c>
      <c r="T136" s="88" t="s">
        <v>450</v>
      </c>
      <c r="U136" s="41">
        <f>D136/'1. Väestöennuste'!E136*1000</f>
        <v>-5379.5962509012252</v>
      </c>
      <c r="V136" s="41">
        <f>E136/'1. Väestöennuste'!F136*1000</f>
        <v>-5867.1047827674338</v>
      </c>
      <c r="W136" s="41">
        <f>F136/'1. Väestöennuste'!G136*1000</f>
        <v>-6068.7361419068729</v>
      </c>
      <c r="X136" s="41">
        <f>G136/'1. Väestöennuste'!H136*1000</f>
        <v>-6040.150093808631</v>
      </c>
      <c r="Y136" s="41">
        <f>H136/'1. Väestöennuste'!I136*1000</f>
        <v>-6413.6607828089027</v>
      </c>
      <c r="Z136" s="41">
        <f>I136/'1. Väestöennuste'!J136*1000</f>
        <v>-5888.2106066386878</v>
      </c>
      <c r="AA136" s="41">
        <f>J136/'1. Väestöennuste'!K136*1000</f>
        <v>-6440.0455620155035</v>
      </c>
      <c r="AB136" s="41">
        <f>K136/'1. Väestöennuste'!L136*1000</f>
        <v>-7037.7270333598099</v>
      </c>
      <c r="AC136" s="41">
        <f>L136/'1. Väestöennuste'!M136*1000</f>
        <v>-3090.4712249897921</v>
      </c>
      <c r="AD136" s="41">
        <f>M136/'1. Väestöennuste'!N136*1000</f>
        <v>-2952.736091063804</v>
      </c>
      <c r="AE136" s="41">
        <f>N136/'1. Väestöennuste'!O136*1000</f>
        <v>-3343.4458711683242</v>
      </c>
      <c r="AF136" s="41">
        <f>O136/'1. Väestöennuste'!P136*1000</f>
        <v>-3525.772929334149</v>
      </c>
      <c r="AG136" s="41">
        <f>P136/'1. Väestöennuste'!Q136*1000</f>
        <v>-3665.0192927892863</v>
      </c>
      <c r="AH136" s="41">
        <f>Q136/'1. Väestöennuste'!R136*1000</f>
        <v>-3820.975011432849</v>
      </c>
    </row>
    <row r="137" spans="1:34" customFormat="1" x14ac:dyDescent="0.25">
      <c r="A137" s="99">
        <v>14</v>
      </c>
      <c r="B137" s="30">
        <v>408</v>
      </c>
      <c r="C137" s="47" t="s">
        <v>451</v>
      </c>
      <c r="D137" s="65">
        <v>-76877</v>
      </c>
      <c r="E137" s="157">
        <v>-76980</v>
      </c>
      <c r="F137" s="157">
        <v>-77117</v>
      </c>
      <c r="G137" s="157">
        <v>-79560</v>
      </c>
      <c r="H137" s="43">
        <v>-82820</v>
      </c>
      <c r="I137" s="43">
        <v>-83844</v>
      </c>
      <c r="J137" s="159">
        <v>-86757.889160000006</v>
      </c>
      <c r="K137" s="43">
        <v>-92350.514379999993</v>
      </c>
      <c r="L137" s="43">
        <v>-35516.323899999996</v>
      </c>
      <c r="M137" s="43">
        <f>'2.1. Toimintakatennuste'!AX128</f>
        <v>-37053.05526026179</v>
      </c>
      <c r="N137" s="43">
        <f>$N$6*'2.1. Toimintakatennuste'!AG128</f>
        <v>-38812.088120961751</v>
      </c>
      <c r="O137" s="43">
        <f>$O$6*'2.1. Toimintakatennuste'!AH128</f>
        <v>-39578.969366755504</v>
      </c>
      <c r="P137" s="43">
        <f>P$6*'2.1. Toimintakatennuste'!AI128</f>
        <v>-40549.181478198981</v>
      </c>
      <c r="Q137" s="43">
        <f>Q$6*'2.1. Toimintakatennuste'!AJ128</f>
        <v>-40769.126628259321</v>
      </c>
      <c r="R137" s="117"/>
      <c r="S137" s="34">
        <v>408</v>
      </c>
      <c r="T137" s="88" t="s">
        <v>451</v>
      </c>
      <c r="U137" s="41">
        <f>D137/'1. Väestöennuste'!E137*1000</f>
        <v>-5262.3040591416257</v>
      </c>
      <c r="V137" s="41">
        <f>E137/'1. Väestöennuste'!F137*1000</f>
        <v>-5281.6466552315605</v>
      </c>
      <c r="W137" s="41">
        <f>F137/'1. Väestöennuste'!G137*1000</f>
        <v>-5320.6154270732723</v>
      </c>
      <c r="X137" s="41">
        <f>G137/'1. Väestöennuste'!H137*1000</f>
        <v>-5514.6600124766064</v>
      </c>
      <c r="Y137" s="41">
        <f>H137/'1. Väestöennuste'!I137*1000</f>
        <v>-5800.532287435215</v>
      </c>
      <c r="Z137" s="41">
        <f>I137/'1. Väestöennuste'!J137*1000</f>
        <v>-5895.787919274313</v>
      </c>
      <c r="AA137" s="41">
        <f>J137/'1. Väestöennuste'!K137*1000</f>
        <v>-6108.4199929592342</v>
      </c>
      <c r="AB137" s="41">
        <f>K137/'1. Väestöennuste'!L137*1000</f>
        <v>-6550.1464203134965</v>
      </c>
      <c r="AC137" s="41">
        <f>L137/'1. Väestöennuste'!M137*1000</f>
        <v>-2532.5387835139754</v>
      </c>
      <c r="AD137" s="41">
        <f>M137/'1. Väestöennuste'!N137*1000</f>
        <v>-2669.9131906803423</v>
      </c>
      <c r="AE137" s="41">
        <f>N137/'1. Väestöennuste'!O137*1000</f>
        <v>-2815.1220802902553</v>
      </c>
      <c r="AF137" s="41">
        <f>O137/'1. Väestöennuste'!P137*1000</f>
        <v>-2888.975866186533</v>
      </c>
      <c r="AG137" s="41">
        <f>P137/'1. Väestöennuste'!Q137*1000</f>
        <v>-2979.8046353761742</v>
      </c>
      <c r="AH137" s="41">
        <f>Q137/'1. Väestöennuste'!R137*1000</f>
        <v>-3015.914087014301</v>
      </c>
    </row>
    <row r="138" spans="1:34" customFormat="1" x14ac:dyDescent="0.25">
      <c r="A138" s="99">
        <v>13</v>
      </c>
      <c r="B138" s="30">
        <v>410</v>
      </c>
      <c r="C138" s="47" t="s">
        <v>452</v>
      </c>
      <c r="D138" s="65">
        <v>-93568</v>
      </c>
      <c r="E138" s="157">
        <v>-99094</v>
      </c>
      <c r="F138" s="157">
        <v>-98256</v>
      </c>
      <c r="G138" s="157">
        <v>-102169</v>
      </c>
      <c r="H138" s="43">
        <v>-103275</v>
      </c>
      <c r="I138" s="43">
        <v>-105997</v>
      </c>
      <c r="J138" s="159">
        <v>-114186.18441</v>
      </c>
      <c r="K138" s="43">
        <v>-124455.80742</v>
      </c>
      <c r="L138" s="43">
        <v>-53797.536340000006</v>
      </c>
      <c r="M138" s="43">
        <f>'2.1. Toimintakatennuste'!AX129</f>
        <v>-54831.355936007858</v>
      </c>
      <c r="N138" s="43">
        <f>$N$6*'2.1. Toimintakatennuste'!AG129</f>
        <v>-60421.916048545041</v>
      </c>
      <c r="O138" s="43">
        <f>$O$6*'2.1. Toimintakatennuste'!AH129</f>
        <v>-61945.944548619424</v>
      </c>
      <c r="P138" s="43">
        <f>P$6*'2.1. Toimintakatennuste'!AI129</f>
        <v>-63620.491393667682</v>
      </c>
      <c r="Q138" s="43">
        <f>Q$6*'2.1. Toimintakatennuste'!AJ129</f>
        <v>-65052.33514927241</v>
      </c>
      <c r="R138" s="117"/>
      <c r="S138" s="34">
        <v>410</v>
      </c>
      <c r="T138" s="88" t="s">
        <v>452</v>
      </c>
      <c r="U138" s="41">
        <f>D138/'1. Väestöennuste'!E138*1000</f>
        <v>-4959.8727802809435</v>
      </c>
      <c r="V138" s="41">
        <f>E138/'1. Väestöennuste'!F138*1000</f>
        <v>-5223.7216657880863</v>
      </c>
      <c r="W138" s="41">
        <f>F138/'1. Väestöennuste'!G138*1000</f>
        <v>-5177.3632627252609</v>
      </c>
      <c r="X138" s="41">
        <f>G138/'1. Väestöennuste'!H138*1000</f>
        <v>-5398.0556876419923</v>
      </c>
      <c r="Y138" s="41">
        <f>H138/'1. Väestöennuste'!I138*1000</f>
        <v>-5463.4185049992066</v>
      </c>
      <c r="Z138" s="41">
        <f>I138/'1. Väestöennuste'!J138*1000</f>
        <v>-5631.2490038782344</v>
      </c>
      <c r="AA138" s="41">
        <f>J138/'1. Väestöennuste'!K138*1000</f>
        <v>-6077.6125404513523</v>
      </c>
      <c r="AB138" s="41">
        <f>K138/'1. Väestöennuste'!L138*1000</f>
        <v>-6628.8046561917445</v>
      </c>
      <c r="AC138" s="41">
        <f>L138/'1. Väestöennuste'!M138*1000</f>
        <v>-2867.3668233663793</v>
      </c>
      <c r="AD138" s="41">
        <f>M138/'1. Väestöennuste'!N138*1000</f>
        <v>-2924.8069523661311</v>
      </c>
      <c r="AE138" s="41">
        <f>N138/'1. Väestöennuste'!O138*1000</f>
        <v>-3228.8738336207471</v>
      </c>
      <c r="AF138" s="41">
        <f>O138/'1. Väestöennuste'!P138*1000</f>
        <v>-3317.2295463542587</v>
      </c>
      <c r="AG138" s="41">
        <f>P138/'1. Väestöennuste'!Q138*1000</f>
        <v>-3414.2154874781409</v>
      </c>
      <c r="AH138" s="41">
        <f>Q138/'1. Väestöennuste'!R138*1000</f>
        <v>-3499.3187277715119</v>
      </c>
    </row>
    <row r="139" spans="1:34" customFormat="1" x14ac:dyDescent="0.25">
      <c r="A139" s="99">
        <v>9</v>
      </c>
      <c r="B139" s="30">
        <v>416</v>
      </c>
      <c r="C139" s="47" t="s">
        <v>453</v>
      </c>
      <c r="D139" s="65">
        <v>-15557</v>
      </c>
      <c r="E139" s="157">
        <v>-16124</v>
      </c>
      <c r="F139" s="157">
        <v>-16547</v>
      </c>
      <c r="G139" s="157">
        <v>-17613</v>
      </c>
      <c r="H139" s="43">
        <v>-17061</v>
      </c>
      <c r="I139" s="43">
        <v>-17428</v>
      </c>
      <c r="J139" s="159">
        <v>-17701.976360000001</v>
      </c>
      <c r="K139" s="43">
        <v>-18445.911379999998</v>
      </c>
      <c r="L139" s="43">
        <v>-7003.6432500000001</v>
      </c>
      <c r="M139" s="43">
        <f>'2.1. Toimintakatennuste'!AX130</f>
        <v>-7329.5119975101979</v>
      </c>
      <c r="N139" s="43">
        <f>$N$6*'2.1. Toimintakatennuste'!AG130</f>
        <v>-9030.5700076446974</v>
      </c>
      <c r="O139" s="43">
        <f>$O$6*'2.1. Toimintakatennuste'!AH130</f>
        <v>-9359.5575553838644</v>
      </c>
      <c r="P139" s="43">
        <f>P$6*'2.1. Toimintakatennuste'!AI130</f>
        <v>-9731.365728676421</v>
      </c>
      <c r="Q139" s="43">
        <f>Q$6*'2.1. Toimintakatennuste'!AJ130</f>
        <v>-10216.301517711989</v>
      </c>
      <c r="R139" s="117"/>
      <c r="S139" s="34">
        <v>416</v>
      </c>
      <c r="T139" s="88" t="s">
        <v>453</v>
      </c>
      <c r="U139" s="41">
        <f>D139/'1. Väestöennuste'!E139*1000</f>
        <v>-5062.4796615685</v>
      </c>
      <c r="V139" s="41">
        <f>E139/'1. Väestöennuste'!F139*1000</f>
        <v>-5241.8725617685304</v>
      </c>
      <c r="W139" s="41">
        <f>F139/'1. Väestöennuste'!G139*1000</f>
        <v>-5402.2200457068229</v>
      </c>
      <c r="X139" s="41">
        <f>G139/'1. Väestöennuste'!H139*1000</f>
        <v>-5788.0381202760436</v>
      </c>
      <c r="Y139" s="41">
        <f>H139/'1. Väestöennuste'!I139*1000</f>
        <v>-5742.5109390777516</v>
      </c>
      <c r="Z139" s="41">
        <f>I139/'1. Väestöennuste'!J139*1000</f>
        <v>-5879.8920377867744</v>
      </c>
      <c r="AA139" s="41">
        <f>J139/'1. Väestöennuste'!K139*1000</f>
        <v>-6068.5554885155989</v>
      </c>
      <c r="AB139" s="41">
        <f>K139/'1. Väestöennuste'!L139*1000</f>
        <v>-6391.5146846846837</v>
      </c>
      <c r="AC139" s="41">
        <f>L139/'1. Väestöennuste'!M139*1000</f>
        <v>-2447.115041928721</v>
      </c>
      <c r="AD139" s="41">
        <f>M139/'1. Väestöennuste'!N139*1000</f>
        <v>-2541.4396662656718</v>
      </c>
      <c r="AE139" s="41">
        <f>N139/'1. Väestöennuste'!O139*1000</f>
        <v>-3150.9316146701667</v>
      </c>
      <c r="AF139" s="41">
        <f>O139/'1. Väestöennuste'!P139*1000</f>
        <v>-3288.6709611327706</v>
      </c>
      <c r="AG139" s="41">
        <f>P139/'1. Väestöennuste'!Q139*1000</f>
        <v>-3445.9510370667213</v>
      </c>
      <c r="AH139" s="41">
        <f>Q139/'1. Väestöennuste'!R139*1000</f>
        <v>-3646.0747743440361</v>
      </c>
    </row>
    <row r="140" spans="1:34" customFormat="1" x14ac:dyDescent="0.25">
      <c r="A140" s="99">
        <v>6</v>
      </c>
      <c r="B140" s="30">
        <v>418</v>
      </c>
      <c r="C140" s="47" t="s">
        <v>454</v>
      </c>
      <c r="D140" s="65">
        <v>-107892</v>
      </c>
      <c r="E140" s="157">
        <v>-105589</v>
      </c>
      <c r="F140" s="157">
        <v>-102858</v>
      </c>
      <c r="G140" s="157">
        <v>-108333</v>
      </c>
      <c r="H140" s="43">
        <v>-113149</v>
      </c>
      <c r="I140" s="43">
        <v>-121775</v>
      </c>
      <c r="J140" s="159">
        <v>-124748.58837</v>
      </c>
      <c r="K140" s="43">
        <v>-139144.92692</v>
      </c>
      <c r="L140" s="43">
        <v>-71978.013650000008</v>
      </c>
      <c r="M140" s="43">
        <f>'2.1. Toimintakatennuste'!AX131</f>
        <v>-72843.412217180929</v>
      </c>
      <c r="N140" s="43">
        <f>$N$6*'2.1. Toimintakatennuste'!AG131</f>
        <v>-80175.489228208899</v>
      </c>
      <c r="O140" s="43">
        <f>$O$6*'2.1. Toimintakatennuste'!AH131</f>
        <v>-83248.059955194723</v>
      </c>
      <c r="P140" s="43">
        <f>P$6*'2.1. Toimintakatennuste'!AI131</f>
        <v>-86062.183820444872</v>
      </c>
      <c r="Q140" s="43">
        <f>Q$6*'2.1. Toimintakatennuste'!AJ131</f>
        <v>-88643.259697434318</v>
      </c>
      <c r="R140" s="117"/>
      <c r="S140" s="34">
        <v>418</v>
      </c>
      <c r="T140" s="88" t="s">
        <v>454</v>
      </c>
      <c r="U140" s="41">
        <f>D140/'1. Väestöennuste'!E140*1000</f>
        <v>-4787.5399361022364</v>
      </c>
      <c r="V140" s="41">
        <f>E140/'1. Väestöennuste'!F140*1000</f>
        <v>-4642.2950098922838</v>
      </c>
      <c r="W140" s="41">
        <f>F140/'1. Väestöennuste'!G140*1000</f>
        <v>-4505.585001533138</v>
      </c>
      <c r="X140" s="41">
        <f>G140/'1. Väestöennuste'!H140*1000</f>
        <v>-4668.3185383090577</v>
      </c>
      <c r="Y140" s="41">
        <f>H140/'1. Väestöennuste'!I140*1000</f>
        <v>-4810.1432640394505</v>
      </c>
      <c r="Z140" s="41">
        <f>I140/'1. Väestöennuste'!J140*1000</f>
        <v>-5110.5841866711426</v>
      </c>
      <c r="AA140" s="41">
        <f>J140/'1. Väestöennuste'!K140*1000</f>
        <v>-5162.580217265353</v>
      </c>
      <c r="AB140" s="41">
        <f>K140/'1. Väestöennuste'!L140*1000</f>
        <v>-5660.9002001627341</v>
      </c>
      <c r="AC140" s="41">
        <f>L140/'1. Väestöennuste'!M140*1000</f>
        <v>-2912.7924264497597</v>
      </c>
      <c r="AD140" s="41">
        <f>M140/'1. Väestöennuste'!N140*1000</f>
        <v>-2951.1571614949935</v>
      </c>
      <c r="AE140" s="41">
        <f>N140/'1. Väestöennuste'!O140*1000</f>
        <v>-3225.599019480564</v>
      </c>
      <c r="AF140" s="41">
        <f>O140/'1. Väestöennuste'!P140*1000</f>
        <v>-3327.9256428220956</v>
      </c>
      <c r="AG140" s="41">
        <f>P140/'1. Väestöennuste'!Q140*1000</f>
        <v>-3421.003451144607</v>
      </c>
      <c r="AH140" s="41">
        <f>Q140/'1. Väestöennuste'!R140*1000</f>
        <v>-3505.2101584655115</v>
      </c>
    </row>
    <row r="141" spans="1:34" customFormat="1" x14ac:dyDescent="0.25">
      <c r="A141" s="99">
        <v>11</v>
      </c>
      <c r="B141" s="30">
        <v>420</v>
      </c>
      <c r="C141" s="47" t="s">
        <v>455</v>
      </c>
      <c r="D141" s="65">
        <v>-53293</v>
      </c>
      <c r="E141" s="157">
        <v>-55026</v>
      </c>
      <c r="F141" s="157">
        <v>-54165</v>
      </c>
      <c r="G141" s="157">
        <v>-58060</v>
      </c>
      <c r="H141" s="43">
        <v>-58802</v>
      </c>
      <c r="I141" s="43">
        <v>-58534</v>
      </c>
      <c r="J141" s="159">
        <v>-62927.39086</v>
      </c>
      <c r="K141" s="43">
        <v>-64113.903939999997</v>
      </c>
      <c r="L141" s="43">
        <v>-20752.521239999998</v>
      </c>
      <c r="M141" s="43">
        <f>'2.1. Toimintakatennuste'!AX132</f>
        <v>-22190.155849596085</v>
      </c>
      <c r="N141" s="43">
        <f>$N$6*'2.1. Toimintakatennuste'!AG132</f>
        <v>-22938.981460675346</v>
      </c>
      <c r="O141" s="43">
        <f>$O$6*'2.1. Toimintakatennuste'!AH132</f>
        <v>-23412.576272175455</v>
      </c>
      <c r="P141" s="43">
        <f>P$6*'2.1. Toimintakatennuste'!AI132</f>
        <v>-23626.043303974075</v>
      </c>
      <c r="Q141" s="43">
        <f>Q$6*'2.1. Toimintakatennuste'!AJ132</f>
        <v>-24113.646442540652</v>
      </c>
      <c r="R141" s="117"/>
      <c r="S141" s="34">
        <v>420</v>
      </c>
      <c r="T141" s="88" t="s">
        <v>455</v>
      </c>
      <c r="U141" s="41">
        <f>D141/'1. Väestöennuste'!E141*1000</f>
        <v>-5354.4659901537225</v>
      </c>
      <c r="V141" s="41">
        <f>E141/'1. Väestöennuste'!F141*1000</f>
        <v>-5577.9016725798283</v>
      </c>
      <c r="W141" s="41">
        <f>F141/'1. Väestöennuste'!G141*1000</f>
        <v>-5537.2112042527087</v>
      </c>
      <c r="X141" s="41">
        <f>G141/'1. Väestöennuste'!H141*1000</f>
        <v>-6016.5803108808286</v>
      </c>
      <c r="Y141" s="41">
        <f>H141/'1. Väestöennuste'!I141*1000</f>
        <v>-6219.8011423735989</v>
      </c>
      <c r="Z141" s="41">
        <f>I141/'1. Väestöennuste'!J141*1000</f>
        <v>-6225.6966602850453</v>
      </c>
      <c r="AA141" s="41">
        <f>J141/'1. Väestöennuste'!K141*1000</f>
        <v>-6780.9688426724142</v>
      </c>
      <c r="AB141" s="41">
        <f>K141/'1. Väestöennuste'!L141*1000</f>
        <v>-6986.3685234826198</v>
      </c>
      <c r="AC141" s="41">
        <f>L141/'1. Väestöennuste'!M141*1000</f>
        <v>-2293.3496784175045</v>
      </c>
      <c r="AD141" s="41">
        <f>M141/'1. Väestöennuste'!N141*1000</f>
        <v>-2468.8646917663646</v>
      </c>
      <c r="AE141" s="41">
        <f>N141/'1. Väestöennuste'!O141*1000</f>
        <v>-2580.0226589444774</v>
      </c>
      <c r="AF141" s="41">
        <f>O141/'1. Väestöennuste'!P141*1000</f>
        <v>-2662.0325494230196</v>
      </c>
      <c r="AG141" s="41">
        <f>P141/'1. Väestöennuste'!Q141*1000</f>
        <v>-2714.7010575633776</v>
      </c>
      <c r="AH141" s="41">
        <f>Q141/'1. Väestöennuste'!R141*1000</f>
        <v>-2800.3305588829003</v>
      </c>
    </row>
    <row r="142" spans="1:34" customFormat="1" x14ac:dyDescent="0.25">
      <c r="A142" s="99">
        <v>16</v>
      </c>
      <c r="B142" s="30">
        <v>421</v>
      </c>
      <c r="C142" s="47" t="s">
        <v>456</v>
      </c>
      <c r="D142" s="65">
        <v>-5146</v>
      </c>
      <c r="E142" s="157">
        <v>-5296</v>
      </c>
      <c r="F142" s="157">
        <v>-5387</v>
      </c>
      <c r="G142" s="157">
        <v>-5617</v>
      </c>
      <c r="H142" s="43">
        <v>-5630</v>
      </c>
      <c r="I142" s="43">
        <v>-5563</v>
      </c>
      <c r="J142" s="159">
        <v>-5954.5899200000003</v>
      </c>
      <c r="K142" s="43">
        <v>-6517.777</v>
      </c>
      <c r="L142" s="43">
        <v>-2950.38292</v>
      </c>
      <c r="M142" s="43">
        <f>'2.1. Toimintakatennuste'!AX133</f>
        <v>-2886.3379785724592</v>
      </c>
      <c r="N142" s="43">
        <f>$N$6*'2.1. Toimintakatennuste'!AG133</f>
        <v>-3263.353677855122</v>
      </c>
      <c r="O142" s="43">
        <f>$O$6*'2.1. Toimintakatennuste'!AH133</f>
        <v>-3385.0274458332865</v>
      </c>
      <c r="P142" s="43">
        <f>P$6*'2.1. Toimintakatennuste'!AI133</f>
        <v>-3505.6897803495531</v>
      </c>
      <c r="Q142" s="43">
        <f>Q$6*'2.1. Toimintakatennuste'!AJ133</f>
        <v>-3620.9893026284931</v>
      </c>
      <c r="R142" s="117"/>
      <c r="S142" s="34">
        <v>421</v>
      </c>
      <c r="T142" s="88" t="s">
        <v>456</v>
      </c>
      <c r="U142" s="41">
        <f>D142/'1. Väestöennuste'!E142*1000</f>
        <v>-6448.6215538847118</v>
      </c>
      <c r="V142" s="41">
        <f>E142/'1. Väestöennuste'!F142*1000</f>
        <v>-6530.2096177558569</v>
      </c>
      <c r="W142" s="41">
        <f>F142/'1. Väestöennuste'!G142*1000</f>
        <v>-6827.6299112801007</v>
      </c>
      <c r="X142" s="41">
        <f>G142/'1. Väestöennuste'!H142*1000</f>
        <v>-7621.4382632293082</v>
      </c>
      <c r="Y142" s="41">
        <f>H142/'1. Väestöennuste'!I142*1000</f>
        <v>-7830.3198887343533</v>
      </c>
      <c r="Z142" s="41">
        <f>I142/'1. Väestöennuste'!J142*1000</f>
        <v>-7704.986149584488</v>
      </c>
      <c r="AA142" s="41">
        <f>J142/'1. Väestöennuste'!K142*1000</f>
        <v>-8281.7662308762174</v>
      </c>
      <c r="AB142" s="41">
        <f>K142/'1. Väestöennuste'!L142*1000</f>
        <v>-9378.096402877698</v>
      </c>
      <c r="AC142" s="41">
        <f>L142/'1. Väestöennuste'!M142*1000</f>
        <v>-4326.0746627565986</v>
      </c>
      <c r="AD142" s="41">
        <f>M142/'1. Väestöennuste'!N142*1000</f>
        <v>-4257.1356616112962</v>
      </c>
      <c r="AE142" s="41">
        <f>N142/'1. Väestöennuste'!O142*1000</f>
        <v>-4877.9576649553392</v>
      </c>
      <c r="AF142" s="41">
        <f>O142/'1. Väestöennuste'!P142*1000</f>
        <v>-5128.8294633837677</v>
      </c>
      <c r="AG142" s="41">
        <f>P142/'1. Väestöennuste'!Q142*1000</f>
        <v>-5360.3819271399889</v>
      </c>
      <c r="AH142" s="41">
        <f>Q142/'1. Väestöennuste'!R142*1000</f>
        <v>-5596.5831570764967</v>
      </c>
    </row>
    <row r="143" spans="1:34" customFormat="1" x14ac:dyDescent="0.25">
      <c r="A143" s="99">
        <v>12</v>
      </c>
      <c r="B143" s="30">
        <v>422</v>
      </c>
      <c r="C143" s="47" t="s">
        <v>457</v>
      </c>
      <c r="D143" s="65">
        <v>-72600</v>
      </c>
      <c r="E143" s="157">
        <v>-74186</v>
      </c>
      <c r="F143" s="157">
        <v>-70573</v>
      </c>
      <c r="G143" s="157">
        <v>-70441</v>
      </c>
      <c r="H143" s="43">
        <v>-70868</v>
      </c>
      <c r="I143" s="43">
        <v>-71082</v>
      </c>
      <c r="J143" s="159">
        <v>-75136.714819999994</v>
      </c>
      <c r="K143" s="43">
        <v>-78999.604219999994</v>
      </c>
      <c r="L143" s="43">
        <v>-23919.743109999999</v>
      </c>
      <c r="M143" s="43">
        <f>'2.1. Toimintakatennuste'!AX134</f>
        <v>-23186.566962131965</v>
      </c>
      <c r="N143" s="43">
        <f>$N$6*'2.1. Toimintakatennuste'!AG134</f>
        <v>-27937.550588542101</v>
      </c>
      <c r="O143" s="43">
        <f>$O$6*'2.1. Toimintakatennuste'!AH134</f>
        <v>-28680.458588264879</v>
      </c>
      <c r="P143" s="43">
        <f>P$6*'2.1. Toimintakatennuste'!AI134</f>
        <v>-29460.770407838863</v>
      </c>
      <c r="Q143" s="43">
        <f>Q$6*'2.1. Toimintakatennuste'!AJ134</f>
        <v>-29882.217056304173</v>
      </c>
      <c r="R143" s="117"/>
      <c r="S143" s="34">
        <v>422</v>
      </c>
      <c r="T143" s="88" t="s">
        <v>457</v>
      </c>
      <c r="U143" s="41">
        <f>D143/'1. Väestöennuste'!E143*1000</f>
        <v>-6167.1763506625894</v>
      </c>
      <c r="V143" s="41">
        <f>E143/'1. Väestöennuste'!F143*1000</f>
        <v>-6406.3903281519861</v>
      </c>
      <c r="W143" s="41">
        <f>F143/'1. Väestöennuste'!G143*1000</f>
        <v>-6247.0567407276267</v>
      </c>
      <c r="X143" s="41">
        <f>G143/'1. Väestöennuste'!H143*1000</f>
        <v>-6347.179672012976</v>
      </c>
      <c r="Y143" s="41">
        <f>H143/'1. Väestöennuste'!I143*1000</f>
        <v>-6511.2091142962145</v>
      </c>
      <c r="Z143" s="41">
        <f>I143/'1. Väestöennuste'!J143*1000</f>
        <v>-6631.4021830394622</v>
      </c>
      <c r="AA143" s="41">
        <f>J143/'1. Väestöennuste'!K143*1000</f>
        <v>-7126.6921009200414</v>
      </c>
      <c r="AB143" s="41">
        <f>K143/'1. Väestöennuste'!L143*1000</f>
        <v>-7616.622080601619</v>
      </c>
      <c r="AC143" s="41">
        <f>L143/'1. Väestöennuste'!M143*1000</f>
        <v>-2338.6530220962063</v>
      </c>
      <c r="AD143" s="41">
        <f>M143/'1. Väestöennuste'!N143*1000</f>
        <v>-2324.2348598769008</v>
      </c>
      <c r="AE143" s="41">
        <f>N143/'1. Väestöennuste'!O143*1000</f>
        <v>-2847.574211450627</v>
      </c>
      <c r="AF143" s="41">
        <f>O143/'1. Väestöennuste'!P143*1000</f>
        <v>-2972.0682474885884</v>
      </c>
      <c r="AG143" s="41">
        <f>P143/'1. Väestöennuste'!Q143*1000</f>
        <v>-3102.7667622789745</v>
      </c>
      <c r="AH143" s="41">
        <f>Q143/'1. Väestöennuste'!R143*1000</f>
        <v>-3196.9848139835426</v>
      </c>
    </row>
    <row r="144" spans="1:34" customFormat="1" x14ac:dyDescent="0.25">
      <c r="A144" s="99">
        <v>2</v>
      </c>
      <c r="B144" s="30">
        <v>423</v>
      </c>
      <c r="C144" s="47" t="s">
        <v>458</v>
      </c>
      <c r="D144" s="65">
        <v>-87634</v>
      </c>
      <c r="E144" s="157">
        <v>-88994</v>
      </c>
      <c r="F144" s="157">
        <v>-87981</v>
      </c>
      <c r="G144" s="157">
        <v>-91593</v>
      </c>
      <c r="H144" s="43">
        <v>-94393</v>
      </c>
      <c r="I144" s="43">
        <v>-96560</v>
      </c>
      <c r="J144" s="159">
        <v>-100454.33062000001</v>
      </c>
      <c r="K144" s="43">
        <v>-105780.24562999999</v>
      </c>
      <c r="L144" s="43">
        <v>-48013.453719999998</v>
      </c>
      <c r="M144" s="43">
        <f>'2.1. Toimintakatennuste'!AX135</f>
        <v>-50262.198773693264</v>
      </c>
      <c r="N144" s="43">
        <f>$N$6*'2.1. Toimintakatennuste'!AG135</f>
        <v>-54378.283706204289</v>
      </c>
      <c r="O144" s="43">
        <f>$O$6*'2.1. Toimintakatennuste'!AH135</f>
        <v>-56542.772464340094</v>
      </c>
      <c r="P144" s="43">
        <f>P$6*'2.1. Toimintakatennuste'!AI135</f>
        <v>-58667.691031915951</v>
      </c>
      <c r="Q144" s="43">
        <f>Q$6*'2.1. Toimintakatennuste'!AJ135</f>
        <v>-60078.36696146756</v>
      </c>
      <c r="R144" s="117"/>
      <c r="S144" s="34">
        <v>423</v>
      </c>
      <c r="T144" s="88" t="s">
        <v>458</v>
      </c>
      <c r="U144" s="41">
        <f>D144/'1. Väestöennuste'!E144*1000</f>
        <v>-4549.3433006281475</v>
      </c>
      <c r="V144" s="41">
        <f>E144/'1. Väestöennuste'!F144*1000</f>
        <v>-4583.067257184056</v>
      </c>
      <c r="W144" s="41">
        <f>F144/'1. Väestöennuste'!G144*1000</f>
        <v>-4489.7428046540108</v>
      </c>
      <c r="X144" s="41">
        <f>G144/'1. Väestöennuste'!H144*1000</f>
        <v>-4618.677827643588</v>
      </c>
      <c r="Y144" s="41">
        <f>H144/'1. Väestöennuste'!I144*1000</f>
        <v>-4721.0663198959692</v>
      </c>
      <c r="Z144" s="41">
        <f>I144/'1. Väestöennuste'!J144*1000</f>
        <v>-4793.0110195572324</v>
      </c>
      <c r="AA144" s="41">
        <f>J144/'1. Väestöennuste'!K144*1000</f>
        <v>-4950.6840776699037</v>
      </c>
      <c r="AB144" s="41">
        <f>K144/'1. Väestöennuste'!L144*1000</f>
        <v>-5160.7672161779765</v>
      </c>
      <c r="AC144" s="41">
        <f>L144/'1. Väestöennuste'!M144*1000</f>
        <v>-2326.5713873140476</v>
      </c>
      <c r="AD144" s="41">
        <f>M144/'1. Väestöennuste'!N144*1000</f>
        <v>-2422.1579091944132</v>
      </c>
      <c r="AE144" s="41">
        <f>N144/'1. Väestöennuste'!O144*1000</f>
        <v>-2602.8280540974674</v>
      </c>
      <c r="AF144" s="41">
        <f>O144/'1. Väestöennuste'!P144*1000</f>
        <v>-2688.9277375090401</v>
      </c>
      <c r="AG144" s="41">
        <f>P144/'1. Väestöennuste'!Q144*1000</f>
        <v>-2772.9683335026684</v>
      </c>
      <c r="AH144" s="41">
        <f>Q144/'1. Väestöennuste'!R144*1000</f>
        <v>-2823.8950393169243</v>
      </c>
    </row>
    <row r="145" spans="1:34" customFormat="1" x14ac:dyDescent="0.25">
      <c r="A145" s="99">
        <v>17</v>
      </c>
      <c r="B145" s="30">
        <v>425</v>
      </c>
      <c r="C145" s="47" t="s">
        <v>459</v>
      </c>
      <c r="D145" s="65">
        <v>-47602</v>
      </c>
      <c r="E145" s="157">
        <v>-50650</v>
      </c>
      <c r="F145" s="157">
        <v>-50672</v>
      </c>
      <c r="G145" s="157">
        <v>-50722</v>
      </c>
      <c r="H145" s="43">
        <v>-54054</v>
      </c>
      <c r="I145" s="43">
        <v>-56726</v>
      </c>
      <c r="J145" s="159">
        <v>-59035.854289999988</v>
      </c>
      <c r="K145" s="43">
        <v>-63907.201549999998</v>
      </c>
      <c r="L145" s="43">
        <v>-38767.039640000003</v>
      </c>
      <c r="M145" s="43">
        <f>'2.1. Toimintakatennuste'!AX136</f>
        <v>-38477.908573968336</v>
      </c>
      <c r="N145" s="43">
        <f>$N$6*'2.1. Toimintakatennuste'!AG136</f>
        <v>-42164.717126025469</v>
      </c>
      <c r="O145" s="43">
        <f>$O$6*'2.1. Toimintakatennuste'!AH136</f>
        <v>-43682.886194974039</v>
      </c>
      <c r="P145" s="43">
        <f>P$6*'2.1. Toimintakatennuste'!AI136</f>
        <v>-44713.764005599784</v>
      </c>
      <c r="Q145" s="43">
        <f>Q$6*'2.1. Toimintakatennuste'!AJ136</f>
        <v>-46039.439711082887</v>
      </c>
      <c r="R145" s="117"/>
      <c r="S145" s="34">
        <v>425</v>
      </c>
      <c r="T145" s="88" t="s">
        <v>459</v>
      </c>
      <c r="U145" s="41">
        <f>D145/'1. Väestöennuste'!E145*1000</f>
        <v>-4790.3793901579957</v>
      </c>
      <c r="V145" s="41">
        <f>E145/'1. Väestöennuste'!F145*1000</f>
        <v>-5065</v>
      </c>
      <c r="W145" s="41">
        <f>F145/'1. Väestöennuste'!G145*1000</f>
        <v>-5000.6908121977704</v>
      </c>
      <c r="X145" s="41">
        <f>G145/'1. Väestöennuste'!H145*1000</f>
        <v>-4991.8315126463931</v>
      </c>
      <c r="Y145" s="41">
        <f>H145/'1. Väestöennuste'!I145*1000</f>
        <v>-5304.0918457462467</v>
      </c>
      <c r="Z145" s="41">
        <f>I145/'1. Väestöennuste'!J145*1000</f>
        <v>-5540.7306114475487</v>
      </c>
      <c r="AA145" s="41">
        <f>J145/'1. Väestöennuste'!K145*1000</f>
        <v>-5777.6330289684856</v>
      </c>
      <c r="AB145" s="41">
        <f>K145/'1. Väestöennuste'!L145*1000</f>
        <v>-6229.986503217001</v>
      </c>
      <c r="AC145" s="41">
        <f>L145/'1. Väestöennuste'!M145*1000</f>
        <v>-3779.9375624024965</v>
      </c>
      <c r="AD145" s="41">
        <f>M145/'1. Väestöennuste'!N145*1000</f>
        <v>-3687.036084128817</v>
      </c>
      <c r="AE145" s="41">
        <f>N145/'1. Väestöennuste'!O145*1000</f>
        <v>-4029.5027834504458</v>
      </c>
      <c r="AF145" s="41">
        <f>O145/'1. Väestöennuste'!P145*1000</f>
        <v>-4164.6378296285666</v>
      </c>
      <c r="AG145" s="41">
        <f>P145/'1. Väestöennuste'!Q145*1000</f>
        <v>-4253.592466286128</v>
      </c>
      <c r="AH145" s="41">
        <f>Q145/'1. Väestöennuste'!R145*1000</f>
        <v>-4372.2164967790022</v>
      </c>
    </row>
    <row r="146" spans="1:34" customFormat="1" x14ac:dyDescent="0.25">
      <c r="A146" s="99">
        <v>12</v>
      </c>
      <c r="B146" s="30">
        <v>426</v>
      </c>
      <c r="C146" s="47" t="s">
        <v>460</v>
      </c>
      <c r="D146" s="65">
        <v>-62134</v>
      </c>
      <c r="E146" s="157">
        <v>-63473</v>
      </c>
      <c r="F146" s="157">
        <v>-61541</v>
      </c>
      <c r="G146" s="157">
        <v>-62675</v>
      </c>
      <c r="H146" s="43">
        <v>-65087</v>
      </c>
      <c r="I146" s="43">
        <v>-67895</v>
      </c>
      <c r="J146" s="159">
        <v>-70944.210779999994</v>
      </c>
      <c r="K146" s="43">
        <v>-77501.329239999992</v>
      </c>
      <c r="L146" s="43">
        <v>-29982.023949999999</v>
      </c>
      <c r="M146" s="43">
        <f>'2.1. Toimintakatennuste'!AX137</f>
        <v>-29615.616432310984</v>
      </c>
      <c r="N146" s="43">
        <f>$N$6*'2.1. Toimintakatennuste'!AG137</f>
        <v>-33877.455940944237</v>
      </c>
      <c r="O146" s="43">
        <f>$O$6*'2.1. Toimintakatennuste'!AH137</f>
        <v>-34711.548529712723</v>
      </c>
      <c r="P146" s="43">
        <f>P$6*'2.1. Toimintakatennuste'!AI137</f>
        <v>-35437.969956153705</v>
      </c>
      <c r="Q146" s="43">
        <f>Q$6*'2.1. Toimintakatennuste'!AJ137</f>
        <v>-36013.657603893342</v>
      </c>
      <c r="R146" s="117"/>
      <c r="S146" s="34">
        <v>426</v>
      </c>
      <c r="T146" s="88" t="s">
        <v>460</v>
      </c>
      <c r="U146" s="41">
        <f>D146/'1. Väestöennuste'!E146*1000</f>
        <v>-5035.9863835305559</v>
      </c>
      <c r="V146" s="41">
        <f>E146/'1. Väestöennuste'!F146*1000</f>
        <v>-5159.9869929274046</v>
      </c>
      <c r="W146" s="41">
        <f>F146/'1. Väestöennuste'!G146*1000</f>
        <v>-5065.1028806584363</v>
      </c>
      <c r="X146" s="41">
        <f>G146/'1. Väestöennuste'!H146*1000</f>
        <v>-5160.5599011939075</v>
      </c>
      <c r="Y146" s="41">
        <f>H146/'1. Väestöennuste'!I146*1000</f>
        <v>-5386.2131744455473</v>
      </c>
      <c r="Z146" s="41">
        <f>I146/'1. Väestöennuste'!J146*1000</f>
        <v>-5660.7470401867604</v>
      </c>
      <c r="AA146" s="41">
        <f>J146/'1. Väestöennuste'!K146*1000</f>
        <v>-5922.3817330328066</v>
      </c>
      <c r="AB146" s="41">
        <f>K146/'1. Väestöennuste'!L146*1000</f>
        <v>-6478.9608125731475</v>
      </c>
      <c r="AC146" s="41">
        <f>L146/'1. Väestöennuste'!M146*1000</f>
        <v>-2504.9731765393935</v>
      </c>
      <c r="AD146" s="41">
        <f>M146/'1. Väestöennuste'!N146*1000</f>
        <v>-2521.3363214976148</v>
      </c>
      <c r="AE146" s="41">
        <f>N146/'1. Väestöennuste'!O146*1000</f>
        <v>-2900.4671182315274</v>
      </c>
      <c r="AF146" s="41">
        <f>O146/'1. Väestöennuste'!P146*1000</f>
        <v>-2989.0251037382868</v>
      </c>
      <c r="AG146" s="41">
        <f>P146/'1. Väestöennuste'!Q146*1000</f>
        <v>-3070.0831634890155</v>
      </c>
      <c r="AH146" s="41">
        <f>Q146/'1. Väestöennuste'!R146*1000</f>
        <v>-3140.0869826395801</v>
      </c>
    </row>
    <row r="147" spans="1:34" customFormat="1" x14ac:dyDescent="0.25">
      <c r="A147" s="99">
        <v>2</v>
      </c>
      <c r="B147" s="30">
        <v>430</v>
      </c>
      <c r="C147" s="47" t="s">
        <v>461</v>
      </c>
      <c r="D147" s="65">
        <v>-90496</v>
      </c>
      <c r="E147" s="157">
        <v>-95009</v>
      </c>
      <c r="F147" s="157">
        <v>-92476</v>
      </c>
      <c r="G147" s="157">
        <v>-94616</v>
      </c>
      <c r="H147" s="43">
        <v>-93820</v>
      </c>
      <c r="I147" s="43">
        <v>-90710</v>
      </c>
      <c r="J147" s="159">
        <v>-97466.339030000003</v>
      </c>
      <c r="K147" s="43">
        <v>-103329.18823999999</v>
      </c>
      <c r="L147" s="43">
        <v>-35595.083570000003</v>
      </c>
      <c r="M147" s="43">
        <f>'2.1. Toimintakatennuste'!AX138</f>
        <v>-34957.055169537802</v>
      </c>
      <c r="N147" s="43">
        <f>$N$6*'2.1. Toimintakatennuste'!AG138</f>
        <v>-39519.410541753401</v>
      </c>
      <c r="O147" s="43">
        <f>$O$6*'2.1. Toimintakatennuste'!AH138</f>
        <v>-40653.872139077808</v>
      </c>
      <c r="P147" s="43">
        <f>P$6*'2.1. Toimintakatennuste'!AI138</f>
        <v>-41571.026148582518</v>
      </c>
      <c r="Q147" s="43">
        <f>Q$6*'2.1. Toimintakatennuste'!AJ138</f>
        <v>-42183.590938089175</v>
      </c>
      <c r="R147" s="117"/>
      <c r="S147" s="34">
        <v>430</v>
      </c>
      <c r="T147" s="88" t="s">
        <v>461</v>
      </c>
      <c r="U147" s="41">
        <f>D147/'1. Väestöennuste'!E147*1000</f>
        <v>-5495.5972551162931</v>
      </c>
      <c r="V147" s="41">
        <f>E147/'1. Väestöennuste'!F147*1000</f>
        <v>-5840.5975287391648</v>
      </c>
      <c r="W147" s="41">
        <f>F147/'1. Väestöennuste'!G147*1000</f>
        <v>-5726.068111455108</v>
      </c>
      <c r="X147" s="41">
        <f>G147/'1. Väestöennuste'!H147*1000</f>
        <v>-5901.6966067864269</v>
      </c>
      <c r="Y147" s="41">
        <f>H147/'1. Väestöennuste'!I147*1000</f>
        <v>-5909.9212598425202</v>
      </c>
      <c r="Z147" s="41">
        <f>I147/'1. Väestöennuste'!J147*1000</f>
        <v>-5752.0608750792644</v>
      </c>
      <c r="AA147" s="41">
        <f>J147/'1. Väestöennuste'!K147*1000</f>
        <v>-6236.6482614538018</v>
      </c>
      <c r="AB147" s="41">
        <f>K147/'1. Väestöennuste'!L147*1000</f>
        <v>-6713.1749116424107</v>
      </c>
      <c r="AC147" s="41">
        <f>L147/'1. Väestöennuste'!M147*1000</f>
        <v>-2308.3711783398185</v>
      </c>
      <c r="AD147" s="41">
        <f>M147/'1. Väestöennuste'!N147*1000</f>
        <v>-2295.8790995361751</v>
      </c>
      <c r="AE147" s="41">
        <f>N147/'1. Väestöennuste'!O147*1000</f>
        <v>-2616.4863970970205</v>
      </c>
      <c r="AF147" s="41">
        <f>O147/'1. Väestöennuste'!P147*1000</f>
        <v>-2712.6090704662579</v>
      </c>
      <c r="AG147" s="41">
        <f>P147/'1. Väestöennuste'!Q147*1000</f>
        <v>-2794.8787245248432</v>
      </c>
      <c r="AH147" s="41">
        <f>Q147/'1. Väestöennuste'!R147*1000</f>
        <v>-2856.9990476186372</v>
      </c>
    </row>
    <row r="148" spans="1:34" customFormat="1" x14ac:dyDescent="0.25">
      <c r="A148" s="99">
        <v>5</v>
      </c>
      <c r="B148" s="30">
        <v>433</v>
      </c>
      <c r="C148" s="47" t="s">
        <v>462</v>
      </c>
      <c r="D148" s="65">
        <v>-40233</v>
      </c>
      <c r="E148" s="157">
        <v>-40790</v>
      </c>
      <c r="F148" s="157">
        <v>-41432</v>
      </c>
      <c r="G148" s="157">
        <v>-42033</v>
      </c>
      <c r="H148" s="43">
        <v>-42103</v>
      </c>
      <c r="I148" s="43">
        <v>-42300</v>
      </c>
      <c r="J148" s="159">
        <v>-44735.168159999994</v>
      </c>
      <c r="K148" s="43">
        <v>-50020.355060000002</v>
      </c>
      <c r="L148" s="43">
        <v>-21169.571960000001</v>
      </c>
      <c r="M148" s="43">
        <f>'2.1. Toimintakatennuste'!AX139</f>
        <v>-21361.048631441048</v>
      </c>
      <c r="N148" s="43">
        <f>$N$6*'2.1. Toimintakatennuste'!AG139</f>
        <v>-22730.054677037955</v>
      </c>
      <c r="O148" s="43">
        <f>$O$6*'2.1. Toimintakatennuste'!AH139</f>
        <v>-23001.637144719705</v>
      </c>
      <c r="P148" s="43">
        <f>P$6*'2.1. Toimintakatennuste'!AI139</f>
        <v>-23633.7003553949</v>
      </c>
      <c r="Q148" s="43">
        <f>Q$6*'2.1. Toimintakatennuste'!AJ139</f>
        <v>-24037.704235929079</v>
      </c>
      <c r="R148" s="117"/>
      <c r="S148" s="34">
        <v>433</v>
      </c>
      <c r="T148" s="88" t="s">
        <v>462</v>
      </c>
      <c r="U148" s="41">
        <f>D148/'1. Väestöennuste'!E148*1000</f>
        <v>-4921.4678899082573</v>
      </c>
      <c r="V148" s="41">
        <f>E148/'1. Väestöennuste'!F148*1000</f>
        <v>-5037.0461842430232</v>
      </c>
      <c r="W148" s="41">
        <f>F148/'1. Väestöennuste'!G148*1000</f>
        <v>-5160.9367214748381</v>
      </c>
      <c r="X148" s="41">
        <f>G148/'1. Väestöennuste'!H148*1000</f>
        <v>-5347.0296399949111</v>
      </c>
      <c r="Y148" s="41">
        <f>H148/'1. Väestöennuste'!I148*1000</f>
        <v>-5378.5130301481859</v>
      </c>
      <c r="Z148" s="41">
        <f>I148/'1. Väestöennuste'!J148*1000</f>
        <v>-5386.476505793964</v>
      </c>
      <c r="AA148" s="41">
        <f>J148/'1. Väestöennuste'!K148*1000</f>
        <v>-5736.0133555584034</v>
      </c>
      <c r="AB148" s="41">
        <f>K148/'1. Väestöennuste'!L148*1000</f>
        <v>-6455.0722751322755</v>
      </c>
      <c r="AC148" s="41">
        <f>L148/'1. Väestöennuste'!M148*1000</f>
        <v>-2752.1544409776393</v>
      </c>
      <c r="AD148" s="41">
        <f>M148/'1. Väestöennuste'!N148*1000</f>
        <v>-2793.3893855683336</v>
      </c>
      <c r="AE148" s="41">
        <f>N148/'1. Väestöennuste'!O148*1000</f>
        <v>-2989.6165562327969</v>
      </c>
      <c r="AF148" s="41">
        <f>O148/'1. Väestöennuste'!P148*1000</f>
        <v>-3043.7524341299068</v>
      </c>
      <c r="AG148" s="41">
        <f>P148/'1. Väestöennuste'!Q148*1000</f>
        <v>-3144.8703067724418</v>
      </c>
      <c r="AH148" s="41">
        <f>Q148/'1. Väestöennuste'!R148*1000</f>
        <v>-3217.4681081420263</v>
      </c>
    </row>
    <row r="149" spans="1:34" customFormat="1" x14ac:dyDescent="0.25">
      <c r="A149" s="99">
        <v>1</v>
      </c>
      <c r="B149" s="30">
        <v>434</v>
      </c>
      <c r="C149" s="47" t="s">
        <v>463</v>
      </c>
      <c r="D149" s="65">
        <v>-87230</v>
      </c>
      <c r="E149" s="157">
        <v>-85898</v>
      </c>
      <c r="F149" s="157">
        <v>-84418</v>
      </c>
      <c r="G149" s="157">
        <v>-87736</v>
      </c>
      <c r="H149" s="43">
        <v>-87627</v>
      </c>
      <c r="I149" s="43">
        <v>-86108</v>
      </c>
      <c r="J149" s="159">
        <v>-88211.90419999999</v>
      </c>
      <c r="K149" s="43">
        <v>-95006.123340000006</v>
      </c>
      <c r="L149" s="43">
        <v>-42938.769549999997</v>
      </c>
      <c r="M149" s="43">
        <f>'2.1. Toimintakatennuste'!AX140</f>
        <v>-44474.746176891102</v>
      </c>
      <c r="N149" s="43">
        <f>$N$6*'2.1. Toimintakatennuste'!AG140</f>
        <v>-47454.350222600595</v>
      </c>
      <c r="O149" s="43">
        <f>$O$6*'2.1. Toimintakatennuste'!AH140</f>
        <v>-48857.750598116952</v>
      </c>
      <c r="P149" s="43">
        <f>P$6*'2.1. Toimintakatennuste'!AI140</f>
        <v>-49936.520445040878</v>
      </c>
      <c r="Q149" s="43">
        <f>Q$6*'2.1. Toimintakatennuste'!AJ140</f>
        <v>-50942.758502930992</v>
      </c>
      <c r="R149" s="117"/>
      <c r="S149" s="34">
        <v>434</v>
      </c>
      <c r="T149" s="88" t="s">
        <v>463</v>
      </c>
      <c r="U149" s="41">
        <f>D149/'1. Väestöennuste'!E149*1000</f>
        <v>-5697.2111553784862</v>
      </c>
      <c r="V149" s="41">
        <f>E149/'1. Väestöennuste'!F149*1000</f>
        <v>-5648.2114676486062</v>
      </c>
      <c r="W149" s="41">
        <f>F149/'1. Väestöennuste'!G149*1000</f>
        <v>-5596.1551209811078</v>
      </c>
      <c r="X149" s="41">
        <f>G149/'1. Väestöennuste'!H149*1000</f>
        <v>-5891.8810019474859</v>
      </c>
      <c r="Y149" s="41">
        <f>H149/'1. Väestöennuste'!I149*1000</f>
        <v>-5931.9658813972374</v>
      </c>
      <c r="Z149" s="41">
        <f>I149/'1. Väestöennuste'!J149*1000</f>
        <v>-5839.8101051203803</v>
      </c>
      <c r="AA149" s="41">
        <f>J149/'1. Väestöennuste'!K149*1000</f>
        <v>-6024.1688315235942</v>
      </c>
      <c r="AB149" s="41">
        <f>K149/'1. Väestöennuste'!L149*1000</f>
        <v>-6521.5625576606262</v>
      </c>
      <c r="AC149" s="41">
        <f>L149/'1. Väestöennuste'!M149*1000</f>
        <v>-2969.896911744363</v>
      </c>
      <c r="AD149" s="41">
        <f>M149/'1. Väestöennuste'!N149*1000</f>
        <v>-3104.6943229941435</v>
      </c>
      <c r="AE149" s="41">
        <f>N149/'1. Väestöennuste'!O149*1000</f>
        <v>-3332.9365235707683</v>
      </c>
      <c r="AF149" s="41">
        <f>O149/'1. Väestöennuste'!P149*1000</f>
        <v>-3452.1126685591007</v>
      </c>
      <c r="AG149" s="41">
        <f>P149/'1. Väestöennuste'!Q149*1000</f>
        <v>-3547.131726455525</v>
      </c>
      <c r="AH149" s="41">
        <f>Q149/'1. Väestöennuste'!R149*1000</f>
        <v>-3636.6903557203732</v>
      </c>
    </row>
    <row r="150" spans="1:34" customFormat="1" x14ac:dyDescent="0.25">
      <c r="A150" s="99">
        <v>13</v>
      </c>
      <c r="B150" s="30">
        <v>435</v>
      </c>
      <c r="C150" s="47" t="s">
        <v>464</v>
      </c>
      <c r="D150" s="65">
        <v>-4644</v>
      </c>
      <c r="E150" s="157">
        <v>-5196</v>
      </c>
      <c r="F150" s="157">
        <v>-4954</v>
      </c>
      <c r="G150" s="157">
        <v>-4960</v>
      </c>
      <c r="H150" s="43">
        <v>-5400</v>
      </c>
      <c r="I150" s="43">
        <v>-4732</v>
      </c>
      <c r="J150" s="159">
        <v>-5237.0681599999998</v>
      </c>
      <c r="K150" s="43">
        <v>-5423.5671500000008</v>
      </c>
      <c r="L150" s="43">
        <v>-2551.8312700000001</v>
      </c>
      <c r="M150" s="43">
        <f>'2.1. Toimintakatennuste'!AX141</f>
        <v>-2552.9986287223664</v>
      </c>
      <c r="N150" s="43">
        <f>$N$6*'2.1. Toimintakatennuste'!AG141</f>
        <v>-2819.7400665505647</v>
      </c>
      <c r="O150" s="43">
        <f>$O$6*'2.1. Toimintakatennuste'!AH141</f>
        <v>-2942.0127698470337</v>
      </c>
      <c r="P150" s="43">
        <f>P$6*'2.1. Toimintakatennuste'!AI141</f>
        <v>-3049.4892052542737</v>
      </c>
      <c r="Q150" s="43">
        <f>Q$6*'2.1. Toimintakatennuste'!AJ141</f>
        <v>-3161.3938140116902</v>
      </c>
      <c r="R150" s="117"/>
      <c r="S150" s="34">
        <v>435</v>
      </c>
      <c r="T150" s="88" t="s">
        <v>464</v>
      </c>
      <c r="U150" s="41">
        <f>D150/'1. Väestöennuste'!E150*1000</f>
        <v>-6102.4967148488831</v>
      </c>
      <c r="V150" s="41">
        <f>E150/'1. Väestöennuste'!F150*1000</f>
        <v>-6873.0158730158728</v>
      </c>
      <c r="W150" s="41">
        <f>F150/'1. Väestöennuste'!G150*1000</f>
        <v>-6749.3188010899185</v>
      </c>
      <c r="X150" s="41">
        <f>G150/'1. Väestöennuste'!H150*1000</f>
        <v>-7015.5586987270153</v>
      </c>
      <c r="Y150" s="41">
        <f>H150/'1. Väestöennuste'!I150*1000</f>
        <v>-7826.086956521739</v>
      </c>
      <c r="Z150" s="41">
        <f>I150/'1. Väestöennuste'!J150*1000</f>
        <v>-6769.6709585121598</v>
      </c>
      <c r="AA150" s="41">
        <f>J150/'1. Väestöennuste'!K150*1000</f>
        <v>-7449.5990896159319</v>
      </c>
      <c r="AB150" s="41">
        <f>K150/'1. Väestöennuste'!L150*1000</f>
        <v>-7837.5247832369951</v>
      </c>
      <c r="AC150" s="41">
        <f>L150/'1. Väestöennuste'!M150*1000</f>
        <v>-3635.0872792022797</v>
      </c>
      <c r="AD150" s="41">
        <f>M150/'1. Väestöennuste'!N150*1000</f>
        <v>-3716.1552092028624</v>
      </c>
      <c r="AE150" s="41">
        <f>N150/'1. Väestöennuste'!O150*1000</f>
        <v>-4128.4627621530963</v>
      </c>
      <c r="AF150" s="41">
        <f>O150/'1. Väestöennuste'!P150*1000</f>
        <v>-4307.4857538023916</v>
      </c>
      <c r="AG150" s="41">
        <f>P150/'1. Väestöennuste'!Q150*1000</f>
        <v>-4484.542948903344</v>
      </c>
      <c r="AH150" s="41">
        <f>Q150/'1. Väestöennuste'!R150*1000</f>
        <v>-4655.9555434634613</v>
      </c>
    </row>
    <row r="151" spans="1:34" customFormat="1" x14ac:dyDescent="0.25">
      <c r="A151" s="99">
        <v>17</v>
      </c>
      <c r="B151" s="30">
        <v>436</v>
      </c>
      <c r="C151" s="47" t="s">
        <v>465</v>
      </c>
      <c r="D151" s="65">
        <v>-10899</v>
      </c>
      <c r="E151" s="157">
        <v>-11014</v>
      </c>
      <c r="F151" s="157">
        <v>-11538</v>
      </c>
      <c r="G151" s="157">
        <v>-10813</v>
      </c>
      <c r="H151" s="43">
        <v>-11145</v>
      </c>
      <c r="I151" s="43">
        <v>-11296</v>
      </c>
      <c r="J151" s="159">
        <v>-11810.925370000001</v>
      </c>
      <c r="K151" s="43">
        <v>-13601.508330000001</v>
      </c>
      <c r="L151" s="43">
        <v>-6559.6830199999995</v>
      </c>
      <c r="M151" s="43">
        <f>'2.1. Toimintakatennuste'!AX142</f>
        <v>-6398.9896533305609</v>
      </c>
      <c r="N151" s="43">
        <f>$N$6*'2.1. Toimintakatennuste'!AG142</f>
        <v>-7433.9749158289042</v>
      </c>
      <c r="O151" s="43">
        <f>$O$6*'2.1. Toimintakatennuste'!AH142</f>
        <v>-7762.3674243832593</v>
      </c>
      <c r="P151" s="43">
        <f>P$6*'2.1. Toimintakatennuste'!AI142</f>
        <v>-8008.6484416833291</v>
      </c>
      <c r="Q151" s="43">
        <f>Q$6*'2.1. Toimintakatennuste'!AJ142</f>
        <v>-8357.4572137011037</v>
      </c>
      <c r="R151" s="117"/>
      <c r="S151" s="34">
        <v>436</v>
      </c>
      <c r="T151" s="88" t="s">
        <v>465</v>
      </c>
      <c r="U151" s="41">
        <f>D151/'1. Väestöennuste'!E151*1000</f>
        <v>-5250</v>
      </c>
      <c r="V151" s="41">
        <f>E151/'1. Väestöennuste'!F151*1000</f>
        <v>-5232.3040380047505</v>
      </c>
      <c r="W151" s="41">
        <f>F151/'1. Väestöennuste'!G151*1000</f>
        <v>-5544.4497837578092</v>
      </c>
      <c r="X151" s="41">
        <f>G151/'1. Väestöennuste'!H151*1000</f>
        <v>-5269.4931773879143</v>
      </c>
      <c r="Y151" s="41">
        <f>H151/'1. Väestöennuste'!I151*1000</f>
        <v>-5517.3267326732675</v>
      </c>
      <c r="Z151" s="41">
        <f>I151/'1. Väestöennuste'!J151*1000</f>
        <v>-5548.1335952848722</v>
      </c>
      <c r="AA151" s="41">
        <f>J151/'1. Väestöennuste'!K151*1000</f>
        <v>-5852.7875966303272</v>
      </c>
      <c r="AB151" s="41">
        <f>K151/'1. Väestöennuste'!L151*1000</f>
        <v>-6841.8049949698188</v>
      </c>
      <c r="AC151" s="41">
        <f>L151/'1. Väestöennuste'!M151*1000</f>
        <v>-3226.6025676340382</v>
      </c>
      <c r="AD151" s="41">
        <f>M151/'1. Väestöennuste'!N151*1000</f>
        <v>-3170.9562206791684</v>
      </c>
      <c r="AE151" s="41">
        <f>N151/'1. Väestöennuste'!O151*1000</f>
        <v>-3700.3359461567466</v>
      </c>
      <c r="AF151" s="41">
        <f>O151/'1. Väestöennuste'!P151*1000</f>
        <v>-3873.4368385146004</v>
      </c>
      <c r="AG151" s="41">
        <f>P151/'1. Väestöennuste'!Q151*1000</f>
        <v>-4010.3397304373207</v>
      </c>
      <c r="AH151" s="41">
        <f>Q151/'1. Väestöennuste'!R151*1000</f>
        <v>-4195.5106494483452</v>
      </c>
    </row>
    <row r="152" spans="1:34" customFormat="1" x14ac:dyDescent="0.25">
      <c r="A152" s="99">
        <v>15</v>
      </c>
      <c r="B152" s="30">
        <v>440</v>
      </c>
      <c r="C152" s="47" t="s">
        <v>466</v>
      </c>
      <c r="D152" s="65">
        <v>-24858</v>
      </c>
      <c r="E152" s="157">
        <v>-25875</v>
      </c>
      <c r="F152" s="157">
        <v>-26127</v>
      </c>
      <c r="G152" s="157">
        <v>-26825</v>
      </c>
      <c r="H152" s="43">
        <v>-28606</v>
      </c>
      <c r="I152" s="43">
        <v>-29308</v>
      </c>
      <c r="J152" s="159">
        <v>-31145.660419999993</v>
      </c>
      <c r="K152" s="43">
        <v>-33921.46256</v>
      </c>
      <c r="L152" s="43">
        <v>-18228.76182</v>
      </c>
      <c r="M152" s="43">
        <f>'2.1. Toimintakatennuste'!AX143</f>
        <v>-19351.911303326473</v>
      </c>
      <c r="N152" s="43">
        <f>$N$6*'2.1. Toimintakatennuste'!AG143</f>
        <v>-20335.291032435958</v>
      </c>
      <c r="O152" s="43">
        <f>$O$6*'2.1. Toimintakatennuste'!AH143</f>
        <v>-21479.526189482287</v>
      </c>
      <c r="P152" s="43">
        <f>P$6*'2.1. Toimintakatennuste'!AI143</f>
        <v>-22548.391334179498</v>
      </c>
      <c r="Q152" s="43">
        <f>Q$6*'2.1. Toimintakatennuste'!AJ143</f>
        <v>-23377.948380626673</v>
      </c>
      <c r="R152" s="117"/>
      <c r="S152" s="34">
        <v>440</v>
      </c>
      <c r="T152" s="88" t="s">
        <v>466</v>
      </c>
      <c r="U152" s="41">
        <f>D152/'1. Väestöennuste'!E152*1000</f>
        <v>-4829.6094812512147</v>
      </c>
      <c r="V152" s="41">
        <f>E152/'1. Väestöennuste'!F152*1000</f>
        <v>-4999.0340030911902</v>
      </c>
      <c r="W152" s="41">
        <f>F152/'1. Väestöennuste'!G152*1000</f>
        <v>-4963.3358662613982</v>
      </c>
      <c r="X152" s="41">
        <f>G152/'1. Väestöennuste'!H152*1000</f>
        <v>-5023.408239700374</v>
      </c>
      <c r="Y152" s="41">
        <f>H152/'1. Väestöennuste'!I152*1000</f>
        <v>-5280.7827210633195</v>
      </c>
      <c r="Z152" s="41">
        <f>I152/'1. Väestöennuste'!J152*1000</f>
        <v>-5295.9884351282981</v>
      </c>
      <c r="AA152" s="41">
        <f>J152/'1. Väestöennuste'!K152*1000</f>
        <v>-5539.960942725008</v>
      </c>
      <c r="AB152" s="41">
        <f>K152/'1. Väestöennuste'!L152*1000</f>
        <v>-5917.9104256803903</v>
      </c>
      <c r="AC152" s="41">
        <f>L152/'1. Väestöennuste'!M152*1000</f>
        <v>-3119.7607085401337</v>
      </c>
      <c r="AD152" s="41">
        <f>M152/'1. Väestöennuste'!N152*1000</f>
        <v>-3299.5586194930047</v>
      </c>
      <c r="AE152" s="41">
        <f>N152/'1. Väestöennuste'!O152*1000</f>
        <v>-3425.1795574256289</v>
      </c>
      <c r="AF152" s="41">
        <f>O152/'1. Väestöennuste'!P152*1000</f>
        <v>-3575.749324035673</v>
      </c>
      <c r="AG152" s="41">
        <f>P152/'1. Väestöennuste'!Q152*1000</f>
        <v>-3711.6693554204935</v>
      </c>
      <c r="AH152" s="41">
        <f>Q152/'1. Väestöennuste'!R152*1000</f>
        <v>-3808.1036619362558</v>
      </c>
    </row>
    <row r="153" spans="1:34" customFormat="1" x14ac:dyDescent="0.25">
      <c r="A153" s="99">
        <v>9</v>
      </c>
      <c r="B153" s="30">
        <v>441</v>
      </c>
      <c r="C153" s="47" t="s">
        <v>467</v>
      </c>
      <c r="D153" s="65">
        <v>-28266</v>
      </c>
      <c r="E153" s="157">
        <v>-28904</v>
      </c>
      <c r="F153" s="157">
        <v>-27468</v>
      </c>
      <c r="G153" s="157">
        <v>-29086</v>
      </c>
      <c r="H153" s="43">
        <v>-29429</v>
      </c>
      <c r="I153" s="43">
        <v>-30506</v>
      </c>
      <c r="J153" s="159">
        <v>-30522.329249999999</v>
      </c>
      <c r="K153" s="43">
        <v>-32929.409420000004</v>
      </c>
      <c r="L153" s="43">
        <v>-10564.022000000001</v>
      </c>
      <c r="M153" s="43">
        <f>'2.1. Toimintakatennuste'!AX144</f>
        <v>-11263.885907605982</v>
      </c>
      <c r="N153" s="43">
        <f>$N$6*'2.1. Toimintakatennuste'!AG144</f>
        <v>-12250.227726917969</v>
      </c>
      <c r="O153" s="43">
        <f>$O$6*'2.1. Toimintakatennuste'!AH144</f>
        <v>-12661.456941282564</v>
      </c>
      <c r="P153" s="43">
        <f>P$6*'2.1. Toimintakatennuste'!AI144</f>
        <v>-13147.401537990791</v>
      </c>
      <c r="Q153" s="43">
        <f>Q$6*'2.1. Toimintakatennuste'!AJ144</f>
        <v>-13484.17536104907</v>
      </c>
      <c r="R153" s="117"/>
      <c r="S153" s="34">
        <v>441</v>
      </c>
      <c r="T153" s="88" t="s">
        <v>467</v>
      </c>
      <c r="U153" s="41">
        <f>D153/'1. Väestöennuste'!E153*1000</f>
        <v>-5816.0493827160499</v>
      </c>
      <c r="V153" s="41">
        <f>E153/'1. Väestöennuste'!F153*1000</f>
        <v>-5983.0262885530947</v>
      </c>
      <c r="W153" s="41">
        <f>F153/'1. Väestöennuste'!G153*1000</f>
        <v>-5786.3914050979574</v>
      </c>
      <c r="X153" s="41">
        <f>G153/'1. Väestöennuste'!H153*1000</f>
        <v>-6238.9532389532387</v>
      </c>
      <c r="Y153" s="41">
        <f>H153/'1. Väestöennuste'!I153*1000</f>
        <v>-6347.9292493528901</v>
      </c>
      <c r="Z153" s="41">
        <f>I153/'1. Väestöennuste'!J153*1000</f>
        <v>-6714.9460708782744</v>
      </c>
      <c r="AA153" s="41">
        <f>J153/'1. Väestöennuste'!K153*1000</f>
        <v>-6823.6819248826287</v>
      </c>
      <c r="AB153" s="41">
        <f>K153/'1. Väestöennuste'!L153*1000</f>
        <v>-7448.4074688984401</v>
      </c>
      <c r="AC153" s="41">
        <f>L153/'1. Väestöennuste'!M153*1000</f>
        <v>-2403.0987261146497</v>
      </c>
      <c r="AD153" s="41">
        <f>M153/'1. Väestöennuste'!N153*1000</f>
        <v>-2621.9473714166625</v>
      </c>
      <c r="AE153" s="41">
        <f>N153/'1. Väestöennuste'!O153*1000</f>
        <v>-2885.8015846685435</v>
      </c>
      <c r="AF153" s="41">
        <f>O153/'1. Väestöennuste'!P153*1000</f>
        <v>-3016.0688283188579</v>
      </c>
      <c r="AG153" s="41">
        <f>P153/'1. Väestöennuste'!Q153*1000</f>
        <v>-3168.0485633712747</v>
      </c>
      <c r="AH153" s="41">
        <f>Q153/'1. Väestöennuste'!R153*1000</f>
        <v>-3286.4185622834684</v>
      </c>
    </row>
    <row r="154" spans="1:34" customFormat="1" x14ac:dyDescent="0.25">
      <c r="A154" s="99">
        <v>1</v>
      </c>
      <c r="B154" s="30">
        <v>444</v>
      </c>
      <c r="C154" s="47" t="s">
        <v>468</v>
      </c>
      <c r="D154" s="65">
        <v>-240433</v>
      </c>
      <c r="E154" s="157">
        <v>-241348</v>
      </c>
      <c r="F154" s="157">
        <v>-243116</v>
      </c>
      <c r="G154" s="157">
        <v>-251239</v>
      </c>
      <c r="H154" s="43">
        <v>-251198</v>
      </c>
      <c r="I154" s="43">
        <v>-252640</v>
      </c>
      <c r="J154" s="159">
        <v>-254045.58765000003</v>
      </c>
      <c r="K154" s="43">
        <v>-275940.53848000005</v>
      </c>
      <c r="L154" s="43">
        <v>-113468.15648999999</v>
      </c>
      <c r="M154" s="43">
        <f>'2.1. Toimintakatennuste'!AX145</f>
        <v>-115626.64450469718</v>
      </c>
      <c r="N154" s="43">
        <f>$N$6*'2.1. Toimintakatennuste'!AG145</f>
        <v>-124937.79734681307</v>
      </c>
      <c r="O154" s="43">
        <f>$O$6*'2.1. Toimintakatennuste'!AH145</f>
        <v>-128277.45036745892</v>
      </c>
      <c r="P154" s="43">
        <f>P$6*'2.1. Toimintakatennuste'!AI145</f>
        <v>-130838.26206556734</v>
      </c>
      <c r="Q154" s="43">
        <f>Q$6*'2.1. Toimintakatennuste'!AJ145</f>
        <v>-132769.85651823293</v>
      </c>
      <c r="R154" s="117"/>
      <c r="S154" s="34">
        <v>444</v>
      </c>
      <c r="T154" s="88" t="s">
        <v>468</v>
      </c>
      <c r="U154" s="41">
        <f>D154/'1. Väestöennuste'!E154*1000</f>
        <v>-5077.4607733406538</v>
      </c>
      <c r="V154" s="41">
        <f>E154/'1. Väestöennuste'!F154*1000</f>
        <v>-5118.8360304566368</v>
      </c>
      <c r="W154" s="41">
        <f>F154/'1. Väestöennuste'!G154*1000</f>
        <v>-5196.4518542267824</v>
      </c>
      <c r="X154" s="41">
        <f>G154/'1. Väestöennuste'!H154*1000</f>
        <v>-5426.7971315016412</v>
      </c>
      <c r="Y154" s="41">
        <f>H154/'1. Väestöennuste'!I154*1000</f>
        <v>-5464.9842271293383</v>
      </c>
      <c r="Z154" s="41">
        <f>I154/'1. Väestöennuste'!J154*1000</f>
        <v>-5505.8187682517546</v>
      </c>
      <c r="AA154" s="41">
        <f>J154/'1. Väestöennuste'!K154*1000</f>
        <v>-5524.1712544576849</v>
      </c>
      <c r="AB154" s="41">
        <f>K154/'1. Väestöennuste'!L154*1000</f>
        <v>-6023.4559053502444</v>
      </c>
      <c r="AC154" s="41">
        <f>L154/'1. Väestöennuste'!M154*1000</f>
        <v>-2485.8835905356555</v>
      </c>
      <c r="AD154" s="41">
        <f>M154/'1. Väestöennuste'!N154*1000</f>
        <v>-2575.3757379044741</v>
      </c>
      <c r="AE154" s="41">
        <f>N154/'1. Väestöennuste'!O154*1000</f>
        <v>-2796.9687556652948</v>
      </c>
      <c r="AF154" s="41">
        <f>O154/'1. Väestöennuste'!P154*1000</f>
        <v>-2885.8169752639742</v>
      </c>
      <c r="AG154" s="41">
        <f>P154/'1. Väestöennuste'!Q154*1000</f>
        <v>-2957.2646987222233</v>
      </c>
      <c r="AH154" s="41">
        <f>Q154/'1. Väestöennuste'!R154*1000</f>
        <v>-3014.2769432250307</v>
      </c>
    </row>
    <row r="155" spans="1:34" customFormat="1" x14ac:dyDescent="0.25">
      <c r="A155" s="99">
        <v>2</v>
      </c>
      <c r="B155" s="30">
        <v>445</v>
      </c>
      <c r="C155" s="47" t="s">
        <v>469</v>
      </c>
      <c r="D155" s="65">
        <v>-87862</v>
      </c>
      <c r="E155" s="157">
        <v>-90079</v>
      </c>
      <c r="F155" s="157">
        <v>-90695</v>
      </c>
      <c r="G155" s="157">
        <v>-90559</v>
      </c>
      <c r="H155" s="43">
        <v>-95444</v>
      </c>
      <c r="I155" s="43">
        <v>-97033</v>
      </c>
      <c r="J155" s="159">
        <v>-97647.007389999999</v>
      </c>
      <c r="K155" s="43">
        <v>-106059.51340000001</v>
      </c>
      <c r="L155" s="43">
        <v>-44218.546860000002</v>
      </c>
      <c r="M155" s="43">
        <f>'2.1. Toimintakatennuste'!AX146</f>
        <v>-44911.626090891892</v>
      </c>
      <c r="N155" s="43">
        <f>$N$6*'2.1. Toimintakatennuste'!AG146</f>
        <v>-47899.861676225875</v>
      </c>
      <c r="O155" s="43">
        <f>$O$6*'2.1. Toimintakatennuste'!AH146</f>
        <v>-48854.015318562117</v>
      </c>
      <c r="P155" s="43">
        <f>P$6*'2.1. Toimintakatennuste'!AI146</f>
        <v>-49817.311684913511</v>
      </c>
      <c r="Q155" s="43">
        <f>Q$6*'2.1. Toimintakatennuste'!AJ146</f>
        <v>-50725.735537330547</v>
      </c>
      <c r="R155" s="117"/>
      <c r="S155" s="34">
        <v>445</v>
      </c>
      <c r="T155" s="88" t="s">
        <v>469</v>
      </c>
      <c r="U155" s="41">
        <f>D155/'1. Väestöennuste'!E155*1000</f>
        <v>-5684.2854370188261</v>
      </c>
      <c r="V155" s="41">
        <f>E155/'1. Väestöennuste'!F155*1000</f>
        <v>-5850.0454604494089</v>
      </c>
      <c r="W155" s="41">
        <f>F155/'1. Väestöennuste'!G155*1000</f>
        <v>-5933.5950278050377</v>
      </c>
      <c r="X155" s="41">
        <f>G155/'1. Väestöennuste'!H155*1000</f>
        <v>-5951.1730301636335</v>
      </c>
      <c r="Y155" s="41">
        <f>H155/'1. Väestöennuste'!I155*1000</f>
        <v>-6307.4279672217817</v>
      </c>
      <c r="Z155" s="41">
        <f>I155/'1. Väestöennuste'!J155*1000</f>
        <v>-6423.8993710691821</v>
      </c>
      <c r="AA155" s="41">
        <f>J155/'1. Väestöennuste'!K155*1000</f>
        <v>-6472.6904010340713</v>
      </c>
      <c r="AB155" s="41">
        <f>K155/'1. Väestöennuste'!L155*1000</f>
        <v>-7074.8791541591627</v>
      </c>
      <c r="AC155" s="41">
        <f>L155/'1. Väestöennuste'!M155*1000</f>
        <v>-2948.0996639775985</v>
      </c>
      <c r="AD155" s="41">
        <f>M155/'1. Väestöennuste'!N155*1000</f>
        <v>-3033.3395981961294</v>
      </c>
      <c r="AE155" s="41">
        <f>N155/'1. Väestöennuste'!O155*1000</f>
        <v>-3249.4309528679109</v>
      </c>
      <c r="AF155" s="41">
        <f>O155/'1. Väestöennuste'!P155*1000</f>
        <v>-3328.1569124982707</v>
      </c>
      <c r="AG155" s="41">
        <f>P155/'1. Väestöennuste'!Q155*1000</f>
        <v>-3407.2438058213193</v>
      </c>
      <c r="AH155" s="41">
        <f>Q155/'1. Väestöennuste'!R155*1000</f>
        <v>-3483.1927169766218</v>
      </c>
    </row>
    <row r="156" spans="1:34" customFormat="1" x14ac:dyDescent="0.25">
      <c r="A156" s="99">
        <v>15</v>
      </c>
      <c r="B156" s="30">
        <v>475</v>
      </c>
      <c r="C156" s="47" t="s">
        <v>470</v>
      </c>
      <c r="D156" s="65">
        <v>-33569</v>
      </c>
      <c r="E156" s="157">
        <v>-33606</v>
      </c>
      <c r="F156" s="157">
        <v>-33471</v>
      </c>
      <c r="G156" s="157">
        <v>-33840</v>
      </c>
      <c r="H156" s="43">
        <v>-35506</v>
      </c>
      <c r="I156" s="43">
        <v>-34197</v>
      </c>
      <c r="J156" s="159">
        <v>-37252.314370000007</v>
      </c>
      <c r="K156" s="43">
        <v>-40335.66143</v>
      </c>
      <c r="L156" s="43">
        <v>-15071.788550000001</v>
      </c>
      <c r="M156" s="43">
        <f>'2.1. Toimintakatennuste'!AX147</f>
        <v>-15530.052785070802</v>
      </c>
      <c r="N156" s="43">
        <f>$N$6*'2.1. Toimintakatennuste'!AG147</f>
        <v>-16379.903724940041</v>
      </c>
      <c r="O156" s="43">
        <f>$O$6*'2.1. Toimintakatennuste'!AH147</f>
        <v>-16746.323921752581</v>
      </c>
      <c r="P156" s="43">
        <f>P$6*'2.1. Toimintakatennuste'!AI147</f>
        <v>-17423.735203380304</v>
      </c>
      <c r="Q156" s="43">
        <f>Q$6*'2.1. Toimintakatennuste'!AJ147</f>
        <v>-17902.221506303675</v>
      </c>
      <c r="R156" s="117"/>
      <c r="S156" s="34">
        <v>475</v>
      </c>
      <c r="T156" s="88" t="s">
        <v>470</v>
      </c>
      <c r="U156" s="41">
        <f>D156/'1. Väestöennuste'!E156*1000</f>
        <v>-6053.9224526600547</v>
      </c>
      <c r="V156" s="41">
        <f>E156/'1. Väestöennuste'!F156*1000</f>
        <v>-6091.3539967373572</v>
      </c>
      <c r="W156" s="41">
        <f>F156/'1. Väestöennuste'!G156*1000</f>
        <v>-6111.1922585356951</v>
      </c>
      <c r="X156" s="41">
        <f>G156/'1. Väestöennuste'!H156*1000</f>
        <v>-6178.5649077962389</v>
      </c>
      <c r="Y156" s="41">
        <f>H156/'1. Väestöennuste'!I156*1000</f>
        <v>-6485.1141552511417</v>
      </c>
      <c r="Z156" s="41">
        <f>I156/'1. Väestöennuste'!J156*1000</f>
        <v>-6273.5277930654929</v>
      </c>
      <c r="AA156" s="41">
        <f>J156/'1. Väestöennuste'!K156*1000</f>
        <v>-6789.1952560597792</v>
      </c>
      <c r="AB156" s="41">
        <f>K156/'1. Väestöennuste'!L156*1000</f>
        <v>-7361.8655648841032</v>
      </c>
      <c r="AC156" s="41">
        <f>L156/'1. Väestöennuste'!M156*1000</f>
        <v>-2762.4245876099708</v>
      </c>
      <c r="AD156" s="41">
        <f>M156/'1. Väestöennuste'!N156*1000</f>
        <v>-2875.9357009390378</v>
      </c>
      <c r="AE156" s="41">
        <f>N156/'1. Väestöennuste'!O156*1000</f>
        <v>-3040.0712184372755</v>
      </c>
      <c r="AF156" s="41">
        <f>O156/'1. Väestöennuste'!P156*1000</f>
        <v>-3115.0156104450484</v>
      </c>
      <c r="AG156" s="41">
        <f>P156/'1. Väestöennuste'!Q156*1000</f>
        <v>-3249.4843721335892</v>
      </c>
      <c r="AH156" s="41">
        <f>Q156/'1. Väestöennuste'!R156*1000</f>
        <v>-3351.848250571742</v>
      </c>
    </row>
    <row r="157" spans="1:34" customFormat="1" x14ac:dyDescent="0.25">
      <c r="A157" s="99">
        <v>2</v>
      </c>
      <c r="B157" s="30">
        <v>480</v>
      </c>
      <c r="C157" s="47" t="s">
        <v>471</v>
      </c>
      <c r="D157" s="65">
        <v>-10518</v>
      </c>
      <c r="E157" s="157">
        <v>-10225</v>
      </c>
      <c r="F157" s="157">
        <v>-10554</v>
      </c>
      <c r="G157" s="157">
        <v>-10332</v>
      </c>
      <c r="H157" s="43">
        <v>-10814</v>
      </c>
      <c r="I157" s="43">
        <v>-10625</v>
      </c>
      <c r="J157" s="159">
        <v>-11427.757669999999</v>
      </c>
      <c r="K157" s="43">
        <v>-12196.118210000001</v>
      </c>
      <c r="L157" s="43">
        <v>-4840.9631100000006</v>
      </c>
      <c r="M157" s="43">
        <f>'2.1. Toimintakatennuste'!AX148</f>
        <v>-5162.6222247238557</v>
      </c>
      <c r="N157" s="43">
        <f>$N$6*'2.1. Toimintakatennuste'!AG148</f>
        <v>-5590.0169504372043</v>
      </c>
      <c r="O157" s="43">
        <f>$O$6*'2.1. Toimintakatennuste'!AH148</f>
        <v>-5882.8624354904132</v>
      </c>
      <c r="P157" s="43">
        <f>P$6*'2.1. Toimintakatennuste'!AI148</f>
        <v>-6063.9627821972072</v>
      </c>
      <c r="Q157" s="43">
        <f>Q$6*'2.1. Toimintakatennuste'!AJ148</f>
        <v>-6210.410748651736</v>
      </c>
      <c r="R157" s="117"/>
      <c r="S157" s="34">
        <v>480</v>
      </c>
      <c r="T157" s="88" t="s">
        <v>471</v>
      </c>
      <c r="U157" s="41">
        <f>D157/'1. Väestöennuste'!E157*1000</f>
        <v>-5186.3905325443784</v>
      </c>
      <c r="V157" s="41">
        <f>E157/'1. Väestöennuste'!F157*1000</f>
        <v>-5059.376546264225</v>
      </c>
      <c r="W157" s="41">
        <f>F157/'1. Väestöennuste'!G157*1000</f>
        <v>-5308.8531187122735</v>
      </c>
      <c r="X157" s="41">
        <f>G157/'1. Väestöennuste'!H157*1000</f>
        <v>-5119.9207135777997</v>
      </c>
      <c r="Y157" s="41">
        <f>H157/'1. Väestöennuste'!I157*1000</f>
        <v>-5372.0814704421255</v>
      </c>
      <c r="Z157" s="41">
        <f>I157/'1. Väestöennuste'!J157*1000</f>
        <v>-5315.1575787893944</v>
      </c>
      <c r="AA157" s="41">
        <f>J157/'1. Väestöennuste'!K157*1000</f>
        <v>-5742.5917939698493</v>
      </c>
      <c r="AB157" s="41">
        <f>K157/'1. Väestöennuste'!L157*1000</f>
        <v>-6165.8838270980787</v>
      </c>
      <c r="AC157" s="41">
        <f>L157/'1. Väestöennuste'!M157*1000</f>
        <v>-2508.2710414507778</v>
      </c>
      <c r="AD157" s="41">
        <f>M157/'1. Väestöennuste'!N157*1000</f>
        <v>-2606.0687656354648</v>
      </c>
      <c r="AE157" s="41">
        <f>N157/'1. Väestöennuste'!O157*1000</f>
        <v>-2827.525012866568</v>
      </c>
      <c r="AF157" s="41">
        <f>O157/'1. Väestöennuste'!P157*1000</f>
        <v>-2980.1734728928132</v>
      </c>
      <c r="AG157" s="41">
        <f>P157/'1. Väestöennuste'!Q157*1000</f>
        <v>-3079.7170046710039</v>
      </c>
      <c r="AH157" s="41">
        <f>Q157/'1. Väestöennuste'!R157*1000</f>
        <v>-3166.9611160896152</v>
      </c>
    </row>
    <row r="158" spans="1:34" customFormat="1" x14ac:dyDescent="0.25">
      <c r="A158" s="99">
        <v>2</v>
      </c>
      <c r="B158" s="30">
        <v>481</v>
      </c>
      <c r="C158" s="47" t="s">
        <v>472</v>
      </c>
      <c r="D158" s="65">
        <v>-43972</v>
      </c>
      <c r="E158" s="157">
        <v>-46539</v>
      </c>
      <c r="F158" s="157">
        <v>-44595</v>
      </c>
      <c r="G158" s="157">
        <v>-46744</v>
      </c>
      <c r="H158" s="43">
        <v>-46979</v>
      </c>
      <c r="I158" s="43">
        <v>-48564</v>
      </c>
      <c r="J158" s="159">
        <v>-49444.569620000002</v>
      </c>
      <c r="K158" s="43">
        <v>-52507.573929999999</v>
      </c>
      <c r="L158" s="43">
        <v>-27253.917899999997</v>
      </c>
      <c r="M158" s="43">
        <f>'2.1. Toimintakatennuste'!AX149</f>
        <v>-25511.495640848356</v>
      </c>
      <c r="N158" s="43">
        <f>$N$6*'2.1. Toimintakatennuste'!AG149</f>
        <v>-29645.522683566709</v>
      </c>
      <c r="O158" s="43">
        <f>$O$6*'2.1. Toimintakatennuste'!AH149</f>
        <v>-30474.816043117775</v>
      </c>
      <c r="P158" s="43">
        <f>P$6*'2.1. Toimintakatennuste'!AI149</f>
        <v>-31071.458157544661</v>
      </c>
      <c r="Q158" s="43">
        <f>Q$6*'2.1. Toimintakatennuste'!AJ149</f>
        <v>-31917.402858722351</v>
      </c>
      <c r="R158" s="117"/>
      <c r="S158" s="34">
        <v>481</v>
      </c>
      <c r="T158" s="88" t="s">
        <v>472</v>
      </c>
      <c r="U158" s="41">
        <f>D158/'1. Väestöennuste'!E158*1000</f>
        <v>-4530.3935709870184</v>
      </c>
      <c r="V158" s="41">
        <f>E158/'1. Väestöennuste'!F158*1000</f>
        <v>-4810.2325581395344</v>
      </c>
      <c r="W158" s="41">
        <f>F158/'1. Väestöennuste'!G158*1000</f>
        <v>-4618.3719966859981</v>
      </c>
      <c r="X158" s="41">
        <f>G158/'1. Väestöennuste'!H158*1000</f>
        <v>-4892.6104249528989</v>
      </c>
      <c r="Y158" s="41">
        <f>H158/'1. Väestöennuste'!I158*1000</f>
        <v>-4927.522550870568</v>
      </c>
      <c r="Z158" s="41">
        <f>I158/'1. Väestöennuste'!J158*1000</f>
        <v>-5088.965734045898</v>
      </c>
      <c r="AA158" s="41">
        <f>J158/'1. Väestöennuste'!K158*1000</f>
        <v>-5144.0459446525183</v>
      </c>
      <c r="AB158" s="41">
        <f>K158/'1. Väestöennuste'!L158*1000</f>
        <v>-5445.7139524994818</v>
      </c>
      <c r="AC158" s="41">
        <f>L158/'1. Väestöennuste'!M158*1000</f>
        <v>-2833.3421249610146</v>
      </c>
      <c r="AD158" s="41">
        <f>M158/'1. Väestöennuste'!N158*1000</f>
        <v>-2692.7903357450236</v>
      </c>
      <c r="AE158" s="41">
        <f>N158/'1. Väestöennuste'!O158*1000</f>
        <v>-3135.1018066377651</v>
      </c>
      <c r="AF158" s="41">
        <f>O158/'1. Väestöennuste'!P158*1000</f>
        <v>-3227.5806018976673</v>
      </c>
      <c r="AG158" s="41">
        <f>P158/'1. Väestöennuste'!Q158*1000</f>
        <v>-3294.6090719483259</v>
      </c>
      <c r="AH158" s="41">
        <f>Q158/'1. Väestöennuste'!R158*1000</f>
        <v>-3387.5401038762843</v>
      </c>
    </row>
    <row r="159" spans="1:34" customFormat="1" x14ac:dyDescent="0.25">
      <c r="A159" s="99">
        <v>17</v>
      </c>
      <c r="B159" s="30">
        <v>483</v>
      </c>
      <c r="C159" s="47" t="s">
        <v>473</v>
      </c>
      <c r="D159" s="65">
        <v>-6592</v>
      </c>
      <c r="E159" s="157">
        <v>-6416</v>
      </c>
      <c r="F159" s="157">
        <v>-6594</v>
      </c>
      <c r="G159" s="157">
        <v>-6749</v>
      </c>
      <c r="H159" s="43">
        <v>-7361</v>
      </c>
      <c r="I159" s="43">
        <v>-6788</v>
      </c>
      <c r="J159" s="159">
        <v>-7590.5312799999992</v>
      </c>
      <c r="K159" s="43">
        <v>-8017.4429600000003</v>
      </c>
      <c r="L159" s="43">
        <v>-4225.0596100000002</v>
      </c>
      <c r="M159" s="43">
        <f>'2.1. Toimintakatennuste'!AX150</f>
        <v>-4026.5901971400663</v>
      </c>
      <c r="N159" s="43">
        <f>$N$6*'2.1. Toimintakatennuste'!AG150</f>
        <v>-4826.0647827576804</v>
      </c>
      <c r="O159" s="43">
        <f>$O$6*'2.1. Toimintakatennuste'!AH150</f>
        <v>-4913.6849487918189</v>
      </c>
      <c r="P159" s="43">
        <f>P$6*'2.1. Toimintakatennuste'!AI150</f>
        <v>-5098.6462078249051</v>
      </c>
      <c r="Q159" s="43">
        <f>Q$6*'2.1. Toimintakatennuste'!AJ150</f>
        <v>-5278.0728277847984</v>
      </c>
      <c r="R159" s="117"/>
      <c r="S159" s="34">
        <v>483</v>
      </c>
      <c r="T159" s="88" t="s">
        <v>473</v>
      </c>
      <c r="U159" s="41">
        <f>D159/'1. Väestöennuste'!E159*1000</f>
        <v>-5813.0511463844796</v>
      </c>
      <c r="V159" s="41">
        <f>E159/'1. Väestöennuste'!F159*1000</f>
        <v>-5672.8558797524311</v>
      </c>
      <c r="W159" s="41">
        <f>F159/'1. Väestöennuste'!G159*1000</f>
        <v>-5892.7613941018762</v>
      </c>
      <c r="X159" s="41">
        <f>G159/'1. Väestöennuste'!H159*1000</f>
        <v>-6113.224637681159</v>
      </c>
      <c r="Y159" s="41">
        <f>H159/'1. Väestöennuste'!I159*1000</f>
        <v>-6759.4123048668498</v>
      </c>
      <c r="Z159" s="41">
        <f>I159/'1. Väestöennuste'!J159*1000</f>
        <v>-6296.8460111317254</v>
      </c>
      <c r="AA159" s="41">
        <f>J159/'1. Väestöennuste'!K159*1000</f>
        <v>-7054.3971003717461</v>
      </c>
      <c r="AB159" s="41">
        <f>K159/'1. Väestöennuste'!L159*1000</f>
        <v>-7514.0046485473295</v>
      </c>
      <c r="AC159" s="41">
        <f>L159/'1. Väestöennuste'!M159*1000</f>
        <v>-4004.7958388625593</v>
      </c>
      <c r="AD159" s="41">
        <f>M159/'1. Väestöennuste'!N159*1000</f>
        <v>-3947.6374481765356</v>
      </c>
      <c r="AE159" s="41">
        <f>N159/'1. Väestöennuste'!O159*1000</f>
        <v>-4797.2810961805972</v>
      </c>
      <c r="AF159" s="41">
        <f>O159/'1. Väestöennuste'!P159*1000</f>
        <v>-4948.3232112707137</v>
      </c>
      <c r="AG159" s="41">
        <f>P159/'1. Väestöennuste'!Q159*1000</f>
        <v>-5208.0145125892795</v>
      </c>
      <c r="AH159" s="41">
        <f>Q159/'1. Väestöennuste'!R159*1000</f>
        <v>-5446.9275828532491</v>
      </c>
    </row>
    <row r="160" spans="1:34" customFormat="1" x14ac:dyDescent="0.25">
      <c r="A160" s="99">
        <v>4</v>
      </c>
      <c r="B160" s="30">
        <v>484</v>
      </c>
      <c r="C160" s="47" t="s">
        <v>474</v>
      </c>
      <c r="D160" s="65">
        <v>-20610</v>
      </c>
      <c r="E160" s="157">
        <v>-20261</v>
      </c>
      <c r="F160" s="157">
        <v>-21072</v>
      </c>
      <c r="G160" s="157">
        <v>-21397</v>
      </c>
      <c r="H160" s="43">
        <v>-21372</v>
      </c>
      <c r="I160" s="43">
        <v>-21218</v>
      </c>
      <c r="J160" s="159">
        <v>-21961.773980000002</v>
      </c>
      <c r="K160" s="43">
        <v>-23337.857920000002</v>
      </c>
      <c r="L160" s="43">
        <v>-8997.8669100000006</v>
      </c>
      <c r="M160" s="43">
        <f>'2.1. Toimintakatennuste'!AX151</f>
        <v>-8109.0213024150717</v>
      </c>
      <c r="N160" s="43">
        <f>$N$6*'2.1. Toimintakatennuste'!AG151</f>
        <v>-10128.181530926471</v>
      </c>
      <c r="O160" s="43">
        <f>$O$6*'2.1. Toimintakatennuste'!AH151</f>
        <v>-10617.198920064326</v>
      </c>
      <c r="P160" s="43">
        <f>P$6*'2.1. Toimintakatennuste'!AI151</f>
        <v>-10825.348621046815</v>
      </c>
      <c r="Q160" s="43">
        <f>Q$6*'2.1. Toimintakatennuste'!AJ151</f>
        <v>-11264.216779513603</v>
      </c>
      <c r="R160" s="117"/>
      <c r="S160" s="34">
        <v>484</v>
      </c>
      <c r="T160" s="88" t="s">
        <v>474</v>
      </c>
      <c r="U160" s="41">
        <f>D160/'1. Väestöennuste'!E160*1000</f>
        <v>-6470.9576138147568</v>
      </c>
      <c r="V160" s="41">
        <f>E160/'1. Väestöennuste'!F160*1000</f>
        <v>-6393.4995266645628</v>
      </c>
      <c r="W160" s="41">
        <f>F160/'1. Väestöennuste'!G160*1000</f>
        <v>-6676.80608365019</v>
      </c>
      <c r="X160" s="41">
        <f>G160/'1. Väestöennuste'!H160*1000</f>
        <v>-6869.0208667736761</v>
      </c>
      <c r="Y160" s="41">
        <f>H160/'1. Väestöennuste'!I160*1000</f>
        <v>-6968.3730029344642</v>
      </c>
      <c r="Z160" s="41">
        <f>I160/'1. Väestöennuste'!J160*1000</f>
        <v>-6920.417482061318</v>
      </c>
      <c r="AA160" s="41">
        <f>J160/'1. Väestöennuste'!K160*1000</f>
        <v>-7188.7967201309339</v>
      </c>
      <c r="AB160" s="41">
        <f>K160/'1. Väestöennuste'!L160*1000</f>
        <v>-7865.8098820357263</v>
      </c>
      <c r="AC160" s="41">
        <f>L160/'1. Väestöennuste'!M160*1000</f>
        <v>-3033.6705697909647</v>
      </c>
      <c r="AD160" s="41">
        <f>M160/'1. Väestöennuste'!N160*1000</f>
        <v>-2720.2352574354481</v>
      </c>
      <c r="AE160" s="41">
        <f>N160/'1. Väestöennuste'!O160*1000</f>
        <v>-3415.9128266193834</v>
      </c>
      <c r="AF160" s="41">
        <f>O160/'1. Väestöennuste'!P160*1000</f>
        <v>-3599.0504813777375</v>
      </c>
      <c r="AG160" s="41">
        <f>P160/'1. Väestöennuste'!Q160*1000</f>
        <v>-3690.8791752631487</v>
      </c>
      <c r="AH160" s="41">
        <f>Q160/'1. Väestöennuste'!R160*1000</f>
        <v>-3858.9300375175067</v>
      </c>
    </row>
    <row r="161" spans="1:34" customFormat="1" x14ac:dyDescent="0.25">
      <c r="A161" s="99">
        <v>8</v>
      </c>
      <c r="B161" s="30">
        <v>489</v>
      </c>
      <c r="C161" s="47" t="s">
        <v>475</v>
      </c>
      <c r="D161" s="65">
        <v>-12126</v>
      </c>
      <c r="E161" s="157">
        <v>-12021</v>
      </c>
      <c r="F161" s="157">
        <v>-12318</v>
      </c>
      <c r="G161" s="157">
        <v>-12805</v>
      </c>
      <c r="H161" s="43">
        <v>-12483</v>
      </c>
      <c r="I161" s="43">
        <v>-11992</v>
      </c>
      <c r="J161" s="159">
        <v>-13685.86166</v>
      </c>
      <c r="K161" s="43">
        <v>-15099.014880000001</v>
      </c>
      <c r="L161" s="43">
        <v>-5066.4431699999996</v>
      </c>
      <c r="M161" s="43">
        <f>'2.1. Toimintakatennuste'!AX152</f>
        <v>-5112.2226281715239</v>
      </c>
      <c r="N161" s="43">
        <f>$N$6*'2.1. Toimintakatennuste'!AG152</f>
        <v>-5842.445797478008</v>
      </c>
      <c r="O161" s="43">
        <f>$O$6*'2.1. Toimintakatennuste'!AH152</f>
        <v>-6057.6443699013444</v>
      </c>
      <c r="P161" s="43">
        <f>P$6*'2.1. Toimintakatennuste'!AI152</f>
        <v>-6264.1629817348185</v>
      </c>
      <c r="Q161" s="43">
        <f>Q$6*'2.1. Toimintakatennuste'!AJ152</f>
        <v>-6459.5638654354016</v>
      </c>
      <c r="R161" s="117"/>
      <c r="S161" s="34">
        <v>489</v>
      </c>
      <c r="T161" s="88" t="s">
        <v>475</v>
      </c>
      <c r="U161" s="41">
        <f>D161/'1. Väestöennuste'!E161*1000</f>
        <v>-5815.8273381294966</v>
      </c>
      <c r="V161" s="41">
        <f>E161/'1. Väestöennuste'!F161*1000</f>
        <v>-5910.029498525073</v>
      </c>
      <c r="W161" s="41">
        <f>F161/'1. Väestöennuste'!G161*1000</f>
        <v>-6183.734939759036</v>
      </c>
      <c r="X161" s="41">
        <f>G161/'1. Väestöennuste'!H161*1000</f>
        <v>-6600.5154639175253</v>
      </c>
      <c r="Y161" s="41">
        <f>H161/'1. Väestöennuste'!I161*1000</f>
        <v>-6722.1324717285943</v>
      </c>
      <c r="Z161" s="41">
        <f>I161/'1. Väestöennuste'!J161*1000</f>
        <v>-6419.7002141327621</v>
      </c>
      <c r="AA161" s="41">
        <f>J161/'1. Väestöennuste'!K161*1000</f>
        <v>-7458.2352370572207</v>
      </c>
      <c r="AB161" s="41">
        <f>K161/'1. Väestöennuste'!L161*1000</f>
        <v>-8430.4940703517586</v>
      </c>
      <c r="AC161" s="41">
        <f>L161/'1. Väestöennuste'!M161*1000</f>
        <v>-2891.8054623287671</v>
      </c>
      <c r="AD161" s="41">
        <f>M161/'1. Väestöennuste'!N161*1000</f>
        <v>-2956.7510862761851</v>
      </c>
      <c r="AE161" s="41">
        <f>N161/'1. Väestöennuste'!O161*1000</f>
        <v>-3432.694358095187</v>
      </c>
      <c r="AF161" s="41">
        <f>O161/'1. Väestöennuste'!P161*1000</f>
        <v>-3616.5041014336384</v>
      </c>
      <c r="AG161" s="41">
        <f>P161/'1. Väestöennuste'!Q161*1000</f>
        <v>-3798.7646948058332</v>
      </c>
      <c r="AH161" s="41">
        <f>Q161/'1. Väestöennuste'!R161*1000</f>
        <v>-3975.1162248833239</v>
      </c>
    </row>
    <row r="162" spans="1:34" customFormat="1" x14ac:dyDescent="0.25">
      <c r="A162" s="99">
        <v>10</v>
      </c>
      <c r="B162" s="30">
        <v>491</v>
      </c>
      <c r="C162" s="47" t="s">
        <v>476</v>
      </c>
      <c r="D162" s="65">
        <v>-294907</v>
      </c>
      <c r="E162" s="157">
        <v>-294387</v>
      </c>
      <c r="F162" s="157">
        <v>-293483</v>
      </c>
      <c r="G162" s="157">
        <v>-309489</v>
      </c>
      <c r="H162" s="43">
        <v>-317739</v>
      </c>
      <c r="I162" s="43">
        <v>-328388</v>
      </c>
      <c r="J162" s="159">
        <v>-350148.39439999999</v>
      </c>
      <c r="K162" s="43">
        <v>-360006.61597000004</v>
      </c>
      <c r="L162" s="43">
        <v>-124170.38434999999</v>
      </c>
      <c r="M162" s="43">
        <f>'2.1. Toimintakatennuste'!AX153</f>
        <v>-130558.31002377022</v>
      </c>
      <c r="N162" s="43">
        <f>$N$6*'2.1. Toimintakatennuste'!AG153</f>
        <v>-142360.41920652505</v>
      </c>
      <c r="O162" s="43">
        <f>$O$6*'2.1. Toimintakatennuste'!AH153</f>
        <v>-146456.7903311713</v>
      </c>
      <c r="P162" s="43">
        <f>P$6*'2.1. Toimintakatennuste'!AI153</f>
        <v>-150198.31652201404</v>
      </c>
      <c r="Q162" s="43">
        <f>Q$6*'2.1. Toimintakatennuste'!AJ153</f>
        <v>-152934.14587905715</v>
      </c>
      <c r="R162" s="117"/>
      <c r="S162" s="34">
        <v>491</v>
      </c>
      <c r="T162" s="88" t="s">
        <v>476</v>
      </c>
      <c r="U162" s="41">
        <f>D162/'1. Väestöennuste'!E162*1000</f>
        <v>-5394.8047196560874</v>
      </c>
      <c r="V162" s="41">
        <f>E162/'1. Väestöennuste'!F162*1000</f>
        <v>-5399.9119540693728</v>
      </c>
      <c r="W162" s="41">
        <f>F162/'1. Väestöennuste'!G162*1000</f>
        <v>-5408.728184146994</v>
      </c>
      <c r="X162" s="41">
        <f>G162/'1. Väestöennuste'!H162*1000</f>
        <v>-5750.6596306068595</v>
      </c>
      <c r="Y162" s="41">
        <f>H162/'1. Väestöennuste'!I162*1000</f>
        <v>-5979.9563368088229</v>
      </c>
      <c r="Z162" s="41">
        <f>I162/'1. Väestöennuste'!J162*1000</f>
        <v>-6245.1362607686897</v>
      </c>
      <c r="AA162" s="41">
        <f>J162/'1. Väestöennuste'!K162*1000</f>
        <v>-6717.8618318560293</v>
      </c>
      <c r="AB162" s="41">
        <f>K162/'1. Väestöennuste'!L162*1000</f>
        <v>-6925.8679486340907</v>
      </c>
      <c r="AC162" s="41">
        <f>L162/'1. Väestöennuste'!M162*1000</f>
        <v>-2391.6174107744755</v>
      </c>
      <c r="AD162" s="41">
        <f>M162/'1. Väestöennuste'!N162*1000</f>
        <v>-2560.8706999288024</v>
      </c>
      <c r="AE162" s="41">
        <f>N162/'1. Väestöennuste'!O162*1000</f>
        <v>-2814.1143988006061</v>
      </c>
      <c r="AF162" s="41">
        <f>O162/'1. Väestöennuste'!P162*1000</f>
        <v>-2917.8728175476917</v>
      </c>
      <c r="AG162" s="41">
        <f>P162/'1. Väestöennuste'!Q162*1000</f>
        <v>-3015.3644079021506</v>
      </c>
      <c r="AH162" s="41">
        <f>Q162/'1. Väestöennuste'!R162*1000</f>
        <v>-3093.891401732863</v>
      </c>
    </row>
    <row r="163" spans="1:34" customFormat="1" x14ac:dyDescent="0.25">
      <c r="A163" s="99">
        <v>17</v>
      </c>
      <c r="B163" s="30">
        <v>494</v>
      </c>
      <c r="C163" s="47" t="s">
        <v>477</v>
      </c>
      <c r="D163" s="65">
        <v>-50352</v>
      </c>
      <c r="E163" s="157">
        <v>-50200</v>
      </c>
      <c r="F163" s="157">
        <v>-50646</v>
      </c>
      <c r="G163" s="157">
        <v>-52801</v>
      </c>
      <c r="H163" s="43">
        <v>-54248</v>
      </c>
      <c r="I163" s="43">
        <v>-54495</v>
      </c>
      <c r="J163" s="159">
        <v>-57390.7523</v>
      </c>
      <c r="K163" s="43">
        <v>-59841.745840000003</v>
      </c>
      <c r="L163" s="43">
        <v>-25795.552600000003</v>
      </c>
      <c r="M163" s="43">
        <f>'2.1. Toimintakatennuste'!AX154</f>
        <v>-25711.14908935584</v>
      </c>
      <c r="N163" s="43">
        <f>$N$6*'2.1. Toimintakatennuste'!AG154</f>
        <v>-27942.453413298957</v>
      </c>
      <c r="O163" s="43">
        <f>$O$6*'2.1. Toimintakatennuste'!AH154</f>
        <v>-28829.910217193774</v>
      </c>
      <c r="P163" s="43">
        <f>P$6*'2.1. Toimintakatennuste'!AI154</f>
        <v>-29418.340426461054</v>
      </c>
      <c r="Q163" s="43">
        <f>Q$6*'2.1. Toimintakatennuste'!AJ154</f>
        <v>-29915.932688403864</v>
      </c>
      <c r="R163" s="117"/>
      <c r="S163" s="34">
        <v>494</v>
      </c>
      <c r="T163" s="88" t="s">
        <v>477</v>
      </c>
      <c r="U163" s="41">
        <f>D163/'1. Väestöennuste'!E163*1000</f>
        <v>-5555.776233035418</v>
      </c>
      <c r="V163" s="41">
        <f>E163/'1. Väestöennuste'!F163*1000</f>
        <v>-5580.8782657031679</v>
      </c>
      <c r="W163" s="41">
        <f>F163/'1. Väestöennuste'!G163*1000</f>
        <v>-5615.4784344162326</v>
      </c>
      <c r="X163" s="41">
        <f>G163/'1. Väestöennuste'!H163*1000</f>
        <v>-5879.8440979955449</v>
      </c>
      <c r="Y163" s="41">
        <f>H163/'1. Väestöennuste'!I163*1000</f>
        <v>-6089.8069151324653</v>
      </c>
      <c r="Z163" s="41">
        <f>I163/'1. Väestöennuste'!J163*1000</f>
        <v>-6120.9704593957094</v>
      </c>
      <c r="AA163" s="41">
        <f>J163/'1. Väestöennuste'!K163*1000</f>
        <v>-6441.8848692333595</v>
      </c>
      <c r="AB163" s="41">
        <f>K163/'1. Väestöennuste'!L163*1000</f>
        <v>-6737.4179058770551</v>
      </c>
      <c r="AC163" s="41">
        <f>L163/'1. Väestöennuste'!M163*1000</f>
        <v>-2922.3465050413506</v>
      </c>
      <c r="AD163" s="41">
        <f>M163/'1. Väestöennuste'!N163*1000</f>
        <v>-2928.3768894482732</v>
      </c>
      <c r="AE163" s="41">
        <f>N163/'1. Väestöennuste'!O163*1000</f>
        <v>-3193.4232472341664</v>
      </c>
      <c r="AF163" s="41">
        <f>O163/'1. Väestöennuste'!P163*1000</f>
        <v>-3306.1823643570842</v>
      </c>
      <c r="AG163" s="41">
        <f>P163/'1. Väestöennuste'!Q163*1000</f>
        <v>-3384.9200812865097</v>
      </c>
      <c r="AH163" s="41">
        <f>Q163/'1. Väestöennuste'!R163*1000</f>
        <v>-3453.6980707000534</v>
      </c>
    </row>
    <row r="164" spans="1:34" customFormat="1" x14ac:dyDescent="0.25">
      <c r="A164" s="99">
        <v>13</v>
      </c>
      <c r="B164" s="30">
        <v>495</v>
      </c>
      <c r="C164" s="47" t="s">
        <v>478</v>
      </c>
      <c r="D164" s="65">
        <v>-11286</v>
      </c>
      <c r="E164" s="157">
        <v>-11230</v>
      </c>
      <c r="F164" s="157">
        <v>-10845</v>
      </c>
      <c r="G164" s="157">
        <v>-10634</v>
      </c>
      <c r="H164" s="43">
        <v>-12857</v>
      </c>
      <c r="I164" s="43">
        <v>-10433</v>
      </c>
      <c r="J164" s="159">
        <v>-11078.203</v>
      </c>
      <c r="K164" s="43">
        <v>-12270.50697</v>
      </c>
      <c r="L164" s="43">
        <v>-4590.8461600000001</v>
      </c>
      <c r="M164" s="43">
        <f>'2.1. Toimintakatennuste'!AX155</f>
        <v>-3866.8344666354014</v>
      </c>
      <c r="N164" s="43">
        <f>$N$6*'2.1. Toimintakatennuste'!AG155</f>
        <v>-5156.0224563711108</v>
      </c>
      <c r="O164" s="43">
        <f>$O$6*'2.1. Toimintakatennuste'!AH155</f>
        <v>-5355.7411507843099</v>
      </c>
      <c r="P164" s="43">
        <f>P$6*'2.1. Toimintakatennuste'!AI155</f>
        <v>-5540.9234110522002</v>
      </c>
      <c r="Q164" s="43">
        <f>Q$6*'2.1. Toimintakatennuste'!AJ155</f>
        <v>-5720.9931351348505</v>
      </c>
      <c r="R164" s="117"/>
      <c r="S164" s="34">
        <v>495</v>
      </c>
      <c r="T164" s="88" t="s">
        <v>478</v>
      </c>
      <c r="U164" s="41">
        <f>D164/'1. Väestöennuste'!E164*1000</f>
        <v>-6600</v>
      </c>
      <c r="V164" s="41">
        <f>E164/'1. Väestöennuste'!F164*1000</f>
        <v>-6752.8562838244134</v>
      </c>
      <c r="W164" s="41">
        <f>F164/'1. Väestöennuste'!G164*1000</f>
        <v>-6628.9731051344743</v>
      </c>
      <c r="X164" s="41">
        <f>G164/'1. Väestöennuste'!H164*1000</f>
        <v>-6713.3838383838383</v>
      </c>
      <c r="Y164" s="41">
        <f>H164/'1. Väestöennuste'!I164*1000</f>
        <v>-8210.089399744571</v>
      </c>
      <c r="Z164" s="41">
        <f>I164/'1. Väestöennuste'!J164*1000</f>
        <v>-6696.4056482670094</v>
      </c>
      <c r="AA164" s="41">
        <f>J164/'1. Väestöennuste'!K164*1000</f>
        <v>-7445.0288978494618</v>
      </c>
      <c r="AB164" s="41">
        <f>K164/'1. Väestöennuste'!L164*1000</f>
        <v>-8307.7230670277586</v>
      </c>
      <c r="AC164" s="41">
        <f>L164/'1. Väestöennuste'!M164*1000</f>
        <v>-3210.3819300699297</v>
      </c>
      <c r="AD164" s="41">
        <f>M164/'1. Väestöennuste'!N164*1000</f>
        <v>-2653.9701212322589</v>
      </c>
      <c r="AE164" s="41">
        <f>N164/'1. Väestöennuste'!O164*1000</f>
        <v>-3595.5526195056564</v>
      </c>
      <c r="AF164" s="41">
        <f>O164/'1. Väestöennuste'!P164*1000</f>
        <v>-3790.3334400455128</v>
      </c>
      <c r="AG164" s="41">
        <f>P164/'1. Väestöennuste'!Q164*1000</f>
        <v>-3989.1457242996398</v>
      </c>
      <c r="AH164" s="41">
        <f>Q164/'1. Väestöennuste'!R164*1000</f>
        <v>-4185.0717886867969</v>
      </c>
    </row>
    <row r="165" spans="1:34" customFormat="1" x14ac:dyDescent="0.25">
      <c r="A165" s="99">
        <v>19</v>
      </c>
      <c r="B165" s="30">
        <v>498</v>
      </c>
      <c r="C165" s="47" t="s">
        <v>479</v>
      </c>
      <c r="D165" s="65">
        <v>-16038</v>
      </c>
      <c r="E165" s="157">
        <v>-16432</v>
      </c>
      <c r="F165" s="157">
        <v>-16208</v>
      </c>
      <c r="G165" s="157">
        <v>-16975</v>
      </c>
      <c r="H165" s="43">
        <v>-17712</v>
      </c>
      <c r="I165" s="43">
        <v>-17608</v>
      </c>
      <c r="J165" s="159">
        <v>-18194.03082</v>
      </c>
      <c r="K165" s="43">
        <v>-19065.001410000001</v>
      </c>
      <c r="L165" s="43">
        <v>-8236.7788199999995</v>
      </c>
      <c r="M165" s="43">
        <f>'2.1. Toimintakatennuste'!AX156</f>
        <v>-8775.3369994136083</v>
      </c>
      <c r="N165" s="43">
        <f>$N$6*'2.1. Toimintakatennuste'!AG156</f>
        <v>-9565.6339478812915</v>
      </c>
      <c r="O165" s="43">
        <f>$O$6*'2.1. Toimintakatennuste'!AH156</f>
        <v>-9912.0308551950202</v>
      </c>
      <c r="P165" s="43">
        <f>P$6*'2.1. Toimintakatennuste'!AI156</f>
        <v>-10301.215206452849</v>
      </c>
      <c r="Q165" s="43">
        <f>Q$6*'2.1. Toimintakatennuste'!AJ156</f>
        <v>-10543.406418448443</v>
      </c>
      <c r="R165" s="117"/>
      <c r="S165" s="34">
        <v>498</v>
      </c>
      <c r="T165" s="88" t="s">
        <v>479</v>
      </c>
      <c r="U165" s="41">
        <f>D165/'1. Väestöennuste'!E165*1000</f>
        <v>-6801.5267175572517</v>
      </c>
      <c r="V165" s="41">
        <f>E165/'1. Väestöennuste'!F165*1000</f>
        <v>-6992.3404255319147</v>
      </c>
      <c r="W165" s="41">
        <f>F165/'1. Väestöennuste'!G165*1000</f>
        <v>-6950.2572898799317</v>
      </c>
      <c r="X165" s="41">
        <f>G165/'1. Väestöennuste'!H165*1000</f>
        <v>-7383.6450630709005</v>
      </c>
      <c r="Y165" s="41">
        <f>H165/'1. Väestöennuste'!I165*1000</f>
        <v>-7674.1767764298093</v>
      </c>
      <c r="Z165" s="41">
        <f>I165/'1. Väestöennuste'!J165*1000</f>
        <v>-7665.650848933391</v>
      </c>
      <c r="AA165" s="41">
        <f>J165/'1. Väestöennuste'!K165*1000</f>
        <v>-7838.8758380008612</v>
      </c>
      <c r="AB165" s="41">
        <f>K165/'1. Väestöennuste'!L165*1000</f>
        <v>-8358.176856641825</v>
      </c>
      <c r="AC165" s="41">
        <f>L165/'1. Väestöennuste'!M165*1000</f>
        <v>-3542.7005677419352</v>
      </c>
      <c r="AD165" s="41">
        <f>M165/'1. Väestöennuste'!N165*1000</f>
        <v>-3891.5019953053697</v>
      </c>
      <c r="AE165" s="41">
        <f>N165/'1. Väestöennuste'!O165*1000</f>
        <v>-4260.861446717724</v>
      </c>
      <c r="AF165" s="41">
        <f>O165/'1. Väestöennuste'!P165*1000</f>
        <v>-4432.9297205702233</v>
      </c>
      <c r="AG165" s="41">
        <f>P165/'1. Väestöennuste'!Q165*1000</f>
        <v>-4625.601799035855</v>
      </c>
      <c r="AH165" s="41">
        <f>Q165/'1. Väestöennuste'!R165*1000</f>
        <v>-4755.7088039911787</v>
      </c>
    </row>
    <row r="166" spans="1:34" customFormat="1" x14ac:dyDescent="0.25">
      <c r="A166" s="99">
        <v>15</v>
      </c>
      <c r="B166" s="30">
        <v>499</v>
      </c>
      <c r="C166" s="47" t="s">
        <v>480</v>
      </c>
      <c r="D166" s="65">
        <v>-97591</v>
      </c>
      <c r="E166" s="157">
        <v>-95580</v>
      </c>
      <c r="F166" s="157">
        <v>-96318</v>
      </c>
      <c r="G166" s="157">
        <v>-102065</v>
      </c>
      <c r="H166" s="43">
        <v>-103508</v>
      </c>
      <c r="I166" s="43">
        <v>-106125</v>
      </c>
      <c r="J166" s="159">
        <v>-111404.63637000001</v>
      </c>
      <c r="K166" s="43">
        <v>-121249.02343</v>
      </c>
      <c r="L166" s="43">
        <v>-57566.388899999998</v>
      </c>
      <c r="M166" s="43">
        <f>'2.1. Toimintakatennuste'!AX157</f>
        <v>-58328.370449025213</v>
      </c>
      <c r="N166" s="43">
        <f>$N$6*'2.1. Toimintakatennuste'!AG157</f>
        <v>-63779.66145448407</v>
      </c>
      <c r="O166" s="43">
        <f>$O$6*'2.1. Toimintakatennuste'!AH157</f>
        <v>-65812.449527071789</v>
      </c>
      <c r="P166" s="43">
        <f>P$6*'2.1. Toimintakatennuste'!AI157</f>
        <v>-67496.649670154977</v>
      </c>
      <c r="Q166" s="43">
        <f>Q$6*'2.1. Toimintakatennuste'!AJ157</f>
        <v>-68858.597074442237</v>
      </c>
      <c r="R166" s="117"/>
      <c r="S166" s="34">
        <v>499</v>
      </c>
      <c r="T166" s="88" t="s">
        <v>480</v>
      </c>
      <c r="U166" s="41">
        <f>D166/'1. Väestöennuste'!E166*1000</f>
        <v>-5056.0045591130456</v>
      </c>
      <c r="V166" s="41">
        <f>E166/'1. Väestöennuste'!F166*1000</f>
        <v>-4931.8885448916408</v>
      </c>
      <c r="W166" s="41">
        <f>F166/'1. Väestöennuste'!G166*1000</f>
        <v>-4968.9434585224935</v>
      </c>
      <c r="X166" s="41">
        <f>G166/'1. Väestöennuste'!H166*1000</f>
        <v>-5249.1771240485496</v>
      </c>
      <c r="Y166" s="41">
        <f>H166/'1. Väestöennuste'!I166*1000</f>
        <v>-5322.2953517071164</v>
      </c>
      <c r="Z166" s="41">
        <f>I166/'1. Väestöennuste'!J166*1000</f>
        <v>-5455.4567418907109</v>
      </c>
      <c r="AA166" s="41">
        <f>J166/'1. Väestöennuste'!K166*1000</f>
        <v>-5702.5305267199019</v>
      </c>
      <c r="AB166" s="41">
        <f>K166/'1. Väestöennuste'!L166*1000</f>
        <v>-6166.6678583053608</v>
      </c>
      <c r="AC166" s="41">
        <f>L166/'1. Väestöennuste'!M166*1000</f>
        <v>-2912.8365582148458</v>
      </c>
      <c r="AD166" s="41">
        <f>M166/'1. Väestöennuste'!N166*1000</f>
        <v>-2987.6745607245407</v>
      </c>
      <c r="AE166" s="41">
        <f>N166/'1. Väestöennuste'!O166*1000</f>
        <v>-3267.4006892666021</v>
      </c>
      <c r="AF166" s="41">
        <f>O166/'1. Väestöennuste'!P166*1000</f>
        <v>-3372.9217674801043</v>
      </c>
      <c r="AG166" s="41">
        <f>P166/'1. Väestöennuste'!Q166*1000</f>
        <v>-3461.5441648369133</v>
      </c>
      <c r="AH166" s="41">
        <f>Q166/'1. Väestöennuste'!R166*1000</f>
        <v>-3534.4726965630962</v>
      </c>
    </row>
    <row r="167" spans="1:34" customFormat="1" x14ac:dyDescent="0.25">
      <c r="A167" s="99">
        <v>13</v>
      </c>
      <c r="B167" s="30">
        <v>500</v>
      </c>
      <c r="C167" s="47" t="s">
        <v>481</v>
      </c>
      <c r="D167" s="65">
        <v>-42145</v>
      </c>
      <c r="E167" s="157">
        <v>-43474</v>
      </c>
      <c r="F167" s="157">
        <v>-43435</v>
      </c>
      <c r="G167" s="157">
        <v>-45975</v>
      </c>
      <c r="H167" s="43">
        <v>-48117</v>
      </c>
      <c r="I167" s="43">
        <v>-47968</v>
      </c>
      <c r="J167" s="159">
        <v>-51108.925769999994</v>
      </c>
      <c r="K167" s="43">
        <v>-55897.664629999999</v>
      </c>
      <c r="L167" s="43">
        <v>-29995.84518</v>
      </c>
      <c r="M167" s="43">
        <f>'2.1. Toimintakatennuste'!AX158</f>
        <v>-29030.332315628377</v>
      </c>
      <c r="N167" s="43">
        <f>$N$6*'2.1. Toimintakatennuste'!AG158</f>
        <v>-34232.802825792685</v>
      </c>
      <c r="O167" s="43">
        <f>$O$6*'2.1. Toimintakatennuste'!AH158</f>
        <v>-35669.754118281438</v>
      </c>
      <c r="P167" s="43">
        <f>P$6*'2.1. Toimintakatennuste'!AI158</f>
        <v>-36940.061184729399</v>
      </c>
      <c r="Q167" s="43">
        <f>Q$6*'2.1. Toimintakatennuste'!AJ158</f>
        <v>-37928.76827989809</v>
      </c>
      <c r="R167" s="117"/>
      <c r="S167" s="34">
        <v>500</v>
      </c>
      <c r="T167" s="88" t="s">
        <v>481</v>
      </c>
      <c r="U167" s="41">
        <f>D167/'1. Väestöennuste'!E167*1000</f>
        <v>-4304.4632826064753</v>
      </c>
      <c r="V167" s="41">
        <f>E167/'1. Väestöennuste'!F167*1000</f>
        <v>-4373.2018911578307</v>
      </c>
      <c r="W167" s="41">
        <f>F167/'1. Väestöennuste'!G167*1000</f>
        <v>-4301.77280380311</v>
      </c>
      <c r="X167" s="41">
        <f>G167/'1. Väestöennuste'!H167*1000</f>
        <v>-4520.6489675516223</v>
      </c>
      <c r="Y167" s="41">
        <f>H167/'1. Väestöennuste'!I167*1000</f>
        <v>-4734.0613931523021</v>
      </c>
      <c r="Z167" s="41">
        <f>I167/'1. Väestöennuste'!J167*1000</f>
        <v>-4672.0561020746081</v>
      </c>
      <c r="AA167" s="41">
        <f>J167/'1. Väestöennuste'!K167*1000</f>
        <v>-4902.0646240168799</v>
      </c>
      <c r="AB167" s="41">
        <f>K167/'1. Väestöennuste'!L167*1000</f>
        <v>-5330.6947005531183</v>
      </c>
      <c r="AC167" s="41">
        <f>L167/'1. Väestöennuste'!M167*1000</f>
        <v>-2842.9386010804665</v>
      </c>
      <c r="AD167" s="41">
        <f>M167/'1. Väestöennuste'!N167*1000</f>
        <v>-2731.2383399782084</v>
      </c>
      <c r="AE167" s="41">
        <f>N167/'1. Väestöennuste'!O167*1000</f>
        <v>-3199.3273668965126</v>
      </c>
      <c r="AF167" s="41">
        <f>O167/'1. Väestöennuste'!P167*1000</f>
        <v>-3314.1089025626161</v>
      </c>
      <c r="AG167" s="41">
        <f>P167/'1. Väestöennuste'!Q167*1000</f>
        <v>-3414.3692748617614</v>
      </c>
      <c r="AH167" s="41">
        <f>Q167/'1. Väestöennuste'!R167*1000</f>
        <v>-3489.6281424140298</v>
      </c>
    </row>
    <row r="168" spans="1:34" customFormat="1" x14ac:dyDescent="0.25">
      <c r="A168" s="99">
        <v>2</v>
      </c>
      <c r="B168" s="30">
        <v>503</v>
      </c>
      <c r="C168" s="47" t="s">
        <v>482</v>
      </c>
      <c r="D168" s="65">
        <v>-42264</v>
      </c>
      <c r="E168" s="157">
        <v>-41996</v>
      </c>
      <c r="F168" s="157">
        <v>-41185</v>
      </c>
      <c r="G168" s="157">
        <v>-44449</v>
      </c>
      <c r="H168" s="43">
        <v>-46199</v>
      </c>
      <c r="I168" s="43">
        <v>-44960</v>
      </c>
      <c r="J168" s="159">
        <v>-47921.581920000004</v>
      </c>
      <c r="K168" s="43">
        <v>-47465.760219999996</v>
      </c>
      <c r="L168" s="43">
        <v>-18642.261589999998</v>
      </c>
      <c r="M168" s="43">
        <f>'2.1. Toimintakatennuste'!AX159</f>
        <v>-19377.676330722854</v>
      </c>
      <c r="N168" s="43">
        <f>$N$6*'2.1. Toimintakatennuste'!AG159</f>
        <v>-20445.031990662887</v>
      </c>
      <c r="O168" s="43">
        <f>$O$6*'2.1. Toimintakatennuste'!AH159</f>
        <v>-21050.63619893511</v>
      </c>
      <c r="P168" s="43">
        <f>P$6*'2.1. Toimintakatennuste'!AI159</f>
        <v>-21745.844478403385</v>
      </c>
      <c r="Q168" s="43">
        <f>Q$6*'2.1. Toimintakatennuste'!AJ159</f>
        <v>-22321.526418481768</v>
      </c>
      <c r="R168" s="117"/>
      <c r="S168" s="34">
        <v>503</v>
      </c>
      <c r="T168" s="88" t="s">
        <v>482</v>
      </c>
      <c r="U168" s="41">
        <f>D168/'1. Väestöennuste'!E168*1000</f>
        <v>-5377.7834330067444</v>
      </c>
      <c r="V168" s="41">
        <f>E168/'1. Väestöennuste'!F168*1000</f>
        <v>-5355.2665136444784</v>
      </c>
      <c r="W168" s="41">
        <f>F168/'1. Väestöennuste'!G168*1000</f>
        <v>-5254.5292166368972</v>
      </c>
      <c r="X168" s="41">
        <f>G168/'1. Väestöennuste'!H168*1000</f>
        <v>-5723.5385011588978</v>
      </c>
      <c r="Y168" s="41">
        <f>H168/'1. Väestöennuste'!I168*1000</f>
        <v>-6035.928926051738</v>
      </c>
      <c r="Z168" s="41">
        <f>I168/'1. Väestöennuste'!J168*1000</f>
        <v>-5880.9679529103987</v>
      </c>
      <c r="AA168" s="41">
        <f>J168/'1. Väestöennuste'!K168*1000</f>
        <v>-6310.4532420331843</v>
      </c>
      <c r="AB168" s="41">
        <f>K168/'1. Väestöennuste'!L168*1000</f>
        <v>-6296.0286801963121</v>
      </c>
      <c r="AC168" s="41">
        <f>L168/'1. Väestöennuste'!M168*1000</f>
        <v>-2480.6735316034592</v>
      </c>
      <c r="AD168" s="41">
        <f>M168/'1. Väestöennuste'!N168*1000</f>
        <v>-2597.1955945212244</v>
      </c>
      <c r="AE168" s="41">
        <f>N168/'1. Väestöennuste'!O168*1000</f>
        <v>-2754.6526530130541</v>
      </c>
      <c r="AF168" s="41">
        <f>O168/'1. Väestöennuste'!P168*1000</f>
        <v>-2850.4585238910104</v>
      </c>
      <c r="AG168" s="41">
        <f>P168/'1. Väestöennuste'!Q168*1000</f>
        <v>-2958.2158180388224</v>
      </c>
      <c r="AH168" s="41">
        <f>Q168/'1. Väestöennuste'!R168*1000</f>
        <v>-3051.0560987536592</v>
      </c>
    </row>
    <row r="169" spans="1:34" customFormat="1" x14ac:dyDescent="0.25">
      <c r="A169" s="99">
        <v>1</v>
      </c>
      <c r="B169" s="30">
        <v>504</v>
      </c>
      <c r="C169" s="47" t="s">
        <v>483</v>
      </c>
      <c r="D169" s="65">
        <v>-10027</v>
      </c>
      <c r="E169" s="157">
        <v>-10675</v>
      </c>
      <c r="F169" s="157">
        <v>-10753</v>
      </c>
      <c r="G169" s="157">
        <v>-10464</v>
      </c>
      <c r="H169" s="43">
        <v>-10703</v>
      </c>
      <c r="I169" s="43">
        <v>-10748</v>
      </c>
      <c r="J169" s="159">
        <v>-12210.07676</v>
      </c>
      <c r="K169" s="43">
        <v>-12697.77211</v>
      </c>
      <c r="L169" s="43">
        <v>-4713.3266399999993</v>
      </c>
      <c r="M169" s="43">
        <f>'2.1. Toimintakatennuste'!AX160</f>
        <v>-3654.1395337396693</v>
      </c>
      <c r="N169" s="43">
        <f>$N$6*'2.1. Toimintakatennuste'!AG160</f>
        <v>-5303.1580590449375</v>
      </c>
      <c r="O169" s="43">
        <f>$O$6*'2.1. Toimintakatennuste'!AH160</f>
        <v>-5519.5557914035035</v>
      </c>
      <c r="P169" s="43">
        <f>P$6*'2.1. Toimintakatennuste'!AI160</f>
        <v>-5730.7927013532753</v>
      </c>
      <c r="Q169" s="43">
        <f>Q$6*'2.1. Toimintakatennuste'!AJ160</f>
        <v>-5936.4919802175436</v>
      </c>
      <c r="R169" s="117"/>
      <c r="S169" s="34">
        <v>504</v>
      </c>
      <c r="T169" s="88" t="s">
        <v>483</v>
      </c>
      <c r="U169" s="41">
        <f>D169/'1. Väestöennuste'!E169*1000</f>
        <v>-5092.4327069578467</v>
      </c>
      <c r="V169" s="41">
        <f>E169/'1. Väestöennuste'!F169*1000</f>
        <v>-5375.1258811681773</v>
      </c>
      <c r="W169" s="41">
        <f>F169/'1. Väestöennuste'!G169*1000</f>
        <v>-5461.1477907567287</v>
      </c>
      <c r="X169" s="41">
        <f>G169/'1. Väestöennuste'!H169*1000</f>
        <v>-5444.3288241415194</v>
      </c>
      <c r="Y169" s="41">
        <f>H169/'1. Väestöennuste'!I169*1000</f>
        <v>-5687.0350690754522</v>
      </c>
      <c r="Z169" s="41">
        <f>I169/'1. Väestöennuste'!J169*1000</f>
        <v>-5744.5216461785139</v>
      </c>
      <c r="AA169" s="41">
        <f>J169/'1. Väestöennuste'!K169*1000</f>
        <v>-6723.6105506607937</v>
      </c>
      <c r="AB169" s="41">
        <f>K169/'1. Väestöennuste'!L169*1000</f>
        <v>-7198.2835090702947</v>
      </c>
      <c r="AC169" s="41">
        <f>L169/'1. Väestöennuste'!M169*1000</f>
        <v>-2748.2954169096206</v>
      </c>
      <c r="AD169" s="41">
        <f>M169/'1. Väestöennuste'!N169*1000</f>
        <v>-2041.4187339327761</v>
      </c>
      <c r="AE169" s="41">
        <f>N169/'1. Väestöennuste'!O169*1000</f>
        <v>-2991.064895118408</v>
      </c>
      <c r="AF169" s="41">
        <f>O169/'1. Väestöennuste'!P169*1000</f>
        <v>-3143.2550064940224</v>
      </c>
      <c r="AG169" s="41">
        <f>P169/'1. Väestöennuste'!Q169*1000</f>
        <v>-3284.1218918929944</v>
      </c>
      <c r="AH169" s="41">
        <f>Q169/'1. Väestöennuste'!R169*1000</f>
        <v>-3423.5824568728622</v>
      </c>
    </row>
    <row r="170" spans="1:34" customFormat="1" x14ac:dyDescent="0.25">
      <c r="A170" s="99">
        <v>1</v>
      </c>
      <c r="B170" s="30">
        <v>505</v>
      </c>
      <c r="C170" s="47" t="s">
        <v>484</v>
      </c>
      <c r="D170" s="65">
        <v>-97582</v>
      </c>
      <c r="E170" s="157">
        <v>-97131</v>
      </c>
      <c r="F170" s="157">
        <v>-100244</v>
      </c>
      <c r="G170" s="157">
        <v>-106192</v>
      </c>
      <c r="H170" s="43">
        <v>-115856</v>
      </c>
      <c r="I170" s="43">
        <v>-114718</v>
      </c>
      <c r="J170" s="159">
        <v>-114643.03968999999</v>
      </c>
      <c r="K170" s="43">
        <v>-124128.13356999999</v>
      </c>
      <c r="L170" s="43">
        <v>-56247.140639999998</v>
      </c>
      <c r="M170" s="43">
        <f>'2.1. Toimintakatennuste'!AX161</f>
        <v>-56521.345865619354</v>
      </c>
      <c r="N170" s="43">
        <f>$N$6*'2.1. Toimintakatennuste'!AG161</f>
        <v>-61788.843273956423</v>
      </c>
      <c r="O170" s="43">
        <f>$O$6*'2.1. Toimintakatennuste'!AH161</f>
        <v>-63540.90434041246</v>
      </c>
      <c r="P170" s="43">
        <f>P$6*'2.1. Toimintakatennuste'!AI161</f>
        <v>-65389.24016683174</v>
      </c>
      <c r="Q170" s="43">
        <f>Q$6*'2.1. Toimintakatennuste'!AJ161</f>
        <v>-66993.649083015451</v>
      </c>
      <c r="R170" s="117"/>
      <c r="S170" s="34">
        <v>505</v>
      </c>
      <c r="T170" s="88" t="s">
        <v>484</v>
      </c>
      <c r="U170" s="41">
        <f>D170/'1. Väestöennuste'!E170*1000</f>
        <v>-4717.524776408025</v>
      </c>
      <c r="V170" s="41">
        <f>E170/'1. Väestöennuste'!F170*1000</f>
        <v>-4657.8909509423111</v>
      </c>
      <c r="W170" s="41">
        <f>F170/'1. Väestöennuste'!G170*1000</f>
        <v>-4818.7280680671056</v>
      </c>
      <c r="X170" s="41">
        <f>G170/'1. Väestöennuste'!H170*1000</f>
        <v>-5133.5202552450937</v>
      </c>
      <c r="Y170" s="41">
        <f>H170/'1. Väestöennuste'!I170*1000</f>
        <v>-5591.2359442111865</v>
      </c>
      <c r="Z170" s="41">
        <f>I170/'1. Väestöennuste'!J170*1000</f>
        <v>-5519.7998364047544</v>
      </c>
      <c r="AA170" s="41">
        <f>J170/'1. Väestöennuste'!K170*1000</f>
        <v>-5501.8975711474777</v>
      </c>
      <c r="AB170" s="41">
        <f>K170/'1. Väestöennuste'!L170*1000</f>
        <v>-5935.7370681905122</v>
      </c>
      <c r="AC170" s="41">
        <f>L170/'1. Väestöennuste'!M170*1000</f>
        <v>-2683.930936679868</v>
      </c>
      <c r="AD170" s="41">
        <f>M170/'1. Väestöennuste'!N170*1000</f>
        <v>-2705.665192226872</v>
      </c>
      <c r="AE170" s="41">
        <f>N170/'1. Väestöennuste'!O170*1000</f>
        <v>-2952.5896341547482</v>
      </c>
      <c r="AF170" s="41">
        <f>O170/'1. Väestöennuste'!P170*1000</f>
        <v>-3030.0860438918671</v>
      </c>
      <c r="AG170" s="41">
        <f>P170/'1. Väestöennuste'!Q170*1000</f>
        <v>-3112.1431710452498</v>
      </c>
      <c r="AH170" s="41">
        <f>Q170/'1. Väestöennuste'!R170*1000</f>
        <v>-3182.8985691284424</v>
      </c>
    </row>
    <row r="171" spans="1:34" customFormat="1" x14ac:dyDescent="0.25">
      <c r="A171" s="99">
        <v>10</v>
      </c>
      <c r="B171" s="30">
        <v>507</v>
      </c>
      <c r="C171" s="47" t="s">
        <v>485</v>
      </c>
      <c r="D171" s="65">
        <v>-36213</v>
      </c>
      <c r="E171" s="157">
        <v>-35900</v>
      </c>
      <c r="F171" s="157">
        <v>-36537</v>
      </c>
      <c r="G171" s="157">
        <v>-37070</v>
      </c>
      <c r="H171" s="43">
        <v>-39540</v>
      </c>
      <c r="I171" s="43">
        <v>-38639</v>
      </c>
      <c r="J171" s="159">
        <v>-42540.511009999995</v>
      </c>
      <c r="K171" s="43">
        <v>-42781.216909999996</v>
      </c>
      <c r="L171" s="43">
        <v>-14020.540789999999</v>
      </c>
      <c r="M171" s="43">
        <f>'2.1. Toimintakatennuste'!AX162</f>
        <v>-13127.250056837274</v>
      </c>
      <c r="N171" s="43">
        <f>$N$6*'2.1. Toimintakatennuste'!AG162</f>
        <v>-20007.69054844301</v>
      </c>
      <c r="O171" s="43">
        <f>$O$6*'2.1. Toimintakatennuste'!AH162</f>
        <v>-20412.196616558624</v>
      </c>
      <c r="P171" s="43">
        <f>P$6*'2.1. Toimintakatennuste'!AI162</f>
        <v>-20884.279651420602</v>
      </c>
      <c r="Q171" s="43">
        <f>Q$6*'2.1. Toimintakatennuste'!AJ162</f>
        <v>-21289.954589502511</v>
      </c>
      <c r="R171" s="117"/>
      <c r="S171" s="34">
        <v>507</v>
      </c>
      <c r="T171" s="88" t="s">
        <v>485</v>
      </c>
      <c r="U171" s="41">
        <f>D171/'1. Väestöennuste'!E171*1000</f>
        <v>-5879.6882610813445</v>
      </c>
      <c r="V171" s="41">
        <f>E171/'1. Väestöennuste'!F171*1000</f>
        <v>-5888.1417090372315</v>
      </c>
      <c r="W171" s="41">
        <f>F171/'1. Väestöennuste'!G171*1000</f>
        <v>-6035.1833498513379</v>
      </c>
      <c r="X171" s="41">
        <f>G171/'1. Väestöennuste'!H171*1000</f>
        <v>-6257.5962187711002</v>
      </c>
      <c r="Y171" s="41">
        <f>H171/'1. Väestöennuste'!I171*1000</f>
        <v>-6827.836297703333</v>
      </c>
      <c r="Z171" s="41">
        <f>I171/'1. Väestöennuste'!J171*1000</f>
        <v>-6807.4348132487667</v>
      </c>
      <c r="AA171" s="41">
        <f>J171/'1. Väestöennuste'!K171*1000</f>
        <v>-7549.336470275065</v>
      </c>
      <c r="AB171" s="41">
        <f>K171/'1. Väestöennuste'!L171*1000</f>
        <v>-7688.931867361609</v>
      </c>
      <c r="AC171" s="41">
        <f>L171/'1. Väestöennuste'!M171*1000</f>
        <v>-2539.033102136907</v>
      </c>
      <c r="AD171" s="41">
        <f>M171/'1. Väestöennuste'!N171*1000</f>
        <v>-2440.0093042448466</v>
      </c>
      <c r="AE171" s="41">
        <f>N171/'1. Väestöennuste'!O171*1000</f>
        <v>-2925.5286662440431</v>
      </c>
      <c r="AF171" s="41">
        <f>O171/'1. Väestöennuste'!P171*1000</f>
        <v>-3020.002458434476</v>
      </c>
      <c r="AG171" s="41">
        <f>P171/'1. Väestöennuste'!Q171*1000</f>
        <v>-3124.5182003920709</v>
      </c>
      <c r="AH171" s="41">
        <f>Q171/'1. Väestöennuste'!R171*1000</f>
        <v>-3218.9226775782445</v>
      </c>
    </row>
    <row r="172" spans="1:34" customFormat="1" x14ac:dyDescent="0.25">
      <c r="A172" s="99">
        <v>6</v>
      </c>
      <c r="B172" s="30">
        <v>508</v>
      </c>
      <c r="C172" s="47" t="s">
        <v>486</v>
      </c>
      <c r="D172" s="65">
        <v>-64281</v>
      </c>
      <c r="E172" s="157">
        <v>-66104</v>
      </c>
      <c r="F172" s="157">
        <v>-61777</v>
      </c>
      <c r="G172" s="157">
        <v>-63459</v>
      </c>
      <c r="H172" s="43">
        <v>-64886</v>
      </c>
      <c r="I172" s="43">
        <v>-67777</v>
      </c>
      <c r="J172" s="159">
        <v>-69149.465660000002</v>
      </c>
      <c r="K172" s="43">
        <v>-69708.138760000002</v>
      </c>
      <c r="L172" s="43">
        <v>-20755.86795</v>
      </c>
      <c r="M172" s="43">
        <f>'2.1. Toimintakatennuste'!AX163</f>
        <v>-21239.053346328394</v>
      </c>
      <c r="N172" s="43">
        <f>$N$6*'2.1. Toimintakatennuste'!AG163</f>
        <v>-23321.454401004095</v>
      </c>
      <c r="O172" s="43">
        <f>$O$6*'2.1. Toimintakatennuste'!AH163</f>
        <v>-23885.283922040384</v>
      </c>
      <c r="P172" s="43">
        <f>P$6*'2.1. Toimintakatennuste'!AI163</f>
        <v>-24298.206323127546</v>
      </c>
      <c r="Q172" s="43">
        <f>Q$6*'2.1. Toimintakatennuste'!AJ163</f>
        <v>-24592.5752651701</v>
      </c>
      <c r="R172" s="117"/>
      <c r="S172" s="34">
        <v>508</v>
      </c>
      <c r="T172" s="88" t="s">
        <v>486</v>
      </c>
      <c r="U172" s="41">
        <f>D172/'1. Väestöennuste'!E172*1000</f>
        <v>-6061.9577517917769</v>
      </c>
      <c r="V172" s="41">
        <f>E172/'1. Väestöennuste'!F172*1000</f>
        <v>-6326.9525267993877</v>
      </c>
      <c r="W172" s="41">
        <f>F172/'1. Väestöennuste'!G172*1000</f>
        <v>-6023.4984399375971</v>
      </c>
      <c r="X172" s="41">
        <f>G172/'1. Väestöennuste'!H172*1000</f>
        <v>-6356.7064008814987</v>
      </c>
      <c r="Y172" s="41">
        <f>H172/'1. Väestöennuste'!I172*1000</f>
        <v>-6584.0690005073566</v>
      </c>
      <c r="Z172" s="41">
        <f>I172/'1. Väestöennuste'!J172*1000</f>
        <v>-7006.8231158895896</v>
      </c>
      <c r="AA172" s="41">
        <f>J172/'1. Väestöennuste'!K172*1000</f>
        <v>-7230.9385820349262</v>
      </c>
      <c r="AB172" s="41">
        <f>K172/'1. Väestöennuste'!L172*1000</f>
        <v>-7447.4507222222228</v>
      </c>
      <c r="AC172" s="41">
        <f>L172/'1. Väestöennuste'!M172*1000</f>
        <v>-2238.7949466077016</v>
      </c>
      <c r="AD172" s="41">
        <f>M172/'1. Väestöennuste'!N172*1000</f>
        <v>-2370.6946474303377</v>
      </c>
      <c r="AE172" s="41">
        <f>N172/'1. Väestöennuste'!O172*1000</f>
        <v>-2646.2560309774308</v>
      </c>
      <c r="AF172" s="41">
        <f>O172/'1. Väestöennuste'!P172*1000</f>
        <v>-2753.0294976994451</v>
      </c>
      <c r="AG172" s="41">
        <f>P172/'1. Väestöennuste'!Q172*1000</f>
        <v>-2843.225640431494</v>
      </c>
      <c r="AH172" s="41">
        <f>Q172/'1. Väestöennuste'!R172*1000</f>
        <v>-2919.0000314741956</v>
      </c>
    </row>
    <row r="173" spans="1:34" customFormat="1" x14ac:dyDescent="0.25">
      <c r="A173" s="99">
        <v>2</v>
      </c>
      <c r="B173" s="30">
        <v>529</v>
      </c>
      <c r="C173" s="47" t="s">
        <v>487</v>
      </c>
      <c r="D173" s="65">
        <v>-88806</v>
      </c>
      <c r="E173" s="157">
        <v>-91240</v>
      </c>
      <c r="F173" s="157">
        <v>-89102</v>
      </c>
      <c r="G173" s="157">
        <v>-94020</v>
      </c>
      <c r="H173" s="43">
        <v>-97820</v>
      </c>
      <c r="I173" s="43">
        <v>-100926</v>
      </c>
      <c r="J173" s="159">
        <v>-100336.97262999999</v>
      </c>
      <c r="K173" s="43">
        <v>-107430.40759</v>
      </c>
      <c r="L173" s="43">
        <v>-42920.052990000004</v>
      </c>
      <c r="M173" s="43">
        <f>'2.1. Toimintakatennuste'!AX164</f>
        <v>-44569.637940649096</v>
      </c>
      <c r="N173" s="43">
        <f>$N$6*'2.1. Toimintakatennuste'!AG164</f>
        <v>-48376.404150350972</v>
      </c>
      <c r="O173" s="43">
        <f>$O$6*'2.1. Toimintakatennuste'!AH164</f>
        <v>-50112.398310778422</v>
      </c>
      <c r="P173" s="43">
        <f>P$6*'2.1. Toimintakatennuste'!AI164</f>
        <v>-51789.441876195066</v>
      </c>
      <c r="Q173" s="43">
        <f>Q$6*'2.1. Toimintakatennuste'!AJ164</f>
        <v>-53242.730212204769</v>
      </c>
      <c r="R173" s="117"/>
      <c r="S173" s="34">
        <v>529</v>
      </c>
      <c r="T173" s="88" t="s">
        <v>487</v>
      </c>
      <c r="U173" s="41">
        <f>D173/'1. Väestöennuste'!E173*1000</f>
        <v>-4683.6137334528776</v>
      </c>
      <c r="V173" s="41">
        <f>E173/'1. Väestöennuste'!F173*1000</f>
        <v>-4784.9800713236837</v>
      </c>
      <c r="W173" s="41">
        <f>F173/'1. Väestöennuste'!G173*1000</f>
        <v>-4648.7191527103869</v>
      </c>
      <c r="X173" s="41">
        <f>G173/'1. Väestöennuste'!H173*1000</f>
        <v>-4885.4247856586126</v>
      </c>
      <c r="Y173" s="41">
        <f>H173/'1. Väestöennuste'!I173*1000</f>
        <v>-5064.7198923060996</v>
      </c>
      <c r="Z173" s="41">
        <f>I173/'1. Väestöennuste'!J173*1000</f>
        <v>-5195.1407834457204</v>
      </c>
      <c r="AA173" s="41">
        <f>J173/'1. Väestöennuste'!K173*1000</f>
        <v>-5124.7240732417376</v>
      </c>
      <c r="AB173" s="41">
        <f>K173/'1. Väestöennuste'!L173*1000</f>
        <v>-5412.1112136020156</v>
      </c>
      <c r="AC173" s="41">
        <f>L173/'1. Väestöennuste'!M173*1000</f>
        <v>-2146.1099549977503</v>
      </c>
      <c r="AD173" s="41">
        <f>M173/'1. Väestöennuste'!N173*1000</f>
        <v>-2259.550719424542</v>
      </c>
      <c r="AE173" s="41">
        <f>N173/'1. Väestöennuste'!O173*1000</f>
        <v>-2443.2527348662106</v>
      </c>
      <c r="AF173" s="41">
        <f>O173/'1. Väestöennuste'!P173*1000</f>
        <v>-2521.6322805202249</v>
      </c>
      <c r="AG173" s="41">
        <f>P173/'1. Väestöennuste'!Q173*1000</f>
        <v>-2597.0034036804263</v>
      </c>
      <c r="AH173" s="41">
        <f>Q173/'1. Väestöennuste'!R173*1000</f>
        <v>-2661.0720817775273</v>
      </c>
    </row>
    <row r="174" spans="1:34" customFormat="1" x14ac:dyDescent="0.25">
      <c r="A174" s="99">
        <v>4</v>
      </c>
      <c r="B174" s="30">
        <v>531</v>
      </c>
      <c r="C174" s="47" t="s">
        <v>488</v>
      </c>
      <c r="D174" s="65">
        <v>-28887</v>
      </c>
      <c r="E174" s="157">
        <v>-28422</v>
      </c>
      <c r="F174" s="157">
        <v>-28294</v>
      </c>
      <c r="G174" s="157">
        <v>-28470</v>
      </c>
      <c r="H174" s="43">
        <v>-29962</v>
      </c>
      <c r="I174" s="43">
        <v>-30310</v>
      </c>
      <c r="J174" s="159">
        <v>-31997.681160000004</v>
      </c>
      <c r="K174" s="43">
        <v>-33396.56669</v>
      </c>
      <c r="L174" s="43">
        <v>-11636.330890000001</v>
      </c>
      <c r="M174" s="43">
        <f>'2.1. Toimintakatennuste'!AX165</f>
        <v>-11954.171970666188</v>
      </c>
      <c r="N174" s="43">
        <f>$N$6*'2.1. Toimintakatennuste'!AG165</f>
        <v>-13618.08719006048</v>
      </c>
      <c r="O174" s="43">
        <f>$O$6*'2.1. Toimintakatennuste'!AH165</f>
        <v>-13984.715881262167</v>
      </c>
      <c r="P174" s="43">
        <f>P$6*'2.1. Toimintakatennuste'!AI165</f>
        <v>-14555.852698911662</v>
      </c>
      <c r="Q174" s="43">
        <f>Q$6*'2.1. Toimintakatennuste'!AJ165</f>
        <v>-14808.137643219239</v>
      </c>
      <c r="R174" s="117"/>
      <c r="S174" s="34">
        <v>531</v>
      </c>
      <c r="T174" s="88" t="s">
        <v>488</v>
      </c>
      <c r="U174" s="41">
        <f>D174/'1. Väestöennuste'!E174*1000</f>
        <v>-5111.8386126349315</v>
      </c>
      <c r="V174" s="41">
        <f>E174/'1. Väestöennuste'!F174*1000</f>
        <v>-5122.9271809661141</v>
      </c>
      <c r="W174" s="41">
        <f>F174/'1. Väestöennuste'!G174*1000</f>
        <v>-5124.796232566564</v>
      </c>
      <c r="X174" s="41">
        <f>G174/'1. Väestöennuste'!H174*1000</f>
        <v>-5236.3435718226965</v>
      </c>
      <c r="Y174" s="41">
        <f>H174/'1. Väestöennuste'!I174*1000</f>
        <v>-5622.4432351285423</v>
      </c>
      <c r="Z174" s="41">
        <f>I174/'1. Väestöennuste'!J174*1000</f>
        <v>-5766.7427701674278</v>
      </c>
      <c r="AA174" s="41">
        <f>J174/'1. Väestöennuste'!K174*1000</f>
        <v>-6190.3039582124202</v>
      </c>
      <c r="AB174" s="41">
        <f>K174/'1. Väestöennuste'!L174*1000</f>
        <v>-6584.4965871451104</v>
      </c>
      <c r="AC174" s="41">
        <f>L174/'1. Väestöennuste'!M174*1000</f>
        <v>-2343.199937575514</v>
      </c>
      <c r="AD174" s="41">
        <f>M174/'1. Väestöennuste'!N174*1000</f>
        <v>-2401.8830561917193</v>
      </c>
      <c r="AE174" s="41">
        <f>N174/'1. Väestöennuste'!O174*1000</f>
        <v>-2775.2368432974281</v>
      </c>
      <c r="AF174" s="41">
        <f>O174/'1. Väestöennuste'!P174*1000</f>
        <v>-2889.4041076987951</v>
      </c>
      <c r="AG174" s="41">
        <f>P174/'1. Väestöennuste'!Q174*1000</f>
        <v>-3047.7078515309172</v>
      </c>
      <c r="AH174" s="41">
        <f>Q174/'1. Väestöennuste'!R174*1000</f>
        <v>-3141.9770089580393</v>
      </c>
    </row>
    <row r="175" spans="1:34" customFormat="1" x14ac:dyDescent="0.25">
      <c r="A175" s="99">
        <v>17</v>
      </c>
      <c r="B175" s="30">
        <v>535</v>
      </c>
      <c r="C175" s="47" t="s">
        <v>489</v>
      </c>
      <c r="D175" s="65">
        <v>-62104</v>
      </c>
      <c r="E175" s="157">
        <v>-63286</v>
      </c>
      <c r="F175" s="157">
        <v>-64209</v>
      </c>
      <c r="G175" s="157">
        <v>-66541</v>
      </c>
      <c r="H175" s="43">
        <v>-69273</v>
      </c>
      <c r="I175" s="43">
        <v>-70459</v>
      </c>
      <c r="J175" s="159">
        <v>-71910.67134999999</v>
      </c>
      <c r="K175" s="43">
        <v>-77263.269469999999</v>
      </c>
      <c r="L175" s="43">
        <v>-34688.584200000005</v>
      </c>
      <c r="M175" s="43">
        <f>'2.1. Toimintakatennuste'!AX166</f>
        <v>-35289.389284911413</v>
      </c>
      <c r="N175" s="43">
        <f>$N$6*'2.1. Toimintakatennuste'!AG166</f>
        <v>-37001.790471730215</v>
      </c>
      <c r="O175" s="43">
        <f>$O$6*'2.1. Toimintakatennuste'!AH166</f>
        <v>-37626.759749949859</v>
      </c>
      <c r="P175" s="43">
        <f>P$6*'2.1. Toimintakatennuste'!AI166</f>
        <v>-38030.121655055475</v>
      </c>
      <c r="Q175" s="43">
        <f>Q$6*'2.1. Toimintakatennuste'!AJ166</f>
        <v>-38323.26547158313</v>
      </c>
      <c r="R175" s="117"/>
      <c r="S175" s="34">
        <v>535</v>
      </c>
      <c r="T175" s="88" t="s">
        <v>489</v>
      </c>
      <c r="U175" s="41">
        <f>D175/'1. Väestöennuste'!E175*1000</f>
        <v>-5710.1875689591761</v>
      </c>
      <c r="V175" s="41">
        <f>E175/'1. Väestöennuste'!F175*1000</f>
        <v>-5811.9202865276884</v>
      </c>
      <c r="W175" s="41">
        <f>F175/'1. Väestöennuste'!G175*1000</f>
        <v>-5937.0319001386961</v>
      </c>
      <c r="X175" s="41">
        <f>G175/'1. Väestöennuste'!H175*1000</f>
        <v>-6197.3549408587123</v>
      </c>
      <c r="Y175" s="41">
        <f>H175/'1. Väestöennuste'!I175*1000</f>
        <v>-6511.2322586709279</v>
      </c>
      <c r="Z175" s="41">
        <f>I175/'1. Väestöennuste'!J175*1000</f>
        <v>-6710.3809523809523</v>
      </c>
      <c r="AA175" s="41">
        <f>J175/'1. Väestöennuste'!K175*1000</f>
        <v>-6917.1480713736037</v>
      </c>
      <c r="AB175" s="41">
        <f>K175/'1. Väestöennuste'!L175*1000</f>
        <v>-7415.6127718591033</v>
      </c>
      <c r="AC175" s="41">
        <f>L175/'1. Väestöennuste'!M175*1000</f>
        <v>-3318.2116127797976</v>
      </c>
      <c r="AD175" s="41">
        <f>M175/'1. Väestöennuste'!N175*1000</f>
        <v>-3506.8457999514471</v>
      </c>
      <c r="AE175" s="41">
        <f>N175/'1. Väestöennuste'!O175*1000</f>
        <v>-3716.1585288470642</v>
      </c>
      <c r="AF175" s="41">
        <f>O175/'1. Väestöennuste'!P175*1000</f>
        <v>-3821.1394079364131</v>
      </c>
      <c r="AG175" s="41">
        <f>P175/'1. Väestöennuste'!Q175*1000</f>
        <v>-3905.7329418769104</v>
      </c>
      <c r="AH175" s="41">
        <f>Q175/'1. Väestöennuste'!R175*1000</f>
        <v>-3979.9839517689406</v>
      </c>
    </row>
    <row r="176" spans="1:34" customFormat="1" x14ac:dyDescent="0.25">
      <c r="A176" s="99">
        <v>6</v>
      </c>
      <c r="B176" s="30">
        <v>536</v>
      </c>
      <c r="C176" s="47" t="s">
        <v>490</v>
      </c>
      <c r="D176" s="65">
        <v>-157079</v>
      </c>
      <c r="E176" s="157">
        <v>-155528</v>
      </c>
      <c r="F176" s="157">
        <v>-160526</v>
      </c>
      <c r="G176" s="157">
        <v>-164052</v>
      </c>
      <c r="H176" s="43">
        <v>-170296</v>
      </c>
      <c r="I176" s="43">
        <v>-175239</v>
      </c>
      <c r="J176" s="159">
        <v>-181737.06703000001</v>
      </c>
      <c r="K176" s="43">
        <v>-192959.93205</v>
      </c>
      <c r="L176" s="43">
        <v>-86666.667220000003</v>
      </c>
      <c r="M176" s="43">
        <f>'2.1. Toimintakatennuste'!AX167</f>
        <v>-88790.759138456822</v>
      </c>
      <c r="N176" s="43">
        <f>$N$6*'2.1. Toimintakatennuste'!AG167</f>
        <v>-98468.555067662455</v>
      </c>
      <c r="O176" s="43">
        <f>$O$6*'2.1. Toimintakatennuste'!AH167</f>
        <v>-101679.30600567859</v>
      </c>
      <c r="P176" s="43">
        <f>P$6*'2.1. Toimintakatennuste'!AI167</f>
        <v>-105320.29560230605</v>
      </c>
      <c r="Q176" s="43">
        <f>Q$6*'2.1. Toimintakatennuste'!AJ167</f>
        <v>-108544.07462983254</v>
      </c>
      <c r="R176" s="117"/>
      <c r="S176" s="34">
        <v>536</v>
      </c>
      <c r="T176" s="88" t="s">
        <v>490</v>
      </c>
      <c r="U176" s="41">
        <f>D176/'1. Väestöennuste'!E176*1000</f>
        <v>-4736.7167239611608</v>
      </c>
      <c r="V176" s="41">
        <f>E176/'1. Väestöennuste'!F176*1000</f>
        <v>-4683.1677205660944</v>
      </c>
      <c r="W176" s="41">
        <f>F176/'1. Väestöennuste'!G176*1000</f>
        <v>-4817.4179220935112</v>
      </c>
      <c r="X176" s="41">
        <f>G176/'1. Väestöennuste'!H176*1000</f>
        <v>-4893.1309094162907</v>
      </c>
      <c r="Y176" s="41">
        <f>H176/'1. Väestöennuste'!I176*1000</f>
        <v>-5019.1871260573553</v>
      </c>
      <c r="Z176" s="41">
        <f>I176/'1. Väestöennuste'!J176*1000</f>
        <v>-5082.9272537417328</v>
      </c>
      <c r="AA176" s="41">
        <f>J176/'1. Väestöennuste'!K176*1000</f>
        <v>-5209.7542434927191</v>
      </c>
      <c r="AB176" s="41">
        <f>K176/'1. Väestöennuste'!L176*1000</f>
        <v>-5459.1730903072485</v>
      </c>
      <c r="AC176" s="41">
        <f>L176/'1. Väestöennuste'!M176*1000</f>
        <v>-2431.2471517939798</v>
      </c>
      <c r="AD176" s="41">
        <f>M176/'1. Väestöennuste'!N176*1000</f>
        <v>-2500.4437943806483</v>
      </c>
      <c r="AE176" s="41">
        <f>N176/'1. Väestöennuste'!O176*1000</f>
        <v>-2755.8298135418113</v>
      </c>
      <c r="AF176" s="41">
        <f>O176/'1. Väestöennuste'!P176*1000</f>
        <v>-2828.9829727249066</v>
      </c>
      <c r="AG176" s="41">
        <f>P176/'1. Väestöennuste'!Q176*1000</f>
        <v>-2914.3112870391005</v>
      </c>
      <c r="AH176" s="41">
        <f>Q176/'1. Väestöennuste'!R176*1000</f>
        <v>-2988.3837517161096</v>
      </c>
    </row>
    <row r="177" spans="1:34" customFormat="1" x14ac:dyDescent="0.25">
      <c r="A177" s="99">
        <v>2</v>
      </c>
      <c r="B177" s="30">
        <v>538</v>
      </c>
      <c r="C177" s="47" t="s">
        <v>491</v>
      </c>
      <c r="D177" s="65">
        <v>-24764</v>
      </c>
      <c r="E177" s="157">
        <v>-25871</v>
      </c>
      <c r="F177" s="157">
        <v>-25178</v>
      </c>
      <c r="G177" s="157">
        <v>-25683</v>
      </c>
      <c r="H177" s="43">
        <v>-26771</v>
      </c>
      <c r="I177" s="43">
        <v>-26157</v>
      </c>
      <c r="J177" s="159">
        <v>-27628.8197</v>
      </c>
      <c r="K177" s="43">
        <v>-29304.54781</v>
      </c>
      <c r="L177" s="43">
        <v>-14655.403630000001</v>
      </c>
      <c r="M177" s="43">
        <f>'2.1. Toimintakatennuste'!AX168</f>
        <v>-14855.115244005827</v>
      </c>
      <c r="N177" s="43">
        <f>$N$6*'2.1. Toimintakatennuste'!AG168</f>
        <v>-16204.487929281529</v>
      </c>
      <c r="O177" s="43">
        <f>$O$6*'2.1. Toimintakatennuste'!AH168</f>
        <v>-16803.7787041353</v>
      </c>
      <c r="P177" s="43">
        <f>P$6*'2.1. Toimintakatennuste'!AI168</f>
        <v>-17480.248661479502</v>
      </c>
      <c r="Q177" s="43">
        <f>Q$6*'2.1. Toimintakatennuste'!AJ168</f>
        <v>-18051.675151820466</v>
      </c>
      <c r="R177" s="117"/>
      <c r="S177" s="34">
        <v>538</v>
      </c>
      <c r="T177" s="88" t="s">
        <v>491</v>
      </c>
      <c r="U177" s="41">
        <f>D177/'1. Väestöennuste'!E177*1000</f>
        <v>-5096.5219180901422</v>
      </c>
      <c r="V177" s="41">
        <f>E177/'1. Väestöennuste'!F177*1000</f>
        <v>-5373.0010384215993</v>
      </c>
      <c r="W177" s="41">
        <f>F177/'1. Väestöennuste'!G177*1000</f>
        <v>-5231.2487014336166</v>
      </c>
      <c r="X177" s="41">
        <f>G177/'1. Väestöennuste'!H177*1000</f>
        <v>-5426.3680540883161</v>
      </c>
      <c r="Y177" s="41">
        <f>H177/'1. Väestöennuste'!I177*1000</f>
        <v>-5677.8366914103917</v>
      </c>
      <c r="Z177" s="41">
        <f>I177/'1. Väestöennuste'!J177*1000</f>
        <v>-5573.6202855316424</v>
      </c>
      <c r="AA177" s="41">
        <f>J177/'1. Väestöennuste'!K177*1000</f>
        <v>-5892.2626786095116</v>
      </c>
      <c r="AB177" s="41">
        <f>K177/'1. Väestöennuste'!L177*1000</f>
        <v>-6310.1954801894917</v>
      </c>
      <c r="AC177" s="41">
        <f>L177/'1. Väestöennuste'!M177*1000</f>
        <v>-3121.4917209797659</v>
      </c>
      <c r="AD177" s="41">
        <f>M177/'1. Väestöennuste'!N177*1000</f>
        <v>-3220.2721101248271</v>
      </c>
      <c r="AE177" s="41">
        <f>N177/'1. Väestöennuste'!O177*1000</f>
        <v>-3525.0136892063365</v>
      </c>
      <c r="AF177" s="41">
        <f>O177/'1. Väestöennuste'!P177*1000</f>
        <v>-3668.146409983694</v>
      </c>
      <c r="AG177" s="41">
        <f>P177/'1. Väestöennuste'!Q177*1000</f>
        <v>-3827.5122972365889</v>
      </c>
      <c r="AH177" s="41">
        <f>Q177/'1. Väestöennuste'!R177*1000</f>
        <v>-3963.9163706237296</v>
      </c>
    </row>
    <row r="178" spans="1:34" customFormat="1" x14ac:dyDescent="0.25">
      <c r="A178" s="99">
        <v>12</v>
      </c>
      <c r="B178" s="30">
        <v>541</v>
      </c>
      <c r="C178" s="47" t="s">
        <v>492</v>
      </c>
      <c r="D178" s="65">
        <v>-47767</v>
      </c>
      <c r="E178" s="157">
        <v>-48763</v>
      </c>
      <c r="F178" s="157">
        <v>-47339</v>
      </c>
      <c r="G178" s="160">
        <v>-62842</v>
      </c>
      <c r="H178" s="43">
        <v>-65819</v>
      </c>
      <c r="I178" s="43">
        <v>-65738</v>
      </c>
      <c r="J178" s="159">
        <v>-70062.103170000002</v>
      </c>
      <c r="K178" s="43">
        <v>-74071.709010000006</v>
      </c>
      <c r="L178" s="43">
        <v>-26055.028610000001</v>
      </c>
      <c r="M178" s="43">
        <f>'2.1. Toimintakatennuste'!AX169</f>
        <v>-26532.203264498676</v>
      </c>
      <c r="N178" s="43">
        <f>$N$6*'2.1. Toimintakatennuste'!AG169</f>
        <v>-29476.635333748389</v>
      </c>
      <c r="O178" s="43">
        <f>$O$6*'2.1. Toimintakatennuste'!AH169</f>
        <v>-30157.688167061151</v>
      </c>
      <c r="P178" s="43">
        <f>P$6*'2.1. Toimintakatennuste'!AI169</f>
        <v>-30998.397207488302</v>
      </c>
      <c r="Q178" s="43">
        <f>Q$6*'2.1. Toimintakatennuste'!AJ169</f>
        <v>-31429.322395741528</v>
      </c>
      <c r="R178" s="117"/>
      <c r="S178" s="34">
        <v>541</v>
      </c>
      <c r="T178" s="88" t="s">
        <v>492</v>
      </c>
      <c r="U178" s="41">
        <f>D178/'1. Väestöennuste'!E178*1000</f>
        <v>-5973.8619309654832</v>
      </c>
      <c r="V178" s="41">
        <f>E178/'1. Väestöennuste'!F178*1000</f>
        <v>-4813.721618953603</v>
      </c>
      <c r="W178" s="41">
        <f>F178/'1. Väestöennuste'!G178*1000</f>
        <v>-4741.961334268256</v>
      </c>
      <c r="X178" s="41">
        <f>G178/'1. Väestöennuste'!H178*1000</f>
        <v>-6422.9354047424367</v>
      </c>
      <c r="Y178" s="41">
        <f>H178/'1. Väestöennuste'!I178*1000</f>
        <v>-6890.598827470686</v>
      </c>
      <c r="Z178" s="41">
        <f>I178/'1. Väestöennuste'!J178*1000</f>
        <v>-6919.0611514577413</v>
      </c>
      <c r="AA178" s="41">
        <f>J178/'1. Väestöennuste'!K178*1000</f>
        <v>-7435.2226647564466</v>
      </c>
      <c r="AB178" s="41">
        <f>K178/'1. Väestöennuste'!L178*1000</f>
        <v>-8013.8168354430391</v>
      </c>
      <c r="AC178" s="41">
        <f>L178/'1. Väestöennuste'!M178*1000</f>
        <v>-2853.7818849945234</v>
      </c>
      <c r="AD178" s="41">
        <f>M178/'1. Väestöennuste'!N178*1000</f>
        <v>-2985.8432663176541</v>
      </c>
      <c r="AE178" s="41">
        <f>N178/'1. Väestöennuste'!O178*1000</f>
        <v>-3370.2990319858663</v>
      </c>
      <c r="AF178" s="41">
        <f>O178/'1. Väestöennuste'!P178*1000</f>
        <v>-3501.0086100605004</v>
      </c>
      <c r="AG178" s="41">
        <f>P178/'1. Väestöennuste'!Q178*1000</f>
        <v>-3651.1657488207661</v>
      </c>
      <c r="AH178" s="41">
        <f>Q178/'1. Väestöennuste'!R178*1000</f>
        <v>-3754.0996650431834</v>
      </c>
    </row>
    <row r="179" spans="1:34" customFormat="1" x14ac:dyDescent="0.25">
      <c r="A179" s="99">
        <v>1</v>
      </c>
      <c r="B179" s="30">
        <v>543</v>
      </c>
      <c r="C179" s="47" t="s">
        <v>493</v>
      </c>
      <c r="D179" s="65">
        <v>-191212</v>
      </c>
      <c r="E179" s="157">
        <v>-192090</v>
      </c>
      <c r="F179" s="157">
        <v>-192789</v>
      </c>
      <c r="G179" s="157">
        <v>-207442</v>
      </c>
      <c r="H179" s="43">
        <v>-221059</v>
      </c>
      <c r="I179" s="43">
        <v>-225197</v>
      </c>
      <c r="J179" s="159">
        <v>-217849.07526999997</v>
      </c>
      <c r="K179" s="43">
        <v>-240542.37086000002</v>
      </c>
      <c r="L179" s="43">
        <v>-97371.628769999996</v>
      </c>
      <c r="M179" s="43">
        <f>'2.1. Toimintakatennuste'!AX170</f>
        <v>-111853.38753617222</v>
      </c>
      <c r="N179" s="43">
        <f>$N$6*'2.1. Toimintakatennuste'!AG170</f>
        <v>-109865.94447021396</v>
      </c>
      <c r="O179" s="43">
        <f>$O$6*'2.1. Toimintakatennuste'!AH170</f>
        <v>-114013.42341449995</v>
      </c>
      <c r="P179" s="43">
        <f>P$6*'2.1. Toimintakatennuste'!AI170</f>
        <v>-118701.79915353691</v>
      </c>
      <c r="Q179" s="43">
        <f>Q$6*'2.1. Toimintakatennuste'!AJ170</f>
        <v>-122779.42347012671</v>
      </c>
      <c r="R179" s="117"/>
      <c r="S179" s="34">
        <v>543</v>
      </c>
      <c r="T179" s="88" t="s">
        <v>493</v>
      </c>
      <c r="U179" s="41">
        <f>D179/'1. Väestöennuste'!E179*1000</f>
        <v>-4563.8589875170055</v>
      </c>
      <c r="V179" s="41">
        <f>E179/'1. Väestöennuste'!F179*1000</f>
        <v>-4572.4827422042363</v>
      </c>
      <c r="W179" s="41">
        <f>F179/'1. Väestöennuste'!G179*1000</f>
        <v>-4572.9025830783467</v>
      </c>
      <c r="X179" s="41">
        <f>G179/'1. Väestöennuste'!H179*1000</f>
        <v>-4862.1118012422357</v>
      </c>
      <c r="Y179" s="41">
        <f>H179/'1. Väestöennuste'!I179*1000</f>
        <v>-5141.7440048379967</v>
      </c>
      <c r="Z179" s="41">
        <f>I179/'1. Väestöennuste'!J179*1000</f>
        <v>-5157.6162883906281</v>
      </c>
      <c r="AA179" s="41">
        <f>J179/'1. Väestöennuste'!K179*1000</f>
        <v>-4936.8657572461298</v>
      </c>
      <c r="AB179" s="41">
        <f>K179/'1. Väestöennuste'!L179*1000</f>
        <v>-5410.5531256466784</v>
      </c>
      <c r="AC179" s="41">
        <f>L179/'1. Väestöennuste'!M179*1000</f>
        <v>-2174.2018258345424</v>
      </c>
      <c r="AD179" s="41">
        <f>M179/'1. Väestöennuste'!N179*1000</f>
        <v>-2477.4826689149513</v>
      </c>
      <c r="AE179" s="41">
        <f>N179/'1. Väestöennuste'!O179*1000</f>
        <v>-2415.273137315643</v>
      </c>
      <c r="AF179" s="41">
        <f>O179/'1. Väestöennuste'!P179*1000</f>
        <v>-2488.2894677979039</v>
      </c>
      <c r="AG179" s="41">
        <f>P179/'1. Väestöennuste'!Q179*1000</f>
        <v>-2572.5325983602124</v>
      </c>
      <c r="AH179" s="41">
        <f>Q179/'1. Väestöennuste'!R179*1000</f>
        <v>-2643.3168307202891</v>
      </c>
    </row>
    <row r="180" spans="1:34" customFormat="1" x14ac:dyDescent="0.25">
      <c r="A180" s="99">
        <v>15</v>
      </c>
      <c r="B180" s="30">
        <v>545</v>
      </c>
      <c r="C180" s="47" t="s">
        <v>494</v>
      </c>
      <c r="D180" s="65">
        <v>-52128</v>
      </c>
      <c r="E180" s="157">
        <v>-52405</v>
      </c>
      <c r="F180" s="157">
        <v>-52125</v>
      </c>
      <c r="G180" s="157">
        <v>-55570</v>
      </c>
      <c r="H180" s="43">
        <v>-58004</v>
      </c>
      <c r="I180" s="43">
        <v>-59030</v>
      </c>
      <c r="J180" s="159">
        <v>-61637.858420000011</v>
      </c>
      <c r="K180" s="43">
        <v>-65415.134439999994</v>
      </c>
      <c r="L180" s="43">
        <v>-28090.071520000001</v>
      </c>
      <c r="M180" s="43">
        <f>'2.1. Toimintakatennuste'!AX171</f>
        <v>-29502.256592090478</v>
      </c>
      <c r="N180" s="43">
        <f>$N$6*'2.1. Toimintakatennuste'!AG171</f>
        <v>-31352.293168756081</v>
      </c>
      <c r="O180" s="43">
        <f>$O$6*'2.1. Toimintakatennuste'!AH171</f>
        <v>-32988.369700076015</v>
      </c>
      <c r="P180" s="43">
        <f>P$6*'2.1. Toimintakatennuste'!AI171</f>
        <v>-34218.185449584169</v>
      </c>
      <c r="Q180" s="43">
        <f>Q$6*'2.1. Toimintakatennuste'!AJ171</f>
        <v>-35418.245038257119</v>
      </c>
      <c r="R180" s="117"/>
      <c r="S180" s="34">
        <v>545</v>
      </c>
      <c r="T180" s="88" t="s">
        <v>494</v>
      </c>
      <c r="U180" s="41">
        <f>D180/'1. Väestöennuste'!E180*1000</f>
        <v>-5553.211888782359</v>
      </c>
      <c r="V180" s="41">
        <f>E180/'1. Väestöennuste'!F180*1000</f>
        <v>-5551.9652505562035</v>
      </c>
      <c r="W180" s="41">
        <f>F180/'1. Väestöennuste'!G180*1000</f>
        <v>-5482.8021457873137</v>
      </c>
      <c r="X180" s="41">
        <f>G180/'1. Väestöennuste'!H180*1000</f>
        <v>-5867.3846478724527</v>
      </c>
      <c r="Y180" s="41">
        <f>H180/'1. Väestöennuste'!I180*1000</f>
        <v>-6119.2108872243907</v>
      </c>
      <c r="Z180" s="41">
        <f>I180/'1. Väestöennuste'!J180*1000</f>
        <v>-6175.9782381251307</v>
      </c>
      <c r="AA180" s="41">
        <f>J180/'1. Väestöennuste'!K180*1000</f>
        <v>-6446.126168165657</v>
      </c>
      <c r="AB180" s="41">
        <f>K180/'1. Väestöennuste'!L180*1000</f>
        <v>-6825.4522579298819</v>
      </c>
      <c r="AC180" s="41">
        <f>L180/'1. Väestöennuste'!M180*1000</f>
        <v>-2919.6623552645256</v>
      </c>
      <c r="AD180" s="41">
        <f>M180/'1. Väestöennuste'!N180*1000</f>
        <v>-3069.3150844871493</v>
      </c>
      <c r="AE180" s="41">
        <f>N180/'1. Väestöennuste'!O180*1000</f>
        <v>-3258.3967126123553</v>
      </c>
      <c r="AF180" s="41">
        <f>O180/'1. Väestöennuste'!P180*1000</f>
        <v>-3426.2951495716675</v>
      </c>
      <c r="AG180" s="41">
        <f>P180/'1. Väestöennuste'!Q180*1000</f>
        <v>-3551.8149729690854</v>
      </c>
      <c r="AH180" s="41">
        <f>Q180/'1. Väestöennuste'!R180*1000</f>
        <v>-3674.8542268372189</v>
      </c>
    </row>
    <row r="181" spans="1:34" customFormat="1" x14ac:dyDescent="0.25">
      <c r="A181" s="99">
        <v>7</v>
      </c>
      <c r="B181" s="30">
        <v>560</v>
      </c>
      <c r="C181" s="47" t="s">
        <v>495</v>
      </c>
      <c r="D181" s="65">
        <v>-83661</v>
      </c>
      <c r="E181" s="157">
        <v>-84625</v>
      </c>
      <c r="F181" s="157">
        <v>-84163</v>
      </c>
      <c r="G181" s="157">
        <v>-85940</v>
      </c>
      <c r="H181" s="43">
        <v>-88924</v>
      </c>
      <c r="I181" s="43">
        <v>-89651</v>
      </c>
      <c r="J181" s="159">
        <v>-90874.325419999994</v>
      </c>
      <c r="K181" s="43">
        <v>-99149.35772</v>
      </c>
      <c r="L181" s="43">
        <v>-41086.292090000003</v>
      </c>
      <c r="M181" s="43">
        <f>'2.1. Toimintakatennuste'!AX172</f>
        <v>-41110.261053446171</v>
      </c>
      <c r="N181" s="43">
        <f>$N$6*'2.1. Toimintakatennuste'!AG172</f>
        <v>-45682.672650658948</v>
      </c>
      <c r="O181" s="43">
        <f>$O$6*'2.1. Toimintakatennuste'!AH172</f>
        <v>-47257.114859659901</v>
      </c>
      <c r="P181" s="43">
        <f>P$6*'2.1. Toimintakatennuste'!AI172</f>
        <v>-48430.297881654449</v>
      </c>
      <c r="Q181" s="43">
        <f>Q$6*'2.1. Toimintakatennuste'!AJ172</f>
        <v>-49592.033402955582</v>
      </c>
      <c r="R181" s="117"/>
      <c r="S181" s="34">
        <v>560</v>
      </c>
      <c r="T181" s="88" t="s">
        <v>495</v>
      </c>
      <c r="U181" s="41">
        <f>D181/'1. Väestöennuste'!E181*1000</f>
        <v>-5124.402793090775</v>
      </c>
      <c r="V181" s="41">
        <f>E181/'1. Väestöennuste'!F181*1000</f>
        <v>-5198.4151360648684</v>
      </c>
      <c r="W181" s="41">
        <f>F181/'1. Väestöennuste'!G181*1000</f>
        <v>-5188.5210529560445</v>
      </c>
      <c r="X181" s="41">
        <f>G181/'1. Väestöennuste'!H181*1000</f>
        <v>-5340.8737803741224</v>
      </c>
      <c r="Y181" s="41">
        <f>H181/'1. Väestöennuste'!I181*1000</f>
        <v>-5556.7081172280195</v>
      </c>
      <c r="Z181" s="41">
        <f>I181/'1. Väestöennuste'!J181*1000</f>
        <v>-5644.8180329933266</v>
      </c>
      <c r="AA181" s="41">
        <f>J181/'1. Väestöennuste'!K181*1000</f>
        <v>-5748.6288853744936</v>
      </c>
      <c r="AB181" s="41">
        <f>K181/'1. Väestöennuste'!L181*1000</f>
        <v>-6301.1984569431197</v>
      </c>
      <c r="AC181" s="41">
        <f>L181/'1. Väestöennuste'!M181*1000</f>
        <v>-2622.1387510370796</v>
      </c>
      <c r="AD181" s="41">
        <f>M181/'1. Väestöennuste'!N181*1000</f>
        <v>-2648.3451042611723</v>
      </c>
      <c r="AE181" s="41">
        <f>N181/'1. Väestöennuste'!O181*1000</f>
        <v>-2960.0643200064114</v>
      </c>
      <c r="AF181" s="41">
        <f>O181/'1. Väestöennuste'!P181*1000</f>
        <v>-3079.0405824641584</v>
      </c>
      <c r="AG181" s="41">
        <f>P181/'1. Väestöennuste'!Q181*1000</f>
        <v>-3172.4287882650628</v>
      </c>
      <c r="AH181" s="41">
        <f>Q181/'1. Väestöennuste'!R181*1000</f>
        <v>-3266.0717467699938</v>
      </c>
    </row>
    <row r="182" spans="1:34" customFormat="1" x14ac:dyDescent="0.25">
      <c r="A182" s="99">
        <v>2</v>
      </c>
      <c r="B182" s="30">
        <v>561</v>
      </c>
      <c r="C182" s="47" t="s">
        <v>496</v>
      </c>
      <c r="D182" s="65">
        <v>-7393</v>
      </c>
      <c r="E182" s="157">
        <v>-7430</v>
      </c>
      <c r="F182" s="157">
        <v>-7925</v>
      </c>
      <c r="G182" s="157">
        <v>-8570</v>
      </c>
      <c r="H182" s="43">
        <v>-8272</v>
      </c>
      <c r="I182" s="43">
        <v>-8140</v>
      </c>
      <c r="J182" s="159">
        <v>-7977.4676000000009</v>
      </c>
      <c r="K182" s="43">
        <v>-8868.6890999999996</v>
      </c>
      <c r="L182" s="43">
        <v>-4131.3174300000001</v>
      </c>
      <c r="M182" s="43">
        <f>'2.1. Toimintakatennuste'!AX173</f>
        <v>-3974.51552053877</v>
      </c>
      <c r="N182" s="43">
        <f>$N$6*'2.1. Toimintakatennuste'!AG173</f>
        <v>-4649.9603524274662</v>
      </c>
      <c r="O182" s="43">
        <f>$O$6*'2.1. Toimintakatennuste'!AH173</f>
        <v>-4907.1978800199458</v>
      </c>
      <c r="P182" s="43">
        <f>P$6*'2.1. Toimintakatennuste'!AI173</f>
        <v>-5038.8984795488095</v>
      </c>
      <c r="Q182" s="43">
        <f>Q$6*'2.1. Toimintakatennuste'!AJ173</f>
        <v>-5225.2691283836739</v>
      </c>
      <c r="R182" s="117"/>
      <c r="S182" s="34">
        <v>561</v>
      </c>
      <c r="T182" s="88" t="s">
        <v>496</v>
      </c>
      <c r="U182" s="41">
        <f>D182/'1. Väestöennuste'!E182*1000</f>
        <v>-5368.9179375453887</v>
      </c>
      <c r="V182" s="41">
        <f>E182/'1. Väestöennuste'!F182*1000</f>
        <v>-5451.2105649303003</v>
      </c>
      <c r="W182" s="41">
        <f>F182/'1. Väestöennuste'!G182*1000</f>
        <v>-5734.4428364688856</v>
      </c>
      <c r="X182" s="41">
        <f>G182/'1. Väestöennuste'!H182*1000</f>
        <v>-6282.9912023460411</v>
      </c>
      <c r="Y182" s="41">
        <f>H182/'1. Väestöennuste'!I182*1000</f>
        <v>-6224.2287434161017</v>
      </c>
      <c r="Z182" s="41">
        <f>I182/'1. Väestöennuste'!J182*1000</f>
        <v>-6101.9490254872562</v>
      </c>
      <c r="AA182" s="41">
        <f>J182/'1. Väestöennuste'!K182*1000</f>
        <v>-5966.6922961854907</v>
      </c>
      <c r="AB182" s="41">
        <f>K182/'1. Väestöennuste'!L182*1000</f>
        <v>-6734.008428246013</v>
      </c>
      <c r="AC182" s="41">
        <f>L182/'1. Väestöennuste'!M182*1000</f>
        <v>-3141.6862585551335</v>
      </c>
      <c r="AD182" s="41">
        <f>M182/'1. Väestöennuste'!N182*1000</f>
        <v>-3033.981313388374</v>
      </c>
      <c r="AE182" s="41">
        <f>N182/'1. Väestöennuste'!O182*1000</f>
        <v>-3563.1880095229626</v>
      </c>
      <c r="AF182" s="41">
        <f>O182/'1. Väestöennuste'!P182*1000</f>
        <v>-3771.8661645041861</v>
      </c>
      <c r="AG182" s="41">
        <f>P182/'1. Väestöennuste'!Q182*1000</f>
        <v>-3882.0481352456159</v>
      </c>
      <c r="AH182" s="41">
        <f>Q182/'1. Väestöennuste'!R182*1000</f>
        <v>-4034.9568558947285</v>
      </c>
    </row>
    <row r="183" spans="1:34" customFormat="1" x14ac:dyDescent="0.25">
      <c r="A183" s="99">
        <v>6</v>
      </c>
      <c r="B183" s="30">
        <v>562</v>
      </c>
      <c r="C183" s="47" t="s">
        <v>497</v>
      </c>
      <c r="D183" s="65">
        <v>-53260</v>
      </c>
      <c r="E183" s="157">
        <v>-53061</v>
      </c>
      <c r="F183" s="157">
        <v>-53138</v>
      </c>
      <c r="G183" s="157">
        <v>-54227</v>
      </c>
      <c r="H183" s="43">
        <v>-55336</v>
      </c>
      <c r="I183" s="43">
        <v>-57782</v>
      </c>
      <c r="J183" s="159">
        <v>-59618.5268</v>
      </c>
      <c r="K183" s="43">
        <v>-61498.419840000002</v>
      </c>
      <c r="L183" s="43">
        <v>-22669.323049999999</v>
      </c>
      <c r="M183" s="43">
        <f>'2.1. Toimintakatennuste'!AX174</f>
        <v>-24498.629589940443</v>
      </c>
      <c r="N183" s="43">
        <f>$N$6*'2.1. Toimintakatennuste'!AG174</f>
        <v>-24906.135226395043</v>
      </c>
      <c r="O183" s="43">
        <f>$O$6*'2.1. Toimintakatennuste'!AH174</f>
        <v>-25420.719829490623</v>
      </c>
      <c r="P183" s="43">
        <f>P$6*'2.1. Toimintakatennuste'!AI174</f>
        <v>-26180.64836376084</v>
      </c>
      <c r="Q183" s="43">
        <f>Q$6*'2.1. Toimintakatennuste'!AJ174</f>
        <v>-26734.266905382246</v>
      </c>
      <c r="R183" s="117"/>
      <c r="S183" s="34">
        <v>562</v>
      </c>
      <c r="T183" s="88" t="s">
        <v>497</v>
      </c>
      <c r="U183" s="41">
        <f>D183/'1. Väestöennuste'!E183*1000</f>
        <v>-5661.1394557823123</v>
      </c>
      <c r="V183" s="41">
        <f>E183/'1. Väestöennuste'!F183*1000</f>
        <v>-5698.1314432989693</v>
      </c>
      <c r="W183" s="41">
        <f>F183/'1. Väestöennuste'!G183*1000</f>
        <v>-5722.9940764674211</v>
      </c>
      <c r="X183" s="41">
        <f>G183/'1. Väestöennuste'!H183*1000</f>
        <v>-5880.8155297690055</v>
      </c>
      <c r="Y183" s="41">
        <f>H183/'1. Väestöennuste'!I183*1000</f>
        <v>-6042.3673291111591</v>
      </c>
      <c r="Z183" s="41">
        <f>I183/'1. Väestöennuste'!J183*1000</f>
        <v>-6414.5204262877442</v>
      </c>
      <c r="AA183" s="41">
        <f>J183/'1. Väestöennuste'!K183*1000</f>
        <v>-6640.5131209623523</v>
      </c>
      <c r="AB183" s="41">
        <f>K183/'1. Väestöennuste'!L183*1000</f>
        <v>-6882.8673575825405</v>
      </c>
      <c r="AC183" s="41">
        <f>L183/'1. Väestöennuste'!M183*1000</f>
        <v>-2564.6931836180565</v>
      </c>
      <c r="AD183" s="41">
        <f>M183/'1. Väestöennuste'!N183*1000</f>
        <v>-2821.4476091144124</v>
      </c>
      <c r="AE183" s="41">
        <f>N183/'1. Väestöennuste'!O183*1000</f>
        <v>-2891.6910747004576</v>
      </c>
      <c r="AF183" s="41">
        <f>O183/'1. Väestöennuste'!P183*1000</f>
        <v>-2974.9233270322557</v>
      </c>
      <c r="AG183" s="41">
        <f>P183/'1. Väestöennuste'!Q183*1000</f>
        <v>-3087.340608934061</v>
      </c>
      <c r="AH183" s="41">
        <f>Q183/'1. Väestöennuste'!R183*1000</f>
        <v>-3175.4682153916438</v>
      </c>
    </row>
    <row r="184" spans="1:34" customFormat="1" x14ac:dyDescent="0.25">
      <c r="A184" s="99">
        <v>17</v>
      </c>
      <c r="B184" s="30">
        <v>563</v>
      </c>
      <c r="C184" s="47" t="s">
        <v>498</v>
      </c>
      <c r="D184" s="65">
        <v>-45556</v>
      </c>
      <c r="E184" s="157">
        <v>-47280</v>
      </c>
      <c r="F184" s="157">
        <v>-46552</v>
      </c>
      <c r="G184" s="157">
        <v>-48669</v>
      </c>
      <c r="H184" s="43">
        <v>-50211</v>
      </c>
      <c r="I184" s="43">
        <v>-50018</v>
      </c>
      <c r="J184" s="159">
        <v>-54083.407920000005</v>
      </c>
      <c r="K184" s="43">
        <v>-57607.123009999996</v>
      </c>
      <c r="L184" s="43">
        <v>-20998.169620000001</v>
      </c>
      <c r="M184" s="43">
        <f>'2.1. Toimintakatennuste'!AX175</f>
        <v>-19789.765158129023</v>
      </c>
      <c r="N184" s="43">
        <f>$N$6*'2.1. Toimintakatennuste'!AG175</f>
        <v>-22746.670729130627</v>
      </c>
      <c r="O184" s="43">
        <f>$O$6*'2.1. Toimintakatennuste'!AH175</f>
        <v>-23249.027585196993</v>
      </c>
      <c r="P184" s="43">
        <f>P$6*'2.1. Toimintakatennuste'!AI175</f>
        <v>-23704.207692006388</v>
      </c>
      <c r="Q184" s="43">
        <f>Q$6*'2.1. Toimintakatennuste'!AJ175</f>
        <v>-23997.128151533259</v>
      </c>
      <c r="R184" s="117"/>
      <c r="S184" s="34">
        <v>563</v>
      </c>
      <c r="T184" s="88" t="s">
        <v>498</v>
      </c>
      <c r="U184" s="41">
        <f>D184/'1. Väestöennuste'!E184*1000</f>
        <v>-5986.3337713534829</v>
      </c>
      <c r="V184" s="41">
        <f>E184/'1. Väestöennuste'!F184*1000</f>
        <v>-6292.2544583444233</v>
      </c>
      <c r="W184" s="41">
        <f>F184/'1. Väestöennuste'!G184*1000</f>
        <v>-6230.1927194860809</v>
      </c>
      <c r="X184" s="41">
        <f>G184/'1. Väestöennuste'!H184*1000</f>
        <v>-6550.3364737550473</v>
      </c>
      <c r="Y184" s="41">
        <f>H184/'1. Väestöennuste'!I184*1000</f>
        <v>-6889.5444566410533</v>
      </c>
      <c r="Z184" s="41">
        <f>I184/'1. Väestöennuste'!J184*1000</f>
        <v>-6990.6359189378063</v>
      </c>
      <c r="AA184" s="41">
        <f>J184/'1. Väestöennuste'!K184*1000</f>
        <v>-7615.2362602083931</v>
      </c>
      <c r="AB184" s="41">
        <f>K184/'1. Väestöennuste'!L184*1000</f>
        <v>-8200.3022078291797</v>
      </c>
      <c r="AC184" s="41">
        <f>L184/'1. Väestöennuste'!M184*1000</f>
        <v>-3009.1959902550875</v>
      </c>
      <c r="AD184" s="41">
        <f>M184/'1. Väestöennuste'!N184*1000</f>
        <v>-2900.8744001948139</v>
      </c>
      <c r="AE184" s="41">
        <f>N184/'1. Väestöennuste'!O184*1000</f>
        <v>-3373.8758126862394</v>
      </c>
      <c r="AF184" s="41">
        <f>O184/'1. Väestöennuste'!P184*1000</f>
        <v>-3489.2732380604821</v>
      </c>
      <c r="AG184" s="41">
        <f>P184/'1. Väestöennuste'!Q184*1000</f>
        <v>-3599.1812468883068</v>
      </c>
      <c r="AH184" s="41">
        <f>Q184/'1. Väestöennuste'!R184*1000</f>
        <v>-3684.4968757152251</v>
      </c>
    </row>
    <row r="185" spans="1:34" customFormat="1" x14ac:dyDescent="0.25">
      <c r="A185" s="99">
        <v>17</v>
      </c>
      <c r="B185" s="30">
        <v>564</v>
      </c>
      <c r="C185" s="47" t="s">
        <v>499</v>
      </c>
      <c r="D185" s="65">
        <v>-929517</v>
      </c>
      <c r="E185" s="157">
        <v>-949176</v>
      </c>
      <c r="F185" s="157">
        <v>-943423</v>
      </c>
      <c r="G185" s="157">
        <v>-984637</v>
      </c>
      <c r="H185" s="43">
        <v>-1049107</v>
      </c>
      <c r="I185" s="43">
        <v>-1087642</v>
      </c>
      <c r="J185" s="159">
        <v>-1117776.7072800002</v>
      </c>
      <c r="K185" s="43">
        <v>-1062305.0122700001</v>
      </c>
      <c r="L185" s="43">
        <v>-565729.81907000009</v>
      </c>
      <c r="M185" s="43">
        <f>'2.1. Toimintakatennuste'!AX176</f>
        <v>-553277.47729925765</v>
      </c>
      <c r="N185" s="43">
        <f>$N$6*'2.1. Toimintakatennuste'!AG176</f>
        <v>-646256.54609522747</v>
      </c>
      <c r="O185" s="43">
        <f>$O$6*'2.1. Toimintakatennuste'!AH176</f>
        <v>-671842.10330835462</v>
      </c>
      <c r="P185" s="43">
        <f>P$6*'2.1. Toimintakatennuste'!AI176</f>
        <v>-696407.64104558539</v>
      </c>
      <c r="Q185" s="43">
        <f>Q$6*'2.1. Toimintakatennuste'!AJ176</f>
        <v>-718153.08057993895</v>
      </c>
      <c r="R185" s="117"/>
      <c r="S185" s="34">
        <v>564</v>
      </c>
      <c r="T185" s="88" t="s">
        <v>499</v>
      </c>
      <c r="U185" s="41">
        <f>D185/'1. Väestöennuste'!E185*1000</f>
        <v>-4682.1156025689461</v>
      </c>
      <c r="V185" s="41">
        <f>E185/'1. Väestöennuste'!F185*1000</f>
        <v>-4733.4310762694113</v>
      </c>
      <c r="W185" s="41">
        <f>F185/'1. Väestöennuste'!G185*1000</f>
        <v>-4674.8079877112141</v>
      </c>
      <c r="X185" s="41">
        <f>G185/'1. Väestöennuste'!H185*1000</f>
        <v>-4836.9185575265146</v>
      </c>
      <c r="Y185" s="41">
        <f>H185/'1. Väestöennuste'!I185*1000</f>
        <v>-5105.4168349644015</v>
      </c>
      <c r="Z185" s="41">
        <f>I185/'1. Väestöennuste'!J185*1000</f>
        <v>-5246.0219845943848</v>
      </c>
      <c r="AA185" s="41">
        <f>J185/'1. Väestöennuste'!K185*1000</f>
        <v>-5334.151148312345</v>
      </c>
      <c r="AB185" s="41">
        <f>K185/'1. Väestöennuste'!L185*1000</f>
        <v>-5014.4679783146403</v>
      </c>
      <c r="AC185" s="41">
        <f>L185/'1. Väestöennuste'!M185*1000</f>
        <v>-2635.8007346027875</v>
      </c>
      <c r="AD185" s="41">
        <f>M185/'1. Väestöennuste'!N185*1000</f>
        <v>-2574.6409981584388</v>
      </c>
      <c r="AE185" s="41">
        <f>N185/'1. Väestöennuste'!O185*1000</f>
        <v>-2985.0049011100523</v>
      </c>
      <c r="AF185" s="41">
        <f>O185/'1. Väestöennuste'!P185*1000</f>
        <v>-3081.5900673722108</v>
      </c>
      <c r="AG185" s="41">
        <f>P185/'1. Väestöennuste'!Q185*1000</f>
        <v>-3173.1914786143889</v>
      </c>
      <c r="AH185" s="41">
        <f>Q185/'1. Väestöennuste'!R185*1000</f>
        <v>-3251.8127055379468</v>
      </c>
    </row>
    <row r="186" spans="1:34" customFormat="1" x14ac:dyDescent="0.25">
      <c r="A186" s="99">
        <v>7</v>
      </c>
      <c r="B186" s="30">
        <v>576</v>
      </c>
      <c r="C186" s="47" t="s">
        <v>500</v>
      </c>
      <c r="D186" s="65">
        <v>-18686</v>
      </c>
      <c r="E186" s="157">
        <v>-19434</v>
      </c>
      <c r="F186" s="157">
        <v>-18272</v>
      </c>
      <c r="G186" s="157">
        <v>-19049</v>
      </c>
      <c r="H186" s="43">
        <v>-19079</v>
      </c>
      <c r="I186" s="43">
        <v>-18433</v>
      </c>
      <c r="J186" s="159">
        <v>-19927.200870000001</v>
      </c>
      <c r="K186" s="43">
        <v>-20119.109850000001</v>
      </c>
      <c r="L186" s="43">
        <v>-7034.4980700000006</v>
      </c>
      <c r="M186" s="43">
        <f>'2.1. Toimintakatennuste'!AX177</f>
        <v>-6926.2646488608925</v>
      </c>
      <c r="N186" s="43">
        <f>$N$6*'2.1. Toimintakatennuste'!AG177</f>
        <v>-7956.2804889496829</v>
      </c>
      <c r="O186" s="43">
        <f>$O$6*'2.1. Toimintakatennuste'!AH177</f>
        <v>-8205.1991418742127</v>
      </c>
      <c r="P186" s="43">
        <f>P$6*'2.1. Toimintakatennuste'!AI177</f>
        <v>-8436.601984208688</v>
      </c>
      <c r="Q186" s="43">
        <f>Q$6*'2.1. Toimintakatennuste'!AJ177</f>
        <v>-8705.4265115045127</v>
      </c>
      <c r="R186" s="117"/>
      <c r="S186" s="34">
        <v>576</v>
      </c>
      <c r="T186" s="88" t="s">
        <v>500</v>
      </c>
      <c r="U186" s="41">
        <f>D186/'1. Väestöennuste'!E186*1000</f>
        <v>-5945.2752147629653</v>
      </c>
      <c r="V186" s="41">
        <f>E186/'1. Väestöennuste'!F186*1000</f>
        <v>-6324.1132443865936</v>
      </c>
      <c r="W186" s="41">
        <f>F186/'1. Väestöennuste'!G186*1000</f>
        <v>-6036.3396101750905</v>
      </c>
      <c r="X186" s="41">
        <f>G186/'1. Väestöennuste'!H186*1000</f>
        <v>-6428.9571380357747</v>
      </c>
      <c r="Y186" s="41">
        <f>H186/'1. Väestöennuste'!I186*1000</f>
        <v>-6588.0524861878448</v>
      </c>
      <c r="Z186" s="41">
        <f>I186/'1. Väestöennuste'!J186*1000</f>
        <v>-6442.8521495980431</v>
      </c>
      <c r="AA186" s="41">
        <f>J186/'1. Väestöennuste'!K186*1000</f>
        <v>-7083.9676039815149</v>
      </c>
      <c r="AB186" s="41">
        <f>K186/'1. Väestöennuste'!L186*1000</f>
        <v>-7316.0399454545459</v>
      </c>
      <c r="AC186" s="41">
        <f>L186/'1. Väestöennuste'!M186*1000</f>
        <v>-2580.5202017608217</v>
      </c>
      <c r="AD186" s="41">
        <f>M186/'1. Väestöennuste'!N186*1000</f>
        <v>-2584.4271077839148</v>
      </c>
      <c r="AE186" s="41">
        <f>N186/'1. Väestöennuste'!O186*1000</f>
        <v>-3011.4611994510533</v>
      </c>
      <c r="AF186" s="41">
        <f>O186/'1. Väestöennuste'!P186*1000</f>
        <v>-3148.579870251041</v>
      </c>
      <c r="AG186" s="41">
        <f>P186/'1. Väestöennuste'!Q186*1000</f>
        <v>-3280.1718445601427</v>
      </c>
      <c r="AH186" s="41">
        <f>Q186/'1. Väestöennuste'!R186*1000</f>
        <v>-3428.683147500793</v>
      </c>
    </row>
    <row r="187" spans="1:34" customFormat="1" x14ac:dyDescent="0.25">
      <c r="A187" s="99">
        <v>2</v>
      </c>
      <c r="B187" s="30">
        <v>577</v>
      </c>
      <c r="C187" s="47" t="s">
        <v>501</v>
      </c>
      <c r="D187" s="65">
        <v>-55154</v>
      </c>
      <c r="E187" s="157">
        <v>-54083</v>
      </c>
      <c r="F187" s="157">
        <v>-51098</v>
      </c>
      <c r="G187" s="157">
        <v>-54647</v>
      </c>
      <c r="H187" s="43">
        <v>-58382</v>
      </c>
      <c r="I187" s="43">
        <v>-59604</v>
      </c>
      <c r="J187" s="159">
        <v>-61780.676549999996</v>
      </c>
      <c r="K187" s="43">
        <v>-66596.126539999997</v>
      </c>
      <c r="L187" s="43">
        <v>-31184.292269999998</v>
      </c>
      <c r="M187" s="43">
        <f>'2.1. Toimintakatennuste'!AX178</f>
        <v>-33008.920390482323</v>
      </c>
      <c r="N187" s="43">
        <f>$N$6*'2.1. Toimintakatennuste'!AG178</f>
        <v>-35105.279891439211</v>
      </c>
      <c r="O187" s="43">
        <f>$O$6*'2.1. Toimintakatennuste'!AH178</f>
        <v>-36540.783436554993</v>
      </c>
      <c r="P187" s="43">
        <f>P$6*'2.1. Toimintakatennuste'!AI178</f>
        <v>-37807.9858276058</v>
      </c>
      <c r="Q187" s="43">
        <f>Q$6*'2.1. Toimintakatennuste'!AJ178</f>
        <v>-39103.007636775197</v>
      </c>
      <c r="R187" s="117"/>
      <c r="S187" s="34">
        <v>577</v>
      </c>
      <c r="T187" s="88" t="s">
        <v>501</v>
      </c>
      <c r="U187" s="41">
        <f>D187/'1. Väestöennuste'!E187*1000</f>
        <v>-5193.4086629001886</v>
      </c>
      <c r="V187" s="41">
        <f>E187/'1. Väestöennuste'!F187*1000</f>
        <v>-5048.352468962943</v>
      </c>
      <c r="W187" s="41">
        <f>F187/'1. Väestöennuste'!G187*1000</f>
        <v>-4762.1621621621616</v>
      </c>
      <c r="X187" s="41">
        <f>G187/'1. Väestöennuste'!H187*1000</f>
        <v>-5044.9593796159525</v>
      </c>
      <c r="Y187" s="41">
        <f>H187/'1. Väestöennuste'!I187*1000</f>
        <v>-5380.8294930875581</v>
      </c>
      <c r="Z187" s="41">
        <f>I187/'1. Väestöennuste'!J187*1000</f>
        <v>-5457.2422633217357</v>
      </c>
      <c r="AA187" s="41">
        <f>J187/'1. Väestöennuste'!K187*1000</f>
        <v>-5595.5689294447966</v>
      </c>
      <c r="AB187" s="41">
        <f>K187/'1. Väestöennuste'!L187*1000</f>
        <v>-5979.1817687196981</v>
      </c>
      <c r="AC187" s="41">
        <f>L187/'1. Väestöennuste'!M187*1000</f>
        <v>-2775.390910466358</v>
      </c>
      <c r="AD187" s="41">
        <f>M187/'1. Väestöennuste'!N187*1000</f>
        <v>-2967.6274737465005</v>
      </c>
      <c r="AE187" s="41">
        <f>N187/'1. Väestöennuste'!O187*1000</f>
        <v>-3141.9743928612916</v>
      </c>
      <c r="AF187" s="41">
        <f>O187/'1. Väestöennuste'!P187*1000</f>
        <v>-3256.7543169835108</v>
      </c>
      <c r="AG187" s="41">
        <f>P187/'1. Väestöennuste'!Q187*1000</f>
        <v>-3356.8308468086475</v>
      </c>
      <c r="AH187" s="41">
        <f>Q187/'1. Väestöennuste'!R187*1000</f>
        <v>-3460.44315369692</v>
      </c>
    </row>
    <row r="188" spans="1:34" customFormat="1" x14ac:dyDescent="0.25">
      <c r="A188" s="99">
        <v>18</v>
      </c>
      <c r="B188" s="30">
        <v>578</v>
      </c>
      <c r="C188" s="47" t="s">
        <v>502</v>
      </c>
      <c r="D188" s="65">
        <v>-22017</v>
      </c>
      <c r="E188" s="157">
        <v>-22030</v>
      </c>
      <c r="F188" s="157">
        <v>-23254</v>
      </c>
      <c r="G188" s="157">
        <v>-23259</v>
      </c>
      <c r="H188" s="43">
        <v>-23879</v>
      </c>
      <c r="I188" s="43">
        <v>-25243</v>
      </c>
      <c r="J188" s="159">
        <v>-24868.510450000002</v>
      </c>
      <c r="K188" s="43">
        <v>-24486.442800000001</v>
      </c>
      <c r="L188" s="43">
        <v>-8241.7231599999996</v>
      </c>
      <c r="M188" s="43">
        <f>'2.1. Toimintakatennuste'!AX179</f>
        <v>-7623.0025962552136</v>
      </c>
      <c r="N188" s="43">
        <f>$N$6*'2.1. Toimintakatennuste'!AG179</f>
        <v>-9460.4233446713079</v>
      </c>
      <c r="O188" s="43">
        <f>$O$6*'2.1. Toimintakatennuste'!AH179</f>
        <v>-9837.6073567063122</v>
      </c>
      <c r="P188" s="43">
        <f>P$6*'2.1. Toimintakatennuste'!AI179</f>
        <v>-10130.945460684039</v>
      </c>
      <c r="Q188" s="43">
        <f>Q$6*'2.1. Toimintakatennuste'!AJ179</f>
        <v>-10421.037394663757</v>
      </c>
      <c r="R188" s="117"/>
      <c r="S188" s="34">
        <v>578</v>
      </c>
      <c r="T188" s="88" t="s">
        <v>502</v>
      </c>
      <c r="U188" s="41">
        <f>D188/'1. Väestöennuste'!E188*1000</f>
        <v>-6312.2133027522932</v>
      </c>
      <c r="V188" s="41">
        <f>E188/'1. Väestöennuste'!F188*1000</f>
        <v>-6310.5127470638781</v>
      </c>
      <c r="W188" s="41">
        <f>F188/'1. Väestöennuste'!G188*1000</f>
        <v>-6769.7234352256191</v>
      </c>
      <c r="X188" s="41">
        <f>G188/'1. Väestöennuste'!H188*1000</f>
        <v>-6972.1223021582737</v>
      </c>
      <c r="Y188" s="41">
        <f>H188/'1. Väestöennuste'!I188*1000</f>
        <v>-7295.7531316834711</v>
      </c>
      <c r="Z188" s="41">
        <f>I188/'1. Väestöennuste'!J188*1000</f>
        <v>-7803.0911901081918</v>
      </c>
      <c r="AA188" s="41">
        <f>J188/'1. Väestöennuste'!K188*1000</f>
        <v>-7812.9156299088918</v>
      </c>
      <c r="AB188" s="41">
        <f>K188/'1. Väestöennuste'!L188*1000</f>
        <v>-7898.8525161290327</v>
      </c>
      <c r="AC188" s="41">
        <f>L188/'1. Väestöennuste'!M188*1000</f>
        <v>-2713.7712084293712</v>
      </c>
      <c r="AD188" s="41">
        <f>M188/'1. Väestöennuste'!N188*1000</f>
        <v>-2497.7072726917477</v>
      </c>
      <c r="AE188" s="41">
        <f>N188/'1. Väestöennuste'!O188*1000</f>
        <v>-3140.9108050037544</v>
      </c>
      <c r="AF188" s="41">
        <f>O188/'1. Väestöennuste'!P188*1000</f>
        <v>-3307.8706646625124</v>
      </c>
      <c r="AG188" s="41">
        <f>P188/'1. Väestöennuste'!Q188*1000</f>
        <v>-3448.2455618393601</v>
      </c>
      <c r="AH188" s="41">
        <f>Q188/'1. Väestöennuste'!R188*1000</f>
        <v>-3589.7476385338468</v>
      </c>
    </row>
    <row r="189" spans="1:34" customFormat="1" x14ac:dyDescent="0.25">
      <c r="A189" s="99">
        <v>9</v>
      </c>
      <c r="B189" s="30">
        <v>580</v>
      </c>
      <c r="C189" s="47" t="s">
        <v>503</v>
      </c>
      <c r="D189" s="65">
        <v>-31085</v>
      </c>
      <c r="E189" s="157">
        <v>-30811</v>
      </c>
      <c r="F189" s="157">
        <v>-30462</v>
      </c>
      <c r="G189" s="157">
        <v>-28134</v>
      </c>
      <c r="H189" s="43">
        <v>-31395</v>
      </c>
      <c r="I189" s="43">
        <v>-33501</v>
      </c>
      <c r="J189" s="159">
        <v>-33226.38538</v>
      </c>
      <c r="K189" s="43">
        <v>-34871.824619999999</v>
      </c>
      <c r="L189" s="43">
        <v>-10106.931480000001</v>
      </c>
      <c r="M189" s="43">
        <f>'2.1. Toimintakatennuste'!AX180</f>
        <v>-10042.859032833992</v>
      </c>
      <c r="N189" s="43">
        <f>$N$6*'2.1. Toimintakatennuste'!AG180</f>
        <v>-11351.587132726516</v>
      </c>
      <c r="O189" s="43">
        <f>$O$6*'2.1. Toimintakatennuste'!AH180</f>
        <v>-11771.030764561088</v>
      </c>
      <c r="P189" s="43">
        <f>P$6*'2.1. Toimintakatennuste'!AI180</f>
        <v>-12166.885392693512</v>
      </c>
      <c r="Q189" s="43">
        <f>Q$6*'2.1. Toimintakatennuste'!AJ180</f>
        <v>-12497.828829173503</v>
      </c>
      <c r="R189" s="117"/>
      <c r="S189" s="34">
        <v>580</v>
      </c>
      <c r="T189" s="88" t="s">
        <v>503</v>
      </c>
      <c r="U189" s="41">
        <f>D189/'1. Väestöennuste'!E189*1000</f>
        <v>-5937.9178605539637</v>
      </c>
      <c r="V189" s="41">
        <f>E189/'1. Väestöennuste'!F189*1000</f>
        <v>-6010.7296137339063</v>
      </c>
      <c r="W189" s="41">
        <f>F189/'1. Väestöennuste'!G189*1000</f>
        <v>-6130.4085329040045</v>
      </c>
      <c r="X189" s="41">
        <f>G189/'1. Väestöennuste'!H189*1000</f>
        <v>-5810.4089219330854</v>
      </c>
      <c r="Y189" s="41">
        <f>H189/'1. Väestöennuste'!I189*1000</f>
        <v>-6631.8124207858045</v>
      </c>
      <c r="Z189" s="41">
        <f>I189/'1. Väestöennuste'!J189*1000</f>
        <v>-7196.7776584317935</v>
      </c>
      <c r="AA189" s="41">
        <f>J189/'1. Väestöennuste'!K189*1000</f>
        <v>-7275.3197679001532</v>
      </c>
      <c r="AB189" s="41">
        <f>K189/'1. Väestöennuste'!L189*1000</f>
        <v>-7857.5539927895452</v>
      </c>
      <c r="AC189" s="41">
        <f>L189/'1. Väestöennuste'!M189*1000</f>
        <v>-2314.9178836463589</v>
      </c>
      <c r="AD189" s="41">
        <f>M189/'1. Väestöennuste'!N189*1000</f>
        <v>-2338.2675280172275</v>
      </c>
      <c r="AE189" s="41">
        <f>N189/'1. Väestöennuste'!O189*1000</f>
        <v>-2690.5871374085127</v>
      </c>
      <c r="AF189" s="41">
        <f>O189/'1. Väestöennuste'!P189*1000</f>
        <v>-2840.4997018728495</v>
      </c>
      <c r="AG189" s="41">
        <f>P189/'1. Väestöennuste'!Q189*1000</f>
        <v>-2989.4067303915263</v>
      </c>
      <c r="AH189" s="41">
        <f>Q189/'1. Väestöennuste'!R189*1000</f>
        <v>-3122.8957594136687</v>
      </c>
    </row>
    <row r="190" spans="1:34" customFormat="1" x14ac:dyDescent="0.25">
      <c r="A190" s="99">
        <v>6</v>
      </c>
      <c r="B190" s="30">
        <v>581</v>
      </c>
      <c r="C190" s="47" t="s">
        <v>504</v>
      </c>
      <c r="D190" s="65">
        <v>-36457</v>
      </c>
      <c r="E190" s="157">
        <v>-38069</v>
      </c>
      <c r="F190" s="157">
        <v>-37370</v>
      </c>
      <c r="G190" s="157">
        <v>-37003</v>
      </c>
      <c r="H190" s="43">
        <v>-39606</v>
      </c>
      <c r="I190" s="43">
        <v>-42330</v>
      </c>
      <c r="J190" s="159">
        <v>-43921.351799999997</v>
      </c>
      <c r="K190" s="43">
        <v>-47129.894690000001</v>
      </c>
      <c r="L190" s="43">
        <v>-14914.95031</v>
      </c>
      <c r="M190" s="43">
        <f>'2.1. Toimintakatennuste'!AX181</f>
        <v>-16280.657175564493</v>
      </c>
      <c r="N190" s="43">
        <f>$N$6*'2.1. Toimintakatennuste'!AG181</f>
        <v>-16855.318340524129</v>
      </c>
      <c r="O190" s="43">
        <f>$O$6*'2.1. Toimintakatennuste'!AH181</f>
        <v>-17271.716130052613</v>
      </c>
      <c r="P190" s="43">
        <f>P$6*'2.1. Toimintakatennuste'!AI181</f>
        <v>-17701.669640888056</v>
      </c>
      <c r="Q190" s="43">
        <f>Q$6*'2.1. Toimintakatennuste'!AJ181</f>
        <v>-18026.412691027548</v>
      </c>
      <c r="R190" s="117"/>
      <c r="S190" s="34">
        <v>581</v>
      </c>
      <c r="T190" s="88" t="s">
        <v>504</v>
      </c>
      <c r="U190" s="41">
        <f>D190/'1. Väestöennuste'!E190*1000</f>
        <v>-5388.2648536801653</v>
      </c>
      <c r="V190" s="41">
        <f>E190/'1. Väestöennuste'!F190*1000</f>
        <v>-5688.7328153018525</v>
      </c>
      <c r="W190" s="41">
        <f>F190/'1. Väestöennuste'!G190*1000</f>
        <v>-5694.9100883876863</v>
      </c>
      <c r="X190" s="41">
        <f>G190/'1. Väestöennuste'!H190*1000</f>
        <v>-5720.0494666872773</v>
      </c>
      <c r="Y190" s="41">
        <f>H190/'1. Väestöennuste'!I190*1000</f>
        <v>-6184.5721424109934</v>
      </c>
      <c r="Z190" s="41">
        <f>I190/'1. Väestöennuste'!J190*1000</f>
        <v>-6664.0428211586895</v>
      </c>
      <c r="AA190" s="41">
        <f>J190/'1. Väestöennuste'!K190*1000</f>
        <v>-6987.1701877187388</v>
      </c>
      <c r="AB190" s="41">
        <f>K190/'1. Väestöennuste'!L190*1000</f>
        <v>-7552.8677387820517</v>
      </c>
      <c r="AC190" s="41">
        <f>L190/'1. Väestöennuste'!M190*1000</f>
        <v>-2435.8893205944796</v>
      </c>
      <c r="AD190" s="41">
        <f>M190/'1. Väestöennuste'!N190*1000</f>
        <v>-2692.7980773345175</v>
      </c>
      <c r="AE190" s="41">
        <f>N190/'1. Väestöennuste'!O190*1000</f>
        <v>-2818.1438455984166</v>
      </c>
      <c r="AF190" s="41">
        <f>O190/'1. Väestöennuste'!P190*1000</f>
        <v>-2918.5055981839496</v>
      </c>
      <c r="AG190" s="41">
        <f>P190/'1. Väestöennuste'!Q190*1000</f>
        <v>-3023.3423810227255</v>
      </c>
      <c r="AH190" s="41">
        <f>Q190/'1. Väestöennuste'!R190*1000</f>
        <v>-3111.2206922726177</v>
      </c>
    </row>
    <row r="191" spans="1:34" customFormat="1" x14ac:dyDescent="0.25">
      <c r="A191" s="99">
        <v>19</v>
      </c>
      <c r="B191" s="30">
        <v>583</v>
      </c>
      <c r="C191" s="47" t="s">
        <v>505</v>
      </c>
      <c r="D191" s="65">
        <v>-7905</v>
      </c>
      <c r="E191" s="157">
        <v>-8197</v>
      </c>
      <c r="F191" s="157">
        <v>-8192</v>
      </c>
      <c r="G191" s="157">
        <v>-8627</v>
      </c>
      <c r="H191" s="43">
        <v>-9727</v>
      </c>
      <c r="I191" s="43">
        <v>-9383</v>
      </c>
      <c r="J191" s="159">
        <v>-9022.8250800000005</v>
      </c>
      <c r="K191" s="43">
        <v>-8691.2840299999989</v>
      </c>
      <c r="L191" s="43">
        <v>-3288.5826299999999</v>
      </c>
      <c r="M191" s="43">
        <f>'2.1. Toimintakatennuste'!AX182</f>
        <v>-3261.7342707296111</v>
      </c>
      <c r="N191" s="43">
        <f>$N$6*'2.1. Toimintakatennuste'!AG182</f>
        <v>-3805.615609338477</v>
      </c>
      <c r="O191" s="43">
        <f>$O$6*'2.1. Toimintakatennuste'!AH182</f>
        <v>-3969.8304825644091</v>
      </c>
      <c r="P191" s="43">
        <f>P$6*'2.1. Toimintakatennuste'!AI182</f>
        <v>-4177.8188385528738</v>
      </c>
      <c r="Q191" s="43">
        <f>Q$6*'2.1. Toimintakatennuste'!AJ182</f>
        <v>-4325.6091408790708</v>
      </c>
      <c r="R191" s="117"/>
      <c r="S191" s="34">
        <v>583</v>
      </c>
      <c r="T191" s="88" t="s">
        <v>505</v>
      </c>
      <c r="U191" s="41">
        <f>D191/'1. Väestöennuste'!E191*1000</f>
        <v>-8251.5657620041748</v>
      </c>
      <c r="V191" s="41">
        <f>E191/'1. Väestöennuste'!F191*1000</f>
        <v>-8619.3480546792853</v>
      </c>
      <c r="W191" s="41">
        <f>F191/'1. Väestöennuste'!G191*1000</f>
        <v>-8551.1482254697275</v>
      </c>
      <c r="X191" s="41">
        <f>G191/'1. Väestöennuste'!H191*1000</f>
        <v>-9042.976939203354</v>
      </c>
      <c r="Y191" s="41">
        <f>H191/'1. Väestöennuste'!I191*1000</f>
        <v>-10358.892438764644</v>
      </c>
      <c r="Z191" s="41">
        <f>I191/'1. Väestöennuste'!J191*1000</f>
        <v>-10078.410311493019</v>
      </c>
      <c r="AA191" s="41">
        <f>J191/'1. Väestöennuste'!K191*1000</f>
        <v>-9764.9622077922086</v>
      </c>
      <c r="AB191" s="41">
        <f>K191/'1. Väestöennuste'!L191*1000</f>
        <v>-9177.702249208025</v>
      </c>
      <c r="AC191" s="41">
        <f>L191/'1. Väestöennuste'!M191*1000</f>
        <v>-3605.9020065789473</v>
      </c>
      <c r="AD191" s="41">
        <f>M191/'1. Väestöennuste'!N191*1000</f>
        <v>-3560.8452737222833</v>
      </c>
      <c r="AE191" s="41">
        <f>N191/'1. Väestöennuste'!O191*1000</f>
        <v>-4172.8241330465762</v>
      </c>
      <c r="AF191" s="41">
        <f>O191/'1. Väestöennuste'!P191*1000</f>
        <v>-4362.4510797411085</v>
      </c>
      <c r="AG191" s="41">
        <f>P191/'1. Väestöennuste'!Q191*1000</f>
        <v>-4606.1949708410957</v>
      </c>
      <c r="AH191" s="41">
        <f>Q191/'1. Väestöennuste'!R191*1000</f>
        <v>-4800.8980475905337</v>
      </c>
    </row>
    <row r="192" spans="1:34" customFormat="1" x14ac:dyDescent="0.25">
      <c r="A192" s="99">
        <v>16</v>
      </c>
      <c r="B192" s="30">
        <v>584</v>
      </c>
      <c r="C192" s="47" t="s">
        <v>506</v>
      </c>
      <c r="D192" s="65">
        <v>-16417</v>
      </c>
      <c r="E192" s="157">
        <v>-17408</v>
      </c>
      <c r="F192" s="157">
        <v>-18128</v>
      </c>
      <c r="G192" s="157">
        <v>-19128</v>
      </c>
      <c r="H192" s="43">
        <v>-19178</v>
      </c>
      <c r="I192" s="43">
        <v>-18497</v>
      </c>
      <c r="J192" s="159">
        <v>-18915.30544</v>
      </c>
      <c r="K192" s="43">
        <v>-21605.067930000001</v>
      </c>
      <c r="L192" s="43">
        <v>-9568.6170999999995</v>
      </c>
      <c r="M192" s="43">
        <f>'2.1. Toimintakatennuste'!AX183</f>
        <v>-9102.1602682472185</v>
      </c>
      <c r="N192" s="43">
        <f>$N$6*'2.1. Toimintakatennuste'!AG183</f>
        <v>-10523.409416340002</v>
      </c>
      <c r="O192" s="43">
        <f>$O$6*'2.1. Toimintakatennuste'!AH183</f>
        <v>-10840.382062700852</v>
      </c>
      <c r="P192" s="43">
        <f>P$6*'2.1. Toimintakatennuste'!AI183</f>
        <v>-11280.754031987319</v>
      </c>
      <c r="Q192" s="43">
        <f>Q$6*'2.1. Toimintakatennuste'!AJ183</f>
        <v>-11611.715758866954</v>
      </c>
      <c r="R192" s="117"/>
      <c r="S192" s="34">
        <v>584</v>
      </c>
      <c r="T192" s="88" t="s">
        <v>506</v>
      </c>
      <c r="U192" s="41">
        <f>D192/'1. Väestöennuste'!E192*1000</f>
        <v>-5601.1600136472198</v>
      </c>
      <c r="V192" s="41">
        <f>E192/'1. Väestöennuste'!F192*1000</f>
        <v>-5988.3040935672507</v>
      </c>
      <c r="W192" s="41">
        <f>F192/'1. Väestöennuste'!G192*1000</f>
        <v>-6338.4615384615381</v>
      </c>
      <c r="X192" s="41">
        <f>G192/'1. Väestöennuste'!H192*1000</f>
        <v>-6770.9734513274334</v>
      </c>
      <c r="Y192" s="41">
        <f>H192/'1. Väestöennuste'!I192*1000</f>
        <v>-6951.0692279811528</v>
      </c>
      <c r="Z192" s="41">
        <f>I192/'1. Väestöennuste'!J192*1000</f>
        <v>-6835.5506282335555</v>
      </c>
      <c r="AA192" s="41">
        <f>J192/'1. Väestöennuste'!K192*1000</f>
        <v>-7068.4997907324368</v>
      </c>
      <c r="AB192" s="41">
        <f>K192/'1. Väestöennuste'!L192*1000</f>
        <v>-8143.6366113833392</v>
      </c>
      <c r="AC192" s="41">
        <f>L192/'1. Väestöennuste'!M192*1000</f>
        <v>-3711.6435608999222</v>
      </c>
      <c r="AD192" s="41">
        <f>M192/'1. Väestöennuste'!N192*1000</f>
        <v>-3637.9537443034446</v>
      </c>
      <c r="AE192" s="41">
        <f>N192/'1. Väestöennuste'!O192*1000</f>
        <v>-4297.0230364801973</v>
      </c>
      <c r="AF192" s="41">
        <f>O192/'1. Väestöennuste'!P192*1000</f>
        <v>-4520.5930203089456</v>
      </c>
      <c r="AG192" s="41">
        <f>P192/'1. Väestöennuste'!Q192*1000</f>
        <v>-4802.3644240048188</v>
      </c>
      <c r="AH192" s="41">
        <f>Q192/'1. Väestöennuste'!R192*1000</f>
        <v>-5044.1858205329954</v>
      </c>
    </row>
    <row r="193" spans="1:34" customFormat="1" x14ac:dyDescent="0.25">
      <c r="A193" s="99">
        <v>10</v>
      </c>
      <c r="B193" s="30">
        <v>588</v>
      </c>
      <c r="C193" s="47" t="s">
        <v>507</v>
      </c>
      <c r="D193" s="65">
        <v>-10998</v>
      </c>
      <c r="E193" s="157">
        <v>-11250</v>
      </c>
      <c r="F193" s="157">
        <v>-11228</v>
      </c>
      <c r="G193" s="157">
        <v>-11954</v>
      </c>
      <c r="H193" s="43">
        <v>-12424</v>
      </c>
      <c r="I193" s="43">
        <v>-12463</v>
      </c>
      <c r="J193" s="159">
        <v>-13496.54422</v>
      </c>
      <c r="K193" s="43">
        <v>-13798.244050000001</v>
      </c>
      <c r="L193" s="43">
        <v>-3886.6405299999997</v>
      </c>
      <c r="M193" s="43">
        <f>'2.1. Toimintakatennuste'!AX184</f>
        <v>-3868.3849215137634</v>
      </c>
      <c r="N193" s="43">
        <f>$N$6*'2.1. Toimintakatennuste'!AG184</f>
        <v>0</v>
      </c>
      <c r="O193" s="43">
        <f>$O$6*'2.1. Toimintakatennuste'!AH184</f>
        <v>0</v>
      </c>
      <c r="P193" s="43">
        <f>P$6*'2.1. Toimintakatennuste'!AI184</f>
        <v>0</v>
      </c>
      <c r="Q193" s="43">
        <f>Q$6*'2.1. Toimintakatennuste'!AJ184</f>
        <v>0</v>
      </c>
      <c r="R193" s="117"/>
      <c r="S193" s="34">
        <v>588</v>
      </c>
      <c r="T193" s="88" t="s">
        <v>507</v>
      </c>
      <c r="U193" s="41">
        <f>D193/'1. Väestöennuste'!E193*1000</f>
        <v>-6052.8343423225097</v>
      </c>
      <c r="V193" s="41">
        <f>E193/'1. Väestöennuste'!F193*1000</f>
        <v>-6263.91982182628</v>
      </c>
      <c r="W193" s="41">
        <f>F193/'1. Väestöennuste'!G193*1000</f>
        <v>-6456.5842438182872</v>
      </c>
      <c r="X193" s="41">
        <f>G193/'1. Väestöennuste'!H193*1000</f>
        <v>-6978.4004670169297</v>
      </c>
      <c r="Y193" s="41">
        <f>H193/'1. Väestöennuste'!I193*1000</f>
        <v>-7351.4792899408285</v>
      </c>
      <c r="Z193" s="41">
        <f>I193/'1. Väestöennuste'!J193*1000</f>
        <v>-7535.0665054413539</v>
      </c>
      <c r="AA193" s="41">
        <f>J193/'1. Väestöennuste'!K193*1000</f>
        <v>-8209.5767761557181</v>
      </c>
      <c r="AB193" s="41">
        <f>K193/'1. Väestöennuste'!L193*1000</f>
        <v>-8623.9025312500016</v>
      </c>
      <c r="AC193" s="41">
        <f>L193/'1. Väestöennuste'!M193*1000</f>
        <v>-2464.5786493341789</v>
      </c>
      <c r="AD193" s="41">
        <f>M193/'1. Väestöennuste'!N193*1000</f>
        <v>-2505.4306486488108</v>
      </c>
      <c r="AE193" s="41" t="e">
        <f>N193/'1. Väestöennuste'!O193*1000</f>
        <v>#DIV/0!</v>
      </c>
      <c r="AF193" s="41" t="e">
        <f>O193/'1. Väestöennuste'!P193*1000</f>
        <v>#DIV/0!</v>
      </c>
      <c r="AG193" s="41" t="e">
        <f>P193/'1. Väestöennuste'!Q193*1000</f>
        <v>#DIV/0!</v>
      </c>
      <c r="AH193" s="41" t="e">
        <f>Q193/'1. Väestöennuste'!R193*1000</f>
        <v>#DIV/0!</v>
      </c>
    </row>
    <row r="194" spans="1:34" customFormat="1" x14ac:dyDescent="0.25">
      <c r="A194" s="99">
        <v>13</v>
      </c>
      <c r="B194" s="30">
        <v>592</v>
      </c>
      <c r="C194" s="47" t="s">
        <v>508</v>
      </c>
      <c r="D194" s="65">
        <v>-21981</v>
      </c>
      <c r="E194" s="157">
        <v>-23273</v>
      </c>
      <c r="F194" s="157">
        <v>-23220</v>
      </c>
      <c r="G194" s="157">
        <v>-22757</v>
      </c>
      <c r="H194" s="43">
        <v>-24414</v>
      </c>
      <c r="I194" s="43">
        <v>-24505</v>
      </c>
      <c r="J194" s="159">
        <v>-25568.88839</v>
      </c>
      <c r="K194" s="43">
        <v>-26445.10255</v>
      </c>
      <c r="L194" s="43">
        <v>-11658.157160000001</v>
      </c>
      <c r="M194" s="43">
        <f>'2.1. Toimintakatennuste'!AX185</f>
        <v>-11502.589230435962</v>
      </c>
      <c r="N194" s="43">
        <f>$N$6*'2.1. Toimintakatennuste'!AG185</f>
        <v>-13280.414607308252</v>
      </c>
      <c r="O194" s="43">
        <f>$O$6*'2.1. Toimintakatennuste'!AH185</f>
        <v>-13761.541765275852</v>
      </c>
      <c r="P194" s="43">
        <f>P$6*'2.1. Toimintakatennuste'!AI185</f>
        <v>-14348.935960524574</v>
      </c>
      <c r="Q194" s="43">
        <f>Q$6*'2.1. Toimintakatennuste'!AJ185</f>
        <v>-14782.440511943978</v>
      </c>
      <c r="R194" s="117"/>
      <c r="S194" s="34">
        <v>592</v>
      </c>
      <c r="T194" s="88" t="s">
        <v>508</v>
      </c>
      <c r="U194" s="41">
        <f>D194/'1. Väestöennuste'!E194*1000</f>
        <v>-5484.2814371257482</v>
      </c>
      <c r="V194" s="41">
        <f>E194/'1. Väestöennuste'!F194*1000</f>
        <v>-5846.0185882943979</v>
      </c>
      <c r="W194" s="41">
        <f>F194/'1. Väestöennuste'!G194*1000</f>
        <v>-5923.4693877551017</v>
      </c>
      <c r="X194" s="41">
        <f>G194/'1. Väestöennuste'!H194*1000</f>
        <v>-5835.1282051282051</v>
      </c>
      <c r="Y194" s="41">
        <f>H194/'1. Väestöennuste'!I194*1000</f>
        <v>-6356.1572507159599</v>
      </c>
      <c r="Z194" s="41">
        <f>I194/'1. Väestöennuste'!J194*1000</f>
        <v>-6496.553552492046</v>
      </c>
      <c r="AA194" s="41">
        <f>J194/'1. Väestöennuste'!K194*1000</f>
        <v>-6951.8456742794997</v>
      </c>
      <c r="AB194" s="41">
        <f>K194/'1. Väestöennuste'!L194*1000</f>
        <v>-7243.2491235278012</v>
      </c>
      <c r="AC194" s="41">
        <f>L194/'1. Väestöennuste'!M194*1000</f>
        <v>-3241.9791879866521</v>
      </c>
      <c r="AD194" s="41">
        <f>M194/'1. Väestöennuste'!N194*1000</f>
        <v>-3181.9057345604319</v>
      </c>
      <c r="AE194" s="41">
        <f>N194/'1. Väestöennuste'!O194*1000</f>
        <v>-3710.6495130785843</v>
      </c>
      <c r="AF194" s="41">
        <f>O194/'1. Väestöennuste'!P194*1000</f>
        <v>-3880.863441984166</v>
      </c>
      <c r="AG194" s="41">
        <f>P194/'1. Väestöennuste'!Q194*1000</f>
        <v>-4090.3466250070046</v>
      </c>
      <c r="AH194" s="41">
        <f>Q194/'1. Väestöennuste'!R194*1000</f>
        <v>-4255.1642233575067</v>
      </c>
    </row>
    <row r="195" spans="1:34" customFormat="1" x14ac:dyDescent="0.25">
      <c r="A195" s="99">
        <v>10</v>
      </c>
      <c r="B195" s="30">
        <v>593</v>
      </c>
      <c r="C195" s="47" t="s">
        <v>509</v>
      </c>
      <c r="D195" s="65">
        <v>-111256</v>
      </c>
      <c r="E195" s="157">
        <v>-109294</v>
      </c>
      <c r="F195" s="157">
        <v>-107020</v>
      </c>
      <c r="G195" s="157">
        <v>-108881</v>
      </c>
      <c r="H195" s="43">
        <v>-111803</v>
      </c>
      <c r="I195" s="43">
        <v>-111439</v>
      </c>
      <c r="J195" s="159">
        <v>-113383.26034000001</v>
      </c>
      <c r="K195" s="43">
        <v>-125766.42956999999</v>
      </c>
      <c r="L195" s="43">
        <v>-37093.357750000003</v>
      </c>
      <c r="M195" s="43">
        <f>'2.1. Toimintakatennuste'!AX186</f>
        <v>-37334.675762905172</v>
      </c>
      <c r="N195" s="43">
        <f>$N$6*'2.1. Toimintakatennuste'!AG186</f>
        <v>-42028.856784438321</v>
      </c>
      <c r="O195" s="43">
        <f>$O$6*'2.1. Toimintakatennuste'!AH186</f>
        <v>-42612.622946830015</v>
      </c>
      <c r="P195" s="43">
        <f>P$6*'2.1. Toimintakatennuste'!AI186</f>
        <v>-43791.975069996595</v>
      </c>
      <c r="Q195" s="43">
        <f>Q$6*'2.1. Toimintakatennuste'!AJ186</f>
        <v>-43995.430982107348</v>
      </c>
      <c r="R195" s="117"/>
      <c r="S195" s="34">
        <v>593</v>
      </c>
      <c r="T195" s="88" t="s">
        <v>509</v>
      </c>
      <c r="U195" s="41">
        <f>D195/'1. Väestöennuste'!E195*1000</f>
        <v>-5917.5575767246428</v>
      </c>
      <c r="V195" s="41">
        <f>E195/'1. Väestöennuste'!F195*1000</f>
        <v>-5915.7780784844381</v>
      </c>
      <c r="W195" s="41">
        <f>F195/'1. Väestöennuste'!G195*1000</f>
        <v>-5873.7650933040613</v>
      </c>
      <c r="X195" s="41">
        <f>G195/'1. Väestöennuste'!H195*1000</f>
        <v>-6071.544080744995</v>
      </c>
      <c r="Y195" s="41">
        <f>H195/'1. Väestöennuste'!I195*1000</f>
        <v>-6322.9838253591224</v>
      </c>
      <c r="Z195" s="41">
        <f>I195/'1. Väestöennuste'!J195*1000</f>
        <v>-6413.7553956834536</v>
      </c>
      <c r="AA195" s="41">
        <f>J195/'1. Väestöennuste'!K195*1000</f>
        <v>-6571.7997067176721</v>
      </c>
      <c r="AB195" s="41">
        <f>K195/'1. Väestöennuste'!L195*1000</f>
        <v>-7364.6676564970421</v>
      </c>
      <c r="AC195" s="41">
        <f>L195/'1. Väestöennuste'!M195*1000</f>
        <v>-2175.5635043988273</v>
      </c>
      <c r="AD195" s="41">
        <f>M195/'1. Väestöennuste'!N195*1000</f>
        <v>-2295.8231314048194</v>
      </c>
      <c r="AE195" s="41">
        <f>N195/'1. Väestöennuste'!O195*1000</f>
        <v>-2624.9988623095574</v>
      </c>
      <c r="AF195" s="41">
        <f>O195/'1. Väestöennuste'!P195*1000</f>
        <v>-2701.7894336057584</v>
      </c>
      <c r="AG195" s="41">
        <f>P195/'1. Väestöennuste'!Q195*1000</f>
        <v>-2818.0164137706947</v>
      </c>
      <c r="AH195" s="41">
        <f>Q195/'1. Väestöennuste'!R195*1000</f>
        <v>-2872.3268905208165</v>
      </c>
    </row>
    <row r="196" spans="1:34" customFormat="1" x14ac:dyDescent="0.25">
      <c r="A196" s="99">
        <v>11</v>
      </c>
      <c r="B196" s="30">
        <v>595</v>
      </c>
      <c r="C196" s="47" t="s">
        <v>510</v>
      </c>
      <c r="D196" s="65">
        <v>-32584</v>
      </c>
      <c r="E196" s="157">
        <v>-31562</v>
      </c>
      <c r="F196" s="157">
        <v>-31089</v>
      </c>
      <c r="G196" s="157">
        <v>-31371</v>
      </c>
      <c r="H196" s="43">
        <v>-33049</v>
      </c>
      <c r="I196" s="43">
        <v>-32245</v>
      </c>
      <c r="J196" s="159">
        <v>-32195.847900000001</v>
      </c>
      <c r="K196" s="43">
        <v>-34684.345430000001</v>
      </c>
      <c r="L196" s="43">
        <v>-11778.7754</v>
      </c>
      <c r="M196" s="43">
        <f>'2.1. Toimintakatennuste'!AX187</f>
        <v>-11919.726927706415</v>
      </c>
      <c r="N196" s="43">
        <f>$N$6*'2.1. Toimintakatennuste'!AG187</f>
        <v>-13073.073059867722</v>
      </c>
      <c r="O196" s="43">
        <f>$O$6*'2.1. Toimintakatennuste'!AH187</f>
        <v>-13563.310400144677</v>
      </c>
      <c r="P196" s="43">
        <f>P$6*'2.1. Toimintakatennuste'!AI187</f>
        <v>-13961.780211540055</v>
      </c>
      <c r="Q196" s="43">
        <f>Q$6*'2.1. Toimintakatennuste'!AJ187</f>
        <v>-14379.103453152296</v>
      </c>
      <c r="R196" s="117"/>
      <c r="S196" s="34">
        <v>595</v>
      </c>
      <c r="T196" s="88" t="s">
        <v>510</v>
      </c>
      <c r="U196" s="41">
        <f>D196/'1. Väestöennuste'!E196*1000</f>
        <v>-6874.2616033755266</v>
      </c>
      <c r="V196" s="41">
        <f>E196/'1. Väestöennuste'!F196*1000</f>
        <v>-6719.6082605918673</v>
      </c>
      <c r="W196" s="41">
        <f>F196/'1. Väestöennuste'!G196*1000</f>
        <v>-6723.3996539792388</v>
      </c>
      <c r="X196" s="41">
        <f>G196/'1. Väestöennuste'!H196*1000</f>
        <v>-6974.4330813694969</v>
      </c>
      <c r="Y196" s="41">
        <f>H196/'1. Väestöennuste'!I196*1000</f>
        <v>-7526.5315417900247</v>
      </c>
      <c r="Z196" s="41">
        <f>I196/'1. Väestöennuste'!J196*1000</f>
        <v>-7462.3929645915296</v>
      </c>
      <c r="AA196" s="41">
        <f>J196/'1. Väestöennuste'!K196*1000</f>
        <v>-7541.7774420238939</v>
      </c>
      <c r="AB196" s="41">
        <f>K196/'1. Väestöennuste'!L196*1000</f>
        <v>-8377.8612149758465</v>
      </c>
      <c r="AC196" s="41">
        <f>L196/'1. Väestöennuste'!M196*1000</f>
        <v>-2891.9163761355267</v>
      </c>
      <c r="AD196" s="41">
        <f>M196/'1. Väestöennuste'!N196*1000</f>
        <v>-2970.2783273626751</v>
      </c>
      <c r="AE196" s="41">
        <f>N196/'1. Väestöennuste'!O196*1000</f>
        <v>-3315.5143443742636</v>
      </c>
      <c r="AF196" s="41">
        <f>O196/'1. Väestöennuste'!P196*1000</f>
        <v>-3502.0166279743548</v>
      </c>
      <c r="AG196" s="41">
        <f>P196/'1. Väestöennuste'!Q196*1000</f>
        <v>-3665.4713078340915</v>
      </c>
      <c r="AH196" s="41">
        <f>Q196/'1. Väestöennuste'!R196*1000</f>
        <v>-3837.4975855757398</v>
      </c>
    </row>
    <row r="197" spans="1:34" customFormat="1" x14ac:dyDescent="0.25">
      <c r="A197" s="99">
        <v>15</v>
      </c>
      <c r="B197" s="30">
        <v>598</v>
      </c>
      <c r="C197" s="47" t="s">
        <v>511</v>
      </c>
      <c r="D197" s="65">
        <v>-109923</v>
      </c>
      <c r="E197" s="157">
        <v>-114701</v>
      </c>
      <c r="F197" s="157">
        <v>-113422</v>
      </c>
      <c r="G197" s="157">
        <v>-114784</v>
      </c>
      <c r="H197" s="43">
        <v>-122082</v>
      </c>
      <c r="I197" s="43">
        <v>-125456</v>
      </c>
      <c r="J197" s="159">
        <v>-130211.232</v>
      </c>
      <c r="K197" s="43">
        <v>-137318.326</v>
      </c>
      <c r="L197" s="43">
        <v>-52955.126369999998</v>
      </c>
      <c r="M197" s="43">
        <f>'2.1. Toimintakatennuste'!AX188</f>
        <v>-52641.363934135661</v>
      </c>
      <c r="N197" s="43">
        <f>$N$6*'2.1. Toimintakatennuste'!AG188</f>
        <v>-60505.339224845382</v>
      </c>
      <c r="O197" s="43">
        <f>$O$6*'2.1. Toimintakatennuste'!AH188</f>
        <v>-62398.409134656722</v>
      </c>
      <c r="P197" s="43">
        <f>P$6*'2.1. Toimintakatennuste'!AI188</f>
        <v>-64277.164185171685</v>
      </c>
      <c r="Q197" s="43">
        <f>Q$6*'2.1. Toimintakatennuste'!AJ188</f>
        <v>-66153.340239898971</v>
      </c>
      <c r="R197" s="117"/>
      <c r="S197" s="34">
        <v>598</v>
      </c>
      <c r="T197" s="88" t="s">
        <v>511</v>
      </c>
      <c r="U197" s="41">
        <f>D197/'1. Väestöennuste'!E197*1000</f>
        <v>-5655.6390203745623</v>
      </c>
      <c r="V197" s="41">
        <f>E197/'1. Väestöennuste'!F197*1000</f>
        <v>-5919.4405738762453</v>
      </c>
      <c r="W197" s="41">
        <f>F197/'1. Väestöennuste'!G197*1000</f>
        <v>-5852.8303834047165</v>
      </c>
      <c r="X197" s="41">
        <f>G197/'1. Väestöennuste'!H197*1000</f>
        <v>-5954.1446208112875</v>
      </c>
      <c r="Y197" s="41">
        <f>H197/'1. Väestöennuste'!I197*1000</f>
        <v>-6355.7892544773013</v>
      </c>
      <c r="Z197" s="41">
        <f>I197/'1. Väestöennuste'!J197*1000</f>
        <v>-6580.0902129445085</v>
      </c>
      <c r="AA197" s="41">
        <f>J197/'1. Väestöennuste'!K197*1000</f>
        <v>-6818.4129444415348</v>
      </c>
      <c r="AB197" s="41">
        <f>K197/'1. Väestöennuste'!L197*1000</f>
        <v>-7149.3895975425621</v>
      </c>
      <c r="AC197" s="41">
        <f>L197/'1. Väestöennuste'!M197*1000</f>
        <v>-2719.1335748395381</v>
      </c>
      <c r="AD197" s="41">
        <f>M197/'1. Väestöennuste'!N197*1000</f>
        <v>-2805.2951736816235</v>
      </c>
      <c r="AE197" s="41">
        <f>N197/'1. Väestöennuste'!O197*1000</f>
        <v>-3238.3504187992603</v>
      </c>
      <c r="AF197" s="41">
        <f>O197/'1. Väestöennuste'!P197*1000</f>
        <v>-3354.7531792826194</v>
      </c>
      <c r="AG197" s="41">
        <f>P197/'1. Väestöennuste'!Q197*1000</f>
        <v>-3470.689210862402</v>
      </c>
      <c r="AH197" s="41">
        <f>Q197/'1. Väestöennuste'!R197*1000</f>
        <v>-3587.2967973482441</v>
      </c>
    </row>
    <row r="198" spans="1:34" customFormat="1" x14ac:dyDescent="0.25">
      <c r="A198" s="99">
        <v>15</v>
      </c>
      <c r="B198" s="30">
        <v>599</v>
      </c>
      <c r="C198" s="47" t="s">
        <v>512</v>
      </c>
      <c r="D198" s="65">
        <v>-58888</v>
      </c>
      <c r="E198" s="157">
        <v>-59811</v>
      </c>
      <c r="F198" s="157">
        <v>-59111</v>
      </c>
      <c r="G198" s="157">
        <v>-60086</v>
      </c>
      <c r="H198" s="43">
        <v>-63888</v>
      </c>
      <c r="I198" s="43">
        <v>-62734</v>
      </c>
      <c r="J198" s="159">
        <v>-65161.180329999996</v>
      </c>
      <c r="K198" s="43">
        <v>-69015.743650000004</v>
      </c>
      <c r="L198" s="43">
        <v>-34030.917030000004</v>
      </c>
      <c r="M198" s="43">
        <f>'2.1. Toimintakatennuste'!AX189</f>
        <v>-34844.67221402072</v>
      </c>
      <c r="N198" s="43">
        <f>$N$6*'2.1. Toimintakatennuste'!AG189</f>
        <v>-37161.11280884494</v>
      </c>
      <c r="O198" s="43">
        <f>$O$6*'2.1. Toimintakatennuste'!AH189</f>
        <v>-38816.228000666233</v>
      </c>
      <c r="P198" s="43">
        <f>P$6*'2.1. Toimintakatennuste'!AI189</f>
        <v>-39867.757353033638</v>
      </c>
      <c r="Q198" s="43">
        <f>Q$6*'2.1. Toimintakatennuste'!AJ189</f>
        <v>-41320.895785419634</v>
      </c>
      <c r="R198" s="117"/>
      <c r="S198" s="34">
        <v>599</v>
      </c>
      <c r="T198" s="88" t="s">
        <v>512</v>
      </c>
      <c r="U198" s="41">
        <f>D198/'1. Väestöennuste'!E198*1000</f>
        <v>-5291.4008446401294</v>
      </c>
      <c r="V198" s="41">
        <f>E198/'1. Väestöennuste'!F198*1000</f>
        <v>-5404.445649227433</v>
      </c>
      <c r="W198" s="41">
        <f>F198/'1. Väestöennuste'!G198*1000</f>
        <v>-5333.0025261638402</v>
      </c>
      <c r="X198" s="41">
        <f>G198/'1. Väestöennuste'!H198*1000</f>
        <v>-5454.4299201161948</v>
      </c>
      <c r="Y198" s="41">
        <f>H198/'1. Väestöennuste'!I198*1000</f>
        <v>-5765.544625936287</v>
      </c>
      <c r="Z198" s="41">
        <f>I198/'1. Väestöennuste'!J198*1000</f>
        <v>-5614.2831573295152</v>
      </c>
      <c r="AA198" s="41">
        <f>J198/'1. Väestöennuste'!K198*1000</f>
        <v>-5832.5438891872536</v>
      </c>
      <c r="AB198" s="41">
        <f>K198/'1. Väestöennuste'!L198*1000</f>
        <v>-6158.8206005711227</v>
      </c>
      <c r="AC198" s="41">
        <f>L198/'1. Väestöennuste'!M198*1000</f>
        <v>-3031.7075305122498</v>
      </c>
      <c r="AD198" s="41">
        <f>M198/'1. Väestöennuste'!N198*1000</f>
        <v>-3091.8076498687415</v>
      </c>
      <c r="AE198" s="41">
        <f>N198/'1. Väestöennuste'!O198*1000</f>
        <v>-3291.2153758608574</v>
      </c>
      <c r="AF198" s="41">
        <f>O198/'1. Väestöennuste'!P198*1000</f>
        <v>-3432.3307101128512</v>
      </c>
      <c r="AG198" s="41">
        <f>P198/'1. Väestöennuste'!Q198*1000</f>
        <v>-3521.2645604163258</v>
      </c>
      <c r="AH198" s="41">
        <f>Q198/'1. Väestöennuste'!R198*1000</f>
        <v>-3646.3903799346658</v>
      </c>
    </row>
    <row r="199" spans="1:34" customFormat="1" x14ac:dyDescent="0.25">
      <c r="A199" s="99">
        <v>13</v>
      </c>
      <c r="B199" s="30">
        <v>601</v>
      </c>
      <c r="C199" s="47" t="s">
        <v>513</v>
      </c>
      <c r="D199" s="65">
        <v>-27099</v>
      </c>
      <c r="E199" s="157">
        <v>-27415</v>
      </c>
      <c r="F199" s="157">
        <v>-27774</v>
      </c>
      <c r="G199" s="157">
        <v>-27673</v>
      </c>
      <c r="H199" s="43">
        <v>-28991</v>
      </c>
      <c r="I199" s="43">
        <v>-28451</v>
      </c>
      <c r="J199" s="159">
        <v>-29143.315270000003</v>
      </c>
      <c r="K199" s="43">
        <v>-31659.094809999999</v>
      </c>
      <c r="L199" s="43">
        <v>-11006.024869999999</v>
      </c>
      <c r="M199" s="43">
        <f>'2.1. Toimintakatennuste'!AX190</f>
        <v>-12112.731495793181</v>
      </c>
      <c r="N199" s="43">
        <f>$N$6*'2.1. Toimintakatennuste'!AG190</f>
        <v>-12551.20615709045</v>
      </c>
      <c r="O199" s="43">
        <f>$O$6*'2.1. Toimintakatennuste'!AH190</f>
        <v>-13063.833062670672</v>
      </c>
      <c r="P199" s="43">
        <f>P$6*'2.1. Toimintakatennuste'!AI190</f>
        <v>-13453.258430293168</v>
      </c>
      <c r="Q199" s="43">
        <f>Q$6*'2.1. Toimintakatennuste'!AJ190</f>
        <v>-13974.488793476696</v>
      </c>
      <c r="R199" s="117"/>
      <c r="S199" s="34">
        <v>601</v>
      </c>
      <c r="T199" s="88" t="s">
        <v>513</v>
      </c>
      <c r="U199" s="41">
        <f>D199/'1. Väestöennuste'!E199*1000</f>
        <v>-6420.0426439232406</v>
      </c>
      <c r="V199" s="41">
        <f>E199/'1. Väestöennuste'!F199*1000</f>
        <v>-6524.2741551642075</v>
      </c>
      <c r="W199" s="41">
        <f>F199/'1. Väestöennuste'!G199*1000</f>
        <v>-6729.8279622001455</v>
      </c>
      <c r="X199" s="41">
        <f>G199/'1. Väestöennuste'!H199*1000</f>
        <v>-6827.7818899580552</v>
      </c>
      <c r="Y199" s="41">
        <f>H199/'1. Väestöennuste'!I199*1000</f>
        <v>-7190.2281746031749</v>
      </c>
      <c r="Z199" s="41">
        <f>I199/'1. Väestöennuste'!J199*1000</f>
        <v>-7237.5985754261001</v>
      </c>
      <c r="AA199" s="41">
        <f>J199/'1. Väestöennuste'!K199*1000</f>
        <v>-7524.7392899561073</v>
      </c>
      <c r="AB199" s="41">
        <f>K199/'1. Väestöennuste'!L199*1000</f>
        <v>-8362.1486555731626</v>
      </c>
      <c r="AC199" s="41">
        <f>L199/'1. Väestöennuste'!M199*1000</f>
        <v>-2943.5744503878041</v>
      </c>
      <c r="AD199" s="41">
        <f>M199/'1. Väestöennuste'!N199*1000</f>
        <v>-3288.8220189500903</v>
      </c>
      <c r="AE199" s="41">
        <f>N199/'1. Väestöennuste'!O199*1000</f>
        <v>-3459.5386320535968</v>
      </c>
      <c r="AF199" s="41">
        <f>O199/'1. Väestöennuste'!P199*1000</f>
        <v>-3656.2645011672744</v>
      </c>
      <c r="AG199" s="41">
        <f>P199/'1. Väestöennuste'!Q199*1000</f>
        <v>-3818.693849075552</v>
      </c>
      <c r="AH199" s="41">
        <f>Q199/'1. Väestöennuste'!R199*1000</f>
        <v>-4023.7514521959961</v>
      </c>
    </row>
    <row r="200" spans="1:34" customFormat="1" x14ac:dyDescent="0.25">
      <c r="A200" s="99">
        <v>6</v>
      </c>
      <c r="B200" s="30">
        <v>604</v>
      </c>
      <c r="C200" s="47" t="s">
        <v>514</v>
      </c>
      <c r="D200" s="65">
        <v>-84261</v>
      </c>
      <c r="E200" s="157">
        <v>-80021</v>
      </c>
      <c r="F200" s="157">
        <v>-86296</v>
      </c>
      <c r="G200" s="157">
        <v>-90742</v>
      </c>
      <c r="H200" s="43">
        <v>-96176</v>
      </c>
      <c r="I200" s="43">
        <v>-103006</v>
      </c>
      <c r="J200" s="159">
        <v>-106469.39028000001</v>
      </c>
      <c r="K200" s="43">
        <v>-116719.5086</v>
      </c>
      <c r="L200" s="43">
        <v>-58980.035299999996</v>
      </c>
      <c r="M200" s="43">
        <f>'2.1. Toimintakatennuste'!AX191</f>
        <v>-60439.243287982899</v>
      </c>
      <c r="N200" s="43">
        <f>$N$6*'2.1. Toimintakatennuste'!AG191</f>
        <v>-65975.829655733396</v>
      </c>
      <c r="O200" s="43">
        <f>$O$6*'2.1. Toimintakatennuste'!AH191</f>
        <v>-68193.755088785299</v>
      </c>
      <c r="P200" s="43">
        <f>P$6*'2.1. Toimintakatennuste'!AI191</f>
        <v>-70864.566286441564</v>
      </c>
      <c r="Q200" s="43">
        <f>Q$6*'2.1. Toimintakatennuste'!AJ191</f>
        <v>-72936.476610024431</v>
      </c>
      <c r="R200" s="117"/>
      <c r="S200" s="34">
        <v>604</v>
      </c>
      <c r="T200" s="88" t="s">
        <v>514</v>
      </c>
      <c r="U200" s="41">
        <f>D200/'1. Väestöennuste'!E200*1000</f>
        <v>-4455.1895521598899</v>
      </c>
      <c r="V200" s="41">
        <f>E200/'1. Väestöennuste'!F200*1000</f>
        <v>-4175.8075457913683</v>
      </c>
      <c r="W200" s="41">
        <f>F200/'1. Väestöennuste'!G200*1000</f>
        <v>-4485.9385559078855</v>
      </c>
      <c r="X200" s="41">
        <f>G200/'1. Väestöennuste'!H200*1000</f>
        <v>-4685.1507641470462</v>
      </c>
      <c r="Y200" s="41">
        <f>H200/'1. Väestöennuste'!I200*1000</f>
        <v>-4901.1873821535955</v>
      </c>
      <c r="Z200" s="41">
        <f>I200/'1. Väestöennuste'!J200*1000</f>
        <v>-5201.535120941272</v>
      </c>
      <c r="AA200" s="41">
        <f>J200/'1. Väestöennuste'!K200*1000</f>
        <v>-5269.1967870929429</v>
      </c>
      <c r="AB200" s="41">
        <f>K200/'1. Väestöennuste'!L200*1000</f>
        <v>-5720.1425434942421</v>
      </c>
      <c r="AC200" s="41">
        <f>L200/'1. Väestöennuste'!M200*1000</f>
        <v>-2840.6316669074795</v>
      </c>
      <c r="AD200" s="41">
        <f>M200/'1. Väestöennuste'!N200*1000</f>
        <v>-2951.5672846600037</v>
      </c>
      <c r="AE200" s="41">
        <f>N200/'1. Väestöennuste'!O200*1000</f>
        <v>-3197.8978069765594</v>
      </c>
      <c r="AF200" s="41">
        <f>O200/'1. Väestöennuste'!P200*1000</f>
        <v>-3282.0172821631199</v>
      </c>
      <c r="AG200" s="41">
        <f>P200/'1. Väestöennuste'!Q200*1000</f>
        <v>-3387.893401847376</v>
      </c>
      <c r="AH200" s="41">
        <f>Q200/'1. Väestöennuste'!R200*1000</f>
        <v>-3465.0803653391813</v>
      </c>
    </row>
    <row r="201" spans="1:34" customFormat="1" x14ac:dyDescent="0.25">
      <c r="A201" s="99">
        <v>12</v>
      </c>
      <c r="B201" s="30">
        <v>607</v>
      </c>
      <c r="C201" s="47" t="s">
        <v>515</v>
      </c>
      <c r="D201" s="65">
        <v>-24942</v>
      </c>
      <c r="E201" s="157">
        <v>-24791</v>
      </c>
      <c r="F201" s="157">
        <v>-24278</v>
      </c>
      <c r="G201" s="157">
        <v>-25024</v>
      </c>
      <c r="H201" s="43">
        <v>-25541</v>
      </c>
      <c r="I201" s="43">
        <v>-26327</v>
      </c>
      <c r="J201" s="159">
        <v>-28799.248970000001</v>
      </c>
      <c r="K201" s="43">
        <v>-30741.163969999998</v>
      </c>
      <c r="L201" s="43">
        <v>-10417.30436</v>
      </c>
      <c r="M201" s="43">
        <f>'2.1. Toimintakatennuste'!AX192</f>
        <v>-10275.619099034004</v>
      </c>
      <c r="N201" s="43">
        <f>$N$6*'2.1. Toimintakatennuste'!AG192</f>
        <v>-11972.054229098772</v>
      </c>
      <c r="O201" s="43">
        <f>$O$6*'2.1. Toimintakatennuste'!AH192</f>
        <v>-12513.121563752906</v>
      </c>
      <c r="P201" s="43">
        <f>P$6*'2.1. Toimintakatennuste'!AI192</f>
        <v>-12877.016843637737</v>
      </c>
      <c r="Q201" s="43">
        <f>Q$6*'2.1. Toimintakatennuste'!AJ192</f>
        <v>-13244.633482336882</v>
      </c>
      <c r="R201" s="117"/>
      <c r="S201" s="34">
        <v>607</v>
      </c>
      <c r="T201" s="88" t="s">
        <v>515</v>
      </c>
      <c r="U201" s="41">
        <f>D201/'1. Väestöennuste'!E201*1000</f>
        <v>-5474.5390693590862</v>
      </c>
      <c r="V201" s="41">
        <f>E201/'1. Väestöennuste'!F201*1000</f>
        <v>-5492.0248116969433</v>
      </c>
      <c r="W201" s="41">
        <f>F201/'1. Väestöennuste'!G201*1000</f>
        <v>-5500.2265518803806</v>
      </c>
      <c r="X201" s="41">
        <f>G201/'1. Väestöennuste'!H201*1000</f>
        <v>-5810.0766194566977</v>
      </c>
      <c r="Y201" s="41">
        <f>H201/'1. Väestöennuste'!I201*1000</f>
        <v>-6015.3085256712193</v>
      </c>
      <c r="Z201" s="41">
        <f>I201/'1. Väestöennuste'!J201*1000</f>
        <v>-6266.8412282789814</v>
      </c>
      <c r="AA201" s="41">
        <f>J201/'1. Väestöennuste'!K201*1000</f>
        <v>-6921.232629175679</v>
      </c>
      <c r="AB201" s="41">
        <f>K201/'1. Väestöennuste'!L201*1000</f>
        <v>-7527.2193854064635</v>
      </c>
      <c r="AC201" s="41">
        <f>L201/'1. Väestöennuste'!M201*1000</f>
        <v>-2563.3130807086613</v>
      </c>
      <c r="AD201" s="41">
        <f>M201/'1. Väestöennuste'!N201*1000</f>
        <v>-2602.0813114798689</v>
      </c>
      <c r="AE201" s="41">
        <f>N201/'1. Väestöennuste'!O201*1000</f>
        <v>-3076.0673764385333</v>
      </c>
      <c r="AF201" s="41">
        <f>O201/'1. Väestöennuste'!P201*1000</f>
        <v>-3258.6254072273191</v>
      </c>
      <c r="AG201" s="41">
        <f>P201/'1. Väestöennuste'!Q201*1000</f>
        <v>-3401.2194515683409</v>
      </c>
      <c r="AH201" s="41">
        <f>Q201/'1. Väestöennuste'!R201*1000</f>
        <v>-3549.8883629956799</v>
      </c>
    </row>
    <row r="202" spans="1:34" customFormat="1" x14ac:dyDescent="0.25">
      <c r="A202" s="99">
        <v>4</v>
      </c>
      <c r="B202" s="30">
        <v>608</v>
      </c>
      <c r="C202" s="47" t="s">
        <v>516</v>
      </c>
      <c r="D202" s="65">
        <v>-14062</v>
      </c>
      <c r="E202" s="157">
        <v>-14125</v>
      </c>
      <c r="F202" s="157">
        <v>-14208</v>
      </c>
      <c r="G202" s="157">
        <v>-13922</v>
      </c>
      <c r="H202" s="43">
        <v>-13841</v>
      </c>
      <c r="I202" s="43">
        <v>-13946</v>
      </c>
      <c r="J202" s="159">
        <v>-14568.806460000002</v>
      </c>
      <c r="K202" s="43">
        <v>-15184.22804</v>
      </c>
      <c r="L202" s="43">
        <v>-5638.8742899999997</v>
      </c>
      <c r="M202" s="43">
        <f>'2.1. Toimintakatennuste'!AX193</f>
        <v>-5931.4679131215871</v>
      </c>
      <c r="N202" s="43">
        <f>$N$6*'2.1. Toimintakatennuste'!AG193</f>
        <v>-6399.6167676444347</v>
      </c>
      <c r="O202" s="43">
        <f>$O$6*'2.1. Toimintakatennuste'!AH193</f>
        <v>-6645.2074541528027</v>
      </c>
      <c r="P202" s="43">
        <f>P$6*'2.1. Toimintakatennuste'!AI193</f>
        <v>-6825.9778708447402</v>
      </c>
      <c r="Q202" s="43">
        <f>Q$6*'2.1. Toimintakatennuste'!AJ193</f>
        <v>-7050.0179701231018</v>
      </c>
      <c r="R202" s="117"/>
      <c r="S202" s="34">
        <v>608</v>
      </c>
      <c r="T202" s="88" t="s">
        <v>516</v>
      </c>
      <c r="U202" s="41">
        <f>D202/'1. Väestöennuste'!E202*1000</f>
        <v>-6277.6785714285706</v>
      </c>
      <c r="V202" s="41">
        <f>E202/'1. Väestöennuste'!F202*1000</f>
        <v>-6325.570980743395</v>
      </c>
      <c r="W202" s="41">
        <f>F202/'1. Väestöennuste'!G202*1000</f>
        <v>-6559.5567867036016</v>
      </c>
      <c r="X202" s="41">
        <f>G202/'1. Väestöennuste'!H202*1000</f>
        <v>-6487.4184529356944</v>
      </c>
      <c r="Y202" s="41">
        <f>H202/'1. Väestöennuste'!I202*1000</f>
        <v>-6625.6582096696984</v>
      </c>
      <c r="Z202" s="41">
        <f>I202/'1. Väestöennuste'!J202*1000</f>
        <v>-6760.0581677169166</v>
      </c>
      <c r="AA202" s="41">
        <f>J202/'1. Väestöennuste'!K202*1000</f>
        <v>-7237.3603874813725</v>
      </c>
      <c r="AB202" s="41">
        <f>K202/'1. Väestöennuste'!L202*1000</f>
        <v>-7668.8020404040408</v>
      </c>
      <c r="AC202" s="41">
        <f>L202/'1. Väestöennuste'!M202*1000</f>
        <v>-2902.1483736489963</v>
      </c>
      <c r="AD202" s="41">
        <f>M202/'1. Väestöennuste'!N202*1000</f>
        <v>-3044.9013927728888</v>
      </c>
      <c r="AE202" s="41">
        <f>N202/'1. Väestöennuste'!O202*1000</f>
        <v>-3327.9338365285671</v>
      </c>
      <c r="AF202" s="41">
        <f>O202/'1. Väestöennuste'!P202*1000</f>
        <v>-3503.0086737758579</v>
      </c>
      <c r="AG202" s="41">
        <f>P202/'1. Väestöennuste'!Q202*1000</f>
        <v>-3648.3045808897596</v>
      </c>
      <c r="AH202" s="41">
        <f>Q202/'1. Väestöennuste'!R202*1000</f>
        <v>-3817.0102707759079</v>
      </c>
    </row>
    <row r="203" spans="1:34" customFormat="1" x14ac:dyDescent="0.25">
      <c r="A203" s="99">
        <v>4</v>
      </c>
      <c r="B203" s="30">
        <v>609</v>
      </c>
      <c r="C203" s="47" t="s">
        <v>517</v>
      </c>
      <c r="D203" s="65">
        <v>-437130</v>
      </c>
      <c r="E203" s="157">
        <v>-419769</v>
      </c>
      <c r="F203" s="157">
        <v>-409159</v>
      </c>
      <c r="G203" s="157">
        <v>-442067</v>
      </c>
      <c r="H203" s="43">
        <v>-459579</v>
      </c>
      <c r="I203" s="43">
        <v>-470984</v>
      </c>
      <c r="J203" s="159">
        <v>-494165.38548999996</v>
      </c>
      <c r="K203" s="43">
        <v>-526613.93239999993</v>
      </c>
      <c r="L203" s="43">
        <v>-177586.44209999999</v>
      </c>
      <c r="M203" s="43">
        <f>'2.1. Toimintakatennuste'!AX194</f>
        <v>-187686.49887508267</v>
      </c>
      <c r="N203" s="43">
        <f>$N$6*'2.1. Toimintakatennuste'!AG194</f>
        <v>-206715.36276588289</v>
      </c>
      <c r="O203" s="43">
        <f>$O$6*'2.1. Toimintakatennuste'!AH194</f>
        <v>-213609.58317185074</v>
      </c>
      <c r="P203" s="43">
        <f>P$6*'2.1. Toimintakatennuste'!AI194</f>
        <v>-219296.9487561537</v>
      </c>
      <c r="Q203" s="43">
        <f>Q$6*'2.1. Toimintakatennuste'!AJ194</f>
        <v>-224273.57670389861</v>
      </c>
      <c r="R203" s="117"/>
      <c r="S203" s="34">
        <v>609</v>
      </c>
      <c r="T203" s="88" t="s">
        <v>517</v>
      </c>
      <c r="U203" s="41">
        <f>D203/'1. Väestöennuste'!E203*1000</f>
        <v>-5120.8368965476848</v>
      </c>
      <c r="V203" s="41">
        <f>E203/'1. Väestöennuste'!F203*1000</f>
        <v>-4935.0333298063697</v>
      </c>
      <c r="W203" s="41">
        <f>F203/'1. Väestöennuste'!G203*1000</f>
        <v>-4837.1380945062474</v>
      </c>
      <c r="X203" s="41">
        <f>G203/'1. Väestöennuste'!H203*1000</f>
        <v>-5237.5744937976142</v>
      </c>
      <c r="Y203" s="41">
        <f>H203/'1. Väestöennuste'!I203*1000</f>
        <v>-5475.4807348631066</v>
      </c>
      <c r="Z203" s="41">
        <f>I203/'1. Väestöennuste'!J203*1000</f>
        <v>-5628.1248506285547</v>
      </c>
      <c r="AA203" s="41">
        <f>J203/'1. Väestöennuste'!K203*1000</f>
        <v>-5919.424372798926</v>
      </c>
      <c r="AB203" s="41">
        <f>K203/'1. Väestöennuste'!L203*1000</f>
        <v>-6329.1140243975715</v>
      </c>
      <c r="AC203" s="41">
        <f>L203/'1. Väestöennuste'!M203*1000</f>
        <v>-2136.8666774962094</v>
      </c>
      <c r="AD203" s="41">
        <f>M203/'1. Väestöennuste'!N203*1000</f>
        <v>-2281.9859554157924</v>
      </c>
      <c r="AE203" s="41">
        <f>N203/'1. Väestöennuste'!O203*1000</f>
        <v>-2524.7986267421024</v>
      </c>
      <c r="AF203" s="41">
        <f>O203/'1. Väestöennuste'!P203*1000</f>
        <v>-2621.1372866047091</v>
      </c>
      <c r="AG203" s="41">
        <f>P203/'1. Väestöennuste'!Q203*1000</f>
        <v>-2703.4980614940787</v>
      </c>
      <c r="AH203" s="41">
        <f>Q203/'1. Väestöennuste'!R203*1000</f>
        <v>-2777.8289595092538</v>
      </c>
    </row>
    <row r="204" spans="1:34" customFormat="1" x14ac:dyDescent="0.25">
      <c r="A204" s="99">
        <v>1</v>
      </c>
      <c r="B204" s="30">
        <v>611</v>
      </c>
      <c r="C204" s="47" t="s">
        <v>518</v>
      </c>
      <c r="D204" s="65">
        <v>-22401</v>
      </c>
      <c r="E204" s="157">
        <v>-21906</v>
      </c>
      <c r="F204" s="157">
        <v>-22108</v>
      </c>
      <c r="G204" s="157">
        <v>-22534</v>
      </c>
      <c r="H204" s="43">
        <v>-24504</v>
      </c>
      <c r="I204" s="43">
        <v>-25740</v>
      </c>
      <c r="J204" s="159">
        <v>-24960.538519999998</v>
      </c>
      <c r="K204" s="43">
        <v>-28457.65064</v>
      </c>
      <c r="L204" s="43">
        <v>-13581.785250000001</v>
      </c>
      <c r="M204" s="43">
        <f>'2.1. Toimintakatennuste'!AX195</f>
        <v>-12787.995888447325</v>
      </c>
      <c r="N204" s="43">
        <f>$N$6*'2.1. Toimintakatennuste'!AG195</f>
        <v>-15016.415165807062</v>
      </c>
      <c r="O204" s="43">
        <f>$O$6*'2.1. Toimintakatennuste'!AH195</f>
        <v>-15676.781298480177</v>
      </c>
      <c r="P204" s="43">
        <f>P$6*'2.1. Toimintakatennuste'!AI195</f>
        <v>-16364.182001634175</v>
      </c>
      <c r="Q204" s="43">
        <f>Q$6*'2.1. Toimintakatennuste'!AJ195</f>
        <v>-16939.597231427353</v>
      </c>
      <c r="R204" s="117"/>
      <c r="S204" s="34">
        <v>611</v>
      </c>
      <c r="T204" s="88" t="s">
        <v>518</v>
      </c>
      <c r="U204" s="41">
        <f>D204/'1. Väestöennuste'!E204*1000</f>
        <v>-4370.9268292682927</v>
      </c>
      <c r="V204" s="41">
        <f>E204/'1. Väestöennuste'!F204*1000</f>
        <v>-4288.5669537979638</v>
      </c>
      <c r="W204" s="41">
        <f>F204/'1. Väestöennuste'!G204*1000</f>
        <v>-4317.1255614137863</v>
      </c>
      <c r="X204" s="41">
        <f>G204/'1. Väestöennuste'!H204*1000</f>
        <v>-4446.3299131807426</v>
      </c>
      <c r="Y204" s="41">
        <f>H204/'1. Väestöennuste'!I204*1000</f>
        <v>-4866.7328699106256</v>
      </c>
      <c r="Z204" s="41">
        <f>I204/'1. Väestöennuste'!J204*1000</f>
        <v>-5076.9230769230762</v>
      </c>
      <c r="AA204" s="41">
        <f>J204/'1. Väestöennuste'!K204*1000</f>
        <v>-4927.0703750493485</v>
      </c>
      <c r="AB204" s="41">
        <f>K204/'1. Väestöennuste'!L204*1000</f>
        <v>-5679.0362482538412</v>
      </c>
      <c r="AC204" s="41">
        <f>L204/'1. Väestöennuste'!M204*1000</f>
        <v>-2731.1050170922986</v>
      </c>
      <c r="AD204" s="41">
        <f>M204/'1. Väestöennuste'!N204*1000</f>
        <v>-2526.2733876822058</v>
      </c>
      <c r="AE204" s="41">
        <f>N204/'1. Väestöennuste'!O204*1000</f>
        <v>-2963.5711793580149</v>
      </c>
      <c r="AF204" s="41">
        <f>O204/'1. Väestöennuste'!P204*1000</f>
        <v>-3089.0209455133354</v>
      </c>
      <c r="AG204" s="41">
        <f>P204/'1. Väestöennuste'!Q204*1000</f>
        <v>-3216.8629843983044</v>
      </c>
      <c r="AH204" s="41">
        <f>Q204/'1. Väestöennuste'!R204*1000</f>
        <v>-3323.4446206449584</v>
      </c>
    </row>
    <row r="205" spans="1:34" customFormat="1" x14ac:dyDescent="0.25">
      <c r="A205" s="99">
        <v>19</v>
      </c>
      <c r="B205" s="30">
        <v>614</v>
      </c>
      <c r="C205" s="47" t="s">
        <v>519</v>
      </c>
      <c r="D205" s="65">
        <v>-25357</v>
      </c>
      <c r="E205" s="157">
        <v>-24875</v>
      </c>
      <c r="F205" s="157">
        <v>-24008</v>
      </c>
      <c r="G205" s="157">
        <v>-24249</v>
      </c>
      <c r="H205" s="43">
        <v>-25436</v>
      </c>
      <c r="I205" s="43">
        <v>-26659</v>
      </c>
      <c r="J205" s="159">
        <v>-27419.305090000002</v>
      </c>
      <c r="K205" s="43">
        <v>-28809.215079999998</v>
      </c>
      <c r="L205" s="43">
        <v>-8936.5725999999995</v>
      </c>
      <c r="M205" s="43">
        <f>'2.1. Toimintakatennuste'!AX196</f>
        <v>-9277.1890685473663</v>
      </c>
      <c r="N205" s="43">
        <f>$N$6*'2.1. Toimintakatennuste'!AG196</f>
        <v>-10449.357227896851</v>
      </c>
      <c r="O205" s="43">
        <f>$O$6*'2.1. Toimintakatennuste'!AH196</f>
        <v>-10781.062300055475</v>
      </c>
      <c r="P205" s="43">
        <f>P$6*'2.1. Toimintakatennuste'!AI196</f>
        <v>-11093.27716848377</v>
      </c>
      <c r="Q205" s="43">
        <f>Q$6*'2.1. Toimintakatennuste'!AJ196</f>
        <v>-11429.560876708807</v>
      </c>
      <c r="R205" s="117"/>
      <c r="S205" s="34">
        <v>614</v>
      </c>
      <c r="T205" s="88" t="s">
        <v>519</v>
      </c>
      <c r="U205" s="41">
        <f>D205/'1. Väestöennuste'!E205*1000</f>
        <v>-7292.7811331607709</v>
      </c>
      <c r="V205" s="41">
        <f>E205/'1. Väestöennuste'!F205*1000</f>
        <v>-7264.8948598130837</v>
      </c>
      <c r="W205" s="41">
        <f>F205/'1. Väestöennuste'!G205*1000</f>
        <v>-7253.1722054380671</v>
      </c>
      <c r="X205" s="41">
        <f>G205/'1. Väestöennuste'!H205*1000</f>
        <v>-7491.1955514365154</v>
      </c>
      <c r="Y205" s="41">
        <f>H205/'1. Väestöennuste'!I205*1000</f>
        <v>-7991.2032673578387</v>
      </c>
      <c r="Z205" s="41">
        <f>I205/'1. Väestöennuste'!J205*1000</f>
        <v>-8552.7751042669224</v>
      </c>
      <c r="AA205" s="41">
        <f>J205/'1. Väestöennuste'!K205*1000</f>
        <v>-8943.0218819308557</v>
      </c>
      <c r="AB205" s="41">
        <f>K205/'1. Väestöennuste'!L205*1000</f>
        <v>-9606.2737845948632</v>
      </c>
      <c r="AC205" s="41">
        <f>L205/'1. Väestöennuste'!M205*1000</f>
        <v>-3057.328977078344</v>
      </c>
      <c r="AD205" s="41">
        <f>M205/'1. Väestöennuste'!N205*1000</f>
        <v>-3248.3155001916552</v>
      </c>
      <c r="AE205" s="41">
        <f>N205/'1. Väestöennuste'!O205*1000</f>
        <v>-3726.5895962542268</v>
      </c>
      <c r="AF205" s="41">
        <f>O205/'1. Väestöennuste'!P205*1000</f>
        <v>-3910.4324628420291</v>
      </c>
      <c r="AG205" s="41">
        <f>P205/'1. Väestöennuste'!Q205*1000</f>
        <v>-4093.4602097726083</v>
      </c>
      <c r="AH205" s="41">
        <f>Q205/'1. Väestöennuste'!R205*1000</f>
        <v>-4285.5496350614203</v>
      </c>
    </row>
    <row r="206" spans="1:34" customFormat="1" x14ac:dyDescent="0.25">
      <c r="A206" s="99">
        <v>17</v>
      </c>
      <c r="B206" s="30">
        <v>615</v>
      </c>
      <c r="C206" s="47" t="s">
        <v>520</v>
      </c>
      <c r="D206" s="65">
        <v>-55739</v>
      </c>
      <c r="E206" s="157">
        <v>-56878</v>
      </c>
      <c r="F206" s="157">
        <v>-57649</v>
      </c>
      <c r="G206" s="157">
        <v>-59568</v>
      </c>
      <c r="H206" s="43">
        <v>-60524</v>
      </c>
      <c r="I206" s="43">
        <v>-60048</v>
      </c>
      <c r="J206" s="159">
        <v>-60523.795480000001</v>
      </c>
      <c r="K206" s="43">
        <v>-62879.119270000003</v>
      </c>
      <c r="L206" s="43">
        <v>-29947.287949999998</v>
      </c>
      <c r="M206" s="43">
        <f>'2.1. Toimintakatennuste'!AX197</f>
        <v>-25866.603779523884</v>
      </c>
      <c r="N206" s="43">
        <f>$N$6*'2.1. Toimintakatennuste'!AG197</f>
        <v>-32899.326738245276</v>
      </c>
      <c r="O206" s="43">
        <f>$O$6*'2.1. Toimintakatennuste'!AH197</f>
        <v>-33751.024859250596</v>
      </c>
      <c r="P206" s="43">
        <f>P$6*'2.1. Toimintakatennuste'!AI197</f>
        <v>-34456.654224215883</v>
      </c>
      <c r="Q206" s="43">
        <f>Q$6*'2.1. Toimintakatennuste'!AJ197</f>
        <v>-35011.906031847844</v>
      </c>
      <c r="R206" s="117"/>
      <c r="S206" s="34">
        <v>615</v>
      </c>
      <c r="T206" s="88" t="s">
        <v>520</v>
      </c>
      <c r="U206" s="41">
        <f>D206/'1. Väestöennuste'!E206*1000</f>
        <v>-6750.5147147874532</v>
      </c>
      <c r="V206" s="41">
        <f>E206/'1. Väestöennuste'!F206*1000</f>
        <v>-6947.3555636985466</v>
      </c>
      <c r="W206" s="41">
        <f>F206/'1. Väestöennuste'!G206*1000</f>
        <v>-7114.5254843884977</v>
      </c>
      <c r="X206" s="41">
        <f>G206/'1. Väestöennuste'!H206*1000</f>
        <v>-7455.3191489361707</v>
      </c>
      <c r="Y206" s="41">
        <f>H206/'1. Väestöennuste'!I206*1000</f>
        <v>-7687.5396926203475</v>
      </c>
      <c r="Z206" s="41">
        <f>I206/'1. Väestöennuste'!J206*1000</f>
        <v>-7719.2441187813347</v>
      </c>
      <c r="AA206" s="41">
        <f>J206/'1. Väestöennuste'!K206*1000</f>
        <v>-7858.1920903661385</v>
      </c>
      <c r="AB206" s="41">
        <f>K206/'1. Väestöennuste'!L206*1000</f>
        <v>-8270.3037314218072</v>
      </c>
      <c r="AC206" s="41">
        <f>L206/'1. Väestöennuste'!M206*1000</f>
        <v>-4004.1834402995046</v>
      </c>
      <c r="AD206" s="41">
        <f>M206/'1. Väestöennuste'!N206*1000</f>
        <v>-3495.0146979494507</v>
      </c>
      <c r="AE206" s="41">
        <f>N206/'1. Väestöennuste'!O206*1000</f>
        <v>-4498.1305357185229</v>
      </c>
      <c r="AF206" s="41">
        <f>O206/'1. Väestöennuste'!P206*1000</f>
        <v>-4669.4832400734085</v>
      </c>
      <c r="AG206" s="41">
        <f>P206/'1. Väestöennuste'!Q206*1000</f>
        <v>-4819.7865749357788</v>
      </c>
      <c r="AH206" s="41">
        <f>Q206/'1. Väestöennuste'!R206*1000</f>
        <v>-4951.4787203857795</v>
      </c>
    </row>
    <row r="207" spans="1:34" customFormat="1" x14ac:dyDescent="0.25">
      <c r="A207" s="99">
        <v>1</v>
      </c>
      <c r="B207" s="30">
        <v>616</v>
      </c>
      <c r="C207" s="47" t="s">
        <v>521</v>
      </c>
      <c r="D207" s="65">
        <v>-10457</v>
      </c>
      <c r="E207" s="157">
        <v>-10636</v>
      </c>
      <c r="F207" s="157">
        <v>-10160</v>
      </c>
      <c r="G207" s="157">
        <v>-10849</v>
      </c>
      <c r="H207" s="43">
        <v>-11064</v>
      </c>
      <c r="I207" s="43">
        <v>-10827</v>
      </c>
      <c r="J207" s="159">
        <v>-11436.861120000001</v>
      </c>
      <c r="K207" s="43">
        <v>-12107.4696</v>
      </c>
      <c r="L207" s="43">
        <v>-5199.9822400000003</v>
      </c>
      <c r="M207" s="43">
        <f>'2.1. Toimintakatennuste'!AX198</f>
        <v>-4869.8315778523756</v>
      </c>
      <c r="N207" s="43">
        <f>$N$6*'2.1. Toimintakatennuste'!AG198</f>
        <v>-5897.9322216511337</v>
      </c>
      <c r="O207" s="43">
        <f>$O$6*'2.1. Toimintakatennuste'!AH198</f>
        <v>-6141.8566687458888</v>
      </c>
      <c r="P207" s="43">
        <f>P$6*'2.1. Toimintakatennuste'!AI198</f>
        <v>-6374.5161321835858</v>
      </c>
      <c r="Q207" s="43">
        <f>Q$6*'2.1. Toimintakatennuste'!AJ198</f>
        <v>-6602.8878843107186</v>
      </c>
      <c r="R207" s="117"/>
      <c r="S207" s="34">
        <v>616</v>
      </c>
      <c r="T207" s="88" t="s">
        <v>521</v>
      </c>
      <c r="U207" s="41">
        <f>D207/'1. Väestöennuste'!E207*1000</f>
        <v>-5305.4287163876206</v>
      </c>
      <c r="V207" s="41">
        <f>E207/'1. Väestöennuste'!F207*1000</f>
        <v>-5350.1006036217304</v>
      </c>
      <c r="W207" s="41">
        <f>F207/'1. Väestöennuste'!G207*1000</f>
        <v>-5237.1134020618556</v>
      </c>
      <c r="X207" s="41">
        <f>G207/'1. Väestöennuste'!H207*1000</f>
        <v>-5713.006845708268</v>
      </c>
      <c r="Y207" s="41">
        <f>H207/'1. Väestöennuste'!I207*1000</f>
        <v>-5948.3870967741932</v>
      </c>
      <c r="Z207" s="41">
        <f>I207/'1. Väestöennuste'!J207*1000</f>
        <v>-5906.7103109656309</v>
      </c>
      <c r="AA207" s="41">
        <f>J207/'1. Väestöennuste'!K207*1000</f>
        <v>-6188.7776623376631</v>
      </c>
      <c r="AB207" s="41">
        <f>K207/'1. Väestöennuste'!L207*1000</f>
        <v>-6700.3152185943554</v>
      </c>
      <c r="AC207" s="41">
        <f>L207/'1. Väestöennuste'!M207*1000</f>
        <v>-2919.6980572711959</v>
      </c>
      <c r="AD207" s="41">
        <f>M207/'1. Väestöennuste'!N207*1000</f>
        <v>-2792.3346203281972</v>
      </c>
      <c r="AE207" s="41">
        <f>N207/'1. Väestöennuste'!O207*1000</f>
        <v>-3413.1552208629246</v>
      </c>
      <c r="AF207" s="41">
        <f>O207/'1. Väestöennuste'!P207*1000</f>
        <v>-3577.0860039288814</v>
      </c>
      <c r="AG207" s="41">
        <f>P207/'1. Väestöennuste'!Q207*1000</f>
        <v>-3736.5276273057361</v>
      </c>
      <c r="AH207" s="41">
        <f>Q207/'1. Väestöennuste'!R207*1000</f>
        <v>-3890.9180225755563</v>
      </c>
    </row>
    <row r="208" spans="1:34" customFormat="1" x14ac:dyDescent="0.25">
      <c r="A208" s="99">
        <v>6</v>
      </c>
      <c r="B208" s="30">
        <v>619</v>
      </c>
      <c r="C208" s="47" t="s">
        <v>522</v>
      </c>
      <c r="D208" s="65">
        <v>-18522</v>
      </c>
      <c r="E208" s="157">
        <v>-18717</v>
      </c>
      <c r="F208" s="157">
        <v>-18363</v>
      </c>
      <c r="G208" s="157">
        <v>-17953</v>
      </c>
      <c r="H208" s="43">
        <v>-18279</v>
      </c>
      <c r="I208" s="43">
        <v>-18402</v>
      </c>
      <c r="J208" s="159">
        <v>-19643.170690000003</v>
      </c>
      <c r="K208" s="43">
        <v>-19379.939730000002</v>
      </c>
      <c r="L208" s="43">
        <v>-7176.4999000000007</v>
      </c>
      <c r="M208" s="43">
        <f>'2.1. Toimintakatennuste'!AX199</f>
        <v>-7546.6428603169688</v>
      </c>
      <c r="N208" s="43">
        <f>$N$6*'2.1. Toimintakatennuste'!AG199</f>
        <v>-8169.6596573922379</v>
      </c>
      <c r="O208" s="43">
        <f>$O$6*'2.1. Toimintakatennuste'!AH199</f>
        <v>-8478.007504798321</v>
      </c>
      <c r="P208" s="43">
        <f>P$6*'2.1. Toimintakatennuste'!AI199</f>
        <v>-8773.198541566906</v>
      </c>
      <c r="Q208" s="43">
        <f>Q$6*'2.1. Toimintakatennuste'!AJ199</f>
        <v>-9059.3550830617351</v>
      </c>
      <c r="R208" s="117"/>
      <c r="S208" s="34">
        <v>619</v>
      </c>
      <c r="T208" s="88" t="s">
        <v>522</v>
      </c>
      <c r="U208" s="41">
        <f>D208/'1. Väestöennuste'!E208*1000</f>
        <v>-6074.7786159396528</v>
      </c>
      <c r="V208" s="41">
        <f>E208/'1. Väestöennuste'!F208*1000</f>
        <v>-6232.7672327672326</v>
      </c>
      <c r="W208" s="41">
        <f>F208/'1. Väestöennuste'!G208*1000</f>
        <v>-6226.8565615462867</v>
      </c>
      <c r="X208" s="41">
        <f>G208/'1. Väestöennuste'!H208*1000</f>
        <v>-6199.2403314917128</v>
      </c>
      <c r="Y208" s="41">
        <f>H208/'1. Väestöennuste'!I208*1000</f>
        <v>-6463.5785007072136</v>
      </c>
      <c r="Z208" s="41">
        <f>I208/'1. Väestöennuste'!J208*1000</f>
        <v>-6607.5403949730708</v>
      </c>
      <c r="AA208" s="41">
        <f>J208/'1. Väestöennuste'!K208*1000</f>
        <v>-7219.0998493201041</v>
      </c>
      <c r="AB208" s="41">
        <f>K208/'1. Väestöennuste'!L208*1000</f>
        <v>-7244.837282242991</v>
      </c>
      <c r="AC208" s="41">
        <f>L208/'1. Väestöennuste'!M208*1000</f>
        <v>-2708.1131698113209</v>
      </c>
      <c r="AD208" s="41">
        <f>M208/'1. Väestöennuste'!N208*1000</f>
        <v>-2944.4568319613613</v>
      </c>
      <c r="AE208" s="41">
        <f>N208/'1. Väestöennuste'!O208*1000</f>
        <v>-3247.0825347345935</v>
      </c>
      <c r="AF208" s="41">
        <f>O208/'1. Väestöennuste'!P208*1000</f>
        <v>-3426.8421603873567</v>
      </c>
      <c r="AG208" s="41">
        <f>P208/'1. Väestöennuste'!Q208*1000</f>
        <v>-3601.4772338123589</v>
      </c>
      <c r="AH208" s="41">
        <f>Q208/'1. Väestöennuste'!R208*1000</f>
        <v>-3774.7312846090563</v>
      </c>
    </row>
    <row r="209" spans="1:34" customFormat="1" x14ac:dyDescent="0.25">
      <c r="A209" s="7">
        <v>18</v>
      </c>
      <c r="B209" s="30">
        <v>620</v>
      </c>
      <c r="C209" s="47" t="s">
        <v>523</v>
      </c>
      <c r="D209" s="65">
        <v>-21730</v>
      </c>
      <c r="E209" s="157">
        <v>-21493</v>
      </c>
      <c r="F209" s="157">
        <v>-22156</v>
      </c>
      <c r="G209" s="157">
        <v>-21794</v>
      </c>
      <c r="H209" s="43">
        <v>-21235</v>
      </c>
      <c r="I209" s="43">
        <v>-21173</v>
      </c>
      <c r="J209" s="159">
        <v>-22453.560219999999</v>
      </c>
      <c r="K209" s="43">
        <v>-22917.998940000001</v>
      </c>
      <c r="L209" s="43">
        <v>-8082.9091200000003</v>
      </c>
      <c r="M209" s="43">
        <f>'2.1. Toimintakatennuste'!AX200</f>
        <v>-7732.2998031091647</v>
      </c>
      <c r="N209" s="43">
        <f>$N$6*'2.1. Toimintakatennuste'!AG200</f>
        <v>-9332.7326073442982</v>
      </c>
      <c r="O209" s="43">
        <f>$O$6*'2.1. Toimintakatennuste'!AH200</f>
        <v>-9668.7391052051807</v>
      </c>
      <c r="P209" s="43">
        <f>P$6*'2.1. Toimintakatennuste'!AI200</f>
        <v>-9993.4788323544217</v>
      </c>
      <c r="Q209" s="43">
        <f>Q$6*'2.1. Toimintakatennuste'!AJ200</f>
        <v>-10296.235832623743</v>
      </c>
      <c r="R209" s="117"/>
      <c r="S209" s="34">
        <v>620</v>
      </c>
      <c r="T209" s="88" t="s">
        <v>523</v>
      </c>
      <c r="U209" s="41">
        <f>D209/'1. Väestöennuste'!E209*1000</f>
        <v>-7827.8097982708932</v>
      </c>
      <c r="V209" s="41">
        <f>E209/'1. Väestöennuste'!F209*1000</f>
        <v>-7858.5009140767825</v>
      </c>
      <c r="W209" s="41">
        <f>F209/'1. Väestöennuste'!G209*1000</f>
        <v>-8301.2364181341327</v>
      </c>
      <c r="X209" s="41">
        <f>G209/'1. Väestöennuste'!H209*1000</f>
        <v>-8391.9907585675792</v>
      </c>
      <c r="Y209" s="41">
        <f>H209/'1. Väestöennuste'!I209*1000</f>
        <v>-8399.92088607595</v>
      </c>
      <c r="Z209" s="41">
        <f>I209/'1. Väestöennuste'!J209*1000</f>
        <v>-8499.7992773986352</v>
      </c>
      <c r="AA209" s="41">
        <f>J209/'1. Väestöennuste'!K209*1000</f>
        <v>-9179.705731807031</v>
      </c>
      <c r="AB209" s="41">
        <f>K209/'1. Väestöennuste'!L209*1000</f>
        <v>-9629.4113193277317</v>
      </c>
      <c r="AC209" s="41">
        <f>L209/'1. Väestöennuste'!M209*1000</f>
        <v>-3426.4133615938958</v>
      </c>
      <c r="AD209" s="41">
        <f>M209/'1. Väestöennuste'!N209*1000</f>
        <v>-3386.9031113049346</v>
      </c>
      <c r="AE209" s="41">
        <f>N209/'1. Väestöennuste'!O209*1000</f>
        <v>-4170.1218084648335</v>
      </c>
      <c r="AF209" s="41">
        <f>O209/'1. Väestöennuste'!P209*1000</f>
        <v>-4402.8866599294988</v>
      </c>
      <c r="AG209" s="41">
        <f>P209/'1. Väestöennuste'!Q209*1000</f>
        <v>-4633.0453557507744</v>
      </c>
      <c r="AH209" s="41">
        <f>Q209/'1. Väestöennuste'!R209*1000</f>
        <v>-4859.0069998224362</v>
      </c>
    </row>
    <row r="210" spans="1:34" customFormat="1" x14ac:dyDescent="0.25">
      <c r="A210" s="99">
        <v>10</v>
      </c>
      <c r="B210" s="30">
        <v>623</v>
      </c>
      <c r="C210" s="47" t="s">
        <v>524</v>
      </c>
      <c r="D210" s="65">
        <v>-15092</v>
      </c>
      <c r="E210" s="157">
        <v>-14546</v>
      </c>
      <c r="F210" s="157">
        <v>-14916</v>
      </c>
      <c r="G210" s="157">
        <v>-14952</v>
      </c>
      <c r="H210" s="43">
        <v>-15354</v>
      </c>
      <c r="I210" s="43">
        <v>-15762</v>
      </c>
      <c r="J210" s="159">
        <v>-16783.525000000001</v>
      </c>
      <c r="K210" s="43">
        <v>-18127.380430000001</v>
      </c>
      <c r="L210" s="43">
        <v>-5558.1218099999996</v>
      </c>
      <c r="M210" s="43">
        <f>'2.1. Toimintakatennuste'!AX201</f>
        <v>-6271.4123675745977</v>
      </c>
      <c r="N210" s="43">
        <f>$N$6*'2.1. Toimintakatennuste'!AG201</f>
        <v>-6202.7388625500735</v>
      </c>
      <c r="O210" s="43">
        <f>$O$6*'2.1. Toimintakatennuste'!AH201</f>
        <v>-6449.9295867917117</v>
      </c>
      <c r="P210" s="43">
        <f>P$6*'2.1. Toimintakatennuste'!AI201</f>
        <v>-6685.3226933177139</v>
      </c>
      <c r="Q210" s="43">
        <f>Q$6*'2.1. Toimintakatennuste'!AJ201</f>
        <v>-6912.552742976919</v>
      </c>
      <c r="R210" s="117"/>
      <c r="S210" s="34">
        <v>623</v>
      </c>
      <c r="T210" s="88" t="s">
        <v>524</v>
      </c>
      <c r="U210" s="41">
        <f>D210/'1. Väestöennuste'!E210*1000</f>
        <v>-6677.8761061946898</v>
      </c>
      <c r="V210" s="41">
        <f>E210/'1. Väestöennuste'!F210*1000</f>
        <v>-6511.1906893464638</v>
      </c>
      <c r="W210" s="41">
        <f>F210/'1. Väestöennuste'!G210*1000</f>
        <v>-6755.4347826086951</v>
      </c>
      <c r="X210" s="41">
        <f>G210/'1. Väestöennuste'!H210*1000</f>
        <v>-6805.6440600819296</v>
      </c>
      <c r="Y210" s="41">
        <f>H210/'1. Väestöennuste'!I210*1000</f>
        <v>-7138.0753138075315</v>
      </c>
      <c r="Z210" s="41">
        <f>I210/'1. Väestöennuste'!J210*1000</f>
        <v>-7375.7604117922319</v>
      </c>
      <c r="AA210" s="41">
        <f>J210/'1. Väestöennuste'!K210*1000</f>
        <v>-7927.9759093056218</v>
      </c>
      <c r="AB210" s="41">
        <f>K210/'1. Väestöennuste'!L210*1000</f>
        <v>-8603.4078927384926</v>
      </c>
      <c r="AC210" s="41">
        <f>L210/'1. Väestöennuste'!M210*1000</f>
        <v>-2636.6801755218216</v>
      </c>
      <c r="AD210" s="41">
        <f>M210/'1. Väestöennuste'!N210*1000</f>
        <v>-3059.2255451583405</v>
      </c>
      <c r="AE210" s="41">
        <f>N210/'1. Väestöennuste'!O210*1000</f>
        <v>-3051.0274778898543</v>
      </c>
      <c r="AF210" s="41">
        <f>O210/'1. Väestöennuste'!P210*1000</f>
        <v>-3199.3698347181112</v>
      </c>
      <c r="AG210" s="41">
        <f>P210/'1. Väestöennuste'!Q210*1000</f>
        <v>-3342.6613466588569</v>
      </c>
      <c r="AH210" s="41">
        <f>Q210/'1. Väestöennuste'!R210*1000</f>
        <v>-3485.9065773963284</v>
      </c>
    </row>
    <row r="211" spans="1:34" customFormat="1" x14ac:dyDescent="0.25">
      <c r="A211" s="99">
        <v>8</v>
      </c>
      <c r="B211" s="30">
        <v>624</v>
      </c>
      <c r="C211" s="47" t="s">
        <v>525</v>
      </c>
      <c r="D211" s="65">
        <v>-28200</v>
      </c>
      <c r="E211" s="157">
        <v>-28240</v>
      </c>
      <c r="F211" s="157">
        <v>-26728</v>
      </c>
      <c r="G211" s="157">
        <v>-29136</v>
      </c>
      <c r="H211" s="43">
        <v>-29040</v>
      </c>
      <c r="I211" s="43">
        <v>-30440</v>
      </c>
      <c r="J211" s="159">
        <v>-30171.338600000003</v>
      </c>
      <c r="K211" s="43">
        <v>-31564.16704</v>
      </c>
      <c r="L211" s="43">
        <v>-14024.6014</v>
      </c>
      <c r="M211" s="43">
        <f>'2.1. Toimintakatennuste'!AX202</f>
        <v>-14235.436591903062</v>
      </c>
      <c r="N211" s="43">
        <f>$N$6*'2.1. Toimintakatennuste'!AG202</f>
        <v>-15455.953949534902</v>
      </c>
      <c r="O211" s="43">
        <f>$O$6*'2.1. Toimintakatennuste'!AH202</f>
        <v>-15846.46593789201</v>
      </c>
      <c r="P211" s="43">
        <f>P$6*'2.1. Toimintakatennuste'!AI202</f>
        <v>-16144.153624765446</v>
      </c>
      <c r="Q211" s="43">
        <f>Q$6*'2.1. Toimintakatennuste'!AJ202</f>
        <v>-16346.656691749835</v>
      </c>
      <c r="R211" s="117"/>
      <c r="S211" s="34">
        <v>624</v>
      </c>
      <c r="T211" s="88" t="s">
        <v>525</v>
      </c>
      <c r="U211" s="41">
        <f>D211/'1. Väestöennuste'!E211*1000</f>
        <v>-5299.7556850216124</v>
      </c>
      <c r="V211" s="41">
        <f>E211/'1. Väestöennuste'!F211*1000</f>
        <v>-5288.3895131086138</v>
      </c>
      <c r="W211" s="41">
        <f>F211/'1. Väestöennuste'!G211*1000</f>
        <v>-5077.5075987841947</v>
      </c>
      <c r="X211" s="41">
        <f>G211/'1. Väestöennuste'!H211*1000</f>
        <v>-5617.1197223828804</v>
      </c>
      <c r="Y211" s="41">
        <f>H211/'1. Väestöennuste'!I211*1000</f>
        <v>-5649.8054474708179</v>
      </c>
      <c r="Z211" s="41">
        <f>I211/'1. Väestöennuste'!J211*1000</f>
        <v>-5939.5121951219508</v>
      </c>
      <c r="AA211" s="41">
        <f>J211/'1. Väestöennuste'!K211*1000</f>
        <v>-5893.9907403789812</v>
      </c>
      <c r="AB211" s="41">
        <f>K211/'1. Väestöennuste'!L211*1000</f>
        <v>-6168.4907250342003</v>
      </c>
      <c r="AC211" s="41">
        <f>L211/'1. Väestöennuste'!M211*1000</f>
        <v>-2768.924264560711</v>
      </c>
      <c r="AD211" s="41">
        <f>M211/'1. Väestöennuste'!N211*1000</f>
        <v>-2854.5090418895252</v>
      </c>
      <c r="AE211" s="41">
        <f>N211/'1. Väestöennuste'!O211*1000</f>
        <v>-3124.9401434563088</v>
      </c>
      <c r="AF211" s="41">
        <f>O211/'1. Väestöennuste'!P211*1000</f>
        <v>-3229.3592700004097</v>
      </c>
      <c r="AG211" s="41">
        <f>P211/'1. Väestöennuste'!Q211*1000</f>
        <v>-3316.3832425565829</v>
      </c>
      <c r="AH211" s="41">
        <f>Q211/'1. Väestöennuste'!R211*1000</f>
        <v>-3387.9081226424528</v>
      </c>
    </row>
    <row r="212" spans="1:34" customFormat="1" x14ac:dyDescent="0.25">
      <c r="A212" s="99">
        <v>17</v>
      </c>
      <c r="B212" s="30">
        <v>625</v>
      </c>
      <c r="C212" s="47" t="s">
        <v>526</v>
      </c>
      <c r="D212" s="65">
        <v>-17349</v>
      </c>
      <c r="E212" s="157">
        <v>-19627</v>
      </c>
      <c r="F212" s="157">
        <v>-19663</v>
      </c>
      <c r="G212" s="157">
        <v>-20243</v>
      </c>
      <c r="H212" s="43">
        <v>-21780</v>
      </c>
      <c r="I212" s="43">
        <v>-20574</v>
      </c>
      <c r="J212" s="159">
        <v>-22330.654899999998</v>
      </c>
      <c r="K212" s="43">
        <v>-23749.162370000002</v>
      </c>
      <c r="L212" s="43">
        <v>-11293.023650000001</v>
      </c>
      <c r="M212" s="43">
        <f>'2.1. Toimintakatennuste'!AX203</f>
        <v>-11471.187612646347</v>
      </c>
      <c r="N212" s="43">
        <f>$N$6*'2.1. Toimintakatennuste'!AG203</f>
        <v>-12601.135697947353</v>
      </c>
      <c r="O212" s="43">
        <f>$O$6*'2.1. Toimintakatennuste'!AH203</f>
        <v>-13093.78936027551</v>
      </c>
      <c r="P212" s="43">
        <f>P$6*'2.1. Toimintakatennuste'!AI203</f>
        <v>-13556.347119858234</v>
      </c>
      <c r="Q212" s="43">
        <f>Q$6*'2.1. Toimintakatennuste'!AJ203</f>
        <v>-13877.365730441488</v>
      </c>
      <c r="R212" s="117"/>
      <c r="S212" s="34">
        <v>625</v>
      </c>
      <c r="T212" s="88" t="s">
        <v>526</v>
      </c>
      <c r="U212" s="41">
        <f>D212/'1. Väestöennuste'!E212*1000</f>
        <v>-5402.9897228277796</v>
      </c>
      <c r="V212" s="41">
        <f>E212/'1. Väestöennuste'!F212*1000</f>
        <v>-6156.5244667503139</v>
      </c>
      <c r="W212" s="41">
        <f>F212/'1. Väestöennuste'!G212*1000</f>
        <v>-6165.882721856382</v>
      </c>
      <c r="X212" s="41">
        <f>G212/'1. Väestöennuste'!H212*1000</f>
        <v>-6434.5200254291167</v>
      </c>
      <c r="Y212" s="41">
        <f>H212/'1. Väestöennuste'!I212*1000</f>
        <v>-7078.3230419239517</v>
      </c>
      <c r="Z212" s="41">
        <f>I212/'1. Väestöennuste'!J212*1000</f>
        <v>-6743.3628318584069</v>
      </c>
      <c r="AA212" s="41">
        <f>J212/'1. Väestöennuste'!K212*1000</f>
        <v>-7326.3303477690279</v>
      </c>
      <c r="AB212" s="41">
        <f>K212/'1. Väestöennuste'!L212*1000</f>
        <v>-7940.2080809093959</v>
      </c>
      <c r="AC212" s="41">
        <f>L212/'1. Väestöennuste'!M212*1000</f>
        <v>-3789.6052516778527</v>
      </c>
      <c r="AD212" s="41">
        <f>M212/'1. Väestöennuste'!N212*1000</f>
        <v>-3939.2814603867946</v>
      </c>
      <c r="AE212" s="41">
        <f>N212/'1. Väestöennuste'!O212*1000</f>
        <v>-4376.9141014058187</v>
      </c>
      <c r="AF212" s="41">
        <f>O212/'1. Väestöennuste'!P212*1000</f>
        <v>-4599.1532702056593</v>
      </c>
      <c r="AG212" s="41">
        <f>P212/'1. Väestöennuste'!Q212*1000</f>
        <v>-4817.4652167228978</v>
      </c>
      <c r="AH212" s="41">
        <f>Q212/'1. Väestöennuste'!R212*1000</f>
        <v>-4990.0631896589312</v>
      </c>
    </row>
    <row r="213" spans="1:34" customFormat="1" x14ac:dyDescent="0.25">
      <c r="A213" s="99">
        <v>17</v>
      </c>
      <c r="B213" s="30">
        <v>626</v>
      </c>
      <c r="C213" s="47" t="s">
        <v>527</v>
      </c>
      <c r="D213" s="65">
        <v>-38672</v>
      </c>
      <c r="E213" s="157">
        <v>-39484</v>
      </c>
      <c r="F213" s="157">
        <v>-37896</v>
      </c>
      <c r="G213" s="157">
        <v>-37563</v>
      </c>
      <c r="H213" s="43">
        <v>-38523</v>
      </c>
      <c r="I213" s="43">
        <v>-38767</v>
      </c>
      <c r="J213" s="159">
        <v>-39606.269090000002</v>
      </c>
      <c r="K213" s="43">
        <v>-41277.810039999997</v>
      </c>
      <c r="L213" s="43">
        <v>-14409.84993</v>
      </c>
      <c r="M213" s="43">
        <f>'2.1. Toimintakatennuste'!AX204</f>
        <v>-13952.425694314996</v>
      </c>
      <c r="N213" s="43">
        <f>$N$6*'2.1. Toimintakatennuste'!AG204</f>
        <v>-15917.212520934532</v>
      </c>
      <c r="O213" s="43">
        <f>$O$6*'2.1. Toimintakatennuste'!AH204</f>
        <v>-16404.09088345326</v>
      </c>
      <c r="P213" s="43">
        <f>P$6*'2.1. Toimintakatennuste'!AI204</f>
        <v>-16966.192452998992</v>
      </c>
      <c r="Q213" s="43">
        <f>Q$6*'2.1. Toimintakatennuste'!AJ204</f>
        <v>-17347.701700064237</v>
      </c>
      <c r="R213" s="117"/>
      <c r="S213" s="34">
        <v>626</v>
      </c>
      <c r="T213" s="88" t="s">
        <v>527</v>
      </c>
      <c r="U213" s="41">
        <f>D213/'1. Väestöennuste'!E213*1000</f>
        <v>-7024.8864668483193</v>
      </c>
      <c r="V213" s="41">
        <f>E213/'1. Väestöennuste'!F213*1000</f>
        <v>-7250.0918105031215</v>
      </c>
      <c r="W213" s="41">
        <f>F213/'1. Väestöennuste'!G213*1000</f>
        <v>-7100.6183249016303</v>
      </c>
      <c r="X213" s="41">
        <f>G213/'1. Väestöennuste'!H213*1000</f>
        <v>-7157.5838414634145</v>
      </c>
      <c r="Y213" s="41">
        <f>H213/'1. Väestöennuste'!I213*1000</f>
        <v>-7507.8931982069771</v>
      </c>
      <c r="Z213" s="41">
        <f>I213/'1. Väestöennuste'!J213*1000</f>
        <v>-7702.563083647924</v>
      </c>
      <c r="AA213" s="41">
        <f>J213/'1. Väestöennuste'!K213*1000</f>
        <v>-7978.7004613215149</v>
      </c>
      <c r="AB213" s="41">
        <f>K213/'1. Väestöennuste'!L213*1000</f>
        <v>-8537.2926659772493</v>
      </c>
      <c r="AC213" s="41">
        <f>L213/'1. Väestöennuste'!M213*1000</f>
        <v>-3029.8254688814131</v>
      </c>
      <c r="AD213" s="41">
        <f>M213/'1. Väestöennuste'!N213*1000</f>
        <v>-2971.1298326905867</v>
      </c>
      <c r="AE213" s="41">
        <f>N213/'1. Väestöennuste'!O213*1000</f>
        <v>-3446.0299893774695</v>
      </c>
      <c r="AF213" s="41">
        <f>O213/'1. Väestöennuste'!P213*1000</f>
        <v>-3610.0552120275661</v>
      </c>
      <c r="AG213" s="41">
        <f>P213/'1. Väestöennuste'!Q213*1000</f>
        <v>-3793.8712998656065</v>
      </c>
      <c r="AH213" s="41">
        <f>Q213/'1. Väestöennuste'!R213*1000</f>
        <v>-3943.5557399554982</v>
      </c>
    </row>
    <row r="214" spans="1:34" customFormat="1" x14ac:dyDescent="0.25">
      <c r="A214" s="99">
        <v>17</v>
      </c>
      <c r="B214" s="30">
        <v>630</v>
      </c>
      <c r="C214" s="47" t="s">
        <v>528</v>
      </c>
      <c r="D214" s="65">
        <v>-9285</v>
      </c>
      <c r="E214" s="157">
        <v>-9451</v>
      </c>
      <c r="F214" s="157">
        <v>-9180</v>
      </c>
      <c r="G214" s="157">
        <v>-9433</v>
      </c>
      <c r="H214" s="43">
        <v>-9922</v>
      </c>
      <c r="I214" s="43">
        <v>-10900</v>
      </c>
      <c r="J214" s="159">
        <v>-11557.18261</v>
      </c>
      <c r="K214" s="43">
        <v>-11825.430279999999</v>
      </c>
      <c r="L214" s="43">
        <v>-5164.26703</v>
      </c>
      <c r="M214" s="43">
        <f>'2.1. Toimintakatennuste'!AX205</f>
        <v>-5320.3289996677486</v>
      </c>
      <c r="N214" s="43">
        <f>$N$6*'2.1. Toimintakatennuste'!AG205</f>
        <v>-5970.9420094157131</v>
      </c>
      <c r="O214" s="43">
        <f>$O$6*'2.1. Toimintakatennuste'!AH205</f>
        <v>-6015.9839448180473</v>
      </c>
      <c r="P214" s="43">
        <f>P$6*'2.1. Toimintakatennuste'!AI205</f>
        <v>-6255.8062603555527</v>
      </c>
      <c r="Q214" s="43">
        <f>Q$6*'2.1. Toimintakatennuste'!AJ205</f>
        <v>-6243.5774167767822</v>
      </c>
      <c r="R214" s="117"/>
      <c r="S214" s="34">
        <v>630</v>
      </c>
      <c r="T214" s="88" t="s">
        <v>528</v>
      </c>
      <c r="U214" s="41">
        <f>D214/'1. Väestöennuste'!E214*1000</f>
        <v>-5850.6616257088845</v>
      </c>
      <c r="V214" s="41">
        <f>E214/'1. Väestöennuste'!F214*1000</f>
        <v>-5985.4338188727043</v>
      </c>
      <c r="W214" s="41">
        <f>F214/'1. Väestöennuste'!G214*1000</f>
        <v>-5813.8062064597852</v>
      </c>
      <c r="X214" s="41">
        <f>G214/'1. Väestöennuste'!H214*1000</f>
        <v>-6058.4457289659604</v>
      </c>
      <c r="Y214" s="41">
        <f>H214/'1. Väestöennuste'!I214*1000</f>
        <v>-6287.7059569074772</v>
      </c>
      <c r="Z214" s="41">
        <f>I214/'1. Väestöennuste'!J214*1000</f>
        <v>-6842.4356559949783</v>
      </c>
      <c r="AA214" s="41">
        <f>J214/'1. Väestöennuste'!K214*1000</f>
        <v>-7085.9488718577559</v>
      </c>
      <c r="AB214" s="41">
        <f>K214/'1. Väestöennuste'!L214*1000</f>
        <v>-7232.6790703363913</v>
      </c>
      <c r="AC214" s="41">
        <f>L214/'1. Väestöennuste'!M214*1000</f>
        <v>-3137.4647812879707</v>
      </c>
      <c r="AD214" s="41">
        <f>M214/'1. Väestöennuste'!N214*1000</f>
        <v>-3329.3673339597926</v>
      </c>
      <c r="AE214" s="41">
        <f>N214/'1. Väestöennuste'!O214*1000</f>
        <v>-3734.1726137684259</v>
      </c>
      <c r="AF214" s="41">
        <f>O214/'1. Väestöennuste'!P214*1000</f>
        <v>-3767.0531902429852</v>
      </c>
      <c r="AG214" s="41">
        <f>P214/'1. Väestöennuste'!Q214*1000</f>
        <v>-3922.1355864298134</v>
      </c>
      <c r="AH214" s="41">
        <f>Q214/'1. Väestöennuste'!R214*1000</f>
        <v>-3909.566322339876</v>
      </c>
    </row>
    <row r="215" spans="1:34" customFormat="1" x14ac:dyDescent="0.25">
      <c r="A215" s="99">
        <v>2</v>
      </c>
      <c r="B215" s="30">
        <v>631</v>
      </c>
      <c r="C215" s="47" t="s">
        <v>529</v>
      </c>
      <c r="D215" s="65">
        <v>-10898</v>
      </c>
      <c r="E215" s="157">
        <v>-11575</v>
      </c>
      <c r="F215" s="157">
        <v>-10857</v>
      </c>
      <c r="G215" s="157">
        <v>-10764</v>
      </c>
      <c r="H215" s="43">
        <v>-10701</v>
      </c>
      <c r="I215" s="43">
        <v>-11097</v>
      </c>
      <c r="J215" s="159">
        <v>-11830.8148</v>
      </c>
      <c r="K215" s="43">
        <v>-13029.14358</v>
      </c>
      <c r="L215" s="43">
        <v>-5661.6388399999996</v>
      </c>
      <c r="M215" s="43">
        <f>'2.1. Toimintakatennuste'!AX206</f>
        <v>-5538.3072547565835</v>
      </c>
      <c r="N215" s="43">
        <f>$N$6*'2.1. Toimintakatennuste'!AG206</f>
        <v>-6299.380516592274</v>
      </c>
      <c r="O215" s="43">
        <f>$O$6*'2.1. Toimintakatennuste'!AH206</f>
        <v>-6490.830660237647</v>
      </c>
      <c r="P215" s="43">
        <f>P$6*'2.1. Toimintakatennuste'!AI206</f>
        <v>-6672.8082431927241</v>
      </c>
      <c r="Q215" s="43">
        <f>Q$6*'2.1. Toimintakatennuste'!AJ206</f>
        <v>-6844.9465425520966</v>
      </c>
      <c r="R215" s="117"/>
      <c r="S215" s="34">
        <v>631</v>
      </c>
      <c r="T215" s="88" t="s">
        <v>529</v>
      </c>
      <c r="U215" s="41">
        <f>D215/'1. Väestöennuste'!E215*1000</f>
        <v>-5102.059925093633</v>
      </c>
      <c r="V215" s="41">
        <f>E215/'1. Väestöennuste'!F215*1000</f>
        <v>-5578.3132530120483</v>
      </c>
      <c r="W215" s="41">
        <f>F215/'1. Väestöennuste'!G215*1000</f>
        <v>-5227.2508425613869</v>
      </c>
      <c r="X215" s="41">
        <f>G215/'1. Väestöennuste'!H215*1000</f>
        <v>-5307.6923076923076</v>
      </c>
      <c r="Y215" s="41">
        <f>H215/'1. Väestöennuste'!I215*1000</f>
        <v>-5339.820359281437</v>
      </c>
      <c r="Z215" s="41">
        <f>I215/'1. Väestöennuste'!J215*1000</f>
        <v>-5565.1955867602801</v>
      </c>
      <c r="AA215" s="41">
        <f>J215/'1. Väestöennuste'!K215*1000</f>
        <v>-5960.1082115869021</v>
      </c>
      <c r="AB215" s="41">
        <f>K215/'1. Väestöennuste'!L215*1000</f>
        <v>-6637.3630056036673</v>
      </c>
      <c r="AC215" s="41">
        <f>L215/'1. Väestöennuste'!M215*1000</f>
        <v>-2933.491626943005</v>
      </c>
      <c r="AD215" s="41">
        <f>M215/'1. Väestöennuste'!N215*1000</f>
        <v>-2910.3033393360924</v>
      </c>
      <c r="AE215" s="41">
        <f>N215/'1. Väestöennuste'!O215*1000</f>
        <v>-3345.3959195922857</v>
      </c>
      <c r="AF215" s="41">
        <f>O215/'1. Väestöennuste'!P215*1000</f>
        <v>-3484.0744284689463</v>
      </c>
      <c r="AG215" s="41">
        <f>P215/'1. Väestöennuste'!Q215*1000</f>
        <v>-3622.5886227973533</v>
      </c>
      <c r="AH215" s="41">
        <f>Q215/'1. Väestöennuste'!R215*1000</f>
        <v>-3758.8943122197124</v>
      </c>
    </row>
    <row r="216" spans="1:34" customFormat="1" x14ac:dyDescent="0.25">
      <c r="A216" s="99">
        <v>6</v>
      </c>
      <c r="B216" s="30">
        <v>635</v>
      </c>
      <c r="C216" s="47" t="s">
        <v>530</v>
      </c>
      <c r="D216" s="65">
        <v>-36478</v>
      </c>
      <c r="E216" s="157">
        <v>-37864</v>
      </c>
      <c r="F216" s="157">
        <v>-38090</v>
      </c>
      <c r="G216" s="157">
        <v>-38812</v>
      </c>
      <c r="H216" s="43">
        <v>-37853</v>
      </c>
      <c r="I216" s="43">
        <v>-38063</v>
      </c>
      <c r="J216" s="159">
        <v>-39619.161550000004</v>
      </c>
      <c r="K216" s="43">
        <v>-42138.042849999998</v>
      </c>
      <c r="L216" s="43">
        <v>-15259.188320000001</v>
      </c>
      <c r="M216" s="43">
        <f>'2.1. Toimintakatennuste'!AX207</f>
        <v>-15935.518952407112</v>
      </c>
      <c r="N216" s="43">
        <f>$N$6*'2.1. Toimintakatennuste'!AG207</f>
        <v>-16757.385538032326</v>
      </c>
      <c r="O216" s="43">
        <f>$O$6*'2.1. Toimintakatennuste'!AH207</f>
        <v>-17305.879391846396</v>
      </c>
      <c r="P216" s="43">
        <f>P$6*'2.1. Toimintakatennuste'!AI207</f>
        <v>-17700.112395953027</v>
      </c>
      <c r="Q216" s="43">
        <f>Q$6*'2.1. Toimintakatennuste'!AJ207</f>
        <v>-18117.532820955632</v>
      </c>
      <c r="R216" s="117"/>
      <c r="S216" s="34">
        <v>635</v>
      </c>
      <c r="T216" s="88" t="s">
        <v>530</v>
      </c>
      <c r="U216" s="41">
        <f>D216/'1. Väestöennuste'!E216*1000</f>
        <v>-5464.0503295386452</v>
      </c>
      <c r="V216" s="41">
        <f>E216/'1. Väestöennuste'!F216*1000</f>
        <v>-5713.5958955786937</v>
      </c>
      <c r="W216" s="41">
        <f>F216/'1. Väestöennuste'!G216*1000</f>
        <v>-5800.2131871478605</v>
      </c>
      <c r="X216" s="41">
        <f>G216/'1. Väestöennuste'!H216*1000</f>
        <v>-5971.9956916448682</v>
      </c>
      <c r="Y216" s="41">
        <f>H216/'1. Väestöennuste'!I216*1000</f>
        <v>-5882.3620823620822</v>
      </c>
      <c r="Z216" s="41">
        <f>I216/'1. Väestöennuste'!J216*1000</f>
        <v>-5933.4372564302421</v>
      </c>
      <c r="AA216" s="41">
        <f>J216/'1. Väestöennuste'!K216*1000</f>
        <v>-6152.9991535952795</v>
      </c>
      <c r="AB216" s="41">
        <f>K216/'1. Väestöennuste'!L216*1000</f>
        <v>-6639.0488183393727</v>
      </c>
      <c r="AC216" s="41">
        <f>L216/'1. Väestöennuste'!M216*1000</f>
        <v>-2407.951447056967</v>
      </c>
      <c r="AD216" s="41">
        <f>M216/'1. Väestöennuste'!N216*1000</f>
        <v>-2571.9042854110899</v>
      </c>
      <c r="AE216" s="41">
        <f>N216/'1. Väestöennuste'!O216*1000</f>
        <v>-2726.1079450190869</v>
      </c>
      <c r="AF216" s="41">
        <f>O216/'1. Väestöennuste'!P216*1000</f>
        <v>-2835.1702804466572</v>
      </c>
      <c r="AG216" s="41">
        <f>P216/'1. Väestöennuste'!Q216*1000</f>
        <v>-2919.3653960008292</v>
      </c>
      <c r="AH216" s="41">
        <f>Q216/'1. Väestöennuste'!R216*1000</f>
        <v>-3007.0593893702294</v>
      </c>
    </row>
    <row r="217" spans="1:34" customFormat="1" x14ac:dyDescent="0.25">
      <c r="A217" s="99">
        <v>2</v>
      </c>
      <c r="B217" s="30">
        <v>636</v>
      </c>
      <c r="C217" s="47" t="s">
        <v>531</v>
      </c>
      <c r="D217" s="65">
        <v>-46472</v>
      </c>
      <c r="E217" s="157">
        <v>-46621</v>
      </c>
      <c r="F217" s="157">
        <v>-45897</v>
      </c>
      <c r="G217" s="157">
        <v>-46559</v>
      </c>
      <c r="H217" s="43">
        <v>-48907</v>
      </c>
      <c r="I217" s="43">
        <v>-47187</v>
      </c>
      <c r="J217" s="159">
        <v>-48532.626349999991</v>
      </c>
      <c r="K217" s="43">
        <v>-51255.860930000003</v>
      </c>
      <c r="L217" s="43">
        <v>-20724.082050000001</v>
      </c>
      <c r="M217" s="43">
        <f>'2.1. Toimintakatennuste'!AX208</f>
        <v>-22519.644448495656</v>
      </c>
      <c r="N217" s="43">
        <f>$N$6*'2.1. Toimintakatennuste'!AG208</f>
        <v>-22609.929672727372</v>
      </c>
      <c r="O217" s="43">
        <f>$O$6*'2.1. Toimintakatennuste'!AH208</f>
        <v>-23056.631246620127</v>
      </c>
      <c r="P217" s="43">
        <f>P$6*'2.1. Toimintakatennuste'!AI208</f>
        <v>-23478.294372650409</v>
      </c>
      <c r="Q217" s="43">
        <f>Q$6*'2.1. Toimintakatennuste'!AJ208</f>
        <v>-23912.590559782759</v>
      </c>
      <c r="R217" s="117"/>
      <c r="S217" s="34">
        <v>636</v>
      </c>
      <c r="T217" s="88" t="s">
        <v>531</v>
      </c>
      <c r="U217" s="41">
        <f>D217/'1. Väestöennuste'!E217*1000</f>
        <v>-5427.7038075216069</v>
      </c>
      <c r="V217" s="41">
        <f>E217/'1. Väestöennuste'!F217*1000</f>
        <v>-5482.8883923321182</v>
      </c>
      <c r="W217" s="41">
        <f>F217/'1. Väestöennuste'!G217*1000</f>
        <v>-5449.6556637378289</v>
      </c>
      <c r="X217" s="41">
        <f>G217/'1. Väestöennuste'!H217*1000</f>
        <v>-5587.3034921396857</v>
      </c>
      <c r="Y217" s="41">
        <f>H217/'1. Väestöennuste'!I217*1000</f>
        <v>-5909.4973417109713</v>
      </c>
      <c r="Z217" s="41">
        <f>I217/'1. Väestöennuste'!J217*1000</f>
        <v>-5734.2325920524972</v>
      </c>
      <c r="AA217" s="41">
        <f>J217/'1. Väestöennuste'!K217*1000</f>
        <v>-5902.7762527365594</v>
      </c>
      <c r="AB217" s="41">
        <f>K217/'1. Väestöennuste'!L217*1000</f>
        <v>-6285.9775484424827</v>
      </c>
      <c r="AC217" s="41">
        <f>L217/'1. Väestöennuste'!M217*1000</f>
        <v>-2549.0875830258306</v>
      </c>
      <c r="AD217" s="41">
        <f>M217/'1. Väestöennuste'!N217*1000</f>
        <v>-2818.1259477531794</v>
      </c>
      <c r="AE217" s="41">
        <f>N217/'1. Väestöennuste'!O217*1000</f>
        <v>-2846.1643596081785</v>
      </c>
      <c r="AF217" s="41">
        <f>O217/'1. Väestöennuste'!P217*1000</f>
        <v>-2919.29998057991</v>
      </c>
      <c r="AG217" s="41">
        <f>P217/'1. Väestöennuste'!Q217*1000</f>
        <v>-2989.3422934365176</v>
      </c>
      <c r="AH217" s="41">
        <f>Q217/'1. Väestöennuste'!R217*1000</f>
        <v>-3063.7527943347545</v>
      </c>
    </row>
    <row r="218" spans="1:34" customFormat="1" x14ac:dyDescent="0.25">
      <c r="A218" s="99">
        <v>1</v>
      </c>
      <c r="B218" s="30">
        <v>638</v>
      </c>
      <c r="C218" s="47" t="s">
        <v>532</v>
      </c>
      <c r="D218" s="65">
        <v>-246370</v>
      </c>
      <c r="E218" s="157">
        <v>-246664</v>
      </c>
      <c r="F218" s="157">
        <v>-243260</v>
      </c>
      <c r="G218" s="157">
        <v>-252724</v>
      </c>
      <c r="H218" s="43">
        <v>-274241</v>
      </c>
      <c r="I218" s="43">
        <v>-280951</v>
      </c>
      <c r="J218" s="159">
        <v>-280210.64166999998</v>
      </c>
      <c r="K218" s="43">
        <v>-308509.95073000004</v>
      </c>
      <c r="L218" s="43">
        <v>-154967.19969000001</v>
      </c>
      <c r="M218" s="43">
        <f>'2.1. Toimintakatennuste'!AX209</f>
        <v>-158617.78395969683</v>
      </c>
      <c r="N218" s="43">
        <f>$N$6*'2.1. Toimintakatennuste'!AG209</f>
        <v>-173625.23324459748</v>
      </c>
      <c r="O218" s="43">
        <f>$O$6*'2.1. Toimintakatennuste'!AH209</f>
        <v>-180089.08965694619</v>
      </c>
      <c r="P218" s="43">
        <f>P$6*'2.1. Toimintakatennuste'!AI209</f>
        <v>-186311.6827445988</v>
      </c>
      <c r="Q218" s="43">
        <f>Q$6*'2.1. Toimintakatennuste'!AJ209</f>
        <v>-192020.96697257881</v>
      </c>
      <c r="R218" s="117"/>
      <c r="S218" s="34">
        <v>638</v>
      </c>
      <c r="T218" s="88" t="s">
        <v>532</v>
      </c>
      <c r="U218" s="41">
        <f>D218/'1. Väestöennuste'!E218*1000</f>
        <v>-4934.505688190995</v>
      </c>
      <c r="V218" s="41">
        <f>E218/'1. Väestöennuste'!F218*1000</f>
        <v>-4919.1129546904913</v>
      </c>
      <c r="W218" s="41">
        <f>F218/'1. Väestöennuste'!G218*1000</f>
        <v>-4849.7777068920832</v>
      </c>
      <c r="X218" s="41">
        <f>G218/'1. Väestöennuste'!H218*1000</f>
        <v>-5028.1325852532727</v>
      </c>
      <c r="Y218" s="41">
        <f>H218/'1. Väestöennuste'!I218*1000</f>
        <v>-5443.4497816593894</v>
      </c>
      <c r="Z218" s="41">
        <f>I218/'1. Väestöennuste'!J218*1000</f>
        <v>-5550.3071969023486</v>
      </c>
      <c r="AA218" s="41">
        <f>J218/'1. Väestöennuste'!K218*1000</f>
        <v>-5478.3210164421589</v>
      </c>
      <c r="AB218" s="41">
        <f>K218/'1. Väestöennuste'!L218*1000</f>
        <v>-6021.8213368597753</v>
      </c>
      <c r="AC218" s="41">
        <f>L218/'1. Väestöennuste'!M218*1000</f>
        <v>-3021.4509873462148</v>
      </c>
      <c r="AD218" s="41">
        <f>M218/'1. Väestöennuste'!N218*1000</f>
        <v>-3089.1945615957784</v>
      </c>
      <c r="AE218" s="41">
        <f>N218/'1. Väestöennuste'!O218*1000</f>
        <v>-3372.280488765829</v>
      </c>
      <c r="AF218" s="41">
        <f>O218/'1. Väestöennuste'!P218*1000</f>
        <v>-3488.7464094720299</v>
      </c>
      <c r="AG218" s="41">
        <f>P218/'1. Väestöennuste'!Q218*1000</f>
        <v>-3600.9215837765519</v>
      </c>
      <c r="AH218" s="41">
        <f>Q218/'1. Väestöennuste'!R218*1000</f>
        <v>-3703.4651964855407</v>
      </c>
    </row>
    <row r="219" spans="1:34" customFormat="1" x14ac:dyDescent="0.25">
      <c r="A219" s="99">
        <v>17</v>
      </c>
      <c r="B219" s="30">
        <v>678</v>
      </c>
      <c r="C219" s="47" t="s">
        <v>533</v>
      </c>
      <c r="D219" s="65">
        <v>-133036</v>
      </c>
      <c r="E219" s="157">
        <v>-135649</v>
      </c>
      <c r="F219" s="157">
        <v>-134944</v>
      </c>
      <c r="G219" s="157">
        <v>-144346</v>
      </c>
      <c r="H219" s="43">
        <v>-152871</v>
      </c>
      <c r="I219" s="43">
        <v>-153189</v>
      </c>
      <c r="J219" s="159">
        <v>-158425.96924000001</v>
      </c>
      <c r="K219" s="43">
        <v>-172588.81474</v>
      </c>
      <c r="L219" s="43">
        <v>-69347.122069999998</v>
      </c>
      <c r="M219" s="43">
        <f>'2.1. Toimintakatennuste'!AX210</f>
        <v>-72862.416446828196</v>
      </c>
      <c r="N219" s="43">
        <f>$N$6*'2.1. Toimintakatennuste'!AG210</f>
        <v>-76305.439015353506</v>
      </c>
      <c r="O219" s="43">
        <f>$O$6*'2.1. Toimintakatennuste'!AH210</f>
        <v>-77977.944799531935</v>
      </c>
      <c r="P219" s="43">
        <f>P$6*'2.1. Toimintakatennuste'!AI210</f>
        <v>-79610.889044706084</v>
      </c>
      <c r="Q219" s="43">
        <f>Q$6*'2.1. Toimintakatennuste'!AJ210</f>
        <v>-80775.110538803739</v>
      </c>
      <c r="R219" s="117"/>
      <c r="S219" s="34">
        <v>678</v>
      </c>
      <c r="T219" s="88" t="s">
        <v>533</v>
      </c>
      <c r="U219" s="41">
        <f>D219/'1. Väestöennuste'!E219*1000</f>
        <v>-5286.5487780647727</v>
      </c>
      <c r="V219" s="41">
        <f>E219/'1. Väestöennuste'!F219*1000</f>
        <v>-5423.7904838064769</v>
      </c>
      <c r="W219" s="41">
        <f>F219/'1. Väestöennuste'!G219*1000</f>
        <v>-5397.5440982360706</v>
      </c>
      <c r="X219" s="41">
        <f>G219/'1. Väestöennuste'!H219*1000</f>
        <v>-5817.8227399137477</v>
      </c>
      <c r="Y219" s="41">
        <f>H219/'1. Väestöennuste'!I219*1000</f>
        <v>-6194.3757850804323</v>
      </c>
      <c r="Z219" s="41">
        <f>I219/'1. Väestöennuste'!J219*1000</f>
        <v>-6290.3543711247075</v>
      </c>
      <c r="AA219" s="41">
        <f>J219/'1. Väestöennuste'!K219*1000</f>
        <v>-6530.3367370156639</v>
      </c>
      <c r="AB219" s="41">
        <f>K219/'1. Väestöennuste'!L219*1000</f>
        <v>-7169.3937083039091</v>
      </c>
      <c r="AC219" s="41">
        <f>L219/'1. Väestöennuste'!M219*1000</f>
        <v>-2914.111949825608</v>
      </c>
      <c r="AD219" s="41">
        <f>M219/'1. Väestöennuste'!N219*1000</f>
        <v>-3081.1238348624915</v>
      </c>
      <c r="AE219" s="41">
        <f>N219/'1. Väestöennuste'!O219*1000</f>
        <v>-3252.2989947725473</v>
      </c>
      <c r="AF219" s="41">
        <f>O219/'1. Väestöennuste'!P219*1000</f>
        <v>-3350.7195255900624</v>
      </c>
      <c r="AG219" s="41">
        <f>P219/'1. Väestöennuste'!Q219*1000</f>
        <v>-3449.345279233366</v>
      </c>
      <c r="AH219" s="41">
        <f>Q219/'1. Väestöennuste'!R219*1000</f>
        <v>-3529.7636138264179</v>
      </c>
    </row>
    <row r="220" spans="1:34" customFormat="1" x14ac:dyDescent="0.25">
      <c r="A220" s="99">
        <v>2</v>
      </c>
      <c r="B220" s="30">
        <v>680</v>
      </c>
      <c r="C220" s="47" t="s">
        <v>534</v>
      </c>
      <c r="D220" s="65">
        <v>-118060</v>
      </c>
      <c r="E220" s="157">
        <v>-119944</v>
      </c>
      <c r="F220" s="157">
        <v>-119008</v>
      </c>
      <c r="G220" s="157">
        <v>-123512</v>
      </c>
      <c r="H220" s="43">
        <v>-129095</v>
      </c>
      <c r="I220" s="43">
        <v>-130069</v>
      </c>
      <c r="J220" s="159">
        <v>-131071.90766</v>
      </c>
      <c r="K220" s="43">
        <v>-143266.48277999999</v>
      </c>
      <c r="L220" s="43">
        <v>-59057.289939999995</v>
      </c>
      <c r="M220" s="43">
        <f>'2.1. Toimintakatennuste'!AX211</f>
        <v>-64529.849235295085</v>
      </c>
      <c r="N220" s="43">
        <f>$N$6*'2.1. Toimintakatennuste'!AG211</f>
        <v>-68271.610961049795</v>
      </c>
      <c r="O220" s="43">
        <f>$O$6*'2.1. Toimintakatennuste'!AH211</f>
        <v>-71079.804873871239</v>
      </c>
      <c r="P220" s="43">
        <f>P$6*'2.1. Toimintakatennuste'!AI211</f>
        <v>-73703.385100220432</v>
      </c>
      <c r="Q220" s="43">
        <f>Q$6*'2.1. Toimintakatennuste'!AJ211</f>
        <v>-76148.87143474762</v>
      </c>
      <c r="R220" s="117"/>
      <c r="S220" s="34">
        <v>680</v>
      </c>
      <c r="T220" s="88" t="s">
        <v>534</v>
      </c>
      <c r="U220" s="41">
        <f>D220/'1. Väestöennuste'!E220*1000</f>
        <v>-4860.4363935776046</v>
      </c>
      <c r="V220" s="41">
        <f>E220/'1. Väestöennuste'!F220*1000</f>
        <v>-4939.4226413540337</v>
      </c>
      <c r="W220" s="41">
        <f>F220/'1. Väestöennuste'!G220*1000</f>
        <v>-4910.7864983081618</v>
      </c>
      <c r="X220" s="41">
        <f>G220/'1. Väestöennuste'!H220*1000</f>
        <v>-5108.445694432955</v>
      </c>
      <c r="Y220" s="41">
        <f>H220/'1. Väestöennuste'!I220*1000</f>
        <v>-5366.4366478217489</v>
      </c>
      <c r="Z220" s="41">
        <f>I220/'1. Väestöennuste'!J220*1000</f>
        <v>-5329.1678616790268</v>
      </c>
      <c r="AA220" s="41">
        <f>J220/'1. Väestöennuste'!K220*1000</f>
        <v>-5283.0273139862957</v>
      </c>
      <c r="AB220" s="41">
        <f>K220/'1. Väestöennuste'!L220*1000</f>
        <v>-5743.9853572287702</v>
      </c>
      <c r="AC220" s="41">
        <f>L220/'1. Väestöennuste'!M220*1000</f>
        <v>-2331.4235498006392</v>
      </c>
      <c r="AD220" s="41">
        <f>M220/'1. Väestöennuste'!N220*1000</f>
        <v>-2628.8283389129051</v>
      </c>
      <c r="AE220" s="41">
        <f>N220/'1. Väestöennuste'!O220*1000</f>
        <v>-2775.9457982048384</v>
      </c>
      <c r="AF220" s="41">
        <f>O220/'1. Väestöennuste'!P220*1000</f>
        <v>-2885.0836089569038</v>
      </c>
      <c r="AG220" s="41">
        <f>P220/'1. Väestöennuste'!Q220*1000</f>
        <v>-2986.4818307152004</v>
      </c>
      <c r="AH220" s="41">
        <f>Q220/'1. Väestöennuste'!R220*1000</f>
        <v>-3079.9575891743898</v>
      </c>
    </row>
    <row r="221" spans="1:34" customFormat="1" x14ac:dyDescent="0.25">
      <c r="A221" s="99">
        <v>10</v>
      </c>
      <c r="B221" s="30">
        <v>681</v>
      </c>
      <c r="C221" s="47" t="s">
        <v>535</v>
      </c>
      <c r="D221" s="65">
        <v>-23356</v>
      </c>
      <c r="E221" s="157">
        <v>-22253</v>
      </c>
      <c r="F221" s="157">
        <v>-21617</v>
      </c>
      <c r="G221" s="157">
        <v>-22978</v>
      </c>
      <c r="H221" s="43">
        <v>-21394</v>
      </c>
      <c r="I221" s="43">
        <v>-22446</v>
      </c>
      <c r="J221" s="159">
        <v>-23769.18448</v>
      </c>
      <c r="K221" s="43">
        <v>-24031.346420000002</v>
      </c>
      <c r="L221" s="43">
        <v>-9111.0498200000002</v>
      </c>
      <c r="M221" s="43">
        <f>'2.1. Toimintakatennuste'!AX212</f>
        <v>-9154.4998959986151</v>
      </c>
      <c r="N221" s="43">
        <f>$N$6*'2.1. Toimintakatennuste'!AG212</f>
        <v>-10239.854356910864</v>
      </c>
      <c r="O221" s="43">
        <f>$O$6*'2.1. Toimintakatennuste'!AH212</f>
        <v>-10622.33897585498</v>
      </c>
      <c r="P221" s="43">
        <f>P$6*'2.1. Toimintakatennuste'!AI212</f>
        <v>-10934.552223950381</v>
      </c>
      <c r="Q221" s="43">
        <f>Q$6*'2.1. Toimintakatennuste'!AJ212</f>
        <v>-11277.250067961215</v>
      </c>
      <c r="R221" s="117"/>
      <c r="S221" s="34">
        <v>681</v>
      </c>
      <c r="T221" s="88" t="s">
        <v>535</v>
      </c>
      <c r="U221" s="41">
        <f>D221/'1. Väestöennuste'!E221*1000</f>
        <v>-6256.6300562550223</v>
      </c>
      <c r="V221" s="41">
        <f>E221/'1. Väestöennuste'!F221*1000</f>
        <v>-6098.3831186626467</v>
      </c>
      <c r="W221" s="41">
        <f>F221/'1. Väestöennuste'!G221*1000</f>
        <v>-6084.1542358570223</v>
      </c>
      <c r="X221" s="41">
        <f>G221/'1. Väestöennuste'!H221*1000</f>
        <v>-6538.986909504838</v>
      </c>
      <c r="Y221" s="41">
        <f>H221/'1. Väestöennuste'!I221*1000</f>
        <v>-6235.4998542698922</v>
      </c>
      <c r="Z221" s="41">
        <f>I221/'1. Väestöennuste'!J221*1000</f>
        <v>-6672.4137931034484</v>
      </c>
      <c r="AA221" s="41">
        <f>J221/'1. Väestöennuste'!K221*1000</f>
        <v>-7137.8932372372374</v>
      </c>
      <c r="AB221" s="41">
        <f>K221/'1. Väestöennuste'!L221*1000</f>
        <v>-7264.6150000000007</v>
      </c>
      <c r="AC221" s="41">
        <f>L221/'1. Väestöennuste'!M221*1000</f>
        <v>-2763.4364027904157</v>
      </c>
      <c r="AD221" s="41">
        <f>M221/'1. Väestöennuste'!N221*1000</f>
        <v>-2947.3599150027735</v>
      </c>
      <c r="AE221" s="41">
        <f>N221/'1. Väestöennuste'!O221*1000</f>
        <v>-3355.1292126182389</v>
      </c>
      <c r="AF221" s="41">
        <f>O221/'1. Väestöennuste'!P221*1000</f>
        <v>-3534.888178321125</v>
      </c>
      <c r="AG221" s="41">
        <f>P221/'1. Väestöennuste'!Q221*1000</f>
        <v>-3695.3539114398045</v>
      </c>
      <c r="AH221" s="41">
        <f>Q221/'1. Väestöennuste'!R221*1000</f>
        <v>-3870.0240452852486</v>
      </c>
    </row>
    <row r="222" spans="1:34" customFormat="1" x14ac:dyDescent="0.25">
      <c r="A222" s="99">
        <v>19</v>
      </c>
      <c r="B222" s="30">
        <v>683</v>
      </c>
      <c r="C222" s="47" t="s">
        <v>536</v>
      </c>
      <c r="D222" s="65">
        <v>-28771</v>
      </c>
      <c r="E222" s="157">
        <v>-27238</v>
      </c>
      <c r="F222" s="157">
        <v>-27754</v>
      </c>
      <c r="G222" s="157">
        <v>-28181</v>
      </c>
      <c r="H222" s="43">
        <v>-29617</v>
      </c>
      <c r="I222" s="43">
        <v>-30260</v>
      </c>
      <c r="J222" s="159">
        <v>-30336.159029999999</v>
      </c>
      <c r="K222" s="43">
        <v>-31007.739389999999</v>
      </c>
      <c r="L222" s="43">
        <v>-13990.48963</v>
      </c>
      <c r="M222" s="43">
        <f>'2.1. Toimintakatennuste'!AX213</f>
        <v>-13566.252945899776</v>
      </c>
      <c r="N222" s="43">
        <f>$N$6*'2.1. Toimintakatennuste'!AG213</f>
        <v>-15643.840694165807</v>
      </c>
      <c r="O222" s="43">
        <f>$O$6*'2.1. Toimintakatennuste'!AH213</f>
        <v>-16221.184800309962</v>
      </c>
      <c r="P222" s="43">
        <f>P$6*'2.1. Toimintakatennuste'!AI213</f>
        <v>-16709.930993246537</v>
      </c>
      <c r="Q222" s="43">
        <f>Q$6*'2.1. Toimintakatennuste'!AJ213</f>
        <v>-17093.666660276176</v>
      </c>
      <c r="R222" s="117"/>
      <c r="S222" s="34">
        <v>683</v>
      </c>
      <c r="T222" s="88" t="s">
        <v>536</v>
      </c>
      <c r="U222" s="41">
        <f>D222/'1. Väestöennuste'!E222*1000</f>
        <v>-7156.9651741293528</v>
      </c>
      <c r="V222" s="41">
        <f>E222/'1. Väestöennuste'!F222*1000</f>
        <v>-6770.5692269450656</v>
      </c>
      <c r="W222" s="41">
        <f>F222/'1. Väestöennuste'!G222*1000</f>
        <v>-6987.4118831822752</v>
      </c>
      <c r="X222" s="41">
        <f>G222/'1. Väestöennuste'!H222*1000</f>
        <v>-7233.3162217659137</v>
      </c>
      <c r="Y222" s="41">
        <f>H222/'1. Väestöennuste'!I222*1000</f>
        <v>-7828.9717155696535</v>
      </c>
      <c r="Z222" s="41">
        <f>I222/'1. Väestöennuste'!J222*1000</f>
        <v>-8151.9396551724149</v>
      </c>
      <c r="AA222" s="41">
        <f>J222/'1. Väestöennuste'!K222*1000</f>
        <v>-8265.9833869209815</v>
      </c>
      <c r="AB222" s="41">
        <f>K222/'1. Väestöennuste'!L222*1000</f>
        <v>-8570.4088971807614</v>
      </c>
      <c r="AC222" s="41">
        <f>L222/'1. Väestöennuste'!M222*1000</f>
        <v>-3887.326932481245</v>
      </c>
      <c r="AD222" s="41">
        <f>M222/'1. Väestöennuste'!N222*1000</f>
        <v>-3928.8308560381624</v>
      </c>
      <c r="AE222" s="41">
        <f>N222/'1. Väestöennuste'!O222*1000</f>
        <v>-4609.2636105379515</v>
      </c>
      <c r="AF222" s="41">
        <f>O222/'1. Väestöennuste'!P222*1000</f>
        <v>-4861.0083309289666</v>
      </c>
      <c r="AG222" s="41">
        <f>P222/'1. Väestöennuste'!Q222*1000</f>
        <v>-5088.2859297340246</v>
      </c>
      <c r="AH222" s="41">
        <f>Q222/'1. Väestöennuste'!R222*1000</f>
        <v>-5288.8820112240646</v>
      </c>
    </row>
    <row r="223" spans="1:34" customFormat="1" x14ac:dyDescent="0.25">
      <c r="A223" s="99">
        <v>4</v>
      </c>
      <c r="B223" s="30">
        <v>684</v>
      </c>
      <c r="C223" s="47" t="s">
        <v>537</v>
      </c>
      <c r="D223" s="65">
        <v>-201346</v>
      </c>
      <c r="E223" s="157">
        <v>-194795</v>
      </c>
      <c r="F223" s="157">
        <v>-200179</v>
      </c>
      <c r="G223" s="157">
        <v>-212763</v>
      </c>
      <c r="H223" s="43">
        <v>-214470</v>
      </c>
      <c r="I223" s="43">
        <v>-215330</v>
      </c>
      <c r="J223" s="159">
        <v>-226289.03599999999</v>
      </c>
      <c r="K223" s="43">
        <v>-243435.81922</v>
      </c>
      <c r="L223" s="43">
        <v>-89229.346369999999</v>
      </c>
      <c r="M223" s="43">
        <f>'2.1. Toimintakatennuste'!AX214</f>
        <v>-96370.852454368083</v>
      </c>
      <c r="N223" s="43">
        <f>$N$6*'2.1. Toimintakatennuste'!AG214</f>
        <v>-101559.51818778698</v>
      </c>
      <c r="O223" s="43">
        <f>$O$6*'2.1. Toimintakatennuste'!AH214</f>
        <v>-104316.73650864829</v>
      </c>
      <c r="P223" s="43">
        <f>P$6*'2.1. Toimintakatennuste'!AI214</f>
        <v>-107000.12462054675</v>
      </c>
      <c r="Q223" s="43">
        <f>Q$6*'2.1. Toimintakatennuste'!AJ214</f>
        <v>-109384.09980544302</v>
      </c>
      <c r="R223" s="117"/>
      <c r="S223" s="34">
        <v>684</v>
      </c>
      <c r="T223" s="88" t="s">
        <v>537</v>
      </c>
      <c r="U223" s="41">
        <f>D223/'1. Väestöennuste'!E223*1000</f>
        <v>-5057.8009997739209</v>
      </c>
      <c r="V223" s="41">
        <f>E223/'1. Väestöennuste'!F223*1000</f>
        <v>-4917.3272075528857</v>
      </c>
      <c r="W223" s="41">
        <f>F223/'1. Väestöennuste'!G223*1000</f>
        <v>-5052.4734982332157</v>
      </c>
      <c r="X223" s="41">
        <f>G223/'1. Väestöennuste'!H223*1000</f>
        <v>-5405.5640243902435</v>
      </c>
      <c r="Y223" s="41">
        <f>H223/'1. Väestöennuste'!I223*1000</f>
        <v>-5470.4757046295117</v>
      </c>
      <c r="Z223" s="41">
        <f>I223/'1. Väestöennuste'!J223*1000</f>
        <v>-5515.625</v>
      </c>
      <c r="AA223" s="41">
        <f>J223/'1. Väestöennuste'!K223*1000</f>
        <v>-5808.3892297030206</v>
      </c>
      <c r="AB223" s="41">
        <f>K223/'1. Väestöennuste'!L223*1000</f>
        <v>-6295.6996720717925</v>
      </c>
      <c r="AC223" s="41">
        <f>L223/'1. Väestöennuste'!M223*1000</f>
        <v>-2297.830304130614</v>
      </c>
      <c r="AD223" s="41">
        <f>M223/'1. Väestöennuste'!N223*1000</f>
        <v>-2504.8305986995915</v>
      </c>
      <c r="AE223" s="41">
        <f>N223/'1. Väestöennuste'!O223*1000</f>
        <v>-2650.9231862333786</v>
      </c>
      <c r="AF223" s="41">
        <f>O223/'1. Väestöennuste'!P223*1000</f>
        <v>-2734.5986973719632</v>
      </c>
      <c r="AG223" s="41">
        <f>P223/'1. Väestöennuste'!Q223*1000</f>
        <v>-2817.2013538492074</v>
      </c>
      <c r="AH223" s="41">
        <f>Q223/'1. Väestöennuste'!R223*1000</f>
        <v>-2892.3819293839715</v>
      </c>
    </row>
    <row r="224" spans="1:34" customFormat="1" x14ac:dyDescent="0.25">
      <c r="A224" s="99">
        <v>11</v>
      </c>
      <c r="B224" s="30">
        <v>686</v>
      </c>
      <c r="C224" s="47" t="s">
        <v>538</v>
      </c>
      <c r="D224" s="65">
        <v>-20971</v>
      </c>
      <c r="E224" s="157">
        <v>-21142</v>
      </c>
      <c r="F224" s="157">
        <v>-21652</v>
      </c>
      <c r="G224" s="157">
        <v>-22004</v>
      </c>
      <c r="H224" s="43">
        <v>-22563</v>
      </c>
      <c r="I224" s="43">
        <v>-22975</v>
      </c>
      <c r="J224" s="159">
        <v>-23258.49639</v>
      </c>
      <c r="K224" s="43">
        <v>-23890.874309999999</v>
      </c>
      <c r="L224" s="43">
        <v>-8860.8007100000013</v>
      </c>
      <c r="M224" s="43">
        <f>'2.1. Toimintakatennuste'!AX215</f>
        <v>-8409.9924730539751</v>
      </c>
      <c r="N224" s="43">
        <f>$N$6*'2.1. Toimintakatennuste'!AG215</f>
        <v>-9968.9791628419498</v>
      </c>
      <c r="O224" s="43">
        <f>$O$6*'2.1. Toimintakatennuste'!AH215</f>
        <v>-10337.899100697234</v>
      </c>
      <c r="P224" s="43">
        <f>P$6*'2.1. Toimintakatennuste'!AI215</f>
        <v>-10689.018706744007</v>
      </c>
      <c r="Q224" s="43">
        <f>Q$6*'2.1. Toimintakatennuste'!AJ215</f>
        <v>-11023.058360989371</v>
      </c>
      <c r="R224" s="117"/>
      <c r="S224" s="34">
        <v>686</v>
      </c>
      <c r="T224" s="88" t="s">
        <v>538</v>
      </c>
      <c r="U224" s="41">
        <f>D224/'1. Väestöennuste'!E224*1000</f>
        <v>-6349.0765970330003</v>
      </c>
      <c r="V224" s="41">
        <f>E224/'1. Väestöennuste'!F224*1000</f>
        <v>-6430.048661800487</v>
      </c>
      <c r="W224" s="41">
        <f>F224/'1. Väestöennuste'!G224*1000</f>
        <v>-6651.9201228878646</v>
      </c>
      <c r="X224" s="41">
        <f>G224/'1. Väestöennuste'!H224*1000</f>
        <v>-6884.8560700876096</v>
      </c>
      <c r="Y224" s="41">
        <f>H224/'1. Väestöennuste'!I224*1000</f>
        <v>-7229.413649471323</v>
      </c>
      <c r="Z224" s="41">
        <f>I224/'1. Väestöennuste'!J224*1000</f>
        <v>-7525.3848673435969</v>
      </c>
      <c r="AA224" s="41">
        <f>J224/'1. Väestöennuste'!K224*1000</f>
        <v>-7668.4788625123638</v>
      </c>
      <c r="AB224" s="41">
        <f>K224/'1. Väestöennuste'!L224*1000</f>
        <v>-8060.3489574898786</v>
      </c>
      <c r="AC224" s="41">
        <f>L224/'1. Väestöennuste'!M224*1000</f>
        <v>-3021.0708182748044</v>
      </c>
      <c r="AD224" s="41">
        <f>M224/'1. Väestöennuste'!N224*1000</f>
        <v>-2933.3772141799705</v>
      </c>
      <c r="AE224" s="41">
        <f>N224/'1. Väestöennuste'!O224*1000</f>
        <v>-3535.0989939155852</v>
      </c>
      <c r="AF224" s="41">
        <f>O224/'1. Väestöennuste'!P224*1000</f>
        <v>-3718.6687412579977</v>
      </c>
      <c r="AG224" s="41">
        <f>P224/'1. Väestöennuste'!Q224*1000</f>
        <v>-3898.2562752531026</v>
      </c>
      <c r="AH224" s="41">
        <f>Q224/'1. Väestöennuste'!R224*1000</f>
        <v>-4076.5748376439983</v>
      </c>
    </row>
    <row r="225" spans="1:34" customFormat="1" x14ac:dyDescent="0.25">
      <c r="A225" s="99">
        <v>11</v>
      </c>
      <c r="B225" s="30">
        <v>687</v>
      </c>
      <c r="C225" s="47" t="s">
        <v>539</v>
      </c>
      <c r="D225" s="65">
        <v>-12848</v>
      </c>
      <c r="E225" s="157">
        <v>-13408</v>
      </c>
      <c r="F225" s="157">
        <v>-12185</v>
      </c>
      <c r="G225" s="157">
        <v>-12720</v>
      </c>
      <c r="H225" s="43">
        <v>-13314</v>
      </c>
      <c r="I225" s="43">
        <v>-12289</v>
      </c>
      <c r="J225" s="159">
        <v>-12817.666130000001</v>
      </c>
      <c r="K225" s="43">
        <v>-13404.699269999999</v>
      </c>
      <c r="L225" s="43">
        <v>-4204.3120499999995</v>
      </c>
      <c r="M225" s="43">
        <f>'2.1. Toimintakatennuste'!AX216</f>
        <v>-4261.9286403637789</v>
      </c>
      <c r="N225" s="43">
        <f>$N$6*'2.1. Toimintakatennuste'!AG216</f>
        <v>-4781.7292124995956</v>
      </c>
      <c r="O225" s="43">
        <f>$O$6*'2.1. Toimintakatennuste'!AH216</f>
        <v>-4946.0117556210298</v>
      </c>
      <c r="P225" s="43">
        <f>P$6*'2.1. Toimintakatennuste'!AI216</f>
        <v>-5100.6566629551116</v>
      </c>
      <c r="Q225" s="43">
        <f>Q$6*'2.1. Toimintakatennuste'!AJ216</f>
        <v>-5250.0131592090493</v>
      </c>
      <c r="R225" s="117"/>
      <c r="S225" s="34">
        <v>687</v>
      </c>
      <c r="T225" s="88" t="s">
        <v>539</v>
      </c>
      <c r="U225" s="41">
        <f>D225/'1. Väestöennuste'!E225*1000</f>
        <v>-7396.6609096142784</v>
      </c>
      <c r="V225" s="41">
        <f>E225/'1. Väestöennuste'!F225*1000</f>
        <v>-7781.7759721416132</v>
      </c>
      <c r="W225" s="41">
        <f>F225/'1. Väestöennuste'!G225*1000</f>
        <v>-7176.0895170789163</v>
      </c>
      <c r="X225" s="41">
        <f>G225/'1. Väestöennuste'!H225*1000</f>
        <v>-7704.4215626892792</v>
      </c>
      <c r="Y225" s="41">
        <f>H225/'1. Väestöennuste'!I225*1000</f>
        <v>-8310.8614232209748</v>
      </c>
      <c r="Z225" s="41">
        <f>I225/'1. Väestöennuste'!J225*1000</f>
        <v>-7872.517616912236</v>
      </c>
      <c r="AA225" s="41">
        <f>J225/'1. Väestöennuste'!K225*1000</f>
        <v>-8471.6894448116345</v>
      </c>
      <c r="AB225" s="41">
        <f>K225/'1. Väestöennuste'!L225*1000</f>
        <v>-9075.6257752200399</v>
      </c>
      <c r="AC225" s="41">
        <f>L225/'1. Väestöennuste'!M225*1000</f>
        <v>-2952.4663272471903</v>
      </c>
      <c r="AD225" s="41">
        <f>M225/'1. Väestöennuste'!N225*1000</f>
        <v>-2969.9851152360829</v>
      </c>
      <c r="AE225" s="41">
        <f>N225/'1. Väestöennuste'!O225*1000</f>
        <v>-3396.1144975139173</v>
      </c>
      <c r="AF225" s="41">
        <f>O225/'1. Väestöennuste'!P225*1000</f>
        <v>-3581.4712205800361</v>
      </c>
      <c r="AG225" s="41">
        <f>P225/'1. Väestöennuste'!Q225*1000</f>
        <v>-3764.3222604834773</v>
      </c>
      <c r="AH225" s="41">
        <f>Q225/'1. Väestöennuste'!R225*1000</f>
        <v>-3944.41259144181</v>
      </c>
    </row>
    <row r="226" spans="1:34" customFormat="1" x14ac:dyDescent="0.25">
      <c r="A226" s="99">
        <v>9</v>
      </c>
      <c r="B226" s="30">
        <v>689</v>
      </c>
      <c r="C226" s="47" t="s">
        <v>540</v>
      </c>
      <c r="D226" s="65">
        <v>-21805</v>
      </c>
      <c r="E226" s="157">
        <v>-21212</v>
      </c>
      <c r="F226" s="157">
        <v>-21964</v>
      </c>
      <c r="G226" s="157">
        <v>-21022</v>
      </c>
      <c r="H226" s="43">
        <v>-22237</v>
      </c>
      <c r="I226" s="43">
        <v>-22932</v>
      </c>
      <c r="J226" s="159">
        <v>-22410.54277</v>
      </c>
      <c r="K226" s="43">
        <v>-23622.831010000002</v>
      </c>
      <c r="L226" s="43">
        <v>-7688.0636900000009</v>
      </c>
      <c r="M226" s="43">
        <f>'2.1. Toimintakatennuste'!AX217</f>
        <v>-8142.5356995536149</v>
      </c>
      <c r="N226" s="43">
        <f>$N$6*'2.1. Toimintakatennuste'!AG217</f>
        <v>-8997.6079532058156</v>
      </c>
      <c r="O226" s="43">
        <f>$O$6*'2.1. Toimintakatennuste'!AH217</f>
        <v>-9330.6139841608801</v>
      </c>
      <c r="P226" s="43">
        <f>P$6*'2.1. Toimintakatennuste'!AI217</f>
        <v>-9653.1054457238279</v>
      </c>
      <c r="Q226" s="43">
        <f>Q$6*'2.1. Toimintakatennuste'!AJ217</f>
        <v>-9902.3378502017495</v>
      </c>
      <c r="R226" s="117"/>
      <c r="S226" s="34">
        <v>689</v>
      </c>
      <c r="T226" s="88" t="s">
        <v>540</v>
      </c>
      <c r="U226" s="41">
        <f>D226/'1. Väestöennuste'!E226*1000</f>
        <v>-6164.8289510884933</v>
      </c>
      <c r="V226" s="41">
        <f>E226/'1. Väestöennuste'!F226*1000</f>
        <v>-6107.6878779153467</v>
      </c>
      <c r="W226" s="41">
        <f>F226/'1. Väestöennuste'!G226*1000</f>
        <v>-6392.3166472642606</v>
      </c>
      <c r="X226" s="41">
        <f>G226/'1. Väestöennuste'!H226*1000</f>
        <v>-6303.4482758620688</v>
      </c>
      <c r="Y226" s="41">
        <f>H226/'1. Väestöennuste'!I226*1000</f>
        <v>-6893.0564166150034</v>
      </c>
      <c r="Z226" s="41">
        <f>I226/'1. Väestöennuste'!J226*1000</f>
        <v>-7289.2561983471078</v>
      </c>
      <c r="AA226" s="41">
        <f>J226/'1. Väestöennuste'!K226*1000</f>
        <v>-7247.9116332470894</v>
      </c>
      <c r="AB226" s="41">
        <f>K226/'1. Väestöennuste'!L226*1000</f>
        <v>-7637.5140672486268</v>
      </c>
      <c r="AC226" s="41">
        <f>L226/'1. Väestöennuste'!M226*1000</f>
        <v>-2535.6410587071241</v>
      </c>
      <c r="AD226" s="41">
        <f>M226/'1. Väestöennuste'!N226*1000</f>
        <v>-2848.0362712674414</v>
      </c>
      <c r="AE226" s="41">
        <f>N226/'1. Väestöennuste'!O226*1000</f>
        <v>-3214.5794759577766</v>
      </c>
      <c r="AF226" s="41">
        <f>O226/'1. Väestöennuste'!P226*1000</f>
        <v>-3402.8497389354047</v>
      </c>
      <c r="AG226" s="41">
        <f>P226/'1. Väestöennuste'!Q226*1000</f>
        <v>-3589.8495521472028</v>
      </c>
      <c r="AH226" s="41">
        <f>Q226/'1. Väestöennuste'!R226*1000</f>
        <v>-3752.3068776816031</v>
      </c>
    </row>
    <row r="227" spans="1:34" customFormat="1" x14ac:dyDescent="0.25">
      <c r="A227" s="99">
        <v>17</v>
      </c>
      <c r="B227" s="30">
        <v>691</v>
      </c>
      <c r="C227" s="47" t="s">
        <v>541</v>
      </c>
      <c r="D227" s="65">
        <v>-18121</v>
      </c>
      <c r="E227" s="157">
        <v>-18417</v>
      </c>
      <c r="F227" s="157">
        <v>-18364</v>
      </c>
      <c r="G227" s="157">
        <v>-18984</v>
      </c>
      <c r="H227" s="43">
        <v>-19240</v>
      </c>
      <c r="I227" s="43">
        <v>-18879</v>
      </c>
      <c r="J227" s="159">
        <v>-18489.400559999998</v>
      </c>
      <c r="K227" s="43">
        <v>-19760.34302</v>
      </c>
      <c r="L227" s="43">
        <v>-8467.1737799999992</v>
      </c>
      <c r="M227" s="43">
        <f>'2.1. Toimintakatennuste'!AX218</f>
        <v>-7673.5330296106677</v>
      </c>
      <c r="N227" s="43">
        <f>$N$6*'2.1. Toimintakatennuste'!AG218</f>
        <v>-9408.5424393240901</v>
      </c>
      <c r="O227" s="43">
        <f>$O$6*'2.1. Toimintakatennuste'!AH218</f>
        <v>-9718.0761129054063</v>
      </c>
      <c r="P227" s="43">
        <f>P$6*'2.1. Toimintakatennuste'!AI218</f>
        <v>-9953.0830141552688</v>
      </c>
      <c r="Q227" s="43">
        <f>Q$6*'2.1. Toimintakatennuste'!AJ218</f>
        <v>-10359.218451267472</v>
      </c>
      <c r="R227" s="117"/>
      <c r="S227" s="34">
        <v>691</v>
      </c>
      <c r="T227" s="88" t="s">
        <v>541</v>
      </c>
      <c r="U227" s="41">
        <f>D227/'1. Väestöennuste'!E227*1000</f>
        <v>-6261.575673807878</v>
      </c>
      <c r="V227" s="41">
        <f>E227/'1. Väestöennuste'!F227*1000</f>
        <v>-6453.0483531885075</v>
      </c>
      <c r="W227" s="41">
        <f>F227/'1. Väestöennuste'!G227*1000</f>
        <v>-6528.2616423746895</v>
      </c>
      <c r="X227" s="41">
        <f>G227/'1. Väestöennuste'!H227*1000</f>
        <v>-6920.8895370032806</v>
      </c>
      <c r="Y227" s="41">
        <f>H227/'1. Väestöennuste'!I227*1000</f>
        <v>-7078.7343635025754</v>
      </c>
      <c r="Z227" s="41">
        <f>I227/'1. Väestöennuste'!J227*1000</f>
        <v>-6966.420664206642</v>
      </c>
      <c r="AA227" s="41">
        <f>J227/'1. Väestöennuste'!K227*1000</f>
        <v>-6873.3831078066914</v>
      </c>
      <c r="AB227" s="41">
        <f>K227/'1. Väestöennuste'!L227*1000</f>
        <v>-7496.3365022761764</v>
      </c>
      <c r="AC227" s="41">
        <f>L227/'1. Väestöennuste'!M227*1000</f>
        <v>-3259.1123094688219</v>
      </c>
      <c r="AD227" s="41">
        <f>M227/'1. Väestöennuste'!N227*1000</f>
        <v>-2976.545007606931</v>
      </c>
      <c r="AE227" s="41">
        <f>N227/'1. Väestöennuste'!O227*1000</f>
        <v>-3695.4212251862095</v>
      </c>
      <c r="AF227" s="41">
        <f>O227/'1. Väestöennuste'!P227*1000</f>
        <v>-3864.0461681532429</v>
      </c>
      <c r="AG227" s="41">
        <f>P227/'1. Väestöennuste'!Q227*1000</f>
        <v>-4003.6536661927871</v>
      </c>
      <c r="AH227" s="41">
        <f>Q227/'1. Väestöennuste'!R227*1000</f>
        <v>-4219.6409170132274</v>
      </c>
    </row>
    <row r="228" spans="1:34" customFormat="1" x14ac:dyDescent="0.25">
      <c r="A228" s="99">
        <v>5</v>
      </c>
      <c r="B228" s="30">
        <v>694</v>
      </c>
      <c r="C228" s="47" t="s">
        <v>542</v>
      </c>
      <c r="D228" s="65">
        <v>-146766</v>
      </c>
      <c r="E228" s="157">
        <v>-147791</v>
      </c>
      <c r="F228" s="157">
        <v>-139159</v>
      </c>
      <c r="G228" s="157">
        <v>-141604</v>
      </c>
      <c r="H228" s="43">
        <v>-146226</v>
      </c>
      <c r="I228" s="43">
        <v>-152458</v>
      </c>
      <c r="J228" s="159">
        <v>-158437.64321000001</v>
      </c>
      <c r="K228" s="43">
        <v>-172691.96188999998</v>
      </c>
      <c r="L228" s="43">
        <v>-68608.617530000003</v>
      </c>
      <c r="M228" s="43">
        <f>'2.1. Toimintakatennuste'!AX219</f>
        <v>-66562.794269091202</v>
      </c>
      <c r="N228" s="43">
        <f>$N$6*'2.1. Toimintakatennuste'!AG219</f>
        <v>-77184.569089640892</v>
      </c>
      <c r="O228" s="43">
        <f>$O$6*'2.1. Toimintakatennuste'!AH219</f>
        <v>-79294.463757268444</v>
      </c>
      <c r="P228" s="43">
        <f>P$6*'2.1. Toimintakatennuste'!AI219</f>
        <v>-81115.760120537961</v>
      </c>
      <c r="Q228" s="43">
        <f>Q$6*'2.1. Toimintakatennuste'!AJ219</f>
        <v>-82767.943857705803</v>
      </c>
      <c r="R228" s="117"/>
      <c r="S228" s="34">
        <v>694</v>
      </c>
      <c r="T228" s="88" t="s">
        <v>542</v>
      </c>
      <c r="U228" s="41">
        <f>D228/'1. Väestöennuste'!E228*1000</f>
        <v>-5014.3838190577053</v>
      </c>
      <c r="V228" s="41">
        <f>E228/'1. Väestöennuste'!F228*1000</f>
        <v>-5068.2784636488341</v>
      </c>
      <c r="W228" s="41">
        <f>F228/'1. Väestöennuste'!G228*1000</f>
        <v>-4795.113883050205</v>
      </c>
      <c r="X228" s="41">
        <f>G228/'1. Väestöennuste'!H228*1000</f>
        <v>-4927.7561247216036</v>
      </c>
      <c r="Y228" s="41">
        <f>H228/'1. Väestöennuste'!I228*1000</f>
        <v>-5078.5260306324453</v>
      </c>
      <c r="Z228" s="41">
        <f>I228/'1. Väestöennuste'!J228*1000</f>
        <v>-5310.2751654475787</v>
      </c>
      <c r="AA228" s="41">
        <f>J228/'1. Väestöennuste'!K228*1000</f>
        <v>-5555.1223032151756</v>
      </c>
      <c r="AB228" s="41">
        <f>K228/'1. Väestöennuste'!L228*1000</f>
        <v>-6091.6420998977028</v>
      </c>
      <c r="AC228" s="41">
        <f>L228/'1. Väestöennuste'!M228*1000</f>
        <v>-2408.756715584735</v>
      </c>
      <c r="AD228" s="41">
        <f>M228/'1. Väestöennuste'!N228*1000</f>
        <v>-2352.4578289129249</v>
      </c>
      <c r="AE228" s="41">
        <f>N228/'1. Väestöennuste'!O228*1000</f>
        <v>-2736.7503134290992</v>
      </c>
      <c r="AF228" s="41">
        <f>O228/'1. Väestöennuste'!P228*1000</f>
        <v>-2820.8631717277995</v>
      </c>
      <c r="AG228" s="41">
        <f>P228/'1. Väestöennuste'!Q228*1000</f>
        <v>-2895.2336124687859</v>
      </c>
      <c r="AH228" s="41">
        <f>Q228/'1. Väestöennuste'!R228*1000</f>
        <v>-2963.8309767852825</v>
      </c>
    </row>
    <row r="229" spans="1:34" customFormat="1" x14ac:dyDescent="0.25">
      <c r="A229" s="99">
        <v>18</v>
      </c>
      <c r="B229" s="32">
        <v>697</v>
      </c>
      <c r="C229" s="156" t="s">
        <v>543</v>
      </c>
      <c r="D229" s="65">
        <v>-10343</v>
      </c>
      <c r="E229" s="157">
        <v>-10596</v>
      </c>
      <c r="F229" s="157">
        <v>-10491</v>
      </c>
      <c r="G229" s="157">
        <v>-10622</v>
      </c>
      <c r="H229" s="43">
        <v>-10655</v>
      </c>
      <c r="I229" s="43">
        <v>-11104</v>
      </c>
      <c r="J229" s="159">
        <v>-11031.67208</v>
      </c>
      <c r="K229" s="43">
        <v>-10777.931339999999</v>
      </c>
      <c r="L229" s="43">
        <v>-3574.1974399999999</v>
      </c>
      <c r="M229" s="43">
        <f>'2.1. Toimintakatennuste'!AX220</f>
        <v>-3763.9403931039487</v>
      </c>
      <c r="N229" s="43">
        <f>$N$6*'2.1. Toimintakatennuste'!AG220</f>
        <v>-4238.2982382377377</v>
      </c>
      <c r="O229" s="43">
        <f>$O$6*'2.1. Toimintakatennuste'!AH220</f>
        <v>-4413.6441423971864</v>
      </c>
      <c r="P229" s="43">
        <f>P$6*'2.1. Toimintakatennuste'!AI220</f>
        <v>-4583.9248716696584</v>
      </c>
      <c r="Q229" s="43">
        <f>Q$6*'2.1. Toimintakatennuste'!AJ220</f>
        <v>-4692.2389138743156</v>
      </c>
      <c r="R229" s="117"/>
      <c r="S229" s="89">
        <v>697</v>
      </c>
      <c r="T229" s="90" t="s">
        <v>543</v>
      </c>
      <c r="U229" s="41">
        <f>D229/'1. Väestöennuste'!E229*1000</f>
        <v>-7655.810510732791</v>
      </c>
      <c r="V229" s="41">
        <f>E229/'1. Väestöennuste'!F229*1000</f>
        <v>-7878.0669144981421</v>
      </c>
      <c r="W229" s="41">
        <f>F229/'1. Väestöennuste'!G229*1000</f>
        <v>-7965.8314350797264</v>
      </c>
      <c r="X229" s="41">
        <f>G229/'1. Väestöennuste'!H229*1000</f>
        <v>-8246.8944099378878</v>
      </c>
      <c r="Y229" s="41">
        <f>H229/'1. Väestöennuste'!I229*1000</f>
        <v>-8376.5723270440249</v>
      </c>
      <c r="Z229" s="41">
        <f>I229/'1. Väestöennuste'!J229*1000</f>
        <v>-8991.0931174089073</v>
      </c>
      <c r="AA229" s="41">
        <f>J229/'1. Väestöennuste'!K229*1000</f>
        <v>-9117.0843636363643</v>
      </c>
      <c r="AB229" s="41">
        <f>K229/'1. Väestöennuste'!L229*1000</f>
        <v>-9180.5207325383308</v>
      </c>
      <c r="AC229" s="41">
        <f>L229/'1. Väestöennuste'!M229*1000</f>
        <v>-3070.6163573883159</v>
      </c>
      <c r="AD229" s="41">
        <f>M229/'1. Väestöennuste'!N229*1000</f>
        <v>-3206.0821065621367</v>
      </c>
      <c r="AE229" s="41">
        <f>N229/'1. Väestöennuste'!O229*1000</f>
        <v>-3634.9041494320222</v>
      </c>
      <c r="AF229" s="41">
        <f>O229/'1. Väestöennuste'!P229*1000</f>
        <v>-3818.0312650494693</v>
      </c>
      <c r="AG229" s="41">
        <f>P229/'1. Väestöennuste'!Q229*1000</f>
        <v>-4003.4278355193528</v>
      </c>
      <c r="AH229" s="41">
        <f>Q229/'1. Väestöennuste'!R229*1000</f>
        <v>-4126.8592030556865</v>
      </c>
    </row>
    <row r="230" spans="1:34" customFormat="1" x14ac:dyDescent="0.25">
      <c r="A230" s="99">
        <v>19</v>
      </c>
      <c r="B230" s="30">
        <v>698</v>
      </c>
      <c r="C230" s="47" t="s">
        <v>544</v>
      </c>
      <c r="D230" s="65">
        <v>-337784</v>
      </c>
      <c r="E230" s="157">
        <v>-336608</v>
      </c>
      <c r="F230" s="157">
        <v>-337762</v>
      </c>
      <c r="G230" s="157">
        <v>-356875</v>
      </c>
      <c r="H230" s="43">
        <v>-372259</v>
      </c>
      <c r="I230" s="43">
        <v>-373878</v>
      </c>
      <c r="J230" s="159">
        <v>-381043.17941999994</v>
      </c>
      <c r="K230" s="43">
        <v>-427932.96937000001</v>
      </c>
      <c r="L230" s="43">
        <v>-170564.33046</v>
      </c>
      <c r="M230" s="43">
        <f>'2.1. Toimintakatennuste'!AX221</f>
        <v>-175232.87254506108</v>
      </c>
      <c r="N230" s="43">
        <f>$N$6*'2.1. Toimintakatennuste'!AG221</f>
        <v>-197806.61765714688</v>
      </c>
      <c r="O230" s="43">
        <f>$O$6*'2.1. Toimintakatennuste'!AH221</f>
        <v>-205997.84386607082</v>
      </c>
      <c r="P230" s="43">
        <f>P$6*'2.1. Toimintakatennuste'!AI221</f>
        <v>-213781.73697106959</v>
      </c>
      <c r="Q230" s="43">
        <f>Q$6*'2.1. Toimintakatennuste'!AJ221</f>
        <v>-220328.92428321269</v>
      </c>
      <c r="R230" s="117"/>
      <c r="S230" s="34">
        <v>698</v>
      </c>
      <c r="T230" s="88" t="s">
        <v>544</v>
      </c>
      <c r="U230" s="41">
        <f>D230/'1. Väestöennuste'!E230*1000</f>
        <v>-5462.4017594359457</v>
      </c>
      <c r="V230" s="41">
        <f>E230/'1. Väestöennuste'!F230*1000</f>
        <v>-5409.0083720332314</v>
      </c>
      <c r="W230" s="41">
        <f>F230/'1. Väestöennuste'!G230*1000</f>
        <v>-5411.1182313361105</v>
      </c>
      <c r="X230" s="41">
        <f>G230/'1. Väestöennuste'!H230*1000</f>
        <v>-5671.7046502018375</v>
      </c>
      <c r="Y230" s="41">
        <f>H230/'1. Väestöennuste'!I230*1000</f>
        <v>-5904.936391611941</v>
      </c>
      <c r="Z230" s="41">
        <f>I230/'1. Väestöennuste'!J230*1000</f>
        <v>-5885.247449943332</v>
      </c>
      <c r="AA230" s="41">
        <f>J230/'1. Väestöennuste'!K230*1000</f>
        <v>-5937.1015802430657</v>
      </c>
      <c r="AB230" s="41">
        <f>K230/'1. Väestöennuste'!L230*1000</f>
        <v>-6631.0214514604486</v>
      </c>
      <c r="AC230" s="41">
        <f>L230/'1. Väestöennuste'!M230*1000</f>
        <v>-2612.5713087032441</v>
      </c>
      <c r="AD230" s="41">
        <f>M230/'1. Väestöennuste'!N230*1000</f>
        <v>-2697.8410934839208</v>
      </c>
      <c r="AE230" s="41">
        <f>N230/'1. Väestöennuste'!O230*1000</f>
        <v>-3031.3796707760084</v>
      </c>
      <c r="AF230" s="41">
        <f>O230/'1. Väestöennuste'!P230*1000</f>
        <v>-3143.1817245883431</v>
      </c>
      <c r="AG230" s="41">
        <f>P230/'1. Väestöennuste'!Q230*1000</f>
        <v>-3248.8638182892555</v>
      </c>
      <c r="AH230" s="41">
        <f>Q230/'1. Väestöennuste'!R230*1000</f>
        <v>-3336.09297261239</v>
      </c>
    </row>
    <row r="231" spans="1:34" customFormat="1" x14ac:dyDescent="0.25">
      <c r="A231" s="99">
        <v>9</v>
      </c>
      <c r="B231" s="30">
        <v>700</v>
      </c>
      <c r="C231" s="47" t="s">
        <v>545</v>
      </c>
      <c r="D231" s="65">
        <v>-31302</v>
      </c>
      <c r="E231" s="157">
        <v>-30785</v>
      </c>
      <c r="F231" s="157">
        <v>-29945</v>
      </c>
      <c r="G231" s="157">
        <v>-29819</v>
      </c>
      <c r="H231" s="43">
        <v>-29473</v>
      </c>
      <c r="I231" s="43">
        <v>-30741</v>
      </c>
      <c r="J231" s="159">
        <v>-31262.536740000003</v>
      </c>
      <c r="K231" s="43">
        <v>-33312.897260000005</v>
      </c>
      <c r="L231" s="43">
        <v>-10428.12774</v>
      </c>
      <c r="M231" s="43">
        <f>'2.1. Toimintakatennuste'!AX222</f>
        <v>-10749.699135809378</v>
      </c>
      <c r="N231" s="43">
        <f>$N$6*'2.1. Toimintakatennuste'!AG222</f>
        <v>-12014.267510737154</v>
      </c>
      <c r="O231" s="43">
        <f>$O$6*'2.1. Toimintakatennuste'!AH222</f>
        <v>-12503.908597658092</v>
      </c>
      <c r="P231" s="43">
        <f>P$6*'2.1. Toimintakatennuste'!AI222</f>
        <v>-12923.853950927216</v>
      </c>
      <c r="Q231" s="43">
        <f>Q$6*'2.1. Toimintakatennuste'!AJ222</f>
        <v>-13294.289279453244</v>
      </c>
      <c r="R231" s="117"/>
      <c r="S231" s="34">
        <v>700</v>
      </c>
      <c r="T231" s="88" t="s">
        <v>545</v>
      </c>
      <c r="U231" s="41">
        <f>D231/'1. Väestöennuste'!E231*1000</f>
        <v>-5892.6957831325299</v>
      </c>
      <c r="V231" s="41">
        <f>E231/'1. Väestöennuste'!F231*1000</f>
        <v>-5869.3994280266916</v>
      </c>
      <c r="W231" s="41">
        <f>F231/'1. Väestöennuste'!G231*1000</f>
        <v>-5738.7888079724034</v>
      </c>
      <c r="X231" s="41">
        <f>G231/'1. Väestöennuste'!H231*1000</f>
        <v>-5848.0094136105126</v>
      </c>
      <c r="Y231" s="41">
        <f>H231/'1. Väestöennuste'!I231*1000</f>
        <v>-5901.6820184221069</v>
      </c>
      <c r="Z231" s="41">
        <f>I231/'1. Väestöennuste'!J231*1000</f>
        <v>-6245.6318569687119</v>
      </c>
      <c r="AA231" s="41">
        <f>J231/'1. Väestöennuste'!K231*1000</f>
        <v>-6363.2275066151042</v>
      </c>
      <c r="AB231" s="41">
        <f>K231/'1. Väestöennuste'!L231*1000</f>
        <v>-6879.9870425444042</v>
      </c>
      <c r="AC231" s="41">
        <f>L231/'1. Väestöennuste'!M231*1000</f>
        <v>-2191.7040226986128</v>
      </c>
      <c r="AD231" s="41">
        <f>M231/'1. Väestöennuste'!N231*1000</f>
        <v>-2317.7445312223758</v>
      </c>
      <c r="AE231" s="41">
        <f>N231/'1. Väestöennuste'!O231*1000</f>
        <v>-2626.6435309875724</v>
      </c>
      <c r="AF231" s="41">
        <f>O231/'1. Väestöennuste'!P231*1000</f>
        <v>-2771.2563381334421</v>
      </c>
      <c r="AG231" s="41">
        <f>P231/'1. Väestöennuste'!Q231*1000</f>
        <v>-2903.5843520393655</v>
      </c>
      <c r="AH231" s="41">
        <f>Q231/'1. Väestöennuste'!R231*1000</f>
        <v>-3029.0018864099438</v>
      </c>
    </row>
    <row r="232" spans="1:34" customFormat="1" x14ac:dyDescent="0.25">
      <c r="A232" s="99">
        <v>6</v>
      </c>
      <c r="B232" s="30">
        <v>702</v>
      </c>
      <c r="C232" s="47" t="s">
        <v>546</v>
      </c>
      <c r="D232" s="65">
        <v>-28635</v>
      </c>
      <c r="E232" s="157">
        <v>-28544</v>
      </c>
      <c r="F232" s="157">
        <v>-28102</v>
      </c>
      <c r="G232" s="157">
        <v>-28649</v>
      </c>
      <c r="H232" s="43">
        <v>-29374</v>
      </c>
      <c r="I232" s="43">
        <v>-28370</v>
      </c>
      <c r="J232" s="159">
        <v>-30926.002700000005</v>
      </c>
      <c r="K232" s="43">
        <v>-31773.566999999999</v>
      </c>
      <c r="L232" s="43">
        <v>-10393.869349999999</v>
      </c>
      <c r="M232" s="43">
        <f>'2.1. Toimintakatennuste'!AX223</f>
        <v>-10610.802911222019</v>
      </c>
      <c r="N232" s="43">
        <f>$N$6*'2.1. Toimintakatennuste'!AG223</f>
        <v>-11949.362230478117</v>
      </c>
      <c r="O232" s="43">
        <f>$O$6*'2.1. Toimintakatennuste'!AH223</f>
        <v>-12360.939475182679</v>
      </c>
      <c r="P232" s="43">
        <f>P$6*'2.1. Toimintakatennuste'!AI223</f>
        <v>-12856.565060894207</v>
      </c>
      <c r="Q232" s="43">
        <f>Q$6*'2.1. Toimintakatennuste'!AJ223</f>
        <v>-13228.92920873428</v>
      </c>
      <c r="R232" s="117"/>
      <c r="S232" s="34">
        <v>702</v>
      </c>
      <c r="T232" s="88" t="s">
        <v>546</v>
      </c>
      <c r="U232" s="41">
        <f>D232/'1. Väestöennuste'!E232*1000</f>
        <v>-6194.0298507462685</v>
      </c>
      <c r="V232" s="41">
        <f>E232/'1. Väestöennuste'!F232*1000</f>
        <v>-6252.7929901423877</v>
      </c>
      <c r="W232" s="41">
        <f>F232/'1. Väestöennuste'!G232*1000</f>
        <v>-6302.3099349629965</v>
      </c>
      <c r="X232" s="41">
        <f>G232/'1. Väestöennuste'!H232*1000</f>
        <v>-6514.0973169622548</v>
      </c>
      <c r="Y232" s="41">
        <f>H232/'1. Väestöennuste'!I232*1000</f>
        <v>-6858.2769087088491</v>
      </c>
      <c r="Z232" s="41">
        <f>I232/'1. Väestöennuste'!J232*1000</f>
        <v>-6730.7236061684462</v>
      </c>
      <c r="AA232" s="41">
        <f>J232/'1. Väestöennuste'!K232*1000</f>
        <v>-7443.0812755716015</v>
      </c>
      <c r="AB232" s="41">
        <f>K232/'1. Väestöennuste'!L232*1000</f>
        <v>-7723.2783179387452</v>
      </c>
      <c r="AC232" s="41">
        <f>L232/'1. Väestöennuste'!M232*1000</f>
        <v>-2520.3368937924342</v>
      </c>
      <c r="AD232" s="41">
        <f>M232/'1. Väestöennuste'!N232*1000</f>
        <v>-2718.6274433056674</v>
      </c>
      <c r="AE232" s="41">
        <f>N232/'1. Väestöennuste'!O232*1000</f>
        <v>-3110.1931885679637</v>
      </c>
      <c r="AF232" s="41">
        <f>O232/'1. Väestöennuste'!P232*1000</f>
        <v>-3263.1835995730407</v>
      </c>
      <c r="AG232" s="41">
        <f>P232/'1. Väestöennuste'!Q232*1000</f>
        <v>-3439.4235047871075</v>
      </c>
      <c r="AH232" s="41">
        <f>Q232/'1. Väestöennuste'!R232*1000</f>
        <v>-3583.1335884979094</v>
      </c>
    </row>
    <row r="233" spans="1:34" customFormat="1" x14ac:dyDescent="0.25">
      <c r="A233" s="99">
        <v>2</v>
      </c>
      <c r="B233" s="30">
        <v>704</v>
      </c>
      <c r="C233" s="47" t="s">
        <v>547</v>
      </c>
      <c r="D233" s="65">
        <v>-26306</v>
      </c>
      <c r="E233" s="157">
        <v>-25311</v>
      </c>
      <c r="F233" s="157">
        <v>-25463</v>
      </c>
      <c r="G233" s="157">
        <v>-27004</v>
      </c>
      <c r="H233" s="43">
        <v>-29618</v>
      </c>
      <c r="I233" s="43">
        <v>-30201</v>
      </c>
      <c r="J233" s="159">
        <v>-31026.917969999999</v>
      </c>
      <c r="K233" s="43">
        <v>-33928.600279999999</v>
      </c>
      <c r="L233" s="43">
        <v>-16844.19945</v>
      </c>
      <c r="M233" s="43">
        <f>'2.1. Toimintakatennuste'!AX224</f>
        <v>-16403.341588805546</v>
      </c>
      <c r="N233" s="43">
        <f>$N$6*'2.1. Toimintakatennuste'!AG224</f>
        <v>-19053.837922912786</v>
      </c>
      <c r="O233" s="43">
        <f>$O$6*'2.1. Toimintakatennuste'!AH224</f>
        <v>-19886.106586109378</v>
      </c>
      <c r="P233" s="43">
        <f>P$6*'2.1. Toimintakatennuste'!AI224</f>
        <v>-20921.874221816775</v>
      </c>
      <c r="Q233" s="43">
        <f>Q$6*'2.1. Toimintakatennuste'!AJ224</f>
        <v>-21650.218003112659</v>
      </c>
      <c r="R233" s="117"/>
      <c r="S233" s="34">
        <v>704</v>
      </c>
      <c r="T233" s="88" t="s">
        <v>547</v>
      </c>
      <c r="U233" s="41">
        <f>D233/'1. Väestöennuste'!E233*1000</f>
        <v>-4305.4009819967259</v>
      </c>
      <c r="V233" s="41">
        <f>E233/'1. Väestöennuste'!F233*1000</f>
        <v>-4124.3278474824838</v>
      </c>
      <c r="W233" s="41">
        <f>F233/'1. Väestöennuste'!G233*1000</f>
        <v>-4065.6235031135238</v>
      </c>
      <c r="X233" s="41">
        <f>G233/'1. Väestöennuste'!H233*1000</f>
        <v>-4319.9488081906893</v>
      </c>
      <c r="Y233" s="41">
        <f>H233/'1. Väestöennuste'!I233*1000</f>
        <v>-4681.2075233127862</v>
      </c>
      <c r="Z233" s="41">
        <f>I233/'1. Väestöennuste'!J233*1000</f>
        <v>-4753.068932955618</v>
      </c>
      <c r="AA233" s="41">
        <f>J233/'1. Väestöennuste'!K233*1000</f>
        <v>-4863.9156560589436</v>
      </c>
      <c r="AB233" s="41">
        <f>K233/'1. Väestöennuste'!L233*1000</f>
        <v>-5278.2514436838828</v>
      </c>
      <c r="AC233" s="41">
        <f>L233/'1. Väestöennuste'!M233*1000</f>
        <v>-2617.1845012430081</v>
      </c>
      <c r="AD233" s="41">
        <f>M233/'1. Väestöennuste'!N233*1000</f>
        <v>-2494.8048043810718</v>
      </c>
      <c r="AE233" s="41">
        <f>N233/'1. Väestöennuste'!O233*1000</f>
        <v>-2871.7163410569383</v>
      </c>
      <c r="AF233" s="41">
        <f>O233/'1. Väestöennuste'!P233*1000</f>
        <v>-2972.0679399356413</v>
      </c>
      <c r="AG233" s="41">
        <f>P233/'1. Väestöennuste'!Q233*1000</f>
        <v>-3100.915106242297</v>
      </c>
      <c r="AH233" s="41">
        <f>Q233/'1. Väestöennuste'!R233*1000</f>
        <v>-3185.2608508331114</v>
      </c>
    </row>
    <row r="234" spans="1:34" customFormat="1" x14ac:dyDescent="0.25">
      <c r="A234" s="99">
        <v>12</v>
      </c>
      <c r="B234" s="30">
        <v>707</v>
      </c>
      <c r="C234" s="47" t="s">
        <v>548</v>
      </c>
      <c r="D234" s="65">
        <v>-15667</v>
      </c>
      <c r="E234" s="157">
        <v>-14656</v>
      </c>
      <c r="F234" s="157">
        <v>-14448</v>
      </c>
      <c r="G234" s="157">
        <v>-14898</v>
      </c>
      <c r="H234" s="43">
        <v>-15198</v>
      </c>
      <c r="I234" s="43">
        <v>-17413</v>
      </c>
      <c r="J234" s="159">
        <v>-16108.962529999999</v>
      </c>
      <c r="K234" s="43">
        <v>-14737.28111</v>
      </c>
      <c r="L234" s="43">
        <v>-4388.9630800000004</v>
      </c>
      <c r="M234" s="43">
        <f>'2.1. Toimintakatennuste'!AX225</f>
        <v>-3585.8047069266881</v>
      </c>
      <c r="N234" s="43">
        <f>$N$6*'2.1. Toimintakatennuste'!AG225</f>
        <v>-5350.8782825044736</v>
      </c>
      <c r="O234" s="43">
        <f>$O$6*'2.1. Toimintakatennuste'!AH225</f>
        <v>-5554.8247916337423</v>
      </c>
      <c r="P234" s="43">
        <f>P$6*'2.1. Toimintakatennuste'!AI225</f>
        <v>-5806.6927080182459</v>
      </c>
      <c r="Q234" s="43">
        <f>Q$6*'2.1. Toimintakatennuste'!AJ225</f>
        <v>-5989.7252128567998</v>
      </c>
      <c r="R234" s="117"/>
      <c r="S234" s="34">
        <v>707</v>
      </c>
      <c r="T234" s="88" t="s">
        <v>548</v>
      </c>
      <c r="U234" s="41">
        <f>D234/'1. Väestöennuste'!E234*1000</f>
        <v>-6669.6466581524055</v>
      </c>
      <c r="V234" s="41">
        <f>E234/'1. Väestöennuste'!F234*1000</f>
        <v>-6462.0811287477954</v>
      </c>
      <c r="W234" s="41">
        <f>F234/'1. Väestöennuste'!G234*1000</f>
        <v>-6450</v>
      </c>
      <c r="X234" s="41">
        <f>G234/'1. Väestöennuste'!H234*1000</f>
        <v>-6830.811554332874</v>
      </c>
      <c r="Y234" s="41">
        <f>H234/'1. Väestöennuste'!I234*1000</f>
        <v>-7148.6359360301039</v>
      </c>
      <c r="Z234" s="41">
        <f>I234/'1. Väestöennuste'!J234*1000</f>
        <v>-8428.3639883833494</v>
      </c>
      <c r="AA234" s="41">
        <f>J234/'1. Väestöennuste'!K234*1000</f>
        <v>-7927.6390403543301</v>
      </c>
      <c r="AB234" s="41">
        <f>K234/'1. Väestöennuste'!L234*1000</f>
        <v>-7519.0209744897957</v>
      </c>
      <c r="AC234" s="41">
        <f>L234/'1. Väestöennuste'!M234*1000</f>
        <v>-2307.5515667718196</v>
      </c>
      <c r="AD234" s="41">
        <f>M234/'1. Väestöennuste'!N234*1000</f>
        <v>-1881.3246101399204</v>
      </c>
      <c r="AE234" s="41">
        <f>N234/'1. Väestöennuste'!O234*1000</f>
        <v>-2852.2805343840478</v>
      </c>
      <c r="AF234" s="41">
        <f>O234/'1. Väestöennuste'!P234*1000</f>
        <v>-3007.484998177446</v>
      </c>
      <c r="AG234" s="41">
        <f>P234/'1. Väestöennuste'!Q234*1000</f>
        <v>-3192.2444793943077</v>
      </c>
      <c r="AH234" s="41">
        <f>Q234/'1. Väestöennuste'!R234*1000</f>
        <v>-3340.6164042703845</v>
      </c>
    </row>
    <row r="235" spans="1:34" customFormat="1" x14ac:dyDescent="0.25">
      <c r="A235" s="99">
        <v>1</v>
      </c>
      <c r="B235" s="30">
        <v>710</v>
      </c>
      <c r="C235" s="47" t="s">
        <v>549</v>
      </c>
      <c r="D235" s="65">
        <v>-163423</v>
      </c>
      <c r="E235" s="157">
        <v>-159990</v>
      </c>
      <c r="F235" s="157">
        <v>-155764</v>
      </c>
      <c r="G235" s="157">
        <v>-163667</v>
      </c>
      <c r="H235" s="43">
        <v>-168872</v>
      </c>
      <c r="I235" s="43">
        <v>-171029</v>
      </c>
      <c r="J235" s="159">
        <v>-173204.03992000001</v>
      </c>
      <c r="K235" s="43">
        <v>-188174.43534999999</v>
      </c>
      <c r="L235" s="43">
        <v>-77041.251329999999</v>
      </c>
      <c r="M235" s="43">
        <f>'2.1. Toimintakatennuste'!AX226</f>
        <v>-80206.571499550948</v>
      </c>
      <c r="N235" s="43">
        <f>$N$6*'2.1. Toimintakatennuste'!AG226</f>
        <v>-83918.536372675298</v>
      </c>
      <c r="O235" s="43">
        <f>$O$6*'2.1. Toimintakatennuste'!AH226</f>
        <v>-86173.313264724915</v>
      </c>
      <c r="P235" s="43">
        <f>P$6*'2.1. Toimintakatennuste'!AI226</f>
        <v>-87760.357826299238</v>
      </c>
      <c r="Q235" s="43">
        <f>Q$6*'2.1. Toimintakatennuste'!AJ226</f>
        <v>-89538.537589039144</v>
      </c>
      <c r="R235" s="117"/>
      <c r="S235" s="34">
        <v>710</v>
      </c>
      <c r="T235" s="88" t="s">
        <v>549</v>
      </c>
      <c r="U235" s="41">
        <f>D235/'1. Väestöennuste'!E235*1000</f>
        <v>-5753.3180778032038</v>
      </c>
      <c r="V235" s="41">
        <f>E235/'1. Väestöennuste'!F235*1000</f>
        <v>-5698.2583609359972</v>
      </c>
      <c r="W235" s="41">
        <f>F235/'1. Väestöennuste'!G235*1000</f>
        <v>-5592.7614807367781</v>
      </c>
      <c r="X235" s="41">
        <f>G235/'1. Väestöennuste'!H235*1000</f>
        <v>-5931.6830965497238</v>
      </c>
      <c r="Y235" s="41">
        <f>H235/'1. Väestöennuste'!I235*1000</f>
        <v>-6132.7716443927948</v>
      </c>
      <c r="Z235" s="41">
        <f>I235/'1. Väestöennuste'!J235*1000</f>
        <v>-6212.9104911362974</v>
      </c>
      <c r="AA235" s="41">
        <f>J235/'1. Väestöennuste'!K235*1000</f>
        <v>-6301.9953398340858</v>
      </c>
      <c r="AB235" s="41">
        <f>K235/'1. Väestöennuste'!L235*1000</f>
        <v>-6891.3218834688341</v>
      </c>
      <c r="AC235" s="41">
        <f>L235/'1. Väestöennuste'!M235*1000</f>
        <v>-2831.46206512551</v>
      </c>
      <c r="AD235" s="41">
        <f>M235/'1. Väestöennuste'!N235*1000</f>
        <v>-2986.0972263421795</v>
      </c>
      <c r="AE235" s="41">
        <f>N235/'1. Väestöennuste'!O235*1000</f>
        <v>-3141.957256830106</v>
      </c>
      <c r="AF235" s="41">
        <f>O235/'1. Väestöennuste'!P235*1000</f>
        <v>-3243.9886035508548</v>
      </c>
      <c r="AG235" s="41">
        <f>P235/'1. Väestöennuste'!Q235*1000</f>
        <v>-3320.8596445415383</v>
      </c>
      <c r="AH235" s="41">
        <f>Q235/'1. Väestöennuste'!R235*1000</f>
        <v>-3404.895523787472</v>
      </c>
    </row>
    <row r="236" spans="1:34" customFormat="1" x14ac:dyDescent="0.25">
      <c r="A236" s="99">
        <v>13</v>
      </c>
      <c r="B236" s="30">
        <v>729</v>
      </c>
      <c r="C236" s="47" t="s">
        <v>550</v>
      </c>
      <c r="D236" s="65">
        <v>-56929</v>
      </c>
      <c r="E236" s="157">
        <v>-56677</v>
      </c>
      <c r="F236" s="157">
        <v>-56033</v>
      </c>
      <c r="G236" s="157">
        <v>-56479</v>
      </c>
      <c r="H236" s="43">
        <v>-59067</v>
      </c>
      <c r="I236" s="43">
        <v>-58865</v>
      </c>
      <c r="J236" s="159">
        <v>-61549.106030000003</v>
      </c>
      <c r="K236" s="43">
        <v>-65323.464180000003</v>
      </c>
      <c r="L236" s="43">
        <v>-23091.285899999999</v>
      </c>
      <c r="M236" s="43">
        <f>'2.1. Toimintakatennuste'!AX227</f>
        <v>-22577.234269733384</v>
      </c>
      <c r="N236" s="43">
        <f>$N$6*'2.1. Toimintakatennuste'!AG227</f>
        <v>-26181.19220467077</v>
      </c>
      <c r="O236" s="43">
        <f>$O$6*'2.1. Toimintakatennuste'!AH227</f>
        <v>-27000.095884645209</v>
      </c>
      <c r="P236" s="43">
        <f>P$6*'2.1. Toimintakatennuste'!AI227</f>
        <v>-27565.687954913159</v>
      </c>
      <c r="Q236" s="43">
        <f>Q$6*'2.1. Toimintakatennuste'!AJ227</f>
        <v>-28086.348507184623</v>
      </c>
      <c r="R236" s="117"/>
      <c r="S236" s="34">
        <v>729</v>
      </c>
      <c r="T236" s="88" t="s">
        <v>550</v>
      </c>
      <c r="U236" s="41">
        <f>D236/'1. Väestöennuste'!E236*1000</f>
        <v>-5741.7044881492693</v>
      </c>
      <c r="V236" s="41">
        <f>E236/'1. Väestöennuste'!F236*1000</f>
        <v>-5849.0196078431372</v>
      </c>
      <c r="W236" s="41">
        <f>F236/'1. Väestöennuste'!G236*1000</f>
        <v>-5843.4664719991652</v>
      </c>
      <c r="X236" s="41">
        <f>G236/'1. Väestöennuste'!H236*1000</f>
        <v>-5998.8316516197556</v>
      </c>
      <c r="Y236" s="41">
        <f>H236/'1. Väestöennuste'!I236*1000</f>
        <v>-6345.1498549790522</v>
      </c>
      <c r="Z236" s="41">
        <f>I236/'1. Väestöennuste'!J236*1000</f>
        <v>-6392.8105994787147</v>
      </c>
      <c r="AA236" s="41">
        <f>J236/'1. Väestöennuste'!K236*1000</f>
        <v>-6751.0262180541849</v>
      </c>
      <c r="AB236" s="41">
        <f>K236/'1. Väestöennuste'!L236*1000</f>
        <v>-7278.3804100278558</v>
      </c>
      <c r="AC236" s="41">
        <f>L236/'1. Väestöennuste'!M236*1000</f>
        <v>-2610.0696168192608</v>
      </c>
      <c r="AD236" s="41">
        <f>M236/'1. Väestöennuste'!N236*1000</f>
        <v>-2590.3205908367809</v>
      </c>
      <c r="AE236" s="41">
        <f>N236/'1. Väestöennuste'!O236*1000</f>
        <v>-3043.6168570879759</v>
      </c>
      <c r="AF236" s="41">
        <f>O236/'1. Väestöennuste'!P236*1000</f>
        <v>-3180.5979366998718</v>
      </c>
      <c r="AG236" s="41">
        <f>P236/'1. Väestöennuste'!Q236*1000</f>
        <v>-3288.6766827622473</v>
      </c>
      <c r="AH236" s="41">
        <f>Q236/'1. Väestöennuste'!R236*1000</f>
        <v>-3392.8906145427186</v>
      </c>
    </row>
    <row r="237" spans="1:34" customFormat="1" x14ac:dyDescent="0.25">
      <c r="A237" s="99">
        <v>19</v>
      </c>
      <c r="B237" s="30">
        <v>732</v>
      </c>
      <c r="C237" s="47" t="s">
        <v>551</v>
      </c>
      <c r="D237" s="65">
        <v>-29702</v>
      </c>
      <c r="E237" s="157">
        <v>-29862</v>
      </c>
      <c r="F237" s="157">
        <v>-30271</v>
      </c>
      <c r="G237" s="157">
        <v>-28379</v>
      </c>
      <c r="H237" s="43">
        <v>-29715</v>
      </c>
      <c r="I237" s="43">
        <v>-30504</v>
      </c>
      <c r="J237" s="159">
        <v>-30999.272840000001</v>
      </c>
      <c r="K237" s="43">
        <v>-30748.203590000001</v>
      </c>
      <c r="L237" s="43">
        <v>-10214.11861</v>
      </c>
      <c r="M237" s="43">
        <f>'2.1. Toimintakatennuste'!AX228</f>
        <v>-10894.389940179477</v>
      </c>
      <c r="N237" s="43">
        <f>$N$6*'2.1. Toimintakatennuste'!AG228</f>
        <v>-11722.320486258512</v>
      </c>
      <c r="O237" s="43">
        <f>$O$6*'2.1. Toimintakatennuste'!AH228</f>
        <v>-12099.469968707612</v>
      </c>
      <c r="P237" s="43">
        <f>P$6*'2.1. Toimintakatennuste'!AI228</f>
        <v>-12580.631727083337</v>
      </c>
      <c r="Q237" s="43">
        <f>Q$6*'2.1. Toimintakatennuste'!AJ228</f>
        <v>-12979.034333580597</v>
      </c>
      <c r="R237" s="117"/>
      <c r="S237" s="34">
        <v>732</v>
      </c>
      <c r="T237" s="88" t="s">
        <v>551</v>
      </c>
      <c r="U237" s="41">
        <f>D237/'1. Väestöennuste'!E237*1000</f>
        <v>-7969.412396028978</v>
      </c>
      <c r="V237" s="41">
        <f>E237/'1. Väestöennuste'!F237*1000</f>
        <v>-8174.650971803997</v>
      </c>
      <c r="W237" s="41">
        <f>F237/'1. Väestöennuste'!G237*1000</f>
        <v>-8467.4125874125875</v>
      </c>
      <c r="X237" s="41">
        <f>G237/'1. Väestöennuste'!H237*1000</f>
        <v>-8129.1893440274998</v>
      </c>
      <c r="Y237" s="41">
        <f>H237/'1. Väestöennuste'!I237*1000</f>
        <v>-8739.7058823529424</v>
      </c>
      <c r="Z237" s="41">
        <f>I237/'1. Väestöennuste'!J237*1000</f>
        <v>-8953.3313765776329</v>
      </c>
      <c r="AA237" s="41">
        <f>J237/'1. Väestöennuste'!K237*1000</f>
        <v>-9074.7285831381741</v>
      </c>
      <c r="AB237" s="41">
        <f>K237/'1. Väestöennuste'!L237*1000</f>
        <v>-9217.0874070743412</v>
      </c>
      <c r="AC237" s="41">
        <f>L237/'1. Väestöennuste'!M237*1000</f>
        <v>-3054.461306818182</v>
      </c>
      <c r="AD237" s="41">
        <f>M237/'1. Väestöennuste'!N237*1000</f>
        <v>-3432.3849843035528</v>
      </c>
      <c r="AE237" s="41">
        <f>N237/'1. Väestöennuste'!O237*1000</f>
        <v>-3748.7433598524181</v>
      </c>
      <c r="AF237" s="41">
        <f>O237/'1. Väestöennuste'!P237*1000</f>
        <v>-3927.1243001322987</v>
      </c>
      <c r="AG237" s="41">
        <f>P237/'1. Väestöennuste'!Q237*1000</f>
        <v>-4141.0901010807565</v>
      </c>
      <c r="AH237" s="41">
        <f>Q237/'1. Väestöennuste'!R237*1000</f>
        <v>-4330.6754533135127</v>
      </c>
    </row>
    <row r="238" spans="1:34" customFormat="1" x14ac:dyDescent="0.25">
      <c r="A238" s="99">
        <v>2</v>
      </c>
      <c r="B238" s="30">
        <v>734</v>
      </c>
      <c r="C238" s="47" t="s">
        <v>552</v>
      </c>
      <c r="D238" s="65">
        <v>-279900</v>
      </c>
      <c r="E238" s="157">
        <v>-281701</v>
      </c>
      <c r="F238" s="157">
        <v>-280769</v>
      </c>
      <c r="G238" s="157">
        <v>-285122</v>
      </c>
      <c r="H238" s="43">
        <v>-300913</v>
      </c>
      <c r="I238" s="43">
        <v>-296089</v>
      </c>
      <c r="J238" s="159">
        <v>-306342.16259000002</v>
      </c>
      <c r="K238" s="43">
        <v>-324702.29100999999</v>
      </c>
      <c r="L238" s="43">
        <v>-115089.59995</v>
      </c>
      <c r="M238" s="43">
        <f>'2.1. Toimintakatennuste'!AX229</f>
        <v>-119302.79460990625</v>
      </c>
      <c r="N238" s="43">
        <f>$N$6*'2.1. Toimintakatennuste'!AG229</f>
        <v>-127953.35251321452</v>
      </c>
      <c r="O238" s="43">
        <f>$O$6*'2.1. Toimintakatennuste'!AH229</f>
        <v>-130477.98738793413</v>
      </c>
      <c r="P238" s="43">
        <f>P$6*'2.1. Toimintakatennuste'!AI229</f>
        <v>-132166.03966803863</v>
      </c>
      <c r="Q238" s="43">
        <f>Q$6*'2.1. Toimintakatennuste'!AJ229</f>
        <v>-133663.99012644918</v>
      </c>
      <c r="R238" s="117"/>
      <c r="S238" s="34">
        <v>734</v>
      </c>
      <c r="T238" s="88" t="s">
        <v>552</v>
      </c>
      <c r="U238" s="41">
        <f>D238/'1. Väestöennuste'!E238*1000</f>
        <v>-5193.913527556133</v>
      </c>
      <c r="V238" s="41">
        <f>E238/'1. Väestöennuste'!F238*1000</f>
        <v>-5260.9158480558772</v>
      </c>
      <c r="W238" s="41">
        <f>F238/'1. Väestöennuste'!G238*1000</f>
        <v>-5299.128038653178</v>
      </c>
      <c r="X238" s="41">
        <f>G238/'1. Väestöennuste'!H238*1000</f>
        <v>-5449.4753540643342</v>
      </c>
      <c r="Y238" s="41">
        <f>H238/'1. Väestöennuste'!I238*1000</f>
        <v>-5805.4328323654809</v>
      </c>
      <c r="Z238" s="41">
        <f>I238/'1. Väestöennuste'!J238*1000</f>
        <v>-5742.3878049726545</v>
      </c>
      <c r="AA238" s="41">
        <f>J238/'1. Väestöennuste'!K238*1000</f>
        <v>-5959.9642527237356</v>
      </c>
      <c r="AB238" s="41">
        <f>K238/'1. Väestöennuste'!L238*1000</f>
        <v>-6375.086702334439</v>
      </c>
      <c r="AC238" s="41">
        <f>L238/'1. Väestöennuste'!M238*1000</f>
        <v>-2252.242660469667</v>
      </c>
      <c r="AD238" s="41">
        <f>M238/'1. Väestöennuste'!N238*1000</f>
        <v>-2393.6677556611276</v>
      </c>
      <c r="AE238" s="41">
        <f>N238/'1. Väestöennuste'!O238*1000</f>
        <v>-2587.8438741447803</v>
      </c>
      <c r="AF238" s="41">
        <f>O238/'1. Väestöennuste'!P238*1000</f>
        <v>-2659.8305450603225</v>
      </c>
      <c r="AG238" s="41">
        <f>P238/'1. Väestöennuste'!Q238*1000</f>
        <v>-2714.9409352321982</v>
      </c>
      <c r="AH238" s="41">
        <f>Q238/'1. Väestöennuste'!R238*1000</f>
        <v>-2766.2822104441143</v>
      </c>
    </row>
    <row r="239" spans="1:34" customFormat="1" x14ac:dyDescent="0.25">
      <c r="A239" s="99">
        <v>2</v>
      </c>
      <c r="B239" s="30">
        <v>738</v>
      </c>
      <c r="C239" s="47" t="s">
        <v>553</v>
      </c>
      <c r="D239" s="65">
        <v>-15599</v>
      </c>
      <c r="E239" s="157">
        <v>-15616</v>
      </c>
      <c r="F239" s="157">
        <v>-15593</v>
      </c>
      <c r="G239" s="157">
        <v>-15785</v>
      </c>
      <c r="H239" s="43">
        <v>-16383</v>
      </c>
      <c r="I239" s="43">
        <v>-15757</v>
      </c>
      <c r="J239" s="159">
        <v>-17043.589120000001</v>
      </c>
      <c r="K239" s="43">
        <v>-17168.895260000001</v>
      </c>
      <c r="L239" s="43">
        <v>-7505.6468600000007</v>
      </c>
      <c r="M239" s="43">
        <f>'2.1. Toimintakatennuste'!AX230</f>
        <v>-7607.6954557044282</v>
      </c>
      <c r="N239" s="43">
        <f>$N$6*'2.1. Toimintakatennuste'!AG230</f>
        <v>-8472.1691230466222</v>
      </c>
      <c r="O239" s="43">
        <f>$O$6*'2.1. Toimintakatennuste'!AH230</f>
        <v>-8886.8891098116201</v>
      </c>
      <c r="P239" s="43">
        <f>P$6*'2.1. Toimintakatennuste'!AI230</f>
        <v>-9160.9682968470788</v>
      </c>
      <c r="Q239" s="43">
        <f>Q$6*'2.1. Toimintakatennuste'!AJ230</f>
        <v>-9502.26203782212</v>
      </c>
      <c r="R239" s="117"/>
      <c r="S239" s="34">
        <v>738</v>
      </c>
      <c r="T239" s="88" t="s">
        <v>553</v>
      </c>
      <c r="U239" s="41">
        <f>D239/'1. Väestöennuste'!E239*1000</f>
        <v>-5166.9426962570387</v>
      </c>
      <c r="V239" s="41">
        <f>E239/'1. Väestöennuste'!F239*1000</f>
        <v>-5125.0410239579915</v>
      </c>
      <c r="W239" s="41">
        <f>F239/'1. Väestöennuste'!G239*1000</f>
        <v>-5185.5670103092789</v>
      </c>
      <c r="X239" s="41">
        <f>G239/'1. Väestöennuste'!H239*1000</f>
        <v>-5272.2110888443558</v>
      </c>
      <c r="Y239" s="41">
        <f>H239/'1. Väestöennuste'!I239*1000</f>
        <v>-5562.9881154499153</v>
      </c>
      <c r="Z239" s="41">
        <f>I239/'1. Väestöennuste'!J239*1000</f>
        <v>-5341.3559322033898</v>
      </c>
      <c r="AA239" s="41">
        <f>J239/'1. Väestöennuste'!K239*1000</f>
        <v>-5759.9152145995267</v>
      </c>
      <c r="AB239" s="41">
        <f>K239/'1. Väestöennuste'!L239*1000</f>
        <v>-5885.8057113472751</v>
      </c>
      <c r="AC239" s="41">
        <f>L239/'1. Väestöennuste'!M239*1000</f>
        <v>-2523.7548285137864</v>
      </c>
      <c r="AD239" s="41">
        <f>M239/'1. Väestöennuste'!N239*1000</f>
        <v>-2623.3432605877338</v>
      </c>
      <c r="AE239" s="41">
        <f>N239/'1. Väestöennuste'!O239*1000</f>
        <v>-2927.4945138378098</v>
      </c>
      <c r="AF239" s="41">
        <f>O239/'1. Väestöennuste'!P239*1000</f>
        <v>-3075.0481348829135</v>
      </c>
      <c r="AG239" s="41">
        <f>P239/'1. Väestöennuste'!Q239*1000</f>
        <v>-3179.7876767952375</v>
      </c>
      <c r="AH239" s="41">
        <f>Q239/'1. Väestöennuste'!R239*1000</f>
        <v>-3303.9854095348123</v>
      </c>
    </row>
    <row r="240" spans="1:34" customFormat="1" x14ac:dyDescent="0.25">
      <c r="A240" s="99">
        <v>9</v>
      </c>
      <c r="B240" s="30">
        <v>739</v>
      </c>
      <c r="C240" s="47" t="s">
        <v>554</v>
      </c>
      <c r="D240" s="65">
        <v>-22736</v>
      </c>
      <c r="E240" s="157">
        <v>-23774</v>
      </c>
      <c r="F240" s="157">
        <v>-22515</v>
      </c>
      <c r="G240" s="157">
        <v>-22578</v>
      </c>
      <c r="H240" s="43">
        <v>-20163</v>
      </c>
      <c r="I240" s="43">
        <v>-23919</v>
      </c>
      <c r="J240" s="159">
        <v>-24349.216789999999</v>
      </c>
      <c r="K240" s="43">
        <v>-25381.555329999999</v>
      </c>
      <c r="L240" s="43">
        <v>-9854.46702</v>
      </c>
      <c r="M240" s="43">
        <f>'2.1. Toimintakatennuste'!AX231</f>
        <v>-10570.337196831422</v>
      </c>
      <c r="N240" s="43">
        <f>$N$6*'2.1. Toimintakatennuste'!AG231</f>
        <v>-11171.067210657615</v>
      </c>
      <c r="O240" s="43">
        <f>$O$6*'2.1. Toimintakatennuste'!AH231</f>
        <v>-11656.345859377483</v>
      </c>
      <c r="P240" s="43">
        <f>P$6*'2.1. Toimintakatennuste'!AI231</f>
        <v>-11897.855325870532</v>
      </c>
      <c r="Q240" s="43">
        <f>Q$6*'2.1. Toimintakatennuste'!AJ231</f>
        <v>-12206.735714060289</v>
      </c>
      <c r="R240" s="117"/>
      <c r="S240" s="34">
        <v>739</v>
      </c>
      <c r="T240" s="88" t="s">
        <v>554</v>
      </c>
      <c r="U240" s="41">
        <f>D240/'1. Väestöennuste'!E240*1000</f>
        <v>-6292.8314420149463</v>
      </c>
      <c r="V240" s="41">
        <f>E240/'1. Väestöennuste'!F240*1000</f>
        <v>-6727.2212790039612</v>
      </c>
      <c r="W240" s="41">
        <f>F240/'1. Väestöennuste'!G240*1000</f>
        <v>-6469.8275862068967</v>
      </c>
      <c r="X240" s="41">
        <f>G240/'1. Väestöennuste'!H240*1000</f>
        <v>-6584.4269466316709</v>
      </c>
      <c r="Y240" s="41">
        <f>H240/'1. Väestöennuste'!I240*1000</f>
        <v>-5960.0945906000597</v>
      </c>
      <c r="Z240" s="41">
        <f>I240/'1. Väestöennuste'!J240*1000</f>
        <v>-7191.521346963319</v>
      </c>
      <c r="AA240" s="41">
        <f>J240/'1. Väestöennuste'!K240*1000</f>
        <v>-7466.794477154247</v>
      </c>
      <c r="AB240" s="41">
        <f>K240/'1. Väestöennuste'!L240*1000</f>
        <v>-7795.3179760442254</v>
      </c>
      <c r="AC240" s="41">
        <f>L240/'1. Väestöennuste'!M240*1000</f>
        <v>-3064.1999440298505</v>
      </c>
      <c r="AD240" s="41">
        <f>M240/'1. Väestöennuste'!N240*1000</f>
        <v>-3398.8222497850234</v>
      </c>
      <c r="AE240" s="41">
        <f>N240/'1. Väestöennuste'!O240*1000</f>
        <v>-3647.0999708317386</v>
      </c>
      <c r="AF240" s="41">
        <f>O240/'1. Väestöennuste'!P240*1000</f>
        <v>-3862.2749699726583</v>
      </c>
      <c r="AG240" s="41">
        <f>P240/'1. Väestöennuste'!Q240*1000</f>
        <v>-3999.2791011329523</v>
      </c>
      <c r="AH240" s="41">
        <f>Q240/'1. Väestöennuste'!R240*1000</f>
        <v>-4161.8601138971326</v>
      </c>
    </row>
    <row r="241" spans="1:34" customFormat="1" x14ac:dyDescent="0.25">
      <c r="A241" s="99">
        <v>10</v>
      </c>
      <c r="B241" s="30">
        <v>740</v>
      </c>
      <c r="C241" s="47" t="s">
        <v>555</v>
      </c>
      <c r="D241" s="65">
        <v>-201837</v>
      </c>
      <c r="E241" s="157">
        <v>-202213</v>
      </c>
      <c r="F241" s="157">
        <v>-206134</v>
      </c>
      <c r="G241" s="157">
        <v>-209837</v>
      </c>
      <c r="H241" s="43">
        <v>-210620</v>
      </c>
      <c r="I241" s="43">
        <v>-207955</v>
      </c>
      <c r="J241" s="159">
        <v>-219393.86501999997</v>
      </c>
      <c r="K241" s="43">
        <v>-230103.54019</v>
      </c>
      <c r="L241" s="43">
        <v>-71186.021519999995</v>
      </c>
      <c r="M241" s="43">
        <f>'2.1. Toimintakatennuste'!AX232</f>
        <v>-76001.877214111533</v>
      </c>
      <c r="N241" s="43">
        <f>$N$6*'2.1. Toimintakatennuste'!AG232</f>
        <v>-80495.937899808618</v>
      </c>
      <c r="O241" s="43">
        <f>$O$6*'2.1. Toimintakatennuste'!AH232</f>
        <v>-81764.484823619146</v>
      </c>
      <c r="P241" s="43">
        <f>P$6*'2.1. Toimintakatennuste'!AI232</f>
        <v>-83116.05281769541</v>
      </c>
      <c r="Q241" s="43">
        <f>Q$6*'2.1. Toimintakatennuste'!AJ232</f>
        <v>-83915.971098412701</v>
      </c>
      <c r="R241" s="117"/>
      <c r="S241" s="34">
        <v>740</v>
      </c>
      <c r="T241" s="88" t="s">
        <v>555</v>
      </c>
      <c r="U241" s="41">
        <f>D241/'1. Väestöennuste'!E241*1000</f>
        <v>-5681.8680854657541</v>
      </c>
      <c r="V241" s="41">
        <f>E241/'1. Väestöennuste'!F241*1000</f>
        <v>-5737.8412121900001</v>
      </c>
      <c r="W241" s="41">
        <f>F241/'1. Väestöennuste'!G241*1000</f>
        <v>-5946.6305100392337</v>
      </c>
      <c r="X241" s="41">
        <f>G241/'1. Väestöennuste'!H241*1000</f>
        <v>-6243.1049358840855</v>
      </c>
      <c r="Y241" s="41">
        <f>H241/'1. Väestöennuste'!I241*1000</f>
        <v>-6387.4567841329535</v>
      </c>
      <c r="Z241" s="41">
        <f>I241/'1. Väestöennuste'!J241*1000</f>
        <v>-6366.8789418896577</v>
      </c>
      <c r="AA241" s="41">
        <f>J241/'1. Väestöennuste'!K241*1000</f>
        <v>-6740.8321817679043</v>
      </c>
      <c r="AB241" s="41">
        <f>K241/'1. Väestöennuste'!L241*1000</f>
        <v>-7171.6858404238737</v>
      </c>
      <c r="AC241" s="41">
        <f>L241/'1. Väestöennuste'!M241*1000</f>
        <v>-2235.5312476839495</v>
      </c>
      <c r="AD241" s="41">
        <f>M241/'1. Väestöennuste'!N241*1000</f>
        <v>-2479.3461608309367</v>
      </c>
      <c r="AE241" s="41">
        <f>N241/'1. Väestöennuste'!O241*1000</f>
        <v>-2664.8107359158016</v>
      </c>
      <c r="AF241" s="41">
        <f>O241/'1. Väestöennuste'!P241*1000</f>
        <v>-2746.0784155707524</v>
      </c>
      <c r="AG241" s="41">
        <f>P241/'1. Väestöennuste'!Q241*1000</f>
        <v>-2831.1210851452893</v>
      </c>
      <c r="AH241" s="41">
        <f>Q241/'1. Väestöennuste'!R241*1000</f>
        <v>-2898.1513071460095</v>
      </c>
    </row>
    <row r="242" spans="1:34" customFormat="1" x14ac:dyDescent="0.25">
      <c r="A242" s="99">
        <v>19</v>
      </c>
      <c r="B242" s="30">
        <v>742</v>
      </c>
      <c r="C242" s="47" t="s">
        <v>556</v>
      </c>
      <c r="D242" s="65">
        <v>-7894</v>
      </c>
      <c r="E242" s="157">
        <v>-7725</v>
      </c>
      <c r="F242" s="157">
        <v>-8011</v>
      </c>
      <c r="G242" s="157">
        <v>-8489</v>
      </c>
      <c r="H242" s="43">
        <v>-8855</v>
      </c>
      <c r="I242" s="43">
        <v>-8896</v>
      </c>
      <c r="J242" s="159">
        <v>-9034.6153599999998</v>
      </c>
      <c r="K242" s="43">
        <v>-9277.2569999999996</v>
      </c>
      <c r="L242" s="43">
        <v>-4073.49773</v>
      </c>
      <c r="M242" s="43">
        <f>'2.1. Toimintakatennuste'!AX233</f>
        <v>-4333.0758745700414</v>
      </c>
      <c r="N242" s="43">
        <f>$N$6*'2.1. Toimintakatennuste'!AG233</f>
        <v>-4688.3528703548454</v>
      </c>
      <c r="O242" s="43">
        <f>$O$6*'2.1. Toimintakatennuste'!AH233</f>
        <v>-4880.6572167983786</v>
      </c>
      <c r="P242" s="43">
        <f>P$6*'2.1. Toimintakatennuste'!AI233</f>
        <v>-5071.4653162295581</v>
      </c>
      <c r="Q242" s="43">
        <f>Q$6*'2.1. Toimintakatennuste'!AJ233</f>
        <v>-5250.6017322367143</v>
      </c>
      <c r="R242" s="117"/>
      <c r="S242" s="34">
        <v>742</v>
      </c>
      <c r="T242" s="88" t="s">
        <v>556</v>
      </c>
      <c r="U242" s="41">
        <f>D242/'1. Väestöennuste'!E242*1000</f>
        <v>-7440.1508011310088</v>
      </c>
      <c r="V242" s="41">
        <f>E242/'1. Väestöennuste'!F242*1000</f>
        <v>-7399.4252873563219</v>
      </c>
      <c r="W242" s="41">
        <f>F242/'1. Väestöennuste'!G242*1000</f>
        <v>-7916.00790513834</v>
      </c>
      <c r="X242" s="41">
        <f>G242/'1. Väestöennuste'!H242*1000</f>
        <v>-8363.5467980295562</v>
      </c>
      <c r="Y242" s="41">
        <f>H242/'1. Väestöennuste'!I242*1000</f>
        <v>-8810.9452736318417</v>
      </c>
      <c r="Z242" s="41">
        <f>I242/'1. Väestöennuste'!J242*1000</f>
        <v>-8816.6501486620418</v>
      </c>
      <c r="AA242" s="41">
        <f>J242/'1. Väestöennuste'!K242*1000</f>
        <v>-8954.0290981169474</v>
      </c>
      <c r="AB242" s="41">
        <f>K242/'1. Väestöennuste'!L242*1000</f>
        <v>-9389.9362348178129</v>
      </c>
      <c r="AC242" s="41">
        <f>L242/'1. Väestöennuste'!M242*1000</f>
        <v>-4165.130603271984</v>
      </c>
      <c r="AD242" s="41">
        <f>M242/'1. Väestöennuste'!N242*1000</f>
        <v>-4435.0827784749654</v>
      </c>
      <c r="AE242" s="41">
        <f>N242/'1. Väestöennuste'!O242*1000</f>
        <v>-4823.4083028342029</v>
      </c>
      <c r="AF242" s="41">
        <f>O242/'1. Väestöennuste'!P242*1000</f>
        <v>-5047.2153224388612</v>
      </c>
      <c r="AG242" s="41">
        <f>P242/'1. Väestöennuste'!Q242*1000</f>
        <v>-5260.8561371675914</v>
      </c>
      <c r="AH242" s="41">
        <f>Q242/'1. Väestöennuste'!R242*1000</f>
        <v>-5469.3768044132439</v>
      </c>
    </row>
    <row r="243" spans="1:34" customFormat="1" x14ac:dyDescent="0.25">
      <c r="A243" s="99">
        <v>14</v>
      </c>
      <c r="B243" s="30">
        <v>743</v>
      </c>
      <c r="C243" s="47" t="s">
        <v>557</v>
      </c>
      <c r="D243" s="65">
        <v>-319402</v>
      </c>
      <c r="E243" s="157">
        <v>-316394</v>
      </c>
      <c r="F243" s="157">
        <v>-319669</v>
      </c>
      <c r="G243" s="157">
        <v>-336028</v>
      </c>
      <c r="H243" s="43">
        <v>-363553</v>
      </c>
      <c r="I243" s="43">
        <v>-364378</v>
      </c>
      <c r="J243" s="159">
        <v>-389768.7807</v>
      </c>
      <c r="K243" s="43">
        <v>-396457.72992000001</v>
      </c>
      <c r="L243" s="43">
        <v>-192158.3407</v>
      </c>
      <c r="M243" s="43">
        <f>'2.1. Toimintakatennuste'!AX234</f>
        <v>-176906.90162113044</v>
      </c>
      <c r="N243" s="43">
        <f>$N$6*'2.1. Toimintakatennuste'!AG234</f>
        <v>-221458.91674092834</v>
      </c>
      <c r="O243" s="43">
        <f>$O$6*'2.1. Toimintakatennuste'!AH234</f>
        <v>-230371.19129608964</v>
      </c>
      <c r="P243" s="43">
        <f>P$6*'2.1. Toimintakatennuste'!AI234</f>
        <v>-240284.10950164747</v>
      </c>
      <c r="Q243" s="43">
        <f>Q$6*'2.1. Toimintakatennuste'!AJ234</f>
        <v>-248121.61579428075</v>
      </c>
      <c r="R243" s="117"/>
      <c r="S243" s="34">
        <v>743</v>
      </c>
      <c r="T243" s="88" t="s">
        <v>557</v>
      </c>
      <c r="U243" s="41">
        <f>D243/'1. Väestöennuste'!E243*1000</f>
        <v>-5190.9962619860235</v>
      </c>
      <c r="V243" s="41">
        <f>E243/'1. Väestöennuste'!F243*1000</f>
        <v>-5098.8525752594596</v>
      </c>
      <c r="W243" s="41">
        <f>F243/'1. Väestöennuste'!G243*1000</f>
        <v>-5100.3414385091583</v>
      </c>
      <c r="X243" s="41">
        <f>G243/'1. Väestöennuste'!H243*1000</f>
        <v>-5309.5057514852733</v>
      </c>
      <c r="Y243" s="41">
        <f>H243/'1. Väestöennuste'!I243*1000</f>
        <v>-5700.020382245496</v>
      </c>
      <c r="Z243" s="41">
        <f>I243/'1. Väestöennuste'!J243*1000</f>
        <v>-5681.8649617963511</v>
      </c>
      <c r="AA243" s="41">
        <f>J243/'1. Väestöennuste'!K243*1000</f>
        <v>-6020.8968842684135</v>
      </c>
      <c r="AB243" s="41">
        <f>K243/'1. Väestöennuste'!L243*1000</f>
        <v>-6069.1904829845535</v>
      </c>
      <c r="AC243" s="41">
        <f>L243/'1. Väestöennuste'!M243*1000</f>
        <v>-2904.4489223095525</v>
      </c>
      <c r="AD243" s="41">
        <f>M243/'1. Väestöennuste'!N243*1000</f>
        <v>-2676.7574764885826</v>
      </c>
      <c r="AE243" s="41">
        <f>N243/'1. Väestöennuste'!O243*1000</f>
        <v>-3330.9606188001558</v>
      </c>
      <c r="AF243" s="41">
        <f>O243/'1. Väestöennuste'!P243*1000</f>
        <v>-3445.8333901142719</v>
      </c>
      <c r="AG243" s="41">
        <f>P243/'1. Väestöennuste'!Q243*1000</f>
        <v>-3575.5499762157001</v>
      </c>
      <c r="AH243" s="41">
        <f>Q243/'1. Väestöennuste'!R243*1000</f>
        <v>-3675.0046773250897</v>
      </c>
    </row>
    <row r="244" spans="1:34" customFormat="1" x14ac:dyDescent="0.25">
      <c r="A244" s="99">
        <v>17</v>
      </c>
      <c r="B244" s="30">
        <v>746</v>
      </c>
      <c r="C244" s="47" t="s">
        <v>558</v>
      </c>
      <c r="D244" s="65">
        <v>-32229</v>
      </c>
      <c r="E244" s="157">
        <v>-32657</v>
      </c>
      <c r="F244" s="157">
        <v>-31227</v>
      </c>
      <c r="G244" s="157">
        <v>-32011</v>
      </c>
      <c r="H244" s="43">
        <v>-33289</v>
      </c>
      <c r="I244" s="43">
        <v>-32858</v>
      </c>
      <c r="J244" s="159">
        <v>-34805.433920000003</v>
      </c>
      <c r="K244" s="43">
        <v>-35773.931210000002</v>
      </c>
      <c r="L244" s="43">
        <v>-16183.461220000001</v>
      </c>
      <c r="M244" s="43">
        <f>'2.1. Toimintakatennuste'!AX235</f>
        <v>-17222.389985612073</v>
      </c>
      <c r="N244" s="43">
        <f>$N$6*'2.1. Toimintakatennuste'!AG235</f>
        <v>-17506.662472599754</v>
      </c>
      <c r="O244" s="43">
        <f>$O$6*'2.1. Toimintakatennuste'!AH235</f>
        <v>-18134.235233341398</v>
      </c>
      <c r="P244" s="43">
        <f>P$6*'2.1. Toimintakatennuste'!AI235</f>
        <v>-18677.694155522917</v>
      </c>
      <c r="Q244" s="43">
        <f>Q$6*'2.1. Toimintakatennuste'!AJ235</f>
        <v>-19256.930449359945</v>
      </c>
      <c r="R244" s="117"/>
      <c r="S244" s="34">
        <v>746</v>
      </c>
      <c r="T244" s="88" t="s">
        <v>558</v>
      </c>
      <c r="U244" s="41">
        <f>D244/'1. Väestöennuste'!E244*1000</f>
        <v>-6289.8126463700237</v>
      </c>
      <c r="V244" s="41">
        <f>E244/'1. Väestöennuste'!F244*1000</f>
        <v>-6442.4935884789902</v>
      </c>
      <c r="W244" s="41">
        <f>F244/'1. Väestöennuste'!G244*1000</f>
        <v>-6201.9860973187688</v>
      </c>
      <c r="X244" s="41">
        <f>G244/'1. Väestöennuste'!H244*1000</f>
        <v>-6427.9116465863453</v>
      </c>
      <c r="Y244" s="41">
        <f>H244/'1. Väestöennuste'!I244*1000</f>
        <v>-6779.8370672097763</v>
      </c>
      <c r="Z244" s="41">
        <f>I244/'1. Väestöennuste'!J244*1000</f>
        <v>-6797.2693421597023</v>
      </c>
      <c r="AA244" s="41">
        <f>J244/'1. Väestöennuste'!K244*1000</f>
        <v>-7279.9485295963195</v>
      </c>
      <c r="AB244" s="41">
        <f>K244/'1. Väestöennuste'!L244*1000</f>
        <v>-7555.2125047518484</v>
      </c>
      <c r="AC244" s="41">
        <f>L244/'1. Väestöennuste'!M244*1000</f>
        <v>-3433.7918990027588</v>
      </c>
      <c r="AD244" s="41">
        <f>M244/'1. Väestöennuste'!N244*1000</f>
        <v>-3767.7510360122669</v>
      </c>
      <c r="AE244" s="41">
        <f>N244/'1. Väestöennuste'!O244*1000</f>
        <v>-3888.6411533984347</v>
      </c>
      <c r="AF244" s="41">
        <f>O244/'1. Väestöennuste'!P244*1000</f>
        <v>-4092.58299104974</v>
      </c>
      <c r="AG244" s="41">
        <f>P244/'1. Väestöennuste'!Q244*1000</f>
        <v>-4279.9482482866442</v>
      </c>
      <c r="AH244" s="41">
        <f>Q244/'1. Väestöennuste'!R244*1000</f>
        <v>-4479.3976388369265</v>
      </c>
    </row>
    <row r="245" spans="1:34" customFormat="1" x14ac:dyDescent="0.25">
      <c r="A245" s="99">
        <v>4</v>
      </c>
      <c r="B245" s="30">
        <v>747</v>
      </c>
      <c r="C245" s="47" t="s">
        <v>559</v>
      </c>
      <c r="D245" s="65">
        <v>-9758</v>
      </c>
      <c r="E245" s="157">
        <v>-9247</v>
      </c>
      <c r="F245" s="157">
        <v>-8778</v>
      </c>
      <c r="G245" s="157">
        <v>-8604</v>
      </c>
      <c r="H245" s="43">
        <v>-8233</v>
      </c>
      <c r="I245" s="43">
        <v>-8863</v>
      </c>
      <c r="J245" s="159">
        <v>-9284.7008499999993</v>
      </c>
      <c r="K245" s="43">
        <v>-10307.6857</v>
      </c>
      <c r="L245" s="43">
        <v>-3501.7105999999999</v>
      </c>
      <c r="M245" s="43">
        <f>'2.1. Toimintakatennuste'!AX236</f>
        <v>-4564.4007887070138</v>
      </c>
      <c r="N245" s="43">
        <f>$N$6*'2.1. Toimintakatennuste'!AG236</f>
        <v>-4124.0690283843333</v>
      </c>
      <c r="O245" s="43">
        <f>$O$6*'2.1. Toimintakatennuste'!AH236</f>
        <v>-4241.1646361184639</v>
      </c>
      <c r="P245" s="43">
        <f>P$6*'2.1. Toimintakatennuste'!AI236</f>
        <v>-4400.2677543974214</v>
      </c>
      <c r="Q245" s="43">
        <f>Q$6*'2.1. Toimintakatennuste'!AJ236</f>
        <v>-4548.5872906626646</v>
      </c>
      <c r="R245" s="117"/>
      <c r="S245" s="34">
        <v>747</v>
      </c>
      <c r="T245" s="88" t="s">
        <v>559</v>
      </c>
      <c r="U245" s="41">
        <f>D245/'1. Väestöennuste'!E245*1000</f>
        <v>-6390.307793058284</v>
      </c>
      <c r="V245" s="41">
        <f>E245/'1. Väestöennuste'!F245*1000</f>
        <v>-6189.4243641231587</v>
      </c>
      <c r="W245" s="41">
        <f>F245/'1. Väestöennuste'!G245*1000</f>
        <v>-5947.1544715447153</v>
      </c>
      <c r="X245" s="41">
        <f>G245/'1. Väestöennuste'!H245*1000</f>
        <v>-5901.2345679012342</v>
      </c>
      <c r="Y245" s="41">
        <f>H245/'1. Väestöennuste'!I245*1000</f>
        <v>-5729.2971468336809</v>
      </c>
      <c r="Z245" s="41">
        <f>I245/'1. Väestöennuste'!J245*1000</f>
        <v>-6399.2779783393507</v>
      </c>
      <c r="AA245" s="41">
        <f>J245/'1. Väestöennuste'!K245*1000</f>
        <v>-6867.3822855029584</v>
      </c>
      <c r="AB245" s="41">
        <f>K245/'1. Väestöennuste'!L245*1000</f>
        <v>-7880.4936544342509</v>
      </c>
      <c r="AC245" s="41">
        <f>L245/'1. Väestöennuste'!M245*1000</f>
        <v>-2729.3145752143414</v>
      </c>
      <c r="AD245" s="41">
        <f>M245/'1. Väestöennuste'!N245*1000</f>
        <v>-3532.8179479156452</v>
      </c>
      <c r="AE245" s="41">
        <f>N245/'1. Väestöennuste'!O245*1000</f>
        <v>-3234.5639438308494</v>
      </c>
      <c r="AF245" s="41">
        <f>O245/'1. Väestöennuste'!P245*1000</f>
        <v>-3371.3550366601462</v>
      </c>
      <c r="AG245" s="41">
        <f>P245/'1. Väestöennuste'!Q245*1000</f>
        <v>-3540.0384186624469</v>
      </c>
      <c r="AH245" s="41">
        <f>Q245/'1. Väestöennuste'!R245*1000</f>
        <v>-3713.1324821736034</v>
      </c>
    </row>
    <row r="246" spans="1:34" customFormat="1" x14ac:dyDescent="0.25">
      <c r="A246" s="99">
        <v>17</v>
      </c>
      <c r="B246" s="30">
        <v>748</v>
      </c>
      <c r="C246" s="47" t="s">
        <v>560</v>
      </c>
      <c r="D246" s="65">
        <v>-32431</v>
      </c>
      <c r="E246" s="157">
        <v>-32767</v>
      </c>
      <c r="F246" s="157">
        <v>-32821</v>
      </c>
      <c r="G246" s="157">
        <v>-32768</v>
      </c>
      <c r="H246" s="43">
        <v>-32572</v>
      </c>
      <c r="I246" s="43">
        <v>-32844</v>
      </c>
      <c r="J246" s="159">
        <v>-34601.038739999996</v>
      </c>
      <c r="K246" s="43">
        <v>-35926.369909999994</v>
      </c>
      <c r="L246" s="43">
        <v>-17353.887609999998</v>
      </c>
      <c r="M246" s="43">
        <f>'2.1. Toimintakatennuste'!AX237</f>
        <v>-16721.435070511568</v>
      </c>
      <c r="N246" s="43">
        <f>$N$6*'2.1. Toimintakatennuste'!AG237</f>
        <v>-19096.252890798482</v>
      </c>
      <c r="O246" s="43">
        <f>$O$6*'2.1. Toimintakatennuste'!AH237</f>
        <v>-19858.308651917861</v>
      </c>
      <c r="P246" s="43">
        <f>P$6*'2.1. Toimintakatennuste'!AI237</f>
        <v>-20274.659092720223</v>
      </c>
      <c r="Q246" s="43">
        <f>Q$6*'2.1. Toimintakatennuste'!AJ237</f>
        <v>-21003.184425690892</v>
      </c>
      <c r="R246" s="117"/>
      <c r="S246" s="34">
        <v>748</v>
      </c>
      <c r="T246" s="88" t="s">
        <v>560</v>
      </c>
      <c r="U246" s="41">
        <f>D246/'1. Väestöennuste'!E246*1000</f>
        <v>-5933.2235638492502</v>
      </c>
      <c r="V246" s="41">
        <f>E246/'1. Väestöennuste'!F246*1000</f>
        <v>-6106.4107342527022</v>
      </c>
      <c r="W246" s="41">
        <f>F246/'1. Väestöennuste'!G246*1000</f>
        <v>-6142.8036683511136</v>
      </c>
      <c r="X246" s="41">
        <f>G246/'1. Väestöennuste'!H246*1000</f>
        <v>-6242.7128976947997</v>
      </c>
      <c r="Y246" s="41">
        <f>H246/'1. Väestöennuste'!I246*1000</f>
        <v>-6330.8066083576286</v>
      </c>
      <c r="Z246" s="41">
        <f>I246/'1. Väestöennuste'!J246*1000</f>
        <v>-6524.4338498212155</v>
      </c>
      <c r="AA246" s="41">
        <f>J246/'1. Väestöennuste'!K246*1000</f>
        <v>-6881.6703937947486</v>
      </c>
      <c r="AB246" s="41">
        <f>K246/'1. Väestöennuste'!L246*1000</f>
        <v>-7336.4039023892165</v>
      </c>
      <c r="AC246" s="41">
        <f>L246/'1. Väestöennuste'!M246*1000</f>
        <v>-3587.7377734132724</v>
      </c>
      <c r="AD246" s="41">
        <f>M246/'1. Väestöennuste'!N246*1000</f>
        <v>-3589.8314878728143</v>
      </c>
      <c r="AE246" s="41">
        <f>N246/'1. Väestöennuste'!O246*1000</f>
        <v>-4174.9569066022041</v>
      </c>
      <c r="AF246" s="41">
        <f>O246/'1. Väestöennuste'!P246*1000</f>
        <v>-4414.9196647216231</v>
      </c>
      <c r="AG246" s="41">
        <f>P246/'1. Väestöennuste'!Q246*1000</f>
        <v>-4581.8438627616324</v>
      </c>
      <c r="AH246" s="41">
        <f>Q246/'1. Väestöennuste'!R246*1000</f>
        <v>-4823.8825047521568</v>
      </c>
    </row>
    <row r="247" spans="1:34" customFormat="1" x14ac:dyDescent="0.25">
      <c r="A247" s="99">
        <v>11</v>
      </c>
      <c r="B247" s="30">
        <v>749</v>
      </c>
      <c r="C247" s="47" t="s">
        <v>561</v>
      </c>
      <c r="D247" s="65">
        <v>-105787</v>
      </c>
      <c r="E247" s="157">
        <v>-107196</v>
      </c>
      <c r="F247" s="157">
        <v>-109576</v>
      </c>
      <c r="G247" s="157">
        <v>-115129</v>
      </c>
      <c r="H247" s="43">
        <v>-121021</v>
      </c>
      <c r="I247" s="43">
        <v>-126823</v>
      </c>
      <c r="J247" s="159">
        <v>-131906.74289999998</v>
      </c>
      <c r="K247" s="43">
        <v>-140700.86433000001</v>
      </c>
      <c r="L247" s="43">
        <v>-62488.658280000003</v>
      </c>
      <c r="M247" s="43">
        <f>'2.1. Toimintakatennuste'!AX238</f>
        <v>-62366.375134231806</v>
      </c>
      <c r="N247" s="43">
        <f>$N$6*'2.1. Toimintakatennuste'!AG238</f>
        <v>-67628.910851203211</v>
      </c>
      <c r="O247" s="43">
        <f>$O$6*'2.1. Toimintakatennuste'!AH238</f>
        <v>-69382.890578859166</v>
      </c>
      <c r="P247" s="43">
        <f>P$6*'2.1. Toimintakatennuste'!AI238</f>
        <v>-71313.765885542292</v>
      </c>
      <c r="Q247" s="43">
        <f>Q$6*'2.1. Toimintakatennuste'!AJ238</f>
        <v>-72489.461646692056</v>
      </c>
      <c r="R247" s="117"/>
      <c r="S247" s="34">
        <v>749</v>
      </c>
      <c r="T247" s="88" t="s">
        <v>561</v>
      </c>
      <c r="U247" s="41">
        <f>D247/'1. Väestöennuste'!E247*1000</f>
        <v>-4853.9506286133801</v>
      </c>
      <c r="V247" s="41">
        <f>E247/'1. Väestöennuste'!F247*1000</f>
        <v>-4924.4762954796024</v>
      </c>
      <c r="W247" s="41">
        <f>F247/'1. Väestöennuste'!G247*1000</f>
        <v>-5059.6112111557468</v>
      </c>
      <c r="X247" s="41">
        <f>G247/'1. Väestöennuste'!H247*1000</f>
        <v>-5311.8482974993085</v>
      </c>
      <c r="Y247" s="41">
        <f>H247/'1. Väestöennuste'!I247*1000</f>
        <v>-5649.1154366802029</v>
      </c>
      <c r="Z247" s="41">
        <f>I247/'1. Väestöennuste'!J247*1000</f>
        <v>-5967.8603359841891</v>
      </c>
      <c r="AA247" s="41">
        <f>J247/'1. Väestöennuste'!K247*1000</f>
        <v>-6194.8406941248286</v>
      </c>
      <c r="AB247" s="41">
        <f>K247/'1. Väestöennuste'!L247*1000</f>
        <v>-6626.8304601544842</v>
      </c>
      <c r="AC247" s="41">
        <f>L247/'1. Väestöennuste'!M247*1000</f>
        <v>-2935.1178149365901</v>
      </c>
      <c r="AD247" s="41">
        <f>M247/'1. Väestöennuste'!N247*1000</f>
        <v>-2992.0540747568512</v>
      </c>
      <c r="AE247" s="41">
        <f>N247/'1. Väestöennuste'!O247*1000</f>
        <v>-3260.638872339965</v>
      </c>
      <c r="AF247" s="41">
        <f>O247/'1. Väestöennuste'!P247*1000</f>
        <v>-3363.6927608890855</v>
      </c>
      <c r="AG247" s="41">
        <f>P247/'1. Väestöennuste'!Q247*1000</f>
        <v>-3477.3632672879994</v>
      </c>
      <c r="AH247" s="41">
        <f>Q247/'1. Väestöennuste'!R247*1000</f>
        <v>-3555.6708513607718</v>
      </c>
    </row>
    <row r="248" spans="1:34" customFormat="1" x14ac:dyDescent="0.25">
      <c r="A248" s="99">
        <v>19</v>
      </c>
      <c r="B248" s="30">
        <v>751</v>
      </c>
      <c r="C248" s="47" t="s">
        <v>562</v>
      </c>
      <c r="D248" s="65">
        <v>-19957</v>
      </c>
      <c r="E248" s="157">
        <v>-19390</v>
      </c>
      <c r="F248" s="157">
        <v>-18765</v>
      </c>
      <c r="G248" s="157">
        <v>-19959</v>
      </c>
      <c r="H248" s="43">
        <v>-21159</v>
      </c>
      <c r="I248" s="43">
        <v>-19765</v>
      </c>
      <c r="J248" s="159">
        <v>-20501.996150000003</v>
      </c>
      <c r="K248" s="43">
        <v>-21040.912940000002</v>
      </c>
      <c r="L248" s="43">
        <v>-8286.0662400000001</v>
      </c>
      <c r="M248" s="43">
        <f>'2.1. Toimintakatennuste'!AX239</f>
        <v>-9444.5360322096112</v>
      </c>
      <c r="N248" s="43">
        <f>$N$6*'2.1. Toimintakatennuste'!AG239</f>
        <v>-9256.1436290786532</v>
      </c>
      <c r="O248" s="43">
        <f>$O$6*'2.1. Toimintakatennuste'!AH239</f>
        <v>-9659.4187938542982</v>
      </c>
      <c r="P248" s="43">
        <f>P$6*'2.1. Toimintakatennuste'!AI239</f>
        <v>-10003.696124993012</v>
      </c>
      <c r="Q248" s="43">
        <f>Q$6*'2.1. Toimintakatennuste'!AJ239</f>
        <v>-10272.298316616199</v>
      </c>
      <c r="R248" s="117"/>
      <c r="S248" s="34">
        <v>751</v>
      </c>
      <c r="T248" s="88" t="s">
        <v>562</v>
      </c>
      <c r="U248" s="41">
        <f>D248/'1. Väestöennuste'!E248*1000</f>
        <v>-6163.372452130945</v>
      </c>
      <c r="V248" s="41">
        <f>E248/'1. Väestöennuste'!F248*1000</f>
        <v>-6116.719242902208</v>
      </c>
      <c r="W248" s="41">
        <f>F248/'1. Väestöennuste'!G248*1000</f>
        <v>-6033.7620578778142</v>
      </c>
      <c r="X248" s="41">
        <f>G248/'1. Väestöennuste'!H248*1000</f>
        <v>-6554.6798029556649</v>
      </c>
      <c r="Y248" s="41">
        <f>H248/'1. Väestöennuste'!I248*1000</f>
        <v>-7081.325301204819</v>
      </c>
      <c r="Z248" s="41">
        <f>I248/'1. Väestöennuste'!J248*1000</f>
        <v>-6700</v>
      </c>
      <c r="AA248" s="41">
        <f>J248/'1. Väestöennuste'!K248*1000</f>
        <v>-7059.9160296143264</v>
      </c>
      <c r="AB248" s="41">
        <f>K248/'1. Väestöennuste'!L248*1000</f>
        <v>-7313.4907681612804</v>
      </c>
      <c r="AC248" s="41">
        <f>L248/'1. Väestöennuste'!M248*1000</f>
        <v>-2930.0092786421501</v>
      </c>
      <c r="AD248" s="41">
        <f>M248/'1. Väestöennuste'!N248*1000</f>
        <v>-3415.7454004374722</v>
      </c>
      <c r="AE248" s="41">
        <f>N248/'1. Väestöennuste'!O248*1000</f>
        <v>-3402.9939812789166</v>
      </c>
      <c r="AF248" s="41">
        <f>O248/'1. Väestöennuste'!P248*1000</f>
        <v>-3606.9524995721804</v>
      </c>
      <c r="AG248" s="41">
        <f>P248/'1. Väestöennuste'!Q248*1000</f>
        <v>-3787.8440458133327</v>
      </c>
      <c r="AH248" s="41">
        <f>Q248/'1. Väestöennuste'!R248*1000</f>
        <v>-3950.8839679293073</v>
      </c>
    </row>
    <row r="249" spans="1:34" customFormat="1" x14ac:dyDescent="0.25">
      <c r="A249" s="99">
        <v>1</v>
      </c>
      <c r="B249" s="30">
        <v>753</v>
      </c>
      <c r="C249" s="47" t="s">
        <v>563</v>
      </c>
      <c r="D249" s="65">
        <v>-86107</v>
      </c>
      <c r="E249" s="157">
        <v>-95170</v>
      </c>
      <c r="F249" s="157">
        <v>-100843</v>
      </c>
      <c r="G249" s="157">
        <v>-104674</v>
      </c>
      <c r="H249" s="43">
        <v>-112711</v>
      </c>
      <c r="I249" s="43">
        <v>-114306</v>
      </c>
      <c r="J249" s="159">
        <v>-114249.00793000001</v>
      </c>
      <c r="K249" s="43">
        <v>-117834.29954000001</v>
      </c>
      <c r="L249" s="43">
        <v>-64731.178209999998</v>
      </c>
      <c r="M249" s="43">
        <f>'2.1. Toimintakatennuste'!AX240</f>
        <v>-69578.85096674478</v>
      </c>
      <c r="N249" s="43">
        <f>$N$6*'2.1. Toimintakatennuste'!AG240</f>
        <v>-73629.663795698303</v>
      </c>
      <c r="O249" s="43">
        <f>$O$6*'2.1. Toimintakatennuste'!AH240</f>
        <v>-77559.721959842296</v>
      </c>
      <c r="P249" s="43">
        <f>P$6*'2.1. Toimintakatennuste'!AI240</f>
        <v>-81286.433362611671</v>
      </c>
      <c r="Q249" s="43">
        <f>Q$6*'2.1. Toimintakatennuste'!AJ240</f>
        <v>-84661.595669601331</v>
      </c>
      <c r="R249" s="117"/>
      <c r="S249" s="34">
        <v>753</v>
      </c>
      <c r="T249" s="88" t="s">
        <v>563</v>
      </c>
      <c r="U249" s="41">
        <f>D249/'1. Väestöennuste'!E249*1000</f>
        <v>-4438.7339553585243</v>
      </c>
      <c r="V249" s="41">
        <f>E249/'1. Väestöennuste'!F249*1000</f>
        <v>-4777.1308101596223</v>
      </c>
      <c r="W249" s="41">
        <f>F249/'1. Väestöennuste'!G249*1000</f>
        <v>-4965.18956179222</v>
      </c>
      <c r="X249" s="41">
        <f>G249/'1. Väestöennuste'!H249*1000</f>
        <v>-5065.0343559469657</v>
      </c>
      <c r="Y249" s="41">
        <f>H249/'1. Väestöennuste'!I249*1000</f>
        <v>-5324.0906943788377</v>
      </c>
      <c r="Z249" s="41">
        <f>I249/'1. Väestöennuste'!J249*1000</f>
        <v>-5270.7151749896257</v>
      </c>
      <c r="AA249" s="41">
        <f>J249/'1. Väestöennuste'!K249*1000</f>
        <v>-5148.6709296980625</v>
      </c>
      <c r="AB249" s="41">
        <f>K249/'1. Väestöennuste'!L249*1000</f>
        <v>-5279.3144955197131</v>
      </c>
      <c r="AC249" s="41">
        <f>L249/'1. Väestöennuste'!M249*1000</f>
        <v>-2864.8452405399426</v>
      </c>
      <c r="AD249" s="41">
        <f>M249/'1. Väestöennuste'!N249*1000</f>
        <v>-2993.926461563889</v>
      </c>
      <c r="AE249" s="41">
        <f>N249/'1. Väestöennuste'!O249*1000</f>
        <v>-3119.3723011226193</v>
      </c>
      <c r="AF249" s="41">
        <f>O249/'1. Väestöennuste'!P249*1000</f>
        <v>-3237.0501652688772</v>
      </c>
      <c r="AG249" s="41">
        <f>P249/'1. Väestöennuste'!Q249*1000</f>
        <v>-3344.8454185915425</v>
      </c>
      <c r="AH249" s="41">
        <f>Q249/'1. Väestöennuste'!R249*1000</f>
        <v>-3437.1968523243609</v>
      </c>
    </row>
    <row r="250" spans="1:34" customFormat="1" x14ac:dyDescent="0.25">
      <c r="A250" s="99">
        <v>1</v>
      </c>
      <c r="B250" s="30">
        <v>755</v>
      </c>
      <c r="C250" s="47" t="s">
        <v>564</v>
      </c>
      <c r="D250" s="65">
        <v>-31060</v>
      </c>
      <c r="E250" s="157">
        <v>-29402</v>
      </c>
      <c r="F250" s="157">
        <v>-29686</v>
      </c>
      <c r="G250" s="157">
        <v>-30432</v>
      </c>
      <c r="H250" s="43">
        <v>-33428</v>
      </c>
      <c r="I250" s="43">
        <v>-33516</v>
      </c>
      <c r="J250" s="159">
        <v>-33661.109510000002</v>
      </c>
      <c r="K250" s="43">
        <v>-35364.677490000002</v>
      </c>
      <c r="L250" s="43">
        <v>-18561.197059999999</v>
      </c>
      <c r="M250" s="43">
        <f>'2.1. Toimintakatennuste'!AX241</f>
        <v>-19026.994426708872</v>
      </c>
      <c r="N250" s="43">
        <f>$N$6*'2.1. Toimintakatennuste'!AG241</f>
        <v>-20352.894668275007</v>
      </c>
      <c r="O250" s="43">
        <f>$O$6*'2.1. Toimintakatennuste'!AH241</f>
        <v>-20839.124728203173</v>
      </c>
      <c r="P250" s="43">
        <f>P$6*'2.1. Toimintakatennuste'!AI241</f>
        <v>-21695.869525304606</v>
      </c>
      <c r="Q250" s="43">
        <f>Q$6*'2.1. Toimintakatennuste'!AJ241</f>
        <v>-22399.308916368165</v>
      </c>
      <c r="R250" s="117"/>
      <c r="S250" s="34">
        <v>755</v>
      </c>
      <c r="T250" s="88" t="s">
        <v>564</v>
      </c>
      <c r="U250" s="41">
        <f>D250/'1. Väestöennuste'!E250*1000</f>
        <v>-5024.2639922355229</v>
      </c>
      <c r="V250" s="41">
        <f>E250/'1. Väestöennuste'!F250*1000</f>
        <v>-4759.1453544836513</v>
      </c>
      <c r="W250" s="41">
        <f>F250/'1. Väestöennuste'!G250*1000</f>
        <v>-4830.1334201106411</v>
      </c>
      <c r="X250" s="41">
        <f>G250/'1. Väestöennuste'!H250*1000</f>
        <v>-4961.1998695793936</v>
      </c>
      <c r="Y250" s="41">
        <f>H250/'1. Väestöennuste'!I250*1000</f>
        <v>-5439.8698128559809</v>
      </c>
      <c r="Z250" s="41">
        <f>I250/'1. Väestöennuste'!J250*1000</f>
        <v>-5450.6423808749387</v>
      </c>
      <c r="AA250" s="41">
        <f>J250/'1. Väestöennuste'!K250*1000</f>
        <v>-5430.9631348822204</v>
      </c>
      <c r="AB250" s="41">
        <f>K250/'1. Väestöennuste'!L250*1000</f>
        <v>-5688.383060961879</v>
      </c>
      <c r="AC250" s="41">
        <f>L250/'1. Väestöennuste'!M250*1000</f>
        <v>-3014.1599642741144</v>
      </c>
      <c r="AD250" s="41">
        <f>M250/'1. Väestöennuste'!N250*1000</f>
        <v>-3073.3313562766712</v>
      </c>
      <c r="AE250" s="41">
        <f>N250/'1. Väestöennuste'!O250*1000</f>
        <v>-3282.7249464959687</v>
      </c>
      <c r="AF250" s="41">
        <f>O250/'1. Väestöennuste'!P250*1000</f>
        <v>-3357.3585835674517</v>
      </c>
      <c r="AG250" s="41">
        <f>P250/'1. Väestöennuste'!Q250*1000</f>
        <v>-3492.573973809499</v>
      </c>
      <c r="AH250" s="41">
        <f>Q250/'1. Väestöennuste'!R250*1000</f>
        <v>-3602.9128062358318</v>
      </c>
    </row>
    <row r="251" spans="1:34" customFormat="1" x14ac:dyDescent="0.25">
      <c r="A251" s="99">
        <v>19</v>
      </c>
      <c r="B251" s="30">
        <v>758</v>
      </c>
      <c r="C251" s="47" t="s">
        <v>565</v>
      </c>
      <c r="D251" s="65">
        <v>-57736</v>
      </c>
      <c r="E251" s="157">
        <v>-60969</v>
      </c>
      <c r="F251" s="157">
        <v>-59144</v>
      </c>
      <c r="G251" s="157">
        <v>-61129</v>
      </c>
      <c r="H251" s="43">
        <v>-63496</v>
      </c>
      <c r="I251" s="43">
        <v>-62923</v>
      </c>
      <c r="J251" s="159">
        <v>-62730.933729999997</v>
      </c>
      <c r="K251" s="43">
        <v>-63808.018090000005</v>
      </c>
      <c r="L251" s="43">
        <v>-25828.321649999998</v>
      </c>
      <c r="M251" s="43">
        <f>'2.1. Toimintakatennuste'!AX242</f>
        <v>-28732.218270249097</v>
      </c>
      <c r="N251" s="43">
        <f>$N$6*'2.1. Toimintakatennuste'!AG242</f>
        <v>-28518.309463368299</v>
      </c>
      <c r="O251" s="43">
        <f>$O$6*'2.1. Toimintakatennuste'!AH242</f>
        <v>-29072.125703409765</v>
      </c>
      <c r="P251" s="43">
        <f>P$6*'2.1. Toimintakatennuste'!AI242</f>
        <v>-29918.117382309807</v>
      </c>
      <c r="Q251" s="43">
        <f>Q$6*'2.1. Toimintakatennuste'!AJ242</f>
        <v>-30393.714412823483</v>
      </c>
      <c r="R251" s="117"/>
      <c r="S251" s="34">
        <v>758</v>
      </c>
      <c r="T251" s="88" t="s">
        <v>565</v>
      </c>
      <c r="U251" s="41">
        <f>D251/'1. Väestöennuste'!E251*1000</f>
        <v>-6574.3566385789118</v>
      </c>
      <c r="V251" s="41">
        <f>E251/'1. Väestöennuste'!F251*1000</f>
        <v>-7045.9956084594942</v>
      </c>
      <c r="W251" s="41">
        <f>F251/'1. Väestöennuste'!G251*1000</f>
        <v>-6921.4745465184324</v>
      </c>
      <c r="X251" s="41">
        <f>G251/'1. Väestöennuste'!H251*1000</f>
        <v>-7239.3415442918049</v>
      </c>
      <c r="Y251" s="41">
        <f>H251/'1. Väestöennuste'!I251*1000</f>
        <v>-7647.3563772130556</v>
      </c>
      <c r="Z251" s="41">
        <f>I251/'1. Väestöennuste'!J251*1000</f>
        <v>-7612.2671183159937</v>
      </c>
      <c r="AA251" s="41">
        <f>J251/'1. Väestöennuste'!K251*1000</f>
        <v>-7662.2613570294361</v>
      </c>
      <c r="AB251" s="41">
        <f>K251/'1. Väestöennuste'!L251*1000</f>
        <v>-7844.6051253995583</v>
      </c>
      <c r="AC251" s="41">
        <f>L251/'1. Väestöennuste'!M251*1000</f>
        <v>-3178.4791594880626</v>
      </c>
      <c r="AD251" s="41">
        <f>M251/'1. Väestöennuste'!N251*1000</f>
        <v>-3646.6833697485845</v>
      </c>
      <c r="AE251" s="41">
        <f>N251/'1. Väestöennuste'!O251*1000</f>
        <v>-3657.1312469053987</v>
      </c>
      <c r="AF251" s="41">
        <f>O251/'1. Väestöennuste'!P251*1000</f>
        <v>-3767.2833618517252</v>
      </c>
      <c r="AG251" s="41">
        <f>P251/'1. Väestöennuste'!Q251*1000</f>
        <v>-3918.5484456201452</v>
      </c>
      <c r="AH251" s="41">
        <f>Q251/'1. Väestöennuste'!R251*1000</f>
        <v>-4021.9285977006061</v>
      </c>
    </row>
    <row r="252" spans="1:34" customFormat="1" x14ac:dyDescent="0.25">
      <c r="A252" s="99">
        <v>14</v>
      </c>
      <c r="B252" s="30">
        <v>759</v>
      </c>
      <c r="C252" s="47" t="s">
        <v>566</v>
      </c>
      <c r="D252" s="65">
        <v>-13080</v>
      </c>
      <c r="E252" s="157">
        <v>-13305</v>
      </c>
      <c r="F252" s="157">
        <v>-12968</v>
      </c>
      <c r="G252" s="157">
        <v>-13070</v>
      </c>
      <c r="H252" s="43">
        <v>-13442</v>
      </c>
      <c r="I252" s="43">
        <v>-13871</v>
      </c>
      <c r="J252" s="159">
        <v>-14705.42445</v>
      </c>
      <c r="K252" s="43">
        <v>-14559.88213</v>
      </c>
      <c r="L252" s="43">
        <v>-5099.09674</v>
      </c>
      <c r="M252" s="43">
        <f>'2.1. Toimintakatennuste'!AX243</f>
        <v>-5464.5772374871231</v>
      </c>
      <c r="N252" s="43">
        <f>$N$6*'2.1. Toimintakatennuste'!AG243</f>
        <v>-5809.8889972985653</v>
      </c>
      <c r="O252" s="43">
        <f>$O$6*'2.1. Toimintakatennuste'!AH243</f>
        <v>-6036.168174988753</v>
      </c>
      <c r="P252" s="43">
        <f>P$6*'2.1. Toimintakatennuste'!AI243</f>
        <v>-6255.0148404816464</v>
      </c>
      <c r="Q252" s="43">
        <f>Q$6*'2.1. Toimintakatennuste'!AJ243</f>
        <v>-6463.894996498545</v>
      </c>
      <c r="R252" s="117"/>
      <c r="S252" s="34">
        <v>759</v>
      </c>
      <c r="T252" s="88" t="s">
        <v>566</v>
      </c>
      <c r="U252" s="41">
        <f>D252/'1. Väestöennuste'!E252*1000</f>
        <v>-5881.294964028777</v>
      </c>
      <c r="V252" s="41">
        <f>E252/'1. Väestöennuste'!F252*1000</f>
        <v>-6086.4592863677944</v>
      </c>
      <c r="W252" s="41">
        <f>F252/'1. Väestöennuste'!G252*1000</f>
        <v>-6134.342478713339</v>
      </c>
      <c r="X252" s="41">
        <f>G252/'1. Väestöennuste'!H252*1000</f>
        <v>-6268.5851318944842</v>
      </c>
      <c r="Y252" s="41">
        <f>H252/'1. Väestöennuste'!I252*1000</f>
        <v>-6550.6822612085771</v>
      </c>
      <c r="Z252" s="41">
        <f>I252/'1. Väestöennuste'!J252*1000</f>
        <v>-6911.3104135525655</v>
      </c>
      <c r="AA252" s="41">
        <f>J252/'1. Väestöennuste'!K252*1000</f>
        <v>-7363.7578617926893</v>
      </c>
      <c r="AB252" s="41">
        <f>K252/'1. Väestöennuste'!L252*1000</f>
        <v>-7497.3646395468595</v>
      </c>
      <c r="AC252" s="41">
        <f>L252/'1. Väestöennuste'!M252*1000</f>
        <v>-2722.4221783235453</v>
      </c>
      <c r="AD252" s="41">
        <f>M252/'1. Väestöennuste'!N252*1000</f>
        <v>-2941.107232232036</v>
      </c>
      <c r="AE252" s="41">
        <f>N252/'1. Väestöennuste'!O252*1000</f>
        <v>-3178.2762567278801</v>
      </c>
      <c r="AF252" s="41">
        <f>O252/'1. Väestöennuste'!P252*1000</f>
        <v>-3362.7677855090546</v>
      </c>
      <c r="AG252" s="41">
        <f>P252/'1. Väestöennuste'!Q252*1000</f>
        <v>-3541.9110082002526</v>
      </c>
      <c r="AH252" s="41">
        <f>Q252/'1. Väestöennuste'!R252*1000</f>
        <v>-3721.2982132979537</v>
      </c>
    </row>
    <row r="253" spans="1:34" customFormat="1" x14ac:dyDescent="0.25">
      <c r="A253" s="99">
        <v>2</v>
      </c>
      <c r="B253" s="30">
        <v>761</v>
      </c>
      <c r="C253" s="47" t="s">
        <v>567</v>
      </c>
      <c r="D253" s="65">
        <v>-48479</v>
      </c>
      <c r="E253" s="157">
        <v>-49470</v>
      </c>
      <c r="F253" s="157">
        <v>-48051</v>
      </c>
      <c r="G253" s="157">
        <v>-49693</v>
      </c>
      <c r="H253" s="43">
        <v>-52088</v>
      </c>
      <c r="I253" s="43">
        <v>-52124</v>
      </c>
      <c r="J253" s="159">
        <v>-53807.642540000008</v>
      </c>
      <c r="K253" s="43">
        <v>-58540.250650000002</v>
      </c>
      <c r="L253" s="43">
        <v>-21600.119620000001</v>
      </c>
      <c r="M253" s="43">
        <f>'2.1. Toimintakatennuste'!AX244</f>
        <v>-21463.790799646446</v>
      </c>
      <c r="N253" s="43">
        <f>$N$6*'2.1. Toimintakatennuste'!AG244</f>
        <v>-23464.496589698963</v>
      </c>
      <c r="O253" s="43">
        <f>$O$6*'2.1. Toimintakatennuste'!AH244</f>
        <v>-24039.486173471661</v>
      </c>
      <c r="P253" s="43">
        <f>P$6*'2.1. Toimintakatennuste'!AI244</f>
        <v>-24636.11879075009</v>
      </c>
      <c r="Q253" s="43">
        <f>Q$6*'2.1. Toimintakatennuste'!AJ244</f>
        <v>-24954.28703672038</v>
      </c>
      <c r="R253" s="117"/>
      <c r="S253" s="34">
        <v>761</v>
      </c>
      <c r="T253" s="88" t="s">
        <v>567</v>
      </c>
      <c r="U253" s="41">
        <f>D253/'1. Väestöennuste'!E253*1000</f>
        <v>-5331.4637633344337</v>
      </c>
      <c r="V253" s="41">
        <f>E253/'1. Väestöennuste'!F253*1000</f>
        <v>-5480.2259887005648</v>
      </c>
      <c r="W253" s="41">
        <f>F253/'1. Väestöennuste'!G253*1000</f>
        <v>-5387.4873864783049</v>
      </c>
      <c r="X253" s="41">
        <f>G253/'1. Väestöennuste'!H253*1000</f>
        <v>-5629.0212958767561</v>
      </c>
      <c r="Y253" s="41">
        <f>H253/'1. Väestöennuste'!I253*1000</f>
        <v>-5979.5660658936977</v>
      </c>
      <c r="Z253" s="41">
        <f>I253/'1. Väestöennuste'!J253*1000</f>
        <v>-6028.683784408975</v>
      </c>
      <c r="AA253" s="41">
        <f>J253/'1. Väestöennuste'!K253*1000</f>
        <v>-6283.7373046829389</v>
      </c>
      <c r="AB253" s="41">
        <f>K253/'1. Väestöennuste'!L253*1000</f>
        <v>-6947.5730655115121</v>
      </c>
      <c r="AC253" s="41">
        <f>L253/'1. Väestöennuste'!M253*1000</f>
        <v>-2568.3852104637335</v>
      </c>
      <c r="AD253" s="41">
        <f>M253/'1. Väestöennuste'!N253*1000</f>
        <v>-2590.0556051220519</v>
      </c>
      <c r="AE253" s="41">
        <f>N253/'1. Väestöennuste'!O253*1000</f>
        <v>-2857.3424975278817</v>
      </c>
      <c r="AF253" s="41">
        <f>O253/'1. Väestöennuste'!P253*1000</f>
        <v>-2952.8910666345241</v>
      </c>
      <c r="AG253" s="41">
        <f>P253/'1. Väestöennuste'!Q253*1000</f>
        <v>-3051.2904125278783</v>
      </c>
      <c r="AH253" s="41">
        <f>Q253/'1. Väestöennuste'!R253*1000</f>
        <v>-3113.8366654255528</v>
      </c>
    </row>
    <row r="254" spans="1:34" customFormat="1" x14ac:dyDescent="0.25">
      <c r="A254" s="99">
        <v>11</v>
      </c>
      <c r="B254" s="30">
        <v>762</v>
      </c>
      <c r="C254" s="47" t="s">
        <v>568</v>
      </c>
      <c r="D254" s="65">
        <v>-26247</v>
      </c>
      <c r="E254" s="157">
        <v>-27047</v>
      </c>
      <c r="F254" s="157">
        <v>-25920</v>
      </c>
      <c r="G254" s="157">
        <v>-26303</v>
      </c>
      <c r="H254" s="43">
        <v>-26353</v>
      </c>
      <c r="I254" s="43">
        <v>-26291</v>
      </c>
      <c r="J254" s="159">
        <v>-26015.628140000001</v>
      </c>
      <c r="K254" s="43">
        <v>-29308.782879999999</v>
      </c>
      <c r="L254" s="43">
        <v>-10454.76008</v>
      </c>
      <c r="M254" s="43">
        <f>'2.1. Toimintakatennuste'!AX245</f>
        <v>-9640.9639457897665</v>
      </c>
      <c r="N254" s="43">
        <f>$N$6*'2.1. Toimintakatennuste'!AG245</f>
        <v>-12013.802843929021</v>
      </c>
      <c r="O254" s="43">
        <f>$O$6*'2.1. Toimintakatennuste'!AH245</f>
        <v>-12512.245577672971</v>
      </c>
      <c r="P254" s="43">
        <f>P$6*'2.1. Toimintakatennuste'!AI245</f>
        <v>-12947.855752354533</v>
      </c>
      <c r="Q254" s="43">
        <f>Q$6*'2.1. Toimintakatennuste'!AJ245</f>
        <v>-13252.017340240383</v>
      </c>
      <c r="R254" s="117"/>
      <c r="S254" s="34">
        <v>762</v>
      </c>
      <c r="T254" s="88" t="s">
        <v>568</v>
      </c>
      <c r="U254" s="41">
        <f>D254/'1. Väestöennuste'!E254*1000</f>
        <v>-6135.3436185133241</v>
      </c>
      <c r="V254" s="41">
        <f>E254/'1. Väestöennuste'!F254*1000</f>
        <v>-6441.2955465587047</v>
      </c>
      <c r="W254" s="41">
        <f>F254/'1. Väestöennuste'!G254*1000</f>
        <v>-6360.7361963190178</v>
      </c>
      <c r="X254" s="41">
        <f>G254/'1. Väestöennuste'!H254*1000</f>
        <v>-6630.4512225863373</v>
      </c>
      <c r="Y254" s="41">
        <f>H254/'1. Väestöennuste'!I254*1000</f>
        <v>-6762.3813189633047</v>
      </c>
      <c r="Z254" s="41">
        <f>I254/'1. Väestöennuste'!J254*1000</f>
        <v>-6844.8320749804734</v>
      </c>
      <c r="AA254" s="41">
        <f>J254/'1. Väestöennuste'!K254*1000</f>
        <v>-6887.9079004500927</v>
      </c>
      <c r="AB254" s="41">
        <f>K254/'1. Väestöennuste'!L254*1000</f>
        <v>-7981.6946840958599</v>
      </c>
      <c r="AC254" s="41">
        <f>L254/'1. Väestöennuste'!M254*1000</f>
        <v>-2874.5559747044267</v>
      </c>
      <c r="AD254" s="41">
        <f>M254/'1. Väestöennuste'!N254*1000</f>
        <v>-2711.1822119768749</v>
      </c>
      <c r="AE254" s="41">
        <f>N254/'1. Väestöennuste'!O254*1000</f>
        <v>-3435.4597780752133</v>
      </c>
      <c r="AF254" s="41">
        <f>O254/'1. Väestöennuste'!P254*1000</f>
        <v>-3635.1672218689632</v>
      </c>
      <c r="AG254" s="41">
        <f>P254/'1. Väestöennuste'!Q254*1000</f>
        <v>-3818.3001333985649</v>
      </c>
      <c r="AH254" s="41">
        <f>Q254/'1. Väestöennuste'!R254*1000</f>
        <v>-3966.4822927986784</v>
      </c>
    </row>
    <row r="255" spans="1:34" customFormat="1" x14ac:dyDescent="0.25">
      <c r="A255" s="99">
        <v>18</v>
      </c>
      <c r="B255" s="30">
        <v>765</v>
      </c>
      <c r="C255" s="47" t="s">
        <v>569</v>
      </c>
      <c r="D255" s="65">
        <v>-65409</v>
      </c>
      <c r="E255" s="157">
        <v>-65397</v>
      </c>
      <c r="F255" s="157">
        <v>-65093</v>
      </c>
      <c r="G255" s="157">
        <v>-67664</v>
      </c>
      <c r="H255" s="43">
        <v>-70365</v>
      </c>
      <c r="I255" s="43">
        <v>-74011</v>
      </c>
      <c r="J255" s="159">
        <v>-75373.514890000006</v>
      </c>
      <c r="K255" s="43">
        <v>-77344.06194</v>
      </c>
      <c r="L255" s="43">
        <v>-36198.446770000002</v>
      </c>
      <c r="M255" s="43">
        <f>'2.1. Toimintakatennuste'!AX246</f>
        <v>-35432.830893673818</v>
      </c>
      <c r="N255" s="43">
        <f>$N$6*'2.1. Toimintakatennuste'!AG246</f>
        <v>-40417.6885137055</v>
      </c>
      <c r="O255" s="43">
        <f>$O$6*'2.1. Toimintakatennuste'!AH246</f>
        <v>-41752.207849227045</v>
      </c>
      <c r="P255" s="43">
        <f>P$6*'2.1. Toimintakatennuste'!AI246</f>
        <v>-42927.765441314259</v>
      </c>
      <c r="Q255" s="43">
        <f>Q$6*'2.1. Toimintakatennuste'!AJ246</f>
        <v>-44052.189720940019</v>
      </c>
      <c r="R255" s="117"/>
      <c r="S255" s="34">
        <v>765</v>
      </c>
      <c r="T255" s="88" t="s">
        <v>569</v>
      </c>
      <c r="U255" s="41">
        <f>D255/'1. Väestöennuste'!E255*1000</f>
        <v>-6215.8129810890432</v>
      </c>
      <c r="V255" s="41">
        <f>E255/'1. Väestöennuste'!F255*1000</f>
        <v>-6245.5352879381144</v>
      </c>
      <c r="W255" s="41">
        <f>F255/'1. Väestöennuste'!G255*1000</f>
        <v>-6245.130960376091</v>
      </c>
      <c r="X255" s="41">
        <f>G255/'1. Väestöennuste'!H255*1000</f>
        <v>-6513.0426412551742</v>
      </c>
      <c r="Y255" s="41">
        <f>H255/'1. Väestöennuste'!I255*1000</f>
        <v>-6807.7592879256963</v>
      </c>
      <c r="Z255" s="41">
        <f>I255/'1. Väestöennuste'!J255*1000</f>
        <v>-7184.8364236481893</v>
      </c>
      <c r="AA255" s="41">
        <f>J255/'1. Väestöennuste'!K255*1000</f>
        <v>-7283.8727183996916</v>
      </c>
      <c r="AB255" s="41">
        <f>K255/'1. Väestöennuste'!L255*1000</f>
        <v>-7469.9692814371256</v>
      </c>
      <c r="AC255" s="41">
        <f>L255/'1. Väestöennuste'!M255*1000</f>
        <v>-3523.3060901304266</v>
      </c>
      <c r="AD255" s="41">
        <f>M255/'1. Väestöennuste'!N255*1000</f>
        <v>-3508.8959094547258</v>
      </c>
      <c r="AE255" s="41">
        <f>N255/'1. Väestöennuste'!O255*1000</f>
        <v>-4022.8614027774956</v>
      </c>
      <c r="AF255" s="41">
        <f>O255/'1. Väestöennuste'!P255*1000</f>
        <v>-4175.6383487575804</v>
      </c>
      <c r="AG255" s="41">
        <f>P255/'1. Väestöennuste'!Q255*1000</f>
        <v>-4314.7819319845476</v>
      </c>
      <c r="AH255" s="41">
        <f>Q255/'1. Väestöennuste'!R255*1000</f>
        <v>-4449.7161334282846</v>
      </c>
    </row>
    <row r="256" spans="1:34" customFormat="1" x14ac:dyDescent="0.25">
      <c r="A256" s="99">
        <v>10</v>
      </c>
      <c r="B256" s="30">
        <v>768</v>
      </c>
      <c r="C256" s="47" t="s">
        <v>570</v>
      </c>
      <c r="D256" s="65">
        <v>-19166</v>
      </c>
      <c r="E256" s="157">
        <v>-19518</v>
      </c>
      <c r="F256" s="157">
        <v>-17849</v>
      </c>
      <c r="G256" s="157">
        <v>-18113</v>
      </c>
      <c r="H256" s="43">
        <v>-18362</v>
      </c>
      <c r="I256" s="43">
        <v>-18979</v>
      </c>
      <c r="J256" s="159">
        <v>-19986.095390000002</v>
      </c>
      <c r="K256" s="43">
        <v>-19660.230469999999</v>
      </c>
      <c r="L256" s="43">
        <v>-7169.3284999999996</v>
      </c>
      <c r="M256" s="43">
        <f>'2.1. Toimintakatennuste'!AX247</f>
        <v>-7269.301995845085</v>
      </c>
      <c r="N256" s="43">
        <f>$N$6*'2.1. Toimintakatennuste'!AG247</f>
        <v>-8143.4171942805197</v>
      </c>
      <c r="O256" s="43">
        <f>$O$6*'2.1. Toimintakatennuste'!AH247</f>
        <v>-8485.365168592667</v>
      </c>
      <c r="P256" s="43">
        <f>P$6*'2.1. Toimintakatennuste'!AI247</f>
        <v>-8752.0093017317158</v>
      </c>
      <c r="Q256" s="43">
        <f>Q$6*'2.1. Toimintakatennuste'!AJ247</f>
        <v>-9021.0634363515928</v>
      </c>
      <c r="R256" s="117"/>
      <c r="S256" s="34">
        <v>768</v>
      </c>
      <c r="T256" s="88" t="s">
        <v>570</v>
      </c>
      <c r="U256" s="41">
        <f>D256/'1. Väestöennuste'!E256*1000</f>
        <v>-7035.9765051395007</v>
      </c>
      <c r="V256" s="41">
        <f>E256/'1. Väestöennuste'!F256*1000</f>
        <v>-7334.8365276211953</v>
      </c>
      <c r="W256" s="41">
        <f>F256/'1. Väestöennuste'!G256*1000</f>
        <v>-6896.831530139104</v>
      </c>
      <c r="X256" s="41">
        <f>G256/'1. Väestöennuste'!H256*1000</f>
        <v>-7159.288537549407</v>
      </c>
      <c r="Y256" s="41">
        <f>H256/'1. Väestöennuste'!I256*1000</f>
        <v>-7368.3788121990365</v>
      </c>
      <c r="Z256" s="41">
        <f>I256/'1. Väestöennuste'!J256*1000</f>
        <v>-7646.65592264303</v>
      </c>
      <c r="AA256" s="41">
        <f>J256/'1. Väestöennuste'!K256*1000</f>
        <v>-8224.7306131687255</v>
      </c>
      <c r="AB256" s="41">
        <f>K256/'1. Väestöennuste'!L256*1000</f>
        <v>-8277.9917768421055</v>
      </c>
      <c r="AC256" s="41">
        <f>L256/'1. Väestöennuste'!M256*1000</f>
        <v>-3027.5880489864862</v>
      </c>
      <c r="AD256" s="41">
        <f>M256/'1. Väestöennuste'!N256*1000</f>
        <v>-3170.2145642586502</v>
      </c>
      <c r="AE256" s="41">
        <f>N256/'1. Väestöennuste'!O256*1000</f>
        <v>-3612.873644312564</v>
      </c>
      <c r="AF256" s="41">
        <f>O256/'1. Väestöennuste'!P256*1000</f>
        <v>-3825.683123801924</v>
      </c>
      <c r="AG256" s="41">
        <f>P256/'1. Väestöennuste'!Q256*1000</f>
        <v>-4005.4962479321352</v>
      </c>
      <c r="AH256" s="41">
        <f>Q256/'1. Väestöennuste'!R256*1000</f>
        <v>-4182.2269060508079</v>
      </c>
    </row>
    <row r="257" spans="1:34" customFormat="1" x14ac:dyDescent="0.25">
      <c r="A257" s="99">
        <v>18</v>
      </c>
      <c r="B257" s="30">
        <v>777</v>
      </c>
      <c r="C257" s="47" t="s">
        <v>571</v>
      </c>
      <c r="D257" s="65">
        <v>-57167</v>
      </c>
      <c r="E257" s="157">
        <v>-55704</v>
      </c>
      <c r="F257" s="157">
        <v>-55267</v>
      </c>
      <c r="G257" s="157">
        <v>-57996</v>
      </c>
      <c r="H257" s="43">
        <v>-56336</v>
      </c>
      <c r="I257" s="43">
        <v>-58668</v>
      </c>
      <c r="J257" s="159">
        <v>-58122.132509999996</v>
      </c>
      <c r="K257" s="43">
        <v>-59702.031539999996</v>
      </c>
      <c r="L257" s="43">
        <v>-19094.65912</v>
      </c>
      <c r="M257" s="43">
        <f>'2.1. Toimintakatennuste'!AX248</f>
        <v>-19096.767231730493</v>
      </c>
      <c r="N257" s="43">
        <f>$N$6*'2.1. Toimintakatennuste'!AG248</f>
        <v>-21431.4496521111</v>
      </c>
      <c r="O257" s="43">
        <f>$O$6*'2.1. Toimintakatennuste'!AH248</f>
        <v>-21810.186929129279</v>
      </c>
      <c r="P257" s="43">
        <f>P$6*'2.1. Toimintakatennuste'!AI248</f>
        <v>-22272.699130486166</v>
      </c>
      <c r="Q257" s="43">
        <f>Q$6*'2.1. Toimintakatennuste'!AJ248</f>
        <v>-22694.405191410824</v>
      </c>
      <c r="R257" s="117"/>
      <c r="S257" s="34">
        <v>777</v>
      </c>
      <c r="T257" s="88" t="s">
        <v>571</v>
      </c>
      <c r="U257" s="41">
        <f>D257/'1. Väestöennuste'!E257*1000</f>
        <v>-6857.845489443378</v>
      </c>
      <c r="V257" s="41">
        <f>E257/'1. Väestöennuste'!F257*1000</f>
        <v>-6803.9574935873943</v>
      </c>
      <c r="W257" s="41">
        <f>F257/'1. Väestöennuste'!G257*1000</f>
        <v>-6864.6130915414233</v>
      </c>
      <c r="X257" s="41">
        <f>G257/'1. Väestöennuste'!H257*1000</f>
        <v>-7376.748918850165</v>
      </c>
      <c r="Y257" s="41">
        <f>H257/'1. Väestöennuste'!I257*1000</f>
        <v>-7290.7984987705449</v>
      </c>
      <c r="Z257" s="41">
        <f>I257/'1. Väestöennuste'!J257*1000</f>
        <v>-7725.5728206478798</v>
      </c>
      <c r="AA257" s="41">
        <f>J257/'1. Väestöennuste'!K257*1000</f>
        <v>-7741.3602171017574</v>
      </c>
      <c r="AB257" s="41">
        <f>K257/'1. Väestöennuste'!L257*1000</f>
        <v>-8103.9814768562501</v>
      </c>
      <c r="AC257" s="41">
        <f>L257/'1. Väestöennuste'!M257*1000</f>
        <v>-2662.3897267150028</v>
      </c>
      <c r="AD257" s="41">
        <f>M257/'1. Väestöennuste'!N257*1000</f>
        <v>-2715.3088627513853</v>
      </c>
      <c r="AE257" s="41">
        <f>N257/'1. Väestöennuste'!O257*1000</f>
        <v>-3101.9611596629179</v>
      </c>
      <c r="AF257" s="41">
        <f>O257/'1. Väestöennuste'!P257*1000</f>
        <v>-3211.6311190000411</v>
      </c>
      <c r="AG257" s="41">
        <f>P257/'1. Väestöennuste'!Q257*1000</f>
        <v>-3335.2349701237144</v>
      </c>
      <c r="AH257" s="41">
        <f>Q257/'1. Väestöennuste'!R257*1000</f>
        <v>-3453.7216848897924</v>
      </c>
    </row>
    <row r="258" spans="1:34" customFormat="1" x14ac:dyDescent="0.25">
      <c r="A258" s="99">
        <v>11</v>
      </c>
      <c r="B258" s="30">
        <v>778</v>
      </c>
      <c r="C258" s="47" t="s">
        <v>572</v>
      </c>
      <c r="D258" s="65">
        <v>-43591</v>
      </c>
      <c r="E258" s="157">
        <v>-43606</v>
      </c>
      <c r="F258" s="157">
        <v>-43048</v>
      </c>
      <c r="G258" s="157">
        <v>-45464</v>
      </c>
      <c r="H258" s="43">
        <v>-47948</v>
      </c>
      <c r="I258" s="43">
        <v>-49043</v>
      </c>
      <c r="J258" s="159">
        <v>-49948.00776</v>
      </c>
      <c r="K258" s="43">
        <v>-51461.923889999998</v>
      </c>
      <c r="L258" s="43">
        <v>-18844.195540000001</v>
      </c>
      <c r="M258" s="43">
        <f>'2.1. Toimintakatennuste'!AX249</f>
        <v>-18685.827055877056</v>
      </c>
      <c r="N258" s="43">
        <f>$N$6*'2.1. Toimintakatennuste'!AG249</f>
        <v>-20536.843115766525</v>
      </c>
      <c r="O258" s="43">
        <f>$O$6*'2.1. Toimintakatennuste'!AH249</f>
        <v>-21010.996324591419</v>
      </c>
      <c r="P258" s="43">
        <f>P$6*'2.1. Toimintakatennuste'!AI249</f>
        <v>-21460.122954100036</v>
      </c>
      <c r="Q258" s="43">
        <f>Q$6*'2.1. Toimintakatennuste'!AJ249</f>
        <v>-21760.377131192519</v>
      </c>
      <c r="R258" s="117"/>
      <c r="S258" s="34">
        <v>778</v>
      </c>
      <c r="T258" s="88" t="s">
        <v>572</v>
      </c>
      <c r="U258" s="41">
        <f>D258/'1. Väestöennuste'!E258*1000</f>
        <v>-5898.6468200270638</v>
      </c>
      <c r="V258" s="41">
        <f>E258/'1. Väestöennuste'!F258*1000</f>
        <v>-5963.6214442013134</v>
      </c>
      <c r="W258" s="41">
        <f>F258/'1. Väestöennuste'!G258*1000</f>
        <v>-5924.5802367189654</v>
      </c>
      <c r="X258" s="41">
        <f>G258/'1. Väestöennuste'!H258*1000</f>
        <v>-6363.0510846745974</v>
      </c>
      <c r="Y258" s="41">
        <f>H258/'1. Väestöennuste'!I258*1000</f>
        <v>-6787.6557191392976</v>
      </c>
      <c r="Z258" s="41">
        <f>I258/'1. Väestöennuste'!J258*1000</f>
        <v>-7075.8909248304717</v>
      </c>
      <c r="AA258" s="41">
        <f>J258/'1. Väestöennuste'!K258*1000</f>
        <v>-7248.2960034828038</v>
      </c>
      <c r="AB258" s="41">
        <f>K258/'1. Väestöennuste'!L258*1000</f>
        <v>-7609.333711370693</v>
      </c>
      <c r="AC258" s="41">
        <f>L258/'1. Väestöennuste'!M258*1000</f>
        <v>-2809.2122152653551</v>
      </c>
      <c r="AD258" s="41">
        <f>M258/'1. Väestöennuste'!N258*1000</f>
        <v>-2846.7134454413554</v>
      </c>
      <c r="AE258" s="41">
        <f>N258/'1. Väestöennuste'!O258*1000</f>
        <v>-3165.3580634658642</v>
      </c>
      <c r="AF258" s="41">
        <f>O258/'1. Väestöennuste'!P258*1000</f>
        <v>-3274.7812226607575</v>
      </c>
      <c r="AG258" s="41">
        <f>P258/'1. Väestöennuste'!Q258*1000</f>
        <v>-3380.0792178453353</v>
      </c>
      <c r="AH258" s="41">
        <f>Q258/'1. Väestöennuste'!R258*1000</f>
        <v>-3464.4765373654704</v>
      </c>
    </row>
    <row r="259" spans="1:34" customFormat="1" x14ac:dyDescent="0.25">
      <c r="A259" s="99">
        <v>7</v>
      </c>
      <c r="B259" s="30">
        <v>781</v>
      </c>
      <c r="C259" s="47" t="s">
        <v>573</v>
      </c>
      <c r="D259" s="65">
        <v>-23518</v>
      </c>
      <c r="E259" s="157">
        <v>-24415</v>
      </c>
      <c r="F259" s="157">
        <v>-24827</v>
      </c>
      <c r="G259" s="157">
        <v>-24659</v>
      </c>
      <c r="H259" s="43">
        <v>-24753</v>
      </c>
      <c r="I259" s="43">
        <v>-24951</v>
      </c>
      <c r="J259" s="159">
        <v>-24574.481</v>
      </c>
      <c r="K259" s="43">
        <v>-27343.053050000002</v>
      </c>
      <c r="L259" s="43">
        <v>-8639.5252899999996</v>
      </c>
      <c r="M259" s="43">
        <f>'2.1. Toimintakatennuste'!AX250</f>
        <v>-9200.0361964347958</v>
      </c>
      <c r="N259" s="43">
        <f>$N$6*'2.1. Toimintakatennuste'!AG250</f>
        <v>-9871.2355158281862</v>
      </c>
      <c r="O259" s="43">
        <f>$O$6*'2.1. Toimintakatennuste'!AH250</f>
        <v>-10227.879992348999</v>
      </c>
      <c r="P259" s="43">
        <f>P$6*'2.1. Toimintakatennuste'!AI250</f>
        <v>-10517.269401226529</v>
      </c>
      <c r="Q259" s="43">
        <f>Q$6*'2.1. Toimintakatennuste'!AJ250</f>
        <v>-10841.99485841153</v>
      </c>
      <c r="R259" s="117"/>
      <c r="S259" s="34">
        <v>781</v>
      </c>
      <c r="T259" s="88" t="s">
        <v>573</v>
      </c>
      <c r="U259" s="41">
        <f>D259/'1. Väestöennuste'!E259*1000</f>
        <v>-5821.287128712871</v>
      </c>
      <c r="V259" s="41">
        <f>E259/'1. Väestöennuste'!F259*1000</f>
        <v>-6176.3217809258795</v>
      </c>
      <c r="W259" s="41">
        <f>F259/'1. Väestöennuste'!G259*1000</f>
        <v>-6433.5320031096135</v>
      </c>
      <c r="X259" s="41">
        <f>G259/'1. Väestöennuste'!H259*1000</f>
        <v>-6570.476951771916</v>
      </c>
      <c r="Y259" s="41">
        <f>H259/'1. Väestöennuste'!I259*1000</f>
        <v>-6768.6628383921243</v>
      </c>
      <c r="Z259" s="41">
        <f>I259/'1. Väestöennuste'!J259*1000</f>
        <v>-6871.6606995318098</v>
      </c>
      <c r="AA259" s="41">
        <f>J259/'1. Väestöennuste'!K259*1000</f>
        <v>-6856.7190290178578</v>
      </c>
      <c r="AB259" s="41">
        <f>K259/'1. Väestöennuste'!L259*1000</f>
        <v>-7803.382719748859</v>
      </c>
      <c r="AC259" s="41">
        <f>L259/'1. Väestöennuste'!M259*1000</f>
        <v>-2471.2600943935927</v>
      </c>
      <c r="AD259" s="41">
        <f>M259/'1. Väestöennuste'!N259*1000</f>
        <v>-2761.9442198843576</v>
      </c>
      <c r="AE259" s="41">
        <f>N259/'1. Väestöennuste'!O259*1000</f>
        <v>-3018.7264574398123</v>
      </c>
      <c r="AF259" s="41">
        <f>O259/'1. Väestöennuste'!P259*1000</f>
        <v>-3178.3343667958356</v>
      </c>
      <c r="AG259" s="41">
        <f>P259/'1. Väestöennuste'!Q259*1000</f>
        <v>-3318.7975390427673</v>
      </c>
      <c r="AH259" s="41">
        <f>Q259/'1. Väestöennuste'!R259*1000</f>
        <v>-3470.5489303494014</v>
      </c>
    </row>
    <row r="260" spans="1:34" customFormat="1" x14ac:dyDescent="0.25">
      <c r="A260" s="99">
        <v>4</v>
      </c>
      <c r="B260" s="30">
        <v>783</v>
      </c>
      <c r="C260" s="47" t="s">
        <v>574</v>
      </c>
      <c r="D260" s="65">
        <v>-38132</v>
      </c>
      <c r="E260" s="157">
        <v>-35283</v>
      </c>
      <c r="F260" s="157">
        <v>-35124</v>
      </c>
      <c r="G260" s="157">
        <v>-36486</v>
      </c>
      <c r="H260" s="43">
        <v>-37710</v>
      </c>
      <c r="I260" s="43">
        <v>-38421</v>
      </c>
      <c r="J260" s="159">
        <v>-38834.249129999997</v>
      </c>
      <c r="K260" s="43">
        <v>-42327.748450000006</v>
      </c>
      <c r="L260" s="43">
        <v>-13086.13392</v>
      </c>
      <c r="M260" s="43">
        <f>'2.1. Toimintakatennuste'!AX251</f>
        <v>-16245.911089220168</v>
      </c>
      <c r="N260" s="43">
        <f>$N$6*'2.1. Toimintakatennuste'!AG251</f>
        <v>-14180.209446451528</v>
      </c>
      <c r="O260" s="43">
        <f>$O$6*'2.1. Toimintakatennuste'!AH251</f>
        <v>-14264.255660042681</v>
      </c>
      <c r="P260" s="43">
        <f>P$6*'2.1. Toimintakatennuste'!AI251</f>
        <v>-14448.495992652248</v>
      </c>
      <c r="Q260" s="43">
        <f>Q$6*'2.1. Toimintakatennuste'!AJ251</f>
        <v>-14606.36392225606</v>
      </c>
      <c r="R260" s="117"/>
      <c r="S260" s="34">
        <v>783</v>
      </c>
      <c r="T260" s="88" t="s">
        <v>574</v>
      </c>
      <c r="U260" s="41">
        <f>D260/'1. Väestöennuste'!E260*1000</f>
        <v>-5393.4936350777934</v>
      </c>
      <c r="V260" s="41">
        <f>E260/'1. Väestöennuste'!F260*1000</f>
        <v>-5049.0841442472811</v>
      </c>
      <c r="W260" s="41">
        <f>F260/'1. Väestöennuste'!G260*1000</f>
        <v>-5088.2225119513259</v>
      </c>
      <c r="X260" s="41">
        <f>G260/'1. Väestöennuste'!H260*1000</f>
        <v>-5356.9226251651735</v>
      </c>
      <c r="Y260" s="41">
        <f>H260/'1. Väestöennuste'!I260*1000</f>
        <v>-5610.7722065168873</v>
      </c>
      <c r="Z260" s="41">
        <f>I260/'1. Väestöennuste'!J260*1000</f>
        <v>-5781.0713210953954</v>
      </c>
      <c r="AA260" s="41">
        <f>J260/'1. Väestöennuste'!K260*1000</f>
        <v>-5894.6947677595617</v>
      </c>
      <c r="AB260" s="41">
        <f>K260/'1. Väestöennuste'!L260*1000</f>
        <v>-6594.1343589344142</v>
      </c>
      <c r="AC260" s="41">
        <f>L260/'1. Väestöennuste'!M260*1000</f>
        <v>-2052.0830986357223</v>
      </c>
      <c r="AD260" s="41">
        <f>M260/'1. Väestöennuste'!N260*1000</f>
        <v>-2568.1174658900045</v>
      </c>
      <c r="AE260" s="41">
        <f>N260/'1. Väestöennuste'!O260*1000</f>
        <v>-2266.6575202128402</v>
      </c>
      <c r="AF260" s="41">
        <f>O260/'1. Väestöennuste'!P260*1000</f>
        <v>-2306.2660727635703</v>
      </c>
      <c r="AG260" s="41">
        <f>P260/'1. Väestöennuste'!Q260*1000</f>
        <v>-2361.6371351180528</v>
      </c>
      <c r="AH260" s="41">
        <f>Q260/'1. Väestöennuste'!R260*1000</f>
        <v>-2413.4771847746297</v>
      </c>
    </row>
    <row r="261" spans="1:34" customFormat="1" x14ac:dyDescent="0.25">
      <c r="A261" s="99">
        <v>17</v>
      </c>
      <c r="B261" s="30">
        <v>785</v>
      </c>
      <c r="C261" s="47" t="s">
        <v>575</v>
      </c>
      <c r="D261" s="65">
        <v>-22064</v>
      </c>
      <c r="E261" s="157">
        <v>-23087</v>
      </c>
      <c r="F261" s="157">
        <v>-22394</v>
      </c>
      <c r="G261" s="157">
        <v>-23052</v>
      </c>
      <c r="H261" s="43">
        <v>-23077</v>
      </c>
      <c r="I261" s="43">
        <v>-24118</v>
      </c>
      <c r="J261" s="159">
        <v>-23085.984969999998</v>
      </c>
      <c r="K261" s="43">
        <v>-24227.098550000002</v>
      </c>
      <c r="L261" s="43">
        <v>-10900.959929999999</v>
      </c>
      <c r="M261" s="43">
        <f>'2.1. Toimintakatennuste'!AX252</f>
        <v>-11333.795721811222</v>
      </c>
      <c r="N261" s="43">
        <f>$N$6*'2.1. Toimintakatennuste'!AG252</f>
        <v>-12538.976901425416</v>
      </c>
      <c r="O261" s="43">
        <f>$O$6*'2.1. Toimintakatennuste'!AH252</f>
        <v>-12901.965529689473</v>
      </c>
      <c r="P261" s="43">
        <f>P$6*'2.1. Toimintakatennuste'!AI252</f>
        <v>-13234.081296707169</v>
      </c>
      <c r="Q261" s="43">
        <f>Q$6*'2.1. Toimintakatennuste'!AJ252</f>
        <v>-13636.947459828018</v>
      </c>
      <c r="R261" s="117"/>
      <c r="S261" s="34">
        <v>785</v>
      </c>
      <c r="T261" s="88" t="s">
        <v>575</v>
      </c>
      <c r="U261" s="41">
        <f>D261/'1. Väestöennuste'!E261*1000</f>
        <v>-7177.6187378009108</v>
      </c>
      <c r="V261" s="41">
        <f>E261/'1. Väestöennuste'!F261*1000</f>
        <v>-7594.4078947368425</v>
      </c>
      <c r="W261" s="41">
        <f>F261/'1. Väestöennuste'!G261*1000</f>
        <v>-7614.4168650119009</v>
      </c>
      <c r="X261" s="41">
        <f>G261/'1. Väestöennuste'!H261*1000</f>
        <v>-8034.8553502962704</v>
      </c>
      <c r="Y261" s="41">
        <f>H261/'1. Väestöennuste'!I261*1000</f>
        <v>-8265.4011461318059</v>
      </c>
      <c r="Z261" s="41">
        <f>I261/'1. Väestöennuste'!J261*1000</f>
        <v>-8811.8377785896955</v>
      </c>
      <c r="AA261" s="41">
        <f>J261/'1. Väestöennuste'!K261*1000</f>
        <v>-8636.7321249532361</v>
      </c>
      <c r="AB261" s="41">
        <f>K261/'1. Väestöennuste'!L261*1000</f>
        <v>-9225.8562642802735</v>
      </c>
      <c r="AC261" s="41">
        <f>L261/'1. Väestöennuste'!M261*1000</f>
        <v>-4210.4905098493618</v>
      </c>
      <c r="AD261" s="41">
        <f>M261/'1. Väestöennuste'!N261*1000</f>
        <v>-4544.4249085049005</v>
      </c>
      <c r="AE261" s="41">
        <f>N261/'1. Väestöennuste'!O261*1000</f>
        <v>-5124.2243160708686</v>
      </c>
      <c r="AF261" s="41">
        <f>O261/'1. Väestöennuste'!P261*1000</f>
        <v>-5369.107586221171</v>
      </c>
      <c r="AG261" s="41">
        <f>P261/'1. Väestöennuste'!Q261*1000</f>
        <v>-5602.9133347617144</v>
      </c>
      <c r="AH261" s="41">
        <f>Q261/'1. Väestöennuste'!R261*1000</f>
        <v>-5865.3537461625883</v>
      </c>
    </row>
    <row r="262" spans="1:34" customFormat="1" x14ac:dyDescent="0.25">
      <c r="A262" s="99">
        <v>6</v>
      </c>
      <c r="B262" s="30">
        <v>790</v>
      </c>
      <c r="C262" s="47" t="s">
        <v>576</v>
      </c>
      <c r="D262" s="65">
        <v>-133765</v>
      </c>
      <c r="E262" s="157">
        <v>-137667</v>
      </c>
      <c r="F262" s="157">
        <v>-133494</v>
      </c>
      <c r="G262" s="157">
        <v>-137705</v>
      </c>
      <c r="H262" s="43">
        <v>-142520</v>
      </c>
      <c r="I262" s="43">
        <v>-140579</v>
      </c>
      <c r="J262" s="159">
        <v>-146608.37242</v>
      </c>
      <c r="K262" s="43">
        <v>-153135.89994</v>
      </c>
      <c r="L262" s="43">
        <v>-52578.733619999999</v>
      </c>
      <c r="M262" s="43">
        <f>'2.1. Toimintakatennuste'!AX253</f>
        <v>-53221.2281708398</v>
      </c>
      <c r="N262" s="43">
        <f>$N$6*'2.1. Toimintakatennuste'!AG253</f>
        <v>-57917.92764800322</v>
      </c>
      <c r="O262" s="43">
        <f>$O$6*'2.1. Toimintakatennuste'!AH253</f>
        <v>-59112.413417218806</v>
      </c>
      <c r="P262" s="43">
        <f>P$6*'2.1. Toimintakatennuste'!AI253</f>
        <v>-60352.395588995816</v>
      </c>
      <c r="Q262" s="43">
        <f>Q$6*'2.1. Toimintakatennuste'!AJ253</f>
        <v>-61288.457572344007</v>
      </c>
      <c r="R262" s="117"/>
      <c r="S262" s="34">
        <v>790</v>
      </c>
      <c r="T262" s="88" t="s">
        <v>576</v>
      </c>
      <c r="U262" s="41">
        <f>D262/'1. Väestöennuste'!E262*1000</f>
        <v>-5303.9254559873116</v>
      </c>
      <c r="V262" s="41">
        <f>E262/'1. Väestöennuste'!F262*1000</f>
        <v>-5493.0572180991139</v>
      </c>
      <c r="W262" s="41">
        <f>F262/'1. Väestöennuste'!G262*1000</f>
        <v>-5378.4850926672043</v>
      </c>
      <c r="X262" s="41">
        <f>G262/'1. Väestöennuste'!H262*1000</f>
        <v>-5586.1831163035977</v>
      </c>
      <c r="Y262" s="41">
        <f>H262/'1. Väestöennuste'!I262*1000</f>
        <v>-5870.5770894262059</v>
      </c>
      <c r="Z262" s="41">
        <f>I262/'1. Väestöennuste'!J262*1000</f>
        <v>-5844.7946116747053</v>
      </c>
      <c r="AA262" s="41">
        <f>J262/'1. Väestöennuste'!K262*1000</f>
        <v>-6109.1912834402865</v>
      </c>
      <c r="AB262" s="41">
        <f>K262/'1. Väestöennuste'!L262*1000</f>
        <v>-6452.1740937052336</v>
      </c>
      <c r="AC262" s="41">
        <f>L262/'1. Väestöennuste'!M262*1000</f>
        <v>-2235.9657078460559</v>
      </c>
      <c r="AD262" s="41">
        <f>M262/'1. Väestöennuste'!N262*1000</f>
        <v>-2313.9664422104261</v>
      </c>
      <c r="AE262" s="41">
        <f>N262/'1. Väestöennuste'!O262*1000</f>
        <v>-2543.4951318784078</v>
      </c>
      <c r="AF262" s="41">
        <f>O262/'1. Väestöennuste'!P262*1000</f>
        <v>-2620.4634017740409</v>
      </c>
      <c r="AG262" s="41">
        <f>P262/'1. Väestöennuste'!Q262*1000</f>
        <v>-2700.2100840676399</v>
      </c>
      <c r="AH262" s="41">
        <f>Q262/'1. Väestöennuste'!R262*1000</f>
        <v>-2766.7234368158183</v>
      </c>
    </row>
    <row r="263" spans="1:34" customFormat="1" x14ac:dyDescent="0.25">
      <c r="A263" s="99">
        <v>17</v>
      </c>
      <c r="B263" s="30">
        <v>791</v>
      </c>
      <c r="C263" s="47" t="s">
        <v>577</v>
      </c>
      <c r="D263" s="65">
        <v>-38878</v>
      </c>
      <c r="E263" s="157">
        <v>-40426</v>
      </c>
      <c r="F263" s="157">
        <v>-37811</v>
      </c>
      <c r="G263" s="157">
        <v>-37453</v>
      </c>
      <c r="H263" s="43">
        <v>-38082</v>
      </c>
      <c r="I263" s="43">
        <v>-39007</v>
      </c>
      <c r="J263" s="159">
        <v>-38620.839119999997</v>
      </c>
      <c r="K263" s="43">
        <v>-40748.837729999999</v>
      </c>
      <c r="L263" s="43">
        <v>-15444.584710000001</v>
      </c>
      <c r="M263" s="43">
        <f>'2.1. Toimintakatennuste'!AX254</f>
        <v>-15336.134057012148</v>
      </c>
      <c r="N263" s="43">
        <f>$N$6*'2.1. Toimintakatennuste'!AG254</f>
        <v>-17111.376384597272</v>
      </c>
      <c r="O263" s="43">
        <f>$O$6*'2.1. Toimintakatennuste'!AH254</f>
        <v>-17700.072637422036</v>
      </c>
      <c r="P263" s="43">
        <f>P$6*'2.1. Toimintakatennuste'!AI254</f>
        <v>-18189.090548394855</v>
      </c>
      <c r="Q263" s="43">
        <f>Q$6*'2.1. Toimintakatennuste'!AJ254</f>
        <v>-18741.024319309436</v>
      </c>
      <c r="R263" s="117"/>
      <c r="S263" s="34">
        <v>791</v>
      </c>
      <c r="T263" s="88" t="s">
        <v>577</v>
      </c>
      <c r="U263" s="41">
        <f>D263/'1. Väestöennuste'!E263*1000</f>
        <v>-6848.3353884093713</v>
      </c>
      <c r="V263" s="41">
        <f>E263/'1. Väestöennuste'!F263*1000</f>
        <v>-7240.9099050689592</v>
      </c>
      <c r="W263" s="41">
        <f>F263/'1. Väestöennuste'!G263*1000</f>
        <v>-6941.6192399485954</v>
      </c>
      <c r="X263" s="41">
        <f>G263/'1. Väestöennuste'!H263*1000</f>
        <v>-7065.2707036408228</v>
      </c>
      <c r="Y263" s="41">
        <f>H263/'1. Väestöennuste'!I263*1000</f>
        <v>-7280.0611737717454</v>
      </c>
      <c r="Z263" s="41">
        <f>I263/'1. Väestöennuste'!J263*1000</f>
        <v>-7497.0209494522396</v>
      </c>
      <c r="AA263" s="41">
        <f>J263/'1. Väestöennuste'!K263*1000</f>
        <v>-7526.9614344182419</v>
      </c>
      <c r="AB263" s="41">
        <f>K263/'1. Väestöennuste'!L263*1000</f>
        <v>-8102.7714714655003</v>
      </c>
      <c r="AC263" s="41">
        <f>L263/'1. Väestöennuste'!M263*1000</f>
        <v>-3132.1404806327319</v>
      </c>
      <c r="AD263" s="41">
        <f>M263/'1. Väestöennuste'!N263*1000</f>
        <v>-3170.5879795352798</v>
      </c>
      <c r="AE263" s="41">
        <f>N263/'1. Väestöennuste'!O263*1000</f>
        <v>-3597.0940476344904</v>
      </c>
      <c r="AF263" s="41">
        <f>O263/'1. Väestöennuste'!P263*1000</f>
        <v>-3782.8751095152884</v>
      </c>
      <c r="AG263" s="41">
        <f>P263/'1. Väestöennuste'!Q263*1000</f>
        <v>-3948.9992506284966</v>
      </c>
      <c r="AH263" s="41">
        <f>Q263/'1. Väestöennuste'!R263*1000</f>
        <v>-4130.7084679985528</v>
      </c>
    </row>
    <row r="264" spans="1:34" customFormat="1" x14ac:dyDescent="0.25">
      <c r="A264" s="99">
        <v>9</v>
      </c>
      <c r="B264" s="30">
        <v>831</v>
      </c>
      <c r="C264" s="47" t="s">
        <v>578</v>
      </c>
      <c r="D264" s="65">
        <v>-23314</v>
      </c>
      <c r="E264" s="157">
        <v>-24298</v>
      </c>
      <c r="F264" s="157">
        <v>-25077</v>
      </c>
      <c r="G264" s="157">
        <v>-23986</v>
      </c>
      <c r="H264" s="43">
        <v>-24464</v>
      </c>
      <c r="I264" s="43">
        <v>-25507</v>
      </c>
      <c r="J264" s="159">
        <v>-25375.523399999998</v>
      </c>
      <c r="K264" s="43">
        <v>-27625.159589999999</v>
      </c>
      <c r="L264" s="43">
        <v>-11808.442509999999</v>
      </c>
      <c r="M264" s="43">
        <f>'2.1. Toimintakatennuste'!AX255</f>
        <v>-12092.025651729924</v>
      </c>
      <c r="N264" s="43">
        <f>$N$6*'2.1. Toimintakatennuste'!AG255</f>
        <v>-13438.780049090508</v>
      </c>
      <c r="O264" s="43">
        <f>$O$6*'2.1. Toimintakatennuste'!AH255</f>
        <v>-14116.268075591983</v>
      </c>
      <c r="P264" s="43">
        <f>P$6*'2.1. Toimintakatennuste'!AI255</f>
        <v>-14592.416604540851</v>
      </c>
      <c r="Q264" s="43">
        <f>Q$6*'2.1. Toimintakatennuste'!AJ255</f>
        <v>-15119.008876043703</v>
      </c>
      <c r="R264" s="117"/>
      <c r="S264" s="34">
        <v>831</v>
      </c>
      <c r="T264" s="88" t="s">
        <v>578</v>
      </c>
      <c r="U264" s="41">
        <f>D264/'1. Väestöennuste'!E264*1000</f>
        <v>-4841.952232606438</v>
      </c>
      <c r="V264" s="41">
        <f>E264/'1. Väestöennuste'!F264*1000</f>
        <v>-5028.5596026490066</v>
      </c>
      <c r="W264" s="41">
        <f>F264/'1. Väestöennuste'!G264*1000</f>
        <v>-5252.8278173439467</v>
      </c>
      <c r="X264" s="41">
        <f>G264/'1. Väestöennuste'!H264*1000</f>
        <v>-5087.1686108165432</v>
      </c>
      <c r="Y264" s="41">
        <f>H264/'1. Väestöennuste'!I264*1000</f>
        <v>-5237.4223934917582</v>
      </c>
      <c r="Z264" s="41">
        <f>I264/'1. Väestöennuste'!J264*1000</f>
        <v>-5511.4520311149527</v>
      </c>
      <c r="AA264" s="41">
        <f>J264/'1. Väestöennuste'!K264*1000</f>
        <v>-5522.4207616974963</v>
      </c>
      <c r="AB264" s="41">
        <f>K264/'1. Väestöennuste'!L264*1000</f>
        <v>-6059.4778657600345</v>
      </c>
      <c r="AC264" s="41">
        <f>L264/'1. Väestöennuste'!M264*1000</f>
        <v>-2553.1767589189185</v>
      </c>
      <c r="AD264" s="41">
        <f>M264/'1. Väestöennuste'!N264*1000</f>
        <v>-2686.5198070939623</v>
      </c>
      <c r="AE264" s="41">
        <f>N264/'1. Väestöennuste'!O264*1000</f>
        <v>-3007.1112215463208</v>
      </c>
      <c r="AF264" s="41">
        <f>O264/'1. Väestöennuste'!P264*1000</f>
        <v>-3182.2065093760107</v>
      </c>
      <c r="AG264" s="41">
        <f>P264/'1. Väestöennuste'!Q264*1000</f>
        <v>-3311.9420346211646</v>
      </c>
      <c r="AH264" s="41">
        <f>Q264/'1. Väestöennuste'!R264*1000</f>
        <v>-3455.7734573814178</v>
      </c>
    </row>
    <row r="265" spans="1:34" customFormat="1" x14ac:dyDescent="0.25">
      <c r="A265" s="99">
        <v>17</v>
      </c>
      <c r="B265" s="30">
        <v>832</v>
      </c>
      <c r="C265" s="47" t="s">
        <v>579</v>
      </c>
      <c r="D265" s="65">
        <v>-27518</v>
      </c>
      <c r="E265" s="157">
        <v>-27375</v>
      </c>
      <c r="F265" s="157">
        <v>-27880</v>
      </c>
      <c r="G265" s="157">
        <v>-28788</v>
      </c>
      <c r="H265" s="43">
        <v>-28126</v>
      </c>
      <c r="I265" s="43">
        <v>-28839</v>
      </c>
      <c r="J265" s="159">
        <v>-29662.669739999998</v>
      </c>
      <c r="K265" s="43">
        <v>-30517.452809999999</v>
      </c>
      <c r="L265" s="43">
        <v>-12960.5391</v>
      </c>
      <c r="M265" s="43">
        <f>'2.1. Toimintakatennuste'!AX256</f>
        <v>-13661.874816897387</v>
      </c>
      <c r="N265" s="43">
        <f>$N$6*'2.1. Toimintakatennuste'!AG256</f>
        <v>-14707.529443487012</v>
      </c>
      <c r="O265" s="43">
        <f>$O$6*'2.1. Toimintakatennuste'!AH256</f>
        <v>-15278.269037347867</v>
      </c>
      <c r="P265" s="43">
        <f>P$6*'2.1. Toimintakatennuste'!AI256</f>
        <v>-15772.169736297961</v>
      </c>
      <c r="Q265" s="43">
        <f>Q$6*'2.1. Toimintakatennuste'!AJ256</f>
        <v>-16082.996051365984</v>
      </c>
      <c r="R265" s="117"/>
      <c r="S265" s="34">
        <v>832</v>
      </c>
      <c r="T265" s="88" t="s">
        <v>579</v>
      </c>
      <c r="U265" s="41">
        <f>D265/'1. Väestöennuste'!E265*1000</f>
        <v>-6553.4651107406526</v>
      </c>
      <c r="V265" s="41">
        <f>E265/'1. Väestöennuste'!F265*1000</f>
        <v>-6623.5180256472295</v>
      </c>
      <c r="W265" s="41">
        <f>F265/'1. Väestöennuste'!G265*1000</f>
        <v>-6870.3794972893047</v>
      </c>
      <c r="X265" s="41">
        <f>G265/'1. Väestöennuste'!H265*1000</f>
        <v>-7154.0755467196814</v>
      </c>
      <c r="Y265" s="41">
        <f>H265/'1. Väestöennuste'!I265*1000</f>
        <v>-7073.9436619718308</v>
      </c>
      <c r="Z265" s="41">
        <f>I265/'1. Väestöennuste'!J265*1000</f>
        <v>-7364.4024514811035</v>
      </c>
      <c r="AA265" s="41">
        <f>J265/'1. Väestöennuste'!K265*1000</f>
        <v>-7580.5442729363658</v>
      </c>
      <c r="AB265" s="41">
        <f>K265/'1. Väestöennuste'!L265*1000</f>
        <v>-7978.4190352941177</v>
      </c>
      <c r="AC265" s="41">
        <f>L265/'1. Väestöennuste'!M265*1000</f>
        <v>-3473.7440632538196</v>
      </c>
      <c r="AD265" s="41">
        <f>M265/'1. Väestöennuste'!N265*1000</f>
        <v>-3709.4419812374117</v>
      </c>
      <c r="AE265" s="41">
        <f>N265/'1. Väestöennuste'!O265*1000</f>
        <v>-4051.6610037154301</v>
      </c>
      <c r="AF265" s="41">
        <f>O265/'1. Väestöennuste'!P265*1000</f>
        <v>-4270.0584229591577</v>
      </c>
      <c r="AG265" s="41">
        <f>P265/'1. Väestöennuste'!Q265*1000</f>
        <v>-4471.8371806912282</v>
      </c>
      <c r="AH265" s="41">
        <f>Q265/'1. Väestöennuste'!R265*1000</f>
        <v>-4626.8688295068996</v>
      </c>
    </row>
    <row r="266" spans="1:34" customFormat="1" x14ac:dyDescent="0.25">
      <c r="A266" s="99">
        <v>2</v>
      </c>
      <c r="B266" s="30">
        <v>833</v>
      </c>
      <c r="C266" s="47" t="s">
        <v>580</v>
      </c>
      <c r="D266" s="65">
        <v>-9184</v>
      </c>
      <c r="E266" s="157">
        <v>-9440</v>
      </c>
      <c r="F266" s="157">
        <v>-9328</v>
      </c>
      <c r="G266" s="157">
        <v>-9870</v>
      </c>
      <c r="H266" s="43">
        <v>-9711</v>
      </c>
      <c r="I266" s="43">
        <v>-9438</v>
      </c>
      <c r="J266" s="159">
        <v>-10436.352789999999</v>
      </c>
      <c r="K266" s="43">
        <v>-11455.182279999999</v>
      </c>
      <c r="L266" s="43">
        <v>-4842.1494199999997</v>
      </c>
      <c r="M266" s="43">
        <f>'2.1. Toimintakatennuste'!AX257</f>
        <v>-5080.1655016105506</v>
      </c>
      <c r="N266" s="43">
        <f>$N$6*'2.1. Toimintakatennuste'!AG257</f>
        <v>-5486.8873303989403</v>
      </c>
      <c r="O266" s="43">
        <f>$O$6*'2.1. Toimintakatennuste'!AH257</f>
        <v>-5728.5925293001537</v>
      </c>
      <c r="P266" s="43">
        <f>P$6*'2.1. Toimintakatennuste'!AI257</f>
        <v>-5962.2672290898945</v>
      </c>
      <c r="Q266" s="43">
        <f>Q$6*'2.1. Toimintakatennuste'!AJ257</f>
        <v>-6188.9294635936203</v>
      </c>
      <c r="R266" s="117"/>
      <c r="S266" s="34">
        <v>833</v>
      </c>
      <c r="T266" s="88" t="s">
        <v>580</v>
      </c>
      <c r="U266" s="41">
        <f>D266/'1. Väestöennuste'!E266*1000</f>
        <v>-5624.0048989589714</v>
      </c>
      <c r="V266" s="41">
        <f>E266/'1. Väestöennuste'!F266*1000</f>
        <v>-5819.9753390875458</v>
      </c>
      <c r="W266" s="41">
        <f>F266/'1. Väestöennuste'!G266*1000</f>
        <v>-5639.6614268440144</v>
      </c>
      <c r="X266" s="41">
        <f>G266/'1. Väestöennuste'!H266*1000</f>
        <v>-5938.6281588447655</v>
      </c>
      <c r="Y266" s="41">
        <f>H266/'1. Väestöennuste'!I266*1000</f>
        <v>-5924.9542403904825</v>
      </c>
      <c r="Z266" s="41">
        <f>I266/'1. Väestöennuste'!J266*1000</f>
        <v>-5688.9692585895118</v>
      </c>
      <c r="AA266" s="41">
        <f>J266/'1. Väestöennuste'!K266*1000</f>
        <v>-6223.2276624925462</v>
      </c>
      <c r="AB266" s="41">
        <f>K266/'1. Väestöennuste'!L266*1000</f>
        <v>-6774.2059609698399</v>
      </c>
      <c r="AC266" s="41">
        <f>L266/'1. Väestöennuste'!M266*1000</f>
        <v>-2839.9703343108504</v>
      </c>
      <c r="AD266" s="41">
        <f>M266/'1. Väestöennuste'!N266*1000</f>
        <v>-3020.312426641231</v>
      </c>
      <c r="AE266" s="41">
        <f>N266/'1. Väestöennuste'!O266*1000</f>
        <v>-3256.3129557263737</v>
      </c>
      <c r="AF266" s="41">
        <f>O266/'1. Väestöennuste'!P266*1000</f>
        <v>-3393.7159533768686</v>
      </c>
      <c r="AG266" s="41">
        <f>P266/'1. Väestöennuste'!Q266*1000</f>
        <v>-3521.7172056053714</v>
      </c>
      <c r="AH266" s="41">
        <f>Q266/'1. Väestöennuste'!R266*1000</f>
        <v>-3651.2858192292742</v>
      </c>
    </row>
    <row r="267" spans="1:34" customFormat="1" x14ac:dyDescent="0.25">
      <c r="A267" s="99">
        <v>5</v>
      </c>
      <c r="B267" s="30">
        <v>834</v>
      </c>
      <c r="C267" s="47" t="s">
        <v>581</v>
      </c>
      <c r="D267" s="65">
        <v>-31703</v>
      </c>
      <c r="E267" s="157">
        <v>-31837</v>
      </c>
      <c r="F267" s="157">
        <v>-32008</v>
      </c>
      <c r="G267" s="157">
        <v>-31880</v>
      </c>
      <c r="H267" s="43">
        <v>-34162</v>
      </c>
      <c r="I267" s="43">
        <v>-33325</v>
      </c>
      <c r="J267" s="159">
        <v>-34531.839249999997</v>
      </c>
      <c r="K267" s="43">
        <v>-35543.510590000005</v>
      </c>
      <c r="L267" s="43">
        <v>-14744.77448</v>
      </c>
      <c r="M267" s="43">
        <f>'2.1. Toimintakatennuste'!AX258</f>
        <v>-15429.304619595046</v>
      </c>
      <c r="N267" s="43">
        <f>$N$6*'2.1. Toimintakatennuste'!AG258</f>
        <v>-16008.39124440671</v>
      </c>
      <c r="O267" s="43">
        <f>$O$6*'2.1. Toimintakatennuste'!AH258</f>
        <v>-16130.502917126114</v>
      </c>
      <c r="P267" s="43">
        <f>P$6*'2.1. Toimintakatennuste'!AI258</f>
        <v>-16355.511648483827</v>
      </c>
      <c r="Q267" s="43">
        <f>Q$6*'2.1. Toimintakatennuste'!AJ258</f>
        <v>-16610.44917147245</v>
      </c>
      <c r="R267" s="117"/>
      <c r="S267" s="34">
        <v>834</v>
      </c>
      <c r="T267" s="88" t="s">
        <v>581</v>
      </c>
      <c r="U267" s="41">
        <f>D267/'1. Väestöennuste'!E267*1000</f>
        <v>-5048.248407643312</v>
      </c>
      <c r="V267" s="41">
        <f>E267/'1. Väestöennuste'!F267*1000</f>
        <v>-5101.2658227848096</v>
      </c>
      <c r="W267" s="41">
        <f>F267/'1. Väestöennuste'!G267*1000</f>
        <v>-5200.3249390739238</v>
      </c>
      <c r="X267" s="41">
        <f>G267/'1. Väestöennuste'!H267*1000</f>
        <v>-5242.5587896727511</v>
      </c>
      <c r="Y267" s="41">
        <f>H267/'1. Väestöennuste'!I267*1000</f>
        <v>-5679.4679966749791</v>
      </c>
      <c r="Z267" s="41">
        <f>I267/'1. Väestöennuste'!J267*1000</f>
        <v>-5539.3949468085102</v>
      </c>
      <c r="AA267" s="41">
        <f>J267/'1. Väestöennuste'!K267*1000</f>
        <v>-5787.1357885034349</v>
      </c>
      <c r="AB267" s="41">
        <f>K267/'1. Väestöennuste'!L267*1000</f>
        <v>-6045.8429307705401</v>
      </c>
      <c r="AC267" s="41">
        <f>L267/'1. Väestöennuste'!M267*1000</f>
        <v>-2523.0620260095825</v>
      </c>
      <c r="AD267" s="41">
        <f>M267/'1. Väestöennuste'!N267*1000</f>
        <v>-2662.520210456436</v>
      </c>
      <c r="AE267" s="41">
        <f>N267/'1. Väestöennuste'!O267*1000</f>
        <v>-2786.9761915749846</v>
      </c>
      <c r="AF267" s="41">
        <f>O267/'1. Väestöennuste'!P267*1000</f>
        <v>-2832.3973515585803</v>
      </c>
      <c r="AG267" s="41">
        <f>P267/'1. Väestöennuste'!Q267*1000</f>
        <v>-2895.8058867712157</v>
      </c>
      <c r="AH267" s="41">
        <f>Q267/'1. Väestöennuste'!R267*1000</f>
        <v>-2962.9770195277292</v>
      </c>
    </row>
    <row r="268" spans="1:34" customFormat="1" x14ac:dyDescent="0.25">
      <c r="A268" s="99">
        <v>6</v>
      </c>
      <c r="B268" s="30">
        <v>837</v>
      </c>
      <c r="C268" s="47" t="s">
        <v>582</v>
      </c>
      <c r="D268" s="65">
        <v>-1123428</v>
      </c>
      <c r="E268" s="157">
        <v>-1144922</v>
      </c>
      <c r="F268" s="157">
        <v>-1137741</v>
      </c>
      <c r="G268" s="157">
        <v>-1179864</v>
      </c>
      <c r="H268" s="43">
        <v>-1211877</v>
      </c>
      <c r="I268" s="43">
        <v>-1285910</v>
      </c>
      <c r="J268" s="159">
        <v>-1315996.9418800001</v>
      </c>
      <c r="K268" s="43">
        <v>-1442527.8465699998</v>
      </c>
      <c r="L268" s="43">
        <v>-579245.07407000009</v>
      </c>
      <c r="M268" s="43">
        <f>'2.1. Toimintakatennuste'!AX259</f>
        <v>-621223.11123472895</v>
      </c>
      <c r="N268" s="43">
        <f>$N$6*'2.1. Toimintakatennuste'!AG259</f>
        <v>-699598.76630289969</v>
      </c>
      <c r="O268" s="43">
        <f>$O$6*'2.1. Toimintakatennuste'!AH259</f>
        <v>-735542.78061727004</v>
      </c>
      <c r="P268" s="43">
        <f>P$6*'2.1. Toimintakatennuste'!AI259</f>
        <v>-770585.19578904426</v>
      </c>
      <c r="Q268" s="43">
        <f>Q$6*'2.1. Toimintakatennuste'!AJ259</f>
        <v>-802794.77557405143</v>
      </c>
      <c r="R268" s="117"/>
      <c r="S268" s="34">
        <v>837</v>
      </c>
      <c r="T268" s="88" t="s">
        <v>582</v>
      </c>
      <c r="U268" s="41">
        <f>D268/'1. Väestöennuste'!E268*1000</f>
        <v>-4990.3961477980438</v>
      </c>
      <c r="V268" s="41">
        <f>E268/'1. Väestöennuste'!F268*1000</f>
        <v>-5015.5602477724142</v>
      </c>
      <c r="W268" s="41">
        <f>F268/'1. Väestöennuste'!G268*1000</f>
        <v>-4907.1653159545049</v>
      </c>
      <c r="X268" s="41">
        <f>G268/'1. Väestöennuste'!H268*1000</f>
        <v>-5015.596903574663</v>
      </c>
      <c r="Y268" s="41">
        <f>H268/'1. Väestöennuste'!I268*1000</f>
        <v>-5088.9266817838252</v>
      </c>
      <c r="Z268" s="41">
        <f>I268/'1. Väestöennuste'!J268*1000</f>
        <v>-5335.5268890373391</v>
      </c>
      <c r="AA268" s="41">
        <f>J268/'1. Väestöennuste'!K268*1000</f>
        <v>-5388.5053491276421</v>
      </c>
      <c r="AB268" s="41">
        <f>K268/'1. Väestöennuste'!L268*1000</f>
        <v>-5793.0751361195771</v>
      </c>
      <c r="AC268" s="41">
        <f>L268/'1. Väestöennuste'!M268*1000</f>
        <v>-2271.1039955694969</v>
      </c>
      <c r="AD268" s="41">
        <f>M268/'1. Väestöennuste'!N268*1000</f>
        <v>-2447.2729649221328</v>
      </c>
      <c r="AE268" s="41">
        <f>N268/'1. Väestöennuste'!O268*1000</f>
        <v>-2726.566399970769</v>
      </c>
      <c r="AF268" s="41">
        <f>O268/'1. Väestöennuste'!P268*1000</f>
        <v>-2837.8407453085565</v>
      </c>
      <c r="AG268" s="41">
        <f>P268/'1. Väestöennuste'!Q268*1000</f>
        <v>-2944.7952849850935</v>
      </c>
      <c r="AH268" s="41">
        <f>Q268/'1. Väestöennuste'!R268*1000</f>
        <v>-3040.1753208490863</v>
      </c>
    </row>
    <row r="269" spans="1:34" customFormat="1" x14ac:dyDescent="0.25">
      <c r="A269" s="99">
        <v>11</v>
      </c>
      <c r="B269" s="30">
        <v>844</v>
      </c>
      <c r="C269" s="47" t="s">
        <v>583</v>
      </c>
      <c r="D269" s="65">
        <v>-10692</v>
      </c>
      <c r="E269" s="157">
        <v>-10489</v>
      </c>
      <c r="F269" s="157">
        <v>-10804</v>
      </c>
      <c r="G269" s="157">
        <v>-10989</v>
      </c>
      <c r="H269" s="43">
        <v>-11784</v>
      </c>
      <c r="I269" s="43">
        <v>-12151</v>
      </c>
      <c r="J269" s="159">
        <v>-12057.206679999999</v>
      </c>
      <c r="K269" s="43">
        <v>-12073.398640000001</v>
      </c>
      <c r="L269" s="43">
        <v>-3749.4297499999998</v>
      </c>
      <c r="M269" s="43">
        <f>'2.1. Toimintakatennuste'!AX260</f>
        <v>-3569.7996948595437</v>
      </c>
      <c r="N269" s="43">
        <f>$N$6*'2.1. Toimintakatennuste'!AG260</f>
        <v>-4209.4066193108647</v>
      </c>
      <c r="O269" s="43">
        <f>$O$6*'2.1. Toimintakatennuste'!AH260</f>
        <v>-4428.5337623654304</v>
      </c>
      <c r="P269" s="43">
        <f>P$6*'2.1. Toimintakatennuste'!AI260</f>
        <v>-4543.5700102798337</v>
      </c>
      <c r="Q269" s="43">
        <f>Q$6*'2.1. Toimintakatennuste'!AJ260</f>
        <v>-4699.3164861877376</v>
      </c>
      <c r="R269" s="117"/>
      <c r="S269" s="34">
        <v>844</v>
      </c>
      <c r="T269" s="88" t="s">
        <v>583</v>
      </c>
      <c r="U269" s="41">
        <f>D269/'1. Väestöennuste'!E269*1000</f>
        <v>-6649.253731343284</v>
      </c>
      <c r="V269" s="41">
        <f>E269/'1. Väestöennuste'!F269*1000</f>
        <v>-6510.862818125388</v>
      </c>
      <c r="W269" s="41">
        <f>F269/'1. Väestöennuste'!G269*1000</f>
        <v>-6816.4037854889593</v>
      </c>
      <c r="X269" s="41">
        <f>G269/'1. Väestöennuste'!H269*1000</f>
        <v>-7012.763241863433</v>
      </c>
      <c r="Y269" s="41">
        <f>H269/'1. Väestöennuste'!I269*1000</f>
        <v>-7752.6315789473683</v>
      </c>
      <c r="Z269" s="41">
        <f>I269/'1. Väestöennuste'!J269*1000</f>
        <v>-8084.4976713240194</v>
      </c>
      <c r="AA269" s="41">
        <f>J269/'1. Väestöennuste'!K269*1000</f>
        <v>-8152.2695605138597</v>
      </c>
      <c r="AB269" s="41">
        <f>K269/'1. Väestöennuste'!L269*1000</f>
        <v>-8378.4862179042339</v>
      </c>
      <c r="AC269" s="41">
        <f>L269/'1. Väestöennuste'!M269*1000</f>
        <v>-2655.4035056657222</v>
      </c>
      <c r="AD269" s="41">
        <f>M269/'1. Väestöennuste'!N269*1000</f>
        <v>-2489.4000661503096</v>
      </c>
      <c r="AE269" s="41">
        <f>N269/'1. Väestöennuste'!O269*1000</f>
        <v>-2960.2015606968102</v>
      </c>
      <c r="AF269" s="41">
        <f>O269/'1. Väestöennuste'!P269*1000</f>
        <v>-3136.3553557828827</v>
      </c>
      <c r="AG269" s="41">
        <f>P269/'1. Väestöennuste'!Q269*1000</f>
        <v>-3240.7774681025917</v>
      </c>
      <c r="AH269" s="41">
        <f>Q269/'1. Väestöennuste'!R269*1000</f>
        <v>-3378.3727434850734</v>
      </c>
    </row>
    <row r="270" spans="1:34" customFormat="1" x14ac:dyDescent="0.25">
      <c r="A270" s="99">
        <v>19</v>
      </c>
      <c r="B270" s="30">
        <v>845</v>
      </c>
      <c r="C270" s="47" t="s">
        <v>584</v>
      </c>
      <c r="D270" s="65">
        <v>-21218</v>
      </c>
      <c r="E270" s="157">
        <v>-20316</v>
      </c>
      <c r="F270" s="157">
        <v>-20536</v>
      </c>
      <c r="G270" s="157">
        <v>-20560</v>
      </c>
      <c r="H270" s="43">
        <v>-21241</v>
      </c>
      <c r="I270" s="43">
        <v>-21670</v>
      </c>
      <c r="J270" s="159">
        <v>-20896.890609999999</v>
      </c>
      <c r="K270" s="43">
        <v>-23473.658299999999</v>
      </c>
      <c r="L270" s="43">
        <v>-9441.9558699999998</v>
      </c>
      <c r="M270" s="43">
        <f>'2.1. Toimintakatennuste'!AX261</f>
        <v>-10235.720399730631</v>
      </c>
      <c r="N270" s="43">
        <f>$N$6*'2.1. Toimintakatennuste'!AG261</f>
        <v>-10709.722918848094</v>
      </c>
      <c r="O270" s="43">
        <f>$O$6*'2.1. Toimintakatennuste'!AH261</f>
        <v>-11117.697477593481</v>
      </c>
      <c r="P270" s="43">
        <f>P$6*'2.1. Toimintakatennuste'!AI261</f>
        <v>-11434.23724030495</v>
      </c>
      <c r="Q270" s="43">
        <f>Q$6*'2.1. Toimintakatennuste'!AJ261</f>
        <v>-11875.618566183321</v>
      </c>
      <c r="R270" s="117"/>
      <c r="S270" s="34">
        <v>845</v>
      </c>
      <c r="T270" s="88" t="s">
        <v>584</v>
      </c>
      <c r="U270" s="41">
        <f>D270/'1. Väestöennuste'!E270*1000</f>
        <v>-6641.0015649452271</v>
      </c>
      <c r="V270" s="41">
        <f>E270/'1. Väestöennuste'!F270*1000</f>
        <v>-6555.6631171345598</v>
      </c>
      <c r="W270" s="41">
        <f>F270/'1. Väestöennuste'!G270*1000</f>
        <v>-6693.61147327249</v>
      </c>
      <c r="X270" s="41">
        <f>G270/'1. Väestöennuste'!H270*1000</f>
        <v>-6714.5656433703462</v>
      </c>
      <c r="Y270" s="41">
        <f>H270/'1. Väestöennuste'!I270*1000</f>
        <v>-7077.9740086637785</v>
      </c>
      <c r="Z270" s="41">
        <f>I270/'1. Väestöennuste'!J270*1000</f>
        <v>-7408.5470085470088</v>
      </c>
      <c r="AA270" s="41">
        <f>J270/'1. Väestöennuste'!K270*1000</f>
        <v>-7250.8294968771679</v>
      </c>
      <c r="AB270" s="41">
        <f>K270/'1. Väestöennuste'!L270*1000</f>
        <v>-8198.9725113517288</v>
      </c>
      <c r="AC270" s="41">
        <f>L270/'1. Väestöennuste'!M270*1000</f>
        <v>-3335.2016495937828</v>
      </c>
      <c r="AD270" s="41">
        <f>M270/'1. Väestöennuste'!N270*1000</f>
        <v>-3765.9015451547575</v>
      </c>
      <c r="AE270" s="41">
        <f>N270/'1. Väestöennuste'!O270*1000</f>
        <v>-4002.1386094350132</v>
      </c>
      <c r="AF270" s="41">
        <f>O270/'1. Väestöennuste'!P270*1000</f>
        <v>-4216.0399990874021</v>
      </c>
      <c r="AG270" s="41">
        <f>P270/'1. Väestöennuste'!Q270*1000</f>
        <v>-4401.1690686316206</v>
      </c>
      <c r="AH270" s="41">
        <f>Q270/'1. Väestöennuste'!R270*1000</f>
        <v>-4637.102134394112</v>
      </c>
    </row>
    <row r="271" spans="1:34" customFormat="1" x14ac:dyDescent="0.25">
      <c r="A271" s="99">
        <v>14</v>
      </c>
      <c r="B271" s="30">
        <v>846</v>
      </c>
      <c r="C271" s="47" t="s">
        <v>585</v>
      </c>
      <c r="D271" s="65">
        <v>-34149</v>
      </c>
      <c r="E271" s="157">
        <v>-33857</v>
      </c>
      <c r="F271" s="157">
        <v>-33266</v>
      </c>
      <c r="G271" s="157">
        <v>-32323</v>
      </c>
      <c r="H271" s="43">
        <v>-32900</v>
      </c>
      <c r="I271" s="43">
        <v>-31950</v>
      </c>
      <c r="J271" s="159">
        <v>-33501.274319999997</v>
      </c>
      <c r="K271" s="43">
        <v>-35081.471469999997</v>
      </c>
      <c r="L271" s="43">
        <v>-12342.470890000001</v>
      </c>
      <c r="M271" s="43">
        <f>'2.1. Toimintakatennuste'!AX262</f>
        <v>-12184.908114282611</v>
      </c>
      <c r="N271" s="43">
        <f>$N$6*'2.1. Toimintakatennuste'!AG262</f>
        <v>-13872.892684735467</v>
      </c>
      <c r="O271" s="43">
        <f>$O$6*'2.1. Toimintakatennuste'!AH262</f>
        <v>-14307.833091908187</v>
      </c>
      <c r="P271" s="43">
        <f>P$6*'2.1. Toimintakatennuste'!AI262</f>
        <v>-14881.231250908108</v>
      </c>
      <c r="Q271" s="43">
        <f>Q$6*'2.1. Toimintakatennuste'!AJ262</f>
        <v>-15324.701581778161</v>
      </c>
      <c r="R271" s="117"/>
      <c r="S271" s="34">
        <v>846</v>
      </c>
      <c r="T271" s="88" t="s">
        <v>585</v>
      </c>
      <c r="U271" s="41">
        <f>D271/'1. Väestöennuste'!E271*1000</f>
        <v>-6229.2958774170011</v>
      </c>
      <c r="V271" s="41">
        <f>E271/'1. Väestöennuste'!F271*1000</f>
        <v>-6313.0710423270557</v>
      </c>
      <c r="W271" s="41">
        <f>F271/'1. Väestöennuste'!G271*1000</f>
        <v>-6313.5319795027517</v>
      </c>
      <c r="X271" s="41">
        <f>G271/'1. Väestöennuste'!H271*1000</f>
        <v>-6266.5761923226055</v>
      </c>
      <c r="Y271" s="41">
        <f>H271/'1. Väestöennuste'!I271*1000</f>
        <v>-6481.4814814814818</v>
      </c>
      <c r="Z271" s="41">
        <f>I271/'1. Väestöennuste'!J271*1000</f>
        <v>-6397.6772126551868</v>
      </c>
      <c r="AA271" s="41">
        <f>J271/'1. Väestöennuste'!K271*1000</f>
        <v>-6765.2007915993536</v>
      </c>
      <c r="AB271" s="41">
        <f>K271/'1. Väestöennuste'!L271*1000</f>
        <v>-7215.44045043192</v>
      </c>
      <c r="AC271" s="41">
        <f>L271/'1. Väestöennuste'!M271*1000</f>
        <v>-2594.0460046237918</v>
      </c>
      <c r="AD271" s="41">
        <f>M271/'1. Väestöennuste'!N271*1000</f>
        <v>-2630.5932889211163</v>
      </c>
      <c r="AE271" s="41">
        <f>N271/'1. Väestöennuste'!O271*1000</f>
        <v>-3046.3093291030887</v>
      </c>
      <c r="AF271" s="41">
        <f>O271/'1. Väestöennuste'!P271*1000</f>
        <v>-3194.4257851994171</v>
      </c>
      <c r="AG271" s="41">
        <f>P271/'1. Väestöennuste'!Q271*1000</f>
        <v>-3376.7259475625387</v>
      </c>
      <c r="AH271" s="41">
        <f>Q271/'1. Väestöennuste'!R271*1000</f>
        <v>-3535.9256072400003</v>
      </c>
    </row>
    <row r="272" spans="1:34" customFormat="1" x14ac:dyDescent="0.25">
      <c r="A272" s="99">
        <v>12</v>
      </c>
      <c r="B272" s="30">
        <v>848</v>
      </c>
      <c r="C272" s="47" t="s">
        <v>586</v>
      </c>
      <c r="D272" s="65">
        <v>-28629</v>
      </c>
      <c r="E272" s="157">
        <v>-29425</v>
      </c>
      <c r="F272" s="157">
        <v>-29223</v>
      </c>
      <c r="G272" s="157">
        <v>-29638</v>
      </c>
      <c r="H272" s="43">
        <v>-30447</v>
      </c>
      <c r="I272" s="43">
        <v>-30758</v>
      </c>
      <c r="J272" s="159">
        <v>-31254.170040000001</v>
      </c>
      <c r="K272" s="43">
        <v>-32204.972510000003</v>
      </c>
      <c r="L272" s="43">
        <v>-12477.718429999999</v>
      </c>
      <c r="M272" s="43">
        <f>'2.1. Toimintakatennuste'!AX263</f>
        <v>-12169.392771192874</v>
      </c>
      <c r="N272" s="43">
        <f>$N$6*'2.1. Toimintakatennuste'!AG263</f>
        <v>-15016.254043345345</v>
      </c>
      <c r="O272" s="43">
        <f>$O$6*'2.1. Toimintakatennuste'!AH263</f>
        <v>-15552.33820198481</v>
      </c>
      <c r="P272" s="43">
        <f>P$6*'2.1. Toimintakatennuste'!AI263</f>
        <v>-16073.846524839873</v>
      </c>
      <c r="Q272" s="43">
        <f>Q$6*'2.1. Toimintakatennuste'!AJ263</f>
        <v>-16592.798418790469</v>
      </c>
      <c r="R272" s="117"/>
      <c r="S272" s="34">
        <v>848</v>
      </c>
      <c r="T272" s="88" t="s">
        <v>586</v>
      </c>
      <c r="U272" s="41">
        <f>D272/'1. Väestöennuste'!E272*1000</f>
        <v>-6042.4229632756433</v>
      </c>
      <c r="V272" s="41">
        <f>E272/'1. Väestöennuste'!F272*1000</f>
        <v>-6323.8770685579202</v>
      </c>
      <c r="W272" s="41">
        <f>F272/'1. Väestöennuste'!G272*1000</f>
        <v>-6393.1306059943117</v>
      </c>
      <c r="X272" s="41">
        <f>G272/'1. Väestöennuste'!H272*1000</f>
        <v>-6612.6729138777337</v>
      </c>
      <c r="Y272" s="41">
        <f>H272/'1. Väestöennuste'!I272*1000</f>
        <v>-6981.6555835817471</v>
      </c>
      <c r="Z272" s="41">
        <f>I272/'1. Väestöennuste'!J272*1000</f>
        <v>-7141.3977246343165</v>
      </c>
      <c r="AA272" s="41">
        <f>J272/'1. Väestöennuste'!K272*1000</f>
        <v>-7369.5284225418536</v>
      </c>
      <c r="AB272" s="41">
        <f>K272/'1. Väestöennuste'!L272*1000</f>
        <v>-7741.5799302884616</v>
      </c>
      <c r="AC272" s="41">
        <f>L272/'1. Väestöennuste'!M272*1000</f>
        <v>-3068.7944982784061</v>
      </c>
      <c r="AD272" s="41">
        <f>M272/'1. Väestöennuste'!N272*1000</f>
        <v>-3043.8701278621493</v>
      </c>
      <c r="AE272" s="41">
        <f>N272/'1. Väestöennuste'!O272*1000</f>
        <v>-3812.199554035376</v>
      </c>
      <c r="AF272" s="41">
        <f>O272/'1. Väestöennuste'!P272*1000</f>
        <v>-4005.2377548248287</v>
      </c>
      <c r="AG272" s="41">
        <f>P272/'1. Väestöennuste'!Q272*1000</f>
        <v>-4197.9228322903828</v>
      </c>
      <c r="AH272" s="41">
        <f>Q272/'1. Väestöennuste'!R272*1000</f>
        <v>-4393.1158111703653</v>
      </c>
    </row>
    <row r="273" spans="1:34" customFormat="1" x14ac:dyDescent="0.25">
      <c r="A273" s="99">
        <v>16</v>
      </c>
      <c r="B273" s="30">
        <v>849</v>
      </c>
      <c r="C273" s="47" t="s">
        <v>587</v>
      </c>
      <c r="D273" s="65">
        <v>-17813</v>
      </c>
      <c r="E273" s="157">
        <v>-18577</v>
      </c>
      <c r="F273" s="157">
        <v>-17908</v>
      </c>
      <c r="G273" s="157">
        <v>-18837</v>
      </c>
      <c r="H273" s="43">
        <v>-19337</v>
      </c>
      <c r="I273" s="43">
        <v>-19119</v>
      </c>
      <c r="J273" s="159">
        <v>-19521.378089999998</v>
      </c>
      <c r="K273" s="43">
        <v>-20516.9715</v>
      </c>
      <c r="L273" s="43">
        <v>-9376.97048</v>
      </c>
      <c r="M273" s="43">
        <f>'2.1. Toimintakatennuste'!AX264</f>
        <v>-9529.4342311060591</v>
      </c>
      <c r="N273" s="43">
        <f>$N$6*'2.1. Toimintakatennuste'!AG264</f>
        <v>-10085.489685767841</v>
      </c>
      <c r="O273" s="43">
        <f>$O$6*'2.1. Toimintakatennuste'!AH264</f>
        <v>-10589.378379168005</v>
      </c>
      <c r="P273" s="43">
        <f>P$6*'2.1. Toimintakatennuste'!AI264</f>
        <v>-10897.139355394738</v>
      </c>
      <c r="Q273" s="43">
        <f>Q$6*'2.1. Toimintakatennuste'!AJ264</f>
        <v>-11093.669416220209</v>
      </c>
      <c r="R273" s="117"/>
      <c r="S273" s="34">
        <v>849</v>
      </c>
      <c r="T273" s="88" t="s">
        <v>587</v>
      </c>
      <c r="U273" s="41">
        <f>D273/'1. Väestöennuste'!E273*1000</f>
        <v>-5379.9456357595891</v>
      </c>
      <c r="V273" s="41">
        <f>E273/'1. Väestöennuste'!F273*1000</f>
        <v>-5747.8341584158416</v>
      </c>
      <c r="W273" s="41">
        <f>F273/'1. Väestöennuste'!G273*1000</f>
        <v>-5610.2756892230582</v>
      </c>
      <c r="X273" s="41">
        <f>G273/'1. Väestöennuste'!H273*1000</f>
        <v>-6053.0205655526988</v>
      </c>
      <c r="Y273" s="41">
        <f>H273/'1. Väestöennuste'!I273*1000</f>
        <v>-6375.535773161886</v>
      </c>
      <c r="Z273" s="41">
        <f>I273/'1. Väestöennuste'!J273*1000</f>
        <v>-6446.0552933243425</v>
      </c>
      <c r="AA273" s="41">
        <f>J273/'1. Väestöennuste'!K273*1000</f>
        <v>-6644.4445507147711</v>
      </c>
      <c r="AB273" s="41">
        <f>K273/'1. Väestöennuste'!L273*1000</f>
        <v>-7067.5065449534968</v>
      </c>
      <c r="AC273" s="41">
        <f>L273/'1. Väestöennuste'!M273*1000</f>
        <v>-3291.3199297999295</v>
      </c>
      <c r="AD273" s="41">
        <f>M273/'1. Väestöennuste'!N273*1000</f>
        <v>-3530.7277625439269</v>
      </c>
      <c r="AE273" s="41">
        <f>N273/'1. Väestöennuste'!O273*1000</f>
        <v>-3824.607389369678</v>
      </c>
      <c r="AF273" s="41">
        <f>O273/'1. Väestöennuste'!P273*1000</f>
        <v>-4106.0016980100836</v>
      </c>
      <c r="AG273" s="41">
        <f>P273/'1. Väestöennuste'!Q273*1000</f>
        <v>-4317.4086194115444</v>
      </c>
      <c r="AH273" s="41">
        <f>Q273/'1. Väestöennuste'!R273*1000</f>
        <v>-4489.546505957187</v>
      </c>
    </row>
    <row r="274" spans="1:34" customFormat="1" x14ac:dyDescent="0.25">
      <c r="A274" s="99">
        <v>13</v>
      </c>
      <c r="B274" s="30">
        <v>850</v>
      </c>
      <c r="C274" s="47" t="s">
        <v>588</v>
      </c>
      <c r="D274" s="65">
        <v>-13177</v>
      </c>
      <c r="E274" s="157">
        <v>-13389</v>
      </c>
      <c r="F274" s="157">
        <v>-12650</v>
      </c>
      <c r="G274" s="157">
        <v>-13627</v>
      </c>
      <c r="H274" s="43">
        <v>-17370</v>
      </c>
      <c r="I274" s="43">
        <v>-13058</v>
      </c>
      <c r="J274" s="159">
        <v>-14757.94283</v>
      </c>
      <c r="K274" s="43">
        <v>-15693.83066</v>
      </c>
      <c r="L274" s="43">
        <v>-7347.0152300000009</v>
      </c>
      <c r="M274" s="43">
        <f>'2.1. Toimintakatennuste'!AX265</f>
        <v>-5789.4465995318069</v>
      </c>
      <c r="N274" s="43">
        <f>$N$6*'2.1. Toimintakatennuste'!AG265</f>
        <v>-8287.2720306387255</v>
      </c>
      <c r="O274" s="43">
        <f>$O$6*'2.1. Toimintakatennuste'!AH265</f>
        <v>-8641.4918433223829</v>
      </c>
      <c r="P274" s="43">
        <f>P$6*'2.1. Toimintakatennuste'!AI265</f>
        <v>-8925.6589116221985</v>
      </c>
      <c r="Q274" s="43">
        <f>Q$6*'2.1. Toimintakatennuste'!AJ265</f>
        <v>-9246.5391681623223</v>
      </c>
      <c r="R274" s="117"/>
      <c r="S274" s="34">
        <v>850</v>
      </c>
      <c r="T274" s="88" t="s">
        <v>588</v>
      </c>
      <c r="U274" s="41">
        <f>D274/'1. Väestöennuste'!E274*1000</f>
        <v>-5420.4031262854796</v>
      </c>
      <c r="V274" s="41">
        <f>E274/'1. Väestöennuste'!F274*1000</f>
        <v>-5505.3453947368425</v>
      </c>
      <c r="W274" s="41">
        <f>F274/'1. Väestöennuste'!G274*1000</f>
        <v>-5306.2080536912754</v>
      </c>
      <c r="X274" s="41">
        <f>G274/'1. Väestöennuste'!H274*1000</f>
        <v>-5663.7572734829591</v>
      </c>
      <c r="Y274" s="41">
        <f>H274/'1. Väestöennuste'!I274*1000</f>
        <v>-7273.869346733668</v>
      </c>
      <c r="Z274" s="41">
        <f>I274/'1. Väestöennuste'!J274*1000</f>
        <v>-5438.5672636401496</v>
      </c>
      <c r="AA274" s="41">
        <f>J274/'1. Väestöennuste'!K274*1000</f>
        <v>-6182.6321030582321</v>
      </c>
      <c r="AB274" s="41">
        <f>K274/'1. Väestöennuste'!L274*1000</f>
        <v>-6520.0792106356457</v>
      </c>
      <c r="AC274" s="41">
        <f>L274/'1. Väestöennuste'!M274*1000</f>
        <v>-3102.6246748310814</v>
      </c>
      <c r="AD274" s="41">
        <f>M274/'1. Väestöennuste'!N274*1000</f>
        <v>-2422.3625939463627</v>
      </c>
      <c r="AE274" s="41">
        <f>N274/'1. Väestöennuste'!O274*1000</f>
        <v>-3477.663462290695</v>
      </c>
      <c r="AF274" s="41">
        <f>O274/'1. Väestöennuste'!P274*1000</f>
        <v>-3635.4614401861095</v>
      </c>
      <c r="AG274" s="41">
        <f>P274/'1. Väestöennuste'!Q274*1000</f>
        <v>-3769.2816349755908</v>
      </c>
      <c r="AH274" s="41">
        <f>Q274/'1. Väestöennuste'!R274*1000</f>
        <v>-3926.3435958226419</v>
      </c>
    </row>
    <row r="275" spans="1:34" customFormat="1" x14ac:dyDescent="0.25">
      <c r="A275" s="99">
        <v>19</v>
      </c>
      <c r="B275" s="30">
        <v>851</v>
      </c>
      <c r="C275" s="47" t="s">
        <v>589</v>
      </c>
      <c r="D275" s="65">
        <v>-115086</v>
      </c>
      <c r="E275" s="157">
        <v>-114719</v>
      </c>
      <c r="F275" s="157">
        <v>-114320</v>
      </c>
      <c r="G275" s="157">
        <v>-117401</v>
      </c>
      <c r="H275" s="43">
        <v>-122326</v>
      </c>
      <c r="I275" s="43">
        <v>-123851</v>
      </c>
      <c r="J275" s="159">
        <v>-127830.8388</v>
      </c>
      <c r="K275" s="43">
        <v>-133913.77259000001</v>
      </c>
      <c r="L275" s="43">
        <v>-51968.401020000005</v>
      </c>
      <c r="M275" s="43">
        <f>'2.1. Toimintakatennuste'!AX266</f>
        <v>-56373.632655537003</v>
      </c>
      <c r="N275" s="43">
        <f>$N$6*'2.1. Toimintakatennuste'!AG266</f>
        <v>-59170.04937169583</v>
      </c>
      <c r="O275" s="43">
        <f>$O$6*'2.1. Toimintakatennuste'!AH266</f>
        <v>-60510.666581404475</v>
      </c>
      <c r="P275" s="43">
        <f>P$6*'2.1. Toimintakatennuste'!AI266</f>
        <v>-61759.775579658453</v>
      </c>
      <c r="Q275" s="43">
        <f>Q$6*'2.1. Toimintakatennuste'!AJ266</f>
        <v>-62626.255852780938</v>
      </c>
      <c r="R275" s="117"/>
      <c r="S275" s="34">
        <v>851</v>
      </c>
      <c r="T275" s="88" t="s">
        <v>589</v>
      </c>
      <c r="U275" s="41">
        <f>D275/'1. Väestöennuste'!E275*1000</f>
        <v>-5184.2875805216454</v>
      </c>
      <c r="V275" s="41">
        <f>E275/'1. Väestöennuste'!F275*1000</f>
        <v>-5186.9150427273144</v>
      </c>
      <c r="W275" s="41">
        <f>F275/'1. Väestöennuste'!G275*1000</f>
        <v>-5213.4257570229847</v>
      </c>
      <c r="X275" s="41">
        <f>G275/'1. Väestöennuste'!H275*1000</f>
        <v>-5366.9028571428571</v>
      </c>
      <c r="Y275" s="41">
        <f>H275/'1. Väestöennuste'!I275*1000</f>
        <v>-5662.7164151467459</v>
      </c>
      <c r="Z275" s="41">
        <f>I275/'1. Väestöennuste'!J275*1000</f>
        <v>-5769.366935296036</v>
      </c>
      <c r="AA275" s="41">
        <f>J275/'1. Väestöennuste'!K275*1000</f>
        <v>-5992.1641963155671</v>
      </c>
      <c r="AB275" s="41">
        <f>K275/'1. Väestöennuste'!L275*1000</f>
        <v>-6308.6527813633584</v>
      </c>
      <c r="AC275" s="41">
        <f>L275/'1. Väestöennuste'!M275*1000</f>
        <v>-2472.5664202112475</v>
      </c>
      <c r="AD275" s="41">
        <f>M275/'1. Väestöennuste'!N275*1000</f>
        <v>-2698.8525783003161</v>
      </c>
      <c r="AE275" s="41">
        <f>N275/'1. Väestöennuste'!O275*1000</f>
        <v>-2851.8435209030185</v>
      </c>
      <c r="AF275" s="41">
        <f>O275/'1. Väestöennuste'!P275*1000</f>
        <v>-2935.7008820786177</v>
      </c>
      <c r="AG275" s="41">
        <f>P275/'1. Väestöennuste'!Q275*1000</f>
        <v>-3016.2031441521026</v>
      </c>
      <c r="AH275" s="41">
        <f>Q275/'1. Väestöennuste'!R275*1000</f>
        <v>-3078.9702975801838</v>
      </c>
    </row>
    <row r="276" spans="1:34" customFormat="1" x14ac:dyDescent="0.25">
      <c r="A276" s="99">
        <v>2</v>
      </c>
      <c r="B276" s="30">
        <v>853</v>
      </c>
      <c r="C276" s="47" t="s">
        <v>590</v>
      </c>
      <c r="D276" s="65">
        <v>-962875</v>
      </c>
      <c r="E276" s="157">
        <v>-984688</v>
      </c>
      <c r="F276" s="157">
        <v>-1024851</v>
      </c>
      <c r="G276" s="157">
        <v>-1035719</v>
      </c>
      <c r="H276" s="43">
        <v>-1071290</v>
      </c>
      <c r="I276" s="43">
        <v>-1118770</v>
      </c>
      <c r="J276" s="159">
        <v>-1130456.1937500001</v>
      </c>
      <c r="K276" s="43">
        <v>-1225387.34353</v>
      </c>
      <c r="L276" s="43">
        <v>-540422.97938000003</v>
      </c>
      <c r="M276" s="43">
        <f>'2.1. Toimintakatennuste'!AX267</f>
        <v>-537485.7790025787</v>
      </c>
      <c r="N276" s="43">
        <f>$N$6*'2.1. Toimintakatennuste'!AG267</f>
        <v>-635496.14881610696</v>
      </c>
      <c r="O276" s="43">
        <f>$O$6*'2.1. Toimintakatennuste'!AH267</f>
        <v>-666542.63453475398</v>
      </c>
      <c r="P276" s="43">
        <f>P$6*'2.1. Toimintakatennuste'!AI267</f>
        <v>-695573.43669037672</v>
      </c>
      <c r="Q276" s="43">
        <f>Q$6*'2.1. Toimintakatennuste'!AJ267</f>
        <v>-723148.90782861772</v>
      </c>
      <c r="R276" s="117"/>
      <c r="S276" s="34">
        <v>853</v>
      </c>
      <c r="T276" s="88" t="s">
        <v>590</v>
      </c>
      <c r="U276" s="41">
        <f>D276/'1. Väestöennuste'!E276*1000</f>
        <v>-5179.309120640316</v>
      </c>
      <c r="V276" s="41">
        <f>E276/'1. Väestöennuste'!F276*1000</f>
        <v>-5248.75802221701</v>
      </c>
      <c r="W276" s="41">
        <f>F276/'1. Väestöennuste'!G276*1000</f>
        <v>-5403.3658636888476</v>
      </c>
      <c r="X276" s="41">
        <f>G276/'1. Väestöennuste'!H276*1000</f>
        <v>-5413.23152024502</v>
      </c>
      <c r="Y276" s="41">
        <f>H276/'1. Väestöennuste'!I276*1000</f>
        <v>-5551.8184927602324</v>
      </c>
      <c r="Z276" s="41">
        <f>I276/'1. Väestöennuste'!J276*1000</f>
        <v>-5755.2561589785528</v>
      </c>
      <c r="AA276" s="41">
        <f>J276/'1. Väestöennuste'!K276*1000</f>
        <v>-5793.1411969539349</v>
      </c>
      <c r="AB276" s="41">
        <f>K276/'1. Väestöennuste'!L276*1000</f>
        <v>-6191.9522159171302</v>
      </c>
      <c r="AC276" s="41">
        <f>L276/'1. Väestöennuste'!M276*1000</f>
        <v>-2677.1769932082652</v>
      </c>
      <c r="AD276" s="41">
        <f>M276/'1. Väestöennuste'!N276*1000</f>
        <v>-2687.1736135196088</v>
      </c>
      <c r="AE276" s="41">
        <f>N276/'1. Väestöennuste'!O276*1000</f>
        <v>-3157.8389855901642</v>
      </c>
      <c r="AF276" s="41">
        <f>O276/'1. Väestöennuste'!P276*1000</f>
        <v>-3292.5441342360896</v>
      </c>
      <c r="AG276" s="41">
        <f>P276/'1. Väestöennuste'!Q276*1000</f>
        <v>-3416.2885817655597</v>
      </c>
      <c r="AH276" s="41">
        <f>Q276/'1. Väestöennuste'!R276*1000</f>
        <v>-3531.9835492721004</v>
      </c>
    </row>
    <row r="277" spans="1:34" customFormat="1" x14ac:dyDescent="0.25">
      <c r="A277" s="99">
        <v>19</v>
      </c>
      <c r="B277" s="30">
        <v>854</v>
      </c>
      <c r="C277" s="47" t="s">
        <v>591</v>
      </c>
      <c r="D277" s="65">
        <v>-25658</v>
      </c>
      <c r="E277" s="157">
        <v>-25693</v>
      </c>
      <c r="F277" s="157">
        <v>-26667</v>
      </c>
      <c r="G277" s="157">
        <v>-25665</v>
      </c>
      <c r="H277" s="43">
        <v>-27188</v>
      </c>
      <c r="I277" s="43">
        <v>-27094</v>
      </c>
      <c r="J277" s="159">
        <v>-27297.734649999999</v>
      </c>
      <c r="K277" s="43">
        <v>-29171.483250000001</v>
      </c>
      <c r="L277" s="43">
        <v>-9097.3184700000002</v>
      </c>
      <c r="M277" s="43">
        <f>'2.1. Toimintakatennuste'!AX268</f>
        <v>-8810.3028382044249</v>
      </c>
      <c r="N277" s="43">
        <f>$N$6*'2.1. Toimintakatennuste'!AG268</f>
        <v>-10498.689195136551</v>
      </c>
      <c r="O277" s="43">
        <f>$O$6*'2.1. Toimintakatennuste'!AH268</f>
        <v>-10899.232783921914</v>
      </c>
      <c r="P277" s="43">
        <f>P$6*'2.1. Toimintakatennuste'!AI268</f>
        <v>-11231.62869638098</v>
      </c>
      <c r="Q277" s="43">
        <f>Q$6*'2.1. Toimintakatennuste'!AJ268</f>
        <v>-11593.3058590612</v>
      </c>
      <c r="R277" s="117"/>
      <c r="S277" s="34">
        <v>854</v>
      </c>
      <c r="T277" s="88" t="s">
        <v>591</v>
      </c>
      <c r="U277" s="41">
        <f>D277/'1. Väestöennuste'!E277*1000</f>
        <v>-7081.9762627656637</v>
      </c>
      <c r="V277" s="41">
        <f>E277/'1. Väestöennuste'!F277*1000</f>
        <v>-7207.0126227208975</v>
      </c>
      <c r="W277" s="41">
        <f>F277/'1. Väestöennuste'!G277*1000</f>
        <v>-7597.4358974358975</v>
      </c>
      <c r="X277" s="41">
        <f>G277/'1. Väestöennuste'!H277*1000</f>
        <v>-7465.0959860383946</v>
      </c>
      <c r="Y277" s="41">
        <f>H277/'1. Väestöennuste'!I277*1000</f>
        <v>-8060.4802846131051</v>
      </c>
      <c r="Z277" s="41">
        <f>I277/'1. Väestöennuste'!J277*1000</f>
        <v>-8200.3631961259071</v>
      </c>
      <c r="AA277" s="41">
        <f>J277/'1. Väestöennuste'!K277*1000</f>
        <v>-8282.0796874999996</v>
      </c>
      <c r="AB277" s="41">
        <f>K277/'1. Väestöennuste'!L277*1000</f>
        <v>-8942.8213519313304</v>
      </c>
      <c r="AC277" s="41">
        <f>L277/'1. Väestöennuste'!M277*1000</f>
        <v>-2796.5934429757149</v>
      </c>
      <c r="AD277" s="41">
        <f>M277/'1. Väestöennuste'!N277*1000</f>
        <v>-2875.4252082912617</v>
      </c>
      <c r="AE277" s="41">
        <f>N277/'1. Väestöennuste'!O277*1000</f>
        <v>-3483.3076294414568</v>
      </c>
      <c r="AF277" s="41">
        <f>O277/'1. Väestöennuste'!P277*1000</f>
        <v>-3672.2482425612916</v>
      </c>
      <c r="AG277" s="41">
        <f>P277/'1. Väestöennuste'!Q277*1000</f>
        <v>-3842.5004092990011</v>
      </c>
      <c r="AH277" s="41">
        <f>Q277/'1. Väestöennuste'!R277*1000</f>
        <v>-4024.056181555432</v>
      </c>
    </row>
    <row r="278" spans="1:34" customFormat="1" x14ac:dyDescent="0.25">
      <c r="A278" s="99">
        <v>11</v>
      </c>
      <c r="B278" s="30">
        <v>857</v>
      </c>
      <c r="C278" s="47" t="s">
        <v>592</v>
      </c>
      <c r="D278" s="65">
        <v>-17008</v>
      </c>
      <c r="E278" s="157">
        <v>-17694</v>
      </c>
      <c r="F278" s="157">
        <v>-17055</v>
      </c>
      <c r="G278" s="157">
        <v>-17802</v>
      </c>
      <c r="H278" s="43">
        <v>-18335</v>
      </c>
      <c r="I278" s="43">
        <v>-18655</v>
      </c>
      <c r="J278" s="159">
        <v>-18791.921760000001</v>
      </c>
      <c r="K278" s="43">
        <v>-19616.954829999999</v>
      </c>
      <c r="L278" s="43">
        <v>-5672.6257500000002</v>
      </c>
      <c r="M278" s="43">
        <f>'2.1. Toimintakatennuste'!AX269</f>
        <v>-5694.2374341089999</v>
      </c>
      <c r="N278" s="43">
        <f>$N$6*'2.1. Toimintakatennuste'!AG269</f>
        <v>-6370.6116807744929</v>
      </c>
      <c r="O278" s="43">
        <f>$O$6*'2.1. Toimintakatennuste'!AH269</f>
        <v>-6609.2356879132549</v>
      </c>
      <c r="P278" s="43">
        <f>P$6*'2.1. Toimintakatennuste'!AI269</f>
        <v>-6836.7320467460513</v>
      </c>
      <c r="Q278" s="43">
        <f>Q$6*'2.1. Toimintakatennuste'!AJ269</f>
        <v>-7055.5986573023301</v>
      </c>
      <c r="R278" s="117"/>
      <c r="S278" s="34">
        <v>857</v>
      </c>
      <c r="T278" s="88" t="s">
        <v>592</v>
      </c>
      <c r="U278" s="41">
        <f>D278/'1. Väestöennuste'!E278*1000</f>
        <v>-6255.2408973887459</v>
      </c>
      <c r="V278" s="41">
        <f>E278/'1. Väestöennuste'!F278*1000</f>
        <v>-6694.6651532349606</v>
      </c>
      <c r="W278" s="41">
        <f>F278/'1. Väestöennuste'!G278*1000</f>
        <v>-6567.1929149018097</v>
      </c>
      <c r="X278" s="41">
        <f>G278/'1. Väestöennuste'!H278*1000</f>
        <v>-6978.4398275186204</v>
      </c>
      <c r="Y278" s="41">
        <f>H278/'1. Väestöennuste'!I278*1000</f>
        <v>-7402.0993136859106</v>
      </c>
      <c r="Z278" s="41">
        <f>I278/'1. Väestöennuste'!J278*1000</f>
        <v>-7667.4886970817915</v>
      </c>
      <c r="AA278" s="41">
        <f>J278/'1. Väestöennuste'!K278*1000</f>
        <v>-7765.2569256198349</v>
      </c>
      <c r="AB278" s="41">
        <f>K278/'1. Väestöennuste'!L278*1000</f>
        <v>-8194.2167209690906</v>
      </c>
      <c r="AC278" s="41">
        <f>L278/'1. Väestöennuste'!M278*1000</f>
        <v>-2452.497081712062</v>
      </c>
      <c r="AD278" s="41">
        <f>M278/'1. Väestöennuste'!N278*1000</f>
        <v>-2537.5389635066845</v>
      </c>
      <c r="AE278" s="41">
        <f>N278/'1. Väestöennuste'!O278*1000</f>
        <v>-2886.5481109082434</v>
      </c>
      <c r="AF278" s="41">
        <f>O278/'1. Väestöennuste'!P278*1000</f>
        <v>-3040.1268113676429</v>
      </c>
      <c r="AG278" s="41">
        <f>P278/'1. Väestöennuste'!Q278*1000</f>
        <v>-3191.7516558104817</v>
      </c>
      <c r="AH278" s="41">
        <f>Q278/'1. Väestöennuste'!R278*1000</f>
        <v>-3339.1380299585094</v>
      </c>
    </row>
    <row r="279" spans="1:34" customFormat="1" x14ac:dyDescent="0.25">
      <c r="A279" s="99">
        <v>1</v>
      </c>
      <c r="B279" s="30">
        <v>858</v>
      </c>
      <c r="C279" s="47" t="s">
        <v>593</v>
      </c>
      <c r="D279" s="65">
        <v>-179798</v>
      </c>
      <c r="E279" s="157">
        <v>-183387</v>
      </c>
      <c r="F279" s="157">
        <v>-182667</v>
      </c>
      <c r="G279" s="157">
        <v>-191867</v>
      </c>
      <c r="H279" s="43">
        <v>-202303</v>
      </c>
      <c r="I279" s="43">
        <v>-211960</v>
      </c>
      <c r="J279" s="159">
        <v>-202928.61652000001</v>
      </c>
      <c r="K279" s="43">
        <v>-227207.99458</v>
      </c>
      <c r="L279" s="43">
        <v>-103692.53672</v>
      </c>
      <c r="M279" s="43">
        <f>'2.1. Toimintakatennuste'!AX270</f>
        <v>-104921.00870775053</v>
      </c>
      <c r="N279" s="43">
        <f>$N$6*'2.1. Toimintakatennuste'!AG270</f>
        <v>-114932.03414451204</v>
      </c>
      <c r="O279" s="43">
        <f>$O$6*'2.1. Toimintakatennuste'!AH270</f>
        <v>-118591.67197017958</v>
      </c>
      <c r="P279" s="43">
        <f>P$6*'2.1. Toimintakatennuste'!AI270</f>
        <v>-122222.2158819653</v>
      </c>
      <c r="Q279" s="43">
        <f>Q$6*'2.1. Toimintakatennuste'!AJ270</f>
        <v>-126034.13757478101</v>
      </c>
      <c r="R279" s="117"/>
      <c r="S279" s="34">
        <v>858</v>
      </c>
      <c r="T279" s="88" t="s">
        <v>593</v>
      </c>
      <c r="U279" s="41">
        <f>D279/'1. Väestöennuste'!E279*1000</f>
        <v>-4675.0565537325465</v>
      </c>
      <c r="V279" s="41">
        <f>E279/'1. Väestöennuste'!F279*1000</f>
        <v>-4752.4359904633566</v>
      </c>
      <c r="W279" s="41">
        <f>F279/'1. Väestöennuste'!G279*1000</f>
        <v>-4726.6728768824714</v>
      </c>
      <c r="X279" s="41">
        <f>G279/'1. Väestöennuste'!H279*1000</f>
        <v>-4962.4198220566932</v>
      </c>
      <c r="Y279" s="41">
        <f>H279/'1. Väestöennuste'!I279*1000</f>
        <v>-5241.1461436824793</v>
      </c>
      <c r="Z279" s="41">
        <f>I279/'1. Väestöennuste'!J279*1000</f>
        <v>-5465.2811798984094</v>
      </c>
      <c r="AA279" s="41">
        <f>J279/'1. Väestöennuste'!K279*1000</f>
        <v>-5109.2355234402539</v>
      </c>
      <c r="AB279" s="41">
        <f>K279/'1. Väestöennuste'!L279*1000</f>
        <v>-5626.1884553288428</v>
      </c>
      <c r="AC279" s="41">
        <f>L279/'1. Väestöennuste'!M279*1000</f>
        <v>-2508.4071972519232</v>
      </c>
      <c r="AD279" s="41">
        <f>M279/'1. Väestöennuste'!N279*1000</f>
        <v>-2672.9424173375419</v>
      </c>
      <c r="AE279" s="41">
        <f>N279/'1. Väestöennuste'!O279*1000</f>
        <v>-2920.095382111132</v>
      </c>
      <c r="AF279" s="41">
        <f>O279/'1. Väestöennuste'!P279*1000</f>
        <v>-3004.9834529375289</v>
      </c>
      <c r="AG279" s="41">
        <f>P279/'1. Väestöennuste'!Q279*1000</f>
        <v>-3088.7595623443344</v>
      </c>
      <c r="AH279" s="41">
        <f>Q279/'1. Väestöennuste'!R279*1000</f>
        <v>-3177.3846007860889</v>
      </c>
    </row>
    <row r="280" spans="1:34" customFormat="1" x14ac:dyDescent="0.25">
      <c r="A280" s="99">
        <v>17</v>
      </c>
      <c r="B280" s="30">
        <v>859</v>
      </c>
      <c r="C280" s="47" t="s">
        <v>594</v>
      </c>
      <c r="D280" s="65">
        <v>-34537</v>
      </c>
      <c r="E280" s="157">
        <v>-35746</v>
      </c>
      <c r="F280" s="157">
        <v>-35647</v>
      </c>
      <c r="G280" s="157">
        <v>-36827</v>
      </c>
      <c r="H280" s="43">
        <v>-36321</v>
      </c>
      <c r="I280" s="43">
        <v>-38198</v>
      </c>
      <c r="J280" s="159">
        <v>-40416.609210000002</v>
      </c>
      <c r="K280" s="43">
        <v>-42057.877529999998</v>
      </c>
      <c r="L280" s="43">
        <v>-21067.151329999997</v>
      </c>
      <c r="M280" s="43">
        <f>'2.1. Toimintakatennuste'!AX271</f>
        <v>-20772.626472588687</v>
      </c>
      <c r="N280" s="43">
        <f>$N$6*'2.1. Toimintakatennuste'!AG271</f>
        <v>-22659.680309818512</v>
      </c>
      <c r="O280" s="43">
        <f>$O$6*'2.1. Toimintakatennuste'!AH271</f>
        <v>-22939.304215697317</v>
      </c>
      <c r="P280" s="43">
        <f>P$6*'2.1. Toimintakatennuste'!AI271</f>
        <v>-23442.070429036419</v>
      </c>
      <c r="Q280" s="43">
        <f>Q$6*'2.1. Toimintakatennuste'!AJ271</f>
        <v>-23894.0242539725</v>
      </c>
      <c r="R280" s="117"/>
      <c r="S280" s="34">
        <v>859</v>
      </c>
      <c r="T280" s="88" t="s">
        <v>594</v>
      </c>
      <c r="U280" s="41">
        <f>D280/'1. Väestöennuste'!E280*1000</f>
        <v>-5084.2043279846894</v>
      </c>
      <c r="V280" s="41">
        <f>E280/'1. Väestöennuste'!F280*1000</f>
        <v>-5295.7037037037035</v>
      </c>
      <c r="W280" s="41">
        <f>F280/'1. Väestöennuste'!G280*1000</f>
        <v>-5296.7310549777112</v>
      </c>
      <c r="X280" s="41">
        <f>G280/'1. Väestöennuste'!H280*1000</f>
        <v>-5449.3933116306598</v>
      </c>
      <c r="Y280" s="41">
        <f>H280/'1. Väestöennuste'!I280*1000</f>
        <v>-5472.502636733464</v>
      </c>
      <c r="Z280" s="41">
        <f>I280/'1. Väestöennuste'!J280*1000</f>
        <v>-5784.9462365591398</v>
      </c>
      <c r="AA280" s="41">
        <f>J280/'1. Väestöennuste'!K280*1000</f>
        <v>-6130.2304277263775</v>
      </c>
      <c r="AB280" s="41">
        <f>K280/'1. Väestöennuste'!L280*1000</f>
        <v>-6409.307761353245</v>
      </c>
      <c r="AC280" s="41">
        <f>L280/'1. Väestöennuste'!M280*1000</f>
        <v>-3228.6821961685819</v>
      </c>
      <c r="AD280" s="41">
        <f>M280/'1. Väestöennuste'!N280*1000</f>
        <v>-3209.1188741833284</v>
      </c>
      <c r="AE280" s="41">
        <f>N280/'1. Väestöennuste'!O280*1000</f>
        <v>-3524.0560357416039</v>
      </c>
      <c r="AF280" s="41">
        <f>O280/'1. Väestöennuste'!P280*1000</f>
        <v>-3593.8123477514205</v>
      </c>
      <c r="AG280" s="41">
        <f>P280/'1. Väestöennuste'!Q280*1000</f>
        <v>-3699.2378773925234</v>
      </c>
      <c r="AH280" s="41">
        <f>Q280/'1. Väestöennuste'!R280*1000</f>
        <v>-3799.9402439523697</v>
      </c>
    </row>
    <row r="281" spans="1:34" customFormat="1" x14ac:dyDescent="0.25">
      <c r="A281" s="99">
        <v>4</v>
      </c>
      <c r="B281" s="30">
        <v>886</v>
      </c>
      <c r="C281" s="47" t="s">
        <v>595</v>
      </c>
      <c r="D281" s="65">
        <v>-68364</v>
      </c>
      <c r="E281" s="157">
        <v>-67327</v>
      </c>
      <c r="F281" s="157">
        <v>-67109</v>
      </c>
      <c r="G281" s="157">
        <v>-68609</v>
      </c>
      <c r="H281" s="43">
        <v>-68710</v>
      </c>
      <c r="I281" s="43">
        <v>-70768</v>
      </c>
      <c r="J281" s="159">
        <v>-73595.410829999993</v>
      </c>
      <c r="K281" s="43">
        <v>-79461.192580000003</v>
      </c>
      <c r="L281" s="43">
        <v>-31714.64633</v>
      </c>
      <c r="M281" s="43">
        <f>'2.1. Toimintakatennuste'!AX272</f>
        <v>-33450.164295250404</v>
      </c>
      <c r="N281" s="43">
        <f>$N$6*'2.1. Toimintakatennuste'!AG272</f>
        <v>-34674.880234757242</v>
      </c>
      <c r="O281" s="43">
        <f>$O$6*'2.1. Toimintakatennuste'!AH272</f>
        <v>-35351.396939490005</v>
      </c>
      <c r="P281" s="43">
        <f>P$6*'2.1. Toimintakatennuste'!AI272</f>
        <v>-36085.465758691091</v>
      </c>
      <c r="Q281" s="43">
        <f>Q$6*'2.1. Toimintakatennuste'!AJ272</f>
        <v>-36627.481672018257</v>
      </c>
      <c r="R281" s="117"/>
      <c r="S281" s="34">
        <v>886</v>
      </c>
      <c r="T281" s="88" t="s">
        <v>595</v>
      </c>
      <c r="U281" s="41">
        <f>D281/'1. Väestöennuste'!E281*1000</f>
        <v>-5120.1318154583587</v>
      </c>
      <c r="V281" s="41">
        <f>E281/'1. Väestöennuste'!F281*1000</f>
        <v>-5057.6171875</v>
      </c>
      <c r="W281" s="41">
        <f>F281/'1. Väestöennuste'!G281*1000</f>
        <v>-5069.8043363299839</v>
      </c>
      <c r="X281" s="41">
        <f>G281/'1. Väestöennuste'!H281*1000</f>
        <v>-5269.1037554719296</v>
      </c>
      <c r="Y281" s="41">
        <f>H281/'1. Väestöennuste'!I281*1000</f>
        <v>-5338.3575479760702</v>
      </c>
      <c r="Z281" s="41">
        <f>I281/'1. Väestöennuste'!J281*1000</f>
        <v>-5556.9689831173928</v>
      </c>
      <c r="AA281" s="41">
        <f>J281/'1. Väestöennuste'!K281*1000</f>
        <v>-5809.0939166469334</v>
      </c>
      <c r="AB281" s="41">
        <f>K281/'1. Väestöennuste'!L281*1000</f>
        <v>-6306.9444066989445</v>
      </c>
      <c r="AC281" s="41">
        <f>L281/'1. Väestöennuste'!M281*1000</f>
        <v>-2530.4912096066382</v>
      </c>
      <c r="AD281" s="41">
        <f>M281/'1. Väestöennuste'!N281*1000</f>
        <v>-2723.0677544163468</v>
      </c>
      <c r="AE281" s="41">
        <f>N281/'1. Väestöennuste'!O281*1000</f>
        <v>-2849.9120764984991</v>
      </c>
      <c r="AF281" s="41">
        <f>O281/'1. Väestöennuste'!P281*1000</f>
        <v>-2934.2128933839645</v>
      </c>
      <c r="AG281" s="41">
        <f>P281/'1. Väestöennuste'!Q281*1000</f>
        <v>-3025.52743847498</v>
      </c>
      <c r="AH281" s="41">
        <f>Q281/'1. Väestöennuste'!R281*1000</f>
        <v>-3103.7608399303667</v>
      </c>
    </row>
    <row r="282" spans="1:34" customFormat="1" x14ac:dyDescent="0.25">
      <c r="A282" s="99">
        <v>6</v>
      </c>
      <c r="B282" s="30">
        <v>887</v>
      </c>
      <c r="C282" s="47" t="s">
        <v>596</v>
      </c>
      <c r="D282" s="65">
        <v>-27376</v>
      </c>
      <c r="E282" s="157">
        <v>-28241</v>
      </c>
      <c r="F282" s="157">
        <v>-29075</v>
      </c>
      <c r="G282" s="157">
        <v>-27331</v>
      </c>
      <c r="H282" s="43">
        <v>-28781</v>
      </c>
      <c r="I282" s="43">
        <v>-30673</v>
      </c>
      <c r="J282" s="159">
        <v>-31141.691159999998</v>
      </c>
      <c r="K282" s="43">
        <v>-33029.093850000005</v>
      </c>
      <c r="L282" s="43">
        <v>-11565.13409</v>
      </c>
      <c r="M282" s="43">
        <f>'2.1. Toimintakatennuste'!AX273</f>
        <v>-11436.323475845149</v>
      </c>
      <c r="N282" s="43">
        <f>$N$6*'2.1. Toimintakatennuste'!AG273</f>
        <v>-13332.578234941677</v>
      </c>
      <c r="O282" s="43">
        <f>$O$6*'2.1. Toimintakatennuste'!AH273</f>
        <v>-13820.120913554632</v>
      </c>
      <c r="P282" s="43">
        <f>P$6*'2.1. Toimintakatennuste'!AI273</f>
        <v>-14323.795964280866</v>
      </c>
      <c r="Q282" s="43">
        <f>Q$6*'2.1. Toimintakatennuste'!AJ273</f>
        <v>-14753.547586030703</v>
      </c>
      <c r="R282" s="117"/>
      <c r="S282" s="34">
        <v>887</v>
      </c>
      <c r="T282" s="88" t="s">
        <v>596</v>
      </c>
      <c r="U282" s="41">
        <f>D282/'1. Väestöennuste'!E282*1000</f>
        <v>-5555.1948051948057</v>
      </c>
      <c r="V282" s="41">
        <f>E282/'1. Väestöennuste'!F282*1000</f>
        <v>-5813.2976533552901</v>
      </c>
      <c r="W282" s="41">
        <f>F282/'1. Väestöennuste'!G282*1000</f>
        <v>-6020.9153033754401</v>
      </c>
      <c r="X282" s="41">
        <f>G282/'1. Väestöennuste'!H282*1000</f>
        <v>-5703.4641068447418</v>
      </c>
      <c r="Y282" s="41">
        <f>H282/'1. Väestöennuste'!I282*1000</f>
        <v>-6139.2918088737197</v>
      </c>
      <c r="Z282" s="41">
        <f>I282/'1. Väestöennuste'!J282*1000</f>
        <v>-6604.8664944013781</v>
      </c>
      <c r="AA282" s="41">
        <f>J282/'1. Väestöennuste'!K282*1000</f>
        <v>-6669.8845919897194</v>
      </c>
      <c r="AB282" s="41">
        <f>K282/'1. Väestöennuste'!L282*1000</f>
        <v>-7228.9546618516097</v>
      </c>
      <c r="AC282" s="41">
        <f>L282/'1. Väestöennuste'!M282*1000</f>
        <v>-2531.7719111208407</v>
      </c>
      <c r="AD282" s="41">
        <f>M282/'1. Väestöennuste'!N282*1000</f>
        <v>-2576.9093005509576</v>
      </c>
      <c r="AE282" s="41">
        <f>N282/'1. Väestöennuste'!O282*1000</f>
        <v>-3037.0337665015209</v>
      </c>
      <c r="AF282" s="41">
        <f>O282/'1. Väestöennuste'!P282*1000</f>
        <v>-3179.9633947433576</v>
      </c>
      <c r="AG282" s="41">
        <f>P282/'1. Väestöennuste'!Q282*1000</f>
        <v>-3326.4737492524073</v>
      </c>
      <c r="AH282" s="41">
        <f>Q282/'1. Väestöennuste'!R282*1000</f>
        <v>-3458.4030909589087</v>
      </c>
    </row>
    <row r="283" spans="1:34" customFormat="1" x14ac:dyDescent="0.25">
      <c r="A283" s="99">
        <v>17</v>
      </c>
      <c r="B283" s="30">
        <v>889</v>
      </c>
      <c r="C283" s="47" t="s">
        <v>597</v>
      </c>
      <c r="D283" s="65">
        <v>-20819</v>
      </c>
      <c r="E283" s="157">
        <v>-20226</v>
      </c>
      <c r="F283" s="157">
        <v>-19835</v>
      </c>
      <c r="G283" s="157">
        <v>-19797</v>
      </c>
      <c r="H283" s="43">
        <v>-20452</v>
      </c>
      <c r="I283" s="43">
        <v>-20952</v>
      </c>
      <c r="J283" s="159">
        <v>-20928.413529999998</v>
      </c>
      <c r="K283" s="43">
        <v>-21579.143170000003</v>
      </c>
      <c r="L283" s="43">
        <v>-10485.79407</v>
      </c>
      <c r="M283" s="43">
        <f>'2.1. Toimintakatennuste'!AX274</f>
        <v>-11219.9912150568</v>
      </c>
      <c r="N283" s="43">
        <f>$N$6*'2.1. Toimintakatennuste'!AG274</f>
        <v>-11927.434169614806</v>
      </c>
      <c r="O283" s="43">
        <f>$O$6*'2.1. Toimintakatennuste'!AH274</f>
        <v>-12307.089478772787</v>
      </c>
      <c r="P283" s="43">
        <f>P$6*'2.1. Toimintakatennuste'!AI274</f>
        <v>-12737.731207276311</v>
      </c>
      <c r="Q283" s="43">
        <f>Q$6*'2.1. Toimintakatennuste'!AJ274</f>
        <v>-13045.073441349123</v>
      </c>
      <c r="R283" s="117"/>
      <c r="S283" s="34">
        <v>889</v>
      </c>
      <c r="T283" s="88" t="s">
        <v>597</v>
      </c>
      <c r="U283" s="41">
        <f>D283/'1. Väestöennuste'!E283*1000</f>
        <v>-7276.8262845159043</v>
      </c>
      <c r="V283" s="41">
        <f>E283/'1. Väestöennuste'!F283*1000</f>
        <v>-7162.1813031161473</v>
      </c>
      <c r="W283" s="41">
        <f>F283/'1. Väestöennuste'!G283*1000</f>
        <v>-7165.8236994219651</v>
      </c>
      <c r="X283" s="41">
        <f>G283/'1. Väestöennuste'!H283*1000</f>
        <v>-7326.7949666913401</v>
      </c>
      <c r="Y283" s="41">
        <f>H283/'1. Väestöennuste'!I283*1000</f>
        <v>-7642.750373692078</v>
      </c>
      <c r="Z283" s="41">
        <f>I283/'1. Väestöennuste'!J283*1000</f>
        <v>-8000</v>
      </c>
      <c r="AA283" s="41">
        <f>J283/'1. Väestöennuste'!K283*1000</f>
        <v>-8149.6937422118381</v>
      </c>
      <c r="AB283" s="41">
        <f>K283/'1. Väestöennuste'!L283*1000</f>
        <v>-8552.9699445105052</v>
      </c>
      <c r="AC283" s="41">
        <f>L283/'1. Väestöennuste'!M283*1000</f>
        <v>-4209.4717262143722</v>
      </c>
      <c r="AD283" s="41">
        <f>M283/'1. Väestöennuste'!N283*1000</f>
        <v>-4611.5870181080145</v>
      </c>
      <c r="AE283" s="41">
        <f>N283/'1. Väestöennuste'!O283*1000</f>
        <v>-4975.9842176115171</v>
      </c>
      <c r="AF283" s="41">
        <f>O283/'1. Väestöennuste'!P283*1000</f>
        <v>-5208.2477692648272</v>
      </c>
      <c r="AG283" s="41">
        <f>P283/'1. Väestöennuste'!Q283*1000</f>
        <v>-5462.1488881973883</v>
      </c>
      <c r="AH283" s="41">
        <f>Q283/'1. Väestöennuste'!R283*1000</f>
        <v>-5661.9242366966673</v>
      </c>
    </row>
    <row r="284" spans="1:34" customFormat="1" x14ac:dyDescent="0.25">
      <c r="A284" s="99">
        <v>19</v>
      </c>
      <c r="B284" s="30">
        <v>890</v>
      </c>
      <c r="C284" s="47" t="s">
        <v>598</v>
      </c>
      <c r="D284" s="65">
        <v>-10444</v>
      </c>
      <c r="E284" s="157">
        <v>-10378</v>
      </c>
      <c r="F284" s="157">
        <v>-9487</v>
      </c>
      <c r="G284" s="157">
        <v>-10121</v>
      </c>
      <c r="H284" s="43">
        <v>-10786</v>
      </c>
      <c r="I284" s="43">
        <v>-11133</v>
      </c>
      <c r="J284" s="159">
        <v>-11819.642290000002</v>
      </c>
      <c r="K284" s="43">
        <v>-12475.246279999999</v>
      </c>
      <c r="L284" s="43">
        <v>-5102.0095799999999</v>
      </c>
      <c r="M284" s="43">
        <f>'2.1. Toimintakatennuste'!AX275</f>
        <v>-5100.2634790444372</v>
      </c>
      <c r="N284" s="43">
        <f>$N$6*'2.1. Toimintakatennuste'!AG275</f>
        <v>-5652.6228130812333</v>
      </c>
      <c r="O284" s="43">
        <f>$O$6*'2.1. Toimintakatennuste'!AH275</f>
        <v>-5892.91659177372</v>
      </c>
      <c r="P284" s="43">
        <f>P$6*'2.1. Toimintakatennuste'!AI275</f>
        <v>-6172.8346047284795</v>
      </c>
      <c r="Q284" s="43">
        <f>Q$6*'2.1. Toimintakatennuste'!AJ275</f>
        <v>-6354.3578882825459</v>
      </c>
      <c r="R284" s="117"/>
      <c r="S284" s="34">
        <v>890</v>
      </c>
      <c r="T284" s="88" t="s">
        <v>598</v>
      </c>
      <c r="U284" s="41">
        <f>D284/'1. Väestöennuste'!E284*1000</f>
        <v>-8355.2000000000007</v>
      </c>
      <c r="V284" s="41">
        <f>E284/'1. Väestöennuste'!F284*1000</f>
        <v>-8362.610797743755</v>
      </c>
      <c r="W284" s="41">
        <f>F284/'1. Väestöennuste'!G284*1000</f>
        <v>-7638.4863123993555</v>
      </c>
      <c r="X284" s="41">
        <f>G284/'1. Väestöennuste'!H284*1000</f>
        <v>-8215.0974025974028</v>
      </c>
      <c r="Y284" s="41">
        <f>H284/'1. Väestöennuste'!I284*1000</f>
        <v>-8899.3399339933985</v>
      </c>
      <c r="Z284" s="41">
        <f>I284/'1. Väestöennuste'!J284*1000</f>
        <v>-9132.8958162428225</v>
      </c>
      <c r="AA284" s="41">
        <f>J284/'1. Väestöennuste'!K284*1000</f>
        <v>-10050.7162329932</v>
      </c>
      <c r="AB284" s="41">
        <f>K284/'1. Väestöennuste'!L284*1000</f>
        <v>-10572.242610169491</v>
      </c>
      <c r="AC284" s="41">
        <f>L284/'1. Väestöennuste'!M284*1000</f>
        <v>-4479.3762774363477</v>
      </c>
      <c r="AD284" s="41">
        <f>M284/'1. Väestöennuste'!N284*1000</f>
        <v>-4257.3150910220675</v>
      </c>
      <c r="AE284" s="41">
        <f>N284/'1. Väestöennuste'!O284*1000</f>
        <v>-4730.2282954654675</v>
      </c>
      <c r="AF284" s="41">
        <f>O284/'1. Väestöennuste'!P284*1000</f>
        <v>-4939.5780316627997</v>
      </c>
      <c r="AG284" s="41">
        <f>P284/'1. Väestöennuste'!Q284*1000</f>
        <v>-5178.5525207453684</v>
      </c>
      <c r="AH284" s="41">
        <f>Q284/'1. Väestöennuste'!R284*1000</f>
        <v>-5330.8371545994514</v>
      </c>
    </row>
    <row r="285" spans="1:34" customFormat="1" x14ac:dyDescent="0.25">
      <c r="A285" s="99">
        <v>13</v>
      </c>
      <c r="B285" s="30">
        <v>892</v>
      </c>
      <c r="C285" s="47" t="s">
        <v>599</v>
      </c>
      <c r="D285" s="65">
        <v>-18305</v>
      </c>
      <c r="E285" s="157">
        <v>-18865</v>
      </c>
      <c r="F285" s="157">
        <v>-18623</v>
      </c>
      <c r="G285" s="157">
        <v>-20054</v>
      </c>
      <c r="H285" s="43">
        <v>-20823</v>
      </c>
      <c r="I285" s="43">
        <v>-20391</v>
      </c>
      <c r="J285" s="159">
        <v>-21389.554630000002</v>
      </c>
      <c r="K285" s="43">
        <v>-23312.339219999998</v>
      </c>
      <c r="L285" s="43">
        <v>-12438.61024</v>
      </c>
      <c r="M285" s="43">
        <f>'2.1. Toimintakatennuste'!AX276</f>
        <v>-12218.132007204578</v>
      </c>
      <c r="N285" s="43">
        <f>$N$6*'2.1. Toimintakatennuste'!AG276</f>
        <v>-14061.36474074459</v>
      </c>
      <c r="O285" s="43">
        <f>$O$6*'2.1. Toimintakatennuste'!AH276</f>
        <v>-14597.174648965363</v>
      </c>
      <c r="P285" s="43">
        <f>P$6*'2.1. Toimintakatennuste'!AI276</f>
        <v>-15170.36274627427</v>
      </c>
      <c r="Q285" s="43">
        <f>Q$6*'2.1. Toimintakatennuste'!AJ276</f>
        <v>-15728.513989165647</v>
      </c>
      <c r="R285" s="117"/>
      <c r="S285" s="34">
        <v>892</v>
      </c>
      <c r="T285" s="88" t="s">
        <v>599</v>
      </c>
      <c r="U285" s="41">
        <f>D285/'1. Väestöennuste'!E285*1000</f>
        <v>-4993.1805782869615</v>
      </c>
      <c r="V285" s="41">
        <f>E285/'1. Väestöennuste'!F285*1000</f>
        <v>-5075.3295668549908</v>
      </c>
      <c r="W285" s="41">
        <f>F285/'1. Väestöennuste'!G285*1000</f>
        <v>-4970.1094208700297</v>
      </c>
      <c r="X285" s="41">
        <f>G285/'1. Väestöennuste'!H285*1000</f>
        <v>-5301.0837959291566</v>
      </c>
      <c r="Y285" s="41">
        <f>H285/'1. Väestöennuste'!I285*1000</f>
        <v>-5656.886715566422</v>
      </c>
      <c r="Z285" s="41">
        <f>I285/'1. Väestöennuste'!J285*1000</f>
        <v>-5592.7043335161825</v>
      </c>
      <c r="AA285" s="41">
        <f>J285/'1. Väestöennuste'!K285*1000</f>
        <v>-5885.9533929554218</v>
      </c>
      <c r="AB285" s="41">
        <f>K285/'1. Väestöennuste'!L285*1000</f>
        <v>-6490.0721659242754</v>
      </c>
      <c r="AC285" s="41">
        <f>L285/'1. Väestöennuste'!M285*1000</f>
        <v>-3440.8327081604425</v>
      </c>
      <c r="AD285" s="41">
        <f>M285/'1. Väestöennuste'!N285*1000</f>
        <v>-3336.4642291656414</v>
      </c>
      <c r="AE285" s="41">
        <f>N285/'1. Väestöennuste'!O285*1000</f>
        <v>-3847.1586157987931</v>
      </c>
      <c r="AF285" s="41">
        <f>O285/'1. Väestöennuste'!P285*1000</f>
        <v>-4009.11141141592</v>
      </c>
      <c r="AG285" s="41">
        <f>P285/'1. Väestöennuste'!Q285*1000</f>
        <v>-4184.9276541446261</v>
      </c>
      <c r="AH285" s="41">
        <f>Q285/'1. Väestöennuste'!R285*1000</f>
        <v>-4364.1825719105564</v>
      </c>
    </row>
    <row r="286" spans="1:34" customFormat="1" x14ac:dyDescent="0.25">
      <c r="A286" s="99">
        <v>15</v>
      </c>
      <c r="B286" s="30">
        <v>893</v>
      </c>
      <c r="C286" s="47" t="s">
        <v>600</v>
      </c>
      <c r="D286" s="65">
        <v>-43243</v>
      </c>
      <c r="E286" s="157">
        <v>-42926</v>
      </c>
      <c r="F286" s="157">
        <v>-42469</v>
      </c>
      <c r="G286" s="157">
        <v>-44153</v>
      </c>
      <c r="H286" s="43">
        <v>-45629</v>
      </c>
      <c r="I286" s="43">
        <v>-43959</v>
      </c>
      <c r="J286" s="159">
        <v>-46355.521059999992</v>
      </c>
      <c r="K286" s="43">
        <v>-49380.188609999997</v>
      </c>
      <c r="L286" s="43">
        <v>-20498.75056</v>
      </c>
      <c r="M286" s="43">
        <f>'2.1. Toimintakatennuste'!AX277</f>
        <v>-21670.925035933935</v>
      </c>
      <c r="N286" s="43">
        <f>$N$6*'2.1. Toimintakatennuste'!AG277</f>
        <v>-22611.083862727213</v>
      </c>
      <c r="O286" s="43">
        <f>$O$6*'2.1. Toimintakatennuste'!AH277</f>
        <v>-23239.504643954453</v>
      </c>
      <c r="P286" s="43">
        <f>P$6*'2.1. Toimintakatennuste'!AI277</f>
        <v>-24004.042653216919</v>
      </c>
      <c r="Q286" s="43">
        <f>Q$6*'2.1. Toimintakatennuste'!AJ277</f>
        <v>-24599.374509002821</v>
      </c>
      <c r="R286" s="117"/>
      <c r="S286" s="34">
        <v>893</v>
      </c>
      <c r="T286" s="88" t="s">
        <v>600</v>
      </c>
      <c r="U286" s="41">
        <f>D286/'1. Väestöennuste'!E286*1000</f>
        <v>-5716.9487043892123</v>
      </c>
      <c r="V286" s="41">
        <f>E286/'1. Väestöennuste'!F286*1000</f>
        <v>-5711.2825971261309</v>
      </c>
      <c r="W286" s="41">
        <f>F286/'1. Väestöennuste'!G286*1000</f>
        <v>-5646.7225103044811</v>
      </c>
      <c r="X286" s="41">
        <f>G286/'1. Väestöennuste'!H286*1000</f>
        <v>-5922.6022803487585</v>
      </c>
      <c r="Y286" s="41">
        <f>H286/'1. Väestöennuste'!I286*1000</f>
        <v>-6113.2100750267946</v>
      </c>
      <c r="Z286" s="41">
        <f>I286/'1. Väestöennuste'!J286*1000</f>
        <v>-5877.6574408343358</v>
      </c>
      <c r="AA286" s="41">
        <f>J286/'1. Väestöennuste'!K286*1000</f>
        <v>-6183.2094251033732</v>
      </c>
      <c r="AB286" s="41">
        <f>K286/'1. Väestöennuste'!L286*1000</f>
        <v>-6642.4789628732851</v>
      </c>
      <c r="AC286" s="41">
        <f>L286/'1. Väestöennuste'!M286*1000</f>
        <v>-2733.1667413333334</v>
      </c>
      <c r="AD286" s="41">
        <f>M286/'1. Väestöennuste'!N286*1000</f>
        <v>-2915.1096362569187</v>
      </c>
      <c r="AE286" s="41">
        <f>N286/'1. Väestöennuste'!O286*1000</f>
        <v>-3048.1374848648175</v>
      </c>
      <c r="AF286" s="41">
        <f>O286/'1. Väestöennuste'!P286*1000</f>
        <v>-3142.5969768701084</v>
      </c>
      <c r="AG286" s="41">
        <f>P286/'1. Väestöennuste'!Q286*1000</f>
        <v>-3256.9935757417802</v>
      </c>
      <c r="AH286" s="41">
        <f>Q286/'1. Väestöennuste'!R286*1000</f>
        <v>-3352.326861406762</v>
      </c>
    </row>
    <row r="287" spans="1:34" customFormat="1" x14ac:dyDescent="0.25">
      <c r="A287" s="99">
        <v>2</v>
      </c>
      <c r="B287" s="30">
        <v>895</v>
      </c>
      <c r="C287" s="47" t="s">
        <v>601</v>
      </c>
      <c r="D287" s="65">
        <v>-77966</v>
      </c>
      <c r="E287" s="157">
        <v>-77366</v>
      </c>
      <c r="F287" s="157">
        <v>-79288</v>
      </c>
      <c r="G287" s="157">
        <v>-82208</v>
      </c>
      <c r="H287" s="43">
        <v>-86026</v>
      </c>
      <c r="I287" s="43">
        <v>-86443</v>
      </c>
      <c r="J287" s="159">
        <v>-89179.718280000001</v>
      </c>
      <c r="K287" s="43">
        <v>-98497.909450000006</v>
      </c>
      <c r="L287" s="43">
        <v>-35442.240159999994</v>
      </c>
      <c r="M287" s="43">
        <f>'2.1. Toimintakatennuste'!AX278</f>
        <v>-37785.404212310423</v>
      </c>
      <c r="N287" s="43">
        <f>$N$6*'2.1. Toimintakatennuste'!AG278</f>
        <v>-39568.337733855711</v>
      </c>
      <c r="O287" s="43">
        <f>$O$6*'2.1. Toimintakatennuste'!AH278</f>
        <v>-41072.638536674662</v>
      </c>
      <c r="P287" s="43">
        <f>P$6*'2.1. Toimintakatennuste'!AI278</f>
        <v>-41804.106973570888</v>
      </c>
      <c r="Q287" s="43">
        <f>Q$6*'2.1. Toimintakatennuste'!AJ278</f>
        <v>-42541.645495374032</v>
      </c>
      <c r="R287" s="117"/>
      <c r="S287" s="34">
        <v>895</v>
      </c>
      <c r="T287" s="88" t="s">
        <v>601</v>
      </c>
      <c r="U287" s="41">
        <f>D287/'1. Väestöennuste'!E287*1000</f>
        <v>-5026.8214055448097</v>
      </c>
      <c r="V287" s="41">
        <f>E287/'1. Väestöennuste'!F287*1000</f>
        <v>-5022.461698260192</v>
      </c>
      <c r="W287" s="41">
        <f>F287/'1. Väestöennuste'!G287*1000</f>
        <v>-5033.519553072626</v>
      </c>
      <c r="X287" s="41">
        <f>G287/'1. Väestöennuste'!H287*1000</f>
        <v>-5236.1783439490446</v>
      </c>
      <c r="Y287" s="41">
        <f>H287/'1. Väestöennuste'!I287*1000</f>
        <v>-5542.1981703388738</v>
      </c>
      <c r="Z287" s="41">
        <f>I287/'1. Väestöennuste'!J287*1000</f>
        <v>-5621.212121212121</v>
      </c>
      <c r="AA287" s="41">
        <f>J287/'1. Väestöennuste'!K287*1000</f>
        <v>-5767.2973084136329</v>
      </c>
      <c r="AB287" s="41">
        <f>K287/'1. Väestöennuste'!L287*1000</f>
        <v>-6526.498108269283</v>
      </c>
      <c r="AC287" s="41">
        <f>L287/'1. Väestöennuste'!M287*1000</f>
        <v>-2372.6228517873874</v>
      </c>
      <c r="AD287" s="41">
        <f>M287/'1. Väestöennuste'!N287*1000</f>
        <v>-2510.8249194172649</v>
      </c>
      <c r="AE287" s="41">
        <f>N287/'1. Väestöennuste'!O287*1000</f>
        <v>-2644.7655727461874</v>
      </c>
      <c r="AF287" s="41">
        <f>O287/'1. Väestöennuste'!P287*1000</f>
        <v>-2761.0001705212867</v>
      </c>
      <c r="AG287" s="41">
        <f>P287/'1. Väestöennuste'!Q287*1000</f>
        <v>-2826.51162769242</v>
      </c>
      <c r="AH287" s="41">
        <f>Q287/'1. Väestöennuste'!R287*1000</f>
        <v>-2892.4153858698692</v>
      </c>
    </row>
    <row r="288" spans="1:34" customFormat="1" x14ac:dyDescent="0.25">
      <c r="A288" s="99">
        <v>15</v>
      </c>
      <c r="B288" s="30">
        <v>905</v>
      </c>
      <c r="C288" s="47" t="s">
        <v>602</v>
      </c>
      <c r="D288" s="65">
        <v>-377001</v>
      </c>
      <c r="E288" s="157">
        <v>-377559</v>
      </c>
      <c r="F288" s="157">
        <v>-360222</v>
      </c>
      <c r="G288" s="157">
        <v>-367389</v>
      </c>
      <c r="H288" s="43">
        <v>-372462</v>
      </c>
      <c r="I288" s="43">
        <v>-389226</v>
      </c>
      <c r="J288" s="159">
        <v>-408902.01801999996</v>
      </c>
      <c r="K288" s="43">
        <v>-439943.25881999999</v>
      </c>
      <c r="L288" s="43">
        <v>-190143.67190000002</v>
      </c>
      <c r="M288" s="43">
        <f>'2.1. Toimintakatennuste'!AX279</f>
        <v>-190045.43663436084</v>
      </c>
      <c r="N288" s="43">
        <f>$N$6*'2.1. Toimintakatennuste'!AG279</f>
        <v>-218302.67546030242</v>
      </c>
      <c r="O288" s="43">
        <f>$O$6*'2.1. Toimintakatennuste'!AH279</f>
        <v>-226167.69621125568</v>
      </c>
      <c r="P288" s="43">
        <f>P$6*'2.1. Toimintakatennuste'!AI279</f>
        <v>-233530.22334750064</v>
      </c>
      <c r="Q288" s="43">
        <f>Q$6*'2.1. Toimintakatennuste'!AJ279</f>
        <v>-240579.56560916023</v>
      </c>
      <c r="R288" s="117"/>
      <c r="S288" s="34">
        <v>905</v>
      </c>
      <c r="T288" s="88" t="s">
        <v>602</v>
      </c>
      <c r="U288" s="41">
        <f>D288/'1. Väestöennuste'!E288*1000</f>
        <v>-5575.3708277259357</v>
      </c>
      <c r="V288" s="41">
        <f>E288/'1. Väestöennuste'!F288*1000</f>
        <v>-5583.5403726708073</v>
      </c>
      <c r="W288" s="41">
        <f>F288/'1. Väestöennuste'!G288*1000</f>
        <v>-5345.1745014245007</v>
      </c>
      <c r="X288" s="41">
        <f>G288/'1. Väestöennuste'!H288*1000</f>
        <v>-5438.610255802937</v>
      </c>
      <c r="Y288" s="41">
        <f>H288/'1. Väestöennuste'!I288*1000</f>
        <v>-5506.8602519368378</v>
      </c>
      <c r="Z288" s="41">
        <f>I288/'1. Väestöennuste'!J288*1000</f>
        <v>-5761.9576320113692</v>
      </c>
      <c r="AA288" s="41">
        <f>J288/'1. Väestöennuste'!K288*1000</f>
        <v>-6047.5045185239951</v>
      </c>
      <c r="AB288" s="41">
        <f>K288/'1. Väestöennuste'!L288*1000</f>
        <v>-6470.8957289521677</v>
      </c>
      <c r="AC288" s="41">
        <f>L288/'1. Väestöennuste'!M288*1000</f>
        <v>-2757.4637725506122</v>
      </c>
      <c r="AD288" s="41">
        <f>M288/'1. Väestöennuste'!N288*1000</f>
        <v>-2808.1244238716381</v>
      </c>
      <c r="AE288" s="41">
        <f>N288/'1. Väestöennuste'!O288*1000</f>
        <v>-3225.7506532737702</v>
      </c>
      <c r="AF288" s="41">
        <f>O288/'1. Väestöennuste'!P288*1000</f>
        <v>-3341.7212797171351</v>
      </c>
      <c r="AG288" s="41">
        <f>P288/'1. Väestöennuste'!Q288*1000</f>
        <v>-3449.8430169663134</v>
      </c>
      <c r="AH288" s="41">
        <f>Q288/'1. Väestöennuste'!R288*1000</f>
        <v>-3553.1401380785455</v>
      </c>
    </row>
    <row r="289" spans="1:34" customFormat="1" x14ac:dyDescent="0.25">
      <c r="A289" s="99">
        <v>6</v>
      </c>
      <c r="B289" s="30">
        <v>908</v>
      </c>
      <c r="C289" s="47" t="s">
        <v>603</v>
      </c>
      <c r="D289" s="65">
        <v>-107280</v>
      </c>
      <c r="E289" s="157">
        <v>-109718</v>
      </c>
      <c r="F289" s="157">
        <v>-109030</v>
      </c>
      <c r="G289" s="157">
        <v>-114188</v>
      </c>
      <c r="H289" s="43">
        <v>-118042</v>
      </c>
      <c r="I289" s="43">
        <v>-119194</v>
      </c>
      <c r="J289" s="159">
        <v>-125589.46924999999</v>
      </c>
      <c r="K289" s="43">
        <v>-138222.40665000002</v>
      </c>
      <c r="L289" s="43">
        <v>-53123.446259999997</v>
      </c>
      <c r="M289" s="43">
        <f>'2.1. Toimintakatennuste'!AX280</f>
        <v>-52494.150206036276</v>
      </c>
      <c r="N289" s="43">
        <f>$N$6*'2.1. Toimintakatennuste'!AG280</f>
        <v>-58805.761179077432</v>
      </c>
      <c r="O289" s="43">
        <f>$O$6*'2.1. Toimintakatennuste'!AH280</f>
        <v>-60054.000583183624</v>
      </c>
      <c r="P289" s="43">
        <f>P$6*'2.1. Toimintakatennuste'!AI280</f>
        <v>-61075.941584347682</v>
      </c>
      <c r="Q289" s="43">
        <f>Q$6*'2.1. Toimintakatennuste'!AJ280</f>
        <v>-62090.74528661363</v>
      </c>
      <c r="R289" s="117"/>
      <c r="S289" s="34">
        <v>908</v>
      </c>
      <c r="T289" s="88" t="s">
        <v>603</v>
      </c>
      <c r="U289" s="41">
        <f>D289/'1. Väestöennuste'!E289*1000</f>
        <v>-5029.0643165197826</v>
      </c>
      <c r="V289" s="41">
        <f>E289/'1. Väestöennuste'!F289*1000</f>
        <v>-5139.9793872388273</v>
      </c>
      <c r="W289" s="41">
        <f>F289/'1. Väestöennuste'!G289*1000</f>
        <v>-5158.4973504920508</v>
      </c>
      <c r="X289" s="41">
        <f>G289/'1. Väestöennuste'!H289*1000</f>
        <v>-5402.2803614514833</v>
      </c>
      <c r="Y289" s="41">
        <f>H289/'1. Väestöennuste'!I289*1000</f>
        <v>-5628.5523555216478</v>
      </c>
      <c r="Z289" s="41">
        <f>I289/'1. Väestöennuste'!J289*1000</f>
        <v>-5740.1396580784976</v>
      </c>
      <c r="AA289" s="41">
        <f>J289/'1. Väestöennuste'!K289*1000</f>
        <v>-6068.5899613433194</v>
      </c>
      <c r="AB289" s="41">
        <f>K289/'1. Väestöennuste'!L289*1000</f>
        <v>-6676.4433487900315</v>
      </c>
      <c r="AC289" s="41">
        <f>L289/'1. Väestöennuste'!M289*1000</f>
        <v>-2567.0941461293128</v>
      </c>
      <c r="AD289" s="41">
        <f>M289/'1. Väestöennuste'!N289*1000</f>
        <v>-2591.6637968914479</v>
      </c>
      <c r="AE289" s="41">
        <f>N289/'1. Väestöennuste'!O289*1000</f>
        <v>-2920.1390991696012</v>
      </c>
      <c r="AF289" s="41">
        <f>O289/'1. Väestöennuste'!P289*1000</f>
        <v>-2999.4006884019391</v>
      </c>
      <c r="AG289" s="41">
        <f>P289/'1. Väestöennuste'!Q289*1000</f>
        <v>-3068.5260040367607</v>
      </c>
      <c r="AH289" s="41">
        <f>Q289/'1. Väestöennuste'!R289*1000</f>
        <v>-3138.5909764248913</v>
      </c>
    </row>
    <row r="290" spans="1:34" customFormat="1" x14ac:dyDescent="0.25">
      <c r="A290" s="99">
        <v>11</v>
      </c>
      <c r="B290" s="30">
        <v>915</v>
      </c>
      <c r="C290" s="47" t="s">
        <v>604</v>
      </c>
      <c r="D290" s="65">
        <v>-119998</v>
      </c>
      <c r="E290" s="157">
        <v>-122329</v>
      </c>
      <c r="F290" s="157">
        <v>-122547</v>
      </c>
      <c r="G290" s="157">
        <v>-124213</v>
      </c>
      <c r="H290" s="43">
        <v>-127498</v>
      </c>
      <c r="I290" s="43">
        <v>-131154</v>
      </c>
      <c r="J290" s="159">
        <v>-135397.17431</v>
      </c>
      <c r="K290" s="43">
        <v>-142963.17965000001</v>
      </c>
      <c r="L290" s="43">
        <v>-48618.999349999998</v>
      </c>
      <c r="M290" s="43">
        <f>'2.1. Toimintakatennuste'!AX281</f>
        <v>-48384.746092380548</v>
      </c>
      <c r="N290" s="43">
        <f>$N$6*'2.1. Toimintakatennuste'!AG281</f>
        <v>-55801.691568448914</v>
      </c>
      <c r="O290" s="43">
        <f>$O$6*'2.1. Toimintakatennuste'!AH281</f>
        <v>-56765.689641788427</v>
      </c>
      <c r="P290" s="43">
        <f>P$6*'2.1. Toimintakatennuste'!AI281</f>
        <v>-57820.723906896652</v>
      </c>
      <c r="Q290" s="43">
        <f>Q$6*'2.1. Toimintakatennuste'!AJ281</f>
        <v>-58856.873294899633</v>
      </c>
      <c r="R290" s="117"/>
      <c r="S290" s="34">
        <v>915</v>
      </c>
      <c r="T290" s="88" t="s">
        <v>604</v>
      </c>
      <c r="U290" s="41">
        <f>D290/'1. Väestöennuste'!E290*1000</f>
        <v>-5545.7066272298734</v>
      </c>
      <c r="V290" s="41">
        <f>E290/'1. Väestöennuste'!F290*1000</f>
        <v>-5698.2019750326072</v>
      </c>
      <c r="W290" s="41">
        <f>F290/'1. Väestöennuste'!G290*1000</f>
        <v>-5792.8149373670522</v>
      </c>
      <c r="X290" s="41">
        <f>G290/'1. Väestöennuste'!H290*1000</f>
        <v>-5963.4644005953242</v>
      </c>
      <c r="Y290" s="41">
        <f>H290/'1. Väestöennuste'!I290*1000</f>
        <v>-6229.746897293071</v>
      </c>
      <c r="Z290" s="41">
        <f>I290/'1. Väestöennuste'!J290*1000</f>
        <v>-6467.7976131768419</v>
      </c>
      <c r="AA290" s="41">
        <f>J290/'1. Väestöennuste'!K290*1000</f>
        <v>-6779.0103795123423</v>
      </c>
      <c r="AB290" s="41">
        <f>K290/'1. Väestöennuste'!L290*1000</f>
        <v>-7235.3448884052841</v>
      </c>
      <c r="AC290" s="41">
        <f>L290/'1. Väestöennuste'!M290*1000</f>
        <v>-2464.5916434328587</v>
      </c>
      <c r="AD290" s="41">
        <f>M290/'1. Väestöennuste'!N290*1000</f>
        <v>-2512.9711276815492</v>
      </c>
      <c r="AE290" s="41">
        <f>N290/'1. Väestöennuste'!O290*1000</f>
        <v>-2933.6886372140743</v>
      </c>
      <c r="AF290" s="41">
        <f>O290/'1. Väestöennuste'!P290*1000</f>
        <v>-3019.9334809697521</v>
      </c>
      <c r="AG290" s="41">
        <f>P290/'1. Väestöennuste'!Q290*1000</f>
        <v>-3111.6523467278362</v>
      </c>
      <c r="AH290" s="41">
        <f>Q290/'1. Väestöennuste'!R290*1000</f>
        <v>-3203.9669730484284</v>
      </c>
    </row>
    <row r="291" spans="1:34" customFormat="1" x14ac:dyDescent="0.25">
      <c r="A291" s="99">
        <v>2</v>
      </c>
      <c r="B291" s="30">
        <v>918</v>
      </c>
      <c r="C291" s="47" t="s">
        <v>605</v>
      </c>
      <c r="D291" s="65">
        <v>-13368</v>
      </c>
      <c r="E291" s="157">
        <v>-13725</v>
      </c>
      <c r="F291" s="157">
        <v>-12568</v>
      </c>
      <c r="G291" s="157">
        <v>-14539</v>
      </c>
      <c r="H291" s="43">
        <v>-13746</v>
      </c>
      <c r="I291" s="43">
        <v>-13099</v>
      </c>
      <c r="J291" s="159">
        <v>-13822.73295</v>
      </c>
      <c r="K291" s="43">
        <v>-14584.31999</v>
      </c>
      <c r="L291" s="43">
        <v>-4402.2338499999996</v>
      </c>
      <c r="M291" s="43">
        <f>'2.1. Toimintakatennuste'!AX282</f>
        <v>-5037.0559868881892</v>
      </c>
      <c r="N291" s="43">
        <f>$N$6*'2.1. Toimintakatennuste'!AG282</f>
        <v>-4970.0103084182938</v>
      </c>
      <c r="O291" s="43">
        <f>$O$6*'2.1. Toimintakatennuste'!AH282</f>
        <v>-5139.0969416816024</v>
      </c>
      <c r="P291" s="43">
        <f>P$6*'2.1. Toimintakatennuste'!AI282</f>
        <v>-5396.9593231110412</v>
      </c>
      <c r="Q291" s="43">
        <f>Q$6*'2.1. Toimintakatennuste'!AJ282</f>
        <v>-5549.7609489059178</v>
      </c>
      <c r="R291" s="117"/>
      <c r="S291" s="34">
        <v>918</v>
      </c>
      <c r="T291" s="88" t="s">
        <v>605</v>
      </c>
      <c r="U291" s="41">
        <f>D291/'1. Väestöennuste'!E291*1000</f>
        <v>-5873.4622144112482</v>
      </c>
      <c r="V291" s="41">
        <f>E291/'1. Väestöennuste'!F291*1000</f>
        <v>-6027.6679841897239</v>
      </c>
      <c r="W291" s="41">
        <f>F291/'1. Väestöennuste'!G291*1000</f>
        <v>-5426.5975820379963</v>
      </c>
      <c r="X291" s="41">
        <f>G291/'1. Väestöennuste'!H291*1000</f>
        <v>-6362.8008752735232</v>
      </c>
      <c r="Y291" s="41">
        <f>H291/'1. Väestöennuste'!I291*1000</f>
        <v>-5994.7666812036632</v>
      </c>
      <c r="Z291" s="41">
        <f>I291/'1. Väestöennuste'!J291*1000</f>
        <v>-5715.0959860383946</v>
      </c>
      <c r="AA291" s="41">
        <f>J291/'1. Väestöennuste'!K291*1000</f>
        <v>-6086.628335535006</v>
      </c>
      <c r="AB291" s="41">
        <f>K291/'1. Väestöennuste'!L291*1000</f>
        <v>-6545.9245915619395</v>
      </c>
      <c r="AC291" s="41">
        <f>L291/'1. Väestöennuste'!M291*1000</f>
        <v>-1960.905946547884</v>
      </c>
      <c r="AD291" s="41">
        <f>M291/'1. Väestöennuste'!N291*1000</f>
        <v>-2169.2747574884534</v>
      </c>
      <c r="AE291" s="41">
        <f>N291/'1. Väestöennuste'!O291*1000</f>
        <v>-2136.719823051717</v>
      </c>
      <c r="AF291" s="41">
        <f>O291/'1. Väestöennuste'!P291*1000</f>
        <v>-2204.6747926562002</v>
      </c>
      <c r="AG291" s="41">
        <f>P291/'1. Väestöennuste'!Q291*1000</f>
        <v>-2309.353582845974</v>
      </c>
      <c r="AH291" s="41">
        <f>Q291/'1. Väestöennuste'!R291*1000</f>
        <v>-2369.6673564927064</v>
      </c>
    </row>
    <row r="292" spans="1:34" customFormat="1" x14ac:dyDescent="0.25">
      <c r="A292" s="99">
        <v>11</v>
      </c>
      <c r="B292" s="30">
        <v>921</v>
      </c>
      <c r="C292" s="47" t="s">
        <v>606</v>
      </c>
      <c r="D292" s="65">
        <v>-15920</v>
      </c>
      <c r="E292" s="157">
        <v>-15857</v>
      </c>
      <c r="F292" s="157">
        <v>-15432</v>
      </c>
      <c r="G292" s="157">
        <v>-15476</v>
      </c>
      <c r="H292" s="43">
        <v>-15522</v>
      </c>
      <c r="I292" s="43">
        <v>-15981</v>
      </c>
      <c r="J292" s="159">
        <v>-15835.757460000001</v>
      </c>
      <c r="K292" s="43">
        <v>-17596.362699999998</v>
      </c>
      <c r="L292" s="43">
        <v>-6053.8046599999998</v>
      </c>
      <c r="M292" s="43">
        <f>'2.1. Toimintakatennuste'!AX283</f>
        <v>-5541.4925563611177</v>
      </c>
      <c r="N292" s="43">
        <f>$N$6*'2.1. Toimintakatennuste'!AG283</f>
        <v>-6813.7384012472985</v>
      </c>
      <c r="O292" s="43">
        <f>$O$6*'2.1. Toimintakatennuste'!AH283</f>
        <v>-7054.5770619687655</v>
      </c>
      <c r="P292" s="43">
        <f>P$6*'2.1. Toimintakatennuste'!AI283</f>
        <v>-7282.0876562283356</v>
      </c>
      <c r="Q292" s="43">
        <f>Q$6*'2.1. Toimintakatennuste'!AJ283</f>
        <v>-7501.9999272827354</v>
      </c>
      <c r="R292" s="117"/>
      <c r="S292" s="34">
        <v>921</v>
      </c>
      <c r="T292" s="88" t="s">
        <v>606</v>
      </c>
      <c r="U292" s="41">
        <f>D292/'1. Väestöennuste'!E292*1000</f>
        <v>-7266.0885440438151</v>
      </c>
      <c r="V292" s="41">
        <f>E292/'1. Väestöennuste'!F292*1000</f>
        <v>-7382.216014897579</v>
      </c>
      <c r="W292" s="41">
        <f>F292/'1. Väestöennuste'!G292*1000</f>
        <v>-7369.6275071633245</v>
      </c>
      <c r="X292" s="41">
        <f>G292/'1. Väestöennuste'!H292*1000</f>
        <v>-7519.9222546161318</v>
      </c>
      <c r="Y292" s="41">
        <f>H292/'1. Väestöennuste'!I292*1000</f>
        <v>-7707.0506454816286</v>
      </c>
      <c r="Z292" s="41">
        <f>I292/'1. Väestöennuste'!J292*1000</f>
        <v>-8103.9553752535503</v>
      </c>
      <c r="AA292" s="41">
        <f>J292/'1. Väestöennuste'!K292*1000</f>
        <v>-8158.5561360123647</v>
      </c>
      <c r="AB292" s="41">
        <f>K292/'1. Väestöennuste'!L292*1000</f>
        <v>-9290.582206969375</v>
      </c>
      <c r="AC292" s="41">
        <f>L292/'1. Väestöennuste'!M292*1000</f>
        <v>-3194.6198733509236</v>
      </c>
      <c r="AD292" s="41">
        <f>M292/'1. Väestöennuste'!N292*1000</f>
        <v>-3056.5320222620617</v>
      </c>
      <c r="AE292" s="41">
        <f>N292/'1. Väestöennuste'!O292*1000</f>
        <v>-3827.9429220490438</v>
      </c>
      <c r="AF292" s="41">
        <f>O292/'1. Väestöennuste'!P292*1000</f>
        <v>-4035.7992345359071</v>
      </c>
      <c r="AG292" s="41">
        <f>P292/'1. Väestöennuste'!Q292*1000</f>
        <v>-4238.7006148011269</v>
      </c>
      <c r="AH292" s="41">
        <f>Q292/'1. Väestöennuste'!R292*1000</f>
        <v>-4441.6814252710092</v>
      </c>
    </row>
    <row r="293" spans="1:34" customFormat="1" x14ac:dyDescent="0.25">
      <c r="A293" s="99">
        <v>6</v>
      </c>
      <c r="B293" s="30">
        <v>922</v>
      </c>
      <c r="C293" s="47" t="s">
        <v>607</v>
      </c>
      <c r="D293" s="65">
        <v>-23507</v>
      </c>
      <c r="E293" s="157">
        <v>-22131</v>
      </c>
      <c r="F293" s="157">
        <v>-22603</v>
      </c>
      <c r="G293" s="157">
        <v>-24024</v>
      </c>
      <c r="H293" s="43">
        <v>-23978</v>
      </c>
      <c r="I293" s="43">
        <v>-23977</v>
      </c>
      <c r="J293" s="159">
        <v>-24405.12759</v>
      </c>
      <c r="K293" s="43">
        <v>-26730.38695</v>
      </c>
      <c r="L293" s="43">
        <v>-13023.937619999999</v>
      </c>
      <c r="M293" s="43">
        <f>'2.1. Toimintakatennuste'!AX284</f>
        <v>-12859.964039446653</v>
      </c>
      <c r="N293" s="43">
        <f>$N$6*'2.1. Toimintakatennuste'!AG284</f>
        <v>-14667.453953600387</v>
      </c>
      <c r="O293" s="43">
        <f>$O$6*'2.1. Toimintakatennuste'!AH284</f>
        <v>-15214.665801792466</v>
      </c>
      <c r="P293" s="43">
        <f>P$6*'2.1. Toimintakatennuste'!AI284</f>
        <v>-15681.421517980069</v>
      </c>
      <c r="Q293" s="43">
        <f>Q$6*'2.1. Toimintakatennuste'!AJ284</f>
        <v>-16268.359105190239</v>
      </c>
      <c r="R293" s="117"/>
      <c r="S293" s="34">
        <v>922</v>
      </c>
      <c r="T293" s="88" t="s">
        <v>607</v>
      </c>
      <c r="U293" s="41">
        <f>D293/'1. Väestöennuste'!E293*1000</f>
        <v>-5236.5783025172641</v>
      </c>
      <c r="V293" s="41">
        <f>E293/'1. Väestöennuste'!F293*1000</f>
        <v>-4959.88346033169</v>
      </c>
      <c r="W293" s="41">
        <f>F293/'1. Väestöennuste'!G293*1000</f>
        <v>-5067.9372197309413</v>
      </c>
      <c r="X293" s="41">
        <f>G293/'1. Väestöennuste'!H293*1000</f>
        <v>-5468.7002048713866</v>
      </c>
      <c r="Y293" s="41">
        <f>H293/'1. Väestöennuste'!I293*1000</f>
        <v>-5505.8553386911599</v>
      </c>
      <c r="Z293" s="41">
        <f>I293/'1. Väestöennuste'!J293*1000</f>
        <v>-5490.4969086329293</v>
      </c>
      <c r="AA293" s="41">
        <f>J293/'1. Väestöennuste'!K293*1000</f>
        <v>-5491.7028780378032</v>
      </c>
      <c r="AB293" s="41">
        <f>K293/'1. Väestöennuste'!L293*1000</f>
        <v>-5938.7662630526547</v>
      </c>
      <c r="AC293" s="41">
        <f>L293/'1. Väestöennuste'!M293*1000</f>
        <v>-2914.2845424032216</v>
      </c>
      <c r="AD293" s="41">
        <f>M293/'1. Väestöennuste'!N293*1000</f>
        <v>-2989.993964065718</v>
      </c>
      <c r="AE293" s="41">
        <f>N293/'1. Väestöennuste'!O293*1000</f>
        <v>-3418.9869355711858</v>
      </c>
      <c r="AF293" s="41">
        <f>O293/'1. Väestöennuste'!P293*1000</f>
        <v>-3551.5092908012293</v>
      </c>
      <c r="AG293" s="41">
        <f>P293/'1. Väestöennuste'!Q293*1000</f>
        <v>-3665.596427765327</v>
      </c>
      <c r="AH293" s="41">
        <f>Q293/'1. Väestöennuste'!R293*1000</f>
        <v>-3808.1364946606363</v>
      </c>
    </row>
    <row r="294" spans="1:34" customFormat="1" x14ac:dyDescent="0.25">
      <c r="A294" s="99">
        <v>16</v>
      </c>
      <c r="B294" s="30">
        <v>924</v>
      </c>
      <c r="C294" s="47" t="s">
        <v>608</v>
      </c>
      <c r="D294" s="65">
        <v>-16136</v>
      </c>
      <c r="E294" s="157">
        <v>-19593</v>
      </c>
      <c r="F294" s="157">
        <v>-19378</v>
      </c>
      <c r="G294" s="157">
        <v>-17807</v>
      </c>
      <c r="H294" s="43">
        <v>-19714</v>
      </c>
      <c r="I294" s="43">
        <v>-20684</v>
      </c>
      <c r="J294" s="159">
        <v>-20995.714399999997</v>
      </c>
      <c r="K294" s="43">
        <v>-21271.972120000002</v>
      </c>
      <c r="L294" s="43">
        <v>-8517.840470000001</v>
      </c>
      <c r="M294" s="43">
        <f>'2.1. Toimintakatennuste'!AX285</f>
        <v>-8725.9845879365275</v>
      </c>
      <c r="N294" s="43">
        <f>$N$6*'2.1. Toimintakatennuste'!AG285</f>
        <v>-9566.9500274141592</v>
      </c>
      <c r="O294" s="43">
        <f>$O$6*'2.1. Toimintakatennuste'!AH285</f>
        <v>-9867.216252391303</v>
      </c>
      <c r="P294" s="43">
        <f>P$6*'2.1. Toimintakatennuste'!AI285</f>
        <v>-10209.981282100833</v>
      </c>
      <c r="Q294" s="43">
        <f>Q$6*'2.1. Toimintakatennuste'!AJ285</f>
        <v>-10544.888394855594</v>
      </c>
      <c r="R294" s="117"/>
      <c r="S294" s="34">
        <v>924</v>
      </c>
      <c r="T294" s="88" t="s">
        <v>608</v>
      </c>
      <c r="U294" s="41">
        <f>D294/'1. Väestöennuste'!E294*1000</f>
        <v>-4886.7353119321624</v>
      </c>
      <c r="V294" s="41">
        <f>E294/'1. Väestöennuste'!F294*1000</f>
        <v>-6011.9668610003064</v>
      </c>
      <c r="W294" s="41">
        <f>F294/'1. Väestöennuste'!G294*1000</f>
        <v>-6025.4975124378107</v>
      </c>
      <c r="X294" s="41">
        <f>G294/'1. Väestöennuste'!H294*1000</f>
        <v>-5624.4472520530635</v>
      </c>
      <c r="Y294" s="41">
        <f>H294/'1. Väestöennuste'!I294*1000</f>
        <v>-6330.7642903018632</v>
      </c>
      <c r="Z294" s="41">
        <f>I294/'1. Väestöennuste'!J294*1000</f>
        <v>-6748.450244698206</v>
      </c>
      <c r="AA294" s="41">
        <f>J294/'1. Väestöennuste'!K294*1000</f>
        <v>-6989.2524633821558</v>
      </c>
      <c r="AB294" s="41">
        <f>K294/'1. Väestöennuste'!L294*1000</f>
        <v>-7220.6286897488126</v>
      </c>
      <c r="AC294" s="41">
        <f>L294/'1. Väestöennuste'!M294*1000</f>
        <v>-2901.1718222070849</v>
      </c>
      <c r="AD294" s="41">
        <f>M294/'1. Väestöennuste'!N294*1000</f>
        <v>-3022.5093827282744</v>
      </c>
      <c r="AE294" s="41">
        <f>N294/'1. Väestöennuste'!O294*1000</f>
        <v>-3365.0897036279139</v>
      </c>
      <c r="AF294" s="41">
        <f>O294/'1. Väestöennuste'!P294*1000</f>
        <v>-3522.7476802539459</v>
      </c>
      <c r="AG294" s="41">
        <f>P294/'1. Väestöennuste'!Q294*1000</f>
        <v>-3701.9511537711501</v>
      </c>
      <c r="AH294" s="41">
        <f>Q294/'1. Väestöennuste'!R294*1000</f>
        <v>-3882.506772774519</v>
      </c>
    </row>
    <row r="295" spans="1:34" customFormat="1" x14ac:dyDescent="0.25">
      <c r="A295" s="99">
        <v>11</v>
      </c>
      <c r="B295" s="30">
        <v>925</v>
      </c>
      <c r="C295" s="47" t="s">
        <v>609</v>
      </c>
      <c r="D295" s="65">
        <v>-22166</v>
      </c>
      <c r="E295" s="157">
        <v>-22195</v>
      </c>
      <c r="F295" s="157">
        <v>-21821</v>
      </c>
      <c r="G295" s="157">
        <v>-21577</v>
      </c>
      <c r="H295" s="43">
        <v>-21104</v>
      </c>
      <c r="I295" s="43">
        <v>-22345</v>
      </c>
      <c r="J295" s="159">
        <v>-22852.611149999997</v>
      </c>
      <c r="K295" s="43">
        <v>-23882.86954</v>
      </c>
      <c r="L295" s="43">
        <v>-10540.13341</v>
      </c>
      <c r="M295" s="43">
        <f>'2.1. Toimintakatennuste'!AX286</f>
        <v>-11117.207969610135</v>
      </c>
      <c r="N295" s="43">
        <f>$N$6*'2.1. Toimintakatennuste'!AG286</f>
        <v>-11737.398949172824</v>
      </c>
      <c r="O295" s="43">
        <f>$O$6*'2.1. Toimintakatennuste'!AH286</f>
        <v>-12296.972952580643</v>
      </c>
      <c r="P295" s="43">
        <f>P$6*'2.1. Toimintakatennuste'!AI286</f>
        <v>-12692.7178315152</v>
      </c>
      <c r="Q295" s="43">
        <f>Q$6*'2.1. Toimintakatennuste'!AJ286</f>
        <v>-12976.320160364365</v>
      </c>
      <c r="R295" s="117"/>
      <c r="S295" s="34">
        <v>925</v>
      </c>
      <c r="T295" s="88" t="s">
        <v>609</v>
      </c>
      <c r="U295" s="41">
        <f>D295/'1. Väestöennuste'!E295*1000</f>
        <v>-5899.9201490550968</v>
      </c>
      <c r="V295" s="41">
        <f>E295/'1. Väestöennuste'!F295*1000</f>
        <v>-5964.7944101048106</v>
      </c>
      <c r="W295" s="41">
        <f>F295/'1. Väestöennuste'!G295*1000</f>
        <v>-5921.5739484396199</v>
      </c>
      <c r="X295" s="41">
        <f>G295/'1. Väestöennuste'!H295*1000</f>
        <v>-5869.6953210010879</v>
      </c>
      <c r="Y295" s="41">
        <f>H295/'1. Väestöennuste'!I295*1000</f>
        <v>-5896.6191673651856</v>
      </c>
      <c r="Z295" s="41">
        <f>I295/'1. Väestöennuste'!J295*1000</f>
        <v>-6344.4065871663825</v>
      </c>
      <c r="AA295" s="41">
        <f>J295/'1. Väestöennuste'!K295*1000</f>
        <v>-6548.0261174785091</v>
      </c>
      <c r="AB295" s="41">
        <f>K295/'1. Väestöennuste'!L295*1000</f>
        <v>-6969.0310884155242</v>
      </c>
      <c r="AC295" s="41">
        <f>L295/'1. Väestöennuste'!M295*1000</f>
        <v>-3111.937824033068</v>
      </c>
      <c r="AD295" s="41">
        <f>M295/'1. Väestöennuste'!N295*1000</f>
        <v>-3322.5367512283729</v>
      </c>
      <c r="AE295" s="41">
        <f>N295/'1. Väestöennuste'!O295*1000</f>
        <v>-3547.113614135033</v>
      </c>
      <c r="AF295" s="41">
        <f>O295/'1. Väestöennuste'!P295*1000</f>
        <v>-3759.3925260105912</v>
      </c>
      <c r="AG295" s="41">
        <f>P295/'1. Väestöennuste'!Q295*1000</f>
        <v>-3922.3479083792336</v>
      </c>
      <c r="AH295" s="41">
        <f>Q295/'1. Väestöennuste'!R295*1000</f>
        <v>-4053.8332272303546</v>
      </c>
    </row>
    <row r="296" spans="1:34" customFormat="1" x14ac:dyDescent="0.25">
      <c r="A296" s="99">
        <v>1</v>
      </c>
      <c r="B296" s="30">
        <v>927</v>
      </c>
      <c r="C296" s="47" t="s">
        <v>610</v>
      </c>
      <c r="D296" s="65">
        <v>-134345</v>
      </c>
      <c r="E296" s="157">
        <v>-133835</v>
      </c>
      <c r="F296" s="157">
        <v>-134516</v>
      </c>
      <c r="G296" s="157">
        <v>-141027</v>
      </c>
      <c r="H296" s="43">
        <v>-150196</v>
      </c>
      <c r="I296" s="43">
        <v>-148698</v>
      </c>
      <c r="J296" s="159">
        <v>-151546.58658999999</v>
      </c>
      <c r="K296" s="43">
        <v>-157911.04564</v>
      </c>
      <c r="L296" s="43">
        <v>-57157.195899999999</v>
      </c>
      <c r="M296" s="43">
        <f>'2.1. Toimintakatennuste'!AX287</f>
        <v>-70246.024457811276</v>
      </c>
      <c r="N296" s="43">
        <f>$N$6*'2.1. Toimintakatennuste'!AG287</f>
        <v>-63516.121542841334</v>
      </c>
      <c r="O296" s="43">
        <f>$O$6*'2.1. Toimintakatennuste'!AH287</f>
        <v>-65063.34809334798</v>
      </c>
      <c r="P296" s="43">
        <f>P$6*'2.1. Toimintakatennuste'!AI287</f>
        <v>-66419.742952736618</v>
      </c>
      <c r="Q296" s="43">
        <f>Q$6*'2.1. Toimintakatennuste'!AJ287</f>
        <v>-67714.487396294819</v>
      </c>
      <c r="R296" s="117"/>
      <c r="S296" s="34">
        <v>927</v>
      </c>
      <c r="T296" s="88" t="s">
        <v>610</v>
      </c>
      <c r="U296" s="41">
        <f>D296/'1. Väestöennuste'!E296*1000</f>
        <v>-4645.5617414156777</v>
      </c>
      <c r="V296" s="41">
        <f>E296/'1. Väestöennuste'!F296*1000</f>
        <v>-4620.2575344357374</v>
      </c>
      <c r="W296" s="41">
        <f>F296/'1. Väestöennuste'!G296*1000</f>
        <v>-4629.8616369518822</v>
      </c>
      <c r="X296" s="41">
        <f>G296/'1. Väestöennuste'!H296*1000</f>
        <v>-4827.873061517922</v>
      </c>
      <c r="Y296" s="41">
        <f>H296/'1. Väestöennuste'!I296*1000</f>
        <v>-5151.1077577337273</v>
      </c>
      <c r="Z296" s="41">
        <f>I296/'1. Väestöennuste'!J296*1000</f>
        <v>-5099.3827160493829</v>
      </c>
      <c r="AA296" s="41">
        <f>J296/'1. Väestöennuste'!K296*1000</f>
        <v>-5183.0290567392867</v>
      </c>
      <c r="AB296" s="41">
        <f>K296/'1. Väestöennuste'!L296*1000</f>
        <v>-5461.593250095113</v>
      </c>
      <c r="AC296" s="41">
        <f>L296/'1. Väestöennuste'!M296*1000</f>
        <v>-1983.8671306098365</v>
      </c>
      <c r="AD296" s="41">
        <f>M296/'1. Väestöennuste'!N296*1000</f>
        <v>-2395.0229954930542</v>
      </c>
      <c r="AE296" s="41">
        <f>N296/'1. Väestöennuste'!O296*1000</f>
        <v>-2161.9565520555952</v>
      </c>
      <c r="AF296" s="41">
        <f>O296/'1. Väestöennuste'!P296*1000</f>
        <v>-2211.3842734466716</v>
      </c>
      <c r="AG296" s="41">
        <f>P296/'1. Väestöennuste'!Q296*1000</f>
        <v>-2254.4207098206712</v>
      </c>
      <c r="AH296" s="41">
        <f>Q296/'1. Väestöennuste'!R296*1000</f>
        <v>-2295.7954702930942</v>
      </c>
    </row>
    <row r="297" spans="1:34" customFormat="1" x14ac:dyDescent="0.25">
      <c r="A297" s="99">
        <v>13</v>
      </c>
      <c r="B297" s="30">
        <v>931</v>
      </c>
      <c r="C297" s="47" t="s">
        <v>611</v>
      </c>
      <c r="D297" s="65">
        <v>-40518</v>
      </c>
      <c r="E297" s="157">
        <v>-39874</v>
      </c>
      <c r="F297" s="157">
        <v>-40239</v>
      </c>
      <c r="G297" s="157">
        <v>-40349</v>
      </c>
      <c r="H297" s="43">
        <v>-42586</v>
      </c>
      <c r="I297" s="43">
        <v>-43910</v>
      </c>
      <c r="J297" s="159">
        <v>-44104.056670000005</v>
      </c>
      <c r="K297" s="43">
        <v>-49574.879009999997</v>
      </c>
      <c r="L297" s="43">
        <v>-15919.67605</v>
      </c>
      <c r="M297" s="43">
        <f>'2.1. Toimintakatennuste'!AX288</f>
        <v>-17610.829960270719</v>
      </c>
      <c r="N297" s="43">
        <f>$N$6*'2.1. Toimintakatennuste'!AG288</f>
        <v>-18012.338002511537</v>
      </c>
      <c r="O297" s="43">
        <f>$O$6*'2.1. Toimintakatennuste'!AH288</f>
        <v>-18292.67381144398</v>
      </c>
      <c r="P297" s="43">
        <f>P$6*'2.1. Toimintakatennuste'!AI288</f>
        <v>-18816.841260104626</v>
      </c>
      <c r="Q297" s="43">
        <f>Q$6*'2.1. Toimintakatennuste'!AJ288</f>
        <v>-19137.568661169542</v>
      </c>
      <c r="R297" s="117"/>
      <c r="S297" s="34">
        <v>931</v>
      </c>
      <c r="T297" s="88" t="s">
        <v>611</v>
      </c>
      <c r="U297" s="41">
        <f>D297/'1. Väestöennuste'!E297*1000</f>
        <v>-6078.3078307830783</v>
      </c>
      <c r="V297" s="41">
        <f>E297/'1. Väestöennuste'!F297*1000</f>
        <v>-6035.1142727410324</v>
      </c>
      <c r="W297" s="41">
        <f>F297/'1. Väestöennuste'!G297*1000</f>
        <v>-6276.5559195133364</v>
      </c>
      <c r="X297" s="41">
        <f>G297/'1. Väestöennuste'!H297*1000</f>
        <v>-6441.4112388250323</v>
      </c>
      <c r="Y297" s="41">
        <f>H297/'1. Väestöennuste'!I297*1000</f>
        <v>-6895.4015544041449</v>
      </c>
      <c r="Z297" s="41">
        <f>I297/'1. Väestöennuste'!J297*1000</f>
        <v>-7201.9025750369028</v>
      </c>
      <c r="AA297" s="41">
        <f>J297/'1. Väestöennuste'!K297*1000</f>
        <v>-7265.9071943986837</v>
      </c>
      <c r="AB297" s="41">
        <f>K297/'1. Väestöennuste'!L297*1000</f>
        <v>-8330.5123525457911</v>
      </c>
      <c r="AC297" s="41">
        <f>L297/'1. Väestöennuste'!M297*1000</f>
        <v>-2708.8099455504507</v>
      </c>
      <c r="AD297" s="41">
        <f>M297/'1. Väestöennuste'!N297*1000</f>
        <v>-3098.3163195409425</v>
      </c>
      <c r="AE297" s="41">
        <f>N297/'1. Väestöennuste'!O297*1000</f>
        <v>-3218.2129716833192</v>
      </c>
      <c r="AF297" s="41">
        <f>O297/'1. Väestöennuste'!P297*1000</f>
        <v>-3317.4961573166447</v>
      </c>
      <c r="AG297" s="41">
        <f>P297/'1. Väestöennuste'!Q297*1000</f>
        <v>-3462.7974346898463</v>
      </c>
      <c r="AH297" s="41">
        <f>Q297/'1. Väestöennuste'!R297*1000</f>
        <v>-3570.4419143973023</v>
      </c>
    </row>
    <row r="298" spans="1:34" customFormat="1" x14ac:dyDescent="0.25">
      <c r="A298" s="99">
        <v>14</v>
      </c>
      <c r="B298" s="30">
        <v>934</v>
      </c>
      <c r="C298" s="47" t="s">
        <v>612</v>
      </c>
      <c r="D298" s="65">
        <v>-16301</v>
      </c>
      <c r="E298" s="157">
        <v>-16438</v>
      </c>
      <c r="F298" s="157">
        <v>-16911</v>
      </c>
      <c r="G298" s="157">
        <v>-17287</v>
      </c>
      <c r="H298" s="43">
        <v>-18604</v>
      </c>
      <c r="I298" s="43">
        <v>-17183</v>
      </c>
      <c r="J298" s="159">
        <v>-18249.794679999999</v>
      </c>
      <c r="K298" s="43">
        <v>-18240.37456</v>
      </c>
      <c r="L298" s="43">
        <v>-6477.8974000000007</v>
      </c>
      <c r="M298" s="43">
        <f>'2.1. Toimintakatennuste'!AX289</f>
        <v>-6584.9025683727696</v>
      </c>
      <c r="N298" s="43">
        <f>$N$6*'2.1. Toimintakatennuste'!AG289</f>
        <v>-7312.631437041191</v>
      </c>
      <c r="O298" s="43">
        <f>$O$6*'2.1. Toimintakatennuste'!AH289</f>
        <v>-7588.2196402193931</v>
      </c>
      <c r="P298" s="43">
        <f>P$6*'2.1. Toimintakatennuste'!AI289</f>
        <v>-7852.2007164791712</v>
      </c>
      <c r="Q298" s="43">
        <f>Q$6*'2.1. Toimintakatennuste'!AJ289</f>
        <v>-8053.77605702868</v>
      </c>
      <c r="R298" s="117"/>
      <c r="S298" s="34">
        <v>934</v>
      </c>
      <c r="T298" s="88" t="s">
        <v>612</v>
      </c>
      <c r="U298" s="41">
        <f>D298/'1. Väestöennuste'!E298*1000</f>
        <v>-5304.5883501464368</v>
      </c>
      <c r="V298" s="41">
        <f>E298/'1. Väestöennuste'!F298*1000</f>
        <v>-5434.0495867768595</v>
      </c>
      <c r="W298" s="41">
        <f>F298/'1. Väestöennuste'!G298*1000</f>
        <v>-5686.2811028917286</v>
      </c>
      <c r="X298" s="41">
        <f>G298/'1. Väestöennuste'!H298*1000</f>
        <v>-5958.979662185453</v>
      </c>
      <c r="Y298" s="41">
        <f>H298/'1. Väestöennuste'!I298*1000</f>
        <v>-6580.8277325787058</v>
      </c>
      <c r="Z298" s="41">
        <f>I298/'1. Väestöennuste'!J298*1000</f>
        <v>-6172.0545977011489</v>
      </c>
      <c r="AA298" s="41">
        <f>J298/'1. Väestöennuste'!K298*1000</f>
        <v>-6621.8413207547164</v>
      </c>
      <c r="AB298" s="41">
        <f>K298/'1. Väestöennuste'!L298*1000</f>
        <v>-6829.0432646948711</v>
      </c>
      <c r="AC298" s="41">
        <f>L298/'1. Väestöennuste'!M298*1000</f>
        <v>-2438.9673945783134</v>
      </c>
      <c r="AD298" s="41">
        <f>M298/'1. Väestöennuste'!N298*1000</f>
        <v>-2577.2612792065634</v>
      </c>
      <c r="AE298" s="41">
        <f>N298/'1. Väestöennuste'!O298*1000</f>
        <v>-2922.7144032938413</v>
      </c>
      <c r="AF298" s="41">
        <f>O298/'1. Väestöennuste'!P298*1000</f>
        <v>-3092.1840424691904</v>
      </c>
      <c r="AG298" s="41">
        <f>P298/'1. Väestöennuste'!Q298*1000</f>
        <v>-3259.5270720129392</v>
      </c>
      <c r="AH298" s="41">
        <f>Q298/'1. Väestöennuste'!R298*1000</f>
        <v>-3401.0878619208952</v>
      </c>
    </row>
    <row r="299" spans="1:34" customFormat="1" x14ac:dyDescent="0.25">
      <c r="A299" s="99">
        <v>8</v>
      </c>
      <c r="B299" s="30">
        <v>935</v>
      </c>
      <c r="C299" s="47" t="s">
        <v>613</v>
      </c>
      <c r="D299" s="65">
        <v>-18393</v>
      </c>
      <c r="E299" s="157">
        <v>-17961</v>
      </c>
      <c r="F299" s="157">
        <v>-18431</v>
      </c>
      <c r="G299" s="157">
        <v>-18939</v>
      </c>
      <c r="H299" s="43">
        <v>-19606</v>
      </c>
      <c r="I299" s="43">
        <v>-19671</v>
      </c>
      <c r="J299" s="159">
        <v>-22313.029180000001</v>
      </c>
      <c r="K299" s="43">
        <v>-24156.43965</v>
      </c>
      <c r="L299" s="43">
        <v>-9266.6144600000007</v>
      </c>
      <c r="M299" s="43">
        <f>'2.1. Toimintakatennuste'!AX290</f>
        <v>-8982.4474882276463</v>
      </c>
      <c r="N299" s="43">
        <f>$N$6*'2.1. Toimintakatennuste'!AG290</f>
        <v>-10509.481758397058</v>
      </c>
      <c r="O299" s="43">
        <f>$O$6*'2.1. Toimintakatennuste'!AH290</f>
        <v>-10911.417666205238</v>
      </c>
      <c r="P299" s="43">
        <f>P$6*'2.1. Toimintakatennuste'!AI290</f>
        <v>-11292.748242985386</v>
      </c>
      <c r="Q299" s="43">
        <f>Q$6*'2.1. Toimintakatennuste'!AJ290</f>
        <v>-11658.729957123145</v>
      </c>
      <c r="R299" s="117"/>
      <c r="S299" s="34">
        <v>935</v>
      </c>
      <c r="T299" s="88" t="s">
        <v>613</v>
      </c>
      <c r="U299" s="41">
        <f>D299/'1. Väestöennuste'!E299*1000</f>
        <v>-5495.368987152674</v>
      </c>
      <c r="V299" s="41">
        <f>E299/'1. Väestöennuste'!F299*1000</f>
        <v>-5497.7043158861343</v>
      </c>
      <c r="W299" s="41">
        <f>F299/'1. Väestöennuste'!G299*1000</f>
        <v>-5747.1156844402867</v>
      </c>
      <c r="X299" s="41">
        <f>G299/'1. Väestöennuste'!H299*1000</f>
        <v>-6012.3809523809523</v>
      </c>
      <c r="Y299" s="41">
        <f>H299/'1. Väestöennuste'!I299*1000</f>
        <v>-6306.2077838533296</v>
      </c>
      <c r="Z299" s="41">
        <f>I299/'1. Väestöennuste'!J299*1000</f>
        <v>-6372.20602526725</v>
      </c>
      <c r="AA299" s="41">
        <f>J299/'1. Väestöennuste'!K299*1000</f>
        <v>-7339.8122302631582</v>
      </c>
      <c r="AB299" s="41">
        <f>K299/'1. Väestöennuste'!L299*1000</f>
        <v>-8092.6095979899501</v>
      </c>
      <c r="AC299" s="41">
        <f>L299/'1. Väestöennuste'!M299*1000</f>
        <v>-3165.9085958319101</v>
      </c>
      <c r="AD299" s="41">
        <f>M299/'1. Väestöennuste'!N299*1000</f>
        <v>-3084.6316923858676</v>
      </c>
      <c r="AE299" s="41">
        <f>N299/'1. Väestöennuste'!O299*1000</f>
        <v>-3654.2008895678227</v>
      </c>
      <c r="AF299" s="41">
        <f>O299/'1. Väestöennuste'!P299*1000</f>
        <v>-3839.3447101355518</v>
      </c>
      <c r="AG299" s="41">
        <f>P299/'1. Väestöennuste'!Q299*1000</f>
        <v>-4020.2022936936228</v>
      </c>
      <c r="AH299" s="41">
        <f>Q299/'1. Väestöennuste'!R299*1000</f>
        <v>-4199.8306761970989</v>
      </c>
    </row>
    <row r="300" spans="1:34" customFormat="1" x14ac:dyDescent="0.25">
      <c r="A300" s="99">
        <v>6</v>
      </c>
      <c r="B300" s="30">
        <v>936</v>
      </c>
      <c r="C300" s="47" t="s">
        <v>614</v>
      </c>
      <c r="D300" s="65">
        <v>-38595</v>
      </c>
      <c r="E300" s="157">
        <v>-39855</v>
      </c>
      <c r="F300" s="157">
        <v>-40306</v>
      </c>
      <c r="G300" s="157">
        <v>-42675</v>
      </c>
      <c r="H300" s="43">
        <v>-43893</v>
      </c>
      <c r="I300" s="43">
        <v>-43439</v>
      </c>
      <c r="J300" s="159">
        <v>-45430.670989999991</v>
      </c>
      <c r="K300" s="43">
        <v>-47048.541360000003</v>
      </c>
      <c r="L300" s="43">
        <v>-16072.24152</v>
      </c>
      <c r="M300" s="43">
        <f>'2.1. Toimintakatennuste'!AX291</f>
        <v>-17685.824873956764</v>
      </c>
      <c r="N300" s="43">
        <f>$N$6*'2.1. Toimintakatennuste'!AG291</f>
        <v>-17682.396589908138</v>
      </c>
      <c r="O300" s="43">
        <f>$O$6*'2.1. Toimintakatennuste'!AH291</f>
        <v>-18021.144952677074</v>
      </c>
      <c r="P300" s="43">
        <f>P$6*'2.1. Toimintakatennuste'!AI291</f>
        <v>-18448.088386087718</v>
      </c>
      <c r="Q300" s="43">
        <f>Q$6*'2.1. Toimintakatennuste'!AJ291</f>
        <v>-18733.815888414007</v>
      </c>
      <c r="R300" s="117"/>
      <c r="S300" s="34">
        <v>936</v>
      </c>
      <c r="T300" s="88" t="s">
        <v>614</v>
      </c>
      <c r="U300" s="41">
        <f>D300/'1. Väestöennuste'!E300*1000</f>
        <v>-5511.9965724078838</v>
      </c>
      <c r="V300" s="41">
        <f>E300/'1. Väestöennuste'!F300*1000</f>
        <v>-5761.8909932051465</v>
      </c>
      <c r="W300" s="41">
        <f>F300/'1. Väestöennuste'!G300*1000</f>
        <v>-5889.2460549386324</v>
      </c>
      <c r="X300" s="41">
        <f>G300/'1. Väestöennuste'!H300*1000</f>
        <v>-6332.5419201661962</v>
      </c>
      <c r="Y300" s="41">
        <f>H300/'1. Väestöennuste'!I300*1000</f>
        <v>-6707.3655256723714</v>
      </c>
      <c r="Z300" s="41">
        <f>I300/'1. Väestöennuste'!J300*1000</f>
        <v>-6672.6574500768056</v>
      </c>
      <c r="AA300" s="41">
        <f>J300/'1. Väestöennuste'!K300*1000</f>
        <v>-7027.1726202629534</v>
      </c>
      <c r="AB300" s="41">
        <f>K300/'1. Väestöennuste'!L300*1000</f>
        <v>-7357.0823080531673</v>
      </c>
      <c r="AC300" s="41">
        <f>L300/'1. Väestöennuste'!M300*1000</f>
        <v>-2561.3133896414342</v>
      </c>
      <c r="AD300" s="41">
        <f>M300/'1. Väestöennuste'!N300*1000</f>
        <v>-2884.655826774876</v>
      </c>
      <c r="AE300" s="41">
        <f>N300/'1. Väestöennuste'!O300*1000</f>
        <v>-2923.6766848393081</v>
      </c>
      <c r="AF300" s="41">
        <f>O300/'1. Väestöennuste'!P300*1000</f>
        <v>-3019.6288459579546</v>
      </c>
      <c r="AG300" s="41">
        <f>P300/'1. Väestöennuste'!Q300*1000</f>
        <v>-3129.9776698486121</v>
      </c>
      <c r="AH300" s="41">
        <f>Q300/'1. Väestöennuste'!R300*1000</f>
        <v>-3218.3157341374344</v>
      </c>
    </row>
    <row r="301" spans="1:34" customFormat="1" x14ac:dyDescent="0.25">
      <c r="A301" s="99">
        <v>15</v>
      </c>
      <c r="B301" s="30">
        <v>946</v>
      </c>
      <c r="C301" s="47" t="s">
        <v>615</v>
      </c>
      <c r="D301" s="65">
        <v>-39234</v>
      </c>
      <c r="E301" s="157">
        <v>-38705</v>
      </c>
      <c r="F301" s="157">
        <v>-37575</v>
      </c>
      <c r="G301" s="157">
        <v>-39670</v>
      </c>
      <c r="H301" s="43">
        <v>-42918</v>
      </c>
      <c r="I301" s="43">
        <v>-42041</v>
      </c>
      <c r="J301" s="159">
        <v>-42454.777959999999</v>
      </c>
      <c r="K301" s="43">
        <v>-46909.079760000001</v>
      </c>
      <c r="L301" s="43">
        <v>-20535.294320000001</v>
      </c>
      <c r="M301" s="43">
        <f>'2.1. Toimintakatennuste'!AX292</f>
        <v>-21193.344366433386</v>
      </c>
      <c r="N301" s="43">
        <f>$N$6*'2.1. Toimintakatennuste'!AG292</f>
        <v>-22567.931840300844</v>
      </c>
      <c r="O301" s="43">
        <f>$O$6*'2.1. Toimintakatennuste'!AH292</f>
        <v>-23065.400693827876</v>
      </c>
      <c r="P301" s="43">
        <f>P$6*'2.1. Toimintakatennuste'!AI292</f>
        <v>-23571.414271078727</v>
      </c>
      <c r="Q301" s="43">
        <f>Q$6*'2.1. Toimintakatennuste'!AJ292</f>
        <v>-24057.928107468899</v>
      </c>
      <c r="R301" s="117"/>
      <c r="S301" s="34">
        <v>946</v>
      </c>
      <c r="T301" s="88" t="s">
        <v>615</v>
      </c>
      <c r="U301" s="41">
        <f>D301/'1. Väestöennuste'!E301*1000</f>
        <v>-5843.6103663985705</v>
      </c>
      <c r="V301" s="41">
        <f>E301/'1. Väestöennuste'!F301*1000</f>
        <v>-5790.6941950927594</v>
      </c>
      <c r="W301" s="41">
        <f>F301/'1. Väestöennuste'!G301*1000</f>
        <v>-5679.4135429262396</v>
      </c>
      <c r="X301" s="41">
        <f>G301/'1. Väestöennuste'!H301*1000</f>
        <v>-5998.7902616059273</v>
      </c>
      <c r="Y301" s="41">
        <f>H301/'1. Väestöennuste'!I301*1000</f>
        <v>-6642.6249806531496</v>
      </c>
      <c r="Z301" s="41">
        <f>I301/'1. Väestöennuste'!J301*1000</f>
        <v>-6581.2460864120221</v>
      </c>
      <c r="AA301" s="41">
        <f>J301/'1. Väestöennuste'!K301*1000</f>
        <v>-6658.528538268507</v>
      </c>
      <c r="AB301" s="41">
        <f>K301/'1. Väestöennuste'!L301*1000</f>
        <v>-7461.2819723238435</v>
      </c>
      <c r="AC301" s="41">
        <f>L301/'1. Väestöennuste'!M301*1000</f>
        <v>-3264.2337180098557</v>
      </c>
      <c r="AD301" s="41">
        <f>M301/'1. Väestöennuste'!N301*1000</f>
        <v>-3438.8032397263323</v>
      </c>
      <c r="AE301" s="41">
        <f>N301/'1. Väestöennuste'!O301*1000</f>
        <v>-3694.8152980191294</v>
      </c>
      <c r="AF301" s="41">
        <f>O301/'1. Väestöennuste'!P301*1000</f>
        <v>-3809.3147306074115</v>
      </c>
      <c r="AG301" s="41">
        <f>P301/'1. Väestöennuste'!Q301*1000</f>
        <v>-3929.2239158324269</v>
      </c>
      <c r="AH301" s="41">
        <f>Q301/'1. Väestöennuste'!R301*1000</f>
        <v>-4049.4745173319134</v>
      </c>
    </row>
    <row r="302" spans="1:34" customFormat="1" x14ac:dyDescent="0.25">
      <c r="A302" s="99">
        <v>19</v>
      </c>
      <c r="B302" s="30">
        <v>976</v>
      </c>
      <c r="C302" s="47" t="s">
        <v>616</v>
      </c>
      <c r="D302" s="65">
        <v>-29854</v>
      </c>
      <c r="E302" s="157">
        <v>-30676</v>
      </c>
      <c r="F302" s="157">
        <v>-29251</v>
      </c>
      <c r="G302" s="157">
        <v>-30072</v>
      </c>
      <c r="H302" s="43">
        <v>-29509</v>
      </c>
      <c r="I302" s="43">
        <v>-30553</v>
      </c>
      <c r="J302" s="159">
        <v>-31246.733660000005</v>
      </c>
      <c r="K302" s="43">
        <v>-34529.592229999995</v>
      </c>
      <c r="L302" s="43">
        <v>-9362.5967799999999</v>
      </c>
      <c r="M302" s="43">
        <f>'2.1. Toimintakatennuste'!AX293</f>
        <v>-9792.2019874689995</v>
      </c>
      <c r="N302" s="43">
        <f>$N$6*'2.1. Toimintakatennuste'!AG293</f>
        <v>-10998.543675216111</v>
      </c>
      <c r="O302" s="43">
        <f>$O$6*'2.1. Toimintakatennuste'!AH293</f>
        <v>-11427.301922891431</v>
      </c>
      <c r="P302" s="43">
        <f>P$6*'2.1. Toimintakatennuste'!AI293</f>
        <v>-11847.401846976794</v>
      </c>
      <c r="Q302" s="43">
        <f>Q$6*'2.1. Toimintakatennuste'!AJ293</f>
        <v>-12157.340689499641</v>
      </c>
      <c r="R302" s="117"/>
      <c r="S302" s="34">
        <v>976</v>
      </c>
      <c r="T302" s="88" t="s">
        <v>616</v>
      </c>
      <c r="U302" s="41">
        <f>D302/'1. Väestöennuste'!E302*1000</f>
        <v>-6957.3525984618973</v>
      </c>
      <c r="V302" s="41">
        <f>E302/'1. Väestöennuste'!F302*1000</f>
        <v>-7303.8095238095239</v>
      </c>
      <c r="W302" s="41">
        <f>F302/'1. Väestöennuste'!G302*1000</f>
        <v>-7103.2054395337545</v>
      </c>
      <c r="X302" s="41">
        <f>G302/'1. Väestöennuste'!H302*1000</f>
        <v>-7476.8771755345606</v>
      </c>
      <c r="Y302" s="41">
        <f>H302/'1. Väestöennuste'!I302*1000</f>
        <v>-7531.6488004083712</v>
      </c>
      <c r="Z302" s="41">
        <f>I302/'1. Väestöennuste'!J302*1000</f>
        <v>-7854.2416452442167</v>
      </c>
      <c r="AA302" s="41">
        <f>J302/'1. Väestöennuste'!K302*1000</f>
        <v>-8158.4160992167117</v>
      </c>
      <c r="AB302" s="41">
        <f>K302/'1. Väestöennuste'!L302*1000</f>
        <v>-9115.5206520591328</v>
      </c>
      <c r="AC302" s="41">
        <f>L302/'1. Väestöennuste'!M302*1000</f>
        <v>-2486.7454926958831</v>
      </c>
      <c r="AD302" s="41">
        <f>M302/'1. Väestöennuste'!N302*1000</f>
        <v>-2723.8392176547982</v>
      </c>
      <c r="AE302" s="41">
        <f>N302/'1. Väestöennuste'!O302*1000</f>
        <v>-3108.689563373689</v>
      </c>
      <c r="AF302" s="41">
        <f>O302/'1. Väestöennuste'!P302*1000</f>
        <v>-3281.821344885534</v>
      </c>
      <c r="AG302" s="41">
        <f>P302/'1. Väestöennuste'!Q302*1000</f>
        <v>-3454.0530166113103</v>
      </c>
      <c r="AH302" s="41">
        <f>Q302/'1. Väestöennuste'!R302*1000</f>
        <v>-3598.975929395986</v>
      </c>
    </row>
    <row r="303" spans="1:34" customFormat="1" x14ac:dyDescent="0.25">
      <c r="A303" s="99">
        <v>17</v>
      </c>
      <c r="B303" s="30">
        <v>977</v>
      </c>
      <c r="C303" s="47" t="s">
        <v>617</v>
      </c>
      <c r="D303" s="65">
        <v>-79488</v>
      </c>
      <c r="E303" s="157">
        <v>-82050</v>
      </c>
      <c r="F303" s="157">
        <v>-81383</v>
      </c>
      <c r="G303" s="157">
        <v>-88457</v>
      </c>
      <c r="H303" s="43">
        <v>-92900</v>
      </c>
      <c r="I303" s="43">
        <v>-93199</v>
      </c>
      <c r="J303" s="159">
        <v>-99048.101520000011</v>
      </c>
      <c r="K303" s="43">
        <v>-105164.66843000001</v>
      </c>
      <c r="L303" s="43">
        <v>-47747.808939999995</v>
      </c>
      <c r="M303" s="43">
        <f>'2.1. Toimintakatennuste'!AX294</f>
        <v>-48379.251790567927</v>
      </c>
      <c r="N303" s="43">
        <f>$N$6*'2.1. Toimintakatennuste'!AG294</f>
        <v>-52203.069445987356</v>
      </c>
      <c r="O303" s="43">
        <f>$O$6*'2.1. Toimintakatennuste'!AH294</f>
        <v>-54078.578873963292</v>
      </c>
      <c r="P303" s="43">
        <f>P$6*'2.1. Toimintakatennuste'!AI294</f>
        <v>-55445.233904337627</v>
      </c>
      <c r="Q303" s="43">
        <f>Q$6*'2.1. Toimintakatennuste'!AJ294</f>
        <v>-56724.654102952256</v>
      </c>
      <c r="R303" s="117"/>
      <c r="S303" s="34">
        <v>977</v>
      </c>
      <c r="T303" s="88" t="s">
        <v>617</v>
      </c>
      <c r="U303" s="41">
        <f>D303/'1. Väestöennuste'!E303*1000</f>
        <v>-5285.4578096947944</v>
      </c>
      <c r="V303" s="41">
        <f>E303/'1. Väestöennuste'!F303*1000</f>
        <v>-5398.3814724652939</v>
      </c>
      <c r="W303" s="41">
        <f>F303/'1. Väestöennuste'!G303*1000</f>
        <v>-5336.2402465412106</v>
      </c>
      <c r="X303" s="41">
        <f>G303/'1. Väestöennuste'!H303*1000</f>
        <v>-5814.9487246910339</v>
      </c>
      <c r="Y303" s="41">
        <f>H303/'1. Väestöennuste'!I303*1000</f>
        <v>-6089.8066207800721</v>
      </c>
      <c r="Z303" s="41">
        <f>I303/'1. Väestöennuste'!J303*1000</f>
        <v>-6089.8457919498169</v>
      </c>
      <c r="AA303" s="41">
        <f>J303/'1. Väestöennuste'!K303*1000</f>
        <v>-6449.7038171517888</v>
      </c>
      <c r="AB303" s="41">
        <f>K303/'1. Väestöennuste'!L303*1000</f>
        <v>-6876.6539220558425</v>
      </c>
      <c r="AC303" s="41">
        <f>L303/'1. Väestöennuste'!M303*1000</f>
        <v>-3106.7609434576093</v>
      </c>
      <c r="AD303" s="41">
        <f>M303/'1. Väestöennuste'!N303*1000</f>
        <v>-3128.1036978254187</v>
      </c>
      <c r="AE303" s="41">
        <f>N303/'1. Väestöennuste'!O303*1000</f>
        <v>-3370.9847246537101</v>
      </c>
      <c r="AF303" s="41">
        <f>O303/'1. Väestöennuste'!P303*1000</f>
        <v>-3489.3908164900818</v>
      </c>
      <c r="AG303" s="41">
        <f>P303/'1. Väestöennuste'!Q303*1000</f>
        <v>-3577.3426610966917</v>
      </c>
      <c r="AH303" s="41">
        <f>Q303/'1. Väestöennuste'!R303*1000</f>
        <v>-3662.0176954778731</v>
      </c>
    </row>
    <row r="304" spans="1:34" customFormat="1" x14ac:dyDescent="0.25">
      <c r="A304" s="99">
        <v>6</v>
      </c>
      <c r="B304" s="30">
        <v>980</v>
      </c>
      <c r="C304" s="47" t="s">
        <v>618</v>
      </c>
      <c r="D304" s="65">
        <v>-146219</v>
      </c>
      <c r="E304" s="157">
        <v>-156378</v>
      </c>
      <c r="F304" s="157">
        <v>-150607</v>
      </c>
      <c r="G304" s="157">
        <v>-155217</v>
      </c>
      <c r="H304" s="43">
        <v>-168338</v>
      </c>
      <c r="I304" s="43">
        <v>-172458</v>
      </c>
      <c r="J304" s="159">
        <v>-181484.90351999999</v>
      </c>
      <c r="K304" s="43">
        <v>-195970.49268</v>
      </c>
      <c r="L304" s="43">
        <v>-91540.232579999996</v>
      </c>
      <c r="M304" s="43">
        <f>'2.1. Toimintakatennuste'!AX295</f>
        <v>-95511.884868702589</v>
      </c>
      <c r="N304" s="43">
        <f>$N$6*'2.1. Toimintakatennuste'!AG295</f>
        <v>-102445.54484768483</v>
      </c>
      <c r="O304" s="43">
        <f>$O$6*'2.1. Toimintakatennuste'!AH295</f>
        <v>-105326.69371539584</v>
      </c>
      <c r="P304" s="43">
        <f>P$6*'2.1. Toimintakatennuste'!AI295</f>
        <v>-109043.90693391212</v>
      </c>
      <c r="Q304" s="43">
        <f>Q$6*'2.1. Toimintakatennuste'!AJ295</f>
        <v>-111911.01833205958</v>
      </c>
      <c r="R304" s="117"/>
      <c r="S304" s="34">
        <v>980</v>
      </c>
      <c r="T304" s="88" t="s">
        <v>618</v>
      </c>
      <c r="U304" s="41">
        <f>D304/'1. Väestöennuste'!E304*1000</f>
        <v>-4466.3388111674512</v>
      </c>
      <c r="V304" s="41">
        <f>E304/'1. Väestöennuste'!F304*1000</f>
        <v>-4767.7673099789627</v>
      </c>
      <c r="W304" s="41">
        <f>F304/'1. Väestöennuste'!G304*1000</f>
        <v>-4580.7835026461462</v>
      </c>
      <c r="X304" s="41">
        <f>G304/'1. Väestöennuste'!H304*1000</f>
        <v>-4705.9697419882968</v>
      </c>
      <c r="Y304" s="41">
        <f>H304/'1. Väestöennuste'!I304*1000</f>
        <v>-5062.1880074577502</v>
      </c>
      <c r="Z304" s="41">
        <f>I304/'1. Väestöennuste'!J304*1000</f>
        <v>-5170.844327176781</v>
      </c>
      <c r="AA304" s="41">
        <f>J304/'1. Väestöennuste'!K304*1000</f>
        <v>-5412.128456147675</v>
      </c>
      <c r="AB304" s="41">
        <f>K304/'1. Väestöennuste'!L304*1000</f>
        <v>-5831.2402975570567</v>
      </c>
      <c r="AC304" s="41">
        <f>L304/'1. Väestöennuste'!M304*1000</f>
        <v>-2718.1825156635095</v>
      </c>
      <c r="AD304" s="41">
        <f>M304/'1. Väestöennuste'!N304*1000</f>
        <v>-2818.540586912462</v>
      </c>
      <c r="AE304" s="41">
        <f>N304/'1. Väestöennuste'!O304*1000</f>
        <v>-3012.927029224305</v>
      </c>
      <c r="AF304" s="41">
        <f>O304/'1. Väestöennuste'!P304*1000</f>
        <v>-3088.0348808313543</v>
      </c>
      <c r="AG304" s="41">
        <f>P304/'1. Väestöennuste'!Q304*1000</f>
        <v>-3188.0454605868354</v>
      </c>
      <c r="AH304" s="41">
        <f>Q304/'1. Väestöennuste'!R304*1000</f>
        <v>-3264.044167650341</v>
      </c>
    </row>
    <row r="305" spans="1:34" customFormat="1" x14ac:dyDescent="0.25">
      <c r="A305" s="99">
        <v>5</v>
      </c>
      <c r="B305" s="30">
        <v>981</v>
      </c>
      <c r="C305" s="47" t="s">
        <v>619</v>
      </c>
      <c r="D305" s="65">
        <v>-12049</v>
      </c>
      <c r="E305" s="157">
        <v>-12393</v>
      </c>
      <c r="F305" s="157">
        <v>-12497</v>
      </c>
      <c r="G305" s="157">
        <v>-12860</v>
      </c>
      <c r="H305" s="43">
        <v>-12635</v>
      </c>
      <c r="I305" s="43">
        <v>-12193</v>
      </c>
      <c r="J305" s="159">
        <v>-12595.83884</v>
      </c>
      <c r="K305" s="43">
        <v>-13317.91951</v>
      </c>
      <c r="L305" s="43">
        <v>-5449.6076399999993</v>
      </c>
      <c r="M305" s="43">
        <f>'2.1. Toimintakatennuste'!AX296</f>
        <v>-5885.8407344409206</v>
      </c>
      <c r="N305" s="43">
        <f>$N$6*'2.1. Toimintakatennuste'!AG296</f>
        <v>-6322.4653943494141</v>
      </c>
      <c r="O305" s="43">
        <f>$O$6*'2.1. Toimintakatennuste'!AH296</f>
        <v>-6582.7974279603859</v>
      </c>
      <c r="P305" s="43">
        <f>P$6*'2.1. Toimintakatennuste'!AI296</f>
        <v>-6784.2470237568332</v>
      </c>
      <c r="Q305" s="43">
        <f>Q$6*'2.1. Toimintakatennuste'!AJ296</f>
        <v>-7024.5901691860836</v>
      </c>
      <c r="R305" s="117"/>
      <c r="S305" s="34">
        <v>981</v>
      </c>
      <c r="T305" s="88" t="s">
        <v>619</v>
      </c>
      <c r="U305" s="41">
        <f>D305/'1. Väestöennuste'!E305*1000</f>
        <v>-4997.5114060555788</v>
      </c>
      <c r="V305" s="41">
        <f>E305/'1. Väestöennuste'!F305*1000</f>
        <v>-5202.7707808564228</v>
      </c>
      <c r="W305" s="41">
        <f>F305/'1. Väestöennuste'!G305*1000</f>
        <v>-5268.5497470489036</v>
      </c>
      <c r="X305" s="41">
        <f>G305/'1. Väestöennuste'!H305*1000</f>
        <v>-5456.0882477725918</v>
      </c>
      <c r="Y305" s="41">
        <f>H305/'1. Väestöennuste'!I305*1000</f>
        <v>-5392.6589842082803</v>
      </c>
      <c r="Z305" s="41">
        <f>I305/'1. Väestöennuste'!J305*1000</f>
        <v>-5269.2307692307695</v>
      </c>
      <c r="AA305" s="41">
        <f>J305/'1. Väestöennuste'!K305*1000</f>
        <v>-5519.6489219982477</v>
      </c>
      <c r="AB305" s="41">
        <f>K305/'1. Väestöennuste'!L305*1000</f>
        <v>-5953.4731828341528</v>
      </c>
      <c r="AC305" s="41">
        <f>L305/'1. Väestöennuste'!M305*1000</f>
        <v>-2469.2377163570454</v>
      </c>
      <c r="AD305" s="41">
        <f>M305/'1. Väestöennuste'!N305*1000</f>
        <v>-2624.0930603838256</v>
      </c>
      <c r="AE305" s="41">
        <f>N305/'1. Väestöennuste'!O305*1000</f>
        <v>-2840.280949842504</v>
      </c>
      <c r="AF305" s="41">
        <f>O305/'1. Väestöennuste'!P305*1000</f>
        <v>-2979.9897817837873</v>
      </c>
      <c r="AG305" s="41">
        <f>P305/'1. Väestöennuste'!Q305*1000</f>
        <v>-3090.7731315520878</v>
      </c>
      <c r="AH305" s="41">
        <f>Q305/'1. Väestöennuste'!R305*1000</f>
        <v>-3222.2890684339832</v>
      </c>
    </row>
    <row r="306" spans="1:34" customFormat="1" x14ac:dyDescent="0.25">
      <c r="A306" s="99">
        <v>14</v>
      </c>
      <c r="B306" s="30">
        <v>989</v>
      </c>
      <c r="C306" s="47" t="s">
        <v>620</v>
      </c>
      <c r="D306" s="65">
        <v>-37640</v>
      </c>
      <c r="E306" s="157">
        <v>-36256</v>
      </c>
      <c r="F306" s="157">
        <v>-36072</v>
      </c>
      <c r="G306" s="157">
        <v>-37492</v>
      </c>
      <c r="H306" s="43">
        <v>-38231</v>
      </c>
      <c r="I306" s="43">
        <v>-37904</v>
      </c>
      <c r="J306" s="159">
        <v>-39344.52607</v>
      </c>
      <c r="K306" s="43">
        <v>-40801.516259999997</v>
      </c>
      <c r="L306" s="43">
        <v>-21156.251359999998</v>
      </c>
      <c r="M306" s="43">
        <f>'2.1. Toimintakatennuste'!AX297</f>
        <v>-13234.21181743315</v>
      </c>
      <c r="N306" s="43">
        <f>$N$6*'2.1. Toimintakatennuste'!AG297</f>
        <v>-22564.020348694117</v>
      </c>
      <c r="O306" s="43">
        <f>$O$6*'2.1. Toimintakatennuste'!AH297</f>
        <v>-22967.047571247793</v>
      </c>
      <c r="P306" s="43">
        <f>P$6*'2.1. Toimintakatennuste'!AI297</f>
        <v>-23525.932081539715</v>
      </c>
      <c r="Q306" s="43">
        <f>Q$6*'2.1. Toimintakatennuste'!AJ297</f>
        <v>-23936.872215510484</v>
      </c>
      <c r="R306" s="117"/>
      <c r="S306" s="34">
        <v>989</v>
      </c>
      <c r="T306" s="88" t="s">
        <v>620</v>
      </c>
      <c r="U306" s="41">
        <f>D306/'1. Väestöennuste'!E306*1000</f>
        <v>-6203.032300593276</v>
      </c>
      <c r="V306" s="41">
        <f>E306/'1. Väestöennuste'!F306*1000</f>
        <v>-6057.8111946532999</v>
      </c>
      <c r="W306" s="41">
        <f>F306/'1. Väestöennuste'!G306*1000</f>
        <v>-6107.6870978665766</v>
      </c>
      <c r="X306" s="41">
        <f>G306/'1. Väestöennuste'!H306*1000</f>
        <v>-6574.0838155356832</v>
      </c>
      <c r="Y306" s="41">
        <f>H306/'1. Väestöennuste'!I306*1000</f>
        <v>-6807.5142450142448</v>
      </c>
      <c r="Z306" s="41">
        <f>I306/'1. Väestöennuste'!J306*1000</f>
        <v>-6864.1796450561396</v>
      </c>
      <c r="AA306" s="41">
        <f>J306/'1. Väestöennuste'!K306*1000</f>
        <v>-7174.421238147338</v>
      </c>
      <c r="AB306" s="41">
        <f>K306/'1. Väestöennuste'!L306*1000</f>
        <v>-7547.4502885682568</v>
      </c>
      <c r="AC306" s="41">
        <f>L306/'1. Väestöennuste'!M306*1000</f>
        <v>-3979.7312565838974</v>
      </c>
      <c r="AD306" s="41">
        <f>M306/'1. Väestöennuste'!N306*1000</f>
        <v>-2562.2868959212296</v>
      </c>
      <c r="AE306" s="41">
        <f>N306/'1. Väestöennuste'!O306*1000</f>
        <v>-4435.624208510736</v>
      </c>
      <c r="AF306" s="41">
        <f>O306/'1. Väestöennuste'!P306*1000</f>
        <v>-4584.2410321851885</v>
      </c>
      <c r="AG306" s="41">
        <f>P306/'1. Väestöennuste'!Q306*1000</f>
        <v>-4768.1256752208583</v>
      </c>
      <c r="AH306" s="41">
        <f>Q306/'1. Väestöennuste'!R306*1000</f>
        <v>-4922.2439266934989</v>
      </c>
    </row>
    <row r="307" spans="1:34" customFormat="1" x14ac:dyDescent="0.25">
      <c r="A307" s="99">
        <v>13</v>
      </c>
      <c r="B307" s="161">
        <v>992</v>
      </c>
      <c r="C307" s="48" t="s">
        <v>621</v>
      </c>
      <c r="D307" s="65">
        <v>-107707</v>
      </c>
      <c r="E307" s="157">
        <v>-108623</v>
      </c>
      <c r="F307" s="157">
        <v>-106874</v>
      </c>
      <c r="G307" s="157">
        <v>-110502</v>
      </c>
      <c r="H307" s="43">
        <v>-112060</v>
      </c>
      <c r="I307" s="43">
        <v>-117254</v>
      </c>
      <c r="J307" s="159">
        <v>-121281.23162999999</v>
      </c>
      <c r="K307" s="43">
        <v>-131859.14997</v>
      </c>
      <c r="L307" s="43">
        <v>-50021.597399999999</v>
      </c>
      <c r="M307" s="43">
        <f>'2.1. Toimintakatennuste'!AX298</f>
        <v>-48306.305832442653</v>
      </c>
      <c r="N307" s="43">
        <f>$N$6*'2.1. Toimintakatennuste'!AG298</f>
        <v>-56479.243255242181</v>
      </c>
      <c r="O307" s="43">
        <f>$O$6*'2.1. Toimintakatennuste'!AH298</f>
        <v>-57601.430196876252</v>
      </c>
      <c r="P307" s="43">
        <f>P$6*'2.1. Toimintakatennuste'!AI298</f>
        <v>-58837.62707993987</v>
      </c>
      <c r="Q307" s="43">
        <f>Q$6*'2.1. Toimintakatennuste'!AJ298</f>
        <v>-59457.101490108034</v>
      </c>
      <c r="R307" s="117"/>
      <c r="S307" s="34">
        <v>992</v>
      </c>
      <c r="T307" s="88" t="s">
        <v>621</v>
      </c>
      <c r="U307" s="41">
        <f>D307/'1. Väestöennuste'!E307*1000</f>
        <v>-5482.3882724218665</v>
      </c>
      <c r="V307" s="41">
        <f>E307/'1. Väestöennuste'!F307*1000</f>
        <v>-5606.6377619490031</v>
      </c>
      <c r="W307" s="41">
        <f>F307/'1. Väestöennuste'!G307*1000</f>
        <v>-5582.6368575010447</v>
      </c>
      <c r="X307" s="41">
        <f>G307/'1. Väestöennuste'!H307*1000</f>
        <v>-5861.8640920906055</v>
      </c>
      <c r="Y307" s="41">
        <f>H307/'1. Väestöennuste'!I307*1000</f>
        <v>-5971.7559285904617</v>
      </c>
      <c r="Z307" s="41">
        <f>I307/'1. Väestöennuste'!J307*1000</f>
        <v>-6311.7833880605049</v>
      </c>
      <c r="AA307" s="41">
        <f>J307/'1. Väestöennuste'!K307*1000</f>
        <v>-6620.8773681624634</v>
      </c>
      <c r="AB307" s="41">
        <f>K307/'1. Väestöennuste'!L307*1000</f>
        <v>-7276.9950314569542</v>
      </c>
      <c r="AC307" s="41">
        <f>L307/'1. Väestöennuste'!M307*1000</f>
        <v>-2783.4621000500806</v>
      </c>
      <c r="AD307" s="41">
        <f>M307/'1. Väestöennuste'!N307*1000</f>
        <v>-2718.1130898290935</v>
      </c>
      <c r="AE307" s="41">
        <f>N307/'1. Väestöennuste'!O307*1000</f>
        <v>-3213.0642425328351</v>
      </c>
      <c r="AF307" s="41">
        <f>O307/'1. Väestöennuste'!P307*1000</f>
        <v>-3312.3306611199682</v>
      </c>
      <c r="AG307" s="41">
        <f>P307/'1. Väestöennuste'!Q307*1000</f>
        <v>-3419.4006555436663</v>
      </c>
      <c r="AH307" s="41">
        <f>Q307/'1. Väestöennuste'!R307*1000</f>
        <v>-3491.1104157188679</v>
      </c>
    </row>
    <row r="308" spans="1:34" customFormat="1" x14ac:dyDescent="0.25">
      <c r="A308" s="18"/>
      <c r="B308" s="18"/>
      <c r="C308" s="18"/>
      <c r="D308" s="18"/>
      <c r="E308" s="162"/>
      <c r="F308" s="18"/>
      <c r="G308" s="18"/>
      <c r="H308" s="18"/>
      <c r="I308" s="18"/>
      <c r="J308" s="22"/>
      <c r="K308" s="18"/>
      <c r="L308" s="18"/>
      <c r="M308" s="18"/>
      <c r="N308" s="18"/>
      <c r="O308" s="18"/>
      <c r="P308" s="18"/>
      <c r="Q308" s="18"/>
      <c r="R308" s="117"/>
      <c r="S308" s="4"/>
      <c r="T308" s="4"/>
      <c r="U308" s="4"/>
      <c r="V308" s="4"/>
      <c r="W308" s="4"/>
      <c r="X308" s="4"/>
      <c r="Y308" s="4"/>
      <c r="Z308" s="4"/>
      <c r="AA308" s="4"/>
      <c r="AB308" s="4"/>
      <c r="AC308" s="4"/>
      <c r="AD308" s="4"/>
      <c r="AE308" s="4"/>
      <c r="AF308" s="4"/>
      <c r="AG308" s="4"/>
      <c r="AH308" s="4"/>
    </row>
    <row r="309" spans="1:34" customFormat="1" x14ac:dyDescent="0.25">
      <c r="A309" s="18"/>
      <c r="B309" s="18"/>
      <c r="C309" s="18"/>
      <c r="D309" s="263"/>
      <c r="E309" s="263"/>
      <c r="F309" s="263"/>
      <c r="G309" s="263"/>
      <c r="H309" s="263"/>
      <c r="I309" s="263"/>
      <c r="J309" s="22"/>
      <c r="K309" s="18"/>
      <c r="L309" s="18"/>
      <c r="M309" s="18"/>
      <c r="N309" s="18"/>
      <c r="O309" s="18"/>
      <c r="P309" s="18"/>
      <c r="Q309" s="18"/>
      <c r="R309" s="117"/>
      <c r="S309" s="4"/>
      <c r="T309" s="4"/>
      <c r="U309" s="4"/>
      <c r="V309" s="4"/>
      <c r="W309" s="4"/>
      <c r="X309" s="4"/>
      <c r="Y309" s="4"/>
      <c r="Z309" s="4"/>
      <c r="AA309" s="4"/>
      <c r="AB309" s="4"/>
      <c r="AC309" s="4"/>
      <c r="AD309" s="4"/>
      <c r="AE309" s="4"/>
      <c r="AF309" s="4"/>
      <c r="AG309" s="4"/>
      <c r="AH309" s="4"/>
    </row>
    <row r="310" spans="1:34" customFormat="1" x14ac:dyDescent="0.25">
      <c r="A310" s="18"/>
      <c r="B310" s="18"/>
      <c r="C310" s="18"/>
      <c r="D310" s="18"/>
      <c r="E310" s="18"/>
      <c r="F310" s="18"/>
      <c r="G310" s="18"/>
      <c r="H310" s="18"/>
      <c r="I310" s="18"/>
      <c r="J310" s="22"/>
      <c r="K310" s="18"/>
      <c r="L310" s="18"/>
      <c r="M310" s="18"/>
      <c r="N310" s="18"/>
      <c r="O310" s="18"/>
      <c r="P310" s="18"/>
      <c r="Q310" s="18"/>
      <c r="R310" s="117"/>
      <c r="S310" s="4"/>
      <c r="T310" s="4"/>
      <c r="U310" s="4"/>
      <c r="V310" s="4"/>
      <c r="W310" s="4"/>
      <c r="X310" s="4"/>
      <c r="Y310" s="4"/>
      <c r="Z310" s="4"/>
      <c r="AA310" s="4"/>
      <c r="AB310" s="4"/>
      <c r="AC310" s="4"/>
      <c r="AD310" s="4"/>
      <c r="AE310" s="4"/>
      <c r="AF310" s="4"/>
      <c r="AG310" s="4"/>
      <c r="AH310" s="4"/>
    </row>
    <row r="311" spans="1:34" customFormat="1" x14ac:dyDescent="0.25">
      <c r="A311" s="18"/>
      <c r="B311" s="18"/>
      <c r="C311" s="18"/>
      <c r="D311" s="18"/>
      <c r="E311" s="18"/>
      <c r="F311" s="18"/>
      <c r="G311" s="18"/>
      <c r="H311" s="18"/>
      <c r="I311" s="18"/>
      <c r="J311" s="22"/>
      <c r="K311" s="18"/>
      <c r="L311" s="18"/>
      <c r="M311" s="18"/>
      <c r="N311" s="18"/>
      <c r="O311" s="18"/>
      <c r="P311" s="18"/>
      <c r="Q311" s="18"/>
      <c r="R311" s="117"/>
      <c r="S311" s="4"/>
      <c r="T311" s="4"/>
      <c r="U311" s="4"/>
      <c r="V311" s="4"/>
      <c r="W311" s="4"/>
      <c r="X311" s="4"/>
      <c r="Y311" s="4"/>
      <c r="Z311" s="4"/>
      <c r="AA311" s="4"/>
      <c r="AB311" s="4"/>
      <c r="AC311" s="4"/>
      <c r="AD311" s="4"/>
      <c r="AE311" s="4"/>
      <c r="AF311" s="4"/>
      <c r="AG311" s="4"/>
      <c r="AH311" s="4"/>
    </row>
    <row r="312" spans="1:34" customFormat="1" x14ac:dyDescent="0.25">
      <c r="A312" s="18"/>
      <c r="B312" s="18"/>
      <c r="C312" s="18"/>
      <c r="D312" s="18"/>
      <c r="E312" s="18"/>
      <c r="F312" s="18"/>
      <c r="G312" s="18"/>
      <c r="H312" s="18"/>
      <c r="I312" s="18"/>
      <c r="J312" s="22"/>
      <c r="K312" s="18"/>
      <c r="L312" s="18"/>
      <c r="M312" s="18"/>
      <c r="N312" s="18"/>
      <c r="O312" s="18"/>
      <c r="P312" s="18"/>
      <c r="Q312" s="18"/>
      <c r="R312" s="117"/>
      <c r="S312" s="4"/>
      <c r="T312" s="4"/>
      <c r="U312" s="4"/>
      <c r="V312" s="4"/>
      <c r="W312" s="4"/>
      <c r="X312" s="4"/>
      <c r="Y312" s="4"/>
      <c r="Z312" s="4"/>
      <c r="AA312" s="4"/>
      <c r="AB312" s="4"/>
      <c r="AC312" s="4"/>
      <c r="AD312" s="4"/>
      <c r="AE312" s="4"/>
      <c r="AF312" s="4"/>
      <c r="AG312" s="4"/>
      <c r="AH312" s="4"/>
    </row>
    <row r="313" spans="1:34" s="101" customFormat="1" x14ac:dyDescent="0.25">
      <c r="A313" s="103"/>
      <c r="B313" s="103"/>
      <c r="C313" s="103"/>
      <c r="D313" s="103"/>
      <c r="E313" s="103"/>
      <c r="F313" s="103"/>
      <c r="G313" s="103"/>
      <c r="H313" s="103"/>
      <c r="I313" s="103"/>
      <c r="J313" s="22"/>
      <c r="K313" s="103"/>
      <c r="L313" s="103"/>
      <c r="M313" s="103"/>
      <c r="N313" s="103"/>
      <c r="O313" s="103"/>
      <c r="P313" s="103"/>
      <c r="Q313" s="103"/>
      <c r="R313" s="117"/>
      <c r="S313" s="4"/>
      <c r="T313" s="4"/>
      <c r="U313" s="4"/>
      <c r="V313" s="4"/>
      <c r="W313" s="4"/>
      <c r="X313" s="4"/>
      <c r="Y313" s="4"/>
      <c r="Z313" s="4"/>
      <c r="AA313" s="4"/>
      <c r="AB313" s="4"/>
      <c r="AC313" s="4"/>
      <c r="AD313" s="4"/>
      <c r="AE313" s="4"/>
      <c r="AF313" s="4"/>
      <c r="AG313" s="4"/>
      <c r="AH313" s="4"/>
    </row>
    <row r="316" spans="1:34" x14ac:dyDescent="0.25">
      <c r="B316" s="102" t="s">
        <v>648</v>
      </c>
      <c r="C316" s="102" t="s">
        <v>649</v>
      </c>
      <c r="D316" s="1">
        <f t="shared" ref="D316:M316" si="3">D12</f>
        <v>2015</v>
      </c>
      <c r="E316" s="1">
        <f t="shared" si="3"/>
        <v>2016</v>
      </c>
      <c r="F316" s="1">
        <f t="shared" si="3"/>
        <v>2017</v>
      </c>
      <c r="G316" s="1">
        <f t="shared" si="3"/>
        <v>2018</v>
      </c>
      <c r="H316" s="1">
        <f t="shared" si="3"/>
        <v>2019</v>
      </c>
      <c r="I316" s="1">
        <f t="shared" si="3"/>
        <v>2020</v>
      </c>
      <c r="J316" s="98">
        <f t="shared" si="3"/>
        <v>2021</v>
      </c>
      <c r="K316" s="1">
        <f t="shared" si="3"/>
        <v>2022</v>
      </c>
      <c r="L316" s="1">
        <f t="shared" si="3"/>
        <v>2023</v>
      </c>
      <c r="M316" s="1">
        <f t="shared" si="3"/>
        <v>2024</v>
      </c>
      <c r="N316" s="1">
        <f>N12</f>
        <v>2025</v>
      </c>
    </row>
    <row r="317" spans="1:34" x14ac:dyDescent="0.25">
      <c r="B317" s="8">
        <v>1</v>
      </c>
      <c r="C317" s="8" t="s">
        <v>650</v>
      </c>
      <c r="D317" s="43">
        <f t="shared" ref="D317:D334" si="4">SUMIF($A$15:$A$307,B317,$D$15:$D$307)</f>
        <v>-7950638</v>
      </c>
      <c r="E317" s="43">
        <f t="shared" ref="E317:E334" si="5">SUMIF($A$15:$A$307,B317,$E$15:$E$307)</f>
        <v>-7875819</v>
      </c>
      <c r="F317" s="43">
        <f t="shared" ref="F317:F334" si="6">SUMIF($A$15:$A$307,B317,$F$15:$F$307)</f>
        <v>-7708713</v>
      </c>
      <c r="G317" s="43">
        <f t="shared" ref="G317:G334" si="7">SUMIF($A$15:$A$307,B317,$G$15:$G$307)</f>
        <v>-8028348</v>
      </c>
      <c r="H317" s="43">
        <f t="shared" ref="H317:H334" si="8">SUMIF($A$15:$A$307,B317,$H$15:$H$307)</f>
        <v>-8520308</v>
      </c>
      <c r="I317" s="43">
        <f t="shared" ref="I317:I334" si="9">SUMIF($A$15:$A$307,B317,$I$15:$I$307)</f>
        <v>-8896519</v>
      </c>
      <c r="J317" s="159">
        <f t="shared" ref="J317:J334" si="10">SUMIF($A$15:$A$307,B317,$J$15:$J$307)</f>
        <v>-9176599.9785399996</v>
      </c>
      <c r="K317" s="43">
        <f t="shared" ref="K317:K334" si="11">SUMIF($A$15:$A$307,B317,$K$15:$K$307)</f>
        <v>-9941634.1489799991</v>
      </c>
      <c r="L317" s="43">
        <f t="shared" ref="L317:L334" si="12">SUMIF($A$15:$A$307,B317,$L$15:$L$307)</f>
        <v>-4446335.5164600005</v>
      </c>
      <c r="M317" s="43">
        <f t="shared" ref="M317:M334" si="13">SUMIF($A$15:$A$307,B317,$M$15:$M$307)</f>
        <v>-4649545.2896467708</v>
      </c>
      <c r="N317" s="43">
        <f>SUMIF($A$15:$A$307,B317,$N$15:$N$307)</f>
        <v>-5130704.9505724525</v>
      </c>
      <c r="O317" s="43"/>
      <c r="P317" s="43"/>
      <c r="Q317" s="43"/>
    </row>
    <row r="318" spans="1:34" x14ac:dyDescent="0.25">
      <c r="B318" s="8">
        <v>2</v>
      </c>
      <c r="C318" s="8" t="s">
        <v>651</v>
      </c>
      <c r="D318" s="43">
        <f t="shared" si="4"/>
        <v>-2425307</v>
      </c>
      <c r="E318" s="43">
        <f t="shared" si="5"/>
        <v>-2467457</v>
      </c>
      <c r="F318" s="43">
        <f t="shared" si="6"/>
        <v>-2489381</v>
      </c>
      <c r="G318" s="43">
        <f t="shared" si="7"/>
        <v>-2554904</v>
      </c>
      <c r="H318" s="43">
        <f t="shared" si="8"/>
        <v>-2652796</v>
      </c>
      <c r="I318" s="43">
        <f t="shared" si="9"/>
        <v>-2698577</v>
      </c>
      <c r="J318" s="159">
        <f t="shared" si="10"/>
        <v>-2761107.3952100002</v>
      </c>
      <c r="K318" s="43">
        <f t="shared" si="11"/>
        <v>-2972430.6087799999</v>
      </c>
      <c r="L318" s="43">
        <f t="shared" si="12"/>
        <v>-1254352.8192799999</v>
      </c>
      <c r="M318" s="43">
        <f t="shared" si="13"/>
        <v>-1279517.2693945752</v>
      </c>
      <c r="N318" s="43">
        <f t="shared" ref="N318:N334" si="14">SUMIF($A$15:$A$307,B318,$N$15:$N$307)</f>
        <v>-1436021.5385481906</v>
      </c>
      <c r="O318" s="43"/>
      <c r="P318" s="43"/>
      <c r="Q318" s="43"/>
    </row>
    <row r="319" spans="1:34" x14ac:dyDescent="0.25">
      <c r="B319" s="8">
        <v>4</v>
      </c>
      <c r="C319" s="8" t="s">
        <v>652</v>
      </c>
      <c r="D319" s="43">
        <f t="shared" si="4"/>
        <v>-1161191</v>
      </c>
      <c r="E319" s="43">
        <f t="shared" si="5"/>
        <v>-1134819</v>
      </c>
      <c r="F319" s="43">
        <f t="shared" si="6"/>
        <v>-1145993</v>
      </c>
      <c r="G319" s="43">
        <f t="shared" si="7"/>
        <v>-1202793</v>
      </c>
      <c r="H319" s="43">
        <f t="shared" si="8"/>
        <v>-1235650</v>
      </c>
      <c r="I319" s="43">
        <f t="shared" si="9"/>
        <v>-1243928</v>
      </c>
      <c r="J319" s="159">
        <f t="shared" si="10"/>
        <v>-1294226.3240199997</v>
      </c>
      <c r="K319" s="43">
        <f t="shared" si="11"/>
        <v>-1388375.16653</v>
      </c>
      <c r="L319" s="43">
        <f t="shared" si="12"/>
        <v>-498259.75422</v>
      </c>
      <c r="M319" s="43">
        <f t="shared" si="13"/>
        <v>-527811.83701890823</v>
      </c>
      <c r="N319" s="43">
        <f t="shared" si="14"/>
        <v>-566088.30452818621</v>
      </c>
      <c r="O319" s="43"/>
      <c r="P319" s="43"/>
      <c r="Q319" s="43"/>
    </row>
    <row r="320" spans="1:34" x14ac:dyDescent="0.25">
      <c r="B320" s="8">
        <v>5</v>
      </c>
      <c r="C320" s="8" t="s">
        <v>653</v>
      </c>
      <c r="D320" s="43">
        <f t="shared" si="4"/>
        <v>-878427</v>
      </c>
      <c r="E320" s="43">
        <f t="shared" si="5"/>
        <v>-889916</v>
      </c>
      <c r="F320" s="43">
        <f t="shared" si="6"/>
        <v>-874395</v>
      </c>
      <c r="G320" s="43">
        <f t="shared" si="7"/>
        <v>-889637</v>
      </c>
      <c r="H320" s="43">
        <f t="shared" si="8"/>
        <v>-916656</v>
      </c>
      <c r="I320" s="43">
        <f t="shared" si="9"/>
        <v>-946623</v>
      </c>
      <c r="J320" s="159">
        <f t="shared" si="10"/>
        <v>-978198.23074999987</v>
      </c>
      <c r="K320" s="43">
        <f t="shared" si="11"/>
        <v>-1041033.7149800002</v>
      </c>
      <c r="L320" s="43">
        <f t="shared" si="12"/>
        <v>-398816.23994</v>
      </c>
      <c r="M320" s="43">
        <f t="shared" si="13"/>
        <v>-404657.46880478319</v>
      </c>
      <c r="N320" s="43">
        <f t="shared" si="14"/>
        <v>-447253.38847591844</v>
      </c>
      <c r="O320" s="43"/>
      <c r="P320" s="43"/>
      <c r="Q320" s="43"/>
    </row>
    <row r="321" spans="2:17" x14ac:dyDescent="0.25">
      <c r="B321" s="8">
        <v>6</v>
      </c>
      <c r="C321" s="8" t="s">
        <v>654</v>
      </c>
      <c r="D321" s="43">
        <f t="shared" si="4"/>
        <v>-2548629</v>
      </c>
      <c r="E321" s="43">
        <f t="shared" si="5"/>
        <v>-2586357</v>
      </c>
      <c r="F321" s="43">
        <f t="shared" si="6"/>
        <v>-2572229</v>
      </c>
      <c r="G321" s="43">
        <f t="shared" si="7"/>
        <v>-2662472</v>
      </c>
      <c r="H321" s="43">
        <f t="shared" si="8"/>
        <v>-2746992</v>
      </c>
      <c r="I321" s="43">
        <f t="shared" si="9"/>
        <v>-2850206</v>
      </c>
      <c r="J321" s="159">
        <f t="shared" si="10"/>
        <v>-2961998.1914700004</v>
      </c>
      <c r="K321" s="43">
        <f t="shared" si="11"/>
        <v>-3199578.2651399998</v>
      </c>
      <c r="L321" s="43">
        <f t="shared" si="12"/>
        <v>-1315112.54682</v>
      </c>
      <c r="M321" s="43">
        <f t="shared" si="13"/>
        <v>-1373024.2503540784</v>
      </c>
      <c r="N321" s="43">
        <f t="shared" si="14"/>
        <v>-1522363.3269868363</v>
      </c>
      <c r="O321" s="43"/>
      <c r="P321" s="43"/>
      <c r="Q321" s="43"/>
    </row>
    <row r="322" spans="2:17" x14ac:dyDescent="0.25">
      <c r="B322" s="8">
        <v>7</v>
      </c>
      <c r="C322" s="8" t="s">
        <v>655</v>
      </c>
      <c r="D322" s="43">
        <f t="shared" si="4"/>
        <v>-1067188</v>
      </c>
      <c r="E322" s="43">
        <f t="shared" si="5"/>
        <v>-1080240</v>
      </c>
      <c r="F322" s="43">
        <f t="shared" si="6"/>
        <v>-1058780</v>
      </c>
      <c r="G322" s="43">
        <f t="shared" si="7"/>
        <v>-1092462</v>
      </c>
      <c r="H322" s="43">
        <f t="shared" si="8"/>
        <v>-1143554</v>
      </c>
      <c r="I322" s="43">
        <f t="shared" si="9"/>
        <v>-1155920</v>
      </c>
      <c r="J322" s="159">
        <f t="shared" si="10"/>
        <v>-1179140.4170499998</v>
      </c>
      <c r="K322" s="43">
        <f t="shared" si="11"/>
        <v>-1234677.8053499998</v>
      </c>
      <c r="L322" s="43">
        <f t="shared" si="12"/>
        <v>-511260.83555999998</v>
      </c>
      <c r="M322" s="43">
        <f t="shared" si="13"/>
        <v>-563960.26427817403</v>
      </c>
      <c r="N322" s="43">
        <f t="shared" si="14"/>
        <v>-578947.67518520588</v>
      </c>
      <c r="O322" s="43"/>
      <c r="P322" s="43"/>
      <c r="Q322" s="43"/>
    </row>
    <row r="323" spans="2:17" x14ac:dyDescent="0.25">
      <c r="B323" s="8">
        <v>8</v>
      </c>
      <c r="C323" s="8" t="s">
        <v>656</v>
      </c>
      <c r="D323" s="43">
        <f t="shared" si="4"/>
        <v>-960304</v>
      </c>
      <c r="E323" s="43">
        <f t="shared" si="5"/>
        <v>-970080</v>
      </c>
      <c r="F323" s="43">
        <f t="shared" si="6"/>
        <v>-950151</v>
      </c>
      <c r="G323" s="43">
        <f t="shared" si="7"/>
        <v>-998188</v>
      </c>
      <c r="H323" s="43">
        <f t="shared" si="8"/>
        <v>-1010319</v>
      </c>
      <c r="I323" s="43">
        <f t="shared" si="9"/>
        <v>-1023768</v>
      </c>
      <c r="J323" s="159">
        <f t="shared" si="10"/>
        <v>-1079646.2713600001</v>
      </c>
      <c r="K323" s="43">
        <f t="shared" si="11"/>
        <v>-1135449.9505099999</v>
      </c>
      <c r="L323" s="43">
        <f t="shared" si="12"/>
        <v>-383428.37897999998</v>
      </c>
      <c r="M323" s="43">
        <f t="shared" si="13"/>
        <v>-384382.83990180952</v>
      </c>
      <c r="N323" s="43">
        <f t="shared" si="14"/>
        <v>-436044.61003293918</v>
      </c>
      <c r="O323" s="43"/>
      <c r="P323" s="43"/>
      <c r="Q323" s="43"/>
    </row>
    <row r="324" spans="2:17" x14ac:dyDescent="0.25">
      <c r="B324" s="8">
        <v>9</v>
      </c>
      <c r="C324" s="8" t="s">
        <v>657</v>
      </c>
      <c r="D324" s="43">
        <f t="shared" si="4"/>
        <v>-699968</v>
      </c>
      <c r="E324" s="43">
        <f t="shared" si="5"/>
        <v>-710744</v>
      </c>
      <c r="F324" s="43">
        <f t="shared" si="6"/>
        <v>-693944</v>
      </c>
      <c r="G324" s="43">
        <f t="shared" si="7"/>
        <v>-711525</v>
      </c>
      <c r="H324" s="43">
        <f t="shared" si="8"/>
        <v>-713820</v>
      </c>
      <c r="I324" s="43">
        <f t="shared" si="9"/>
        <v>-770708</v>
      </c>
      <c r="J324" s="159">
        <f t="shared" si="10"/>
        <v>-764163.63212999981</v>
      </c>
      <c r="K324" s="43">
        <f t="shared" si="11"/>
        <v>-809412.14831000008</v>
      </c>
      <c r="L324" s="43">
        <f t="shared" si="12"/>
        <v>-295350.03847000003</v>
      </c>
      <c r="M324" s="43">
        <f t="shared" si="13"/>
        <v>-303009.31213016663</v>
      </c>
      <c r="N324" s="43">
        <f t="shared" si="14"/>
        <v>-342571.59504224086</v>
      </c>
      <c r="O324" s="43"/>
      <c r="P324" s="43"/>
      <c r="Q324" s="43"/>
    </row>
    <row r="325" spans="2:17" x14ac:dyDescent="0.25">
      <c r="B325" s="8">
        <v>10</v>
      </c>
      <c r="C325" s="8" t="s">
        <v>658</v>
      </c>
      <c r="D325" s="43">
        <f t="shared" si="4"/>
        <v>-808876</v>
      </c>
      <c r="E325" s="43">
        <f t="shared" si="5"/>
        <v>-804329</v>
      </c>
      <c r="F325" s="43">
        <f t="shared" si="6"/>
        <v>-804540</v>
      </c>
      <c r="G325" s="43">
        <f t="shared" si="7"/>
        <v>-831122</v>
      </c>
      <c r="H325" s="43">
        <f t="shared" si="8"/>
        <v>-847551</v>
      </c>
      <c r="I325" s="43">
        <f t="shared" si="9"/>
        <v>-855599</v>
      </c>
      <c r="J325" s="159">
        <f t="shared" si="10"/>
        <v>-905896.32830000005</v>
      </c>
      <c r="K325" s="43">
        <f t="shared" si="11"/>
        <v>-945626.94189000002</v>
      </c>
      <c r="L325" s="43">
        <f t="shared" si="12"/>
        <v>-308649.48924999998</v>
      </c>
      <c r="M325" s="43">
        <f t="shared" si="13"/>
        <v>-320462.01956788701</v>
      </c>
      <c r="N325" s="43">
        <f t="shared" si="14"/>
        <v>-350055.52552098833</v>
      </c>
      <c r="O325" s="43"/>
      <c r="P325" s="43"/>
      <c r="Q325" s="43"/>
    </row>
    <row r="326" spans="2:17" x14ac:dyDescent="0.25">
      <c r="B326" s="8">
        <v>11</v>
      </c>
      <c r="C326" s="8" t="s">
        <v>659</v>
      </c>
      <c r="D326" s="43">
        <f t="shared" si="4"/>
        <v>-1334313</v>
      </c>
      <c r="E326" s="43">
        <f t="shared" si="5"/>
        <v>-1355464</v>
      </c>
      <c r="F326" s="43">
        <f t="shared" si="6"/>
        <v>-1376310</v>
      </c>
      <c r="G326" s="43">
        <f t="shared" si="7"/>
        <v>-1414132</v>
      </c>
      <c r="H326" s="43">
        <f t="shared" si="8"/>
        <v>-1479799</v>
      </c>
      <c r="I326" s="43">
        <f t="shared" si="9"/>
        <v>-1524042</v>
      </c>
      <c r="J326" s="159">
        <f t="shared" si="10"/>
        <v>-1565119.2688799996</v>
      </c>
      <c r="K326" s="43">
        <f t="shared" si="11"/>
        <v>-1666100.5769400003</v>
      </c>
      <c r="L326" s="43">
        <f t="shared" si="12"/>
        <v>-627315.16260999988</v>
      </c>
      <c r="M326" s="43">
        <f t="shared" si="13"/>
        <v>-625599.80955963477</v>
      </c>
      <c r="N326" s="43">
        <f t="shared" si="14"/>
        <v>-711708.04173371627</v>
      </c>
      <c r="O326" s="43"/>
      <c r="P326" s="43"/>
      <c r="Q326" s="43"/>
    </row>
    <row r="327" spans="2:17" x14ac:dyDescent="0.25">
      <c r="B327" s="8">
        <v>12</v>
      </c>
      <c r="C327" s="8" t="s">
        <v>660</v>
      </c>
      <c r="D327" s="43">
        <f t="shared" si="4"/>
        <v>-881968</v>
      </c>
      <c r="E327" s="43">
        <f t="shared" si="5"/>
        <v>-900908</v>
      </c>
      <c r="F327" s="43">
        <f t="shared" si="6"/>
        <v>-875815</v>
      </c>
      <c r="G327" s="43">
        <f t="shared" si="7"/>
        <v>-910730</v>
      </c>
      <c r="H327" s="43">
        <f t="shared" si="8"/>
        <v>-934510</v>
      </c>
      <c r="I327" s="43">
        <f t="shared" si="9"/>
        <v>-953622</v>
      </c>
      <c r="J327" s="159">
        <f t="shared" si="10"/>
        <v>-1001580.1929499999</v>
      </c>
      <c r="K327" s="43">
        <f t="shared" si="11"/>
        <v>-1074196.0829799999</v>
      </c>
      <c r="L327" s="43">
        <f t="shared" si="12"/>
        <v>-388834.65685000003</v>
      </c>
      <c r="M327" s="43">
        <f t="shared" si="13"/>
        <v>-392110.85714247159</v>
      </c>
      <c r="N327" s="43">
        <f t="shared" si="14"/>
        <v>-452811.49448731041</v>
      </c>
      <c r="O327" s="43"/>
      <c r="P327" s="43"/>
      <c r="Q327" s="43"/>
    </row>
    <row r="328" spans="2:17" x14ac:dyDescent="0.25">
      <c r="B328" s="8">
        <v>13</v>
      </c>
      <c r="C328" s="8" t="s">
        <v>661</v>
      </c>
      <c r="D328" s="43">
        <f t="shared" si="4"/>
        <v>-1373594</v>
      </c>
      <c r="E328" s="43">
        <f t="shared" si="5"/>
        <v>-1402552</v>
      </c>
      <c r="F328" s="43">
        <f t="shared" si="6"/>
        <v>-1391446</v>
      </c>
      <c r="G328" s="43">
        <f t="shared" si="7"/>
        <v>-1427266</v>
      </c>
      <c r="H328" s="43">
        <f t="shared" si="8"/>
        <v>-1499734</v>
      </c>
      <c r="I328" s="43">
        <f t="shared" si="9"/>
        <v>-1522659</v>
      </c>
      <c r="J328" s="159">
        <f t="shared" si="10"/>
        <v>-1607921.9764800002</v>
      </c>
      <c r="K328" s="43">
        <f t="shared" si="11"/>
        <v>-1724803.2014199996</v>
      </c>
      <c r="L328" s="43">
        <f t="shared" si="12"/>
        <v>-677923.02675999992</v>
      </c>
      <c r="M328" s="43">
        <f t="shared" si="13"/>
        <v>-663465.67872969434</v>
      </c>
      <c r="N328" s="43">
        <f t="shared" si="14"/>
        <v>-786197.25180963427</v>
      </c>
      <c r="O328" s="43"/>
      <c r="P328" s="43"/>
      <c r="Q328" s="43"/>
    </row>
    <row r="329" spans="2:17" x14ac:dyDescent="0.25">
      <c r="B329" s="8">
        <v>14</v>
      </c>
      <c r="C329" s="8" t="s">
        <v>662</v>
      </c>
      <c r="D329" s="43">
        <f t="shared" si="4"/>
        <v>-1101734</v>
      </c>
      <c r="E329" s="43">
        <f t="shared" si="5"/>
        <v>-1092937</v>
      </c>
      <c r="F329" s="43">
        <f t="shared" si="6"/>
        <v>-1095592</v>
      </c>
      <c r="G329" s="43">
        <f t="shared" si="7"/>
        <v>-1126345</v>
      </c>
      <c r="H329" s="43">
        <f t="shared" si="8"/>
        <v>-1187044</v>
      </c>
      <c r="I329" s="43">
        <f t="shared" si="9"/>
        <v>-1193839</v>
      </c>
      <c r="J329" s="159">
        <f t="shared" si="10"/>
        <v>-1250120.6504300002</v>
      </c>
      <c r="K329" s="43">
        <f t="shared" si="11"/>
        <v>-1286162.1087699998</v>
      </c>
      <c r="L329" s="43">
        <f t="shared" si="12"/>
        <v>-531505.22960000008</v>
      </c>
      <c r="M329" s="43">
        <f t="shared" si="13"/>
        <v>-510741.95544704911</v>
      </c>
      <c r="N329" s="43">
        <f t="shared" si="14"/>
        <v>-595891.50936951092</v>
      </c>
      <c r="O329" s="43"/>
      <c r="P329" s="43"/>
      <c r="Q329" s="43"/>
    </row>
    <row r="330" spans="2:17" x14ac:dyDescent="0.25">
      <c r="B330" s="8">
        <v>15</v>
      </c>
      <c r="C330" s="8" t="s">
        <v>663</v>
      </c>
      <c r="D330" s="43">
        <f t="shared" si="4"/>
        <v>-975785</v>
      </c>
      <c r="E330" s="43">
        <f t="shared" si="5"/>
        <v>-979233</v>
      </c>
      <c r="F330" s="43">
        <f t="shared" si="6"/>
        <v>-960893</v>
      </c>
      <c r="G330" s="43">
        <f t="shared" si="7"/>
        <v>-988254</v>
      </c>
      <c r="H330" s="43">
        <f t="shared" si="8"/>
        <v>-1022104</v>
      </c>
      <c r="I330" s="43">
        <f t="shared" si="9"/>
        <v>-1043915</v>
      </c>
      <c r="J330" s="159">
        <f t="shared" si="10"/>
        <v>-1092006.2797300001</v>
      </c>
      <c r="K330" s="43">
        <f t="shared" si="11"/>
        <v>-1169493.3554099998</v>
      </c>
      <c r="L330" s="43">
        <f t="shared" si="12"/>
        <v>-503766.22839</v>
      </c>
      <c r="M330" s="43">
        <f t="shared" si="13"/>
        <v>-511057.56003652915</v>
      </c>
      <c r="N330" s="43">
        <f t="shared" si="14"/>
        <v>-566383.04389958049</v>
      </c>
      <c r="O330" s="43"/>
      <c r="P330" s="43"/>
      <c r="Q330" s="43"/>
    </row>
    <row r="331" spans="2:17" x14ac:dyDescent="0.25">
      <c r="B331" s="8">
        <v>16</v>
      </c>
      <c r="C331" s="8" t="s">
        <v>664</v>
      </c>
      <c r="D331" s="43">
        <f t="shared" si="4"/>
        <v>-369179</v>
      </c>
      <c r="E331" s="43">
        <f t="shared" si="5"/>
        <v>-380334</v>
      </c>
      <c r="F331" s="43">
        <f t="shared" si="6"/>
        <v>-378082</v>
      </c>
      <c r="G331" s="43">
        <f t="shared" si="7"/>
        <v>-389321</v>
      </c>
      <c r="H331" s="43">
        <f t="shared" si="8"/>
        <v>-401730</v>
      </c>
      <c r="I331" s="43">
        <f t="shared" si="9"/>
        <v>-412019</v>
      </c>
      <c r="J331" s="159">
        <f t="shared" si="10"/>
        <v>-427555.75813000003</v>
      </c>
      <c r="K331" s="43">
        <f t="shared" si="11"/>
        <v>-452372.15383999998</v>
      </c>
      <c r="L331" s="43">
        <f t="shared" si="12"/>
        <v>-190929.50369999997</v>
      </c>
      <c r="M331" s="43">
        <f t="shared" si="13"/>
        <v>-194099.93338053947</v>
      </c>
      <c r="N331" s="43">
        <f t="shared" si="14"/>
        <v>-214879.00117242269</v>
      </c>
      <c r="O331" s="43"/>
      <c r="P331" s="43"/>
      <c r="Q331" s="43"/>
    </row>
    <row r="332" spans="2:17" x14ac:dyDescent="0.25">
      <c r="B332" s="8">
        <v>17</v>
      </c>
      <c r="C332" s="8" t="s">
        <v>665</v>
      </c>
      <c r="D332" s="43">
        <f t="shared" si="4"/>
        <v>-2126242</v>
      </c>
      <c r="E332" s="43">
        <f t="shared" si="5"/>
        <v>-2170073</v>
      </c>
      <c r="F332" s="43">
        <f t="shared" si="6"/>
        <v>-2160148</v>
      </c>
      <c r="G332" s="43">
        <f t="shared" si="7"/>
        <v>-2241317</v>
      </c>
      <c r="H332" s="43">
        <f t="shared" si="8"/>
        <v>-2355742</v>
      </c>
      <c r="I332" s="43">
        <f t="shared" si="9"/>
        <v>-2414722</v>
      </c>
      <c r="J332" s="159">
        <f t="shared" si="10"/>
        <v>-2497095.380210001</v>
      </c>
      <c r="K332" s="43">
        <f t="shared" si="11"/>
        <v>-2514249.3179300004</v>
      </c>
      <c r="L332" s="43">
        <f t="shared" si="12"/>
        <v>-1215613.06694</v>
      </c>
      <c r="M332" s="43">
        <f t="shared" si="13"/>
        <v>-1210072.3832736691</v>
      </c>
      <c r="N332" s="43">
        <f t="shared" si="14"/>
        <v>-1361921.1063287919</v>
      </c>
      <c r="O332" s="43"/>
      <c r="P332" s="43"/>
      <c r="Q332" s="43"/>
    </row>
    <row r="333" spans="2:17" x14ac:dyDescent="0.25">
      <c r="B333" s="8">
        <v>18</v>
      </c>
      <c r="C333" s="8" t="s">
        <v>666</v>
      </c>
      <c r="D333" s="43">
        <f t="shared" si="4"/>
        <v>-485747</v>
      </c>
      <c r="E333" s="43">
        <f t="shared" si="5"/>
        <v>-484654</v>
      </c>
      <c r="F333" s="43">
        <f t="shared" si="6"/>
        <v>-485361</v>
      </c>
      <c r="G333" s="43">
        <f t="shared" si="7"/>
        <v>-501464</v>
      </c>
      <c r="H333" s="43">
        <f t="shared" si="8"/>
        <v>-515929</v>
      </c>
      <c r="I333" s="43">
        <f t="shared" si="9"/>
        <v>-532915</v>
      </c>
      <c r="J333" s="159">
        <f t="shared" si="10"/>
        <v>-538007.44760999992</v>
      </c>
      <c r="K333" s="43">
        <f t="shared" si="11"/>
        <v>-547115.76645</v>
      </c>
      <c r="L333" s="43">
        <f t="shared" si="12"/>
        <v>-228570.96174999996</v>
      </c>
      <c r="M333" s="43">
        <f t="shared" si="13"/>
        <v>-228861.81779045236</v>
      </c>
      <c r="N333" s="43">
        <f t="shared" si="14"/>
        <v>-259751.34661663216</v>
      </c>
      <c r="O333" s="43"/>
      <c r="P333" s="43"/>
      <c r="Q333" s="43"/>
    </row>
    <row r="334" spans="2:17" x14ac:dyDescent="0.25">
      <c r="B334" s="8">
        <v>19</v>
      </c>
      <c r="C334" s="8" t="s">
        <v>667</v>
      </c>
      <c r="D334" s="43">
        <f t="shared" si="4"/>
        <v>-1092966</v>
      </c>
      <c r="E334" s="43">
        <f t="shared" si="5"/>
        <v>-1094804</v>
      </c>
      <c r="F334" s="43">
        <f t="shared" si="6"/>
        <v>-1087583</v>
      </c>
      <c r="G334" s="43">
        <f t="shared" si="7"/>
        <v>-1132447</v>
      </c>
      <c r="H334" s="43">
        <f t="shared" si="8"/>
        <v>-1172697</v>
      </c>
      <c r="I334" s="43">
        <f t="shared" si="9"/>
        <v>-1181698</v>
      </c>
      <c r="J334" s="159">
        <f t="shared" si="10"/>
        <v>-1199854.14977</v>
      </c>
      <c r="K334" s="43">
        <f t="shared" si="11"/>
        <v>-1289068.1681700002</v>
      </c>
      <c r="L334" s="43">
        <f t="shared" si="12"/>
        <v>-493197.24463000003</v>
      </c>
      <c r="M334" s="43">
        <f t="shared" si="13"/>
        <v>-518456.65133640432</v>
      </c>
      <c r="N334" s="43">
        <f t="shared" si="14"/>
        <v>-564705.99872756505</v>
      </c>
      <c r="O334" s="43"/>
      <c r="P334" s="43"/>
      <c r="Q334" s="43"/>
    </row>
    <row r="336" spans="2:17" x14ac:dyDescent="0.25">
      <c r="D336" s="43">
        <f>SUM(D317:D334)</f>
        <v>-28242056</v>
      </c>
      <c r="E336" s="43">
        <f>SUM(E317:E334)</f>
        <v>-28380720</v>
      </c>
      <c r="F336" s="43">
        <f>SUM(F317:F334)</f>
        <v>-28109356</v>
      </c>
      <c r="G336" s="43">
        <f t="shared" ref="G336:M336" si="15">SUM(G317:G334)</f>
        <v>-29102727</v>
      </c>
      <c r="H336" s="43">
        <f t="shared" si="15"/>
        <v>-30356935</v>
      </c>
      <c r="I336" s="43">
        <f t="shared" si="15"/>
        <v>-31221279</v>
      </c>
      <c r="J336" s="159">
        <f t="shared" si="15"/>
        <v>-32280237.873019993</v>
      </c>
      <c r="K336" s="43">
        <f t="shared" si="15"/>
        <v>-34391779.482379995</v>
      </c>
      <c r="L336" s="43">
        <f t="shared" si="15"/>
        <v>-14269220.700210001</v>
      </c>
      <c r="M336" s="43">
        <f t="shared" si="15"/>
        <v>-14660837.197793592</v>
      </c>
      <c r="N336" s="43">
        <f>SUM(N317:N334)</f>
        <v>-16324299.70903812</v>
      </c>
      <c r="O336" s="43"/>
      <c r="P336" s="43"/>
      <c r="Q336" s="43"/>
    </row>
    <row r="337" spans="1:17" x14ac:dyDescent="0.25">
      <c r="D337" s="43"/>
      <c r="F337" s="43"/>
      <c r="G337" s="43"/>
      <c r="H337" s="43"/>
      <c r="I337" s="43"/>
      <c r="J337" s="159"/>
      <c r="K337" s="43"/>
      <c r="L337" s="43"/>
      <c r="M337" s="43"/>
      <c r="N337" s="43"/>
      <c r="O337" s="43"/>
      <c r="P337" s="43"/>
      <c r="Q337" s="43"/>
    </row>
    <row r="338" spans="1:17" x14ac:dyDescent="0.25">
      <c r="D338" s="43"/>
      <c r="F338" s="43"/>
      <c r="G338" s="43"/>
      <c r="H338" s="43"/>
      <c r="I338" s="43"/>
      <c r="J338" s="159"/>
      <c r="K338" s="43"/>
      <c r="L338" s="43"/>
      <c r="M338" s="43"/>
      <c r="N338" s="43"/>
      <c r="O338" s="43"/>
      <c r="P338" s="43"/>
      <c r="Q338" s="43"/>
    </row>
    <row r="339" spans="1:17" x14ac:dyDescent="0.25">
      <c r="D339" s="4"/>
      <c r="E339" s="4"/>
      <c r="F339" s="4"/>
      <c r="G339" s="4"/>
      <c r="H339" s="4"/>
      <c r="I339" s="4"/>
      <c r="J339" s="7"/>
      <c r="K339" s="4"/>
      <c r="L339" s="4"/>
      <c r="M339" s="4"/>
      <c r="N339" s="4"/>
      <c r="O339" s="4"/>
      <c r="P339" s="4"/>
      <c r="Q339" s="4"/>
    </row>
    <row r="340" spans="1:17" x14ac:dyDescent="0.25">
      <c r="D340" s="1">
        <v>2015</v>
      </c>
      <c r="E340" s="1">
        <v>2016</v>
      </c>
      <c r="F340" s="1">
        <v>2017</v>
      </c>
      <c r="G340" s="1">
        <v>2018</v>
      </c>
      <c r="H340" s="1">
        <v>2019</v>
      </c>
      <c r="I340" s="1">
        <v>2020</v>
      </c>
      <c r="J340" s="98">
        <v>2021</v>
      </c>
      <c r="K340" s="1">
        <v>2022</v>
      </c>
      <c r="L340" s="1">
        <v>2023</v>
      </c>
      <c r="M340" s="1">
        <v>2024</v>
      </c>
      <c r="N340" s="1">
        <v>2024</v>
      </c>
    </row>
    <row r="341" spans="1:17" x14ac:dyDescent="0.25">
      <c r="B341" s="102" t="s">
        <v>648</v>
      </c>
      <c r="C341" s="102" t="s">
        <v>649</v>
      </c>
      <c r="D341" s="1">
        <f t="shared" ref="D341:M341" si="16">D37</f>
        <v>-17506</v>
      </c>
      <c r="E341" s="1">
        <f t="shared" si="16"/>
        <v>-17037</v>
      </c>
      <c r="F341" s="1">
        <f t="shared" si="16"/>
        <v>-17675</v>
      </c>
      <c r="G341" s="1">
        <f t="shared" si="16"/>
        <v>-18483</v>
      </c>
      <c r="H341" s="1">
        <f t="shared" si="16"/>
        <v>-18256</v>
      </c>
      <c r="I341" s="1">
        <f t="shared" si="16"/>
        <v>-17621</v>
      </c>
      <c r="J341" s="98">
        <f t="shared" si="16"/>
        <v>-18787.97134</v>
      </c>
      <c r="K341" s="1">
        <f t="shared" si="16"/>
        <v>-20128.545040000001</v>
      </c>
      <c r="L341" s="1">
        <f t="shared" si="16"/>
        <v>-6172.2934400000004</v>
      </c>
      <c r="M341" s="1">
        <f t="shared" si="16"/>
        <v>-5746.3979254439128</v>
      </c>
      <c r="N341" s="1">
        <f>N37</f>
        <v>-7163.3899727115149</v>
      </c>
    </row>
    <row r="342" spans="1:17" x14ac:dyDescent="0.25">
      <c r="B342" s="8">
        <v>1</v>
      </c>
      <c r="C342" s="8" t="s">
        <v>650</v>
      </c>
      <c r="D342" s="43"/>
      <c r="E342" s="43"/>
      <c r="F342" s="43"/>
      <c r="G342" s="43"/>
      <c r="H342" s="43">
        <f t="shared" ref="H342:H359" si="17">SUMIF($A$15:$A$307,B342,$H$15:$H$307)</f>
        <v>-8520308</v>
      </c>
      <c r="I342" s="43">
        <f t="shared" ref="I342:I359" si="18">SUMIF($A$15:$A$307,B342,$I$15:$I$307)</f>
        <v>-8896519</v>
      </c>
      <c r="J342" s="159">
        <f t="shared" ref="J342:J359" si="19">SUMIF($A$15:$A$307,B342,$J$15:$J$307)</f>
        <v>-9176599.9785399996</v>
      </c>
      <c r="K342" s="43">
        <f t="shared" ref="K342:K359" si="20">SUMIF($A$15:$A$307,B342,$K$15:$K$307)</f>
        <v>-9941634.1489799991</v>
      </c>
      <c r="L342" s="43">
        <f t="shared" ref="L342:L359" si="21">SUMIF($A$15:$A$307,B342,$L$15:$L$307)</f>
        <v>-4446335.5164600005</v>
      </c>
      <c r="M342" s="43">
        <f t="shared" ref="M342:N359" si="22">SUMIF($A$15:$A$307,B342,$M$15:$M$307)</f>
        <v>-4649545.2896467708</v>
      </c>
      <c r="N342" s="43">
        <f t="shared" si="22"/>
        <v>0</v>
      </c>
      <c r="O342" s="43"/>
      <c r="P342" s="43"/>
      <c r="Q342" s="43"/>
    </row>
    <row r="343" spans="1:17" x14ac:dyDescent="0.25">
      <c r="B343" s="8">
        <v>2</v>
      </c>
      <c r="C343" s="8" t="s">
        <v>651</v>
      </c>
      <c r="D343" s="43"/>
      <c r="E343" s="43"/>
      <c r="F343" s="43"/>
      <c r="G343" s="43"/>
      <c r="H343" s="43">
        <f t="shared" si="17"/>
        <v>-2652796</v>
      </c>
      <c r="I343" s="43">
        <f t="shared" si="18"/>
        <v>-2698577</v>
      </c>
      <c r="J343" s="159">
        <f t="shared" si="19"/>
        <v>-2761107.3952100002</v>
      </c>
      <c r="K343" s="43">
        <f t="shared" si="20"/>
        <v>-2972430.6087799999</v>
      </c>
      <c r="L343" s="43">
        <f t="shared" si="21"/>
        <v>-1254352.8192799999</v>
      </c>
      <c r="M343" s="43">
        <f t="shared" si="22"/>
        <v>-1279517.2693945752</v>
      </c>
      <c r="N343" s="43">
        <f t="shared" si="22"/>
        <v>0</v>
      </c>
      <c r="O343" s="43"/>
      <c r="P343" s="43"/>
      <c r="Q343" s="43"/>
    </row>
    <row r="344" spans="1:17" x14ac:dyDescent="0.25">
      <c r="A344" s="99"/>
      <c r="B344" s="8">
        <v>4</v>
      </c>
      <c r="C344" s="8" t="s">
        <v>652</v>
      </c>
      <c r="D344" s="43"/>
      <c r="E344" s="43"/>
      <c r="F344" s="43"/>
      <c r="G344" s="43"/>
      <c r="H344" s="43">
        <f t="shared" si="17"/>
        <v>-1235650</v>
      </c>
      <c r="I344" s="43">
        <f t="shared" si="18"/>
        <v>-1243928</v>
      </c>
      <c r="J344" s="159">
        <f t="shared" si="19"/>
        <v>-1294226.3240199997</v>
      </c>
      <c r="K344" s="43">
        <f t="shared" si="20"/>
        <v>-1388375.16653</v>
      </c>
      <c r="L344" s="43">
        <f t="shared" si="21"/>
        <v>-498259.75422</v>
      </c>
      <c r="M344" s="43">
        <f t="shared" si="22"/>
        <v>-527811.83701890823</v>
      </c>
      <c r="N344" s="43">
        <f t="shared" si="22"/>
        <v>0</v>
      </c>
      <c r="O344" s="43"/>
      <c r="P344" s="43"/>
      <c r="Q344" s="43"/>
    </row>
    <row r="345" spans="1:17" x14ac:dyDescent="0.25">
      <c r="A345" s="99"/>
      <c r="B345" s="8">
        <v>5</v>
      </c>
      <c r="C345" s="8" t="s">
        <v>653</v>
      </c>
      <c r="D345" s="43"/>
      <c r="E345" s="43"/>
      <c r="F345" s="43"/>
      <c r="G345" s="43"/>
      <c r="H345" s="43">
        <f t="shared" si="17"/>
        <v>-916656</v>
      </c>
      <c r="I345" s="43">
        <f t="shared" si="18"/>
        <v>-946623</v>
      </c>
      <c r="J345" s="159">
        <f t="shared" si="19"/>
        <v>-978198.23074999987</v>
      </c>
      <c r="K345" s="43">
        <f t="shared" si="20"/>
        <v>-1041033.7149800002</v>
      </c>
      <c r="L345" s="43">
        <f t="shared" si="21"/>
        <v>-398816.23994</v>
      </c>
      <c r="M345" s="43">
        <f t="shared" si="22"/>
        <v>-404657.46880478319</v>
      </c>
      <c r="N345" s="43">
        <f t="shared" si="22"/>
        <v>0</v>
      </c>
      <c r="O345" s="43"/>
      <c r="P345" s="43"/>
      <c r="Q345" s="43"/>
    </row>
    <row r="346" spans="1:17" x14ac:dyDescent="0.25">
      <c r="A346" s="99"/>
      <c r="B346" s="8">
        <v>6</v>
      </c>
      <c r="C346" s="8" t="s">
        <v>654</v>
      </c>
      <c r="D346" s="43"/>
      <c r="E346" s="43"/>
      <c r="F346" s="43"/>
      <c r="G346" s="43"/>
      <c r="H346" s="43">
        <f t="shared" si="17"/>
        <v>-2746992</v>
      </c>
      <c r="I346" s="43">
        <f t="shared" si="18"/>
        <v>-2850206</v>
      </c>
      <c r="J346" s="159">
        <f t="shared" si="19"/>
        <v>-2961998.1914700004</v>
      </c>
      <c r="K346" s="43">
        <f t="shared" si="20"/>
        <v>-3199578.2651399998</v>
      </c>
      <c r="L346" s="43">
        <f t="shared" si="21"/>
        <v>-1315112.54682</v>
      </c>
      <c r="M346" s="43">
        <f t="shared" si="22"/>
        <v>-1373024.2503540784</v>
      </c>
      <c r="N346" s="43">
        <f t="shared" si="22"/>
        <v>0</v>
      </c>
      <c r="O346" s="43"/>
      <c r="P346" s="43"/>
      <c r="Q346" s="43"/>
    </row>
    <row r="347" spans="1:17" x14ac:dyDescent="0.25">
      <c r="A347" s="99"/>
      <c r="B347" s="8">
        <v>7</v>
      </c>
      <c r="C347" s="8" t="s">
        <v>655</v>
      </c>
      <c r="D347" s="43"/>
      <c r="E347" s="43"/>
      <c r="F347" s="43"/>
      <c r="G347" s="43"/>
      <c r="H347" s="43">
        <f t="shared" si="17"/>
        <v>-1143554</v>
      </c>
      <c r="I347" s="43">
        <f t="shared" si="18"/>
        <v>-1155920</v>
      </c>
      <c r="J347" s="159">
        <f t="shared" si="19"/>
        <v>-1179140.4170499998</v>
      </c>
      <c r="K347" s="43">
        <f t="shared" si="20"/>
        <v>-1234677.8053499998</v>
      </c>
      <c r="L347" s="43">
        <f t="shared" si="21"/>
        <v>-511260.83555999998</v>
      </c>
      <c r="M347" s="43">
        <f t="shared" si="22"/>
        <v>-563960.26427817403</v>
      </c>
      <c r="N347" s="43">
        <f t="shared" si="22"/>
        <v>0</v>
      </c>
      <c r="O347" s="43"/>
      <c r="P347" s="43"/>
      <c r="Q347" s="43"/>
    </row>
    <row r="348" spans="1:17" x14ac:dyDescent="0.25">
      <c r="A348" s="99"/>
      <c r="B348" s="8">
        <v>8</v>
      </c>
      <c r="C348" s="8" t="s">
        <v>656</v>
      </c>
      <c r="D348" s="43"/>
      <c r="E348" s="43"/>
      <c r="F348" s="43"/>
      <c r="G348" s="43"/>
      <c r="H348" s="43">
        <f t="shared" si="17"/>
        <v>-1010319</v>
      </c>
      <c r="I348" s="43">
        <f t="shared" si="18"/>
        <v>-1023768</v>
      </c>
      <c r="J348" s="159">
        <f t="shared" si="19"/>
        <v>-1079646.2713600001</v>
      </c>
      <c r="K348" s="43">
        <f t="shared" si="20"/>
        <v>-1135449.9505099999</v>
      </c>
      <c r="L348" s="43">
        <f t="shared" si="21"/>
        <v>-383428.37897999998</v>
      </c>
      <c r="M348" s="43">
        <f t="shared" si="22"/>
        <v>-384382.83990180952</v>
      </c>
      <c r="N348" s="43">
        <f t="shared" si="22"/>
        <v>0</v>
      </c>
      <c r="O348" s="43"/>
      <c r="P348" s="43"/>
      <c r="Q348" s="43"/>
    </row>
    <row r="349" spans="1:17" x14ac:dyDescent="0.25">
      <c r="A349" s="99"/>
      <c r="B349" s="8">
        <v>9</v>
      </c>
      <c r="C349" s="8" t="s">
        <v>657</v>
      </c>
      <c r="D349" s="43"/>
      <c r="E349" s="43"/>
      <c r="F349" s="43"/>
      <c r="G349" s="43"/>
      <c r="H349" s="43">
        <f t="shared" si="17"/>
        <v>-713820</v>
      </c>
      <c r="I349" s="43">
        <f t="shared" si="18"/>
        <v>-770708</v>
      </c>
      <c r="J349" s="159">
        <f t="shared" si="19"/>
        <v>-764163.63212999981</v>
      </c>
      <c r="K349" s="43">
        <f t="shared" si="20"/>
        <v>-809412.14831000008</v>
      </c>
      <c r="L349" s="43">
        <f t="shared" si="21"/>
        <v>-295350.03847000003</v>
      </c>
      <c r="M349" s="43">
        <f t="shared" si="22"/>
        <v>-303009.31213016663</v>
      </c>
      <c r="N349" s="43">
        <f t="shared" si="22"/>
        <v>0</v>
      </c>
      <c r="O349" s="43"/>
      <c r="P349" s="43"/>
      <c r="Q349" s="43"/>
    </row>
    <row r="350" spans="1:17" x14ac:dyDescent="0.25">
      <c r="A350" s="99"/>
      <c r="B350" s="8">
        <v>10</v>
      </c>
      <c r="C350" s="8" t="s">
        <v>658</v>
      </c>
      <c r="D350" s="43"/>
      <c r="E350" s="43"/>
      <c r="F350" s="43"/>
      <c r="G350" s="43"/>
      <c r="H350" s="43">
        <f t="shared" si="17"/>
        <v>-847551</v>
      </c>
      <c r="I350" s="43">
        <f t="shared" si="18"/>
        <v>-855599</v>
      </c>
      <c r="J350" s="159">
        <f t="shared" si="19"/>
        <v>-905896.32830000005</v>
      </c>
      <c r="K350" s="43">
        <f t="shared" si="20"/>
        <v>-945626.94189000002</v>
      </c>
      <c r="L350" s="43">
        <f t="shared" si="21"/>
        <v>-308649.48924999998</v>
      </c>
      <c r="M350" s="43">
        <f t="shared" si="22"/>
        <v>-320462.01956788701</v>
      </c>
      <c r="N350" s="43">
        <f t="shared" si="22"/>
        <v>0</v>
      </c>
      <c r="O350" s="43"/>
      <c r="P350" s="43"/>
      <c r="Q350" s="43"/>
    </row>
    <row r="351" spans="1:17" x14ac:dyDescent="0.25">
      <c r="A351" s="99"/>
      <c r="B351" s="8">
        <v>11</v>
      </c>
      <c r="C351" s="8" t="s">
        <v>659</v>
      </c>
      <c r="D351" s="43"/>
      <c r="E351" s="43"/>
      <c r="F351" s="43"/>
      <c r="G351" s="43"/>
      <c r="H351" s="43">
        <f t="shared" si="17"/>
        <v>-1479799</v>
      </c>
      <c r="I351" s="43">
        <f t="shared" si="18"/>
        <v>-1524042</v>
      </c>
      <c r="J351" s="159">
        <f t="shared" si="19"/>
        <v>-1565119.2688799996</v>
      </c>
      <c r="K351" s="43">
        <f t="shared" si="20"/>
        <v>-1666100.5769400003</v>
      </c>
      <c r="L351" s="43">
        <f t="shared" si="21"/>
        <v>-627315.16260999988</v>
      </c>
      <c r="M351" s="43">
        <f t="shared" si="22"/>
        <v>-625599.80955963477</v>
      </c>
      <c r="N351" s="43">
        <f t="shared" si="22"/>
        <v>0</v>
      </c>
      <c r="O351" s="43"/>
      <c r="P351" s="43"/>
      <c r="Q351" s="43"/>
    </row>
    <row r="352" spans="1:17" x14ac:dyDescent="0.25">
      <c r="A352" s="99"/>
      <c r="B352" s="8">
        <v>12</v>
      </c>
      <c r="C352" s="8" t="s">
        <v>660</v>
      </c>
      <c r="D352" s="43"/>
      <c r="E352" s="43"/>
      <c r="F352" s="43"/>
      <c r="G352" s="43"/>
      <c r="H352" s="43">
        <f t="shared" si="17"/>
        <v>-934510</v>
      </c>
      <c r="I352" s="43">
        <f t="shared" si="18"/>
        <v>-953622</v>
      </c>
      <c r="J352" s="159">
        <f t="shared" si="19"/>
        <v>-1001580.1929499999</v>
      </c>
      <c r="K352" s="43">
        <f t="shared" si="20"/>
        <v>-1074196.0829799999</v>
      </c>
      <c r="L352" s="43">
        <f t="shared" si="21"/>
        <v>-388834.65685000003</v>
      </c>
      <c r="M352" s="43">
        <f t="shared" si="22"/>
        <v>-392110.85714247159</v>
      </c>
      <c r="N352" s="43">
        <f t="shared" si="22"/>
        <v>0</v>
      </c>
      <c r="O352" s="43"/>
      <c r="P352" s="43"/>
      <c r="Q352" s="43"/>
    </row>
    <row r="353" spans="1:17" x14ac:dyDescent="0.25">
      <c r="A353" s="99"/>
      <c r="B353" s="8">
        <v>13</v>
      </c>
      <c r="C353" s="8" t="s">
        <v>661</v>
      </c>
      <c r="D353" s="43"/>
      <c r="E353" s="43"/>
      <c r="F353" s="43"/>
      <c r="G353" s="43"/>
      <c r="H353" s="43">
        <f t="shared" si="17"/>
        <v>-1499734</v>
      </c>
      <c r="I353" s="43">
        <f t="shared" si="18"/>
        <v>-1522659</v>
      </c>
      <c r="J353" s="159">
        <f t="shared" si="19"/>
        <v>-1607921.9764800002</v>
      </c>
      <c r="K353" s="43">
        <f t="shared" si="20"/>
        <v>-1724803.2014199996</v>
      </c>
      <c r="L353" s="43">
        <f t="shared" si="21"/>
        <v>-677923.02675999992</v>
      </c>
      <c r="M353" s="43">
        <f t="shared" si="22"/>
        <v>-663465.67872969434</v>
      </c>
      <c r="N353" s="43">
        <f t="shared" si="22"/>
        <v>0</v>
      </c>
      <c r="O353" s="43"/>
      <c r="P353" s="43"/>
      <c r="Q353" s="43"/>
    </row>
    <row r="354" spans="1:17" x14ac:dyDescent="0.25">
      <c r="A354" s="99"/>
      <c r="B354" s="8">
        <v>14</v>
      </c>
      <c r="C354" s="8" t="s">
        <v>662</v>
      </c>
      <c r="D354" s="43"/>
      <c r="E354" s="43"/>
      <c r="F354" s="43"/>
      <c r="G354" s="43"/>
      <c r="H354" s="43">
        <f t="shared" si="17"/>
        <v>-1187044</v>
      </c>
      <c r="I354" s="43">
        <f t="shared" si="18"/>
        <v>-1193839</v>
      </c>
      <c r="J354" s="159">
        <f t="shared" si="19"/>
        <v>-1250120.6504300002</v>
      </c>
      <c r="K354" s="43">
        <f t="shared" si="20"/>
        <v>-1286162.1087699998</v>
      </c>
      <c r="L354" s="43">
        <f t="shared" si="21"/>
        <v>-531505.22960000008</v>
      </c>
      <c r="M354" s="43">
        <f t="shared" si="22"/>
        <v>-510741.95544704911</v>
      </c>
      <c r="N354" s="43">
        <f t="shared" si="22"/>
        <v>0</v>
      </c>
      <c r="O354" s="43"/>
      <c r="P354" s="43"/>
      <c r="Q354" s="43"/>
    </row>
    <row r="355" spans="1:17" x14ac:dyDescent="0.25">
      <c r="A355" s="99"/>
      <c r="B355" s="8">
        <v>15</v>
      </c>
      <c r="C355" s="8" t="s">
        <v>663</v>
      </c>
      <c r="D355" s="43"/>
      <c r="E355" s="43"/>
      <c r="F355" s="43"/>
      <c r="G355" s="43"/>
      <c r="H355" s="43">
        <f t="shared" si="17"/>
        <v>-1022104</v>
      </c>
      <c r="I355" s="43">
        <f t="shared" si="18"/>
        <v>-1043915</v>
      </c>
      <c r="J355" s="159">
        <f t="shared" si="19"/>
        <v>-1092006.2797300001</v>
      </c>
      <c r="K355" s="43">
        <f t="shared" si="20"/>
        <v>-1169493.3554099998</v>
      </c>
      <c r="L355" s="43">
        <f t="shared" si="21"/>
        <v>-503766.22839</v>
      </c>
      <c r="M355" s="43">
        <f t="shared" si="22"/>
        <v>-511057.56003652915</v>
      </c>
      <c r="N355" s="43">
        <f t="shared" si="22"/>
        <v>0</v>
      </c>
      <c r="O355" s="43"/>
      <c r="P355" s="43"/>
      <c r="Q355" s="43"/>
    </row>
    <row r="356" spans="1:17" x14ac:dyDescent="0.25">
      <c r="A356" s="99"/>
      <c r="B356" s="8">
        <v>16</v>
      </c>
      <c r="C356" s="8" t="s">
        <v>664</v>
      </c>
      <c r="D356" s="43"/>
      <c r="E356" s="43"/>
      <c r="F356" s="43"/>
      <c r="G356" s="43"/>
      <c r="H356" s="43">
        <f t="shared" si="17"/>
        <v>-401730</v>
      </c>
      <c r="I356" s="43">
        <f t="shared" si="18"/>
        <v>-412019</v>
      </c>
      <c r="J356" s="159">
        <f t="shared" si="19"/>
        <v>-427555.75813000003</v>
      </c>
      <c r="K356" s="43">
        <f t="shared" si="20"/>
        <v>-452372.15383999998</v>
      </c>
      <c r="L356" s="43">
        <f t="shared" si="21"/>
        <v>-190929.50369999997</v>
      </c>
      <c r="M356" s="43">
        <f t="shared" si="22"/>
        <v>-194099.93338053947</v>
      </c>
      <c r="N356" s="43">
        <f t="shared" si="22"/>
        <v>0</v>
      </c>
      <c r="O356" s="43"/>
      <c r="P356" s="43"/>
      <c r="Q356" s="43"/>
    </row>
    <row r="357" spans="1:17" x14ac:dyDescent="0.25">
      <c r="A357" s="99"/>
      <c r="B357" s="8">
        <v>17</v>
      </c>
      <c r="C357" s="8" t="s">
        <v>665</v>
      </c>
      <c r="D357" s="43"/>
      <c r="E357" s="43"/>
      <c r="F357" s="43"/>
      <c r="G357" s="43"/>
      <c r="H357" s="43">
        <f t="shared" si="17"/>
        <v>-2355742</v>
      </c>
      <c r="I357" s="43">
        <f t="shared" si="18"/>
        <v>-2414722</v>
      </c>
      <c r="J357" s="159">
        <f t="shared" si="19"/>
        <v>-2497095.380210001</v>
      </c>
      <c r="K357" s="43">
        <f t="shared" si="20"/>
        <v>-2514249.3179300004</v>
      </c>
      <c r="L357" s="43">
        <f t="shared" si="21"/>
        <v>-1215613.06694</v>
      </c>
      <c r="M357" s="43">
        <f t="shared" si="22"/>
        <v>-1210072.3832736691</v>
      </c>
      <c r="N357" s="43">
        <f t="shared" si="22"/>
        <v>0</v>
      </c>
      <c r="O357" s="43"/>
      <c r="P357" s="43"/>
      <c r="Q357" s="43"/>
    </row>
    <row r="358" spans="1:17" x14ac:dyDescent="0.25">
      <c r="A358" s="99"/>
      <c r="B358" s="8">
        <v>18</v>
      </c>
      <c r="C358" s="8" t="s">
        <v>666</v>
      </c>
      <c r="D358" s="43"/>
      <c r="E358" s="43"/>
      <c r="F358" s="43"/>
      <c r="G358" s="43"/>
      <c r="H358" s="43">
        <f t="shared" si="17"/>
        <v>-515929</v>
      </c>
      <c r="I358" s="43">
        <f t="shared" si="18"/>
        <v>-532915</v>
      </c>
      <c r="J358" s="159">
        <f t="shared" si="19"/>
        <v>-538007.44760999992</v>
      </c>
      <c r="K358" s="43">
        <f t="shared" si="20"/>
        <v>-547115.76645</v>
      </c>
      <c r="L358" s="43">
        <f t="shared" si="21"/>
        <v>-228570.96174999996</v>
      </c>
      <c r="M358" s="43">
        <f t="shared" si="22"/>
        <v>-228861.81779045236</v>
      </c>
      <c r="N358" s="43">
        <f t="shared" si="22"/>
        <v>0</v>
      </c>
      <c r="O358" s="43"/>
      <c r="P358" s="43"/>
      <c r="Q358" s="43"/>
    </row>
    <row r="359" spans="1:17" x14ac:dyDescent="0.25">
      <c r="A359" s="99"/>
      <c r="B359" s="8">
        <v>19</v>
      </c>
      <c r="C359" s="8" t="s">
        <v>667</v>
      </c>
      <c r="D359" s="43"/>
      <c r="E359" s="43"/>
      <c r="F359" s="43"/>
      <c r="G359" s="43"/>
      <c r="H359" s="43">
        <f t="shared" si="17"/>
        <v>-1172697</v>
      </c>
      <c r="I359" s="43">
        <f t="shared" si="18"/>
        <v>-1181698</v>
      </c>
      <c r="J359" s="159">
        <f t="shared" si="19"/>
        <v>-1199854.14977</v>
      </c>
      <c r="K359" s="43">
        <f t="shared" si="20"/>
        <v>-1289068.1681700002</v>
      </c>
      <c r="L359" s="43">
        <f t="shared" si="21"/>
        <v>-493197.24463000003</v>
      </c>
      <c r="M359" s="43">
        <f t="shared" si="22"/>
        <v>-518456.65133640432</v>
      </c>
      <c r="N359" s="43">
        <f t="shared" si="22"/>
        <v>0</v>
      </c>
      <c r="O359" s="43"/>
      <c r="P359" s="43"/>
      <c r="Q359" s="43"/>
    </row>
    <row r="360" spans="1:17" x14ac:dyDescent="0.25">
      <c r="A360" s="99"/>
    </row>
    <row r="361" spans="1:17" x14ac:dyDescent="0.25">
      <c r="A361" s="99"/>
      <c r="D361" s="43">
        <f>SUM(D342:D359)</f>
        <v>0</v>
      </c>
      <c r="E361" s="43">
        <f>SUM(E342:E359)</f>
        <v>0</v>
      </c>
      <c r="F361" s="43">
        <f>SUM(F342:F359)</f>
        <v>0</v>
      </c>
      <c r="G361" s="43">
        <f t="shared" ref="G361:M361" si="23">SUM(G342:G359)</f>
        <v>0</v>
      </c>
      <c r="H361" s="43">
        <f t="shared" si="23"/>
        <v>-30356935</v>
      </c>
      <c r="I361" s="43">
        <f t="shared" si="23"/>
        <v>-31221279</v>
      </c>
      <c r="J361" s="159">
        <f t="shared" si="23"/>
        <v>-32280237.873019993</v>
      </c>
      <c r="K361" s="43">
        <f t="shared" si="23"/>
        <v>-34391779.482379995</v>
      </c>
      <c r="L361" s="43">
        <f t="shared" si="23"/>
        <v>-14269220.700210001</v>
      </c>
      <c r="M361" s="43">
        <f t="shared" si="23"/>
        <v>-14660837.197793592</v>
      </c>
      <c r="N361" s="43">
        <f>SUM(N342:N359)</f>
        <v>0</v>
      </c>
      <c r="O361" s="43"/>
      <c r="P361" s="43"/>
      <c r="Q361" s="43"/>
    </row>
    <row r="362" spans="1:17" x14ac:dyDescent="0.25">
      <c r="A362" s="99"/>
      <c r="D362" s="4"/>
      <c r="E362" s="4"/>
      <c r="F362" s="4"/>
      <c r="G362" s="4"/>
      <c r="H362" s="4"/>
      <c r="I362" s="4"/>
      <c r="J362" s="7"/>
      <c r="K362" s="4"/>
      <c r="L362" s="4"/>
      <c r="M362" s="4"/>
      <c r="N362" s="4"/>
      <c r="O362" s="4"/>
      <c r="P362" s="4"/>
      <c r="Q362" s="4"/>
    </row>
    <row r="363" spans="1:17" x14ac:dyDescent="0.25">
      <c r="A363" s="99"/>
      <c r="D363" s="4"/>
      <c r="E363" s="4"/>
      <c r="F363" s="4"/>
      <c r="G363" s="4"/>
      <c r="H363" s="4"/>
      <c r="I363" s="4"/>
      <c r="J363" s="7"/>
      <c r="K363" s="4"/>
      <c r="L363" s="4"/>
      <c r="M363" s="4"/>
      <c r="N363" s="4"/>
      <c r="O363" s="4"/>
      <c r="P363" s="4"/>
      <c r="Q363" s="4"/>
    </row>
    <row r="364" spans="1:17" x14ac:dyDescent="0.25">
      <c r="A364" s="99"/>
      <c r="D364" s="4"/>
      <c r="E364" s="4"/>
      <c r="F364" s="4"/>
      <c r="G364" s="4"/>
      <c r="H364" s="4"/>
      <c r="I364" s="4"/>
      <c r="J364" s="7"/>
      <c r="K364" s="4"/>
      <c r="L364" s="4"/>
      <c r="M364" s="4"/>
      <c r="N364" s="4"/>
      <c r="O364" s="4"/>
      <c r="P364" s="4"/>
      <c r="Q364" s="4"/>
    </row>
    <row r="365" spans="1:17" x14ac:dyDescent="0.25">
      <c r="A365" s="99"/>
      <c r="D365" s="4"/>
      <c r="E365" s="4"/>
      <c r="F365" s="4"/>
      <c r="G365" s="4"/>
      <c r="H365" s="4"/>
      <c r="I365" s="4"/>
      <c r="J365" s="7"/>
      <c r="K365" s="4"/>
      <c r="L365" s="4"/>
      <c r="M365" s="4"/>
      <c r="N365" s="4"/>
      <c r="O365" s="4"/>
      <c r="P365" s="4"/>
      <c r="Q365" s="4"/>
    </row>
    <row r="366" spans="1:17" x14ac:dyDescent="0.25">
      <c r="A366" s="99"/>
      <c r="D366" s="4"/>
      <c r="E366" s="4"/>
      <c r="F366" s="4"/>
      <c r="G366" s="4"/>
      <c r="H366" s="4"/>
      <c r="I366" s="4"/>
      <c r="J366" s="7"/>
      <c r="K366" s="4"/>
      <c r="L366" s="4"/>
      <c r="M366" s="4"/>
      <c r="N366" s="4"/>
      <c r="O366" s="4"/>
      <c r="P366" s="4"/>
      <c r="Q366" s="4"/>
    </row>
    <row r="367" spans="1:17" x14ac:dyDescent="0.25">
      <c r="A367" s="99"/>
      <c r="D367" s="4"/>
      <c r="E367" s="4"/>
      <c r="F367" s="4"/>
      <c r="G367" s="4"/>
      <c r="H367" s="4"/>
      <c r="I367" s="4"/>
      <c r="J367" s="7"/>
      <c r="K367" s="4"/>
      <c r="L367" s="4"/>
      <c r="M367" s="4"/>
      <c r="N367" s="4"/>
      <c r="O367" s="4"/>
      <c r="P367" s="4"/>
      <c r="Q367" s="4"/>
    </row>
    <row r="368" spans="1:17" x14ac:dyDescent="0.25">
      <c r="A368" s="99"/>
      <c r="D368" s="4"/>
      <c r="E368" s="4"/>
      <c r="F368" s="4"/>
      <c r="G368" s="4"/>
      <c r="H368" s="4"/>
      <c r="I368" s="4"/>
      <c r="J368" s="7"/>
      <c r="K368" s="4"/>
      <c r="L368" s="4"/>
      <c r="M368" s="4"/>
      <c r="N368" s="4"/>
      <c r="O368" s="4"/>
      <c r="P368" s="4"/>
      <c r="Q368" s="4"/>
    </row>
    <row r="369" spans="1:17" x14ac:dyDescent="0.25">
      <c r="A369" s="99"/>
      <c r="D369" s="4"/>
      <c r="E369" s="4"/>
      <c r="F369" s="4"/>
      <c r="G369" s="4"/>
      <c r="H369" s="4"/>
      <c r="I369" s="4"/>
      <c r="J369" s="7"/>
      <c r="K369" s="4"/>
      <c r="L369" s="4"/>
      <c r="M369" s="4"/>
      <c r="N369" s="4"/>
      <c r="O369" s="4"/>
      <c r="P369" s="4"/>
      <c r="Q369" s="4"/>
    </row>
    <row r="370" spans="1:17" x14ac:dyDescent="0.25">
      <c r="A370" s="99"/>
      <c r="D370" s="4"/>
      <c r="E370" s="4"/>
      <c r="F370" s="4"/>
      <c r="G370" s="4"/>
      <c r="H370" s="4"/>
      <c r="I370" s="4"/>
      <c r="J370" s="7"/>
      <c r="K370" s="4"/>
      <c r="L370" s="4"/>
      <c r="M370" s="4"/>
      <c r="N370" s="4"/>
      <c r="O370" s="4"/>
      <c r="P370" s="4"/>
      <c r="Q370" s="4"/>
    </row>
    <row r="371" spans="1:17" x14ac:dyDescent="0.25">
      <c r="A371" s="99"/>
      <c r="D371" s="4"/>
      <c r="E371" s="4"/>
      <c r="F371" s="4"/>
      <c r="G371" s="4"/>
      <c r="H371" s="4"/>
      <c r="I371" s="4"/>
      <c r="J371" s="7"/>
      <c r="K371" s="4"/>
      <c r="L371" s="4"/>
      <c r="M371" s="4"/>
      <c r="N371" s="4"/>
      <c r="O371" s="4"/>
      <c r="P371" s="4"/>
      <c r="Q371" s="4"/>
    </row>
    <row r="372" spans="1:17" x14ac:dyDescent="0.25">
      <c r="A372" s="99"/>
      <c r="D372" s="4"/>
      <c r="E372" s="4"/>
      <c r="F372" s="4"/>
      <c r="G372" s="4"/>
      <c r="H372" s="4"/>
      <c r="I372" s="4"/>
      <c r="J372" s="7"/>
      <c r="K372" s="4"/>
      <c r="L372" s="4"/>
      <c r="M372" s="4"/>
      <c r="N372" s="4"/>
      <c r="O372" s="4"/>
      <c r="P372" s="4"/>
      <c r="Q372" s="4"/>
    </row>
    <row r="373" spans="1:17" x14ac:dyDescent="0.25">
      <c r="A373" s="99"/>
      <c r="D373" s="4"/>
      <c r="E373" s="4"/>
      <c r="F373" s="4"/>
      <c r="G373" s="4"/>
      <c r="H373" s="4"/>
      <c r="I373" s="4"/>
      <c r="J373" s="7"/>
      <c r="K373" s="4"/>
      <c r="L373" s="4"/>
      <c r="M373" s="4"/>
      <c r="N373" s="4"/>
      <c r="O373" s="4"/>
      <c r="P373" s="4"/>
      <c r="Q373" s="4"/>
    </row>
    <row r="374" spans="1:17" x14ac:dyDescent="0.25">
      <c r="A374" s="99"/>
      <c r="D374" s="4"/>
      <c r="E374" s="4"/>
      <c r="F374" s="4"/>
      <c r="G374" s="4"/>
      <c r="H374" s="4"/>
      <c r="I374" s="4"/>
      <c r="J374" s="7"/>
      <c r="K374" s="4"/>
      <c r="L374" s="4"/>
      <c r="M374" s="4"/>
      <c r="N374" s="4"/>
      <c r="O374" s="4"/>
      <c r="P374" s="4"/>
      <c r="Q374" s="4"/>
    </row>
    <row r="375" spans="1:17" x14ac:dyDescent="0.25">
      <c r="A375" s="99"/>
      <c r="D375" s="4"/>
      <c r="E375" s="4"/>
      <c r="F375" s="4"/>
      <c r="G375" s="4"/>
      <c r="H375" s="4"/>
      <c r="I375" s="4"/>
      <c r="J375" s="7"/>
      <c r="K375" s="4"/>
      <c r="L375" s="4"/>
      <c r="M375" s="4"/>
      <c r="N375" s="4"/>
      <c r="O375" s="4"/>
      <c r="P375" s="4"/>
      <c r="Q375" s="4"/>
    </row>
    <row r="376" spans="1:17" x14ac:dyDescent="0.25">
      <c r="A376" s="99"/>
      <c r="D376" s="4"/>
      <c r="E376" s="4"/>
      <c r="F376" s="4"/>
      <c r="G376" s="4"/>
      <c r="H376" s="4"/>
      <c r="I376" s="4"/>
      <c r="J376" s="7"/>
      <c r="K376" s="4"/>
      <c r="L376" s="4"/>
      <c r="M376" s="4"/>
      <c r="N376" s="4"/>
      <c r="O376" s="4"/>
      <c r="P376" s="4"/>
      <c r="Q376" s="4"/>
    </row>
    <row r="377" spans="1:17" x14ac:dyDescent="0.25">
      <c r="A377" s="99"/>
      <c r="D377" s="4"/>
      <c r="E377" s="4"/>
      <c r="F377" s="4"/>
      <c r="G377" s="4"/>
      <c r="H377" s="4"/>
      <c r="I377" s="4"/>
      <c r="J377" s="7"/>
      <c r="K377" s="4"/>
      <c r="L377" s="4"/>
      <c r="M377" s="4"/>
      <c r="N377" s="4"/>
      <c r="O377" s="4"/>
      <c r="P377" s="4"/>
      <c r="Q377" s="4"/>
    </row>
    <row r="378" spans="1:17" x14ac:dyDescent="0.25">
      <c r="A378" s="99"/>
      <c r="D378" s="4"/>
      <c r="E378" s="4"/>
      <c r="F378" s="4"/>
      <c r="G378" s="4"/>
      <c r="H378" s="4"/>
      <c r="I378" s="4"/>
      <c r="J378" s="7"/>
      <c r="K378" s="4"/>
      <c r="L378" s="4"/>
      <c r="M378" s="4"/>
      <c r="N378" s="4"/>
      <c r="O378" s="4"/>
      <c r="P378" s="4"/>
      <c r="Q378" s="4"/>
    </row>
    <row r="379" spans="1:17" x14ac:dyDescent="0.25">
      <c r="A379" s="99"/>
      <c r="D379" s="4"/>
      <c r="E379" s="4"/>
      <c r="F379" s="4"/>
      <c r="G379" s="4"/>
      <c r="H379" s="4"/>
      <c r="I379" s="4"/>
      <c r="J379" s="7"/>
      <c r="K379" s="4"/>
      <c r="L379" s="4"/>
      <c r="M379" s="4"/>
      <c r="N379" s="4"/>
      <c r="O379" s="4"/>
      <c r="P379" s="4"/>
      <c r="Q379" s="4"/>
    </row>
    <row r="380" spans="1:17" x14ac:dyDescent="0.25">
      <c r="A380" s="99"/>
      <c r="D380" s="4"/>
      <c r="E380" s="4"/>
      <c r="F380" s="4"/>
      <c r="G380" s="4"/>
      <c r="H380" s="4"/>
      <c r="I380" s="4"/>
      <c r="J380" s="7"/>
      <c r="K380" s="4"/>
      <c r="L380" s="4"/>
      <c r="M380" s="4"/>
      <c r="N380" s="4"/>
      <c r="O380" s="4"/>
      <c r="P380" s="4"/>
      <c r="Q380" s="4"/>
    </row>
    <row r="381" spans="1:17" x14ac:dyDescent="0.25">
      <c r="A381" s="99"/>
      <c r="D381" s="4"/>
      <c r="E381" s="4"/>
      <c r="F381" s="4"/>
      <c r="G381" s="4"/>
      <c r="H381" s="4"/>
      <c r="I381" s="4"/>
      <c r="J381" s="7"/>
      <c r="K381" s="4"/>
      <c r="L381" s="4"/>
      <c r="M381" s="4"/>
      <c r="N381" s="4"/>
      <c r="O381" s="4"/>
      <c r="P381" s="4"/>
      <c r="Q381" s="4"/>
    </row>
    <row r="382" spans="1:17" x14ac:dyDescent="0.25">
      <c r="A382" s="99"/>
      <c r="D382" s="4"/>
      <c r="E382" s="4"/>
      <c r="F382" s="4"/>
      <c r="G382" s="4"/>
      <c r="H382" s="4"/>
      <c r="I382" s="4"/>
      <c r="J382" s="7"/>
      <c r="K382" s="4"/>
      <c r="L382" s="4"/>
      <c r="M382" s="4"/>
      <c r="N382" s="4"/>
      <c r="O382" s="4"/>
      <c r="P382" s="4"/>
      <c r="Q382" s="4"/>
    </row>
    <row r="383" spans="1:17" x14ac:dyDescent="0.25">
      <c r="A383" s="99"/>
      <c r="D383" s="4"/>
      <c r="E383" s="4"/>
      <c r="F383" s="4"/>
      <c r="G383" s="4"/>
      <c r="H383" s="4"/>
      <c r="I383" s="4"/>
      <c r="J383" s="7"/>
      <c r="K383" s="4"/>
      <c r="L383" s="4"/>
      <c r="M383" s="4"/>
      <c r="N383" s="4"/>
      <c r="O383" s="4"/>
      <c r="P383" s="4"/>
      <c r="Q383" s="4"/>
    </row>
    <row r="384" spans="1:17" x14ac:dyDescent="0.25">
      <c r="A384" s="99"/>
      <c r="D384" s="4"/>
      <c r="E384" s="4"/>
      <c r="F384" s="4"/>
      <c r="G384" s="4"/>
      <c r="H384" s="4"/>
      <c r="I384" s="4"/>
      <c r="J384" s="7"/>
      <c r="K384" s="4"/>
      <c r="L384" s="4"/>
      <c r="M384" s="4"/>
      <c r="N384" s="4"/>
      <c r="O384" s="4"/>
      <c r="P384" s="4"/>
      <c r="Q384" s="4"/>
    </row>
    <row r="385" spans="1:17" x14ac:dyDescent="0.25">
      <c r="A385" s="99"/>
      <c r="D385" s="4"/>
      <c r="E385" s="4"/>
      <c r="F385" s="4"/>
      <c r="G385" s="4"/>
      <c r="H385" s="4"/>
      <c r="I385" s="4"/>
      <c r="J385" s="7"/>
      <c r="K385" s="4"/>
      <c r="L385" s="4"/>
      <c r="M385" s="4"/>
      <c r="N385" s="4"/>
      <c r="O385" s="4"/>
      <c r="P385" s="4"/>
      <c r="Q385" s="4"/>
    </row>
    <row r="386" spans="1:17" x14ac:dyDescent="0.25">
      <c r="A386" s="99"/>
      <c r="D386" s="4"/>
      <c r="E386" s="4"/>
      <c r="F386" s="4"/>
      <c r="G386" s="4"/>
      <c r="H386" s="4"/>
      <c r="I386" s="4"/>
      <c r="J386" s="7"/>
      <c r="K386" s="4"/>
      <c r="L386" s="4"/>
      <c r="M386" s="4"/>
      <c r="N386" s="4"/>
      <c r="O386" s="4"/>
      <c r="P386" s="4"/>
      <c r="Q386" s="4"/>
    </row>
    <row r="387" spans="1:17" x14ac:dyDescent="0.25">
      <c r="A387" s="99"/>
      <c r="D387" s="4"/>
      <c r="E387" s="4"/>
      <c r="F387" s="4"/>
      <c r="G387" s="4"/>
      <c r="H387" s="4"/>
      <c r="I387" s="4"/>
      <c r="J387" s="7"/>
      <c r="K387" s="4"/>
      <c r="L387" s="4"/>
      <c r="M387" s="4"/>
      <c r="N387" s="4"/>
      <c r="O387" s="4"/>
      <c r="P387" s="4"/>
      <c r="Q387" s="4"/>
    </row>
    <row r="388" spans="1:17" x14ac:dyDescent="0.25">
      <c r="A388" s="99"/>
      <c r="D388" s="4"/>
      <c r="E388" s="4"/>
      <c r="F388" s="4"/>
      <c r="G388" s="4"/>
      <c r="H388" s="4"/>
      <c r="I388" s="4"/>
      <c r="J388" s="7"/>
      <c r="K388" s="4"/>
      <c r="L388" s="4"/>
      <c r="M388" s="4"/>
      <c r="N388" s="4"/>
      <c r="O388" s="4"/>
      <c r="P388" s="4"/>
      <c r="Q388" s="4"/>
    </row>
    <row r="389" spans="1:17" x14ac:dyDescent="0.25">
      <c r="A389" s="99"/>
      <c r="D389" s="4"/>
      <c r="E389" s="4"/>
      <c r="F389" s="4"/>
      <c r="G389" s="4"/>
      <c r="H389" s="4"/>
      <c r="I389" s="4"/>
      <c r="J389" s="7"/>
      <c r="K389" s="4"/>
      <c r="L389" s="4"/>
      <c r="M389" s="4"/>
      <c r="N389" s="4"/>
      <c r="O389" s="4"/>
      <c r="P389" s="4"/>
      <c r="Q389" s="4"/>
    </row>
    <row r="390" spans="1:17" x14ac:dyDescent="0.25">
      <c r="A390" s="99"/>
      <c r="D390" s="4"/>
      <c r="E390" s="4"/>
      <c r="F390" s="4"/>
      <c r="G390" s="4"/>
      <c r="H390" s="4"/>
      <c r="I390" s="4"/>
      <c r="J390" s="7"/>
      <c r="K390" s="4"/>
      <c r="L390" s="4"/>
      <c r="M390" s="4"/>
      <c r="N390" s="4"/>
      <c r="O390" s="4"/>
      <c r="P390" s="4"/>
      <c r="Q390" s="4"/>
    </row>
    <row r="391" spans="1:17" x14ac:dyDescent="0.25">
      <c r="A391" s="99"/>
      <c r="D391" s="4"/>
      <c r="E391" s="4"/>
      <c r="F391" s="4"/>
      <c r="G391" s="4"/>
      <c r="H391" s="4"/>
      <c r="I391" s="4"/>
      <c r="J391" s="7"/>
      <c r="K391" s="4"/>
      <c r="L391" s="4"/>
      <c r="M391" s="4"/>
      <c r="N391" s="4"/>
      <c r="O391" s="4"/>
      <c r="P391" s="4"/>
      <c r="Q391" s="4"/>
    </row>
    <row r="392" spans="1:17" x14ac:dyDescent="0.25">
      <c r="A392" s="99"/>
      <c r="D392" s="4"/>
      <c r="E392" s="4"/>
      <c r="F392" s="4"/>
      <c r="G392" s="4"/>
      <c r="H392" s="4"/>
      <c r="I392" s="4"/>
      <c r="J392" s="7"/>
      <c r="K392" s="4"/>
      <c r="L392" s="4"/>
      <c r="M392" s="4"/>
      <c r="N392" s="4"/>
      <c r="O392" s="4"/>
      <c r="P392" s="4"/>
      <c r="Q392" s="4"/>
    </row>
    <row r="393" spans="1:17" x14ac:dyDescent="0.25">
      <c r="A393" s="99"/>
      <c r="D393" s="4"/>
      <c r="E393" s="4"/>
      <c r="F393" s="4"/>
      <c r="G393" s="4"/>
      <c r="H393" s="4"/>
      <c r="I393" s="4"/>
      <c r="J393" s="7"/>
      <c r="K393" s="4"/>
      <c r="L393" s="4"/>
      <c r="M393" s="4"/>
      <c r="N393" s="4"/>
      <c r="O393" s="4"/>
      <c r="P393" s="4"/>
      <c r="Q393" s="4"/>
    </row>
    <row r="394" spans="1:17" x14ac:dyDescent="0.25">
      <c r="A394" s="99"/>
      <c r="D394" s="4"/>
      <c r="E394" s="4"/>
      <c r="F394" s="4"/>
      <c r="G394" s="4"/>
      <c r="H394" s="4"/>
      <c r="I394" s="4"/>
      <c r="J394" s="7"/>
      <c r="K394" s="4"/>
      <c r="L394" s="4"/>
      <c r="M394" s="4"/>
      <c r="N394" s="4"/>
      <c r="O394" s="4"/>
      <c r="P394" s="4"/>
      <c r="Q394" s="4"/>
    </row>
    <row r="395" spans="1:17" x14ac:dyDescent="0.25">
      <c r="A395" s="99"/>
      <c r="D395" s="4"/>
      <c r="E395" s="4"/>
      <c r="F395" s="4"/>
      <c r="G395" s="4"/>
      <c r="H395" s="4"/>
      <c r="I395" s="4"/>
      <c r="J395" s="7"/>
      <c r="K395" s="4"/>
      <c r="L395" s="4"/>
      <c r="M395" s="4"/>
      <c r="N395" s="4"/>
      <c r="O395" s="4"/>
      <c r="P395" s="4"/>
      <c r="Q395" s="4"/>
    </row>
    <row r="396" spans="1:17" x14ac:dyDescent="0.25">
      <c r="A396" s="99"/>
      <c r="D396" s="4"/>
      <c r="E396" s="4"/>
      <c r="F396" s="4"/>
      <c r="G396" s="4"/>
      <c r="H396" s="4"/>
      <c r="I396" s="4"/>
      <c r="J396" s="7"/>
      <c r="K396" s="4"/>
      <c r="L396" s="4"/>
      <c r="M396" s="4"/>
      <c r="N396" s="4"/>
      <c r="O396" s="4"/>
      <c r="P396" s="4"/>
      <c r="Q396" s="4"/>
    </row>
    <row r="397" spans="1:17" x14ac:dyDescent="0.25">
      <c r="A397" s="99"/>
      <c r="D397" s="4"/>
      <c r="E397" s="4"/>
      <c r="F397" s="4"/>
      <c r="G397" s="4"/>
      <c r="H397" s="4"/>
      <c r="I397" s="4"/>
      <c r="J397" s="7"/>
      <c r="K397" s="4"/>
      <c r="L397" s="4"/>
      <c r="M397" s="4"/>
      <c r="N397" s="4"/>
      <c r="O397" s="4"/>
      <c r="P397" s="4"/>
      <c r="Q397" s="4"/>
    </row>
    <row r="398" spans="1:17" x14ac:dyDescent="0.25">
      <c r="A398" s="99"/>
      <c r="D398" s="4"/>
      <c r="E398" s="4"/>
      <c r="F398" s="4"/>
      <c r="G398" s="4"/>
      <c r="H398" s="4"/>
      <c r="I398" s="4"/>
      <c r="J398" s="7"/>
      <c r="K398" s="4"/>
      <c r="L398" s="4"/>
      <c r="M398" s="4"/>
      <c r="N398" s="4"/>
      <c r="O398" s="4"/>
      <c r="P398" s="4"/>
      <c r="Q398" s="4"/>
    </row>
    <row r="399" spans="1:17" x14ac:dyDescent="0.25">
      <c r="A399" s="99"/>
      <c r="D399" s="4"/>
      <c r="E399" s="4"/>
      <c r="F399" s="4"/>
      <c r="G399" s="4"/>
      <c r="H399" s="4"/>
      <c r="I399" s="4"/>
      <c r="J399" s="7"/>
      <c r="K399" s="4"/>
      <c r="L399" s="4"/>
      <c r="M399" s="4"/>
      <c r="N399" s="4"/>
      <c r="O399" s="4"/>
      <c r="P399" s="4"/>
      <c r="Q399" s="4"/>
    </row>
    <row r="400" spans="1:17" x14ac:dyDescent="0.25">
      <c r="A400" s="99"/>
      <c r="D400" s="4"/>
      <c r="E400" s="4"/>
      <c r="F400" s="4"/>
      <c r="G400" s="4"/>
      <c r="H400" s="4"/>
      <c r="I400" s="4"/>
      <c r="J400" s="7"/>
      <c r="K400" s="4"/>
      <c r="L400" s="4"/>
      <c r="M400" s="4"/>
      <c r="N400" s="4"/>
      <c r="O400" s="4"/>
      <c r="P400" s="4"/>
      <c r="Q400" s="4"/>
    </row>
    <row r="401" spans="1:17" x14ac:dyDescent="0.25">
      <c r="A401" s="99"/>
      <c r="D401" s="4"/>
      <c r="E401" s="4"/>
      <c r="F401" s="4"/>
      <c r="G401" s="4"/>
      <c r="H401" s="4"/>
      <c r="I401" s="4"/>
      <c r="J401" s="7"/>
      <c r="K401" s="4"/>
      <c r="L401" s="4"/>
      <c r="M401" s="4"/>
      <c r="N401" s="4"/>
      <c r="O401" s="4"/>
      <c r="P401" s="4"/>
      <c r="Q401" s="4"/>
    </row>
    <row r="402" spans="1:17" x14ac:dyDescent="0.25">
      <c r="A402" s="99"/>
      <c r="D402" s="4"/>
      <c r="E402" s="4"/>
      <c r="F402" s="4"/>
      <c r="G402" s="4"/>
      <c r="H402" s="4"/>
      <c r="I402" s="4"/>
      <c r="J402" s="7"/>
      <c r="K402" s="4"/>
      <c r="L402" s="4"/>
      <c r="M402" s="4"/>
      <c r="N402" s="4"/>
      <c r="O402" s="4"/>
      <c r="P402" s="4"/>
      <c r="Q402" s="4"/>
    </row>
    <row r="403" spans="1:17" x14ac:dyDescent="0.25">
      <c r="A403" s="99"/>
      <c r="D403" s="4"/>
      <c r="E403" s="4"/>
      <c r="F403" s="4"/>
      <c r="G403" s="4"/>
      <c r="H403" s="4"/>
      <c r="I403" s="4"/>
      <c r="J403" s="7"/>
      <c r="K403" s="4"/>
      <c r="L403" s="4"/>
      <c r="M403" s="4"/>
      <c r="N403" s="4"/>
      <c r="O403" s="4"/>
      <c r="P403" s="4"/>
      <c r="Q403" s="4"/>
    </row>
    <row r="404" spans="1:17" x14ac:dyDescent="0.25">
      <c r="A404" s="99"/>
      <c r="D404" s="4"/>
      <c r="E404" s="4"/>
      <c r="F404" s="4"/>
      <c r="G404" s="4"/>
      <c r="H404" s="4"/>
      <c r="I404" s="4"/>
      <c r="J404" s="7"/>
      <c r="K404" s="4"/>
      <c r="L404" s="4"/>
      <c r="M404" s="4"/>
      <c r="N404" s="4"/>
      <c r="O404" s="4"/>
      <c r="P404" s="4"/>
      <c r="Q404" s="4"/>
    </row>
    <row r="405" spans="1:17" x14ac:dyDescent="0.25">
      <c r="A405" s="99"/>
      <c r="D405" s="4"/>
      <c r="E405" s="4"/>
      <c r="F405" s="4"/>
      <c r="G405" s="4"/>
      <c r="H405" s="4"/>
      <c r="I405" s="4"/>
      <c r="J405" s="7"/>
      <c r="K405" s="4"/>
      <c r="L405" s="4"/>
      <c r="M405" s="4"/>
      <c r="N405" s="4"/>
      <c r="O405" s="4"/>
      <c r="P405" s="4"/>
      <c r="Q405" s="4"/>
    </row>
    <row r="406" spans="1:17" x14ac:dyDescent="0.25">
      <c r="A406" s="99"/>
      <c r="D406" s="4"/>
      <c r="E406" s="4"/>
      <c r="F406" s="4"/>
      <c r="G406" s="4"/>
      <c r="H406" s="4"/>
      <c r="I406" s="4"/>
      <c r="J406" s="7"/>
      <c r="K406" s="4"/>
      <c r="L406" s="4"/>
      <c r="M406" s="4"/>
      <c r="N406" s="4"/>
      <c r="O406" s="4"/>
      <c r="P406" s="4"/>
      <c r="Q406" s="4"/>
    </row>
    <row r="407" spans="1:17" x14ac:dyDescent="0.25">
      <c r="A407" s="99"/>
      <c r="D407" s="4"/>
      <c r="E407" s="4"/>
      <c r="F407" s="4"/>
      <c r="G407" s="4"/>
      <c r="H407" s="4"/>
      <c r="I407" s="4"/>
      <c r="J407" s="7"/>
      <c r="K407" s="4"/>
      <c r="L407" s="4"/>
      <c r="M407" s="4"/>
      <c r="N407" s="4"/>
      <c r="O407" s="4"/>
      <c r="P407" s="4"/>
      <c r="Q407" s="4"/>
    </row>
    <row r="408" spans="1:17" x14ac:dyDescent="0.25">
      <c r="A408" s="99"/>
      <c r="D408" s="4"/>
      <c r="E408" s="4"/>
      <c r="F408" s="4"/>
      <c r="G408" s="4"/>
      <c r="H408" s="4"/>
      <c r="I408" s="4"/>
      <c r="J408" s="7"/>
      <c r="K408" s="4"/>
      <c r="L408" s="4"/>
      <c r="M408" s="4"/>
      <c r="N408" s="4"/>
      <c r="O408" s="4"/>
      <c r="P408" s="4"/>
      <c r="Q408" s="4"/>
    </row>
    <row r="409" spans="1:17" x14ac:dyDescent="0.25">
      <c r="A409" s="99"/>
      <c r="D409" s="4"/>
      <c r="E409" s="4"/>
      <c r="F409" s="4"/>
      <c r="G409" s="4"/>
      <c r="H409" s="4"/>
      <c r="I409" s="4"/>
      <c r="J409" s="7"/>
      <c r="K409" s="4"/>
      <c r="L409" s="4"/>
      <c r="M409" s="4"/>
      <c r="N409" s="4"/>
      <c r="O409" s="4"/>
      <c r="P409" s="4"/>
      <c r="Q409" s="4"/>
    </row>
    <row r="410" spans="1:17" x14ac:dyDescent="0.25">
      <c r="A410" s="99"/>
      <c r="D410" s="4"/>
      <c r="E410" s="4"/>
      <c r="F410" s="4"/>
      <c r="G410" s="4"/>
      <c r="H410" s="4"/>
      <c r="I410" s="4"/>
      <c r="J410" s="7"/>
      <c r="K410" s="4"/>
      <c r="L410" s="4"/>
      <c r="M410" s="4"/>
      <c r="N410" s="4"/>
      <c r="O410" s="4"/>
      <c r="P410" s="4"/>
      <c r="Q410" s="4"/>
    </row>
    <row r="411" spans="1:17" x14ac:dyDescent="0.25">
      <c r="A411" s="99"/>
      <c r="D411" s="4"/>
      <c r="E411" s="4"/>
      <c r="F411" s="4"/>
      <c r="G411" s="4"/>
      <c r="H411" s="4"/>
      <c r="I411" s="4"/>
      <c r="J411" s="7"/>
      <c r="K411" s="4"/>
      <c r="L411" s="4"/>
      <c r="M411" s="4"/>
      <c r="N411" s="4"/>
      <c r="O411" s="4"/>
      <c r="P411" s="4"/>
      <c r="Q411" s="4"/>
    </row>
    <row r="412" spans="1:17" x14ac:dyDescent="0.25">
      <c r="A412" s="99"/>
      <c r="D412" s="4"/>
      <c r="E412" s="4"/>
      <c r="F412" s="4"/>
      <c r="G412" s="4"/>
      <c r="H412" s="4"/>
      <c r="I412" s="4"/>
      <c r="J412" s="7"/>
      <c r="K412" s="4"/>
      <c r="L412" s="4"/>
      <c r="M412" s="4"/>
      <c r="N412" s="4"/>
      <c r="O412" s="4"/>
      <c r="P412" s="4"/>
      <c r="Q412" s="4"/>
    </row>
    <row r="413" spans="1:17" x14ac:dyDescent="0.25">
      <c r="A413" s="99"/>
      <c r="D413" s="4"/>
      <c r="E413" s="4"/>
      <c r="F413" s="4"/>
      <c r="G413" s="4"/>
      <c r="H413" s="4"/>
      <c r="I413" s="4"/>
      <c r="J413" s="7"/>
      <c r="K413" s="4"/>
      <c r="L413" s="4"/>
      <c r="M413" s="4"/>
      <c r="N413" s="4"/>
      <c r="O413" s="4"/>
      <c r="P413" s="4"/>
      <c r="Q413" s="4"/>
    </row>
    <row r="414" spans="1:17" x14ac:dyDescent="0.25">
      <c r="A414" s="99"/>
      <c r="D414" s="4"/>
      <c r="E414" s="4"/>
      <c r="F414" s="4"/>
      <c r="G414" s="4"/>
      <c r="H414" s="4"/>
      <c r="I414" s="4"/>
      <c r="J414" s="7"/>
      <c r="K414" s="4"/>
      <c r="L414" s="4"/>
      <c r="M414" s="4"/>
      <c r="N414" s="4"/>
      <c r="O414" s="4"/>
      <c r="P414" s="4"/>
      <c r="Q414" s="4"/>
    </row>
    <row r="415" spans="1:17" x14ac:dyDescent="0.25">
      <c r="A415" s="99"/>
      <c r="D415" s="4"/>
      <c r="E415" s="4"/>
      <c r="F415" s="4"/>
      <c r="G415" s="4"/>
      <c r="H415" s="4"/>
      <c r="I415" s="4"/>
      <c r="J415" s="7"/>
      <c r="K415" s="4"/>
      <c r="L415" s="4"/>
      <c r="M415" s="4"/>
      <c r="N415" s="4"/>
      <c r="O415" s="4"/>
      <c r="P415" s="4"/>
      <c r="Q415" s="4"/>
    </row>
    <row r="416" spans="1:17" x14ac:dyDescent="0.25">
      <c r="A416" s="99"/>
      <c r="D416" s="4"/>
      <c r="E416" s="4"/>
      <c r="F416" s="4"/>
      <c r="G416" s="4"/>
      <c r="H416" s="4"/>
      <c r="I416" s="4"/>
      <c r="J416" s="7"/>
      <c r="K416" s="4"/>
      <c r="L416" s="4"/>
      <c r="M416" s="4"/>
      <c r="N416" s="4"/>
      <c r="O416" s="4"/>
      <c r="P416" s="4"/>
      <c r="Q416" s="4"/>
    </row>
    <row r="417" spans="1:17" x14ac:dyDescent="0.25">
      <c r="A417" s="99"/>
      <c r="D417" s="4"/>
      <c r="E417" s="4"/>
      <c r="F417" s="4"/>
      <c r="G417" s="4"/>
      <c r="H417" s="4"/>
      <c r="I417" s="4"/>
      <c r="J417" s="7"/>
      <c r="K417" s="4"/>
      <c r="L417" s="4"/>
      <c r="M417" s="4"/>
      <c r="N417" s="4"/>
      <c r="O417" s="4"/>
      <c r="P417" s="4"/>
      <c r="Q417" s="4"/>
    </row>
    <row r="418" spans="1:17" x14ac:dyDescent="0.25">
      <c r="A418" s="99"/>
      <c r="D418" s="4"/>
      <c r="E418" s="4"/>
      <c r="F418" s="4"/>
      <c r="G418" s="4"/>
      <c r="H418" s="4"/>
      <c r="I418" s="4"/>
      <c r="J418" s="7"/>
      <c r="K418" s="4"/>
      <c r="L418" s="4"/>
      <c r="M418" s="4"/>
      <c r="N418" s="4"/>
      <c r="O418" s="4"/>
      <c r="P418" s="4"/>
      <c r="Q418" s="4"/>
    </row>
    <row r="419" spans="1:17" x14ac:dyDescent="0.25">
      <c r="A419" s="99"/>
      <c r="D419" s="4"/>
      <c r="E419" s="4"/>
      <c r="F419" s="4"/>
      <c r="G419" s="4"/>
      <c r="H419" s="4"/>
      <c r="I419" s="4"/>
      <c r="J419" s="7"/>
      <c r="K419" s="4"/>
      <c r="L419" s="4"/>
      <c r="M419" s="4"/>
      <c r="N419" s="4"/>
      <c r="O419" s="4"/>
      <c r="P419" s="4"/>
      <c r="Q419" s="4"/>
    </row>
    <row r="420" spans="1:17" x14ac:dyDescent="0.25">
      <c r="A420" s="99"/>
      <c r="D420" s="4"/>
      <c r="E420" s="4"/>
      <c r="F420" s="4"/>
      <c r="G420" s="4"/>
      <c r="H420" s="4"/>
      <c r="I420" s="4"/>
      <c r="J420" s="7"/>
      <c r="K420" s="4"/>
      <c r="L420" s="4"/>
      <c r="M420" s="4"/>
      <c r="N420" s="4"/>
      <c r="O420" s="4"/>
      <c r="P420" s="4"/>
      <c r="Q420" s="4"/>
    </row>
    <row r="421" spans="1:17" x14ac:dyDescent="0.25">
      <c r="A421" s="99"/>
      <c r="D421" s="4"/>
      <c r="E421" s="4"/>
      <c r="F421" s="4"/>
      <c r="G421" s="4"/>
      <c r="H421" s="4"/>
      <c r="I421" s="4"/>
      <c r="J421" s="7"/>
      <c r="K421" s="4"/>
      <c r="L421" s="4"/>
      <c r="M421" s="4"/>
      <c r="N421" s="4"/>
      <c r="O421" s="4"/>
      <c r="P421" s="4"/>
      <c r="Q421" s="4"/>
    </row>
    <row r="422" spans="1:17" x14ac:dyDescent="0.25">
      <c r="A422" s="99"/>
      <c r="D422" s="4"/>
      <c r="E422" s="4"/>
      <c r="F422" s="4"/>
      <c r="G422" s="4"/>
      <c r="H422" s="4"/>
      <c r="I422" s="4"/>
      <c r="J422" s="7"/>
      <c r="K422" s="4"/>
      <c r="L422" s="4"/>
      <c r="M422" s="4"/>
      <c r="N422" s="4"/>
      <c r="O422" s="4"/>
      <c r="P422" s="4"/>
      <c r="Q422" s="4"/>
    </row>
    <row r="423" spans="1:17" x14ac:dyDescent="0.25">
      <c r="A423" s="99"/>
      <c r="D423" s="4"/>
      <c r="E423" s="4"/>
      <c r="F423" s="4"/>
      <c r="G423" s="4"/>
      <c r="H423" s="4"/>
      <c r="I423" s="4"/>
      <c r="J423" s="7"/>
      <c r="K423" s="4"/>
      <c r="L423" s="4"/>
      <c r="M423" s="4"/>
      <c r="N423" s="4"/>
      <c r="O423" s="4"/>
      <c r="P423" s="4"/>
      <c r="Q423" s="4"/>
    </row>
    <row r="424" spans="1:17" x14ac:dyDescent="0.25">
      <c r="A424" s="99"/>
      <c r="D424" s="4"/>
      <c r="E424" s="4"/>
      <c r="F424" s="4"/>
      <c r="G424" s="4"/>
      <c r="H424" s="4"/>
      <c r="I424" s="4"/>
      <c r="J424" s="7"/>
      <c r="K424" s="4"/>
      <c r="L424" s="4"/>
      <c r="M424" s="4"/>
      <c r="N424" s="4"/>
      <c r="O424" s="4"/>
      <c r="P424" s="4"/>
      <c r="Q424" s="4"/>
    </row>
    <row r="425" spans="1:17" x14ac:dyDescent="0.25">
      <c r="A425" s="99"/>
      <c r="D425" s="4"/>
      <c r="E425" s="4"/>
      <c r="F425" s="4"/>
      <c r="G425" s="4"/>
      <c r="H425" s="4"/>
      <c r="I425" s="4"/>
      <c r="J425" s="7"/>
      <c r="K425" s="4"/>
      <c r="L425" s="4"/>
      <c r="M425" s="4"/>
      <c r="N425" s="4"/>
      <c r="O425" s="4"/>
      <c r="P425" s="4"/>
      <c r="Q425" s="4"/>
    </row>
    <row r="426" spans="1:17" x14ac:dyDescent="0.25">
      <c r="A426" s="99"/>
      <c r="D426" s="4"/>
      <c r="E426" s="4"/>
      <c r="F426" s="4"/>
      <c r="G426" s="4"/>
      <c r="H426" s="4"/>
      <c r="I426" s="4"/>
      <c r="J426" s="7"/>
      <c r="K426" s="4"/>
      <c r="L426" s="4"/>
      <c r="M426" s="4"/>
      <c r="N426" s="4"/>
      <c r="O426" s="4"/>
      <c r="P426" s="4"/>
      <c r="Q426" s="4"/>
    </row>
    <row r="427" spans="1:17" x14ac:dyDescent="0.25">
      <c r="A427" s="99"/>
      <c r="D427" s="4"/>
      <c r="E427" s="4"/>
      <c r="F427" s="4"/>
      <c r="G427" s="4"/>
      <c r="H427" s="4"/>
      <c r="I427" s="4"/>
      <c r="J427" s="7"/>
      <c r="K427" s="4"/>
      <c r="L427" s="4"/>
      <c r="M427" s="4"/>
      <c r="N427" s="4"/>
      <c r="O427" s="4"/>
      <c r="P427" s="4"/>
      <c r="Q427" s="4"/>
    </row>
    <row r="428" spans="1:17" x14ac:dyDescent="0.25">
      <c r="A428" s="99"/>
      <c r="D428" s="4"/>
      <c r="E428" s="4"/>
      <c r="F428" s="4"/>
      <c r="G428" s="4"/>
      <c r="H428" s="4"/>
      <c r="I428" s="4"/>
      <c r="J428" s="7"/>
      <c r="K428" s="4"/>
      <c r="L428" s="4"/>
      <c r="M428" s="4"/>
      <c r="N428" s="4"/>
      <c r="O428" s="4"/>
      <c r="P428" s="4"/>
      <c r="Q428" s="4"/>
    </row>
    <row r="429" spans="1:17" x14ac:dyDescent="0.25">
      <c r="A429" s="99"/>
      <c r="D429" s="4"/>
      <c r="E429" s="4"/>
      <c r="F429" s="4"/>
      <c r="G429" s="4"/>
      <c r="H429" s="4"/>
      <c r="I429" s="4"/>
      <c r="J429" s="7"/>
      <c r="K429" s="4"/>
      <c r="L429" s="4"/>
      <c r="M429" s="4"/>
      <c r="N429" s="4"/>
      <c r="O429" s="4"/>
      <c r="P429" s="4"/>
      <c r="Q429" s="4"/>
    </row>
    <row r="430" spans="1:17" x14ac:dyDescent="0.25">
      <c r="A430" s="99"/>
      <c r="D430" s="4"/>
      <c r="E430" s="4"/>
      <c r="F430" s="4"/>
      <c r="G430" s="4"/>
      <c r="H430" s="4"/>
      <c r="I430" s="4"/>
      <c r="J430" s="7"/>
      <c r="K430" s="4"/>
      <c r="L430" s="4"/>
      <c r="M430" s="4"/>
      <c r="N430" s="4"/>
      <c r="O430" s="4"/>
      <c r="P430" s="4"/>
      <c r="Q430" s="4"/>
    </row>
    <row r="431" spans="1:17" x14ac:dyDescent="0.25">
      <c r="A431" s="99"/>
      <c r="D431" s="4"/>
      <c r="E431" s="4"/>
      <c r="F431" s="4"/>
      <c r="G431" s="4"/>
      <c r="H431" s="4"/>
      <c r="I431" s="4"/>
      <c r="J431" s="7"/>
      <c r="K431" s="4"/>
      <c r="L431" s="4"/>
      <c r="M431" s="4"/>
      <c r="N431" s="4"/>
      <c r="O431" s="4"/>
      <c r="P431" s="4"/>
      <c r="Q431" s="4"/>
    </row>
    <row r="432" spans="1:17" x14ac:dyDescent="0.25">
      <c r="A432" s="99"/>
      <c r="D432" s="4"/>
      <c r="E432" s="4"/>
      <c r="F432" s="4"/>
      <c r="G432" s="4"/>
      <c r="H432" s="4"/>
      <c r="I432" s="4"/>
      <c r="J432" s="7"/>
      <c r="K432" s="4"/>
      <c r="L432" s="4"/>
      <c r="M432" s="4"/>
      <c r="N432" s="4"/>
      <c r="O432" s="4"/>
      <c r="P432" s="4"/>
      <c r="Q432" s="4"/>
    </row>
    <row r="433" spans="1:17" x14ac:dyDescent="0.25">
      <c r="A433" s="99"/>
      <c r="D433" s="4"/>
      <c r="E433" s="4"/>
      <c r="F433" s="4"/>
      <c r="G433" s="4"/>
      <c r="H433" s="4"/>
      <c r="I433" s="4"/>
      <c r="J433" s="7"/>
      <c r="K433" s="4"/>
      <c r="L433" s="4"/>
      <c r="M433" s="4"/>
      <c r="N433" s="4"/>
      <c r="O433" s="4"/>
      <c r="P433" s="4"/>
      <c r="Q433" s="4"/>
    </row>
    <row r="434" spans="1:17" x14ac:dyDescent="0.25">
      <c r="A434" s="99"/>
      <c r="D434" s="4"/>
      <c r="E434" s="4"/>
      <c r="F434" s="4"/>
      <c r="G434" s="4"/>
      <c r="H434" s="4"/>
      <c r="I434" s="4"/>
      <c r="J434" s="7"/>
      <c r="K434" s="4"/>
      <c r="L434" s="4"/>
      <c r="M434" s="4"/>
      <c r="N434" s="4"/>
      <c r="O434" s="4"/>
      <c r="P434" s="4"/>
      <c r="Q434" s="4"/>
    </row>
    <row r="435" spans="1:17" x14ac:dyDescent="0.25">
      <c r="A435" s="99"/>
      <c r="D435" s="4"/>
      <c r="E435" s="4"/>
      <c r="F435" s="4"/>
      <c r="G435" s="4"/>
      <c r="H435" s="4"/>
      <c r="I435" s="4"/>
      <c r="J435" s="7"/>
      <c r="K435" s="4"/>
      <c r="L435" s="4"/>
      <c r="M435" s="4"/>
      <c r="N435" s="4"/>
      <c r="O435" s="4"/>
      <c r="P435" s="4"/>
      <c r="Q435" s="4"/>
    </row>
    <row r="436" spans="1:17" x14ac:dyDescent="0.25">
      <c r="A436" s="99"/>
      <c r="D436" s="4"/>
      <c r="E436" s="4"/>
      <c r="F436" s="4"/>
      <c r="G436" s="4"/>
      <c r="H436" s="4"/>
      <c r="I436" s="4"/>
      <c r="J436" s="7"/>
      <c r="K436" s="4"/>
      <c r="L436" s="4"/>
      <c r="M436" s="4"/>
      <c r="N436" s="4"/>
      <c r="O436" s="4"/>
      <c r="P436" s="4"/>
      <c r="Q436" s="4"/>
    </row>
    <row r="437" spans="1:17" x14ac:dyDescent="0.25">
      <c r="A437" s="99"/>
      <c r="D437" s="4"/>
      <c r="E437" s="4"/>
      <c r="F437" s="4"/>
      <c r="G437" s="4"/>
      <c r="H437" s="4"/>
      <c r="I437" s="4"/>
      <c r="J437" s="7"/>
      <c r="K437" s="4"/>
      <c r="L437" s="4"/>
      <c r="M437" s="4"/>
      <c r="N437" s="4"/>
      <c r="O437" s="4"/>
      <c r="P437" s="4"/>
      <c r="Q437" s="4"/>
    </row>
    <row r="438" spans="1:17" x14ac:dyDescent="0.25">
      <c r="A438" s="99"/>
      <c r="D438" s="4"/>
      <c r="E438" s="4"/>
      <c r="F438" s="4"/>
      <c r="G438" s="4"/>
      <c r="H438" s="4"/>
      <c r="I438" s="4"/>
      <c r="J438" s="7"/>
      <c r="K438" s="4"/>
      <c r="L438" s="4"/>
      <c r="M438" s="4"/>
      <c r="N438" s="4"/>
      <c r="O438" s="4"/>
      <c r="P438" s="4"/>
      <c r="Q438" s="4"/>
    </row>
    <row r="439" spans="1:17" x14ac:dyDescent="0.25">
      <c r="A439" s="99"/>
      <c r="D439" s="4"/>
      <c r="E439" s="4"/>
      <c r="F439" s="4"/>
      <c r="G439" s="4"/>
      <c r="H439" s="4"/>
      <c r="I439" s="4"/>
      <c r="J439" s="7"/>
      <c r="K439" s="4"/>
      <c r="L439" s="4"/>
      <c r="M439" s="4"/>
      <c r="N439" s="4"/>
      <c r="O439" s="4"/>
      <c r="P439" s="4"/>
      <c r="Q439" s="4"/>
    </row>
    <row r="440" spans="1:17" x14ac:dyDescent="0.25">
      <c r="A440" s="99"/>
      <c r="D440" s="4"/>
      <c r="E440" s="4"/>
      <c r="F440" s="4"/>
      <c r="G440" s="4"/>
      <c r="H440" s="4"/>
      <c r="I440" s="4"/>
      <c r="J440" s="7"/>
      <c r="K440" s="4"/>
      <c r="L440" s="4"/>
      <c r="M440" s="4"/>
      <c r="N440" s="4"/>
      <c r="O440" s="4"/>
      <c r="P440" s="4"/>
      <c r="Q440" s="4"/>
    </row>
    <row r="441" spans="1:17" x14ac:dyDescent="0.25">
      <c r="A441" s="99"/>
      <c r="D441" s="4"/>
      <c r="E441" s="4"/>
      <c r="F441" s="4"/>
      <c r="G441" s="4"/>
      <c r="H441" s="4"/>
      <c r="I441" s="4"/>
      <c r="J441" s="7"/>
      <c r="K441" s="4"/>
      <c r="L441" s="4"/>
      <c r="M441" s="4"/>
      <c r="N441" s="4"/>
      <c r="O441" s="4"/>
      <c r="P441" s="4"/>
      <c r="Q441" s="4"/>
    </row>
    <row r="442" spans="1:17" x14ac:dyDescent="0.25">
      <c r="A442" s="99"/>
      <c r="D442" s="4"/>
      <c r="E442" s="4"/>
      <c r="F442" s="4"/>
      <c r="G442" s="4"/>
      <c r="H442" s="4"/>
      <c r="I442" s="4"/>
      <c r="J442" s="7"/>
      <c r="K442" s="4"/>
      <c r="L442" s="4"/>
      <c r="M442" s="4"/>
      <c r="N442" s="4"/>
      <c r="O442" s="4"/>
      <c r="P442" s="4"/>
      <c r="Q442" s="4"/>
    </row>
    <row r="443" spans="1:17" x14ac:dyDescent="0.25">
      <c r="A443" s="99"/>
      <c r="D443" s="4"/>
      <c r="E443" s="4"/>
      <c r="F443" s="4"/>
      <c r="G443" s="4"/>
      <c r="H443" s="4"/>
      <c r="I443" s="4"/>
      <c r="J443" s="7"/>
      <c r="K443" s="4"/>
      <c r="L443" s="4"/>
      <c r="M443" s="4"/>
      <c r="N443" s="4"/>
      <c r="O443" s="4"/>
      <c r="P443" s="4"/>
      <c r="Q443" s="4"/>
    </row>
    <row r="444" spans="1:17" x14ac:dyDescent="0.25">
      <c r="A444" s="99"/>
      <c r="D444" s="4"/>
      <c r="E444" s="4"/>
      <c r="F444" s="4"/>
      <c r="G444" s="4"/>
      <c r="H444" s="4"/>
      <c r="I444" s="4"/>
      <c r="J444" s="7"/>
      <c r="K444" s="4"/>
      <c r="L444" s="4"/>
      <c r="M444" s="4"/>
      <c r="N444" s="4"/>
      <c r="O444" s="4"/>
      <c r="P444" s="4"/>
      <c r="Q444" s="4"/>
    </row>
    <row r="445" spans="1:17" x14ac:dyDescent="0.25">
      <c r="A445" s="99"/>
      <c r="D445" s="4"/>
      <c r="E445" s="4"/>
      <c r="F445" s="4"/>
      <c r="G445" s="4"/>
      <c r="H445" s="4"/>
      <c r="I445" s="4"/>
      <c r="J445" s="7"/>
      <c r="K445" s="4"/>
      <c r="L445" s="4"/>
      <c r="M445" s="4"/>
      <c r="N445" s="4"/>
      <c r="O445" s="4"/>
      <c r="P445" s="4"/>
      <c r="Q445" s="4"/>
    </row>
    <row r="446" spans="1:17" x14ac:dyDescent="0.25">
      <c r="A446" s="99"/>
      <c r="D446" s="4"/>
      <c r="E446" s="4"/>
      <c r="F446" s="4"/>
      <c r="G446" s="4"/>
      <c r="H446" s="4"/>
      <c r="I446" s="4"/>
      <c r="J446" s="7"/>
      <c r="K446" s="4"/>
      <c r="L446" s="4"/>
      <c r="M446" s="4"/>
      <c r="N446" s="4"/>
      <c r="O446" s="4"/>
      <c r="P446" s="4"/>
      <c r="Q446" s="4"/>
    </row>
    <row r="447" spans="1:17" x14ac:dyDescent="0.25">
      <c r="A447" s="99"/>
      <c r="D447" s="4"/>
      <c r="E447" s="4"/>
      <c r="F447" s="4"/>
      <c r="G447" s="4"/>
      <c r="H447" s="4"/>
      <c r="I447" s="4"/>
      <c r="J447" s="7"/>
      <c r="K447" s="4"/>
      <c r="L447" s="4"/>
      <c r="M447" s="4"/>
      <c r="N447" s="4"/>
      <c r="O447" s="4"/>
      <c r="P447" s="4"/>
      <c r="Q447" s="4"/>
    </row>
    <row r="448" spans="1:17" x14ac:dyDescent="0.25">
      <c r="A448" s="99"/>
      <c r="D448" s="4"/>
      <c r="E448" s="4"/>
      <c r="F448" s="4"/>
      <c r="G448" s="4"/>
      <c r="H448" s="4"/>
      <c r="I448" s="4"/>
      <c r="J448" s="7"/>
      <c r="K448" s="4"/>
      <c r="L448" s="4"/>
      <c r="M448" s="4"/>
      <c r="N448" s="4"/>
      <c r="O448" s="4"/>
      <c r="P448" s="4"/>
      <c r="Q448" s="4"/>
    </row>
    <row r="449" spans="1:17" x14ac:dyDescent="0.25">
      <c r="A449" s="99"/>
      <c r="D449" s="4"/>
      <c r="E449" s="4"/>
      <c r="F449" s="4"/>
      <c r="G449" s="4"/>
      <c r="H449" s="4"/>
      <c r="I449" s="4"/>
      <c r="J449" s="7"/>
      <c r="K449" s="4"/>
      <c r="L449" s="4"/>
      <c r="M449" s="4"/>
      <c r="N449" s="4"/>
      <c r="O449" s="4"/>
      <c r="P449" s="4"/>
      <c r="Q449" s="4"/>
    </row>
    <row r="450" spans="1:17" x14ac:dyDescent="0.25">
      <c r="A450" s="99"/>
      <c r="D450" s="4"/>
      <c r="E450" s="4"/>
      <c r="F450" s="4"/>
      <c r="G450" s="4"/>
      <c r="H450" s="4"/>
      <c r="I450" s="4"/>
      <c r="J450" s="7"/>
      <c r="K450" s="4"/>
      <c r="L450" s="4"/>
      <c r="M450" s="4"/>
      <c r="N450" s="4"/>
      <c r="O450" s="4"/>
      <c r="P450" s="4"/>
      <c r="Q450" s="4"/>
    </row>
    <row r="451" spans="1:17" x14ac:dyDescent="0.25">
      <c r="A451" s="99"/>
      <c r="D451" s="4"/>
      <c r="E451" s="4"/>
      <c r="F451" s="4"/>
      <c r="G451" s="4"/>
      <c r="H451" s="4"/>
      <c r="I451" s="4"/>
      <c r="J451" s="7"/>
      <c r="K451" s="4"/>
      <c r="L451" s="4"/>
      <c r="M451" s="4"/>
      <c r="N451" s="4"/>
      <c r="O451" s="4"/>
      <c r="P451" s="4"/>
      <c r="Q451" s="4"/>
    </row>
    <row r="452" spans="1:17" x14ac:dyDescent="0.25">
      <c r="A452" s="99"/>
      <c r="D452" s="4"/>
      <c r="E452" s="4"/>
      <c r="F452" s="4"/>
      <c r="G452" s="4"/>
      <c r="H452" s="4"/>
      <c r="I452" s="4"/>
      <c r="J452" s="7"/>
      <c r="K452" s="4"/>
      <c r="L452" s="4"/>
      <c r="M452" s="4"/>
      <c r="N452" s="4"/>
      <c r="O452" s="4"/>
      <c r="P452" s="4"/>
      <c r="Q452" s="4"/>
    </row>
    <row r="453" spans="1:17" x14ac:dyDescent="0.25">
      <c r="A453" s="99"/>
      <c r="D453" s="4"/>
      <c r="E453" s="4"/>
      <c r="F453" s="4"/>
      <c r="G453" s="4"/>
      <c r="H453" s="4"/>
      <c r="I453" s="4"/>
      <c r="J453" s="7"/>
      <c r="K453" s="4"/>
      <c r="L453" s="4"/>
      <c r="M453" s="4"/>
      <c r="N453" s="4"/>
      <c r="O453" s="4"/>
      <c r="P453" s="4"/>
      <c r="Q453" s="4"/>
    </row>
    <row r="454" spans="1:17" x14ac:dyDescent="0.25">
      <c r="A454" s="99"/>
      <c r="D454" s="4"/>
      <c r="E454" s="4"/>
      <c r="F454" s="4"/>
      <c r="G454" s="4"/>
      <c r="H454" s="4"/>
      <c r="I454" s="4"/>
      <c r="J454" s="7"/>
      <c r="K454" s="4"/>
      <c r="L454" s="4"/>
      <c r="M454" s="4"/>
      <c r="N454" s="4"/>
      <c r="O454" s="4"/>
      <c r="P454" s="4"/>
      <c r="Q454" s="4"/>
    </row>
    <row r="455" spans="1:17" x14ac:dyDescent="0.25">
      <c r="A455" s="99"/>
      <c r="D455" s="4"/>
      <c r="E455" s="4"/>
      <c r="F455" s="4"/>
      <c r="G455" s="4"/>
      <c r="H455" s="4"/>
      <c r="I455" s="4"/>
      <c r="J455" s="7"/>
      <c r="K455" s="4"/>
      <c r="L455" s="4"/>
      <c r="M455" s="4"/>
      <c r="N455" s="4"/>
      <c r="O455" s="4"/>
      <c r="P455" s="4"/>
      <c r="Q455" s="4"/>
    </row>
    <row r="456" spans="1:17" x14ac:dyDescent="0.25">
      <c r="A456" s="99"/>
      <c r="D456" s="4"/>
      <c r="E456" s="4"/>
      <c r="F456" s="4"/>
      <c r="G456" s="4"/>
      <c r="H456" s="4"/>
      <c r="I456" s="4"/>
      <c r="J456" s="7"/>
      <c r="K456" s="4"/>
      <c r="L456" s="4"/>
      <c r="M456" s="4"/>
      <c r="N456" s="4"/>
      <c r="O456" s="4"/>
      <c r="P456" s="4"/>
      <c r="Q456" s="4"/>
    </row>
    <row r="457" spans="1:17" x14ac:dyDescent="0.25">
      <c r="A457" s="99"/>
      <c r="D457" s="4"/>
      <c r="E457" s="4"/>
      <c r="F457" s="4"/>
      <c r="G457" s="4"/>
      <c r="H457" s="4"/>
      <c r="I457" s="4"/>
      <c r="J457" s="7"/>
      <c r="K457" s="4"/>
      <c r="L457" s="4"/>
      <c r="M457" s="4"/>
      <c r="N457" s="4"/>
      <c r="O457" s="4"/>
      <c r="P457" s="4"/>
      <c r="Q457" s="4"/>
    </row>
    <row r="458" spans="1:17" x14ac:dyDescent="0.25">
      <c r="A458" s="99"/>
      <c r="D458" s="4"/>
      <c r="E458" s="4"/>
      <c r="F458" s="4"/>
      <c r="G458" s="4"/>
      <c r="H458" s="4"/>
      <c r="I458" s="4"/>
      <c r="J458" s="7"/>
      <c r="K458" s="4"/>
      <c r="L458" s="4"/>
      <c r="M458" s="4"/>
      <c r="N458" s="4"/>
      <c r="O458" s="4"/>
      <c r="P458" s="4"/>
      <c r="Q458" s="4"/>
    </row>
    <row r="459" spans="1:17" x14ac:dyDescent="0.25">
      <c r="A459" s="99"/>
      <c r="D459" s="4"/>
      <c r="E459" s="4"/>
      <c r="F459" s="4"/>
      <c r="G459" s="4"/>
      <c r="H459" s="4"/>
      <c r="I459" s="4"/>
      <c r="J459" s="7"/>
      <c r="K459" s="4"/>
      <c r="L459" s="4"/>
      <c r="M459" s="4"/>
      <c r="N459" s="4"/>
      <c r="O459" s="4"/>
      <c r="P459" s="4"/>
      <c r="Q459" s="4"/>
    </row>
    <row r="460" spans="1:17" x14ac:dyDescent="0.25">
      <c r="A460" s="99"/>
      <c r="D460" s="4"/>
      <c r="E460" s="4"/>
      <c r="F460" s="4"/>
      <c r="G460" s="4"/>
      <c r="H460" s="4"/>
      <c r="I460" s="4"/>
      <c r="J460" s="7"/>
      <c r="K460" s="4"/>
      <c r="L460" s="4"/>
      <c r="M460" s="4"/>
      <c r="N460" s="4"/>
      <c r="O460" s="4"/>
      <c r="P460" s="4"/>
      <c r="Q460" s="4"/>
    </row>
    <row r="461" spans="1:17" x14ac:dyDescent="0.25">
      <c r="A461" s="99"/>
      <c r="D461" s="4"/>
      <c r="E461" s="4"/>
      <c r="F461" s="4"/>
      <c r="G461" s="4"/>
      <c r="H461" s="4"/>
      <c r="I461" s="4"/>
      <c r="J461" s="7"/>
      <c r="K461" s="4"/>
      <c r="L461" s="4"/>
      <c r="M461" s="4"/>
      <c r="N461" s="4"/>
      <c r="O461" s="4"/>
      <c r="P461" s="4"/>
      <c r="Q461" s="4"/>
    </row>
    <row r="462" spans="1:17" x14ac:dyDescent="0.25">
      <c r="A462" s="99"/>
      <c r="D462" s="4"/>
      <c r="E462" s="4"/>
      <c r="F462" s="4"/>
      <c r="G462" s="4"/>
      <c r="H462" s="4"/>
      <c r="I462" s="4"/>
      <c r="J462" s="7"/>
      <c r="K462" s="4"/>
      <c r="L462" s="4"/>
      <c r="M462" s="4"/>
      <c r="N462" s="4"/>
      <c r="O462" s="4"/>
      <c r="P462" s="4"/>
      <c r="Q462" s="4"/>
    </row>
    <row r="463" spans="1:17" x14ac:dyDescent="0.25">
      <c r="A463" s="99"/>
      <c r="D463" s="4"/>
      <c r="E463" s="4"/>
      <c r="F463" s="4"/>
      <c r="G463" s="4"/>
      <c r="H463" s="4"/>
      <c r="I463" s="4"/>
      <c r="J463" s="7"/>
      <c r="K463" s="4"/>
      <c r="L463" s="4"/>
      <c r="M463" s="4"/>
      <c r="N463" s="4"/>
      <c r="O463" s="4"/>
      <c r="P463" s="4"/>
      <c r="Q463" s="4"/>
    </row>
    <row r="464" spans="1:17" x14ac:dyDescent="0.25">
      <c r="A464" s="99"/>
      <c r="D464" s="4"/>
      <c r="E464" s="4"/>
      <c r="F464" s="4"/>
      <c r="G464" s="4"/>
      <c r="H464" s="4"/>
      <c r="I464" s="4"/>
      <c r="J464" s="7"/>
      <c r="K464" s="4"/>
      <c r="L464" s="4"/>
      <c r="M464" s="4"/>
      <c r="N464" s="4"/>
      <c r="O464" s="4"/>
      <c r="P464" s="4"/>
      <c r="Q464" s="4"/>
    </row>
    <row r="465" spans="1:17" x14ac:dyDescent="0.25">
      <c r="A465" s="99"/>
      <c r="D465" s="4"/>
      <c r="E465" s="4"/>
      <c r="F465" s="4"/>
      <c r="G465" s="4"/>
      <c r="H465" s="4"/>
      <c r="I465" s="4"/>
      <c r="J465" s="7"/>
      <c r="K465" s="4"/>
      <c r="L465" s="4"/>
      <c r="M465" s="4"/>
      <c r="N465" s="4"/>
      <c r="O465" s="4"/>
      <c r="P465" s="4"/>
      <c r="Q465" s="4"/>
    </row>
    <row r="466" spans="1:17" x14ac:dyDescent="0.25">
      <c r="A466" s="99"/>
      <c r="D466" s="4"/>
      <c r="E466" s="4"/>
      <c r="F466" s="4"/>
      <c r="G466" s="4"/>
      <c r="H466" s="4"/>
      <c r="I466" s="4"/>
      <c r="J466" s="7"/>
      <c r="K466" s="4"/>
      <c r="L466" s="4"/>
      <c r="M466" s="4"/>
      <c r="N466" s="4"/>
      <c r="O466" s="4"/>
      <c r="P466" s="4"/>
      <c r="Q466" s="4"/>
    </row>
    <row r="467" spans="1:17" x14ac:dyDescent="0.25">
      <c r="A467" s="99"/>
      <c r="D467" s="4"/>
      <c r="E467" s="4"/>
      <c r="F467" s="4"/>
      <c r="G467" s="4"/>
      <c r="H467" s="4"/>
      <c r="I467" s="4"/>
      <c r="J467" s="7"/>
      <c r="K467" s="4"/>
      <c r="L467" s="4"/>
      <c r="M467" s="4"/>
      <c r="N467" s="4"/>
      <c r="O467" s="4"/>
      <c r="P467" s="4"/>
      <c r="Q467" s="4"/>
    </row>
    <row r="468" spans="1:17" x14ac:dyDescent="0.25">
      <c r="A468" s="99"/>
      <c r="D468" s="4"/>
      <c r="E468" s="4"/>
      <c r="F468" s="4"/>
      <c r="G468" s="4"/>
      <c r="H468" s="4"/>
      <c r="I468" s="4"/>
      <c r="J468" s="7"/>
      <c r="K468" s="4"/>
      <c r="L468" s="4"/>
      <c r="M468" s="4"/>
      <c r="N468" s="4"/>
      <c r="O468" s="4"/>
      <c r="P468" s="4"/>
      <c r="Q468" s="4"/>
    </row>
    <row r="469" spans="1:17" x14ac:dyDescent="0.25">
      <c r="A469" s="99"/>
      <c r="D469" s="4"/>
      <c r="E469" s="4"/>
      <c r="F469" s="4"/>
      <c r="G469" s="4"/>
      <c r="H469" s="4"/>
      <c r="I469" s="4"/>
      <c r="J469" s="7"/>
      <c r="K469" s="4"/>
      <c r="L469" s="4"/>
      <c r="M469" s="4"/>
      <c r="N469" s="4"/>
      <c r="O469" s="4"/>
      <c r="P469" s="4"/>
      <c r="Q469" s="4"/>
    </row>
    <row r="470" spans="1:17" x14ac:dyDescent="0.25">
      <c r="A470" s="99"/>
      <c r="D470" s="4"/>
      <c r="E470" s="4"/>
      <c r="F470" s="4"/>
      <c r="G470" s="4"/>
      <c r="H470" s="4"/>
      <c r="I470" s="4"/>
      <c r="J470" s="7"/>
      <c r="K470" s="4"/>
      <c r="L470" s="4"/>
      <c r="M470" s="4"/>
      <c r="N470" s="4"/>
      <c r="O470" s="4"/>
      <c r="P470" s="4"/>
      <c r="Q470" s="4"/>
    </row>
    <row r="471" spans="1:17" x14ac:dyDescent="0.25">
      <c r="A471" s="99"/>
      <c r="D471" s="4"/>
      <c r="E471" s="4"/>
      <c r="F471" s="4"/>
      <c r="G471" s="4"/>
      <c r="H471" s="4"/>
      <c r="I471" s="4"/>
      <c r="J471" s="7"/>
      <c r="K471" s="4"/>
      <c r="L471" s="4"/>
      <c r="M471" s="4"/>
      <c r="N471" s="4"/>
      <c r="O471" s="4"/>
      <c r="P471" s="4"/>
      <c r="Q471" s="4"/>
    </row>
    <row r="472" spans="1:17" x14ac:dyDescent="0.25">
      <c r="A472" s="99"/>
      <c r="D472" s="4"/>
      <c r="E472" s="4"/>
      <c r="F472" s="4"/>
      <c r="G472" s="4"/>
      <c r="H472" s="4"/>
      <c r="I472" s="4"/>
      <c r="J472" s="7"/>
      <c r="K472" s="4"/>
      <c r="L472" s="4"/>
      <c r="M472" s="4"/>
      <c r="N472" s="4"/>
      <c r="O472" s="4"/>
      <c r="P472" s="4"/>
      <c r="Q472" s="4"/>
    </row>
    <row r="473" spans="1:17" x14ac:dyDescent="0.25">
      <c r="A473" s="99"/>
      <c r="D473" s="4"/>
      <c r="E473" s="4"/>
      <c r="F473" s="4"/>
      <c r="G473" s="4"/>
      <c r="H473" s="4"/>
      <c r="I473" s="4"/>
      <c r="J473" s="7"/>
      <c r="K473" s="4"/>
      <c r="L473" s="4"/>
      <c r="M473" s="4"/>
      <c r="N473" s="4"/>
      <c r="O473" s="4"/>
      <c r="P473" s="4"/>
      <c r="Q473" s="4"/>
    </row>
    <row r="474" spans="1:17" x14ac:dyDescent="0.25">
      <c r="A474" s="99"/>
      <c r="D474" s="4"/>
      <c r="E474" s="4"/>
      <c r="F474" s="4"/>
      <c r="G474" s="4"/>
      <c r="H474" s="4"/>
      <c r="I474" s="4"/>
      <c r="J474" s="7"/>
      <c r="K474" s="4"/>
      <c r="L474" s="4"/>
      <c r="M474" s="4"/>
      <c r="N474" s="4"/>
      <c r="O474" s="4"/>
      <c r="P474" s="4"/>
      <c r="Q474" s="4"/>
    </row>
    <row r="475" spans="1:17" x14ac:dyDescent="0.25">
      <c r="A475" s="99"/>
      <c r="D475" s="4"/>
      <c r="E475" s="4"/>
      <c r="F475" s="4"/>
      <c r="G475" s="4"/>
      <c r="H475" s="4"/>
      <c r="I475" s="4"/>
      <c r="J475" s="7"/>
      <c r="K475" s="4"/>
      <c r="L475" s="4"/>
      <c r="M475" s="4"/>
      <c r="N475" s="4"/>
      <c r="O475" s="4"/>
      <c r="P475" s="4"/>
      <c r="Q475" s="4"/>
    </row>
    <row r="476" spans="1:17" x14ac:dyDescent="0.25">
      <c r="A476" s="99"/>
      <c r="D476" s="4"/>
      <c r="E476" s="4"/>
      <c r="F476" s="4"/>
      <c r="G476" s="4"/>
      <c r="H476" s="4"/>
      <c r="I476" s="4"/>
      <c r="J476" s="7"/>
      <c r="K476" s="4"/>
      <c r="L476" s="4"/>
      <c r="M476" s="4"/>
      <c r="N476" s="4"/>
      <c r="O476" s="4"/>
      <c r="P476" s="4"/>
      <c r="Q476" s="4"/>
    </row>
    <row r="477" spans="1:17" x14ac:dyDescent="0.25">
      <c r="A477" s="99"/>
      <c r="D477" s="4"/>
      <c r="E477" s="4"/>
      <c r="F477" s="4"/>
      <c r="G477" s="4"/>
      <c r="H477" s="4"/>
      <c r="I477" s="4"/>
      <c r="J477" s="7"/>
      <c r="K477" s="4"/>
      <c r="L477" s="4"/>
      <c r="M477" s="4"/>
      <c r="N477" s="4"/>
      <c r="O477" s="4"/>
      <c r="P477" s="4"/>
      <c r="Q477" s="4"/>
    </row>
    <row r="478" spans="1:17" x14ac:dyDescent="0.25">
      <c r="A478" s="99"/>
      <c r="D478" s="4"/>
      <c r="E478" s="4"/>
      <c r="F478" s="4"/>
      <c r="G478" s="4"/>
      <c r="H478" s="4"/>
      <c r="I478" s="4"/>
      <c r="J478" s="7"/>
      <c r="K478" s="4"/>
      <c r="L478" s="4"/>
      <c r="M478" s="4"/>
      <c r="N478" s="4"/>
      <c r="O478" s="4"/>
      <c r="P478" s="4"/>
      <c r="Q478" s="4"/>
    </row>
    <row r="479" spans="1:17" x14ac:dyDescent="0.25">
      <c r="A479" s="99"/>
      <c r="D479" s="4"/>
      <c r="E479" s="4"/>
      <c r="F479" s="4"/>
      <c r="G479" s="4"/>
      <c r="H479" s="4"/>
      <c r="I479" s="4"/>
      <c r="J479" s="7"/>
      <c r="K479" s="4"/>
      <c r="L479" s="4"/>
      <c r="M479" s="4"/>
      <c r="N479" s="4"/>
      <c r="O479" s="4"/>
      <c r="P479" s="4"/>
      <c r="Q479" s="4"/>
    </row>
    <row r="480" spans="1:17" x14ac:dyDescent="0.25">
      <c r="A480" s="99"/>
      <c r="D480" s="4"/>
      <c r="E480" s="4"/>
      <c r="F480" s="4"/>
      <c r="G480" s="4"/>
      <c r="H480" s="4"/>
      <c r="I480" s="4"/>
      <c r="J480" s="7"/>
      <c r="K480" s="4"/>
      <c r="L480" s="4"/>
      <c r="M480" s="4"/>
      <c r="N480" s="4"/>
      <c r="O480" s="4"/>
      <c r="P480" s="4"/>
      <c r="Q480" s="4"/>
    </row>
    <row r="481" spans="1:17" x14ac:dyDescent="0.25">
      <c r="A481" s="99"/>
      <c r="D481" s="4"/>
      <c r="E481" s="4"/>
      <c r="F481" s="4"/>
      <c r="G481" s="4"/>
      <c r="H481" s="4"/>
      <c r="I481" s="4"/>
      <c r="J481" s="7"/>
      <c r="K481" s="4"/>
      <c r="L481" s="4"/>
      <c r="M481" s="4"/>
      <c r="N481" s="4"/>
      <c r="O481" s="4"/>
      <c r="P481" s="4"/>
      <c r="Q481" s="4"/>
    </row>
    <row r="482" spans="1:17" x14ac:dyDescent="0.25">
      <c r="A482" s="99"/>
      <c r="D482" s="4"/>
      <c r="E482" s="4"/>
      <c r="F482" s="4"/>
      <c r="G482" s="4"/>
      <c r="H482" s="4"/>
      <c r="I482" s="4"/>
      <c r="J482" s="7"/>
      <c r="K482" s="4"/>
      <c r="L482" s="4"/>
      <c r="M482" s="4"/>
      <c r="N482" s="4"/>
      <c r="O482" s="4"/>
      <c r="P482" s="4"/>
      <c r="Q482" s="4"/>
    </row>
    <row r="483" spans="1:17" x14ac:dyDescent="0.25">
      <c r="A483" s="99"/>
      <c r="D483" s="4"/>
      <c r="E483" s="4"/>
      <c r="F483" s="4"/>
      <c r="G483" s="4"/>
      <c r="H483" s="4"/>
      <c r="I483" s="4"/>
      <c r="J483" s="7"/>
      <c r="K483" s="4"/>
      <c r="L483" s="4"/>
      <c r="M483" s="4"/>
      <c r="N483" s="4"/>
      <c r="O483" s="4"/>
      <c r="P483" s="4"/>
      <c r="Q483" s="4"/>
    </row>
    <row r="484" spans="1:17" x14ac:dyDescent="0.25">
      <c r="A484" s="99"/>
      <c r="D484" s="4"/>
      <c r="E484" s="4"/>
      <c r="F484" s="4"/>
      <c r="G484" s="4"/>
      <c r="H484" s="4"/>
      <c r="I484" s="4"/>
      <c r="J484" s="7"/>
      <c r="K484" s="4"/>
      <c r="L484" s="4"/>
      <c r="M484" s="4"/>
      <c r="N484" s="4"/>
      <c r="O484" s="4"/>
      <c r="P484" s="4"/>
      <c r="Q484" s="4"/>
    </row>
    <row r="485" spans="1:17" x14ac:dyDescent="0.25">
      <c r="A485" s="99"/>
      <c r="D485" s="4"/>
      <c r="E485" s="4"/>
      <c r="F485" s="4"/>
      <c r="G485" s="4"/>
      <c r="H485" s="4"/>
      <c r="I485" s="4"/>
      <c r="J485" s="7"/>
      <c r="K485" s="4"/>
      <c r="L485" s="4"/>
      <c r="M485" s="4"/>
      <c r="N485" s="4"/>
      <c r="O485" s="4"/>
      <c r="P485" s="4"/>
      <c r="Q485" s="4"/>
    </row>
    <row r="486" spans="1:17" x14ac:dyDescent="0.25">
      <c r="A486" s="99"/>
      <c r="D486" s="4"/>
      <c r="E486" s="4"/>
      <c r="F486" s="4"/>
      <c r="G486" s="4"/>
      <c r="H486" s="4"/>
      <c r="I486" s="4"/>
      <c r="J486" s="7"/>
      <c r="K486" s="4"/>
      <c r="L486" s="4"/>
      <c r="M486" s="4"/>
      <c r="N486" s="4"/>
      <c r="O486" s="4"/>
      <c r="P486" s="4"/>
      <c r="Q486" s="4"/>
    </row>
    <row r="487" spans="1:17" x14ac:dyDescent="0.25">
      <c r="A487" s="99"/>
      <c r="D487" s="4"/>
      <c r="E487" s="4"/>
      <c r="F487" s="4"/>
      <c r="G487" s="4"/>
      <c r="H487" s="4"/>
      <c r="I487" s="4"/>
      <c r="J487" s="7"/>
      <c r="K487" s="4"/>
      <c r="L487" s="4"/>
      <c r="M487" s="4"/>
      <c r="N487" s="4"/>
      <c r="O487" s="4"/>
      <c r="P487" s="4"/>
      <c r="Q487" s="4"/>
    </row>
    <row r="488" spans="1:17" x14ac:dyDescent="0.25">
      <c r="A488" s="99"/>
      <c r="D488" s="4"/>
      <c r="E488" s="4"/>
      <c r="F488" s="4"/>
      <c r="G488" s="4"/>
      <c r="H488" s="4"/>
      <c r="I488" s="4"/>
      <c r="J488" s="7"/>
      <c r="K488" s="4"/>
      <c r="L488" s="4"/>
      <c r="M488" s="4"/>
      <c r="N488" s="4"/>
      <c r="O488" s="4"/>
      <c r="P488" s="4"/>
      <c r="Q488" s="4"/>
    </row>
    <row r="489" spans="1:17" x14ac:dyDescent="0.25">
      <c r="A489" s="99"/>
      <c r="D489" s="4"/>
      <c r="E489" s="4"/>
      <c r="F489" s="4"/>
      <c r="G489" s="4"/>
      <c r="H489" s="4"/>
      <c r="I489" s="4"/>
      <c r="J489" s="7"/>
      <c r="K489" s="4"/>
      <c r="L489" s="4"/>
      <c r="M489" s="4"/>
      <c r="N489" s="4"/>
      <c r="O489" s="4"/>
      <c r="P489" s="4"/>
      <c r="Q489" s="4"/>
    </row>
    <row r="490" spans="1:17" x14ac:dyDescent="0.25">
      <c r="A490" s="99"/>
      <c r="D490" s="4"/>
      <c r="E490" s="4"/>
      <c r="F490" s="4"/>
      <c r="G490" s="4"/>
      <c r="H490" s="4"/>
      <c r="I490" s="4"/>
      <c r="J490" s="7"/>
      <c r="K490" s="4"/>
      <c r="L490" s="4"/>
      <c r="M490" s="4"/>
      <c r="N490" s="4"/>
      <c r="O490" s="4"/>
      <c r="P490" s="4"/>
      <c r="Q490" s="4"/>
    </row>
    <row r="491" spans="1:17" x14ac:dyDescent="0.25">
      <c r="A491" s="99"/>
      <c r="D491" s="4"/>
      <c r="E491" s="4"/>
      <c r="F491" s="4"/>
      <c r="G491" s="4"/>
      <c r="H491" s="4"/>
      <c r="I491" s="4"/>
      <c r="J491" s="7"/>
      <c r="K491" s="4"/>
      <c r="L491" s="4"/>
      <c r="M491" s="4"/>
      <c r="N491" s="4"/>
      <c r="O491" s="4"/>
      <c r="P491" s="4"/>
      <c r="Q491" s="4"/>
    </row>
    <row r="492" spans="1:17" x14ac:dyDescent="0.25">
      <c r="A492" s="99"/>
      <c r="D492" s="4"/>
      <c r="E492" s="4"/>
      <c r="F492" s="4"/>
      <c r="G492" s="4"/>
      <c r="H492" s="4"/>
      <c r="I492" s="4"/>
      <c r="J492" s="7"/>
      <c r="K492" s="4"/>
      <c r="L492" s="4"/>
      <c r="M492" s="4"/>
      <c r="N492" s="4"/>
      <c r="O492" s="4"/>
      <c r="P492" s="4"/>
      <c r="Q492" s="4"/>
    </row>
    <row r="493" spans="1:17" x14ac:dyDescent="0.25">
      <c r="A493" s="99"/>
      <c r="D493" s="4"/>
      <c r="E493" s="4"/>
      <c r="F493" s="4"/>
      <c r="G493" s="4"/>
      <c r="H493" s="4"/>
      <c r="I493" s="4"/>
      <c r="J493" s="7"/>
      <c r="K493" s="4"/>
      <c r="L493" s="4"/>
      <c r="M493" s="4"/>
      <c r="N493" s="4"/>
      <c r="O493" s="4"/>
      <c r="P493" s="4"/>
      <c r="Q493" s="4"/>
    </row>
    <row r="494" spans="1:17" x14ac:dyDescent="0.25">
      <c r="A494" s="99"/>
      <c r="D494" s="4"/>
      <c r="E494" s="4"/>
      <c r="F494" s="4"/>
      <c r="G494" s="4"/>
      <c r="H494" s="4"/>
      <c r="I494" s="4"/>
      <c r="J494" s="7"/>
      <c r="K494" s="4"/>
      <c r="L494" s="4"/>
      <c r="M494" s="4"/>
      <c r="N494" s="4"/>
      <c r="O494" s="4"/>
      <c r="P494" s="4"/>
      <c r="Q494" s="4"/>
    </row>
    <row r="495" spans="1:17" x14ac:dyDescent="0.25">
      <c r="A495" s="99"/>
      <c r="D495" s="4"/>
      <c r="E495" s="4"/>
      <c r="F495" s="4"/>
      <c r="G495" s="4"/>
      <c r="H495" s="4"/>
      <c r="I495" s="4"/>
      <c r="J495" s="7"/>
      <c r="K495" s="4"/>
      <c r="L495" s="4"/>
      <c r="M495" s="4"/>
      <c r="N495" s="4"/>
      <c r="O495" s="4"/>
      <c r="P495" s="4"/>
      <c r="Q495" s="4"/>
    </row>
    <row r="496" spans="1:17" x14ac:dyDescent="0.25">
      <c r="A496" s="99"/>
      <c r="D496" s="4"/>
      <c r="E496" s="4"/>
      <c r="F496" s="4"/>
      <c r="G496" s="4"/>
      <c r="H496" s="4"/>
      <c r="I496" s="4"/>
      <c r="J496" s="7"/>
      <c r="K496" s="4"/>
      <c r="L496" s="4"/>
      <c r="M496" s="4"/>
      <c r="N496" s="4"/>
      <c r="O496" s="4"/>
      <c r="P496" s="4"/>
      <c r="Q496" s="4"/>
    </row>
    <row r="497" spans="1:17" x14ac:dyDescent="0.25">
      <c r="A497" s="99"/>
      <c r="D497" s="4"/>
      <c r="E497" s="4"/>
      <c r="F497" s="4"/>
      <c r="G497" s="4"/>
      <c r="H497" s="4"/>
      <c r="I497" s="4"/>
      <c r="J497" s="7"/>
      <c r="K497" s="4"/>
      <c r="L497" s="4"/>
      <c r="M497" s="4"/>
      <c r="N497" s="4"/>
      <c r="O497" s="4"/>
      <c r="P497" s="4"/>
      <c r="Q497" s="4"/>
    </row>
    <row r="498" spans="1:17" x14ac:dyDescent="0.25">
      <c r="A498" s="99"/>
      <c r="D498" s="4"/>
      <c r="E498" s="4"/>
      <c r="F498" s="4"/>
      <c r="G498" s="4"/>
      <c r="H498" s="4"/>
      <c r="I498" s="4"/>
      <c r="J498" s="7"/>
      <c r="K498" s="4"/>
      <c r="L498" s="4"/>
      <c r="M498" s="4"/>
      <c r="N498" s="4"/>
      <c r="O498" s="4"/>
      <c r="P498" s="4"/>
      <c r="Q498" s="4"/>
    </row>
    <row r="499" spans="1:17" x14ac:dyDescent="0.25">
      <c r="A499" s="99"/>
      <c r="D499" s="4"/>
      <c r="E499" s="4"/>
      <c r="F499" s="4"/>
      <c r="G499" s="4"/>
      <c r="H499" s="4"/>
      <c r="I499" s="4"/>
      <c r="J499" s="7"/>
      <c r="K499" s="4"/>
      <c r="L499" s="4"/>
      <c r="M499" s="4"/>
      <c r="N499" s="4"/>
      <c r="O499" s="4"/>
      <c r="P499" s="4"/>
      <c r="Q499" s="4"/>
    </row>
    <row r="500" spans="1:17" x14ac:dyDescent="0.25">
      <c r="A500" s="99"/>
      <c r="D500" s="4"/>
      <c r="E500" s="4"/>
      <c r="F500" s="4"/>
      <c r="G500" s="4"/>
      <c r="H500" s="4"/>
      <c r="I500" s="4"/>
      <c r="J500" s="7"/>
      <c r="K500" s="4"/>
      <c r="L500" s="4"/>
      <c r="M500" s="4"/>
      <c r="N500" s="4"/>
      <c r="O500" s="4"/>
      <c r="P500" s="4"/>
      <c r="Q500" s="4"/>
    </row>
    <row r="501" spans="1:17" x14ac:dyDescent="0.25">
      <c r="A501" s="99"/>
      <c r="D501" s="4"/>
      <c r="E501" s="4"/>
      <c r="F501" s="4"/>
      <c r="G501" s="4"/>
      <c r="H501" s="4"/>
      <c r="I501" s="4"/>
      <c r="J501" s="7"/>
      <c r="K501" s="4"/>
      <c r="L501" s="4"/>
      <c r="M501" s="4"/>
      <c r="N501" s="4"/>
      <c r="O501" s="4"/>
      <c r="P501" s="4"/>
      <c r="Q501" s="4"/>
    </row>
    <row r="502" spans="1:17" x14ac:dyDescent="0.25">
      <c r="A502" s="99"/>
      <c r="D502" s="4"/>
      <c r="E502" s="4"/>
      <c r="F502" s="4"/>
      <c r="G502" s="4"/>
      <c r="H502" s="4"/>
      <c r="I502" s="4"/>
      <c r="J502" s="7"/>
      <c r="K502" s="4"/>
      <c r="L502" s="4"/>
      <c r="M502" s="4"/>
      <c r="N502" s="4"/>
      <c r="O502" s="4"/>
      <c r="P502" s="4"/>
      <c r="Q502" s="4"/>
    </row>
    <row r="503" spans="1:17" x14ac:dyDescent="0.25">
      <c r="A503" s="99"/>
      <c r="D503" s="4"/>
      <c r="E503" s="4"/>
      <c r="F503" s="4"/>
      <c r="G503" s="4"/>
      <c r="H503" s="4"/>
      <c r="I503" s="4"/>
      <c r="J503" s="7"/>
      <c r="K503" s="4"/>
      <c r="L503" s="4"/>
      <c r="M503" s="4"/>
      <c r="N503" s="4"/>
      <c r="O503" s="4"/>
      <c r="P503" s="4"/>
      <c r="Q503" s="4"/>
    </row>
    <row r="504" spans="1:17" x14ac:dyDescent="0.25">
      <c r="A504" s="99"/>
      <c r="D504" s="4"/>
      <c r="E504" s="4"/>
      <c r="F504" s="4"/>
      <c r="G504" s="4"/>
      <c r="H504" s="4"/>
      <c r="I504" s="4"/>
      <c r="J504" s="7"/>
      <c r="K504" s="4"/>
      <c r="L504" s="4"/>
      <c r="M504" s="4"/>
      <c r="N504" s="4"/>
      <c r="O504" s="4"/>
      <c r="P504" s="4"/>
      <c r="Q504" s="4"/>
    </row>
    <row r="505" spans="1:17" x14ac:dyDescent="0.25">
      <c r="A505" s="99"/>
      <c r="D505" s="4"/>
      <c r="E505" s="4"/>
      <c r="F505" s="4"/>
      <c r="G505" s="4"/>
      <c r="H505" s="4"/>
      <c r="I505" s="4"/>
      <c r="J505" s="7"/>
      <c r="K505" s="4"/>
      <c r="L505" s="4"/>
      <c r="M505" s="4"/>
      <c r="N505" s="4"/>
      <c r="O505" s="4"/>
      <c r="P505" s="4"/>
      <c r="Q505" s="4"/>
    </row>
    <row r="506" spans="1:17" x14ac:dyDescent="0.25">
      <c r="A506" s="99"/>
      <c r="D506" s="4"/>
      <c r="E506" s="4"/>
      <c r="F506" s="4"/>
      <c r="G506" s="4"/>
      <c r="H506" s="4"/>
      <c r="I506" s="4"/>
      <c r="J506" s="7"/>
      <c r="K506" s="4"/>
      <c r="L506" s="4"/>
      <c r="M506" s="4"/>
      <c r="N506" s="4"/>
      <c r="O506" s="4"/>
      <c r="P506" s="4"/>
      <c r="Q506" s="4"/>
    </row>
    <row r="507" spans="1:17" x14ac:dyDescent="0.25">
      <c r="A507" s="99"/>
      <c r="D507" s="4"/>
      <c r="E507" s="4"/>
      <c r="F507" s="4"/>
      <c r="G507" s="4"/>
      <c r="H507" s="4"/>
      <c r="I507" s="4"/>
      <c r="J507" s="7"/>
      <c r="K507" s="4"/>
      <c r="L507" s="4"/>
      <c r="M507" s="4"/>
      <c r="N507" s="4"/>
      <c r="O507" s="4"/>
      <c r="P507" s="4"/>
      <c r="Q507" s="4"/>
    </row>
    <row r="508" spans="1:17" x14ac:dyDescent="0.25">
      <c r="A508" s="99"/>
      <c r="D508" s="4"/>
      <c r="E508" s="4"/>
      <c r="F508" s="4"/>
      <c r="G508" s="4"/>
      <c r="H508" s="4"/>
      <c r="I508" s="4"/>
      <c r="J508" s="7"/>
      <c r="K508" s="4"/>
      <c r="L508" s="4"/>
      <c r="M508" s="4"/>
      <c r="N508" s="4"/>
      <c r="O508" s="4"/>
      <c r="P508" s="4"/>
      <c r="Q508" s="4"/>
    </row>
    <row r="509" spans="1:17" x14ac:dyDescent="0.25">
      <c r="A509" s="99"/>
      <c r="D509" s="4"/>
      <c r="E509" s="4"/>
      <c r="F509" s="4"/>
      <c r="G509" s="4"/>
      <c r="H509" s="4"/>
      <c r="I509" s="4"/>
      <c r="J509" s="7"/>
      <c r="K509" s="4"/>
      <c r="L509" s="4"/>
      <c r="M509" s="4"/>
      <c r="N509" s="4"/>
      <c r="O509" s="4"/>
      <c r="P509" s="4"/>
      <c r="Q509" s="4"/>
    </row>
    <row r="510" spans="1:17" x14ac:dyDescent="0.25">
      <c r="A510" s="99"/>
      <c r="D510" s="4"/>
      <c r="E510" s="4"/>
      <c r="F510" s="4"/>
      <c r="G510" s="4"/>
      <c r="H510" s="4"/>
      <c r="I510" s="4"/>
      <c r="J510" s="7"/>
      <c r="K510" s="4"/>
      <c r="L510" s="4"/>
      <c r="M510" s="4"/>
      <c r="N510" s="4"/>
      <c r="O510" s="4"/>
      <c r="P510" s="4"/>
      <c r="Q510" s="4"/>
    </row>
    <row r="511" spans="1:17" x14ac:dyDescent="0.25">
      <c r="A511" s="99"/>
      <c r="D511" s="4"/>
      <c r="E511" s="4"/>
      <c r="F511" s="4"/>
      <c r="G511" s="4"/>
      <c r="H511" s="4"/>
      <c r="I511" s="4"/>
      <c r="J511" s="7"/>
      <c r="K511" s="4"/>
      <c r="L511" s="4"/>
      <c r="M511" s="4"/>
      <c r="N511" s="4"/>
      <c r="O511" s="4"/>
      <c r="P511" s="4"/>
      <c r="Q511" s="4"/>
    </row>
    <row r="512" spans="1:17" x14ac:dyDescent="0.25">
      <c r="A512" s="99"/>
      <c r="D512" s="4"/>
      <c r="E512" s="4"/>
      <c r="F512" s="4"/>
      <c r="G512" s="4"/>
      <c r="H512" s="4"/>
      <c r="I512" s="4"/>
      <c r="J512" s="7"/>
      <c r="K512" s="4"/>
      <c r="L512" s="4"/>
      <c r="M512" s="4"/>
      <c r="N512" s="4"/>
      <c r="O512" s="4"/>
      <c r="P512" s="4"/>
      <c r="Q512" s="4"/>
    </row>
    <row r="513" spans="1:17" x14ac:dyDescent="0.25">
      <c r="A513" s="99"/>
      <c r="D513" s="4"/>
      <c r="E513" s="4"/>
      <c r="F513" s="4"/>
      <c r="G513" s="4"/>
      <c r="H513" s="4"/>
      <c r="I513" s="4"/>
      <c r="J513" s="7"/>
      <c r="K513" s="4"/>
      <c r="L513" s="4"/>
      <c r="M513" s="4"/>
      <c r="N513" s="4"/>
      <c r="O513" s="4"/>
      <c r="P513" s="4"/>
      <c r="Q513" s="4"/>
    </row>
    <row r="514" spans="1:17" x14ac:dyDescent="0.25">
      <c r="A514" s="99"/>
      <c r="D514" s="4"/>
      <c r="E514" s="4"/>
      <c r="F514" s="4"/>
      <c r="G514" s="4"/>
      <c r="H514" s="4"/>
      <c r="I514" s="4"/>
      <c r="J514" s="7"/>
      <c r="K514" s="4"/>
      <c r="L514" s="4"/>
      <c r="M514" s="4"/>
      <c r="N514" s="4"/>
      <c r="O514" s="4"/>
      <c r="P514" s="4"/>
      <c r="Q514" s="4"/>
    </row>
    <row r="515" spans="1:17" x14ac:dyDescent="0.25">
      <c r="A515" s="99"/>
      <c r="D515" s="4"/>
      <c r="E515" s="4"/>
      <c r="F515" s="4"/>
      <c r="G515" s="4"/>
      <c r="H515" s="4"/>
      <c r="I515" s="4"/>
      <c r="J515" s="7"/>
      <c r="K515" s="4"/>
      <c r="L515" s="4"/>
      <c r="M515" s="4"/>
      <c r="N515" s="4"/>
      <c r="O515" s="4"/>
      <c r="P515" s="4"/>
      <c r="Q515" s="4"/>
    </row>
    <row r="516" spans="1:17" x14ac:dyDescent="0.25">
      <c r="A516" s="99"/>
      <c r="D516" s="4"/>
      <c r="E516" s="4"/>
      <c r="F516" s="4"/>
      <c r="G516" s="4"/>
      <c r="H516" s="4"/>
      <c r="I516" s="4"/>
      <c r="J516" s="7"/>
      <c r="K516" s="4"/>
      <c r="L516" s="4"/>
      <c r="M516" s="4"/>
      <c r="N516" s="4"/>
      <c r="O516" s="4"/>
      <c r="P516" s="4"/>
      <c r="Q516" s="4"/>
    </row>
    <row r="517" spans="1:17" x14ac:dyDescent="0.25">
      <c r="A517" s="99"/>
      <c r="D517" s="4"/>
      <c r="E517" s="4"/>
      <c r="F517" s="4"/>
      <c r="G517" s="4"/>
      <c r="H517" s="4"/>
      <c r="I517" s="4"/>
      <c r="J517" s="7"/>
      <c r="K517" s="4"/>
      <c r="L517" s="4"/>
      <c r="M517" s="4"/>
      <c r="N517" s="4"/>
      <c r="O517" s="4"/>
      <c r="P517" s="4"/>
      <c r="Q517" s="4"/>
    </row>
    <row r="518" spans="1:17" x14ac:dyDescent="0.25">
      <c r="A518" s="99"/>
      <c r="D518" s="4"/>
      <c r="E518" s="4"/>
      <c r="F518" s="4"/>
      <c r="G518" s="4"/>
      <c r="H518" s="4"/>
      <c r="I518" s="4"/>
      <c r="J518" s="7"/>
      <c r="K518" s="4"/>
      <c r="L518" s="4"/>
      <c r="M518" s="4"/>
      <c r="N518" s="4"/>
      <c r="O518" s="4"/>
      <c r="P518" s="4"/>
      <c r="Q518" s="4"/>
    </row>
    <row r="519" spans="1:17" x14ac:dyDescent="0.25">
      <c r="A519" s="99"/>
      <c r="D519" s="4"/>
      <c r="E519" s="4"/>
      <c r="F519" s="4"/>
      <c r="G519" s="4"/>
      <c r="H519" s="4"/>
      <c r="I519" s="4"/>
      <c r="J519" s="7"/>
      <c r="K519" s="4"/>
      <c r="L519" s="4"/>
      <c r="M519" s="4"/>
      <c r="N519" s="4"/>
      <c r="O519" s="4"/>
      <c r="P519" s="4"/>
      <c r="Q519" s="4"/>
    </row>
    <row r="520" spans="1:17" x14ac:dyDescent="0.25">
      <c r="A520" s="99"/>
      <c r="D520" s="4"/>
      <c r="E520" s="4"/>
      <c r="F520" s="4"/>
      <c r="G520" s="4"/>
      <c r="H520" s="4"/>
      <c r="I520" s="4"/>
      <c r="J520" s="7"/>
      <c r="K520" s="4"/>
      <c r="L520" s="4"/>
      <c r="M520" s="4"/>
      <c r="N520" s="4"/>
      <c r="O520" s="4"/>
      <c r="P520" s="4"/>
      <c r="Q520" s="4"/>
    </row>
    <row r="521" spans="1:17" x14ac:dyDescent="0.25">
      <c r="A521" s="99"/>
      <c r="D521" s="4"/>
      <c r="E521" s="4"/>
      <c r="F521" s="4"/>
      <c r="G521" s="4"/>
      <c r="H521" s="4"/>
      <c r="I521" s="4"/>
      <c r="J521" s="7"/>
      <c r="K521" s="4"/>
      <c r="L521" s="4"/>
      <c r="M521" s="4"/>
      <c r="N521" s="4"/>
      <c r="O521" s="4"/>
      <c r="P521" s="4"/>
      <c r="Q521" s="4"/>
    </row>
    <row r="522" spans="1:17" x14ac:dyDescent="0.25">
      <c r="A522" s="99"/>
      <c r="D522" s="4"/>
      <c r="E522" s="4"/>
      <c r="F522" s="4"/>
      <c r="G522" s="4"/>
      <c r="H522" s="4"/>
      <c r="I522" s="4"/>
      <c r="J522" s="7"/>
      <c r="K522" s="4"/>
      <c r="L522" s="4"/>
      <c r="M522" s="4"/>
      <c r="N522" s="4"/>
      <c r="O522" s="4"/>
      <c r="P522" s="4"/>
      <c r="Q522" s="4"/>
    </row>
    <row r="523" spans="1:17" x14ac:dyDescent="0.25">
      <c r="A523" s="99"/>
      <c r="D523" s="4"/>
      <c r="E523" s="4"/>
      <c r="F523" s="4"/>
      <c r="G523" s="4"/>
      <c r="H523" s="4"/>
      <c r="I523" s="4"/>
      <c r="J523" s="7"/>
      <c r="K523" s="4"/>
      <c r="L523" s="4"/>
      <c r="M523" s="4"/>
      <c r="N523" s="4"/>
      <c r="O523" s="4"/>
      <c r="P523" s="4"/>
      <c r="Q523" s="4"/>
    </row>
    <row r="524" spans="1:17" x14ac:dyDescent="0.25">
      <c r="A524" s="99"/>
      <c r="D524" s="4"/>
      <c r="E524" s="4"/>
      <c r="F524" s="4"/>
      <c r="G524" s="4"/>
      <c r="H524" s="4"/>
      <c r="I524" s="4"/>
      <c r="J524" s="7"/>
      <c r="K524" s="4"/>
      <c r="L524" s="4"/>
      <c r="M524" s="4"/>
      <c r="N524" s="4"/>
      <c r="O524" s="4"/>
      <c r="P524" s="4"/>
      <c r="Q524" s="4"/>
    </row>
    <row r="525" spans="1:17" x14ac:dyDescent="0.25">
      <c r="A525" s="99"/>
      <c r="D525" s="4"/>
      <c r="E525" s="4"/>
      <c r="F525" s="4"/>
      <c r="G525" s="4"/>
      <c r="H525" s="4"/>
      <c r="I525" s="4"/>
      <c r="J525" s="7"/>
      <c r="K525" s="4"/>
      <c r="L525" s="4"/>
      <c r="M525" s="4"/>
      <c r="N525" s="4"/>
      <c r="O525" s="4"/>
      <c r="P525" s="4"/>
      <c r="Q525" s="4"/>
    </row>
    <row r="526" spans="1:17" x14ac:dyDescent="0.25">
      <c r="A526" s="99"/>
      <c r="D526" s="4"/>
      <c r="E526" s="4"/>
      <c r="F526" s="4"/>
      <c r="G526" s="4"/>
      <c r="H526" s="4"/>
      <c r="I526" s="4"/>
      <c r="J526" s="7"/>
      <c r="K526" s="4"/>
      <c r="L526" s="4"/>
      <c r="M526" s="4"/>
      <c r="N526" s="4"/>
      <c r="O526" s="4"/>
      <c r="P526" s="4"/>
      <c r="Q526" s="4"/>
    </row>
    <row r="527" spans="1:17" x14ac:dyDescent="0.25">
      <c r="A527" s="99"/>
      <c r="D527" s="4"/>
      <c r="E527" s="4"/>
      <c r="F527" s="4"/>
      <c r="G527" s="4"/>
      <c r="H527" s="4"/>
      <c r="I527" s="4"/>
      <c r="J527" s="7"/>
      <c r="K527" s="4"/>
      <c r="L527" s="4"/>
      <c r="M527" s="4"/>
      <c r="N527" s="4"/>
      <c r="O527" s="4"/>
      <c r="P527" s="4"/>
      <c r="Q527" s="4"/>
    </row>
    <row r="528" spans="1:17" x14ac:dyDescent="0.25">
      <c r="A528" s="99"/>
      <c r="D528" s="4"/>
      <c r="E528" s="4"/>
      <c r="F528" s="4"/>
      <c r="G528" s="4"/>
      <c r="H528" s="4"/>
      <c r="I528" s="4"/>
      <c r="J528" s="7"/>
      <c r="K528" s="4"/>
      <c r="L528" s="4"/>
      <c r="M528" s="4"/>
      <c r="N528" s="4"/>
      <c r="O528" s="4"/>
      <c r="P528" s="4"/>
      <c r="Q528" s="4"/>
    </row>
    <row r="529" spans="1:17" x14ac:dyDescent="0.25">
      <c r="A529" s="99"/>
      <c r="D529" s="4"/>
      <c r="E529" s="4"/>
      <c r="F529" s="4"/>
      <c r="G529" s="4"/>
      <c r="H529" s="4"/>
      <c r="I529" s="4"/>
      <c r="J529" s="7"/>
      <c r="K529" s="4"/>
      <c r="L529" s="4"/>
      <c r="M529" s="4"/>
      <c r="N529" s="4"/>
      <c r="O529" s="4"/>
      <c r="P529" s="4"/>
      <c r="Q529" s="4"/>
    </row>
    <row r="530" spans="1:17" x14ac:dyDescent="0.25">
      <c r="A530" s="99"/>
      <c r="D530" s="4"/>
      <c r="E530" s="4"/>
      <c r="F530" s="4"/>
      <c r="G530" s="4"/>
      <c r="H530" s="4"/>
      <c r="I530" s="4"/>
      <c r="J530" s="7"/>
      <c r="K530" s="4"/>
      <c r="L530" s="4"/>
      <c r="M530" s="4"/>
      <c r="N530" s="4"/>
      <c r="O530" s="4"/>
      <c r="P530" s="4"/>
      <c r="Q530" s="4"/>
    </row>
    <row r="531" spans="1:17" x14ac:dyDescent="0.25">
      <c r="A531" s="99"/>
      <c r="D531" s="4"/>
      <c r="E531" s="4"/>
      <c r="F531" s="4"/>
      <c r="G531" s="4"/>
      <c r="H531" s="4"/>
      <c r="I531" s="4"/>
      <c r="J531" s="7"/>
      <c r="K531" s="4"/>
      <c r="L531" s="4"/>
      <c r="M531" s="4"/>
      <c r="N531" s="4"/>
      <c r="O531" s="4"/>
      <c r="P531" s="4"/>
      <c r="Q531" s="4"/>
    </row>
    <row r="532" spans="1:17" x14ac:dyDescent="0.25">
      <c r="A532" s="99"/>
      <c r="D532" s="4"/>
      <c r="E532" s="4"/>
      <c r="F532" s="4"/>
      <c r="G532" s="4"/>
      <c r="H532" s="4"/>
      <c r="I532" s="4"/>
      <c r="J532" s="7"/>
      <c r="K532" s="4"/>
      <c r="L532" s="4"/>
      <c r="M532" s="4"/>
      <c r="N532" s="4"/>
      <c r="O532" s="4"/>
      <c r="P532" s="4"/>
      <c r="Q532" s="4"/>
    </row>
    <row r="533" spans="1:17" x14ac:dyDescent="0.25">
      <c r="A533" s="99"/>
      <c r="D533" s="4"/>
      <c r="E533" s="4"/>
      <c r="F533" s="4"/>
      <c r="G533" s="4"/>
      <c r="H533" s="4"/>
      <c r="I533" s="4"/>
      <c r="J533" s="7"/>
      <c r="K533" s="4"/>
      <c r="L533" s="4"/>
      <c r="M533" s="4"/>
      <c r="N533" s="4"/>
      <c r="O533" s="4"/>
      <c r="P533" s="4"/>
      <c r="Q533" s="4"/>
    </row>
    <row r="534" spans="1:17" x14ac:dyDescent="0.25">
      <c r="A534" s="99"/>
      <c r="D534" s="4"/>
      <c r="E534" s="4"/>
      <c r="F534" s="4"/>
      <c r="G534" s="4"/>
      <c r="H534" s="4"/>
      <c r="I534" s="4"/>
      <c r="J534" s="7"/>
      <c r="K534" s="4"/>
      <c r="L534" s="4"/>
      <c r="M534" s="4"/>
      <c r="N534" s="4"/>
      <c r="O534" s="4"/>
      <c r="P534" s="4"/>
      <c r="Q534" s="4"/>
    </row>
    <row r="535" spans="1:17" x14ac:dyDescent="0.25">
      <c r="A535" s="99"/>
      <c r="D535" s="4"/>
      <c r="E535" s="4"/>
      <c r="F535" s="4"/>
      <c r="G535" s="4"/>
      <c r="H535" s="4"/>
      <c r="I535" s="4"/>
      <c r="J535" s="7"/>
      <c r="K535" s="4"/>
      <c r="L535" s="4"/>
      <c r="M535" s="4"/>
      <c r="N535" s="4"/>
      <c r="O535" s="4"/>
      <c r="P535" s="4"/>
      <c r="Q535" s="4"/>
    </row>
    <row r="536" spans="1:17" x14ac:dyDescent="0.25">
      <c r="A536" s="99"/>
      <c r="D536" s="4"/>
      <c r="E536" s="4"/>
      <c r="F536" s="4"/>
      <c r="G536" s="4"/>
      <c r="H536" s="4"/>
      <c r="I536" s="4"/>
      <c r="J536" s="7"/>
      <c r="K536" s="4"/>
      <c r="L536" s="4"/>
      <c r="M536" s="4"/>
      <c r="N536" s="4"/>
      <c r="O536" s="4"/>
      <c r="P536" s="4"/>
      <c r="Q536" s="4"/>
    </row>
    <row r="537" spans="1:17" x14ac:dyDescent="0.25">
      <c r="A537" s="99"/>
      <c r="D537" s="4"/>
      <c r="E537" s="4"/>
      <c r="F537" s="4"/>
      <c r="G537" s="4"/>
      <c r="H537" s="4"/>
      <c r="I537" s="4"/>
      <c r="J537" s="7"/>
      <c r="K537" s="4"/>
      <c r="L537" s="4"/>
      <c r="M537" s="4"/>
      <c r="N537" s="4"/>
      <c r="O537" s="4"/>
      <c r="P537" s="4"/>
      <c r="Q537" s="4"/>
    </row>
    <row r="538" spans="1:17" x14ac:dyDescent="0.25">
      <c r="A538" s="99"/>
      <c r="D538" s="4"/>
      <c r="E538" s="4"/>
      <c r="F538" s="4"/>
      <c r="G538" s="4"/>
      <c r="H538" s="4"/>
      <c r="I538" s="4"/>
      <c r="J538" s="7"/>
      <c r="K538" s="4"/>
      <c r="L538" s="4"/>
      <c r="M538" s="4"/>
      <c r="N538" s="4"/>
      <c r="O538" s="4"/>
      <c r="P538" s="4"/>
      <c r="Q538" s="4"/>
    </row>
    <row r="539" spans="1:17" x14ac:dyDescent="0.25">
      <c r="A539" s="7"/>
      <c r="D539" s="4"/>
      <c r="E539" s="4"/>
      <c r="F539" s="4"/>
      <c r="G539" s="4"/>
      <c r="H539" s="4"/>
      <c r="I539" s="4"/>
      <c r="J539" s="7"/>
      <c r="K539" s="4"/>
      <c r="L539" s="4"/>
      <c r="M539" s="4"/>
      <c r="N539" s="4"/>
      <c r="O539" s="4"/>
      <c r="P539" s="4"/>
      <c r="Q539" s="4"/>
    </row>
    <row r="540" spans="1:17" x14ac:dyDescent="0.25">
      <c r="A540" s="99"/>
      <c r="D540" s="4"/>
      <c r="E540" s="4"/>
      <c r="F540" s="4"/>
      <c r="G540" s="4"/>
      <c r="H540" s="4"/>
      <c r="I540" s="4"/>
      <c r="J540" s="7"/>
      <c r="K540" s="4"/>
      <c r="L540" s="4"/>
      <c r="M540" s="4"/>
      <c r="N540" s="4"/>
      <c r="O540" s="4"/>
      <c r="P540" s="4"/>
      <c r="Q540" s="4"/>
    </row>
    <row r="541" spans="1:17" x14ac:dyDescent="0.25">
      <c r="A541" s="99"/>
      <c r="D541" s="4"/>
      <c r="E541" s="4"/>
      <c r="F541" s="4"/>
      <c r="G541" s="4"/>
      <c r="H541" s="4"/>
      <c r="I541" s="4"/>
      <c r="J541" s="7"/>
      <c r="K541" s="4"/>
      <c r="L541" s="4"/>
      <c r="M541" s="4"/>
      <c r="N541" s="4"/>
      <c r="O541" s="4"/>
      <c r="P541" s="4"/>
      <c r="Q541" s="4"/>
    </row>
    <row r="542" spans="1:17" x14ac:dyDescent="0.25">
      <c r="A542" s="99"/>
      <c r="D542" s="4"/>
      <c r="E542" s="4"/>
      <c r="F542" s="4"/>
      <c r="G542" s="4"/>
      <c r="H542" s="4"/>
      <c r="I542" s="4"/>
      <c r="J542" s="7"/>
      <c r="K542" s="4"/>
      <c r="L542" s="4"/>
      <c r="M542" s="4"/>
      <c r="N542" s="4"/>
      <c r="O542" s="4"/>
      <c r="P542" s="4"/>
      <c r="Q542" s="4"/>
    </row>
    <row r="543" spans="1:17" x14ac:dyDescent="0.25">
      <c r="A543" s="99"/>
      <c r="D543" s="4"/>
      <c r="E543" s="4"/>
      <c r="F543" s="4"/>
      <c r="G543" s="4"/>
      <c r="H543" s="4"/>
      <c r="I543" s="4"/>
      <c r="J543" s="7"/>
      <c r="K543" s="4"/>
      <c r="L543" s="4"/>
      <c r="M543" s="4"/>
      <c r="N543" s="4"/>
      <c r="O543" s="4"/>
      <c r="P543" s="4"/>
      <c r="Q543" s="4"/>
    </row>
    <row r="544" spans="1:17" x14ac:dyDescent="0.25">
      <c r="A544" s="99"/>
      <c r="D544" s="4"/>
      <c r="E544" s="4"/>
      <c r="F544" s="4"/>
      <c r="G544" s="4"/>
      <c r="H544" s="4"/>
      <c r="I544" s="4"/>
      <c r="J544" s="7"/>
      <c r="K544" s="4"/>
      <c r="L544" s="4"/>
      <c r="M544" s="4"/>
      <c r="N544" s="4"/>
      <c r="O544" s="4"/>
      <c r="P544" s="4"/>
      <c r="Q544" s="4"/>
    </row>
    <row r="545" spans="1:17" x14ac:dyDescent="0.25">
      <c r="A545" s="99"/>
      <c r="D545" s="4"/>
      <c r="E545" s="4"/>
      <c r="F545" s="4"/>
      <c r="G545" s="4"/>
      <c r="H545" s="4"/>
      <c r="I545" s="4"/>
      <c r="J545" s="7"/>
      <c r="K545" s="4"/>
      <c r="L545" s="4"/>
      <c r="M545" s="4"/>
      <c r="N545" s="4"/>
      <c r="O545" s="4"/>
      <c r="P545" s="4"/>
      <c r="Q545" s="4"/>
    </row>
    <row r="546" spans="1:17" x14ac:dyDescent="0.25">
      <c r="A546" s="99"/>
      <c r="D546" s="4"/>
      <c r="E546" s="4"/>
      <c r="F546" s="4"/>
      <c r="G546" s="4"/>
      <c r="H546" s="4"/>
      <c r="I546" s="4"/>
      <c r="J546" s="7"/>
      <c r="K546" s="4"/>
      <c r="L546" s="4"/>
      <c r="M546" s="4"/>
      <c r="N546" s="4"/>
      <c r="O546" s="4"/>
      <c r="P546" s="4"/>
      <c r="Q546" s="4"/>
    </row>
    <row r="547" spans="1:17" x14ac:dyDescent="0.25">
      <c r="A547" s="99"/>
      <c r="D547" s="4"/>
      <c r="E547" s="4"/>
      <c r="F547" s="4"/>
      <c r="G547" s="4"/>
      <c r="H547" s="4"/>
      <c r="I547" s="4"/>
      <c r="J547" s="7"/>
      <c r="K547" s="4"/>
      <c r="L547" s="4"/>
      <c r="M547" s="4"/>
      <c r="N547" s="4"/>
      <c r="O547" s="4"/>
      <c r="P547" s="4"/>
      <c r="Q547" s="4"/>
    </row>
    <row r="548" spans="1:17" x14ac:dyDescent="0.25">
      <c r="A548" s="99"/>
      <c r="D548" s="4"/>
      <c r="E548" s="4"/>
      <c r="F548" s="4"/>
      <c r="G548" s="4"/>
      <c r="H548" s="4"/>
      <c r="I548" s="4"/>
      <c r="J548" s="7"/>
      <c r="K548" s="4"/>
      <c r="L548" s="4"/>
      <c r="M548" s="4"/>
      <c r="N548" s="4"/>
      <c r="O548" s="4"/>
      <c r="P548" s="4"/>
      <c r="Q548" s="4"/>
    </row>
    <row r="549" spans="1:17" x14ac:dyDescent="0.25">
      <c r="A549" s="99"/>
      <c r="D549" s="4"/>
      <c r="E549" s="4"/>
      <c r="F549" s="4"/>
      <c r="G549" s="4"/>
      <c r="H549" s="4"/>
      <c r="I549" s="4"/>
      <c r="J549" s="7"/>
      <c r="K549" s="4"/>
      <c r="L549" s="4"/>
      <c r="M549" s="4"/>
      <c r="N549" s="4"/>
      <c r="O549" s="4"/>
      <c r="P549" s="4"/>
      <c r="Q549" s="4"/>
    </row>
    <row r="550" spans="1:17" x14ac:dyDescent="0.25">
      <c r="A550" s="99"/>
      <c r="D550" s="4"/>
      <c r="E550" s="4"/>
      <c r="F550" s="4"/>
      <c r="G550" s="4"/>
      <c r="H550" s="4"/>
      <c r="I550" s="4"/>
      <c r="J550" s="7"/>
      <c r="K550" s="4"/>
      <c r="L550" s="4"/>
      <c r="M550" s="4"/>
      <c r="N550" s="4"/>
      <c r="O550" s="4"/>
      <c r="P550" s="4"/>
      <c r="Q550" s="4"/>
    </row>
    <row r="551" spans="1:17" x14ac:dyDescent="0.25">
      <c r="A551" s="99"/>
      <c r="D551" s="4"/>
      <c r="E551" s="4"/>
      <c r="F551" s="4"/>
      <c r="G551" s="4"/>
      <c r="H551" s="4"/>
      <c r="I551" s="4"/>
      <c r="J551" s="7"/>
      <c r="K551" s="4"/>
      <c r="L551" s="4"/>
      <c r="M551" s="4"/>
      <c r="N551" s="4"/>
      <c r="O551" s="4"/>
      <c r="P551" s="4"/>
      <c r="Q551" s="4"/>
    </row>
    <row r="552" spans="1:17" x14ac:dyDescent="0.25">
      <c r="A552" s="99"/>
      <c r="D552" s="4"/>
      <c r="E552" s="4"/>
      <c r="F552" s="4"/>
      <c r="G552" s="4"/>
      <c r="H552" s="4"/>
      <c r="I552" s="4"/>
      <c r="J552" s="7"/>
      <c r="K552" s="4"/>
      <c r="L552" s="4"/>
      <c r="M552" s="4"/>
      <c r="N552" s="4"/>
      <c r="O552" s="4"/>
      <c r="P552" s="4"/>
      <c r="Q552" s="4"/>
    </row>
    <row r="553" spans="1:17" x14ac:dyDescent="0.25">
      <c r="A553" s="99"/>
      <c r="D553" s="4"/>
      <c r="E553" s="4"/>
      <c r="F553" s="4"/>
      <c r="G553" s="4"/>
      <c r="H553" s="4"/>
      <c r="I553" s="4"/>
      <c r="J553" s="7"/>
      <c r="K553" s="4"/>
      <c r="L553" s="4"/>
      <c r="M553" s="4"/>
      <c r="N553" s="4"/>
      <c r="O553" s="4"/>
      <c r="P553" s="4"/>
      <c r="Q553" s="4"/>
    </row>
    <row r="554" spans="1:17" x14ac:dyDescent="0.25">
      <c r="A554" s="99"/>
      <c r="D554" s="4"/>
      <c r="E554" s="4"/>
      <c r="F554" s="4"/>
      <c r="G554" s="4"/>
      <c r="H554" s="4"/>
      <c r="I554" s="4"/>
      <c r="J554" s="7"/>
      <c r="K554" s="4"/>
      <c r="L554" s="4"/>
      <c r="M554" s="4"/>
      <c r="N554" s="4"/>
      <c r="O554" s="4"/>
      <c r="P554" s="4"/>
      <c r="Q554" s="4"/>
    </row>
    <row r="555" spans="1:17" x14ac:dyDescent="0.25">
      <c r="A555" s="99"/>
      <c r="D555" s="4"/>
      <c r="E555" s="4"/>
      <c r="F555" s="4"/>
      <c r="G555" s="4"/>
      <c r="H555" s="4"/>
      <c r="I555" s="4"/>
      <c r="J555" s="7"/>
      <c r="K555" s="4"/>
      <c r="L555" s="4"/>
      <c r="M555" s="4"/>
      <c r="N555" s="4"/>
      <c r="O555" s="4"/>
      <c r="P555" s="4"/>
      <c r="Q555" s="4"/>
    </row>
    <row r="556" spans="1:17" x14ac:dyDescent="0.25">
      <c r="A556" s="99"/>
      <c r="D556" s="4"/>
      <c r="E556" s="4"/>
      <c r="F556" s="4"/>
      <c r="G556" s="4"/>
      <c r="H556" s="4"/>
      <c r="I556" s="4"/>
      <c r="J556" s="7"/>
      <c r="K556" s="4"/>
      <c r="L556" s="4"/>
      <c r="M556" s="4"/>
      <c r="N556" s="4"/>
      <c r="O556" s="4"/>
      <c r="P556" s="4"/>
      <c r="Q556" s="4"/>
    </row>
    <row r="557" spans="1:17" x14ac:dyDescent="0.25">
      <c r="A557" s="99"/>
      <c r="D557" s="4"/>
      <c r="E557" s="4"/>
      <c r="F557" s="4"/>
      <c r="G557" s="4"/>
      <c r="H557" s="4"/>
      <c r="I557" s="4"/>
      <c r="J557" s="7"/>
      <c r="K557" s="4"/>
      <c r="L557" s="4"/>
      <c r="M557" s="4"/>
      <c r="N557" s="4"/>
      <c r="O557" s="4"/>
      <c r="P557" s="4"/>
      <c r="Q557" s="4"/>
    </row>
    <row r="558" spans="1:17" x14ac:dyDescent="0.25">
      <c r="A558" s="99"/>
      <c r="D558" s="4"/>
      <c r="E558" s="4"/>
      <c r="F558" s="4"/>
      <c r="G558" s="4"/>
      <c r="H558" s="4"/>
      <c r="I558" s="4"/>
      <c r="J558" s="7"/>
      <c r="K558" s="4"/>
      <c r="L558" s="4"/>
      <c r="M558" s="4"/>
      <c r="N558" s="4"/>
      <c r="O558" s="4"/>
      <c r="P558" s="4"/>
      <c r="Q558" s="4"/>
    </row>
    <row r="559" spans="1:17" x14ac:dyDescent="0.25">
      <c r="A559" s="99"/>
      <c r="D559" s="4"/>
      <c r="E559" s="4"/>
      <c r="F559" s="4"/>
      <c r="G559" s="4"/>
      <c r="H559" s="4"/>
      <c r="I559" s="4"/>
      <c r="J559" s="7"/>
      <c r="K559" s="4"/>
      <c r="L559" s="4"/>
      <c r="M559" s="4"/>
      <c r="N559" s="4"/>
      <c r="O559" s="4"/>
      <c r="P559" s="4"/>
      <c r="Q559" s="4"/>
    </row>
    <row r="560" spans="1:17" x14ac:dyDescent="0.25">
      <c r="A560" s="99"/>
      <c r="D560" s="4"/>
      <c r="E560" s="4"/>
      <c r="F560" s="4"/>
      <c r="G560" s="4"/>
      <c r="H560" s="4"/>
      <c r="I560" s="4"/>
      <c r="J560" s="7"/>
      <c r="K560" s="4"/>
      <c r="L560" s="4"/>
      <c r="M560" s="4"/>
      <c r="N560" s="4"/>
      <c r="O560" s="4"/>
      <c r="P560" s="4"/>
      <c r="Q560" s="4"/>
    </row>
    <row r="561" spans="1:17" x14ac:dyDescent="0.25">
      <c r="A561" s="99"/>
      <c r="D561" s="4"/>
      <c r="E561" s="4"/>
      <c r="F561" s="4"/>
      <c r="G561" s="4"/>
      <c r="H561" s="4"/>
      <c r="I561" s="4"/>
      <c r="J561" s="7"/>
      <c r="K561" s="4"/>
      <c r="L561" s="4"/>
      <c r="M561" s="4"/>
      <c r="N561" s="4"/>
      <c r="O561" s="4"/>
      <c r="P561" s="4"/>
      <c r="Q561" s="4"/>
    </row>
    <row r="562" spans="1:17" x14ac:dyDescent="0.25">
      <c r="A562" s="99"/>
      <c r="D562" s="4"/>
      <c r="E562" s="4"/>
      <c r="F562" s="4"/>
      <c r="G562" s="4"/>
      <c r="H562" s="4"/>
      <c r="I562" s="4"/>
      <c r="J562" s="7"/>
      <c r="K562" s="4"/>
      <c r="L562" s="4"/>
      <c r="M562" s="4"/>
      <c r="N562" s="4"/>
      <c r="O562" s="4"/>
      <c r="P562" s="4"/>
      <c r="Q562" s="4"/>
    </row>
    <row r="563" spans="1:17" x14ac:dyDescent="0.25">
      <c r="A563" s="99"/>
      <c r="D563" s="4"/>
      <c r="E563" s="4"/>
      <c r="F563" s="4"/>
      <c r="G563" s="4"/>
      <c r="H563" s="4"/>
      <c r="I563" s="4"/>
      <c r="J563" s="7"/>
      <c r="K563" s="4"/>
      <c r="L563" s="4"/>
      <c r="M563" s="4"/>
      <c r="N563" s="4"/>
      <c r="O563" s="4"/>
      <c r="P563" s="4"/>
      <c r="Q563" s="4"/>
    </row>
    <row r="564" spans="1:17" x14ac:dyDescent="0.25">
      <c r="A564" s="99"/>
      <c r="D564" s="4"/>
      <c r="E564" s="4"/>
      <c r="F564" s="4"/>
      <c r="G564" s="4"/>
      <c r="H564" s="4"/>
      <c r="I564" s="4"/>
      <c r="J564" s="7"/>
      <c r="K564" s="4"/>
      <c r="L564" s="4"/>
      <c r="M564" s="4"/>
      <c r="N564" s="4"/>
      <c r="O564" s="4"/>
      <c r="P564" s="4"/>
      <c r="Q564" s="4"/>
    </row>
    <row r="565" spans="1:17" x14ac:dyDescent="0.25">
      <c r="A565" s="99"/>
      <c r="D565" s="4"/>
      <c r="E565" s="4"/>
      <c r="F565" s="4"/>
      <c r="G565" s="4"/>
      <c r="H565" s="4"/>
      <c r="I565" s="4"/>
      <c r="J565" s="7"/>
      <c r="K565" s="4"/>
      <c r="L565" s="4"/>
      <c r="M565" s="4"/>
      <c r="N565" s="4"/>
      <c r="O565" s="4"/>
      <c r="P565" s="4"/>
      <c r="Q565" s="4"/>
    </row>
    <row r="566" spans="1:17" x14ac:dyDescent="0.25">
      <c r="A566" s="99"/>
      <c r="D566" s="4"/>
      <c r="E566" s="4"/>
      <c r="F566" s="4"/>
      <c r="G566" s="4"/>
      <c r="H566" s="4"/>
      <c r="I566" s="4"/>
      <c r="J566" s="7"/>
      <c r="K566" s="4"/>
      <c r="L566" s="4"/>
      <c r="M566" s="4"/>
      <c r="N566" s="4"/>
      <c r="O566" s="4"/>
      <c r="P566" s="4"/>
      <c r="Q566" s="4"/>
    </row>
    <row r="567" spans="1:17" x14ac:dyDescent="0.25">
      <c r="A567" s="99"/>
      <c r="D567" s="4"/>
      <c r="E567" s="4"/>
      <c r="F567" s="4"/>
      <c r="G567" s="4"/>
      <c r="H567" s="4"/>
      <c r="I567" s="4"/>
      <c r="J567" s="7"/>
      <c r="K567" s="4"/>
      <c r="L567" s="4"/>
      <c r="M567" s="4"/>
      <c r="N567" s="4"/>
      <c r="O567" s="4"/>
      <c r="P567" s="4"/>
      <c r="Q567" s="4"/>
    </row>
    <row r="568" spans="1:17" x14ac:dyDescent="0.25">
      <c r="A568" s="99"/>
      <c r="D568" s="4"/>
      <c r="E568" s="4"/>
      <c r="F568" s="4"/>
      <c r="G568" s="4"/>
      <c r="H568" s="4"/>
      <c r="I568" s="4"/>
      <c r="J568" s="7"/>
      <c r="K568" s="4"/>
      <c r="L568" s="4"/>
      <c r="M568" s="4"/>
      <c r="N568" s="4"/>
      <c r="O568" s="4"/>
      <c r="P568" s="4"/>
      <c r="Q568" s="4"/>
    </row>
    <row r="569" spans="1:17" x14ac:dyDescent="0.25">
      <c r="A569" s="99"/>
      <c r="D569" s="4"/>
      <c r="E569" s="4"/>
      <c r="F569" s="4"/>
      <c r="G569" s="4"/>
      <c r="H569" s="4"/>
      <c r="I569" s="4"/>
      <c r="J569" s="7"/>
      <c r="K569" s="4"/>
      <c r="L569" s="4"/>
      <c r="M569" s="4"/>
      <c r="N569" s="4"/>
      <c r="O569" s="4"/>
      <c r="P569" s="4"/>
      <c r="Q569" s="4"/>
    </row>
    <row r="570" spans="1:17" x14ac:dyDescent="0.25">
      <c r="A570" s="99"/>
      <c r="D570" s="4"/>
      <c r="E570" s="4"/>
      <c r="F570" s="4"/>
      <c r="G570" s="4"/>
      <c r="H570" s="4"/>
      <c r="I570" s="4"/>
      <c r="J570" s="7"/>
      <c r="K570" s="4"/>
      <c r="L570" s="4"/>
      <c r="M570" s="4"/>
      <c r="N570" s="4"/>
      <c r="O570" s="4"/>
      <c r="P570" s="4"/>
      <c r="Q570" s="4"/>
    </row>
    <row r="571" spans="1:17" x14ac:dyDescent="0.25">
      <c r="A571" s="99"/>
      <c r="D571" s="4"/>
      <c r="E571" s="4"/>
      <c r="F571" s="4"/>
      <c r="G571" s="4"/>
      <c r="H571" s="4"/>
      <c r="I571" s="4"/>
      <c r="J571" s="7"/>
      <c r="K571" s="4"/>
      <c r="L571" s="4"/>
      <c r="M571" s="4"/>
      <c r="N571" s="4"/>
      <c r="O571" s="4"/>
      <c r="P571" s="4"/>
      <c r="Q571" s="4"/>
    </row>
    <row r="572" spans="1:17" x14ac:dyDescent="0.25">
      <c r="A572" s="99"/>
      <c r="D572" s="4"/>
      <c r="E572" s="4"/>
      <c r="F572" s="4"/>
      <c r="G572" s="4"/>
      <c r="H572" s="4"/>
      <c r="I572" s="4"/>
      <c r="J572" s="7"/>
      <c r="K572" s="4"/>
      <c r="L572" s="4"/>
      <c r="M572" s="4"/>
      <c r="N572" s="4"/>
      <c r="O572" s="4"/>
      <c r="P572" s="4"/>
      <c r="Q572" s="4"/>
    </row>
    <row r="573" spans="1:17" x14ac:dyDescent="0.25">
      <c r="A573" s="99"/>
      <c r="D573" s="4"/>
      <c r="E573" s="4"/>
      <c r="F573" s="4"/>
      <c r="G573" s="4"/>
      <c r="H573" s="4"/>
      <c r="I573" s="4"/>
      <c r="J573" s="7"/>
      <c r="K573" s="4"/>
      <c r="L573" s="4"/>
      <c r="M573" s="4"/>
      <c r="N573" s="4"/>
      <c r="O573" s="4"/>
      <c r="P573" s="4"/>
      <c r="Q573" s="4"/>
    </row>
    <row r="574" spans="1:17" x14ac:dyDescent="0.25">
      <c r="A574" s="99"/>
      <c r="D574" s="4"/>
      <c r="E574" s="4"/>
      <c r="F574" s="4"/>
      <c r="G574" s="4"/>
      <c r="H574" s="4"/>
      <c r="I574" s="4"/>
      <c r="J574" s="7"/>
      <c r="K574" s="4"/>
      <c r="L574" s="4"/>
      <c r="M574" s="4"/>
      <c r="N574" s="4"/>
      <c r="O574" s="4"/>
      <c r="P574" s="4"/>
      <c r="Q574" s="4"/>
    </row>
    <row r="575" spans="1:17" x14ac:dyDescent="0.25">
      <c r="A575" s="99"/>
      <c r="D575" s="4"/>
      <c r="E575" s="4"/>
      <c r="F575" s="4"/>
      <c r="G575" s="4"/>
      <c r="H575" s="4"/>
      <c r="I575" s="4"/>
      <c r="J575" s="7"/>
      <c r="K575" s="4"/>
      <c r="L575" s="4"/>
      <c r="M575" s="4"/>
      <c r="N575" s="4"/>
      <c r="O575" s="4"/>
      <c r="P575" s="4"/>
      <c r="Q575" s="4"/>
    </row>
    <row r="576" spans="1:17" x14ac:dyDescent="0.25">
      <c r="A576" s="99"/>
      <c r="D576" s="4"/>
      <c r="E576" s="4"/>
      <c r="F576" s="4"/>
      <c r="G576" s="4"/>
      <c r="H576" s="4"/>
      <c r="I576" s="4"/>
      <c r="J576" s="7"/>
      <c r="K576" s="4"/>
      <c r="L576" s="4"/>
      <c r="M576" s="4"/>
      <c r="N576" s="4"/>
      <c r="O576" s="4"/>
      <c r="P576" s="4"/>
      <c r="Q576" s="4"/>
    </row>
    <row r="577" spans="1:17" x14ac:dyDescent="0.25">
      <c r="A577" s="99"/>
      <c r="D577" s="4"/>
      <c r="E577" s="4"/>
      <c r="F577" s="4"/>
      <c r="G577" s="4"/>
      <c r="H577" s="4"/>
      <c r="I577" s="4"/>
      <c r="J577" s="7"/>
      <c r="K577" s="4"/>
      <c r="L577" s="4"/>
      <c r="M577" s="4"/>
      <c r="N577" s="4"/>
      <c r="O577" s="4"/>
      <c r="P577" s="4"/>
      <c r="Q577" s="4"/>
    </row>
    <row r="578" spans="1:17" x14ac:dyDescent="0.25">
      <c r="A578" s="99"/>
      <c r="D578" s="4"/>
      <c r="E578" s="4"/>
      <c r="F578" s="4"/>
      <c r="G578" s="4"/>
      <c r="H578" s="4"/>
      <c r="I578" s="4"/>
      <c r="J578" s="7"/>
      <c r="K578" s="4"/>
      <c r="L578" s="4"/>
      <c r="M578" s="4"/>
      <c r="N578" s="4"/>
      <c r="O578" s="4"/>
      <c r="P578" s="4"/>
      <c r="Q578" s="4"/>
    </row>
    <row r="579" spans="1:17" x14ac:dyDescent="0.25">
      <c r="A579" s="99"/>
      <c r="D579" s="4"/>
      <c r="E579" s="4"/>
      <c r="F579" s="4"/>
      <c r="G579" s="4"/>
      <c r="H579" s="4"/>
      <c r="I579" s="4"/>
      <c r="J579" s="7"/>
      <c r="K579" s="4"/>
      <c r="L579" s="4"/>
      <c r="M579" s="4"/>
      <c r="N579" s="4"/>
      <c r="O579" s="4"/>
      <c r="P579" s="4"/>
      <c r="Q579" s="4"/>
    </row>
    <row r="580" spans="1:17" x14ac:dyDescent="0.25">
      <c r="A580" s="99"/>
      <c r="D580" s="4"/>
      <c r="E580" s="4"/>
      <c r="F580" s="4"/>
      <c r="G580" s="4"/>
      <c r="H580" s="4"/>
      <c r="I580" s="4"/>
      <c r="J580" s="7"/>
      <c r="K580" s="4"/>
      <c r="L580" s="4"/>
      <c r="M580" s="4"/>
      <c r="N580" s="4"/>
      <c r="O580" s="4"/>
      <c r="P580" s="4"/>
      <c r="Q580" s="4"/>
    </row>
    <row r="581" spans="1:17" x14ac:dyDescent="0.25">
      <c r="A581" s="99"/>
      <c r="D581" s="4"/>
      <c r="E581" s="4"/>
      <c r="F581" s="4"/>
      <c r="G581" s="4"/>
      <c r="H581" s="4"/>
      <c r="I581" s="4"/>
      <c r="J581" s="7"/>
      <c r="K581" s="4"/>
      <c r="L581" s="4"/>
      <c r="M581" s="4"/>
      <c r="N581" s="4"/>
      <c r="O581" s="4"/>
      <c r="P581" s="4"/>
      <c r="Q581" s="4"/>
    </row>
    <row r="582" spans="1:17" x14ac:dyDescent="0.25">
      <c r="A582" s="99"/>
      <c r="D582" s="4"/>
      <c r="E582" s="4"/>
      <c r="F582" s="4"/>
      <c r="G582" s="4"/>
      <c r="H582" s="4"/>
      <c r="I582" s="4"/>
      <c r="J582" s="7"/>
      <c r="K582" s="4"/>
      <c r="L582" s="4"/>
      <c r="M582" s="4"/>
      <c r="N582" s="4"/>
      <c r="O582" s="4"/>
      <c r="P582" s="4"/>
      <c r="Q582" s="4"/>
    </row>
    <row r="583" spans="1:17" x14ac:dyDescent="0.25">
      <c r="A583" s="99"/>
      <c r="D583" s="4"/>
      <c r="E583" s="4"/>
      <c r="F583" s="4"/>
      <c r="G583" s="4"/>
      <c r="H583" s="4"/>
      <c r="I583" s="4"/>
      <c r="J583" s="7"/>
      <c r="K583" s="4"/>
      <c r="L583" s="4"/>
      <c r="M583" s="4"/>
      <c r="N583" s="4"/>
      <c r="O583" s="4"/>
      <c r="P583" s="4"/>
      <c r="Q583" s="4"/>
    </row>
    <row r="584" spans="1:17" x14ac:dyDescent="0.25">
      <c r="A584" s="99"/>
      <c r="D584" s="4"/>
      <c r="E584" s="4"/>
      <c r="F584" s="4"/>
      <c r="G584" s="4"/>
      <c r="H584" s="4"/>
      <c r="I584" s="4"/>
      <c r="J584" s="7"/>
      <c r="K584" s="4"/>
      <c r="L584" s="4"/>
      <c r="M584" s="4"/>
      <c r="N584" s="4"/>
      <c r="O584" s="4"/>
      <c r="P584" s="4"/>
      <c r="Q584" s="4"/>
    </row>
    <row r="585" spans="1:17" x14ac:dyDescent="0.25">
      <c r="A585" s="99"/>
      <c r="D585" s="4"/>
      <c r="E585" s="4"/>
      <c r="F585" s="4"/>
      <c r="G585" s="4"/>
      <c r="H585" s="4"/>
      <c r="I585" s="4"/>
      <c r="J585" s="7"/>
      <c r="K585" s="4"/>
      <c r="L585" s="4"/>
      <c r="M585" s="4"/>
      <c r="N585" s="4"/>
      <c r="O585" s="4"/>
      <c r="P585" s="4"/>
      <c r="Q585" s="4"/>
    </row>
    <row r="586" spans="1:17" x14ac:dyDescent="0.25">
      <c r="A586" s="99"/>
      <c r="D586" s="4"/>
      <c r="E586" s="4"/>
      <c r="F586" s="4"/>
      <c r="G586" s="4"/>
      <c r="H586" s="4"/>
      <c r="I586" s="4"/>
      <c r="J586" s="7"/>
      <c r="K586" s="4"/>
      <c r="L586" s="4"/>
      <c r="M586" s="4"/>
      <c r="N586" s="4"/>
      <c r="O586" s="4"/>
      <c r="P586" s="4"/>
      <c r="Q586" s="4"/>
    </row>
    <row r="587" spans="1:17" x14ac:dyDescent="0.25">
      <c r="A587" s="99"/>
      <c r="D587" s="4"/>
      <c r="E587" s="4"/>
      <c r="F587" s="4"/>
      <c r="G587" s="4"/>
      <c r="H587" s="4"/>
      <c r="I587" s="4"/>
      <c r="J587" s="7"/>
      <c r="K587" s="4"/>
      <c r="L587" s="4"/>
      <c r="M587" s="4"/>
      <c r="N587" s="4"/>
      <c r="O587" s="4"/>
      <c r="P587" s="4"/>
      <c r="Q587" s="4"/>
    </row>
    <row r="588" spans="1:17" x14ac:dyDescent="0.25">
      <c r="A588" s="99"/>
      <c r="D588" s="4"/>
      <c r="E588" s="4"/>
      <c r="F588" s="4"/>
      <c r="G588" s="4"/>
      <c r="H588" s="4"/>
      <c r="I588" s="4"/>
      <c r="J588" s="7"/>
      <c r="K588" s="4"/>
      <c r="L588" s="4"/>
      <c r="M588" s="4"/>
      <c r="N588" s="4"/>
      <c r="O588" s="4"/>
      <c r="P588" s="4"/>
      <c r="Q588" s="4"/>
    </row>
    <row r="589" spans="1:17" x14ac:dyDescent="0.25">
      <c r="A589" s="99"/>
      <c r="D589" s="4"/>
      <c r="E589" s="4"/>
      <c r="F589" s="4"/>
      <c r="G589" s="4"/>
      <c r="H589" s="4"/>
      <c r="I589" s="4"/>
      <c r="J589" s="7"/>
      <c r="K589" s="4"/>
      <c r="L589" s="4"/>
      <c r="M589" s="4"/>
      <c r="N589" s="4"/>
      <c r="O589" s="4"/>
      <c r="P589" s="4"/>
      <c r="Q589" s="4"/>
    </row>
    <row r="590" spans="1:17" x14ac:dyDescent="0.25">
      <c r="A590" s="99"/>
      <c r="D590" s="4"/>
      <c r="E590" s="4"/>
      <c r="F590" s="4"/>
      <c r="G590" s="4"/>
      <c r="H590" s="4"/>
      <c r="I590" s="4"/>
      <c r="J590" s="7"/>
      <c r="K590" s="4"/>
      <c r="L590" s="4"/>
      <c r="M590" s="4"/>
      <c r="N590" s="4"/>
      <c r="O590" s="4"/>
      <c r="P590" s="4"/>
      <c r="Q590" s="4"/>
    </row>
    <row r="591" spans="1:17" x14ac:dyDescent="0.25">
      <c r="A591" s="99"/>
      <c r="D591" s="4"/>
      <c r="E591" s="4"/>
      <c r="F591" s="4"/>
      <c r="G591" s="4"/>
      <c r="H591" s="4"/>
      <c r="I591" s="4"/>
      <c r="J591" s="7"/>
      <c r="K591" s="4"/>
      <c r="L591" s="4"/>
      <c r="M591" s="4"/>
      <c r="N591" s="4"/>
      <c r="O591" s="4"/>
      <c r="P591" s="4"/>
      <c r="Q591" s="4"/>
    </row>
    <row r="592" spans="1:17" x14ac:dyDescent="0.25">
      <c r="A592" s="99"/>
      <c r="D592" s="4"/>
      <c r="E592" s="4"/>
      <c r="F592" s="4"/>
      <c r="G592" s="4"/>
      <c r="H592" s="4"/>
      <c r="I592" s="4"/>
      <c r="J592" s="7"/>
      <c r="K592" s="4"/>
      <c r="L592" s="4"/>
      <c r="M592" s="4"/>
      <c r="N592" s="4"/>
      <c r="O592" s="4"/>
      <c r="P592" s="4"/>
      <c r="Q592" s="4"/>
    </row>
    <row r="593" spans="1:17" x14ac:dyDescent="0.25">
      <c r="A593" s="99"/>
      <c r="D593" s="4"/>
      <c r="E593" s="4"/>
      <c r="F593" s="4"/>
      <c r="G593" s="4"/>
      <c r="H593" s="4"/>
      <c r="I593" s="4"/>
      <c r="J593" s="7"/>
      <c r="K593" s="4"/>
      <c r="L593" s="4"/>
      <c r="M593" s="4"/>
      <c r="N593" s="4"/>
      <c r="O593" s="4"/>
      <c r="P593" s="4"/>
      <c r="Q593" s="4"/>
    </row>
    <row r="594" spans="1:17" x14ac:dyDescent="0.25">
      <c r="A594" s="99"/>
      <c r="D594" s="4"/>
      <c r="E594" s="4"/>
      <c r="F594" s="4"/>
      <c r="G594" s="4"/>
      <c r="H594" s="4"/>
      <c r="I594" s="4"/>
      <c r="J594" s="7"/>
      <c r="K594" s="4"/>
      <c r="L594" s="4"/>
      <c r="M594" s="4"/>
      <c r="N594" s="4"/>
      <c r="O594" s="4"/>
      <c r="P594" s="4"/>
      <c r="Q594" s="4"/>
    </row>
    <row r="595" spans="1:17" x14ac:dyDescent="0.25">
      <c r="A595" s="99"/>
      <c r="D595" s="4"/>
      <c r="E595" s="4"/>
      <c r="F595" s="4"/>
      <c r="G595" s="4"/>
      <c r="H595" s="4"/>
      <c r="I595" s="4"/>
      <c r="J595" s="7"/>
      <c r="K595" s="4"/>
      <c r="L595" s="4"/>
      <c r="M595" s="4"/>
      <c r="N595" s="4"/>
      <c r="O595" s="4"/>
      <c r="P595" s="4"/>
      <c r="Q595" s="4"/>
    </row>
    <row r="596" spans="1:17" x14ac:dyDescent="0.25">
      <c r="A596" s="99"/>
      <c r="D596" s="4"/>
      <c r="E596" s="4"/>
      <c r="F596" s="4"/>
      <c r="G596" s="4"/>
      <c r="H596" s="4"/>
      <c r="I596" s="4"/>
      <c r="J596" s="7"/>
      <c r="K596" s="4"/>
      <c r="L596" s="4"/>
      <c r="M596" s="4"/>
      <c r="N596" s="4"/>
      <c r="O596" s="4"/>
      <c r="P596" s="4"/>
      <c r="Q596" s="4"/>
    </row>
    <row r="597" spans="1:17" x14ac:dyDescent="0.25">
      <c r="A597" s="99"/>
      <c r="D597" s="4"/>
      <c r="E597" s="4"/>
      <c r="F597" s="4"/>
      <c r="G597" s="4"/>
      <c r="H597" s="4"/>
      <c r="I597" s="4"/>
      <c r="J597" s="7"/>
      <c r="K597" s="4"/>
      <c r="L597" s="4"/>
      <c r="M597" s="4"/>
      <c r="N597" s="4"/>
      <c r="O597" s="4"/>
      <c r="P597" s="4"/>
      <c r="Q597" s="4"/>
    </row>
    <row r="598" spans="1:17" x14ac:dyDescent="0.25">
      <c r="A598" s="99"/>
      <c r="D598" s="4"/>
      <c r="E598" s="4"/>
      <c r="F598" s="4"/>
      <c r="G598" s="4"/>
      <c r="H598" s="4"/>
      <c r="I598" s="4"/>
      <c r="J598" s="7"/>
      <c r="K598" s="4"/>
      <c r="L598" s="4"/>
      <c r="M598" s="4"/>
      <c r="N598" s="4"/>
      <c r="O598" s="4"/>
      <c r="P598" s="4"/>
      <c r="Q598" s="4"/>
    </row>
    <row r="599" spans="1:17" x14ac:dyDescent="0.25">
      <c r="A599" s="99"/>
      <c r="D599" s="4"/>
      <c r="E599" s="4"/>
      <c r="F599" s="4"/>
      <c r="G599" s="4"/>
      <c r="H599" s="4"/>
      <c r="I599" s="4"/>
      <c r="J599" s="7"/>
      <c r="K599" s="4"/>
      <c r="L599" s="4"/>
      <c r="M599" s="4"/>
      <c r="N599" s="4"/>
      <c r="O599" s="4"/>
      <c r="P599" s="4"/>
      <c r="Q599" s="4"/>
    </row>
    <row r="600" spans="1:17" x14ac:dyDescent="0.25">
      <c r="A600" s="99"/>
      <c r="D600" s="4"/>
      <c r="E600" s="4"/>
      <c r="F600" s="4"/>
      <c r="G600" s="4"/>
      <c r="H600" s="4"/>
      <c r="I600" s="4"/>
      <c r="J600" s="7"/>
      <c r="K600" s="4"/>
      <c r="L600" s="4"/>
      <c r="M600" s="4"/>
      <c r="N600" s="4"/>
      <c r="O600" s="4"/>
      <c r="P600" s="4"/>
      <c r="Q600" s="4"/>
    </row>
    <row r="601" spans="1:17" x14ac:dyDescent="0.25">
      <c r="A601" s="99"/>
      <c r="D601" s="4"/>
      <c r="E601" s="4"/>
      <c r="F601" s="4"/>
      <c r="G601" s="4"/>
      <c r="H601" s="4"/>
      <c r="I601" s="4"/>
      <c r="J601" s="7"/>
      <c r="K601" s="4"/>
      <c r="L601" s="4"/>
      <c r="M601" s="4"/>
      <c r="N601" s="4"/>
      <c r="O601" s="4"/>
      <c r="P601" s="4"/>
      <c r="Q601" s="4"/>
    </row>
    <row r="602" spans="1:17" x14ac:dyDescent="0.25">
      <c r="A602" s="99"/>
      <c r="D602" s="4"/>
      <c r="E602" s="4"/>
      <c r="F602" s="4"/>
      <c r="G602" s="4"/>
      <c r="H602" s="4"/>
      <c r="I602" s="4"/>
      <c r="J602" s="7"/>
      <c r="K602" s="4"/>
      <c r="L602" s="4"/>
      <c r="M602" s="4"/>
      <c r="N602" s="4"/>
      <c r="O602" s="4"/>
      <c r="P602" s="4"/>
      <c r="Q602" s="4"/>
    </row>
    <row r="603" spans="1:17" x14ac:dyDescent="0.25">
      <c r="A603" s="99"/>
      <c r="D603" s="4"/>
      <c r="E603" s="4"/>
      <c r="F603" s="4"/>
      <c r="G603" s="4"/>
      <c r="H603" s="4"/>
      <c r="I603" s="4"/>
      <c r="J603" s="7"/>
      <c r="K603" s="4"/>
      <c r="L603" s="4"/>
      <c r="M603" s="4"/>
      <c r="N603" s="4"/>
      <c r="O603" s="4"/>
      <c r="P603" s="4"/>
      <c r="Q603" s="4"/>
    </row>
    <row r="604" spans="1:17" x14ac:dyDescent="0.25">
      <c r="A604" s="99"/>
      <c r="D604" s="4"/>
      <c r="E604" s="4"/>
      <c r="F604" s="4"/>
      <c r="G604" s="4"/>
      <c r="H604" s="4"/>
      <c r="I604" s="4"/>
      <c r="J604" s="7"/>
      <c r="K604" s="4"/>
      <c r="L604" s="4"/>
      <c r="M604" s="4"/>
      <c r="N604" s="4"/>
      <c r="O604" s="4"/>
      <c r="P604" s="4"/>
      <c r="Q604" s="4"/>
    </row>
    <row r="605" spans="1:17" x14ac:dyDescent="0.25">
      <c r="A605" s="99"/>
      <c r="D605" s="4"/>
      <c r="E605" s="4"/>
      <c r="F605" s="4"/>
      <c r="G605" s="4"/>
      <c r="H605" s="4"/>
      <c r="I605" s="4"/>
      <c r="J605" s="7"/>
      <c r="K605" s="4"/>
      <c r="L605" s="4"/>
      <c r="M605" s="4"/>
      <c r="N605" s="4"/>
      <c r="O605" s="4"/>
      <c r="P605" s="4"/>
      <c r="Q605" s="4"/>
    </row>
    <row r="606" spans="1:17" x14ac:dyDescent="0.25">
      <c r="A606" s="99"/>
      <c r="D606" s="4"/>
      <c r="E606" s="4"/>
      <c r="F606" s="4"/>
      <c r="G606" s="4"/>
      <c r="H606" s="4"/>
      <c r="I606" s="4"/>
      <c r="J606" s="7"/>
      <c r="K606" s="4"/>
      <c r="L606" s="4"/>
      <c r="M606" s="4"/>
      <c r="N606" s="4"/>
      <c r="O606" s="4"/>
      <c r="P606" s="4"/>
      <c r="Q606" s="4"/>
    </row>
    <row r="607" spans="1:17" x14ac:dyDescent="0.25">
      <c r="A607" s="99"/>
      <c r="D607" s="4"/>
      <c r="E607" s="4"/>
      <c r="F607" s="4"/>
      <c r="G607" s="4"/>
      <c r="H607" s="4"/>
      <c r="I607" s="4"/>
      <c r="J607" s="7"/>
      <c r="K607" s="4"/>
      <c r="L607" s="4"/>
      <c r="M607" s="4"/>
      <c r="N607" s="4"/>
      <c r="O607" s="4"/>
      <c r="P607" s="4"/>
      <c r="Q607" s="4"/>
    </row>
    <row r="608" spans="1:17" x14ac:dyDescent="0.25">
      <c r="A608" s="99"/>
      <c r="D608" s="4"/>
      <c r="E608" s="4"/>
      <c r="F608" s="4"/>
      <c r="G608" s="4"/>
      <c r="H608" s="4"/>
      <c r="I608" s="4"/>
      <c r="J608" s="7"/>
      <c r="K608" s="4"/>
      <c r="L608" s="4"/>
      <c r="M608" s="4"/>
      <c r="N608" s="4"/>
      <c r="O608" s="4"/>
      <c r="P608" s="4"/>
      <c r="Q608" s="4"/>
    </row>
    <row r="609" spans="1:17" x14ac:dyDescent="0.25">
      <c r="A609" s="99"/>
      <c r="D609" s="4"/>
      <c r="E609" s="4"/>
      <c r="F609" s="4"/>
      <c r="G609" s="4"/>
      <c r="H609" s="4"/>
      <c r="I609" s="4"/>
      <c r="J609" s="7"/>
      <c r="K609" s="4"/>
      <c r="L609" s="4"/>
      <c r="M609" s="4"/>
      <c r="N609" s="4"/>
      <c r="O609" s="4"/>
      <c r="P609" s="4"/>
      <c r="Q609" s="4"/>
    </row>
    <row r="610" spans="1:17" x14ac:dyDescent="0.25">
      <c r="A610" s="99"/>
      <c r="D610" s="4"/>
      <c r="E610" s="4"/>
      <c r="F610" s="4"/>
      <c r="G610" s="4"/>
      <c r="H610" s="4"/>
      <c r="I610" s="4"/>
      <c r="J610" s="7"/>
      <c r="K610" s="4"/>
      <c r="L610" s="4"/>
      <c r="M610" s="4"/>
      <c r="N610" s="4"/>
      <c r="O610" s="4"/>
      <c r="P610" s="4"/>
      <c r="Q610" s="4"/>
    </row>
    <row r="611" spans="1:17" x14ac:dyDescent="0.25">
      <c r="A611" s="99"/>
      <c r="D611" s="4"/>
      <c r="E611" s="4"/>
      <c r="F611" s="4"/>
      <c r="G611" s="4"/>
      <c r="H611" s="4"/>
      <c r="I611" s="4"/>
      <c r="J611" s="7"/>
      <c r="K611" s="4"/>
      <c r="L611" s="4"/>
      <c r="M611" s="4"/>
      <c r="N611" s="4"/>
      <c r="O611" s="4"/>
      <c r="P611" s="4"/>
      <c r="Q611" s="4"/>
    </row>
    <row r="612" spans="1:17" x14ac:dyDescent="0.25">
      <c r="A612" s="99"/>
      <c r="D612" s="4"/>
      <c r="E612" s="4"/>
      <c r="F612" s="4"/>
      <c r="G612" s="4"/>
      <c r="H612" s="4"/>
      <c r="I612" s="4"/>
      <c r="J612" s="7"/>
      <c r="K612" s="4"/>
      <c r="L612" s="4"/>
      <c r="M612" s="4"/>
      <c r="N612" s="4"/>
      <c r="O612" s="4"/>
      <c r="P612" s="4"/>
      <c r="Q612" s="4"/>
    </row>
    <row r="613" spans="1:17" x14ac:dyDescent="0.25">
      <c r="A613" s="99"/>
      <c r="D613" s="4"/>
      <c r="E613" s="4"/>
      <c r="F613" s="4"/>
      <c r="G613" s="4"/>
      <c r="H613" s="4"/>
      <c r="I613" s="4"/>
      <c r="J613" s="7"/>
      <c r="K613" s="4"/>
      <c r="L613" s="4"/>
      <c r="M613" s="4"/>
      <c r="N613" s="4"/>
      <c r="O613" s="4"/>
      <c r="P613" s="4"/>
      <c r="Q613" s="4"/>
    </row>
    <row r="614" spans="1:17" x14ac:dyDescent="0.25">
      <c r="A614" s="99"/>
      <c r="D614" s="4"/>
      <c r="E614" s="4"/>
      <c r="F614" s="4"/>
      <c r="G614" s="4"/>
      <c r="H614" s="4"/>
      <c r="I614" s="4"/>
      <c r="J614" s="7"/>
      <c r="K614" s="4"/>
      <c r="L614" s="4"/>
      <c r="M614" s="4"/>
      <c r="N614" s="4"/>
      <c r="O614" s="4"/>
      <c r="P614" s="4"/>
      <c r="Q614" s="4"/>
    </row>
    <row r="615" spans="1:17" x14ac:dyDescent="0.25">
      <c r="A615" s="99"/>
      <c r="D615" s="4"/>
      <c r="E615" s="4"/>
      <c r="F615" s="4"/>
      <c r="G615" s="4"/>
      <c r="H615" s="4"/>
      <c r="I615" s="4"/>
      <c r="J615" s="7"/>
      <c r="K615" s="4"/>
      <c r="L615" s="4"/>
      <c r="M615" s="4"/>
      <c r="N615" s="4"/>
      <c r="O615" s="4"/>
      <c r="P615" s="4"/>
      <c r="Q615" s="4"/>
    </row>
    <row r="616" spans="1:17" x14ac:dyDescent="0.25">
      <c r="A616" s="99"/>
      <c r="D616" s="4"/>
      <c r="E616" s="4"/>
      <c r="F616" s="4"/>
      <c r="G616" s="4"/>
      <c r="H616" s="4"/>
      <c r="I616" s="4"/>
      <c r="J616" s="7"/>
      <c r="K616" s="4"/>
      <c r="L616" s="4"/>
      <c r="M616" s="4"/>
      <c r="N616" s="4"/>
      <c r="O616" s="4"/>
      <c r="P616" s="4"/>
      <c r="Q616" s="4"/>
    </row>
    <row r="617" spans="1:17" x14ac:dyDescent="0.25">
      <c r="A617" s="99"/>
      <c r="D617" s="4"/>
      <c r="E617" s="4"/>
      <c r="F617" s="4"/>
      <c r="G617" s="4"/>
      <c r="H617" s="4"/>
      <c r="I617" s="4"/>
      <c r="J617" s="7"/>
      <c r="K617" s="4"/>
      <c r="L617" s="4"/>
      <c r="M617" s="4"/>
      <c r="N617" s="4"/>
      <c r="O617" s="4"/>
      <c r="P617" s="4"/>
      <c r="Q617" s="4"/>
    </row>
    <row r="618" spans="1:17" x14ac:dyDescent="0.25">
      <c r="A618" s="99"/>
      <c r="D618" s="4"/>
      <c r="E618" s="4"/>
      <c r="F618" s="4"/>
      <c r="G618" s="4"/>
      <c r="H618" s="4"/>
      <c r="I618" s="4"/>
      <c r="J618" s="7"/>
      <c r="K618" s="4"/>
      <c r="L618" s="4"/>
      <c r="M618" s="4"/>
      <c r="N618" s="4"/>
      <c r="O618" s="4"/>
      <c r="P618" s="4"/>
      <c r="Q618" s="4"/>
    </row>
    <row r="619" spans="1:17" x14ac:dyDescent="0.25">
      <c r="A619" s="99"/>
      <c r="D619" s="4"/>
      <c r="E619" s="4"/>
      <c r="F619" s="4"/>
      <c r="G619" s="4"/>
      <c r="H619" s="4"/>
      <c r="I619" s="4"/>
      <c r="J619" s="7"/>
      <c r="K619" s="4"/>
      <c r="L619" s="4"/>
      <c r="M619" s="4"/>
      <c r="N619" s="4"/>
      <c r="O619" s="4"/>
      <c r="P619" s="4"/>
      <c r="Q619" s="4"/>
    </row>
    <row r="620" spans="1:17" x14ac:dyDescent="0.25">
      <c r="A620" s="99"/>
      <c r="D620" s="4"/>
      <c r="E620" s="4"/>
      <c r="F620" s="4"/>
      <c r="G620" s="4"/>
      <c r="H620" s="4"/>
      <c r="I620" s="4"/>
      <c r="J620" s="7"/>
      <c r="K620" s="4"/>
      <c r="L620" s="4"/>
      <c r="M620" s="4"/>
      <c r="N620" s="4"/>
      <c r="O620" s="4"/>
      <c r="P620" s="4"/>
      <c r="Q620" s="4"/>
    </row>
    <row r="621" spans="1:17" x14ac:dyDescent="0.25">
      <c r="A621" s="99"/>
      <c r="D621" s="4"/>
      <c r="E621" s="4"/>
      <c r="F621" s="4"/>
      <c r="G621" s="4"/>
      <c r="H621" s="4"/>
      <c r="I621" s="4"/>
      <c r="J621" s="7"/>
      <c r="K621" s="4"/>
      <c r="L621" s="4"/>
      <c r="M621" s="4"/>
      <c r="N621" s="4"/>
      <c r="O621" s="4"/>
      <c r="P621" s="4"/>
      <c r="Q621" s="4"/>
    </row>
    <row r="622" spans="1:17" x14ac:dyDescent="0.25">
      <c r="A622" s="99"/>
      <c r="D622" s="4"/>
      <c r="E622" s="4"/>
      <c r="F622" s="4"/>
      <c r="G622" s="4"/>
      <c r="H622" s="4"/>
      <c r="I622" s="4"/>
      <c r="J622" s="7"/>
      <c r="K622" s="4"/>
      <c r="L622" s="4"/>
      <c r="M622" s="4"/>
      <c r="N622" s="4"/>
      <c r="O622" s="4"/>
      <c r="P622" s="4"/>
      <c r="Q622" s="4"/>
    </row>
    <row r="623" spans="1:17" x14ac:dyDescent="0.25">
      <c r="A623" s="99"/>
      <c r="D623" s="4"/>
      <c r="E623" s="4"/>
      <c r="F623" s="4"/>
      <c r="G623" s="4"/>
      <c r="H623" s="4"/>
      <c r="I623" s="4"/>
      <c r="J623" s="7"/>
      <c r="K623" s="4"/>
      <c r="L623" s="4"/>
      <c r="M623" s="4"/>
      <c r="N623" s="4"/>
      <c r="O623" s="4"/>
      <c r="P623" s="4"/>
      <c r="Q623" s="4"/>
    </row>
    <row r="624" spans="1:17" x14ac:dyDescent="0.25">
      <c r="A624" s="99"/>
      <c r="D624" s="4"/>
      <c r="E624" s="4"/>
      <c r="F624" s="4"/>
      <c r="G624" s="4"/>
      <c r="H624" s="4"/>
      <c r="I624" s="4"/>
      <c r="J624" s="7"/>
      <c r="K624" s="4"/>
      <c r="L624" s="4"/>
      <c r="M624" s="4"/>
      <c r="N624" s="4"/>
      <c r="O624" s="4"/>
      <c r="P624" s="4"/>
      <c r="Q624" s="4"/>
    </row>
    <row r="625" spans="1:17" x14ac:dyDescent="0.25">
      <c r="A625" s="99"/>
      <c r="D625" s="4"/>
      <c r="E625" s="4"/>
      <c r="F625" s="4"/>
      <c r="G625" s="4"/>
      <c r="H625" s="4"/>
      <c r="I625" s="4"/>
      <c r="J625" s="7"/>
      <c r="K625" s="4"/>
      <c r="L625" s="4"/>
      <c r="M625" s="4"/>
      <c r="N625" s="4"/>
      <c r="O625" s="4"/>
      <c r="P625" s="4"/>
      <c r="Q625" s="4"/>
    </row>
    <row r="626" spans="1:17" x14ac:dyDescent="0.25">
      <c r="A626" s="99"/>
      <c r="D626" s="4"/>
      <c r="E626" s="4"/>
      <c r="F626" s="4"/>
      <c r="G626" s="4"/>
      <c r="H626" s="4"/>
      <c r="I626" s="4"/>
      <c r="J626" s="7"/>
      <c r="K626" s="4"/>
      <c r="L626" s="4"/>
      <c r="M626" s="4"/>
      <c r="N626" s="4"/>
      <c r="O626" s="4"/>
      <c r="P626" s="4"/>
      <c r="Q626" s="4"/>
    </row>
    <row r="627" spans="1:17" x14ac:dyDescent="0.25">
      <c r="A627" s="99"/>
      <c r="D627" s="4"/>
      <c r="E627" s="4"/>
      <c r="F627" s="4"/>
      <c r="G627" s="4"/>
      <c r="H627" s="4"/>
      <c r="I627" s="4"/>
      <c r="J627" s="7"/>
      <c r="K627" s="4"/>
      <c r="L627" s="4"/>
      <c r="M627" s="4"/>
      <c r="N627" s="4"/>
      <c r="O627" s="4"/>
      <c r="P627" s="4"/>
      <c r="Q627" s="4"/>
    </row>
    <row r="628" spans="1:17" x14ac:dyDescent="0.25">
      <c r="A628" s="99"/>
      <c r="D628" s="4"/>
      <c r="E628" s="4"/>
      <c r="F628" s="4"/>
      <c r="G628" s="4"/>
      <c r="H628" s="4"/>
      <c r="I628" s="4"/>
      <c r="J628" s="7"/>
      <c r="K628" s="4"/>
      <c r="L628" s="4"/>
      <c r="M628" s="4"/>
      <c r="N628" s="4"/>
      <c r="O628" s="4"/>
      <c r="P628" s="4"/>
      <c r="Q628" s="4"/>
    </row>
    <row r="629" spans="1:17" x14ac:dyDescent="0.25">
      <c r="A629" s="99"/>
      <c r="D629" s="4"/>
      <c r="E629" s="4"/>
      <c r="F629" s="4"/>
      <c r="G629" s="4"/>
      <c r="H629" s="4"/>
      <c r="I629" s="4"/>
      <c r="J629" s="7"/>
      <c r="K629" s="4"/>
      <c r="L629" s="4"/>
      <c r="M629" s="4"/>
      <c r="N629" s="4"/>
      <c r="O629" s="4"/>
      <c r="P629" s="4"/>
      <c r="Q629" s="4"/>
    </row>
    <row r="630" spans="1:17" x14ac:dyDescent="0.25">
      <c r="A630" s="99"/>
      <c r="D630" s="4"/>
      <c r="E630" s="4"/>
      <c r="F630" s="4"/>
      <c r="G630" s="4"/>
      <c r="H630" s="4"/>
      <c r="I630" s="4"/>
      <c r="J630" s="7"/>
      <c r="K630" s="4"/>
      <c r="L630" s="4"/>
      <c r="M630" s="4"/>
      <c r="N630" s="4"/>
      <c r="O630" s="4"/>
      <c r="P630" s="4"/>
      <c r="Q630" s="4"/>
    </row>
    <row r="631" spans="1:17" x14ac:dyDescent="0.25">
      <c r="A631" s="99"/>
      <c r="D631" s="4"/>
      <c r="E631" s="4"/>
      <c r="F631" s="4"/>
      <c r="G631" s="4"/>
      <c r="H631" s="4"/>
      <c r="I631" s="4"/>
      <c r="J631" s="7"/>
      <c r="K631" s="4"/>
      <c r="L631" s="4"/>
      <c r="M631" s="4"/>
      <c r="N631" s="4"/>
      <c r="O631" s="4"/>
      <c r="P631" s="4"/>
      <c r="Q631" s="4"/>
    </row>
    <row r="632" spans="1:17" x14ac:dyDescent="0.25">
      <c r="A632" s="99"/>
      <c r="D632" s="4"/>
      <c r="E632" s="4"/>
      <c r="F632" s="4"/>
      <c r="G632" s="4"/>
      <c r="H632" s="4"/>
      <c r="I632" s="4"/>
      <c r="J632" s="7"/>
      <c r="K632" s="4"/>
      <c r="L632" s="4"/>
      <c r="M632" s="4"/>
      <c r="N632" s="4"/>
      <c r="O632" s="4"/>
      <c r="P632" s="4"/>
      <c r="Q632" s="4"/>
    </row>
    <row r="633" spans="1:17" x14ac:dyDescent="0.25">
      <c r="A633" s="99"/>
      <c r="D633" s="4"/>
      <c r="E633" s="4"/>
      <c r="F633" s="4"/>
      <c r="G633" s="4"/>
      <c r="H633" s="4"/>
      <c r="I633" s="4"/>
      <c r="J633" s="7"/>
      <c r="K633" s="4"/>
      <c r="L633" s="4"/>
      <c r="M633" s="4"/>
      <c r="N633" s="4"/>
      <c r="O633" s="4"/>
      <c r="P633" s="4"/>
      <c r="Q633" s="4"/>
    </row>
    <row r="634" spans="1:17" x14ac:dyDescent="0.25">
      <c r="A634" s="99"/>
      <c r="D634" s="4"/>
      <c r="E634" s="4"/>
      <c r="F634" s="4"/>
      <c r="G634" s="4"/>
      <c r="H634" s="4"/>
      <c r="I634" s="4"/>
      <c r="J634" s="7"/>
      <c r="K634" s="4"/>
      <c r="L634" s="4"/>
      <c r="M634" s="4"/>
      <c r="N634" s="4"/>
      <c r="O634" s="4"/>
      <c r="P634" s="4"/>
      <c r="Q634" s="4"/>
    </row>
    <row r="635" spans="1:17" x14ac:dyDescent="0.25">
      <c r="A635" s="99"/>
      <c r="D635" s="4"/>
      <c r="E635" s="4"/>
      <c r="F635" s="4"/>
      <c r="G635" s="4"/>
      <c r="H635" s="4"/>
      <c r="I635" s="4"/>
      <c r="J635" s="7"/>
      <c r="K635" s="4"/>
      <c r="L635" s="4"/>
      <c r="M635" s="4"/>
      <c r="N635" s="4"/>
      <c r="O635" s="4"/>
      <c r="P635" s="4"/>
      <c r="Q635" s="4"/>
    </row>
    <row r="636" spans="1:17" x14ac:dyDescent="0.25">
      <c r="A636" s="99"/>
      <c r="D636" s="4"/>
      <c r="E636" s="4"/>
      <c r="F636" s="4"/>
      <c r="G636" s="4"/>
      <c r="H636" s="4"/>
      <c r="I636" s="4"/>
      <c r="J636" s="7"/>
      <c r="K636" s="4"/>
      <c r="L636" s="4"/>
      <c r="M636" s="4"/>
      <c r="N636" s="4"/>
      <c r="O636" s="4"/>
      <c r="P636" s="4"/>
      <c r="Q636" s="4"/>
    </row>
    <row r="637" spans="1:17" x14ac:dyDescent="0.25">
      <c r="A637" s="99"/>
      <c r="D637" s="4"/>
      <c r="E637" s="4"/>
      <c r="F637" s="4"/>
      <c r="G637" s="4"/>
      <c r="H637" s="4"/>
      <c r="I637" s="4"/>
      <c r="J637" s="7"/>
      <c r="K637" s="4"/>
      <c r="L637" s="4"/>
      <c r="M637" s="4"/>
      <c r="N637" s="4"/>
      <c r="O637" s="4"/>
      <c r="P637" s="4"/>
      <c r="Q637" s="4"/>
    </row>
    <row r="640" spans="1:17" x14ac:dyDescent="0.25">
      <c r="D640" s="4"/>
      <c r="E640" s="4"/>
      <c r="F640" s="4"/>
      <c r="G640" s="4"/>
      <c r="H640" s="4"/>
      <c r="I640" s="4"/>
      <c r="J640" s="7"/>
      <c r="K640" s="4"/>
      <c r="L640" s="4"/>
      <c r="M640" s="4"/>
      <c r="N640" s="4"/>
      <c r="O640" s="4"/>
      <c r="P640" s="4"/>
      <c r="Q640" s="4"/>
    </row>
    <row r="641" spans="1:17" x14ac:dyDescent="0.25">
      <c r="D641" s="4"/>
      <c r="E641" s="4"/>
      <c r="F641" s="4"/>
      <c r="G641" s="4"/>
      <c r="H641" s="4"/>
      <c r="I641" s="4"/>
      <c r="J641" s="7"/>
      <c r="K641" s="4"/>
      <c r="L641" s="4"/>
      <c r="M641" s="4"/>
      <c r="N641" s="4"/>
      <c r="O641" s="4"/>
      <c r="P641" s="4"/>
      <c r="Q641" s="4"/>
    </row>
    <row r="642" spans="1:17" x14ac:dyDescent="0.25">
      <c r="D642" s="4"/>
      <c r="E642" s="4"/>
      <c r="F642" s="4"/>
      <c r="G642" s="4"/>
      <c r="H642" s="4"/>
      <c r="I642" s="4"/>
      <c r="J642" s="7"/>
      <c r="K642" s="4"/>
      <c r="L642" s="4"/>
      <c r="M642" s="4"/>
      <c r="N642" s="4"/>
      <c r="O642" s="4"/>
      <c r="P642" s="4"/>
      <c r="Q642" s="4"/>
    </row>
    <row r="643" spans="1:17" x14ac:dyDescent="0.25">
      <c r="A643" s="163"/>
      <c r="D643" s="4"/>
      <c r="E643" s="4"/>
      <c r="F643" s="4"/>
      <c r="G643" s="4"/>
      <c r="H643" s="4"/>
      <c r="I643" s="4"/>
      <c r="J643" s="7"/>
      <c r="K643" s="4"/>
      <c r="L643" s="4"/>
      <c r="M643" s="4"/>
      <c r="N643" s="4"/>
      <c r="O643" s="4"/>
      <c r="P643" s="4"/>
      <c r="Q643" s="4"/>
    </row>
    <row r="644" spans="1:17" x14ac:dyDescent="0.25">
      <c r="A644" s="1"/>
      <c r="D644" s="4"/>
      <c r="E644" s="4"/>
      <c r="F644" s="4"/>
      <c r="G644" s="4"/>
      <c r="H644" s="4"/>
      <c r="I644" s="4"/>
      <c r="J644" s="7"/>
      <c r="K644" s="4"/>
      <c r="L644" s="4"/>
      <c r="M644" s="4"/>
      <c r="N644" s="4"/>
      <c r="O644" s="4"/>
      <c r="P644" s="4"/>
      <c r="Q644" s="4"/>
    </row>
    <row r="645" spans="1:17" x14ac:dyDescent="0.25">
      <c r="A645" s="1"/>
      <c r="D645" s="4"/>
      <c r="E645" s="4"/>
      <c r="F645" s="4"/>
      <c r="G645" s="4"/>
      <c r="H645" s="4"/>
      <c r="I645" s="4"/>
      <c r="J645" s="7"/>
      <c r="K645" s="4"/>
      <c r="L645" s="4"/>
      <c r="M645" s="4"/>
      <c r="N645" s="4"/>
      <c r="O645" s="4"/>
      <c r="P645" s="4"/>
      <c r="Q645" s="4"/>
    </row>
    <row r="646" spans="1:17" x14ac:dyDescent="0.25">
      <c r="A646" s="99"/>
      <c r="D646" s="4"/>
      <c r="E646" s="4"/>
      <c r="F646" s="4"/>
      <c r="G646" s="4"/>
      <c r="H646" s="4"/>
      <c r="I646" s="4"/>
      <c r="J646" s="7"/>
      <c r="K646" s="4"/>
      <c r="L646" s="4"/>
      <c r="M646" s="4"/>
      <c r="N646" s="4"/>
      <c r="O646" s="4"/>
      <c r="P646" s="4"/>
      <c r="Q646" s="4"/>
    </row>
    <row r="647" spans="1:17" x14ac:dyDescent="0.25">
      <c r="A647" s="99"/>
      <c r="D647" s="4"/>
      <c r="E647" s="4"/>
      <c r="F647" s="4"/>
      <c r="G647" s="4"/>
      <c r="H647" s="4"/>
      <c r="I647" s="4"/>
      <c r="J647" s="7"/>
      <c r="K647" s="4"/>
      <c r="L647" s="4"/>
      <c r="M647" s="4"/>
      <c r="N647" s="4"/>
      <c r="O647" s="4"/>
      <c r="P647" s="4"/>
      <c r="Q647" s="4"/>
    </row>
    <row r="648" spans="1:17" x14ac:dyDescent="0.25">
      <c r="A648" s="99"/>
      <c r="D648" s="4"/>
      <c r="E648" s="4"/>
      <c r="F648" s="4"/>
      <c r="G648" s="4"/>
      <c r="H648" s="4"/>
      <c r="I648" s="4"/>
      <c r="J648" s="7"/>
      <c r="K648" s="4"/>
      <c r="L648" s="4"/>
      <c r="M648" s="4"/>
      <c r="N648" s="4"/>
      <c r="O648" s="4"/>
      <c r="P648" s="4"/>
      <c r="Q648" s="4"/>
    </row>
    <row r="649" spans="1:17" x14ac:dyDescent="0.25">
      <c r="A649" s="99"/>
      <c r="D649" s="4"/>
      <c r="E649" s="4"/>
      <c r="F649" s="4"/>
      <c r="G649" s="4"/>
      <c r="H649" s="4"/>
      <c r="I649" s="4"/>
      <c r="J649" s="7"/>
      <c r="K649" s="4"/>
      <c r="L649" s="4"/>
      <c r="M649" s="4"/>
      <c r="N649" s="4"/>
      <c r="O649" s="4"/>
      <c r="P649" s="4"/>
      <c r="Q649" s="4"/>
    </row>
    <row r="650" spans="1:17" x14ac:dyDescent="0.25">
      <c r="A650" s="99"/>
      <c r="D650" s="4"/>
      <c r="E650" s="4"/>
      <c r="F650" s="4"/>
      <c r="G650" s="4"/>
      <c r="H650" s="4"/>
      <c r="I650" s="4"/>
      <c r="J650" s="7"/>
      <c r="K650" s="4"/>
      <c r="L650" s="4"/>
      <c r="M650" s="4"/>
      <c r="N650" s="4"/>
      <c r="O650" s="4"/>
      <c r="P650" s="4"/>
      <c r="Q650" s="4"/>
    </row>
    <row r="651" spans="1:17" x14ac:dyDescent="0.25">
      <c r="A651" s="99"/>
      <c r="D651" s="4"/>
      <c r="E651" s="4"/>
      <c r="F651" s="4"/>
      <c r="G651" s="4"/>
      <c r="H651" s="4"/>
      <c r="I651" s="4"/>
      <c r="J651" s="7"/>
      <c r="K651" s="4"/>
      <c r="L651" s="4"/>
      <c r="M651" s="4"/>
      <c r="N651" s="4"/>
      <c r="O651" s="4"/>
      <c r="P651" s="4"/>
      <c r="Q651" s="4"/>
    </row>
    <row r="652" spans="1:17" x14ac:dyDescent="0.25">
      <c r="A652" s="99"/>
      <c r="D652" s="4"/>
      <c r="E652" s="4"/>
      <c r="F652" s="4"/>
      <c r="G652" s="4"/>
      <c r="H652" s="4"/>
      <c r="I652" s="4"/>
      <c r="J652" s="7"/>
      <c r="K652" s="4"/>
      <c r="L652" s="4"/>
      <c r="M652" s="4"/>
      <c r="N652" s="4"/>
      <c r="O652" s="4"/>
      <c r="P652" s="4"/>
      <c r="Q652" s="4"/>
    </row>
    <row r="653" spans="1:17" x14ac:dyDescent="0.25">
      <c r="A653" s="99"/>
      <c r="D653" s="4"/>
      <c r="E653" s="4"/>
      <c r="F653" s="4"/>
      <c r="G653" s="4"/>
      <c r="H653" s="4"/>
      <c r="I653" s="4"/>
      <c r="J653" s="7"/>
      <c r="K653" s="4"/>
      <c r="L653" s="4"/>
      <c r="M653" s="4"/>
      <c r="N653" s="4"/>
      <c r="O653" s="4"/>
      <c r="P653" s="4"/>
      <c r="Q653" s="4"/>
    </row>
    <row r="654" spans="1:17" x14ac:dyDescent="0.25">
      <c r="A654" s="99"/>
      <c r="D654" s="4"/>
      <c r="E654" s="4"/>
      <c r="F654" s="4"/>
      <c r="G654" s="4"/>
      <c r="H654" s="4"/>
      <c r="I654" s="4"/>
      <c r="J654" s="7"/>
      <c r="K654" s="4"/>
      <c r="L654" s="4"/>
      <c r="M654" s="4"/>
      <c r="N654" s="4"/>
      <c r="O654" s="4"/>
      <c r="P654" s="4"/>
      <c r="Q654" s="4"/>
    </row>
    <row r="655" spans="1:17" x14ac:dyDescent="0.25">
      <c r="A655" s="99"/>
      <c r="D655" s="4"/>
      <c r="E655" s="4"/>
      <c r="F655" s="4"/>
      <c r="G655" s="4"/>
      <c r="H655" s="4"/>
      <c r="I655" s="4"/>
      <c r="J655" s="7"/>
      <c r="K655" s="4"/>
      <c r="L655" s="4"/>
      <c r="M655" s="4"/>
      <c r="N655" s="4"/>
      <c r="O655" s="4"/>
      <c r="P655" s="4"/>
      <c r="Q655" s="4"/>
    </row>
    <row r="656" spans="1:17" x14ac:dyDescent="0.25">
      <c r="A656" s="99"/>
      <c r="D656" s="4"/>
      <c r="E656" s="4"/>
      <c r="F656" s="4"/>
      <c r="G656" s="4"/>
      <c r="H656" s="4"/>
      <c r="I656" s="4"/>
      <c r="J656" s="7"/>
      <c r="K656" s="4"/>
      <c r="L656" s="4"/>
      <c r="M656" s="4"/>
      <c r="N656" s="4"/>
      <c r="O656" s="4"/>
      <c r="P656" s="4"/>
      <c r="Q656" s="4"/>
    </row>
    <row r="657" spans="1:17" x14ac:dyDescent="0.25">
      <c r="A657" s="99"/>
      <c r="D657" s="4"/>
      <c r="E657" s="4"/>
      <c r="F657" s="4"/>
      <c r="G657" s="4"/>
      <c r="H657" s="4"/>
      <c r="I657" s="4"/>
      <c r="J657" s="7"/>
      <c r="K657" s="4"/>
      <c r="L657" s="4"/>
      <c r="M657" s="4"/>
      <c r="N657" s="4"/>
      <c r="O657" s="4"/>
      <c r="P657" s="4"/>
      <c r="Q657" s="4"/>
    </row>
    <row r="658" spans="1:17" x14ac:dyDescent="0.25">
      <c r="A658" s="99"/>
      <c r="D658" s="4"/>
      <c r="E658" s="4"/>
      <c r="F658" s="4"/>
      <c r="G658" s="4"/>
      <c r="H658" s="4"/>
      <c r="I658" s="4"/>
      <c r="J658" s="7"/>
      <c r="K658" s="4"/>
      <c r="L658" s="4"/>
      <c r="M658" s="4"/>
      <c r="N658" s="4"/>
      <c r="O658" s="4"/>
      <c r="P658" s="4"/>
      <c r="Q658" s="4"/>
    </row>
    <row r="659" spans="1:17" x14ac:dyDescent="0.25">
      <c r="A659" s="99"/>
      <c r="D659" s="4"/>
      <c r="E659" s="4"/>
      <c r="F659" s="4"/>
      <c r="G659" s="4"/>
      <c r="H659" s="4"/>
      <c r="I659" s="4"/>
      <c r="J659" s="7"/>
      <c r="K659" s="4"/>
      <c r="L659" s="4"/>
      <c r="M659" s="4"/>
      <c r="N659" s="4"/>
      <c r="O659" s="4"/>
      <c r="P659" s="4"/>
      <c r="Q659" s="4"/>
    </row>
    <row r="660" spans="1:17" x14ac:dyDescent="0.25">
      <c r="A660" s="99"/>
      <c r="D660" s="4"/>
      <c r="E660" s="4"/>
      <c r="F660" s="4"/>
      <c r="G660" s="4"/>
      <c r="H660" s="4"/>
      <c r="I660" s="4"/>
      <c r="J660" s="7"/>
      <c r="K660" s="4"/>
      <c r="L660" s="4"/>
      <c r="M660" s="4"/>
      <c r="N660" s="4"/>
      <c r="O660" s="4"/>
      <c r="P660" s="4"/>
      <c r="Q660" s="4"/>
    </row>
    <row r="661" spans="1:17" x14ac:dyDescent="0.25">
      <c r="A661" s="99"/>
      <c r="D661" s="4"/>
      <c r="E661" s="4"/>
      <c r="F661" s="4"/>
      <c r="G661" s="4"/>
      <c r="H661" s="4"/>
      <c r="I661" s="4"/>
      <c r="J661" s="7"/>
      <c r="K661" s="4"/>
      <c r="L661" s="4"/>
      <c r="M661" s="4"/>
      <c r="N661" s="4"/>
      <c r="O661" s="4"/>
      <c r="P661" s="4"/>
      <c r="Q661" s="4"/>
    </row>
    <row r="662" spans="1:17" x14ac:dyDescent="0.25">
      <c r="A662" s="99"/>
      <c r="D662" s="4"/>
      <c r="E662" s="4"/>
      <c r="F662" s="4"/>
      <c r="G662" s="4"/>
      <c r="H662" s="4"/>
      <c r="I662" s="4"/>
      <c r="J662" s="7"/>
      <c r="K662" s="4"/>
      <c r="L662" s="4"/>
      <c r="M662" s="4"/>
      <c r="N662" s="4"/>
      <c r="O662" s="4"/>
      <c r="P662" s="4"/>
      <c r="Q662" s="4"/>
    </row>
    <row r="663" spans="1:17" x14ac:dyDescent="0.25">
      <c r="A663" s="99"/>
      <c r="D663" s="4"/>
      <c r="E663" s="4"/>
      <c r="F663" s="4"/>
      <c r="G663" s="4"/>
      <c r="H663" s="4"/>
      <c r="I663" s="4"/>
      <c r="J663" s="7"/>
      <c r="K663" s="4"/>
      <c r="L663" s="4"/>
      <c r="M663" s="4"/>
      <c r="N663" s="4"/>
      <c r="O663" s="4"/>
      <c r="P663" s="4"/>
      <c r="Q663" s="4"/>
    </row>
    <row r="664" spans="1:17" x14ac:dyDescent="0.25">
      <c r="A664" s="99"/>
      <c r="D664" s="4"/>
      <c r="E664" s="4"/>
      <c r="F664" s="4"/>
      <c r="G664" s="4"/>
      <c r="H664" s="4"/>
      <c r="I664" s="4"/>
      <c r="J664" s="7"/>
      <c r="K664" s="4"/>
      <c r="L664" s="4"/>
      <c r="M664" s="4"/>
      <c r="N664" s="4"/>
      <c r="O664" s="4"/>
      <c r="P664" s="4"/>
      <c r="Q664" s="4"/>
    </row>
    <row r="665" spans="1:17" x14ac:dyDescent="0.25">
      <c r="A665" s="99"/>
      <c r="D665" s="4"/>
      <c r="E665" s="4"/>
      <c r="F665" s="4"/>
      <c r="G665" s="4"/>
      <c r="H665" s="4"/>
      <c r="I665" s="4"/>
      <c r="J665" s="7"/>
      <c r="K665" s="4"/>
      <c r="L665" s="4"/>
      <c r="M665" s="4"/>
      <c r="N665" s="4"/>
      <c r="O665" s="4"/>
      <c r="P665" s="4"/>
      <c r="Q665" s="4"/>
    </row>
    <row r="666" spans="1:17" x14ac:dyDescent="0.25">
      <c r="A666" s="99"/>
      <c r="D666" s="4"/>
      <c r="E666" s="4"/>
      <c r="F666" s="4"/>
      <c r="G666" s="4"/>
      <c r="H666" s="4"/>
      <c r="I666" s="4"/>
      <c r="J666" s="7"/>
      <c r="K666" s="4"/>
      <c r="L666" s="4"/>
      <c r="M666" s="4"/>
      <c r="N666" s="4"/>
      <c r="O666" s="4"/>
      <c r="P666" s="4"/>
      <c r="Q666" s="4"/>
    </row>
    <row r="667" spans="1:17" x14ac:dyDescent="0.25">
      <c r="A667" s="99"/>
      <c r="D667" s="4"/>
      <c r="E667" s="4"/>
      <c r="F667" s="4"/>
      <c r="G667" s="4"/>
      <c r="H667" s="4"/>
      <c r="I667" s="4"/>
      <c r="J667" s="7"/>
      <c r="K667" s="4"/>
      <c r="L667" s="4"/>
      <c r="M667" s="4"/>
      <c r="N667" s="4"/>
      <c r="O667" s="4"/>
      <c r="P667" s="4"/>
      <c r="Q667" s="4"/>
    </row>
    <row r="668" spans="1:17" x14ac:dyDescent="0.25">
      <c r="A668" s="99"/>
      <c r="D668" s="4"/>
      <c r="E668" s="4"/>
      <c r="F668" s="4"/>
      <c r="G668" s="4"/>
      <c r="H668" s="4"/>
      <c r="I668" s="4"/>
      <c r="J668" s="7"/>
      <c r="K668" s="4"/>
      <c r="L668" s="4"/>
      <c r="M668" s="4"/>
      <c r="N668" s="4"/>
      <c r="O668" s="4"/>
      <c r="P668" s="4"/>
      <c r="Q668" s="4"/>
    </row>
    <row r="669" spans="1:17" x14ac:dyDescent="0.25">
      <c r="A669" s="99"/>
      <c r="D669" s="4"/>
      <c r="E669" s="4"/>
      <c r="F669" s="4"/>
      <c r="G669" s="4"/>
      <c r="H669" s="4"/>
      <c r="I669" s="4"/>
      <c r="J669" s="7"/>
      <c r="K669" s="4"/>
      <c r="L669" s="4"/>
      <c r="M669" s="4"/>
      <c r="N669" s="4"/>
      <c r="O669" s="4"/>
      <c r="P669" s="4"/>
      <c r="Q669" s="4"/>
    </row>
    <row r="670" spans="1:17" x14ac:dyDescent="0.25">
      <c r="A670" s="99"/>
      <c r="D670" s="4"/>
      <c r="E670" s="4"/>
      <c r="F670" s="4"/>
      <c r="G670" s="4"/>
      <c r="H670" s="4"/>
      <c r="I670" s="4"/>
      <c r="J670" s="7"/>
      <c r="K670" s="4"/>
      <c r="L670" s="4"/>
      <c r="M670" s="4"/>
      <c r="N670" s="4"/>
      <c r="O670" s="4"/>
      <c r="P670" s="4"/>
      <c r="Q670" s="4"/>
    </row>
    <row r="671" spans="1:17" x14ac:dyDescent="0.25">
      <c r="A671" s="99"/>
      <c r="D671" s="4"/>
      <c r="E671" s="4"/>
      <c r="F671" s="4"/>
      <c r="G671" s="4"/>
      <c r="H671" s="4"/>
      <c r="I671" s="4"/>
      <c r="J671" s="7"/>
      <c r="K671" s="4"/>
      <c r="L671" s="4"/>
      <c r="M671" s="4"/>
      <c r="N671" s="4"/>
      <c r="O671" s="4"/>
      <c r="P671" s="4"/>
      <c r="Q671" s="4"/>
    </row>
    <row r="672" spans="1:17" x14ac:dyDescent="0.25">
      <c r="A672" s="99"/>
      <c r="D672" s="4"/>
      <c r="E672" s="4"/>
      <c r="F672" s="4"/>
      <c r="G672" s="4"/>
      <c r="H672" s="4"/>
      <c r="I672" s="4"/>
      <c r="J672" s="7"/>
      <c r="K672" s="4"/>
      <c r="L672" s="4"/>
      <c r="M672" s="4"/>
      <c r="N672" s="4"/>
      <c r="O672" s="4"/>
      <c r="P672" s="4"/>
      <c r="Q672" s="4"/>
    </row>
    <row r="673" spans="1:17" x14ac:dyDescent="0.25">
      <c r="A673" s="99"/>
      <c r="D673" s="4"/>
      <c r="E673" s="4"/>
      <c r="F673" s="4"/>
      <c r="G673" s="4"/>
      <c r="H673" s="4"/>
      <c r="I673" s="4"/>
      <c r="J673" s="7"/>
      <c r="K673" s="4"/>
      <c r="L673" s="4"/>
      <c r="M673" s="4"/>
      <c r="N673" s="4"/>
      <c r="O673" s="4"/>
      <c r="P673" s="4"/>
      <c r="Q673" s="4"/>
    </row>
    <row r="674" spans="1:17" x14ac:dyDescent="0.25">
      <c r="A674" s="99"/>
      <c r="D674" s="4"/>
      <c r="E674" s="4"/>
      <c r="F674" s="4"/>
      <c r="G674" s="4"/>
      <c r="H674" s="4"/>
      <c r="I674" s="4"/>
      <c r="J674" s="7"/>
      <c r="K674" s="4"/>
      <c r="L674" s="4"/>
      <c r="M674" s="4"/>
      <c r="N674" s="4"/>
      <c r="O674" s="4"/>
      <c r="P674" s="4"/>
      <c r="Q674" s="4"/>
    </row>
    <row r="675" spans="1:17" x14ac:dyDescent="0.25">
      <c r="A675" s="99"/>
      <c r="D675" s="4"/>
      <c r="E675" s="4"/>
      <c r="F675" s="4"/>
      <c r="G675" s="4"/>
      <c r="H675" s="4"/>
      <c r="I675" s="4"/>
      <c r="J675" s="7"/>
      <c r="K675" s="4"/>
      <c r="L675" s="4"/>
      <c r="M675" s="4"/>
      <c r="N675" s="4"/>
      <c r="O675" s="4"/>
      <c r="P675" s="4"/>
      <c r="Q675" s="4"/>
    </row>
    <row r="676" spans="1:17" x14ac:dyDescent="0.25">
      <c r="A676" s="99"/>
      <c r="D676" s="4"/>
      <c r="E676" s="4"/>
      <c r="F676" s="4"/>
      <c r="G676" s="4"/>
      <c r="H676" s="4"/>
      <c r="I676" s="4"/>
      <c r="J676" s="7"/>
      <c r="K676" s="4"/>
      <c r="L676" s="4"/>
      <c r="M676" s="4"/>
      <c r="N676" s="4"/>
      <c r="O676" s="4"/>
      <c r="P676" s="4"/>
      <c r="Q676" s="4"/>
    </row>
    <row r="677" spans="1:17" x14ac:dyDescent="0.25">
      <c r="A677" s="99"/>
      <c r="D677" s="4"/>
      <c r="E677" s="4"/>
      <c r="F677" s="4"/>
      <c r="G677" s="4"/>
      <c r="H677" s="4"/>
      <c r="I677" s="4"/>
      <c r="J677" s="7"/>
      <c r="K677" s="4"/>
      <c r="L677" s="4"/>
      <c r="M677" s="4"/>
      <c r="N677" s="4"/>
      <c r="O677" s="4"/>
      <c r="P677" s="4"/>
      <c r="Q677" s="4"/>
    </row>
    <row r="678" spans="1:17" x14ac:dyDescent="0.25">
      <c r="A678" s="99"/>
      <c r="D678" s="4"/>
      <c r="E678" s="4"/>
      <c r="F678" s="4"/>
      <c r="G678" s="4"/>
      <c r="H678" s="4"/>
      <c r="I678" s="4"/>
      <c r="J678" s="7"/>
      <c r="K678" s="4"/>
      <c r="L678" s="4"/>
      <c r="M678" s="4"/>
      <c r="N678" s="4"/>
      <c r="O678" s="4"/>
      <c r="P678" s="4"/>
      <c r="Q678" s="4"/>
    </row>
    <row r="679" spans="1:17" x14ac:dyDescent="0.25">
      <c r="A679" s="99"/>
      <c r="D679" s="4"/>
      <c r="E679" s="4"/>
      <c r="F679" s="4"/>
      <c r="G679" s="4"/>
      <c r="H679" s="4"/>
      <c r="I679" s="4"/>
      <c r="J679" s="7"/>
      <c r="K679" s="4"/>
      <c r="L679" s="4"/>
      <c r="M679" s="4"/>
      <c r="N679" s="4"/>
      <c r="O679" s="4"/>
      <c r="P679" s="4"/>
      <c r="Q679" s="4"/>
    </row>
    <row r="680" spans="1:17" x14ac:dyDescent="0.25">
      <c r="A680" s="99"/>
      <c r="D680" s="4"/>
      <c r="E680" s="4"/>
      <c r="F680" s="4"/>
      <c r="G680" s="4"/>
      <c r="H680" s="4"/>
      <c r="I680" s="4"/>
      <c r="J680" s="7"/>
      <c r="K680" s="4"/>
      <c r="L680" s="4"/>
      <c r="M680" s="4"/>
      <c r="N680" s="4"/>
      <c r="O680" s="4"/>
      <c r="P680" s="4"/>
      <c r="Q680" s="4"/>
    </row>
    <row r="681" spans="1:17" x14ac:dyDescent="0.25">
      <c r="A681" s="99"/>
      <c r="D681" s="4"/>
      <c r="E681" s="4"/>
      <c r="F681" s="4"/>
      <c r="G681" s="4"/>
      <c r="H681" s="4"/>
      <c r="I681" s="4"/>
      <c r="J681" s="7"/>
      <c r="K681" s="4"/>
      <c r="L681" s="4"/>
      <c r="M681" s="4"/>
      <c r="N681" s="4"/>
      <c r="O681" s="4"/>
      <c r="P681" s="4"/>
      <c r="Q681" s="4"/>
    </row>
    <row r="682" spans="1:17" x14ac:dyDescent="0.25">
      <c r="A682" s="99"/>
      <c r="D682" s="4"/>
      <c r="E682" s="4"/>
      <c r="F682" s="4"/>
      <c r="G682" s="4"/>
      <c r="H682" s="4"/>
      <c r="I682" s="4"/>
      <c r="J682" s="7"/>
      <c r="K682" s="4"/>
      <c r="L682" s="4"/>
      <c r="M682" s="4"/>
      <c r="N682" s="4"/>
      <c r="O682" s="4"/>
      <c r="P682" s="4"/>
      <c r="Q682" s="4"/>
    </row>
    <row r="683" spans="1:17" x14ac:dyDescent="0.25">
      <c r="A683" s="99"/>
      <c r="D683" s="4"/>
      <c r="E683" s="4"/>
      <c r="F683" s="4"/>
      <c r="G683" s="4"/>
      <c r="H683" s="4"/>
      <c r="I683" s="4"/>
      <c r="J683" s="7"/>
      <c r="K683" s="4"/>
      <c r="L683" s="4"/>
      <c r="M683" s="4"/>
      <c r="N683" s="4"/>
      <c r="O683" s="4"/>
      <c r="P683" s="4"/>
      <c r="Q683" s="4"/>
    </row>
    <row r="684" spans="1:17" x14ac:dyDescent="0.25">
      <c r="A684" s="99"/>
      <c r="D684" s="4"/>
      <c r="E684" s="4"/>
      <c r="F684" s="4"/>
      <c r="G684" s="4"/>
      <c r="H684" s="4"/>
      <c r="I684" s="4"/>
      <c r="J684" s="7"/>
      <c r="K684" s="4"/>
      <c r="L684" s="4"/>
      <c r="M684" s="4"/>
      <c r="N684" s="4"/>
      <c r="O684" s="4"/>
      <c r="P684" s="4"/>
      <c r="Q684" s="4"/>
    </row>
    <row r="685" spans="1:17" x14ac:dyDescent="0.25">
      <c r="A685" s="99"/>
      <c r="D685" s="4"/>
      <c r="E685" s="4"/>
      <c r="F685" s="4"/>
      <c r="G685" s="4"/>
      <c r="H685" s="4"/>
      <c r="I685" s="4"/>
      <c r="J685" s="7"/>
      <c r="K685" s="4"/>
      <c r="L685" s="4"/>
      <c r="M685" s="4"/>
      <c r="N685" s="4"/>
      <c r="O685" s="4"/>
      <c r="P685" s="4"/>
      <c r="Q685" s="4"/>
    </row>
    <row r="686" spans="1:17" x14ac:dyDescent="0.25">
      <c r="A686" s="99"/>
      <c r="D686" s="4"/>
      <c r="E686" s="4"/>
      <c r="F686" s="4"/>
      <c r="G686" s="4"/>
      <c r="H686" s="4"/>
      <c r="I686" s="4"/>
      <c r="J686" s="7"/>
      <c r="K686" s="4"/>
      <c r="L686" s="4"/>
      <c r="M686" s="4"/>
      <c r="N686" s="4"/>
      <c r="O686" s="4"/>
      <c r="P686" s="4"/>
      <c r="Q686" s="4"/>
    </row>
    <row r="687" spans="1:17" x14ac:dyDescent="0.25">
      <c r="A687" s="99"/>
      <c r="D687" s="4"/>
      <c r="E687" s="4"/>
      <c r="F687" s="4"/>
      <c r="G687" s="4"/>
      <c r="H687" s="4"/>
      <c r="I687" s="4"/>
      <c r="J687" s="7"/>
      <c r="K687" s="4"/>
      <c r="L687" s="4"/>
      <c r="M687" s="4"/>
      <c r="N687" s="4"/>
      <c r="O687" s="4"/>
      <c r="P687" s="4"/>
      <c r="Q687" s="4"/>
    </row>
    <row r="688" spans="1:17" x14ac:dyDescent="0.25">
      <c r="A688" s="99"/>
      <c r="D688" s="4"/>
      <c r="E688" s="4"/>
      <c r="F688" s="4"/>
      <c r="G688" s="4"/>
      <c r="H688" s="4"/>
      <c r="I688" s="4"/>
      <c r="J688" s="7"/>
      <c r="K688" s="4"/>
      <c r="L688" s="4"/>
      <c r="M688" s="4"/>
      <c r="N688" s="4"/>
      <c r="O688" s="4"/>
      <c r="P688" s="4"/>
      <c r="Q688" s="4"/>
    </row>
    <row r="689" spans="1:17" x14ac:dyDescent="0.25">
      <c r="A689" s="99"/>
      <c r="D689" s="4"/>
      <c r="E689" s="4"/>
      <c r="F689" s="4"/>
      <c r="G689" s="4"/>
      <c r="H689" s="4"/>
      <c r="I689" s="4"/>
      <c r="J689" s="7"/>
      <c r="K689" s="4"/>
      <c r="L689" s="4"/>
      <c r="M689" s="4"/>
      <c r="N689" s="4"/>
      <c r="O689" s="4"/>
      <c r="P689" s="4"/>
      <c r="Q689" s="4"/>
    </row>
    <row r="690" spans="1:17" x14ac:dyDescent="0.25">
      <c r="A690" s="99"/>
      <c r="D690" s="4"/>
      <c r="E690" s="4"/>
      <c r="F690" s="4"/>
      <c r="G690" s="4"/>
      <c r="H690" s="4"/>
      <c r="I690" s="4"/>
      <c r="J690" s="7"/>
      <c r="K690" s="4"/>
      <c r="L690" s="4"/>
      <c r="M690" s="4"/>
      <c r="N690" s="4"/>
      <c r="O690" s="4"/>
      <c r="P690" s="4"/>
      <c r="Q690" s="4"/>
    </row>
    <row r="691" spans="1:17" x14ac:dyDescent="0.25">
      <c r="A691" s="99"/>
      <c r="D691" s="4"/>
      <c r="E691" s="4"/>
      <c r="F691" s="4"/>
      <c r="G691" s="4"/>
      <c r="H691" s="4"/>
      <c r="I691" s="4"/>
      <c r="J691" s="7"/>
      <c r="K691" s="4"/>
      <c r="L691" s="4"/>
      <c r="M691" s="4"/>
      <c r="N691" s="4"/>
      <c r="O691" s="4"/>
      <c r="P691" s="4"/>
      <c r="Q691" s="4"/>
    </row>
    <row r="692" spans="1:17" x14ac:dyDescent="0.25">
      <c r="A692" s="99"/>
      <c r="D692" s="4"/>
      <c r="E692" s="4"/>
      <c r="F692" s="4"/>
      <c r="G692" s="4"/>
      <c r="H692" s="4"/>
      <c r="I692" s="4"/>
      <c r="J692" s="7"/>
      <c r="K692" s="4"/>
      <c r="L692" s="4"/>
      <c r="M692" s="4"/>
      <c r="N692" s="4"/>
      <c r="O692" s="4"/>
      <c r="P692" s="4"/>
      <c r="Q692" s="4"/>
    </row>
    <row r="693" spans="1:17" x14ac:dyDescent="0.25">
      <c r="A693" s="99"/>
      <c r="D693" s="4"/>
      <c r="E693" s="4"/>
      <c r="F693" s="4"/>
      <c r="G693" s="4"/>
      <c r="H693" s="4"/>
      <c r="I693" s="4"/>
      <c r="J693" s="7"/>
      <c r="K693" s="4"/>
      <c r="L693" s="4"/>
      <c r="M693" s="4"/>
      <c r="N693" s="4"/>
      <c r="O693" s="4"/>
      <c r="P693" s="4"/>
      <c r="Q693" s="4"/>
    </row>
    <row r="694" spans="1:17" x14ac:dyDescent="0.25">
      <c r="A694" s="99"/>
      <c r="D694" s="4"/>
      <c r="E694" s="4"/>
      <c r="F694" s="4"/>
      <c r="G694" s="4"/>
      <c r="H694" s="4"/>
      <c r="I694" s="4"/>
      <c r="J694" s="7"/>
      <c r="K694" s="4"/>
      <c r="L694" s="4"/>
      <c r="M694" s="4"/>
      <c r="N694" s="4"/>
      <c r="O694" s="4"/>
      <c r="P694" s="4"/>
      <c r="Q694" s="4"/>
    </row>
    <row r="695" spans="1:17" x14ac:dyDescent="0.25">
      <c r="A695" s="99"/>
      <c r="D695" s="4"/>
      <c r="E695" s="4"/>
      <c r="F695" s="4"/>
      <c r="G695" s="4"/>
      <c r="H695" s="4"/>
      <c r="I695" s="4"/>
      <c r="J695" s="7"/>
      <c r="K695" s="4"/>
      <c r="L695" s="4"/>
      <c r="M695" s="4"/>
      <c r="N695" s="4"/>
      <c r="O695" s="4"/>
      <c r="P695" s="4"/>
      <c r="Q695" s="4"/>
    </row>
    <row r="696" spans="1:17" x14ac:dyDescent="0.25">
      <c r="A696" s="99"/>
      <c r="D696" s="4"/>
      <c r="E696" s="4"/>
      <c r="F696" s="4"/>
      <c r="G696" s="4"/>
      <c r="H696" s="4"/>
      <c r="I696" s="4"/>
      <c r="J696" s="7"/>
      <c r="K696" s="4"/>
      <c r="L696" s="4"/>
      <c r="M696" s="4"/>
      <c r="N696" s="4"/>
      <c r="O696" s="4"/>
      <c r="P696" s="4"/>
      <c r="Q696" s="4"/>
    </row>
    <row r="697" spans="1:17" x14ac:dyDescent="0.25">
      <c r="A697" s="99"/>
      <c r="D697" s="4"/>
      <c r="E697" s="4"/>
      <c r="F697" s="4"/>
      <c r="G697" s="4"/>
      <c r="H697" s="4"/>
      <c r="I697" s="4"/>
      <c r="J697" s="7"/>
      <c r="K697" s="4"/>
      <c r="L697" s="4"/>
      <c r="M697" s="4"/>
      <c r="N697" s="4"/>
      <c r="O697" s="4"/>
      <c r="P697" s="4"/>
      <c r="Q697" s="4"/>
    </row>
    <row r="698" spans="1:17" x14ac:dyDescent="0.25">
      <c r="A698" s="99"/>
      <c r="D698" s="4"/>
      <c r="E698" s="4"/>
      <c r="F698" s="4"/>
      <c r="G698" s="4"/>
      <c r="H698" s="4"/>
      <c r="I698" s="4"/>
      <c r="J698" s="7"/>
      <c r="K698" s="4"/>
      <c r="L698" s="4"/>
      <c r="M698" s="4"/>
      <c r="N698" s="4"/>
      <c r="O698" s="4"/>
      <c r="P698" s="4"/>
      <c r="Q698" s="4"/>
    </row>
    <row r="699" spans="1:17" x14ac:dyDescent="0.25">
      <c r="A699" s="99"/>
      <c r="D699" s="4"/>
      <c r="E699" s="4"/>
      <c r="F699" s="4"/>
      <c r="G699" s="4"/>
      <c r="H699" s="4"/>
      <c r="I699" s="4"/>
      <c r="J699" s="7"/>
      <c r="K699" s="4"/>
      <c r="L699" s="4"/>
      <c r="M699" s="4"/>
      <c r="N699" s="4"/>
      <c r="O699" s="4"/>
      <c r="P699" s="4"/>
      <c r="Q699" s="4"/>
    </row>
    <row r="700" spans="1:17" x14ac:dyDescent="0.25">
      <c r="A700" s="99"/>
      <c r="D700" s="4"/>
      <c r="E700" s="4"/>
      <c r="F700" s="4"/>
      <c r="G700" s="4"/>
      <c r="H700" s="4"/>
      <c r="I700" s="4"/>
      <c r="J700" s="7"/>
      <c r="K700" s="4"/>
      <c r="L700" s="4"/>
      <c r="M700" s="4"/>
      <c r="N700" s="4"/>
      <c r="O700" s="4"/>
      <c r="P700" s="4"/>
      <c r="Q700" s="4"/>
    </row>
    <row r="701" spans="1:17" x14ac:dyDescent="0.25">
      <c r="A701" s="99"/>
      <c r="D701" s="4"/>
      <c r="E701" s="4"/>
      <c r="F701" s="4"/>
      <c r="G701" s="4"/>
      <c r="H701" s="4"/>
      <c r="I701" s="4"/>
      <c r="J701" s="7"/>
      <c r="K701" s="4"/>
      <c r="L701" s="4"/>
      <c r="M701" s="4"/>
      <c r="N701" s="4"/>
      <c r="O701" s="4"/>
      <c r="P701" s="4"/>
      <c r="Q701" s="4"/>
    </row>
    <row r="702" spans="1:17" x14ac:dyDescent="0.25">
      <c r="A702" s="99"/>
      <c r="D702" s="4"/>
      <c r="E702" s="4"/>
      <c r="F702" s="4"/>
      <c r="G702" s="4"/>
      <c r="H702" s="4"/>
      <c r="I702" s="4"/>
      <c r="J702" s="7"/>
      <c r="K702" s="4"/>
      <c r="L702" s="4"/>
      <c r="M702" s="4"/>
      <c r="N702" s="4"/>
      <c r="O702" s="4"/>
      <c r="P702" s="4"/>
      <c r="Q702" s="4"/>
    </row>
    <row r="703" spans="1:17" x14ac:dyDescent="0.25">
      <c r="A703" s="99"/>
      <c r="D703" s="4"/>
      <c r="E703" s="4"/>
      <c r="F703" s="4"/>
      <c r="G703" s="4"/>
      <c r="H703" s="4"/>
      <c r="I703" s="4"/>
      <c r="J703" s="7"/>
      <c r="K703" s="4"/>
      <c r="L703" s="4"/>
      <c r="M703" s="4"/>
      <c r="N703" s="4"/>
      <c r="O703" s="4"/>
      <c r="P703" s="4"/>
      <c r="Q703" s="4"/>
    </row>
    <row r="704" spans="1:17" x14ac:dyDescent="0.25">
      <c r="A704" s="99"/>
      <c r="D704" s="4"/>
      <c r="E704" s="4"/>
      <c r="F704" s="4"/>
      <c r="G704" s="4"/>
      <c r="H704" s="4"/>
      <c r="I704" s="4"/>
      <c r="J704" s="7"/>
      <c r="K704" s="4"/>
      <c r="L704" s="4"/>
      <c r="M704" s="4"/>
      <c r="N704" s="4"/>
      <c r="O704" s="4"/>
      <c r="P704" s="4"/>
      <c r="Q704" s="4"/>
    </row>
    <row r="705" spans="1:17" x14ac:dyDescent="0.25">
      <c r="A705" s="99"/>
      <c r="D705" s="4"/>
      <c r="E705" s="4"/>
      <c r="F705" s="4"/>
      <c r="G705" s="4"/>
      <c r="H705" s="4"/>
      <c r="I705" s="4"/>
      <c r="J705" s="7"/>
      <c r="K705" s="4"/>
      <c r="L705" s="4"/>
      <c r="M705" s="4"/>
      <c r="N705" s="4"/>
      <c r="O705" s="4"/>
      <c r="P705" s="4"/>
      <c r="Q705" s="4"/>
    </row>
    <row r="706" spans="1:17" x14ac:dyDescent="0.25">
      <c r="A706" s="99"/>
      <c r="D706" s="4"/>
      <c r="E706" s="4"/>
      <c r="F706" s="4"/>
      <c r="G706" s="4"/>
      <c r="H706" s="4"/>
      <c r="I706" s="4"/>
      <c r="J706" s="7"/>
      <c r="K706" s="4"/>
      <c r="L706" s="4"/>
      <c r="M706" s="4"/>
      <c r="N706" s="4"/>
      <c r="O706" s="4"/>
      <c r="P706" s="4"/>
      <c r="Q706" s="4"/>
    </row>
    <row r="707" spans="1:17" x14ac:dyDescent="0.25">
      <c r="A707" s="99"/>
      <c r="D707" s="4"/>
      <c r="E707" s="4"/>
      <c r="F707" s="4"/>
      <c r="G707" s="4"/>
      <c r="H707" s="4"/>
      <c r="I707" s="4"/>
      <c r="J707" s="7"/>
      <c r="K707" s="4"/>
      <c r="L707" s="4"/>
      <c r="M707" s="4"/>
      <c r="N707" s="4"/>
      <c r="O707" s="4"/>
      <c r="P707" s="4"/>
      <c r="Q707" s="4"/>
    </row>
    <row r="708" spans="1:17" x14ac:dyDescent="0.25">
      <c r="A708" s="99"/>
      <c r="D708" s="4"/>
      <c r="E708" s="4"/>
      <c r="F708" s="4"/>
      <c r="G708" s="4"/>
      <c r="H708" s="4"/>
      <c r="I708" s="4"/>
      <c r="J708" s="7"/>
      <c r="K708" s="4"/>
      <c r="L708" s="4"/>
      <c r="M708" s="4"/>
      <c r="N708" s="4"/>
      <c r="O708" s="4"/>
      <c r="P708" s="4"/>
      <c r="Q708" s="4"/>
    </row>
    <row r="709" spans="1:17" x14ac:dyDescent="0.25">
      <c r="A709" s="99"/>
      <c r="D709" s="4"/>
      <c r="E709" s="4"/>
      <c r="F709" s="4"/>
      <c r="G709" s="4"/>
      <c r="H709" s="4"/>
      <c r="I709" s="4"/>
      <c r="J709" s="7"/>
      <c r="K709" s="4"/>
      <c r="L709" s="4"/>
      <c r="M709" s="4"/>
      <c r="N709" s="4"/>
      <c r="O709" s="4"/>
      <c r="P709" s="4"/>
      <c r="Q709" s="4"/>
    </row>
    <row r="710" spans="1:17" x14ac:dyDescent="0.25">
      <c r="A710" s="99"/>
      <c r="D710" s="4"/>
      <c r="E710" s="4"/>
      <c r="F710" s="4"/>
      <c r="G710" s="4"/>
      <c r="H710" s="4"/>
      <c r="I710" s="4"/>
      <c r="J710" s="7"/>
      <c r="K710" s="4"/>
      <c r="L710" s="4"/>
      <c r="M710" s="4"/>
      <c r="N710" s="4"/>
      <c r="O710" s="4"/>
      <c r="P710" s="4"/>
      <c r="Q710" s="4"/>
    </row>
    <row r="711" spans="1:17" x14ac:dyDescent="0.25">
      <c r="A711" s="99"/>
      <c r="D711" s="4"/>
      <c r="E711" s="4"/>
      <c r="F711" s="4"/>
      <c r="G711" s="4"/>
      <c r="H711" s="4"/>
      <c r="I711" s="4"/>
      <c r="J711" s="7"/>
      <c r="K711" s="4"/>
      <c r="L711" s="4"/>
      <c r="M711" s="4"/>
      <c r="N711" s="4"/>
      <c r="O711" s="4"/>
      <c r="P711" s="4"/>
      <c r="Q711" s="4"/>
    </row>
    <row r="712" spans="1:17" x14ac:dyDescent="0.25">
      <c r="A712" s="99"/>
      <c r="D712" s="4"/>
      <c r="E712" s="4"/>
      <c r="F712" s="4"/>
      <c r="G712" s="4"/>
      <c r="H712" s="4"/>
      <c r="I712" s="4"/>
      <c r="J712" s="7"/>
      <c r="K712" s="4"/>
      <c r="L712" s="4"/>
      <c r="M712" s="4"/>
      <c r="N712" s="4"/>
      <c r="O712" s="4"/>
      <c r="P712" s="4"/>
      <c r="Q712" s="4"/>
    </row>
    <row r="713" spans="1:17" x14ac:dyDescent="0.25">
      <c r="A713" s="99"/>
      <c r="D713" s="4"/>
      <c r="E713" s="4"/>
      <c r="F713" s="4"/>
      <c r="G713" s="4"/>
      <c r="H713" s="4"/>
      <c r="I713" s="4"/>
      <c r="J713" s="7"/>
      <c r="K713" s="4"/>
      <c r="L713" s="4"/>
      <c r="M713" s="4"/>
      <c r="N713" s="4"/>
      <c r="O713" s="4"/>
      <c r="P713" s="4"/>
      <c r="Q713" s="4"/>
    </row>
    <row r="714" spans="1:17" x14ac:dyDescent="0.25">
      <c r="A714" s="99"/>
      <c r="D714" s="4"/>
      <c r="E714" s="4"/>
      <c r="F714" s="4"/>
      <c r="G714" s="4"/>
      <c r="H714" s="4"/>
      <c r="I714" s="4"/>
      <c r="J714" s="7"/>
      <c r="K714" s="4"/>
      <c r="L714" s="4"/>
      <c r="M714" s="4"/>
      <c r="N714" s="4"/>
      <c r="O714" s="4"/>
      <c r="P714" s="4"/>
      <c r="Q714" s="4"/>
    </row>
    <row r="715" spans="1:17" x14ac:dyDescent="0.25">
      <c r="A715" s="99"/>
      <c r="D715" s="4"/>
      <c r="E715" s="4"/>
      <c r="F715" s="4"/>
      <c r="G715" s="4"/>
      <c r="H715" s="4"/>
      <c r="I715" s="4"/>
      <c r="J715" s="7"/>
      <c r="K715" s="4"/>
      <c r="L715" s="4"/>
      <c r="M715" s="4"/>
      <c r="N715" s="4"/>
      <c r="O715" s="4"/>
      <c r="P715" s="4"/>
      <c r="Q715" s="4"/>
    </row>
    <row r="716" spans="1:17" x14ac:dyDescent="0.25">
      <c r="A716" s="99"/>
      <c r="D716" s="4"/>
      <c r="E716" s="4"/>
      <c r="F716" s="4"/>
      <c r="G716" s="4"/>
      <c r="H716" s="4"/>
      <c r="I716" s="4"/>
      <c r="J716" s="7"/>
      <c r="K716" s="4"/>
      <c r="L716" s="4"/>
      <c r="M716" s="4"/>
      <c r="N716" s="4"/>
      <c r="O716" s="4"/>
      <c r="P716" s="4"/>
      <c r="Q716" s="4"/>
    </row>
    <row r="717" spans="1:17" x14ac:dyDescent="0.25">
      <c r="A717" s="99"/>
      <c r="D717" s="4"/>
      <c r="E717" s="4"/>
      <c r="F717" s="4"/>
      <c r="G717" s="4"/>
      <c r="H717" s="4"/>
      <c r="I717" s="4"/>
      <c r="J717" s="7"/>
      <c r="K717" s="4"/>
      <c r="L717" s="4"/>
      <c r="M717" s="4"/>
      <c r="N717" s="4"/>
      <c r="O717" s="4"/>
      <c r="P717" s="4"/>
      <c r="Q717" s="4"/>
    </row>
    <row r="718" spans="1:17" x14ac:dyDescent="0.25">
      <c r="A718" s="99"/>
      <c r="D718" s="4"/>
      <c r="E718" s="4"/>
      <c r="F718" s="4"/>
      <c r="G718" s="4"/>
      <c r="H718" s="4"/>
      <c r="I718" s="4"/>
      <c r="J718" s="7"/>
      <c r="K718" s="4"/>
      <c r="L718" s="4"/>
      <c r="M718" s="4"/>
      <c r="N718" s="4"/>
      <c r="O718" s="4"/>
      <c r="P718" s="4"/>
      <c r="Q718" s="4"/>
    </row>
    <row r="719" spans="1:17" x14ac:dyDescent="0.25">
      <c r="A719" s="99"/>
      <c r="D719" s="4"/>
      <c r="E719" s="4"/>
      <c r="F719" s="4"/>
      <c r="G719" s="4"/>
      <c r="H719" s="4"/>
      <c r="I719" s="4"/>
      <c r="J719" s="7"/>
      <c r="K719" s="4"/>
      <c r="L719" s="4"/>
      <c r="M719" s="4"/>
      <c r="N719" s="4"/>
      <c r="O719" s="4"/>
      <c r="P719" s="4"/>
      <c r="Q719" s="4"/>
    </row>
    <row r="720" spans="1:17" x14ac:dyDescent="0.25">
      <c r="A720" s="99"/>
      <c r="D720" s="4"/>
      <c r="E720" s="4"/>
      <c r="F720" s="4"/>
      <c r="G720" s="4"/>
      <c r="H720" s="4"/>
      <c r="I720" s="4"/>
      <c r="J720" s="7"/>
      <c r="K720" s="4"/>
      <c r="L720" s="4"/>
      <c r="M720" s="4"/>
      <c r="N720" s="4"/>
      <c r="O720" s="4"/>
      <c r="P720" s="4"/>
      <c r="Q720" s="4"/>
    </row>
    <row r="721" spans="1:17" x14ac:dyDescent="0.25">
      <c r="A721" s="99"/>
      <c r="D721" s="4"/>
      <c r="E721" s="4"/>
      <c r="F721" s="4"/>
      <c r="G721" s="4"/>
      <c r="H721" s="4"/>
      <c r="I721" s="4"/>
      <c r="J721" s="7"/>
      <c r="K721" s="4"/>
      <c r="L721" s="4"/>
      <c r="M721" s="4"/>
      <c r="N721" s="4"/>
      <c r="O721" s="4"/>
      <c r="P721" s="4"/>
      <c r="Q721" s="4"/>
    </row>
    <row r="722" spans="1:17" x14ac:dyDescent="0.25">
      <c r="A722" s="99"/>
      <c r="D722" s="4"/>
      <c r="E722" s="4"/>
      <c r="F722" s="4"/>
      <c r="G722" s="4"/>
      <c r="H722" s="4"/>
      <c r="I722" s="4"/>
      <c r="J722" s="7"/>
      <c r="K722" s="4"/>
      <c r="L722" s="4"/>
      <c r="M722" s="4"/>
      <c r="N722" s="4"/>
      <c r="O722" s="4"/>
      <c r="P722" s="4"/>
      <c r="Q722" s="4"/>
    </row>
    <row r="723" spans="1:17" x14ac:dyDescent="0.25">
      <c r="A723" s="99"/>
      <c r="D723" s="4"/>
      <c r="E723" s="4"/>
      <c r="F723" s="4"/>
      <c r="G723" s="4"/>
      <c r="H723" s="4"/>
      <c r="I723" s="4"/>
      <c r="J723" s="7"/>
      <c r="K723" s="4"/>
      <c r="L723" s="4"/>
      <c r="M723" s="4"/>
      <c r="N723" s="4"/>
      <c r="O723" s="4"/>
      <c r="P723" s="4"/>
      <c r="Q723" s="4"/>
    </row>
    <row r="724" spans="1:17" x14ac:dyDescent="0.25">
      <c r="A724" s="99"/>
      <c r="D724" s="4"/>
      <c r="E724" s="4"/>
      <c r="F724" s="4"/>
      <c r="G724" s="4"/>
      <c r="H724" s="4"/>
      <c r="I724" s="4"/>
      <c r="J724" s="7"/>
      <c r="K724" s="4"/>
      <c r="L724" s="4"/>
      <c r="M724" s="4"/>
      <c r="N724" s="4"/>
      <c r="O724" s="4"/>
      <c r="P724" s="4"/>
      <c r="Q724" s="4"/>
    </row>
    <row r="725" spans="1:17" x14ac:dyDescent="0.25">
      <c r="A725" s="99"/>
      <c r="D725" s="4"/>
      <c r="E725" s="4"/>
      <c r="F725" s="4"/>
      <c r="G725" s="4"/>
      <c r="H725" s="4"/>
      <c r="I725" s="4"/>
      <c r="J725" s="7"/>
      <c r="K725" s="4"/>
      <c r="L725" s="4"/>
      <c r="M725" s="4"/>
      <c r="N725" s="4"/>
      <c r="O725" s="4"/>
      <c r="P725" s="4"/>
      <c r="Q725" s="4"/>
    </row>
    <row r="726" spans="1:17" x14ac:dyDescent="0.25">
      <c r="A726" s="99"/>
      <c r="D726" s="4"/>
      <c r="E726" s="4"/>
      <c r="F726" s="4"/>
      <c r="G726" s="4"/>
      <c r="H726" s="4"/>
      <c r="I726" s="4"/>
      <c r="J726" s="7"/>
      <c r="K726" s="4"/>
      <c r="L726" s="4"/>
      <c r="M726" s="4"/>
      <c r="N726" s="4"/>
      <c r="O726" s="4"/>
      <c r="P726" s="4"/>
      <c r="Q726" s="4"/>
    </row>
    <row r="727" spans="1:17" x14ac:dyDescent="0.25">
      <c r="A727" s="99"/>
      <c r="D727" s="4"/>
      <c r="E727" s="4"/>
      <c r="F727" s="4"/>
      <c r="G727" s="4"/>
      <c r="H727" s="4"/>
      <c r="I727" s="4"/>
      <c r="J727" s="7"/>
      <c r="K727" s="4"/>
      <c r="L727" s="4"/>
      <c r="M727" s="4"/>
      <c r="N727" s="4"/>
      <c r="O727" s="4"/>
      <c r="P727" s="4"/>
      <c r="Q727" s="4"/>
    </row>
    <row r="728" spans="1:17" x14ac:dyDescent="0.25">
      <c r="A728" s="99"/>
      <c r="D728" s="4"/>
      <c r="E728" s="4"/>
      <c r="F728" s="4"/>
      <c r="G728" s="4"/>
      <c r="H728" s="4"/>
      <c r="I728" s="4"/>
      <c r="J728" s="7"/>
      <c r="K728" s="4"/>
      <c r="L728" s="4"/>
      <c r="M728" s="4"/>
      <c r="N728" s="4"/>
      <c r="O728" s="4"/>
      <c r="P728" s="4"/>
      <c r="Q728" s="4"/>
    </row>
    <row r="729" spans="1:17" x14ac:dyDescent="0.25">
      <c r="A729" s="99"/>
      <c r="D729" s="4"/>
      <c r="E729" s="4"/>
      <c r="F729" s="4"/>
      <c r="G729" s="4"/>
      <c r="H729" s="4"/>
      <c r="I729" s="4"/>
      <c r="J729" s="7"/>
      <c r="K729" s="4"/>
      <c r="L729" s="4"/>
      <c r="M729" s="4"/>
      <c r="N729" s="4"/>
      <c r="O729" s="4"/>
      <c r="P729" s="4"/>
      <c r="Q729" s="4"/>
    </row>
    <row r="730" spans="1:17" x14ac:dyDescent="0.25">
      <c r="A730" s="99"/>
      <c r="D730" s="4"/>
      <c r="E730" s="4"/>
      <c r="F730" s="4"/>
      <c r="G730" s="4"/>
      <c r="H730" s="4"/>
      <c r="I730" s="4"/>
      <c r="J730" s="7"/>
      <c r="K730" s="4"/>
      <c r="L730" s="4"/>
      <c r="M730" s="4"/>
      <c r="N730" s="4"/>
      <c r="O730" s="4"/>
      <c r="P730" s="4"/>
      <c r="Q730" s="4"/>
    </row>
    <row r="731" spans="1:17" x14ac:dyDescent="0.25">
      <c r="A731" s="99"/>
      <c r="D731" s="4"/>
      <c r="E731" s="4"/>
      <c r="F731" s="4"/>
      <c r="G731" s="4"/>
      <c r="H731" s="4"/>
      <c r="I731" s="4"/>
      <c r="J731" s="7"/>
      <c r="K731" s="4"/>
      <c r="L731" s="4"/>
      <c r="M731" s="4"/>
      <c r="N731" s="4"/>
      <c r="O731" s="4"/>
      <c r="P731" s="4"/>
      <c r="Q731" s="4"/>
    </row>
    <row r="732" spans="1:17" x14ac:dyDescent="0.25">
      <c r="A732" s="99"/>
      <c r="D732" s="4"/>
      <c r="E732" s="4"/>
      <c r="F732" s="4"/>
      <c r="G732" s="4"/>
      <c r="H732" s="4"/>
      <c r="I732" s="4"/>
      <c r="J732" s="7"/>
      <c r="K732" s="4"/>
      <c r="L732" s="4"/>
      <c r="M732" s="4"/>
      <c r="N732" s="4"/>
      <c r="O732" s="4"/>
      <c r="P732" s="4"/>
      <c r="Q732" s="4"/>
    </row>
    <row r="733" spans="1:17" x14ac:dyDescent="0.25">
      <c r="A733" s="99"/>
      <c r="D733" s="4"/>
      <c r="E733" s="4"/>
      <c r="F733" s="4"/>
      <c r="G733" s="4"/>
      <c r="H733" s="4"/>
      <c r="I733" s="4"/>
      <c r="J733" s="7"/>
      <c r="K733" s="4"/>
      <c r="L733" s="4"/>
      <c r="M733" s="4"/>
      <c r="N733" s="4"/>
      <c r="O733" s="4"/>
      <c r="P733" s="4"/>
      <c r="Q733" s="4"/>
    </row>
    <row r="734" spans="1:17" x14ac:dyDescent="0.25">
      <c r="A734" s="99"/>
      <c r="D734" s="4"/>
      <c r="E734" s="4"/>
      <c r="F734" s="4"/>
      <c r="G734" s="4"/>
      <c r="H734" s="4"/>
      <c r="I734" s="4"/>
      <c r="J734" s="7"/>
      <c r="K734" s="4"/>
      <c r="L734" s="4"/>
      <c r="M734" s="4"/>
      <c r="N734" s="4"/>
      <c r="O734" s="4"/>
      <c r="P734" s="4"/>
      <c r="Q734" s="4"/>
    </row>
    <row r="735" spans="1:17" x14ac:dyDescent="0.25">
      <c r="A735" s="99"/>
      <c r="D735" s="4"/>
      <c r="E735" s="4"/>
      <c r="F735" s="4"/>
      <c r="G735" s="4"/>
      <c r="H735" s="4"/>
      <c r="I735" s="4"/>
      <c r="J735" s="7"/>
      <c r="K735" s="4"/>
      <c r="L735" s="4"/>
      <c r="M735" s="4"/>
      <c r="N735" s="4"/>
      <c r="O735" s="4"/>
      <c r="P735" s="4"/>
      <c r="Q735" s="4"/>
    </row>
    <row r="736" spans="1:17" x14ac:dyDescent="0.25">
      <c r="A736" s="99"/>
      <c r="D736" s="4"/>
      <c r="E736" s="4"/>
      <c r="F736" s="4"/>
      <c r="G736" s="4"/>
      <c r="H736" s="4"/>
      <c r="I736" s="4"/>
      <c r="J736" s="7"/>
      <c r="K736" s="4"/>
      <c r="L736" s="4"/>
      <c r="M736" s="4"/>
      <c r="N736" s="4"/>
      <c r="O736" s="4"/>
      <c r="P736" s="4"/>
      <c r="Q736" s="4"/>
    </row>
    <row r="737" spans="1:17" x14ac:dyDescent="0.25">
      <c r="A737" s="99"/>
      <c r="D737" s="4"/>
      <c r="E737" s="4"/>
      <c r="F737" s="4"/>
      <c r="G737" s="4"/>
      <c r="H737" s="4"/>
      <c r="I737" s="4"/>
      <c r="J737" s="7"/>
      <c r="K737" s="4"/>
      <c r="L737" s="4"/>
      <c r="M737" s="4"/>
      <c r="N737" s="4"/>
      <c r="O737" s="4"/>
      <c r="P737" s="4"/>
      <c r="Q737" s="4"/>
    </row>
    <row r="738" spans="1:17" x14ac:dyDescent="0.25">
      <c r="A738" s="99"/>
      <c r="D738" s="4"/>
      <c r="E738" s="4"/>
      <c r="F738" s="4"/>
      <c r="G738" s="4"/>
      <c r="H738" s="4"/>
      <c r="I738" s="4"/>
      <c r="J738" s="7"/>
      <c r="K738" s="4"/>
      <c r="L738" s="4"/>
      <c r="M738" s="4"/>
      <c r="N738" s="4"/>
      <c r="O738" s="4"/>
      <c r="P738" s="4"/>
      <c r="Q738" s="4"/>
    </row>
    <row r="739" spans="1:17" x14ac:dyDescent="0.25">
      <c r="A739" s="99"/>
      <c r="D739" s="4"/>
      <c r="E739" s="4"/>
      <c r="F739" s="4"/>
      <c r="G739" s="4"/>
      <c r="H739" s="4"/>
      <c r="I739" s="4"/>
      <c r="J739" s="7"/>
      <c r="K739" s="4"/>
      <c r="L739" s="4"/>
      <c r="M739" s="4"/>
      <c r="N739" s="4"/>
      <c r="O739" s="4"/>
      <c r="P739" s="4"/>
      <c r="Q739" s="4"/>
    </row>
    <row r="740" spans="1:17" x14ac:dyDescent="0.25">
      <c r="A740" s="99"/>
      <c r="D740" s="4"/>
      <c r="E740" s="4"/>
      <c r="F740" s="4"/>
      <c r="G740" s="4"/>
      <c r="H740" s="4"/>
      <c r="I740" s="4"/>
      <c r="J740" s="7"/>
      <c r="K740" s="4"/>
      <c r="L740" s="4"/>
      <c r="M740" s="4"/>
      <c r="N740" s="4"/>
      <c r="O740" s="4"/>
      <c r="P740" s="4"/>
      <c r="Q740" s="4"/>
    </row>
    <row r="741" spans="1:17" x14ac:dyDescent="0.25">
      <c r="A741" s="99"/>
      <c r="D741" s="4"/>
      <c r="E741" s="4"/>
      <c r="F741" s="4"/>
      <c r="G741" s="4"/>
      <c r="H741" s="4"/>
      <c r="I741" s="4"/>
      <c r="J741" s="7"/>
      <c r="K741" s="4"/>
      <c r="L741" s="4"/>
      <c r="M741" s="4"/>
      <c r="N741" s="4"/>
      <c r="O741" s="4"/>
      <c r="P741" s="4"/>
      <c r="Q741" s="4"/>
    </row>
    <row r="742" spans="1:17" x14ac:dyDescent="0.25">
      <c r="A742" s="99"/>
      <c r="D742" s="4"/>
      <c r="E742" s="4"/>
      <c r="F742" s="4"/>
      <c r="G742" s="4"/>
      <c r="H742" s="4"/>
      <c r="I742" s="4"/>
      <c r="J742" s="7"/>
      <c r="K742" s="4"/>
      <c r="L742" s="4"/>
      <c r="M742" s="4"/>
      <c r="N742" s="4"/>
      <c r="O742" s="4"/>
      <c r="P742" s="4"/>
      <c r="Q742" s="4"/>
    </row>
    <row r="743" spans="1:17" x14ac:dyDescent="0.25">
      <c r="A743" s="99"/>
      <c r="D743" s="4"/>
      <c r="E743" s="4"/>
      <c r="F743" s="4"/>
      <c r="G743" s="4"/>
      <c r="H743" s="4"/>
      <c r="I743" s="4"/>
      <c r="J743" s="7"/>
      <c r="K743" s="4"/>
      <c r="L743" s="4"/>
      <c r="M743" s="4"/>
      <c r="N743" s="4"/>
      <c r="O743" s="4"/>
      <c r="P743" s="4"/>
      <c r="Q743" s="4"/>
    </row>
    <row r="744" spans="1:17" x14ac:dyDescent="0.25">
      <c r="A744" s="99"/>
      <c r="D744" s="4"/>
      <c r="E744" s="4"/>
      <c r="F744" s="4"/>
      <c r="G744" s="4"/>
      <c r="H744" s="4"/>
      <c r="I744" s="4"/>
      <c r="J744" s="7"/>
      <c r="K744" s="4"/>
      <c r="L744" s="4"/>
      <c r="M744" s="4"/>
      <c r="N744" s="4"/>
      <c r="O744" s="4"/>
      <c r="P744" s="4"/>
      <c r="Q744" s="4"/>
    </row>
    <row r="745" spans="1:17" x14ac:dyDescent="0.25">
      <c r="A745" s="99"/>
      <c r="D745" s="4"/>
      <c r="E745" s="4"/>
      <c r="F745" s="4"/>
      <c r="G745" s="4"/>
      <c r="H745" s="4"/>
      <c r="I745" s="4"/>
      <c r="J745" s="7"/>
      <c r="K745" s="4"/>
      <c r="L745" s="4"/>
      <c r="M745" s="4"/>
      <c r="N745" s="4"/>
      <c r="O745" s="4"/>
      <c r="P745" s="4"/>
      <c r="Q745" s="4"/>
    </row>
    <row r="746" spans="1:17" x14ac:dyDescent="0.25">
      <c r="A746" s="99"/>
      <c r="D746" s="4"/>
      <c r="E746" s="4"/>
      <c r="F746" s="4"/>
      <c r="G746" s="4"/>
      <c r="H746" s="4"/>
      <c r="I746" s="4"/>
      <c r="J746" s="7"/>
      <c r="K746" s="4"/>
      <c r="L746" s="4"/>
      <c r="M746" s="4"/>
      <c r="N746" s="4"/>
      <c r="O746" s="4"/>
      <c r="P746" s="4"/>
      <c r="Q746" s="4"/>
    </row>
    <row r="747" spans="1:17" x14ac:dyDescent="0.25">
      <c r="A747" s="99"/>
      <c r="D747" s="4"/>
      <c r="E747" s="4"/>
      <c r="F747" s="4"/>
      <c r="G747" s="4"/>
      <c r="H747" s="4"/>
      <c r="I747" s="4"/>
      <c r="J747" s="7"/>
      <c r="K747" s="4"/>
      <c r="L747" s="4"/>
      <c r="M747" s="4"/>
      <c r="N747" s="4"/>
      <c r="O747" s="4"/>
      <c r="P747" s="4"/>
      <c r="Q747" s="4"/>
    </row>
    <row r="748" spans="1:17" x14ac:dyDescent="0.25">
      <c r="A748" s="99"/>
      <c r="D748" s="4"/>
      <c r="E748" s="4"/>
      <c r="F748" s="4"/>
      <c r="G748" s="4"/>
      <c r="H748" s="4"/>
      <c r="I748" s="4"/>
      <c r="J748" s="7"/>
      <c r="K748" s="4"/>
      <c r="L748" s="4"/>
      <c r="M748" s="4"/>
      <c r="N748" s="4"/>
      <c r="O748" s="4"/>
      <c r="P748" s="4"/>
      <c r="Q748" s="4"/>
    </row>
    <row r="749" spans="1:17" x14ac:dyDescent="0.25">
      <c r="A749" s="99"/>
      <c r="D749" s="4"/>
      <c r="E749" s="4"/>
      <c r="F749" s="4"/>
      <c r="G749" s="4"/>
      <c r="H749" s="4"/>
      <c r="I749" s="4"/>
      <c r="J749" s="7"/>
      <c r="K749" s="4"/>
      <c r="L749" s="4"/>
      <c r="M749" s="4"/>
      <c r="N749" s="4"/>
      <c r="O749" s="4"/>
      <c r="P749" s="4"/>
      <c r="Q749" s="4"/>
    </row>
    <row r="750" spans="1:17" x14ac:dyDescent="0.25">
      <c r="A750" s="99"/>
      <c r="D750" s="4"/>
      <c r="E750" s="4"/>
      <c r="F750" s="4"/>
      <c r="G750" s="4"/>
      <c r="H750" s="4"/>
      <c r="I750" s="4"/>
      <c r="J750" s="7"/>
      <c r="K750" s="4"/>
      <c r="L750" s="4"/>
      <c r="M750" s="4"/>
      <c r="N750" s="4"/>
      <c r="O750" s="4"/>
      <c r="P750" s="4"/>
      <c r="Q750" s="4"/>
    </row>
    <row r="751" spans="1:17" x14ac:dyDescent="0.25">
      <c r="A751" s="99"/>
      <c r="D751" s="4"/>
      <c r="E751" s="4"/>
      <c r="F751" s="4"/>
      <c r="G751" s="4"/>
      <c r="H751" s="4"/>
      <c r="I751" s="4"/>
      <c r="J751" s="7"/>
      <c r="K751" s="4"/>
      <c r="L751" s="4"/>
      <c r="M751" s="4"/>
      <c r="N751" s="4"/>
      <c r="O751" s="4"/>
      <c r="P751" s="4"/>
      <c r="Q751" s="4"/>
    </row>
    <row r="752" spans="1:17" x14ac:dyDescent="0.25">
      <c r="A752" s="99"/>
      <c r="D752" s="4"/>
      <c r="E752" s="4"/>
      <c r="F752" s="4"/>
      <c r="G752" s="4"/>
      <c r="H752" s="4"/>
      <c r="I752" s="4"/>
      <c r="J752" s="7"/>
      <c r="K752" s="4"/>
      <c r="L752" s="4"/>
      <c r="M752" s="4"/>
      <c r="N752" s="4"/>
      <c r="O752" s="4"/>
      <c r="P752" s="4"/>
      <c r="Q752" s="4"/>
    </row>
    <row r="753" spans="1:17" x14ac:dyDescent="0.25">
      <c r="A753" s="99"/>
      <c r="D753" s="4"/>
      <c r="E753" s="4"/>
      <c r="F753" s="4"/>
      <c r="G753" s="4"/>
      <c r="H753" s="4"/>
      <c r="I753" s="4"/>
      <c r="J753" s="7"/>
      <c r="K753" s="4"/>
      <c r="L753" s="4"/>
      <c r="M753" s="4"/>
      <c r="N753" s="4"/>
      <c r="O753" s="4"/>
      <c r="P753" s="4"/>
      <c r="Q753" s="4"/>
    </row>
    <row r="754" spans="1:17" x14ac:dyDescent="0.25">
      <c r="A754" s="99"/>
      <c r="D754" s="4"/>
      <c r="E754" s="4"/>
      <c r="F754" s="4"/>
      <c r="G754" s="4"/>
      <c r="H754" s="4"/>
      <c r="I754" s="4"/>
      <c r="J754" s="7"/>
      <c r="K754" s="4"/>
      <c r="L754" s="4"/>
      <c r="M754" s="4"/>
      <c r="N754" s="4"/>
      <c r="O754" s="4"/>
      <c r="P754" s="4"/>
      <c r="Q754" s="4"/>
    </row>
    <row r="755" spans="1:17" x14ac:dyDescent="0.25">
      <c r="A755" s="99"/>
      <c r="D755" s="4"/>
      <c r="E755" s="4"/>
      <c r="F755" s="4"/>
      <c r="G755" s="4"/>
      <c r="H755" s="4"/>
      <c r="I755" s="4"/>
      <c r="J755" s="7"/>
      <c r="K755" s="4"/>
      <c r="L755" s="4"/>
      <c r="M755" s="4"/>
      <c r="N755" s="4"/>
      <c r="O755" s="4"/>
      <c r="P755" s="4"/>
      <c r="Q755" s="4"/>
    </row>
    <row r="756" spans="1:17" x14ac:dyDescent="0.25">
      <c r="A756" s="99"/>
      <c r="D756" s="4"/>
      <c r="E756" s="4"/>
      <c r="F756" s="4"/>
      <c r="G756" s="4"/>
      <c r="H756" s="4"/>
      <c r="I756" s="4"/>
      <c r="J756" s="7"/>
      <c r="K756" s="4"/>
      <c r="L756" s="4"/>
      <c r="M756" s="4"/>
      <c r="N756" s="4"/>
      <c r="O756" s="4"/>
      <c r="P756" s="4"/>
      <c r="Q756" s="4"/>
    </row>
    <row r="757" spans="1:17" x14ac:dyDescent="0.25">
      <c r="A757" s="99"/>
      <c r="D757" s="4"/>
      <c r="E757" s="4"/>
      <c r="F757" s="4"/>
      <c r="G757" s="4"/>
      <c r="H757" s="4"/>
      <c r="I757" s="4"/>
      <c r="J757" s="7"/>
      <c r="K757" s="4"/>
      <c r="L757" s="4"/>
      <c r="M757" s="4"/>
      <c r="N757" s="4"/>
      <c r="O757" s="4"/>
      <c r="P757" s="4"/>
      <c r="Q757" s="4"/>
    </row>
    <row r="758" spans="1:17" x14ac:dyDescent="0.25">
      <c r="A758" s="99"/>
      <c r="D758" s="4"/>
      <c r="E758" s="4"/>
      <c r="F758" s="4"/>
      <c r="G758" s="4"/>
      <c r="H758" s="4"/>
      <c r="I758" s="4"/>
      <c r="J758" s="7"/>
      <c r="K758" s="4"/>
      <c r="L758" s="4"/>
      <c r="M758" s="4"/>
      <c r="N758" s="4"/>
      <c r="O758" s="4"/>
      <c r="P758" s="4"/>
      <c r="Q758" s="4"/>
    </row>
    <row r="759" spans="1:17" x14ac:dyDescent="0.25">
      <c r="A759" s="99"/>
      <c r="D759" s="4"/>
      <c r="E759" s="4"/>
      <c r="F759" s="4"/>
      <c r="G759" s="4"/>
      <c r="H759" s="4"/>
      <c r="I759" s="4"/>
      <c r="J759" s="7"/>
      <c r="K759" s="4"/>
      <c r="L759" s="4"/>
      <c r="M759" s="4"/>
      <c r="N759" s="4"/>
      <c r="O759" s="4"/>
      <c r="P759" s="4"/>
      <c r="Q759" s="4"/>
    </row>
    <row r="760" spans="1:17" x14ac:dyDescent="0.25">
      <c r="A760" s="99"/>
      <c r="D760" s="4"/>
      <c r="E760" s="4"/>
      <c r="F760" s="4"/>
      <c r="G760" s="4"/>
      <c r="H760" s="4"/>
      <c r="I760" s="4"/>
      <c r="J760" s="7"/>
      <c r="K760" s="4"/>
      <c r="L760" s="4"/>
      <c r="M760" s="4"/>
      <c r="N760" s="4"/>
      <c r="O760" s="4"/>
      <c r="P760" s="4"/>
      <c r="Q760" s="4"/>
    </row>
    <row r="761" spans="1:17" x14ac:dyDescent="0.25">
      <c r="A761" s="99"/>
      <c r="D761" s="4"/>
      <c r="E761" s="4"/>
      <c r="F761" s="4"/>
      <c r="G761" s="4"/>
      <c r="H761" s="4"/>
      <c r="I761" s="4"/>
      <c r="J761" s="7"/>
      <c r="K761" s="4"/>
      <c r="L761" s="4"/>
      <c r="M761" s="4"/>
      <c r="N761" s="4"/>
      <c r="O761" s="4"/>
      <c r="P761" s="4"/>
      <c r="Q761" s="4"/>
    </row>
    <row r="762" spans="1:17" x14ac:dyDescent="0.25">
      <c r="A762" s="99"/>
      <c r="D762" s="4"/>
      <c r="E762" s="4"/>
      <c r="F762" s="4"/>
      <c r="G762" s="4"/>
      <c r="H762" s="4"/>
      <c r="I762" s="4"/>
      <c r="J762" s="7"/>
      <c r="K762" s="4"/>
      <c r="L762" s="4"/>
      <c r="M762" s="4"/>
      <c r="N762" s="4"/>
      <c r="O762" s="4"/>
      <c r="P762" s="4"/>
      <c r="Q762" s="4"/>
    </row>
    <row r="763" spans="1:17" x14ac:dyDescent="0.25">
      <c r="A763" s="99"/>
      <c r="D763" s="4"/>
      <c r="E763" s="4"/>
      <c r="F763" s="4"/>
      <c r="G763" s="4"/>
      <c r="H763" s="4"/>
      <c r="I763" s="4"/>
      <c r="J763" s="7"/>
      <c r="K763" s="4"/>
      <c r="L763" s="4"/>
      <c r="M763" s="4"/>
      <c r="N763" s="4"/>
      <c r="O763" s="4"/>
      <c r="P763" s="4"/>
      <c r="Q763" s="4"/>
    </row>
    <row r="764" spans="1:17" x14ac:dyDescent="0.25">
      <c r="A764" s="99"/>
      <c r="D764" s="4"/>
      <c r="E764" s="4"/>
      <c r="F764" s="4"/>
      <c r="G764" s="4"/>
      <c r="H764" s="4"/>
      <c r="I764" s="4"/>
      <c r="J764" s="7"/>
      <c r="K764" s="4"/>
      <c r="L764" s="4"/>
      <c r="M764" s="4"/>
      <c r="N764" s="4"/>
      <c r="O764" s="4"/>
      <c r="P764" s="4"/>
      <c r="Q764" s="4"/>
    </row>
    <row r="765" spans="1:17" x14ac:dyDescent="0.25">
      <c r="A765" s="99"/>
      <c r="D765" s="4"/>
      <c r="E765" s="4"/>
      <c r="F765" s="4"/>
      <c r="G765" s="4"/>
      <c r="H765" s="4"/>
      <c r="I765" s="4"/>
      <c r="J765" s="7"/>
      <c r="K765" s="4"/>
      <c r="L765" s="4"/>
      <c r="M765" s="4"/>
      <c r="N765" s="4"/>
      <c r="O765" s="4"/>
      <c r="P765" s="4"/>
      <c r="Q765" s="4"/>
    </row>
    <row r="766" spans="1:17" x14ac:dyDescent="0.25">
      <c r="A766" s="99"/>
      <c r="D766" s="4"/>
      <c r="E766" s="4"/>
      <c r="F766" s="4"/>
      <c r="G766" s="4"/>
      <c r="H766" s="4"/>
      <c r="I766" s="4"/>
      <c r="J766" s="7"/>
      <c r="K766" s="4"/>
      <c r="L766" s="4"/>
      <c r="M766" s="4"/>
      <c r="N766" s="4"/>
      <c r="O766" s="4"/>
      <c r="P766" s="4"/>
      <c r="Q766" s="4"/>
    </row>
    <row r="767" spans="1:17" x14ac:dyDescent="0.25">
      <c r="A767" s="99"/>
      <c r="D767" s="4"/>
      <c r="E767" s="4"/>
      <c r="F767" s="4"/>
      <c r="G767" s="4"/>
      <c r="H767" s="4"/>
      <c r="I767" s="4"/>
      <c r="J767" s="7"/>
      <c r="K767" s="4"/>
      <c r="L767" s="4"/>
      <c r="M767" s="4"/>
      <c r="N767" s="4"/>
      <c r="O767" s="4"/>
      <c r="P767" s="4"/>
      <c r="Q767" s="4"/>
    </row>
    <row r="768" spans="1:17" x14ac:dyDescent="0.25">
      <c r="A768" s="99"/>
      <c r="D768" s="4"/>
      <c r="E768" s="4"/>
      <c r="F768" s="4"/>
      <c r="G768" s="4"/>
      <c r="H768" s="4"/>
      <c r="I768" s="4"/>
      <c r="J768" s="7"/>
      <c r="K768" s="4"/>
      <c r="L768" s="4"/>
      <c r="M768" s="4"/>
      <c r="N768" s="4"/>
      <c r="O768" s="4"/>
      <c r="P768" s="4"/>
      <c r="Q768" s="4"/>
    </row>
    <row r="769" spans="1:17" x14ac:dyDescent="0.25">
      <c r="A769" s="99"/>
      <c r="D769" s="4"/>
      <c r="E769" s="4"/>
      <c r="F769" s="4"/>
      <c r="G769" s="4"/>
      <c r="H769" s="4"/>
      <c r="I769" s="4"/>
      <c r="J769" s="7"/>
      <c r="K769" s="4"/>
      <c r="L769" s="4"/>
      <c r="M769" s="4"/>
      <c r="N769" s="4"/>
      <c r="O769" s="4"/>
      <c r="P769" s="4"/>
      <c r="Q769" s="4"/>
    </row>
    <row r="770" spans="1:17" x14ac:dyDescent="0.25">
      <c r="A770" s="99"/>
      <c r="D770" s="4"/>
      <c r="E770" s="4"/>
      <c r="F770" s="4"/>
      <c r="G770" s="4"/>
      <c r="H770" s="4"/>
      <c r="I770" s="4"/>
      <c r="J770" s="7"/>
      <c r="K770" s="4"/>
      <c r="L770" s="4"/>
      <c r="M770" s="4"/>
      <c r="N770" s="4"/>
      <c r="O770" s="4"/>
      <c r="P770" s="4"/>
      <c r="Q770" s="4"/>
    </row>
    <row r="771" spans="1:17" x14ac:dyDescent="0.25">
      <c r="A771" s="99"/>
      <c r="D771" s="4"/>
      <c r="E771" s="4"/>
      <c r="F771" s="4"/>
      <c r="G771" s="4"/>
      <c r="H771" s="4"/>
      <c r="I771" s="4"/>
      <c r="J771" s="7"/>
      <c r="K771" s="4"/>
      <c r="L771" s="4"/>
      <c r="M771" s="4"/>
      <c r="N771" s="4"/>
      <c r="O771" s="4"/>
      <c r="P771" s="4"/>
      <c r="Q771" s="4"/>
    </row>
    <row r="772" spans="1:17" x14ac:dyDescent="0.25">
      <c r="A772" s="99"/>
      <c r="D772" s="4"/>
      <c r="E772" s="4"/>
      <c r="F772" s="4"/>
      <c r="G772" s="4"/>
      <c r="H772" s="4"/>
      <c r="I772" s="4"/>
      <c r="J772" s="7"/>
      <c r="K772" s="4"/>
      <c r="L772" s="4"/>
      <c r="M772" s="4"/>
      <c r="N772" s="4"/>
      <c r="O772" s="4"/>
      <c r="P772" s="4"/>
      <c r="Q772" s="4"/>
    </row>
    <row r="773" spans="1:17" x14ac:dyDescent="0.25">
      <c r="A773" s="99"/>
      <c r="D773" s="4"/>
      <c r="E773" s="4"/>
      <c r="F773" s="4"/>
      <c r="G773" s="4"/>
      <c r="H773" s="4"/>
      <c r="I773" s="4"/>
      <c r="J773" s="7"/>
      <c r="K773" s="4"/>
      <c r="L773" s="4"/>
      <c r="M773" s="4"/>
      <c r="N773" s="4"/>
      <c r="O773" s="4"/>
      <c r="P773" s="4"/>
      <c r="Q773" s="4"/>
    </row>
    <row r="774" spans="1:17" x14ac:dyDescent="0.25">
      <c r="A774" s="99"/>
      <c r="D774" s="4"/>
      <c r="E774" s="4"/>
      <c r="F774" s="4"/>
      <c r="G774" s="4"/>
      <c r="H774" s="4"/>
      <c r="I774" s="4"/>
      <c r="J774" s="7"/>
      <c r="K774" s="4"/>
      <c r="L774" s="4"/>
      <c r="M774" s="4"/>
      <c r="N774" s="4"/>
      <c r="O774" s="4"/>
      <c r="P774" s="4"/>
      <c r="Q774" s="4"/>
    </row>
    <row r="775" spans="1:17" x14ac:dyDescent="0.25">
      <c r="A775" s="99"/>
      <c r="D775" s="4"/>
      <c r="E775" s="4"/>
      <c r="F775" s="4"/>
      <c r="G775" s="4"/>
      <c r="H775" s="4"/>
      <c r="I775" s="4"/>
      <c r="J775" s="7"/>
      <c r="K775" s="4"/>
      <c r="L775" s="4"/>
      <c r="M775" s="4"/>
      <c r="N775" s="4"/>
      <c r="O775" s="4"/>
      <c r="P775" s="4"/>
      <c r="Q775" s="4"/>
    </row>
    <row r="776" spans="1:17" x14ac:dyDescent="0.25">
      <c r="A776" s="99"/>
      <c r="D776" s="4"/>
      <c r="E776" s="4"/>
      <c r="F776" s="4"/>
      <c r="G776" s="4"/>
      <c r="H776" s="4"/>
      <c r="I776" s="4"/>
      <c r="J776" s="7"/>
      <c r="K776" s="4"/>
      <c r="L776" s="4"/>
      <c r="M776" s="4"/>
      <c r="N776" s="4"/>
      <c r="O776" s="4"/>
      <c r="P776" s="4"/>
      <c r="Q776" s="4"/>
    </row>
    <row r="777" spans="1:17" x14ac:dyDescent="0.25">
      <c r="A777" s="99"/>
      <c r="D777" s="4"/>
      <c r="E777" s="4"/>
      <c r="F777" s="4"/>
      <c r="G777" s="4"/>
      <c r="H777" s="4"/>
      <c r="I777" s="4"/>
      <c r="J777" s="7"/>
      <c r="K777" s="4"/>
      <c r="L777" s="4"/>
      <c r="M777" s="4"/>
      <c r="N777" s="4"/>
      <c r="O777" s="4"/>
      <c r="P777" s="4"/>
      <c r="Q777" s="4"/>
    </row>
    <row r="778" spans="1:17" x14ac:dyDescent="0.25">
      <c r="A778" s="99"/>
      <c r="D778" s="4"/>
      <c r="E778" s="4"/>
      <c r="F778" s="4"/>
      <c r="G778" s="4"/>
      <c r="H778" s="4"/>
      <c r="I778" s="4"/>
      <c r="J778" s="7"/>
      <c r="K778" s="4"/>
      <c r="L778" s="4"/>
      <c r="M778" s="4"/>
      <c r="N778" s="4"/>
      <c r="O778" s="4"/>
      <c r="P778" s="4"/>
      <c r="Q778" s="4"/>
    </row>
    <row r="779" spans="1:17" x14ac:dyDescent="0.25">
      <c r="A779" s="99"/>
      <c r="D779" s="4"/>
      <c r="E779" s="4"/>
      <c r="F779" s="4"/>
      <c r="G779" s="4"/>
      <c r="H779" s="4"/>
      <c r="I779" s="4"/>
      <c r="J779" s="7"/>
      <c r="K779" s="4"/>
      <c r="L779" s="4"/>
      <c r="M779" s="4"/>
      <c r="N779" s="4"/>
      <c r="O779" s="4"/>
      <c r="P779" s="4"/>
      <c r="Q779" s="4"/>
    </row>
    <row r="780" spans="1:17" x14ac:dyDescent="0.25">
      <c r="A780" s="99"/>
      <c r="D780" s="4"/>
      <c r="E780" s="4"/>
      <c r="F780" s="4"/>
      <c r="G780" s="4"/>
      <c r="H780" s="4"/>
      <c r="I780" s="4"/>
      <c r="J780" s="7"/>
      <c r="K780" s="4"/>
      <c r="L780" s="4"/>
      <c r="M780" s="4"/>
      <c r="N780" s="4"/>
      <c r="O780" s="4"/>
      <c r="P780" s="4"/>
      <c r="Q780" s="4"/>
    </row>
    <row r="781" spans="1:17" x14ac:dyDescent="0.25">
      <c r="A781" s="99"/>
      <c r="D781" s="4"/>
      <c r="E781" s="4"/>
      <c r="F781" s="4"/>
      <c r="G781" s="4"/>
      <c r="H781" s="4"/>
      <c r="I781" s="4"/>
      <c r="J781" s="7"/>
      <c r="K781" s="4"/>
      <c r="L781" s="4"/>
      <c r="M781" s="4"/>
      <c r="N781" s="4"/>
      <c r="O781" s="4"/>
      <c r="P781" s="4"/>
      <c r="Q781" s="4"/>
    </row>
    <row r="782" spans="1:17" x14ac:dyDescent="0.25">
      <c r="A782" s="99"/>
      <c r="D782" s="4"/>
      <c r="E782" s="4"/>
      <c r="F782" s="4"/>
      <c r="G782" s="4"/>
      <c r="H782" s="4"/>
      <c r="I782" s="4"/>
      <c r="J782" s="7"/>
      <c r="K782" s="4"/>
      <c r="L782" s="4"/>
      <c r="M782" s="4"/>
      <c r="N782" s="4"/>
      <c r="O782" s="4"/>
      <c r="P782" s="4"/>
      <c r="Q782" s="4"/>
    </row>
    <row r="783" spans="1:17" x14ac:dyDescent="0.25">
      <c r="A783" s="99"/>
      <c r="D783" s="4"/>
      <c r="E783" s="4"/>
      <c r="F783" s="4"/>
      <c r="G783" s="4"/>
      <c r="H783" s="4"/>
      <c r="I783" s="4"/>
      <c r="J783" s="7"/>
      <c r="K783" s="4"/>
      <c r="L783" s="4"/>
      <c r="M783" s="4"/>
      <c r="N783" s="4"/>
      <c r="O783" s="4"/>
      <c r="P783" s="4"/>
      <c r="Q783" s="4"/>
    </row>
    <row r="784" spans="1:17" x14ac:dyDescent="0.25">
      <c r="A784" s="99"/>
      <c r="D784" s="4"/>
      <c r="E784" s="4"/>
      <c r="F784" s="4"/>
      <c r="G784" s="4"/>
      <c r="H784" s="4"/>
      <c r="I784" s="4"/>
      <c r="J784" s="7"/>
      <c r="K784" s="4"/>
      <c r="L784" s="4"/>
      <c r="M784" s="4"/>
      <c r="N784" s="4"/>
      <c r="O784" s="4"/>
      <c r="P784" s="4"/>
      <c r="Q784" s="4"/>
    </row>
    <row r="785" spans="1:17" x14ac:dyDescent="0.25">
      <c r="A785" s="99"/>
      <c r="D785" s="4"/>
      <c r="E785" s="4"/>
      <c r="F785" s="4"/>
      <c r="G785" s="4"/>
      <c r="H785" s="4"/>
      <c r="I785" s="4"/>
      <c r="J785" s="7"/>
      <c r="K785" s="4"/>
      <c r="L785" s="4"/>
      <c r="M785" s="4"/>
      <c r="N785" s="4"/>
      <c r="O785" s="4"/>
      <c r="P785" s="4"/>
      <c r="Q785" s="4"/>
    </row>
    <row r="786" spans="1:17" x14ac:dyDescent="0.25">
      <c r="A786" s="99"/>
      <c r="D786" s="4"/>
      <c r="E786" s="4"/>
      <c r="F786" s="4"/>
      <c r="G786" s="4"/>
      <c r="H786" s="4"/>
      <c r="I786" s="4"/>
      <c r="J786" s="7"/>
      <c r="K786" s="4"/>
      <c r="L786" s="4"/>
      <c r="M786" s="4"/>
      <c r="N786" s="4"/>
      <c r="O786" s="4"/>
      <c r="P786" s="4"/>
      <c r="Q786" s="4"/>
    </row>
    <row r="787" spans="1:17" x14ac:dyDescent="0.25">
      <c r="A787" s="99"/>
      <c r="D787" s="4"/>
      <c r="E787" s="4"/>
      <c r="F787" s="4"/>
      <c r="G787" s="4"/>
      <c r="H787" s="4"/>
      <c r="I787" s="4"/>
      <c r="J787" s="7"/>
      <c r="K787" s="4"/>
      <c r="L787" s="4"/>
      <c r="M787" s="4"/>
      <c r="N787" s="4"/>
      <c r="O787" s="4"/>
      <c r="P787" s="4"/>
      <c r="Q787" s="4"/>
    </row>
    <row r="788" spans="1:17" x14ac:dyDescent="0.25">
      <c r="A788" s="99"/>
      <c r="D788" s="4"/>
      <c r="E788" s="4"/>
      <c r="F788" s="4"/>
      <c r="G788" s="4"/>
      <c r="H788" s="4"/>
      <c r="I788" s="4"/>
      <c r="J788" s="7"/>
      <c r="K788" s="4"/>
      <c r="L788" s="4"/>
      <c r="M788" s="4"/>
      <c r="N788" s="4"/>
      <c r="O788" s="4"/>
      <c r="P788" s="4"/>
      <c r="Q788" s="4"/>
    </row>
    <row r="789" spans="1:17" x14ac:dyDescent="0.25">
      <c r="A789" s="99"/>
      <c r="D789" s="4"/>
      <c r="E789" s="4"/>
      <c r="F789" s="4"/>
      <c r="G789" s="4"/>
      <c r="H789" s="4"/>
      <c r="I789" s="4"/>
      <c r="J789" s="7"/>
      <c r="K789" s="4"/>
      <c r="L789" s="4"/>
      <c r="M789" s="4"/>
      <c r="N789" s="4"/>
      <c r="O789" s="4"/>
      <c r="P789" s="4"/>
      <c r="Q789" s="4"/>
    </row>
    <row r="790" spans="1:17" x14ac:dyDescent="0.25">
      <c r="A790" s="99"/>
      <c r="D790" s="4"/>
      <c r="E790" s="4"/>
      <c r="F790" s="4"/>
      <c r="G790" s="4"/>
      <c r="H790" s="4"/>
      <c r="I790" s="4"/>
      <c r="J790" s="7"/>
      <c r="K790" s="4"/>
      <c r="L790" s="4"/>
      <c r="M790" s="4"/>
      <c r="N790" s="4"/>
      <c r="O790" s="4"/>
      <c r="P790" s="4"/>
      <c r="Q790" s="4"/>
    </row>
    <row r="791" spans="1:17" x14ac:dyDescent="0.25">
      <c r="A791" s="99"/>
      <c r="D791" s="4"/>
      <c r="E791" s="4"/>
      <c r="F791" s="4"/>
      <c r="G791" s="4"/>
      <c r="H791" s="4"/>
      <c r="I791" s="4"/>
      <c r="J791" s="7"/>
      <c r="K791" s="4"/>
      <c r="L791" s="4"/>
      <c r="M791" s="4"/>
      <c r="N791" s="4"/>
      <c r="O791" s="4"/>
      <c r="P791" s="4"/>
      <c r="Q791" s="4"/>
    </row>
    <row r="792" spans="1:17" x14ac:dyDescent="0.25">
      <c r="A792" s="99"/>
      <c r="D792" s="4"/>
      <c r="E792" s="4"/>
      <c r="F792" s="4"/>
      <c r="G792" s="4"/>
      <c r="H792" s="4"/>
      <c r="I792" s="4"/>
      <c r="J792" s="7"/>
      <c r="K792" s="4"/>
      <c r="L792" s="4"/>
      <c r="M792" s="4"/>
      <c r="N792" s="4"/>
      <c r="O792" s="4"/>
      <c r="P792" s="4"/>
      <c r="Q792" s="4"/>
    </row>
    <row r="793" spans="1:17" x14ac:dyDescent="0.25">
      <c r="A793" s="99"/>
      <c r="D793" s="4"/>
      <c r="E793" s="4"/>
      <c r="F793" s="4"/>
      <c r="G793" s="4"/>
      <c r="H793" s="4"/>
      <c r="I793" s="4"/>
      <c r="J793" s="7"/>
      <c r="K793" s="4"/>
      <c r="L793" s="4"/>
      <c r="M793" s="4"/>
      <c r="N793" s="4"/>
      <c r="O793" s="4"/>
      <c r="P793" s="4"/>
      <c r="Q793" s="4"/>
    </row>
    <row r="794" spans="1:17" x14ac:dyDescent="0.25">
      <c r="A794" s="99"/>
      <c r="D794" s="4"/>
      <c r="E794" s="4"/>
      <c r="F794" s="4"/>
      <c r="G794" s="4"/>
      <c r="H794" s="4"/>
      <c r="I794" s="4"/>
      <c r="J794" s="7"/>
      <c r="K794" s="4"/>
      <c r="L794" s="4"/>
      <c r="M794" s="4"/>
      <c r="N794" s="4"/>
      <c r="O794" s="4"/>
      <c r="P794" s="4"/>
      <c r="Q794" s="4"/>
    </row>
    <row r="795" spans="1:17" x14ac:dyDescent="0.25">
      <c r="A795" s="99"/>
      <c r="D795" s="4"/>
      <c r="E795" s="4"/>
      <c r="F795" s="4"/>
      <c r="G795" s="4"/>
      <c r="H795" s="4"/>
      <c r="I795" s="4"/>
      <c r="J795" s="7"/>
      <c r="K795" s="4"/>
      <c r="L795" s="4"/>
      <c r="M795" s="4"/>
      <c r="N795" s="4"/>
      <c r="O795" s="4"/>
      <c r="P795" s="4"/>
      <c r="Q795" s="4"/>
    </row>
    <row r="796" spans="1:17" x14ac:dyDescent="0.25">
      <c r="A796" s="99"/>
      <c r="D796" s="4"/>
      <c r="E796" s="4"/>
      <c r="F796" s="4"/>
      <c r="G796" s="4"/>
      <c r="H796" s="4"/>
      <c r="I796" s="4"/>
      <c r="J796" s="7"/>
      <c r="K796" s="4"/>
      <c r="L796" s="4"/>
      <c r="M796" s="4"/>
      <c r="N796" s="4"/>
      <c r="O796" s="4"/>
      <c r="P796" s="4"/>
      <c r="Q796" s="4"/>
    </row>
    <row r="797" spans="1:17" x14ac:dyDescent="0.25">
      <c r="A797" s="99"/>
      <c r="D797" s="4"/>
      <c r="E797" s="4"/>
      <c r="F797" s="4"/>
      <c r="G797" s="4"/>
      <c r="H797" s="4"/>
      <c r="I797" s="4"/>
      <c r="J797" s="7"/>
      <c r="K797" s="4"/>
      <c r="L797" s="4"/>
      <c r="M797" s="4"/>
      <c r="N797" s="4"/>
      <c r="O797" s="4"/>
      <c r="P797" s="4"/>
      <c r="Q797" s="4"/>
    </row>
    <row r="798" spans="1:17" x14ac:dyDescent="0.25">
      <c r="A798" s="99"/>
      <c r="D798" s="4"/>
      <c r="E798" s="4"/>
      <c r="F798" s="4"/>
      <c r="G798" s="4"/>
      <c r="H798" s="4"/>
      <c r="I798" s="4"/>
      <c r="J798" s="7"/>
      <c r="K798" s="4"/>
      <c r="L798" s="4"/>
      <c r="M798" s="4"/>
      <c r="N798" s="4"/>
      <c r="O798" s="4"/>
      <c r="P798" s="4"/>
      <c r="Q798" s="4"/>
    </row>
    <row r="799" spans="1:17" x14ac:dyDescent="0.25">
      <c r="A799" s="99"/>
      <c r="D799" s="4"/>
      <c r="E799" s="4"/>
      <c r="F799" s="4"/>
      <c r="G799" s="4"/>
      <c r="H799" s="4"/>
      <c r="I799" s="4"/>
      <c r="J799" s="7"/>
      <c r="K799" s="4"/>
      <c r="L799" s="4"/>
      <c r="M799" s="4"/>
      <c r="N799" s="4"/>
      <c r="O799" s="4"/>
      <c r="P799" s="4"/>
      <c r="Q799" s="4"/>
    </row>
    <row r="800" spans="1:17" x14ac:dyDescent="0.25">
      <c r="A800" s="99"/>
      <c r="D800" s="4"/>
      <c r="E800" s="4"/>
      <c r="F800" s="4"/>
      <c r="G800" s="4"/>
      <c r="H800" s="4"/>
      <c r="I800" s="4"/>
      <c r="J800" s="7"/>
      <c r="K800" s="4"/>
      <c r="L800" s="4"/>
      <c r="M800" s="4"/>
      <c r="N800" s="4"/>
      <c r="O800" s="4"/>
      <c r="P800" s="4"/>
      <c r="Q800" s="4"/>
    </row>
    <row r="801" spans="1:17" x14ac:dyDescent="0.25">
      <c r="A801" s="99"/>
      <c r="D801" s="4"/>
      <c r="E801" s="4"/>
      <c r="F801" s="4"/>
      <c r="G801" s="4"/>
      <c r="H801" s="4"/>
      <c r="I801" s="4"/>
      <c r="J801" s="7"/>
      <c r="K801" s="4"/>
      <c r="L801" s="4"/>
      <c r="M801" s="4"/>
      <c r="N801" s="4"/>
      <c r="O801" s="4"/>
      <c r="P801" s="4"/>
      <c r="Q801" s="4"/>
    </row>
    <row r="802" spans="1:17" x14ac:dyDescent="0.25">
      <c r="A802" s="99"/>
      <c r="D802" s="4"/>
      <c r="E802" s="4"/>
      <c r="F802" s="4"/>
      <c r="G802" s="4"/>
      <c r="H802" s="4"/>
      <c r="I802" s="4"/>
      <c r="J802" s="7"/>
      <c r="K802" s="4"/>
      <c r="L802" s="4"/>
      <c r="M802" s="4"/>
      <c r="N802" s="4"/>
      <c r="O802" s="4"/>
      <c r="P802" s="4"/>
      <c r="Q802" s="4"/>
    </row>
    <row r="803" spans="1:17" x14ac:dyDescent="0.25">
      <c r="A803" s="99"/>
      <c r="D803" s="4"/>
      <c r="E803" s="4"/>
      <c r="F803" s="4"/>
      <c r="G803" s="4"/>
      <c r="H803" s="4"/>
      <c r="I803" s="4"/>
      <c r="J803" s="7"/>
      <c r="K803" s="4"/>
      <c r="L803" s="4"/>
      <c r="M803" s="4"/>
      <c r="N803" s="4"/>
      <c r="O803" s="4"/>
      <c r="P803" s="4"/>
      <c r="Q803" s="4"/>
    </row>
    <row r="804" spans="1:17" x14ac:dyDescent="0.25">
      <c r="A804" s="99"/>
      <c r="D804" s="4"/>
      <c r="E804" s="4"/>
      <c r="F804" s="4"/>
      <c r="G804" s="4"/>
      <c r="H804" s="4"/>
      <c r="I804" s="4"/>
      <c r="J804" s="7"/>
      <c r="K804" s="4"/>
      <c r="L804" s="4"/>
      <c r="M804" s="4"/>
      <c r="N804" s="4"/>
      <c r="O804" s="4"/>
      <c r="P804" s="4"/>
      <c r="Q804" s="4"/>
    </row>
    <row r="805" spans="1:17" x14ac:dyDescent="0.25">
      <c r="A805" s="99"/>
      <c r="D805" s="4"/>
      <c r="E805" s="4"/>
      <c r="F805" s="4"/>
      <c r="G805" s="4"/>
      <c r="H805" s="4"/>
      <c r="I805" s="4"/>
      <c r="J805" s="7"/>
      <c r="K805" s="4"/>
      <c r="L805" s="4"/>
      <c r="M805" s="4"/>
      <c r="N805" s="4"/>
      <c r="O805" s="4"/>
      <c r="P805" s="4"/>
      <c r="Q805" s="4"/>
    </row>
    <row r="806" spans="1:17" x14ac:dyDescent="0.25">
      <c r="A806" s="99"/>
      <c r="D806" s="4"/>
      <c r="E806" s="4"/>
      <c r="F806" s="4"/>
      <c r="G806" s="4"/>
      <c r="H806" s="4"/>
      <c r="I806" s="4"/>
      <c r="J806" s="7"/>
      <c r="K806" s="4"/>
      <c r="L806" s="4"/>
      <c r="M806" s="4"/>
      <c r="N806" s="4"/>
      <c r="O806" s="4"/>
      <c r="P806" s="4"/>
      <c r="Q806" s="4"/>
    </row>
    <row r="807" spans="1:17" x14ac:dyDescent="0.25">
      <c r="A807" s="99"/>
      <c r="D807" s="4"/>
      <c r="E807" s="4"/>
      <c r="F807" s="4"/>
      <c r="G807" s="4"/>
      <c r="H807" s="4"/>
      <c r="I807" s="4"/>
      <c r="J807" s="7"/>
      <c r="K807" s="4"/>
      <c r="L807" s="4"/>
      <c r="M807" s="4"/>
      <c r="N807" s="4"/>
      <c r="O807" s="4"/>
      <c r="P807" s="4"/>
      <c r="Q807" s="4"/>
    </row>
    <row r="808" spans="1:17" x14ac:dyDescent="0.25">
      <c r="A808" s="99"/>
      <c r="D808" s="4"/>
      <c r="E808" s="4"/>
      <c r="F808" s="4"/>
      <c r="G808" s="4"/>
      <c r="H808" s="4"/>
      <c r="I808" s="4"/>
      <c r="J808" s="7"/>
      <c r="K808" s="4"/>
      <c r="L808" s="4"/>
      <c r="M808" s="4"/>
      <c r="N808" s="4"/>
      <c r="O808" s="4"/>
      <c r="P808" s="4"/>
      <c r="Q808" s="4"/>
    </row>
    <row r="809" spans="1:17" x14ac:dyDescent="0.25">
      <c r="A809" s="99"/>
      <c r="D809" s="4"/>
      <c r="E809" s="4"/>
      <c r="F809" s="4"/>
      <c r="G809" s="4"/>
      <c r="H809" s="4"/>
      <c r="I809" s="4"/>
      <c r="J809" s="7"/>
      <c r="K809" s="4"/>
      <c r="L809" s="4"/>
      <c r="M809" s="4"/>
      <c r="N809" s="4"/>
      <c r="O809" s="4"/>
      <c r="P809" s="4"/>
      <c r="Q809" s="4"/>
    </row>
    <row r="810" spans="1:17" x14ac:dyDescent="0.25">
      <c r="A810" s="99"/>
      <c r="D810" s="4"/>
      <c r="E810" s="4"/>
      <c r="F810" s="4"/>
      <c r="G810" s="4"/>
      <c r="H810" s="4"/>
      <c r="I810" s="4"/>
      <c r="J810" s="7"/>
      <c r="K810" s="4"/>
      <c r="L810" s="4"/>
      <c r="M810" s="4"/>
      <c r="N810" s="4"/>
      <c r="O810" s="4"/>
      <c r="P810" s="4"/>
      <c r="Q810" s="4"/>
    </row>
    <row r="811" spans="1:17" x14ac:dyDescent="0.25">
      <c r="A811" s="99"/>
      <c r="D811" s="4"/>
      <c r="E811" s="4"/>
      <c r="F811" s="4"/>
      <c r="G811" s="4"/>
      <c r="H811" s="4"/>
      <c r="I811" s="4"/>
      <c r="J811" s="7"/>
      <c r="K811" s="4"/>
      <c r="L811" s="4"/>
      <c r="M811" s="4"/>
      <c r="N811" s="4"/>
      <c r="O811" s="4"/>
      <c r="P811" s="4"/>
      <c r="Q811" s="4"/>
    </row>
    <row r="812" spans="1:17" x14ac:dyDescent="0.25">
      <c r="A812" s="99"/>
      <c r="D812" s="4"/>
      <c r="E812" s="4"/>
      <c r="F812" s="4"/>
      <c r="G812" s="4"/>
      <c r="H812" s="4"/>
      <c r="I812" s="4"/>
      <c r="J812" s="7"/>
      <c r="K812" s="4"/>
      <c r="L812" s="4"/>
      <c r="M812" s="4"/>
      <c r="N812" s="4"/>
      <c r="O812" s="4"/>
      <c r="P812" s="4"/>
      <c r="Q812" s="4"/>
    </row>
    <row r="813" spans="1:17" x14ac:dyDescent="0.25">
      <c r="A813" s="99"/>
      <c r="D813" s="4"/>
      <c r="E813" s="4"/>
      <c r="F813" s="4"/>
      <c r="G813" s="4"/>
      <c r="H813" s="4"/>
      <c r="I813" s="4"/>
      <c r="J813" s="7"/>
      <c r="K813" s="4"/>
      <c r="L813" s="4"/>
      <c r="M813" s="4"/>
      <c r="N813" s="4"/>
      <c r="O813" s="4"/>
      <c r="P813" s="4"/>
      <c r="Q813" s="4"/>
    </row>
    <row r="814" spans="1:17" x14ac:dyDescent="0.25">
      <c r="A814" s="99"/>
      <c r="D814" s="4"/>
      <c r="E814" s="4"/>
      <c r="F814" s="4"/>
      <c r="G814" s="4"/>
      <c r="H814" s="4"/>
      <c r="I814" s="4"/>
      <c r="J814" s="7"/>
      <c r="K814" s="4"/>
      <c r="L814" s="4"/>
      <c r="M814" s="4"/>
      <c r="N814" s="4"/>
      <c r="O814" s="4"/>
      <c r="P814" s="4"/>
      <c r="Q814" s="4"/>
    </row>
    <row r="815" spans="1:17" x14ac:dyDescent="0.25">
      <c r="A815" s="99"/>
      <c r="D815" s="4"/>
      <c r="E815" s="4"/>
      <c r="F815" s="4"/>
      <c r="G815" s="4"/>
      <c r="H815" s="4"/>
      <c r="I815" s="4"/>
      <c r="J815" s="7"/>
      <c r="K815" s="4"/>
      <c r="L815" s="4"/>
      <c r="M815" s="4"/>
      <c r="N815" s="4"/>
      <c r="O815" s="4"/>
      <c r="P815" s="4"/>
      <c r="Q815" s="4"/>
    </row>
    <row r="816" spans="1:17" x14ac:dyDescent="0.25">
      <c r="A816" s="99"/>
      <c r="D816" s="4"/>
      <c r="E816" s="4"/>
      <c r="F816" s="4"/>
      <c r="G816" s="4"/>
      <c r="H816" s="4"/>
      <c r="I816" s="4"/>
      <c r="J816" s="7"/>
      <c r="K816" s="4"/>
      <c r="L816" s="4"/>
      <c r="M816" s="4"/>
      <c r="N816" s="4"/>
      <c r="O816" s="4"/>
      <c r="P816" s="4"/>
      <c r="Q816" s="4"/>
    </row>
    <row r="817" spans="1:17" x14ac:dyDescent="0.25">
      <c r="A817" s="99"/>
      <c r="D817" s="4"/>
      <c r="E817" s="4"/>
      <c r="F817" s="4"/>
      <c r="G817" s="4"/>
      <c r="H817" s="4"/>
      <c r="I817" s="4"/>
      <c r="J817" s="7"/>
      <c r="K817" s="4"/>
      <c r="L817" s="4"/>
      <c r="M817" s="4"/>
      <c r="N817" s="4"/>
      <c r="O817" s="4"/>
      <c r="P817" s="4"/>
      <c r="Q817" s="4"/>
    </row>
    <row r="818" spans="1:17" x14ac:dyDescent="0.25">
      <c r="A818" s="99"/>
      <c r="D818" s="4"/>
      <c r="E818" s="4"/>
      <c r="F818" s="4"/>
      <c r="G818" s="4"/>
      <c r="H818" s="4"/>
      <c r="I818" s="4"/>
      <c r="J818" s="7"/>
      <c r="K818" s="4"/>
      <c r="L818" s="4"/>
      <c r="M818" s="4"/>
      <c r="N818" s="4"/>
      <c r="O818" s="4"/>
      <c r="P818" s="4"/>
      <c r="Q818" s="4"/>
    </row>
    <row r="819" spans="1:17" x14ac:dyDescent="0.25">
      <c r="A819" s="99"/>
      <c r="D819" s="4"/>
      <c r="E819" s="4"/>
      <c r="F819" s="4"/>
      <c r="G819" s="4"/>
      <c r="H819" s="4"/>
      <c r="I819" s="4"/>
      <c r="J819" s="7"/>
      <c r="K819" s="4"/>
      <c r="L819" s="4"/>
      <c r="M819" s="4"/>
      <c r="N819" s="4"/>
      <c r="O819" s="4"/>
      <c r="P819" s="4"/>
      <c r="Q819" s="4"/>
    </row>
    <row r="820" spans="1:17" x14ac:dyDescent="0.25">
      <c r="A820" s="99"/>
      <c r="D820" s="4"/>
      <c r="E820" s="4"/>
      <c r="F820" s="4"/>
      <c r="G820" s="4"/>
      <c r="H820" s="4"/>
      <c r="I820" s="4"/>
      <c r="J820" s="7"/>
      <c r="K820" s="4"/>
      <c r="L820" s="4"/>
      <c r="M820" s="4"/>
      <c r="N820" s="4"/>
      <c r="O820" s="4"/>
      <c r="P820" s="4"/>
      <c r="Q820" s="4"/>
    </row>
    <row r="821" spans="1:17" x14ac:dyDescent="0.25">
      <c r="A821" s="99"/>
      <c r="D821" s="4"/>
      <c r="E821" s="4"/>
      <c r="F821" s="4"/>
      <c r="G821" s="4"/>
      <c r="H821" s="4"/>
      <c r="I821" s="4"/>
      <c r="J821" s="7"/>
      <c r="K821" s="4"/>
      <c r="L821" s="4"/>
      <c r="M821" s="4"/>
      <c r="N821" s="4"/>
      <c r="O821" s="4"/>
      <c r="P821" s="4"/>
      <c r="Q821" s="4"/>
    </row>
    <row r="822" spans="1:17" x14ac:dyDescent="0.25">
      <c r="A822" s="99"/>
      <c r="D822" s="4"/>
      <c r="E822" s="4"/>
      <c r="F822" s="4"/>
      <c r="G822" s="4"/>
      <c r="H822" s="4"/>
      <c r="I822" s="4"/>
      <c r="J822" s="7"/>
      <c r="K822" s="4"/>
      <c r="L822" s="4"/>
      <c r="M822" s="4"/>
      <c r="N822" s="4"/>
      <c r="O822" s="4"/>
      <c r="P822" s="4"/>
      <c r="Q822" s="4"/>
    </row>
    <row r="823" spans="1:17" x14ac:dyDescent="0.25">
      <c r="A823" s="99"/>
      <c r="D823" s="4"/>
      <c r="E823" s="4"/>
      <c r="F823" s="4"/>
      <c r="G823" s="4"/>
      <c r="H823" s="4"/>
      <c r="I823" s="4"/>
      <c r="J823" s="7"/>
      <c r="K823" s="4"/>
      <c r="L823" s="4"/>
      <c r="M823" s="4"/>
      <c r="N823" s="4"/>
      <c r="O823" s="4"/>
      <c r="P823" s="4"/>
      <c r="Q823" s="4"/>
    </row>
    <row r="824" spans="1:17" x14ac:dyDescent="0.25">
      <c r="A824" s="99"/>
      <c r="D824" s="4"/>
      <c r="E824" s="4"/>
      <c r="F824" s="4"/>
      <c r="G824" s="4"/>
      <c r="H824" s="4"/>
      <c r="I824" s="4"/>
      <c r="J824" s="7"/>
      <c r="K824" s="4"/>
      <c r="L824" s="4"/>
      <c r="M824" s="4"/>
      <c r="N824" s="4"/>
      <c r="O824" s="4"/>
      <c r="P824" s="4"/>
      <c r="Q824" s="4"/>
    </row>
    <row r="825" spans="1:17" x14ac:dyDescent="0.25">
      <c r="A825" s="99"/>
      <c r="D825" s="4"/>
      <c r="E825" s="4"/>
      <c r="F825" s="4"/>
      <c r="G825" s="4"/>
      <c r="H825" s="4"/>
      <c r="I825" s="4"/>
      <c r="J825" s="7"/>
      <c r="K825" s="4"/>
      <c r="L825" s="4"/>
      <c r="M825" s="4"/>
      <c r="N825" s="4"/>
      <c r="O825" s="4"/>
      <c r="P825" s="4"/>
      <c r="Q825" s="4"/>
    </row>
    <row r="826" spans="1:17" x14ac:dyDescent="0.25">
      <c r="A826" s="99"/>
      <c r="D826" s="4"/>
      <c r="E826" s="4"/>
      <c r="F826" s="4"/>
      <c r="G826" s="4"/>
      <c r="H826" s="4"/>
      <c r="I826" s="4"/>
      <c r="J826" s="7"/>
      <c r="K826" s="4"/>
      <c r="L826" s="4"/>
      <c r="M826" s="4"/>
      <c r="N826" s="4"/>
      <c r="O826" s="4"/>
      <c r="P826" s="4"/>
      <c r="Q826" s="4"/>
    </row>
    <row r="827" spans="1:17" x14ac:dyDescent="0.25">
      <c r="A827" s="99"/>
      <c r="D827" s="4"/>
      <c r="E827" s="4"/>
      <c r="F827" s="4"/>
      <c r="G827" s="4"/>
      <c r="H827" s="4"/>
      <c r="I827" s="4"/>
      <c r="J827" s="7"/>
      <c r="K827" s="4"/>
      <c r="L827" s="4"/>
      <c r="M827" s="4"/>
      <c r="N827" s="4"/>
      <c r="O827" s="4"/>
      <c r="P827" s="4"/>
      <c r="Q827" s="4"/>
    </row>
    <row r="828" spans="1:17" x14ac:dyDescent="0.25">
      <c r="A828" s="99"/>
      <c r="D828" s="4"/>
      <c r="E828" s="4"/>
      <c r="F828" s="4"/>
      <c r="G828" s="4"/>
      <c r="H828" s="4"/>
      <c r="I828" s="4"/>
      <c r="J828" s="7"/>
      <c r="K828" s="4"/>
      <c r="L828" s="4"/>
      <c r="M828" s="4"/>
      <c r="N828" s="4"/>
      <c r="O828" s="4"/>
      <c r="P828" s="4"/>
      <c r="Q828" s="4"/>
    </row>
    <row r="829" spans="1:17" x14ac:dyDescent="0.25">
      <c r="A829" s="99"/>
      <c r="D829" s="4"/>
      <c r="E829" s="4"/>
      <c r="F829" s="4"/>
      <c r="G829" s="4"/>
      <c r="H829" s="4"/>
      <c r="I829" s="4"/>
      <c r="J829" s="7"/>
      <c r="K829" s="4"/>
      <c r="L829" s="4"/>
      <c r="M829" s="4"/>
      <c r="N829" s="4"/>
      <c r="O829" s="4"/>
      <c r="P829" s="4"/>
      <c r="Q829" s="4"/>
    </row>
    <row r="830" spans="1:17" x14ac:dyDescent="0.25">
      <c r="A830" s="99"/>
      <c r="D830" s="4"/>
      <c r="E830" s="4"/>
      <c r="F830" s="4"/>
      <c r="G830" s="4"/>
      <c r="H830" s="4"/>
      <c r="I830" s="4"/>
      <c r="J830" s="7"/>
      <c r="K830" s="4"/>
      <c r="L830" s="4"/>
      <c r="M830" s="4"/>
      <c r="N830" s="4"/>
      <c r="O830" s="4"/>
      <c r="P830" s="4"/>
      <c r="Q830" s="4"/>
    </row>
    <row r="831" spans="1:17" x14ac:dyDescent="0.25">
      <c r="A831" s="99"/>
      <c r="D831" s="4"/>
      <c r="E831" s="4"/>
      <c r="F831" s="4"/>
      <c r="G831" s="4"/>
      <c r="H831" s="4"/>
      <c r="I831" s="4"/>
      <c r="J831" s="7"/>
      <c r="K831" s="4"/>
      <c r="L831" s="4"/>
      <c r="M831" s="4"/>
      <c r="N831" s="4"/>
      <c r="O831" s="4"/>
      <c r="P831" s="4"/>
      <c r="Q831" s="4"/>
    </row>
    <row r="832" spans="1:17" x14ac:dyDescent="0.25">
      <c r="A832" s="99"/>
      <c r="D832" s="4"/>
      <c r="E832" s="4"/>
      <c r="F832" s="4"/>
      <c r="G832" s="4"/>
      <c r="H832" s="4"/>
      <c r="I832" s="4"/>
      <c r="J832" s="7"/>
      <c r="K832" s="4"/>
      <c r="L832" s="4"/>
      <c r="M832" s="4"/>
      <c r="N832" s="4"/>
      <c r="O832" s="4"/>
      <c r="P832" s="4"/>
      <c r="Q832" s="4"/>
    </row>
    <row r="833" spans="1:17" x14ac:dyDescent="0.25">
      <c r="A833" s="99"/>
      <c r="D833" s="4"/>
      <c r="E833" s="4"/>
      <c r="F833" s="4"/>
      <c r="G833" s="4"/>
      <c r="H833" s="4"/>
      <c r="I833" s="4"/>
      <c r="J833" s="7"/>
      <c r="K833" s="4"/>
      <c r="L833" s="4"/>
      <c r="M833" s="4"/>
      <c r="N833" s="4"/>
      <c r="O833" s="4"/>
      <c r="P833" s="4"/>
      <c r="Q833" s="4"/>
    </row>
    <row r="834" spans="1:17" x14ac:dyDescent="0.25">
      <c r="A834" s="99"/>
      <c r="D834" s="4"/>
      <c r="E834" s="4"/>
      <c r="F834" s="4"/>
      <c r="G834" s="4"/>
      <c r="H834" s="4"/>
      <c r="I834" s="4"/>
      <c r="J834" s="7"/>
      <c r="K834" s="4"/>
      <c r="L834" s="4"/>
      <c r="M834" s="4"/>
      <c r="N834" s="4"/>
      <c r="O834" s="4"/>
      <c r="P834" s="4"/>
      <c r="Q834" s="4"/>
    </row>
    <row r="835" spans="1:17" x14ac:dyDescent="0.25">
      <c r="A835" s="99"/>
      <c r="D835" s="4"/>
      <c r="E835" s="4"/>
      <c r="F835" s="4"/>
      <c r="G835" s="4"/>
      <c r="H835" s="4"/>
      <c r="I835" s="4"/>
      <c r="J835" s="7"/>
      <c r="K835" s="4"/>
      <c r="L835" s="4"/>
      <c r="M835" s="4"/>
      <c r="N835" s="4"/>
      <c r="O835" s="4"/>
      <c r="P835" s="4"/>
      <c r="Q835" s="4"/>
    </row>
    <row r="836" spans="1:17" x14ac:dyDescent="0.25">
      <c r="A836" s="99"/>
      <c r="D836" s="4"/>
      <c r="E836" s="4"/>
      <c r="F836" s="4"/>
      <c r="G836" s="4"/>
      <c r="H836" s="4"/>
      <c r="I836" s="4"/>
      <c r="J836" s="7"/>
      <c r="K836" s="4"/>
      <c r="L836" s="4"/>
      <c r="M836" s="4"/>
      <c r="N836" s="4"/>
      <c r="O836" s="4"/>
      <c r="P836" s="4"/>
      <c r="Q836" s="4"/>
    </row>
    <row r="837" spans="1:17" x14ac:dyDescent="0.25">
      <c r="A837" s="99"/>
      <c r="D837" s="4"/>
      <c r="E837" s="4"/>
      <c r="F837" s="4"/>
      <c r="G837" s="4"/>
      <c r="H837" s="4"/>
      <c r="I837" s="4"/>
      <c r="J837" s="7"/>
      <c r="K837" s="4"/>
      <c r="L837" s="4"/>
      <c r="M837" s="4"/>
      <c r="N837" s="4"/>
      <c r="O837" s="4"/>
      <c r="P837" s="4"/>
      <c r="Q837" s="4"/>
    </row>
    <row r="838" spans="1:17" x14ac:dyDescent="0.25">
      <c r="A838" s="99"/>
      <c r="D838" s="4"/>
      <c r="E838" s="4"/>
      <c r="F838" s="4"/>
      <c r="G838" s="4"/>
      <c r="H838" s="4"/>
      <c r="I838" s="4"/>
      <c r="J838" s="7"/>
      <c r="K838" s="4"/>
      <c r="L838" s="4"/>
      <c r="M838" s="4"/>
      <c r="N838" s="4"/>
      <c r="O838" s="4"/>
      <c r="P838" s="4"/>
      <c r="Q838" s="4"/>
    </row>
    <row r="839" spans="1:17" x14ac:dyDescent="0.25">
      <c r="A839" s="99"/>
      <c r="D839" s="4"/>
      <c r="E839" s="4"/>
      <c r="F839" s="4"/>
      <c r="G839" s="4"/>
      <c r="H839" s="4"/>
      <c r="I839" s="4"/>
      <c r="J839" s="7"/>
      <c r="K839" s="4"/>
      <c r="L839" s="4"/>
      <c r="M839" s="4"/>
      <c r="N839" s="4"/>
      <c r="O839" s="4"/>
      <c r="P839" s="4"/>
      <c r="Q839" s="4"/>
    </row>
    <row r="840" spans="1:17" x14ac:dyDescent="0.25">
      <c r="A840" s="99"/>
      <c r="D840" s="4"/>
      <c r="E840" s="4"/>
      <c r="F840" s="4"/>
      <c r="G840" s="4"/>
      <c r="H840" s="4"/>
      <c r="I840" s="4"/>
      <c r="J840" s="7"/>
      <c r="K840" s="4"/>
      <c r="L840" s="4"/>
      <c r="M840" s="4"/>
      <c r="N840" s="4"/>
      <c r="O840" s="4"/>
      <c r="P840" s="4"/>
      <c r="Q840" s="4"/>
    </row>
    <row r="841" spans="1:17" x14ac:dyDescent="0.25">
      <c r="A841" s="7"/>
      <c r="D841" s="4"/>
      <c r="E841" s="4"/>
      <c r="F841" s="4"/>
      <c r="G841" s="4"/>
      <c r="H841" s="4"/>
      <c r="I841" s="4"/>
      <c r="J841" s="7"/>
      <c r="K841" s="4"/>
      <c r="L841" s="4"/>
      <c r="M841" s="4"/>
      <c r="N841" s="4"/>
      <c r="O841" s="4"/>
      <c r="P841" s="4"/>
      <c r="Q841" s="4"/>
    </row>
    <row r="842" spans="1:17" x14ac:dyDescent="0.25">
      <c r="A842" s="99"/>
      <c r="D842" s="4"/>
      <c r="E842" s="4"/>
      <c r="F842" s="4"/>
      <c r="G842" s="4"/>
      <c r="H842" s="4"/>
      <c r="I842" s="4"/>
      <c r="J842" s="7"/>
      <c r="K842" s="4"/>
      <c r="L842" s="4"/>
      <c r="M842" s="4"/>
      <c r="N842" s="4"/>
      <c r="O842" s="4"/>
      <c r="P842" s="4"/>
      <c r="Q842" s="4"/>
    </row>
    <row r="843" spans="1:17" x14ac:dyDescent="0.25">
      <c r="A843" s="99"/>
      <c r="D843" s="4"/>
      <c r="E843" s="4"/>
      <c r="F843" s="4"/>
      <c r="G843" s="4"/>
      <c r="H843" s="4"/>
      <c r="I843" s="4"/>
      <c r="J843" s="7"/>
      <c r="K843" s="4"/>
      <c r="L843" s="4"/>
      <c r="M843" s="4"/>
      <c r="N843" s="4"/>
      <c r="O843" s="4"/>
      <c r="P843" s="4"/>
      <c r="Q843" s="4"/>
    </row>
    <row r="844" spans="1:17" x14ac:dyDescent="0.25">
      <c r="A844" s="99"/>
      <c r="D844" s="4"/>
      <c r="E844" s="4"/>
      <c r="F844" s="4"/>
      <c r="G844" s="4"/>
      <c r="H844" s="4"/>
      <c r="I844" s="4"/>
      <c r="J844" s="7"/>
      <c r="K844" s="4"/>
      <c r="L844" s="4"/>
      <c r="M844" s="4"/>
      <c r="N844" s="4"/>
      <c r="O844" s="4"/>
      <c r="P844" s="4"/>
      <c r="Q844" s="4"/>
    </row>
    <row r="845" spans="1:17" x14ac:dyDescent="0.25">
      <c r="A845" s="99"/>
      <c r="D845" s="4"/>
      <c r="E845" s="4"/>
      <c r="F845" s="4"/>
      <c r="G845" s="4"/>
      <c r="H845" s="4"/>
      <c r="I845" s="4"/>
      <c r="J845" s="7"/>
      <c r="K845" s="4"/>
      <c r="L845" s="4"/>
      <c r="M845" s="4"/>
      <c r="N845" s="4"/>
      <c r="O845" s="4"/>
      <c r="P845" s="4"/>
      <c r="Q845" s="4"/>
    </row>
    <row r="846" spans="1:17" x14ac:dyDescent="0.25">
      <c r="A846" s="99"/>
      <c r="D846" s="4"/>
      <c r="E846" s="4"/>
      <c r="F846" s="4"/>
      <c r="G846" s="4"/>
      <c r="H846" s="4"/>
      <c r="I846" s="4"/>
      <c r="J846" s="7"/>
      <c r="K846" s="4"/>
      <c r="L846" s="4"/>
      <c r="M846" s="4"/>
      <c r="N846" s="4"/>
      <c r="O846" s="4"/>
      <c r="P846" s="4"/>
      <c r="Q846" s="4"/>
    </row>
    <row r="847" spans="1:17" x14ac:dyDescent="0.25">
      <c r="A847" s="99"/>
      <c r="D847" s="4"/>
      <c r="E847" s="4"/>
      <c r="F847" s="4"/>
      <c r="G847" s="4"/>
      <c r="H847" s="4"/>
      <c r="I847" s="4"/>
      <c r="J847" s="7"/>
      <c r="K847" s="4"/>
      <c r="L847" s="4"/>
      <c r="M847" s="4"/>
      <c r="N847" s="4"/>
      <c r="O847" s="4"/>
      <c r="P847" s="4"/>
      <c r="Q847" s="4"/>
    </row>
    <row r="848" spans="1:17" x14ac:dyDescent="0.25">
      <c r="A848" s="99"/>
      <c r="D848" s="4"/>
      <c r="E848" s="4"/>
      <c r="F848" s="4"/>
      <c r="G848" s="4"/>
      <c r="H848" s="4"/>
      <c r="I848" s="4"/>
      <c r="J848" s="7"/>
      <c r="K848" s="4"/>
      <c r="L848" s="4"/>
      <c r="M848" s="4"/>
      <c r="N848" s="4"/>
      <c r="O848" s="4"/>
      <c r="P848" s="4"/>
      <c r="Q848" s="4"/>
    </row>
    <row r="849" spans="1:17" x14ac:dyDescent="0.25">
      <c r="A849" s="99"/>
      <c r="D849" s="4"/>
      <c r="E849" s="4"/>
      <c r="F849" s="4"/>
      <c r="G849" s="4"/>
      <c r="H849" s="4"/>
      <c r="I849" s="4"/>
      <c r="J849" s="7"/>
      <c r="K849" s="4"/>
      <c r="L849" s="4"/>
      <c r="M849" s="4"/>
      <c r="N849" s="4"/>
      <c r="O849" s="4"/>
      <c r="P849" s="4"/>
      <c r="Q849" s="4"/>
    </row>
    <row r="850" spans="1:17" x14ac:dyDescent="0.25">
      <c r="A850" s="99"/>
      <c r="D850" s="4"/>
      <c r="E850" s="4"/>
      <c r="F850" s="4"/>
      <c r="G850" s="4"/>
      <c r="H850" s="4"/>
      <c r="I850" s="4"/>
      <c r="J850" s="7"/>
      <c r="K850" s="4"/>
      <c r="L850" s="4"/>
      <c r="M850" s="4"/>
      <c r="N850" s="4"/>
      <c r="O850" s="4"/>
      <c r="P850" s="4"/>
      <c r="Q850" s="4"/>
    </row>
    <row r="851" spans="1:17" x14ac:dyDescent="0.25">
      <c r="A851" s="99"/>
      <c r="D851" s="4"/>
      <c r="E851" s="4"/>
      <c r="F851" s="4"/>
      <c r="G851" s="4"/>
      <c r="H851" s="4"/>
      <c r="I851" s="4"/>
      <c r="J851" s="7"/>
      <c r="K851" s="4"/>
      <c r="L851" s="4"/>
      <c r="M851" s="4"/>
      <c r="N851" s="4"/>
      <c r="O851" s="4"/>
      <c r="P851" s="4"/>
      <c r="Q851" s="4"/>
    </row>
    <row r="852" spans="1:17" x14ac:dyDescent="0.25">
      <c r="A852" s="99"/>
      <c r="D852" s="4"/>
      <c r="E852" s="4"/>
      <c r="F852" s="4"/>
      <c r="G852" s="4"/>
      <c r="H852" s="4"/>
      <c r="I852" s="4"/>
      <c r="J852" s="7"/>
      <c r="K852" s="4"/>
      <c r="L852" s="4"/>
      <c r="M852" s="4"/>
      <c r="N852" s="4"/>
      <c r="O852" s="4"/>
      <c r="P852" s="4"/>
      <c r="Q852" s="4"/>
    </row>
    <row r="853" spans="1:17" x14ac:dyDescent="0.25">
      <c r="A853" s="99"/>
      <c r="D853" s="4"/>
      <c r="E853" s="4"/>
      <c r="F853" s="4"/>
      <c r="G853" s="4"/>
      <c r="H853" s="4"/>
      <c r="I853" s="4"/>
      <c r="J853" s="7"/>
      <c r="K853" s="4"/>
      <c r="L853" s="4"/>
      <c r="M853" s="4"/>
      <c r="N853" s="4"/>
      <c r="O853" s="4"/>
      <c r="P853" s="4"/>
      <c r="Q853" s="4"/>
    </row>
    <row r="854" spans="1:17" x14ac:dyDescent="0.25">
      <c r="A854" s="99"/>
      <c r="D854" s="4"/>
      <c r="E854" s="4"/>
      <c r="F854" s="4"/>
      <c r="G854" s="4"/>
      <c r="H854" s="4"/>
      <c r="I854" s="4"/>
      <c r="J854" s="7"/>
      <c r="K854" s="4"/>
      <c r="L854" s="4"/>
      <c r="M854" s="4"/>
      <c r="N854" s="4"/>
      <c r="O854" s="4"/>
      <c r="P854" s="4"/>
      <c r="Q854" s="4"/>
    </row>
    <row r="855" spans="1:17" x14ac:dyDescent="0.25">
      <c r="A855" s="99"/>
      <c r="D855" s="4"/>
      <c r="E855" s="4"/>
      <c r="F855" s="4"/>
      <c r="G855" s="4"/>
      <c r="H855" s="4"/>
      <c r="I855" s="4"/>
      <c r="J855" s="7"/>
      <c r="K855" s="4"/>
      <c r="L855" s="4"/>
      <c r="M855" s="4"/>
      <c r="N855" s="4"/>
      <c r="O855" s="4"/>
      <c r="P855" s="4"/>
      <c r="Q855" s="4"/>
    </row>
    <row r="856" spans="1:17" x14ac:dyDescent="0.25">
      <c r="A856" s="99"/>
      <c r="D856" s="4"/>
      <c r="E856" s="4"/>
      <c r="F856" s="4"/>
      <c r="G856" s="4"/>
      <c r="H856" s="4"/>
      <c r="I856" s="4"/>
      <c r="J856" s="7"/>
      <c r="K856" s="4"/>
      <c r="L856" s="4"/>
      <c r="M856" s="4"/>
      <c r="N856" s="4"/>
      <c r="O856" s="4"/>
      <c r="P856" s="4"/>
      <c r="Q856" s="4"/>
    </row>
    <row r="857" spans="1:17" x14ac:dyDescent="0.25">
      <c r="A857" s="99"/>
      <c r="D857" s="4"/>
      <c r="E857" s="4"/>
      <c r="F857" s="4"/>
      <c r="G857" s="4"/>
      <c r="H857" s="4"/>
      <c r="I857" s="4"/>
      <c r="J857" s="7"/>
      <c r="K857" s="4"/>
      <c r="L857" s="4"/>
      <c r="M857" s="4"/>
      <c r="N857" s="4"/>
      <c r="O857" s="4"/>
      <c r="P857" s="4"/>
      <c r="Q857" s="4"/>
    </row>
    <row r="858" spans="1:17" x14ac:dyDescent="0.25">
      <c r="A858" s="99"/>
      <c r="D858" s="4"/>
      <c r="E858" s="4"/>
      <c r="F858" s="4"/>
      <c r="G858" s="4"/>
      <c r="H858" s="4"/>
      <c r="I858" s="4"/>
      <c r="J858" s="7"/>
      <c r="K858" s="4"/>
      <c r="L858" s="4"/>
      <c r="M858" s="4"/>
      <c r="N858" s="4"/>
      <c r="O858" s="4"/>
      <c r="P858" s="4"/>
      <c r="Q858" s="4"/>
    </row>
    <row r="859" spans="1:17" x14ac:dyDescent="0.25">
      <c r="A859" s="99"/>
      <c r="D859" s="4"/>
      <c r="E859" s="4"/>
      <c r="F859" s="4"/>
      <c r="G859" s="4"/>
      <c r="H859" s="4"/>
      <c r="I859" s="4"/>
      <c r="J859" s="7"/>
      <c r="K859" s="4"/>
      <c r="L859" s="4"/>
      <c r="M859" s="4"/>
      <c r="N859" s="4"/>
      <c r="O859" s="4"/>
      <c r="P859" s="4"/>
      <c r="Q859" s="4"/>
    </row>
    <row r="860" spans="1:17" x14ac:dyDescent="0.25">
      <c r="A860" s="99"/>
      <c r="D860" s="4"/>
      <c r="E860" s="4"/>
      <c r="F860" s="4"/>
      <c r="G860" s="4"/>
      <c r="H860" s="4"/>
      <c r="I860" s="4"/>
      <c r="J860" s="7"/>
      <c r="K860" s="4"/>
      <c r="L860" s="4"/>
      <c r="M860" s="4"/>
      <c r="N860" s="4"/>
      <c r="O860" s="4"/>
      <c r="P860" s="4"/>
      <c r="Q860" s="4"/>
    </row>
    <row r="861" spans="1:17" x14ac:dyDescent="0.25">
      <c r="A861" s="99"/>
      <c r="D861" s="4"/>
      <c r="E861" s="4"/>
      <c r="F861" s="4"/>
      <c r="G861" s="4"/>
      <c r="H861" s="4"/>
      <c r="I861" s="4"/>
      <c r="J861" s="7"/>
      <c r="K861" s="4"/>
      <c r="L861" s="4"/>
      <c r="M861" s="4"/>
      <c r="N861" s="4"/>
      <c r="O861" s="4"/>
      <c r="P861" s="4"/>
      <c r="Q861" s="4"/>
    </row>
    <row r="862" spans="1:17" x14ac:dyDescent="0.25">
      <c r="A862" s="99"/>
      <c r="D862" s="4"/>
      <c r="E862" s="4"/>
      <c r="F862" s="4"/>
      <c r="G862" s="4"/>
      <c r="H862" s="4"/>
      <c r="I862" s="4"/>
      <c r="J862" s="7"/>
      <c r="K862" s="4"/>
      <c r="L862" s="4"/>
      <c r="M862" s="4"/>
      <c r="N862" s="4"/>
      <c r="O862" s="4"/>
      <c r="P862" s="4"/>
      <c r="Q862" s="4"/>
    </row>
    <row r="863" spans="1:17" x14ac:dyDescent="0.25">
      <c r="A863" s="99"/>
      <c r="D863" s="4"/>
      <c r="E863" s="4"/>
      <c r="F863" s="4"/>
      <c r="G863" s="4"/>
      <c r="H863" s="4"/>
      <c r="I863" s="4"/>
      <c r="J863" s="7"/>
      <c r="K863" s="4"/>
      <c r="L863" s="4"/>
      <c r="M863" s="4"/>
      <c r="N863" s="4"/>
      <c r="O863" s="4"/>
      <c r="P863" s="4"/>
      <c r="Q863" s="4"/>
    </row>
    <row r="864" spans="1:17" x14ac:dyDescent="0.25">
      <c r="A864" s="99"/>
      <c r="D864" s="4"/>
      <c r="E864" s="4"/>
      <c r="F864" s="4"/>
      <c r="G864" s="4"/>
      <c r="H864" s="4"/>
      <c r="I864" s="4"/>
      <c r="J864" s="7"/>
      <c r="K864" s="4"/>
      <c r="L864" s="4"/>
      <c r="M864" s="4"/>
      <c r="N864" s="4"/>
      <c r="O864" s="4"/>
      <c r="P864" s="4"/>
      <c r="Q864" s="4"/>
    </row>
    <row r="865" spans="1:17" x14ac:dyDescent="0.25">
      <c r="A865" s="99"/>
      <c r="D865" s="4"/>
      <c r="E865" s="4"/>
      <c r="F865" s="4"/>
      <c r="G865" s="4"/>
      <c r="H865" s="4"/>
      <c r="I865" s="4"/>
      <c r="J865" s="7"/>
      <c r="K865" s="4"/>
      <c r="L865" s="4"/>
      <c r="M865" s="4"/>
      <c r="N865" s="4"/>
      <c r="O865" s="4"/>
      <c r="P865" s="4"/>
      <c r="Q865" s="4"/>
    </row>
    <row r="866" spans="1:17" x14ac:dyDescent="0.25">
      <c r="A866" s="99"/>
      <c r="D866" s="4"/>
      <c r="E866" s="4"/>
      <c r="F866" s="4"/>
      <c r="G866" s="4"/>
      <c r="H866" s="4"/>
      <c r="I866" s="4"/>
      <c r="J866" s="7"/>
      <c r="K866" s="4"/>
      <c r="L866" s="4"/>
      <c r="M866" s="4"/>
      <c r="N866" s="4"/>
      <c r="O866" s="4"/>
      <c r="P866" s="4"/>
      <c r="Q866" s="4"/>
    </row>
    <row r="867" spans="1:17" x14ac:dyDescent="0.25">
      <c r="A867" s="99"/>
      <c r="D867" s="4"/>
      <c r="E867" s="4"/>
      <c r="F867" s="4"/>
      <c r="G867" s="4"/>
      <c r="H867" s="4"/>
      <c r="I867" s="4"/>
      <c r="J867" s="7"/>
      <c r="K867" s="4"/>
      <c r="L867" s="4"/>
      <c r="M867" s="4"/>
      <c r="N867" s="4"/>
      <c r="O867" s="4"/>
      <c r="P867" s="4"/>
      <c r="Q867" s="4"/>
    </row>
    <row r="868" spans="1:17" x14ac:dyDescent="0.25">
      <c r="A868" s="99"/>
      <c r="D868" s="4"/>
      <c r="E868" s="4"/>
      <c r="F868" s="4"/>
      <c r="G868" s="4"/>
      <c r="H868" s="4"/>
      <c r="I868" s="4"/>
      <c r="J868" s="7"/>
      <c r="K868" s="4"/>
      <c r="L868" s="4"/>
      <c r="M868" s="4"/>
      <c r="N868" s="4"/>
      <c r="O868" s="4"/>
      <c r="P868" s="4"/>
      <c r="Q868" s="4"/>
    </row>
    <row r="869" spans="1:17" x14ac:dyDescent="0.25">
      <c r="A869" s="99"/>
      <c r="D869" s="4"/>
      <c r="E869" s="4"/>
      <c r="F869" s="4"/>
      <c r="G869" s="4"/>
      <c r="H869" s="4"/>
      <c r="I869" s="4"/>
      <c r="J869" s="7"/>
      <c r="K869" s="4"/>
      <c r="L869" s="4"/>
      <c r="M869" s="4"/>
      <c r="N869" s="4"/>
      <c r="O869" s="4"/>
      <c r="P869" s="4"/>
      <c r="Q869" s="4"/>
    </row>
    <row r="870" spans="1:17" x14ac:dyDescent="0.25">
      <c r="A870" s="99"/>
      <c r="D870" s="4"/>
      <c r="E870" s="4"/>
      <c r="F870" s="4"/>
      <c r="G870" s="4"/>
      <c r="H870" s="4"/>
      <c r="I870" s="4"/>
      <c r="J870" s="7"/>
      <c r="K870" s="4"/>
      <c r="L870" s="4"/>
      <c r="M870" s="4"/>
      <c r="N870" s="4"/>
      <c r="O870" s="4"/>
      <c r="P870" s="4"/>
      <c r="Q870" s="4"/>
    </row>
    <row r="871" spans="1:17" x14ac:dyDescent="0.25">
      <c r="A871" s="99"/>
      <c r="D871" s="4"/>
      <c r="E871" s="4"/>
      <c r="F871" s="4"/>
      <c r="G871" s="4"/>
      <c r="H871" s="4"/>
      <c r="I871" s="4"/>
      <c r="J871" s="7"/>
      <c r="K871" s="4"/>
      <c r="L871" s="4"/>
      <c r="M871" s="4"/>
      <c r="N871" s="4"/>
      <c r="O871" s="4"/>
      <c r="P871" s="4"/>
      <c r="Q871" s="4"/>
    </row>
    <row r="872" spans="1:17" x14ac:dyDescent="0.25">
      <c r="A872" s="99"/>
      <c r="D872" s="4"/>
      <c r="E872" s="4"/>
      <c r="F872" s="4"/>
      <c r="G872" s="4"/>
      <c r="H872" s="4"/>
      <c r="I872" s="4"/>
      <c r="J872" s="7"/>
      <c r="K872" s="4"/>
      <c r="L872" s="4"/>
      <c r="M872" s="4"/>
      <c r="N872" s="4"/>
      <c r="O872" s="4"/>
      <c r="P872" s="4"/>
      <c r="Q872" s="4"/>
    </row>
    <row r="873" spans="1:17" x14ac:dyDescent="0.25">
      <c r="A873" s="99"/>
      <c r="D873" s="4"/>
      <c r="E873" s="4"/>
      <c r="F873" s="4"/>
      <c r="G873" s="4"/>
      <c r="H873" s="4"/>
      <c r="I873" s="4"/>
      <c r="J873" s="7"/>
      <c r="K873" s="4"/>
      <c r="L873" s="4"/>
      <c r="M873" s="4"/>
      <c r="N873" s="4"/>
      <c r="O873" s="4"/>
      <c r="P873" s="4"/>
      <c r="Q873" s="4"/>
    </row>
    <row r="874" spans="1:17" x14ac:dyDescent="0.25">
      <c r="A874" s="99"/>
      <c r="D874" s="4"/>
      <c r="E874" s="4"/>
      <c r="F874" s="4"/>
      <c r="G874" s="4"/>
      <c r="H874" s="4"/>
      <c r="I874" s="4"/>
      <c r="J874" s="7"/>
      <c r="K874" s="4"/>
      <c r="L874" s="4"/>
      <c r="M874" s="4"/>
      <c r="N874" s="4"/>
      <c r="O874" s="4"/>
      <c r="P874" s="4"/>
      <c r="Q874" s="4"/>
    </row>
    <row r="875" spans="1:17" x14ac:dyDescent="0.25">
      <c r="A875" s="99"/>
      <c r="D875" s="4"/>
      <c r="E875" s="4"/>
      <c r="F875" s="4"/>
      <c r="G875" s="4"/>
      <c r="H875" s="4"/>
      <c r="I875" s="4"/>
      <c r="J875" s="7"/>
      <c r="K875" s="4"/>
      <c r="L875" s="4"/>
      <c r="M875" s="4"/>
      <c r="N875" s="4"/>
      <c r="O875" s="4"/>
      <c r="P875" s="4"/>
      <c r="Q875" s="4"/>
    </row>
    <row r="876" spans="1:17" x14ac:dyDescent="0.25">
      <c r="A876" s="99"/>
      <c r="D876" s="4"/>
      <c r="E876" s="4"/>
      <c r="F876" s="4"/>
      <c r="G876" s="4"/>
      <c r="H876" s="4"/>
      <c r="I876" s="4"/>
      <c r="J876" s="7"/>
      <c r="K876" s="4"/>
      <c r="L876" s="4"/>
      <c r="M876" s="4"/>
      <c r="N876" s="4"/>
      <c r="O876" s="4"/>
      <c r="P876" s="4"/>
      <c r="Q876" s="4"/>
    </row>
    <row r="877" spans="1:17" x14ac:dyDescent="0.25">
      <c r="A877" s="99"/>
      <c r="D877" s="4"/>
      <c r="E877" s="4"/>
      <c r="F877" s="4"/>
      <c r="G877" s="4"/>
      <c r="H877" s="4"/>
      <c r="I877" s="4"/>
      <c r="J877" s="7"/>
      <c r="K877" s="4"/>
      <c r="L877" s="4"/>
      <c r="M877" s="4"/>
      <c r="N877" s="4"/>
      <c r="O877" s="4"/>
      <c r="P877" s="4"/>
      <c r="Q877" s="4"/>
    </row>
    <row r="878" spans="1:17" x14ac:dyDescent="0.25">
      <c r="A878" s="99"/>
      <c r="D878" s="4"/>
      <c r="E878" s="4"/>
      <c r="F878" s="4"/>
      <c r="G878" s="4"/>
      <c r="H878" s="4"/>
      <c r="I878" s="4"/>
      <c r="J878" s="7"/>
      <c r="K878" s="4"/>
      <c r="L878" s="4"/>
      <c r="M878" s="4"/>
      <c r="N878" s="4"/>
      <c r="O878" s="4"/>
      <c r="P878" s="4"/>
      <c r="Q878" s="4"/>
    </row>
    <row r="879" spans="1:17" x14ac:dyDescent="0.25">
      <c r="A879" s="99"/>
      <c r="D879" s="4"/>
      <c r="E879" s="4"/>
      <c r="F879" s="4"/>
      <c r="G879" s="4"/>
      <c r="H879" s="4"/>
      <c r="I879" s="4"/>
      <c r="J879" s="7"/>
      <c r="K879" s="4"/>
      <c r="L879" s="4"/>
      <c r="M879" s="4"/>
      <c r="N879" s="4"/>
      <c r="O879" s="4"/>
      <c r="P879" s="4"/>
      <c r="Q879" s="4"/>
    </row>
    <row r="880" spans="1:17" x14ac:dyDescent="0.25">
      <c r="A880" s="99"/>
      <c r="D880" s="4"/>
      <c r="E880" s="4"/>
      <c r="F880" s="4"/>
      <c r="G880" s="4"/>
      <c r="H880" s="4"/>
      <c r="I880" s="4"/>
      <c r="J880" s="7"/>
      <c r="K880" s="4"/>
      <c r="L880" s="4"/>
      <c r="M880" s="4"/>
      <c r="N880" s="4"/>
      <c r="O880" s="4"/>
      <c r="P880" s="4"/>
      <c r="Q880" s="4"/>
    </row>
    <row r="881" spans="1:17" x14ac:dyDescent="0.25">
      <c r="A881" s="99"/>
      <c r="D881" s="4"/>
      <c r="E881" s="4"/>
      <c r="F881" s="4"/>
      <c r="G881" s="4"/>
      <c r="H881" s="4"/>
      <c r="I881" s="4"/>
      <c r="J881" s="7"/>
      <c r="K881" s="4"/>
      <c r="L881" s="4"/>
      <c r="M881" s="4"/>
      <c r="N881" s="4"/>
      <c r="O881" s="4"/>
      <c r="P881" s="4"/>
      <c r="Q881" s="4"/>
    </row>
    <row r="882" spans="1:17" x14ac:dyDescent="0.25">
      <c r="A882" s="99"/>
      <c r="D882" s="4"/>
      <c r="E882" s="4"/>
      <c r="F882" s="4"/>
      <c r="G882" s="4"/>
      <c r="H882" s="4"/>
      <c r="I882" s="4"/>
      <c r="J882" s="7"/>
      <c r="K882" s="4"/>
      <c r="L882" s="4"/>
      <c r="M882" s="4"/>
      <c r="N882" s="4"/>
      <c r="O882" s="4"/>
      <c r="P882" s="4"/>
      <c r="Q882" s="4"/>
    </row>
    <row r="883" spans="1:17" x14ac:dyDescent="0.25">
      <c r="A883" s="99"/>
      <c r="D883" s="4"/>
      <c r="E883" s="4"/>
      <c r="F883" s="4"/>
      <c r="G883" s="4"/>
      <c r="H883" s="4"/>
      <c r="I883" s="4"/>
      <c r="J883" s="7"/>
      <c r="K883" s="4"/>
      <c r="L883" s="4"/>
      <c r="M883" s="4"/>
      <c r="N883" s="4"/>
      <c r="O883" s="4"/>
      <c r="P883" s="4"/>
      <c r="Q883" s="4"/>
    </row>
    <row r="884" spans="1:17" x14ac:dyDescent="0.25">
      <c r="A884" s="99"/>
      <c r="D884" s="4"/>
      <c r="E884" s="4"/>
      <c r="F884" s="4"/>
      <c r="G884" s="4"/>
      <c r="H884" s="4"/>
      <c r="I884" s="4"/>
      <c r="J884" s="7"/>
      <c r="K884" s="4"/>
      <c r="L884" s="4"/>
      <c r="M884" s="4"/>
      <c r="N884" s="4"/>
      <c r="O884" s="4"/>
      <c r="P884" s="4"/>
      <c r="Q884" s="4"/>
    </row>
    <row r="885" spans="1:17" x14ac:dyDescent="0.25">
      <c r="A885" s="99"/>
      <c r="D885" s="4"/>
      <c r="E885" s="4"/>
      <c r="F885" s="4"/>
      <c r="G885" s="4"/>
      <c r="H885" s="4"/>
      <c r="I885" s="4"/>
      <c r="J885" s="7"/>
      <c r="K885" s="4"/>
      <c r="L885" s="4"/>
      <c r="M885" s="4"/>
      <c r="N885" s="4"/>
      <c r="O885" s="4"/>
      <c r="P885" s="4"/>
      <c r="Q885" s="4"/>
    </row>
    <row r="886" spans="1:17" x14ac:dyDescent="0.25">
      <c r="A886" s="99"/>
      <c r="D886" s="4"/>
      <c r="E886" s="4"/>
      <c r="F886" s="4"/>
      <c r="G886" s="4"/>
      <c r="H886" s="4"/>
      <c r="I886" s="4"/>
      <c r="J886" s="7"/>
      <c r="K886" s="4"/>
      <c r="L886" s="4"/>
      <c r="M886" s="4"/>
      <c r="N886" s="4"/>
      <c r="O886" s="4"/>
      <c r="P886" s="4"/>
      <c r="Q886" s="4"/>
    </row>
    <row r="887" spans="1:17" x14ac:dyDescent="0.25">
      <c r="A887" s="99"/>
      <c r="D887" s="4"/>
      <c r="E887" s="4"/>
      <c r="F887" s="4"/>
      <c r="G887" s="4"/>
      <c r="H887" s="4"/>
      <c r="I887" s="4"/>
      <c r="J887" s="7"/>
      <c r="K887" s="4"/>
      <c r="L887" s="4"/>
      <c r="M887" s="4"/>
      <c r="N887" s="4"/>
      <c r="O887" s="4"/>
      <c r="P887" s="4"/>
      <c r="Q887" s="4"/>
    </row>
    <row r="888" spans="1:17" x14ac:dyDescent="0.25">
      <c r="A888" s="99"/>
      <c r="D888" s="4"/>
      <c r="E888" s="4"/>
      <c r="F888" s="4"/>
      <c r="G888" s="4"/>
      <c r="H888" s="4"/>
      <c r="I888" s="4"/>
      <c r="J888" s="7"/>
      <c r="K888" s="4"/>
      <c r="L888" s="4"/>
      <c r="M888" s="4"/>
      <c r="N888" s="4"/>
      <c r="O888" s="4"/>
      <c r="P888" s="4"/>
      <c r="Q888" s="4"/>
    </row>
    <row r="889" spans="1:17" x14ac:dyDescent="0.25">
      <c r="A889" s="99"/>
      <c r="D889" s="4"/>
      <c r="E889" s="4"/>
      <c r="F889" s="4"/>
      <c r="G889" s="4"/>
      <c r="H889" s="4"/>
      <c r="I889" s="4"/>
      <c r="J889" s="7"/>
      <c r="K889" s="4"/>
      <c r="L889" s="4"/>
      <c r="M889" s="4"/>
      <c r="N889" s="4"/>
      <c r="O889" s="4"/>
      <c r="P889" s="4"/>
      <c r="Q889" s="4"/>
    </row>
    <row r="890" spans="1:17" x14ac:dyDescent="0.25">
      <c r="A890" s="99"/>
      <c r="D890" s="4"/>
      <c r="E890" s="4"/>
      <c r="F890" s="4"/>
      <c r="G890" s="4"/>
      <c r="H890" s="4"/>
      <c r="I890" s="4"/>
      <c r="J890" s="7"/>
      <c r="K890" s="4"/>
      <c r="L890" s="4"/>
      <c r="M890" s="4"/>
      <c r="N890" s="4"/>
      <c r="O890" s="4"/>
      <c r="P890" s="4"/>
      <c r="Q890" s="4"/>
    </row>
    <row r="891" spans="1:17" x14ac:dyDescent="0.25">
      <c r="A891" s="99"/>
      <c r="D891" s="4"/>
      <c r="E891" s="4"/>
      <c r="F891" s="4"/>
      <c r="G891" s="4"/>
      <c r="H891" s="4"/>
      <c r="I891" s="4"/>
      <c r="J891" s="7"/>
      <c r="K891" s="4"/>
      <c r="L891" s="4"/>
      <c r="M891" s="4"/>
      <c r="N891" s="4"/>
      <c r="O891" s="4"/>
      <c r="P891" s="4"/>
      <c r="Q891" s="4"/>
    </row>
    <row r="892" spans="1:17" x14ac:dyDescent="0.25">
      <c r="A892" s="99"/>
      <c r="D892" s="4"/>
      <c r="E892" s="4"/>
      <c r="F892" s="4"/>
      <c r="G892" s="4"/>
      <c r="H892" s="4"/>
      <c r="I892" s="4"/>
      <c r="J892" s="7"/>
      <c r="K892" s="4"/>
      <c r="L892" s="4"/>
      <c r="M892" s="4"/>
      <c r="N892" s="4"/>
      <c r="O892" s="4"/>
      <c r="P892" s="4"/>
      <c r="Q892" s="4"/>
    </row>
    <row r="893" spans="1:17" x14ac:dyDescent="0.25">
      <c r="A893" s="99"/>
      <c r="D893" s="4"/>
      <c r="E893" s="4"/>
      <c r="F893" s="4"/>
      <c r="G893" s="4"/>
      <c r="H893" s="4"/>
      <c r="I893" s="4"/>
      <c r="J893" s="7"/>
      <c r="K893" s="4"/>
      <c r="L893" s="4"/>
      <c r="M893" s="4"/>
      <c r="N893" s="4"/>
      <c r="O893" s="4"/>
      <c r="P893" s="4"/>
      <c r="Q893" s="4"/>
    </row>
    <row r="894" spans="1:17" x14ac:dyDescent="0.25">
      <c r="A894" s="99"/>
      <c r="D894" s="4"/>
      <c r="E894" s="4"/>
      <c r="F894" s="4"/>
      <c r="G894" s="4"/>
      <c r="H894" s="4"/>
      <c r="I894" s="4"/>
      <c r="J894" s="7"/>
      <c r="K894" s="4"/>
      <c r="L894" s="4"/>
      <c r="M894" s="4"/>
      <c r="N894" s="4"/>
      <c r="O894" s="4"/>
      <c r="P894" s="4"/>
      <c r="Q894" s="4"/>
    </row>
    <row r="895" spans="1:17" x14ac:dyDescent="0.25">
      <c r="A895" s="99"/>
      <c r="D895" s="4"/>
      <c r="E895" s="4"/>
      <c r="F895" s="4"/>
      <c r="G895" s="4"/>
      <c r="H895" s="4"/>
      <c r="I895" s="4"/>
      <c r="J895" s="7"/>
      <c r="K895" s="4"/>
      <c r="L895" s="4"/>
      <c r="M895" s="4"/>
      <c r="N895" s="4"/>
      <c r="O895" s="4"/>
      <c r="P895" s="4"/>
      <c r="Q895" s="4"/>
    </row>
    <row r="896" spans="1:17" x14ac:dyDescent="0.25">
      <c r="A896" s="99"/>
      <c r="D896" s="4"/>
      <c r="E896" s="4"/>
      <c r="F896" s="4"/>
      <c r="G896" s="4"/>
      <c r="H896" s="4"/>
      <c r="I896" s="4"/>
      <c r="J896" s="7"/>
      <c r="K896" s="4"/>
      <c r="L896" s="4"/>
      <c r="M896" s="4"/>
      <c r="N896" s="4"/>
      <c r="O896" s="4"/>
      <c r="P896" s="4"/>
      <c r="Q896" s="4"/>
    </row>
    <row r="897" spans="1:17" x14ac:dyDescent="0.25">
      <c r="A897" s="99"/>
      <c r="D897" s="4"/>
      <c r="E897" s="4"/>
      <c r="F897" s="4"/>
      <c r="G897" s="4"/>
      <c r="H897" s="4"/>
      <c r="I897" s="4"/>
      <c r="J897" s="7"/>
      <c r="K897" s="4"/>
      <c r="L897" s="4"/>
      <c r="M897" s="4"/>
      <c r="N897" s="4"/>
      <c r="O897" s="4"/>
      <c r="P897" s="4"/>
      <c r="Q897" s="4"/>
    </row>
    <row r="898" spans="1:17" x14ac:dyDescent="0.25">
      <c r="A898" s="99"/>
      <c r="D898" s="4"/>
      <c r="E898" s="4"/>
      <c r="F898" s="4"/>
      <c r="G898" s="4"/>
      <c r="H898" s="4"/>
      <c r="I898" s="4"/>
      <c r="J898" s="7"/>
      <c r="K898" s="4"/>
      <c r="L898" s="4"/>
      <c r="M898" s="4"/>
      <c r="N898" s="4"/>
      <c r="O898" s="4"/>
      <c r="P898" s="4"/>
      <c r="Q898" s="4"/>
    </row>
    <row r="899" spans="1:17" x14ac:dyDescent="0.25">
      <c r="A899" s="99"/>
      <c r="D899" s="4"/>
      <c r="E899" s="4"/>
      <c r="F899" s="4"/>
      <c r="G899" s="4"/>
      <c r="H899" s="4"/>
      <c r="I899" s="4"/>
      <c r="J899" s="7"/>
      <c r="K899" s="4"/>
      <c r="L899" s="4"/>
      <c r="M899" s="4"/>
      <c r="N899" s="4"/>
      <c r="O899" s="4"/>
      <c r="P899" s="4"/>
      <c r="Q899" s="4"/>
    </row>
    <row r="900" spans="1:17" x14ac:dyDescent="0.25">
      <c r="A900" s="99"/>
      <c r="D900" s="4"/>
      <c r="E900" s="4"/>
      <c r="F900" s="4"/>
      <c r="G900" s="4"/>
      <c r="H900" s="4"/>
      <c r="I900" s="4"/>
      <c r="J900" s="7"/>
      <c r="K900" s="4"/>
      <c r="L900" s="4"/>
      <c r="M900" s="4"/>
      <c r="N900" s="4"/>
      <c r="O900" s="4"/>
      <c r="P900" s="4"/>
      <c r="Q900" s="4"/>
    </row>
    <row r="901" spans="1:17" x14ac:dyDescent="0.25">
      <c r="A901" s="99"/>
      <c r="D901" s="4"/>
      <c r="E901" s="4"/>
      <c r="F901" s="4"/>
      <c r="G901" s="4"/>
      <c r="H901" s="4"/>
      <c r="I901" s="4"/>
      <c r="J901" s="7"/>
      <c r="K901" s="4"/>
      <c r="L901" s="4"/>
      <c r="M901" s="4"/>
      <c r="N901" s="4"/>
      <c r="O901" s="4"/>
      <c r="P901" s="4"/>
      <c r="Q901" s="4"/>
    </row>
    <row r="902" spans="1:17" x14ac:dyDescent="0.25">
      <c r="A902" s="99"/>
      <c r="D902" s="4"/>
      <c r="E902" s="4"/>
      <c r="F902" s="4"/>
      <c r="G902" s="4"/>
      <c r="H902" s="4"/>
      <c r="I902" s="4"/>
      <c r="J902" s="7"/>
      <c r="K902" s="4"/>
      <c r="L902" s="4"/>
      <c r="M902" s="4"/>
      <c r="N902" s="4"/>
      <c r="O902" s="4"/>
      <c r="P902" s="4"/>
      <c r="Q902" s="4"/>
    </row>
    <row r="903" spans="1:17" x14ac:dyDescent="0.25">
      <c r="A903" s="99"/>
      <c r="D903" s="4"/>
      <c r="E903" s="4"/>
      <c r="F903" s="4"/>
      <c r="G903" s="4"/>
      <c r="H903" s="4"/>
      <c r="I903" s="4"/>
      <c r="J903" s="7"/>
      <c r="K903" s="4"/>
      <c r="L903" s="4"/>
      <c r="M903" s="4"/>
      <c r="N903" s="4"/>
      <c r="O903" s="4"/>
      <c r="P903" s="4"/>
      <c r="Q903" s="4"/>
    </row>
    <row r="904" spans="1:17" x14ac:dyDescent="0.25">
      <c r="A904" s="99"/>
      <c r="D904" s="4"/>
      <c r="E904" s="4"/>
      <c r="F904" s="4"/>
      <c r="G904" s="4"/>
      <c r="H904" s="4"/>
      <c r="I904" s="4"/>
      <c r="J904" s="7"/>
      <c r="K904" s="4"/>
      <c r="L904" s="4"/>
      <c r="M904" s="4"/>
      <c r="N904" s="4"/>
      <c r="O904" s="4"/>
      <c r="P904" s="4"/>
      <c r="Q904" s="4"/>
    </row>
    <row r="905" spans="1:17" x14ac:dyDescent="0.25">
      <c r="A905" s="99"/>
      <c r="D905" s="4"/>
      <c r="E905" s="4"/>
      <c r="F905" s="4"/>
      <c r="G905" s="4"/>
      <c r="H905" s="4"/>
      <c r="I905" s="4"/>
      <c r="J905" s="7"/>
      <c r="K905" s="4"/>
      <c r="L905" s="4"/>
      <c r="M905" s="4"/>
      <c r="N905" s="4"/>
      <c r="O905" s="4"/>
      <c r="P905" s="4"/>
      <c r="Q905" s="4"/>
    </row>
    <row r="906" spans="1:17" x14ac:dyDescent="0.25">
      <c r="A906" s="99"/>
      <c r="D906" s="4"/>
      <c r="E906" s="4"/>
      <c r="F906" s="4"/>
      <c r="G906" s="4"/>
      <c r="H906" s="4"/>
      <c r="I906" s="4"/>
      <c r="J906" s="7"/>
      <c r="K906" s="4"/>
      <c r="L906" s="4"/>
      <c r="M906" s="4"/>
      <c r="N906" s="4"/>
      <c r="O906" s="4"/>
      <c r="P906" s="4"/>
      <c r="Q906" s="4"/>
    </row>
    <row r="907" spans="1:17" x14ac:dyDescent="0.25">
      <c r="A907" s="99"/>
      <c r="D907" s="4"/>
      <c r="E907" s="4"/>
      <c r="F907" s="4"/>
      <c r="G907" s="4"/>
      <c r="H907" s="4"/>
      <c r="I907" s="4"/>
      <c r="J907" s="7"/>
      <c r="K907" s="4"/>
      <c r="L907" s="4"/>
      <c r="M907" s="4"/>
      <c r="N907" s="4"/>
      <c r="O907" s="4"/>
      <c r="P907" s="4"/>
      <c r="Q907" s="4"/>
    </row>
    <row r="908" spans="1:17" x14ac:dyDescent="0.25">
      <c r="A908" s="99"/>
      <c r="D908" s="4"/>
      <c r="E908" s="4"/>
      <c r="F908" s="4"/>
      <c r="G908" s="4"/>
      <c r="H908" s="4"/>
      <c r="I908" s="4"/>
      <c r="J908" s="7"/>
      <c r="K908" s="4"/>
      <c r="L908" s="4"/>
      <c r="M908" s="4"/>
      <c r="N908" s="4"/>
      <c r="O908" s="4"/>
      <c r="P908" s="4"/>
      <c r="Q908" s="4"/>
    </row>
    <row r="909" spans="1:17" x14ac:dyDescent="0.25">
      <c r="A909" s="99"/>
      <c r="D909" s="4"/>
      <c r="E909" s="4"/>
      <c r="F909" s="4"/>
      <c r="G909" s="4"/>
      <c r="H909" s="4"/>
      <c r="I909" s="4"/>
      <c r="J909" s="7"/>
      <c r="K909" s="4"/>
      <c r="L909" s="4"/>
      <c r="M909" s="4"/>
      <c r="N909" s="4"/>
      <c r="O909" s="4"/>
      <c r="P909" s="4"/>
      <c r="Q909" s="4"/>
    </row>
    <row r="910" spans="1:17" x14ac:dyDescent="0.25">
      <c r="A910" s="99"/>
      <c r="D910" s="4"/>
      <c r="E910" s="4"/>
      <c r="F910" s="4"/>
      <c r="G910" s="4"/>
      <c r="H910" s="4"/>
      <c r="I910" s="4"/>
      <c r="J910" s="7"/>
      <c r="K910" s="4"/>
      <c r="L910" s="4"/>
      <c r="M910" s="4"/>
      <c r="N910" s="4"/>
      <c r="O910" s="4"/>
      <c r="P910" s="4"/>
      <c r="Q910" s="4"/>
    </row>
    <row r="911" spans="1:17" x14ac:dyDescent="0.25">
      <c r="A911" s="99"/>
      <c r="D911" s="4"/>
      <c r="E911" s="4"/>
      <c r="F911" s="4"/>
      <c r="G911" s="4"/>
      <c r="H911" s="4"/>
      <c r="I911" s="4"/>
      <c r="J911" s="7"/>
      <c r="K911" s="4"/>
      <c r="L911" s="4"/>
      <c r="M911" s="4"/>
      <c r="N911" s="4"/>
      <c r="O911" s="4"/>
      <c r="P911" s="4"/>
      <c r="Q911" s="4"/>
    </row>
    <row r="912" spans="1:17" x14ac:dyDescent="0.25">
      <c r="A912" s="99"/>
      <c r="D912" s="4"/>
      <c r="E912" s="4"/>
      <c r="F912" s="4"/>
      <c r="G912" s="4"/>
      <c r="H912" s="4"/>
      <c r="I912" s="4"/>
      <c r="J912" s="7"/>
      <c r="K912" s="4"/>
      <c r="L912" s="4"/>
      <c r="M912" s="4"/>
      <c r="N912" s="4"/>
      <c r="O912" s="4"/>
      <c r="P912" s="4"/>
      <c r="Q912" s="4"/>
    </row>
    <row r="913" spans="1:17" x14ac:dyDescent="0.25">
      <c r="A913" s="99"/>
      <c r="D913" s="4"/>
      <c r="E913" s="4"/>
      <c r="F913" s="4"/>
      <c r="G913" s="4"/>
      <c r="H913" s="4"/>
      <c r="I913" s="4"/>
      <c r="J913" s="7"/>
      <c r="K913" s="4"/>
      <c r="L913" s="4"/>
      <c r="M913" s="4"/>
      <c r="N913" s="4"/>
      <c r="O913" s="4"/>
      <c r="P913" s="4"/>
      <c r="Q913" s="4"/>
    </row>
    <row r="914" spans="1:17" x14ac:dyDescent="0.25">
      <c r="A914" s="99"/>
      <c r="D914" s="4"/>
      <c r="E914" s="4"/>
      <c r="F914" s="4"/>
      <c r="G914" s="4"/>
      <c r="H914" s="4"/>
      <c r="I914" s="4"/>
      <c r="J914" s="7"/>
      <c r="K914" s="4"/>
      <c r="L914" s="4"/>
      <c r="M914" s="4"/>
      <c r="N914" s="4"/>
      <c r="O914" s="4"/>
      <c r="P914" s="4"/>
      <c r="Q914" s="4"/>
    </row>
    <row r="915" spans="1:17" x14ac:dyDescent="0.25">
      <c r="A915" s="99"/>
      <c r="D915" s="4"/>
      <c r="E915" s="4"/>
      <c r="F915" s="4"/>
      <c r="G915" s="4"/>
      <c r="H915" s="4"/>
      <c r="I915" s="4"/>
      <c r="J915" s="7"/>
      <c r="K915" s="4"/>
      <c r="L915" s="4"/>
      <c r="M915" s="4"/>
      <c r="N915" s="4"/>
      <c r="O915" s="4"/>
      <c r="P915" s="4"/>
      <c r="Q915" s="4"/>
    </row>
    <row r="916" spans="1:17" x14ac:dyDescent="0.25">
      <c r="A916" s="99"/>
      <c r="D916" s="4"/>
      <c r="E916" s="4"/>
      <c r="F916" s="4"/>
      <c r="G916" s="4"/>
      <c r="H916" s="4"/>
      <c r="I916" s="4"/>
      <c r="J916" s="7"/>
      <c r="K916" s="4"/>
      <c r="L916" s="4"/>
      <c r="M916" s="4"/>
      <c r="N916" s="4"/>
      <c r="O916" s="4"/>
      <c r="P916" s="4"/>
      <c r="Q916" s="4"/>
    </row>
    <row r="917" spans="1:17" x14ac:dyDescent="0.25">
      <c r="A917" s="99"/>
      <c r="D917" s="4"/>
      <c r="E917" s="4"/>
      <c r="F917" s="4"/>
      <c r="G917" s="4"/>
      <c r="H917" s="4"/>
      <c r="I917" s="4"/>
      <c r="J917" s="7"/>
      <c r="K917" s="4"/>
      <c r="L917" s="4"/>
      <c r="M917" s="4"/>
      <c r="N917" s="4"/>
      <c r="O917" s="4"/>
      <c r="P917" s="4"/>
      <c r="Q917" s="4"/>
    </row>
    <row r="918" spans="1:17" x14ac:dyDescent="0.25">
      <c r="A918" s="99"/>
      <c r="D918" s="4"/>
      <c r="E918" s="4"/>
      <c r="F918" s="4"/>
      <c r="G918" s="4"/>
      <c r="H918" s="4"/>
      <c r="I918" s="4"/>
      <c r="J918" s="7"/>
      <c r="K918" s="4"/>
      <c r="L918" s="4"/>
      <c r="M918" s="4"/>
      <c r="N918" s="4"/>
      <c r="O918" s="4"/>
      <c r="P918" s="4"/>
      <c r="Q918" s="4"/>
    </row>
    <row r="919" spans="1:17" x14ac:dyDescent="0.25">
      <c r="A919" s="99"/>
      <c r="D919" s="4"/>
      <c r="E919" s="4"/>
      <c r="F919" s="4"/>
      <c r="G919" s="4"/>
      <c r="H919" s="4"/>
      <c r="I919" s="4"/>
      <c r="J919" s="7"/>
      <c r="K919" s="4"/>
      <c r="L919" s="4"/>
      <c r="M919" s="4"/>
      <c r="N919" s="4"/>
      <c r="O919" s="4"/>
      <c r="P919" s="4"/>
      <c r="Q919" s="4"/>
    </row>
    <row r="920" spans="1:17" x14ac:dyDescent="0.25">
      <c r="A920" s="99"/>
      <c r="D920" s="4"/>
      <c r="E920" s="4"/>
      <c r="F920" s="4"/>
      <c r="G920" s="4"/>
      <c r="H920" s="4"/>
      <c r="I920" s="4"/>
      <c r="J920" s="7"/>
      <c r="K920" s="4"/>
      <c r="L920" s="4"/>
      <c r="M920" s="4"/>
      <c r="N920" s="4"/>
      <c r="O920" s="4"/>
      <c r="P920" s="4"/>
      <c r="Q920" s="4"/>
    </row>
    <row r="921" spans="1:17" x14ac:dyDescent="0.25">
      <c r="A921" s="99"/>
      <c r="D921" s="4"/>
      <c r="E921" s="4"/>
      <c r="F921" s="4"/>
      <c r="G921" s="4"/>
      <c r="H921" s="4"/>
      <c r="I921" s="4"/>
      <c r="J921" s="7"/>
      <c r="K921" s="4"/>
      <c r="L921" s="4"/>
      <c r="M921" s="4"/>
      <c r="N921" s="4"/>
      <c r="O921" s="4"/>
      <c r="P921" s="4"/>
      <c r="Q921" s="4"/>
    </row>
    <row r="922" spans="1:17" x14ac:dyDescent="0.25">
      <c r="A922" s="99"/>
      <c r="D922" s="4"/>
      <c r="E922" s="4"/>
      <c r="F922" s="4"/>
      <c r="G922" s="4"/>
      <c r="H922" s="4"/>
      <c r="I922" s="4"/>
      <c r="J922" s="7"/>
      <c r="K922" s="4"/>
      <c r="L922" s="4"/>
      <c r="M922" s="4"/>
      <c r="N922" s="4"/>
      <c r="O922" s="4"/>
      <c r="P922" s="4"/>
      <c r="Q922" s="4"/>
    </row>
    <row r="923" spans="1:17" x14ac:dyDescent="0.25">
      <c r="A923" s="99"/>
      <c r="D923" s="4"/>
      <c r="E923" s="4"/>
      <c r="F923" s="4"/>
      <c r="G923" s="4"/>
      <c r="H923" s="4"/>
      <c r="I923" s="4"/>
      <c r="J923" s="7"/>
      <c r="K923" s="4"/>
      <c r="L923" s="4"/>
      <c r="M923" s="4"/>
      <c r="N923" s="4"/>
      <c r="O923" s="4"/>
      <c r="P923" s="4"/>
      <c r="Q923" s="4"/>
    </row>
    <row r="924" spans="1:17" x14ac:dyDescent="0.25">
      <c r="A924" s="99"/>
      <c r="D924" s="4"/>
      <c r="E924" s="4"/>
      <c r="F924" s="4"/>
      <c r="G924" s="4"/>
      <c r="H924" s="4"/>
      <c r="I924" s="4"/>
      <c r="J924" s="7"/>
      <c r="K924" s="4"/>
      <c r="L924" s="4"/>
      <c r="M924" s="4"/>
      <c r="N924" s="4"/>
      <c r="O924" s="4"/>
      <c r="P924" s="4"/>
      <c r="Q924" s="4"/>
    </row>
    <row r="925" spans="1:17" x14ac:dyDescent="0.25">
      <c r="A925" s="99"/>
      <c r="D925" s="4"/>
      <c r="E925" s="4"/>
      <c r="F925" s="4"/>
      <c r="G925" s="4"/>
      <c r="H925" s="4"/>
      <c r="I925" s="4"/>
      <c r="J925" s="7"/>
      <c r="K925" s="4"/>
      <c r="L925" s="4"/>
      <c r="M925" s="4"/>
      <c r="N925" s="4"/>
      <c r="O925" s="4"/>
      <c r="P925" s="4"/>
      <c r="Q925" s="4"/>
    </row>
    <row r="926" spans="1:17" x14ac:dyDescent="0.25">
      <c r="A926" s="99"/>
      <c r="D926" s="4"/>
      <c r="E926" s="4"/>
      <c r="F926" s="4"/>
      <c r="G926" s="4"/>
      <c r="H926" s="4"/>
      <c r="I926" s="4"/>
      <c r="J926" s="7"/>
      <c r="K926" s="4"/>
      <c r="L926" s="4"/>
      <c r="M926" s="4"/>
      <c r="N926" s="4"/>
      <c r="O926" s="4"/>
      <c r="P926" s="4"/>
      <c r="Q926" s="4"/>
    </row>
    <row r="927" spans="1:17" x14ac:dyDescent="0.25">
      <c r="A927" s="99"/>
      <c r="D927" s="4"/>
      <c r="E927" s="4"/>
      <c r="F927" s="4"/>
      <c r="G927" s="4"/>
      <c r="H927" s="4"/>
      <c r="I927" s="4"/>
      <c r="J927" s="7"/>
      <c r="K927" s="4"/>
      <c r="L927" s="4"/>
      <c r="M927" s="4"/>
      <c r="N927" s="4"/>
      <c r="O927" s="4"/>
      <c r="P927" s="4"/>
      <c r="Q927" s="4"/>
    </row>
    <row r="928" spans="1:17" x14ac:dyDescent="0.25">
      <c r="A928" s="99"/>
      <c r="D928" s="4"/>
      <c r="E928" s="4"/>
      <c r="F928" s="4"/>
      <c r="G928" s="4"/>
      <c r="H928" s="4"/>
      <c r="I928" s="4"/>
      <c r="J928" s="7"/>
      <c r="K928" s="4"/>
      <c r="L928" s="4"/>
      <c r="M928" s="4"/>
      <c r="N928" s="4"/>
      <c r="O928" s="4"/>
      <c r="P928" s="4"/>
      <c r="Q928" s="4"/>
    </row>
    <row r="929" spans="1:17" x14ac:dyDescent="0.25">
      <c r="A929" s="99"/>
      <c r="D929" s="4"/>
      <c r="E929" s="4"/>
      <c r="F929" s="4"/>
      <c r="G929" s="4"/>
      <c r="H929" s="4"/>
      <c r="I929" s="4"/>
      <c r="J929" s="7"/>
      <c r="K929" s="4"/>
      <c r="L929" s="4"/>
      <c r="M929" s="4"/>
      <c r="N929" s="4"/>
      <c r="O929" s="4"/>
      <c r="P929" s="4"/>
      <c r="Q929" s="4"/>
    </row>
    <row r="930" spans="1:17" x14ac:dyDescent="0.25">
      <c r="A930" s="99"/>
      <c r="D930" s="4"/>
      <c r="E930" s="4"/>
      <c r="F930" s="4"/>
      <c r="G930" s="4"/>
      <c r="H930" s="4"/>
      <c r="I930" s="4"/>
      <c r="J930" s="7"/>
      <c r="K930" s="4"/>
      <c r="L930" s="4"/>
      <c r="M930" s="4"/>
      <c r="N930" s="4"/>
      <c r="O930" s="4"/>
      <c r="P930" s="4"/>
      <c r="Q930" s="4"/>
    </row>
    <row r="931" spans="1:17" x14ac:dyDescent="0.25">
      <c r="A931" s="99"/>
      <c r="D931" s="4"/>
      <c r="E931" s="4"/>
      <c r="F931" s="4"/>
      <c r="G931" s="4"/>
      <c r="H931" s="4"/>
      <c r="I931" s="4"/>
      <c r="J931" s="7"/>
      <c r="K931" s="4"/>
      <c r="L931" s="4"/>
      <c r="M931" s="4"/>
      <c r="N931" s="4"/>
      <c r="O931" s="4"/>
      <c r="P931" s="4"/>
      <c r="Q931" s="4"/>
    </row>
    <row r="932" spans="1:17" x14ac:dyDescent="0.25">
      <c r="A932" s="99"/>
      <c r="D932" s="4"/>
      <c r="E932" s="4"/>
      <c r="F932" s="4"/>
      <c r="G932" s="4"/>
      <c r="H932" s="4"/>
      <c r="I932" s="4"/>
      <c r="J932" s="7"/>
      <c r="K932" s="4"/>
      <c r="L932" s="4"/>
      <c r="M932" s="4"/>
      <c r="N932" s="4"/>
      <c r="O932" s="4"/>
      <c r="P932" s="4"/>
      <c r="Q932" s="4"/>
    </row>
    <row r="933" spans="1:17" x14ac:dyDescent="0.25">
      <c r="A933" s="99"/>
      <c r="D933" s="4"/>
      <c r="E933" s="4"/>
      <c r="F933" s="4"/>
      <c r="G933" s="4"/>
      <c r="H933" s="4"/>
      <c r="I933" s="4"/>
      <c r="J933" s="7"/>
      <c r="K933" s="4"/>
      <c r="L933" s="4"/>
      <c r="M933" s="4"/>
      <c r="N933" s="4"/>
      <c r="O933" s="4"/>
      <c r="P933" s="4"/>
      <c r="Q933" s="4"/>
    </row>
    <row r="934" spans="1:17" x14ac:dyDescent="0.25">
      <c r="A934" s="99"/>
      <c r="D934" s="4"/>
      <c r="E934" s="4"/>
      <c r="F934" s="4"/>
      <c r="G934" s="4"/>
      <c r="H934" s="4"/>
      <c r="I934" s="4"/>
      <c r="J934" s="7"/>
      <c r="K934" s="4"/>
      <c r="L934" s="4"/>
      <c r="M934" s="4"/>
      <c r="N934" s="4"/>
      <c r="O934" s="4"/>
      <c r="P934" s="4"/>
      <c r="Q934" s="4"/>
    </row>
    <row r="935" spans="1:17" x14ac:dyDescent="0.25">
      <c r="A935" s="99"/>
      <c r="D935" s="4"/>
      <c r="E935" s="4"/>
      <c r="F935" s="4"/>
      <c r="G935" s="4"/>
      <c r="H935" s="4"/>
      <c r="I935" s="4"/>
      <c r="J935" s="7"/>
      <c r="K935" s="4"/>
      <c r="L935" s="4"/>
      <c r="M935" s="4"/>
      <c r="N935" s="4"/>
      <c r="O935" s="4"/>
      <c r="P935" s="4"/>
      <c r="Q935" s="4"/>
    </row>
    <row r="936" spans="1:17" x14ac:dyDescent="0.25">
      <c r="A936" s="99"/>
      <c r="D936" s="4"/>
      <c r="E936" s="4"/>
      <c r="F936" s="4"/>
      <c r="G936" s="4"/>
      <c r="H936" s="4"/>
      <c r="I936" s="4"/>
      <c r="J936" s="7"/>
      <c r="K936" s="4"/>
      <c r="L936" s="4"/>
      <c r="M936" s="4"/>
      <c r="N936" s="4"/>
      <c r="O936" s="4"/>
      <c r="P936" s="4"/>
      <c r="Q936" s="4"/>
    </row>
    <row r="937" spans="1:17" x14ac:dyDescent="0.25">
      <c r="A937" s="99"/>
      <c r="D937" s="4"/>
      <c r="E937" s="4"/>
      <c r="F937" s="4"/>
      <c r="G937" s="4"/>
      <c r="H937" s="4"/>
      <c r="I937" s="4"/>
      <c r="J937" s="7"/>
      <c r="K937" s="4"/>
      <c r="L937" s="4"/>
      <c r="M937" s="4"/>
      <c r="N937" s="4"/>
      <c r="O937" s="4"/>
      <c r="P937" s="4"/>
      <c r="Q937" s="4"/>
    </row>
    <row r="938" spans="1:17" x14ac:dyDescent="0.25">
      <c r="A938" s="99"/>
      <c r="D938" s="4"/>
      <c r="E938" s="4"/>
      <c r="F938" s="4"/>
      <c r="G938" s="4"/>
      <c r="H938" s="4"/>
      <c r="I938" s="4"/>
      <c r="J938" s="7"/>
      <c r="K938" s="4"/>
      <c r="L938" s="4"/>
      <c r="M938" s="4"/>
      <c r="N938" s="4"/>
      <c r="O938" s="4"/>
      <c r="P938" s="4"/>
      <c r="Q938" s="4"/>
    </row>
    <row r="939" spans="1:17" x14ac:dyDescent="0.25">
      <c r="A939" s="99"/>
      <c r="D939" s="4"/>
      <c r="E939" s="4"/>
      <c r="F939" s="4"/>
      <c r="G939" s="4"/>
      <c r="H939" s="4"/>
      <c r="I939" s="4"/>
      <c r="J939" s="7"/>
      <c r="K939" s="4"/>
      <c r="L939" s="4"/>
      <c r="M939" s="4"/>
      <c r="N939" s="4"/>
      <c r="O939" s="4"/>
      <c r="P939" s="4"/>
      <c r="Q939" s="4"/>
    </row>
    <row r="944" spans="1:17" x14ac:dyDescent="0.25">
      <c r="D944" s="4"/>
      <c r="E944" s="4"/>
      <c r="F944" s="4"/>
      <c r="G944" s="4"/>
      <c r="H944" s="4"/>
      <c r="I944" s="4"/>
      <c r="J944" s="7"/>
      <c r="K944" s="4"/>
      <c r="L944" s="4"/>
      <c r="M944" s="4"/>
      <c r="N944" s="4"/>
      <c r="O944" s="4"/>
      <c r="P944" s="4"/>
      <c r="Q944" s="4"/>
    </row>
    <row r="945" spans="4:17" x14ac:dyDescent="0.25">
      <c r="D945" s="4"/>
      <c r="E945" s="4"/>
      <c r="F945" s="4"/>
      <c r="G945" s="4"/>
      <c r="H945" s="4"/>
      <c r="I945" s="4"/>
      <c r="J945" s="7"/>
      <c r="K945" s="4"/>
      <c r="L945" s="4"/>
      <c r="M945" s="4"/>
      <c r="N945" s="4"/>
      <c r="O945" s="4"/>
      <c r="P945" s="4"/>
      <c r="Q945" s="4"/>
    </row>
    <row r="946" spans="4:17" x14ac:dyDescent="0.25">
      <c r="D946" s="4"/>
      <c r="E946" s="4"/>
      <c r="F946" s="4"/>
      <c r="G946" s="4"/>
      <c r="H946" s="4"/>
      <c r="I946" s="4"/>
      <c r="J946" s="7"/>
      <c r="K946" s="4"/>
      <c r="L946" s="4"/>
      <c r="M946" s="4"/>
      <c r="N946" s="4"/>
      <c r="O946" s="4"/>
      <c r="P946" s="4"/>
      <c r="Q946" s="4"/>
    </row>
    <row r="947" spans="4:17" x14ac:dyDescent="0.25">
      <c r="D947" s="4"/>
      <c r="E947" s="4"/>
      <c r="F947" s="4"/>
      <c r="G947" s="4"/>
      <c r="H947" s="4"/>
      <c r="I947" s="4"/>
      <c r="J947" s="7"/>
      <c r="K947" s="4"/>
      <c r="L947" s="4"/>
      <c r="M947" s="4"/>
      <c r="N947" s="4"/>
      <c r="O947" s="4"/>
      <c r="P947" s="4"/>
      <c r="Q947" s="4"/>
    </row>
    <row r="948" spans="4:17" x14ac:dyDescent="0.25">
      <c r="D948" s="4"/>
      <c r="E948" s="4"/>
      <c r="F948" s="4"/>
      <c r="G948" s="4"/>
      <c r="H948" s="4"/>
      <c r="I948" s="4"/>
      <c r="J948" s="7"/>
      <c r="K948" s="4"/>
      <c r="L948" s="4"/>
      <c r="M948" s="4"/>
      <c r="N948" s="4"/>
      <c r="O948" s="4"/>
      <c r="P948" s="4"/>
      <c r="Q948" s="4"/>
    </row>
    <row r="949" spans="4:17" x14ac:dyDescent="0.25">
      <c r="D949" s="4"/>
      <c r="E949" s="4"/>
      <c r="F949" s="4"/>
      <c r="G949" s="4"/>
      <c r="H949" s="4"/>
      <c r="I949" s="4"/>
      <c r="J949" s="7"/>
      <c r="K949" s="4"/>
      <c r="L949" s="4"/>
      <c r="M949" s="4"/>
      <c r="N949" s="4"/>
      <c r="O949" s="4"/>
      <c r="P949" s="4"/>
      <c r="Q949" s="4"/>
    </row>
    <row r="950" spans="4:17" x14ac:dyDescent="0.25">
      <c r="D950" s="4"/>
      <c r="E950" s="4"/>
      <c r="F950" s="4"/>
      <c r="G950" s="4"/>
      <c r="H950" s="4"/>
      <c r="I950" s="4"/>
      <c r="J950" s="7"/>
      <c r="K950" s="4"/>
      <c r="L950" s="4"/>
      <c r="M950" s="4"/>
      <c r="N950" s="4"/>
      <c r="O950" s="4"/>
      <c r="P950" s="4"/>
      <c r="Q950" s="4"/>
    </row>
    <row r="951" spans="4:17" x14ac:dyDescent="0.25">
      <c r="D951" s="4"/>
      <c r="E951" s="4"/>
      <c r="F951" s="4"/>
      <c r="G951" s="4"/>
      <c r="H951" s="4"/>
      <c r="I951" s="4"/>
      <c r="J951" s="7"/>
      <c r="K951" s="4"/>
      <c r="L951" s="4"/>
      <c r="M951" s="4"/>
      <c r="N951" s="4"/>
      <c r="O951" s="4"/>
      <c r="P951" s="4"/>
      <c r="Q951" s="4"/>
    </row>
    <row r="952" spans="4:17" x14ac:dyDescent="0.25">
      <c r="D952" s="4"/>
      <c r="E952" s="4"/>
      <c r="F952" s="4"/>
      <c r="G952" s="4"/>
      <c r="H952" s="4"/>
      <c r="I952" s="4"/>
      <c r="J952" s="7"/>
      <c r="K952" s="4"/>
      <c r="L952" s="4"/>
      <c r="M952" s="4"/>
      <c r="N952" s="4"/>
      <c r="O952" s="4"/>
      <c r="P952" s="4"/>
      <c r="Q952" s="4"/>
    </row>
    <row r="953" spans="4:17" x14ac:dyDescent="0.25">
      <c r="D953" s="4"/>
      <c r="E953" s="4"/>
      <c r="F953" s="4"/>
      <c r="G953" s="4"/>
      <c r="H953" s="4"/>
      <c r="I953" s="4"/>
      <c r="J953" s="7"/>
      <c r="K953" s="4"/>
      <c r="L953" s="4"/>
      <c r="M953" s="4"/>
      <c r="N953" s="4"/>
      <c r="O953" s="4"/>
      <c r="P953" s="4"/>
      <c r="Q953" s="4"/>
    </row>
    <row r="954" spans="4:17" x14ac:dyDescent="0.25">
      <c r="D954" s="4"/>
      <c r="E954" s="4"/>
      <c r="F954" s="4"/>
      <c r="G954" s="4"/>
      <c r="H954" s="4"/>
      <c r="I954" s="4"/>
      <c r="J954" s="7"/>
      <c r="K954" s="4"/>
      <c r="L954" s="4"/>
      <c r="M954" s="4"/>
      <c r="N954" s="4"/>
      <c r="O954" s="4"/>
      <c r="P954" s="4"/>
      <c r="Q954" s="4"/>
    </row>
    <row r="955" spans="4:17" x14ac:dyDescent="0.25">
      <c r="D955" s="4"/>
      <c r="E955" s="4"/>
      <c r="F955" s="4"/>
      <c r="G955" s="4"/>
      <c r="H955" s="4"/>
      <c r="I955" s="4"/>
      <c r="J955" s="7"/>
      <c r="K955" s="4"/>
      <c r="L955" s="4"/>
      <c r="M955" s="4"/>
      <c r="N955" s="4"/>
      <c r="O955" s="4"/>
      <c r="P955" s="4"/>
      <c r="Q955" s="4"/>
    </row>
    <row r="956" spans="4:17" x14ac:dyDescent="0.25">
      <c r="D956" s="4"/>
      <c r="E956" s="4"/>
      <c r="F956" s="4"/>
      <c r="G956" s="4"/>
      <c r="H956" s="4"/>
      <c r="I956" s="4"/>
      <c r="J956" s="7"/>
      <c r="K956" s="4"/>
      <c r="L956" s="4"/>
      <c r="M956" s="4"/>
      <c r="N956" s="4"/>
      <c r="O956" s="4"/>
      <c r="P956" s="4"/>
      <c r="Q956" s="4"/>
    </row>
    <row r="957" spans="4:17" x14ac:dyDescent="0.25">
      <c r="D957" s="4"/>
      <c r="E957" s="4"/>
      <c r="F957" s="4"/>
      <c r="G957" s="4"/>
      <c r="H957" s="4"/>
      <c r="I957" s="4"/>
      <c r="J957" s="7"/>
      <c r="K957" s="4"/>
      <c r="L957" s="4"/>
      <c r="M957" s="4"/>
      <c r="N957" s="4"/>
      <c r="O957" s="4"/>
      <c r="P957" s="4"/>
      <c r="Q957" s="4"/>
    </row>
    <row r="958" spans="4:17" x14ac:dyDescent="0.25">
      <c r="D958" s="4"/>
      <c r="E958" s="4"/>
      <c r="F958" s="4"/>
      <c r="G958" s="4"/>
      <c r="H958" s="4"/>
      <c r="I958" s="4"/>
      <c r="J958" s="7"/>
      <c r="K958" s="4"/>
      <c r="L958" s="4"/>
      <c r="M958" s="4"/>
      <c r="N958" s="4"/>
      <c r="O958" s="4"/>
      <c r="P958" s="4"/>
      <c r="Q958" s="4"/>
    </row>
    <row r="959" spans="4:17" x14ac:dyDescent="0.25">
      <c r="D959" s="4"/>
      <c r="E959" s="4"/>
      <c r="F959" s="4"/>
      <c r="G959" s="4"/>
      <c r="H959" s="4"/>
      <c r="I959" s="4"/>
      <c r="J959" s="7"/>
      <c r="K959" s="4"/>
      <c r="L959" s="4"/>
      <c r="M959" s="4"/>
      <c r="N959" s="4"/>
      <c r="O959" s="4"/>
      <c r="P959" s="4"/>
      <c r="Q959" s="4"/>
    </row>
    <row r="960" spans="4:17" x14ac:dyDescent="0.25">
      <c r="D960" s="4"/>
      <c r="E960" s="4"/>
      <c r="F960" s="4"/>
      <c r="G960" s="4"/>
      <c r="H960" s="4"/>
      <c r="I960" s="4"/>
      <c r="J960" s="7"/>
      <c r="K960" s="4"/>
      <c r="L960" s="4"/>
      <c r="M960" s="4"/>
      <c r="N960" s="4"/>
      <c r="O960" s="4"/>
      <c r="P960" s="4"/>
      <c r="Q960" s="4"/>
    </row>
    <row r="961" spans="4:17" x14ac:dyDescent="0.25">
      <c r="D961" s="4"/>
      <c r="E961" s="4"/>
      <c r="F961" s="4"/>
      <c r="G961" s="4"/>
      <c r="H961" s="4"/>
      <c r="I961" s="4"/>
      <c r="J961" s="7"/>
      <c r="K961" s="4"/>
      <c r="L961" s="4"/>
      <c r="M961" s="4"/>
      <c r="N961" s="4"/>
      <c r="O961" s="4"/>
      <c r="P961" s="4"/>
      <c r="Q961" s="4"/>
    </row>
    <row r="962" spans="4:17" x14ac:dyDescent="0.25">
      <c r="D962" s="4"/>
      <c r="E962" s="4"/>
      <c r="F962" s="4"/>
      <c r="G962" s="4"/>
      <c r="H962" s="4"/>
      <c r="I962" s="4"/>
      <c r="J962" s="7"/>
      <c r="K962" s="4"/>
      <c r="L962" s="4"/>
      <c r="M962" s="4"/>
      <c r="N962" s="4"/>
      <c r="O962" s="4"/>
      <c r="P962" s="4"/>
      <c r="Q962" s="4"/>
    </row>
    <row r="963" spans="4:17" x14ac:dyDescent="0.25">
      <c r="D963" s="4"/>
      <c r="E963" s="4"/>
      <c r="F963" s="4"/>
      <c r="G963" s="4"/>
      <c r="H963" s="4"/>
      <c r="I963" s="4"/>
      <c r="J963" s="7"/>
      <c r="K963" s="4"/>
      <c r="L963" s="4"/>
      <c r="M963" s="4"/>
      <c r="N963" s="4"/>
      <c r="O963" s="4"/>
      <c r="P963" s="4"/>
      <c r="Q963" s="4"/>
    </row>
    <row r="964" spans="4:17" x14ac:dyDescent="0.25">
      <c r="D964" s="4"/>
      <c r="E964" s="4"/>
      <c r="F964" s="4"/>
      <c r="G964" s="4"/>
      <c r="H964" s="4"/>
      <c r="I964" s="4"/>
      <c r="J964" s="7"/>
      <c r="K964" s="4"/>
      <c r="L964" s="4"/>
      <c r="M964" s="4"/>
      <c r="N964" s="4"/>
      <c r="O964" s="4"/>
      <c r="P964" s="4"/>
      <c r="Q964" s="4"/>
    </row>
    <row r="965" spans="4:17" x14ac:dyDescent="0.25">
      <c r="D965" s="4"/>
      <c r="E965" s="4"/>
      <c r="F965" s="4"/>
      <c r="G965" s="4"/>
      <c r="H965" s="4"/>
      <c r="I965" s="4"/>
      <c r="J965" s="7"/>
      <c r="K965" s="4"/>
      <c r="L965" s="4"/>
      <c r="M965" s="4"/>
      <c r="N965" s="4"/>
      <c r="O965" s="4"/>
      <c r="P965" s="4"/>
      <c r="Q965" s="4"/>
    </row>
    <row r="966" spans="4:17" x14ac:dyDescent="0.25">
      <c r="D966" s="4"/>
      <c r="E966" s="4"/>
      <c r="F966" s="4"/>
      <c r="G966" s="4"/>
      <c r="H966" s="4"/>
      <c r="I966" s="4"/>
      <c r="J966" s="7"/>
      <c r="K966" s="4"/>
      <c r="L966" s="4"/>
      <c r="M966" s="4"/>
      <c r="N966" s="4"/>
      <c r="O966" s="4"/>
      <c r="P966" s="4"/>
      <c r="Q966" s="4"/>
    </row>
    <row r="967" spans="4:17" x14ac:dyDescent="0.25">
      <c r="D967" s="4"/>
      <c r="E967" s="4"/>
      <c r="F967" s="4"/>
      <c r="G967" s="4"/>
      <c r="H967" s="4"/>
      <c r="I967" s="4"/>
      <c r="J967" s="7"/>
      <c r="K967" s="4"/>
      <c r="L967" s="4"/>
      <c r="M967" s="4"/>
      <c r="N967" s="4"/>
      <c r="O967" s="4"/>
      <c r="P967" s="4"/>
      <c r="Q967" s="4"/>
    </row>
    <row r="968" spans="4:17" x14ac:dyDescent="0.25">
      <c r="D968" s="4"/>
      <c r="E968" s="4"/>
      <c r="F968" s="4"/>
      <c r="G968" s="4"/>
      <c r="H968" s="4"/>
      <c r="I968" s="4"/>
      <c r="J968" s="7"/>
      <c r="K968" s="4"/>
      <c r="L968" s="4"/>
      <c r="M968" s="4"/>
      <c r="N968" s="4"/>
      <c r="O968" s="4"/>
      <c r="P968" s="4"/>
      <c r="Q968" s="4"/>
    </row>
    <row r="969" spans="4:17" x14ac:dyDescent="0.25">
      <c r="D969" s="4"/>
      <c r="E969" s="4"/>
      <c r="F969" s="4"/>
      <c r="G969" s="4"/>
      <c r="H969" s="4"/>
      <c r="I969" s="4"/>
      <c r="J969" s="7"/>
      <c r="K969" s="4"/>
      <c r="L969" s="4"/>
      <c r="M969" s="4"/>
      <c r="N969" s="4"/>
      <c r="O969" s="4"/>
      <c r="P969" s="4"/>
      <c r="Q969" s="4"/>
    </row>
    <row r="970" spans="4:17" x14ac:dyDescent="0.25">
      <c r="D970" s="4"/>
      <c r="E970" s="4"/>
      <c r="F970" s="4"/>
      <c r="G970" s="4"/>
      <c r="H970" s="4"/>
      <c r="I970" s="4"/>
      <c r="J970" s="7"/>
      <c r="K970" s="4"/>
      <c r="L970" s="4"/>
      <c r="M970" s="4"/>
      <c r="N970" s="4"/>
      <c r="O970" s="4"/>
      <c r="P970" s="4"/>
      <c r="Q970" s="4"/>
    </row>
    <row r="971" spans="4:17" x14ac:dyDescent="0.25">
      <c r="D971" s="4"/>
      <c r="E971" s="4"/>
      <c r="F971" s="4"/>
      <c r="G971" s="4"/>
      <c r="H971" s="4"/>
      <c r="I971" s="4"/>
      <c r="J971" s="7"/>
      <c r="K971" s="4"/>
      <c r="L971" s="4"/>
      <c r="M971" s="4"/>
      <c r="N971" s="4"/>
      <c r="O971" s="4"/>
      <c r="P971" s="4"/>
      <c r="Q971" s="4"/>
    </row>
    <row r="972" spans="4:17" x14ac:dyDescent="0.25">
      <c r="D972" s="4"/>
      <c r="E972" s="4"/>
      <c r="F972" s="4"/>
      <c r="G972" s="4"/>
      <c r="H972" s="4"/>
      <c r="I972" s="4"/>
      <c r="J972" s="7"/>
      <c r="K972" s="4"/>
      <c r="L972" s="4"/>
      <c r="M972" s="4"/>
      <c r="N972" s="4"/>
      <c r="O972" s="4"/>
      <c r="P972" s="4"/>
      <c r="Q972" s="4"/>
    </row>
    <row r="973" spans="4:17" x14ac:dyDescent="0.25">
      <c r="D973" s="4"/>
      <c r="E973" s="4"/>
      <c r="F973" s="4"/>
      <c r="G973" s="4"/>
      <c r="H973" s="4"/>
      <c r="I973" s="4"/>
      <c r="J973" s="7"/>
      <c r="K973" s="4"/>
      <c r="L973" s="4"/>
      <c r="M973" s="4"/>
      <c r="N973" s="4"/>
      <c r="O973" s="4"/>
      <c r="P973" s="4"/>
      <c r="Q973" s="4"/>
    </row>
    <row r="974" spans="4:17" x14ac:dyDescent="0.25">
      <c r="D974" s="4"/>
      <c r="E974" s="4"/>
      <c r="F974" s="4"/>
      <c r="G974" s="4"/>
      <c r="H974" s="4"/>
      <c r="I974" s="4"/>
      <c r="J974" s="7"/>
      <c r="K974" s="4"/>
      <c r="L974" s="4"/>
      <c r="M974" s="4"/>
      <c r="N974" s="4"/>
      <c r="O974" s="4"/>
      <c r="P974" s="4"/>
      <c r="Q974" s="4"/>
    </row>
    <row r="975" spans="4:17" x14ac:dyDescent="0.25">
      <c r="D975" s="4"/>
      <c r="E975" s="4"/>
      <c r="F975" s="4"/>
      <c r="G975" s="4"/>
      <c r="H975" s="4"/>
      <c r="I975" s="4"/>
      <c r="J975" s="7"/>
      <c r="K975" s="4"/>
      <c r="L975" s="4"/>
      <c r="M975" s="4"/>
      <c r="N975" s="4"/>
      <c r="O975" s="4"/>
      <c r="P975" s="4"/>
      <c r="Q975" s="4"/>
    </row>
    <row r="976" spans="4:17" x14ac:dyDescent="0.25">
      <c r="D976" s="4"/>
      <c r="E976" s="4"/>
      <c r="F976" s="4"/>
      <c r="G976" s="4"/>
      <c r="H976" s="4"/>
      <c r="I976" s="4"/>
      <c r="J976" s="7"/>
      <c r="K976" s="4"/>
      <c r="L976" s="4"/>
      <c r="M976" s="4"/>
      <c r="N976" s="4"/>
      <c r="O976" s="4"/>
      <c r="P976" s="4"/>
      <c r="Q976" s="4"/>
    </row>
    <row r="977" spans="4:17" x14ac:dyDescent="0.25">
      <c r="D977" s="4"/>
      <c r="E977" s="4"/>
      <c r="F977" s="4"/>
      <c r="G977" s="4"/>
      <c r="H977" s="4"/>
      <c r="I977" s="4"/>
      <c r="J977" s="7"/>
      <c r="K977" s="4"/>
      <c r="L977" s="4"/>
      <c r="M977" s="4"/>
      <c r="N977" s="4"/>
      <c r="O977" s="4"/>
      <c r="P977" s="4"/>
      <c r="Q977" s="4"/>
    </row>
    <row r="978" spans="4:17" x14ac:dyDescent="0.25">
      <c r="D978" s="4"/>
      <c r="E978" s="4"/>
      <c r="F978" s="4"/>
      <c r="G978" s="4"/>
      <c r="H978" s="4"/>
      <c r="I978" s="4"/>
      <c r="J978" s="7"/>
      <c r="K978" s="4"/>
      <c r="L978" s="4"/>
      <c r="M978" s="4"/>
      <c r="N978" s="4"/>
      <c r="O978" s="4"/>
      <c r="P978" s="4"/>
      <c r="Q978" s="4"/>
    </row>
    <row r="979" spans="4:17" x14ac:dyDescent="0.25">
      <c r="D979" s="4"/>
      <c r="E979" s="4"/>
      <c r="F979" s="4"/>
      <c r="G979" s="4"/>
      <c r="H979" s="4"/>
      <c r="I979" s="4"/>
      <c r="J979" s="7"/>
      <c r="K979" s="4"/>
      <c r="L979" s="4"/>
      <c r="M979" s="4"/>
      <c r="N979" s="4"/>
      <c r="O979" s="4"/>
      <c r="P979" s="4"/>
      <c r="Q979" s="4"/>
    </row>
    <row r="980" spans="4:17" x14ac:dyDescent="0.25">
      <c r="D980" s="4"/>
      <c r="E980" s="4"/>
      <c r="F980" s="4"/>
      <c r="G980" s="4"/>
      <c r="H980" s="4"/>
      <c r="I980" s="4"/>
      <c r="J980" s="7"/>
      <c r="K980" s="4"/>
      <c r="L980" s="4"/>
      <c r="M980" s="4"/>
      <c r="N980" s="4"/>
      <c r="O980" s="4"/>
      <c r="P980" s="4"/>
      <c r="Q980" s="4"/>
    </row>
    <row r="981" spans="4:17" x14ac:dyDescent="0.25">
      <c r="D981" s="4"/>
      <c r="E981" s="4"/>
      <c r="F981" s="4"/>
      <c r="G981" s="4"/>
      <c r="H981" s="4"/>
      <c r="I981" s="4"/>
      <c r="J981" s="7"/>
      <c r="K981" s="4"/>
      <c r="L981" s="4"/>
      <c r="M981" s="4"/>
      <c r="N981" s="4"/>
      <c r="O981" s="4"/>
      <c r="P981" s="4"/>
      <c r="Q981" s="4"/>
    </row>
    <row r="982" spans="4:17" x14ac:dyDescent="0.25">
      <c r="D982" s="4"/>
      <c r="E982" s="4"/>
      <c r="F982" s="4"/>
      <c r="G982" s="4"/>
      <c r="H982" s="4"/>
      <c r="I982" s="4"/>
      <c r="J982" s="7"/>
      <c r="K982" s="4"/>
      <c r="L982" s="4"/>
      <c r="M982" s="4"/>
      <c r="N982" s="4"/>
      <c r="O982" s="4"/>
      <c r="P982" s="4"/>
      <c r="Q982" s="4"/>
    </row>
    <row r="983" spans="4:17" x14ac:dyDescent="0.25">
      <c r="D983" s="4"/>
      <c r="E983" s="4"/>
      <c r="F983" s="4"/>
      <c r="G983" s="4"/>
      <c r="H983" s="4"/>
      <c r="I983" s="4"/>
      <c r="J983" s="7"/>
      <c r="K983" s="4"/>
      <c r="L983" s="4"/>
      <c r="M983" s="4"/>
      <c r="N983" s="4"/>
      <c r="O983" s="4"/>
      <c r="P983" s="4"/>
      <c r="Q983" s="4"/>
    </row>
    <row r="984" spans="4:17" x14ac:dyDescent="0.25">
      <c r="D984" s="4"/>
      <c r="E984" s="4"/>
      <c r="F984" s="4"/>
      <c r="G984" s="4"/>
      <c r="H984" s="4"/>
      <c r="I984" s="4"/>
      <c r="J984" s="7"/>
      <c r="K984" s="4"/>
      <c r="L984" s="4"/>
      <c r="M984" s="4"/>
      <c r="N984" s="4"/>
      <c r="O984" s="4"/>
      <c r="P984" s="4"/>
      <c r="Q984" s="4"/>
    </row>
    <row r="985" spans="4:17" x14ac:dyDescent="0.25">
      <c r="D985" s="4"/>
      <c r="E985" s="4"/>
      <c r="F985" s="4"/>
      <c r="G985" s="4"/>
      <c r="H985" s="4"/>
      <c r="I985" s="4"/>
      <c r="J985" s="7"/>
      <c r="K985" s="4"/>
      <c r="L985" s="4"/>
      <c r="M985" s="4"/>
      <c r="N985" s="4"/>
      <c r="O985" s="4"/>
      <c r="P985" s="4"/>
      <c r="Q985" s="4"/>
    </row>
    <row r="986" spans="4:17" x14ac:dyDescent="0.25">
      <c r="D986" s="4"/>
      <c r="E986" s="4"/>
      <c r="F986" s="4"/>
      <c r="G986" s="4"/>
      <c r="H986" s="4"/>
      <c r="I986" s="4"/>
      <c r="J986" s="7"/>
      <c r="K986" s="4"/>
      <c r="L986" s="4"/>
      <c r="M986" s="4"/>
      <c r="N986" s="4"/>
      <c r="O986" s="4"/>
      <c r="P986" s="4"/>
      <c r="Q986" s="4"/>
    </row>
    <row r="987" spans="4:17" x14ac:dyDescent="0.25">
      <c r="D987" s="4"/>
      <c r="E987" s="4"/>
      <c r="F987" s="4"/>
      <c r="G987" s="4"/>
      <c r="H987" s="4"/>
      <c r="I987" s="4"/>
      <c r="J987" s="7"/>
      <c r="K987" s="4"/>
      <c r="L987" s="4"/>
      <c r="M987" s="4"/>
      <c r="N987" s="4"/>
      <c r="O987" s="4"/>
      <c r="P987" s="4"/>
      <c r="Q987" s="4"/>
    </row>
    <row r="988" spans="4:17" x14ac:dyDescent="0.25">
      <c r="D988" s="4"/>
      <c r="E988" s="4"/>
      <c r="F988" s="4"/>
      <c r="G988" s="4"/>
      <c r="H988" s="4"/>
      <c r="I988" s="4"/>
      <c r="J988" s="7"/>
      <c r="K988" s="4"/>
      <c r="L988" s="4"/>
      <c r="M988" s="4"/>
      <c r="N988" s="4"/>
      <c r="O988" s="4"/>
      <c r="P988" s="4"/>
      <c r="Q988" s="4"/>
    </row>
    <row r="989" spans="4:17" x14ac:dyDescent="0.25">
      <c r="D989" s="4"/>
      <c r="E989" s="4"/>
      <c r="F989" s="4"/>
      <c r="G989" s="4"/>
      <c r="H989" s="4"/>
      <c r="I989" s="4"/>
      <c r="J989" s="7"/>
      <c r="K989" s="4"/>
      <c r="L989" s="4"/>
      <c r="M989" s="4"/>
      <c r="N989" s="4"/>
      <c r="O989" s="4"/>
      <c r="P989" s="4"/>
      <c r="Q989" s="4"/>
    </row>
    <row r="990" spans="4:17" x14ac:dyDescent="0.25">
      <c r="D990" s="4"/>
      <c r="E990" s="4"/>
      <c r="F990" s="4"/>
      <c r="G990" s="4"/>
      <c r="H990" s="4"/>
      <c r="I990" s="4"/>
      <c r="J990" s="7"/>
      <c r="K990" s="4"/>
      <c r="L990" s="4"/>
      <c r="M990" s="4"/>
      <c r="N990" s="4"/>
      <c r="O990" s="4"/>
      <c r="P990" s="4"/>
      <c r="Q990" s="4"/>
    </row>
    <row r="991" spans="4:17" x14ac:dyDescent="0.25">
      <c r="D991" s="4"/>
      <c r="E991" s="4"/>
      <c r="F991" s="4"/>
      <c r="G991" s="4"/>
      <c r="H991" s="4"/>
      <c r="I991" s="4"/>
      <c r="J991" s="7"/>
      <c r="K991" s="4"/>
      <c r="L991" s="4"/>
      <c r="M991" s="4"/>
      <c r="N991" s="4"/>
      <c r="O991" s="4"/>
      <c r="P991" s="4"/>
      <c r="Q991" s="4"/>
    </row>
    <row r="992" spans="4:17" x14ac:dyDescent="0.25">
      <c r="D992" s="4"/>
      <c r="E992" s="4"/>
      <c r="F992" s="4"/>
      <c r="G992" s="4"/>
      <c r="H992" s="4"/>
      <c r="I992" s="4"/>
      <c r="J992" s="7"/>
      <c r="K992" s="4"/>
      <c r="L992" s="4"/>
      <c r="M992" s="4"/>
      <c r="N992" s="4"/>
      <c r="O992" s="4"/>
      <c r="P992" s="4"/>
      <c r="Q992" s="4"/>
    </row>
    <row r="993" spans="4:17" x14ac:dyDescent="0.25">
      <c r="D993" s="4"/>
      <c r="E993" s="4"/>
      <c r="F993" s="4"/>
      <c r="G993" s="4"/>
      <c r="H993" s="4"/>
      <c r="I993" s="4"/>
      <c r="J993" s="7"/>
      <c r="K993" s="4"/>
      <c r="L993" s="4"/>
      <c r="M993" s="4"/>
      <c r="N993" s="4"/>
      <c r="O993" s="4"/>
      <c r="P993" s="4"/>
      <c r="Q993" s="4"/>
    </row>
    <row r="994" spans="4:17" x14ac:dyDescent="0.25">
      <c r="D994" s="4"/>
      <c r="E994" s="4"/>
      <c r="F994" s="4"/>
      <c r="G994" s="4"/>
      <c r="H994" s="4"/>
      <c r="I994" s="4"/>
      <c r="J994" s="7"/>
      <c r="K994" s="4"/>
      <c r="L994" s="4"/>
      <c r="M994" s="4"/>
      <c r="N994" s="4"/>
      <c r="O994" s="4"/>
      <c r="P994" s="4"/>
      <c r="Q994" s="4"/>
    </row>
    <row r="995" spans="4:17" x14ac:dyDescent="0.25">
      <c r="D995" s="4"/>
      <c r="E995" s="4"/>
      <c r="F995" s="4"/>
      <c r="G995" s="4"/>
      <c r="H995" s="4"/>
      <c r="I995" s="4"/>
      <c r="J995" s="7"/>
      <c r="K995" s="4"/>
      <c r="L995" s="4"/>
      <c r="M995" s="4"/>
      <c r="N995" s="4"/>
      <c r="O995" s="4"/>
      <c r="P995" s="4"/>
      <c r="Q995" s="4"/>
    </row>
    <row r="996" spans="4:17" x14ac:dyDescent="0.25">
      <c r="D996" s="4"/>
      <c r="E996" s="4"/>
      <c r="F996" s="4"/>
      <c r="G996" s="4"/>
      <c r="H996" s="4"/>
      <c r="I996" s="4"/>
      <c r="J996" s="7"/>
      <c r="K996" s="4"/>
      <c r="L996" s="4"/>
      <c r="M996" s="4"/>
      <c r="N996" s="4"/>
      <c r="O996" s="4"/>
      <c r="P996" s="4"/>
      <c r="Q996" s="4"/>
    </row>
    <row r="997" spans="4:17" x14ac:dyDescent="0.25">
      <c r="D997" s="4"/>
      <c r="E997" s="4"/>
      <c r="F997" s="4"/>
      <c r="G997" s="4"/>
      <c r="H997" s="4"/>
      <c r="I997" s="4"/>
      <c r="J997" s="7"/>
      <c r="K997" s="4"/>
      <c r="L997" s="4"/>
      <c r="M997" s="4"/>
      <c r="N997" s="4"/>
      <c r="O997" s="4"/>
      <c r="P997" s="4"/>
      <c r="Q997" s="4"/>
    </row>
    <row r="998" spans="4:17" x14ac:dyDescent="0.25">
      <c r="D998" s="4"/>
      <c r="E998" s="4"/>
      <c r="F998" s="4"/>
      <c r="G998" s="4"/>
      <c r="H998" s="4"/>
      <c r="I998" s="4"/>
      <c r="J998" s="7"/>
      <c r="K998" s="4"/>
      <c r="L998" s="4"/>
      <c r="M998" s="4"/>
      <c r="N998" s="4"/>
      <c r="O998" s="4"/>
      <c r="P998" s="4"/>
      <c r="Q998" s="4"/>
    </row>
    <row r="999" spans="4:17" x14ac:dyDescent="0.25">
      <c r="D999" s="4"/>
      <c r="E999" s="4"/>
      <c r="F999" s="4"/>
      <c r="G999" s="4"/>
      <c r="H999" s="4"/>
      <c r="I999" s="4"/>
      <c r="J999" s="7"/>
      <c r="K999" s="4"/>
      <c r="L999" s="4"/>
      <c r="M999" s="4"/>
      <c r="N999" s="4"/>
      <c r="O999" s="4"/>
      <c r="P999" s="4"/>
      <c r="Q999" s="4"/>
    </row>
    <row r="1000" spans="4:17" x14ac:dyDescent="0.25">
      <c r="D1000" s="4"/>
      <c r="E1000" s="4"/>
      <c r="F1000" s="4"/>
      <c r="G1000" s="4"/>
      <c r="H1000" s="4"/>
      <c r="I1000" s="4"/>
      <c r="J1000" s="7"/>
      <c r="K1000" s="4"/>
      <c r="L1000" s="4"/>
      <c r="M1000" s="4"/>
      <c r="N1000" s="4"/>
      <c r="O1000" s="4"/>
      <c r="P1000" s="4"/>
      <c r="Q1000" s="4"/>
    </row>
    <row r="1001" spans="4:17" x14ac:dyDescent="0.25">
      <c r="D1001" s="4"/>
      <c r="E1001" s="4"/>
      <c r="F1001" s="4"/>
      <c r="G1001" s="4"/>
      <c r="H1001" s="4"/>
      <c r="I1001" s="4"/>
      <c r="J1001" s="7"/>
      <c r="K1001" s="4"/>
      <c r="L1001" s="4"/>
      <c r="M1001" s="4"/>
      <c r="N1001" s="4"/>
      <c r="O1001" s="4"/>
      <c r="P1001" s="4"/>
      <c r="Q1001" s="4"/>
    </row>
    <row r="1002" spans="4:17" x14ac:dyDescent="0.25">
      <c r="D1002" s="4"/>
      <c r="E1002" s="4"/>
      <c r="F1002" s="4"/>
      <c r="G1002" s="4"/>
      <c r="H1002" s="4"/>
      <c r="I1002" s="4"/>
      <c r="J1002" s="7"/>
      <c r="K1002" s="4"/>
      <c r="L1002" s="4"/>
      <c r="M1002" s="4"/>
      <c r="N1002" s="4"/>
      <c r="O1002" s="4"/>
      <c r="P1002" s="4"/>
      <c r="Q1002" s="4"/>
    </row>
    <row r="1003" spans="4:17" x14ac:dyDescent="0.25">
      <c r="D1003" s="4"/>
      <c r="E1003" s="4"/>
      <c r="F1003" s="4"/>
      <c r="G1003" s="4"/>
      <c r="H1003" s="4"/>
      <c r="I1003" s="4"/>
      <c r="J1003" s="7"/>
      <c r="K1003" s="4"/>
      <c r="L1003" s="4"/>
      <c r="M1003" s="4"/>
      <c r="N1003" s="4"/>
      <c r="O1003" s="4"/>
      <c r="P1003" s="4"/>
      <c r="Q1003" s="4"/>
    </row>
    <row r="1004" spans="4:17" x14ac:dyDescent="0.25">
      <c r="D1004" s="4"/>
      <c r="E1004" s="4"/>
      <c r="F1004" s="4"/>
      <c r="G1004" s="4"/>
      <c r="H1004" s="4"/>
      <c r="I1004" s="4"/>
      <c r="J1004" s="7"/>
      <c r="K1004" s="4"/>
      <c r="L1004" s="4"/>
      <c r="M1004" s="4"/>
      <c r="N1004" s="4"/>
      <c r="O1004" s="4"/>
      <c r="P1004" s="4"/>
      <c r="Q1004" s="4"/>
    </row>
    <row r="1005" spans="4:17" x14ac:dyDescent="0.25">
      <c r="D1005" s="4"/>
      <c r="E1005" s="4"/>
      <c r="F1005" s="4"/>
      <c r="G1005" s="4"/>
      <c r="H1005" s="4"/>
      <c r="I1005" s="4"/>
      <c r="J1005" s="7"/>
      <c r="K1005" s="4"/>
      <c r="L1005" s="4"/>
      <c r="M1005" s="4"/>
      <c r="N1005" s="4"/>
      <c r="O1005" s="4"/>
      <c r="P1005" s="4"/>
      <c r="Q1005" s="4"/>
    </row>
    <row r="1006" spans="4:17" x14ac:dyDescent="0.25">
      <c r="D1006" s="4"/>
      <c r="E1006" s="4"/>
      <c r="F1006" s="4"/>
      <c r="G1006" s="4"/>
      <c r="H1006" s="4"/>
      <c r="I1006" s="4"/>
      <c r="J1006" s="7"/>
      <c r="K1006" s="4"/>
      <c r="L1006" s="4"/>
      <c r="M1006" s="4"/>
      <c r="N1006" s="4"/>
      <c r="O1006" s="4"/>
      <c r="P1006" s="4"/>
      <c r="Q1006" s="4"/>
    </row>
    <row r="1007" spans="4:17" x14ac:dyDescent="0.25">
      <c r="D1007" s="4"/>
      <c r="E1007" s="4"/>
      <c r="F1007" s="4"/>
      <c r="G1007" s="4"/>
      <c r="H1007" s="4"/>
      <c r="I1007" s="4"/>
      <c r="J1007" s="7"/>
      <c r="K1007" s="4"/>
      <c r="L1007" s="4"/>
      <c r="M1007" s="4"/>
      <c r="N1007" s="4"/>
      <c r="O1007" s="4"/>
      <c r="P1007" s="4"/>
      <c r="Q1007" s="4"/>
    </row>
    <row r="1008" spans="4:17" x14ac:dyDescent="0.25">
      <c r="D1008" s="4"/>
      <c r="E1008" s="4"/>
      <c r="F1008" s="4"/>
      <c r="G1008" s="4"/>
      <c r="H1008" s="4"/>
      <c r="I1008" s="4"/>
      <c r="J1008" s="7"/>
      <c r="K1008" s="4"/>
      <c r="L1008" s="4"/>
      <c r="M1008" s="4"/>
      <c r="N1008" s="4"/>
      <c r="O1008" s="4"/>
      <c r="P1008" s="4"/>
      <c r="Q1008" s="4"/>
    </row>
    <row r="1009" spans="4:17" x14ac:dyDescent="0.25">
      <c r="D1009" s="4"/>
      <c r="E1009" s="4"/>
      <c r="F1009" s="4"/>
      <c r="G1009" s="4"/>
      <c r="H1009" s="4"/>
      <c r="I1009" s="4"/>
      <c r="J1009" s="7"/>
      <c r="K1009" s="4"/>
      <c r="L1009" s="4"/>
      <c r="M1009" s="4"/>
      <c r="N1009" s="4"/>
      <c r="O1009" s="4"/>
      <c r="P1009" s="4"/>
      <c r="Q1009" s="4"/>
    </row>
    <row r="1010" spans="4:17" x14ac:dyDescent="0.25">
      <c r="D1010" s="4"/>
      <c r="E1010" s="4"/>
      <c r="F1010" s="4"/>
      <c r="G1010" s="4"/>
      <c r="H1010" s="4"/>
      <c r="I1010" s="4"/>
      <c r="J1010" s="7"/>
      <c r="K1010" s="4"/>
      <c r="L1010" s="4"/>
      <c r="M1010" s="4"/>
      <c r="N1010" s="4"/>
      <c r="O1010" s="4"/>
      <c r="P1010" s="4"/>
      <c r="Q1010" s="4"/>
    </row>
    <row r="1011" spans="4:17" x14ac:dyDescent="0.25">
      <c r="D1011" s="4"/>
      <c r="E1011" s="4"/>
      <c r="F1011" s="4"/>
      <c r="G1011" s="4"/>
      <c r="H1011" s="4"/>
      <c r="I1011" s="4"/>
      <c r="J1011" s="7"/>
      <c r="K1011" s="4"/>
      <c r="L1011" s="4"/>
      <c r="M1011" s="4"/>
      <c r="N1011" s="4"/>
      <c r="O1011" s="4"/>
      <c r="P1011" s="4"/>
      <c r="Q1011" s="4"/>
    </row>
    <row r="1012" spans="4:17" x14ac:dyDescent="0.25">
      <c r="D1012" s="4"/>
      <c r="E1012" s="4"/>
      <c r="F1012" s="4"/>
      <c r="G1012" s="4"/>
      <c r="H1012" s="4"/>
      <c r="I1012" s="4"/>
      <c r="J1012" s="7"/>
      <c r="K1012" s="4"/>
      <c r="L1012" s="4"/>
      <c r="M1012" s="4"/>
      <c r="N1012" s="4"/>
      <c r="O1012" s="4"/>
      <c r="P1012" s="4"/>
      <c r="Q1012" s="4"/>
    </row>
    <row r="1013" spans="4:17" x14ac:dyDescent="0.25">
      <c r="D1013" s="4"/>
      <c r="E1013" s="4"/>
      <c r="F1013" s="4"/>
      <c r="G1013" s="4"/>
      <c r="H1013" s="4"/>
      <c r="I1013" s="4"/>
      <c r="J1013" s="7"/>
      <c r="K1013" s="4"/>
      <c r="L1013" s="4"/>
      <c r="M1013" s="4"/>
      <c r="N1013" s="4"/>
      <c r="O1013" s="4"/>
      <c r="P1013" s="4"/>
      <c r="Q1013" s="4"/>
    </row>
    <row r="1014" spans="4:17" x14ac:dyDescent="0.25">
      <c r="D1014" s="4"/>
      <c r="E1014" s="4"/>
      <c r="F1014" s="4"/>
      <c r="G1014" s="4"/>
      <c r="H1014" s="4"/>
      <c r="I1014" s="4"/>
      <c r="J1014" s="7"/>
      <c r="K1014" s="4"/>
      <c r="L1014" s="4"/>
      <c r="M1014" s="4"/>
      <c r="N1014" s="4"/>
      <c r="O1014" s="4"/>
      <c r="P1014" s="4"/>
      <c r="Q1014" s="4"/>
    </row>
    <row r="1015" spans="4:17" x14ac:dyDescent="0.25">
      <c r="D1015" s="4"/>
      <c r="E1015" s="4"/>
      <c r="F1015" s="4"/>
      <c r="G1015" s="4"/>
      <c r="H1015" s="4"/>
      <c r="I1015" s="4"/>
      <c r="J1015" s="7"/>
      <c r="K1015" s="4"/>
      <c r="L1015" s="4"/>
      <c r="M1015" s="4"/>
      <c r="N1015" s="4"/>
      <c r="O1015" s="4"/>
      <c r="P1015" s="4"/>
      <c r="Q1015" s="4"/>
    </row>
    <row r="1016" spans="4:17" x14ac:dyDescent="0.25">
      <c r="D1016" s="4"/>
      <c r="E1016" s="4"/>
      <c r="F1016" s="4"/>
      <c r="G1016" s="4"/>
      <c r="H1016" s="4"/>
      <c r="I1016" s="4"/>
      <c r="J1016" s="7"/>
      <c r="K1016" s="4"/>
      <c r="L1016" s="4"/>
      <c r="M1016" s="4"/>
      <c r="N1016" s="4"/>
      <c r="O1016" s="4"/>
      <c r="P1016" s="4"/>
      <c r="Q1016" s="4"/>
    </row>
    <row r="1017" spans="4:17" x14ac:dyDescent="0.25">
      <c r="D1017" s="4"/>
      <c r="E1017" s="4"/>
      <c r="F1017" s="4"/>
      <c r="G1017" s="4"/>
      <c r="H1017" s="4"/>
      <c r="I1017" s="4"/>
      <c r="J1017" s="7"/>
      <c r="K1017" s="4"/>
      <c r="L1017" s="4"/>
      <c r="M1017" s="4"/>
      <c r="N1017" s="4"/>
      <c r="O1017" s="4"/>
      <c r="P1017" s="4"/>
      <c r="Q1017" s="4"/>
    </row>
    <row r="1018" spans="4:17" x14ac:dyDescent="0.25">
      <c r="D1018" s="4"/>
      <c r="E1018" s="4"/>
      <c r="F1018" s="4"/>
      <c r="G1018" s="4"/>
      <c r="H1018" s="4"/>
      <c r="I1018" s="4"/>
      <c r="J1018" s="7"/>
      <c r="K1018" s="4"/>
      <c r="L1018" s="4"/>
      <c r="M1018" s="4"/>
      <c r="N1018" s="4"/>
      <c r="O1018" s="4"/>
      <c r="P1018" s="4"/>
      <c r="Q1018" s="4"/>
    </row>
    <row r="1019" spans="4:17" x14ac:dyDescent="0.25">
      <c r="D1019" s="4"/>
      <c r="E1019" s="4"/>
      <c r="F1019" s="4"/>
      <c r="G1019" s="4"/>
      <c r="H1019" s="4"/>
      <c r="I1019" s="4"/>
      <c r="J1019" s="7"/>
      <c r="K1019" s="4"/>
      <c r="L1019" s="4"/>
      <c r="M1019" s="4"/>
      <c r="N1019" s="4"/>
      <c r="O1019" s="4"/>
      <c r="P1019" s="4"/>
      <c r="Q1019" s="4"/>
    </row>
    <row r="1020" spans="4:17" x14ac:dyDescent="0.25">
      <c r="D1020" s="4"/>
      <c r="E1020" s="4"/>
      <c r="F1020" s="4"/>
      <c r="G1020" s="4"/>
      <c r="H1020" s="4"/>
      <c r="I1020" s="4"/>
      <c r="J1020" s="7"/>
      <c r="K1020" s="4"/>
      <c r="L1020" s="4"/>
      <c r="M1020" s="4"/>
      <c r="N1020" s="4"/>
      <c r="O1020" s="4"/>
      <c r="P1020" s="4"/>
      <c r="Q1020" s="4"/>
    </row>
    <row r="1021" spans="4:17" x14ac:dyDescent="0.25">
      <c r="D1021" s="4"/>
      <c r="E1021" s="4"/>
      <c r="F1021" s="4"/>
      <c r="G1021" s="4"/>
      <c r="H1021" s="4"/>
      <c r="I1021" s="4"/>
      <c r="J1021" s="7"/>
      <c r="K1021" s="4"/>
      <c r="L1021" s="4"/>
      <c r="M1021" s="4"/>
      <c r="N1021" s="4"/>
      <c r="O1021" s="4"/>
      <c r="P1021" s="4"/>
      <c r="Q1021" s="4"/>
    </row>
    <row r="1022" spans="4:17" x14ac:dyDescent="0.25">
      <c r="D1022" s="4"/>
      <c r="E1022" s="4"/>
      <c r="F1022" s="4"/>
      <c r="G1022" s="4"/>
      <c r="H1022" s="4"/>
      <c r="I1022" s="4"/>
      <c r="J1022" s="7"/>
      <c r="K1022" s="4"/>
      <c r="L1022" s="4"/>
      <c r="M1022" s="4"/>
      <c r="N1022" s="4"/>
      <c r="O1022" s="4"/>
      <c r="P1022" s="4"/>
      <c r="Q1022" s="4"/>
    </row>
    <row r="1023" spans="4:17" x14ac:dyDescent="0.25">
      <c r="D1023" s="4"/>
      <c r="E1023" s="4"/>
      <c r="F1023" s="4"/>
      <c r="G1023" s="4"/>
      <c r="H1023" s="4"/>
      <c r="I1023" s="4"/>
      <c r="J1023" s="7"/>
      <c r="K1023" s="4"/>
      <c r="L1023" s="4"/>
      <c r="M1023" s="4"/>
      <c r="N1023" s="4"/>
      <c r="O1023" s="4"/>
      <c r="P1023" s="4"/>
      <c r="Q1023" s="4"/>
    </row>
    <row r="1024" spans="4:17" x14ac:dyDescent="0.25">
      <c r="D1024" s="4"/>
      <c r="E1024" s="4"/>
      <c r="F1024" s="4"/>
      <c r="G1024" s="4"/>
      <c r="H1024" s="4"/>
      <c r="I1024" s="4"/>
      <c r="J1024" s="7"/>
      <c r="K1024" s="4"/>
      <c r="L1024" s="4"/>
      <c r="M1024" s="4"/>
      <c r="N1024" s="4"/>
      <c r="O1024" s="4"/>
      <c r="P1024" s="4"/>
      <c r="Q1024" s="4"/>
    </row>
    <row r="1025" spans="4:17" x14ac:dyDescent="0.25">
      <c r="D1025" s="4"/>
      <c r="E1025" s="4"/>
      <c r="F1025" s="4"/>
      <c r="G1025" s="4"/>
      <c r="H1025" s="4"/>
      <c r="I1025" s="4"/>
      <c r="J1025" s="7"/>
      <c r="K1025" s="4"/>
      <c r="L1025" s="4"/>
      <c r="M1025" s="4"/>
      <c r="N1025" s="4"/>
      <c r="O1025" s="4"/>
      <c r="P1025" s="4"/>
      <c r="Q1025" s="4"/>
    </row>
    <row r="1026" spans="4:17" x14ac:dyDescent="0.25">
      <c r="D1026" s="4"/>
      <c r="E1026" s="4"/>
      <c r="F1026" s="4"/>
      <c r="G1026" s="4"/>
      <c r="H1026" s="4"/>
      <c r="I1026" s="4"/>
      <c r="J1026" s="7"/>
      <c r="K1026" s="4"/>
      <c r="L1026" s="4"/>
      <c r="M1026" s="4"/>
      <c r="N1026" s="4"/>
      <c r="O1026" s="4"/>
      <c r="P1026" s="4"/>
      <c r="Q1026" s="4"/>
    </row>
    <row r="1027" spans="4:17" x14ac:dyDescent="0.25">
      <c r="D1027" s="4"/>
      <c r="E1027" s="4"/>
      <c r="F1027" s="4"/>
      <c r="G1027" s="4"/>
      <c r="H1027" s="4"/>
      <c r="I1027" s="4"/>
      <c r="J1027" s="7"/>
      <c r="K1027" s="4"/>
      <c r="L1027" s="4"/>
      <c r="M1027" s="4"/>
      <c r="N1027" s="4"/>
      <c r="O1027" s="4"/>
      <c r="P1027" s="4"/>
      <c r="Q1027" s="4"/>
    </row>
    <row r="1028" spans="4:17" x14ac:dyDescent="0.25">
      <c r="D1028" s="4"/>
      <c r="E1028" s="4"/>
      <c r="F1028" s="4"/>
      <c r="G1028" s="4"/>
      <c r="H1028" s="4"/>
      <c r="I1028" s="4"/>
      <c r="J1028" s="7"/>
      <c r="K1028" s="4"/>
      <c r="L1028" s="4"/>
      <c r="M1028" s="4"/>
      <c r="N1028" s="4"/>
      <c r="O1028" s="4"/>
      <c r="P1028" s="4"/>
      <c r="Q1028" s="4"/>
    </row>
    <row r="1029" spans="4:17" x14ac:dyDescent="0.25">
      <c r="D1029" s="4"/>
      <c r="E1029" s="4"/>
      <c r="F1029" s="4"/>
      <c r="G1029" s="4"/>
      <c r="H1029" s="4"/>
      <c r="I1029" s="4"/>
      <c r="J1029" s="7"/>
      <c r="K1029" s="4"/>
      <c r="L1029" s="4"/>
      <c r="M1029" s="4"/>
      <c r="N1029" s="4"/>
      <c r="O1029" s="4"/>
      <c r="P1029" s="4"/>
      <c r="Q1029" s="4"/>
    </row>
    <row r="1030" spans="4:17" x14ac:dyDescent="0.25">
      <c r="D1030" s="4"/>
      <c r="E1030" s="4"/>
      <c r="F1030" s="4"/>
      <c r="G1030" s="4"/>
      <c r="H1030" s="4"/>
      <c r="I1030" s="4"/>
      <c r="J1030" s="7"/>
      <c r="K1030" s="4"/>
      <c r="L1030" s="4"/>
      <c r="M1030" s="4"/>
      <c r="N1030" s="4"/>
      <c r="O1030" s="4"/>
      <c r="P1030" s="4"/>
      <c r="Q1030" s="4"/>
    </row>
    <row r="1031" spans="4:17" x14ac:dyDescent="0.25">
      <c r="D1031" s="4"/>
      <c r="E1031" s="4"/>
      <c r="F1031" s="4"/>
      <c r="G1031" s="4"/>
      <c r="H1031" s="4"/>
      <c r="I1031" s="4"/>
      <c r="J1031" s="7"/>
      <c r="K1031" s="4"/>
      <c r="L1031" s="4"/>
      <c r="M1031" s="4"/>
      <c r="N1031" s="4"/>
      <c r="O1031" s="4"/>
      <c r="P1031" s="4"/>
      <c r="Q1031" s="4"/>
    </row>
    <row r="1032" spans="4:17" x14ac:dyDescent="0.25">
      <c r="D1032" s="4"/>
      <c r="E1032" s="4"/>
      <c r="F1032" s="4"/>
      <c r="G1032" s="4"/>
      <c r="H1032" s="4"/>
      <c r="I1032" s="4"/>
      <c r="J1032" s="7"/>
      <c r="K1032" s="4"/>
      <c r="L1032" s="4"/>
      <c r="M1032" s="4"/>
      <c r="N1032" s="4"/>
      <c r="O1032" s="4"/>
      <c r="P1032" s="4"/>
      <c r="Q1032" s="4"/>
    </row>
    <row r="1033" spans="4:17" x14ac:dyDescent="0.25">
      <c r="D1033" s="4"/>
      <c r="E1033" s="4"/>
      <c r="F1033" s="4"/>
      <c r="G1033" s="4"/>
      <c r="H1033" s="4"/>
      <c r="I1033" s="4"/>
      <c r="J1033" s="7"/>
      <c r="K1033" s="4"/>
      <c r="L1033" s="4"/>
      <c r="M1033" s="4"/>
      <c r="N1033" s="4"/>
      <c r="O1033" s="4"/>
      <c r="P1033" s="4"/>
      <c r="Q1033" s="4"/>
    </row>
    <row r="1034" spans="4:17" x14ac:dyDescent="0.25">
      <c r="D1034" s="4"/>
      <c r="E1034" s="4"/>
      <c r="F1034" s="4"/>
      <c r="G1034" s="4"/>
      <c r="H1034" s="4"/>
      <c r="I1034" s="4"/>
      <c r="J1034" s="7"/>
      <c r="K1034" s="4"/>
      <c r="L1034" s="4"/>
      <c r="M1034" s="4"/>
      <c r="N1034" s="4"/>
      <c r="O1034" s="4"/>
      <c r="P1034" s="4"/>
      <c r="Q1034" s="4"/>
    </row>
    <row r="1035" spans="4:17" x14ac:dyDescent="0.25">
      <c r="D1035" s="4"/>
      <c r="E1035" s="4"/>
      <c r="F1035" s="4"/>
      <c r="G1035" s="4"/>
      <c r="H1035" s="4"/>
      <c r="I1035" s="4"/>
      <c r="J1035" s="7"/>
      <c r="K1035" s="4"/>
      <c r="L1035" s="4"/>
      <c r="M1035" s="4"/>
      <c r="N1035" s="4"/>
      <c r="O1035" s="4"/>
      <c r="P1035" s="4"/>
      <c r="Q1035" s="4"/>
    </row>
    <row r="1036" spans="4:17" x14ac:dyDescent="0.25">
      <c r="D1036" s="4"/>
      <c r="E1036" s="4"/>
      <c r="F1036" s="4"/>
      <c r="G1036" s="4"/>
      <c r="H1036" s="4"/>
      <c r="I1036" s="4"/>
      <c r="J1036" s="7"/>
      <c r="K1036" s="4"/>
      <c r="L1036" s="4"/>
      <c r="M1036" s="4"/>
      <c r="N1036" s="4"/>
      <c r="O1036" s="4"/>
      <c r="P1036" s="4"/>
      <c r="Q1036" s="4"/>
    </row>
    <row r="1037" spans="4:17" x14ac:dyDescent="0.25">
      <c r="D1037" s="4"/>
      <c r="E1037" s="4"/>
      <c r="F1037" s="4"/>
      <c r="G1037" s="4"/>
      <c r="H1037" s="4"/>
      <c r="I1037" s="4"/>
      <c r="J1037" s="7"/>
      <c r="K1037" s="4"/>
      <c r="L1037" s="4"/>
      <c r="M1037" s="4"/>
      <c r="N1037" s="4"/>
      <c r="O1037" s="4"/>
      <c r="P1037" s="4"/>
      <c r="Q1037" s="4"/>
    </row>
    <row r="1038" spans="4:17" x14ac:dyDescent="0.25">
      <c r="D1038" s="4"/>
      <c r="E1038" s="4"/>
      <c r="F1038" s="4"/>
      <c r="G1038" s="4"/>
      <c r="H1038" s="4"/>
      <c r="I1038" s="4"/>
      <c r="J1038" s="7"/>
      <c r="K1038" s="4"/>
      <c r="L1038" s="4"/>
      <c r="M1038" s="4"/>
      <c r="N1038" s="4"/>
      <c r="O1038" s="4"/>
      <c r="P1038" s="4"/>
      <c r="Q1038" s="4"/>
    </row>
    <row r="1039" spans="4:17" x14ac:dyDescent="0.25">
      <c r="D1039" s="4"/>
      <c r="E1039" s="4"/>
      <c r="F1039" s="4"/>
      <c r="G1039" s="4"/>
      <c r="H1039" s="4"/>
      <c r="I1039" s="4"/>
      <c r="J1039" s="7"/>
      <c r="K1039" s="4"/>
      <c r="L1039" s="4"/>
      <c r="M1039" s="4"/>
      <c r="N1039" s="4"/>
      <c r="O1039" s="4"/>
      <c r="P1039" s="4"/>
      <c r="Q1039" s="4"/>
    </row>
    <row r="1040" spans="4:17" x14ac:dyDescent="0.25">
      <c r="D1040" s="4"/>
      <c r="E1040" s="4"/>
      <c r="F1040" s="4"/>
      <c r="G1040" s="4"/>
      <c r="H1040" s="4"/>
      <c r="I1040" s="4"/>
      <c r="J1040" s="7"/>
      <c r="K1040" s="4"/>
      <c r="L1040" s="4"/>
      <c r="M1040" s="4"/>
      <c r="N1040" s="4"/>
      <c r="O1040" s="4"/>
      <c r="P1040" s="4"/>
      <c r="Q1040" s="4"/>
    </row>
    <row r="1041" spans="4:17" x14ac:dyDescent="0.25">
      <c r="D1041" s="4"/>
      <c r="E1041" s="4"/>
      <c r="F1041" s="4"/>
      <c r="G1041" s="4"/>
      <c r="H1041" s="4"/>
      <c r="I1041" s="4"/>
      <c r="J1041" s="7"/>
      <c r="K1041" s="4"/>
      <c r="L1041" s="4"/>
      <c r="M1041" s="4"/>
      <c r="N1041" s="4"/>
      <c r="O1041" s="4"/>
      <c r="P1041" s="4"/>
      <c r="Q1041" s="4"/>
    </row>
    <row r="1042" spans="4:17" x14ac:dyDescent="0.25">
      <c r="D1042" s="4"/>
      <c r="E1042" s="4"/>
      <c r="F1042" s="4"/>
      <c r="G1042" s="4"/>
      <c r="H1042" s="4"/>
      <c r="I1042" s="4"/>
      <c r="J1042" s="7"/>
      <c r="K1042" s="4"/>
      <c r="L1042" s="4"/>
      <c r="M1042" s="4"/>
      <c r="N1042" s="4"/>
      <c r="O1042" s="4"/>
      <c r="P1042" s="4"/>
      <c r="Q1042" s="4"/>
    </row>
    <row r="1043" spans="4:17" x14ac:dyDescent="0.25">
      <c r="D1043" s="4"/>
      <c r="E1043" s="4"/>
      <c r="F1043" s="4"/>
      <c r="G1043" s="4"/>
      <c r="H1043" s="4"/>
      <c r="I1043" s="4"/>
      <c r="J1043" s="7"/>
      <c r="K1043" s="4"/>
      <c r="L1043" s="4"/>
      <c r="M1043" s="4"/>
      <c r="N1043" s="4"/>
      <c r="O1043" s="4"/>
      <c r="P1043" s="4"/>
      <c r="Q1043" s="4"/>
    </row>
    <row r="1044" spans="4:17" x14ac:dyDescent="0.25">
      <c r="D1044" s="4"/>
      <c r="E1044" s="4"/>
      <c r="F1044" s="4"/>
      <c r="G1044" s="4"/>
      <c r="H1044" s="4"/>
      <c r="I1044" s="4"/>
      <c r="J1044" s="7"/>
      <c r="K1044" s="4"/>
      <c r="L1044" s="4"/>
      <c r="M1044" s="4"/>
      <c r="N1044" s="4"/>
      <c r="O1044" s="4"/>
      <c r="P1044" s="4"/>
      <c r="Q1044" s="4"/>
    </row>
    <row r="1045" spans="4:17" x14ac:dyDescent="0.25">
      <c r="D1045" s="4"/>
      <c r="E1045" s="4"/>
      <c r="F1045" s="4"/>
      <c r="G1045" s="4"/>
      <c r="H1045" s="4"/>
      <c r="I1045" s="4"/>
      <c r="J1045" s="7"/>
      <c r="K1045" s="4"/>
      <c r="L1045" s="4"/>
      <c r="M1045" s="4"/>
      <c r="N1045" s="4"/>
      <c r="O1045" s="4"/>
      <c r="P1045" s="4"/>
      <c r="Q1045" s="4"/>
    </row>
    <row r="1046" spans="4:17" x14ac:dyDescent="0.25">
      <c r="D1046" s="4"/>
      <c r="E1046" s="4"/>
      <c r="F1046" s="4"/>
      <c r="G1046" s="4"/>
      <c r="H1046" s="4"/>
      <c r="I1046" s="4"/>
      <c r="J1046" s="7"/>
      <c r="K1046" s="4"/>
      <c r="L1046" s="4"/>
      <c r="M1046" s="4"/>
      <c r="N1046" s="4"/>
      <c r="O1046" s="4"/>
      <c r="P1046" s="4"/>
      <c r="Q1046" s="4"/>
    </row>
    <row r="1047" spans="4:17" x14ac:dyDescent="0.25">
      <c r="D1047" s="4"/>
      <c r="E1047" s="4"/>
      <c r="F1047" s="4"/>
      <c r="G1047" s="4"/>
      <c r="H1047" s="4"/>
      <c r="I1047" s="4"/>
      <c r="J1047" s="7"/>
      <c r="K1047" s="4"/>
      <c r="L1047" s="4"/>
      <c r="M1047" s="4"/>
      <c r="N1047" s="4"/>
      <c r="O1047" s="4"/>
      <c r="P1047" s="4"/>
      <c r="Q1047" s="4"/>
    </row>
    <row r="1048" spans="4:17" x14ac:dyDescent="0.25">
      <c r="D1048" s="4"/>
      <c r="E1048" s="4"/>
      <c r="F1048" s="4"/>
      <c r="G1048" s="4"/>
      <c r="H1048" s="4"/>
      <c r="I1048" s="4"/>
      <c r="J1048" s="7"/>
      <c r="K1048" s="4"/>
      <c r="L1048" s="4"/>
      <c r="M1048" s="4"/>
      <c r="N1048" s="4"/>
      <c r="O1048" s="4"/>
      <c r="P1048" s="4"/>
      <c r="Q1048" s="4"/>
    </row>
    <row r="1049" spans="4:17" x14ac:dyDescent="0.25">
      <c r="D1049" s="4"/>
      <c r="E1049" s="4"/>
      <c r="F1049" s="4"/>
      <c r="G1049" s="4"/>
      <c r="H1049" s="4"/>
      <c r="I1049" s="4"/>
      <c r="J1049" s="7"/>
      <c r="K1049" s="4"/>
      <c r="L1049" s="4"/>
      <c r="M1049" s="4"/>
      <c r="N1049" s="4"/>
      <c r="O1049" s="4"/>
      <c r="P1049" s="4"/>
      <c r="Q1049" s="4"/>
    </row>
    <row r="1050" spans="4:17" x14ac:dyDescent="0.25">
      <c r="D1050" s="4"/>
      <c r="E1050" s="4"/>
      <c r="F1050" s="4"/>
      <c r="G1050" s="4"/>
      <c r="H1050" s="4"/>
      <c r="I1050" s="4"/>
      <c r="J1050" s="7"/>
      <c r="K1050" s="4"/>
      <c r="L1050" s="4"/>
      <c r="M1050" s="4"/>
      <c r="N1050" s="4"/>
      <c r="O1050" s="4"/>
      <c r="P1050" s="4"/>
      <c r="Q1050" s="4"/>
    </row>
    <row r="1051" spans="4:17" x14ac:dyDescent="0.25">
      <c r="D1051" s="4"/>
      <c r="E1051" s="4"/>
      <c r="F1051" s="4"/>
      <c r="G1051" s="4"/>
      <c r="H1051" s="4"/>
      <c r="I1051" s="4"/>
      <c r="J1051" s="7"/>
      <c r="K1051" s="4"/>
      <c r="L1051" s="4"/>
      <c r="M1051" s="4"/>
      <c r="N1051" s="4"/>
      <c r="O1051" s="4"/>
      <c r="P1051" s="4"/>
      <c r="Q1051" s="4"/>
    </row>
    <row r="1052" spans="4:17" x14ac:dyDescent="0.25">
      <c r="D1052" s="4"/>
      <c r="E1052" s="4"/>
      <c r="F1052" s="4"/>
      <c r="G1052" s="4"/>
      <c r="H1052" s="4"/>
      <c r="I1052" s="4"/>
      <c r="J1052" s="7"/>
      <c r="K1052" s="4"/>
      <c r="L1052" s="4"/>
      <c r="M1052" s="4"/>
      <c r="N1052" s="4"/>
      <c r="O1052" s="4"/>
      <c r="P1052" s="4"/>
      <c r="Q1052" s="4"/>
    </row>
    <row r="1053" spans="4:17" x14ac:dyDescent="0.25">
      <c r="D1053" s="4"/>
      <c r="E1053" s="4"/>
      <c r="F1053" s="4"/>
      <c r="G1053" s="4"/>
      <c r="H1053" s="4"/>
      <c r="I1053" s="4"/>
      <c r="J1053" s="7"/>
      <c r="K1053" s="4"/>
      <c r="L1053" s="4"/>
      <c r="M1053" s="4"/>
      <c r="N1053" s="4"/>
      <c r="O1053" s="4"/>
      <c r="P1053" s="4"/>
      <c r="Q1053" s="4"/>
    </row>
    <row r="1054" spans="4:17" x14ac:dyDescent="0.25">
      <c r="D1054" s="4"/>
      <c r="E1054" s="4"/>
      <c r="F1054" s="4"/>
      <c r="G1054" s="4"/>
      <c r="H1054" s="4"/>
      <c r="I1054" s="4"/>
      <c r="J1054" s="7"/>
      <c r="K1054" s="4"/>
      <c r="L1054" s="4"/>
      <c r="M1054" s="4"/>
      <c r="N1054" s="4"/>
      <c r="O1054" s="4"/>
      <c r="P1054" s="4"/>
      <c r="Q1054" s="4"/>
    </row>
    <row r="1055" spans="4:17" x14ac:dyDescent="0.25">
      <c r="D1055" s="4"/>
      <c r="E1055" s="4"/>
      <c r="F1055" s="4"/>
      <c r="G1055" s="4"/>
      <c r="H1055" s="4"/>
      <c r="I1055" s="4"/>
      <c r="J1055" s="7"/>
      <c r="K1055" s="4"/>
      <c r="L1055" s="4"/>
      <c r="M1055" s="4"/>
      <c r="N1055" s="4"/>
      <c r="O1055" s="4"/>
      <c r="P1055" s="4"/>
      <c r="Q1055" s="4"/>
    </row>
    <row r="1056" spans="4:17" x14ac:dyDescent="0.25">
      <c r="D1056" s="4"/>
      <c r="E1056" s="4"/>
      <c r="F1056" s="4"/>
      <c r="G1056" s="4"/>
      <c r="H1056" s="4"/>
      <c r="I1056" s="4"/>
      <c r="J1056" s="7"/>
      <c r="K1056" s="4"/>
      <c r="L1056" s="4"/>
      <c r="M1056" s="4"/>
      <c r="N1056" s="4"/>
      <c r="O1056" s="4"/>
      <c r="P1056" s="4"/>
      <c r="Q1056" s="4"/>
    </row>
    <row r="1057" spans="4:17" x14ac:dyDescent="0.25">
      <c r="D1057" s="4"/>
      <c r="E1057" s="4"/>
      <c r="F1057" s="4"/>
      <c r="G1057" s="4"/>
      <c r="H1057" s="4"/>
      <c r="I1057" s="4"/>
      <c r="J1057" s="7"/>
      <c r="K1057" s="4"/>
      <c r="L1057" s="4"/>
      <c r="M1057" s="4"/>
      <c r="N1057" s="4"/>
      <c r="O1057" s="4"/>
      <c r="P1057" s="4"/>
      <c r="Q1057" s="4"/>
    </row>
    <row r="1058" spans="4:17" x14ac:dyDescent="0.25">
      <c r="D1058" s="4"/>
      <c r="E1058" s="4"/>
      <c r="F1058" s="4"/>
      <c r="G1058" s="4"/>
      <c r="H1058" s="4"/>
      <c r="I1058" s="4"/>
      <c r="J1058" s="7"/>
      <c r="K1058" s="4"/>
      <c r="L1058" s="4"/>
      <c r="M1058" s="4"/>
      <c r="N1058" s="4"/>
      <c r="O1058" s="4"/>
      <c r="P1058" s="4"/>
      <c r="Q1058" s="4"/>
    </row>
    <row r="1059" spans="4:17" x14ac:dyDescent="0.25">
      <c r="D1059" s="4"/>
      <c r="E1059" s="4"/>
      <c r="F1059" s="4"/>
      <c r="G1059" s="4"/>
      <c r="H1059" s="4"/>
      <c r="I1059" s="4"/>
      <c r="J1059" s="7"/>
      <c r="K1059" s="4"/>
      <c r="L1059" s="4"/>
      <c r="M1059" s="4"/>
      <c r="N1059" s="4"/>
      <c r="O1059" s="4"/>
      <c r="P1059" s="4"/>
      <c r="Q1059" s="4"/>
    </row>
    <row r="1060" spans="4:17" x14ac:dyDescent="0.25">
      <c r="D1060" s="4"/>
      <c r="E1060" s="4"/>
      <c r="F1060" s="4"/>
      <c r="G1060" s="4"/>
      <c r="H1060" s="4"/>
      <c r="I1060" s="4"/>
      <c r="J1060" s="7"/>
      <c r="K1060" s="4"/>
      <c r="L1060" s="4"/>
      <c r="M1060" s="4"/>
      <c r="N1060" s="4"/>
      <c r="O1060" s="4"/>
      <c r="P1060" s="4"/>
      <c r="Q1060" s="4"/>
    </row>
    <row r="1061" spans="4:17" x14ac:dyDescent="0.25">
      <c r="D1061" s="4"/>
      <c r="E1061" s="4"/>
      <c r="F1061" s="4"/>
      <c r="G1061" s="4"/>
      <c r="H1061" s="4"/>
      <c r="I1061" s="4"/>
      <c r="J1061" s="7"/>
      <c r="K1061" s="4"/>
      <c r="L1061" s="4"/>
      <c r="M1061" s="4"/>
      <c r="N1061" s="4"/>
      <c r="O1061" s="4"/>
      <c r="P1061" s="4"/>
      <c r="Q1061" s="4"/>
    </row>
    <row r="1062" spans="4:17" x14ac:dyDescent="0.25">
      <c r="D1062" s="4"/>
      <c r="E1062" s="4"/>
      <c r="F1062" s="4"/>
      <c r="G1062" s="4"/>
      <c r="H1062" s="4"/>
      <c r="I1062" s="4"/>
      <c r="J1062" s="7"/>
      <c r="K1062" s="4"/>
      <c r="L1062" s="4"/>
      <c r="M1062" s="4"/>
      <c r="N1062" s="4"/>
      <c r="O1062" s="4"/>
      <c r="P1062" s="4"/>
      <c r="Q1062" s="4"/>
    </row>
    <row r="1063" spans="4:17" x14ac:dyDescent="0.25">
      <c r="D1063" s="4"/>
      <c r="E1063" s="4"/>
      <c r="F1063" s="4"/>
      <c r="G1063" s="4"/>
      <c r="H1063" s="4"/>
      <c r="I1063" s="4"/>
      <c r="J1063" s="7"/>
      <c r="K1063" s="4"/>
      <c r="L1063" s="4"/>
      <c r="M1063" s="4"/>
      <c r="N1063" s="4"/>
      <c r="O1063" s="4"/>
      <c r="P1063" s="4"/>
      <c r="Q1063" s="4"/>
    </row>
    <row r="1064" spans="4:17" x14ac:dyDescent="0.25">
      <c r="D1064" s="4"/>
      <c r="E1064" s="4"/>
      <c r="F1064" s="4"/>
      <c r="G1064" s="4"/>
      <c r="H1064" s="4"/>
      <c r="I1064" s="4"/>
      <c r="J1064" s="7"/>
      <c r="K1064" s="4"/>
      <c r="L1064" s="4"/>
      <c r="M1064" s="4"/>
      <c r="N1064" s="4"/>
      <c r="O1064" s="4"/>
      <c r="P1064" s="4"/>
      <c r="Q1064" s="4"/>
    </row>
    <row r="1065" spans="4:17" x14ac:dyDescent="0.25">
      <c r="D1065" s="4"/>
      <c r="E1065" s="4"/>
      <c r="F1065" s="4"/>
      <c r="G1065" s="4"/>
      <c r="H1065" s="4"/>
      <c r="I1065" s="4"/>
      <c r="J1065" s="7"/>
      <c r="K1065" s="4"/>
      <c r="L1065" s="4"/>
      <c r="M1065" s="4"/>
      <c r="N1065" s="4"/>
      <c r="O1065" s="4"/>
      <c r="P1065" s="4"/>
      <c r="Q1065" s="4"/>
    </row>
    <row r="1066" spans="4:17" x14ac:dyDescent="0.25">
      <c r="D1066" s="4"/>
      <c r="E1066" s="4"/>
      <c r="F1066" s="4"/>
      <c r="G1066" s="4"/>
      <c r="H1066" s="4"/>
      <c r="I1066" s="4"/>
      <c r="J1066" s="7"/>
      <c r="K1066" s="4"/>
      <c r="L1066" s="4"/>
      <c r="M1066" s="4"/>
      <c r="N1066" s="4"/>
      <c r="O1066" s="4"/>
      <c r="P1066" s="4"/>
      <c r="Q1066" s="4"/>
    </row>
    <row r="1067" spans="4:17" x14ac:dyDescent="0.25">
      <c r="D1067" s="4"/>
      <c r="E1067" s="4"/>
      <c r="F1067" s="4"/>
      <c r="G1067" s="4"/>
      <c r="H1067" s="4"/>
      <c r="I1067" s="4"/>
      <c r="J1067" s="7"/>
      <c r="K1067" s="4"/>
      <c r="L1067" s="4"/>
      <c r="M1067" s="4"/>
      <c r="N1067" s="4"/>
      <c r="O1067" s="4"/>
      <c r="P1067" s="4"/>
      <c r="Q1067" s="4"/>
    </row>
    <row r="1068" spans="4:17" x14ac:dyDescent="0.25">
      <c r="D1068" s="4"/>
      <c r="E1068" s="4"/>
      <c r="F1068" s="4"/>
      <c r="G1068" s="4"/>
      <c r="H1068" s="4"/>
      <c r="I1068" s="4"/>
      <c r="J1068" s="7"/>
      <c r="K1068" s="4"/>
      <c r="L1068" s="4"/>
      <c r="M1068" s="4"/>
      <c r="N1068" s="4"/>
      <c r="O1068" s="4"/>
      <c r="P1068" s="4"/>
      <c r="Q1068" s="4"/>
    </row>
    <row r="1069" spans="4:17" x14ac:dyDescent="0.25">
      <c r="D1069" s="4"/>
      <c r="E1069" s="4"/>
      <c r="F1069" s="4"/>
      <c r="G1069" s="4"/>
      <c r="H1069" s="4"/>
      <c r="I1069" s="4"/>
      <c r="J1069" s="7"/>
      <c r="K1069" s="4"/>
      <c r="L1069" s="4"/>
      <c r="M1069" s="4"/>
      <c r="N1069" s="4"/>
      <c r="O1069" s="4"/>
      <c r="P1069" s="4"/>
      <c r="Q1069" s="4"/>
    </row>
    <row r="1070" spans="4:17" x14ac:dyDescent="0.25">
      <c r="D1070" s="4"/>
      <c r="E1070" s="4"/>
      <c r="F1070" s="4"/>
      <c r="G1070" s="4"/>
      <c r="H1070" s="4"/>
      <c r="I1070" s="4"/>
      <c r="J1070" s="7"/>
      <c r="K1070" s="4"/>
      <c r="L1070" s="4"/>
      <c r="M1070" s="4"/>
      <c r="N1070" s="4"/>
      <c r="O1070" s="4"/>
      <c r="P1070" s="4"/>
      <c r="Q1070" s="4"/>
    </row>
    <row r="1071" spans="4:17" x14ac:dyDescent="0.25">
      <c r="D1071" s="4"/>
      <c r="E1071" s="4"/>
      <c r="F1071" s="4"/>
      <c r="G1071" s="4"/>
      <c r="H1071" s="4"/>
      <c r="I1071" s="4"/>
      <c r="J1071" s="7"/>
      <c r="K1071" s="4"/>
      <c r="L1071" s="4"/>
      <c r="M1071" s="4"/>
      <c r="N1071" s="4"/>
      <c r="O1071" s="4"/>
      <c r="P1071" s="4"/>
      <c r="Q1071" s="4"/>
    </row>
    <row r="1072" spans="4:17" x14ac:dyDescent="0.25">
      <c r="D1072" s="4"/>
      <c r="E1072" s="4"/>
      <c r="F1072" s="4"/>
      <c r="G1072" s="4"/>
      <c r="H1072" s="4"/>
      <c r="I1072" s="4"/>
      <c r="J1072" s="7"/>
      <c r="K1072" s="4"/>
      <c r="L1072" s="4"/>
      <c r="M1072" s="4"/>
      <c r="N1072" s="4"/>
      <c r="O1072" s="4"/>
      <c r="P1072" s="4"/>
      <c r="Q1072" s="4"/>
    </row>
    <row r="1073" spans="4:17" x14ac:dyDescent="0.25">
      <c r="D1073" s="4"/>
      <c r="E1073" s="4"/>
      <c r="F1073" s="4"/>
      <c r="G1073" s="4"/>
      <c r="H1073" s="4"/>
      <c r="I1073" s="4"/>
      <c r="J1073" s="7"/>
      <c r="K1073" s="4"/>
      <c r="L1073" s="4"/>
      <c r="M1073" s="4"/>
      <c r="N1073" s="4"/>
      <c r="O1073" s="4"/>
      <c r="P1073" s="4"/>
      <c r="Q1073" s="4"/>
    </row>
    <row r="1074" spans="4:17" x14ac:dyDescent="0.25">
      <c r="D1074" s="4"/>
      <c r="E1074" s="4"/>
      <c r="F1074" s="4"/>
      <c r="G1074" s="4"/>
      <c r="H1074" s="4"/>
      <c r="I1074" s="4"/>
      <c r="J1074" s="7"/>
      <c r="K1074" s="4"/>
      <c r="L1074" s="4"/>
      <c r="M1074" s="4"/>
      <c r="N1074" s="4"/>
      <c r="O1074" s="4"/>
      <c r="P1074" s="4"/>
      <c r="Q1074" s="4"/>
    </row>
    <row r="1075" spans="4:17" x14ac:dyDescent="0.25">
      <c r="D1075" s="4"/>
      <c r="E1075" s="4"/>
      <c r="F1075" s="4"/>
      <c r="G1075" s="4"/>
      <c r="H1075" s="4"/>
      <c r="I1075" s="4"/>
      <c r="J1075" s="7"/>
      <c r="K1075" s="4"/>
      <c r="L1075" s="4"/>
      <c r="M1075" s="4"/>
      <c r="N1075" s="4"/>
      <c r="O1075" s="4"/>
      <c r="P1075" s="4"/>
      <c r="Q1075" s="4"/>
    </row>
    <row r="1076" spans="4:17" x14ac:dyDescent="0.25">
      <c r="D1076" s="4"/>
      <c r="E1076" s="4"/>
      <c r="F1076" s="4"/>
      <c r="G1076" s="4"/>
      <c r="H1076" s="4"/>
      <c r="I1076" s="4"/>
      <c r="J1076" s="7"/>
      <c r="K1076" s="4"/>
      <c r="L1076" s="4"/>
      <c r="M1076" s="4"/>
      <c r="N1076" s="4"/>
      <c r="O1076" s="4"/>
      <c r="P1076" s="4"/>
      <c r="Q1076" s="4"/>
    </row>
    <row r="1077" spans="4:17" x14ac:dyDescent="0.25">
      <c r="D1077" s="4"/>
      <c r="E1077" s="4"/>
      <c r="F1077" s="4"/>
      <c r="G1077" s="4"/>
      <c r="H1077" s="4"/>
      <c r="I1077" s="4"/>
      <c r="J1077" s="7"/>
      <c r="K1077" s="4"/>
      <c r="L1077" s="4"/>
      <c r="M1077" s="4"/>
      <c r="N1077" s="4"/>
      <c r="O1077" s="4"/>
      <c r="P1077" s="4"/>
      <c r="Q1077" s="4"/>
    </row>
    <row r="1078" spans="4:17" x14ac:dyDescent="0.25">
      <c r="D1078" s="4"/>
      <c r="E1078" s="4"/>
      <c r="F1078" s="4"/>
      <c r="G1078" s="4"/>
      <c r="H1078" s="4"/>
      <c r="I1078" s="4"/>
      <c r="J1078" s="7"/>
      <c r="K1078" s="4"/>
      <c r="L1078" s="4"/>
      <c r="M1078" s="4"/>
      <c r="N1078" s="4"/>
      <c r="O1078" s="4"/>
      <c r="P1078" s="4"/>
      <c r="Q1078" s="4"/>
    </row>
    <row r="1079" spans="4:17" x14ac:dyDescent="0.25">
      <c r="D1079" s="4"/>
      <c r="E1079" s="4"/>
      <c r="F1079" s="4"/>
      <c r="G1079" s="4"/>
      <c r="H1079" s="4"/>
      <c r="I1079" s="4"/>
      <c r="J1079" s="7"/>
      <c r="K1079" s="4"/>
      <c r="L1079" s="4"/>
      <c r="M1079" s="4"/>
      <c r="N1079" s="4"/>
      <c r="O1079" s="4"/>
      <c r="P1079" s="4"/>
      <c r="Q1079" s="4"/>
    </row>
    <row r="1080" spans="4:17" x14ac:dyDescent="0.25">
      <c r="D1080" s="4"/>
      <c r="E1080" s="4"/>
      <c r="F1080" s="4"/>
      <c r="G1080" s="4"/>
      <c r="H1080" s="4"/>
      <c r="I1080" s="4"/>
      <c r="J1080" s="7"/>
      <c r="K1080" s="4"/>
      <c r="L1080" s="4"/>
      <c r="M1080" s="4"/>
      <c r="N1080" s="4"/>
      <c r="O1080" s="4"/>
      <c r="P1080" s="4"/>
      <c r="Q1080" s="4"/>
    </row>
    <row r="1081" spans="4:17" x14ac:dyDescent="0.25">
      <c r="D1081" s="4"/>
      <c r="E1081" s="4"/>
      <c r="F1081" s="4"/>
      <c r="G1081" s="4"/>
      <c r="H1081" s="4"/>
      <c r="I1081" s="4"/>
      <c r="J1081" s="7"/>
      <c r="K1081" s="4"/>
      <c r="L1081" s="4"/>
      <c r="M1081" s="4"/>
      <c r="N1081" s="4"/>
      <c r="O1081" s="4"/>
      <c r="P1081" s="4"/>
      <c r="Q1081" s="4"/>
    </row>
    <row r="1082" spans="4:17" x14ac:dyDescent="0.25">
      <c r="D1082" s="4"/>
      <c r="E1082" s="4"/>
      <c r="F1082" s="4"/>
      <c r="G1082" s="4"/>
      <c r="H1082" s="4"/>
      <c r="I1082" s="4"/>
      <c r="J1082" s="7"/>
      <c r="K1082" s="4"/>
      <c r="L1082" s="4"/>
      <c r="M1082" s="4"/>
      <c r="N1082" s="4"/>
      <c r="O1082" s="4"/>
      <c r="P1082" s="4"/>
      <c r="Q1082" s="4"/>
    </row>
    <row r="1083" spans="4:17" x14ac:dyDescent="0.25">
      <c r="D1083" s="4"/>
      <c r="E1083" s="4"/>
      <c r="F1083" s="4"/>
      <c r="G1083" s="4"/>
      <c r="H1083" s="4"/>
      <c r="I1083" s="4"/>
      <c r="J1083" s="7"/>
      <c r="K1083" s="4"/>
      <c r="L1083" s="4"/>
      <c r="M1083" s="4"/>
      <c r="N1083" s="4"/>
      <c r="O1083" s="4"/>
      <c r="P1083" s="4"/>
      <c r="Q1083" s="4"/>
    </row>
    <row r="1084" spans="4:17" x14ac:dyDescent="0.25">
      <c r="D1084" s="4"/>
      <c r="E1084" s="4"/>
      <c r="F1084" s="4"/>
      <c r="G1084" s="4"/>
      <c r="H1084" s="4"/>
      <c r="I1084" s="4"/>
      <c r="J1084" s="7"/>
      <c r="K1084" s="4"/>
      <c r="L1084" s="4"/>
      <c r="M1084" s="4"/>
      <c r="N1084" s="4"/>
      <c r="O1084" s="4"/>
      <c r="P1084" s="4"/>
      <c r="Q1084" s="4"/>
    </row>
    <row r="1085" spans="4:17" x14ac:dyDescent="0.25">
      <c r="D1085" s="4"/>
      <c r="E1085" s="4"/>
      <c r="F1085" s="4"/>
      <c r="G1085" s="4"/>
      <c r="H1085" s="4"/>
      <c r="I1085" s="4"/>
      <c r="J1085" s="7"/>
      <c r="K1085" s="4"/>
      <c r="L1085" s="4"/>
      <c r="M1085" s="4"/>
      <c r="N1085" s="4"/>
      <c r="O1085" s="4"/>
      <c r="P1085" s="4"/>
      <c r="Q1085" s="4"/>
    </row>
    <row r="1086" spans="4:17" x14ac:dyDescent="0.25">
      <c r="D1086" s="4"/>
      <c r="E1086" s="4"/>
      <c r="F1086" s="4"/>
      <c r="G1086" s="4"/>
      <c r="H1086" s="4"/>
      <c r="I1086" s="4"/>
      <c r="J1086" s="7"/>
      <c r="K1086" s="4"/>
      <c r="L1086" s="4"/>
      <c r="M1086" s="4"/>
      <c r="N1086" s="4"/>
      <c r="O1086" s="4"/>
      <c r="P1086" s="4"/>
      <c r="Q1086" s="4"/>
    </row>
    <row r="1087" spans="4:17" x14ac:dyDescent="0.25">
      <c r="D1087" s="4"/>
      <c r="E1087" s="4"/>
      <c r="F1087" s="4"/>
      <c r="G1087" s="4"/>
      <c r="H1087" s="4"/>
      <c r="I1087" s="4"/>
      <c r="J1087" s="7"/>
      <c r="K1087" s="4"/>
      <c r="L1087" s="4"/>
      <c r="M1087" s="4"/>
      <c r="N1087" s="4"/>
      <c r="O1087" s="4"/>
      <c r="P1087" s="4"/>
      <c r="Q1087" s="4"/>
    </row>
    <row r="1088" spans="4:17" x14ac:dyDescent="0.25">
      <c r="D1088" s="4"/>
      <c r="E1088" s="4"/>
      <c r="F1088" s="4"/>
      <c r="G1088" s="4"/>
      <c r="H1088" s="4"/>
      <c r="I1088" s="4"/>
      <c r="J1088" s="7"/>
      <c r="K1088" s="4"/>
      <c r="L1088" s="4"/>
      <c r="M1088" s="4"/>
      <c r="N1088" s="4"/>
      <c r="O1088" s="4"/>
      <c r="P1088" s="4"/>
      <c r="Q1088" s="4"/>
    </row>
    <row r="1089" spans="4:17" x14ac:dyDescent="0.25">
      <c r="D1089" s="4"/>
      <c r="E1089" s="4"/>
      <c r="F1089" s="4"/>
      <c r="G1089" s="4"/>
      <c r="H1089" s="4"/>
      <c r="I1089" s="4"/>
      <c r="J1089" s="7"/>
      <c r="K1089" s="4"/>
      <c r="L1089" s="4"/>
      <c r="M1089" s="4"/>
      <c r="N1089" s="4"/>
      <c r="O1089" s="4"/>
      <c r="P1089" s="4"/>
      <c r="Q1089" s="4"/>
    </row>
    <row r="1090" spans="4:17" x14ac:dyDescent="0.25">
      <c r="D1090" s="4"/>
      <c r="E1090" s="4"/>
      <c r="F1090" s="4"/>
      <c r="G1090" s="4"/>
      <c r="H1090" s="4"/>
      <c r="I1090" s="4"/>
      <c r="J1090" s="7"/>
      <c r="K1090" s="4"/>
      <c r="L1090" s="4"/>
      <c r="M1090" s="4"/>
      <c r="N1090" s="4"/>
      <c r="O1090" s="4"/>
      <c r="P1090" s="4"/>
      <c r="Q1090" s="4"/>
    </row>
    <row r="1091" spans="4:17" x14ac:dyDescent="0.25">
      <c r="D1091" s="4"/>
      <c r="E1091" s="4"/>
      <c r="F1091" s="4"/>
      <c r="G1091" s="4"/>
      <c r="H1091" s="4"/>
      <c r="I1091" s="4"/>
      <c r="J1091" s="7"/>
      <c r="K1091" s="4"/>
      <c r="L1091" s="4"/>
      <c r="M1091" s="4"/>
      <c r="N1091" s="4"/>
      <c r="O1091" s="4"/>
      <c r="P1091" s="4"/>
      <c r="Q1091" s="4"/>
    </row>
    <row r="1092" spans="4:17" x14ac:dyDescent="0.25">
      <c r="D1092" s="4"/>
      <c r="E1092" s="4"/>
      <c r="F1092" s="4"/>
      <c r="G1092" s="4"/>
      <c r="H1092" s="4"/>
      <c r="I1092" s="4"/>
      <c r="J1092" s="7"/>
      <c r="K1092" s="4"/>
      <c r="L1092" s="4"/>
      <c r="M1092" s="4"/>
      <c r="N1092" s="4"/>
      <c r="O1092" s="4"/>
      <c r="P1092" s="4"/>
      <c r="Q1092" s="4"/>
    </row>
    <row r="1093" spans="4:17" x14ac:dyDescent="0.25">
      <c r="D1093" s="4"/>
      <c r="E1093" s="4"/>
      <c r="F1093" s="4"/>
      <c r="G1093" s="4"/>
      <c r="H1093" s="4"/>
      <c r="I1093" s="4"/>
      <c r="J1093" s="7"/>
      <c r="K1093" s="4"/>
      <c r="L1093" s="4"/>
      <c r="M1093" s="4"/>
      <c r="N1093" s="4"/>
      <c r="O1093" s="4"/>
      <c r="P1093" s="4"/>
      <c r="Q1093" s="4"/>
    </row>
    <row r="1094" spans="4:17" x14ac:dyDescent="0.25">
      <c r="D1094" s="4"/>
      <c r="E1094" s="4"/>
      <c r="F1094" s="4"/>
      <c r="G1094" s="4"/>
      <c r="H1094" s="4"/>
      <c r="I1094" s="4"/>
      <c r="J1094" s="7"/>
      <c r="K1094" s="4"/>
      <c r="L1094" s="4"/>
      <c r="M1094" s="4"/>
      <c r="N1094" s="4"/>
      <c r="O1094" s="4"/>
      <c r="P1094" s="4"/>
      <c r="Q1094" s="4"/>
    </row>
    <row r="1095" spans="4:17" x14ac:dyDescent="0.25">
      <c r="D1095" s="4"/>
      <c r="E1095" s="4"/>
      <c r="F1095" s="4"/>
      <c r="G1095" s="4"/>
      <c r="H1095" s="4"/>
      <c r="I1095" s="4"/>
      <c r="J1095" s="7"/>
      <c r="K1095" s="4"/>
      <c r="L1095" s="4"/>
      <c r="M1095" s="4"/>
      <c r="N1095" s="4"/>
      <c r="O1095" s="4"/>
      <c r="P1095" s="4"/>
      <c r="Q1095" s="4"/>
    </row>
    <row r="1096" spans="4:17" x14ac:dyDescent="0.25">
      <c r="D1096" s="4"/>
      <c r="E1096" s="4"/>
      <c r="F1096" s="4"/>
      <c r="G1096" s="4"/>
      <c r="H1096" s="4"/>
      <c r="I1096" s="4"/>
      <c r="J1096" s="7"/>
      <c r="K1096" s="4"/>
      <c r="L1096" s="4"/>
      <c r="M1096" s="4"/>
      <c r="N1096" s="4"/>
      <c r="O1096" s="4"/>
      <c r="P1096" s="4"/>
      <c r="Q1096" s="4"/>
    </row>
    <row r="1097" spans="4:17" x14ac:dyDescent="0.25">
      <c r="D1097" s="4"/>
      <c r="E1097" s="4"/>
      <c r="F1097" s="4"/>
      <c r="G1097" s="4"/>
      <c r="H1097" s="4"/>
      <c r="I1097" s="4"/>
      <c r="J1097" s="7"/>
      <c r="K1097" s="4"/>
      <c r="L1097" s="4"/>
      <c r="M1097" s="4"/>
      <c r="N1097" s="4"/>
      <c r="O1097" s="4"/>
      <c r="P1097" s="4"/>
      <c r="Q1097" s="4"/>
    </row>
    <row r="1098" spans="4:17" x14ac:dyDescent="0.25">
      <c r="D1098" s="4"/>
      <c r="E1098" s="4"/>
      <c r="F1098" s="4"/>
      <c r="G1098" s="4"/>
      <c r="H1098" s="4"/>
      <c r="I1098" s="4"/>
      <c r="J1098" s="7"/>
      <c r="K1098" s="4"/>
      <c r="L1098" s="4"/>
      <c r="M1098" s="4"/>
      <c r="N1098" s="4"/>
      <c r="O1098" s="4"/>
      <c r="P1098" s="4"/>
      <c r="Q1098" s="4"/>
    </row>
    <row r="1099" spans="4:17" x14ac:dyDescent="0.25">
      <c r="D1099" s="4"/>
      <c r="E1099" s="4"/>
      <c r="F1099" s="4"/>
      <c r="G1099" s="4"/>
      <c r="H1099" s="4"/>
      <c r="I1099" s="4"/>
      <c r="J1099" s="7"/>
      <c r="K1099" s="4"/>
      <c r="L1099" s="4"/>
      <c r="M1099" s="4"/>
      <c r="N1099" s="4"/>
      <c r="O1099" s="4"/>
      <c r="P1099" s="4"/>
      <c r="Q1099" s="4"/>
    </row>
    <row r="1100" spans="4:17" x14ac:dyDescent="0.25">
      <c r="D1100" s="4"/>
      <c r="E1100" s="4"/>
      <c r="F1100" s="4"/>
      <c r="G1100" s="4"/>
      <c r="H1100" s="4"/>
      <c r="I1100" s="4"/>
      <c r="J1100" s="7"/>
      <c r="K1100" s="4"/>
      <c r="L1100" s="4"/>
      <c r="M1100" s="4"/>
      <c r="N1100" s="4"/>
      <c r="O1100" s="4"/>
      <c r="P1100" s="4"/>
      <c r="Q1100" s="4"/>
    </row>
    <row r="1101" spans="4:17" x14ac:dyDescent="0.25">
      <c r="D1101" s="4"/>
      <c r="E1101" s="4"/>
      <c r="F1101" s="4"/>
      <c r="G1101" s="4"/>
      <c r="H1101" s="4"/>
      <c r="I1101" s="4"/>
      <c r="J1101" s="7"/>
      <c r="K1101" s="4"/>
      <c r="L1101" s="4"/>
      <c r="M1101" s="4"/>
      <c r="N1101" s="4"/>
      <c r="O1101" s="4"/>
      <c r="P1101" s="4"/>
      <c r="Q1101" s="4"/>
    </row>
    <row r="1102" spans="4:17" x14ac:dyDescent="0.25">
      <c r="D1102" s="4"/>
      <c r="E1102" s="4"/>
      <c r="F1102" s="4"/>
      <c r="G1102" s="4"/>
      <c r="H1102" s="4"/>
      <c r="I1102" s="4"/>
      <c r="J1102" s="7"/>
      <c r="K1102" s="4"/>
      <c r="L1102" s="4"/>
      <c r="M1102" s="4"/>
      <c r="N1102" s="4"/>
      <c r="O1102" s="4"/>
      <c r="P1102" s="4"/>
      <c r="Q1102" s="4"/>
    </row>
    <row r="1103" spans="4:17" x14ac:dyDescent="0.25">
      <c r="D1103" s="4"/>
      <c r="E1103" s="4"/>
      <c r="F1103" s="4"/>
      <c r="G1103" s="4"/>
      <c r="H1103" s="4"/>
      <c r="I1103" s="4"/>
      <c r="J1103" s="7"/>
      <c r="K1103" s="4"/>
      <c r="L1103" s="4"/>
      <c r="M1103" s="4"/>
      <c r="N1103" s="4"/>
      <c r="O1103" s="4"/>
      <c r="P1103" s="4"/>
      <c r="Q1103" s="4"/>
    </row>
    <row r="1104" spans="4:17" x14ac:dyDescent="0.25">
      <c r="D1104" s="4"/>
      <c r="E1104" s="4"/>
      <c r="F1104" s="4"/>
      <c r="G1104" s="4"/>
      <c r="H1104" s="4"/>
      <c r="I1104" s="4"/>
      <c r="J1104" s="7"/>
      <c r="K1104" s="4"/>
      <c r="L1104" s="4"/>
      <c r="M1104" s="4"/>
      <c r="N1104" s="4"/>
      <c r="O1104" s="4"/>
      <c r="P1104" s="4"/>
      <c r="Q1104" s="4"/>
    </row>
    <row r="1105" spans="4:17" x14ac:dyDescent="0.25">
      <c r="D1105" s="4"/>
      <c r="E1105" s="4"/>
      <c r="F1105" s="4"/>
      <c r="G1105" s="4"/>
      <c r="H1105" s="4"/>
      <c r="I1105" s="4"/>
      <c r="J1105" s="7"/>
      <c r="K1105" s="4"/>
      <c r="L1105" s="4"/>
      <c r="M1105" s="4"/>
      <c r="N1105" s="4"/>
      <c r="O1105" s="4"/>
      <c r="P1105" s="4"/>
      <c r="Q1105" s="4"/>
    </row>
    <row r="1106" spans="4:17" x14ac:dyDescent="0.25">
      <c r="D1106" s="4"/>
      <c r="E1106" s="4"/>
      <c r="F1106" s="4"/>
      <c r="G1106" s="4"/>
      <c r="H1106" s="4"/>
      <c r="I1106" s="4"/>
      <c r="J1106" s="7"/>
      <c r="K1106" s="4"/>
      <c r="L1106" s="4"/>
      <c r="M1106" s="4"/>
      <c r="N1106" s="4"/>
      <c r="O1106" s="4"/>
      <c r="P1106" s="4"/>
      <c r="Q1106" s="4"/>
    </row>
    <row r="1107" spans="4:17" x14ac:dyDescent="0.25">
      <c r="D1107" s="4"/>
      <c r="E1107" s="4"/>
      <c r="F1107" s="4"/>
      <c r="G1107" s="4"/>
      <c r="H1107" s="4"/>
      <c r="I1107" s="4"/>
      <c r="J1107" s="7"/>
      <c r="K1107" s="4"/>
      <c r="L1107" s="4"/>
      <c r="M1107" s="4"/>
      <c r="N1107" s="4"/>
      <c r="O1107" s="4"/>
      <c r="P1107" s="4"/>
      <c r="Q1107" s="4"/>
    </row>
    <row r="1108" spans="4:17" x14ac:dyDescent="0.25">
      <c r="D1108" s="4"/>
      <c r="E1108" s="4"/>
      <c r="F1108" s="4"/>
      <c r="G1108" s="4"/>
      <c r="H1108" s="4"/>
      <c r="I1108" s="4"/>
      <c r="J1108" s="7"/>
      <c r="K1108" s="4"/>
      <c r="L1108" s="4"/>
      <c r="M1108" s="4"/>
      <c r="N1108" s="4"/>
      <c r="O1108" s="4"/>
      <c r="P1108" s="4"/>
      <c r="Q1108" s="4"/>
    </row>
    <row r="1109" spans="4:17" x14ac:dyDescent="0.25">
      <c r="D1109" s="4"/>
      <c r="E1109" s="4"/>
      <c r="F1109" s="4"/>
      <c r="G1109" s="4"/>
      <c r="H1109" s="4"/>
      <c r="I1109" s="4"/>
      <c r="J1109" s="7"/>
      <c r="K1109" s="4"/>
      <c r="L1109" s="4"/>
      <c r="M1109" s="4"/>
      <c r="N1109" s="4"/>
      <c r="O1109" s="4"/>
      <c r="P1109" s="4"/>
      <c r="Q1109" s="4"/>
    </row>
    <row r="1110" spans="4:17" x14ac:dyDescent="0.25">
      <c r="D1110" s="4"/>
      <c r="E1110" s="4"/>
      <c r="F1110" s="4"/>
      <c r="G1110" s="4"/>
      <c r="H1110" s="4"/>
      <c r="I1110" s="4"/>
      <c r="J1110" s="7"/>
      <c r="K1110" s="4"/>
      <c r="L1110" s="4"/>
      <c r="M1110" s="4"/>
      <c r="N1110" s="4"/>
      <c r="O1110" s="4"/>
      <c r="P1110" s="4"/>
      <c r="Q1110" s="4"/>
    </row>
    <row r="1111" spans="4:17" x14ac:dyDescent="0.25">
      <c r="D1111" s="4"/>
      <c r="E1111" s="4"/>
      <c r="F1111" s="4"/>
      <c r="G1111" s="4"/>
      <c r="H1111" s="4"/>
      <c r="I1111" s="4"/>
      <c r="J1111" s="7"/>
      <c r="K1111" s="4"/>
      <c r="L1111" s="4"/>
      <c r="M1111" s="4"/>
      <c r="N1111" s="4"/>
      <c r="O1111" s="4"/>
      <c r="P1111" s="4"/>
      <c r="Q1111" s="4"/>
    </row>
    <row r="1112" spans="4:17" x14ac:dyDescent="0.25">
      <c r="D1112" s="4"/>
      <c r="E1112" s="4"/>
      <c r="F1112" s="4"/>
      <c r="G1112" s="4"/>
      <c r="H1112" s="4"/>
      <c r="I1112" s="4"/>
      <c r="J1112" s="7"/>
      <c r="K1112" s="4"/>
      <c r="L1112" s="4"/>
      <c r="M1112" s="4"/>
      <c r="N1112" s="4"/>
      <c r="O1112" s="4"/>
      <c r="P1112" s="4"/>
      <c r="Q1112" s="4"/>
    </row>
    <row r="1113" spans="4:17" x14ac:dyDescent="0.25">
      <c r="D1113" s="4"/>
      <c r="E1113" s="4"/>
      <c r="F1113" s="4"/>
      <c r="G1113" s="4"/>
      <c r="H1113" s="4"/>
      <c r="I1113" s="4"/>
      <c r="J1113" s="7"/>
      <c r="K1113" s="4"/>
      <c r="L1113" s="4"/>
      <c r="M1113" s="4"/>
      <c r="N1113" s="4"/>
      <c r="O1113" s="4"/>
      <c r="P1113" s="4"/>
      <c r="Q1113" s="4"/>
    </row>
    <row r="1114" spans="4:17" x14ac:dyDescent="0.25">
      <c r="D1114" s="4"/>
      <c r="E1114" s="4"/>
      <c r="F1114" s="4"/>
      <c r="G1114" s="4"/>
      <c r="H1114" s="4"/>
      <c r="I1114" s="4"/>
      <c r="J1114" s="7"/>
      <c r="K1114" s="4"/>
      <c r="L1114" s="4"/>
      <c r="M1114" s="4"/>
      <c r="N1114" s="4"/>
      <c r="O1114" s="4"/>
      <c r="P1114" s="4"/>
      <c r="Q1114" s="4"/>
    </row>
    <row r="1115" spans="4:17" x14ac:dyDescent="0.25">
      <c r="D1115" s="4"/>
      <c r="E1115" s="4"/>
      <c r="F1115" s="4"/>
      <c r="G1115" s="4"/>
      <c r="H1115" s="4"/>
      <c r="I1115" s="4"/>
      <c r="J1115" s="7"/>
      <c r="K1115" s="4"/>
      <c r="L1115" s="4"/>
      <c r="M1115" s="4"/>
      <c r="N1115" s="4"/>
      <c r="O1115" s="4"/>
      <c r="P1115" s="4"/>
      <c r="Q1115" s="4"/>
    </row>
    <row r="1116" spans="4:17" x14ac:dyDescent="0.25">
      <c r="D1116" s="4"/>
      <c r="E1116" s="4"/>
      <c r="F1116" s="4"/>
      <c r="G1116" s="4"/>
      <c r="H1116" s="4"/>
      <c r="I1116" s="4"/>
      <c r="J1116" s="7"/>
      <c r="K1116" s="4"/>
      <c r="L1116" s="4"/>
      <c r="M1116" s="4"/>
      <c r="N1116" s="4"/>
      <c r="O1116" s="4"/>
      <c r="P1116" s="4"/>
      <c r="Q1116" s="4"/>
    </row>
    <row r="1117" spans="4:17" x14ac:dyDescent="0.25">
      <c r="D1117" s="4"/>
      <c r="E1117" s="4"/>
      <c r="F1117" s="4"/>
      <c r="G1117" s="4"/>
      <c r="H1117" s="4"/>
      <c r="I1117" s="4"/>
      <c r="J1117" s="7"/>
      <c r="K1117" s="4"/>
      <c r="L1117" s="4"/>
      <c r="M1117" s="4"/>
      <c r="N1117" s="4"/>
      <c r="O1117" s="4"/>
      <c r="P1117" s="4"/>
      <c r="Q1117" s="4"/>
    </row>
    <row r="1118" spans="4:17" x14ac:dyDescent="0.25">
      <c r="D1118" s="4"/>
      <c r="E1118" s="4"/>
      <c r="F1118" s="4"/>
      <c r="G1118" s="4"/>
      <c r="H1118" s="4"/>
      <c r="I1118" s="4"/>
      <c r="J1118" s="7"/>
      <c r="K1118" s="4"/>
      <c r="L1118" s="4"/>
      <c r="M1118" s="4"/>
      <c r="N1118" s="4"/>
      <c r="O1118" s="4"/>
      <c r="P1118" s="4"/>
      <c r="Q1118" s="4"/>
    </row>
    <row r="1119" spans="4:17" x14ac:dyDescent="0.25">
      <c r="D1119" s="4"/>
      <c r="E1119" s="4"/>
      <c r="F1119" s="4"/>
      <c r="G1119" s="4"/>
      <c r="H1119" s="4"/>
      <c r="I1119" s="4"/>
      <c r="J1119" s="7"/>
      <c r="K1119" s="4"/>
      <c r="L1119" s="4"/>
      <c r="M1119" s="4"/>
      <c r="N1119" s="4"/>
      <c r="O1119" s="4"/>
      <c r="P1119" s="4"/>
      <c r="Q1119" s="4"/>
    </row>
    <row r="1120" spans="4:17" x14ac:dyDescent="0.25">
      <c r="D1120" s="4"/>
      <c r="E1120" s="4"/>
      <c r="F1120" s="4"/>
      <c r="G1120" s="4"/>
      <c r="H1120" s="4"/>
      <c r="I1120" s="4"/>
      <c r="J1120" s="7"/>
      <c r="K1120" s="4"/>
      <c r="L1120" s="4"/>
      <c r="M1120" s="4"/>
      <c r="N1120" s="4"/>
      <c r="O1120" s="4"/>
      <c r="P1120" s="4"/>
      <c r="Q1120" s="4"/>
    </row>
    <row r="1121" spans="4:17" x14ac:dyDescent="0.25">
      <c r="D1121" s="4"/>
      <c r="E1121" s="4"/>
      <c r="F1121" s="4"/>
      <c r="G1121" s="4"/>
      <c r="H1121" s="4"/>
      <c r="I1121" s="4"/>
      <c r="J1121" s="7"/>
      <c r="K1121" s="4"/>
      <c r="L1121" s="4"/>
      <c r="M1121" s="4"/>
      <c r="N1121" s="4"/>
      <c r="O1121" s="4"/>
      <c r="P1121" s="4"/>
      <c r="Q1121" s="4"/>
    </row>
    <row r="1122" spans="4:17" x14ac:dyDescent="0.25">
      <c r="D1122" s="4"/>
      <c r="E1122" s="4"/>
      <c r="F1122" s="4"/>
      <c r="G1122" s="4"/>
      <c r="H1122" s="4"/>
      <c r="I1122" s="4"/>
      <c r="J1122" s="7"/>
      <c r="K1122" s="4"/>
      <c r="L1122" s="4"/>
      <c r="M1122" s="4"/>
      <c r="N1122" s="4"/>
      <c r="O1122" s="4"/>
      <c r="P1122" s="4"/>
      <c r="Q1122" s="4"/>
    </row>
    <row r="1123" spans="4:17" x14ac:dyDescent="0.25">
      <c r="D1123" s="4"/>
      <c r="E1123" s="4"/>
      <c r="F1123" s="4"/>
      <c r="G1123" s="4"/>
      <c r="H1123" s="4"/>
      <c r="I1123" s="4"/>
      <c r="J1123" s="7"/>
      <c r="K1123" s="4"/>
      <c r="L1123" s="4"/>
      <c r="M1123" s="4"/>
      <c r="N1123" s="4"/>
      <c r="O1123" s="4"/>
      <c r="P1123" s="4"/>
      <c r="Q1123" s="4"/>
    </row>
    <row r="1124" spans="4:17" x14ac:dyDescent="0.25">
      <c r="D1124" s="4"/>
      <c r="E1124" s="4"/>
      <c r="F1124" s="4"/>
      <c r="G1124" s="4"/>
      <c r="H1124" s="4"/>
      <c r="I1124" s="4"/>
      <c r="J1124" s="7"/>
      <c r="K1124" s="4"/>
      <c r="L1124" s="4"/>
      <c r="M1124" s="4"/>
      <c r="N1124" s="4"/>
      <c r="O1124" s="4"/>
      <c r="P1124" s="4"/>
      <c r="Q1124" s="4"/>
    </row>
    <row r="1125" spans="4:17" x14ac:dyDescent="0.25">
      <c r="D1125" s="4"/>
      <c r="E1125" s="4"/>
      <c r="F1125" s="4"/>
      <c r="G1125" s="4"/>
      <c r="H1125" s="4"/>
      <c r="I1125" s="4"/>
      <c r="J1125" s="7"/>
      <c r="K1125" s="4"/>
      <c r="L1125" s="4"/>
      <c r="M1125" s="4"/>
      <c r="N1125" s="4"/>
      <c r="O1125" s="4"/>
      <c r="P1125" s="4"/>
      <c r="Q1125" s="4"/>
    </row>
    <row r="1126" spans="4:17" x14ac:dyDescent="0.25">
      <c r="D1126" s="4"/>
      <c r="E1126" s="4"/>
      <c r="F1126" s="4"/>
      <c r="G1126" s="4"/>
      <c r="H1126" s="4"/>
      <c r="I1126" s="4"/>
      <c r="J1126" s="7"/>
      <c r="K1126" s="4"/>
      <c r="L1126" s="4"/>
      <c r="M1126" s="4"/>
      <c r="N1126" s="4"/>
      <c r="O1126" s="4"/>
      <c r="P1126" s="4"/>
      <c r="Q1126" s="4"/>
    </row>
    <row r="1127" spans="4:17" x14ac:dyDescent="0.25">
      <c r="D1127" s="4"/>
      <c r="E1127" s="4"/>
      <c r="F1127" s="4"/>
      <c r="G1127" s="4"/>
      <c r="H1127" s="4"/>
      <c r="I1127" s="4"/>
      <c r="J1127" s="7"/>
      <c r="K1127" s="4"/>
      <c r="L1127" s="4"/>
      <c r="M1127" s="4"/>
      <c r="N1127" s="4"/>
      <c r="O1127" s="4"/>
      <c r="P1127" s="4"/>
      <c r="Q1127" s="4"/>
    </row>
    <row r="1128" spans="4:17" x14ac:dyDescent="0.25">
      <c r="D1128" s="4"/>
      <c r="E1128" s="4"/>
      <c r="F1128" s="4"/>
      <c r="G1128" s="4"/>
      <c r="H1128" s="4"/>
      <c r="I1128" s="4"/>
      <c r="J1128" s="7"/>
      <c r="K1128" s="4"/>
      <c r="L1128" s="4"/>
      <c r="M1128" s="4"/>
      <c r="N1128" s="4"/>
      <c r="O1128" s="4"/>
      <c r="P1128" s="4"/>
      <c r="Q1128" s="4"/>
    </row>
    <row r="1129" spans="4:17" x14ac:dyDescent="0.25">
      <c r="D1129" s="4"/>
      <c r="E1129" s="4"/>
      <c r="F1129" s="4"/>
      <c r="G1129" s="4"/>
      <c r="H1129" s="4"/>
      <c r="I1129" s="4"/>
      <c r="J1129" s="7"/>
      <c r="K1129" s="4"/>
      <c r="L1129" s="4"/>
      <c r="M1129" s="4"/>
      <c r="N1129" s="4"/>
      <c r="O1129" s="4"/>
      <c r="P1129" s="4"/>
      <c r="Q1129" s="4"/>
    </row>
    <row r="1130" spans="4:17" x14ac:dyDescent="0.25">
      <c r="D1130" s="4"/>
      <c r="E1130" s="4"/>
      <c r="F1130" s="4"/>
      <c r="G1130" s="4"/>
      <c r="H1130" s="4"/>
      <c r="I1130" s="4"/>
      <c r="J1130" s="7"/>
      <c r="K1130" s="4"/>
      <c r="L1130" s="4"/>
      <c r="M1130" s="4"/>
      <c r="N1130" s="4"/>
      <c r="O1130" s="4"/>
      <c r="P1130" s="4"/>
      <c r="Q1130" s="4"/>
    </row>
    <row r="1131" spans="4:17" x14ac:dyDescent="0.25">
      <c r="D1131" s="4"/>
      <c r="E1131" s="4"/>
      <c r="F1131" s="4"/>
      <c r="G1131" s="4"/>
      <c r="H1131" s="4"/>
      <c r="I1131" s="4"/>
      <c r="J1131" s="7"/>
      <c r="K1131" s="4"/>
      <c r="L1131" s="4"/>
      <c r="M1131" s="4"/>
      <c r="N1131" s="4"/>
      <c r="O1131" s="4"/>
      <c r="P1131" s="4"/>
      <c r="Q1131" s="4"/>
    </row>
    <row r="1132" spans="4:17" x14ac:dyDescent="0.25">
      <c r="D1132" s="4"/>
      <c r="E1132" s="4"/>
      <c r="F1132" s="4"/>
      <c r="G1132" s="4"/>
      <c r="H1132" s="4"/>
      <c r="I1132" s="4"/>
      <c r="J1132" s="7"/>
      <c r="K1132" s="4"/>
      <c r="L1132" s="4"/>
      <c r="M1132" s="4"/>
      <c r="N1132" s="4"/>
      <c r="O1132" s="4"/>
      <c r="P1132" s="4"/>
      <c r="Q1132" s="4"/>
    </row>
    <row r="1133" spans="4:17" x14ac:dyDescent="0.25">
      <c r="D1133" s="4"/>
      <c r="E1133" s="4"/>
      <c r="F1133" s="4"/>
      <c r="G1133" s="4"/>
      <c r="H1133" s="4"/>
      <c r="I1133" s="4"/>
      <c r="J1133" s="7"/>
      <c r="K1133" s="4"/>
      <c r="L1133" s="4"/>
      <c r="M1133" s="4"/>
      <c r="N1133" s="4"/>
      <c r="O1133" s="4"/>
      <c r="P1133" s="4"/>
      <c r="Q1133" s="4"/>
    </row>
    <row r="1134" spans="4:17" x14ac:dyDescent="0.25">
      <c r="D1134" s="4"/>
      <c r="E1134" s="4"/>
      <c r="F1134" s="4"/>
      <c r="G1134" s="4"/>
      <c r="H1134" s="4"/>
      <c r="I1134" s="4"/>
      <c r="J1134" s="7"/>
      <c r="K1134" s="4"/>
      <c r="L1134" s="4"/>
      <c r="M1134" s="4"/>
      <c r="N1134" s="4"/>
      <c r="O1134" s="4"/>
      <c r="P1134" s="4"/>
      <c r="Q1134" s="4"/>
    </row>
    <row r="1135" spans="4:17" x14ac:dyDescent="0.25">
      <c r="D1135" s="4"/>
      <c r="E1135" s="4"/>
      <c r="F1135" s="4"/>
      <c r="G1135" s="4"/>
      <c r="H1135" s="4"/>
      <c r="I1135" s="4"/>
      <c r="J1135" s="7"/>
      <c r="K1135" s="4"/>
      <c r="L1135" s="4"/>
      <c r="M1135" s="4"/>
      <c r="N1135" s="4"/>
      <c r="O1135" s="4"/>
      <c r="P1135" s="4"/>
      <c r="Q1135" s="4"/>
    </row>
    <row r="1136" spans="4:17" x14ac:dyDescent="0.25">
      <c r="D1136" s="4"/>
      <c r="E1136" s="4"/>
      <c r="F1136" s="4"/>
      <c r="G1136" s="4"/>
      <c r="H1136" s="4"/>
      <c r="I1136" s="4"/>
      <c r="J1136" s="7"/>
      <c r="K1136" s="4"/>
      <c r="L1136" s="4"/>
      <c r="M1136" s="4"/>
      <c r="N1136" s="4"/>
      <c r="O1136" s="4"/>
      <c r="P1136" s="4"/>
      <c r="Q1136" s="4"/>
    </row>
    <row r="1137" spans="4:17" x14ac:dyDescent="0.25">
      <c r="D1137" s="4"/>
      <c r="E1137" s="4"/>
      <c r="F1137" s="4"/>
      <c r="G1137" s="4"/>
      <c r="H1137" s="4"/>
      <c r="I1137" s="4"/>
      <c r="J1137" s="7"/>
      <c r="K1137" s="4"/>
      <c r="L1137" s="4"/>
      <c r="M1137" s="4"/>
      <c r="N1137" s="4"/>
      <c r="O1137" s="4"/>
      <c r="P1137" s="4"/>
      <c r="Q1137" s="4"/>
    </row>
    <row r="1138" spans="4:17" x14ac:dyDescent="0.25">
      <c r="D1138" s="4"/>
      <c r="E1138" s="4"/>
      <c r="F1138" s="4"/>
      <c r="G1138" s="4"/>
      <c r="H1138" s="4"/>
      <c r="I1138" s="4"/>
      <c r="J1138" s="7"/>
      <c r="K1138" s="4"/>
      <c r="L1138" s="4"/>
      <c r="M1138" s="4"/>
      <c r="N1138" s="4"/>
      <c r="O1138" s="4"/>
      <c r="P1138" s="4"/>
      <c r="Q1138" s="4"/>
    </row>
    <row r="1139" spans="4:17" x14ac:dyDescent="0.25">
      <c r="D1139" s="4"/>
      <c r="E1139" s="4"/>
      <c r="F1139" s="4"/>
      <c r="G1139" s="4"/>
      <c r="H1139" s="4"/>
      <c r="I1139" s="4"/>
      <c r="J1139" s="7"/>
      <c r="K1139" s="4"/>
      <c r="L1139" s="4"/>
      <c r="M1139" s="4"/>
      <c r="N1139" s="4"/>
      <c r="O1139" s="4"/>
      <c r="P1139" s="4"/>
      <c r="Q1139" s="4"/>
    </row>
    <row r="1140" spans="4:17" x14ac:dyDescent="0.25">
      <c r="D1140" s="4"/>
      <c r="E1140" s="4"/>
      <c r="F1140" s="4"/>
      <c r="G1140" s="4"/>
      <c r="H1140" s="4"/>
      <c r="I1140" s="4"/>
      <c r="J1140" s="7"/>
      <c r="K1140" s="4"/>
      <c r="L1140" s="4"/>
      <c r="M1140" s="4"/>
      <c r="N1140" s="4"/>
      <c r="O1140" s="4"/>
      <c r="P1140" s="4"/>
      <c r="Q1140" s="4"/>
    </row>
    <row r="1141" spans="4:17" x14ac:dyDescent="0.25">
      <c r="D1141" s="4"/>
      <c r="E1141" s="4"/>
      <c r="F1141" s="4"/>
      <c r="G1141" s="4"/>
      <c r="H1141" s="4"/>
      <c r="I1141" s="4"/>
      <c r="J1141" s="7"/>
      <c r="K1141" s="4"/>
      <c r="L1141" s="4"/>
      <c r="M1141" s="4"/>
      <c r="N1141" s="4"/>
      <c r="O1141" s="4"/>
      <c r="P1141" s="4"/>
      <c r="Q1141" s="4"/>
    </row>
    <row r="1142" spans="4:17" x14ac:dyDescent="0.25">
      <c r="D1142" s="4"/>
      <c r="E1142" s="4"/>
      <c r="F1142" s="4"/>
      <c r="G1142" s="4"/>
      <c r="H1142" s="4"/>
      <c r="I1142" s="4"/>
      <c r="J1142" s="7"/>
      <c r="K1142" s="4"/>
      <c r="L1142" s="4"/>
      <c r="M1142" s="4"/>
      <c r="N1142" s="4"/>
      <c r="O1142" s="4"/>
      <c r="P1142" s="4"/>
      <c r="Q1142" s="4"/>
    </row>
    <row r="1143" spans="4:17" x14ac:dyDescent="0.25">
      <c r="D1143" s="4"/>
      <c r="E1143" s="4"/>
      <c r="F1143" s="4"/>
      <c r="G1143" s="4"/>
      <c r="H1143" s="4"/>
      <c r="I1143" s="4"/>
      <c r="J1143" s="7"/>
      <c r="K1143" s="4"/>
      <c r="L1143" s="4"/>
      <c r="M1143" s="4"/>
      <c r="N1143" s="4"/>
      <c r="O1143" s="4"/>
      <c r="P1143" s="4"/>
      <c r="Q1143" s="4"/>
    </row>
    <row r="1144" spans="4:17" x14ac:dyDescent="0.25">
      <c r="D1144" s="4"/>
      <c r="E1144" s="4"/>
      <c r="F1144" s="4"/>
      <c r="G1144" s="4"/>
      <c r="H1144" s="4"/>
      <c r="I1144" s="4"/>
      <c r="J1144" s="7"/>
      <c r="K1144" s="4"/>
      <c r="L1144" s="4"/>
      <c r="M1144" s="4"/>
      <c r="N1144" s="4"/>
      <c r="O1144" s="4"/>
      <c r="P1144" s="4"/>
      <c r="Q1144" s="4"/>
    </row>
    <row r="1145" spans="4:17" x14ac:dyDescent="0.25">
      <c r="D1145" s="4"/>
      <c r="E1145" s="4"/>
      <c r="F1145" s="4"/>
      <c r="G1145" s="4"/>
      <c r="H1145" s="4"/>
      <c r="I1145" s="4"/>
      <c r="J1145" s="7"/>
      <c r="K1145" s="4"/>
      <c r="L1145" s="4"/>
      <c r="M1145" s="4"/>
      <c r="N1145" s="4"/>
      <c r="O1145" s="4"/>
      <c r="P1145" s="4"/>
      <c r="Q1145" s="4"/>
    </row>
    <row r="1146" spans="4:17" x14ac:dyDescent="0.25">
      <c r="D1146" s="4"/>
      <c r="E1146" s="4"/>
      <c r="F1146" s="4"/>
      <c r="G1146" s="4"/>
      <c r="H1146" s="4"/>
      <c r="I1146" s="4"/>
      <c r="J1146" s="7"/>
      <c r="K1146" s="4"/>
      <c r="L1146" s="4"/>
      <c r="M1146" s="4"/>
      <c r="N1146" s="4"/>
      <c r="O1146" s="4"/>
      <c r="P1146" s="4"/>
      <c r="Q1146" s="4"/>
    </row>
    <row r="1147" spans="4:17" x14ac:dyDescent="0.25">
      <c r="D1147" s="4"/>
      <c r="E1147" s="4"/>
      <c r="F1147" s="4"/>
      <c r="G1147" s="4"/>
      <c r="H1147" s="4"/>
      <c r="I1147" s="4"/>
      <c r="J1147" s="7"/>
      <c r="K1147" s="4"/>
      <c r="L1147" s="4"/>
      <c r="M1147" s="4"/>
      <c r="N1147" s="4"/>
      <c r="O1147" s="4"/>
      <c r="P1147" s="4"/>
      <c r="Q1147" s="4"/>
    </row>
    <row r="1148" spans="4:17" x14ac:dyDescent="0.25">
      <c r="D1148" s="4"/>
      <c r="E1148" s="4"/>
      <c r="F1148" s="4"/>
      <c r="G1148" s="4"/>
      <c r="H1148" s="4"/>
      <c r="I1148" s="4"/>
      <c r="J1148" s="7"/>
      <c r="K1148" s="4"/>
      <c r="L1148" s="4"/>
      <c r="M1148" s="4"/>
      <c r="N1148" s="4"/>
      <c r="O1148" s="4"/>
      <c r="P1148" s="4"/>
      <c r="Q1148" s="4"/>
    </row>
    <row r="1149" spans="4:17" x14ac:dyDescent="0.25">
      <c r="D1149" s="4"/>
      <c r="E1149" s="4"/>
      <c r="F1149" s="4"/>
      <c r="G1149" s="4"/>
      <c r="H1149" s="4"/>
      <c r="I1149" s="4"/>
      <c r="J1149" s="7"/>
      <c r="K1149" s="4"/>
      <c r="L1149" s="4"/>
      <c r="M1149" s="4"/>
      <c r="N1149" s="4"/>
      <c r="O1149" s="4"/>
      <c r="P1149" s="4"/>
      <c r="Q1149" s="4"/>
    </row>
    <row r="1150" spans="4:17" x14ac:dyDescent="0.25">
      <c r="D1150" s="4"/>
      <c r="E1150" s="4"/>
      <c r="F1150" s="4"/>
      <c r="G1150" s="4"/>
      <c r="H1150" s="4"/>
      <c r="I1150" s="4"/>
      <c r="J1150" s="7"/>
      <c r="K1150" s="4"/>
      <c r="L1150" s="4"/>
      <c r="M1150" s="4"/>
      <c r="N1150" s="4"/>
      <c r="O1150" s="4"/>
      <c r="P1150" s="4"/>
      <c r="Q1150" s="4"/>
    </row>
    <row r="1151" spans="4:17" x14ac:dyDescent="0.25">
      <c r="D1151" s="4"/>
      <c r="E1151" s="4"/>
      <c r="F1151" s="4"/>
      <c r="G1151" s="4"/>
      <c r="H1151" s="4"/>
      <c r="I1151" s="4"/>
      <c r="J1151" s="7"/>
      <c r="K1151" s="4"/>
      <c r="L1151" s="4"/>
      <c r="M1151" s="4"/>
      <c r="N1151" s="4"/>
      <c r="O1151" s="4"/>
      <c r="P1151" s="4"/>
      <c r="Q1151" s="4"/>
    </row>
    <row r="1152" spans="4:17" x14ac:dyDescent="0.25">
      <c r="D1152" s="4"/>
      <c r="E1152" s="4"/>
      <c r="F1152" s="4"/>
      <c r="G1152" s="4"/>
      <c r="H1152" s="4"/>
      <c r="I1152" s="4"/>
      <c r="J1152" s="7"/>
      <c r="K1152" s="4"/>
      <c r="L1152" s="4"/>
      <c r="M1152" s="4"/>
      <c r="N1152" s="4"/>
      <c r="O1152" s="4"/>
      <c r="P1152" s="4"/>
      <c r="Q1152" s="4"/>
    </row>
    <row r="1153" spans="4:17" x14ac:dyDescent="0.25">
      <c r="D1153" s="4"/>
      <c r="E1153" s="4"/>
      <c r="F1153" s="4"/>
      <c r="G1153" s="4"/>
      <c r="H1153" s="4"/>
      <c r="I1153" s="4"/>
      <c r="J1153" s="7"/>
      <c r="K1153" s="4"/>
      <c r="L1153" s="4"/>
      <c r="M1153" s="4"/>
      <c r="N1153" s="4"/>
      <c r="O1153" s="4"/>
      <c r="P1153" s="4"/>
      <c r="Q1153" s="4"/>
    </row>
    <row r="1154" spans="4:17" x14ac:dyDescent="0.25">
      <c r="D1154" s="4"/>
      <c r="E1154" s="4"/>
      <c r="F1154" s="4"/>
      <c r="G1154" s="4"/>
      <c r="H1154" s="4"/>
      <c r="I1154" s="4"/>
      <c r="J1154" s="7"/>
      <c r="K1154" s="4"/>
      <c r="L1154" s="4"/>
      <c r="M1154" s="4"/>
      <c r="N1154" s="4"/>
      <c r="O1154" s="4"/>
      <c r="P1154" s="4"/>
      <c r="Q1154" s="4"/>
    </row>
    <row r="1155" spans="4:17" x14ac:dyDescent="0.25">
      <c r="D1155" s="4"/>
      <c r="E1155" s="4"/>
      <c r="F1155" s="4"/>
      <c r="G1155" s="4"/>
      <c r="H1155" s="4"/>
      <c r="I1155" s="4"/>
      <c r="J1155" s="7"/>
      <c r="K1155" s="4"/>
      <c r="L1155" s="4"/>
      <c r="M1155" s="4"/>
      <c r="N1155" s="4"/>
      <c r="O1155" s="4"/>
      <c r="P1155" s="4"/>
      <c r="Q1155" s="4"/>
    </row>
    <row r="1156" spans="4:17" x14ac:dyDescent="0.25">
      <c r="D1156" s="4"/>
      <c r="E1156" s="4"/>
      <c r="F1156" s="4"/>
      <c r="G1156" s="4"/>
      <c r="H1156" s="4"/>
      <c r="I1156" s="4"/>
      <c r="J1156" s="7"/>
      <c r="K1156" s="4"/>
      <c r="L1156" s="4"/>
      <c r="M1156" s="4"/>
      <c r="N1156" s="4"/>
      <c r="O1156" s="4"/>
      <c r="P1156" s="4"/>
      <c r="Q1156" s="4"/>
    </row>
    <row r="1157" spans="4:17" x14ac:dyDescent="0.25">
      <c r="D1157" s="4"/>
      <c r="E1157" s="4"/>
      <c r="F1157" s="4"/>
      <c r="G1157" s="4"/>
      <c r="H1157" s="4"/>
      <c r="I1157" s="4"/>
      <c r="J1157" s="7"/>
      <c r="K1157" s="4"/>
      <c r="L1157" s="4"/>
      <c r="M1157" s="4"/>
      <c r="N1157" s="4"/>
      <c r="O1157" s="4"/>
      <c r="P1157" s="4"/>
      <c r="Q1157" s="4"/>
    </row>
    <row r="1158" spans="4:17" x14ac:dyDescent="0.25">
      <c r="D1158" s="4"/>
      <c r="E1158" s="4"/>
      <c r="F1158" s="4"/>
      <c r="G1158" s="4"/>
      <c r="H1158" s="4"/>
      <c r="I1158" s="4"/>
      <c r="J1158" s="7"/>
      <c r="K1158" s="4"/>
      <c r="L1158" s="4"/>
      <c r="M1158" s="4"/>
      <c r="N1158" s="4"/>
      <c r="O1158" s="4"/>
      <c r="P1158" s="4"/>
      <c r="Q1158" s="4"/>
    </row>
    <row r="1159" spans="4:17" x14ac:dyDescent="0.25">
      <c r="D1159" s="4"/>
      <c r="E1159" s="4"/>
      <c r="F1159" s="4"/>
      <c r="G1159" s="4"/>
      <c r="H1159" s="4"/>
      <c r="I1159" s="4"/>
      <c r="J1159" s="7"/>
      <c r="K1159" s="4"/>
      <c r="L1159" s="4"/>
      <c r="M1159" s="4"/>
      <c r="N1159" s="4"/>
      <c r="O1159" s="4"/>
      <c r="P1159" s="4"/>
      <c r="Q1159" s="4"/>
    </row>
    <row r="1160" spans="4:17" x14ac:dyDescent="0.25">
      <c r="D1160" s="4"/>
      <c r="E1160" s="4"/>
      <c r="F1160" s="4"/>
      <c r="G1160" s="4"/>
      <c r="H1160" s="4"/>
      <c r="I1160" s="4"/>
      <c r="J1160" s="7"/>
      <c r="K1160" s="4"/>
      <c r="L1160" s="4"/>
      <c r="M1160" s="4"/>
      <c r="N1160" s="4"/>
      <c r="O1160" s="4"/>
      <c r="P1160" s="4"/>
      <c r="Q1160" s="4"/>
    </row>
    <row r="1161" spans="4:17" x14ac:dyDescent="0.25">
      <c r="D1161" s="4"/>
      <c r="E1161" s="4"/>
      <c r="F1161" s="4"/>
      <c r="G1161" s="4"/>
      <c r="H1161" s="4"/>
      <c r="I1161" s="4"/>
      <c r="J1161" s="7"/>
      <c r="K1161" s="4"/>
      <c r="L1161" s="4"/>
      <c r="M1161" s="4"/>
      <c r="N1161" s="4"/>
      <c r="O1161" s="4"/>
      <c r="P1161" s="4"/>
      <c r="Q1161" s="4"/>
    </row>
    <row r="1162" spans="4:17" x14ac:dyDescent="0.25">
      <c r="D1162" s="4"/>
      <c r="E1162" s="4"/>
      <c r="F1162" s="4"/>
      <c r="G1162" s="4"/>
      <c r="H1162" s="4"/>
      <c r="I1162" s="4"/>
      <c r="J1162" s="7"/>
      <c r="K1162" s="4"/>
      <c r="L1162" s="4"/>
      <c r="M1162" s="4"/>
      <c r="N1162" s="4"/>
      <c r="O1162" s="4"/>
      <c r="P1162" s="4"/>
      <c r="Q1162" s="4"/>
    </row>
    <row r="1163" spans="4:17" x14ac:dyDescent="0.25">
      <c r="D1163" s="4"/>
      <c r="E1163" s="4"/>
      <c r="F1163" s="4"/>
      <c r="G1163" s="4"/>
      <c r="H1163" s="4"/>
      <c r="I1163" s="4"/>
      <c r="J1163" s="7"/>
      <c r="K1163" s="4"/>
      <c r="L1163" s="4"/>
      <c r="M1163" s="4"/>
      <c r="N1163" s="4"/>
      <c r="O1163" s="4"/>
      <c r="P1163" s="4"/>
      <c r="Q1163" s="4"/>
    </row>
    <row r="1164" spans="4:17" x14ac:dyDescent="0.25">
      <c r="D1164" s="4"/>
      <c r="E1164" s="4"/>
      <c r="F1164" s="4"/>
      <c r="G1164" s="4"/>
      <c r="H1164" s="4"/>
      <c r="I1164" s="4"/>
      <c r="J1164" s="7"/>
      <c r="K1164" s="4"/>
      <c r="L1164" s="4"/>
      <c r="M1164" s="4"/>
      <c r="N1164" s="4"/>
      <c r="O1164" s="4"/>
      <c r="P1164" s="4"/>
      <c r="Q1164" s="4"/>
    </row>
    <row r="1165" spans="4:17" x14ac:dyDescent="0.25">
      <c r="D1165" s="4"/>
      <c r="E1165" s="4"/>
      <c r="F1165" s="4"/>
      <c r="G1165" s="4"/>
      <c r="H1165" s="4"/>
      <c r="I1165" s="4"/>
      <c r="J1165" s="7"/>
      <c r="K1165" s="4"/>
      <c r="L1165" s="4"/>
      <c r="M1165" s="4"/>
      <c r="N1165" s="4"/>
      <c r="O1165" s="4"/>
      <c r="P1165" s="4"/>
      <c r="Q1165" s="4"/>
    </row>
    <row r="1166" spans="4:17" x14ac:dyDescent="0.25">
      <c r="D1166" s="4"/>
      <c r="E1166" s="4"/>
      <c r="F1166" s="4"/>
      <c r="G1166" s="4"/>
      <c r="H1166" s="4"/>
      <c r="I1166" s="4"/>
      <c r="J1166" s="7"/>
      <c r="K1166" s="4"/>
      <c r="L1166" s="4"/>
      <c r="M1166" s="4"/>
      <c r="N1166" s="4"/>
      <c r="O1166" s="4"/>
      <c r="P1166" s="4"/>
      <c r="Q1166" s="4"/>
    </row>
    <row r="1167" spans="4:17" x14ac:dyDescent="0.25">
      <c r="D1167" s="4"/>
      <c r="E1167" s="4"/>
      <c r="F1167" s="4"/>
      <c r="G1167" s="4"/>
      <c r="H1167" s="4"/>
      <c r="I1167" s="4"/>
      <c r="J1167" s="7"/>
      <c r="K1167" s="4"/>
      <c r="L1167" s="4"/>
      <c r="M1167" s="4"/>
      <c r="N1167" s="4"/>
      <c r="O1167" s="4"/>
      <c r="P1167" s="4"/>
      <c r="Q1167" s="4"/>
    </row>
    <row r="1168" spans="4:17" x14ac:dyDescent="0.25">
      <c r="D1168" s="4"/>
      <c r="E1168" s="4"/>
      <c r="F1168" s="4"/>
      <c r="G1168" s="4"/>
      <c r="H1168" s="4"/>
      <c r="I1168" s="4"/>
      <c r="J1168" s="7"/>
      <c r="K1168" s="4"/>
      <c r="L1168" s="4"/>
      <c r="M1168" s="4"/>
      <c r="N1168" s="4"/>
      <c r="O1168" s="4"/>
      <c r="P1168" s="4"/>
      <c r="Q1168" s="4"/>
    </row>
    <row r="1169" spans="4:17" x14ac:dyDescent="0.25">
      <c r="D1169" s="4"/>
      <c r="E1169" s="4"/>
      <c r="F1169" s="4"/>
      <c r="G1169" s="4"/>
      <c r="H1169" s="4"/>
      <c r="I1169" s="4"/>
      <c r="J1169" s="7"/>
      <c r="K1169" s="4"/>
      <c r="L1169" s="4"/>
      <c r="M1169" s="4"/>
      <c r="N1169" s="4"/>
      <c r="O1169" s="4"/>
      <c r="P1169" s="4"/>
      <c r="Q1169" s="4"/>
    </row>
    <row r="1170" spans="4:17" x14ac:dyDescent="0.25">
      <c r="D1170" s="4"/>
      <c r="E1170" s="4"/>
      <c r="F1170" s="4"/>
      <c r="G1170" s="4"/>
      <c r="H1170" s="4"/>
      <c r="I1170" s="4"/>
      <c r="J1170" s="7"/>
      <c r="K1170" s="4"/>
      <c r="L1170" s="4"/>
      <c r="M1170" s="4"/>
      <c r="N1170" s="4"/>
      <c r="O1170" s="4"/>
      <c r="P1170" s="4"/>
      <c r="Q1170" s="4"/>
    </row>
    <row r="1171" spans="4:17" x14ac:dyDescent="0.25">
      <c r="D1171" s="4"/>
      <c r="E1171" s="4"/>
      <c r="F1171" s="4"/>
      <c r="G1171" s="4"/>
      <c r="H1171" s="4"/>
      <c r="I1171" s="4"/>
      <c r="J1171" s="7"/>
      <c r="K1171" s="4"/>
      <c r="L1171" s="4"/>
      <c r="M1171" s="4"/>
      <c r="N1171" s="4"/>
      <c r="O1171" s="4"/>
      <c r="P1171" s="4"/>
      <c r="Q1171" s="4"/>
    </row>
    <row r="1172" spans="4:17" x14ac:dyDescent="0.25">
      <c r="D1172" s="4"/>
      <c r="E1172" s="4"/>
      <c r="F1172" s="4"/>
      <c r="G1172" s="4"/>
      <c r="H1172" s="4"/>
      <c r="I1172" s="4"/>
      <c r="J1172" s="7"/>
      <c r="K1172" s="4"/>
      <c r="L1172" s="4"/>
      <c r="M1172" s="4"/>
      <c r="N1172" s="4"/>
      <c r="O1172" s="4"/>
      <c r="P1172" s="4"/>
      <c r="Q1172" s="4"/>
    </row>
    <row r="1173" spans="4:17" x14ac:dyDescent="0.25">
      <c r="D1173" s="4"/>
      <c r="E1173" s="4"/>
      <c r="F1173" s="4"/>
      <c r="G1173" s="4"/>
      <c r="H1173" s="4"/>
      <c r="I1173" s="4"/>
      <c r="J1173" s="7"/>
      <c r="K1173" s="4"/>
      <c r="L1173" s="4"/>
      <c r="M1173" s="4"/>
      <c r="N1173" s="4"/>
      <c r="O1173" s="4"/>
      <c r="P1173" s="4"/>
      <c r="Q1173" s="4"/>
    </row>
    <row r="1174" spans="4:17" x14ac:dyDescent="0.25">
      <c r="D1174" s="4"/>
      <c r="E1174" s="4"/>
      <c r="F1174" s="4"/>
      <c r="G1174" s="4"/>
      <c r="H1174" s="4"/>
      <c r="I1174" s="4"/>
      <c r="J1174" s="7"/>
      <c r="K1174" s="4"/>
      <c r="L1174" s="4"/>
      <c r="M1174" s="4"/>
      <c r="N1174" s="4"/>
      <c r="O1174" s="4"/>
      <c r="P1174" s="4"/>
      <c r="Q1174" s="4"/>
    </row>
    <row r="1175" spans="4:17" x14ac:dyDescent="0.25">
      <c r="D1175" s="4"/>
      <c r="E1175" s="4"/>
      <c r="F1175" s="4"/>
      <c r="G1175" s="4"/>
      <c r="H1175" s="4"/>
      <c r="I1175" s="4"/>
      <c r="J1175" s="7"/>
      <c r="K1175" s="4"/>
      <c r="L1175" s="4"/>
      <c r="M1175" s="4"/>
      <c r="N1175" s="4"/>
      <c r="O1175" s="4"/>
      <c r="P1175" s="4"/>
      <c r="Q1175" s="4"/>
    </row>
    <row r="1176" spans="4:17" x14ac:dyDescent="0.25">
      <c r="D1176" s="4"/>
      <c r="E1176" s="4"/>
      <c r="F1176" s="4"/>
      <c r="G1176" s="4"/>
      <c r="H1176" s="4"/>
      <c r="I1176" s="4"/>
      <c r="J1176" s="7"/>
      <c r="K1176" s="4"/>
      <c r="L1176" s="4"/>
      <c r="M1176" s="4"/>
      <c r="N1176" s="4"/>
      <c r="O1176" s="4"/>
      <c r="P1176" s="4"/>
      <c r="Q1176" s="4"/>
    </row>
    <row r="1177" spans="4:17" x14ac:dyDescent="0.25">
      <c r="D1177" s="4"/>
      <c r="E1177" s="4"/>
      <c r="F1177" s="4"/>
      <c r="G1177" s="4"/>
      <c r="H1177" s="4"/>
      <c r="I1177" s="4"/>
      <c r="J1177" s="7"/>
      <c r="K1177" s="4"/>
      <c r="L1177" s="4"/>
      <c r="M1177" s="4"/>
      <c r="N1177" s="4"/>
      <c r="O1177" s="4"/>
      <c r="P1177" s="4"/>
      <c r="Q1177" s="4"/>
    </row>
    <row r="1178" spans="4:17" x14ac:dyDescent="0.25">
      <c r="D1178" s="4"/>
      <c r="E1178" s="4"/>
      <c r="F1178" s="4"/>
      <c r="G1178" s="4"/>
      <c r="H1178" s="4"/>
      <c r="I1178" s="4"/>
      <c r="J1178" s="7"/>
      <c r="K1178" s="4"/>
      <c r="L1178" s="4"/>
      <c r="M1178" s="4"/>
      <c r="N1178" s="4"/>
      <c r="O1178" s="4"/>
      <c r="P1178" s="4"/>
      <c r="Q1178" s="4"/>
    </row>
    <row r="1179" spans="4:17" x14ac:dyDescent="0.25">
      <c r="D1179" s="4"/>
      <c r="E1179" s="4"/>
      <c r="F1179" s="4"/>
      <c r="G1179" s="4"/>
      <c r="H1179" s="4"/>
      <c r="I1179" s="4"/>
      <c r="J1179" s="7"/>
      <c r="K1179" s="4"/>
      <c r="L1179" s="4"/>
      <c r="M1179" s="4"/>
      <c r="N1179" s="4"/>
      <c r="O1179" s="4"/>
      <c r="P1179" s="4"/>
      <c r="Q1179" s="4"/>
    </row>
    <row r="1180" spans="4:17" x14ac:dyDescent="0.25">
      <c r="D1180" s="4"/>
      <c r="E1180" s="4"/>
      <c r="F1180" s="4"/>
      <c r="G1180" s="4"/>
      <c r="H1180" s="4"/>
      <c r="I1180" s="4"/>
      <c r="J1180" s="7"/>
      <c r="K1180" s="4"/>
      <c r="L1180" s="4"/>
      <c r="M1180" s="4"/>
      <c r="N1180" s="4"/>
      <c r="O1180" s="4"/>
      <c r="P1180" s="4"/>
      <c r="Q1180" s="4"/>
    </row>
    <row r="1181" spans="4:17" x14ac:dyDescent="0.25">
      <c r="D1181" s="4"/>
      <c r="E1181" s="4"/>
      <c r="F1181" s="4"/>
      <c r="G1181" s="4"/>
      <c r="H1181" s="4"/>
      <c r="I1181" s="4"/>
      <c r="J1181" s="7"/>
      <c r="K1181" s="4"/>
      <c r="L1181" s="4"/>
      <c r="M1181" s="4"/>
      <c r="N1181" s="4"/>
      <c r="O1181" s="4"/>
      <c r="P1181" s="4"/>
      <c r="Q1181" s="4"/>
    </row>
    <row r="1182" spans="4:17" x14ac:dyDescent="0.25">
      <c r="D1182" s="4"/>
      <c r="E1182" s="4"/>
      <c r="F1182" s="4"/>
      <c r="G1182" s="4"/>
      <c r="H1182" s="4"/>
      <c r="I1182" s="4"/>
      <c r="J1182" s="7"/>
      <c r="K1182" s="4"/>
      <c r="L1182" s="4"/>
      <c r="M1182" s="4"/>
      <c r="N1182" s="4"/>
      <c r="O1182" s="4"/>
      <c r="P1182" s="4"/>
      <c r="Q1182" s="4"/>
    </row>
    <row r="1183" spans="4:17" x14ac:dyDescent="0.25">
      <c r="D1183" s="4"/>
      <c r="E1183" s="4"/>
      <c r="F1183" s="4"/>
      <c r="G1183" s="4"/>
      <c r="H1183" s="4"/>
      <c r="I1183" s="4"/>
      <c r="J1183" s="7"/>
      <c r="K1183" s="4"/>
      <c r="L1183" s="4"/>
      <c r="M1183" s="4"/>
      <c r="N1183" s="4"/>
      <c r="O1183" s="4"/>
      <c r="P1183" s="4"/>
      <c r="Q1183" s="4"/>
    </row>
    <row r="1184" spans="4:17" x14ac:dyDescent="0.25">
      <c r="D1184" s="4"/>
      <c r="E1184" s="4"/>
      <c r="F1184" s="4"/>
      <c r="G1184" s="4"/>
      <c r="H1184" s="4"/>
      <c r="I1184" s="4"/>
      <c r="J1184" s="7"/>
      <c r="K1184" s="4"/>
      <c r="L1184" s="4"/>
      <c r="M1184" s="4"/>
      <c r="N1184" s="4"/>
      <c r="O1184" s="4"/>
      <c r="P1184" s="4"/>
      <c r="Q1184" s="4"/>
    </row>
    <row r="1185" spans="4:17" x14ac:dyDescent="0.25">
      <c r="D1185" s="4"/>
      <c r="E1185" s="4"/>
      <c r="F1185" s="4"/>
      <c r="G1185" s="4"/>
      <c r="H1185" s="4"/>
      <c r="I1185" s="4"/>
      <c r="J1185" s="7"/>
      <c r="K1185" s="4"/>
      <c r="L1185" s="4"/>
      <c r="M1185" s="4"/>
      <c r="N1185" s="4"/>
      <c r="O1185" s="4"/>
      <c r="P1185" s="4"/>
      <c r="Q1185" s="4"/>
    </row>
    <row r="1186" spans="4:17" x14ac:dyDescent="0.25">
      <c r="D1186" s="4"/>
      <c r="E1186" s="4"/>
      <c r="F1186" s="4"/>
      <c r="G1186" s="4"/>
      <c r="H1186" s="4"/>
      <c r="I1186" s="4"/>
      <c r="J1186" s="7"/>
      <c r="K1186" s="4"/>
      <c r="L1186" s="4"/>
      <c r="M1186" s="4"/>
      <c r="N1186" s="4"/>
      <c r="O1186" s="4"/>
      <c r="P1186" s="4"/>
      <c r="Q1186" s="4"/>
    </row>
    <row r="1187" spans="4:17" x14ac:dyDescent="0.25">
      <c r="D1187" s="4"/>
      <c r="E1187" s="4"/>
      <c r="F1187" s="4"/>
      <c r="G1187" s="4"/>
      <c r="H1187" s="4"/>
      <c r="I1187" s="4"/>
      <c r="J1187" s="7"/>
      <c r="K1187" s="4"/>
      <c r="L1187" s="4"/>
      <c r="M1187" s="4"/>
      <c r="N1187" s="4"/>
      <c r="O1187" s="4"/>
      <c r="P1187" s="4"/>
      <c r="Q1187" s="4"/>
    </row>
    <row r="1188" spans="4:17" x14ac:dyDescent="0.25">
      <c r="D1188" s="4"/>
      <c r="E1188" s="4"/>
      <c r="F1188" s="4"/>
      <c r="G1188" s="4"/>
      <c r="H1188" s="4"/>
      <c r="I1188" s="4"/>
      <c r="J1188" s="7"/>
      <c r="K1188" s="4"/>
      <c r="L1188" s="4"/>
      <c r="M1188" s="4"/>
      <c r="N1188" s="4"/>
      <c r="O1188" s="4"/>
      <c r="P1188" s="4"/>
      <c r="Q1188" s="4"/>
    </row>
    <row r="1189" spans="4:17" x14ac:dyDescent="0.25">
      <c r="D1189" s="4"/>
      <c r="E1189" s="4"/>
      <c r="F1189" s="4"/>
      <c r="G1189" s="4"/>
      <c r="H1189" s="4"/>
      <c r="I1189" s="4"/>
      <c r="J1189" s="7"/>
      <c r="K1189" s="4"/>
      <c r="L1189" s="4"/>
      <c r="M1189" s="4"/>
      <c r="N1189" s="4"/>
      <c r="O1189" s="4"/>
      <c r="P1189" s="4"/>
      <c r="Q1189" s="4"/>
    </row>
    <row r="1190" spans="4:17" x14ac:dyDescent="0.25">
      <c r="D1190" s="4"/>
      <c r="E1190" s="4"/>
      <c r="F1190" s="4"/>
      <c r="G1190" s="4"/>
      <c r="H1190" s="4"/>
      <c r="I1190" s="4"/>
      <c r="J1190" s="7"/>
      <c r="K1190" s="4"/>
      <c r="L1190" s="4"/>
      <c r="M1190" s="4"/>
      <c r="N1190" s="4"/>
      <c r="O1190" s="4"/>
      <c r="P1190" s="4"/>
      <c r="Q1190" s="4"/>
    </row>
    <row r="1191" spans="4:17" x14ac:dyDescent="0.25">
      <c r="D1191" s="4"/>
      <c r="E1191" s="4"/>
      <c r="F1191" s="4"/>
      <c r="G1191" s="4"/>
      <c r="H1191" s="4"/>
      <c r="I1191" s="4"/>
      <c r="J1191" s="7"/>
      <c r="K1191" s="4"/>
      <c r="L1191" s="4"/>
      <c r="M1191" s="4"/>
      <c r="N1191" s="4"/>
      <c r="O1191" s="4"/>
      <c r="P1191" s="4"/>
      <c r="Q1191" s="4"/>
    </row>
    <row r="1192" spans="4:17" x14ac:dyDescent="0.25">
      <c r="D1192" s="4"/>
      <c r="E1192" s="4"/>
      <c r="F1192" s="4"/>
      <c r="G1192" s="4"/>
      <c r="H1192" s="4"/>
      <c r="I1192" s="4"/>
      <c r="J1192" s="7"/>
      <c r="K1192" s="4"/>
      <c r="L1192" s="4"/>
      <c r="M1192" s="4"/>
      <c r="N1192" s="4"/>
      <c r="O1192" s="4"/>
      <c r="P1192" s="4"/>
      <c r="Q1192" s="4"/>
    </row>
    <row r="1193" spans="4:17" x14ac:dyDescent="0.25">
      <c r="D1193" s="4"/>
      <c r="E1193" s="4"/>
      <c r="F1193" s="4"/>
      <c r="G1193" s="4"/>
      <c r="H1193" s="4"/>
      <c r="I1193" s="4"/>
      <c r="J1193" s="7"/>
      <c r="K1193" s="4"/>
      <c r="L1193" s="4"/>
      <c r="M1193" s="4"/>
      <c r="N1193" s="4"/>
      <c r="O1193" s="4"/>
      <c r="P1193" s="4"/>
      <c r="Q1193" s="4"/>
    </row>
    <row r="1194" spans="4:17" x14ac:dyDescent="0.25">
      <c r="D1194" s="4"/>
      <c r="E1194" s="4"/>
      <c r="F1194" s="4"/>
      <c r="G1194" s="4"/>
      <c r="H1194" s="4"/>
      <c r="I1194" s="4"/>
      <c r="J1194" s="7"/>
      <c r="K1194" s="4"/>
      <c r="L1194" s="4"/>
      <c r="M1194" s="4"/>
      <c r="N1194" s="4"/>
      <c r="O1194" s="4"/>
      <c r="P1194" s="4"/>
      <c r="Q1194" s="4"/>
    </row>
    <row r="1195" spans="4:17" x14ac:dyDescent="0.25">
      <c r="D1195" s="4"/>
      <c r="E1195" s="4"/>
      <c r="F1195" s="4"/>
      <c r="G1195" s="4"/>
      <c r="H1195" s="4"/>
      <c r="I1195" s="4"/>
      <c r="J1195" s="7"/>
      <c r="K1195" s="4"/>
      <c r="L1195" s="4"/>
      <c r="M1195" s="4"/>
      <c r="N1195" s="4"/>
      <c r="O1195" s="4"/>
      <c r="P1195" s="4"/>
      <c r="Q1195" s="4"/>
    </row>
    <row r="1196" spans="4:17" x14ac:dyDescent="0.25">
      <c r="D1196" s="4"/>
      <c r="E1196" s="4"/>
      <c r="F1196" s="4"/>
      <c r="G1196" s="4"/>
      <c r="H1196" s="4"/>
      <c r="I1196" s="4"/>
      <c r="J1196" s="7"/>
      <c r="K1196" s="4"/>
      <c r="L1196" s="4"/>
      <c r="M1196" s="4"/>
      <c r="N1196" s="4"/>
      <c r="O1196" s="4"/>
      <c r="P1196" s="4"/>
      <c r="Q1196" s="4"/>
    </row>
    <row r="1197" spans="4:17" x14ac:dyDescent="0.25">
      <c r="D1197" s="4"/>
      <c r="E1197" s="4"/>
      <c r="F1197" s="4"/>
      <c r="G1197" s="4"/>
      <c r="H1197" s="4"/>
      <c r="I1197" s="4"/>
      <c r="J1197" s="7"/>
      <c r="K1197" s="4"/>
      <c r="L1197" s="4"/>
      <c r="M1197" s="4"/>
      <c r="N1197" s="4"/>
      <c r="O1197" s="4"/>
      <c r="P1197" s="4"/>
      <c r="Q1197" s="4"/>
    </row>
    <row r="1198" spans="4:17" x14ac:dyDescent="0.25">
      <c r="D1198" s="4"/>
      <c r="E1198" s="4"/>
      <c r="F1198" s="4"/>
      <c r="G1198" s="4"/>
      <c r="H1198" s="4"/>
      <c r="I1198" s="4"/>
      <c r="J1198" s="7"/>
      <c r="K1198" s="4"/>
      <c r="L1198" s="4"/>
      <c r="M1198" s="4"/>
      <c r="N1198" s="4"/>
      <c r="O1198" s="4"/>
      <c r="P1198" s="4"/>
      <c r="Q1198" s="4"/>
    </row>
    <row r="1199" spans="4:17" x14ac:dyDescent="0.25">
      <c r="D1199" s="4"/>
      <c r="E1199" s="4"/>
      <c r="F1199" s="4"/>
      <c r="G1199" s="4"/>
      <c r="H1199" s="4"/>
      <c r="I1199" s="4"/>
      <c r="J1199" s="7"/>
      <c r="K1199" s="4"/>
      <c r="L1199" s="4"/>
      <c r="M1199" s="4"/>
      <c r="N1199" s="4"/>
      <c r="O1199" s="4"/>
      <c r="P1199" s="4"/>
      <c r="Q1199" s="4"/>
    </row>
    <row r="1200" spans="4:17" x14ac:dyDescent="0.25">
      <c r="D1200" s="4"/>
      <c r="E1200" s="4"/>
      <c r="F1200" s="4"/>
      <c r="G1200" s="4"/>
      <c r="H1200" s="4"/>
      <c r="I1200" s="4"/>
      <c r="J1200" s="7"/>
      <c r="K1200" s="4"/>
      <c r="L1200" s="4"/>
      <c r="M1200" s="4"/>
      <c r="N1200" s="4"/>
      <c r="O1200" s="4"/>
      <c r="P1200" s="4"/>
      <c r="Q1200" s="4"/>
    </row>
    <row r="1201" spans="4:17" x14ac:dyDescent="0.25">
      <c r="D1201" s="4"/>
      <c r="E1201" s="4"/>
      <c r="F1201" s="4"/>
      <c r="G1201" s="4"/>
      <c r="H1201" s="4"/>
      <c r="I1201" s="4"/>
      <c r="J1201" s="7"/>
      <c r="K1201" s="4"/>
      <c r="L1201" s="4"/>
      <c r="M1201" s="4"/>
      <c r="N1201" s="4"/>
      <c r="O1201" s="4"/>
      <c r="P1201" s="4"/>
      <c r="Q1201" s="4"/>
    </row>
    <row r="1202" spans="4:17" x14ac:dyDescent="0.25">
      <c r="D1202" s="4"/>
      <c r="E1202" s="4"/>
      <c r="F1202" s="4"/>
      <c r="G1202" s="4"/>
      <c r="H1202" s="4"/>
      <c r="I1202" s="4"/>
      <c r="J1202" s="7"/>
      <c r="K1202" s="4"/>
      <c r="L1202" s="4"/>
      <c r="M1202" s="4"/>
      <c r="N1202" s="4"/>
      <c r="O1202" s="4"/>
      <c r="P1202" s="4"/>
      <c r="Q1202" s="4"/>
    </row>
    <row r="1203" spans="4:17" x14ac:dyDescent="0.25">
      <c r="D1203" s="4"/>
      <c r="E1203" s="4"/>
      <c r="F1203" s="4"/>
      <c r="G1203" s="4"/>
      <c r="H1203" s="4"/>
      <c r="I1203" s="4"/>
      <c r="J1203" s="7"/>
      <c r="K1203" s="4"/>
      <c r="L1203" s="4"/>
      <c r="M1203" s="4"/>
      <c r="N1203" s="4"/>
      <c r="O1203" s="4"/>
      <c r="P1203" s="4"/>
      <c r="Q1203" s="4"/>
    </row>
    <row r="1204" spans="4:17" x14ac:dyDescent="0.25">
      <c r="D1204" s="4"/>
      <c r="E1204" s="4"/>
      <c r="F1204" s="4"/>
      <c r="G1204" s="4"/>
      <c r="H1204" s="4"/>
      <c r="I1204" s="4"/>
      <c r="J1204" s="7"/>
      <c r="K1204" s="4"/>
      <c r="L1204" s="4"/>
      <c r="M1204" s="4"/>
      <c r="N1204" s="4"/>
      <c r="O1204" s="4"/>
      <c r="P1204" s="4"/>
      <c r="Q1204" s="4"/>
    </row>
    <row r="1205" spans="4:17" x14ac:dyDescent="0.25">
      <c r="D1205" s="4"/>
      <c r="E1205" s="4"/>
      <c r="F1205" s="4"/>
      <c r="G1205" s="4"/>
      <c r="H1205" s="4"/>
      <c r="I1205" s="4"/>
      <c r="J1205" s="7"/>
      <c r="K1205" s="4"/>
      <c r="L1205" s="4"/>
      <c r="M1205" s="4"/>
      <c r="N1205" s="4"/>
      <c r="O1205" s="4"/>
      <c r="P1205" s="4"/>
      <c r="Q1205" s="4"/>
    </row>
    <row r="1206" spans="4:17" x14ac:dyDescent="0.25">
      <c r="D1206" s="4"/>
      <c r="E1206" s="4"/>
      <c r="F1206" s="4"/>
      <c r="G1206" s="4"/>
      <c r="H1206" s="4"/>
      <c r="I1206" s="4"/>
      <c r="J1206" s="7"/>
      <c r="K1206" s="4"/>
      <c r="L1206" s="4"/>
      <c r="M1206" s="4"/>
      <c r="N1206" s="4"/>
      <c r="O1206" s="4"/>
      <c r="P1206" s="4"/>
      <c r="Q1206" s="4"/>
    </row>
    <row r="1207" spans="4:17" x14ac:dyDescent="0.25">
      <c r="D1207" s="4"/>
      <c r="E1207" s="4"/>
      <c r="F1207" s="4"/>
      <c r="G1207" s="4"/>
      <c r="H1207" s="4"/>
      <c r="I1207" s="4"/>
      <c r="J1207" s="7"/>
      <c r="K1207" s="4"/>
      <c r="L1207" s="4"/>
      <c r="M1207" s="4"/>
      <c r="N1207" s="4"/>
      <c r="O1207" s="4"/>
      <c r="P1207" s="4"/>
      <c r="Q1207" s="4"/>
    </row>
    <row r="1208" spans="4:17" x14ac:dyDescent="0.25">
      <c r="D1208" s="4"/>
      <c r="E1208" s="4"/>
      <c r="F1208" s="4"/>
      <c r="G1208" s="4"/>
      <c r="H1208" s="4"/>
      <c r="I1208" s="4"/>
      <c r="J1208" s="7"/>
      <c r="K1208" s="4"/>
      <c r="L1208" s="4"/>
      <c r="M1208" s="4"/>
      <c r="N1208" s="4"/>
      <c r="O1208" s="4"/>
      <c r="P1208" s="4"/>
      <c r="Q1208" s="4"/>
    </row>
    <row r="1209" spans="4:17" x14ac:dyDescent="0.25">
      <c r="D1209" s="4"/>
      <c r="E1209" s="4"/>
      <c r="F1209" s="4"/>
      <c r="G1209" s="4"/>
      <c r="H1209" s="4"/>
      <c r="I1209" s="4"/>
      <c r="J1209" s="7"/>
      <c r="K1209" s="4"/>
      <c r="L1209" s="4"/>
      <c r="M1209" s="4"/>
      <c r="N1209" s="4"/>
      <c r="O1209" s="4"/>
      <c r="P1209" s="4"/>
      <c r="Q1209" s="4"/>
    </row>
    <row r="1210" spans="4:17" x14ac:dyDescent="0.25">
      <c r="D1210" s="4"/>
      <c r="E1210" s="4"/>
      <c r="F1210" s="4"/>
      <c r="G1210" s="4"/>
      <c r="H1210" s="4"/>
      <c r="I1210" s="4"/>
      <c r="J1210" s="7"/>
      <c r="K1210" s="4"/>
      <c r="L1210" s="4"/>
      <c r="M1210" s="4"/>
      <c r="N1210" s="4"/>
      <c r="O1210" s="4"/>
      <c r="P1210" s="4"/>
      <c r="Q1210" s="4"/>
    </row>
    <row r="1211" spans="4:17" x14ac:dyDescent="0.25">
      <c r="D1211" s="4"/>
      <c r="E1211" s="4"/>
      <c r="F1211" s="4"/>
      <c r="G1211" s="4"/>
      <c r="H1211" s="4"/>
      <c r="I1211" s="4"/>
      <c r="J1211" s="7"/>
      <c r="K1211" s="4"/>
      <c r="L1211" s="4"/>
      <c r="M1211" s="4"/>
      <c r="N1211" s="4"/>
      <c r="O1211" s="4"/>
      <c r="P1211" s="4"/>
      <c r="Q1211" s="4"/>
    </row>
    <row r="1212" spans="4:17" x14ac:dyDescent="0.25">
      <c r="D1212" s="4"/>
      <c r="E1212" s="4"/>
      <c r="F1212" s="4"/>
      <c r="G1212" s="4"/>
      <c r="H1212" s="4"/>
      <c r="I1212" s="4"/>
      <c r="J1212" s="7"/>
      <c r="K1212" s="4"/>
      <c r="L1212" s="4"/>
      <c r="M1212" s="4"/>
      <c r="N1212" s="4"/>
      <c r="O1212" s="4"/>
      <c r="P1212" s="4"/>
      <c r="Q1212" s="4"/>
    </row>
    <row r="1213" spans="4:17" x14ac:dyDescent="0.25">
      <c r="D1213" s="4"/>
      <c r="E1213" s="4"/>
      <c r="F1213" s="4"/>
      <c r="G1213" s="4"/>
      <c r="H1213" s="4"/>
      <c r="I1213" s="4"/>
      <c r="J1213" s="7"/>
      <c r="K1213" s="4"/>
      <c r="L1213" s="4"/>
      <c r="M1213" s="4"/>
      <c r="N1213" s="4"/>
      <c r="O1213" s="4"/>
      <c r="P1213" s="4"/>
      <c r="Q1213" s="4"/>
    </row>
    <row r="1214" spans="4:17" x14ac:dyDescent="0.25">
      <c r="D1214" s="4"/>
      <c r="E1214" s="4"/>
      <c r="F1214" s="4"/>
      <c r="G1214" s="4"/>
      <c r="H1214" s="4"/>
      <c r="I1214" s="4"/>
      <c r="J1214" s="7"/>
      <c r="K1214" s="4"/>
      <c r="L1214" s="4"/>
      <c r="M1214" s="4"/>
      <c r="N1214" s="4"/>
      <c r="O1214" s="4"/>
      <c r="P1214" s="4"/>
      <c r="Q1214" s="4"/>
    </row>
    <row r="1215" spans="4:17" x14ac:dyDescent="0.25">
      <c r="D1215" s="4"/>
      <c r="E1215" s="4"/>
      <c r="F1215" s="4"/>
      <c r="G1215" s="4"/>
      <c r="H1215" s="4"/>
      <c r="I1215" s="4"/>
      <c r="J1215" s="7"/>
      <c r="K1215" s="4"/>
      <c r="L1215" s="4"/>
      <c r="M1215" s="4"/>
      <c r="N1215" s="4"/>
      <c r="O1215" s="4"/>
      <c r="P1215" s="4"/>
      <c r="Q1215" s="4"/>
    </row>
    <row r="1216" spans="4:17" x14ac:dyDescent="0.25">
      <c r="D1216" s="4"/>
      <c r="E1216" s="4"/>
      <c r="F1216" s="4"/>
      <c r="G1216" s="4"/>
      <c r="H1216" s="4"/>
      <c r="I1216" s="4"/>
      <c r="J1216" s="7"/>
      <c r="K1216" s="4"/>
      <c r="L1216" s="4"/>
      <c r="M1216" s="4"/>
      <c r="N1216" s="4"/>
      <c r="O1216" s="4"/>
      <c r="P1216" s="4"/>
      <c r="Q1216" s="4"/>
    </row>
    <row r="1217" spans="4:17" x14ac:dyDescent="0.25">
      <c r="D1217" s="4"/>
      <c r="E1217" s="4"/>
      <c r="F1217" s="4"/>
      <c r="G1217" s="4"/>
      <c r="H1217" s="4"/>
      <c r="I1217" s="4"/>
      <c r="J1217" s="7"/>
      <c r="K1217" s="4"/>
      <c r="L1217" s="4"/>
      <c r="M1217" s="4"/>
      <c r="N1217" s="4"/>
      <c r="O1217" s="4"/>
      <c r="P1217" s="4"/>
      <c r="Q1217" s="4"/>
    </row>
    <row r="1218" spans="4:17" x14ac:dyDescent="0.25">
      <c r="D1218" s="4"/>
      <c r="E1218" s="4"/>
      <c r="F1218" s="4"/>
      <c r="G1218" s="4"/>
      <c r="H1218" s="4"/>
      <c r="I1218" s="4"/>
      <c r="J1218" s="7"/>
      <c r="K1218" s="4"/>
      <c r="L1218" s="4"/>
      <c r="M1218" s="4"/>
      <c r="N1218" s="4"/>
      <c r="O1218" s="4"/>
      <c r="P1218" s="4"/>
      <c r="Q1218" s="4"/>
    </row>
    <row r="1219" spans="4:17" x14ac:dyDescent="0.25">
      <c r="D1219" s="4"/>
      <c r="E1219" s="4"/>
      <c r="F1219" s="4"/>
      <c r="G1219" s="4"/>
      <c r="H1219" s="4"/>
      <c r="I1219" s="4"/>
      <c r="J1219" s="7"/>
      <c r="K1219" s="4"/>
      <c r="L1219" s="4"/>
      <c r="M1219" s="4"/>
      <c r="N1219" s="4"/>
      <c r="O1219" s="4"/>
      <c r="P1219" s="4"/>
      <c r="Q1219" s="4"/>
    </row>
    <row r="1220" spans="4:17" x14ac:dyDescent="0.25">
      <c r="D1220" s="4"/>
      <c r="E1220" s="4"/>
      <c r="F1220" s="4"/>
      <c r="G1220" s="4"/>
      <c r="H1220" s="4"/>
      <c r="I1220" s="4"/>
      <c r="J1220" s="7"/>
      <c r="K1220" s="4"/>
      <c r="L1220" s="4"/>
      <c r="M1220" s="4"/>
      <c r="N1220" s="4"/>
      <c r="O1220" s="4"/>
      <c r="P1220" s="4"/>
      <c r="Q1220" s="4"/>
    </row>
    <row r="1221" spans="4:17" x14ac:dyDescent="0.25">
      <c r="D1221" s="4"/>
      <c r="E1221" s="4"/>
      <c r="F1221" s="4"/>
      <c r="G1221" s="4"/>
      <c r="H1221" s="4"/>
      <c r="I1221" s="4"/>
      <c r="J1221" s="7"/>
      <c r="K1221" s="4"/>
      <c r="L1221" s="4"/>
      <c r="M1221" s="4"/>
      <c r="N1221" s="4"/>
      <c r="O1221" s="4"/>
      <c r="P1221" s="4"/>
      <c r="Q1221" s="4"/>
    </row>
    <row r="1222" spans="4:17" x14ac:dyDescent="0.25">
      <c r="D1222" s="4"/>
      <c r="E1222" s="4"/>
      <c r="F1222" s="4"/>
      <c r="G1222" s="4"/>
      <c r="H1222" s="4"/>
      <c r="I1222" s="4"/>
      <c r="J1222" s="7"/>
      <c r="K1222" s="4"/>
      <c r="L1222" s="4"/>
      <c r="M1222" s="4"/>
      <c r="N1222" s="4"/>
      <c r="O1222" s="4"/>
      <c r="P1222" s="4"/>
      <c r="Q1222" s="4"/>
    </row>
    <row r="1223" spans="4:17" x14ac:dyDescent="0.25">
      <c r="D1223" s="4"/>
      <c r="E1223" s="4"/>
      <c r="F1223" s="4"/>
      <c r="G1223" s="4"/>
      <c r="H1223" s="4"/>
      <c r="I1223" s="4"/>
      <c r="J1223" s="7"/>
      <c r="K1223" s="4"/>
      <c r="L1223" s="4"/>
      <c r="M1223" s="4"/>
      <c r="N1223" s="4"/>
      <c r="O1223" s="4"/>
      <c r="P1223" s="4"/>
      <c r="Q1223" s="4"/>
    </row>
    <row r="1224" spans="4:17" x14ac:dyDescent="0.25">
      <c r="D1224" s="4"/>
      <c r="E1224" s="4"/>
      <c r="F1224" s="4"/>
      <c r="G1224" s="4"/>
      <c r="H1224" s="4"/>
      <c r="I1224" s="4"/>
      <c r="J1224" s="7"/>
      <c r="K1224" s="4"/>
      <c r="L1224" s="4"/>
      <c r="M1224" s="4"/>
      <c r="N1224" s="4"/>
      <c r="O1224" s="4"/>
      <c r="P1224" s="4"/>
      <c r="Q1224" s="4"/>
    </row>
    <row r="1225" spans="4:17" x14ac:dyDescent="0.25">
      <c r="D1225" s="4"/>
      <c r="E1225" s="4"/>
      <c r="F1225" s="4"/>
      <c r="G1225" s="4"/>
      <c r="H1225" s="4"/>
      <c r="I1225" s="4"/>
      <c r="J1225" s="7"/>
      <c r="K1225" s="4"/>
      <c r="L1225" s="4"/>
      <c r="M1225" s="4"/>
      <c r="N1225" s="4"/>
      <c r="O1225" s="4"/>
      <c r="P1225" s="4"/>
      <c r="Q1225" s="4"/>
    </row>
    <row r="1226" spans="4:17" x14ac:dyDescent="0.25">
      <c r="D1226" s="4"/>
      <c r="E1226" s="4"/>
      <c r="F1226" s="4"/>
      <c r="G1226" s="4"/>
      <c r="H1226" s="4"/>
      <c r="I1226" s="4"/>
      <c r="J1226" s="7"/>
      <c r="K1226" s="4"/>
      <c r="L1226" s="4"/>
      <c r="M1226" s="4"/>
      <c r="N1226" s="4"/>
      <c r="O1226" s="4"/>
      <c r="P1226" s="4"/>
      <c r="Q1226" s="4"/>
    </row>
    <row r="1227" spans="4:17" x14ac:dyDescent="0.25">
      <c r="D1227" s="4"/>
      <c r="E1227" s="4"/>
      <c r="F1227" s="4"/>
      <c r="G1227" s="4"/>
      <c r="H1227" s="4"/>
      <c r="I1227" s="4"/>
      <c r="J1227" s="7"/>
      <c r="K1227" s="4"/>
      <c r="L1227" s="4"/>
      <c r="M1227" s="4"/>
      <c r="N1227" s="4"/>
      <c r="O1227" s="4"/>
      <c r="P1227" s="4"/>
      <c r="Q1227" s="4"/>
    </row>
    <row r="1228" spans="4:17" x14ac:dyDescent="0.25">
      <c r="D1228" s="4"/>
      <c r="E1228" s="4"/>
      <c r="F1228" s="4"/>
      <c r="G1228" s="4"/>
      <c r="H1228" s="4"/>
      <c r="I1228" s="4"/>
      <c r="J1228" s="7"/>
      <c r="K1228" s="4"/>
      <c r="L1228" s="4"/>
      <c r="M1228" s="4"/>
      <c r="N1228" s="4"/>
      <c r="O1228" s="4"/>
      <c r="P1228" s="4"/>
      <c r="Q1228" s="4"/>
    </row>
    <row r="1229" spans="4:17" x14ac:dyDescent="0.25">
      <c r="D1229" s="4"/>
      <c r="E1229" s="4"/>
      <c r="F1229" s="4"/>
      <c r="G1229" s="4"/>
      <c r="H1229" s="4"/>
      <c r="I1229" s="4"/>
      <c r="J1229" s="7"/>
      <c r="K1229" s="4"/>
      <c r="L1229" s="4"/>
      <c r="M1229" s="4"/>
      <c r="N1229" s="4"/>
      <c r="O1229" s="4"/>
      <c r="P1229" s="4"/>
      <c r="Q1229" s="4"/>
    </row>
    <row r="1230" spans="4:17" x14ac:dyDescent="0.25">
      <c r="D1230" s="4"/>
      <c r="E1230" s="4"/>
      <c r="F1230" s="4"/>
      <c r="G1230" s="4"/>
      <c r="H1230" s="4"/>
      <c r="I1230" s="4"/>
      <c r="J1230" s="7"/>
      <c r="K1230" s="4"/>
      <c r="L1230" s="4"/>
      <c r="M1230" s="4"/>
      <c r="N1230" s="4"/>
      <c r="O1230" s="4"/>
      <c r="P1230" s="4"/>
      <c r="Q1230" s="4"/>
    </row>
    <row r="1231" spans="4:17" x14ac:dyDescent="0.25">
      <c r="D1231" s="4"/>
      <c r="E1231" s="4"/>
      <c r="F1231" s="4"/>
      <c r="G1231" s="4"/>
      <c r="H1231" s="4"/>
      <c r="I1231" s="4"/>
      <c r="J1231" s="7"/>
      <c r="K1231" s="4"/>
      <c r="L1231" s="4"/>
      <c r="M1231" s="4"/>
      <c r="N1231" s="4"/>
      <c r="O1231" s="4"/>
      <c r="P1231" s="4"/>
      <c r="Q1231" s="4"/>
    </row>
    <row r="1232" spans="4:17" x14ac:dyDescent="0.25">
      <c r="D1232" s="4"/>
      <c r="E1232" s="4"/>
      <c r="F1232" s="4"/>
      <c r="G1232" s="4"/>
      <c r="H1232" s="4"/>
      <c r="I1232" s="4"/>
      <c r="J1232" s="7"/>
      <c r="K1232" s="4"/>
      <c r="L1232" s="4"/>
      <c r="M1232" s="4"/>
      <c r="N1232" s="4"/>
      <c r="O1232" s="4"/>
      <c r="P1232" s="4"/>
      <c r="Q1232" s="4"/>
    </row>
    <row r="1233" spans="4:17" x14ac:dyDescent="0.25">
      <c r="D1233" s="4"/>
      <c r="E1233" s="4"/>
      <c r="F1233" s="4"/>
      <c r="G1233" s="4"/>
      <c r="H1233" s="4"/>
      <c r="I1233" s="4"/>
      <c r="J1233" s="7"/>
      <c r="K1233" s="4"/>
      <c r="L1233" s="4"/>
      <c r="M1233" s="4"/>
      <c r="N1233" s="4"/>
      <c r="O1233" s="4"/>
      <c r="P1233" s="4"/>
      <c r="Q1233" s="4"/>
    </row>
    <row r="1234" spans="4:17" x14ac:dyDescent="0.25">
      <c r="D1234" s="4"/>
      <c r="E1234" s="4"/>
      <c r="F1234" s="4"/>
      <c r="G1234" s="4"/>
      <c r="H1234" s="4"/>
      <c r="I1234" s="4"/>
      <c r="J1234" s="7"/>
      <c r="K1234" s="4"/>
      <c r="L1234" s="4"/>
      <c r="M1234" s="4"/>
      <c r="N1234" s="4"/>
      <c r="O1234" s="4"/>
      <c r="P1234" s="4"/>
      <c r="Q1234" s="4"/>
    </row>
    <row r="1235" spans="4:17" x14ac:dyDescent="0.25">
      <c r="D1235" s="4"/>
      <c r="E1235" s="4"/>
      <c r="F1235" s="4"/>
      <c r="G1235" s="4"/>
      <c r="H1235" s="4"/>
      <c r="I1235" s="4"/>
      <c r="J1235" s="7"/>
      <c r="K1235" s="4"/>
      <c r="L1235" s="4"/>
      <c r="M1235" s="4"/>
      <c r="N1235" s="4"/>
      <c r="O1235" s="4"/>
      <c r="P1235" s="4"/>
      <c r="Q1235" s="4"/>
    </row>
    <row r="1236" spans="4:17" x14ac:dyDescent="0.25">
      <c r="D1236" s="4"/>
      <c r="E1236" s="4"/>
      <c r="F1236" s="4"/>
      <c r="G1236" s="4"/>
      <c r="H1236" s="4"/>
      <c r="I1236" s="4"/>
      <c r="J1236" s="7"/>
      <c r="K1236" s="4"/>
      <c r="L1236" s="4"/>
      <c r="M1236" s="4"/>
      <c r="N1236" s="4"/>
      <c r="O1236" s="4"/>
      <c r="P1236" s="4"/>
      <c r="Q1236" s="4"/>
    </row>
    <row r="1237" spans="4:17" x14ac:dyDescent="0.25">
      <c r="D1237" s="4"/>
      <c r="E1237" s="4"/>
      <c r="F1237" s="4"/>
      <c r="G1237" s="4"/>
      <c r="H1237" s="4"/>
      <c r="I1237" s="4"/>
      <c r="J1237" s="7"/>
      <c r="K1237" s="4"/>
      <c r="L1237" s="4"/>
      <c r="M1237" s="4"/>
      <c r="N1237" s="4"/>
      <c r="O1237" s="4"/>
      <c r="P1237" s="4"/>
      <c r="Q1237" s="4"/>
    </row>
    <row r="1238" spans="4:17" x14ac:dyDescent="0.25">
      <c r="D1238" s="4"/>
      <c r="E1238" s="4"/>
      <c r="F1238" s="4"/>
      <c r="G1238" s="4"/>
      <c r="H1238" s="4"/>
      <c r="I1238" s="4"/>
      <c r="J1238" s="7"/>
      <c r="K1238" s="4"/>
      <c r="L1238" s="4"/>
      <c r="M1238" s="4"/>
      <c r="N1238" s="4"/>
      <c r="O1238" s="4"/>
      <c r="P1238" s="4"/>
      <c r="Q1238" s="4"/>
    </row>
    <row r="1239" spans="4:17" x14ac:dyDescent="0.25">
      <c r="D1239" s="4"/>
      <c r="E1239" s="4"/>
      <c r="F1239" s="4"/>
      <c r="G1239" s="4"/>
      <c r="H1239" s="4"/>
      <c r="I1239" s="4"/>
      <c r="J1239" s="7"/>
      <c r="K1239" s="4"/>
      <c r="L1239" s="4"/>
      <c r="M1239" s="4"/>
      <c r="N1239" s="4"/>
      <c r="O1239" s="4"/>
      <c r="P1239" s="4"/>
      <c r="Q1239" s="4"/>
    </row>
    <row r="1240" spans="4:17" x14ac:dyDescent="0.25">
      <c r="D1240" s="4"/>
      <c r="E1240" s="4"/>
      <c r="F1240" s="4"/>
      <c r="G1240" s="4"/>
      <c r="H1240" s="4"/>
      <c r="I1240" s="4"/>
      <c r="J1240" s="7"/>
      <c r="K1240" s="4"/>
      <c r="L1240" s="4"/>
      <c r="M1240" s="4"/>
      <c r="N1240" s="4"/>
      <c r="O1240" s="4"/>
      <c r="P1240" s="4"/>
      <c r="Q1240" s="4"/>
    </row>
    <row r="1241" spans="4:17" x14ac:dyDescent="0.25">
      <c r="D1241" s="4"/>
      <c r="E1241" s="4"/>
      <c r="F1241" s="4"/>
      <c r="G1241" s="4"/>
      <c r="H1241" s="4"/>
      <c r="I1241" s="4"/>
      <c r="J1241" s="7"/>
      <c r="K1241" s="4"/>
      <c r="L1241" s="4"/>
      <c r="M1241" s="4"/>
      <c r="N1241" s="4"/>
      <c r="O1241" s="4"/>
      <c r="P1241" s="4"/>
      <c r="Q1241" s="4"/>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Z302"/>
  <sheetViews>
    <sheetView zoomScale="110" zoomScaleNormal="110" workbookViewId="0"/>
  </sheetViews>
  <sheetFormatPr defaultColWidth="9.140625" defaultRowHeight="11.25" x14ac:dyDescent="0.2"/>
  <cols>
    <col min="1" max="1" width="3.7109375" style="4" bestFit="1" customWidth="1"/>
    <col min="2" max="2" width="28.140625" style="4" customWidth="1"/>
    <col min="3" max="3" width="16.5703125" style="148" customWidth="1"/>
    <col min="4" max="9" width="14.42578125" style="148" bestFit="1" customWidth="1"/>
    <col min="10" max="10" width="14" style="148" customWidth="1"/>
    <col min="11" max="11" width="9.28515625" style="4" bestFit="1" customWidth="1"/>
    <col min="12" max="12" width="16.85546875" style="41" bestFit="1" customWidth="1"/>
    <col min="13" max="18" width="14.28515625" style="41" bestFit="1" customWidth="1"/>
    <col min="19" max="20" width="14.28515625" style="41" customWidth="1"/>
    <col min="21" max="21" width="9.140625" style="4"/>
    <col min="22" max="22" width="16.85546875" style="41" bestFit="1" customWidth="1"/>
    <col min="23" max="30" width="14.28515625" style="41" bestFit="1" customWidth="1"/>
    <col min="31" max="31" width="14.28515625" style="41" customWidth="1"/>
    <col min="32" max="39" width="6.140625" style="303" bestFit="1" customWidth="1"/>
    <col min="40" max="47" width="6.140625" style="303" customWidth="1"/>
    <col min="48" max="50" width="9.7109375" style="4" bestFit="1" customWidth="1"/>
    <col min="51" max="16384" width="9.140625" style="4"/>
  </cols>
  <sheetData>
    <row r="1" spans="1:52" x14ac:dyDescent="0.2">
      <c r="B1" s="8"/>
      <c r="C1" s="431"/>
      <c r="D1" s="432"/>
      <c r="E1" s="432"/>
      <c r="F1" s="432"/>
      <c r="G1" s="432"/>
      <c r="H1" s="432"/>
      <c r="I1" s="432"/>
      <c r="J1" s="432"/>
      <c r="K1" s="43"/>
      <c r="L1" s="122"/>
      <c r="M1" s="159"/>
      <c r="N1" s="159"/>
      <c r="O1" s="43"/>
      <c r="P1" s="43"/>
      <c r="V1" s="297" t="s">
        <v>760</v>
      </c>
      <c r="W1" s="43"/>
      <c r="X1" s="43"/>
      <c r="Y1" s="43"/>
      <c r="Z1" s="43"/>
      <c r="AF1" s="301" t="s">
        <v>761</v>
      </c>
      <c r="AG1" s="392"/>
      <c r="AH1" s="392"/>
      <c r="AI1" s="302"/>
      <c r="AV1" s="279" t="s">
        <v>817</v>
      </c>
    </row>
    <row r="2" spans="1:52" x14ac:dyDescent="0.2">
      <c r="B2" s="391" t="s">
        <v>792</v>
      </c>
      <c r="C2" s="433"/>
      <c r="D2" s="432"/>
      <c r="E2" s="432"/>
      <c r="F2" s="432"/>
      <c r="G2" s="432"/>
      <c r="H2" s="432"/>
      <c r="I2" s="432"/>
      <c r="J2" s="432"/>
      <c r="K2" s="1"/>
      <c r="L2" s="300" t="s">
        <v>759</v>
      </c>
      <c r="M2" s="334">
        <f>M4/L4</f>
        <v>0.99238048365730891</v>
      </c>
      <c r="N2" s="334">
        <f>N4/M4</f>
        <v>1.0589662393977775</v>
      </c>
      <c r="O2" s="334">
        <f t="shared" ref="O2:T2" si="0">O4/N4</f>
        <v>0.99500303202167772</v>
      </c>
      <c r="P2" s="334">
        <f t="shared" si="0"/>
        <v>0.99633640781138655</v>
      </c>
      <c r="Q2" s="334">
        <f t="shared" si="0"/>
        <v>0.99262427768676231</v>
      </c>
      <c r="R2" s="334">
        <f t="shared" si="0"/>
        <v>0.99250271840189486</v>
      </c>
      <c r="S2" s="334">
        <f t="shared" si="0"/>
        <v>0.99305500578299721</v>
      </c>
      <c r="T2" s="334">
        <f t="shared" si="0"/>
        <v>0.99320006027926722</v>
      </c>
      <c r="V2" s="298" t="s">
        <v>720</v>
      </c>
      <c r="W2" s="299">
        <f>Makroennusteet!I2</f>
        <v>2.1000000000000001E-2</v>
      </c>
      <c r="X2" s="299">
        <f>Makroennusteet!J2</f>
        <v>3.4000000000000002E-2</v>
      </c>
      <c r="Y2" s="299">
        <f>Makroennusteet!K2</f>
        <v>3.3000000000000002E-2</v>
      </c>
      <c r="Z2" s="299">
        <f>Makroennusteet!L2</f>
        <v>3.2000000000000001E-2</v>
      </c>
      <c r="AA2" s="299">
        <f>Makroennusteet!M2</f>
        <v>2.7E-2</v>
      </c>
      <c r="AB2" s="299">
        <f>Makroennusteet!N2</f>
        <v>0</v>
      </c>
      <c r="AC2" s="299">
        <f>Makroennusteet!O2</f>
        <v>0</v>
      </c>
      <c r="AD2" s="299">
        <f>Makroennusteet!P2</f>
        <v>0</v>
      </c>
      <c r="AE2" s="299"/>
      <c r="AF2" s="304"/>
      <c r="AG2" s="304"/>
      <c r="AH2" s="304"/>
      <c r="AI2" s="304"/>
      <c r="AJ2" s="304"/>
      <c r="AK2" s="304"/>
      <c r="AV2" s="326" t="s">
        <v>757</v>
      </c>
      <c r="AW2" s="333">
        <f>'2. Toimintakate'!M6</f>
        <v>-14660837.197793595</v>
      </c>
      <c r="AX2" s="326"/>
    </row>
    <row r="3" spans="1:52" x14ac:dyDescent="0.2">
      <c r="C3" s="343">
        <v>2024</v>
      </c>
      <c r="D3" s="343">
        <v>2025</v>
      </c>
      <c r="E3" s="343">
        <v>2026</v>
      </c>
      <c r="F3" s="343">
        <v>2027</v>
      </c>
      <c r="G3" s="343">
        <v>2028</v>
      </c>
      <c r="H3" s="343">
        <v>2029</v>
      </c>
      <c r="I3" s="343">
        <v>2030</v>
      </c>
      <c r="J3" s="343">
        <v>2031</v>
      </c>
      <c r="K3" s="23"/>
      <c r="L3" s="341" t="s">
        <v>818</v>
      </c>
      <c r="M3" s="341">
        <v>2024</v>
      </c>
      <c r="N3" s="341">
        <v>2025</v>
      </c>
      <c r="O3" s="341">
        <v>2026</v>
      </c>
      <c r="P3" s="341">
        <v>2027</v>
      </c>
      <c r="Q3" s="341">
        <v>2028</v>
      </c>
      <c r="R3" s="341">
        <v>2029</v>
      </c>
      <c r="S3" s="341">
        <v>2030</v>
      </c>
      <c r="T3" s="341">
        <v>2031</v>
      </c>
      <c r="U3" s="342"/>
      <c r="V3" s="341">
        <v>2023</v>
      </c>
      <c r="W3" s="341">
        <v>2024</v>
      </c>
      <c r="X3" s="341">
        <v>2025</v>
      </c>
      <c r="Y3" s="341">
        <v>2026</v>
      </c>
      <c r="Z3" s="341">
        <v>2027</v>
      </c>
      <c r="AA3" s="341">
        <v>2028</v>
      </c>
      <c r="AB3" s="341">
        <v>2029</v>
      </c>
      <c r="AC3" s="341">
        <v>2030</v>
      </c>
      <c r="AD3" s="341">
        <v>2031</v>
      </c>
      <c r="AE3" s="192"/>
      <c r="AF3" s="305">
        <v>2024</v>
      </c>
      <c r="AG3" s="305">
        <v>2025</v>
      </c>
      <c r="AH3" s="305">
        <v>2026</v>
      </c>
      <c r="AI3" s="305">
        <v>2027</v>
      </c>
      <c r="AJ3" s="305">
        <v>2028</v>
      </c>
      <c r="AK3" s="305">
        <v>2029</v>
      </c>
      <c r="AL3" s="305">
        <v>2030</v>
      </c>
      <c r="AM3" s="305">
        <v>2031</v>
      </c>
      <c r="AN3" s="332"/>
      <c r="AO3" s="332"/>
      <c r="AP3" s="332"/>
      <c r="AQ3" s="332"/>
      <c r="AR3" s="332"/>
      <c r="AS3" s="332"/>
      <c r="AT3" s="332"/>
      <c r="AU3" s="332"/>
      <c r="AV3" s="305">
        <v>2024</v>
      </c>
      <c r="AW3" s="305"/>
      <c r="AX3" s="305"/>
    </row>
    <row r="4" spans="1:52" x14ac:dyDescent="0.2">
      <c r="B4" s="1" t="s">
        <v>312</v>
      </c>
      <c r="C4" s="338">
        <f>AVERAGE(C6:C298)</f>
        <v>0.98674748972839099</v>
      </c>
      <c r="D4" s="338">
        <f t="shared" ref="D4:J4" si="1">AVERAGE(D6:D298)</f>
        <v>1.0494298554877699</v>
      </c>
      <c r="E4" s="338">
        <f t="shared" si="1"/>
        <v>0.98987551905572491</v>
      </c>
      <c r="F4" s="338">
        <f t="shared" si="1"/>
        <v>0.99171029485653195</v>
      </c>
      <c r="G4" s="338">
        <f t="shared" si="1"/>
        <v>0.98859510280667939</v>
      </c>
      <c r="H4" s="338">
        <f t="shared" si="1"/>
        <v>0.98885005778808566</v>
      </c>
      <c r="I4" s="338">
        <f t="shared" si="1"/>
        <v>0.98934638975936062</v>
      </c>
      <c r="J4" s="338">
        <f t="shared" si="1"/>
        <v>0.98964779419779392</v>
      </c>
      <c r="L4" s="41">
        <f t="shared" ref="L4:T4" si="2">SUM(L6:L298)</f>
        <v>-14269220.700210003</v>
      </c>
      <c r="M4" s="41">
        <f t="shared" si="2"/>
        <v>-14160496.139887286</v>
      </c>
      <c r="N4" s="41">
        <f t="shared" si="2"/>
        <v>-14995487.345263185</v>
      </c>
      <c r="O4" s="41">
        <f t="shared" si="2"/>
        <v>-14920555.375179568</v>
      </c>
      <c r="P4" s="41">
        <f t="shared" si="2"/>
        <v>-14865892.545057286</v>
      </c>
      <c r="Q4" s="41">
        <f t="shared" si="2"/>
        <v>-14756245.849706512</v>
      </c>
      <c r="R4" s="41">
        <f t="shared" si="2"/>
        <v>-14645614.119240392</v>
      </c>
      <c r="S4" s="41">
        <f t="shared" si="2"/>
        <v>-14543900.413877813</v>
      </c>
      <c r="T4" s="41">
        <f t="shared" si="2"/>
        <v>-14445002.767759103</v>
      </c>
      <c r="V4" s="41">
        <f t="shared" ref="V4:AB4" si="3">SUM(V6:V298)</f>
        <v>-14269220.700210003</v>
      </c>
      <c r="W4" s="41">
        <f t="shared" si="3"/>
        <v>-14457866.55882493</v>
      </c>
      <c r="X4" s="41">
        <f t="shared" si="3"/>
        <v>-15505333.915002134</v>
      </c>
      <c r="Y4" s="41">
        <f t="shared" si="3"/>
        <v>-15412933.702560496</v>
      </c>
      <c r="Z4" s="41">
        <f t="shared" si="3"/>
        <v>-15341601.106499122</v>
      </c>
      <c r="AA4" s="41">
        <f t="shared" si="3"/>
        <v>-15154664.487648584</v>
      </c>
      <c r="AB4" s="41">
        <f t="shared" si="3"/>
        <v>-14645614.119240392</v>
      </c>
      <c r="AC4" s="41">
        <f>SUM(AC6:AC298)</f>
        <v>-14543900.413877813</v>
      </c>
      <c r="AD4" s="41">
        <f>SUM(AD6:AD298)</f>
        <v>-14445002.767759103</v>
      </c>
      <c r="AF4" s="303">
        <f t="shared" ref="AF4:AM4" si="4">SUM(AF6:AF298)</f>
        <v>0.99999999999999922</v>
      </c>
      <c r="AG4" s="303">
        <f t="shared" si="4"/>
        <v>1.0000000000000004</v>
      </c>
      <c r="AH4" s="303">
        <f t="shared" si="4"/>
        <v>1.0000000000000007</v>
      </c>
      <c r="AI4" s="303">
        <f t="shared" si="4"/>
        <v>1.0000000000000004</v>
      </c>
      <c r="AJ4" s="303">
        <f t="shared" si="4"/>
        <v>1.0000000000000009</v>
      </c>
      <c r="AK4" s="303">
        <f t="shared" si="4"/>
        <v>0.99999999999999944</v>
      </c>
      <c r="AL4" s="303">
        <f t="shared" si="4"/>
        <v>1.0000000000000002</v>
      </c>
      <c r="AM4" s="303">
        <f t="shared" si="4"/>
        <v>0.99999999999999967</v>
      </c>
      <c r="AV4" s="41">
        <f>SUM(AV6:AV298)</f>
        <v>-14940210.834759997</v>
      </c>
      <c r="AX4" s="41">
        <f>SUM(AX6:AX298)</f>
        <v>-14660837.197793601</v>
      </c>
      <c r="AZ4" s="41"/>
    </row>
    <row r="5" spans="1:52" x14ac:dyDescent="0.2">
      <c r="C5" s="296"/>
      <c r="D5" s="295"/>
      <c r="E5" s="295"/>
      <c r="F5" s="295"/>
      <c r="G5" s="295"/>
      <c r="H5" s="295"/>
      <c r="I5" s="295"/>
      <c r="J5" s="295"/>
      <c r="Q5" s="43"/>
      <c r="R5" s="43"/>
      <c r="S5" s="43"/>
      <c r="T5" s="43"/>
      <c r="AA5" s="43"/>
      <c r="AB5" s="43"/>
      <c r="AC5" s="43"/>
      <c r="AD5" s="43"/>
      <c r="AE5" s="43"/>
      <c r="AV5" s="41"/>
    </row>
    <row r="6" spans="1:52" x14ac:dyDescent="0.2">
      <c r="A6" s="30">
        <v>5</v>
      </c>
      <c r="B6" s="47" t="s">
        <v>328</v>
      </c>
      <c r="C6" s="295">
        <v>0.97263180219034961</v>
      </c>
      <c r="D6" s="295">
        <v>1.0246868249322563</v>
      </c>
      <c r="E6" s="295">
        <v>0.97562244983757285</v>
      </c>
      <c r="F6" s="295">
        <v>0.97267834016001864</v>
      </c>
      <c r="G6" s="295">
        <v>0.97297613259121407</v>
      </c>
      <c r="H6" s="295">
        <v>0.97497275866009547</v>
      </c>
      <c r="I6" s="295">
        <v>0.98061841293019814</v>
      </c>
      <c r="J6" s="295">
        <v>0.97974180876267747</v>
      </c>
      <c r="L6" s="41">
        <v>-25836.190500000001</v>
      </c>
      <c r="M6" s="41">
        <f>L6*C6</f>
        <v>-25129.100527748189</v>
      </c>
      <c r="N6" s="41">
        <f>M6*D6</f>
        <v>-25749.458233181776</v>
      </c>
      <c r="O6" s="41">
        <f t="shared" ref="O6:O69" si="5">N6*E6</f>
        <v>-25121.749523447066</v>
      </c>
      <c r="P6" s="41">
        <f t="shared" ref="P6:P69" si="6">O6*F6</f>
        <v>-24435.381628382231</v>
      </c>
      <c r="Q6" s="41">
        <f t="shared" ref="Q6:Q69" si="7">P6*G6</f>
        <v>-23775.043115173747</v>
      </c>
      <c r="R6" s="41">
        <f t="shared" ref="R6:R69" si="8">Q6*H6</f>
        <v>-23180.019373263658</v>
      </c>
      <c r="S6" s="41">
        <f t="shared" ref="S6:S69" si="9">R6*I6</f>
        <v>-22730.753809501053</v>
      </c>
      <c r="T6" s="41">
        <f>S6*J6</f>
        <v>-22270.269851859684</v>
      </c>
      <c r="V6" s="41">
        <f>L6</f>
        <v>-25836.190500000001</v>
      </c>
      <c r="W6" s="41">
        <f>M6*(1+W$2)</f>
        <v>-25656.811638830899</v>
      </c>
      <c r="X6" s="41">
        <f t="shared" ref="X6:X69" si="10">N6*(1+X$2)</f>
        <v>-26624.939813109959</v>
      </c>
      <c r="Y6" s="41">
        <f t="shared" ref="Y6:Y69" si="11">O6*(1+Y$2)</f>
        <v>-25950.767257720818</v>
      </c>
      <c r="Z6" s="41">
        <f>P6*(1+Z$2)</f>
        <v>-25217.313840490464</v>
      </c>
      <c r="AA6" s="41">
        <f t="shared" ref="AA6:AA69" si="12">Q6*(1+AA$2)</f>
        <v>-24416.969279283436</v>
      </c>
      <c r="AB6" s="41">
        <f t="shared" ref="AB6:AB69" si="13">R6*(1+AB$2)</f>
        <v>-23180.019373263658</v>
      </c>
      <c r="AC6" s="41">
        <f t="shared" ref="AC6:AC69" si="14">S6*(1+AC$2)</f>
        <v>-22730.753809501053</v>
      </c>
      <c r="AD6" s="41">
        <f t="shared" ref="AD6:AD69" si="15">T6*(1+AD$2)</f>
        <v>-22270.269851859684</v>
      </c>
      <c r="AF6" s="303">
        <f t="shared" ref="AF6:AF69" si="16">W6/W$4</f>
        <v>1.7745918136981456E-3</v>
      </c>
      <c r="AG6" s="303">
        <f t="shared" ref="AG6:AG69" si="17">X6/X$4</f>
        <v>1.7171471416909691E-3</v>
      </c>
      <c r="AH6" s="303">
        <f t="shared" ref="AH6:AH69" si="18">Y6/Y$4</f>
        <v>1.6837006995890542E-3</v>
      </c>
      <c r="AI6" s="303">
        <f t="shared" ref="AI6:AI69" si="19">Z6/Z$4</f>
        <v>1.6437211256788392E-3</v>
      </c>
      <c r="AJ6" s="303">
        <f t="shared" ref="AJ6:AJ69" si="20">AA6/AA$4</f>
        <v>1.6111850776494494E-3</v>
      </c>
      <c r="AK6" s="303">
        <f t="shared" ref="AK6:AK69" si="21">AB6/AB$4</f>
        <v>1.5827277152421595E-3</v>
      </c>
      <c r="AL6" s="303">
        <f t="shared" ref="AL6:AL69" si="22">AC6/AC$4</f>
        <v>1.5629063155445792E-3</v>
      </c>
      <c r="AM6" s="303">
        <f t="shared" ref="AM6:AM69" si="23">AD6/AD$4</f>
        <v>1.5417283201611001E-3</v>
      </c>
      <c r="AV6" s="41">
        <v>-27341.582999999999</v>
      </c>
      <c r="AW6" s="303">
        <f>AV6/AV$4</f>
        <v>1.8300667441979389E-3</v>
      </c>
      <c r="AX6" s="41">
        <f>$AW$2*AW6</f>
        <v>-26830.310597782161</v>
      </c>
    </row>
    <row r="7" spans="1:52" x14ac:dyDescent="0.2">
      <c r="A7" s="30">
        <v>9</v>
      </c>
      <c r="B7" s="47" t="s">
        <v>329</v>
      </c>
      <c r="C7" s="295">
        <v>0.98562253233025199</v>
      </c>
      <c r="D7" s="295">
        <v>1.0305747133464869</v>
      </c>
      <c r="E7" s="295">
        <v>1.0057304343134068</v>
      </c>
      <c r="F7" s="295">
        <v>0.9991948856584788</v>
      </c>
      <c r="G7" s="295">
        <v>0.9978498704568044</v>
      </c>
      <c r="H7" s="295">
        <v>0.99803260809571281</v>
      </c>
      <c r="I7" s="295">
        <v>0.99784098981901037</v>
      </c>
      <c r="J7" s="295">
        <v>0.99078562375275214</v>
      </c>
      <c r="L7" s="41">
        <v>-7076.1585999999998</v>
      </c>
      <c r="M7" s="41">
        <f t="shared" ref="M7:M69" si="24">L7*C7</f>
        <v>-6974.42135850249</v>
      </c>
      <c r="N7" s="41">
        <f t="shared" ref="N7:N69" si="25">M7*D7</f>
        <v>-7187.6622922963188</v>
      </c>
      <c r="O7" s="41">
        <f t="shared" si="5"/>
        <v>-7228.8507189292741</v>
      </c>
      <c r="P7" s="41">
        <f t="shared" si="6"/>
        <v>-7223.0306675427482</v>
      </c>
      <c r="Q7" s="41">
        <f t="shared" si="7"/>
        <v>-7207.5002159130563</v>
      </c>
      <c r="R7" s="41">
        <f t="shared" si="8"/>
        <v>-7193.3202383381213</v>
      </c>
      <c r="S7" s="41">
        <f t="shared" si="9"/>
        <v>-7177.7897867084303</v>
      </c>
      <c r="T7" s="41">
        <f t="shared" ref="T7:T69" si="26">S7*J7</f>
        <v>-7111.6509309900457</v>
      </c>
      <c r="V7" s="41">
        <f t="shared" ref="V7:V70" si="27">L7</f>
        <v>-7076.1585999999998</v>
      </c>
      <c r="W7" s="41">
        <f t="shared" ref="W7:W70" si="28">M7*(1+W$2)</f>
        <v>-7120.884207031042</v>
      </c>
      <c r="X7" s="41">
        <f t="shared" si="10"/>
        <v>-7432.042810234394</v>
      </c>
      <c r="Y7" s="41">
        <f t="shared" si="11"/>
        <v>-7467.4027926539393</v>
      </c>
      <c r="Z7" s="41">
        <f t="shared" ref="Z7:Z69" si="29">P7*(1+Z$2)</f>
        <v>-7454.1676489041165</v>
      </c>
      <c r="AA7" s="41">
        <f t="shared" si="12"/>
        <v>-7402.1027217427081</v>
      </c>
      <c r="AB7" s="41">
        <f t="shared" si="13"/>
        <v>-7193.3202383381213</v>
      </c>
      <c r="AC7" s="41">
        <f t="shared" si="14"/>
        <v>-7177.7897867084303</v>
      </c>
      <c r="AD7" s="41">
        <f t="shared" si="15"/>
        <v>-7111.6509309900457</v>
      </c>
      <c r="AF7" s="303">
        <f t="shared" si="16"/>
        <v>4.9252662403945961E-4</v>
      </c>
      <c r="AG7" s="303">
        <f t="shared" si="17"/>
        <v>4.7932168703851945E-4</v>
      </c>
      <c r="AH7" s="303">
        <f t="shared" si="18"/>
        <v>4.8448938643091722E-4</v>
      </c>
      <c r="AI7" s="303">
        <f t="shared" si="19"/>
        <v>4.8587938098236218E-4</v>
      </c>
      <c r="AJ7" s="303">
        <f t="shared" si="20"/>
        <v>4.8843725493069145E-4</v>
      </c>
      <c r="AK7" s="303">
        <f t="shared" si="21"/>
        <v>4.9115866222967301E-4</v>
      </c>
      <c r="AL7" s="303">
        <f t="shared" si="22"/>
        <v>4.9352577936104204E-4</v>
      </c>
      <c r="AM7" s="303">
        <f t="shared" si="23"/>
        <v>4.9232603449983947E-4</v>
      </c>
      <c r="AV7" s="41">
        <v>-7491.2364699999998</v>
      </c>
      <c r="AW7" s="303">
        <f t="shared" ref="AW7:AW70" si="30">AV7/AV$4</f>
        <v>5.0141437445921694E-4</v>
      </c>
      <c r="AX7" s="41">
        <f t="shared" ref="AX7:AX70" si="31">$AW$2*AW7</f>
        <v>-7351.1545125800949</v>
      </c>
    </row>
    <row r="8" spans="1:52" x14ac:dyDescent="0.2">
      <c r="A8" s="30">
        <v>10</v>
      </c>
      <c r="B8" s="47" t="s">
        <v>330</v>
      </c>
      <c r="C8" s="295">
        <v>0.97404896714258504</v>
      </c>
      <c r="D8" s="295">
        <v>1.0387192303842321</v>
      </c>
      <c r="E8" s="295">
        <v>0.98640532310083084</v>
      </c>
      <c r="F8" s="295">
        <v>0.98064748546055891</v>
      </c>
      <c r="G8" s="295">
        <v>0.98326140257363726</v>
      </c>
      <c r="H8" s="295">
        <v>0.97930897397346151</v>
      </c>
      <c r="I8" s="295">
        <v>0.98422639858173511</v>
      </c>
      <c r="J8" s="295">
        <v>0.97766422728815972</v>
      </c>
      <c r="L8" s="41">
        <v>-28902.33871</v>
      </c>
      <c r="M8" s="41">
        <f t="shared" si="24"/>
        <v>-28152.293168480654</v>
      </c>
      <c r="N8" s="41">
        <f t="shared" si="25"/>
        <v>-29242.3282935155</v>
      </c>
      <c r="O8" s="41">
        <f t="shared" si="5"/>
        <v>-28844.788288585725</v>
      </c>
      <c r="P8" s="41">
        <f t="shared" si="6"/>
        <v>-28286.569103843769</v>
      </c>
      <c r="Q8" s="41">
        <f t="shared" si="7"/>
        <v>-27813.091611041538</v>
      </c>
      <c r="R8" s="41">
        <f t="shared" si="8"/>
        <v>-27237.61020863898</v>
      </c>
      <c r="S8" s="41">
        <f t="shared" si="9"/>
        <v>-26807.975001621846</v>
      </c>
      <c r="T8" s="41">
        <f t="shared" si="26"/>
        <v>-26209.198165120924</v>
      </c>
      <c r="V8" s="41">
        <f t="shared" si="27"/>
        <v>-28902.33871</v>
      </c>
      <c r="W8" s="41">
        <f t="shared" si="28"/>
        <v>-28743.491325018746</v>
      </c>
      <c r="X8" s="41">
        <f t="shared" si="10"/>
        <v>-30236.567455495027</v>
      </c>
      <c r="Y8" s="41">
        <f t="shared" si="11"/>
        <v>-29796.666302109054</v>
      </c>
      <c r="Z8" s="41">
        <f t="shared" si="29"/>
        <v>-29191.739315166771</v>
      </c>
      <c r="AA8" s="41">
        <f t="shared" si="12"/>
        <v>-28564.045084539659</v>
      </c>
      <c r="AB8" s="41">
        <f t="shared" si="13"/>
        <v>-27237.61020863898</v>
      </c>
      <c r="AC8" s="41">
        <f t="shared" si="14"/>
        <v>-26807.975001621846</v>
      </c>
      <c r="AD8" s="41">
        <f t="shared" si="15"/>
        <v>-26209.198165120924</v>
      </c>
      <c r="AF8" s="303">
        <f t="shared" si="16"/>
        <v>1.9880866383757026E-3</v>
      </c>
      <c r="AG8" s="303">
        <f t="shared" si="17"/>
        <v>1.950075220646473E-3</v>
      </c>
      <c r="AH8" s="303">
        <f t="shared" si="18"/>
        <v>1.9332248407166663E-3</v>
      </c>
      <c r="AI8" s="303">
        <f t="shared" si="19"/>
        <v>1.9027831001811376E-3</v>
      </c>
      <c r="AJ8" s="303">
        <f t="shared" si="20"/>
        <v>1.8848352009257639E-3</v>
      </c>
      <c r="AK8" s="303">
        <f t="shared" si="21"/>
        <v>1.8597793159698299E-3</v>
      </c>
      <c r="AL8" s="303">
        <f t="shared" si="22"/>
        <v>1.8432452257471203E-3</v>
      </c>
      <c r="AM8" s="303">
        <f t="shared" si="23"/>
        <v>1.8144128171175724E-3</v>
      </c>
      <c r="AV8" s="41">
        <v>-28855.242999999999</v>
      </c>
      <c r="AW8" s="303">
        <f t="shared" si="30"/>
        <v>1.931381244825889E-3</v>
      </c>
      <c r="AX8" s="41">
        <f t="shared" si="31"/>
        <v>-28315.665997264292</v>
      </c>
    </row>
    <row r="9" spans="1:52" x14ac:dyDescent="0.2">
      <c r="A9" s="30">
        <v>16</v>
      </c>
      <c r="B9" s="47" t="s">
        <v>331</v>
      </c>
      <c r="C9" s="295">
        <v>0.98023432912376329</v>
      </c>
      <c r="D9" s="295">
        <v>1.0298018182623749</v>
      </c>
      <c r="E9" s="295">
        <v>0.98201356759250091</v>
      </c>
      <c r="F9" s="295">
        <v>0.98585543506548978</v>
      </c>
      <c r="G9" s="295">
        <v>0.98491698042553977</v>
      </c>
      <c r="H9" s="295">
        <v>0.98529353420782884</v>
      </c>
      <c r="I9" s="295">
        <v>0.98132523658652515</v>
      </c>
      <c r="J9" s="295">
        <v>0.98559275855577833</v>
      </c>
      <c r="L9" s="41">
        <v>-21668.188859999998</v>
      </c>
      <c r="M9" s="41">
        <f t="shared" si="24"/>
        <v>-21239.902570509101</v>
      </c>
      <c r="N9" s="41">
        <f t="shared" si="25"/>
        <v>-21872.890286825965</v>
      </c>
      <c r="O9" s="41">
        <f t="shared" si="5"/>
        <v>-21479.475024125328</v>
      </c>
      <c r="P9" s="41">
        <f t="shared" si="6"/>
        <v>-21175.657194887397</v>
      </c>
      <c r="Q9" s="41">
        <f t="shared" si="7"/>
        <v>-20856.264342914852</v>
      </c>
      <c r="R9" s="41">
        <f t="shared" si="8"/>
        <v>-20549.542404803295</v>
      </c>
      <c r="S9" s="41">
        <f t="shared" si="9"/>
        <v>-20165.784562138426</v>
      </c>
      <c r="T9" s="41">
        <f t="shared" si="26"/>
        <v>-19875.251235039541</v>
      </c>
      <c r="V9" s="41">
        <f t="shared" si="27"/>
        <v>-21668.188859999998</v>
      </c>
      <c r="W9" s="41">
        <f t="shared" si="28"/>
        <v>-21685.94052448979</v>
      </c>
      <c r="X9" s="41">
        <f t="shared" si="10"/>
        <v>-22616.568556578048</v>
      </c>
      <c r="Y9" s="41">
        <f t="shared" si="11"/>
        <v>-22188.297699921462</v>
      </c>
      <c r="Z9" s="41">
        <f t="shared" si="29"/>
        <v>-21853.278225123795</v>
      </c>
      <c r="AA9" s="41">
        <f t="shared" si="12"/>
        <v>-21419.38348017355</v>
      </c>
      <c r="AB9" s="41">
        <f t="shared" si="13"/>
        <v>-20549.542404803295</v>
      </c>
      <c r="AC9" s="41">
        <f t="shared" si="14"/>
        <v>-20165.784562138426</v>
      </c>
      <c r="AD9" s="41">
        <f t="shared" si="15"/>
        <v>-19875.251235039541</v>
      </c>
      <c r="AF9" s="303">
        <f t="shared" si="16"/>
        <v>1.4999405642773013E-3</v>
      </c>
      <c r="AG9" s="303">
        <f t="shared" si="17"/>
        <v>1.4586315058133293E-3</v>
      </c>
      <c r="AH9" s="303">
        <f t="shared" si="18"/>
        <v>1.439589511517551E-3</v>
      </c>
      <c r="AI9" s="303">
        <f t="shared" si="19"/>
        <v>1.4244457324513638E-3</v>
      </c>
      <c r="AJ9" s="303">
        <f t="shared" si="20"/>
        <v>1.413385528767784E-3</v>
      </c>
      <c r="AK9" s="303">
        <f t="shared" si="21"/>
        <v>1.4031192026155279E-3</v>
      </c>
      <c r="AL9" s="303">
        <f t="shared" si="22"/>
        <v>1.3865458362803558E-3</v>
      </c>
      <c r="AM9" s="303">
        <f t="shared" si="23"/>
        <v>1.3759257477887522E-3</v>
      </c>
      <c r="AV9" s="41">
        <v>-23305.118999999999</v>
      </c>
      <c r="AW9" s="303">
        <f t="shared" si="30"/>
        <v>1.5598922436742425E-3</v>
      </c>
      <c r="AX9" s="41">
        <f t="shared" si="31"/>
        <v>-22869.326230609044</v>
      </c>
    </row>
    <row r="10" spans="1:52" x14ac:dyDescent="0.2">
      <c r="A10" s="30">
        <v>18</v>
      </c>
      <c r="B10" s="47" t="s">
        <v>332</v>
      </c>
      <c r="C10" s="295">
        <v>0.99520927955519889</v>
      </c>
      <c r="D10" s="295">
        <v>1.0324445984564825</v>
      </c>
      <c r="E10" s="295">
        <v>1.003971167677101</v>
      </c>
      <c r="F10" s="295">
        <v>0.99560015053586659</v>
      </c>
      <c r="G10" s="295">
        <v>0.99874850961677974</v>
      </c>
      <c r="H10" s="295">
        <v>0.99107704179584288</v>
      </c>
      <c r="I10" s="295">
        <v>0.99114067339654766</v>
      </c>
      <c r="J10" s="295">
        <v>0.99427091116174049</v>
      </c>
      <c r="L10" s="41">
        <v>-13215.407539999998</v>
      </c>
      <c r="M10" s="41">
        <f t="shared" si="24"/>
        <v>-13152.096216911741</v>
      </c>
      <c r="N10" s="41">
        <f t="shared" si="25"/>
        <v>-13578.810697530465</v>
      </c>
      <c r="O10" s="41">
        <f t="shared" si="5"/>
        <v>-13632.734431665973</v>
      </c>
      <c r="P10" s="41">
        <f t="shared" si="6"/>
        <v>-13572.752452382134</v>
      </c>
      <c r="Q10" s="41">
        <f t="shared" si="7"/>
        <v>-13555.766283214149</v>
      </c>
      <c r="R10" s="41">
        <f t="shared" si="8"/>
        <v>-13434.808747243707</v>
      </c>
      <c r="S10" s="41">
        <f t="shared" si="9"/>
        <v>-13315.785388696957</v>
      </c>
      <c r="T10" s="41">
        <f t="shared" si="26"/>
        <v>-13239.498071253915</v>
      </c>
      <c r="V10" s="41">
        <f t="shared" si="27"/>
        <v>-13215.407539999998</v>
      </c>
      <c r="W10" s="41">
        <f t="shared" si="28"/>
        <v>-13428.290237466887</v>
      </c>
      <c r="X10" s="41">
        <f t="shared" si="10"/>
        <v>-14040.490261246501</v>
      </c>
      <c r="Y10" s="41">
        <f t="shared" si="11"/>
        <v>-14082.614667910948</v>
      </c>
      <c r="Z10" s="41">
        <f t="shared" si="29"/>
        <v>-14007.080530858362</v>
      </c>
      <c r="AA10" s="41">
        <f t="shared" si="12"/>
        <v>-13921.77197286093</v>
      </c>
      <c r="AB10" s="41">
        <f t="shared" si="13"/>
        <v>-13434.808747243707</v>
      </c>
      <c r="AC10" s="41">
        <f t="shared" si="14"/>
        <v>-13315.785388696957</v>
      </c>
      <c r="AD10" s="41">
        <f t="shared" si="15"/>
        <v>-13239.498071253915</v>
      </c>
      <c r="AF10" s="303">
        <f t="shared" si="16"/>
        <v>9.2878781131579876E-4</v>
      </c>
      <c r="AG10" s="303">
        <f t="shared" si="17"/>
        <v>9.0552646838915681E-4</v>
      </c>
      <c r="AH10" s="303">
        <f t="shared" si="18"/>
        <v>9.1368813618989699E-4</v>
      </c>
      <c r="AI10" s="303">
        <f t="shared" si="19"/>
        <v>9.1301295305641725E-4</v>
      </c>
      <c r="AJ10" s="303">
        <f t="shared" si="20"/>
        <v>9.1864600395525145E-4</v>
      </c>
      <c r="AK10" s="303">
        <f t="shared" si="21"/>
        <v>9.1732641853467837E-4</v>
      </c>
      <c r="AL10" s="303">
        <f t="shared" si="22"/>
        <v>9.1555806969023342E-4</v>
      </c>
      <c r="AM10" s="303">
        <f t="shared" si="23"/>
        <v>9.1654520834043404E-4</v>
      </c>
      <c r="AV10" s="41">
        <v>-13900.71</v>
      </c>
      <c r="AW10" s="303">
        <f t="shared" si="30"/>
        <v>9.3042261275580603E-4</v>
      </c>
      <c r="AX10" s="41">
        <f t="shared" si="31"/>
        <v>-13640.774450758627</v>
      </c>
    </row>
    <row r="11" spans="1:52" x14ac:dyDescent="0.2">
      <c r="A11" s="30">
        <v>19</v>
      </c>
      <c r="B11" s="47" t="s">
        <v>333</v>
      </c>
      <c r="C11" s="295">
        <v>1.0116101695736328</v>
      </c>
      <c r="D11" s="295">
        <v>1.0372826744637091</v>
      </c>
      <c r="E11" s="295">
        <v>1.0017502424323579</v>
      </c>
      <c r="F11" s="295">
        <v>0.99175511571067765</v>
      </c>
      <c r="G11" s="295">
        <v>0.99706500675882415</v>
      </c>
      <c r="H11" s="295">
        <v>1.0012446709630924</v>
      </c>
      <c r="I11" s="295">
        <v>0.99552459061812004</v>
      </c>
      <c r="J11" s="295">
        <v>0.98179589506308218</v>
      </c>
      <c r="L11" s="41">
        <v>-10496.980609999999</v>
      </c>
      <c r="M11" s="41">
        <f t="shared" si="24"/>
        <v>-10618.852334893234</v>
      </c>
      <c r="N11" s="41">
        <f t="shared" si="25"/>
        <v>-11014.751549673256</v>
      </c>
      <c r="O11" s="41">
        <f t="shared" si="5"/>
        <v>-11034.030035217374</v>
      </c>
      <c r="P11" s="41">
        <f t="shared" si="6"/>
        <v>-10943.0557343321</v>
      </c>
      <c r="Q11" s="41">
        <f t="shared" si="7"/>
        <v>-10910.937939714024</v>
      </c>
      <c r="R11" s="41">
        <f t="shared" si="8"/>
        <v>-10924.518467347689</v>
      </c>
      <c r="S11" s="41">
        <f t="shared" si="9"/>
        <v>-10875.626774906401</v>
      </c>
      <c r="T11" s="41">
        <f t="shared" si="26"/>
        <v>-10677.645723841251</v>
      </c>
      <c r="V11" s="41">
        <f t="shared" si="27"/>
        <v>-10496.980609999999</v>
      </c>
      <c r="W11" s="41">
        <f t="shared" si="28"/>
        <v>-10841.848233925992</v>
      </c>
      <c r="X11" s="41">
        <f t="shared" si="10"/>
        <v>-11389.253102362147</v>
      </c>
      <c r="Y11" s="41">
        <f t="shared" si="11"/>
        <v>-11398.153026379547</v>
      </c>
      <c r="Z11" s="41">
        <f t="shared" si="29"/>
        <v>-11293.233517830728</v>
      </c>
      <c r="AA11" s="41">
        <f t="shared" si="12"/>
        <v>-11205.533264086302</v>
      </c>
      <c r="AB11" s="41">
        <f t="shared" si="13"/>
        <v>-10924.518467347689</v>
      </c>
      <c r="AC11" s="41">
        <f t="shared" si="14"/>
        <v>-10875.626774906401</v>
      </c>
      <c r="AD11" s="41">
        <f t="shared" si="15"/>
        <v>-10677.645723841251</v>
      </c>
      <c r="AF11" s="303">
        <f t="shared" si="16"/>
        <v>7.4989267536905305E-4</v>
      </c>
      <c r="AG11" s="303">
        <f t="shared" si="17"/>
        <v>7.3453775099564377E-4</v>
      </c>
      <c r="AH11" s="303">
        <f t="shared" si="18"/>
        <v>7.3951872150634197E-4</v>
      </c>
      <c r="AI11" s="303">
        <f t="shared" si="19"/>
        <v>7.3611831251736855E-4</v>
      </c>
      <c r="AJ11" s="303">
        <f t="shared" si="20"/>
        <v>7.3941150417543592E-4</v>
      </c>
      <c r="AK11" s="303">
        <f t="shared" si="21"/>
        <v>7.4592423222429537E-4</v>
      </c>
      <c r="AL11" s="303">
        <f t="shared" si="22"/>
        <v>7.477792384035345E-4</v>
      </c>
      <c r="AM11" s="303">
        <f t="shared" si="23"/>
        <v>7.3919305489324638E-4</v>
      </c>
      <c r="AV11" s="41">
        <v>-10766.968999999999</v>
      </c>
      <c r="AW11" s="303">
        <f t="shared" si="30"/>
        <v>7.206704857838749E-4</v>
      </c>
      <c r="AX11" s="41">
        <f t="shared" si="31"/>
        <v>-10565.632665332214</v>
      </c>
    </row>
    <row r="12" spans="1:52" x14ac:dyDescent="0.2">
      <c r="A12" s="30">
        <v>20</v>
      </c>
      <c r="B12" s="47" t="s">
        <v>334</v>
      </c>
      <c r="C12" s="295">
        <v>0.96662676668918801</v>
      </c>
      <c r="D12" s="295">
        <v>1.0647780207920454</v>
      </c>
      <c r="E12" s="295">
        <v>0.97855440892517453</v>
      </c>
      <c r="F12" s="295">
        <v>0.98026764551452061</v>
      </c>
      <c r="G12" s="295">
        <v>0.9771810928330259</v>
      </c>
      <c r="H12" s="295">
        <v>0.97727854195633679</v>
      </c>
      <c r="I12" s="295">
        <v>0.98037749658261963</v>
      </c>
      <c r="J12" s="295">
        <v>0.98437100403580946</v>
      </c>
      <c r="L12" s="41">
        <v>-40464.505669999999</v>
      </c>
      <c r="M12" s="41">
        <f t="shared" si="24"/>
        <v>-39114.074281468413</v>
      </c>
      <c r="N12" s="41">
        <f t="shared" si="25"/>
        <v>-41647.806598534982</v>
      </c>
      <c r="O12" s="41">
        <f t="shared" si="5"/>
        <v>-40754.644769059385</v>
      </c>
      <c r="P12" s="41">
        <f t="shared" si="6"/>
        <v>-39950.459671546516</v>
      </c>
      <c r="Q12" s="41">
        <f t="shared" si="7"/>
        <v>-39038.833841023552</v>
      </c>
      <c r="R12" s="41">
        <f t="shared" si="8"/>
        <v>-38151.814615831194</v>
      </c>
      <c r="S12" s="41">
        <f t="shared" si="9"/>
        <v>-37403.180503152784</v>
      </c>
      <c r="T12" s="41">
        <f t="shared" si="26"/>
        <v>-36818.606346021115</v>
      </c>
      <c r="V12" s="41">
        <f t="shared" si="27"/>
        <v>-40464.505669999999</v>
      </c>
      <c r="W12" s="41">
        <f t="shared" si="28"/>
        <v>-39935.469841379243</v>
      </c>
      <c r="X12" s="41">
        <f t="shared" si="10"/>
        <v>-43063.832022885174</v>
      </c>
      <c r="Y12" s="41">
        <f t="shared" si="11"/>
        <v>-42099.548046438344</v>
      </c>
      <c r="Z12" s="41">
        <f t="shared" si="29"/>
        <v>-41228.874381036003</v>
      </c>
      <c r="AA12" s="41">
        <f t="shared" si="12"/>
        <v>-40092.882354731184</v>
      </c>
      <c r="AB12" s="41">
        <f t="shared" si="13"/>
        <v>-38151.814615831194</v>
      </c>
      <c r="AC12" s="41">
        <f t="shared" si="14"/>
        <v>-37403.180503152784</v>
      </c>
      <c r="AD12" s="41">
        <f t="shared" si="15"/>
        <v>-36818.606346021115</v>
      </c>
      <c r="AF12" s="303">
        <f t="shared" si="16"/>
        <v>2.762196599262638E-3</v>
      </c>
      <c r="AG12" s="303">
        <f t="shared" si="17"/>
        <v>2.7773559898132158E-3</v>
      </c>
      <c r="AH12" s="303">
        <f t="shared" si="18"/>
        <v>2.7314428816004378E-3</v>
      </c>
      <c r="AI12" s="303">
        <f t="shared" si="19"/>
        <v>2.6873905855608724E-3</v>
      </c>
      <c r="AJ12" s="303">
        <f t="shared" si="20"/>
        <v>2.6455803351771892E-3</v>
      </c>
      <c r="AK12" s="303">
        <f t="shared" si="21"/>
        <v>2.6049993059498941E-3</v>
      </c>
      <c r="AL12" s="303">
        <f t="shared" si="22"/>
        <v>2.5717434414954197E-3</v>
      </c>
      <c r="AM12" s="303">
        <f t="shared" si="23"/>
        <v>2.5488819170183443E-3</v>
      </c>
      <c r="AV12" s="41">
        <v>-36396.5</v>
      </c>
      <c r="AW12" s="303">
        <f t="shared" si="30"/>
        <v>2.4361436664146435E-3</v>
      </c>
      <c r="AX12" s="41">
        <f t="shared" si="31"/>
        <v>-35715.905683741075</v>
      </c>
    </row>
    <row r="13" spans="1:52" x14ac:dyDescent="0.2">
      <c r="A13" s="30">
        <v>46</v>
      </c>
      <c r="B13" s="47" t="s">
        <v>335</v>
      </c>
      <c r="C13" s="295">
        <v>0.99599322908198684</v>
      </c>
      <c r="D13" s="295">
        <v>1.0632944303599994</v>
      </c>
      <c r="E13" s="295">
        <v>0.99731279994779332</v>
      </c>
      <c r="F13" s="295">
        <v>0.99844870033616795</v>
      </c>
      <c r="G13" s="295">
        <v>0.99561595154453386</v>
      </c>
      <c r="H13" s="295">
        <v>0.99618376076085413</v>
      </c>
      <c r="I13" s="295">
        <v>0.99528509696925027</v>
      </c>
      <c r="J13" s="295">
        <v>0.99526276134837433</v>
      </c>
      <c r="L13" s="41">
        <v>-3835.60214</v>
      </c>
      <c r="M13" s="41">
        <f t="shared" si="24"/>
        <v>-3820.233760892379</v>
      </c>
      <c r="N13" s="41">
        <f t="shared" si="25"/>
        <v>-4062.0332806301003</v>
      </c>
      <c r="O13" s="41">
        <f t="shared" si="5"/>
        <v>-4051.1177845863258</v>
      </c>
      <c r="P13" s="41">
        <f t="shared" si="6"/>
        <v>-4044.8332869289529</v>
      </c>
      <c r="Q13" s="41">
        <f t="shared" si="7"/>
        <v>-4027.1005418047739</v>
      </c>
      <c r="R13" s="41">
        <f t="shared" si="8"/>
        <v>-4011.7321626971529</v>
      </c>
      <c r="S13" s="41">
        <f t="shared" si="9"/>
        <v>-3992.8172345646958</v>
      </c>
      <c r="T13" s="41">
        <f t="shared" si="26"/>
        <v>-3973.9023064322387</v>
      </c>
      <c r="V13" s="41">
        <f t="shared" si="27"/>
        <v>-3835.60214</v>
      </c>
      <c r="W13" s="41">
        <f t="shared" si="28"/>
        <v>-3900.4586698711187</v>
      </c>
      <c r="X13" s="41">
        <f t="shared" si="10"/>
        <v>-4200.1424121715236</v>
      </c>
      <c r="Y13" s="41">
        <f t="shared" si="11"/>
        <v>-4184.8046714776738</v>
      </c>
      <c r="Z13" s="41">
        <f t="shared" si="29"/>
        <v>-4174.2679521106793</v>
      </c>
      <c r="AA13" s="41">
        <f t="shared" si="12"/>
        <v>-4135.8322564335022</v>
      </c>
      <c r="AB13" s="41">
        <f t="shared" si="13"/>
        <v>-4011.7321626971529</v>
      </c>
      <c r="AC13" s="41">
        <f t="shared" si="14"/>
        <v>-3992.8172345646958</v>
      </c>
      <c r="AD13" s="41">
        <f t="shared" si="15"/>
        <v>-3973.9023064322387</v>
      </c>
      <c r="AF13" s="303">
        <f t="shared" si="16"/>
        <v>2.6978106721356612E-4</v>
      </c>
      <c r="AG13" s="303">
        <f t="shared" si="17"/>
        <v>2.7088371235318509E-4</v>
      </c>
      <c r="AH13" s="303">
        <f t="shared" si="18"/>
        <v>2.7151253306062473E-4</v>
      </c>
      <c r="AI13" s="303">
        <f t="shared" si="19"/>
        <v>2.7208815580157046E-4</v>
      </c>
      <c r="AJ13" s="303">
        <f t="shared" si="20"/>
        <v>2.7290820326667772E-4</v>
      </c>
      <c r="AK13" s="303">
        <f t="shared" si="21"/>
        <v>2.7392037848565306E-4</v>
      </c>
      <c r="AL13" s="303">
        <f t="shared" si="22"/>
        <v>2.7453551804815327E-4</v>
      </c>
      <c r="AM13" s="303">
        <f t="shared" si="23"/>
        <v>2.7510567982042152E-4</v>
      </c>
      <c r="AV13" s="41">
        <v>-4546.4179999999997</v>
      </c>
      <c r="AW13" s="303">
        <f t="shared" si="30"/>
        <v>3.0430748603776545E-4</v>
      </c>
      <c r="AX13" s="41">
        <f t="shared" si="31"/>
        <v>-4461.4025108695269</v>
      </c>
    </row>
    <row r="14" spans="1:52" x14ac:dyDescent="0.2">
      <c r="A14" s="30">
        <v>47</v>
      </c>
      <c r="B14" s="47" t="s">
        <v>336</v>
      </c>
      <c r="C14" s="295">
        <v>0.99828749505290704</v>
      </c>
      <c r="D14" s="295">
        <v>1.0460796267077845</v>
      </c>
      <c r="E14" s="295">
        <v>0.99911877557384865</v>
      </c>
      <c r="F14" s="295">
        <v>0.99967321876720916</v>
      </c>
      <c r="G14" s="295">
        <v>0.99255580208977334</v>
      </c>
      <c r="H14" s="295">
        <v>0.99763689341978501</v>
      </c>
      <c r="I14" s="295">
        <v>0.99786816632762754</v>
      </c>
      <c r="J14" s="295">
        <v>0.99786361190354622</v>
      </c>
      <c r="L14" s="41">
        <v>-7398.3690299999998</v>
      </c>
      <c r="M14" s="41">
        <f t="shared" si="24"/>
        <v>-7385.6992864357053</v>
      </c>
      <c r="N14" s="41">
        <f t="shared" si="25"/>
        <v>-7726.0295525306128</v>
      </c>
      <c r="O14" s="41">
        <f t="shared" si="5"/>
        <v>-7719.2211865717554</v>
      </c>
      <c r="P14" s="41">
        <f t="shared" si="6"/>
        <v>-7716.6986899562226</v>
      </c>
      <c r="Q14" s="41">
        <f t="shared" si="7"/>
        <v>-7659.2540576946012</v>
      </c>
      <c r="R14" s="41">
        <f t="shared" si="8"/>
        <v>-7641.1544240313251</v>
      </c>
      <c r="S14" s="41">
        <f t="shared" si="9"/>
        <v>-7624.8647537343777</v>
      </c>
      <c r="T14" s="41">
        <f t="shared" si="26"/>
        <v>-7608.5750834374294</v>
      </c>
      <c r="V14" s="41">
        <f t="shared" si="27"/>
        <v>-7398.3690299999998</v>
      </c>
      <c r="W14" s="41">
        <f t="shared" si="28"/>
        <v>-7540.798971450854</v>
      </c>
      <c r="X14" s="41">
        <f t="shared" si="10"/>
        <v>-7988.7145573166536</v>
      </c>
      <c r="Y14" s="41">
        <f t="shared" si="11"/>
        <v>-7973.955485728623</v>
      </c>
      <c r="Z14" s="41">
        <f t="shared" si="29"/>
        <v>-7963.6330480348215</v>
      </c>
      <c r="AA14" s="41">
        <f t="shared" si="12"/>
        <v>-7866.0539172523549</v>
      </c>
      <c r="AB14" s="41">
        <f t="shared" si="13"/>
        <v>-7641.1544240313251</v>
      </c>
      <c r="AC14" s="41">
        <f t="shared" si="14"/>
        <v>-7624.8647537343777</v>
      </c>
      <c r="AD14" s="41">
        <f t="shared" si="15"/>
        <v>-7608.5750834374294</v>
      </c>
      <c r="AF14" s="303">
        <f t="shared" si="16"/>
        <v>5.2157065779861068E-4</v>
      </c>
      <c r="AG14" s="303">
        <f t="shared" si="17"/>
        <v>5.1522363859492248E-4</v>
      </c>
      <c r="AH14" s="303">
        <f t="shared" si="18"/>
        <v>5.1735481639059654E-4</v>
      </c>
      <c r="AI14" s="303">
        <f t="shared" si="19"/>
        <v>5.190874793805718E-4</v>
      </c>
      <c r="AJ14" s="303">
        <f t="shared" si="20"/>
        <v>5.1905167043872057E-4</v>
      </c>
      <c r="AK14" s="303">
        <f t="shared" si="21"/>
        <v>5.2173670300331796E-4</v>
      </c>
      <c r="AL14" s="303">
        <f t="shared" si="22"/>
        <v>5.2426546777360489E-4</v>
      </c>
      <c r="AM14" s="303">
        <f t="shared" si="23"/>
        <v>5.2672714611170482E-4</v>
      </c>
      <c r="AV14" s="41">
        <v>-7787.3121300000003</v>
      </c>
      <c r="AW14" s="303">
        <f t="shared" si="30"/>
        <v>5.2123174271958639E-4</v>
      </c>
      <c r="AX14" s="41">
        <f t="shared" si="31"/>
        <v>-7641.6937223340929</v>
      </c>
    </row>
    <row r="15" spans="1:52" x14ac:dyDescent="0.2">
      <c r="A15" s="30">
        <v>49</v>
      </c>
      <c r="B15" s="47" t="s">
        <v>337</v>
      </c>
      <c r="C15" s="295">
        <v>1.0050676523093258</v>
      </c>
      <c r="D15" s="295">
        <v>1.0522762164168213</v>
      </c>
      <c r="E15" s="295">
        <v>1.0067327756662472</v>
      </c>
      <c r="F15" s="295">
        <v>1.0059667803413865</v>
      </c>
      <c r="G15" s="295">
        <v>1.0022044985846226</v>
      </c>
      <c r="H15" s="295">
        <v>1.0019777162246497</v>
      </c>
      <c r="I15" s="295">
        <v>1.0010455762179136</v>
      </c>
      <c r="J15" s="295">
        <v>1.0011214631381127</v>
      </c>
      <c r="L15" s="41">
        <v>-868519.77996000007</v>
      </c>
      <c r="M15" s="41">
        <f t="shared" si="24"/>
        <v>-872921.13622860948</v>
      </c>
      <c r="N15" s="41">
        <f t="shared" si="25"/>
        <v>-918554.15046091389</v>
      </c>
      <c r="O15" s="41">
        <f t="shared" si="5"/>
        <v>-924738.56949326745</v>
      </c>
      <c r="P15" s="41">
        <f t="shared" si="6"/>
        <v>-930256.28141064174</v>
      </c>
      <c r="Q15" s="41">
        <f t="shared" si="7"/>
        <v>-932307.0300663478</v>
      </c>
      <c r="R15" s="41">
        <f t="shared" si="8"/>
        <v>-934150.86880606494</v>
      </c>
      <c r="S15" s="41">
        <f t="shared" si="9"/>
        <v>-935127.59473843186</v>
      </c>
      <c r="T15" s="41">
        <f t="shared" si="26"/>
        <v>-936176.30586536299</v>
      </c>
      <c r="V15" s="41">
        <f t="shared" si="27"/>
        <v>-868519.77996000007</v>
      </c>
      <c r="W15" s="41">
        <f t="shared" si="28"/>
        <v>-891252.48008941021</v>
      </c>
      <c r="X15" s="41">
        <f t="shared" si="10"/>
        <v>-949784.99157658499</v>
      </c>
      <c r="Y15" s="41">
        <f t="shared" si="11"/>
        <v>-955254.94228654518</v>
      </c>
      <c r="Z15" s="41">
        <f t="shared" si="29"/>
        <v>-960024.48241578229</v>
      </c>
      <c r="AA15" s="41">
        <f t="shared" si="12"/>
        <v>-957479.31987813907</v>
      </c>
      <c r="AB15" s="41">
        <f t="shared" si="13"/>
        <v>-934150.86880606494</v>
      </c>
      <c r="AC15" s="41">
        <f t="shared" si="14"/>
        <v>-935127.59473843186</v>
      </c>
      <c r="AD15" s="41">
        <f t="shared" si="15"/>
        <v>-936176.30586536299</v>
      </c>
      <c r="AF15" s="303">
        <f t="shared" si="16"/>
        <v>6.1644812978675544E-2</v>
      </c>
      <c r="AG15" s="303">
        <f t="shared" si="17"/>
        <v>6.1255371653597457E-2</v>
      </c>
      <c r="AH15" s="303">
        <f t="shared" si="18"/>
        <v>6.1977489861508459E-2</v>
      </c>
      <c r="AI15" s="303">
        <f t="shared" si="19"/>
        <v>6.2576550892663327E-2</v>
      </c>
      <c r="AJ15" s="303">
        <f t="shared" si="20"/>
        <v>6.318050265372141E-2</v>
      </c>
      <c r="AK15" s="303">
        <f t="shared" si="21"/>
        <v>6.378365981791384E-2</v>
      </c>
      <c r="AL15" s="303">
        <f t="shared" si="22"/>
        <v>6.4296892039093695E-2</v>
      </c>
      <c r="AM15" s="303">
        <f t="shared" si="23"/>
        <v>6.4809700691431216E-2</v>
      </c>
      <c r="AV15" s="41">
        <v>-984755.81050000002</v>
      </c>
      <c r="AW15" s="303">
        <f t="shared" si="30"/>
        <v>6.5913113368444604E-2</v>
      </c>
      <c r="AX15" s="41">
        <f t="shared" si="31"/>
        <v>-966341.42429447896</v>
      </c>
    </row>
    <row r="16" spans="1:52" x14ac:dyDescent="0.2">
      <c r="A16" s="30">
        <v>50</v>
      </c>
      <c r="B16" s="47" t="s">
        <v>338</v>
      </c>
      <c r="C16" s="295">
        <v>0.98387291683418454</v>
      </c>
      <c r="D16" s="295">
        <v>1.0145906478736328</v>
      </c>
      <c r="E16" s="295">
        <v>0.97493744641960156</v>
      </c>
      <c r="F16" s="295">
        <v>0.98732742473094204</v>
      </c>
      <c r="G16" s="295">
        <v>0.97818896271737821</v>
      </c>
      <c r="H16" s="295">
        <v>0.98268359135296224</v>
      </c>
      <c r="I16" s="295">
        <v>0.97804256248781973</v>
      </c>
      <c r="J16" s="295">
        <v>0.97748069981574204</v>
      </c>
      <c r="L16" s="41">
        <v>-27888.329300000001</v>
      </c>
      <c r="M16" s="41">
        <f t="shared" si="24"/>
        <v>-27438.571894023255</v>
      </c>
      <c r="N16" s="41">
        <f t="shared" si="25"/>
        <v>-27838.918434684307</v>
      </c>
      <c r="O16" s="41">
        <f t="shared" si="5"/>
        <v>-27141.204049794691</v>
      </c>
      <c r="P16" s="41">
        <f t="shared" si="6"/>
        <v>-26797.255098580808</v>
      </c>
      <c r="Q16" s="41">
        <f t="shared" si="7"/>
        <v>-26212.779168553734</v>
      </c>
      <c r="R16" s="41">
        <f t="shared" si="8"/>
        <v>-25758.867972696498</v>
      </c>
      <c r="S16" s="41">
        <f t="shared" si="9"/>
        <v>-25193.269238801513</v>
      </c>
      <c r="T16" s="41">
        <f t="shared" si="26"/>
        <v>-24625.934446190109</v>
      </c>
      <c r="V16" s="41">
        <f t="shared" si="27"/>
        <v>-27888.329300000001</v>
      </c>
      <c r="W16" s="41">
        <f t="shared" si="28"/>
        <v>-28014.781903797739</v>
      </c>
      <c r="X16" s="41">
        <f t="shared" si="10"/>
        <v>-28785.441661463574</v>
      </c>
      <c r="Y16" s="41">
        <f t="shared" si="11"/>
        <v>-28036.863783437915</v>
      </c>
      <c r="Z16" s="41">
        <f t="shared" si="29"/>
        <v>-27654.767261735396</v>
      </c>
      <c r="AA16" s="41">
        <f t="shared" si="12"/>
        <v>-26920.524206104681</v>
      </c>
      <c r="AB16" s="41">
        <f t="shared" si="13"/>
        <v>-25758.867972696498</v>
      </c>
      <c r="AC16" s="41">
        <f t="shared" si="14"/>
        <v>-25193.269238801513</v>
      </c>
      <c r="AD16" s="41">
        <f t="shared" si="15"/>
        <v>-24625.934446190109</v>
      </c>
      <c r="AF16" s="303">
        <f t="shared" si="16"/>
        <v>1.9376843595708669E-3</v>
      </c>
      <c r="AG16" s="303">
        <f t="shared" si="17"/>
        <v>1.8564864077910837E-3</v>
      </c>
      <c r="AH16" s="303">
        <f t="shared" si="18"/>
        <v>1.8190478415397485E-3</v>
      </c>
      <c r="AI16" s="303">
        <f t="shared" si="19"/>
        <v>1.8025998114381998E-3</v>
      </c>
      <c r="AJ16" s="303">
        <f t="shared" si="20"/>
        <v>1.7763853649182108E-3</v>
      </c>
      <c r="AK16" s="303">
        <f t="shared" si="21"/>
        <v>1.7588110517575554E-3</v>
      </c>
      <c r="AL16" s="303">
        <f t="shared" si="22"/>
        <v>1.7322223421415933E-3</v>
      </c>
      <c r="AM16" s="303">
        <f t="shared" si="23"/>
        <v>1.704806488590961E-3</v>
      </c>
      <c r="AV16" s="41">
        <v>-28016.867129999999</v>
      </c>
      <c r="AW16" s="303">
        <f t="shared" si="30"/>
        <v>1.8752658473075736E-3</v>
      </c>
      <c r="AX16" s="41">
        <f t="shared" si="31"/>
        <v>-27492.9672899588</v>
      </c>
    </row>
    <row r="17" spans="1:50" x14ac:dyDescent="0.2">
      <c r="A17" s="30">
        <v>51</v>
      </c>
      <c r="B17" s="47" t="s">
        <v>339</v>
      </c>
      <c r="C17" s="295">
        <v>0.98893817993153021</v>
      </c>
      <c r="D17" s="295">
        <v>1.0143396875002009</v>
      </c>
      <c r="E17" s="295">
        <v>0.97852892336661212</v>
      </c>
      <c r="F17" s="295">
        <v>0.99101735287538306</v>
      </c>
      <c r="G17" s="295">
        <v>0.98372691670861157</v>
      </c>
      <c r="H17" s="295">
        <v>0.98618718017924478</v>
      </c>
      <c r="I17" s="295">
        <v>0.98565707166417216</v>
      </c>
      <c r="J17" s="295">
        <v>0.98690488708614965</v>
      </c>
      <c r="L17" s="41">
        <v>-28975.452010000001</v>
      </c>
      <c r="M17" s="41">
        <f t="shared" si="24"/>
        <v>-28654.930773462798</v>
      </c>
      <c r="N17" s="41">
        <f t="shared" si="25"/>
        <v>-29065.833526094146</v>
      </c>
      <c r="O17" s="41">
        <f t="shared" si="5"/>
        <v>-28441.758787042083</v>
      </c>
      <c r="P17" s="41">
        <f t="shared" si="6"/>
        <v>-28186.276504254613</v>
      </c>
      <c r="Q17" s="41">
        <f t="shared" si="7"/>
        <v>-27727.598879026773</v>
      </c>
      <c r="R17" s="41">
        <f t="shared" si="8"/>
        <v>-27344.602551648601</v>
      </c>
      <c r="S17" s="41">
        <f t="shared" si="9"/>
        <v>-26952.400876878608</v>
      </c>
      <c r="T17" s="41">
        <f t="shared" si="26"/>
        <v>-26599.456144096523</v>
      </c>
      <c r="V17" s="41">
        <f t="shared" si="27"/>
        <v>-28975.452010000001</v>
      </c>
      <c r="W17" s="41">
        <f t="shared" si="28"/>
        <v>-29256.684319705513</v>
      </c>
      <c r="X17" s="41">
        <f t="shared" si="10"/>
        <v>-30054.071865981346</v>
      </c>
      <c r="Y17" s="41">
        <f t="shared" si="11"/>
        <v>-29380.336827014471</v>
      </c>
      <c r="Z17" s="41">
        <f t="shared" si="29"/>
        <v>-29088.237352390763</v>
      </c>
      <c r="AA17" s="41">
        <f t="shared" si="12"/>
        <v>-28476.244048760494</v>
      </c>
      <c r="AB17" s="41">
        <f t="shared" si="13"/>
        <v>-27344.602551648601</v>
      </c>
      <c r="AC17" s="41">
        <f t="shared" si="14"/>
        <v>-26952.400876878608</v>
      </c>
      <c r="AD17" s="41">
        <f t="shared" si="15"/>
        <v>-26599.456144096523</v>
      </c>
      <c r="AF17" s="303">
        <f t="shared" si="16"/>
        <v>2.0235824006722167E-3</v>
      </c>
      <c r="AG17" s="303">
        <f t="shared" si="17"/>
        <v>1.9383053619311372E-3</v>
      </c>
      <c r="AH17" s="303">
        <f t="shared" si="18"/>
        <v>1.9062131450116873E-3</v>
      </c>
      <c r="AI17" s="303">
        <f t="shared" si="19"/>
        <v>1.8960366098990924E-3</v>
      </c>
      <c r="AJ17" s="303">
        <f t="shared" si="20"/>
        <v>1.8790415368132576E-3</v>
      </c>
      <c r="AK17" s="303">
        <f t="shared" si="21"/>
        <v>1.8670847346527557E-3</v>
      </c>
      <c r="AL17" s="303">
        <f t="shared" si="22"/>
        <v>1.8531755656935455E-3</v>
      </c>
      <c r="AM17" s="303">
        <f t="shared" si="23"/>
        <v>1.8414296329153958E-3</v>
      </c>
      <c r="AV17" s="41">
        <v>-33470.9548</v>
      </c>
      <c r="AW17" s="303">
        <f t="shared" si="30"/>
        <v>2.2403268046342589E-3</v>
      </c>
      <c r="AX17" s="41">
        <f t="shared" si="31"/>
        <v>-32845.066552596007</v>
      </c>
    </row>
    <row r="18" spans="1:50" x14ac:dyDescent="0.2">
      <c r="A18" s="30">
        <v>52</v>
      </c>
      <c r="B18" s="47" t="s">
        <v>340</v>
      </c>
      <c r="C18" s="295">
        <v>0.99953484881688182</v>
      </c>
      <c r="D18" s="295">
        <v>1.1408415332069739</v>
      </c>
      <c r="E18" s="295">
        <v>0.98896728863101258</v>
      </c>
      <c r="F18" s="295">
        <v>0.99661337028561381</v>
      </c>
      <c r="G18" s="295">
        <v>0.99476763607048457</v>
      </c>
      <c r="H18" s="295">
        <v>0.99458722421396328</v>
      </c>
      <c r="I18" s="295">
        <v>0.99281479587128529</v>
      </c>
      <c r="J18" s="295">
        <v>0.9376548265956054</v>
      </c>
      <c r="L18" s="41">
        <v>-6876.0000099999997</v>
      </c>
      <c r="M18" s="41">
        <f t="shared" si="24"/>
        <v>-6872.8016304602279</v>
      </c>
      <c r="N18" s="41">
        <f t="shared" si="25"/>
        <v>-7840.7775495216365</v>
      </c>
      <c r="O18" s="41">
        <f t="shared" si="5"/>
        <v>-7754.2725139093282</v>
      </c>
      <c r="P18" s="41">
        <f t="shared" si="6"/>
        <v>-7728.0116642002749</v>
      </c>
      <c r="Q18" s="41">
        <f t="shared" si="7"/>
        <v>-7687.5758947216391</v>
      </c>
      <c r="R18" s="41">
        <f t="shared" si="8"/>
        <v>-7645.9647700653704</v>
      </c>
      <c r="S18" s="41">
        <f t="shared" si="9"/>
        <v>-7591.0269524314899</v>
      </c>
      <c r="T18" s="41">
        <f t="shared" si="26"/>
        <v>-7117.7630607647152</v>
      </c>
      <c r="V18" s="41">
        <f t="shared" si="27"/>
        <v>-6876.0000099999997</v>
      </c>
      <c r="W18" s="41">
        <f t="shared" si="28"/>
        <v>-7017.1304646998924</v>
      </c>
      <c r="X18" s="41">
        <f t="shared" si="10"/>
        <v>-8107.3639862053724</v>
      </c>
      <c r="Y18" s="41">
        <f t="shared" si="11"/>
        <v>-8010.1635068683354</v>
      </c>
      <c r="Z18" s="41">
        <f t="shared" si="29"/>
        <v>-7975.3080374546844</v>
      </c>
      <c r="AA18" s="41">
        <f t="shared" si="12"/>
        <v>-7895.1404438791224</v>
      </c>
      <c r="AB18" s="41">
        <f t="shared" si="13"/>
        <v>-7645.9647700653704</v>
      </c>
      <c r="AC18" s="41">
        <f t="shared" si="14"/>
        <v>-7591.0269524314899</v>
      </c>
      <c r="AD18" s="41">
        <f t="shared" si="15"/>
        <v>-7117.7630607647152</v>
      </c>
      <c r="AF18" s="303">
        <f t="shared" si="16"/>
        <v>4.8535034101671867E-4</v>
      </c>
      <c r="AG18" s="303">
        <f t="shared" si="17"/>
        <v>5.2287580716730772E-4</v>
      </c>
      <c r="AH18" s="303">
        <f t="shared" si="18"/>
        <v>5.197040136192655E-4</v>
      </c>
      <c r="AI18" s="303">
        <f t="shared" si="19"/>
        <v>5.1984848139977546E-4</v>
      </c>
      <c r="AJ18" s="303">
        <f t="shared" si="20"/>
        <v>5.2097098225525559E-4</v>
      </c>
      <c r="AK18" s="303">
        <f t="shared" si="21"/>
        <v>5.2206515259886795E-4</v>
      </c>
      <c r="AL18" s="303">
        <f t="shared" si="22"/>
        <v>5.2193887034513245E-4</v>
      </c>
      <c r="AM18" s="303">
        <f t="shared" si="23"/>
        <v>4.9274916559042755E-4</v>
      </c>
      <c r="AV18" s="41">
        <v>-7481.68</v>
      </c>
      <c r="AW18" s="303">
        <f t="shared" si="30"/>
        <v>5.007747268594813E-4</v>
      </c>
      <c r="AX18" s="41">
        <f t="shared" si="31"/>
        <v>-7341.7767432564106</v>
      </c>
    </row>
    <row r="19" spans="1:50" x14ac:dyDescent="0.2">
      <c r="A19" s="30">
        <v>61</v>
      </c>
      <c r="B19" s="47" t="s">
        <v>341</v>
      </c>
      <c r="C19" s="295">
        <v>0.9809731156564353</v>
      </c>
      <c r="D19" s="295">
        <v>1.0834891338549699</v>
      </c>
      <c r="E19" s="295">
        <v>0.97936029457366214</v>
      </c>
      <c r="F19" s="295">
        <v>0.99329307259178157</v>
      </c>
      <c r="G19" s="295">
        <v>0.9806280588019487</v>
      </c>
      <c r="H19" s="295">
        <v>0.98894089254711548</v>
      </c>
      <c r="I19" s="295">
        <v>0.98198228207568705</v>
      </c>
      <c r="J19" s="295">
        <v>0.98866403716808904</v>
      </c>
      <c r="L19" s="41">
        <v>-36228.997459999999</v>
      </c>
      <c r="M19" s="41">
        <f t="shared" si="24"/>
        <v>-35539.67251544528</v>
      </c>
      <c r="N19" s="41">
        <f t="shared" si="25"/>
        <v>-38506.848991249084</v>
      </c>
      <c r="O19" s="41">
        <f t="shared" si="5"/>
        <v>-37712.078971173229</v>
      </c>
      <c r="P19" s="41">
        <f t="shared" si="6"/>
        <v>-37459.146795100569</v>
      </c>
      <c r="Q19" s="41">
        <f t="shared" si="7"/>
        <v>-36733.490406056706</v>
      </c>
      <c r="R19" s="41">
        <f t="shared" si="8"/>
        <v>-36327.250788536621</v>
      </c>
      <c r="S19" s="41">
        <f t="shared" si="9"/>
        <v>-35672.716630862997</v>
      </c>
      <c r="T19" s="41">
        <f t="shared" si="26"/>
        <v>-35268.332041022244</v>
      </c>
      <c r="V19" s="41">
        <f t="shared" si="27"/>
        <v>-36228.997459999999</v>
      </c>
      <c r="W19" s="41">
        <f t="shared" si="28"/>
        <v>-36286.005638269628</v>
      </c>
      <c r="X19" s="41">
        <f t="shared" si="10"/>
        <v>-39816.081856951554</v>
      </c>
      <c r="Y19" s="41">
        <f t="shared" si="11"/>
        <v>-38956.577577221942</v>
      </c>
      <c r="Z19" s="41">
        <f t="shared" si="29"/>
        <v>-38657.83949254379</v>
      </c>
      <c r="AA19" s="41">
        <f t="shared" si="12"/>
        <v>-37725.294647020237</v>
      </c>
      <c r="AB19" s="41">
        <f t="shared" si="13"/>
        <v>-36327.250788536621</v>
      </c>
      <c r="AC19" s="41">
        <f t="shared" si="14"/>
        <v>-35672.716630862997</v>
      </c>
      <c r="AD19" s="41">
        <f t="shared" si="15"/>
        <v>-35268.332041022244</v>
      </c>
      <c r="AF19" s="303">
        <f t="shared" si="16"/>
        <v>2.5097759403596813E-3</v>
      </c>
      <c r="AG19" s="303">
        <f t="shared" si="17"/>
        <v>2.5678958012266759E-3</v>
      </c>
      <c r="AH19" s="303">
        <f t="shared" si="18"/>
        <v>2.5275251505656074E-3</v>
      </c>
      <c r="AI19" s="303">
        <f t="shared" si="19"/>
        <v>2.5198047598934945E-3</v>
      </c>
      <c r="AJ19" s="303">
        <f t="shared" si="20"/>
        <v>2.4893520194899238E-3</v>
      </c>
      <c r="AK19" s="303">
        <f t="shared" si="21"/>
        <v>2.4804184032687572E-3</v>
      </c>
      <c r="AL19" s="303">
        <f t="shared" si="22"/>
        <v>2.4527613374486553E-3</v>
      </c>
      <c r="AM19" s="303">
        <f t="shared" si="23"/>
        <v>2.4415593827188673E-3</v>
      </c>
      <c r="AV19" s="41">
        <v>-38799.063000000002</v>
      </c>
      <c r="AW19" s="303">
        <f t="shared" si="30"/>
        <v>2.5969555201811366E-3</v>
      </c>
      <c r="AX19" s="41">
        <f t="shared" si="31"/>
        <v>-38073.542091287025</v>
      </c>
    </row>
    <row r="20" spans="1:50" x14ac:dyDescent="0.2">
      <c r="A20" s="30">
        <v>69</v>
      </c>
      <c r="B20" s="47" t="s">
        <v>342</v>
      </c>
      <c r="C20" s="295">
        <v>0.97426987626170458</v>
      </c>
      <c r="D20" s="295">
        <v>1.0258815724524992</v>
      </c>
      <c r="E20" s="295">
        <v>0.96276523295703431</v>
      </c>
      <c r="F20" s="295">
        <v>0.98119862747656961</v>
      </c>
      <c r="G20" s="295">
        <v>0.97984588516907001</v>
      </c>
      <c r="H20" s="295">
        <v>0.97666161364585946</v>
      </c>
      <c r="I20" s="295">
        <v>0.97936861852678403</v>
      </c>
      <c r="J20" s="295">
        <v>0.97523717287818545</v>
      </c>
      <c r="L20" s="41">
        <v>-20885.137750000002</v>
      </c>
      <c r="M20" s="41">
        <f t="shared" si="24"/>
        <v>-20347.760571401155</v>
      </c>
      <c r="N20" s="41">
        <f t="shared" si="25"/>
        <v>-20874.392610875981</v>
      </c>
      <c r="O20" s="41">
        <f t="shared" si="5"/>
        <v>-20097.139464846608</v>
      </c>
      <c r="P20" s="41">
        <f t="shared" si="6"/>
        <v>-19719.285659112691</v>
      </c>
      <c r="Q20" s="41">
        <f t="shared" si="7"/>
        <v>-19321.860911555024</v>
      </c>
      <c r="R20" s="41">
        <f t="shared" si="8"/>
        <v>-18870.919856520188</v>
      </c>
      <c r="S20" s="41">
        <f t="shared" si="9"/>
        <v>-18481.586710209835</v>
      </c>
      <c r="T20" s="41">
        <f t="shared" si="26"/>
        <v>-18023.930373568084</v>
      </c>
      <c r="V20" s="41">
        <f t="shared" si="27"/>
        <v>-20885.137750000002</v>
      </c>
      <c r="W20" s="41">
        <f t="shared" si="28"/>
        <v>-20775.063543400578</v>
      </c>
      <c r="X20" s="41">
        <f t="shared" si="10"/>
        <v>-21584.121959645763</v>
      </c>
      <c r="Y20" s="41">
        <f t="shared" si="11"/>
        <v>-20760.345067186547</v>
      </c>
      <c r="Z20" s="41">
        <f t="shared" si="29"/>
        <v>-20350.302800204299</v>
      </c>
      <c r="AA20" s="41">
        <f t="shared" si="12"/>
        <v>-19843.55115616701</v>
      </c>
      <c r="AB20" s="41">
        <f t="shared" si="13"/>
        <v>-18870.919856520188</v>
      </c>
      <c r="AC20" s="41">
        <f t="shared" si="14"/>
        <v>-18481.586710209835</v>
      </c>
      <c r="AD20" s="41">
        <f t="shared" si="15"/>
        <v>-18023.930373568084</v>
      </c>
      <c r="AF20" s="303">
        <f t="shared" si="16"/>
        <v>1.4369383932873344E-3</v>
      </c>
      <c r="AG20" s="303">
        <f t="shared" si="17"/>
        <v>1.3920449619444905E-3</v>
      </c>
      <c r="AH20" s="303">
        <f t="shared" si="18"/>
        <v>1.3469431237310588E-3</v>
      </c>
      <c r="AI20" s="303">
        <f t="shared" si="19"/>
        <v>1.3264784202727936E-3</v>
      </c>
      <c r="AJ20" s="303">
        <f t="shared" si="20"/>
        <v>1.3094022089594911E-3</v>
      </c>
      <c r="AK20" s="303">
        <f t="shared" si="21"/>
        <v>1.2885031452336902E-3</v>
      </c>
      <c r="AL20" s="303">
        <f t="shared" si="22"/>
        <v>1.2707448610260474E-3</v>
      </c>
      <c r="AM20" s="303">
        <f t="shared" si="23"/>
        <v>1.2477623343760834E-3</v>
      </c>
      <c r="AV20" s="41">
        <v>-19325.524010000001</v>
      </c>
      <c r="AW20" s="303">
        <f t="shared" si="30"/>
        <v>1.2935241827402532E-3</v>
      </c>
      <c r="AX20" s="41">
        <f t="shared" si="31"/>
        <v>-18964.147454563863</v>
      </c>
    </row>
    <row r="21" spans="1:50" x14ac:dyDescent="0.2">
      <c r="A21" s="30">
        <v>71</v>
      </c>
      <c r="B21" s="47" t="s">
        <v>343</v>
      </c>
      <c r="C21" s="295">
        <v>0.96164905576915027</v>
      </c>
      <c r="D21" s="295">
        <v>1.0208023067743057</v>
      </c>
      <c r="E21" s="295">
        <v>0.98839958378338832</v>
      </c>
      <c r="F21" s="295">
        <v>0.97677886163288741</v>
      </c>
      <c r="G21" s="295">
        <v>0.97811300542252877</v>
      </c>
      <c r="H21" s="295">
        <v>0.97828063342480154</v>
      </c>
      <c r="I21" s="295">
        <v>0.97790715127839056</v>
      </c>
      <c r="J21" s="295">
        <v>0.97254468150859719</v>
      </c>
      <c r="L21" s="41">
        <v>-21101.795389999999</v>
      </c>
      <c r="M21" s="41">
        <f t="shared" si="24"/>
        <v>-20292.521611827309</v>
      </c>
      <c r="N21" s="41">
        <f t="shared" si="25"/>
        <v>-20714.652871620769</v>
      </c>
      <c r="O21" s="41">
        <f t="shared" si="5"/>
        <v>-20474.354276527338</v>
      </c>
      <c r="P21" s="41">
        <f t="shared" si="6"/>
        <v>-19998.916462894813</v>
      </c>
      <c r="Q21" s="41">
        <f t="shared" si="7"/>
        <v>-19561.200286716135</v>
      </c>
      <c r="R21" s="41">
        <f t="shared" si="8"/>
        <v>-19136.343407038072</v>
      </c>
      <c r="S21" s="41">
        <f t="shared" si="9"/>
        <v>-18713.567067061613</v>
      </c>
      <c r="T21" s="41">
        <f t="shared" si="26"/>
        <v>-18199.780123125209</v>
      </c>
      <c r="V21" s="41">
        <f t="shared" si="27"/>
        <v>-21101.795389999999</v>
      </c>
      <c r="W21" s="41">
        <f t="shared" si="28"/>
        <v>-20718.664565675681</v>
      </c>
      <c r="X21" s="41">
        <f t="shared" si="10"/>
        <v>-21418.951069255876</v>
      </c>
      <c r="Y21" s="41">
        <f t="shared" si="11"/>
        <v>-21150.007967652738</v>
      </c>
      <c r="Z21" s="41">
        <f t="shared" si="29"/>
        <v>-20638.881789707448</v>
      </c>
      <c r="AA21" s="41">
        <f t="shared" si="12"/>
        <v>-20089.35269445747</v>
      </c>
      <c r="AB21" s="41">
        <f t="shared" si="13"/>
        <v>-19136.343407038072</v>
      </c>
      <c r="AC21" s="41">
        <f t="shared" si="14"/>
        <v>-18713.567067061613</v>
      </c>
      <c r="AD21" s="41">
        <f t="shared" si="15"/>
        <v>-18199.780123125209</v>
      </c>
      <c r="AF21" s="303">
        <f t="shared" si="16"/>
        <v>1.4330374735011802E-3</v>
      </c>
      <c r="AG21" s="303">
        <f t="shared" si="17"/>
        <v>1.3813924412509455E-3</v>
      </c>
      <c r="AH21" s="303">
        <f t="shared" si="18"/>
        <v>1.3722246767426997E-3</v>
      </c>
      <c r="AI21" s="303">
        <f t="shared" si="19"/>
        <v>1.3452886466305172E-3</v>
      </c>
      <c r="AJ21" s="303">
        <f t="shared" si="20"/>
        <v>1.3256217391569953E-3</v>
      </c>
      <c r="AK21" s="303">
        <f t="shared" si="21"/>
        <v>1.3066262193743088E-3</v>
      </c>
      <c r="AL21" s="303">
        <f t="shared" si="22"/>
        <v>1.2866952147998138E-3</v>
      </c>
      <c r="AM21" s="303">
        <f t="shared" si="23"/>
        <v>1.2599360772534206E-3</v>
      </c>
      <c r="AV21" s="41">
        <v>-20346.018</v>
      </c>
      <c r="AW21" s="303">
        <f t="shared" si="30"/>
        <v>1.3618293761064478E-3</v>
      </c>
      <c r="AX21" s="41">
        <f t="shared" si="31"/>
        <v>-19965.558774269455</v>
      </c>
    </row>
    <row r="22" spans="1:50" x14ac:dyDescent="0.2">
      <c r="A22" s="30">
        <v>72</v>
      </c>
      <c r="B22" s="47" t="s">
        <v>344</v>
      </c>
      <c r="C22" s="295">
        <v>0.99848274123050829</v>
      </c>
      <c r="D22" s="295">
        <v>1.0183622274296009</v>
      </c>
      <c r="E22" s="295">
        <v>0.99918134924989166</v>
      </c>
      <c r="F22" s="295">
        <v>0.99988170709513702</v>
      </c>
      <c r="G22" s="295">
        <v>0.99825750853615136</v>
      </c>
      <c r="H22" s="295">
        <v>0.99850382882262489</v>
      </c>
      <c r="I22" s="295">
        <v>0.99850158694019286</v>
      </c>
      <c r="J22" s="295">
        <v>0.9987494486076226</v>
      </c>
      <c r="L22" s="41">
        <v>-2851.6328900000003</v>
      </c>
      <c r="M22" s="41">
        <f t="shared" si="24"/>
        <v>-2847.3062249902769</v>
      </c>
      <c r="N22" s="41">
        <f t="shared" si="25"/>
        <v>-2899.5891094552667</v>
      </c>
      <c r="O22" s="41">
        <f t="shared" si="5"/>
        <v>-2897.2153586558052</v>
      </c>
      <c r="P22" s="41">
        <f t="shared" si="6"/>
        <v>-2896.8726386350163</v>
      </c>
      <c r="Q22" s="41">
        <f t="shared" si="7"/>
        <v>-2891.8248627903381</v>
      </c>
      <c r="R22" s="41">
        <f t="shared" si="8"/>
        <v>-2887.4981977806146</v>
      </c>
      <c r="S22" s="41">
        <f t="shared" si="9"/>
        <v>-2883.1715327708907</v>
      </c>
      <c r="T22" s="41">
        <f t="shared" si="26"/>
        <v>-2879.5659785961211</v>
      </c>
      <c r="V22" s="41">
        <f t="shared" si="27"/>
        <v>-2851.6328900000003</v>
      </c>
      <c r="W22" s="41">
        <f t="shared" si="28"/>
        <v>-2907.0996557150725</v>
      </c>
      <c r="X22" s="41">
        <f t="shared" si="10"/>
        <v>-2998.1751391767457</v>
      </c>
      <c r="Y22" s="41">
        <f t="shared" si="11"/>
        <v>-2992.8234654914463</v>
      </c>
      <c r="Z22" s="41">
        <f t="shared" si="29"/>
        <v>-2989.5725630713368</v>
      </c>
      <c r="AA22" s="41">
        <f t="shared" si="12"/>
        <v>-2969.904134085677</v>
      </c>
      <c r="AB22" s="41">
        <f t="shared" si="13"/>
        <v>-2887.4981977806146</v>
      </c>
      <c r="AC22" s="41">
        <f t="shared" si="14"/>
        <v>-2883.1715327708907</v>
      </c>
      <c r="AD22" s="41">
        <f t="shared" si="15"/>
        <v>-2879.5659785961211</v>
      </c>
      <c r="AF22" s="303">
        <f t="shared" si="16"/>
        <v>2.0107390283946212E-4</v>
      </c>
      <c r="AG22" s="303">
        <f t="shared" si="17"/>
        <v>1.9336411299571377E-4</v>
      </c>
      <c r="AH22" s="303">
        <f t="shared" si="18"/>
        <v>1.9417610710894444E-4</v>
      </c>
      <c r="AI22" s="303">
        <f t="shared" si="19"/>
        <v>1.9486705085852298E-4</v>
      </c>
      <c r="AJ22" s="303">
        <f t="shared" si="20"/>
        <v>1.9597293866229902E-4</v>
      </c>
      <c r="AK22" s="303">
        <f t="shared" si="21"/>
        <v>1.9715787772854262E-4</v>
      </c>
      <c r="AL22" s="303">
        <f t="shared" si="22"/>
        <v>1.982392240543509E-4</v>
      </c>
      <c r="AM22" s="303">
        <f t="shared" si="23"/>
        <v>1.9934686236428023E-4</v>
      </c>
      <c r="AV22" s="41">
        <v>-2934.01046</v>
      </c>
      <c r="AW22" s="303">
        <f t="shared" si="30"/>
        <v>1.9638347091954761E-4</v>
      </c>
      <c r="AX22" s="41">
        <f t="shared" si="31"/>
        <v>-2879.1460954891204</v>
      </c>
    </row>
    <row r="23" spans="1:50" x14ac:dyDescent="0.2">
      <c r="A23" s="30">
        <v>74</v>
      </c>
      <c r="B23" s="47" t="s">
        <v>345</v>
      </c>
      <c r="C23" s="295">
        <v>0.96347460413942498</v>
      </c>
      <c r="D23" s="295">
        <v>1.0336419198498401</v>
      </c>
      <c r="E23" s="295">
        <v>0.9773615225438409</v>
      </c>
      <c r="F23" s="295">
        <v>1.0092504637038626</v>
      </c>
      <c r="G23" s="295">
        <v>0.99306668873346804</v>
      </c>
      <c r="H23" s="295">
        <v>0.96449797834878237</v>
      </c>
      <c r="I23" s="295">
        <v>1.0067923072998946</v>
      </c>
      <c r="J23" s="295">
        <v>0.97927321296299819</v>
      </c>
      <c r="L23" s="41">
        <v>-3365.6049600000001</v>
      </c>
      <c r="M23" s="41">
        <f t="shared" si="24"/>
        <v>-3242.6749065256854</v>
      </c>
      <c r="N23" s="41">
        <f t="shared" si="25"/>
        <v>-3351.7647158301102</v>
      </c>
      <c r="O23" s="41">
        <f t="shared" si="5"/>
        <v>-3275.8858658724407</v>
      </c>
      <c r="P23" s="41">
        <f t="shared" si="6"/>
        <v>-3306.1893291726901</v>
      </c>
      <c r="Q23" s="41">
        <f t="shared" si="7"/>
        <v>-3283.2664894474492</v>
      </c>
      <c r="R23" s="41">
        <f t="shared" si="8"/>
        <v>-3166.7038914523687</v>
      </c>
      <c r="S23" s="41">
        <f t="shared" si="9"/>
        <v>-3188.2131174108849</v>
      </c>
      <c r="T23" s="41">
        <f t="shared" si="26"/>
        <v>-3122.1317030977339</v>
      </c>
      <c r="V23" s="41">
        <f t="shared" si="27"/>
        <v>-3365.6049600000001</v>
      </c>
      <c r="W23" s="41">
        <f t="shared" si="28"/>
        <v>-3310.7710795627245</v>
      </c>
      <c r="X23" s="41">
        <f t="shared" si="10"/>
        <v>-3465.724716168334</v>
      </c>
      <c r="Y23" s="41">
        <f t="shared" si="11"/>
        <v>-3383.9900994462309</v>
      </c>
      <c r="Z23" s="41">
        <f t="shared" si="29"/>
        <v>-3411.9873877062164</v>
      </c>
      <c r="AA23" s="41">
        <f t="shared" si="12"/>
        <v>-3371.9146846625299</v>
      </c>
      <c r="AB23" s="41">
        <f t="shared" si="13"/>
        <v>-3166.7038914523687</v>
      </c>
      <c r="AC23" s="41">
        <f t="shared" si="14"/>
        <v>-3188.2131174108849</v>
      </c>
      <c r="AD23" s="41">
        <f t="shared" si="15"/>
        <v>-3122.1317030977339</v>
      </c>
      <c r="AF23" s="303">
        <f t="shared" si="16"/>
        <v>2.2899444161364628E-4</v>
      </c>
      <c r="AG23" s="303">
        <f t="shared" si="17"/>
        <v>2.2351822509382295E-4</v>
      </c>
      <c r="AH23" s="303">
        <f t="shared" si="18"/>
        <v>2.195552232138688E-4</v>
      </c>
      <c r="AI23" s="303">
        <f t="shared" si="19"/>
        <v>2.2240099739399464E-4</v>
      </c>
      <c r="AJ23" s="303">
        <f t="shared" si="20"/>
        <v>2.2250012116142336E-4</v>
      </c>
      <c r="AK23" s="303">
        <f t="shared" si="21"/>
        <v>2.1622199422093011E-4</v>
      </c>
      <c r="AL23" s="303">
        <f t="shared" si="22"/>
        <v>2.192130739817695E-4</v>
      </c>
      <c r="AM23" s="303">
        <f t="shared" si="23"/>
        <v>2.1613922498279171E-4</v>
      </c>
      <c r="AV23" s="41">
        <v>-3265.3969999999999</v>
      </c>
      <c r="AW23" s="303">
        <f t="shared" si="30"/>
        <v>2.1856431854379893E-4</v>
      </c>
      <c r="AX23" s="41">
        <f t="shared" si="31"/>
        <v>-3204.3358914173359</v>
      </c>
    </row>
    <row r="24" spans="1:50" x14ac:dyDescent="0.2">
      <c r="A24" s="30">
        <v>75</v>
      </c>
      <c r="B24" s="47" t="s">
        <v>346</v>
      </c>
      <c r="C24" s="295">
        <v>0.97672378317990816</v>
      </c>
      <c r="D24" s="295">
        <v>1.0630950177048515</v>
      </c>
      <c r="E24" s="295">
        <v>0.97692536828848031</v>
      </c>
      <c r="F24" s="295">
        <v>0.9822293883442752</v>
      </c>
      <c r="G24" s="295">
        <v>0.97656551982048179</v>
      </c>
      <c r="H24" s="295">
        <v>0.97913447597685455</v>
      </c>
      <c r="I24" s="295">
        <v>0.9800965461861374</v>
      </c>
      <c r="J24" s="295">
        <v>0.97900478536973146</v>
      </c>
      <c r="L24" s="41">
        <v>-46546.222560000002</v>
      </c>
      <c r="M24" s="41">
        <f t="shared" si="24"/>
        <v>-45462.802591537191</v>
      </c>
      <c r="N24" s="41">
        <f t="shared" si="25"/>
        <v>-48331.278925962397</v>
      </c>
      <c r="O24" s="41">
        <f t="shared" si="5"/>
        <v>-47216.052464599081</v>
      </c>
      <c r="P24" s="41">
        <f t="shared" si="6"/>
        <v>-46376.994332334361</v>
      </c>
      <c r="Q24" s="41">
        <f t="shared" si="7"/>
        <v>-45290.173577867645</v>
      </c>
      <c r="R24" s="41">
        <f t="shared" si="8"/>
        <v>-44345.170373066219</v>
      </c>
      <c r="S24" s="41">
        <f t="shared" si="9"/>
        <v>-43462.548322678027</v>
      </c>
      <c r="T24" s="41">
        <f t="shared" si="26"/>
        <v>-42550.042792264983</v>
      </c>
      <c r="V24" s="41">
        <f t="shared" si="27"/>
        <v>-46546.222560000002</v>
      </c>
      <c r="W24" s="41">
        <f t="shared" si="28"/>
        <v>-46417.521445959464</v>
      </c>
      <c r="X24" s="41">
        <f t="shared" si="10"/>
        <v>-49974.542409445123</v>
      </c>
      <c r="Y24" s="41">
        <f t="shared" si="11"/>
        <v>-48774.182195930844</v>
      </c>
      <c r="Z24" s="41">
        <f t="shared" si="29"/>
        <v>-47861.05815096906</v>
      </c>
      <c r="AA24" s="41">
        <f t="shared" si="12"/>
        <v>-46513.008264470067</v>
      </c>
      <c r="AB24" s="41">
        <f t="shared" si="13"/>
        <v>-44345.170373066219</v>
      </c>
      <c r="AC24" s="41">
        <f t="shared" si="14"/>
        <v>-43462.548322678027</v>
      </c>
      <c r="AD24" s="41">
        <f t="shared" si="15"/>
        <v>-42550.042792264983</v>
      </c>
      <c r="AF24" s="303">
        <f t="shared" si="16"/>
        <v>3.2105374093127658E-3</v>
      </c>
      <c r="AG24" s="303">
        <f t="shared" si="17"/>
        <v>3.2230548973274558E-3</v>
      </c>
      <c r="AH24" s="303">
        <f t="shared" si="18"/>
        <v>3.1644969826755409E-3</v>
      </c>
      <c r="AI24" s="303">
        <f t="shared" si="19"/>
        <v>3.1196912120661125E-3</v>
      </c>
      <c r="AJ24" s="303">
        <f t="shared" si="20"/>
        <v>3.0692205889730709E-3</v>
      </c>
      <c r="AK24" s="303">
        <f t="shared" si="21"/>
        <v>3.0278805662924445E-3</v>
      </c>
      <c r="AL24" s="303">
        <f t="shared" si="22"/>
        <v>2.9883694941424373E-3</v>
      </c>
      <c r="AM24" s="303">
        <f t="shared" si="23"/>
        <v>2.9456583343296858E-3</v>
      </c>
      <c r="AV24" s="41">
        <v>-43807.6</v>
      </c>
      <c r="AW24" s="303">
        <f t="shared" si="30"/>
        <v>2.9321942296876382E-3</v>
      </c>
      <c r="AX24" s="41">
        <f t="shared" si="31"/>
        <v>-42988.422233760262</v>
      </c>
    </row>
    <row r="25" spans="1:50" x14ac:dyDescent="0.2">
      <c r="A25" s="30">
        <v>77</v>
      </c>
      <c r="B25" s="47" t="s">
        <v>347</v>
      </c>
      <c r="C25" s="295">
        <v>0.98631518646842531</v>
      </c>
      <c r="D25" s="295">
        <v>1.0698768099445206</v>
      </c>
      <c r="E25" s="295">
        <v>1.0013746789480782</v>
      </c>
      <c r="F25" s="295">
        <v>0.98952030916503597</v>
      </c>
      <c r="G25" s="295">
        <v>0.99225713072279575</v>
      </c>
      <c r="H25" s="295">
        <v>0.99588758597492877</v>
      </c>
      <c r="I25" s="295">
        <v>0.98260645226331167</v>
      </c>
      <c r="J25" s="295">
        <v>0.98673841888978386</v>
      </c>
      <c r="L25" s="41">
        <v>-11913.90215</v>
      </c>
      <c r="M25" s="41">
        <f t="shared" si="24"/>
        <v>-11750.862620643824</v>
      </c>
      <c r="N25" s="41">
        <f t="shared" si="25"/>
        <v>-12571.975414670724</v>
      </c>
      <c r="O25" s="41">
        <f t="shared" si="5"/>
        <v>-12589.257844609028</v>
      </c>
      <c r="P25" s="41">
        <f t="shared" si="6"/>
        <v>-12457.326314555879</v>
      </c>
      <c r="Q25" s="41">
        <f t="shared" si="7"/>
        <v>-12360.870865358796</v>
      </c>
      <c r="R25" s="41">
        <f t="shared" si="8"/>
        <v>-12310.037846650001</v>
      </c>
      <c r="S25" s="41">
        <f t="shared" si="9"/>
        <v>-12095.922615723854</v>
      </c>
      <c r="T25" s="41">
        <f t="shared" si="26"/>
        <v>-11935.511556852534</v>
      </c>
      <c r="V25" s="41">
        <f t="shared" si="27"/>
        <v>-11913.90215</v>
      </c>
      <c r="W25" s="41">
        <f t="shared" si="28"/>
        <v>-11997.630735677343</v>
      </c>
      <c r="X25" s="41">
        <f t="shared" si="10"/>
        <v>-12999.422578769529</v>
      </c>
      <c r="Y25" s="41">
        <f t="shared" si="11"/>
        <v>-13004.703353481125</v>
      </c>
      <c r="Z25" s="41">
        <f t="shared" si="29"/>
        <v>-12855.960756621667</v>
      </c>
      <c r="AA25" s="41">
        <f t="shared" si="12"/>
        <v>-12694.614378723483</v>
      </c>
      <c r="AB25" s="41">
        <f t="shared" si="13"/>
        <v>-12310.037846650001</v>
      </c>
      <c r="AC25" s="41">
        <f t="shared" si="14"/>
        <v>-12095.922615723854</v>
      </c>
      <c r="AD25" s="41">
        <f t="shared" si="15"/>
        <v>-11935.511556852534</v>
      </c>
      <c r="AF25" s="303">
        <f t="shared" si="16"/>
        <v>8.2983410359076216E-4</v>
      </c>
      <c r="AG25" s="303">
        <f t="shared" si="17"/>
        <v>8.3838391678827252E-4</v>
      </c>
      <c r="AH25" s="303">
        <f t="shared" si="18"/>
        <v>8.4375263038474627E-4</v>
      </c>
      <c r="AI25" s="303">
        <f t="shared" si="19"/>
        <v>8.3798038205904922E-4</v>
      </c>
      <c r="AJ25" s="303">
        <f t="shared" si="20"/>
        <v>8.3767043401521027E-4</v>
      </c>
      <c r="AK25" s="303">
        <f t="shared" si="21"/>
        <v>8.4052725590236103E-4</v>
      </c>
      <c r="AL25" s="303">
        <f t="shared" si="22"/>
        <v>8.3168354234479662E-4</v>
      </c>
      <c r="AM25" s="303">
        <f t="shared" si="23"/>
        <v>8.2627270819859641E-4</v>
      </c>
      <c r="AV25" s="41">
        <v>-12423.2</v>
      </c>
      <c r="AW25" s="303">
        <f t="shared" si="30"/>
        <v>8.3152775669645157E-4</v>
      </c>
      <c r="AX25" s="41">
        <f t="shared" si="31"/>
        <v>-12190.893066373199</v>
      </c>
    </row>
    <row r="26" spans="1:50" x14ac:dyDescent="0.2">
      <c r="A26" s="30">
        <v>78</v>
      </c>
      <c r="B26" s="47" t="s">
        <v>348</v>
      </c>
      <c r="C26" s="295">
        <v>0.96398682552706527</v>
      </c>
      <c r="D26" s="295">
        <v>1.0358704940851444</v>
      </c>
      <c r="E26" s="295">
        <v>0.95619876541946214</v>
      </c>
      <c r="F26" s="295">
        <v>0.97679575534982321</v>
      </c>
      <c r="G26" s="295">
        <v>0.97101305139477534</v>
      </c>
      <c r="H26" s="295">
        <v>0.97044973706254944</v>
      </c>
      <c r="I26" s="295">
        <v>0.98016337844371204</v>
      </c>
      <c r="J26" s="295">
        <v>0.98111870596031525</v>
      </c>
      <c r="L26" s="41">
        <v>-18132.900149999998</v>
      </c>
      <c r="M26" s="41">
        <f t="shared" si="24"/>
        <v>-17479.876853197744</v>
      </c>
      <c r="N26" s="41">
        <f t="shared" si="25"/>
        <v>-18106.888672469428</v>
      </c>
      <c r="O26" s="41">
        <f t="shared" si="5"/>
        <v>-17313.784594202909</v>
      </c>
      <c r="P26" s="41">
        <f t="shared" si="6"/>
        <v>-16912.031300658564</v>
      </c>
      <c r="Q26" s="41">
        <f t="shared" si="7"/>
        <v>-16421.803118536423</v>
      </c>
      <c r="R26" s="41">
        <f t="shared" si="8"/>
        <v>-15936.534518476627</v>
      </c>
      <c r="S26" s="41">
        <f t="shared" si="9"/>
        <v>-15620.407514314886</v>
      </c>
      <c r="T26" s="41">
        <f t="shared" si="26"/>
        <v>-15325.474007017405</v>
      </c>
      <c r="V26" s="41">
        <f t="shared" si="27"/>
        <v>-18132.900149999998</v>
      </c>
      <c r="W26" s="41">
        <f t="shared" si="28"/>
        <v>-17846.954267114896</v>
      </c>
      <c r="X26" s="41">
        <f t="shared" si="10"/>
        <v>-18722.522887333387</v>
      </c>
      <c r="Y26" s="41">
        <f t="shared" si="11"/>
        <v>-17885.139485811604</v>
      </c>
      <c r="Z26" s="41">
        <f t="shared" si="29"/>
        <v>-17453.216302279638</v>
      </c>
      <c r="AA26" s="41">
        <f t="shared" si="12"/>
        <v>-16865.191802736907</v>
      </c>
      <c r="AB26" s="41">
        <f t="shared" si="13"/>
        <v>-15936.534518476627</v>
      </c>
      <c r="AC26" s="41">
        <f t="shared" si="14"/>
        <v>-15620.407514314886</v>
      </c>
      <c r="AD26" s="41">
        <f t="shared" si="15"/>
        <v>-15325.474007017405</v>
      </c>
      <c r="AF26" s="303">
        <f t="shared" si="16"/>
        <v>1.234411328566406E-3</v>
      </c>
      <c r="AG26" s="303">
        <f t="shared" si="17"/>
        <v>1.207489176948229E-3</v>
      </c>
      <c r="AH26" s="303">
        <f t="shared" si="18"/>
        <v>1.1603981325657949E-3</v>
      </c>
      <c r="AI26" s="303">
        <f t="shared" si="19"/>
        <v>1.1376398187595933E-3</v>
      </c>
      <c r="AJ26" s="303">
        <f t="shared" si="20"/>
        <v>1.112871341789351E-3</v>
      </c>
      <c r="AK26" s="303">
        <f t="shared" si="21"/>
        <v>1.088143821674252E-3</v>
      </c>
      <c r="AL26" s="303">
        <f t="shared" si="22"/>
        <v>1.0740177716982899E-3</v>
      </c>
      <c r="AM26" s="303">
        <f t="shared" si="23"/>
        <v>1.0609533451404725E-3</v>
      </c>
      <c r="AV26" s="41">
        <v>-19036.394749999999</v>
      </c>
      <c r="AW26" s="303">
        <f t="shared" si="30"/>
        <v>1.2741717610644284E-3</v>
      </c>
      <c r="AX26" s="41">
        <f t="shared" si="31"/>
        <v>-18680.424750991544</v>
      </c>
    </row>
    <row r="27" spans="1:50" x14ac:dyDescent="0.2">
      <c r="A27" s="30">
        <v>79</v>
      </c>
      <c r="B27" s="47" t="s">
        <v>349</v>
      </c>
      <c r="C27" s="295">
        <v>0.98236435669291333</v>
      </c>
      <c r="D27" s="295">
        <v>1.0457224907849447</v>
      </c>
      <c r="E27" s="295">
        <v>0.98667746680618695</v>
      </c>
      <c r="F27" s="295">
        <v>0.98727109606931018</v>
      </c>
      <c r="G27" s="295">
        <v>0.97168172736517877</v>
      </c>
      <c r="H27" s="295">
        <v>0.9794969944559424</v>
      </c>
      <c r="I27" s="295">
        <v>0.9763303444990632</v>
      </c>
      <c r="J27" s="295">
        <v>0.9743197342484311</v>
      </c>
      <c r="L27" s="41">
        <v>-18534.354739999999</v>
      </c>
      <c r="M27" s="41">
        <f t="shared" si="24"/>
        <v>-18207.489470878347</v>
      </c>
      <c r="N27" s="41">
        <f t="shared" si="25"/>
        <v>-19039.981240427562</v>
      </c>
      <c r="O27" s="41">
        <f t="shared" si="5"/>
        <v>-18786.320458342387</v>
      </c>
      <c r="P27" s="41">
        <f t="shared" si="6"/>
        <v>-18547.191190016994</v>
      </c>
      <c r="Q27" s="41">
        <f t="shared" si="7"/>
        <v>-18021.966773287939</v>
      </c>
      <c r="R27" s="41">
        <f t="shared" si="8"/>
        <v>-17652.462288620394</v>
      </c>
      <c r="S27" s="41">
        <f t="shared" si="9"/>
        <v>-17234.634587505472</v>
      </c>
      <c r="T27" s="41">
        <f t="shared" si="26"/>
        <v>-16792.044591167152</v>
      </c>
      <c r="V27" s="41">
        <f t="shared" si="27"/>
        <v>-18534.354739999999</v>
      </c>
      <c r="W27" s="41">
        <f t="shared" si="28"/>
        <v>-18589.846749766792</v>
      </c>
      <c r="X27" s="41">
        <f t="shared" si="10"/>
        <v>-19687.3406026021</v>
      </c>
      <c r="Y27" s="41">
        <f t="shared" si="11"/>
        <v>-19406.269033467684</v>
      </c>
      <c r="Z27" s="41">
        <f t="shared" si="29"/>
        <v>-19140.701308097538</v>
      </c>
      <c r="AA27" s="41">
        <f t="shared" si="12"/>
        <v>-18508.559876166713</v>
      </c>
      <c r="AB27" s="41">
        <f t="shared" si="13"/>
        <v>-17652.462288620394</v>
      </c>
      <c r="AC27" s="41">
        <f t="shared" si="14"/>
        <v>-17234.634587505472</v>
      </c>
      <c r="AD27" s="41">
        <f t="shared" si="15"/>
        <v>-16792.044591167152</v>
      </c>
      <c r="AF27" s="303">
        <f t="shared" si="16"/>
        <v>1.2857946000628803E-3</v>
      </c>
      <c r="AG27" s="303">
        <f t="shared" si="17"/>
        <v>1.2697140681087609E-3</v>
      </c>
      <c r="AH27" s="303">
        <f t="shared" si="18"/>
        <v>1.2590898921626965E-3</v>
      </c>
      <c r="AI27" s="303">
        <f t="shared" si="19"/>
        <v>1.2476338796208835E-3</v>
      </c>
      <c r="AJ27" s="303">
        <f t="shared" si="20"/>
        <v>1.2213110947623838E-3</v>
      </c>
      <c r="AK27" s="303">
        <f t="shared" si="21"/>
        <v>1.205307073155083E-3</v>
      </c>
      <c r="AL27" s="303">
        <f t="shared" si="22"/>
        <v>1.1850077418750857E-3</v>
      </c>
      <c r="AM27" s="303">
        <f t="shared" si="23"/>
        <v>1.1624812304395393E-3</v>
      </c>
      <c r="AV27" s="41">
        <v>-18395.304</v>
      </c>
      <c r="AW27" s="303">
        <f t="shared" si="30"/>
        <v>1.2312613391774472E-3</v>
      </c>
      <c r="AX27" s="41">
        <f t="shared" si="31"/>
        <v>-18051.322041617874</v>
      </c>
    </row>
    <row r="28" spans="1:50" x14ac:dyDescent="0.2">
      <c r="A28" s="30">
        <v>81</v>
      </c>
      <c r="B28" s="47" t="s">
        <v>350</v>
      </c>
      <c r="C28" s="295">
        <v>0.98438190879579723</v>
      </c>
      <c r="D28" s="295">
        <v>1.0830148989235773</v>
      </c>
      <c r="E28" s="295">
        <v>0.9947362138100706</v>
      </c>
      <c r="F28" s="295">
        <v>0.99650518289108603</v>
      </c>
      <c r="G28" s="295">
        <v>0.99454261925274268</v>
      </c>
      <c r="H28" s="295">
        <v>0.99467406479494225</v>
      </c>
      <c r="I28" s="295">
        <v>0.99497005961016249</v>
      </c>
      <c r="J28" s="295">
        <v>0.99527078421991322</v>
      </c>
      <c r="L28" s="41">
        <v>-6172.2934400000004</v>
      </c>
      <c r="M28" s="41">
        <f t="shared" si="24"/>
        <v>-6075.8939981149779</v>
      </c>
      <c r="N28" s="41">
        <f t="shared" si="25"/>
        <v>-6580.2837242388623</v>
      </c>
      <c r="O28" s="41">
        <f t="shared" si="5"/>
        <v>-6545.6465176453967</v>
      </c>
      <c r="P28" s="41">
        <f t="shared" si="6"/>
        <v>-6522.7706802066268</v>
      </c>
      <c r="Q28" s="41">
        <f t="shared" si="7"/>
        <v>-6487.1734370776931</v>
      </c>
      <c r="R28" s="41">
        <f t="shared" si="8"/>
        <v>-6452.6231716878456</v>
      </c>
      <c r="S28" s="41">
        <f t="shared" si="9"/>
        <v>-6420.1668617761716</v>
      </c>
      <c r="T28" s="41">
        <f t="shared" si="26"/>
        <v>-6389.8045073426692</v>
      </c>
      <c r="V28" s="41">
        <f t="shared" si="27"/>
        <v>-6172.2934400000004</v>
      </c>
      <c r="W28" s="41">
        <f t="shared" si="28"/>
        <v>-6203.4877720753921</v>
      </c>
      <c r="X28" s="41">
        <f t="shared" si="10"/>
        <v>-6804.0133708629837</v>
      </c>
      <c r="Y28" s="41">
        <f t="shared" si="11"/>
        <v>-6761.6528527276942</v>
      </c>
      <c r="Z28" s="41">
        <f t="shared" si="29"/>
        <v>-6731.4993419732391</v>
      </c>
      <c r="AA28" s="41">
        <f t="shared" si="12"/>
        <v>-6662.3271198787897</v>
      </c>
      <c r="AB28" s="41">
        <f t="shared" si="13"/>
        <v>-6452.6231716878456</v>
      </c>
      <c r="AC28" s="41">
        <f t="shared" si="14"/>
        <v>-6420.1668617761716</v>
      </c>
      <c r="AD28" s="41">
        <f t="shared" si="15"/>
        <v>-6389.8045073426692</v>
      </c>
      <c r="AF28" s="303">
        <f t="shared" si="16"/>
        <v>4.2907352525596858E-4</v>
      </c>
      <c r="AG28" s="303">
        <f t="shared" si="17"/>
        <v>4.3881759710313515E-4</v>
      </c>
      <c r="AH28" s="303">
        <f t="shared" si="18"/>
        <v>4.386999245707782E-4</v>
      </c>
      <c r="AI28" s="303">
        <f t="shared" si="19"/>
        <v>4.3877423844122706E-4</v>
      </c>
      <c r="AJ28" s="303">
        <f t="shared" si="20"/>
        <v>4.3962221171631654E-4</v>
      </c>
      <c r="AK28" s="303">
        <f t="shared" si="21"/>
        <v>4.4058399457697284E-4</v>
      </c>
      <c r="AL28" s="303">
        <f t="shared" si="22"/>
        <v>4.4143363740651291E-4</v>
      </c>
      <c r="AM28" s="303">
        <f t="shared" si="23"/>
        <v>4.4235398290158574E-4</v>
      </c>
      <c r="AV28" s="41">
        <v>-5855.9</v>
      </c>
      <c r="AW28" s="303">
        <f t="shared" si="30"/>
        <v>3.9195564672860056E-4</v>
      </c>
      <c r="AX28" s="41">
        <f t="shared" si="31"/>
        <v>-5746.3979254439128</v>
      </c>
    </row>
    <row r="29" spans="1:50" x14ac:dyDescent="0.2">
      <c r="A29" s="30">
        <v>82</v>
      </c>
      <c r="B29" s="47" t="s">
        <v>351</v>
      </c>
      <c r="C29" s="295">
        <v>0.97125636083929545</v>
      </c>
      <c r="D29" s="295">
        <v>1.0178112182758998</v>
      </c>
      <c r="E29" s="295">
        <v>0.98229031099075426</v>
      </c>
      <c r="F29" s="295">
        <v>0.98814516198940183</v>
      </c>
      <c r="G29" s="295">
        <v>0.97653576865034342</v>
      </c>
      <c r="H29" s="295">
        <v>0.97905903258584537</v>
      </c>
      <c r="I29" s="295">
        <v>0.98160971957179943</v>
      </c>
      <c r="J29" s="295">
        <v>0.98461558422267004</v>
      </c>
      <c r="L29" s="41">
        <v>-23884.106050000002</v>
      </c>
      <c r="M29" s="41">
        <f t="shared" si="24"/>
        <v>-23197.589924022803</v>
      </c>
      <c r="N29" s="41">
        <f t="shared" si="25"/>
        <v>-23610.767261634388</v>
      </c>
      <c r="O29" s="41">
        <f t="shared" si="5"/>
        <v>-23192.627916161164</v>
      </c>
      <c r="P29" s="41">
        <f t="shared" si="6"/>
        <v>-22917.683069174996</v>
      </c>
      <c r="Q29" s="41">
        <f t="shared" si="7"/>
        <v>-22379.937251641768</v>
      </c>
      <c r="R29" s="41">
        <f t="shared" si="8"/>
        <v>-21911.279714924312</v>
      </c>
      <c r="S29" s="41">
        <f t="shared" si="9"/>
        <v>-21508.325136426112</v>
      </c>
      <c r="T29" s="41">
        <f t="shared" si="26"/>
        <v>-21177.432119853336</v>
      </c>
      <c r="V29" s="41">
        <f t="shared" si="27"/>
        <v>-23884.106050000002</v>
      </c>
      <c r="W29" s="41">
        <f t="shared" si="28"/>
        <v>-23684.739312427278</v>
      </c>
      <c r="X29" s="41">
        <f t="shared" si="10"/>
        <v>-24413.533348529956</v>
      </c>
      <c r="Y29" s="41">
        <f t="shared" si="11"/>
        <v>-23957.984637394482</v>
      </c>
      <c r="Z29" s="41">
        <f t="shared" si="29"/>
        <v>-23651.048927388598</v>
      </c>
      <c r="AA29" s="41">
        <f t="shared" si="12"/>
        <v>-22984.195557436095</v>
      </c>
      <c r="AB29" s="41">
        <f t="shared" si="13"/>
        <v>-21911.279714924312</v>
      </c>
      <c r="AC29" s="41">
        <f t="shared" si="14"/>
        <v>-21508.325136426112</v>
      </c>
      <c r="AD29" s="41">
        <f t="shared" si="15"/>
        <v>-21177.432119853336</v>
      </c>
      <c r="AF29" s="303">
        <f t="shared" si="16"/>
        <v>1.6381904768632935E-3</v>
      </c>
      <c r="AG29" s="303">
        <f t="shared" si="17"/>
        <v>1.5745248365730922E-3</v>
      </c>
      <c r="AH29" s="303">
        <f t="shared" si="18"/>
        <v>1.5544078174691966E-3</v>
      </c>
      <c r="AI29" s="303">
        <f t="shared" si="19"/>
        <v>1.5416284625839585E-3</v>
      </c>
      <c r="AJ29" s="303">
        <f t="shared" si="20"/>
        <v>1.5166416634409007E-3</v>
      </c>
      <c r="AK29" s="303">
        <f t="shared" si="21"/>
        <v>1.4960983907215467E-3</v>
      </c>
      <c r="AL29" s="303">
        <f t="shared" si="22"/>
        <v>1.4788553637167946E-3</v>
      </c>
      <c r="AM29" s="303">
        <f t="shared" si="23"/>
        <v>1.4660732476369511E-3</v>
      </c>
      <c r="AV29" s="41">
        <v>-24037.187100000003</v>
      </c>
      <c r="AW29" s="303">
        <f t="shared" si="30"/>
        <v>1.6088920943521706E-3</v>
      </c>
      <c r="AX29" s="41">
        <f t="shared" si="31"/>
        <v>-23587.705064114347</v>
      </c>
    </row>
    <row r="30" spans="1:50" x14ac:dyDescent="0.2">
      <c r="A30" s="30">
        <v>86</v>
      </c>
      <c r="B30" s="47" t="s">
        <v>352</v>
      </c>
      <c r="C30" s="295">
        <v>0.97024076733736608</v>
      </c>
      <c r="D30" s="295">
        <v>1.0306252009636321</v>
      </c>
      <c r="E30" s="295">
        <v>0.96920621738294976</v>
      </c>
      <c r="F30" s="295">
        <v>0.97524559878240014</v>
      </c>
      <c r="G30" s="295">
        <v>0.97045960872634485</v>
      </c>
      <c r="H30" s="295">
        <v>0.9701735812961243</v>
      </c>
      <c r="I30" s="295">
        <v>0.97471476767143006</v>
      </c>
      <c r="J30" s="295">
        <v>0.9773984389100504</v>
      </c>
      <c r="L30" s="41">
        <v>-20211.32935</v>
      </c>
      <c r="M30" s="41">
        <f t="shared" si="24"/>
        <v>-19609.855697452229</v>
      </c>
      <c r="N30" s="41">
        <f t="shared" si="25"/>
        <v>-20210.411469054528</v>
      </c>
      <c r="O30" s="41">
        <f t="shared" si="5"/>
        <v>-19588.056451675326</v>
      </c>
      <c r="P30" s="41">
        <f t="shared" si="6"/>
        <v>-19103.165843197559</v>
      </c>
      <c r="Q30" s="41">
        <f t="shared" si="7"/>
        <v>-18538.850849623977</v>
      </c>
      <c r="R30" s="41">
        <f t="shared" si="8"/>
        <v>-17985.903321894391</v>
      </c>
      <c r="S30" s="41">
        <f t="shared" si="9"/>
        <v>-17531.125577761093</v>
      </c>
      <c r="T30" s="41">
        <f t="shared" si="26"/>
        <v>-17134.894772039748</v>
      </c>
      <c r="V30" s="41">
        <f t="shared" si="27"/>
        <v>-20211.32935</v>
      </c>
      <c r="W30" s="41">
        <f t="shared" si="28"/>
        <v>-20021.662667098724</v>
      </c>
      <c r="X30" s="41">
        <f>N30*(1+X$2)</f>
        <v>-20897.565459002384</v>
      </c>
      <c r="Y30" s="41">
        <f t="shared" si="11"/>
        <v>-20234.462314580611</v>
      </c>
      <c r="Z30" s="41">
        <f t="shared" si="29"/>
        <v>-19714.46715017988</v>
      </c>
      <c r="AA30" s="41">
        <f t="shared" si="12"/>
        <v>-19039.399822563824</v>
      </c>
      <c r="AB30" s="41">
        <f t="shared" si="13"/>
        <v>-17985.903321894391</v>
      </c>
      <c r="AC30" s="41">
        <f t="shared" si="14"/>
        <v>-17531.125577761093</v>
      </c>
      <c r="AD30" s="41">
        <f t="shared" si="15"/>
        <v>-17134.894772039748</v>
      </c>
      <c r="AF30" s="303">
        <f t="shared" si="16"/>
        <v>1.3848282930013426E-3</v>
      </c>
      <c r="AG30" s="303">
        <f t="shared" si="17"/>
        <v>1.3477662315148863E-3</v>
      </c>
      <c r="AH30" s="303">
        <f t="shared" si="18"/>
        <v>1.3128235483955357E-3</v>
      </c>
      <c r="AI30" s="303">
        <f t="shared" si="19"/>
        <v>1.2850332252367252E-3</v>
      </c>
      <c r="AJ30" s="303">
        <f t="shared" si="20"/>
        <v>1.2563392504058002E-3</v>
      </c>
      <c r="AK30" s="303">
        <f t="shared" si="21"/>
        <v>1.2280743692588323E-3</v>
      </c>
      <c r="AL30" s="303">
        <f t="shared" si="22"/>
        <v>1.2053936756217655E-3</v>
      </c>
      <c r="AM30" s="303">
        <f t="shared" si="23"/>
        <v>1.1862160947649259E-3</v>
      </c>
      <c r="AV30" s="41">
        <v>-19501.017</v>
      </c>
      <c r="AW30" s="303">
        <f t="shared" si="30"/>
        <v>1.3052705357161894E-3</v>
      </c>
      <c r="AX30" s="41">
        <f t="shared" si="31"/>
        <v>-19136.358823211882</v>
      </c>
    </row>
    <row r="31" spans="1:50" x14ac:dyDescent="0.2">
      <c r="A31" s="30">
        <v>90</v>
      </c>
      <c r="B31" s="47" t="s">
        <v>353</v>
      </c>
      <c r="C31" s="295">
        <v>0.99824065305660714</v>
      </c>
      <c r="D31" s="295">
        <v>1.1029873882571513</v>
      </c>
      <c r="E31" s="295">
        <v>0.99071382653376583</v>
      </c>
      <c r="F31" s="295">
        <v>1.0058165703607789</v>
      </c>
      <c r="G31" s="295">
        <v>0.99179295435791459</v>
      </c>
      <c r="H31" s="295">
        <v>0.99774065596147377</v>
      </c>
      <c r="I31" s="295">
        <v>0.99778700477204652</v>
      </c>
      <c r="J31" s="295">
        <v>0.98988004384850392</v>
      </c>
      <c r="L31" s="41">
        <v>-6849.0913</v>
      </c>
      <c r="M31" s="41">
        <f t="shared" si="24"/>
        <v>-6837.0413721563264</v>
      </c>
      <c r="N31" s="41">
        <f t="shared" si="25"/>
        <v>-7541.1704064807964</v>
      </c>
      <c r="O31" s="41">
        <f t="shared" si="5"/>
        <v>-7471.1417899477838</v>
      </c>
      <c r="P31" s="41">
        <f t="shared" si="6"/>
        <v>-7514.5982118443708</v>
      </c>
      <c r="Q31" s="41">
        <f t="shared" si="7"/>
        <v>-7452.9255613378309</v>
      </c>
      <c r="R31" s="41">
        <f t="shared" si="8"/>
        <v>-7436.0868384012429</v>
      </c>
      <c r="S31" s="41">
        <f t="shared" si="9"/>
        <v>-7419.6308137132128</v>
      </c>
      <c r="T31" s="41">
        <f t="shared" si="26"/>
        <v>-7344.5444752181456</v>
      </c>
      <c r="V31" s="41">
        <f t="shared" si="27"/>
        <v>-6849.0913</v>
      </c>
      <c r="W31" s="41">
        <f t="shared" si="28"/>
        <v>-6980.6192409716086</v>
      </c>
      <c r="X31" s="41">
        <f t="shared" si="10"/>
        <v>-7797.5702003011438</v>
      </c>
      <c r="Y31" s="41">
        <f t="shared" si="11"/>
        <v>-7717.6894690160598</v>
      </c>
      <c r="Z31" s="41">
        <f t="shared" si="29"/>
        <v>-7755.0653546233907</v>
      </c>
      <c r="AA31" s="41">
        <f t="shared" si="12"/>
        <v>-7654.1545514939517</v>
      </c>
      <c r="AB31" s="41">
        <f t="shared" si="13"/>
        <v>-7436.0868384012429</v>
      </c>
      <c r="AC31" s="41">
        <f t="shared" si="14"/>
        <v>-7419.6308137132128</v>
      </c>
      <c r="AD31" s="41">
        <f t="shared" si="15"/>
        <v>-7344.5444752181456</v>
      </c>
      <c r="AF31" s="303">
        <f t="shared" si="16"/>
        <v>4.8282498752976193E-4</v>
      </c>
      <c r="AG31" s="303">
        <f t="shared" si="17"/>
        <v>5.0289598682919242E-4</v>
      </c>
      <c r="AH31" s="303">
        <f t="shared" si="18"/>
        <v>5.007281298909336E-4</v>
      </c>
      <c r="AI31" s="303">
        <f t="shared" si="19"/>
        <v>5.0549256891695171E-4</v>
      </c>
      <c r="AJ31" s="303">
        <f t="shared" si="20"/>
        <v>5.0506921863775159E-4</v>
      </c>
      <c r="AK31" s="303">
        <f t="shared" si="21"/>
        <v>5.0773472371037193E-4</v>
      </c>
      <c r="AL31" s="303">
        <f t="shared" si="22"/>
        <v>5.1015412664909266E-4</v>
      </c>
      <c r="AM31" s="303">
        <f t="shared" si="23"/>
        <v>5.0844881051951001E-4</v>
      </c>
      <c r="AV31" s="41">
        <v>-7509.2169999999996</v>
      </c>
      <c r="AW31" s="303">
        <f t="shared" si="30"/>
        <v>5.0261787353957576E-4</v>
      </c>
      <c r="AX31" s="41">
        <f t="shared" si="31"/>
        <v>-7368.7988166649293</v>
      </c>
    </row>
    <row r="32" spans="1:50" x14ac:dyDescent="0.2">
      <c r="A32" s="30">
        <v>91</v>
      </c>
      <c r="B32" s="47" t="s">
        <v>354</v>
      </c>
      <c r="C32" s="295">
        <v>1.0060596551134176</v>
      </c>
      <c r="D32" s="295">
        <v>1.0731661579705545</v>
      </c>
      <c r="E32" s="295">
        <v>1.0058106738438179</v>
      </c>
      <c r="F32" s="295">
        <v>1.004917982920611</v>
      </c>
      <c r="G32" s="295">
        <v>1.0015751211982826</v>
      </c>
      <c r="H32" s="295">
        <v>1.0005779163036637</v>
      </c>
      <c r="I32" s="295">
        <v>0.99976194802020468</v>
      </c>
      <c r="J32" s="295">
        <v>0.99943621435375463</v>
      </c>
      <c r="L32" s="41">
        <v>-1585309.8473199999</v>
      </c>
      <c r="M32" s="41">
        <f t="shared" si="24"/>
        <v>-1594916.2782426637</v>
      </c>
      <c r="N32" s="41">
        <f t="shared" si="25"/>
        <v>-1711610.1746063752</v>
      </c>
      <c r="O32" s="41">
        <f t="shared" si="5"/>
        <v>-1721555.7830787732</v>
      </c>
      <c r="P32" s="41">
        <f t="shared" si="6"/>
        <v>-1730022.3650168336</v>
      </c>
      <c r="Q32" s="41">
        <f t="shared" si="7"/>
        <v>-1732747.3599174747</v>
      </c>
      <c r="R32" s="41">
        <f t="shared" si="8"/>
        <v>-1733748.7428669012</v>
      </c>
      <c r="S32" s="41">
        <f t="shared" si="9"/>
        <v>-1733336.0205461942</v>
      </c>
      <c r="T32" s="41">
        <f t="shared" si="26"/>
        <v>-1732358.7905776901</v>
      </c>
      <c r="V32" s="41">
        <f t="shared" si="27"/>
        <v>-1585309.8473199999</v>
      </c>
      <c r="W32" s="41">
        <f t="shared" si="28"/>
        <v>-1628409.5200857595</v>
      </c>
      <c r="X32" s="41">
        <f t="shared" si="10"/>
        <v>-1769804.920542992</v>
      </c>
      <c r="Y32" s="41">
        <f t="shared" si="11"/>
        <v>-1778367.1239203725</v>
      </c>
      <c r="Z32" s="41">
        <f t="shared" si="29"/>
        <v>-1785383.0806973723</v>
      </c>
      <c r="AA32" s="41">
        <f t="shared" si="12"/>
        <v>-1779531.5386352465</v>
      </c>
      <c r="AB32" s="41">
        <f t="shared" si="13"/>
        <v>-1733748.7428669012</v>
      </c>
      <c r="AC32" s="41">
        <f t="shared" si="14"/>
        <v>-1733336.0205461942</v>
      </c>
      <c r="AD32" s="41">
        <f t="shared" si="15"/>
        <v>-1732358.7905776901</v>
      </c>
      <c r="AF32" s="303">
        <f t="shared" si="16"/>
        <v>0.112631383991561</v>
      </c>
      <c r="AG32" s="303">
        <f t="shared" si="17"/>
        <v>0.11414168377442185</v>
      </c>
      <c r="AH32" s="303">
        <f t="shared" si="18"/>
        <v>0.11538148143886058</v>
      </c>
      <c r="AI32" s="303">
        <f t="shared" si="19"/>
        <v>0.11637527715024706</v>
      </c>
      <c r="AJ32" s="303">
        <f t="shared" si="20"/>
        <v>0.11742467410516462</v>
      </c>
      <c r="AK32" s="303">
        <f t="shared" si="21"/>
        <v>0.11838006441732084</v>
      </c>
      <c r="AL32" s="303">
        <f t="shared" si="22"/>
        <v>0.11917958533958622</v>
      </c>
      <c r="AM32" s="303">
        <f t="shared" si="23"/>
        <v>0.11992789606411658</v>
      </c>
      <c r="AV32" s="41">
        <v>-1668892.5783199999</v>
      </c>
      <c r="AW32" s="303">
        <f t="shared" si="30"/>
        <v>0.11170475415495094</v>
      </c>
      <c r="AX32" s="41">
        <f t="shared" si="31"/>
        <v>-1637685.2148852935</v>
      </c>
    </row>
    <row r="33" spans="1:50" x14ac:dyDescent="0.2">
      <c r="A33" s="30">
        <v>92</v>
      </c>
      <c r="B33" s="47" t="s">
        <v>355</v>
      </c>
      <c r="C33" s="295">
        <v>1.0083360819771663</v>
      </c>
      <c r="D33" s="295">
        <v>1.0662168483149941</v>
      </c>
      <c r="E33" s="295">
        <v>1.0079128827358228</v>
      </c>
      <c r="F33" s="295">
        <v>1.0107437686366787</v>
      </c>
      <c r="G33" s="295">
        <v>1.0055057173365458</v>
      </c>
      <c r="H33" s="295">
        <v>1.0055636267173642</v>
      </c>
      <c r="I33" s="295">
        <v>1.0040202404626659</v>
      </c>
      <c r="J33" s="295">
        <v>1.0035461840844124</v>
      </c>
      <c r="L33" s="41">
        <v>-674050.36770000006</v>
      </c>
      <c r="M33" s="41">
        <f t="shared" si="24"/>
        <v>-679669.30682188633</v>
      </c>
      <c r="N33" s="41">
        <f t="shared" si="25"/>
        <v>-724674.86621606839</v>
      </c>
      <c r="O33" s="41">
        <f t="shared" si="5"/>
        <v>-730409.13345403422</v>
      </c>
      <c r="P33" s="41">
        <f t="shared" si="6"/>
        <v>-738256.48019398132</v>
      </c>
      <c r="Q33" s="41">
        <f t="shared" si="7"/>
        <v>-742321.11169580265</v>
      </c>
      <c r="R33" s="41">
        <f t="shared" si="8"/>
        <v>-746451.10926569696</v>
      </c>
      <c r="S33" s="41">
        <f t="shared" si="9"/>
        <v>-749452.02221856872</v>
      </c>
      <c r="T33" s="41">
        <f t="shared" si="26"/>
        <v>-752109.71705179091</v>
      </c>
      <c r="V33" s="41">
        <f t="shared" si="27"/>
        <v>-674050.36770000006</v>
      </c>
      <c r="W33" s="41">
        <f t="shared" si="28"/>
        <v>-693942.36226514587</v>
      </c>
      <c r="X33" s="41">
        <f t="shared" si="10"/>
        <v>-749313.81166741473</v>
      </c>
      <c r="Y33" s="41">
        <f t="shared" si="11"/>
        <v>-754512.63485801732</v>
      </c>
      <c r="Z33" s="41">
        <f t="shared" si="29"/>
        <v>-761880.6875601887</v>
      </c>
      <c r="AA33" s="41">
        <f t="shared" si="12"/>
        <v>-762363.78171158931</v>
      </c>
      <c r="AB33" s="41">
        <f t="shared" si="13"/>
        <v>-746451.10926569696</v>
      </c>
      <c r="AC33" s="41">
        <f t="shared" si="14"/>
        <v>-749452.02221856872</v>
      </c>
      <c r="AD33" s="41">
        <f t="shared" si="15"/>
        <v>-752109.71705179091</v>
      </c>
      <c r="AF33" s="303">
        <f t="shared" si="16"/>
        <v>4.7997563087312539E-2</v>
      </c>
      <c r="AG33" s="303">
        <f t="shared" si="17"/>
        <v>4.8326196377004089E-2</v>
      </c>
      <c r="AH33" s="303">
        <f t="shared" si="18"/>
        <v>4.8953213542511559E-2</v>
      </c>
      <c r="AI33" s="303">
        <f t="shared" si="19"/>
        <v>4.9661093537195097E-2</v>
      </c>
      <c r="AJ33" s="303">
        <f t="shared" si="20"/>
        <v>5.0305553272587074E-2</v>
      </c>
      <c r="AK33" s="303">
        <f t="shared" si="21"/>
        <v>5.0967552687671953E-2</v>
      </c>
      <c r="AL33" s="303">
        <f t="shared" si="22"/>
        <v>5.1530332365548957E-2</v>
      </c>
      <c r="AM33" s="303">
        <f t="shared" si="23"/>
        <v>5.2067121699033637E-2</v>
      </c>
      <c r="AV33" s="41">
        <v>-690749.09667999996</v>
      </c>
      <c r="AW33" s="303">
        <f t="shared" si="30"/>
        <v>4.6234226833860893E-2</v>
      </c>
      <c r="AX33" s="41">
        <f t="shared" si="31"/>
        <v>-677832.47257709457</v>
      </c>
    </row>
    <row r="34" spans="1:50" x14ac:dyDescent="0.2">
      <c r="A34" s="30">
        <v>97</v>
      </c>
      <c r="B34" s="47" t="s">
        <v>356</v>
      </c>
      <c r="C34" s="295">
        <v>0.98912803281704287</v>
      </c>
      <c r="D34" s="295">
        <v>1.0865221848323028</v>
      </c>
      <c r="E34" s="295">
        <v>0.99091141130924598</v>
      </c>
      <c r="F34" s="295">
        <v>1.0008202521073659</v>
      </c>
      <c r="G34" s="295">
        <v>0.99871007731413208</v>
      </c>
      <c r="H34" s="295">
        <v>0.99849314647527487</v>
      </c>
      <c r="I34" s="295">
        <v>0.98977080190365685</v>
      </c>
      <c r="J34" s="295">
        <v>0.99880200236285255</v>
      </c>
      <c r="L34" s="41">
        <v>-4547.5612300000003</v>
      </c>
      <c r="M34" s="41">
        <f t="shared" si="24"/>
        <v>-4498.1202935449519</v>
      </c>
      <c r="N34" s="41">
        <f t="shared" si="25"/>
        <v>-4887.3074889809805</v>
      </c>
      <c r="O34" s="41">
        <f t="shared" si="5"/>
        <v>-4842.8887614083906</v>
      </c>
      <c r="P34" s="41">
        <f t="shared" si="6"/>
        <v>-4846.8611511206745</v>
      </c>
      <c r="Q34" s="41">
        <f t="shared" si="7"/>
        <v>-4840.6090749665918</v>
      </c>
      <c r="R34" s="41">
        <f t="shared" si="8"/>
        <v>-4833.3149861201618</v>
      </c>
      <c r="S34" s="41">
        <f t="shared" si="9"/>
        <v>-4783.8740496651144</v>
      </c>
      <c r="T34" s="41">
        <f t="shared" si="26"/>
        <v>-4778.1429798572044</v>
      </c>
      <c r="V34" s="41">
        <f t="shared" si="27"/>
        <v>-4547.5612300000003</v>
      </c>
      <c r="W34" s="41">
        <f t="shared" si="28"/>
        <v>-4592.5808197093957</v>
      </c>
      <c r="X34" s="41">
        <f t="shared" si="10"/>
        <v>-5053.4759436063341</v>
      </c>
      <c r="Y34" s="41">
        <f t="shared" si="11"/>
        <v>-5002.7040905348667</v>
      </c>
      <c r="Z34" s="41">
        <f t="shared" si="29"/>
        <v>-5001.9607079565367</v>
      </c>
      <c r="AA34" s="41">
        <f t="shared" si="12"/>
        <v>-4971.3055199906894</v>
      </c>
      <c r="AB34" s="41">
        <f t="shared" si="13"/>
        <v>-4833.3149861201618</v>
      </c>
      <c r="AC34" s="41">
        <f t="shared" si="14"/>
        <v>-4783.8740496651144</v>
      </c>
      <c r="AD34" s="41">
        <f t="shared" si="15"/>
        <v>-4778.1429798572044</v>
      </c>
      <c r="AF34" s="303">
        <f t="shared" si="16"/>
        <v>3.1765273258149782E-4</v>
      </c>
      <c r="AG34" s="303">
        <f t="shared" si="17"/>
        <v>3.2591854979123415E-4</v>
      </c>
      <c r="AH34" s="303">
        <f t="shared" si="18"/>
        <v>3.2457831760502448E-4</v>
      </c>
      <c r="AI34" s="303">
        <f t="shared" si="19"/>
        <v>3.2603902768907014E-4</v>
      </c>
      <c r="AJ34" s="303">
        <f t="shared" si="20"/>
        <v>3.2803797959647494E-4</v>
      </c>
      <c r="AK34" s="303">
        <f t="shared" si="21"/>
        <v>3.3001791162655912E-4</v>
      </c>
      <c r="AL34" s="303">
        <f t="shared" si="22"/>
        <v>3.2892648557331528E-4</v>
      </c>
      <c r="AM34" s="303">
        <f t="shared" si="23"/>
        <v>3.3078172823351092E-4</v>
      </c>
      <c r="AV34" s="41">
        <v>-5196.4089999999997</v>
      </c>
      <c r="AW34" s="303">
        <f t="shared" si="30"/>
        <v>3.4781363244955007E-4</v>
      </c>
      <c r="AX34" s="41">
        <f t="shared" si="31"/>
        <v>-5099.2390405160731</v>
      </c>
    </row>
    <row r="35" spans="1:50" x14ac:dyDescent="0.2">
      <c r="A35" s="30">
        <v>98</v>
      </c>
      <c r="B35" s="47" t="s">
        <v>357</v>
      </c>
      <c r="C35" s="295">
        <v>0.97566545641334901</v>
      </c>
      <c r="D35" s="295">
        <v>1.0454141336118563</v>
      </c>
      <c r="E35" s="295">
        <v>0.98512651018017139</v>
      </c>
      <c r="F35" s="295">
        <v>0.98865617183527854</v>
      </c>
      <c r="G35" s="295">
        <v>0.9820934300482993</v>
      </c>
      <c r="H35" s="295">
        <v>0.97828699895958826</v>
      </c>
      <c r="I35" s="295">
        <v>0.98033568635752077</v>
      </c>
      <c r="J35" s="295">
        <v>0.98153639021455341</v>
      </c>
      <c r="L35" s="41">
        <v>-56272.213349999998</v>
      </c>
      <c r="M35" s="41">
        <f t="shared" si="24"/>
        <v>-54902.854721517098</v>
      </c>
      <c r="N35" s="41">
        <f t="shared" si="25"/>
        <v>-57396.220301512411</v>
      </c>
      <c r="O35" s="41">
        <f t="shared" si="5"/>
        <v>-56542.538203161224</v>
      </c>
      <c r="P35" s="41">
        <f t="shared" si="6"/>
        <v>-55901.129365787368</v>
      </c>
      <c r="Q35" s="41">
        <f t="shared" si="7"/>
        <v>-54900.131882419824</v>
      </c>
      <c r="R35" s="41">
        <f t="shared" si="8"/>
        <v>-53708.085261738102</v>
      </c>
      <c r="S35" s="41">
        <f t="shared" si="9"/>
        <v>-52651.952628014267</v>
      </c>
      <c r="T35" s="41">
        <f t="shared" si="26"/>
        <v>-51679.807520248796</v>
      </c>
      <c r="V35" s="41">
        <f t="shared" si="27"/>
        <v>-56272.213349999998</v>
      </c>
      <c r="W35" s="41">
        <f t="shared" si="28"/>
        <v>-56055.814670668951</v>
      </c>
      <c r="X35" s="41">
        <f t="shared" si="10"/>
        <v>-59347.691791763835</v>
      </c>
      <c r="Y35" s="41">
        <f t="shared" si="11"/>
        <v>-58408.441963865538</v>
      </c>
      <c r="Z35" s="41">
        <f t="shared" si="29"/>
        <v>-57689.965505492568</v>
      </c>
      <c r="AA35" s="41">
        <f t="shared" si="12"/>
        <v>-56382.435443245158</v>
      </c>
      <c r="AB35" s="41">
        <f t="shared" si="13"/>
        <v>-53708.085261738102</v>
      </c>
      <c r="AC35" s="41">
        <f t="shared" si="14"/>
        <v>-52651.952628014267</v>
      </c>
      <c r="AD35" s="41">
        <f t="shared" si="15"/>
        <v>-51679.807520248796</v>
      </c>
      <c r="AF35" s="303">
        <f t="shared" si="16"/>
        <v>3.8771843994128627E-3</v>
      </c>
      <c r="AG35" s="303">
        <f t="shared" si="17"/>
        <v>3.8275661857460662E-3</v>
      </c>
      <c r="AH35" s="303">
        <f t="shared" si="18"/>
        <v>3.7895732954565525E-3</v>
      </c>
      <c r="AI35" s="303">
        <f t="shared" si="19"/>
        <v>3.7603614580393125E-3</v>
      </c>
      <c r="AJ35" s="303">
        <f t="shared" si="20"/>
        <v>3.720467417091167E-3</v>
      </c>
      <c r="AK35" s="303">
        <f t="shared" si="21"/>
        <v>3.6671787761484269E-3</v>
      </c>
      <c r="AL35" s="303">
        <f t="shared" si="22"/>
        <v>3.6202085499549824E-3</v>
      </c>
      <c r="AM35" s="303">
        <f t="shared" si="23"/>
        <v>3.5776945391521055E-3</v>
      </c>
      <c r="AV35" s="41">
        <v>-59852.2</v>
      </c>
      <c r="AW35" s="303">
        <f t="shared" si="30"/>
        <v>4.0061148173858065E-3</v>
      </c>
      <c r="AX35" s="41">
        <f t="shared" si="31"/>
        <v>-58732.997133361925</v>
      </c>
    </row>
    <row r="36" spans="1:50" x14ac:dyDescent="0.2">
      <c r="A36" s="30">
        <v>102</v>
      </c>
      <c r="B36" s="47" t="s">
        <v>359</v>
      </c>
      <c r="C36" s="295">
        <v>0.97262144405599249</v>
      </c>
      <c r="D36" s="295">
        <v>1.0553863613715648</v>
      </c>
      <c r="E36" s="295">
        <v>0.97952693558564874</v>
      </c>
      <c r="F36" s="295">
        <v>0.98106806517986</v>
      </c>
      <c r="G36" s="295">
        <v>0.97848285342687324</v>
      </c>
      <c r="H36" s="295">
        <v>0.98323285826445972</v>
      </c>
      <c r="I36" s="295">
        <v>0.98645958266534628</v>
      </c>
      <c r="J36" s="295">
        <v>0.98019506307154813</v>
      </c>
      <c r="L36" s="41">
        <v>-24230.060980000002</v>
      </c>
      <c r="M36" s="41">
        <f t="shared" si="24"/>
        <v>-23566.676899932358</v>
      </c>
      <c r="N36" s="41">
        <f t="shared" si="25"/>
        <v>-24871.949383038922</v>
      </c>
      <c r="O36" s="41">
        <f t="shared" si="5"/>
        <v>-24362.744361209483</v>
      </c>
      <c r="P36" s="41">
        <f t="shared" si="6"/>
        <v>-23901.510472923332</v>
      </c>
      <c r="Q36" s="41">
        <f t="shared" si="7"/>
        <v>-23387.218168758318</v>
      </c>
      <c r="R36" s="41">
        <f t="shared" si="8"/>
        <v>-22995.081366922743</v>
      </c>
      <c r="S36" s="41">
        <f t="shared" si="9"/>
        <v>-22683.718368570288</v>
      </c>
      <c r="T36" s="41">
        <f t="shared" si="26"/>
        <v>-22234.468756977989</v>
      </c>
      <c r="V36" s="41">
        <f t="shared" si="27"/>
        <v>-24230.060980000002</v>
      </c>
      <c r="W36" s="41">
        <f t="shared" si="28"/>
        <v>-24061.577114830936</v>
      </c>
      <c r="X36" s="41">
        <f t="shared" si="10"/>
        <v>-25717.595662062246</v>
      </c>
      <c r="Y36" s="41">
        <f t="shared" si="11"/>
        <v>-25166.714925129392</v>
      </c>
      <c r="Z36" s="41">
        <f t="shared" si="29"/>
        <v>-24666.358808056881</v>
      </c>
      <c r="AA36" s="41">
        <f t="shared" si="12"/>
        <v>-24018.673059314791</v>
      </c>
      <c r="AB36" s="41">
        <f t="shared" si="13"/>
        <v>-22995.081366922743</v>
      </c>
      <c r="AC36" s="41">
        <f t="shared" si="14"/>
        <v>-22683.718368570288</v>
      </c>
      <c r="AD36" s="41">
        <f t="shared" si="15"/>
        <v>-22234.468756977989</v>
      </c>
      <c r="AF36" s="303">
        <f t="shared" si="16"/>
        <v>1.6642550280106163E-3</v>
      </c>
      <c r="AG36" s="303">
        <f t="shared" si="17"/>
        <v>1.6586289468541707E-3</v>
      </c>
      <c r="AH36" s="303">
        <f t="shared" si="18"/>
        <v>1.6328309334743025E-3</v>
      </c>
      <c r="AI36" s="303">
        <f t="shared" si="19"/>
        <v>1.6078086398431735E-3</v>
      </c>
      <c r="AJ36" s="303">
        <f t="shared" si="20"/>
        <v>1.5849029900259809E-3</v>
      </c>
      <c r="AK36" s="303">
        <f t="shared" si="21"/>
        <v>1.5701001801429002E-3</v>
      </c>
      <c r="AL36" s="303">
        <f t="shared" si="22"/>
        <v>1.5596722834354288E-3</v>
      </c>
      <c r="AM36" s="303">
        <f t="shared" si="23"/>
        <v>1.5392498786227155E-3</v>
      </c>
      <c r="AV36" s="41">
        <v>-25863.803</v>
      </c>
      <c r="AW36" s="303">
        <f t="shared" si="30"/>
        <v>1.731153816104462E-3</v>
      </c>
      <c r="AX36" s="41">
        <f t="shared" si="31"/>
        <v>-25380.164262246632</v>
      </c>
    </row>
    <row r="37" spans="1:50" x14ac:dyDescent="0.2">
      <c r="A37" s="30">
        <v>103</v>
      </c>
      <c r="B37" s="47" t="s">
        <v>360</v>
      </c>
      <c r="C37" s="295">
        <v>0.99666494913187009</v>
      </c>
      <c r="D37" s="295">
        <v>1.0458270166633132</v>
      </c>
      <c r="E37" s="295">
        <v>0.99019470871082271</v>
      </c>
      <c r="F37" s="295">
        <v>0.99080499092698693</v>
      </c>
      <c r="G37" s="295">
        <v>1.0040014688023406</v>
      </c>
      <c r="H37" s="295">
        <v>0.9900052050340592</v>
      </c>
      <c r="I37" s="295">
        <v>0.99704705527923942</v>
      </c>
      <c r="J37" s="295">
        <v>0.9900389386092423</v>
      </c>
      <c r="L37" s="41">
        <v>-6128.6856500000004</v>
      </c>
      <c r="M37" s="41">
        <f t="shared" si="24"/>
        <v>-6108.2461716024727</v>
      </c>
      <c r="N37" s="41">
        <f t="shared" si="25"/>
        <v>-6388.1688706921186</v>
      </c>
      <c r="O37" s="41">
        <f t="shared" si="5"/>
        <v>-6325.5310141105274</v>
      </c>
      <c r="P37" s="41">
        <f t="shared" si="6"/>
        <v>-6267.3676990441554</v>
      </c>
      <c r="Q37" s="41">
        <f t="shared" si="7"/>
        <v>-6292.4463753646778</v>
      </c>
      <c r="R37" s="41">
        <f t="shared" si="8"/>
        <v>-6229.5546640087305</v>
      </c>
      <c r="S37" s="41">
        <f t="shared" si="9"/>
        <v>-6211.1591334509567</v>
      </c>
      <c r="T37" s="41">
        <f t="shared" si="26"/>
        <v>-6149.2893960148867</v>
      </c>
      <c r="V37" s="41">
        <f t="shared" si="27"/>
        <v>-6128.6856500000004</v>
      </c>
      <c r="W37" s="41">
        <f t="shared" si="28"/>
        <v>-6236.5193412061244</v>
      </c>
      <c r="X37" s="41">
        <f t="shared" si="10"/>
        <v>-6605.3666122956511</v>
      </c>
      <c r="Y37" s="41">
        <f t="shared" si="11"/>
        <v>-6534.273537576174</v>
      </c>
      <c r="Z37" s="41">
        <f t="shared" si="29"/>
        <v>-6467.9234654135689</v>
      </c>
      <c r="AA37" s="41">
        <f t="shared" si="12"/>
        <v>-6462.3424274995232</v>
      </c>
      <c r="AB37" s="41">
        <f t="shared" si="13"/>
        <v>-6229.5546640087305</v>
      </c>
      <c r="AC37" s="41">
        <f t="shared" si="14"/>
        <v>-6211.1591334509567</v>
      </c>
      <c r="AD37" s="41">
        <f t="shared" si="15"/>
        <v>-6149.2893960148867</v>
      </c>
      <c r="AF37" s="303">
        <f t="shared" si="16"/>
        <v>4.3135820321978406E-4</v>
      </c>
      <c r="AG37" s="303">
        <f t="shared" si="17"/>
        <v>4.2600608593824934E-4</v>
      </c>
      <c r="AH37" s="303">
        <f t="shared" si="18"/>
        <v>4.2394742387626431E-4</v>
      </c>
      <c r="AI37" s="303">
        <f t="shared" si="19"/>
        <v>4.2159377111386238E-4</v>
      </c>
      <c r="AJ37" s="303">
        <f t="shared" si="20"/>
        <v>4.2642596494079347E-4</v>
      </c>
      <c r="AK37" s="303">
        <f t="shared" si="21"/>
        <v>4.2535291543867548E-4</v>
      </c>
      <c r="AL37" s="303">
        <f t="shared" si="22"/>
        <v>4.2706282061201814E-4</v>
      </c>
      <c r="AM37" s="303">
        <f t="shared" si="23"/>
        <v>4.2570358032329022E-4</v>
      </c>
      <c r="AV37" s="41">
        <v>-5861.93</v>
      </c>
      <c r="AW37" s="303">
        <f t="shared" si="30"/>
        <v>3.9235925549066508E-4</v>
      </c>
      <c r="AX37" s="41">
        <f t="shared" si="31"/>
        <v>-5752.3151677961441</v>
      </c>
    </row>
    <row r="38" spans="1:50" x14ac:dyDescent="0.2">
      <c r="A38" s="30">
        <v>105</v>
      </c>
      <c r="B38" s="47" t="s">
        <v>361</v>
      </c>
      <c r="C38" s="295">
        <v>0.99170608240193414</v>
      </c>
      <c r="D38" s="295">
        <v>1.0549419301251075</v>
      </c>
      <c r="E38" s="295">
        <v>0.99351153896668154</v>
      </c>
      <c r="F38" s="295">
        <v>0.98100453590928638</v>
      </c>
      <c r="G38" s="295">
        <v>0.9934476098134073</v>
      </c>
      <c r="H38" s="295">
        <v>0.99317695809136974</v>
      </c>
      <c r="I38" s="295">
        <v>0.99358807874450394</v>
      </c>
      <c r="J38" s="295">
        <v>0.99400765064771435</v>
      </c>
      <c r="L38" s="41">
        <v>-6053.5091600000005</v>
      </c>
      <c r="M38" s="41">
        <f t="shared" si="24"/>
        <v>-6003.3018538478236</v>
      </c>
      <c r="N38" s="41">
        <f t="shared" si="25"/>
        <v>-6333.1348448218587</v>
      </c>
      <c r="O38" s="41">
        <f t="shared" si="5"/>
        <v>-6292.0425461624809</v>
      </c>
      <c r="P38" s="41">
        <f t="shared" si="6"/>
        <v>-6172.5222779196092</v>
      </c>
      <c r="Q38" s="41">
        <f t="shared" si="7"/>
        <v>-6132.0775035192437</v>
      </c>
      <c r="R38" s="41">
        <f t="shared" si="8"/>
        <v>-6090.2380817257626</v>
      </c>
      <c r="S38" s="41">
        <f t="shared" si="9"/>
        <v>-6051.1879547185135</v>
      </c>
      <c r="T38" s="41">
        <f t="shared" si="26"/>
        <v>-6014.9271224974973</v>
      </c>
      <c r="V38" s="41">
        <f t="shared" si="27"/>
        <v>-6053.5091600000005</v>
      </c>
      <c r="W38" s="41">
        <f t="shared" si="28"/>
        <v>-6129.3711927786271</v>
      </c>
      <c r="X38" s="41">
        <f t="shared" si="10"/>
        <v>-6548.4614295458023</v>
      </c>
      <c r="Y38" s="41">
        <f t="shared" si="11"/>
        <v>-6499.6799501858422</v>
      </c>
      <c r="Z38" s="41">
        <f t="shared" si="29"/>
        <v>-6370.0429908130372</v>
      </c>
      <c r="AA38" s="41">
        <f t="shared" si="12"/>
        <v>-6297.6435961142624</v>
      </c>
      <c r="AB38" s="41">
        <f t="shared" si="13"/>
        <v>-6090.2380817257626</v>
      </c>
      <c r="AC38" s="41">
        <f t="shared" si="14"/>
        <v>-6051.1879547185135</v>
      </c>
      <c r="AD38" s="41">
        <f t="shared" si="15"/>
        <v>-6014.9271224974973</v>
      </c>
      <c r="AF38" s="303">
        <f t="shared" si="16"/>
        <v>4.2394714101419916E-4</v>
      </c>
      <c r="AG38" s="303">
        <f t="shared" si="17"/>
        <v>4.223360467722569E-4</v>
      </c>
      <c r="AH38" s="303">
        <f t="shared" si="18"/>
        <v>4.2170297203744368E-4</v>
      </c>
      <c r="AI38" s="303">
        <f t="shared" si="19"/>
        <v>4.1521370205059707E-4</v>
      </c>
      <c r="AJ38" s="303">
        <f t="shared" si="20"/>
        <v>4.1555810102209743E-4</v>
      </c>
      <c r="AK38" s="303">
        <f t="shared" si="21"/>
        <v>4.1584040328666248E-4</v>
      </c>
      <c r="AL38" s="303">
        <f t="shared" si="22"/>
        <v>4.1606362684830134E-4</v>
      </c>
      <c r="AM38" s="303">
        <f t="shared" si="23"/>
        <v>4.1640193630995134E-4</v>
      </c>
      <c r="AV38" s="41">
        <v>-6377.6769999999997</v>
      </c>
      <c r="AW38" s="303">
        <f t="shared" si="30"/>
        <v>4.2687998653684675E-4</v>
      </c>
      <c r="AX38" s="41">
        <f t="shared" si="31"/>
        <v>-6258.4179856130322</v>
      </c>
    </row>
    <row r="39" spans="1:50" x14ac:dyDescent="0.2">
      <c r="A39" s="30">
        <v>106</v>
      </c>
      <c r="B39" s="47" t="s">
        <v>362</v>
      </c>
      <c r="C39" s="295">
        <v>0.98504853272200676</v>
      </c>
      <c r="D39" s="295">
        <v>1.0622946357502374</v>
      </c>
      <c r="E39" s="295">
        <v>0.99258565619723382</v>
      </c>
      <c r="F39" s="295">
        <v>0.9966071030810294</v>
      </c>
      <c r="G39" s="295">
        <v>0.98992585134612932</v>
      </c>
      <c r="H39" s="295">
        <v>0.99208847244581222</v>
      </c>
      <c r="I39" s="295">
        <v>0.99282117872393472</v>
      </c>
      <c r="J39" s="295">
        <v>0.9951231254395082</v>
      </c>
      <c r="L39" s="41">
        <v>-97947.38493</v>
      </c>
      <c r="M39" s="41">
        <f t="shared" si="24"/>
        <v>-96482.927809254092</v>
      </c>
      <c r="N39" s="41">
        <f t="shared" si="25"/>
        <v>-102493.29665324802</v>
      </c>
      <c r="O39" s="41">
        <f t="shared" si="5"/>
        <v>-101733.37611438194</v>
      </c>
      <c r="P39" s="41">
        <f t="shared" si="6"/>
        <v>-101388.20525600699</v>
      </c>
      <c r="Q39" s="41">
        <f t="shared" si="7"/>
        <v>-100366.80540450882</v>
      </c>
      <c r="R39" s="41">
        <f t="shared" si="8"/>
        <v>-99572.750658025252</v>
      </c>
      <c r="S39" s="41">
        <f t="shared" si="9"/>
        <v>-98857.935677085072</v>
      </c>
      <c r="T39" s="41">
        <f t="shared" si="26"/>
        <v>-98375.817925478768</v>
      </c>
      <c r="V39" s="41">
        <f t="shared" si="27"/>
        <v>-97947.38493</v>
      </c>
      <c r="W39" s="41">
        <f t="shared" si="28"/>
        <v>-98509.069293248423</v>
      </c>
      <c r="X39" s="41">
        <f t="shared" si="10"/>
        <v>-105978.06873945845</v>
      </c>
      <c r="Y39" s="41">
        <f t="shared" si="11"/>
        <v>-105090.57752615654</v>
      </c>
      <c r="Z39" s="41">
        <f t="shared" si="29"/>
        <v>-104632.62782419921</v>
      </c>
      <c r="AA39" s="41">
        <f t="shared" si="12"/>
        <v>-103076.70915043056</v>
      </c>
      <c r="AB39" s="41">
        <f t="shared" si="13"/>
        <v>-99572.750658025252</v>
      </c>
      <c r="AC39" s="41">
        <f t="shared" si="14"/>
        <v>-98857.935677085072</v>
      </c>
      <c r="AD39" s="41">
        <f t="shared" si="15"/>
        <v>-98375.817925478768</v>
      </c>
      <c r="AF39" s="303">
        <f t="shared" si="16"/>
        <v>6.8135273549830575E-3</v>
      </c>
      <c r="AG39" s="303">
        <f t="shared" si="17"/>
        <v>6.8349426926510581E-3</v>
      </c>
      <c r="AH39" s="303">
        <f t="shared" si="18"/>
        <v>6.8183370897584687E-3</v>
      </c>
      <c r="AI39" s="303">
        <f t="shared" si="19"/>
        <v>6.8201895680806068E-3</v>
      </c>
      <c r="AJ39" s="303">
        <f t="shared" si="20"/>
        <v>6.8016490391087543E-3</v>
      </c>
      <c r="AK39" s="303">
        <f t="shared" si="21"/>
        <v>6.7988101999228202E-3</v>
      </c>
      <c r="AL39" s="303">
        <f t="shared" si="22"/>
        <v>6.7972093361389268E-3</v>
      </c>
      <c r="AM39" s="303">
        <f t="shared" si="23"/>
        <v>6.810370306404594E-3</v>
      </c>
      <c r="AV39" s="41">
        <v>-105129.591</v>
      </c>
      <c r="AW39" s="303">
        <f t="shared" si="30"/>
        <v>7.0366872437572815E-3</v>
      </c>
      <c r="AX39" s="41">
        <f t="shared" si="31"/>
        <v>-103163.72609251644</v>
      </c>
    </row>
    <row r="40" spans="1:50" x14ac:dyDescent="0.2">
      <c r="A40" s="30">
        <v>108</v>
      </c>
      <c r="B40" s="47" t="s">
        <v>363</v>
      </c>
      <c r="C40" s="295">
        <v>0.97724336936530209</v>
      </c>
      <c r="D40" s="295">
        <v>1.0399262138749805</v>
      </c>
      <c r="E40" s="295">
        <v>0.98082407062080734</v>
      </c>
      <c r="F40" s="295">
        <v>0.98940805438062285</v>
      </c>
      <c r="G40" s="295">
        <v>0.9793972523204586</v>
      </c>
      <c r="H40" s="295">
        <v>0.97901782607460297</v>
      </c>
      <c r="I40" s="295">
        <v>0.98093902964939128</v>
      </c>
      <c r="J40" s="295">
        <v>0.9753104145709971</v>
      </c>
      <c r="L40" s="41">
        <v>-25648.200659999999</v>
      </c>
      <c r="M40" s="41">
        <f t="shared" si="24"/>
        <v>-25064.534031135765</v>
      </c>
      <c r="N40" s="41">
        <f t="shared" si="25"/>
        <v>-26065.265977539621</v>
      </c>
      <c r="O40" s="41">
        <f t="shared" si="5"/>
        <v>-25565.440277904447</v>
      </c>
      <c r="P40" s="41">
        <f t="shared" si="6"/>
        <v>-25294.652524745448</v>
      </c>
      <c r="Q40" s="41">
        <f t="shared" si="7"/>
        <v>-24773.513181136444</v>
      </c>
      <c r="R40" s="41">
        <f t="shared" si="8"/>
        <v>-24253.711018826725</v>
      </c>
      <c r="S40" s="41">
        <f t="shared" si="9"/>
        <v>-23791.411752204636</v>
      </c>
      <c r="T40" s="41">
        <f t="shared" si="26"/>
        <v>-23204.011659271997</v>
      </c>
      <c r="V40" s="41">
        <f t="shared" si="27"/>
        <v>-25648.200659999999</v>
      </c>
      <c r="W40" s="41">
        <f t="shared" si="28"/>
        <v>-25590.889245789615</v>
      </c>
      <c r="X40" s="41">
        <f t="shared" si="10"/>
        <v>-26951.48502077597</v>
      </c>
      <c r="Y40" s="41">
        <f t="shared" si="11"/>
        <v>-26409.09980707529</v>
      </c>
      <c r="Z40" s="41">
        <f t="shared" si="29"/>
        <v>-26104.081405537305</v>
      </c>
      <c r="AA40" s="41">
        <f t="shared" si="12"/>
        <v>-25442.398037027127</v>
      </c>
      <c r="AB40" s="41">
        <f t="shared" si="13"/>
        <v>-24253.711018826725</v>
      </c>
      <c r="AC40" s="41">
        <f t="shared" si="14"/>
        <v>-23791.411752204636</v>
      </c>
      <c r="AD40" s="41">
        <f t="shared" si="15"/>
        <v>-23204.011659271997</v>
      </c>
      <c r="AF40" s="303">
        <f t="shared" si="16"/>
        <v>1.77003219262452E-3</v>
      </c>
      <c r="AG40" s="303">
        <f t="shared" si="17"/>
        <v>1.7382073271378666E-3</v>
      </c>
      <c r="AH40" s="303">
        <f t="shared" si="18"/>
        <v>1.7134375789008968E-3</v>
      </c>
      <c r="AI40" s="303">
        <f t="shared" si="19"/>
        <v>1.7015226262452425E-3</v>
      </c>
      <c r="AJ40" s="303">
        <f t="shared" si="20"/>
        <v>1.6788493112310928E-3</v>
      </c>
      <c r="AK40" s="303">
        <f t="shared" si="21"/>
        <v>1.6560391951720127E-3</v>
      </c>
      <c r="AL40" s="303">
        <f t="shared" si="22"/>
        <v>1.6358343412130926E-3</v>
      </c>
      <c r="AM40" s="303">
        <f t="shared" si="23"/>
        <v>1.6063694851663711E-3</v>
      </c>
      <c r="AV40" s="41">
        <v>-25670.771000000001</v>
      </c>
      <c r="AW40" s="303">
        <f t="shared" si="30"/>
        <v>1.7182335165092991E-3</v>
      </c>
      <c r="AX40" s="41">
        <f t="shared" si="31"/>
        <v>-25190.741853335228</v>
      </c>
    </row>
    <row r="41" spans="1:50" x14ac:dyDescent="0.2">
      <c r="A41" s="30">
        <v>109</v>
      </c>
      <c r="B41" s="47" t="s">
        <v>364</v>
      </c>
      <c r="C41" s="295">
        <v>0.98466835975668621</v>
      </c>
      <c r="D41" s="295">
        <v>1.059350455643421</v>
      </c>
      <c r="E41" s="295">
        <v>0.98883125710456587</v>
      </c>
      <c r="F41" s="295">
        <v>0.99338707071948018</v>
      </c>
      <c r="G41" s="295">
        <v>0.98830500402228727</v>
      </c>
      <c r="H41" s="295">
        <v>0.9889757589422028</v>
      </c>
      <c r="I41" s="295">
        <v>0.98830888587422361</v>
      </c>
      <c r="J41" s="295">
        <v>0.98754558058613462</v>
      </c>
      <c r="L41" s="41">
        <v>-152337.11121999999</v>
      </c>
      <c r="M41" s="41">
        <f t="shared" si="24"/>
        <v>-150001.53343506926</v>
      </c>
      <c r="N41" s="41">
        <f t="shared" si="25"/>
        <v>-158904.19279165246</v>
      </c>
      <c r="O41" s="41">
        <f t="shared" si="5"/>
        <v>-157129.43271735599</v>
      </c>
      <c r="P41" s="41">
        <f t="shared" si="6"/>
        <v>-156090.34689090791</v>
      </c>
      <c r="Q41" s="41">
        <f t="shared" si="7"/>
        <v>-154264.87091185895</v>
      </c>
      <c r="R41" s="41">
        <f t="shared" si="8"/>
        <v>-152564.21778817664</v>
      </c>
      <c r="S41" s="41">
        <f t="shared" si="9"/>
        <v>-150780.57210650525</v>
      </c>
      <c r="T41" s="41">
        <f t="shared" si="26"/>
        <v>-148902.68762202826</v>
      </c>
      <c r="V41" s="41">
        <f t="shared" si="27"/>
        <v>-152337.11121999999</v>
      </c>
      <c r="W41" s="41">
        <f t="shared" si="28"/>
        <v>-153151.5656372057</v>
      </c>
      <c r="X41" s="41">
        <f t="shared" si="10"/>
        <v>-164306.93534656864</v>
      </c>
      <c r="Y41" s="41">
        <f t="shared" si="11"/>
        <v>-162314.70399702873</v>
      </c>
      <c r="Z41" s="41">
        <f t="shared" si="29"/>
        <v>-161085.23799141697</v>
      </c>
      <c r="AA41" s="41">
        <f t="shared" si="12"/>
        <v>-158430.02242647912</v>
      </c>
      <c r="AB41" s="41">
        <f t="shared" si="13"/>
        <v>-152564.21778817664</v>
      </c>
      <c r="AC41" s="41">
        <f t="shared" si="14"/>
        <v>-150780.57210650525</v>
      </c>
      <c r="AD41" s="41">
        <f t="shared" si="15"/>
        <v>-148902.68762202826</v>
      </c>
      <c r="AF41" s="303">
        <f t="shared" si="16"/>
        <v>1.0592957475024114E-2</v>
      </c>
      <c r="AG41" s="303">
        <f t="shared" si="17"/>
        <v>1.0596800833008442E-2</v>
      </c>
      <c r="AH41" s="303">
        <f t="shared" si="18"/>
        <v>1.0531071315129576E-2</v>
      </c>
      <c r="AI41" s="303">
        <f t="shared" si="19"/>
        <v>1.0499897427471039E-2</v>
      </c>
      <c r="AJ41" s="303">
        <f t="shared" si="20"/>
        <v>1.0454208508251924E-2</v>
      </c>
      <c r="AK41" s="303">
        <f t="shared" si="21"/>
        <v>1.0417058413941711E-2</v>
      </c>
      <c r="AL41" s="303">
        <f t="shared" si="22"/>
        <v>1.0367272039530069E-2</v>
      </c>
      <c r="AM41" s="303">
        <f t="shared" si="23"/>
        <v>1.0308249158274684E-2</v>
      </c>
      <c r="AV41" s="41">
        <v>-159573</v>
      </c>
      <c r="AW41" s="303">
        <f t="shared" si="30"/>
        <v>1.0680772966652945E-2</v>
      </c>
      <c r="AX41" s="41">
        <f t="shared" si="31"/>
        <v>-156589.07361069374</v>
      </c>
    </row>
    <row r="42" spans="1:50" x14ac:dyDescent="0.2">
      <c r="A42" s="30">
        <v>111</v>
      </c>
      <c r="B42" s="47" t="s">
        <v>365</v>
      </c>
      <c r="C42" s="295">
        <v>0.96895693271320404</v>
      </c>
      <c r="D42" s="295">
        <v>1.0680078445958501</v>
      </c>
      <c r="E42" s="295">
        <v>0.97483732159458725</v>
      </c>
      <c r="F42" s="295">
        <v>0.98270465342204749</v>
      </c>
      <c r="G42" s="295">
        <v>0.97957479865119657</v>
      </c>
      <c r="H42" s="295">
        <v>0.97984606553460329</v>
      </c>
      <c r="I42" s="295">
        <v>0.98341596543417586</v>
      </c>
      <c r="J42" s="295">
        <v>0.98124331678394827</v>
      </c>
      <c r="L42" s="41">
        <v>-41693.095609999997</v>
      </c>
      <c r="M42" s="41">
        <f t="shared" si="24"/>
        <v>-40398.81403758395</v>
      </c>
      <c r="N42" s="41">
        <f t="shared" si="25"/>
        <v>-43146.250304508605</v>
      </c>
      <c r="O42" s="41">
        <f t="shared" si="5"/>
        <v>-42060.575083696815</v>
      </c>
      <c r="P42" s="41">
        <f t="shared" si="6"/>
        <v>-41333.122860356285</v>
      </c>
      <c r="Q42" s="41">
        <f t="shared" si="7"/>
        <v>-40488.885503558675</v>
      </c>
      <c r="R42" s="41">
        <f t="shared" si="8"/>
        <v>-39672.875158543</v>
      </c>
      <c r="S42" s="41">
        <f t="shared" si="9"/>
        <v>-39014.938825588099</v>
      </c>
      <c r="T42" s="41">
        <f t="shared" si="26"/>
        <v>-38283.147977342902</v>
      </c>
      <c r="V42" s="41">
        <f t="shared" si="27"/>
        <v>-41693.095609999997</v>
      </c>
      <c r="W42" s="41">
        <f t="shared" si="28"/>
        <v>-41247.189132373212</v>
      </c>
      <c r="X42" s="41">
        <f t="shared" si="10"/>
        <v>-44613.222814861896</v>
      </c>
      <c r="Y42" s="41">
        <f t="shared" si="11"/>
        <v>-43448.574061458807</v>
      </c>
      <c r="Z42" s="41">
        <f t="shared" si="29"/>
        <v>-42655.782791887686</v>
      </c>
      <c r="AA42" s="41">
        <f t="shared" si="12"/>
        <v>-41582.085412154753</v>
      </c>
      <c r="AB42" s="41">
        <f t="shared" si="13"/>
        <v>-39672.875158543</v>
      </c>
      <c r="AC42" s="41">
        <f t="shared" si="14"/>
        <v>-39014.938825588099</v>
      </c>
      <c r="AD42" s="41">
        <f t="shared" si="15"/>
        <v>-38283.147977342902</v>
      </c>
      <c r="AF42" s="303">
        <f t="shared" si="16"/>
        <v>2.852923629122608E-3</v>
      </c>
      <c r="AG42" s="303">
        <f t="shared" si="17"/>
        <v>2.8772822990736449E-3</v>
      </c>
      <c r="AH42" s="303">
        <f t="shared" si="18"/>
        <v>2.818968465052234E-3</v>
      </c>
      <c r="AI42" s="303">
        <f t="shared" si="19"/>
        <v>2.7803996790020519E-3</v>
      </c>
      <c r="AJ42" s="303">
        <f t="shared" si="20"/>
        <v>2.7438473115683395E-3</v>
      </c>
      <c r="AK42" s="303">
        <f t="shared" si="21"/>
        <v>2.7088570568320198E-3</v>
      </c>
      <c r="AL42" s="303">
        <f t="shared" si="22"/>
        <v>2.68256366692115E-3</v>
      </c>
      <c r="AM42" s="303">
        <f t="shared" si="23"/>
        <v>2.650269341781641E-3</v>
      </c>
      <c r="AV42" s="41">
        <v>-42437.1</v>
      </c>
      <c r="AW42" s="303">
        <f t="shared" si="30"/>
        <v>2.840461923152085E-3</v>
      </c>
      <c r="AX42" s="41">
        <f t="shared" si="31"/>
        <v>-41643.549821864421</v>
      </c>
    </row>
    <row r="43" spans="1:50" x14ac:dyDescent="0.2">
      <c r="A43" s="30">
        <v>139</v>
      </c>
      <c r="B43" s="47" t="s">
        <v>366</v>
      </c>
      <c r="C43" s="295">
        <v>0.97229146295353397</v>
      </c>
      <c r="D43" s="295">
        <v>1.0322004424735822</v>
      </c>
      <c r="E43" s="295">
        <v>0.99245204472872672</v>
      </c>
      <c r="F43" s="295">
        <v>0.98554911063487638</v>
      </c>
      <c r="G43" s="295">
        <v>0.98082390598307356</v>
      </c>
      <c r="H43" s="295">
        <v>0.98021375980750669</v>
      </c>
      <c r="I43" s="295">
        <v>0.98139681467842632</v>
      </c>
      <c r="J43" s="295">
        <v>0.97783794539728786</v>
      </c>
      <c r="L43" s="41">
        <v>-31311.51341</v>
      </c>
      <c r="M43" s="41">
        <f t="shared" si="24"/>
        <v>-30443.917180698096</v>
      </c>
      <c r="N43" s="41">
        <f t="shared" si="25"/>
        <v>-31424.224784545666</v>
      </c>
      <c r="O43" s="41">
        <f t="shared" si="5"/>
        <v>-31187.036141437478</v>
      </c>
      <c r="P43" s="41">
        <f t="shared" si="6"/>
        <v>-30736.355732531454</v>
      </c>
      <c r="Q43" s="41">
        <f t="shared" si="7"/>
        <v>-30146.952485266735</v>
      </c>
      <c r="R43" s="41">
        <f t="shared" si="8"/>
        <v>-29550.457642321562</v>
      </c>
      <c r="S43" s="41">
        <f t="shared" si="9"/>
        <v>-29000.72500246414</v>
      </c>
      <c r="T43" s="41">
        <f t="shared" si="26"/>
        <v>-28358.009351441291</v>
      </c>
      <c r="V43" s="41">
        <f t="shared" si="27"/>
        <v>-31311.51341</v>
      </c>
      <c r="W43" s="41">
        <f t="shared" si="28"/>
        <v>-31083.239441492751</v>
      </c>
      <c r="X43" s="41">
        <f t="shared" si="10"/>
        <v>-32492.648427220218</v>
      </c>
      <c r="Y43" s="41">
        <f t="shared" si="11"/>
        <v>-32216.208334104911</v>
      </c>
      <c r="Z43" s="41">
        <f t="shared" si="29"/>
        <v>-31719.919115972461</v>
      </c>
      <c r="AA43" s="41">
        <f t="shared" si="12"/>
        <v>-30960.920202368932</v>
      </c>
      <c r="AB43" s="41">
        <f t="shared" si="13"/>
        <v>-29550.457642321562</v>
      </c>
      <c r="AC43" s="41">
        <f t="shared" si="14"/>
        <v>-29000.72500246414</v>
      </c>
      <c r="AD43" s="41">
        <f t="shared" si="15"/>
        <v>-28358.009351441291</v>
      </c>
      <c r="AF43" s="303">
        <f t="shared" si="16"/>
        <v>2.1499188220491542E-3</v>
      </c>
      <c r="AG43" s="303">
        <f t="shared" si="17"/>
        <v>2.0955787605310494E-3</v>
      </c>
      <c r="AH43" s="303">
        <f t="shared" si="18"/>
        <v>2.0902061188229821E-3</v>
      </c>
      <c r="AI43" s="303">
        <f t="shared" si="19"/>
        <v>2.0675755350290678E-3</v>
      </c>
      <c r="AJ43" s="303">
        <f t="shared" si="20"/>
        <v>2.0429960839847576E-3</v>
      </c>
      <c r="AK43" s="303">
        <f t="shared" si="21"/>
        <v>2.0177001388764042E-3</v>
      </c>
      <c r="AL43" s="303">
        <f t="shared" si="22"/>
        <v>1.994012897309968E-3</v>
      </c>
      <c r="AM43" s="303">
        <f t="shared" si="23"/>
        <v>1.9631709185086266E-3</v>
      </c>
      <c r="AV43" s="41">
        <v>-32482.21128</v>
      </c>
      <c r="AW43" s="303">
        <f t="shared" si="30"/>
        <v>2.1741467800726524E-3</v>
      </c>
      <c r="AX43" s="41">
        <f t="shared" si="31"/>
        <v>-31874.811986752313</v>
      </c>
    </row>
    <row r="44" spans="1:50" x14ac:dyDescent="0.2">
      <c r="A44" s="30">
        <v>140</v>
      </c>
      <c r="B44" s="47" t="s">
        <v>367</v>
      </c>
      <c r="C44" s="295">
        <v>0.97645527898883755</v>
      </c>
      <c r="D44" s="295">
        <v>1.063504321942053</v>
      </c>
      <c r="E44" s="295">
        <v>0.98150139227494415</v>
      </c>
      <c r="F44" s="295">
        <v>0.9878556860607014</v>
      </c>
      <c r="G44" s="295">
        <v>0.97885405402077941</v>
      </c>
      <c r="H44" s="295">
        <v>0.98510443177186469</v>
      </c>
      <c r="I44" s="295">
        <v>0.98009936196028491</v>
      </c>
      <c r="J44" s="295">
        <v>0.98069356467074953</v>
      </c>
      <c r="L44" s="41">
        <v>-53189.577669999999</v>
      </c>
      <c r="M44" s="41">
        <f t="shared" si="24"/>
        <v>-51937.24390305829</v>
      </c>
      <c r="N44" s="41">
        <f t="shared" si="25"/>
        <v>-55235.483360661034</v>
      </c>
      <c r="O44" s="41">
        <f t="shared" si="5"/>
        <v>-54213.703821468313</v>
      </c>
      <c r="P44" s="41">
        <f t="shared" si="6"/>
        <v>-53555.315582448246</v>
      </c>
      <c r="Q44" s="41">
        <f t="shared" si="7"/>
        <v>-52422.837772241684</v>
      </c>
      <c r="R44" s="41">
        <f t="shared" si="8"/>
        <v>-51641.96981549279</v>
      </c>
      <c r="S44" s="41">
        <f t="shared" si="9"/>
        <v>-50614.261666536775</v>
      </c>
      <c r="T44" s="41">
        <f t="shared" si="26"/>
        <v>-49637.080696934019</v>
      </c>
      <c r="V44" s="41">
        <f t="shared" si="27"/>
        <v>-53189.577669999999</v>
      </c>
      <c r="W44" s="41">
        <f t="shared" si="28"/>
        <v>-53027.926025022512</v>
      </c>
      <c r="X44" s="41">
        <f t="shared" si="10"/>
        <v>-57113.489794923509</v>
      </c>
      <c r="Y44" s="41">
        <f t="shared" si="11"/>
        <v>-56002.75604757676</v>
      </c>
      <c r="Z44" s="41">
        <f t="shared" si="29"/>
        <v>-55269.085681086588</v>
      </c>
      <c r="AA44" s="41">
        <f t="shared" si="12"/>
        <v>-53838.254392092203</v>
      </c>
      <c r="AB44" s="41">
        <f t="shared" si="13"/>
        <v>-51641.96981549279</v>
      </c>
      <c r="AC44" s="41">
        <f t="shared" si="14"/>
        <v>-50614.261666536775</v>
      </c>
      <c r="AD44" s="41">
        <f t="shared" si="15"/>
        <v>-49637.080696934019</v>
      </c>
      <c r="AF44" s="303">
        <f t="shared" si="16"/>
        <v>3.6677559451297344E-3</v>
      </c>
      <c r="AG44" s="303">
        <f t="shared" si="17"/>
        <v>3.6834737070488722E-3</v>
      </c>
      <c r="AH44" s="303">
        <f t="shared" si="18"/>
        <v>3.6334910101036262E-3</v>
      </c>
      <c r="AI44" s="303">
        <f t="shared" si="19"/>
        <v>3.6025630765274615E-3</v>
      </c>
      <c r="AJ44" s="303">
        <f t="shared" si="20"/>
        <v>3.5525863628305117E-3</v>
      </c>
      <c r="AK44" s="303">
        <f t="shared" si="21"/>
        <v>3.526104770686888E-3</v>
      </c>
      <c r="AL44" s="303">
        <f t="shared" si="22"/>
        <v>3.4801023264873681E-3</v>
      </c>
      <c r="AM44" s="303">
        <f t="shared" si="23"/>
        <v>3.4362804559458296E-3</v>
      </c>
      <c r="AV44" s="41">
        <v>-54651.1</v>
      </c>
      <c r="AW44" s="303">
        <f t="shared" si="30"/>
        <v>3.657987200076747E-3</v>
      </c>
      <c r="AX44" s="41">
        <f t="shared" si="31"/>
        <v>-53629.154811938017</v>
      </c>
    </row>
    <row r="45" spans="1:50" x14ac:dyDescent="0.2">
      <c r="A45" s="30">
        <v>142</v>
      </c>
      <c r="B45" s="47" t="s">
        <v>368</v>
      </c>
      <c r="C45" s="295">
        <v>0.98264253617022002</v>
      </c>
      <c r="D45" s="295">
        <v>1.0468451767494367</v>
      </c>
      <c r="E45" s="295">
        <v>0.98501952781905477</v>
      </c>
      <c r="F45" s="295">
        <v>0.9942544978723179</v>
      </c>
      <c r="G45" s="295">
        <v>0.98686415137487571</v>
      </c>
      <c r="H45" s="295">
        <v>0.98668175346194631</v>
      </c>
      <c r="I45" s="295">
        <v>0.97875229674089848</v>
      </c>
      <c r="J45" s="295">
        <v>0.98412765409481395</v>
      </c>
      <c r="L45" s="41">
        <v>-16467.14704</v>
      </c>
      <c r="M45" s="41">
        <f t="shared" si="24"/>
        <v>-16181.319130873531</v>
      </c>
      <c r="N45" s="41">
        <f t="shared" si="25"/>
        <v>-16939.335885598342</v>
      </c>
      <c r="O45" s="41">
        <f t="shared" si="5"/>
        <v>-16685.57663560045</v>
      </c>
      <c r="P45" s="41">
        <f t="shared" si="6"/>
        <v>-16589.709619539004</v>
      </c>
      <c r="Q45" s="41">
        <f t="shared" si="7"/>
        <v>-16371.789705241972</v>
      </c>
      <c r="R45" s="41">
        <f t="shared" si="8"/>
        <v>-16153.74617367839</v>
      </c>
      <c r="S45" s="41">
        <f t="shared" si="9"/>
        <v>-15810.516168457225</v>
      </c>
      <c r="T45" s="41">
        <f t="shared" si="26"/>
        <v>-15559.566186891934</v>
      </c>
      <c r="V45" s="41">
        <f t="shared" si="27"/>
        <v>-16467.14704</v>
      </c>
      <c r="W45" s="41">
        <f t="shared" si="28"/>
        <v>-16521.126832621874</v>
      </c>
      <c r="X45" s="41">
        <f t="shared" si="10"/>
        <v>-17515.273305708688</v>
      </c>
      <c r="Y45" s="41">
        <f t="shared" si="11"/>
        <v>-17236.200664575263</v>
      </c>
      <c r="Z45" s="41">
        <f t="shared" si="29"/>
        <v>-17120.580327364252</v>
      </c>
      <c r="AA45" s="41">
        <f t="shared" si="12"/>
        <v>-16813.828027283504</v>
      </c>
      <c r="AB45" s="41">
        <f t="shared" si="13"/>
        <v>-16153.74617367839</v>
      </c>
      <c r="AC45" s="41">
        <f t="shared" si="14"/>
        <v>-15810.516168457225</v>
      </c>
      <c r="AD45" s="41">
        <f t="shared" si="15"/>
        <v>-15559.566186891934</v>
      </c>
      <c r="AF45" s="303">
        <f t="shared" si="16"/>
        <v>1.1427084878257885E-3</v>
      </c>
      <c r="AG45" s="303">
        <f t="shared" si="17"/>
        <v>1.129628900720535E-3</v>
      </c>
      <c r="AH45" s="303">
        <f t="shared" si="18"/>
        <v>1.1182946087487469E-3</v>
      </c>
      <c r="AI45" s="303">
        <f t="shared" si="19"/>
        <v>1.1159578591905578E-3</v>
      </c>
      <c r="AJ45" s="303">
        <f t="shared" si="20"/>
        <v>1.1094820370973688E-3</v>
      </c>
      <c r="AK45" s="303">
        <f t="shared" si="21"/>
        <v>1.1029749959379797E-3</v>
      </c>
      <c r="AL45" s="303">
        <f t="shared" si="22"/>
        <v>1.0870891383009474E-3</v>
      </c>
      <c r="AM45" s="303">
        <f t="shared" si="23"/>
        <v>1.0771591004205628E-3</v>
      </c>
      <c r="AV45" s="41">
        <v>-17314.377</v>
      </c>
      <c r="AW45" s="303">
        <f t="shared" si="30"/>
        <v>1.1589111553711312E-3</v>
      </c>
      <c r="AX45" s="41">
        <f t="shared" si="31"/>
        <v>-16990.607775603032</v>
      </c>
    </row>
    <row r="46" spans="1:50" x14ac:dyDescent="0.2">
      <c r="A46" s="30">
        <v>143</v>
      </c>
      <c r="B46" s="47" t="s">
        <v>369</v>
      </c>
      <c r="C46" s="295">
        <v>0.97018400244234615</v>
      </c>
      <c r="D46" s="295">
        <v>1.0426345044200862</v>
      </c>
      <c r="E46" s="295">
        <v>0.98504141715286997</v>
      </c>
      <c r="F46" s="295">
        <v>0.9759873434169779</v>
      </c>
      <c r="G46" s="295">
        <v>0.97581328642267473</v>
      </c>
      <c r="H46" s="295">
        <v>0.9764597221632656</v>
      </c>
      <c r="I46" s="295">
        <v>0.97874718780643866</v>
      </c>
      <c r="J46" s="295">
        <v>0.97969500213467964</v>
      </c>
      <c r="L46" s="41">
        <v>-17272.197479999999</v>
      </c>
      <c r="M46" s="41">
        <f t="shared" si="24"/>
        <v>-16757.209682121003</v>
      </c>
      <c r="N46" s="41">
        <f t="shared" si="25"/>
        <v>-17471.645012381701</v>
      </c>
      <c r="O46" s="41">
        <f t="shared" si="5"/>
        <v>-17210.293962988344</v>
      </c>
      <c r="P46" s="41">
        <f t="shared" si="6"/>
        <v>-16797.029084362246</v>
      </c>
      <c r="Q46" s="41">
        <f t="shared" si="7"/>
        <v>-16390.764152948774</v>
      </c>
      <c r="R46" s="41">
        <f t="shared" si="8"/>
        <v>-16004.921010831973</v>
      </c>
      <c r="S46" s="41">
        <f t="shared" si="9"/>
        <v>-15664.771430415976</v>
      </c>
      <c r="T46" s="41">
        <f t="shared" si="26"/>
        <v>-15346.698279960649</v>
      </c>
      <c r="V46" s="41">
        <f t="shared" si="27"/>
        <v>-17272.197479999999</v>
      </c>
      <c r="W46" s="41">
        <f t="shared" si="28"/>
        <v>-17109.111085445544</v>
      </c>
      <c r="X46" s="41">
        <f t="shared" si="10"/>
        <v>-18065.680942802679</v>
      </c>
      <c r="Y46" s="41">
        <f t="shared" si="11"/>
        <v>-17778.233663766958</v>
      </c>
      <c r="Z46" s="41">
        <f t="shared" si="29"/>
        <v>-17334.534015061839</v>
      </c>
      <c r="AA46" s="41">
        <f t="shared" si="12"/>
        <v>-16833.31478507839</v>
      </c>
      <c r="AB46" s="41">
        <f t="shared" si="13"/>
        <v>-16004.921010831973</v>
      </c>
      <c r="AC46" s="41">
        <f t="shared" si="14"/>
        <v>-15664.771430415976</v>
      </c>
      <c r="AD46" s="41">
        <f t="shared" si="15"/>
        <v>-15346.698279960649</v>
      </c>
      <c r="AF46" s="303">
        <f t="shared" si="16"/>
        <v>1.1833772995367925E-3</v>
      </c>
      <c r="AG46" s="303">
        <f t="shared" si="17"/>
        <v>1.1651268551735794E-3</v>
      </c>
      <c r="AH46" s="303">
        <f t="shared" si="18"/>
        <v>1.1534620213680361E-3</v>
      </c>
      <c r="AI46" s="303">
        <f t="shared" si="19"/>
        <v>1.1299038408525989E-3</v>
      </c>
      <c r="AJ46" s="303">
        <f t="shared" si="20"/>
        <v>1.1107678958381393E-3</v>
      </c>
      <c r="AK46" s="303">
        <f t="shared" si="21"/>
        <v>1.0928132395490208E-3</v>
      </c>
      <c r="AL46" s="303">
        <f t="shared" si="22"/>
        <v>1.0770681168490832E-3</v>
      </c>
      <c r="AM46" s="303">
        <f t="shared" si="23"/>
        <v>1.0624226610890036E-3</v>
      </c>
      <c r="AV46" s="41">
        <v>-16745.465</v>
      </c>
      <c r="AW46" s="303">
        <f t="shared" si="30"/>
        <v>1.120831906939351E-3</v>
      </c>
      <c r="AX46" s="41">
        <f t="shared" si="31"/>
        <v>-16432.334113730365</v>
      </c>
    </row>
    <row r="47" spans="1:50" x14ac:dyDescent="0.2">
      <c r="A47" s="30">
        <v>145</v>
      </c>
      <c r="B47" s="47" t="s">
        <v>370</v>
      </c>
      <c r="C47" s="295">
        <v>0.9977538326597809</v>
      </c>
      <c r="D47" s="295">
        <v>1.0339587420049015</v>
      </c>
      <c r="E47" s="295">
        <v>0.9912010878392552</v>
      </c>
      <c r="F47" s="295">
        <v>0.99809845074441939</v>
      </c>
      <c r="G47" s="295">
        <v>0.9972970126141123</v>
      </c>
      <c r="H47" s="295">
        <v>0.98700890366721417</v>
      </c>
      <c r="I47" s="295">
        <v>0.99503634609454306</v>
      </c>
      <c r="J47" s="295">
        <v>0.99424237031276985</v>
      </c>
      <c r="L47" s="41">
        <v>-34749.717859999997</v>
      </c>
      <c r="M47" s="41">
        <f t="shared" si="24"/>
        <v>-34671.664178661034</v>
      </c>
      <c r="N47" s="41">
        <f t="shared" si="25"/>
        <v>-35849.070277384766</v>
      </c>
      <c r="O47" s="41">
        <f t="shared" si="5"/>
        <v>-35533.637456969693</v>
      </c>
      <c r="P47" s="41">
        <f t="shared" si="6"/>
        <v>-35466.068495115323</v>
      </c>
      <c r="Q47" s="41">
        <f t="shared" si="7"/>
        <v>-35370.204159345994</v>
      </c>
      <c r="R47" s="41">
        <f t="shared" si="8"/>
        <v>-34910.706429801627</v>
      </c>
      <c r="S47" s="41">
        <f t="shared" si="9"/>
        <v>-34737.421765489082</v>
      </c>
      <c r="T47" s="41">
        <f t="shared" si="26"/>
        <v>-34537.416554674266</v>
      </c>
      <c r="V47" s="41">
        <f t="shared" si="27"/>
        <v>-34749.717859999997</v>
      </c>
      <c r="W47" s="41">
        <f t="shared" si="28"/>
        <v>-35399.76912641291</v>
      </c>
      <c r="X47" s="41">
        <f t="shared" si="10"/>
        <v>-37067.938666815848</v>
      </c>
      <c r="Y47" s="41">
        <f t="shared" si="11"/>
        <v>-36706.24749304969</v>
      </c>
      <c r="Z47" s="41">
        <f t="shared" si="29"/>
        <v>-36600.982686959018</v>
      </c>
      <c r="AA47" s="41">
        <f t="shared" si="12"/>
        <v>-36325.199671648334</v>
      </c>
      <c r="AB47" s="41">
        <f t="shared" si="13"/>
        <v>-34910.706429801627</v>
      </c>
      <c r="AC47" s="41">
        <f t="shared" si="14"/>
        <v>-34737.421765489082</v>
      </c>
      <c r="AD47" s="41">
        <f t="shared" si="15"/>
        <v>-34537.416554674266</v>
      </c>
      <c r="AF47" s="303">
        <f t="shared" si="16"/>
        <v>2.4484780643382865E-3</v>
      </c>
      <c r="AG47" s="303">
        <f t="shared" si="17"/>
        <v>2.390657232537952E-3</v>
      </c>
      <c r="AH47" s="303">
        <f t="shared" si="18"/>
        <v>2.3815224409193306E-3</v>
      </c>
      <c r="AI47" s="303">
        <f t="shared" si="19"/>
        <v>2.3857342159322495E-3</v>
      </c>
      <c r="AJ47" s="303">
        <f t="shared" si="20"/>
        <v>2.3969649543382661E-3</v>
      </c>
      <c r="AK47" s="303">
        <f t="shared" si="21"/>
        <v>2.3836969993588975E-3</v>
      </c>
      <c r="AL47" s="303">
        <f t="shared" si="22"/>
        <v>2.388452944324521E-3</v>
      </c>
      <c r="AM47" s="303">
        <f t="shared" si="23"/>
        <v>2.3909594972014087E-3</v>
      </c>
      <c r="AV47" s="41">
        <v>-33633.578999999998</v>
      </c>
      <c r="AW47" s="303">
        <f t="shared" si="30"/>
        <v>2.2512118049731857E-3</v>
      </c>
      <c r="AX47" s="41">
        <f t="shared" si="31"/>
        <v>-33004.649770462944</v>
      </c>
    </row>
    <row r="48" spans="1:50" x14ac:dyDescent="0.2">
      <c r="A48" s="30">
        <v>146</v>
      </c>
      <c r="B48" s="47" t="s">
        <v>371</v>
      </c>
      <c r="C48" s="295">
        <v>0.98337817737050093</v>
      </c>
      <c r="D48" s="295">
        <v>1.0841810687740521</v>
      </c>
      <c r="E48" s="295">
        <v>0.99372620858187066</v>
      </c>
      <c r="F48" s="295">
        <v>0.99536355489644324</v>
      </c>
      <c r="G48" s="295">
        <v>0.99290119798109799</v>
      </c>
      <c r="H48" s="295">
        <v>0.9867325043142996</v>
      </c>
      <c r="I48" s="295">
        <v>0.99354836051367723</v>
      </c>
      <c r="J48" s="295">
        <v>0.99380616811963829</v>
      </c>
      <c r="L48" s="41">
        <v>-12579.49418</v>
      </c>
      <c r="M48" s="41">
        <f t="shared" si="24"/>
        <v>-12370.400058971223</v>
      </c>
      <c r="N48" s="41">
        <f t="shared" si="25"/>
        <v>-13411.753557098018</v>
      </c>
      <c r="O48" s="41">
        <f t="shared" si="5"/>
        <v>-13327.611012729431</v>
      </c>
      <c r="P48" s="41">
        <f t="shared" si="6"/>
        <v>-13265.818275907352</v>
      </c>
      <c r="Q48" s="41">
        <f t="shared" si="7"/>
        <v>-13171.646858347953</v>
      </c>
      <c r="R48" s="41">
        <f t="shared" si="8"/>
        <v>-12996.892090481251</v>
      </c>
      <c r="S48" s="41">
        <f t="shared" si="9"/>
        <v>-12913.040828270827</v>
      </c>
      <c r="T48" s="41">
        <f t="shared" si="26"/>
        <v>-12833.059624316271</v>
      </c>
      <c r="V48" s="41">
        <f t="shared" si="27"/>
        <v>-12579.49418</v>
      </c>
      <c r="W48" s="41">
        <f t="shared" si="28"/>
        <v>-12630.178460209618</v>
      </c>
      <c r="X48" s="41">
        <f t="shared" si="10"/>
        <v>-13867.753178039351</v>
      </c>
      <c r="Y48" s="41">
        <f t="shared" si="11"/>
        <v>-13767.422176149501</v>
      </c>
      <c r="Z48" s="41">
        <f t="shared" si="29"/>
        <v>-13690.324460736387</v>
      </c>
      <c r="AA48" s="41">
        <f t="shared" si="12"/>
        <v>-13527.281323523346</v>
      </c>
      <c r="AB48" s="41">
        <f t="shared" si="13"/>
        <v>-12996.892090481251</v>
      </c>
      <c r="AC48" s="41">
        <f t="shared" si="14"/>
        <v>-12913.040828270827</v>
      </c>
      <c r="AD48" s="41">
        <f t="shared" si="15"/>
        <v>-12833.059624316271</v>
      </c>
      <c r="AF48" s="303">
        <f t="shared" si="16"/>
        <v>8.7358521458342619E-4</v>
      </c>
      <c r="AG48" s="303">
        <f t="shared" si="17"/>
        <v>8.9438597414671949E-4</v>
      </c>
      <c r="AH48" s="303">
        <f t="shared" si="18"/>
        <v>8.9323826611038804E-4</v>
      </c>
      <c r="AI48" s="303">
        <f t="shared" si="19"/>
        <v>8.9236608133011551E-4</v>
      </c>
      <c r="AJ48" s="303">
        <f t="shared" si="20"/>
        <v>8.9261503179753046E-4</v>
      </c>
      <c r="AK48" s="303">
        <f t="shared" si="21"/>
        <v>8.8742554492179579E-4</v>
      </c>
      <c r="AL48" s="303">
        <f t="shared" si="22"/>
        <v>8.8786642240407413E-4</v>
      </c>
      <c r="AM48" s="303">
        <f t="shared" si="23"/>
        <v>8.8840824959614056E-4</v>
      </c>
      <c r="AV48" s="41">
        <v>-13383.35</v>
      </c>
      <c r="AW48" s="303">
        <f t="shared" si="30"/>
        <v>8.9579391803910869E-4</v>
      </c>
      <c r="AX48" s="41">
        <f t="shared" si="31"/>
        <v>-13133.088795145031</v>
      </c>
    </row>
    <row r="49" spans="1:50" x14ac:dyDescent="0.2">
      <c r="A49" s="30">
        <v>148</v>
      </c>
      <c r="B49" s="47" t="s">
        <v>372</v>
      </c>
      <c r="C49" s="295">
        <v>0.98596569870153483</v>
      </c>
      <c r="D49" s="295">
        <v>1.0508367444932094</v>
      </c>
      <c r="E49" s="295">
        <v>0.98489362321039331</v>
      </c>
      <c r="F49" s="295">
        <v>0.9913472782567222</v>
      </c>
      <c r="G49" s="295">
        <v>0.99126515535334836</v>
      </c>
      <c r="H49" s="295">
        <v>0.99700722358910365</v>
      </c>
      <c r="I49" s="295">
        <v>0.99003138316023076</v>
      </c>
      <c r="J49" s="295">
        <v>0.99518483929418333</v>
      </c>
      <c r="L49" s="41">
        <v>-24991.435659999999</v>
      </c>
      <c r="M49" s="41">
        <f t="shared" si="24"/>
        <v>-24640.698322066353</v>
      </c>
      <c r="N49" s="41">
        <f t="shared" si="25"/>
        <v>-25893.351206799493</v>
      </c>
      <c r="O49" s="41">
        <f t="shared" si="5"/>
        <v>-25502.196487123962</v>
      </c>
      <c r="P49" s="41">
        <f t="shared" si="6"/>
        <v>-25281.533077078482</v>
      </c>
      <c r="Q49" s="41">
        <f t="shared" si="7"/>
        <v>-25060.702813221018</v>
      </c>
      <c r="R49" s="41">
        <f t="shared" si="8"/>
        <v>-24985.701733001126</v>
      </c>
      <c r="S49" s="41">
        <f t="shared" si="9"/>
        <v>-24736.62884595208</v>
      </c>
      <c r="T49" s="41">
        <f t="shared" si="26"/>
        <v>-24617.518002738681</v>
      </c>
      <c r="V49" s="41">
        <f t="shared" si="27"/>
        <v>-24991.435659999999</v>
      </c>
      <c r="W49" s="41">
        <f t="shared" si="28"/>
        <v>-25158.152986829744</v>
      </c>
      <c r="X49" s="41">
        <f t="shared" si="10"/>
        <v>-26773.725147830675</v>
      </c>
      <c r="Y49" s="41">
        <f t="shared" si="11"/>
        <v>-26343.76897119905</v>
      </c>
      <c r="Z49" s="41">
        <f t="shared" si="29"/>
        <v>-26090.542135544994</v>
      </c>
      <c r="AA49" s="41">
        <f t="shared" si="12"/>
        <v>-25737.341789177983</v>
      </c>
      <c r="AB49" s="41">
        <f t="shared" si="13"/>
        <v>-24985.701733001126</v>
      </c>
      <c r="AC49" s="41">
        <f t="shared" si="14"/>
        <v>-24736.62884595208</v>
      </c>
      <c r="AD49" s="41">
        <f t="shared" si="15"/>
        <v>-24617.518002738681</v>
      </c>
      <c r="AF49" s="303">
        <f t="shared" si="16"/>
        <v>1.7401013409875103E-3</v>
      </c>
      <c r="AG49" s="303">
        <f t="shared" si="17"/>
        <v>1.7267428934197829E-3</v>
      </c>
      <c r="AH49" s="303">
        <f t="shared" si="18"/>
        <v>1.7091988767085045E-3</v>
      </c>
      <c r="AI49" s="303">
        <f t="shared" si="19"/>
        <v>1.7006401062332618E-3</v>
      </c>
      <c r="AJ49" s="303">
        <f t="shared" si="20"/>
        <v>1.6983115535256182E-3</v>
      </c>
      <c r="AK49" s="303">
        <f t="shared" si="21"/>
        <v>1.7060193945828905E-3</v>
      </c>
      <c r="AL49" s="303">
        <f t="shared" si="22"/>
        <v>1.7008249604314088E-3</v>
      </c>
      <c r="AM49" s="303">
        <f t="shared" si="23"/>
        <v>1.7042238342580582E-3</v>
      </c>
      <c r="AV49" s="41">
        <v>-26432.36377</v>
      </c>
      <c r="AW49" s="303">
        <f t="shared" si="30"/>
        <v>1.7692095554971876E-3</v>
      </c>
      <c r="AX49" s="41">
        <f t="shared" si="31"/>
        <v>-25938.093261925042</v>
      </c>
    </row>
    <row r="50" spans="1:50" x14ac:dyDescent="0.2">
      <c r="A50" s="30">
        <v>149</v>
      </c>
      <c r="B50" s="47" t="s">
        <v>373</v>
      </c>
      <c r="C50" s="295">
        <v>0.97686196903322775</v>
      </c>
      <c r="D50" s="295">
        <v>1.0028736468921879</v>
      </c>
      <c r="E50" s="295">
        <v>0.97510650620876926</v>
      </c>
      <c r="F50" s="295">
        <v>0.97020646509987518</v>
      </c>
      <c r="G50" s="295">
        <v>0.98033214556625625</v>
      </c>
      <c r="H50" s="295">
        <v>0.97792391778357057</v>
      </c>
      <c r="I50" s="295">
        <v>0.97371391476040814</v>
      </c>
      <c r="J50" s="295">
        <v>0.98728680382864731</v>
      </c>
      <c r="L50" s="41">
        <v>-15659.238890000001</v>
      </c>
      <c r="M50" s="41">
        <f t="shared" si="24"/>
        <v>-15296.914935647097</v>
      </c>
      <c r="N50" s="41">
        <f t="shared" si="25"/>
        <v>-15340.872867711983</v>
      </c>
      <c r="O50" s="41">
        <f t="shared" si="5"/>
        <v>-14958.984944227535</v>
      </c>
      <c r="P50" s="41">
        <f t="shared" si="6"/>
        <v>-14513.303904221251</v>
      </c>
      <c r="Q50" s="41">
        <f t="shared" si="7"/>
        <v>-14227.858355680342</v>
      </c>
      <c r="R50" s="41">
        <f t="shared" si="8"/>
        <v>-13913.76298485663</v>
      </c>
      <c r="S50" s="41">
        <f t="shared" si="9"/>
        <v>-13548.024625033211</v>
      </c>
      <c r="T50" s="41">
        <f t="shared" si="26"/>
        <v>-13375.785930240847</v>
      </c>
      <c r="V50" s="41">
        <f t="shared" si="27"/>
        <v>-15659.238890000001</v>
      </c>
      <c r="W50" s="41">
        <f t="shared" si="28"/>
        <v>-15618.150149295685</v>
      </c>
      <c r="X50" s="41">
        <f t="shared" si="10"/>
        <v>-15862.462545214192</v>
      </c>
      <c r="Y50" s="41">
        <f t="shared" si="11"/>
        <v>-15452.631447387042</v>
      </c>
      <c r="Z50" s="41">
        <f t="shared" si="29"/>
        <v>-14977.729629156333</v>
      </c>
      <c r="AA50" s="41">
        <f t="shared" si="12"/>
        <v>-14612.010531283709</v>
      </c>
      <c r="AB50" s="41">
        <f t="shared" si="13"/>
        <v>-13913.76298485663</v>
      </c>
      <c r="AC50" s="41">
        <f t="shared" si="14"/>
        <v>-13548.024625033211</v>
      </c>
      <c r="AD50" s="41">
        <f t="shared" si="15"/>
        <v>-13375.785930240847</v>
      </c>
      <c r="AF50" s="303">
        <f t="shared" si="16"/>
        <v>1.0802527527661078E-3</v>
      </c>
      <c r="AG50" s="303">
        <f t="shared" si="17"/>
        <v>1.0230326307172604E-3</v>
      </c>
      <c r="AH50" s="303">
        <f t="shared" si="18"/>
        <v>1.0025756125078221E-3</v>
      </c>
      <c r="AI50" s="303">
        <f t="shared" si="19"/>
        <v>9.7628204026314804E-4</v>
      </c>
      <c r="AJ50" s="303">
        <f t="shared" si="20"/>
        <v>9.6419228173562333E-4</v>
      </c>
      <c r="AK50" s="303">
        <f t="shared" si="21"/>
        <v>9.5002933107309539E-4</v>
      </c>
      <c r="AL50" s="303">
        <f t="shared" si="22"/>
        <v>9.3152622333041168E-4</v>
      </c>
      <c r="AM50" s="303">
        <f t="shared" si="23"/>
        <v>9.2598015696440552E-4</v>
      </c>
      <c r="AV50" s="41">
        <v>-16292.666999999999</v>
      </c>
      <c r="AW50" s="303">
        <f t="shared" si="30"/>
        <v>1.0905245702485917E-3</v>
      </c>
      <c r="AX50" s="41">
        <f t="shared" si="31"/>
        <v>-15988.003184608428</v>
      </c>
    </row>
    <row r="51" spans="1:50" x14ac:dyDescent="0.2">
      <c r="A51" s="30">
        <v>151</v>
      </c>
      <c r="B51" s="47" t="s">
        <v>374</v>
      </c>
      <c r="C51" s="295">
        <v>0.98599658253211619</v>
      </c>
      <c r="D51" s="295">
        <v>1.0555095037414661</v>
      </c>
      <c r="E51" s="295">
        <v>0.98564206845284186</v>
      </c>
      <c r="F51" s="295">
        <v>0.99806312663660846</v>
      </c>
      <c r="G51" s="295">
        <v>0.99662892729309549</v>
      </c>
      <c r="H51" s="295">
        <v>0.99677859497429255</v>
      </c>
      <c r="I51" s="295">
        <v>0.99676818398594291</v>
      </c>
      <c r="J51" s="295">
        <v>0.99675770548661224</v>
      </c>
      <c r="L51" s="41">
        <v>-4478.7647300000008</v>
      </c>
      <c r="M51" s="41">
        <f t="shared" si="24"/>
        <v>-4416.0467177453766</v>
      </c>
      <c r="N51" s="41">
        <f t="shared" si="25"/>
        <v>-4661.1792795465526</v>
      </c>
      <c r="O51" s="41">
        <f t="shared" si="5"/>
        <v>-4594.2543865217913</v>
      </c>
      <c r="P51" s="41">
        <f t="shared" si="6"/>
        <v>-4585.3558975758924</v>
      </c>
      <c r="Q51" s="41">
        <f t="shared" si="7"/>
        <v>-4569.8983294581303</v>
      </c>
      <c r="R51" s="41">
        <f t="shared" si="8"/>
        <v>-4555.1768360126416</v>
      </c>
      <c r="S51" s="41">
        <f t="shared" si="9"/>
        <v>-4540.4553425671538</v>
      </c>
      <c r="T51" s="41">
        <f t="shared" si="26"/>
        <v>-4525.733849121666</v>
      </c>
      <c r="V51" s="41">
        <f t="shared" si="27"/>
        <v>-4478.7647300000008</v>
      </c>
      <c r="W51" s="41">
        <f t="shared" si="28"/>
        <v>-4508.7836988180288</v>
      </c>
      <c r="X51" s="41">
        <f t="shared" si="10"/>
        <v>-4819.6593750511356</v>
      </c>
      <c r="Y51" s="41">
        <f t="shared" si="11"/>
        <v>-4745.8647812770096</v>
      </c>
      <c r="Z51" s="41">
        <f t="shared" si="29"/>
        <v>-4732.0872862983215</v>
      </c>
      <c r="AA51" s="41">
        <f t="shared" si="12"/>
        <v>-4693.2855843534999</v>
      </c>
      <c r="AB51" s="41">
        <f t="shared" si="13"/>
        <v>-4555.1768360126416</v>
      </c>
      <c r="AC51" s="41">
        <f t="shared" si="14"/>
        <v>-4540.4553425671538</v>
      </c>
      <c r="AD51" s="41">
        <f t="shared" si="15"/>
        <v>-4525.733849121666</v>
      </c>
      <c r="AF51" s="303">
        <f t="shared" si="16"/>
        <v>3.1185677917783207E-4</v>
      </c>
      <c r="AG51" s="303">
        <f t="shared" si="17"/>
        <v>3.1083879918173774E-4</v>
      </c>
      <c r="AH51" s="303">
        <f t="shared" si="18"/>
        <v>3.07914435555419E-4</v>
      </c>
      <c r="AI51" s="303">
        <f t="shared" si="19"/>
        <v>3.0844807223502115E-4</v>
      </c>
      <c r="AJ51" s="303">
        <f t="shared" si="20"/>
        <v>3.096924770705838E-4</v>
      </c>
      <c r="AK51" s="303">
        <f t="shared" si="21"/>
        <v>3.1102668682417121E-4</v>
      </c>
      <c r="AL51" s="303">
        <f t="shared" si="22"/>
        <v>3.1218966118845559E-4</v>
      </c>
      <c r="AM51" s="303">
        <f t="shared" si="23"/>
        <v>3.1330792536938759E-4</v>
      </c>
      <c r="AV51" s="41">
        <v>-5092.7790000000005</v>
      </c>
      <c r="AW51" s="303">
        <f t="shared" si="30"/>
        <v>3.4087731801957612E-4</v>
      </c>
      <c r="AX51" s="41">
        <f t="shared" si="31"/>
        <v>-4997.5468639055189</v>
      </c>
    </row>
    <row r="52" spans="1:50" x14ac:dyDescent="0.2">
      <c r="A52" s="30">
        <v>152</v>
      </c>
      <c r="B52" s="47" t="s">
        <v>375</v>
      </c>
      <c r="C52" s="295">
        <v>0.98718944118955487</v>
      </c>
      <c r="D52" s="295">
        <v>1.055346063656821</v>
      </c>
      <c r="E52" s="295">
        <v>0.99397102868752818</v>
      </c>
      <c r="F52" s="295">
        <v>0.99312623465240835</v>
      </c>
      <c r="G52" s="295">
        <v>0.98643668646227201</v>
      </c>
      <c r="H52" s="295">
        <v>0.99731926261631165</v>
      </c>
      <c r="I52" s="295">
        <v>0.99186344375252811</v>
      </c>
      <c r="J52" s="295">
        <v>0.99347301791558595</v>
      </c>
      <c r="L52" s="41">
        <v>-10953.48619</v>
      </c>
      <c r="M52" s="41">
        <f t="shared" si="24"/>
        <v>-10813.165910983605</v>
      </c>
      <c r="N52" s="41">
        <f t="shared" si="25"/>
        <v>-11411.632079824671</v>
      </c>
      <c r="O52" s="41">
        <f t="shared" si="5"/>
        <v>-11342.831677386925</v>
      </c>
      <c r="P52" s="41">
        <f t="shared" si="6"/>
        <v>-11264.863714059338</v>
      </c>
      <c r="Q52" s="41">
        <f t="shared" si="7"/>
        <v>-11112.074835545776</v>
      </c>
      <c r="R52" s="41">
        <f t="shared" si="8"/>
        <v>-11082.286281123786</v>
      </c>
      <c r="S52" s="41">
        <f t="shared" si="9"/>
        <v>-10992.114635446836</v>
      </c>
      <c r="T52" s="41">
        <f t="shared" si="26"/>
        <v>-10920.369300151449</v>
      </c>
      <c r="V52" s="41">
        <f t="shared" si="27"/>
        <v>-10953.48619</v>
      </c>
      <c r="W52" s="41">
        <f t="shared" si="28"/>
        <v>-11040.242395114261</v>
      </c>
      <c r="X52" s="41">
        <f t="shared" si="10"/>
        <v>-11799.627570538711</v>
      </c>
      <c r="Y52" s="41">
        <f t="shared" si="11"/>
        <v>-11717.145122740692</v>
      </c>
      <c r="Z52" s="41">
        <f t="shared" si="29"/>
        <v>-11625.339352909237</v>
      </c>
      <c r="AA52" s="41">
        <f t="shared" si="12"/>
        <v>-11412.100856105511</v>
      </c>
      <c r="AB52" s="41">
        <f t="shared" si="13"/>
        <v>-11082.286281123786</v>
      </c>
      <c r="AC52" s="41">
        <f t="shared" si="14"/>
        <v>-10992.114635446836</v>
      </c>
      <c r="AD52" s="41">
        <f t="shared" si="15"/>
        <v>-10920.369300151449</v>
      </c>
      <c r="AF52" s="303">
        <f t="shared" si="16"/>
        <v>7.6361490474370251E-4</v>
      </c>
      <c r="AG52" s="303">
        <f t="shared" si="17"/>
        <v>7.6100441533361756E-4</v>
      </c>
      <c r="AH52" s="303">
        <f t="shared" si="18"/>
        <v>7.6021511211679096E-4</v>
      </c>
      <c r="AI52" s="303">
        <f t="shared" si="19"/>
        <v>7.5776571638174221E-4</v>
      </c>
      <c r="AJ52" s="303">
        <f t="shared" si="20"/>
        <v>7.5304213203839963E-4</v>
      </c>
      <c r="AK52" s="303">
        <f t="shared" si="21"/>
        <v>7.5669659127264918E-4</v>
      </c>
      <c r="AL52" s="303">
        <f t="shared" si="22"/>
        <v>7.5578863459200695E-4</v>
      </c>
      <c r="AM52" s="303">
        <f t="shared" si="23"/>
        <v>7.5599634529149753E-4</v>
      </c>
      <c r="AV52" s="41">
        <v>-11513.116</v>
      </c>
      <c r="AW52" s="303">
        <f t="shared" si="30"/>
        <v>7.7061268594774484E-4</v>
      </c>
      <c r="AX52" s="41">
        <f t="shared" si="31"/>
        <v>-11297.827131234331</v>
      </c>
    </row>
    <row r="53" spans="1:50" x14ac:dyDescent="0.2">
      <c r="A53" s="30">
        <v>153</v>
      </c>
      <c r="B53" s="47" t="s">
        <v>376</v>
      </c>
      <c r="C53" s="295">
        <v>0.97029467070303965</v>
      </c>
      <c r="D53" s="295">
        <v>1.0959086857978182</v>
      </c>
      <c r="E53" s="295">
        <v>0.9856844423357124</v>
      </c>
      <c r="F53" s="295">
        <v>0.98067321884601011</v>
      </c>
      <c r="G53" s="295">
        <v>0.9763667623593012</v>
      </c>
      <c r="H53" s="295">
        <v>0.97884409705427111</v>
      </c>
      <c r="I53" s="295">
        <v>0.97938720145551705</v>
      </c>
      <c r="J53" s="295">
        <v>0.98211375654733113</v>
      </c>
      <c r="L53" s="41">
        <v>-63691.445399999997</v>
      </c>
      <c r="M53" s="41">
        <f t="shared" si="24"/>
        <v>-61799.470040993627</v>
      </c>
      <c r="N53" s="41">
        <f t="shared" si="25"/>
        <v>-67726.575995626961</v>
      </c>
      <c r="O53" s="41">
        <f t="shared" si="5"/>
        <v>-66757.03229155681</v>
      </c>
      <c r="P53" s="41">
        <f t="shared" si="6"/>
        <v>-65466.833737968052</v>
      </c>
      <c r="Q53" s="41">
        <f t="shared" si="7"/>
        <v>-63919.640498654539</v>
      </c>
      <c r="R53" s="41">
        <f t="shared" si="8"/>
        <v>-62567.362787939121</v>
      </c>
      <c r="S53" s="41">
        <f t="shared" si="9"/>
        <v>-61277.674343331753</v>
      </c>
      <c r="T53" s="41">
        <f t="shared" si="26"/>
        <v>-60181.64694181356</v>
      </c>
      <c r="V53" s="41">
        <f t="shared" si="27"/>
        <v>-63691.445399999997</v>
      </c>
      <c r="W53" s="41">
        <f t="shared" si="28"/>
        <v>-63097.258911854486</v>
      </c>
      <c r="X53" s="41">
        <f t="shared" si="10"/>
        <v>-70029.279579478287</v>
      </c>
      <c r="Y53" s="41">
        <f t="shared" si="11"/>
        <v>-68960.014357178181</v>
      </c>
      <c r="Z53" s="41">
        <f t="shared" si="29"/>
        <v>-67561.772417583037</v>
      </c>
      <c r="AA53" s="41">
        <f t="shared" si="12"/>
        <v>-65645.470792118213</v>
      </c>
      <c r="AB53" s="41">
        <f t="shared" si="13"/>
        <v>-62567.362787939121</v>
      </c>
      <c r="AC53" s="41">
        <f t="shared" si="14"/>
        <v>-61277.674343331753</v>
      </c>
      <c r="AD53" s="41">
        <f t="shared" si="15"/>
        <v>-60181.64694181356</v>
      </c>
      <c r="AF53" s="303">
        <f t="shared" si="16"/>
        <v>4.3642164392048962E-3</v>
      </c>
      <c r="AG53" s="303">
        <f t="shared" si="17"/>
        <v>4.5164638158306089E-3</v>
      </c>
      <c r="AH53" s="303">
        <f t="shared" si="18"/>
        <v>4.4741653787638168E-3</v>
      </c>
      <c r="AI53" s="303">
        <f t="shared" si="19"/>
        <v>4.4038279934785962E-3</v>
      </c>
      <c r="AJ53" s="303">
        <f t="shared" si="20"/>
        <v>4.3317007014982648E-3</v>
      </c>
      <c r="AK53" s="303">
        <f t="shared" si="21"/>
        <v>4.2720887139681262E-3</v>
      </c>
      <c r="AL53" s="303">
        <f t="shared" si="22"/>
        <v>4.2132902866180589E-3</v>
      </c>
      <c r="AM53" s="303">
        <f t="shared" si="23"/>
        <v>4.1662606722469818E-3</v>
      </c>
      <c r="AV53" s="41">
        <v>-67761.994000000006</v>
      </c>
      <c r="AW53" s="303">
        <f t="shared" si="30"/>
        <v>4.5355446954165124E-3</v>
      </c>
      <c r="AX53" s="41">
        <f t="shared" si="31"/>
        <v>-66494.882382817828</v>
      </c>
    </row>
    <row r="54" spans="1:50" x14ac:dyDescent="0.2">
      <c r="A54" s="30">
        <v>165</v>
      </c>
      <c r="B54" s="47" t="s">
        <v>377</v>
      </c>
      <c r="C54" s="295">
        <v>0.9713046937919031</v>
      </c>
      <c r="D54" s="295">
        <v>1.0385917864007748</v>
      </c>
      <c r="E54" s="295">
        <v>0.97671043954372183</v>
      </c>
      <c r="F54" s="295">
        <v>0.98608611500920174</v>
      </c>
      <c r="G54" s="295">
        <v>0.98417488065032788</v>
      </c>
      <c r="H54" s="295">
        <v>0.98255226137423357</v>
      </c>
      <c r="I54" s="295">
        <v>0.98340646499907203</v>
      </c>
      <c r="J54" s="295">
        <v>0.97991019196974982</v>
      </c>
      <c r="L54" s="41">
        <v>-38115.801500000001</v>
      </c>
      <c r="M54" s="41">
        <f t="shared" si="24"/>
        <v>-37022.056904590463</v>
      </c>
      <c r="N54" s="41">
        <f t="shared" si="25"/>
        <v>-38450.804216769749</v>
      </c>
      <c r="O54" s="41">
        <f t="shared" si="5"/>
        <v>-37555.301887370777</v>
      </c>
      <c r="P54" s="41">
        <f t="shared" si="6"/>
        <v>-37032.761736115193</v>
      </c>
      <c r="Q54" s="41">
        <f t="shared" si="7"/>
        <v>-36446.7138617932</v>
      </c>
      <c r="R54" s="41">
        <f t="shared" si="8"/>
        <v>-35810.801124564532</v>
      </c>
      <c r="S54" s="41">
        <f t="shared" si="9"/>
        <v>-35216.573342692798</v>
      </c>
      <c r="T54" s="41">
        <f t="shared" si="26"/>
        <v>-34509.079144754876</v>
      </c>
      <c r="V54" s="41">
        <f t="shared" si="27"/>
        <v>-38115.801500000001</v>
      </c>
      <c r="W54" s="41">
        <f t="shared" si="28"/>
        <v>-37799.520099586858</v>
      </c>
      <c r="X54" s="41">
        <f t="shared" si="10"/>
        <v>-39758.131560139926</v>
      </c>
      <c r="Y54" s="41">
        <f t="shared" si="11"/>
        <v>-38794.626849654007</v>
      </c>
      <c r="Z54" s="41">
        <f t="shared" si="29"/>
        <v>-38217.810111670879</v>
      </c>
      <c r="AA54" s="41">
        <f t="shared" si="12"/>
        <v>-37430.775136061609</v>
      </c>
      <c r="AB54" s="41">
        <f t="shared" si="13"/>
        <v>-35810.801124564532</v>
      </c>
      <c r="AC54" s="41">
        <f t="shared" si="14"/>
        <v>-35216.573342692798</v>
      </c>
      <c r="AD54" s="41">
        <f t="shared" si="15"/>
        <v>-34509.079144754876</v>
      </c>
      <c r="AF54" s="303">
        <f t="shared" si="16"/>
        <v>2.6144604354862043E-3</v>
      </c>
      <c r="AG54" s="303">
        <f t="shared" si="17"/>
        <v>2.5641583585421582E-3</v>
      </c>
      <c r="AH54" s="303">
        <f t="shared" si="18"/>
        <v>2.5170176942504591E-3</v>
      </c>
      <c r="AI54" s="303">
        <f t="shared" si="19"/>
        <v>2.491122657040064E-3</v>
      </c>
      <c r="AJ54" s="303">
        <f t="shared" si="20"/>
        <v>2.4699177712953391E-3</v>
      </c>
      <c r="AK54" s="303">
        <f t="shared" si="21"/>
        <v>2.4451553095010733E-3</v>
      </c>
      <c r="AL54" s="303">
        <f t="shared" si="22"/>
        <v>2.4213981353371403E-3</v>
      </c>
      <c r="AM54" s="303">
        <f t="shared" si="23"/>
        <v>2.3889977523423051E-3</v>
      </c>
      <c r="AV54" s="41">
        <v>-41058.851990000003</v>
      </c>
      <c r="AW54" s="303">
        <f t="shared" si="30"/>
        <v>2.7482110155013471E-3</v>
      </c>
      <c r="AX54" s="41">
        <f t="shared" si="31"/>
        <v>-40291.074283448259</v>
      </c>
    </row>
    <row r="55" spans="1:50" x14ac:dyDescent="0.2">
      <c r="A55" s="30">
        <v>167</v>
      </c>
      <c r="B55" s="47" t="s">
        <v>378</v>
      </c>
      <c r="C55" s="295">
        <v>0.99513286366600806</v>
      </c>
      <c r="D55" s="295">
        <v>1.0940005842384235</v>
      </c>
      <c r="E55" s="295">
        <v>0.99865824133629011</v>
      </c>
      <c r="F55" s="295">
        <v>1.0001715280869534</v>
      </c>
      <c r="G55" s="295">
        <v>0.99138263118083358</v>
      </c>
      <c r="H55" s="295">
        <v>0.9924675347141485</v>
      </c>
      <c r="I55" s="295">
        <v>0.99445456625281448</v>
      </c>
      <c r="J55" s="295">
        <v>0.99355889671695052</v>
      </c>
      <c r="L55" s="41">
        <v>-171110.08838999999</v>
      </c>
      <c r="M55" s="41">
        <f t="shared" si="24"/>
        <v>-170277.27226168444</v>
      </c>
      <c r="N55" s="41">
        <f t="shared" si="25"/>
        <v>-186283.43533680789</v>
      </c>
      <c r="O55" s="41">
        <f t="shared" si="5"/>
        <v>-186033.4879235391</v>
      </c>
      <c r="P55" s="41">
        <f t="shared" si="6"/>
        <v>-186065.3978918319</v>
      </c>
      <c r="Q55" s="41">
        <f t="shared" si="7"/>
        <v>-184462.00373371303</v>
      </c>
      <c r="R55" s="41">
        <f t="shared" si="8"/>
        <v>-183072.55009403024</v>
      </c>
      <c r="S55" s="41">
        <f t="shared" si="9"/>
        <v>-182057.33339655551</v>
      </c>
      <c r="T55" s="41">
        <f t="shared" si="26"/>
        <v>-180884.68330871171</v>
      </c>
      <c r="V55" s="41">
        <f t="shared" si="27"/>
        <v>-171110.08838999999</v>
      </c>
      <c r="W55" s="41">
        <f t="shared" si="28"/>
        <v>-173853.09497917979</v>
      </c>
      <c r="X55" s="41">
        <f t="shared" si="10"/>
        <v>-192617.07213825936</v>
      </c>
      <c r="Y55" s="41">
        <f t="shared" si="11"/>
        <v>-192172.59302501587</v>
      </c>
      <c r="Z55" s="41">
        <f t="shared" si="29"/>
        <v>-192019.49062437052</v>
      </c>
      <c r="AA55" s="41">
        <f t="shared" si="12"/>
        <v>-189442.47783452328</v>
      </c>
      <c r="AB55" s="41">
        <f t="shared" si="13"/>
        <v>-183072.55009403024</v>
      </c>
      <c r="AC55" s="41">
        <f t="shared" si="14"/>
        <v>-182057.33339655551</v>
      </c>
      <c r="AD55" s="41">
        <f t="shared" si="15"/>
        <v>-180884.68330871171</v>
      </c>
      <c r="AF55" s="303">
        <f t="shared" si="16"/>
        <v>1.2024809765107541E-2</v>
      </c>
      <c r="AG55" s="303">
        <f t="shared" si="17"/>
        <v>1.2422632959351709E-2</v>
      </c>
      <c r="AH55" s="303">
        <f t="shared" si="18"/>
        <v>1.2468268321500074E-2</v>
      </c>
      <c r="AI55" s="303">
        <f t="shared" si="19"/>
        <v>1.2516261457418926E-2</v>
      </c>
      <c r="AJ55" s="303">
        <f t="shared" si="20"/>
        <v>1.2500605208972027E-2</v>
      </c>
      <c r="AK55" s="303">
        <f t="shared" si="21"/>
        <v>1.2500162069238341E-2</v>
      </c>
      <c r="AL55" s="303">
        <f t="shared" si="22"/>
        <v>1.2517779152477976E-2</v>
      </c>
      <c r="AM55" s="303">
        <f t="shared" si="23"/>
        <v>1.2522301741086679E-2</v>
      </c>
      <c r="AV55" s="41">
        <v>-176595</v>
      </c>
      <c r="AW55" s="303">
        <f t="shared" si="30"/>
        <v>1.1820114317873805E-2</v>
      </c>
      <c r="AX55" s="41">
        <f t="shared" si="31"/>
        <v>-173292.77167365694</v>
      </c>
    </row>
    <row r="56" spans="1:50" x14ac:dyDescent="0.2">
      <c r="A56" s="30">
        <v>169</v>
      </c>
      <c r="B56" s="47" t="s">
        <v>379</v>
      </c>
      <c r="C56" s="295">
        <v>1.0121580883914787</v>
      </c>
      <c r="D56" s="295">
        <v>1.0329401752469805</v>
      </c>
      <c r="E56" s="295">
        <v>1.0055227951524659</v>
      </c>
      <c r="F56" s="295">
        <v>1.0057607439986274</v>
      </c>
      <c r="G56" s="295">
        <v>1.0058663331237645</v>
      </c>
      <c r="H56" s="295">
        <v>1.012022851294317</v>
      </c>
      <c r="I56" s="295">
        <v>0.99064132246398406</v>
      </c>
      <c r="J56" s="295">
        <v>0.98233673453772929</v>
      </c>
      <c r="L56" s="41">
        <v>-11937.6371</v>
      </c>
      <c r="M56" s="41">
        <f t="shared" si="24"/>
        <v>-12082.775947047196</v>
      </c>
      <c r="N56" s="41">
        <f t="shared" si="25"/>
        <v>-12480.784704212931</v>
      </c>
      <c r="O56" s="41">
        <f t="shared" si="5"/>
        <v>-12549.713521476328</v>
      </c>
      <c r="P56" s="41">
        <f t="shared" si="6"/>
        <v>-12622.009208329664</v>
      </c>
      <c r="Q56" s="41">
        <f t="shared" si="7"/>
        <v>-12696.054119036949</v>
      </c>
      <c r="R56" s="41">
        <f t="shared" si="8"/>
        <v>-12848.696889734732</v>
      </c>
      <c r="S56" s="41">
        <f t="shared" si="9"/>
        <v>-12728.450078785694</v>
      </c>
      <c r="T56" s="41">
        <f t="shared" si="26"/>
        <v>-12503.624086120843</v>
      </c>
      <c r="V56" s="41">
        <f t="shared" si="27"/>
        <v>-11937.6371</v>
      </c>
      <c r="W56" s="41">
        <f t="shared" si="28"/>
        <v>-12336.514241935185</v>
      </c>
      <c r="X56" s="41">
        <f t="shared" si="10"/>
        <v>-12905.131384156171</v>
      </c>
      <c r="Y56" s="41">
        <f t="shared" si="11"/>
        <v>-12963.854067685046</v>
      </c>
      <c r="Z56" s="41">
        <f t="shared" si="29"/>
        <v>-13025.913502996214</v>
      </c>
      <c r="AA56" s="41">
        <f t="shared" si="12"/>
        <v>-13038.847580250946</v>
      </c>
      <c r="AB56" s="41">
        <f t="shared" si="13"/>
        <v>-12848.696889734732</v>
      </c>
      <c r="AC56" s="41">
        <f t="shared" si="14"/>
        <v>-12728.450078785694</v>
      </c>
      <c r="AD56" s="41">
        <f t="shared" si="15"/>
        <v>-12503.624086120843</v>
      </c>
      <c r="AF56" s="303">
        <f t="shared" si="16"/>
        <v>8.5327348898548978E-4</v>
      </c>
      <c r="AG56" s="303">
        <f t="shared" si="17"/>
        <v>8.3230270659762149E-4</v>
      </c>
      <c r="AH56" s="303">
        <f t="shared" si="18"/>
        <v>8.4110230523676407E-4</v>
      </c>
      <c r="AI56" s="303">
        <f t="shared" si="19"/>
        <v>8.4905828358932376E-4</v>
      </c>
      <c r="AJ56" s="303">
        <f t="shared" si="20"/>
        <v>8.6038510393139482E-4</v>
      </c>
      <c r="AK56" s="303">
        <f t="shared" si="21"/>
        <v>8.7730680223610459E-4</v>
      </c>
      <c r="AL56" s="303">
        <f t="shared" si="22"/>
        <v>8.7517445228380323E-4</v>
      </c>
      <c r="AM56" s="303">
        <f t="shared" si="23"/>
        <v>8.6560205540622175E-4</v>
      </c>
      <c r="AV56" s="41">
        <v>-12216.86</v>
      </c>
      <c r="AW56" s="303">
        <f t="shared" si="30"/>
        <v>8.1771670661943876E-4</v>
      </c>
      <c r="AX56" s="41">
        <f t="shared" si="31"/>
        <v>-11988.41150966354</v>
      </c>
    </row>
    <row r="57" spans="1:50" x14ac:dyDescent="0.2">
      <c r="A57" s="30">
        <v>171</v>
      </c>
      <c r="B57" s="47" t="s">
        <v>380</v>
      </c>
      <c r="C57" s="295">
        <v>0.99092724747718797</v>
      </c>
      <c r="D57" s="295">
        <v>1.0709885204326355</v>
      </c>
      <c r="E57" s="295">
        <v>0.98435906924301619</v>
      </c>
      <c r="F57" s="295">
        <v>1.0007556072168344</v>
      </c>
      <c r="G57" s="295">
        <v>0.99315437830897824</v>
      </c>
      <c r="H57" s="295">
        <v>0.99016054359112116</v>
      </c>
      <c r="I57" s="295">
        <v>0.98710356083888218</v>
      </c>
      <c r="J57" s="295">
        <v>0.99020967437965046</v>
      </c>
      <c r="L57" s="41">
        <v>-11001.687260000001</v>
      </c>
      <c r="M57" s="41">
        <f t="shared" si="24"/>
        <v>-10901.871674156646</v>
      </c>
      <c r="N57" s="41">
        <f t="shared" si="25"/>
        <v>-11675.779414251485</v>
      </c>
      <c r="O57" s="41">
        <f t="shared" si="5"/>
        <v>-11493.159356899361</v>
      </c>
      <c r="P57" s="41">
        <f t="shared" si="6"/>
        <v>-11501.843671053663</v>
      </c>
      <c r="Q57" s="41">
        <f t="shared" si="7"/>
        <v>-11423.106400532357</v>
      </c>
      <c r="R57" s="41">
        <f t="shared" si="8"/>
        <v>-11310.709243050334</v>
      </c>
      <c r="S57" s="41">
        <f t="shared" si="9"/>
        <v>-11164.841369428243</v>
      </c>
      <c r="T57" s="41">
        <f t="shared" si="26"/>
        <v>-11055.533936921991</v>
      </c>
      <c r="V57" s="41">
        <f t="shared" si="27"/>
        <v>-11001.687260000001</v>
      </c>
      <c r="W57" s="41">
        <f t="shared" si="28"/>
        <v>-11130.810979313934</v>
      </c>
      <c r="X57" s="41">
        <f t="shared" si="10"/>
        <v>-12072.755914336036</v>
      </c>
      <c r="Y57" s="41">
        <f t="shared" si="11"/>
        <v>-11872.433615677039</v>
      </c>
      <c r="Z57" s="41">
        <f t="shared" si="29"/>
        <v>-11869.90266852738</v>
      </c>
      <c r="AA57" s="41">
        <f t="shared" si="12"/>
        <v>-11731.530273346729</v>
      </c>
      <c r="AB57" s="41">
        <f t="shared" si="13"/>
        <v>-11310.709243050334</v>
      </c>
      <c r="AC57" s="41">
        <f t="shared" si="14"/>
        <v>-11164.841369428243</v>
      </c>
      <c r="AD57" s="41">
        <f t="shared" si="15"/>
        <v>-11055.533936921991</v>
      </c>
      <c r="AF57" s="303">
        <f t="shared" si="16"/>
        <v>7.6987921655147684E-4</v>
      </c>
      <c r="AG57" s="303">
        <f t="shared" si="17"/>
        <v>7.7861953702622821E-4</v>
      </c>
      <c r="AH57" s="303">
        <f t="shared" si="18"/>
        <v>7.7029031881871478E-4</v>
      </c>
      <c r="AI57" s="303">
        <f t="shared" si="19"/>
        <v>7.7370690230623741E-4</v>
      </c>
      <c r="AJ57" s="303">
        <f t="shared" si="20"/>
        <v>7.741200923918974E-4</v>
      </c>
      <c r="AK57" s="303">
        <f t="shared" si="21"/>
        <v>7.7229327162123631E-4</v>
      </c>
      <c r="AL57" s="303">
        <f t="shared" si="22"/>
        <v>7.6766486648758496E-4</v>
      </c>
      <c r="AM57" s="303">
        <f t="shared" si="23"/>
        <v>7.6535353538302359E-4</v>
      </c>
      <c r="AV57" s="41">
        <v>-11056.772000000001</v>
      </c>
      <c r="AW57" s="303">
        <f t="shared" si="30"/>
        <v>7.4006800320884625E-4</v>
      </c>
      <c r="AX57" s="41">
        <f t="shared" si="31"/>
        <v>-10850.016510341084</v>
      </c>
    </row>
    <row r="58" spans="1:50" x14ac:dyDescent="0.2">
      <c r="A58" s="30">
        <v>172</v>
      </c>
      <c r="B58" s="47" t="s">
        <v>381</v>
      </c>
      <c r="C58" s="295">
        <v>0.98448961209286068</v>
      </c>
      <c r="D58" s="295">
        <v>1.0719548959176877</v>
      </c>
      <c r="E58" s="295">
        <v>1.0018189337715553</v>
      </c>
      <c r="F58" s="295">
        <v>0.98758379674339491</v>
      </c>
      <c r="G58" s="295">
        <v>0.99743082959068319</v>
      </c>
      <c r="H58" s="295">
        <v>0.98981418117314246</v>
      </c>
      <c r="I58" s="295">
        <v>0.99601473262246454</v>
      </c>
      <c r="J58" s="295">
        <v>0.97899292805825877</v>
      </c>
      <c r="L58" s="41">
        <v>-9967.0460000000003</v>
      </c>
      <c r="M58" s="41">
        <f t="shared" si="24"/>
        <v>-9812.4532502516995</v>
      </c>
      <c r="N58" s="41">
        <f t="shared" si="25"/>
        <v>-10518.507302570737</v>
      </c>
      <c r="O58" s="41">
        <f t="shared" si="5"/>
        <v>-10537.639770729735</v>
      </c>
      <c r="P58" s="41">
        <f t="shared" si="6"/>
        <v>-10406.80229349147</v>
      </c>
      <c r="Q58" s="41">
        <f t="shared" si="7"/>
        <v>-10380.065444983422</v>
      </c>
      <c r="R58" s="41">
        <f t="shared" si="8"/>
        <v>-10274.335978949897</v>
      </c>
      <c r="S58" s="41">
        <f t="shared" si="9"/>
        <v>-10233.39000294715</v>
      </c>
      <c r="T58" s="41">
        <f t="shared" si="26"/>
        <v>-10018.416442947344</v>
      </c>
      <c r="V58" s="41">
        <f t="shared" si="27"/>
        <v>-9967.0460000000003</v>
      </c>
      <c r="W58" s="41">
        <f t="shared" si="28"/>
        <v>-10018.514768506984</v>
      </c>
      <c r="X58" s="41">
        <f t="shared" si="10"/>
        <v>-10876.136550858142</v>
      </c>
      <c r="Y58" s="41">
        <f t="shared" si="11"/>
        <v>-10885.381883163815</v>
      </c>
      <c r="Z58" s="41">
        <f t="shared" si="29"/>
        <v>-10739.819966883197</v>
      </c>
      <c r="AA58" s="41">
        <f t="shared" si="12"/>
        <v>-10660.327211997974</v>
      </c>
      <c r="AB58" s="41">
        <f t="shared" si="13"/>
        <v>-10274.335978949897</v>
      </c>
      <c r="AC58" s="41">
        <f t="shared" si="14"/>
        <v>-10233.39000294715</v>
      </c>
      <c r="AD58" s="41">
        <f t="shared" si="15"/>
        <v>-10018.416442947344</v>
      </c>
      <c r="AF58" s="303">
        <f t="shared" si="16"/>
        <v>6.929455827901377E-4</v>
      </c>
      <c r="AG58" s="303">
        <f t="shared" si="17"/>
        <v>7.0144484539832921E-4</v>
      </c>
      <c r="AH58" s="303">
        <f t="shared" si="18"/>
        <v>7.0624983492632973E-4</v>
      </c>
      <c r="AI58" s="303">
        <f t="shared" si="19"/>
        <v>7.000455749259127E-4</v>
      </c>
      <c r="AJ58" s="303">
        <f t="shared" si="20"/>
        <v>7.0343538259698174E-4</v>
      </c>
      <c r="AK58" s="303">
        <f t="shared" si="21"/>
        <v>7.0152988432572365E-4</v>
      </c>
      <c r="AL58" s="303">
        <f t="shared" si="22"/>
        <v>7.0362074214853898E-4</v>
      </c>
      <c r="AM58" s="303">
        <f t="shared" si="23"/>
        <v>6.9355586869863451E-4</v>
      </c>
      <c r="AV58" s="41">
        <v>-10705.426800000001</v>
      </c>
      <c r="AW58" s="303">
        <f t="shared" si="30"/>
        <v>7.1655125341957564E-4</v>
      </c>
      <c r="AX58" s="41">
        <f t="shared" si="31"/>
        <v>-10505.241270259339</v>
      </c>
    </row>
    <row r="59" spans="1:50" x14ac:dyDescent="0.2">
      <c r="A59" s="30">
        <v>176</v>
      </c>
      <c r="B59" s="47" t="s">
        <v>382</v>
      </c>
      <c r="C59" s="295">
        <v>0.99453160027207743</v>
      </c>
      <c r="D59" s="295">
        <v>1.1059222581826933</v>
      </c>
      <c r="E59" s="295">
        <v>0.99234111439273276</v>
      </c>
      <c r="F59" s="295">
        <v>0.99240275598456673</v>
      </c>
      <c r="G59" s="295">
        <v>0.9959494055839837</v>
      </c>
      <c r="H59" s="295">
        <v>0.99198065981871242</v>
      </c>
      <c r="I59" s="295">
        <v>0.99655366745904617</v>
      </c>
      <c r="J59" s="295">
        <v>0.99055682472253059</v>
      </c>
      <c r="L59" s="41">
        <v>-9414.9894399999994</v>
      </c>
      <c r="M59" s="41">
        <f t="shared" si="24"/>
        <v>-9363.5045143079096</v>
      </c>
      <c r="N59" s="41">
        <f t="shared" si="25"/>
        <v>-10355.308056967246</v>
      </c>
      <c r="O59" s="41">
        <f t="shared" si="5"/>
        <v>-10275.99793713092</v>
      </c>
      <c r="P59" s="41">
        <f t="shared" si="6"/>
        <v>-10197.928673300448</v>
      </c>
      <c r="Q59" s="41">
        <f t="shared" si="7"/>
        <v>-10156.621000361445</v>
      </c>
      <c r="R59" s="41">
        <f t="shared" si="8"/>
        <v>-10075.171601467136</v>
      </c>
      <c r="S59" s="41">
        <f t="shared" si="9"/>
        <v>-10040.449209721306</v>
      </c>
      <c r="T59" s="41">
        <f t="shared" si="26"/>
        <v>-9945.635487969379</v>
      </c>
      <c r="V59" s="41">
        <f t="shared" si="27"/>
        <v>-9414.9894399999994</v>
      </c>
      <c r="W59" s="41">
        <f t="shared" si="28"/>
        <v>-9560.1381091083749</v>
      </c>
      <c r="X59" s="41">
        <f t="shared" si="10"/>
        <v>-10707.388530904132</v>
      </c>
      <c r="Y59" s="41">
        <f t="shared" si="11"/>
        <v>-10615.10586905624</v>
      </c>
      <c r="Z59" s="41">
        <f t="shared" si="29"/>
        <v>-10524.262390846063</v>
      </c>
      <c r="AA59" s="41">
        <f t="shared" si="12"/>
        <v>-10430.849767371203</v>
      </c>
      <c r="AB59" s="41">
        <f t="shared" si="13"/>
        <v>-10075.171601467136</v>
      </c>
      <c r="AC59" s="41">
        <f t="shared" si="14"/>
        <v>-10040.449209721306</v>
      </c>
      <c r="AD59" s="41">
        <f t="shared" si="15"/>
        <v>-9945.635487969379</v>
      </c>
      <c r="AF59" s="303">
        <f t="shared" si="16"/>
        <v>6.6124127444467014E-4</v>
      </c>
      <c r="AG59" s="303">
        <f t="shared" si="17"/>
        <v>6.9056162154265092E-4</v>
      </c>
      <c r="AH59" s="303">
        <f t="shared" si="18"/>
        <v>6.8871417174089255E-4</v>
      </c>
      <c r="AI59" s="303">
        <f t="shared" si="19"/>
        <v>6.8599504822138132E-4</v>
      </c>
      <c r="AJ59" s="303">
        <f t="shared" si="20"/>
        <v>6.8829301868560643E-4</v>
      </c>
      <c r="AK59" s="303">
        <f t="shared" si="21"/>
        <v>6.8793097506447849E-4</v>
      </c>
      <c r="AL59" s="303">
        <f t="shared" si="22"/>
        <v>6.9035464517762325E-4</v>
      </c>
      <c r="AM59" s="303">
        <f t="shared" si="23"/>
        <v>6.8851738195355671E-4</v>
      </c>
      <c r="AV59" s="41">
        <v>-10177.449000000001</v>
      </c>
      <c r="AW59" s="303">
        <f t="shared" si="30"/>
        <v>6.8121187261434605E-4</v>
      </c>
      <c r="AX59" s="41">
        <f t="shared" si="31"/>
        <v>-9987.1363616030376</v>
      </c>
    </row>
    <row r="60" spans="1:50" x14ac:dyDescent="0.2">
      <c r="A60" s="30">
        <v>177</v>
      </c>
      <c r="B60" s="47" t="s">
        <v>383</v>
      </c>
      <c r="C60" s="295">
        <v>0.99524755617055827</v>
      </c>
      <c r="D60" s="295">
        <v>1.0552707635903995</v>
      </c>
      <c r="E60" s="295">
        <v>0.99681901929202632</v>
      </c>
      <c r="F60" s="295">
        <v>0.99802956669367526</v>
      </c>
      <c r="G60" s="295">
        <v>0.99654946111252585</v>
      </c>
      <c r="H60" s="295">
        <v>0.99669489941112022</v>
      </c>
      <c r="I60" s="295">
        <v>0.99699975478354363</v>
      </c>
      <c r="J60" s="295">
        <v>0.98767784895256661</v>
      </c>
      <c r="L60" s="41">
        <v>-4467.6835599999995</v>
      </c>
      <c r="M60" s="41">
        <f t="shared" si="24"/>
        <v>-4446.4511448333797</v>
      </c>
      <c r="N60" s="41">
        <f t="shared" si="25"/>
        <v>-4692.2098948757266</v>
      </c>
      <c r="O60" s="41">
        <f t="shared" si="5"/>
        <v>-4677.2840657223633</v>
      </c>
      <c r="P60" s="41">
        <f t="shared" si="6"/>
        <v>-4668.0677894161217</v>
      </c>
      <c r="Q60" s="41">
        <f t="shared" si="7"/>
        <v>-4651.9604399793761</v>
      </c>
      <c r="R60" s="41">
        <f t="shared" si="8"/>
        <v>-4636.5852427897553</v>
      </c>
      <c r="S60" s="41">
        <f t="shared" si="9"/>
        <v>-4622.674350094383</v>
      </c>
      <c r="T60" s="41">
        <f t="shared" si="26"/>
        <v>-4565.7130585094237</v>
      </c>
      <c r="V60" s="41">
        <f t="shared" si="27"/>
        <v>-4467.6835599999995</v>
      </c>
      <c r="W60" s="41">
        <f t="shared" si="28"/>
        <v>-4539.8266188748803</v>
      </c>
      <c r="X60" s="41">
        <f t="shared" si="10"/>
        <v>-4851.7450313015015</v>
      </c>
      <c r="Y60" s="41">
        <f t="shared" si="11"/>
        <v>-4831.6344398912006</v>
      </c>
      <c r="Z60" s="41">
        <f t="shared" si="29"/>
        <v>-4817.4459586774374</v>
      </c>
      <c r="AA60" s="41">
        <f t="shared" si="12"/>
        <v>-4777.5633718588188</v>
      </c>
      <c r="AB60" s="41">
        <f t="shared" si="13"/>
        <v>-4636.5852427897553</v>
      </c>
      <c r="AC60" s="41">
        <f t="shared" si="14"/>
        <v>-4622.674350094383</v>
      </c>
      <c r="AD60" s="41">
        <f t="shared" si="15"/>
        <v>-4565.7130585094237</v>
      </c>
      <c r="AF60" s="303">
        <f t="shared" si="16"/>
        <v>3.1400390924923968E-4</v>
      </c>
      <c r="AG60" s="303">
        <f t="shared" si="17"/>
        <v>3.1290812941520802E-4</v>
      </c>
      <c r="AH60" s="303">
        <f t="shared" si="18"/>
        <v>3.1347922031796832E-4</v>
      </c>
      <c r="AI60" s="303">
        <f t="shared" si="19"/>
        <v>3.1401194211969411E-4</v>
      </c>
      <c r="AJ60" s="303">
        <f t="shared" si="20"/>
        <v>3.1525365512068235E-4</v>
      </c>
      <c r="AK60" s="303">
        <f t="shared" si="21"/>
        <v>3.1658523876431586E-4</v>
      </c>
      <c r="AL60" s="303">
        <f t="shared" si="22"/>
        <v>3.1784282197665627E-4</v>
      </c>
      <c r="AM60" s="303">
        <f t="shared" si="23"/>
        <v>3.1607560980881117E-4</v>
      </c>
      <c r="AV60" s="41">
        <v>-4788.8100000000004</v>
      </c>
      <c r="AW60" s="303">
        <f t="shared" si="30"/>
        <v>3.2053162120432212E-4</v>
      </c>
      <c r="AX60" s="41">
        <f t="shared" si="31"/>
        <v>-4699.261915221412</v>
      </c>
    </row>
    <row r="61" spans="1:50" x14ac:dyDescent="0.2">
      <c r="A61" s="30">
        <v>178</v>
      </c>
      <c r="B61" s="47" t="s">
        <v>384</v>
      </c>
      <c r="C61" s="295">
        <v>0.95974687084491506</v>
      </c>
      <c r="D61" s="295">
        <v>1.030371106705724</v>
      </c>
      <c r="E61" s="295">
        <v>0.97873413773025408</v>
      </c>
      <c r="F61" s="295">
        <v>0.98312248659625001</v>
      </c>
      <c r="G61" s="295">
        <v>0.96946910699995481</v>
      </c>
      <c r="H61" s="295">
        <v>0.97661423912813472</v>
      </c>
      <c r="I61" s="295">
        <v>0.9781076898257155</v>
      </c>
      <c r="J61" s="295">
        <v>0.97017500133111467</v>
      </c>
      <c r="L61" s="41">
        <v>-15045.57489</v>
      </c>
      <c r="M61" s="41">
        <f t="shared" si="24"/>
        <v>-14439.943420740326</v>
      </c>
      <c r="N61" s="41">
        <f t="shared" si="25"/>
        <v>-14878.500483196247</v>
      </c>
      <c r="O61" s="41">
        <f t="shared" si="5"/>
        <v>-14562.096341140248</v>
      </c>
      <c r="P61" s="41">
        <f t="shared" si="6"/>
        <v>-14316.324364955955</v>
      </c>
      <c r="Q61" s="41">
        <f t="shared" si="7"/>
        <v>-13879.234197615546</v>
      </c>
      <c r="R61" s="41">
        <f t="shared" si="8"/>
        <v>-13554.657745585493</v>
      </c>
      <c r="S61" s="41">
        <f t="shared" si="9"/>
        <v>-13257.914973912868</v>
      </c>
      <c r="T61" s="41">
        <f t="shared" si="26"/>
        <v>-12862.497677463722</v>
      </c>
      <c r="V61" s="41">
        <f t="shared" si="27"/>
        <v>-15045.57489</v>
      </c>
      <c r="W61" s="41">
        <f t="shared" si="28"/>
        <v>-14743.182232575871</v>
      </c>
      <c r="X61" s="41">
        <f t="shared" si="10"/>
        <v>-15384.36949962492</v>
      </c>
      <c r="Y61" s="41">
        <f t="shared" si="11"/>
        <v>-15042.645520397875</v>
      </c>
      <c r="Z61" s="41">
        <f t="shared" si="29"/>
        <v>-14774.446744634546</v>
      </c>
      <c r="AA61" s="41">
        <f t="shared" si="12"/>
        <v>-14253.973520951164</v>
      </c>
      <c r="AB61" s="41">
        <f t="shared" si="13"/>
        <v>-13554.657745585493</v>
      </c>
      <c r="AC61" s="41">
        <f t="shared" si="14"/>
        <v>-13257.914973912868</v>
      </c>
      <c r="AD61" s="41">
        <f t="shared" si="15"/>
        <v>-12862.497677463722</v>
      </c>
      <c r="AF61" s="303">
        <f t="shared" si="16"/>
        <v>1.0197342860089401E-3</v>
      </c>
      <c r="AG61" s="303">
        <f t="shared" si="17"/>
        <v>9.9219852883915163E-4</v>
      </c>
      <c r="AH61" s="303">
        <f t="shared" si="18"/>
        <v>9.7597548985102651E-4</v>
      </c>
      <c r="AI61" s="303">
        <f t="shared" si="19"/>
        <v>9.6303160550665636E-4</v>
      </c>
      <c r="AJ61" s="303">
        <f t="shared" si="20"/>
        <v>9.4056674976661446E-4</v>
      </c>
      <c r="AK61" s="303">
        <f t="shared" si="21"/>
        <v>9.2550968742091352E-4</v>
      </c>
      <c r="AL61" s="303">
        <f t="shared" si="22"/>
        <v>9.1157905352969438E-4</v>
      </c>
      <c r="AM61" s="303">
        <f t="shared" si="23"/>
        <v>8.9044618988737788E-4</v>
      </c>
      <c r="AV61" s="41">
        <v>-14911.385</v>
      </c>
      <c r="AW61" s="303">
        <f t="shared" si="30"/>
        <v>9.9807058715042159E-4</v>
      </c>
      <c r="AX61" s="41">
        <f t="shared" si="31"/>
        <v>-14632.550390118595</v>
      </c>
    </row>
    <row r="62" spans="1:50" x14ac:dyDescent="0.2">
      <c r="A62" s="30">
        <v>179</v>
      </c>
      <c r="B62" s="47" t="s">
        <v>385</v>
      </c>
      <c r="C62" s="295">
        <v>0.99230500152896628</v>
      </c>
      <c r="D62" s="295">
        <v>1.0982380797551548</v>
      </c>
      <c r="E62" s="295">
        <v>0.99728457749750588</v>
      </c>
      <c r="F62" s="295">
        <v>0.99930191886405761</v>
      </c>
      <c r="G62" s="295">
        <v>0.99352667860802935</v>
      </c>
      <c r="H62" s="295">
        <v>0.99469395336154187</v>
      </c>
      <c r="I62" s="295">
        <v>0.99523059455277652</v>
      </c>
      <c r="J62" s="295">
        <v>0.99427338292531686</v>
      </c>
      <c r="L62" s="41">
        <v>-336756.63863</v>
      </c>
      <c r="M62" s="41">
        <f t="shared" si="24"/>
        <v>-334165.2968106317</v>
      </c>
      <c r="N62" s="41">
        <f t="shared" si="25"/>
        <v>-366993.05389011948</v>
      </c>
      <c r="O62" s="41">
        <f t="shared" si="5"/>
        <v>-365996.51269332721</v>
      </c>
      <c r="P62" s="41">
        <f t="shared" si="6"/>
        <v>-365741.01743199531</v>
      </c>
      <c r="Q62" s="41">
        <f t="shared" si="7"/>
        <v>-363373.45827993168</v>
      </c>
      <c r="R62" s="41">
        <f t="shared" si="8"/>
        <v>-361445.38176312053</v>
      </c>
      <c r="S62" s="41">
        <f t="shared" si="9"/>
        <v>-359721.50219046575</v>
      </c>
      <c r="T62" s="41">
        <f t="shared" si="26"/>
        <v>-357661.51489389117</v>
      </c>
      <c r="V62" s="41">
        <f t="shared" si="27"/>
        <v>-336756.63863</v>
      </c>
      <c r="W62" s="41">
        <f t="shared" si="28"/>
        <v>-341182.76804365491</v>
      </c>
      <c r="X62" s="41">
        <f t="shared" si="10"/>
        <v>-379470.81772238354</v>
      </c>
      <c r="Y62" s="41">
        <f t="shared" si="11"/>
        <v>-378074.39761220699</v>
      </c>
      <c r="Z62" s="41">
        <f t="shared" si="29"/>
        <v>-377444.72998981917</v>
      </c>
      <c r="AA62" s="41">
        <f t="shared" si="12"/>
        <v>-373184.54165348981</v>
      </c>
      <c r="AB62" s="41">
        <f t="shared" si="13"/>
        <v>-361445.38176312053</v>
      </c>
      <c r="AC62" s="41">
        <f t="shared" si="14"/>
        <v>-359721.50219046575</v>
      </c>
      <c r="AD62" s="41">
        <f t="shared" si="15"/>
        <v>-357661.51489389117</v>
      </c>
      <c r="AF62" s="303">
        <f t="shared" si="16"/>
        <v>2.3598417280687966E-2</v>
      </c>
      <c r="AG62" s="303">
        <f t="shared" si="17"/>
        <v>2.4473566309670236E-2</v>
      </c>
      <c r="AH62" s="303">
        <f t="shared" si="18"/>
        <v>2.4529684283881584E-2</v>
      </c>
      <c r="AI62" s="303">
        <f t="shared" si="19"/>
        <v>2.4602694814553825E-2</v>
      </c>
      <c r="AJ62" s="303">
        <f t="shared" si="20"/>
        <v>2.4625061277842489E-2</v>
      </c>
      <c r="AK62" s="303">
        <f t="shared" si="21"/>
        <v>2.4679428176950166E-2</v>
      </c>
      <c r="AL62" s="303">
        <f t="shared" si="22"/>
        <v>2.4733495964206337E-2</v>
      </c>
      <c r="AM62" s="303">
        <f t="shared" si="23"/>
        <v>2.4760224739602196E-2</v>
      </c>
      <c r="AV62" s="41">
        <v>-329573.09999999998</v>
      </c>
      <c r="AW62" s="303">
        <f t="shared" si="30"/>
        <v>2.2059467811070842E-2</v>
      </c>
      <c r="AX62" s="41">
        <f t="shared" si="31"/>
        <v>-323410.26624807785</v>
      </c>
    </row>
    <row r="63" spans="1:50" x14ac:dyDescent="0.2">
      <c r="A63" s="30">
        <v>181</v>
      </c>
      <c r="B63" s="47" t="s">
        <v>386</v>
      </c>
      <c r="C63" s="295">
        <v>0.99297691570463231</v>
      </c>
      <c r="D63" s="295">
        <v>1.0394999192591297</v>
      </c>
      <c r="E63" s="295">
        <v>0.99508349139402352</v>
      </c>
      <c r="F63" s="295">
        <v>0.99567433965332008</v>
      </c>
      <c r="G63" s="295">
        <v>0.98456642893288771</v>
      </c>
      <c r="H63" s="295">
        <v>0.99455090747760477</v>
      </c>
      <c r="I63" s="295">
        <v>0.99520607024540086</v>
      </c>
      <c r="J63" s="295">
        <v>0.99518297777924825</v>
      </c>
      <c r="L63" s="41">
        <v>-4236.8862800000006</v>
      </c>
      <c r="M63" s="41">
        <f t="shared" si="24"/>
        <v>-4207.1302705056742</v>
      </c>
      <c r="N63" s="41">
        <f t="shared" si="25"/>
        <v>-4373.311576503289</v>
      </c>
      <c r="O63" s="41">
        <f t="shared" si="5"/>
        <v>-4351.8101525007942</v>
      </c>
      <c r="P63" s="41">
        <f t="shared" si="6"/>
        <v>-4332.9856998878422</v>
      </c>
      <c r="Q63" s="41">
        <f t="shared" si="7"/>
        <v>-4266.1122571558417</v>
      </c>
      <c r="R63" s="41">
        <f t="shared" si="8"/>
        <v>-4242.865816755675</v>
      </c>
      <c r="S63" s="41">
        <f t="shared" si="9"/>
        <v>-4222.5258160719586</v>
      </c>
      <c r="T63" s="41">
        <f t="shared" si="26"/>
        <v>-4202.1858153882422</v>
      </c>
      <c r="V63" s="41">
        <f t="shared" si="27"/>
        <v>-4236.8862800000006</v>
      </c>
      <c r="W63" s="41">
        <f t="shared" si="28"/>
        <v>-4295.4800061862925</v>
      </c>
      <c r="X63" s="41">
        <f t="shared" si="10"/>
        <v>-4522.0041701044011</v>
      </c>
      <c r="Y63" s="41">
        <f t="shared" si="11"/>
        <v>-4495.4198875333204</v>
      </c>
      <c r="Z63" s="41">
        <f t="shared" si="29"/>
        <v>-4471.6412422842532</v>
      </c>
      <c r="AA63" s="41">
        <f t="shared" si="12"/>
        <v>-4381.2972880990492</v>
      </c>
      <c r="AB63" s="41">
        <f t="shared" si="13"/>
        <v>-4242.865816755675</v>
      </c>
      <c r="AC63" s="41">
        <f t="shared" si="14"/>
        <v>-4222.5258160719586</v>
      </c>
      <c r="AD63" s="41">
        <f t="shared" si="15"/>
        <v>-4202.1858153882422</v>
      </c>
      <c r="AF63" s="303">
        <f t="shared" si="16"/>
        <v>2.9710330972479313E-4</v>
      </c>
      <c r="AG63" s="303">
        <f t="shared" si="17"/>
        <v>2.9164184369671339E-4</v>
      </c>
      <c r="AH63" s="303">
        <f t="shared" si="18"/>
        <v>2.9166542686072231E-4</v>
      </c>
      <c r="AI63" s="303">
        <f t="shared" si="19"/>
        <v>2.9147161441904154E-4</v>
      </c>
      <c r="AJ63" s="303">
        <f t="shared" si="20"/>
        <v>2.8910552864234719E-4</v>
      </c>
      <c r="AK63" s="303">
        <f t="shared" si="21"/>
        <v>2.8970214442436334E-4</v>
      </c>
      <c r="AL63" s="303">
        <f t="shared" si="22"/>
        <v>2.9032967057742072E-4</v>
      </c>
      <c r="AM63" s="303">
        <f t="shared" si="23"/>
        <v>2.9090931188794364E-4</v>
      </c>
      <c r="AV63" s="41">
        <v>-4903.8810000000003</v>
      </c>
      <c r="AW63" s="303">
        <f t="shared" si="30"/>
        <v>3.2823372134686325E-4</v>
      </c>
      <c r="AX63" s="41">
        <f t="shared" si="31"/>
        <v>-4812.1811514923102</v>
      </c>
    </row>
    <row r="64" spans="1:50" x14ac:dyDescent="0.2">
      <c r="A64" s="30">
        <v>182</v>
      </c>
      <c r="B64" s="47" t="s">
        <v>387</v>
      </c>
      <c r="C64" s="295">
        <v>0.97007169820127503</v>
      </c>
      <c r="D64" s="295">
        <v>1.053584943034839</v>
      </c>
      <c r="E64" s="295">
        <v>0.97429090645878369</v>
      </c>
      <c r="F64" s="295">
        <v>0.97168284786738235</v>
      </c>
      <c r="G64" s="295">
        <v>0.9680995322556708</v>
      </c>
      <c r="H64" s="295">
        <v>0.96618660616074559</v>
      </c>
      <c r="I64" s="295">
        <v>0.97433360917784317</v>
      </c>
      <c r="J64" s="295">
        <v>0.97641271682623254</v>
      </c>
      <c r="L64" s="41">
        <v>-44922.604439999996</v>
      </c>
      <c r="M64" s="41">
        <f t="shared" si="24"/>
        <v>-43578.147176734936</v>
      </c>
      <c r="N64" s="41">
        <f t="shared" si="25"/>
        <v>-45913.279710764109</v>
      </c>
      <c r="O64" s="41">
        <f t="shared" si="5"/>
        <v>-44732.890907896042</v>
      </c>
      <c r="P64" s="41">
        <f t="shared" si="6"/>
        <v>-43466.18283072536</v>
      </c>
      <c r="Q64" s="41">
        <f t="shared" si="7"/>
        <v>-42079.591267364689</v>
      </c>
      <c r="R64" s="41">
        <f t="shared" si="8"/>
        <v>-40656.737475246438</v>
      </c>
      <c r="S64" s="41">
        <f t="shared" si="9"/>
        <v>-39613.225761652931</v>
      </c>
      <c r="T64" s="41">
        <f t="shared" si="26"/>
        <v>-38678.857388186443</v>
      </c>
      <c r="V64" s="41">
        <f t="shared" si="27"/>
        <v>-44922.604439999996</v>
      </c>
      <c r="W64" s="41">
        <f t="shared" si="28"/>
        <v>-44493.288267446369</v>
      </c>
      <c r="X64" s="41">
        <f t="shared" si="10"/>
        <v>-47474.331220930093</v>
      </c>
      <c r="Y64" s="41">
        <f t="shared" si="11"/>
        <v>-46209.076307856609</v>
      </c>
      <c r="Z64" s="41">
        <f t="shared" si="29"/>
        <v>-44857.10068130857</v>
      </c>
      <c r="AA64" s="41">
        <f t="shared" si="12"/>
        <v>-43215.740231583535</v>
      </c>
      <c r="AB64" s="41">
        <f t="shared" si="13"/>
        <v>-40656.737475246438</v>
      </c>
      <c r="AC64" s="41">
        <f t="shared" si="14"/>
        <v>-39613.225761652931</v>
      </c>
      <c r="AD64" s="41">
        <f t="shared" si="15"/>
        <v>-38678.857388186443</v>
      </c>
      <c r="AF64" s="303">
        <f t="shared" si="16"/>
        <v>3.0774449388100162E-3</v>
      </c>
      <c r="AG64" s="303">
        <f t="shared" si="17"/>
        <v>3.0618064390729735E-3</v>
      </c>
      <c r="AH64" s="303">
        <f t="shared" si="18"/>
        <v>2.9980714378976445E-3</v>
      </c>
      <c r="AI64" s="303">
        <f t="shared" si="19"/>
        <v>2.9238865207038838E-3</v>
      </c>
      <c r="AJ64" s="303">
        <f t="shared" si="20"/>
        <v>2.8516461230009681E-3</v>
      </c>
      <c r="AK64" s="303">
        <f t="shared" si="21"/>
        <v>2.7760350057178169E-3</v>
      </c>
      <c r="AL64" s="303">
        <f t="shared" si="22"/>
        <v>2.7237002890815954E-3</v>
      </c>
      <c r="AM64" s="303">
        <f t="shared" si="23"/>
        <v>2.6776635498136918E-3</v>
      </c>
      <c r="AV64" s="41">
        <v>-45294.989000000001</v>
      </c>
      <c r="AW64" s="303">
        <f t="shared" si="30"/>
        <v>3.0317503213954898E-3</v>
      </c>
      <c r="AX64" s="41">
        <f t="shared" si="31"/>
        <v>-44447.997886337682</v>
      </c>
    </row>
    <row r="65" spans="1:50" x14ac:dyDescent="0.2">
      <c r="A65" s="30">
        <v>186</v>
      </c>
      <c r="B65" s="47" t="s">
        <v>388</v>
      </c>
      <c r="C65" s="295">
        <v>1.0095968856852107</v>
      </c>
      <c r="D65" s="295">
        <v>1.0561291125521945</v>
      </c>
      <c r="E65" s="295">
        <v>1.0060151883967832</v>
      </c>
      <c r="F65" s="295">
        <v>1.0075630552456922</v>
      </c>
      <c r="G65" s="295">
        <v>1.0022864604233055</v>
      </c>
      <c r="H65" s="295">
        <v>1.0036687561599209</v>
      </c>
      <c r="I65" s="295">
        <v>1.001595019748853</v>
      </c>
      <c r="J65" s="295">
        <v>1.0029283340176476</v>
      </c>
      <c r="L65" s="41">
        <v>-102986.40999</v>
      </c>
      <c r="M65" s="41">
        <f t="shared" si="24"/>
        <v>-103974.75879380427</v>
      </c>
      <c r="N65" s="41">
        <f t="shared" si="25"/>
        <v>-109810.76973272899</v>
      </c>
      <c r="O65" s="41">
        <f t="shared" si="5"/>
        <v>-110471.30220066714</v>
      </c>
      <c r="P65" s="41">
        <f t="shared" si="6"/>
        <v>-111306.80276227434</v>
      </c>
      <c r="Q65" s="41">
        <f t="shared" si="7"/>
        <v>-111561.30136163495</v>
      </c>
      <c r="R65" s="41">
        <f t="shared" si="8"/>
        <v>-111970.59257321424</v>
      </c>
      <c r="S65" s="41">
        <f t="shared" si="9"/>
        <v>-112149.18787965928</v>
      </c>
      <c r="T65" s="41">
        <f t="shared" si="26"/>
        <v>-112477.59816157883</v>
      </c>
      <c r="V65" s="41">
        <f t="shared" si="27"/>
        <v>-102986.40999</v>
      </c>
      <c r="W65" s="41">
        <f t="shared" si="28"/>
        <v>-106158.22872847415</v>
      </c>
      <c r="X65" s="41">
        <f t="shared" si="10"/>
        <v>-113544.33590364178</v>
      </c>
      <c r="Y65" s="41">
        <f t="shared" si="11"/>
        <v>-114116.85517328915</v>
      </c>
      <c r="Z65" s="41">
        <f t="shared" si="29"/>
        <v>-114868.62045066712</v>
      </c>
      <c r="AA65" s="41">
        <f t="shared" si="12"/>
        <v>-114573.45649839909</v>
      </c>
      <c r="AB65" s="41">
        <f t="shared" si="13"/>
        <v>-111970.59257321424</v>
      </c>
      <c r="AC65" s="41">
        <f t="shared" si="14"/>
        <v>-112149.18787965928</v>
      </c>
      <c r="AD65" s="41">
        <f t="shared" si="15"/>
        <v>-112477.59816157883</v>
      </c>
      <c r="AF65" s="303">
        <f t="shared" si="16"/>
        <v>7.3425929265944342E-3</v>
      </c>
      <c r="AG65" s="303">
        <f t="shared" si="17"/>
        <v>7.3229210364687694E-3</v>
      </c>
      <c r="AH65" s="303">
        <f t="shared" si="18"/>
        <v>7.4039671729938944E-3</v>
      </c>
      <c r="AI65" s="303">
        <f t="shared" si="19"/>
        <v>7.4873945459320822E-3</v>
      </c>
      <c r="AJ65" s="303">
        <f t="shared" si="20"/>
        <v>7.5602766786278383E-3</v>
      </c>
      <c r="AK65" s="303">
        <f t="shared" si="21"/>
        <v>7.6453327024446887E-3</v>
      </c>
      <c r="AL65" s="303">
        <f t="shared" si="22"/>
        <v>7.711080569050538E-3</v>
      </c>
      <c r="AM65" s="303">
        <f t="shared" si="23"/>
        <v>7.7866096649442055E-3</v>
      </c>
      <c r="AV65" s="41">
        <v>-98441.727769999998</v>
      </c>
      <c r="AW65" s="303">
        <f t="shared" si="30"/>
        <v>6.5890454196914543E-3</v>
      </c>
      <c r="AX65" s="41">
        <f t="shared" si="31"/>
        <v>-96600.922186963988</v>
      </c>
    </row>
    <row r="66" spans="1:50" x14ac:dyDescent="0.2">
      <c r="A66" s="30">
        <v>202</v>
      </c>
      <c r="B66" s="47" t="s">
        <v>389</v>
      </c>
      <c r="C66" s="295">
        <v>1.0089864778901461</v>
      </c>
      <c r="D66" s="295">
        <v>1.0542829357013646</v>
      </c>
      <c r="E66" s="295">
        <v>0.99996163447104092</v>
      </c>
      <c r="F66" s="295">
        <v>1.0082774428871937</v>
      </c>
      <c r="G66" s="295">
        <v>1.0033098357565604</v>
      </c>
      <c r="H66" s="295">
        <v>1.0047178117805053</v>
      </c>
      <c r="I66" s="295">
        <v>1.003893330312444</v>
      </c>
      <c r="J66" s="295">
        <v>1.0023544358177146</v>
      </c>
      <c r="L66" s="41">
        <v>-91852.562189999997</v>
      </c>
      <c r="M66" s="41">
        <f t="shared" si="24"/>
        <v>-92677.9932092737</v>
      </c>
      <c r="N66" s="41">
        <f t="shared" si="25"/>
        <v>-97708.826755584203</v>
      </c>
      <c r="O66" s="41">
        <f t="shared" si="5"/>
        <v>-97705.078104761749</v>
      </c>
      <c r="P66" s="41">
        <f t="shared" si="6"/>
        <v>-98513.826308562711</v>
      </c>
      <c r="Q66" s="41">
        <f t="shared" si="7"/>
        <v>-98839.890893394375</v>
      </c>
      <c r="R66" s="41">
        <f t="shared" si="8"/>
        <v>-99306.198895035093</v>
      </c>
      <c r="S66" s="41">
        <f t="shared" si="9"/>
        <v>-99692.83072940672</v>
      </c>
      <c r="T66" s="41">
        <f t="shared" si="26"/>
        <v>-99927.55110084539</v>
      </c>
      <c r="V66" s="41">
        <f t="shared" si="27"/>
        <v>-91852.562189999997</v>
      </c>
      <c r="W66" s="41">
        <f t="shared" si="28"/>
        <v>-94624.231066668435</v>
      </c>
      <c r="X66" s="41">
        <f t="shared" si="10"/>
        <v>-101030.92686527407</v>
      </c>
      <c r="Y66" s="41">
        <f t="shared" si="11"/>
        <v>-100929.34568221887</v>
      </c>
      <c r="Z66" s="41">
        <f t="shared" si="29"/>
        <v>-101666.26875043672</v>
      </c>
      <c r="AA66" s="41">
        <f t="shared" si="12"/>
        <v>-101508.56794751601</v>
      </c>
      <c r="AB66" s="41">
        <f t="shared" si="13"/>
        <v>-99306.198895035093</v>
      </c>
      <c r="AC66" s="41">
        <f t="shared" si="14"/>
        <v>-99692.83072940672</v>
      </c>
      <c r="AD66" s="41">
        <f t="shared" si="15"/>
        <v>-99927.55110084539</v>
      </c>
      <c r="AF66" s="303">
        <f t="shared" si="16"/>
        <v>6.5448266991308479E-3</v>
      </c>
      <c r="AG66" s="303">
        <f t="shared" si="17"/>
        <v>6.5158820454374053E-3</v>
      </c>
      <c r="AH66" s="303">
        <f t="shared" si="18"/>
        <v>6.548353975301395E-3</v>
      </c>
      <c r="AI66" s="303">
        <f t="shared" si="19"/>
        <v>6.6268356245664673E-3</v>
      </c>
      <c r="AJ66" s="303">
        <f t="shared" si="20"/>
        <v>6.6981732278037524E-3</v>
      </c>
      <c r="AK66" s="303">
        <f t="shared" si="21"/>
        <v>6.7806100916296503E-3</v>
      </c>
      <c r="AL66" s="303">
        <f t="shared" si="22"/>
        <v>6.8546145045299996E-3</v>
      </c>
      <c r="AM66" s="303">
        <f t="shared" si="23"/>
        <v>6.9177938355180707E-3</v>
      </c>
      <c r="AV66" s="41">
        <v>-98015.236000000004</v>
      </c>
      <c r="AW66" s="303">
        <f t="shared" si="30"/>
        <v>6.5604988499865799E-3</v>
      </c>
      <c r="AX66" s="41">
        <f t="shared" si="31"/>
        <v>-96182.405575965357</v>
      </c>
    </row>
    <row r="67" spans="1:50" x14ac:dyDescent="0.2">
      <c r="A67" s="30">
        <v>204</v>
      </c>
      <c r="B67" s="47" t="s">
        <v>390</v>
      </c>
      <c r="C67" s="295">
        <v>0.99356192944416055</v>
      </c>
      <c r="D67" s="295">
        <v>1.0721987787341098</v>
      </c>
      <c r="E67" s="295">
        <v>1.0035147958212312</v>
      </c>
      <c r="F67" s="295">
        <v>0.98970343640974479</v>
      </c>
      <c r="G67" s="295">
        <v>0.99528106343025369</v>
      </c>
      <c r="H67" s="295">
        <v>0.99588254613317273</v>
      </c>
      <c r="I67" s="295">
        <v>0.99586552261326944</v>
      </c>
      <c r="J67" s="295">
        <v>0.98957204574099522</v>
      </c>
      <c r="L67" s="41">
        <v>-6484.5271299999995</v>
      </c>
      <c r="M67" s="41">
        <f t="shared" si="24"/>
        <v>-6442.779286815804</v>
      </c>
      <c r="N67" s="41">
        <f t="shared" si="25"/>
        <v>-6907.940082977324</v>
      </c>
      <c r="O67" s="41">
        <f t="shared" si="5"/>
        <v>-6932.2200819142881</v>
      </c>
      <c r="P67" s="41">
        <f t="shared" si="6"/>
        <v>-6860.8420370192134</v>
      </c>
      <c r="Q67" s="41">
        <f t="shared" si="7"/>
        <v>-6828.4661586314705</v>
      </c>
      <c r="R67" s="41">
        <f t="shared" si="8"/>
        <v>-6800.3502642421145</v>
      </c>
      <c r="S67" s="41">
        <f t="shared" si="9"/>
        <v>-6772.2343698527584</v>
      </c>
      <c r="T67" s="41">
        <f t="shared" si="26"/>
        <v>-6701.613819612674</v>
      </c>
      <c r="V67" s="41">
        <f t="shared" si="27"/>
        <v>-6484.5271299999995</v>
      </c>
      <c r="W67" s="41">
        <f t="shared" si="28"/>
        <v>-6578.0776518389357</v>
      </c>
      <c r="X67" s="41">
        <f t="shared" si="10"/>
        <v>-7142.8100457985529</v>
      </c>
      <c r="Y67" s="41">
        <f t="shared" si="11"/>
        <v>-7160.9833446174589</v>
      </c>
      <c r="Z67" s="41">
        <f t="shared" si="29"/>
        <v>-7080.3889822038282</v>
      </c>
      <c r="AA67" s="41">
        <f t="shared" si="12"/>
        <v>-7012.8347449145194</v>
      </c>
      <c r="AB67" s="41">
        <f t="shared" si="13"/>
        <v>-6800.3502642421145</v>
      </c>
      <c r="AC67" s="41">
        <f t="shared" si="14"/>
        <v>-6772.2343698527584</v>
      </c>
      <c r="AD67" s="41">
        <f t="shared" si="15"/>
        <v>-6701.613819612674</v>
      </c>
      <c r="AF67" s="303">
        <f t="shared" si="16"/>
        <v>4.5498259546625474E-4</v>
      </c>
      <c r="AG67" s="303">
        <f t="shared" si="17"/>
        <v>4.6066792788561302E-4</v>
      </c>
      <c r="AH67" s="303">
        <f t="shared" si="18"/>
        <v>4.6460871647218142E-4</v>
      </c>
      <c r="AI67" s="303">
        <f t="shared" si="19"/>
        <v>4.6151564840285031E-4</v>
      </c>
      <c r="AJ67" s="303">
        <f t="shared" si="20"/>
        <v>4.6275090752620414E-4</v>
      </c>
      <c r="AK67" s="303">
        <f t="shared" si="21"/>
        <v>4.6432674033848028E-4</v>
      </c>
      <c r="AL67" s="303">
        <f t="shared" si="22"/>
        <v>4.6564086504543732E-4</v>
      </c>
      <c r="AM67" s="303">
        <f t="shared" si="23"/>
        <v>4.6393994707778899E-4</v>
      </c>
      <c r="AV67" s="41">
        <v>-5806.9581500000004</v>
      </c>
      <c r="AW67" s="303">
        <f t="shared" si="30"/>
        <v>3.8867979938338567E-4</v>
      </c>
      <c r="AX67" s="41">
        <f t="shared" si="31"/>
        <v>-5698.3712608308924</v>
      </c>
    </row>
    <row r="68" spans="1:50" x14ac:dyDescent="0.2">
      <c r="A68" s="30">
        <v>205</v>
      </c>
      <c r="B68" s="47" t="s">
        <v>391</v>
      </c>
      <c r="C68" s="295">
        <v>0.98928924290180986</v>
      </c>
      <c r="D68" s="295">
        <v>1.0598819712394889</v>
      </c>
      <c r="E68" s="295">
        <v>0.9903381098390649</v>
      </c>
      <c r="F68" s="295">
        <v>0.99196085379274468</v>
      </c>
      <c r="G68" s="295">
        <v>0.98786197177908397</v>
      </c>
      <c r="H68" s="295">
        <v>0.98637321723921978</v>
      </c>
      <c r="I68" s="295">
        <v>0.98814534990965486</v>
      </c>
      <c r="J68" s="295">
        <v>0.98644323698559044</v>
      </c>
      <c r="L68" s="41">
        <v>-125232.05882999999</v>
      </c>
      <c r="M68" s="41">
        <f t="shared" si="24"/>
        <v>-123890.7286669656</v>
      </c>
      <c r="N68" s="41">
        <f t="shared" si="25"/>
        <v>-131309.54971784016</v>
      </c>
      <c r="O68" s="41">
        <f t="shared" si="5"/>
        <v>-130040.85127138454</v>
      </c>
      <c r="P68" s="41">
        <f t="shared" si="6"/>
        <v>-128995.43385509793</v>
      </c>
      <c r="Q68" s="41">
        <f t="shared" si="7"/>
        <v>-127429.68363859544</v>
      </c>
      <c r="R68" s="41">
        <f t="shared" si="8"/>
        <v>-125693.22702237735</v>
      </c>
      <c r="S68" s="41">
        <f t="shared" si="9"/>
        <v>-124203.17779730076</v>
      </c>
      <c r="T68" s="41">
        <f t="shared" si="26"/>
        <v>-122519.38475026618</v>
      </c>
      <c r="V68" s="41">
        <f t="shared" si="27"/>
        <v>-125232.05882999999</v>
      </c>
      <c r="W68" s="41">
        <f t="shared" si="28"/>
        <v>-126492.43396897186</v>
      </c>
      <c r="X68" s="41">
        <f t="shared" si="10"/>
        <v>-135774.07440824673</v>
      </c>
      <c r="Y68" s="41">
        <f t="shared" si="11"/>
        <v>-134332.19936334022</v>
      </c>
      <c r="Z68" s="41">
        <f t="shared" si="29"/>
        <v>-133123.28773846108</v>
      </c>
      <c r="AA68" s="41">
        <f t="shared" si="12"/>
        <v>-130870.2850968375</v>
      </c>
      <c r="AB68" s="41">
        <f t="shared" si="13"/>
        <v>-125693.22702237735</v>
      </c>
      <c r="AC68" s="41">
        <f t="shared" si="14"/>
        <v>-124203.17779730076</v>
      </c>
      <c r="AD68" s="41">
        <f t="shared" si="15"/>
        <v>-122519.38475026618</v>
      </c>
      <c r="AF68" s="303">
        <f t="shared" si="16"/>
        <v>8.7490386949077362E-3</v>
      </c>
      <c r="AG68" s="303">
        <f t="shared" si="17"/>
        <v>8.756604349995905E-3</v>
      </c>
      <c r="AH68" s="303">
        <f t="shared" si="18"/>
        <v>8.7155503264783451E-3</v>
      </c>
      <c r="AI68" s="303">
        <f t="shared" si="19"/>
        <v>8.6772747390796399E-3</v>
      </c>
      <c r="AJ68" s="303">
        <f t="shared" si="20"/>
        <v>8.6356438444084287E-3</v>
      </c>
      <c r="AK68" s="303">
        <f t="shared" si="21"/>
        <v>8.5823118101446029E-3</v>
      </c>
      <c r="AL68" s="303">
        <f t="shared" si="22"/>
        <v>8.5398809303442336E-3</v>
      </c>
      <c r="AM68" s="303">
        <f t="shared" si="23"/>
        <v>8.4817834042736559E-3</v>
      </c>
      <c r="AV68" s="41">
        <v>-128353.291</v>
      </c>
      <c r="AW68" s="303">
        <f t="shared" si="30"/>
        <v>8.5911298320752172E-3</v>
      </c>
      <c r="AX68" s="41">
        <f t="shared" si="31"/>
        <v>-125953.15581316259</v>
      </c>
    </row>
    <row r="69" spans="1:50" x14ac:dyDescent="0.2">
      <c r="A69" s="30">
        <v>208</v>
      </c>
      <c r="B69" s="47" t="s">
        <v>392</v>
      </c>
      <c r="C69" s="295">
        <v>0.97444600928092062</v>
      </c>
      <c r="D69" s="295">
        <v>1.0285588194610507</v>
      </c>
      <c r="E69" s="295">
        <v>0.99071247799338569</v>
      </c>
      <c r="F69" s="295">
        <v>0.98513306253203059</v>
      </c>
      <c r="G69" s="295">
        <v>0.98117868494034755</v>
      </c>
      <c r="H69" s="295">
        <v>0.98236227148695954</v>
      </c>
      <c r="I69" s="295">
        <v>0.98392037434131741</v>
      </c>
      <c r="J69" s="295">
        <v>0.98092543347377326</v>
      </c>
      <c r="L69" s="41">
        <v>-34969.101770000001</v>
      </c>
      <c r="M69" s="41">
        <f t="shared" si="24"/>
        <v>-34075.501667914876</v>
      </c>
      <c r="N69" s="41">
        <f t="shared" si="25"/>
        <v>-35048.657768093588</v>
      </c>
      <c r="O69" s="41">
        <f t="shared" si="5"/>
        <v>-34723.142587770126</v>
      </c>
      <c r="P69" s="41">
        <f t="shared" si="6"/>
        <v>-34206.915798226364</v>
      </c>
      <c r="Q69" s="41">
        <f t="shared" si="7"/>
        <v>-33563.09665876894</v>
      </c>
      <c r="R69" s="41">
        <f t="shared" si="8"/>
        <v>-32971.119871844639</v>
      </c>
      <c r="S69" s="41">
        <f t="shared" si="9"/>
        <v>-32440.956606757827</v>
      </c>
      <c r="T69" s="41">
        <f t="shared" si="26"/>
        <v>-31822.15942178779</v>
      </c>
      <c r="V69" s="41">
        <f t="shared" si="27"/>
        <v>-34969.101770000001</v>
      </c>
      <c r="W69" s="41">
        <f t="shared" si="28"/>
        <v>-34791.087202941082</v>
      </c>
      <c r="X69" s="41">
        <f t="shared" si="10"/>
        <v>-36240.312132208768</v>
      </c>
      <c r="Y69" s="41">
        <f t="shared" si="11"/>
        <v>-35869.006293166538</v>
      </c>
      <c r="Z69" s="41">
        <f t="shared" si="29"/>
        <v>-35301.53710376961</v>
      </c>
      <c r="AA69" s="41">
        <f t="shared" si="12"/>
        <v>-34469.3002685557</v>
      </c>
      <c r="AB69" s="41">
        <f t="shared" si="13"/>
        <v>-32971.119871844639</v>
      </c>
      <c r="AC69" s="41">
        <f t="shared" si="14"/>
        <v>-32440.956606757827</v>
      </c>
      <c r="AD69" s="41">
        <f t="shared" si="15"/>
        <v>-31822.15942178779</v>
      </c>
      <c r="AF69" s="303">
        <f t="shared" si="16"/>
        <v>2.406377667229538E-3</v>
      </c>
      <c r="AG69" s="303">
        <f t="shared" si="17"/>
        <v>2.3372803404862232E-3</v>
      </c>
      <c r="AH69" s="303">
        <f t="shared" si="18"/>
        <v>2.3272017505147477E-3</v>
      </c>
      <c r="AI69" s="303">
        <f t="shared" si="19"/>
        <v>2.3010334357353949E-3</v>
      </c>
      <c r="AJ69" s="303">
        <f t="shared" si="20"/>
        <v>2.2745010486143729E-3</v>
      </c>
      <c r="AK69" s="303">
        <f t="shared" si="21"/>
        <v>2.2512623645142655E-3</v>
      </c>
      <c r="AL69" s="303">
        <f t="shared" si="22"/>
        <v>2.2305540937149581E-3</v>
      </c>
      <c r="AM69" s="303">
        <f t="shared" si="23"/>
        <v>2.2029874229456074E-3</v>
      </c>
      <c r="AV69" s="41">
        <v>-38116.48835</v>
      </c>
      <c r="AW69" s="303">
        <f t="shared" si="30"/>
        <v>2.5512684373448008E-3</v>
      </c>
      <c r="AX69" s="41">
        <f t="shared" si="31"/>
        <v>-37403.731207781391</v>
      </c>
    </row>
    <row r="70" spans="1:50" x14ac:dyDescent="0.2">
      <c r="A70" s="30">
        <v>211</v>
      </c>
      <c r="B70" s="47" t="s">
        <v>393</v>
      </c>
      <c r="C70" s="295">
        <v>0.99124168710468363</v>
      </c>
      <c r="D70" s="295">
        <v>1.0380271328000774</v>
      </c>
      <c r="E70" s="295">
        <v>0.99259495033361478</v>
      </c>
      <c r="F70" s="295">
        <v>1.0032334369469418</v>
      </c>
      <c r="G70" s="295">
        <v>0.99903056518212763</v>
      </c>
      <c r="H70" s="295">
        <v>0.99614670318594456</v>
      </c>
      <c r="I70" s="295">
        <v>0.99747585566615748</v>
      </c>
      <c r="J70" s="295">
        <v>0.99990360618353658</v>
      </c>
      <c r="L70" s="41">
        <v>-89636.140900000013</v>
      </c>
      <c r="M70" s="41">
        <f t="shared" ref="M70:M133" si="32">L70*C70</f>
        <v>-88851.079531269148</v>
      </c>
      <c r="N70" s="41">
        <f t="shared" ref="N70:N133" si="33">M70*D70</f>
        <v>-92229.831332034955</v>
      </c>
      <c r="O70" s="41">
        <f t="shared" ref="O70:O133" si="34">N70*E70</f>
        <v>-91546.864850298909</v>
      </c>
      <c r="P70" s="41">
        <f t="shared" ref="P70:P133" si="35">O70*F70</f>
        <v>-91842.875865482551</v>
      </c>
      <c r="Q70" s="41">
        <f t="shared" ref="Q70:Q133" si="36">P70*G70</f>
        <v>-91753.840183845023</v>
      </c>
      <c r="R70" s="41">
        <f t="shared" ref="R70:R133" si="37">Q70*H70</f>
        <v>-91400.28540378726</v>
      </c>
      <c r="S70" s="41">
        <f t="shared" ref="S70:S133" si="38">R70*I70</f>
        <v>-91169.577891273701</v>
      </c>
      <c r="T70" s="41">
        <f t="shared" ref="T70:T133" si="39">S70*J70</f>
        <v>-91160.789707715405</v>
      </c>
      <c r="V70" s="41">
        <f t="shared" si="27"/>
        <v>-89636.140900000013</v>
      </c>
      <c r="W70" s="41">
        <f t="shared" si="28"/>
        <v>-90716.952201425796</v>
      </c>
      <c r="X70" s="41">
        <f t="shared" ref="X70:X133" si="40">N70*(1+X$2)</f>
        <v>-95365.645597324154</v>
      </c>
      <c r="Y70" s="41">
        <f t="shared" ref="Y70:Y133" si="41">O70*(1+Y$2)</f>
        <v>-94567.911390358771</v>
      </c>
      <c r="Z70" s="41">
        <f t="shared" ref="Z70:Z133" si="42">P70*(1+Z$2)</f>
        <v>-94781.847893177997</v>
      </c>
      <c r="AA70" s="41">
        <f t="shared" ref="AA70:AA133" si="43">Q70*(1+AA$2)</f>
        <v>-94231.193868808827</v>
      </c>
      <c r="AB70" s="41">
        <f t="shared" ref="AB70:AB133" si="44">R70*(1+AB$2)</f>
        <v>-91400.28540378726</v>
      </c>
      <c r="AC70" s="41">
        <f t="shared" ref="AC70:AC133" si="45">S70*(1+AC$2)</f>
        <v>-91169.577891273701</v>
      </c>
      <c r="AD70" s="41">
        <f t="shared" ref="AD70:AD133" si="46">T70*(1+AD$2)</f>
        <v>-91160.789707715405</v>
      </c>
      <c r="AF70" s="303">
        <f t="shared" ref="AF70:AF133" si="47">W70/W$4</f>
        <v>6.2745739028870146E-3</v>
      </c>
      <c r="AG70" s="303">
        <f t="shared" ref="AG70:AG133" si="48">X70/X$4</f>
        <v>6.1505057627332643E-3</v>
      </c>
      <c r="AH70" s="303">
        <f t="shared" ref="AH70:AH133" si="49">Y70/Y$4</f>
        <v>6.1356204610578807E-3</v>
      </c>
      <c r="AI70" s="303">
        <f t="shared" ref="AI70:AI133" si="50">Z70/Z$4</f>
        <v>6.1780936184702264E-3</v>
      </c>
      <c r="AJ70" s="303">
        <f t="shared" ref="AJ70:AJ133" si="51">AA70/AA$4</f>
        <v>6.2179663525780806E-3</v>
      </c>
      <c r="AK70" s="303">
        <f t="shared" ref="AK70:AK133" si="52">AB70/AB$4</f>
        <v>6.2407956852906501E-3</v>
      </c>
      <c r="AL70" s="303">
        <f t="shared" ref="AL70:AL133" si="53">AC70/AC$4</f>
        <v>6.2685782559594224E-3</v>
      </c>
      <c r="AM70" s="303">
        <f t="shared" ref="AM70:AM133" si="54">AD70/AD$4</f>
        <v>6.3108876594460805E-3</v>
      </c>
      <c r="AV70" s="41">
        <v>-99578.78</v>
      </c>
      <c r="AW70" s="303">
        <f t="shared" si="30"/>
        <v>6.6651522593188127E-3</v>
      </c>
      <c r="AX70" s="41">
        <f t="shared" si="31"/>
        <v>-97716.712172379266</v>
      </c>
    </row>
    <row r="71" spans="1:50" x14ac:dyDescent="0.2">
      <c r="A71" s="30">
        <v>213</v>
      </c>
      <c r="B71" s="47" t="s">
        <v>394</v>
      </c>
      <c r="C71" s="295">
        <v>0.96765231445459354</v>
      </c>
      <c r="D71" s="295">
        <v>1.0667908878413681</v>
      </c>
      <c r="E71" s="295">
        <v>0.98404697986491096</v>
      </c>
      <c r="F71" s="295">
        <v>0.97978014983284056</v>
      </c>
      <c r="G71" s="295">
        <v>0.97389625628766396</v>
      </c>
      <c r="H71" s="295">
        <v>0.97582800841498085</v>
      </c>
      <c r="I71" s="295">
        <v>0.97980051655378908</v>
      </c>
      <c r="J71" s="295">
        <v>0.97637968440816525</v>
      </c>
      <c r="L71" s="41">
        <v>-13025.305920000001</v>
      </c>
      <c r="M71" s="41">
        <f t="shared" si="32"/>
        <v>-12603.967419967119</v>
      </c>
      <c r="N71" s="41">
        <f t="shared" si="33"/>
        <v>-13445.7975942704</v>
      </c>
      <c r="O71" s="41">
        <f t="shared" si="34"/>
        <v>-13231.296514516673</v>
      </c>
      <c r="P71" s="41">
        <f t="shared" si="35"/>
        <v>-12963.761681475886</v>
      </c>
      <c r="Q71" s="41">
        <f t="shared" si="36"/>
        <v>-12625.358968994837</v>
      </c>
      <c r="R71" s="41">
        <f t="shared" si="37"/>
        <v>-12320.178898238448</v>
      </c>
      <c r="S71" s="41">
        <f t="shared" si="38"/>
        <v>-12071.317648529122</v>
      </c>
      <c r="T71" s="41">
        <f t="shared" si="39"/>
        <v>-11786.18931606158</v>
      </c>
      <c r="V71" s="41">
        <f t="shared" ref="V71:V134" si="55">L71</f>
        <v>-13025.305920000001</v>
      </c>
      <c r="W71" s="41">
        <f t="shared" ref="W71:W134" si="56">M71*(1+W$2)</f>
        <v>-12868.650735786427</v>
      </c>
      <c r="X71" s="41">
        <f t="shared" si="40"/>
        <v>-13902.954712475594</v>
      </c>
      <c r="Y71" s="41">
        <f t="shared" si="41"/>
        <v>-13667.929299495721</v>
      </c>
      <c r="Z71" s="41">
        <f t="shared" si="42"/>
        <v>-13378.602055283114</v>
      </c>
      <c r="AA71" s="41">
        <f t="shared" si="43"/>
        <v>-12966.243661157696</v>
      </c>
      <c r="AB71" s="41">
        <f t="shared" si="44"/>
        <v>-12320.178898238448</v>
      </c>
      <c r="AC71" s="41">
        <f t="shared" si="45"/>
        <v>-12071.317648529122</v>
      </c>
      <c r="AD71" s="41">
        <f t="shared" si="46"/>
        <v>-11786.18931606158</v>
      </c>
      <c r="AF71" s="303">
        <f t="shared" si="47"/>
        <v>8.9007950678113962E-4</v>
      </c>
      <c r="AG71" s="303">
        <f t="shared" si="48"/>
        <v>8.9665625962584634E-4</v>
      </c>
      <c r="AH71" s="303">
        <f t="shared" si="49"/>
        <v>8.8678311107152278E-4</v>
      </c>
      <c r="AI71" s="303">
        <f t="shared" si="50"/>
        <v>8.7204731516683559E-4</v>
      </c>
      <c r="AJ71" s="303">
        <f t="shared" si="51"/>
        <v>8.5559424108171426E-4</v>
      </c>
      <c r="AK71" s="303">
        <f t="shared" si="52"/>
        <v>8.4121968515154654E-4</v>
      </c>
      <c r="AL71" s="303">
        <f t="shared" si="53"/>
        <v>8.2999177009013703E-4</v>
      </c>
      <c r="AM71" s="303">
        <f t="shared" si="54"/>
        <v>8.1593541417437931E-4</v>
      </c>
      <c r="AV71" s="41">
        <v>-12924.802</v>
      </c>
      <c r="AW71" s="303">
        <f>AV71/AV$4</f>
        <v>8.6510171395500434E-4</v>
      </c>
      <c r="AX71" s="41">
        <f t="shared" ref="AX71:AX134" si="57">$AW$2*AW71</f>
        <v>-12683.115387826523</v>
      </c>
    </row>
    <row r="72" spans="1:50" x14ac:dyDescent="0.2">
      <c r="A72" s="30">
        <v>214</v>
      </c>
      <c r="B72" s="47" t="s">
        <v>395</v>
      </c>
      <c r="C72" s="295">
        <v>0.97636216369393958</v>
      </c>
      <c r="D72" s="295">
        <v>1.077568271757092</v>
      </c>
      <c r="E72" s="295">
        <v>0.98324754143587889</v>
      </c>
      <c r="F72" s="295">
        <v>0.98749234527008878</v>
      </c>
      <c r="G72" s="295">
        <v>0.97807459755993087</v>
      </c>
      <c r="H72" s="295">
        <v>0.97524451012879232</v>
      </c>
      <c r="I72" s="295">
        <v>0.98254622847445483</v>
      </c>
      <c r="J72" s="295">
        <v>0.98048306794699736</v>
      </c>
      <c r="L72" s="41">
        <v>-31170.304050000002</v>
      </c>
      <c r="M72" s="41">
        <f t="shared" si="32"/>
        <v>-30433.505505255969</v>
      </c>
      <c r="N72" s="41">
        <f t="shared" si="33"/>
        <v>-32794.179930808619</v>
      </c>
      <c r="O72" s="41">
        <f t="shared" si="34"/>
        <v>-32244.796790373417</v>
      </c>
      <c r="P72" s="41">
        <f t="shared" si="35"/>
        <v>-31841.490005283278</v>
      </c>
      <c r="Q72" s="41">
        <f t="shared" si="36"/>
        <v>-31143.352522626003</v>
      </c>
      <c r="R72" s="41">
        <f t="shared" si="37"/>
        <v>-30372.383574696683</v>
      </c>
      <c r="S72" s="41">
        <f t="shared" si="38"/>
        <v>-29842.270931097708</v>
      </c>
      <c r="T72" s="41">
        <f t="shared" si="39"/>
        <v>-29259.841357028177</v>
      </c>
      <c r="V72" s="41">
        <f t="shared" si="55"/>
        <v>-31170.304050000002</v>
      </c>
      <c r="W72" s="41">
        <f t="shared" si="56"/>
        <v>-31072.609120866342</v>
      </c>
      <c r="X72" s="41">
        <f t="shared" si="40"/>
        <v>-33909.18204845611</v>
      </c>
      <c r="Y72" s="41">
        <f t="shared" si="41"/>
        <v>-33308.875084455736</v>
      </c>
      <c r="Z72" s="41">
        <f t="shared" si="42"/>
        <v>-32860.417685452347</v>
      </c>
      <c r="AA72" s="41">
        <f t="shared" si="43"/>
        <v>-31984.223040736902</v>
      </c>
      <c r="AB72" s="41">
        <f t="shared" si="44"/>
        <v>-30372.383574696683</v>
      </c>
      <c r="AC72" s="41">
        <f t="shared" si="45"/>
        <v>-29842.270931097708</v>
      </c>
      <c r="AD72" s="41">
        <f t="shared" si="46"/>
        <v>-29259.841357028177</v>
      </c>
      <c r="AF72" s="303">
        <f t="shared" si="47"/>
        <v>2.1491835599976505E-3</v>
      </c>
      <c r="AG72" s="303">
        <f t="shared" si="48"/>
        <v>2.186936588037449E-3</v>
      </c>
      <c r="AH72" s="303">
        <f t="shared" si="49"/>
        <v>2.1610989657940495E-3</v>
      </c>
      <c r="AI72" s="303">
        <f t="shared" si="50"/>
        <v>2.141915792057178E-3</v>
      </c>
      <c r="AJ72" s="303">
        <f t="shared" si="51"/>
        <v>2.1105200360459855E-3</v>
      </c>
      <c r="AK72" s="303">
        <f t="shared" si="52"/>
        <v>2.0738210994372406E-3</v>
      </c>
      <c r="AL72" s="303">
        <f t="shared" si="53"/>
        <v>2.051875362308048E-3</v>
      </c>
      <c r="AM72" s="303">
        <f t="shared" si="54"/>
        <v>2.0256030287744515E-3</v>
      </c>
      <c r="AV72" s="41">
        <v>-33791.224439999998</v>
      </c>
      <c r="AW72" s="303">
        <f t="shared" ref="AW72:AW134" si="58">AV72/AV$4</f>
        <v>2.2617635596802357E-3</v>
      </c>
      <c r="AX72" s="41">
        <f t="shared" si="57"/>
        <v>-33159.347328374053</v>
      </c>
    </row>
    <row r="73" spans="1:50" x14ac:dyDescent="0.2">
      <c r="A73" s="30">
        <v>216</v>
      </c>
      <c r="B73" s="47" t="s">
        <v>396</v>
      </c>
      <c r="C73" s="295">
        <v>0.99336550329750239</v>
      </c>
      <c r="D73" s="295">
        <v>1.0658392593817794</v>
      </c>
      <c r="E73" s="295">
        <v>0.99660719550743471</v>
      </c>
      <c r="F73" s="295">
        <v>0.98557247333761799</v>
      </c>
      <c r="G73" s="295">
        <v>0.9952152871959159</v>
      </c>
      <c r="H73" s="295">
        <v>0.99551279807702608</v>
      </c>
      <c r="I73" s="295">
        <v>0.99549257233895794</v>
      </c>
      <c r="J73" s="295">
        <v>0.99611899723704322</v>
      </c>
      <c r="L73" s="41">
        <v>-3581.3687599999998</v>
      </c>
      <c r="M73" s="41">
        <f t="shared" si="32"/>
        <v>-3557.6081807713517</v>
      </c>
      <c r="N73" s="41">
        <f t="shared" si="33"/>
        <v>-3791.8384685638971</v>
      </c>
      <c r="O73" s="41">
        <f t="shared" si="34"/>
        <v>-3778.9735019726718</v>
      </c>
      <c r="P73" s="41">
        <f t="shared" si="35"/>
        <v>-3724.4522610165259</v>
      </c>
      <c r="Q73" s="41">
        <f t="shared" si="36"/>
        <v>-3706.6318265950399</v>
      </c>
      <c r="R73" s="41">
        <f t="shared" si="37"/>
        <v>-3689.9994211349863</v>
      </c>
      <c r="S73" s="41">
        <f t="shared" si="38"/>
        <v>-3673.3670156749331</v>
      </c>
      <c r="T73" s="41">
        <f t="shared" si="39"/>
        <v>-3659.1106681377446</v>
      </c>
      <c r="V73" s="41">
        <f t="shared" si="55"/>
        <v>-3581.3687599999998</v>
      </c>
      <c r="W73" s="41">
        <f t="shared" si="56"/>
        <v>-3632.3179525675496</v>
      </c>
      <c r="X73" s="41">
        <f t="shared" si="40"/>
        <v>-3920.7609764950698</v>
      </c>
      <c r="Y73" s="41">
        <f t="shared" si="41"/>
        <v>-3903.6796275377696</v>
      </c>
      <c r="Z73" s="41">
        <f t="shared" si="42"/>
        <v>-3843.6347333690546</v>
      </c>
      <c r="AA73" s="41">
        <f t="shared" si="43"/>
        <v>-3806.7108859131058</v>
      </c>
      <c r="AB73" s="41">
        <f t="shared" si="44"/>
        <v>-3689.9994211349863</v>
      </c>
      <c r="AC73" s="41">
        <f t="shared" si="45"/>
        <v>-3673.3670156749331</v>
      </c>
      <c r="AD73" s="41">
        <f t="shared" si="46"/>
        <v>-3659.1106681377446</v>
      </c>
      <c r="AF73" s="303">
        <f t="shared" si="47"/>
        <v>2.5123471279726406E-4</v>
      </c>
      <c r="AG73" s="303">
        <f t="shared" si="48"/>
        <v>2.5286530415843229E-4</v>
      </c>
      <c r="AH73" s="303">
        <f t="shared" si="49"/>
        <v>2.5327297858221924E-4</v>
      </c>
      <c r="AI73" s="303">
        <f t="shared" si="50"/>
        <v>2.5053674037586504E-4</v>
      </c>
      <c r="AJ73" s="303">
        <f t="shared" si="51"/>
        <v>2.5119070692826401E-4</v>
      </c>
      <c r="AK73" s="303">
        <f t="shared" si="52"/>
        <v>2.5195252251575582E-4</v>
      </c>
      <c r="AL73" s="303">
        <f t="shared" si="53"/>
        <v>2.52570968663248E-4</v>
      </c>
      <c r="AM73" s="303">
        <f t="shared" si="54"/>
        <v>2.5331325489980457E-4</v>
      </c>
      <c r="AV73" s="41">
        <v>-3107.8560000000002</v>
      </c>
      <c r="AW73" s="303">
        <f t="shared" si="58"/>
        <v>2.0801955436728115E-4</v>
      </c>
      <c r="AX73" s="41">
        <f t="shared" si="57"/>
        <v>-3049.7408205362826</v>
      </c>
    </row>
    <row r="74" spans="1:50" x14ac:dyDescent="0.2">
      <c r="A74" s="30">
        <v>217</v>
      </c>
      <c r="B74" s="47" t="s">
        <v>397</v>
      </c>
      <c r="C74" s="295">
        <v>0.98897120383975323</v>
      </c>
      <c r="D74" s="295">
        <v>1.0264195596463257</v>
      </c>
      <c r="E74" s="295">
        <v>0.98456088538078024</v>
      </c>
      <c r="F74" s="295">
        <v>0.9848069598196465</v>
      </c>
      <c r="G74" s="295">
        <v>0.98481555509622332</v>
      </c>
      <c r="H74" s="295">
        <v>0.97481492280805881</v>
      </c>
      <c r="I74" s="295">
        <v>0.985930682576455</v>
      </c>
      <c r="J74" s="295">
        <v>0.97506489857617451</v>
      </c>
      <c r="L74" s="41">
        <v>-15786.17895</v>
      </c>
      <c r="M74" s="41">
        <f t="shared" si="32"/>
        <v>-15612.076400211272</v>
      </c>
      <c r="N74" s="41">
        <f t="shared" si="33"/>
        <v>-16024.540583869648</v>
      </c>
      <c r="O74" s="41">
        <f t="shared" si="34"/>
        <v>-15777.135865074946</v>
      </c>
      <c r="P74" s="41">
        <f t="shared" si="35"/>
        <v>-15537.433205945967</v>
      </c>
      <c r="Q74" s="41">
        <f t="shared" si="36"/>
        <v>-15301.50590748417</v>
      </c>
      <c r="R74" s="41">
        <f t="shared" si="37"/>
        <v>-14916.136300051237</v>
      </c>
      <c r="S74" s="41">
        <f t="shared" si="38"/>
        <v>-14706.276443712954</v>
      </c>
      <c r="T74" s="41">
        <f t="shared" si="39"/>
        <v>-14339.573949022155</v>
      </c>
      <c r="V74" s="41">
        <f t="shared" si="55"/>
        <v>-15786.17895</v>
      </c>
      <c r="W74" s="41">
        <f t="shared" si="56"/>
        <v>-15939.930004615708</v>
      </c>
      <c r="X74" s="41">
        <f t="shared" si="40"/>
        <v>-16569.374963721217</v>
      </c>
      <c r="Y74" s="41">
        <f t="shared" si="41"/>
        <v>-16297.781348622419</v>
      </c>
      <c r="Z74" s="41">
        <f t="shared" si="42"/>
        <v>-16034.631068536239</v>
      </c>
      <c r="AA74" s="41">
        <f t="shared" si="43"/>
        <v>-15714.646566986241</v>
      </c>
      <c r="AB74" s="41">
        <f t="shared" si="44"/>
        <v>-14916.136300051237</v>
      </c>
      <c r="AC74" s="41">
        <f t="shared" si="45"/>
        <v>-14706.276443712954</v>
      </c>
      <c r="AD74" s="41">
        <f t="shared" si="46"/>
        <v>-14339.573949022155</v>
      </c>
      <c r="AF74" s="303">
        <f t="shared" si="47"/>
        <v>1.1025091385205891E-3</v>
      </c>
      <c r="AG74" s="303">
        <f t="shared" si="48"/>
        <v>1.0686241943934902E-3</v>
      </c>
      <c r="AH74" s="303">
        <f t="shared" si="49"/>
        <v>1.0574094240030972E-3</v>
      </c>
      <c r="AI74" s="303">
        <f t="shared" si="50"/>
        <v>1.0451732486867703E-3</v>
      </c>
      <c r="AJ74" s="303">
        <f t="shared" si="51"/>
        <v>1.0369511367139838E-3</v>
      </c>
      <c r="AK74" s="303">
        <f t="shared" si="52"/>
        <v>1.0184712077355262E-3</v>
      </c>
      <c r="AL74" s="303">
        <f t="shared" si="53"/>
        <v>1.0111645449442297E-3</v>
      </c>
      <c r="AM74" s="303">
        <f t="shared" si="54"/>
        <v>9.9270136389504444E-4</v>
      </c>
      <c r="AV74" s="41">
        <v>-16632.694940000001</v>
      </c>
      <c r="AW74" s="303">
        <f t="shared" si="58"/>
        <v>1.1132838166716E-3</v>
      </c>
      <c r="AX74" s="41">
        <f t="shared" si="57"/>
        <v>-16321.672791160619</v>
      </c>
    </row>
    <row r="75" spans="1:50" x14ac:dyDescent="0.2">
      <c r="A75" s="30">
        <v>218</v>
      </c>
      <c r="B75" s="47" t="s">
        <v>398</v>
      </c>
      <c r="C75" s="295">
        <v>0.99009407040637754</v>
      </c>
      <c r="D75" s="295">
        <v>1.0450123282741652</v>
      </c>
      <c r="E75" s="295">
        <v>0.99541084348352304</v>
      </c>
      <c r="F75" s="295">
        <v>0.99545738191355015</v>
      </c>
      <c r="G75" s="295">
        <v>0.99595025846046792</v>
      </c>
      <c r="H75" s="295">
        <v>0.99499543552794578</v>
      </c>
      <c r="I75" s="295">
        <v>0.99591333941005844</v>
      </c>
      <c r="J75" s="295">
        <v>0.99526527317470015</v>
      </c>
      <c r="L75" s="41">
        <v>-3009.66948</v>
      </c>
      <c r="M75" s="41">
        <f t="shared" si="32"/>
        <v>-2979.8559060310458</v>
      </c>
      <c r="N75" s="41">
        <f t="shared" si="33"/>
        <v>-3113.9861582830254</v>
      </c>
      <c r="O75" s="41">
        <f t="shared" si="34"/>
        <v>-3099.6955884125218</v>
      </c>
      <c r="P75" s="41">
        <f t="shared" si="35"/>
        <v>-3085.6148551701103</v>
      </c>
      <c r="Q75" s="41">
        <f t="shared" si="36"/>
        <v>-3073.1189125161309</v>
      </c>
      <c r="R75" s="41">
        <f t="shared" si="37"/>
        <v>-3057.7392907881549</v>
      </c>
      <c r="S75" s="41">
        <f t="shared" si="38"/>
        <v>-3045.243348134175</v>
      </c>
      <c r="T75" s="41">
        <f t="shared" si="39"/>
        <v>-3030.8249527641983</v>
      </c>
      <c r="V75" s="41">
        <f t="shared" si="55"/>
        <v>-3009.66948</v>
      </c>
      <c r="W75" s="41">
        <f t="shared" si="56"/>
        <v>-3042.4328800576977</v>
      </c>
      <c r="X75" s="41">
        <f t="shared" si="40"/>
        <v>-3219.8616876646483</v>
      </c>
      <c r="Y75" s="41">
        <f t="shared" si="41"/>
        <v>-3201.9855428301348</v>
      </c>
      <c r="Z75" s="41">
        <f t="shared" si="42"/>
        <v>-3184.3545305355537</v>
      </c>
      <c r="AA75" s="41">
        <f t="shared" si="43"/>
        <v>-3156.0931231540662</v>
      </c>
      <c r="AB75" s="41">
        <f t="shared" si="44"/>
        <v>-3057.7392907881549</v>
      </c>
      <c r="AC75" s="41">
        <f t="shared" si="45"/>
        <v>-3045.243348134175</v>
      </c>
      <c r="AD75" s="41">
        <f t="shared" si="46"/>
        <v>-3030.8249527641983</v>
      </c>
      <c r="AF75" s="303">
        <f t="shared" si="47"/>
        <v>2.104344280450305E-4</v>
      </c>
      <c r="AG75" s="303">
        <f t="shared" si="48"/>
        <v>2.0766155087761652E-4</v>
      </c>
      <c r="AH75" s="303">
        <f t="shared" si="49"/>
        <v>2.0774666294050176E-4</v>
      </c>
      <c r="AI75" s="303">
        <f t="shared" si="50"/>
        <v>2.0756337675776056E-4</v>
      </c>
      <c r="AJ75" s="303">
        <f t="shared" si="51"/>
        <v>2.0825885823644319E-4</v>
      </c>
      <c r="AK75" s="303">
        <f t="shared" si="52"/>
        <v>2.0878191012632983E-4</v>
      </c>
      <c r="AL75" s="303">
        <f t="shared" si="53"/>
        <v>2.0938285201873349E-4</v>
      </c>
      <c r="AM75" s="303">
        <f t="shared" si="54"/>
        <v>2.0981823274751643E-4</v>
      </c>
      <c r="AV75" s="41">
        <v>-3008.6619999999998</v>
      </c>
      <c r="AW75" s="303">
        <f t="shared" si="58"/>
        <v>2.0138015676459038E-4</v>
      </c>
      <c r="AX75" s="41">
        <f t="shared" si="57"/>
        <v>-2952.4016931918122</v>
      </c>
    </row>
    <row r="76" spans="1:50" x14ac:dyDescent="0.2">
      <c r="A76" s="30">
        <v>224</v>
      </c>
      <c r="B76" s="47" t="s">
        <v>399</v>
      </c>
      <c r="C76" s="295">
        <v>0.96353530067293269</v>
      </c>
      <c r="D76" s="295">
        <v>1.0732207180101461</v>
      </c>
      <c r="E76" s="295">
        <v>0.97035345852322985</v>
      </c>
      <c r="F76" s="295">
        <v>0.9820164173151078</v>
      </c>
      <c r="G76" s="295">
        <v>0.97420993666967992</v>
      </c>
      <c r="H76" s="295">
        <v>0.98448492100381146</v>
      </c>
      <c r="I76" s="295">
        <v>0.98082688622311642</v>
      </c>
      <c r="J76" s="295">
        <v>0.98533893673837136</v>
      </c>
      <c r="L76" s="41">
        <v>-19353.25834</v>
      </c>
      <c r="M76" s="41">
        <f t="shared" si="32"/>
        <v>-18647.547593632844</v>
      </c>
      <c r="N76" s="41">
        <f t="shared" si="33"/>
        <v>-20012.934417567012</v>
      </c>
      <c r="O76" s="41">
        <f t="shared" si="34"/>
        <v>-19419.620127284732</v>
      </c>
      <c r="P76" s="41">
        <f t="shared" si="35"/>
        <v>-19070.385783016511</v>
      </c>
      <c r="Q76" s="41">
        <f t="shared" si="36"/>
        <v>-18578.559325938881</v>
      </c>
      <c r="R76" s="41">
        <f t="shared" si="37"/>
        <v>-18290.311510361564</v>
      </c>
      <c r="S76" s="41">
        <f t="shared" si="38"/>
        <v>-17939.629286758758</v>
      </c>
      <c r="T76" s="41">
        <f t="shared" si="39"/>
        <v>-17676.615246895421</v>
      </c>
      <c r="V76" s="41">
        <f t="shared" si="55"/>
        <v>-19353.25834</v>
      </c>
      <c r="W76" s="41">
        <f t="shared" si="56"/>
        <v>-19039.146093099131</v>
      </c>
      <c r="X76" s="41">
        <f t="shared" si="40"/>
        <v>-20693.37418776429</v>
      </c>
      <c r="Y76" s="41">
        <f t="shared" si="41"/>
        <v>-20060.467591485125</v>
      </c>
      <c r="Z76" s="41">
        <f t="shared" si="42"/>
        <v>-19680.638128073038</v>
      </c>
      <c r="AA76" s="41">
        <f t="shared" si="43"/>
        <v>-19080.180427739229</v>
      </c>
      <c r="AB76" s="41">
        <f t="shared" si="44"/>
        <v>-18290.311510361564</v>
      </c>
      <c r="AC76" s="41">
        <f t="shared" si="45"/>
        <v>-17939.629286758758</v>
      </c>
      <c r="AD76" s="41">
        <f t="shared" si="46"/>
        <v>-17676.615246895421</v>
      </c>
      <c r="AF76" s="303">
        <f t="shared" si="47"/>
        <v>1.3168710622438161E-3</v>
      </c>
      <c r="AG76" s="303">
        <f t="shared" si="48"/>
        <v>1.3345971329093715E-3</v>
      </c>
      <c r="AH76" s="303">
        <f t="shared" si="49"/>
        <v>1.3015346707260897E-3</v>
      </c>
      <c r="AI76" s="303">
        <f t="shared" si="50"/>
        <v>1.2828281736340923E-3</v>
      </c>
      <c r="AJ76" s="303">
        <f t="shared" si="51"/>
        <v>1.2590302110145714E-3</v>
      </c>
      <c r="AK76" s="303">
        <f t="shared" si="52"/>
        <v>1.2488593077386234E-3</v>
      </c>
      <c r="AL76" s="303">
        <f t="shared" si="53"/>
        <v>1.2334813066817163E-3</v>
      </c>
      <c r="AM76" s="303">
        <f t="shared" si="54"/>
        <v>1.2237183703660618E-3</v>
      </c>
      <c r="AV76" s="41">
        <v>-19753.387149999999</v>
      </c>
      <c r="AW76" s="303">
        <f t="shared" si="58"/>
        <v>1.3221625429837732E-3</v>
      </c>
      <c r="AX76" s="41">
        <f t="shared" si="57"/>
        <v>-19384.009791705874</v>
      </c>
    </row>
    <row r="77" spans="1:50" x14ac:dyDescent="0.2">
      <c r="A77" s="30">
        <v>226</v>
      </c>
      <c r="B77" s="47" t="s">
        <v>400</v>
      </c>
      <c r="C77" s="295">
        <v>0.9924859822289589</v>
      </c>
      <c r="D77" s="295">
        <v>1.0772071184519063</v>
      </c>
      <c r="E77" s="295">
        <v>0.98604410467137704</v>
      </c>
      <c r="F77" s="295">
        <v>0.99605735765378089</v>
      </c>
      <c r="G77" s="295">
        <v>0.99423547628730213</v>
      </c>
      <c r="H77" s="295">
        <v>0.98892366844136415</v>
      </c>
      <c r="I77" s="295">
        <v>0.99464253578001238</v>
      </c>
      <c r="J77" s="295">
        <v>0.97301854848705327</v>
      </c>
      <c r="L77" s="41">
        <v>-10092.873800000001</v>
      </c>
      <c r="M77" s="41">
        <f t="shared" si="32"/>
        <v>-10017.035766905927</v>
      </c>
      <c r="N77" s="41">
        <f t="shared" si="33"/>
        <v>-10790.422233898415</v>
      </c>
      <c r="O77" s="41">
        <f t="shared" si="34"/>
        <v>-10639.832230650482</v>
      </c>
      <c r="P77" s="41">
        <f t="shared" si="35"/>
        <v>-10597.883177541253</v>
      </c>
      <c r="Q77" s="41">
        <f t="shared" si="36"/>
        <v>-10536.791428659915</v>
      </c>
      <c r="R77" s="41">
        <f t="shared" si="37"/>
        <v>-10420.082433231886</v>
      </c>
      <c r="S77" s="41">
        <f t="shared" si="38"/>
        <v>-10364.257214426525</v>
      </c>
      <c r="T77" s="41">
        <f t="shared" si="39"/>
        <v>-10084.614510927768</v>
      </c>
      <c r="V77" s="41">
        <f t="shared" si="55"/>
        <v>-10092.873800000001</v>
      </c>
      <c r="W77" s="41">
        <f t="shared" si="56"/>
        <v>-10227.393518010951</v>
      </c>
      <c r="X77" s="41">
        <f t="shared" si="40"/>
        <v>-11157.296589850961</v>
      </c>
      <c r="Y77" s="41">
        <f t="shared" si="41"/>
        <v>-10990.946694261947</v>
      </c>
      <c r="Z77" s="41">
        <f t="shared" si="42"/>
        <v>-10937.015439222572</v>
      </c>
      <c r="AA77" s="41">
        <f t="shared" si="43"/>
        <v>-10821.284797233731</v>
      </c>
      <c r="AB77" s="41">
        <f t="shared" si="44"/>
        <v>-10420.082433231886</v>
      </c>
      <c r="AC77" s="41">
        <f t="shared" si="45"/>
        <v>-10364.257214426525</v>
      </c>
      <c r="AD77" s="41">
        <f t="shared" si="46"/>
        <v>-10084.614510927768</v>
      </c>
      <c r="AF77" s="303">
        <f t="shared" si="47"/>
        <v>7.0739299442269766E-4</v>
      </c>
      <c r="AG77" s="303">
        <f t="shared" si="48"/>
        <v>7.1957796272002609E-4</v>
      </c>
      <c r="AH77" s="303">
        <f t="shared" si="49"/>
        <v>7.1309894056288973E-4</v>
      </c>
      <c r="AI77" s="303">
        <f t="shared" si="50"/>
        <v>7.128992184909144E-4</v>
      </c>
      <c r="AJ77" s="303">
        <f t="shared" si="51"/>
        <v>7.1405637558346073E-4</v>
      </c>
      <c r="AK77" s="303">
        <f t="shared" si="52"/>
        <v>7.1148142702617736E-4</v>
      </c>
      <c r="AL77" s="303">
        <f t="shared" si="53"/>
        <v>7.1261882435174912E-4</v>
      </c>
      <c r="AM77" s="303">
        <f t="shared" si="54"/>
        <v>6.9813863472815551E-4</v>
      </c>
      <c r="AV77" s="41">
        <v>-10091.719999999999</v>
      </c>
      <c r="AW77" s="303">
        <f t="shared" si="58"/>
        <v>6.7547373404667989E-4</v>
      </c>
      <c r="AX77" s="41">
        <f t="shared" si="57"/>
        <v>-9903.0104462441032</v>
      </c>
    </row>
    <row r="78" spans="1:50" x14ac:dyDescent="0.2">
      <c r="A78" s="30">
        <v>230</v>
      </c>
      <c r="B78" s="47" t="s">
        <v>401</v>
      </c>
      <c r="C78" s="295">
        <v>0.98881501973927588</v>
      </c>
      <c r="D78" s="295">
        <v>1.0728540835570604</v>
      </c>
      <c r="E78" s="295">
        <v>0.98935250047556522</v>
      </c>
      <c r="F78" s="295">
        <v>1.0141405598953843</v>
      </c>
      <c r="G78" s="295">
        <v>0.99031055503079435</v>
      </c>
      <c r="H78" s="295">
        <v>0.99724395305476887</v>
      </c>
      <c r="I78" s="295">
        <v>0.99046507708877085</v>
      </c>
      <c r="J78" s="295">
        <v>0.99748875814349069</v>
      </c>
      <c r="L78" s="41">
        <v>-5831.6667800000005</v>
      </c>
      <c r="M78" s="41">
        <f t="shared" si="32"/>
        <v>-5766.4397021785799</v>
      </c>
      <c r="N78" s="41">
        <f t="shared" si="33"/>
        <v>-6186.5483820678483</v>
      </c>
      <c r="O78" s="41">
        <f t="shared" si="34"/>
        <v>-6120.6771111118878</v>
      </c>
      <c r="P78" s="41">
        <f t="shared" si="35"/>
        <v>-6207.2269124018731</v>
      </c>
      <c r="Q78" s="41">
        <f t="shared" si="36"/>
        <v>-6147.082328822783</v>
      </c>
      <c r="R78" s="41">
        <f t="shared" si="37"/>
        <v>-6130.1406813483463</v>
      </c>
      <c r="S78" s="41">
        <f t="shared" si="38"/>
        <v>-6071.6902625167004</v>
      </c>
      <c r="T78" s="41">
        <f t="shared" si="39"/>
        <v>-6056.4427797897088</v>
      </c>
      <c r="V78" s="41">
        <f t="shared" si="55"/>
        <v>-5831.6667800000005</v>
      </c>
      <c r="W78" s="41">
        <f t="shared" si="56"/>
        <v>-5887.5349359243291</v>
      </c>
      <c r="X78" s="41">
        <f t="shared" si="40"/>
        <v>-6396.8910270581555</v>
      </c>
      <c r="Y78" s="41">
        <f t="shared" si="41"/>
        <v>-6322.6594557785793</v>
      </c>
      <c r="Z78" s="41">
        <f t="shared" si="42"/>
        <v>-6405.8581735987327</v>
      </c>
      <c r="AA78" s="41">
        <f t="shared" si="43"/>
        <v>-6313.0535517009976</v>
      </c>
      <c r="AB78" s="41">
        <f t="shared" si="44"/>
        <v>-6130.1406813483463</v>
      </c>
      <c r="AC78" s="41">
        <f t="shared" si="45"/>
        <v>-6071.6902625167004</v>
      </c>
      <c r="AD78" s="41">
        <f t="shared" si="46"/>
        <v>-6056.4427797897088</v>
      </c>
      <c r="AF78" s="303">
        <f t="shared" si="47"/>
        <v>4.0722017401181778E-4</v>
      </c>
      <c r="AG78" s="303">
        <f t="shared" si="48"/>
        <v>4.1256067506349314E-4</v>
      </c>
      <c r="AH78" s="303">
        <f t="shared" si="49"/>
        <v>4.1021778058567904E-4</v>
      </c>
      <c r="AI78" s="303">
        <f t="shared" si="50"/>
        <v>4.1754821606494746E-4</v>
      </c>
      <c r="AJ78" s="303">
        <f t="shared" si="51"/>
        <v>4.165749467331519E-4</v>
      </c>
      <c r="AK78" s="303">
        <f t="shared" si="52"/>
        <v>4.1856494589018244E-4</v>
      </c>
      <c r="AL78" s="303">
        <f t="shared" si="53"/>
        <v>4.174733111293229E-4</v>
      </c>
      <c r="AM78" s="303">
        <f t="shared" si="54"/>
        <v>4.1927598610832687E-4</v>
      </c>
      <c r="AV78" s="41">
        <v>-6018.5709999999999</v>
      </c>
      <c r="AW78" s="303">
        <f t="shared" si="58"/>
        <v>4.0284377955344188E-4</v>
      </c>
      <c r="AX78" s="41">
        <f t="shared" si="57"/>
        <v>-5906.0270681768634</v>
      </c>
    </row>
    <row r="79" spans="1:50" x14ac:dyDescent="0.2">
      <c r="A79" s="30">
        <v>231</v>
      </c>
      <c r="B79" s="47" t="s">
        <v>402</v>
      </c>
      <c r="C79" s="295">
        <v>1.0013661733531072</v>
      </c>
      <c r="D79" s="295">
        <v>1.0345224584271486</v>
      </c>
      <c r="E79" s="295">
        <v>1.0145160111564413</v>
      </c>
      <c r="F79" s="295">
        <v>1.0020632713008619</v>
      </c>
      <c r="G79" s="295">
        <v>1.0007783414715996</v>
      </c>
      <c r="H79" s="295">
        <v>1.0002592453757724</v>
      </c>
      <c r="I79" s="295">
        <v>1.0002591781850267</v>
      </c>
      <c r="J79" s="295">
        <v>0.98997051543532266</v>
      </c>
      <c r="L79" s="41">
        <v>-3852.6497100000001</v>
      </c>
      <c r="M79" s="41">
        <f t="shared" si="32"/>
        <v>-3857.9130973726583</v>
      </c>
      <c r="N79" s="41">
        <f t="shared" si="33"/>
        <v>-3991.097741892258</v>
      </c>
      <c r="O79" s="41">
        <f t="shared" si="34"/>
        <v>-4049.0325612400138</v>
      </c>
      <c r="P79" s="41">
        <f t="shared" si="35"/>
        <v>-4057.3868139198757</v>
      </c>
      <c r="Q79" s="41">
        <f t="shared" si="36"/>
        <v>-4060.5448463434709</v>
      </c>
      <c r="R79" s="41">
        <f t="shared" si="37"/>
        <v>-4061.5975238180017</v>
      </c>
      <c r="S79" s="41">
        <f t="shared" si="38"/>
        <v>-4062.6502012925339</v>
      </c>
      <c r="T79" s="41">
        <f t="shared" si="39"/>
        <v>-4021.903913806987</v>
      </c>
      <c r="V79" s="41">
        <f t="shared" si="55"/>
        <v>-3852.6497100000001</v>
      </c>
      <c r="W79" s="41">
        <f t="shared" si="56"/>
        <v>-3938.9292724174838</v>
      </c>
      <c r="X79" s="41">
        <f t="shared" si="40"/>
        <v>-4126.7950651165947</v>
      </c>
      <c r="Y79" s="41">
        <f t="shared" si="41"/>
        <v>-4182.6506357609342</v>
      </c>
      <c r="Z79" s="41">
        <f t="shared" si="42"/>
        <v>-4187.2231919653123</v>
      </c>
      <c r="AA79" s="41">
        <f t="shared" si="43"/>
        <v>-4170.1795571947441</v>
      </c>
      <c r="AB79" s="41">
        <f t="shared" si="44"/>
        <v>-4061.5975238180017</v>
      </c>
      <c r="AC79" s="41">
        <f t="shared" si="45"/>
        <v>-4062.6502012925339</v>
      </c>
      <c r="AD79" s="41">
        <f t="shared" si="46"/>
        <v>-4021.903913806987</v>
      </c>
      <c r="AF79" s="303">
        <f t="shared" si="47"/>
        <v>2.7244194407183834E-4</v>
      </c>
      <c r="AG79" s="303">
        <f t="shared" si="48"/>
        <v>2.6615325330876804E-4</v>
      </c>
      <c r="AH79" s="303">
        <f t="shared" si="49"/>
        <v>2.7137277798490011E-4</v>
      </c>
      <c r="AI79" s="303">
        <f t="shared" si="50"/>
        <v>2.7293260741810641E-4</v>
      </c>
      <c r="AJ79" s="303">
        <f t="shared" si="51"/>
        <v>2.7517465402111281E-4</v>
      </c>
      <c r="AK79" s="303">
        <f t="shared" si="52"/>
        <v>2.773251767218253E-4</v>
      </c>
      <c r="AL79" s="303">
        <f t="shared" si="53"/>
        <v>2.793370475375331E-4</v>
      </c>
      <c r="AM79" s="303">
        <f t="shared" si="54"/>
        <v>2.7842873957655305E-4</v>
      </c>
      <c r="AV79" s="41">
        <v>-3674.6950000000002</v>
      </c>
      <c r="AW79" s="303">
        <f t="shared" si="58"/>
        <v>2.4596004973707799E-4</v>
      </c>
      <c r="AX79" s="41">
        <f t="shared" si="57"/>
        <v>-3605.9802463565161</v>
      </c>
    </row>
    <row r="80" spans="1:50" x14ac:dyDescent="0.2">
      <c r="A80" s="30">
        <v>232</v>
      </c>
      <c r="B80" s="47" t="s">
        <v>403</v>
      </c>
      <c r="C80" s="295">
        <v>0.97910648014773582</v>
      </c>
      <c r="D80" s="295">
        <v>1.0478941624952063</v>
      </c>
      <c r="E80" s="295">
        <v>0.97418510249524304</v>
      </c>
      <c r="F80" s="295">
        <v>0.98209304228246963</v>
      </c>
      <c r="G80" s="295">
        <v>0.97692710598945631</v>
      </c>
      <c r="H80" s="295">
        <v>0.98220214275650075</v>
      </c>
      <c r="I80" s="295">
        <v>0.98643710854010791</v>
      </c>
      <c r="J80" s="295">
        <v>0.97536413294217039</v>
      </c>
      <c r="L80" s="41">
        <v>-33249.800149999995</v>
      </c>
      <c r="M80" s="41">
        <f t="shared" si="32"/>
        <v>-32555.094790482155</v>
      </c>
      <c r="N80" s="41">
        <f t="shared" si="33"/>
        <v>-34114.293790424352</v>
      </c>
      <c r="O80" s="41">
        <f t="shared" si="34"/>
        <v>-33233.636792777383</v>
      </c>
      <c r="P80" s="41">
        <f t="shared" si="35"/>
        <v>-32638.523463929356</v>
      </c>
      <c r="Q80" s="41">
        <f t="shared" si="36"/>
        <v>-31885.458271385469</v>
      </c>
      <c r="R80" s="41">
        <f t="shared" si="37"/>
        <v>-31317.9654369278</v>
      </c>
      <c r="S80" s="41">
        <f t="shared" si="38"/>
        <v>-30893.203270962094</v>
      </c>
      <c r="T80" s="41">
        <f t="shared" si="39"/>
        <v>-30132.122422188164</v>
      </c>
      <c r="V80" s="41">
        <f t="shared" si="55"/>
        <v>-33249.800149999995</v>
      </c>
      <c r="W80" s="41">
        <f t="shared" si="56"/>
        <v>-33238.751781082276</v>
      </c>
      <c r="X80" s="41">
        <f t="shared" si="40"/>
        <v>-35274.179779298778</v>
      </c>
      <c r="Y80" s="41">
        <f t="shared" si="41"/>
        <v>-34330.346806939036</v>
      </c>
      <c r="Z80" s="41">
        <f t="shared" si="42"/>
        <v>-33682.956214775098</v>
      </c>
      <c r="AA80" s="41">
        <f t="shared" si="43"/>
        <v>-32746.365644712874</v>
      </c>
      <c r="AB80" s="41">
        <f t="shared" si="44"/>
        <v>-31317.9654369278</v>
      </c>
      <c r="AC80" s="41">
        <f t="shared" si="45"/>
        <v>-30893.203270962094</v>
      </c>
      <c r="AD80" s="41">
        <f t="shared" si="46"/>
        <v>-30132.122422188164</v>
      </c>
      <c r="AF80" s="303">
        <f t="shared" si="47"/>
        <v>2.2990080622091293E-3</v>
      </c>
      <c r="AG80" s="303">
        <f t="shared" si="48"/>
        <v>2.2749706631709082E-3</v>
      </c>
      <c r="AH80" s="303">
        <f t="shared" si="49"/>
        <v>2.2273726384248222E-3</v>
      </c>
      <c r="AI80" s="303">
        <f t="shared" si="50"/>
        <v>2.1955306998893403E-3</v>
      </c>
      <c r="AJ80" s="303">
        <f t="shared" si="51"/>
        <v>2.1608109946216194E-3</v>
      </c>
      <c r="AK80" s="303">
        <f t="shared" si="52"/>
        <v>2.138385265509927E-3</v>
      </c>
      <c r="AL80" s="303">
        <f t="shared" si="53"/>
        <v>2.1241346813323713E-3</v>
      </c>
      <c r="AM80" s="303">
        <f t="shared" si="54"/>
        <v>2.0859893837779204E-3</v>
      </c>
      <c r="AV80" s="41">
        <v>-32390.258000000002</v>
      </c>
      <c r="AW80" s="303">
        <f t="shared" si="58"/>
        <v>2.167992028910369E-3</v>
      </c>
      <c r="AX80" s="41">
        <f t="shared" si="57"/>
        <v>-31784.578181969147</v>
      </c>
    </row>
    <row r="81" spans="1:50" x14ac:dyDescent="0.2">
      <c r="A81" s="30">
        <v>233</v>
      </c>
      <c r="B81" s="47" t="s">
        <v>404</v>
      </c>
      <c r="C81" s="295">
        <v>0.96860168659831525</v>
      </c>
      <c r="D81" s="295">
        <v>1.0199705350510717</v>
      </c>
      <c r="E81" s="295">
        <v>0.9688187257249099</v>
      </c>
      <c r="F81" s="295">
        <v>0.97621964388425331</v>
      </c>
      <c r="G81" s="295">
        <v>0.9692452534812388</v>
      </c>
      <c r="H81" s="295">
        <v>0.9749698033148213</v>
      </c>
      <c r="I81" s="295">
        <v>0.97339585185296318</v>
      </c>
      <c r="J81" s="295">
        <v>0.978023925228659</v>
      </c>
      <c r="L81" s="41">
        <v>-39220.228040000002</v>
      </c>
      <c r="M81" s="41">
        <f t="shared" si="32"/>
        <v>-37988.779028314537</v>
      </c>
      <c r="N81" s="41">
        <f t="shared" si="33"/>
        <v>-38747.435271446913</v>
      </c>
      <c r="O81" s="41">
        <f t="shared" si="34"/>
        <v>-37539.240864791624</v>
      </c>
      <c r="P81" s="41">
        <f t="shared" si="35"/>
        <v>-36646.544348712087</v>
      </c>
      <c r="Q81" s="41">
        <f t="shared" si="36"/>
        <v>-35519.489166478903</v>
      </c>
      <c r="R81" s="41">
        <f t="shared" si="37"/>
        <v>-34630.429366484859</v>
      </c>
      <c r="S81" s="41">
        <f t="shared" si="38"/>
        <v>-33709.1162932234</v>
      </c>
      <c r="T81" s="41">
        <f t="shared" si="39"/>
        <v>-32968.322233087696</v>
      </c>
      <c r="V81" s="41">
        <f t="shared" si="55"/>
        <v>-39220.228040000002</v>
      </c>
      <c r="W81" s="41">
        <f t="shared" si="56"/>
        <v>-38786.543387909136</v>
      </c>
      <c r="X81" s="41">
        <f t="shared" si="40"/>
        <v>-40064.848070676111</v>
      </c>
      <c r="Y81" s="41">
        <f t="shared" si="41"/>
        <v>-38778.035813329741</v>
      </c>
      <c r="Z81" s="41">
        <f t="shared" si="42"/>
        <v>-37819.233767870872</v>
      </c>
      <c r="AA81" s="41">
        <f t="shared" si="43"/>
        <v>-36478.515373973831</v>
      </c>
      <c r="AB81" s="41">
        <f t="shared" si="44"/>
        <v>-34630.429366484859</v>
      </c>
      <c r="AC81" s="41">
        <f t="shared" si="45"/>
        <v>-33709.1162932234</v>
      </c>
      <c r="AD81" s="41">
        <f t="shared" si="46"/>
        <v>-32968.322233087696</v>
      </c>
      <c r="AF81" s="303">
        <f t="shared" si="47"/>
        <v>2.6827293798914083E-3</v>
      </c>
      <c r="AG81" s="303">
        <f t="shared" si="48"/>
        <v>2.583939713282247E-3</v>
      </c>
      <c r="AH81" s="303">
        <f t="shared" si="49"/>
        <v>2.5159412582750344E-3</v>
      </c>
      <c r="AI81" s="303">
        <f t="shared" si="50"/>
        <v>2.4651425561996662E-3</v>
      </c>
      <c r="AJ81" s="303">
        <f t="shared" si="51"/>
        <v>2.4070816878661153E-3</v>
      </c>
      <c r="AK81" s="303">
        <f t="shared" si="52"/>
        <v>2.3645597299323763E-3</v>
      </c>
      <c r="AL81" s="303">
        <f t="shared" si="53"/>
        <v>2.3177493886755514E-3</v>
      </c>
      <c r="AM81" s="303">
        <f t="shared" si="54"/>
        <v>2.2823340890368118E-3</v>
      </c>
      <c r="AV81" s="41">
        <v>-40190.730000000003</v>
      </c>
      <c r="AW81" s="303">
        <f t="shared" si="58"/>
        <v>2.690104607258418E-3</v>
      </c>
      <c r="AX81" s="41">
        <f t="shared" si="57"/>
        <v>-39439.185692050145</v>
      </c>
    </row>
    <row r="82" spans="1:50" x14ac:dyDescent="0.2">
      <c r="A82" s="30">
        <v>235</v>
      </c>
      <c r="B82" s="47" t="s">
        <v>405</v>
      </c>
      <c r="C82" s="295">
        <v>1.0072706307828461</v>
      </c>
      <c r="D82" s="295">
        <v>1.0290073199564924</v>
      </c>
      <c r="E82" s="295">
        <v>1.0039929177377296</v>
      </c>
      <c r="F82" s="295">
        <v>1.0107864195281304</v>
      </c>
      <c r="G82" s="295">
        <v>1.0072460315906167</v>
      </c>
      <c r="H82" s="295">
        <v>1.0010455969849907</v>
      </c>
      <c r="I82" s="295">
        <v>1.004266229207331</v>
      </c>
      <c r="J82" s="295">
        <v>1.0004443189243459</v>
      </c>
      <c r="L82" s="41">
        <v>-39122.297009999995</v>
      </c>
      <c r="M82" s="41">
        <f t="shared" si="32"/>
        <v>-39406.740786936549</v>
      </c>
      <c r="N82" s="41">
        <f t="shared" si="33"/>
        <v>-40549.824725385777</v>
      </c>
      <c r="O82" s="41">
        <f t="shared" si="34"/>
        <v>-40711.736839793593</v>
      </c>
      <c r="P82" s="41">
        <f t="shared" si="35"/>
        <v>-41150.870713066448</v>
      </c>
      <c r="Q82" s="41">
        <f t="shared" si="36"/>
        <v>-41449.05122223471</v>
      </c>
      <c r="R82" s="41">
        <f t="shared" si="37"/>
        <v>-41492.390225223404</v>
      </c>
      <c r="S82" s="41">
        <f t="shared" si="38"/>
        <v>-41669.406272284228</v>
      </c>
      <c r="T82" s="41">
        <f t="shared" si="39"/>
        <v>-41687.920778057261</v>
      </c>
      <c r="V82" s="41">
        <f t="shared" si="55"/>
        <v>-39122.297009999995</v>
      </c>
      <c r="W82" s="41">
        <f t="shared" si="56"/>
        <v>-40234.282343462211</v>
      </c>
      <c r="X82" s="41">
        <f t="shared" si="40"/>
        <v>-41928.518766048895</v>
      </c>
      <c r="Y82" s="41">
        <f t="shared" si="41"/>
        <v>-42055.224155506781</v>
      </c>
      <c r="Z82" s="41">
        <f t="shared" si="42"/>
        <v>-42467.698575884577</v>
      </c>
      <c r="AA82" s="41">
        <f t="shared" si="43"/>
        <v>-42568.175605235047</v>
      </c>
      <c r="AB82" s="41">
        <f t="shared" si="44"/>
        <v>-41492.390225223404</v>
      </c>
      <c r="AC82" s="41">
        <f t="shared" si="45"/>
        <v>-41669.406272284228</v>
      </c>
      <c r="AD82" s="41">
        <f t="shared" si="46"/>
        <v>-41687.920778057261</v>
      </c>
      <c r="AF82" s="303">
        <f t="shared" si="47"/>
        <v>2.7828644136228819E-3</v>
      </c>
      <c r="AG82" s="303">
        <f t="shared" si="48"/>
        <v>2.7041351702513866E-3</v>
      </c>
      <c r="AH82" s="303">
        <f t="shared" si="49"/>
        <v>2.7285671220736059E-3</v>
      </c>
      <c r="AI82" s="303">
        <f t="shared" si="50"/>
        <v>2.7681399275786213E-3</v>
      </c>
      <c r="AJ82" s="303">
        <f t="shared" si="51"/>
        <v>2.8089157394364708E-3</v>
      </c>
      <c r="AK82" s="303">
        <f t="shared" si="52"/>
        <v>2.8330932310112948E-3</v>
      </c>
      <c r="AL82" s="303">
        <f t="shared" si="53"/>
        <v>2.8650778048867286E-3</v>
      </c>
      <c r="AM82" s="303">
        <f t="shared" si="54"/>
        <v>2.885975271053855E-3</v>
      </c>
      <c r="AV82" s="41">
        <v>-42245.11</v>
      </c>
      <c r="AW82" s="303">
        <f t="shared" si="58"/>
        <v>2.8276113682219424E-3</v>
      </c>
      <c r="AX82" s="41">
        <f t="shared" si="57"/>
        <v>-41455.149928132298</v>
      </c>
    </row>
    <row r="83" spans="1:50" x14ac:dyDescent="0.2">
      <c r="A83" s="30">
        <v>236</v>
      </c>
      <c r="B83" s="47" t="s">
        <v>406</v>
      </c>
      <c r="C83" s="295">
        <v>0.99763398959929117</v>
      </c>
      <c r="D83" s="295">
        <v>1.0299387793626411</v>
      </c>
      <c r="E83" s="295">
        <v>0.99786998553194173</v>
      </c>
      <c r="F83" s="295">
        <v>0.98664209697357019</v>
      </c>
      <c r="G83" s="295">
        <v>0.99381653791797686</v>
      </c>
      <c r="H83" s="295">
        <v>0.9886513318038378</v>
      </c>
      <c r="I83" s="295">
        <v>0.99818692060964143</v>
      </c>
      <c r="J83" s="295">
        <v>0.99180200569824772</v>
      </c>
      <c r="L83" s="41">
        <v>-12014.91877</v>
      </c>
      <c r="M83" s="41">
        <f t="shared" si="32"/>
        <v>-11986.491347226509</v>
      </c>
      <c r="N83" s="41">
        <f t="shared" si="33"/>
        <v>-12345.352267003331</v>
      </c>
      <c r="O83" s="41">
        <f t="shared" si="34"/>
        <v>-12319.056488061338</v>
      </c>
      <c r="P83" s="41">
        <f t="shared" si="35"/>
        <v>-12154.499726116705</v>
      </c>
      <c r="Q83" s="41">
        <f t="shared" si="36"/>
        <v>-12079.3428379343</v>
      </c>
      <c r="R83" s="41">
        <f t="shared" si="37"/>
        <v>-11942.258384038896</v>
      </c>
      <c r="S83" s="41">
        <f t="shared" si="38"/>
        <v>-11920.606121488458</v>
      </c>
      <c r="T83" s="41">
        <f t="shared" si="39"/>
        <v>-11822.881060431062</v>
      </c>
      <c r="V83" s="41">
        <f t="shared" si="55"/>
        <v>-12014.91877</v>
      </c>
      <c r="W83" s="41">
        <f t="shared" si="56"/>
        <v>-12238.207665518265</v>
      </c>
      <c r="X83" s="41">
        <f t="shared" si="40"/>
        <v>-12765.094244081445</v>
      </c>
      <c r="Y83" s="41">
        <f t="shared" si="41"/>
        <v>-12725.585352167362</v>
      </c>
      <c r="Z83" s="41">
        <f t="shared" si="42"/>
        <v>-12543.44371735244</v>
      </c>
      <c r="AA83" s="41">
        <f t="shared" si="43"/>
        <v>-12405.485094558526</v>
      </c>
      <c r="AB83" s="41">
        <f t="shared" si="44"/>
        <v>-11942.258384038896</v>
      </c>
      <c r="AC83" s="41">
        <f t="shared" si="45"/>
        <v>-11920.606121488458</v>
      </c>
      <c r="AD83" s="41">
        <f t="shared" si="46"/>
        <v>-11822.881060431062</v>
      </c>
      <c r="AF83" s="303">
        <f t="shared" si="47"/>
        <v>8.4647396735365436E-4</v>
      </c>
      <c r="AG83" s="303">
        <f t="shared" si="48"/>
        <v>8.2327116036698964E-4</v>
      </c>
      <c r="AH83" s="303">
        <f t="shared" si="49"/>
        <v>8.2564329398583647E-4</v>
      </c>
      <c r="AI83" s="303">
        <f t="shared" si="50"/>
        <v>8.1760981987979693E-4</v>
      </c>
      <c r="AJ83" s="303">
        <f t="shared" si="51"/>
        <v>8.1859186685850384E-4</v>
      </c>
      <c r="AK83" s="303">
        <f t="shared" si="52"/>
        <v>8.154153377802017E-4</v>
      </c>
      <c r="AL83" s="303">
        <f t="shared" si="53"/>
        <v>8.1962924540612196E-4</v>
      </c>
      <c r="AM83" s="303">
        <f t="shared" si="54"/>
        <v>8.1847551367864372E-4</v>
      </c>
      <c r="AV83" s="41">
        <v>-12135.918</v>
      </c>
      <c r="AW83" s="303">
        <f t="shared" si="58"/>
        <v>8.1229897852341478E-4</v>
      </c>
      <c r="AX83" s="41">
        <f t="shared" si="57"/>
        <v>-11908.98308006582</v>
      </c>
    </row>
    <row r="84" spans="1:50" x14ac:dyDescent="0.2">
      <c r="A84" s="30">
        <v>239</v>
      </c>
      <c r="B84" s="47" t="s">
        <v>407</v>
      </c>
      <c r="C84" s="295">
        <v>0.9866642365892152</v>
      </c>
      <c r="D84" s="295">
        <v>1.0261228271105263</v>
      </c>
      <c r="E84" s="295">
        <v>0.99585862646732837</v>
      </c>
      <c r="F84" s="295">
        <v>0.99633693349503738</v>
      </c>
      <c r="G84" s="295">
        <v>0.99569862054704827</v>
      </c>
      <c r="H84" s="295">
        <v>0.987531316365302</v>
      </c>
      <c r="I84" s="295">
        <v>0.98754886555888199</v>
      </c>
      <c r="J84" s="295">
        <v>0.99574752653248932</v>
      </c>
      <c r="L84" s="41">
        <v>-5548.7378499999995</v>
      </c>
      <c r="M84" s="41">
        <f t="shared" si="32"/>
        <v>-5474.7411948039326</v>
      </c>
      <c r="N84" s="41">
        <f t="shared" si="33"/>
        <v>-5617.756912510672</v>
      </c>
      <c r="O84" s="41">
        <f t="shared" si="34"/>
        <v>-5594.4916827202169</v>
      </c>
      <c r="P84" s="41">
        <f t="shared" si="35"/>
        <v>-5573.9986876249523</v>
      </c>
      <c r="Q84" s="41">
        <f t="shared" si="36"/>
        <v>-5550.0228041992223</v>
      </c>
      <c r="R84" s="41">
        <f t="shared" si="37"/>
        <v>-5480.8213256883027</v>
      </c>
      <c r="S84" s="41">
        <f t="shared" si="38"/>
        <v>-5412.5788825144109</v>
      </c>
      <c r="T84" s="41">
        <f t="shared" si="39"/>
        <v>-5389.5620344257095</v>
      </c>
      <c r="V84" s="41">
        <f t="shared" si="55"/>
        <v>-5548.7378499999995</v>
      </c>
      <c r="W84" s="41">
        <f t="shared" si="56"/>
        <v>-5589.7107598948151</v>
      </c>
      <c r="X84" s="41">
        <f t="shared" si="40"/>
        <v>-5808.7606475360353</v>
      </c>
      <c r="Y84" s="41">
        <f t="shared" si="41"/>
        <v>-5779.1099082499832</v>
      </c>
      <c r="Z84" s="41">
        <f t="shared" si="42"/>
        <v>-5752.3666456289511</v>
      </c>
      <c r="AA84" s="41">
        <f t="shared" si="43"/>
        <v>-5699.8734199126011</v>
      </c>
      <c r="AB84" s="41">
        <f t="shared" si="44"/>
        <v>-5480.8213256883027</v>
      </c>
      <c r="AC84" s="41">
        <f t="shared" si="45"/>
        <v>-5412.5788825144109</v>
      </c>
      <c r="AD84" s="41">
        <f t="shared" si="46"/>
        <v>-5389.5620344257095</v>
      </c>
      <c r="AF84" s="303">
        <f t="shared" si="47"/>
        <v>3.8662071870368137E-4</v>
      </c>
      <c r="AG84" s="303">
        <f t="shared" si="48"/>
        <v>3.7462983250659238E-4</v>
      </c>
      <c r="AH84" s="303">
        <f t="shared" si="49"/>
        <v>3.7495197343838052E-4</v>
      </c>
      <c r="AI84" s="303">
        <f t="shared" si="50"/>
        <v>3.7495217126927454E-4</v>
      </c>
      <c r="AJ84" s="303">
        <f t="shared" si="51"/>
        <v>3.7611346820367648E-4</v>
      </c>
      <c r="AK84" s="303">
        <f t="shared" si="52"/>
        <v>3.7422953254571826E-4</v>
      </c>
      <c r="AL84" s="303">
        <f t="shared" si="53"/>
        <v>3.72154561602314E-4</v>
      </c>
      <c r="AM84" s="303">
        <f t="shared" si="54"/>
        <v>3.7310910361714031E-4</v>
      </c>
      <c r="AV84" s="41">
        <v>-5373.4480000000003</v>
      </c>
      <c r="AW84" s="303">
        <f t="shared" si="58"/>
        <v>3.5966346522353616E-4</v>
      </c>
      <c r="AX84" s="41">
        <f t="shared" si="57"/>
        <v>-5272.9675096365618</v>
      </c>
    </row>
    <row r="85" spans="1:50" x14ac:dyDescent="0.2">
      <c r="A85" s="30">
        <v>240</v>
      </c>
      <c r="B85" s="47" t="s">
        <v>408</v>
      </c>
      <c r="C85" s="295">
        <v>0.96935250399473072</v>
      </c>
      <c r="D85" s="295">
        <v>1.0953437415405636</v>
      </c>
      <c r="E85" s="295">
        <v>0.98107979954308844</v>
      </c>
      <c r="F85" s="295">
        <v>0.97889440122933258</v>
      </c>
      <c r="G85" s="295">
        <v>0.97727803416711423</v>
      </c>
      <c r="H85" s="295">
        <v>0.97760193486418245</v>
      </c>
      <c r="I85" s="295">
        <v>0.98095395678935093</v>
      </c>
      <c r="J85" s="295">
        <v>0.9776936299203276</v>
      </c>
      <c r="L85" s="41">
        <v>-43140.993340000001</v>
      </c>
      <c r="M85" s="41">
        <f t="shared" si="32"/>
        <v>-41818.829918948999</v>
      </c>
      <c r="N85" s="41">
        <f t="shared" si="33"/>
        <v>-45805.993630270059</v>
      </c>
      <c r="O85" s="41">
        <f t="shared" si="34"/>
        <v>-44939.335048657333</v>
      </c>
      <c r="P85" s="41">
        <f t="shared" si="35"/>
        <v>-43990.86347409978</v>
      </c>
      <c r="Q85" s="41">
        <f t="shared" si="36"/>
        <v>-42991.304577282142</v>
      </c>
      <c r="R85" s="41">
        <f t="shared" si="37"/>
        <v>-42028.382537086407</v>
      </c>
      <c r="S85" s="41">
        <f t="shared" si="38"/>
        <v>-41227.908147211368</v>
      </c>
      <c r="T85" s="41">
        <f t="shared" si="39"/>
        <v>-40308.263170468934</v>
      </c>
      <c r="V85" s="41">
        <f t="shared" si="55"/>
        <v>-43140.993340000001</v>
      </c>
      <c r="W85" s="41">
        <f t="shared" si="56"/>
        <v>-42697.025347246927</v>
      </c>
      <c r="X85" s="41">
        <f t="shared" si="40"/>
        <v>-47363.39741369924</v>
      </c>
      <c r="Y85" s="41">
        <f t="shared" si="41"/>
        <v>-46422.333105263024</v>
      </c>
      <c r="Z85" s="41">
        <f t="shared" si="42"/>
        <v>-45398.571105270974</v>
      </c>
      <c r="AA85" s="41">
        <f t="shared" si="43"/>
        <v>-44152.069800868754</v>
      </c>
      <c r="AB85" s="41">
        <f t="shared" si="44"/>
        <v>-42028.382537086407</v>
      </c>
      <c r="AC85" s="41">
        <f t="shared" si="45"/>
        <v>-41227.908147211368</v>
      </c>
      <c r="AD85" s="41">
        <f t="shared" si="46"/>
        <v>-40308.263170468934</v>
      </c>
      <c r="AF85" s="303">
        <f t="shared" si="47"/>
        <v>2.9532037229369162E-3</v>
      </c>
      <c r="AG85" s="303">
        <f t="shared" si="48"/>
        <v>3.0546518813034363E-3</v>
      </c>
      <c r="AH85" s="303">
        <f t="shared" si="49"/>
        <v>3.0119076615213783E-3</v>
      </c>
      <c r="AI85" s="303">
        <f t="shared" si="50"/>
        <v>2.9591807784676983E-3</v>
      </c>
      <c r="AJ85" s="303">
        <f t="shared" si="51"/>
        <v>2.9134310321982881E-3</v>
      </c>
      <c r="AK85" s="303">
        <f t="shared" si="52"/>
        <v>2.8696906933982666E-3</v>
      </c>
      <c r="AL85" s="303">
        <f t="shared" si="53"/>
        <v>2.834721565328626E-3</v>
      </c>
      <c r="AM85" s="303">
        <f t="shared" si="54"/>
        <v>2.7904642054092229E-3</v>
      </c>
      <c r="AV85" s="41">
        <v>-47395.233999999997</v>
      </c>
      <c r="AW85" s="303">
        <f t="shared" si="58"/>
        <v>3.1723269854887133E-3</v>
      </c>
      <c r="AX85" s="41">
        <f t="shared" si="57"/>
        <v>-46508.969472417353</v>
      </c>
    </row>
    <row r="86" spans="1:50" x14ac:dyDescent="0.2">
      <c r="A86" s="30">
        <v>241</v>
      </c>
      <c r="B86" s="47" t="s">
        <v>409</v>
      </c>
      <c r="C86" s="295">
        <v>0.98391228124557673</v>
      </c>
      <c r="D86" s="295">
        <v>1.0366081577672133</v>
      </c>
      <c r="E86" s="295">
        <v>0.98575206374348678</v>
      </c>
      <c r="F86" s="295">
        <v>0.98881998740918575</v>
      </c>
      <c r="G86" s="295">
        <v>0.97511347440260721</v>
      </c>
      <c r="H86" s="295">
        <v>0.97954320989409271</v>
      </c>
      <c r="I86" s="295">
        <v>0.97722180902987432</v>
      </c>
      <c r="J86" s="295">
        <v>0.98101910536928827</v>
      </c>
      <c r="L86" s="41">
        <v>-19775.451000000001</v>
      </c>
      <c r="M86" s="41">
        <f t="shared" si="32"/>
        <v>-19457.309106070123</v>
      </c>
      <c r="N86" s="41">
        <f t="shared" si="33"/>
        <v>-20169.605347550572</v>
      </c>
      <c r="O86" s="41">
        <f t="shared" si="34"/>
        <v>-19882.230096239644</v>
      </c>
      <c r="P86" s="41">
        <f t="shared" si="35"/>
        <v>-19659.946513430219</v>
      </c>
      <c r="Q86" s="41">
        <f t="shared" si="36"/>
        <v>-19170.678751280364</v>
      </c>
      <c r="R86" s="41">
        <f t="shared" si="37"/>
        <v>-18778.508199877644</v>
      </c>
      <c r="S86" s="41">
        <f t="shared" si="38"/>
        <v>-18350.76775396676</v>
      </c>
      <c r="T86" s="41">
        <f t="shared" si="39"/>
        <v>-18002.453764836053</v>
      </c>
      <c r="V86" s="41">
        <f t="shared" si="55"/>
        <v>-19775.451000000001</v>
      </c>
      <c r="W86" s="41">
        <f t="shared" si="56"/>
        <v>-19865.912597297593</v>
      </c>
      <c r="X86" s="41">
        <f t="shared" si="40"/>
        <v>-20855.371929367291</v>
      </c>
      <c r="Y86" s="41">
        <f t="shared" si="41"/>
        <v>-20538.343689415549</v>
      </c>
      <c r="Z86" s="41">
        <f t="shared" si="42"/>
        <v>-20289.064801859986</v>
      </c>
      <c r="AA86" s="41">
        <f t="shared" si="43"/>
        <v>-19688.287077564932</v>
      </c>
      <c r="AB86" s="41">
        <f t="shared" si="44"/>
        <v>-18778.508199877644</v>
      </c>
      <c r="AC86" s="41">
        <f t="shared" si="45"/>
        <v>-18350.76775396676</v>
      </c>
      <c r="AD86" s="41">
        <f t="shared" si="46"/>
        <v>-18002.453764836053</v>
      </c>
      <c r="AF86" s="303">
        <f t="shared" si="47"/>
        <v>1.3740556060929784E-3</v>
      </c>
      <c r="AG86" s="303">
        <f t="shared" si="48"/>
        <v>1.3450450047508325E-3</v>
      </c>
      <c r="AH86" s="303">
        <f t="shared" si="49"/>
        <v>1.3325395467057377E-3</v>
      </c>
      <c r="AI86" s="303">
        <f t="shared" si="50"/>
        <v>1.3224867900694525E-3</v>
      </c>
      <c r="AJ86" s="303">
        <f t="shared" si="51"/>
        <v>1.299156909320649E-3</v>
      </c>
      <c r="AK86" s="303">
        <f t="shared" si="52"/>
        <v>1.2821932932950721E-3</v>
      </c>
      <c r="AL86" s="303">
        <f t="shared" si="53"/>
        <v>1.2617500967248391E-3</v>
      </c>
      <c r="AM86" s="303">
        <f t="shared" si="54"/>
        <v>1.2462755497020114E-3</v>
      </c>
      <c r="AV86" s="41">
        <v>-20729.8</v>
      </c>
      <c r="AW86" s="303">
        <f t="shared" si="58"/>
        <v>1.3875172331417108E-3</v>
      </c>
      <c r="AX86" s="41">
        <f t="shared" si="57"/>
        <v>-20342.164264223644</v>
      </c>
    </row>
    <row r="87" spans="1:50" x14ac:dyDescent="0.2">
      <c r="A87" s="30">
        <v>244</v>
      </c>
      <c r="B87" s="47" t="s">
        <v>410</v>
      </c>
      <c r="C87" s="295">
        <v>0.9992933112931035</v>
      </c>
      <c r="D87" s="295">
        <v>1.0451293121333034</v>
      </c>
      <c r="E87" s="295">
        <v>1.007717729340222</v>
      </c>
      <c r="F87" s="295">
        <v>0.99526859275787349</v>
      </c>
      <c r="G87" s="295">
        <v>1.0033565683076129</v>
      </c>
      <c r="H87" s="295">
        <v>1.000200043285413</v>
      </c>
      <c r="I87" s="295">
        <v>1.0044077167195711</v>
      </c>
      <c r="J87" s="295">
        <v>1.0009004163008179</v>
      </c>
      <c r="L87" s="41">
        <v>-59038.29767</v>
      </c>
      <c r="M87" s="41">
        <f t="shared" si="32"/>
        <v>-58996.57597176222</v>
      </c>
      <c r="N87" s="41">
        <f t="shared" si="33"/>
        <v>-61659.050863588025</v>
      </c>
      <c r="O87" s="41">
        <f t="shared" si="34"/>
        <v>-62134.918729528174</v>
      </c>
      <c r="P87" s="41">
        <f t="shared" si="35"/>
        <v>-61840.933125062344</v>
      </c>
      <c r="Q87" s="41">
        <f t="shared" si="36"/>
        <v>-62048.506441303136</v>
      </c>
      <c r="R87" s="41">
        <f t="shared" si="37"/>
        <v>-62060.918828386624</v>
      </c>
      <c r="S87" s="41">
        <f t="shared" si="38"/>
        <v>-62334.465777938451</v>
      </c>
      <c r="T87" s="41">
        <f t="shared" si="39"/>
        <v>-62390.592747027687</v>
      </c>
      <c r="V87" s="41">
        <f t="shared" si="55"/>
        <v>-59038.29767</v>
      </c>
      <c r="W87" s="41">
        <f t="shared" si="56"/>
        <v>-60235.504067169219</v>
      </c>
      <c r="X87" s="41">
        <f t="shared" si="40"/>
        <v>-63755.458592950017</v>
      </c>
      <c r="Y87" s="41">
        <f t="shared" si="41"/>
        <v>-64185.371047602595</v>
      </c>
      <c r="Z87" s="41">
        <f t="shared" si="42"/>
        <v>-63819.842985064337</v>
      </c>
      <c r="AA87" s="41">
        <f t="shared" si="43"/>
        <v>-63723.816115218317</v>
      </c>
      <c r="AB87" s="41">
        <f t="shared" si="44"/>
        <v>-62060.918828386624</v>
      </c>
      <c r="AC87" s="41">
        <f t="shared" si="45"/>
        <v>-62334.465777938451</v>
      </c>
      <c r="AD87" s="41">
        <f t="shared" si="46"/>
        <v>-62390.592747027687</v>
      </c>
      <c r="AF87" s="303">
        <f t="shared" si="47"/>
        <v>4.1662788781517768E-3</v>
      </c>
      <c r="AG87" s="303">
        <f t="shared" si="48"/>
        <v>4.1118404119800112E-3</v>
      </c>
      <c r="AH87" s="303">
        <f t="shared" si="49"/>
        <v>4.1643837757467097E-3</v>
      </c>
      <c r="AI87" s="303">
        <f t="shared" si="50"/>
        <v>4.1599206329271917E-3</v>
      </c>
      <c r="AJ87" s="303">
        <f t="shared" si="51"/>
        <v>4.2048978495798943E-3</v>
      </c>
      <c r="AK87" s="303">
        <f t="shared" si="52"/>
        <v>4.237508807968339E-3</v>
      </c>
      <c r="AL87" s="303">
        <f t="shared" si="53"/>
        <v>4.2859524614496675E-3</v>
      </c>
      <c r="AM87" s="303">
        <f t="shared" si="54"/>
        <v>4.3191817786481825E-3</v>
      </c>
      <c r="AV87" s="41">
        <v>-63705.836000000003</v>
      </c>
      <c r="AW87" s="303">
        <f t="shared" si="58"/>
        <v>4.2640520073372436E-3</v>
      </c>
      <c r="AX87" s="41">
        <f t="shared" si="57"/>
        <v>-62514.572282496309</v>
      </c>
    </row>
    <row r="88" spans="1:50" x14ac:dyDescent="0.2">
      <c r="A88" s="30">
        <v>245</v>
      </c>
      <c r="B88" s="47" t="s">
        <v>411</v>
      </c>
      <c r="C88" s="295">
        <v>0.99586640384396719</v>
      </c>
      <c r="D88" s="295">
        <v>1.0754354645567783</v>
      </c>
      <c r="E88" s="295">
        <v>0.99941894025065625</v>
      </c>
      <c r="F88" s="295">
        <v>1.0029305076377799</v>
      </c>
      <c r="G88" s="295">
        <v>0.99639466829517476</v>
      </c>
      <c r="H88" s="295">
        <v>1.0010228756277382</v>
      </c>
      <c r="I88" s="295">
        <v>0.99711000907524949</v>
      </c>
      <c r="J88" s="295">
        <v>0.99783401976839481</v>
      </c>
      <c r="L88" s="41">
        <v>-82922.088310000006</v>
      </c>
      <c r="M88" s="41">
        <f t="shared" si="32"/>
        <v>-82579.321884511577</v>
      </c>
      <c r="N88" s="41">
        <f t="shared" si="33"/>
        <v>-88808.731393653434</v>
      </c>
      <c r="O88" s="41">
        <f t="shared" si="34"/>
        <v>-88757.128214450306</v>
      </c>
      <c r="P88" s="41">
        <f t="shared" si="35"/>
        <v>-89017.231656590156</v>
      </c>
      <c r="Q88" s="41">
        <f t="shared" si="36"/>
        <v>-88696.295009022884</v>
      </c>
      <c r="R88" s="41">
        <f t="shared" si="37"/>
        <v>-88787.02028745829</v>
      </c>
      <c r="S88" s="41">
        <f t="shared" si="38"/>
        <v>-88530.426604591892</v>
      </c>
      <c r="T88" s="41">
        <f t="shared" si="39"/>
        <v>-88338.671450670765</v>
      </c>
      <c r="V88" s="41">
        <f t="shared" si="55"/>
        <v>-82922.088310000006</v>
      </c>
      <c r="W88" s="41">
        <f t="shared" si="56"/>
        <v>-84313.487644086315</v>
      </c>
      <c r="X88" s="41">
        <f t="shared" si="40"/>
        <v>-91828.228261037657</v>
      </c>
      <c r="Y88" s="41">
        <f t="shared" si="41"/>
        <v>-91686.113445527153</v>
      </c>
      <c r="Z88" s="41">
        <f t="shared" si="42"/>
        <v>-91865.78306960105</v>
      </c>
      <c r="AA88" s="41">
        <f t="shared" si="43"/>
        <v>-91091.094974266496</v>
      </c>
      <c r="AB88" s="41">
        <f t="shared" si="44"/>
        <v>-88787.02028745829</v>
      </c>
      <c r="AC88" s="41">
        <f t="shared" si="45"/>
        <v>-88530.426604591892</v>
      </c>
      <c r="AD88" s="41">
        <f t="shared" si="46"/>
        <v>-88338.671450670765</v>
      </c>
      <c r="AF88" s="303">
        <f t="shared" si="47"/>
        <v>5.8316686836912494E-3</v>
      </c>
      <c r="AG88" s="303">
        <f t="shared" si="48"/>
        <v>5.9223637984467756E-3</v>
      </c>
      <c r="AH88" s="303">
        <f t="shared" si="49"/>
        <v>5.9486477535613917E-3</v>
      </c>
      <c r="AI88" s="303">
        <f t="shared" si="50"/>
        <v>5.9880179670871629E-3</v>
      </c>
      <c r="AJ88" s="303">
        <f t="shared" si="51"/>
        <v>6.0107628940586529E-3</v>
      </c>
      <c r="AK88" s="303">
        <f t="shared" si="52"/>
        <v>6.0623623949518143E-3</v>
      </c>
      <c r="AL88" s="303">
        <f t="shared" si="53"/>
        <v>6.0871172165147674E-3</v>
      </c>
      <c r="AM88" s="303">
        <f t="shared" si="54"/>
        <v>6.1155177933119222E-3</v>
      </c>
      <c r="AV88" s="41">
        <v>-81788.801000000007</v>
      </c>
      <c r="AW88" s="303">
        <f t="shared" si="58"/>
        <v>5.4744074166416462E-3</v>
      </c>
      <c r="AX88" s="41">
        <f t="shared" si="57"/>
        <v>-80259.395889776992</v>
      </c>
    </row>
    <row r="89" spans="1:50" x14ac:dyDescent="0.2">
      <c r="A89" s="30">
        <v>249</v>
      </c>
      <c r="B89" s="47" t="s">
        <v>412</v>
      </c>
      <c r="C89" s="295">
        <v>0.97954192619402503</v>
      </c>
      <c r="D89" s="295">
        <v>1.0903837157069021</v>
      </c>
      <c r="E89" s="295">
        <v>0.98203837940014771</v>
      </c>
      <c r="F89" s="295">
        <v>0.98011177126708182</v>
      </c>
      <c r="G89" s="295">
        <v>0.97427920627047893</v>
      </c>
      <c r="H89" s="295">
        <v>0.98038450288018508</v>
      </c>
      <c r="I89" s="295">
        <v>0.97841083961685005</v>
      </c>
      <c r="J89" s="295">
        <v>0.97720384547238626</v>
      </c>
      <c r="L89" s="41">
        <v>-21113.911680000001</v>
      </c>
      <c r="M89" s="41">
        <f t="shared" si="32"/>
        <v>-20681.961716517722</v>
      </c>
      <c r="N89" s="41">
        <f t="shared" si="33"/>
        <v>-22551.274264564494</v>
      </c>
      <c r="O89" s="41">
        <f t="shared" si="34"/>
        <v>-22146.216832181173</v>
      </c>
      <c r="P89" s="41">
        <f t="shared" si="35"/>
        <v>-21705.767806253953</v>
      </c>
      <c r="Q89" s="41">
        <f t="shared" si="36"/>
        <v>-21147.478229768414</v>
      </c>
      <c r="R89" s="41">
        <f t="shared" si="37"/>
        <v>-20732.659931461043</v>
      </c>
      <c r="S89" s="41">
        <f t="shared" si="38"/>
        <v>-20285.059211031425</v>
      </c>
      <c r="T89" s="41">
        <f t="shared" si="39"/>
        <v>-19822.637866654957</v>
      </c>
      <c r="V89" s="41">
        <f t="shared" si="55"/>
        <v>-21113.911680000001</v>
      </c>
      <c r="W89" s="41">
        <f t="shared" si="56"/>
        <v>-21116.282912564591</v>
      </c>
      <c r="X89" s="41">
        <f t="shared" si="40"/>
        <v>-23318.017589559688</v>
      </c>
      <c r="Y89" s="41">
        <f t="shared" si="41"/>
        <v>-22877.041987643152</v>
      </c>
      <c r="Z89" s="41">
        <f t="shared" si="42"/>
        <v>-22400.352376054081</v>
      </c>
      <c r="AA89" s="41">
        <f t="shared" si="43"/>
        <v>-21718.460141972158</v>
      </c>
      <c r="AB89" s="41">
        <f t="shared" si="44"/>
        <v>-20732.659931461043</v>
      </c>
      <c r="AC89" s="41">
        <f t="shared" si="45"/>
        <v>-20285.059211031425</v>
      </c>
      <c r="AD89" s="41">
        <f t="shared" si="46"/>
        <v>-19822.637866654957</v>
      </c>
      <c r="AF89" s="303">
        <f t="shared" si="47"/>
        <v>1.4605393421393445E-3</v>
      </c>
      <c r="AG89" s="303">
        <f t="shared" si="48"/>
        <v>1.5038707142577832E-3</v>
      </c>
      <c r="AH89" s="303">
        <f t="shared" si="49"/>
        <v>1.4842756368855768E-3</v>
      </c>
      <c r="AI89" s="303">
        <f t="shared" si="50"/>
        <v>1.4601052537185756E-3</v>
      </c>
      <c r="AJ89" s="303">
        <f t="shared" si="51"/>
        <v>1.4331204864134884E-3</v>
      </c>
      <c r="AK89" s="303">
        <f t="shared" si="52"/>
        <v>1.415622435676761E-3</v>
      </c>
      <c r="AL89" s="303">
        <f t="shared" si="53"/>
        <v>1.3947468446411657E-3</v>
      </c>
      <c r="AM89" s="303">
        <f t="shared" si="54"/>
        <v>1.3722834246109393E-3</v>
      </c>
      <c r="AV89" s="41">
        <v>-22655.26</v>
      </c>
      <c r="AW89" s="303">
        <f t="shared" si="58"/>
        <v>1.5163949324791398E-3</v>
      </c>
      <c r="AX89" s="41">
        <f t="shared" si="57"/>
        <v>-22231.61923263588</v>
      </c>
    </row>
    <row r="90" spans="1:50" x14ac:dyDescent="0.2">
      <c r="A90" s="30">
        <v>250</v>
      </c>
      <c r="B90" s="47" t="s">
        <v>413</v>
      </c>
      <c r="C90" s="295">
        <v>0.98184549960040224</v>
      </c>
      <c r="D90" s="295">
        <v>1.0366571752005203</v>
      </c>
      <c r="E90" s="295">
        <v>0.99205719275661564</v>
      </c>
      <c r="F90" s="295">
        <v>0.99303031806285758</v>
      </c>
      <c r="G90" s="295">
        <v>0.991463145992595</v>
      </c>
      <c r="H90" s="295">
        <v>0.98312753050420632</v>
      </c>
      <c r="I90" s="295">
        <v>0.99124186931878555</v>
      </c>
      <c r="J90" s="295">
        <v>1.0010677270683603</v>
      </c>
      <c r="L90" s="41">
        <v>-5090.1160599999994</v>
      </c>
      <c r="M90" s="41">
        <f t="shared" si="32"/>
        <v>-4997.7075459547304</v>
      </c>
      <c r="N90" s="41">
        <f t="shared" si="33"/>
        <v>-5180.9093870677552</v>
      </c>
      <c r="O90" s="41">
        <f t="shared" si="34"/>
        <v>-5139.7584224608354</v>
      </c>
      <c r="P90" s="41">
        <f t="shared" si="35"/>
        <v>-5103.9359410225343</v>
      </c>
      <c r="Q90" s="41">
        <f t="shared" si="36"/>
        <v>-5060.3643850308772</v>
      </c>
      <c r="R90" s="41">
        <f t="shared" si="37"/>
        <v>-4974.9835413068431</v>
      </c>
      <c r="S90" s="41">
        <f t="shared" si="38"/>
        <v>-4931.4119853151869</v>
      </c>
      <c r="T90" s="41">
        <f t="shared" si="39"/>
        <v>-4936.6773873771444</v>
      </c>
      <c r="V90" s="41">
        <f t="shared" si="55"/>
        <v>-5090.1160599999994</v>
      </c>
      <c r="W90" s="41">
        <f t="shared" si="56"/>
        <v>-5102.6594044197791</v>
      </c>
      <c r="X90" s="41">
        <f t="shared" si="40"/>
        <v>-5357.0603062280588</v>
      </c>
      <c r="Y90" s="41">
        <f t="shared" si="41"/>
        <v>-5309.3704504020425</v>
      </c>
      <c r="Z90" s="41">
        <f t="shared" si="42"/>
        <v>-5267.2618911352556</v>
      </c>
      <c r="AA90" s="41">
        <f t="shared" si="43"/>
        <v>-5196.9942234267101</v>
      </c>
      <c r="AB90" s="41">
        <f t="shared" si="44"/>
        <v>-4974.9835413068431</v>
      </c>
      <c r="AC90" s="41">
        <f t="shared" si="45"/>
        <v>-4931.4119853151869</v>
      </c>
      <c r="AD90" s="41">
        <f t="shared" si="46"/>
        <v>-4936.6773873771444</v>
      </c>
      <c r="AF90" s="303">
        <f t="shared" si="47"/>
        <v>3.5293308204626978E-4</v>
      </c>
      <c r="AG90" s="303">
        <f t="shared" si="48"/>
        <v>3.4549789998684601E-4</v>
      </c>
      <c r="AH90" s="303">
        <f t="shared" si="49"/>
        <v>3.4447500734529311E-4</v>
      </c>
      <c r="AI90" s="303">
        <f t="shared" si="50"/>
        <v>3.4333195437495108E-4</v>
      </c>
      <c r="AJ90" s="303">
        <f t="shared" si="51"/>
        <v>3.4293033855433655E-4</v>
      </c>
      <c r="AK90" s="303">
        <f t="shared" si="52"/>
        <v>3.3969101608180807E-4</v>
      </c>
      <c r="AL90" s="303">
        <f t="shared" si="53"/>
        <v>3.3907080253448555E-4</v>
      </c>
      <c r="AM90" s="303">
        <f t="shared" si="54"/>
        <v>3.4175676299596765E-4</v>
      </c>
      <c r="AV90" s="41">
        <v>-4517.951</v>
      </c>
      <c r="AW90" s="303">
        <f t="shared" si="58"/>
        <v>3.0240209124013861E-4</v>
      </c>
      <c r="AX90" s="41">
        <f t="shared" si="57"/>
        <v>-4433.4678279439968</v>
      </c>
    </row>
    <row r="91" spans="1:50" x14ac:dyDescent="0.2">
      <c r="A91" s="30">
        <v>256</v>
      </c>
      <c r="B91" s="47" t="s">
        <v>414</v>
      </c>
      <c r="C91" s="295">
        <v>0.98368156461164613</v>
      </c>
      <c r="D91" s="295">
        <v>1.1045313092315037</v>
      </c>
      <c r="E91" s="295">
        <v>0.99683629552582753</v>
      </c>
      <c r="F91" s="295">
        <v>0.98177539275823611</v>
      </c>
      <c r="G91" s="295">
        <v>0.99631827914281446</v>
      </c>
      <c r="H91" s="295">
        <v>0.99591569229804688</v>
      </c>
      <c r="I91" s="295">
        <v>0.98570532876964168</v>
      </c>
      <c r="J91" s="295">
        <v>1.0067752715257923</v>
      </c>
      <c r="L91" s="41">
        <v>-4697.2042899999997</v>
      </c>
      <c r="M91" s="41">
        <f t="shared" si="32"/>
        <v>-4620.5532652877364</v>
      </c>
      <c r="N91" s="41">
        <f t="shared" si="33"/>
        <v>-5103.5457474821624</v>
      </c>
      <c r="O91" s="41">
        <f t="shared" si="34"/>
        <v>-5087.3996369667093</v>
      </c>
      <c r="P91" s="41">
        <f t="shared" si="35"/>
        <v>-4994.6837767010984</v>
      </c>
      <c r="Q91" s="41">
        <f t="shared" si="36"/>
        <v>-4976.2947452653716</v>
      </c>
      <c r="R91" s="41">
        <f t="shared" si="37"/>
        <v>-4955.9700263100958</v>
      </c>
      <c r="S91" s="41">
        <f t="shared" si="38"/>
        <v>-4885.1260641564832</v>
      </c>
      <c r="T91" s="41">
        <f t="shared" si="39"/>
        <v>-4918.2241196788682</v>
      </c>
      <c r="V91" s="41">
        <f t="shared" si="55"/>
        <v>-4697.2042899999997</v>
      </c>
      <c r="W91" s="41">
        <f t="shared" si="56"/>
        <v>-4717.5848838587781</v>
      </c>
      <c r="X91" s="41">
        <f t="shared" si="40"/>
        <v>-5277.0663028965564</v>
      </c>
      <c r="Y91" s="41">
        <f t="shared" si="41"/>
        <v>-5255.2838249866099</v>
      </c>
      <c r="Z91" s="41">
        <f t="shared" si="42"/>
        <v>-5154.5136575555334</v>
      </c>
      <c r="AA91" s="41">
        <f t="shared" si="43"/>
        <v>-5110.6547033875358</v>
      </c>
      <c r="AB91" s="41">
        <f t="shared" si="44"/>
        <v>-4955.9700263100958</v>
      </c>
      <c r="AC91" s="41">
        <f t="shared" si="45"/>
        <v>-4885.1260641564832</v>
      </c>
      <c r="AD91" s="41">
        <f t="shared" si="46"/>
        <v>-4918.2241196788682</v>
      </c>
      <c r="AF91" s="303">
        <f t="shared" si="47"/>
        <v>3.2629882594809354E-4</v>
      </c>
      <c r="AG91" s="303">
        <f t="shared" si="48"/>
        <v>3.4033877192356037E-4</v>
      </c>
      <c r="AH91" s="303">
        <f t="shared" si="49"/>
        <v>3.4096583599224644E-4</v>
      </c>
      <c r="AI91" s="303">
        <f t="shared" si="50"/>
        <v>3.3598277140525708E-4</v>
      </c>
      <c r="AJ91" s="303">
        <f t="shared" si="51"/>
        <v>3.3723311443502048E-4</v>
      </c>
      <c r="AK91" s="303">
        <f t="shared" si="52"/>
        <v>3.3839277656505274E-4</v>
      </c>
      <c r="AL91" s="303">
        <f t="shared" si="53"/>
        <v>3.3588830541600022E-4</v>
      </c>
      <c r="AM91" s="303">
        <f t="shared" si="54"/>
        <v>3.4047927845719944E-4</v>
      </c>
      <c r="AV91" s="41">
        <v>-4323.2460999999994</v>
      </c>
      <c r="AW91" s="303">
        <f t="shared" si="58"/>
        <v>2.8936981866022299E-4</v>
      </c>
      <c r="AX91" s="41">
        <f t="shared" si="57"/>
        <v>-4242.4038013325844</v>
      </c>
    </row>
    <row r="92" spans="1:50" x14ac:dyDescent="0.2">
      <c r="A92" s="30">
        <v>257</v>
      </c>
      <c r="B92" s="47" t="s">
        <v>415</v>
      </c>
      <c r="C92" s="295">
        <v>0.98868068791835362</v>
      </c>
      <c r="D92" s="295">
        <v>1.0384051540448869</v>
      </c>
      <c r="E92" s="295">
        <v>0.99878881049381651</v>
      </c>
      <c r="F92" s="295">
        <v>0.99708818011479761</v>
      </c>
      <c r="G92" s="295">
        <v>0.99462946334388547</v>
      </c>
      <c r="H92" s="295">
        <v>0.99529638014427513</v>
      </c>
      <c r="I92" s="295">
        <v>0.99750775278398129</v>
      </c>
      <c r="J92" s="295">
        <v>0.99643245038564032</v>
      </c>
      <c r="L92" s="41">
        <v>-111876.6238</v>
      </c>
      <c r="M92" s="41">
        <f t="shared" si="32"/>
        <v>-110610.25738056685</v>
      </c>
      <c r="N92" s="41">
        <f t="shared" si="33"/>
        <v>-114858.26135421211</v>
      </c>
      <c r="O92" s="41">
        <f t="shared" si="34"/>
        <v>-114719.1462333614</v>
      </c>
      <c r="P92" s="41">
        <f t="shared" si="35"/>
        <v>-114385.10474214566</v>
      </c>
      <c r="Q92" s="41">
        <f t="shared" si="36"/>
        <v>-113770.79534421446</v>
      </c>
      <c r="R92" s="41">
        <f t="shared" si="37"/>
        <v>-113235.6607722318</v>
      </c>
      <c r="S92" s="41">
        <f t="shared" si="38"/>
        <v>-112953.44951191817</v>
      </c>
      <c r="T92" s="41">
        <f t="shared" si="39"/>
        <v>-112550.48247667133</v>
      </c>
      <c r="V92" s="41">
        <f t="shared" si="55"/>
        <v>-111876.6238</v>
      </c>
      <c r="W92" s="41">
        <f t="shared" si="56"/>
        <v>-112933.07278555875</v>
      </c>
      <c r="X92" s="41">
        <f t="shared" si="40"/>
        <v>-118763.44224025533</v>
      </c>
      <c r="Y92" s="41">
        <f t="shared" si="41"/>
        <v>-118504.87805906232</v>
      </c>
      <c r="Z92" s="41">
        <f t="shared" si="42"/>
        <v>-118045.42809389433</v>
      </c>
      <c r="AA92" s="41">
        <f t="shared" si="43"/>
        <v>-116842.60681850824</v>
      </c>
      <c r="AB92" s="41">
        <f t="shared" si="44"/>
        <v>-113235.6607722318</v>
      </c>
      <c r="AC92" s="41">
        <f t="shared" si="45"/>
        <v>-112953.44951191817</v>
      </c>
      <c r="AD92" s="41">
        <f t="shared" si="46"/>
        <v>-112550.48247667133</v>
      </c>
      <c r="AF92" s="303">
        <f t="shared" si="47"/>
        <v>7.8111851652570121E-3</v>
      </c>
      <c r="AG92" s="303">
        <f t="shared" si="48"/>
        <v>7.6595217420855517E-3</v>
      </c>
      <c r="AH92" s="303">
        <f t="shared" si="49"/>
        <v>7.6886646206345216E-3</v>
      </c>
      <c r="AI92" s="303">
        <f t="shared" si="50"/>
        <v>7.6944659996333138E-3</v>
      </c>
      <c r="AJ92" s="303">
        <f t="shared" si="51"/>
        <v>7.7100094768668597E-3</v>
      </c>
      <c r="AK92" s="303">
        <f t="shared" si="52"/>
        <v>7.7317113403575647E-3</v>
      </c>
      <c r="AL92" s="303">
        <f t="shared" si="53"/>
        <v>7.766379464764335E-3</v>
      </c>
      <c r="AM92" s="303">
        <f t="shared" si="54"/>
        <v>7.7916553071129399E-3</v>
      </c>
      <c r="AV92" s="41">
        <v>-120928.17200000001</v>
      </c>
      <c r="AW92" s="303">
        <f t="shared" si="58"/>
        <v>8.0941409286305176E-3</v>
      </c>
      <c r="AX92" s="41">
        <f t="shared" si="57"/>
        <v>-118666.88241064989</v>
      </c>
    </row>
    <row r="93" spans="1:50" x14ac:dyDescent="0.2">
      <c r="A93" s="30">
        <v>260</v>
      </c>
      <c r="B93" s="47" t="s">
        <v>416</v>
      </c>
      <c r="C93" s="295">
        <v>0.96155481470009585</v>
      </c>
      <c r="D93" s="295">
        <v>1.0856313252843834</v>
      </c>
      <c r="E93" s="295">
        <v>0.98345499329421515</v>
      </c>
      <c r="F93" s="295">
        <v>0.97649657164167358</v>
      </c>
      <c r="G93" s="295">
        <v>0.96933125559831901</v>
      </c>
      <c r="H93" s="295">
        <v>0.974849040831821</v>
      </c>
      <c r="I93" s="295">
        <v>0.9731859254207792</v>
      </c>
      <c r="J93" s="295">
        <v>0.97554319778375687</v>
      </c>
      <c r="L93" s="41">
        <v>-23990.221510000003</v>
      </c>
      <c r="M93" s="41">
        <f t="shared" si="32"/>
        <v>-23067.912998662308</v>
      </c>
      <c r="N93" s="41">
        <f t="shared" si="33"/>
        <v>-25043.248960282617</v>
      </c>
      <c r="O93" s="41">
        <f t="shared" si="34"/>
        <v>-24628.9082383001</v>
      </c>
      <c r="P93" s="41">
        <f t="shared" si="35"/>
        <v>-24050.044457977419</v>
      </c>
      <c r="Q93" s="41">
        <f t="shared" si="36"/>
        <v>-23312.459791646645</v>
      </c>
      <c r="R93" s="41">
        <f t="shared" si="37"/>
        <v>-22726.129067317124</v>
      </c>
      <c r="S93" s="41">
        <f t="shared" si="38"/>
        <v>-22116.748947609085</v>
      </c>
      <c r="T93" s="41">
        <f t="shared" si="39"/>
        <v>-21575.843992931106</v>
      </c>
      <c r="V93" s="41">
        <f t="shared" si="55"/>
        <v>-23990.221510000003</v>
      </c>
      <c r="W93" s="41">
        <f t="shared" si="56"/>
        <v>-23552.339171634216</v>
      </c>
      <c r="X93" s="41">
        <f t="shared" si="40"/>
        <v>-25894.719424932227</v>
      </c>
      <c r="Y93" s="41">
        <f t="shared" si="41"/>
        <v>-25441.662210164002</v>
      </c>
      <c r="Z93" s="41">
        <f t="shared" si="42"/>
        <v>-24819.645880632699</v>
      </c>
      <c r="AA93" s="41">
        <f t="shared" si="43"/>
        <v>-23941.896206021102</v>
      </c>
      <c r="AB93" s="41">
        <f t="shared" si="44"/>
        <v>-22726.129067317124</v>
      </c>
      <c r="AC93" s="41">
        <f t="shared" si="45"/>
        <v>-22116.748947609085</v>
      </c>
      <c r="AD93" s="41">
        <f t="shared" si="46"/>
        <v>-21575.843992931106</v>
      </c>
      <c r="AF93" s="303">
        <f t="shared" si="47"/>
        <v>1.6290328227755093E-3</v>
      </c>
      <c r="AG93" s="303">
        <f t="shared" si="48"/>
        <v>1.6700523553303086E-3</v>
      </c>
      <c r="AH93" s="303">
        <f t="shared" si="49"/>
        <v>1.6506696714031455E-3</v>
      </c>
      <c r="AI93" s="303">
        <f t="shared" si="50"/>
        <v>1.6178002353429994E-3</v>
      </c>
      <c r="AJ93" s="303">
        <f t="shared" si="51"/>
        <v>1.5798367707536068E-3</v>
      </c>
      <c r="AK93" s="303">
        <f t="shared" si="52"/>
        <v>1.5517361636246522E-3</v>
      </c>
      <c r="AL93" s="303">
        <f t="shared" si="53"/>
        <v>1.5206889705120126E-3</v>
      </c>
      <c r="AM93" s="303">
        <f t="shared" si="54"/>
        <v>1.493654541976819E-3</v>
      </c>
      <c r="AV93" s="41">
        <v>-26307.516</v>
      </c>
      <c r="AW93" s="303">
        <f t="shared" si="58"/>
        <v>1.7608530623137361E-3</v>
      </c>
      <c r="AX93" s="41">
        <f t="shared" si="57"/>
        <v>-25815.580075817987</v>
      </c>
    </row>
    <row r="94" spans="1:50" x14ac:dyDescent="0.2">
      <c r="A94" s="30">
        <v>261</v>
      </c>
      <c r="B94" s="47" t="s">
        <v>417</v>
      </c>
      <c r="C94" s="295">
        <v>0.98647008366359501</v>
      </c>
      <c r="D94" s="295">
        <v>1.0647065212425755</v>
      </c>
      <c r="E94" s="295">
        <v>0.9902291954288337</v>
      </c>
      <c r="F94" s="295">
        <v>0.98956414952915361</v>
      </c>
      <c r="G94" s="295">
        <v>0.99398475924940366</v>
      </c>
      <c r="H94" s="295">
        <v>0.99159739694791027</v>
      </c>
      <c r="I94" s="295">
        <v>0.98941282761673477</v>
      </c>
      <c r="J94" s="295">
        <v>0.99011775859012707</v>
      </c>
      <c r="L94" s="41">
        <v>-26365.101440000002</v>
      </c>
      <c r="M94" s="41">
        <f t="shared" si="32"/>
        <v>-26008.383823315973</v>
      </c>
      <c r="N94" s="41">
        <f t="shared" si="33"/>
        <v>-27691.295863664425</v>
      </c>
      <c r="O94" s="41">
        <f t="shared" si="34"/>
        <v>-27420.729623458214</v>
      </c>
      <c r="P94" s="41">
        <f t="shared" si="35"/>
        <v>-27134.570989306296</v>
      </c>
      <c r="Q94" s="41">
        <f t="shared" si="36"/>
        <v>-26971.350012141473</v>
      </c>
      <c r="R94" s="41">
        <f t="shared" si="37"/>
        <v>-26744.720464210473</v>
      </c>
      <c r="S94" s="41">
        <f t="shared" si="38"/>
        <v>-26461.569498313635</v>
      </c>
      <c r="T94" s="41">
        <f t="shared" si="39"/>
        <v>-26200.069880447169</v>
      </c>
      <c r="V94" s="41">
        <f t="shared" si="55"/>
        <v>-26365.101440000002</v>
      </c>
      <c r="W94" s="41">
        <f t="shared" si="56"/>
        <v>-26554.559883605605</v>
      </c>
      <c r="X94" s="41">
        <f t="shared" si="40"/>
        <v>-28632.799923029015</v>
      </c>
      <c r="Y94" s="41">
        <f t="shared" si="41"/>
        <v>-28325.613701032333</v>
      </c>
      <c r="Z94" s="41">
        <f t="shared" si="42"/>
        <v>-28002.877260964098</v>
      </c>
      <c r="AA94" s="41">
        <f t="shared" si="43"/>
        <v>-27699.576462469289</v>
      </c>
      <c r="AB94" s="41">
        <f t="shared" si="44"/>
        <v>-26744.720464210473</v>
      </c>
      <c r="AC94" s="41">
        <f t="shared" si="45"/>
        <v>-26461.569498313635</v>
      </c>
      <c r="AD94" s="41">
        <f t="shared" si="46"/>
        <v>-26200.069880447169</v>
      </c>
      <c r="AF94" s="303">
        <f t="shared" si="47"/>
        <v>1.8366859159726426E-3</v>
      </c>
      <c r="AG94" s="303">
        <f t="shared" si="48"/>
        <v>1.8466419414112356E-3</v>
      </c>
      <c r="AH94" s="303">
        <f t="shared" si="49"/>
        <v>1.8377821022046374E-3</v>
      </c>
      <c r="AI94" s="303">
        <f t="shared" si="50"/>
        <v>1.8252904026491285E-3</v>
      </c>
      <c r="AJ94" s="303">
        <f t="shared" si="51"/>
        <v>1.8277921286244977E-3</v>
      </c>
      <c r="AK94" s="303">
        <f t="shared" si="52"/>
        <v>1.8261248894353372E-3</v>
      </c>
      <c r="AL94" s="303">
        <f t="shared" si="53"/>
        <v>1.8194273025318546E-3</v>
      </c>
      <c r="AM94" s="303">
        <f t="shared" si="54"/>
        <v>1.8137808833740821E-3</v>
      </c>
      <c r="AV94" s="41">
        <v>-28858.547999999999</v>
      </c>
      <c r="AW94" s="303">
        <f t="shared" si="58"/>
        <v>1.9316024599102379E-3</v>
      </c>
      <c r="AX94" s="41">
        <f t="shared" si="57"/>
        <v>-28318.909195601627</v>
      </c>
    </row>
    <row r="95" spans="1:50" x14ac:dyDescent="0.2">
      <c r="A95" s="30">
        <v>263</v>
      </c>
      <c r="B95" s="47" t="s">
        <v>418</v>
      </c>
      <c r="C95" s="295">
        <v>0.97431471623562449</v>
      </c>
      <c r="D95" s="295">
        <v>1.0377744725977256</v>
      </c>
      <c r="E95" s="295">
        <v>0.98416341911288452</v>
      </c>
      <c r="F95" s="295">
        <v>0.97568763708771833</v>
      </c>
      <c r="G95" s="295">
        <v>0.97545744024852576</v>
      </c>
      <c r="H95" s="295">
        <v>0.97514401815832319</v>
      </c>
      <c r="I95" s="295">
        <v>0.97922120312080496</v>
      </c>
      <c r="J95" s="295">
        <v>0.97710971628202958</v>
      </c>
      <c r="L95" s="41">
        <v>-20957.012129999999</v>
      </c>
      <c r="M95" s="41">
        <f t="shared" si="32"/>
        <v>-20418.72532658749</v>
      </c>
      <c r="N95" s="41">
        <f t="shared" si="33"/>
        <v>-21190.031906917153</v>
      </c>
      <c r="O95" s="41">
        <f t="shared" si="34"/>
        <v>-20854.454252622701</v>
      </c>
      <c r="P95" s="41">
        <f t="shared" si="35"/>
        <v>-20347.433192495362</v>
      </c>
      <c r="Q95" s="41">
        <f t="shared" si="36"/>
        <v>-19848.055097579414</v>
      </c>
      <c r="R95" s="41">
        <f t="shared" si="37"/>
        <v>-19354.712200481379</v>
      </c>
      <c r="S95" s="41">
        <f t="shared" si="38"/>
        <v>-18952.544567012297</v>
      </c>
      <c r="T95" s="41">
        <f t="shared" si="39"/>
        <v>-18518.715444695907</v>
      </c>
      <c r="V95" s="41">
        <f t="shared" si="55"/>
        <v>-20957.012129999999</v>
      </c>
      <c r="W95" s="41">
        <f t="shared" si="56"/>
        <v>-20847.518558445827</v>
      </c>
      <c r="X95" s="41">
        <f t="shared" si="40"/>
        <v>-21910.492991752337</v>
      </c>
      <c r="Y95" s="41">
        <f t="shared" si="41"/>
        <v>-21542.651242959248</v>
      </c>
      <c r="Z95" s="41">
        <f t="shared" si="42"/>
        <v>-20998.551054655214</v>
      </c>
      <c r="AA95" s="41">
        <f t="shared" si="43"/>
        <v>-20383.952585214058</v>
      </c>
      <c r="AB95" s="41">
        <f t="shared" si="44"/>
        <v>-19354.712200481379</v>
      </c>
      <c r="AC95" s="41">
        <f t="shared" si="45"/>
        <v>-18952.544567012297</v>
      </c>
      <c r="AD95" s="41">
        <f t="shared" si="46"/>
        <v>-18518.715444695907</v>
      </c>
      <c r="AF95" s="303">
        <f t="shared" si="47"/>
        <v>1.4419498529484435E-3</v>
      </c>
      <c r="AG95" s="303">
        <f t="shared" si="48"/>
        <v>1.4130939141241527E-3</v>
      </c>
      <c r="AH95" s="303">
        <f t="shared" si="49"/>
        <v>1.3976995981874914E-3</v>
      </c>
      <c r="AI95" s="303">
        <f t="shared" si="50"/>
        <v>1.3687326967300468E-3</v>
      </c>
      <c r="AJ95" s="303">
        <f t="shared" si="51"/>
        <v>1.345061291315784E-3</v>
      </c>
      <c r="AK95" s="303">
        <f t="shared" si="52"/>
        <v>1.321536402837113E-3</v>
      </c>
      <c r="AL95" s="303">
        <f t="shared" si="53"/>
        <v>1.3031266735660367E-3</v>
      </c>
      <c r="AM95" s="303">
        <f t="shared" si="54"/>
        <v>1.282015361466682E-3</v>
      </c>
      <c r="AV95" s="41">
        <v>-20767.688679999999</v>
      </c>
      <c r="AW95" s="303">
        <f t="shared" si="58"/>
        <v>1.3900532535780386E-3</v>
      </c>
      <c r="AX95" s="41">
        <f t="shared" si="57"/>
        <v>-20379.344446970921</v>
      </c>
    </row>
    <row r="96" spans="1:50" x14ac:dyDescent="0.2">
      <c r="A96" s="30">
        <v>265</v>
      </c>
      <c r="B96" s="47" t="s">
        <v>419</v>
      </c>
      <c r="C96" s="295">
        <v>0.99608269013531059</v>
      </c>
      <c r="D96" s="295">
        <v>1.0283313414002113</v>
      </c>
      <c r="E96" s="295">
        <v>0.99683401250667059</v>
      </c>
      <c r="F96" s="295">
        <v>0.99776661313176829</v>
      </c>
      <c r="G96" s="295">
        <v>0.99641123994902991</v>
      </c>
      <c r="H96" s="295">
        <v>0.98044672535472366</v>
      </c>
      <c r="I96" s="295">
        <v>0.99711366687850878</v>
      </c>
      <c r="J96" s="295">
        <v>0.99710531184420848</v>
      </c>
      <c r="L96" s="41">
        <v>-2573.53647</v>
      </c>
      <c r="M96" s="41">
        <f t="shared" si="32"/>
        <v>-2563.4551301989309</v>
      </c>
      <c r="N96" s="41">
        <f t="shared" si="33"/>
        <v>-2636.0812526567202</v>
      </c>
      <c r="O96" s="41">
        <f t="shared" si="34"/>
        <v>-2627.7354523794088</v>
      </c>
      <c r="P96" s="41">
        <f t="shared" si="35"/>
        <v>-2621.8667025268778</v>
      </c>
      <c r="Q96" s="41">
        <f t="shared" si="36"/>
        <v>-2612.4574520458805</v>
      </c>
      <c r="R96" s="41">
        <f t="shared" si="37"/>
        <v>-2561.3753539869285</v>
      </c>
      <c r="S96" s="41">
        <f t="shared" si="38"/>
        <v>-2553.9823714661447</v>
      </c>
      <c r="T96" s="41">
        <f t="shared" si="39"/>
        <v>-2546.5893889453614</v>
      </c>
      <c r="V96" s="41">
        <f t="shared" si="55"/>
        <v>-2573.53647</v>
      </c>
      <c r="W96" s="41">
        <f t="shared" si="56"/>
        <v>-2617.2876879331084</v>
      </c>
      <c r="X96" s="41">
        <f t="shared" si="40"/>
        <v>-2725.7080152470489</v>
      </c>
      <c r="Y96" s="41">
        <f t="shared" si="41"/>
        <v>-2714.450722307929</v>
      </c>
      <c r="Z96" s="41">
        <f t="shared" si="42"/>
        <v>-2705.7664370077382</v>
      </c>
      <c r="AA96" s="41">
        <f t="shared" si="43"/>
        <v>-2682.9938032511191</v>
      </c>
      <c r="AB96" s="41">
        <f t="shared" si="44"/>
        <v>-2561.3753539869285</v>
      </c>
      <c r="AC96" s="41">
        <f t="shared" si="45"/>
        <v>-2553.9823714661447</v>
      </c>
      <c r="AD96" s="41">
        <f t="shared" si="46"/>
        <v>-2546.5893889453614</v>
      </c>
      <c r="AF96" s="303">
        <f t="shared" si="47"/>
        <v>1.8102862391792816E-4</v>
      </c>
      <c r="AG96" s="303">
        <f t="shared" si="48"/>
        <v>1.7579163597436617E-4</v>
      </c>
      <c r="AH96" s="303">
        <f t="shared" si="49"/>
        <v>1.7611512348599716E-4</v>
      </c>
      <c r="AI96" s="303">
        <f t="shared" si="50"/>
        <v>1.7636793045424062E-4</v>
      </c>
      <c r="AJ96" s="303">
        <f t="shared" si="51"/>
        <v>1.7704079199099549E-4</v>
      </c>
      <c r="AK96" s="303">
        <f t="shared" si="52"/>
        <v>1.7489026633727645E-4</v>
      </c>
      <c r="AL96" s="303">
        <f t="shared" si="53"/>
        <v>1.7560505083142144E-4</v>
      </c>
      <c r="AM96" s="303">
        <f t="shared" si="54"/>
        <v>1.7629552793366627E-4</v>
      </c>
      <c r="AV96" s="41">
        <v>-2894.52</v>
      </c>
      <c r="AW96" s="303">
        <f t="shared" si="58"/>
        <v>1.9374023780612185E-4</v>
      </c>
      <c r="AX96" s="41">
        <f t="shared" si="57"/>
        <v>-2840.3940851373682</v>
      </c>
    </row>
    <row r="97" spans="1:50" x14ac:dyDescent="0.2">
      <c r="A97" s="30">
        <v>271</v>
      </c>
      <c r="B97" s="47" t="s">
        <v>420</v>
      </c>
      <c r="C97" s="295">
        <v>0.96944495558025279</v>
      </c>
      <c r="D97" s="295">
        <v>1.0506331043793575</v>
      </c>
      <c r="E97" s="295">
        <v>0.9910759928699141</v>
      </c>
      <c r="F97" s="295">
        <v>0.98516186182359378</v>
      </c>
      <c r="G97" s="295">
        <v>0.98629070834217902</v>
      </c>
      <c r="H97" s="295">
        <v>0.98465968308947471</v>
      </c>
      <c r="I97" s="295">
        <v>0.98240313391235867</v>
      </c>
      <c r="J97" s="295">
        <v>0.98634932782323215</v>
      </c>
      <c r="L97" s="41">
        <v>-16001.348669999999</v>
      </c>
      <c r="M97" s="41">
        <f t="shared" si="32"/>
        <v>-15512.426750612287</v>
      </c>
      <c r="N97" s="41">
        <f t="shared" si="33"/>
        <v>-16297.869073453177</v>
      </c>
      <c r="O97" s="41">
        <f t="shared" si="34"/>
        <v>-16152.426773636475</v>
      </c>
      <c r="P97" s="41">
        <f t="shared" si="35"/>
        <v>-15912.754833284973</v>
      </c>
      <c r="Q97" s="41">
        <f t="shared" si="36"/>
        <v>-15694.602236196069</v>
      </c>
      <c r="R97" s="41">
        <f t="shared" si="37"/>
        <v>-15453.842064108183</v>
      </c>
      <c r="S97" s="41">
        <f t="shared" si="38"/>
        <v>-15181.902874766512</v>
      </c>
      <c r="T97" s="41">
        <f t="shared" si="39"/>
        <v>-14974.659695603545</v>
      </c>
      <c r="V97" s="41">
        <f t="shared" si="55"/>
        <v>-16001.348669999999</v>
      </c>
      <c r="W97" s="41">
        <f t="shared" si="56"/>
        <v>-15838.187712375144</v>
      </c>
      <c r="X97" s="41">
        <f t="shared" si="40"/>
        <v>-16851.996621950588</v>
      </c>
      <c r="Y97" s="41">
        <f t="shared" si="41"/>
        <v>-16685.456857166479</v>
      </c>
      <c r="Z97" s="41">
        <f t="shared" si="42"/>
        <v>-16421.962987950094</v>
      </c>
      <c r="AA97" s="41">
        <f t="shared" si="43"/>
        <v>-16118.356496573362</v>
      </c>
      <c r="AB97" s="41">
        <f t="shared" si="44"/>
        <v>-15453.842064108183</v>
      </c>
      <c r="AC97" s="41">
        <f t="shared" si="45"/>
        <v>-15181.902874766512</v>
      </c>
      <c r="AD97" s="41">
        <f t="shared" si="46"/>
        <v>-14974.659695603545</v>
      </c>
      <c r="AF97" s="303">
        <f t="shared" si="47"/>
        <v>1.0954719804567349E-3</v>
      </c>
      <c r="AG97" s="303">
        <f t="shared" si="48"/>
        <v>1.0868515772914438E-3</v>
      </c>
      <c r="AH97" s="303">
        <f t="shared" si="49"/>
        <v>1.0825620338842166E-3</v>
      </c>
      <c r="AI97" s="303">
        <f t="shared" si="50"/>
        <v>1.0704204127034238E-3</v>
      </c>
      <c r="AJ97" s="303">
        <f t="shared" si="51"/>
        <v>1.0635904549196856E-3</v>
      </c>
      <c r="AK97" s="303">
        <f t="shared" si="52"/>
        <v>1.0551856643420637E-3</v>
      </c>
      <c r="AL97" s="303">
        <f t="shared" si="53"/>
        <v>1.0438673562615925E-3</v>
      </c>
      <c r="AM97" s="303">
        <f t="shared" si="54"/>
        <v>1.0366671392425498E-3</v>
      </c>
      <c r="AV97" s="41">
        <v>-16154.35</v>
      </c>
      <c r="AW97" s="303">
        <f t="shared" si="58"/>
        <v>1.0812665349015811E-3</v>
      </c>
      <c r="AX97" s="41">
        <f t="shared" si="57"/>
        <v>-15852.272635614489</v>
      </c>
    </row>
    <row r="98" spans="1:50" x14ac:dyDescent="0.2">
      <c r="A98" s="30">
        <v>272</v>
      </c>
      <c r="B98" s="47" t="s">
        <v>421</v>
      </c>
      <c r="C98" s="295">
        <v>0.990207022282378</v>
      </c>
      <c r="D98" s="295">
        <v>1.0536100961139752</v>
      </c>
      <c r="E98" s="295">
        <v>0.9921928240094875</v>
      </c>
      <c r="F98" s="295">
        <v>0.99408548910704175</v>
      </c>
      <c r="G98" s="295">
        <v>0.98924019412628006</v>
      </c>
      <c r="H98" s="295">
        <v>0.98887163369714426</v>
      </c>
      <c r="I98" s="295">
        <v>0.98949413074273174</v>
      </c>
      <c r="J98" s="295">
        <v>0.98706762510978263</v>
      </c>
      <c r="L98" s="41">
        <v>-129348.99004999999</v>
      </c>
      <c r="M98" s="41">
        <f t="shared" si="32"/>
        <v>-128082.27827264344</v>
      </c>
      <c r="N98" s="41">
        <f t="shared" si="33"/>
        <v>-134948.78152133676</v>
      </c>
      <c r="O98" s="41">
        <f t="shared" si="34"/>
        <v>-133895.21263429447</v>
      </c>
      <c r="P98" s="41">
        <f t="shared" si="35"/>
        <v>-133103.28794065397</v>
      </c>
      <c r="Q98" s="41">
        <f t="shared" si="36"/>
        <v>-131671.12240125868</v>
      </c>
      <c r="R98" s="41">
        <f t="shared" si="37"/>
        <v>-130205.83791966931</v>
      </c>
      <c r="S98" s="41">
        <f t="shared" si="38"/>
        <v>-128837.9124099522</v>
      </c>
      <c r="T98" s="41">
        <f t="shared" si="39"/>
        <v>-127171.73222659371</v>
      </c>
      <c r="V98" s="41">
        <f t="shared" si="55"/>
        <v>-129348.99004999999</v>
      </c>
      <c r="W98" s="41">
        <f t="shared" si="56"/>
        <v>-130772.00611636894</v>
      </c>
      <c r="X98" s="41">
        <f t="shared" si="40"/>
        <v>-139537.04009306221</v>
      </c>
      <c r="Y98" s="41">
        <f t="shared" si="41"/>
        <v>-138313.75465122616</v>
      </c>
      <c r="Z98" s="41">
        <f t="shared" si="42"/>
        <v>-137362.5931547549</v>
      </c>
      <c r="AA98" s="41">
        <f t="shared" si="43"/>
        <v>-135226.24270609266</v>
      </c>
      <c r="AB98" s="41">
        <f t="shared" si="44"/>
        <v>-130205.83791966931</v>
      </c>
      <c r="AC98" s="41">
        <f t="shared" si="45"/>
        <v>-128837.9124099522</v>
      </c>
      <c r="AD98" s="41">
        <f t="shared" si="46"/>
        <v>-127171.73222659371</v>
      </c>
      <c r="AF98" s="303">
        <f t="shared" si="47"/>
        <v>9.0450417137476671E-3</v>
      </c>
      <c r="AG98" s="303">
        <f t="shared" si="48"/>
        <v>8.9992928148457108E-3</v>
      </c>
      <c r="AH98" s="303">
        <f t="shared" si="49"/>
        <v>8.9738759226771075E-3</v>
      </c>
      <c r="AI98" s="303">
        <f t="shared" si="50"/>
        <v>8.9536021827972267E-3</v>
      </c>
      <c r="AJ98" s="303">
        <f t="shared" si="51"/>
        <v>8.9230773017974305E-3</v>
      </c>
      <c r="AK98" s="303">
        <f t="shared" si="52"/>
        <v>8.8904321020320965E-3</v>
      </c>
      <c r="AL98" s="303">
        <f t="shared" si="53"/>
        <v>8.8585529839722271E-3</v>
      </c>
      <c r="AM98" s="303">
        <f t="shared" si="54"/>
        <v>8.8038565496462162E-3</v>
      </c>
      <c r="AV98" s="41">
        <v>-134944.41</v>
      </c>
      <c r="AW98" s="303">
        <f t="shared" si="58"/>
        <v>9.032296230119953E-3</v>
      </c>
      <c r="AX98" s="41">
        <f t="shared" si="57"/>
        <v>-132421.02455203346</v>
      </c>
    </row>
    <row r="99" spans="1:50" x14ac:dyDescent="0.2">
      <c r="A99" s="30">
        <v>273</v>
      </c>
      <c r="B99" s="47" t="s">
        <v>422</v>
      </c>
      <c r="C99" s="295">
        <v>0.9796644172215585</v>
      </c>
      <c r="D99" s="295">
        <v>1.0746073433655667</v>
      </c>
      <c r="E99" s="295">
        <v>0.99750337467804628</v>
      </c>
      <c r="F99" s="295">
        <v>1.0090091417407565</v>
      </c>
      <c r="G99" s="295">
        <v>1</v>
      </c>
      <c r="H99" s="295">
        <v>0.99689893645495109</v>
      </c>
      <c r="I99" s="295">
        <v>0.99210427152577618</v>
      </c>
      <c r="J99" s="295">
        <v>1.0045429277147264</v>
      </c>
      <c r="L99" s="41">
        <v>-12909.204810000001</v>
      </c>
      <c r="M99" s="41">
        <f t="shared" si="32"/>
        <v>-12646.68860698239</v>
      </c>
      <c r="N99" s="41">
        <f t="shared" si="33"/>
        <v>-13590.224446320926</v>
      </c>
      <c r="O99" s="41">
        <f t="shared" si="34"/>
        <v>-13556.294747837206</v>
      </c>
      <c r="P99" s="41">
        <f t="shared" si="35"/>
        <v>-13678.425328699945</v>
      </c>
      <c r="Q99" s="41">
        <f t="shared" si="36"/>
        <v>-13678.425328699945</v>
      </c>
      <c r="R99" s="41">
        <f t="shared" si="37"/>
        <v>-13636.007662559439</v>
      </c>
      <c r="S99" s="41">
        <f t="shared" si="38"/>
        <v>-13528.341448583435</v>
      </c>
      <c r="T99" s="41">
        <f t="shared" si="39"/>
        <v>-13589.799725884486</v>
      </c>
      <c r="V99" s="41">
        <f t="shared" si="55"/>
        <v>-12909.204810000001</v>
      </c>
      <c r="W99" s="41">
        <f t="shared" si="56"/>
        <v>-12912.269067729019</v>
      </c>
      <c r="X99" s="41">
        <f t="shared" si="40"/>
        <v>-14052.292077495838</v>
      </c>
      <c r="Y99" s="41">
        <f t="shared" si="41"/>
        <v>-14003.652474515833</v>
      </c>
      <c r="Z99" s="41">
        <f t="shared" si="42"/>
        <v>-14116.134939218344</v>
      </c>
      <c r="AA99" s="41">
        <f t="shared" si="43"/>
        <v>-14047.742812574841</v>
      </c>
      <c r="AB99" s="41">
        <f t="shared" si="44"/>
        <v>-13636.007662559439</v>
      </c>
      <c r="AC99" s="41">
        <f t="shared" si="45"/>
        <v>-13528.341448583435</v>
      </c>
      <c r="AD99" s="41">
        <f t="shared" si="46"/>
        <v>-13589.799725884486</v>
      </c>
      <c r="AF99" s="303">
        <f t="shared" si="47"/>
        <v>8.9309643405496126E-4</v>
      </c>
      <c r="AG99" s="303">
        <f t="shared" si="48"/>
        <v>9.0628761396099899E-4</v>
      </c>
      <c r="AH99" s="303">
        <f t="shared" si="49"/>
        <v>9.0856502368458615E-4</v>
      </c>
      <c r="AI99" s="303">
        <f t="shared" si="50"/>
        <v>9.2012136420613637E-4</v>
      </c>
      <c r="AJ99" s="303">
        <f t="shared" si="51"/>
        <v>9.2695835160350063E-4</v>
      </c>
      <c r="AK99" s="303">
        <f t="shared" si="52"/>
        <v>9.310642456874102E-4</v>
      </c>
      <c r="AL99" s="303">
        <f t="shared" si="53"/>
        <v>9.3017286034732945E-4</v>
      </c>
      <c r="AM99" s="303">
        <f t="shared" si="54"/>
        <v>9.4079592398670846E-4</v>
      </c>
      <c r="AV99" s="41">
        <v>-13611.38</v>
      </c>
      <c r="AW99" s="303">
        <f t="shared" si="58"/>
        <v>9.1105675485727883E-4</v>
      </c>
      <c r="AX99" s="41">
        <f t="shared" si="57"/>
        <v>-13356.854760912714</v>
      </c>
    </row>
    <row r="100" spans="1:50" x14ac:dyDescent="0.2">
      <c r="A100" s="30">
        <v>275</v>
      </c>
      <c r="B100" s="47" t="s">
        <v>423</v>
      </c>
      <c r="C100" s="295">
        <v>0.98916517665362669</v>
      </c>
      <c r="D100" s="295">
        <v>1.0582410130252413</v>
      </c>
      <c r="E100" s="295">
        <v>0.99775790308228041</v>
      </c>
      <c r="F100" s="295">
        <v>0.99867005569789835</v>
      </c>
      <c r="G100" s="295">
        <v>0.99675933431943509</v>
      </c>
      <c r="H100" s="295">
        <v>0.99708512947586403</v>
      </c>
      <c r="I100" s="295">
        <v>0.99707660816718013</v>
      </c>
      <c r="J100" s="295">
        <v>0.99718080470208703</v>
      </c>
      <c r="L100" s="41">
        <v>-6358.64257</v>
      </c>
      <c r="M100" s="41">
        <f t="shared" si="32"/>
        <v>-6289.7478010313207</v>
      </c>
      <c r="N100" s="41">
        <f t="shared" si="33"/>
        <v>-6656.0690846366688</v>
      </c>
      <c r="O100" s="41">
        <f t="shared" si="34"/>
        <v>-6641.1455326578762</v>
      </c>
      <c r="P100" s="41">
        <f t="shared" si="35"/>
        <v>-6632.3131789972904</v>
      </c>
      <c r="Q100" s="41">
        <f t="shared" si="36"/>
        <v>-6610.8200692953551</v>
      </c>
      <c r="R100" s="41">
        <f t="shared" si="37"/>
        <v>-6591.5503847349992</v>
      </c>
      <c r="S100" s="41">
        <f t="shared" si="38"/>
        <v>-6572.2807001746442</v>
      </c>
      <c r="T100" s="41">
        <f t="shared" si="39"/>
        <v>-6553.7521573281474</v>
      </c>
      <c r="V100" s="41">
        <f t="shared" si="55"/>
        <v>-6358.64257</v>
      </c>
      <c r="W100" s="41">
        <f t="shared" si="56"/>
        <v>-6421.8325048529778</v>
      </c>
      <c r="X100" s="41">
        <f t="shared" si="40"/>
        <v>-6882.3754335143158</v>
      </c>
      <c r="Y100" s="41">
        <f t="shared" si="41"/>
        <v>-6860.3033352355851</v>
      </c>
      <c r="Z100" s="41">
        <f t="shared" si="42"/>
        <v>-6844.5472007252038</v>
      </c>
      <c r="AA100" s="41">
        <f t="shared" si="43"/>
        <v>-6789.3122111663288</v>
      </c>
      <c r="AB100" s="41">
        <f t="shared" si="44"/>
        <v>-6591.5503847349992</v>
      </c>
      <c r="AC100" s="41">
        <f t="shared" si="45"/>
        <v>-6572.2807001746442</v>
      </c>
      <c r="AD100" s="41">
        <f t="shared" si="46"/>
        <v>-6553.7521573281474</v>
      </c>
      <c r="AF100" s="303">
        <f t="shared" si="47"/>
        <v>4.4417566580272236E-4</v>
      </c>
      <c r="AG100" s="303">
        <f t="shared" si="48"/>
        <v>4.4387147489002458E-4</v>
      </c>
      <c r="AH100" s="303">
        <f t="shared" si="49"/>
        <v>4.4510042459313943E-4</v>
      </c>
      <c r="AI100" s="303">
        <f t="shared" si="50"/>
        <v>4.4614295165226698E-4</v>
      </c>
      <c r="AJ100" s="303">
        <f t="shared" si="51"/>
        <v>4.4800148605729815E-4</v>
      </c>
      <c r="AK100" s="303">
        <f t="shared" si="52"/>
        <v>4.5006992066488199E-4</v>
      </c>
      <c r="AL100" s="303">
        <f t="shared" si="53"/>
        <v>4.5189258129843654E-4</v>
      </c>
      <c r="AM100" s="303">
        <f t="shared" si="54"/>
        <v>4.5370376611875515E-4</v>
      </c>
      <c r="AV100" s="41">
        <v>-6906.97</v>
      </c>
      <c r="AW100" s="303">
        <f t="shared" si="58"/>
        <v>4.6230739822828983E-4</v>
      </c>
      <c r="AX100" s="41">
        <f t="shared" si="57"/>
        <v>-6777.8135007604888</v>
      </c>
    </row>
    <row r="101" spans="1:50" x14ac:dyDescent="0.2">
      <c r="A101" s="30">
        <v>276</v>
      </c>
      <c r="B101" s="47" t="s">
        <v>424</v>
      </c>
      <c r="C101" s="295">
        <v>0.98355141421935643</v>
      </c>
      <c r="D101" s="295">
        <v>1.0476850348724609</v>
      </c>
      <c r="E101" s="295">
        <v>0.98920037603868871</v>
      </c>
      <c r="F101" s="295">
        <v>0.98725935931039399</v>
      </c>
      <c r="G101" s="295">
        <v>0.98433935594978805</v>
      </c>
      <c r="H101" s="295">
        <v>0.98581312672544796</v>
      </c>
      <c r="I101" s="295">
        <v>0.98469249636700862</v>
      </c>
      <c r="J101" s="295">
        <v>0.98265561213873565</v>
      </c>
      <c r="L101" s="41">
        <v>-42831.541170000004</v>
      </c>
      <c r="M101" s="41">
        <f t="shared" si="32"/>
        <v>-42127.022890948094</v>
      </c>
      <c r="N101" s="41">
        <f t="shared" si="33"/>
        <v>-44135.851446575914</v>
      </c>
      <c r="O101" s="41">
        <f t="shared" si="34"/>
        <v>-43659.200847740598</v>
      </c>
      <c r="P101" s="41">
        <f t="shared" si="35"/>
        <v>-43102.954656944195</v>
      </c>
      <c r="Q101" s="41">
        <f t="shared" si="36"/>
        <v>-42427.934626549366</v>
      </c>
      <c r="R101" s="41">
        <f t="shared" si="37"/>
        <v>-41826.014894701533</v>
      </c>
      <c r="S101" s="41">
        <f t="shared" si="38"/>
        <v>-41185.763019747341</v>
      </c>
      <c r="T101" s="41">
        <f t="shared" si="39"/>
        <v>-40471.421171570728</v>
      </c>
      <c r="V101" s="41">
        <f t="shared" si="55"/>
        <v>-42831.541170000004</v>
      </c>
      <c r="W101" s="41">
        <f t="shared" si="56"/>
        <v>-43011.690371657998</v>
      </c>
      <c r="X101" s="41">
        <f t="shared" si="40"/>
        <v>-45636.470395759497</v>
      </c>
      <c r="Y101" s="41">
        <f t="shared" si="41"/>
        <v>-45099.954475716033</v>
      </c>
      <c r="Z101" s="41">
        <f t="shared" si="42"/>
        <v>-44482.249205966407</v>
      </c>
      <c r="AA101" s="41">
        <f t="shared" si="43"/>
        <v>-43573.488861466198</v>
      </c>
      <c r="AB101" s="41">
        <f t="shared" si="44"/>
        <v>-41826.014894701533</v>
      </c>
      <c r="AC101" s="41">
        <f t="shared" si="45"/>
        <v>-41185.763019747341</v>
      </c>
      <c r="AD101" s="41">
        <f t="shared" si="46"/>
        <v>-40471.421171570728</v>
      </c>
      <c r="AF101" s="303">
        <f t="shared" si="47"/>
        <v>2.9749680007527882E-3</v>
      </c>
      <c r="AG101" s="303">
        <f t="shared" si="48"/>
        <v>2.943275562198895E-3</v>
      </c>
      <c r="AH101" s="303">
        <f t="shared" si="49"/>
        <v>2.9261109757595166E-3</v>
      </c>
      <c r="AI101" s="303">
        <f t="shared" si="50"/>
        <v>2.8994528600487799E-3</v>
      </c>
      <c r="AJ101" s="303">
        <f t="shared" si="51"/>
        <v>2.875252625815612E-3</v>
      </c>
      <c r="AK101" s="303">
        <f t="shared" si="52"/>
        <v>2.8558730657633137E-3</v>
      </c>
      <c r="AL101" s="303">
        <f t="shared" si="53"/>
        <v>2.8318237781969286E-3</v>
      </c>
      <c r="AM101" s="303">
        <f t="shared" si="54"/>
        <v>2.8017593227397616E-3</v>
      </c>
      <c r="AV101" s="41">
        <v>-43101.137999999999</v>
      </c>
      <c r="AW101" s="303">
        <f t="shared" si="58"/>
        <v>2.8849082838724466E-3</v>
      </c>
      <c r="AX101" s="41">
        <f t="shared" si="57"/>
        <v>-42295.170680420051</v>
      </c>
    </row>
    <row r="102" spans="1:50" x14ac:dyDescent="0.2">
      <c r="A102" s="30">
        <v>280</v>
      </c>
      <c r="B102" s="47" t="s">
        <v>425</v>
      </c>
      <c r="C102" s="295">
        <v>0.98945148301715202</v>
      </c>
      <c r="D102" s="295">
        <v>1.0555741238143637</v>
      </c>
      <c r="E102" s="295">
        <v>0.98310782084711112</v>
      </c>
      <c r="F102" s="295">
        <v>1.0168176811829193</v>
      </c>
      <c r="G102" s="295">
        <v>0.98998600769203238</v>
      </c>
      <c r="H102" s="295">
        <v>0.98060606494984037</v>
      </c>
      <c r="I102" s="295">
        <v>1.0021452055240065</v>
      </c>
      <c r="J102" s="295">
        <v>0.99899004051489415</v>
      </c>
      <c r="L102" s="41">
        <v>-5460.0068200000005</v>
      </c>
      <c r="M102" s="41">
        <f t="shared" si="32"/>
        <v>-5402.4118453327646</v>
      </c>
      <c r="N102" s="41">
        <f t="shared" si="33"/>
        <v>-5702.6461501214726</v>
      </c>
      <c r="O102" s="41">
        <f t="shared" si="34"/>
        <v>-5606.3160297080885</v>
      </c>
      <c r="P102" s="41">
        <f t="shared" si="35"/>
        <v>-5700.601265306409</v>
      </c>
      <c r="Q102" s="41">
        <f t="shared" si="36"/>
        <v>-5643.5154880848404</v>
      </c>
      <c r="R102" s="41">
        <f t="shared" si="37"/>
        <v>-5534.0655152543532</v>
      </c>
      <c r="S102" s="41">
        <f t="shared" si="38"/>
        <v>-5545.9372231678908</v>
      </c>
      <c r="T102" s="41">
        <f t="shared" si="39"/>
        <v>-5540.3360512655509</v>
      </c>
      <c r="V102" s="41">
        <f t="shared" si="55"/>
        <v>-5460.0068200000005</v>
      </c>
      <c r="W102" s="41">
        <f t="shared" si="56"/>
        <v>-5515.8624940847521</v>
      </c>
      <c r="X102" s="41">
        <f t="shared" si="40"/>
        <v>-5896.5361192256032</v>
      </c>
      <c r="Y102" s="41">
        <f t="shared" si="41"/>
        <v>-5791.3244586884548</v>
      </c>
      <c r="Z102" s="41">
        <f t="shared" si="42"/>
        <v>-5883.0205057962139</v>
      </c>
      <c r="AA102" s="41">
        <f t="shared" si="43"/>
        <v>-5795.8904062631309</v>
      </c>
      <c r="AB102" s="41">
        <f t="shared" si="44"/>
        <v>-5534.0655152543532</v>
      </c>
      <c r="AC102" s="41">
        <f t="shared" si="45"/>
        <v>-5545.9372231678908</v>
      </c>
      <c r="AD102" s="41">
        <f t="shared" si="46"/>
        <v>-5540.3360512655509</v>
      </c>
      <c r="AF102" s="303">
        <f t="shared" si="47"/>
        <v>3.8151289276618252E-4</v>
      </c>
      <c r="AG102" s="303">
        <f t="shared" si="48"/>
        <v>3.8029081808553826E-4</v>
      </c>
      <c r="AH102" s="303">
        <f t="shared" si="49"/>
        <v>3.7574446049335581E-4</v>
      </c>
      <c r="AI102" s="303">
        <f t="shared" si="50"/>
        <v>3.834684831757231E-4</v>
      </c>
      <c r="AJ102" s="303">
        <f t="shared" si="51"/>
        <v>3.8244927236673044E-4</v>
      </c>
      <c r="AK102" s="303">
        <f t="shared" si="52"/>
        <v>3.7786503660396743E-4</v>
      </c>
      <c r="AL102" s="303">
        <f t="shared" si="53"/>
        <v>3.8132392723728693E-4</v>
      </c>
      <c r="AM102" s="303">
        <f t="shared" si="54"/>
        <v>3.8354690132918817E-4</v>
      </c>
      <c r="AV102" s="41">
        <v>-5776.37</v>
      </c>
      <c r="AW102" s="303">
        <f t="shared" si="58"/>
        <v>3.8663242867769028E-4</v>
      </c>
      <c r="AX102" s="41">
        <f t="shared" si="57"/>
        <v>-5668.3550922311606</v>
      </c>
    </row>
    <row r="103" spans="1:50" x14ac:dyDescent="0.2">
      <c r="A103" s="30">
        <v>284</v>
      </c>
      <c r="B103" s="47" t="s">
        <v>426</v>
      </c>
      <c r="C103" s="295">
        <v>1.0090767569125623</v>
      </c>
      <c r="D103" s="295">
        <v>1.0405262647341722</v>
      </c>
      <c r="E103" s="295">
        <v>0.99849174553968845</v>
      </c>
      <c r="F103" s="295">
        <v>0.99931701269550499</v>
      </c>
      <c r="G103" s="295">
        <v>0.98889667961176786</v>
      </c>
      <c r="H103" s="295">
        <v>0.99808387832531953</v>
      </c>
      <c r="I103" s="295">
        <v>0.99818685532365481</v>
      </c>
      <c r="J103" s="295">
        <v>0.98905056997196605</v>
      </c>
      <c r="L103" s="41">
        <v>-4644.9096200000004</v>
      </c>
      <c r="M103" s="41">
        <f t="shared" si="32"/>
        <v>-4687.0703355015621</v>
      </c>
      <c r="N103" s="41">
        <f t="shared" si="33"/>
        <v>-4877.0197887457834</v>
      </c>
      <c r="O103" s="41">
        <f t="shared" si="34"/>
        <v>-4869.6640018963799</v>
      </c>
      <c r="P103" s="41">
        <f t="shared" si="35"/>
        <v>-4866.3380832059283</v>
      </c>
      <c r="Q103" s="41">
        <f t="shared" si="36"/>
        <v>-4812.3055723506377</v>
      </c>
      <c r="R103" s="41">
        <f t="shared" si="37"/>
        <v>-4803.0846093382706</v>
      </c>
      <c r="S103" s="41">
        <f t="shared" si="38"/>
        <v>-4794.3759220488137</v>
      </c>
      <c r="T103" s="41">
        <f t="shared" si="39"/>
        <v>-4741.8802383622497</v>
      </c>
      <c r="V103" s="41">
        <f t="shared" si="55"/>
        <v>-4644.9096200000004</v>
      </c>
      <c r="W103" s="41">
        <f t="shared" si="56"/>
        <v>-4785.4988125470945</v>
      </c>
      <c r="X103" s="41">
        <f t="shared" si="40"/>
        <v>-5042.8384615631403</v>
      </c>
      <c r="Y103" s="41">
        <f t="shared" si="41"/>
        <v>-5030.3629139589602</v>
      </c>
      <c r="Z103" s="41">
        <f t="shared" si="42"/>
        <v>-5022.0609018685182</v>
      </c>
      <c r="AA103" s="41">
        <f t="shared" si="43"/>
        <v>-4942.2378228041043</v>
      </c>
      <c r="AB103" s="41">
        <f t="shared" si="44"/>
        <v>-4803.0846093382706</v>
      </c>
      <c r="AC103" s="41">
        <f t="shared" si="45"/>
        <v>-4794.3759220488137</v>
      </c>
      <c r="AD103" s="41">
        <f t="shared" si="46"/>
        <v>-4741.8802383622497</v>
      </c>
      <c r="AF103" s="303">
        <f t="shared" si="47"/>
        <v>3.3099619456828337E-4</v>
      </c>
      <c r="AG103" s="303">
        <f t="shared" si="48"/>
        <v>3.2523249671417647E-4</v>
      </c>
      <c r="AH103" s="303">
        <f t="shared" si="49"/>
        <v>3.2637283797070277E-4</v>
      </c>
      <c r="AI103" s="303">
        <f t="shared" si="50"/>
        <v>3.2734920345054699E-4</v>
      </c>
      <c r="AJ103" s="303">
        <f t="shared" si="51"/>
        <v>3.261199102647338E-4</v>
      </c>
      <c r="AK103" s="303">
        <f t="shared" si="52"/>
        <v>3.2795378672638323E-4</v>
      </c>
      <c r="AL103" s="303">
        <f t="shared" si="53"/>
        <v>3.2964856645154229E-4</v>
      </c>
      <c r="AM103" s="303">
        <f t="shared" si="54"/>
        <v>3.2827132778029031E-4</v>
      </c>
      <c r="AV103" s="41">
        <v>-6755.0290000000005</v>
      </c>
      <c r="AW103" s="303">
        <f t="shared" si="58"/>
        <v>4.5213746142616033E-4</v>
      </c>
      <c r="AX103" s="41">
        <f t="shared" si="57"/>
        <v>-6628.7137129926186</v>
      </c>
    </row>
    <row r="104" spans="1:50" x14ac:dyDescent="0.2">
      <c r="A104" s="30">
        <v>285</v>
      </c>
      <c r="B104" s="47" t="s">
        <v>427</v>
      </c>
      <c r="C104" s="295">
        <v>0.98112031601669947</v>
      </c>
      <c r="D104" s="295">
        <v>1.0786203853907916</v>
      </c>
      <c r="E104" s="295">
        <v>0.98324097349123241</v>
      </c>
      <c r="F104" s="295">
        <v>0.98392933229267598</v>
      </c>
      <c r="G104" s="295">
        <v>0.98303745306097812</v>
      </c>
      <c r="H104" s="295">
        <v>0.98140022268298599</v>
      </c>
      <c r="I104" s="295">
        <v>0.98378265183522828</v>
      </c>
      <c r="J104" s="295">
        <v>0.98482283722464947</v>
      </c>
      <c r="L104" s="41">
        <v>-121721.80250000001</v>
      </c>
      <c r="M104" s="41">
        <f t="shared" si="32"/>
        <v>-119423.73333492229</v>
      </c>
      <c r="N104" s="41">
        <f t="shared" si="33"/>
        <v>-128812.87327452101</v>
      </c>
      <c r="O104" s="41">
        <f t="shared" si="34"/>
        <v>-126654.09491664279</v>
      </c>
      <c r="P104" s="41">
        <f t="shared" si="35"/>
        <v>-124618.67904346554</v>
      </c>
      <c r="Q104" s="41">
        <f t="shared" si="36"/>
        <v>-122504.82885071186</v>
      </c>
      <c r="R104" s="41">
        <f t="shared" si="37"/>
        <v>-120226.26631382971</v>
      </c>
      <c r="S104" s="41">
        <f t="shared" si="38"/>
        <v>-118276.51509446776</v>
      </c>
      <c r="T104" s="41">
        <f t="shared" si="39"/>
        <v>-116481.41317237781</v>
      </c>
      <c r="V104" s="41">
        <f t="shared" si="55"/>
        <v>-121721.80250000001</v>
      </c>
      <c r="W104" s="41">
        <f t="shared" si="56"/>
        <v>-121931.63173495565</v>
      </c>
      <c r="X104" s="41">
        <f t="shared" si="40"/>
        <v>-133192.51096585474</v>
      </c>
      <c r="Y104" s="41">
        <f t="shared" si="41"/>
        <v>-130833.68004889198</v>
      </c>
      <c r="Z104" s="41">
        <f t="shared" si="42"/>
        <v>-128606.47677285645</v>
      </c>
      <c r="AA104" s="41">
        <f t="shared" si="43"/>
        <v>-125812.45922968106</v>
      </c>
      <c r="AB104" s="41">
        <f t="shared" si="44"/>
        <v>-120226.26631382971</v>
      </c>
      <c r="AC104" s="41">
        <f t="shared" si="45"/>
        <v>-118276.51509446776</v>
      </c>
      <c r="AD104" s="41">
        <f t="shared" si="46"/>
        <v>-116481.41317237781</v>
      </c>
      <c r="AF104" s="303">
        <f t="shared" si="47"/>
        <v>8.4335839758134887E-3</v>
      </c>
      <c r="AG104" s="303">
        <f t="shared" si="48"/>
        <v>8.5901091647555411E-3</v>
      </c>
      <c r="AH104" s="303">
        <f t="shared" si="49"/>
        <v>8.4885643819487162E-3</v>
      </c>
      <c r="AI104" s="303">
        <f t="shared" si="50"/>
        <v>8.3828588606944827E-3</v>
      </c>
      <c r="AJ104" s="303">
        <f t="shared" si="51"/>
        <v>8.3018967085824458E-3</v>
      </c>
      <c r="AK104" s="303">
        <f t="shared" si="52"/>
        <v>8.209028678140903E-3</v>
      </c>
      <c r="AL104" s="303">
        <f t="shared" si="53"/>
        <v>8.1323793293859546E-3</v>
      </c>
      <c r="AM104" s="303">
        <f t="shared" si="54"/>
        <v>8.0637861442547799E-3</v>
      </c>
      <c r="AV104" s="41">
        <v>-132189.16450000001</v>
      </c>
      <c r="AW104" s="303">
        <f t="shared" si="58"/>
        <v>8.8478781164485175E-3</v>
      </c>
      <c r="AX104" s="41">
        <f t="shared" si="57"/>
        <v>-129717.30061117237</v>
      </c>
    </row>
    <row r="105" spans="1:50" x14ac:dyDescent="0.2">
      <c r="A105" s="30">
        <v>286</v>
      </c>
      <c r="B105" s="47" t="s">
        <v>428</v>
      </c>
      <c r="C105" s="295">
        <v>0.97527653812496617</v>
      </c>
      <c r="D105" s="295">
        <v>1.0658841964438952</v>
      </c>
      <c r="E105" s="295">
        <v>0.98108139199236699</v>
      </c>
      <c r="F105" s="295">
        <v>0.98491012818932089</v>
      </c>
      <c r="G105" s="295">
        <v>0.98246142999014741</v>
      </c>
      <c r="H105" s="295">
        <v>0.97979781780682051</v>
      </c>
      <c r="I105" s="295">
        <v>0.97972434081941939</v>
      </c>
      <c r="J105" s="295">
        <v>0.98220354802381671</v>
      </c>
      <c r="L105" s="41">
        <v>-186802.69488999998</v>
      </c>
      <c r="M105" s="41">
        <f t="shared" si="32"/>
        <v>-182184.2855847335</v>
      </c>
      <c r="N105" s="41">
        <f t="shared" si="33"/>
        <v>-194187.35084518878</v>
      </c>
      <c r="O105" s="41">
        <f t="shared" si="34"/>
        <v>-190513.59647450794</v>
      </c>
      <c r="P105" s="41">
        <f t="shared" si="35"/>
        <v>-187638.77072551617</v>
      </c>
      <c r="Q105" s="41">
        <f t="shared" si="36"/>
        <v>-184347.85500858401</v>
      </c>
      <c r="R105" s="41">
        <f t="shared" si="37"/>
        <v>-180623.62605477875</v>
      </c>
      <c r="S105" s="41">
        <f t="shared" si="38"/>
        <v>-176961.36297293141</v>
      </c>
      <c r="T105" s="41">
        <f t="shared" si="39"/>
        <v>-173812.07857514371</v>
      </c>
      <c r="V105" s="41">
        <f t="shared" si="55"/>
        <v>-186802.69488999998</v>
      </c>
      <c r="W105" s="41">
        <f t="shared" si="56"/>
        <v>-186010.1555820129</v>
      </c>
      <c r="X105" s="41">
        <f t="shared" si="40"/>
        <v>-200789.72077392519</v>
      </c>
      <c r="Y105" s="41">
        <f t="shared" si="41"/>
        <v>-196800.5451581667</v>
      </c>
      <c r="Z105" s="41">
        <f t="shared" si="42"/>
        <v>-193643.21138873269</v>
      </c>
      <c r="AA105" s="41">
        <f t="shared" si="43"/>
        <v>-189325.24709381576</v>
      </c>
      <c r="AB105" s="41">
        <f t="shared" si="44"/>
        <v>-180623.62605477875</v>
      </c>
      <c r="AC105" s="41">
        <f t="shared" si="45"/>
        <v>-176961.36297293141</v>
      </c>
      <c r="AD105" s="41">
        <f t="shared" si="46"/>
        <v>-173812.07857514371</v>
      </c>
      <c r="AF105" s="303">
        <f t="shared" si="47"/>
        <v>1.2865671074303439E-2</v>
      </c>
      <c r="AG105" s="303">
        <f t="shared" si="48"/>
        <v>1.2949719230467638E-2</v>
      </c>
      <c r="AH105" s="303">
        <f t="shared" si="49"/>
        <v>1.2768532516653396E-2</v>
      </c>
      <c r="AI105" s="303">
        <f t="shared" si="50"/>
        <v>1.2622099221879788E-2</v>
      </c>
      <c r="AJ105" s="303">
        <f t="shared" si="51"/>
        <v>1.2492869587981997E-2</v>
      </c>
      <c r="AK105" s="303">
        <f t="shared" si="52"/>
        <v>1.2332949959229634E-2</v>
      </c>
      <c r="AL105" s="303">
        <f t="shared" si="53"/>
        <v>1.2167393748383659E-2</v>
      </c>
      <c r="AM105" s="303">
        <f t="shared" si="54"/>
        <v>1.2032678800386807E-2</v>
      </c>
      <c r="AV105" s="41">
        <v>-186840.83</v>
      </c>
      <c r="AW105" s="303">
        <f t="shared" si="58"/>
        <v>1.2505903167396729E-2</v>
      </c>
      <c r="AX105" s="41">
        <f t="shared" si="57"/>
        <v>-183347.01034857472</v>
      </c>
    </row>
    <row r="106" spans="1:50" x14ac:dyDescent="0.2">
      <c r="A106" s="30">
        <v>287</v>
      </c>
      <c r="B106" s="47" t="s">
        <v>429</v>
      </c>
      <c r="C106" s="295">
        <v>0.99796124707080414</v>
      </c>
      <c r="D106" s="295">
        <v>1.0257708698612886</v>
      </c>
      <c r="E106" s="295">
        <v>0.98490768569605314</v>
      </c>
      <c r="F106" s="295">
        <v>0.99048528858774754</v>
      </c>
      <c r="G106" s="295">
        <v>0.99287077579503547</v>
      </c>
      <c r="H106" s="295">
        <v>0.99374550696229857</v>
      </c>
      <c r="I106" s="295">
        <v>0.98771391217443494</v>
      </c>
      <c r="J106" s="295">
        <v>0.99364140613727192</v>
      </c>
      <c r="L106" s="41">
        <v>-18723.114399999999</v>
      </c>
      <c r="M106" s="41">
        <f t="shared" si="32"/>
        <v>-18684.942595673328</v>
      </c>
      <c r="N106" s="41">
        <f t="shared" si="33"/>
        <v>-19166.469819672075</v>
      </c>
      <c r="O106" s="41">
        <f t="shared" si="34"/>
        <v>-18877.203433056471</v>
      </c>
      <c r="P106" s="41">
        <f t="shared" si="35"/>
        <v>-18697.592290120556</v>
      </c>
      <c r="Q106" s="41">
        <f t="shared" si="36"/>
        <v>-18564.292962591269</v>
      </c>
      <c r="R106" s="41">
        <f t="shared" si="37"/>
        <v>-18448.182721506892</v>
      </c>
      <c r="S106" s="41">
        <f t="shared" si="38"/>
        <v>-18221.526728368386</v>
      </c>
      <c r="T106" s="41">
        <f t="shared" si="39"/>
        <v>-18105.663440343847</v>
      </c>
      <c r="V106" s="41">
        <f t="shared" si="55"/>
        <v>-18723.114399999999</v>
      </c>
      <c r="W106" s="41">
        <f t="shared" si="56"/>
        <v>-19077.326390182468</v>
      </c>
      <c r="X106" s="41">
        <f t="shared" si="40"/>
        <v>-19818.129793540927</v>
      </c>
      <c r="Y106" s="41">
        <f t="shared" si="41"/>
        <v>-19500.151146347333</v>
      </c>
      <c r="Z106" s="41">
        <f t="shared" si="42"/>
        <v>-19295.915243404415</v>
      </c>
      <c r="AA106" s="41">
        <f t="shared" si="43"/>
        <v>-19065.528872581232</v>
      </c>
      <c r="AB106" s="41">
        <f t="shared" si="44"/>
        <v>-18448.182721506892</v>
      </c>
      <c r="AC106" s="41">
        <f t="shared" si="45"/>
        <v>-18221.526728368386</v>
      </c>
      <c r="AD106" s="41">
        <f t="shared" si="46"/>
        <v>-18105.663440343847</v>
      </c>
      <c r="AF106" s="303">
        <f t="shared" si="47"/>
        <v>1.3195118596898286E-3</v>
      </c>
      <c r="AG106" s="303">
        <f t="shared" si="48"/>
        <v>1.2781491777075476E-3</v>
      </c>
      <c r="AH106" s="303">
        <f t="shared" si="49"/>
        <v>1.2651810176220924E-3</v>
      </c>
      <c r="AI106" s="303">
        <f t="shared" si="50"/>
        <v>1.2577510723590733E-3</v>
      </c>
      <c r="AJ106" s="303">
        <f t="shared" si="51"/>
        <v>1.2580634093298532E-3</v>
      </c>
      <c r="AK106" s="303">
        <f t="shared" si="52"/>
        <v>1.2596387267414719E-3</v>
      </c>
      <c r="AL106" s="303">
        <f t="shared" si="53"/>
        <v>1.252863826747698E-3</v>
      </c>
      <c r="AM106" s="303">
        <f t="shared" si="54"/>
        <v>1.2534205587523494E-3</v>
      </c>
      <c r="AV106" s="41">
        <v>-19823.671999999999</v>
      </c>
      <c r="AW106" s="303">
        <f t="shared" si="58"/>
        <v>1.3268669511596254E-3</v>
      </c>
      <c r="AX106" s="41">
        <f t="shared" si="57"/>
        <v>-19452.980354084015</v>
      </c>
    </row>
    <row r="107" spans="1:50" x14ac:dyDescent="0.2">
      <c r="A107" s="30">
        <v>288</v>
      </c>
      <c r="B107" s="47" t="s">
        <v>430</v>
      </c>
      <c r="C107" s="295">
        <v>0.97236296877357276</v>
      </c>
      <c r="D107" s="295">
        <v>1.0182142176245264</v>
      </c>
      <c r="E107" s="295">
        <v>0.97831295840561938</v>
      </c>
      <c r="F107" s="295">
        <v>0.98484431703354691</v>
      </c>
      <c r="G107" s="295">
        <v>0.98447001069885731</v>
      </c>
      <c r="H107" s="295">
        <v>0.98360870548059565</v>
      </c>
      <c r="I107" s="295">
        <v>0.97911502197907396</v>
      </c>
      <c r="J107" s="295">
        <v>0.9866390153237059</v>
      </c>
      <c r="L107" s="41">
        <v>-17478.29621</v>
      </c>
      <c r="M107" s="41">
        <f t="shared" si="32"/>
        <v>-16995.247991859487</v>
      </c>
      <c r="N107" s="41">
        <f t="shared" si="33"/>
        <v>-17304.803137366009</v>
      </c>
      <c r="O107" s="41">
        <f t="shared" si="34"/>
        <v>-16929.513151943385</v>
      </c>
      <c r="P107" s="41">
        <f t="shared" si="35"/>
        <v>-16672.934817836132</v>
      </c>
      <c r="Q107" s="41">
        <f t="shared" si="36"/>
        <v>-16414.004318496489</v>
      </c>
      <c r="R107" s="41">
        <f t="shared" si="37"/>
        <v>-16144.957539469238</v>
      </c>
      <c r="S107" s="41">
        <f t="shared" si="38"/>
        <v>-15807.770456108639</v>
      </c>
      <c r="T107" s="41">
        <f t="shared" si="39"/>
        <v>-15596.563077278197</v>
      </c>
      <c r="V107" s="41">
        <f t="shared" si="55"/>
        <v>-17478.29621</v>
      </c>
      <c r="W107" s="41">
        <f t="shared" si="56"/>
        <v>-17352.148199688534</v>
      </c>
      <c r="X107" s="41">
        <f t="shared" si="40"/>
        <v>-17893.166444036455</v>
      </c>
      <c r="Y107" s="41">
        <f t="shared" si="41"/>
        <v>-17488.187085957517</v>
      </c>
      <c r="Z107" s="41">
        <f t="shared" si="42"/>
        <v>-17206.468732006888</v>
      </c>
      <c r="AA107" s="41">
        <f t="shared" si="43"/>
        <v>-16857.182435095892</v>
      </c>
      <c r="AB107" s="41">
        <f t="shared" si="44"/>
        <v>-16144.957539469238</v>
      </c>
      <c r="AC107" s="41">
        <f t="shared" si="45"/>
        <v>-15807.770456108639</v>
      </c>
      <c r="AD107" s="41">
        <f t="shared" si="46"/>
        <v>-15596.563077278197</v>
      </c>
      <c r="AF107" s="303">
        <f t="shared" si="47"/>
        <v>1.200187325639478E-3</v>
      </c>
      <c r="AG107" s="303">
        <f t="shared" si="48"/>
        <v>1.1540007162776406E-3</v>
      </c>
      <c r="AH107" s="303">
        <f t="shared" si="49"/>
        <v>1.134643632642906E-3</v>
      </c>
      <c r="AI107" s="303">
        <f t="shared" si="50"/>
        <v>1.1215562582133462E-3</v>
      </c>
      <c r="AJ107" s="303">
        <f t="shared" si="51"/>
        <v>1.1123428333787858E-3</v>
      </c>
      <c r="AK107" s="303">
        <f t="shared" si="52"/>
        <v>1.1023749095136347E-3</v>
      </c>
      <c r="AL107" s="303">
        <f t="shared" si="53"/>
        <v>1.0869003504056477E-3</v>
      </c>
      <c r="AM107" s="303">
        <f t="shared" si="54"/>
        <v>1.0797203246017612E-3</v>
      </c>
      <c r="AV107" s="41">
        <v>-18319.314999999999</v>
      </c>
      <c r="AW107" s="303">
        <f t="shared" si="58"/>
        <v>1.2261751325073776E-3</v>
      </c>
      <c r="AX107" s="41">
        <f t="shared" si="57"/>
        <v>-17976.753993673654</v>
      </c>
    </row>
    <row r="108" spans="1:50" x14ac:dyDescent="0.2">
      <c r="A108" s="30">
        <v>290</v>
      </c>
      <c r="B108" s="47" t="s">
        <v>431</v>
      </c>
      <c r="C108" s="295">
        <v>0.95923451598304921</v>
      </c>
      <c r="D108" s="295">
        <v>1.0849641439070381</v>
      </c>
      <c r="E108" s="295">
        <v>0.96434202989032725</v>
      </c>
      <c r="F108" s="295">
        <v>0.98202139553052392</v>
      </c>
      <c r="G108" s="295">
        <v>0.97561539880045201</v>
      </c>
      <c r="H108" s="295">
        <v>0.97605532514006599</v>
      </c>
      <c r="I108" s="295">
        <v>0.98271052345077181</v>
      </c>
      <c r="J108" s="295">
        <v>0.98270874157203636</v>
      </c>
      <c r="L108" s="41">
        <v>-22093.458149999999</v>
      </c>
      <c r="M108" s="41">
        <f t="shared" si="32"/>
        <v>-21192.807634907003</v>
      </c>
      <c r="N108" s="41">
        <f t="shared" si="33"/>
        <v>-22993.436392593419</v>
      </c>
      <c r="O108" s="41">
        <f t="shared" si="34"/>
        <v>-22173.537124987663</v>
      </c>
      <c r="P108" s="41">
        <f t="shared" si="35"/>
        <v>-21774.887871328265</v>
      </c>
      <c r="Q108" s="41">
        <f t="shared" si="36"/>
        <v>-21243.91591442105</v>
      </c>
      <c r="R108" s="41">
        <f t="shared" si="37"/>
        <v>-20735.237255098458</v>
      </c>
      <c r="S108" s="41">
        <f t="shared" si="38"/>
        <v>-20376.735856833751</v>
      </c>
      <c r="T108" s="41">
        <f t="shared" si="39"/>
        <v>-20024.396451214885</v>
      </c>
      <c r="V108" s="41">
        <f t="shared" si="55"/>
        <v>-22093.458149999999</v>
      </c>
      <c r="W108" s="41">
        <f t="shared" si="56"/>
        <v>-21637.85659524005</v>
      </c>
      <c r="X108" s="41">
        <f t="shared" si="40"/>
        <v>-23775.213229941597</v>
      </c>
      <c r="Y108" s="41">
        <f t="shared" si="41"/>
        <v>-22905.263850112253</v>
      </c>
      <c r="Z108" s="41">
        <f t="shared" si="42"/>
        <v>-22471.684283210769</v>
      </c>
      <c r="AA108" s="41">
        <f t="shared" si="43"/>
        <v>-21817.501644110416</v>
      </c>
      <c r="AB108" s="41">
        <f t="shared" si="44"/>
        <v>-20735.237255098458</v>
      </c>
      <c r="AC108" s="41">
        <f t="shared" si="45"/>
        <v>-20376.735856833751</v>
      </c>
      <c r="AD108" s="41">
        <f t="shared" si="46"/>
        <v>-20024.396451214885</v>
      </c>
      <c r="AF108" s="303">
        <f t="shared" si="47"/>
        <v>1.4966147672757796E-3</v>
      </c>
      <c r="AG108" s="303">
        <f t="shared" si="48"/>
        <v>1.5333570602396359E-3</v>
      </c>
      <c r="AH108" s="303">
        <f t="shared" si="49"/>
        <v>1.486106687548204E-3</v>
      </c>
      <c r="AI108" s="303">
        <f t="shared" si="50"/>
        <v>1.4647548275578061E-3</v>
      </c>
      <c r="AJ108" s="303">
        <f t="shared" si="51"/>
        <v>1.4396558671353104E-3</v>
      </c>
      <c r="AK108" s="303">
        <f t="shared" si="52"/>
        <v>1.4157984148891335E-3</v>
      </c>
      <c r="AL108" s="303">
        <f t="shared" si="53"/>
        <v>1.4010502875411769E-3</v>
      </c>
      <c r="AM108" s="303">
        <f t="shared" si="54"/>
        <v>1.3862507867363552E-3</v>
      </c>
      <c r="AV108" s="41">
        <v>-23439.712670000001</v>
      </c>
      <c r="AW108" s="303">
        <f t="shared" si="58"/>
        <v>1.5689010636627031E-3</v>
      </c>
      <c r="AX108" s="41">
        <f t="shared" si="57"/>
        <v>-23001.403073804096</v>
      </c>
    </row>
    <row r="109" spans="1:50" x14ac:dyDescent="0.2">
      <c r="A109" s="30">
        <v>291</v>
      </c>
      <c r="B109" s="47" t="s">
        <v>432</v>
      </c>
      <c r="C109" s="295">
        <v>1.0023068471047587</v>
      </c>
      <c r="D109" s="295">
        <v>1.0359689628604789</v>
      </c>
      <c r="E109" s="295">
        <v>0.99555295210198191</v>
      </c>
      <c r="F109" s="295">
        <v>0.99731888366601318</v>
      </c>
      <c r="G109" s="295">
        <v>0.99609644385255758</v>
      </c>
      <c r="H109" s="295">
        <v>0.99588520370681988</v>
      </c>
      <c r="I109" s="295">
        <v>0.99606495447671484</v>
      </c>
      <c r="J109" s="295">
        <v>0.99683952697614786</v>
      </c>
      <c r="L109" s="41">
        <v>-6590.4876799999993</v>
      </c>
      <c r="M109" s="41">
        <f t="shared" si="32"/>
        <v>-6605.690927423555</v>
      </c>
      <c r="N109" s="41">
        <f t="shared" si="33"/>
        <v>-6843.2907790598556</v>
      </c>
      <c r="O109" s="41">
        <f t="shared" si="34"/>
        <v>-6812.858337185311</v>
      </c>
      <c r="P109" s="41">
        <f t="shared" si="35"/>
        <v>-6794.5922714163453</v>
      </c>
      <c r="Q109" s="41">
        <f t="shared" si="36"/>
        <v>-6768.0691989858933</v>
      </c>
      <c r="R109" s="41">
        <f t="shared" si="37"/>
        <v>-6740.21997293392</v>
      </c>
      <c r="S109" s="41">
        <f t="shared" si="38"/>
        <v>-6713.6969005034689</v>
      </c>
      <c r="T109" s="41">
        <f t="shared" si="39"/>
        <v>-6692.4784425591079</v>
      </c>
      <c r="V109" s="41">
        <f t="shared" si="55"/>
        <v>-6590.4876799999993</v>
      </c>
      <c r="W109" s="41">
        <f t="shared" si="56"/>
        <v>-6744.4104368994495</v>
      </c>
      <c r="X109" s="41">
        <f t="shared" si="40"/>
        <v>-7075.9626655478905</v>
      </c>
      <c r="Y109" s="41">
        <f t="shared" si="41"/>
        <v>-7037.6826623124261</v>
      </c>
      <c r="Z109" s="41">
        <f t="shared" si="42"/>
        <v>-7012.0192241016684</v>
      </c>
      <c r="AA109" s="41">
        <f t="shared" si="43"/>
        <v>-6950.8070673585116</v>
      </c>
      <c r="AB109" s="41">
        <f t="shared" si="44"/>
        <v>-6740.21997293392</v>
      </c>
      <c r="AC109" s="41">
        <f t="shared" si="45"/>
        <v>-6713.6969005034689</v>
      </c>
      <c r="AD109" s="41">
        <f t="shared" si="46"/>
        <v>-6692.4784425591079</v>
      </c>
      <c r="AF109" s="303">
        <f t="shared" si="47"/>
        <v>4.6648725172959438E-4</v>
      </c>
      <c r="AG109" s="303">
        <f t="shared" si="48"/>
        <v>4.5635667727875027E-4</v>
      </c>
      <c r="AH109" s="303">
        <f t="shared" si="49"/>
        <v>4.566088973148104E-4</v>
      </c>
      <c r="AI109" s="303">
        <f t="shared" si="50"/>
        <v>4.5705915408862934E-4</v>
      </c>
      <c r="AJ109" s="303">
        <f t="shared" si="51"/>
        <v>4.5865793155787691E-4</v>
      </c>
      <c r="AK109" s="303">
        <f t="shared" si="52"/>
        <v>4.6022105444380691E-4</v>
      </c>
      <c r="AL109" s="303">
        <f t="shared" si="53"/>
        <v>4.6161598398303445E-4</v>
      </c>
      <c r="AM109" s="303">
        <f t="shared" si="54"/>
        <v>4.6330752234236726E-4</v>
      </c>
      <c r="AV109" s="41">
        <v>-6337.1210799999999</v>
      </c>
      <c r="AW109" s="303">
        <f t="shared" si="58"/>
        <v>4.2416543849943604E-4</v>
      </c>
      <c r="AX109" s="41">
        <f t="shared" si="57"/>
        <v>-6218.6204387709631</v>
      </c>
    </row>
    <row r="110" spans="1:50" x14ac:dyDescent="0.2">
      <c r="A110" s="30">
        <v>297</v>
      </c>
      <c r="B110" s="47" t="s">
        <v>433</v>
      </c>
      <c r="C110" s="295">
        <v>1.0015130189241368</v>
      </c>
      <c r="D110" s="295">
        <v>1.0584047687737324</v>
      </c>
      <c r="E110" s="295">
        <v>1.0012905007415906</v>
      </c>
      <c r="F110" s="295">
        <v>1.0005119750224007</v>
      </c>
      <c r="G110" s="295">
        <v>0.99597649907883834</v>
      </c>
      <c r="H110" s="295">
        <v>0.99470659488310098</v>
      </c>
      <c r="I110" s="295">
        <v>0.99416710305992184</v>
      </c>
      <c r="J110" s="295">
        <v>0.99545923289456961</v>
      </c>
      <c r="L110" s="41">
        <v>-296291.22433</v>
      </c>
      <c r="M110" s="41">
        <f t="shared" si="32"/>
        <v>-296739.51855946693</v>
      </c>
      <c r="N110" s="41">
        <f t="shared" si="33"/>
        <v>-314070.52152696124</v>
      </c>
      <c r="O110" s="41">
        <f t="shared" si="34"/>
        <v>-314475.82976790355</v>
      </c>
      <c r="P110" s="41">
        <f t="shared" si="35"/>
        <v>-314636.83353789349</v>
      </c>
      <c r="Q110" s="41">
        <f t="shared" si="36"/>
        <v>-313370.89194832236</v>
      </c>
      <c r="R110" s="41">
        <f t="shared" si="37"/>
        <v>-311712.09286539588</v>
      </c>
      <c r="S110" s="41">
        <f t="shared" si="38"/>
        <v>-309893.90835273598</v>
      </c>
      <c r="T110" s="41">
        <f t="shared" si="39"/>
        <v>-308486.75228751462</v>
      </c>
      <c r="V110" s="41">
        <f t="shared" si="55"/>
        <v>-296291.22433</v>
      </c>
      <c r="W110" s="41">
        <f t="shared" si="56"/>
        <v>-302971.04844921571</v>
      </c>
      <c r="X110" s="41">
        <f t="shared" si="40"/>
        <v>-324748.91925887793</v>
      </c>
      <c r="Y110" s="41">
        <f t="shared" si="41"/>
        <v>-324853.53215024434</v>
      </c>
      <c r="Z110" s="41">
        <f t="shared" si="42"/>
        <v>-324705.21221110609</v>
      </c>
      <c r="AA110" s="41">
        <f t="shared" si="43"/>
        <v>-321831.90603092703</v>
      </c>
      <c r="AB110" s="41">
        <f t="shared" si="44"/>
        <v>-311712.09286539588</v>
      </c>
      <c r="AC110" s="41">
        <f t="shared" si="45"/>
        <v>-309893.90835273598</v>
      </c>
      <c r="AD110" s="41">
        <f t="shared" si="46"/>
        <v>-308486.75228751462</v>
      </c>
      <c r="AF110" s="303">
        <f t="shared" si="47"/>
        <v>2.0955446449620559E-2</v>
      </c>
      <c r="AG110" s="303">
        <f t="shared" si="48"/>
        <v>2.0944335738856176E-2</v>
      </c>
      <c r="AH110" s="303">
        <f t="shared" si="49"/>
        <v>2.1076683934368547E-2</v>
      </c>
      <c r="AI110" s="303">
        <f t="shared" si="50"/>
        <v>2.1165014652450589E-2</v>
      </c>
      <c r="AJ110" s="303">
        <f t="shared" si="51"/>
        <v>2.1236491661905665E-2</v>
      </c>
      <c r="AK110" s="303">
        <f t="shared" si="52"/>
        <v>2.1283647809339053E-2</v>
      </c>
      <c r="AL110" s="303">
        <f t="shared" si="53"/>
        <v>2.1307482830192834E-2</v>
      </c>
      <c r="AM110" s="303">
        <f t="shared" si="54"/>
        <v>2.1355949683585358E-2</v>
      </c>
      <c r="AV110" s="41">
        <v>-301510</v>
      </c>
      <c r="AW110" s="303">
        <f t="shared" si="58"/>
        <v>2.0181107437821744E-2</v>
      </c>
      <c r="AX110" s="41">
        <f t="shared" si="57"/>
        <v>-295871.93061708601</v>
      </c>
    </row>
    <row r="111" spans="1:50" x14ac:dyDescent="0.2">
      <c r="A111" s="30">
        <v>300</v>
      </c>
      <c r="B111" s="47" t="s">
        <v>434</v>
      </c>
      <c r="C111" s="295">
        <v>0.98301351525110048</v>
      </c>
      <c r="D111" s="295">
        <v>1.0316037515703962</v>
      </c>
      <c r="E111" s="295">
        <v>0.98371429232612739</v>
      </c>
      <c r="F111" s="295">
        <v>1.0007230834218843</v>
      </c>
      <c r="G111" s="295">
        <v>0.99238006144012614</v>
      </c>
      <c r="H111" s="295">
        <v>0.99653664814586418</v>
      </c>
      <c r="I111" s="295">
        <v>0.99129509245348069</v>
      </c>
      <c r="J111" s="295">
        <v>1.002270378335953</v>
      </c>
      <c r="L111" s="41">
        <v>-10878.11004</v>
      </c>
      <c r="M111" s="41">
        <f t="shared" si="32"/>
        <v>-10693.329189708689</v>
      </c>
      <c r="N111" s="41">
        <f t="shared" si="33"/>
        <v>-11031.278508880709</v>
      </c>
      <c r="O111" s="41">
        <f t="shared" si="34"/>
        <v>-10851.626331816004</v>
      </c>
      <c r="P111" s="41">
        <f t="shared" si="35"/>
        <v>-10859.472962917023</v>
      </c>
      <c r="Q111" s="41">
        <f t="shared" si="36"/>
        <v>-10776.724446146984</v>
      </c>
      <c r="R111" s="41">
        <f t="shared" si="37"/>
        <v>-10739.400857554909</v>
      </c>
      <c r="S111" s="41">
        <f t="shared" si="38"/>
        <v>-10645.915365984883</v>
      </c>
      <c r="T111" s="41">
        <f t="shared" si="39"/>
        <v>-10670.085621598204</v>
      </c>
      <c r="V111" s="41">
        <f t="shared" si="55"/>
        <v>-10878.11004</v>
      </c>
      <c r="W111" s="41">
        <f t="shared" si="56"/>
        <v>-10917.88910269257</v>
      </c>
      <c r="X111" s="41">
        <f t="shared" si="40"/>
        <v>-11406.341978182652</v>
      </c>
      <c r="Y111" s="41">
        <f t="shared" si="41"/>
        <v>-11209.730000765931</v>
      </c>
      <c r="Z111" s="41">
        <f t="shared" si="42"/>
        <v>-11206.976097730369</v>
      </c>
      <c r="AA111" s="41">
        <f t="shared" si="43"/>
        <v>-11067.696006192951</v>
      </c>
      <c r="AB111" s="41">
        <f t="shared" si="44"/>
        <v>-10739.400857554909</v>
      </c>
      <c r="AC111" s="41">
        <f t="shared" si="45"/>
        <v>-10645.915365984883</v>
      </c>
      <c r="AD111" s="41">
        <f t="shared" si="46"/>
        <v>-10670.085621598204</v>
      </c>
      <c r="AF111" s="303">
        <f t="shared" si="47"/>
        <v>7.5515215597479735E-4</v>
      </c>
      <c r="AG111" s="303">
        <f t="shared" si="48"/>
        <v>7.3563987984460522E-4</v>
      </c>
      <c r="AH111" s="303">
        <f t="shared" si="49"/>
        <v>7.2729372727423709E-4</v>
      </c>
      <c r="AI111" s="303">
        <f t="shared" si="50"/>
        <v>7.3049586023865435E-4</v>
      </c>
      <c r="AJ111" s="303">
        <f t="shared" si="51"/>
        <v>7.3031613568306901E-4</v>
      </c>
      <c r="AK111" s="303">
        <f t="shared" si="52"/>
        <v>7.3328443383239412E-4</v>
      </c>
      <c r="AL111" s="303">
        <f t="shared" si="53"/>
        <v>7.3198489146876543E-4</v>
      </c>
      <c r="AM111" s="303">
        <f t="shared" si="54"/>
        <v>7.3866968342945405E-4</v>
      </c>
      <c r="AV111" s="41">
        <v>-11410.8</v>
      </c>
      <c r="AW111" s="303">
        <f t="shared" si="58"/>
        <v>7.6376432208383259E-4</v>
      </c>
      <c r="AX111" s="41">
        <f t="shared" si="57"/>
        <v>-11197.424383554262</v>
      </c>
    </row>
    <row r="112" spans="1:50" x14ac:dyDescent="0.2">
      <c r="A112" s="30">
        <v>301</v>
      </c>
      <c r="B112" s="47" t="s">
        <v>435</v>
      </c>
      <c r="C112" s="295">
        <v>0.97428643481851351</v>
      </c>
      <c r="D112" s="295">
        <v>1.0324948543327772</v>
      </c>
      <c r="E112" s="295">
        <v>0.97801324801295331</v>
      </c>
      <c r="F112" s="295">
        <v>0.98020688923158772</v>
      </c>
      <c r="G112" s="295">
        <v>0.97667543614595642</v>
      </c>
      <c r="H112" s="295">
        <v>0.97220302889937826</v>
      </c>
      <c r="I112" s="295">
        <v>0.97528445809890862</v>
      </c>
      <c r="J112" s="295">
        <v>0.97987937574765827</v>
      </c>
      <c r="L112" s="41">
        <v>-52809.97135</v>
      </c>
      <c r="M112" s="41">
        <f t="shared" si="32"/>
        <v>-51452.038709459339</v>
      </c>
      <c r="N112" s="41">
        <f t="shared" si="33"/>
        <v>-53123.965212447634</v>
      </c>
      <c r="O112" s="41">
        <f t="shared" si="34"/>
        <v>-51955.94176475305</v>
      </c>
      <c r="P112" s="41">
        <f t="shared" si="35"/>
        <v>-50927.572054326112</v>
      </c>
      <c r="Q112" s="41">
        <f t="shared" si="36"/>
        <v>-49739.708648013577</v>
      </c>
      <c r="R112" s="41">
        <f t="shared" si="37"/>
        <v>-48357.095404171399</v>
      </c>
      <c r="S112" s="41">
        <f t="shared" si="38"/>
        <v>-47161.923586494529</v>
      </c>
      <c r="T112" s="41">
        <f t="shared" si="39"/>
        <v>-46212.996242993016</v>
      </c>
      <c r="V112" s="41">
        <f t="shared" si="55"/>
        <v>-52809.97135</v>
      </c>
      <c r="W112" s="41">
        <f t="shared" si="56"/>
        <v>-52532.531522357982</v>
      </c>
      <c r="X112" s="41">
        <f t="shared" si="40"/>
        <v>-54930.180029670853</v>
      </c>
      <c r="Y112" s="41">
        <f t="shared" si="41"/>
        <v>-53670.487842989896</v>
      </c>
      <c r="Z112" s="41">
        <f t="shared" si="42"/>
        <v>-52557.254360064551</v>
      </c>
      <c r="AA112" s="41">
        <f t="shared" si="43"/>
        <v>-51082.680781509938</v>
      </c>
      <c r="AB112" s="41">
        <f t="shared" si="44"/>
        <v>-48357.095404171399</v>
      </c>
      <c r="AC112" s="41">
        <f t="shared" si="45"/>
        <v>-47161.923586494529</v>
      </c>
      <c r="AD112" s="41">
        <f t="shared" si="46"/>
        <v>-46212.996242993016</v>
      </c>
      <c r="AF112" s="303">
        <f t="shared" si="47"/>
        <v>3.6334912421980181E-3</v>
      </c>
      <c r="AG112" s="303">
        <f t="shared" si="48"/>
        <v>3.5426634686353542E-3</v>
      </c>
      <c r="AH112" s="303">
        <f t="shared" si="49"/>
        <v>3.4821721080960603E-3</v>
      </c>
      <c r="AI112" s="303">
        <f t="shared" si="50"/>
        <v>3.4257998233183013E-3</v>
      </c>
      <c r="AJ112" s="303">
        <f t="shared" si="51"/>
        <v>3.3707562990354257E-3</v>
      </c>
      <c r="AK112" s="303">
        <f t="shared" si="52"/>
        <v>3.301814113799653E-3</v>
      </c>
      <c r="AL112" s="303">
        <f t="shared" si="53"/>
        <v>3.2427287209346226E-3</v>
      </c>
      <c r="AM112" s="303">
        <f t="shared" si="54"/>
        <v>3.1992376177413621E-3</v>
      </c>
      <c r="AV112" s="41">
        <v>-55873.639000000003</v>
      </c>
      <c r="AW112" s="303">
        <f t="shared" si="58"/>
        <v>3.7398159649798253E-3</v>
      </c>
      <c r="AX112" s="41">
        <f t="shared" si="57"/>
        <v>-54828.83301227857</v>
      </c>
    </row>
    <row r="113" spans="1:50" x14ac:dyDescent="0.2">
      <c r="A113" s="30">
        <v>304</v>
      </c>
      <c r="B113" s="47" t="s">
        <v>436</v>
      </c>
      <c r="C113" s="295">
        <v>1.0075149806616726</v>
      </c>
      <c r="D113" s="295">
        <v>1.0605811479674121</v>
      </c>
      <c r="E113" s="295">
        <v>1.0073502499017861</v>
      </c>
      <c r="F113" s="295">
        <v>1.0086415987151234</v>
      </c>
      <c r="G113" s="295">
        <v>1.0054385074436374</v>
      </c>
      <c r="H113" s="295">
        <v>1.0054090900670445</v>
      </c>
      <c r="I113" s="295">
        <v>1.0058690791499521</v>
      </c>
      <c r="J113" s="295">
        <v>1.0043761255353274</v>
      </c>
      <c r="L113" s="41">
        <v>-2748.08502</v>
      </c>
      <c r="M113" s="41">
        <f t="shared" si="32"/>
        <v>-2768.7368257819321</v>
      </c>
      <c r="N113" s="41">
        <f t="shared" si="33"/>
        <v>-2936.4700811074504</v>
      </c>
      <c r="O113" s="41">
        <f t="shared" si="34"/>
        <v>-2958.0538700327083</v>
      </c>
      <c r="P113" s="41">
        <f t="shared" si="35"/>
        <v>-2983.6161845552488</v>
      </c>
      <c r="Q113" s="41">
        <f t="shared" si="36"/>
        <v>-2999.8426033839096</v>
      </c>
      <c r="R113" s="41">
        <f t="shared" si="37"/>
        <v>-3016.0690222125704</v>
      </c>
      <c r="S113" s="41">
        <f t="shared" si="38"/>
        <v>-3033.7705700256547</v>
      </c>
      <c r="T113" s="41">
        <f t="shared" si="39"/>
        <v>-3047.0467308854686</v>
      </c>
      <c r="V113" s="41">
        <f t="shared" si="55"/>
        <v>-2748.08502</v>
      </c>
      <c r="W113" s="41">
        <f t="shared" si="56"/>
        <v>-2826.8802991233524</v>
      </c>
      <c r="X113" s="41">
        <f t="shared" si="40"/>
        <v>-3036.310063865104</v>
      </c>
      <c r="Y113" s="41">
        <f t="shared" si="41"/>
        <v>-3055.6696477437877</v>
      </c>
      <c r="Z113" s="41">
        <f t="shared" si="42"/>
        <v>-3079.0919024610166</v>
      </c>
      <c r="AA113" s="41">
        <f t="shared" si="43"/>
        <v>-3080.8383536752749</v>
      </c>
      <c r="AB113" s="41">
        <f t="shared" si="44"/>
        <v>-3016.0690222125704</v>
      </c>
      <c r="AC113" s="41">
        <f t="shared" si="45"/>
        <v>-3033.7705700256547</v>
      </c>
      <c r="AD113" s="41">
        <f t="shared" si="46"/>
        <v>-3047.0467308854686</v>
      </c>
      <c r="AF113" s="303">
        <f t="shared" si="47"/>
        <v>1.9552541086346204E-4</v>
      </c>
      <c r="AG113" s="303">
        <f t="shared" si="48"/>
        <v>1.9582358435553152E-4</v>
      </c>
      <c r="AH113" s="303">
        <f t="shared" si="49"/>
        <v>1.9825360354571304E-4</v>
      </c>
      <c r="AI113" s="303">
        <f t="shared" si="50"/>
        <v>2.0070212235909516E-4</v>
      </c>
      <c r="AJ113" s="303">
        <f t="shared" si="51"/>
        <v>2.0329307561947228E-4</v>
      </c>
      <c r="AK113" s="303">
        <f t="shared" si="52"/>
        <v>2.0593667139230906E-4</v>
      </c>
      <c r="AL113" s="303">
        <f t="shared" si="53"/>
        <v>2.0859401423918071E-4</v>
      </c>
      <c r="AM113" s="303">
        <f t="shared" si="54"/>
        <v>2.1094123551754543E-4</v>
      </c>
      <c r="AV113" s="41">
        <v>-2706.4270000000001</v>
      </c>
      <c r="AW113" s="303">
        <f t="shared" si="58"/>
        <v>1.811505225684773E-4</v>
      </c>
      <c r="AX113" s="41">
        <f t="shared" si="57"/>
        <v>-2655.81831967168</v>
      </c>
    </row>
    <row r="114" spans="1:50" x14ac:dyDescent="0.2">
      <c r="A114" s="30">
        <v>305</v>
      </c>
      <c r="B114" s="47" t="s">
        <v>437</v>
      </c>
      <c r="C114" s="295">
        <v>0.96949206421699141</v>
      </c>
      <c r="D114" s="295">
        <v>1.0595964451875748</v>
      </c>
      <c r="E114" s="295">
        <v>0.9852114300753736</v>
      </c>
      <c r="F114" s="295">
        <v>0.98460509632623816</v>
      </c>
      <c r="G114" s="295">
        <v>0.97968146955308688</v>
      </c>
      <c r="H114" s="295">
        <v>0.97754569675654079</v>
      </c>
      <c r="I114" s="295">
        <v>0.98484339554391553</v>
      </c>
      <c r="J114" s="295">
        <v>0.98800679402969616</v>
      </c>
      <c r="L114" s="41">
        <v>-42370.027799999996</v>
      </c>
      <c r="M114" s="41">
        <f t="shared" si="32"/>
        <v>-41077.405712753309</v>
      </c>
      <c r="N114" s="41">
        <f t="shared" si="33"/>
        <v>-43525.473070761182</v>
      </c>
      <c r="O114" s="41">
        <f t="shared" si="34"/>
        <v>-42881.793568751789</v>
      </c>
      <c r="P114" s="41">
        <f t="shared" si="35"/>
        <v>-42221.632487402712</v>
      </c>
      <c r="Q114" s="41">
        <f t="shared" si="36"/>
        <v>-41363.750962189042</v>
      </c>
      <c r="R114" s="41">
        <f t="shared" si="37"/>
        <v>-40434.956754797124</v>
      </c>
      <c r="S114" s="41">
        <f t="shared" si="38"/>
        <v>-39822.100109065781</v>
      </c>
      <c r="T114" s="41">
        <f t="shared" si="39"/>
        <v>-39344.505460287699</v>
      </c>
      <c r="V114" s="41">
        <f t="shared" si="55"/>
        <v>-42370.027799999996</v>
      </c>
      <c r="W114" s="41">
        <f t="shared" si="56"/>
        <v>-41940.031232721121</v>
      </c>
      <c r="X114" s="41">
        <f t="shared" si="40"/>
        <v>-45005.339155167065</v>
      </c>
      <c r="Y114" s="41">
        <f t="shared" si="41"/>
        <v>-44296.892756520596</v>
      </c>
      <c r="Z114" s="41">
        <f t="shared" si="42"/>
        <v>-43572.724726999601</v>
      </c>
      <c r="AA114" s="41">
        <f t="shared" si="43"/>
        <v>-42480.572238168141</v>
      </c>
      <c r="AB114" s="41">
        <f t="shared" si="44"/>
        <v>-40434.956754797124</v>
      </c>
      <c r="AC114" s="41">
        <f t="shared" si="45"/>
        <v>-39822.100109065781</v>
      </c>
      <c r="AD114" s="41">
        <f t="shared" si="46"/>
        <v>-39344.505460287699</v>
      </c>
      <c r="AF114" s="303">
        <f t="shared" si="47"/>
        <v>2.9008450909461026E-3</v>
      </c>
      <c r="AG114" s="303">
        <f t="shared" si="48"/>
        <v>2.9025714248967125E-3</v>
      </c>
      <c r="AH114" s="303">
        <f t="shared" si="49"/>
        <v>2.8740078697128057E-3</v>
      </c>
      <c r="AI114" s="303">
        <f t="shared" si="50"/>
        <v>2.840168012746792E-3</v>
      </c>
      <c r="AJ114" s="303">
        <f t="shared" si="51"/>
        <v>2.8031351187478171E-3</v>
      </c>
      <c r="AK114" s="303">
        <f t="shared" si="52"/>
        <v>2.7608918564689263E-3</v>
      </c>
      <c r="AL114" s="303">
        <f t="shared" si="53"/>
        <v>2.7380619349584839E-3</v>
      </c>
      <c r="AM114" s="303">
        <f t="shared" si="54"/>
        <v>2.723745096685179E-3</v>
      </c>
      <c r="AV114" s="41">
        <v>-46578</v>
      </c>
      <c r="AW114" s="303">
        <f t="shared" si="58"/>
        <v>3.1176266864742837E-3</v>
      </c>
      <c r="AX114" s="41">
        <f t="shared" si="57"/>
        <v>-45707.01729389617</v>
      </c>
    </row>
    <row r="115" spans="1:50" x14ac:dyDescent="0.2">
      <c r="A115" s="30">
        <v>309</v>
      </c>
      <c r="B115" s="47" t="s">
        <v>438</v>
      </c>
      <c r="C115" s="295">
        <v>0.95386772134563746</v>
      </c>
      <c r="D115" s="295">
        <v>1.1046677449733151</v>
      </c>
      <c r="E115" s="295">
        <v>0.97395625013685672</v>
      </c>
      <c r="F115" s="295">
        <v>0.98051660634259374</v>
      </c>
      <c r="G115" s="295">
        <v>0.96715406082437971</v>
      </c>
      <c r="H115" s="295">
        <v>0.96857672089025415</v>
      </c>
      <c r="I115" s="295">
        <v>0.97944465011495963</v>
      </c>
      <c r="J115" s="295">
        <v>0.97867413008881521</v>
      </c>
      <c r="L115" s="41">
        <v>-14818.44932</v>
      </c>
      <c r="M115" s="41">
        <f t="shared" si="32"/>
        <v>-14134.840486744211</v>
      </c>
      <c r="N115" s="41">
        <f t="shared" si="33"/>
        <v>-15614.302366049244</v>
      </c>
      <c r="O115" s="41">
        <f t="shared" si="34"/>
        <v>-15207.647380940371</v>
      </c>
      <c r="P115" s="41">
        <f t="shared" si="35"/>
        <v>-14911.350800414486</v>
      </c>
      <c r="Q115" s="41">
        <f t="shared" si="36"/>
        <v>-14421.573478997734</v>
      </c>
      <c r="R115" s="41">
        <f t="shared" si="37"/>
        <v>-13968.40035036548</v>
      </c>
      <c r="S115" s="41">
        <f t="shared" si="38"/>
        <v>-13681.274993829398</v>
      </c>
      <c r="T115" s="41">
        <f t="shared" si="39"/>
        <v>-13389.509903091846</v>
      </c>
      <c r="V115" s="41">
        <f t="shared" si="55"/>
        <v>-14818.44932</v>
      </c>
      <c r="W115" s="41">
        <f t="shared" si="56"/>
        <v>-14431.672136965839</v>
      </c>
      <c r="X115" s="41">
        <f t="shared" si="40"/>
        <v>-16145.188646494918</v>
      </c>
      <c r="Y115" s="41">
        <f t="shared" si="41"/>
        <v>-15709.499744511402</v>
      </c>
      <c r="Z115" s="41">
        <f t="shared" si="42"/>
        <v>-15388.514026027749</v>
      </c>
      <c r="AA115" s="41">
        <f t="shared" si="43"/>
        <v>-14810.955962930671</v>
      </c>
      <c r="AB115" s="41">
        <f t="shared" si="44"/>
        <v>-13968.40035036548</v>
      </c>
      <c r="AC115" s="41">
        <f t="shared" si="45"/>
        <v>-13681.274993829398</v>
      </c>
      <c r="AD115" s="41">
        <f t="shared" si="46"/>
        <v>-13389.509903091846</v>
      </c>
      <c r="AF115" s="303">
        <f t="shared" si="47"/>
        <v>9.9818822357001895E-4</v>
      </c>
      <c r="AG115" s="303">
        <f t="shared" si="48"/>
        <v>1.0412667495585952E-3</v>
      </c>
      <c r="AH115" s="303">
        <f t="shared" si="49"/>
        <v>1.0192413753068723E-3</v>
      </c>
      <c r="AI115" s="303">
        <f t="shared" si="50"/>
        <v>1.0030578894082152E-3</v>
      </c>
      <c r="AJ115" s="303">
        <f t="shared" si="51"/>
        <v>9.7731995155695838E-4</v>
      </c>
      <c r="AK115" s="303">
        <f t="shared" si="52"/>
        <v>9.5375996094385453E-4</v>
      </c>
      <c r="AL115" s="303">
        <f t="shared" si="53"/>
        <v>9.4068816510698219E-4</v>
      </c>
      <c r="AM115" s="303">
        <f t="shared" si="54"/>
        <v>9.2693024143802232E-4</v>
      </c>
      <c r="AV115" s="41">
        <v>-15136.145</v>
      </c>
      <c r="AW115" s="303">
        <f t="shared" si="58"/>
        <v>1.0131145515553329E-3</v>
      </c>
      <c r="AX115" s="41">
        <f t="shared" si="57"/>
        <v>-14853.107503068402</v>
      </c>
    </row>
    <row r="116" spans="1:50" x14ac:dyDescent="0.2">
      <c r="A116" s="30">
        <v>312</v>
      </c>
      <c r="B116" s="47" t="s">
        <v>439</v>
      </c>
      <c r="C116" s="295">
        <v>1.0104362173537991</v>
      </c>
      <c r="D116" s="295">
        <v>1.0274557991964153</v>
      </c>
      <c r="E116" s="295">
        <v>0.99667439178167627</v>
      </c>
      <c r="F116" s="295">
        <v>0.99714689366016052</v>
      </c>
      <c r="G116" s="295">
        <v>0.99597560894323278</v>
      </c>
      <c r="H116" s="295">
        <v>0.99595934777856931</v>
      </c>
      <c r="I116" s="295">
        <v>0.99594295466934168</v>
      </c>
      <c r="J116" s="295">
        <v>0.99635522505539842</v>
      </c>
      <c r="L116" s="41">
        <v>-3526.8721700000001</v>
      </c>
      <c r="M116" s="41">
        <f t="shared" si="32"/>
        <v>-3563.6793745451851</v>
      </c>
      <c r="N116" s="41">
        <f t="shared" si="33"/>
        <v>-3661.5230398531044</v>
      </c>
      <c r="O116" s="41">
        <f t="shared" si="34"/>
        <v>-3649.3462487401871</v>
      </c>
      <c r="P116" s="41">
        <f t="shared" si="35"/>
        <v>-3638.9342758216371</v>
      </c>
      <c r="Q116" s="41">
        <f t="shared" si="36"/>
        <v>-3624.2897812658566</v>
      </c>
      <c r="R116" s="41">
        <f t="shared" si="37"/>
        <v>-3609.6452867100761</v>
      </c>
      <c r="S116" s="41">
        <f t="shared" si="38"/>
        <v>-3595.0007921542961</v>
      </c>
      <c r="T116" s="41">
        <f t="shared" si="39"/>
        <v>-3581.897823341229</v>
      </c>
      <c r="V116" s="41">
        <f t="shared" si="55"/>
        <v>-3526.8721700000001</v>
      </c>
      <c r="W116" s="41">
        <f t="shared" si="56"/>
        <v>-3638.5166414106338</v>
      </c>
      <c r="X116" s="41">
        <f t="shared" si="40"/>
        <v>-3786.0148232081101</v>
      </c>
      <c r="Y116" s="41">
        <f t="shared" si="41"/>
        <v>-3769.7746749486128</v>
      </c>
      <c r="Z116" s="41">
        <f t="shared" si="42"/>
        <v>-3755.3801726479296</v>
      </c>
      <c r="AA116" s="41">
        <f t="shared" si="43"/>
        <v>-3722.1456053600346</v>
      </c>
      <c r="AB116" s="41">
        <f t="shared" si="44"/>
        <v>-3609.6452867100761</v>
      </c>
      <c r="AC116" s="41">
        <f t="shared" si="45"/>
        <v>-3595.0007921542961</v>
      </c>
      <c r="AD116" s="41">
        <f t="shared" si="46"/>
        <v>-3581.897823341229</v>
      </c>
      <c r="AF116" s="303">
        <f t="shared" si="47"/>
        <v>2.5166345439740702E-4</v>
      </c>
      <c r="AG116" s="303">
        <f t="shared" si="48"/>
        <v>2.4417499448657241E-4</v>
      </c>
      <c r="AH116" s="303">
        <f t="shared" si="49"/>
        <v>2.4458514827208744E-4</v>
      </c>
      <c r="AI116" s="303">
        <f t="shared" si="50"/>
        <v>2.4478410998817114E-4</v>
      </c>
      <c r="AJ116" s="303">
        <f t="shared" si="51"/>
        <v>2.4561055828016998E-4</v>
      </c>
      <c r="AK116" s="303">
        <f t="shared" si="52"/>
        <v>2.4646595610954778E-4</v>
      </c>
      <c r="AL116" s="303">
        <f t="shared" si="53"/>
        <v>2.4718271507992039E-4</v>
      </c>
      <c r="AM116" s="303">
        <f t="shared" si="54"/>
        <v>2.4796795687266593E-4</v>
      </c>
      <c r="AV116" s="41">
        <v>-3533.5836800000002</v>
      </c>
      <c r="AW116" s="303">
        <f t="shared" si="58"/>
        <v>2.3651498088492434E-4</v>
      </c>
      <c r="AX116" s="41">
        <f t="shared" si="57"/>
        <v>-3467.5076295931399</v>
      </c>
    </row>
    <row r="117" spans="1:50" x14ac:dyDescent="0.2">
      <c r="A117" s="30">
        <v>316</v>
      </c>
      <c r="B117" s="47" t="s">
        <v>440</v>
      </c>
      <c r="C117" s="295">
        <v>0.9966139144096462</v>
      </c>
      <c r="D117" s="295">
        <v>1.0754047144472907</v>
      </c>
      <c r="E117" s="295">
        <v>1.0032570629218607</v>
      </c>
      <c r="F117" s="295">
        <v>0.99436281809971605</v>
      </c>
      <c r="G117" s="295">
        <v>1.0032920756106769</v>
      </c>
      <c r="H117" s="295">
        <v>0.9846298845583038</v>
      </c>
      <c r="I117" s="295">
        <v>0.9980823994789747</v>
      </c>
      <c r="J117" s="295">
        <v>0.99800580501778513</v>
      </c>
      <c r="L117" s="41">
        <v>-10232.182779999999</v>
      </c>
      <c r="M117" s="41">
        <f t="shared" si="32"/>
        <v>-10197.535733330775</v>
      </c>
      <c r="N117" s="41">
        <f t="shared" si="33"/>
        <v>-10966.478003368626</v>
      </c>
      <c r="O117" s="41">
        <f t="shared" si="34"/>
        <v>-11002.196512256798</v>
      </c>
      <c r="P117" s="41">
        <f t="shared" si="35"/>
        <v>-10940.175129214536</v>
      </c>
      <c r="Q117" s="41">
        <f t="shared" si="36"/>
        <v>-10976.191012933958</v>
      </c>
      <c r="R117" s="41">
        <f t="shared" si="37"/>
        <v>-10807.485689955054</v>
      </c>
      <c r="S117" s="41">
        <f t="shared" si="38"/>
        <v>-10786.761249765023</v>
      </c>
      <c r="T117" s="41">
        <f t="shared" si="39"/>
        <v>-10765.250344606391</v>
      </c>
      <c r="V117" s="41">
        <f t="shared" si="55"/>
        <v>-10232.182779999999</v>
      </c>
      <c r="W117" s="41">
        <f t="shared" si="56"/>
        <v>-10411.68398373072</v>
      </c>
      <c r="X117" s="41">
        <f t="shared" si="40"/>
        <v>-11339.338255483159</v>
      </c>
      <c r="Y117" s="41">
        <f t="shared" si="41"/>
        <v>-11365.268997161271</v>
      </c>
      <c r="Z117" s="41">
        <f t="shared" si="42"/>
        <v>-11290.260733349402</v>
      </c>
      <c r="AA117" s="41">
        <f t="shared" si="43"/>
        <v>-11272.548170283173</v>
      </c>
      <c r="AB117" s="41">
        <f t="shared" si="44"/>
        <v>-10807.485689955054</v>
      </c>
      <c r="AC117" s="41">
        <f t="shared" si="45"/>
        <v>-10786.761249765023</v>
      </c>
      <c r="AD117" s="41">
        <f t="shared" si="46"/>
        <v>-10765.250344606391</v>
      </c>
      <c r="AF117" s="303">
        <f t="shared" si="47"/>
        <v>7.2013972057139624E-4</v>
      </c>
      <c r="AG117" s="303">
        <f t="shared" si="48"/>
        <v>7.3131854609798628E-4</v>
      </c>
      <c r="AH117" s="303">
        <f t="shared" si="49"/>
        <v>7.3738518678460277E-4</v>
      </c>
      <c r="AI117" s="303">
        <f t="shared" si="50"/>
        <v>7.3592453975136524E-4</v>
      </c>
      <c r="AJ117" s="303">
        <f t="shared" si="51"/>
        <v>7.4383356883094118E-4</v>
      </c>
      <c r="AK117" s="303">
        <f t="shared" si="52"/>
        <v>7.3793325441757541E-4</v>
      </c>
      <c r="AL117" s="303">
        <f t="shared" si="53"/>
        <v>7.4166908070081921E-4</v>
      </c>
      <c r="AM117" s="303">
        <f t="shared" si="54"/>
        <v>7.4525775575717921E-4</v>
      </c>
      <c r="AV117" s="41">
        <v>-9847.42</v>
      </c>
      <c r="AW117" s="303">
        <f t="shared" si="58"/>
        <v>6.5912188983899246E-4</v>
      </c>
      <c r="AX117" s="41">
        <f t="shared" si="57"/>
        <v>-9663.2787204315136</v>
      </c>
    </row>
    <row r="118" spans="1:50" x14ac:dyDescent="0.2">
      <c r="A118" s="30">
        <v>317</v>
      </c>
      <c r="B118" s="47" t="s">
        <v>441</v>
      </c>
      <c r="C118" s="295">
        <v>0.99632098150076376</v>
      </c>
      <c r="D118" s="295">
        <v>1.0415301014307323</v>
      </c>
      <c r="E118" s="295">
        <v>1.0023628447591644</v>
      </c>
      <c r="F118" s="295">
        <v>0.99783115113022625</v>
      </c>
      <c r="G118" s="295">
        <v>0.9967178751612753</v>
      </c>
      <c r="H118" s="295">
        <v>0.99670706734521697</v>
      </c>
      <c r="I118" s="295">
        <v>0.99046324571637256</v>
      </c>
      <c r="J118" s="295">
        <v>0.99693122693125302</v>
      </c>
      <c r="L118" s="41">
        <v>-8472.5825800000002</v>
      </c>
      <c r="M118" s="41">
        <f t="shared" si="32"/>
        <v>-8441.411791951874</v>
      </c>
      <c r="N118" s="41">
        <f t="shared" si="33"/>
        <v>-8791.9844798902159</v>
      </c>
      <c r="O118" s="41">
        <f t="shared" si="34"/>
        <v>-8812.7585743411782</v>
      </c>
      <c r="P118" s="41">
        <f t="shared" si="35"/>
        <v>-8793.6450328676292</v>
      </c>
      <c r="Q118" s="41">
        <f t="shared" si="36"/>
        <v>-8764.7831920823264</v>
      </c>
      <c r="R118" s="41">
        <f t="shared" si="37"/>
        <v>-8735.9213512970255</v>
      </c>
      <c r="S118" s="41">
        <f t="shared" si="38"/>
        <v>-8652.6090159286105</v>
      </c>
      <c r="T118" s="41">
        <f t="shared" si="39"/>
        <v>-8626.0561224061312</v>
      </c>
      <c r="V118" s="41">
        <f t="shared" si="55"/>
        <v>-8472.5825800000002</v>
      </c>
      <c r="W118" s="41">
        <f t="shared" si="56"/>
        <v>-8618.6814395828624</v>
      </c>
      <c r="X118" s="41">
        <f t="shared" si="40"/>
        <v>-9090.911952206483</v>
      </c>
      <c r="Y118" s="41">
        <f t="shared" si="41"/>
        <v>-9103.5796072944358</v>
      </c>
      <c r="Z118" s="41">
        <f t="shared" si="42"/>
        <v>-9075.0416739193934</v>
      </c>
      <c r="AA118" s="41">
        <f t="shared" si="43"/>
        <v>-9001.4323382685488</v>
      </c>
      <c r="AB118" s="41">
        <f t="shared" si="44"/>
        <v>-8735.9213512970255</v>
      </c>
      <c r="AC118" s="41">
        <f t="shared" si="45"/>
        <v>-8652.6090159286105</v>
      </c>
      <c r="AD118" s="41">
        <f t="shared" si="46"/>
        <v>-8626.0561224061312</v>
      </c>
      <c r="AF118" s="303">
        <f t="shared" si="47"/>
        <v>5.961240134923025E-4</v>
      </c>
      <c r="AG118" s="303">
        <f t="shared" si="48"/>
        <v>5.8630868590392633E-4</v>
      </c>
      <c r="AH118" s="303">
        <f t="shared" si="49"/>
        <v>5.9064547885404127E-4</v>
      </c>
      <c r="AI118" s="303">
        <f t="shared" si="50"/>
        <v>5.9153158858203897E-4</v>
      </c>
      <c r="AJ118" s="303">
        <f t="shared" si="51"/>
        <v>5.9397107376444615E-4</v>
      </c>
      <c r="AK118" s="303">
        <f t="shared" si="52"/>
        <v>5.9648719952414822E-4</v>
      </c>
      <c r="AL118" s="303">
        <f t="shared" si="53"/>
        <v>5.9493043610724106E-4</v>
      </c>
      <c r="AM118" s="303">
        <f t="shared" si="54"/>
        <v>5.9716541845594381E-4</v>
      </c>
      <c r="AV118" s="41">
        <v>-8811.7546300000013</v>
      </c>
      <c r="AW118" s="303">
        <f t="shared" si="58"/>
        <v>5.8980122352078948E-4</v>
      </c>
      <c r="AX118" s="41">
        <f t="shared" si="57"/>
        <v>-8646.9797170977654</v>
      </c>
    </row>
    <row r="119" spans="1:50" x14ac:dyDescent="0.2">
      <c r="A119" s="30">
        <v>320</v>
      </c>
      <c r="B119" s="47" t="s">
        <v>442</v>
      </c>
      <c r="C119" s="295">
        <v>0.98537104678949661</v>
      </c>
      <c r="D119" s="295">
        <v>1.0536600422892692</v>
      </c>
      <c r="E119" s="295">
        <v>0.98091827298859235</v>
      </c>
      <c r="F119" s="295">
        <v>0.98348124473021037</v>
      </c>
      <c r="G119" s="295">
        <v>0.98163440005668001</v>
      </c>
      <c r="H119" s="295">
        <v>0.98701693956761183</v>
      </c>
      <c r="I119" s="295">
        <v>0.98013131147091204</v>
      </c>
      <c r="J119" s="295">
        <v>0.98480384026249668</v>
      </c>
      <c r="L119" s="41">
        <v>-20225.649260000002</v>
      </c>
      <c r="M119" s="41">
        <f t="shared" si="32"/>
        <v>-19929.769183323409</v>
      </c>
      <c r="N119" s="41">
        <f t="shared" si="33"/>
        <v>-20999.201440515917</v>
      </c>
      <c r="O119" s="41">
        <f t="shared" si="34"/>
        <v>-20598.500411170433</v>
      </c>
      <c r="P119" s="41">
        <f t="shared" si="35"/>
        <v>-20258.238823953649</v>
      </c>
      <c r="Q119" s="41">
        <f t="shared" si="36"/>
        <v>-19886.184114156684</v>
      </c>
      <c r="R119" s="41">
        <f t="shared" si="37"/>
        <v>-19628.00058403299</v>
      </c>
      <c r="S119" s="41">
        <f t="shared" si="38"/>
        <v>-19238.017953980081</v>
      </c>
      <c r="T119" s="41">
        <f t="shared" si="39"/>
        <v>-18945.673960118442</v>
      </c>
      <c r="V119" s="41">
        <f t="shared" si="55"/>
        <v>-20225.649260000002</v>
      </c>
      <c r="W119" s="41">
        <f t="shared" si="56"/>
        <v>-20348.2943361732</v>
      </c>
      <c r="X119" s="41">
        <f t="shared" si="40"/>
        <v>-21713.174289493458</v>
      </c>
      <c r="Y119" s="41">
        <f t="shared" si="41"/>
        <v>-21278.250924739055</v>
      </c>
      <c r="Z119" s="41">
        <f t="shared" si="42"/>
        <v>-20906.502466320166</v>
      </c>
      <c r="AA119" s="41">
        <f t="shared" si="43"/>
        <v>-20423.111085238914</v>
      </c>
      <c r="AB119" s="41">
        <f t="shared" si="44"/>
        <v>-19628.00058403299</v>
      </c>
      <c r="AC119" s="41">
        <f t="shared" si="45"/>
        <v>-19238.017953980081</v>
      </c>
      <c r="AD119" s="41">
        <f t="shared" si="46"/>
        <v>-18945.673960118442</v>
      </c>
      <c r="AF119" s="303">
        <f t="shared" si="47"/>
        <v>1.4074202617226962E-3</v>
      </c>
      <c r="AG119" s="303">
        <f t="shared" si="48"/>
        <v>1.4003680545367004E-3</v>
      </c>
      <c r="AH119" s="303">
        <f t="shared" si="49"/>
        <v>1.3805451535293489E-3</v>
      </c>
      <c r="AI119" s="303">
        <f t="shared" si="50"/>
        <v>1.362732763105384E-3</v>
      </c>
      <c r="AJ119" s="303">
        <f t="shared" si="51"/>
        <v>1.3476452152328573E-3</v>
      </c>
      <c r="AK119" s="303">
        <f t="shared" si="52"/>
        <v>1.3401964864175333E-3</v>
      </c>
      <c r="AL119" s="303">
        <f t="shared" si="53"/>
        <v>1.3227550661460204E-3</v>
      </c>
      <c r="AM119" s="303">
        <f t="shared" si="54"/>
        <v>1.3115728854275284E-3</v>
      </c>
      <c r="AV119" s="41">
        <v>-22949.38</v>
      </c>
      <c r="AW119" s="303">
        <f t="shared" si="58"/>
        <v>1.5360814016496887E-3</v>
      </c>
      <c r="AX119" s="41">
        <f t="shared" si="57"/>
        <v>-22520.239352144679</v>
      </c>
    </row>
    <row r="120" spans="1:50" x14ac:dyDescent="0.2">
      <c r="A120" s="30">
        <v>322</v>
      </c>
      <c r="B120" s="47" t="s">
        <v>443</v>
      </c>
      <c r="C120" s="295">
        <v>0.9843227593610071</v>
      </c>
      <c r="D120" s="295">
        <v>1.0217710698620046</v>
      </c>
      <c r="E120" s="295">
        <v>0.96866037802639438</v>
      </c>
      <c r="F120" s="295">
        <v>0.99135277719081072</v>
      </c>
      <c r="G120" s="295">
        <v>0.97450483877734018</v>
      </c>
      <c r="H120" s="295">
        <v>0.9812309533671113</v>
      </c>
      <c r="I120" s="295">
        <v>0.97804057186894044</v>
      </c>
      <c r="J120" s="295">
        <v>0.98150275295900724</v>
      </c>
      <c r="L120" s="41">
        <v>-17608.290270000001</v>
      </c>
      <c r="M120" s="41">
        <f t="shared" si="32"/>
        <v>-17332.240866195974</v>
      </c>
      <c r="N120" s="41">
        <f t="shared" si="33"/>
        <v>-17709.582292959018</v>
      </c>
      <c r="O120" s="41">
        <f t="shared" si="34"/>
        <v>-17154.570678587221</v>
      </c>
      <c r="P120" s="41">
        <f t="shared" si="35"/>
        <v>-17006.23128373349</v>
      </c>
      <c r="Q120" s="41">
        <f t="shared" si="36"/>
        <v>-16572.654675364865</v>
      </c>
      <c r="R120" s="41">
        <f t="shared" si="37"/>
        <v>-16261.601746932181</v>
      </c>
      <c r="S120" s="41">
        <f t="shared" si="38"/>
        <v>-15904.506272074512</v>
      </c>
      <c r="T120" s="41">
        <f t="shared" si="39"/>
        <v>-15610.31669049493</v>
      </c>
      <c r="V120" s="41">
        <f t="shared" si="55"/>
        <v>-17608.290270000001</v>
      </c>
      <c r="W120" s="41">
        <f t="shared" si="56"/>
        <v>-17696.217924386088</v>
      </c>
      <c r="X120" s="41">
        <f t="shared" si="40"/>
        <v>-18311.708090919627</v>
      </c>
      <c r="Y120" s="41">
        <f t="shared" si="41"/>
        <v>-17720.671510980599</v>
      </c>
      <c r="Z120" s="41">
        <f t="shared" si="42"/>
        <v>-17550.430684812964</v>
      </c>
      <c r="AA120" s="41">
        <f t="shared" si="43"/>
        <v>-17020.116351599714</v>
      </c>
      <c r="AB120" s="41">
        <f t="shared" si="44"/>
        <v>-16261.601746932181</v>
      </c>
      <c r="AC120" s="41">
        <f t="shared" si="45"/>
        <v>-15904.506272074512</v>
      </c>
      <c r="AD120" s="41">
        <f t="shared" si="46"/>
        <v>-15610.31669049493</v>
      </c>
      <c r="AF120" s="303">
        <f t="shared" si="47"/>
        <v>1.2239854236021084E-3</v>
      </c>
      <c r="AG120" s="303">
        <f t="shared" si="48"/>
        <v>1.1809941141094804E-3</v>
      </c>
      <c r="AH120" s="303">
        <f t="shared" si="49"/>
        <v>1.1497273558009743E-3</v>
      </c>
      <c r="AI120" s="303">
        <f t="shared" si="50"/>
        <v>1.143976470446629E-3</v>
      </c>
      <c r="AJ120" s="303">
        <f t="shared" si="51"/>
        <v>1.1230942371222748E-3</v>
      </c>
      <c r="AK120" s="303">
        <f t="shared" si="52"/>
        <v>1.1103393558327347E-3</v>
      </c>
      <c r="AL120" s="303">
        <f t="shared" si="53"/>
        <v>1.0935516484215202E-3</v>
      </c>
      <c r="AM120" s="303">
        <f t="shared" si="54"/>
        <v>1.0806724610213838E-3</v>
      </c>
      <c r="AV120" s="41">
        <v>-18434.187999999998</v>
      </c>
      <c r="AW120" s="303">
        <f t="shared" si="58"/>
        <v>1.2338639798248957E-3</v>
      </c>
      <c r="AX120" s="41">
        <f t="shared" si="57"/>
        <v>-18089.478932434478</v>
      </c>
    </row>
    <row r="121" spans="1:50" x14ac:dyDescent="0.2">
      <c r="A121" s="30">
        <v>398</v>
      </c>
      <c r="B121" s="47" t="s">
        <v>444</v>
      </c>
      <c r="C121" s="295">
        <v>0.99220626227106201</v>
      </c>
      <c r="D121" s="295">
        <v>1.0565249609785967</v>
      </c>
      <c r="E121" s="295">
        <v>0.99462262815998848</v>
      </c>
      <c r="F121" s="295">
        <v>0.99327983088994998</v>
      </c>
      <c r="G121" s="295">
        <v>0.99149027017048785</v>
      </c>
      <c r="H121" s="295">
        <v>0.98937115118818986</v>
      </c>
      <c r="I121" s="295">
        <v>0.99304028564301672</v>
      </c>
      <c r="J121" s="295">
        <v>0.99229785367365575</v>
      </c>
      <c r="L121" s="41">
        <v>-301995.39902999997</v>
      </c>
      <c r="M121" s="41">
        <f t="shared" si="32"/>
        <v>-299641.72609461419</v>
      </c>
      <c r="N121" s="41">
        <f t="shared" si="33"/>
        <v>-316578.96296967164</v>
      </c>
      <c r="O121" s="41">
        <f t="shared" si="34"/>
        <v>-314876.60016905848</v>
      </c>
      <c r="P121" s="41">
        <f t="shared" si="35"/>
        <v>-312760.57616712479</v>
      </c>
      <c r="Q121" s="41">
        <f t="shared" si="36"/>
        <v>-310099.06816262001</v>
      </c>
      <c r="R121" s="41">
        <f t="shared" si="37"/>
        <v>-306803.07205043634</v>
      </c>
      <c r="S121" s="41">
        <f t="shared" si="38"/>
        <v>-304667.81030512037</v>
      </c>
      <c r="T121" s="41">
        <f t="shared" si="39"/>
        <v>-302321.21424922341</v>
      </c>
      <c r="V121" s="41">
        <f t="shared" si="55"/>
        <v>-301995.39902999997</v>
      </c>
      <c r="W121" s="41">
        <f t="shared" si="56"/>
        <v>-305934.20234260109</v>
      </c>
      <c r="X121" s="41">
        <f t="shared" si="40"/>
        <v>-327342.64771064051</v>
      </c>
      <c r="Y121" s="41">
        <f t="shared" si="41"/>
        <v>-325267.5279746374</v>
      </c>
      <c r="Z121" s="41">
        <f t="shared" si="42"/>
        <v>-322768.91460447281</v>
      </c>
      <c r="AA121" s="41">
        <f t="shared" si="43"/>
        <v>-318471.74300301075</v>
      </c>
      <c r="AB121" s="41">
        <f t="shared" si="44"/>
        <v>-306803.07205043634</v>
      </c>
      <c r="AC121" s="41">
        <f t="shared" si="45"/>
        <v>-304667.81030512037</v>
      </c>
      <c r="AD121" s="41">
        <f t="shared" si="46"/>
        <v>-302321.21424922341</v>
      </c>
      <c r="AF121" s="303">
        <f t="shared" si="47"/>
        <v>2.1160397427783841E-2</v>
      </c>
      <c r="AG121" s="303">
        <f t="shared" si="48"/>
        <v>2.1111615493421991E-2</v>
      </c>
      <c r="AH121" s="303">
        <f t="shared" si="49"/>
        <v>2.1103544221474323E-2</v>
      </c>
      <c r="AI121" s="303">
        <f t="shared" si="50"/>
        <v>2.1038802427716562E-2</v>
      </c>
      <c r="AJ121" s="303">
        <f t="shared" si="51"/>
        <v>2.1014766988907797E-2</v>
      </c>
      <c r="AK121" s="303">
        <f t="shared" si="52"/>
        <v>2.0948460716808028E-2</v>
      </c>
      <c r="AL121" s="303">
        <f t="shared" si="53"/>
        <v>2.0948150195968466E-2</v>
      </c>
      <c r="AM121" s="303">
        <f t="shared" si="54"/>
        <v>2.0929121240737803E-2</v>
      </c>
      <c r="AV121" s="41">
        <v>-357767.6</v>
      </c>
      <c r="AW121" s="303">
        <f t="shared" si="58"/>
        <v>2.394662324092612E-2</v>
      </c>
      <c r="AX121" s="41">
        <f t="shared" si="57"/>
        <v>-351077.54477211827</v>
      </c>
    </row>
    <row r="122" spans="1:50" x14ac:dyDescent="0.2">
      <c r="A122" s="30">
        <v>399</v>
      </c>
      <c r="B122" s="47" t="s">
        <v>445</v>
      </c>
      <c r="C122" s="295">
        <v>0.97734771965258871</v>
      </c>
      <c r="D122" s="295">
        <v>1.0288674292769291</v>
      </c>
      <c r="E122" s="295">
        <v>0.97279177569954423</v>
      </c>
      <c r="F122" s="295">
        <v>0.97809666542316487</v>
      </c>
      <c r="G122" s="295">
        <v>0.97850743229176429</v>
      </c>
      <c r="H122" s="295">
        <v>0.97424685208847439</v>
      </c>
      <c r="I122" s="295">
        <v>0.98015349008962815</v>
      </c>
      <c r="J122" s="295">
        <v>0.97452329176962382</v>
      </c>
      <c r="L122" s="41">
        <v>-21131.39028</v>
      </c>
      <c r="M122" s="41">
        <f t="shared" si="32"/>
        <v>-20652.716103246879</v>
      </c>
      <c r="N122" s="41">
        <f t="shared" si="33"/>
        <v>-21248.906924733852</v>
      </c>
      <c r="O122" s="41">
        <f t="shared" si="34"/>
        <v>-20670.761898986184</v>
      </c>
      <c r="P122" s="41">
        <f t="shared" si="35"/>
        <v>-20218.003285154595</v>
      </c>
      <c r="Q122" s="41">
        <f t="shared" si="36"/>
        <v>-19783.466480623079</v>
      </c>
      <c r="R122" s="41">
        <f t="shared" si="37"/>
        <v>-19273.979942144884</v>
      </c>
      <c r="S122" s="41">
        <f t="shared" si="38"/>
        <v>-18891.458708210797</v>
      </c>
      <c r="T122" s="41">
        <f t="shared" si="39"/>
        <v>-18410.16652665551</v>
      </c>
      <c r="V122" s="41">
        <f t="shared" si="55"/>
        <v>-21131.39028</v>
      </c>
      <c r="W122" s="41">
        <f t="shared" si="56"/>
        <v>-21086.423141415064</v>
      </c>
      <c r="X122" s="41">
        <f t="shared" si="40"/>
        <v>-21971.369760174803</v>
      </c>
      <c r="Y122" s="41">
        <f t="shared" si="41"/>
        <v>-21352.897041652726</v>
      </c>
      <c r="Z122" s="41">
        <f t="shared" si="42"/>
        <v>-20864.979390279543</v>
      </c>
      <c r="AA122" s="41">
        <f t="shared" si="43"/>
        <v>-20317.620075599902</v>
      </c>
      <c r="AB122" s="41">
        <f t="shared" si="44"/>
        <v>-19273.979942144884</v>
      </c>
      <c r="AC122" s="41">
        <f t="shared" si="45"/>
        <v>-18891.458708210797</v>
      </c>
      <c r="AD122" s="41">
        <f t="shared" si="46"/>
        <v>-18410.16652665551</v>
      </c>
      <c r="AF122" s="303">
        <f t="shared" si="47"/>
        <v>1.4584740463345978E-3</v>
      </c>
      <c r="AG122" s="303">
        <f t="shared" si="48"/>
        <v>1.4170200964789593E-3</v>
      </c>
      <c r="AH122" s="303">
        <f t="shared" si="49"/>
        <v>1.3853882365110963E-3</v>
      </c>
      <c r="AI122" s="303">
        <f t="shared" si="50"/>
        <v>1.3600261957952072E-3</v>
      </c>
      <c r="AJ122" s="303">
        <f t="shared" si="51"/>
        <v>1.3406842554752202E-3</v>
      </c>
      <c r="AK122" s="303">
        <f t="shared" si="52"/>
        <v>1.3160240181955953E-3</v>
      </c>
      <c r="AL122" s="303">
        <f t="shared" si="53"/>
        <v>1.2989265720070894E-3</v>
      </c>
      <c r="AM122" s="303">
        <f t="shared" si="54"/>
        <v>1.2745007268358962E-3</v>
      </c>
      <c r="AV122" s="41">
        <v>-21650</v>
      </c>
      <c r="AW122" s="303">
        <f t="shared" si="58"/>
        <v>1.4491094027688659E-3</v>
      </c>
      <c r="AX122" s="41">
        <f t="shared" si="57"/>
        <v>-21245.157035786251</v>
      </c>
    </row>
    <row r="123" spans="1:50" x14ac:dyDescent="0.2">
      <c r="A123" s="30">
        <v>400</v>
      </c>
      <c r="B123" s="47" t="s">
        <v>446</v>
      </c>
      <c r="C123" s="295">
        <v>0.98313191130137845</v>
      </c>
      <c r="D123" s="295">
        <v>1.0304617454874674</v>
      </c>
      <c r="E123" s="295">
        <v>0.98441488087337592</v>
      </c>
      <c r="F123" s="295">
        <v>0.98579248538137021</v>
      </c>
      <c r="G123" s="295">
        <v>0.9814568663020562</v>
      </c>
      <c r="H123" s="295">
        <v>0.97965955225224155</v>
      </c>
      <c r="I123" s="295">
        <v>0.97814638201188886</v>
      </c>
      <c r="J123" s="295">
        <v>0.98249102840828706</v>
      </c>
      <c r="L123" s="41">
        <v>-23954.518980000001</v>
      </c>
      <c r="M123" s="41">
        <f t="shared" si="32"/>
        <v>-23550.452029112548</v>
      </c>
      <c r="N123" s="41">
        <f t="shared" si="33"/>
        <v>-24267.839904938184</v>
      </c>
      <c r="O123" s="41">
        <f t="shared" si="34"/>
        <v>-23889.622729073883</v>
      </c>
      <c r="P123" s="41">
        <f t="shared" si="35"/>
        <v>-23550.210564917015</v>
      </c>
      <c r="Q123" s="41">
        <f t="shared" si="36"/>
        <v>-23113.51586179703</v>
      </c>
      <c r="R123" s="41">
        <f t="shared" si="37"/>
        <v>-22643.376600143161</v>
      </c>
      <c r="S123" s="41">
        <f t="shared" si="38"/>
        <v>-22148.536897962698</v>
      </c>
      <c r="T123" s="41">
        <f t="shared" si="39"/>
        <v>-21760.738794618264</v>
      </c>
      <c r="V123" s="41">
        <f t="shared" si="55"/>
        <v>-23954.518980000001</v>
      </c>
      <c r="W123" s="41">
        <f t="shared" si="56"/>
        <v>-24045.011521723911</v>
      </c>
      <c r="X123" s="41">
        <f t="shared" si="40"/>
        <v>-25092.946461706084</v>
      </c>
      <c r="Y123" s="41">
        <f t="shared" si="41"/>
        <v>-24677.98027913332</v>
      </c>
      <c r="Z123" s="41">
        <f t="shared" si="42"/>
        <v>-24303.817302994361</v>
      </c>
      <c r="AA123" s="41">
        <f t="shared" si="43"/>
        <v>-23737.580790065549</v>
      </c>
      <c r="AB123" s="41">
        <f t="shared" si="44"/>
        <v>-22643.376600143161</v>
      </c>
      <c r="AC123" s="41">
        <f t="shared" si="45"/>
        <v>-22148.536897962698</v>
      </c>
      <c r="AD123" s="41">
        <f t="shared" si="46"/>
        <v>-21760.738794618264</v>
      </c>
      <c r="AF123" s="303">
        <f t="shared" si="47"/>
        <v>1.6631092439463059E-3</v>
      </c>
      <c r="AG123" s="303">
        <f t="shared" si="48"/>
        <v>1.6183428618346289E-3</v>
      </c>
      <c r="AH123" s="303">
        <f t="shared" si="49"/>
        <v>1.6011215486532364E-3</v>
      </c>
      <c r="AI123" s="303">
        <f t="shared" si="50"/>
        <v>1.5841773706851627E-3</v>
      </c>
      <c r="AJ123" s="303">
        <f t="shared" si="51"/>
        <v>1.5663547556207694E-3</v>
      </c>
      <c r="AK123" s="303">
        <f t="shared" si="52"/>
        <v>1.5460858394729835E-3</v>
      </c>
      <c r="AL123" s="303">
        <f t="shared" si="53"/>
        <v>1.5228746256285232E-3</v>
      </c>
      <c r="AM123" s="303">
        <f t="shared" si="54"/>
        <v>1.5064544565673401E-3</v>
      </c>
      <c r="AV123" s="41">
        <v>-26546.94182</v>
      </c>
      <c r="AW123" s="303">
        <f t="shared" si="58"/>
        <v>1.7768786607907637E-3</v>
      </c>
      <c r="AX123" s="41">
        <f t="shared" si="57"/>
        <v>-26050.528766086896</v>
      </c>
    </row>
    <row r="124" spans="1:50" x14ac:dyDescent="0.2">
      <c r="A124" s="30">
        <v>402</v>
      </c>
      <c r="B124" s="47" t="s">
        <v>447</v>
      </c>
      <c r="C124" s="295">
        <v>0.97708875183623944</v>
      </c>
      <c r="D124" s="295">
        <v>1.0505908397068677</v>
      </c>
      <c r="E124" s="295">
        <v>0.97439516273814686</v>
      </c>
      <c r="F124" s="295">
        <v>0.98583344864692235</v>
      </c>
      <c r="G124" s="295">
        <v>0.98287665852293393</v>
      </c>
      <c r="H124" s="295">
        <v>0.97427918016273629</v>
      </c>
      <c r="I124" s="295">
        <v>0.99002634078591578</v>
      </c>
      <c r="J124" s="295">
        <v>0.98788205285493635</v>
      </c>
      <c r="L124" s="41">
        <v>-21823.380020000001</v>
      </c>
      <c r="M124" s="41">
        <f t="shared" si="32"/>
        <v>-21323.379144589726</v>
      </c>
      <c r="N124" s="41">
        <f t="shared" si="33"/>
        <v>-22402.146800902432</v>
      </c>
      <c r="O124" s="41">
        <f t="shared" si="34"/>
        <v>-21828.543477749183</v>
      </c>
      <c r="P124" s="41">
        <f t="shared" si="35"/>
        <v>-21519.30829560876</v>
      </c>
      <c r="Q124" s="41">
        <f t="shared" si="36"/>
        <v>-21150.825831312792</v>
      </c>
      <c r="R124" s="41">
        <f t="shared" si="37"/>
        <v>-20606.809250696253</v>
      </c>
      <c r="S124" s="41">
        <f t="shared" si="38"/>
        <v>-20401.283957740172</v>
      </c>
      <c r="T124" s="41">
        <f t="shared" si="39"/>
        <v>-20154.062277048841</v>
      </c>
      <c r="V124" s="41">
        <f t="shared" si="55"/>
        <v>-21823.380020000001</v>
      </c>
      <c r="W124" s="41">
        <f t="shared" si="56"/>
        <v>-21771.170106626108</v>
      </c>
      <c r="X124" s="41">
        <f t="shared" si="40"/>
        <v>-23163.819792133116</v>
      </c>
      <c r="Y124" s="41">
        <f t="shared" si="41"/>
        <v>-22548.885412514905</v>
      </c>
      <c r="Z124" s="41">
        <f t="shared" si="42"/>
        <v>-22207.926161068241</v>
      </c>
      <c r="AA124" s="41">
        <f t="shared" si="43"/>
        <v>-21721.898128758236</v>
      </c>
      <c r="AB124" s="41">
        <f t="shared" si="44"/>
        <v>-20606.809250696253</v>
      </c>
      <c r="AC124" s="41">
        <f t="shared" si="45"/>
        <v>-20401.283957740172</v>
      </c>
      <c r="AD124" s="41">
        <f t="shared" si="46"/>
        <v>-20154.062277048841</v>
      </c>
      <c r="AF124" s="303">
        <f t="shared" si="47"/>
        <v>1.5058355960089571E-3</v>
      </c>
      <c r="AG124" s="303">
        <f t="shared" si="48"/>
        <v>1.4939258915102139E-3</v>
      </c>
      <c r="AH124" s="303">
        <f t="shared" si="49"/>
        <v>1.4629846496237728E-3</v>
      </c>
      <c r="AI124" s="303">
        <f t="shared" si="50"/>
        <v>1.4475624810542332E-3</v>
      </c>
      <c r="AJ124" s="303">
        <f t="shared" si="51"/>
        <v>1.433347346387121E-3</v>
      </c>
      <c r="AK124" s="303">
        <f t="shared" si="52"/>
        <v>1.4070293729523064E-3</v>
      </c>
      <c r="AL124" s="303">
        <f t="shared" si="53"/>
        <v>1.4027381498207478E-3</v>
      </c>
      <c r="AM124" s="303">
        <f t="shared" si="54"/>
        <v>1.3952273046310673E-3</v>
      </c>
      <c r="AV124" s="41">
        <v>-22537</v>
      </c>
      <c r="AW124" s="303">
        <f t="shared" si="58"/>
        <v>1.5084793815335765E-3</v>
      </c>
      <c r="AX124" s="41">
        <f t="shared" si="57"/>
        <v>-22115.570628892136</v>
      </c>
    </row>
    <row r="125" spans="1:50" x14ac:dyDescent="0.2">
      <c r="A125" s="30">
        <v>403</v>
      </c>
      <c r="B125" s="47" t="s">
        <v>448</v>
      </c>
      <c r="C125" s="295">
        <v>0.99311449871586477</v>
      </c>
      <c r="D125" s="295">
        <v>1.0197900047906319</v>
      </c>
      <c r="E125" s="295">
        <v>1.0006824601808908</v>
      </c>
      <c r="F125" s="295">
        <v>0.98184251048757476</v>
      </c>
      <c r="G125" s="295">
        <v>1.0014095201709825</v>
      </c>
      <c r="H125" s="295">
        <v>0.99424169838450904</v>
      </c>
      <c r="I125" s="295">
        <v>0.9867114258499593</v>
      </c>
      <c r="J125" s="295">
        <v>1.0020217191134502</v>
      </c>
      <c r="L125" s="41">
        <v>-7790.5715499999997</v>
      </c>
      <c r="M125" s="41">
        <f t="shared" si="32"/>
        <v>-7736.9295595883268</v>
      </c>
      <c r="N125" s="41">
        <f t="shared" si="33"/>
        <v>-7890.0434326373606</v>
      </c>
      <c r="O125" s="41">
        <f t="shared" si="34"/>
        <v>-7895.4280731056342</v>
      </c>
      <c r="P125" s="41">
        <f t="shared" si="35"/>
        <v>-7752.0669206721104</v>
      </c>
      <c r="Q125" s="41">
        <f t="shared" si="36"/>
        <v>-7762.9936153636036</v>
      </c>
      <c r="R125" s="41">
        <f t="shared" si="37"/>
        <v>-7718.2919566872097</v>
      </c>
      <c r="S125" s="41">
        <f t="shared" si="38"/>
        <v>-7615.7268617091086</v>
      </c>
      <c r="T125" s="41">
        <f t="shared" si="39"/>
        <v>-7631.1237222682421</v>
      </c>
      <c r="V125" s="41">
        <f t="shared" si="55"/>
        <v>-7790.5715499999997</v>
      </c>
      <c r="W125" s="41">
        <f t="shared" si="56"/>
        <v>-7899.4050803396813</v>
      </c>
      <c r="X125" s="41">
        <f t="shared" si="40"/>
        <v>-8158.3049093470308</v>
      </c>
      <c r="Y125" s="41">
        <f t="shared" si="41"/>
        <v>-8155.9771995181191</v>
      </c>
      <c r="Z125" s="41">
        <f t="shared" si="42"/>
        <v>-8000.1330621336183</v>
      </c>
      <c r="AA125" s="41">
        <f t="shared" si="43"/>
        <v>-7972.5944429784204</v>
      </c>
      <c r="AB125" s="41">
        <f t="shared" si="44"/>
        <v>-7718.2919566872097</v>
      </c>
      <c r="AC125" s="41">
        <f t="shared" si="45"/>
        <v>-7615.7268617091086</v>
      </c>
      <c r="AD125" s="41">
        <f t="shared" si="46"/>
        <v>-7631.1237222682421</v>
      </c>
      <c r="AF125" s="303">
        <f t="shared" si="47"/>
        <v>5.4637418655091726E-4</v>
      </c>
      <c r="AG125" s="303">
        <f t="shared" si="48"/>
        <v>5.2616118776090918E-4</v>
      </c>
      <c r="AH125" s="303">
        <f t="shared" si="49"/>
        <v>5.2916448983123801E-4</v>
      </c>
      <c r="AI125" s="303">
        <f t="shared" si="50"/>
        <v>5.214666322372665E-4</v>
      </c>
      <c r="AJ125" s="303">
        <f t="shared" si="51"/>
        <v>5.2608188386330012E-4</v>
      </c>
      <c r="AK125" s="303">
        <f t="shared" si="52"/>
        <v>5.2700364039685117E-4</v>
      </c>
      <c r="AL125" s="303">
        <f t="shared" si="53"/>
        <v>5.236371705654812E-4</v>
      </c>
      <c r="AM125" s="303">
        <f t="shared" si="54"/>
        <v>5.2828814538552569E-4</v>
      </c>
      <c r="AV125" s="41">
        <v>-7462.7479999999996</v>
      </c>
      <c r="AW125" s="303">
        <f t="shared" si="58"/>
        <v>4.9950754260021004E-4</v>
      </c>
      <c r="AX125" s="41">
        <f t="shared" si="57"/>
        <v>-7323.1987611316281</v>
      </c>
    </row>
    <row r="126" spans="1:50" x14ac:dyDescent="0.2">
      <c r="A126" s="30">
        <v>405</v>
      </c>
      <c r="B126" s="47" t="s">
        <v>449</v>
      </c>
      <c r="C126" s="295">
        <v>0.98537752421185409</v>
      </c>
      <c r="D126" s="295">
        <v>1.0820216891223862</v>
      </c>
      <c r="E126" s="295">
        <v>0.99311362586268914</v>
      </c>
      <c r="F126" s="295">
        <v>0.99382111862506417</v>
      </c>
      <c r="G126" s="295">
        <v>0.99021050285454537</v>
      </c>
      <c r="H126" s="295">
        <v>0.99077819275961188</v>
      </c>
      <c r="I126" s="295">
        <v>0.99106956778728539</v>
      </c>
      <c r="J126" s="295">
        <v>0.99101478358220818</v>
      </c>
      <c r="L126" s="41">
        <v>-164204.89538</v>
      </c>
      <c r="M126" s="41">
        <f t="shared" si="32"/>
        <v>-161803.81327301092</v>
      </c>
      <c r="N126" s="41">
        <f t="shared" si="33"/>
        <v>-175075.23534410645</v>
      </c>
      <c r="O126" s="41">
        <f t="shared" si="34"/>
        <v>-173869.60177134917</v>
      </c>
      <c r="P126" s="41">
        <f t="shared" si="35"/>
        <v>-172795.28212729667</v>
      </c>
      <c r="Q126" s="41">
        <f t="shared" si="36"/>
        <v>-171103.70320616348</v>
      </c>
      <c r="R126" s="41">
        <f t="shared" si="37"/>
        <v>-169525.81783707967</v>
      </c>
      <c r="S126" s="41">
        <f t="shared" si="38"/>
        <v>-168011.87901258061</v>
      </c>
      <c r="T126" s="41">
        <f t="shared" si="39"/>
        <v>-166502.25591889271</v>
      </c>
      <c r="V126" s="41">
        <f t="shared" si="55"/>
        <v>-164204.89538</v>
      </c>
      <c r="W126" s="41">
        <f t="shared" si="56"/>
        <v>-165201.69335174412</v>
      </c>
      <c r="X126" s="41">
        <f t="shared" si="40"/>
        <v>-181027.79334580607</v>
      </c>
      <c r="Y126" s="41">
        <f t="shared" si="41"/>
        <v>-179607.29862980367</v>
      </c>
      <c r="Z126" s="41">
        <f t="shared" si="42"/>
        <v>-178324.73115537016</v>
      </c>
      <c r="AA126" s="41">
        <f t="shared" si="43"/>
        <v>-175723.50319272987</v>
      </c>
      <c r="AB126" s="41">
        <f t="shared" si="44"/>
        <v>-169525.81783707967</v>
      </c>
      <c r="AC126" s="41">
        <f t="shared" si="45"/>
        <v>-168011.87901258061</v>
      </c>
      <c r="AD126" s="41">
        <f t="shared" si="46"/>
        <v>-166502.25591889271</v>
      </c>
      <c r="AF126" s="303">
        <f t="shared" si="47"/>
        <v>1.1426422610803995E-2</v>
      </c>
      <c r="AG126" s="303">
        <f t="shared" si="48"/>
        <v>1.1675194764470905E-2</v>
      </c>
      <c r="AH126" s="303">
        <f t="shared" si="49"/>
        <v>1.1653024796957775E-2</v>
      </c>
      <c r="AI126" s="303">
        <f t="shared" si="50"/>
        <v>1.1623606292294154E-2</v>
      </c>
      <c r="AJ126" s="303">
        <f t="shared" si="51"/>
        <v>1.1595341047368535E-2</v>
      </c>
      <c r="AK126" s="303">
        <f t="shared" si="52"/>
        <v>1.1575193532811192E-2</v>
      </c>
      <c r="AL126" s="303">
        <f t="shared" si="53"/>
        <v>1.1552050978860072E-2</v>
      </c>
      <c r="AM126" s="303">
        <f t="shared" si="54"/>
        <v>1.1526633715191923E-2</v>
      </c>
      <c r="AV126" s="41">
        <v>-169493</v>
      </c>
      <c r="AW126" s="303">
        <f t="shared" si="58"/>
        <v>1.1344752886997848E-2</v>
      </c>
      <c r="AX126" s="41">
        <f t="shared" si="57"/>
        <v>-166323.57512547434</v>
      </c>
    </row>
    <row r="127" spans="1:50" x14ac:dyDescent="0.2">
      <c r="A127" s="30">
        <v>407</v>
      </c>
      <c r="B127" s="47" t="s">
        <v>450</v>
      </c>
      <c r="C127" s="295">
        <v>0.9977928922385082</v>
      </c>
      <c r="D127" s="295">
        <v>1.0199854071056125</v>
      </c>
      <c r="E127" s="295">
        <v>1.0041897752617821</v>
      </c>
      <c r="F127" s="295">
        <v>0.99378228542333458</v>
      </c>
      <c r="G127" s="295">
        <v>0.998170010872929</v>
      </c>
      <c r="H127" s="295">
        <v>0.99851040789690237</v>
      </c>
      <c r="I127" s="295">
        <v>0.99306388105538468</v>
      </c>
      <c r="J127" s="295">
        <v>0.99895999186595152</v>
      </c>
      <c r="L127" s="41">
        <v>-7568.5640300000005</v>
      </c>
      <c r="M127" s="41">
        <f t="shared" si="32"/>
        <v>-7551.8593935860399</v>
      </c>
      <c r="N127" s="41">
        <f t="shared" si="33"/>
        <v>-7702.7863779712006</v>
      </c>
      <c r="O127" s="41">
        <f t="shared" si="34"/>
        <v>-7735.0593217844162</v>
      </c>
      <c r="P127" s="41">
        <f t="shared" si="35"/>
        <v>-7686.9649306879855</v>
      </c>
      <c r="Q127" s="41">
        <f t="shared" si="36"/>
        <v>-7672.8978684446502</v>
      </c>
      <c r="R127" s="41">
        <f t="shared" si="37"/>
        <v>-7661.4683803719408</v>
      </c>
      <c r="S127" s="41">
        <f t="shared" si="38"/>
        <v>-7608.3275243952721</v>
      </c>
      <c r="T127" s="41">
        <f t="shared" si="39"/>
        <v>-7600.4148018833957</v>
      </c>
      <c r="V127" s="41">
        <f t="shared" si="55"/>
        <v>-7568.5640300000005</v>
      </c>
      <c r="W127" s="41">
        <f t="shared" si="56"/>
        <v>-7710.4484408513463</v>
      </c>
      <c r="X127" s="41">
        <f t="shared" si="40"/>
        <v>-7964.6811148222214</v>
      </c>
      <c r="Y127" s="41">
        <f t="shared" si="41"/>
        <v>-7990.3162794033015</v>
      </c>
      <c r="Z127" s="41">
        <f t="shared" si="42"/>
        <v>-7932.9478084700013</v>
      </c>
      <c r="AA127" s="41">
        <f t="shared" si="43"/>
        <v>-7880.0661108926552</v>
      </c>
      <c r="AB127" s="41">
        <f t="shared" si="44"/>
        <v>-7661.4683803719408</v>
      </c>
      <c r="AC127" s="41">
        <f t="shared" si="45"/>
        <v>-7608.3275243952721</v>
      </c>
      <c r="AD127" s="41">
        <f t="shared" si="46"/>
        <v>-7600.4148018833957</v>
      </c>
      <c r="AF127" s="303">
        <f t="shared" si="47"/>
        <v>5.3330471750307926E-4</v>
      </c>
      <c r="AG127" s="303">
        <f t="shared" si="48"/>
        <v>5.1367362731324483E-4</v>
      </c>
      <c r="AH127" s="303">
        <f t="shared" si="49"/>
        <v>5.1841631409054194E-4</v>
      </c>
      <c r="AI127" s="303">
        <f t="shared" si="50"/>
        <v>5.1708734658140654E-4</v>
      </c>
      <c r="AJ127" s="303">
        <f t="shared" si="51"/>
        <v>5.1997628303253416E-4</v>
      </c>
      <c r="AK127" s="303">
        <f t="shared" si="52"/>
        <v>5.2312373643020101E-4</v>
      </c>
      <c r="AL127" s="303">
        <f t="shared" si="53"/>
        <v>5.2312841176603445E-4</v>
      </c>
      <c r="AM127" s="303">
        <f t="shared" si="54"/>
        <v>5.2616222537854671E-4</v>
      </c>
      <c r="AV127" s="41">
        <v>-7603.75</v>
      </c>
      <c r="AW127" s="303">
        <f t="shared" si="58"/>
        <v>5.0894529428654805E-4</v>
      </c>
      <c r="AX127" s="41">
        <f t="shared" si="57"/>
        <v>-7461.5641021182319</v>
      </c>
    </row>
    <row r="128" spans="1:50" x14ac:dyDescent="0.2">
      <c r="A128" s="30">
        <v>408</v>
      </c>
      <c r="B128" s="47" t="s">
        <v>451</v>
      </c>
      <c r="C128" s="295">
        <v>0.9823242840499421</v>
      </c>
      <c r="D128" s="295">
        <v>1.0219041088582872</v>
      </c>
      <c r="E128" s="295">
        <v>0.97770318405790524</v>
      </c>
      <c r="F128" s="295">
        <v>0.98619084838409066</v>
      </c>
      <c r="G128" s="295">
        <v>0.96888831452945412</v>
      </c>
      <c r="H128" s="295">
        <v>0.97380632683748491</v>
      </c>
      <c r="I128" s="295">
        <v>0.97280280796077423</v>
      </c>
      <c r="J128" s="295">
        <v>0.97844157124392828</v>
      </c>
      <c r="L128" s="41">
        <v>-35516.323899999996</v>
      </c>
      <c r="M128" s="41">
        <f t="shared" si="32"/>
        <v>-34888.547447153345</v>
      </c>
      <c r="N128" s="41">
        <f t="shared" si="33"/>
        <v>-35652.749988343312</v>
      </c>
      <c r="O128" s="41">
        <f t="shared" si="34"/>
        <v>-34857.807184023703</v>
      </c>
      <c r="P128" s="41">
        <f t="shared" si="35"/>
        <v>-34376.450439621389</v>
      </c>
      <c r="Q128" s="41">
        <f t="shared" si="36"/>
        <v>-33306.941125950078</v>
      </c>
      <c r="R128" s="41">
        <f t="shared" si="37"/>
        <v>-32434.50999605381</v>
      </c>
      <c r="S128" s="41">
        <f t="shared" si="38"/>
        <v>-31552.382398992948</v>
      </c>
      <c r="T128" s="41">
        <f t="shared" si="39"/>
        <v>-30872.162610959927</v>
      </c>
      <c r="V128" s="41">
        <f t="shared" si="55"/>
        <v>-35516.323899999996</v>
      </c>
      <c r="W128" s="41">
        <f t="shared" si="56"/>
        <v>-35621.206943543562</v>
      </c>
      <c r="X128" s="41">
        <f t="shared" si="40"/>
        <v>-36864.943487946985</v>
      </c>
      <c r="Y128" s="41">
        <f t="shared" si="41"/>
        <v>-36008.114821096482</v>
      </c>
      <c r="Z128" s="41">
        <f t="shared" si="42"/>
        <v>-35476.496853689277</v>
      </c>
      <c r="AA128" s="41">
        <f t="shared" si="43"/>
        <v>-34206.228536350725</v>
      </c>
      <c r="AB128" s="41">
        <f t="shared" si="44"/>
        <v>-32434.50999605381</v>
      </c>
      <c r="AC128" s="41">
        <f t="shared" si="45"/>
        <v>-31552.382398992948</v>
      </c>
      <c r="AD128" s="41">
        <f t="shared" si="46"/>
        <v>-30872.162610959927</v>
      </c>
      <c r="AF128" s="303">
        <f t="shared" si="47"/>
        <v>2.4637941426980973E-3</v>
      </c>
      <c r="AG128" s="303">
        <f t="shared" si="48"/>
        <v>2.3775652746361323E-3</v>
      </c>
      <c r="AH128" s="303">
        <f t="shared" si="49"/>
        <v>2.3362271917846881E-3</v>
      </c>
      <c r="AI128" s="303">
        <f t="shared" si="50"/>
        <v>2.3124377049968054E-3</v>
      </c>
      <c r="AJ128" s="303">
        <f t="shared" si="51"/>
        <v>2.257141922490572E-3</v>
      </c>
      <c r="AK128" s="303">
        <f t="shared" si="52"/>
        <v>2.2146227349690716E-3</v>
      </c>
      <c r="AL128" s="303">
        <f t="shared" si="53"/>
        <v>2.169458089034054E-3</v>
      </c>
      <c r="AM128" s="303">
        <f t="shared" si="54"/>
        <v>2.1372209550465332E-3</v>
      </c>
      <c r="AV128" s="41">
        <v>-37759.129999999997</v>
      </c>
      <c r="AW128" s="303">
        <f t="shared" si="58"/>
        <v>2.5273492066222617E-3</v>
      </c>
      <c r="AX128" s="41">
        <f t="shared" si="57"/>
        <v>-37053.05526026179</v>
      </c>
    </row>
    <row r="129" spans="1:50" x14ac:dyDescent="0.2">
      <c r="A129" s="30">
        <v>410</v>
      </c>
      <c r="B129" s="47" t="s">
        <v>452</v>
      </c>
      <c r="C129" s="295">
        <v>0.99031189610562631</v>
      </c>
      <c r="D129" s="295">
        <v>1.0418042732553867</v>
      </c>
      <c r="E129" s="295">
        <v>0.98294211586797542</v>
      </c>
      <c r="F129" s="295">
        <v>0.98861568571893477</v>
      </c>
      <c r="G129" s="295">
        <v>0.98534943917546192</v>
      </c>
      <c r="H129" s="295">
        <v>0.98112347824811685</v>
      </c>
      <c r="I129" s="295">
        <v>0.98247999178306156</v>
      </c>
      <c r="J129" s="295">
        <v>0.9813940466203851</v>
      </c>
      <c r="L129" s="41">
        <v>-53797.536340000006</v>
      </c>
      <c r="M129" s="41">
        <f t="shared" si="32"/>
        <v>-53276.340218676742</v>
      </c>
      <c r="N129" s="41">
        <f t="shared" si="33"/>
        <v>-55503.518903225253</v>
      </c>
      <c r="O129" s="41">
        <f t="shared" si="34"/>
        <v>-54556.746308854403</v>
      </c>
      <c r="P129" s="41">
        <f t="shared" si="35"/>
        <v>-53935.655162722062</v>
      </c>
      <c r="Q129" s="41">
        <f t="shared" si="36"/>
        <v>-53145.467566149287</v>
      </c>
      <c r="R129" s="41">
        <f t="shared" si="37"/>
        <v>-52142.265991622873</v>
      </c>
      <c r="S129" s="41">
        <f t="shared" si="38"/>
        <v>-51228.733062999847</v>
      </c>
      <c r="T129" s="41">
        <f t="shared" si="39"/>
        <v>-50275.573643932934</v>
      </c>
      <c r="V129" s="41">
        <f t="shared" si="55"/>
        <v>-53797.536340000006</v>
      </c>
      <c r="W129" s="41">
        <f t="shared" si="56"/>
        <v>-54395.143363268951</v>
      </c>
      <c r="X129" s="41">
        <f t="shared" si="40"/>
        <v>-57390.638545934911</v>
      </c>
      <c r="Y129" s="41">
        <f t="shared" si="41"/>
        <v>-56357.118937046595</v>
      </c>
      <c r="Z129" s="41">
        <f t="shared" si="42"/>
        <v>-55661.596127929166</v>
      </c>
      <c r="AA129" s="41">
        <f t="shared" si="43"/>
        <v>-54580.395190435316</v>
      </c>
      <c r="AB129" s="41">
        <f t="shared" si="44"/>
        <v>-52142.265991622873</v>
      </c>
      <c r="AC129" s="41">
        <f t="shared" si="45"/>
        <v>-51228.733062999847</v>
      </c>
      <c r="AD129" s="41">
        <f t="shared" si="46"/>
        <v>-50275.573643932934</v>
      </c>
      <c r="AF129" s="303">
        <f t="shared" si="47"/>
        <v>3.7623215805700412E-3</v>
      </c>
      <c r="AG129" s="303">
        <f t="shared" si="48"/>
        <v>3.7013481206236258E-3</v>
      </c>
      <c r="AH129" s="303">
        <f t="shared" si="49"/>
        <v>3.6564822781067429E-3</v>
      </c>
      <c r="AI129" s="303">
        <f t="shared" si="50"/>
        <v>3.6281477885870329E-3</v>
      </c>
      <c r="AJ129" s="303">
        <f t="shared" si="51"/>
        <v>3.601557476572289E-3</v>
      </c>
      <c r="AK129" s="303">
        <f t="shared" si="52"/>
        <v>3.5602649070974757E-3</v>
      </c>
      <c r="AL129" s="303">
        <f t="shared" si="53"/>
        <v>3.5223517491990873E-3</v>
      </c>
      <c r="AM129" s="303">
        <f t="shared" si="54"/>
        <v>3.48048210528189E-3</v>
      </c>
      <c r="AV129" s="41">
        <v>-55876.21</v>
      </c>
      <c r="AW129" s="303">
        <f t="shared" si="58"/>
        <v>3.7399880509047453E-3</v>
      </c>
      <c r="AX129" s="41">
        <f t="shared" si="57"/>
        <v>-54831.355936007858</v>
      </c>
    </row>
    <row r="130" spans="1:50" x14ac:dyDescent="0.2">
      <c r="A130" s="30">
        <v>416</v>
      </c>
      <c r="B130" s="47" t="s">
        <v>453</v>
      </c>
      <c r="C130" s="295">
        <v>1.0140540252930774</v>
      </c>
      <c r="D130" s="295">
        <v>1.1680355994469442</v>
      </c>
      <c r="E130" s="295">
        <v>0.99368723940113102</v>
      </c>
      <c r="F130" s="295">
        <v>1.0008334973435686</v>
      </c>
      <c r="G130" s="295">
        <v>1.0116826669817498</v>
      </c>
      <c r="H130" s="295">
        <v>0.98212636074676885</v>
      </c>
      <c r="I130" s="295">
        <v>0.99372552751580057</v>
      </c>
      <c r="J130" s="295">
        <v>0.9457288469975681</v>
      </c>
      <c r="L130" s="41">
        <v>-7003.6432500000001</v>
      </c>
      <c r="M130" s="41">
        <f t="shared" si="32"/>
        <v>-7102.0726293791913</v>
      </c>
      <c r="N130" s="41">
        <f t="shared" si="33"/>
        <v>-8295.4736609726588</v>
      </c>
      <c r="O130" s="41">
        <f t="shared" si="34"/>
        <v>-8243.1063216967159</v>
      </c>
      <c r="P130" s="41">
        <f t="shared" si="35"/>
        <v>-8249.9769289186042</v>
      </c>
      <c r="Q130" s="41">
        <f t="shared" si="36"/>
        <v>-8346.3586619862799</v>
      </c>
      <c r="R130" s="41">
        <f t="shared" si="37"/>
        <v>-8197.1788581838555</v>
      </c>
      <c r="S130" s="41">
        <f t="shared" si="38"/>
        <v>-8145.7458849901195</v>
      </c>
      <c r="T130" s="41">
        <f t="shared" si="39"/>
        <v>-7703.6668637468911</v>
      </c>
      <c r="V130" s="41">
        <f t="shared" si="55"/>
        <v>-7003.6432500000001</v>
      </c>
      <c r="W130" s="41">
        <f t="shared" si="56"/>
        <v>-7251.2161545961535</v>
      </c>
      <c r="X130" s="41">
        <f t="shared" si="40"/>
        <v>-8577.5197654457297</v>
      </c>
      <c r="Y130" s="41">
        <f t="shared" si="41"/>
        <v>-8515.1288303127076</v>
      </c>
      <c r="Z130" s="41">
        <f t="shared" si="42"/>
        <v>-8513.9761906439999</v>
      </c>
      <c r="AA130" s="41">
        <f t="shared" si="43"/>
        <v>-8571.7103458599086</v>
      </c>
      <c r="AB130" s="41">
        <f t="shared" si="44"/>
        <v>-8197.1788581838555</v>
      </c>
      <c r="AC130" s="41">
        <f t="shared" si="45"/>
        <v>-8145.7458849901195</v>
      </c>
      <c r="AD130" s="41">
        <f t="shared" si="46"/>
        <v>-7703.6668637468911</v>
      </c>
      <c r="AF130" s="303">
        <f t="shared" si="47"/>
        <v>5.0154122844425395E-4</v>
      </c>
      <c r="AG130" s="303">
        <f t="shared" si="48"/>
        <v>5.5319800350423789E-4</v>
      </c>
      <c r="AH130" s="303">
        <f t="shared" si="49"/>
        <v>5.5246645412470176E-4</v>
      </c>
      <c r="AI130" s="303">
        <f t="shared" si="50"/>
        <v>5.5496008086387057E-4</v>
      </c>
      <c r="AJ130" s="303">
        <f t="shared" si="51"/>
        <v>5.6561531618506359E-4</v>
      </c>
      <c r="AK130" s="303">
        <f t="shared" si="52"/>
        <v>5.5970195523689036E-4</v>
      </c>
      <c r="AL130" s="303">
        <f t="shared" si="53"/>
        <v>5.600798721928428E-4</v>
      </c>
      <c r="AM130" s="303">
        <f t="shared" si="54"/>
        <v>5.3331016875547363E-4</v>
      </c>
      <c r="AV130" s="41">
        <v>-7469.1815399999996</v>
      </c>
      <c r="AW130" s="303">
        <f t="shared" si="58"/>
        <v>4.9993816169060688E-4</v>
      </c>
      <c r="AX130" s="41">
        <f t="shared" si="57"/>
        <v>-7329.5119975101979</v>
      </c>
    </row>
    <row r="131" spans="1:50" x14ac:dyDescent="0.2">
      <c r="A131" s="30">
        <v>418</v>
      </c>
      <c r="B131" s="47" t="s">
        <v>454</v>
      </c>
      <c r="C131" s="295">
        <v>0.98953683561931838</v>
      </c>
      <c r="D131" s="295">
        <v>1.0340363850266827</v>
      </c>
      <c r="E131" s="295">
        <v>0.99550182364942807</v>
      </c>
      <c r="F131" s="295">
        <v>0.99513407586988234</v>
      </c>
      <c r="G131" s="295">
        <v>0.99256226011627724</v>
      </c>
      <c r="H131" s="295">
        <v>0.99241934666830567</v>
      </c>
      <c r="I131" s="295">
        <v>0.99079012279967871</v>
      </c>
      <c r="J131" s="295">
        <v>0.99455922798771978</v>
      </c>
      <c r="L131" s="41">
        <v>-71978.013650000008</v>
      </c>
      <c r="M131" s="41">
        <f t="shared" si="32"/>
        <v>-71224.895861385114</v>
      </c>
      <c r="N131" s="41">
        <f t="shared" si="33"/>
        <v>-73649.133840408598</v>
      </c>
      <c r="O131" s="41">
        <f t="shared" si="34"/>
        <v>-73317.84704832756</v>
      </c>
      <c r="P131" s="41">
        <f t="shared" si="35"/>
        <v>-72961.087967206826</v>
      </c>
      <c r="Q131" s="41">
        <f t="shared" si="36"/>
        <v>-72418.422373273323</v>
      </c>
      <c r="R131" s="41">
        <f t="shared" si="37"/>
        <v>-71869.443418433322</v>
      </c>
      <c r="S131" s="41">
        <f t="shared" si="38"/>
        <v>-71207.534670094115</v>
      </c>
      <c r="T131" s="41">
        <f t="shared" si="39"/>
        <v>-70820.110708397595</v>
      </c>
      <c r="V131" s="41">
        <f t="shared" si="55"/>
        <v>-71978.013650000008</v>
      </c>
      <c r="W131" s="41">
        <f t="shared" si="56"/>
        <v>-72720.618674474201</v>
      </c>
      <c r="X131" s="41">
        <f t="shared" si="40"/>
        <v>-76153.204390982486</v>
      </c>
      <c r="Y131" s="41">
        <f t="shared" si="41"/>
        <v>-75737.336000922369</v>
      </c>
      <c r="Z131" s="41">
        <f t="shared" si="42"/>
        <v>-75295.842782157444</v>
      </c>
      <c r="AA131" s="41">
        <f t="shared" si="43"/>
        <v>-74373.719777351696</v>
      </c>
      <c r="AB131" s="41">
        <f t="shared" si="44"/>
        <v>-71869.443418433322</v>
      </c>
      <c r="AC131" s="41">
        <f t="shared" si="45"/>
        <v>-71207.534670094115</v>
      </c>
      <c r="AD131" s="41">
        <f t="shared" si="46"/>
        <v>-70820.110708397595</v>
      </c>
      <c r="AF131" s="303">
        <f t="shared" si="47"/>
        <v>5.0298305340276015E-3</v>
      </c>
      <c r="AG131" s="303">
        <f t="shared" si="48"/>
        <v>4.9114198254899049E-3</v>
      </c>
      <c r="AH131" s="303">
        <f t="shared" si="49"/>
        <v>4.9138819035042238E-3</v>
      </c>
      <c r="AI131" s="303">
        <f t="shared" si="50"/>
        <v>4.9079520618131615E-3</v>
      </c>
      <c r="AJ131" s="303">
        <f t="shared" si="51"/>
        <v>4.9076454208516508E-3</v>
      </c>
      <c r="AK131" s="303">
        <f t="shared" si="52"/>
        <v>4.9072331711932952E-3</v>
      </c>
      <c r="AL131" s="303">
        <f t="shared" si="53"/>
        <v>4.8960411336526873E-3</v>
      </c>
      <c r="AM131" s="303">
        <f t="shared" si="54"/>
        <v>4.9027412349457187E-3</v>
      </c>
      <c r="AV131" s="41">
        <v>-74231.5</v>
      </c>
      <c r="AW131" s="303">
        <f t="shared" si="58"/>
        <v>4.9685711146252691E-3</v>
      </c>
      <c r="AX131" s="41">
        <f t="shared" si="57"/>
        <v>-72843.412217180929</v>
      </c>
    </row>
    <row r="132" spans="1:50" x14ac:dyDescent="0.2">
      <c r="A132" s="30">
        <v>420</v>
      </c>
      <c r="B132" s="47" t="s">
        <v>455</v>
      </c>
      <c r="C132" s="295">
        <v>0.98265976618647266</v>
      </c>
      <c r="D132" s="295">
        <v>1.0332992486360355</v>
      </c>
      <c r="E132" s="295">
        <v>0.97855362945930136</v>
      </c>
      <c r="F132" s="295">
        <v>0.97137103113628676</v>
      </c>
      <c r="G132" s="295">
        <v>0.98354966640072228</v>
      </c>
      <c r="H132" s="295">
        <v>0.9796831308076106</v>
      </c>
      <c r="I132" s="295">
        <v>0.98414201162756998</v>
      </c>
      <c r="J132" s="295">
        <v>0.99039468889997695</v>
      </c>
      <c r="L132" s="41">
        <v>-20752.521239999998</v>
      </c>
      <c r="M132" s="41">
        <f t="shared" si="32"/>
        <v>-20392.667669478207</v>
      </c>
      <c r="N132" s="41">
        <f t="shared" si="33"/>
        <v>-21071.728180556205</v>
      </c>
      <c r="O132" s="41">
        <f t="shared" si="34"/>
        <v>-20619.816090063116</v>
      </c>
      <c r="P132" s="41">
        <f t="shared" si="35"/>
        <v>-20029.492017245204</v>
      </c>
      <c r="Q132" s="41">
        <f t="shared" si="36"/>
        <v>-19700.00019173745</v>
      </c>
      <c r="R132" s="41">
        <f t="shared" si="37"/>
        <v>-19299.757864751875</v>
      </c>
      <c r="S132" s="41">
        <f t="shared" si="38"/>
        <v>-18993.702528941925</v>
      </c>
      <c r="T132" s="41">
        <f t="shared" si="39"/>
        <v>-18811.262107210143</v>
      </c>
      <c r="V132" s="41">
        <f t="shared" si="55"/>
        <v>-20752.521239999998</v>
      </c>
      <c r="W132" s="41">
        <f t="shared" si="56"/>
        <v>-20820.913690537247</v>
      </c>
      <c r="X132" s="41">
        <f t="shared" si="40"/>
        <v>-21788.166938695118</v>
      </c>
      <c r="Y132" s="41">
        <f t="shared" si="41"/>
        <v>-21300.270021035198</v>
      </c>
      <c r="Z132" s="41">
        <f t="shared" si="42"/>
        <v>-20670.435761797053</v>
      </c>
      <c r="AA132" s="41">
        <f t="shared" si="43"/>
        <v>-20231.900196914361</v>
      </c>
      <c r="AB132" s="41">
        <f t="shared" si="44"/>
        <v>-19299.757864751875</v>
      </c>
      <c r="AC132" s="41">
        <f t="shared" si="45"/>
        <v>-18993.702528941925</v>
      </c>
      <c r="AD132" s="41">
        <f t="shared" si="46"/>
        <v>-18811.262107210143</v>
      </c>
      <c r="AF132" s="303">
        <f t="shared" si="47"/>
        <v>1.4401096874025565E-3</v>
      </c>
      <c r="AG132" s="303">
        <f t="shared" si="48"/>
        <v>1.4052046255910715E-3</v>
      </c>
      <c r="AH132" s="303">
        <f t="shared" si="49"/>
        <v>1.3819737651565101E-3</v>
      </c>
      <c r="AI132" s="303">
        <f t="shared" si="50"/>
        <v>1.3473454053658383E-3</v>
      </c>
      <c r="AJ132" s="303">
        <f t="shared" si="51"/>
        <v>1.3350279191864556E-3</v>
      </c>
      <c r="AK132" s="303">
        <f t="shared" si="52"/>
        <v>1.3177841302944881E-3</v>
      </c>
      <c r="AL132" s="303">
        <f t="shared" si="53"/>
        <v>1.3059565858150476E-3</v>
      </c>
      <c r="AM132" s="303">
        <f t="shared" si="54"/>
        <v>1.3022678091274876E-3</v>
      </c>
      <c r="AV132" s="41">
        <v>-22613.0065</v>
      </c>
      <c r="AW132" s="303">
        <f t="shared" si="58"/>
        <v>1.5135667595391909E-3</v>
      </c>
      <c r="AX132" s="41">
        <f t="shared" si="57"/>
        <v>-22190.155849596085</v>
      </c>
    </row>
    <row r="133" spans="1:50" x14ac:dyDescent="0.2">
      <c r="A133" s="30">
        <v>421</v>
      </c>
      <c r="B133" s="47" t="s">
        <v>456</v>
      </c>
      <c r="C133" s="295">
        <v>0.99465290813728569</v>
      </c>
      <c r="D133" s="295">
        <v>1.0215043669758954</v>
      </c>
      <c r="E133" s="295">
        <v>0.99450645650793024</v>
      </c>
      <c r="F133" s="295">
        <v>0.9969069997064639</v>
      </c>
      <c r="G133" s="295">
        <v>0.99535536423938187</v>
      </c>
      <c r="H133" s="295">
        <v>0.99466707535248156</v>
      </c>
      <c r="I133" s="295">
        <v>0.98174628683230247</v>
      </c>
      <c r="J133" s="295">
        <v>0.99590409664385815</v>
      </c>
      <c r="L133" s="41">
        <v>-2950.38292</v>
      </c>
      <c r="M133" s="41">
        <f t="shared" si="32"/>
        <v>-2934.6069514965766</v>
      </c>
      <c r="N133" s="41">
        <f t="shared" si="33"/>
        <v>-2997.7138163115728</v>
      </c>
      <c r="O133" s="41">
        <f t="shared" si="34"/>
        <v>-2981.2457450848869</v>
      </c>
      <c r="P133" s="41">
        <f t="shared" si="35"/>
        <v>-2972.024751120236</v>
      </c>
      <c r="Q133" s="41">
        <f t="shared" si="36"/>
        <v>-2958.2207786797408</v>
      </c>
      <c r="R133" s="41">
        <f t="shared" si="37"/>
        <v>-2942.4448101763182</v>
      </c>
      <c r="S133" s="41">
        <f t="shared" si="38"/>
        <v>-2888.7342665995793</v>
      </c>
      <c r="T133" s="41">
        <f t="shared" si="39"/>
        <v>-2876.9022902220122</v>
      </c>
      <c r="V133" s="41">
        <f t="shared" si="55"/>
        <v>-2950.38292</v>
      </c>
      <c r="W133" s="41">
        <f t="shared" si="56"/>
        <v>-2996.2336974780046</v>
      </c>
      <c r="X133" s="41">
        <f t="shared" si="40"/>
        <v>-3099.6360860661662</v>
      </c>
      <c r="Y133" s="41">
        <f t="shared" si="41"/>
        <v>-3079.6268546726878</v>
      </c>
      <c r="Z133" s="41">
        <f t="shared" si="42"/>
        <v>-3067.1295431560839</v>
      </c>
      <c r="AA133" s="41">
        <f t="shared" si="43"/>
        <v>-3038.0927397040937</v>
      </c>
      <c r="AB133" s="41">
        <f t="shared" si="44"/>
        <v>-2942.4448101763182</v>
      </c>
      <c r="AC133" s="41">
        <f t="shared" si="45"/>
        <v>-2888.7342665995793</v>
      </c>
      <c r="AD133" s="41">
        <f t="shared" si="46"/>
        <v>-2876.9022902220122</v>
      </c>
      <c r="AF133" s="303">
        <f t="shared" si="47"/>
        <v>2.0723899237049846E-4</v>
      </c>
      <c r="AG133" s="303">
        <f t="shared" si="48"/>
        <v>1.9990772872470187E-4</v>
      </c>
      <c r="AH133" s="303">
        <f t="shared" si="49"/>
        <v>1.9980796090500802E-4</v>
      </c>
      <c r="AI133" s="303">
        <f t="shared" si="50"/>
        <v>1.9992238892567503E-4</v>
      </c>
      <c r="AJ133" s="303">
        <f t="shared" si="51"/>
        <v>2.004724513815672E-4</v>
      </c>
      <c r="AK133" s="303">
        <f t="shared" si="52"/>
        <v>2.0090962292327081E-4</v>
      </c>
      <c r="AL133" s="303">
        <f t="shared" si="53"/>
        <v>1.9862170287161376E-4</v>
      </c>
      <c r="AM133" s="303">
        <f t="shared" si="54"/>
        <v>1.9916246029687087E-4</v>
      </c>
      <c r="AV133" s="41">
        <v>-2941.3393900000001</v>
      </c>
      <c r="AW133" s="303">
        <f t="shared" si="58"/>
        <v>1.9687402156043607E-4</v>
      </c>
      <c r="AX133" s="41">
        <f t="shared" si="57"/>
        <v>-2886.3379785724592</v>
      </c>
    </row>
    <row r="134" spans="1:50" x14ac:dyDescent="0.2">
      <c r="A134" s="30">
        <v>422</v>
      </c>
      <c r="B134" s="47" t="s">
        <v>457</v>
      </c>
      <c r="C134" s="295">
        <v>0.97410778190144187</v>
      </c>
      <c r="D134" s="295">
        <v>1.1014145969969906</v>
      </c>
      <c r="E134" s="295">
        <v>0.98425430184434559</v>
      </c>
      <c r="F134" s="295">
        <v>0.98878385237236099</v>
      </c>
      <c r="G134" s="295">
        <v>0.97744677618306941</v>
      </c>
      <c r="H134" s="295">
        <v>0.97725412884660467</v>
      </c>
      <c r="I134" s="295">
        <v>0.98272629682744583</v>
      </c>
      <c r="J134" s="295">
        <v>0.98368128994389326</v>
      </c>
      <c r="L134" s="41">
        <v>-23919.743109999999</v>
      </c>
      <c r="M134" s="41">
        <f t="shared" ref="M134:M197" si="59">L134*C134</f>
        <v>-23300.407904534397</v>
      </c>
      <c r="N134" s="41">
        <f t="shared" ref="N134:N197" si="60">M134*D134</f>
        <v>-25663.409382038248</v>
      </c>
      <c r="O134" s="41">
        <f t="shared" ref="O134:O197" si="61">N134*E134</f>
        <v>-25259.321084263684</v>
      </c>
      <c r="P134" s="41">
        <f t="shared" ref="P134:P197" si="62">O134*F134</f>
        <v>-24976.008810008647</v>
      </c>
      <c r="Q134" s="41">
        <f t="shared" ref="Q134:Q197" si="63">P134*G134</f>
        <v>-24412.719293262893</v>
      </c>
      <c r="R134" s="41">
        <f t="shared" ref="R134:R197" si="64">Q134*H134</f>
        <v>-23857.430725714326</v>
      </c>
      <c r="S134" s="41">
        <f t="shared" ref="S134:S197" si="65">R134*I134</f>
        <v>-23445.324548898563</v>
      </c>
      <c r="T134" s="41">
        <f t="shared" ref="T134:T197" si="66">S134*J134</f>
        <v>-23062.727095413768</v>
      </c>
      <c r="V134" s="41">
        <f t="shared" si="55"/>
        <v>-23919.743109999999</v>
      </c>
      <c r="W134" s="41">
        <f t="shared" si="56"/>
        <v>-23789.716470529616</v>
      </c>
      <c r="X134" s="41">
        <f t="shared" ref="X134:X197" si="67">N134*(1+X$2)</f>
        <v>-26535.965301027551</v>
      </c>
      <c r="Y134" s="41">
        <f t="shared" ref="Y134:Y197" si="68">O134*(1+Y$2)</f>
        <v>-26092.878680044381</v>
      </c>
      <c r="Z134" s="41">
        <f t="shared" ref="Z134:Z197" si="69">P134*(1+Z$2)</f>
        <v>-25775.241091928925</v>
      </c>
      <c r="AA134" s="41">
        <f t="shared" ref="AA134:AA197" si="70">Q134*(1+AA$2)</f>
        <v>-25071.862714180988</v>
      </c>
      <c r="AB134" s="41">
        <f t="shared" ref="AB134:AB197" si="71">R134*(1+AB$2)</f>
        <v>-23857.430725714326</v>
      </c>
      <c r="AC134" s="41">
        <f t="shared" ref="AC134:AC197" si="72">S134*(1+AC$2)</f>
        <v>-23445.324548898563</v>
      </c>
      <c r="AD134" s="41">
        <f t="shared" ref="AD134:AD197" si="73">T134*(1+AD$2)</f>
        <v>-23062.727095413768</v>
      </c>
      <c r="AF134" s="303">
        <f t="shared" ref="AF134:AF197" si="74">W134/W$4</f>
        <v>1.645451379270659E-3</v>
      </c>
      <c r="AG134" s="303">
        <f t="shared" ref="AG134:AG197" si="75">X134/X$4</f>
        <v>1.7114088252786848E-3</v>
      </c>
      <c r="AH134" s="303">
        <f t="shared" ref="AH134:AH197" si="76">Y134/Y$4</f>
        <v>1.6929209703737105E-3</v>
      </c>
      <c r="AI134" s="303">
        <f t="shared" ref="AI134:AI197" si="77">Z134/Z$4</f>
        <v>1.6800880764009584E-3</v>
      </c>
      <c r="AJ134" s="303">
        <f t="shared" ref="AJ134:AJ197" si="78">AA134/AA$4</f>
        <v>1.6543990620587583E-3</v>
      </c>
      <c r="AK134" s="303">
        <f t="shared" ref="AK134:AK197" si="79">AB134/AB$4</f>
        <v>1.6289812452706977E-3</v>
      </c>
      <c r="AL134" s="303">
        <f t="shared" ref="AL134:AL197" si="80">AC134/AC$4</f>
        <v>1.6120383034613601E-3</v>
      </c>
      <c r="AM134" s="303">
        <f t="shared" ref="AM134:AM197" si="81">AD134/AD$4</f>
        <v>1.5965886241911436E-3</v>
      </c>
      <c r="AV134" s="41">
        <v>-23628.404999999999</v>
      </c>
      <c r="AW134" s="303">
        <f t="shared" si="58"/>
        <v>1.5815308941307569E-3</v>
      </c>
      <c r="AX134" s="41">
        <f t="shared" si="57"/>
        <v>-23186.566962131965</v>
      </c>
    </row>
    <row r="135" spans="1:50" x14ac:dyDescent="0.2">
      <c r="A135" s="30">
        <v>423</v>
      </c>
      <c r="B135" s="47" t="s">
        <v>458</v>
      </c>
      <c r="C135" s="295">
        <v>0.99528853911994108</v>
      </c>
      <c r="D135" s="295">
        <v>1.0452966802868904</v>
      </c>
      <c r="E135" s="295">
        <v>0.99692195508312764</v>
      </c>
      <c r="F135" s="295">
        <v>0.99876945903133763</v>
      </c>
      <c r="G135" s="295">
        <v>0.98683268466223151</v>
      </c>
      <c r="H135" s="295">
        <v>0.9966853814481681</v>
      </c>
      <c r="I135" s="295">
        <v>0.9950913550660393</v>
      </c>
      <c r="J135" s="295">
        <v>0.99200211062831611</v>
      </c>
      <c r="L135" s="41">
        <v>-48013.453719999998</v>
      </c>
      <c r="M135" s="41">
        <f t="shared" si="59"/>
        <v>-47787.240211081698</v>
      </c>
      <c r="N135" s="41">
        <f t="shared" si="60"/>
        <v>-49951.843552715894</v>
      </c>
      <c r="O135" s="41">
        <f t="shared" si="61"/>
        <v>-49798.089534580053</v>
      </c>
      <c r="P135" s="41">
        <f t="shared" si="62"/>
        <v>-49736.810945246638</v>
      </c>
      <c r="Q135" s="41">
        <f t="shared" si="63"/>
        <v>-49081.910671635596</v>
      </c>
      <c r="R135" s="41">
        <f t="shared" si="64"/>
        <v>-48919.222859964037</v>
      </c>
      <c r="S135" s="41">
        <f t="shared" si="65"/>
        <v>-48679.095764499179</v>
      </c>
      <c r="T135" s="41">
        <f t="shared" si="66"/>
        <v>-48289.765741861112</v>
      </c>
      <c r="V135" s="41">
        <f t="shared" ref="V135:V198" si="82">L135</f>
        <v>-48013.453719999998</v>
      </c>
      <c r="W135" s="41">
        <f t="shared" ref="W135:W198" si="83">M135*(1+W$2)</f>
        <v>-48790.772255514406</v>
      </c>
      <c r="X135" s="41">
        <f t="shared" si="67"/>
        <v>-51650.206233508237</v>
      </c>
      <c r="Y135" s="41">
        <f t="shared" si="68"/>
        <v>-51441.426489221187</v>
      </c>
      <c r="Z135" s="41">
        <f t="shared" si="69"/>
        <v>-51328.388895494529</v>
      </c>
      <c r="AA135" s="41">
        <f t="shared" si="70"/>
        <v>-50407.122259769756</v>
      </c>
      <c r="AB135" s="41">
        <f t="shared" si="71"/>
        <v>-48919.222859964037</v>
      </c>
      <c r="AC135" s="41">
        <f t="shared" si="72"/>
        <v>-48679.095764499179</v>
      </c>
      <c r="AD135" s="41">
        <f t="shared" si="73"/>
        <v>-48289.765741861112</v>
      </c>
      <c r="AF135" s="303">
        <f t="shared" si="74"/>
        <v>3.3746868569438436E-3</v>
      </c>
      <c r="AG135" s="303">
        <f t="shared" si="75"/>
        <v>3.3311250513305135E-3</v>
      </c>
      <c r="AH135" s="303">
        <f t="shared" si="76"/>
        <v>3.3375493259064242E-3</v>
      </c>
      <c r="AI135" s="303">
        <f t="shared" si="77"/>
        <v>3.3456996136961492E-3</v>
      </c>
      <c r="AJ135" s="303">
        <f t="shared" si="78"/>
        <v>3.3261787023297529E-3</v>
      </c>
      <c r="AK135" s="303">
        <f t="shared" si="79"/>
        <v>3.3401960792956683E-3</v>
      </c>
      <c r="AL135" s="303">
        <f t="shared" si="80"/>
        <v>3.347045454055056E-3</v>
      </c>
      <c r="AM135" s="303">
        <f t="shared" si="81"/>
        <v>3.3430084104686154E-3</v>
      </c>
      <c r="AV135" s="41">
        <v>-51219.983999999997</v>
      </c>
      <c r="AW135" s="303">
        <f t="shared" ref="AW135:AW198" si="84">AV135/AV$4</f>
        <v>3.4283307355229037E-3</v>
      </c>
      <c r="AX135" s="41">
        <f t="shared" ref="AX135:AX198" si="85">$AW$2*AW135</f>
        <v>-50262.198773693264</v>
      </c>
    </row>
    <row r="136" spans="1:50" x14ac:dyDescent="0.2">
      <c r="A136" s="30">
        <v>425</v>
      </c>
      <c r="B136" s="47" t="s">
        <v>459</v>
      </c>
      <c r="C136" s="295">
        <v>0.97590839206142277</v>
      </c>
      <c r="D136" s="295">
        <v>1.0237726544538626</v>
      </c>
      <c r="E136" s="295">
        <v>0.99328000097253144</v>
      </c>
      <c r="F136" s="295">
        <v>0.98531084342066322</v>
      </c>
      <c r="G136" s="295">
        <v>0.99223193689018285</v>
      </c>
      <c r="H136" s="295">
        <v>0.98318131859642888</v>
      </c>
      <c r="I136" s="295">
        <v>0.98901336208643231</v>
      </c>
      <c r="J136" s="295">
        <v>0.99426501776354792</v>
      </c>
      <c r="L136" s="41">
        <v>-38767.039640000003</v>
      </c>
      <c r="M136" s="41">
        <f t="shared" si="59"/>
        <v>-37833.079320053839</v>
      </c>
      <c r="N136" s="41">
        <f t="shared" si="60"/>
        <v>-38732.472041655055</v>
      </c>
      <c r="O136" s="41">
        <f t="shared" si="61"/>
        <v>-38472.189867203677</v>
      </c>
      <c r="P136" s="41">
        <f t="shared" si="62"/>
        <v>-37907.065846294347</v>
      </c>
      <c r="Q136" s="41">
        <f t="shared" si="63"/>
        <v>-37612.601366492338</v>
      </c>
      <c r="R136" s="41">
        <f t="shared" si="64"/>
        <v>-36980.007007349777</v>
      </c>
      <c r="S136" s="41">
        <f t="shared" si="65"/>
        <v>-36573.721060318829</v>
      </c>
      <c r="T136" s="41">
        <f t="shared" si="66"/>
        <v>-36363.971419716945</v>
      </c>
      <c r="V136" s="41">
        <f t="shared" si="82"/>
        <v>-38767.039640000003</v>
      </c>
      <c r="W136" s="41">
        <f t="shared" si="83"/>
        <v>-38627.573985774965</v>
      </c>
      <c r="X136" s="41">
        <f t="shared" si="67"/>
        <v>-40049.376091071332</v>
      </c>
      <c r="Y136" s="41">
        <f t="shared" si="68"/>
        <v>-39741.772132821396</v>
      </c>
      <c r="Z136" s="41">
        <f t="shared" si="69"/>
        <v>-39120.09195337577</v>
      </c>
      <c r="AA136" s="41">
        <f t="shared" si="70"/>
        <v>-38628.14160338763</v>
      </c>
      <c r="AB136" s="41">
        <f t="shared" si="71"/>
        <v>-36980.007007349777</v>
      </c>
      <c r="AC136" s="41">
        <f t="shared" si="72"/>
        <v>-36573.721060318829</v>
      </c>
      <c r="AD136" s="41">
        <f t="shared" si="73"/>
        <v>-36363.971419716945</v>
      </c>
      <c r="AF136" s="303">
        <f t="shared" si="74"/>
        <v>2.671734023039319E-3</v>
      </c>
      <c r="AG136" s="303">
        <f t="shared" si="75"/>
        <v>2.5829418644329675E-3</v>
      </c>
      <c r="AH136" s="303">
        <f t="shared" si="76"/>
        <v>2.5784690247658195E-3</v>
      </c>
      <c r="AI136" s="303">
        <f t="shared" si="77"/>
        <v>2.5499354129865513E-3</v>
      </c>
      <c r="AJ136" s="303">
        <f t="shared" si="78"/>
        <v>2.5489275354707124E-3</v>
      </c>
      <c r="AK136" s="303">
        <f t="shared" si="79"/>
        <v>2.5249884850351212E-3</v>
      </c>
      <c r="AL136" s="303">
        <f t="shared" si="80"/>
        <v>2.5147120111892493E-3</v>
      </c>
      <c r="AM136" s="303">
        <f t="shared" si="81"/>
        <v>2.5174084079014822E-3</v>
      </c>
      <c r="AV136" s="41">
        <v>-39211.135000000002</v>
      </c>
      <c r="AW136" s="303">
        <f t="shared" si="84"/>
        <v>2.6245369247916571E-3</v>
      </c>
      <c r="AX136" s="41">
        <f t="shared" si="85"/>
        <v>-38477.908573968336</v>
      </c>
    </row>
    <row r="137" spans="1:50" x14ac:dyDescent="0.2">
      <c r="A137" s="30">
        <v>426</v>
      </c>
      <c r="B137" s="47" t="s">
        <v>460</v>
      </c>
      <c r="C137" s="295">
        <v>0.98691996777925461</v>
      </c>
      <c r="D137" s="295">
        <v>1.0517049826487452</v>
      </c>
      <c r="E137" s="295">
        <v>0.98236471909801559</v>
      </c>
      <c r="F137" s="295">
        <v>0.98273902884637343</v>
      </c>
      <c r="G137" s="295">
        <v>0.97931588209090026</v>
      </c>
      <c r="H137" s="295">
        <v>0.97640315067584948</v>
      </c>
      <c r="I137" s="295">
        <v>0.97812564797084867</v>
      </c>
      <c r="J137" s="295">
        <v>0.97936715958863851</v>
      </c>
      <c r="L137" s="41">
        <v>-29982.023949999999</v>
      </c>
      <c r="M137" s="41">
        <f t="shared" si="59"/>
        <v>-29589.858110690839</v>
      </c>
      <c r="N137" s="41">
        <f t="shared" si="60"/>
        <v>-31119.801210882943</v>
      </c>
      <c r="O137" s="41">
        <f t="shared" si="61"/>
        <v>-30570.994774915107</v>
      </c>
      <c r="P137" s="41">
        <f t="shared" si="62"/>
        <v>-30043.309715967629</v>
      </c>
      <c r="Q137" s="41">
        <f t="shared" si="63"/>
        <v>-29421.890355422951</v>
      </c>
      <c r="R137" s="41">
        <f t="shared" si="64"/>
        <v>-28727.626441874359</v>
      </c>
      <c r="S137" s="41">
        <f t="shared" si="65"/>
        <v>-28099.228228122844</v>
      </c>
      <c r="T137" s="41">
        <f t="shared" si="66"/>
        <v>-27519.46133640956</v>
      </c>
      <c r="V137" s="41">
        <f t="shared" si="82"/>
        <v>-29982.023949999999</v>
      </c>
      <c r="W137" s="41">
        <f t="shared" si="83"/>
        <v>-30211.245131015345</v>
      </c>
      <c r="X137" s="41">
        <f t="shared" si="67"/>
        <v>-32177.874452052962</v>
      </c>
      <c r="Y137" s="41">
        <f t="shared" si="68"/>
        <v>-31579.837602487303</v>
      </c>
      <c r="Z137" s="41">
        <f t="shared" si="69"/>
        <v>-31004.695626878594</v>
      </c>
      <c r="AA137" s="41">
        <f t="shared" si="70"/>
        <v>-30216.281395019367</v>
      </c>
      <c r="AB137" s="41">
        <f t="shared" si="71"/>
        <v>-28727.626441874359</v>
      </c>
      <c r="AC137" s="41">
        <f t="shared" si="72"/>
        <v>-28099.228228122844</v>
      </c>
      <c r="AD137" s="41">
        <f t="shared" si="73"/>
        <v>-27519.46133640956</v>
      </c>
      <c r="AF137" s="303">
        <f t="shared" si="74"/>
        <v>2.0896060292225284E-3</v>
      </c>
      <c r="AG137" s="303">
        <f t="shared" si="75"/>
        <v>2.0752777481895675E-3</v>
      </c>
      <c r="AH137" s="303">
        <f t="shared" si="76"/>
        <v>2.0489180198861854E-3</v>
      </c>
      <c r="AI137" s="303">
        <f t="shared" si="77"/>
        <v>2.0209556624271865E-3</v>
      </c>
      <c r="AJ137" s="303">
        <f t="shared" si="78"/>
        <v>1.9938601359103902E-3</v>
      </c>
      <c r="AK137" s="303">
        <f t="shared" si="79"/>
        <v>1.9615173667681162E-3</v>
      </c>
      <c r="AL137" s="303">
        <f t="shared" si="80"/>
        <v>1.9320283712414941E-3</v>
      </c>
      <c r="AM137" s="303">
        <f t="shared" si="81"/>
        <v>1.9051198382483063E-3</v>
      </c>
      <c r="AV137" s="41">
        <v>-30179.965</v>
      </c>
      <c r="AW137" s="303">
        <f t="shared" si="84"/>
        <v>2.020049471442738E-3</v>
      </c>
      <c r="AX137" s="41">
        <f t="shared" si="85"/>
        <v>-29615.616432310984</v>
      </c>
    </row>
    <row r="138" spans="1:50" x14ac:dyDescent="0.2">
      <c r="A138" s="30">
        <v>430</v>
      </c>
      <c r="B138" s="47" t="s">
        <v>461</v>
      </c>
      <c r="C138" s="295">
        <v>0.97404624848254784</v>
      </c>
      <c r="D138" s="295">
        <v>1.0470487152166381</v>
      </c>
      <c r="E138" s="295">
        <v>0.98628179302797259</v>
      </c>
      <c r="F138" s="295">
        <v>0.98431065208225166</v>
      </c>
      <c r="G138" s="295">
        <v>0.9778611770932415</v>
      </c>
      <c r="H138" s="295">
        <v>0.97791542311931379</v>
      </c>
      <c r="I138" s="295">
        <v>0.9823056078936262</v>
      </c>
      <c r="J138" s="295">
        <v>0.9845507073569123</v>
      </c>
      <c r="L138" s="41">
        <v>-35595.083570000003</v>
      </c>
      <c r="M138" s="41">
        <f t="shared" si="59"/>
        <v>-34671.25761578128</v>
      </c>
      <c r="N138" s="41">
        <f t="shared" si="60"/>
        <v>-36302.495741548868</v>
      </c>
      <c r="O138" s="41">
        <f t="shared" si="61"/>
        <v>-35804.49059136516</v>
      </c>
      <c r="P138" s="41">
        <f t="shared" si="62"/>
        <v>-35242.741481459489</v>
      </c>
      <c r="Q138" s="41">
        <f t="shared" si="63"/>
        <v>-34462.508669052782</v>
      </c>
      <c r="R138" s="41">
        <f t="shared" si="64"/>
        <v>-33701.418746849769</v>
      </c>
      <c r="S138" s="41">
        <f t="shared" si="65"/>
        <v>-33105.092629001912</v>
      </c>
      <c r="T138" s="41">
        <f t="shared" si="66"/>
        <v>-32593.642364999938</v>
      </c>
      <c r="V138" s="41">
        <f t="shared" si="82"/>
        <v>-35595.083570000003</v>
      </c>
      <c r="W138" s="41">
        <f t="shared" si="83"/>
        <v>-35399.354025712681</v>
      </c>
      <c r="X138" s="41">
        <f t="shared" si="67"/>
        <v>-37536.780596761528</v>
      </c>
      <c r="Y138" s="41">
        <f t="shared" si="68"/>
        <v>-36986.038780880204</v>
      </c>
      <c r="Z138" s="41">
        <f t="shared" si="69"/>
        <v>-36370.509208866191</v>
      </c>
      <c r="AA138" s="41">
        <f t="shared" si="70"/>
        <v>-35392.996403117206</v>
      </c>
      <c r="AB138" s="41">
        <f t="shared" si="71"/>
        <v>-33701.418746849769</v>
      </c>
      <c r="AC138" s="41">
        <f t="shared" si="72"/>
        <v>-33105.092629001912</v>
      </c>
      <c r="AD138" s="41">
        <f t="shared" si="73"/>
        <v>-32593.642364999938</v>
      </c>
      <c r="AF138" s="303">
        <f t="shared" si="74"/>
        <v>2.4484493532764893E-3</v>
      </c>
      <c r="AG138" s="303">
        <f t="shared" si="75"/>
        <v>2.4208946935636738E-3</v>
      </c>
      <c r="AH138" s="303">
        <f t="shared" si="76"/>
        <v>2.399675460534541E-3</v>
      </c>
      <c r="AI138" s="303">
        <f t="shared" si="77"/>
        <v>2.3707114372474884E-3</v>
      </c>
      <c r="AJ138" s="303">
        <f t="shared" si="78"/>
        <v>2.3354523243957889E-3</v>
      </c>
      <c r="AK138" s="303">
        <f t="shared" si="79"/>
        <v>2.3011270454391655E-3</v>
      </c>
      <c r="AL138" s="303">
        <f t="shared" si="80"/>
        <v>2.2762183243095488E-3</v>
      </c>
      <c r="AM138" s="303">
        <f t="shared" si="81"/>
        <v>2.2563957161536971E-3</v>
      </c>
      <c r="AV138" s="41">
        <v>-35623.188999999998</v>
      </c>
      <c r="AW138" s="303">
        <f t="shared" si="84"/>
        <v>2.3843832857511518E-3</v>
      </c>
      <c r="AX138" s="41">
        <f t="shared" si="85"/>
        <v>-34957.055169537802</v>
      </c>
    </row>
    <row r="139" spans="1:50" x14ac:dyDescent="0.2">
      <c r="A139" s="30">
        <v>433</v>
      </c>
      <c r="B139" s="47" t="s">
        <v>462</v>
      </c>
      <c r="C139" s="295">
        <v>0.95759192120749859</v>
      </c>
      <c r="D139" s="295">
        <v>1.0299922455938144</v>
      </c>
      <c r="E139" s="295">
        <v>0.9702146429903783</v>
      </c>
      <c r="F139" s="295">
        <v>0.98904564258578431</v>
      </c>
      <c r="G139" s="295">
        <v>0.98013447318215785</v>
      </c>
      <c r="H139" s="295">
        <v>0.98155536570099322</v>
      </c>
      <c r="I139" s="295">
        <v>0.98034744977841992</v>
      </c>
      <c r="J139" s="295">
        <v>0.98404645890024556</v>
      </c>
      <c r="L139" s="41">
        <v>-21169.571960000001</v>
      </c>
      <c r="M139" s="41">
        <f t="shared" si="59"/>
        <v>-20271.811084316792</v>
      </c>
      <c r="N139" s="41">
        <f t="shared" si="60"/>
        <v>-20879.808220989031</v>
      </c>
      <c r="O139" s="41">
        <f t="shared" si="61"/>
        <v>-20257.895678834437</v>
      </c>
      <c r="P139" s="41">
        <f t="shared" si="62"/>
        <v>-20035.983449108589</v>
      </c>
      <c r="Q139" s="41">
        <f t="shared" si="63"/>
        <v>-19637.95808257848</v>
      </c>
      <c r="R139" s="41">
        <f t="shared" si="64"/>
        <v>-19275.743127366095</v>
      </c>
      <c r="S139" s="41">
        <f t="shared" si="65"/>
        <v>-18896.925617497254</v>
      </c>
      <c r="T139" s="41">
        <f t="shared" si="66"/>
        <v>-18595.452737999509</v>
      </c>
      <c r="V139" s="41">
        <f t="shared" si="82"/>
        <v>-21169.571960000001</v>
      </c>
      <c r="W139" s="41">
        <f t="shared" si="83"/>
        <v>-20697.519117087442</v>
      </c>
      <c r="X139" s="41">
        <f t="shared" si="67"/>
        <v>-21589.721700502658</v>
      </c>
      <c r="Y139" s="41">
        <f t="shared" si="68"/>
        <v>-20926.406236235973</v>
      </c>
      <c r="Z139" s="41">
        <f t="shared" si="69"/>
        <v>-20677.134919480064</v>
      </c>
      <c r="AA139" s="41">
        <f t="shared" si="70"/>
        <v>-20168.182950808095</v>
      </c>
      <c r="AB139" s="41">
        <f t="shared" si="71"/>
        <v>-19275.743127366095</v>
      </c>
      <c r="AC139" s="41">
        <f t="shared" si="72"/>
        <v>-18896.925617497254</v>
      </c>
      <c r="AD139" s="41">
        <f t="shared" si="73"/>
        <v>-18595.452737999509</v>
      </c>
      <c r="AF139" s="303">
        <f t="shared" si="74"/>
        <v>1.4315749168713895E-3</v>
      </c>
      <c r="AG139" s="303">
        <f t="shared" si="75"/>
        <v>1.3924061112681743E-3</v>
      </c>
      <c r="AH139" s="303">
        <f t="shared" si="76"/>
        <v>1.3577172678527478E-3</v>
      </c>
      <c r="AI139" s="303">
        <f t="shared" si="77"/>
        <v>1.3477820715023456E-3</v>
      </c>
      <c r="AJ139" s="303">
        <f t="shared" si="78"/>
        <v>1.3308234548673546E-3</v>
      </c>
      <c r="AK139" s="303">
        <f t="shared" si="79"/>
        <v>1.3161444081776646E-3</v>
      </c>
      <c r="AL139" s="303">
        <f t="shared" si="80"/>
        <v>1.2993024621831004E-3</v>
      </c>
      <c r="AM139" s="303">
        <f t="shared" si="81"/>
        <v>1.2873277379706781E-3</v>
      </c>
      <c r="AV139" s="41">
        <v>-21768.1</v>
      </c>
      <c r="AW139" s="303">
        <f t="shared" si="84"/>
        <v>1.4570142443608752E-3</v>
      </c>
      <c r="AX139" s="41">
        <f t="shared" si="85"/>
        <v>-21361.048631441048</v>
      </c>
    </row>
    <row r="140" spans="1:50" x14ac:dyDescent="0.2">
      <c r="A140" s="30">
        <v>434</v>
      </c>
      <c r="B140" s="47" t="s">
        <v>463</v>
      </c>
      <c r="C140" s="295">
        <v>0.97684619256779637</v>
      </c>
      <c r="D140" s="295">
        <v>1.0392649313326046</v>
      </c>
      <c r="E140" s="295">
        <v>0.98711327941655003</v>
      </c>
      <c r="F140" s="295">
        <v>0.98384836094211758</v>
      </c>
      <c r="G140" s="295">
        <v>0.9830793698092497</v>
      </c>
      <c r="H140" s="295">
        <v>0.97749028308158115</v>
      </c>
      <c r="I140" s="295">
        <v>0.98680204046002717</v>
      </c>
      <c r="J140" s="295">
        <v>0.98651320304839263</v>
      </c>
      <c r="L140" s="41">
        <v>-42938.769549999997</v>
      </c>
      <c r="M140" s="41">
        <f t="shared" si="59"/>
        <v>-41944.57354846353</v>
      </c>
      <c r="N140" s="41">
        <f t="shared" si="60"/>
        <v>-43591.524348619329</v>
      </c>
      <c r="O140" s="41">
        <f t="shared" si="61"/>
        <v>-43029.772554532014</v>
      </c>
      <c r="P140" s="41">
        <f t="shared" si="62"/>
        <v>-42334.771199488438</v>
      </c>
      <c r="Q140" s="41">
        <f t="shared" si="63"/>
        <v>-41618.440191811867</v>
      </c>
      <c r="R140" s="41">
        <f t="shared" si="64"/>
        <v>-40681.62088450804</v>
      </c>
      <c r="S140" s="41">
        <f t="shared" si="65"/>
        <v>-40144.706498053791</v>
      </c>
      <c r="T140" s="41">
        <f t="shared" si="66"/>
        <v>-39603.282992832668</v>
      </c>
      <c r="V140" s="41">
        <f t="shared" si="82"/>
        <v>-42938.769549999997</v>
      </c>
      <c r="W140" s="41">
        <f t="shared" si="83"/>
        <v>-42825.409592981261</v>
      </c>
      <c r="X140" s="41">
        <f t="shared" si="67"/>
        <v>-45073.636176472384</v>
      </c>
      <c r="Y140" s="41">
        <f t="shared" si="68"/>
        <v>-44449.755048831568</v>
      </c>
      <c r="Z140" s="41">
        <f t="shared" si="69"/>
        <v>-43689.483877872066</v>
      </c>
      <c r="AA140" s="41">
        <f t="shared" si="70"/>
        <v>-42742.138076990785</v>
      </c>
      <c r="AB140" s="41">
        <f t="shared" si="71"/>
        <v>-40681.62088450804</v>
      </c>
      <c r="AC140" s="41">
        <f t="shared" si="72"/>
        <v>-40144.706498053791</v>
      </c>
      <c r="AD140" s="41">
        <f t="shared" si="73"/>
        <v>-39603.282992832668</v>
      </c>
      <c r="AF140" s="303">
        <f t="shared" si="74"/>
        <v>2.9620836116267153E-3</v>
      </c>
      <c r="AG140" s="303">
        <f t="shared" si="75"/>
        <v>2.9069761685597455E-3</v>
      </c>
      <c r="AH140" s="303">
        <f t="shared" si="76"/>
        <v>2.8839256631232567E-3</v>
      </c>
      <c r="AI140" s="303">
        <f t="shared" si="77"/>
        <v>2.8477786363096096E-3</v>
      </c>
      <c r="AJ140" s="303">
        <f t="shared" si="78"/>
        <v>2.8203948765627017E-3</v>
      </c>
      <c r="AK140" s="303">
        <f t="shared" si="79"/>
        <v>2.7777340406001374E-3</v>
      </c>
      <c r="AL140" s="303">
        <f t="shared" si="80"/>
        <v>2.7602434942244E-3</v>
      </c>
      <c r="AM140" s="303">
        <f t="shared" si="81"/>
        <v>2.7416597718642353E-3</v>
      </c>
      <c r="AV140" s="41">
        <v>-45322.247000000003</v>
      </c>
      <c r="AW140" s="303">
        <f t="shared" si="84"/>
        <v>3.0335747936403247E-3</v>
      </c>
      <c r="AX140" s="41">
        <f t="shared" si="85"/>
        <v>-44474.746176891102</v>
      </c>
    </row>
    <row r="141" spans="1:50" x14ac:dyDescent="0.2">
      <c r="A141" s="30">
        <v>435</v>
      </c>
      <c r="B141" s="47" t="s">
        <v>464</v>
      </c>
      <c r="C141" s="295">
        <v>1.0009888378137695</v>
      </c>
      <c r="D141" s="295">
        <v>1.0140372546189358</v>
      </c>
      <c r="E141" s="295">
        <v>1.000334011983425</v>
      </c>
      <c r="F141" s="295">
        <v>0.9977595745309199</v>
      </c>
      <c r="G141" s="295">
        <v>0.99902395243795317</v>
      </c>
      <c r="H141" s="295">
        <v>1</v>
      </c>
      <c r="I141" s="295">
        <v>0.99706899651505376</v>
      </c>
      <c r="J141" s="295">
        <v>0.99804025365333082</v>
      </c>
      <c r="L141" s="41">
        <v>-2551.8312700000001</v>
      </c>
      <c r="M141" s="41">
        <f t="shared" si="59"/>
        <v>-2554.3546172541355</v>
      </c>
      <c r="N141" s="41">
        <f t="shared" si="60"/>
        <v>-2590.2107434035861</v>
      </c>
      <c r="O141" s="41">
        <f t="shared" si="61"/>
        <v>-2591.075904831479</v>
      </c>
      <c r="P141" s="41">
        <f t="shared" si="62"/>
        <v>-2585.2707923819748</v>
      </c>
      <c r="Q141" s="41">
        <f t="shared" si="63"/>
        <v>-2582.7474451278395</v>
      </c>
      <c r="R141" s="41">
        <f t="shared" si="64"/>
        <v>-2582.7474451278395</v>
      </c>
      <c r="S141" s="41">
        <f t="shared" si="65"/>
        <v>-2575.1774033654337</v>
      </c>
      <c r="T141" s="41">
        <f t="shared" si="66"/>
        <v>-2570.1307088571634</v>
      </c>
      <c r="V141" s="41">
        <f t="shared" si="82"/>
        <v>-2551.8312700000001</v>
      </c>
      <c r="W141" s="41">
        <f t="shared" si="83"/>
        <v>-2607.996064216472</v>
      </c>
      <c r="X141" s="41">
        <f t="shared" si="67"/>
        <v>-2678.277908679308</v>
      </c>
      <c r="Y141" s="41">
        <f t="shared" si="68"/>
        <v>-2676.5814096909176</v>
      </c>
      <c r="Z141" s="41">
        <f t="shared" si="69"/>
        <v>-2667.9994577381981</v>
      </c>
      <c r="AA141" s="41">
        <f t="shared" si="70"/>
        <v>-2652.4816261462911</v>
      </c>
      <c r="AB141" s="41">
        <f t="shared" si="71"/>
        <v>-2582.7474451278395</v>
      </c>
      <c r="AC141" s="41">
        <f t="shared" si="72"/>
        <v>-2575.1774033654337</v>
      </c>
      <c r="AD141" s="41">
        <f t="shared" si="73"/>
        <v>-2570.1307088571634</v>
      </c>
      <c r="AF141" s="303">
        <f t="shared" si="74"/>
        <v>1.8038595484370261E-4</v>
      </c>
      <c r="AG141" s="303">
        <f t="shared" si="75"/>
        <v>1.7273268175720802E-4</v>
      </c>
      <c r="AH141" s="303">
        <f t="shared" si="76"/>
        <v>1.7365814071115265E-4</v>
      </c>
      <c r="AI141" s="303">
        <f t="shared" si="77"/>
        <v>1.7390619396354662E-4</v>
      </c>
      <c r="AJ141" s="303">
        <f t="shared" si="78"/>
        <v>1.7502740679664188E-4</v>
      </c>
      <c r="AK141" s="303">
        <f t="shared" si="79"/>
        <v>1.7634954902538398E-4</v>
      </c>
      <c r="AL141" s="303">
        <f t="shared" si="80"/>
        <v>1.7706236498348101E-4</v>
      </c>
      <c r="AM141" s="303">
        <f t="shared" si="81"/>
        <v>1.779252486260254E-4</v>
      </c>
      <c r="AV141" s="41">
        <v>-2601.6480000000001</v>
      </c>
      <c r="AW141" s="303">
        <f t="shared" si="84"/>
        <v>1.7413730159329398E-4</v>
      </c>
      <c r="AX141" s="41">
        <f t="shared" si="85"/>
        <v>-2552.9986287223664</v>
      </c>
    </row>
    <row r="142" spans="1:50" x14ac:dyDescent="0.2">
      <c r="A142" s="30">
        <v>436</v>
      </c>
      <c r="B142" s="47" t="s">
        <v>465</v>
      </c>
      <c r="C142" s="295">
        <v>1.0131578601642186</v>
      </c>
      <c r="D142" s="295">
        <v>1.0275125724769221</v>
      </c>
      <c r="E142" s="295">
        <v>1.0011119875406287</v>
      </c>
      <c r="F142" s="295">
        <v>0.99313523654084357</v>
      </c>
      <c r="G142" s="295">
        <v>1.0056325784383722</v>
      </c>
      <c r="H142" s="295">
        <v>0.9936568235406773</v>
      </c>
      <c r="I142" s="295">
        <v>1.0057725823893342</v>
      </c>
      <c r="J142" s="295">
        <v>0.98559025534848754</v>
      </c>
      <c r="L142" s="41">
        <v>-6559.6830199999995</v>
      </c>
      <c r="M142" s="41">
        <f t="shared" si="59"/>
        <v>-6645.9944118987587</v>
      </c>
      <c r="N142" s="41">
        <f t="shared" si="60"/>
        <v>-6828.8428148373423</v>
      </c>
      <c r="O142" s="41">
        <f t="shared" si="61"/>
        <v>-6836.436402964353</v>
      </c>
      <c r="P142" s="41">
        <f t="shared" si="62"/>
        <v>-6789.5058841544369</v>
      </c>
      <c r="Q142" s="41">
        <f t="shared" si="63"/>
        <v>-6827.7483086047259</v>
      </c>
      <c r="R142" s="41">
        <f t="shared" si="64"/>
        <v>-6784.4386962634044</v>
      </c>
      <c r="S142" s="41">
        <f t="shared" si="65"/>
        <v>-6823.6024276029721</v>
      </c>
      <c r="T142" s="41">
        <f t="shared" si="66"/>
        <v>-6725.2760590177732</v>
      </c>
      <c r="V142" s="41">
        <f t="shared" si="82"/>
        <v>-6559.6830199999995</v>
      </c>
      <c r="W142" s="41">
        <f t="shared" si="83"/>
        <v>-6785.5602945486316</v>
      </c>
      <c r="X142" s="41">
        <f t="shared" si="67"/>
        <v>-7061.0234705418125</v>
      </c>
      <c r="Y142" s="41">
        <f t="shared" si="68"/>
        <v>-7062.0388042621762</v>
      </c>
      <c r="Z142" s="41">
        <f t="shared" si="69"/>
        <v>-7006.7700724473789</v>
      </c>
      <c r="AA142" s="41">
        <f t="shared" si="70"/>
        <v>-7012.0975129370527</v>
      </c>
      <c r="AB142" s="41">
        <f t="shared" si="71"/>
        <v>-6784.4386962634044</v>
      </c>
      <c r="AC142" s="41">
        <f t="shared" si="72"/>
        <v>-6823.6024276029721</v>
      </c>
      <c r="AD142" s="41">
        <f t="shared" si="73"/>
        <v>-6725.2760590177732</v>
      </c>
      <c r="AF142" s="303">
        <f t="shared" si="74"/>
        <v>4.6933344328086888E-4</v>
      </c>
      <c r="AG142" s="303">
        <f t="shared" si="75"/>
        <v>4.553931898048286E-4</v>
      </c>
      <c r="AH142" s="303">
        <f t="shared" si="76"/>
        <v>4.5818913780761836E-4</v>
      </c>
      <c r="AI142" s="303">
        <f t="shared" si="77"/>
        <v>4.5671700260014708E-4</v>
      </c>
      <c r="AJ142" s="303">
        <f t="shared" si="78"/>
        <v>4.627022603273125E-4</v>
      </c>
      <c r="AK142" s="303">
        <f t="shared" si="79"/>
        <v>4.6324030122782487E-4</v>
      </c>
      <c r="AL142" s="303">
        <f t="shared" si="80"/>
        <v>4.6917279639042904E-4</v>
      </c>
      <c r="AM142" s="303">
        <f t="shared" si="81"/>
        <v>4.6557803879611754E-4</v>
      </c>
      <c r="AV142" s="41">
        <v>-6520.9273700000003</v>
      </c>
      <c r="AW142" s="303">
        <f t="shared" si="84"/>
        <v>4.364682294059978E-4</v>
      </c>
      <c r="AX142" s="41">
        <f t="shared" si="85"/>
        <v>-6398.9896533305609</v>
      </c>
    </row>
    <row r="143" spans="1:50" x14ac:dyDescent="0.2">
      <c r="A143" s="30">
        <v>440</v>
      </c>
      <c r="B143" s="47" t="s">
        <v>466</v>
      </c>
      <c r="C143" s="295">
        <v>1.0103261757715549</v>
      </c>
      <c r="D143" s="295">
        <v>1.0142794860388875</v>
      </c>
      <c r="E143" s="295">
        <v>1.012707117179509</v>
      </c>
      <c r="F143" s="295">
        <v>1.0104951268258842</v>
      </c>
      <c r="G143" s="295">
        <v>0.99911443578645021</v>
      </c>
      <c r="H143" s="295">
        <v>1.0068190809657747</v>
      </c>
      <c r="I143" s="295">
        <v>0.99904872075537343</v>
      </c>
      <c r="J143" s="295">
        <v>1.004130544235768</v>
      </c>
      <c r="L143" s="41">
        <v>-18228.76182</v>
      </c>
      <c r="M143" s="41">
        <f t="shared" si="59"/>
        <v>-18416.995218651129</v>
      </c>
      <c r="N143" s="41">
        <f t="shared" si="60"/>
        <v>-18679.980444754117</v>
      </c>
      <c r="O143" s="41">
        <f t="shared" si="61"/>
        <v>-18917.349145176544</v>
      </c>
      <c r="P143" s="41">
        <f t="shared" si="62"/>
        <v>-19115.889123664703</v>
      </c>
      <c r="Q143" s="41">
        <f t="shared" si="63"/>
        <v>-19098.960776346601</v>
      </c>
      <c r="R143" s="41">
        <f t="shared" si="64"/>
        <v>-19229.198136242663</v>
      </c>
      <c r="S143" s="41">
        <f t="shared" si="65"/>
        <v>-19210.905799164844</v>
      </c>
      <c r="T143" s="41">
        <f t="shared" si="66"/>
        <v>-19290.257295377465</v>
      </c>
      <c r="V143" s="41">
        <f t="shared" si="82"/>
        <v>-18228.76182</v>
      </c>
      <c r="W143" s="41">
        <f t="shared" si="83"/>
        <v>-18803.752118242803</v>
      </c>
      <c r="X143" s="41">
        <f t="shared" si="67"/>
        <v>-19315.099779875756</v>
      </c>
      <c r="Y143" s="41">
        <f t="shared" si="68"/>
        <v>-19541.621666967367</v>
      </c>
      <c r="Z143" s="41">
        <f t="shared" si="69"/>
        <v>-19727.597575621974</v>
      </c>
      <c r="AA143" s="41">
        <f t="shared" si="70"/>
        <v>-19614.632717307959</v>
      </c>
      <c r="AB143" s="41">
        <f t="shared" si="71"/>
        <v>-19229.198136242663</v>
      </c>
      <c r="AC143" s="41">
        <f t="shared" si="72"/>
        <v>-19210.905799164844</v>
      </c>
      <c r="AD143" s="41">
        <f t="shared" si="73"/>
        <v>-19290.257295377465</v>
      </c>
      <c r="AF143" s="303">
        <f t="shared" si="74"/>
        <v>1.3005896853270644E-3</v>
      </c>
      <c r="AG143" s="303">
        <f t="shared" si="75"/>
        <v>1.2457067926275032E-3</v>
      </c>
      <c r="AH143" s="303">
        <f t="shared" si="76"/>
        <v>1.2678716488426203E-3</v>
      </c>
      <c r="AI143" s="303">
        <f t="shared" si="77"/>
        <v>1.2858890958431205E-3</v>
      </c>
      <c r="AJ143" s="303">
        <f t="shared" si="78"/>
        <v>1.2942967317616538E-3</v>
      </c>
      <c r="AK143" s="303">
        <f t="shared" si="79"/>
        <v>1.3129663242308614E-3</v>
      </c>
      <c r="AL143" s="303">
        <f t="shared" si="80"/>
        <v>1.3208909063234348E-3</v>
      </c>
      <c r="AM143" s="303">
        <f t="shared" si="81"/>
        <v>1.3354277327265629E-3</v>
      </c>
      <c r="AV143" s="41">
        <v>-19720.677</v>
      </c>
      <c r="AW143" s="303">
        <f t="shared" si="84"/>
        <v>1.3199731394765686E-3</v>
      </c>
      <c r="AX143" s="41">
        <f t="shared" si="85"/>
        <v>-19351.911303326473</v>
      </c>
    </row>
    <row r="144" spans="1:50" x14ac:dyDescent="0.2">
      <c r="A144" s="30">
        <v>441</v>
      </c>
      <c r="B144" s="47" t="s">
        <v>467</v>
      </c>
      <c r="C144" s="295">
        <v>0.98343664627477911</v>
      </c>
      <c r="D144" s="295">
        <v>1.0831647112571006</v>
      </c>
      <c r="E144" s="295">
        <v>0.99094392035874124</v>
      </c>
      <c r="F144" s="295">
        <v>0.99953867234265859</v>
      </c>
      <c r="G144" s="295">
        <v>0.98834567687101449</v>
      </c>
      <c r="H144" s="295">
        <v>0.99790838931293169</v>
      </c>
      <c r="I144" s="295">
        <v>0.9938694070679901</v>
      </c>
      <c r="J144" s="295">
        <v>0.99809192622653653</v>
      </c>
      <c r="L144" s="41">
        <v>-10564.022000000001</v>
      </c>
      <c r="M144" s="41">
        <f t="shared" si="59"/>
        <v>-10389.046366852985</v>
      </c>
      <c r="N144" s="41">
        <f t="shared" si="60"/>
        <v>-11253.048408188943</v>
      </c>
      <c r="O144" s="41">
        <f t="shared" si="61"/>
        <v>-11151.139905597443</v>
      </c>
      <c r="P144" s="41">
        <f t="shared" si="62"/>
        <v>-11145.995576348108</v>
      </c>
      <c r="Q144" s="41">
        <f t="shared" si="63"/>
        <v>-11016.096542307105</v>
      </c>
      <c r="R144" s="41">
        <f t="shared" si="64"/>
        <v>-10993.055157049439</v>
      </c>
      <c r="S144" s="41">
        <f t="shared" si="65"/>
        <v>-10925.661210802436</v>
      </c>
      <c r="T144" s="41">
        <f t="shared" si="66"/>
        <v>-10904.814243188357</v>
      </c>
      <c r="V144" s="41">
        <f t="shared" si="82"/>
        <v>-10564.022000000001</v>
      </c>
      <c r="W144" s="41">
        <f t="shared" si="83"/>
        <v>-10607.216340556897</v>
      </c>
      <c r="X144" s="41">
        <f t="shared" si="67"/>
        <v>-11635.652054067366</v>
      </c>
      <c r="Y144" s="41">
        <f t="shared" si="68"/>
        <v>-11519.127522482158</v>
      </c>
      <c r="Z144" s="41">
        <f t="shared" si="69"/>
        <v>-11502.667434791249</v>
      </c>
      <c r="AA144" s="41">
        <f t="shared" si="70"/>
        <v>-11313.531148949396</v>
      </c>
      <c r="AB144" s="41">
        <f t="shared" si="71"/>
        <v>-10993.055157049439</v>
      </c>
      <c r="AC144" s="41">
        <f t="shared" si="72"/>
        <v>-10925.661210802436</v>
      </c>
      <c r="AD144" s="41">
        <f t="shared" si="73"/>
        <v>-10904.814243188357</v>
      </c>
      <c r="AF144" s="303">
        <f t="shared" si="74"/>
        <v>7.3366400896004698E-4</v>
      </c>
      <c r="AG144" s="303">
        <f t="shared" si="75"/>
        <v>7.504289890080555E-4</v>
      </c>
      <c r="AH144" s="303">
        <f t="shared" si="76"/>
        <v>7.4736761636550267E-4</v>
      </c>
      <c r="AI144" s="303">
        <f t="shared" si="77"/>
        <v>7.4976968537647634E-4</v>
      </c>
      <c r="AJ144" s="303">
        <f t="shared" si="78"/>
        <v>7.4653788331442087E-4</v>
      </c>
      <c r="AK144" s="303">
        <f t="shared" si="79"/>
        <v>7.5060390554790909E-4</v>
      </c>
      <c r="AL144" s="303">
        <f t="shared" si="80"/>
        <v>7.5121947344861854E-4</v>
      </c>
      <c r="AM144" s="303">
        <f t="shared" si="81"/>
        <v>7.5491949835604312E-4</v>
      </c>
      <c r="AV144" s="41">
        <v>-11478.528</v>
      </c>
      <c r="AW144" s="303">
        <f t="shared" si="84"/>
        <v>7.6829759144321963E-4</v>
      </c>
      <c r="AX144" s="41">
        <f t="shared" si="85"/>
        <v>-11263.885907605982</v>
      </c>
    </row>
    <row r="145" spans="1:50" x14ac:dyDescent="0.2">
      <c r="A145" s="30">
        <v>444</v>
      </c>
      <c r="B145" s="47" t="s">
        <v>468</v>
      </c>
      <c r="C145" s="295">
        <v>0.97731589832810528</v>
      </c>
      <c r="D145" s="295">
        <v>1.0349298360699259</v>
      </c>
      <c r="E145" s="295">
        <v>0.98438736685732975</v>
      </c>
      <c r="F145" s="295">
        <v>0.98181079864116538</v>
      </c>
      <c r="G145" s="295">
        <v>0.97788801021161165</v>
      </c>
      <c r="H145" s="295">
        <v>0.98180215276753102</v>
      </c>
      <c r="I145" s="295">
        <v>0.98678916809980632</v>
      </c>
      <c r="J145" s="295">
        <v>0.98484073502746416</v>
      </c>
      <c r="L145" s="41">
        <v>-113468.15648999999</v>
      </c>
      <c r="M145" s="41">
        <f t="shared" si="59"/>
        <v>-110894.23329165837</v>
      </c>
      <c r="N145" s="41">
        <f t="shared" si="60"/>
        <v>-114767.75068163613</v>
      </c>
      <c r="O145" s="41">
        <f t="shared" si="61"/>
        <v>-112975.9238936343</v>
      </c>
      <c r="P145" s="41">
        <f t="shared" si="62"/>
        <v>-110920.98206523262</v>
      </c>
      <c r="Q145" s="41">
        <f t="shared" si="63"/>
        <v>-108468.29844248819</v>
      </c>
      <c r="R145" s="41">
        <f t="shared" si="64"/>
        <v>-106494.40891786593</v>
      </c>
      <c r="S145" s="41">
        <f t="shared" si="65"/>
        <v>-105087.52918334152</v>
      </c>
      <c r="T145" s="41">
        <f t="shared" si="66"/>
        <v>-103494.47948314216</v>
      </c>
      <c r="V145" s="41">
        <f t="shared" si="82"/>
        <v>-113468.15648999999</v>
      </c>
      <c r="W145" s="41">
        <f t="shared" si="83"/>
        <v>-113223.01219078318</v>
      </c>
      <c r="X145" s="41">
        <f t="shared" si="67"/>
        <v>-118669.85420481175</v>
      </c>
      <c r="Y145" s="41">
        <f t="shared" si="68"/>
        <v>-116704.12938212423</v>
      </c>
      <c r="Z145" s="41">
        <f t="shared" si="69"/>
        <v>-114470.45349132006</v>
      </c>
      <c r="AA145" s="41">
        <f t="shared" si="70"/>
        <v>-111396.94250043535</v>
      </c>
      <c r="AB145" s="41">
        <f t="shared" si="71"/>
        <v>-106494.40891786593</v>
      </c>
      <c r="AC145" s="41">
        <f t="shared" si="72"/>
        <v>-105087.52918334152</v>
      </c>
      <c r="AD145" s="41">
        <f t="shared" si="73"/>
        <v>-103494.47948314216</v>
      </c>
      <c r="AF145" s="303">
        <f t="shared" si="74"/>
        <v>7.8312392585801697E-3</v>
      </c>
      <c r="AG145" s="303">
        <f t="shared" si="75"/>
        <v>7.6534858813967965E-3</v>
      </c>
      <c r="AH145" s="303">
        <f t="shared" si="76"/>
        <v>7.5718310111680155E-3</v>
      </c>
      <c r="AI145" s="303">
        <f t="shared" si="77"/>
        <v>7.4614411296893418E-3</v>
      </c>
      <c r="AJ145" s="303">
        <f t="shared" si="78"/>
        <v>7.350670322739678E-3</v>
      </c>
      <c r="AK145" s="303">
        <f t="shared" si="79"/>
        <v>7.2714198292279852E-3</v>
      </c>
      <c r="AL145" s="303">
        <f t="shared" si="80"/>
        <v>7.2255396553091659E-3</v>
      </c>
      <c r="AM145" s="303">
        <f t="shared" si="81"/>
        <v>7.164725486528762E-3</v>
      </c>
      <c r="AV145" s="41">
        <v>-117830</v>
      </c>
      <c r="AW145" s="303">
        <f t="shared" si="84"/>
        <v>7.886769557887089E-3</v>
      </c>
      <c r="AX145" s="41">
        <f t="shared" si="85"/>
        <v>-115626.64450469718</v>
      </c>
    </row>
    <row r="146" spans="1:50" x14ac:dyDescent="0.2">
      <c r="A146" s="30">
        <v>445</v>
      </c>
      <c r="B146" s="47" t="s">
        <v>469</v>
      </c>
      <c r="C146" s="295">
        <v>0.97744882926602739</v>
      </c>
      <c r="D146" s="295">
        <v>1.0180328382529564</v>
      </c>
      <c r="E146" s="295">
        <v>0.9778574801253791</v>
      </c>
      <c r="F146" s="295">
        <v>0.98157475574338626</v>
      </c>
      <c r="G146" s="295">
        <v>0.98123372721128976</v>
      </c>
      <c r="H146" s="295">
        <v>0.98004950248363976</v>
      </c>
      <c r="I146" s="295">
        <v>0.97875137520011524</v>
      </c>
      <c r="J146" s="295">
        <v>0.9845468061413325</v>
      </c>
      <c r="L146" s="41">
        <v>-44218.546860000002</v>
      </c>
      <c r="M146" s="41">
        <f t="shared" si="59"/>
        <v>-43221.366860151975</v>
      </c>
      <c r="N146" s="41">
        <f t="shared" si="60"/>
        <v>-44000.770777812788</v>
      </c>
      <c r="O146" s="41">
        <f t="shared" si="61"/>
        <v>-43026.482836366427</v>
      </c>
      <c r="P146" s="41">
        <f t="shared" si="62"/>
        <v>-42233.709380603381</v>
      </c>
      <c r="Q146" s="41">
        <f t="shared" si="63"/>
        <v>-41441.140069487868</v>
      </c>
      <c r="R146" s="41">
        <f t="shared" si="64"/>
        <v>-40614.368707456415</v>
      </c>
      <c r="S146" s="41">
        <f t="shared" si="65"/>
        <v>-39751.369225307491</v>
      </c>
      <c r="T146" s="41">
        <f t="shared" si="66"/>
        <v>-39137.083610521346</v>
      </c>
      <c r="V146" s="41">
        <f t="shared" si="82"/>
        <v>-44218.546860000002</v>
      </c>
      <c r="W146" s="41">
        <f t="shared" si="83"/>
        <v>-44129.015564215166</v>
      </c>
      <c r="X146" s="41">
        <f t="shared" si="67"/>
        <v>-45496.796984258421</v>
      </c>
      <c r="Y146" s="41">
        <f t="shared" si="68"/>
        <v>-44446.356769966515</v>
      </c>
      <c r="Z146" s="41">
        <f t="shared" si="69"/>
        <v>-43585.188080782689</v>
      </c>
      <c r="AA146" s="41">
        <f t="shared" si="70"/>
        <v>-42560.050851364038</v>
      </c>
      <c r="AB146" s="41">
        <f t="shared" si="71"/>
        <v>-40614.368707456415</v>
      </c>
      <c r="AC146" s="41">
        <f t="shared" si="72"/>
        <v>-39751.369225307491</v>
      </c>
      <c r="AD146" s="41">
        <f t="shared" si="73"/>
        <v>-39137.083610521346</v>
      </c>
      <c r="AF146" s="303">
        <f t="shared" si="74"/>
        <v>3.0522494715708435E-3</v>
      </c>
      <c r="AG146" s="303">
        <f t="shared" si="75"/>
        <v>2.9342674742553043E-3</v>
      </c>
      <c r="AH146" s="303">
        <f t="shared" si="76"/>
        <v>2.8837051808367153E-3</v>
      </c>
      <c r="AI146" s="303">
        <f t="shared" si="77"/>
        <v>2.8409804021249652E-3</v>
      </c>
      <c r="AJ146" s="303">
        <f t="shared" si="78"/>
        <v>2.808379617117324E-3</v>
      </c>
      <c r="AK146" s="303">
        <f t="shared" si="79"/>
        <v>2.7731420735781966E-3</v>
      </c>
      <c r="AL146" s="303">
        <f t="shared" si="80"/>
        <v>2.7331986670767268E-3</v>
      </c>
      <c r="AM146" s="303">
        <f t="shared" si="81"/>
        <v>2.7093856775074056E-3</v>
      </c>
      <c r="AV146" s="41">
        <v>-45767.451999999997</v>
      </c>
      <c r="AW146" s="303">
        <f t="shared" si="84"/>
        <v>3.0633739045714888E-3</v>
      </c>
      <c r="AX146" s="41">
        <f t="shared" si="85"/>
        <v>-44911.626090891892</v>
      </c>
    </row>
    <row r="147" spans="1:50" x14ac:dyDescent="0.2">
      <c r="A147" s="30">
        <v>475</v>
      </c>
      <c r="B147" s="47" t="s">
        <v>470</v>
      </c>
      <c r="C147" s="295">
        <v>0.98799856013477272</v>
      </c>
      <c r="D147" s="295">
        <v>1.0104533441883325</v>
      </c>
      <c r="E147" s="295">
        <v>0.98020677492548203</v>
      </c>
      <c r="F147" s="295">
        <v>1.0015326962122082</v>
      </c>
      <c r="G147" s="295">
        <v>0.99012509105814084</v>
      </c>
      <c r="H147" s="295">
        <v>0.99700987818101383</v>
      </c>
      <c r="I147" s="295">
        <v>0.9917314380651493</v>
      </c>
      <c r="J147" s="295">
        <v>0.99223753249093705</v>
      </c>
      <c r="L147" s="41">
        <v>-15071.788550000001</v>
      </c>
      <c r="M147" s="41">
        <f t="shared" si="59"/>
        <v>-14890.905386055754</v>
      </c>
      <c r="N147" s="41">
        <f t="shared" si="60"/>
        <v>-15046.56514533209</v>
      </c>
      <c r="O147" s="41">
        <f t="shared" si="61"/>
        <v>-14748.745094812135</v>
      </c>
      <c r="P147" s="41">
        <f t="shared" si="62"/>
        <v>-14771.350440553777</v>
      </c>
      <c r="Q147" s="41">
        <f t="shared" si="63"/>
        <v>-14625.484700005018</v>
      </c>
      <c r="R147" s="41">
        <f t="shared" si="64"/>
        <v>-14581.752719090284</v>
      </c>
      <c r="S147" s="41">
        <f t="shared" si="65"/>
        <v>-14461.182593613808</v>
      </c>
      <c r="T147" s="41">
        <f t="shared" si="66"/>
        <v>-14348.928133588255</v>
      </c>
      <c r="V147" s="41">
        <f t="shared" si="82"/>
        <v>-15071.788550000001</v>
      </c>
      <c r="W147" s="41">
        <f t="shared" si="83"/>
        <v>-15203.614399162923</v>
      </c>
      <c r="X147" s="41">
        <f t="shared" si="67"/>
        <v>-15558.148360273381</v>
      </c>
      <c r="Y147" s="41">
        <f t="shared" si="68"/>
        <v>-15235.453682940934</v>
      </c>
      <c r="Z147" s="41">
        <f t="shared" si="69"/>
        <v>-15244.033654651499</v>
      </c>
      <c r="AA147" s="41">
        <f t="shared" si="70"/>
        <v>-15020.372786905153</v>
      </c>
      <c r="AB147" s="41">
        <f t="shared" si="71"/>
        <v>-14581.752719090284</v>
      </c>
      <c r="AC147" s="41">
        <f t="shared" si="72"/>
        <v>-14461.182593613808</v>
      </c>
      <c r="AD147" s="41">
        <f t="shared" si="73"/>
        <v>-14348.928133588255</v>
      </c>
      <c r="AF147" s="303">
        <f t="shared" si="74"/>
        <v>1.0515807665884699E-3</v>
      </c>
      <c r="AG147" s="303">
        <f t="shared" si="75"/>
        <v>1.00340621140833E-3</v>
      </c>
      <c r="AH147" s="303">
        <f t="shared" si="76"/>
        <v>9.8848499428826606E-4</v>
      </c>
      <c r="AI147" s="303">
        <f t="shared" si="77"/>
        <v>9.936403344624643E-4</v>
      </c>
      <c r="AJ147" s="303">
        <f t="shared" si="78"/>
        <v>9.9113858964988092E-4</v>
      </c>
      <c r="AK147" s="303">
        <f t="shared" si="79"/>
        <v>9.9563955463866744E-4</v>
      </c>
      <c r="AL147" s="303">
        <f t="shared" si="80"/>
        <v>9.9431254217162575E-4</v>
      </c>
      <c r="AM147" s="303">
        <f t="shared" si="81"/>
        <v>9.9334893625736896E-4</v>
      </c>
      <c r="AV147" s="41">
        <v>-15825.99</v>
      </c>
      <c r="AW147" s="303">
        <f t="shared" si="84"/>
        <v>1.0592882640704871E-3</v>
      </c>
      <c r="AX147" s="41">
        <f t="shared" si="85"/>
        <v>-15530.052785070802</v>
      </c>
    </row>
    <row r="148" spans="1:50" x14ac:dyDescent="0.2">
      <c r="A148" s="30">
        <v>480</v>
      </c>
      <c r="B148" s="47" t="s">
        <v>471</v>
      </c>
      <c r="C148" s="295">
        <v>1.0002004693129642</v>
      </c>
      <c r="D148" s="295">
        <v>1.0605235639203381</v>
      </c>
      <c r="E148" s="295">
        <v>1.0089859655462674</v>
      </c>
      <c r="F148" s="295">
        <v>0.99222734396007783</v>
      </c>
      <c r="G148" s="295">
        <v>0.98693420240848784</v>
      </c>
      <c r="H148" s="295">
        <v>1.0108757419987724</v>
      </c>
      <c r="I148" s="295">
        <v>0.99909351081096243</v>
      </c>
      <c r="J148" s="295">
        <v>0.99883788398817341</v>
      </c>
      <c r="L148" s="41">
        <v>-4840.9631100000006</v>
      </c>
      <c r="M148" s="41">
        <f t="shared" si="59"/>
        <v>-4841.9335745487479</v>
      </c>
      <c r="N148" s="41">
        <f t="shared" si="60"/>
        <v>-5134.9846507459797</v>
      </c>
      <c r="O148" s="41">
        <f t="shared" si="61"/>
        <v>-5181.1274458981952</v>
      </c>
      <c r="P148" s="41">
        <f t="shared" si="62"/>
        <v>-5140.8563243622284</v>
      </c>
      <c r="Q148" s="41">
        <f t="shared" si="63"/>
        <v>-5073.6869361810659</v>
      </c>
      <c r="R148" s="41">
        <f t="shared" si="64"/>
        <v>-5128.8670462815135</v>
      </c>
      <c r="S148" s="41">
        <f t="shared" si="65"/>
        <v>-5124.2177837520485</v>
      </c>
      <c r="T148" s="41">
        <f t="shared" si="66"/>
        <v>-5118.2628482174641</v>
      </c>
      <c r="V148" s="41">
        <f t="shared" si="82"/>
        <v>-4840.9631100000006</v>
      </c>
      <c r="W148" s="41">
        <f t="shared" si="83"/>
        <v>-4943.6141796142711</v>
      </c>
      <c r="X148" s="41">
        <f t="shared" si="67"/>
        <v>-5309.5741288713434</v>
      </c>
      <c r="Y148" s="41">
        <f t="shared" si="68"/>
        <v>-5352.1046516128354</v>
      </c>
      <c r="Z148" s="41">
        <f t="shared" si="69"/>
        <v>-5305.3637267418198</v>
      </c>
      <c r="AA148" s="41">
        <f t="shared" si="70"/>
        <v>-5210.6764834579544</v>
      </c>
      <c r="AB148" s="41">
        <f t="shared" si="71"/>
        <v>-5128.8670462815135</v>
      </c>
      <c r="AC148" s="41">
        <f t="shared" si="72"/>
        <v>-5124.2177837520485</v>
      </c>
      <c r="AD148" s="41">
        <f t="shared" si="73"/>
        <v>-5118.2628482174641</v>
      </c>
      <c r="AF148" s="303">
        <f t="shared" si="74"/>
        <v>3.4193248080552666E-4</v>
      </c>
      <c r="AG148" s="303">
        <f t="shared" si="75"/>
        <v>3.424353295438599E-4</v>
      </c>
      <c r="AH148" s="303">
        <f t="shared" si="76"/>
        <v>3.4724762688907886E-4</v>
      </c>
      <c r="AI148" s="303">
        <f t="shared" si="77"/>
        <v>3.4581551755340077E-4</v>
      </c>
      <c r="AJ148" s="303">
        <f t="shared" si="78"/>
        <v>3.4383318005520879E-4</v>
      </c>
      <c r="AK148" s="303">
        <f t="shared" si="79"/>
        <v>3.5019815519675364E-4</v>
      </c>
      <c r="AL148" s="303">
        <f t="shared" si="80"/>
        <v>3.5232761762192153E-4</v>
      </c>
      <c r="AM148" s="303">
        <f t="shared" si="81"/>
        <v>3.5432757822942776E-4</v>
      </c>
      <c r="AV148" s="41">
        <v>-5261</v>
      </c>
      <c r="AW148" s="303">
        <f t="shared" si="84"/>
        <v>3.5213693154582005E-4</v>
      </c>
      <c r="AX148" s="41">
        <f t="shared" si="85"/>
        <v>-5162.6222247238557</v>
      </c>
    </row>
    <row r="149" spans="1:50" x14ac:dyDescent="0.2">
      <c r="A149" s="30">
        <v>481</v>
      </c>
      <c r="B149" s="47" t="s">
        <v>472</v>
      </c>
      <c r="C149" s="295">
        <v>0.98967495213829704</v>
      </c>
      <c r="D149" s="295">
        <v>1.0096331804762735</v>
      </c>
      <c r="E149" s="295">
        <v>0.98557921986215802</v>
      </c>
      <c r="F149" s="295">
        <v>0.98144032732634223</v>
      </c>
      <c r="G149" s="295">
        <v>0.98989769407832828</v>
      </c>
      <c r="H149" s="295">
        <v>0.98748778581298358</v>
      </c>
      <c r="I149" s="295">
        <v>0.99277401351291561</v>
      </c>
      <c r="J149" s="295">
        <v>0.99100822219676887</v>
      </c>
      <c r="L149" s="41">
        <v>-27253.917899999997</v>
      </c>
      <c r="M149" s="41">
        <f t="shared" si="59"/>
        <v>-26972.519893263572</v>
      </c>
      <c r="N149" s="41">
        <f t="shared" si="60"/>
        <v>-27232.351045295258</v>
      </c>
      <c r="O149" s="41">
        <f t="shared" si="61"/>
        <v>-26839.639298234524</v>
      </c>
      <c r="P149" s="41">
        <f t="shared" si="62"/>
        <v>-26341.504378180249</v>
      </c>
      <c r="Q149" s="41">
        <f t="shared" si="63"/>
        <v>-26075.394442514818</v>
      </c>
      <c r="R149" s="41">
        <f t="shared" si="64"/>
        <v>-25749.133522239135</v>
      </c>
      <c r="S149" s="41">
        <f t="shared" si="65"/>
        <v>-25563.070631353305</v>
      </c>
      <c r="T149" s="41">
        <f t="shared" si="66"/>
        <v>-25333.213180267874</v>
      </c>
      <c r="V149" s="41">
        <f t="shared" si="82"/>
        <v>-27253.917899999997</v>
      </c>
      <c r="W149" s="41">
        <f t="shared" si="83"/>
        <v>-27538.942811022105</v>
      </c>
      <c r="X149" s="41">
        <f t="shared" si="67"/>
        <v>-28158.250980835299</v>
      </c>
      <c r="Y149" s="41">
        <f t="shared" si="68"/>
        <v>-27725.34739507626</v>
      </c>
      <c r="Z149" s="41">
        <f t="shared" si="69"/>
        <v>-27184.432518282018</v>
      </c>
      <c r="AA149" s="41">
        <f t="shared" si="70"/>
        <v>-26779.430092462717</v>
      </c>
      <c r="AB149" s="41">
        <f t="shared" si="71"/>
        <v>-25749.133522239135</v>
      </c>
      <c r="AC149" s="41">
        <f t="shared" si="72"/>
        <v>-25563.070631353305</v>
      </c>
      <c r="AD149" s="41">
        <f t="shared" si="73"/>
        <v>-25333.213180267874</v>
      </c>
      <c r="AF149" s="303">
        <f t="shared" si="74"/>
        <v>1.9047722358602503E-3</v>
      </c>
      <c r="AG149" s="303">
        <f t="shared" si="75"/>
        <v>1.8160364127076862E-3</v>
      </c>
      <c r="AH149" s="303">
        <f t="shared" si="76"/>
        <v>1.7988364791623251E-3</v>
      </c>
      <c r="AI149" s="303">
        <f t="shared" si="77"/>
        <v>1.771942337020218E-3</v>
      </c>
      <c r="AJ149" s="303">
        <f t="shared" si="78"/>
        <v>1.7670750886163529E-3</v>
      </c>
      <c r="AK149" s="303">
        <f t="shared" si="79"/>
        <v>1.7581463851633035E-3</v>
      </c>
      <c r="AL149" s="303">
        <f t="shared" si="80"/>
        <v>1.7576489046199038E-3</v>
      </c>
      <c r="AM149" s="303">
        <f t="shared" si="81"/>
        <v>1.7537700468158437E-3</v>
      </c>
      <c r="AV149" s="41">
        <v>-25997.636999999999</v>
      </c>
      <c r="AW149" s="303">
        <f t="shared" si="84"/>
        <v>1.7401117887515828E-3</v>
      </c>
      <c r="AX149" s="41">
        <f t="shared" si="85"/>
        <v>-25511.495640848356</v>
      </c>
    </row>
    <row r="150" spans="1:50" x14ac:dyDescent="0.2">
      <c r="A150" s="30">
        <v>483</v>
      </c>
      <c r="B150" s="47" t="s">
        <v>473</v>
      </c>
      <c r="C150" s="295">
        <v>0.98586495014681252</v>
      </c>
      <c r="D150" s="295">
        <v>1.0643118681893367</v>
      </c>
      <c r="E150" s="295">
        <v>0.97616609033914914</v>
      </c>
      <c r="F150" s="295">
        <v>0.99882850354433839</v>
      </c>
      <c r="G150" s="295">
        <v>0.99757349799977102</v>
      </c>
      <c r="H150" s="295">
        <v>0.99708111491923801</v>
      </c>
      <c r="I150" s="295">
        <v>0.9970725700877423</v>
      </c>
      <c r="J150" s="295">
        <v>0.98680262406492369</v>
      </c>
      <c r="L150" s="41">
        <v>-4225.0596100000002</v>
      </c>
      <c r="M150" s="41">
        <f t="shared" si="59"/>
        <v>-4165.3381817799618</v>
      </c>
      <c r="N150" s="41">
        <f t="shared" si="60"/>
        <v>-4433.2188618906057</v>
      </c>
      <c r="O150" s="41">
        <f t="shared" si="61"/>
        <v>-4327.5579240295247</v>
      </c>
      <c r="P150" s="41">
        <f t="shared" si="62"/>
        <v>-4322.4882052598541</v>
      </c>
      <c r="Q150" s="41">
        <f t="shared" si="63"/>
        <v>-4311.9996789838251</v>
      </c>
      <c r="R150" s="41">
        <f t="shared" si="64"/>
        <v>-4299.413447452589</v>
      </c>
      <c r="S150" s="41">
        <f t="shared" si="65"/>
        <v>-4286.8272159213529</v>
      </c>
      <c r="T150" s="41">
        <f t="shared" si="66"/>
        <v>-4230.2523455841219</v>
      </c>
      <c r="V150" s="41">
        <f t="shared" si="82"/>
        <v>-4225.0596100000002</v>
      </c>
      <c r="W150" s="41">
        <f t="shared" si="83"/>
        <v>-4252.8102835973405</v>
      </c>
      <c r="X150" s="41">
        <f t="shared" si="67"/>
        <v>-4583.9483031948866</v>
      </c>
      <c r="Y150" s="41">
        <f t="shared" si="68"/>
        <v>-4470.3673355224983</v>
      </c>
      <c r="Z150" s="41">
        <f t="shared" si="69"/>
        <v>-4460.8078278281691</v>
      </c>
      <c r="AA150" s="41">
        <f t="shared" si="70"/>
        <v>-4428.4236703163879</v>
      </c>
      <c r="AB150" s="41">
        <f t="shared" si="71"/>
        <v>-4299.413447452589</v>
      </c>
      <c r="AC150" s="41">
        <f t="shared" si="72"/>
        <v>-4286.8272159213529</v>
      </c>
      <c r="AD150" s="41">
        <f t="shared" si="73"/>
        <v>-4230.2523455841219</v>
      </c>
      <c r="AF150" s="303">
        <f t="shared" si="74"/>
        <v>2.9415199443803619E-4</v>
      </c>
      <c r="AG150" s="303">
        <f t="shared" si="75"/>
        <v>2.956368645992011E-4</v>
      </c>
      <c r="AH150" s="303">
        <f t="shared" si="76"/>
        <v>2.900400028827641E-4</v>
      </c>
      <c r="AI150" s="303">
        <f t="shared" si="77"/>
        <v>2.9076546814520219E-4</v>
      </c>
      <c r="AJ150" s="303">
        <f t="shared" si="78"/>
        <v>2.9221522349938265E-4</v>
      </c>
      <c r="AK150" s="303">
        <f t="shared" si="79"/>
        <v>2.9356320687190014E-4</v>
      </c>
      <c r="AL150" s="303">
        <f t="shared" si="80"/>
        <v>2.9475086420633462E-4</v>
      </c>
      <c r="AM150" s="303">
        <f t="shared" si="81"/>
        <v>2.9285230426026246E-4</v>
      </c>
      <c r="AV150" s="41">
        <v>-4103.32</v>
      </c>
      <c r="AW150" s="303">
        <f t="shared" si="84"/>
        <v>2.7464940390621443E-4</v>
      </c>
      <c r="AX150" s="41">
        <f t="shared" si="85"/>
        <v>-4026.5901971400663</v>
      </c>
    </row>
    <row r="151" spans="1:50" x14ac:dyDescent="0.2">
      <c r="A151" s="30">
        <v>484</v>
      </c>
      <c r="B151" s="47" t="s">
        <v>474</v>
      </c>
      <c r="C151" s="295">
        <v>0.97989336405639482</v>
      </c>
      <c r="D151" s="295">
        <v>1.0552105388219952</v>
      </c>
      <c r="E151" s="295">
        <v>1.005050848920106</v>
      </c>
      <c r="F151" s="295">
        <v>0.9814660787488696</v>
      </c>
      <c r="G151" s="295">
        <v>1.0027288505415799</v>
      </c>
      <c r="H151" s="295">
        <v>0.99309508884578479</v>
      </c>
      <c r="I151" s="295">
        <v>0.99318664875037199</v>
      </c>
      <c r="J151" s="295">
        <v>0.99744484685034085</v>
      </c>
      <c r="L151" s="41">
        <v>-8997.8669100000006</v>
      </c>
      <c r="M151" s="41">
        <f t="shared" si="59"/>
        <v>-8816.9500757716196</v>
      </c>
      <c r="N151" s="41">
        <f t="shared" si="60"/>
        <v>-9303.7386402216016</v>
      </c>
      <c r="O151" s="41">
        <f t="shared" si="61"/>
        <v>-9350.7304184855129</v>
      </c>
      <c r="P151" s="41">
        <f t="shared" si="62"/>
        <v>-9177.4247172687519</v>
      </c>
      <c r="Q151" s="41">
        <f t="shared" si="63"/>
        <v>-9202.4685376787802</v>
      </c>
      <c r="R151" s="41">
        <f t="shared" si="64"/>
        <v>-9138.9263100266471</v>
      </c>
      <c r="S151" s="41">
        <f t="shared" si="65"/>
        <v>-9076.6595950319679</v>
      </c>
      <c r="T151" s="41">
        <f t="shared" si="66"/>
        <v>-9053.4673396793387</v>
      </c>
      <c r="V151" s="41">
        <f t="shared" si="82"/>
        <v>-8997.8669100000006</v>
      </c>
      <c r="W151" s="41">
        <f t="shared" si="83"/>
        <v>-9002.1060273628227</v>
      </c>
      <c r="X151" s="41">
        <f t="shared" si="67"/>
        <v>-9620.0657539891363</v>
      </c>
      <c r="Y151" s="41">
        <f t="shared" si="68"/>
        <v>-9659.3045222955334</v>
      </c>
      <c r="Z151" s="41">
        <f t="shared" si="69"/>
        <v>-9471.1023082213524</v>
      </c>
      <c r="AA151" s="41">
        <f t="shared" si="70"/>
        <v>-9450.9351881961065</v>
      </c>
      <c r="AB151" s="41">
        <f t="shared" si="71"/>
        <v>-9138.9263100266471</v>
      </c>
      <c r="AC151" s="41">
        <f t="shared" si="72"/>
        <v>-9076.6595950319679</v>
      </c>
      <c r="AD151" s="41">
        <f t="shared" si="73"/>
        <v>-9053.4673396793387</v>
      </c>
      <c r="AF151" s="303">
        <f t="shared" si="74"/>
        <v>6.2264414951789904E-4</v>
      </c>
      <c r="AG151" s="303">
        <f t="shared" si="75"/>
        <v>6.204358968807034E-4</v>
      </c>
      <c r="AH151" s="303">
        <f t="shared" si="76"/>
        <v>6.2670123084295544E-4</v>
      </c>
      <c r="AI151" s="303">
        <f t="shared" si="77"/>
        <v>6.1734770982991693E-4</v>
      </c>
      <c r="AJ151" s="303">
        <f t="shared" si="78"/>
        <v>6.2363209663261407E-4</v>
      </c>
      <c r="AK151" s="303">
        <f t="shared" si="79"/>
        <v>6.240043084311883E-4</v>
      </c>
      <c r="AL151" s="303">
        <f t="shared" si="80"/>
        <v>6.2408702870180575E-4</v>
      </c>
      <c r="AM151" s="303">
        <f t="shared" si="81"/>
        <v>6.2675428210276702E-4</v>
      </c>
      <c r="AV151" s="41">
        <v>-8263.5450000000001</v>
      </c>
      <c r="AW151" s="303">
        <f t="shared" si="84"/>
        <v>5.5310765633735095E-4</v>
      </c>
      <c r="AX151" s="41">
        <f t="shared" si="85"/>
        <v>-8109.0213024150717</v>
      </c>
    </row>
    <row r="152" spans="1:50" x14ac:dyDescent="0.2">
      <c r="A152" s="30">
        <v>489</v>
      </c>
      <c r="B152" s="47" t="s">
        <v>475</v>
      </c>
      <c r="C152" s="295">
        <v>0.99122484014721679</v>
      </c>
      <c r="D152" s="295">
        <v>1.068674297669018</v>
      </c>
      <c r="E152" s="295">
        <v>0.99407382525645138</v>
      </c>
      <c r="F152" s="295">
        <v>0.99541145099694794</v>
      </c>
      <c r="G152" s="295">
        <v>0.99372118788694186</v>
      </c>
      <c r="H152" s="295">
        <v>0.99394478550419596</v>
      </c>
      <c r="I152" s="295">
        <v>0.99417277057558451</v>
      </c>
      <c r="J152" s="295">
        <v>0.9941386149400957</v>
      </c>
      <c r="L152" s="41">
        <v>-5066.4431699999996</v>
      </c>
      <c r="M152" s="41">
        <f t="shared" si="59"/>
        <v>-5021.9843212982078</v>
      </c>
      <c r="N152" s="41">
        <f t="shared" si="60"/>
        <v>-5366.8655674681822</v>
      </c>
      <c r="O152" s="41">
        <f t="shared" si="61"/>
        <v>-5335.0605842902314</v>
      </c>
      <c r="P152" s="41">
        <f t="shared" si="62"/>
        <v>-5310.5803973649645</v>
      </c>
      <c r="Q152" s="41">
        <f t="shared" si="63"/>
        <v>-5277.2362608386202</v>
      </c>
      <c r="R152" s="41">
        <f t="shared" si="64"/>
        <v>-5245.2814633342077</v>
      </c>
      <c r="S152" s="41">
        <f t="shared" si="65"/>
        <v>-5214.7160048517253</v>
      </c>
      <c r="T152" s="41">
        <f t="shared" si="66"/>
        <v>-5184.1505463692438</v>
      </c>
      <c r="V152" s="41">
        <f t="shared" si="82"/>
        <v>-5066.4431699999996</v>
      </c>
      <c r="W152" s="41">
        <f t="shared" si="83"/>
        <v>-5127.4459920454692</v>
      </c>
      <c r="X152" s="41">
        <f t="shared" si="67"/>
        <v>-5549.3389967621006</v>
      </c>
      <c r="Y152" s="41">
        <f t="shared" si="68"/>
        <v>-5511.1175835718086</v>
      </c>
      <c r="Z152" s="41">
        <f t="shared" si="69"/>
        <v>-5480.5189700806432</v>
      </c>
      <c r="AA152" s="41">
        <f t="shared" si="70"/>
        <v>-5419.7216398812625</v>
      </c>
      <c r="AB152" s="41">
        <f t="shared" si="71"/>
        <v>-5245.2814633342077</v>
      </c>
      <c r="AC152" s="41">
        <f t="shared" si="72"/>
        <v>-5214.7160048517253</v>
      </c>
      <c r="AD152" s="41">
        <f t="shared" si="73"/>
        <v>-5184.1505463692438</v>
      </c>
      <c r="AF152" s="303">
        <f t="shared" si="74"/>
        <v>3.5464748351240869E-4</v>
      </c>
      <c r="AG152" s="303">
        <f t="shared" si="75"/>
        <v>3.5789870938495924E-4</v>
      </c>
      <c r="AH152" s="303">
        <f t="shared" si="76"/>
        <v>3.5756447733608732E-4</v>
      </c>
      <c r="AI152" s="303">
        <f t="shared" si="77"/>
        <v>3.5723252951472875E-4</v>
      </c>
      <c r="AJ152" s="303">
        <f t="shared" si="78"/>
        <v>3.5762729318741869E-4</v>
      </c>
      <c r="AK152" s="303">
        <f t="shared" si="79"/>
        <v>3.5814691146637004E-4</v>
      </c>
      <c r="AL152" s="303">
        <f t="shared" si="80"/>
        <v>3.5855003516634609E-4</v>
      </c>
      <c r="AM152" s="303">
        <f t="shared" si="81"/>
        <v>3.5888885794747941E-4</v>
      </c>
      <c r="AV152" s="41">
        <v>-5209.6400000000003</v>
      </c>
      <c r="AW152" s="303">
        <f t="shared" si="84"/>
        <v>3.4869922905500207E-4</v>
      </c>
      <c r="AX152" s="41">
        <f t="shared" si="85"/>
        <v>-5112.2226281715239</v>
      </c>
    </row>
    <row r="153" spans="1:50" x14ac:dyDescent="0.2">
      <c r="A153" s="30">
        <v>491</v>
      </c>
      <c r="B153" s="47" t="s">
        <v>476</v>
      </c>
      <c r="C153" s="295">
        <v>0.9798039128825804</v>
      </c>
      <c r="D153" s="295">
        <v>1.0748753126051791</v>
      </c>
      <c r="E153" s="295">
        <v>0.98634718900442553</v>
      </c>
      <c r="F153" s="295">
        <v>0.98718582318664094</v>
      </c>
      <c r="G153" s="295">
        <v>0.98121414231669413</v>
      </c>
      <c r="H153" s="295">
        <v>0.98493528681754927</v>
      </c>
      <c r="I153" s="295">
        <v>0.98204306498679939</v>
      </c>
      <c r="J153" s="295">
        <v>0.98255391889583155</v>
      </c>
      <c r="L153" s="41">
        <v>-124170.38434999999</v>
      </c>
      <c r="M153" s="41">
        <f t="shared" si="59"/>
        <v>-121662.62845026392</v>
      </c>
      <c r="N153" s="41">
        <f t="shared" si="60"/>
        <v>-130772.15578784519</v>
      </c>
      <c r="O153" s="41">
        <f t="shared" si="61"/>
        <v>-128986.74826138992</v>
      </c>
      <c r="P153" s="41">
        <f t="shared" si="62"/>
        <v>-127333.88926258823</v>
      </c>
      <c r="Q153" s="41">
        <f t="shared" si="63"/>
        <v>-124941.81294063941</v>
      </c>
      <c r="R153" s="41">
        <f t="shared" si="64"/>
        <v>-123059.60036419328</v>
      </c>
      <c r="S153" s="41">
        <f t="shared" si="65"/>
        <v>-120849.82711770303</v>
      </c>
      <c r="T153" s="41">
        <f t="shared" si="66"/>
        <v>-118741.47123238284</v>
      </c>
      <c r="V153" s="41">
        <f t="shared" si="82"/>
        <v>-124170.38434999999</v>
      </c>
      <c r="W153" s="41">
        <f t="shared" si="83"/>
        <v>-124217.54364771945</v>
      </c>
      <c r="X153" s="41">
        <f t="shared" si="67"/>
        <v>-135218.40908463192</v>
      </c>
      <c r="Y153" s="41">
        <f t="shared" si="68"/>
        <v>-133243.31095401579</v>
      </c>
      <c r="Z153" s="41">
        <f t="shared" si="69"/>
        <v>-131408.57371899104</v>
      </c>
      <c r="AA153" s="41">
        <f t="shared" si="70"/>
        <v>-128315.24189003666</v>
      </c>
      <c r="AB153" s="41">
        <f t="shared" si="71"/>
        <v>-123059.60036419328</v>
      </c>
      <c r="AC153" s="41">
        <f t="shared" si="72"/>
        <v>-120849.82711770303</v>
      </c>
      <c r="AD153" s="41">
        <f t="shared" si="73"/>
        <v>-118741.47123238284</v>
      </c>
      <c r="AF153" s="303">
        <f t="shared" si="74"/>
        <v>8.5916924978048266E-3</v>
      </c>
      <c r="AG153" s="303">
        <f t="shared" si="75"/>
        <v>8.7207673066493456E-3</v>
      </c>
      <c r="AH153" s="303">
        <f t="shared" si="76"/>
        <v>8.6449026204453577E-3</v>
      </c>
      <c r="AI153" s="303">
        <f t="shared" si="77"/>
        <v>8.5655058299829463E-3</v>
      </c>
      <c r="AJ153" s="303">
        <f t="shared" si="78"/>
        <v>8.4670460368566174E-3</v>
      </c>
      <c r="AK153" s="303">
        <f t="shared" si="79"/>
        <v>8.4024882372481808E-3</v>
      </c>
      <c r="AL153" s="303">
        <f t="shared" si="80"/>
        <v>8.3093134357814999E-3</v>
      </c>
      <c r="AM153" s="303">
        <f t="shared" si="81"/>
        <v>8.2202456546018061E-3</v>
      </c>
      <c r="AV153" s="41">
        <v>-133046.20000000001</v>
      </c>
      <c r="AW153" s="303">
        <f t="shared" si="84"/>
        <v>8.9052424675596827E-3</v>
      </c>
      <c r="AX153" s="41">
        <f t="shared" si="85"/>
        <v>-130558.31002377022</v>
      </c>
    </row>
    <row r="154" spans="1:50" x14ac:dyDescent="0.2">
      <c r="A154" s="30">
        <v>494</v>
      </c>
      <c r="B154" s="47" t="s">
        <v>477</v>
      </c>
      <c r="C154" s="295">
        <v>0.97869058747286186</v>
      </c>
      <c r="D154" s="295">
        <v>1.0167175334316987</v>
      </c>
      <c r="E154" s="295">
        <v>0.98920957545784016</v>
      </c>
      <c r="F154" s="295">
        <v>0.98224140319672759</v>
      </c>
      <c r="G154" s="295">
        <v>0.97996097297609441</v>
      </c>
      <c r="H154" s="295">
        <v>0.98408053545950602</v>
      </c>
      <c r="I154" s="295">
        <v>0.98380174616097738</v>
      </c>
      <c r="J154" s="295">
        <v>0.9883520728261449</v>
      </c>
      <c r="L154" s="41">
        <v>-25795.552600000003</v>
      </c>
      <c r="M154" s="41">
        <f t="shared" si="59"/>
        <v>-25245.864528281112</v>
      </c>
      <c r="N154" s="41">
        <f t="shared" si="60"/>
        <v>-25667.913112544789</v>
      </c>
      <c r="O154" s="41">
        <f t="shared" si="61"/>
        <v>-25390.94543294916</v>
      </c>
      <c r="P154" s="41">
        <f t="shared" si="62"/>
        <v>-24940.037870551525</v>
      </c>
      <c r="Q154" s="41">
        <f t="shared" si="63"/>
        <v>-24440.263777686316</v>
      </c>
      <c r="R154" s="41">
        <f t="shared" si="64"/>
        <v>-24051.187865117117</v>
      </c>
      <c r="S154" s="41">
        <f t="shared" si="65"/>
        <v>-23661.60061894793</v>
      </c>
      <c r="T154" s="41">
        <f t="shared" si="66"/>
        <v>-23385.992018121578</v>
      </c>
      <c r="V154" s="41">
        <f t="shared" si="82"/>
        <v>-25795.552600000003</v>
      </c>
      <c r="W154" s="41">
        <f t="shared" si="83"/>
        <v>-25776.027683375014</v>
      </c>
      <c r="X154" s="41">
        <f t="shared" si="67"/>
        <v>-26540.622158371312</v>
      </c>
      <c r="Y154" s="41">
        <f t="shared" si="68"/>
        <v>-26228.84663223648</v>
      </c>
      <c r="Z154" s="41">
        <f t="shared" si="69"/>
        <v>-25738.119082409175</v>
      </c>
      <c r="AA154" s="41">
        <f t="shared" si="70"/>
        <v>-25100.150899683846</v>
      </c>
      <c r="AB154" s="41">
        <f t="shared" si="71"/>
        <v>-24051.187865117117</v>
      </c>
      <c r="AC154" s="41">
        <f t="shared" si="72"/>
        <v>-23661.60061894793</v>
      </c>
      <c r="AD154" s="41">
        <f t="shared" si="73"/>
        <v>-23385.992018121578</v>
      </c>
      <c r="AF154" s="303">
        <f t="shared" si="74"/>
        <v>1.7828375700176592E-3</v>
      </c>
      <c r="AG154" s="303">
        <f t="shared" si="75"/>
        <v>1.7117091643342182E-3</v>
      </c>
      <c r="AH154" s="303">
        <f t="shared" si="76"/>
        <v>1.7017426492841642E-3</v>
      </c>
      <c r="AI154" s="303">
        <f t="shared" si="77"/>
        <v>1.677668380486428E-3</v>
      </c>
      <c r="AJ154" s="303">
        <f t="shared" si="78"/>
        <v>1.6562656943108884E-3</v>
      </c>
      <c r="AK154" s="303">
        <f t="shared" si="79"/>
        <v>1.6422109492506931E-3</v>
      </c>
      <c r="AL154" s="303">
        <f t="shared" si="80"/>
        <v>1.6269088721461537E-3</v>
      </c>
      <c r="AM154" s="303">
        <f t="shared" si="81"/>
        <v>1.6189676384360788E-3</v>
      </c>
      <c r="AV154" s="41">
        <v>-26201.095000000001</v>
      </c>
      <c r="AW154" s="303">
        <f t="shared" si="84"/>
        <v>1.7537299365977053E-3</v>
      </c>
      <c r="AX154" s="41">
        <f t="shared" si="85"/>
        <v>-25711.14908935584</v>
      </c>
    </row>
    <row r="155" spans="1:50" x14ac:dyDescent="0.2">
      <c r="A155" s="30">
        <v>495</v>
      </c>
      <c r="B155" s="47" t="s">
        <v>478</v>
      </c>
      <c r="C155" s="295">
        <v>0.9851576280945783</v>
      </c>
      <c r="D155" s="295">
        <v>1.0472306897513759</v>
      </c>
      <c r="E155" s="295">
        <v>0.99589679784057505</v>
      </c>
      <c r="F155" s="295">
        <v>0.99587751143483483</v>
      </c>
      <c r="G155" s="295">
        <v>0.99497846601343587</v>
      </c>
      <c r="H155" s="295">
        <v>0.99495312294879723</v>
      </c>
      <c r="I155" s="295">
        <v>0.99584979136539109</v>
      </c>
      <c r="J155" s="295">
        <v>0.99606402338763611</v>
      </c>
      <c r="L155" s="41">
        <v>-4590.8461600000001</v>
      </c>
      <c r="M155" s="41">
        <f t="shared" si="59"/>
        <v>-4522.7071139327027</v>
      </c>
      <c r="N155" s="41">
        <f t="shared" si="60"/>
        <v>-4736.3176904671991</v>
      </c>
      <c r="O155" s="41">
        <f t="shared" si="61"/>
        <v>-4716.8836214919511</v>
      </c>
      <c r="P155" s="41">
        <f t="shared" si="62"/>
        <v>-4697.4383226991358</v>
      </c>
      <c r="Q155" s="41">
        <f t="shared" si="63"/>
        <v>-4673.8499765119132</v>
      </c>
      <c r="R155" s="41">
        <f t="shared" si="64"/>
        <v>-4650.2616303246905</v>
      </c>
      <c r="S155" s="41">
        <f t="shared" si="65"/>
        <v>-4630.9620743533269</v>
      </c>
      <c r="T155" s="41">
        <f t="shared" si="66"/>
        <v>-4612.7347159359279</v>
      </c>
      <c r="V155" s="41">
        <f t="shared" si="82"/>
        <v>-4590.8461600000001</v>
      </c>
      <c r="W155" s="41">
        <f t="shared" si="83"/>
        <v>-4617.6839633252894</v>
      </c>
      <c r="X155" s="41">
        <f t="shared" si="67"/>
        <v>-4897.3524919430838</v>
      </c>
      <c r="Y155" s="41">
        <f t="shared" si="68"/>
        <v>-4872.5407810011848</v>
      </c>
      <c r="Z155" s="41">
        <f t="shared" si="69"/>
        <v>-4847.7563490255079</v>
      </c>
      <c r="AA155" s="41">
        <f t="shared" si="70"/>
        <v>-4800.0439258777342</v>
      </c>
      <c r="AB155" s="41">
        <f t="shared" si="71"/>
        <v>-4650.2616303246905</v>
      </c>
      <c r="AC155" s="41">
        <f t="shared" si="72"/>
        <v>-4630.9620743533269</v>
      </c>
      <c r="AD155" s="41">
        <f t="shared" si="73"/>
        <v>-4612.7347159359279</v>
      </c>
      <c r="AF155" s="303">
        <f t="shared" si="74"/>
        <v>3.193890291169345E-4</v>
      </c>
      <c r="AG155" s="303">
        <f t="shared" si="75"/>
        <v>3.1584953402420229E-4</v>
      </c>
      <c r="AH155" s="303">
        <f t="shared" si="76"/>
        <v>3.1613324724751957E-4</v>
      </c>
      <c r="AI155" s="303">
        <f t="shared" si="77"/>
        <v>3.1598764140542448E-4</v>
      </c>
      <c r="AJ155" s="303">
        <f t="shared" si="78"/>
        <v>3.167370633503556E-4</v>
      </c>
      <c r="AK155" s="303">
        <f t="shared" si="79"/>
        <v>3.1751906014070789E-4</v>
      </c>
      <c r="AL155" s="303">
        <f t="shared" si="80"/>
        <v>3.184126639051004E-4</v>
      </c>
      <c r="AM155" s="303">
        <f t="shared" si="81"/>
        <v>3.193308294984505E-4</v>
      </c>
      <c r="AV155" s="41">
        <v>-3940.52</v>
      </c>
      <c r="AW155" s="303">
        <f t="shared" si="84"/>
        <v>2.6375263666507029E-4</v>
      </c>
      <c r="AX155" s="41">
        <f t="shared" si="85"/>
        <v>-3866.8344666354014</v>
      </c>
    </row>
    <row r="156" spans="1:50" x14ac:dyDescent="0.2">
      <c r="A156" s="30">
        <v>498</v>
      </c>
      <c r="B156" s="47" t="s">
        <v>479</v>
      </c>
      <c r="C156" s="295">
        <v>0.99173860729235452</v>
      </c>
      <c r="D156" s="295">
        <v>1.0756851128997873</v>
      </c>
      <c r="E156" s="295">
        <v>0.99347843620196508</v>
      </c>
      <c r="F156" s="295">
        <v>1.0003896089465065</v>
      </c>
      <c r="G156" s="295">
        <v>0.98631784233528508</v>
      </c>
      <c r="H156" s="295">
        <v>1.0112688157483636</v>
      </c>
      <c r="I156" s="295">
        <v>0.99837510326010692</v>
      </c>
      <c r="J156" s="295">
        <v>0.998209704540863</v>
      </c>
      <c r="L156" s="41">
        <v>-8236.7788199999995</v>
      </c>
      <c r="M156" s="41">
        <f t="shared" si="59"/>
        <v>-8168.7315555219629</v>
      </c>
      <c r="N156" s="41">
        <f t="shared" si="60"/>
        <v>-8786.982925549697</v>
      </c>
      <c r="O156" s="41">
        <f t="shared" si="61"/>
        <v>-8729.6780558084811</v>
      </c>
      <c r="P156" s="41">
        <f t="shared" si="62"/>
        <v>-8733.0792164791455</v>
      </c>
      <c r="Q156" s="41">
        <f t="shared" si="63"/>
        <v>-8613.5918497408329</v>
      </c>
      <c r="R156" s="41">
        <f t="shared" si="64"/>
        <v>-8710.6568292271677</v>
      </c>
      <c r="S156" s="41">
        <f t="shared" si="65"/>
        <v>-8696.5029113430282</v>
      </c>
      <c r="T156" s="41">
        <f t="shared" si="66"/>
        <v>-8680.9336016704783</v>
      </c>
      <c r="V156" s="41">
        <f t="shared" si="82"/>
        <v>-8236.7788199999995</v>
      </c>
      <c r="W156" s="41">
        <f t="shared" si="83"/>
        <v>-8340.2749181879226</v>
      </c>
      <c r="X156" s="41">
        <f t="shared" si="67"/>
        <v>-9085.7403450183865</v>
      </c>
      <c r="Y156" s="41">
        <f t="shared" si="68"/>
        <v>-9017.7574316501596</v>
      </c>
      <c r="Z156" s="41">
        <f t="shared" si="69"/>
        <v>-9012.5377514064785</v>
      </c>
      <c r="AA156" s="41">
        <f t="shared" si="70"/>
        <v>-8846.1588296838345</v>
      </c>
      <c r="AB156" s="41">
        <f t="shared" si="71"/>
        <v>-8710.6568292271677</v>
      </c>
      <c r="AC156" s="41">
        <f t="shared" si="72"/>
        <v>-8696.5029113430282</v>
      </c>
      <c r="AD156" s="41">
        <f t="shared" si="73"/>
        <v>-8680.9336016704783</v>
      </c>
      <c r="AF156" s="303">
        <f t="shared" si="74"/>
        <v>5.7686760935672806E-4</v>
      </c>
      <c r="AG156" s="303">
        <f t="shared" si="75"/>
        <v>5.8597514860531379E-4</v>
      </c>
      <c r="AH156" s="303">
        <f t="shared" si="76"/>
        <v>5.8507728675638636E-4</v>
      </c>
      <c r="AI156" s="303">
        <f t="shared" si="77"/>
        <v>5.8745744259955509E-4</v>
      </c>
      <c r="AJ156" s="303">
        <f t="shared" si="78"/>
        <v>5.8372515187608853E-4</v>
      </c>
      <c r="AK156" s="303">
        <f t="shared" si="79"/>
        <v>5.9476214232516964E-4</v>
      </c>
      <c r="AL156" s="303">
        <f t="shared" si="80"/>
        <v>5.9794846388282544E-4</v>
      </c>
      <c r="AM156" s="303">
        <f t="shared" si="81"/>
        <v>6.0096448171308853E-4</v>
      </c>
      <c r="AV156" s="41">
        <v>-8942.557859999999</v>
      </c>
      <c r="AW156" s="303">
        <f t="shared" si="84"/>
        <v>5.9855633624621835E-4</v>
      </c>
      <c r="AX156" s="41">
        <f t="shared" si="85"/>
        <v>-8775.3369994136083</v>
      </c>
    </row>
    <row r="157" spans="1:50" x14ac:dyDescent="0.2">
      <c r="A157" s="30">
        <v>499</v>
      </c>
      <c r="B157" s="47" t="s">
        <v>480</v>
      </c>
      <c r="C157" s="295">
        <v>0.98779041907037679</v>
      </c>
      <c r="D157" s="295">
        <v>1.0303254746995618</v>
      </c>
      <c r="E157" s="295">
        <v>0.98931684328247027</v>
      </c>
      <c r="F157" s="295">
        <v>0.98722812158825624</v>
      </c>
      <c r="G157" s="295">
        <v>0.98310602106829914</v>
      </c>
      <c r="H157" s="295">
        <v>0.98560236848768057</v>
      </c>
      <c r="I157" s="295">
        <v>0.98362156961966429</v>
      </c>
      <c r="J157" s="295">
        <v>0.98010264764480459</v>
      </c>
      <c r="L157" s="41">
        <v>-57566.388899999998</v>
      </c>
      <c r="M157" s="41">
        <f t="shared" si="59"/>
        <v>-56863.527415899283</v>
      </c>
      <c r="N157" s="41">
        <f t="shared" si="60"/>
        <v>-58587.940877877976</v>
      </c>
      <c r="O157" s="41">
        <f t="shared" si="61"/>
        <v>-57962.036723722238</v>
      </c>
      <c r="P157" s="41">
        <f t="shared" si="62"/>
        <v>-57221.752638189828</v>
      </c>
      <c r="Q157" s="41">
        <f t="shared" si="63"/>
        <v>-56255.049554685254</v>
      </c>
      <c r="R157" s="41">
        <f t="shared" si="64"/>
        <v>-55445.110080489627</v>
      </c>
      <c r="S157" s="41">
        <f t="shared" si="65"/>
        <v>-54537.006205106278</v>
      </c>
      <c r="T157" s="41">
        <f t="shared" si="66"/>
        <v>-53451.864176245799</v>
      </c>
      <c r="V157" s="41">
        <f t="shared" si="82"/>
        <v>-57566.388899999998</v>
      </c>
      <c r="W157" s="41">
        <f t="shared" si="83"/>
        <v>-58057.66149163316</v>
      </c>
      <c r="X157" s="41">
        <f t="shared" si="67"/>
        <v>-60579.93086772583</v>
      </c>
      <c r="Y157" s="41">
        <f t="shared" si="68"/>
        <v>-59874.783935605068</v>
      </c>
      <c r="Z157" s="41">
        <f t="shared" si="69"/>
        <v>-59052.848722611903</v>
      </c>
      <c r="AA157" s="41">
        <f t="shared" si="70"/>
        <v>-57773.93589266175</v>
      </c>
      <c r="AB157" s="41">
        <f t="shared" si="71"/>
        <v>-55445.110080489627</v>
      </c>
      <c r="AC157" s="41">
        <f t="shared" si="72"/>
        <v>-54537.006205106278</v>
      </c>
      <c r="AD157" s="41">
        <f t="shared" si="73"/>
        <v>-53451.864176245799</v>
      </c>
      <c r="AF157" s="303">
        <f t="shared" si="74"/>
        <v>4.0156451337694339E-3</v>
      </c>
      <c r="AG157" s="303">
        <f t="shared" si="75"/>
        <v>3.9070381328009923E-3</v>
      </c>
      <c r="AH157" s="303">
        <f t="shared" si="76"/>
        <v>3.8847104056288963E-3</v>
      </c>
      <c r="AI157" s="303">
        <f t="shared" si="77"/>
        <v>3.8491972456248715E-3</v>
      </c>
      <c r="AJ157" s="303">
        <f t="shared" si="78"/>
        <v>3.8122873614093466E-3</v>
      </c>
      <c r="AK157" s="303">
        <f t="shared" si="79"/>
        <v>3.7857825304607531E-3</v>
      </c>
      <c r="AL157" s="303">
        <f t="shared" si="80"/>
        <v>3.7498198318978433E-3</v>
      </c>
      <c r="AM157" s="303">
        <f t="shared" si="81"/>
        <v>3.7003706427491357E-3</v>
      </c>
      <c r="AV157" s="41">
        <v>-59439.862840000002</v>
      </c>
      <c r="AW157" s="303">
        <f t="shared" si="84"/>
        <v>3.9785156646991093E-3</v>
      </c>
      <c r="AX157" s="41">
        <f t="shared" si="85"/>
        <v>-58328.370449025213</v>
      </c>
    </row>
    <row r="158" spans="1:50" x14ac:dyDescent="0.2">
      <c r="A158" s="30">
        <v>500</v>
      </c>
      <c r="B158" s="47" t="s">
        <v>481</v>
      </c>
      <c r="C158" s="295">
        <v>0.99348599800935133</v>
      </c>
      <c r="D158" s="295">
        <v>1.05522635534397</v>
      </c>
      <c r="E158" s="295">
        <v>0.99900397037535349</v>
      </c>
      <c r="F158" s="295">
        <v>0.99687533775429171</v>
      </c>
      <c r="G158" s="295">
        <v>0.98945382356139533</v>
      </c>
      <c r="H158" s="295">
        <v>0.99319850165183776</v>
      </c>
      <c r="I158" s="295">
        <v>0.98983282535869022</v>
      </c>
      <c r="J158" s="295">
        <v>0.98998663934135944</v>
      </c>
      <c r="L158" s="41">
        <v>-29995.84518</v>
      </c>
      <c r="M158" s="41">
        <f t="shared" si="59"/>
        <v>-29800.452184786292</v>
      </c>
      <c r="N158" s="41">
        <f t="shared" si="60"/>
        <v>-31446.222546554287</v>
      </c>
      <c r="O158" s="41">
        <f t="shared" si="61"/>
        <v>-31414.901177314692</v>
      </c>
      <c r="P158" s="41">
        <f t="shared" si="62"/>
        <v>-31316.740221653279</v>
      </c>
      <c r="Q158" s="41">
        <f t="shared" si="63"/>
        <v>-30986.468353793774</v>
      </c>
      <c r="R158" s="41">
        <f t="shared" si="64"/>
        <v>-30775.713940470065</v>
      </c>
      <c r="S158" s="41">
        <f t="shared" si="65"/>
        <v>-30462.811882126312</v>
      </c>
      <c r="T158" s="41">
        <f t="shared" si="66"/>
        <v>-30157.776760074259</v>
      </c>
      <c r="V158" s="41">
        <f t="shared" si="82"/>
        <v>-29995.84518</v>
      </c>
      <c r="W158" s="41">
        <f t="shared" si="83"/>
        <v>-30426.261680666801</v>
      </c>
      <c r="X158" s="41">
        <f t="shared" si="67"/>
        <v>-32515.394113137132</v>
      </c>
      <c r="Y158" s="41">
        <f t="shared" si="68"/>
        <v>-32451.592916166075</v>
      </c>
      <c r="Z158" s="41">
        <f t="shared" si="69"/>
        <v>-32318.875908746184</v>
      </c>
      <c r="AA158" s="41">
        <f t="shared" si="70"/>
        <v>-31823.102999346203</v>
      </c>
      <c r="AB158" s="41">
        <f t="shared" si="71"/>
        <v>-30775.713940470065</v>
      </c>
      <c r="AC158" s="41">
        <f t="shared" si="72"/>
        <v>-30462.811882126312</v>
      </c>
      <c r="AD158" s="41">
        <f t="shared" si="73"/>
        <v>-30157.776760074259</v>
      </c>
      <c r="AF158" s="303">
        <f t="shared" si="74"/>
        <v>2.1044779709973828E-3</v>
      </c>
      <c r="AG158" s="303">
        <f t="shared" si="75"/>
        <v>2.097045719323527E-3</v>
      </c>
      <c r="AH158" s="303">
        <f t="shared" si="76"/>
        <v>2.1054780058370722E-3</v>
      </c>
      <c r="AI158" s="303">
        <f t="shared" si="77"/>
        <v>2.1066168833613476E-3</v>
      </c>
      <c r="AJ158" s="303">
        <f t="shared" si="78"/>
        <v>2.0998883231814732E-3</v>
      </c>
      <c r="AK158" s="303">
        <f t="shared" si="79"/>
        <v>2.1013604270809691E-3</v>
      </c>
      <c r="AL158" s="303">
        <f t="shared" si="80"/>
        <v>2.0945421114860392E-3</v>
      </c>
      <c r="AM158" s="303">
        <f t="shared" si="81"/>
        <v>2.0877653846758468E-3</v>
      </c>
      <c r="AV158" s="41">
        <v>-29583.527839999999</v>
      </c>
      <c r="AW158" s="303">
        <f t="shared" si="84"/>
        <v>1.980127868823026E-3</v>
      </c>
      <c r="AX158" s="41">
        <f t="shared" si="85"/>
        <v>-29030.332315628377</v>
      </c>
    </row>
    <row r="159" spans="1:50" x14ac:dyDescent="0.2">
      <c r="A159" s="30">
        <v>503</v>
      </c>
      <c r="B159" s="47" t="s">
        <v>482</v>
      </c>
      <c r="C159" s="295">
        <v>0.98880084807181845</v>
      </c>
      <c r="D159" s="295">
        <v>1.0188409484015417</v>
      </c>
      <c r="E159" s="295">
        <v>0.98715872546560812</v>
      </c>
      <c r="F159" s="295">
        <v>0.99438464411798388</v>
      </c>
      <c r="G159" s="295">
        <v>0.98917245470814019</v>
      </c>
      <c r="H159" s="295">
        <v>0.9890306997850481</v>
      </c>
      <c r="I159" s="295">
        <v>0.99183079136305674</v>
      </c>
      <c r="J159" s="295">
        <v>0.99102032174659105</v>
      </c>
      <c r="L159" s="41">
        <v>-18642.261589999998</v>
      </c>
      <c r="M159" s="41">
        <f t="shared" si="59"/>
        <v>-18433.484070168684</v>
      </c>
      <c r="N159" s="41">
        <f t="shared" si="60"/>
        <v>-18780.788392395374</v>
      </c>
      <c r="O159" s="41">
        <f t="shared" si="61"/>
        <v>-18539.619132676304</v>
      </c>
      <c r="P159" s="41">
        <f t="shared" si="62"/>
        <v>-18435.512573329292</v>
      </c>
      <c r="Q159" s="41">
        <f t="shared" si="63"/>
        <v>-18235.901225962916</v>
      </c>
      <c r="R159" s="41">
        <f t="shared" si="64"/>
        <v>-18035.86615072512</v>
      </c>
      <c r="S159" s="41">
        <f t="shared" si="65"/>
        <v>-17888.527397191865</v>
      </c>
      <c r="T159" s="41">
        <f t="shared" si="66"/>
        <v>-17727.894176737791</v>
      </c>
      <c r="V159" s="41">
        <f t="shared" si="82"/>
        <v>-18642.261589999998</v>
      </c>
      <c r="W159" s="41">
        <f t="shared" si="83"/>
        <v>-18820.587235642226</v>
      </c>
      <c r="X159" s="41">
        <f t="shared" si="67"/>
        <v>-19419.335197736818</v>
      </c>
      <c r="Y159" s="41">
        <f t="shared" si="68"/>
        <v>-19151.426564054622</v>
      </c>
      <c r="Z159" s="41">
        <f t="shared" si="69"/>
        <v>-19025.44897567583</v>
      </c>
      <c r="AA159" s="41">
        <f t="shared" si="70"/>
        <v>-18728.270559063913</v>
      </c>
      <c r="AB159" s="41">
        <f t="shared" si="71"/>
        <v>-18035.86615072512</v>
      </c>
      <c r="AC159" s="41">
        <f t="shared" si="72"/>
        <v>-17888.527397191865</v>
      </c>
      <c r="AD159" s="41">
        <f t="shared" si="73"/>
        <v>-17727.894176737791</v>
      </c>
      <c r="AF159" s="303">
        <f t="shared" si="74"/>
        <v>1.301754111442835E-3</v>
      </c>
      <c r="AG159" s="303">
        <f t="shared" si="75"/>
        <v>1.2524293449074132E-3</v>
      </c>
      <c r="AH159" s="303">
        <f t="shared" si="76"/>
        <v>1.2425555662302669E-3</v>
      </c>
      <c r="AI159" s="303">
        <f t="shared" si="77"/>
        <v>1.2401214738672959E-3</v>
      </c>
      <c r="AJ159" s="303">
        <f t="shared" si="78"/>
        <v>1.2358089863571645E-3</v>
      </c>
      <c r="AK159" s="303">
        <f t="shared" si="79"/>
        <v>1.231485822573384E-3</v>
      </c>
      <c r="AL159" s="303">
        <f t="shared" si="80"/>
        <v>1.2299676763547283E-3</v>
      </c>
      <c r="AM159" s="303">
        <f t="shared" si="81"/>
        <v>1.2272683129079091E-3</v>
      </c>
      <c r="AV159" s="41">
        <v>-19746.933000000001</v>
      </c>
      <c r="AW159" s="303">
        <f t="shared" si="84"/>
        <v>1.321730544394772E-3</v>
      </c>
      <c r="AX159" s="41">
        <f t="shared" si="85"/>
        <v>-19377.676330722854</v>
      </c>
    </row>
    <row r="160" spans="1:50" x14ac:dyDescent="0.2">
      <c r="A160" s="30">
        <v>504</v>
      </c>
      <c r="B160" s="47" t="s">
        <v>483</v>
      </c>
      <c r="C160" s="295">
        <v>0.9970492653128501</v>
      </c>
      <c r="D160" s="295">
        <v>1.0366124976274966</v>
      </c>
      <c r="E160" s="295">
        <v>0.99788182691049776</v>
      </c>
      <c r="F160" s="295">
        <v>0.99943356028066077</v>
      </c>
      <c r="G160" s="295">
        <v>0.99825061965937556</v>
      </c>
      <c r="H160" s="295">
        <v>0.99824755396473341</v>
      </c>
      <c r="I160" s="295">
        <v>0.98967241804512529</v>
      </c>
      <c r="J160" s="295">
        <v>0.9987099330965451</v>
      </c>
      <c r="L160" s="41">
        <v>-4713.3266399999993</v>
      </c>
      <c r="M160" s="41">
        <f t="shared" si="59"/>
        <v>-4699.4188635914834</v>
      </c>
      <c r="N160" s="41">
        <f t="shared" si="60"/>
        <v>-4871.4763255853395</v>
      </c>
      <c r="O160" s="41">
        <f t="shared" si="61"/>
        <v>-4861.1576955263372</v>
      </c>
      <c r="P160" s="41">
        <f t="shared" si="62"/>
        <v>-4858.4041427256197</v>
      </c>
      <c r="Q160" s="41">
        <f t="shared" si="63"/>
        <v>-4849.9049460315273</v>
      </c>
      <c r="R160" s="41">
        <f t="shared" si="64"/>
        <v>-4841.4057493374348</v>
      </c>
      <c r="S160" s="41">
        <f t="shared" si="65"/>
        <v>-4791.405734684351</v>
      </c>
      <c r="T160" s="41">
        <f t="shared" si="66"/>
        <v>-4785.2245007250103</v>
      </c>
      <c r="V160" s="41">
        <f t="shared" si="82"/>
        <v>-4713.3266399999993</v>
      </c>
      <c r="W160" s="41">
        <f t="shared" si="83"/>
        <v>-4798.1066597269037</v>
      </c>
      <c r="X160" s="41">
        <f t="shared" si="67"/>
        <v>-5037.1065206552412</v>
      </c>
      <c r="Y160" s="41">
        <f t="shared" si="68"/>
        <v>-5021.5758994787057</v>
      </c>
      <c r="Z160" s="41">
        <f t="shared" si="69"/>
        <v>-5013.8730752928395</v>
      </c>
      <c r="AA160" s="41">
        <f t="shared" si="70"/>
        <v>-4980.8523795743777</v>
      </c>
      <c r="AB160" s="41">
        <f t="shared" si="71"/>
        <v>-4841.4057493374348</v>
      </c>
      <c r="AC160" s="41">
        <f t="shared" si="72"/>
        <v>-4791.405734684351</v>
      </c>
      <c r="AD160" s="41">
        <f t="shared" si="73"/>
        <v>-4785.2245007250103</v>
      </c>
      <c r="AF160" s="303">
        <f t="shared" si="74"/>
        <v>3.3186823520640321E-4</v>
      </c>
      <c r="AG160" s="303">
        <f t="shared" si="75"/>
        <v>3.2486282128897626E-4</v>
      </c>
      <c r="AH160" s="303">
        <f t="shared" si="76"/>
        <v>3.2580273141929425E-4</v>
      </c>
      <c r="AI160" s="303">
        <f t="shared" si="77"/>
        <v>3.2681550253374958E-4</v>
      </c>
      <c r="AJ160" s="303">
        <f t="shared" si="78"/>
        <v>3.2866794138754392E-4</v>
      </c>
      <c r="AK160" s="303">
        <f t="shared" si="79"/>
        <v>3.3057034754023268E-4</v>
      </c>
      <c r="AL160" s="303">
        <f t="shared" si="80"/>
        <v>3.2944434424979862E-4</v>
      </c>
      <c r="AM160" s="303">
        <f t="shared" si="81"/>
        <v>3.3127196842118407E-4</v>
      </c>
      <c r="AV160" s="41">
        <v>-3723.7719999999999</v>
      </c>
      <c r="AW160" s="303">
        <f t="shared" si="84"/>
        <v>2.49244943139373E-4</v>
      </c>
      <c r="AX160" s="41">
        <f t="shared" si="85"/>
        <v>-3654.1395337396693</v>
      </c>
    </row>
    <row r="161" spans="1:50" x14ac:dyDescent="0.2">
      <c r="A161" s="30">
        <v>505</v>
      </c>
      <c r="B161" s="47" t="s">
        <v>484</v>
      </c>
      <c r="C161" s="295">
        <v>0.98734152141701215</v>
      </c>
      <c r="D161" s="295">
        <v>1.0220408140061026</v>
      </c>
      <c r="E161" s="295">
        <v>0.98594544252839333</v>
      </c>
      <c r="F161" s="295">
        <v>0.99059528453253842</v>
      </c>
      <c r="G161" s="295">
        <v>0.98730592968013009</v>
      </c>
      <c r="H161" s="295">
        <v>0.98832589778197022</v>
      </c>
      <c r="I161" s="295">
        <v>0.99332556853545773</v>
      </c>
      <c r="J161" s="295">
        <v>0.98894676553373884</v>
      </c>
      <c r="L161" s="41">
        <v>-56247.140639999998</v>
      </c>
      <c r="M161" s="41">
        <f t="shared" si="59"/>
        <v>-55535.137414854253</v>
      </c>
      <c r="N161" s="41">
        <f t="shared" si="60"/>
        <v>-56759.177049418402</v>
      </c>
      <c r="O161" s="41">
        <f t="shared" si="61"/>
        <v>-55961.451933536257</v>
      </c>
      <c r="P161" s="41">
        <f t="shared" si="62"/>
        <v>-55435.150400955317</v>
      </c>
      <c r="Q161" s="41">
        <f t="shared" si="63"/>
        <v>-54731.452703573028</v>
      </c>
      <c r="R161" s="41">
        <f t="shared" si="64"/>
        <v>-54092.512130170253</v>
      </c>
      <c r="S161" s="41">
        <f t="shared" si="65"/>
        <v>-53731.475365212507</v>
      </c>
      <c r="T161" s="41">
        <f t="shared" si="66"/>
        <v>-53137.56876978268</v>
      </c>
      <c r="V161" s="41">
        <f t="shared" si="82"/>
        <v>-56247.140639999998</v>
      </c>
      <c r="W161" s="41">
        <f t="shared" si="83"/>
        <v>-56701.375300566186</v>
      </c>
      <c r="X161" s="41">
        <f t="shared" si="67"/>
        <v>-58688.989069098629</v>
      </c>
      <c r="Y161" s="41">
        <f t="shared" si="68"/>
        <v>-57808.179847342952</v>
      </c>
      <c r="Z161" s="41">
        <f t="shared" si="69"/>
        <v>-57209.075213785887</v>
      </c>
      <c r="AA161" s="41">
        <f t="shared" si="70"/>
        <v>-56209.201926569498</v>
      </c>
      <c r="AB161" s="41">
        <f t="shared" si="71"/>
        <v>-54092.512130170253</v>
      </c>
      <c r="AC161" s="41">
        <f t="shared" si="72"/>
        <v>-53731.475365212507</v>
      </c>
      <c r="AD161" s="41">
        <f t="shared" si="73"/>
        <v>-53137.56876978268</v>
      </c>
      <c r="AF161" s="303">
        <f t="shared" si="74"/>
        <v>3.9218355674998442E-3</v>
      </c>
      <c r="AG161" s="303">
        <f t="shared" si="75"/>
        <v>3.7850838550670808E-3</v>
      </c>
      <c r="AH161" s="303">
        <f t="shared" si="76"/>
        <v>3.7506279442270931E-3</v>
      </c>
      <c r="AI161" s="303">
        <f t="shared" si="77"/>
        <v>3.7290159492903616E-3</v>
      </c>
      <c r="AJ161" s="303">
        <f t="shared" si="78"/>
        <v>3.7090363810021233E-3</v>
      </c>
      <c r="AK161" s="303">
        <f t="shared" si="79"/>
        <v>3.6934273762618984E-3</v>
      </c>
      <c r="AL161" s="303">
        <f t="shared" si="80"/>
        <v>3.6944336688349328E-3</v>
      </c>
      <c r="AM161" s="303">
        <f t="shared" si="81"/>
        <v>3.6786125710120631E-3</v>
      </c>
      <c r="AV161" s="41">
        <v>-57598.404000000002</v>
      </c>
      <c r="AW161" s="303">
        <f t="shared" si="84"/>
        <v>3.8552604536203172E-3</v>
      </c>
      <c r="AX161" s="41">
        <f t="shared" si="85"/>
        <v>-56521.345865619354</v>
      </c>
    </row>
    <row r="162" spans="1:50" x14ac:dyDescent="0.2">
      <c r="A162" s="30">
        <v>507</v>
      </c>
      <c r="B162" s="47" t="s">
        <v>485</v>
      </c>
      <c r="C162" s="295">
        <v>0.97552466446156538</v>
      </c>
      <c r="D162" s="295">
        <v>1.0363995267448576</v>
      </c>
      <c r="E162" s="295">
        <v>0.97814297123220839</v>
      </c>
      <c r="F162" s="295">
        <v>0.98485685959640423</v>
      </c>
      <c r="G162" s="295">
        <v>0.98238028278880796</v>
      </c>
      <c r="H162" s="295">
        <v>0.98472876895293016</v>
      </c>
      <c r="I162" s="295">
        <v>0.9734179969846608</v>
      </c>
      <c r="J162" s="295">
        <v>0.98126701863578092</v>
      </c>
      <c r="L162" s="41">
        <v>-14020.540789999999</v>
      </c>
      <c r="M162" s="41">
        <f t="shared" si="59"/>
        <v>-13677.38334973444</v>
      </c>
      <c r="N162" s="41">
        <v>-18379.046928488271</v>
      </c>
      <c r="O162" s="41">
        <f t="shared" si="61"/>
        <v>-17977.335571047712</v>
      </c>
      <c r="P162" s="41">
        <f t="shared" si="62"/>
        <v>-17705.102254412781</v>
      </c>
      <c r="Q162" s="41">
        <f t="shared" si="63"/>
        <v>-17393.143359494788</v>
      </c>
      <c r="R162" s="41">
        <f t="shared" si="64"/>
        <v>-17127.528648617135</v>
      </c>
      <c r="S162" s="41">
        <f t="shared" si="65"/>
        <v>-16672.244630434285</v>
      </c>
      <c r="T162" s="41">
        <f t="shared" si="66"/>
        <v>-16359.923782472657</v>
      </c>
      <c r="V162" s="41">
        <f t="shared" si="82"/>
        <v>-14020.540789999999</v>
      </c>
      <c r="W162" s="41">
        <f t="shared" si="83"/>
        <v>-13964.608400078861</v>
      </c>
      <c r="X162" s="41">
        <f t="shared" si="67"/>
        <v>-19003.934524056873</v>
      </c>
      <c r="Y162" s="41">
        <f t="shared" si="68"/>
        <v>-18570.587644892286</v>
      </c>
      <c r="Z162" s="41">
        <f t="shared" si="69"/>
        <v>-18271.665526553992</v>
      </c>
      <c r="AA162" s="41">
        <f t="shared" si="70"/>
        <v>-17862.758230201147</v>
      </c>
      <c r="AB162" s="41">
        <f t="shared" si="71"/>
        <v>-17127.528648617135</v>
      </c>
      <c r="AC162" s="41">
        <f t="shared" si="72"/>
        <v>-16672.244630434285</v>
      </c>
      <c r="AD162" s="41">
        <f t="shared" si="73"/>
        <v>-16359.923782472657</v>
      </c>
      <c r="AF162" s="303">
        <f t="shared" si="74"/>
        <v>9.6588306049588007E-4</v>
      </c>
      <c r="AG162" s="303">
        <f t="shared" si="75"/>
        <v>1.2256385207976513E-3</v>
      </c>
      <c r="AH162" s="303">
        <f t="shared" si="76"/>
        <v>1.2048704032125448E-3</v>
      </c>
      <c r="AI162" s="303">
        <f t="shared" si="77"/>
        <v>1.1909881765087488E-3</v>
      </c>
      <c r="AJ162" s="303">
        <f t="shared" si="78"/>
        <v>1.1786970437227247E-3</v>
      </c>
      <c r="AK162" s="303">
        <f t="shared" si="79"/>
        <v>1.1694646949707746E-3</v>
      </c>
      <c r="AL162" s="303">
        <f t="shared" si="80"/>
        <v>1.1463393007370706E-3</v>
      </c>
      <c r="AM162" s="303">
        <f t="shared" si="81"/>
        <v>1.1325663307581782E-3</v>
      </c>
      <c r="AV162" s="41">
        <v>-13377.4</v>
      </c>
      <c r="AW162" s="303">
        <f t="shared" si="84"/>
        <v>8.9539566395382107E-4</v>
      </c>
      <c r="AX162" s="41">
        <f t="shared" si="85"/>
        <v>-13127.250056837274</v>
      </c>
    </row>
    <row r="163" spans="1:50" x14ac:dyDescent="0.2">
      <c r="A163" s="30">
        <v>508</v>
      </c>
      <c r="B163" s="47" t="s">
        <v>486</v>
      </c>
      <c r="C163" s="295">
        <v>0.97498283021369903</v>
      </c>
      <c r="D163" s="295">
        <v>1.0586290057240584</v>
      </c>
      <c r="E163" s="295">
        <v>0.98193860435903524</v>
      </c>
      <c r="F163" s="295">
        <v>0.97923553384111117</v>
      </c>
      <c r="G163" s="295">
        <v>0.97533586839318587</v>
      </c>
      <c r="H163" s="295">
        <v>0.97709282494261995</v>
      </c>
      <c r="I163" s="295">
        <v>0.97690393153778743</v>
      </c>
      <c r="J163" s="295">
        <v>0.98408954893841072</v>
      </c>
      <c r="L163" s="41">
        <v>-20755.86795</v>
      </c>
      <c r="M163" s="41">
        <f t="shared" si="59"/>
        <v>-20236.614877432807</v>
      </c>
      <c r="N163" s="41">
        <f t="shared" si="60"/>
        <v>-21423.067486917378</v>
      </c>
      <c r="O163" s="41">
        <f t="shared" si="61"/>
        <v>-21036.136989193074</v>
      </c>
      <c r="P163" s="41">
        <f t="shared" si="62"/>
        <v>-20599.332834567223</v>
      </c>
      <c r="Q163" s="41">
        <f t="shared" si="63"/>
        <v>-20091.268178522889</v>
      </c>
      <c r="R163" s="41">
        <f t="shared" si="64"/>
        <v>-19631.033981232697</v>
      </c>
      <c r="S163" s="41">
        <f t="shared" si="65"/>
        <v>-19177.634276418125</v>
      </c>
      <c r="T163" s="41">
        <f t="shared" si="66"/>
        <v>-18872.509464786115</v>
      </c>
      <c r="V163" s="41">
        <f t="shared" si="82"/>
        <v>-20755.86795</v>
      </c>
      <c r="W163" s="41">
        <f t="shared" si="83"/>
        <v>-20661.583789858894</v>
      </c>
      <c r="X163" s="41">
        <f t="shared" si="67"/>
        <v>-22151.45178147257</v>
      </c>
      <c r="Y163" s="41">
        <f t="shared" si="68"/>
        <v>-21730.329509836443</v>
      </c>
      <c r="Z163" s="41">
        <f t="shared" si="69"/>
        <v>-21258.511485273375</v>
      </c>
      <c r="AA163" s="41">
        <f t="shared" si="70"/>
        <v>-20633.732419343007</v>
      </c>
      <c r="AB163" s="41">
        <f t="shared" si="71"/>
        <v>-19631.033981232697</v>
      </c>
      <c r="AC163" s="41">
        <f t="shared" si="72"/>
        <v>-19177.634276418125</v>
      </c>
      <c r="AD163" s="41">
        <f t="shared" si="73"/>
        <v>-18872.509464786115</v>
      </c>
      <c r="AF163" s="303">
        <f t="shared" si="74"/>
        <v>1.4290893961285927E-3</v>
      </c>
      <c r="AG163" s="303">
        <f t="shared" si="75"/>
        <v>1.4286342946822968E-3</v>
      </c>
      <c r="AH163" s="303">
        <f t="shared" si="76"/>
        <v>1.4098762720445922E-3</v>
      </c>
      <c r="AI163" s="303">
        <f t="shared" si="77"/>
        <v>1.3856775011747429E-3</v>
      </c>
      <c r="AJ163" s="303">
        <f t="shared" si="78"/>
        <v>1.3615433344736859E-3</v>
      </c>
      <c r="AK163" s="303">
        <f t="shared" si="79"/>
        <v>1.3404036062538891E-3</v>
      </c>
      <c r="AL163" s="303">
        <f t="shared" si="80"/>
        <v>1.3186032447058558E-3</v>
      </c>
      <c r="AM163" s="303">
        <f t="shared" si="81"/>
        <v>1.3065078469149968E-3</v>
      </c>
      <c r="AV163" s="41">
        <v>-21643.78</v>
      </c>
      <c r="AW163" s="303">
        <f t="shared" si="84"/>
        <v>1.4486930766494561E-3</v>
      </c>
      <c r="AX163" s="41">
        <f t="shared" si="85"/>
        <v>-21239.053346328394</v>
      </c>
    </row>
    <row r="164" spans="1:50" x14ac:dyDescent="0.2">
      <c r="A164" s="30">
        <v>529</v>
      </c>
      <c r="B164" s="47" t="s">
        <v>487</v>
      </c>
      <c r="C164" s="295">
        <v>0.98835416343361726</v>
      </c>
      <c r="D164" s="295">
        <v>1.0475789502626631</v>
      </c>
      <c r="E164" s="295">
        <v>0.99316444013798144</v>
      </c>
      <c r="F164" s="295">
        <v>0.99480829948179339</v>
      </c>
      <c r="G164" s="295">
        <v>0.99070302430964829</v>
      </c>
      <c r="H164" s="295">
        <v>0.99598322733812794</v>
      </c>
      <c r="I164" s="295">
        <v>0.99250072131973299</v>
      </c>
      <c r="J164" s="295">
        <v>0.99242893202969817</v>
      </c>
      <c r="L164" s="41">
        <v>-42920.052990000004</v>
      </c>
      <c r="M164" s="41">
        <f t="shared" si="59"/>
        <v>-42420.213067457975</v>
      </c>
      <c r="N164" s="41">
        <f t="shared" si="60"/>
        <v>-44438.522275126132</v>
      </c>
      <c r="O164" s="41">
        <f t="shared" si="61"/>
        <v>-44134.760095934864</v>
      </c>
      <c r="P164" s="41">
        <f t="shared" si="62"/>
        <v>-43905.625639073871</v>
      </c>
      <c r="Q164" s="41">
        <f t="shared" si="63"/>
        <v>-43497.436104837718</v>
      </c>
      <c r="R164" s="41">
        <f t="shared" si="64"/>
        <v>-43322.716792630279</v>
      </c>
      <c r="S164" s="41">
        <f t="shared" si="65"/>
        <v>-42997.827666216064</v>
      </c>
      <c r="T164" s="41">
        <f t="shared" si="66"/>
        <v>-42672.288190379819</v>
      </c>
      <c r="V164" s="41">
        <f t="shared" si="82"/>
        <v>-42920.052990000004</v>
      </c>
      <c r="W164" s="41">
        <f t="shared" si="83"/>
        <v>-43311.03754187459</v>
      </c>
      <c r="X164" s="41">
        <f t="shared" si="67"/>
        <v>-45949.432032480421</v>
      </c>
      <c r="Y164" s="41">
        <f t="shared" si="68"/>
        <v>-45591.207179100711</v>
      </c>
      <c r="Z164" s="41">
        <f t="shared" si="69"/>
        <v>-45310.605659524233</v>
      </c>
      <c r="AA164" s="41">
        <f t="shared" si="70"/>
        <v>-44671.866879668334</v>
      </c>
      <c r="AB164" s="41">
        <f t="shared" si="71"/>
        <v>-43322.716792630279</v>
      </c>
      <c r="AC164" s="41">
        <f t="shared" si="72"/>
        <v>-42997.827666216064</v>
      </c>
      <c r="AD164" s="41">
        <f t="shared" si="73"/>
        <v>-42672.288190379819</v>
      </c>
      <c r="AF164" s="303">
        <f t="shared" si="74"/>
        <v>2.9956727962354851E-3</v>
      </c>
      <c r="AG164" s="303">
        <f t="shared" si="75"/>
        <v>2.9634596897021486E-3</v>
      </c>
      <c r="AH164" s="303">
        <f t="shared" si="76"/>
        <v>2.9579837335916657E-3</v>
      </c>
      <c r="AI164" s="303">
        <f t="shared" si="77"/>
        <v>2.95344699324306E-3</v>
      </c>
      <c r="AJ164" s="303">
        <f t="shared" si="78"/>
        <v>2.9477305100404552E-3</v>
      </c>
      <c r="AK164" s="303">
        <f t="shared" si="79"/>
        <v>2.958067612590987E-3</v>
      </c>
      <c r="AL164" s="303">
        <f t="shared" si="80"/>
        <v>2.9564165349473563E-3</v>
      </c>
      <c r="AM164" s="303">
        <f t="shared" si="81"/>
        <v>2.9541211501615864E-3</v>
      </c>
      <c r="AV164" s="41">
        <v>-45418.947</v>
      </c>
      <c r="AW164" s="303">
        <f t="shared" si="84"/>
        <v>3.0400472591944933E-3</v>
      </c>
      <c r="AX164" s="41">
        <f t="shared" si="85"/>
        <v>-44569.637940649096</v>
      </c>
    </row>
    <row r="165" spans="1:50" x14ac:dyDescent="0.2">
      <c r="A165" s="30">
        <v>531</v>
      </c>
      <c r="B165" s="47" t="s">
        <v>488</v>
      </c>
      <c r="C165" s="295">
        <v>1.0036314540742377</v>
      </c>
      <c r="D165" s="295">
        <v>1.0711537420356485</v>
      </c>
      <c r="E165" s="295">
        <v>0.98457112385184531</v>
      </c>
      <c r="F165" s="295">
        <v>1.0019068862186742</v>
      </c>
      <c r="G165" s="295">
        <v>0.98036363335318943</v>
      </c>
      <c r="H165" s="295">
        <v>0.99620156637867452</v>
      </c>
      <c r="I165" s="295">
        <v>0.99278617723413787</v>
      </c>
      <c r="J165" s="295">
        <v>0.98130103941842539</v>
      </c>
      <c r="L165" s="41">
        <v>-11636.330890000001</v>
      </c>
      <c r="M165" s="41">
        <f t="shared" si="59"/>
        <v>-11678.587691219669</v>
      </c>
      <c r="N165" s="41">
        <f t="shared" si="60"/>
        <v>-12509.562907141413</v>
      </c>
      <c r="O165" s="41">
        <f t="shared" si="61"/>
        <v>-12316.554410379578</v>
      </c>
      <c r="P165" s="41">
        <f t="shared" si="62"/>
        <v>-12340.040678246281</v>
      </c>
      <c r="Q165" s="41">
        <f t="shared" si="63"/>
        <v>-12097.727115051681</v>
      </c>
      <c r="R165" s="41">
        <f t="shared" si="64"/>
        <v>-12051.774701636248</v>
      </c>
      <c r="S165" s="41">
        <f t="shared" si="65"/>
        <v>-11964.835334924543</v>
      </c>
      <c r="T165" s="41">
        <f t="shared" si="66"/>
        <v>-11741.105350631757</v>
      </c>
      <c r="V165" s="41">
        <f t="shared" si="82"/>
        <v>-11636.330890000001</v>
      </c>
      <c r="W165" s="41">
        <f t="shared" si="83"/>
        <v>-11923.838032735281</v>
      </c>
      <c r="X165" s="41">
        <f t="shared" si="67"/>
        <v>-12934.888045984222</v>
      </c>
      <c r="Y165" s="41">
        <f t="shared" si="68"/>
        <v>-12723.000705922102</v>
      </c>
      <c r="Z165" s="41">
        <f t="shared" si="69"/>
        <v>-12734.921979950162</v>
      </c>
      <c r="AA165" s="41">
        <f t="shared" si="70"/>
        <v>-12424.365747158075</v>
      </c>
      <c r="AB165" s="41">
        <f t="shared" si="71"/>
        <v>-12051.774701636248</v>
      </c>
      <c r="AC165" s="41">
        <f t="shared" si="72"/>
        <v>-11964.835334924543</v>
      </c>
      <c r="AD165" s="41">
        <f t="shared" si="73"/>
        <v>-11741.105350631757</v>
      </c>
      <c r="AF165" s="303">
        <f t="shared" si="74"/>
        <v>8.2473012074226783E-4</v>
      </c>
      <c r="AG165" s="303">
        <f t="shared" si="75"/>
        <v>8.342218308158533E-4</v>
      </c>
      <c r="AH165" s="303">
        <f t="shared" si="76"/>
        <v>8.2547560065145001E-4</v>
      </c>
      <c r="AI165" s="303">
        <f t="shared" si="77"/>
        <v>8.3009080287945304E-4</v>
      </c>
      <c r="AJ165" s="303">
        <f t="shared" si="78"/>
        <v>8.1983773096951324E-4</v>
      </c>
      <c r="AK165" s="303">
        <f t="shared" si="79"/>
        <v>8.2289309301161111E-4</v>
      </c>
      <c r="AL165" s="303">
        <f t="shared" si="80"/>
        <v>8.2267032875910496E-4</v>
      </c>
      <c r="AM165" s="303">
        <f t="shared" si="81"/>
        <v>8.1281433720716337E-4</v>
      </c>
      <c r="AV165" s="41">
        <v>-12181.968000000001</v>
      </c>
      <c r="AW165" s="303">
        <f t="shared" si="84"/>
        <v>8.1538126434316108E-4</v>
      </c>
      <c r="AX165" s="41">
        <f t="shared" si="85"/>
        <v>-11954.171970666188</v>
      </c>
    </row>
    <row r="166" spans="1:50" x14ac:dyDescent="0.2">
      <c r="A166" s="30">
        <v>535</v>
      </c>
      <c r="B166" s="47" t="s">
        <v>489</v>
      </c>
      <c r="C166" s="295">
        <v>0.97776189970819583</v>
      </c>
      <c r="D166" s="295">
        <v>1.0021415749796647</v>
      </c>
      <c r="E166" s="295">
        <v>0.97495290605568219</v>
      </c>
      <c r="F166" s="295">
        <v>0.97291354864085278</v>
      </c>
      <c r="G166" s="295">
        <v>0.97108935856609224</v>
      </c>
      <c r="H166" s="295">
        <v>0.97041716993906901</v>
      </c>
      <c r="I166" s="295">
        <v>0.97042744094289757</v>
      </c>
      <c r="J166" s="295">
        <v>0.97566102348895878</v>
      </c>
      <c r="L166" s="41">
        <v>-34688.584200000005</v>
      </c>
      <c r="M166" s="41">
        <f t="shared" si="59"/>
        <v>-33917.175985579714</v>
      </c>
      <c r="N166" s="41">
        <f t="shared" si="60"/>
        <v>-33989.812161051319</v>
      </c>
      <c r="O166" s="41">
        <f t="shared" si="61"/>
        <v>-33138.46614270375</v>
      </c>
      <c r="P166" s="41">
        <f t="shared" si="62"/>
        <v>-32240.862691412658</v>
      </c>
      <c r="Q166" s="41">
        <f t="shared" si="63"/>
        <v>-31308.758670621373</v>
      </c>
      <c r="R166" s="41">
        <f t="shared" si="64"/>
        <v>-30382.556983449682</v>
      </c>
      <c r="S166" s="41">
        <f t="shared" si="65"/>
        <v>-29484.067022750834</v>
      </c>
      <c r="T166" s="41">
        <f t="shared" si="66"/>
        <v>-28766.455008034136</v>
      </c>
      <c r="V166" s="41">
        <f t="shared" si="82"/>
        <v>-34688.584200000005</v>
      </c>
      <c r="W166" s="41">
        <f t="shared" si="83"/>
        <v>-34629.436681276886</v>
      </c>
      <c r="X166" s="41">
        <f t="shared" si="67"/>
        <v>-35145.465774527067</v>
      </c>
      <c r="Y166" s="41">
        <f t="shared" si="68"/>
        <v>-34232.035525412968</v>
      </c>
      <c r="Z166" s="41">
        <f t="shared" si="69"/>
        <v>-33272.570297537866</v>
      </c>
      <c r="AA166" s="41">
        <f t="shared" si="70"/>
        <v>-32154.095154728147</v>
      </c>
      <c r="AB166" s="41">
        <f t="shared" si="71"/>
        <v>-30382.556983449682</v>
      </c>
      <c r="AC166" s="41">
        <f t="shared" si="72"/>
        <v>-29484.067022750834</v>
      </c>
      <c r="AD166" s="41">
        <f t="shared" si="73"/>
        <v>-28766.455008034136</v>
      </c>
      <c r="AF166" s="303">
        <f t="shared" si="74"/>
        <v>2.3951968667285453E-3</v>
      </c>
      <c r="AG166" s="303">
        <f t="shared" si="75"/>
        <v>2.2666693904942084E-3</v>
      </c>
      <c r="AH166" s="303">
        <f t="shared" si="76"/>
        <v>2.2209941459571791E-3</v>
      </c>
      <c r="AI166" s="303">
        <f t="shared" si="77"/>
        <v>2.1687808245413639E-3</v>
      </c>
      <c r="AJ166" s="303">
        <f t="shared" si="78"/>
        <v>2.121729265661705E-3</v>
      </c>
      <c r="AK166" s="303">
        <f t="shared" si="79"/>
        <v>2.0745157380280274E-3</v>
      </c>
      <c r="AL166" s="303">
        <f t="shared" si="80"/>
        <v>2.0272462120695688E-3</v>
      </c>
      <c r="AM166" s="303">
        <f t="shared" si="81"/>
        <v>1.9914468325502969E-3</v>
      </c>
      <c r="AV166" s="41">
        <v>-35961.856</v>
      </c>
      <c r="AW166" s="303">
        <f t="shared" si="84"/>
        <v>2.4070514397514994E-3</v>
      </c>
      <c r="AX166" s="41">
        <f t="shared" si="85"/>
        <v>-35289.389284911413</v>
      </c>
    </row>
    <row r="167" spans="1:50" x14ac:dyDescent="0.2">
      <c r="A167" s="30">
        <v>536</v>
      </c>
      <c r="B167" s="47" t="s">
        <v>490</v>
      </c>
      <c r="C167" s="295">
        <v>0.98719315525112583</v>
      </c>
      <c r="D167" s="295">
        <v>1.0572297087764879</v>
      </c>
      <c r="E167" s="295">
        <v>0.99002136180181233</v>
      </c>
      <c r="F167" s="295">
        <v>0.99706358030825093</v>
      </c>
      <c r="G167" s="295">
        <v>0.99315824701374855</v>
      </c>
      <c r="H167" s="295">
        <v>0.99084405828878264</v>
      </c>
      <c r="I167" s="295">
        <v>0.99225744252172743</v>
      </c>
      <c r="J167" s="295">
        <v>0.99612676330090522</v>
      </c>
      <c r="L167" s="41">
        <v>-86666.667220000003</v>
      </c>
      <c r="M167" s="41">
        <f t="shared" si="59"/>
        <v>-85556.740668011116</v>
      </c>
      <c r="N167" s="41">
        <f t="shared" si="60"/>
        <v>-90453.128020306889</v>
      </c>
      <c r="O167" s="41">
        <f t="shared" si="61"/>
        <v>-89550.528981897893</v>
      </c>
      <c r="P167" s="41">
        <f t="shared" si="62"/>
        <v>-89287.571045188903</v>
      </c>
      <c r="Q167" s="41">
        <f t="shared" si="63"/>
        <v>-88676.687539355349</v>
      </c>
      <c r="R167" s="41">
        <f t="shared" si="64"/>
        <v>-87864.768957101172</v>
      </c>
      <c r="S167" s="41">
        <f t="shared" si="65"/>
        <v>-87184.470933135672</v>
      </c>
      <c r="T167" s="41">
        <f t="shared" si="66"/>
        <v>-86846.784840726294</v>
      </c>
      <c r="V167" s="41">
        <f t="shared" si="82"/>
        <v>-86666.667220000003</v>
      </c>
      <c r="W167" s="41">
        <f t="shared" si="83"/>
        <v>-87353.432222039337</v>
      </c>
      <c r="X167" s="41">
        <f t="shared" si="67"/>
        <v>-93528.534372997325</v>
      </c>
      <c r="Y167" s="41">
        <f t="shared" si="68"/>
        <v>-92505.696438300511</v>
      </c>
      <c r="Z167" s="41">
        <f t="shared" si="69"/>
        <v>-92144.773318634951</v>
      </c>
      <c r="AA167" s="41">
        <f t="shared" si="70"/>
        <v>-91070.958102917939</v>
      </c>
      <c r="AB167" s="41">
        <f t="shared" si="71"/>
        <v>-87864.768957101172</v>
      </c>
      <c r="AC167" s="41">
        <f t="shared" si="72"/>
        <v>-87184.470933135672</v>
      </c>
      <c r="AD167" s="41">
        <f t="shared" si="73"/>
        <v>-86846.784840726294</v>
      </c>
      <c r="AF167" s="303">
        <f t="shared" si="74"/>
        <v>6.0419310045934623E-3</v>
      </c>
      <c r="AG167" s="303">
        <f t="shared" si="75"/>
        <v>6.0320232305673925E-3</v>
      </c>
      <c r="AH167" s="303">
        <f t="shared" si="76"/>
        <v>6.0018227693364352E-3</v>
      </c>
      <c r="AI167" s="303">
        <f t="shared" si="77"/>
        <v>6.0062031778156388E-3</v>
      </c>
      <c r="AJ167" s="303">
        <f t="shared" si="78"/>
        <v>6.0094341367400751E-3</v>
      </c>
      <c r="AK167" s="303">
        <f t="shared" si="79"/>
        <v>5.9993912335618987E-3</v>
      </c>
      <c r="AL167" s="303">
        <f t="shared" si="80"/>
        <v>5.9945728760590318E-3</v>
      </c>
      <c r="AM167" s="303">
        <f t="shared" si="81"/>
        <v>6.0122373278159707E-3</v>
      </c>
      <c r="AV167" s="41">
        <v>-90482.736000000004</v>
      </c>
      <c r="AW167" s="303">
        <f t="shared" si="84"/>
        <v>6.0563225647045256E-3</v>
      </c>
      <c r="AX167" s="41">
        <f t="shared" si="85"/>
        <v>-88790.759138456822</v>
      </c>
    </row>
    <row r="168" spans="1:50" x14ac:dyDescent="0.2">
      <c r="A168" s="30">
        <v>538</v>
      </c>
      <c r="B168" s="47" t="s">
        <v>491</v>
      </c>
      <c r="C168" s="295">
        <v>0.9839474405616675</v>
      </c>
      <c r="D168" s="295">
        <v>1.0322660692135828</v>
      </c>
      <c r="E168" s="295">
        <v>0.99421703277234574</v>
      </c>
      <c r="F168" s="295">
        <v>1.0013456370047589</v>
      </c>
      <c r="G168" s="295">
        <v>0.99516319422270072</v>
      </c>
      <c r="H168" s="295">
        <v>0.99874798420863053</v>
      </c>
      <c r="I168" s="295">
        <v>0.99269862172915346</v>
      </c>
      <c r="J168" s="295">
        <v>0.99087637099925385</v>
      </c>
      <c r="L168" s="41">
        <v>-14655.403630000001</v>
      </c>
      <c r="M168" s="41">
        <f t="shared" si="59"/>
        <v>-14420.146892136672</v>
      </c>
      <c r="N168" s="41">
        <f t="shared" si="60"/>
        <v>-14885.428349828384</v>
      </c>
      <c r="O168" s="41">
        <f t="shared" si="61"/>
        <v>-14799.346405511731</v>
      </c>
      <c r="P168" s="41">
        <f t="shared" si="62"/>
        <v>-14819.260953681232</v>
      </c>
      <c r="Q168" s="41">
        <f t="shared" si="63"/>
        <v>-14747.583066685162</v>
      </c>
      <c r="R168" s="41">
        <f t="shared" si="64"/>
        <v>-14729.118859801139</v>
      </c>
      <c r="S168" s="41">
        <f t="shared" si="65"/>
        <v>-14621.575991409472</v>
      </c>
      <c r="T168" s="41">
        <f t="shared" si="66"/>
        <v>-14488.174156657635</v>
      </c>
      <c r="V168" s="41">
        <f t="shared" si="82"/>
        <v>-14655.403630000001</v>
      </c>
      <c r="W168" s="41">
        <f t="shared" si="83"/>
        <v>-14722.969976871542</v>
      </c>
      <c r="X168" s="41">
        <f t="shared" si="67"/>
        <v>-15391.532913722549</v>
      </c>
      <c r="Y168" s="41">
        <f t="shared" si="68"/>
        <v>-15287.724836893616</v>
      </c>
      <c r="Z168" s="41">
        <f t="shared" si="69"/>
        <v>-15293.477304199032</v>
      </c>
      <c r="AA168" s="41">
        <f t="shared" si="70"/>
        <v>-15145.76780948566</v>
      </c>
      <c r="AB168" s="41">
        <f t="shared" si="71"/>
        <v>-14729.118859801139</v>
      </c>
      <c r="AC168" s="41">
        <f t="shared" si="72"/>
        <v>-14621.575991409472</v>
      </c>
      <c r="AD168" s="41">
        <f t="shared" si="73"/>
        <v>-14488.174156657635</v>
      </c>
      <c r="AF168" s="303">
        <f t="shared" si="74"/>
        <v>1.0183362750629894E-3</v>
      </c>
      <c r="AG168" s="303">
        <f t="shared" si="75"/>
        <v>9.9266052560341976E-4</v>
      </c>
      <c r="AH168" s="303">
        <f t="shared" si="76"/>
        <v>9.9187637680903801E-4</v>
      </c>
      <c r="AI168" s="303">
        <f t="shared" si="77"/>
        <v>9.9686318253446797E-4</v>
      </c>
      <c r="AJ168" s="303">
        <f t="shared" si="78"/>
        <v>9.9941294126503584E-4</v>
      </c>
      <c r="AK168" s="303">
        <f t="shared" si="79"/>
        <v>1.0057016892484588E-3</v>
      </c>
      <c r="AL168" s="303">
        <f t="shared" si="80"/>
        <v>1.0053407665977651E-3</v>
      </c>
      <c r="AM168" s="303">
        <f t="shared" si="81"/>
        <v>1.002988672940575E-3</v>
      </c>
      <c r="AV168" s="41">
        <v>-15138.191000000001</v>
      </c>
      <c r="AW168" s="303">
        <f t="shared" si="84"/>
        <v>1.0132514974139041E-3</v>
      </c>
      <c r="AX168" s="41">
        <f t="shared" si="85"/>
        <v>-14855.115244005827</v>
      </c>
    </row>
    <row r="169" spans="1:50" x14ac:dyDescent="0.2">
      <c r="A169" s="30">
        <v>541</v>
      </c>
      <c r="B169" s="47" t="s">
        <v>492</v>
      </c>
      <c r="C169" s="295">
        <v>0.98184872130705247</v>
      </c>
      <c r="D169" s="295">
        <v>1.0584437928542871</v>
      </c>
      <c r="E169" s="295">
        <v>0.980911203524653</v>
      </c>
      <c r="F169" s="295">
        <v>0.98942880507394548</v>
      </c>
      <c r="G169" s="295">
        <v>0.9770576311799769</v>
      </c>
      <c r="H169" s="295">
        <v>0.97666242075150411</v>
      </c>
      <c r="I169" s="295">
        <v>0.979529554918804</v>
      </c>
      <c r="J169" s="295">
        <v>0.97572778203647104</v>
      </c>
      <c r="L169" s="41">
        <v>-26055.028610000001</v>
      </c>
      <c r="M169" s="41">
        <f t="shared" si="59"/>
        <v>-25582.096524347169</v>
      </c>
      <c r="N169" s="41">
        <f t="shared" si="60"/>
        <v>-27077.211274394493</v>
      </c>
      <c r="O169" s="41">
        <f t="shared" si="61"/>
        <v>-26560.339899257604</v>
      </c>
      <c r="P169" s="41">
        <f t="shared" si="62"/>
        <v>-26279.565368880289</v>
      </c>
      <c r="Q169" s="41">
        <f t="shared" si="63"/>
        <v>-25676.649887757532</v>
      </c>
      <c r="R169" s="41">
        <f t="shared" si="64"/>
        <v>-25077.419036166109</v>
      </c>
      <c r="S169" s="41">
        <f t="shared" si="65"/>
        <v>-24564.073107008131</v>
      </c>
      <c r="T169" s="41">
        <f t="shared" si="66"/>
        <v>-23967.848570482769</v>
      </c>
      <c r="V169" s="41">
        <f t="shared" si="82"/>
        <v>-26055.028610000001</v>
      </c>
      <c r="W169" s="41">
        <f t="shared" si="83"/>
        <v>-26119.320551358458</v>
      </c>
      <c r="X169" s="41">
        <f t="shared" si="67"/>
        <v>-27997.836457723904</v>
      </c>
      <c r="Y169" s="41">
        <f t="shared" si="68"/>
        <v>-27436.831115933102</v>
      </c>
      <c r="Z169" s="41">
        <f t="shared" si="69"/>
        <v>-27120.511460684458</v>
      </c>
      <c r="AA169" s="41">
        <f t="shared" si="70"/>
        <v>-26369.919434726984</v>
      </c>
      <c r="AB169" s="41">
        <f t="shared" si="71"/>
        <v>-25077.419036166109</v>
      </c>
      <c r="AC169" s="41">
        <f t="shared" si="72"/>
        <v>-24564.073107008131</v>
      </c>
      <c r="AD169" s="41">
        <f t="shared" si="73"/>
        <v>-23967.848570482769</v>
      </c>
      <c r="AF169" s="303">
        <f t="shared" si="74"/>
        <v>1.8065819355218421E-3</v>
      </c>
      <c r="AG169" s="303">
        <f t="shared" si="75"/>
        <v>1.8056906488569519E-3</v>
      </c>
      <c r="AH169" s="303">
        <f t="shared" si="76"/>
        <v>1.7801173770944801E-3</v>
      </c>
      <c r="AI169" s="303">
        <f t="shared" si="77"/>
        <v>1.7677758189916348E-3</v>
      </c>
      <c r="AJ169" s="303">
        <f t="shared" si="78"/>
        <v>1.7400530019136421E-3</v>
      </c>
      <c r="AK169" s="303">
        <f t="shared" si="79"/>
        <v>1.7122818361861069E-3</v>
      </c>
      <c r="AL169" s="303">
        <f t="shared" si="80"/>
        <v>1.6889604857008684E-3</v>
      </c>
      <c r="AM169" s="303">
        <f t="shared" si="81"/>
        <v>1.6592484581573377E-3</v>
      </c>
      <c r="AV169" s="41">
        <v>-27037.794999999998</v>
      </c>
      <c r="AW169" s="303">
        <f t="shared" si="84"/>
        <v>1.8097331623388928E-3</v>
      </c>
      <c r="AX169" s="41">
        <f t="shared" si="85"/>
        <v>-26532.203264498676</v>
      </c>
    </row>
    <row r="170" spans="1:50" x14ac:dyDescent="0.2">
      <c r="A170" s="30">
        <v>543</v>
      </c>
      <c r="B170" s="47" t="s">
        <v>493</v>
      </c>
      <c r="C170" s="295">
        <v>0.99541479383817422</v>
      </c>
      <c r="D170" s="295">
        <v>1.0412441942394277</v>
      </c>
      <c r="E170" s="295">
        <v>0.99495273445513899</v>
      </c>
      <c r="F170" s="295">
        <v>1.0021775561944468</v>
      </c>
      <c r="G170" s="295">
        <v>0.99676479426360054</v>
      </c>
      <c r="H170" s="295">
        <v>0.99805243426215473</v>
      </c>
      <c r="I170" s="295">
        <v>0.99765893405686557</v>
      </c>
      <c r="J170" s="295">
        <v>0.99517712835086181</v>
      </c>
      <c r="L170" s="41">
        <v>-97371.628769999996</v>
      </c>
      <c r="M170" s="41">
        <f t="shared" si="59"/>
        <v>-96925.159777776775</v>
      </c>
      <c r="N170" s="41">
        <f t="shared" si="60"/>
        <v>-100922.75989433896</v>
      </c>
      <c r="O170" s="41">
        <f t="shared" si="61"/>
        <v>-100413.37592563198</v>
      </c>
      <c r="P170" s="41">
        <f t="shared" si="62"/>
        <v>-100632.03169438415</v>
      </c>
      <c r="Q170" s="41">
        <f t="shared" si="63"/>
        <v>-100306.46636818095</v>
      </c>
      <c r="R170" s="41">
        <f t="shared" si="64"/>
        <v>-100111.11293099794</v>
      </c>
      <c r="S170" s="41">
        <f t="shared" si="65"/>
        <v>-99876.746213985898</v>
      </c>
      <c r="T170" s="41">
        <f t="shared" si="66"/>
        <v>-99395.053486262288</v>
      </c>
      <c r="V170" s="41">
        <f t="shared" si="82"/>
        <v>-97371.628769999996</v>
      </c>
      <c r="W170" s="41">
        <f t="shared" si="83"/>
        <v>-98960.588133110083</v>
      </c>
      <c r="X170" s="41">
        <f t="shared" si="67"/>
        <v>-104354.13373074649</v>
      </c>
      <c r="Y170" s="41">
        <f t="shared" si="68"/>
        <v>-103727.01733117782</v>
      </c>
      <c r="Z170" s="41">
        <f t="shared" si="69"/>
        <v>-103852.25670860444</v>
      </c>
      <c r="AA170" s="41">
        <f t="shared" si="70"/>
        <v>-103014.74096012182</v>
      </c>
      <c r="AB170" s="41">
        <f t="shared" si="71"/>
        <v>-100111.11293099794</v>
      </c>
      <c r="AC170" s="41">
        <f t="shared" si="72"/>
        <v>-99876.746213985898</v>
      </c>
      <c r="AD170" s="41">
        <f t="shared" si="73"/>
        <v>-99395.053486262288</v>
      </c>
      <c r="AF170" s="303">
        <f t="shared" si="74"/>
        <v>6.8447573319664907E-3</v>
      </c>
      <c r="AG170" s="303">
        <f t="shared" si="75"/>
        <v>6.7302087335106659E-3</v>
      </c>
      <c r="AH170" s="303">
        <f t="shared" si="76"/>
        <v>6.7298685203548252E-3</v>
      </c>
      <c r="AI170" s="303">
        <f t="shared" si="77"/>
        <v>6.769323226935537E-3</v>
      </c>
      <c r="AJ170" s="303">
        <f t="shared" si="78"/>
        <v>6.7975599884828406E-3</v>
      </c>
      <c r="AK170" s="303">
        <f t="shared" si="79"/>
        <v>6.8355694828446225E-3</v>
      </c>
      <c r="AL170" s="303">
        <f t="shared" si="80"/>
        <v>6.8672600452271623E-3</v>
      </c>
      <c r="AM170" s="303">
        <f t="shared" si="81"/>
        <v>6.8809300409488081E-3</v>
      </c>
      <c r="AV170" s="41">
        <v>-113984.84069</v>
      </c>
      <c r="AW170" s="303">
        <f t="shared" si="84"/>
        <v>7.6293997421242599E-3</v>
      </c>
      <c r="AX170" s="41">
        <f t="shared" si="85"/>
        <v>-111853.38753617222</v>
      </c>
    </row>
    <row r="171" spans="1:50" x14ac:dyDescent="0.2">
      <c r="A171" s="30">
        <v>545</v>
      </c>
      <c r="B171" s="47" t="s">
        <v>494</v>
      </c>
      <c r="C171" s="295">
        <v>1.0066661449165117</v>
      </c>
      <c r="D171" s="295">
        <v>1.018490607640582</v>
      </c>
      <c r="E171" s="295">
        <v>1.0087907673493641</v>
      </c>
      <c r="F171" s="295">
        <v>0.99848025182857814</v>
      </c>
      <c r="G171" s="295">
        <v>0.99745764812159288</v>
      </c>
      <c r="H171" s="295">
        <v>0.99756038119748491</v>
      </c>
      <c r="I171" s="295">
        <v>0.99949948225666041</v>
      </c>
      <c r="J171" s="295">
        <v>0.99378535268545498</v>
      </c>
      <c r="L171" s="41">
        <v>-28090.071520000001</v>
      </c>
      <c r="M171" s="41">
        <f t="shared" si="59"/>
        <v>-28277.324007467501</v>
      </c>
      <c r="N171" s="41">
        <f t="shared" si="60"/>
        <v>-28800.188910815192</v>
      </c>
      <c r="O171" s="41">
        <f t="shared" si="61"/>
        <v>-29053.364671147905</v>
      </c>
      <c r="P171" s="41">
        <f t="shared" si="62"/>
        <v>-29009.210873315275</v>
      </c>
      <c r="Q171" s="41">
        <f t="shared" si="63"/>
        <v>-28935.459251560394</v>
      </c>
      <c r="R171" s="41">
        <f t="shared" si="64"/>
        <v>-28864.86776111088</v>
      </c>
      <c r="S171" s="41">
        <f t="shared" si="65"/>
        <v>-28850.420382637294</v>
      </c>
      <c r="T171" s="41">
        <f t="shared" si="66"/>
        <v>-28671.125195082841</v>
      </c>
      <c r="V171" s="41">
        <f t="shared" si="82"/>
        <v>-28090.071520000001</v>
      </c>
      <c r="W171" s="41">
        <f t="shared" si="83"/>
        <v>-28871.147811624316</v>
      </c>
      <c r="X171" s="41">
        <f t="shared" si="67"/>
        <v>-29779.395333782908</v>
      </c>
      <c r="Y171" s="41">
        <f t="shared" si="68"/>
        <v>-30012.125705295784</v>
      </c>
      <c r="Z171" s="41">
        <f t="shared" si="69"/>
        <v>-29937.505621261364</v>
      </c>
      <c r="AA171" s="41">
        <f t="shared" si="70"/>
        <v>-29716.716651352523</v>
      </c>
      <c r="AB171" s="41">
        <f t="shared" si="71"/>
        <v>-28864.86776111088</v>
      </c>
      <c r="AC171" s="41">
        <f t="shared" si="72"/>
        <v>-28850.420382637294</v>
      </c>
      <c r="AD171" s="41">
        <f t="shared" si="73"/>
        <v>-28671.125195082841</v>
      </c>
      <c r="AF171" s="303">
        <f t="shared" si="74"/>
        <v>1.9969161905150985E-3</v>
      </c>
      <c r="AG171" s="303">
        <f t="shared" si="75"/>
        <v>1.9205903914761844E-3</v>
      </c>
      <c r="AH171" s="303">
        <f t="shared" si="76"/>
        <v>1.9472039706697744E-3</v>
      </c>
      <c r="AI171" s="303">
        <f t="shared" si="77"/>
        <v>1.9513938221597364E-3</v>
      </c>
      <c r="AJ171" s="303">
        <f t="shared" si="78"/>
        <v>1.9608957146872081E-3</v>
      </c>
      <c r="AK171" s="303">
        <f t="shared" si="79"/>
        <v>1.9708881803181077E-3</v>
      </c>
      <c r="AL171" s="303">
        <f t="shared" si="80"/>
        <v>1.9836783504862407E-3</v>
      </c>
      <c r="AM171" s="303">
        <f t="shared" si="81"/>
        <v>1.9848473313605797E-3</v>
      </c>
      <c r="AV171" s="41">
        <v>-30064.445</v>
      </c>
      <c r="AW171" s="303">
        <f t="shared" si="84"/>
        <v>2.0123173181767861E-3</v>
      </c>
      <c r="AX171" s="41">
        <f t="shared" si="85"/>
        <v>-29502.256592090478</v>
      </c>
    </row>
    <row r="172" spans="1:50" x14ac:dyDescent="0.2">
      <c r="A172" s="30">
        <v>560</v>
      </c>
      <c r="B172" s="47" t="s">
        <v>495</v>
      </c>
      <c r="C172" s="295">
        <v>0.98647563750557099</v>
      </c>
      <c r="D172" s="295">
        <v>1.035366754554143</v>
      </c>
      <c r="E172" s="295">
        <v>0.99180263229213739</v>
      </c>
      <c r="F172" s="295">
        <v>0.98649137788660379</v>
      </c>
      <c r="G172" s="295">
        <v>0.98677736216337109</v>
      </c>
      <c r="H172" s="295">
        <v>0.98349581507766604</v>
      </c>
      <c r="I172" s="295">
        <v>0.98563323843198158</v>
      </c>
      <c r="J172" s="295">
        <v>0.98667796744471414</v>
      </c>
      <c r="L172" s="41">
        <v>-41086.292090000003</v>
      </c>
      <c r="M172" s="41">
        <f t="shared" si="59"/>
        <v>-40530.626182222848</v>
      </c>
      <c r="N172" s="41">
        <f t="shared" si="60"/>
        <v>-41964.062890335241</v>
      </c>
      <c r="O172" s="41">
        <f t="shared" si="61"/>
        <v>-41620.06803630729</v>
      </c>
      <c r="P172" s="41">
        <f t="shared" si="62"/>
        <v>-41057.838264870974</v>
      </c>
      <c r="Q172" s="41">
        <f t="shared" si="63"/>
        <v>-40514.945339139704</v>
      </c>
      <c r="R172" s="41">
        <f t="shared" si="64"/>
        <v>-39846.27918914429</v>
      </c>
      <c r="S172" s="41">
        <f t="shared" si="65"/>
        <v>-39273.817196661163</v>
      </c>
      <c r="T172" s="41">
        <f t="shared" si="66"/>
        <v>-38750.610125396895</v>
      </c>
      <c r="V172" s="41">
        <f t="shared" si="82"/>
        <v>-41086.292090000003</v>
      </c>
      <c r="W172" s="41">
        <f t="shared" si="83"/>
        <v>-41381.769332049524</v>
      </c>
      <c r="X172" s="41">
        <f t="shared" si="67"/>
        <v>-43390.841028606643</v>
      </c>
      <c r="Y172" s="41">
        <f t="shared" si="68"/>
        <v>-42993.530281505424</v>
      </c>
      <c r="Z172" s="41">
        <f t="shared" si="69"/>
        <v>-42371.689089346844</v>
      </c>
      <c r="AA172" s="41">
        <f t="shared" si="70"/>
        <v>-41608.848863296473</v>
      </c>
      <c r="AB172" s="41">
        <f t="shared" si="71"/>
        <v>-39846.27918914429</v>
      </c>
      <c r="AC172" s="41">
        <f t="shared" si="72"/>
        <v>-39273.817196661163</v>
      </c>
      <c r="AD172" s="41">
        <f t="shared" si="73"/>
        <v>-38750.610125396895</v>
      </c>
      <c r="AF172" s="303">
        <f t="shared" si="74"/>
        <v>2.8622320702490177E-3</v>
      </c>
      <c r="AG172" s="303">
        <f t="shared" si="75"/>
        <v>2.7984460874218246E-3</v>
      </c>
      <c r="AH172" s="303">
        <f t="shared" si="76"/>
        <v>2.7894449629899507E-3</v>
      </c>
      <c r="AI172" s="303">
        <f t="shared" si="77"/>
        <v>2.7618818137174115E-3</v>
      </c>
      <c r="AJ172" s="303">
        <f t="shared" si="78"/>
        <v>2.7456133322653685E-3</v>
      </c>
      <c r="AK172" s="303">
        <f t="shared" si="79"/>
        <v>2.720697054061872E-3</v>
      </c>
      <c r="AL172" s="303">
        <f t="shared" si="80"/>
        <v>2.7003634567784873E-3</v>
      </c>
      <c r="AM172" s="303">
        <f t="shared" si="81"/>
        <v>2.6826308550031795E-3</v>
      </c>
      <c r="AV172" s="41">
        <v>-41893.648999999998</v>
      </c>
      <c r="AW172" s="303">
        <f t="shared" si="84"/>
        <v>2.8040868675380365E-3</v>
      </c>
      <c r="AX172" s="41">
        <f t="shared" si="85"/>
        <v>-41110.261053446171</v>
      </c>
    </row>
    <row r="173" spans="1:50" x14ac:dyDescent="0.2">
      <c r="A173" s="30">
        <v>561</v>
      </c>
      <c r="B173" s="47" t="s">
        <v>496</v>
      </c>
      <c r="C173" s="295">
        <v>0.98622489305314454</v>
      </c>
      <c r="D173" s="295">
        <v>1.0483607415440892</v>
      </c>
      <c r="E173" s="295">
        <v>1.0117981438703703</v>
      </c>
      <c r="F173" s="295">
        <v>0.98842880820164769</v>
      </c>
      <c r="G173" s="295">
        <v>0.99930361235345089</v>
      </c>
      <c r="H173" s="295">
        <v>1.0110083606609592</v>
      </c>
      <c r="I173" s="295">
        <v>0.98750317206744287</v>
      </c>
      <c r="J173" s="295">
        <v>0.99906932276416782</v>
      </c>
      <c r="L173" s="41">
        <v>-4131.3174300000001</v>
      </c>
      <c r="M173" s="41">
        <f t="shared" si="59"/>
        <v>-4074.4080905703422</v>
      </c>
      <c r="N173" s="41">
        <f t="shared" si="60"/>
        <v>-4271.4494871835604</v>
      </c>
      <c r="O173" s="41">
        <f t="shared" si="61"/>
        <v>-4321.8446627683716</v>
      </c>
      <c r="P173" s="41">
        <f t="shared" si="62"/>
        <v>-4271.8357692527934</v>
      </c>
      <c r="Q173" s="41">
        <f t="shared" si="63"/>
        <v>-4268.8609155949989</v>
      </c>
      <c r="R173" s="41">
        <f t="shared" si="64"/>
        <v>-4315.8540761653412</v>
      </c>
      <c r="S173" s="41">
        <f t="shared" si="65"/>
        <v>-4261.9195903934778</v>
      </c>
      <c r="T173" s="41">
        <f t="shared" si="66"/>
        <v>-4257.9531188497513</v>
      </c>
      <c r="V173" s="41">
        <f t="shared" si="82"/>
        <v>-4131.3174300000001</v>
      </c>
      <c r="W173" s="41">
        <f t="shared" si="83"/>
        <v>-4159.9706604723187</v>
      </c>
      <c r="X173" s="41">
        <f t="shared" si="67"/>
        <v>-4416.6787697478012</v>
      </c>
      <c r="Y173" s="41">
        <f t="shared" si="68"/>
        <v>-4464.4655366397274</v>
      </c>
      <c r="Z173" s="41">
        <f t="shared" si="69"/>
        <v>-4408.5345138688826</v>
      </c>
      <c r="AA173" s="41">
        <f t="shared" si="70"/>
        <v>-4384.1201603160634</v>
      </c>
      <c r="AB173" s="41">
        <f t="shared" si="71"/>
        <v>-4315.8540761653412</v>
      </c>
      <c r="AC173" s="41">
        <f t="shared" si="72"/>
        <v>-4261.9195903934778</v>
      </c>
      <c r="AD173" s="41">
        <f t="shared" si="73"/>
        <v>-4257.9531188497513</v>
      </c>
      <c r="AF173" s="303">
        <f t="shared" si="74"/>
        <v>2.8773060282072643E-4</v>
      </c>
      <c r="AG173" s="303">
        <f t="shared" si="75"/>
        <v>2.8484899415642112E-4</v>
      </c>
      <c r="AH173" s="303">
        <f t="shared" si="76"/>
        <v>2.896570907781211E-4</v>
      </c>
      <c r="AI173" s="303">
        <f t="shared" si="77"/>
        <v>2.8735817619461547E-4</v>
      </c>
      <c r="AJ173" s="303">
        <f t="shared" si="78"/>
        <v>2.8929179949112213E-4</v>
      </c>
      <c r="AK173" s="303">
        <f t="shared" si="79"/>
        <v>2.9468577015800734E-4</v>
      </c>
      <c r="AL173" s="303">
        <f t="shared" si="80"/>
        <v>2.9303828196779641E-4</v>
      </c>
      <c r="AM173" s="303">
        <f t="shared" si="81"/>
        <v>2.9476997597767163E-4</v>
      </c>
      <c r="AV173" s="41">
        <v>-4050.2530000000002</v>
      </c>
      <c r="AW173" s="303">
        <f t="shared" si="84"/>
        <v>2.7109744599966779E-4</v>
      </c>
      <c r="AX173" s="41">
        <f t="shared" si="85"/>
        <v>-3974.51552053877</v>
      </c>
    </row>
    <row r="174" spans="1:50" x14ac:dyDescent="0.2">
      <c r="A174" s="30">
        <v>562</v>
      </c>
      <c r="B174" s="47" t="s">
        <v>497</v>
      </c>
      <c r="C174" s="295">
        <v>0.97696535902402348</v>
      </c>
      <c r="D174" s="295">
        <v>1.0330340827729509</v>
      </c>
      <c r="E174" s="295">
        <v>0.97856811226130236</v>
      </c>
      <c r="F174" s="295">
        <v>0.99137031514828855</v>
      </c>
      <c r="G174" s="295">
        <v>0.98403893897784533</v>
      </c>
      <c r="H174" s="295">
        <v>0.98423868251689917</v>
      </c>
      <c r="I174" s="295">
        <v>0.97983848557443576</v>
      </c>
      <c r="J174" s="295">
        <v>0.98476615442243143</v>
      </c>
      <c r="L174" s="41">
        <v>-22669.323049999999</v>
      </c>
      <c r="M174" s="41">
        <f t="shared" si="59"/>
        <v>-22147.143332374821</v>
      </c>
      <c r="N174" s="41">
        <f t="shared" si="60"/>
        <v>-22878.753898400901</v>
      </c>
      <c r="O174" s="41">
        <f t="shared" si="61"/>
        <v>-22388.41901324908</v>
      </c>
      <c r="P174" s="41">
        <f t="shared" si="62"/>
        <v>-22195.214012836677</v>
      </c>
      <c r="Q174" s="41">
        <f t="shared" si="63"/>
        <v>-21840.95484757801</v>
      </c>
      <c r="R174" s="41">
        <f t="shared" si="64"/>
        <v>-21496.712624091262</v>
      </c>
      <c r="S174" s="41">
        <f t="shared" si="65"/>
        <v>-21063.306342418437</v>
      </c>
      <c r="T174" s="41">
        <f t="shared" si="66"/>
        <v>-20742.431186245012</v>
      </c>
      <c r="V174" s="41">
        <f t="shared" si="82"/>
        <v>-22669.323049999999</v>
      </c>
      <c r="W174" s="41">
        <f t="shared" si="83"/>
        <v>-22612.233342354692</v>
      </c>
      <c r="X174" s="41">
        <f t="shared" si="67"/>
        <v>-23656.631530946532</v>
      </c>
      <c r="Y174" s="41">
        <f t="shared" si="68"/>
        <v>-23127.236840686299</v>
      </c>
      <c r="Z174" s="41">
        <f t="shared" si="69"/>
        <v>-22905.460861247451</v>
      </c>
      <c r="AA174" s="41">
        <f t="shared" si="70"/>
        <v>-22430.660628462614</v>
      </c>
      <c r="AB174" s="41">
        <f t="shared" si="71"/>
        <v>-21496.712624091262</v>
      </c>
      <c r="AC174" s="41">
        <f t="shared" si="72"/>
        <v>-21063.306342418437</v>
      </c>
      <c r="AD174" s="41">
        <f t="shared" si="73"/>
        <v>-20742.431186245012</v>
      </c>
      <c r="AF174" s="303">
        <f t="shared" si="74"/>
        <v>1.5640089947124612E-3</v>
      </c>
      <c r="AG174" s="303">
        <f t="shared" si="75"/>
        <v>1.5257092598346196E-3</v>
      </c>
      <c r="AH174" s="303">
        <f t="shared" si="76"/>
        <v>1.5005084227958662E-3</v>
      </c>
      <c r="AI174" s="303">
        <f t="shared" si="77"/>
        <v>1.4930293586856505E-3</v>
      </c>
      <c r="AJ174" s="303">
        <f t="shared" si="78"/>
        <v>1.4801159502240476E-3</v>
      </c>
      <c r="AK174" s="303">
        <f t="shared" si="79"/>
        <v>1.4677918214334468E-3</v>
      </c>
      <c r="AL174" s="303">
        <f t="shared" si="80"/>
        <v>1.4482570523048821E-3</v>
      </c>
      <c r="AM174" s="303">
        <f t="shared" si="81"/>
        <v>1.4359589623992055E-3</v>
      </c>
      <c r="AV174" s="41">
        <v>-24965.47</v>
      </c>
      <c r="AW174" s="303">
        <f t="shared" si="84"/>
        <v>1.6710252804408333E-3</v>
      </c>
      <c r="AX174" s="41">
        <f t="shared" si="85"/>
        <v>-24498.629589940443</v>
      </c>
    </row>
    <row r="175" spans="1:50" x14ac:dyDescent="0.2">
      <c r="A175" s="30">
        <v>563</v>
      </c>
      <c r="B175" s="47" t="s">
        <v>498</v>
      </c>
      <c r="C175" s="295">
        <v>0.9695956238743062</v>
      </c>
      <c r="D175" s="295">
        <v>1.0262939759126066</v>
      </c>
      <c r="E175" s="295">
        <v>0.97993328416822001</v>
      </c>
      <c r="F175" s="295">
        <v>0.98144057329699397</v>
      </c>
      <c r="G175" s="295">
        <v>0.97556953376686917</v>
      </c>
      <c r="H175" s="295">
        <v>0.97290343430494908</v>
      </c>
      <c r="I175" s="295">
        <v>0.97642727147018726</v>
      </c>
      <c r="J175" s="295">
        <v>0.97614649084178762</v>
      </c>
      <c r="L175" s="41">
        <v>-20998.169620000001</v>
      </c>
      <c r="M175" s="41">
        <f t="shared" si="59"/>
        <v>-20359.733372922405</v>
      </c>
      <c r="N175" s="41">
        <f t="shared" si="60"/>
        <v>-20895.07171181712</v>
      </c>
      <c r="O175" s="41">
        <f t="shared" si="61"/>
        <v>-20475.776245491419</v>
      </c>
      <c r="P175" s="41">
        <f t="shared" si="62"/>
        <v>-20095.75757707607</v>
      </c>
      <c r="Q175" s="41">
        <f t="shared" si="63"/>
        <v>-19604.808850160131</v>
      </c>
      <c r="R175" s="41">
        <f t="shared" si="64"/>
        <v>-19073.58585921285</v>
      </c>
      <c r="S175" s="41">
        <f t="shared" si="65"/>
        <v>-18623.96939766355</v>
      </c>
      <c r="T175" s="41">
        <f t="shared" si="66"/>
        <v>-18179.722373074117</v>
      </c>
      <c r="V175" s="41">
        <f t="shared" si="82"/>
        <v>-20998.169620000001</v>
      </c>
      <c r="W175" s="41">
        <f t="shared" si="83"/>
        <v>-20787.287773753775</v>
      </c>
      <c r="X175" s="41">
        <f t="shared" si="67"/>
        <v>-21605.504150018904</v>
      </c>
      <c r="Y175" s="41">
        <f t="shared" si="68"/>
        <v>-21151.476861592633</v>
      </c>
      <c r="Z175" s="41">
        <f t="shared" si="69"/>
        <v>-20738.821819542507</v>
      </c>
      <c r="AA175" s="41">
        <f t="shared" si="70"/>
        <v>-20134.138689114454</v>
      </c>
      <c r="AB175" s="41">
        <f t="shared" si="71"/>
        <v>-19073.58585921285</v>
      </c>
      <c r="AC175" s="41">
        <f t="shared" si="72"/>
        <v>-18623.96939766355</v>
      </c>
      <c r="AD175" s="41">
        <f t="shared" si="73"/>
        <v>-18179.722373074117</v>
      </c>
      <c r="AF175" s="303">
        <f t="shared" si="74"/>
        <v>1.4377839004929419E-3</v>
      </c>
      <c r="AG175" s="303">
        <f t="shared" si="75"/>
        <v>1.39342398354379E-3</v>
      </c>
      <c r="AH175" s="303">
        <f t="shared" si="76"/>
        <v>1.3723199794260332E-3</v>
      </c>
      <c r="AI175" s="303">
        <f t="shared" si="77"/>
        <v>1.3518029621273997E-3</v>
      </c>
      <c r="AJ175" s="303">
        <f t="shared" si="78"/>
        <v>1.3285770005350011E-3</v>
      </c>
      <c r="AK175" s="303">
        <f t="shared" si="79"/>
        <v>1.3023411448588758E-3</v>
      </c>
      <c r="AL175" s="303">
        <f t="shared" si="80"/>
        <v>1.2805347168007646E-3</v>
      </c>
      <c r="AM175" s="303">
        <f t="shared" si="81"/>
        <v>1.2585475174605586E-3</v>
      </c>
      <c r="AV175" s="41">
        <v>-20166.874500000002</v>
      </c>
      <c r="AW175" s="303">
        <f t="shared" si="84"/>
        <v>1.3498386818664976E-3</v>
      </c>
      <c r="AX175" s="41">
        <f t="shared" si="85"/>
        <v>-19789.765158129023</v>
      </c>
    </row>
    <row r="176" spans="1:50" x14ac:dyDescent="0.2">
      <c r="A176" s="30">
        <v>564</v>
      </c>
      <c r="B176" s="47" t="s">
        <v>499</v>
      </c>
      <c r="C176" s="295">
        <v>0.99443768014873068</v>
      </c>
      <c r="D176" s="295">
        <v>1.055223216644706</v>
      </c>
      <c r="E176" s="295">
        <v>0.99671689292595078</v>
      </c>
      <c r="F176" s="295">
        <v>0.99779119626567625</v>
      </c>
      <c r="G176" s="295">
        <v>0.99375174046619563</v>
      </c>
      <c r="H176" s="295">
        <v>0.99303209272934256</v>
      </c>
      <c r="I176" s="295">
        <v>0.99495943545570287</v>
      </c>
      <c r="J176" s="295">
        <v>0.99636293661778941</v>
      </c>
      <c r="L176" s="41">
        <v>-565729.81907000009</v>
      </c>
      <c r="M176" s="41">
        <f t="shared" si="59"/>
        <v>-562583.04886693205</v>
      </c>
      <c r="N176" s="41">
        <f t="shared" si="60"/>
        <v>-593650.69445514982</v>
      </c>
      <c r="O176" s="41">
        <f t="shared" si="61"/>
        <v>-591701.67566066992</v>
      </c>
      <c r="P176" s="41">
        <f t="shared" si="62"/>
        <v>-590394.72278986499</v>
      </c>
      <c r="Q176" s="41">
        <f t="shared" si="63"/>
        <v>-586705.78333448537</v>
      </c>
      <c r="R176" s="41">
        <f t="shared" si="64"/>
        <v>-582617.67184105224</v>
      </c>
      <c r="S176" s="41">
        <f t="shared" si="65"/>
        <v>-579680.94986148935</v>
      </c>
      <c r="T176" s="41">
        <f t="shared" si="66"/>
        <v>-577572.61350538302</v>
      </c>
      <c r="V176" s="41">
        <f t="shared" si="82"/>
        <v>-565729.81907000009</v>
      </c>
      <c r="W176" s="41">
        <f t="shared" si="83"/>
        <v>-574397.29289313755</v>
      </c>
      <c r="X176" s="41">
        <f t="shared" si="67"/>
        <v>-613834.81806662492</v>
      </c>
      <c r="Y176" s="41">
        <f t="shared" si="68"/>
        <v>-611227.83095747198</v>
      </c>
      <c r="Z176" s="41">
        <f t="shared" si="69"/>
        <v>-609287.35391914065</v>
      </c>
      <c r="AA176" s="41">
        <f t="shared" si="70"/>
        <v>-602546.83948451641</v>
      </c>
      <c r="AB176" s="41">
        <f t="shared" si="71"/>
        <v>-582617.67184105224</v>
      </c>
      <c r="AC176" s="41">
        <f t="shared" si="72"/>
        <v>-579680.94986148935</v>
      </c>
      <c r="AD176" s="41">
        <f t="shared" si="73"/>
        <v>-577572.61350538302</v>
      </c>
      <c r="AF176" s="303">
        <f t="shared" si="74"/>
        <v>3.9729049272662673E-2</v>
      </c>
      <c r="AG176" s="303">
        <f t="shared" si="75"/>
        <v>3.9588622949468445E-2</v>
      </c>
      <c r="AH176" s="303">
        <f t="shared" si="76"/>
        <v>3.9656813086526861E-2</v>
      </c>
      <c r="AI176" s="303">
        <f t="shared" si="77"/>
        <v>3.9714717498490419E-2</v>
      </c>
      <c r="AJ176" s="303">
        <f t="shared" si="78"/>
        <v>3.9759827080012661E-2</v>
      </c>
      <c r="AK176" s="303">
        <f t="shared" si="79"/>
        <v>3.9781033905273357E-2</v>
      </c>
      <c r="AL176" s="303">
        <f t="shared" si="80"/>
        <v>3.9857323920367116E-2</v>
      </c>
      <c r="AM176" s="303">
        <f t="shared" si="81"/>
        <v>3.9984250802257454E-2</v>
      </c>
      <c r="AV176" s="41">
        <v>-563820.60924999998</v>
      </c>
      <c r="AW176" s="303">
        <f t="shared" si="84"/>
        <v>3.7738464034136054E-2</v>
      </c>
      <c r="AX176" s="41">
        <f t="shared" si="85"/>
        <v>-553277.47729925765</v>
      </c>
    </row>
    <row r="177" spans="1:50" x14ac:dyDescent="0.2">
      <c r="A177" s="30">
        <v>576</v>
      </c>
      <c r="B177" s="47" t="s">
        <v>500</v>
      </c>
      <c r="C177" s="295">
        <v>0.99305830897016223</v>
      </c>
      <c r="D177" s="295">
        <v>1.0462325942473383</v>
      </c>
      <c r="E177" s="295">
        <v>0.98875478435756314</v>
      </c>
      <c r="F177" s="295">
        <v>0.98974152560363804</v>
      </c>
      <c r="G177" s="295">
        <v>0.99436743978990505</v>
      </c>
      <c r="H177" s="295">
        <v>0.99485048576913748</v>
      </c>
      <c r="I177" s="295">
        <v>0.99499636997950314</v>
      </c>
      <c r="J177" s="295">
        <v>0.98911967689625735</v>
      </c>
      <c r="L177" s="41">
        <v>-7034.4980700000006</v>
      </c>
      <c r="M177" s="41">
        <f t="shared" si="59"/>
        <v>-6985.6667578480701</v>
      </c>
      <c r="N177" s="41">
        <f t="shared" si="60"/>
        <v>-7308.6322546107795</v>
      </c>
      <c r="O177" s="41">
        <f t="shared" si="61"/>
        <v>-7226.4451088564119</v>
      </c>
      <c r="P177" s="41">
        <f t="shared" si="62"/>
        <v>-7152.3128067304933</v>
      </c>
      <c r="Q177" s="41">
        <f t="shared" si="63"/>
        <v>-7112.0269742051505</v>
      </c>
      <c r="R177" s="41">
        <f t="shared" si="64"/>
        <v>-7075.4034900912029</v>
      </c>
      <c r="S177" s="41">
        <f t="shared" si="65"/>
        <v>-7040.0007887810543</v>
      </c>
      <c r="T177" s="41">
        <f t="shared" si="66"/>
        <v>-6963.4033055485133</v>
      </c>
      <c r="V177" s="41">
        <f t="shared" si="82"/>
        <v>-7034.4980700000006</v>
      </c>
      <c r="W177" s="41">
        <f t="shared" si="83"/>
        <v>-7132.365759762879</v>
      </c>
      <c r="X177" s="41">
        <f t="shared" si="67"/>
        <v>-7557.1257512675465</v>
      </c>
      <c r="Y177" s="41">
        <f t="shared" si="68"/>
        <v>-7464.9177974486729</v>
      </c>
      <c r="Z177" s="41">
        <f t="shared" si="69"/>
        <v>-7381.1868165458691</v>
      </c>
      <c r="AA177" s="41">
        <f t="shared" si="70"/>
        <v>-7304.0517025086892</v>
      </c>
      <c r="AB177" s="41">
        <f t="shared" si="71"/>
        <v>-7075.4034900912029</v>
      </c>
      <c r="AC177" s="41">
        <f t="shared" si="72"/>
        <v>-7040.0007887810543</v>
      </c>
      <c r="AD177" s="41">
        <f t="shared" si="73"/>
        <v>-6963.4033055485133</v>
      </c>
      <c r="AF177" s="303">
        <f t="shared" si="74"/>
        <v>4.9332076283477365E-4</v>
      </c>
      <c r="AG177" s="303">
        <f t="shared" si="75"/>
        <v>4.8738877812593733E-4</v>
      </c>
      <c r="AH177" s="303">
        <f t="shared" si="76"/>
        <v>4.8432815851329799E-4</v>
      </c>
      <c r="AI177" s="303">
        <f t="shared" si="77"/>
        <v>4.8112232649687365E-4</v>
      </c>
      <c r="AJ177" s="303">
        <f t="shared" si="78"/>
        <v>4.8196723249542523E-4</v>
      </c>
      <c r="AK177" s="303">
        <f t="shared" si="79"/>
        <v>4.831073270458511E-4</v>
      </c>
      <c r="AL177" s="303">
        <f t="shared" si="80"/>
        <v>4.8405177348873171E-4</v>
      </c>
      <c r="AM177" s="303">
        <f t="shared" si="81"/>
        <v>4.820631340473441E-4</v>
      </c>
      <c r="AV177" s="41">
        <v>-7058.25</v>
      </c>
      <c r="AW177" s="303">
        <f t="shared" si="84"/>
        <v>4.7243309201354958E-4</v>
      </c>
      <c r="AX177" s="41">
        <f t="shared" si="85"/>
        <v>-6926.2646488608925</v>
      </c>
    </row>
    <row r="178" spans="1:50" x14ac:dyDescent="0.2">
      <c r="A178" s="30">
        <v>577</v>
      </c>
      <c r="B178" s="47" t="s">
        <v>501</v>
      </c>
      <c r="C178" s="295">
        <v>0.9910976351937083</v>
      </c>
      <c r="D178" s="295">
        <v>1.0433887094925778</v>
      </c>
      <c r="E178" s="295">
        <v>0.99796422206551394</v>
      </c>
      <c r="F178" s="295">
        <v>0.99597639166346297</v>
      </c>
      <c r="G178" s="295">
        <v>0.99666916763315483</v>
      </c>
      <c r="H178" s="295">
        <v>0.99318959417573316</v>
      </c>
      <c r="I178" s="295">
        <v>0.99218062914157878</v>
      </c>
      <c r="J178" s="295">
        <v>0.99509497706526007</v>
      </c>
      <c r="L178" s="41">
        <v>-31184.292269999998</v>
      </c>
      <c r="M178" s="41">
        <f t="shared" si="59"/>
        <v>-30906.678323986434</v>
      </c>
      <c r="N178" s="41">
        <f t="shared" si="60"/>
        <v>-32247.679211166433</v>
      </c>
      <c r="O178" s="41">
        <f t="shared" si="61"/>
        <v>-32182.030097389954</v>
      </c>
      <c r="P178" s="41">
        <f t="shared" si="62"/>
        <v>-32052.542212803412</v>
      </c>
      <c r="Q178" s="41">
        <f t="shared" si="63"/>
        <v>-31945.780567761336</v>
      </c>
      <c r="R178" s="41">
        <f t="shared" si="64"/>
        <v>-31728.216837721902</v>
      </c>
      <c r="S178" s="41">
        <f t="shared" si="65"/>
        <v>-31480.12214359135</v>
      </c>
      <c r="T178" s="41">
        <f t="shared" si="66"/>
        <v>-31325.711422488621</v>
      </c>
      <c r="V178" s="41">
        <f t="shared" si="82"/>
        <v>-31184.292269999998</v>
      </c>
      <c r="W178" s="41">
        <f t="shared" si="83"/>
        <v>-31555.718568790147</v>
      </c>
      <c r="X178" s="41">
        <f t="shared" si="67"/>
        <v>-33344.100304346095</v>
      </c>
      <c r="Y178" s="41">
        <f t="shared" si="68"/>
        <v>-33244.037090603822</v>
      </c>
      <c r="Z178" s="41">
        <f t="shared" si="69"/>
        <v>-33078.223563613123</v>
      </c>
      <c r="AA178" s="41">
        <f t="shared" si="70"/>
        <v>-32808.31664309089</v>
      </c>
      <c r="AB178" s="41">
        <f t="shared" si="71"/>
        <v>-31728.216837721902</v>
      </c>
      <c r="AC178" s="41">
        <f t="shared" si="72"/>
        <v>-31480.12214359135</v>
      </c>
      <c r="AD178" s="41">
        <f t="shared" si="73"/>
        <v>-31325.711422488621</v>
      </c>
      <c r="AF178" s="303">
        <f t="shared" si="74"/>
        <v>2.1825985487138743E-3</v>
      </c>
      <c r="AG178" s="303">
        <f t="shared" si="75"/>
        <v>2.1504922426781228E-3</v>
      </c>
      <c r="AH178" s="303">
        <f t="shared" si="76"/>
        <v>2.1568922394755458E-3</v>
      </c>
      <c r="AI178" s="303">
        <f t="shared" si="77"/>
        <v>2.1561128681412711E-3</v>
      </c>
      <c r="AJ178" s="303">
        <f t="shared" si="78"/>
        <v>2.1648989108159046E-3</v>
      </c>
      <c r="AK178" s="303">
        <f t="shared" si="79"/>
        <v>2.1663971602283016E-3</v>
      </c>
      <c r="AL178" s="303">
        <f t="shared" si="80"/>
        <v>2.1644896656163133E-3</v>
      </c>
      <c r="AM178" s="303">
        <f t="shared" si="81"/>
        <v>2.1686192745083337E-3</v>
      </c>
      <c r="AV178" s="41">
        <v>-33637.930999999997</v>
      </c>
      <c r="AW178" s="303">
        <f t="shared" si="84"/>
        <v>2.2515030993898529E-3</v>
      </c>
      <c r="AX178" s="41">
        <f t="shared" si="85"/>
        <v>-33008.920390482323</v>
      </c>
    </row>
    <row r="179" spans="1:50" x14ac:dyDescent="0.2">
      <c r="A179" s="30">
        <v>578</v>
      </c>
      <c r="B179" s="47" t="s">
        <v>502</v>
      </c>
      <c r="C179" s="295">
        <v>0.98798875466546798</v>
      </c>
      <c r="D179" s="295">
        <v>1.0672510043028447</v>
      </c>
      <c r="E179" s="295">
        <v>0.99698464817001586</v>
      </c>
      <c r="F179" s="295">
        <v>0.99129713189453461</v>
      </c>
      <c r="G179" s="295">
        <v>0.99125497286504616</v>
      </c>
      <c r="H179" s="295">
        <v>0.98913084919362859</v>
      </c>
      <c r="I179" s="295">
        <v>1.0035393915733881</v>
      </c>
      <c r="J179" s="295">
        <v>0.989705132134863</v>
      </c>
      <c r="L179" s="41">
        <v>-8241.7231599999996</v>
      </c>
      <c r="M179" s="41">
        <f t="shared" si="59"/>
        <v>-8142.7298011459452</v>
      </c>
      <c r="N179" s="41">
        <f t="shared" si="60"/>
        <v>-8690.3365580397131</v>
      </c>
      <c r="O179" s="41">
        <f t="shared" si="61"/>
        <v>-8664.1321357962497</v>
      </c>
      <c r="P179" s="41">
        <f t="shared" si="62"/>
        <v>-8588.7293365700916</v>
      </c>
      <c r="Q179" s="41">
        <f t="shared" si="63"/>
        <v>-8513.6206654670113</v>
      </c>
      <c r="R179" s="41">
        <f t="shared" si="64"/>
        <v>-8421.0848385458103</v>
      </c>
      <c r="S179" s="41">
        <f t="shared" si="65"/>
        <v>-8450.890355262145</v>
      </c>
      <c r="T179" s="41">
        <f t="shared" si="66"/>
        <v>-8363.8895557119613</v>
      </c>
      <c r="V179" s="41">
        <f t="shared" si="82"/>
        <v>-8241.7231599999996</v>
      </c>
      <c r="W179" s="41">
        <f t="shared" si="83"/>
        <v>-8313.7271269700086</v>
      </c>
      <c r="X179" s="41">
        <f t="shared" si="67"/>
        <v>-8985.8080010130634</v>
      </c>
      <c r="Y179" s="41">
        <f t="shared" si="68"/>
        <v>-8950.0484962775245</v>
      </c>
      <c r="Z179" s="41">
        <f t="shared" si="69"/>
        <v>-8863.5686753403352</v>
      </c>
      <c r="AA179" s="41">
        <f t="shared" si="70"/>
        <v>-8743.4884234346191</v>
      </c>
      <c r="AB179" s="41">
        <f t="shared" si="71"/>
        <v>-8421.0848385458103</v>
      </c>
      <c r="AC179" s="41">
        <f t="shared" si="72"/>
        <v>-8450.890355262145</v>
      </c>
      <c r="AD179" s="41">
        <f t="shared" si="73"/>
        <v>-8363.8895557119613</v>
      </c>
      <c r="AF179" s="303">
        <f t="shared" si="74"/>
        <v>5.7503139160565821E-4</v>
      </c>
      <c r="AG179" s="303">
        <f t="shared" si="75"/>
        <v>5.7953011849160344E-4</v>
      </c>
      <c r="AH179" s="303">
        <f t="shared" si="76"/>
        <v>5.8068429210142425E-4</v>
      </c>
      <c r="AI179" s="303">
        <f t="shared" si="77"/>
        <v>5.7774730380556467E-4</v>
      </c>
      <c r="AJ179" s="303">
        <f t="shared" si="78"/>
        <v>5.7695031325574861E-4</v>
      </c>
      <c r="AK179" s="303">
        <f t="shared" si="79"/>
        <v>5.7499021686518244E-4</v>
      </c>
      <c r="AL179" s="303">
        <f t="shared" si="80"/>
        <v>5.8106079626331136E-4</v>
      </c>
      <c r="AM179" s="303">
        <f t="shared" si="81"/>
        <v>5.790161269044517E-4</v>
      </c>
      <c r="AV179" s="41">
        <v>-7768.2648300000001</v>
      </c>
      <c r="AW179" s="303">
        <f t="shared" si="84"/>
        <v>5.199568410324104E-4</v>
      </c>
      <c r="AX179" s="41">
        <f t="shared" si="85"/>
        <v>-7623.0025962552136</v>
      </c>
    </row>
    <row r="180" spans="1:50" x14ac:dyDescent="0.2">
      <c r="A180" s="30">
        <v>580</v>
      </c>
      <c r="B180" s="47" t="s">
        <v>503</v>
      </c>
      <c r="C180" s="295">
        <v>0.98841129195715149</v>
      </c>
      <c r="D180" s="295">
        <v>1.0438199482940402</v>
      </c>
      <c r="E180" s="295">
        <v>0.99418559209338908</v>
      </c>
      <c r="F180" s="295">
        <v>0.99496608984953061</v>
      </c>
      <c r="G180" s="295">
        <v>0.98987317935642194</v>
      </c>
      <c r="H180" s="295">
        <v>0.98985821898036508</v>
      </c>
      <c r="I180" s="295">
        <v>0.99417928466336514</v>
      </c>
      <c r="J180" s="295">
        <v>0.99423527933207922</v>
      </c>
      <c r="L180" s="41">
        <v>-10106.931480000001</v>
      </c>
      <c r="M180" s="41">
        <f t="shared" si="59"/>
        <v>-9989.8052018692069</v>
      </c>
      <c r="N180" s="41">
        <f t="shared" si="60"/>
        <v>-10427.557949282649</v>
      </c>
      <c r="O180" s="41">
        <f t="shared" si="61"/>
        <v>-10366.927873895696</v>
      </c>
      <c r="P180" s="41">
        <f t="shared" si="62"/>
        <v>-10314.741690442108</v>
      </c>
      <c r="Q180" s="41">
        <f t="shared" si="63"/>
        <v>-10210.286151358163</v>
      </c>
      <c r="R180" s="41">
        <f t="shared" si="64"/>
        <v>-10106.735665063277</v>
      </c>
      <c r="S180" s="41">
        <f t="shared" si="65"/>
        <v>-10047.907233774329</v>
      </c>
      <c r="T180" s="41">
        <f t="shared" si="66"/>
        <v>-9989.9838552744404</v>
      </c>
      <c r="V180" s="41">
        <f t="shared" si="82"/>
        <v>-10106.931480000001</v>
      </c>
      <c r="W180" s="41">
        <f t="shared" si="83"/>
        <v>-10199.591111108459</v>
      </c>
      <c r="X180" s="41">
        <f t="shared" si="67"/>
        <v>-10782.09491955826</v>
      </c>
      <c r="Y180" s="41">
        <f t="shared" si="68"/>
        <v>-10709.036493734253</v>
      </c>
      <c r="Z180" s="41">
        <f t="shared" si="69"/>
        <v>-10644.813424536256</v>
      </c>
      <c r="AA180" s="41">
        <f t="shared" si="70"/>
        <v>-10485.963877444832</v>
      </c>
      <c r="AB180" s="41">
        <f t="shared" si="71"/>
        <v>-10106.735665063277</v>
      </c>
      <c r="AC180" s="41">
        <f t="shared" si="72"/>
        <v>-10047.907233774329</v>
      </c>
      <c r="AD180" s="41">
        <f t="shared" si="73"/>
        <v>-9989.9838552744404</v>
      </c>
      <c r="AF180" s="303">
        <f t="shared" si="74"/>
        <v>7.05469999298253E-4</v>
      </c>
      <c r="AG180" s="303">
        <f t="shared" si="75"/>
        <v>6.9537973052783341E-4</v>
      </c>
      <c r="AH180" s="303">
        <f t="shared" si="76"/>
        <v>6.9480844467365737E-4</v>
      </c>
      <c r="AI180" s="303">
        <f t="shared" si="77"/>
        <v>6.938528352185367E-4</v>
      </c>
      <c r="AJ180" s="303">
        <f t="shared" si="78"/>
        <v>6.9192979402421908E-4</v>
      </c>
      <c r="AK180" s="303">
        <f t="shared" si="79"/>
        <v>6.9008616386975188E-4</v>
      </c>
      <c r="AL180" s="303">
        <f t="shared" si="80"/>
        <v>6.9086743912153033E-4</v>
      </c>
      <c r="AM180" s="303">
        <f t="shared" si="81"/>
        <v>6.9158753486512595E-4</v>
      </c>
      <c r="AV180" s="41">
        <v>-10234.23351</v>
      </c>
      <c r="AW180" s="303">
        <f t="shared" si="84"/>
        <v>6.8501265632670743E-4</v>
      </c>
      <c r="AX180" s="41">
        <f t="shared" si="85"/>
        <v>-10042.859032833992</v>
      </c>
    </row>
    <row r="181" spans="1:50" x14ac:dyDescent="0.2">
      <c r="A181" s="30">
        <v>581</v>
      </c>
      <c r="B181" s="47" t="s">
        <v>504</v>
      </c>
      <c r="C181" s="295">
        <v>0.97869427290208133</v>
      </c>
      <c r="D181" s="295">
        <v>1.0607038043871784</v>
      </c>
      <c r="E181" s="295">
        <v>0.98244464432939937</v>
      </c>
      <c r="F181" s="295">
        <v>0.98655680593617101</v>
      </c>
      <c r="G181" s="295">
        <v>0.98133995217835235</v>
      </c>
      <c r="H181" s="295">
        <v>0.98997001217158154</v>
      </c>
      <c r="I181" s="295">
        <v>0.98275498545087592</v>
      </c>
      <c r="J181" s="295">
        <v>0.98228939541267479</v>
      </c>
      <c r="L181" s="41">
        <v>-14914.95031</v>
      </c>
      <c r="M181" s="41">
        <f t="shared" si="59"/>
        <v>-14597.176449016122</v>
      </c>
      <c r="N181" s="41">
        <f t="shared" si="60"/>
        <v>-15483.280592782325</v>
      </c>
      <c r="O181" s="41">
        <f t="shared" si="61"/>
        <v>-15211.466095028323</v>
      </c>
      <c r="P181" s="41">
        <f t="shared" si="62"/>
        <v>-15006.975404317502</v>
      </c>
      <c r="Q181" s="41">
        <f t="shared" si="63"/>
        <v>-14726.944525614646</v>
      </c>
      <c r="R181" s="41">
        <f t="shared" si="64"/>
        <v>-14579.233451272938</v>
      </c>
      <c r="S181" s="41">
        <f t="shared" si="65"/>
        <v>-14327.81435829066</v>
      </c>
      <c r="T181" s="41">
        <f t="shared" si="66"/>
        <v>-14074.060103590373</v>
      </c>
      <c r="V181" s="41">
        <f t="shared" si="82"/>
        <v>-14914.95031</v>
      </c>
      <c r="W181" s="41">
        <f t="shared" si="83"/>
        <v>-14903.71715444546</v>
      </c>
      <c r="X181" s="41">
        <f t="shared" si="67"/>
        <v>-16009.712132936924</v>
      </c>
      <c r="Y181" s="41">
        <f t="shared" si="68"/>
        <v>-15713.444476164257</v>
      </c>
      <c r="Z181" s="41">
        <f t="shared" si="69"/>
        <v>-15487.198617255663</v>
      </c>
      <c r="AA181" s="41">
        <f t="shared" si="70"/>
        <v>-15124.57202780624</v>
      </c>
      <c r="AB181" s="41">
        <f t="shared" si="71"/>
        <v>-14579.233451272938</v>
      </c>
      <c r="AC181" s="41">
        <f t="shared" si="72"/>
        <v>-14327.81435829066</v>
      </c>
      <c r="AD181" s="41">
        <f t="shared" si="73"/>
        <v>-14074.060103590373</v>
      </c>
      <c r="AF181" s="303">
        <f t="shared" si="74"/>
        <v>1.0308379243788488E-3</v>
      </c>
      <c r="AG181" s="303">
        <f t="shared" si="75"/>
        <v>1.0325293360787787E-3</v>
      </c>
      <c r="AH181" s="303">
        <f t="shared" si="76"/>
        <v>1.0194973117644592E-3</v>
      </c>
      <c r="AI181" s="303">
        <f t="shared" si="77"/>
        <v>1.0094903725983895E-3</v>
      </c>
      <c r="AJ181" s="303">
        <f t="shared" si="78"/>
        <v>9.9801431038827213E-4</v>
      </c>
      <c r="AK181" s="303">
        <f t="shared" si="79"/>
        <v>9.9546753946765207E-4</v>
      </c>
      <c r="AL181" s="303">
        <f t="shared" si="80"/>
        <v>9.8514249620542207E-4</v>
      </c>
      <c r="AM181" s="303">
        <f t="shared" si="81"/>
        <v>9.743203466186475E-4</v>
      </c>
      <c r="AV181" s="41">
        <v>-16590.89774</v>
      </c>
      <c r="AW181" s="303">
        <f t="shared" si="84"/>
        <v>1.1104861854693178E-3</v>
      </c>
      <c r="AX181" s="41">
        <f t="shared" si="85"/>
        <v>-16280.657175564493</v>
      </c>
    </row>
    <row r="182" spans="1:50" x14ac:dyDescent="0.2">
      <c r="A182" s="30">
        <v>583</v>
      </c>
      <c r="B182" s="47" t="s">
        <v>505</v>
      </c>
      <c r="C182" s="295">
        <v>0.99838503924674638</v>
      </c>
      <c r="D182" s="295">
        <v>1.0647413527536627</v>
      </c>
      <c r="E182" s="295">
        <v>1.000130334101605</v>
      </c>
      <c r="F182" s="295">
        <v>1.0130269489530337</v>
      </c>
      <c r="G182" s="295">
        <v>0.99775077217759955</v>
      </c>
      <c r="H182" s="295">
        <v>0.99924856724908306</v>
      </c>
      <c r="I182" s="295">
        <v>0.99812000543321888</v>
      </c>
      <c r="J182" s="295">
        <v>0.9984931715172144</v>
      </c>
      <c r="L182" s="41">
        <v>-3288.5826299999999</v>
      </c>
      <c r="M182" s="41">
        <f t="shared" si="59"/>
        <v>-3283.2716981187182</v>
      </c>
      <c r="N182" s="41">
        <f t="shared" si="60"/>
        <v>-3495.8351493127393</v>
      </c>
      <c r="O182" s="41">
        <f t="shared" si="61"/>
        <v>-3496.2907758462843</v>
      </c>
      <c r="P182" s="41">
        <f t="shared" si="62"/>
        <v>-3541.8367773081964</v>
      </c>
      <c r="Q182" s="41">
        <f t="shared" si="63"/>
        <v>-3533.8703794862736</v>
      </c>
      <c r="R182" s="41">
        <f t="shared" si="64"/>
        <v>-3531.2149135456325</v>
      </c>
      <c r="S182" s="41">
        <f t="shared" si="65"/>
        <v>-3524.5762486940303</v>
      </c>
      <c r="T182" s="41">
        <f t="shared" si="66"/>
        <v>-3519.2653168127486</v>
      </c>
      <c r="V182" s="41">
        <f t="shared" si="82"/>
        <v>-3288.5826299999999</v>
      </c>
      <c r="W182" s="41">
        <f t="shared" si="83"/>
        <v>-3352.2204037792108</v>
      </c>
      <c r="X182" s="41">
        <f t="shared" si="67"/>
        <v>-3614.6935443893726</v>
      </c>
      <c r="Y182" s="41">
        <f t="shared" si="68"/>
        <v>-3611.6683714492115</v>
      </c>
      <c r="Z182" s="41">
        <f t="shared" si="69"/>
        <v>-3655.1755541820589</v>
      </c>
      <c r="AA182" s="41">
        <f t="shared" si="70"/>
        <v>-3629.2848797324027</v>
      </c>
      <c r="AB182" s="41">
        <f t="shared" si="71"/>
        <v>-3531.2149135456325</v>
      </c>
      <c r="AC182" s="41">
        <f t="shared" si="72"/>
        <v>-3524.5762486940303</v>
      </c>
      <c r="AD182" s="41">
        <f t="shared" si="73"/>
        <v>-3519.2653168127486</v>
      </c>
      <c r="AF182" s="303">
        <f t="shared" si="74"/>
        <v>2.3186134621868193E-4</v>
      </c>
      <c r="AG182" s="303">
        <f t="shared" si="75"/>
        <v>2.3312581104054702E-4</v>
      </c>
      <c r="AH182" s="303">
        <f t="shared" si="76"/>
        <v>2.3432712040078509E-4</v>
      </c>
      <c r="AI182" s="303">
        <f t="shared" si="77"/>
        <v>2.3825254801036552E-4</v>
      </c>
      <c r="AJ182" s="303">
        <f t="shared" si="78"/>
        <v>2.394830240346368E-4</v>
      </c>
      <c r="AK182" s="303">
        <f t="shared" si="79"/>
        <v>2.4111074378960779E-4</v>
      </c>
      <c r="AL182" s="303">
        <f t="shared" si="80"/>
        <v>2.4234051034417657E-4</v>
      </c>
      <c r="AM182" s="303">
        <f t="shared" si="81"/>
        <v>2.4363202786417345E-4</v>
      </c>
      <c r="AV182" s="41">
        <v>-3323.88915</v>
      </c>
      <c r="AW182" s="303">
        <f t="shared" si="84"/>
        <v>2.2247940050930317E-4</v>
      </c>
      <c r="AX182" s="41">
        <f t="shared" si="85"/>
        <v>-3261.7342707296111</v>
      </c>
    </row>
    <row r="183" spans="1:50" x14ac:dyDescent="0.2">
      <c r="A183" s="30">
        <v>584</v>
      </c>
      <c r="B183" s="47" t="s">
        <v>506</v>
      </c>
      <c r="C183" s="295">
        <v>0.99163798768283318</v>
      </c>
      <c r="D183" s="295">
        <v>1.0187794135040822</v>
      </c>
      <c r="E183" s="295">
        <v>0.98763774477785526</v>
      </c>
      <c r="F183" s="295">
        <v>1.0016982107640422</v>
      </c>
      <c r="G183" s="295">
        <v>0.99193375313745535</v>
      </c>
      <c r="H183" s="295">
        <v>0.98558203988938164</v>
      </c>
      <c r="I183" s="295">
        <v>0.9919027524950742</v>
      </c>
      <c r="J183" s="295">
        <v>0.9835791717216833</v>
      </c>
      <c r="L183" s="41">
        <v>-9568.6170999999995</v>
      </c>
      <c r="M183" s="41">
        <f t="shared" si="59"/>
        <v>-9488.6042059515457</v>
      </c>
      <c r="N183" s="41">
        <f t="shared" si="60"/>
        <v>-9666.7946279116841</v>
      </c>
      <c r="O183" s="41">
        <f t="shared" si="61"/>
        <v>-9547.2912455413825</v>
      </c>
      <c r="P183" s="41">
        <f t="shared" si="62"/>
        <v>-9563.5045583020074</v>
      </c>
      <c r="Q183" s="41">
        <f t="shared" si="63"/>
        <v>-9486.3629696636726</v>
      </c>
      <c r="R183" s="41">
        <f t="shared" si="64"/>
        <v>-9349.5889667722149</v>
      </c>
      <c r="S183" s="41">
        <f t="shared" si="65"/>
        <v>-9273.883030838937</v>
      </c>
      <c r="T183" s="41">
        <f t="shared" si="66"/>
        <v>-9121.5981901163359</v>
      </c>
      <c r="V183" s="41">
        <f t="shared" si="82"/>
        <v>-9568.6170999999995</v>
      </c>
      <c r="W183" s="41">
        <f t="shared" si="83"/>
        <v>-9687.8648942765267</v>
      </c>
      <c r="X183" s="41">
        <f t="shared" si="67"/>
        <v>-9995.4656452606814</v>
      </c>
      <c r="Y183" s="41">
        <f t="shared" si="68"/>
        <v>-9862.3518566442472</v>
      </c>
      <c r="Z183" s="41">
        <f t="shared" si="69"/>
        <v>-9869.5367041676727</v>
      </c>
      <c r="AA183" s="41">
        <f t="shared" si="70"/>
        <v>-9742.4947698445903</v>
      </c>
      <c r="AB183" s="41">
        <f t="shared" si="71"/>
        <v>-9349.5889667722149</v>
      </c>
      <c r="AC183" s="41">
        <f t="shared" si="72"/>
        <v>-9273.883030838937</v>
      </c>
      <c r="AD183" s="41">
        <f t="shared" si="73"/>
        <v>-9121.5981901163359</v>
      </c>
      <c r="AF183" s="303">
        <f t="shared" si="74"/>
        <v>6.7007568888946176E-4</v>
      </c>
      <c r="AG183" s="303">
        <f t="shared" si="75"/>
        <v>6.4464691312385108E-4</v>
      </c>
      <c r="AH183" s="303">
        <f t="shared" si="76"/>
        <v>6.3987505863376617E-4</v>
      </c>
      <c r="AI183" s="303">
        <f t="shared" si="77"/>
        <v>6.4331855819055718E-4</v>
      </c>
      <c r="AJ183" s="303">
        <f t="shared" si="78"/>
        <v>6.428710300901058E-4</v>
      </c>
      <c r="AK183" s="303">
        <f t="shared" si="79"/>
        <v>6.3838831821257493E-4</v>
      </c>
      <c r="AL183" s="303">
        <f t="shared" si="80"/>
        <v>6.3764758881254319E-4</v>
      </c>
      <c r="AM183" s="303">
        <f t="shared" si="81"/>
        <v>6.3147085097661055E-4</v>
      </c>
      <c r="AV183" s="41">
        <v>-9275.6090000000004</v>
      </c>
      <c r="AW183" s="303">
        <f t="shared" si="84"/>
        <v>6.2084860130750662E-4</v>
      </c>
      <c r="AX183" s="41">
        <f t="shared" si="85"/>
        <v>-9102.1602682472185</v>
      </c>
    </row>
    <row r="184" spans="1:50" x14ac:dyDescent="0.2">
      <c r="A184" s="30">
        <v>588</v>
      </c>
      <c r="B184" s="47" t="s">
        <v>507</v>
      </c>
      <c r="C184" s="295">
        <v>0.99624420783872758</v>
      </c>
      <c r="D184" s="295">
        <v>1.0856834936532429</v>
      </c>
      <c r="E184" s="295">
        <v>0.98775560560436637</v>
      </c>
      <c r="F184" s="295">
        <v>0.99990236713684</v>
      </c>
      <c r="G184" s="295">
        <v>0.99785994168915582</v>
      </c>
      <c r="H184" s="295">
        <v>0.9977021628758036</v>
      </c>
      <c r="I184" s="295">
        <v>0.99815749652776309</v>
      </c>
      <c r="J184" s="295">
        <v>0.99830792082202202</v>
      </c>
      <c r="L184" s="41">
        <v>-3886.6405299999997</v>
      </c>
      <c r="M184" s="41">
        <f t="shared" si="59"/>
        <v>-3872.0431159637419</v>
      </c>
      <c r="N184" s="41">
        <v>0</v>
      </c>
      <c r="O184" s="41">
        <f t="shared" si="61"/>
        <v>0</v>
      </c>
      <c r="P184" s="41">
        <f t="shared" si="62"/>
        <v>0</v>
      </c>
      <c r="Q184" s="41">
        <f t="shared" si="63"/>
        <v>0</v>
      </c>
      <c r="R184" s="41">
        <f t="shared" si="64"/>
        <v>0</v>
      </c>
      <c r="S184" s="41">
        <f t="shared" si="65"/>
        <v>0</v>
      </c>
      <c r="T184" s="41">
        <f t="shared" si="66"/>
        <v>0</v>
      </c>
      <c r="V184" s="41">
        <f t="shared" si="82"/>
        <v>-3886.6405299999997</v>
      </c>
      <c r="W184" s="41">
        <f t="shared" si="83"/>
        <v>-3953.3560213989799</v>
      </c>
      <c r="X184" s="41">
        <f t="shared" si="67"/>
        <v>0</v>
      </c>
      <c r="Y184" s="41">
        <f t="shared" si="68"/>
        <v>0</v>
      </c>
      <c r="Z184" s="41">
        <f t="shared" si="69"/>
        <v>0</v>
      </c>
      <c r="AA184" s="41">
        <f t="shared" si="70"/>
        <v>0</v>
      </c>
      <c r="AB184" s="41">
        <f t="shared" si="71"/>
        <v>0</v>
      </c>
      <c r="AC184" s="41">
        <f t="shared" si="72"/>
        <v>0</v>
      </c>
      <c r="AD184" s="41">
        <f t="shared" si="73"/>
        <v>0</v>
      </c>
      <c r="AF184" s="303">
        <f t="shared" si="74"/>
        <v>2.7343979177798491E-4</v>
      </c>
      <c r="AG184" s="303">
        <f t="shared" si="75"/>
        <v>0</v>
      </c>
      <c r="AH184" s="303">
        <f t="shared" si="76"/>
        <v>0</v>
      </c>
      <c r="AI184" s="303">
        <f t="shared" si="77"/>
        <v>0</v>
      </c>
      <c r="AJ184" s="303">
        <f t="shared" si="78"/>
        <v>0</v>
      </c>
      <c r="AK184" s="303">
        <f t="shared" si="79"/>
        <v>0</v>
      </c>
      <c r="AL184" s="303">
        <f t="shared" si="80"/>
        <v>0</v>
      </c>
      <c r="AM184" s="303">
        <f t="shared" si="81"/>
        <v>0</v>
      </c>
      <c r="AV184" s="41">
        <v>-3942.1</v>
      </c>
      <c r="AW184" s="303">
        <f t="shared" si="84"/>
        <v>2.6385839153141553E-4</v>
      </c>
      <c r="AX184" s="41">
        <f t="shared" si="85"/>
        <v>-3868.3849215137634</v>
      </c>
    </row>
    <row r="185" spans="1:50" x14ac:dyDescent="0.2">
      <c r="A185" s="30">
        <v>592</v>
      </c>
      <c r="B185" s="47" t="s">
        <v>508</v>
      </c>
      <c r="C185" s="295">
        <v>0.99740084672950413</v>
      </c>
      <c r="D185" s="295">
        <v>1.0491510520809153</v>
      </c>
      <c r="E185" s="295">
        <v>0.99349346811057015</v>
      </c>
      <c r="F185" s="295">
        <v>1.0036815985551255</v>
      </c>
      <c r="G185" s="295">
        <v>0.99277502859053102</v>
      </c>
      <c r="H185" s="295">
        <v>0.98912087305898655</v>
      </c>
      <c r="I185" s="295">
        <v>0.99787468690759518</v>
      </c>
      <c r="J185" s="295">
        <v>0.9778583171687959</v>
      </c>
      <c r="L185" s="41">
        <v>-11658.157160000001</v>
      </c>
      <c r="M185" s="41">
        <f t="shared" si="59"/>
        <v>-11627.855822689631</v>
      </c>
      <c r="N185" s="41">
        <f t="shared" si="60"/>
        <v>-12199.377169820023</v>
      </c>
      <c r="O185" s="41">
        <f t="shared" si="61"/>
        <v>-12120.001533233408</v>
      </c>
      <c r="P185" s="41">
        <f t="shared" si="62"/>
        <v>-12164.622513366279</v>
      </c>
      <c r="Q185" s="41">
        <f t="shared" si="63"/>
        <v>-12076.733463500224</v>
      </c>
      <c r="R185" s="41">
        <f t="shared" si="64"/>
        <v>-11945.34914711802</v>
      </c>
      <c r="S185" s="41">
        <f t="shared" si="65"/>
        <v>-11919.961540182303</v>
      </c>
      <c r="T185" s="41">
        <f t="shared" si="66"/>
        <v>-11656.033532399435</v>
      </c>
      <c r="V185" s="41">
        <f t="shared" si="82"/>
        <v>-11658.157160000001</v>
      </c>
      <c r="W185" s="41">
        <f t="shared" si="83"/>
        <v>-11872.040794966113</v>
      </c>
      <c r="X185" s="41">
        <f t="shared" si="67"/>
        <v>-12614.155993593904</v>
      </c>
      <c r="Y185" s="41">
        <f t="shared" si="68"/>
        <v>-12519.961583830109</v>
      </c>
      <c r="Z185" s="41">
        <f t="shared" si="69"/>
        <v>-12553.890433794</v>
      </c>
      <c r="AA185" s="41">
        <f t="shared" si="70"/>
        <v>-12402.80526701473</v>
      </c>
      <c r="AB185" s="41">
        <f t="shared" si="71"/>
        <v>-11945.34914711802</v>
      </c>
      <c r="AC185" s="41">
        <f t="shared" si="72"/>
        <v>-11919.961540182303</v>
      </c>
      <c r="AD185" s="41">
        <f t="shared" si="73"/>
        <v>-11656.033532399435</v>
      </c>
      <c r="AF185" s="303">
        <f t="shared" si="74"/>
        <v>8.2114748719405934E-4</v>
      </c>
      <c r="AG185" s="303">
        <f t="shared" si="75"/>
        <v>8.135365586283259E-4</v>
      </c>
      <c r="AH185" s="303">
        <f t="shared" si="76"/>
        <v>8.1230230567657681E-4</v>
      </c>
      <c r="AI185" s="303">
        <f t="shared" si="77"/>
        <v>8.182907603089633E-4</v>
      </c>
      <c r="AJ185" s="303">
        <f t="shared" si="78"/>
        <v>8.1841503499620956E-4</v>
      </c>
      <c r="AK185" s="303">
        <f t="shared" si="79"/>
        <v>8.1562637454888622E-4</v>
      </c>
      <c r="AL185" s="303">
        <f t="shared" si="80"/>
        <v>8.1958492570591702E-4</v>
      </c>
      <c r="AM185" s="303">
        <f t="shared" si="81"/>
        <v>8.0692497743340135E-4</v>
      </c>
      <c r="AV185" s="41">
        <v>-11721.78</v>
      </c>
      <c r="AW185" s="303">
        <f t="shared" si="84"/>
        <v>7.845792893851288E-4</v>
      </c>
      <c r="AX185" s="41">
        <f t="shared" si="85"/>
        <v>-11502.589230435962</v>
      </c>
    </row>
    <row r="186" spans="1:50" x14ac:dyDescent="0.2">
      <c r="A186" s="30">
        <v>593</v>
      </c>
      <c r="B186" s="47" t="s">
        <v>509</v>
      </c>
      <c r="C186" s="295">
        <v>0.97408798466230451</v>
      </c>
      <c r="D186" s="295">
        <v>1.0685116644142814</v>
      </c>
      <c r="E186" s="295">
        <v>0.97207605982195722</v>
      </c>
      <c r="F186" s="295">
        <v>0.98923533928708451</v>
      </c>
      <c r="G186" s="295">
        <v>0.96813839891462072</v>
      </c>
      <c r="H186" s="295">
        <v>0.97958140930887738</v>
      </c>
      <c r="I186" s="295">
        <v>0.97655232562287164</v>
      </c>
      <c r="J186" s="295">
        <v>0.97859755669899895</v>
      </c>
      <c r="L186" s="41">
        <v>-37093.357750000003</v>
      </c>
      <c r="M186" s="41">
        <f t="shared" si="59"/>
        <v>-36132.194095055376</v>
      </c>
      <c r="N186" s="41">
        <f t="shared" si="60"/>
        <v>-38607.670851447489</v>
      </c>
      <c r="O186" s="41">
        <f t="shared" si="61"/>
        <v>-37529.592560178105</v>
      </c>
      <c r="P186" s="41">
        <f t="shared" si="62"/>
        <v>-37125.599229573832</v>
      </c>
      <c r="Q186" s="41">
        <f t="shared" si="63"/>
        <v>-35942.718196865484</v>
      </c>
      <c r="R186" s="41">
        <f t="shared" si="64"/>
        <v>-35208.818545677321</v>
      </c>
      <c r="S186" s="41">
        <f t="shared" si="65"/>
        <v>-34383.253633214881</v>
      </c>
      <c r="T186" s="41">
        <f t="shared" si="66"/>
        <v>-33647.367996826062</v>
      </c>
      <c r="V186" s="41">
        <f t="shared" si="82"/>
        <v>-37093.357750000003</v>
      </c>
      <c r="W186" s="41">
        <f t="shared" si="83"/>
        <v>-36890.970171051536</v>
      </c>
      <c r="X186" s="41">
        <f t="shared" si="67"/>
        <v>-39920.331660396703</v>
      </c>
      <c r="Y186" s="41">
        <f t="shared" si="68"/>
        <v>-38768.06911466398</v>
      </c>
      <c r="Z186" s="41">
        <f t="shared" si="69"/>
        <v>-38313.618404920198</v>
      </c>
      <c r="AA186" s="41">
        <f t="shared" si="70"/>
        <v>-36913.171588180849</v>
      </c>
      <c r="AB186" s="41">
        <f t="shared" si="71"/>
        <v>-35208.818545677321</v>
      </c>
      <c r="AC186" s="41">
        <f t="shared" si="72"/>
        <v>-34383.253633214881</v>
      </c>
      <c r="AD186" s="41">
        <f t="shared" si="73"/>
        <v>-33647.367996826062</v>
      </c>
      <c r="AF186" s="303">
        <f t="shared" si="74"/>
        <v>2.5516192185723054E-3</v>
      </c>
      <c r="AG186" s="303">
        <f t="shared" si="75"/>
        <v>2.5746192812895127E-3</v>
      </c>
      <c r="AH186" s="303">
        <f t="shared" si="76"/>
        <v>2.515294613135433E-3</v>
      </c>
      <c r="AI186" s="303">
        <f t="shared" si="77"/>
        <v>2.4973676566710824E-3</v>
      </c>
      <c r="AJ186" s="303">
        <f t="shared" si="78"/>
        <v>2.4357630364080954E-3</v>
      </c>
      <c r="AK186" s="303">
        <f t="shared" si="79"/>
        <v>2.4040520430906628E-3</v>
      </c>
      <c r="AL186" s="303">
        <f t="shared" si="80"/>
        <v>2.3641012833398064E-3</v>
      </c>
      <c r="AM186" s="303">
        <f t="shared" si="81"/>
        <v>2.3293431325555835E-3</v>
      </c>
      <c r="AV186" s="41">
        <v>-38046.116999999998</v>
      </c>
      <c r="AW186" s="303">
        <f t="shared" si="84"/>
        <v>2.5465582394246836E-3</v>
      </c>
      <c r="AX186" s="41">
        <f t="shared" si="85"/>
        <v>-37334.675762905172</v>
      </c>
    </row>
    <row r="187" spans="1:50" x14ac:dyDescent="0.2">
      <c r="A187" s="30">
        <v>595</v>
      </c>
      <c r="B187" s="47" t="s">
        <v>510</v>
      </c>
      <c r="C187" s="295">
        <v>0.99007191936800687</v>
      </c>
      <c r="D187" s="295">
        <v>1.0297619238865681</v>
      </c>
      <c r="E187" s="295">
        <v>0.99471248694989978</v>
      </c>
      <c r="F187" s="295">
        <v>0.99087404642417676</v>
      </c>
      <c r="G187" s="295">
        <v>0.99246548782619337</v>
      </c>
      <c r="H187" s="295">
        <v>0.98978142107520095</v>
      </c>
      <c r="I187" s="295">
        <v>0.99505128431815204</v>
      </c>
      <c r="J187" s="295">
        <v>0.99024624458441524</v>
      </c>
      <c r="L187" s="41">
        <v>-11778.7754</v>
      </c>
      <c r="M187" s="41">
        <f t="shared" si="59"/>
        <v>-11661.834768082663</v>
      </c>
      <c r="N187" s="41">
        <f t="shared" si="60"/>
        <v>-12008.913406828073</v>
      </c>
      <c r="O187" s="41">
        <f t="shared" si="61"/>
        <v>-11945.416120471946</v>
      </c>
      <c r="P187" s="41">
        <f t="shared" si="62"/>
        <v>-11836.402807512628</v>
      </c>
      <c r="Q187" s="41">
        <f t="shared" si="63"/>
        <v>-11747.221286465345</v>
      </c>
      <c r="R187" s="41">
        <f t="shared" si="64"/>
        <v>-11627.18137860252</v>
      </c>
      <c r="S187" s="41">
        <f t="shared" si="65"/>
        <v>-11569.641763778538</v>
      </c>
      <c r="T187" s="41">
        <f t="shared" si="66"/>
        <v>-11456.794307768707</v>
      </c>
      <c r="V187" s="41">
        <f t="shared" si="82"/>
        <v>-11778.7754</v>
      </c>
      <c r="W187" s="41">
        <f t="shared" si="83"/>
        <v>-11906.733298212397</v>
      </c>
      <c r="X187" s="41">
        <f t="shared" si="67"/>
        <v>-12417.216462660228</v>
      </c>
      <c r="Y187" s="41">
        <f t="shared" si="68"/>
        <v>-12339.614852447519</v>
      </c>
      <c r="Z187" s="41">
        <f t="shared" si="69"/>
        <v>-12215.167697353032</v>
      </c>
      <c r="AA187" s="41">
        <f t="shared" si="70"/>
        <v>-12064.396261199909</v>
      </c>
      <c r="AB187" s="41">
        <f t="shared" si="71"/>
        <v>-11627.18137860252</v>
      </c>
      <c r="AC187" s="41">
        <f t="shared" si="72"/>
        <v>-11569.641763778538</v>
      </c>
      <c r="AD187" s="41">
        <f t="shared" si="73"/>
        <v>-11456.794307768707</v>
      </c>
      <c r="AF187" s="303">
        <f t="shared" si="74"/>
        <v>8.2354704615423722E-4</v>
      </c>
      <c r="AG187" s="303">
        <f t="shared" si="75"/>
        <v>8.0083515329173224E-4</v>
      </c>
      <c r="AH187" s="303">
        <f t="shared" si="76"/>
        <v>8.0060130605749528E-4</v>
      </c>
      <c r="AI187" s="303">
        <f t="shared" si="77"/>
        <v>7.9621205195971054E-4</v>
      </c>
      <c r="AJ187" s="303">
        <f t="shared" si="78"/>
        <v>7.9608468211438675E-4</v>
      </c>
      <c r="AK187" s="303">
        <f t="shared" si="79"/>
        <v>7.9390193432227164E-4</v>
      </c>
      <c r="AL187" s="303">
        <f t="shared" si="80"/>
        <v>7.9549786745918363E-4</v>
      </c>
      <c r="AM187" s="303">
        <f t="shared" si="81"/>
        <v>7.9313202579233799E-4</v>
      </c>
      <c r="AV187" s="41">
        <v>-12146.86658</v>
      </c>
      <c r="AW187" s="303">
        <f t="shared" si="84"/>
        <v>8.1303180486175046E-4</v>
      </c>
      <c r="AX187" s="41">
        <f t="shared" si="85"/>
        <v>-11919.726927706415</v>
      </c>
    </row>
    <row r="188" spans="1:50" x14ac:dyDescent="0.2">
      <c r="A188" s="30">
        <v>598</v>
      </c>
      <c r="B188" s="47" t="s">
        <v>511</v>
      </c>
      <c r="C188" s="295">
        <v>0.98624149645029169</v>
      </c>
      <c r="D188" s="295">
        <v>1.0642127180199783</v>
      </c>
      <c r="E188" s="295">
        <v>0.98875655222227155</v>
      </c>
      <c r="F188" s="295">
        <v>0.99157723562969446</v>
      </c>
      <c r="G188" s="295">
        <v>0.99178942133240944</v>
      </c>
      <c r="H188" s="295">
        <v>0.9923264994756954</v>
      </c>
      <c r="I188" s="295">
        <v>0.99026053129593095</v>
      </c>
      <c r="J188" s="295">
        <v>0.99257569277006785</v>
      </c>
      <c r="L188" s="41">
        <v>-52955.126369999998</v>
      </c>
      <c r="M188" s="41">
        <f t="shared" si="59"/>
        <v>-52226.543075863097</v>
      </c>
      <c r="N188" s="41">
        <f t="shared" si="60"/>
        <v>-55580.151359551746</v>
      </c>
      <c r="O188" s="41">
        <f t="shared" si="61"/>
        <v>-54955.23883026238</v>
      </c>
      <c r="P188" s="41">
        <f t="shared" si="62"/>
        <v>-54492.363802681219</v>
      </c>
      <c r="Q188" s="41">
        <f t="shared" si="63"/>
        <v>-54044.949962896339</v>
      </c>
      <c r="R188" s="41">
        <f t="shared" si="64"/>
        <v>-53630.236011020039</v>
      </c>
      <c r="S188" s="41">
        <f t="shared" si="65"/>
        <v>-53107.906005798875</v>
      </c>
      <c r="T188" s="41">
        <f t="shared" si="66"/>
        <v>-52713.616595273466</v>
      </c>
      <c r="V188" s="41">
        <f t="shared" si="82"/>
        <v>-52955.126369999998</v>
      </c>
      <c r="W188" s="41">
        <f t="shared" si="83"/>
        <v>-53323.300480456215</v>
      </c>
      <c r="X188" s="41">
        <f t="shared" si="67"/>
        <v>-57469.876505776505</v>
      </c>
      <c r="Y188" s="41">
        <f t="shared" si="68"/>
        <v>-56768.761711661034</v>
      </c>
      <c r="Z188" s="41">
        <f t="shared" si="69"/>
        <v>-56236.119444367017</v>
      </c>
      <c r="AA188" s="41">
        <f t="shared" si="70"/>
        <v>-55504.163611894532</v>
      </c>
      <c r="AB188" s="41">
        <f t="shared" si="71"/>
        <v>-53630.236011020039</v>
      </c>
      <c r="AC188" s="41">
        <f t="shared" si="72"/>
        <v>-53107.906005798875</v>
      </c>
      <c r="AD188" s="41">
        <f t="shared" si="73"/>
        <v>-52713.616595273466</v>
      </c>
      <c r="AF188" s="303">
        <f t="shared" si="74"/>
        <v>3.6881859618429131E-3</v>
      </c>
      <c r="AG188" s="303">
        <f t="shared" si="75"/>
        <v>3.7064584884671024E-3</v>
      </c>
      <c r="AH188" s="303">
        <f t="shared" si="76"/>
        <v>3.6831898979900394E-3</v>
      </c>
      <c r="AI188" s="303">
        <f t="shared" si="77"/>
        <v>3.6655965080817973E-3</v>
      </c>
      <c r="AJ188" s="303">
        <f t="shared" si="78"/>
        <v>3.6625135222974918E-3</v>
      </c>
      <c r="AK188" s="303">
        <f t="shared" si="79"/>
        <v>3.6618632427686563E-3</v>
      </c>
      <c r="AL188" s="303">
        <f t="shared" si="80"/>
        <v>3.6515586943323144E-3</v>
      </c>
      <c r="AM188" s="303">
        <f t="shared" si="81"/>
        <v>3.6492631703005959E-3</v>
      </c>
      <c r="AV188" s="41">
        <v>-53644.485999999997</v>
      </c>
      <c r="AW188" s="303">
        <f t="shared" si="84"/>
        <v>3.5906110424620227E-3</v>
      </c>
      <c r="AX188" s="41">
        <f t="shared" si="85"/>
        <v>-52641.363934135661</v>
      </c>
    </row>
    <row r="189" spans="1:50" x14ac:dyDescent="0.2">
      <c r="A189" s="30">
        <v>599</v>
      </c>
      <c r="B189" s="47" t="s">
        <v>512</v>
      </c>
      <c r="C189" s="295">
        <v>0.99197613268668894</v>
      </c>
      <c r="D189" s="295">
        <v>1.011206518448855</v>
      </c>
      <c r="E189" s="295">
        <v>1.0014613126232381</v>
      </c>
      <c r="F189" s="295">
        <v>0.9886710859875355</v>
      </c>
      <c r="G189" s="295">
        <v>0.99878571821260631</v>
      </c>
      <c r="H189" s="295">
        <v>0.99248193965439879</v>
      </c>
      <c r="I189" s="295">
        <v>0.99873395181235247</v>
      </c>
      <c r="J189" s="295">
        <v>0.99595837816231836</v>
      </c>
      <c r="L189" s="41">
        <v>-34030.917030000004</v>
      </c>
      <c r="M189" s="41">
        <f t="shared" si="59"/>
        <v>-33757.857467200985</v>
      </c>
      <c r="N189" s="41">
        <f t="shared" si="60"/>
        <v>-34136.16551970099</v>
      </c>
      <c r="O189" s="41">
        <f t="shared" si="61"/>
        <v>-34186.049129283878</v>
      </c>
      <c r="P189" s="41">
        <f t="shared" si="62"/>
        <v>-33798.758318272332</v>
      </c>
      <c r="Q189" s="41">
        <f t="shared" si="63"/>
        <v>-33757.717101609931</v>
      </c>
      <c r="R189" s="41">
        <f t="shared" si="64"/>
        <v>-33503.924547310293</v>
      </c>
      <c r="S189" s="41">
        <f t="shared" si="65"/>
        <v>-33461.506964358094</v>
      </c>
      <c r="T189" s="41">
        <f t="shared" si="66"/>
        <v>-33326.268207089204</v>
      </c>
      <c r="V189" s="41">
        <f t="shared" si="82"/>
        <v>-34030.917030000004</v>
      </c>
      <c r="W189" s="41">
        <f t="shared" si="83"/>
        <v>-34466.772474012199</v>
      </c>
      <c r="X189" s="41">
        <f t="shared" si="67"/>
        <v>-35296.795147370824</v>
      </c>
      <c r="Y189" s="41">
        <f t="shared" si="68"/>
        <v>-35314.188750550245</v>
      </c>
      <c r="Z189" s="41">
        <f t="shared" si="69"/>
        <v>-34880.318584457047</v>
      </c>
      <c r="AA189" s="41">
        <f t="shared" si="70"/>
        <v>-34669.175463353393</v>
      </c>
      <c r="AB189" s="41">
        <f t="shared" si="71"/>
        <v>-33503.924547310293</v>
      </c>
      <c r="AC189" s="41">
        <f t="shared" si="72"/>
        <v>-33461.506964358094</v>
      </c>
      <c r="AD189" s="41">
        <f t="shared" si="73"/>
        <v>-33326.268207089204</v>
      </c>
      <c r="AF189" s="303">
        <f t="shared" si="74"/>
        <v>2.383945953144383E-3</v>
      </c>
      <c r="AG189" s="303">
        <f t="shared" si="75"/>
        <v>2.27642921725275E-3</v>
      </c>
      <c r="AH189" s="303">
        <f t="shared" si="76"/>
        <v>2.2912048693678366E-3</v>
      </c>
      <c r="AI189" s="303">
        <f t="shared" si="77"/>
        <v>2.2735774670663801E-3</v>
      </c>
      <c r="AJ189" s="303">
        <f t="shared" si="78"/>
        <v>2.2876900700513434E-3</v>
      </c>
      <c r="AK189" s="303">
        <f t="shared" si="79"/>
        <v>2.2876421756391329E-3</v>
      </c>
      <c r="AL189" s="303">
        <f t="shared" si="80"/>
        <v>2.3007244282578468E-3</v>
      </c>
      <c r="AM189" s="303">
        <f t="shared" si="81"/>
        <v>2.3071140063380693E-3</v>
      </c>
      <c r="AV189" s="41">
        <v>-35508.664499999999</v>
      </c>
      <c r="AW189" s="303">
        <f t="shared" si="84"/>
        <v>2.3767177647443434E-3</v>
      </c>
      <c r="AX189" s="41">
        <f t="shared" si="85"/>
        <v>-34844.67221402072</v>
      </c>
    </row>
    <row r="190" spans="1:50" x14ac:dyDescent="0.2">
      <c r="A190" s="30">
        <v>601</v>
      </c>
      <c r="B190" s="47" t="s">
        <v>513</v>
      </c>
      <c r="C190" s="295">
        <v>0.98813155137118769</v>
      </c>
      <c r="D190" s="295">
        <v>1.060147348530307</v>
      </c>
      <c r="E190" s="295">
        <v>0.99791767834534706</v>
      </c>
      <c r="F190" s="295">
        <v>0.99128884672974893</v>
      </c>
      <c r="G190" s="295">
        <v>1.0009971639195507</v>
      </c>
      <c r="H190" s="295">
        <v>0.98436566311077422</v>
      </c>
      <c r="I190" s="295">
        <v>0.99159825031139492</v>
      </c>
      <c r="J190" s="295">
        <v>0.99550237973201028</v>
      </c>
      <c r="L190" s="41">
        <v>-11006.024869999999</v>
      </c>
      <c r="M190" s="41">
        <f t="shared" si="59"/>
        <v>-10875.400429222973</v>
      </c>
      <c r="N190" s="41">
        <f t="shared" si="60"/>
        <v>-11529.526929246098</v>
      </c>
      <c r="O190" s="41">
        <f t="shared" si="61"/>
        <v>-11505.518745653424</v>
      </c>
      <c r="P190" s="41">
        <f t="shared" si="62"/>
        <v>-11405.292408406291</v>
      </c>
      <c r="Q190" s="41">
        <f t="shared" si="63"/>
        <v>-11416.665354487879</v>
      </c>
      <c r="R190" s="41">
        <f t="shared" si="64"/>
        <v>-11238.173362184263</v>
      </c>
      <c r="S190" s="41">
        <f t="shared" si="65"/>
        <v>-11143.753042638042</v>
      </c>
      <c r="T190" s="41">
        <f t="shared" si="66"/>
        <v>-11093.632673092001</v>
      </c>
      <c r="V190" s="41">
        <f t="shared" si="82"/>
        <v>-11006.024869999999</v>
      </c>
      <c r="W190" s="41">
        <f t="shared" si="83"/>
        <v>-11103.783838236654</v>
      </c>
      <c r="X190" s="41">
        <f t="shared" si="67"/>
        <v>-11921.530844840465</v>
      </c>
      <c r="Y190" s="41">
        <f t="shared" si="68"/>
        <v>-11885.200864259987</v>
      </c>
      <c r="Z190" s="41">
        <f t="shared" si="69"/>
        <v>-11770.261765475292</v>
      </c>
      <c r="AA190" s="41">
        <f t="shared" si="70"/>
        <v>-11724.915319059051</v>
      </c>
      <c r="AB190" s="41">
        <f t="shared" si="71"/>
        <v>-11238.173362184263</v>
      </c>
      <c r="AC190" s="41">
        <f t="shared" si="72"/>
        <v>-11143.753042638042</v>
      </c>
      <c r="AD190" s="41">
        <f t="shared" si="73"/>
        <v>-11093.632673092001</v>
      </c>
      <c r="AF190" s="303">
        <f t="shared" si="74"/>
        <v>7.6800984384926558E-4</v>
      </c>
      <c r="AG190" s="303">
        <f t="shared" si="75"/>
        <v>7.6886643720106072E-4</v>
      </c>
      <c r="AH190" s="303">
        <f t="shared" si="76"/>
        <v>7.7111866524706718E-4</v>
      </c>
      <c r="AI190" s="303">
        <f t="shared" si="77"/>
        <v>7.6721208456456919E-4</v>
      </c>
      <c r="AJ190" s="303">
        <f t="shared" si="78"/>
        <v>7.7368359613735687E-4</v>
      </c>
      <c r="AK190" s="303">
        <f t="shared" si="79"/>
        <v>7.6734053421633787E-4</v>
      </c>
      <c r="AL190" s="303">
        <f t="shared" si="80"/>
        <v>7.6621488909568269E-4</v>
      </c>
      <c r="AM190" s="303">
        <f t="shared" si="81"/>
        <v>7.6799103824699302E-4</v>
      </c>
      <c r="AV190" s="41">
        <v>-12343.549000000001</v>
      </c>
      <c r="AW190" s="303">
        <f t="shared" si="84"/>
        <v>8.261964396969161E-4</v>
      </c>
      <c r="AX190" s="41">
        <f t="shared" si="85"/>
        <v>-12112.731495793181</v>
      </c>
    </row>
    <row r="191" spans="1:50" x14ac:dyDescent="0.2">
      <c r="A191" s="30">
        <v>604</v>
      </c>
      <c r="B191" s="47" t="s">
        <v>514</v>
      </c>
      <c r="C191" s="295">
        <v>0.98784280796930068</v>
      </c>
      <c r="D191" s="295">
        <v>1.0402027911644682</v>
      </c>
      <c r="E191" s="295">
        <v>0.99099006954766999</v>
      </c>
      <c r="F191" s="295">
        <v>1.0002945094554043</v>
      </c>
      <c r="G191" s="295">
        <v>0.99183641308382986</v>
      </c>
      <c r="H191" s="295">
        <v>0.99121206143388652</v>
      </c>
      <c r="I191" s="295">
        <v>0.99368650573671335</v>
      </c>
      <c r="J191" s="295">
        <v>0.99234608296519666</v>
      </c>
      <c r="L191" s="41">
        <v>-58980.035299999996</v>
      </c>
      <c r="M191" s="41">
        <f t="shared" si="59"/>
        <v>-58263.003684880474</v>
      </c>
      <c r="N191" s="41">
        <f t="shared" si="60"/>
        <v>-60605.339054638367</v>
      </c>
      <c r="O191" s="41">
        <f t="shared" si="61"/>
        <v>-60059.289164716196</v>
      </c>
      <c r="P191" s="41">
        <f t="shared" si="62"/>
        <v>-60076.977193260071</v>
      </c>
      <c r="Q191" s="41">
        <f t="shared" si="63"/>
        <v>-59586.533568282124</v>
      </c>
      <c r="R191" s="41">
        <f t="shared" si="64"/>
        <v>-59062.890771916405</v>
      </c>
      <c r="S191" s="41">
        <f t="shared" si="65"/>
        <v>-58689.997549854786</v>
      </c>
      <c r="T191" s="41">
        <f t="shared" si="66"/>
        <v>-58240.789177835388</v>
      </c>
      <c r="V191" s="41">
        <f t="shared" si="82"/>
        <v>-58980.035299999996</v>
      </c>
      <c r="W191" s="41">
        <f t="shared" si="83"/>
        <v>-59486.526762262962</v>
      </c>
      <c r="X191" s="41">
        <f t="shared" si="67"/>
        <v>-62665.920582496074</v>
      </c>
      <c r="Y191" s="41">
        <f t="shared" si="68"/>
        <v>-62041.245707151822</v>
      </c>
      <c r="Z191" s="41">
        <f t="shared" si="69"/>
        <v>-61999.440463444393</v>
      </c>
      <c r="AA191" s="41">
        <f t="shared" si="70"/>
        <v>-61195.369974625733</v>
      </c>
      <c r="AB191" s="41">
        <f t="shared" si="71"/>
        <v>-59062.890771916405</v>
      </c>
      <c r="AC191" s="41">
        <f t="shared" si="72"/>
        <v>-58689.997549854786</v>
      </c>
      <c r="AD191" s="41">
        <f t="shared" si="73"/>
        <v>-58240.789177835388</v>
      </c>
      <c r="AF191" s="303">
        <f t="shared" si="74"/>
        <v>4.1144747408083529E-3</v>
      </c>
      <c r="AG191" s="303">
        <f t="shared" si="75"/>
        <v>4.0415718181898604E-3</v>
      </c>
      <c r="AH191" s="303">
        <f t="shared" si="76"/>
        <v>4.0252716909335131E-3</v>
      </c>
      <c r="AI191" s="303">
        <f t="shared" si="77"/>
        <v>4.0412627100035684E-3</v>
      </c>
      <c r="AJ191" s="303">
        <f t="shared" si="78"/>
        <v>4.0380550836015827E-3</v>
      </c>
      <c r="AK191" s="303">
        <f t="shared" si="79"/>
        <v>4.0328039705978379E-3</v>
      </c>
      <c r="AL191" s="303">
        <f t="shared" si="80"/>
        <v>4.0353684967378281E-3</v>
      </c>
      <c r="AM191" s="303">
        <f t="shared" si="81"/>
        <v>4.0318987897896025E-3</v>
      </c>
      <c r="AV191" s="41">
        <v>-61590.96</v>
      </c>
      <c r="AW191" s="303">
        <f t="shared" si="84"/>
        <v>4.1224960397949709E-3</v>
      </c>
      <c r="AX191" s="41">
        <f t="shared" si="85"/>
        <v>-60439.243287982899</v>
      </c>
    </row>
    <row r="192" spans="1:50" x14ac:dyDescent="0.2">
      <c r="A192" s="30">
        <v>607</v>
      </c>
      <c r="B192" s="47" t="s">
        <v>515</v>
      </c>
      <c r="C192" s="295">
        <v>0.98541501798927722</v>
      </c>
      <c r="D192" s="295">
        <v>1.0713223630135325</v>
      </c>
      <c r="E192" s="295">
        <v>1.0020895785551061</v>
      </c>
      <c r="F192" s="295">
        <v>0.99058775937541976</v>
      </c>
      <c r="G192" s="295">
        <v>0.99117213229791024</v>
      </c>
      <c r="H192" s="295">
        <v>0.99218960472063078</v>
      </c>
      <c r="I192" s="295">
        <v>0.99608893840772839</v>
      </c>
      <c r="J192" s="295">
        <v>1.0022275255175173</v>
      </c>
      <c r="L192" s="41">
        <v>-10417.30436</v>
      </c>
      <c r="M192" s="41">
        <f t="shared" si="59"/>
        <v>-10265.368163309176</v>
      </c>
      <c r="N192" s="41">
        <f t="shared" si="60"/>
        <v>-10997.518477920272</v>
      </c>
      <c r="O192" s="41">
        <f t="shared" si="61"/>
        <v>-11020.498656691118</v>
      </c>
      <c r="P192" s="41">
        <f t="shared" si="62"/>
        <v>-10916.771071531477</v>
      </c>
      <c r="Q192" s="41">
        <f t="shared" si="63"/>
        <v>-10820.399260777996</v>
      </c>
      <c r="R192" s="41">
        <f t="shared" si="64"/>
        <v>-10735.887665470726</v>
      </c>
      <c r="S192" s="41">
        <f t="shared" si="65"/>
        <v>-10693.898947563361</v>
      </c>
      <c r="T192" s="41">
        <f t="shared" si="66"/>
        <v>-10717.719880350809</v>
      </c>
      <c r="V192" s="41">
        <f t="shared" si="82"/>
        <v>-10417.30436</v>
      </c>
      <c r="W192" s="41">
        <f t="shared" si="83"/>
        <v>-10480.940894738667</v>
      </c>
      <c r="X192" s="41">
        <f t="shared" si="67"/>
        <v>-11371.434106169561</v>
      </c>
      <c r="Y192" s="41">
        <f t="shared" si="68"/>
        <v>-11384.175112361923</v>
      </c>
      <c r="Z192" s="41">
        <f t="shared" si="69"/>
        <v>-11266.107745820485</v>
      </c>
      <c r="AA192" s="41">
        <f t="shared" si="70"/>
        <v>-11112.550040819002</v>
      </c>
      <c r="AB192" s="41">
        <f t="shared" si="71"/>
        <v>-10735.887665470726</v>
      </c>
      <c r="AC192" s="41">
        <f t="shared" si="72"/>
        <v>-10693.898947563361</v>
      </c>
      <c r="AD192" s="41">
        <f t="shared" si="73"/>
        <v>-10717.719880350809</v>
      </c>
      <c r="AF192" s="303">
        <f t="shared" si="74"/>
        <v>7.2492997857565716E-4</v>
      </c>
      <c r="AG192" s="303">
        <f t="shared" si="75"/>
        <v>7.3338853381075327E-4</v>
      </c>
      <c r="AH192" s="303">
        <f t="shared" si="76"/>
        <v>7.3861182640853841E-4</v>
      </c>
      <c r="AI192" s="303">
        <f t="shared" si="77"/>
        <v>7.3435019380394743E-4</v>
      </c>
      <c r="AJ192" s="303">
        <f t="shared" si="78"/>
        <v>7.3327588676582031E-4</v>
      </c>
      <c r="AK192" s="303">
        <f t="shared" si="79"/>
        <v>7.3304455368427743E-4</v>
      </c>
      <c r="AL192" s="303">
        <f t="shared" si="80"/>
        <v>7.3528411521294693E-4</v>
      </c>
      <c r="AM192" s="303">
        <f t="shared" si="81"/>
        <v>7.4196731234088098E-4</v>
      </c>
      <c r="AV192" s="41">
        <v>-10471.429</v>
      </c>
      <c r="AW192" s="303">
        <f t="shared" si="84"/>
        <v>7.0088897110053504E-4</v>
      </c>
      <c r="AX192" s="41">
        <f t="shared" si="85"/>
        <v>-10275.619099034004</v>
      </c>
    </row>
    <row r="193" spans="1:50" x14ac:dyDescent="0.2">
      <c r="A193" s="30">
        <v>608</v>
      </c>
      <c r="B193" s="47" t="s">
        <v>516</v>
      </c>
      <c r="C193" s="295">
        <v>1.0035129043319841</v>
      </c>
      <c r="D193" s="295">
        <v>1.0388781647344663</v>
      </c>
      <c r="E193" s="295">
        <v>0.99555242187775073</v>
      </c>
      <c r="F193" s="295">
        <v>0.98878003674467529</v>
      </c>
      <c r="G193" s="295">
        <v>0.99529025096764256</v>
      </c>
      <c r="H193" s="295">
        <v>0.99546513242247225</v>
      </c>
      <c r="I193" s="295">
        <v>0.99524640735375935</v>
      </c>
      <c r="J193" s="295">
        <v>0.99582073993462605</v>
      </c>
      <c r="L193" s="41">
        <v>-5638.8742899999997</v>
      </c>
      <c r="M193" s="41">
        <f t="shared" si="59"/>
        <v>-5658.683115920855</v>
      </c>
      <c r="N193" s="41">
        <f t="shared" si="60"/>
        <v>-5878.6823302817693</v>
      </c>
      <c r="O193" s="41">
        <f t="shared" si="61"/>
        <v>-5852.5364313619548</v>
      </c>
      <c r="P193" s="41">
        <f t="shared" si="62"/>
        <v>-5786.8711876516245</v>
      </c>
      <c r="Q193" s="41">
        <f t="shared" si="63"/>
        <v>-5759.6164766752054</v>
      </c>
      <c r="R193" s="41">
        <f t="shared" si="64"/>
        <v>-5733.4973786561368</v>
      </c>
      <c r="S193" s="41">
        <f t="shared" si="65"/>
        <v>-5706.2426676797168</v>
      </c>
      <c r="T193" s="41">
        <f t="shared" si="66"/>
        <v>-5682.3947955753501</v>
      </c>
      <c r="V193" s="41">
        <f t="shared" si="82"/>
        <v>-5638.8742899999997</v>
      </c>
      <c r="W193" s="41">
        <f t="shared" si="83"/>
        <v>-5777.5154613551922</v>
      </c>
      <c r="X193" s="41">
        <f t="shared" si="67"/>
        <v>-6078.5575295113495</v>
      </c>
      <c r="Y193" s="41">
        <f t="shared" si="68"/>
        <v>-6045.6701335968992</v>
      </c>
      <c r="Z193" s="41">
        <f t="shared" si="69"/>
        <v>-5972.0510656564766</v>
      </c>
      <c r="AA193" s="41">
        <f t="shared" si="70"/>
        <v>-5915.1261215454351</v>
      </c>
      <c r="AB193" s="41">
        <f t="shared" si="71"/>
        <v>-5733.4973786561368</v>
      </c>
      <c r="AC193" s="41">
        <f t="shared" si="72"/>
        <v>-5706.2426676797168</v>
      </c>
      <c r="AD193" s="41">
        <f t="shared" si="73"/>
        <v>-5682.3947955753501</v>
      </c>
      <c r="AF193" s="303">
        <f t="shared" si="74"/>
        <v>3.9961051223208705E-4</v>
      </c>
      <c r="AG193" s="303">
        <f t="shared" si="75"/>
        <v>3.9203009511649804E-4</v>
      </c>
      <c r="AH193" s="303">
        <f t="shared" si="76"/>
        <v>3.92246554112703E-4</v>
      </c>
      <c r="AI193" s="303">
        <f t="shared" si="77"/>
        <v>3.892716949293221E-4</v>
      </c>
      <c r="AJ193" s="303">
        <f t="shared" si="78"/>
        <v>3.9031719417915225E-4</v>
      </c>
      <c r="AK193" s="303">
        <f t="shared" si="79"/>
        <v>3.9148220975751818E-4</v>
      </c>
      <c r="AL193" s="303">
        <f t="shared" si="80"/>
        <v>3.9234610422901486E-4</v>
      </c>
      <c r="AM193" s="303">
        <f t="shared" si="81"/>
        <v>3.9338135734098422E-4</v>
      </c>
      <c r="AV193" s="41">
        <v>-6044.4966399999994</v>
      </c>
      <c r="AW193" s="303">
        <f t="shared" si="84"/>
        <v>4.0457907233389453E-4</v>
      </c>
      <c r="AX193" s="41">
        <f t="shared" si="85"/>
        <v>-5931.4679131215871</v>
      </c>
    </row>
    <row r="194" spans="1:50" x14ac:dyDescent="0.2">
      <c r="A194" s="30">
        <v>609</v>
      </c>
      <c r="B194" s="47" t="s">
        <v>517</v>
      </c>
      <c r="C194" s="295">
        <v>0.98565207765824991</v>
      </c>
      <c r="D194" s="295">
        <v>1.084839102795697</v>
      </c>
      <c r="E194" s="295">
        <v>0.99073506887284768</v>
      </c>
      <c r="F194" s="295">
        <v>0.98822358272465893</v>
      </c>
      <c r="G194" s="295">
        <v>0.98553016642369651</v>
      </c>
      <c r="H194" s="295">
        <v>0.98717686361657153</v>
      </c>
      <c r="I194" s="295">
        <v>0.98454400439525536</v>
      </c>
      <c r="J194" s="295">
        <v>0.98735923017432303</v>
      </c>
      <c r="L194" s="41">
        <v>-177586.44209999999</v>
      </c>
      <c r="M194" s="41">
        <f t="shared" si="59"/>
        <v>-175038.4456198015</v>
      </c>
      <c r="N194" s="41">
        <f t="shared" si="60"/>
        <v>-189888.55030093883</v>
      </c>
      <c r="O194" s="41">
        <f t="shared" si="61"/>
        <v>-188129.24596056584</v>
      </c>
      <c r="P194" s="41">
        <f t="shared" si="62"/>
        <v>-185913.75745843895</v>
      </c>
      <c r="Q194" s="41">
        <f t="shared" si="63"/>
        <v>-183223.61632847009</v>
      </c>
      <c r="R194" s="41">
        <f t="shared" si="64"/>
        <v>-180874.11490762513</v>
      </c>
      <c r="S194" s="41">
        <f t="shared" si="65"/>
        <v>-178078.52538260081</v>
      </c>
      <c r="T194" s="41">
        <f t="shared" si="66"/>
        <v>-175827.47573234339</v>
      </c>
      <c r="V194" s="41">
        <f t="shared" si="82"/>
        <v>-177586.44209999999</v>
      </c>
      <c r="W194" s="41">
        <f t="shared" si="83"/>
        <v>-178714.25297781732</v>
      </c>
      <c r="X194" s="41">
        <f t="shared" si="67"/>
        <v>-196344.76101117075</v>
      </c>
      <c r="Y194" s="41">
        <f t="shared" si="68"/>
        <v>-194337.5110772645</v>
      </c>
      <c r="Z194" s="41">
        <f t="shared" si="69"/>
        <v>-191862.99769710901</v>
      </c>
      <c r="AA194" s="41">
        <f t="shared" si="70"/>
        <v>-188170.65396933877</v>
      </c>
      <c r="AB194" s="41">
        <f t="shared" si="71"/>
        <v>-180874.11490762513</v>
      </c>
      <c r="AC194" s="41">
        <f t="shared" si="72"/>
        <v>-178078.52538260081</v>
      </c>
      <c r="AD194" s="41">
        <f t="shared" si="73"/>
        <v>-175827.47573234339</v>
      </c>
      <c r="AF194" s="303">
        <f t="shared" si="74"/>
        <v>1.2361039040627471E-2</v>
      </c>
      <c r="AG194" s="303">
        <f t="shared" si="75"/>
        <v>1.2663046283782255E-2</v>
      </c>
      <c r="AH194" s="303">
        <f t="shared" si="76"/>
        <v>1.2608729449409096E-2</v>
      </c>
      <c r="AI194" s="303">
        <f t="shared" si="77"/>
        <v>1.2506060897113964E-2</v>
      </c>
      <c r="AJ194" s="303">
        <f t="shared" si="78"/>
        <v>1.2416682277770147E-2</v>
      </c>
      <c r="AK194" s="303">
        <f t="shared" si="79"/>
        <v>1.2350053294795283E-2</v>
      </c>
      <c r="AL194" s="303">
        <f t="shared" si="80"/>
        <v>1.224420687126529E-2</v>
      </c>
      <c r="AM194" s="303">
        <f t="shared" si="81"/>
        <v>1.2172200902916132E-2</v>
      </c>
      <c r="AV194" s="41">
        <v>-191263.01084999999</v>
      </c>
      <c r="AW194" s="303">
        <f t="shared" si="84"/>
        <v>1.2801895031160214E-2</v>
      </c>
      <c r="AX194" s="41">
        <f t="shared" si="85"/>
        <v>-187686.49887508267</v>
      </c>
    </row>
    <row r="195" spans="1:50" x14ac:dyDescent="0.2">
      <c r="A195" s="30">
        <v>611</v>
      </c>
      <c r="B195" s="47" t="s">
        <v>518</v>
      </c>
      <c r="C195" s="295">
        <v>0.98505723099254183</v>
      </c>
      <c r="D195" s="295">
        <v>1.0310363316946638</v>
      </c>
      <c r="E195" s="295">
        <v>1.0009218963043103</v>
      </c>
      <c r="F195" s="295">
        <v>1.0048026191631922</v>
      </c>
      <c r="G195" s="295">
        <v>0.99754657322463514</v>
      </c>
      <c r="H195" s="295">
        <v>1.0008414031371338</v>
      </c>
      <c r="I195" s="295">
        <v>0.99670102799070925</v>
      </c>
      <c r="J195" s="295">
        <v>0.99234416737548758</v>
      </c>
      <c r="L195" s="41">
        <v>-13581.785250000001</v>
      </c>
      <c r="M195" s="41">
        <f t="shared" si="59"/>
        <v>-13378.835770300348</v>
      </c>
      <c r="N195" s="41">
        <f t="shared" si="60"/>
        <v>-13794.065754955822</v>
      </c>
      <c r="O195" s="41">
        <f t="shared" si="61"/>
        <v>-13806.782453196729</v>
      </c>
      <c r="P195" s="41">
        <f t="shared" si="62"/>
        <v>-13873.091171188478</v>
      </c>
      <c r="Q195" s="41">
        <f t="shared" si="63"/>
        <v>-13839.054557852007</v>
      </c>
      <c r="R195" s="41">
        <f t="shared" si="64"/>
        <v>-13850.698781771949</v>
      </c>
      <c r="S195" s="41">
        <f t="shared" si="65"/>
        <v>-13805.005714181765</v>
      </c>
      <c r="T195" s="41">
        <f t="shared" si="66"/>
        <v>-13699.316901053551</v>
      </c>
      <c r="V195" s="41">
        <f t="shared" si="82"/>
        <v>-13581.785250000001</v>
      </c>
      <c r="W195" s="41">
        <f t="shared" si="83"/>
        <v>-13659.791321476654</v>
      </c>
      <c r="X195" s="41">
        <f t="shared" si="67"/>
        <v>-14263.06399062432</v>
      </c>
      <c r="Y195" s="41">
        <f t="shared" si="68"/>
        <v>-14262.406274152219</v>
      </c>
      <c r="Z195" s="41">
        <f t="shared" si="69"/>
        <v>-14317.03008866651</v>
      </c>
      <c r="AA195" s="41">
        <f t="shared" si="70"/>
        <v>-14212.709030914009</v>
      </c>
      <c r="AB195" s="41">
        <f t="shared" si="71"/>
        <v>-13850.698781771949</v>
      </c>
      <c r="AC195" s="41">
        <f t="shared" si="72"/>
        <v>-13805.005714181765</v>
      </c>
      <c r="AD195" s="41">
        <f t="shared" si="73"/>
        <v>-13699.316901053551</v>
      </c>
      <c r="AF195" s="303">
        <f t="shared" si="74"/>
        <v>9.4479993060517361E-4</v>
      </c>
      <c r="AG195" s="303">
        <f t="shared" si="75"/>
        <v>9.198811240578405E-4</v>
      </c>
      <c r="AH195" s="303">
        <f t="shared" si="76"/>
        <v>9.25353118970651E-4</v>
      </c>
      <c r="AI195" s="303">
        <f t="shared" si="77"/>
        <v>9.33216161030378E-4</v>
      </c>
      <c r="AJ195" s="303">
        <f t="shared" si="78"/>
        <v>9.3784385939376682E-4</v>
      </c>
      <c r="AK195" s="303">
        <f t="shared" si="79"/>
        <v>9.4572331818956377E-4</v>
      </c>
      <c r="AL195" s="303">
        <f t="shared" si="80"/>
        <v>9.4919556111708564E-4</v>
      </c>
      <c r="AM195" s="303">
        <f t="shared" si="81"/>
        <v>9.4837758921238106E-4</v>
      </c>
      <c r="AV195" s="41">
        <v>-13031.68108</v>
      </c>
      <c r="AW195" s="303">
        <f t="shared" si="84"/>
        <v>8.7225550055026004E-4</v>
      </c>
      <c r="AX195" s="41">
        <f t="shared" si="85"/>
        <v>-12787.995888447325</v>
      </c>
    </row>
    <row r="196" spans="1:50" x14ac:dyDescent="0.2">
      <c r="A196" s="30">
        <v>614</v>
      </c>
      <c r="B196" s="47" t="s">
        <v>519</v>
      </c>
      <c r="C196" s="295">
        <v>0.9904078595998963</v>
      </c>
      <c r="D196" s="295">
        <v>1.0845024449341749</v>
      </c>
      <c r="E196" s="295">
        <v>0.98919414352709123</v>
      </c>
      <c r="F196" s="295">
        <v>0.99047077450709875</v>
      </c>
      <c r="G196" s="295">
        <v>0.99287387432098084</v>
      </c>
      <c r="H196" s="295">
        <v>0.99298964147809921</v>
      </c>
      <c r="I196" s="295">
        <v>0.99327633275642069</v>
      </c>
      <c r="J196" s="295">
        <v>0.99323081903610777</v>
      </c>
      <c r="L196" s="41">
        <v>-8936.5725999999995</v>
      </c>
      <c r="M196" s="41">
        <f t="shared" si="59"/>
        <v>-8850.8517409250799</v>
      </c>
      <c r="N196" s="41">
        <f t="shared" si="60"/>
        <v>-9598.7703527831472</v>
      </c>
      <c r="O196" s="41">
        <f t="shared" si="61"/>
        <v>-9495.0474180345609</v>
      </c>
      <c r="P196" s="41">
        <f t="shared" si="62"/>
        <v>-9404.5669701223196</v>
      </c>
      <c r="Q196" s="41">
        <f t="shared" si="63"/>
        <v>-9337.5488439364763</v>
      </c>
      <c r="R196" s="41">
        <f t="shared" si="64"/>
        <v>-9272.089278824722</v>
      </c>
      <c r="S196" s="41">
        <f t="shared" si="65"/>
        <v>-9209.7468358611459</v>
      </c>
      <c r="T196" s="41">
        <f t="shared" si="66"/>
        <v>-9147.404392897568</v>
      </c>
      <c r="V196" s="41">
        <f t="shared" si="82"/>
        <v>-8936.5725999999995</v>
      </c>
      <c r="W196" s="41">
        <f t="shared" si="83"/>
        <v>-9036.7196274845064</v>
      </c>
      <c r="X196" s="41">
        <f t="shared" si="67"/>
        <v>-9925.1285447777736</v>
      </c>
      <c r="Y196" s="41">
        <f t="shared" si="68"/>
        <v>-9808.3839828297005</v>
      </c>
      <c r="Z196" s="41">
        <f t="shared" si="69"/>
        <v>-9705.5131131662347</v>
      </c>
      <c r="AA196" s="41">
        <f t="shared" si="70"/>
        <v>-9589.6626627227597</v>
      </c>
      <c r="AB196" s="41">
        <f t="shared" si="71"/>
        <v>-9272.089278824722</v>
      </c>
      <c r="AC196" s="41">
        <f t="shared" si="72"/>
        <v>-9209.7468358611459</v>
      </c>
      <c r="AD196" s="41">
        <f t="shared" si="73"/>
        <v>-9147.404392897568</v>
      </c>
      <c r="AF196" s="303">
        <f t="shared" si="74"/>
        <v>6.2503825102525848E-4</v>
      </c>
      <c r="AG196" s="303">
        <f t="shared" si="75"/>
        <v>6.4011059672663669E-4</v>
      </c>
      <c r="AH196" s="303">
        <f t="shared" si="76"/>
        <v>6.3637359195285899E-4</v>
      </c>
      <c r="AI196" s="303">
        <f t="shared" si="77"/>
        <v>6.3262713231767664E-4</v>
      </c>
      <c r="AJ196" s="303">
        <f t="shared" si="78"/>
        <v>6.3278620721287271E-4</v>
      </c>
      <c r="AK196" s="303">
        <f t="shared" si="79"/>
        <v>6.3309665291834329E-4</v>
      </c>
      <c r="AL196" s="303">
        <f t="shared" si="80"/>
        <v>6.3323775423222717E-4</v>
      </c>
      <c r="AM196" s="303">
        <f t="shared" si="81"/>
        <v>6.3325736519167402E-4</v>
      </c>
      <c r="AV196" s="41">
        <v>-9453.973109999999</v>
      </c>
      <c r="AW196" s="303">
        <f t="shared" si="84"/>
        <v>6.3278712827829174E-4</v>
      </c>
      <c r="AX196" s="41">
        <f t="shared" si="85"/>
        <v>-9277.1890685473663</v>
      </c>
    </row>
    <row r="197" spans="1:50" x14ac:dyDescent="0.2">
      <c r="A197" s="30">
        <v>615</v>
      </c>
      <c r="B197" s="47" t="s">
        <v>520</v>
      </c>
      <c r="C197" s="295">
        <v>0.98147025086801054</v>
      </c>
      <c r="D197" s="295">
        <v>1.0282018873106251</v>
      </c>
      <c r="E197" s="295">
        <v>0.98357959764245273</v>
      </c>
      <c r="F197" s="295">
        <v>0.98271932614764368</v>
      </c>
      <c r="G197" s="295">
        <v>0.97919018490477583</v>
      </c>
      <c r="H197" s="295">
        <v>0.98151274018531487</v>
      </c>
      <c r="I197" s="295">
        <v>0.98499460508500036</v>
      </c>
      <c r="J197" s="295">
        <v>0.97827453243623275</v>
      </c>
      <c r="L197" s="41">
        <v>-29947.287949999998</v>
      </c>
      <c r="M197" s="41">
        <f t="shared" si="59"/>
        <v>-29392.372217103046</v>
      </c>
      <c r="N197" s="41">
        <f t="shared" si="60"/>
        <v>-30221.292586161733</v>
      </c>
      <c r="O197" s="41">
        <f t="shared" si="61"/>
        <v>-29725.046802131797</v>
      </c>
      <c r="P197" s="41">
        <f t="shared" si="62"/>
        <v>-29211.37796309813</v>
      </c>
      <c r="Q197" s="41">
        <f t="shared" si="63"/>
        <v>-28603.494589009351</v>
      </c>
      <c r="R197" s="41">
        <f t="shared" si="64"/>
        <v>-28074.694352934395</v>
      </c>
      <c r="S197" s="41">
        <f t="shared" si="65"/>
        <v>-27653.422477050706</v>
      </c>
      <c r="T197" s="41">
        <f t="shared" si="66"/>
        <v>-27052.63894399839</v>
      </c>
      <c r="V197" s="41">
        <f t="shared" si="82"/>
        <v>-29947.287949999998</v>
      </c>
      <c r="W197" s="41">
        <f t="shared" si="83"/>
        <v>-30009.612033662208</v>
      </c>
      <c r="X197" s="41">
        <f t="shared" si="67"/>
        <v>-31248.816534091235</v>
      </c>
      <c r="Y197" s="41">
        <f t="shared" si="68"/>
        <v>-30705.973346602143</v>
      </c>
      <c r="Z197" s="41">
        <f t="shared" si="69"/>
        <v>-30146.14205791727</v>
      </c>
      <c r="AA197" s="41">
        <f t="shared" si="70"/>
        <v>-29375.788942912601</v>
      </c>
      <c r="AB197" s="41">
        <f t="shared" si="71"/>
        <v>-28074.694352934395</v>
      </c>
      <c r="AC197" s="41">
        <f t="shared" si="72"/>
        <v>-27653.422477050706</v>
      </c>
      <c r="AD197" s="41">
        <f t="shared" si="73"/>
        <v>-27052.63894399839</v>
      </c>
      <c r="AF197" s="303">
        <f t="shared" si="74"/>
        <v>2.0756597739757568E-3</v>
      </c>
      <c r="AG197" s="303">
        <f t="shared" si="75"/>
        <v>2.015359147077545E-3</v>
      </c>
      <c r="AH197" s="303">
        <f t="shared" si="76"/>
        <v>1.9922212045524511E-3</v>
      </c>
      <c r="AI197" s="303">
        <f t="shared" si="77"/>
        <v>1.964993213462351E-3</v>
      </c>
      <c r="AJ197" s="303">
        <f t="shared" si="78"/>
        <v>1.9383991619777907E-3</v>
      </c>
      <c r="AK197" s="303">
        <f t="shared" si="79"/>
        <v>1.9169352766199002E-3</v>
      </c>
      <c r="AL197" s="303">
        <f t="shared" si="80"/>
        <v>1.9013759507500317E-3</v>
      </c>
      <c r="AM197" s="303">
        <f t="shared" si="81"/>
        <v>1.8728026140901286E-3</v>
      </c>
      <c r="AV197" s="41">
        <v>-26359.511999999999</v>
      </c>
      <c r="AW197" s="303">
        <f t="shared" si="84"/>
        <v>1.7643333344849309E-3</v>
      </c>
      <c r="AX197" s="41">
        <f t="shared" si="85"/>
        <v>-25866.603779523884</v>
      </c>
    </row>
    <row r="198" spans="1:50" x14ac:dyDescent="0.2">
      <c r="A198" s="30">
        <v>616</v>
      </c>
      <c r="B198" s="47" t="s">
        <v>521</v>
      </c>
      <c r="C198" s="295">
        <v>0.99685648214701605</v>
      </c>
      <c r="D198" s="295">
        <v>1.0451805151345319</v>
      </c>
      <c r="E198" s="295">
        <v>0.99841122958450401</v>
      </c>
      <c r="F198" s="295">
        <v>0.99905846617447025</v>
      </c>
      <c r="G198" s="295">
        <v>0.99818514104778555</v>
      </c>
      <c r="H198" s="295">
        <v>0.99858587660265918</v>
      </c>
      <c r="I198" s="295">
        <v>0.99878617773638778</v>
      </c>
      <c r="J198" s="295">
        <v>0.99878470258132401</v>
      </c>
      <c r="L198" s="41">
        <v>-5199.9822400000003</v>
      </c>
      <c r="M198" s="41">
        <f t="shared" ref="M198:M261" si="86">L198*C198</f>
        <v>-5183.6360029933612</v>
      </c>
      <c r="N198" s="41">
        <f t="shared" ref="N198:N261" si="87">M198*D198</f>
        <v>-5417.8353478785075</v>
      </c>
      <c r="O198" s="41">
        <f t="shared" ref="O198:O261" si="88">N198*E198</f>
        <v>-5409.2276513617699</v>
      </c>
      <c r="P198" s="41">
        <f t="shared" ref="P198:P261" si="89">O198*F198</f>
        <v>-5404.1346805580215</v>
      </c>
      <c r="Q198" s="41">
        <f t="shared" ref="Q198:Q261" si="90">P198*G198</f>
        <v>-5394.3269383540382</v>
      </c>
      <c r="R198" s="41">
        <f t="shared" ref="R198:R261" si="91">Q198*H198</f>
        <v>-5386.698694417606</v>
      </c>
      <c r="S198" s="41">
        <f t="shared" ref="S198:S261" si="92">R198*I198</f>
        <v>-5380.1601996149511</v>
      </c>
      <c r="T198" s="41">
        <f t="shared" ref="T198:T261" si="93">S198*J198</f>
        <v>-5373.6217048122962</v>
      </c>
      <c r="V198" s="41">
        <f t="shared" si="82"/>
        <v>-5199.9822400000003</v>
      </c>
      <c r="W198" s="41">
        <f t="shared" si="83"/>
        <v>-5292.4923590562212</v>
      </c>
      <c r="X198" s="41">
        <f t="shared" ref="X198:X261" si="94">N198*(1+X$2)</f>
        <v>-5602.0417497063772</v>
      </c>
      <c r="Y198" s="41">
        <f t="shared" ref="Y198:Y261" si="95">O198*(1+Y$2)</f>
        <v>-5587.7321638567082</v>
      </c>
      <c r="Z198" s="41">
        <f t="shared" ref="Z198:Z261" si="96">P198*(1+Z$2)</f>
        <v>-5577.0669903358785</v>
      </c>
      <c r="AA198" s="41">
        <f t="shared" ref="AA198:AA261" si="97">Q198*(1+AA$2)</f>
        <v>-5539.9737656895968</v>
      </c>
      <c r="AB198" s="41">
        <f t="shared" ref="AB198:AB261" si="98">R198*(1+AB$2)</f>
        <v>-5386.698694417606</v>
      </c>
      <c r="AC198" s="41">
        <f t="shared" ref="AC198:AC261" si="99">S198*(1+AC$2)</f>
        <v>-5380.1601996149511</v>
      </c>
      <c r="AD198" s="41">
        <f t="shared" ref="AD198:AD261" si="100">T198*(1+AD$2)</f>
        <v>-5373.6217048122962</v>
      </c>
      <c r="AF198" s="303">
        <f t="shared" ref="AF198:AF261" si="101">W198/W$4</f>
        <v>3.6606316274414219E-4</v>
      </c>
      <c r="AG198" s="303">
        <f t="shared" ref="AG198:AG261" si="102">X198/X$4</f>
        <v>3.6129771731559685E-4</v>
      </c>
      <c r="AH198" s="303">
        <f t="shared" ref="AH198:AH261" si="103">Y198/Y$4</f>
        <v>3.6253527535309117E-4</v>
      </c>
      <c r="AI198" s="303">
        <f t="shared" ref="AI198:AI261" si="104">Z198/Z$4</f>
        <v>3.6352574621258273E-4</v>
      </c>
      <c r="AJ198" s="303">
        <f t="shared" ref="AJ198:AJ261" si="105">AA198/AA$4</f>
        <v>3.6556228415381999E-4</v>
      </c>
      <c r="AK198" s="303">
        <f t="shared" ref="AK198:AK261" si="106">AB198/AB$4</f>
        <v>3.6780285555529797E-4</v>
      </c>
      <c r="AL198" s="303">
        <f t="shared" ref="AL198:AL261" si="107">AC198/AC$4</f>
        <v>3.6992553898960924E-4</v>
      </c>
      <c r="AM198" s="303">
        <f t="shared" ref="AM198:AM261" si="108">AD198/AD$4</f>
        <v>3.7200558499068546E-4</v>
      </c>
      <c r="AV198" s="41">
        <v>-4962.63</v>
      </c>
      <c r="AW198" s="303">
        <f t="shared" si="84"/>
        <v>3.3216599517149457E-4</v>
      </c>
      <c r="AX198" s="41">
        <f t="shared" si="85"/>
        <v>-4869.8315778523756</v>
      </c>
    </row>
    <row r="199" spans="1:50" x14ac:dyDescent="0.2">
      <c r="A199" s="30">
        <v>619</v>
      </c>
      <c r="B199" s="47" t="s">
        <v>522</v>
      </c>
      <c r="C199" s="295">
        <v>0.99307814313786136</v>
      </c>
      <c r="D199" s="295">
        <v>1.0530133636909627</v>
      </c>
      <c r="E199" s="295">
        <v>0.99494572302734252</v>
      </c>
      <c r="F199" s="295">
        <v>0.99611050032258497</v>
      </c>
      <c r="G199" s="295">
        <v>0.99509312696237928</v>
      </c>
      <c r="H199" s="295">
        <v>0.99547985326269628</v>
      </c>
      <c r="I199" s="295">
        <v>0.99573452095863357</v>
      </c>
      <c r="J199" s="295">
        <v>0.99599261975841968</v>
      </c>
      <c r="L199" s="41">
        <v>-7176.4999000000007</v>
      </c>
      <c r="M199" s="41">
        <f t="shared" si="86"/>
        <v>-7126.825194921048</v>
      </c>
      <c r="N199" s="41">
        <f t="shared" si="87"/>
        <v>-7504.6421709413135</v>
      </c>
      <c r="O199" s="41">
        <f t="shared" si="88"/>
        <v>-7466.7116308286904</v>
      </c>
      <c r="P199" s="41">
        <f t="shared" si="89"/>
        <v>-7437.6698583492316</v>
      </c>
      <c r="Q199" s="41">
        <f t="shared" si="90"/>
        <v>-7401.1741566585733</v>
      </c>
      <c r="R199" s="41">
        <f t="shared" si="91"/>
        <v>-7367.7197634421364</v>
      </c>
      <c r="S199" s="41">
        <f t="shared" si="92"/>
        <v>-7336.2929092085124</v>
      </c>
      <c r="T199" s="41">
        <f t="shared" si="93"/>
        <v>-7306.8935939577041</v>
      </c>
      <c r="V199" s="41">
        <f t="shared" ref="V199:V262" si="109">L199</f>
        <v>-7176.4999000000007</v>
      </c>
      <c r="W199" s="41">
        <f t="shared" ref="W199:W262" si="110">M199*(1+W$2)</f>
        <v>-7276.4885240143894</v>
      </c>
      <c r="X199" s="41">
        <f t="shared" si="94"/>
        <v>-7759.8000047533187</v>
      </c>
      <c r="Y199" s="41">
        <f t="shared" si="95"/>
        <v>-7713.1131146460366</v>
      </c>
      <c r="Z199" s="41">
        <f t="shared" si="96"/>
        <v>-7675.6752938164072</v>
      </c>
      <c r="AA199" s="41">
        <f t="shared" si="97"/>
        <v>-7601.0058588883539</v>
      </c>
      <c r="AB199" s="41">
        <f t="shared" si="98"/>
        <v>-7367.7197634421364</v>
      </c>
      <c r="AC199" s="41">
        <f t="shared" si="99"/>
        <v>-7336.2929092085124</v>
      </c>
      <c r="AD199" s="41">
        <f t="shared" si="100"/>
        <v>-7306.8935939577041</v>
      </c>
      <c r="AF199" s="303">
        <f t="shared" si="101"/>
        <v>5.0328922973582831E-4</v>
      </c>
      <c r="AG199" s="303">
        <f t="shared" si="102"/>
        <v>5.0046003828691172E-4</v>
      </c>
      <c r="AH199" s="303">
        <f t="shared" si="103"/>
        <v>5.0043121338831718E-4</v>
      </c>
      <c r="AI199" s="303">
        <f t="shared" si="104"/>
        <v>5.0031774653329895E-4</v>
      </c>
      <c r="AJ199" s="303">
        <f t="shared" si="105"/>
        <v>5.0156213389503654E-4</v>
      </c>
      <c r="AK199" s="303">
        <f t="shared" si="106"/>
        <v>5.0306663165206142E-4</v>
      </c>
      <c r="AL199" s="303">
        <f t="shared" si="107"/>
        <v>5.0442403347373101E-4</v>
      </c>
      <c r="AM199" s="303">
        <f t="shared" si="108"/>
        <v>5.0584231179702597E-4</v>
      </c>
      <c r="AV199" s="41">
        <v>-7690.45</v>
      </c>
      <c r="AW199" s="303">
        <f t="shared" ref="AW199:AW262" si="111">AV199/AV$4</f>
        <v>5.1474842524359466E-4</v>
      </c>
      <c r="AX199" s="41">
        <f t="shared" ref="AX199:AX262" si="112">$AW$2*AW199</f>
        <v>-7546.6428603169688</v>
      </c>
    </row>
    <row r="200" spans="1:50" x14ac:dyDescent="0.2">
      <c r="A200" s="30">
        <v>620</v>
      </c>
      <c r="B200" s="47" t="s">
        <v>523</v>
      </c>
      <c r="C200" s="295">
        <v>0.99034410098825643</v>
      </c>
      <c r="D200" s="295">
        <v>1.0709791921850598</v>
      </c>
      <c r="E200" s="295">
        <v>0.99327744995076506</v>
      </c>
      <c r="F200" s="295">
        <v>0.99492469887854873</v>
      </c>
      <c r="G200" s="295">
        <v>0.99285582159659425</v>
      </c>
      <c r="H200" s="295">
        <v>0.99299377255260113</v>
      </c>
      <c r="I200" s="295">
        <v>0.99370711315034543</v>
      </c>
      <c r="J200" s="295">
        <v>0.99366726194632471</v>
      </c>
      <c r="L200" s="41">
        <v>-8082.9091200000003</v>
      </c>
      <c r="M200" s="41">
        <f t="shared" si="86"/>
        <v>-8004.8613658161794</v>
      </c>
      <c r="N200" s="41">
        <f t="shared" si="87"/>
        <v>-8573.0399591152054</v>
      </c>
      <c r="O200" s="41">
        <f t="shared" si="88"/>
        <v>-8515.407268915962</v>
      </c>
      <c r="P200" s="41">
        <f t="shared" si="89"/>
        <v>-8472.1890128544183</v>
      </c>
      <c r="Q200" s="41">
        <f t="shared" si="90"/>
        <v>-8411.6621830792119</v>
      </c>
      <c r="R200" s="41">
        <f t="shared" si="91"/>
        <v>-8352.7281646138745</v>
      </c>
      <c r="S200" s="41">
        <f t="shared" si="92"/>
        <v>-8300.1653913880364</v>
      </c>
      <c r="T200" s="41">
        <f t="shared" si="93"/>
        <v>-8247.6026181621946</v>
      </c>
      <c r="V200" s="41">
        <f t="shared" si="109"/>
        <v>-8082.9091200000003</v>
      </c>
      <c r="W200" s="41">
        <f t="shared" si="110"/>
        <v>-8172.9634544983182</v>
      </c>
      <c r="X200" s="41">
        <f t="shared" si="94"/>
        <v>-8864.523317725123</v>
      </c>
      <c r="Y200" s="41">
        <f t="shared" si="95"/>
        <v>-8796.4157087901876</v>
      </c>
      <c r="Z200" s="41">
        <f t="shared" si="96"/>
        <v>-8743.2990612657595</v>
      </c>
      <c r="AA200" s="41">
        <f t="shared" si="97"/>
        <v>-8638.7770620223491</v>
      </c>
      <c r="AB200" s="41">
        <f t="shared" si="98"/>
        <v>-8352.7281646138745</v>
      </c>
      <c r="AC200" s="41">
        <f t="shared" si="99"/>
        <v>-8300.1653913880364</v>
      </c>
      <c r="AD200" s="41">
        <f t="shared" si="100"/>
        <v>-8247.6026181621946</v>
      </c>
      <c r="AF200" s="303">
        <f t="shared" si="101"/>
        <v>5.6529526131984028E-4</v>
      </c>
      <c r="AG200" s="303">
        <f t="shared" si="102"/>
        <v>5.7170799199288982E-4</v>
      </c>
      <c r="AH200" s="303">
        <f t="shared" si="103"/>
        <v>5.7071650852094896E-4</v>
      </c>
      <c r="AI200" s="303">
        <f t="shared" si="104"/>
        <v>5.6990786037070527E-4</v>
      </c>
      <c r="AJ200" s="303">
        <f t="shared" si="105"/>
        <v>5.7004079958768866E-4</v>
      </c>
      <c r="AK200" s="303">
        <f t="shared" si="106"/>
        <v>5.7032283498720888E-4</v>
      </c>
      <c r="AL200" s="303">
        <f t="shared" si="107"/>
        <v>5.7069734769828358E-4</v>
      </c>
      <c r="AM200" s="303">
        <f t="shared" si="108"/>
        <v>5.7096580393675277E-4</v>
      </c>
      <c r="AV200" s="41">
        <v>-7879.6447800000005</v>
      </c>
      <c r="AW200" s="303">
        <f t="shared" si="111"/>
        <v>5.2741188642848095E-4</v>
      </c>
      <c r="AX200" s="41">
        <f t="shared" si="112"/>
        <v>-7732.2998031091647</v>
      </c>
    </row>
    <row r="201" spans="1:50" x14ac:dyDescent="0.2">
      <c r="A201" s="30">
        <v>623</v>
      </c>
      <c r="B201" s="47" t="s">
        <v>524</v>
      </c>
      <c r="C201" s="295">
        <v>0.98756670590273199</v>
      </c>
      <c r="D201" s="295">
        <v>1.0380422303828898</v>
      </c>
      <c r="E201" s="295">
        <v>0.99696757379156076</v>
      </c>
      <c r="F201" s="295">
        <v>0.99772477973373253</v>
      </c>
      <c r="G201" s="295">
        <v>0.9964155238588468</v>
      </c>
      <c r="H201" s="295">
        <v>0.99682584926670448</v>
      </c>
      <c r="I201" s="295">
        <v>0.99702802582157324</v>
      </c>
      <c r="J201" s="295">
        <v>0.98917792886173517</v>
      </c>
      <c r="L201" s="41">
        <v>-5558.1218099999996</v>
      </c>
      <c r="M201" s="41">
        <f t="shared" si="86"/>
        <v>-5489.0160469078301</v>
      </c>
      <c r="N201" s="41">
        <f t="shared" si="87"/>
        <v>-5697.830459939677</v>
      </c>
      <c r="O201" s="41">
        <f t="shared" si="88"/>
        <v>-5680.552209521712</v>
      </c>
      <c r="P201" s="41">
        <f t="shared" si="89"/>
        <v>-5667.6277020110174</v>
      </c>
      <c r="Q201" s="41">
        <f t="shared" si="90"/>
        <v>-5647.3122257362202</v>
      </c>
      <c r="R201" s="41">
        <f t="shared" si="91"/>
        <v>-5629.3868054937511</v>
      </c>
      <c r="S201" s="41">
        <f t="shared" si="92"/>
        <v>-5612.6564132674475</v>
      </c>
      <c r="T201" s="41">
        <f t="shared" si="93"/>
        <v>-5551.9158462884288</v>
      </c>
      <c r="V201" s="41">
        <f t="shared" si="109"/>
        <v>-5558.1218099999996</v>
      </c>
      <c r="W201" s="41">
        <f t="shared" si="110"/>
        <v>-5604.2853838928941</v>
      </c>
      <c r="X201" s="41">
        <f t="shared" si="94"/>
        <v>-5891.5566955776258</v>
      </c>
      <c r="Y201" s="41">
        <f t="shared" si="95"/>
        <v>-5868.0104324359281</v>
      </c>
      <c r="Z201" s="41">
        <f t="shared" si="96"/>
        <v>-5848.9917884753704</v>
      </c>
      <c r="AA201" s="41">
        <f t="shared" si="97"/>
        <v>-5799.7896558310977</v>
      </c>
      <c r="AB201" s="41">
        <f t="shared" si="98"/>
        <v>-5629.3868054937511</v>
      </c>
      <c r="AC201" s="41">
        <f t="shared" si="99"/>
        <v>-5612.6564132674475</v>
      </c>
      <c r="AD201" s="41">
        <f t="shared" si="100"/>
        <v>-5551.9158462884288</v>
      </c>
      <c r="AF201" s="303">
        <f t="shared" si="101"/>
        <v>3.8762879440688272E-4</v>
      </c>
      <c r="AG201" s="303">
        <f t="shared" si="102"/>
        <v>3.7996967545969904E-4</v>
      </c>
      <c r="AH201" s="303">
        <f t="shared" si="103"/>
        <v>3.8071989055925781E-4</v>
      </c>
      <c r="AI201" s="303">
        <f t="shared" si="104"/>
        <v>3.8125041499075202E-4</v>
      </c>
      <c r="AJ201" s="303">
        <f t="shared" si="105"/>
        <v>3.8270656935744543E-4</v>
      </c>
      <c r="AK201" s="303">
        <f t="shared" si="106"/>
        <v>3.8437355782153601E-4</v>
      </c>
      <c r="AL201" s="303">
        <f t="shared" si="107"/>
        <v>3.8591136170815926E-4</v>
      </c>
      <c r="AM201" s="303">
        <f t="shared" si="108"/>
        <v>3.8434854845996783E-4</v>
      </c>
      <c r="AV201" s="41">
        <v>-6390.9189999999999</v>
      </c>
      <c r="AW201" s="303">
        <f t="shared" si="111"/>
        <v>4.2776631941035558E-4</v>
      </c>
      <c r="AX201" s="41">
        <f t="shared" si="112"/>
        <v>-6271.4123675745977</v>
      </c>
    </row>
    <row r="202" spans="1:50" x14ac:dyDescent="0.2">
      <c r="A202" s="30">
        <v>624</v>
      </c>
      <c r="B202" s="47" t="s">
        <v>525</v>
      </c>
      <c r="C202" s="295">
        <v>0.98160456048882649</v>
      </c>
      <c r="D202" s="295">
        <v>1.0313231011264503</v>
      </c>
      <c r="E202" s="295">
        <v>0.98298335431338812</v>
      </c>
      <c r="F202" s="295">
        <v>0.98067751342382292</v>
      </c>
      <c r="G202" s="295">
        <v>0.97574888195183984</v>
      </c>
      <c r="H202" s="295">
        <v>0.96830608336854673</v>
      </c>
      <c r="I202" s="295">
        <v>0.97862224522724617</v>
      </c>
      <c r="J202" s="295">
        <v>0.98531717700887167</v>
      </c>
      <c r="L202" s="41">
        <v>-14024.6014</v>
      </c>
      <c r="M202" s="41">
        <f t="shared" si="86"/>
        <v>-13766.612693277981</v>
      </c>
      <c r="N202" s="41">
        <f t="shared" si="87"/>
        <v>-14197.825694838202</v>
      </c>
      <c r="O202" s="41">
        <f t="shared" si="88"/>
        <v>-13956.226325468866</v>
      </c>
      <c r="P202" s="41">
        <f t="shared" si="89"/>
        <v>-13686.557329640904</v>
      </c>
      <c r="Q202" s="41">
        <f t="shared" si="90"/>
        <v>-13354.643012166871</v>
      </c>
      <c r="R202" s="41">
        <f t="shared" si="91"/>
        <v>-12931.382069896434</v>
      </c>
      <c r="S202" s="41">
        <f t="shared" si="92"/>
        <v>-12654.938155133403</v>
      </c>
      <c r="T202" s="41">
        <f t="shared" si="93"/>
        <v>-12469.127938237903</v>
      </c>
      <c r="V202" s="41">
        <f t="shared" si="109"/>
        <v>-14024.6014</v>
      </c>
      <c r="W202" s="41">
        <f t="shared" si="110"/>
        <v>-14055.711559836816</v>
      </c>
      <c r="X202" s="41">
        <f t="shared" si="94"/>
        <v>-14680.551768462701</v>
      </c>
      <c r="Y202" s="41">
        <f t="shared" si="95"/>
        <v>-14416.781794209337</v>
      </c>
      <c r="Z202" s="41">
        <f t="shared" si="96"/>
        <v>-14124.527164189412</v>
      </c>
      <c r="AA202" s="41">
        <f t="shared" si="97"/>
        <v>-13715.218373495376</v>
      </c>
      <c r="AB202" s="41">
        <f t="shared" si="98"/>
        <v>-12931.382069896434</v>
      </c>
      <c r="AC202" s="41">
        <f t="shared" si="99"/>
        <v>-12654.938155133403</v>
      </c>
      <c r="AD202" s="41">
        <f t="shared" si="100"/>
        <v>-12469.127938237903</v>
      </c>
      <c r="AF202" s="303">
        <f t="shared" si="101"/>
        <v>9.7218434702299537E-4</v>
      </c>
      <c r="AG202" s="303">
        <f t="shared" si="102"/>
        <v>9.4680655372784864E-4</v>
      </c>
      <c r="AH202" s="303">
        <f t="shared" si="103"/>
        <v>9.3536909146727388E-4</v>
      </c>
      <c r="AI202" s="303">
        <f t="shared" si="104"/>
        <v>9.2066838826919287E-4</v>
      </c>
      <c r="AJ202" s="303">
        <f t="shared" si="105"/>
        <v>9.0501629941551053E-4</v>
      </c>
      <c r="AK202" s="303">
        <f t="shared" si="106"/>
        <v>8.8295253204220922E-4</v>
      </c>
      <c r="AL202" s="303">
        <f t="shared" si="107"/>
        <v>8.7011996747846543E-4</v>
      </c>
      <c r="AM202" s="303">
        <f t="shared" si="108"/>
        <v>8.6321395286047958E-4</v>
      </c>
      <c r="AV202" s="41">
        <v>-14506.703890000001</v>
      </c>
      <c r="AW202" s="303">
        <f t="shared" si="111"/>
        <v>9.7098388037795318E-4</v>
      </c>
      <c r="AX202" s="41">
        <f t="shared" si="112"/>
        <v>-14235.436591903062</v>
      </c>
    </row>
    <row r="203" spans="1:50" x14ac:dyDescent="0.2">
      <c r="A203" s="30">
        <v>625</v>
      </c>
      <c r="B203" s="47" t="s">
        <v>526</v>
      </c>
      <c r="C203" s="295">
        <v>0.9869070975216786</v>
      </c>
      <c r="D203" s="295">
        <v>1.0386021168309709</v>
      </c>
      <c r="E203" s="295">
        <v>0.99624285353450148</v>
      </c>
      <c r="F203" s="295">
        <v>0.99659955210819207</v>
      </c>
      <c r="G203" s="295">
        <v>0.98648106914615141</v>
      </c>
      <c r="H203" s="295">
        <v>0.99249473482271089</v>
      </c>
      <c r="I203" s="295">
        <v>0.99577472394415978</v>
      </c>
      <c r="J203" s="295">
        <v>0.98468963355904415</v>
      </c>
      <c r="L203" s="41">
        <v>-11293.023650000001</v>
      </c>
      <c r="M203" s="41">
        <f t="shared" si="86"/>
        <v>-11145.165192665174</v>
      </c>
      <c r="N203" s="41">
        <f t="shared" si="87"/>
        <v>-11575.392161532905</v>
      </c>
      <c r="O203" s="41">
        <f t="shared" si="88"/>
        <v>-11531.901717786443</v>
      </c>
      <c r="P203" s="41">
        <f t="shared" si="89"/>
        <v>-11492.688086901659</v>
      </c>
      <c r="Q203" s="41">
        <f t="shared" si="90"/>
        <v>-11337.319231329986</v>
      </c>
      <c r="R203" s="41">
        <f t="shared" si="91"/>
        <v>-11252.229644099274</v>
      </c>
      <c r="S203" s="41">
        <f t="shared" si="92"/>
        <v>-11204.685867609245</v>
      </c>
      <c r="T203" s="41">
        <f t="shared" si="93"/>
        <v>-11033.138021120349</v>
      </c>
      <c r="V203" s="41">
        <f t="shared" si="109"/>
        <v>-11293.023650000001</v>
      </c>
      <c r="W203" s="41">
        <f t="shared" si="110"/>
        <v>-11379.213661711141</v>
      </c>
      <c r="X203" s="41">
        <f t="shared" si="94"/>
        <v>-11968.955495025024</v>
      </c>
      <c r="Y203" s="41">
        <f t="shared" si="95"/>
        <v>-11912.454474473394</v>
      </c>
      <c r="Z203" s="41">
        <f t="shared" si="96"/>
        <v>-11860.454105682513</v>
      </c>
      <c r="AA203" s="41">
        <f t="shared" si="97"/>
        <v>-11643.426850575896</v>
      </c>
      <c r="AB203" s="41">
        <f t="shared" si="98"/>
        <v>-11252.229644099274</v>
      </c>
      <c r="AC203" s="41">
        <f t="shared" si="99"/>
        <v>-11204.685867609245</v>
      </c>
      <c r="AD203" s="41">
        <f t="shared" si="100"/>
        <v>-11033.138021120349</v>
      </c>
      <c r="AF203" s="303">
        <f t="shared" si="101"/>
        <v>7.8706036021375424E-4</v>
      </c>
      <c r="AG203" s="303">
        <f t="shared" si="102"/>
        <v>7.7192503951459572E-4</v>
      </c>
      <c r="AH203" s="303">
        <f t="shared" si="103"/>
        <v>7.728868951466664E-4</v>
      </c>
      <c r="AI203" s="303">
        <f t="shared" si="104"/>
        <v>7.7309102376922699E-4</v>
      </c>
      <c r="AJ203" s="303">
        <f t="shared" si="105"/>
        <v>7.6830647488537729E-4</v>
      </c>
      <c r="AK203" s="303">
        <f t="shared" si="106"/>
        <v>7.68300294715322E-4</v>
      </c>
      <c r="AL203" s="303">
        <f t="shared" si="107"/>
        <v>7.7040446845453615E-4</v>
      </c>
      <c r="AM203" s="303">
        <f t="shared" si="108"/>
        <v>7.6380310883332231E-4</v>
      </c>
      <c r="AV203" s="41">
        <v>-11689.78</v>
      </c>
      <c r="AW203" s="303">
        <f t="shared" si="111"/>
        <v>7.8243741867433877E-4</v>
      </c>
      <c r="AX203" s="41">
        <f t="shared" si="112"/>
        <v>-11471.187612646347</v>
      </c>
    </row>
    <row r="204" spans="1:50" x14ac:dyDescent="0.2">
      <c r="A204" s="30">
        <v>626</v>
      </c>
      <c r="B204" s="47" t="s">
        <v>527</v>
      </c>
      <c r="C204" s="295">
        <v>0.99728696437699638</v>
      </c>
      <c r="D204" s="295">
        <v>1.0174508514079044</v>
      </c>
      <c r="E204" s="295">
        <v>0.98808591638475429</v>
      </c>
      <c r="F204" s="295">
        <v>0.99557866077994628</v>
      </c>
      <c r="G204" s="295">
        <v>0.98533057394866763</v>
      </c>
      <c r="H204" s="295">
        <v>0.98233831285152773</v>
      </c>
      <c r="I204" s="295">
        <v>0.9904946299484193</v>
      </c>
      <c r="J204" s="295">
        <v>0.97860427712578224</v>
      </c>
      <c r="L204" s="41">
        <v>-14409.84993</v>
      </c>
      <c r="M204" s="41">
        <f t="shared" si="86"/>
        <v>-14370.755493817775</v>
      </c>
      <c r="N204" s="41">
        <f t="shared" si="87"/>
        <v>-14621.537412559714</v>
      </c>
      <c r="O204" s="41">
        <f t="shared" si="88"/>
        <v>-14447.335193243034</v>
      </c>
      <c r="P204" s="41">
        <f t="shared" si="89"/>
        <v>-14383.458623527886</v>
      </c>
      <c r="Q204" s="41">
        <f t="shared" si="90"/>
        <v>-14172.461540887645</v>
      </c>
      <c r="R204" s="41">
        <f t="shared" si="91"/>
        <v>-13922.151959028732</v>
      </c>
      <c r="S204" s="41">
        <f t="shared" si="92"/>
        <v>-13789.816752743824</v>
      </c>
      <c r="T204" s="41">
        <f t="shared" si="93"/>
        <v>-13494.773655015872</v>
      </c>
      <c r="V204" s="41">
        <f t="shared" si="109"/>
        <v>-14409.84993</v>
      </c>
      <c r="W204" s="41">
        <f t="shared" si="110"/>
        <v>-14672.541359187946</v>
      </c>
      <c r="X204" s="41">
        <f t="shared" si="94"/>
        <v>-15118.669684586745</v>
      </c>
      <c r="Y204" s="41">
        <f t="shared" si="95"/>
        <v>-14924.097254620054</v>
      </c>
      <c r="Z204" s="41">
        <f t="shared" si="96"/>
        <v>-14843.729299480778</v>
      </c>
      <c r="AA204" s="41">
        <f t="shared" si="97"/>
        <v>-14555.11800249161</v>
      </c>
      <c r="AB204" s="41">
        <f t="shared" si="98"/>
        <v>-13922.151959028732</v>
      </c>
      <c r="AC204" s="41">
        <f t="shared" si="99"/>
        <v>-13789.816752743824</v>
      </c>
      <c r="AD204" s="41">
        <f t="shared" si="100"/>
        <v>-13494.773655015872</v>
      </c>
      <c r="AF204" s="303">
        <f t="shared" si="101"/>
        <v>1.0148483041733415E-3</v>
      </c>
      <c r="AG204" s="303">
        <f t="shared" si="102"/>
        <v>9.7506250219859679E-4</v>
      </c>
      <c r="AH204" s="303">
        <f t="shared" si="103"/>
        <v>9.6828401021025389E-4</v>
      </c>
      <c r="AI204" s="303">
        <f t="shared" si="104"/>
        <v>9.6754759796176476E-4</v>
      </c>
      <c r="AJ204" s="303">
        <f t="shared" si="105"/>
        <v>9.6043815515377338E-4</v>
      </c>
      <c r="AK204" s="303">
        <f t="shared" si="106"/>
        <v>9.5060212877920729E-4</v>
      </c>
      <c r="AL204" s="303">
        <f t="shared" si="107"/>
        <v>9.4815120843275017E-4</v>
      </c>
      <c r="AM204" s="303">
        <f t="shared" si="108"/>
        <v>9.3421745028224432E-4</v>
      </c>
      <c r="AV204" s="41">
        <v>-14218.3</v>
      </c>
      <c r="AW204" s="303">
        <f t="shared" si="111"/>
        <v>9.516800102257998E-4</v>
      </c>
      <c r="AX204" s="41">
        <f t="shared" si="112"/>
        <v>-13952.425694314996</v>
      </c>
    </row>
    <row r="205" spans="1:50" x14ac:dyDescent="0.2">
      <c r="A205" s="30">
        <v>630</v>
      </c>
      <c r="B205" s="47" t="s">
        <v>528</v>
      </c>
      <c r="C205" s="295">
        <v>0.98302179488077723</v>
      </c>
      <c r="D205" s="295">
        <v>1.0804310112210367</v>
      </c>
      <c r="E205" s="295">
        <v>0.9659916503366045</v>
      </c>
      <c r="F205" s="295">
        <v>1.0009675048027737</v>
      </c>
      <c r="G205" s="295">
        <v>0.96177749994258743</v>
      </c>
      <c r="H205" s="295">
        <v>1.0198707601600652</v>
      </c>
      <c r="I205" s="295">
        <v>0.98034207467153522</v>
      </c>
      <c r="J205" s="295">
        <v>1.2195063017080661</v>
      </c>
      <c r="L205" s="41">
        <v>-5164.26703</v>
      </c>
      <c r="M205" s="41">
        <f t="shared" si="86"/>
        <v>-5076.5870450742204</v>
      </c>
      <c r="N205" s="41">
        <f t="shared" si="87"/>
        <v>-5484.902074661155</v>
      </c>
      <c r="O205" s="41">
        <f t="shared" si="88"/>
        <v>-5298.369607036595</v>
      </c>
      <c r="P205" s="41">
        <f t="shared" si="89"/>
        <v>-5303.4958050782734</v>
      </c>
      <c r="Q205" s="41">
        <f t="shared" si="90"/>
        <v>-5100.7829363641822</v>
      </c>
      <c r="R205" s="41">
        <f t="shared" si="91"/>
        <v>-5202.1393707212283</v>
      </c>
      <c r="S205" s="41">
        <f t="shared" si="92"/>
        <v>-5099.8761034233239</v>
      </c>
      <c r="T205" s="41">
        <f t="shared" si="93"/>
        <v>-6219.3310460551202</v>
      </c>
      <c r="V205" s="41">
        <f t="shared" si="109"/>
        <v>-5164.26703</v>
      </c>
      <c r="W205" s="41">
        <f t="shared" si="110"/>
        <v>-5183.1953730207788</v>
      </c>
      <c r="X205" s="41">
        <f t="shared" si="94"/>
        <v>-5671.3887451996343</v>
      </c>
      <c r="Y205" s="41">
        <f t="shared" si="95"/>
        <v>-5473.2158040688018</v>
      </c>
      <c r="Z205" s="41">
        <f t="shared" si="96"/>
        <v>-5473.2076708407785</v>
      </c>
      <c r="AA205" s="41">
        <f t="shared" si="97"/>
        <v>-5238.5040756460148</v>
      </c>
      <c r="AB205" s="41">
        <f t="shared" si="98"/>
        <v>-5202.1393707212283</v>
      </c>
      <c r="AC205" s="41">
        <f t="shared" si="99"/>
        <v>-5099.8761034233239</v>
      </c>
      <c r="AD205" s="41">
        <f t="shared" si="100"/>
        <v>-6219.3310460551202</v>
      </c>
      <c r="AF205" s="303">
        <f t="shared" si="101"/>
        <v>3.5850347296621093E-4</v>
      </c>
      <c r="AG205" s="303">
        <f t="shared" si="102"/>
        <v>3.6577017794581652E-4</v>
      </c>
      <c r="AH205" s="303">
        <f t="shared" si="103"/>
        <v>3.5510538809101319E-4</v>
      </c>
      <c r="AI205" s="303">
        <f t="shared" si="104"/>
        <v>3.5675596261736841E-4</v>
      </c>
      <c r="AJ205" s="303">
        <f t="shared" si="105"/>
        <v>3.456694194659025E-4</v>
      </c>
      <c r="AK205" s="303">
        <f t="shared" si="106"/>
        <v>3.552011768415377E-4</v>
      </c>
      <c r="AL205" s="303">
        <f t="shared" si="107"/>
        <v>3.5065394827353286E-4</v>
      </c>
      <c r="AM205" s="303">
        <f t="shared" si="108"/>
        <v>4.3055243021043353E-4</v>
      </c>
      <c r="AV205" s="41">
        <v>-5421.7120000000004</v>
      </c>
      <c r="AW205" s="303">
        <f t="shared" si="111"/>
        <v>3.6289394172308518E-4</v>
      </c>
      <c r="AX205" s="41">
        <f t="shared" si="112"/>
        <v>-5320.3289996677486</v>
      </c>
    </row>
    <row r="206" spans="1:50" x14ac:dyDescent="0.2">
      <c r="A206" s="30">
        <v>631</v>
      </c>
      <c r="B206" s="47" t="s">
        <v>529</v>
      </c>
      <c r="C206" s="295">
        <v>0.97888647980024812</v>
      </c>
      <c r="D206" s="295">
        <v>1.0441175021528071</v>
      </c>
      <c r="E206" s="295">
        <v>0.98789774326070379</v>
      </c>
      <c r="F206" s="295">
        <v>0.98958185356605244</v>
      </c>
      <c r="G206" s="295">
        <v>0.98852081412686355</v>
      </c>
      <c r="H206" s="295">
        <v>0.99658912709904945</v>
      </c>
      <c r="I206" s="295">
        <v>0.9965774532270093</v>
      </c>
      <c r="J206" s="295">
        <v>0.99656569917179216</v>
      </c>
      <c r="L206" s="41">
        <v>-5661.6388399999996</v>
      </c>
      <c r="M206" s="41">
        <f t="shared" si="86"/>
        <v>-5542.1017139879596</v>
      </c>
      <c r="N206" s="41">
        <f t="shared" si="87"/>
        <v>-5786.6053982858994</v>
      </c>
      <c r="O206" s="41">
        <f t="shared" si="88"/>
        <v>-5716.5744141068462</v>
      </c>
      <c r="P206" s="41">
        <f t="shared" si="89"/>
        <v>-5657.0183047601231</v>
      </c>
      <c r="Q206" s="41">
        <f t="shared" si="90"/>
        <v>-5592.0803401520461</v>
      </c>
      <c r="R206" s="41">
        <f t="shared" si="91"/>
        <v>-5573.0064648598836</v>
      </c>
      <c r="S206" s="41">
        <f t="shared" si="92"/>
        <v>-5553.9325895677212</v>
      </c>
      <c r="T206" s="41">
        <f t="shared" si="93"/>
        <v>-5534.8587142755587</v>
      </c>
      <c r="V206" s="41">
        <f t="shared" si="109"/>
        <v>-5661.6388399999996</v>
      </c>
      <c r="W206" s="41">
        <f t="shared" si="110"/>
        <v>-5658.4858499817065</v>
      </c>
      <c r="X206" s="41">
        <f t="shared" si="94"/>
        <v>-5983.3499818276205</v>
      </c>
      <c r="Y206" s="41">
        <f t="shared" si="95"/>
        <v>-5905.2213697723719</v>
      </c>
      <c r="Z206" s="41">
        <f t="shared" si="96"/>
        <v>-5838.0428905124472</v>
      </c>
      <c r="AA206" s="41">
        <f t="shared" si="97"/>
        <v>-5743.0665093361513</v>
      </c>
      <c r="AB206" s="41">
        <f t="shared" si="98"/>
        <v>-5573.0064648598836</v>
      </c>
      <c r="AC206" s="41">
        <f t="shared" si="99"/>
        <v>-5553.9325895677212</v>
      </c>
      <c r="AD206" s="41">
        <f t="shared" si="100"/>
        <v>-5534.8587142755587</v>
      </c>
      <c r="AF206" s="303">
        <f t="shared" si="101"/>
        <v>3.9137765084211722E-4</v>
      </c>
      <c r="AG206" s="303">
        <f t="shared" si="102"/>
        <v>3.8588978571035159E-4</v>
      </c>
      <c r="AH206" s="303">
        <f t="shared" si="103"/>
        <v>3.8313415756737851E-4</v>
      </c>
      <c r="AI206" s="303">
        <f t="shared" si="104"/>
        <v>3.8053674124269158E-4</v>
      </c>
      <c r="AJ206" s="303">
        <f t="shared" si="105"/>
        <v>3.7896361968401798E-4</v>
      </c>
      <c r="AK206" s="303">
        <f t="shared" si="106"/>
        <v>3.8052391791058144E-4</v>
      </c>
      <c r="AL206" s="303">
        <f t="shared" si="107"/>
        <v>3.8187366741511441E-4</v>
      </c>
      <c r="AM206" s="303">
        <f t="shared" si="108"/>
        <v>3.8316771573275357E-4</v>
      </c>
      <c r="AV206" s="41">
        <v>-5643.8440000000001</v>
      </c>
      <c r="AW206" s="303">
        <f t="shared" si="111"/>
        <v>3.7776200499587288E-4</v>
      </c>
      <c r="AX206" s="41">
        <f t="shared" si="112"/>
        <v>-5538.3072547565835</v>
      </c>
    </row>
    <row r="207" spans="1:50" x14ac:dyDescent="0.2">
      <c r="A207" s="30">
        <v>635</v>
      </c>
      <c r="B207" s="47" t="s">
        <v>530</v>
      </c>
      <c r="C207" s="295">
        <v>0.99106697876601846</v>
      </c>
      <c r="D207" s="295">
        <v>1.0178829681653527</v>
      </c>
      <c r="E207" s="295">
        <v>0.99014082697917949</v>
      </c>
      <c r="F207" s="295">
        <v>0.9845226421133928</v>
      </c>
      <c r="G207" s="295">
        <v>0.98638721539635554</v>
      </c>
      <c r="H207" s="295">
        <v>0.97563844911763109</v>
      </c>
      <c r="I207" s="295">
        <v>0.98747877865613531</v>
      </c>
      <c r="J207" s="295">
        <v>0.99258860536393834</v>
      </c>
      <c r="L207" s="41">
        <v>-15259.188320000001</v>
      </c>
      <c r="M207" s="41">
        <f t="shared" si="86"/>
        <v>-15122.877666724118</v>
      </c>
      <c r="N207" s="41">
        <f t="shared" si="87"/>
        <v>-15393.319606606668</v>
      </c>
      <c r="O207" s="41">
        <f t="shared" si="88"/>
        <v>-15241.554205240345</v>
      </c>
      <c r="P207" s="41">
        <f t="shared" si="89"/>
        <v>-15005.655216057718</v>
      </c>
      <c r="Q207" s="41">
        <f t="shared" si="90"/>
        <v>-14801.386463764969</v>
      </c>
      <c r="R207" s="41">
        <f t="shared" si="91"/>
        <v>-14440.801734298353</v>
      </c>
      <c r="S207" s="41">
        <f t="shared" si="92"/>
        <v>-14259.985259400339</v>
      </c>
      <c r="T207" s="41">
        <f t="shared" si="93"/>
        <v>-14154.2988811385</v>
      </c>
      <c r="V207" s="41">
        <f t="shared" si="109"/>
        <v>-15259.188320000001</v>
      </c>
      <c r="W207" s="41">
        <f t="shared" si="110"/>
        <v>-15440.458097725323</v>
      </c>
      <c r="X207" s="41">
        <f t="shared" si="94"/>
        <v>-15916.692473231296</v>
      </c>
      <c r="Y207" s="41">
        <f t="shared" si="95"/>
        <v>-15744.525494013275</v>
      </c>
      <c r="Z207" s="41">
        <f t="shared" si="96"/>
        <v>-15485.836182971565</v>
      </c>
      <c r="AA207" s="41">
        <f t="shared" si="97"/>
        <v>-15201.023898286623</v>
      </c>
      <c r="AB207" s="41">
        <f t="shared" si="98"/>
        <v>-14440.801734298353</v>
      </c>
      <c r="AC207" s="41">
        <f t="shared" si="99"/>
        <v>-14259.985259400339</v>
      </c>
      <c r="AD207" s="41">
        <f t="shared" si="100"/>
        <v>-14154.2988811385</v>
      </c>
      <c r="AF207" s="303">
        <f t="shared" si="101"/>
        <v>1.067962415817196E-3</v>
      </c>
      <c r="AG207" s="303">
        <f t="shared" si="102"/>
        <v>1.0265301321780084E-3</v>
      </c>
      <c r="AH207" s="303">
        <f t="shared" si="103"/>
        <v>1.021513866071953E-3</v>
      </c>
      <c r="AI207" s="303">
        <f t="shared" si="104"/>
        <v>1.009401566073266E-3</v>
      </c>
      <c r="AJ207" s="303">
        <f t="shared" si="105"/>
        <v>1.003059085252321E-3</v>
      </c>
      <c r="AK207" s="303">
        <f t="shared" si="106"/>
        <v>9.8601544576591227E-4</v>
      </c>
      <c r="AL207" s="303">
        <f t="shared" si="107"/>
        <v>9.8047874735125652E-4</v>
      </c>
      <c r="AM207" s="303">
        <f t="shared" si="108"/>
        <v>9.7987512420077581E-4</v>
      </c>
      <c r="AV207" s="41">
        <v>-16239.182640000001</v>
      </c>
      <c r="AW207" s="303">
        <f t="shared" si="111"/>
        <v>1.0869446769932996E-3</v>
      </c>
      <c r="AX207" s="41">
        <f t="shared" si="112"/>
        <v>-15935.518952407112</v>
      </c>
    </row>
    <row r="208" spans="1:50" x14ac:dyDescent="0.2">
      <c r="A208" s="30">
        <v>636</v>
      </c>
      <c r="B208" s="47" t="s">
        <v>531</v>
      </c>
      <c r="C208" s="295">
        <v>0.97763298401552268</v>
      </c>
      <c r="D208" s="295">
        <v>1.0251185391460658</v>
      </c>
      <c r="E208" s="295">
        <v>0.97770131558657625</v>
      </c>
      <c r="F208" s="295">
        <v>0.98019852990738632</v>
      </c>
      <c r="G208" s="295">
        <v>0.98148685241491995</v>
      </c>
      <c r="H208" s="295">
        <v>0.97322435157192799</v>
      </c>
      <c r="I208" s="295">
        <v>0.98284660381181199</v>
      </c>
      <c r="J208" s="295">
        <v>0.9724042252146079</v>
      </c>
      <c r="L208" s="41">
        <v>-20724.082050000001</v>
      </c>
      <c r="M208" s="41">
        <f t="shared" si="86"/>
        <v>-20260.546175524032</v>
      </c>
      <c r="N208" s="41">
        <f t="shared" si="87"/>
        <v>-20769.461497754604</v>
      </c>
      <c r="O208" s="41">
        <f t="shared" si="88"/>
        <v>-20306.329830379418</v>
      </c>
      <c r="P208" s="41">
        <f t="shared" si="89"/>
        <v>-19904.23464755241</v>
      </c>
      <c r="Q208" s="41">
        <f t="shared" si="90"/>
        <v>-19535.744613954208</v>
      </c>
      <c r="R208" s="41">
        <f t="shared" si="91"/>
        <v>-19012.662384390369</v>
      </c>
      <c r="S208" s="41">
        <f t="shared" si="92"/>
        <v>-18686.53065391866</v>
      </c>
      <c r="T208" s="41">
        <f t="shared" si="93"/>
        <v>-18170.861362472795</v>
      </c>
      <c r="V208" s="41">
        <f t="shared" si="109"/>
        <v>-20724.082050000001</v>
      </c>
      <c r="W208" s="41">
        <f t="shared" si="110"/>
        <v>-20686.017645210035</v>
      </c>
      <c r="X208" s="41">
        <f t="shared" si="94"/>
        <v>-21475.623188678263</v>
      </c>
      <c r="Y208" s="41">
        <f t="shared" si="95"/>
        <v>-20976.438714781936</v>
      </c>
      <c r="Z208" s="41">
        <f t="shared" si="96"/>
        <v>-20541.170156274089</v>
      </c>
      <c r="AA208" s="41">
        <f t="shared" si="97"/>
        <v>-20063.209718530969</v>
      </c>
      <c r="AB208" s="41">
        <f t="shared" si="98"/>
        <v>-19012.662384390369</v>
      </c>
      <c r="AC208" s="41">
        <f t="shared" si="99"/>
        <v>-18686.53065391866</v>
      </c>
      <c r="AD208" s="41">
        <f t="shared" si="100"/>
        <v>-18170.861362472795</v>
      </c>
      <c r="AF208" s="303">
        <f t="shared" si="101"/>
        <v>1.4307794003385311E-3</v>
      </c>
      <c r="AG208" s="303">
        <f t="shared" si="102"/>
        <v>1.3850474492458106E-3</v>
      </c>
      <c r="AH208" s="303">
        <f t="shared" si="103"/>
        <v>1.3609634038260474E-3</v>
      </c>
      <c r="AI208" s="303">
        <f t="shared" si="104"/>
        <v>1.3389195830135544E-3</v>
      </c>
      <c r="AJ208" s="303">
        <f t="shared" si="105"/>
        <v>1.323896661313945E-3</v>
      </c>
      <c r="AK208" s="303">
        <f t="shared" si="106"/>
        <v>1.2981813005309795E-3</v>
      </c>
      <c r="AL208" s="303">
        <f t="shared" si="107"/>
        <v>1.2848362627736329E-3</v>
      </c>
      <c r="AM208" s="303">
        <f t="shared" si="108"/>
        <v>1.257934086591504E-3</v>
      </c>
      <c r="AV208" s="41">
        <v>-22948.77376</v>
      </c>
      <c r="AW208" s="303">
        <f t="shared" si="111"/>
        <v>1.5360408239090727E-3</v>
      </c>
      <c r="AX208" s="41">
        <f t="shared" si="112"/>
        <v>-22519.644448495656</v>
      </c>
    </row>
    <row r="209" spans="1:50" x14ac:dyDescent="0.2">
      <c r="A209" s="30">
        <v>638</v>
      </c>
      <c r="B209" s="47" t="s">
        <v>532</v>
      </c>
      <c r="C209" s="295">
        <v>0.99304384738788454</v>
      </c>
      <c r="D209" s="295">
        <v>1.0364077619877705</v>
      </c>
      <c r="E209" s="295">
        <v>0.99445266934004217</v>
      </c>
      <c r="F209" s="295">
        <v>0.99585484973589089</v>
      </c>
      <c r="G209" s="295">
        <v>0.99319143607959592</v>
      </c>
      <c r="H209" s="295">
        <v>0.99264711415900175</v>
      </c>
      <c r="I209" s="295">
        <v>0.99409497745895115</v>
      </c>
      <c r="J209" s="295">
        <v>0.99434932711638024</v>
      </c>
      <c r="L209" s="41">
        <v>-154967.19969000001</v>
      </c>
      <c r="M209" s="41">
        <f t="shared" si="86"/>
        <v>-153889.22419908419</v>
      </c>
      <c r="N209" s="41">
        <f t="shared" si="87"/>
        <v>-159491.9864462071</v>
      </c>
      <c r="O209" s="41">
        <f t="shared" si="88"/>
        <v>-158607.23165977647</v>
      </c>
      <c r="P209" s="41">
        <f t="shared" si="89"/>
        <v>-157949.78085157234</v>
      </c>
      <c r="Q209" s="41">
        <f t="shared" si="90"/>
        <v>-156874.36967243059</v>
      </c>
      <c r="R209" s="41">
        <f t="shared" si="91"/>
        <v>-155720.89034085066</v>
      </c>
      <c r="S209" s="41">
        <f t="shared" si="92"/>
        <v>-154801.35497327574</v>
      </c>
      <c r="T209" s="41">
        <f t="shared" si="93"/>
        <v>-153926.62315438065</v>
      </c>
      <c r="V209" s="41">
        <f t="shared" si="109"/>
        <v>-154967.19969000001</v>
      </c>
      <c r="W209" s="41">
        <f t="shared" si="110"/>
        <v>-157120.89790726494</v>
      </c>
      <c r="X209" s="41">
        <f t="shared" si="94"/>
        <v>-164914.71398537816</v>
      </c>
      <c r="Y209" s="41">
        <f t="shared" si="95"/>
        <v>-163841.27030454908</v>
      </c>
      <c r="Z209" s="41">
        <f t="shared" si="96"/>
        <v>-163004.17383882267</v>
      </c>
      <c r="AA209" s="41">
        <f t="shared" si="97"/>
        <v>-161109.97765358622</v>
      </c>
      <c r="AB209" s="41">
        <f t="shared" si="98"/>
        <v>-155720.89034085066</v>
      </c>
      <c r="AC209" s="41">
        <f t="shared" si="99"/>
        <v>-154801.35497327574</v>
      </c>
      <c r="AD209" s="41">
        <f t="shared" si="100"/>
        <v>-153926.62315438065</v>
      </c>
      <c r="AF209" s="303">
        <f t="shared" si="101"/>
        <v>1.0867502287974846E-2</v>
      </c>
      <c r="AG209" s="303">
        <f t="shared" si="102"/>
        <v>1.0635998869125642E-2</v>
      </c>
      <c r="AH209" s="303">
        <f t="shared" si="103"/>
        <v>1.0630115814832235E-2</v>
      </c>
      <c r="AI209" s="303">
        <f t="shared" si="104"/>
        <v>1.0624977973763744E-2</v>
      </c>
      <c r="AJ209" s="303">
        <f t="shared" si="105"/>
        <v>1.0631048795893484E-2</v>
      </c>
      <c r="AK209" s="303">
        <f t="shared" si="106"/>
        <v>1.063259547008516E-2</v>
      </c>
      <c r="AL209" s="303">
        <f t="shared" si="107"/>
        <v>1.0643730400241467E-2</v>
      </c>
      <c r="AM209" s="303">
        <f t="shared" si="108"/>
        <v>1.065604663627626E-2</v>
      </c>
      <c r="AV209" s="41">
        <v>-161640.36900000001</v>
      </c>
      <c r="AW209" s="303">
        <f t="shared" si="111"/>
        <v>1.0819149126324671E-2</v>
      </c>
      <c r="AX209" s="41">
        <f t="shared" si="112"/>
        <v>-158617.78395969683</v>
      </c>
    </row>
    <row r="210" spans="1:50" x14ac:dyDescent="0.2">
      <c r="A210" s="30">
        <v>678</v>
      </c>
      <c r="B210" s="47" t="s">
        <v>533</v>
      </c>
      <c r="C210" s="295">
        <v>0.97431925423672305</v>
      </c>
      <c r="D210" s="295">
        <v>1.0374132555294548</v>
      </c>
      <c r="E210" s="295">
        <v>0.97977385573725884</v>
      </c>
      <c r="F210" s="295">
        <v>0.98275224884092394</v>
      </c>
      <c r="G210" s="295">
        <v>0.97775374768469525</v>
      </c>
      <c r="H210" s="295">
        <v>0.97542339505347975</v>
      </c>
      <c r="I210" s="295">
        <v>0.98005607664658201</v>
      </c>
      <c r="J210" s="295">
        <v>0.98090651548915531</v>
      </c>
      <c r="L210" s="41">
        <v>-69347.122069999998</v>
      </c>
      <c r="M210" s="41">
        <f t="shared" si="86"/>
        <v>-67566.236258705394</v>
      </c>
      <c r="N210" s="41">
        <f t="shared" si="87"/>
        <v>-70094.109121015863</v>
      </c>
      <c r="O210" s="41">
        <f t="shared" si="88"/>
        <v>-68676.375557965875</v>
      </c>
      <c r="P210" s="41">
        <f t="shared" si="89"/>
        <v>-67491.862521834832</v>
      </c>
      <c r="Q210" s="41">
        <f t="shared" si="90"/>
        <v>-65990.421518944233</v>
      </c>
      <c r="R210" s="41">
        <f t="shared" si="91"/>
        <v>-64368.600999018789</v>
      </c>
      <c r="S210" s="41">
        <f t="shared" si="92"/>
        <v>-63084.838554327616</v>
      </c>
      <c r="T210" s="41">
        <f t="shared" si="93"/>
        <v>-61880.329166521427</v>
      </c>
      <c r="V210" s="41">
        <f t="shared" si="109"/>
        <v>-69347.122069999998</v>
      </c>
      <c r="W210" s="41">
        <f t="shared" si="110"/>
        <v>-68985.127220138194</v>
      </c>
      <c r="X210" s="41">
        <f t="shared" si="94"/>
        <v>-72477.308831130402</v>
      </c>
      <c r="Y210" s="41">
        <f t="shared" si="95"/>
        <v>-70942.695951378744</v>
      </c>
      <c r="Z210" s="41">
        <f t="shared" si="96"/>
        <v>-69651.602122533543</v>
      </c>
      <c r="AA210" s="41">
        <f t="shared" si="97"/>
        <v>-67772.162899955714</v>
      </c>
      <c r="AB210" s="41">
        <f t="shared" si="98"/>
        <v>-64368.600999018789</v>
      </c>
      <c r="AC210" s="41">
        <f t="shared" si="99"/>
        <v>-63084.838554327616</v>
      </c>
      <c r="AD210" s="41">
        <f t="shared" si="100"/>
        <v>-61880.329166521427</v>
      </c>
      <c r="AF210" s="303">
        <f t="shared" si="101"/>
        <v>4.7714596714153786E-3</v>
      </c>
      <c r="AG210" s="303">
        <f t="shared" si="102"/>
        <v>4.6743468556330299E-3</v>
      </c>
      <c r="AH210" s="303">
        <f t="shared" si="103"/>
        <v>4.6028029005012383E-3</v>
      </c>
      <c r="AI210" s="303">
        <f t="shared" si="104"/>
        <v>4.5400477850403255E-3</v>
      </c>
      <c r="AJ210" s="303">
        <f t="shared" si="105"/>
        <v>4.4720332116353788E-3</v>
      </c>
      <c r="AK210" s="303">
        <f t="shared" si="106"/>
        <v>4.3950769476068458E-3</v>
      </c>
      <c r="AL210" s="303">
        <f t="shared" si="107"/>
        <v>4.3375461024287515E-3</v>
      </c>
      <c r="AM210" s="303">
        <f t="shared" si="108"/>
        <v>4.2838572038654656E-3</v>
      </c>
      <c r="AV210" s="41">
        <v>-74250.866370000003</v>
      </c>
      <c r="AW210" s="303">
        <f t="shared" si="111"/>
        <v>4.9698673727714355E-3</v>
      </c>
      <c r="AX210" s="41">
        <f t="shared" si="112"/>
        <v>-72862.416446828196</v>
      </c>
    </row>
    <row r="211" spans="1:50" x14ac:dyDescent="0.2">
      <c r="A211" s="30">
        <v>680</v>
      </c>
      <c r="B211" s="47" t="s">
        <v>534</v>
      </c>
      <c r="C211" s="295">
        <v>0.991662971942325</v>
      </c>
      <c r="D211" s="295">
        <v>1.0708498114892433</v>
      </c>
      <c r="E211" s="295">
        <v>0.99819555925387404</v>
      </c>
      <c r="F211" s="295">
        <v>0.99812415324582937</v>
      </c>
      <c r="G211" s="295">
        <v>0.99563564953901329</v>
      </c>
      <c r="H211" s="295">
        <v>0.99460479881036867</v>
      </c>
      <c r="I211" s="295">
        <v>0.99635139555218399</v>
      </c>
      <c r="J211" s="295">
        <v>0.99291416280829159</v>
      </c>
      <c r="L211" s="41">
        <v>-59057.289939999995</v>
      </c>
      <c r="M211" s="41">
        <f t="shared" si="86"/>
        <v>-58564.927656759966</v>
      </c>
      <c r="N211" s="41">
        <f t="shared" si="87"/>
        <v>-62714.241741122583</v>
      </c>
      <c r="O211" s="41">
        <f t="shared" si="88"/>
        <v>-62601.077607962507</v>
      </c>
      <c r="P211" s="41">
        <f t="shared" si="89"/>
        <v>-62483.647579724027</v>
      </c>
      <c r="Q211" s="41">
        <f t="shared" si="90"/>
        <v>-62210.947043605331</v>
      </c>
      <c r="R211" s="41">
        <f t="shared" si="91"/>
        <v>-61875.306468107578</v>
      </c>
      <c r="S211" s="41">
        <f t="shared" si="92"/>
        <v>-61649.547949718064</v>
      </c>
      <c r="T211" s="41">
        <f t="shared" si="93"/>
        <v>-61212.709290003942</v>
      </c>
      <c r="V211" s="41">
        <f t="shared" si="109"/>
        <v>-59057.289939999995</v>
      </c>
      <c r="W211" s="41">
        <f t="shared" si="110"/>
        <v>-59794.791137551918</v>
      </c>
      <c r="X211" s="41">
        <f t="shared" si="94"/>
        <v>-64846.525960320752</v>
      </c>
      <c r="Y211" s="41">
        <f t="shared" si="95"/>
        <v>-64666.913169025262</v>
      </c>
      <c r="Z211" s="41">
        <f t="shared" si="96"/>
        <v>-64483.124302275195</v>
      </c>
      <c r="AA211" s="41">
        <f t="shared" si="97"/>
        <v>-63890.642613782671</v>
      </c>
      <c r="AB211" s="41">
        <f t="shared" si="98"/>
        <v>-61875.306468107578</v>
      </c>
      <c r="AC211" s="41">
        <f t="shared" si="99"/>
        <v>-61649.547949718064</v>
      </c>
      <c r="AD211" s="41">
        <f t="shared" si="100"/>
        <v>-61212.709290003942</v>
      </c>
      <c r="AF211" s="303">
        <f t="shared" si="101"/>
        <v>4.1357963081388241E-3</v>
      </c>
      <c r="AG211" s="303">
        <f t="shared" si="102"/>
        <v>4.1822076400159763E-3</v>
      </c>
      <c r="AH211" s="303">
        <f t="shared" si="103"/>
        <v>4.195626505438246E-3</v>
      </c>
      <c r="AI211" s="303">
        <f t="shared" si="104"/>
        <v>4.2031547981623884E-3</v>
      </c>
      <c r="AJ211" s="303">
        <f t="shared" si="105"/>
        <v>4.2159061103500565E-3</v>
      </c>
      <c r="AK211" s="303">
        <f t="shared" si="106"/>
        <v>4.2248352280987722E-3</v>
      </c>
      <c r="AL211" s="303">
        <f t="shared" si="107"/>
        <v>4.2388593290209799E-3</v>
      </c>
      <c r="AM211" s="303">
        <f t="shared" si="108"/>
        <v>4.2376391527337905E-3</v>
      </c>
      <c r="AV211" s="41">
        <v>-65759.515619999991</v>
      </c>
      <c r="AW211" s="303">
        <f t="shared" si="111"/>
        <v>4.4015118894442538E-3</v>
      </c>
      <c r="AX211" s="41">
        <f t="shared" si="112"/>
        <v>-64529.849235295085</v>
      </c>
    </row>
    <row r="212" spans="1:50" x14ac:dyDescent="0.2">
      <c r="A212" s="30">
        <v>681</v>
      </c>
      <c r="B212" s="47" t="s">
        <v>535</v>
      </c>
      <c r="C212" s="295">
        <v>0.97489800199963772</v>
      </c>
      <c r="D212" s="295">
        <v>1.0589908382941782</v>
      </c>
      <c r="E212" s="295">
        <v>0.99457132558976757</v>
      </c>
      <c r="F212" s="295">
        <v>0.99088716696713031</v>
      </c>
      <c r="G212" s="295">
        <v>0.99386319916329013</v>
      </c>
      <c r="H212" s="295">
        <v>0.99409973712902067</v>
      </c>
      <c r="I212" s="295">
        <v>0.98938331449590222</v>
      </c>
      <c r="J212" s="295">
        <v>0.9938615172325892</v>
      </c>
      <c r="L212" s="41">
        <v>-9111.0498200000002</v>
      </c>
      <c r="M212" s="41">
        <f t="shared" si="86"/>
        <v>-8882.344265637159</v>
      </c>
      <c r="N212" s="41">
        <f t="shared" si="87"/>
        <v>-9406.3211998845818</v>
      </c>
      <c r="O212" s="41">
        <f t="shared" si="88"/>
        <v>-9355.2573446923416</v>
      </c>
      <c r="P212" s="41">
        <f t="shared" si="89"/>
        <v>-9270.0044465306328</v>
      </c>
      <c r="Q212" s="41">
        <f t="shared" si="90"/>
        <v>-9213.1162754868601</v>
      </c>
      <c r="R212" s="41">
        <f t="shared" si="91"/>
        <v>-9158.7564676005895</v>
      </c>
      <c r="S212" s="41">
        <f t="shared" si="92"/>
        <v>-9061.5208305754531</v>
      </c>
      <c r="T212" s="41">
        <f t="shared" si="93"/>
        <v>-9005.8968411104324</v>
      </c>
      <c r="V212" s="41">
        <f t="shared" si="109"/>
        <v>-9111.0498200000002</v>
      </c>
      <c r="W212" s="41">
        <f t="shared" si="110"/>
        <v>-9068.8734952155392</v>
      </c>
      <c r="X212" s="41">
        <f t="shared" si="94"/>
        <v>-9726.1361206806578</v>
      </c>
      <c r="Y212" s="41">
        <f t="shared" si="95"/>
        <v>-9663.980837067189</v>
      </c>
      <c r="Z212" s="41">
        <f t="shared" si="96"/>
        <v>-9566.644588819614</v>
      </c>
      <c r="AA212" s="41">
        <f t="shared" si="97"/>
        <v>-9461.8704149250043</v>
      </c>
      <c r="AB212" s="41">
        <f t="shared" si="98"/>
        <v>-9158.7564676005895</v>
      </c>
      <c r="AC212" s="41">
        <f t="shared" si="99"/>
        <v>-9061.5208305754531</v>
      </c>
      <c r="AD212" s="41">
        <f t="shared" si="100"/>
        <v>-9005.8968411104324</v>
      </c>
      <c r="AF212" s="303">
        <f t="shared" si="101"/>
        <v>6.2726222145687146E-4</v>
      </c>
      <c r="AG212" s="303">
        <f t="shared" si="102"/>
        <v>6.2727679223148925E-4</v>
      </c>
      <c r="AH212" s="303">
        <f t="shared" si="103"/>
        <v>6.2700463283390021E-4</v>
      </c>
      <c r="AI212" s="303">
        <f t="shared" si="104"/>
        <v>6.2357537015917601E-4</v>
      </c>
      <c r="AJ212" s="303">
        <f t="shared" si="105"/>
        <v>6.2435367161289888E-4</v>
      </c>
      <c r="AK212" s="303">
        <f t="shared" si="106"/>
        <v>6.2535830816192611E-4</v>
      </c>
      <c r="AL212" s="303">
        <f t="shared" si="107"/>
        <v>6.2304612742871475E-4</v>
      </c>
      <c r="AM212" s="303">
        <f t="shared" si="108"/>
        <v>6.2346106718728889E-4</v>
      </c>
      <c r="AV212" s="41">
        <v>-9328.9459999999999</v>
      </c>
      <c r="AW212" s="303">
        <f t="shared" si="111"/>
        <v>6.2441863124817554E-4</v>
      </c>
      <c r="AX212" s="41">
        <f t="shared" si="112"/>
        <v>-9154.4998959986151</v>
      </c>
    </row>
    <row r="213" spans="1:50" x14ac:dyDescent="0.2">
      <c r="A213" s="30">
        <v>683</v>
      </c>
      <c r="B213" s="47" t="s">
        <v>536</v>
      </c>
      <c r="C213" s="295">
        <v>0.98657631180549155</v>
      </c>
      <c r="D213" s="295">
        <v>1.0411320410808631</v>
      </c>
      <c r="E213" s="295">
        <v>0.9941427382773016</v>
      </c>
      <c r="F213" s="295">
        <v>0.99159754173627046</v>
      </c>
      <c r="G213" s="295">
        <v>0.98579128941688088</v>
      </c>
      <c r="H213" s="295">
        <v>0.99011192002832071</v>
      </c>
      <c r="I213" s="295">
        <v>0.99947938723618301</v>
      </c>
      <c r="J213" s="295">
        <v>0.99533963496551203</v>
      </c>
      <c r="L213" s="41">
        <v>-13990.48963</v>
      </c>
      <c r="M213" s="41">
        <f t="shared" si="86"/>
        <v>-13802.685659518376</v>
      </c>
      <c r="N213" s="41">
        <f t="shared" si="87"/>
        <v>-14370.418293091927</v>
      </c>
      <c r="O213" s="41">
        <f t="shared" si="88"/>
        <v>-14286.246992084634</v>
      </c>
      <c r="P213" s="41">
        <f t="shared" si="89"/>
        <v>-14166.207397988312</v>
      </c>
      <c r="Q213" s="41">
        <f t="shared" si="90"/>
        <v>-13964.923857009855</v>
      </c>
      <c r="R213" s="41">
        <f t="shared" si="91"/>
        <v>-13826.837573113329</v>
      </c>
      <c r="S213" s="41">
        <f t="shared" si="92"/>
        <v>-13819.639144989542</v>
      </c>
      <c r="T213" s="41">
        <f t="shared" si="93"/>
        <v>-13755.234581928991</v>
      </c>
      <c r="V213" s="41">
        <f t="shared" si="109"/>
        <v>-13990.48963</v>
      </c>
      <c r="W213" s="41">
        <f t="shared" si="110"/>
        <v>-14092.542058368261</v>
      </c>
      <c r="X213" s="41">
        <f t="shared" si="94"/>
        <v>-14859.012515057053</v>
      </c>
      <c r="Y213" s="41">
        <f t="shared" si="95"/>
        <v>-14757.693142823426</v>
      </c>
      <c r="Z213" s="41">
        <f t="shared" si="96"/>
        <v>-14619.526034723938</v>
      </c>
      <c r="AA213" s="41">
        <f t="shared" si="97"/>
        <v>-14341.97680114912</v>
      </c>
      <c r="AB213" s="41">
        <f t="shared" si="98"/>
        <v>-13826.837573113329</v>
      </c>
      <c r="AC213" s="41">
        <f t="shared" si="99"/>
        <v>-13819.639144989542</v>
      </c>
      <c r="AD213" s="41">
        <f t="shared" si="100"/>
        <v>-13755.234581928991</v>
      </c>
      <c r="AF213" s="303">
        <f t="shared" si="101"/>
        <v>9.7473178363002117E-4</v>
      </c>
      <c r="AG213" s="303">
        <f t="shared" si="102"/>
        <v>9.5831618954560314E-4</v>
      </c>
      <c r="AH213" s="303">
        <f t="shared" si="103"/>
        <v>9.5748761576595778E-4</v>
      </c>
      <c r="AI213" s="303">
        <f t="shared" si="104"/>
        <v>9.5293352585804796E-4</v>
      </c>
      <c r="AJ213" s="303">
        <f t="shared" si="105"/>
        <v>9.4637375923684595E-4</v>
      </c>
      <c r="AK213" s="303">
        <f t="shared" si="106"/>
        <v>9.4409407898768741E-4</v>
      </c>
      <c r="AL213" s="303">
        <f t="shared" si="107"/>
        <v>9.5020171698939994E-4</v>
      </c>
      <c r="AM213" s="303">
        <f t="shared" si="108"/>
        <v>9.5224866364375794E-4</v>
      </c>
      <c r="AV213" s="41">
        <v>-13824.76843</v>
      </c>
      <c r="AW213" s="303">
        <f t="shared" si="111"/>
        <v>9.2533958073973089E-4</v>
      </c>
      <c r="AX213" s="41">
        <f t="shared" si="112"/>
        <v>-13566.252945899776</v>
      </c>
    </row>
    <row r="214" spans="1:50" ht="12.75" customHeight="1" x14ac:dyDescent="0.2">
      <c r="A214" s="30">
        <v>684</v>
      </c>
      <c r="B214" s="47" t="s">
        <v>537</v>
      </c>
      <c r="C214" s="295">
        <v>0.98064957114442208</v>
      </c>
      <c r="D214" s="295">
        <v>1.0661666717806213</v>
      </c>
      <c r="E214" s="295">
        <v>0.98478838420760684</v>
      </c>
      <c r="F214" s="295">
        <v>0.98735572488434897</v>
      </c>
      <c r="G214" s="295">
        <v>0.98513174869348652</v>
      </c>
      <c r="H214" s="295">
        <v>0.98542412545444358</v>
      </c>
      <c r="I214" s="295">
        <v>0.98804069576978149</v>
      </c>
      <c r="J214" s="295">
        <v>0.98714019280305509</v>
      </c>
      <c r="L214" s="41">
        <v>-89229.346369999999</v>
      </c>
      <c r="M214" s="41">
        <f t="shared" si="86"/>
        <v>-87502.720251237595</v>
      </c>
      <c r="N214" s="41">
        <f t="shared" si="87"/>
        <v>-93292.484022012752</v>
      </c>
      <c r="O214" s="41">
        <f t="shared" si="88"/>
        <v>-91873.354598751917</v>
      </c>
      <c r="P214" s="41">
        <f t="shared" si="89"/>
        <v>-90711.682627407543</v>
      </c>
      <c r="Q214" s="41">
        <f t="shared" si="90"/>
        <v>-89362.958533666548</v>
      </c>
      <c r="R214" s="41">
        <f t="shared" si="91"/>
        <v>-88060.415261060058</v>
      </c>
      <c r="S214" s="41">
        <f t="shared" si="92"/>
        <v>-87007.273964313659</v>
      </c>
      <c r="T214" s="41">
        <f t="shared" si="93"/>
        <v>-85888.377196400819</v>
      </c>
      <c r="V214" s="41">
        <f t="shared" si="109"/>
        <v>-89229.346369999999</v>
      </c>
      <c r="W214" s="41">
        <f t="shared" si="110"/>
        <v>-89340.277376513579</v>
      </c>
      <c r="X214" s="41">
        <f t="shared" si="94"/>
        <v>-96464.428478761183</v>
      </c>
      <c r="Y214" s="41">
        <f t="shared" si="95"/>
        <v>-94905.175300510717</v>
      </c>
      <c r="Z214" s="41">
        <f t="shared" si="96"/>
        <v>-93614.456471484591</v>
      </c>
      <c r="AA214" s="41">
        <f t="shared" si="97"/>
        <v>-91775.758414075535</v>
      </c>
      <c r="AB214" s="41">
        <f t="shared" si="98"/>
        <v>-88060.415261060058</v>
      </c>
      <c r="AC214" s="41">
        <f t="shared" si="99"/>
        <v>-87007.273964313659</v>
      </c>
      <c r="AD214" s="41">
        <f t="shared" si="100"/>
        <v>-85888.377196400819</v>
      </c>
      <c r="AF214" s="303">
        <f t="shared" si="101"/>
        <v>6.1793541262131248E-3</v>
      </c>
      <c r="AG214" s="303">
        <f t="shared" si="102"/>
        <v>6.2213705946330732E-3</v>
      </c>
      <c r="AH214" s="303">
        <f t="shared" si="103"/>
        <v>6.1575023374521136E-3</v>
      </c>
      <c r="AI214" s="303">
        <f t="shared" si="104"/>
        <v>6.1020004249639197E-3</v>
      </c>
      <c r="AJ214" s="303">
        <f t="shared" si="105"/>
        <v>6.0559412904769346E-3</v>
      </c>
      <c r="AK214" s="303">
        <f t="shared" si="106"/>
        <v>6.012749929371169E-3</v>
      </c>
      <c r="AL214" s="303">
        <f t="shared" si="107"/>
        <v>5.9823892826776498E-3</v>
      </c>
      <c r="AM214" s="303">
        <f t="shared" si="108"/>
        <v>5.9458885939504009E-3</v>
      </c>
      <c r="AV214" s="41">
        <v>-98207.273879999993</v>
      </c>
      <c r="AW214" s="303">
        <f t="shared" si="111"/>
        <v>6.5733526096907729E-3</v>
      </c>
      <c r="AX214" s="41">
        <f t="shared" si="112"/>
        <v>-96370.852454368083</v>
      </c>
    </row>
    <row r="215" spans="1:50" x14ac:dyDescent="0.2">
      <c r="A215" s="30">
        <v>686</v>
      </c>
      <c r="B215" s="47" t="s">
        <v>538</v>
      </c>
      <c r="C215" s="295">
        <v>0.99229520888090994</v>
      </c>
      <c r="D215" s="295">
        <v>1.0415085748746722</v>
      </c>
      <c r="E215" s="295">
        <v>0.99423983182507114</v>
      </c>
      <c r="F215" s="295">
        <v>0.99528831449662014</v>
      </c>
      <c r="G215" s="295">
        <v>0.99377638345581354</v>
      </c>
      <c r="H215" s="295">
        <v>0.99456143281279918</v>
      </c>
      <c r="I215" s="295">
        <v>0.99469739932906232</v>
      </c>
      <c r="J215" s="295">
        <v>0.99466913186410821</v>
      </c>
      <c r="L215" s="41">
        <v>-8860.8007100000013</v>
      </c>
      <c r="M215" s="41">
        <f t="shared" si="86"/>
        <v>-8792.5300913815663</v>
      </c>
      <c r="N215" s="41">
        <f t="shared" si="87"/>
        <v>-9157.4954850174872</v>
      </c>
      <c r="O215" s="41">
        <f t="shared" si="88"/>
        <v>-9104.7467709626344</v>
      </c>
      <c r="P215" s="41">
        <f t="shared" si="89"/>
        <v>-9061.8480675899445</v>
      </c>
      <c r="Q215" s="41">
        <f t="shared" si="90"/>
        <v>-9005.4506000355868</v>
      </c>
      <c r="R215" s="41">
        <f t="shared" si="91"/>
        <v>-8956.4738518962749</v>
      </c>
      <c r="S215" s="41">
        <f t="shared" si="92"/>
        <v>-8908.9812476399748</v>
      </c>
      <c r="T215" s="41">
        <f t="shared" si="93"/>
        <v>-8861.4886433836728</v>
      </c>
      <c r="V215" s="41">
        <f t="shared" si="109"/>
        <v>-8860.8007100000013</v>
      </c>
      <c r="W215" s="41">
        <f t="shared" si="110"/>
        <v>-8977.1732233005787</v>
      </c>
      <c r="X215" s="41">
        <f t="shared" si="94"/>
        <v>-9468.8503315080816</v>
      </c>
      <c r="Y215" s="41">
        <f t="shared" si="95"/>
        <v>-9405.203414404401</v>
      </c>
      <c r="Z215" s="41">
        <f t="shared" si="96"/>
        <v>-9351.8272057528229</v>
      </c>
      <c r="AA215" s="41">
        <f t="shared" si="97"/>
        <v>-9248.5977662365476</v>
      </c>
      <c r="AB215" s="41">
        <f t="shared" si="98"/>
        <v>-8956.4738518962749</v>
      </c>
      <c r="AC215" s="41">
        <f t="shared" si="99"/>
        <v>-8908.9812476399748</v>
      </c>
      <c r="AD215" s="41">
        <f t="shared" si="100"/>
        <v>-8861.4886433836728</v>
      </c>
      <c r="AF215" s="303">
        <f t="shared" si="101"/>
        <v>6.2091963477287776E-4</v>
      </c>
      <c r="AG215" s="303">
        <f t="shared" si="102"/>
        <v>6.1068341922946451E-4</v>
      </c>
      <c r="AH215" s="303">
        <f t="shared" si="103"/>
        <v>6.1021500487230069E-4</v>
      </c>
      <c r="AI215" s="303">
        <f t="shared" si="104"/>
        <v>6.0957309089408748E-4</v>
      </c>
      <c r="AJ215" s="303">
        <f t="shared" si="105"/>
        <v>6.1028060197402438E-4</v>
      </c>
      <c r="AK215" s="303">
        <f t="shared" si="106"/>
        <v>6.1154648613402152E-4</v>
      </c>
      <c r="AL215" s="303">
        <f t="shared" si="107"/>
        <v>6.1255791047214615E-4</v>
      </c>
      <c r="AM215" s="303">
        <f t="shared" si="108"/>
        <v>6.1346396299502971E-4</v>
      </c>
      <c r="AV215" s="41">
        <v>-8570.2514100000008</v>
      </c>
      <c r="AW215" s="303">
        <f t="shared" si="111"/>
        <v>5.7363657747455579E-4</v>
      </c>
      <c r="AX215" s="41">
        <f t="shared" si="112"/>
        <v>-8409.9924730539751</v>
      </c>
    </row>
    <row r="216" spans="1:50" x14ac:dyDescent="0.2">
      <c r="A216" s="30">
        <v>687</v>
      </c>
      <c r="B216" s="47" t="s">
        <v>539</v>
      </c>
      <c r="C216" s="295">
        <v>0.98955932199277852</v>
      </c>
      <c r="D216" s="295">
        <v>1.0557819348584234</v>
      </c>
      <c r="E216" s="295">
        <v>0.99169865217134578</v>
      </c>
      <c r="F216" s="295">
        <v>0.99269150172905374</v>
      </c>
      <c r="G216" s="295">
        <v>0.99187901700199377</v>
      </c>
      <c r="H216" s="295">
        <v>0.99249481611442947</v>
      </c>
      <c r="I216" s="295">
        <v>0.99243806238207544</v>
      </c>
      <c r="J216" s="295">
        <v>0.99272678723806629</v>
      </c>
      <c r="L216" s="41">
        <v>-4204.3120499999995</v>
      </c>
      <c r="M216" s="41">
        <f t="shared" si="86"/>
        <v>-4160.4161816440683</v>
      </c>
      <c r="N216" s="41">
        <f t="shared" si="87"/>
        <v>-4392.4922460724683</v>
      </c>
      <c r="O216" s="41">
        <f t="shared" si="88"/>
        <v>-4356.0286401031544</v>
      </c>
      <c r="P216" s="41">
        <f t="shared" si="89"/>
        <v>-4324.1926123187677</v>
      </c>
      <c r="Q216" s="41">
        <f t="shared" si="90"/>
        <v>-4289.0759176340225</v>
      </c>
      <c r="R216" s="41">
        <f t="shared" si="91"/>
        <v>-4256.8856141730066</v>
      </c>
      <c r="S216" s="41">
        <f t="shared" si="92"/>
        <v>-4224.6953107119898</v>
      </c>
      <c r="T216" s="41">
        <f t="shared" si="93"/>
        <v>-4193.9682028628376</v>
      </c>
      <c r="V216" s="41">
        <f t="shared" si="109"/>
        <v>-4204.3120499999995</v>
      </c>
      <c r="W216" s="41">
        <f t="shared" si="110"/>
        <v>-4247.7849214585931</v>
      </c>
      <c r="X216" s="41">
        <f t="shared" si="94"/>
        <v>-4541.836982438932</v>
      </c>
      <c r="Y216" s="41">
        <f t="shared" si="95"/>
        <v>-4499.7775852265586</v>
      </c>
      <c r="Z216" s="41">
        <f t="shared" si="96"/>
        <v>-4462.5667759129683</v>
      </c>
      <c r="AA216" s="41">
        <f t="shared" si="97"/>
        <v>-4404.8809674101403</v>
      </c>
      <c r="AB216" s="41">
        <f t="shared" si="98"/>
        <v>-4256.8856141730066</v>
      </c>
      <c r="AC216" s="41">
        <f t="shared" si="99"/>
        <v>-4224.6953107119898</v>
      </c>
      <c r="AD216" s="41">
        <f t="shared" si="100"/>
        <v>-4193.9682028628376</v>
      </c>
      <c r="AF216" s="303">
        <f t="shared" si="101"/>
        <v>2.9380440773716987E-4</v>
      </c>
      <c r="AG216" s="303">
        <f t="shared" si="102"/>
        <v>2.9292093980926736E-4</v>
      </c>
      <c r="AH216" s="303">
        <f t="shared" si="103"/>
        <v>2.9194815679243639E-4</v>
      </c>
      <c r="AI216" s="303">
        <f t="shared" si="104"/>
        <v>2.908801203299767E-4</v>
      </c>
      <c r="AJ216" s="303">
        <f t="shared" si="105"/>
        <v>2.9066172801121555E-4</v>
      </c>
      <c r="AK216" s="303">
        <f t="shared" si="106"/>
        <v>2.9065941376815366E-4</v>
      </c>
      <c r="AL216" s="303">
        <f t="shared" si="107"/>
        <v>2.9047883927208265E-4</v>
      </c>
      <c r="AM216" s="303">
        <f t="shared" si="108"/>
        <v>2.9034042224094781E-4</v>
      </c>
      <c r="AV216" s="41">
        <v>-4343.143</v>
      </c>
      <c r="AW216" s="303">
        <f t="shared" si="111"/>
        <v>2.9070158701477049E-4</v>
      </c>
      <c r="AX216" s="41">
        <f t="shared" si="112"/>
        <v>-4261.9286403637789</v>
      </c>
    </row>
    <row r="217" spans="1:50" x14ac:dyDescent="0.2">
      <c r="A217" s="30">
        <v>689</v>
      </c>
      <c r="B217" s="47" t="s">
        <v>540</v>
      </c>
      <c r="C217" s="295">
        <v>0.9915724677055181</v>
      </c>
      <c r="D217" s="295">
        <v>1.0842056321497233</v>
      </c>
      <c r="E217" s="295">
        <v>0.99424339353564606</v>
      </c>
      <c r="F217" s="295">
        <v>0.99586434749574881</v>
      </c>
      <c r="G217" s="295">
        <v>0.98854192184469813</v>
      </c>
      <c r="H217" s="295">
        <v>0.99433211810663069</v>
      </c>
      <c r="I217" s="295">
        <v>0.98896262814919234</v>
      </c>
      <c r="J217" s="295">
        <v>0.99473739344472245</v>
      </c>
      <c r="L217" s="41">
        <v>-7688.0636900000009</v>
      </c>
      <c r="M217" s="41">
        <f t="shared" si="86"/>
        <v>-7623.2722849704924</v>
      </c>
      <c r="N217" s="41">
        <f t="shared" si="87"/>
        <v>-8265.1947467758982</v>
      </c>
      <c r="O217" s="41">
        <f t="shared" si="88"/>
        <v>-8217.6152732674636</v>
      </c>
      <c r="P217" s="41">
        <f t="shared" si="89"/>
        <v>-8183.6300720836025</v>
      </c>
      <c r="Q217" s="41">
        <f t="shared" si="90"/>
        <v>-8089.8613991235898</v>
      </c>
      <c r="R217" s="41">
        <f t="shared" si="91"/>
        <v>-8044.0090201796302</v>
      </c>
      <c r="S217" s="41">
        <f t="shared" si="92"/>
        <v>-7955.2243014526566</v>
      </c>
      <c r="T217" s="41">
        <f t="shared" si="93"/>
        <v>-7913.3590858951284</v>
      </c>
      <c r="V217" s="41">
        <f t="shared" si="109"/>
        <v>-7688.0636900000009</v>
      </c>
      <c r="W217" s="41">
        <f t="shared" si="110"/>
        <v>-7783.3610029548718</v>
      </c>
      <c r="X217" s="41">
        <f t="shared" si="94"/>
        <v>-8546.2113681662795</v>
      </c>
      <c r="Y217" s="41">
        <f t="shared" si="95"/>
        <v>-8488.7965772852895</v>
      </c>
      <c r="Z217" s="41">
        <f t="shared" si="96"/>
        <v>-8445.5062343902773</v>
      </c>
      <c r="AA217" s="41">
        <f t="shared" si="97"/>
        <v>-8308.2876568999254</v>
      </c>
      <c r="AB217" s="41">
        <f t="shared" si="98"/>
        <v>-8044.0090201796302</v>
      </c>
      <c r="AC217" s="41">
        <f t="shared" si="99"/>
        <v>-7955.2243014526566</v>
      </c>
      <c r="AD217" s="41">
        <f t="shared" si="100"/>
        <v>-7913.3590858951284</v>
      </c>
      <c r="AF217" s="303">
        <f t="shared" si="101"/>
        <v>5.3834782409192935E-4</v>
      </c>
      <c r="AG217" s="303">
        <f t="shared" si="102"/>
        <v>5.5117880176043304E-4</v>
      </c>
      <c r="AH217" s="303">
        <f t="shared" si="103"/>
        <v>5.5075800240904664E-4</v>
      </c>
      <c r="AI217" s="303">
        <f t="shared" si="104"/>
        <v>5.5049705540919909E-4</v>
      </c>
      <c r="AJ217" s="303">
        <f t="shared" si="105"/>
        <v>5.4823303172903495E-4</v>
      </c>
      <c r="AK217" s="303">
        <f t="shared" si="106"/>
        <v>5.4924354517930181E-4</v>
      </c>
      <c r="AL217" s="303">
        <f t="shared" si="107"/>
        <v>5.4698011366069096E-4</v>
      </c>
      <c r="AM217" s="303">
        <f t="shared" si="108"/>
        <v>5.4782676148443211E-4</v>
      </c>
      <c r="AV217" s="41">
        <v>-8297.6980399999993</v>
      </c>
      <c r="AW217" s="303">
        <f t="shared" si="111"/>
        <v>5.5539363746423965E-4</v>
      </c>
      <c r="AX217" s="41">
        <f t="shared" si="112"/>
        <v>-8142.5356995536149</v>
      </c>
    </row>
    <row r="218" spans="1:50" x14ac:dyDescent="0.2">
      <c r="A218" s="30">
        <v>691</v>
      </c>
      <c r="B218" s="47" t="s">
        <v>541</v>
      </c>
      <c r="C218" s="295">
        <v>1.0019222439717841</v>
      </c>
      <c r="D218" s="295">
        <v>1.0187693750673055</v>
      </c>
      <c r="E218" s="295">
        <v>0.9903016558434049</v>
      </c>
      <c r="F218" s="295">
        <v>0.9858723517634288</v>
      </c>
      <c r="G218" s="295">
        <v>1.0029834506955209</v>
      </c>
      <c r="H218" s="295">
        <v>0.98434563444683665</v>
      </c>
      <c r="I218" s="295">
        <v>1.0034293185466365</v>
      </c>
      <c r="J218" s="295">
        <v>0.99621025362464066</v>
      </c>
      <c r="L218" s="41">
        <v>-8467.1737799999992</v>
      </c>
      <c r="M218" s="41">
        <f t="shared" si="86"/>
        <v>-8483.4497537566531</v>
      </c>
      <c r="N218" s="41">
        <f t="shared" si="87"/>
        <v>-8642.6788040495521</v>
      </c>
      <c r="O218" s="41">
        <f t="shared" si="88"/>
        <v>-8558.8591305729697</v>
      </c>
      <c r="P218" s="41">
        <f t="shared" si="89"/>
        <v>-8437.9425794698691</v>
      </c>
      <c r="Q218" s="41">
        <f t="shared" si="90"/>
        <v>-8463.1167651273536</v>
      </c>
      <c r="R218" s="41">
        <f t="shared" si="91"/>
        <v>-8330.6320415669452</v>
      </c>
      <c r="S218" s="41">
        <f t="shared" si="92"/>
        <v>-8359.200432532296</v>
      </c>
      <c r="T218" s="41">
        <f t="shared" si="93"/>
        <v>-8327.5211829922046</v>
      </c>
      <c r="V218" s="41">
        <f t="shared" si="109"/>
        <v>-8467.1737799999992</v>
      </c>
      <c r="W218" s="41">
        <f t="shared" si="110"/>
        <v>-8661.6021985855423</v>
      </c>
      <c r="X218" s="41">
        <f t="shared" si="94"/>
        <v>-8936.5298833872366</v>
      </c>
      <c r="Y218" s="41">
        <f t="shared" si="95"/>
        <v>-8841.3014818818774</v>
      </c>
      <c r="Z218" s="41">
        <f t="shared" si="96"/>
        <v>-8707.956742012906</v>
      </c>
      <c r="AA218" s="41">
        <f t="shared" si="97"/>
        <v>-8691.6209177857909</v>
      </c>
      <c r="AB218" s="41">
        <f t="shared" si="98"/>
        <v>-8330.6320415669452</v>
      </c>
      <c r="AC218" s="41">
        <f t="shared" si="99"/>
        <v>-8359.200432532296</v>
      </c>
      <c r="AD218" s="41">
        <f t="shared" si="100"/>
        <v>-8327.5211829922046</v>
      </c>
      <c r="AF218" s="303">
        <f t="shared" si="101"/>
        <v>5.9909269208869491E-4</v>
      </c>
      <c r="AG218" s="303">
        <f t="shared" si="102"/>
        <v>5.7635197876910777E-4</v>
      </c>
      <c r="AH218" s="303">
        <f t="shared" si="103"/>
        <v>5.7362872328537318E-4</v>
      </c>
      <c r="AI218" s="303">
        <f t="shared" si="104"/>
        <v>5.6760416866294199E-4</v>
      </c>
      <c r="AJ218" s="303">
        <f t="shared" si="105"/>
        <v>5.7352776927985911E-4</v>
      </c>
      <c r="AK218" s="303">
        <f t="shared" si="106"/>
        <v>5.6881411552573531E-4</v>
      </c>
      <c r="AL218" s="303">
        <f t="shared" si="107"/>
        <v>5.7475644047699434E-4</v>
      </c>
      <c r="AM218" s="303">
        <f t="shared" si="108"/>
        <v>5.7649841380294021E-4</v>
      </c>
      <c r="AV218" s="41">
        <v>-7819.7581600000003</v>
      </c>
      <c r="AW218" s="303">
        <f t="shared" si="111"/>
        <v>5.2340346776141183E-4</v>
      </c>
      <c r="AX218" s="41">
        <f t="shared" si="112"/>
        <v>-7673.5330296106677</v>
      </c>
    </row>
    <row r="219" spans="1:50" x14ac:dyDescent="0.2">
      <c r="A219" s="30">
        <v>694</v>
      </c>
      <c r="B219" s="47" t="s">
        <v>542</v>
      </c>
      <c r="C219" s="295">
        <v>0.98006455897837741</v>
      </c>
      <c r="D219" s="295">
        <v>1.0544431163347394</v>
      </c>
      <c r="E219" s="295">
        <v>0.98496758866087553</v>
      </c>
      <c r="F219" s="295">
        <v>0.98470406974119284</v>
      </c>
      <c r="G219" s="295">
        <v>0.98328932967457072</v>
      </c>
      <c r="H219" s="295">
        <v>0.9846825876130243</v>
      </c>
      <c r="I219" s="295">
        <v>0.98774178524745349</v>
      </c>
      <c r="J219" s="295">
        <v>0.98647555577936363</v>
      </c>
      <c r="L219" s="41">
        <v>-68608.617530000003</v>
      </c>
      <c r="M219" s="41">
        <f t="shared" si="86"/>
        <v>-67240.874481655628</v>
      </c>
      <c r="N219" s="41">
        <f t="shared" si="87"/>
        <v>-70901.67723351001</v>
      </c>
      <c r="O219" s="41">
        <f t="shared" si="88"/>
        <v>-69835.854056702054</v>
      </c>
      <c r="P219" s="41">
        <f t="shared" si="89"/>
        <v>-68767.649703486502</v>
      </c>
      <c r="Q219" s="41">
        <f t="shared" si="90"/>
        <v>-67618.496180236936</v>
      </c>
      <c r="R219" s="41">
        <f t="shared" si="91"/>
        <v>-66582.755789257106</v>
      </c>
      <c r="S219" s="41">
        <f t="shared" si="92"/>
        <v>-65766.570069976035</v>
      </c>
      <c r="T219" s="41">
        <f t="shared" si="93"/>
        <v>-64877.113761482069</v>
      </c>
      <c r="V219" s="41">
        <f t="shared" si="109"/>
        <v>-68608.617530000003</v>
      </c>
      <c r="W219" s="41">
        <f t="shared" si="110"/>
        <v>-68652.932845770396</v>
      </c>
      <c r="X219" s="41">
        <f t="shared" si="94"/>
        <v>-73312.334259449359</v>
      </c>
      <c r="Y219" s="41">
        <f t="shared" si="95"/>
        <v>-72140.437240573214</v>
      </c>
      <c r="Z219" s="41">
        <f t="shared" si="96"/>
        <v>-70968.214493998079</v>
      </c>
      <c r="AA219" s="41">
        <f t="shared" si="97"/>
        <v>-69444.195577103324</v>
      </c>
      <c r="AB219" s="41">
        <f t="shared" si="98"/>
        <v>-66582.755789257106</v>
      </c>
      <c r="AC219" s="41">
        <f t="shared" si="99"/>
        <v>-65766.570069976035</v>
      </c>
      <c r="AD219" s="41">
        <f t="shared" si="100"/>
        <v>-64877.113761482069</v>
      </c>
      <c r="AF219" s="303">
        <f t="shared" si="101"/>
        <v>4.7484829498488741E-3</v>
      </c>
      <c r="AG219" s="303">
        <f t="shared" si="102"/>
        <v>4.7282009314559975E-3</v>
      </c>
      <c r="AH219" s="303">
        <f t="shared" si="103"/>
        <v>4.6805130439631221E-3</v>
      </c>
      <c r="AI219" s="303">
        <f t="shared" si="104"/>
        <v>4.6258675350341364E-3</v>
      </c>
      <c r="AJ219" s="303">
        <f t="shared" si="105"/>
        <v>4.5823644352999049E-3</v>
      </c>
      <c r="AK219" s="303">
        <f t="shared" si="106"/>
        <v>4.5462590538818924E-3</v>
      </c>
      <c r="AL219" s="303">
        <f t="shared" si="107"/>
        <v>4.5219348454298728E-3</v>
      </c>
      <c r="AM219" s="303">
        <f t="shared" si="108"/>
        <v>4.491318887545402E-3</v>
      </c>
      <c r="AV219" s="41">
        <v>-67831.199999999997</v>
      </c>
      <c r="AW219" s="303">
        <f t="shared" si="111"/>
        <v>4.5401768924293534E-3</v>
      </c>
      <c r="AX219" s="41">
        <f t="shared" si="112"/>
        <v>-66562.794269091202</v>
      </c>
    </row>
    <row r="220" spans="1:50" x14ac:dyDescent="0.2">
      <c r="A220" s="30">
        <v>697</v>
      </c>
      <c r="B220" s="47" t="s">
        <v>543</v>
      </c>
      <c r="C220" s="295">
        <v>0.99522110041522904</v>
      </c>
      <c r="D220" s="295">
        <v>1.0945092189927996</v>
      </c>
      <c r="E220" s="295">
        <v>0.99842479577337151</v>
      </c>
      <c r="F220" s="295">
        <v>0.99973186242453849</v>
      </c>
      <c r="G220" s="295">
        <v>0.98643171719231393</v>
      </c>
      <c r="H220" s="295">
        <v>0.99713557497046412</v>
      </c>
      <c r="I220" s="295">
        <v>0.99712734646979095</v>
      </c>
      <c r="J220" s="295">
        <v>0.99743917382902936</v>
      </c>
      <c r="L220" s="41">
        <v>-3574.1974399999999</v>
      </c>
      <c r="M220" s="41">
        <f t="shared" si="86"/>
        <v>-3557.1167093380946</v>
      </c>
      <c r="N220" s="41">
        <f t="shared" si="87"/>
        <v>-3893.2970314038753</v>
      </c>
      <c r="O220" s="41">
        <f t="shared" si="88"/>
        <v>-3887.1642934644879</v>
      </c>
      <c r="P220" s="41">
        <f t="shared" si="89"/>
        <v>-3886.1219986554179</v>
      </c>
      <c r="Q220" s="41">
        <f t="shared" si="90"/>
        <v>-3833.3939963524908</v>
      </c>
      <c r="R220" s="41">
        <f t="shared" si="91"/>
        <v>-3822.4135266412663</v>
      </c>
      <c r="S220" s="41">
        <f t="shared" si="92"/>
        <v>-3811.4330569300414</v>
      </c>
      <c r="T220" s="41">
        <f t="shared" si="93"/>
        <v>-3801.6726394089524</v>
      </c>
      <c r="V220" s="41">
        <f t="shared" si="109"/>
        <v>-3574.1974399999999</v>
      </c>
      <c r="W220" s="41">
        <f t="shared" si="110"/>
        <v>-3631.8161602341943</v>
      </c>
      <c r="X220" s="41">
        <f t="shared" si="94"/>
        <v>-4025.6691304716073</v>
      </c>
      <c r="Y220" s="41">
        <f t="shared" si="95"/>
        <v>-4015.4407151488158</v>
      </c>
      <c r="Z220" s="41">
        <f t="shared" si="96"/>
        <v>-4010.4779026123915</v>
      </c>
      <c r="AA220" s="41">
        <f t="shared" si="97"/>
        <v>-3936.8956342540077</v>
      </c>
      <c r="AB220" s="41">
        <f t="shared" si="98"/>
        <v>-3822.4135266412663</v>
      </c>
      <c r="AC220" s="41">
        <f t="shared" si="99"/>
        <v>-3811.4330569300414</v>
      </c>
      <c r="AD220" s="41">
        <f t="shared" si="100"/>
        <v>-3801.6726394089524</v>
      </c>
      <c r="AF220" s="303">
        <f t="shared" si="101"/>
        <v>2.5120000557878795E-4</v>
      </c>
      <c r="AG220" s="303">
        <f t="shared" si="102"/>
        <v>2.59631243837747E-4</v>
      </c>
      <c r="AH220" s="303">
        <f t="shared" si="103"/>
        <v>2.6052410220137035E-4</v>
      </c>
      <c r="AI220" s="303">
        <f t="shared" si="104"/>
        <v>2.6141195268813522E-4</v>
      </c>
      <c r="AJ220" s="303">
        <f t="shared" si="105"/>
        <v>2.5978111474936794E-4</v>
      </c>
      <c r="AK220" s="303">
        <f t="shared" si="106"/>
        <v>2.609937347468171E-4</v>
      </c>
      <c r="AL220" s="303">
        <f t="shared" si="107"/>
        <v>2.6206402329963469E-4</v>
      </c>
      <c r="AM220" s="303">
        <f t="shared" si="108"/>
        <v>2.6318254835465963E-4</v>
      </c>
      <c r="AV220" s="41">
        <v>-3835.6652000000004</v>
      </c>
      <c r="AW220" s="303">
        <f t="shared" si="111"/>
        <v>2.5673434213364081E-4</v>
      </c>
      <c r="AX220" s="41">
        <f t="shared" si="112"/>
        <v>-3763.9403931039487</v>
      </c>
    </row>
    <row r="221" spans="1:50" x14ac:dyDescent="0.2">
      <c r="A221" s="30">
        <v>698</v>
      </c>
      <c r="B221" s="47" t="s">
        <v>544</v>
      </c>
      <c r="C221" s="295">
        <v>0.99818364242128754</v>
      </c>
      <c r="D221" s="295">
        <v>1.0672549540929912</v>
      </c>
      <c r="E221" s="295">
        <v>0.99846171074383216</v>
      </c>
      <c r="F221" s="295">
        <v>0.99896732618102457</v>
      </c>
      <c r="G221" s="295">
        <v>0.99317393840294621</v>
      </c>
      <c r="H221" s="295">
        <v>0.99560459787371502</v>
      </c>
      <c r="I221" s="295">
        <v>0.99496625533709171</v>
      </c>
      <c r="J221" s="295">
        <v>0.99750633917348275</v>
      </c>
      <c r="L221" s="41">
        <v>-170564.33046</v>
      </c>
      <c r="M221" s="41">
        <f t="shared" si="86"/>
        <v>-170254.52464571095</v>
      </c>
      <c r="N221" s="41">
        <f t="shared" si="87"/>
        <v>-181704.98488488229</v>
      </c>
      <c r="O221" s="41">
        <f t="shared" si="88"/>
        <v>-181425.47005884175</v>
      </c>
      <c r="P221" s="41">
        <f t="shared" si="89"/>
        <v>-181238.11672581668</v>
      </c>
      <c r="Q221" s="41">
        <f t="shared" si="90"/>
        <v>-180000.97417731222</v>
      </c>
      <c r="R221" s="41">
        <f t="shared" si="91"/>
        <v>-179209.79751267988</v>
      </c>
      <c r="S221" s="41">
        <f t="shared" si="92"/>
        <v>-178307.70115090956</v>
      </c>
      <c r="T221" s="41">
        <f t="shared" si="93"/>
        <v>-177863.06222148318</v>
      </c>
      <c r="V221" s="41">
        <f t="shared" si="109"/>
        <v>-170564.33046</v>
      </c>
      <c r="W221" s="41">
        <f t="shared" si="110"/>
        <v>-173829.86966327086</v>
      </c>
      <c r="X221" s="41">
        <f t="shared" si="94"/>
        <v>-187882.95437096828</v>
      </c>
      <c r="Y221" s="41">
        <f t="shared" si="95"/>
        <v>-187412.51057078352</v>
      </c>
      <c r="Z221" s="41">
        <f t="shared" si="96"/>
        <v>-187037.73646104283</v>
      </c>
      <c r="AA221" s="41">
        <f t="shared" si="97"/>
        <v>-184861.00048009964</v>
      </c>
      <c r="AB221" s="41">
        <f t="shared" si="98"/>
        <v>-179209.79751267988</v>
      </c>
      <c r="AC221" s="41">
        <f t="shared" si="99"/>
        <v>-178307.70115090956</v>
      </c>
      <c r="AD221" s="41">
        <f t="shared" si="100"/>
        <v>-177863.06222148318</v>
      </c>
      <c r="AF221" s="303">
        <f t="shared" si="101"/>
        <v>1.2023203351338647E-2</v>
      </c>
      <c r="AG221" s="303">
        <f t="shared" si="102"/>
        <v>1.211731107507351E-2</v>
      </c>
      <c r="AH221" s="303">
        <f t="shared" si="103"/>
        <v>1.2159431435149127E-2</v>
      </c>
      <c r="AI221" s="303">
        <f t="shared" si="104"/>
        <v>1.2191539537669802E-2</v>
      </c>
      <c r="AJ221" s="303">
        <f t="shared" si="105"/>
        <v>1.2198290541553447E-2</v>
      </c>
      <c r="AK221" s="303">
        <f t="shared" si="106"/>
        <v>1.2236413990810156E-2</v>
      </c>
      <c r="AL221" s="303">
        <f t="shared" si="107"/>
        <v>1.2259964388972856E-2</v>
      </c>
      <c r="AM221" s="303">
        <f t="shared" si="108"/>
        <v>1.2313120674401616E-2</v>
      </c>
      <c r="AV221" s="41">
        <v>-178572.071</v>
      </c>
      <c r="AW221" s="303">
        <f t="shared" si="111"/>
        <v>1.1952446520000441E-2</v>
      </c>
      <c r="AX221" s="41">
        <f t="shared" si="112"/>
        <v>-175232.87254506108</v>
      </c>
    </row>
    <row r="222" spans="1:50" x14ac:dyDescent="0.2">
      <c r="A222" s="30">
        <v>700</v>
      </c>
      <c r="B222" s="47" t="s">
        <v>545</v>
      </c>
      <c r="C222" s="295">
        <v>0.98814035343377493</v>
      </c>
      <c r="D222" s="295">
        <v>1.0710218845803186</v>
      </c>
      <c r="E222" s="295">
        <v>0.99783343011940628</v>
      </c>
      <c r="F222" s="295">
        <v>0.99492331500872655</v>
      </c>
      <c r="G222" s="295">
        <v>0.99128260497237297</v>
      </c>
      <c r="H222" s="295">
        <v>1.0027683446874718</v>
      </c>
      <c r="I222" s="295">
        <v>0.98592330055018662</v>
      </c>
      <c r="J222" s="295">
        <v>0.98608387811933762</v>
      </c>
      <c r="L222" s="41">
        <v>-10428.12774</v>
      </c>
      <c r="M222" s="41">
        <f t="shared" si="86"/>
        <v>-10304.453830656152</v>
      </c>
      <c r="N222" s="41">
        <f t="shared" si="87"/>
        <v>-11036.295561280234</v>
      </c>
      <c r="O222" s="41">
        <f t="shared" si="88"/>
        <v>-11012.384655723834</v>
      </c>
      <c r="P222" s="41">
        <f t="shared" si="89"/>
        <v>-10956.47824782399</v>
      </c>
      <c r="Q222" s="41">
        <f t="shared" si="90"/>
        <v>-10860.966298826106</v>
      </c>
      <c r="R222" s="41">
        <f t="shared" si="91"/>
        <v>-10891.033197180272</v>
      </c>
      <c r="S222" s="41">
        <f t="shared" si="92"/>
        <v>-10737.723396165626</v>
      </c>
      <c r="T222" s="41">
        <f t="shared" si="93"/>
        <v>-10588.295928663745</v>
      </c>
      <c r="V222" s="41">
        <f t="shared" si="109"/>
        <v>-10428.12774</v>
      </c>
      <c r="W222" s="41">
        <f t="shared" si="110"/>
        <v>-10520.84736109993</v>
      </c>
      <c r="X222" s="41">
        <f t="shared" si="94"/>
        <v>-11411.529610363763</v>
      </c>
      <c r="Y222" s="41">
        <f t="shared" si="95"/>
        <v>-11375.793349362719</v>
      </c>
      <c r="Z222" s="41">
        <f t="shared" si="96"/>
        <v>-11307.085551754359</v>
      </c>
      <c r="AA222" s="41">
        <f t="shared" si="97"/>
        <v>-11154.21238889441</v>
      </c>
      <c r="AB222" s="41">
        <f t="shared" si="98"/>
        <v>-10891.033197180272</v>
      </c>
      <c r="AC222" s="41">
        <f t="shared" si="99"/>
        <v>-10737.723396165626</v>
      </c>
      <c r="AD222" s="41">
        <f t="shared" si="100"/>
        <v>-10588.295928663745</v>
      </c>
      <c r="AF222" s="303">
        <f t="shared" si="101"/>
        <v>7.2769016910576717E-4</v>
      </c>
      <c r="AG222" s="303">
        <f t="shared" si="102"/>
        <v>7.3597445065807815E-4</v>
      </c>
      <c r="AH222" s="303">
        <f t="shared" si="103"/>
        <v>7.3806801280621218E-4</v>
      </c>
      <c r="AI222" s="303">
        <f t="shared" si="104"/>
        <v>7.3702121918450662E-4</v>
      </c>
      <c r="AJ222" s="303">
        <f t="shared" si="105"/>
        <v>7.3602503031230818E-4</v>
      </c>
      <c r="AK222" s="303">
        <f t="shared" si="106"/>
        <v>7.436378637664902E-4</v>
      </c>
      <c r="AL222" s="303">
        <f t="shared" si="107"/>
        <v>7.38297368010006E-4</v>
      </c>
      <c r="AM222" s="303">
        <f t="shared" si="108"/>
        <v>7.3300753893218809E-4</v>
      </c>
      <c r="AV222" s="41">
        <v>-10954.543</v>
      </c>
      <c r="AW222" s="303">
        <f t="shared" si="111"/>
        <v>7.3322546255592889E-4</v>
      </c>
      <c r="AX222" s="41">
        <f t="shared" si="112"/>
        <v>-10749.699135809378</v>
      </c>
    </row>
    <row r="223" spans="1:50" x14ac:dyDescent="0.2">
      <c r="A223" s="30">
        <v>702</v>
      </c>
      <c r="B223" s="47" t="s">
        <v>546</v>
      </c>
      <c r="C223" s="295">
        <v>0.98405677914209966</v>
      </c>
      <c r="D223" s="295">
        <v>1.0731819025659268</v>
      </c>
      <c r="E223" s="295">
        <v>0.99178220280377993</v>
      </c>
      <c r="F223" s="295">
        <v>1.0011907512973923</v>
      </c>
      <c r="G223" s="295">
        <v>0.99157174424224293</v>
      </c>
      <c r="H223" s="295">
        <v>0.9957001381284597</v>
      </c>
      <c r="I223" s="295">
        <v>0.99194322436066351</v>
      </c>
      <c r="J223" s="295">
        <v>0.99067024037897544</v>
      </c>
      <c r="L223" s="41">
        <v>-10393.869349999999</v>
      </c>
      <c r="M223" s="41">
        <f t="shared" si="86"/>
        <v>-10228.157595384788</v>
      </c>
      <c r="N223" s="41">
        <f t="shared" si="87"/>
        <v>-10976.673627959182</v>
      </c>
      <c r="O223" s="41">
        <f t="shared" si="88"/>
        <v>-10886.469550195518</v>
      </c>
      <c r="P223" s="41">
        <f t="shared" si="89"/>
        <v>-10899.432627936434</v>
      </c>
      <c r="Q223" s="41">
        <f t="shared" si="90"/>
        <v>-10807.569422133744</v>
      </c>
      <c r="R223" s="41">
        <f t="shared" si="91"/>
        <v>-10761.098366451486</v>
      </c>
      <c r="S223" s="41">
        <f t="shared" si="92"/>
        <v>-10674.398611280156</v>
      </c>
      <c r="T223" s="41">
        <f t="shared" si="93"/>
        <v>-10574.809038137913</v>
      </c>
      <c r="V223" s="41">
        <f t="shared" si="109"/>
        <v>-10393.869349999999</v>
      </c>
      <c r="W223" s="41">
        <f t="shared" si="110"/>
        <v>-10442.948904887868</v>
      </c>
      <c r="X223" s="41">
        <f t="shared" si="94"/>
        <v>-11349.880531309795</v>
      </c>
      <c r="Y223" s="41">
        <f t="shared" si="95"/>
        <v>-11245.723045351968</v>
      </c>
      <c r="Z223" s="41">
        <f t="shared" si="96"/>
        <v>-11248.2144720304</v>
      </c>
      <c r="AA223" s="41">
        <f t="shared" si="97"/>
        <v>-11099.373796531354</v>
      </c>
      <c r="AB223" s="41">
        <f t="shared" si="98"/>
        <v>-10761.098366451486</v>
      </c>
      <c r="AC223" s="41">
        <f t="shared" si="99"/>
        <v>-10674.398611280156</v>
      </c>
      <c r="AD223" s="41">
        <f t="shared" si="100"/>
        <v>-10574.809038137913</v>
      </c>
      <c r="AF223" s="303">
        <f t="shared" si="101"/>
        <v>7.2230220568148765E-4</v>
      </c>
      <c r="AG223" s="303">
        <f t="shared" si="102"/>
        <v>7.3199845895148736E-4</v>
      </c>
      <c r="AH223" s="303">
        <f t="shared" si="103"/>
        <v>7.2962897670050678E-4</v>
      </c>
      <c r="AI223" s="303">
        <f t="shared" si="104"/>
        <v>7.3318387005026154E-4</v>
      </c>
      <c r="AJ223" s="303">
        <f t="shared" si="105"/>
        <v>7.3240643536368695E-4</v>
      </c>
      <c r="AK223" s="303">
        <f t="shared" si="106"/>
        <v>7.3476593598859757E-4</v>
      </c>
      <c r="AL223" s="303">
        <f t="shared" si="107"/>
        <v>7.3394332383454905E-4</v>
      </c>
      <c r="AM223" s="303">
        <f t="shared" si="108"/>
        <v>7.3207386721590886E-4</v>
      </c>
      <c r="AV223" s="41">
        <v>-10813</v>
      </c>
      <c r="AW223" s="303">
        <f t="shared" si="111"/>
        <v>7.2375149986788668E-4</v>
      </c>
      <c r="AX223" s="41">
        <f t="shared" si="112"/>
        <v>-10610.802911222019</v>
      </c>
    </row>
    <row r="224" spans="1:50" x14ac:dyDescent="0.2">
      <c r="A224" s="30">
        <v>704</v>
      </c>
      <c r="B224" s="47" t="s">
        <v>547</v>
      </c>
      <c r="C224" s="295">
        <v>1.0037085240616737</v>
      </c>
      <c r="D224" s="295">
        <v>1.0352625501186843</v>
      </c>
      <c r="E224" s="295">
        <v>1.0006376818128668</v>
      </c>
      <c r="F224" s="295">
        <v>1.0127311796890315</v>
      </c>
      <c r="G224" s="295">
        <v>0.99720876940234371</v>
      </c>
      <c r="H224" s="295">
        <v>0.99827575973342397</v>
      </c>
      <c r="I224" s="295">
        <v>0.99924203309173143</v>
      </c>
      <c r="J224" s="295">
        <v>0.99913250293606048</v>
      </c>
      <c r="L224" s="41">
        <v>-16844.19945</v>
      </c>
      <c r="M224" s="41">
        <f t="shared" si="86"/>
        <v>-16906.666568959954</v>
      </c>
      <c r="N224" s="41">
        <f t="shared" si="87"/>
        <v>-17502.83874618779</v>
      </c>
      <c r="O224" s="41">
        <f t="shared" si="88"/>
        <v>-17513.999988129774</v>
      </c>
      <c r="P224" s="41">
        <f t="shared" si="89"/>
        <v>-17736.973869052348</v>
      </c>
      <c r="Q224" s="41">
        <f t="shared" si="90"/>
        <v>-17687.465884879221</v>
      </c>
      <c r="R224" s="41">
        <f t="shared" si="91"/>
        <v>-17656.968443986822</v>
      </c>
      <c r="S224" s="41">
        <f t="shared" si="92"/>
        <v>-17643.585046205939</v>
      </c>
      <c r="T224" s="41">
        <f t="shared" si="93"/>
        <v>-17628.279287980989</v>
      </c>
      <c r="V224" s="41">
        <f t="shared" si="109"/>
        <v>-16844.19945</v>
      </c>
      <c r="W224" s="41">
        <f t="shared" si="110"/>
        <v>-17261.706566908113</v>
      </c>
      <c r="X224" s="41">
        <f t="shared" si="94"/>
        <v>-18097.935263558174</v>
      </c>
      <c r="Y224" s="41">
        <f t="shared" si="95"/>
        <v>-18091.961987738054</v>
      </c>
      <c r="Z224" s="41">
        <f t="shared" si="96"/>
        <v>-18304.557032862023</v>
      </c>
      <c r="AA224" s="41">
        <f t="shared" si="97"/>
        <v>-18165.027463770959</v>
      </c>
      <c r="AB224" s="41">
        <f t="shared" si="98"/>
        <v>-17656.968443986822</v>
      </c>
      <c r="AC224" s="41">
        <f t="shared" si="99"/>
        <v>-17643.585046205939</v>
      </c>
      <c r="AD224" s="41">
        <f t="shared" si="100"/>
        <v>-17628.279287980989</v>
      </c>
      <c r="AF224" s="303">
        <f t="shared" si="101"/>
        <v>1.1939317946168032E-3</v>
      </c>
      <c r="AG224" s="303">
        <f t="shared" si="102"/>
        <v>1.1672070632447057E-3</v>
      </c>
      <c r="AH224" s="303">
        <f t="shared" si="103"/>
        <v>1.1738168953995111E-3</v>
      </c>
      <c r="AI224" s="303">
        <f t="shared" si="104"/>
        <v>1.1931321187270156E-3</v>
      </c>
      <c r="AJ224" s="303">
        <f t="shared" si="105"/>
        <v>1.1986426673171085E-3</v>
      </c>
      <c r="AK224" s="303">
        <f t="shared" si="106"/>
        <v>1.2056147526644391E-3</v>
      </c>
      <c r="AL224" s="303">
        <f t="shared" si="107"/>
        <v>1.213126090259144E-3</v>
      </c>
      <c r="AM224" s="303">
        <f t="shared" si="108"/>
        <v>1.2203721640903305E-3</v>
      </c>
      <c r="AV224" s="41">
        <v>-16715.919999999998</v>
      </c>
      <c r="AW224" s="303">
        <f t="shared" si="111"/>
        <v>1.1188543578721543E-3</v>
      </c>
      <c r="AX224" s="41">
        <f t="shared" si="112"/>
        <v>-16403.341588805546</v>
      </c>
    </row>
    <row r="225" spans="1:50" x14ac:dyDescent="0.2">
      <c r="A225" s="30">
        <v>707</v>
      </c>
      <c r="B225" s="47" t="s">
        <v>548</v>
      </c>
      <c r="C225" s="295">
        <v>0.99073905631461201</v>
      </c>
      <c r="D225" s="295">
        <v>1.1303941093786565</v>
      </c>
      <c r="E225" s="295">
        <v>0.99530193935073019</v>
      </c>
      <c r="F225" s="295">
        <v>1.0062405982608762</v>
      </c>
      <c r="G225" s="295">
        <v>0.99403678819542252</v>
      </c>
      <c r="H225" s="295">
        <v>0.99400101497711868</v>
      </c>
      <c r="I225" s="295">
        <v>0.9944290553499755</v>
      </c>
      <c r="J225" s="295">
        <v>0.98562006356111731</v>
      </c>
      <c r="L225" s="41">
        <v>-4388.9630800000004</v>
      </c>
      <c r="M225" s="41">
        <f t="shared" si="86"/>
        <v>-4348.3171400788733</v>
      </c>
      <c r="N225" s="41">
        <f t="shared" si="87"/>
        <v>-4915.3120808554049</v>
      </c>
      <c r="O225" s="41">
        <f t="shared" si="88"/>
        <v>-4892.2196465894576</v>
      </c>
      <c r="P225" s="41">
        <f t="shared" si="89"/>
        <v>-4922.7500240077879</v>
      </c>
      <c r="Q225" s="41">
        <f t="shared" si="90"/>
        <v>-4893.3946229536405</v>
      </c>
      <c r="R225" s="41">
        <f t="shared" si="91"/>
        <v>-4864.0392218994939</v>
      </c>
      <c r="S225" s="41">
        <f t="shared" si="92"/>
        <v>-4836.941928618744</v>
      </c>
      <c r="T225" s="41">
        <f t="shared" si="93"/>
        <v>-4767.3870111266397</v>
      </c>
      <c r="V225" s="41">
        <f t="shared" si="109"/>
        <v>-4388.9630800000004</v>
      </c>
      <c r="W225" s="41">
        <f t="shared" si="110"/>
        <v>-4439.6318000205292</v>
      </c>
      <c r="X225" s="41">
        <f t="shared" si="94"/>
        <v>-5082.4326916044893</v>
      </c>
      <c r="Y225" s="41">
        <f t="shared" si="95"/>
        <v>-5053.6628949269098</v>
      </c>
      <c r="Z225" s="41">
        <f t="shared" si="96"/>
        <v>-5080.2780247760375</v>
      </c>
      <c r="AA225" s="41">
        <f t="shared" si="97"/>
        <v>-5025.5162777733885</v>
      </c>
      <c r="AB225" s="41">
        <f t="shared" si="98"/>
        <v>-4864.0392218994939</v>
      </c>
      <c r="AC225" s="41">
        <f t="shared" si="99"/>
        <v>-4836.941928618744</v>
      </c>
      <c r="AD225" s="41">
        <f t="shared" si="100"/>
        <v>-4767.3870111266397</v>
      </c>
      <c r="AF225" s="303">
        <f t="shared" si="101"/>
        <v>3.0707378450042647E-4</v>
      </c>
      <c r="AG225" s="303">
        <f t="shared" si="102"/>
        <v>3.2778608441879465E-4</v>
      </c>
      <c r="AH225" s="303">
        <f t="shared" si="103"/>
        <v>3.2788455413179147E-4</v>
      </c>
      <c r="AI225" s="303">
        <f t="shared" si="104"/>
        <v>3.3114392621144949E-4</v>
      </c>
      <c r="AJ225" s="303">
        <f t="shared" si="105"/>
        <v>3.3161514607395664E-4</v>
      </c>
      <c r="AK225" s="303">
        <f t="shared" si="106"/>
        <v>3.3211575713369755E-4</v>
      </c>
      <c r="AL225" s="303">
        <f t="shared" si="107"/>
        <v>3.3257529211375278E-4</v>
      </c>
      <c r="AM225" s="303">
        <f t="shared" si="108"/>
        <v>3.30037113026197E-4</v>
      </c>
      <c r="AV225" s="41">
        <v>-3654.1350000000002</v>
      </c>
      <c r="AW225" s="303">
        <f t="shared" si="111"/>
        <v>2.4458389780539539E-4</v>
      </c>
      <c r="AX225" s="41">
        <f t="shared" si="112"/>
        <v>-3585.8047069266881</v>
      </c>
    </row>
    <row r="226" spans="1:50" x14ac:dyDescent="0.2">
      <c r="A226" s="30">
        <v>710</v>
      </c>
      <c r="B226" s="47" t="s">
        <v>549</v>
      </c>
      <c r="C226" s="295">
        <v>0.98105799163587293</v>
      </c>
      <c r="D226" s="295">
        <v>1.0199195527873111</v>
      </c>
      <c r="E226" s="295">
        <v>0.98451978449719302</v>
      </c>
      <c r="F226" s="295">
        <v>0.98032245596913792</v>
      </c>
      <c r="G226" s="295">
        <v>0.98318674222797797</v>
      </c>
      <c r="H226" s="295">
        <v>0.98454484206388926</v>
      </c>
      <c r="I226" s="295">
        <v>0.9855089331473994</v>
      </c>
      <c r="J226" s="295">
        <v>0.98915155867461135</v>
      </c>
      <c r="L226" s="41">
        <v>-77041.251329999999</v>
      </c>
      <c r="M226" s="41">
        <f t="shared" si="86"/>
        <v>-75581.935302924321</v>
      </c>
      <c r="N226" s="41">
        <f t="shared" si="87"/>
        <v>-77087.493652958045</v>
      </c>
      <c r="O226" s="41">
        <f t="shared" si="88"/>
        <v>-75894.162638638983</v>
      </c>
      <c r="P226" s="41">
        <f t="shared" si="89"/>
        <v>-74400.751911631756</v>
      </c>
      <c r="Q226" s="41">
        <f t="shared" si="90"/>
        <v>-73149.832891309226</v>
      </c>
      <c r="R226" s="41">
        <f t="shared" si="91"/>
        <v>-72019.290670973933</v>
      </c>
      <c r="S226" s="41">
        <f t="shared" si="92"/>
        <v>-70975.654315183972</v>
      </c>
      <c r="T226" s="41">
        <f t="shared" si="93"/>
        <v>-70205.67909381463</v>
      </c>
      <c r="V226" s="41">
        <f t="shared" si="109"/>
        <v>-77041.251329999999</v>
      </c>
      <c r="W226" s="41">
        <f t="shared" si="110"/>
        <v>-77169.155944285725</v>
      </c>
      <c r="X226" s="41">
        <f t="shared" si="94"/>
        <v>-79708.468437158619</v>
      </c>
      <c r="Y226" s="41">
        <f t="shared" si="95"/>
        <v>-78398.67000571407</v>
      </c>
      <c r="Z226" s="41">
        <f t="shared" si="96"/>
        <v>-76781.57597280397</v>
      </c>
      <c r="AA226" s="41">
        <f t="shared" si="97"/>
        <v>-75124.878379374568</v>
      </c>
      <c r="AB226" s="41">
        <f t="shared" si="98"/>
        <v>-72019.290670973933</v>
      </c>
      <c r="AC226" s="41">
        <f t="shared" si="99"/>
        <v>-70975.654315183972</v>
      </c>
      <c r="AD226" s="41">
        <f t="shared" si="100"/>
        <v>-70205.67909381463</v>
      </c>
      <c r="AF226" s="303">
        <f t="shared" si="101"/>
        <v>5.3375202786874855E-3</v>
      </c>
      <c r="AG226" s="303">
        <f t="shared" si="102"/>
        <v>5.1407127943266647E-3</v>
      </c>
      <c r="AH226" s="303">
        <f t="shared" si="103"/>
        <v>5.086550783819305E-3</v>
      </c>
      <c r="AI226" s="303">
        <f t="shared" si="104"/>
        <v>5.0047954864552687E-3</v>
      </c>
      <c r="AJ226" s="303">
        <f t="shared" si="105"/>
        <v>4.9572115859511873E-3</v>
      </c>
      <c r="AK226" s="303">
        <f t="shared" si="106"/>
        <v>4.9174647156898657E-3</v>
      </c>
      <c r="AL226" s="303">
        <f t="shared" si="107"/>
        <v>4.8800976557470711E-3</v>
      </c>
      <c r="AM226" s="303">
        <f t="shared" si="108"/>
        <v>4.8602053057761963E-3</v>
      </c>
      <c r="AV226" s="41">
        <v>-81734.97</v>
      </c>
      <c r="AW226" s="303">
        <f t="shared" si="111"/>
        <v>5.4708043215718786E-3</v>
      </c>
      <c r="AX226" s="41">
        <f t="shared" si="112"/>
        <v>-80206.571499550948</v>
      </c>
    </row>
    <row r="227" spans="1:50" x14ac:dyDescent="0.2">
      <c r="A227" s="30">
        <v>729</v>
      </c>
      <c r="B227" s="47" t="s">
        <v>550</v>
      </c>
      <c r="C227" s="295">
        <v>0.98076105327922991</v>
      </c>
      <c r="D227" s="295">
        <v>1.0619501098005988</v>
      </c>
      <c r="E227" s="295">
        <v>0.98874760545806606</v>
      </c>
      <c r="F227" s="295">
        <v>0.98275867526326088</v>
      </c>
      <c r="G227" s="295">
        <v>0.98186289227730361</v>
      </c>
      <c r="H227" s="295">
        <v>0.98030942020765699</v>
      </c>
      <c r="I227" s="295">
        <v>0.98147607311305018</v>
      </c>
      <c r="J227" s="295">
        <v>0.98025889653135101</v>
      </c>
      <c r="L227" s="41">
        <v>-23091.285899999999</v>
      </c>
      <c r="M227" s="41">
        <f t="shared" si="86"/>
        <v>-22647.03388085583</v>
      </c>
      <c r="N227" s="41">
        <f t="shared" si="87"/>
        <v>-24050.02011643273</v>
      </c>
      <c r="O227" s="41">
        <f t="shared" si="88"/>
        <v>-23779.39980134118</v>
      </c>
      <c r="P227" s="41">
        <f t="shared" si="89"/>
        <v>-23369.411447321509</v>
      </c>
      <c r="Q227" s="41">
        <f t="shared" si="90"/>
        <v>-22945.557914485424</v>
      </c>
      <c r="R227" s="41">
        <f t="shared" si="91"/>
        <v>-22493.746575490422</v>
      </c>
      <c r="S227" s="41">
        <f t="shared" si="92"/>
        <v>-22077.074058512459</v>
      </c>
      <c r="T227" s="41">
        <f t="shared" si="93"/>
        <v>-21641.248255238337</v>
      </c>
      <c r="V227" s="41">
        <f t="shared" si="109"/>
        <v>-23091.285899999999</v>
      </c>
      <c r="W227" s="41">
        <f t="shared" si="110"/>
        <v>-23122.6215923538</v>
      </c>
      <c r="X227" s="41">
        <f t="shared" si="94"/>
        <v>-24867.720800391442</v>
      </c>
      <c r="Y227" s="41">
        <f t="shared" si="95"/>
        <v>-24564.119994785437</v>
      </c>
      <c r="Z227" s="41">
        <f t="shared" si="96"/>
        <v>-24117.232613635799</v>
      </c>
      <c r="AA227" s="41">
        <f t="shared" si="97"/>
        <v>-23565.087978176529</v>
      </c>
      <c r="AB227" s="41">
        <f t="shared" si="98"/>
        <v>-22493.746575490422</v>
      </c>
      <c r="AC227" s="41">
        <f t="shared" si="99"/>
        <v>-22077.074058512459</v>
      </c>
      <c r="AD227" s="41">
        <f t="shared" si="100"/>
        <v>-21641.248255238337</v>
      </c>
      <c r="AF227" s="303">
        <f t="shared" si="101"/>
        <v>1.5993107626408403E-3</v>
      </c>
      <c r="AG227" s="303">
        <f t="shared" si="102"/>
        <v>1.6038171726395884E-3</v>
      </c>
      <c r="AH227" s="303">
        <f t="shared" si="103"/>
        <v>1.5937342279429053E-3</v>
      </c>
      <c r="AI227" s="303">
        <f t="shared" si="104"/>
        <v>1.5720153617746638E-3</v>
      </c>
      <c r="AJ227" s="303">
        <f t="shared" si="105"/>
        <v>1.5549725958883909E-3</v>
      </c>
      <c r="AK227" s="303">
        <f t="shared" si="106"/>
        <v>1.5358691272590406E-3</v>
      </c>
      <c r="AL227" s="303">
        <f t="shared" si="107"/>
        <v>1.5179610304156428E-3</v>
      </c>
      <c r="AM227" s="303">
        <f t="shared" si="108"/>
        <v>1.498182354353097E-3</v>
      </c>
      <c r="AV227" s="41">
        <v>-23007.460999999999</v>
      </c>
      <c r="AW227" s="303">
        <f t="shared" si="111"/>
        <v>1.5399689639232321E-3</v>
      </c>
      <c r="AX227" s="41">
        <f t="shared" si="112"/>
        <v>-22577.234269733384</v>
      </c>
    </row>
    <row r="228" spans="1:50" x14ac:dyDescent="0.2">
      <c r="A228" s="30">
        <v>732</v>
      </c>
      <c r="B228" s="47" t="s">
        <v>551</v>
      </c>
      <c r="C228" s="295">
        <v>0.98682002146459324</v>
      </c>
      <c r="D228" s="295">
        <v>1.0683185433695803</v>
      </c>
      <c r="E228" s="295">
        <v>0.98960598341704142</v>
      </c>
      <c r="F228" s="295">
        <v>1.0008741220271153</v>
      </c>
      <c r="G228" s="295">
        <v>0.99417842461887518</v>
      </c>
      <c r="H228" s="295">
        <v>0.99457279868765303</v>
      </c>
      <c r="I228" s="295">
        <v>0.99511758518824744</v>
      </c>
      <c r="J228" s="295">
        <v>0.99538224024088218</v>
      </c>
      <c r="L228" s="41">
        <v>-10214.11861</v>
      </c>
      <c r="M228" s="41">
        <f t="shared" si="86"/>
        <v>-10079.4967459621</v>
      </c>
      <c r="N228" s="41">
        <f t="shared" si="87"/>
        <v>-10768.113281544656</v>
      </c>
      <c r="O228" s="41">
        <f t="shared" si="88"/>
        <v>-10656.189333529104</v>
      </c>
      <c r="P228" s="41">
        <f t="shared" si="89"/>
        <v>-10665.504143350654</v>
      </c>
      <c r="Q228" s="41">
        <f t="shared" si="90"/>
        <v>-10603.41410700244</v>
      </c>
      <c r="R228" s="41">
        <f t="shared" si="91"/>
        <v>-10545.867244045558</v>
      </c>
      <c r="S228" s="41">
        <f t="shared" si="92"/>
        <v>-10494.377945610453</v>
      </c>
      <c r="T228" s="41">
        <f t="shared" si="93"/>
        <v>-10445.91742943624</v>
      </c>
      <c r="V228" s="41">
        <f t="shared" si="109"/>
        <v>-10214.11861</v>
      </c>
      <c r="W228" s="41">
        <f t="shared" si="110"/>
        <v>-10291.166177627303</v>
      </c>
      <c r="X228" s="41">
        <f t="shared" si="94"/>
        <v>-11134.229133117175</v>
      </c>
      <c r="Y228" s="41">
        <f t="shared" si="95"/>
        <v>-11007.843581535564</v>
      </c>
      <c r="Z228" s="41">
        <f t="shared" si="96"/>
        <v>-11006.800275937876</v>
      </c>
      <c r="AA228" s="41">
        <f t="shared" si="97"/>
        <v>-10889.706287891504</v>
      </c>
      <c r="AB228" s="41">
        <f t="shared" si="98"/>
        <v>-10545.867244045558</v>
      </c>
      <c r="AC228" s="41">
        <f t="shared" si="99"/>
        <v>-10494.377945610453</v>
      </c>
      <c r="AD228" s="41">
        <f t="shared" si="100"/>
        <v>-10445.91742943624</v>
      </c>
      <c r="AF228" s="303">
        <f t="shared" si="101"/>
        <v>7.1180392596345294E-4</v>
      </c>
      <c r="AG228" s="303">
        <f t="shared" si="102"/>
        <v>7.180902516613517E-4</v>
      </c>
      <c r="AH228" s="303">
        <f t="shared" si="103"/>
        <v>7.1419522032375126E-4</v>
      </c>
      <c r="AI228" s="303">
        <f t="shared" si="104"/>
        <v>7.1744795080580569E-4</v>
      </c>
      <c r="AJ228" s="303">
        <f t="shared" si="105"/>
        <v>7.18571255521155E-4</v>
      </c>
      <c r="AK228" s="303">
        <f t="shared" si="106"/>
        <v>7.2006999216175775E-4</v>
      </c>
      <c r="AL228" s="303">
        <f t="shared" si="107"/>
        <v>7.2156558055064106E-4</v>
      </c>
      <c r="AM228" s="303">
        <f t="shared" si="108"/>
        <v>7.2315094689710097E-4</v>
      </c>
      <c r="AV228" s="41">
        <v>-11101.991</v>
      </c>
      <c r="AW228" s="303">
        <f t="shared" si="111"/>
        <v>7.4309466732357164E-4</v>
      </c>
      <c r="AX228" s="41">
        <f t="shared" si="112"/>
        <v>-10894.389940179477</v>
      </c>
    </row>
    <row r="229" spans="1:50" x14ac:dyDescent="0.2">
      <c r="A229" s="30">
        <v>734</v>
      </c>
      <c r="B229" s="47" t="s">
        <v>552</v>
      </c>
      <c r="C229" s="295">
        <v>0.96848777826426857</v>
      </c>
      <c r="D229" s="295">
        <v>1.0545021494096511</v>
      </c>
      <c r="E229" s="295">
        <v>0.97767641152154472</v>
      </c>
      <c r="F229" s="295">
        <v>0.97504797477152982</v>
      </c>
      <c r="G229" s="295">
        <v>0.97458325903861498</v>
      </c>
      <c r="H229" s="295">
        <v>0.97897854379289628</v>
      </c>
      <c r="I229" s="295">
        <v>0.98000848682821529</v>
      </c>
      <c r="J229" s="295">
        <v>0.98175984435329067</v>
      </c>
      <c r="L229" s="41">
        <v>-115089.59995</v>
      </c>
      <c r="M229" s="41">
        <f t="shared" si="86"/>
        <v>-111462.87095689897</v>
      </c>
      <c r="N229" s="41">
        <f t="shared" si="87"/>
        <v>-117537.83700342054</v>
      </c>
      <c r="O229" s="41">
        <f t="shared" si="88"/>
        <v>-114913.97069950843</v>
      </c>
      <c r="P229" s="41">
        <f t="shared" si="89"/>
        <v>-112046.63440351062</v>
      </c>
      <c r="Q229" s="41">
        <f t="shared" si="90"/>
        <v>-109198.77412128157</v>
      </c>
      <c r="R229" s="41">
        <f t="shared" si="91"/>
        <v>-106903.25687322165</v>
      </c>
      <c r="S229" s="41">
        <f t="shared" si="92"/>
        <v>-104766.09900533395</v>
      </c>
      <c r="T229" s="41">
        <f t="shared" si="93"/>
        <v>-102855.1490529781</v>
      </c>
      <c r="V229" s="41">
        <f t="shared" si="109"/>
        <v>-115089.59995</v>
      </c>
      <c r="W229" s="41">
        <f t="shared" si="110"/>
        <v>-113803.59124699383</v>
      </c>
      <c r="X229" s="41">
        <f t="shared" si="94"/>
        <v>-121534.12346153684</v>
      </c>
      <c r="Y229" s="41">
        <f t="shared" si="95"/>
        <v>-118706.1317325922</v>
      </c>
      <c r="Z229" s="41">
        <f t="shared" si="96"/>
        <v>-115632.12670442296</v>
      </c>
      <c r="AA229" s="41">
        <f t="shared" si="97"/>
        <v>-112147.14102255617</v>
      </c>
      <c r="AB229" s="41">
        <f t="shared" si="98"/>
        <v>-106903.25687322165</v>
      </c>
      <c r="AC229" s="41">
        <f t="shared" si="99"/>
        <v>-104766.09900533395</v>
      </c>
      <c r="AD229" s="41">
        <f t="shared" si="100"/>
        <v>-102855.1490529781</v>
      </c>
      <c r="AF229" s="303">
        <f t="shared" si="101"/>
        <v>7.8713958787736439E-3</v>
      </c>
      <c r="AG229" s="303">
        <f t="shared" si="102"/>
        <v>7.8382138770934119E-3</v>
      </c>
      <c r="AH229" s="303">
        <f t="shared" si="103"/>
        <v>7.7017220746801746E-3</v>
      </c>
      <c r="AI229" s="303">
        <f t="shared" si="104"/>
        <v>7.5371615975230923E-3</v>
      </c>
      <c r="AJ229" s="303">
        <f t="shared" si="105"/>
        <v>7.4001731357338056E-3</v>
      </c>
      <c r="AK229" s="303">
        <f t="shared" si="106"/>
        <v>7.2993358969344656E-3</v>
      </c>
      <c r="AL229" s="303">
        <f t="shared" si="107"/>
        <v>7.2034389691891711E-3</v>
      </c>
      <c r="AM229" s="303">
        <f t="shared" si="108"/>
        <v>7.1204658598299688E-3</v>
      </c>
      <c r="AV229" s="41">
        <v>-121576.202</v>
      </c>
      <c r="AW229" s="303">
        <f t="shared" si="111"/>
        <v>8.137515818527806E-3</v>
      </c>
      <c r="AX229" s="41">
        <f t="shared" si="112"/>
        <v>-119302.79460990625</v>
      </c>
    </row>
    <row r="230" spans="1:50" x14ac:dyDescent="0.2">
      <c r="A230" s="30">
        <v>738</v>
      </c>
      <c r="B230" s="47" t="s">
        <v>553</v>
      </c>
      <c r="C230" s="295">
        <v>0.99092684041176449</v>
      </c>
      <c r="D230" s="295">
        <v>1.0463835959554246</v>
      </c>
      <c r="E230" s="295">
        <v>1.0056913197959401</v>
      </c>
      <c r="F230" s="295">
        <v>0.99228168663898864</v>
      </c>
      <c r="G230" s="295">
        <v>0.99956266077148193</v>
      </c>
      <c r="H230" s="295">
        <v>0.99929995107551473</v>
      </c>
      <c r="I230" s="295">
        <v>0.99938702808074253</v>
      </c>
      <c r="J230" s="295">
        <v>0.99947427324203941</v>
      </c>
      <c r="L230" s="41">
        <v>-7505.6468600000007</v>
      </c>
      <c r="M230" s="41">
        <f t="shared" si="86"/>
        <v>-7437.546928226282</v>
      </c>
      <c r="N230" s="41">
        <f t="shared" si="87"/>
        <v>-7782.5270998446395</v>
      </c>
      <c r="O230" s="41">
        <f t="shared" si="88"/>
        <v>-7826.8199503904252</v>
      </c>
      <c r="P230" s="41">
        <f t="shared" si="89"/>
        <v>-7766.4101013930967</v>
      </c>
      <c r="Q230" s="41">
        <f t="shared" si="90"/>
        <v>-7763.0135455909985</v>
      </c>
      <c r="R230" s="41">
        <f t="shared" si="91"/>
        <v>-7757.5790563076425</v>
      </c>
      <c r="S230" s="41">
        <f t="shared" si="92"/>
        <v>-7752.8238781847058</v>
      </c>
      <c r="T230" s="41">
        <f t="shared" si="93"/>
        <v>-7748.7480112221883</v>
      </c>
      <c r="V230" s="41">
        <f t="shared" si="109"/>
        <v>-7505.6468600000007</v>
      </c>
      <c r="W230" s="41">
        <f t="shared" si="110"/>
        <v>-7593.7354137190332</v>
      </c>
      <c r="X230" s="41">
        <f t="shared" si="94"/>
        <v>-8047.1330212393577</v>
      </c>
      <c r="Y230" s="41">
        <f t="shared" si="95"/>
        <v>-8085.1050087533085</v>
      </c>
      <c r="Z230" s="41">
        <f t="shared" si="96"/>
        <v>-8014.9352246376757</v>
      </c>
      <c r="AA230" s="41">
        <f t="shared" si="97"/>
        <v>-7972.6149113219544</v>
      </c>
      <c r="AB230" s="41">
        <f t="shared" si="98"/>
        <v>-7757.5790563076425</v>
      </c>
      <c r="AC230" s="41">
        <f t="shared" si="99"/>
        <v>-7752.8238781847058</v>
      </c>
      <c r="AD230" s="41">
        <f t="shared" si="100"/>
        <v>-7748.7480112221883</v>
      </c>
      <c r="AF230" s="303">
        <f t="shared" si="101"/>
        <v>5.2523208613264565E-4</v>
      </c>
      <c r="AG230" s="303">
        <f t="shared" si="102"/>
        <v>5.1899127521874147E-4</v>
      </c>
      <c r="AH230" s="303">
        <f t="shared" si="103"/>
        <v>5.2456626134777693E-4</v>
      </c>
      <c r="AI230" s="303">
        <f t="shared" si="104"/>
        <v>5.2243147041819058E-4</v>
      </c>
      <c r="AJ230" s="303">
        <f t="shared" si="105"/>
        <v>5.2608323449323657E-4</v>
      </c>
      <c r="AK230" s="303">
        <f t="shared" si="106"/>
        <v>5.2968615676663724E-4</v>
      </c>
      <c r="AL230" s="303">
        <f t="shared" si="107"/>
        <v>5.3306359762935048E-4</v>
      </c>
      <c r="AM230" s="303">
        <f t="shared" si="108"/>
        <v>5.3643105064107063E-4</v>
      </c>
      <c r="AV230" s="41">
        <v>-7752.6660000000002</v>
      </c>
      <c r="AW230" s="303">
        <f t="shared" si="111"/>
        <v>5.1891275737304824E-4</v>
      </c>
      <c r="AX230" s="41">
        <f t="shared" si="112"/>
        <v>-7607.6954557044282</v>
      </c>
    </row>
    <row r="231" spans="1:50" x14ac:dyDescent="0.2">
      <c r="A231" s="30">
        <v>739</v>
      </c>
      <c r="B231" s="47" t="s">
        <v>554</v>
      </c>
      <c r="C231" s="295">
        <v>0.99828065984759751</v>
      </c>
      <c r="D231" s="295">
        <v>1.0431214882437689</v>
      </c>
      <c r="E231" s="295">
        <v>1.0004083721625441</v>
      </c>
      <c r="F231" s="295">
        <v>0.98253858799758631</v>
      </c>
      <c r="G231" s="295">
        <v>0.98867888750564326</v>
      </c>
      <c r="H231" s="295">
        <v>0.99096956707742689</v>
      </c>
      <c r="I231" s="295">
        <v>1.0014832793064885</v>
      </c>
      <c r="J231" s="295">
        <v>0.99547439557908446</v>
      </c>
      <c r="L231" s="41">
        <v>-9854.46702</v>
      </c>
      <c r="M231" s="41">
        <f t="shared" si="86"/>
        <v>-9837.5238391719886</v>
      </c>
      <c r="N231" s="41">
        <f t="shared" si="87"/>
        <v>-10261.732507750639</v>
      </c>
      <c r="O231" s="41">
        <f t="shared" si="88"/>
        <v>-10265.923113646279</v>
      </c>
      <c r="P231" s="41">
        <f t="shared" si="89"/>
        <v>-10086.665600573799</v>
      </c>
      <c r="Q231" s="41">
        <f t="shared" si="90"/>
        <v>-9972.4733246167434</v>
      </c>
      <c r="R231" s="41">
        <f t="shared" si="91"/>
        <v>-9882.4175731866417</v>
      </c>
      <c r="S231" s="41">
        <f t="shared" si="92"/>
        <v>-9897.0759586710283</v>
      </c>
      <c r="T231" s="41">
        <f t="shared" si="93"/>
        <v>-9852.28570795833</v>
      </c>
      <c r="V231" s="41">
        <f t="shared" si="109"/>
        <v>-9854.46702</v>
      </c>
      <c r="W231" s="41">
        <f t="shared" si="110"/>
        <v>-10044.111839794599</v>
      </c>
      <c r="X231" s="41">
        <f t="shared" si="94"/>
        <v>-10610.631413014162</v>
      </c>
      <c r="Y231" s="41">
        <f t="shared" si="95"/>
        <v>-10604.698576396604</v>
      </c>
      <c r="Z231" s="41">
        <f t="shared" si="96"/>
        <v>-10409.43889979216</v>
      </c>
      <c r="AA231" s="41">
        <f t="shared" si="97"/>
        <v>-10241.730104381395</v>
      </c>
      <c r="AB231" s="41">
        <f t="shared" si="98"/>
        <v>-9882.4175731866417</v>
      </c>
      <c r="AC231" s="41">
        <f t="shared" si="99"/>
        <v>-9897.0759586710283</v>
      </c>
      <c r="AD231" s="41">
        <f t="shared" si="100"/>
        <v>-9852.28570795833</v>
      </c>
      <c r="AF231" s="303">
        <f t="shared" si="101"/>
        <v>6.9471604257294642E-4</v>
      </c>
      <c r="AG231" s="303">
        <f t="shared" si="102"/>
        <v>6.8432137425611199E-4</v>
      </c>
      <c r="AH231" s="303">
        <f t="shared" si="103"/>
        <v>6.8803894060965719E-4</v>
      </c>
      <c r="AI231" s="303">
        <f t="shared" si="104"/>
        <v>6.7851059531083991E-4</v>
      </c>
      <c r="AJ231" s="303">
        <f t="shared" si="105"/>
        <v>6.7581371482876784E-4</v>
      </c>
      <c r="AK231" s="303">
        <f t="shared" si="106"/>
        <v>6.7476976333848691E-4</v>
      </c>
      <c r="AL231" s="303">
        <f t="shared" si="107"/>
        <v>6.8049668087848169E-4</v>
      </c>
      <c r="AM231" s="303">
        <f t="shared" si="108"/>
        <v>6.8205495466905645E-4</v>
      </c>
      <c r="AV231" s="41">
        <v>-10771.76318</v>
      </c>
      <c r="AW231" s="303">
        <f t="shared" si="111"/>
        <v>7.2099137683775797E-4</v>
      </c>
      <c r="AX231" s="41">
        <f t="shared" si="112"/>
        <v>-10570.337196831422</v>
      </c>
    </row>
    <row r="232" spans="1:50" x14ac:dyDescent="0.2">
      <c r="A232" s="30">
        <v>740</v>
      </c>
      <c r="B232" s="47" t="s">
        <v>555</v>
      </c>
      <c r="C232" s="295">
        <v>0.97057137123711823</v>
      </c>
      <c r="D232" s="295">
        <v>1.0702316531186928</v>
      </c>
      <c r="E232" s="295">
        <v>0.97386845144453327</v>
      </c>
      <c r="F232" s="295">
        <v>0.97850615713537392</v>
      </c>
      <c r="G232" s="295">
        <v>0.97293564883550332</v>
      </c>
      <c r="H232" s="295">
        <v>0.97429324496083936</v>
      </c>
      <c r="I232" s="295">
        <v>0.97372486069069297</v>
      </c>
      <c r="J232" s="295">
        <v>0.97542737324073236</v>
      </c>
      <c r="L232" s="41">
        <v>-71186.021519999995</v>
      </c>
      <c r="M232" s="41">
        <f t="shared" si="86"/>
        <v>-69091.114519581402</v>
      </c>
      <c r="N232" s="41">
        <f t="shared" si="87"/>
        <v>-73943.497708104522</v>
      </c>
      <c r="O232" s="41">
        <f t="shared" si="88"/>
        <v>-72011.239607384152</v>
      </c>
      <c r="P232" s="41">
        <f t="shared" si="89"/>
        <v>-70463.441338776101</v>
      </c>
      <c r="Q232" s="41">
        <f t="shared" si="90"/>
        <v>-68556.394018124556</v>
      </c>
      <c r="R232" s="41">
        <f t="shared" si="91"/>
        <v>-66794.031590732455</v>
      </c>
      <c r="S232" s="41">
        <f t="shared" si="92"/>
        <v>-65039.009105655707</v>
      </c>
      <c r="T232" s="41">
        <f t="shared" si="93"/>
        <v>-63440.829810109819</v>
      </c>
      <c r="V232" s="41">
        <f t="shared" si="109"/>
        <v>-71186.021519999995</v>
      </c>
      <c r="W232" s="41">
        <f t="shared" si="110"/>
        <v>-70542.027924492606</v>
      </c>
      <c r="X232" s="41">
        <f t="shared" si="94"/>
        <v>-76457.576630180076</v>
      </c>
      <c r="Y232" s="41">
        <f t="shared" si="95"/>
        <v>-74387.610514427826</v>
      </c>
      <c r="Z232" s="41">
        <f t="shared" si="96"/>
        <v>-72718.27146161694</v>
      </c>
      <c r="AA232" s="41">
        <f t="shared" si="97"/>
        <v>-70407.416656613917</v>
      </c>
      <c r="AB232" s="41">
        <f t="shared" si="98"/>
        <v>-66794.031590732455</v>
      </c>
      <c r="AC232" s="41">
        <f t="shared" si="99"/>
        <v>-65039.009105655707</v>
      </c>
      <c r="AD232" s="41">
        <f t="shared" si="100"/>
        <v>-63440.829810109819</v>
      </c>
      <c r="AF232" s="303">
        <f t="shared" si="101"/>
        <v>4.8791450410388864E-3</v>
      </c>
      <c r="AG232" s="303">
        <f t="shared" si="102"/>
        <v>4.9310499889463075E-3</v>
      </c>
      <c r="AH232" s="303">
        <f t="shared" si="103"/>
        <v>4.8263109379410411E-3</v>
      </c>
      <c r="AI232" s="303">
        <f t="shared" si="104"/>
        <v>4.7399401768314451E-3</v>
      </c>
      <c r="AJ232" s="303">
        <f t="shared" si="105"/>
        <v>4.6459238153373607E-3</v>
      </c>
      <c r="AK232" s="303">
        <f t="shared" si="106"/>
        <v>4.5606849290794225E-3</v>
      </c>
      <c r="AL232" s="303">
        <f t="shared" si="107"/>
        <v>4.4719096841171558E-3</v>
      </c>
      <c r="AM232" s="303">
        <f t="shared" si="108"/>
        <v>4.391887688087414E-3</v>
      </c>
      <c r="AV232" s="41">
        <v>-77450.152000000002</v>
      </c>
      <c r="AW232" s="303">
        <f t="shared" si="111"/>
        <v>5.1840066285948217E-3</v>
      </c>
      <c r="AX232" s="41">
        <f t="shared" si="112"/>
        <v>-76001.877214111533</v>
      </c>
    </row>
    <row r="233" spans="1:50" x14ac:dyDescent="0.2">
      <c r="A233" s="30">
        <v>742</v>
      </c>
      <c r="B233" s="47" t="s">
        <v>556</v>
      </c>
      <c r="C233" s="295">
        <v>0.99514508028532056</v>
      </c>
      <c r="D233" s="295">
        <v>1.0624107038251749</v>
      </c>
      <c r="E233" s="295">
        <v>0.99808510094249003</v>
      </c>
      <c r="F233" s="295">
        <v>1.0002268530286424</v>
      </c>
      <c r="G233" s="295">
        <v>0.99770010962159927</v>
      </c>
      <c r="H233" s="295">
        <v>0.99654221189881442</v>
      </c>
      <c r="I233" s="295">
        <v>0.99710851176205484</v>
      </c>
      <c r="J233" s="295">
        <v>0.99652015217541112</v>
      </c>
      <c r="L233" s="41">
        <v>-4073.49773</v>
      </c>
      <c r="M233" s="41">
        <f t="shared" si="86"/>
        <v>-4053.7212255629211</v>
      </c>
      <c r="N233" s="41">
        <f t="shared" si="87"/>
        <v>-4306.7168203613537</v>
      </c>
      <c r="O233" s="41">
        <f t="shared" si="88"/>
        <v>-4298.4698923810811</v>
      </c>
      <c r="P233" s="41">
        <f t="shared" si="89"/>
        <v>-4299.4450132946959</v>
      </c>
      <c r="Q233" s="41">
        <f t="shared" si="90"/>
        <v>-4289.5567610761564</v>
      </c>
      <c r="R233" s="41">
        <f t="shared" si="91"/>
        <v>-4274.7243827483471</v>
      </c>
      <c r="S233" s="41">
        <f t="shared" si="92"/>
        <v>-4262.3640674751732</v>
      </c>
      <c r="T233" s="41">
        <f t="shared" si="93"/>
        <v>-4247.531689147364</v>
      </c>
      <c r="V233" s="41">
        <f t="shared" si="109"/>
        <v>-4073.49773</v>
      </c>
      <c r="W233" s="41">
        <f t="shared" si="110"/>
        <v>-4138.8493712997424</v>
      </c>
      <c r="X233" s="41">
        <f t="shared" si="94"/>
        <v>-4453.1451922536398</v>
      </c>
      <c r="Y233" s="41">
        <f t="shared" si="95"/>
        <v>-4440.3193988296562</v>
      </c>
      <c r="Z233" s="41">
        <f t="shared" si="96"/>
        <v>-4437.0272537201263</v>
      </c>
      <c r="AA233" s="41">
        <f t="shared" si="97"/>
        <v>-4405.3747936252121</v>
      </c>
      <c r="AB233" s="41">
        <f t="shared" si="98"/>
        <v>-4274.7243827483471</v>
      </c>
      <c r="AC233" s="41">
        <f t="shared" si="99"/>
        <v>-4262.3640674751732</v>
      </c>
      <c r="AD233" s="41">
        <f t="shared" si="100"/>
        <v>-4247.531689147364</v>
      </c>
      <c r="AF233" s="303">
        <f t="shared" si="101"/>
        <v>2.8626971721311346E-4</v>
      </c>
      <c r="AG233" s="303">
        <f t="shared" si="102"/>
        <v>2.872008572446811E-4</v>
      </c>
      <c r="AH233" s="303">
        <f t="shared" si="103"/>
        <v>2.8809047547463348E-4</v>
      </c>
      <c r="AI233" s="303">
        <f t="shared" si="104"/>
        <v>2.8921539694057617E-4</v>
      </c>
      <c r="AJ233" s="303">
        <f t="shared" si="105"/>
        <v>2.9069431376825918E-4</v>
      </c>
      <c r="AK233" s="303">
        <f t="shared" si="106"/>
        <v>2.9187744180235572E-4</v>
      </c>
      <c r="AL233" s="303">
        <f t="shared" si="107"/>
        <v>2.930688430325072E-4</v>
      </c>
      <c r="AM233" s="303">
        <f t="shared" si="108"/>
        <v>2.9404852026942855E-4</v>
      </c>
      <c r="AV233" s="41">
        <v>-4415.6459999999997</v>
      </c>
      <c r="AW233" s="303">
        <f t="shared" si="111"/>
        <v>2.9555446364428319E-4</v>
      </c>
      <c r="AX233" s="41">
        <f t="shared" si="112"/>
        <v>-4333.0758745700414</v>
      </c>
    </row>
    <row r="234" spans="1:50" x14ac:dyDescent="0.2">
      <c r="A234" s="30">
        <v>743</v>
      </c>
      <c r="B234" s="47" t="s">
        <v>557</v>
      </c>
      <c r="C234" s="295">
        <v>0.99859929494470945</v>
      </c>
      <c r="D234" s="295">
        <v>1.060153377342377</v>
      </c>
      <c r="E234" s="295">
        <v>0.99734302366932359</v>
      </c>
      <c r="F234" s="295">
        <v>1.0040150893580784</v>
      </c>
      <c r="G234" s="295">
        <v>0.99509364307551429</v>
      </c>
      <c r="H234" s="295">
        <v>0.99412101954638621</v>
      </c>
      <c r="I234" s="295">
        <v>0.99653544797156346</v>
      </c>
      <c r="J234" s="295">
        <v>0.99568114305206656</v>
      </c>
      <c r="L234" s="41">
        <v>-192158.3407</v>
      </c>
      <c r="M234" s="41">
        <f t="shared" si="86"/>
        <v>-191889.18354076525</v>
      </c>
      <c r="N234" s="41">
        <f t="shared" si="87"/>
        <v>-203431.96600621354</v>
      </c>
      <c r="O234" s="41">
        <f t="shared" si="88"/>
        <v>-202891.45208763206</v>
      </c>
      <c r="P234" s="41">
        <f t="shared" si="89"/>
        <v>-203706.07939775419</v>
      </c>
      <c r="Q234" s="41">
        <f t="shared" si="90"/>
        <v>-202706.62466454119</v>
      </c>
      <c r="R234" s="41">
        <f t="shared" si="91"/>
        <v>-201514.91638032033</v>
      </c>
      <c r="S234" s="41">
        <f t="shared" si="92"/>
        <v>-200816.75746801466</v>
      </c>
      <c r="T234" s="41">
        <f t="shared" si="93"/>
        <v>-199949.45861976247</v>
      </c>
      <c r="V234" s="41">
        <f t="shared" si="109"/>
        <v>-192158.3407</v>
      </c>
      <c r="W234" s="41">
        <f t="shared" si="110"/>
        <v>-195918.85639512131</v>
      </c>
      <c r="X234" s="41">
        <f t="shared" si="94"/>
        <v>-210348.65285042481</v>
      </c>
      <c r="Y234" s="41">
        <f t="shared" si="95"/>
        <v>-209586.87000652391</v>
      </c>
      <c r="Z234" s="41">
        <f t="shared" si="96"/>
        <v>-210224.67393848233</v>
      </c>
      <c r="AA234" s="41">
        <f t="shared" si="97"/>
        <v>-208179.70353048379</v>
      </c>
      <c r="AB234" s="41">
        <f t="shared" si="98"/>
        <v>-201514.91638032033</v>
      </c>
      <c r="AC234" s="41">
        <f t="shared" si="99"/>
        <v>-200816.75746801466</v>
      </c>
      <c r="AD234" s="41">
        <f t="shared" si="100"/>
        <v>-199949.45861976247</v>
      </c>
      <c r="AF234" s="303">
        <f t="shared" si="101"/>
        <v>1.3551021210355167E-2</v>
      </c>
      <c r="AG234" s="303">
        <f t="shared" si="102"/>
        <v>1.3566212375916825E-2</v>
      </c>
      <c r="AH234" s="303">
        <f t="shared" si="103"/>
        <v>1.3598116624073066E-2</v>
      </c>
      <c r="AI234" s="303">
        <f t="shared" si="104"/>
        <v>1.3702916174076863E-2</v>
      </c>
      <c r="AJ234" s="303">
        <f t="shared" si="105"/>
        <v>1.3737005111538778E-2</v>
      </c>
      <c r="AK234" s="303">
        <f t="shared" si="106"/>
        <v>1.3759403650788805E-2</v>
      </c>
      <c r="AL234" s="303">
        <f t="shared" si="107"/>
        <v>1.3807627373217916E-2</v>
      </c>
      <c r="AM234" s="303">
        <f t="shared" si="108"/>
        <v>1.384211978595427E-2</v>
      </c>
      <c r="AV234" s="41">
        <v>-180278</v>
      </c>
      <c r="AW234" s="303">
        <f t="shared" si="111"/>
        <v>1.2066630249993793E-2</v>
      </c>
      <c r="AX234" s="41">
        <f t="shared" si="112"/>
        <v>-176906.90162113044</v>
      </c>
    </row>
    <row r="235" spans="1:50" x14ac:dyDescent="0.2">
      <c r="A235" s="30">
        <v>746</v>
      </c>
      <c r="B235" s="47" t="s">
        <v>558</v>
      </c>
      <c r="C235" s="295">
        <v>0.98749597862457317</v>
      </c>
      <c r="D235" s="295">
        <v>1.0062887940244714</v>
      </c>
      <c r="E235" s="295">
        <v>0.99312849661563851</v>
      </c>
      <c r="F235" s="295">
        <v>0.99144213449708185</v>
      </c>
      <c r="G235" s="295">
        <v>0.9935465150404339</v>
      </c>
      <c r="H235" s="295">
        <v>0.98200673690223417</v>
      </c>
      <c r="I235" s="295">
        <v>0.98977496445584356</v>
      </c>
      <c r="J235" s="295">
        <v>0.98874786502819956</v>
      </c>
      <c r="L235" s="41">
        <v>-16183.461220000001</v>
      </c>
      <c r="M235" s="41">
        <f t="shared" si="86"/>
        <v>-15981.10287497673</v>
      </c>
      <c r="N235" s="41">
        <f t="shared" si="87"/>
        <v>-16081.604739241346</v>
      </c>
      <c r="O235" s="41">
        <f t="shared" si="88"/>
        <v>-15971.099937849685</v>
      </c>
      <c r="P235" s="41">
        <f t="shared" si="89"/>
        <v>-15834.421412647904</v>
      </c>
      <c r="Q235" s="41">
        <f t="shared" si="90"/>
        <v>-15732.234212217949</v>
      </c>
      <c r="R235" s="41">
        <f t="shared" si="91"/>
        <v>-15449.159982921839</v>
      </c>
      <c r="S235" s="41">
        <f t="shared" si="92"/>
        <v>-15291.191772969105</v>
      </c>
      <c r="T235" s="41">
        <f t="shared" si="93"/>
        <v>-15119.133219259971</v>
      </c>
      <c r="V235" s="41">
        <f t="shared" si="109"/>
        <v>-16183.461220000001</v>
      </c>
      <c r="W235" s="41">
        <f t="shared" si="110"/>
        <v>-16316.706035351241</v>
      </c>
      <c r="X235" s="41">
        <f t="shared" si="94"/>
        <v>-16628.379300375553</v>
      </c>
      <c r="Y235" s="41">
        <f t="shared" si="95"/>
        <v>-16498.146235798722</v>
      </c>
      <c r="Z235" s="41">
        <f t="shared" si="96"/>
        <v>-16341.122897852638</v>
      </c>
      <c r="AA235" s="41">
        <f t="shared" si="97"/>
        <v>-16157.004535947832</v>
      </c>
      <c r="AB235" s="41">
        <f t="shared" si="98"/>
        <v>-15449.159982921839</v>
      </c>
      <c r="AC235" s="41">
        <f t="shared" si="99"/>
        <v>-15291.191772969105</v>
      </c>
      <c r="AD235" s="41">
        <f t="shared" si="100"/>
        <v>-15119.133219259971</v>
      </c>
      <c r="AF235" s="303">
        <f t="shared" si="101"/>
        <v>1.1285694171379451E-3</v>
      </c>
      <c r="AG235" s="303">
        <f t="shared" si="102"/>
        <v>1.0724296162552694E-3</v>
      </c>
      <c r="AH235" s="303">
        <f t="shared" si="103"/>
        <v>1.0704092130791392E-3</v>
      </c>
      <c r="AI235" s="303">
        <f t="shared" si="104"/>
        <v>1.0651510741554928E-3</v>
      </c>
      <c r="AJ235" s="303">
        <f t="shared" si="105"/>
        <v>1.0661406954351367E-3</v>
      </c>
      <c r="AK235" s="303">
        <f t="shared" si="106"/>
        <v>1.0548659726481394E-3</v>
      </c>
      <c r="AL235" s="303">
        <f t="shared" si="107"/>
        <v>1.0513817709022694E-3</v>
      </c>
      <c r="AM235" s="303">
        <f t="shared" si="108"/>
        <v>1.0466687658243659E-3</v>
      </c>
      <c r="AV235" s="41">
        <v>-17550.576000000001</v>
      </c>
      <c r="AW235" s="303">
        <f t="shared" si="111"/>
        <v>1.1747207716216903E-3</v>
      </c>
      <c r="AX235" s="41">
        <f t="shared" si="112"/>
        <v>-17222.389985612073</v>
      </c>
    </row>
    <row r="236" spans="1:50" x14ac:dyDescent="0.2">
      <c r="A236" s="30">
        <v>747</v>
      </c>
      <c r="B236" s="47" t="s">
        <v>559</v>
      </c>
      <c r="C236" s="295">
        <v>0.99520667410877051</v>
      </c>
      <c r="D236" s="295">
        <v>1.087072276644002</v>
      </c>
      <c r="E236" s="295">
        <v>0.98598149220513398</v>
      </c>
      <c r="F236" s="295">
        <v>0.99870524222983292</v>
      </c>
      <c r="G236" s="295">
        <v>0.99614333092895013</v>
      </c>
      <c r="H236" s="295">
        <v>0.9965585772860811</v>
      </c>
      <c r="I236" s="295">
        <v>0.9963308613092301</v>
      </c>
      <c r="J236" s="295">
        <v>0.99631734915252113</v>
      </c>
      <c r="L236" s="41">
        <v>-3501.7105999999999</v>
      </c>
      <c r="M236" s="41">
        <f t="shared" si="86"/>
        <v>-3484.9257599174271</v>
      </c>
      <c r="N236" s="41">
        <f t="shared" si="87"/>
        <v>-3788.366179768766</v>
      </c>
      <c r="O236" s="41">
        <f t="shared" si="88"/>
        <v>-3735.2589389478708</v>
      </c>
      <c r="P236" s="41">
        <f t="shared" si="89"/>
        <v>-3730.4226834130818</v>
      </c>
      <c r="Q236" s="41">
        <f t="shared" si="90"/>
        <v>-3716.0356776280196</v>
      </c>
      <c r="R236" s="41">
        <f t="shared" si="91"/>
        <v>-3703.2472280412976</v>
      </c>
      <c r="S236" s="41">
        <f t="shared" si="92"/>
        <v>-3689.6595003554048</v>
      </c>
      <c r="T236" s="41">
        <f t="shared" si="93"/>
        <v>-3676.0717726695125</v>
      </c>
      <c r="V236" s="41">
        <f t="shared" si="109"/>
        <v>-3501.7105999999999</v>
      </c>
      <c r="W236" s="41">
        <f t="shared" si="110"/>
        <v>-3558.1092008756927</v>
      </c>
      <c r="X236" s="41">
        <f t="shared" si="94"/>
        <v>-3917.170629880904</v>
      </c>
      <c r="Y236" s="41">
        <f t="shared" si="95"/>
        <v>-3858.5224839331504</v>
      </c>
      <c r="Z236" s="41">
        <f t="shared" si="96"/>
        <v>-3849.7962092823004</v>
      </c>
      <c r="AA236" s="41">
        <f t="shared" si="97"/>
        <v>-3816.3686409239758</v>
      </c>
      <c r="AB236" s="41">
        <f t="shared" si="98"/>
        <v>-3703.2472280412976</v>
      </c>
      <c r="AC236" s="41">
        <f t="shared" si="99"/>
        <v>-3689.6595003554048</v>
      </c>
      <c r="AD236" s="41">
        <f t="shared" si="100"/>
        <v>-3676.0717726695125</v>
      </c>
      <c r="AF236" s="303">
        <f t="shared" si="101"/>
        <v>2.4610195331370384E-4</v>
      </c>
      <c r="AG236" s="303">
        <f t="shared" si="102"/>
        <v>2.5263374857673065E-4</v>
      </c>
      <c r="AH236" s="303">
        <f t="shared" si="103"/>
        <v>2.5034315714289666E-4</v>
      </c>
      <c r="AI236" s="303">
        <f t="shared" si="104"/>
        <v>2.5093835920759415E-4</v>
      </c>
      <c r="AJ236" s="303">
        <f t="shared" si="105"/>
        <v>2.5182798629652328E-4</v>
      </c>
      <c r="AK236" s="303">
        <f t="shared" si="106"/>
        <v>2.5285708048092216E-4</v>
      </c>
      <c r="AL236" s="303">
        <f t="shared" si="107"/>
        <v>2.5369119667752443E-4</v>
      </c>
      <c r="AM236" s="303">
        <f t="shared" si="108"/>
        <v>2.5448743982759326E-4</v>
      </c>
      <c r="AV236" s="41">
        <v>-4651.3789900000002</v>
      </c>
      <c r="AW236" s="303">
        <f t="shared" si="111"/>
        <v>3.1133288823328179E-4</v>
      </c>
      <c r="AX236" s="41">
        <f t="shared" si="112"/>
        <v>-4564.4007887070138</v>
      </c>
    </row>
    <row r="237" spans="1:50" x14ac:dyDescent="0.2">
      <c r="A237" s="30">
        <v>748</v>
      </c>
      <c r="B237" s="47" t="s">
        <v>560</v>
      </c>
      <c r="C237" s="295">
        <v>0.98502810411480346</v>
      </c>
      <c r="D237" s="295">
        <v>1.0261923675949172</v>
      </c>
      <c r="E237" s="295">
        <v>0.99701950910252357</v>
      </c>
      <c r="F237" s="295">
        <v>0.98277626901100501</v>
      </c>
      <c r="G237" s="295">
        <v>0.99828831442792998</v>
      </c>
      <c r="H237" s="295">
        <v>0.98584489700009426</v>
      </c>
      <c r="I237" s="295">
        <v>0.98517872367700554</v>
      </c>
      <c r="J237" s="295">
        <v>0.99190683184249828</v>
      </c>
      <c r="L237" s="41">
        <v>-17353.887609999998</v>
      </c>
      <c r="M237" s="41">
        <f t="shared" si="86"/>
        <v>-17094.067011499676</v>
      </c>
      <c r="N237" s="41">
        <f t="shared" si="87"/>
        <v>-17541.801098357024</v>
      </c>
      <c r="O237" s="41">
        <f t="shared" si="88"/>
        <v>-17489.51791985803</v>
      </c>
      <c r="P237" s="41">
        <f t="shared" si="89"/>
        <v>-17188.28316807919</v>
      </c>
      <c r="Q237" s="41">
        <f t="shared" si="90"/>
        <v>-17158.862231771735</v>
      </c>
      <c r="R237" s="41">
        <f t="shared" si="91"/>
        <v>-16915.976769519813</v>
      </c>
      <c r="S237" s="41">
        <f t="shared" si="92"/>
        <v>-16665.260403545406</v>
      </c>
      <c r="T237" s="41">
        <f t="shared" si="93"/>
        <v>-16530.385648710959</v>
      </c>
      <c r="V237" s="41">
        <f t="shared" si="109"/>
        <v>-17353.887609999998</v>
      </c>
      <c r="W237" s="41">
        <f t="shared" si="110"/>
        <v>-17453.042418741166</v>
      </c>
      <c r="X237" s="41">
        <f t="shared" si="94"/>
        <v>-18138.222335701164</v>
      </c>
      <c r="Y237" s="41">
        <f t="shared" si="95"/>
        <v>-18066.672011213344</v>
      </c>
      <c r="Z237" s="41">
        <f t="shared" si="96"/>
        <v>-17738.308229457725</v>
      </c>
      <c r="AA237" s="41">
        <f t="shared" si="97"/>
        <v>-17622.15151202957</v>
      </c>
      <c r="AB237" s="41">
        <f t="shared" si="98"/>
        <v>-16915.976769519813</v>
      </c>
      <c r="AC237" s="41">
        <f t="shared" si="99"/>
        <v>-16665.260403545406</v>
      </c>
      <c r="AD237" s="41">
        <f t="shared" si="100"/>
        <v>-16530.385648710959</v>
      </c>
      <c r="AF237" s="303">
        <f t="shared" si="101"/>
        <v>1.2071658254507829E-3</v>
      </c>
      <c r="AG237" s="303">
        <f t="shared" si="102"/>
        <v>1.1698053350628966E-3</v>
      </c>
      <c r="AH237" s="303">
        <f t="shared" si="103"/>
        <v>1.1721760671825892E-3</v>
      </c>
      <c r="AI237" s="303">
        <f t="shared" si="104"/>
        <v>1.1562227505669727E-3</v>
      </c>
      <c r="AJ237" s="303">
        <f t="shared" si="105"/>
        <v>1.1628203004026942E-3</v>
      </c>
      <c r="AK237" s="303">
        <f t="shared" si="106"/>
        <v>1.1550199692409468E-3</v>
      </c>
      <c r="AL237" s="303">
        <f t="shared" si="107"/>
        <v>1.1458590838289424E-3</v>
      </c>
      <c r="AM237" s="303">
        <f t="shared" si="108"/>
        <v>1.1443670807461789E-3</v>
      </c>
      <c r="AV237" s="41">
        <v>-17040.075000000001</v>
      </c>
      <c r="AW237" s="303">
        <f t="shared" si="111"/>
        <v>1.1405511735051587E-3</v>
      </c>
      <c r="AX237" s="41">
        <f t="shared" si="112"/>
        <v>-16721.435070511568</v>
      </c>
    </row>
    <row r="238" spans="1:50" x14ac:dyDescent="0.2">
      <c r="A238" s="30">
        <v>749</v>
      </c>
      <c r="B238" s="47" t="s">
        <v>561</v>
      </c>
      <c r="C238" s="295">
        <v>0.98214228512040658</v>
      </c>
      <c r="D238" s="295">
        <v>1.0122384006604568</v>
      </c>
      <c r="E238" s="295">
        <v>0.98362498828989098</v>
      </c>
      <c r="F238" s="295">
        <v>0.9893827608866248</v>
      </c>
      <c r="G238" s="295">
        <v>0.97954841352536892</v>
      </c>
      <c r="H238" s="295">
        <v>0.98070158029950272</v>
      </c>
      <c r="I238" s="295">
        <v>0.97957488170744356</v>
      </c>
      <c r="J238" s="295">
        <v>0.98130342632102729</v>
      </c>
      <c r="L238" s="41">
        <v>-62488.658280000003</v>
      </c>
      <c r="M238" s="41">
        <f t="shared" si="86"/>
        <v>-61372.753637227419</v>
      </c>
      <c r="N238" s="41">
        <f t="shared" si="87"/>
        <v>-62123.857985875315</v>
      </c>
      <c r="O238" s="41">
        <f t="shared" si="88"/>
        <v>-61106.579083879456</v>
      </c>
      <c r="P238" s="41">
        <f t="shared" si="89"/>
        <v>-60457.79592234554</v>
      </c>
      <c r="Q238" s="41">
        <f t="shared" si="90"/>
        <v>-59221.338080974092</v>
      </c>
      <c r="R238" s="41">
        <f t="shared" si="91"/>
        <v>-58078.459843462413</v>
      </c>
      <c r="S238" s="41">
        <f t="shared" si="92"/>
        <v>-56892.200430910205</v>
      </c>
      <c r="T238" s="41">
        <f t="shared" si="93"/>
        <v>-55828.511213794809</v>
      </c>
      <c r="V238" s="41">
        <f t="shared" si="109"/>
        <v>-62488.658280000003</v>
      </c>
      <c r="W238" s="41">
        <f t="shared" si="110"/>
        <v>-62661.581463609189</v>
      </c>
      <c r="X238" s="41">
        <f t="shared" si="94"/>
        <v>-64236.069157395075</v>
      </c>
      <c r="Y238" s="41">
        <f t="shared" si="95"/>
        <v>-63123.09619364747</v>
      </c>
      <c r="Z238" s="41">
        <f t="shared" si="96"/>
        <v>-62392.445391860601</v>
      </c>
      <c r="AA238" s="41">
        <f t="shared" si="97"/>
        <v>-60820.314209160388</v>
      </c>
      <c r="AB238" s="41">
        <f t="shared" si="98"/>
        <v>-58078.459843462413</v>
      </c>
      <c r="AC238" s="41">
        <f t="shared" si="99"/>
        <v>-56892.200430910205</v>
      </c>
      <c r="AD238" s="41">
        <f t="shared" si="100"/>
        <v>-55828.511213794809</v>
      </c>
      <c r="AF238" s="303">
        <f t="shared" si="101"/>
        <v>4.3340821558047384E-3</v>
      </c>
      <c r="AG238" s="303">
        <f t="shared" si="102"/>
        <v>4.1428368785559454E-3</v>
      </c>
      <c r="AH238" s="303">
        <f t="shared" si="103"/>
        <v>4.0954627724870477E-3</v>
      </c>
      <c r="AI238" s="303">
        <f t="shared" si="104"/>
        <v>4.0668796534821553E-3</v>
      </c>
      <c r="AJ238" s="303">
        <f t="shared" si="105"/>
        <v>4.0133065472172215E-3</v>
      </c>
      <c r="AK238" s="303">
        <f t="shared" si="106"/>
        <v>3.9655871970000192E-3</v>
      </c>
      <c r="AL238" s="303">
        <f t="shared" si="107"/>
        <v>3.9117567373208621E-3</v>
      </c>
      <c r="AM238" s="303">
        <f t="shared" si="108"/>
        <v>3.8649013857167749E-3</v>
      </c>
      <c r="AV238" s="41">
        <v>-63554.814840000006</v>
      </c>
      <c r="AW238" s="303">
        <f t="shared" si="111"/>
        <v>4.2539436386086959E-3</v>
      </c>
      <c r="AX238" s="41">
        <f t="shared" si="112"/>
        <v>-62366.375134231806</v>
      </c>
    </row>
    <row r="239" spans="1:50" x14ac:dyDescent="0.2">
      <c r="A239" s="30">
        <v>751</v>
      </c>
      <c r="B239" s="47" t="s">
        <v>562</v>
      </c>
      <c r="C239" s="295">
        <v>0.99429426726540804</v>
      </c>
      <c r="D239" s="295">
        <v>1.032031073664035</v>
      </c>
      <c r="E239" s="295">
        <v>1.0005308130354469</v>
      </c>
      <c r="F239" s="295">
        <v>0.9969028838650752</v>
      </c>
      <c r="G239" s="295">
        <v>0.98953585315747083</v>
      </c>
      <c r="H239" s="295">
        <v>0.98994925612147755</v>
      </c>
      <c r="I239" s="295">
        <v>0.99510323575087367</v>
      </c>
      <c r="J239" s="295">
        <v>0.99507913945689119</v>
      </c>
      <c r="L239" s="41">
        <v>-8286.0662400000001</v>
      </c>
      <c r="M239" s="41">
        <f t="shared" si="86"/>
        <v>-8238.7881606134342</v>
      </c>
      <c r="N239" s="41">
        <f t="shared" si="87"/>
        <v>-8502.685391088422</v>
      </c>
      <c r="O239" s="41">
        <f t="shared" si="88"/>
        <v>-8507.1987273303148</v>
      </c>
      <c r="P239" s="41">
        <f t="shared" si="89"/>
        <v>-8480.850944888889</v>
      </c>
      <c r="Q239" s="41">
        <f t="shared" si="90"/>
        <v>-8392.1060752519697</v>
      </c>
      <c r="R239" s="41">
        <f t="shared" si="91"/>
        <v>-8307.7591664882202</v>
      </c>
      <c r="S239" s="41">
        <f t="shared" si="92"/>
        <v>-8267.0780284114098</v>
      </c>
      <c r="T239" s="41">
        <f t="shared" si="93"/>
        <v>-8226.3968903345976</v>
      </c>
      <c r="V239" s="41">
        <f t="shared" si="109"/>
        <v>-8286.0662400000001</v>
      </c>
      <c r="W239" s="41">
        <f t="shared" si="110"/>
        <v>-8411.8027119863164</v>
      </c>
      <c r="X239" s="41">
        <f t="shared" si="94"/>
        <v>-8791.7766943854294</v>
      </c>
      <c r="Y239" s="41">
        <f t="shared" si="95"/>
        <v>-8787.9362853322145</v>
      </c>
      <c r="Z239" s="41">
        <f t="shared" si="96"/>
        <v>-8752.2381751253342</v>
      </c>
      <c r="AA239" s="41">
        <f t="shared" si="97"/>
        <v>-8618.6929392837719</v>
      </c>
      <c r="AB239" s="41">
        <f t="shared" si="98"/>
        <v>-8307.7591664882202</v>
      </c>
      <c r="AC239" s="41">
        <f t="shared" si="99"/>
        <v>-8267.0780284114098</v>
      </c>
      <c r="AD239" s="41">
        <f t="shared" si="100"/>
        <v>-8226.3968903345976</v>
      </c>
      <c r="AF239" s="303">
        <f t="shared" si="101"/>
        <v>5.8181493637121998E-4</v>
      </c>
      <c r="AG239" s="303">
        <f t="shared" si="102"/>
        <v>5.6701627598480645E-4</v>
      </c>
      <c r="AH239" s="303">
        <f t="shared" si="103"/>
        <v>5.701663586519097E-4</v>
      </c>
      <c r="AI239" s="303">
        <f t="shared" si="104"/>
        <v>5.7049053187920821E-4</v>
      </c>
      <c r="AJ239" s="303">
        <f t="shared" si="105"/>
        <v>5.6871552295388746E-4</v>
      </c>
      <c r="AK239" s="303">
        <f t="shared" si="106"/>
        <v>5.6725235956982256E-4</v>
      </c>
      <c r="AL239" s="303">
        <f t="shared" si="107"/>
        <v>5.6842234841782547E-4</v>
      </c>
      <c r="AM239" s="303">
        <f t="shared" si="108"/>
        <v>5.6949777183121881E-4</v>
      </c>
      <c r="AV239" s="41">
        <v>-9624.509</v>
      </c>
      <c r="AW239" s="303">
        <f t="shared" si="111"/>
        <v>6.4420168540108892E-4</v>
      </c>
      <c r="AX239" s="41">
        <f t="shared" si="112"/>
        <v>-9444.5360322096112</v>
      </c>
    </row>
    <row r="240" spans="1:50" x14ac:dyDescent="0.2">
      <c r="A240" s="30">
        <v>753</v>
      </c>
      <c r="B240" s="47" t="s">
        <v>563</v>
      </c>
      <c r="C240" s="295">
        <v>1.0087431325560012</v>
      </c>
      <c r="D240" s="295">
        <v>1.0358210663254945</v>
      </c>
      <c r="E240" s="295">
        <v>1.00993397711277</v>
      </c>
      <c r="F240" s="295">
        <v>1.0088467094716309</v>
      </c>
      <c r="G240" s="295">
        <v>1.0036742531144511</v>
      </c>
      <c r="H240" s="295">
        <v>1.0090047160132136</v>
      </c>
      <c r="I240" s="295">
        <v>1.0025249244703336</v>
      </c>
      <c r="J240" s="295">
        <v>1.0064932780643618</v>
      </c>
      <c r="L240" s="41">
        <v>-64731.178209999998</v>
      </c>
      <c r="M240" s="41">
        <f t="shared" si="86"/>
        <v>-65297.131481596167</v>
      </c>
      <c r="N240" s="41">
        <f t="shared" si="87"/>
        <v>-67636.144359262966</v>
      </c>
      <c r="O240" s="41">
        <f t="shared" si="88"/>
        <v>-68308.040269323887</v>
      </c>
      <c r="P240" s="41">
        <f t="shared" si="89"/>
        <v>-68912.341656163058</v>
      </c>
      <c r="Q240" s="41">
        <f t="shared" si="90"/>
        <v>-69165.543042117337</v>
      </c>
      <c r="R240" s="41">
        <f t="shared" si="91"/>
        <v>-69788.359115111307</v>
      </c>
      <c r="S240" s="41">
        <f t="shared" si="92"/>
        <v>-69964.569450785479</v>
      </c>
      <c r="T240" s="41">
        <f t="shared" si="93"/>
        <v>-70418.868854882778</v>
      </c>
      <c r="V240" s="41">
        <f t="shared" si="109"/>
        <v>-64731.178209999998</v>
      </c>
      <c r="W240" s="41">
        <f t="shared" si="110"/>
        <v>-66668.371242709676</v>
      </c>
      <c r="X240" s="41">
        <f t="shared" si="94"/>
        <v>-69935.773267477911</v>
      </c>
      <c r="Y240" s="41">
        <f t="shared" si="95"/>
        <v>-70562.205598211571</v>
      </c>
      <c r="Z240" s="41">
        <f t="shared" si="96"/>
        <v>-71117.536589160285</v>
      </c>
      <c r="AA240" s="41">
        <f t="shared" si="97"/>
        <v>-71033.012704254492</v>
      </c>
      <c r="AB240" s="41">
        <f t="shared" si="98"/>
        <v>-69788.359115111307</v>
      </c>
      <c r="AC240" s="41">
        <f t="shared" si="99"/>
        <v>-69964.569450785479</v>
      </c>
      <c r="AD240" s="41">
        <f t="shared" si="100"/>
        <v>-70418.868854882778</v>
      </c>
      <c r="AF240" s="303">
        <f t="shared" si="101"/>
        <v>4.611217773483737E-3</v>
      </c>
      <c r="AG240" s="303">
        <f t="shared" si="102"/>
        <v>4.5104332258083003E-3</v>
      </c>
      <c r="AH240" s="303">
        <f t="shared" si="103"/>
        <v>4.578116467631942E-3</v>
      </c>
      <c r="AI240" s="303">
        <f t="shared" si="104"/>
        <v>4.6356006844052895E-3</v>
      </c>
      <c r="AJ240" s="303">
        <f t="shared" si="105"/>
        <v>4.6872045740206326E-3</v>
      </c>
      <c r="AK240" s="303">
        <f t="shared" si="106"/>
        <v>4.7651370947585049E-3</v>
      </c>
      <c r="AL240" s="303">
        <f t="shared" si="107"/>
        <v>4.8105781433999076E-3</v>
      </c>
      <c r="AM240" s="303">
        <f t="shared" si="108"/>
        <v>4.8749640264559857E-3</v>
      </c>
      <c r="AV240" s="41">
        <v>-70904.73</v>
      </c>
      <c r="AW240" s="303">
        <f t="shared" si="111"/>
        <v>4.7458988888585537E-3</v>
      </c>
      <c r="AX240" s="41">
        <f t="shared" si="112"/>
        <v>-69578.85096674478</v>
      </c>
    </row>
    <row r="241" spans="1:50" x14ac:dyDescent="0.2">
      <c r="A241" s="30">
        <v>755</v>
      </c>
      <c r="B241" s="47" t="s">
        <v>564</v>
      </c>
      <c r="C241" s="295">
        <v>0.98174999574803734</v>
      </c>
      <c r="D241" s="295">
        <v>1.0259951796235207</v>
      </c>
      <c r="E241" s="295">
        <v>0.98166395852512089</v>
      </c>
      <c r="F241" s="295">
        <v>1.0021689511731804</v>
      </c>
      <c r="G241" s="295">
        <v>0.99490579612201191</v>
      </c>
      <c r="H241" s="295">
        <v>0.99580380617270781</v>
      </c>
      <c r="I241" s="295">
        <v>0.99464160880877939</v>
      </c>
      <c r="J241" s="295">
        <v>0.99714961722170803</v>
      </c>
      <c r="L241" s="41">
        <v>-18561.197059999999</v>
      </c>
      <c r="M241" s="41">
        <f t="shared" si="86"/>
        <v>-18222.455134733482</v>
      </c>
      <c r="N241" s="41">
        <f t="shared" si="87"/>
        <v>-18696.151129142425</v>
      </c>
      <c r="O241" s="41">
        <f t="shared" si="88"/>
        <v>-18353.337726617861</v>
      </c>
      <c r="P241" s="41">
        <f t="shared" si="89"/>
        <v>-18393.145220011786</v>
      </c>
      <c r="Q241" s="41">
        <f t="shared" si="90"/>
        <v>-18299.446788303605</v>
      </c>
      <c r="R241" s="41">
        <f t="shared" si="91"/>
        <v>-18222.658762647665</v>
      </c>
      <c r="S241" s="41">
        <f t="shared" si="92"/>
        <v>-18125.014628453275</v>
      </c>
      <c r="T241" s="41">
        <f t="shared" si="93"/>
        <v>-18073.351398900042</v>
      </c>
      <c r="V241" s="41">
        <f t="shared" si="109"/>
        <v>-18561.197059999999</v>
      </c>
      <c r="W241" s="41">
        <f t="shared" si="110"/>
        <v>-18605.126692562884</v>
      </c>
      <c r="X241" s="41">
        <f t="shared" si="94"/>
        <v>-19331.820267533269</v>
      </c>
      <c r="Y241" s="41">
        <f t="shared" si="95"/>
        <v>-18958.99787159625</v>
      </c>
      <c r="Z241" s="41">
        <f t="shared" si="96"/>
        <v>-18981.725867052162</v>
      </c>
      <c r="AA241" s="41">
        <f t="shared" si="97"/>
        <v>-18793.531851587803</v>
      </c>
      <c r="AB241" s="41">
        <f t="shared" si="98"/>
        <v>-18222.658762647665</v>
      </c>
      <c r="AC241" s="41">
        <f t="shared" si="99"/>
        <v>-18125.014628453275</v>
      </c>
      <c r="AD241" s="41">
        <f t="shared" si="100"/>
        <v>-18073.351398900042</v>
      </c>
      <c r="AF241" s="303">
        <f t="shared" si="101"/>
        <v>1.2868514601973905E-3</v>
      </c>
      <c r="AG241" s="303">
        <f t="shared" si="102"/>
        <v>1.2467851626741706E-3</v>
      </c>
      <c r="AH241" s="303">
        <f t="shared" si="103"/>
        <v>1.2300706820302912E-3</v>
      </c>
      <c r="AI241" s="303">
        <f t="shared" si="104"/>
        <v>1.2372715034945723E-3</v>
      </c>
      <c r="AJ241" s="303">
        <f t="shared" si="105"/>
        <v>1.2401153365622171E-3</v>
      </c>
      <c r="AK241" s="303">
        <f t="shared" si="106"/>
        <v>1.2442399898211164E-3</v>
      </c>
      <c r="AL241" s="303">
        <f t="shared" si="107"/>
        <v>1.2462279108538419E-3</v>
      </c>
      <c r="AM241" s="303">
        <f t="shared" si="108"/>
        <v>1.2511836577310546E-3</v>
      </c>
      <c r="AV241" s="41">
        <v>-19389.568579999999</v>
      </c>
      <c r="AW241" s="303">
        <f t="shared" si="111"/>
        <v>1.2978109073861325E-3</v>
      </c>
      <c r="AX241" s="41">
        <f t="shared" si="112"/>
        <v>-19026.994426708872</v>
      </c>
    </row>
    <row r="242" spans="1:50" x14ac:dyDescent="0.2">
      <c r="A242" s="30">
        <v>758</v>
      </c>
      <c r="B242" s="47" t="s">
        <v>565</v>
      </c>
      <c r="C242" s="295">
        <v>0.97373259820968583</v>
      </c>
      <c r="D242" s="295">
        <v>1.0416310247921097</v>
      </c>
      <c r="E242" s="295">
        <v>0.97737801908362376</v>
      </c>
      <c r="F242" s="295">
        <v>0.99060571929424968</v>
      </c>
      <c r="G242" s="295">
        <v>0.97898022371675009</v>
      </c>
      <c r="H242" s="295">
        <v>0.97986270143203724</v>
      </c>
      <c r="I242" s="295">
        <v>0.98100794692975735</v>
      </c>
      <c r="J242" s="295">
        <v>0.98137123651492875</v>
      </c>
      <c r="L242" s="41">
        <v>-25828.321649999998</v>
      </c>
      <c r="M242" s="41">
        <f t="shared" si="86"/>
        <v>-25149.878747649978</v>
      </c>
      <c r="N242" s="41">
        <f t="shared" si="87"/>
        <v>-26196.893973311948</v>
      </c>
      <c r="O242" s="41">
        <f t="shared" si="88"/>
        <v>-25604.268337779355</v>
      </c>
      <c r="P242" s="41">
        <f t="shared" si="89"/>
        <v>-25363.734653748899</v>
      </c>
      <c r="Q242" s="41">
        <f t="shared" si="90"/>
        <v>-24830.594625619386</v>
      </c>
      <c r="R242" s="41">
        <f t="shared" si="91"/>
        <v>-24330.573528023237</v>
      </c>
      <c r="S242" s="41">
        <f t="shared" si="92"/>
        <v>-23868.48598434958</v>
      </c>
      <c r="T242" s="41">
        <f t="shared" si="93"/>
        <v>-23423.845604200393</v>
      </c>
      <c r="V242" s="41">
        <f t="shared" si="109"/>
        <v>-25828.321649999998</v>
      </c>
      <c r="W242" s="41">
        <f t="shared" si="110"/>
        <v>-25678.026201350625</v>
      </c>
      <c r="X242" s="41">
        <f t="shared" si="94"/>
        <v>-27087.588368404555</v>
      </c>
      <c r="Y242" s="41">
        <f t="shared" si="95"/>
        <v>-26449.209192926071</v>
      </c>
      <c r="Z242" s="41">
        <f t="shared" si="96"/>
        <v>-26175.374162668864</v>
      </c>
      <c r="AA242" s="41">
        <f t="shared" si="97"/>
        <v>-25501.020680511108</v>
      </c>
      <c r="AB242" s="41">
        <f t="shared" si="98"/>
        <v>-24330.573528023237</v>
      </c>
      <c r="AC242" s="41">
        <f t="shared" si="99"/>
        <v>-23868.48598434958</v>
      </c>
      <c r="AD242" s="41">
        <f t="shared" si="100"/>
        <v>-23423.845604200393</v>
      </c>
      <c r="AF242" s="303">
        <f t="shared" si="101"/>
        <v>1.7760591506965477E-3</v>
      </c>
      <c r="AG242" s="303">
        <f t="shared" si="102"/>
        <v>1.7469851676135816E-3</v>
      </c>
      <c r="AH242" s="303">
        <f t="shared" si="103"/>
        <v>1.7160398989150365E-3</v>
      </c>
      <c r="AI242" s="303">
        <f t="shared" si="104"/>
        <v>1.7061696481979484E-3</v>
      </c>
      <c r="AJ242" s="303">
        <f t="shared" si="105"/>
        <v>1.6827176016529467E-3</v>
      </c>
      <c r="AK242" s="303">
        <f t="shared" si="106"/>
        <v>1.6612873540112884E-3</v>
      </c>
      <c r="AL242" s="303">
        <f t="shared" si="107"/>
        <v>1.641133760897746E-3</v>
      </c>
      <c r="AM242" s="303">
        <f t="shared" si="108"/>
        <v>1.6215881700266509E-3</v>
      </c>
      <c r="AV242" s="41">
        <v>-29279.733</v>
      </c>
      <c r="AW242" s="303">
        <f t="shared" si="111"/>
        <v>1.9597938291391159E-3</v>
      </c>
      <c r="AX242" s="41">
        <f t="shared" si="112"/>
        <v>-28732.218270249097</v>
      </c>
    </row>
    <row r="243" spans="1:50" x14ac:dyDescent="0.2">
      <c r="A243" s="30">
        <v>759</v>
      </c>
      <c r="B243" s="47" t="s">
        <v>566</v>
      </c>
      <c r="C243" s="295">
        <v>0.98675374107032821</v>
      </c>
      <c r="D243" s="295">
        <v>1.0606981876762702</v>
      </c>
      <c r="E243" s="295">
        <v>0.99610026032809573</v>
      </c>
      <c r="F243" s="295">
        <v>0.99749417962572051</v>
      </c>
      <c r="G243" s="295">
        <v>0.99584179756831093</v>
      </c>
      <c r="H243" s="295">
        <v>0.99596841973218564</v>
      </c>
      <c r="I243" s="295">
        <v>0.98744682154853924</v>
      </c>
      <c r="J243" s="295">
        <v>0.99560782889912514</v>
      </c>
      <c r="L243" s="41">
        <v>-5099.09674</v>
      </c>
      <c r="M243" s="41">
        <f t="shared" si="86"/>
        <v>-5031.552784274515</v>
      </c>
      <c r="N243" s="41">
        <f t="shared" si="87"/>
        <v>-5336.9589194774699</v>
      </c>
      <c r="O243" s="41">
        <f t="shared" si="88"/>
        <v>-5316.1461690518599</v>
      </c>
      <c r="P243" s="41">
        <f t="shared" si="89"/>
        <v>-5302.8248616688015</v>
      </c>
      <c r="Q243" s="41">
        <f t="shared" si="90"/>
        <v>-5280.7746424341894</v>
      </c>
      <c r="R243" s="41">
        <f t="shared" si="91"/>
        <v>-5259.4847755869778</v>
      </c>
      <c r="S243" s="41">
        <f t="shared" si="92"/>
        <v>-5193.4615246362937</v>
      </c>
      <c r="T243" s="41">
        <f t="shared" si="93"/>
        <v>-5170.6509530142803</v>
      </c>
      <c r="V243" s="41">
        <f t="shared" si="109"/>
        <v>-5099.09674</v>
      </c>
      <c r="W243" s="41">
        <f t="shared" si="110"/>
        <v>-5137.2153927442796</v>
      </c>
      <c r="X243" s="41">
        <f t="shared" si="94"/>
        <v>-5518.4155227397041</v>
      </c>
      <c r="Y243" s="41">
        <f t="shared" si="95"/>
        <v>-5491.5789926305706</v>
      </c>
      <c r="Z243" s="41">
        <f t="shared" si="96"/>
        <v>-5472.515257242203</v>
      </c>
      <c r="AA243" s="41">
        <f t="shared" si="97"/>
        <v>-5423.3555577799125</v>
      </c>
      <c r="AB243" s="41">
        <f t="shared" si="98"/>
        <v>-5259.4847755869778</v>
      </c>
      <c r="AC243" s="41">
        <f t="shared" si="99"/>
        <v>-5193.4615246362937</v>
      </c>
      <c r="AD243" s="41">
        <f t="shared" si="100"/>
        <v>-5170.6509530142803</v>
      </c>
      <c r="AF243" s="303">
        <f t="shared" si="101"/>
        <v>3.5532319874736823E-4</v>
      </c>
      <c r="AG243" s="303">
        <f t="shared" si="102"/>
        <v>3.5590433285673261E-4</v>
      </c>
      <c r="AH243" s="303">
        <f t="shared" si="103"/>
        <v>3.5629680232247249E-4</v>
      </c>
      <c r="AI243" s="303">
        <f t="shared" si="104"/>
        <v>3.5671082954463572E-4</v>
      </c>
      <c r="AJ243" s="303">
        <f t="shared" si="105"/>
        <v>3.57867081927157E-4</v>
      </c>
      <c r="AK243" s="303">
        <f t="shared" si="106"/>
        <v>3.5911671117139644E-4</v>
      </c>
      <c r="AL243" s="303">
        <f t="shared" si="107"/>
        <v>3.5708863350581555E-4</v>
      </c>
      <c r="AM243" s="303">
        <f t="shared" si="108"/>
        <v>3.5795430683855929E-4</v>
      </c>
      <c r="AV243" s="41">
        <v>-5568.7089999999998</v>
      </c>
      <c r="AW243" s="303">
        <f t="shared" si="111"/>
        <v>3.7273295950039761E-4</v>
      </c>
      <c r="AX243" s="41">
        <f t="shared" si="112"/>
        <v>-5464.5772374871231</v>
      </c>
    </row>
    <row r="244" spans="1:50" x14ac:dyDescent="0.2">
      <c r="A244" s="30">
        <v>761</v>
      </c>
      <c r="B244" s="47" t="s">
        <v>567</v>
      </c>
      <c r="C244" s="295">
        <v>0.97768147264552097</v>
      </c>
      <c r="D244" s="295">
        <v>1.0206661803428236</v>
      </c>
      <c r="E244" s="295">
        <v>0.98225330041309344</v>
      </c>
      <c r="F244" s="295">
        <v>0.98648495437587902</v>
      </c>
      <c r="G244" s="295">
        <v>0.97610666646736577</v>
      </c>
      <c r="H244" s="295">
        <v>0.9763045132442929</v>
      </c>
      <c r="I244" s="295">
        <v>0.97511730813090736</v>
      </c>
      <c r="J244" s="295">
        <v>0.98036282612339798</v>
      </c>
      <c r="L244" s="41">
        <v>-21600.119620000001</v>
      </c>
      <c r="M244" s="41">
        <f t="shared" si="86"/>
        <v>-21118.036759401013</v>
      </c>
      <c r="N244" s="41">
        <f t="shared" si="87"/>
        <v>-21554.465915557172</v>
      </c>
      <c r="O244" s="41">
        <f t="shared" si="88"/>
        <v>-21171.945284197562</v>
      </c>
      <c r="P244" s="41">
        <f t="shared" si="89"/>
        <v>-20885.805477730239</v>
      </c>
      <c r="Q244" s="41">
        <f t="shared" si="90"/>
        <v>-20386.773961353112</v>
      </c>
      <c r="R244" s="41">
        <f t="shared" si="91"/>
        <v>-19903.699428960274</v>
      </c>
      <c r="S244" s="41">
        <f t="shared" si="92"/>
        <v>-19408.441809014421</v>
      </c>
      <c r="T244" s="41">
        <f t="shared" si="93"/>
        <v>-19027.314862536892</v>
      </c>
      <c r="V244" s="41">
        <f t="shared" si="109"/>
        <v>-21600.119620000001</v>
      </c>
      <c r="W244" s="41">
        <f t="shared" si="110"/>
        <v>-21561.515531348432</v>
      </c>
      <c r="X244" s="41">
        <f t="shared" si="94"/>
        <v>-22287.317756686116</v>
      </c>
      <c r="Y244" s="41">
        <f t="shared" si="95"/>
        <v>-21870.619478576078</v>
      </c>
      <c r="Z244" s="41">
        <f t="shared" si="96"/>
        <v>-21554.151253017608</v>
      </c>
      <c r="AA244" s="41">
        <f t="shared" si="97"/>
        <v>-20937.216858309643</v>
      </c>
      <c r="AB244" s="41">
        <f t="shared" si="98"/>
        <v>-19903.699428960274</v>
      </c>
      <c r="AC244" s="41">
        <f t="shared" si="99"/>
        <v>-19408.441809014421</v>
      </c>
      <c r="AD244" s="41">
        <f t="shared" si="100"/>
        <v>-19027.314862536892</v>
      </c>
      <c r="AF244" s="303">
        <f t="shared" si="101"/>
        <v>1.4913345232244869E-3</v>
      </c>
      <c r="AG244" s="303">
        <f t="shared" si="102"/>
        <v>1.43739682607687E-3</v>
      </c>
      <c r="AH244" s="303">
        <f t="shared" si="103"/>
        <v>1.4189783658735125E-3</v>
      </c>
      <c r="AI244" s="303">
        <f t="shared" si="104"/>
        <v>1.4049479649087394E-3</v>
      </c>
      <c r="AJ244" s="303">
        <f t="shared" si="105"/>
        <v>1.3815691449569193E-3</v>
      </c>
      <c r="AK244" s="303">
        <f t="shared" si="106"/>
        <v>1.3590211558839431E-3</v>
      </c>
      <c r="AL244" s="303">
        <f t="shared" si="107"/>
        <v>1.3344729581959221E-3</v>
      </c>
      <c r="AM244" s="303">
        <f t="shared" si="108"/>
        <v>1.317224729441063E-3</v>
      </c>
      <c r="AV244" s="41">
        <v>-21872.799999999999</v>
      </c>
      <c r="AW244" s="303">
        <f t="shared" si="111"/>
        <v>1.4640221775927414E-3</v>
      </c>
      <c r="AX244" s="41">
        <f t="shared" si="112"/>
        <v>-21463.790799646446</v>
      </c>
    </row>
    <row r="245" spans="1:50" x14ac:dyDescent="0.2">
      <c r="A245" s="30">
        <v>762</v>
      </c>
      <c r="B245" s="47" t="s">
        <v>568</v>
      </c>
      <c r="C245" s="295">
        <v>0.98816094183524439</v>
      </c>
      <c r="D245" s="295">
        <v>1.0682300005988856</v>
      </c>
      <c r="E245" s="295">
        <v>0.99853735515564668</v>
      </c>
      <c r="F245" s="295">
        <v>0.9961069031309977</v>
      </c>
      <c r="G245" s="295">
        <v>0.98629889185030395</v>
      </c>
      <c r="H245" s="295">
        <v>0.99433233047581604</v>
      </c>
      <c r="I245" s="295">
        <v>0.99867284484357943</v>
      </c>
      <c r="J245" s="295">
        <v>0.99098398463758253</v>
      </c>
      <c r="L245" s="41">
        <v>-10454.76008</v>
      </c>
      <c r="M245" s="41">
        <f t="shared" si="86"/>
        <v>-10330.985567314316</v>
      </c>
      <c r="N245" s="41">
        <f t="shared" si="87"/>
        <v>-11035.86871875925</v>
      </c>
      <c r="O245" s="41">
        <f t="shared" si="88"/>
        <v>-11019.727162274796</v>
      </c>
      <c r="P245" s="41">
        <f t="shared" si="89"/>
        <v>-10976.826296962085</v>
      </c>
      <c r="Q245" s="41">
        <f t="shared" si="90"/>
        <v>-10826.431612726979</v>
      </c>
      <c r="R245" s="41">
        <f t="shared" si="91"/>
        <v>-10765.070976219866</v>
      </c>
      <c r="S245" s="41">
        <f t="shared" si="92"/>
        <v>-10750.784056764542</v>
      </c>
      <c r="T245" s="41">
        <f t="shared" si="93"/>
        <v>-10653.85482255072</v>
      </c>
      <c r="V245" s="41">
        <f t="shared" si="109"/>
        <v>-10454.76008</v>
      </c>
      <c r="W245" s="41">
        <f t="shared" si="110"/>
        <v>-10547.936264227916</v>
      </c>
      <c r="X245" s="41">
        <f t="shared" si="94"/>
        <v>-11411.088255197064</v>
      </c>
      <c r="Y245" s="41">
        <f t="shared" si="95"/>
        <v>-11383.378158629863</v>
      </c>
      <c r="Z245" s="41">
        <f t="shared" si="96"/>
        <v>-11328.084738464871</v>
      </c>
      <c r="AA245" s="41">
        <f t="shared" si="97"/>
        <v>-11118.745266270607</v>
      </c>
      <c r="AB245" s="41">
        <f t="shared" si="98"/>
        <v>-10765.070976219866</v>
      </c>
      <c r="AC245" s="41">
        <f t="shared" si="99"/>
        <v>-10750.784056764542</v>
      </c>
      <c r="AD245" s="41">
        <f t="shared" si="100"/>
        <v>-10653.85482255072</v>
      </c>
      <c r="AF245" s="303">
        <f t="shared" si="101"/>
        <v>7.2956381367274173E-4</v>
      </c>
      <c r="AG245" s="303">
        <f t="shared" si="102"/>
        <v>7.3594598592657877E-4</v>
      </c>
      <c r="AH245" s="303">
        <f t="shared" si="103"/>
        <v>7.3856011959220862E-4</v>
      </c>
      <c r="AI245" s="303">
        <f t="shared" si="104"/>
        <v>7.3838999331471238E-4</v>
      </c>
      <c r="AJ245" s="303">
        <f t="shared" si="105"/>
        <v>7.3368468667403704E-4</v>
      </c>
      <c r="AK245" s="303">
        <f t="shared" si="106"/>
        <v>7.3503718509676302E-4</v>
      </c>
      <c r="AL245" s="303">
        <f t="shared" si="107"/>
        <v>7.3919538437612826E-4</v>
      </c>
      <c r="AM245" s="303">
        <f t="shared" si="108"/>
        <v>7.3754605615790304E-4</v>
      </c>
      <c r="AV245" s="41">
        <v>-9824.68</v>
      </c>
      <c r="AW245" s="303">
        <f t="shared" si="111"/>
        <v>6.5759982296513726E-4</v>
      </c>
      <c r="AX245" s="41">
        <f t="shared" si="112"/>
        <v>-9640.9639457897665</v>
      </c>
    </row>
    <row r="246" spans="1:50" x14ac:dyDescent="0.2">
      <c r="A246" s="30">
        <v>765</v>
      </c>
      <c r="B246" s="47" t="s">
        <v>569</v>
      </c>
      <c r="C246" s="295">
        <v>0.97535710596987446</v>
      </c>
      <c r="D246" s="295">
        <v>1.0515838539253703</v>
      </c>
      <c r="E246" s="295">
        <v>0.99041573278186756</v>
      </c>
      <c r="F246" s="295">
        <v>0.98969686270468282</v>
      </c>
      <c r="G246" s="295">
        <v>0.98890283226168374</v>
      </c>
      <c r="H246" s="295">
        <v>0.98818265381850723</v>
      </c>
      <c r="I246" s="295">
        <v>0.98220832439500627</v>
      </c>
      <c r="J246" s="295">
        <v>0.98579237993969915</v>
      </c>
      <c r="L246" s="41">
        <v>-36198.446770000002</v>
      </c>
      <c r="M246" s="41">
        <f t="shared" si="86"/>
        <v>-35306.412282191755</v>
      </c>
      <c r="N246" s="41">
        <f t="shared" si="87"/>
        <v>-37127.653095985239</v>
      </c>
      <c r="O246" s="41">
        <f t="shared" si="88"/>
        <v>-36771.811747531196</v>
      </c>
      <c r="P246" s="41">
        <f t="shared" si="89"/>
        <v>-36392.946722498826</v>
      </c>
      <c r="Q246" s="41">
        <f t="shared" si="90"/>
        <v>-35989.088088227647</v>
      </c>
      <c r="R246" s="41">
        <f t="shared" si="91"/>
        <v>-35563.792575532825</v>
      </c>
      <c r="S246" s="41">
        <f t="shared" si="92"/>
        <v>-34931.053114745664</v>
      </c>
      <c r="T246" s="41">
        <f t="shared" si="93"/>
        <v>-34434.765983785168</v>
      </c>
      <c r="V246" s="41">
        <f t="shared" si="109"/>
        <v>-36198.446770000002</v>
      </c>
      <c r="W246" s="41">
        <f t="shared" si="110"/>
        <v>-36047.846940117779</v>
      </c>
      <c r="X246" s="41">
        <f t="shared" si="94"/>
        <v>-38389.993301248738</v>
      </c>
      <c r="Y246" s="41">
        <f t="shared" si="95"/>
        <v>-37985.28153519972</v>
      </c>
      <c r="Z246" s="41">
        <f t="shared" si="96"/>
        <v>-37557.52101761879</v>
      </c>
      <c r="AA246" s="41">
        <f t="shared" si="97"/>
        <v>-36960.793466609794</v>
      </c>
      <c r="AB246" s="41">
        <f t="shared" si="98"/>
        <v>-35563.792575532825</v>
      </c>
      <c r="AC246" s="41">
        <f t="shared" si="99"/>
        <v>-34931.053114745664</v>
      </c>
      <c r="AD246" s="41">
        <f t="shared" si="100"/>
        <v>-34434.765983785168</v>
      </c>
      <c r="AF246" s="303">
        <f t="shared" si="101"/>
        <v>2.4933033372143381E-3</v>
      </c>
      <c r="AG246" s="303">
        <f t="shared" si="102"/>
        <v>2.4759217383963999E-3</v>
      </c>
      <c r="AH246" s="303">
        <f t="shared" si="103"/>
        <v>2.464506904930718E-3</v>
      </c>
      <c r="AI246" s="303">
        <f t="shared" si="104"/>
        <v>2.4480835316275035E-3</v>
      </c>
      <c r="AJ246" s="303">
        <f t="shared" si="105"/>
        <v>2.4389054272190409E-3</v>
      </c>
      <c r="AK246" s="303">
        <f t="shared" si="106"/>
        <v>2.4282896084781846E-3</v>
      </c>
      <c r="AL246" s="303">
        <f t="shared" si="107"/>
        <v>2.4017665220957096E-3</v>
      </c>
      <c r="AM246" s="303">
        <f t="shared" si="108"/>
        <v>2.3838531938978049E-3</v>
      </c>
      <c r="AV246" s="41">
        <v>-36108.031000000003</v>
      </c>
      <c r="AW246" s="303">
        <f t="shared" si="111"/>
        <v>2.4168354382249286E-3</v>
      </c>
      <c r="AX246" s="41">
        <f t="shared" si="112"/>
        <v>-35432.830893673818</v>
      </c>
    </row>
    <row r="247" spans="1:50" x14ac:dyDescent="0.2">
      <c r="A247" s="30">
        <v>768</v>
      </c>
      <c r="B247" s="47" t="s">
        <v>570</v>
      </c>
      <c r="C247" s="295">
        <v>0.9926006846837242</v>
      </c>
      <c r="D247" s="295">
        <v>1.0511862195222432</v>
      </c>
      <c r="E247" s="295">
        <v>0.99901822155059106</v>
      </c>
      <c r="F247" s="295">
        <v>0.99284302856943651</v>
      </c>
      <c r="G247" s="295">
        <v>0.99328612365630464</v>
      </c>
      <c r="H247" s="295">
        <v>0.99006392665640064</v>
      </c>
      <c r="I247" s="295">
        <v>0.99483008783885007</v>
      </c>
      <c r="J247" s="295">
        <v>0.98808386570880635</v>
      </c>
      <c r="L247" s="41">
        <v>-7169.3284999999996</v>
      </c>
      <c r="M247" s="41">
        <f t="shared" si="86"/>
        <v>-7116.280377822537</v>
      </c>
      <c r="N247" s="41">
        <f t="shared" si="87"/>
        <v>-7480.5358674235931</v>
      </c>
      <c r="O247" s="41">
        <f t="shared" si="88"/>
        <v>-7473.1916385189261</v>
      </c>
      <c r="P247" s="41">
        <f t="shared" si="89"/>
        <v>-7419.7062194669206</v>
      </c>
      <c r="Q247" s="41">
        <f t="shared" si="90"/>
        <v>-7369.8912294028723</v>
      </c>
      <c r="R247" s="41">
        <f t="shared" si="91"/>
        <v>-7296.6634496131755</v>
      </c>
      <c r="S247" s="41">
        <f t="shared" si="92"/>
        <v>-7258.9403405092025</v>
      </c>
      <c r="T247" s="41">
        <f t="shared" si="93"/>
        <v>-7172.4418325999322</v>
      </c>
      <c r="V247" s="41">
        <f t="shared" si="109"/>
        <v>-7169.3284999999996</v>
      </c>
      <c r="W247" s="41">
        <f t="shared" si="110"/>
        <v>-7265.72226575681</v>
      </c>
      <c r="X247" s="41">
        <f t="shared" si="94"/>
        <v>-7734.8740869159956</v>
      </c>
      <c r="Y247" s="41">
        <f t="shared" si="95"/>
        <v>-7719.8069625900498</v>
      </c>
      <c r="Z247" s="41">
        <f t="shared" si="96"/>
        <v>-7657.136818489862</v>
      </c>
      <c r="AA247" s="41">
        <f t="shared" si="97"/>
        <v>-7568.8782925967489</v>
      </c>
      <c r="AB247" s="41">
        <f t="shared" si="98"/>
        <v>-7296.6634496131755</v>
      </c>
      <c r="AC247" s="41">
        <f t="shared" si="99"/>
        <v>-7258.9403405092025</v>
      </c>
      <c r="AD247" s="41">
        <f t="shared" si="100"/>
        <v>-7172.4418325999322</v>
      </c>
      <c r="AF247" s="303">
        <f t="shared" si="101"/>
        <v>5.0254456535441525E-4</v>
      </c>
      <c r="AG247" s="303">
        <f t="shared" si="102"/>
        <v>4.9885246775834631E-4</v>
      </c>
      <c r="AH247" s="303">
        <f t="shared" si="103"/>
        <v>5.0086551409142738E-4</v>
      </c>
      <c r="AI247" s="303">
        <f t="shared" si="104"/>
        <v>4.9910936709507382E-4</v>
      </c>
      <c r="AJ247" s="303">
        <f t="shared" si="105"/>
        <v>4.994421551704801E-4</v>
      </c>
      <c r="AK247" s="303">
        <f t="shared" si="106"/>
        <v>4.9821491882865636E-4</v>
      </c>
      <c r="AL247" s="303">
        <f t="shared" si="107"/>
        <v>4.9910547610616958E-4</v>
      </c>
      <c r="AM247" s="303">
        <f t="shared" si="108"/>
        <v>4.9653447271111979E-4</v>
      </c>
      <c r="AV247" s="41">
        <v>-7407.8241900000003</v>
      </c>
      <c r="AW247" s="303">
        <f t="shared" si="111"/>
        <v>4.9583130197633528E-4</v>
      </c>
      <c r="AX247" s="41">
        <f t="shared" si="112"/>
        <v>-7269.301995845085</v>
      </c>
    </row>
    <row r="248" spans="1:50" x14ac:dyDescent="0.2">
      <c r="A248" s="30">
        <v>777</v>
      </c>
      <c r="B248" s="47" t="s">
        <v>571</v>
      </c>
      <c r="C248" s="295">
        <v>0.97401859033375082</v>
      </c>
      <c r="D248" s="295">
        <v>1.0585184143876194</v>
      </c>
      <c r="E248" s="295">
        <v>0.97570245286937385</v>
      </c>
      <c r="F248" s="295">
        <v>0.98300747367301555</v>
      </c>
      <c r="G248" s="295">
        <v>0.98190700031059075</v>
      </c>
      <c r="H248" s="295">
        <v>0.97448295442202815</v>
      </c>
      <c r="I248" s="295">
        <v>0.96855313417246836</v>
      </c>
      <c r="J248" s="295">
        <v>0.97152917516545556</v>
      </c>
      <c r="L248" s="41">
        <v>-19094.65912</v>
      </c>
      <c r="M248" s="41">
        <f t="shared" si="86"/>
        <v>-18598.552958965898</v>
      </c>
      <c r="N248" s="41">
        <f t="shared" si="87"/>
        <v>-19686.910788028748</v>
      </c>
      <c r="O248" s="41">
        <f t="shared" si="88"/>
        <v>-19208.567145300189</v>
      </c>
      <c r="P248" s="41">
        <f t="shared" si="89"/>
        <v>-18882.165062380027</v>
      </c>
      <c r="Q248" s="41">
        <f t="shared" si="90"/>
        <v>-18540.530055771011</v>
      </c>
      <c r="R248" s="41">
        <f t="shared" si="91"/>
        <v>-18067.430505298144</v>
      </c>
      <c r="S248" s="41">
        <f t="shared" si="92"/>
        <v>-17499.266442349781</v>
      </c>
      <c r="T248" s="41">
        <f t="shared" si="93"/>
        <v>-17001.04789273662</v>
      </c>
      <c r="V248" s="41">
        <f t="shared" si="109"/>
        <v>-19094.65912</v>
      </c>
      <c r="W248" s="41">
        <f t="shared" si="110"/>
        <v>-18989.122571104181</v>
      </c>
      <c r="X248" s="41">
        <f t="shared" si="94"/>
        <v>-20356.265754821725</v>
      </c>
      <c r="Y248" s="41">
        <f t="shared" si="95"/>
        <v>-19842.449861095094</v>
      </c>
      <c r="Z248" s="41">
        <f t="shared" si="96"/>
        <v>-19486.394344376189</v>
      </c>
      <c r="AA248" s="41">
        <f t="shared" si="97"/>
        <v>-19041.124367276825</v>
      </c>
      <c r="AB248" s="41">
        <f t="shared" si="98"/>
        <v>-18067.430505298144</v>
      </c>
      <c r="AC248" s="41">
        <f t="shared" si="99"/>
        <v>-17499.266442349781</v>
      </c>
      <c r="AD248" s="41">
        <f t="shared" si="100"/>
        <v>-17001.04789273662</v>
      </c>
      <c r="AF248" s="303">
        <f t="shared" si="101"/>
        <v>1.3134111104043508E-3</v>
      </c>
      <c r="AG248" s="303">
        <f t="shared" si="102"/>
        <v>1.3128556834965089E-3</v>
      </c>
      <c r="AH248" s="303">
        <f t="shared" si="103"/>
        <v>1.2873895550331693E-3</v>
      </c>
      <c r="AI248" s="303">
        <f t="shared" si="104"/>
        <v>1.2701669277609636E-3</v>
      </c>
      <c r="AJ248" s="303">
        <f t="shared" si="105"/>
        <v>1.2564530467035942E-3</v>
      </c>
      <c r="AK248" s="303">
        <f t="shared" si="106"/>
        <v>1.2336410312465086E-3</v>
      </c>
      <c r="AL248" s="303">
        <f t="shared" si="107"/>
        <v>1.2032031260095781E-3</v>
      </c>
      <c r="AM248" s="303">
        <f t="shared" si="108"/>
        <v>1.1769501305103622E-3</v>
      </c>
      <c r="AV248" s="41">
        <v>-19460.670959999999</v>
      </c>
      <c r="AW248" s="303">
        <f t="shared" si="111"/>
        <v>1.3025700356733031E-3</v>
      </c>
      <c r="AX248" s="41">
        <f t="shared" si="112"/>
        <v>-19096.767231730493</v>
      </c>
    </row>
    <row r="249" spans="1:50" x14ac:dyDescent="0.2">
      <c r="A249" s="30">
        <v>778</v>
      </c>
      <c r="B249" s="47" t="s">
        <v>572</v>
      </c>
      <c r="C249" s="295">
        <v>0.97797937733958562</v>
      </c>
      <c r="D249" s="295">
        <v>1.0236521700117986</v>
      </c>
      <c r="E249" s="295">
        <v>0.98089499506360589</v>
      </c>
      <c r="F249" s="295">
        <v>0.98317067454136586</v>
      </c>
      <c r="G249" s="295">
        <v>0.97714410004937124</v>
      </c>
      <c r="H249" s="295">
        <v>0.98174042474149514</v>
      </c>
      <c r="I249" s="295">
        <v>0.97624868745254645</v>
      </c>
      <c r="J249" s="295">
        <v>0.97890470902104665</v>
      </c>
      <c r="L249" s="41">
        <v>-18844.195540000001</v>
      </c>
      <c r="M249" s="41">
        <f t="shared" si="86"/>
        <v>-18429.234620674597</v>
      </c>
      <c r="N249" s="41">
        <f t="shared" si="87"/>
        <v>-18865.126011110118</v>
      </c>
      <c r="O249" s="41">
        <f t="shared" si="88"/>
        <v>-18504.707685542162</v>
      </c>
      <c r="P249" s="41">
        <f t="shared" si="89"/>
        <v>-18193.285937385284</v>
      </c>
      <c r="Q249" s="41">
        <f t="shared" si="90"/>
        <v>-17777.462014227225</v>
      </c>
      <c r="R249" s="41">
        <f t="shared" si="91"/>
        <v>-17452.853108673233</v>
      </c>
      <c r="S249" s="41">
        <f t="shared" si="92"/>
        <v>-17038.324939644339</v>
      </c>
      <c r="T249" s="41">
        <f t="shared" si="93"/>
        <v>-16678.896517248584</v>
      </c>
      <c r="V249" s="41">
        <f t="shared" si="109"/>
        <v>-18844.195540000001</v>
      </c>
      <c r="W249" s="41">
        <f t="shared" si="110"/>
        <v>-18816.248547708761</v>
      </c>
      <c r="X249" s="41">
        <f t="shared" si="94"/>
        <v>-19506.540295487863</v>
      </c>
      <c r="Y249" s="41">
        <f t="shared" si="95"/>
        <v>-19115.363039165051</v>
      </c>
      <c r="Z249" s="41">
        <f t="shared" si="96"/>
        <v>-18775.471087381615</v>
      </c>
      <c r="AA249" s="41">
        <f t="shared" si="97"/>
        <v>-18257.453488611358</v>
      </c>
      <c r="AB249" s="41">
        <f t="shared" si="98"/>
        <v>-17452.853108673233</v>
      </c>
      <c r="AC249" s="41">
        <f t="shared" si="99"/>
        <v>-17038.324939644339</v>
      </c>
      <c r="AD249" s="41">
        <f t="shared" si="100"/>
        <v>-16678.896517248584</v>
      </c>
      <c r="AF249" s="303">
        <f t="shared" si="101"/>
        <v>1.3014540195920897E-3</v>
      </c>
      <c r="AG249" s="303">
        <f t="shared" si="102"/>
        <v>1.2580535448265563E-3</v>
      </c>
      <c r="AH249" s="303">
        <f t="shared" si="103"/>
        <v>1.2402157440013827E-3</v>
      </c>
      <c r="AI249" s="303">
        <f t="shared" si="104"/>
        <v>1.2238273539407704E-3</v>
      </c>
      <c r="AJ249" s="303">
        <f t="shared" si="105"/>
        <v>1.2047415172728912E-3</v>
      </c>
      <c r="AK249" s="303">
        <f t="shared" si="106"/>
        <v>1.1916777928584698E-3</v>
      </c>
      <c r="AL249" s="303">
        <f t="shared" si="107"/>
        <v>1.1715100113987539E-3</v>
      </c>
      <c r="AM249" s="303">
        <f t="shared" si="108"/>
        <v>1.1546482050163035E-3</v>
      </c>
      <c r="AV249" s="41">
        <v>-19041.900000000001</v>
      </c>
      <c r="AW249" s="303">
        <f t="shared" si="111"/>
        <v>1.274540246493509E-3</v>
      </c>
      <c r="AX249" s="41">
        <f t="shared" si="112"/>
        <v>-18685.827055877056</v>
      </c>
    </row>
    <row r="250" spans="1:50" x14ac:dyDescent="0.2">
      <c r="A250" s="30">
        <v>781</v>
      </c>
      <c r="B250" s="47" t="s">
        <v>573</v>
      </c>
      <c r="C250" s="295">
        <v>0.99018329610062561</v>
      </c>
      <c r="D250" s="295">
        <v>1.059966312232558</v>
      </c>
      <c r="E250" s="295">
        <v>0.99339888255783049</v>
      </c>
      <c r="F250" s="295">
        <v>0.98983027267046764</v>
      </c>
      <c r="G250" s="295">
        <v>0.99341474205332059</v>
      </c>
      <c r="H250" s="295">
        <v>0.99366570723250036</v>
      </c>
      <c r="I250" s="295">
        <v>0.99392182455801437</v>
      </c>
      <c r="J250" s="295">
        <v>0.99418296395540684</v>
      </c>
      <c r="L250" s="41">
        <v>-8639.5252899999996</v>
      </c>
      <c r="M250" s="41">
        <f t="shared" si="86"/>
        <v>-8554.7136283969121</v>
      </c>
      <c r="N250" s="41">
        <f t="shared" si="87"/>
        <v>-9067.7082568974802</v>
      </c>
      <c r="O250" s="41">
        <f t="shared" si="88"/>
        <v>-9007.8512497623706</v>
      </c>
      <c r="P250" s="41">
        <f t="shared" si="89"/>
        <v>-8916.2438587272991</v>
      </c>
      <c r="Q250" s="41">
        <f t="shared" si="90"/>
        <v>-8857.5280930020836</v>
      </c>
      <c r="R250" s="41">
        <f t="shared" si="91"/>
        <v>-8801.4219168646559</v>
      </c>
      <c r="S250" s="41">
        <f t="shared" si="92"/>
        <v>-8747.9253303150144</v>
      </c>
      <c r="T250" s="41">
        <f t="shared" si="93"/>
        <v>-8697.0383333531627</v>
      </c>
      <c r="V250" s="41">
        <f t="shared" si="109"/>
        <v>-8639.5252899999996</v>
      </c>
      <c r="W250" s="41">
        <f t="shared" si="110"/>
        <v>-8734.3626145932467</v>
      </c>
      <c r="X250" s="41">
        <f t="shared" si="94"/>
        <v>-9376.0103376319948</v>
      </c>
      <c r="Y250" s="41">
        <f t="shared" si="95"/>
        <v>-9305.1103410045289</v>
      </c>
      <c r="Z250" s="41">
        <f t="shared" si="96"/>
        <v>-9201.5636622065722</v>
      </c>
      <c r="AA250" s="41">
        <f t="shared" si="97"/>
        <v>-9096.6813515131398</v>
      </c>
      <c r="AB250" s="41">
        <f t="shared" si="98"/>
        <v>-8801.4219168646559</v>
      </c>
      <c r="AC250" s="41">
        <f t="shared" si="99"/>
        <v>-8747.9253303150144</v>
      </c>
      <c r="AD250" s="41">
        <f t="shared" si="100"/>
        <v>-8697.0383333531627</v>
      </c>
      <c r="AF250" s="303">
        <f t="shared" si="101"/>
        <v>6.0412527526489612E-4</v>
      </c>
      <c r="AG250" s="303">
        <f t="shared" si="102"/>
        <v>6.0469580268505323E-4</v>
      </c>
      <c r="AH250" s="303">
        <f t="shared" si="103"/>
        <v>6.0372090872347708E-4</v>
      </c>
      <c r="AI250" s="303">
        <f t="shared" si="104"/>
        <v>5.9977857580383433E-4</v>
      </c>
      <c r="AJ250" s="303">
        <f t="shared" si="105"/>
        <v>6.0025620223576402E-4</v>
      </c>
      <c r="AK250" s="303">
        <f t="shared" si="106"/>
        <v>6.0095956681679595E-4</v>
      </c>
      <c r="AL250" s="303">
        <f t="shared" si="107"/>
        <v>6.0148413296117799E-4</v>
      </c>
      <c r="AM250" s="303">
        <f t="shared" si="108"/>
        <v>6.0207938158134122E-4</v>
      </c>
      <c r="AV250" s="41">
        <v>-9375.3500299999996</v>
      </c>
      <c r="AW250" s="303">
        <f t="shared" si="111"/>
        <v>6.2752461352066371E-4</v>
      </c>
      <c r="AX250" s="41">
        <f t="shared" si="112"/>
        <v>-9200.0361964347958</v>
      </c>
    </row>
    <row r="251" spans="1:50" x14ac:dyDescent="0.2">
      <c r="A251" s="30">
        <v>783</v>
      </c>
      <c r="B251" s="47" t="s">
        <v>574</v>
      </c>
      <c r="C251" s="295">
        <v>0.97447983237698899</v>
      </c>
      <c r="D251" s="295">
        <v>1.0214672680223438</v>
      </c>
      <c r="E251" s="295">
        <v>0.9644418020565706</v>
      </c>
      <c r="F251" s="295">
        <v>0.97502754466923569</v>
      </c>
      <c r="G251" s="295">
        <v>0.97419047121829105</v>
      </c>
      <c r="H251" s="295">
        <v>0.97340483408430523</v>
      </c>
      <c r="I251" s="295">
        <v>0.97327804724193734</v>
      </c>
      <c r="J251" s="295">
        <v>0.97250113465957</v>
      </c>
      <c r="L251" s="41">
        <v>-13086.13392</v>
      </c>
      <c r="M251" s="41">
        <f t="shared" si="86"/>
        <v>-12752.173588824429</v>
      </c>
      <c r="N251" s="41">
        <f t="shared" si="87"/>
        <v>-13025.927917123177</v>
      </c>
      <c r="O251" s="41">
        <f t="shared" si="88"/>
        <v>-12562.749393849268</v>
      </c>
      <c r="P251" s="41">
        <f t="shared" si="89"/>
        <v>-12249.026695779781</v>
      </c>
      <c r="Q251" s="41">
        <f t="shared" si="90"/>
        <v>-11932.885088727131</v>
      </c>
      <c r="R251" s="41">
        <f t="shared" si="91"/>
        <v>-11615.528029939513</v>
      </c>
      <c r="S251" s="41">
        <f t="shared" si="92"/>
        <v>-11305.138438663516</v>
      </c>
      <c r="T251" s="41">
        <f t="shared" si="93"/>
        <v>-10994.259959083789</v>
      </c>
      <c r="V251" s="41">
        <f t="shared" si="109"/>
        <v>-13086.13392</v>
      </c>
      <c r="W251" s="41">
        <f t="shared" si="110"/>
        <v>-13019.969234189741</v>
      </c>
      <c r="X251" s="41">
        <f t="shared" si="94"/>
        <v>-13468.809466305365</v>
      </c>
      <c r="Y251" s="41">
        <f t="shared" si="95"/>
        <v>-12977.320123846293</v>
      </c>
      <c r="Z251" s="41">
        <f t="shared" si="96"/>
        <v>-12640.995550044734</v>
      </c>
      <c r="AA251" s="41">
        <f t="shared" si="97"/>
        <v>-12255.072986122763</v>
      </c>
      <c r="AB251" s="41">
        <f t="shared" si="98"/>
        <v>-11615.528029939513</v>
      </c>
      <c r="AC251" s="41">
        <f t="shared" si="99"/>
        <v>-11305.138438663516</v>
      </c>
      <c r="AD251" s="41">
        <f t="shared" si="100"/>
        <v>-10994.259959083789</v>
      </c>
      <c r="AF251" s="303">
        <f t="shared" si="101"/>
        <v>9.0054567741479732E-4</v>
      </c>
      <c r="AG251" s="303">
        <f t="shared" si="102"/>
        <v>8.6865652427347369E-4</v>
      </c>
      <c r="AH251" s="303">
        <f t="shared" si="103"/>
        <v>8.4197599070256286E-4</v>
      </c>
      <c r="AI251" s="303">
        <f t="shared" si="104"/>
        <v>8.2396846732572533E-4</v>
      </c>
      <c r="AJ251" s="303">
        <f t="shared" si="105"/>
        <v>8.0866673070267847E-4</v>
      </c>
      <c r="AK251" s="303">
        <f t="shared" si="106"/>
        <v>7.9310624569029419E-4</v>
      </c>
      <c r="AL251" s="303">
        <f t="shared" si="107"/>
        <v>7.773113206878215E-4</v>
      </c>
      <c r="AM251" s="303">
        <f t="shared" si="108"/>
        <v>7.6111165472551596E-4</v>
      </c>
      <c r="AV251" s="41">
        <v>-16555.489539999999</v>
      </c>
      <c r="AW251" s="303">
        <f t="shared" si="111"/>
        <v>1.1081161921411365E-3</v>
      </c>
      <c r="AX251" s="41">
        <f t="shared" si="112"/>
        <v>-16245.911089220168</v>
      </c>
    </row>
    <row r="252" spans="1:50" x14ac:dyDescent="0.2">
      <c r="A252" s="30">
        <v>785</v>
      </c>
      <c r="B252" s="47" t="s">
        <v>575</v>
      </c>
      <c r="C252" s="295">
        <v>0.99242056810394974</v>
      </c>
      <c r="D252" s="295">
        <v>1.0647009155909126</v>
      </c>
      <c r="E252" s="295">
        <v>0.98651418013756598</v>
      </c>
      <c r="F252" s="295">
        <v>0.98737307017931408</v>
      </c>
      <c r="G252" s="295">
        <v>0.99299662223176288</v>
      </c>
      <c r="H252" s="295">
        <v>0.99179653837453141</v>
      </c>
      <c r="I252" s="295">
        <v>0.98818917368943493</v>
      </c>
      <c r="J252" s="295">
        <v>0.99282556539240208</v>
      </c>
      <c r="L252" s="41">
        <v>-10900.959929999999</v>
      </c>
      <c r="M252" s="41">
        <f t="shared" si="86"/>
        <v>-10818.336846608991</v>
      </c>
      <c r="N252" s="41">
        <f t="shared" si="87"/>
        <v>-11518.293145755499</v>
      </c>
      <c r="O252" s="41">
        <f t="shared" si="88"/>
        <v>-11362.959519269132</v>
      </c>
      <c r="P252" s="41">
        <f t="shared" si="89"/>
        <v>-11219.480226864025</v>
      </c>
      <c r="Q252" s="41">
        <f t="shared" si="90"/>
        <v>-11140.905968472031</v>
      </c>
      <c r="R252" s="41">
        <f t="shared" si="91"/>
        <v>-11049.511973886716</v>
      </c>
      <c r="S252" s="41">
        <f t="shared" si="92"/>
        <v>-10919.00810714663</v>
      </c>
      <c r="T252" s="41">
        <f t="shared" si="93"/>
        <v>-10840.670397502076</v>
      </c>
      <c r="V252" s="41">
        <f t="shared" si="109"/>
        <v>-10900.959929999999</v>
      </c>
      <c r="W252" s="41">
        <f t="shared" si="110"/>
        <v>-11045.521920387779</v>
      </c>
      <c r="X252" s="41">
        <f t="shared" si="94"/>
        <v>-11909.915112711185</v>
      </c>
      <c r="Y252" s="41">
        <f t="shared" si="95"/>
        <v>-11737.937183405013</v>
      </c>
      <c r="Z252" s="41">
        <f t="shared" si="96"/>
        <v>-11578.503594123675</v>
      </c>
      <c r="AA252" s="41">
        <f t="shared" si="97"/>
        <v>-11441.710429620774</v>
      </c>
      <c r="AB252" s="41">
        <f t="shared" si="98"/>
        <v>-11049.511973886716</v>
      </c>
      <c r="AC252" s="41">
        <f t="shared" si="99"/>
        <v>-10919.00810714663</v>
      </c>
      <c r="AD252" s="41">
        <f t="shared" si="100"/>
        <v>-10840.670397502076</v>
      </c>
      <c r="AF252" s="303">
        <f t="shared" si="101"/>
        <v>7.6398007101854926E-4</v>
      </c>
      <c r="AG252" s="303">
        <f t="shared" si="102"/>
        <v>7.6811729292639009E-4</v>
      </c>
      <c r="AH252" s="303">
        <f t="shared" si="103"/>
        <v>7.6156411296669833E-4</v>
      </c>
      <c r="AI252" s="303">
        <f t="shared" si="104"/>
        <v>7.547128564839757E-4</v>
      </c>
      <c r="AJ252" s="303">
        <f t="shared" si="105"/>
        <v>7.5499595777564347E-4</v>
      </c>
      <c r="AK252" s="303">
        <f t="shared" si="106"/>
        <v>7.5445876724081055E-4</v>
      </c>
      <c r="AL252" s="303">
        <f t="shared" si="107"/>
        <v>7.5076202369535588E-4</v>
      </c>
      <c r="AM252" s="303">
        <f t="shared" si="108"/>
        <v>7.5047894221925591E-4</v>
      </c>
      <c r="AV252" s="41">
        <v>-11549.77</v>
      </c>
      <c r="AW252" s="303">
        <f t="shared" si="111"/>
        <v>7.7306606498003534E-4</v>
      </c>
      <c r="AX252" s="41">
        <f t="shared" si="112"/>
        <v>-11333.795721811222</v>
      </c>
    </row>
    <row r="253" spans="1:50" x14ac:dyDescent="0.2">
      <c r="A253" s="30">
        <v>790</v>
      </c>
      <c r="B253" s="47" t="s">
        <v>576</v>
      </c>
      <c r="C253" s="295">
        <v>0.96840274538578297</v>
      </c>
      <c r="D253" s="295">
        <v>1.0448956118215271</v>
      </c>
      <c r="E253" s="295">
        <v>0.97853245420756696</v>
      </c>
      <c r="F253" s="295">
        <v>0.98278649404411111</v>
      </c>
      <c r="G253" s="295">
        <v>0.97860759154913501</v>
      </c>
      <c r="H253" s="295">
        <v>0.97594412628509131</v>
      </c>
      <c r="I253" s="295">
        <v>0.97928916806923871</v>
      </c>
      <c r="J253" s="295">
        <v>0.98078487570912387</v>
      </c>
      <c r="L253" s="41">
        <v>-52578.733619999999</v>
      </c>
      <c r="M253" s="41">
        <f t="shared" si="86"/>
        <v>-50917.389986515765</v>
      </c>
      <c r="N253" s="41">
        <f t="shared" si="87"/>
        <v>-53203.357362315692</v>
      </c>
      <c r="O253" s="41">
        <f t="shared" si="88"/>
        <v>-52061.211851829001</v>
      </c>
      <c r="P253" s="41">
        <f t="shared" si="89"/>
        <v>-51165.055871546749</v>
      </c>
      <c r="Q253" s="41">
        <f t="shared" si="90"/>
        <v>-50070.512097931292</v>
      </c>
      <c r="R253" s="41">
        <f t="shared" si="91"/>
        <v>-48866.022182062647</v>
      </c>
      <c r="S253" s="41">
        <f t="shared" si="92"/>
        <v>-47853.966209525097</v>
      </c>
      <c r="T253" s="41">
        <f t="shared" si="93"/>
        <v>-46934.446300997683</v>
      </c>
      <c r="V253" s="41">
        <f t="shared" si="109"/>
        <v>-52578.733619999999</v>
      </c>
      <c r="W253" s="41">
        <f t="shared" si="110"/>
        <v>-51986.655176232591</v>
      </c>
      <c r="X253" s="41">
        <f t="shared" si="94"/>
        <v>-55012.271512634426</v>
      </c>
      <c r="Y253" s="41">
        <f t="shared" si="95"/>
        <v>-53779.231842939356</v>
      </c>
      <c r="Z253" s="41">
        <f t="shared" si="96"/>
        <v>-52802.337659436249</v>
      </c>
      <c r="AA253" s="41">
        <f t="shared" si="97"/>
        <v>-51422.415924575434</v>
      </c>
      <c r="AB253" s="41">
        <f t="shared" si="98"/>
        <v>-48866.022182062647</v>
      </c>
      <c r="AC253" s="41">
        <f t="shared" si="99"/>
        <v>-47853.966209525097</v>
      </c>
      <c r="AD253" s="41">
        <f t="shared" si="100"/>
        <v>-46934.446300997683</v>
      </c>
      <c r="AF253" s="303">
        <f t="shared" si="101"/>
        <v>3.5957348869360313E-3</v>
      </c>
      <c r="AG253" s="303">
        <f t="shared" si="102"/>
        <v>3.54795787141401E-3</v>
      </c>
      <c r="AH253" s="303">
        <f t="shared" si="103"/>
        <v>3.4892274813331093E-3</v>
      </c>
      <c r="AI253" s="303">
        <f t="shared" si="104"/>
        <v>3.4417749029511486E-3</v>
      </c>
      <c r="AJ253" s="303">
        <f t="shared" si="105"/>
        <v>3.393174158786949E-3</v>
      </c>
      <c r="AK253" s="303">
        <f t="shared" si="106"/>
        <v>3.3365635462063591E-3</v>
      </c>
      <c r="AL253" s="303">
        <f t="shared" si="107"/>
        <v>3.2903117353487079E-3</v>
      </c>
      <c r="AM253" s="303">
        <f t="shared" si="108"/>
        <v>3.2491822297019031E-3</v>
      </c>
      <c r="AV253" s="41">
        <v>-54235.4</v>
      </c>
      <c r="AW253" s="303">
        <f t="shared" si="111"/>
        <v>3.6301629608743906E-3</v>
      </c>
      <c r="AX253" s="41">
        <f t="shared" si="112"/>
        <v>-53221.2281708398</v>
      </c>
    </row>
    <row r="254" spans="1:50" x14ac:dyDescent="0.2">
      <c r="A254" s="30">
        <v>791</v>
      </c>
      <c r="B254" s="47" t="s">
        <v>577</v>
      </c>
      <c r="C254" s="295">
        <v>0.9844715342126682</v>
      </c>
      <c r="D254" s="295">
        <v>1.0337882008359494</v>
      </c>
      <c r="E254" s="295">
        <v>0.99174418265551378</v>
      </c>
      <c r="F254" s="295">
        <v>0.98918903449528739</v>
      </c>
      <c r="G254" s="295">
        <v>0.99290281368273081</v>
      </c>
      <c r="H254" s="295">
        <v>0.99240589736071461</v>
      </c>
      <c r="I254" s="295">
        <v>0.99555894262218037</v>
      </c>
      <c r="J254" s="295">
        <v>0.98358696708200499</v>
      </c>
      <c r="L254" s="41">
        <v>-15444.584710000001</v>
      </c>
      <c r="M254" s="41">
        <f t="shared" si="86"/>
        <v>-15204.754004731218</v>
      </c>
      <c r="N254" s="41">
        <f t="shared" si="87"/>
        <v>-15718.495286704281</v>
      </c>
      <c r="O254" s="41">
        <f t="shared" si="88"/>
        <v>-15588.726260687083</v>
      </c>
      <c r="P254" s="41">
        <f t="shared" si="89"/>
        <v>-15420.197078820387</v>
      </c>
      <c r="Q254" s="41">
        <f t="shared" si="90"/>
        <v>-15310.757067102988</v>
      </c>
      <c r="R254" s="41">
        <f t="shared" si="91"/>
        <v>-15194.485606450244</v>
      </c>
      <c r="S254" s="41">
        <f t="shared" si="92"/>
        <v>-15127.006024045544</v>
      </c>
      <c r="T254" s="41">
        <f t="shared" si="93"/>
        <v>-14878.725976222177</v>
      </c>
      <c r="V254" s="41">
        <f t="shared" si="109"/>
        <v>-15444.584710000001</v>
      </c>
      <c r="W254" s="41">
        <f t="shared" si="110"/>
        <v>-15524.053838830572</v>
      </c>
      <c r="X254" s="41">
        <f t="shared" si="94"/>
        <v>-16252.924126452228</v>
      </c>
      <c r="Y254" s="41">
        <f t="shared" si="95"/>
        <v>-16103.154227289755</v>
      </c>
      <c r="Z254" s="41">
        <f t="shared" si="96"/>
        <v>-15913.643385342641</v>
      </c>
      <c r="AA254" s="41">
        <f t="shared" si="97"/>
        <v>-15724.147507914768</v>
      </c>
      <c r="AB254" s="41">
        <f t="shared" si="98"/>
        <v>-15194.485606450244</v>
      </c>
      <c r="AC254" s="41">
        <f t="shared" si="99"/>
        <v>-15127.006024045544</v>
      </c>
      <c r="AD254" s="41">
        <f t="shared" si="100"/>
        <v>-14878.725976222177</v>
      </c>
      <c r="AF254" s="303">
        <f t="shared" si="101"/>
        <v>1.0737444404862661E-3</v>
      </c>
      <c r="AG254" s="303">
        <f t="shared" si="102"/>
        <v>1.0482150346163629E-3</v>
      </c>
      <c r="AH254" s="303">
        <f t="shared" si="103"/>
        <v>1.0447819044738119E-3</v>
      </c>
      <c r="AI254" s="303">
        <f t="shared" si="104"/>
        <v>1.0372869998947624E-3</v>
      </c>
      <c r="AJ254" s="303">
        <f t="shared" si="105"/>
        <v>1.0375780685036166E-3</v>
      </c>
      <c r="AK254" s="303">
        <f t="shared" si="106"/>
        <v>1.0374768502529903E-3</v>
      </c>
      <c r="AL254" s="303">
        <f t="shared" si="107"/>
        <v>1.0400927944756368E-3</v>
      </c>
      <c r="AM254" s="303">
        <f t="shared" si="108"/>
        <v>1.0300258307621188E-3</v>
      </c>
      <c r="AV254" s="41">
        <v>-15628.376</v>
      </c>
      <c r="AW254" s="303">
        <f t="shared" si="111"/>
        <v>1.0460612753629228E-3</v>
      </c>
      <c r="AX254" s="41">
        <f t="shared" si="112"/>
        <v>-15336.134057012148</v>
      </c>
    </row>
    <row r="255" spans="1:50" x14ac:dyDescent="0.2">
      <c r="A255" s="30">
        <v>831</v>
      </c>
      <c r="B255" s="47" t="s">
        <v>578</v>
      </c>
      <c r="C255" s="295">
        <v>0.99820363917324972</v>
      </c>
      <c r="D255" s="295">
        <v>1.0473072320857586</v>
      </c>
      <c r="E255" s="295">
        <v>1.0070930724617633</v>
      </c>
      <c r="F255" s="295">
        <v>0.9950632334948929</v>
      </c>
      <c r="G255" s="295">
        <v>0.99843662625996099</v>
      </c>
      <c r="H255" s="295">
        <v>0.98611121268898849</v>
      </c>
      <c r="I255" s="295">
        <v>0.99340510810289795</v>
      </c>
      <c r="J255" s="295">
        <v>1.0036996488761256</v>
      </c>
      <c r="L255" s="41">
        <v>-11808.442509999999</v>
      </c>
      <c r="M255" s="41">
        <f t="shared" si="86"/>
        <v>-11787.230286450102</v>
      </c>
      <c r="N255" s="41">
        <f t="shared" si="87"/>
        <v>-12344.851525259479</v>
      </c>
      <c r="O255" s="41">
        <f t="shared" si="88"/>
        <v>-12432.414451657853</v>
      </c>
      <c r="P255" s="41">
        <f t="shared" si="89"/>
        <v>-12371.038524415299</v>
      </c>
      <c r="Q255" s="41">
        <f t="shared" si="90"/>
        <v>-12351.697967649217</v>
      </c>
      <c r="R255" s="41">
        <f t="shared" si="91"/>
        <v>-12180.147861646685</v>
      </c>
      <c r="S255" s="41">
        <f t="shared" si="92"/>
        <v>-12099.821103208405</v>
      </c>
      <c r="T255" s="41">
        <f t="shared" si="93"/>
        <v>-12144.586192754212</v>
      </c>
      <c r="V255" s="41">
        <f t="shared" si="109"/>
        <v>-11808.442509999999</v>
      </c>
      <c r="W255" s="41">
        <f t="shared" si="110"/>
        <v>-12034.762122465552</v>
      </c>
      <c r="X255" s="41">
        <f t="shared" si="94"/>
        <v>-12764.576477118302</v>
      </c>
      <c r="Y255" s="41">
        <f t="shared" si="95"/>
        <v>-12842.684128562561</v>
      </c>
      <c r="Z255" s="41">
        <f t="shared" si="96"/>
        <v>-12766.911757196589</v>
      </c>
      <c r="AA255" s="41">
        <f t="shared" si="97"/>
        <v>-12685.193812775746</v>
      </c>
      <c r="AB255" s="41">
        <f t="shared" si="98"/>
        <v>-12180.147861646685</v>
      </c>
      <c r="AC255" s="41">
        <f t="shared" si="99"/>
        <v>-12099.821103208405</v>
      </c>
      <c r="AD255" s="41">
        <f t="shared" si="100"/>
        <v>-12144.586192754212</v>
      </c>
      <c r="AF255" s="303">
        <f t="shared" si="101"/>
        <v>8.3240235158483047E-4</v>
      </c>
      <c r="AG255" s="303">
        <f t="shared" si="102"/>
        <v>8.232377675380457E-4</v>
      </c>
      <c r="AH255" s="303">
        <f t="shared" si="103"/>
        <v>8.3324072992210774E-4</v>
      </c>
      <c r="AI255" s="303">
        <f t="shared" si="104"/>
        <v>8.3217596837322123E-4</v>
      </c>
      <c r="AJ255" s="303">
        <f t="shared" si="105"/>
        <v>8.3704880587191386E-4</v>
      </c>
      <c r="AK255" s="303">
        <f t="shared" si="106"/>
        <v>8.316583901828501E-4</v>
      </c>
      <c r="AL255" s="303">
        <f t="shared" si="107"/>
        <v>8.3195159199953928E-4</v>
      </c>
      <c r="AM255" s="303">
        <f t="shared" si="108"/>
        <v>8.4074654660922833E-4</v>
      </c>
      <c r="AV255" s="41">
        <v>-12322.44859</v>
      </c>
      <c r="AW255" s="303">
        <f t="shared" si="111"/>
        <v>8.2478411625427038E-4</v>
      </c>
      <c r="AX255" s="41">
        <f t="shared" si="112"/>
        <v>-12092.025651729924</v>
      </c>
    </row>
    <row r="256" spans="1:50" x14ac:dyDescent="0.2">
      <c r="A256" s="30">
        <v>832</v>
      </c>
      <c r="B256" s="47" t="s">
        <v>579</v>
      </c>
      <c r="C256" s="295">
        <v>0.98193474955536819</v>
      </c>
      <c r="D256" s="295">
        <v>1.0615979112850416</v>
      </c>
      <c r="E256" s="295">
        <v>0.99596478740343464</v>
      </c>
      <c r="F256" s="295">
        <v>0.99371225534860752</v>
      </c>
      <c r="G256" s="295">
        <v>0.98265239105189139</v>
      </c>
      <c r="H256" s="295">
        <v>1.0000179265765694</v>
      </c>
      <c r="I256" s="295">
        <v>0.99533426616414322</v>
      </c>
      <c r="J256" s="295">
        <v>0.98364230234403882</v>
      </c>
      <c r="L256" s="41">
        <v>-12960.5391</v>
      </c>
      <c r="M256" s="41">
        <f t="shared" si="86"/>
        <v>-12726.403715261056</v>
      </c>
      <c r="N256" s="41">
        <f t="shared" si="87"/>
        <v>-13510.32360229133</v>
      </c>
      <c r="O256" s="41">
        <f t="shared" si="88"/>
        <v>-13455.80657430769</v>
      </c>
      <c r="P256" s="41">
        <f t="shared" si="89"/>
        <v>-13371.199898489915</v>
      </c>
      <c r="Q256" s="41">
        <f t="shared" si="90"/>
        <v>-13139.241551483921</v>
      </c>
      <c r="R256" s="41">
        <f t="shared" si="91"/>
        <v>-13139.477093103658</v>
      </c>
      <c r="S256" s="41">
        <f t="shared" si="92"/>
        <v>-13078.1717902449</v>
      </c>
      <c r="T256" s="41">
        <f t="shared" si="93"/>
        <v>-12864.243010207354</v>
      </c>
      <c r="V256" s="41">
        <f t="shared" si="109"/>
        <v>-12960.5391</v>
      </c>
      <c r="W256" s="41">
        <f t="shared" si="110"/>
        <v>-12993.658193281537</v>
      </c>
      <c r="X256" s="41">
        <f t="shared" si="94"/>
        <v>-13969.674604769236</v>
      </c>
      <c r="Y256" s="41">
        <f t="shared" si="95"/>
        <v>-13899.848191259842</v>
      </c>
      <c r="Z256" s="41">
        <f t="shared" si="96"/>
        <v>-13799.078295241592</v>
      </c>
      <c r="AA256" s="41">
        <f t="shared" si="97"/>
        <v>-13494.001073373985</v>
      </c>
      <c r="AB256" s="41">
        <f t="shared" si="98"/>
        <v>-13139.477093103658</v>
      </c>
      <c r="AC256" s="41">
        <f t="shared" si="99"/>
        <v>-13078.1717902449</v>
      </c>
      <c r="AD256" s="41">
        <f t="shared" si="100"/>
        <v>-12864.243010207354</v>
      </c>
      <c r="AF256" s="303">
        <f t="shared" si="101"/>
        <v>8.987258348535762E-4</v>
      </c>
      <c r="AG256" s="303">
        <f t="shared" si="102"/>
        <v>9.009592880326766E-4</v>
      </c>
      <c r="AH256" s="303">
        <f t="shared" si="103"/>
        <v>9.0183014210660681E-4</v>
      </c>
      <c r="AI256" s="303">
        <f t="shared" si="104"/>
        <v>8.994549004012316E-4</v>
      </c>
      <c r="AJ256" s="303">
        <f t="shared" si="105"/>
        <v>8.9041899174817894E-4</v>
      </c>
      <c r="AK256" s="303">
        <f t="shared" si="106"/>
        <v>8.9716122424951267E-4</v>
      </c>
      <c r="AL256" s="303">
        <f t="shared" si="107"/>
        <v>8.9922038917192304E-4</v>
      </c>
      <c r="AM256" s="303">
        <f t="shared" si="108"/>
        <v>8.9056701594547518E-4</v>
      </c>
      <c r="AV256" s="41">
        <v>-13922.212449999999</v>
      </c>
      <c r="AW256" s="303">
        <f t="shared" si="111"/>
        <v>9.3186184612659444E-4</v>
      </c>
      <c r="AX256" s="41">
        <f t="shared" si="112"/>
        <v>-13661.874816897387</v>
      </c>
    </row>
    <row r="257" spans="1:50" x14ac:dyDescent="0.2">
      <c r="A257" s="30">
        <v>833</v>
      </c>
      <c r="B257" s="47" t="s">
        <v>580</v>
      </c>
      <c r="C257" s="295">
        <v>1.0004633608462628</v>
      </c>
      <c r="D257" s="295">
        <v>1.040429582562663</v>
      </c>
      <c r="E257" s="295">
        <v>1.0009939375799579</v>
      </c>
      <c r="F257" s="295">
        <v>1.0018595953619589</v>
      </c>
      <c r="G257" s="295">
        <v>1.0002959210672453</v>
      </c>
      <c r="H257" s="295">
        <v>1.0001479167619367</v>
      </c>
      <c r="I257" s="295">
        <v>1.000295789771608</v>
      </c>
      <c r="J257" s="295">
        <v>1</v>
      </c>
      <c r="L257" s="41">
        <v>-4842.1494199999997</v>
      </c>
      <c r="M257" s="41">
        <f t="shared" si="86"/>
        <v>-4844.3930824529816</v>
      </c>
      <c r="N257" s="41">
        <f t="shared" si="87"/>
        <v>-5040.2498725460082</v>
      </c>
      <c r="O257" s="41">
        <f t="shared" si="88"/>
        <v>-5045.2595663067095</v>
      </c>
      <c r="P257" s="41">
        <f t="shared" si="89"/>
        <v>-5054.6417075960926</v>
      </c>
      <c r="Q257" s="41">
        <f t="shared" si="90"/>
        <v>-5056.1374825647472</v>
      </c>
      <c r="R257" s="41">
        <f t="shared" si="91"/>
        <v>-5056.8853700490754</v>
      </c>
      <c r="S257" s="41">
        <f t="shared" si="92"/>
        <v>-5058.38114501773</v>
      </c>
      <c r="T257" s="41">
        <f t="shared" si="93"/>
        <v>-5058.38114501773</v>
      </c>
      <c r="V257" s="41">
        <f t="shared" si="109"/>
        <v>-4842.1494199999997</v>
      </c>
      <c r="W257" s="41">
        <f t="shared" si="110"/>
        <v>-4946.1253371844941</v>
      </c>
      <c r="X257" s="41">
        <f t="shared" si="94"/>
        <v>-5211.6183682125729</v>
      </c>
      <c r="Y257" s="41">
        <f t="shared" si="95"/>
        <v>-5211.7531319948303</v>
      </c>
      <c r="Z257" s="41">
        <f t="shared" si="96"/>
        <v>-5216.3902422391675</v>
      </c>
      <c r="AA257" s="41">
        <f t="shared" si="97"/>
        <v>-5192.6531945939951</v>
      </c>
      <c r="AB257" s="41">
        <f t="shared" si="98"/>
        <v>-5056.8853700490754</v>
      </c>
      <c r="AC257" s="41">
        <f t="shared" si="99"/>
        <v>-5058.38114501773</v>
      </c>
      <c r="AD257" s="41">
        <f t="shared" si="100"/>
        <v>-5058.38114501773</v>
      </c>
      <c r="AF257" s="303">
        <f t="shared" si="101"/>
        <v>3.4210616878085871E-4</v>
      </c>
      <c r="AG257" s="303">
        <f t="shared" si="102"/>
        <v>3.3611777706832156E-4</v>
      </c>
      <c r="AH257" s="303">
        <f t="shared" si="103"/>
        <v>3.3814153960378226E-4</v>
      </c>
      <c r="AI257" s="303">
        <f t="shared" si="104"/>
        <v>3.400160260997375E-4</v>
      </c>
      <c r="AJ257" s="303">
        <f t="shared" si="105"/>
        <v>3.4264389019144124E-4</v>
      </c>
      <c r="AK257" s="303">
        <f t="shared" si="106"/>
        <v>3.452832587884239E-4</v>
      </c>
      <c r="AL257" s="303">
        <f t="shared" si="107"/>
        <v>3.4780086504105972E-4</v>
      </c>
      <c r="AM257" s="303">
        <f t="shared" si="108"/>
        <v>3.5018208209055618E-4</v>
      </c>
      <c r="AV257" s="41">
        <v>-5176.9719999999998</v>
      </c>
      <c r="AW257" s="303">
        <f t="shared" si="111"/>
        <v>3.4651264679312431E-4</v>
      </c>
      <c r="AX257" s="41">
        <f t="shared" si="112"/>
        <v>-5080.1655016105506</v>
      </c>
    </row>
    <row r="258" spans="1:50" x14ac:dyDescent="0.2">
      <c r="A258" s="30">
        <v>834</v>
      </c>
      <c r="B258" s="47" t="s">
        <v>581</v>
      </c>
      <c r="C258" s="295">
        <v>0.98384908018768513</v>
      </c>
      <c r="D258" s="295">
        <v>1.0136945148178276</v>
      </c>
      <c r="E258" s="295">
        <v>0.96607262381303016</v>
      </c>
      <c r="F258" s="295">
        <v>0.97602194771945228</v>
      </c>
      <c r="G258" s="295">
        <v>0.9786820973800272</v>
      </c>
      <c r="H258" s="295">
        <v>0.99190839632763694</v>
      </c>
      <c r="I258" s="295">
        <v>0.98057764727749808</v>
      </c>
      <c r="J258" s="295">
        <v>0.98533984672739516</v>
      </c>
      <c r="L258" s="41">
        <v>-14744.77448</v>
      </c>
      <c r="M258" s="41">
        <f t="shared" si="86"/>
        <v>-14506.632809722854</v>
      </c>
      <c r="N258" s="41">
        <f t="shared" si="87"/>
        <v>-14705.294107692387</v>
      </c>
      <c r="O258" s="41">
        <f t="shared" si="88"/>
        <v>-14206.382062560677</v>
      </c>
      <c r="P258" s="41">
        <f t="shared" si="89"/>
        <v>-13865.740690747161</v>
      </c>
      <c r="Q258" s="41">
        <f t="shared" si="90"/>
        <v>-13570.152180948018</v>
      </c>
      <c r="R258" s="41">
        <f t="shared" si="91"/>
        <v>-13460.347887726133</v>
      </c>
      <c r="S258" s="41">
        <f t="shared" si="92"/>
        <v>-13198.916263283132</v>
      </c>
      <c r="T258" s="41">
        <f t="shared" si="93"/>
        <v>-13005.418127831124</v>
      </c>
      <c r="V258" s="41">
        <f t="shared" si="109"/>
        <v>-14744.77448</v>
      </c>
      <c r="W258" s="41">
        <f t="shared" si="110"/>
        <v>-14811.272098727033</v>
      </c>
      <c r="X258" s="41">
        <f t="shared" si="94"/>
        <v>-15205.274107353929</v>
      </c>
      <c r="Y258" s="41">
        <f t="shared" si="95"/>
        <v>-14675.192670625178</v>
      </c>
      <c r="Z258" s="41">
        <f t="shared" si="96"/>
        <v>-14309.44439285107</v>
      </c>
      <c r="AA258" s="41">
        <f t="shared" si="97"/>
        <v>-13936.546289833614</v>
      </c>
      <c r="AB258" s="41">
        <f t="shared" si="98"/>
        <v>-13460.347887726133</v>
      </c>
      <c r="AC258" s="41">
        <f t="shared" si="99"/>
        <v>-13198.916263283132</v>
      </c>
      <c r="AD258" s="41">
        <f t="shared" si="100"/>
        <v>-13005.418127831124</v>
      </c>
      <c r="AF258" s="303">
        <f t="shared" si="101"/>
        <v>1.0244438236073211E-3</v>
      </c>
      <c r="AG258" s="303">
        <f t="shared" si="102"/>
        <v>9.8064796222428448E-4</v>
      </c>
      <c r="AH258" s="303">
        <f t="shared" si="103"/>
        <v>9.5213493769763253E-4</v>
      </c>
      <c r="AI258" s="303">
        <f t="shared" si="104"/>
        <v>9.3272170834823734E-4</v>
      </c>
      <c r="AJ258" s="303">
        <f t="shared" si="105"/>
        <v>9.1962090623597993E-4</v>
      </c>
      <c r="AK258" s="303">
        <f t="shared" si="106"/>
        <v>9.190702266313887E-4</v>
      </c>
      <c r="AL258" s="303">
        <f t="shared" si="107"/>
        <v>9.0752245874075872E-4</v>
      </c>
      <c r="AM258" s="303">
        <f t="shared" si="108"/>
        <v>9.0034030016656718E-4</v>
      </c>
      <c r="AV258" s="41">
        <v>-15723.322</v>
      </c>
      <c r="AW258" s="303">
        <f t="shared" si="111"/>
        <v>1.0524163396287561E-3</v>
      </c>
      <c r="AX258" s="41">
        <f t="shared" si="112"/>
        <v>-15429.304619595046</v>
      </c>
    </row>
    <row r="259" spans="1:50" x14ac:dyDescent="0.2">
      <c r="A259" s="30">
        <v>837</v>
      </c>
      <c r="B259" s="47" t="s">
        <v>582</v>
      </c>
      <c r="C259" s="295">
        <v>1.0077860855549368</v>
      </c>
      <c r="D259" s="295">
        <v>1.1008910802074907</v>
      </c>
      <c r="E259" s="295">
        <v>1.0080183997706516</v>
      </c>
      <c r="F259" s="295">
        <v>1.008453972538037</v>
      </c>
      <c r="G259" s="295">
        <v>1.0039412025743828</v>
      </c>
      <c r="H259" s="295">
        <v>1.0010801067463955</v>
      </c>
      <c r="I259" s="295">
        <v>1.0022553141956143</v>
      </c>
      <c r="J259" s="295">
        <v>1.0025699402039197</v>
      </c>
      <c r="L259" s="41">
        <v>-579245.07407000009</v>
      </c>
      <c r="M259" s="41">
        <f t="shared" si="86"/>
        <v>-583755.12577398482</v>
      </c>
      <c r="N259" s="41">
        <f t="shared" si="87"/>
        <v>-642650.81098998175</v>
      </c>
      <c r="O259" s="41">
        <f t="shared" si="88"/>
        <v>-647803.84210543288</v>
      </c>
      <c r="P259" s="41">
        <f t="shared" si="89"/>
        <v>-653280.35799662711</v>
      </c>
      <c r="Q259" s="41">
        <f t="shared" si="90"/>
        <v>-655855.0682253571</v>
      </c>
      <c r="R259" s="41">
        <f t="shared" si="91"/>
        <v>-656563.46170920494</v>
      </c>
      <c r="S259" s="41">
        <f t="shared" si="92"/>
        <v>-658044.21860471938</v>
      </c>
      <c r="T259" s="41">
        <f t="shared" si="93"/>
        <v>-659735.35289806849</v>
      </c>
      <c r="V259" s="41">
        <f t="shared" si="109"/>
        <v>-579245.07407000009</v>
      </c>
      <c r="W259" s="41">
        <f t="shared" si="110"/>
        <v>-596013.98341523844</v>
      </c>
      <c r="X259" s="41">
        <f t="shared" si="94"/>
        <v>-664500.93856364116</v>
      </c>
      <c r="Y259" s="41">
        <f t="shared" si="95"/>
        <v>-669181.36889491207</v>
      </c>
      <c r="Z259" s="41">
        <f t="shared" si="96"/>
        <v>-674185.32945251919</v>
      </c>
      <c r="AA259" s="41">
        <f t="shared" si="97"/>
        <v>-673563.15506744164</v>
      </c>
      <c r="AB259" s="41">
        <f t="shared" si="98"/>
        <v>-656563.46170920494</v>
      </c>
      <c r="AC259" s="41">
        <f t="shared" si="99"/>
        <v>-658044.21860471938</v>
      </c>
      <c r="AD259" s="41">
        <f t="shared" si="100"/>
        <v>-659735.35289806849</v>
      </c>
      <c r="AF259" s="303">
        <f t="shared" si="101"/>
        <v>4.1224200056780701E-2</v>
      </c>
      <c r="AG259" s="303">
        <f t="shared" si="102"/>
        <v>4.2856280439127176E-2</v>
      </c>
      <c r="AH259" s="303">
        <f t="shared" si="103"/>
        <v>4.3416871947210368E-2</v>
      </c>
      <c r="AI259" s="303">
        <f t="shared" si="104"/>
        <v>4.3944913231182617E-2</v>
      </c>
      <c r="AJ259" s="303">
        <f t="shared" si="105"/>
        <v>4.4445929873037561E-2</v>
      </c>
      <c r="AK259" s="303">
        <f t="shared" si="106"/>
        <v>4.4830039653076574E-2</v>
      </c>
      <c r="AL259" s="303">
        <f t="shared" si="107"/>
        <v>4.5245374341040763E-2</v>
      </c>
      <c r="AM259" s="303">
        <f t="shared" si="108"/>
        <v>4.5672220594556188E-2</v>
      </c>
      <c r="AV259" s="41">
        <v>-633061</v>
      </c>
      <c r="AW259" s="303">
        <f t="shared" si="111"/>
        <v>4.2372962938857325E-2</v>
      </c>
      <c r="AX259" s="41">
        <f t="shared" si="112"/>
        <v>-621223.11123472895</v>
      </c>
    </row>
    <row r="260" spans="1:50" x14ac:dyDescent="0.2">
      <c r="A260" s="30">
        <v>844</v>
      </c>
      <c r="B260" s="47" t="s">
        <v>583</v>
      </c>
      <c r="C260" s="295">
        <v>0.99598619870107274</v>
      </c>
      <c r="D260" s="295">
        <v>1.0354481658587191</v>
      </c>
      <c r="E260" s="295">
        <v>1.0086689164250933</v>
      </c>
      <c r="F260" s="295">
        <v>0.98759895426065969</v>
      </c>
      <c r="G260" s="295">
        <v>0.99669406538851057</v>
      </c>
      <c r="H260" s="295">
        <v>0.99668309993377857</v>
      </c>
      <c r="I260" s="295">
        <v>0.99636952163017689</v>
      </c>
      <c r="J260" s="295">
        <v>0.99605265100086549</v>
      </c>
      <c r="L260" s="41">
        <v>-3749.4297499999998</v>
      </c>
      <c r="M260" s="41">
        <f t="shared" si="86"/>
        <v>-3734.3802839992131</v>
      </c>
      <c r="N260" s="41">
        <f t="shared" si="87"/>
        <v>-3866.7572156859478</v>
      </c>
      <c r="O260" s="41">
        <f t="shared" si="88"/>
        <v>-3900.2778108248558</v>
      </c>
      <c r="P260" s="41">
        <f t="shared" si="89"/>
        <v>-3851.9102872966828</v>
      </c>
      <c r="Q260" s="41">
        <f t="shared" si="90"/>
        <v>-3839.1761237575565</v>
      </c>
      <c r="R260" s="41">
        <f t="shared" si="91"/>
        <v>-3826.4419602184294</v>
      </c>
      <c r="S260" s="41">
        <f t="shared" si="92"/>
        <v>-3812.5501454484729</v>
      </c>
      <c r="T260" s="41">
        <f t="shared" si="93"/>
        <v>-3797.5006794476867</v>
      </c>
      <c r="V260" s="41">
        <f t="shared" si="109"/>
        <v>-3749.4297499999998</v>
      </c>
      <c r="W260" s="41">
        <f t="shared" si="110"/>
        <v>-3812.8022699631961</v>
      </c>
      <c r="X260" s="41">
        <f t="shared" si="94"/>
        <v>-3998.2269610192702</v>
      </c>
      <c r="Y260" s="41">
        <f t="shared" si="95"/>
        <v>-4028.9869785820756</v>
      </c>
      <c r="Z260" s="41">
        <f t="shared" si="96"/>
        <v>-3975.1714164901769</v>
      </c>
      <c r="AA260" s="41">
        <f t="shared" si="97"/>
        <v>-3942.8338790990101</v>
      </c>
      <c r="AB260" s="41">
        <f t="shared" si="98"/>
        <v>-3826.4419602184294</v>
      </c>
      <c r="AC260" s="41">
        <f t="shared" si="99"/>
        <v>-3812.5501454484729</v>
      </c>
      <c r="AD260" s="41">
        <f t="shared" si="100"/>
        <v>-3797.5006794476867</v>
      </c>
      <c r="AF260" s="303">
        <f t="shared" si="101"/>
        <v>2.6371818099509996E-4</v>
      </c>
      <c r="AG260" s="303">
        <f t="shared" si="102"/>
        <v>2.578613903407007E-4</v>
      </c>
      <c r="AH260" s="303">
        <f t="shared" si="103"/>
        <v>2.6140299156109098E-4</v>
      </c>
      <c r="AI260" s="303">
        <f t="shared" si="104"/>
        <v>2.5911059666426769E-4</v>
      </c>
      <c r="AJ260" s="303">
        <f t="shared" si="105"/>
        <v>2.6017295746220672E-4</v>
      </c>
      <c r="AK260" s="303">
        <f t="shared" si="106"/>
        <v>2.6126879549499501E-4</v>
      </c>
      <c r="AL260" s="303">
        <f t="shared" si="107"/>
        <v>2.6214083134195085E-4</v>
      </c>
      <c r="AM260" s="303">
        <f t="shared" si="108"/>
        <v>2.6289373152102235E-4</v>
      </c>
      <c r="AV260" s="41">
        <v>-3637.8249999999998</v>
      </c>
      <c r="AW260" s="303">
        <f t="shared" si="111"/>
        <v>2.4349221307748959E-4</v>
      </c>
      <c r="AX260" s="41">
        <f t="shared" si="112"/>
        <v>-3569.7996948595437</v>
      </c>
    </row>
    <row r="261" spans="1:50" x14ac:dyDescent="0.2">
      <c r="A261" s="30">
        <v>845</v>
      </c>
      <c r="B261" s="47" t="s">
        <v>584</v>
      </c>
      <c r="C261" s="295">
        <v>0.99283902917495237</v>
      </c>
      <c r="D261" s="295">
        <v>1.0494541092102052</v>
      </c>
      <c r="E261" s="295">
        <v>0.99528205699970718</v>
      </c>
      <c r="F261" s="295">
        <v>0.99000116023586204</v>
      </c>
      <c r="G261" s="295">
        <v>1.000860254822812</v>
      </c>
      <c r="H261" s="295">
        <v>0.99510682924853255</v>
      </c>
      <c r="I261" s="295">
        <v>0.99055035408008429</v>
      </c>
      <c r="J261" s="295">
        <v>0.99563757307827527</v>
      </c>
      <c r="L261" s="41">
        <v>-9441.9558699999998</v>
      </c>
      <c r="M261" s="41">
        <f t="shared" si="86"/>
        <v>-9374.3422994835419</v>
      </c>
      <c r="N261" s="41">
        <f t="shared" si="87"/>
        <v>-9837.9420473360478</v>
      </c>
      <c r="O261" s="41">
        <f t="shared" si="88"/>
        <v>-9791.5271975165324</v>
      </c>
      <c r="P261" s="41">
        <f t="shared" si="89"/>
        <v>-9693.6232860223663</v>
      </c>
      <c r="Q261" s="41">
        <f t="shared" si="90"/>
        <v>-9701.9622722046897</v>
      </c>
      <c r="R261" s="41">
        <f t="shared" si="91"/>
        <v>-9654.488914182497</v>
      </c>
      <c r="S261" s="41">
        <f t="shared" si="92"/>
        <v>-9563.257412405721</v>
      </c>
      <c r="T261" s="41">
        <f t="shared" si="93"/>
        <v>-9521.5384008104593</v>
      </c>
      <c r="V261" s="41">
        <f t="shared" si="109"/>
        <v>-9441.9558699999998</v>
      </c>
      <c r="W261" s="41">
        <f t="shared" si="110"/>
        <v>-9571.2034877726946</v>
      </c>
      <c r="X261" s="41">
        <f t="shared" si="94"/>
        <v>-10172.432076945473</v>
      </c>
      <c r="Y261" s="41">
        <f t="shared" si="95"/>
        <v>-10114.647595034578</v>
      </c>
      <c r="Z261" s="41">
        <f t="shared" si="96"/>
        <v>-10003.819231175083</v>
      </c>
      <c r="AA261" s="41">
        <f t="shared" si="97"/>
        <v>-9963.9152535542162</v>
      </c>
      <c r="AB261" s="41">
        <f t="shared" si="98"/>
        <v>-9654.488914182497</v>
      </c>
      <c r="AC261" s="41">
        <f t="shared" si="99"/>
        <v>-9563.257412405721</v>
      </c>
      <c r="AD261" s="41">
        <f t="shared" si="100"/>
        <v>-9521.5384008104593</v>
      </c>
      <c r="AF261" s="303">
        <f t="shared" si="101"/>
        <v>6.6200662793713038E-4</v>
      </c>
      <c r="AG261" s="303">
        <f t="shared" si="102"/>
        <v>6.56060174692734E-4</v>
      </c>
      <c r="AH261" s="303">
        <f t="shared" si="103"/>
        <v>6.5624415119324537E-4</v>
      </c>
      <c r="AI261" s="303">
        <f t="shared" si="104"/>
        <v>6.5207139474752671E-4</v>
      </c>
      <c r="AJ261" s="303">
        <f t="shared" si="105"/>
        <v>6.574817450874644E-4</v>
      </c>
      <c r="AK261" s="303">
        <f t="shared" si="106"/>
        <v>6.5920683390798202E-4</v>
      </c>
      <c r="AL261" s="303">
        <f t="shared" si="107"/>
        <v>6.5754420342980656E-4</v>
      </c>
      <c r="AM261" s="303">
        <f t="shared" si="108"/>
        <v>6.5915794921564863E-4</v>
      </c>
      <c r="AV261" s="41">
        <v>-10430.77</v>
      </c>
      <c r="AW261" s="303">
        <f t="shared" si="111"/>
        <v>6.9816752356209719E-4</v>
      </c>
      <c r="AX261" s="41">
        <f t="shared" si="112"/>
        <v>-10235.720399730631</v>
      </c>
    </row>
    <row r="262" spans="1:50" x14ac:dyDescent="0.2">
      <c r="A262" s="30">
        <v>846</v>
      </c>
      <c r="B262" s="47" t="s">
        <v>585</v>
      </c>
      <c r="C262" s="295">
        <v>0.99180068389355158</v>
      </c>
      <c r="D262" s="295">
        <v>1.0410378904112625</v>
      </c>
      <c r="E262" s="295">
        <v>0.98881807340191896</v>
      </c>
      <c r="F262" s="295">
        <v>1.0011712215414754</v>
      </c>
      <c r="G262" s="295">
        <v>0.99237899387633077</v>
      </c>
      <c r="H262" s="295">
        <v>0.98284539280822547</v>
      </c>
      <c r="I262" s="295">
        <v>1.0010942860394048</v>
      </c>
      <c r="J262" s="295">
        <v>0.98274089097762185</v>
      </c>
      <c r="L262" s="41">
        <v>-12342.470890000001</v>
      </c>
      <c r="M262" s="41">
        <f t="shared" ref="M262:M298" si="113">L262*C262</f>
        <v>-12241.271069638253</v>
      </c>
      <c r="N262" s="41">
        <f t="shared" ref="N262:N298" si="114">M262*D262</f>
        <v>-12743.627010288625</v>
      </c>
      <c r="O262" s="41">
        <f t="shared" ref="O262:O298" si="115">N262*E262</f>
        <v>-12601.128708466254</v>
      </c>
      <c r="P262" s="41">
        <f t="shared" ref="P262:P298" si="116">O262*F262</f>
        <v>-12615.887421856514</v>
      </c>
      <c r="Q262" s="41">
        <f t="shared" ref="Q262:Q298" si="117">P262*G262</f>
        <v>-12519.741666559024</v>
      </c>
      <c r="R262" s="41">
        <f t="shared" ref="R262:R298" si="118">Q262*H262</f>
        <v>-12304.970416126711</v>
      </c>
      <c r="S262" s="41">
        <f t="shared" ref="S262:S298" si="119">R262*I262</f>
        <v>-12318.435573468367</v>
      </c>
      <c r="T262" s="41">
        <f t="shared" ref="T262:T298" si="120">S262*J262</f>
        <v>-12105.830350920734</v>
      </c>
      <c r="V262" s="41">
        <f t="shared" si="109"/>
        <v>-12342.470890000001</v>
      </c>
      <c r="W262" s="41">
        <f t="shared" si="110"/>
        <v>-12498.337762100655</v>
      </c>
      <c r="X262" s="41">
        <f t="shared" ref="X262:X298" si="121">N262*(1+X$2)</f>
        <v>-13176.910328638438</v>
      </c>
      <c r="Y262" s="41">
        <f t="shared" ref="Y262:Y298" si="122">O262*(1+Y$2)</f>
        <v>-13016.965955845641</v>
      </c>
      <c r="Z262" s="41">
        <f t="shared" ref="Z262:Z298" si="123">P262*(1+Z$2)</f>
        <v>-13019.595819355924</v>
      </c>
      <c r="AA262" s="41">
        <f t="shared" ref="AA262:AA298" si="124">Q262*(1+AA$2)</f>
        <v>-12857.774691556117</v>
      </c>
      <c r="AB262" s="41">
        <f t="shared" ref="AB262:AB298" si="125">R262*(1+AB$2)</f>
        <v>-12304.970416126711</v>
      </c>
      <c r="AC262" s="41">
        <f t="shared" ref="AC262:AC298" si="126">S262*(1+AC$2)</f>
        <v>-12318.435573468367</v>
      </c>
      <c r="AD262" s="41">
        <f t="shared" ref="AD262:AD298" si="127">T262*(1+AD$2)</f>
        <v>-12105.830350920734</v>
      </c>
      <c r="AF262" s="303">
        <f t="shared" ref="AF262:AF298" si="128">W262/W$4</f>
        <v>8.6446625518699376E-4</v>
      </c>
      <c r="AG262" s="303">
        <f t="shared" ref="AG262:AG298" si="129">X262/X$4</f>
        <v>8.4983080021831478E-4</v>
      </c>
      <c r="AH262" s="303">
        <f t="shared" ref="AH262:AH298" si="130">Y262/Y$4</f>
        <v>8.4454823507630985E-4</v>
      </c>
      <c r="AI262" s="303">
        <f t="shared" ref="AI262:AI298" si="131">Z262/Z$4</f>
        <v>8.4864648278727998E-4</v>
      </c>
      <c r="AJ262" s="303">
        <f t="shared" ref="AJ262:AJ298" si="132">AA262/AA$4</f>
        <v>8.4843677681122618E-4</v>
      </c>
      <c r="AK262" s="303">
        <f t="shared" ref="AK262:AK298" si="133">AB262/AB$4</f>
        <v>8.4018125262233241E-4</v>
      </c>
      <c r="AL262" s="303">
        <f t="shared" ref="AL262:AL298" si="134">AC262/AC$4</f>
        <v>8.4698294287783324E-4</v>
      </c>
      <c r="AM262" s="303">
        <f t="shared" ref="AM262:AM298" si="135">AD262/AD$4</f>
        <v>8.3806355357304982E-4</v>
      </c>
      <c r="AV262" s="41">
        <v>-12417.101000000001</v>
      </c>
      <c r="AW262" s="303">
        <f t="shared" si="111"/>
        <v>8.3111952952566698E-4</v>
      </c>
      <c r="AX262" s="41">
        <f t="shared" si="112"/>
        <v>-12184.908114282611</v>
      </c>
    </row>
    <row r="263" spans="1:50" x14ac:dyDescent="0.2">
      <c r="A263" s="30">
        <v>848</v>
      </c>
      <c r="B263" s="47" t="s">
        <v>586</v>
      </c>
      <c r="C263" s="295">
        <v>0.98931848201324746</v>
      </c>
      <c r="D263" s="295">
        <v>1.1174197120764788</v>
      </c>
      <c r="E263" s="295">
        <v>0.99298718130501396</v>
      </c>
      <c r="F263" s="295">
        <v>0.99487262859212988</v>
      </c>
      <c r="G263" s="295">
        <v>0.99477353305021599</v>
      </c>
      <c r="H263" s="295">
        <v>0.9916834807881868</v>
      </c>
      <c r="I263" s="295">
        <v>0.99041729935033218</v>
      </c>
      <c r="J263" s="295">
        <v>0.99949127305071239</v>
      </c>
      <c r="L263" s="41">
        <v>-12477.718429999999</v>
      </c>
      <c r="M263" s="41">
        <f t="shared" si="113"/>
        <v>-12344.43745615632</v>
      </c>
      <c r="N263" s="41">
        <f t="shared" si="114"/>
        <v>-13793.917748004296</v>
      </c>
      <c r="O263" s="41">
        <f t="shared" si="115"/>
        <v>-13697.183503743992</v>
      </c>
      <c r="P263" s="41">
        <f t="shared" si="116"/>
        <v>-13626.952956678546</v>
      </c>
      <c r="Q263" s="41">
        <f t="shared" si="117"/>
        <v>-13555.732137424204</v>
      </c>
      <c r="R263" s="41">
        <f t="shared" si="118"/>
        <v>-13442.995630673122</v>
      </c>
      <c r="S263" s="41">
        <f t="shared" si="119"/>
        <v>-13314.17542770959</v>
      </c>
      <c r="T263" s="41">
        <f t="shared" si="120"/>
        <v>-13307.402147861971</v>
      </c>
      <c r="V263" s="41">
        <f t="shared" ref="V263:V298" si="136">L263</f>
        <v>-12477.718429999999</v>
      </c>
      <c r="W263" s="41">
        <f t="shared" ref="W263:W298" si="137">M263*(1+W$2)</f>
        <v>-12603.670642735602</v>
      </c>
      <c r="X263" s="41">
        <f t="shared" si="121"/>
        <v>-14262.910951436443</v>
      </c>
      <c r="Y263" s="41">
        <f t="shared" si="122"/>
        <v>-14149.190559367544</v>
      </c>
      <c r="Z263" s="41">
        <f t="shared" si="123"/>
        <v>-14063.01545129226</v>
      </c>
      <c r="AA263" s="41">
        <f t="shared" si="124"/>
        <v>-13921.736905134656</v>
      </c>
      <c r="AB263" s="41">
        <f t="shared" si="125"/>
        <v>-13442.995630673122</v>
      </c>
      <c r="AC263" s="41">
        <f t="shared" si="126"/>
        <v>-13314.17542770959</v>
      </c>
      <c r="AD263" s="41">
        <f t="shared" si="127"/>
        <v>-13307.402147861971</v>
      </c>
      <c r="AF263" s="303">
        <f t="shared" si="128"/>
        <v>8.7175176167623807E-4</v>
      </c>
      <c r="AG263" s="303">
        <f t="shared" si="129"/>
        <v>9.1987125395838205E-4</v>
      </c>
      <c r="AH263" s="303">
        <f t="shared" si="130"/>
        <v>9.1800761830416425E-4</v>
      </c>
      <c r="AI263" s="303">
        <f t="shared" si="131"/>
        <v>9.1665891673684441E-4</v>
      </c>
      <c r="AJ263" s="303">
        <f t="shared" si="132"/>
        <v>9.186436899662943E-4</v>
      </c>
      <c r="AK263" s="303">
        <f t="shared" si="133"/>
        <v>9.1788541751981886E-4</v>
      </c>
      <c r="AL263" s="303">
        <f t="shared" si="134"/>
        <v>9.1544737304479764E-4</v>
      </c>
      <c r="AM263" s="303">
        <f t="shared" si="135"/>
        <v>9.2124607809447915E-4</v>
      </c>
      <c r="AV263" s="41">
        <v>-12401.29</v>
      </c>
      <c r="AW263" s="303">
        <f t="shared" ref="AW263:AW298" si="138">AV263/AV$4</f>
        <v>8.3006124459415753E-4</v>
      </c>
      <c r="AX263" s="41">
        <f t="shared" ref="AX263:AX298" si="139">$AW$2*AW263</f>
        <v>-12169.392771192874</v>
      </c>
    </row>
    <row r="264" spans="1:50" x14ac:dyDescent="0.2">
      <c r="A264" s="30">
        <v>849</v>
      </c>
      <c r="B264" s="47" t="s">
        <v>587</v>
      </c>
      <c r="C264" s="295">
        <v>0.97837139436112353</v>
      </c>
      <c r="D264" s="295">
        <v>1.0098496503822516</v>
      </c>
      <c r="E264" s="295">
        <v>1.0066605154209509</v>
      </c>
      <c r="F264" s="295">
        <v>0.99057051120636985</v>
      </c>
      <c r="G264" s="295">
        <v>0.98104090836664137</v>
      </c>
      <c r="H264" s="295">
        <v>0.99653538411900089</v>
      </c>
      <c r="I264" s="295">
        <v>0.97029015704964983</v>
      </c>
      <c r="J264" s="295">
        <v>0.99483586888905129</v>
      </c>
      <c r="L264" s="41">
        <v>-9376.97048</v>
      </c>
      <c r="M264" s="41">
        <f t="shared" si="113"/>
        <v>-9174.1596834006941</v>
      </c>
      <c r="N264" s="41">
        <f t="shared" si="114"/>
        <v>-9264.5219488331386</v>
      </c>
      <c r="O264" s="41">
        <f t="shared" si="115"/>
        <v>-9326.2284401410798</v>
      </c>
      <c r="P264" s="41">
        <f t="shared" si="116"/>
        <v>-9238.2868735779339</v>
      </c>
      <c r="Q264" s="41">
        <f t="shared" si="117"/>
        <v>-9063.1373462065148</v>
      </c>
      <c r="R264" s="41">
        <f t="shared" si="118"/>
        <v>-9031.737056625172</v>
      </c>
      <c r="S264" s="41">
        <f t="shared" si="119"/>
        <v>-8763.4055671039805</v>
      </c>
      <c r="T264" s="41">
        <f t="shared" si="120"/>
        <v>-8718.1501917770383</v>
      </c>
      <c r="V264" s="41">
        <f t="shared" si="136"/>
        <v>-9376.97048</v>
      </c>
      <c r="W264" s="41">
        <f t="shared" si="137"/>
        <v>-9366.817036752107</v>
      </c>
      <c r="X264" s="41">
        <f t="shared" si="121"/>
        <v>-9579.5156950934652</v>
      </c>
      <c r="Y264" s="41">
        <f t="shared" si="122"/>
        <v>-9633.9939786657342</v>
      </c>
      <c r="Z264" s="41">
        <f t="shared" si="123"/>
        <v>-9533.9120535324273</v>
      </c>
      <c r="AA264" s="41">
        <f t="shared" si="124"/>
        <v>-9307.8420545540903</v>
      </c>
      <c r="AB264" s="41">
        <f t="shared" si="125"/>
        <v>-9031.737056625172</v>
      </c>
      <c r="AC264" s="41">
        <f t="shared" si="126"/>
        <v>-8763.4055671039805</v>
      </c>
      <c r="AD264" s="41">
        <f t="shared" si="127"/>
        <v>-8718.1501917770383</v>
      </c>
      <c r="AF264" s="303">
        <f t="shared" si="128"/>
        <v>6.4786993285912569E-4</v>
      </c>
      <c r="AG264" s="303">
        <f t="shared" si="129"/>
        <v>6.1782066401193955E-4</v>
      </c>
      <c r="AH264" s="303">
        <f t="shared" si="130"/>
        <v>6.2505906822043057E-4</v>
      </c>
      <c r="AI264" s="303">
        <f t="shared" si="131"/>
        <v>6.2144179002891688E-4</v>
      </c>
      <c r="AJ264" s="303">
        <f t="shared" si="132"/>
        <v>6.1418991242862583E-4</v>
      </c>
      <c r="AK264" s="303">
        <f t="shared" si="133"/>
        <v>6.1668544474075026E-4</v>
      </c>
      <c r="AL264" s="303">
        <f t="shared" si="134"/>
        <v>6.0254851296574644E-4</v>
      </c>
      <c r="AM264" s="303">
        <f t="shared" si="135"/>
        <v>6.0354091528703189E-4</v>
      </c>
      <c r="AV264" s="41">
        <v>-9711.0249999999996</v>
      </c>
      <c r="AW264" s="303">
        <f t="shared" si="138"/>
        <v>6.4999250060154856E-4</v>
      </c>
      <c r="AX264" s="41">
        <f t="shared" si="139"/>
        <v>-9529.4342311060591</v>
      </c>
    </row>
    <row r="265" spans="1:50" x14ac:dyDescent="0.2">
      <c r="A265" s="30">
        <v>850</v>
      </c>
      <c r="B265" s="47" t="s">
        <v>588</v>
      </c>
      <c r="C265" s="295">
        <v>0.99946291162384149</v>
      </c>
      <c r="D265" s="295">
        <v>1.036716467106211</v>
      </c>
      <c r="E265" s="295">
        <v>0.99973912070939619</v>
      </c>
      <c r="F265" s="295">
        <v>0.99424844233374721</v>
      </c>
      <c r="G265" s="295">
        <v>0.99830519073859358</v>
      </c>
      <c r="H265" s="295">
        <v>0.99804113094280344</v>
      </c>
      <c r="I265" s="295">
        <v>0.99803728624355792</v>
      </c>
      <c r="J265" s="295">
        <v>0.99040163997956809</v>
      </c>
      <c r="L265" s="41">
        <v>-7347.0152300000009</v>
      </c>
      <c r="M265" s="41">
        <f t="shared" si="113"/>
        <v>-7343.0692335205085</v>
      </c>
      <c r="N265" s="41">
        <f t="shared" si="114"/>
        <v>-7612.6807934916942</v>
      </c>
      <c r="O265" s="41">
        <f t="shared" si="115"/>
        <v>-7610.6948027266944</v>
      </c>
      <c r="P265" s="41">
        <f t="shared" si="116"/>
        <v>-7566.9214526885617</v>
      </c>
      <c r="Q265" s="41">
        <f t="shared" si="117"/>
        <v>-7554.0969641302099</v>
      </c>
      <c r="R265" s="41">
        <f t="shared" si="118"/>
        <v>-7539.2994773321125</v>
      </c>
      <c r="S265" s="41">
        <f t="shared" si="119"/>
        <v>-7524.5019905340159</v>
      </c>
      <c r="T265" s="41">
        <f t="shared" si="120"/>
        <v>-7452.2791114544143</v>
      </c>
      <c r="V265" s="41">
        <f t="shared" si="136"/>
        <v>-7347.0152300000009</v>
      </c>
      <c r="W265" s="41">
        <f t="shared" si="137"/>
        <v>-7497.2736874244383</v>
      </c>
      <c r="X265" s="41">
        <f t="shared" si="121"/>
        <v>-7871.5119404704119</v>
      </c>
      <c r="Y265" s="41">
        <f t="shared" si="122"/>
        <v>-7861.8477312166751</v>
      </c>
      <c r="Z265" s="41">
        <f t="shared" si="123"/>
        <v>-7809.0629391745961</v>
      </c>
      <c r="AA265" s="41">
        <f t="shared" si="124"/>
        <v>-7758.0575821617249</v>
      </c>
      <c r="AB265" s="41">
        <f t="shared" si="125"/>
        <v>-7539.2994773321125</v>
      </c>
      <c r="AC265" s="41">
        <f t="shared" si="126"/>
        <v>-7524.5019905340159</v>
      </c>
      <c r="AD265" s="41">
        <f t="shared" si="127"/>
        <v>-7452.2791114544143</v>
      </c>
      <c r="AF265" s="303">
        <f t="shared" si="128"/>
        <v>5.1856016632330728E-4</v>
      </c>
      <c r="AG265" s="303">
        <f t="shared" si="129"/>
        <v>5.0766478062457964E-4</v>
      </c>
      <c r="AH265" s="303">
        <f t="shared" si="130"/>
        <v>5.1008120082360537E-4</v>
      </c>
      <c r="AI265" s="303">
        <f t="shared" si="131"/>
        <v>5.0901225269548063E-4</v>
      </c>
      <c r="AJ265" s="303">
        <f t="shared" si="132"/>
        <v>5.1192539356346219E-4</v>
      </c>
      <c r="AK265" s="303">
        <f t="shared" si="133"/>
        <v>5.1478206485226893E-4</v>
      </c>
      <c r="AL265" s="303">
        <f t="shared" si="134"/>
        <v>5.1736479049004796E-4</v>
      </c>
      <c r="AM265" s="303">
        <f t="shared" si="135"/>
        <v>5.1590707397354888E-4</v>
      </c>
      <c r="AV265" s="41">
        <v>-5899.7690000000002</v>
      </c>
      <c r="AW265" s="303">
        <f t="shared" si="138"/>
        <v>3.9489195067271457E-4</v>
      </c>
      <c r="AX265" s="41">
        <f t="shared" si="139"/>
        <v>-5789.4465995318069</v>
      </c>
    </row>
    <row r="266" spans="1:50" x14ac:dyDescent="0.2">
      <c r="A266" s="30">
        <v>851</v>
      </c>
      <c r="B266" s="47" t="s">
        <v>589</v>
      </c>
      <c r="C266" s="295">
        <v>0.98229619757065634</v>
      </c>
      <c r="D266" s="295">
        <v>1.0647462990792287</v>
      </c>
      <c r="E266" s="295">
        <v>0.980481859066065</v>
      </c>
      <c r="F266" s="295">
        <v>0.9824650937615762</v>
      </c>
      <c r="G266" s="295">
        <v>0.97718128518138148</v>
      </c>
      <c r="H266" s="295">
        <v>0.98259270524250619</v>
      </c>
      <c r="I266" s="295">
        <v>0.98244045151838766</v>
      </c>
      <c r="J266" s="295">
        <v>0.98808786256159742</v>
      </c>
      <c r="L266" s="41">
        <v>-51968.401020000005</v>
      </c>
      <c r="M266" s="41">
        <f t="shared" si="113"/>
        <v>-51048.362715773023</v>
      </c>
      <c r="N266" s="41">
        <f t="shared" si="114"/>
        <v>-54353.555275673411</v>
      </c>
      <c r="O266" s="41">
        <f t="shared" si="115"/>
        <v>-53292.674923542392</v>
      </c>
      <c r="P266" s="41">
        <f t="shared" si="116"/>
        <v>-52358.19286556328</v>
      </c>
      <c r="Q266" s="41">
        <f t="shared" si="117"/>
        <v>-51163.446194145763</v>
      </c>
      <c r="R266" s="41">
        <f t="shared" si="118"/>
        <v>-50272.829005435095</v>
      </c>
      <c r="S266" s="41">
        <f t="shared" si="119"/>
        <v>-49390.060827206347</v>
      </c>
      <c r="T266" s="41">
        <f t="shared" si="120"/>
        <v>-48801.719634541601</v>
      </c>
      <c r="V266" s="41">
        <f t="shared" si="136"/>
        <v>-51968.401020000005</v>
      </c>
      <c r="W266" s="41">
        <f t="shared" si="137"/>
        <v>-52120.378332804248</v>
      </c>
      <c r="X266" s="41">
        <f t="shared" si="121"/>
        <v>-56201.576155046307</v>
      </c>
      <c r="Y266" s="41">
        <f t="shared" si="122"/>
        <v>-55051.333196019288</v>
      </c>
      <c r="Z266" s="41">
        <f t="shared" si="123"/>
        <v>-54033.655037261306</v>
      </c>
      <c r="AA266" s="41">
        <f t="shared" si="124"/>
        <v>-52544.859241387698</v>
      </c>
      <c r="AB266" s="41">
        <f t="shared" si="125"/>
        <v>-50272.829005435095</v>
      </c>
      <c r="AC266" s="41">
        <f t="shared" si="126"/>
        <v>-49390.060827206347</v>
      </c>
      <c r="AD266" s="41">
        <f t="shared" si="127"/>
        <v>-48801.719634541601</v>
      </c>
      <c r="AF266" s="303">
        <f t="shared" si="128"/>
        <v>3.6049840493921638E-3</v>
      </c>
      <c r="AG266" s="303">
        <f t="shared" si="129"/>
        <v>3.624660807895834E-3</v>
      </c>
      <c r="AH266" s="303">
        <f t="shared" si="130"/>
        <v>3.5717621484918092E-3</v>
      </c>
      <c r="AI266" s="303">
        <f t="shared" si="131"/>
        <v>3.522034933783487E-3</v>
      </c>
      <c r="AJ266" s="303">
        <f t="shared" si="132"/>
        <v>3.4672400226486719E-3</v>
      </c>
      <c r="AK266" s="303">
        <f t="shared" si="133"/>
        <v>3.4326200728851744E-3</v>
      </c>
      <c r="AL266" s="303">
        <f t="shared" si="134"/>
        <v>3.395929525210326E-3</v>
      </c>
      <c r="AM266" s="303">
        <f t="shared" si="135"/>
        <v>3.3784500023403153E-3</v>
      </c>
      <c r="AV266" s="41">
        <v>-57447.875999999997</v>
      </c>
      <c r="AW266" s="303">
        <f t="shared" si="138"/>
        <v>3.8451850937967604E-3</v>
      </c>
      <c r="AX266" s="41">
        <f t="shared" si="139"/>
        <v>-56373.632655537003</v>
      </c>
    </row>
    <row r="267" spans="1:50" x14ac:dyDescent="0.2">
      <c r="A267" s="30">
        <v>853</v>
      </c>
      <c r="B267" s="47" t="s">
        <v>590</v>
      </c>
      <c r="C267" s="295">
        <v>1.0036424009502025</v>
      </c>
      <c r="D267" s="295">
        <v>1.076282155595973</v>
      </c>
      <c r="E267" s="295">
        <v>1.0055983867953477</v>
      </c>
      <c r="F267" s="295">
        <v>1.0045195922683297</v>
      </c>
      <c r="G267" s="295">
        <v>1.0018648697683059</v>
      </c>
      <c r="H267" s="295">
        <v>1.0012714222311772</v>
      </c>
      <c r="I267" s="295">
        <v>1.0012112224834799</v>
      </c>
      <c r="J267" s="295">
        <v>0.99997941379148048</v>
      </c>
      <c r="L267" s="41">
        <v>-540422.97938000003</v>
      </c>
      <c r="M267" s="41">
        <f t="shared" si="113"/>
        <v>-542391.416553605</v>
      </c>
      <c r="N267" s="41">
        <f t="shared" si="114"/>
        <v>-583766.20298506727</v>
      </c>
      <c r="O267" s="41">
        <f t="shared" si="115"/>
        <v>-587034.3519874292</v>
      </c>
      <c r="P267" s="41">
        <f t="shared" si="116"/>
        <v>-589687.5079059155</v>
      </c>
      <c r="Q267" s="41">
        <f t="shared" si="117"/>
        <v>-590787.19831215683</v>
      </c>
      <c r="R267" s="41">
        <f t="shared" si="118"/>
        <v>-591538.33828998578</v>
      </c>
      <c r="S267" s="41">
        <f t="shared" si="119"/>
        <v>-592254.82282516302</v>
      </c>
      <c r="T267" s="41">
        <f t="shared" si="120"/>
        <v>-592242.63054388366</v>
      </c>
      <c r="V267" s="41">
        <f t="shared" si="136"/>
        <v>-540422.97938000003</v>
      </c>
      <c r="W267" s="41">
        <f t="shared" si="137"/>
        <v>-553781.63630123064</v>
      </c>
      <c r="X267" s="41">
        <f t="shared" si="121"/>
        <v>-603614.25388655963</v>
      </c>
      <c r="Y267" s="41">
        <f t="shared" si="122"/>
        <v>-606406.48560301436</v>
      </c>
      <c r="Z267" s="41">
        <f t="shared" si="123"/>
        <v>-608557.50815890485</v>
      </c>
      <c r="AA267" s="41">
        <f t="shared" si="124"/>
        <v>-606738.45266658498</v>
      </c>
      <c r="AB267" s="41">
        <f t="shared" si="125"/>
        <v>-591538.33828998578</v>
      </c>
      <c r="AC267" s="41">
        <f t="shared" si="126"/>
        <v>-592254.82282516302</v>
      </c>
      <c r="AD267" s="41">
        <f t="shared" si="127"/>
        <v>-592242.63054388366</v>
      </c>
      <c r="AF267" s="303">
        <f t="shared" si="128"/>
        <v>3.8303136499984375E-2</v>
      </c>
      <c r="AG267" s="303">
        <f t="shared" si="129"/>
        <v>3.8929458546038451E-2</v>
      </c>
      <c r="AH267" s="303">
        <f t="shared" si="130"/>
        <v>3.9344001427987343E-2</v>
      </c>
      <c r="AI267" s="303">
        <f t="shared" si="131"/>
        <v>3.9667144513430432E-2</v>
      </c>
      <c r="AJ267" s="303">
        <f t="shared" si="132"/>
        <v>4.0036416059299196E-2</v>
      </c>
      <c r="AK267" s="303">
        <f t="shared" si="133"/>
        <v>4.0390135468123783E-2</v>
      </c>
      <c r="AL267" s="303">
        <f t="shared" si="134"/>
        <v>4.0721870060388514E-2</v>
      </c>
      <c r="AM267" s="303">
        <f t="shared" si="135"/>
        <v>4.0999828111196686E-2</v>
      </c>
      <c r="AV267" s="41">
        <v>-547727.98788000003</v>
      </c>
      <c r="AW267" s="303">
        <f t="shared" si="138"/>
        <v>3.6661329210003674E-2</v>
      </c>
      <c r="AX267" s="41">
        <f t="shared" si="139"/>
        <v>-537485.7790025787</v>
      </c>
    </row>
    <row r="268" spans="1:50" x14ac:dyDescent="0.2">
      <c r="A268" s="30">
        <v>854</v>
      </c>
      <c r="B268" s="47" t="s">
        <v>591</v>
      </c>
      <c r="C268" s="295">
        <v>0.98688608882470719</v>
      </c>
      <c r="D268" s="295">
        <v>1.0741889447950073</v>
      </c>
      <c r="E268" s="295">
        <v>0.99533759131042554</v>
      </c>
      <c r="F268" s="295">
        <v>0.99195087899579659</v>
      </c>
      <c r="G268" s="295">
        <v>0.99469276272041574</v>
      </c>
      <c r="H268" s="295">
        <v>0.98985999822671722</v>
      </c>
      <c r="I268" s="295">
        <v>0.98907163635781703</v>
      </c>
      <c r="J268" s="295">
        <v>1.0006686016356496</v>
      </c>
      <c r="L268" s="41">
        <v>-9097.3184700000002</v>
      </c>
      <c r="M268" s="41">
        <f t="shared" si="113"/>
        <v>-8978.0170436510689</v>
      </c>
      <c r="N268" s="41">
        <f t="shared" si="114"/>
        <v>-9644.0866544711316</v>
      </c>
      <c r="O268" s="41">
        <f t="shared" si="115"/>
        <v>-9599.1219810503171</v>
      </c>
      <c r="P268" s="41">
        <f t="shared" si="116"/>
        <v>-9521.8574866907347</v>
      </c>
      <c r="Q268" s="41">
        <f t="shared" si="117"/>
        <v>-9471.3227296664809</v>
      </c>
      <c r="R268" s="41">
        <f t="shared" si="118"/>
        <v>-9375.2835003923301</v>
      </c>
      <c r="S268" s="41">
        <f t="shared" si="119"/>
        <v>-9272.8269930514853</v>
      </c>
      <c r="T268" s="41">
        <f t="shared" si="120"/>
        <v>-9279.0268203461364</v>
      </c>
      <c r="V268" s="41">
        <f t="shared" si="136"/>
        <v>-9097.3184700000002</v>
      </c>
      <c r="W268" s="41">
        <f t="shared" si="137"/>
        <v>-9166.5554015677408</v>
      </c>
      <c r="X268" s="41">
        <f t="shared" si="121"/>
        <v>-9971.9856007231501</v>
      </c>
      <c r="Y268" s="41">
        <f t="shared" si="122"/>
        <v>-9915.8930064249762</v>
      </c>
      <c r="Z268" s="41">
        <f t="shared" si="123"/>
        <v>-9826.5569262648387</v>
      </c>
      <c r="AA268" s="41">
        <f t="shared" si="124"/>
        <v>-9727.0484433674756</v>
      </c>
      <c r="AB268" s="41">
        <f t="shared" si="125"/>
        <v>-9375.2835003923301</v>
      </c>
      <c r="AC268" s="41">
        <f t="shared" si="126"/>
        <v>-9272.8269930514853</v>
      </c>
      <c r="AD268" s="41">
        <f t="shared" si="127"/>
        <v>-9279.0268203461364</v>
      </c>
      <c r="AF268" s="303">
        <f t="shared" si="128"/>
        <v>6.3401853684785683E-4</v>
      </c>
      <c r="AG268" s="303">
        <f t="shared" si="129"/>
        <v>6.4313259265411809E-4</v>
      </c>
      <c r="AH268" s="303">
        <f t="shared" si="130"/>
        <v>6.4334883921402224E-4</v>
      </c>
      <c r="AI268" s="303">
        <f t="shared" si="131"/>
        <v>6.405170397828972E-4</v>
      </c>
      <c r="AJ268" s="303">
        <f t="shared" si="132"/>
        <v>6.4185178439913693E-4</v>
      </c>
      <c r="AK268" s="303">
        <f t="shared" si="133"/>
        <v>6.4014273652586082E-4</v>
      </c>
      <c r="AL268" s="303">
        <f t="shared" si="134"/>
        <v>6.3757497845649022E-4</v>
      </c>
      <c r="AM268" s="303">
        <f t="shared" si="135"/>
        <v>6.4236933488560487E-4</v>
      </c>
      <c r="AV268" s="41">
        <v>-8978.19</v>
      </c>
      <c r="AW268" s="303">
        <f t="shared" si="138"/>
        <v>6.0094131865336749E-4</v>
      </c>
      <c r="AX268" s="41">
        <f t="shared" si="139"/>
        <v>-8810.3028382044249</v>
      </c>
    </row>
    <row r="269" spans="1:50" x14ac:dyDescent="0.2">
      <c r="A269" s="30">
        <v>857</v>
      </c>
      <c r="B269" s="47" t="s">
        <v>592</v>
      </c>
      <c r="C269" s="295">
        <v>0.97556530099919947</v>
      </c>
      <c r="D269" s="295">
        <v>1.0574666547888114</v>
      </c>
      <c r="E269" s="295">
        <v>0.99467147376012743</v>
      </c>
      <c r="F269" s="295">
        <v>0.99572790131453193</v>
      </c>
      <c r="G269" s="295">
        <v>0.9945112772804573</v>
      </c>
      <c r="H269" s="295">
        <v>0.99448098493709203</v>
      </c>
      <c r="I269" s="295">
        <v>0.99502445743544687</v>
      </c>
      <c r="J269" s="295">
        <v>0.98755251781868481</v>
      </c>
      <c r="L269" s="41">
        <v>-5672.6257500000002</v>
      </c>
      <c r="M269" s="41">
        <f t="shared" si="113"/>
        <v>-5534.0168472545602</v>
      </c>
      <c r="N269" s="41">
        <f t="shared" si="114"/>
        <v>-5852.0382830112048</v>
      </c>
      <c r="O269" s="41">
        <f t="shared" si="115"/>
        <v>-5820.8555434634409</v>
      </c>
      <c r="P269" s="41">
        <f t="shared" si="116"/>
        <v>-5795.9882741479114</v>
      </c>
      <c r="Q269" s="41">
        <f t="shared" si="117"/>
        <v>-5764.1757016253923</v>
      </c>
      <c r="R269" s="41">
        <f t="shared" si="118"/>
        <v>-5732.3631291028732</v>
      </c>
      <c r="S269" s="41">
        <f t="shared" si="119"/>
        <v>-5703.8415123585473</v>
      </c>
      <c r="T269" s="41">
        <f t="shared" si="120"/>
        <v>-5632.8430467684184</v>
      </c>
      <c r="V269" s="41">
        <f t="shared" si="136"/>
        <v>-5672.6257500000002</v>
      </c>
      <c r="W269" s="41">
        <f t="shared" si="137"/>
        <v>-5650.231201046905</v>
      </c>
      <c r="X269" s="41">
        <f t="shared" si="121"/>
        <v>-6051.0075846335858</v>
      </c>
      <c r="Y269" s="41">
        <f t="shared" si="122"/>
        <v>-6012.9437763977339</v>
      </c>
      <c r="Z269" s="41">
        <f t="shared" si="123"/>
        <v>-5981.4598989206452</v>
      </c>
      <c r="AA269" s="41">
        <f t="shared" si="124"/>
        <v>-5919.8084455692779</v>
      </c>
      <c r="AB269" s="41">
        <f t="shared" si="125"/>
        <v>-5732.3631291028732</v>
      </c>
      <c r="AC269" s="41">
        <f t="shared" si="126"/>
        <v>-5703.8415123585473</v>
      </c>
      <c r="AD269" s="41">
        <f t="shared" si="127"/>
        <v>-5632.8430467684184</v>
      </c>
      <c r="AF269" s="303">
        <f t="shared" si="128"/>
        <v>3.9080670568217849E-4</v>
      </c>
      <c r="AG269" s="303">
        <f t="shared" si="129"/>
        <v>3.9025329075815347E-4</v>
      </c>
      <c r="AH269" s="303">
        <f t="shared" si="130"/>
        <v>3.9012324924221436E-4</v>
      </c>
      <c r="AI269" s="303">
        <f t="shared" si="131"/>
        <v>3.8988498380307482E-4</v>
      </c>
      <c r="AJ269" s="303">
        <f t="shared" si="132"/>
        <v>3.9062616334357411E-4</v>
      </c>
      <c r="AK269" s="303">
        <f t="shared" si="133"/>
        <v>3.9140476339412031E-4</v>
      </c>
      <c r="AL269" s="303">
        <f t="shared" si="134"/>
        <v>3.9218100716063294E-4</v>
      </c>
      <c r="AM269" s="303">
        <f t="shared" si="135"/>
        <v>3.8995098424908492E-4</v>
      </c>
      <c r="AV269" s="41">
        <v>-5802.7455499999996</v>
      </c>
      <c r="AW269" s="303">
        <f t="shared" si="138"/>
        <v>3.8839783549100203E-4</v>
      </c>
      <c r="AX269" s="41">
        <f t="shared" si="139"/>
        <v>-5694.2374341089999</v>
      </c>
    </row>
    <row r="270" spans="1:50" x14ac:dyDescent="0.2">
      <c r="A270" s="30">
        <v>858</v>
      </c>
      <c r="B270" s="47" t="s">
        <v>593</v>
      </c>
      <c r="C270" s="295">
        <v>0.98980655922204963</v>
      </c>
      <c r="D270" s="295">
        <v>1.0286539345957988</v>
      </c>
      <c r="E270" s="295">
        <v>0.98928780625600954</v>
      </c>
      <c r="F270" s="295">
        <v>0.99206315021890856</v>
      </c>
      <c r="G270" s="295">
        <v>0.99371636689415876</v>
      </c>
      <c r="H270" s="295">
        <v>0.99210387669818934</v>
      </c>
      <c r="I270" s="295">
        <v>0.99525032650179335</v>
      </c>
      <c r="J270" s="295">
        <v>0.99469993079584962</v>
      </c>
      <c r="L270" s="41">
        <v>-103692.53672</v>
      </c>
      <c r="M270" s="41">
        <f t="shared" si="113"/>
        <v>-102635.55298782924</v>
      </c>
      <c r="N270" s="41">
        <f t="shared" si="114"/>
        <v>-105576.46541034615</v>
      </c>
      <c r="O270" s="41">
        <f t="shared" si="115"/>
        <v>-104445.50985806482</v>
      </c>
      <c r="P270" s="41">
        <f t="shared" si="116"/>
        <v>-103616.54153601185</v>
      </c>
      <c r="Q270" s="41">
        <f t="shared" si="117"/>
        <v>-102965.45320530339</v>
      </c>
      <c r="R270" s="41">
        <f t="shared" si="118"/>
        <v>-102152.4252909675</v>
      </c>
      <c r="S270" s="41">
        <f t="shared" si="119"/>
        <v>-101667.23462378545</v>
      </c>
      <c r="T270" s="41">
        <f t="shared" si="120"/>
        <v>-101128.3912444848</v>
      </c>
      <c r="V270" s="41">
        <f t="shared" si="136"/>
        <v>-103692.53672</v>
      </c>
      <c r="W270" s="41">
        <f t="shared" si="137"/>
        <v>-104790.89960057366</v>
      </c>
      <c r="X270" s="41">
        <f t="shared" si="121"/>
        <v>-109166.06523429793</v>
      </c>
      <c r="Y270" s="41">
        <f t="shared" si="122"/>
        <v>-107892.21168338096</v>
      </c>
      <c r="Z270" s="41">
        <f t="shared" si="123"/>
        <v>-106932.27086516423</v>
      </c>
      <c r="AA270" s="41">
        <f t="shared" si="124"/>
        <v>-105745.52044184657</v>
      </c>
      <c r="AB270" s="41">
        <f t="shared" si="125"/>
        <v>-102152.4252909675</v>
      </c>
      <c r="AC270" s="41">
        <f t="shared" si="126"/>
        <v>-101667.23462378545</v>
      </c>
      <c r="AD270" s="41">
        <f t="shared" si="127"/>
        <v>-101128.3912444848</v>
      </c>
      <c r="AF270" s="303">
        <f t="shared" si="128"/>
        <v>7.2480195590552323E-3</v>
      </c>
      <c r="AG270" s="303">
        <f t="shared" si="129"/>
        <v>7.0405491318490518E-3</v>
      </c>
      <c r="AH270" s="303">
        <f t="shared" si="130"/>
        <v>7.0001087246263317E-3</v>
      </c>
      <c r="AI270" s="303">
        <f t="shared" si="131"/>
        <v>6.9700854638871292E-3</v>
      </c>
      <c r="AJ270" s="303">
        <f t="shared" si="132"/>
        <v>6.9777539798411056E-3</v>
      </c>
      <c r="AK270" s="303">
        <f t="shared" si="133"/>
        <v>6.9749499378634269E-3</v>
      </c>
      <c r="AL270" s="303">
        <f t="shared" si="134"/>
        <v>6.9903692771970862E-3</v>
      </c>
      <c r="AM270" s="303">
        <f t="shared" si="135"/>
        <v>7.0009257090764233E-3</v>
      </c>
      <c r="AV270" s="41">
        <v>-106920.36</v>
      </c>
      <c r="AW270" s="303">
        <f t="shared" si="138"/>
        <v>7.1565496084726168E-3</v>
      </c>
      <c r="AX270" s="41">
        <f t="shared" si="139"/>
        <v>-104921.00870775053</v>
      </c>
    </row>
    <row r="271" spans="1:50" x14ac:dyDescent="0.2">
      <c r="A271" s="30">
        <v>859</v>
      </c>
      <c r="B271" s="47" t="s">
        <v>594</v>
      </c>
      <c r="C271" s="295">
        <v>0.98164336650164574</v>
      </c>
      <c r="D271" s="295">
        <v>1.0065150018266704</v>
      </c>
      <c r="E271" s="295">
        <v>0.97059046341281929</v>
      </c>
      <c r="F271" s="295">
        <v>0.98369187107833966</v>
      </c>
      <c r="G271" s="295">
        <v>0.98224027113399826</v>
      </c>
      <c r="H271" s="295">
        <v>0.97458820644256272</v>
      </c>
      <c r="I271" s="295">
        <v>0.98026555941299531</v>
      </c>
      <c r="J271" s="295">
        <v>0.9823845152772156</v>
      </c>
      <c r="L271" s="41">
        <v>-21067.151329999997</v>
      </c>
      <c r="M271" s="41">
        <f t="shared" si="113"/>
        <v>-20680.429354180822</v>
      </c>
      <c r="N271" s="41">
        <f t="shared" si="114"/>
        <v>-20815.162389199639</v>
      </c>
      <c r="O271" s="41">
        <f t="shared" si="115"/>
        <v>-20202.998109346365</v>
      </c>
      <c r="P271" s="41">
        <f t="shared" si="116"/>
        <v>-19873.525011575086</v>
      </c>
      <c r="Q271" s="41">
        <f t="shared" si="117"/>
        <v>-19520.576595757808</v>
      </c>
      <c r="R271" s="41">
        <f t="shared" si="118"/>
        <v>-19024.523733184269</v>
      </c>
      <c r="S271" s="41">
        <f t="shared" si="119"/>
        <v>-18649.085399875683</v>
      </c>
      <c r="T271" s="41">
        <f t="shared" si="120"/>
        <v>-18320.572720920271</v>
      </c>
      <c r="V271" s="41">
        <f t="shared" si="136"/>
        <v>-21067.151329999997</v>
      </c>
      <c r="W271" s="41">
        <f t="shared" si="137"/>
        <v>-21114.718370618619</v>
      </c>
      <c r="X271" s="41">
        <f t="shared" si="121"/>
        <v>-21522.877910432428</v>
      </c>
      <c r="Y271" s="41">
        <f t="shared" si="122"/>
        <v>-20869.697046954792</v>
      </c>
      <c r="Z271" s="41">
        <f t="shared" si="123"/>
        <v>-20509.47781194549</v>
      </c>
      <c r="AA271" s="41">
        <f t="shared" si="124"/>
        <v>-20047.632163843267</v>
      </c>
      <c r="AB271" s="41">
        <f t="shared" si="125"/>
        <v>-19024.523733184269</v>
      </c>
      <c r="AC271" s="41">
        <f t="shared" si="126"/>
        <v>-18649.085399875683</v>
      </c>
      <c r="AD271" s="41">
        <f t="shared" si="127"/>
        <v>-18320.572720920271</v>
      </c>
      <c r="AF271" s="303">
        <f t="shared" si="128"/>
        <v>1.4604311282517971E-3</v>
      </c>
      <c r="AG271" s="303">
        <f t="shared" si="129"/>
        <v>1.3880950922061756E-3</v>
      </c>
      <c r="AH271" s="303">
        <f t="shared" si="130"/>
        <v>1.3540379430482974E-3</v>
      </c>
      <c r="AI271" s="303">
        <f t="shared" si="131"/>
        <v>1.3368538048650681E-3</v>
      </c>
      <c r="AJ271" s="303">
        <f t="shared" si="132"/>
        <v>1.3228687563609587E-3</v>
      </c>
      <c r="AK271" s="303">
        <f t="shared" si="133"/>
        <v>1.2989911913759335E-3</v>
      </c>
      <c r="AL271" s="303">
        <f t="shared" si="134"/>
        <v>1.2822616264671818E-3</v>
      </c>
      <c r="AM271" s="303">
        <f t="shared" si="135"/>
        <v>1.2682983184891695E-3</v>
      </c>
      <c r="AV271" s="41">
        <v>-21168.465</v>
      </c>
      <c r="AW271" s="303">
        <f t="shared" si="138"/>
        <v>1.4168785992463577E-3</v>
      </c>
      <c r="AX271" s="41">
        <f t="shared" si="139"/>
        <v>-20772.626472588687</v>
      </c>
    </row>
    <row r="272" spans="1:50" x14ac:dyDescent="0.2">
      <c r="A272" s="30">
        <v>886</v>
      </c>
      <c r="B272" s="47" t="s">
        <v>595</v>
      </c>
      <c r="C272" s="295">
        <v>0.97576062295729726</v>
      </c>
      <c r="D272" s="295">
        <v>1.0292901908133418</v>
      </c>
      <c r="E272" s="295">
        <v>0.97746489180189733</v>
      </c>
      <c r="F272" s="295">
        <v>0.98258265218118579</v>
      </c>
      <c r="G272" s="295">
        <v>0.97813578243676147</v>
      </c>
      <c r="H272" s="295">
        <v>0.97583342082691649</v>
      </c>
      <c r="I272" s="295">
        <v>0.97660776113969061</v>
      </c>
      <c r="J272" s="295">
        <v>0.97784606031758603</v>
      </c>
      <c r="L272" s="41">
        <v>-31714.64633</v>
      </c>
      <c r="M272" s="41">
        <f t="shared" si="113"/>
        <v>-30945.903059831162</v>
      </c>
      <c r="N272" s="41">
        <f t="shared" si="114"/>
        <v>-31852.314465344796</v>
      </c>
      <c r="O272" s="41">
        <f t="shared" si="115"/>
        <v>-31134.51911250826</v>
      </c>
      <c r="P272" s="41">
        <f t="shared" si="116"/>
        <v>-30592.238363954184</v>
      </c>
      <c r="Q272" s="41">
        <f t="shared" si="117"/>
        <v>-29923.363008618238</v>
      </c>
      <c r="R272" s="41">
        <f t="shared" si="118"/>
        <v>-29200.217687345546</v>
      </c>
      <c r="S272" s="41">
        <f t="shared" si="119"/>
        <v>-28517.159220430127</v>
      </c>
      <c r="T272" s="41">
        <f t="shared" si="120"/>
        <v>-27885.391795146923</v>
      </c>
      <c r="V272" s="41">
        <f t="shared" si="136"/>
        <v>-31714.64633</v>
      </c>
      <c r="W272" s="41">
        <f t="shared" si="137"/>
        <v>-31595.767024087614</v>
      </c>
      <c r="X272" s="41">
        <f t="shared" si="121"/>
        <v>-32935.293157166518</v>
      </c>
      <c r="Y272" s="41">
        <f t="shared" si="122"/>
        <v>-32161.95824322103</v>
      </c>
      <c r="Z272" s="41">
        <f t="shared" si="123"/>
        <v>-31571.189991600721</v>
      </c>
      <c r="AA272" s="41">
        <f t="shared" si="124"/>
        <v>-30731.293809850929</v>
      </c>
      <c r="AB272" s="41">
        <f t="shared" si="125"/>
        <v>-29200.217687345546</v>
      </c>
      <c r="AC272" s="41">
        <f t="shared" si="126"/>
        <v>-28517.159220430127</v>
      </c>
      <c r="AD272" s="41">
        <f t="shared" si="127"/>
        <v>-27885.391795146923</v>
      </c>
      <c r="AF272" s="303">
        <f t="shared" si="128"/>
        <v>2.1853685601214718E-3</v>
      </c>
      <c r="AG272" s="303">
        <f t="shared" si="129"/>
        <v>2.1241266610388886E-3</v>
      </c>
      <c r="AH272" s="303">
        <f t="shared" si="130"/>
        <v>2.0866863417363614E-3</v>
      </c>
      <c r="AI272" s="303">
        <f t="shared" si="131"/>
        <v>2.0578810368251784E-3</v>
      </c>
      <c r="AJ272" s="303">
        <f t="shared" si="132"/>
        <v>2.0278438915554793E-3</v>
      </c>
      <c r="AK272" s="303">
        <f t="shared" si="133"/>
        <v>1.9937858153031853E-3</v>
      </c>
      <c r="AL272" s="303">
        <f t="shared" si="134"/>
        <v>1.9607641972863763E-3</v>
      </c>
      <c r="AM272" s="303">
        <f t="shared" si="135"/>
        <v>1.9304525062041832E-3</v>
      </c>
      <c r="AV272" s="41">
        <v>-34087.583149999999</v>
      </c>
      <c r="AW272" s="303">
        <f t="shared" si="138"/>
        <v>2.2815998734563767E-3</v>
      </c>
      <c r="AX272" s="41">
        <f t="shared" si="139"/>
        <v>-33450.164295250404</v>
      </c>
    </row>
    <row r="273" spans="1:50" x14ac:dyDescent="0.2">
      <c r="A273" s="30">
        <v>887</v>
      </c>
      <c r="B273" s="47" t="s">
        <v>596</v>
      </c>
      <c r="C273" s="295">
        <v>0.98322507813461879</v>
      </c>
      <c r="D273" s="295">
        <v>1.0770516890624107</v>
      </c>
      <c r="E273" s="295">
        <v>0.99381891721786741</v>
      </c>
      <c r="F273" s="295">
        <v>0.99767626511625807</v>
      </c>
      <c r="G273" s="295">
        <v>0.99257364112150703</v>
      </c>
      <c r="H273" s="295">
        <v>0.9921467315934559</v>
      </c>
      <c r="I273" s="295">
        <v>0.99714756860313247</v>
      </c>
      <c r="J273" s="295">
        <v>0.99878592112533082</v>
      </c>
      <c r="L273" s="41">
        <v>-11565.13409</v>
      </c>
      <c r="M273" s="41">
        <f t="shared" si="113"/>
        <v>-11371.129869277593</v>
      </c>
      <c r="N273" s="41">
        <f t="shared" si="114"/>
        <v>-12247.294632253461</v>
      </c>
      <c r="O273" s="41">
        <f t="shared" si="115"/>
        <v>-12171.593090274335</v>
      </c>
      <c r="P273" s="41">
        <f t="shared" si="116"/>
        <v>-12143.309534819751</v>
      </c>
      <c r="Q273" s="41">
        <f t="shared" si="117"/>
        <v>-12053.128960241555</v>
      </c>
      <c r="R273" s="41">
        <f t="shared" si="118"/>
        <v>-11958.472503378087</v>
      </c>
      <c r="S273" s="41">
        <f t="shared" si="119"/>
        <v>-11924.361780950874</v>
      </c>
      <c r="T273" s="41">
        <f t="shared" si="120"/>
        <v>-11909.884665218709</v>
      </c>
      <c r="V273" s="41">
        <f t="shared" si="136"/>
        <v>-11565.13409</v>
      </c>
      <c r="W273" s="41">
        <f t="shared" si="137"/>
        <v>-11609.923596532421</v>
      </c>
      <c r="X273" s="41">
        <f t="shared" si="121"/>
        <v>-12663.702649750079</v>
      </c>
      <c r="Y273" s="41">
        <f t="shared" si="122"/>
        <v>-12573.255662253387</v>
      </c>
      <c r="Z273" s="41">
        <f t="shared" si="123"/>
        <v>-12531.895439933984</v>
      </c>
      <c r="AA273" s="41">
        <f t="shared" si="124"/>
        <v>-12378.563442168075</v>
      </c>
      <c r="AB273" s="41">
        <f t="shared" si="125"/>
        <v>-11958.472503378087</v>
      </c>
      <c r="AC273" s="41">
        <f t="shared" si="126"/>
        <v>-11924.361780950874</v>
      </c>
      <c r="AD273" s="41">
        <f t="shared" si="127"/>
        <v>-11909.884665218709</v>
      </c>
      <c r="AF273" s="303">
        <f t="shared" si="128"/>
        <v>8.0301775848427956E-4</v>
      </c>
      <c r="AG273" s="303">
        <f t="shared" si="129"/>
        <v>8.1673201745738322E-4</v>
      </c>
      <c r="AH273" s="303">
        <f t="shared" si="130"/>
        <v>8.1576005612511238E-4</v>
      </c>
      <c r="AI273" s="303">
        <f t="shared" si="131"/>
        <v>8.1685707723329673E-4</v>
      </c>
      <c r="AJ273" s="303">
        <f t="shared" si="132"/>
        <v>8.1681540704889256E-4</v>
      </c>
      <c r="AK273" s="303">
        <f t="shared" si="133"/>
        <v>8.1652243504544311E-4</v>
      </c>
      <c r="AL273" s="303">
        <f t="shared" si="134"/>
        <v>8.1988747458505901E-4</v>
      </c>
      <c r="AM273" s="303">
        <f t="shared" si="135"/>
        <v>8.2449860735238378E-4</v>
      </c>
      <c r="AV273" s="41">
        <v>-11654.2515</v>
      </c>
      <c r="AW273" s="303">
        <f t="shared" si="138"/>
        <v>7.8005937325095428E-4</v>
      </c>
      <c r="AX273" s="41">
        <f t="shared" si="139"/>
        <v>-11436.323475845149</v>
      </c>
    </row>
    <row r="274" spans="1:50" x14ac:dyDescent="0.2">
      <c r="A274" s="30">
        <v>889</v>
      </c>
      <c r="B274" s="47" t="s">
        <v>597</v>
      </c>
      <c r="C274" s="295">
        <v>0.99268826690160772</v>
      </c>
      <c r="D274" s="295">
        <v>1.0525890314180339</v>
      </c>
      <c r="E274" s="295">
        <v>0.98927694307375347</v>
      </c>
      <c r="F274" s="295">
        <v>0.99627694200984229</v>
      </c>
      <c r="G274" s="295">
        <v>0.98691295621195163</v>
      </c>
      <c r="H274" s="295">
        <v>0.99568358657374068</v>
      </c>
      <c r="I274" s="295">
        <v>0.99494235344252502</v>
      </c>
      <c r="J274" s="295">
        <v>1.0013019421258622</v>
      </c>
      <c r="L274" s="41">
        <v>-10485.79407</v>
      </c>
      <c r="M274" s="41">
        <f t="shared" si="113"/>
        <v>-10409.124742435455</v>
      </c>
      <c r="N274" s="41">
        <f t="shared" si="114"/>
        <v>-10956.530530549628</v>
      </c>
      <c r="O274" s="41">
        <f t="shared" si="115"/>
        <v>-10839.043029956385</v>
      </c>
      <c r="P274" s="41">
        <f t="shared" si="116"/>
        <v>-10798.688644198042</v>
      </c>
      <c r="Q274" s="41">
        <f t="shared" si="117"/>
        <v>-10657.365733057923</v>
      </c>
      <c r="R274" s="41">
        <f t="shared" si="118"/>
        <v>-10611.364136519196</v>
      </c>
      <c r="S274" s="41">
        <f t="shared" si="119"/>
        <v>-10557.695607224015</v>
      </c>
      <c r="T274" s="41">
        <f t="shared" si="120"/>
        <v>-10571.441115887092</v>
      </c>
      <c r="V274" s="41">
        <f t="shared" si="136"/>
        <v>-10485.79407</v>
      </c>
      <c r="W274" s="41">
        <f t="shared" si="137"/>
        <v>-10627.716362026598</v>
      </c>
      <c r="X274" s="41">
        <f t="shared" si="121"/>
        <v>-11329.052568588315</v>
      </c>
      <c r="Y274" s="41">
        <f t="shared" si="122"/>
        <v>-11196.731449944944</v>
      </c>
      <c r="Z274" s="41">
        <f t="shared" si="123"/>
        <v>-11144.246680812381</v>
      </c>
      <c r="AA274" s="41">
        <f t="shared" si="124"/>
        <v>-10945.114607850486</v>
      </c>
      <c r="AB274" s="41">
        <f t="shared" si="125"/>
        <v>-10611.364136519196</v>
      </c>
      <c r="AC274" s="41">
        <f t="shared" si="126"/>
        <v>-10557.695607224015</v>
      </c>
      <c r="AD274" s="41">
        <f t="shared" si="127"/>
        <v>-10571.441115887092</v>
      </c>
      <c r="AF274" s="303">
        <f t="shared" si="128"/>
        <v>7.3508192365626395E-4</v>
      </c>
      <c r="AG274" s="303">
        <f t="shared" si="129"/>
        <v>7.3065518167441258E-4</v>
      </c>
      <c r="AH274" s="303">
        <f t="shared" si="130"/>
        <v>7.2645037382369792E-4</v>
      </c>
      <c r="AI274" s="303">
        <f t="shared" si="131"/>
        <v>7.2640701602464243E-4</v>
      </c>
      <c r="AJ274" s="303">
        <f t="shared" si="132"/>
        <v>7.2222744467691897E-4</v>
      </c>
      <c r="AK274" s="303">
        <f t="shared" si="133"/>
        <v>7.2454210865618269E-4</v>
      </c>
      <c r="AL274" s="303">
        <f t="shared" si="134"/>
        <v>7.2591913494882327E-4</v>
      </c>
      <c r="AM274" s="303">
        <f t="shared" si="135"/>
        <v>7.3184071237994452E-4</v>
      </c>
      <c r="AV274" s="41">
        <v>-11433.796859999999</v>
      </c>
      <c r="AW274" s="303">
        <f t="shared" si="138"/>
        <v>7.6530358148614933E-4</v>
      </c>
      <c r="AX274" s="41">
        <f t="shared" si="139"/>
        <v>-11219.9912150568</v>
      </c>
    </row>
    <row r="275" spans="1:50" x14ac:dyDescent="0.2">
      <c r="A275" s="30">
        <v>890</v>
      </c>
      <c r="B275" s="47" t="s">
        <v>598</v>
      </c>
      <c r="C275" s="295">
        <v>0.99877264608388194</v>
      </c>
      <c r="D275" s="295">
        <v>1.018985777934762</v>
      </c>
      <c r="E275" s="295">
        <v>0.99951621611893338</v>
      </c>
      <c r="F275" s="295">
        <v>1.0083184259850799</v>
      </c>
      <c r="G275" s="295">
        <v>0.99199945349497609</v>
      </c>
      <c r="H275" s="295">
        <v>0.99959791783024277</v>
      </c>
      <c r="I275" s="295">
        <v>0.99233392829451039</v>
      </c>
      <c r="J275" s="295">
        <v>1.0004053513574314</v>
      </c>
      <c r="L275" s="41">
        <v>-5102.0095799999999</v>
      </c>
      <c r="M275" s="41">
        <f t="shared" si="113"/>
        <v>-5095.7476085619155</v>
      </c>
      <c r="N275" s="41">
        <f t="shared" si="114"/>
        <v>-5192.494341069666</v>
      </c>
      <c r="O275" s="41">
        <f t="shared" si="115"/>
        <v>-5189.9822960049269</v>
      </c>
      <c r="P275" s="41">
        <f t="shared" si="116"/>
        <v>-5233.1547795981187</v>
      </c>
      <c r="Q275" s="41">
        <f t="shared" si="117"/>
        <v>-5191.2866814159561</v>
      </c>
      <c r="R275" s="41">
        <f t="shared" si="118"/>
        <v>-5189.1993576032601</v>
      </c>
      <c r="S275" s="41">
        <f t="shared" si="119"/>
        <v>-5149.4185832337926</v>
      </c>
      <c r="T275" s="41">
        <f t="shared" si="120"/>
        <v>-5151.5059070464886</v>
      </c>
      <c r="V275" s="41">
        <f t="shared" si="136"/>
        <v>-5102.0095799999999</v>
      </c>
      <c r="W275" s="41">
        <f t="shared" si="137"/>
        <v>-5202.7583083417148</v>
      </c>
      <c r="X275" s="41">
        <f t="shared" si="121"/>
        <v>-5369.0391486660346</v>
      </c>
      <c r="Y275" s="41">
        <f t="shared" si="122"/>
        <v>-5361.2517117730895</v>
      </c>
      <c r="Z275" s="41">
        <f t="shared" si="123"/>
        <v>-5400.6157325452587</v>
      </c>
      <c r="AA275" s="41">
        <f t="shared" si="124"/>
        <v>-5331.4514218141867</v>
      </c>
      <c r="AB275" s="41">
        <f t="shared" si="125"/>
        <v>-5189.1993576032601</v>
      </c>
      <c r="AC275" s="41">
        <f t="shared" si="126"/>
        <v>-5149.4185832337926</v>
      </c>
      <c r="AD275" s="41">
        <f t="shared" si="127"/>
        <v>-5151.5059070464886</v>
      </c>
      <c r="AF275" s="303">
        <f t="shared" si="128"/>
        <v>3.5985657269509141E-4</v>
      </c>
      <c r="AG275" s="303">
        <f t="shared" si="129"/>
        <v>3.4627046267421814E-4</v>
      </c>
      <c r="AH275" s="303">
        <f t="shared" si="130"/>
        <v>3.4784109341120726E-4</v>
      </c>
      <c r="AI275" s="303">
        <f t="shared" si="131"/>
        <v>3.5202425711990451E-4</v>
      </c>
      <c r="AJ275" s="303">
        <f t="shared" si="132"/>
        <v>3.5180266947905365E-4</v>
      </c>
      <c r="AK275" s="303">
        <f t="shared" si="133"/>
        <v>3.5431763498302541E-4</v>
      </c>
      <c r="AL275" s="303">
        <f t="shared" si="134"/>
        <v>3.5406035772358622E-4</v>
      </c>
      <c r="AM275" s="303">
        <f t="shared" si="135"/>
        <v>3.5662893180917382E-4</v>
      </c>
      <c r="AV275" s="41">
        <v>-5197.4529599999996</v>
      </c>
      <c r="AW275" s="303">
        <f t="shared" si="138"/>
        <v>3.4788350830415121E-4</v>
      </c>
      <c r="AX275" s="41">
        <f t="shared" si="139"/>
        <v>-5100.2634790444372</v>
      </c>
    </row>
    <row r="276" spans="1:50" x14ac:dyDescent="0.2">
      <c r="A276" s="30">
        <v>892</v>
      </c>
      <c r="B276" s="47" t="s">
        <v>599</v>
      </c>
      <c r="C276" s="295">
        <v>0.99576204407821944</v>
      </c>
      <c r="D276" s="295">
        <v>1.0428601466362617</v>
      </c>
      <c r="E276" s="295">
        <v>0.99529285834558001</v>
      </c>
      <c r="F276" s="295">
        <v>1.0003927102715553</v>
      </c>
      <c r="G276" s="295">
        <v>0.99911649608072739</v>
      </c>
      <c r="H276" s="295">
        <v>0.99584215476553928</v>
      </c>
      <c r="I276" s="295">
        <v>0.99446976076752203</v>
      </c>
      <c r="J276" s="295">
        <v>0.98633786218048292</v>
      </c>
      <c r="L276" s="41">
        <v>-12438.61024</v>
      </c>
      <c r="M276" s="41">
        <f t="shared" si="113"/>
        <v>-12385.895958074672</v>
      </c>
      <c r="N276" s="41">
        <f t="shared" si="114"/>
        <v>-12916.757275059234</v>
      </c>
      <c r="O276" s="41">
        <f t="shared" si="115"/>
        <v>-12855.95626884977</v>
      </c>
      <c r="P276" s="41">
        <f t="shared" si="116"/>
        <v>-12861.004934927212</v>
      </c>
      <c r="Q276" s="41">
        <f t="shared" si="117"/>
        <v>-12849.64218666142</v>
      </c>
      <c r="R276" s="41">
        <f t="shared" si="118"/>
        <v>-12796.215363131085</v>
      </c>
      <c r="S276" s="41">
        <f t="shared" si="119"/>
        <v>-12725.449230902659</v>
      </c>
      <c r="T276" s="41">
        <f t="shared" si="120"/>
        <v>-12551.592389694799</v>
      </c>
      <c r="V276" s="41">
        <f t="shared" si="136"/>
        <v>-12438.61024</v>
      </c>
      <c r="W276" s="41">
        <f t="shared" si="137"/>
        <v>-12645.999773194239</v>
      </c>
      <c r="X276" s="41">
        <f t="shared" si="121"/>
        <v>-13355.927022411248</v>
      </c>
      <c r="Y276" s="41">
        <f t="shared" si="122"/>
        <v>-13280.202825721812</v>
      </c>
      <c r="Z276" s="41">
        <f t="shared" si="123"/>
        <v>-13272.557092844883</v>
      </c>
      <c r="AA276" s="41">
        <f t="shared" si="124"/>
        <v>-13196.582525701277</v>
      </c>
      <c r="AB276" s="41">
        <f t="shared" si="125"/>
        <v>-12796.215363131085</v>
      </c>
      <c r="AC276" s="41">
        <f t="shared" si="126"/>
        <v>-12725.449230902659</v>
      </c>
      <c r="AD276" s="41">
        <f t="shared" si="127"/>
        <v>-12551.592389694799</v>
      </c>
      <c r="AF276" s="303">
        <f t="shared" si="128"/>
        <v>8.7467951939805761E-4</v>
      </c>
      <c r="AG276" s="303">
        <f t="shared" si="129"/>
        <v>8.6137629125734372E-4</v>
      </c>
      <c r="AH276" s="303">
        <f t="shared" si="130"/>
        <v>8.6162719453698939E-4</v>
      </c>
      <c r="AI276" s="303">
        <f t="shared" si="131"/>
        <v>8.6513506645810676E-4</v>
      </c>
      <c r="AJ276" s="303">
        <f t="shared" si="132"/>
        <v>8.7079344689265864E-4</v>
      </c>
      <c r="AK276" s="303">
        <f t="shared" si="133"/>
        <v>8.7372337267307249E-4</v>
      </c>
      <c r="AL276" s="303">
        <f t="shared" si="134"/>
        <v>8.7496812194616069E-4</v>
      </c>
      <c r="AM276" s="303">
        <f t="shared" si="135"/>
        <v>8.6892280960372331E-4</v>
      </c>
      <c r="AV276" s="41">
        <v>-12450.958000000001</v>
      </c>
      <c r="AW276" s="303">
        <f t="shared" si="138"/>
        <v>8.3338569567114251E-4</v>
      </c>
      <c r="AX276" s="41">
        <f t="shared" si="139"/>
        <v>-12218.132007204578</v>
      </c>
    </row>
    <row r="277" spans="1:50" x14ac:dyDescent="0.2">
      <c r="A277" s="30">
        <v>893</v>
      </c>
      <c r="B277" s="47" t="s">
        <v>600</v>
      </c>
      <c r="C277" s="295">
        <v>0.98914500808771244</v>
      </c>
      <c r="D277" s="295">
        <v>1.0243775485742386</v>
      </c>
      <c r="E277" s="295">
        <v>0.98540563906447409</v>
      </c>
      <c r="F277" s="295">
        <v>0.99426208896748758</v>
      </c>
      <c r="G277" s="295">
        <v>0.98756133185313466</v>
      </c>
      <c r="H277" s="295">
        <v>0.97719973112730385</v>
      </c>
      <c r="I277" s="295">
        <v>0.99587479066913775</v>
      </c>
      <c r="J277" s="295">
        <v>0.98379338071374434</v>
      </c>
      <c r="L277" s="41">
        <v>-20498.75056</v>
      </c>
      <c r="M277" s="41">
        <f t="shared" si="113"/>
        <v>-20276.236788459199</v>
      </c>
      <c r="N277" s="41">
        <f t="shared" si="114"/>
        <v>-20770.521735672624</v>
      </c>
      <c r="O277" s="41">
        <f t="shared" si="115"/>
        <v>-20467.389244643033</v>
      </c>
      <c r="P277" s="41">
        <f t="shared" si="116"/>
        <v>-20349.94918608947</v>
      </c>
      <c r="Q277" s="41">
        <f t="shared" si="117"/>
        <v>-20096.822921358133</v>
      </c>
      <c r="R277" s="41">
        <f t="shared" si="118"/>
        <v>-19638.609955264204</v>
      </c>
      <c r="S277" s="41">
        <f t="shared" si="119"/>
        <v>-19557.596578231583</v>
      </c>
      <c r="T277" s="41">
        <f t="shared" si="120"/>
        <v>-19240.634056334009</v>
      </c>
      <c r="V277" s="41">
        <f t="shared" si="136"/>
        <v>-20498.75056</v>
      </c>
      <c r="W277" s="41">
        <f t="shared" si="137"/>
        <v>-20702.03776101684</v>
      </c>
      <c r="X277" s="41">
        <f t="shared" si="121"/>
        <v>-21476.719474685495</v>
      </c>
      <c r="Y277" s="41">
        <f t="shared" si="122"/>
        <v>-21142.813089716252</v>
      </c>
      <c r="Z277" s="41">
        <f t="shared" si="123"/>
        <v>-21001.147560044334</v>
      </c>
      <c r="AA277" s="41">
        <f t="shared" si="124"/>
        <v>-20639.437140234801</v>
      </c>
      <c r="AB277" s="41">
        <f t="shared" si="125"/>
        <v>-19638.609955264204</v>
      </c>
      <c r="AC277" s="41">
        <f t="shared" si="126"/>
        <v>-19557.596578231583</v>
      </c>
      <c r="AD277" s="41">
        <f t="shared" si="127"/>
        <v>-19240.634056334009</v>
      </c>
      <c r="AF277" s="303">
        <f t="shared" si="128"/>
        <v>1.4318874556481871E-3</v>
      </c>
      <c r="AG277" s="303">
        <f t="shared" si="129"/>
        <v>1.3851181530444674E-3</v>
      </c>
      <c r="AH277" s="303">
        <f t="shared" si="130"/>
        <v>1.37175786892562E-3</v>
      </c>
      <c r="AI277" s="303">
        <f t="shared" si="131"/>
        <v>1.3689019427801229E-3</v>
      </c>
      <c r="AJ277" s="303">
        <f t="shared" si="132"/>
        <v>1.3619197678085475E-3</v>
      </c>
      <c r="AK277" s="303">
        <f t="shared" si="133"/>
        <v>1.3409208924509599E-3</v>
      </c>
      <c r="AL277" s="303">
        <f t="shared" si="134"/>
        <v>1.3447284443428734E-3</v>
      </c>
      <c r="AM277" s="303">
        <f t="shared" si="135"/>
        <v>1.3319924105018961E-3</v>
      </c>
      <c r="AV277" s="41">
        <v>-22083.88134</v>
      </c>
      <c r="AW277" s="303">
        <f t="shared" si="138"/>
        <v>1.478150581959626E-3</v>
      </c>
      <c r="AX277" s="41">
        <f t="shared" si="139"/>
        <v>-21670.925035933935</v>
      </c>
    </row>
    <row r="278" spans="1:50" x14ac:dyDescent="0.2">
      <c r="A278" s="30">
        <v>895</v>
      </c>
      <c r="B278" s="47" t="s">
        <v>601</v>
      </c>
      <c r="C278" s="295">
        <v>0.98502144348535303</v>
      </c>
      <c r="D278" s="295">
        <v>1.0411348450600646</v>
      </c>
      <c r="E278" s="295">
        <v>0.99520913670140987</v>
      </c>
      <c r="F278" s="295">
        <v>0.97973743930313917</v>
      </c>
      <c r="G278" s="295">
        <v>0.98066287830982524</v>
      </c>
      <c r="H278" s="295">
        <v>0.98299592620774223</v>
      </c>
      <c r="I278" s="295">
        <v>0.98379545522294487</v>
      </c>
      <c r="J278" s="295">
        <v>0.97973865553987449</v>
      </c>
      <c r="L278" s="41">
        <v>-35442.240159999994</v>
      </c>
      <c r="M278" s="41">
        <f t="shared" si="113"/>
        <v>-34911.366562757743</v>
      </c>
      <c r="N278" s="41">
        <f t="shared" si="114"/>
        <v>-36347.440217151903</v>
      </c>
      <c r="O278" s="41">
        <f t="shared" si="115"/>
        <v>-36173.30459981785</v>
      </c>
      <c r="P278" s="41">
        <f t="shared" si="116"/>
        <v>-35440.340819758007</v>
      </c>
      <c r="Q278" s="41">
        <f t="shared" si="117"/>
        <v>-34755.026636585077</v>
      </c>
      <c r="R278" s="41">
        <f t="shared" si="118"/>
        <v>-34164.049599004698</v>
      </c>
      <c r="S278" s="41">
        <f t="shared" si="119"/>
        <v>-33610.436727512097</v>
      </c>
      <c r="T278" s="41">
        <f t="shared" si="120"/>
        <v>-32929.444091520723</v>
      </c>
      <c r="V278" s="41">
        <f t="shared" si="136"/>
        <v>-35442.240159999994</v>
      </c>
      <c r="W278" s="41">
        <f t="shared" si="137"/>
        <v>-35644.50526057565</v>
      </c>
      <c r="X278" s="41">
        <f t="shared" si="121"/>
        <v>-37583.253184535068</v>
      </c>
      <c r="Y278" s="41">
        <f t="shared" si="122"/>
        <v>-37367.023651611838</v>
      </c>
      <c r="Z278" s="41">
        <f t="shared" si="123"/>
        <v>-36574.431725990267</v>
      </c>
      <c r="AA278" s="41">
        <f t="shared" si="124"/>
        <v>-35693.412355772867</v>
      </c>
      <c r="AB278" s="41">
        <f t="shared" si="125"/>
        <v>-34164.049599004698</v>
      </c>
      <c r="AC278" s="41">
        <f t="shared" si="126"/>
        <v>-33610.436727512097</v>
      </c>
      <c r="AD278" s="41">
        <f t="shared" si="127"/>
        <v>-32929.444091520723</v>
      </c>
      <c r="AF278" s="303">
        <f t="shared" si="128"/>
        <v>2.4654056056990386E-3</v>
      </c>
      <c r="AG278" s="303">
        <f t="shared" si="129"/>
        <v>2.4238918936258132E-3</v>
      </c>
      <c r="AH278" s="303">
        <f t="shared" si="130"/>
        <v>2.4243939779877328E-3</v>
      </c>
      <c r="AI278" s="303">
        <f t="shared" si="131"/>
        <v>2.3840035646928884E-3</v>
      </c>
      <c r="AJ278" s="303">
        <f t="shared" si="132"/>
        <v>2.3552756568688046E-3</v>
      </c>
      <c r="AK278" s="303">
        <f t="shared" si="133"/>
        <v>2.3327154000406403E-3</v>
      </c>
      <c r="AL278" s="303">
        <f t="shared" si="134"/>
        <v>2.3109644435849522E-3</v>
      </c>
      <c r="AM278" s="303">
        <f t="shared" si="135"/>
        <v>2.2796426294232662E-3</v>
      </c>
      <c r="AV278" s="41">
        <v>-38505.434430000001</v>
      </c>
      <c r="AW278" s="303">
        <f t="shared" si="138"/>
        <v>2.5773019441206941E-3</v>
      </c>
      <c r="AX278" s="41">
        <f t="shared" si="139"/>
        <v>-37785.404212310423</v>
      </c>
    </row>
    <row r="279" spans="1:50" x14ac:dyDescent="0.2">
      <c r="A279" s="30">
        <v>905</v>
      </c>
      <c r="B279" s="47" t="s">
        <v>602</v>
      </c>
      <c r="C279" s="295">
        <v>0.99092617759400869</v>
      </c>
      <c r="D279" s="295">
        <v>1.064294714762108</v>
      </c>
      <c r="E279" s="295">
        <v>0.99330145853263763</v>
      </c>
      <c r="F279" s="295">
        <v>0.99393017922853044</v>
      </c>
      <c r="G279" s="295">
        <v>0.99275033851945038</v>
      </c>
      <c r="H279" s="295">
        <v>0.99087830868981919</v>
      </c>
      <c r="I279" s="295">
        <v>0.99339476501289514</v>
      </c>
      <c r="J279" s="295">
        <v>0.99277852584089121</v>
      </c>
      <c r="L279" s="41">
        <v>-190143.67190000002</v>
      </c>
      <c r="M279" s="41">
        <f t="shared" si="113"/>
        <v>-188418.34198955633</v>
      </c>
      <c r="N279" s="41">
        <f t="shared" si="114"/>
        <v>-200532.64554372418</v>
      </c>
      <c r="O279" s="41">
        <f t="shared" si="115"/>
        <v>-199189.36930198967</v>
      </c>
      <c r="P279" s="41">
        <f t="shared" si="116"/>
        <v>-197980.32553074454</v>
      </c>
      <c r="Q279" s="41">
        <f t="shared" si="117"/>
        <v>-196545.03519083763</v>
      </c>
      <c r="R279" s="41">
        <f t="shared" si="118"/>
        <v>-194752.21205127818</v>
      </c>
      <c r="S279" s="41">
        <f t="shared" si="119"/>
        <v>-193465.82792642101</v>
      </c>
      <c r="T279" s="41">
        <f t="shared" si="120"/>
        <v>-192068.71944937977</v>
      </c>
      <c r="V279" s="41">
        <f t="shared" si="136"/>
        <v>-190143.67190000002</v>
      </c>
      <c r="W279" s="41">
        <f t="shared" si="137"/>
        <v>-192375.12717133699</v>
      </c>
      <c r="X279" s="41">
        <f t="shared" si="121"/>
        <v>-207350.75549221082</v>
      </c>
      <c r="Y279" s="41">
        <f t="shared" si="122"/>
        <v>-205762.61848895531</v>
      </c>
      <c r="Z279" s="41">
        <f t="shared" si="123"/>
        <v>-204315.69594772835</v>
      </c>
      <c r="AA279" s="41">
        <f t="shared" si="124"/>
        <v>-201851.75114099024</v>
      </c>
      <c r="AB279" s="41">
        <f t="shared" si="125"/>
        <v>-194752.21205127818</v>
      </c>
      <c r="AC279" s="41">
        <f t="shared" si="126"/>
        <v>-193465.82792642101</v>
      </c>
      <c r="AD279" s="41">
        <f t="shared" si="127"/>
        <v>-192068.71944937977</v>
      </c>
      <c r="AF279" s="303">
        <f t="shared" si="128"/>
        <v>1.3305913869699761E-2</v>
      </c>
      <c r="AG279" s="303">
        <f t="shared" si="129"/>
        <v>1.3372866178108509E-2</v>
      </c>
      <c r="AH279" s="303">
        <f t="shared" si="130"/>
        <v>1.3349996986931352E-2</v>
      </c>
      <c r="AI279" s="303">
        <f t="shared" si="131"/>
        <v>1.3317755723760451E-2</v>
      </c>
      <c r="AJ279" s="303">
        <f t="shared" si="132"/>
        <v>1.3319447045858671E-2</v>
      </c>
      <c r="AK279" s="303">
        <f t="shared" si="133"/>
        <v>1.3297647368397222E-2</v>
      </c>
      <c r="AL279" s="303">
        <f t="shared" si="134"/>
        <v>1.3302196963739906E-2</v>
      </c>
      <c r="AM279" s="303">
        <f t="shared" si="135"/>
        <v>1.3296551239025895E-2</v>
      </c>
      <c r="AV279" s="41">
        <v>-193666.9</v>
      </c>
      <c r="AW279" s="303">
        <f t="shared" si="138"/>
        <v>1.2962795648734303E-2</v>
      </c>
      <c r="AX279" s="41">
        <f t="shared" si="139"/>
        <v>-190045.43663436084</v>
      </c>
    </row>
    <row r="280" spans="1:50" x14ac:dyDescent="0.2">
      <c r="A280" s="30">
        <v>908</v>
      </c>
      <c r="B280" s="47" t="s">
        <v>603</v>
      </c>
      <c r="C280" s="295">
        <v>0.9828635511715218</v>
      </c>
      <c r="D280" s="295">
        <v>1.0345856012021648</v>
      </c>
      <c r="E280" s="295">
        <v>0.97911031358828571</v>
      </c>
      <c r="F280" s="295">
        <v>0.97897496138967666</v>
      </c>
      <c r="G280" s="295">
        <v>0.9796729208299414</v>
      </c>
      <c r="H280" s="295">
        <v>0.97433392513483597</v>
      </c>
      <c r="I280" s="295">
        <v>0.98221733276796008</v>
      </c>
      <c r="J280" s="295">
        <v>0.97708481133401048</v>
      </c>
      <c r="L280" s="41">
        <v>-53123.446259999997</v>
      </c>
      <c r="M280" s="41">
        <f t="shared" si="113"/>
        <v>-52213.099041573092</v>
      </c>
      <c r="N280" s="41">
        <f t="shared" si="114"/>
        <v>-54018.920462554073</v>
      </c>
      <c r="O280" s="41">
        <f t="shared" si="115"/>
        <v>-52890.482153791985</v>
      </c>
      <c r="P280" s="41">
        <f t="shared" si="116"/>
        <v>-51778.457724389889</v>
      </c>
      <c r="Q280" s="41">
        <f t="shared" si="117"/>
        <v>-50725.95291492268</v>
      </c>
      <c r="R280" s="41">
        <f t="shared" si="118"/>
        <v>-49424.016809801491</v>
      </c>
      <c r="S280" s="41">
        <f t="shared" si="119"/>
        <v>-48545.125965602041</v>
      </c>
      <c r="T280" s="41">
        <f t="shared" si="120"/>
        <v>-47432.705245286044</v>
      </c>
      <c r="V280" s="41">
        <f t="shared" si="136"/>
        <v>-53123.446259999997</v>
      </c>
      <c r="W280" s="41">
        <f t="shared" si="137"/>
        <v>-53309.574121446123</v>
      </c>
      <c r="X280" s="41">
        <f t="shared" si="121"/>
        <v>-55855.563758280914</v>
      </c>
      <c r="Y280" s="41">
        <f t="shared" si="122"/>
        <v>-54635.868064867114</v>
      </c>
      <c r="Z280" s="41">
        <f t="shared" si="123"/>
        <v>-53435.368371570366</v>
      </c>
      <c r="AA280" s="41">
        <f t="shared" si="124"/>
        <v>-52095.553643625586</v>
      </c>
      <c r="AB280" s="41">
        <f t="shared" si="125"/>
        <v>-49424.016809801491</v>
      </c>
      <c r="AC280" s="41">
        <f t="shared" si="126"/>
        <v>-48545.125965602041</v>
      </c>
      <c r="AD280" s="41">
        <f t="shared" si="127"/>
        <v>-47432.705245286044</v>
      </c>
      <c r="AF280" s="303">
        <f t="shared" si="128"/>
        <v>3.6872365576583995E-3</v>
      </c>
      <c r="AG280" s="303">
        <f t="shared" si="129"/>
        <v>3.6023451068175998E-3</v>
      </c>
      <c r="AH280" s="303">
        <f t="shared" si="130"/>
        <v>3.5448065319187518E-3</v>
      </c>
      <c r="AI280" s="303">
        <f t="shared" si="131"/>
        <v>3.4830372658388102E-3</v>
      </c>
      <c r="AJ280" s="303">
        <f t="shared" si="132"/>
        <v>3.43759201571798E-3</v>
      </c>
      <c r="AK280" s="303">
        <f t="shared" si="133"/>
        <v>3.3746633229173807E-3</v>
      </c>
      <c r="AL280" s="303">
        <f t="shared" si="134"/>
        <v>3.3378340461737628E-3</v>
      </c>
      <c r="AM280" s="303">
        <f t="shared" si="135"/>
        <v>3.2836757464079339E-3</v>
      </c>
      <c r="AV280" s="41">
        <v>-53494.466999999997</v>
      </c>
      <c r="AW280" s="303">
        <f t="shared" si="138"/>
        <v>3.5805697517694596E-3</v>
      </c>
      <c r="AX280" s="41">
        <f t="shared" si="139"/>
        <v>-52494.150206036276</v>
      </c>
    </row>
    <row r="281" spans="1:50" x14ac:dyDescent="0.2">
      <c r="A281" s="30">
        <v>915</v>
      </c>
      <c r="B281" s="47" t="s">
        <v>604</v>
      </c>
      <c r="C281" s="295">
        <v>0.97319581685384171</v>
      </c>
      <c r="D281" s="295">
        <v>1.0833458888887519</v>
      </c>
      <c r="E281" s="295">
        <v>0.97532220400109693</v>
      </c>
      <c r="F281" s="295">
        <v>0.98048502108735947</v>
      </c>
      <c r="G281" s="295">
        <v>0.9809301074234047</v>
      </c>
      <c r="H281" s="295">
        <v>0.97996530450863506</v>
      </c>
      <c r="I281" s="295">
        <v>0.97669174429314409</v>
      </c>
      <c r="J281" s="295">
        <v>0.98075712348981536</v>
      </c>
      <c r="L281" s="41">
        <v>-48618.999349999998</v>
      </c>
      <c r="M281" s="41">
        <f t="shared" si="113"/>
        <v>-47315.806787039648</v>
      </c>
      <c r="N281" s="41">
        <f t="shared" si="114"/>
        <v>-51259.384762193913</v>
      </c>
      <c r="O281" s="41">
        <f t="shared" si="115"/>
        <v>-49994.416122003211</v>
      </c>
      <c r="P281" s="41">
        <f t="shared" si="116"/>
        <v>-49018.776145632539</v>
      </c>
      <c r="Q281" s="41">
        <f t="shared" si="117"/>
        <v>-48083.993350299155</v>
      </c>
      <c r="R281" s="41">
        <f t="shared" si="118"/>
        <v>-47120.645185517096</v>
      </c>
      <c r="S281" s="41">
        <f t="shared" si="119"/>
        <v>-46022.345138461038</v>
      </c>
      <c r="T281" s="41">
        <f t="shared" si="120"/>
        <v>-45136.742834252538</v>
      </c>
      <c r="V281" s="41">
        <f t="shared" si="136"/>
        <v>-48618.999349999998</v>
      </c>
      <c r="W281" s="41">
        <f t="shared" si="137"/>
        <v>-48309.438729567475</v>
      </c>
      <c r="X281" s="41">
        <f t="shared" si="121"/>
        <v>-53002.20384410851</v>
      </c>
      <c r="Y281" s="41">
        <f t="shared" si="122"/>
        <v>-51644.231854029313</v>
      </c>
      <c r="Z281" s="41">
        <f t="shared" si="123"/>
        <v>-50587.376982292779</v>
      </c>
      <c r="AA281" s="41">
        <f t="shared" si="124"/>
        <v>-49382.261170757229</v>
      </c>
      <c r="AB281" s="41">
        <f t="shared" si="125"/>
        <v>-47120.645185517096</v>
      </c>
      <c r="AC281" s="41">
        <f t="shared" si="126"/>
        <v>-46022.345138461038</v>
      </c>
      <c r="AD281" s="41">
        <f t="shared" si="127"/>
        <v>-45136.742834252538</v>
      </c>
      <c r="AF281" s="303">
        <f t="shared" si="128"/>
        <v>3.3413947025316745E-3</v>
      </c>
      <c r="AG281" s="303">
        <f t="shared" si="129"/>
        <v>3.4183206975521119E-3</v>
      </c>
      <c r="AH281" s="303">
        <f t="shared" si="130"/>
        <v>3.3507074545743253E-3</v>
      </c>
      <c r="AI281" s="303">
        <f t="shared" si="131"/>
        <v>3.297398793719293E-3</v>
      </c>
      <c r="AJ281" s="303">
        <f t="shared" si="132"/>
        <v>3.2585519270984164E-3</v>
      </c>
      <c r="AK281" s="303">
        <f t="shared" si="133"/>
        <v>3.2173895066382541E-3</v>
      </c>
      <c r="AL281" s="303">
        <f t="shared" si="134"/>
        <v>3.1643743307363712E-3</v>
      </c>
      <c r="AM281" s="303">
        <f t="shared" si="135"/>
        <v>3.124730646296355E-3</v>
      </c>
      <c r="AV281" s="41">
        <v>-49306.754999999997</v>
      </c>
      <c r="AW281" s="303">
        <f t="shared" si="138"/>
        <v>3.3002716993312145E-3</v>
      </c>
      <c r="AX281" s="41">
        <f t="shared" si="139"/>
        <v>-48384.746092380548</v>
      </c>
    </row>
    <row r="282" spans="1:50" x14ac:dyDescent="0.2">
      <c r="A282" s="30">
        <v>918</v>
      </c>
      <c r="B282" s="47" t="s">
        <v>605</v>
      </c>
      <c r="C282" s="295">
        <v>1.0006054849908477</v>
      </c>
      <c r="D282" s="295">
        <v>1.0364475431296589</v>
      </c>
      <c r="E282" s="295">
        <v>0.99137754518639931</v>
      </c>
      <c r="F282" s="295">
        <v>1.0108941697043399</v>
      </c>
      <c r="G282" s="295">
        <v>0.99094496189908265</v>
      </c>
      <c r="H282" s="295">
        <v>1.0002939468950678</v>
      </c>
      <c r="I282" s="295">
        <v>1.0005142559024427</v>
      </c>
      <c r="J282" s="295">
        <v>1.0002937094738511</v>
      </c>
      <c r="L282" s="41">
        <v>-4402.2338499999996</v>
      </c>
      <c r="M282" s="41">
        <f t="shared" si="113"/>
        <v>-4404.899336522376</v>
      </c>
      <c r="N282" s="41">
        <f t="shared" si="114"/>
        <v>-4565.4470950720815</v>
      </c>
      <c r="O282" s="41">
        <f t="shared" si="115"/>
        <v>-4526.0817337909384</v>
      </c>
      <c r="P282" s="41">
        <f t="shared" si="116"/>
        <v>-4575.3896362945698</v>
      </c>
      <c r="Q282" s="41">
        <f t="shared" si="117"/>
        <v>-4533.9593088113797</v>
      </c>
      <c r="R282" s="41">
        <f t="shared" si="118"/>
        <v>-4535.2920520725684</v>
      </c>
      <c r="S282" s="41">
        <f t="shared" si="119"/>
        <v>-4537.6243527796478</v>
      </c>
      <c r="T282" s="41">
        <f t="shared" si="120"/>
        <v>-4538.9570960408364</v>
      </c>
      <c r="V282" s="41">
        <f t="shared" si="136"/>
        <v>-4402.2338499999996</v>
      </c>
      <c r="W282" s="41">
        <f t="shared" si="137"/>
        <v>-4497.402222589345</v>
      </c>
      <c r="X282" s="41">
        <f t="shared" si="121"/>
        <v>-4720.6722963045322</v>
      </c>
      <c r="Y282" s="41">
        <f t="shared" si="122"/>
        <v>-4675.4424310060394</v>
      </c>
      <c r="Z282" s="41">
        <f t="shared" si="123"/>
        <v>-4721.8021046559961</v>
      </c>
      <c r="AA282" s="41">
        <f t="shared" si="124"/>
        <v>-4656.3762101492866</v>
      </c>
      <c r="AB282" s="41">
        <f t="shared" si="125"/>
        <v>-4535.2920520725684</v>
      </c>
      <c r="AC282" s="41">
        <f t="shared" si="126"/>
        <v>-4537.6243527796478</v>
      </c>
      <c r="AD282" s="41">
        <f t="shared" si="127"/>
        <v>-4538.9570960408364</v>
      </c>
      <c r="AF282" s="303">
        <f t="shared" si="128"/>
        <v>3.1106956232378408E-4</v>
      </c>
      <c r="AG282" s="303">
        <f t="shared" si="129"/>
        <v>3.0445473294432324E-4</v>
      </c>
      <c r="AH282" s="303">
        <f t="shared" si="130"/>
        <v>3.0334539298182569E-4</v>
      </c>
      <c r="AI282" s="303">
        <f t="shared" si="131"/>
        <v>3.0777766100669319E-4</v>
      </c>
      <c r="AJ282" s="303">
        <f t="shared" si="132"/>
        <v>3.0725696460943394E-4</v>
      </c>
      <c r="AK282" s="303">
        <f t="shared" si="133"/>
        <v>3.096689572145982E-4</v>
      </c>
      <c r="AL282" s="303">
        <f t="shared" si="134"/>
        <v>3.1199500984274063E-4</v>
      </c>
      <c r="AM282" s="303">
        <f t="shared" si="135"/>
        <v>3.1422334554145458E-4</v>
      </c>
      <c r="AV282" s="41">
        <v>-5133.0410000000002</v>
      </c>
      <c r="AW282" s="303">
        <f t="shared" si="138"/>
        <v>3.4357219297450822E-4</v>
      </c>
      <c r="AX282" s="41">
        <f t="shared" si="139"/>
        <v>-5037.0559868881892</v>
      </c>
    </row>
    <row r="283" spans="1:50" x14ac:dyDescent="0.2">
      <c r="A283" s="30">
        <v>921</v>
      </c>
      <c r="B283" s="47" t="s">
        <v>606</v>
      </c>
      <c r="C283" s="295">
        <v>0.99864321083187135</v>
      </c>
      <c r="D283" s="295">
        <v>1.0353155179903988</v>
      </c>
      <c r="E283" s="295">
        <v>0.99264756924775543</v>
      </c>
      <c r="F283" s="295">
        <v>0.99363819558393329</v>
      </c>
      <c r="G283" s="295">
        <v>0.99276293744172606</v>
      </c>
      <c r="H283" s="295">
        <v>0.99321292673052675</v>
      </c>
      <c r="I283" s="295">
        <v>0.99341963841838732</v>
      </c>
      <c r="J283" s="295">
        <v>0.99363081772610784</v>
      </c>
      <c r="L283" s="41">
        <v>-6053.8046599999998</v>
      </c>
      <c r="M283" s="41">
        <f t="shared" si="113"/>
        <v>-6045.5909234113451</v>
      </c>
      <c r="N283" s="41">
        <f t="shared" si="114"/>
        <v>-6259.0940984296703</v>
      </c>
      <c r="O283" s="41">
        <f t="shared" si="115"/>
        <v>-6213.0745424991837</v>
      </c>
      <c r="P283" s="41">
        <f t="shared" si="116"/>
        <v>-6173.5481774373611</v>
      </c>
      <c r="Q283" s="41">
        <f t="shared" si="117"/>
        <v>-6128.8698230707287</v>
      </c>
      <c r="R283" s="41">
        <f t="shared" si="118"/>
        <v>-6087.2727345224839</v>
      </c>
      <c r="S283" s="41">
        <f t="shared" si="119"/>
        <v>-6047.2162788834339</v>
      </c>
      <c r="T283" s="41">
        <f t="shared" si="120"/>
        <v>-6008.7004561535778</v>
      </c>
      <c r="V283" s="41">
        <f t="shared" si="136"/>
        <v>-6053.8046599999998</v>
      </c>
      <c r="W283" s="41">
        <f t="shared" si="137"/>
        <v>-6172.5483328029832</v>
      </c>
      <c r="X283" s="41">
        <f t="shared" si="121"/>
        <v>-6471.903297776279</v>
      </c>
      <c r="Y283" s="41">
        <f t="shared" si="122"/>
        <v>-6418.106002401656</v>
      </c>
      <c r="Z283" s="41">
        <f t="shared" si="123"/>
        <v>-6371.1017191153569</v>
      </c>
      <c r="AA283" s="41">
        <f t="shared" si="124"/>
        <v>-6294.3493082936375</v>
      </c>
      <c r="AB283" s="41">
        <f t="shared" si="125"/>
        <v>-6087.2727345224839</v>
      </c>
      <c r="AC283" s="41">
        <f t="shared" si="126"/>
        <v>-6047.2162788834339</v>
      </c>
      <c r="AD283" s="41">
        <f t="shared" si="127"/>
        <v>-6008.7004561535778</v>
      </c>
      <c r="AF283" s="303">
        <f t="shared" si="128"/>
        <v>4.2693355258804244E-4</v>
      </c>
      <c r="AG283" s="303">
        <f t="shared" si="129"/>
        <v>4.1739851158667475E-4</v>
      </c>
      <c r="AH283" s="303">
        <f t="shared" si="130"/>
        <v>4.1641040740579056E-4</v>
      </c>
      <c r="AI283" s="303">
        <f t="shared" si="131"/>
        <v>4.1528271233804819E-4</v>
      </c>
      <c r="AJ283" s="303">
        <f t="shared" si="132"/>
        <v>4.1534072320925902E-4</v>
      </c>
      <c r="AK283" s="303">
        <f t="shared" si="133"/>
        <v>4.1563792989229772E-4</v>
      </c>
      <c r="AL283" s="303">
        <f t="shared" si="134"/>
        <v>4.1579054495678275E-4</v>
      </c>
      <c r="AM283" s="303">
        <f t="shared" si="135"/>
        <v>4.1597087607105564E-4</v>
      </c>
      <c r="AV283" s="41">
        <v>-5647.09</v>
      </c>
      <c r="AW283" s="303">
        <f t="shared" si="138"/>
        <v>3.7797927100609866E-4</v>
      </c>
      <c r="AX283" s="41">
        <f t="shared" si="139"/>
        <v>-5541.4925563611177</v>
      </c>
    </row>
    <row r="284" spans="1:50" x14ac:dyDescent="0.2">
      <c r="A284" s="30">
        <v>922</v>
      </c>
      <c r="B284" s="47" t="s">
        <v>607</v>
      </c>
      <c r="C284" s="295">
        <v>0.99168046590151504</v>
      </c>
      <c r="D284" s="295">
        <v>1.0431978718824719</v>
      </c>
      <c r="E284" s="295">
        <v>0.99452851820809396</v>
      </c>
      <c r="F284" s="295">
        <v>0.99212494362495007</v>
      </c>
      <c r="G284" s="295">
        <v>0.99972999770574278</v>
      </c>
      <c r="H284" s="295">
        <v>0.99506227278995618</v>
      </c>
      <c r="I284" s="295">
        <v>1.0044937085588659</v>
      </c>
      <c r="J284" s="295">
        <v>0.98560121505817899</v>
      </c>
      <c r="L284" s="41">
        <v>-13023.937619999999</v>
      </c>
      <c r="M284" s="41">
        <f t="shared" si="113"/>
        <v>-12915.584526873869</v>
      </c>
      <c r="N284" s="41">
        <f t="shared" si="114"/>
        <v>-13473.510292553003</v>
      </c>
      <c r="O284" s="41">
        <f t="shared" si="115"/>
        <v>-13399.79022631424</v>
      </c>
      <c r="P284" s="41">
        <f t="shared" si="116"/>
        <v>-13294.266122868174</v>
      </c>
      <c r="Q284" s="41">
        <f t="shared" si="117"/>
        <v>-13290.676640514534</v>
      </c>
      <c r="R284" s="41">
        <f t="shared" si="118"/>
        <v>-13225.05090482677</v>
      </c>
      <c r="S284" s="41">
        <f t="shared" si="119"/>
        <v>-13284.480429269228</v>
      </c>
      <c r="T284" s="41">
        <f t="shared" si="120"/>
        <v>-13093.20005250435</v>
      </c>
      <c r="V284" s="41">
        <f t="shared" si="136"/>
        <v>-13023.937619999999</v>
      </c>
      <c r="W284" s="41">
        <f t="shared" si="137"/>
        <v>-13186.811801938218</v>
      </c>
      <c r="X284" s="41">
        <f t="shared" si="121"/>
        <v>-13931.609642499805</v>
      </c>
      <c r="Y284" s="41">
        <f t="shared" si="122"/>
        <v>-13841.98330378261</v>
      </c>
      <c r="Z284" s="41">
        <f t="shared" si="123"/>
        <v>-13719.682638799955</v>
      </c>
      <c r="AA284" s="41">
        <f t="shared" si="124"/>
        <v>-13649.524909808424</v>
      </c>
      <c r="AB284" s="41">
        <f t="shared" si="125"/>
        <v>-13225.05090482677</v>
      </c>
      <c r="AC284" s="41">
        <f t="shared" si="126"/>
        <v>-13284.480429269228</v>
      </c>
      <c r="AD284" s="41">
        <f t="shared" si="127"/>
        <v>-13093.20005250435</v>
      </c>
      <c r="AF284" s="303">
        <f t="shared" si="128"/>
        <v>9.1208559356145994E-4</v>
      </c>
      <c r="AG284" s="303">
        <f t="shared" si="129"/>
        <v>8.9850432882456811E-4</v>
      </c>
      <c r="AH284" s="303">
        <f t="shared" si="130"/>
        <v>8.9807583493874956E-4</v>
      </c>
      <c r="AI284" s="303">
        <f t="shared" si="131"/>
        <v>8.9427971328155068E-4</v>
      </c>
      <c r="AJ284" s="303">
        <f t="shared" si="132"/>
        <v>9.006814318412074E-4</v>
      </c>
      <c r="AK284" s="303">
        <f t="shared" si="133"/>
        <v>9.0300418931921851E-4</v>
      </c>
      <c r="AL284" s="303">
        <f t="shared" si="134"/>
        <v>9.1340562374816288E-4</v>
      </c>
      <c r="AM284" s="303">
        <f t="shared" si="135"/>
        <v>9.0641727544199958E-4</v>
      </c>
      <c r="AV284" s="41">
        <v>-13105.020640000001</v>
      </c>
      <c r="AW284" s="303">
        <f t="shared" si="138"/>
        <v>8.7716437103482964E-4</v>
      </c>
      <c r="AX284" s="41">
        <f t="shared" si="139"/>
        <v>-12859.964039446653</v>
      </c>
    </row>
    <row r="285" spans="1:50" x14ac:dyDescent="0.2">
      <c r="A285" s="30">
        <v>924</v>
      </c>
      <c r="B285" s="47" t="s">
        <v>608</v>
      </c>
      <c r="C285" s="295">
        <v>1.0023201622648725</v>
      </c>
      <c r="D285" s="295">
        <v>1.0293511686956529</v>
      </c>
      <c r="E285" s="295">
        <v>0.98885063836461728</v>
      </c>
      <c r="F285" s="295">
        <v>0.99603283739987991</v>
      </c>
      <c r="G285" s="295">
        <v>0.9952712153284976</v>
      </c>
      <c r="H285" s="295">
        <v>0.99513562262409971</v>
      </c>
      <c r="I285" s="295">
        <v>0.98825946184030311</v>
      </c>
      <c r="J285" s="295">
        <v>0.98858009815928771</v>
      </c>
      <c r="L285" s="41">
        <v>-8517.840470000001</v>
      </c>
      <c r="M285" s="41">
        <f t="shared" si="113"/>
        <v>-8537.6032420366992</v>
      </c>
      <c r="N285" s="41">
        <f t="shared" si="114"/>
        <v>-8788.1918750502718</v>
      </c>
      <c r="O285" s="41">
        <f t="shared" si="115"/>
        <v>-8690.2091457142051</v>
      </c>
      <c r="P285" s="41">
        <f t="shared" si="116"/>
        <v>-8655.7336730041061</v>
      </c>
      <c r="Q285" s="41">
        <f t="shared" si="117"/>
        <v>-8614.8025722905968</v>
      </c>
      <c r="R285" s="41">
        <f t="shared" si="118"/>
        <v>-8572.8969215600991</v>
      </c>
      <c r="S285" s="41">
        <f t="shared" si="119"/>
        <v>-8472.2464981133744</v>
      </c>
      <c r="T285" s="41">
        <f t="shared" si="120"/>
        <v>-8375.4942747346013</v>
      </c>
      <c r="V285" s="41">
        <f t="shared" si="136"/>
        <v>-8517.840470000001</v>
      </c>
      <c r="W285" s="41">
        <f t="shared" si="137"/>
        <v>-8716.8929101194699</v>
      </c>
      <c r="X285" s="41">
        <f t="shared" si="121"/>
        <v>-9086.9903988019814</v>
      </c>
      <c r="Y285" s="41">
        <f t="shared" si="122"/>
        <v>-8976.9860475227724</v>
      </c>
      <c r="Z285" s="41">
        <f t="shared" si="123"/>
        <v>-8932.7171505402384</v>
      </c>
      <c r="AA285" s="41">
        <f t="shared" si="124"/>
        <v>-8847.4022417424421</v>
      </c>
      <c r="AB285" s="41">
        <f t="shared" si="125"/>
        <v>-8572.8969215600991</v>
      </c>
      <c r="AC285" s="41">
        <f t="shared" si="126"/>
        <v>-8472.2464981133744</v>
      </c>
      <c r="AD285" s="41">
        <f t="shared" si="127"/>
        <v>-8375.4942747346013</v>
      </c>
      <c r="AF285" s="303">
        <f t="shared" si="128"/>
        <v>6.0291695698344713E-4</v>
      </c>
      <c r="AG285" s="303">
        <f t="shared" si="129"/>
        <v>5.8605576949296743E-4</v>
      </c>
      <c r="AH285" s="303">
        <f t="shared" si="130"/>
        <v>5.8243201591345699E-4</v>
      </c>
      <c r="AI285" s="303">
        <f t="shared" si="131"/>
        <v>5.8225455664833413E-4</v>
      </c>
      <c r="AJ285" s="303">
        <f t="shared" si="132"/>
        <v>5.8380720001774292E-4</v>
      </c>
      <c r="AK285" s="303">
        <f t="shared" si="133"/>
        <v>5.8535591964679868E-4</v>
      </c>
      <c r="AL285" s="303">
        <f t="shared" si="134"/>
        <v>5.8252918797691597E-4</v>
      </c>
      <c r="AM285" s="303">
        <f t="shared" si="135"/>
        <v>5.798194994762134E-4</v>
      </c>
      <c r="AV285" s="41">
        <v>-8892.2649999999994</v>
      </c>
      <c r="AW285" s="303">
        <f t="shared" si="138"/>
        <v>5.9519006112759767E-4</v>
      </c>
      <c r="AX285" s="41">
        <f t="shared" si="139"/>
        <v>-8725.9845879365275</v>
      </c>
    </row>
    <row r="286" spans="1:50" x14ac:dyDescent="0.2">
      <c r="A286" s="30">
        <v>925</v>
      </c>
      <c r="B286" s="47" t="s">
        <v>609</v>
      </c>
      <c r="C286" s="295">
        <v>0.99551337484502844</v>
      </c>
      <c r="D286" s="295">
        <v>1.0275540709457986</v>
      </c>
      <c r="E286" s="295">
        <v>1.004467544490641</v>
      </c>
      <c r="F286" s="295">
        <v>0.99357296238777959</v>
      </c>
      <c r="G286" s="295">
        <v>0.98519302591767843</v>
      </c>
      <c r="H286" s="295">
        <v>1.0018325712500384</v>
      </c>
      <c r="I286" s="295">
        <v>0.99064372899365005</v>
      </c>
      <c r="J286" s="295">
        <v>0.99779591348620367</v>
      </c>
      <c r="L286" s="41">
        <v>-10540.13341</v>
      </c>
      <c r="M286" s="41">
        <f t="shared" si="113"/>
        <v>-10492.843782305938</v>
      </c>
      <c r="N286" s="41">
        <f t="shared" si="114"/>
        <v>-10781.964344306778</v>
      </c>
      <c r="O286" s="41">
        <f t="shared" si="115"/>
        <v>-10830.133249711474</v>
      </c>
      <c r="P286" s="41">
        <f t="shared" si="116"/>
        <v>-10760.52757597022</v>
      </c>
      <c r="Q286" s="41">
        <f t="shared" si="117"/>
        <v>-10601.196723040723</v>
      </c>
      <c r="R286" s="41">
        <f t="shared" si="118"/>
        <v>-10620.624171371368</v>
      </c>
      <c r="S286" s="41">
        <f t="shared" si="119"/>
        <v>-10521.254733367427</v>
      </c>
      <c r="T286" s="41">
        <f t="shared" si="120"/>
        <v>-10498.064977701395</v>
      </c>
      <c r="V286" s="41">
        <f t="shared" si="136"/>
        <v>-10540.13341</v>
      </c>
      <c r="W286" s="41">
        <f t="shared" si="137"/>
        <v>-10713.193501734362</v>
      </c>
      <c r="X286" s="41">
        <f t="shared" si="121"/>
        <v>-11148.551132013208</v>
      </c>
      <c r="Y286" s="41">
        <f t="shared" si="122"/>
        <v>-11187.527646951952</v>
      </c>
      <c r="Z286" s="41">
        <f t="shared" si="123"/>
        <v>-11104.864458401267</v>
      </c>
      <c r="AA286" s="41">
        <f t="shared" si="124"/>
        <v>-10887.429034562821</v>
      </c>
      <c r="AB286" s="41">
        <f t="shared" si="125"/>
        <v>-10620.624171371368</v>
      </c>
      <c r="AC286" s="41">
        <f t="shared" si="126"/>
        <v>-10521.254733367427</v>
      </c>
      <c r="AD286" s="41">
        <f t="shared" si="127"/>
        <v>-10498.064977701395</v>
      </c>
      <c r="AF286" s="303">
        <f t="shared" si="128"/>
        <v>7.4099407807821699E-4</v>
      </c>
      <c r="AG286" s="303">
        <f t="shared" si="129"/>
        <v>7.1901393372937714E-4</v>
      </c>
      <c r="AH286" s="303">
        <f t="shared" si="130"/>
        <v>7.2585322579395823E-4</v>
      </c>
      <c r="AI286" s="303">
        <f t="shared" si="131"/>
        <v>7.2383999435997218E-4</v>
      </c>
      <c r="AJ286" s="303">
        <f t="shared" si="132"/>
        <v>7.1842098803548817E-4</v>
      </c>
      <c r="AK286" s="303">
        <f t="shared" si="133"/>
        <v>7.2517438223493325E-4</v>
      </c>
      <c r="AL286" s="303">
        <f t="shared" si="134"/>
        <v>7.2341355715885053E-4</v>
      </c>
      <c r="AM286" s="303">
        <f t="shared" si="135"/>
        <v>7.2676102223620347E-4</v>
      </c>
      <c r="AV286" s="41">
        <v>-11329.055</v>
      </c>
      <c r="AW286" s="303">
        <f t="shared" si="138"/>
        <v>7.5829284641965988E-4</v>
      </c>
      <c r="AX286" s="41">
        <f t="shared" si="139"/>
        <v>-11117.207969610135</v>
      </c>
    </row>
    <row r="287" spans="1:50" x14ac:dyDescent="0.2">
      <c r="A287" s="30">
        <v>927</v>
      </c>
      <c r="B287" s="47" t="s">
        <v>610</v>
      </c>
      <c r="C287" s="295">
        <v>0.97776642650830725</v>
      </c>
      <c r="D287" s="295">
        <v>1.0440083227154968</v>
      </c>
      <c r="E287" s="295">
        <v>0.98211420829619345</v>
      </c>
      <c r="F287" s="295">
        <v>0.98266194960873532</v>
      </c>
      <c r="G287" s="295">
        <v>0.98244626692586079</v>
      </c>
      <c r="H287" s="295">
        <v>0.9820383826670267</v>
      </c>
      <c r="I287" s="295">
        <v>0.98691449128129305</v>
      </c>
      <c r="J287" s="295">
        <v>0.98806875877409572</v>
      </c>
      <c r="L287" s="41">
        <v>-57157.195899999999</v>
      </c>
      <c r="M287" s="41">
        <f t="shared" si="113"/>
        <v>-55886.387184378269</v>
      </c>
      <c r="N287" s="41">
        <f t="shared" si="114"/>
        <v>-58345.853346991593</v>
      </c>
      <c r="O287" s="41">
        <f t="shared" si="115"/>
        <v>-57302.291567246459</v>
      </c>
      <c r="P287" s="41">
        <f t="shared" si="116"/>
        <v>-56308.7815485186</v>
      </c>
      <c r="Q287" s="41">
        <f t="shared" si="117"/>
        <v>-55320.352227485891</v>
      </c>
      <c r="R287" s="41">
        <f t="shared" si="118"/>
        <v>-54326.709230050496</v>
      </c>
      <c r="S287" s="41">
        <f t="shared" si="119"/>
        <v>-53615.81660276201</v>
      </c>
      <c r="T287" s="41">
        <f t="shared" si="120"/>
        <v>-52976.11336135061</v>
      </c>
      <c r="V287" s="41">
        <f t="shared" si="136"/>
        <v>-57157.195899999999</v>
      </c>
      <c r="W287" s="41">
        <f t="shared" si="137"/>
        <v>-57060.001315250207</v>
      </c>
      <c r="X287" s="41">
        <f t="shared" si="121"/>
        <v>-60329.61236078931</v>
      </c>
      <c r="Y287" s="41">
        <f t="shared" si="122"/>
        <v>-59193.26718896559</v>
      </c>
      <c r="Z287" s="41">
        <f t="shared" si="123"/>
        <v>-58110.662558071199</v>
      </c>
      <c r="AA287" s="41">
        <f t="shared" si="124"/>
        <v>-56814.001737628008</v>
      </c>
      <c r="AB287" s="41">
        <f t="shared" si="125"/>
        <v>-54326.709230050496</v>
      </c>
      <c r="AC287" s="41">
        <f t="shared" si="126"/>
        <v>-53615.81660276201</v>
      </c>
      <c r="AD287" s="41">
        <f t="shared" si="127"/>
        <v>-52976.11336135061</v>
      </c>
      <c r="AF287" s="303">
        <f t="shared" si="128"/>
        <v>3.9466404730662966E-3</v>
      </c>
      <c r="AG287" s="303">
        <f t="shared" si="129"/>
        <v>3.8908941072476741E-3</v>
      </c>
      <c r="AH287" s="303">
        <f t="shared" si="130"/>
        <v>3.8404932072816237E-3</v>
      </c>
      <c r="AI287" s="303">
        <f t="shared" si="131"/>
        <v>3.787783436335985E-3</v>
      </c>
      <c r="AJ287" s="303">
        <f t="shared" si="132"/>
        <v>3.7489448733050335E-3</v>
      </c>
      <c r="AK287" s="303">
        <f t="shared" si="133"/>
        <v>3.7094183137516804E-3</v>
      </c>
      <c r="AL287" s="303">
        <f t="shared" si="134"/>
        <v>3.6864812792311002E-3</v>
      </c>
      <c r="AM287" s="303">
        <f t="shared" si="135"/>
        <v>3.6674353209257952E-3</v>
      </c>
      <c r="AV287" s="41">
        <v>-71584.616999999998</v>
      </c>
      <c r="AW287" s="303">
        <f t="shared" si="138"/>
        <v>4.7914060779818942E-3</v>
      </c>
      <c r="AX287" s="41">
        <f t="shared" si="139"/>
        <v>-70246.024457811276</v>
      </c>
    </row>
    <row r="288" spans="1:50" x14ac:dyDescent="0.2">
      <c r="A288" s="30">
        <v>931</v>
      </c>
      <c r="B288" s="47" t="s">
        <v>611</v>
      </c>
      <c r="C288" s="295">
        <v>0.97376646841873449</v>
      </c>
      <c r="D288" s="295">
        <v>1.067350533053032</v>
      </c>
      <c r="E288" s="295">
        <v>0.97368091963602199</v>
      </c>
      <c r="F288" s="295">
        <v>0.99017712258325807</v>
      </c>
      <c r="G288" s="295">
        <v>0.98008658045244168</v>
      </c>
      <c r="H288" s="295">
        <v>0.98053724236638318</v>
      </c>
      <c r="I288" s="295">
        <v>0.97755415757920217</v>
      </c>
      <c r="J288" s="295">
        <v>0.98230557453177481</v>
      </c>
      <c r="L288" s="41">
        <v>-15919.67605</v>
      </c>
      <c r="M288" s="41">
        <f t="shared" si="113"/>
        <v>-15502.046725578808</v>
      </c>
      <c r="N288" s="41">
        <f t="shared" si="114"/>
        <v>-16546.117835959551</v>
      </c>
      <c r="O288" s="41">
        <f t="shared" si="115"/>
        <v>-16110.639230923081</v>
      </c>
      <c r="P288" s="41">
        <f t="shared" si="116"/>
        <v>-15952.386396652371</v>
      </c>
      <c r="Q288" s="41">
        <f t="shared" si="117"/>
        <v>-15634.719833551071</v>
      </c>
      <c r="R288" s="41">
        <f t="shared" si="118"/>
        <v>-15330.425070761165</v>
      </c>
      <c r="S288" s="41">
        <f t="shared" si="119"/>
        <v>-14986.32076537901</v>
      </c>
      <c r="T288" s="41">
        <f t="shared" si="120"/>
        <v>-14721.146429553097</v>
      </c>
      <c r="V288" s="41">
        <f t="shared" si="136"/>
        <v>-15919.67605</v>
      </c>
      <c r="W288" s="41">
        <f t="shared" si="137"/>
        <v>-15827.589706815961</v>
      </c>
      <c r="X288" s="41">
        <f t="shared" si="121"/>
        <v>-17108.685842382176</v>
      </c>
      <c r="Y288" s="41">
        <f t="shared" si="122"/>
        <v>-16642.290325543541</v>
      </c>
      <c r="Z288" s="41">
        <f t="shared" si="123"/>
        <v>-16462.862761345248</v>
      </c>
      <c r="AA288" s="41">
        <f t="shared" si="124"/>
        <v>-16056.857269056949</v>
      </c>
      <c r="AB288" s="41">
        <f t="shared" si="125"/>
        <v>-15330.425070761165</v>
      </c>
      <c r="AC288" s="41">
        <f t="shared" si="126"/>
        <v>-14986.32076537901</v>
      </c>
      <c r="AD288" s="41">
        <f t="shared" si="127"/>
        <v>-14721.146429553097</v>
      </c>
      <c r="AF288" s="303">
        <f t="shared" si="128"/>
        <v>1.0947389535252673E-3</v>
      </c>
      <c r="AG288" s="303">
        <f t="shared" si="129"/>
        <v>1.1034064752277746E-3</v>
      </c>
      <c r="AH288" s="303">
        <f t="shared" si="130"/>
        <v>1.0797613644947307E-3</v>
      </c>
      <c r="AI288" s="303">
        <f t="shared" si="131"/>
        <v>1.0730863517479363E-3</v>
      </c>
      <c r="AJ288" s="303">
        <f t="shared" si="132"/>
        <v>1.0595323494059321E-3</v>
      </c>
      <c r="AK288" s="303">
        <f t="shared" si="133"/>
        <v>1.0467587733737375E-3</v>
      </c>
      <c r="AL288" s="303">
        <f t="shared" si="134"/>
        <v>1.0304196494001733E-3</v>
      </c>
      <c r="AM288" s="303">
        <f t="shared" si="135"/>
        <v>1.0191168991957786E-3</v>
      </c>
      <c r="AV288" s="41">
        <v>-17946.418000000001</v>
      </c>
      <c r="AW288" s="303">
        <f t="shared" si="138"/>
        <v>1.2012158461810821E-3</v>
      </c>
      <c r="AX288" s="41">
        <f t="shared" si="139"/>
        <v>-17610.829960270719</v>
      </c>
    </row>
    <row r="289" spans="1:50" x14ac:dyDescent="0.2">
      <c r="A289" s="30">
        <v>934</v>
      </c>
      <c r="B289" s="47" t="s">
        <v>612</v>
      </c>
      <c r="C289" s="295">
        <v>0.99271479202391077</v>
      </c>
      <c r="D289" s="295">
        <v>1.0445786661007803</v>
      </c>
      <c r="E289" s="295">
        <v>0.9948916023945592</v>
      </c>
      <c r="F289" s="295">
        <v>0.99608145957990191</v>
      </c>
      <c r="G289" s="295">
        <v>0.98839959587921677</v>
      </c>
      <c r="H289" s="295">
        <v>0.98533494817419054</v>
      </c>
      <c r="I289" s="295">
        <v>0.99489172372465795</v>
      </c>
      <c r="J289" s="295">
        <v>0.97922928081831695</v>
      </c>
      <c r="L289" s="41">
        <v>-6477.8974000000007</v>
      </c>
      <c r="M289" s="41">
        <f t="shared" si="113"/>
        <v>-6430.7045701932329</v>
      </c>
      <c r="N289" s="41">
        <f t="shared" si="114"/>
        <v>-6717.3768020206389</v>
      </c>
      <c r="O289" s="41">
        <f t="shared" si="115"/>
        <v>-6683.0617704503529</v>
      </c>
      <c r="P289" s="41">
        <f t="shared" si="116"/>
        <v>-6656.8739227728311</v>
      </c>
      <c r="Q289" s="41">
        <f t="shared" si="117"/>
        <v>-6579.6514950875626</v>
      </c>
      <c r="R289" s="41">
        <f t="shared" si="118"/>
        <v>-6483.1605649163384</v>
      </c>
      <c r="S289" s="41">
        <f t="shared" si="119"/>
        <v>-6450.0427896133433</v>
      </c>
      <c r="T289" s="41">
        <f t="shared" si="120"/>
        <v>-6316.0707621204447</v>
      </c>
      <c r="V289" s="41">
        <f t="shared" si="136"/>
        <v>-6477.8974000000007</v>
      </c>
      <c r="W289" s="41">
        <f t="shared" si="137"/>
        <v>-6565.7493661672906</v>
      </c>
      <c r="X289" s="41">
        <f t="shared" si="121"/>
        <v>-6945.7676132893412</v>
      </c>
      <c r="Y289" s="41">
        <f t="shared" si="122"/>
        <v>-6903.6028088752137</v>
      </c>
      <c r="Z289" s="41">
        <f t="shared" si="123"/>
        <v>-6869.8938883015617</v>
      </c>
      <c r="AA289" s="41">
        <f t="shared" si="124"/>
        <v>-6757.3020854549259</v>
      </c>
      <c r="AB289" s="41">
        <f t="shared" si="125"/>
        <v>-6483.1605649163384</v>
      </c>
      <c r="AC289" s="41">
        <f t="shared" si="126"/>
        <v>-6450.0427896133433</v>
      </c>
      <c r="AD289" s="41">
        <f t="shared" si="127"/>
        <v>-6316.0707621204447</v>
      </c>
      <c r="AF289" s="303">
        <f t="shared" si="128"/>
        <v>4.5412989111866063E-4</v>
      </c>
      <c r="AG289" s="303">
        <f t="shared" si="129"/>
        <v>4.4795988602147982E-4</v>
      </c>
      <c r="AH289" s="303">
        <f t="shared" si="130"/>
        <v>4.4790971933710081E-4</v>
      </c>
      <c r="AI289" s="303">
        <f t="shared" si="131"/>
        <v>4.4779510564847669E-4</v>
      </c>
      <c r="AJ289" s="303">
        <f t="shared" si="132"/>
        <v>4.458892568002604E-4</v>
      </c>
      <c r="AK289" s="303">
        <f t="shared" si="133"/>
        <v>4.4266908250704295E-4</v>
      </c>
      <c r="AL289" s="303">
        <f t="shared" si="134"/>
        <v>4.4348782692837349E-4</v>
      </c>
      <c r="AM289" s="303">
        <f t="shared" si="135"/>
        <v>4.3724953630453861E-4</v>
      </c>
      <c r="AV289" s="41">
        <v>-6710.3829999999998</v>
      </c>
      <c r="AW289" s="303">
        <f t="shared" si="138"/>
        <v>4.4914915018384993E-4</v>
      </c>
      <c r="AX289" s="41">
        <f t="shared" si="139"/>
        <v>-6584.9025683727696</v>
      </c>
    </row>
    <row r="290" spans="1:50" x14ac:dyDescent="0.2">
      <c r="A290" s="30">
        <v>935</v>
      </c>
      <c r="B290" s="47" t="s">
        <v>613</v>
      </c>
      <c r="C290" s="295">
        <v>0.9934435834675861</v>
      </c>
      <c r="D290" s="295">
        <v>1.0486800888013528</v>
      </c>
      <c r="E290" s="295">
        <v>0.99542704618930888</v>
      </c>
      <c r="F290" s="295">
        <v>0.99623506402028328</v>
      </c>
      <c r="G290" s="295">
        <v>0.99489213831230394</v>
      </c>
      <c r="H290" s="295">
        <v>0.99471033575144185</v>
      </c>
      <c r="I290" s="295">
        <v>0.99042005053058013</v>
      </c>
      <c r="J290" s="295">
        <v>0.99510452508809255</v>
      </c>
      <c r="L290" s="41">
        <v>-9266.6144600000007</v>
      </c>
      <c r="M290" s="41">
        <f t="shared" si="113"/>
        <v>-9205.858675754951</v>
      </c>
      <c r="N290" s="41">
        <f t="shared" si="114"/>
        <v>-9654.0006935834062</v>
      </c>
      <c r="O290" s="41">
        <f t="shared" si="115"/>
        <v>-9609.8533943232687</v>
      </c>
      <c r="P290" s="41">
        <f t="shared" si="116"/>
        <v>-9573.6729115191774</v>
      </c>
      <c r="Q290" s="41">
        <f t="shared" si="117"/>
        <v>-9524.7719144438943</v>
      </c>
      <c r="R290" s="41">
        <f t="shared" si="118"/>
        <v>-9474.3890689723903</v>
      </c>
      <c r="S290" s="41">
        <f t="shared" si="119"/>
        <v>-9383.6249004380115</v>
      </c>
      <c r="T290" s="41">
        <f t="shared" si="120"/>
        <v>-9337.6876001551664</v>
      </c>
      <c r="V290" s="41">
        <f t="shared" si="136"/>
        <v>-9266.6144600000007</v>
      </c>
      <c r="W290" s="41">
        <f t="shared" si="137"/>
        <v>-9399.1817079458033</v>
      </c>
      <c r="X290" s="41">
        <f t="shared" si="121"/>
        <v>-9982.2367171652422</v>
      </c>
      <c r="Y290" s="41">
        <f t="shared" si="122"/>
        <v>-9926.9785563359364</v>
      </c>
      <c r="Z290" s="41">
        <f t="shared" si="123"/>
        <v>-9880.0304446877908</v>
      </c>
      <c r="AA290" s="41">
        <f t="shared" si="124"/>
        <v>-9781.9407561338794</v>
      </c>
      <c r="AB290" s="41">
        <f t="shared" si="125"/>
        <v>-9474.3890689723903</v>
      </c>
      <c r="AC290" s="41">
        <f t="shared" si="126"/>
        <v>-9383.6249004380115</v>
      </c>
      <c r="AD290" s="41">
        <f t="shared" si="127"/>
        <v>-9337.6876001551664</v>
      </c>
      <c r="AF290" s="303">
        <f t="shared" si="128"/>
        <v>6.5010848382804039E-4</v>
      </c>
      <c r="AG290" s="303">
        <f t="shared" si="129"/>
        <v>6.4379372749315397E-4</v>
      </c>
      <c r="AH290" s="303">
        <f t="shared" si="130"/>
        <v>6.4406807606567484E-4</v>
      </c>
      <c r="AI290" s="303">
        <f t="shared" si="131"/>
        <v>6.44002563754727E-4</v>
      </c>
      <c r="AJ290" s="303">
        <f t="shared" si="132"/>
        <v>6.4547392415756854E-4</v>
      </c>
      <c r="AK290" s="303">
        <f t="shared" si="133"/>
        <v>6.4690964761427079E-4</v>
      </c>
      <c r="AL290" s="303">
        <f t="shared" si="134"/>
        <v>6.45193148564476E-4</v>
      </c>
      <c r="AM290" s="303">
        <f t="shared" si="135"/>
        <v>6.4643030882601557E-4</v>
      </c>
      <c r="AV290" s="41">
        <v>-9153.6149999999998</v>
      </c>
      <c r="AW290" s="303">
        <f t="shared" si="138"/>
        <v>6.1268312082337793E-4</v>
      </c>
      <c r="AX290" s="41">
        <f t="shared" si="139"/>
        <v>-8982.4474882276463</v>
      </c>
    </row>
    <row r="291" spans="1:50" x14ac:dyDescent="0.2">
      <c r="A291" s="30">
        <v>936</v>
      </c>
      <c r="B291" s="47" t="s">
        <v>614</v>
      </c>
      <c r="C291" s="295">
        <v>0.98009252303448879</v>
      </c>
      <c r="D291" s="295">
        <v>1.03115422567349</v>
      </c>
      <c r="E291" s="295">
        <v>0.9771265418731917</v>
      </c>
      <c r="F291" s="295">
        <v>0.98539952331579905</v>
      </c>
      <c r="G291" s="295">
        <v>0.97858663295529236</v>
      </c>
      <c r="H291" s="295">
        <v>0.98001552931257208</v>
      </c>
      <c r="I291" s="295">
        <v>0.97565007326788011</v>
      </c>
      <c r="J291" s="295">
        <v>0.98583831576647118</v>
      </c>
      <c r="L291" s="41">
        <v>-16072.24152</v>
      </c>
      <c r="M291" s="41">
        <f t="shared" si="113"/>
        <v>-15752.283742156467</v>
      </c>
      <c r="N291" s="41">
        <f t="shared" si="114"/>
        <v>-16243.033944732459</v>
      </c>
      <c r="O291" s="41">
        <f t="shared" si="115"/>
        <v>-15871.499587945294</v>
      </c>
      <c r="P291" s="41">
        <f t="shared" si="116"/>
        <v>-15639.768128268195</v>
      </c>
      <c r="Q291" s="41">
        <f t="shared" si="117"/>
        <v>-15304.868032843468</v>
      </c>
      <c r="R291" s="41">
        <f t="shared" si="118"/>
        <v>-14999.008346266155</v>
      </c>
      <c r="S291" s="41">
        <f t="shared" si="119"/>
        <v>-14633.78359198012</v>
      </c>
      <c r="T291" s="41">
        <f t="shared" si="120"/>
        <v>-14426.544569608703</v>
      </c>
      <c r="V291" s="41">
        <f t="shared" si="136"/>
        <v>-16072.24152</v>
      </c>
      <c r="W291" s="41">
        <f t="shared" si="137"/>
        <v>-16083.081700741752</v>
      </c>
      <c r="X291" s="41">
        <f t="shared" si="121"/>
        <v>-16795.297098853363</v>
      </c>
      <c r="Y291" s="41">
        <f t="shared" si="122"/>
        <v>-16395.259074347487</v>
      </c>
      <c r="Z291" s="41">
        <f t="shared" si="123"/>
        <v>-16140.240708372778</v>
      </c>
      <c r="AA291" s="41">
        <f t="shared" si="124"/>
        <v>-15718.099469730239</v>
      </c>
      <c r="AB291" s="41">
        <f t="shared" si="125"/>
        <v>-14999.008346266155</v>
      </c>
      <c r="AC291" s="41">
        <f t="shared" si="126"/>
        <v>-14633.78359198012</v>
      </c>
      <c r="AD291" s="41">
        <f t="shared" si="127"/>
        <v>-14426.544569608703</v>
      </c>
      <c r="AF291" s="303">
        <f t="shared" si="128"/>
        <v>1.11241044003998E-3</v>
      </c>
      <c r="AG291" s="303">
        <f t="shared" si="129"/>
        <v>1.0831948019257508E-3</v>
      </c>
      <c r="AH291" s="303">
        <f t="shared" si="130"/>
        <v>1.0637338348911344E-3</v>
      </c>
      <c r="AI291" s="303">
        <f t="shared" si="131"/>
        <v>1.0520571220910789E-3</v>
      </c>
      <c r="AJ291" s="303">
        <f t="shared" si="132"/>
        <v>1.0371789809362568E-3</v>
      </c>
      <c r="AK291" s="303">
        <f t="shared" si="133"/>
        <v>1.0241296967234373E-3</v>
      </c>
      <c r="AL291" s="303">
        <f t="shared" si="134"/>
        <v>1.0061801288199512E-3</v>
      </c>
      <c r="AM291" s="303">
        <f t="shared" si="135"/>
        <v>9.9872217413543183E-4</v>
      </c>
      <c r="AV291" s="41">
        <v>-18022.842000000001</v>
      </c>
      <c r="AW291" s="303">
        <f t="shared" si="138"/>
        <v>1.2063311689061262E-3</v>
      </c>
      <c r="AX291" s="41">
        <f t="shared" si="139"/>
        <v>-17685.824873956764</v>
      </c>
    </row>
    <row r="292" spans="1:50" x14ac:dyDescent="0.2">
      <c r="A292" s="30">
        <v>946</v>
      </c>
      <c r="B292" s="47" t="s">
        <v>615</v>
      </c>
      <c r="C292" s="295">
        <v>0.98994538466554949</v>
      </c>
      <c r="D292" s="295">
        <v>1.0197779553503366</v>
      </c>
      <c r="E292" s="295">
        <v>0.97989332524012951</v>
      </c>
      <c r="F292" s="295">
        <v>0.98371205650922677</v>
      </c>
      <c r="G292" s="295">
        <v>0.98355122616618496</v>
      </c>
      <c r="H292" s="295">
        <v>0.98355766067908412</v>
      </c>
      <c r="I292" s="295">
        <v>0.9871811948910969</v>
      </c>
      <c r="J292" s="295">
        <v>0.98010387256680243</v>
      </c>
      <c r="L292" s="41">
        <v>-20535.294320000001</v>
      </c>
      <c r="M292" s="41">
        <f t="shared" si="113"/>
        <v>-20328.819834832673</v>
      </c>
      <c r="N292" s="41">
        <f t="shared" si="114"/>
        <v>-20730.882325851031</v>
      </c>
      <c r="O292" s="41">
        <f t="shared" si="115"/>
        <v>-20314.053217439996</v>
      </c>
      <c r="P292" s="41">
        <f t="shared" si="116"/>
        <v>-19983.179066565772</v>
      </c>
      <c r="Q292" s="41">
        <f t="shared" si="117"/>
        <v>-19654.480273619203</v>
      </c>
      <c r="R292" s="41">
        <f t="shared" si="118"/>
        <v>-19331.314639784108</v>
      </c>
      <c r="S292" s="41">
        <f t="shared" si="119"/>
        <v>-19083.510284917829</v>
      </c>
      <c r="T292" s="41">
        <f t="shared" si="120"/>
        <v>-18703.822332416366</v>
      </c>
      <c r="V292" s="41">
        <f t="shared" si="136"/>
        <v>-20535.294320000001</v>
      </c>
      <c r="W292" s="41">
        <f t="shared" si="137"/>
        <v>-20755.725051364159</v>
      </c>
      <c r="X292" s="41">
        <f t="shared" si="121"/>
        <v>-21435.732324929966</v>
      </c>
      <c r="Y292" s="41">
        <f t="shared" si="122"/>
        <v>-20984.416973615513</v>
      </c>
      <c r="Z292" s="41">
        <f t="shared" si="123"/>
        <v>-20622.640796695876</v>
      </c>
      <c r="AA292" s="41">
        <f t="shared" si="124"/>
        <v>-20185.151241006919</v>
      </c>
      <c r="AB292" s="41">
        <f t="shared" si="125"/>
        <v>-19331.314639784108</v>
      </c>
      <c r="AC292" s="41">
        <f t="shared" si="126"/>
        <v>-19083.510284917829</v>
      </c>
      <c r="AD292" s="41">
        <f t="shared" si="127"/>
        <v>-18703.822332416366</v>
      </c>
      <c r="AF292" s="303">
        <f t="shared" si="128"/>
        <v>1.435600817514468E-3</v>
      </c>
      <c r="AG292" s="303">
        <f t="shared" si="129"/>
        <v>1.382474730466133E-3</v>
      </c>
      <c r="AH292" s="303">
        <f t="shared" si="130"/>
        <v>1.3614810378461204E-3</v>
      </c>
      <c r="AI292" s="303">
        <f t="shared" si="131"/>
        <v>1.3442300222471278E-3</v>
      </c>
      <c r="AJ292" s="303">
        <f t="shared" si="132"/>
        <v>1.3319431292892234E-3</v>
      </c>
      <c r="AK292" s="303">
        <f t="shared" si="133"/>
        <v>1.3199388214378779E-3</v>
      </c>
      <c r="AL292" s="303">
        <f t="shared" si="134"/>
        <v>1.3121315288097211E-3</v>
      </c>
      <c r="AM292" s="303">
        <f t="shared" si="135"/>
        <v>1.2948299583689139E-3</v>
      </c>
      <c r="AV292" s="41">
        <v>-21597.200000000001</v>
      </c>
      <c r="AW292" s="303">
        <f t="shared" si="138"/>
        <v>1.4455753160960625E-3</v>
      </c>
      <c r="AX292" s="41">
        <f t="shared" si="139"/>
        <v>-21193.344366433386</v>
      </c>
    </row>
    <row r="293" spans="1:50" x14ac:dyDescent="0.2">
      <c r="A293" s="30">
        <v>976</v>
      </c>
      <c r="B293" s="47" t="s">
        <v>616</v>
      </c>
      <c r="C293" s="295">
        <v>0.99809932196100859</v>
      </c>
      <c r="D293" s="295">
        <v>1.0811628842189789</v>
      </c>
      <c r="E293" s="295">
        <v>0.99613471557850353</v>
      </c>
      <c r="F293" s="295">
        <v>0.99798215183724848</v>
      </c>
      <c r="G293" s="295">
        <v>0.98887152194233052</v>
      </c>
      <c r="H293" s="295">
        <v>0.99710587977120091</v>
      </c>
      <c r="I293" s="295">
        <v>0.98492511527764348</v>
      </c>
      <c r="J293" s="295">
        <v>0.99569794970494396</v>
      </c>
      <c r="L293" s="41">
        <v>-9362.5967799999999</v>
      </c>
      <c r="M293" s="41">
        <f t="shared" si="113"/>
        <v>-9344.8014979123218</v>
      </c>
      <c r="N293" s="41">
        <f t="shared" si="114"/>
        <v>-10103.25253993672</v>
      </c>
      <c r="O293" s="41">
        <f t="shared" si="115"/>
        <v>-10064.200595287659</v>
      </c>
      <c r="P293" s="41">
        <f t="shared" si="116"/>
        <v>-10043.892566606895</v>
      </c>
      <c r="Q293" s="41">
        <f t="shared" si="117"/>
        <v>-9932.119328565821</v>
      </c>
      <c r="R293" s="41">
        <f t="shared" si="118"/>
        <v>-9903.3745811021727</v>
      </c>
      <c r="S293" s="41">
        <f t="shared" si="119"/>
        <v>-9754.0823509297425</v>
      </c>
      <c r="T293" s="41">
        <f t="shared" si="120"/>
        <v>-9712.1197980739234</v>
      </c>
      <c r="V293" s="41">
        <f t="shared" si="136"/>
        <v>-9362.5967799999999</v>
      </c>
      <c r="W293" s="41">
        <f t="shared" si="137"/>
        <v>-9541.0423293684798</v>
      </c>
      <c r="X293" s="41">
        <f t="shared" si="121"/>
        <v>-10446.763126294569</v>
      </c>
      <c r="Y293" s="41">
        <f t="shared" si="122"/>
        <v>-10396.319214932151</v>
      </c>
      <c r="Z293" s="41">
        <f t="shared" si="123"/>
        <v>-10365.297128738317</v>
      </c>
      <c r="AA293" s="41">
        <f t="shared" si="124"/>
        <v>-10200.286550437097</v>
      </c>
      <c r="AB293" s="41">
        <f t="shared" si="125"/>
        <v>-9903.3745811021727</v>
      </c>
      <c r="AC293" s="41">
        <f t="shared" si="126"/>
        <v>-9754.0823509297425</v>
      </c>
      <c r="AD293" s="41">
        <f t="shared" si="127"/>
        <v>-9712.1197980739234</v>
      </c>
      <c r="AF293" s="303">
        <f t="shared" si="128"/>
        <v>6.5992048623140229E-4</v>
      </c>
      <c r="AG293" s="303">
        <f t="shared" si="129"/>
        <v>6.7375286359920561E-4</v>
      </c>
      <c r="AH293" s="303">
        <f t="shared" si="130"/>
        <v>6.7451916783402809E-4</v>
      </c>
      <c r="AI293" s="303">
        <f t="shared" si="131"/>
        <v>6.7563333558107522E-4</v>
      </c>
      <c r="AJ293" s="303">
        <f t="shared" si="132"/>
        <v>6.7307900869402785E-4</v>
      </c>
      <c r="AK293" s="303">
        <f t="shared" si="133"/>
        <v>6.7620070421572876E-4</v>
      </c>
      <c r="AL293" s="303">
        <f t="shared" si="134"/>
        <v>6.7066481984587724E-4</v>
      </c>
      <c r="AM293" s="303">
        <f t="shared" si="135"/>
        <v>6.7235153597555134E-4</v>
      </c>
      <c r="AV293" s="41">
        <v>-9978.7999999999993</v>
      </c>
      <c r="AW293" s="303">
        <f t="shared" si="138"/>
        <v>6.6791560777597965E-4</v>
      </c>
      <c r="AX293" s="41">
        <f t="shared" si="139"/>
        <v>-9792.2019874689995</v>
      </c>
    </row>
    <row r="294" spans="1:50" x14ac:dyDescent="0.2">
      <c r="A294" s="30">
        <v>977</v>
      </c>
      <c r="B294" s="47" t="s">
        <v>617</v>
      </c>
      <c r="C294" s="295">
        <v>0.98926268031774389</v>
      </c>
      <c r="D294" s="295">
        <v>1.0152125815184485</v>
      </c>
      <c r="E294" s="295">
        <v>0.99320475043060719</v>
      </c>
      <c r="F294" s="295">
        <v>0.98692081050679814</v>
      </c>
      <c r="G294" s="295">
        <v>0.98589812004417665</v>
      </c>
      <c r="H294" s="295">
        <v>0.98383137208886984</v>
      </c>
      <c r="I294" s="295">
        <v>0.98568250592760409</v>
      </c>
      <c r="J294" s="295">
        <v>0.97811658068792207</v>
      </c>
      <c r="L294" s="41">
        <v>-47747.808939999995</v>
      </c>
      <c r="M294" s="41">
        <f t="shared" si="113"/>
        <v>-47235.12545128393</v>
      </c>
      <c r="N294" s="41">
        <f t="shared" si="114"/>
        <v>-47953.693647745728</v>
      </c>
      <c r="O294" s="41">
        <f t="shared" si="115"/>
        <v>-47627.836331635088</v>
      </c>
      <c r="P294" s="41">
        <f t="shared" si="116"/>
        <v>-47004.902835102432</v>
      </c>
      <c r="Q294" s="41">
        <f t="shared" si="117"/>
        <v>-46342.045337986674</v>
      </c>
      <c r="R294" s="41">
        <f t="shared" si="118"/>
        <v>-45592.758050276047</v>
      </c>
      <c r="S294" s="41">
        <f t="shared" si="119"/>
        <v>-44939.984007147039</v>
      </c>
      <c r="T294" s="41">
        <f t="shared" si="120"/>
        <v>-43956.543493240562</v>
      </c>
      <c r="V294" s="41">
        <f t="shared" si="136"/>
        <v>-47747.808939999995</v>
      </c>
      <c r="W294" s="41">
        <f t="shared" si="137"/>
        <v>-48227.063085760885</v>
      </c>
      <c r="X294" s="41">
        <f t="shared" si="121"/>
        <v>-49584.11923176908</v>
      </c>
      <c r="Y294" s="41">
        <f t="shared" si="122"/>
        <v>-49199.554930579041</v>
      </c>
      <c r="Z294" s="41">
        <f t="shared" si="123"/>
        <v>-48509.059725825711</v>
      </c>
      <c r="AA294" s="41">
        <f t="shared" si="124"/>
        <v>-47593.280562112312</v>
      </c>
      <c r="AB294" s="41">
        <f t="shared" si="125"/>
        <v>-45592.758050276047</v>
      </c>
      <c r="AC294" s="41">
        <f t="shared" si="126"/>
        <v>-44939.984007147039</v>
      </c>
      <c r="AD294" s="41">
        <f t="shared" si="127"/>
        <v>-43956.543493240562</v>
      </c>
      <c r="AF294" s="303">
        <f t="shared" si="128"/>
        <v>3.335697067720105E-3</v>
      </c>
      <c r="AG294" s="303">
        <f t="shared" si="129"/>
        <v>3.1978749702251904E-3</v>
      </c>
      <c r="AH294" s="303">
        <f t="shared" si="130"/>
        <v>3.1920954102596117E-3</v>
      </c>
      <c r="AI294" s="303">
        <f t="shared" si="131"/>
        <v>3.1619294093936483E-3</v>
      </c>
      <c r="AJ294" s="303">
        <f t="shared" si="132"/>
        <v>3.1405037439728198E-3</v>
      </c>
      <c r="AK294" s="303">
        <f t="shared" si="133"/>
        <v>3.1130656371984732E-3</v>
      </c>
      <c r="AL294" s="303">
        <f t="shared" si="134"/>
        <v>3.0899540514087429E-3</v>
      </c>
      <c r="AM294" s="303">
        <f t="shared" si="135"/>
        <v>3.0430276961490449E-3</v>
      </c>
      <c r="AV294" s="41">
        <v>-49301.156000000003</v>
      </c>
      <c r="AW294" s="303">
        <f t="shared" si="138"/>
        <v>3.2998969388902863E-3</v>
      </c>
      <c r="AX294" s="41">
        <f t="shared" si="139"/>
        <v>-48379.251790567927</v>
      </c>
    </row>
    <row r="295" spans="1:50" x14ac:dyDescent="0.2">
      <c r="A295" s="30">
        <v>980</v>
      </c>
      <c r="B295" s="47" t="s">
        <v>618</v>
      </c>
      <c r="C295" s="295">
        <v>0.99228863245448262</v>
      </c>
      <c r="D295" s="295">
        <v>1.0360222291649746</v>
      </c>
      <c r="E295" s="295">
        <v>0.98572309571467243</v>
      </c>
      <c r="F295" s="295">
        <v>0.99656655705373365</v>
      </c>
      <c r="G295" s="295">
        <v>0.98899898592734392</v>
      </c>
      <c r="H295" s="295">
        <v>0.98552194793679182</v>
      </c>
      <c r="I295" s="295">
        <v>0.99093935186531745</v>
      </c>
      <c r="J295" s="295">
        <v>0.99454252471895588</v>
      </c>
      <c r="L295" s="41">
        <v>-91540.232579999996</v>
      </c>
      <c r="M295" s="41">
        <f t="shared" si="113"/>
        <v>-90834.332201373472</v>
      </c>
      <c r="N295" s="41">
        <f t="shared" si="114"/>
        <v>-94106.387331978782</v>
      </c>
      <c r="O295" s="41">
        <f t="shared" si="115"/>
        <v>-92762.839447402162</v>
      </c>
      <c r="P295" s="41">
        <f t="shared" si="116"/>
        <v>-92444.343530625847</v>
      </c>
      <c r="Q295" s="41">
        <f t="shared" si="117"/>
        <v>-91427.362006507974</v>
      </c>
      <c r="R295" s="41">
        <f t="shared" si="118"/>
        <v>-90103.671899375971</v>
      </c>
      <c r="S295" s="41">
        <f t="shared" si="119"/>
        <v>-89287.274232652839</v>
      </c>
      <c r="T295" s="41">
        <f t="shared" si="120"/>
        <v>-88799.99114061633</v>
      </c>
      <c r="V295" s="41">
        <f t="shared" si="136"/>
        <v>-91540.232579999996</v>
      </c>
      <c r="W295" s="41">
        <f t="shared" si="137"/>
        <v>-92741.853177602301</v>
      </c>
      <c r="X295" s="41">
        <f t="shared" si="121"/>
        <v>-97306.00450126607</v>
      </c>
      <c r="Y295" s="41">
        <f t="shared" si="122"/>
        <v>-95824.013149166421</v>
      </c>
      <c r="Z295" s="41">
        <f t="shared" si="123"/>
        <v>-95402.562523605884</v>
      </c>
      <c r="AA295" s="41">
        <f t="shared" si="124"/>
        <v>-93895.900780683674</v>
      </c>
      <c r="AB295" s="41">
        <f t="shared" si="125"/>
        <v>-90103.671899375971</v>
      </c>
      <c r="AC295" s="41">
        <f t="shared" si="126"/>
        <v>-89287.274232652839</v>
      </c>
      <c r="AD295" s="41">
        <f t="shared" si="127"/>
        <v>-88799.99114061633</v>
      </c>
      <c r="AF295" s="303">
        <f t="shared" si="128"/>
        <v>6.4146292124264799E-3</v>
      </c>
      <c r="AG295" s="303">
        <f t="shared" si="129"/>
        <v>6.2756471440526653E-3</v>
      </c>
      <c r="AH295" s="303">
        <f t="shared" si="130"/>
        <v>6.2171170653415268E-3</v>
      </c>
      <c r="AI295" s="303">
        <f t="shared" si="131"/>
        <v>6.2185531915042915E-3</v>
      </c>
      <c r="AJ295" s="303">
        <f t="shared" si="132"/>
        <v>6.1958416075269165E-3</v>
      </c>
      <c r="AK295" s="303">
        <f t="shared" si="133"/>
        <v>6.1522631393793187E-3</v>
      </c>
      <c r="AL295" s="303">
        <f t="shared" si="134"/>
        <v>6.1391560511136877E-3</v>
      </c>
      <c r="AM295" s="303">
        <f t="shared" si="135"/>
        <v>6.1474540758701523E-3</v>
      </c>
      <c r="AV295" s="41">
        <v>-97331.937999999995</v>
      </c>
      <c r="AW295" s="303">
        <f t="shared" si="138"/>
        <v>6.5147633508321609E-3</v>
      </c>
      <c r="AX295" s="41">
        <f t="shared" si="139"/>
        <v>-95511.884868702589</v>
      </c>
    </row>
    <row r="296" spans="1:50" x14ac:dyDescent="0.2">
      <c r="A296" s="30">
        <v>981</v>
      </c>
      <c r="B296" s="47" t="s">
        <v>619</v>
      </c>
      <c r="C296" s="295">
        <v>0.99736920960658282</v>
      </c>
      <c r="D296" s="295">
        <v>1.0685412542236692</v>
      </c>
      <c r="E296" s="295">
        <v>0.99823682533623215</v>
      </c>
      <c r="F296" s="295">
        <v>0.99205218754106628</v>
      </c>
      <c r="G296" s="295">
        <v>0.99780055438383197</v>
      </c>
      <c r="H296" s="295">
        <v>0.9977957061594076</v>
      </c>
      <c r="I296" s="295">
        <v>0.99823266921115394</v>
      </c>
      <c r="J296" s="295">
        <v>0.99822954022307986</v>
      </c>
      <c r="L296" s="41">
        <v>-5449.6076399999993</v>
      </c>
      <c r="M296" s="41">
        <f t="shared" si="113"/>
        <v>-5435.2708645727944</v>
      </c>
      <c r="N296" s="41">
        <f t="shared" si="114"/>
        <v>-5807.8111466759801</v>
      </c>
      <c r="O296" s="41">
        <f t="shared" si="115"/>
        <v>-5797.5709612102128</v>
      </c>
      <c r="P296" s="41">
        <f t="shared" si="116"/>
        <v>-5751.4929544931538</v>
      </c>
      <c r="Q296" s="41">
        <f t="shared" si="117"/>
        <v>-5738.8428585279726</v>
      </c>
      <c r="R296" s="41">
        <f t="shared" si="118"/>
        <v>-5726.1927625627914</v>
      </c>
      <c r="S296" s="41">
        <f t="shared" si="119"/>
        <v>-5716.0726857906466</v>
      </c>
      <c r="T296" s="41">
        <f t="shared" si="120"/>
        <v>-5705.9526090185027</v>
      </c>
      <c r="V296" s="41">
        <f t="shared" si="136"/>
        <v>-5449.6076399999993</v>
      </c>
      <c r="W296" s="41">
        <f t="shared" si="137"/>
        <v>-5549.4115527288222</v>
      </c>
      <c r="X296" s="41">
        <f t="shared" si="121"/>
        <v>-6005.2767256629641</v>
      </c>
      <c r="Y296" s="41">
        <f t="shared" si="122"/>
        <v>-5988.8908029301492</v>
      </c>
      <c r="Z296" s="41">
        <f t="shared" si="123"/>
        <v>-5935.5407290369349</v>
      </c>
      <c r="AA296" s="41">
        <f t="shared" si="124"/>
        <v>-5893.7916157082273</v>
      </c>
      <c r="AB296" s="41">
        <f t="shared" si="125"/>
        <v>-5726.1927625627914</v>
      </c>
      <c r="AC296" s="41">
        <f t="shared" si="126"/>
        <v>-5716.0726857906466</v>
      </c>
      <c r="AD296" s="41">
        <f t="shared" si="127"/>
        <v>-5705.9526090185027</v>
      </c>
      <c r="AF296" s="303">
        <f t="shared" si="128"/>
        <v>3.8383336366744369E-4</v>
      </c>
      <c r="AG296" s="303">
        <f t="shared" si="129"/>
        <v>3.8730392770532849E-4</v>
      </c>
      <c r="AH296" s="303">
        <f t="shared" si="130"/>
        <v>3.8856267849483037E-4</v>
      </c>
      <c r="AI296" s="303">
        <f t="shared" si="131"/>
        <v>3.8689186922755261E-4</v>
      </c>
      <c r="AJ296" s="303">
        <f t="shared" si="132"/>
        <v>3.8890940941066753E-4</v>
      </c>
      <c r="AK296" s="303">
        <f t="shared" si="133"/>
        <v>3.9098345183355041E-4</v>
      </c>
      <c r="AL296" s="303">
        <f t="shared" si="134"/>
        <v>3.9302199019022166E-4</v>
      </c>
      <c r="AM296" s="303">
        <f t="shared" si="135"/>
        <v>3.9501221984907133E-4</v>
      </c>
      <c r="AV296" s="41">
        <v>-5998</v>
      </c>
      <c r="AW296" s="303">
        <f t="shared" si="138"/>
        <v>4.0146689135370244E-4</v>
      </c>
      <c r="AX296" s="41">
        <f t="shared" si="139"/>
        <v>-5885.8407344409206</v>
      </c>
    </row>
    <row r="297" spans="1:50" x14ac:dyDescent="0.2">
      <c r="A297" s="30">
        <v>989</v>
      </c>
      <c r="B297" s="47" t="s">
        <v>620</v>
      </c>
      <c r="C297" s="295">
        <v>0.97017574194714395</v>
      </c>
      <c r="D297" s="295">
        <v>1.0098418805877165</v>
      </c>
      <c r="E297" s="295">
        <v>0.97588410533992842</v>
      </c>
      <c r="F297" s="295">
        <v>0.98601841516125477</v>
      </c>
      <c r="G297" s="295">
        <v>0.98049405460257555</v>
      </c>
      <c r="H297" s="295">
        <v>0.98244435203518332</v>
      </c>
      <c r="I297" s="295">
        <v>0.97972862353364842</v>
      </c>
      <c r="J297" s="295">
        <v>0.98367298807210202</v>
      </c>
      <c r="L297" s="41">
        <v>-21156.251359999998</v>
      </c>
      <c r="M297" s="41">
        <f t="shared" si="113"/>
        <v>-20525.281860008272</v>
      </c>
      <c r="N297" s="41">
        <f t="shared" si="114"/>
        <v>-20727.289233103696</v>
      </c>
      <c r="O297" s="41">
        <f t="shared" si="115"/>
        <v>-20227.432109369332</v>
      </c>
      <c r="P297" s="41">
        <f t="shared" si="116"/>
        <v>-19944.620551262225</v>
      </c>
      <c r="Q297" s="41">
        <f t="shared" si="117"/>
        <v>-19555.581871816954</v>
      </c>
      <c r="R297" s="41">
        <f t="shared" si="118"/>
        <v>-19212.270960728183</v>
      </c>
      <c r="S297" s="41">
        <f t="shared" si="119"/>
        <v>-18822.811783309709</v>
      </c>
      <c r="T297" s="41">
        <f t="shared" si="120"/>
        <v>-18515.491510807035</v>
      </c>
      <c r="V297" s="41">
        <f t="shared" si="136"/>
        <v>-21156.251359999998</v>
      </c>
      <c r="W297" s="41">
        <f t="shared" si="137"/>
        <v>-20956.312779068445</v>
      </c>
      <c r="X297" s="41">
        <f t="shared" si="121"/>
        <v>-21432.017067029225</v>
      </c>
      <c r="Y297" s="41">
        <f t="shared" si="122"/>
        <v>-20894.937368978517</v>
      </c>
      <c r="Z297" s="41">
        <f t="shared" si="123"/>
        <v>-20582.848408902617</v>
      </c>
      <c r="AA297" s="41">
        <f t="shared" si="124"/>
        <v>-20083.582582356012</v>
      </c>
      <c r="AB297" s="41">
        <f t="shared" si="125"/>
        <v>-19212.270960728183</v>
      </c>
      <c r="AC297" s="41">
        <f t="shared" si="126"/>
        <v>-18822.811783309709</v>
      </c>
      <c r="AD297" s="41">
        <f t="shared" si="127"/>
        <v>-18515.491510807035</v>
      </c>
      <c r="AF297" s="303">
        <f t="shared" si="128"/>
        <v>1.4494747682033994E-3</v>
      </c>
      <c r="AG297" s="303">
        <f t="shared" si="129"/>
        <v>1.3822351188640155E-3</v>
      </c>
      <c r="AH297" s="303">
        <f t="shared" si="130"/>
        <v>1.3556755496526476E-3</v>
      </c>
      <c r="AI297" s="303">
        <f t="shared" si="131"/>
        <v>1.3416362650820819E-3</v>
      </c>
      <c r="AJ297" s="303">
        <f t="shared" si="132"/>
        <v>1.3252409908991792E-3</v>
      </c>
      <c r="AK297" s="303">
        <f t="shared" si="133"/>
        <v>1.3118105396132508E-3</v>
      </c>
      <c r="AL297" s="303">
        <f t="shared" si="134"/>
        <v>1.2942065916065372E-3</v>
      </c>
      <c r="AM297" s="303">
        <f t="shared" si="135"/>
        <v>1.2817921746704794E-3</v>
      </c>
      <c r="AV297" s="41">
        <v>-13486.4</v>
      </c>
      <c r="AW297" s="303">
        <f t="shared" si="138"/>
        <v>9.0269141106244955E-4</v>
      </c>
      <c r="AX297" s="41">
        <f t="shared" si="139"/>
        <v>-13234.21181743315</v>
      </c>
    </row>
    <row r="298" spans="1:50" x14ac:dyDescent="0.2">
      <c r="A298" s="161">
        <v>992</v>
      </c>
      <c r="B298" s="48" t="s">
        <v>621</v>
      </c>
      <c r="C298" s="295">
        <v>0.96892190153525448</v>
      </c>
      <c r="D298" s="295">
        <v>1.0704553691394334</v>
      </c>
      <c r="E298" s="295">
        <v>0.97780883018903464</v>
      </c>
      <c r="F298" s="295">
        <v>0.98325290831926537</v>
      </c>
      <c r="G298" s="295">
        <v>0.97380721178160845</v>
      </c>
      <c r="H298" s="295">
        <v>0.97450261273980354</v>
      </c>
      <c r="I298" s="295">
        <v>0.97835836136964849</v>
      </c>
      <c r="J298" s="295">
        <v>0.98031286578965626</v>
      </c>
      <c r="L298" s="41">
        <v>-50021.597399999999</v>
      </c>
      <c r="M298" s="41">
        <f t="shared" si="113"/>
        <v>-48467.021270638943</v>
      </c>
      <c r="N298" s="41">
        <f t="shared" si="114"/>
        <v>-51881.783145350579</v>
      </c>
      <c r="O298" s="41">
        <f t="shared" si="115"/>
        <v>-50730.465685476425</v>
      </c>
      <c r="P298" s="41">
        <f t="shared" si="116"/>
        <v>-49880.877925635388</v>
      </c>
      <c r="Q298" s="41">
        <f t="shared" si="117"/>
        <v>-48574.358653981777</v>
      </c>
      <c r="R298" s="41">
        <f t="shared" si="118"/>
        <v>-47335.839420465527</v>
      </c>
      <c r="S298" s="41">
        <f t="shared" si="119"/>
        <v>-46311.414289463464</v>
      </c>
      <c r="T298" s="41">
        <f t="shared" si="120"/>
        <v>-45399.675260875963</v>
      </c>
      <c r="V298" s="41">
        <f t="shared" si="136"/>
        <v>-50021.597399999999</v>
      </c>
      <c r="W298" s="41">
        <f t="shared" si="137"/>
        <v>-49484.828717322358</v>
      </c>
      <c r="X298" s="41">
        <f t="shared" si="121"/>
        <v>-53645.763772292499</v>
      </c>
      <c r="Y298" s="41">
        <f t="shared" si="122"/>
        <v>-52404.571053097141</v>
      </c>
      <c r="Z298" s="41">
        <f t="shared" si="123"/>
        <v>-51477.066019255719</v>
      </c>
      <c r="AA298" s="41">
        <f t="shared" si="124"/>
        <v>-49885.86633763928</v>
      </c>
      <c r="AB298" s="41">
        <f t="shared" si="125"/>
        <v>-47335.839420465527</v>
      </c>
      <c r="AC298" s="41">
        <f t="shared" si="126"/>
        <v>-46311.414289463464</v>
      </c>
      <c r="AD298" s="41">
        <f t="shared" si="127"/>
        <v>-45399.675260875963</v>
      </c>
      <c r="AF298" s="303">
        <f t="shared" si="128"/>
        <v>3.4226923118969676E-3</v>
      </c>
      <c r="AG298" s="303">
        <f t="shared" si="129"/>
        <v>3.4598264098258291E-3</v>
      </c>
      <c r="AH298" s="303">
        <f t="shared" si="130"/>
        <v>3.4000386989526438E-3</v>
      </c>
      <c r="AI298" s="303">
        <f t="shared" si="131"/>
        <v>3.3553907223835082E-3</v>
      </c>
      <c r="AJ298" s="303">
        <f t="shared" si="132"/>
        <v>3.2917829608367418E-3</v>
      </c>
      <c r="AK298" s="303">
        <f t="shared" si="133"/>
        <v>3.2320829317958734E-3</v>
      </c>
      <c r="AL298" s="303">
        <f t="shared" si="134"/>
        <v>3.1842499585099633E-3</v>
      </c>
      <c r="AM298" s="303">
        <f t="shared" si="135"/>
        <v>3.1429329568705201E-3</v>
      </c>
      <c r="AV298" s="41">
        <v>-49226.82</v>
      </c>
      <c r="AW298" s="303">
        <f t="shared" si="138"/>
        <v>3.2949213732291209E-3</v>
      </c>
      <c r="AX298" s="41">
        <f t="shared" si="139"/>
        <v>-48306.305832442653</v>
      </c>
    </row>
    <row r="299" spans="1:50" x14ac:dyDescent="0.2">
      <c r="D299" s="294"/>
      <c r="E299" s="294"/>
      <c r="F299" s="294"/>
      <c r="G299" s="294"/>
      <c r="H299" s="294"/>
      <c r="I299" s="294"/>
      <c r="J299" s="294"/>
      <c r="K299" s="1"/>
      <c r="L299" s="43"/>
      <c r="M299" s="43"/>
      <c r="N299" s="43"/>
      <c r="O299" s="43"/>
      <c r="P299" s="43"/>
      <c r="V299" s="43"/>
      <c r="W299" s="43"/>
      <c r="X299" s="43"/>
      <c r="Y299" s="43"/>
      <c r="Z299" s="43"/>
    </row>
    <row r="300" spans="1:50" x14ac:dyDescent="0.2">
      <c r="D300" s="294"/>
      <c r="E300" s="294"/>
      <c r="F300" s="294"/>
      <c r="G300" s="294"/>
      <c r="H300" s="294"/>
      <c r="I300" s="294"/>
      <c r="J300" s="294"/>
      <c r="K300" s="1"/>
      <c r="L300" s="43"/>
      <c r="M300" s="43"/>
      <c r="N300" s="43"/>
      <c r="O300" s="43"/>
      <c r="P300" s="43"/>
      <c r="V300" s="43"/>
      <c r="W300" s="43"/>
      <c r="X300" s="43"/>
      <c r="Y300" s="43"/>
      <c r="Z300" s="43"/>
    </row>
    <row r="302" spans="1:50" x14ac:dyDescent="0.2">
      <c r="D302" s="294"/>
      <c r="E302" s="294"/>
      <c r="F302" s="294"/>
      <c r="G302" s="294"/>
      <c r="H302" s="294"/>
      <c r="I302" s="294"/>
      <c r="J302" s="294"/>
    </row>
  </sheetData>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C337"/>
  <sheetViews>
    <sheetView zoomScale="110" zoomScaleNormal="110" workbookViewId="0">
      <pane xSplit="3" ySplit="12" topLeftCell="AV13" activePane="bottomRight" state="frozen"/>
      <selection pane="topRight" activeCell="D1" sqref="D1"/>
      <selection pane="bottomLeft" activeCell="A13" sqref="A13"/>
      <selection pane="bottomRight"/>
    </sheetView>
  </sheetViews>
  <sheetFormatPr defaultColWidth="9.140625" defaultRowHeight="11.25" x14ac:dyDescent="0.2"/>
  <cols>
    <col min="1" max="1" width="9.28515625" style="4" bestFit="1" customWidth="1"/>
    <col min="2" max="2" width="9.42578125" style="4" bestFit="1" customWidth="1"/>
    <col min="3" max="3" width="20.7109375" style="1" bestFit="1" customWidth="1"/>
    <col min="4" max="4" width="12" style="4" bestFit="1" customWidth="1"/>
    <col min="5" max="5" width="10.85546875" style="4" bestFit="1" customWidth="1"/>
    <col min="6" max="6" width="8.42578125" style="4" bestFit="1" customWidth="1"/>
    <col min="7" max="7" width="12" style="4" bestFit="1" customWidth="1"/>
    <col min="8" max="8" width="11.85546875" style="4" customWidth="1"/>
    <col min="9" max="9" width="9.28515625" style="4" bestFit="1" customWidth="1"/>
    <col min="10" max="11" width="8.28515625" style="4" bestFit="1" customWidth="1"/>
    <col min="12" max="12" width="12" style="4" bestFit="1" customWidth="1"/>
    <col min="13" max="13" width="11.85546875" style="4" customWidth="1"/>
    <col min="14" max="14" width="9.140625" style="4" bestFit="1" customWidth="1"/>
    <col min="15" max="16" width="8.28515625" style="4" bestFit="1" customWidth="1"/>
    <col min="17" max="17" width="12" style="4" bestFit="1" customWidth="1"/>
    <col min="18" max="18" width="11.85546875" style="4" customWidth="1"/>
    <col min="19" max="19" width="9.140625" style="4" bestFit="1" customWidth="1"/>
    <col min="20" max="21" width="8.28515625" style="4" bestFit="1" customWidth="1"/>
    <col min="22" max="22" width="12" style="4" bestFit="1" customWidth="1"/>
    <col min="23" max="23" width="11.85546875" style="4" customWidth="1"/>
    <col min="24" max="24" width="9.140625" style="4" bestFit="1" customWidth="1"/>
    <col min="25" max="26" width="8.28515625" style="4" bestFit="1" customWidth="1"/>
    <col min="27" max="27" width="21" style="24" customWidth="1"/>
    <col min="28" max="28" width="21" style="7" customWidth="1"/>
    <col min="29" max="29" width="13" style="4" bestFit="1" customWidth="1"/>
    <col min="30" max="31" width="9.28515625" style="4" bestFit="1" customWidth="1"/>
    <col min="32" max="32" width="12" style="4" bestFit="1" customWidth="1"/>
    <col min="33" max="33" width="11.85546875" style="4" customWidth="1"/>
    <col min="34" max="36" width="9.28515625" style="4" bestFit="1" customWidth="1"/>
    <col min="37" max="37" width="11.85546875" style="7" bestFit="1" customWidth="1"/>
    <col min="38" max="38" width="11.7109375" style="4" customWidth="1"/>
    <col min="39" max="41" width="9.28515625" style="4" bestFit="1" customWidth="1"/>
    <col min="42" max="42" width="11.85546875" style="4" bestFit="1" customWidth="1"/>
    <col min="43" max="43" width="11.7109375" style="4" customWidth="1"/>
    <col min="44" max="44" width="9.7109375" style="4" bestFit="1" customWidth="1"/>
    <col min="45" max="46" width="9.28515625" style="4" bestFit="1" customWidth="1"/>
    <col min="47" max="47" width="11.85546875" style="4" bestFit="1" customWidth="1"/>
    <col min="48" max="48" width="11.7109375" style="4" customWidth="1"/>
    <col min="49" max="51" width="9.28515625" style="4" bestFit="1" customWidth="1"/>
    <col min="52" max="52" width="12" style="4" bestFit="1" customWidth="1"/>
    <col min="53" max="53" width="11.85546875" style="4" customWidth="1"/>
    <col min="54" max="54" width="9.42578125" style="4" bestFit="1" customWidth="1"/>
    <col min="55" max="55" width="10.42578125" style="41" bestFit="1" customWidth="1"/>
    <col min="56" max="56" width="10.140625" style="4" bestFit="1" customWidth="1"/>
    <col min="57" max="57" width="12" style="4" bestFit="1" customWidth="1"/>
    <col min="58" max="58" width="11.85546875" style="4" customWidth="1"/>
    <col min="59" max="59" width="9" style="4" customWidth="1"/>
    <col min="60" max="61" width="8.85546875" style="4" bestFit="1" customWidth="1"/>
    <col min="62" max="62" width="11.85546875" style="4" bestFit="1" customWidth="1"/>
    <col min="63" max="67" width="11.85546875" style="4" customWidth="1"/>
    <col min="68" max="72" width="9.28515625" style="4" bestFit="1" customWidth="1"/>
    <col min="73" max="73" width="9.28515625" style="4" customWidth="1"/>
    <col min="74" max="76" width="9.28515625" style="4" bestFit="1" customWidth="1"/>
    <col min="77" max="78" width="9.28515625" style="4" customWidth="1"/>
    <col min="79" max="88" width="9.28515625" style="4" bestFit="1" customWidth="1"/>
    <col min="89" max="16384" width="9.140625" style="4"/>
  </cols>
  <sheetData>
    <row r="1" spans="1:107" x14ac:dyDescent="0.2">
      <c r="A1" s="4" t="s">
        <v>793</v>
      </c>
      <c r="C1" s="4"/>
      <c r="AA1" s="7"/>
      <c r="BV1" s="4" t="s">
        <v>794</v>
      </c>
      <c r="CH1" s="4" t="s">
        <v>795</v>
      </c>
    </row>
    <row r="2" spans="1:107" x14ac:dyDescent="0.2">
      <c r="C2" s="4"/>
      <c r="AA2" s="7"/>
    </row>
    <row r="3" spans="1:107" x14ac:dyDescent="0.2">
      <c r="A3" s="279"/>
      <c r="C3" s="4"/>
      <c r="AA3" s="7"/>
      <c r="AH3" s="358"/>
      <c r="AI3" s="358"/>
      <c r="AJ3" s="358"/>
      <c r="AK3" s="358"/>
      <c r="AM3" s="358"/>
      <c r="AN3" s="358"/>
      <c r="AO3" s="358"/>
      <c r="AR3" s="358"/>
      <c r="AS3" s="358"/>
      <c r="AT3" s="358"/>
      <c r="AW3" s="358"/>
      <c r="AX3" s="358"/>
      <c r="AY3" s="358"/>
      <c r="BB3" s="358"/>
      <c r="BC3" s="358"/>
      <c r="BD3" s="358"/>
      <c r="BG3" s="358"/>
      <c r="BH3" s="358"/>
      <c r="BI3" s="358"/>
    </row>
    <row r="4" spans="1:107" x14ac:dyDescent="0.2">
      <c r="C4" s="4"/>
      <c r="AA4" s="7"/>
      <c r="CT4" s="4" t="s">
        <v>307</v>
      </c>
      <c r="CU4" s="41">
        <f t="shared" ref="CU4:CZ4" si="0">MIN(CU15:CU305)</f>
        <v>-189.72530804845974</v>
      </c>
      <c r="CV4" s="41">
        <f t="shared" si="0"/>
        <v>-38.627084512984766</v>
      </c>
      <c r="CW4" s="41">
        <f t="shared" si="0"/>
        <v>-188.40280183121286</v>
      </c>
      <c r="CX4" s="41">
        <f t="shared" si="0"/>
        <v>-7202.6825669314749</v>
      </c>
      <c r="CY4" s="41">
        <f t="shared" si="0"/>
        <v>-422.15621114118812</v>
      </c>
      <c r="CZ4" s="41">
        <f t="shared" si="0"/>
        <v>-2533.3753868665917</v>
      </c>
      <c r="DA4" s="41">
        <f t="shared" ref="DA4:DB4" si="1">MIN(DA15:DA305)</f>
        <v>0</v>
      </c>
      <c r="DB4" s="41">
        <f t="shared" si="1"/>
        <v>0</v>
      </c>
      <c r="DC4" s="41">
        <f t="shared" ref="DC4" si="2">MIN(DC15:DC305)</f>
        <v>0</v>
      </c>
    </row>
    <row r="5" spans="1:107" x14ac:dyDescent="0.2">
      <c r="C5" s="4"/>
      <c r="AA5" s="7"/>
      <c r="AC5" s="64"/>
      <c r="AD5" s="64"/>
      <c r="AE5" s="64"/>
      <c r="CT5" s="4" t="s">
        <v>308</v>
      </c>
      <c r="CU5" s="41">
        <f t="shared" ref="CU5:CZ5" si="3">MAX(CU15:CU305)</f>
        <v>495.05970909042389</v>
      </c>
      <c r="CV5" s="41">
        <f t="shared" si="3"/>
        <v>976.17798810703607</v>
      </c>
      <c r="CW5" s="41">
        <f t="shared" si="3"/>
        <v>5170.8277147932886</v>
      </c>
      <c r="CX5" s="41">
        <f t="shared" si="3"/>
        <v>-1027.3354246703118</v>
      </c>
      <c r="CY5" s="41">
        <f t="shared" si="3"/>
        <v>1308.4911311086385</v>
      </c>
      <c r="CZ5" s="41">
        <f t="shared" si="3"/>
        <v>365.55831936099821</v>
      </c>
      <c r="DA5" s="41">
        <f t="shared" ref="DA5:DB5" si="4">MAX(DA15:DA305)</f>
        <v>210.23465584689257</v>
      </c>
      <c r="DB5" s="41">
        <f t="shared" si="4"/>
        <v>229.33304496248593</v>
      </c>
      <c r="DC5" s="41">
        <f t="shared" ref="DC5" si="5">MAX(DC15:DC305)</f>
        <v>203.45794203155219</v>
      </c>
    </row>
    <row r="6" spans="1:107" x14ac:dyDescent="0.2">
      <c r="C6" s="4"/>
      <c r="D6" s="279"/>
      <c r="E6" s="279"/>
      <c r="F6" s="279"/>
      <c r="G6" s="279"/>
      <c r="H6" s="279"/>
      <c r="AA6" s="7"/>
    </row>
    <row r="7" spans="1:107" x14ac:dyDescent="0.2">
      <c r="C7" s="4"/>
      <c r="AA7" s="209"/>
      <c r="AB7" s="209"/>
      <c r="AC7" s="317"/>
      <c r="AD7" s="318"/>
      <c r="AE7" s="318"/>
      <c r="AF7" s="318"/>
      <c r="AG7" s="318"/>
      <c r="AH7" s="318"/>
      <c r="AI7" s="318"/>
      <c r="AJ7" s="318"/>
      <c r="AK7" s="318"/>
      <c r="AL7" s="318"/>
      <c r="AM7" s="318"/>
      <c r="AN7" s="318"/>
      <c r="AO7" s="318"/>
      <c r="AP7" s="318"/>
      <c r="AQ7" s="318"/>
      <c r="AR7" s="318"/>
      <c r="AS7" s="318"/>
      <c r="AT7" s="318"/>
      <c r="AU7" s="318"/>
      <c r="AV7" s="318"/>
      <c r="AW7" s="318"/>
      <c r="AX7" s="318"/>
      <c r="AY7" s="318"/>
      <c r="AZ7" s="318"/>
      <c r="BA7" s="318"/>
    </row>
    <row r="8" spans="1:107" x14ac:dyDescent="0.2">
      <c r="B8" s="1" t="s">
        <v>622</v>
      </c>
      <c r="D8" s="19"/>
      <c r="E8" s="19"/>
      <c r="F8" s="19"/>
      <c r="G8" s="19" t="s">
        <v>323</v>
      </c>
      <c r="H8" s="19"/>
      <c r="I8" s="19"/>
      <c r="J8" s="19"/>
      <c r="K8" s="19"/>
      <c r="L8" s="19" t="s">
        <v>323</v>
      </c>
      <c r="M8" s="19"/>
      <c r="N8" s="19"/>
      <c r="O8" s="19"/>
      <c r="P8" s="19"/>
      <c r="Q8" s="19" t="s">
        <v>323</v>
      </c>
      <c r="R8" s="19"/>
      <c r="S8" s="19"/>
      <c r="T8" s="19"/>
      <c r="U8" s="19"/>
      <c r="V8" s="19" t="s">
        <v>323</v>
      </c>
      <c r="W8" s="19"/>
      <c r="X8" s="19"/>
      <c r="Y8" s="19"/>
      <c r="Z8" s="19"/>
      <c r="AA8" s="19" t="s">
        <v>323</v>
      </c>
      <c r="AB8" s="19"/>
      <c r="AC8" s="19"/>
      <c r="AD8" s="19"/>
      <c r="AE8" s="19"/>
      <c r="AF8" s="19" t="s">
        <v>323</v>
      </c>
      <c r="AG8" s="19"/>
      <c r="AH8" s="19"/>
      <c r="AI8" s="19"/>
      <c r="AJ8" s="19"/>
      <c r="AK8" s="168" t="s">
        <v>323</v>
      </c>
      <c r="AL8" s="19"/>
      <c r="AM8" s="19"/>
      <c r="AN8" s="19"/>
      <c r="AO8" s="19"/>
      <c r="AP8" s="19" t="s">
        <v>323</v>
      </c>
      <c r="AQ8" s="19"/>
      <c r="AR8" s="19"/>
      <c r="AS8" s="19"/>
      <c r="AT8" s="19"/>
      <c r="AU8" s="19" t="s">
        <v>323</v>
      </c>
      <c r="AV8" s="19"/>
      <c r="AW8" s="19"/>
      <c r="AX8" s="19"/>
      <c r="AY8" s="19"/>
      <c r="AZ8" s="19" t="s">
        <v>625</v>
      </c>
      <c r="BA8" s="19"/>
      <c r="BB8" s="19"/>
      <c r="BC8" s="214"/>
      <c r="BD8" s="19"/>
      <c r="BE8" s="19"/>
      <c r="BF8" s="19"/>
      <c r="BG8" s="19"/>
      <c r="BH8" s="19"/>
    </row>
    <row r="9" spans="1:107" s="108" customFormat="1" x14ac:dyDescent="0.2">
      <c r="B9" s="109" t="s">
        <v>311</v>
      </c>
      <c r="C9" s="109"/>
      <c r="D9" s="110"/>
      <c r="E9" s="110"/>
      <c r="F9" s="110"/>
      <c r="G9" s="110">
        <v>2015</v>
      </c>
      <c r="H9" s="110"/>
      <c r="I9" s="110"/>
      <c r="J9" s="110"/>
      <c r="K9" s="110"/>
      <c r="L9" s="110">
        <v>2016</v>
      </c>
      <c r="M9" s="110"/>
      <c r="N9" s="110"/>
      <c r="O9" s="110"/>
      <c r="P9" s="110"/>
      <c r="Q9" s="110">
        <v>2017</v>
      </c>
      <c r="R9" s="110"/>
      <c r="S9" s="110"/>
      <c r="T9" s="110"/>
      <c r="U9" s="110"/>
      <c r="V9" s="110">
        <v>2018</v>
      </c>
      <c r="W9" s="110"/>
      <c r="X9" s="110"/>
      <c r="Y9" s="110"/>
      <c r="Z9" s="110"/>
      <c r="AA9" s="110">
        <v>2019</v>
      </c>
      <c r="AB9" s="110"/>
      <c r="AC9" s="110"/>
      <c r="AD9" s="110"/>
      <c r="AE9" s="110"/>
      <c r="AF9" s="110">
        <v>2020</v>
      </c>
      <c r="AG9" s="110"/>
      <c r="AH9" s="110"/>
      <c r="AI9" s="110"/>
      <c r="AJ9" s="110"/>
      <c r="AK9" s="110">
        <v>2021</v>
      </c>
      <c r="AL9" s="110"/>
      <c r="AM9" s="110"/>
      <c r="AN9" s="110"/>
      <c r="AO9" s="110"/>
      <c r="AP9" s="110">
        <v>2022</v>
      </c>
      <c r="AQ9" s="110"/>
      <c r="AR9" s="110"/>
      <c r="AS9" s="110"/>
      <c r="AT9" s="110"/>
      <c r="AU9" s="110">
        <v>2023</v>
      </c>
      <c r="AV9" s="110"/>
      <c r="AW9" s="110"/>
      <c r="AX9" s="110"/>
      <c r="AY9" s="110"/>
      <c r="AZ9" s="110">
        <v>2024</v>
      </c>
      <c r="BA9" s="110"/>
      <c r="BB9" s="110"/>
      <c r="BC9" s="322"/>
      <c r="BD9" s="110"/>
      <c r="BE9" s="110">
        <v>2025</v>
      </c>
      <c r="BF9" s="110"/>
      <c r="BG9" s="110"/>
      <c r="BH9" s="110"/>
      <c r="BJ9" s="108">
        <v>2026</v>
      </c>
      <c r="BL9" s="110"/>
      <c r="BM9" s="110"/>
      <c r="BO9" s="108">
        <v>2027</v>
      </c>
      <c r="BQ9" s="110"/>
      <c r="BR9" s="110"/>
      <c r="BT9" s="108">
        <v>2028</v>
      </c>
      <c r="BV9" s="108">
        <v>2019</v>
      </c>
      <c r="BW9" s="108">
        <v>2020</v>
      </c>
      <c r="BX9" s="108">
        <v>2021</v>
      </c>
      <c r="BY9" s="108">
        <v>2022</v>
      </c>
      <c r="BZ9" s="108">
        <v>2023</v>
      </c>
      <c r="CA9" s="108">
        <v>2024</v>
      </c>
      <c r="CB9" s="108">
        <v>2025</v>
      </c>
      <c r="CC9" s="108">
        <v>2026</v>
      </c>
      <c r="CD9" s="108">
        <v>2027</v>
      </c>
      <c r="CE9" s="108">
        <v>2028</v>
      </c>
      <c r="CG9" s="108" t="s">
        <v>319</v>
      </c>
      <c r="CH9" s="108">
        <v>2019</v>
      </c>
      <c r="CI9" s="108">
        <v>2020</v>
      </c>
      <c r="CJ9" s="108">
        <v>2021</v>
      </c>
      <c r="CK9" s="108">
        <v>2022</v>
      </c>
      <c r="CL9" s="108">
        <v>2023</v>
      </c>
      <c r="CM9" s="108">
        <v>2024</v>
      </c>
      <c r="CN9" s="108">
        <v>2025</v>
      </c>
      <c r="CO9" s="108">
        <v>2026</v>
      </c>
      <c r="CP9" s="108">
        <v>2027</v>
      </c>
      <c r="CQ9" s="108">
        <v>2028</v>
      </c>
      <c r="CS9" s="108" t="s">
        <v>765</v>
      </c>
      <c r="CU9" s="108">
        <v>2020</v>
      </c>
      <c r="CV9" s="108">
        <v>2021</v>
      </c>
      <c r="CW9" s="108">
        <v>2022</v>
      </c>
      <c r="CX9" s="108">
        <v>2023</v>
      </c>
      <c r="CY9" s="108">
        <v>2024</v>
      </c>
      <c r="CZ9" s="108">
        <v>2025</v>
      </c>
      <c r="DA9" s="108">
        <v>2026</v>
      </c>
      <c r="DB9" s="108">
        <v>2027</v>
      </c>
      <c r="DC9" s="108">
        <v>2028</v>
      </c>
    </row>
    <row r="10" spans="1:107" x14ac:dyDescent="0.2">
      <c r="B10" s="1" t="s">
        <v>623</v>
      </c>
      <c r="D10" s="42"/>
      <c r="E10" s="42"/>
      <c r="F10" s="42"/>
      <c r="G10" s="42"/>
      <c r="H10" s="42"/>
      <c r="I10" s="42">
        <f>(I13/D13-1)*100</f>
        <v>2.5278288891877665</v>
      </c>
      <c r="J10" s="42">
        <f>(J13/E13-1)*100</f>
        <v>2.9702476426802127</v>
      </c>
      <c r="K10" s="42">
        <f>(K13/F13-1)*100</f>
        <v>-5.4558610896269233</v>
      </c>
      <c r="L10" s="42">
        <f>(L13/G13-1)*100</f>
        <v>1.4355623532512851</v>
      </c>
      <c r="M10" s="169"/>
      <c r="N10" s="42">
        <f>(N13/I13-1)*100</f>
        <v>0.11831934870947247</v>
      </c>
      <c r="O10" s="42">
        <f>(O13/J13-1)*100</f>
        <v>6.1036732645889602</v>
      </c>
      <c r="P10" s="42">
        <f>(P13/K13-1)*100</f>
        <v>22.859315431064033</v>
      </c>
      <c r="Q10" s="42">
        <f>(Q13/L13-1)*100</f>
        <v>2.2459205809418181</v>
      </c>
      <c r="R10" s="169"/>
      <c r="S10" s="42">
        <f>(S13/N13-1)*100</f>
        <v>-0.7259697831898615</v>
      </c>
      <c r="T10" s="42">
        <f>(T13/O13-1)*100</f>
        <v>3.0081645990532868</v>
      </c>
      <c r="U10" s="42">
        <f>(U13/P13-1)*100</f>
        <v>-1.1990317528725036</v>
      </c>
      <c r="V10" s="42">
        <f>(V13/Q13-1)*100</f>
        <v>-0.47639861250637905</v>
      </c>
      <c r="W10" s="42"/>
      <c r="X10" s="42">
        <f>(X13/S13-1)*100</f>
        <v>2.5612058098531953</v>
      </c>
      <c r="Y10" s="42">
        <f>(Y13/T13-1)*100</f>
        <v>4.2600354644587446</v>
      </c>
      <c r="Z10" s="42">
        <f>(Z13/U13-1)*100</f>
        <v>1.9709269519169847</v>
      </c>
      <c r="AA10" s="42">
        <f>(AA13/V13-1)*100</f>
        <v>2.6481303441299398</v>
      </c>
      <c r="AB10" s="169"/>
      <c r="AC10" s="42">
        <f>(AC13/X13-1)*100</f>
        <v>5.1270918912503349</v>
      </c>
      <c r="AD10" s="42">
        <f>(AD13/Y13-1)*100</f>
        <v>-6.5464360976686287</v>
      </c>
      <c r="AE10" s="42">
        <f>(AE13/Z13-1)*100</f>
        <v>2.8389721620657227</v>
      </c>
      <c r="AF10" s="42">
        <f>(AF13/AA13-1)*100</f>
        <v>3.9859481680484921</v>
      </c>
      <c r="AG10" s="42"/>
      <c r="AH10" s="42">
        <f>(AH13/AC13-1)*100</f>
        <v>2.3775523974405521</v>
      </c>
      <c r="AI10" s="42">
        <f>(AI13/AD13-1)*100</f>
        <v>12.848546155464291</v>
      </c>
      <c r="AJ10" s="42">
        <f>(AJ13/AE13-1)*100</f>
        <v>45.487963351780557</v>
      </c>
      <c r="AK10" s="169">
        <f>(AK13/AF13-1)*100</f>
        <v>6.6851765753693337</v>
      </c>
      <c r="AL10" s="42"/>
      <c r="AM10" s="42">
        <f>(AM13/AH13-1)*100</f>
        <v>5.218044960908963</v>
      </c>
      <c r="AN10" s="42">
        <f>(AN13/AI13-1)*100</f>
        <v>6.4840375213081503</v>
      </c>
      <c r="AO10" s="42">
        <f>(AO13/AJ13-1)*100</f>
        <v>6.5820894099205107</v>
      </c>
      <c r="AP10" s="42">
        <f>(AP13/AK13-1)*100</f>
        <v>5.468886680340912</v>
      </c>
      <c r="AQ10" s="42"/>
      <c r="AR10" s="42">
        <f>(AR13/AM13-1)*100</f>
        <v>-52.858080557804513</v>
      </c>
      <c r="AS10" s="42">
        <f>(AS13/AN13-1)*100</f>
        <v>4.1278141683893654</v>
      </c>
      <c r="AT10" s="42">
        <f>(AT13/AO13-1)*100</f>
        <v>-32.365132978939293</v>
      </c>
      <c r="AU10" s="42">
        <f>(AU13/AP13-1)*100</f>
        <v>-46.082195662792344</v>
      </c>
      <c r="AV10" s="42"/>
      <c r="AW10" s="42">
        <f>(AW13/AR13-1)*100</f>
        <v>-5.571576046396487</v>
      </c>
      <c r="AX10" s="42">
        <f>(AX13/AS13-1)*100</f>
        <v>8.7983373044312252</v>
      </c>
      <c r="AY10" s="42">
        <f>(AY13/AT13-1)*100</f>
        <v>-15.091861057176569</v>
      </c>
      <c r="AZ10" s="42">
        <f>(AZ13/AU13-1)*100</f>
        <v>-4.7531889553809599</v>
      </c>
      <c r="BA10" s="42"/>
      <c r="BB10" s="42">
        <f>(BB13/AW13-1)*100</f>
        <v>5.4096882971177429</v>
      </c>
      <c r="BC10" s="42">
        <f>(BC13/AX13-1)*100</f>
        <v>1.6421066939067419</v>
      </c>
      <c r="BD10" s="42">
        <f>(BD13/AY13-1)*100</f>
        <v>1.2000000000000455</v>
      </c>
      <c r="BE10" s="42">
        <f>(BE13/AZ13-1)*100</f>
        <v>4.2269047551555916</v>
      </c>
      <c r="BF10" s="42"/>
      <c r="BG10" s="42">
        <f>(BG13/BB13-1)*100</f>
        <v>4.585843644958798</v>
      </c>
      <c r="BH10" s="42">
        <f>(BH13/BC13-1)*100</f>
        <v>2.4440770133664413</v>
      </c>
      <c r="BI10" s="42">
        <f>(BI13/BD13-1)*100</f>
        <v>4.8560135516657166</v>
      </c>
      <c r="BJ10" s="42">
        <f>(BJ13/BE13-1)*100</f>
        <v>4.2587387758219464</v>
      </c>
      <c r="BK10" s="42"/>
      <c r="BL10" s="42">
        <f>(BL13/BG13-1)*100</f>
        <v>3.7432531799053814</v>
      </c>
      <c r="BM10" s="42">
        <f>(BM13/BH13-1)*100</f>
        <v>2.6688241330772966</v>
      </c>
      <c r="BN10" s="42">
        <f>(BN13/BI13-1)*100</f>
        <v>5.9773828756058967</v>
      </c>
      <c r="BO10" s="42">
        <f>(BO13/BJ13-1)*100</f>
        <v>3.8417962316551924</v>
      </c>
      <c r="BQ10" s="42">
        <f>(BQ13/BL13-1)*100</f>
        <v>4.0672972320960676</v>
      </c>
      <c r="BR10" s="42">
        <f>(BR13/BM13-1)*100</f>
        <v>2.6388350774508185</v>
      </c>
      <c r="BS10" s="42">
        <f>(BS13/BN13-1)*100</f>
        <v>3.5060975609756184</v>
      </c>
      <c r="BT10" s="42">
        <f>(BT13/BO13-1)*100</f>
        <v>3.7630441209809407</v>
      </c>
      <c r="BU10" s="42"/>
    </row>
    <row r="11" spans="1:107" ht="12" thickBot="1" x14ac:dyDescent="0.25">
      <c r="B11" s="43" t="s">
        <v>624</v>
      </c>
      <c r="C11" s="43"/>
      <c r="D11" s="44"/>
      <c r="E11" s="44"/>
      <c r="F11" s="44"/>
      <c r="G11" s="44"/>
      <c r="H11" s="170"/>
      <c r="I11" s="44">
        <f>I13-D13</f>
        <v>462993.24040998891</v>
      </c>
      <c r="J11" s="44">
        <f>J13-E13</f>
        <v>47256.246539999964</v>
      </c>
      <c r="K11" s="44">
        <f>K13-F13</f>
        <v>-88715.723419999704</v>
      </c>
      <c r="L11" s="44">
        <f>L13-G13</f>
        <v>310440</v>
      </c>
      <c r="M11" s="170"/>
      <c r="N11" s="44">
        <f>N13-I13</f>
        <v>22219</v>
      </c>
      <c r="O11" s="44">
        <f>O13-J13</f>
        <v>99993</v>
      </c>
      <c r="P11" s="44">
        <f>P13-K13</f>
        <v>351427</v>
      </c>
      <c r="Q11" s="44">
        <f>Q13-L13</f>
        <v>492652</v>
      </c>
      <c r="R11" s="170"/>
      <c r="S11" s="44">
        <f>S13-N13</f>
        <v>-136490</v>
      </c>
      <c r="T11" s="44">
        <f>T13-O13</f>
        <v>52289</v>
      </c>
      <c r="U11" s="44">
        <f>U13-P13</f>
        <v>-22647</v>
      </c>
      <c r="V11" s="44">
        <f>V13-Q13</f>
        <v>-106847</v>
      </c>
      <c r="W11" s="170"/>
      <c r="X11" s="44">
        <f>X13-S13</f>
        <v>478038</v>
      </c>
      <c r="Y11" s="44">
        <f>Y13-T13</f>
        <v>76277</v>
      </c>
      <c r="Z11" s="44">
        <f>Z13-U13</f>
        <v>36780</v>
      </c>
      <c r="AA11" s="44">
        <f>AA13-V13</f>
        <v>591095</v>
      </c>
      <c r="AB11" s="170"/>
      <c r="AC11" s="44">
        <f>AC13-X13</f>
        <v>981459</v>
      </c>
      <c r="AD11" s="44">
        <f>AD13-Y13</f>
        <v>-122209</v>
      </c>
      <c r="AE11" s="44">
        <f>AE13-Z13</f>
        <v>54023</v>
      </c>
      <c r="AF11" s="44">
        <f>AF13-AA13</f>
        <v>913273</v>
      </c>
      <c r="AG11" s="170"/>
      <c r="AH11" s="44">
        <f>AH13-AC13</f>
        <v>478460.18986999616</v>
      </c>
      <c r="AI11" s="44">
        <f>AI13-AD13</f>
        <v>224154.83682999923</v>
      </c>
      <c r="AJ11" s="44">
        <f>AJ13-AE13</f>
        <v>890167.60121999914</v>
      </c>
      <c r="AK11" s="170">
        <f>AK13-AF13</f>
        <v>1592782.6279200055</v>
      </c>
      <c r="AL11" s="44"/>
      <c r="AM11" s="44">
        <f>AM13-AH13</f>
        <v>1075049.0274900123</v>
      </c>
      <c r="AN11" s="44">
        <f>AN13-AI13</f>
        <v>127654.34843999962</v>
      </c>
      <c r="AO11" s="44">
        <f>AO13-AJ13</f>
        <v>187398.50970000261</v>
      </c>
      <c r="AP11" s="44">
        <f>AP13-AK13</f>
        <v>1390101.8856300041</v>
      </c>
      <c r="AQ11" s="170"/>
      <c r="AR11" s="44">
        <f>AR13-AM13</f>
        <v>-11458349.642790014</v>
      </c>
      <c r="AS11" s="44">
        <f>AS13-AN13</f>
        <v>86535.58642999921</v>
      </c>
      <c r="AT11" s="44">
        <f>AT13-AO13</f>
        <v>-982118.70153999981</v>
      </c>
      <c r="AU11" s="44">
        <f>AU13-AP13</f>
        <v>-12353932.757900022</v>
      </c>
      <c r="AV11" s="44"/>
      <c r="AW11" s="44">
        <f>AW13-AR13</f>
        <v>-569371.86852420494</v>
      </c>
      <c r="AX11" s="44">
        <f>AX13-AS13</f>
        <v>192062.22830000054</v>
      </c>
      <c r="AY11" s="44">
        <f>AY13-AT13</f>
        <v>-309741.94699250977</v>
      </c>
      <c r="AZ11" s="44">
        <f>AZ13-AU13</f>
        <v>-687051.58721670508</v>
      </c>
      <c r="BA11" s="170"/>
      <c r="BB11" s="44">
        <f>BB13-AW13</f>
        <v>522026.95252805948</v>
      </c>
      <c r="BC11" s="44">
        <f>BC13-AX13</f>
        <v>39000.033980285283</v>
      </c>
      <c r="BD11" s="44">
        <f>BD13-AY13</f>
        <v>20911.625548650743</v>
      </c>
      <c r="BE11" s="44">
        <f>BE13-AZ13</f>
        <v>581938.61205698922</v>
      </c>
      <c r="BF11" s="44"/>
      <c r="BG11" s="44">
        <f>BG13-BB13</f>
        <v>466466.49689556472</v>
      </c>
      <c r="BH11" s="44">
        <f>BH13-BC13</f>
        <v>59000.019933170173</v>
      </c>
      <c r="BI11" s="44">
        <f>BI13-BD13</f>
        <v>85638.085580185056</v>
      </c>
      <c r="BJ11" s="44">
        <f>BJ13-BE13</f>
        <v>611104.60240891762</v>
      </c>
      <c r="BK11" s="44"/>
      <c r="BL11" s="44">
        <f>BL13-BG13</f>
        <v>398220.23075395077</v>
      </c>
      <c r="BM11" s="44">
        <f>BM13-BH13</f>
        <v>66000.022249856964</v>
      </c>
      <c r="BN11" s="44">
        <f>BN13-BI13</f>
        <v>110532.87790000811</v>
      </c>
      <c r="BO11" s="44">
        <f>BO13-BJ13</f>
        <v>574753.13090381213</v>
      </c>
      <c r="BQ11" s="44">
        <f>BQ13-BL13</f>
        <v>448889.95914530754</v>
      </c>
      <c r="BR11" s="44">
        <f>BR13-BM13</f>
        <v>67000.024626300205</v>
      </c>
      <c r="BS11" s="44">
        <f>BS13-BN13</f>
        <v>68709.626802707091</v>
      </c>
      <c r="BT11" s="44">
        <f>BT13-BO13</f>
        <v>584599.61057432555</v>
      </c>
      <c r="BU11" s="44"/>
    </row>
    <row r="12" spans="1:107" x14ac:dyDescent="0.2">
      <c r="B12" s="236" t="s">
        <v>326</v>
      </c>
      <c r="C12" s="237" t="s">
        <v>327</v>
      </c>
      <c r="D12" s="238" t="s">
        <v>626</v>
      </c>
      <c r="E12" s="239" t="s">
        <v>627</v>
      </c>
      <c r="F12" s="240" t="s">
        <v>628</v>
      </c>
      <c r="G12" s="241" t="s">
        <v>629</v>
      </c>
      <c r="H12" s="37"/>
      <c r="I12" s="238" t="s">
        <v>626</v>
      </c>
      <c r="J12" s="239" t="s">
        <v>627</v>
      </c>
      <c r="K12" s="240" t="s">
        <v>628</v>
      </c>
      <c r="L12" s="241" t="s">
        <v>629</v>
      </c>
      <c r="M12" s="37"/>
      <c r="N12" s="238" t="s">
        <v>626</v>
      </c>
      <c r="O12" s="239" t="s">
        <v>627</v>
      </c>
      <c r="P12" s="240" t="s">
        <v>628</v>
      </c>
      <c r="Q12" s="241" t="s">
        <v>629</v>
      </c>
      <c r="R12" s="37"/>
      <c r="S12" s="238" t="s">
        <v>626</v>
      </c>
      <c r="T12" s="239" t="s">
        <v>627</v>
      </c>
      <c r="U12" s="240" t="s">
        <v>628</v>
      </c>
      <c r="V12" s="241" t="s">
        <v>629</v>
      </c>
      <c r="W12" s="37"/>
      <c r="X12" s="238" t="s">
        <v>626</v>
      </c>
      <c r="Y12" s="239" t="s">
        <v>627</v>
      </c>
      <c r="Z12" s="240" t="s">
        <v>628</v>
      </c>
      <c r="AA12" s="241" t="s">
        <v>629</v>
      </c>
      <c r="AB12" s="37"/>
      <c r="AC12" s="238" t="s">
        <v>626</v>
      </c>
      <c r="AD12" s="239" t="s">
        <v>627</v>
      </c>
      <c r="AE12" s="240" t="s">
        <v>628</v>
      </c>
      <c r="AF12" s="241" t="s">
        <v>629</v>
      </c>
      <c r="AG12" s="37"/>
      <c r="AH12" s="238" t="s">
        <v>626</v>
      </c>
      <c r="AI12" s="239" t="s">
        <v>627</v>
      </c>
      <c r="AJ12" s="240" t="s">
        <v>628</v>
      </c>
      <c r="AK12" s="241" t="s">
        <v>629</v>
      </c>
      <c r="AL12" s="37"/>
      <c r="AM12" s="238" t="s">
        <v>626</v>
      </c>
      <c r="AN12" s="239" t="s">
        <v>627</v>
      </c>
      <c r="AO12" s="240" t="s">
        <v>628</v>
      </c>
      <c r="AP12" s="241" t="s">
        <v>629</v>
      </c>
      <c r="AQ12" s="37"/>
      <c r="AR12" s="238" t="s">
        <v>626</v>
      </c>
      <c r="AS12" s="239" t="s">
        <v>627</v>
      </c>
      <c r="AT12" s="240" t="s">
        <v>628</v>
      </c>
      <c r="AU12" s="241" t="s">
        <v>629</v>
      </c>
      <c r="AV12" s="37"/>
      <c r="AW12" s="238" t="s">
        <v>626</v>
      </c>
      <c r="AX12" s="239" t="s">
        <v>627</v>
      </c>
      <c r="AY12" s="240" t="s">
        <v>628</v>
      </c>
      <c r="AZ12" s="241" t="s">
        <v>629</v>
      </c>
      <c r="BA12" s="37"/>
      <c r="BB12" s="238" t="s">
        <v>626</v>
      </c>
      <c r="BC12" s="323" t="s">
        <v>627</v>
      </c>
      <c r="BD12" s="240" t="s">
        <v>628</v>
      </c>
      <c r="BE12" s="241" t="s">
        <v>629</v>
      </c>
      <c r="BF12" s="37"/>
      <c r="BG12" s="238" t="s">
        <v>626</v>
      </c>
      <c r="BH12" s="239" t="s">
        <v>627</v>
      </c>
      <c r="BI12" s="240" t="s">
        <v>628</v>
      </c>
      <c r="BJ12" s="242" t="s">
        <v>629</v>
      </c>
      <c r="BK12" s="406"/>
      <c r="BL12" s="238" t="s">
        <v>626</v>
      </c>
      <c r="BM12" s="239" t="s">
        <v>627</v>
      </c>
      <c r="BN12" s="240" t="s">
        <v>628</v>
      </c>
      <c r="BO12" s="242" t="s">
        <v>629</v>
      </c>
      <c r="BQ12" s="238" t="s">
        <v>626</v>
      </c>
      <c r="BR12" s="239" t="s">
        <v>627</v>
      </c>
      <c r="BS12" s="240" t="s">
        <v>628</v>
      </c>
      <c r="BT12" s="242" t="s">
        <v>629</v>
      </c>
      <c r="BU12" s="406"/>
    </row>
    <row r="13" spans="1:107" s="1" customFormat="1" ht="14.25" customHeight="1" x14ac:dyDescent="0.2">
      <c r="B13" s="1">
        <v>1</v>
      </c>
      <c r="C13" s="37" t="s">
        <v>312</v>
      </c>
      <c r="D13" s="12">
        <f>SUM(D15:D307)</f>
        <v>18315845.759590011</v>
      </c>
      <c r="E13" s="12">
        <f>SUM(E15:E307)</f>
        <v>1590986.75346</v>
      </c>
      <c r="F13" s="12">
        <f>SUM(F15:F307)</f>
        <v>1626062.7234199997</v>
      </c>
      <c r="G13" s="12">
        <f>SUM(G15:G307)</f>
        <v>21624975</v>
      </c>
      <c r="H13" s="11"/>
      <c r="I13" s="12">
        <f>SUM(I15:I307)</f>
        <v>18778839</v>
      </c>
      <c r="J13" s="12">
        <f>SUM(J15:J307)</f>
        <v>1638243</v>
      </c>
      <c r="K13" s="12">
        <f>SUM(K15:K307)</f>
        <v>1537347</v>
      </c>
      <c r="L13" s="12">
        <f>SUM(L15:L307)</f>
        <v>21935415</v>
      </c>
      <c r="M13" s="11"/>
      <c r="N13" s="12">
        <f>SUM(N15:N307)</f>
        <v>18801058</v>
      </c>
      <c r="O13" s="12">
        <f>SUM(O15:O307)</f>
        <v>1738236</v>
      </c>
      <c r="P13" s="12">
        <f>SUM(P15:P307)</f>
        <v>1888774</v>
      </c>
      <c r="Q13" s="12">
        <f>SUM(Q15:Q307)</f>
        <v>22428067</v>
      </c>
      <c r="R13" s="11"/>
      <c r="S13" s="12">
        <f>SUM(S15:S307)</f>
        <v>18664568</v>
      </c>
      <c r="T13" s="12">
        <f>SUM(T15:T307)</f>
        <v>1790525</v>
      </c>
      <c r="U13" s="12">
        <f>SUM(U15:U307)</f>
        <v>1866127</v>
      </c>
      <c r="V13" s="12">
        <f>SUM(V15:V307)</f>
        <v>22321220</v>
      </c>
      <c r="W13" s="11"/>
      <c r="X13" s="12">
        <f>SUM(X15:X307)</f>
        <v>19142606</v>
      </c>
      <c r="Y13" s="12">
        <f>SUM(Y15:Y307)</f>
        <v>1866802</v>
      </c>
      <c r="Z13" s="12">
        <f>SUM(Z15:Z307)</f>
        <v>1902907</v>
      </c>
      <c r="AA13" s="11">
        <f>SUM(AA15:AA307)</f>
        <v>22912315</v>
      </c>
      <c r="AB13" s="11"/>
      <c r="AC13" s="12">
        <f>SUM(AC15:AC307)</f>
        <v>20124065</v>
      </c>
      <c r="AD13" s="12">
        <f>SUM(AD15:AD307)</f>
        <v>1744593</v>
      </c>
      <c r="AE13" s="12">
        <f>SUM(AE15:AE307)</f>
        <v>1956930</v>
      </c>
      <c r="AF13" s="12">
        <f>SUM(AF15:AF307)</f>
        <v>23825588</v>
      </c>
      <c r="AG13" s="11"/>
      <c r="AH13" s="12">
        <f>SUM(AH15:AH307)</f>
        <v>20602525.189869996</v>
      </c>
      <c r="AI13" s="12">
        <f>SUM(AI15:AI307)</f>
        <v>1968747.8368299992</v>
      </c>
      <c r="AJ13" s="12">
        <f>SUM(AJ15:AJ307)</f>
        <v>2847097.6012199991</v>
      </c>
      <c r="AK13" s="11">
        <f>SUM(AK15:AK307)</f>
        <v>25418370.627920005</v>
      </c>
      <c r="AL13" s="11"/>
      <c r="AM13" s="12">
        <f>SUM(AM15:AM307)</f>
        <v>21677574.217360009</v>
      </c>
      <c r="AN13" s="12">
        <f>SUM(AN15:AN307)</f>
        <v>2096402.1852699989</v>
      </c>
      <c r="AO13" s="12">
        <f>SUM(AO15:AO307)</f>
        <v>3034496.1109200018</v>
      </c>
      <c r="AP13" s="12">
        <f>SUM(AP15:AP307)</f>
        <v>26808472.51355001</v>
      </c>
      <c r="AQ13" s="11"/>
      <c r="AR13" s="12">
        <f>SUM(AR15:AR307)</f>
        <v>10219224.574569995</v>
      </c>
      <c r="AS13" s="12">
        <f>SUM(AS15:AS307)</f>
        <v>2182937.7716999981</v>
      </c>
      <c r="AT13" s="12">
        <f>SUM(AT15:AT307)</f>
        <v>2052377.4093800019</v>
      </c>
      <c r="AU13" s="12">
        <f>SUM(AU15:AU307)</f>
        <v>14454539.755649988</v>
      </c>
      <c r="AV13" s="11"/>
      <c r="AW13" s="12">
        <f>SUM(AW15:AW307)</f>
        <v>9649852.7060457896</v>
      </c>
      <c r="AX13" s="12">
        <f>SUM(AX15:AX307)</f>
        <v>2374999.9999999986</v>
      </c>
      <c r="AY13" s="12">
        <f>SUM(AY15:AY307)</f>
        <v>1742635.4623874922</v>
      </c>
      <c r="AZ13" s="12">
        <f>SUM(AZ15:AZ307)</f>
        <v>13767488.168433283</v>
      </c>
      <c r="BA13" s="11"/>
      <c r="BB13" s="192">
        <f>SUM(BB15:BB307)</f>
        <v>10171879.658573849</v>
      </c>
      <c r="BC13" s="192">
        <f>SUM(BC15:BC307)</f>
        <v>2414000.0339802839</v>
      </c>
      <c r="BD13" s="12">
        <f>SUM(BD15:BD307)</f>
        <v>1763547.0879361429</v>
      </c>
      <c r="BE13" s="12">
        <f>SUM(BE15:BE307)</f>
        <v>14349426.780490272</v>
      </c>
      <c r="BF13" s="11"/>
      <c r="BG13" s="12">
        <f>SUM(BG15:BG307)</f>
        <v>10638346.155469414</v>
      </c>
      <c r="BH13" s="12">
        <f>SUM(BH15:BH307)</f>
        <v>2473000.0539134541</v>
      </c>
      <c r="BI13" s="12">
        <f>SUM(BI15:BI307)</f>
        <v>1849185.173516328</v>
      </c>
      <c r="BJ13" s="12">
        <f>SUM(BJ15:BJ307)</f>
        <v>14960531.382899189</v>
      </c>
      <c r="BK13" s="12"/>
      <c r="BL13" s="12">
        <f>SUM(BL15:BL307)</f>
        <v>11036566.386223365</v>
      </c>
      <c r="BM13" s="12">
        <f>SUM(BM15:BM307)</f>
        <v>2539000.076163311</v>
      </c>
      <c r="BN13" s="12">
        <f>SUM(BN15:BN307)</f>
        <v>1959718.0514163361</v>
      </c>
      <c r="BO13" s="12">
        <f>SUM(BO15:BO307)</f>
        <v>15535284.513803001</v>
      </c>
      <c r="BQ13" s="12">
        <f>SUM(BQ15:BQ307)</f>
        <v>11485456.345368672</v>
      </c>
      <c r="BR13" s="12">
        <f>SUM(BR15:BR307)</f>
        <v>2606000.1007896112</v>
      </c>
      <c r="BS13" s="12">
        <f>SUM(BS15:BS307)</f>
        <v>2028427.6782190432</v>
      </c>
      <c r="BT13" s="12">
        <f>SUM(BT15:BT307)</f>
        <v>16119884.124377327</v>
      </c>
      <c r="BU13" s="12"/>
      <c r="BV13" s="5">
        <f>AA13</f>
        <v>22912315</v>
      </c>
      <c r="BW13" s="5">
        <f>AF13</f>
        <v>23825588</v>
      </c>
      <c r="BX13" s="5">
        <f>AK13</f>
        <v>25418370.627920005</v>
      </c>
      <c r="BY13" s="5">
        <f>AP13</f>
        <v>26808472.51355001</v>
      </c>
      <c r="BZ13" s="5">
        <f>AU13</f>
        <v>14454539.755649988</v>
      </c>
      <c r="CA13" s="5">
        <f>AZ13</f>
        <v>13767488.168433283</v>
      </c>
      <c r="CB13" s="5">
        <f>BE13</f>
        <v>14349426.780490272</v>
      </c>
      <c r="CC13" s="5">
        <f>BJ13</f>
        <v>14960531.382899189</v>
      </c>
      <c r="CD13" s="5">
        <f>BO13</f>
        <v>15535284.513803001</v>
      </c>
      <c r="CE13" s="5">
        <f>BT13</f>
        <v>16119884.124377327</v>
      </c>
      <c r="CH13" s="41">
        <f>BV13/'1. Väestöennuste'!I13*1000</f>
        <v>4169.3564881806778</v>
      </c>
      <c r="CI13" s="41">
        <f>BW13/'1. Väestöennuste'!J13*1000</f>
        <v>4329.0411623965419</v>
      </c>
      <c r="CJ13" s="41">
        <f>BX13/'1. Väestöennuste'!K13*1000</f>
        <v>4606.5322763219401</v>
      </c>
      <c r="CK13" s="41">
        <f>BY13/'1. Väestöennuste'!L13*1000</f>
        <v>4844.661562504124</v>
      </c>
      <c r="CL13" s="41">
        <f>BZ13/'1. Väestöennuste'!M13*1000</f>
        <v>2593.5287568159656</v>
      </c>
      <c r="CM13" s="41">
        <f>CA13/'1. Väestöennuste'!N13*1000</f>
        <v>2485.7549765576509</v>
      </c>
      <c r="CN13" s="41">
        <f>CB13/'1. Väestöennuste'!O13*1000</f>
        <v>2587.8636035880713</v>
      </c>
      <c r="CO13" s="41">
        <f>CC13/'1. Väestöennuste'!P13*1000</f>
        <v>2695.3056834517693</v>
      </c>
      <c r="CP13" s="41">
        <f>CD13/'1. Väestöennuste'!Q13*1000</f>
        <v>2796.2800191952515</v>
      </c>
      <c r="CQ13" s="41">
        <f>CE13/'1. Väestöennuste'!R13*1000</f>
        <v>2899.2430483093131</v>
      </c>
      <c r="CU13" s="43">
        <f t="shared" ref="CU13:DC13" si="6">CI13-CH13</f>
        <v>159.68467421586411</v>
      </c>
      <c r="CV13" s="43">
        <f t="shared" si="6"/>
        <v>277.49111392539817</v>
      </c>
      <c r="CW13" s="43">
        <f t="shared" si="6"/>
        <v>238.12928618218393</v>
      </c>
      <c r="CX13" s="43">
        <f t="shared" si="6"/>
        <v>-2251.1328056881584</v>
      </c>
      <c r="CY13" s="43">
        <f t="shared" si="6"/>
        <v>-107.77378025831467</v>
      </c>
      <c r="CZ13" s="43">
        <f t="shared" si="6"/>
        <v>102.10862703042039</v>
      </c>
      <c r="DA13" s="43">
        <f t="shared" si="6"/>
        <v>107.44207986369793</v>
      </c>
      <c r="DB13" s="43">
        <f t="shared" si="6"/>
        <v>100.97433574348224</v>
      </c>
      <c r="DC13" s="43">
        <f t="shared" si="6"/>
        <v>102.96302911406156</v>
      </c>
    </row>
    <row r="14" spans="1:107" x14ac:dyDescent="0.2">
      <c r="D14" s="1"/>
      <c r="E14" s="1"/>
      <c r="F14" s="1"/>
      <c r="G14" s="1"/>
      <c r="H14" s="98"/>
      <c r="I14" s="1"/>
      <c r="J14" s="1"/>
      <c r="K14" s="1"/>
      <c r="L14" s="1"/>
      <c r="M14" s="98"/>
      <c r="N14" s="1"/>
      <c r="O14" s="1"/>
      <c r="P14" s="1"/>
      <c r="Q14" s="1"/>
      <c r="R14" s="98"/>
      <c r="S14" s="1"/>
      <c r="T14" s="1"/>
      <c r="U14" s="1"/>
      <c r="V14" s="1"/>
      <c r="W14" s="98"/>
      <c r="X14" s="1"/>
      <c r="Y14" s="1"/>
      <c r="Z14" s="1"/>
      <c r="AA14" s="98"/>
      <c r="AB14" s="98"/>
      <c r="AC14" s="1"/>
      <c r="AD14" s="1"/>
      <c r="AE14" s="1"/>
      <c r="AF14" s="1"/>
      <c r="AG14" s="98"/>
      <c r="AH14" s="1"/>
      <c r="AI14" s="1"/>
      <c r="AJ14" s="1"/>
      <c r="AK14" s="98"/>
      <c r="AL14" s="1"/>
      <c r="AM14" s="1"/>
      <c r="AN14" s="1"/>
      <c r="AO14" s="1"/>
      <c r="AP14" s="1"/>
      <c r="AQ14" s="98"/>
      <c r="AR14" s="1"/>
      <c r="AS14" s="1"/>
      <c r="AT14" s="1"/>
      <c r="AU14" s="1"/>
      <c r="AV14" s="98"/>
      <c r="AW14" s="1"/>
      <c r="AX14" s="1"/>
      <c r="AY14" s="1"/>
      <c r="AZ14" s="1"/>
      <c r="BA14" s="98"/>
      <c r="BB14" s="43"/>
      <c r="BC14" s="43"/>
      <c r="BD14" s="1"/>
      <c r="BE14" s="205"/>
      <c r="BF14" s="205"/>
      <c r="BG14" s="1"/>
      <c r="BH14" s="1"/>
      <c r="BI14" s="1"/>
      <c r="BJ14" s="205"/>
      <c r="BK14" s="205"/>
      <c r="BL14" s="1"/>
      <c r="BM14" s="1"/>
      <c r="BN14" s="1"/>
      <c r="BO14" s="205"/>
      <c r="BQ14" s="1"/>
      <c r="BR14" s="1"/>
      <c r="BS14" s="1"/>
      <c r="BT14" s="205"/>
      <c r="BU14" s="205"/>
      <c r="CH14" s="41"/>
      <c r="CI14" s="41"/>
      <c r="CJ14" s="41"/>
      <c r="CK14" s="41"/>
      <c r="CL14" s="41"/>
      <c r="CM14" s="41"/>
      <c r="CN14" s="41"/>
    </row>
    <row r="15" spans="1:107" x14ac:dyDescent="0.2">
      <c r="A15" s="99">
        <v>14</v>
      </c>
      <c r="B15" s="53">
        <v>5</v>
      </c>
      <c r="C15" s="54" t="s">
        <v>328</v>
      </c>
      <c r="D15" s="64">
        <v>24149.965620000003</v>
      </c>
      <c r="E15" s="64">
        <v>2256.03917</v>
      </c>
      <c r="F15" s="64">
        <v>2047.6403500000001</v>
      </c>
      <c r="G15" s="205">
        <v>28454</v>
      </c>
      <c r="H15" s="205"/>
      <c r="I15" s="64">
        <v>25084</v>
      </c>
      <c r="J15" s="64">
        <v>2313</v>
      </c>
      <c r="K15" s="64">
        <v>2039</v>
      </c>
      <c r="L15" s="205">
        <v>29436</v>
      </c>
      <c r="M15" s="205"/>
      <c r="N15" s="64">
        <v>25065</v>
      </c>
      <c r="O15" s="64">
        <v>2156</v>
      </c>
      <c r="P15" s="64">
        <v>2438</v>
      </c>
      <c r="Q15" s="205">
        <v>29659</v>
      </c>
      <c r="R15" s="205"/>
      <c r="S15" s="64">
        <v>24613</v>
      </c>
      <c r="T15" s="64">
        <v>2138</v>
      </c>
      <c r="U15" s="64">
        <v>2142</v>
      </c>
      <c r="V15" s="205">
        <v>28893</v>
      </c>
      <c r="W15" s="205"/>
      <c r="X15" s="64">
        <v>25292</v>
      </c>
      <c r="Y15" s="64">
        <v>2154</v>
      </c>
      <c r="Z15" s="64">
        <v>2066</v>
      </c>
      <c r="AA15" s="205">
        <f>SUM(X15:Z15)</f>
        <v>29512</v>
      </c>
      <c r="AB15" s="205"/>
      <c r="AC15" s="64">
        <v>25512</v>
      </c>
      <c r="AD15" s="64">
        <v>1927</v>
      </c>
      <c r="AE15" s="64">
        <v>2144</v>
      </c>
      <c r="AF15" s="205">
        <f t="shared" ref="AF15:AF78" si="7">SUM(AC15:AE15)</f>
        <v>29583</v>
      </c>
      <c r="AG15" s="205"/>
      <c r="AH15" s="278">
        <v>26214.4548</v>
      </c>
      <c r="AI15" s="64">
        <v>2180.4351000000001</v>
      </c>
      <c r="AJ15" s="64">
        <v>3078.7167300000001</v>
      </c>
      <c r="AK15" s="205">
        <f>SUM(AH15:AJ15)</f>
        <v>31473.606629999998</v>
      </c>
      <c r="AL15" s="205"/>
      <c r="AM15" s="64">
        <v>26872.7009</v>
      </c>
      <c r="AN15" s="64">
        <v>2375.0836200000003</v>
      </c>
      <c r="AO15" s="64">
        <v>3231.5692000000004</v>
      </c>
      <c r="AP15" s="205">
        <f>SUM(AM15:AO15)</f>
        <v>32479.353720000003</v>
      </c>
      <c r="AQ15" s="205"/>
      <c r="AR15" s="64">
        <v>13866.599310000001</v>
      </c>
      <c r="AS15" s="64">
        <v>2454.07861</v>
      </c>
      <c r="AT15" s="64">
        <v>2299.9638399999999</v>
      </c>
      <c r="AU15" s="205">
        <f>SUM(AR15:AT15)</f>
        <v>18620.641760000002</v>
      </c>
      <c r="AV15" s="205"/>
      <c r="AW15" s="64">
        <v>13317.875092054312</v>
      </c>
      <c r="AX15" s="64">
        <v>3409.676171655402</v>
      </c>
      <c r="AY15" s="64">
        <v>2312.9746938809421</v>
      </c>
      <c r="AZ15" s="205">
        <f>SUM(AW15:AY15)</f>
        <v>19040.525957590653</v>
      </c>
      <c r="BA15" s="205"/>
      <c r="BB15" s="64">
        <v>13908.378902382823</v>
      </c>
      <c r="BC15" s="64">
        <v>3397.8260060111425</v>
      </c>
      <c r="BD15" s="64">
        <v>2340.7303902075132</v>
      </c>
      <c r="BE15" s="205">
        <f t="shared" ref="BE15:BE76" si="8">SUM(BB15:BD15)</f>
        <v>19646.935298601478</v>
      </c>
      <c r="BF15" s="205"/>
      <c r="BG15" s="64">
        <v>14427.089517628836</v>
      </c>
      <c r="BH15" s="64">
        <v>3412.7140119819373</v>
      </c>
      <c r="BI15" s="64">
        <v>2454.396575163948</v>
      </c>
      <c r="BJ15" s="205">
        <f t="shared" ref="BJ15:BJ78" si="9">SUM(BG15:BI15)</f>
        <v>20294.200104774722</v>
      </c>
      <c r="BK15" s="205"/>
      <c r="BL15" s="64">
        <v>14784.764210346706</v>
      </c>
      <c r="BM15" s="64">
        <v>3435.1247020467008</v>
      </c>
      <c r="BN15" s="64">
        <v>2601.1052557472535</v>
      </c>
      <c r="BO15" s="205">
        <f t="shared" ref="BO15:BO78" si="10">SUM(BL15:BN15)</f>
        <v>20820.99416814066</v>
      </c>
      <c r="BQ15" s="64">
        <v>15194.889730177678</v>
      </c>
      <c r="BR15" s="64">
        <v>3456.5767971045739</v>
      </c>
      <c r="BS15" s="64">
        <v>2692.3025436774165</v>
      </c>
      <c r="BT15" s="205">
        <f t="shared" ref="BT15:BT78" si="11">SUM(BQ15:BS15)</f>
        <v>21343.769070959668</v>
      </c>
      <c r="BU15" s="205"/>
      <c r="BV15" s="5">
        <f t="shared" ref="BV15:BV78" si="12">AA15</f>
        <v>29512</v>
      </c>
      <c r="BW15" s="5">
        <f t="shared" ref="BW15:BW78" si="13">AF15</f>
        <v>29583</v>
      </c>
      <c r="BX15" s="5">
        <f t="shared" ref="BX15:BX78" si="14">AK15</f>
        <v>31473.606629999998</v>
      </c>
      <c r="BY15" s="5">
        <f t="shared" ref="BY15:BY78" si="15">AP15</f>
        <v>32479.353720000003</v>
      </c>
      <c r="BZ15" s="5">
        <f t="shared" ref="BZ15:BZ78" si="16">AU15</f>
        <v>18620.641760000002</v>
      </c>
      <c r="CA15" s="5">
        <f t="shared" ref="CA15:CA78" si="17">AZ15</f>
        <v>19040.525957590653</v>
      </c>
      <c r="CB15" s="5">
        <f t="shared" ref="CB15:CB78" si="18">BE15</f>
        <v>19646.935298601478</v>
      </c>
      <c r="CC15" s="5">
        <f t="shared" ref="CC15:CC78" si="19">BJ15</f>
        <v>20294.200104774722</v>
      </c>
      <c r="CD15" s="5">
        <f t="shared" ref="CD15:CD78" si="20">BO15</f>
        <v>20820.99416814066</v>
      </c>
      <c r="CE15" s="5">
        <f>BT15</f>
        <v>21343.769070959668</v>
      </c>
      <c r="CH15" s="41">
        <f>BV15/'1. Väestöennuste'!I15*1000</f>
        <v>3086.3836017569547</v>
      </c>
      <c r="CI15" s="41">
        <f>BW15/'1. Väestöennuste'!J15*1000</f>
        <v>3140.7792759316276</v>
      </c>
      <c r="CJ15" s="41">
        <f>BX15/'1. Väestöennuste'!K15*1000</f>
        <v>3380.2606196971319</v>
      </c>
      <c r="CK15" s="41">
        <f>BY15/'1. Väestöennuste'!L15*1000</f>
        <v>3536.9001110748127</v>
      </c>
      <c r="CL15" s="41">
        <f>BZ15/'1. Väestöennuste'!M15*1000</f>
        <v>2043.3053615713818</v>
      </c>
      <c r="CM15" s="41">
        <f>CA15/'1. Väestöennuste'!N15*1000</f>
        <v>2127.195392424383</v>
      </c>
      <c r="CN15" s="41">
        <f>CB15/'1. Väestöennuste'!O15*1000</f>
        <v>2222.2526070129484</v>
      </c>
      <c r="CO15" s="41">
        <f>CC15/'1. Väestöennuste'!P15*1000</f>
        <v>2324.6506420131409</v>
      </c>
      <c r="CP15" s="41">
        <f>CD15/'1. Väestöennuste'!Q15*1000</f>
        <v>2415.1483781627026</v>
      </c>
      <c r="CQ15" s="41">
        <f>CE15/'1. Väestöennuste'!R15*1000</f>
        <v>2507.4916671710134</v>
      </c>
      <c r="CR15" s="41"/>
      <c r="CU15" s="159">
        <f t="shared" ref="CU15:CU78" si="21">CI15-CH15</f>
        <v>54.395674174672877</v>
      </c>
      <c r="CV15" s="159">
        <f t="shared" ref="CV15:CV78" si="22">CJ15-CI15</f>
        <v>239.48134376550433</v>
      </c>
      <c r="CW15" s="159">
        <f t="shared" ref="CW15:CW78" si="23">CK15-CJ15</f>
        <v>156.63949137768077</v>
      </c>
      <c r="CX15" s="159">
        <f t="shared" ref="CX15:CX78" si="24">CL15-CK15</f>
        <v>-1493.5947495034309</v>
      </c>
      <c r="CY15" s="159">
        <f t="shared" ref="CY15:CY78" si="25">CM15-CL15</f>
        <v>83.890030853001235</v>
      </c>
      <c r="CZ15" s="159">
        <f t="shared" ref="CZ15:CZ78" si="26">CN15-CM15</f>
        <v>95.05721458856533</v>
      </c>
      <c r="DA15" s="159">
        <f>CO15-CN15</f>
        <v>102.39803500019252</v>
      </c>
      <c r="DB15" s="159">
        <f>CP15-CO15</f>
        <v>90.497736149561661</v>
      </c>
      <c r="DC15" s="159">
        <f>CQ15-CP15</f>
        <v>92.343289008310876</v>
      </c>
    </row>
    <row r="16" spans="1:107" x14ac:dyDescent="0.2">
      <c r="A16" s="99">
        <v>17</v>
      </c>
      <c r="B16" s="30">
        <v>9</v>
      </c>
      <c r="C16" s="47" t="s">
        <v>329</v>
      </c>
      <c r="D16" s="64">
        <v>7099.2385800000002</v>
      </c>
      <c r="E16" s="64">
        <v>400.30991</v>
      </c>
      <c r="F16" s="64">
        <v>292.89832000000001</v>
      </c>
      <c r="G16" s="205">
        <v>7792</v>
      </c>
      <c r="H16" s="205"/>
      <c r="I16" s="64">
        <v>6892</v>
      </c>
      <c r="J16" s="64">
        <v>522</v>
      </c>
      <c r="K16" s="64">
        <v>271</v>
      </c>
      <c r="L16" s="205">
        <v>7685</v>
      </c>
      <c r="M16" s="205"/>
      <c r="N16" s="64">
        <v>6494</v>
      </c>
      <c r="O16" s="64">
        <v>505</v>
      </c>
      <c r="P16" s="64">
        <v>285</v>
      </c>
      <c r="Q16" s="205">
        <v>7284</v>
      </c>
      <c r="R16" s="205"/>
      <c r="S16" s="64">
        <v>6537</v>
      </c>
      <c r="T16" s="64">
        <v>732</v>
      </c>
      <c r="U16" s="64">
        <v>259</v>
      </c>
      <c r="V16" s="205">
        <v>7528</v>
      </c>
      <c r="W16" s="205"/>
      <c r="X16" s="64">
        <v>6931</v>
      </c>
      <c r="Y16" s="64">
        <v>768</v>
      </c>
      <c r="Z16" s="64">
        <v>263</v>
      </c>
      <c r="AA16" s="205">
        <f t="shared" ref="AA16:AA79" si="27">SUM(X16:Z16)</f>
        <v>7962</v>
      </c>
      <c r="AB16" s="205"/>
      <c r="AC16" s="64">
        <v>6711</v>
      </c>
      <c r="AD16" s="64">
        <v>700</v>
      </c>
      <c r="AE16" s="64">
        <v>305</v>
      </c>
      <c r="AF16" s="205">
        <f t="shared" si="7"/>
        <v>7716</v>
      </c>
      <c r="AG16" s="205"/>
      <c r="AH16" s="278">
        <v>7136.8307199999999</v>
      </c>
      <c r="AI16" s="64">
        <v>746.61941999999999</v>
      </c>
      <c r="AJ16" s="64">
        <v>469.54071999999996</v>
      </c>
      <c r="AK16" s="205">
        <f t="shared" ref="AK16:AK78" si="28">SUM(AH16:AJ16)</f>
        <v>8352.9908599999999</v>
      </c>
      <c r="AL16" s="205"/>
      <c r="AM16" s="64">
        <v>7872.1357300000009</v>
      </c>
      <c r="AN16" s="64">
        <v>783.89562000000001</v>
      </c>
      <c r="AO16" s="64">
        <v>442.59866999999997</v>
      </c>
      <c r="AP16" s="205">
        <f t="shared" ref="AP16:AP78" si="29">SUM(AM16:AO16)</f>
        <v>9098.6300200000005</v>
      </c>
      <c r="AQ16" s="205"/>
      <c r="AR16" s="64">
        <v>3888.28253</v>
      </c>
      <c r="AS16" s="64">
        <v>786.91356000000007</v>
      </c>
      <c r="AT16" s="64">
        <v>256.39553000000001</v>
      </c>
      <c r="AU16" s="205">
        <f t="shared" ref="AU16:AU78" si="30">SUM(AR16:AT16)</f>
        <v>4931.5916200000001</v>
      </c>
      <c r="AV16" s="205"/>
      <c r="AW16" s="64">
        <v>3822.7822220407807</v>
      </c>
      <c r="AX16" s="64">
        <v>807.44223070710905</v>
      </c>
      <c r="AY16" s="64">
        <v>228.08824063373871</v>
      </c>
      <c r="AZ16" s="205">
        <f t="shared" ref="AZ16:AZ78" si="31">SUM(AW16:AY16)</f>
        <v>4858.3126933816284</v>
      </c>
      <c r="BA16" s="205"/>
      <c r="BB16" s="64">
        <v>4006.9688604384728</v>
      </c>
      <c r="BC16" s="64">
        <v>803.61417829883305</v>
      </c>
      <c r="BD16" s="64">
        <v>230.82529952134354</v>
      </c>
      <c r="BE16" s="205">
        <f t="shared" si="8"/>
        <v>5041.4083382586496</v>
      </c>
      <c r="BF16" s="205"/>
      <c r="BG16" s="64">
        <v>4170.6630027285401</v>
      </c>
      <c r="BH16" s="64">
        <v>806.14414577442824</v>
      </c>
      <c r="BI16" s="64">
        <v>242.034207346773</v>
      </c>
      <c r="BJ16" s="205">
        <f t="shared" si="9"/>
        <v>5218.8413558497414</v>
      </c>
      <c r="BK16" s="205"/>
      <c r="BL16" s="64">
        <v>4290.8957157440409</v>
      </c>
      <c r="BM16" s="64">
        <v>810.46962280032949</v>
      </c>
      <c r="BN16" s="64">
        <v>256.50151860982731</v>
      </c>
      <c r="BO16" s="205">
        <f t="shared" si="10"/>
        <v>5357.8668571541975</v>
      </c>
      <c r="BQ16" s="64">
        <v>4416.9347223978057</v>
      </c>
      <c r="BR16" s="64">
        <v>814.58040310681167</v>
      </c>
      <c r="BS16" s="64">
        <v>265.49471209767188</v>
      </c>
      <c r="BT16" s="205">
        <f t="shared" si="11"/>
        <v>5497.0098376022897</v>
      </c>
      <c r="BU16" s="205"/>
      <c r="BV16" s="5">
        <f t="shared" si="12"/>
        <v>7962</v>
      </c>
      <c r="BW16" s="5">
        <f t="shared" si="13"/>
        <v>7716</v>
      </c>
      <c r="BX16" s="5">
        <f t="shared" si="14"/>
        <v>8352.9908599999999</v>
      </c>
      <c r="BY16" s="5">
        <f t="shared" si="15"/>
        <v>9098.6300200000005</v>
      </c>
      <c r="BZ16" s="5">
        <f t="shared" si="16"/>
        <v>4931.5916200000001</v>
      </c>
      <c r="CA16" s="5">
        <f t="shared" si="17"/>
        <v>4858.3126933816284</v>
      </c>
      <c r="CB16" s="5">
        <f t="shared" si="18"/>
        <v>5041.4083382586496</v>
      </c>
      <c r="CC16" s="5">
        <f t="shared" si="19"/>
        <v>5218.8413558497414</v>
      </c>
      <c r="CD16" s="5">
        <f t="shared" si="20"/>
        <v>5357.8668571541975</v>
      </c>
      <c r="CE16" s="5">
        <f t="shared" ref="CE16:CE79" si="32">BT16</f>
        <v>5497.0098376022897</v>
      </c>
      <c r="CH16" s="41">
        <f>BV16/'1. Väestöennuste'!I16*1000</f>
        <v>3160.7780865422787</v>
      </c>
      <c r="CI16" s="41">
        <f>BW16/'1. Väestöennuste'!J16*1000</f>
        <v>3065.5542312276516</v>
      </c>
      <c r="CJ16" s="41">
        <f>BX16/'1. Väestöennuste'!K16*1000</f>
        <v>3353.2681091930949</v>
      </c>
      <c r="CK16" s="41">
        <f>BY16/'1. Väestöennuste'!L16*1000</f>
        <v>3718.2795341234164</v>
      </c>
      <c r="CL16" s="41">
        <f>BZ16/'1. Väestöennuste'!M16*1000</f>
        <v>2023.6321789084939</v>
      </c>
      <c r="CM16" s="41">
        <f>CA16/'1. Väestöennuste'!N16*1000</f>
        <v>2006.7379980923704</v>
      </c>
      <c r="CN16" s="41">
        <f>CB16/'1. Väestöennuste'!O16*1000</f>
        <v>2103.2158273920104</v>
      </c>
      <c r="CO16" s="41">
        <f>CC16/'1. Väestöennuste'!P16*1000</f>
        <v>2197.4068866735756</v>
      </c>
      <c r="CP16" s="41">
        <f>CD16/'1. Väestöennuste'!Q16*1000</f>
        <v>2278.0046161369887</v>
      </c>
      <c r="CQ16" s="41">
        <f>CE16/'1. Väestöennuste'!R16*1000</f>
        <v>2360.2446705033444</v>
      </c>
      <c r="CR16" s="41"/>
      <c r="CU16" s="159">
        <f t="shared" si="21"/>
        <v>-95.223855314627144</v>
      </c>
      <c r="CV16" s="159">
        <f t="shared" si="22"/>
        <v>287.71387796544332</v>
      </c>
      <c r="CW16" s="159">
        <f t="shared" si="23"/>
        <v>365.01142493032148</v>
      </c>
      <c r="CX16" s="159">
        <f t="shared" si="24"/>
        <v>-1694.6473552149225</v>
      </c>
      <c r="CY16" s="159">
        <f t="shared" si="25"/>
        <v>-16.89418081612348</v>
      </c>
      <c r="CZ16" s="159">
        <f t="shared" si="26"/>
        <v>96.477829299640007</v>
      </c>
      <c r="DA16" s="159">
        <f t="shared" ref="DA16:DA79" si="33">CO16-CN16</f>
        <v>94.191059281565231</v>
      </c>
      <c r="DB16" s="159">
        <f t="shared" ref="DB16:DC79" si="34">CP16-CO16</f>
        <v>80.597729463413089</v>
      </c>
      <c r="DC16" s="159">
        <f t="shared" si="34"/>
        <v>82.240054366355707</v>
      </c>
    </row>
    <row r="17" spans="1:107" x14ac:dyDescent="0.2">
      <c r="A17" s="99">
        <v>14</v>
      </c>
      <c r="B17" s="30">
        <v>10</v>
      </c>
      <c r="C17" s="47" t="s">
        <v>330</v>
      </c>
      <c r="D17" s="64">
        <v>29181.818360000001</v>
      </c>
      <c r="E17" s="64">
        <v>2588.0786699999999</v>
      </c>
      <c r="F17" s="64">
        <v>2244.5212700000002</v>
      </c>
      <c r="G17" s="205">
        <v>34014</v>
      </c>
      <c r="H17" s="205"/>
      <c r="I17" s="64">
        <v>29668</v>
      </c>
      <c r="J17" s="64">
        <v>2611</v>
      </c>
      <c r="K17" s="64">
        <v>2203</v>
      </c>
      <c r="L17" s="205">
        <v>34482</v>
      </c>
      <c r="M17" s="205"/>
      <c r="N17" s="64">
        <v>29789</v>
      </c>
      <c r="O17" s="64">
        <v>2730</v>
      </c>
      <c r="P17" s="64">
        <v>2699</v>
      </c>
      <c r="Q17" s="205">
        <v>35218</v>
      </c>
      <c r="R17" s="205"/>
      <c r="S17" s="64">
        <v>28747</v>
      </c>
      <c r="T17" s="64">
        <v>2756</v>
      </c>
      <c r="U17" s="64">
        <v>2398</v>
      </c>
      <c r="V17" s="205">
        <v>33901</v>
      </c>
      <c r="W17" s="205"/>
      <c r="X17" s="64">
        <v>29279</v>
      </c>
      <c r="Y17" s="64">
        <v>2799</v>
      </c>
      <c r="Z17" s="64">
        <v>2585</v>
      </c>
      <c r="AA17" s="205">
        <f t="shared" si="27"/>
        <v>34663</v>
      </c>
      <c r="AB17" s="205"/>
      <c r="AC17" s="64">
        <v>29760</v>
      </c>
      <c r="AD17" s="64">
        <v>2502</v>
      </c>
      <c r="AE17" s="64">
        <v>2810</v>
      </c>
      <c r="AF17" s="205">
        <f t="shared" si="7"/>
        <v>35072</v>
      </c>
      <c r="AG17" s="205"/>
      <c r="AH17" s="278">
        <v>30170.763579999999</v>
      </c>
      <c r="AI17" s="64">
        <v>2735.3312799999999</v>
      </c>
      <c r="AJ17" s="64">
        <v>3934.9839200000001</v>
      </c>
      <c r="AK17" s="205">
        <f t="shared" si="28"/>
        <v>36841.078779999996</v>
      </c>
      <c r="AL17" s="205"/>
      <c r="AM17" s="64">
        <v>30819.23618</v>
      </c>
      <c r="AN17" s="64">
        <v>2722.9732000000004</v>
      </c>
      <c r="AO17" s="64">
        <v>4217.3695800000005</v>
      </c>
      <c r="AP17" s="205">
        <f t="shared" si="29"/>
        <v>37759.578959999999</v>
      </c>
      <c r="AQ17" s="205"/>
      <c r="AR17" s="64">
        <v>15177.962680000001</v>
      </c>
      <c r="AS17" s="64">
        <v>3162.5322500000002</v>
      </c>
      <c r="AT17" s="64">
        <v>2552.0279799999998</v>
      </c>
      <c r="AU17" s="205">
        <f t="shared" si="30"/>
        <v>20892.52291</v>
      </c>
      <c r="AV17" s="205"/>
      <c r="AW17" s="64">
        <v>16481.687727799159</v>
      </c>
      <c r="AX17" s="64">
        <v>3282.1394924513038</v>
      </c>
      <c r="AY17" s="64">
        <v>1953.1154172550837</v>
      </c>
      <c r="AZ17" s="205">
        <f t="shared" si="31"/>
        <v>21716.942637505548</v>
      </c>
      <c r="BA17" s="205"/>
      <c r="BB17" s="64">
        <v>17554.727535120383</v>
      </c>
      <c r="BC17" s="64">
        <v>3241.7632957440528</v>
      </c>
      <c r="BD17" s="64">
        <v>1976.5528022621445</v>
      </c>
      <c r="BE17" s="205">
        <f t="shared" si="8"/>
        <v>22773.043633126581</v>
      </c>
      <c r="BF17" s="205"/>
      <c r="BG17" s="64">
        <v>18290.155419262774</v>
      </c>
      <c r="BH17" s="64">
        <v>3230.2535059765469</v>
      </c>
      <c r="BI17" s="64">
        <v>2072.5344741958233</v>
      </c>
      <c r="BJ17" s="205">
        <f t="shared" si="9"/>
        <v>23592.943399435142</v>
      </c>
      <c r="BK17" s="205"/>
      <c r="BL17" s="64">
        <v>18795.509257173075</v>
      </c>
      <c r="BM17" s="64">
        <v>3228.8133303432737</v>
      </c>
      <c r="BN17" s="64">
        <v>2196.4177949474315</v>
      </c>
      <c r="BO17" s="205">
        <f t="shared" si="10"/>
        <v>24220.74038246378</v>
      </c>
      <c r="BQ17" s="64">
        <v>19383.468781504325</v>
      </c>
      <c r="BR17" s="64">
        <v>3229.2646449292865</v>
      </c>
      <c r="BS17" s="64">
        <v>2273.4263456849176</v>
      </c>
      <c r="BT17" s="205">
        <f t="shared" si="11"/>
        <v>24886.159772118532</v>
      </c>
      <c r="BU17" s="205"/>
      <c r="BV17" s="5">
        <f t="shared" si="12"/>
        <v>34663</v>
      </c>
      <c r="BW17" s="5">
        <f t="shared" si="13"/>
        <v>35072</v>
      </c>
      <c r="BX17" s="5">
        <f t="shared" si="14"/>
        <v>36841.078779999996</v>
      </c>
      <c r="BY17" s="5">
        <f t="shared" si="15"/>
        <v>37759.578959999999</v>
      </c>
      <c r="BZ17" s="5">
        <f t="shared" si="16"/>
        <v>20892.52291</v>
      </c>
      <c r="CA17" s="5">
        <f t="shared" si="17"/>
        <v>21716.942637505548</v>
      </c>
      <c r="CB17" s="5">
        <f t="shared" si="18"/>
        <v>22773.043633126581</v>
      </c>
      <c r="CC17" s="5">
        <f t="shared" si="19"/>
        <v>23592.943399435142</v>
      </c>
      <c r="CD17" s="5">
        <f t="shared" si="20"/>
        <v>24220.74038246378</v>
      </c>
      <c r="CE17" s="5">
        <f t="shared" si="32"/>
        <v>24886.159772118532</v>
      </c>
      <c r="CH17" s="41">
        <f>BV17/'1. Väestöennuste'!I17*1000</f>
        <v>3022.5845831880015</v>
      </c>
      <c r="CI17" s="41">
        <f>BW17/'1. Väestöennuste'!J17*1000</f>
        <v>3094.9523473349805</v>
      </c>
      <c r="CJ17" s="41">
        <f>BX17/'1. Väestöennuste'!K17*1000</f>
        <v>3290.263354469947</v>
      </c>
      <c r="CK17" s="41">
        <f>BY17/'1. Väestöennuste'!L17*1000</f>
        <v>3401.1510502612141</v>
      </c>
      <c r="CL17" s="41">
        <f>BZ17/'1. Väestöennuste'!M17*1000</f>
        <v>1910.9597466386169</v>
      </c>
      <c r="CM17" s="41">
        <f>CA17/'1. Väestöennuste'!N17*1000</f>
        <v>2008.0390788262182</v>
      </c>
      <c r="CN17" s="41">
        <f>CB17/'1. Väestöennuste'!O17*1000</f>
        <v>2131.1102033620232</v>
      </c>
      <c r="CO17" s="41">
        <f>CC17/'1. Väestöennuste'!P17*1000</f>
        <v>2233.7571860855087</v>
      </c>
      <c r="CP17" s="41">
        <f>CD17/'1. Väestöennuste'!Q17*1000</f>
        <v>2319.3278159976808</v>
      </c>
      <c r="CQ17" s="41">
        <f>CE17/'1. Väestöennuste'!R17*1000</f>
        <v>2410.2818181228599</v>
      </c>
      <c r="CR17" s="41"/>
      <c r="CU17" s="159">
        <f t="shared" si="21"/>
        <v>72.367764146978971</v>
      </c>
      <c r="CV17" s="159">
        <f t="shared" si="22"/>
        <v>195.31100713496653</v>
      </c>
      <c r="CW17" s="159">
        <f t="shared" si="23"/>
        <v>110.88769579126711</v>
      </c>
      <c r="CX17" s="159">
        <f t="shared" si="24"/>
        <v>-1490.1913036225972</v>
      </c>
      <c r="CY17" s="159">
        <f t="shared" si="25"/>
        <v>97.079332187601267</v>
      </c>
      <c r="CZ17" s="159">
        <f t="shared" si="26"/>
        <v>123.07112453580498</v>
      </c>
      <c r="DA17" s="159">
        <f t="shared" si="33"/>
        <v>102.64698272348551</v>
      </c>
      <c r="DB17" s="159">
        <f t="shared" si="34"/>
        <v>85.57062991217208</v>
      </c>
      <c r="DC17" s="159">
        <f t="shared" si="34"/>
        <v>90.954002125179159</v>
      </c>
    </row>
    <row r="18" spans="1:107" x14ac:dyDescent="0.2">
      <c r="A18" s="99">
        <v>7</v>
      </c>
      <c r="B18" s="30">
        <v>16</v>
      </c>
      <c r="C18" s="47" t="s">
        <v>331</v>
      </c>
      <c r="D18" s="64">
        <v>25345.005260000002</v>
      </c>
      <c r="E18" s="64">
        <v>2501.3545299999996</v>
      </c>
      <c r="F18" s="64">
        <v>1538.5116</v>
      </c>
      <c r="G18" s="205">
        <v>29378</v>
      </c>
      <c r="H18" s="205"/>
      <c r="I18" s="64">
        <v>25836</v>
      </c>
      <c r="J18" s="64">
        <v>2659</v>
      </c>
      <c r="K18" s="64">
        <v>1430</v>
      </c>
      <c r="L18" s="205">
        <v>29925</v>
      </c>
      <c r="M18" s="205"/>
      <c r="N18" s="64">
        <v>25298</v>
      </c>
      <c r="O18" s="64">
        <v>2787</v>
      </c>
      <c r="P18" s="64">
        <v>1616</v>
      </c>
      <c r="Q18" s="205">
        <v>29701</v>
      </c>
      <c r="R18" s="205"/>
      <c r="S18" s="64">
        <v>24509</v>
      </c>
      <c r="T18" s="64">
        <v>2893</v>
      </c>
      <c r="U18" s="64">
        <v>1436</v>
      </c>
      <c r="V18" s="205">
        <v>28838</v>
      </c>
      <c r="W18" s="205"/>
      <c r="X18" s="64">
        <v>25296</v>
      </c>
      <c r="Y18" s="64">
        <v>2911</v>
      </c>
      <c r="Z18" s="64">
        <v>1538</v>
      </c>
      <c r="AA18" s="205">
        <f t="shared" si="27"/>
        <v>29745</v>
      </c>
      <c r="AB18" s="205"/>
      <c r="AC18" s="64">
        <v>27480</v>
      </c>
      <c r="AD18" s="64">
        <v>2672</v>
      </c>
      <c r="AE18" s="64">
        <v>1731</v>
      </c>
      <c r="AF18" s="205">
        <f t="shared" si="7"/>
        <v>31883</v>
      </c>
      <c r="AG18" s="205"/>
      <c r="AH18" s="278">
        <v>27175.237679999998</v>
      </c>
      <c r="AI18" s="64">
        <v>2948.0314700000004</v>
      </c>
      <c r="AJ18" s="64">
        <v>2474.8977200000004</v>
      </c>
      <c r="AK18" s="205">
        <f t="shared" si="28"/>
        <v>32598.166870000001</v>
      </c>
      <c r="AL18" s="205"/>
      <c r="AM18" s="64">
        <v>27954.874670000001</v>
      </c>
      <c r="AN18" s="64">
        <v>3099.1713500000001</v>
      </c>
      <c r="AO18" s="64">
        <v>2546.5694900000003</v>
      </c>
      <c r="AP18" s="205">
        <f t="shared" si="29"/>
        <v>33600.615510000003</v>
      </c>
      <c r="AQ18" s="205"/>
      <c r="AR18" s="64">
        <v>13354.66186</v>
      </c>
      <c r="AS18" s="64">
        <v>3182.3204700000001</v>
      </c>
      <c r="AT18" s="64">
        <v>1596.22371</v>
      </c>
      <c r="AU18" s="205">
        <f t="shared" si="30"/>
        <v>18133.206039999997</v>
      </c>
      <c r="AV18" s="205"/>
      <c r="AW18" s="64">
        <v>12780.643749259487</v>
      </c>
      <c r="AX18" s="64">
        <v>3569.1626009140687</v>
      </c>
      <c r="AY18" s="64">
        <v>1336.8556501651694</v>
      </c>
      <c r="AZ18" s="205">
        <f t="shared" si="31"/>
        <v>17686.662000338725</v>
      </c>
      <c r="BA18" s="205"/>
      <c r="BB18" s="64">
        <v>13479.961845087793</v>
      </c>
      <c r="BC18" s="64">
        <v>3628.5227693159313</v>
      </c>
      <c r="BD18" s="64">
        <v>1352.8979179671514</v>
      </c>
      <c r="BE18" s="205">
        <f t="shared" si="8"/>
        <v>18461.382532370877</v>
      </c>
      <c r="BF18" s="205"/>
      <c r="BG18" s="64">
        <v>13923.480216798534</v>
      </c>
      <c r="BH18" s="64">
        <v>3717.6143672640515</v>
      </c>
      <c r="BI18" s="64">
        <v>1418.5948242038398</v>
      </c>
      <c r="BJ18" s="205">
        <f t="shared" si="9"/>
        <v>19059.689408266426</v>
      </c>
      <c r="BK18" s="205"/>
      <c r="BL18" s="64">
        <v>14329.986927692606</v>
      </c>
      <c r="BM18" s="64">
        <v>3816.8512777982555</v>
      </c>
      <c r="BN18" s="64">
        <v>1503.3896683000307</v>
      </c>
      <c r="BO18" s="205">
        <f t="shared" si="10"/>
        <v>19650.227873790893</v>
      </c>
      <c r="BQ18" s="64">
        <v>14792.520568510892</v>
      </c>
      <c r="BR18" s="64">
        <v>3917.1691422908052</v>
      </c>
      <c r="BS18" s="64">
        <v>1556.0999767922574</v>
      </c>
      <c r="BT18" s="205">
        <f t="shared" si="11"/>
        <v>20265.789687593955</v>
      </c>
      <c r="BU18" s="205"/>
      <c r="BV18" s="5">
        <f t="shared" si="12"/>
        <v>29745</v>
      </c>
      <c r="BW18" s="5">
        <f t="shared" si="13"/>
        <v>31883</v>
      </c>
      <c r="BX18" s="5">
        <f t="shared" si="14"/>
        <v>32598.166870000001</v>
      </c>
      <c r="BY18" s="5">
        <f t="shared" si="15"/>
        <v>33600.615510000003</v>
      </c>
      <c r="BZ18" s="5">
        <f t="shared" si="16"/>
        <v>18133.206039999997</v>
      </c>
      <c r="CA18" s="5">
        <f t="shared" si="17"/>
        <v>17686.662000338725</v>
      </c>
      <c r="CB18" s="5">
        <f t="shared" si="18"/>
        <v>18461.382532370877</v>
      </c>
      <c r="CC18" s="5">
        <f t="shared" si="19"/>
        <v>19059.689408266426</v>
      </c>
      <c r="CD18" s="5">
        <f t="shared" si="20"/>
        <v>19650.227873790893</v>
      </c>
      <c r="CE18" s="5">
        <f t="shared" si="32"/>
        <v>20265.789687593955</v>
      </c>
      <c r="CH18" s="41">
        <f>BV18/'1. Väestöennuste'!I18*1000</f>
        <v>3679.9455647655573</v>
      </c>
      <c r="CI18" s="41">
        <f>BW18/'1. Väestöennuste'!J18*1000</f>
        <v>3956.19803945899</v>
      </c>
      <c r="CJ18" s="41">
        <f>BX18/'1. Väestöennuste'!K18*1000</f>
        <v>4058.0314788995393</v>
      </c>
      <c r="CK18" s="41">
        <f>BY18/'1. Väestöennuste'!L18*1000</f>
        <v>4192.7396443723492</v>
      </c>
      <c r="CL18" s="41">
        <f>BZ18/'1. Väestöennuste'!M18*1000</f>
        <v>2275.7537700803209</v>
      </c>
      <c r="CM18" s="41">
        <f>CA18/'1. Väestöennuste'!N18*1000</f>
        <v>2242.7925437913677</v>
      </c>
      <c r="CN18" s="41">
        <f>CB18/'1. Väestöennuste'!O18*1000</f>
        <v>2355.6695843270227</v>
      </c>
      <c r="CO18" s="41">
        <f>CC18/'1. Väestöennuste'!P18*1000</f>
        <v>2446.3726618234409</v>
      </c>
      <c r="CP18" s="41">
        <f>CD18/'1. Väestöennuste'!Q18*1000</f>
        <v>2537.8054854437419</v>
      </c>
      <c r="CQ18" s="41">
        <f>CE18/'1. Väestöennuste'!R18*1000</f>
        <v>2632.2625909331023</v>
      </c>
      <c r="CR18" s="41"/>
      <c r="CU18" s="159">
        <f t="shared" si="21"/>
        <v>276.25247469343276</v>
      </c>
      <c r="CV18" s="159">
        <f t="shared" si="22"/>
        <v>101.83343944054923</v>
      </c>
      <c r="CW18" s="159">
        <f t="shared" si="23"/>
        <v>134.70816547280992</v>
      </c>
      <c r="CX18" s="159">
        <f t="shared" si="24"/>
        <v>-1916.9858742920283</v>
      </c>
      <c r="CY18" s="159">
        <f t="shared" si="25"/>
        <v>-32.961226288953185</v>
      </c>
      <c r="CZ18" s="159">
        <f t="shared" si="26"/>
        <v>112.87704053565494</v>
      </c>
      <c r="DA18" s="159">
        <f t="shared" si="33"/>
        <v>90.703077496418246</v>
      </c>
      <c r="DB18" s="159">
        <f t="shared" si="34"/>
        <v>91.432823620300951</v>
      </c>
      <c r="DC18" s="159">
        <f t="shared" si="34"/>
        <v>94.457105489360401</v>
      </c>
    </row>
    <row r="19" spans="1:107" x14ac:dyDescent="0.2">
      <c r="A19" s="99">
        <v>1</v>
      </c>
      <c r="B19" s="30">
        <v>18</v>
      </c>
      <c r="C19" s="47" t="s">
        <v>332</v>
      </c>
      <c r="D19" s="64">
        <v>16390.034369999998</v>
      </c>
      <c r="E19" s="64">
        <v>1051.99704</v>
      </c>
      <c r="F19" s="64">
        <v>987.26657</v>
      </c>
      <c r="G19" s="205">
        <v>18430</v>
      </c>
      <c r="H19" s="205"/>
      <c r="I19" s="64">
        <v>17262</v>
      </c>
      <c r="J19" s="64">
        <v>1044</v>
      </c>
      <c r="K19" s="64">
        <v>868</v>
      </c>
      <c r="L19" s="205">
        <v>19174</v>
      </c>
      <c r="M19" s="205"/>
      <c r="N19" s="64">
        <v>16579</v>
      </c>
      <c r="O19" s="64">
        <v>1139</v>
      </c>
      <c r="P19" s="64">
        <v>1038</v>
      </c>
      <c r="Q19" s="205">
        <v>18756</v>
      </c>
      <c r="R19" s="205"/>
      <c r="S19" s="64">
        <v>16454</v>
      </c>
      <c r="T19" s="64">
        <v>1144</v>
      </c>
      <c r="U19" s="64">
        <v>949</v>
      </c>
      <c r="V19" s="205">
        <v>18547</v>
      </c>
      <c r="W19" s="205"/>
      <c r="X19" s="64">
        <v>17550</v>
      </c>
      <c r="Y19" s="64">
        <v>1200</v>
      </c>
      <c r="Z19" s="64">
        <v>957</v>
      </c>
      <c r="AA19" s="205">
        <f t="shared" si="27"/>
        <v>19707</v>
      </c>
      <c r="AB19" s="205"/>
      <c r="AC19" s="64">
        <v>18369</v>
      </c>
      <c r="AD19" s="64">
        <v>1079</v>
      </c>
      <c r="AE19" s="64">
        <v>1008</v>
      </c>
      <c r="AF19" s="205">
        <f t="shared" si="7"/>
        <v>20456</v>
      </c>
      <c r="AG19" s="205"/>
      <c r="AH19" s="278">
        <v>18635.854800000001</v>
      </c>
      <c r="AI19" s="64">
        <v>1174.1659199999999</v>
      </c>
      <c r="AJ19" s="64">
        <v>1445.0220200000001</v>
      </c>
      <c r="AK19" s="205">
        <f t="shared" si="28"/>
        <v>21255.042740000001</v>
      </c>
      <c r="AL19" s="205"/>
      <c r="AM19" s="64">
        <v>20014.208589999998</v>
      </c>
      <c r="AN19" s="64">
        <v>1253.31005</v>
      </c>
      <c r="AO19" s="64">
        <v>1652.8688300000001</v>
      </c>
      <c r="AP19" s="205">
        <f t="shared" si="29"/>
        <v>22920.387469999998</v>
      </c>
      <c r="AQ19" s="205"/>
      <c r="AR19" s="64">
        <v>9421.46738</v>
      </c>
      <c r="AS19" s="64">
        <v>1285.2098899999999</v>
      </c>
      <c r="AT19" s="64">
        <v>1152.64824</v>
      </c>
      <c r="AU19" s="205">
        <f t="shared" si="30"/>
        <v>11859.325510000001</v>
      </c>
      <c r="AV19" s="205"/>
      <c r="AW19" s="64">
        <v>9320.8252381001184</v>
      </c>
      <c r="AX19" s="64">
        <v>1305.4744558129889</v>
      </c>
      <c r="AY19" s="64">
        <v>754.65168512605555</v>
      </c>
      <c r="AZ19" s="205">
        <f t="shared" si="31"/>
        <v>11380.951379039163</v>
      </c>
      <c r="BA19" s="205"/>
      <c r="BB19" s="64">
        <v>9927.5109249536945</v>
      </c>
      <c r="BC19" s="64">
        <v>1307.9450326268768</v>
      </c>
      <c r="BD19" s="64">
        <v>763.70750534756814</v>
      </c>
      <c r="BE19" s="205">
        <f t="shared" si="8"/>
        <v>11999.163462928138</v>
      </c>
      <c r="BF19" s="205"/>
      <c r="BG19" s="64">
        <v>10386.988983967512</v>
      </c>
      <c r="BH19" s="64">
        <v>1320.8667047750255</v>
      </c>
      <c r="BI19" s="64">
        <v>800.79324530233441</v>
      </c>
      <c r="BJ19" s="205">
        <f t="shared" si="9"/>
        <v>12508.648934044873</v>
      </c>
      <c r="BK19" s="205"/>
      <c r="BL19" s="64">
        <v>10760.941749375472</v>
      </c>
      <c r="BM19" s="64">
        <v>1336.9249960120858</v>
      </c>
      <c r="BN19" s="64">
        <v>848.65972361604418</v>
      </c>
      <c r="BO19" s="205">
        <f t="shared" si="10"/>
        <v>12946.526469003602</v>
      </c>
      <c r="BQ19" s="64">
        <v>11179.840414839064</v>
      </c>
      <c r="BR19" s="64">
        <v>1352.8449617366225</v>
      </c>
      <c r="BS19" s="64">
        <v>878.41456148672864</v>
      </c>
      <c r="BT19" s="205">
        <f t="shared" si="11"/>
        <v>13411.099938062414</v>
      </c>
      <c r="BU19" s="205"/>
      <c r="BV19" s="5">
        <f t="shared" si="12"/>
        <v>19707</v>
      </c>
      <c r="BW19" s="5">
        <f t="shared" si="13"/>
        <v>20456</v>
      </c>
      <c r="BX19" s="5">
        <f t="shared" si="14"/>
        <v>21255.042740000001</v>
      </c>
      <c r="BY19" s="5">
        <f t="shared" si="15"/>
        <v>22920.387469999998</v>
      </c>
      <c r="BZ19" s="5">
        <f t="shared" si="16"/>
        <v>11859.325510000001</v>
      </c>
      <c r="CA19" s="5">
        <f t="shared" si="17"/>
        <v>11380.951379039163</v>
      </c>
      <c r="CB19" s="5">
        <f t="shared" si="18"/>
        <v>11999.163462928138</v>
      </c>
      <c r="CC19" s="5">
        <f t="shared" si="19"/>
        <v>12508.648934044873</v>
      </c>
      <c r="CD19" s="5">
        <f t="shared" si="20"/>
        <v>12946.526469003602</v>
      </c>
      <c r="CE19" s="5">
        <f t="shared" si="32"/>
        <v>13411.099938062414</v>
      </c>
      <c r="CH19" s="41">
        <f>BV19/'1. Väestöennuste'!I19*1000</f>
        <v>3986.8500910378311</v>
      </c>
      <c r="CI19" s="41">
        <f>BW19/'1. Väestöennuste'!J19*1000</f>
        <v>4193.5219352193526</v>
      </c>
      <c r="CJ19" s="41">
        <f>BX19/'1. Väestöennuste'!K19*1000</f>
        <v>4385.1955312564469</v>
      </c>
      <c r="CK19" s="41">
        <f>BY19/'1. Väestöennuste'!L19*1000</f>
        <v>4812.1745685492333</v>
      </c>
      <c r="CL19" s="41">
        <f>BZ19/'1. Väestöennuste'!M19*1000</f>
        <v>2523.2607468085107</v>
      </c>
      <c r="CM19" s="41">
        <f>CA19/'1. Väestöennuste'!N19*1000</f>
        <v>2404.0877437767558</v>
      </c>
      <c r="CN19" s="41">
        <f>CB19/'1. Väestöennuste'!O19*1000</f>
        <v>2548.1340970329447</v>
      </c>
      <c r="CO19" s="41">
        <f>CC19/'1. Väestöennuste'!P19*1000</f>
        <v>2669.3659697065459</v>
      </c>
      <c r="CP19" s="41">
        <f>CD19/'1. Väestöennuste'!Q19*1000</f>
        <v>2775.2468315120259</v>
      </c>
      <c r="CQ19" s="41">
        <f>CE19/'1. Väestöennuste'!R19*1000</f>
        <v>2889.0779702848804</v>
      </c>
      <c r="CR19" s="41"/>
      <c r="CU19" s="159">
        <f t="shared" si="21"/>
        <v>206.67184418152146</v>
      </c>
      <c r="CV19" s="159">
        <f t="shared" si="22"/>
        <v>191.67359603709428</v>
      </c>
      <c r="CW19" s="159">
        <f t="shared" si="23"/>
        <v>426.97903729278642</v>
      </c>
      <c r="CX19" s="159">
        <f t="shared" si="24"/>
        <v>-2288.9138217407226</v>
      </c>
      <c r="CY19" s="159">
        <f t="shared" si="25"/>
        <v>-119.17300303175489</v>
      </c>
      <c r="CZ19" s="159">
        <f t="shared" si="26"/>
        <v>144.04635325618892</v>
      </c>
      <c r="DA19" s="159">
        <f t="shared" si="33"/>
        <v>121.23187267360117</v>
      </c>
      <c r="DB19" s="159">
        <f t="shared" si="34"/>
        <v>105.88086180547998</v>
      </c>
      <c r="DC19" s="159">
        <f t="shared" si="34"/>
        <v>113.8311387728545</v>
      </c>
    </row>
    <row r="20" spans="1:107" x14ac:dyDescent="0.2">
      <c r="A20" s="99">
        <v>2</v>
      </c>
      <c r="B20" s="30">
        <v>19</v>
      </c>
      <c r="C20" s="47" t="s">
        <v>333</v>
      </c>
      <c r="D20" s="64">
        <v>12636.626539999999</v>
      </c>
      <c r="E20" s="64">
        <v>735.87768000000005</v>
      </c>
      <c r="F20" s="64">
        <v>506.25659999999999</v>
      </c>
      <c r="G20" s="205">
        <v>13875</v>
      </c>
      <c r="H20" s="205"/>
      <c r="I20" s="64">
        <v>13272</v>
      </c>
      <c r="J20" s="64">
        <v>410</v>
      </c>
      <c r="K20" s="64">
        <v>758</v>
      </c>
      <c r="L20" s="205">
        <v>14440</v>
      </c>
      <c r="M20" s="205"/>
      <c r="N20" s="64">
        <v>13597</v>
      </c>
      <c r="O20" s="64">
        <v>531</v>
      </c>
      <c r="P20" s="64">
        <v>745</v>
      </c>
      <c r="Q20" s="205">
        <v>14873</v>
      </c>
      <c r="R20" s="205"/>
      <c r="S20" s="64">
        <v>12992</v>
      </c>
      <c r="T20" s="64">
        <v>751</v>
      </c>
      <c r="U20" s="64">
        <v>571</v>
      </c>
      <c r="V20" s="205">
        <v>14314</v>
      </c>
      <c r="W20" s="205"/>
      <c r="X20" s="64">
        <v>13353</v>
      </c>
      <c r="Y20" s="64">
        <v>751</v>
      </c>
      <c r="Z20" s="64">
        <v>603</v>
      </c>
      <c r="AA20" s="205">
        <f t="shared" si="27"/>
        <v>14707</v>
      </c>
      <c r="AB20" s="205"/>
      <c r="AC20" s="64">
        <v>14340</v>
      </c>
      <c r="AD20" s="64">
        <v>714</v>
      </c>
      <c r="AE20" s="64">
        <v>541</v>
      </c>
      <c r="AF20" s="205">
        <f t="shared" si="7"/>
        <v>15595</v>
      </c>
      <c r="AG20" s="205"/>
      <c r="AH20" s="278">
        <v>14407.52326</v>
      </c>
      <c r="AI20" s="64">
        <v>839.44224999999994</v>
      </c>
      <c r="AJ20" s="64">
        <v>740.52879000000007</v>
      </c>
      <c r="AK20" s="205">
        <f t="shared" si="28"/>
        <v>15987.4943</v>
      </c>
      <c r="AL20" s="205"/>
      <c r="AM20" s="64">
        <v>14935.18036</v>
      </c>
      <c r="AN20" s="64">
        <v>885.76715000000002</v>
      </c>
      <c r="AO20" s="64">
        <v>872.98568999999998</v>
      </c>
      <c r="AP20" s="205">
        <f t="shared" si="29"/>
        <v>16693.933199999999</v>
      </c>
      <c r="AQ20" s="205"/>
      <c r="AR20" s="64">
        <v>7361.4130800000003</v>
      </c>
      <c r="AS20" s="64">
        <v>913.92156999999997</v>
      </c>
      <c r="AT20" s="64">
        <v>630.30621999999994</v>
      </c>
      <c r="AU20" s="205">
        <f t="shared" si="30"/>
        <v>8905.6408700000011</v>
      </c>
      <c r="AV20" s="205"/>
      <c r="AW20" s="64">
        <v>7394.4714374844307</v>
      </c>
      <c r="AX20" s="64">
        <v>938.29218650536927</v>
      </c>
      <c r="AY20" s="64">
        <v>486.14545463188631</v>
      </c>
      <c r="AZ20" s="205">
        <f t="shared" si="31"/>
        <v>8818.9090786216857</v>
      </c>
      <c r="BA20" s="205"/>
      <c r="BB20" s="64">
        <v>7944.06979713493</v>
      </c>
      <c r="BC20" s="64">
        <v>950.43248561951293</v>
      </c>
      <c r="BD20" s="64">
        <v>491.97920008746894</v>
      </c>
      <c r="BE20" s="205">
        <f t="shared" si="8"/>
        <v>9386.481482841913</v>
      </c>
      <c r="BF20" s="205"/>
      <c r="BG20" s="64">
        <v>8426.9795971787862</v>
      </c>
      <c r="BH20" s="64">
        <v>970.05055797477246</v>
      </c>
      <c r="BI20" s="64">
        <v>515.86977671509305</v>
      </c>
      <c r="BJ20" s="205">
        <f t="shared" si="9"/>
        <v>9912.8999318686529</v>
      </c>
      <c r="BK20" s="205"/>
      <c r="BL20" s="64">
        <v>8809.1611901244796</v>
      </c>
      <c r="BM20" s="64">
        <v>991.95777149335436</v>
      </c>
      <c r="BN20" s="64">
        <v>546.70528840888699</v>
      </c>
      <c r="BO20" s="205">
        <f t="shared" si="10"/>
        <v>10347.824250026721</v>
      </c>
      <c r="BQ20" s="64">
        <v>9243.649307364718</v>
      </c>
      <c r="BR20" s="64">
        <v>1013.7658808878093</v>
      </c>
      <c r="BS20" s="64">
        <v>565.87330919151566</v>
      </c>
      <c r="BT20" s="205">
        <f t="shared" si="11"/>
        <v>10823.288497444044</v>
      </c>
      <c r="BU20" s="205"/>
      <c r="BV20" s="5">
        <f t="shared" si="12"/>
        <v>14707</v>
      </c>
      <c r="BW20" s="5">
        <f t="shared" si="13"/>
        <v>15595</v>
      </c>
      <c r="BX20" s="5">
        <f t="shared" si="14"/>
        <v>15987.4943</v>
      </c>
      <c r="BY20" s="5">
        <f t="shared" si="15"/>
        <v>16693.933199999999</v>
      </c>
      <c r="BZ20" s="5">
        <f t="shared" si="16"/>
        <v>8905.6408700000011</v>
      </c>
      <c r="CA20" s="5">
        <f t="shared" si="17"/>
        <v>8818.9090786216857</v>
      </c>
      <c r="CB20" s="5">
        <f t="shared" si="18"/>
        <v>9386.481482841913</v>
      </c>
      <c r="CC20" s="5">
        <f t="shared" si="19"/>
        <v>9912.8999318686529</v>
      </c>
      <c r="CD20" s="5">
        <f t="shared" si="20"/>
        <v>10347.824250026721</v>
      </c>
      <c r="CE20" s="5">
        <f t="shared" si="32"/>
        <v>10823.288497444044</v>
      </c>
      <c r="CH20" s="41">
        <f>BV20/'1. Väestöennuste'!I20*1000</f>
        <v>3731.7939609236237</v>
      </c>
      <c r="CI20" s="41">
        <f>BW20/'1. Väestöennuste'!J20*1000</f>
        <v>3939.1260419297805</v>
      </c>
      <c r="CJ20" s="41">
        <f>BX20/'1. Väestöennuste'!K20*1000</f>
        <v>4042.350012642225</v>
      </c>
      <c r="CK20" s="41">
        <f>BY20/'1. Väestöennuste'!L20*1000</f>
        <v>4210.3236317780584</v>
      </c>
      <c r="CL20" s="41">
        <f>BZ20/'1. Väestöennuste'!M20*1000</f>
        <v>2248.331449129008</v>
      </c>
      <c r="CM20" s="41">
        <f>CA20/'1. Väestöennuste'!N20*1000</f>
        <v>2225.8730637611525</v>
      </c>
      <c r="CN20" s="41">
        <f>CB20/'1. Väestöennuste'!O20*1000</f>
        <v>2366.1410342429831</v>
      </c>
      <c r="CO20" s="41">
        <f>CC20/'1. Väestöennuste'!P20*1000</f>
        <v>2495.0666830779392</v>
      </c>
      <c r="CP20" s="41">
        <f>CD20/'1. Väestöennuste'!Q20*1000</f>
        <v>2598.649987450206</v>
      </c>
      <c r="CQ20" s="41">
        <f>CE20/'1. Väestöennuste'!R20*1000</f>
        <v>2713.964016410242</v>
      </c>
      <c r="CR20" s="41"/>
      <c r="CU20" s="159">
        <f t="shared" si="21"/>
        <v>207.33208100615684</v>
      </c>
      <c r="CV20" s="159">
        <f t="shared" si="22"/>
        <v>103.2239707124445</v>
      </c>
      <c r="CW20" s="159">
        <f t="shared" si="23"/>
        <v>167.97361913583336</v>
      </c>
      <c r="CX20" s="159">
        <f t="shared" si="24"/>
        <v>-1961.9921826490504</v>
      </c>
      <c r="CY20" s="159">
        <f t="shared" si="25"/>
        <v>-22.458385367855499</v>
      </c>
      <c r="CZ20" s="159">
        <f t="shared" si="26"/>
        <v>140.26797048183062</v>
      </c>
      <c r="DA20" s="159">
        <f t="shared" si="33"/>
        <v>128.92564883495606</v>
      </c>
      <c r="DB20" s="159">
        <f t="shared" si="34"/>
        <v>103.58330437226687</v>
      </c>
      <c r="DC20" s="159">
        <f t="shared" si="34"/>
        <v>115.31402896003601</v>
      </c>
    </row>
    <row r="21" spans="1:107" x14ac:dyDescent="0.2">
      <c r="A21" s="99">
        <v>6</v>
      </c>
      <c r="B21" s="30">
        <v>20</v>
      </c>
      <c r="C21" s="47" t="s">
        <v>334</v>
      </c>
      <c r="D21" s="64">
        <v>54142.073600000003</v>
      </c>
      <c r="E21" s="64">
        <v>3193.9015199999999</v>
      </c>
      <c r="F21" s="64">
        <v>1775.1951899999999</v>
      </c>
      <c r="G21" s="205">
        <v>59092</v>
      </c>
      <c r="H21" s="205"/>
      <c r="I21" s="64">
        <v>55165</v>
      </c>
      <c r="J21" s="64">
        <v>3377</v>
      </c>
      <c r="K21" s="64">
        <v>1606</v>
      </c>
      <c r="L21" s="205">
        <v>60148</v>
      </c>
      <c r="M21" s="205"/>
      <c r="N21" s="64">
        <v>54017</v>
      </c>
      <c r="O21" s="64">
        <v>3489</v>
      </c>
      <c r="P21" s="64">
        <v>1893</v>
      </c>
      <c r="Q21" s="205">
        <v>59399</v>
      </c>
      <c r="R21" s="205"/>
      <c r="S21" s="64">
        <v>54693</v>
      </c>
      <c r="T21" s="64">
        <v>3319</v>
      </c>
      <c r="U21" s="64">
        <v>1613</v>
      </c>
      <c r="V21" s="205">
        <v>59625</v>
      </c>
      <c r="W21" s="205"/>
      <c r="X21" s="64">
        <v>57840</v>
      </c>
      <c r="Y21" s="64">
        <v>3557</v>
      </c>
      <c r="Z21" s="64">
        <v>1596</v>
      </c>
      <c r="AA21" s="205">
        <f t="shared" si="27"/>
        <v>62993</v>
      </c>
      <c r="AB21" s="205"/>
      <c r="AC21" s="64">
        <v>59104</v>
      </c>
      <c r="AD21" s="64">
        <v>3273</v>
      </c>
      <c r="AE21" s="64">
        <v>1773</v>
      </c>
      <c r="AF21" s="205">
        <f t="shared" si="7"/>
        <v>64150</v>
      </c>
      <c r="AG21" s="205"/>
      <c r="AH21" s="278">
        <v>60897.137590000006</v>
      </c>
      <c r="AI21" s="64">
        <v>3516.3169800000001</v>
      </c>
      <c r="AJ21" s="64">
        <v>2439.1327299999998</v>
      </c>
      <c r="AK21" s="205">
        <f t="shared" si="28"/>
        <v>66852.587300000014</v>
      </c>
      <c r="AL21" s="205"/>
      <c r="AM21" s="64">
        <v>62911.296040000001</v>
      </c>
      <c r="AN21" s="64">
        <v>3824.35581</v>
      </c>
      <c r="AO21" s="64">
        <v>2663.49712</v>
      </c>
      <c r="AP21" s="205">
        <f t="shared" si="29"/>
        <v>69399.148969999995</v>
      </c>
      <c r="AQ21" s="205"/>
      <c r="AR21" s="64">
        <v>33084.79279</v>
      </c>
      <c r="AS21" s="64">
        <v>3880.7251200000001</v>
      </c>
      <c r="AT21" s="64">
        <v>1980.5846999999999</v>
      </c>
      <c r="AU21" s="205">
        <f t="shared" si="30"/>
        <v>38946.102610000002</v>
      </c>
      <c r="AV21" s="205"/>
      <c r="AW21" s="64">
        <v>33253.243697580787</v>
      </c>
      <c r="AX21" s="64">
        <v>4148.4768989538888</v>
      </c>
      <c r="AY21" s="64">
        <v>1661.944034278237</v>
      </c>
      <c r="AZ21" s="205">
        <f t="shared" si="31"/>
        <v>39063.664630812913</v>
      </c>
      <c r="BA21" s="205"/>
      <c r="BB21" s="64">
        <v>35163.551868852199</v>
      </c>
      <c r="BC21" s="64">
        <v>4219.17645927992</v>
      </c>
      <c r="BD21" s="64">
        <v>1681.8873626895759</v>
      </c>
      <c r="BE21" s="205">
        <f t="shared" si="8"/>
        <v>41064.615690821694</v>
      </c>
      <c r="BF21" s="205"/>
      <c r="BG21" s="64">
        <v>36739.138313834934</v>
      </c>
      <c r="BH21" s="64">
        <v>4324.7193408095736</v>
      </c>
      <c r="BI21" s="64">
        <v>1763.5600409455351</v>
      </c>
      <c r="BJ21" s="205">
        <f t="shared" si="9"/>
        <v>42827.417695590048</v>
      </c>
      <c r="BK21" s="205"/>
      <c r="BL21" s="64">
        <v>37992.84357286559</v>
      </c>
      <c r="BM21" s="64">
        <v>4442.351407123826</v>
      </c>
      <c r="BN21" s="64">
        <v>1868.9747768340403</v>
      </c>
      <c r="BO21" s="205">
        <f t="shared" si="10"/>
        <v>44304.169756823452</v>
      </c>
      <c r="BQ21" s="64">
        <v>39400.186757272917</v>
      </c>
      <c r="BR21" s="64">
        <v>4561.5306387617975</v>
      </c>
      <c r="BS21" s="64">
        <v>1934.5028558998679</v>
      </c>
      <c r="BT21" s="205">
        <f t="shared" si="11"/>
        <v>45896.220251934581</v>
      </c>
      <c r="BU21" s="205"/>
      <c r="BV21" s="5">
        <f t="shared" si="12"/>
        <v>62993</v>
      </c>
      <c r="BW21" s="5">
        <f t="shared" si="13"/>
        <v>64150</v>
      </c>
      <c r="BX21" s="5">
        <f t="shared" si="14"/>
        <v>66852.587300000014</v>
      </c>
      <c r="BY21" s="5">
        <f t="shared" si="15"/>
        <v>69399.148969999995</v>
      </c>
      <c r="BZ21" s="5">
        <f t="shared" si="16"/>
        <v>38946.102610000002</v>
      </c>
      <c r="CA21" s="5">
        <f t="shared" si="17"/>
        <v>39063.664630812913</v>
      </c>
      <c r="CB21" s="5">
        <f t="shared" si="18"/>
        <v>41064.615690821694</v>
      </c>
      <c r="CC21" s="5">
        <f t="shared" si="19"/>
        <v>42827.417695590048</v>
      </c>
      <c r="CD21" s="5">
        <f t="shared" si="20"/>
        <v>44304.169756823452</v>
      </c>
      <c r="CE21" s="5">
        <f t="shared" si="32"/>
        <v>45896.220251934581</v>
      </c>
      <c r="CH21" s="41">
        <f>BV21/'1. Väestöennuste'!I21*1000</f>
        <v>3823.5508345978756</v>
      </c>
      <c r="CI21" s="41">
        <f>BW21/'1. Väestöennuste'!J21*1000</f>
        <v>3913.7331462387897</v>
      </c>
      <c r="CJ21" s="41">
        <f>BX21/'1. Väestöennuste'!K21*1000</f>
        <v>4059.7915406570728</v>
      </c>
      <c r="CK21" s="41">
        <f>BY21/'1. Väestöennuste'!L21*1000</f>
        <v>4212.902869544102</v>
      </c>
      <c r="CL21" s="41">
        <f>BZ21/'1. Väestöennuste'!M21*1000</f>
        <v>2374.0385620237735</v>
      </c>
      <c r="CM21" s="41">
        <f>CA21/'1. Väestöennuste'!N21*1000</f>
        <v>2455.9074959645991</v>
      </c>
      <c r="CN21" s="41">
        <f>CB21/'1. Väestöennuste'!O21*1000</f>
        <v>2599.8490465857358</v>
      </c>
      <c r="CO21" s="41">
        <f>CC21/'1. Väestöennuste'!P21*1000</f>
        <v>2729.2517012229196</v>
      </c>
      <c r="CP21" s="41">
        <f>CD21/'1. Väestöennuste'!Q21*1000</f>
        <v>2840.9214335891925</v>
      </c>
      <c r="CQ21" s="41">
        <f>CE21/'1. Väestöennuste'!R21*1000</f>
        <v>2960.6644466478251</v>
      </c>
      <c r="CR21" s="41"/>
      <c r="CU21" s="159">
        <f t="shared" si="21"/>
        <v>90.182311640914122</v>
      </c>
      <c r="CV21" s="159">
        <f t="shared" si="22"/>
        <v>146.05839441828311</v>
      </c>
      <c r="CW21" s="159">
        <f t="shared" si="23"/>
        <v>153.11132888702923</v>
      </c>
      <c r="CX21" s="159">
        <f t="shared" si="24"/>
        <v>-1838.8643075203286</v>
      </c>
      <c r="CY21" s="159">
        <f t="shared" si="25"/>
        <v>81.868933940825627</v>
      </c>
      <c r="CZ21" s="159">
        <f t="shared" si="26"/>
        <v>143.94155062113668</v>
      </c>
      <c r="DA21" s="159">
        <f t="shared" si="33"/>
        <v>129.40265463718379</v>
      </c>
      <c r="DB21" s="159">
        <f t="shared" si="34"/>
        <v>111.66973236627291</v>
      </c>
      <c r="DC21" s="159">
        <f t="shared" si="34"/>
        <v>119.74301305863264</v>
      </c>
    </row>
    <row r="22" spans="1:107" x14ac:dyDescent="0.2">
      <c r="A22" s="99">
        <v>10</v>
      </c>
      <c r="B22" s="30">
        <v>46</v>
      </c>
      <c r="C22" s="47" t="s">
        <v>335</v>
      </c>
      <c r="D22" s="64">
        <v>3801.2397700000001</v>
      </c>
      <c r="E22" s="64">
        <v>418.33734999999996</v>
      </c>
      <c r="F22" s="64">
        <v>605.82881999999995</v>
      </c>
      <c r="G22" s="205">
        <v>4825</v>
      </c>
      <c r="H22" s="205"/>
      <c r="I22" s="64">
        <v>3570</v>
      </c>
      <c r="J22" s="64">
        <v>424</v>
      </c>
      <c r="K22" s="64">
        <v>550</v>
      </c>
      <c r="L22" s="205">
        <v>4544</v>
      </c>
      <c r="M22" s="205"/>
      <c r="N22" s="64">
        <v>3723</v>
      </c>
      <c r="O22" s="64">
        <v>535</v>
      </c>
      <c r="P22" s="64">
        <v>595</v>
      </c>
      <c r="Q22" s="205">
        <v>4853</v>
      </c>
      <c r="R22" s="205"/>
      <c r="S22" s="64">
        <v>3379</v>
      </c>
      <c r="T22" s="64">
        <v>533</v>
      </c>
      <c r="U22" s="64">
        <v>569</v>
      </c>
      <c r="V22" s="205">
        <v>4481</v>
      </c>
      <c r="W22" s="205"/>
      <c r="X22" s="64">
        <v>3580</v>
      </c>
      <c r="Y22" s="64">
        <v>536</v>
      </c>
      <c r="Z22" s="64">
        <v>597</v>
      </c>
      <c r="AA22" s="205">
        <f t="shared" si="27"/>
        <v>4713</v>
      </c>
      <c r="AB22" s="205"/>
      <c r="AC22" s="64">
        <v>3472</v>
      </c>
      <c r="AD22" s="64">
        <v>490</v>
      </c>
      <c r="AE22" s="64">
        <v>680</v>
      </c>
      <c r="AF22" s="205">
        <f t="shared" si="7"/>
        <v>4642</v>
      </c>
      <c r="AG22" s="205"/>
      <c r="AH22" s="278">
        <v>3512.82071</v>
      </c>
      <c r="AI22" s="64">
        <v>538.56833999999992</v>
      </c>
      <c r="AJ22" s="64">
        <v>973.22829999999999</v>
      </c>
      <c r="AK22" s="205">
        <f t="shared" si="28"/>
        <v>5024.6173499999995</v>
      </c>
      <c r="AL22" s="205"/>
      <c r="AM22" s="64">
        <v>3683.7084399999999</v>
      </c>
      <c r="AN22" s="64">
        <v>567.66114000000005</v>
      </c>
      <c r="AO22" s="64">
        <v>905.87333999999998</v>
      </c>
      <c r="AP22" s="205">
        <f t="shared" si="29"/>
        <v>5157.2429199999997</v>
      </c>
      <c r="AQ22" s="205"/>
      <c r="AR22" s="64">
        <v>1757.7245399999999</v>
      </c>
      <c r="AS22" s="64">
        <v>582.96794</v>
      </c>
      <c r="AT22" s="64">
        <v>549.5783100000001</v>
      </c>
      <c r="AU22" s="205">
        <f t="shared" si="30"/>
        <v>2890.2707899999996</v>
      </c>
      <c r="AV22" s="205"/>
      <c r="AW22" s="64">
        <v>1719.4174243591751</v>
      </c>
      <c r="AX22" s="64">
        <v>614.26046168467769</v>
      </c>
      <c r="AY22" s="64">
        <v>469.07285500687601</v>
      </c>
      <c r="AZ22" s="205">
        <f t="shared" si="31"/>
        <v>2802.7507410507287</v>
      </c>
      <c r="BA22" s="205"/>
      <c r="BB22" s="64">
        <v>1818.2070897129931</v>
      </c>
      <c r="BC22" s="64">
        <v>618.45380342317776</v>
      </c>
      <c r="BD22" s="64">
        <v>474.70172926695847</v>
      </c>
      <c r="BE22" s="205">
        <f t="shared" si="8"/>
        <v>2911.3626224031291</v>
      </c>
      <c r="BF22" s="205"/>
      <c r="BG22" s="64">
        <v>1879.6655639074274</v>
      </c>
      <c r="BH22" s="64">
        <v>627.40300677897892</v>
      </c>
      <c r="BI22" s="64">
        <v>497.75330957015359</v>
      </c>
      <c r="BJ22" s="205">
        <f t="shared" si="9"/>
        <v>3004.8218802565602</v>
      </c>
      <c r="BK22" s="205"/>
      <c r="BL22" s="64">
        <v>1933.4100641621224</v>
      </c>
      <c r="BM22" s="64">
        <v>637.68552722217157</v>
      </c>
      <c r="BN22" s="64">
        <v>527.50593065916109</v>
      </c>
      <c r="BO22" s="205">
        <f t="shared" si="10"/>
        <v>3098.6015220434551</v>
      </c>
      <c r="BQ22" s="64">
        <v>1993.4669876670928</v>
      </c>
      <c r="BR22" s="64">
        <v>647.74986052563281</v>
      </c>
      <c r="BS22" s="64">
        <v>546.00080322800363</v>
      </c>
      <c r="BT22" s="205">
        <f t="shared" si="11"/>
        <v>3187.2176514207295</v>
      </c>
      <c r="BU22" s="205"/>
      <c r="BV22" s="5">
        <f t="shared" si="12"/>
        <v>4713</v>
      </c>
      <c r="BW22" s="5">
        <f t="shared" si="13"/>
        <v>4642</v>
      </c>
      <c r="BX22" s="5">
        <f t="shared" si="14"/>
        <v>5024.6173499999995</v>
      </c>
      <c r="BY22" s="5">
        <f t="shared" si="15"/>
        <v>5157.2429199999997</v>
      </c>
      <c r="BZ22" s="5">
        <f t="shared" si="16"/>
        <v>2890.2707899999996</v>
      </c>
      <c r="CA22" s="5">
        <f t="shared" si="17"/>
        <v>2802.7507410507287</v>
      </c>
      <c r="CB22" s="5">
        <f t="shared" si="18"/>
        <v>2911.3626224031291</v>
      </c>
      <c r="CC22" s="5">
        <f t="shared" si="19"/>
        <v>3004.8218802565602</v>
      </c>
      <c r="CD22" s="5">
        <f t="shared" si="20"/>
        <v>3098.6015220434551</v>
      </c>
      <c r="CE22" s="5">
        <f t="shared" si="32"/>
        <v>3187.2176514207295</v>
      </c>
      <c r="CH22" s="41">
        <f>BV22/'1. Väestöennuste'!I22*1000</f>
        <v>3462.8949301983835</v>
      </c>
      <c r="CI22" s="41">
        <f>BW22/'1. Väestöennuste'!J22*1000</f>
        <v>3390.7962016070123</v>
      </c>
      <c r="CJ22" s="41">
        <f>BX22/'1. Väestöennuste'!K22*1000</f>
        <v>3689.1463656387659</v>
      </c>
      <c r="CK22" s="41">
        <f>BY22/'1. Väestöennuste'!L22*1000</f>
        <v>3845.8187322893364</v>
      </c>
      <c r="CL22" s="41">
        <f>BZ22/'1. Väestöennuste'!M22*1000</f>
        <v>2189.5990833333331</v>
      </c>
      <c r="CM22" s="41">
        <f>CA22/'1. Väestöennuste'!N22*1000</f>
        <v>2132.9914315454553</v>
      </c>
      <c r="CN22" s="41">
        <f>CB22/'1. Väestöennuste'!O22*1000</f>
        <v>2239.5097095408687</v>
      </c>
      <c r="CO22" s="41">
        <f>CC22/'1. Väestöennuste'!P22*1000</f>
        <v>2334.7489357082832</v>
      </c>
      <c r="CP22" s="41">
        <f>CD22/'1. Väestöennuste'!Q22*1000</f>
        <v>2432.1832983072645</v>
      </c>
      <c r="CQ22" s="41">
        <f>CE22/'1. Väestöennuste'!R22*1000</f>
        <v>2531.5469828599917</v>
      </c>
      <c r="CR22" s="41"/>
      <c r="CU22" s="159">
        <f t="shared" si="21"/>
        <v>-72.098728591371128</v>
      </c>
      <c r="CV22" s="159">
        <f t="shared" si="22"/>
        <v>298.35016403175359</v>
      </c>
      <c r="CW22" s="159">
        <f t="shared" si="23"/>
        <v>156.67236665057044</v>
      </c>
      <c r="CX22" s="159">
        <f t="shared" si="24"/>
        <v>-1656.2196489560033</v>
      </c>
      <c r="CY22" s="159">
        <f t="shared" si="25"/>
        <v>-56.607651787877785</v>
      </c>
      <c r="CZ22" s="159">
        <f t="shared" si="26"/>
        <v>106.51827799541343</v>
      </c>
      <c r="DA22" s="159">
        <f t="shared" si="33"/>
        <v>95.239226167414472</v>
      </c>
      <c r="DB22" s="159">
        <f t="shared" si="34"/>
        <v>97.434362598981352</v>
      </c>
      <c r="DC22" s="159">
        <f t="shared" si="34"/>
        <v>99.363684552727136</v>
      </c>
    </row>
    <row r="23" spans="1:107" x14ac:dyDescent="0.2">
      <c r="A23" s="99">
        <v>19</v>
      </c>
      <c r="B23" s="30">
        <v>47</v>
      </c>
      <c r="C23" s="47" t="s">
        <v>336</v>
      </c>
      <c r="D23" s="64">
        <v>4864.2166999999999</v>
      </c>
      <c r="E23" s="64">
        <v>822.58206000000007</v>
      </c>
      <c r="F23" s="64">
        <v>337.89075000000003</v>
      </c>
      <c r="G23" s="205">
        <v>6023</v>
      </c>
      <c r="H23" s="205"/>
      <c r="I23" s="64">
        <v>5003</v>
      </c>
      <c r="J23" s="64">
        <v>822</v>
      </c>
      <c r="K23" s="64">
        <v>326</v>
      </c>
      <c r="L23" s="205">
        <v>6151</v>
      </c>
      <c r="M23" s="205"/>
      <c r="N23" s="64">
        <v>4963</v>
      </c>
      <c r="O23" s="64">
        <v>830</v>
      </c>
      <c r="P23" s="64">
        <v>410</v>
      </c>
      <c r="Q23" s="205">
        <v>6203</v>
      </c>
      <c r="R23" s="205"/>
      <c r="S23" s="64">
        <v>5155</v>
      </c>
      <c r="T23" s="64">
        <v>823</v>
      </c>
      <c r="U23" s="64">
        <v>384</v>
      </c>
      <c r="V23" s="205">
        <v>6362</v>
      </c>
      <c r="W23" s="205"/>
      <c r="X23" s="64">
        <v>5043</v>
      </c>
      <c r="Y23" s="64">
        <v>829</v>
      </c>
      <c r="Z23" s="64">
        <v>391</v>
      </c>
      <c r="AA23" s="205">
        <f t="shared" si="27"/>
        <v>6263</v>
      </c>
      <c r="AB23" s="205"/>
      <c r="AC23" s="64">
        <v>5173</v>
      </c>
      <c r="AD23" s="64">
        <v>765</v>
      </c>
      <c r="AE23" s="64">
        <v>456</v>
      </c>
      <c r="AF23" s="205">
        <f t="shared" si="7"/>
        <v>6394</v>
      </c>
      <c r="AG23" s="205"/>
      <c r="AH23" s="278">
        <v>5219.6163299999998</v>
      </c>
      <c r="AI23" s="64">
        <v>811.67066</v>
      </c>
      <c r="AJ23" s="64">
        <v>776.35284000000001</v>
      </c>
      <c r="AK23" s="205">
        <f t="shared" si="28"/>
        <v>6807.6398300000001</v>
      </c>
      <c r="AL23" s="205"/>
      <c r="AM23" s="64">
        <v>5393.1741600000005</v>
      </c>
      <c r="AN23" s="64">
        <v>898.60772999999995</v>
      </c>
      <c r="AO23" s="64">
        <v>887.71537000000001</v>
      </c>
      <c r="AP23" s="205">
        <f t="shared" si="29"/>
        <v>7179.4972600000001</v>
      </c>
      <c r="AQ23" s="205"/>
      <c r="AR23" s="64">
        <v>3032.2939300000003</v>
      </c>
      <c r="AS23" s="64">
        <v>1005.2551500000001</v>
      </c>
      <c r="AT23" s="64">
        <v>592.20650999999998</v>
      </c>
      <c r="AU23" s="205">
        <f t="shared" si="30"/>
        <v>4629.7555900000007</v>
      </c>
      <c r="AV23" s="205"/>
      <c r="AW23" s="64">
        <v>2664.7152170934687</v>
      </c>
      <c r="AX23" s="64">
        <v>1118.2614214776593</v>
      </c>
      <c r="AY23" s="64">
        <v>439.28833960616078</v>
      </c>
      <c r="AZ23" s="205">
        <f t="shared" si="31"/>
        <v>4222.2649781772889</v>
      </c>
      <c r="BA23" s="205"/>
      <c r="BB23" s="64">
        <v>2850.1883011260775</v>
      </c>
      <c r="BC23" s="64">
        <v>1163.595122529983</v>
      </c>
      <c r="BD23" s="64">
        <v>444.5597996814347</v>
      </c>
      <c r="BE23" s="205">
        <f t="shared" si="8"/>
        <v>4458.3432233374951</v>
      </c>
      <c r="BF23" s="205"/>
      <c r="BG23" s="64">
        <v>2980.758508621243</v>
      </c>
      <c r="BH23" s="64">
        <v>1220.6861456996899</v>
      </c>
      <c r="BI23" s="64">
        <v>466.14768379922322</v>
      </c>
      <c r="BJ23" s="205">
        <f t="shared" si="9"/>
        <v>4667.5923381201555</v>
      </c>
      <c r="BK23" s="205"/>
      <c r="BL23" s="64">
        <v>3091.9620122252795</v>
      </c>
      <c r="BM23" s="64">
        <v>1283.7686994412038</v>
      </c>
      <c r="BN23" s="64">
        <v>494.0111156256711</v>
      </c>
      <c r="BO23" s="205">
        <f t="shared" si="10"/>
        <v>4869.7418272921541</v>
      </c>
      <c r="BQ23" s="64">
        <v>3212.4210887147647</v>
      </c>
      <c r="BR23" s="64">
        <v>1350.1169302954779</v>
      </c>
      <c r="BS23" s="64">
        <v>511.33162730157119</v>
      </c>
      <c r="BT23" s="205">
        <f t="shared" si="11"/>
        <v>5073.869646311814</v>
      </c>
      <c r="BU23" s="205"/>
      <c r="BV23" s="5">
        <f t="shared" si="12"/>
        <v>6263</v>
      </c>
      <c r="BW23" s="5">
        <f t="shared" si="13"/>
        <v>6394</v>
      </c>
      <c r="BX23" s="5">
        <f t="shared" si="14"/>
        <v>6807.6398300000001</v>
      </c>
      <c r="BY23" s="5">
        <f t="shared" si="15"/>
        <v>7179.4972600000001</v>
      </c>
      <c r="BZ23" s="5">
        <f t="shared" si="16"/>
        <v>4629.7555900000007</v>
      </c>
      <c r="CA23" s="5">
        <f t="shared" si="17"/>
        <v>4222.2649781772889</v>
      </c>
      <c r="CB23" s="5">
        <f t="shared" si="18"/>
        <v>4458.3432233374951</v>
      </c>
      <c r="CC23" s="5">
        <f t="shared" si="19"/>
        <v>4667.5923381201555</v>
      </c>
      <c r="CD23" s="5">
        <f t="shared" si="20"/>
        <v>4869.7418272921541</v>
      </c>
      <c r="CE23" s="5">
        <f t="shared" si="32"/>
        <v>5073.869646311814</v>
      </c>
      <c r="CH23" s="41">
        <f>BV23/'1. Väestöennuste'!I23*1000</f>
        <v>3407.5081610446136</v>
      </c>
      <c r="CI23" s="41">
        <f>BW23/'1. Väestöennuste'!J23*1000</f>
        <v>3536.5044247787609</v>
      </c>
      <c r="CJ23" s="41">
        <f>BX23/'1. Väestöennuste'!K23*1000</f>
        <v>3805.276595863611</v>
      </c>
      <c r="CK23" s="41">
        <f>BY23/'1. Väestöennuste'!L23*1000</f>
        <v>3964.3828050800662</v>
      </c>
      <c r="CL23" s="41">
        <f>BZ23/'1. Väestöennuste'!M23*1000</f>
        <v>2614.2041727837386</v>
      </c>
      <c r="CM23" s="41">
        <f>CA23/'1. Väestöennuste'!N23*1000</f>
        <v>2380.0817238879872</v>
      </c>
      <c r="CN23" s="41">
        <f>CB23/'1. Väestöennuste'!O23*1000</f>
        <v>2521.6873435166826</v>
      </c>
      <c r="CO23" s="41">
        <f>CC23/'1. Väestöennuste'!P23*1000</f>
        <v>2650.5351153436432</v>
      </c>
      <c r="CP23" s="41">
        <f>CD23/'1. Väestöennuste'!Q23*1000</f>
        <v>2777.9474200183427</v>
      </c>
      <c r="CQ23" s="41">
        <f>CE23/'1. Väestöennuste'!R23*1000</f>
        <v>2907.6616884308391</v>
      </c>
      <c r="CR23" s="41"/>
      <c r="CU23" s="159">
        <f t="shared" si="21"/>
        <v>128.99626373414731</v>
      </c>
      <c r="CV23" s="159">
        <f t="shared" si="22"/>
        <v>268.77217108485002</v>
      </c>
      <c r="CW23" s="159">
        <f t="shared" si="23"/>
        <v>159.10620921645523</v>
      </c>
      <c r="CX23" s="159">
        <f t="shared" si="24"/>
        <v>-1350.1786322963276</v>
      </c>
      <c r="CY23" s="159">
        <f t="shared" si="25"/>
        <v>-234.1224488957514</v>
      </c>
      <c r="CZ23" s="159">
        <f t="shared" si="26"/>
        <v>141.60561962869542</v>
      </c>
      <c r="DA23" s="159">
        <f t="shared" si="33"/>
        <v>128.84777182696052</v>
      </c>
      <c r="DB23" s="159">
        <f t="shared" si="34"/>
        <v>127.4123046746995</v>
      </c>
      <c r="DC23" s="159">
        <f t="shared" si="34"/>
        <v>129.71426841249649</v>
      </c>
    </row>
    <row r="24" spans="1:107" x14ac:dyDescent="0.2">
      <c r="A24" s="99">
        <v>1</v>
      </c>
      <c r="B24" s="30">
        <v>49</v>
      </c>
      <c r="C24" s="47" t="s">
        <v>337</v>
      </c>
      <c r="D24" s="64">
        <v>1161440.37466</v>
      </c>
      <c r="E24" s="64">
        <v>96362.870379999993</v>
      </c>
      <c r="F24" s="64">
        <v>136157.15474</v>
      </c>
      <c r="G24" s="205">
        <v>1393802</v>
      </c>
      <c r="H24" s="205"/>
      <c r="I24" s="64">
        <v>1226153</v>
      </c>
      <c r="J24" s="64">
        <v>99740</v>
      </c>
      <c r="K24" s="64">
        <v>120589</v>
      </c>
      <c r="L24" s="205">
        <v>1446483</v>
      </c>
      <c r="M24" s="205"/>
      <c r="N24" s="64">
        <v>1236961</v>
      </c>
      <c r="O24" s="64">
        <v>116153</v>
      </c>
      <c r="P24" s="64">
        <v>137156</v>
      </c>
      <c r="Q24" s="205">
        <v>1490270</v>
      </c>
      <c r="R24" s="205"/>
      <c r="S24" s="64">
        <v>1259684</v>
      </c>
      <c r="T24" s="64">
        <v>117004</v>
      </c>
      <c r="U24" s="64">
        <v>125298</v>
      </c>
      <c r="V24" s="205">
        <v>1501986</v>
      </c>
      <c r="W24" s="205"/>
      <c r="X24" s="64">
        <v>1272287</v>
      </c>
      <c r="Y24" s="64">
        <v>120293</v>
      </c>
      <c r="Z24" s="64">
        <v>128604</v>
      </c>
      <c r="AA24" s="205">
        <f t="shared" si="27"/>
        <v>1521184</v>
      </c>
      <c r="AB24" s="205"/>
      <c r="AC24" s="64">
        <v>1356824</v>
      </c>
      <c r="AD24" s="64">
        <v>112338</v>
      </c>
      <c r="AE24" s="64">
        <v>136178</v>
      </c>
      <c r="AF24" s="205">
        <f t="shared" si="7"/>
        <v>1605340</v>
      </c>
      <c r="AG24" s="205"/>
      <c r="AH24" s="278">
        <v>1374988.1092900001</v>
      </c>
      <c r="AI24" s="64">
        <v>133072.48556</v>
      </c>
      <c r="AJ24" s="64">
        <v>203093.35690000001</v>
      </c>
      <c r="AK24" s="205">
        <f t="shared" si="28"/>
        <v>1711153.95175</v>
      </c>
      <c r="AL24" s="205"/>
      <c r="AM24" s="64">
        <v>1484705.5996900001</v>
      </c>
      <c r="AN24" s="64">
        <v>141816.92977000002</v>
      </c>
      <c r="AO24" s="64">
        <v>223623.01793999999</v>
      </c>
      <c r="AP24" s="205">
        <f t="shared" si="29"/>
        <v>1850145.5474</v>
      </c>
      <c r="AQ24" s="205"/>
      <c r="AR24" s="64">
        <v>615847.31613000005</v>
      </c>
      <c r="AS24" s="64">
        <v>143060.23103</v>
      </c>
      <c r="AT24" s="64">
        <v>152479.9431</v>
      </c>
      <c r="AU24" s="205">
        <f t="shared" si="30"/>
        <v>911387.49026000011</v>
      </c>
      <c r="AV24" s="205"/>
      <c r="AW24" s="64">
        <v>529559.41708500381</v>
      </c>
      <c r="AX24" s="64">
        <v>166129.21758200161</v>
      </c>
      <c r="AY24" s="64">
        <v>141804.11938466082</v>
      </c>
      <c r="AZ24" s="205">
        <f t="shared" si="31"/>
        <v>837492.75405166624</v>
      </c>
      <c r="BA24" s="205"/>
      <c r="BB24" s="64">
        <v>549777.95688534586</v>
      </c>
      <c r="BC24" s="64">
        <v>168958.97989620882</v>
      </c>
      <c r="BD24" s="64">
        <v>143505.76881727675</v>
      </c>
      <c r="BE24" s="205">
        <f t="shared" si="8"/>
        <v>862242.70559883141</v>
      </c>
      <c r="BF24" s="205"/>
      <c r="BG24" s="64">
        <v>573088.10199128091</v>
      </c>
      <c r="BH24" s="64">
        <v>173173.90806377961</v>
      </c>
      <c r="BI24" s="64">
        <v>150474.4283984658</v>
      </c>
      <c r="BJ24" s="205">
        <f t="shared" si="9"/>
        <v>896736.43845352624</v>
      </c>
      <c r="BK24" s="205"/>
      <c r="BL24" s="64">
        <v>594757.13249577919</v>
      </c>
      <c r="BM24" s="64">
        <v>177863.70013870276</v>
      </c>
      <c r="BN24" s="64">
        <v>159468.86111372145</v>
      </c>
      <c r="BO24" s="205">
        <f t="shared" si="10"/>
        <v>932089.69374820334</v>
      </c>
      <c r="BQ24" s="64">
        <v>618587.14970917872</v>
      </c>
      <c r="BR24" s="64">
        <v>182607.16245776534</v>
      </c>
      <c r="BS24" s="64">
        <v>165059.99496374521</v>
      </c>
      <c r="BT24" s="205">
        <f t="shared" si="11"/>
        <v>966254.30713068927</v>
      </c>
      <c r="BU24" s="205"/>
      <c r="BV24" s="5">
        <f t="shared" si="12"/>
        <v>1521184</v>
      </c>
      <c r="BW24" s="5">
        <f t="shared" si="13"/>
        <v>1605340</v>
      </c>
      <c r="BX24" s="5">
        <f t="shared" si="14"/>
        <v>1711153.95175</v>
      </c>
      <c r="BY24" s="5">
        <f t="shared" si="15"/>
        <v>1850145.5474</v>
      </c>
      <c r="BZ24" s="5">
        <f t="shared" si="16"/>
        <v>911387.49026000011</v>
      </c>
      <c r="CA24" s="5">
        <f t="shared" si="17"/>
        <v>837492.75405166624</v>
      </c>
      <c r="CB24" s="5">
        <f t="shared" si="18"/>
        <v>862242.70559883141</v>
      </c>
      <c r="CC24" s="5">
        <f t="shared" si="19"/>
        <v>896736.43845352624</v>
      </c>
      <c r="CD24" s="5">
        <f t="shared" si="20"/>
        <v>932089.69374820334</v>
      </c>
      <c r="CE24" s="5">
        <f t="shared" si="32"/>
        <v>966254.30713068927</v>
      </c>
      <c r="CH24" s="41">
        <f>BV24/'1. Väestöennuste'!I24*1000</f>
        <v>5250.3322047002221</v>
      </c>
      <c r="CI24" s="41">
        <f>BW24/'1. Väestöennuste'!J24*1000</f>
        <v>5482.7934807852571</v>
      </c>
      <c r="CJ24" s="41">
        <f>BX24/'1. Väestöennuste'!K24*1000</f>
        <v>5758.9016051788431</v>
      </c>
      <c r="CK24" s="41">
        <f>BY24/'1. Väestöennuste'!L24*1000</f>
        <v>6060.6063647739411</v>
      </c>
      <c r="CL24" s="41">
        <f>BZ24/'1. Väestöennuste'!M24*1000</f>
        <v>2902.2860999796198</v>
      </c>
      <c r="CM24" s="41">
        <f>CA24/'1. Väestöennuste'!N24*1000</f>
        <v>2694.3322150068884</v>
      </c>
      <c r="CN24" s="41">
        <f>CB24/'1. Väestöennuste'!O24*1000</f>
        <v>2739.4787101984493</v>
      </c>
      <c r="CO24" s="41">
        <f>CC24/'1. Väestöennuste'!P24*1000</f>
        <v>2815.7819261386585</v>
      </c>
      <c r="CP24" s="41">
        <f>CD24/'1. Väestöennuste'!Q24*1000</f>
        <v>2894.6075847203133</v>
      </c>
      <c r="CQ24" s="41">
        <f>CE24/'1. Väestöennuste'!R24*1000</f>
        <v>2969.6545139490595</v>
      </c>
      <c r="CR24" s="41"/>
      <c r="CU24" s="159">
        <f t="shared" si="21"/>
        <v>232.46127608503502</v>
      </c>
      <c r="CV24" s="159">
        <f t="shared" si="22"/>
        <v>276.10812439358597</v>
      </c>
      <c r="CW24" s="159">
        <f t="shared" si="23"/>
        <v>301.70475959509804</v>
      </c>
      <c r="CX24" s="159">
        <f t="shared" si="24"/>
        <v>-3158.3202647943212</v>
      </c>
      <c r="CY24" s="159">
        <f t="shared" si="25"/>
        <v>-207.95388497273143</v>
      </c>
      <c r="CZ24" s="159">
        <f t="shared" si="26"/>
        <v>45.146495191560916</v>
      </c>
      <c r="DA24" s="159">
        <f t="shared" si="33"/>
        <v>76.303215940209157</v>
      </c>
      <c r="DB24" s="159">
        <f t="shared" si="34"/>
        <v>78.825658581654807</v>
      </c>
      <c r="DC24" s="159">
        <f t="shared" si="34"/>
        <v>75.046929228746194</v>
      </c>
    </row>
    <row r="25" spans="1:107" x14ac:dyDescent="0.2">
      <c r="A25" s="99">
        <v>4</v>
      </c>
      <c r="B25" s="30">
        <v>50</v>
      </c>
      <c r="C25" s="47" t="s">
        <v>338</v>
      </c>
      <c r="D25" s="64">
        <v>40502.154979999999</v>
      </c>
      <c r="E25" s="64">
        <v>2261.4764700000001</v>
      </c>
      <c r="F25" s="64">
        <v>2540.2540199999999</v>
      </c>
      <c r="G25" s="205">
        <v>45294</v>
      </c>
      <c r="H25" s="205"/>
      <c r="I25" s="64">
        <v>38341</v>
      </c>
      <c r="J25" s="64">
        <v>3129</v>
      </c>
      <c r="K25" s="64">
        <v>2183</v>
      </c>
      <c r="L25" s="205">
        <v>43653</v>
      </c>
      <c r="M25" s="205"/>
      <c r="N25" s="64">
        <v>39017</v>
      </c>
      <c r="O25" s="64">
        <v>3077</v>
      </c>
      <c r="P25" s="64">
        <v>2303</v>
      </c>
      <c r="Q25" s="205">
        <v>44397</v>
      </c>
      <c r="R25" s="205"/>
      <c r="S25" s="64">
        <v>38473</v>
      </c>
      <c r="T25" s="64">
        <v>3128</v>
      </c>
      <c r="U25" s="64">
        <v>1964</v>
      </c>
      <c r="V25" s="205">
        <v>43565</v>
      </c>
      <c r="W25" s="205"/>
      <c r="X25" s="64">
        <v>38036</v>
      </c>
      <c r="Y25" s="64">
        <v>3194</v>
      </c>
      <c r="Z25" s="64">
        <v>2057</v>
      </c>
      <c r="AA25" s="205">
        <f t="shared" si="27"/>
        <v>43287</v>
      </c>
      <c r="AB25" s="205"/>
      <c r="AC25" s="64">
        <v>40534</v>
      </c>
      <c r="AD25" s="64">
        <v>2814</v>
      </c>
      <c r="AE25" s="64">
        <v>2487</v>
      </c>
      <c r="AF25" s="205">
        <f t="shared" si="7"/>
        <v>45835</v>
      </c>
      <c r="AG25" s="205"/>
      <c r="AH25" s="278">
        <v>41538.943149999999</v>
      </c>
      <c r="AI25" s="64">
        <v>3167.12725</v>
      </c>
      <c r="AJ25" s="64">
        <v>3640.5098800000001</v>
      </c>
      <c r="AK25" s="205">
        <f t="shared" si="28"/>
        <v>48346.580279999995</v>
      </c>
      <c r="AL25" s="205"/>
      <c r="AM25" s="64">
        <v>41188.585129999999</v>
      </c>
      <c r="AN25" s="64">
        <v>3291.71018</v>
      </c>
      <c r="AO25" s="64">
        <v>3721.3295800000001</v>
      </c>
      <c r="AP25" s="205">
        <f t="shared" si="29"/>
        <v>48201.624889999999</v>
      </c>
      <c r="AQ25" s="205"/>
      <c r="AR25" s="64">
        <v>20217.262549999999</v>
      </c>
      <c r="AS25" s="64">
        <v>3388.5784800000001</v>
      </c>
      <c r="AT25" s="64">
        <v>2537.2622299999998</v>
      </c>
      <c r="AU25" s="205">
        <f t="shared" si="30"/>
        <v>26143.10326</v>
      </c>
      <c r="AV25" s="205"/>
      <c r="AW25" s="64">
        <v>20732.966969721372</v>
      </c>
      <c r="AX25" s="64">
        <v>3551.2104283231433</v>
      </c>
      <c r="AY25" s="64">
        <v>2114.1195116558456</v>
      </c>
      <c r="AZ25" s="205">
        <f t="shared" si="31"/>
        <v>26398.296909700359</v>
      </c>
      <c r="BA25" s="205"/>
      <c r="BB25" s="64">
        <v>21817.009055764975</v>
      </c>
      <c r="BC25" s="64">
        <v>3592.0479706475571</v>
      </c>
      <c r="BD25" s="64">
        <v>2139.4889457957156</v>
      </c>
      <c r="BE25" s="205">
        <f t="shared" si="8"/>
        <v>27548.545972208245</v>
      </c>
      <c r="BF25" s="205"/>
      <c r="BG25" s="64">
        <v>22599.169459931425</v>
      </c>
      <c r="BH25" s="64">
        <v>3660.9686167169189</v>
      </c>
      <c r="BI25" s="64">
        <v>2243.382818939946</v>
      </c>
      <c r="BJ25" s="205">
        <f t="shared" si="9"/>
        <v>28503.520895588292</v>
      </c>
      <c r="BK25" s="205"/>
      <c r="BL25" s="64">
        <v>23179.416880414763</v>
      </c>
      <c r="BM25" s="64">
        <v>3738.29904191283</v>
      </c>
      <c r="BN25" s="64">
        <v>2377.4783993935453</v>
      </c>
      <c r="BO25" s="205">
        <f t="shared" si="10"/>
        <v>29295.194321721137</v>
      </c>
      <c r="BQ25" s="64">
        <v>23868.274548234785</v>
      </c>
      <c r="BR25" s="64">
        <v>3815.0162218904525</v>
      </c>
      <c r="BS25" s="64">
        <v>2460.8351115674045</v>
      </c>
      <c r="BT25" s="205">
        <f t="shared" si="11"/>
        <v>30144.125881692642</v>
      </c>
      <c r="BU25" s="205"/>
      <c r="BV25" s="5">
        <f t="shared" si="12"/>
        <v>43287</v>
      </c>
      <c r="BW25" s="5">
        <f t="shared" si="13"/>
        <v>45835</v>
      </c>
      <c r="BX25" s="5">
        <f t="shared" si="14"/>
        <v>48346.580279999995</v>
      </c>
      <c r="BY25" s="5">
        <f t="shared" si="15"/>
        <v>48201.624889999999</v>
      </c>
      <c r="BZ25" s="5">
        <f t="shared" si="16"/>
        <v>26143.10326</v>
      </c>
      <c r="CA25" s="5">
        <f t="shared" si="17"/>
        <v>26398.296909700359</v>
      </c>
      <c r="CB25" s="5">
        <f t="shared" si="18"/>
        <v>27548.545972208245</v>
      </c>
      <c r="CC25" s="5">
        <f t="shared" si="19"/>
        <v>28503.520895588292</v>
      </c>
      <c r="CD25" s="5">
        <f t="shared" si="20"/>
        <v>29295.194321721137</v>
      </c>
      <c r="CE25" s="5">
        <f t="shared" si="32"/>
        <v>30144.125881692642</v>
      </c>
      <c r="CH25" s="41">
        <f>BV25/'1. Väestöennuste'!I25*1000</f>
        <v>3721.3720770288855</v>
      </c>
      <c r="CI25" s="41">
        <f>BW25/'1. Väestöennuste'!J25*1000</f>
        <v>3991.5527301227903</v>
      </c>
      <c r="CJ25" s="41">
        <f>BX25/'1. Väestöennuste'!K25*1000</f>
        <v>4234.613320486993</v>
      </c>
      <c r="CK25" s="41">
        <f>BY25/'1. Väestöennuste'!L25*1000</f>
        <v>4274.7095503724722</v>
      </c>
      <c r="CL25" s="41">
        <f>BZ25/'1. Väestöennuste'!M25*1000</f>
        <v>2337.5449982117307</v>
      </c>
      <c r="CM25" s="41">
        <f>CA25/'1. Väestöennuste'!N25*1000</f>
        <v>2403.9975329842778</v>
      </c>
      <c r="CN25" s="41">
        <f>CB25/'1. Väestöennuste'!O25*1000</f>
        <v>2535.53115252722</v>
      </c>
      <c r="CO25" s="41">
        <f>CC25/'1. Väestöennuste'!P25*1000</f>
        <v>2650.5040817917329</v>
      </c>
      <c r="CP25" s="41">
        <f>CD25/'1. Väestöennuste'!Q25*1000</f>
        <v>2750.7224715231114</v>
      </c>
      <c r="CQ25" s="41">
        <f>CE25/'1. Väestöennuste'!R25*1000</f>
        <v>2857.5339730488809</v>
      </c>
      <c r="CR25" s="41"/>
      <c r="CU25" s="159">
        <f t="shared" si="21"/>
        <v>270.18065309390477</v>
      </c>
      <c r="CV25" s="159">
        <f t="shared" si="22"/>
        <v>243.06059036420265</v>
      </c>
      <c r="CW25" s="159">
        <f t="shared" si="23"/>
        <v>40.096229885479261</v>
      </c>
      <c r="CX25" s="159">
        <f t="shared" si="24"/>
        <v>-1937.1645521607416</v>
      </c>
      <c r="CY25" s="159">
        <f t="shared" si="25"/>
        <v>66.452534772547097</v>
      </c>
      <c r="CZ25" s="159">
        <f t="shared" si="26"/>
        <v>131.53361954294223</v>
      </c>
      <c r="DA25" s="159">
        <f t="shared" si="33"/>
        <v>114.97292926451291</v>
      </c>
      <c r="DB25" s="159">
        <f t="shared" si="34"/>
        <v>100.21838973137847</v>
      </c>
      <c r="DC25" s="159">
        <f t="shared" si="34"/>
        <v>106.81150152576947</v>
      </c>
    </row>
    <row r="26" spans="1:107" x14ac:dyDescent="0.2">
      <c r="A26" s="99">
        <v>4</v>
      </c>
      <c r="B26" s="30">
        <v>51</v>
      </c>
      <c r="C26" s="47" t="s">
        <v>339</v>
      </c>
      <c r="D26" s="64">
        <v>16336.54448</v>
      </c>
      <c r="E26" s="64">
        <v>16002.88797</v>
      </c>
      <c r="F26" s="64">
        <v>2179.40436</v>
      </c>
      <c r="G26" s="205">
        <v>34546</v>
      </c>
      <c r="H26" s="205"/>
      <c r="I26" s="64">
        <v>18489</v>
      </c>
      <c r="J26" s="64">
        <v>18126</v>
      </c>
      <c r="K26" s="64">
        <v>1426</v>
      </c>
      <c r="L26" s="205">
        <v>38041</v>
      </c>
      <c r="M26" s="205"/>
      <c r="N26" s="64">
        <v>30562</v>
      </c>
      <c r="O26" s="64">
        <v>19330</v>
      </c>
      <c r="P26" s="64">
        <v>2028</v>
      </c>
      <c r="Q26" s="205">
        <v>51919</v>
      </c>
      <c r="R26" s="205"/>
      <c r="S26" s="64">
        <v>28914</v>
      </c>
      <c r="T26" s="64">
        <v>19212</v>
      </c>
      <c r="U26" s="64">
        <v>2214</v>
      </c>
      <c r="V26" s="205">
        <v>50340</v>
      </c>
      <c r="W26" s="205"/>
      <c r="X26" s="64">
        <v>28952</v>
      </c>
      <c r="Y26" s="64">
        <v>20527</v>
      </c>
      <c r="Z26" s="64">
        <v>2581</v>
      </c>
      <c r="AA26" s="205">
        <f t="shared" si="27"/>
        <v>52060</v>
      </c>
      <c r="AB26" s="205"/>
      <c r="AC26" s="64">
        <v>28776</v>
      </c>
      <c r="AD26" s="64">
        <v>19742</v>
      </c>
      <c r="AE26" s="64">
        <v>2667</v>
      </c>
      <c r="AF26" s="205">
        <f t="shared" si="7"/>
        <v>51185</v>
      </c>
      <c r="AG26" s="205"/>
      <c r="AH26" s="278">
        <v>30908.74323</v>
      </c>
      <c r="AI26" s="64">
        <v>22143.567879999999</v>
      </c>
      <c r="AJ26" s="64">
        <v>3492.9499900000001</v>
      </c>
      <c r="AK26" s="205">
        <f t="shared" si="28"/>
        <v>56545.261099999996</v>
      </c>
      <c r="AL26" s="205"/>
      <c r="AM26" s="64">
        <v>32211.778719999998</v>
      </c>
      <c r="AN26" s="64">
        <v>23840.874640000002</v>
      </c>
      <c r="AO26" s="64">
        <v>3424.6581900000001</v>
      </c>
      <c r="AP26" s="205">
        <f t="shared" si="29"/>
        <v>59477.311549999999</v>
      </c>
      <c r="AQ26" s="205"/>
      <c r="AR26" s="64">
        <v>11935.331550000001</v>
      </c>
      <c r="AS26" s="64">
        <v>25315.194760000002</v>
      </c>
      <c r="AT26" s="64">
        <v>2894.2556400000003</v>
      </c>
      <c r="AU26" s="205">
        <f t="shared" si="30"/>
        <v>40144.781950000004</v>
      </c>
      <c r="AV26" s="205"/>
      <c r="AW26" s="64">
        <v>11358.016455800947</v>
      </c>
      <c r="AX26" s="64">
        <v>25943.274906881761</v>
      </c>
      <c r="AY26" s="64">
        <v>2965.8919306352277</v>
      </c>
      <c r="AZ26" s="205">
        <f t="shared" si="31"/>
        <v>40267.183293317932</v>
      </c>
      <c r="BA26" s="205"/>
      <c r="BB26" s="64">
        <v>12151.957287159756</v>
      </c>
      <c r="BC26" s="64">
        <v>26568.333485552561</v>
      </c>
      <c r="BD26" s="64">
        <v>3001.4826338028502</v>
      </c>
      <c r="BE26" s="205">
        <f t="shared" si="8"/>
        <v>41721.773406515167</v>
      </c>
      <c r="BF26" s="205"/>
      <c r="BG26" s="64">
        <v>12708.931454608484</v>
      </c>
      <c r="BH26" s="64">
        <v>27415.302410738936</v>
      </c>
      <c r="BI26" s="64">
        <v>3147.2350372512101</v>
      </c>
      <c r="BJ26" s="205">
        <f t="shared" si="9"/>
        <v>43271.46890259863</v>
      </c>
      <c r="BK26" s="205"/>
      <c r="BL26" s="64">
        <v>13165.932356827012</v>
      </c>
      <c r="BM26" s="64">
        <v>28343.092043244509</v>
      </c>
      <c r="BN26" s="64">
        <v>3335.3573254229304</v>
      </c>
      <c r="BO26" s="205">
        <f t="shared" si="10"/>
        <v>44844.381725494444</v>
      </c>
      <c r="BQ26" s="64">
        <v>13677.551810667375</v>
      </c>
      <c r="BR26" s="64">
        <v>29285.139233622642</v>
      </c>
      <c r="BS26" s="64">
        <v>3452.298207259405</v>
      </c>
      <c r="BT26" s="205">
        <f t="shared" si="11"/>
        <v>46414.989251549421</v>
      </c>
      <c r="BU26" s="205"/>
      <c r="BV26" s="5">
        <f t="shared" si="12"/>
        <v>52060</v>
      </c>
      <c r="BW26" s="5">
        <f t="shared" si="13"/>
        <v>51185</v>
      </c>
      <c r="BX26" s="5">
        <f t="shared" si="14"/>
        <v>56545.261099999996</v>
      </c>
      <c r="BY26" s="5">
        <f t="shared" si="15"/>
        <v>59477.311549999999</v>
      </c>
      <c r="BZ26" s="5">
        <f t="shared" si="16"/>
        <v>40144.781950000004</v>
      </c>
      <c r="CA26" s="5">
        <f>AZ26</f>
        <v>40267.183293317932</v>
      </c>
      <c r="CB26" s="5">
        <f t="shared" si="18"/>
        <v>41721.773406515167</v>
      </c>
      <c r="CC26" s="5">
        <f t="shared" si="19"/>
        <v>43271.46890259863</v>
      </c>
      <c r="CD26" s="5">
        <f t="shared" si="20"/>
        <v>44844.381725494444</v>
      </c>
      <c r="CE26" s="5">
        <f t="shared" si="32"/>
        <v>46414.989251549421</v>
      </c>
      <c r="CH26" s="41">
        <f>BV26/'1. Väestöennuste'!I26*1000</f>
        <v>5537.1197617528187</v>
      </c>
      <c r="CI26" s="41">
        <f>BW26/'1. Väestöennuste'!J26*1000</f>
        <v>5415.2560304697417</v>
      </c>
      <c r="CJ26" s="41">
        <f>BX26/'1. Väestöennuste'!K26*1000</f>
        <v>6057.9881187058063</v>
      </c>
      <c r="CK26" s="41">
        <f>BY26/'1. Väestöennuste'!L26*1000</f>
        <v>6457.2045977635435</v>
      </c>
      <c r="CL26" s="41">
        <f>BZ26/'1. Väestöennuste'!M26*1000</f>
        <v>4390.766920048125</v>
      </c>
      <c r="CM26" s="41">
        <f>CA26/'1. Väestöennuste'!N26*1000</f>
        <v>4211.6079168829556</v>
      </c>
      <c r="CN26" s="41">
        <f>CB26/'1. Väestöennuste'!O26*1000</f>
        <v>4360.5532406474877</v>
      </c>
      <c r="CO26" s="41">
        <f>CC26/'1. Väestöennuste'!P26*1000</f>
        <v>4523.9382020489948</v>
      </c>
      <c r="CP26" s="41">
        <f>CD26/'1. Väestöennuste'!Q26*1000</f>
        <v>4691.3256329631186</v>
      </c>
      <c r="CQ26" s="41">
        <f>CE26/'1. Väestöennuste'!R26*1000</f>
        <v>4861.2263564672621</v>
      </c>
      <c r="CR26" s="41"/>
      <c r="CU26" s="159">
        <f t="shared" si="21"/>
        <v>-121.86373128307696</v>
      </c>
      <c r="CV26" s="159">
        <f t="shared" si="22"/>
        <v>642.73208823606456</v>
      </c>
      <c r="CW26" s="159">
        <f t="shared" si="23"/>
        <v>399.21647905773716</v>
      </c>
      <c r="CX26" s="159">
        <f t="shared" si="24"/>
        <v>-2066.4376777154184</v>
      </c>
      <c r="CY26" s="159">
        <f>CM26-CL26</f>
        <v>-179.15900316516945</v>
      </c>
      <c r="CZ26" s="159">
        <f t="shared" si="26"/>
        <v>148.94532376453208</v>
      </c>
      <c r="DA26" s="159">
        <f t="shared" si="33"/>
        <v>163.3849614015071</v>
      </c>
      <c r="DB26" s="159">
        <f t="shared" si="34"/>
        <v>167.3874309141238</v>
      </c>
      <c r="DC26" s="159">
        <f t="shared" si="34"/>
        <v>169.90072350414357</v>
      </c>
    </row>
    <row r="27" spans="1:107" x14ac:dyDescent="0.2">
      <c r="A27" s="99">
        <v>14</v>
      </c>
      <c r="B27" s="30">
        <v>52</v>
      </c>
      <c r="C27" s="47" t="s">
        <v>340</v>
      </c>
      <c r="D27" s="64">
        <v>7047.8782899999997</v>
      </c>
      <c r="E27" s="64">
        <v>730.40569999999991</v>
      </c>
      <c r="F27" s="64">
        <v>1098.88184</v>
      </c>
      <c r="G27" s="205">
        <v>8877</v>
      </c>
      <c r="H27" s="205"/>
      <c r="I27" s="64">
        <v>6961</v>
      </c>
      <c r="J27" s="64">
        <v>721</v>
      </c>
      <c r="K27" s="64">
        <v>933</v>
      </c>
      <c r="L27" s="205">
        <v>8614</v>
      </c>
      <c r="M27" s="205"/>
      <c r="N27" s="64">
        <v>6674</v>
      </c>
      <c r="O27" s="64">
        <v>723</v>
      </c>
      <c r="P27" s="64">
        <v>827</v>
      </c>
      <c r="Q27" s="205">
        <v>8224</v>
      </c>
      <c r="R27" s="205"/>
      <c r="S27" s="64">
        <v>6586</v>
      </c>
      <c r="T27" s="64">
        <v>750</v>
      </c>
      <c r="U27" s="64">
        <v>639</v>
      </c>
      <c r="V27" s="205">
        <v>7975</v>
      </c>
      <c r="W27" s="205"/>
      <c r="X27" s="64">
        <v>6699</v>
      </c>
      <c r="Y27" s="64">
        <v>764</v>
      </c>
      <c r="Z27" s="64">
        <v>584</v>
      </c>
      <c r="AA27" s="205">
        <f t="shared" si="27"/>
        <v>8047</v>
      </c>
      <c r="AB27" s="205"/>
      <c r="AC27" s="64">
        <v>6733</v>
      </c>
      <c r="AD27" s="64">
        <v>693</v>
      </c>
      <c r="AE27" s="64">
        <v>674</v>
      </c>
      <c r="AF27" s="205">
        <f t="shared" si="7"/>
        <v>8100</v>
      </c>
      <c r="AG27" s="205"/>
      <c r="AH27" s="278">
        <v>7118.6016399999999</v>
      </c>
      <c r="AI27" s="64">
        <v>761.27195999999992</v>
      </c>
      <c r="AJ27" s="64">
        <v>975.32398999999998</v>
      </c>
      <c r="AK27" s="205">
        <f t="shared" si="28"/>
        <v>8855.1975899999998</v>
      </c>
      <c r="AL27" s="205"/>
      <c r="AM27" s="64">
        <v>7326.3812300000009</v>
      </c>
      <c r="AN27" s="64">
        <v>795.55092000000002</v>
      </c>
      <c r="AO27" s="64">
        <v>1041.11068</v>
      </c>
      <c r="AP27" s="205">
        <f t="shared" si="29"/>
        <v>9163.0428300000003</v>
      </c>
      <c r="AQ27" s="205"/>
      <c r="AR27" s="64">
        <v>3690.80053</v>
      </c>
      <c r="AS27" s="64">
        <v>833.69174999999996</v>
      </c>
      <c r="AT27" s="64">
        <v>692.74706999999989</v>
      </c>
      <c r="AU27" s="205">
        <f t="shared" si="30"/>
        <v>5217.2393499999998</v>
      </c>
      <c r="AV27" s="205"/>
      <c r="AW27" s="64">
        <v>3703.0023586094712</v>
      </c>
      <c r="AX27" s="64">
        <v>884.26939491885173</v>
      </c>
      <c r="AY27" s="64">
        <v>609.59096257067654</v>
      </c>
      <c r="AZ27" s="205">
        <f t="shared" si="31"/>
        <v>5196.862716098999</v>
      </c>
      <c r="BA27" s="205"/>
      <c r="BB27" s="64">
        <v>3935.473089743703</v>
      </c>
      <c r="BC27" s="64">
        <v>902.59519728940757</v>
      </c>
      <c r="BD27" s="64">
        <v>616.90605412152456</v>
      </c>
      <c r="BE27" s="205">
        <f t="shared" si="8"/>
        <v>5454.9743411546351</v>
      </c>
      <c r="BF27" s="205"/>
      <c r="BG27" s="64">
        <v>4106.0275515511476</v>
      </c>
      <c r="BH27" s="64">
        <v>928.4937572580285</v>
      </c>
      <c r="BI27" s="64">
        <v>646.86309571071217</v>
      </c>
      <c r="BJ27" s="205">
        <f t="shared" si="9"/>
        <v>5681.3844045198884</v>
      </c>
      <c r="BK27" s="205"/>
      <c r="BL27" s="64">
        <v>4219.8440782948519</v>
      </c>
      <c r="BM27" s="64">
        <v>957.14854581253007</v>
      </c>
      <c r="BN27" s="64">
        <v>685.52857962233793</v>
      </c>
      <c r="BO27" s="205">
        <f t="shared" si="10"/>
        <v>5862.5212037297197</v>
      </c>
      <c r="BQ27" s="64">
        <v>4353.7499346058939</v>
      </c>
      <c r="BR27" s="64">
        <v>986.31366096784836</v>
      </c>
      <c r="BS27" s="64">
        <v>709.56388043226752</v>
      </c>
      <c r="BT27" s="205">
        <f t="shared" si="11"/>
        <v>6049.6274760060096</v>
      </c>
      <c r="BU27" s="205"/>
      <c r="BV27" s="5">
        <f t="shared" si="12"/>
        <v>8047</v>
      </c>
      <c r="BW27" s="5">
        <f t="shared" si="13"/>
        <v>8100</v>
      </c>
      <c r="BX27" s="5">
        <f t="shared" si="14"/>
        <v>8855.1975899999998</v>
      </c>
      <c r="BY27" s="5">
        <f t="shared" si="15"/>
        <v>9163.0428300000003</v>
      </c>
      <c r="BZ27" s="5">
        <f t="shared" si="16"/>
        <v>5217.2393499999998</v>
      </c>
      <c r="CA27" s="5">
        <f t="shared" si="17"/>
        <v>5196.862716098999</v>
      </c>
      <c r="CB27" s="5">
        <f t="shared" si="18"/>
        <v>5454.9743411546351</v>
      </c>
      <c r="CC27" s="5">
        <f t="shared" si="19"/>
        <v>5681.3844045198884</v>
      </c>
      <c r="CD27" s="5">
        <f t="shared" si="20"/>
        <v>5862.5212037297197</v>
      </c>
      <c r="CE27" s="5">
        <f t="shared" si="32"/>
        <v>6049.6274760060096</v>
      </c>
      <c r="CH27" s="41">
        <f>BV27/'1. Väestöennuste'!I27*1000</f>
        <v>3318.3505154639174</v>
      </c>
      <c r="CI27" s="41">
        <f>BW27/'1. Väestöennuste'!J27*1000</f>
        <v>3363.7873754152824</v>
      </c>
      <c r="CJ27" s="41">
        <f>BX27/'1. Väestöennuste'!K27*1000</f>
        <v>3683.5264517470882</v>
      </c>
      <c r="CK27" s="41">
        <f>BY27/'1. Väestöennuste'!L27*1000</f>
        <v>3905.8153580562662</v>
      </c>
      <c r="CL27" s="41">
        <f>BZ27/'1. Väestöennuste'!M27*1000</f>
        <v>2276.2824389179755</v>
      </c>
      <c r="CM27" s="41">
        <f>CA27/'1. Väestöennuste'!N27*1000</f>
        <v>2265.4153078025279</v>
      </c>
      <c r="CN27" s="41">
        <f>CB27/'1. Väestöennuste'!O27*1000</f>
        <v>2404.1314857446605</v>
      </c>
      <c r="CO27" s="41">
        <f>CC27/'1. Väestöennuste'!P27*1000</f>
        <v>2531.8112319607344</v>
      </c>
      <c r="CP27" s="41">
        <f>CD27/'1. Väestöennuste'!Q27*1000</f>
        <v>2641.9653914960431</v>
      </c>
      <c r="CQ27" s="41">
        <f>CE27/'1. Väestöennuste'!R27*1000</f>
        <v>2756.0945220984099</v>
      </c>
      <c r="CR27" s="41"/>
      <c r="CU27" s="159">
        <f t="shared" si="21"/>
        <v>45.436859951365022</v>
      </c>
      <c r="CV27" s="159">
        <f t="shared" si="22"/>
        <v>319.73907633180579</v>
      </c>
      <c r="CW27" s="159">
        <f t="shared" si="23"/>
        <v>222.28890630917795</v>
      </c>
      <c r="CX27" s="159">
        <f t="shared" si="24"/>
        <v>-1629.5329191382907</v>
      </c>
      <c r="CY27" s="159">
        <f t="shared" si="25"/>
        <v>-10.867131115447592</v>
      </c>
      <c r="CZ27" s="159">
        <f t="shared" si="26"/>
        <v>138.71617794213262</v>
      </c>
      <c r="DA27" s="159">
        <f t="shared" si="33"/>
        <v>127.67974621607391</v>
      </c>
      <c r="DB27" s="159">
        <f t="shared" si="34"/>
        <v>110.15415953530874</v>
      </c>
      <c r="DC27" s="159">
        <f t="shared" si="34"/>
        <v>114.12913060236679</v>
      </c>
    </row>
    <row r="28" spans="1:107" x14ac:dyDescent="0.2">
      <c r="A28" s="99">
        <v>5</v>
      </c>
      <c r="B28" s="30">
        <v>61</v>
      </c>
      <c r="C28" s="47" t="s">
        <v>341</v>
      </c>
      <c r="D28" s="64">
        <v>51862.670610000001</v>
      </c>
      <c r="E28" s="64">
        <v>4376.6265999999996</v>
      </c>
      <c r="F28" s="64">
        <v>3452.5148799999997</v>
      </c>
      <c r="G28" s="205">
        <v>59678</v>
      </c>
      <c r="H28" s="205"/>
      <c r="I28" s="64">
        <v>51886</v>
      </c>
      <c r="J28" s="64">
        <v>5379</v>
      </c>
      <c r="K28" s="64">
        <v>3143</v>
      </c>
      <c r="L28" s="205">
        <v>60408</v>
      </c>
      <c r="M28" s="205"/>
      <c r="N28" s="64">
        <v>51892</v>
      </c>
      <c r="O28" s="64">
        <v>5326</v>
      </c>
      <c r="P28" s="64">
        <v>3856</v>
      </c>
      <c r="Q28" s="205">
        <v>61074</v>
      </c>
      <c r="R28" s="205"/>
      <c r="S28" s="64">
        <v>51271</v>
      </c>
      <c r="T28" s="64">
        <v>5309</v>
      </c>
      <c r="U28" s="64">
        <v>3659</v>
      </c>
      <c r="V28" s="205">
        <v>60239</v>
      </c>
      <c r="W28" s="205"/>
      <c r="X28" s="64">
        <v>51722</v>
      </c>
      <c r="Y28" s="64">
        <v>5305</v>
      </c>
      <c r="Z28" s="64">
        <v>3679</v>
      </c>
      <c r="AA28" s="205">
        <f t="shared" si="27"/>
        <v>60706</v>
      </c>
      <c r="AB28" s="205"/>
      <c r="AC28" s="64">
        <v>52863</v>
      </c>
      <c r="AD28" s="64">
        <v>4744</v>
      </c>
      <c r="AE28" s="64">
        <v>3955</v>
      </c>
      <c r="AF28" s="205">
        <f t="shared" si="7"/>
        <v>61562</v>
      </c>
      <c r="AG28" s="205"/>
      <c r="AH28" s="278">
        <v>53742.53731</v>
      </c>
      <c r="AI28" s="64">
        <v>4558.0447000000004</v>
      </c>
      <c r="AJ28" s="64">
        <v>5842.3989000000001</v>
      </c>
      <c r="AK28" s="205">
        <f t="shared" si="28"/>
        <v>64142.980909999998</v>
      </c>
      <c r="AL28" s="205"/>
      <c r="AM28" s="64">
        <v>55085.3364</v>
      </c>
      <c r="AN28" s="64">
        <v>4991.4695300000003</v>
      </c>
      <c r="AO28" s="64">
        <v>6721.1290899999995</v>
      </c>
      <c r="AP28" s="205">
        <f t="shared" si="29"/>
        <v>66797.935020000004</v>
      </c>
      <c r="AQ28" s="205"/>
      <c r="AR28" s="64">
        <v>26143.5602</v>
      </c>
      <c r="AS28" s="64">
        <v>5316.26134</v>
      </c>
      <c r="AT28" s="64">
        <v>4741.3662599999998</v>
      </c>
      <c r="AU28" s="205">
        <f t="shared" si="30"/>
        <v>36201.1878</v>
      </c>
      <c r="AV28" s="205"/>
      <c r="AW28" s="64">
        <v>26064.378170659493</v>
      </c>
      <c r="AX28" s="64">
        <v>5374.7298779696957</v>
      </c>
      <c r="AY28" s="64">
        <v>3365.0301234515264</v>
      </c>
      <c r="AZ28" s="205">
        <f t="shared" si="31"/>
        <v>34804.138172080719</v>
      </c>
      <c r="BA28" s="205"/>
      <c r="BB28" s="64">
        <v>27374.470707546756</v>
      </c>
      <c r="BC28" s="64">
        <v>5361.7985371576351</v>
      </c>
      <c r="BD28" s="64">
        <v>3405.4104849329442</v>
      </c>
      <c r="BE28" s="205">
        <f t="shared" si="8"/>
        <v>36141.679729637333</v>
      </c>
      <c r="BF28" s="205"/>
      <c r="BG28" s="64">
        <v>28424.067841116346</v>
      </c>
      <c r="BH28" s="64">
        <v>5389.4881475275042</v>
      </c>
      <c r="BI28" s="64">
        <v>3570.7776795711338</v>
      </c>
      <c r="BJ28" s="205">
        <f t="shared" si="9"/>
        <v>37384.333668214982</v>
      </c>
      <c r="BK28" s="205"/>
      <c r="BL28" s="64">
        <v>29346.153992373718</v>
      </c>
      <c r="BM28" s="64">
        <v>5427.5484334709317</v>
      </c>
      <c r="BN28" s="64">
        <v>3784.2167331157734</v>
      </c>
      <c r="BO28" s="205">
        <f t="shared" si="10"/>
        <v>38557.919158960423</v>
      </c>
      <c r="BQ28" s="64">
        <v>30393.757308951459</v>
      </c>
      <c r="BR28" s="64">
        <v>5462.5973816183459</v>
      </c>
      <c r="BS28" s="64">
        <v>3916.8950636975765</v>
      </c>
      <c r="BT28" s="205">
        <f t="shared" si="11"/>
        <v>39773.249754267381</v>
      </c>
      <c r="BU28" s="205"/>
      <c r="BV28" s="5">
        <f t="shared" si="12"/>
        <v>60706</v>
      </c>
      <c r="BW28" s="5">
        <f t="shared" si="13"/>
        <v>61562</v>
      </c>
      <c r="BX28" s="5">
        <f t="shared" si="14"/>
        <v>64142.980909999998</v>
      </c>
      <c r="BY28" s="5">
        <f t="shared" si="15"/>
        <v>66797.935020000004</v>
      </c>
      <c r="BZ28" s="5">
        <f t="shared" si="16"/>
        <v>36201.1878</v>
      </c>
      <c r="CA28" s="5">
        <f t="shared" si="17"/>
        <v>34804.138172080719</v>
      </c>
      <c r="CB28" s="5">
        <f t="shared" si="18"/>
        <v>36141.679729637333</v>
      </c>
      <c r="CC28" s="5">
        <f t="shared" si="19"/>
        <v>37384.333668214982</v>
      </c>
      <c r="CD28" s="5">
        <f t="shared" si="20"/>
        <v>38557.919158960423</v>
      </c>
      <c r="CE28" s="5">
        <f t="shared" si="32"/>
        <v>39773.249754267381</v>
      </c>
      <c r="CH28" s="41">
        <f>BV28/'1. Väestöennuste'!I28*1000</f>
        <v>3591.8584699130229</v>
      </c>
      <c r="CI28" s="41">
        <f>BW28/'1. Väestöennuste'!J28*1000</f>
        <v>3664.4047619047619</v>
      </c>
      <c r="CJ28" s="41">
        <f>BX28/'1. Väestöennuste'!K28*1000</f>
        <v>3870.3301098171723</v>
      </c>
      <c r="CK28" s="41">
        <f>BY28/'1. Väestöennuste'!L28*1000</f>
        <v>4058.4443173947388</v>
      </c>
      <c r="CL28" s="41">
        <f>BZ28/'1. Väestöennuste'!M28*1000</f>
        <v>2198.1412229036368</v>
      </c>
      <c r="CM28" s="41">
        <f>CA28/'1. Väestöennuste'!N28*1000</f>
        <v>2137.0587112907233</v>
      </c>
      <c r="CN28" s="41">
        <f>CB28/'1. Väestöennuste'!O28*1000</f>
        <v>2236.2133232048841</v>
      </c>
      <c r="CO28" s="41">
        <f>CC28/'1. Väestöennuste'!P28*1000</f>
        <v>2330.1130433941025</v>
      </c>
      <c r="CP28" s="41">
        <f>CD28/'1. Väestöennuste'!Q28*1000</f>
        <v>2421.5235294203617</v>
      </c>
      <c r="CQ28" s="41">
        <f>CE28/'1. Väestöennuste'!R28*1000</f>
        <v>2516.8164117109018</v>
      </c>
      <c r="CR28" s="41"/>
      <c r="CU28" s="159">
        <f t="shared" si="21"/>
        <v>72.546291991739054</v>
      </c>
      <c r="CV28" s="159">
        <f t="shared" si="22"/>
        <v>205.92534791241042</v>
      </c>
      <c r="CW28" s="159">
        <f t="shared" si="23"/>
        <v>188.1142075775665</v>
      </c>
      <c r="CX28" s="159">
        <f t="shared" si="24"/>
        <v>-1860.303094491102</v>
      </c>
      <c r="CY28" s="159">
        <f t="shared" si="25"/>
        <v>-61.082511612913549</v>
      </c>
      <c r="CZ28" s="159">
        <f t="shared" si="26"/>
        <v>99.154611914160796</v>
      </c>
      <c r="DA28" s="159">
        <f t="shared" si="33"/>
        <v>93.899720189218442</v>
      </c>
      <c r="DB28" s="159">
        <f t="shared" si="34"/>
        <v>91.41048602625915</v>
      </c>
      <c r="DC28" s="159">
        <f t="shared" si="34"/>
        <v>95.292882290540092</v>
      </c>
    </row>
    <row r="29" spans="1:107" x14ac:dyDescent="0.2">
      <c r="A29" s="99">
        <v>17</v>
      </c>
      <c r="B29" s="30">
        <v>69</v>
      </c>
      <c r="C29" s="47" t="s">
        <v>342</v>
      </c>
      <c r="D29" s="64">
        <v>20054.937969999999</v>
      </c>
      <c r="E29" s="64">
        <v>1842.3486200000002</v>
      </c>
      <c r="F29" s="64">
        <v>1353.2569799999999</v>
      </c>
      <c r="G29" s="205">
        <v>23251</v>
      </c>
      <c r="H29" s="205"/>
      <c r="I29" s="64">
        <v>19865</v>
      </c>
      <c r="J29" s="64">
        <v>1889</v>
      </c>
      <c r="K29" s="64">
        <v>1382</v>
      </c>
      <c r="L29" s="205">
        <v>23136</v>
      </c>
      <c r="M29" s="205"/>
      <c r="N29" s="64">
        <v>19282</v>
      </c>
      <c r="O29" s="64">
        <v>1893</v>
      </c>
      <c r="P29" s="64">
        <v>1575</v>
      </c>
      <c r="Q29" s="205">
        <v>22750</v>
      </c>
      <c r="R29" s="205"/>
      <c r="S29" s="64">
        <v>19358</v>
      </c>
      <c r="T29" s="64">
        <v>2243</v>
      </c>
      <c r="U29" s="64">
        <v>1560</v>
      </c>
      <c r="V29" s="205">
        <v>23161</v>
      </c>
      <c r="W29" s="205"/>
      <c r="X29" s="64">
        <v>20118</v>
      </c>
      <c r="Y29" s="64">
        <v>2218</v>
      </c>
      <c r="Z29" s="64">
        <v>1237</v>
      </c>
      <c r="AA29" s="205">
        <f t="shared" si="27"/>
        <v>23573</v>
      </c>
      <c r="AB29" s="205"/>
      <c r="AC29" s="64">
        <v>20221</v>
      </c>
      <c r="AD29" s="64">
        <v>2015</v>
      </c>
      <c r="AE29" s="64">
        <v>1388</v>
      </c>
      <c r="AF29" s="205">
        <f t="shared" si="7"/>
        <v>23624</v>
      </c>
      <c r="AG29" s="205"/>
      <c r="AH29" s="278">
        <v>21357.593860000001</v>
      </c>
      <c r="AI29" s="64">
        <v>2186.61114</v>
      </c>
      <c r="AJ29" s="64">
        <v>2111.4046499999999</v>
      </c>
      <c r="AK29" s="205">
        <f t="shared" si="28"/>
        <v>25655.609650000002</v>
      </c>
      <c r="AL29" s="205"/>
      <c r="AM29" s="64">
        <v>22320.241489999997</v>
      </c>
      <c r="AN29" s="64">
        <v>2849.89653</v>
      </c>
      <c r="AO29" s="64">
        <v>2183.8820299999998</v>
      </c>
      <c r="AP29" s="205">
        <f t="shared" si="29"/>
        <v>27354.020049999999</v>
      </c>
      <c r="AQ29" s="205"/>
      <c r="AR29" s="64">
        <v>11410.149640000001</v>
      </c>
      <c r="AS29" s="64">
        <v>3029.9000799999999</v>
      </c>
      <c r="AT29" s="64">
        <v>1846.40174</v>
      </c>
      <c r="AU29" s="205">
        <f t="shared" si="30"/>
        <v>16286.45146</v>
      </c>
      <c r="AV29" s="205"/>
      <c r="AW29" s="64">
        <v>11422.67025518951</v>
      </c>
      <c r="AX29" s="64">
        <v>3627.7145249907935</v>
      </c>
      <c r="AY29" s="64">
        <v>1984.8244121286866</v>
      </c>
      <c r="AZ29" s="205">
        <f t="shared" si="31"/>
        <v>17035.20919230899</v>
      </c>
      <c r="BA29" s="205"/>
      <c r="BB29" s="64">
        <v>11979.839734141173</v>
      </c>
      <c r="BC29" s="64">
        <v>3613.0871040330876</v>
      </c>
      <c r="BD29" s="64">
        <v>2008.6423050742308</v>
      </c>
      <c r="BE29" s="205">
        <f t="shared" si="8"/>
        <v>17601.569143248493</v>
      </c>
      <c r="BF29" s="205"/>
      <c r="BG29" s="64">
        <v>12415.274066680107</v>
      </c>
      <c r="BH29" s="64">
        <v>3626.7663195507039</v>
      </c>
      <c r="BI29" s="64">
        <v>2106.1822476131265</v>
      </c>
      <c r="BJ29" s="205">
        <f t="shared" si="9"/>
        <v>18148.22263384394</v>
      </c>
      <c r="BK29" s="205"/>
      <c r="BL29" s="64">
        <v>12685.027127114683</v>
      </c>
      <c r="BM29" s="64">
        <v>3648.2969363217994</v>
      </c>
      <c r="BN29" s="64">
        <v>2232.0768246110028</v>
      </c>
      <c r="BO29" s="205">
        <f t="shared" si="10"/>
        <v>18565.400888047487</v>
      </c>
      <c r="BQ29" s="64">
        <v>13019.434784108455</v>
      </c>
      <c r="BR29" s="64">
        <v>3668.6651203563292</v>
      </c>
      <c r="BS29" s="64">
        <v>2310.3356157177914</v>
      </c>
      <c r="BT29" s="205">
        <f t="shared" si="11"/>
        <v>18998.435520182575</v>
      </c>
      <c r="BU29" s="205"/>
      <c r="BV29" s="5">
        <f t="shared" si="12"/>
        <v>23573</v>
      </c>
      <c r="BW29" s="5">
        <f t="shared" si="13"/>
        <v>23624</v>
      </c>
      <c r="BX29" s="5">
        <f t="shared" si="14"/>
        <v>25655.609650000002</v>
      </c>
      <c r="BY29" s="5">
        <f t="shared" si="15"/>
        <v>27354.020049999999</v>
      </c>
      <c r="BZ29" s="5">
        <f t="shared" si="16"/>
        <v>16286.45146</v>
      </c>
      <c r="CA29" s="5">
        <f t="shared" si="17"/>
        <v>17035.20919230899</v>
      </c>
      <c r="CB29" s="5">
        <f t="shared" si="18"/>
        <v>17601.569143248493</v>
      </c>
      <c r="CC29" s="5">
        <f t="shared" si="19"/>
        <v>18148.22263384394</v>
      </c>
      <c r="CD29" s="5">
        <f t="shared" si="20"/>
        <v>18565.400888047487</v>
      </c>
      <c r="CE29" s="5">
        <f t="shared" si="32"/>
        <v>18998.435520182575</v>
      </c>
      <c r="CH29" s="41">
        <f>BV29/'1. Väestöennuste'!I29*1000</f>
        <v>3362.7674750356637</v>
      </c>
      <c r="CI29" s="41">
        <f>BW29/'1. Väestöennuste'!J29*1000</f>
        <v>3425.7540603248258</v>
      </c>
      <c r="CJ29" s="41">
        <f>BX29/'1. Väestöennuste'!K29*1000</f>
        <v>3771.7744266392242</v>
      </c>
      <c r="CK29" s="41">
        <f>BY29/'1. Väestöennuste'!L29*1000</f>
        <v>4090.6265963810374</v>
      </c>
      <c r="CL29" s="41">
        <f>BZ29/'1. Väestöennuste'!M29*1000</f>
        <v>2483.4479200975911</v>
      </c>
      <c r="CM29" s="41">
        <f>CA29/'1. Väestöennuste'!N29*1000</f>
        <v>2634.5823062649229</v>
      </c>
      <c r="CN29" s="41">
        <f>CB29/'1. Väestöennuste'!O29*1000</f>
        <v>2763.6315188017734</v>
      </c>
      <c r="CO29" s="41">
        <f>CC29/'1. Väestöennuste'!P29*1000</f>
        <v>2892.6080066694199</v>
      </c>
      <c r="CP29" s="41">
        <f>CD29/'1. Väestöennuste'!Q29*1000</f>
        <v>3002.1670258808999</v>
      </c>
      <c r="CQ29" s="41">
        <f>CE29/'1. Väestöennuste'!R29*1000</f>
        <v>3117.052587396649</v>
      </c>
      <c r="CR29" s="41"/>
      <c r="CU29" s="159">
        <f t="shared" si="21"/>
        <v>62.986585289162122</v>
      </c>
      <c r="CV29" s="159">
        <f t="shared" si="22"/>
        <v>346.02036631439842</v>
      </c>
      <c r="CW29" s="159">
        <f t="shared" si="23"/>
        <v>318.85216974181321</v>
      </c>
      <c r="CX29" s="159">
        <f t="shared" si="24"/>
        <v>-1607.1786762834463</v>
      </c>
      <c r="CY29" s="159">
        <f t="shared" si="25"/>
        <v>151.13438616733174</v>
      </c>
      <c r="CZ29" s="159">
        <f t="shared" si="26"/>
        <v>129.04921253685052</v>
      </c>
      <c r="DA29" s="159">
        <f t="shared" si="33"/>
        <v>128.97648786764648</v>
      </c>
      <c r="DB29" s="159">
        <f t="shared" si="34"/>
        <v>109.55901921148006</v>
      </c>
      <c r="DC29" s="159">
        <f t="shared" si="34"/>
        <v>114.88556151574903</v>
      </c>
    </row>
    <row r="30" spans="1:107" x14ac:dyDescent="0.2">
      <c r="A30" s="99">
        <v>17</v>
      </c>
      <c r="B30" s="30">
        <v>71</v>
      </c>
      <c r="C30" s="47" t="s">
        <v>343</v>
      </c>
      <c r="D30" s="64">
        <v>18585.258089999999</v>
      </c>
      <c r="E30" s="64">
        <v>1398.75353</v>
      </c>
      <c r="F30" s="64">
        <v>1218.4833100000001</v>
      </c>
      <c r="G30" s="205">
        <v>21200</v>
      </c>
      <c r="H30" s="205"/>
      <c r="I30" s="64">
        <v>18139</v>
      </c>
      <c r="J30" s="64">
        <v>1521</v>
      </c>
      <c r="K30" s="64">
        <v>1146</v>
      </c>
      <c r="L30" s="205">
        <v>20805</v>
      </c>
      <c r="M30" s="205"/>
      <c r="N30" s="64">
        <v>17804</v>
      </c>
      <c r="O30" s="64">
        <v>1673</v>
      </c>
      <c r="P30" s="64">
        <v>1291</v>
      </c>
      <c r="Q30" s="205">
        <v>20768</v>
      </c>
      <c r="R30" s="205"/>
      <c r="S30" s="64">
        <v>17246</v>
      </c>
      <c r="T30" s="64">
        <v>1664</v>
      </c>
      <c r="U30" s="64">
        <v>1309</v>
      </c>
      <c r="V30" s="205">
        <v>20219</v>
      </c>
      <c r="W30" s="205"/>
      <c r="X30" s="64">
        <v>18344</v>
      </c>
      <c r="Y30" s="64">
        <v>1707</v>
      </c>
      <c r="Z30" s="64">
        <v>1310</v>
      </c>
      <c r="AA30" s="205">
        <f t="shared" si="27"/>
        <v>21361</v>
      </c>
      <c r="AB30" s="205"/>
      <c r="AC30" s="64">
        <v>18864</v>
      </c>
      <c r="AD30" s="64">
        <v>1488</v>
      </c>
      <c r="AE30" s="64">
        <v>1224</v>
      </c>
      <c r="AF30" s="205">
        <f t="shared" si="7"/>
        <v>21576</v>
      </c>
      <c r="AG30" s="205"/>
      <c r="AH30" s="278">
        <v>19116.903489999997</v>
      </c>
      <c r="AI30" s="64">
        <v>1622.6125099999999</v>
      </c>
      <c r="AJ30" s="64">
        <v>1905.34122</v>
      </c>
      <c r="AK30" s="205">
        <f t="shared" si="28"/>
        <v>22644.857219999994</v>
      </c>
      <c r="AL30" s="205"/>
      <c r="AM30" s="64">
        <v>19958.145780000003</v>
      </c>
      <c r="AN30" s="64">
        <v>1699.34313</v>
      </c>
      <c r="AO30" s="64">
        <v>2010.6106599999998</v>
      </c>
      <c r="AP30" s="205">
        <f t="shared" si="29"/>
        <v>23668.099570000002</v>
      </c>
      <c r="AQ30" s="205"/>
      <c r="AR30" s="64">
        <v>10323.018480000001</v>
      </c>
      <c r="AS30" s="64">
        <v>1964.3853899999999</v>
      </c>
      <c r="AT30" s="64">
        <v>1270.6454099999999</v>
      </c>
      <c r="AU30" s="205">
        <f t="shared" si="30"/>
        <v>13558.049279999999</v>
      </c>
      <c r="AV30" s="205"/>
      <c r="AW30" s="64">
        <v>9873.1163626422913</v>
      </c>
      <c r="AX30" s="64">
        <v>2070.080513225023</v>
      </c>
      <c r="AY30" s="64">
        <v>989.338153542805</v>
      </c>
      <c r="AZ30" s="205">
        <f t="shared" si="31"/>
        <v>12932.535029410119</v>
      </c>
      <c r="BA30" s="205"/>
      <c r="BB30" s="64">
        <v>10368.671974362911</v>
      </c>
      <c r="BC30" s="64">
        <v>2071.901143737744</v>
      </c>
      <c r="BD30" s="64">
        <v>1001.2102113853185</v>
      </c>
      <c r="BE30" s="205">
        <f t="shared" si="8"/>
        <v>13441.783329485974</v>
      </c>
      <c r="BF30" s="205"/>
      <c r="BG30" s="64">
        <v>10751.73614106186</v>
      </c>
      <c r="BH30" s="64">
        <v>2089.4969496856097</v>
      </c>
      <c r="BI30" s="64">
        <v>1049.8291149308509</v>
      </c>
      <c r="BJ30" s="205">
        <f t="shared" si="9"/>
        <v>13891.062205678321</v>
      </c>
      <c r="BK30" s="205"/>
      <c r="BL30" s="64">
        <v>11015.712412535871</v>
      </c>
      <c r="BM30" s="64">
        <v>2111.2581831961102</v>
      </c>
      <c r="BN30" s="64">
        <v>1112.5814206698515</v>
      </c>
      <c r="BO30" s="205">
        <f t="shared" si="10"/>
        <v>14239.552016401834</v>
      </c>
      <c r="BQ30" s="64">
        <v>11328.548599846685</v>
      </c>
      <c r="BR30" s="64">
        <v>2132.0038493606444</v>
      </c>
      <c r="BS30" s="64">
        <v>1151.589610723825</v>
      </c>
      <c r="BT30" s="205">
        <f t="shared" si="11"/>
        <v>14612.142059931153</v>
      </c>
      <c r="BU30" s="205"/>
      <c r="BV30" s="5">
        <f t="shared" si="12"/>
        <v>21361</v>
      </c>
      <c r="BW30" s="5">
        <f t="shared" si="13"/>
        <v>21576</v>
      </c>
      <c r="BX30" s="5">
        <f t="shared" si="14"/>
        <v>22644.857219999994</v>
      </c>
      <c r="BY30" s="5">
        <f t="shared" si="15"/>
        <v>23668.099570000002</v>
      </c>
      <c r="BZ30" s="5">
        <f t="shared" si="16"/>
        <v>13558.049279999999</v>
      </c>
      <c r="CA30" s="5">
        <f t="shared" si="17"/>
        <v>12932.535029410119</v>
      </c>
      <c r="CB30" s="5">
        <f t="shared" si="18"/>
        <v>13441.783329485974</v>
      </c>
      <c r="CC30" s="5">
        <f t="shared" si="19"/>
        <v>13891.062205678321</v>
      </c>
      <c r="CD30" s="5">
        <f t="shared" si="20"/>
        <v>14239.552016401834</v>
      </c>
      <c r="CE30" s="5">
        <f t="shared" si="32"/>
        <v>14612.142059931153</v>
      </c>
      <c r="CH30" s="41">
        <f>BV30/'1. Väestöennuste'!I30*1000</f>
        <v>3160.846404261616</v>
      </c>
      <c r="CI30" s="41">
        <f>BW30/'1. Väestöennuste'!J30*1000</f>
        <v>3236.2381880905955</v>
      </c>
      <c r="CJ30" s="41">
        <f>BX30/'1. Väestöennuste'!K30*1000</f>
        <v>3424.2941509148641</v>
      </c>
      <c r="CK30" s="41">
        <f>BY30/'1. Väestöennuste'!L30*1000</f>
        <v>3590.9724730693374</v>
      </c>
      <c r="CL30" s="41">
        <f>BZ30/'1. Väestöennuste'!M30*1000</f>
        <v>2094.5541912559861</v>
      </c>
      <c r="CM30" s="41">
        <f>CA30/'1. Väestöennuste'!N30*1000</f>
        <v>2053.7613195823596</v>
      </c>
      <c r="CN30" s="41">
        <f>CB30/'1. Väestöennuste'!O30*1000</f>
        <v>2163.1450481953611</v>
      </c>
      <c r="CO30" s="41">
        <f>CC30/'1. Väestöennuste'!P30*1000</f>
        <v>2264.2318183664747</v>
      </c>
      <c r="CP30" s="41">
        <f>CD30/'1. Väestöennuste'!Q30*1000</f>
        <v>2349.7610588121838</v>
      </c>
      <c r="CQ30" s="41">
        <f>CE30/'1. Väestöennuste'!R30*1000</f>
        <v>2439.4227145127134</v>
      </c>
      <c r="CR30" s="41"/>
      <c r="CU30" s="159">
        <f t="shared" si="21"/>
        <v>75.391783828979442</v>
      </c>
      <c r="CV30" s="159">
        <f t="shared" si="22"/>
        <v>188.05596282426859</v>
      </c>
      <c r="CW30" s="159">
        <f t="shared" si="23"/>
        <v>166.67832215447334</v>
      </c>
      <c r="CX30" s="159">
        <f t="shared" si="24"/>
        <v>-1496.4182818133513</v>
      </c>
      <c r="CY30" s="159">
        <f t="shared" si="25"/>
        <v>-40.792871673626451</v>
      </c>
      <c r="CZ30" s="159">
        <f t="shared" si="26"/>
        <v>109.38372861300149</v>
      </c>
      <c r="DA30" s="159">
        <f t="shared" si="33"/>
        <v>101.08677017111359</v>
      </c>
      <c r="DB30" s="159">
        <f t="shared" si="34"/>
        <v>85.529240445709092</v>
      </c>
      <c r="DC30" s="159">
        <f t="shared" si="34"/>
        <v>89.661655700529536</v>
      </c>
    </row>
    <row r="31" spans="1:107" x14ac:dyDescent="0.2">
      <c r="A31" s="99">
        <v>17</v>
      </c>
      <c r="B31" s="30">
        <v>72</v>
      </c>
      <c r="C31" s="47" t="s">
        <v>344</v>
      </c>
      <c r="D31" s="64">
        <v>3047.6236400000003</v>
      </c>
      <c r="E31" s="64">
        <v>290.65746999999999</v>
      </c>
      <c r="F31" s="64">
        <v>94.056509999999989</v>
      </c>
      <c r="G31" s="205">
        <v>3432</v>
      </c>
      <c r="H31" s="205"/>
      <c r="I31" s="64">
        <v>2916</v>
      </c>
      <c r="J31" s="64">
        <v>326</v>
      </c>
      <c r="K31" s="64">
        <v>93</v>
      </c>
      <c r="L31" s="205">
        <v>3336</v>
      </c>
      <c r="M31" s="205"/>
      <c r="N31" s="64">
        <v>3245</v>
      </c>
      <c r="O31" s="64">
        <v>332</v>
      </c>
      <c r="P31" s="64">
        <v>114</v>
      </c>
      <c r="Q31" s="205">
        <v>3691</v>
      </c>
      <c r="R31" s="205"/>
      <c r="S31" s="64">
        <v>3032</v>
      </c>
      <c r="T31" s="64">
        <v>339</v>
      </c>
      <c r="U31" s="64">
        <v>98</v>
      </c>
      <c r="V31" s="205">
        <v>3469</v>
      </c>
      <c r="W31" s="205"/>
      <c r="X31" s="64">
        <v>3153</v>
      </c>
      <c r="Y31" s="64">
        <v>340</v>
      </c>
      <c r="Z31" s="64">
        <v>98</v>
      </c>
      <c r="AA31" s="205">
        <f t="shared" si="27"/>
        <v>3591</v>
      </c>
      <c r="AB31" s="205"/>
      <c r="AC31" s="64">
        <v>3176</v>
      </c>
      <c r="AD31" s="64">
        <v>308</v>
      </c>
      <c r="AE31" s="64">
        <v>121</v>
      </c>
      <c r="AF31" s="205">
        <f t="shared" si="7"/>
        <v>3605</v>
      </c>
      <c r="AG31" s="205"/>
      <c r="AH31" s="278">
        <v>3249.4715499999998</v>
      </c>
      <c r="AI31" s="64">
        <v>343.43351000000001</v>
      </c>
      <c r="AJ31" s="64">
        <v>187.31176000000002</v>
      </c>
      <c r="AK31" s="205">
        <f t="shared" si="28"/>
        <v>3780.2168199999996</v>
      </c>
      <c r="AL31" s="205"/>
      <c r="AM31" s="64">
        <v>3685.59681</v>
      </c>
      <c r="AN31" s="64">
        <v>362.55326000000002</v>
      </c>
      <c r="AO31" s="64">
        <v>185.22873999999999</v>
      </c>
      <c r="AP31" s="205">
        <f t="shared" si="29"/>
        <v>4233.3788100000002</v>
      </c>
      <c r="AQ31" s="205"/>
      <c r="AR31" s="64">
        <v>1604.4403799999998</v>
      </c>
      <c r="AS31" s="64">
        <v>367.75292999999999</v>
      </c>
      <c r="AT31" s="64">
        <v>118.64877</v>
      </c>
      <c r="AU31" s="205">
        <f t="shared" si="30"/>
        <v>2090.8420799999994</v>
      </c>
      <c r="AV31" s="205"/>
      <c r="AW31" s="64">
        <v>1553.3318082541655</v>
      </c>
      <c r="AX31" s="64">
        <v>399.99894236310121</v>
      </c>
      <c r="AY31" s="64">
        <v>100.12651863062507</v>
      </c>
      <c r="AZ31" s="205">
        <f t="shared" si="31"/>
        <v>2053.4572692478919</v>
      </c>
      <c r="BA31" s="205"/>
      <c r="BB31" s="64">
        <v>1635.2161762608637</v>
      </c>
      <c r="BC31" s="64">
        <v>407.87584342039901</v>
      </c>
      <c r="BD31" s="64">
        <v>101.32803685419256</v>
      </c>
      <c r="BE31" s="205">
        <f t="shared" si="8"/>
        <v>2144.4200565354554</v>
      </c>
      <c r="BF31" s="205"/>
      <c r="BG31" s="64">
        <v>1685.776143428842</v>
      </c>
      <c r="BH31" s="64">
        <v>419.1299728621226</v>
      </c>
      <c r="BI31" s="64">
        <v>106.24854005546901</v>
      </c>
      <c r="BJ31" s="205">
        <f t="shared" si="9"/>
        <v>2211.154656346434</v>
      </c>
      <c r="BK31" s="205"/>
      <c r="BL31" s="64">
        <v>1726.5442923005717</v>
      </c>
      <c r="BM31" s="64">
        <v>431.57473194695331</v>
      </c>
      <c r="BN31" s="64">
        <v>112.5994220943258</v>
      </c>
      <c r="BO31" s="205">
        <f t="shared" si="10"/>
        <v>2270.7184463418507</v>
      </c>
      <c r="BQ31" s="64">
        <v>1773.2495864050989</v>
      </c>
      <c r="BR31" s="64">
        <v>444.19020944073719</v>
      </c>
      <c r="BS31" s="64">
        <v>116.54726768604759</v>
      </c>
      <c r="BT31" s="205">
        <f t="shared" si="11"/>
        <v>2333.9870635318839</v>
      </c>
      <c r="BU31" s="205"/>
      <c r="BV31" s="5">
        <f t="shared" si="12"/>
        <v>3591</v>
      </c>
      <c r="BW31" s="5">
        <f t="shared" si="13"/>
        <v>3605</v>
      </c>
      <c r="BX31" s="5">
        <f t="shared" si="14"/>
        <v>3780.2168199999996</v>
      </c>
      <c r="BY31" s="5">
        <f t="shared" si="15"/>
        <v>4233.3788100000002</v>
      </c>
      <c r="BZ31" s="5">
        <f t="shared" si="16"/>
        <v>2090.8420799999994</v>
      </c>
      <c r="CA31" s="5">
        <f t="shared" si="17"/>
        <v>2053.4572692478919</v>
      </c>
      <c r="CB31" s="5">
        <f t="shared" si="18"/>
        <v>2144.4200565354554</v>
      </c>
      <c r="CC31" s="5">
        <f t="shared" si="19"/>
        <v>2211.154656346434</v>
      </c>
      <c r="CD31" s="5">
        <f t="shared" si="20"/>
        <v>2270.7184463418507</v>
      </c>
      <c r="CE31" s="5">
        <f t="shared" si="32"/>
        <v>2333.9870635318839</v>
      </c>
      <c r="CH31" s="41">
        <f>BV31/'1. Väestöennuste'!I31*1000</f>
        <v>3744.5255474452556</v>
      </c>
      <c r="CI31" s="41">
        <f>BW31/'1. Väestöennuste'!J31*1000</f>
        <v>3798.7355110642784</v>
      </c>
      <c r="CJ31" s="41">
        <f>BX31/'1. Väestöennuste'!K31*1000</f>
        <v>3979.1755999999996</v>
      </c>
      <c r="CK31" s="41">
        <f>BY31/'1. Väestöennuste'!L31*1000</f>
        <v>4409.7695937500002</v>
      </c>
      <c r="CL31" s="41">
        <f>BZ31/'1. Väestöennuste'!M31*1000</f>
        <v>2205.529620253164</v>
      </c>
      <c r="CM31" s="41">
        <f>CA31/'1. Väestöennuste'!N31*1000</f>
        <v>2217.5564462720217</v>
      </c>
      <c r="CN31" s="41">
        <f>CB31/'1. Väestöennuste'!O31*1000</f>
        <v>2330.891365799408</v>
      </c>
      <c r="CO31" s="41">
        <f>CC31/'1. Väestöennuste'!P31*1000</f>
        <v>2419.2064073812189</v>
      </c>
      <c r="CP31" s="41">
        <f>CD31/'1. Väestöennuste'!Q31*1000</f>
        <v>2500.7912404645931</v>
      </c>
      <c r="CQ31" s="41">
        <f>CE31/'1. Väestöennuste'!R31*1000</f>
        <v>2590.4406920442666</v>
      </c>
      <c r="CR31" s="41"/>
      <c r="CU31" s="159">
        <f t="shared" si="21"/>
        <v>54.209963619022801</v>
      </c>
      <c r="CV31" s="159">
        <f t="shared" si="22"/>
        <v>180.44008893572118</v>
      </c>
      <c r="CW31" s="159">
        <f t="shared" si="23"/>
        <v>430.59399375000066</v>
      </c>
      <c r="CX31" s="159">
        <f t="shared" si="24"/>
        <v>-2204.2399734968362</v>
      </c>
      <c r="CY31" s="159">
        <f t="shared" si="25"/>
        <v>12.026826018857719</v>
      </c>
      <c r="CZ31" s="159">
        <f t="shared" si="26"/>
        <v>113.33491952738632</v>
      </c>
      <c r="DA31" s="159">
        <f t="shared" si="33"/>
        <v>88.315041581810874</v>
      </c>
      <c r="DB31" s="159">
        <f t="shared" si="34"/>
        <v>81.584833083374178</v>
      </c>
      <c r="DC31" s="159">
        <f t="shared" si="34"/>
        <v>89.649451579673496</v>
      </c>
    </row>
    <row r="32" spans="1:107" x14ac:dyDescent="0.2">
      <c r="A32" s="99">
        <v>16</v>
      </c>
      <c r="B32" s="30">
        <v>74</v>
      </c>
      <c r="C32" s="47" t="s">
        <v>345</v>
      </c>
      <c r="D32" s="64">
        <v>3112.93559</v>
      </c>
      <c r="E32" s="64">
        <v>295.22009000000003</v>
      </c>
      <c r="F32" s="64">
        <v>427.99291999999997</v>
      </c>
      <c r="G32" s="205">
        <v>3838</v>
      </c>
      <c r="H32" s="205"/>
      <c r="I32" s="64">
        <v>2891</v>
      </c>
      <c r="J32" s="64">
        <v>443</v>
      </c>
      <c r="K32" s="64">
        <v>315</v>
      </c>
      <c r="L32" s="205">
        <v>3650</v>
      </c>
      <c r="M32" s="205"/>
      <c r="N32" s="64">
        <v>2805</v>
      </c>
      <c r="O32" s="64">
        <v>551</v>
      </c>
      <c r="P32" s="64">
        <v>356</v>
      </c>
      <c r="Q32" s="205">
        <v>3712</v>
      </c>
      <c r="R32" s="205"/>
      <c r="S32" s="64">
        <v>2623</v>
      </c>
      <c r="T32" s="64">
        <v>356</v>
      </c>
      <c r="U32" s="64">
        <v>432</v>
      </c>
      <c r="V32" s="205">
        <v>3411</v>
      </c>
      <c r="W32" s="205"/>
      <c r="X32" s="64">
        <v>3017</v>
      </c>
      <c r="Y32" s="64">
        <v>421</v>
      </c>
      <c r="Z32" s="64">
        <v>414</v>
      </c>
      <c r="AA32" s="205">
        <f t="shared" si="27"/>
        <v>3852</v>
      </c>
      <c r="AB32" s="205"/>
      <c r="AC32" s="64">
        <v>3206</v>
      </c>
      <c r="AD32" s="64">
        <v>354</v>
      </c>
      <c r="AE32" s="64">
        <v>440</v>
      </c>
      <c r="AF32" s="205">
        <f t="shared" si="7"/>
        <v>4000</v>
      </c>
      <c r="AG32" s="205"/>
      <c r="AH32" s="278">
        <v>3093.77009</v>
      </c>
      <c r="AI32" s="64">
        <v>398.53664000000003</v>
      </c>
      <c r="AJ32" s="64">
        <v>634.66183000000001</v>
      </c>
      <c r="AK32" s="205">
        <f t="shared" si="28"/>
        <v>4126.9685600000003</v>
      </c>
      <c r="AL32" s="205"/>
      <c r="AM32" s="64">
        <v>3274.1117799999997</v>
      </c>
      <c r="AN32" s="64">
        <v>405.42678999999998</v>
      </c>
      <c r="AO32" s="64">
        <v>606.00784999999996</v>
      </c>
      <c r="AP32" s="205">
        <f t="shared" si="29"/>
        <v>4285.5464199999997</v>
      </c>
      <c r="AQ32" s="205"/>
      <c r="AR32" s="64">
        <v>1842.4441100000001</v>
      </c>
      <c r="AS32" s="64">
        <v>385.42240000000004</v>
      </c>
      <c r="AT32" s="64">
        <v>344.60977000000003</v>
      </c>
      <c r="AU32" s="205">
        <f t="shared" si="30"/>
        <v>2572.4762800000003</v>
      </c>
      <c r="AV32" s="205"/>
      <c r="AW32" s="64">
        <v>1694.5607921419225</v>
      </c>
      <c r="AX32" s="64">
        <v>396.68038674164711</v>
      </c>
      <c r="AY32" s="64">
        <v>290.82651541884007</v>
      </c>
      <c r="AZ32" s="205">
        <f t="shared" si="31"/>
        <v>2382.06769430241</v>
      </c>
      <c r="BA32" s="205"/>
      <c r="BB32" s="64">
        <v>1767.0675454748696</v>
      </c>
      <c r="BC32" s="64">
        <v>389.4627661367673</v>
      </c>
      <c r="BD32" s="64">
        <v>294.31643360386619</v>
      </c>
      <c r="BE32" s="205">
        <f t="shared" si="8"/>
        <v>2450.8467452155032</v>
      </c>
      <c r="BF32" s="205"/>
      <c r="BG32" s="64">
        <v>1805.7051505221921</v>
      </c>
      <c r="BH32" s="64">
        <v>385.57827175778607</v>
      </c>
      <c r="BI32" s="64">
        <v>308.60847950444918</v>
      </c>
      <c r="BJ32" s="205">
        <f t="shared" si="9"/>
        <v>2499.8919017844273</v>
      </c>
      <c r="BK32" s="205"/>
      <c r="BL32" s="64">
        <v>1824.9320762278132</v>
      </c>
      <c r="BM32" s="64">
        <v>382.74611668027046</v>
      </c>
      <c r="BN32" s="64">
        <v>327.05518991101565</v>
      </c>
      <c r="BO32" s="205">
        <f t="shared" si="10"/>
        <v>2534.733382819099</v>
      </c>
      <c r="BQ32" s="64">
        <v>1850.6140284617074</v>
      </c>
      <c r="BR32" s="64">
        <v>379.99215285577941</v>
      </c>
      <c r="BS32" s="64">
        <v>338.52206394752989</v>
      </c>
      <c r="BT32" s="205">
        <f t="shared" si="11"/>
        <v>2569.1282452650166</v>
      </c>
      <c r="BU32" s="205"/>
      <c r="BV32" s="5">
        <f t="shared" si="12"/>
        <v>3852</v>
      </c>
      <c r="BW32" s="5">
        <f t="shared" si="13"/>
        <v>4000</v>
      </c>
      <c r="BX32" s="5">
        <f t="shared" si="14"/>
        <v>4126.9685600000003</v>
      </c>
      <c r="BY32" s="5">
        <f t="shared" si="15"/>
        <v>4285.5464199999997</v>
      </c>
      <c r="BZ32" s="5">
        <f t="shared" si="16"/>
        <v>2572.4762800000003</v>
      </c>
      <c r="CA32" s="5">
        <f t="shared" si="17"/>
        <v>2382.06769430241</v>
      </c>
      <c r="CB32" s="5">
        <f t="shared" si="18"/>
        <v>2450.8467452155032</v>
      </c>
      <c r="CC32" s="5">
        <f t="shared" si="19"/>
        <v>2499.8919017844273</v>
      </c>
      <c r="CD32" s="5">
        <f t="shared" si="20"/>
        <v>2534.733382819099</v>
      </c>
      <c r="CE32" s="5">
        <f t="shared" si="32"/>
        <v>2569.1282452650166</v>
      </c>
      <c r="CH32" s="41">
        <f>BV32/'1. Väestöennuste'!I32*1000</f>
        <v>3417.9236912156166</v>
      </c>
      <c r="CI32" s="41">
        <f>BW32/'1. Väestöennuste'!J32*1000</f>
        <v>3626.4732547597459</v>
      </c>
      <c r="CJ32" s="41">
        <f>BX32/'1. Väestöennuste'!K32*1000</f>
        <v>3810.6819575253926</v>
      </c>
      <c r="CK32" s="41">
        <f>BY32/'1. Väestöennuste'!L32*1000</f>
        <v>4073.7133269961978</v>
      </c>
      <c r="CL32" s="41">
        <f>BZ32/'1. Väestöennuste'!M32*1000</f>
        <v>2539.4632576505433</v>
      </c>
      <c r="CM32" s="41">
        <f>CA32/'1. Väestöennuste'!N32*1000</f>
        <v>2379.6880062961141</v>
      </c>
      <c r="CN32" s="41">
        <f>CB32/'1. Väestöennuste'!O32*1000</f>
        <v>2503.4185344387165</v>
      </c>
      <c r="CO32" s="41">
        <f>CC32/'1. Väestöennuste'!P32*1000</f>
        <v>2606.7694492016972</v>
      </c>
      <c r="CP32" s="41">
        <f>CD32/'1. Väestöennuste'!Q32*1000</f>
        <v>2696.5248753394667</v>
      </c>
      <c r="CQ32" s="41">
        <f>CE32/'1. Väestöennuste'!R32*1000</f>
        <v>2786.4731510466554</v>
      </c>
      <c r="CR32" s="41"/>
      <c r="CU32" s="159">
        <f t="shared" si="21"/>
        <v>208.54956354412934</v>
      </c>
      <c r="CV32" s="159">
        <f t="shared" si="22"/>
        <v>184.20870276564665</v>
      </c>
      <c r="CW32" s="159">
        <f t="shared" si="23"/>
        <v>263.0313694708052</v>
      </c>
      <c r="CX32" s="159">
        <f t="shared" si="24"/>
        <v>-1534.2500693456545</v>
      </c>
      <c r="CY32" s="159">
        <f t="shared" si="25"/>
        <v>-159.7752513544292</v>
      </c>
      <c r="CZ32" s="159">
        <f t="shared" si="26"/>
        <v>123.73052814260245</v>
      </c>
      <c r="DA32" s="159">
        <f t="shared" si="33"/>
        <v>103.35091476298066</v>
      </c>
      <c r="DB32" s="159">
        <f t="shared" si="34"/>
        <v>89.755426137769518</v>
      </c>
      <c r="DC32" s="159">
        <f t="shared" si="34"/>
        <v>89.948275707188714</v>
      </c>
    </row>
    <row r="33" spans="1:107" x14ac:dyDescent="0.2">
      <c r="A33" s="99">
        <v>8</v>
      </c>
      <c r="B33" s="30">
        <v>75</v>
      </c>
      <c r="C33" s="47" t="s">
        <v>346</v>
      </c>
      <c r="D33" s="64">
        <v>72428.879450000008</v>
      </c>
      <c r="E33" s="64">
        <v>5767.2891600000003</v>
      </c>
      <c r="F33" s="64">
        <v>4856.33403</v>
      </c>
      <c r="G33" s="205">
        <v>83054</v>
      </c>
      <c r="H33" s="205"/>
      <c r="I33" s="64">
        <v>71144</v>
      </c>
      <c r="J33" s="64">
        <v>6752</v>
      </c>
      <c r="K33" s="64">
        <v>4307</v>
      </c>
      <c r="L33" s="205">
        <v>82200</v>
      </c>
      <c r="M33" s="205"/>
      <c r="N33" s="64">
        <v>70564</v>
      </c>
      <c r="O33" s="64">
        <v>6787</v>
      </c>
      <c r="P33" s="64">
        <v>5202</v>
      </c>
      <c r="Q33" s="205">
        <v>82553</v>
      </c>
      <c r="R33" s="205"/>
      <c r="S33" s="64">
        <v>69190</v>
      </c>
      <c r="T33" s="64">
        <v>6608</v>
      </c>
      <c r="U33" s="64">
        <v>5404</v>
      </c>
      <c r="V33" s="205">
        <v>81202</v>
      </c>
      <c r="W33" s="205"/>
      <c r="X33" s="64">
        <v>71246</v>
      </c>
      <c r="Y33" s="64">
        <v>6794</v>
      </c>
      <c r="Z33" s="64">
        <v>7415</v>
      </c>
      <c r="AA33" s="205">
        <f t="shared" si="27"/>
        <v>85455</v>
      </c>
      <c r="AB33" s="205"/>
      <c r="AC33" s="64">
        <v>74460</v>
      </c>
      <c r="AD33" s="64">
        <v>6211</v>
      </c>
      <c r="AE33" s="64">
        <v>8528</v>
      </c>
      <c r="AF33" s="205">
        <f t="shared" si="7"/>
        <v>89199</v>
      </c>
      <c r="AG33" s="205"/>
      <c r="AH33" s="278">
        <v>77532.984730000011</v>
      </c>
      <c r="AI33" s="64">
        <v>6763.3951100000004</v>
      </c>
      <c r="AJ33" s="64">
        <v>14466.738519999999</v>
      </c>
      <c r="AK33" s="205">
        <f t="shared" si="28"/>
        <v>98763.118360000008</v>
      </c>
      <c r="AL33" s="205"/>
      <c r="AM33" s="64">
        <v>74701.458040000012</v>
      </c>
      <c r="AN33" s="64">
        <v>7304.2598799999996</v>
      </c>
      <c r="AO33" s="64">
        <v>20237.809659999999</v>
      </c>
      <c r="AP33" s="205">
        <f t="shared" si="29"/>
        <v>102243.52758000001</v>
      </c>
      <c r="AQ33" s="205"/>
      <c r="AR33" s="64">
        <v>37420.824500000002</v>
      </c>
      <c r="AS33" s="64">
        <v>7747.0695700000006</v>
      </c>
      <c r="AT33" s="64">
        <v>12136.824430000001</v>
      </c>
      <c r="AU33" s="205">
        <f t="shared" si="30"/>
        <v>57304.718500000003</v>
      </c>
      <c r="AV33" s="205"/>
      <c r="AW33" s="64">
        <v>39236.321504418745</v>
      </c>
      <c r="AX33" s="64">
        <v>7594.0903789472395</v>
      </c>
      <c r="AY33" s="64">
        <v>5533.7639176303701</v>
      </c>
      <c r="AZ33" s="205">
        <f t="shared" si="31"/>
        <v>52364.17580099636</v>
      </c>
      <c r="BA33" s="205"/>
      <c r="BB33" s="64">
        <v>41129.114291114849</v>
      </c>
      <c r="BC33" s="64">
        <v>7587.224825084747</v>
      </c>
      <c r="BD33" s="64">
        <v>5600.1690846419342</v>
      </c>
      <c r="BE33" s="205">
        <f t="shared" si="8"/>
        <v>54316.508200841534</v>
      </c>
      <c r="BF33" s="205"/>
      <c r="BG33" s="64">
        <v>42459.527065882714</v>
      </c>
      <c r="BH33" s="64">
        <v>7638.29817070216</v>
      </c>
      <c r="BI33" s="64">
        <v>5872.1140543083411</v>
      </c>
      <c r="BJ33" s="205">
        <f t="shared" si="9"/>
        <v>55969.939290893213</v>
      </c>
      <c r="BK33" s="205"/>
      <c r="BL33" s="64">
        <v>43563.419086070498</v>
      </c>
      <c r="BM33" s="64">
        <v>7704.6461301558884</v>
      </c>
      <c r="BN33" s="64">
        <v>6223.1127942266103</v>
      </c>
      <c r="BO33" s="205">
        <f t="shared" si="10"/>
        <v>57491.178010452997</v>
      </c>
      <c r="BQ33" s="64">
        <v>44848.426425292841</v>
      </c>
      <c r="BR33" s="64">
        <v>7767.3227350194611</v>
      </c>
      <c r="BS33" s="64">
        <v>6441.3012001217512</v>
      </c>
      <c r="BT33" s="205">
        <f t="shared" si="11"/>
        <v>59057.050360434056</v>
      </c>
      <c r="BU33" s="205"/>
      <c r="BV33" s="5">
        <f t="shared" si="12"/>
        <v>85455</v>
      </c>
      <c r="BW33" s="5">
        <f t="shared" si="13"/>
        <v>89199</v>
      </c>
      <c r="BX33" s="5">
        <f t="shared" si="14"/>
        <v>98763.118360000008</v>
      </c>
      <c r="BY33" s="5">
        <f t="shared" si="15"/>
        <v>102243.52758000001</v>
      </c>
      <c r="BZ33" s="5">
        <f t="shared" si="16"/>
        <v>57304.718500000003</v>
      </c>
      <c r="CA33" s="5">
        <f t="shared" si="17"/>
        <v>52364.17580099636</v>
      </c>
      <c r="CB33" s="5">
        <f t="shared" si="18"/>
        <v>54316.508200841534</v>
      </c>
      <c r="CC33" s="5">
        <f t="shared" si="19"/>
        <v>55969.939290893213</v>
      </c>
      <c r="CD33" s="5">
        <f t="shared" si="20"/>
        <v>57491.178010452997</v>
      </c>
      <c r="CE33" s="5">
        <f t="shared" si="32"/>
        <v>59057.050360434056</v>
      </c>
      <c r="CH33" s="41">
        <f>BV33/'1. Väestöennuste'!I33*1000</f>
        <v>4249.1671224702895</v>
      </c>
      <c r="CI33" s="41">
        <f>BW33/'1. Väestöennuste'!J33*1000</f>
        <v>4487.5484228002206</v>
      </c>
      <c r="CJ33" s="41">
        <f>BX33/'1. Väestöennuste'!K33*1000</f>
        <v>5012.8473434169127</v>
      </c>
      <c r="CK33" s="41">
        <f>BY33/'1. Väestöennuste'!L33*1000</f>
        <v>5230.1154831449185</v>
      </c>
      <c r="CL33" s="41">
        <f>BZ33/'1. Väestöennuste'!M33*1000</f>
        <v>2933.5885379338592</v>
      </c>
      <c r="CM33" s="41">
        <f>CA33/'1. Väestöennuste'!N33*1000</f>
        <v>2741.8669913601616</v>
      </c>
      <c r="CN33" s="41">
        <f>CB33/'1. Väestöennuste'!O33*1000</f>
        <v>2871.7620916168726</v>
      </c>
      <c r="CO33" s="41">
        <f>CC33/'1. Väestöennuste'!P33*1000</f>
        <v>2987.6128584868802</v>
      </c>
      <c r="CP33" s="41">
        <f>CD33/'1. Väestöennuste'!Q33*1000</f>
        <v>3097.9188495771632</v>
      </c>
      <c r="CQ33" s="41">
        <f>CE33/'1. Väestöennuste'!R33*1000</f>
        <v>3213.6393513867365</v>
      </c>
      <c r="CR33" s="41"/>
      <c r="CU33" s="159">
        <f t="shared" si="21"/>
        <v>238.38130032993104</v>
      </c>
      <c r="CV33" s="159">
        <f t="shared" si="22"/>
        <v>525.29892061669216</v>
      </c>
      <c r="CW33" s="159">
        <f t="shared" si="23"/>
        <v>217.26813972800574</v>
      </c>
      <c r="CX33" s="159">
        <f t="shared" si="24"/>
        <v>-2296.5269452110592</v>
      </c>
      <c r="CY33" s="159">
        <f t="shared" si="25"/>
        <v>-191.72154657369765</v>
      </c>
      <c r="CZ33" s="159">
        <f t="shared" si="26"/>
        <v>129.89510025671098</v>
      </c>
      <c r="DA33" s="159">
        <f t="shared" si="33"/>
        <v>115.85076687000765</v>
      </c>
      <c r="DB33" s="159">
        <f t="shared" si="34"/>
        <v>110.30599109028299</v>
      </c>
      <c r="DC33" s="159">
        <f t="shared" si="34"/>
        <v>115.72050180957331</v>
      </c>
    </row>
    <row r="34" spans="1:107" x14ac:dyDescent="0.2">
      <c r="A34" s="99">
        <v>13</v>
      </c>
      <c r="B34" s="30">
        <v>77</v>
      </c>
      <c r="C34" s="47" t="s">
        <v>347</v>
      </c>
      <c r="D34" s="64">
        <v>13211.28505</v>
      </c>
      <c r="E34" s="64">
        <v>1331.31341</v>
      </c>
      <c r="F34" s="64">
        <v>790.23357999999996</v>
      </c>
      <c r="G34" s="205">
        <v>15329</v>
      </c>
      <c r="H34" s="205"/>
      <c r="I34" s="64">
        <v>13534</v>
      </c>
      <c r="J34" s="64">
        <v>708</v>
      </c>
      <c r="K34" s="64">
        <v>1333</v>
      </c>
      <c r="L34" s="205">
        <v>15575</v>
      </c>
      <c r="M34" s="205"/>
      <c r="N34" s="64">
        <v>13142</v>
      </c>
      <c r="O34" s="64">
        <v>1308</v>
      </c>
      <c r="P34" s="64">
        <v>854</v>
      </c>
      <c r="Q34" s="205">
        <v>15304</v>
      </c>
      <c r="R34" s="205"/>
      <c r="S34" s="64">
        <v>12406</v>
      </c>
      <c r="T34" s="64">
        <v>1307</v>
      </c>
      <c r="U34" s="64">
        <v>873</v>
      </c>
      <c r="V34" s="205">
        <v>14586</v>
      </c>
      <c r="W34" s="205"/>
      <c r="X34" s="64">
        <v>13140</v>
      </c>
      <c r="Y34" s="64">
        <v>1323</v>
      </c>
      <c r="Z34" s="64">
        <v>949</v>
      </c>
      <c r="AA34" s="205">
        <f t="shared" si="27"/>
        <v>15412</v>
      </c>
      <c r="AB34" s="205"/>
      <c r="AC34" s="64">
        <v>13086</v>
      </c>
      <c r="AD34" s="64">
        <v>1281</v>
      </c>
      <c r="AE34" s="64">
        <v>1057</v>
      </c>
      <c r="AF34" s="205">
        <f t="shared" si="7"/>
        <v>15424</v>
      </c>
      <c r="AG34" s="205"/>
      <c r="AH34" s="278">
        <v>13777.882880000001</v>
      </c>
      <c r="AI34" s="64">
        <v>1431.68968</v>
      </c>
      <c r="AJ34" s="64">
        <v>1534.6538999999998</v>
      </c>
      <c r="AK34" s="205">
        <f t="shared" si="28"/>
        <v>16744.226460000002</v>
      </c>
      <c r="AL34" s="205"/>
      <c r="AM34" s="64">
        <v>13854.632150000001</v>
      </c>
      <c r="AN34" s="64">
        <v>1477.0693100000001</v>
      </c>
      <c r="AO34" s="64">
        <v>1510.06576</v>
      </c>
      <c r="AP34" s="205">
        <f t="shared" si="29"/>
        <v>16841.767220000002</v>
      </c>
      <c r="AQ34" s="205"/>
      <c r="AR34" s="64">
        <v>7326.1962100000001</v>
      </c>
      <c r="AS34" s="64">
        <v>1533.27934</v>
      </c>
      <c r="AT34" s="64">
        <v>944.44017000000008</v>
      </c>
      <c r="AU34" s="205">
        <f t="shared" si="30"/>
        <v>9803.9157199999991</v>
      </c>
      <c r="AV34" s="205"/>
      <c r="AW34" s="64">
        <v>6911.3341178144738</v>
      </c>
      <c r="AX34" s="64">
        <v>1634.4310748791831</v>
      </c>
      <c r="AY34" s="64">
        <v>1103.2717472054726</v>
      </c>
      <c r="AZ34" s="205">
        <f t="shared" si="31"/>
        <v>9649.0369398991279</v>
      </c>
      <c r="BA34" s="205"/>
      <c r="BB34" s="64">
        <v>7183.6500838539741</v>
      </c>
      <c r="BC34" s="64">
        <v>1662.0106943919277</v>
      </c>
      <c r="BD34" s="64">
        <v>1116.5110081719381</v>
      </c>
      <c r="BE34" s="205">
        <f t="shared" si="8"/>
        <v>9962.171786417839</v>
      </c>
      <c r="BF34" s="205"/>
      <c r="BG34" s="64">
        <v>7366.8172950349153</v>
      </c>
      <c r="BH34" s="64">
        <v>1703.1125210444786</v>
      </c>
      <c r="BI34" s="64">
        <v>1170.7289340346072</v>
      </c>
      <c r="BJ34" s="205">
        <f t="shared" si="9"/>
        <v>10240.658750114</v>
      </c>
      <c r="BK34" s="205"/>
      <c r="BL34" s="64">
        <v>7523.0858189226228</v>
      </c>
      <c r="BM34" s="64">
        <v>1748.7668534978891</v>
      </c>
      <c r="BN34" s="64">
        <v>1240.7078848573544</v>
      </c>
      <c r="BO34" s="205">
        <f t="shared" si="10"/>
        <v>10512.560557277866</v>
      </c>
      <c r="BQ34" s="64">
        <v>7714.6209245291193</v>
      </c>
      <c r="BR34" s="64">
        <v>1794.8179043777507</v>
      </c>
      <c r="BS34" s="64">
        <v>1284.20831374717</v>
      </c>
      <c r="BT34" s="205">
        <f t="shared" si="11"/>
        <v>10793.647142654041</v>
      </c>
      <c r="BU34" s="205"/>
      <c r="BV34" s="5">
        <f t="shared" si="12"/>
        <v>15412</v>
      </c>
      <c r="BW34" s="5">
        <f t="shared" si="13"/>
        <v>15424</v>
      </c>
      <c r="BX34" s="5">
        <f t="shared" si="14"/>
        <v>16744.226460000002</v>
      </c>
      <c r="BY34" s="5">
        <f t="shared" si="15"/>
        <v>16841.767220000002</v>
      </c>
      <c r="BZ34" s="5">
        <f t="shared" si="16"/>
        <v>9803.9157199999991</v>
      </c>
      <c r="CA34" s="5">
        <f t="shared" si="17"/>
        <v>9649.0369398991279</v>
      </c>
      <c r="CB34" s="5">
        <f t="shared" si="18"/>
        <v>9962.171786417839</v>
      </c>
      <c r="CC34" s="5">
        <f t="shared" si="19"/>
        <v>10240.658750114</v>
      </c>
      <c r="CD34" s="5">
        <f t="shared" si="20"/>
        <v>10512.560557277866</v>
      </c>
      <c r="CE34" s="5">
        <f t="shared" si="32"/>
        <v>10793.647142654041</v>
      </c>
      <c r="CH34" s="41">
        <f>BV34/'1. Väestöennuste'!I34*1000</f>
        <v>3161.4358974358975</v>
      </c>
      <c r="CI34" s="41">
        <f>BW34/'1. Väestöennuste'!J34*1000</f>
        <v>3225.4286909242996</v>
      </c>
      <c r="CJ34" s="41">
        <f>BX34/'1. Väestöennuste'!K34*1000</f>
        <v>3575.5341575912876</v>
      </c>
      <c r="CK34" s="41">
        <f>BY34/'1. Väestöennuste'!L34*1000</f>
        <v>3660.4579917409264</v>
      </c>
      <c r="CL34" s="41">
        <f>BZ34/'1. Väestöennuste'!M34*1000</f>
        <v>2155.1804176742139</v>
      </c>
      <c r="CM34" s="41">
        <f>CA34/'1. Väestöennuste'!N34*1000</f>
        <v>2158.1384343321688</v>
      </c>
      <c r="CN34" s="41">
        <f>CB34/'1. Väestöennuste'!O34*1000</f>
        <v>2262.0735209849768</v>
      </c>
      <c r="CO34" s="41">
        <f>CC34/'1. Väestöennuste'!P34*1000</f>
        <v>2359.5987903488476</v>
      </c>
      <c r="CP34" s="41">
        <f>CD34/'1. Väestöennuste'!Q34*1000</f>
        <v>2456.7797516424084</v>
      </c>
      <c r="CQ34" s="41">
        <f>CE34/'1. Väestöennuste'!R34*1000</f>
        <v>2559.55587921604</v>
      </c>
      <c r="CR34" s="41"/>
      <c r="CU34" s="159">
        <f t="shared" si="21"/>
        <v>63.992793488402185</v>
      </c>
      <c r="CV34" s="159">
        <f t="shared" si="22"/>
        <v>350.10546666698792</v>
      </c>
      <c r="CW34" s="159">
        <f t="shared" si="23"/>
        <v>84.923834149638878</v>
      </c>
      <c r="CX34" s="159">
        <f t="shared" si="24"/>
        <v>-1505.2775740667125</v>
      </c>
      <c r="CY34" s="159">
        <f t="shared" si="25"/>
        <v>2.9580166579548859</v>
      </c>
      <c r="CZ34" s="159">
        <f t="shared" si="26"/>
        <v>103.93508665280797</v>
      </c>
      <c r="DA34" s="159">
        <f t="shared" si="33"/>
        <v>97.525269363870848</v>
      </c>
      <c r="DB34" s="159">
        <f t="shared" si="34"/>
        <v>97.180961293560813</v>
      </c>
      <c r="DC34" s="159">
        <f t="shared" si="34"/>
        <v>102.77612757363158</v>
      </c>
    </row>
    <row r="35" spans="1:107" x14ac:dyDescent="0.2">
      <c r="A35" s="99">
        <v>1</v>
      </c>
      <c r="B35" s="30">
        <v>78</v>
      </c>
      <c r="C35" s="47" t="s">
        <v>348</v>
      </c>
      <c r="D35" s="64">
        <v>34508.434270000005</v>
      </c>
      <c r="E35" s="64">
        <v>2720.0129200000001</v>
      </c>
      <c r="F35" s="64">
        <v>2841.5093700000002</v>
      </c>
      <c r="G35" s="205">
        <v>40070</v>
      </c>
      <c r="H35" s="205"/>
      <c r="I35" s="64">
        <v>33908</v>
      </c>
      <c r="J35" s="64">
        <v>2721</v>
      </c>
      <c r="K35" s="64">
        <v>2163</v>
      </c>
      <c r="L35" s="205">
        <v>38792</v>
      </c>
      <c r="M35" s="205"/>
      <c r="N35" s="64">
        <v>33622</v>
      </c>
      <c r="O35" s="64">
        <v>2624</v>
      </c>
      <c r="P35" s="64">
        <v>2782</v>
      </c>
      <c r="Q35" s="205">
        <v>39028</v>
      </c>
      <c r="R35" s="205"/>
      <c r="S35" s="64">
        <v>33003</v>
      </c>
      <c r="T35" s="64">
        <v>2943</v>
      </c>
      <c r="U35" s="64">
        <v>2734</v>
      </c>
      <c r="V35" s="205">
        <v>38680</v>
      </c>
      <c r="W35" s="205"/>
      <c r="X35" s="64">
        <v>33381</v>
      </c>
      <c r="Y35" s="64">
        <v>2819</v>
      </c>
      <c r="Z35" s="64">
        <v>3254</v>
      </c>
      <c r="AA35" s="205">
        <f t="shared" si="27"/>
        <v>39454</v>
      </c>
      <c r="AB35" s="205"/>
      <c r="AC35" s="64">
        <v>34419</v>
      </c>
      <c r="AD35" s="64">
        <v>2581</v>
      </c>
      <c r="AE35" s="64">
        <v>3162</v>
      </c>
      <c r="AF35" s="205">
        <f t="shared" si="7"/>
        <v>40162</v>
      </c>
      <c r="AG35" s="205"/>
      <c r="AH35" s="278">
        <v>34062.651920000004</v>
      </c>
      <c r="AI35" s="64">
        <v>2879.76766</v>
      </c>
      <c r="AJ35" s="64">
        <v>4381.7627999999995</v>
      </c>
      <c r="AK35" s="205">
        <f t="shared" si="28"/>
        <v>41324.182379999998</v>
      </c>
      <c r="AL35" s="205"/>
      <c r="AM35" s="64">
        <v>35337.811200000004</v>
      </c>
      <c r="AN35" s="64">
        <v>2974.5203500000002</v>
      </c>
      <c r="AO35" s="64">
        <v>5408.1735899999994</v>
      </c>
      <c r="AP35" s="205">
        <f t="shared" si="29"/>
        <v>43720.505140000001</v>
      </c>
      <c r="AQ35" s="205"/>
      <c r="AR35" s="64">
        <v>17925.278350000001</v>
      </c>
      <c r="AS35" s="64">
        <v>3283.5435600000001</v>
      </c>
      <c r="AT35" s="64">
        <v>3710.9230699999998</v>
      </c>
      <c r="AU35" s="205">
        <f t="shared" si="30"/>
        <v>24919.744979999999</v>
      </c>
      <c r="AV35" s="205"/>
      <c r="AW35" s="64">
        <v>16560.908286452039</v>
      </c>
      <c r="AX35" s="64">
        <v>3138.0106773490052</v>
      </c>
      <c r="AY35" s="64">
        <v>2497.8520227986819</v>
      </c>
      <c r="AZ35" s="205">
        <f t="shared" si="31"/>
        <v>22196.770986599724</v>
      </c>
      <c r="BA35" s="205"/>
      <c r="BB35" s="64">
        <v>17119.671235374022</v>
      </c>
      <c r="BC35" s="64">
        <v>3171.6786774003713</v>
      </c>
      <c r="BD35" s="64">
        <v>2527.8262470722657</v>
      </c>
      <c r="BE35" s="205">
        <f t="shared" si="8"/>
        <v>22819.176159846658</v>
      </c>
      <c r="BF35" s="205"/>
      <c r="BG35" s="64">
        <v>17541.315059806915</v>
      </c>
      <c r="BH35" s="64">
        <v>3230.1265175557</v>
      </c>
      <c r="BI35" s="64">
        <v>2650.5778321926582</v>
      </c>
      <c r="BJ35" s="205">
        <f t="shared" si="9"/>
        <v>23422.019409555276</v>
      </c>
      <c r="BK35" s="205"/>
      <c r="BL35" s="64">
        <v>17876.216406266583</v>
      </c>
      <c r="BM35" s="64">
        <v>3295.9586203773774</v>
      </c>
      <c r="BN35" s="64">
        <v>2809.0130176387461</v>
      </c>
      <c r="BO35" s="205">
        <f t="shared" si="10"/>
        <v>23981.188044282706</v>
      </c>
      <c r="BQ35" s="64">
        <v>18268.410791001137</v>
      </c>
      <c r="BR35" s="64">
        <v>3361.2150667363821</v>
      </c>
      <c r="BS35" s="64">
        <v>2907.4997545376655</v>
      </c>
      <c r="BT35" s="205">
        <f t="shared" si="11"/>
        <v>24537.125612275184</v>
      </c>
      <c r="BU35" s="205"/>
      <c r="BV35" s="5">
        <f t="shared" si="12"/>
        <v>39454</v>
      </c>
      <c r="BW35" s="5">
        <f t="shared" si="13"/>
        <v>40162</v>
      </c>
      <c r="BX35" s="5">
        <f t="shared" si="14"/>
        <v>41324.182379999998</v>
      </c>
      <c r="BY35" s="5">
        <f t="shared" si="15"/>
        <v>43720.505140000001</v>
      </c>
      <c r="BZ35" s="5">
        <f t="shared" si="16"/>
        <v>24919.744979999999</v>
      </c>
      <c r="CA35" s="5">
        <f t="shared" si="17"/>
        <v>22196.770986599724</v>
      </c>
      <c r="CB35" s="5">
        <f t="shared" si="18"/>
        <v>22819.176159846658</v>
      </c>
      <c r="CC35" s="5">
        <f t="shared" si="19"/>
        <v>23422.019409555276</v>
      </c>
      <c r="CD35" s="5">
        <f t="shared" si="20"/>
        <v>23981.188044282706</v>
      </c>
      <c r="CE35" s="5">
        <f t="shared" si="32"/>
        <v>24537.125612275184</v>
      </c>
      <c r="CH35" s="41">
        <f>BV35/'1. Väestöennuste'!I35*1000</f>
        <v>4812.050250030492</v>
      </c>
      <c r="CI35" s="41">
        <f>BW35/'1. Väestöennuste'!J35*1000</f>
        <v>4994.0313354886848</v>
      </c>
      <c r="CJ35" s="41">
        <f>BX35/'1. Väestöennuste'!K35*1000</f>
        <v>5179.1179822032836</v>
      </c>
      <c r="CK35" s="41">
        <f>BY35/'1. Väestöennuste'!L35*1000</f>
        <v>5582.2912589376911</v>
      </c>
      <c r="CL35" s="41">
        <f>BZ35/'1. Väestöennuste'!M35*1000</f>
        <v>3227.5281673358372</v>
      </c>
      <c r="CM35" s="41">
        <f>CA35/'1. Väestöennuste'!N35*1000</f>
        <v>2972.6491210124182</v>
      </c>
      <c r="CN35" s="41">
        <f>CB35/'1. Väestöennuste'!O35*1000</f>
        <v>3105.4948502785328</v>
      </c>
      <c r="CO35" s="41">
        <f>CC35/'1. Väestöennuste'!P35*1000</f>
        <v>3236.8738819175342</v>
      </c>
      <c r="CP35" s="41">
        <f>CD35/'1. Väestöennuste'!Q35*1000</f>
        <v>3365.3084541513763</v>
      </c>
      <c r="CQ35" s="41">
        <f>CE35/'1. Väestöennuste'!R35*1000</f>
        <v>3493.3265393330271</v>
      </c>
      <c r="CR35" s="41"/>
      <c r="CU35" s="159">
        <f t="shared" si="21"/>
        <v>181.98108545819287</v>
      </c>
      <c r="CV35" s="159">
        <f t="shared" si="22"/>
        <v>185.08664671459883</v>
      </c>
      <c r="CW35" s="159">
        <f t="shared" si="23"/>
        <v>403.17327673440741</v>
      </c>
      <c r="CX35" s="159">
        <f t="shared" si="24"/>
        <v>-2354.7630916018538</v>
      </c>
      <c r="CY35" s="159">
        <f t="shared" si="25"/>
        <v>-254.87904632341906</v>
      </c>
      <c r="CZ35" s="159">
        <f t="shared" si="26"/>
        <v>132.84572926611463</v>
      </c>
      <c r="DA35" s="159">
        <f t="shared" si="33"/>
        <v>131.37903163900137</v>
      </c>
      <c r="DB35" s="159">
        <f t="shared" si="34"/>
        <v>128.43457223384212</v>
      </c>
      <c r="DC35" s="159">
        <f t="shared" si="34"/>
        <v>128.0180851816508</v>
      </c>
    </row>
    <row r="36" spans="1:107" x14ac:dyDescent="0.2">
      <c r="A36" s="99">
        <v>4</v>
      </c>
      <c r="B36" s="30">
        <v>79</v>
      </c>
      <c r="C36" s="47" t="s">
        <v>349</v>
      </c>
      <c r="D36" s="64">
        <v>23442.46818</v>
      </c>
      <c r="E36" s="64">
        <v>1800.9875500000001</v>
      </c>
      <c r="F36" s="64">
        <v>5236.5172599999996</v>
      </c>
      <c r="G36" s="205">
        <v>30476</v>
      </c>
      <c r="H36" s="205"/>
      <c r="I36" s="64">
        <v>23502</v>
      </c>
      <c r="J36" s="64">
        <v>1803</v>
      </c>
      <c r="K36" s="64">
        <v>5099</v>
      </c>
      <c r="L36" s="205">
        <v>30405</v>
      </c>
      <c r="M36" s="205"/>
      <c r="N36" s="64">
        <v>24137</v>
      </c>
      <c r="O36" s="64">
        <v>1871</v>
      </c>
      <c r="P36" s="64">
        <v>8740</v>
      </c>
      <c r="Q36" s="205">
        <v>34748</v>
      </c>
      <c r="R36" s="205"/>
      <c r="S36" s="64">
        <v>24048</v>
      </c>
      <c r="T36" s="64">
        <v>1893</v>
      </c>
      <c r="U36" s="64">
        <v>7408</v>
      </c>
      <c r="V36" s="205">
        <v>33349</v>
      </c>
      <c r="W36" s="205"/>
      <c r="X36" s="64">
        <v>24706</v>
      </c>
      <c r="Y36" s="64">
        <v>2244</v>
      </c>
      <c r="Z36" s="64">
        <v>7273</v>
      </c>
      <c r="AA36" s="205">
        <f t="shared" si="27"/>
        <v>34223</v>
      </c>
      <c r="AB36" s="205"/>
      <c r="AC36" s="64">
        <v>24952</v>
      </c>
      <c r="AD36" s="64">
        <v>2573</v>
      </c>
      <c r="AE36" s="64">
        <v>7229</v>
      </c>
      <c r="AF36" s="205">
        <f t="shared" si="7"/>
        <v>34754</v>
      </c>
      <c r="AG36" s="205"/>
      <c r="AH36" s="278">
        <v>25571.263050000001</v>
      </c>
      <c r="AI36" s="64">
        <v>2757.4209700000001</v>
      </c>
      <c r="AJ36" s="64">
        <v>10924.113380000001</v>
      </c>
      <c r="AK36" s="205">
        <f t="shared" si="28"/>
        <v>39252.797400000003</v>
      </c>
      <c r="AL36" s="205"/>
      <c r="AM36" s="64">
        <v>26236.4529</v>
      </c>
      <c r="AN36" s="64">
        <v>2823.2709500000001</v>
      </c>
      <c r="AO36" s="64">
        <v>12240.037420000001</v>
      </c>
      <c r="AP36" s="205">
        <f t="shared" si="29"/>
        <v>41299.761270000003</v>
      </c>
      <c r="AQ36" s="205"/>
      <c r="AR36" s="64">
        <v>13487.832699999999</v>
      </c>
      <c r="AS36" s="64">
        <v>2611.7577500000002</v>
      </c>
      <c r="AT36" s="64">
        <v>7341.0829599999997</v>
      </c>
      <c r="AU36" s="205">
        <f t="shared" si="30"/>
        <v>23440.673409999999</v>
      </c>
      <c r="AV36" s="205"/>
      <c r="AW36" s="64">
        <v>12541.940867240635</v>
      </c>
      <c r="AX36" s="64">
        <v>2959.8440553095843</v>
      </c>
      <c r="AY36" s="64">
        <v>6561.0449958863755</v>
      </c>
      <c r="AZ36" s="205">
        <f t="shared" si="31"/>
        <v>22062.829918436597</v>
      </c>
      <c r="BA36" s="205"/>
      <c r="BB36" s="64">
        <v>13062.398407819139</v>
      </c>
      <c r="BC36" s="64">
        <v>2966.2982201093382</v>
      </c>
      <c r="BD36" s="64">
        <v>6639.7775358370118</v>
      </c>
      <c r="BE36" s="205">
        <f t="shared" si="8"/>
        <v>22668.474163765488</v>
      </c>
      <c r="BF36" s="205"/>
      <c r="BG36" s="64">
        <v>13473.099820599207</v>
      </c>
      <c r="BH36" s="64">
        <v>2995.2510432870358</v>
      </c>
      <c r="BI36" s="64">
        <v>6962.2060327777144</v>
      </c>
      <c r="BJ36" s="205">
        <f t="shared" si="9"/>
        <v>23430.556896663958</v>
      </c>
      <c r="BK36" s="205"/>
      <c r="BL36" s="64">
        <v>13832.002077502726</v>
      </c>
      <c r="BM36" s="64">
        <v>3030.1216748788706</v>
      </c>
      <c r="BN36" s="64">
        <v>7378.3637439453651</v>
      </c>
      <c r="BO36" s="205">
        <f t="shared" si="10"/>
        <v>24240.487496326961</v>
      </c>
      <c r="BQ36" s="64">
        <v>14251.459066711705</v>
      </c>
      <c r="BR36" s="64">
        <v>3063.483059192024</v>
      </c>
      <c r="BS36" s="64">
        <v>7637.0563752117414</v>
      </c>
      <c r="BT36" s="205">
        <f t="shared" si="11"/>
        <v>24951.998501115471</v>
      </c>
      <c r="BU36" s="205"/>
      <c r="BV36" s="5">
        <f t="shared" si="12"/>
        <v>34223</v>
      </c>
      <c r="BW36" s="5">
        <f t="shared" si="13"/>
        <v>34754</v>
      </c>
      <c r="BX36" s="5">
        <f t="shared" si="14"/>
        <v>39252.797400000003</v>
      </c>
      <c r="BY36" s="5">
        <f t="shared" si="15"/>
        <v>41299.761270000003</v>
      </c>
      <c r="BZ36" s="5">
        <f t="shared" si="16"/>
        <v>23440.673409999999</v>
      </c>
      <c r="CA36" s="5">
        <f t="shared" si="17"/>
        <v>22062.829918436597</v>
      </c>
      <c r="CB36" s="5">
        <f t="shared" si="18"/>
        <v>22668.474163765488</v>
      </c>
      <c r="CC36" s="5">
        <f t="shared" si="19"/>
        <v>23430.556896663958</v>
      </c>
      <c r="CD36" s="5">
        <f t="shared" si="20"/>
        <v>24240.487496326961</v>
      </c>
      <c r="CE36" s="5">
        <f t="shared" si="32"/>
        <v>24951.998501115471</v>
      </c>
      <c r="CH36" s="41">
        <f>BV36/'1. Väestöennuste'!I36*1000</f>
        <v>4937.6713316981677</v>
      </c>
      <c r="CI36" s="41">
        <f>BW36/'1. Väestöennuste'!J36*1000</f>
        <v>5059.5428737807542</v>
      </c>
      <c r="CJ36" s="41">
        <f>BX36/'1. Väestöennuste'!K36*1000</f>
        <v>5785.2317464996322</v>
      </c>
      <c r="CK36" s="41">
        <f>BY36/'1. Väestöennuste'!L36*1000</f>
        <v>6115.7650333185256</v>
      </c>
      <c r="CL36" s="41">
        <f>BZ36/'1. Väestöennuste'!M36*1000</f>
        <v>3497.0421318812473</v>
      </c>
      <c r="CM36" s="41">
        <f>CA36/'1. Väestöennuste'!N36*1000</f>
        <v>3365.2882730989318</v>
      </c>
      <c r="CN36" s="41">
        <f>CB36/'1. Väestöennuste'!O36*1000</f>
        <v>3494.4464565693675</v>
      </c>
      <c r="CO36" s="41">
        <f>CC36/'1. Väestöennuste'!P36*1000</f>
        <v>3648.4828552886888</v>
      </c>
      <c r="CP36" s="41">
        <f>CD36/'1. Väestöennuste'!Q36*1000</f>
        <v>3811.9967756450637</v>
      </c>
      <c r="CQ36" s="41">
        <f>CE36/'1. Väestöennuste'!R36*1000</f>
        <v>3960.6346827167417</v>
      </c>
      <c r="CR36" s="41"/>
      <c r="CU36" s="159">
        <f t="shared" si="21"/>
        <v>121.87154208258653</v>
      </c>
      <c r="CV36" s="159">
        <f t="shared" si="22"/>
        <v>725.68887271887797</v>
      </c>
      <c r="CW36" s="159">
        <f t="shared" si="23"/>
        <v>330.53328681889343</v>
      </c>
      <c r="CX36" s="159">
        <f t="shared" si="24"/>
        <v>-2618.7229014372783</v>
      </c>
      <c r="CY36" s="159">
        <f t="shared" si="25"/>
        <v>-131.75385878231555</v>
      </c>
      <c r="CZ36" s="159">
        <f t="shared" si="26"/>
        <v>129.15818347043569</v>
      </c>
      <c r="DA36" s="159">
        <f t="shared" si="33"/>
        <v>154.03639871932137</v>
      </c>
      <c r="DB36" s="159">
        <f t="shared" si="34"/>
        <v>163.51392035637491</v>
      </c>
      <c r="DC36" s="159">
        <f t="shared" si="34"/>
        <v>148.637907071678</v>
      </c>
    </row>
    <row r="37" spans="1:107" x14ac:dyDescent="0.2">
      <c r="A37" s="99">
        <v>7</v>
      </c>
      <c r="B37" s="30">
        <v>81</v>
      </c>
      <c r="C37" s="47" t="s">
        <v>350</v>
      </c>
      <c r="D37" s="64">
        <v>7595.9995799999997</v>
      </c>
      <c r="E37" s="64">
        <v>1338.40481</v>
      </c>
      <c r="F37" s="64">
        <v>1284.8525300000001</v>
      </c>
      <c r="G37" s="205">
        <v>10219</v>
      </c>
      <c r="H37" s="205"/>
      <c r="I37" s="64">
        <v>7157</v>
      </c>
      <c r="J37" s="64">
        <v>1352</v>
      </c>
      <c r="K37" s="64">
        <v>1232</v>
      </c>
      <c r="L37" s="205">
        <v>9741</v>
      </c>
      <c r="M37" s="205"/>
      <c r="N37" s="64">
        <v>7275</v>
      </c>
      <c r="O37" s="64">
        <v>1322</v>
      </c>
      <c r="P37" s="64">
        <v>1391</v>
      </c>
      <c r="Q37" s="205">
        <v>9988</v>
      </c>
      <c r="R37" s="205"/>
      <c r="S37" s="64">
        <v>7218</v>
      </c>
      <c r="T37" s="64">
        <v>1318</v>
      </c>
      <c r="U37" s="64">
        <v>1260</v>
      </c>
      <c r="V37" s="205">
        <v>9796</v>
      </c>
      <c r="W37" s="205"/>
      <c r="X37" s="64">
        <v>6734</v>
      </c>
      <c r="Y37" s="64">
        <v>1328</v>
      </c>
      <c r="Z37" s="64">
        <v>1293</v>
      </c>
      <c r="AA37" s="205">
        <f t="shared" si="27"/>
        <v>9355</v>
      </c>
      <c r="AB37" s="205"/>
      <c r="AC37" s="64">
        <v>7580</v>
      </c>
      <c r="AD37" s="64">
        <v>1216</v>
      </c>
      <c r="AE37" s="64">
        <v>1467</v>
      </c>
      <c r="AF37" s="205">
        <f t="shared" si="7"/>
        <v>10263</v>
      </c>
      <c r="AG37" s="205"/>
      <c r="AH37" s="278">
        <v>7384.56358</v>
      </c>
      <c r="AI37" s="64">
        <v>1349.6587099999999</v>
      </c>
      <c r="AJ37" s="64">
        <v>2118.3714300000001</v>
      </c>
      <c r="AK37" s="205">
        <f t="shared" si="28"/>
        <v>10852.593720000001</v>
      </c>
      <c r="AL37" s="205"/>
      <c r="AM37" s="64">
        <v>7825.5677300000007</v>
      </c>
      <c r="AN37" s="64">
        <v>1412.3079499999999</v>
      </c>
      <c r="AO37" s="64">
        <v>1965.5764799999999</v>
      </c>
      <c r="AP37" s="205">
        <f t="shared" si="29"/>
        <v>11203.452160000001</v>
      </c>
      <c r="AQ37" s="205"/>
      <c r="AR37" s="64">
        <v>3808.4624900000003</v>
      </c>
      <c r="AS37" s="64">
        <v>1473.9099699999999</v>
      </c>
      <c r="AT37" s="64">
        <v>1121.9194499999999</v>
      </c>
      <c r="AU37" s="205">
        <f t="shared" si="30"/>
        <v>6404.2919099999999</v>
      </c>
      <c r="AV37" s="205"/>
      <c r="AW37" s="64">
        <v>3630.366309627484</v>
      </c>
      <c r="AX37" s="64">
        <v>1615.604635210269</v>
      </c>
      <c r="AY37" s="64">
        <v>1223.223445305722</v>
      </c>
      <c r="AZ37" s="205">
        <f t="shared" si="31"/>
        <v>6469.1943901434743</v>
      </c>
      <c r="BA37" s="205"/>
      <c r="BB37" s="64">
        <v>3736.4386996207281</v>
      </c>
      <c r="BC37" s="64">
        <v>1637.5812631635799</v>
      </c>
      <c r="BD37" s="64">
        <v>1237.9021266493905</v>
      </c>
      <c r="BE37" s="205">
        <f t="shared" si="8"/>
        <v>6611.9220894336995</v>
      </c>
      <c r="BF37" s="205"/>
      <c r="BG37" s="64">
        <v>3782.8602207205208</v>
      </c>
      <c r="BH37" s="64">
        <v>1672.7921189740712</v>
      </c>
      <c r="BI37" s="64">
        <v>1298.0148216758435</v>
      </c>
      <c r="BJ37" s="205">
        <f t="shared" si="9"/>
        <v>6753.6671613704357</v>
      </c>
      <c r="BK37" s="205"/>
      <c r="BL37" s="64">
        <v>3842.52878923049</v>
      </c>
      <c r="BM37" s="64">
        <v>1712.3380122619014</v>
      </c>
      <c r="BN37" s="64">
        <v>1375.6021373495205</v>
      </c>
      <c r="BO37" s="205">
        <f t="shared" si="10"/>
        <v>6930.4689388419119</v>
      </c>
      <c r="BQ37" s="64">
        <v>3922.6618461816279</v>
      </c>
      <c r="BR37" s="64">
        <v>1752.1312390286391</v>
      </c>
      <c r="BS37" s="64">
        <v>1423.8320903358604</v>
      </c>
      <c r="BT37" s="205">
        <f t="shared" si="11"/>
        <v>7098.6251755461271</v>
      </c>
      <c r="BU37" s="205"/>
      <c r="BV37" s="5">
        <f t="shared" si="12"/>
        <v>9355</v>
      </c>
      <c r="BW37" s="5">
        <f t="shared" si="13"/>
        <v>10263</v>
      </c>
      <c r="BX37" s="5">
        <f t="shared" si="14"/>
        <v>10852.593720000001</v>
      </c>
      <c r="BY37" s="5">
        <f t="shared" si="15"/>
        <v>11203.452160000001</v>
      </c>
      <c r="BZ37" s="5">
        <f t="shared" si="16"/>
        <v>6404.2919099999999</v>
      </c>
      <c r="CA37" s="5">
        <f t="shared" si="17"/>
        <v>6469.1943901434743</v>
      </c>
      <c r="CB37" s="5">
        <f t="shared" si="18"/>
        <v>6611.9220894336995</v>
      </c>
      <c r="CC37" s="5">
        <f t="shared" si="19"/>
        <v>6753.6671613704357</v>
      </c>
      <c r="CD37" s="5">
        <f t="shared" si="20"/>
        <v>6930.4689388419119</v>
      </c>
      <c r="CE37" s="5">
        <f t="shared" si="32"/>
        <v>7098.6251755461271</v>
      </c>
      <c r="CH37" s="41">
        <f>BV37/'1. Väestöennuste'!I37*1000</f>
        <v>3468.6688913607709</v>
      </c>
      <c r="CI37" s="41">
        <f>BW37/'1. Väestöennuste'!J37*1000</f>
        <v>3865.536723163842</v>
      </c>
      <c r="CJ37" s="41">
        <f>BX37/'1. Väestöennuste'!K37*1000</f>
        <v>4140.6309500190764</v>
      </c>
      <c r="CK37" s="41">
        <f>BY37/'1. Väestöennuste'!L37*1000</f>
        <v>4352.545516705517</v>
      </c>
      <c r="CL37" s="41">
        <f>BZ37/'1. Väestöennuste'!M37*1000</f>
        <v>2530.3405412880284</v>
      </c>
      <c r="CM37" s="41">
        <f>CA37/'1. Väestöennuste'!N37*1000</f>
        <v>2668.8095668908718</v>
      </c>
      <c r="CN37" s="41">
        <f>CB37/'1. Väestöennuste'!O37*1000</f>
        <v>2780.4550418140034</v>
      </c>
      <c r="CO37" s="41">
        <f>CC37/'1. Väestöennuste'!P37*1000</f>
        <v>2889.8875316090866</v>
      </c>
      <c r="CP37" s="41">
        <f>CD37/'1. Väestöennuste'!Q37*1000</f>
        <v>3014.5580421234936</v>
      </c>
      <c r="CQ37" s="41">
        <f>CE37/'1. Väestöennuste'!R37*1000</f>
        <v>3134.0508501307404</v>
      </c>
      <c r="CR37" s="41"/>
      <c r="CU37" s="159">
        <f t="shared" si="21"/>
        <v>396.86783180307111</v>
      </c>
      <c r="CV37" s="159">
        <f t="shared" si="22"/>
        <v>275.09422685523441</v>
      </c>
      <c r="CW37" s="159">
        <f t="shared" si="23"/>
        <v>211.91456668644059</v>
      </c>
      <c r="CX37" s="159">
        <f t="shared" si="24"/>
        <v>-1822.2049754174886</v>
      </c>
      <c r="CY37" s="159">
        <f t="shared" si="25"/>
        <v>138.46902560284343</v>
      </c>
      <c r="CZ37" s="159">
        <f t="shared" si="26"/>
        <v>111.64547492313159</v>
      </c>
      <c r="DA37" s="159">
        <f t="shared" si="33"/>
        <v>109.43248979508326</v>
      </c>
      <c r="DB37" s="159">
        <f t="shared" si="34"/>
        <v>124.67051051440694</v>
      </c>
      <c r="DC37" s="159">
        <f t="shared" si="34"/>
        <v>119.49280800724682</v>
      </c>
    </row>
    <row r="38" spans="1:107" x14ac:dyDescent="0.2">
      <c r="A38" s="99">
        <v>5</v>
      </c>
      <c r="B38" s="30">
        <v>82</v>
      </c>
      <c r="C38" s="47" t="s">
        <v>351</v>
      </c>
      <c r="D38" s="64">
        <v>33315.595690000002</v>
      </c>
      <c r="E38" s="64">
        <v>2133.7561900000001</v>
      </c>
      <c r="F38" s="64">
        <v>1326.0387800000001</v>
      </c>
      <c r="G38" s="205">
        <v>36768</v>
      </c>
      <c r="H38" s="205"/>
      <c r="I38" s="64">
        <v>33290</v>
      </c>
      <c r="J38" s="64">
        <v>2192</v>
      </c>
      <c r="K38" s="64">
        <v>1127</v>
      </c>
      <c r="L38" s="205">
        <v>36610</v>
      </c>
      <c r="M38" s="205"/>
      <c r="N38" s="64">
        <v>34090</v>
      </c>
      <c r="O38" s="64">
        <v>2123</v>
      </c>
      <c r="P38" s="64">
        <v>1330</v>
      </c>
      <c r="Q38" s="205">
        <v>37543</v>
      </c>
      <c r="R38" s="205"/>
      <c r="S38" s="64">
        <v>34059</v>
      </c>
      <c r="T38" s="64">
        <v>2308</v>
      </c>
      <c r="U38" s="64">
        <v>1307</v>
      </c>
      <c r="V38" s="205">
        <v>37674</v>
      </c>
      <c r="W38" s="205"/>
      <c r="X38" s="64">
        <v>33409</v>
      </c>
      <c r="Y38" s="64">
        <v>2253</v>
      </c>
      <c r="Z38" s="64">
        <v>1229</v>
      </c>
      <c r="AA38" s="205">
        <f t="shared" si="27"/>
        <v>36891</v>
      </c>
      <c r="AB38" s="205"/>
      <c r="AC38" s="64">
        <v>35704</v>
      </c>
      <c r="AD38" s="64">
        <v>2308</v>
      </c>
      <c r="AE38" s="64">
        <v>1266</v>
      </c>
      <c r="AF38" s="205">
        <f t="shared" si="7"/>
        <v>39278</v>
      </c>
      <c r="AG38" s="205"/>
      <c r="AH38" s="278">
        <v>36112.627310000003</v>
      </c>
      <c r="AI38" s="64">
        <v>2580.8928999999998</v>
      </c>
      <c r="AJ38" s="64">
        <v>1918.45721</v>
      </c>
      <c r="AK38" s="205">
        <f t="shared" si="28"/>
        <v>40611.977420000003</v>
      </c>
      <c r="AL38" s="205"/>
      <c r="AM38" s="64">
        <v>38245.794390000003</v>
      </c>
      <c r="AN38" s="64">
        <v>2748.8787400000001</v>
      </c>
      <c r="AO38" s="64">
        <v>2128.7132999999999</v>
      </c>
      <c r="AP38" s="205">
        <f t="shared" si="29"/>
        <v>43123.386430000006</v>
      </c>
      <c r="AQ38" s="205"/>
      <c r="AR38" s="64">
        <v>18771.23818</v>
      </c>
      <c r="AS38" s="64">
        <v>2845.38004</v>
      </c>
      <c r="AT38" s="64">
        <v>2650.3549400000002</v>
      </c>
      <c r="AU38" s="205">
        <f t="shared" si="30"/>
        <v>24266.973160000001</v>
      </c>
      <c r="AV38" s="205"/>
      <c r="AW38" s="64">
        <v>17505.576654560129</v>
      </c>
      <c r="AX38" s="64">
        <v>3152.4647422129533</v>
      </c>
      <c r="AY38" s="64">
        <v>2536.2613638933908</v>
      </c>
      <c r="AZ38" s="205">
        <f t="shared" si="31"/>
        <v>23194.302760666473</v>
      </c>
      <c r="BA38" s="205"/>
      <c r="BB38" s="64">
        <v>18313.236156496354</v>
      </c>
      <c r="BC38" s="64">
        <v>3186.885406391079</v>
      </c>
      <c r="BD38" s="64">
        <v>2566.6965002601114</v>
      </c>
      <c r="BE38" s="205">
        <f t="shared" si="8"/>
        <v>24066.818063147544</v>
      </c>
      <c r="BF38" s="205"/>
      <c r="BG38" s="64">
        <v>19039.445112790912</v>
      </c>
      <c r="BH38" s="64">
        <v>3246.0510197444269</v>
      </c>
      <c r="BI38" s="64">
        <v>2691.3356301428726</v>
      </c>
      <c r="BJ38" s="205">
        <f t="shared" si="9"/>
        <v>24976.831762678212</v>
      </c>
      <c r="BK38" s="205"/>
      <c r="BL38" s="64">
        <v>19590.976603134633</v>
      </c>
      <c r="BM38" s="64">
        <v>3312.4769173427958</v>
      </c>
      <c r="BN38" s="64">
        <v>2852.2070652241105</v>
      </c>
      <c r="BO38" s="205">
        <f t="shared" si="10"/>
        <v>25755.660585701538</v>
      </c>
      <c r="BQ38" s="64">
        <v>20212.37784630225</v>
      </c>
      <c r="BR38" s="64">
        <v>3378.1513959963954</v>
      </c>
      <c r="BS38" s="64">
        <v>2952.2082275719072</v>
      </c>
      <c r="BT38" s="205">
        <f t="shared" si="11"/>
        <v>26542.737469870553</v>
      </c>
      <c r="BU38" s="205"/>
      <c r="BV38" s="5">
        <f t="shared" si="12"/>
        <v>36891</v>
      </c>
      <c r="BW38" s="5">
        <f t="shared" si="13"/>
        <v>39278</v>
      </c>
      <c r="BX38" s="5">
        <f t="shared" si="14"/>
        <v>40611.977420000003</v>
      </c>
      <c r="BY38" s="5">
        <f t="shared" si="15"/>
        <v>43123.386430000006</v>
      </c>
      <c r="BZ38" s="5">
        <f t="shared" si="16"/>
        <v>24266.973160000001</v>
      </c>
      <c r="CA38" s="5">
        <f t="shared" si="17"/>
        <v>23194.302760666473</v>
      </c>
      <c r="CB38" s="5">
        <f t="shared" si="18"/>
        <v>24066.818063147544</v>
      </c>
      <c r="CC38" s="5">
        <f t="shared" si="19"/>
        <v>24976.831762678212</v>
      </c>
      <c r="CD38" s="5">
        <f t="shared" si="20"/>
        <v>25755.660585701538</v>
      </c>
      <c r="CE38" s="5">
        <f t="shared" si="32"/>
        <v>26542.737469870553</v>
      </c>
      <c r="CH38" s="41">
        <f>BV38/'1. Väestöennuste'!I38*1000</f>
        <v>3915.4107408193586</v>
      </c>
      <c r="CI38" s="41">
        <f>BW38/'1. Väestöennuste'!J38*1000</f>
        <v>4183.4061135371185</v>
      </c>
      <c r="CJ38" s="41">
        <f>BX38/'1. Väestöennuste'!K38*1000</f>
        <v>4318.1262541201495</v>
      </c>
      <c r="CK38" s="41">
        <f>BY38/'1. Väestöennuste'!L38*1000</f>
        <v>4607.691679666631</v>
      </c>
      <c r="CL38" s="41">
        <f>BZ38/'1. Väestöennuste'!M38*1000</f>
        <v>2589.5820253975035</v>
      </c>
      <c r="CM38" s="41">
        <f>CA38/'1. Väestöennuste'!N38*1000</f>
        <v>2527.4384614434425</v>
      </c>
      <c r="CN38" s="41">
        <f>CB38/'1. Väestöennuste'!O38*1000</f>
        <v>2638.3269089177311</v>
      </c>
      <c r="CO38" s="41">
        <f>CC38/'1. Väestöennuste'!P38*1000</f>
        <v>2755.000194427334</v>
      </c>
      <c r="CP38" s="41">
        <f>CD38/'1. Väestöennuste'!Q38*1000</f>
        <v>2858.8811838940546</v>
      </c>
      <c r="CQ38" s="41">
        <f>CE38/'1. Väestöennuste'!R38*1000</f>
        <v>2965.0064197799993</v>
      </c>
      <c r="CR38" s="41"/>
      <c r="CU38" s="159">
        <f t="shared" si="21"/>
        <v>267.99537271775989</v>
      </c>
      <c r="CV38" s="159">
        <f t="shared" si="22"/>
        <v>134.72014058303103</v>
      </c>
      <c r="CW38" s="159">
        <f t="shared" si="23"/>
        <v>289.56542554648149</v>
      </c>
      <c r="CX38" s="159">
        <f t="shared" si="24"/>
        <v>-2018.1096542691275</v>
      </c>
      <c r="CY38" s="159">
        <f t="shared" si="25"/>
        <v>-62.143563954060937</v>
      </c>
      <c r="CZ38" s="159">
        <f t="shared" si="26"/>
        <v>110.88844747428857</v>
      </c>
      <c r="DA38" s="159">
        <f t="shared" si="33"/>
        <v>116.67328550960292</v>
      </c>
      <c r="DB38" s="159">
        <f t="shared" si="34"/>
        <v>103.88098946672062</v>
      </c>
      <c r="DC38" s="159">
        <f t="shared" si="34"/>
        <v>106.12523588594468</v>
      </c>
    </row>
    <row r="39" spans="1:107" x14ac:dyDescent="0.2">
      <c r="A39" s="99">
        <v>5</v>
      </c>
      <c r="B39" s="30">
        <v>86</v>
      </c>
      <c r="C39" s="47" t="s">
        <v>352</v>
      </c>
      <c r="D39" s="64">
        <v>29265.483230000002</v>
      </c>
      <c r="E39" s="64">
        <v>1669.73837</v>
      </c>
      <c r="F39" s="64">
        <v>1249.8658899999998</v>
      </c>
      <c r="G39" s="205">
        <v>32179</v>
      </c>
      <c r="H39" s="205"/>
      <c r="I39" s="64">
        <v>29738</v>
      </c>
      <c r="J39" s="64">
        <v>1575</v>
      </c>
      <c r="K39" s="64">
        <v>1121</v>
      </c>
      <c r="L39" s="205">
        <v>32433</v>
      </c>
      <c r="M39" s="205"/>
      <c r="N39" s="64">
        <v>29362</v>
      </c>
      <c r="O39" s="64">
        <v>1690</v>
      </c>
      <c r="P39" s="64">
        <v>1180</v>
      </c>
      <c r="Q39" s="205">
        <v>32232</v>
      </c>
      <c r="R39" s="205"/>
      <c r="S39" s="64">
        <v>28947</v>
      </c>
      <c r="T39" s="64">
        <v>1078</v>
      </c>
      <c r="U39" s="64">
        <v>1665</v>
      </c>
      <c r="V39" s="205">
        <v>31690</v>
      </c>
      <c r="W39" s="205"/>
      <c r="X39" s="64">
        <v>29779</v>
      </c>
      <c r="Y39" s="64">
        <v>1731</v>
      </c>
      <c r="Z39" s="64">
        <v>1143</v>
      </c>
      <c r="AA39" s="205">
        <f t="shared" si="27"/>
        <v>32653</v>
      </c>
      <c r="AB39" s="205"/>
      <c r="AC39" s="64">
        <v>30132</v>
      </c>
      <c r="AD39" s="64">
        <v>1548</v>
      </c>
      <c r="AE39" s="64">
        <v>1174</v>
      </c>
      <c r="AF39" s="205">
        <f t="shared" si="7"/>
        <v>32854</v>
      </c>
      <c r="AG39" s="205"/>
      <c r="AH39" s="278">
        <v>31176.44542</v>
      </c>
      <c r="AI39" s="64">
        <v>1667.87895</v>
      </c>
      <c r="AJ39" s="64">
        <v>1658.4137700000001</v>
      </c>
      <c r="AK39" s="205">
        <f t="shared" si="28"/>
        <v>34502.738140000001</v>
      </c>
      <c r="AL39" s="205"/>
      <c r="AM39" s="64">
        <v>32316.940999999999</v>
      </c>
      <c r="AN39" s="64">
        <v>1784.259</v>
      </c>
      <c r="AO39" s="64">
        <v>1758.836</v>
      </c>
      <c r="AP39" s="205">
        <f t="shared" si="29"/>
        <v>35860.036</v>
      </c>
      <c r="AQ39" s="205"/>
      <c r="AR39" s="64">
        <v>16142.992</v>
      </c>
      <c r="AS39" s="64">
        <v>1781.6279999999999</v>
      </c>
      <c r="AT39" s="64">
        <v>1156.953</v>
      </c>
      <c r="AU39" s="205">
        <f t="shared" si="30"/>
        <v>19081.573</v>
      </c>
      <c r="AV39" s="205"/>
      <c r="AW39" s="64">
        <v>15481.369724797261</v>
      </c>
      <c r="AX39" s="64">
        <v>1843.2876572963887</v>
      </c>
      <c r="AY39" s="64">
        <v>1014.9479242980516</v>
      </c>
      <c r="AZ39" s="205">
        <f t="shared" si="31"/>
        <v>18339.605306391702</v>
      </c>
      <c r="BA39" s="205"/>
      <c r="BB39" s="64">
        <v>16171.160151527069</v>
      </c>
      <c r="BC39" s="64">
        <v>1847.7381706716135</v>
      </c>
      <c r="BD39" s="64">
        <v>1027.1272993896282</v>
      </c>
      <c r="BE39" s="205">
        <f t="shared" si="8"/>
        <v>19046.025621588309</v>
      </c>
      <c r="BF39" s="205"/>
      <c r="BG39" s="64">
        <v>16810.510100614934</v>
      </c>
      <c r="BH39" s="64">
        <v>1866.3766561445784</v>
      </c>
      <c r="BI39" s="64">
        <v>1077.0047402408468</v>
      </c>
      <c r="BJ39" s="205">
        <f t="shared" si="9"/>
        <v>19753.891497000357</v>
      </c>
      <c r="BK39" s="205"/>
      <c r="BL39" s="64">
        <v>17311.748027599897</v>
      </c>
      <c r="BM39" s="64">
        <v>1888.8844264007153</v>
      </c>
      <c r="BN39" s="64">
        <v>1141.3814371534661</v>
      </c>
      <c r="BO39" s="205">
        <f t="shared" si="10"/>
        <v>20342.013891154078</v>
      </c>
      <c r="BQ39" s="64">
        <v>17885.124234524297</v>
      </c>
      <c r="BR39" s="64">
        <v>1910.6385997548562</v>
      </c>
      <c r="BS39" s="64">
        <v>1181.3993838829322</v>
      </c>
      <c r="BT39" s="205">
        <f t="shared" si="11"/>
        <v>20977.162218162088</v>
      </c>
      <c r="BU39" s="205"/>
      <c r="BV39" s="5">
        <f t="shared" si="12"/>
        <v>32653</v>
      </c>
      <c r="BW39" s="5">
        <f t="shared" si="13"/>
        <v>32854</v>
      </c>
      <c r="BX39" s="5">
        <f t="shared" si="14"/>
        <v>34502.738140000001</v>
      </c>
      <c r="BY39" s="5">
        <f t="shared" si="15"/>
        <v>35860.036</v>
      </c>
      <c r="BZ39" s="5">
        <f t="shared" si="16"/>
        <v>19081.573</v>
      </c>
      <c r="CA39" s="5">
        <f t="shared" si="17"/>
        <v>18339.605306391702</v>
      </c>
      <c r="CB39" s="5">
        <f t="shared" si="18"/>
        <v>19046.025621588309</v>
      </c>
      <c r="CC39" s="5">
        <f t="shared" si="19"/>
        <v>19753.891497000357</v>
      </c>
      <c r="CD39" s="5">
        <f t="shared" si="20"/>
        <v>20342.013891154078</v>
      </c>
      <c r="CE39" s="5">
        <f t="shared" si="32"/>
        <v>20977.162218162088</v>
      </c>
      <c r="CH39" s="41">
        <f>BV39/'1. Väestöennuste'!I39*1000</f>
        <v>3953.1476997578693</v>
      </c>
      <c r="CI39" s="41">
        <f>BW39/'1. Väestöennuste'!J39*1000</f>
        <v>4018.8379204892967</v>
      </c>
      <c r="CJ39" s="41">
        <f>BX39/'1. Väestöennuste'!K39*1000</f>
        <v>4237.1040329117031</v>
      </c>
      <c r="CK39" s="41">
        <f>BY39/'1. Väestöennuste'!L39*1000</f>
        <v>4465.2018428589217</v>
      </c>
      <c r="CL39" s="41">
        <f>BZ39/'1. Väestöennuste'!M39*1000</f>
        <v>2385.7930732683171</v>
      </c>
      <c r="CM39" s="41">
        <f>CA39/'1. Väestöennuste'!N39*1000</f>
        <v>2348.5216169025102</v>
      </c>
      <c r="CN39" s="41">
        <f>CB39/'1. Väestöennuste'!O39*1000</f>
        <v>2463.591465733839</v>
      </c>
      <c r="CO39" s="41">
        <f>CC39/'1. Väestöennuste'!P39*1000</f>
        <v>2579.1737168038071</v>
      </c>
      <c r="CP39" s="41">
        <f>CD39/'1. Väestöennuste'!Q39*1000</f>
        <v>2679.4011974649734</v>
      </c>
      <c r="CQ39" s="41">
        <f>CE39/'1. Väestöennuste'!R39*1000</f>
        <v>2787.6627532441312</v>
      </c>
      <c r="CR39" s="41"/>
      <c r="CU39" s="159">
        <f t="shared" si="21"/>
        <v>65.690220731427416</v>
      </c>
      <c r="CV39" s="159">
        <f t="shared" si="22"/>
        <v>218.26611242240642</v>
      </c>
      <c r="CW39" s="159">
        <f t="shared" si="23"/>
        <v>228.09780994721859</v>
      </c>
      <c r="CX39" s="159">
        <f t="shared" si="24"/>
        <v>-2079.4087695906046</v>
      </c>
      <c r="CY39" s="159">
        <f t="shared" si="25"/>
        <v>-37.271456365806898</v>
      </c>
      <c r="CZ39" s="159">
        <f t="shared" si="26"/>
        <v>115.06984883132873</v>
      </c>
      <c r="DA39" s="159">
        <f t="shared" si="33"/>
        <v>115.58225106996815</v>
      </c>
      <c r="DB39" s="159">
        <f t="shared" si="34"/>
        <v>100.22748066116628</v>
      </c>
      <c r="DC39" s="159">
        <f t="shared" si="34"/>
        <v>108.26155577915779</v>
      </c>
    </row>
    <row r="40" spans="1:107" x14ac:dyDescent="0.2">
      <c r="A40" s="99">
        <v>12</v>
      </c>
      <c r="B40" s="30">
        <v>90</v>
      </c>
      <c r="C40" s="47" t="s">
        <v>353</v>
      </c>
      <c r="D40" s="64">
        <v>8630.4025000000001</v>
      </c>
      <c r="E40" s="64">
        <v>1226.5333400000002</v>
      </c>
      <c r="F40" s="64">
        <v>2181.7275</v>
      </c>
      <c r="G40" s="205">
        <v>12039</v>
      </c>
      <c r="H40" s="205"/>
      <c r="I40" s="64">
        <v>8640</v>
      </c>
      <c r="J40" s="64">
        <v>1249</v>
      </c>
      <c r="K40" s="64">
        <v>2003</v>
      </c>
      <c r="L40" s="205">
        <v>11676</v>
      </c>
      <c r="M40" s="205"/>
      <c r="N40" s="64">
        <v>8594</v>
      </c>
      <c r="O40" s="64">
        <v>1225</v>
      </c>
      <c r="P40" s="64">
        <v>2236</v>
      </c>
      <c r="Q40" s="205">
        <v>12055</v>
      </c>
      <c r="R40" s="205"/>
      <c r="S40" s="64">
        <v>8128</v>
      </c>
      <c r="T40" s="64">
        <v>1336</v>
      </c>
      <c r="U40" s="64">
        <v>2051</v>
      </c>
      <c r="V40" s="205">
        <v>11515</v>
      </c>
      <c r="W40" s="205"/>
      <c r="X40" s="64">
        <v>8393</v>
      </c>
      <c r="Y40" s="64">
        <v>1371</v>
      </c>
      <c r="Z40" s="64">
        <v>2190</v>
      </c>
      <c r="AA40" s="205">
        <f t="shared" si="27"/>
        <v>11954</v>
      </c>
      <c r="AB40" s="205"/>
      <c r="AC40" s="64">
        <v>8430</v>
      </c>
      <c r="AD40" s="64">
        <v>1230</v>
      </c>
      <c r="AE40" s="64">
        <v>2534</v>
      </c>
      <c r="AF40" s="205">
        <f t="shared" si="7"/>
        <v>12194</v>
      </c>
      <c r="AG40" s="205"/>
      <c r="AH40" s="278">
        <v>8869.0481099999997</v>
      </c>
      <c r="AI40" s="64">
        <v>1347.16462</v>
      </c>
      <c r="AJ40" s="64">
        <v>3567.8724099999999</v>
      </c>
      <c r="AK40" s="205">
        <f t="shared" si="28"/>
        <v>13784.085139999999</v>
      </c>
      <c r="AL40" s="205"/>
      <c r="AM40" s="64">
        <v>9403.1914499999984</v>
      </c>
      <c r="AN40" s="64">
        <v>1427.6197999999999</v>
      </c>
      <c r="AO40" s="64">
        <v>3251.2922999999996</v>
      </c>
      <c r="AP40" s="205">
        <f t="shared" si="29"/>
        <v>14082.103549999998</v>
      </c>
      <c r="AQ40" s="205"/>
      <c r="AR40" s="64">
        <v>4465.6764400000002</v>
      </c>
      <c r="AS40" s="64">
        <v>1469.4405300000001</v>
      </c>
      <c r="AT40" s="64">
        <v>1796.9085600000001</v>
      </c>
      <c r="AU40" s="205">
        <f t="shared" si="30"/>
        <v>7732.0255299999999</v>
      </c>
      <c r="AV40" s="205"/>
      <c r="AW40" s="64">
        <v>4265.9614437172568</v>
      </c>
      <c r="AX40" s="64">
        <v>1455.7327078453181</v>
      </c>
      <c r="AY40" s="64">
        <v>1435.7599714142491</v>
      </c>
      <c r="AZ40" s="205">
        <f t="shared" si="31"/>
        <v>7157.4541229768238</v>
      </c>
      <c r="BA40" s="205"/>
      <c r="BB40" s="64">
        <v>4396.4641337808434</v>
      </c>
      <c r="BC40" s="64">
        <v>1467.4633479422621</v>
      </c>
      <c r="BD40" s="64">
        <v>1452.9890910712199</v>
      </c>
      <c r="BE40" s="205">
        <f t="shared" si="8"/>
        <v>7316.9165727943255</v>
      </c>
      <c r="BF40" s="205"/>
      <c r="BG40" s="64">
        <v>4468.4803349464955</v>
      </c>
      <c r="BH40" s="64">
        <v>1490.5451631522506</v>
      </c>
      <c r="BI40" s="64">
        <v>1523.5464382378632</v>
      </c>
      <c r="BJ40" s="205">
        <f t="shared" si="9"/>
        <v>7482.5719363366097</v>
      </c>
      <c r="BK40" s="205"/>
      <c r="BL40" s="64">
        <v>4538.898680373276</v>
      </c>
      <c r="BM40" s="64">
        <v>1516.8787637821163</v>
      </c>
      <c r="BN40" s="64">
        <v>1614.6146421389956</v>
      </c>
      <c r="BO40" s="205">
        <f t="shared" si="10"/>
        <v>7670.3920862943878</v>
      </c>
      <c r="BQ40" s="64">
        <v>4618.3120188746216</v>
      </c>
      <c r="BR40" s="64">
        <v>1542.7808041047156</v>
      </c>
      <c r="BS40" s="64">
        <v>1671.224606726186</v>
      </c>
      <c r="BT40" s="205">
        <f t="shared" si="11"/>
        <v>7832.317429705523</v>
      </c>
      <c r="BU40" s="205"/>
      <c r="BV40" s="5">
        <f t="shared" si="12"/>
        <v>11954</v>
      </c>
      <c r="BW40" s="5">
        <f t="shared" si="13"/>
        <v>12194</v>
      </c>
      <c r="BX40" s="5">
        <f t="shared" si="14"/>
        <v>13784.085139999999</v>
      </c>
      <c r="BY40" s="5">
        <f t="shared" si="15"/>
        <v>14082.103549999998</v>
      </c>
      <c r="BZ40" s="5">
        <f t="shared" si="16"/>
        <v>7732.0255299999999</v>
      </c>
      <c r="CA40" s="5">
        <f t="shared" si="17"/>
        <v>7157.4541229768238</v>
      </c>
      <c r="CB40" s="5">
        <f t="shared" si="18"/>
        <v>7316.9165727943255</v>
      </c>
      <c r="CC40" s="5">
        <f t="shared" si="19"/>
        <v>7482.5719363366097</v>
      </c>
      <c r="CD40" s="5">
        <f t="shared" si="20"/>
        <v>7670.3920862943878</v>
      </c>
      <c r="CE40" s="5">
        <f t="shared" si="32"/>
        <v>7832.317429705523</v>
      </c>
      <c r="CH40" s="41">
        <f>BV40/'1. Väestöennuste'!I40*1000</f>
        <v>3673.6324523663184</v>
      </c>
      <c r="CI40" s="41">
        <f>BW40/'1. Väestöennuste'!J40*1000</f>
        <v>3815.3942428035043</v>
      </c>
      <c r="CJ40" s="41">
        <f>BX40/'1. Väestöennuste'!K40*1000</f>
        <v>4395.4353124999998</v>
      </c>
      <c r="CK40" s="41">
        <f>BY40/'1. Väestöennuste'!L40*1000</f>
        <v>4600.4911956876831</v>
      </c>
      <c r="CL40" s="41">
        <f>BZ40/'1. Väestöennuste'!M40*1000</f>
        <v>2576.4830156614462</v>
      </c>
      <c r="CM40" s="41">
        <f>CA40/'1. Väestöennuste'!N40*1000</f>
        <v>2422.9702515155122</v>
      </c>
      <c r="CN40" s="41">
        <f>CB40/'1. Väestöennuste'!O40*1000</f>
        <v>2520.4673003080698</v>
      </c>
      <c r="CO40" s="41">
        <f>CC40/'1. Väestöennuste'!P40*1000</f>
        <v>2620.8658270881292</v>
      </c>
      <c r="CP40" s="41">
        <f>CD40/'1. Väestöennuste'!Q40*1000</f>
        <v>2733.5680991783279</v>
      </c>
      <c r="CQ40" s="41">
        <f>CE40/'1. Väestöennuste'!R40*1000</f>
        <v>2839.8540354262232</v>
      </c>
      <c r="CR40" s="41"/>
      <c r="CU40" s="159">
        <f t="shared" si="21"/>
        <v>141.76179043718594</v>
      </c>
      <c r="CV40" s="159">
        <f t="shared" si="22"/>
        <v>580.04106969649547</v>
      </c>
      <c r="CW40" s="159">
        <f t="shared" si="23"/>
        <v>205.05588318768332</v>
      </c>
      <c r="CX40" s="159">
        <f t="shared" si="24"/>
        <v>-2024.0081800262369</v>
      </c>
      <c r="CY40" s="159">
        <f t="shared" si="25"/>
        <v>-153.51276414593394</v>
      </c>
      <c r="CZ40" s="159">
        <f t="shared" si="26"/>
        <v>97.497048792557507</v>
      </c>
      <c r="DA40" s="159">
        <f t="shared" si="33"/>
        <v>100.39852678005946</v>
      </c>
      <c r="DB40" s="159">
        <f t="shared" si="34"/>
        <v>112.70227209019868</v>
      </c>
      <c r="DC40" s="159">
        <f t="shared" si="34"/>
        <v>106.28593624789528</v>
      </c>
    </row>
    <row r="41" spans="1:107" x14ac:dyDescent="0.2">
      <c r="A41" s="99">
        <v>1</v>
      </c>
      <c r="B41" s="30">
        <v>91</v>
      </c>
      <c r="C41" s="47" t="s">
        <v>354</v>
      </c>
      <c r="D41" s="64">
        <v>2481103.0591700003</v>
      </c>
      <c r="E41" s="64">
        <v>214257.82934999999</v>
      </c>
      <c r="F41" s="64">
        <v>372492.53551999998</v>
      </c>
      <c r="G41" s="205">
        <v>3067915</v>
      </c>
      <c r="H41" s="205"/>
      <c r="I41" s="64">
        <v>2586063</v>
      </c>
      <c r="J41" s="64">
        <v>222227</v>
      </c>
      <c r="K41" s="64">
        <v>397315</v>
      </c>
      <c r="L41" s="205">
        <v>3205605</v>
      </c>
      <c r="M41" s="205"/>
      <c r="N41" s="64">
        <v>2595152</v>
      </c>
      <c r="O41" s="64">
        <v>257052</v>
      </c>
      <c r="P41" s="64">
        <v>528591</v>
      </c>
      <c r="Q41" s="205">
        <v>3380795</v>
      </c>
      <c r="R41" s="205"/>
      <c r="S41" s="64">
        <v>2580483</v>
      </c>
      <c r="T41" s="64">
        <v>261346</v>
      </c>
      <c r="U41" s="64">
        <v>574753</v>
      </c>
      <c r="V41" s="205">
        <v>3416582</v>
      </c>
      <c r="W41" s="205"/>
      <c r="X41" s="64">
        <v>2632935</v>
      </c>
      <c r="Y41" s="64">
        <v>273892</v>
      </c>
      <c r="Z41" s="64">
        <v>586905</v>
      </c>
      <c r="AA41" s="205">
        <f t="shared" si="27"/>
        <v>3493732</v>
      </c>
      <c r="AB41" s="205"/>
      <c r="AC41" s="64">
        <v>2791940</v>
      </c>
      <c r="AD41" s="64">
        <v>254334</v>
      </c>
      <c r="AE41" s="64">
        <v>519324</v>
      </c>
      <c r="AF41" s="205">
        <f t="shared" si="7"/>
        <v>3565598</v>
      </c>
      <c r="AG41" s="205"/>
      <c r="AH41" s="278">
        <v>2821115.3650599997</v>
      </c>
      <c r="AI41" s="64">
        <v>280736.50312000001</v>
      </c>
      <c r="AJ41" s="64">
        <v>726896.80287999997</v>
      </c>
      <c r="AK41" s="205">
        <f t="shared" si="28"/>
        <v>3828748.6710599996</v>
      </c>
      <c r="AL41" s="205"/>
      <c r="AM41" s="64">
        <v>3028509.0804400002</v>
      </c>
      <c r="AN41" s="64">
        <v>295946.53457000002</v>
      </c>
      <c r="AO41" s="64">
        <v>775361.18536999996</v>
      </c>
      <c r="AP41" s="205">
        <f t="shared" si="29"/>
        <v>4099816.8003800004</v>
      </c>
      <c r="AQ41" s="205"/>
      <c r="AR41" s="64">
        <v>1191880.6545299999</v>
      </c>
      <c r="AS41" s="64">
        <v>307241.29567999998</v>
      </c>
      <c r="AT41" s="64">
        <v>539208.23645000008</v>
      </c>
      <c r="AU41" s="205">
        <f t="shared" si="30"/>
        <v>2038330.1866600001</v>
      </c>
      <c r="AV41" s="205"/>
      <c r="AW41" s="64">
        <v>1068507.6271984892</v>
      </c>
      <c r="AX41" s="64">
        <v>364757.31340668042</v>
      </c>
      <c r="AY41" s="64">
        <v>439498.45108075987</v>
      </c>
      <c r="AZ41" s="205">
        <f t="shared" si="31"/>
        <v>1872763.3916859296</v>
      </c>
      <c r="BA41" s="205"/>
      <c r="BB41" s="64">
        <v>1113084.6662413392</v>
      </c>
      <c r="BC41" s="64">
        <v>370576.58474169701</v>
      </c>
      <c r="BD41" s="64">
        <v>444772.43249372899</v>
      </c>
      <c r="BE41" s="205">
        <f t="shared" si="8"/>
        <v>1928433.6834767652</v>
      </c>
      <c r="BF41" s="205"/>
      <c r="BG41" s="64">
        <v>1157338.7989538708</v>
      </c>
      <c r="BH41" s="64">
        <v>379380.06858642597</v>
      </c>
      <c r="BI41" s="64">
        <v>466370.64208969777</v>
      </c>
      <c r="BJ41" s="205">
        <f t="shared" si="9"/>
        <v>2003089.5096299944</v>
      </c>
      <c r="BK41" s="205"/>
      <c r="BL41" s="64">
        <v>1198814.2034412776</v>
      </c>
      <c r="BM41" s="64">
        <v>389161.2516932484</v>
      </c>
      <c r="BN41" s="64">
        <v>494247.40098682028</v>
      </c>
      <c r="BO41" s="205">
        <f t="shared" si="10"/>
        <v>2082222.8561213461</v>
      </c>
      <c r="BQ41" s="64">
        <v>1245019.2734229446</v>
      </c>
      <c r="BR41" s="64">
        <v>398991.22570066311</v>
      </c>
      <c r="BS41" s="64">
        <v>511576.1970580045</v>
      </c>
      <c r="BT41" s="205">
        <f t="shared" si="11"/>
        <v>2155586.6961816121</v>
      </c>
      <c r="BU41" s="205"/>
      <c r="BV41" s="5">
        <f t="shared" si="12"/>
        <v>3493732</v>
      </c>
      <c r="BW41" s="5">
        <f t="shared" si="13"/>
        <v>3565598</v>
      </c>
      <c r="BX41" s="5">
        <f t="shared" si="14"/>
        <v>3828748.6710599996</v>
      </c>
      <c r="BY41" s="5">
        <f t="shared" si="15"/>
        <v>4099816.8003800004</v>
      </c>
      <c r="BZ41" s="5">
        <f t="shared" si="16"/>
        <v>2038330.1866600001</v>
      </c>
      <c r="CA41" s="5">
        <f t="shared" si="17"/>
        <v>1872763.3916859296</v>
      </c>
      <c r="CB41" s="5">
        <f t="shared" si="18"/>
        <v>1928433.6834767652</v>
      </c>
      <c r="CC41" s="5">
        <f t="shared" si="19"/>
        <v>2003089.5096299944</v>
      </c>
      <c r="CD41" s="5">
        <f t="shared" si="20"/>
        <v>2082222.8561213461</v>
      </c>
      <c r="CE41" s="5">
        <f t="shared" si="32"/>
        <v>2155586.6961816121</v>
      </c>
      <c r="CH41" s="41">
        <f>BV41/'1. Väestöennuste'!I41*1000</f>
        <v>5343.4459764313624</v>
      </c>
      <c r="CI41" s="41">
        <f>BW41/'1. Väestöennuste'!J41*1000</f>
        <v>5427.7507154600262</v>
      </c>
      <c r="CJ41" s="41">
        <f>BX41/'1. Väestöennuste'!K41*1000</f>
        <v>5814.728480462657</v>
      </c>
      <c r="CK41" s="41">
        <f>BY41/'1. Väestöennuste'!L41*1000</f>
        <v>6174.1625358870415</v>
      </c>
      <c r="CL41" s="41">
        <f>BZ41/'1. Väestöennuste'!M41*1000</f>
        <v>3021.986933521127</v>
      </c>
      <c r="CM41" s="41">
        <f>CA41/'1. Väestöennuste'!N41*1000</f>
        <v>2762.5016287777958</v>
      </c>
      <c r="CN41" s="41">
        <f>CB41/'1. Väestöennuste'!O41*1000</f>
        <v>2825.2996202185673</v>
      </c>
      <c r="CO41" s="41">
        <f>CC41/'1. Väestöennuste'!P41*1000</f>
        <v>2915.4803335841552</v>
      </c>
      <c r="CP41" s="41">
        <f>CD41/'1. Väestöennuste'!Q41*1000</f>
        <v>3011.5950722175321</v>
      </c>
      <c r="CQ41" s="41">
        <f>CE41/'1. Väestöennuste'!R41*1000</f>
        <v>3098.8927473754447</v>
      </c>
      <c r="CR41" s="41"/>
      <c r="CU41" s="159">
        <f t="shared" si="21"/>
        <v>84.304739028663789</v>
      </c>
      <c r="CV41" s="159">
        <f t="shared" si="22"/>
        <v>386.9777650026308</v>
      </c>
      <c r="CW41" s="159">
        <f t="shared" si="23"/>
        <v>359.4340554243845</v>
      </c>
      <c r="CX41" s="159">
        <f t="shared" si="24"/>
        <v>-3152.1756023659145</v>
      </c>
      <c r="CY41" s="159">
        <f t="shared" si="25"/>
        <v>-259.4853047433312</v>
      </c>
      <c r="CZ41" s="159">
        <f t="shared" si="26"/>
        <v>62.797991440771511</v>
      </c>
      <c r="DA41" s="159">
        <f t="shared" si="33"/>
        <v>90.180713365587962</v>
      </c>
      <c r="DB41" s="159">
        <f t="shared" si="34"/>
        <v>96.114738633376874</v>
      </c>
      <c r="DC41" s="159">
        <f t="shared" si="34"/>
        <v>87.297675157912636</v>
      </c>
    </row>
    <row r="42" spans="1:107" x14ac:dyDescent="0.2">
      <c r="A42" s="99">
        <v>1</v>
      </c>
      <c r="B42" s="30">
        <v>92</v>
      </c>
      <c r="C42" s="47" t="s">
        <v>355</v>
      </c>
      <c r="D42" s="64">
        <v>786364.28971000004</v>
      </c>
      <c r="E42" s="64">
        <v>72149.154970000003</v>
      </c>
      <c r="F42" s="64">
        <v>75658.102400000003</v>
      </c>
      <c r="G42" s="205">
        <v>934027</v>
      </c>
      <c r="H42" s="205"/>
      <c r="I42" s="64">
        <v>813747</v>
      </c>
      <c r="J42" s="64">
        <v>73894</v>
      </c>
      <c r="K42" s="64">
        <v>66169</v>
      </c>
      <c r="L42" s="205">
        <v>953810</v>
      </c>
      <c r="M42" s="205"/>
      <c r="N42" s="64">
        <v>818980</v>
      </c>
      <c r="O42" s="64">
        <v>77331</v>
      </c>
      <c r="P42" s="64">
        <v>80699</v>
      </c>
      <c r="Q42" s="205">
        <v>977010</v>
      </c>
      <c r="R42" s="205"/>
      <c r="S42" s="64">
        <v>825742</v>
      </c>
      <c r="T42" s="64">
        <v>79074</v>
      </c>
      <c r="U42" s="64">
        <v>77930</v>
      </c>
      <c r="V42" s="205">
        <v>982746</v>
      </c>
      <c r="W42" s="205"/>
      <c r="X42" s="64">
        <v>861500</v>
      </c>
      <c r="Y42" s="64">
        <v>78503</v>
      </c>
      <c r="Z42" s="64">
        <v>74609</v>
      </c>
      <c r="AA42" s="205">
        <f t="shared" si="27"/>
        <v>1014612</v>
      </c>
      <c r="AB42" s="205"/>
      <c r="AC42" s="64">
        <v>914970</v>
      </c>
      <c r="AD42" s="64">
        <v>74525</v>
      </c>
      <c r="AE42" s="64">
        <v>83468</v>
      </c>
      <c r="AF42" s="205">
        <f t="shared" si="7"/>
        <v>1072963</v>
      </c>
      <c r="AG42" s="205"/>
      <c r="AH42" s="278">
        <v>907442.46352999995</v>
      </c>
      <c r="AI42" s="64">
        <v>100161.51018000001</v>
      </c>
      <c r="AJ42" s="64">
        <v>124031.5968</v>
      </c>
      <c r="AK42" s="205">
        <f t="shared" si="28"/>
        <v>1131635.57051</v>
      </c>
      <c r="AL42" s="205"/>
      <c r="AM42" s="64">
        <v>957369.9702000001</v>
      </c>
      <c r="AN42" s="64">
        <v>108450.18603</v>
      </c>
      <c r="AO42" s="64">
        <v>137840.38787999999</v>
      </c>
      <c r="AP42" s="205">
        <f t="shared" si="29"/>
        <v>1203660.5441100001</v>
      </c>
      <c r="AQ42" s="205"/>
      <c r="AR42" s="64">
        <v>431249.35191000003</v>
      </c>
      <c r="AS42" s="64">
        <v>112093.60262000001</v>
      </c>
      <c r="AT42" s="64">
        <v>95335.716650000002</v>
      </c>
      <c r="AU42" s="205">
        <f t="shared" si="30"/>
        <v>638678.67117999995</v>
      </c>
      <c r="AV42" s="205"/>
      <c r="AW42" s="64">
        <v>402968.12188250502</v>
      </c>
      <c r="AX42" s="64">
        <v>117435.97799070276</v>
      </c>
      <c r="AY42" s="64">
        <v>72829.148500427647</v>
      </c>
      <c r="AZ42" s="205">
        <f t="shared" si="31"/>
        <v>593233.24837363535</v>
      </c>
      <c r="BA42" s="205"/>
      <c r="BB42" s="64">
        <v>430239.96560391999</v>
      </c>
      <c r="BC42" s="64">
        <v>120702.94125336164</v>
      </c>
      <c r="BD42" s="64">
        <v>73703.09828243278</v>
      </c>
      <c r="BE42" s="205">
        <f t="shared" si="8"/>
        <v>624646.00513971446</v>
      </c>
      <c r="BF42" s="205"/>
      <c r="BG42" s="64">
        <v>458643.51590083068</v>
      </c>
      <c r="BH42" s="64">
        <v>125044.30183059706</v>
      </c>
      <c r="BI42" s="64">
        <v>77282.130723025228</v>
      </c>
      <c r="BJ42" s="205">
        <f t="shared" si="9"/>
        <v>660969.94845445291</v>
      </c>
      <c r="BK42" s="205"/>
      <c r="BL42" s="64">
        <v>480149.18560054339</v>
      </c>
      <c r="BM42" s="64">
        <v>129830.09691986647</v>
      </c>
      <c r="BN42" s="64">
        <v>81901.57957076664</v>
      </c>
      <c r="BO42" s="205">
        <f t="shared" si="10"/>
        <v>691880.86209117656</v>
      </c>
      <c r="BQ42" s="64">
        <v>506189.68273874372</v>
      </c>
      <c r="BR42" s="64">
        <v>134763.53453959088</v>
      </c>
      <c r="BS42" s="64">
        <v>84773.128854497787</v>
      </c>
      <c r="BT42" s="205">
        <f t="shared" si="11"/>
        <v>725726.34613283235</v>
      </c>
      <c r="BU42" s="205"/>
      <c r="BV42" s="5">
        <f t="shared" si="12"/>
        <v>1014612</v>
      </c>
      <c r="BW42" s="5">
        <f t="shared" si="13"/>
        <v>1072963</v>
      </c>
      <c r="BX42" s="5">
        <f t="shared" si="14"/>
        <v>1131635.57051</v>
      </c>
      <c r="BY42" s="5">
        <f t="shared" si="15"/>
        <v>1203660.5441100001</v>
      </c>
      <c r="BZ42" s="5">
        <f t="shared" si="16"/>
        <v>638678.67117999995</v>
      </c>
      <c r="CA42" s="5">
        <f t="shared" si="17"/>
        <v>593233.24837363535</v>
      </c>
      <c r="CB42" s="5">
        <f t="shared" si="18"/>
        <v>624646.00513971446</v>
      </c>
      <c r="CC42" s="5">
        <f t="shared" si="19"/>
        <v>660969.94845445291</v>
      </c>
      <c r="CD42" s="5">
        <f t="shared" si="20"/>
        <v>691880.86209117656</v>
      </c>
      <c r="CE42" s="5">
        <f t="shared" si="32"/>
        <v>725726.34613283235</v>
      </c>
      <c r="CH42" s="41">
        <f>BV42/'1. Väestöennuste'!I42*1000</f>
        <v>4340.1219120949627</v>
      </c>
      <c r="CI42" s="41">
        <f>BW42/'1. Väestöennuste'!J42*1000</f>
        <v>4522.8616833381802</v>
      </c>
      <c r="CJ42" s="41">
        <f>BX42/'1. Väestöennuste'!K42*1000</f>
        <v>4730.7992713811527</v>
      </c>
      <c r="CK42" s="41">
        <f>BY42/'1. Väestöennuste'!L42*1000</f>
        <v>4957.0278442378894</v>
      </c>
      <c r="CL42" s="41">
        <f>BZ42/'1. Väestöennuste'!M42*1000</f>
        <v>2581.1143220054719</v>
      </c>
      <c r="CM42" s="41">
        <f>CA42/'1. Väestöennuste'!N42*1000</f>
        <v>2356.4192076870704</v>
      </c>
      <c r="CN42" s="41">
        <f>CB42/'1. Väestöennuste'!O42*1000</f>
        <v>2450.2744102856659</v>
      </c>
      <c r="CO42" s="41">
        <f>CC42/'1. Väestöennuste'!P42*1000</f>
        <v>2562.2565491869132</v>
      </c>
      <c r="CP42" s="41">
        <f>CD42/'1. Väestöennuste'!Q42*1000</f>
        <v>2652.3173902038134</v>
      </c>
      <c r="CQ42" s="41">
        <f>CE42/'1. Väestöennuste'!R42*1000</f>
        <v>2752.884206797683</v>
      </c>
      <c r="CR42" s="41"/>
      <c r="CU42" s="159">
        <f t="shared" si="21"/>
        <v>182.73977124321755</v>
      </c>
      <c r="CV42" s="159">
        <f t="shared" si="22"/>
        <v>207.93758804297249</v>
      </c>
      <c r="CW42" s="159">
        <f t="shared" si="23"/>
        <v>226.22857285673672</v>
      </c>
      <c r="CX42" s="159">
        <f t="shared" si="24"/>
        <v>-2375.9135222324176</v>
      </c>
      <c r="CY42" s="159">
        <f t="shared" si="25"/>
        <v>-224.69511431840147</v>
      </c>
      <c r="CZ42" s="159">
        <f t="shared" si="26"/>
        <v>93.855202598595497</v>
      </c>
      <c r="DA42" s="159">
        <f t="shared" si="33"/>
        <v>111.98213890124725</v>
      </c>
      <c r="DB42" s="159">
        <f t="shared" si="34"/>
        <v>90.060841016900213</v>
      </c>
      <c r="DC42" s="159">
        <f t="shared" si="34"/>
        <v>100.56681659386959</v>
      </c>
    </row>
    <row r="43" spans="1:107" x14ac:dyDescent="0.2">
      <c r="A43" s="99">
        <v>10</v>
      </c>
      <c r="B43" s="30">
        <v>97</v>
      </c>
      <c r="C43" s="47" t="s">
        <v>356</v>
      </c>
      <c r="D43" s="64">
        <v>5423.36186</v>
      </c>
      <c r="E43" s="64">
        <v>1145.4299599999999</v>
      </c>
      <c r="F43" s="64">
        <v>872.05244999999991</v>
      </c>
      <c r="G43" s="205">
        <v>7438</v>
      </c>
      <c r="H43" s="205"/>
      <c r="I43" s="64">
        <v>5417</v>
      </c>
      <c r="J43" s="64">
        <v>1154</v>
      </c>
      <c r="K43" s="64">
        <v>817</v>
      </c>
      <c r="L43" s="205">
        <v>7389</v>
      </c>
      <c r="M43" s="205"/>
      <c r="N43" s="64">
        <v>5379</v>
      </c>
      <c r="O43" s="64">
        <v>1299</v>
      </c>
      <c r="P43" s="64">
        <v>936</v>
      </c>
      <c r="Q43" s="205">
        <v>7614</v>
      </c>
      <c r="R43" s="205"/>
      <c r="S43" s="64">
        <v>5457</v>
      </c>
      <c r="T43" s="64">
        <v>1289</v>
      </c>
      <c r="U43" s="64">
        <v>882</v>
      </c>
      <c r="V43" s="205">
        <v>7628</v>
      </c>
      <c r="W43" s="205"/>
      <c r="X43" s="64">
        <v>5569</v>
      </c>
      <c r="Y43" s="64">
        <v>1317</v>
      </c>
      <c r="Z43" s="64">
        <v>935</v>
      </c>
      <c r="AA43" s="205">
        <f t="shared" si="27"/>
        <v>7821</v>
      </c>
      <c r="AB43" s="205"/>
      <c r="AC43" s="64">
        <v>5595</v>
      </c>
      <c r="AD43" s="64">
        <v>1200</v>
      </c>
      <c r="AE43" s="64">
        <v>1068</v>
      </c>
      <c r="AF43" s="205">
        <f t="shared" si="7"/>
        <v>7863</v>
      </c>
      <c r="AG43" s="205"/>
      <c r="AH43" s="278">
        <v>5920.0767999999998</v>
      </c>
      <c r="AI43" s="64">
        <v>1326.5231799999999</v>
      </c>
      <c r="AJ43" s="64">
        <v>1511.64157</v>
      </c>
      <c r="AK43" s="205">
        <f t="shared" si="28"/>
        <v>8758.2415500000006</v>
      </c>
      <c r="AL43" s="205"/>
      <c r="AM43" s="64">
        <v>6072.1978499999996</v>
      </c>
      <c r="AN43" s="64">
        <v>1414.05297</v>
      </c>
      <c r="AO43" s="64">
        <v>1347.2734599999999</v>
      </c>
      <c r="AP43" s="205">
        <f t="shared" si="29"/>
        <v>8833.5242799999996</v>
      </c>
      <c r="AQ43" s="205"/>
      <c r="AR43" s="64">
        <v>3313.09202</v>
      </c>
      <c r="AS43" s="64">
        <v>1450.5595800000001</v>
      </c>
      <c r="AT43" s="64">
        <v>777.07663000000002</v>
      </c>
      <c r="AU43" s="205">
        <f t="shared" si="30"/>
        <v>5540.7282300000006</v>
      </c>
      <c r="AV43" s="205"/>
      <c r="AW43" s="64">
        <v>2708.173453296331</v>
      </c>
      <c r="AX43" s="64">
        <v>1611.9820193319542</v>
      </c>
      <c r="AY43" s="64">
        <v>710.56692885744235</v>
      </c>
      <c r="AZ43" s="205">
        <f t="shared" si="31"/>
        <v>5030.7224014857275</v>
      </c>
      <c r="BA43" s="205"/>
      <c r="BB43" s="64">
        <v>2865.7940298427475</v>
      </c>
      <c r="BC43" s="64">
        <v>1627.0821148015957</v>
      </c>
      <c r="BD43" s="64">
        <v>719.09373200373159</v>
      </c>
      <c r="BE43" s="205">
        <f t="shared" si="8"/>
        <v>5211.9698766480751</v>
      </c>
      <c r="BF43" s="205"/>
      <c r="BG43" s="64">
        <v>2955.7016173437537</v>
      </c>
      <c r="BH43" s="64">
        <v>1654.7993698085436</v>
      </c>
      <c r="BI43" s="64">
        <v>754.01302107901165</v>
      </c>
      <c r="BJ43" s="205">
        <f t="shared" si="9"/>
        <v>5364.5140082313083</v>
      </c>
      <c r="BK43" s="205"/>
      <c r="BL43" s="64">
        <v>3049.1125185781052</v>
      </c>
      <c r="BM43" s="64">
        <v>1686.1794467920506</v>
      </c>
      <c r="BN43" s="64">
        <v>799.08326628082659</v>
      </c>
      <c r="BO43" s="205">
        <f t="shared" si="10"/>
        <v>5534.3752316509817</v>
      </c>
      <c r="BQ43" s="64">
        <v>3162.2092577133085</v>
      </c>
      <c r="BR43" s="64">
        <v>1717.1369714330901</v>
      </c>
      <c r="BS43" s="64">
        <v>827.09990519006283</v>
      </c>
      <c r="BT43" s="205">
        <f t="shared" si="11"/>
        <v>5706.446134336461</v>
      </c>
      <c r="BU43" s="205"/>
      <c r="BV43" s="5">
        <f t="shared" si="12"/>
        <v>7821</v>
      </c>
      <c r="BW43" s="5">
        <f t="shared" si="13"/>
        <v>7863</v>
      </c>
      <c r="BX43" s="5">
        <f t="shared" si="14"/>
        <v>8758.2415500000006</v>
      </c>
      <c r="BY43" s="5">
        <f t="shared" si="15"/>
        <v>8833.5242799999996</v>
      </c>
      <c r="BZ43" s="5">
        <f t="shared" si="16"/>
        <v>5540.7282300000006</v>
      </c>
      <c r="CA43" s="5">
        <f t="shared" si="17"/>
        <v>5030.7224014857275</v>
      </c>
      <c r="CB43" s="5">
        <f t="shared" si="18"/>
        <v>5211.9698766480751</v>
      </c>
      <c r="CC43" s="5">
        <f t="shared" si="19"/>
        <v>5364.5140082313083</v>
      </c>
      <c r="CD43" s="5">
        <f t="shared" si="20"/>
        <v>5534.3752316509817</v>
      </c>
      <c r="CE43" s="5">
        <f t="shared" si="32"/>
        <v>5706.446134336461</v>
      </c>
      <c r="CH43" s="41">
        <f>BV43/'1. Väestöennuste'!I43*1000</f>
        <v>3661.5168539325846</v>
      </c>
      <c r="CI43" s="41">
        <f>BW43/'1. Väestöennuste'!J43*1000</f>
        <v>3647.0315398886828</v>
      </c>
      <c r="CJ43" s="41">
        <f>BX43/'1. Väestöennuste'!K43*1000</f>
        <v>4109.9209526044115</v>
      </c>
      <c r="CK43" s="41">
        <f>BY43/'1. Väestöennuste'!L43*1000</f>
        <v>4224.5453275944519</v>
      </c>
      <c r="CL43" s="41">
        <f>BZ43/'1. Väestöennuste'!M43*1000</f>
        <v>2687.0650969932108</v>
      </c>
      <c r="CM43" s="41">
        <f>CA43/'1. Väestöennuste'!N43*1000</f>
        <v>2396.7233927992984</v>
      </c>
      <c r="CN43" s="41">
        <f>CB43/'1. Väestöennuste'!O43*1000</f>
        <v>2498.5474001189236</v>
      </c>
      <c r="CO43" s="41">
        <f>CC43/'1. Väestöennuste'!P43*1000</f>
        <v>2586.5544880575253</v>
      </c>
      <c r="CP43" s="41">
        <f>CD43/'1. Väestöennuste'!Q43*1000</f>
        <v>2681.383348668111</v>
      </c>
      <c r="CQ43" s="41">
        <f>CE43/'1. Väestöennuste'!R43*1000</f>
        <v>2780.9191687799516</v>
      </c>
      <c r="CR43" s="41"/>
      <c r="CU43" s="159">
        <f t="shared" si="21"/>
        <v>-14.485314043901781</v>
      </c>
      <c r="CV43" s="159">
        <f t="shared" si="22"/>
        <v>462.88941271572867</v>
      </c>
      <c r="CW43" s="159">
        <f t="shared" si="23"/>
        <v>114.62437499004045</v>
      </c>
      <c r="CX43" s="159">
        <f t="shared" si="24"/>
        <v>-1537.4802306012411</v>
      </c>
      <c r="CY43" s="159">
        <f t="shared" si="25"/>
        <v>-290.34170419391239</v>
      </c>
      <c r="CZ43" s="159">
        <f t="shared" si="26"/>
        <v>101.82400731962525</v>
      </c>
      <c r="DA43" s="159">
        <f t="shared" si="33"/>
        <v>88.007087938601671</v>
      </c>
      <c r="DB43" s="159">
        <f t="shared" si="34"/>
        <v>94.828860610585707</v>
      </c>
      <c r="DC43" s="159">
        <f t="shared" si="34"/>
        <v>99.535820111840621</v>
      </c>
    </row>
    <row r="44" spans="1:107" x14ac:dyDescent="0.2">
      <c r="A44" s="99">
        <v>7</v>
      </c>
      <c r="B44" s="30">
        <v>98</v>
      </c>
      <c r="C44" s="47" t="s">
        <v>357</v>
      </c>
      <c r="D44" s="64">
        <v>75704.320299999992</v>
      </c>
      <c r="E44" s="64">
        <v>4879.9949699999997</v>
      </c>
      <c r="F44" s="64">
        <v>3209.3580699999998</v>
      </c>
      <c r="G44" s="205">
        <v>90518</v>
      </c>
      <c r="H44" s="205"/>
      <c r="I44" s="64">
        <v>82861</v>
      </c>
      <c r="J44" s="64">
        <v>5376</v>
      </c>
      <c r="K44" s="64">
        <v>2753</v>
      </c>
      <c r="L44" s="205">
        <v>90990</v>
      </c>
      <c r="M44" s="205"/>
      <c r="N44" s="64">
        <v>83598</v>
      </c>
      <c r="O44" s="64">
        <v>5377</v>
      </c>
      <c r="P44" s="64">
        <v>3008</v>
      </c>
      <c r="Q44" s="205">
        <v>91983</v>
      </c>
      <c r="R44" s="205"/>
      <c r="S44" s="64">
        <v>81565</v>
      </c>
      <c r="T44" s="64">
        <v>5376</v>
      </c>
      <c r="U44" s="64">
        <v>2799</v>
      </c>
      <c r="V44" s="205">
        <v>89740</v>
      </c>
      <c r="W44" s="205"/>
      <c r="X44" s="64">
        <v>83879</v>
      </c>
      <c r="Y44" s="64">
        <v>5776</v>
      </c>
      <c r="Z44" s="64">
        <v>2949</v>
      </c>
      <c r="AA44" s="205">
        <f t="shared" si="27"/>
        <v>92604</v>
      </c>
      <c r="AB44" s="205"/>
      <c r="AC44" s="64">
        <v>89541</v>
      </c>
      <c r="AD44" s="64">
        <v>5284</v>
      </c>
      <c r="AE44" s="64">
        <v>3406</v>
      </c>
      <c r="AF44" s="205">
        <f t="shared" si="7"/>
        <v>98231</v>
      </c>
      <c r="AG44" s="205"/>
      <c r="AH44" s="278">
        <v>88832.68045</v>
      </c>
      <c r="AI44" s="64">
        <v>5757.7054500000004</v>
      </c>
      <c r="AJ44" s="64">
        <v>5109.5938399999995</v>
      </c>
      <c r="AK44" s="205">
        <f t="shared" si="28"/>
        <v>99699.979739999995</v>
      </c>
      <c r="AL44" s="205"/>
      <c r="AM44" s="64">
        <v>91985.325830000002</v>
      </c>
      <c r="AN44" s="64">
        <v>6083.6689500000002</v>
      </c>
      <c r="AO44" s="64">
        <v>5513.7155999999995</v>
      </c>
      <c r="AP44" s="205">
        <f t="shared" si="29"/>
        <v>103582.71038</v>
      </c>
      <c r="AQ44" s="205"/>
      <c r="AR44" s="64">
        <v>46408.436710000002</v>
      </c>
      <c r="AS44" s="64">
        <v>6168.0065100000002</v>
      </c>
      <c r="AT44" s="64">
        <v>3512.0096100000001</v>
      </c>
      <c r="AU44" s="205">
        <f t="shared" si="30"/>
        <v>56088.452830000002</v>
      </c>
      <c r="AV44" s="205"/>
      <c r="AW44" s="64">
        <v>42704.921127600399</v>
      </c>
      <c r="AX44" s="64">
        <v>6517.6138100592007</v>
      </c>
      <c r="AY44" s="64">
        <v>2505.9568460706996</v>
      </c>
      <c r="AZ44" s="205">
        <f t="shared" si="31"/>
        <v>51728.4917837303</v>
      </c>
      <c r="BA44" s="205"/>
      <c r="BB44" s="64">
        <v>44798.178905681481</v>
      </c>
      <c r="BC44" s="64">
        <v>6678.3384466919479</v>
      </c>
      <c r="BD44" s="64">
        <v>2536.0283282235478</v>
      </c>
      <c r="BE44" s="205">
        <f t="shared" si="8"/>
        <v>54012.545680596973</v>
      </c>
      <c r="BF44" s="205"/>
      <c r="BG44" s="64">
        <v>46479.556571492336</v>
      </c>
      <c r="BH44" s="64">
        <v>6896.9699793806903</v>
      </c>
      <c r="BI44" s="64">
        <v>2659.178207516165</v>
      </c>
      <c r="BJ44" s="205">
        <f t="shared" si="9"/>
        <v>56035.704758389191</v>
      </c>
      <c r="BK44" s="205"/>
      <c r="BL44" s="64">
        <v>47862.486119862144</v>
      </c>
      <c r="BM44" s="64">
        <v>7138.3559125720703</v>
      </c>
      <c r="BN44" s="64">
        <v>2818.1274703240779</v>
      </c>
      <c r="BO44" s="205">
        <f t="shared" si="10"/>
        <v>57818.969502758293</v>
      </c>
      <c r="BQ44" s="64">
        <v>49464.895199603256</v>
      </c>
      <c r="BR44" s="64">
        <v>7386.0484175401252</v>
      </c>
      <c r="BS44" s="64">
        <v>2916.933768826294</v>
      </c>
      <c r="BT44" s="205">
        <f t="shared" si="11"/>
        <v>59767.877385969674</v>
      </c>
      <c r="BU44" s="205"/>
      <c r="BV44" s="5">
        <f t="shared" si="12"/>
        <v>92604</v>
      </c>
      <c r="BW44" s="5">
        <f t="shared" si="13"/>
        <v>98231</v>
      </c>
      <c r="BX44" s="5">
        <f t="shared" si="14"/>
        <v>99699.979739999995</v>
      </c>
      <c r="BY44" s="5">
        <f t="shared" si="15"/>
        <v>103582.71038</v>
      </c>
      <c r="BZ44" s="5">
        <f t="shared" si="16"/>
        <v>56088.452830000002</v>
      </c>
      <c r="CA44" s="5">
        <f t="shared" si="17"/>
        <v>51728.4917837303</v>
      </c>
      <c r="CB44" s="5">
        <f t="shared" si="18"/>
        <v>54012.545680596973</v>
      </c>
      <c r="CC44" s="5">
        <f t="shared" si="19"/>
        <v>56035.704758389191</v>
      </c>
      <c r="CD44" s="5">
        <f t="shared" si="20"/>
        <v>57818.969502758293</v>
      </c>
      <c r="CE44" s="5">
        <f t="shared" si="32"/>
        <v>59767.877385969674</v>
      </c>
      <c r="CH44" s="41">
        <f>BV44/'1. Väestöennuste'!I44*1000</f>
        <v>3955.7454079453228</v>
      </c>
      <c r="CI44" s="41">
        <f>BW44/'1. Väestöennuste'!J44*1000</f>
        <v>4224.8075351597781</v>
      </c>
      <c r="CJ44" s="41">
        <f>BX44/'1. Väestöennuste'!K44*1000</f>
        <v>4317.8856535296663</v>
      </c>
      <c r="CK44" s="41">
        <f>BY44/'1. Väestöennuste'!L44*1000</f>
        <v>4514.7849182757273</v>
      </c>
      <c r="CL44" s="41">
        <f>BZ44/'1. Väestöennuste'!M44*1000</f>
        <v>2450.8827979025564</v>
      </c>
      <c r="CM44" s="41">
        <f>CA44/'1. Väestöennuste'!N44*1000</f>
        <v>2275.2800432694216</v>
      </c>
      <c r="CN44" s="41">
        <f>CB44/'1. Väestöennuste'!O44*1000</f>
        <v>2390.2529397971844</v>
      </c>
      <c r="CO44" s="41">
        <f>CC44/'1. Väestöennuste'!P44*1000</f>
        <v>2494.8000871906497</v>
      </c>
      <c r="CP44" s="41">
        <f>CD44/'1. Väestöennuste'!Q44*1000</f>
        <v>2588.9477232238523</v>
      </c>
      <c r="CQ44" s="41">
        <f>CE44/'1. Väestöennuste'!R44*1000</f>
        <v>2692.1254621850221</v>
      </c>
      <c r="CR44" s="41"/>
      <c r="CU44" s="159">
        <f t="shared" si="21"/>
        <v>269.06212721445536</v>
      </c>
      <c r="CV44" s="159">
        <f t="shared" si="22"/>
        <v>93.078118369888216</v>
      </c>
      <c r="CW44" s="159">
        <f t="shared" si="23"/>
        <v>196.89926474606091</v>
      </c>
      <c r="CX44" s="159">
        <f t="shared" si="24"/>
        <v>-2063.9021203731709</v>
      </c>
      <c r="CY44" s="159">
        <f t="shared" si="25"/>
        <v>-175.60275463313474</v>
      </c>
      <c r="CZ44" s="159">
        <f t="shared" si="26"/>
        <v>114.97289652776271</v>
      </c>
      <c r="DA44" s="159">
        <f t="shared" si="33"/>
        <v>104.54714739346537</v>
      </c>
      <c r="DB44" s="159">
        <f t="shared" si="34"/>
        <v>94.147636033202616</v>
      </c>
      <c r="DC44" s="159">
        <f t="shared" si="34"/>
        <v>103.17773896116978</v>
      </c>
    </row>
    <row r="45" spans="1:107" x14ac:dyDescent="0.2">
      <c r="A45" s="99">
        <v>4</v>
      </c>
      <c r="B45" s="30">
        <v>102</v>
      </c>
      <c r="C45" s="47" t="s">
        <v>359</v>
      </c>
      <c r="D45" s="64">
        <v>29158.625840000001</v>
      </c>
      <c r="E45" s="64">
        <v>2049.3577599999999</v>
      </c>
      <c r="F45" s="64">
        <v>1788.9526799999999</v>
      </c>
      <c r="G45" s="205">
        <v>32997</v>
      </c>
      <c r="H45" s="205"/>
      <c r="I45" s="64">
        <v>28813</v>
      </c>
      <c r="J45" s="64">
        <v>2078</v>
      </c>
      <c r="K45" s="64">
        <v>1696</v>
      </c>
      <c r="L45" s="205">
        <v>30310</v>
      </c>
      <c r="M45" s="205"/>
      <c r="N45" s="64">
        <v>29763</v>
      </c>
      <c r="O45" s="64">
        <v>2242</v>
      </c>
      <c r="P45" s="64">
        <v>1975</v>
      </c>
      <c r="Q45" s="205">
        <v>33980</v>
      </c>
      <c r="R45" s="205"/>
      <c r="S45" s="64">
        <v>28530</v>
      </c>
      <c r="T45" s="64">
        <v>2214</v>
      </c>
      <c r="U45" s="64">
        <v>1921</v>
      </c>
      <c r="V45" s="205">
        <v>32665</v>
      </c>
      <c r="W45" s="205"/>
      <c r="X45" s="64">
        <v>29044</v>
      </c>
      <c r="Y45" s="64">
        <v>2470</v>
      </c>
      <c r="Z45" s="64">
        <v>2108</v>
      </c>
      <c r="AA45" s="205">
        <f t="shared" si="27"/>
        <v>33622</v>
      </c>
      <c r="AB45" s="205"/>
      <c r="AC45" s="64">
        <v>31147</v>
      </c>
      <c r="AD45" s="64">
        <v>2614</v>
      </c>
      <c r="AE45" s="64">
        <v>2209</v>
      </c>
      <c r="AF45" s="205">
        <f t="shared" si="7"/>
        <v>35970</v>
      </c>
      <c r="AG45" s="205"/>
      <c r="AH45" s="278">
        <v>31410.08322</v>
      </c>
      <c r="AI45" s="64">
        <v>2831.0207500000001</v>
      </c>
      <c r="AJ45" s="64">
        <v>3364.4997000000003</v>
      </c>
      <c r="AK45" s="205">
        <f t="shared" si="28"/>
        <v>37605.603670000004</v>
      </c>
      <c r="AL45" s="205"/>
      <c r="AM45" s="64">
        <v>31177.857019999999</v>
      </c>
      <c r="AN45" s="64">
        <v>2901.5637999999999</v>
      </c>
      <c r="AO45" s="64">
        <v>3722.7407400000002</v>
      </c>
      <c r="AP45" s="205">
        <f t="shared" si="29"/>
        <v>37802.16156</v>
      </c>
      <c r="AQ45" s="205"/>
      <c r="AR45" s="64">
        <v>16093.7379</v>
      </c>
      <c r="AS45" s="64">
        <v>2825.0398399999999</v>
      </c>
      <c r="AT45" s="64">
        <v>2455.5802999999996</v>
      </c>
      <c r="AU45" s="205">
        <f t="shared" si="30"/>
        <v>21374.358039999999</v>
      </c>
      <c r="AV45" s="205"/>
      <c r="AW45" s="64">
        <v>16187.297967322387</v>
      </c>
      <c r="AX45" s="64">
        <v>2737.8776369491457</v>
      </c>
      <c r="AY45" s="64">
        <v>1888.61481522687</v>
      </c>
      <c r="AZ45" s="205">
        <f t="shared" si="31"/>
        <v>20813.7904194984</v>
      </c>
      <c r="BA45" s="205"/>
      <c r="BB45" s="64">
        <v>17179.012595923148</v>
      </c>
      <c r="BC45" s="64">
        <v>2707.0923582345213</v>
      </c>
      <c r="BD45" s="64">
        <v>1911.2781930095923</v>
      </c>
      <c r="BE45" s="205">
        <f t="shared" si="8"/>
        <v>21797.38314716726</v>
      </c>
      <c r="BF45" s="205"/>
      <c r="BG45" s="64">
        <v>17908.910499597048</v>
      </c>
      <c r="BH45" s="64">
        <v>2698.1474060524679</v>
      </c>
      <c r="BI45" s="64">
        <v>2004.0901210721702</v>
      </c>
      <c r="BJ45" s="205">
        <f t="shared" si="9"/>
        <v>22611.148026721687</v>
      </c>
      <c r="BK45" s="205"/>
      <c r="BL45" s="64">
        <v>18443.340711055575</v>
      </c>
      <c r="BM45" s="64">
        <v>2695.474217374368</v>
      </c>
      <c r="BN45" s="64">
        <v>2123.8822607808461</v>
      </c>
      <c r="BO45" s="205">
        <f t="shared" si="10"/>
        <v>23262.69718921079</v>
      </c>
      <c r="BQ45" s="64">
        <v>19076.873428004015</v>
      </c>
      <c r="BR45" s="64">
        <v>2692.33418799643</v>
      </c>
      <c r="BS45" s="64">
        <v>2198.3476449240766</v>
      </c>
      <c r="BT45" s="205">
        <f t="shared" si="11"/>
        <v>23967.555260924521</v>
      </c>
      <c r="BU45" s="205"/>
      <c r="BV45" s="5">
        <f t="shared" si="12"/>
        <v>33622</v>
      </c>
      <c r="BW45" s="5">
        <f t="shared" si="13"/>
        <v>35970</v>
      </c>
      <c r="BX45" s="5">
        <f t="shared" si="14"/>
        <v>37605.603670000004</v>
      </c>
      <c r="BY45" s="5">
        <f t="shared" si="15"/>
        <v>37802.16156</v>
      </c>
      <c r="BZ45" s="5">
        <f t="shared" si="16"/>
        <v>21374.358039999999</v>
      </c>
      <c r="CA45" s="5">
        <f t="shared" si="17"/>
        <v>20813.7904194984</v>
      </c>
      <c r="CB45" s="5">
        <f t="shared" si="18"/>
        <v>21797.38314716726</v>
      </c>
      <c r="CC45" s="5">
        <f t="shared" si="19"/>
        <v>22611.148026721687</v>
      </c>
      <c r="CD45" s="5">
        <f t="shared" si="20"/>
        <v>23262.69718921079</v>
      </c>
      <c r="CE45" s="5">
        <f t="shared" si="32"/>
        <v>23967.555260924521</v>
      </c>
      <c r="CH45" s="41">
        <f>BV45/'1. Väestöennuste'!I45*1000</f>
        <v>3347.4711270410194</v>
      </c>
      <c r="CI45" s="41">
        <f>BW45/'1. Väestöennuste'!J45*1000</f>
        <v>3619.8047700513234</v>
      </c>
      <c r="CJ45" s="41">
        <f>BX45/'1. Väestöennuste'!K45*1000</f>
        <v>3810.0915572441745</v>
      </c>
      <c r="CK45" s="41">
        <f>BY45/'1. Väestöennuste'!L45*1000</f>
        <v>3879.1340749102105</v>
      </c>
      <c r="CL45" s="41">
        <f>BZ45/'1. Väestöennuste'!M45*1000</f>
        <v>2215.8778809869373</v>
      </c>
      <c r="CM45" s="41">
        <f>CA45/'1. Väestöennuste'!N45*1000</f>
        <v>2183.341069914864</v>
      </c>
      <c r="CN45" s="41">
        <f>CB45/'1. Väestöennuste'!O45*1000</f>
        <v>2308.3112514208683</v>
      </c>
      <c r="CO45" s="41">
        <f>CC45/'1. Väestöennuste'!P45*1000</f>
        <v>2417.0120819584913</v>
      </c>
      <c r="CP45" s="41">
        <f>CD45/'1. Väestöennuste'!Q45*1000</f>
        <v>2508.6484621169839</v>
      </c>
      <c r="CQ45" s="41">
        <f>CE45/'1. Väestöennuste'!R45*1000</f>
        <v>2607.1527532823366</v>
      </c>
      <c r="CR45" s="41"/>
      <c r="CU45" s="159">
        <f t="shared" si="21"/>
        <v>272.33364301030406</v>
      </c>
      <c r="CV45" s="159">
        <f t="shared" si="22"/>
        <v>190.28678719285108</v>
      </c>
      <c r="CW45" s="159">
        <f t="shared" si="23"/>
        <v>69.042517666036019</v>
      </c>
      <c r="CX45" s="159">
        <f t="shared" si="24"/>
        <v>-1663.2561939232733</v>
      </c>
      <c r="CY45" s="159">
        <f t="shared" si="25"/>
        <v>-32.536811072073306</v>
      </c>
      <c r="CZ45" s="159">
        <f t="shared" si="26"/>
        <v>124.97018150600434</v>
      </c>
      <c r="DA45" s="159">
        <f t="shared" si="33"/>
        <v>108.70083053762301</v>
      </c>
      <c r="DB45" s="159">
        <f t="shared" si="34"/>
        <v>91.636380158492557</v>
      </c>
      <c r="DC45" s="159">
        <f t="shared" si="34"/>
        <v>98.504291165352697</v>
      </c>
    </row>
    <row r="46" spans="1:107" x14ac:dyDescent="0.2">
      <c r="A46" s="99">
        <v>5</v>
      </c>
      <c r="B46" s="30">
        <v>103</v>
      </c>
      <c r="C46" s="47" t="s">
        <v>360</v>
      </c>
      <c r="D46" s="64">
        <v>6759.1405100000002</v>
      </c>
      <c r="E46" s="64">
        <v>402.19045</v>
      </c>
      <c r="F46" s="64">
        <v>401.68301000000002</v>
      </c>
      <c r="G46" s="205">
        <v>7559</v>
      </c>
      <c r="H46" s="205"/>
      <c r="I46" s="64">
        <v>6543</v>
      </c>
      <c r="J46" s="64">
        <v>511</v>
      </c>
      <c r="K46" s="64">
        <v>388</v>
      </c>
      <c r="L46" s="205">
        <v>7442</v>
      </c>
      <c r="M46" s="205"/>
      <c r="N46" s="64">
        <v>6683</v>
      </c>
      <c r="O46" s="64">
        <v>501</v>
      </c>
      <c r="P46" s="64">
        <v>468</v>
      </c>
      <c r="Q46" s="205">
        <v>7652</v>
      </c>
      <c r="R46" s="205"/>
      <c r="S46" s="64">
        <v>6326</v>
      </c>
      <c r="T46" s="64">
        <v>547</v>
      </c>
      <c r="U46" s="64">
        <v>379</v>
      </c>
      <c r="V46" s="205">
        <v>7252</v>
      </c>
      <c r="W46" s="205"/>
      <c r="X46" s="64">
        <v>6757</v>
      </c>
      <c r="Y46" s="64">
        <v>602</v>
      </c>
      <c r="Z46" s="64">
        <v>409</v>
      </c>
      <c r="AA46" s="205">
        <f t="shared" si="27"/>
        <v>7768</v>
      </c>
      <c r="AB46" s="205"/>
      <c r="AC46" s="64">
        <v>6564</v>
      </c>
      <c r="AD46" s="64">
        <v>561</v>
      </c>
      <c r="AE46" s="64">
        <v>458</v>
      </c>
      <c r="AF46" s="205">
        <f t="shared" si="7"/>
        <v>7583</v>
      </c>
      <c r="AG46" s="205"/>
      <c r="AH46" s="278">
        <v>7025.6555099999996</v>
      </c>
      <c r="AI46" s="64">
        <v>511.41406000000001</v>
      </c>
      <c r="AJ46" s="64">
        <v>641.32505000000003</v>
      </c>
      <c r="AK46" s="205">
        <f t="shared" si="28"/>
        <v>8178.39462</v>
      </c>
      <c r="AL46" s="205"/>
      <c r="AM46" s="64">
        <v>6908.5585300000002</v>
      </c>
      <c r="AN46" s="64">
        <v>601.98933999999997</v>
      </c>
      <c r="AO46" s="64">
        <v>657.57611999999995</v>
      </c>
      <c r="AP46" s="205">
        <f t="shared" si="29"/>
        <v>8168.12399</v>
      </c>
      <c r="AQ46" s="205"/>
      <c r="AR46" s="64">
        <v>3603.8335099999999</v>
      </c>
      <c r="AS46" s="64">
        <v>723.0479499999999</v>
      </c>
      <c r="AT46" s="64">
        <v>416.00859000000003</v>
      </c>
      <c r="AU46" s="205">
        <f t="shared" si="30"/>
        <v>4742.89005</v>
      </c>
      <c r="AV46" s="205"/>
      <c r="AW46" s="64">
        <v>3471.1643675952914</v>
      </c>
      <c r="AX46" s="64">
        <v>734.3786920002857</v>
      </c>
      <c r="AY46" s="64">
        <v>306.92803143243498</v>
      </c>
      <c r="AZ46" s="205">
        <f t="shared" si="31"/>
        <v>4512.4710910280119</v>
      </c>
      <c r="BA46" s="205"/>
      <c r="BB46" s="64">
        <v>3678.0312893069931</v>
      </c>
      <c r="BC46" s="64">
        <v>738.19178313064742</v>
      </c>
      <c r="BD46" s="64">
        <v>310.61116780962413</v>
      </c>
      <c r="BE46" s="205">
        <f t="shared" si="8"/>
        <v>4726.8342402472645</v>
      </c>
      <c r="BF46" s="205"/>
      <c r="BG46" s="64">
        <v>3816.6355935908473</v>
      </c>
      <c r="BH46" s="64">
        <v>747.64300532110769</v>
      </c>
      <c r="BI46" s="64">
        <v>325.6944882114467</v>
      </c>
      <c r="BJ46" s="205">
        <f t="shared" si="9"/>
        <v>4889.9730871234015</v>
      </c>
      <c r="BK46" s="205"/>
      <c r="BL46" s="64">
        <v>3915.6604557423825</v>
      </c>
      <c r="BM46" s="64">
        <v>758.63210332274753</v>
      </c>
      <c r="BN46" s="64">
        <v>345.16249477658971</v>
      </c>
      <c r="BO46" s="205">
        <f t="shared" si="10"/>
        <v>5019.4550538417197</v>
      </c>
      <c r="BQ46" s="64">
        <v>4037.3655506719979</v>
      </c>
      <c r="BR46" s="64">
        <v>769.30781460650053</v>
      </c>
      <c r="BS46" s="64">
        <v>357.2642285873543</v>
      </c>
      <c r="BT46" s="205">
        <f t="shared" si="11"/>
        <v>5163.9375938658532</v>
      </c>
      <c r="BU46" s="205"/>
      <c r="BV46" s="5">
        <f t="shared" si="12"/>
        <v>7768</v>
      </c>
      <c r="BW46" s="5">
        <f t="shared" si="13"/>
        <v>7583</v>
      </c>
      <c r="BX46" s="5">
        <f t="shared" si="14"/>
        <v>8178.39462</v>
      </c>
      <c r="BY46" s="5">
        <f t="shared" si="15"/>
        <v>8168.12399</v>
      </c>
      <c r="BZ46" s="5">
        <f t="shared" si="16"/>
        <v>4742.89005</v>
      </c>
      <c r="CA46" s="5">
        <f t="shared" si="17"/>
        <v>4512.4710910280119</v>
      </c>
      <c r="CB46" s="5">
        <f t="shared" si="18"/>
        <v>4726.8342402472645</v>
      </c>
      <c r="CC46" s="5">
        <f t="shared" si="19"/>
        <v>4889.9730871234015</v>
      </c>
      <c r="CD46" s="5">
        <f t="shared" si="20"/>
        <v>5019.4550538417197</v>
      </c>
      <c r="CE46" s="5">
        <f t="shared" si="32"/>
        <v>5163.9375938658532</v>
      </c>
      <c r="CH46" s="41">
        <f>BV46/'1. Väestöennuste'!I46*1000</f>
        <v>3556.7765567765564</v>
      </c>
      <c r="CI46" s="41">
        <f>BW46/'1. Väestöennuste'!J46*1000</f>
        <v>3488.0404783808649</v>
      </c>
      <c r="CJ46" s="41">
        <f>BX46/'1. Väestöennuste'!K46*1000</f>
        <v>3775.8054570637119</v>
      </c>
      <c r="CK46" s="41">
        <f>BY46/'1. Väestöennuste'!L46*1000</f>
        <v>3779.7889819527995</v>
      </c>
      <c r="CL46" s="41">
        <f>BZ46/'1. Väestöennuste'!M46*1000</f>
        <v>2231.9482588235292</v>
      </c>
      <c r="CM46" s="41">
        <f>CA46/'1. Väestöennuste'!N46*1000</f>
        <v>2165.2932298598903</v>
      </c>
      <c r="CN46" s="41">
        <f>CB46/'1. Väestöennuste'!O46*1000</f>
        <v>2290.1328683368529</v>
      </c>
      <c r="CO46" s="41">
        <f>CC46/'1. Väestöennuste'!P46*1000</f>
        <v>2394.6978879154758</v>
      </c>
      <c r="CP46" s="41">
        <f>CD46/'1. Väestöennuste'!Q46*1000</f>
        <v>2483.6492102136172</v>
      </c>
      <c r="CQ46" s="41">
        <f>CE46/'1. Väestöennuste'!R46*1000</f>
        <v>2578.1016444662273</v>
      </c>
      <c r="CR46" s="41"/>
      <c r="CU46" s="159">
        <f t="shared" si="21"/>
        <v>-68.736078395691493</v>
      </c>
      <c r="CV46" s="159">
        <f t="shared" si="22"/>
        <v>287.76497868284696</v>
      </c>
      <c r="CW46" s="159">
        <f t="shared" si="23"/>
        <v>3.9835248890876755</v>
      </c>
      <c r="CX46" s="159">
        <f t="shared" si="24"/>
        <v>-1547.8407231292704</v>
      </c>
      <c r="CY46" s="159">
        <f t="shared" si="25"/>
        <v>-66.65502896363887</v>
      </c>
      <c r="CZ46" s="159">
        <f t="shared" si="26"/>
        <v>124.83963847696259</v>
      </c>
      <c r="DA46" s="159">
        <f t="shared" si="33"/>
        <v>104.56501957862292</v>
      </c>
      <c r="DB46" s="159">
        <f t="shared" si="34"/>
        <v>88.951322298141349</v>
      </c>
      <c r="DC46" s="159">
        <f t="shared" si="34"/>
        <v>94.452434252610146</v>
      </c>
    </row>
    <row r="47" spans="1:107" x14ac:dyDescent="0.2">
      <c r="A47" s="99">
        <v>18</v>
      </c>
      <c r="B47" s="30">
        <v>105</v>
      </c>
      <c r="C47" s="47" t="s">
        <v>361</v>
      </c>
      <c r="D47" s="64">
        <v>6712.2058499999994</v>
      </c>
      <c r="E47" s="64">
        <v>804.33172000000002</v>
      </c>
      <c r="F47" s="64">
        <v>762.57266000000004</v>
      </c>
      <c r="G47" s="205">
        <v>8278</v>
      </c>
      <c r="H47" s="205"/>
      <c r="I47" s="64">
        <v>6069</v>
      </c>
      <c r="J47" s="64">
        <v>827</v>
      </c>
      <c r="K47" s="64">
        <v>703</v>
      </c>
      <c r="L47" s="205">
        <v>7599</v>
      </c>
      <c r="M47" s="205"/>
      <c r="N47" s="64">
        <v>6247</v>
      </c>
      <c r="O47" s="64">
        <v>851</v>
      </c>
      <c r="P47" s="64">
        <v>801</v>
      </c>
      <c r="Q47" s="205">
        <v>7899</v>
      </c>
      <c r="R47" s="205"/>
      <c r="S47" s="64">
        <v>5826</v>
      </c>
      <c r="T47" s="64">
        <v>1190</v>
      </c>
      <c r="U47" s="64">
        <v>701</v>
      </c>
      <c r="V47" s="205">
        <v>7717</v>
      </c>
      <c r="W47" s="205"/>
      <c r="X47" s="64">
        <v>6197</v>
      </c>
      <c r="Y47" s="64">
        <v>1176</v>
      </c>
      <c r="Z47" s="64">
        <v>772</v>
      </c>
      <c r="AA47" s="205">
        <f t="shared" si="27"/>
        <v>8145</v>
      </c>
      <c r="AB47" s="205"/>
      <c r="AC47" s="64">
        <v>6147</v>
      </c>
      <c r="AD47" s="64">
        <v>1059</v>
      </c>
      <c r="AE47" s="64">
        <v>845</v>
      </c>
      <c r="AF47" s="205">
        <f t="shared" si="7"/>
        <v>8051</v>
      </c>
      <c r="AG47" s="205"/>
      <c r="AH47" s="278">
        <v>6187.4389299999993</v>
      </c>
      <c r="AI47" s="64">
        <v>1162.7605600000002</v>
      </c>
      <c r="AJ47" s="64">
        <v>1257.6093700000001</v>
      </c>
      <c r="AK47" s="205">
        <f t="shared" si="28"/>
        <v>8607.8088599999992</v>
      </c>
      <c r="AL47" s="205"/>
      <c r="AM47" s="64">
        <v>6354.2674900000002</v>
      </c>
      <c r="AN47" s="64">
        <v>1202.6497400000001</v>
      </c>
      <c r="AO47" s="64">
        <v>1245.1237100000001</v>
      </c>
      <c r="AP47" s="205">
        <f t="shared" si="29"/>
        <v>8802.0409400000008</v>
      </c>
      <c r="AQ47" s="205"/>
      <c r="AR47" s="64">
        <v>3037.3978900000002</v>
      </c>
      <c r="AS47" s="64">
        <v>1291.9217800000001</v>
      </c>
      <c r="AT47" s="64">
        <v>702.19534999999996</v>
      </c>
      <c r="AU47" s="205">
        <f t="shared" si="30"/>
        <v>5031.5150200000007</v>
      </c>
      <c r="AV47" s="205"/>
      <c r="AW47" s="64">
        <v>2930.0318511177475</v>
      </c>
      <c r="AX47" s="64">
        <v>1736.5523362205122</v>
      </c>
      <c r="AY47" s="64">
        <v>554.28023578513614</v>
      </c>
      <c r="AZ47" s="205">
        <f t="shared" si="31"/>
        <v>5220.8644231233957</v>
      </c>
      <c r="BA47" s="205"/>
      <c r="BB47" s="64">
        <v>3019.2978322638833</v>
      </c>
      <c r="BC47" s="64">
        <v>1745.2702307350824</v>
      </c>
      <c r="BD47" s="64">
        <v>560.93159861455774</v>
      </c>
      <c r="BE47" s="205">
        <f t="shared" si="8"/>
        <v>5325.4996616135231</v>
      </c>
      <c r="BF47" s="205"/>
      <c r="BG47" s="64">
        <v>3079.6046220591275</v>
      </c>
      <c r="BH47" s="64">
        <v>1767.4362402280592</v>
      </c>
      <c r="BI47" s="64">
        <v>588.17051305885593</v>
      </c>
      <c r="BJ47" s="205">
        <f t="shared" si="9"/>
        <v>5435.2113753460426</v>
      </c>
      <c r="BK47" s="205"/>
      <c r="BL47" s="64">
        <v>3124.4414064073285</v>
      </c>
      <c r="BM47" s="64">
        <v>1793.3613344491962</v>
      </c>
      <c r="BN47" s="64">
        <v>623.32771658579884</v>
      </c>
      <c r="BO47" s="205">
        <f t="shared" si="10"/>
        <v>5541.1304574423239</v>
      </c>
      <c r="BQ47" s="64">
        <v>3186.881261230269</v>
      </c>
      <c r="BR47" s="64">
        <v>1818.6775041478925</v>
      </c>
      <c r="BS47" s="64">
        <v>645.18219445389843</v>
      </c>
      <c r="BT47" s="205">
        <f t="shared" si="11"/>
        <v>5650.7409598320601</v>
      </c>
      <c r="BU47" s="205"/>
      <c r="BV47" s="5">
        <f t="shared" si="12"/>
        <v>8145</v>
      </c>
      <c r="BW47" s="5">
        <f t="shared" si="13"/>
        <v>8051</v>
      </c>
      <c r="BX47" s="5">
        <f t="shared" si="14"/>
        <v>8607.8088599999992</v>
      </c>
      <c r="BY47" s="5">
        <f t="shared" si="15"/>
        <v>8802.0409400000008</v>
      </c>
      <c r="BZ47" s="5">
        <f t="shared" si="16"/>
        <v>5031.5150200000007</v>
      </c>
      <c r="CA47" s="5">
        <f t="shared" si="17"/>
        <v>5220.8644231233957</v>
      </c>
      <c r="CB47" s="5">
        <f t="shared" si="18"/>
        <v>5325.4996616135231</v>
      </c>
      <c r="CC47" s="5">
        <f t="shared" si="19"/>
        <v>5435.2113753460426</v>
      </c>
      <c r="CD47" s="5">
        <f t="shared" si="20"/>
        <v>5541.1304574423239</v>
      </c>
      <c r="CE47" s="5">
        <f t="shared" si="32"/>
        <v>5650.7409598320601</v>
      </c>
      <c r="CH47" s="41">
        <f>BV47/'1. Väestöennuste'!I47*1000</f>
        <v>3586.5257595772787</v>
      </c>
      <c r="CI47" s="41">
        <f>BW47/'1. Väestöennuste'!J47*1000</f>
        <v>3661.2096407457939</v>
      </c>
      <c r="CJ47" s="41">
        <f>BX47/'1. Väestöennuste'!K47*1000</f>
        <v>4024.2210659186535</v>
      </c>
      <c r="CK47" s="41">
        <f>BY47/'1. Väestöennuste'!L47*1000</f>
        <v>4203.4579465138495</v>
      </c>
      <c r="CL47" s="41">
        <f>BZ47/'1. Väestöennuste'!M47*1000</f>
        <v>2438.9311778962683</v>
      </c>
      <c r="CM47" s="41">
        <f>CA47/'1. Väestöennuste'!N47*1000</f>
        <v>2556.7406577489696</v>
      </c>
      <c r="CN47" s="41">
        <f>CB47/'1. Väestöennuste'!O47*1000</f>
        <v>2650.8211356961292</v>
      </c>
      <c r="CO47" s="41">
        <f>CC47/'1. Väestöennuste'!P47*1000</f>
        <v>2750.6130442034628</v>
      </c>
      <c r="CP47" s="41">
        <f>CD47/'1. Väestöennuste'!Q47*1000</f>
        <v>2848.910260895796</v>
      </c>
      <c r="CQ47" s="41">
        <f>CE47/'1. Väestöennuste'!R47*1000</f>
        <v>2949.2384967808248</v>
      </c>
      <c r="CR47" s="41"/>
      <c r="CU47" s="159">
        <f t="shared" si="21"/>
        <v>74.6838811685152</v>
      </c>
      <c r="CV47" s="159">
        <f t="shared" si="22"/>
        <v>363.01142517285962</v>
      </c>
      <c r="CW47" s="159">
        <f t="shared" si="23"/>
        <v>179.236880595196</v>
      </c>
      <c r="CX47" s="159">
        <f t="shared" si="24"/>
        <v>-1764.5267686175812</v>
      </c>
      <c r="CY47" s="159">
        <f t="shared" si="25"/>
        <v>117.80947985270132</v>
      </c>
      <c r="CZ47" s="159">
        <f t="shared" si="26"/>
        <v>94.080477947159579</v>
      </c>
      <c r="DA47" s="159">
        <f t="shared" si="33"/>
        <v>99.791908507333574</v>
      </c>
      <c r="DB47" s="159">
        <f t="shared" si="34"/>
        <v>98.297216692333222</v>
      </c>
      <c r="DC47" s="159">
        <f t="shared" si="34"/>
        <v>100.32823588502879</v>
      </c>
    </row>
    <row r="48" spans="1:107" x14ac:dyDescent="0.2">
      <c r="A48" s="99">
        <v>1</v>
      </c>
      <c r="B48" s="30">
        <v>106</v>
      </c>
      <c r="C48" s="47" t="s">
        <v>362</v>
      </c>
      <c r="D48" s="64">
        <v>168101.30994000001</v>
      </c>
      <c r="E48" s="64">
        <v>13148.736650000001</v>
      </c>
      <c r="F48" s="64">
        <v>14261.838119999999</v>
      </c>
      <c r="G48" s="205">
        <v>195453</v>
      </c>
      <c r="H48" s="205"/>
      <c r="I48" s="64">
        <v>173918</v>
      </c>
      <c r="J48" s="64">
        <v>13417</v>
      </c>
      <c r="K48" s="64">
        <v>11167</v>
      </c>
      <c r="L48" s="205">
        <v>198502</v>
      </c>
      <c r="M48" s="205"/>
      <c r="N48" s="64">
        <v>173516</v>
      </c>
      <c r="O48" s="64">
        <v>13356</v>
      </c>
      <c r="P48" s="64">
        <v>11471</v>
      </c>
      <c r="Q48" s="205">
        <v>198343</v>
      </c>
      <c r="R48" s="205"/>
      <c r="S48" s="64">
        <v>174257</v>
      </c>
      <c r="T48" s="64">
        <v>11764</v>
      </c>
      <c r="U48" s="64">
        <v>13476</v>
      </c>
      <c r="V48" s="205">
        <v>199497</v>
      </c>
      <c r="W48" s="205"/>
      <c r="X48" s="64">
        <v>171907</v>
      </c>
      <c r="Y48" s="64">
        <v>13018</v>
      </c>
      <c r="Z48" s="64">
        <v>14104</v>
      </c>
      <c r="AA48" s="205">
        <f t="shared" si="27"/>
        <v>199029</v>
      </c>
      <c r="AB48" s="205"/>
      <c r="AC48" s="64">
        <v>183623</v>
      </c>
      <c r="AD48" s="64">
        <v>12519</v>
      </c>
      <c r="AE48" s="64">
        <v>14846</v>
      </c>
      <c r="AF48" s="205">
        <f t="shared" si="7"/>
        <v>210988</v>
      </c>
      <c r="AG48" s="205"/>
      <c r="AH48" s="278">
        <v>193250.79859999998</v>
      </c>
      <c r="AI48" s="64">
        <v>13707.05949</v>
      </c>
      <c r="AJ48" s="64">
        <v>21114.713520000001</v>
      </c>
      <c r="AK48" s="205">
        <f t="shared" si="28"/>
        <v>228072.57160999998</v>
      </c>
      <c r="AL48" s="205"/>
      <c r="AM48" s="64">
        <v>202344.96719999998</v>
      </c>
      <c r="AN48" s="64">
        <v>14965.76647</v>
      </c>
      <c r="AO48" s="64">
        <v>23542.44238</v>
      </c>
      <c r="AP48" s="205">
        <f t="shared" si="29"/>
        <v>240853.17604999998</v>
      </c>
      <c r="AQ48" s="205"/>
      <c r="AR48" s="64">
        <v>95505.564239999992</v>
      </c>
      <c r="AS48" s="64">
        <v>14562.026199999998</v>
      </c>
      <c r="AT48" s="64">
        <v>14506.77246</v>
      </c>
      <c r="AU48" s="205">
        <f t="shared" si="30"/>
        <v>124574.36289999998</v>
      </c>
      <c r="AV48" s="205"/>
      <c r="AW48" s="64">
        <v>89540.297957500545</v>
      </c>
      <c r="AX48" s="64">
        <v>16980.453184269005</v>
      </c>
      <c r="AY48" s="64">
        <v>9082.1967518713627</v>
      </c>
      <c r="AZ48" s="205">
        <f t="shared" si="31"/>
        <v>115602.94789364091</v>
      </c>
      <c r="BA48" s="205"/>
      <c r="BB48" s="64">
        <v>94816.486183064815</v>
      </c>
      <c r="BC48" s="64">
        <v>17316.134649340031</v>
      </c>
      <c r="BD48" s="64">
        <v>9191.1831128938193</v>
      </c>
      <c r="BE48" s="205">
        <f t="shared" si="8"/>
        <v>121323.80394529867</v>
      </c>
      <c r="BF48" s="205"/>
      <c r="BG48" s="64">
        <v>99179.534358879377</v>
      </c>
      <c r="BH48" s="64">
        <v>17793.805682054826</v>
      </c>
      <c r="BI48" s="64">
        <v>9637.5082104143567</v>
      </c>
      <c r="BJ48" s="205">
        <f t="shared" si="9"/>
        <v>126610.84825134855</v>
      </c>
      <c r="BK48" s="205"/>
      <c r="BL48" s="64">
        <v>103094.36589392989</v>
      </c>
      <c r="BM48" s="64">
        <v>18320.567785595642</v>
      </c>
      <c r="BN48" s="64">
        <v>10213.578975818768</v>
      </c>
      <c r="BO48" s="205">
        <f t="shared" si="10"/>
        <v>131628.5126553443</v>
      </c>
      <c r="BQ48" s="64">
        <v>107444.85311301294</v>
      </c>
      <c r="BR48" s="64">
        <v>18853.038322611526</v>
      </c>
      <c r="BS48" s="64">
        <v>10571.677019178267</v>
      </c>
      <c r="BT48" s="205">
        <f t="shared" si="11"/>
        <v>136869.56845480273</v>
      </c>
      <c r="BU48" s="205"/>
      <c r="BV48" s="5">
        <f t="shared" si="12"/>
        <v>199029</v>
      </c>
      <c r="BW48" s="5">
        <f t="shared" si="13"/>
        <v>210988</v>
      </c>
      <c r="BX48" s="5">
        <f t="shared" si="14"/>
        <v>228072.57160999998</v>
      </c>
      <c r="BY48" s="5">
        <f t="shared" si="15"/>
        <v>240853.17604999998</v>
      </c>
      <c r="BZ48" s="5">
        <f t="shared" si="16"/>
        <v>124574.36289999998</v>
      </c>
      <c r="CA48" s="5">
        <f t="shared" si="17"/>
        <v>115602.94789364091</v>
      </c>
      <c r="CB48" s="5">
        <f t="shared" si="18"/>
        <v>121323.80394529867</v>
      </c>
      <c r="CC48" s="5">
        <f t="shared" si="19"/>
        <v>126610.84825134855</v>
      </c>
      <c r="CD48" s="5">
        <f t="shared" si="20"/>
        <v>131628.5126553443</v>
      </c>
      <c r="CE48" s="5">
        <f t="shared" si="32"/>
        <v>136869.56845480273</v>
      </c>
      <c r="CH48" s="41">
        <f>BV48/'1. Väestöennuste'!I48*1000</f>
        <v>4282.9567462879277</v>
      </c>
      <c r="CI48" s="41">
        <f>BW48/'1. Väestöennuste'!J48*1000</f>
        <v>4529.9725180350397</v>
      </c>
      <c r="CJ48" s="41">
        <f>BX48/'1. Väestöennuste'!K48*1000</f>
        <v>4865.0292578924909</v>
      </c>
      <c r="CK48" s="41">
        <f>BY48/'1. Väestöennuste'!L48*1000</f>
        <v>5146.765306536744</v>
      </c>
      <c r="CL48" s="41">
        <f>BZ48/'1. Väestöennuste'!M48*1000</f>
        <v>2656.1131511055196</v>
      </c>
      <c r="CM48" s="41">
        <f>CA48/'1. Väestöennuste'!N48*1000</f>
        <v>2464.8816182012988</v>
      </c>
      <c r="CN48" s="41">
        <f>CB48/'1. Väestöennuste'!O48*1000</f>
        <v>2582.2915510993053</v>
      </c>
      <c r="CO48" s="41">
        <f>CC48/'1. Väestöennuste'!P48*1000</f>
        <v>2689.9559839242911</v>
      </c>
      <c r="CP48" s="41">
        <f>CD48/'1. Väestöennuste'!Q48*1000</f>
        <v>2791.6377734373459</v>
      </c>
      <c r="CQ48" s="41">
        <f>CE48/'1. Väestöennuste'!R48*1000</f>
        <v>2897.5689824456504</v>
      </c>
      <c r="CR48" s="41"/>
      <c r="CU48" s="159">
        <f t="shared" si="21"/>
        <v>247.01577174711201</v>
      </c>
      <c r="CV48" s="159">
        <f t="shared" si="22"/>
        <v>335.05673985745125</v>
      </c>
      <c r="CW48" s="159">
        <f t="shared" si="23"/>
        <v>281.73604864425306</v>
      </c>
      <c r="CX48" s="159">
        <f t="shared" si="24"/>
        <v>-2490.6521554312244</v>
      </c>
      <c r="CY48" s="159">
        <f t="shared" si="25"/>
        <v>-191.23153290422078</v>
      </c>
      <c r="CZ48" s="159">
        <f t="shared" si="26"/>
        <v>117.40993289800645</v>
      </c>
      <c r="DA48" s="159">
        <f t="shared" si="33"/>
        <v>107.66443282498585</v>
      </c>
      <c r="DB48" s="159">
        <f t="shared" si="34"/>
        <v>101.68178951305481</v>
      </c>
      <c r="DC48" s="159">
        <f t="shared" si="34"/>
        <v>105.93120900830445</v>
      </c>
    </row>
    <row r="49" spans="1:107" x14ac:dyDescent="0.2">
      <c r="A49" s="99">
        <v>6</v>
      </c>
      <c r="B49" s="30">
        <v>108</v>
      </c>
      <c r="C49" s="47" t="s">
        <v>363</v>
      </c>
      <c r="D49" s="64">
        <v>32317.425769999998</v>
      </c>
      <c r="E49" s="64">
        <v>2250.59384</v>
      </c>
      <c r="F49" s="64">
        <v>1207.93805</v>
      </c>
      <c r="G49" s="205">
        <v>35767</v>
      </c>
      <c r="H49" s="205"/>
      <c r="I49" s="64">
        <v>32559</v>
      </c>
      <c r="J49" s="64">
        <v>2302</v>
      </c>
      <c r="K49" s="64">
        <v>1264</v>
      </c>
      <c r="L49" s="205">
        <v>36125</v>
      </c>
      <c r="M49" s="205"/>
      <c r="N49" s="64">
        <v>34472</v>
      </c>
      <c r="O49" s="64">
        <v>2131</v>
      </c>
      <c r="P49" s="64">
        <v>1636</v>
      </c>
      <c r="Q49" s="205">
        <v>38239</v>
      </c>
      <c r="R49" s="205"/>
      <c r="S49" s="64">
        <v>33656</v>
      </c>
      <c r="T49" s="64">
        <v>2107</v>
      </c>
      <c r="U49" s="64">
        <v>1656</v>
      </c>
      <c r="V49" s="205">
        <v>37419</v>
      </c>
      <c r="W49" s="205"/>
      <c r="X49" s="64">
        <v>33825</v>
      </c>
      <c r="Y49" s="64">
        <v>2144</v>
      </c>
      <c r="Z49" s="64">
        <v>1901</v>
      </c>
      <c r="AA49" s="205">
        <f t="shared" si="27"/>
        <v>37870</v>
      </c>
      <c r="AB49" s="205"/>
      <c r="AC49" s="64">
        <v>35286</v>
      </c>
      <c r="AD49" s="64">
        <v>1947</v>
      </c>
      <c r="AE49" s="64">
        <v>1779</v>
      </c>
      <c r="AF49" s="205">
        <f t="shared" si="7"/>
        <v>39012</v>
      </c>
      <c r="AG49" s="205"/>
      <c r="AH49" s="278">
        <v>36098.77622</v>
      </c>
      <c r="AI49" s="64">
        <v>2170.5468300000002</v>
      </c>
      <c r="AJ49" s="64">
        <v>2534.1273700000002</v>
      </c>
      <c r="AK49" s="205">
        <f t="shared" si="28"/>
        <v>40803.450420000001</v>
      </c>
      <c r="AL49" s="205"/>
      <c r="AM49" s="64">
        <v>38336.026279999998</v>
      </c>
      <c r="AN49" s="64">
        <v>2309.4678100000001</v>
      </c>
      <c r="AO49" s="64">
        <v>3194.1154200000001</v>
      </c>
      <c r="AP49" s="205">
        <f t="shared" si="29"/>
        <v>43839.609510000002</v>
      </c>
      <c r="AQ49" s="205"/>
      <c r="AR49" s="64">
        <v>19412.017159999999</v>
      </c>
      <c r="AS49" s="64">
        <v>2386.2895099999996</v>
      </c>
      <c r="AT49" s="64">
        <v>2322.7038600000001</v>
      </c>
      <c r="AU49" s="205">
        <f t="shared" si="30"/>
        <v>24121.01053</v>
      </c>
      <c r="AV49" s="205"/>
      <c r="AW49" s="64">
        <v>19145.996375590792</v>
      </c>
      <c r="AX49" s="64">
        <v>2668.9239471239193</v>
      </c>
      <c r="AY49" s="64">
        <v>1401.9998074696432</v>
      </c>
      <c r="AZ49" s="205">
        <f t="shared" si="31"/>
        <v>23216.920130184357</v>
      </c>
      <c r="BA49" s="205"/>
      <c r="BB49" s="64">
        <v>20043.170863358104</v>
      </c>
      <c r="BC49" s="64">
        <v>2762.7450085639903</v>
      </c>
      <c r="BD49" s="64">
        <v>1418.8238051592789</v>
      </c>
      <c r="BE49" s="205">
        <f t="shared" si="8"/>
        <v>24224.739677081372</v>
      </c>
      <c r="BF49" s="205"/>
      <c r="BG49" s="64">
        <v>20936.352504187224</v>
      </c>
      <c r="BH49" s="64">
        <v>2882.6090659773527</v>
      </c>
      <c r="BI49" s="64">
        <v>1487.7220814120728</v>
      </c>
      <c r="BJ49" s="205">
        <f t="shared" si="9"/>
        <v>25306.683651576648</v>
      </c>
      <c r="BK49" s="205"/>
      <c r="BL49" s="64">
        <v>21700.492231103377</v>
      </c>
      <c r="BM49" s="64">
        <v>3014.4229998439441</v>
      </c>
      <c r="BN49" s="64">
        <v>1576.6489263430044</v>
      </c>
      <c r="BO49" s="205">
        <f t="shared" si="10"/>
        <v>26291.564157290326</v>
      </c>
      <c r="BQ49" s="64">
        <v>22559.584577397029</v>
      </c>
      <c r="BR49" s="64">
        <v>3151.4720428541164</v>
      </c>
      <c r="BS49" s="64">
        <v>1631.9277758946648</v>
      </c>
      <c r="BT49" s="205">
        <f t="shared" si="11"/>
        <v>27342.98439614581</v>
      </c>
      <c r="BU49" s="205"/>
      <c r="BV49" s="5">
        <f t="shared" si="12"/>
        <v>37870</v>
      </c>
      <c r="BW49" s="5">
        <f t="shared" si="13"/>
        <v>39012</v>
      </c>
      <c r="BX49" s="5">
        <f t="shared" si="14"/>
        <v>40803.450420000001</v>
      </c>
      <c r="BY49" s="5">
        <f t="shared" si="15"/>
        <v>43839.609510000002</v>
      </c>
      <c r="BZ49" s="5">
        <f t="shared" si="16"/>
        <v>24121.01053</v>
      </c>
      <c r="CA49" s="5">
        <f t="shared" si="17"/>
        <v>23216.920130184357</v>
      </c>
      <c r="CB49" s="5">
        <f t="shared" si="18"/>
        <v>24224.739677081372</v>
      </c>
      <c r="CC49" s="5">
        <f t="shared" si="19"/>
        <v>25306.683651576648</v>
      </c>
      <c r="CD49" s="5">
        <f t="shared" si="20"/>
        <v>26291.564157290326</v>
      </c>
      <c r="CE49" s="5">
        <f t="shared" si="32"/>
        <v>27342.98439614581</v>
      </c>
      <c r="CH49" s="41">
        <f>BV49/'1. Väestöennuste'!I49*1000</f>
        <v>3639.9461745482508</v>
      </c>
      <c r="CI49" s="41">
        <f>BW49/'1. Väestöennuste'!J49*1000</f>
        <v>3771.4617169373546</v>
      </c>
      <c r="CJ49" s="41">
        <f>BX49/'1. Väestöennuste'!K49*1000</f>
        <v>3947.3203463287223</v>
      </c>
      <c r="CK49" s="41">
        <f>BY49/'1. Väestöennuste'!L49*1000</f>
        <v>4274.1161655454816</v>
      </c>
      <c r="CL49" s="41">
        <f>BZ49/'1. Väestöennuste'!M49*1000</f>
        <v>2337.5337271053395</v>
      </c>
      <c r="CM49" s="41">
        <f>CA49/'1. Väestöennuste'!N49*1000</f>
        <v>2308.9925539715923</v>
      </c>
      <c r="CN49" s="41">
        <f>CB49/'1. Väestöennuste'!O49*1000</f>
        <v>2423.6858106134437</v>
      </c>
      <c r="CO49" s="41">
        <f>CC49/'1. Väestöennuste'!P49*1000</f>
        <v>2545.4318700036861</v>
      </c>
      <c r="CP49" s="41">
        <f>CD49/'1. Väestöennuste'!Q49*1000</f>
        <v>2657.3240506660932</v>
      </c>
      <c r="CQ49" s="41">
        <f>CE49/'1. Väestöennuste'!R49*1000</f>
        <v>2776.7832229253386</v>
      </c>
      <c r="CR49" s="41"/>
      <c r="CU49" s="159">
        <f t="shared" si="21"/>
        <v>131.51554238910376</v>
      </c>
      <c r="CV49" s="159">
        <f t="shared" si="22"/>
        <v>175.85862939136769</v>
      </c>
      <c r="CW49" s="159">
        <f t="shared" si="23"/>
        <v>326.79581921675936</v>
      </c>
      <c r="CX49" s="159">
        <f t="shared" si="24"/>
        <v>-1936.5824384401421</v>
      </c>
      <c r="CY49" s="159">
        <f t="shared" si="25"/>
        <v>-28.541173133747179</v>
      </c>
      <c r="CZ49" s="159">
        <f t="shared" si="26"/>
        <v>114.69325664185135</v>
      </c>
      <c r="DA49" s="159">
        <f t="shared" si="33"/>
        <v>121.74605939024241</v>
      </c>
      <c r="DB49" s="159">
        <f t="shared" si="34"/>
        <v>111.8921806624071</v>
      </c>
      <c r="DC49" s="159">
        <f t="shared" si="34"/>
        <v>119.45917225924541</v>
      </c>
    </row>
    <row r="50" spans="1:107" x14ac:dyDescent="0.2">
      <c r="A50" s="99">
        <v>5</v>
      </c>
      <c r="B50" s="30">
        <v>109</v>
      </c>
      <c r="C50" s="47" t="s">
        <v>364</v>
      </c>
      <c r="D50" s="64">
        <v>238480.35028000001</v>
      </c>
      <c r="E50" s="64">
        <v>24182.787670000002</v>
      </c>
      <c r="F50" s="64">
        <v>15525.51858</v>
      </c>
      <c r="G50" s="205">
        <v>278118</v>
      </c>
      <c r="H50" s="205"/>
      <c r="I50" s="64">
        <v>237193</v>
      </c>
      <c r="J50" s="64">
        <v>24219</v>
      </c>
      <c r="K50" s="64">
        <v>13444</v>
      </c>
      <c r="L50" s="205">
        <v>274856</v>
      </c>
      <c r="M50" s="205"/>
      <c r="N50" s="64">
        <v>238140</v>
      </c>
      <c r="O50" s="64">
        <v>26920</v>
      </c>
      <c r="P50" s="64">
        <v>16011</v>
      </c>
      <c r="Q50" s="205">
        <v>281071</v>
      </c>
      <c r="R50" s="205"/>
      <c r="S50" s="64">
        <v>237794</v>
      </c>
      <c r="T50" s="64">
        <v>27569</v>
      </c>
      <c r="U50" s="64">
        <v>15868</v>
      </c>
      <c r="V50" s="205">
        <v>281231</v>
      </c>
      <c r="W50" s="205"/>
      <c r="X50" s="64">
        <v>239750</v>
      </c>
      <c r="Y50" s="64">
        <v>27677</v>
      </c>
      <c r="Z50" s="64">
        <v>15997</v>
      </c>
      <c r="AA50" s="205">
        <f t="shared" si="27"/>
        <v>283424</v>
      </c>
      <c r="AB50" s="205"/>
      <c r="AC50" s="64">
        <v>255175</v>
      </c>
      <c r="AD50" s="64">
        <v>25347</v>
      </c>
      <c r="AE50" s="64">
        <v>18457</v>
      </c>
      <c r="AF50" s="205">
        <f t="shared" si="7"/>
        <v>298979</v>
      </c>
      <c r="AG50" s="205"/>
      <c r="AH50" s="278">
        <v>261874.5018</v>
      </c>
      <c r="AI50" s="64">
        <v>28194.707079999996</v>
      </c>
      <c r="AJ50" s="64">
        <v>27152.00347</v>
      </c>
      <c r="AK50" s="205">
        <f t="shared" si="28"/>
        <v>317221.21234999999</v>
      </c>
      <c r="AL50" s="205"/>
      <c r="AM50" s="64">
        <v>272905.68110000005</v>
      </c>
      <c r="AN50" s="64">
        <v>29253.784809999997</v>
      </c>
      <c r="AO50" s="64">
        <v>26907.20318</v>
      </c>
      <c r="AP50" s="205">
        <f t="shared" si="29"/>
        <v>329066.66909000004</v>
      </c>
      <c r="AQ50" s="205"/>
      <c r="AR50" s="64">
        <v>138242.19569999998</v>
      </c>
      <c r="AS50" s="64">
        <v>30020.790800000002</v>
      </c>
      <c r="AT50" s="64">
        <v>18882.396820000002</v>
      </c>
      <c r="AU50" s="205">
        <f t="shared" si="30"/>
        <v>187145.38331999999</v>
      </c>
      <c r="AV50" s="205"/>
      <c r="AW50" s="64">
        <v>129933.38800924312</v>
      </c>
      <c r="AX50" s="64">
        <v>29996.255811577055</v>
      </c>
      <c r="AY50" s="64">
        <v>18846.733833302831</v>
      </c>
      <c r="AZ50" s="205">
        <f t="shared" si="31"/>
        <v>178776.377654123</v>
      </c>
      <c r="BA50" s="205"/>
      <c r="BB50" s="64">
        <v>137445.0462216356</v>
      </c>
      <c r="BC50" s="64">
        <v>30133.26421045942</v>
      </c>
      <c r="BD50" s="64">
        <v>19072.894639302463</v>
      </c>
      <c r="BE50" s="205">
        <f t="shared" si="8"/>
        <v>186651.20507139747</v>
      </c>
      <c r="BF50" s="205"/>
      <c r="BG50" s="64">
        <v>143690.04891139898</v>
      </c>
      <c r="BH50" s="64">
        <v>30502.290232412855</v>
      </c>
      <c r="BI50" s="64">
        <v>19999.076987681921</v>
      </c>
      <c r="BJ50" s="205">
        <f t="shared" si="9"/>
        <v>194191.41613149375</v>
      </c>
      <c r="BK50" s="205"/>
      <c r="BL50" s="64">
        <v>149188.15367901381</v>
      </c>
      <c r="BM50" s="64">
        <v>30935.862449399898</v>
      </c>
      <c r="BN50" s="64">
        <v>21194.498390822842</v>
      </c>
      <c r="BO50" s="205">
        <f t="shared" si="10"/>
        <v>201318.51451923655</v>
      </c>
      <c r="BQ50" s="64">
        <v>155375.09316647041</v>
      </c>
      <c r="BR50" s="64">
        <v>31358.556682153496</v>
      </c>
      <c r="BS50" s="64">
        <v>21937.598181964495</v>
      </c>
      <c r="BT50" s="205">
        <f t="shared" si="11"/>
        <v>208671.24803058838</v>
      </c>
      <c r="BU50" s="205"/>
      <c r="BV50" s="5">
        <f t="shared" si="12"/>
        <v>283424</v>
      </c>
      <c r="BW50" s="5">
        <f t="shared" si="13"/>
        <v>298979</v>
      </c>
      <c r="BX50" s="5">
        <f t="shared" si="14"/>
        <v>317221.21234999999</v>
      </c>
      <c r="BY50" s="5">
        <f t="shared" si="15"/>
        <v>329066.66909000004</v>
      </c>
      <c r="BZ50" s="5">
        <f t="shared" si="16"/>
        <v>187145.38331999999</v>
      </c>
      <c r="CA50" s="5">
        <f t="shared" si="17"/>
        <v>178776.377654123</v>
      </c>
      <c r="CB50" s="5">
        <f t="shared" si="18"/>
        <v>186651.20507139747</v>
      </c>
      <c r="CC50" s="5">
        <f t="shared" si="19"/>
        <v>194191.41613149375</v>
      </c>
      <c r="CD50" s="5">
        <f t="shared" si="20"/>
        <v>201318.51451923655</v>
      </c>
      <c r="CE50" s="5">
        <f t="shared" si="32"/>
        <v>208671.24803058838</v>
      </c>
      <c r="CH50" s="41">
        <f>BV50/'1. Väestöennuste'!I50*1000</f>
        <v>4190.6170064909138</v>
      </c>
      <c r="CI50" s="41">
        <f>BW50/'1. Väestöennuste'!J50*1000</f>
        <v>4406.6000471642492</v>
      </c>
      <c r="CJ50" s="41">
        <f>BX50/'1. Väestöennuste'!K50*1000</f>
        <v>4667.0081703961987</v>
      </c>
      <c r="CK50" s="41">
        <f>BY50/'1. Väestöennuste'!L50*1000</f>
        <v>4836.1575634525225</v>
      </c>
      <c r="CL50" s="41">
        <f>BZ50/'1. Väestöennuste'!M50*1000</f>
        <v>2739.2875088921091</v>
      </c>
      <c r="CM50" s="41">
        <f>CA50/'1. Väestöennuste'!N50*1000</f>
        <v>2626.553700934739</v>
      </c>
      <c r="CN50" s="41">
        <f>CB50/'1. Väestöennuste'!O50*1000</f>
        <v>2741.2425476780359</v>
      </c>
      <c r="CO50" s="41">
        <f>CC50/'1. Väestöennuste'!P50*1000</f>
        <v>2851.1858364018522</v>
      </c>
      <c r="CP50" s="41">
        <f>CD50/'1. Väestöennuste'!Q50*1000</f>
        <v>2955.3510645806891</v>
      </c>
      <c r="CQ50" s="41">
        <f>CE50/'1. Väestöennuste'!R50*1000</f>
        <v>3063.3339894976198</v>
      </c>
      <c r="CR50" s="41"/>
      <c r="CU50" s="159">
        <f t="shared" si="21"/>
        <v>215.98304067333538</v>
      </c>
      <c r="CV50" s="159">
        <f t="shared" si="22"/>
        <v>260.4081232319495</v>
      </c>
      <c r="CW50" s="159">
        <f t="shared" si="23"/>
        <v>169.14939305632379</v>
      </c>
      <c r="CX50" s="159">
        <f t="shared" si="24"/>
        <v>-2096.8700545604133</v>
      </c>
      <c r="CY50" s="159">
        <f t="shared" si="25"/>
        <v>-112.73380795737012</v>
      </c>
      <c r="CZ50" s="159">
        <f t="shared" si="26"/>
        <v>114.68884674329684</v>
      </c>
      <c r="DA50" s="159">
        <f t="shared" si="33"/>
        <v>109.94328872381629</v>
      </c>
      <c r="DB50" s="159">
        <f t="shared" si="34"/>
        <v>104.16522817883697</v>
      </c>
      <c r="DC50" s="159">
        <f t="shared" si="34"/>
        <v>107.98292491693064</v>
      </c>
    </row>
    <row r="51" spans="1:107" x14ac:dyDescent="0.2">
      <c r="A51" s="99">
        <v>7</v>
      </c>
      <c r="B51" s="30">
        <v>111</v>
      </c>
      <c r="C51" s="47" t="s">
        <v>365</v>
      </c>
      <c r="D51" s="64">
        <v>61568.238140000001</v>
      </c>
      <c r="E51" s="64">
        <v>5959.1090999999997</v>
      </c>
      <c r="F51" s="64">
        <v>3517.5900099999999</v>
      </c>
      <c r="G51" s="205">
        <v>71054</v>
      </c>
      <c r="H51" s="205"/>
      <c r="I51" s="64">
        <v>62084</v>
      </c>
      <c r="J51" s="64">
        <v>6249</v>
      </c>
      <c r="K51" s="64">
        <v>2993</v>
      </c>
      <c r="L51" s="205">
        <v>71326</v>
      </c>
      <c r="M51" s="205"/>
      <c r="N51" s="64">
        <v>60317</v>
      </c>
      <c r="O51" s="64">
        <v>6264</v>
      </c>
      <c r="P51" s="64">
        <v>3231</v>
      </c>
      <c r="Q51" s="205">
        <v>69812</v>
      </c>
      <c r="R51" s="205"/>
      <c r="S51" s="64">
        <v>59686</v>
      </c>
      <c r="T51" s="64">
        <v>6243</v>
      </c>
      <c r="U51" s="64">
        <v>2988</v>
      </c>
      <c r="V51" s="205">
        <v>68917</v>
      </c>
      <c r="W51" s="205"/>
      <c r="X51" s="64">
        <v>58899</v>
      </c>
      <c r="Y51" s="64">
        <v>6228</v>
      </c>
      <c r="Z51" s="64">
        <v>3277</v>
      </c>
      <c r="AA51" s="205">
        <f t="shared" si="27"/>
        <v>68404</v>
      </c>
      <c r="AB51" s="205"/>
      <c r="AC51" s="64">
        <v>63745</v>
      </c>
      <c r="AD51" s="64">
        <v>5523</v>
      </c>
      <c r="AE51" s="64">
        <v>3729</v>
      </c>
      <c r="AF51" s="205">
        <f t="shared" si="7"/>
        <v>72997</v>
      </c>
      <c r="AG51" s="205"/>
      <c r="AH51" s="278">
        <v>61945.598939999996</v>
      </c>
      <c r="AI51" s="64">
        <v>6008.6427199999998</v>
      </c>
      <c r="AJ51" s="64">
        <v>5171.4549900000002</v>
      </c>
      <c r="AK51" s="205">
        <f t="shared" si="28"/>
        <v>73125.696649999998</v>
      </c>
      <c r="AL51" s="205"/>
      <c r="AM51" s="64">
        <v>64909.042529999999</v>
      </c>
      <c r="AN51" s="64">
        <v>6451.9160700000002</v>
      </c>
      <c r="AO51" s="64">
        <v>5010.3207599999996</v>
      </c>
      <c r="AP51" s="205">
        <f t="shared" si="29"/>
        <v>76371.27936</v>
      </c>
      <c r="AQ51" s="205"/>
      <c r="AR51" s="64">
        <v>30783.26728</v>
      </c>
      <c r="AS51" s="64">
        <v>6698.3941699999996</v>
      </c>
      <c r="AT51" s="64">
        <v>3379.1790299999998</v>
      </c>
      <c r="AU51" s="205">
        <f t="shared" si="30"/>
        <v>40860.840479999999</v>
      </c>
      <c r="AV51" s="205"/>
      <c r="AW51" s="64">
        <v>29829.764379149732</v>
      </c>
      <c r="AX51" s="64">
        <v>8636.049797565187</v>
      </c>
      <c r="AY51" s="64">
        <v>4497.2195120469496</v>
      </c>
      <c r="AZ51" s="205">
        <f t="shared" si="31"/>
        <v>42963.033688761869</v>
      </c>
      <c r="BA51" s="205"/>
      <c r="BB51" s="64">
        <v>31213.945419303745</v>
      </c>
      <c r="BC51" s="64">
        <v>8701.6026883188188</v>
      </c>
      <c r="BD51" s="64">
        <v>4551.1861461915132</v>
      </c>
      <c r="BE51" s="205">
        <f t="shared" si="8"/>
        <v>44466.734253814073</v>
      </c>
      <c r="BF51" s="205"/>
      <c r="BG51" s="64">
        <v>32095.360706744374</v>
      </c>
      <c r="BH51" s="64">
        <v>8834.8184088204343</v>
      </c>
      <c r="BI51" s="64">
        <v>4772.1923622121067</v>
      </c>
      <c r="BJ51" s="205">
        <f t="shared" si="9"/>
        <v>45702.37147777692</v>
      </c>
      <c r="BK51" s="205"/>
      <c r="BL51" s="64">
        <v>32916.095038373373</v>
      </c>
      <c r="BM51" s="64">
        <v>8987.6598304347135</v>
      </c>
      <c r="BN51" s="64">
        <v>5057.4445712619417</v>
      </c>
      <c r="BO51" s="205">
        <f t="shared" si="10"/>
        <v>46961.199440070028</v>
      </c>
      <c r="BQ51" s="64">
        <v>33888.804743208035</v>
      </c>
      <c r="BR51" s="64">
        <v>9138.3285253909708</v>
      </c>
      <c r="BS51" s="64">
        <v>5234.7635120226496</v>
      </c>
      <c r="BT51" s="205">
        <f t="shared" si="11"/>
        <v>48261.896780621653</v>
      </c>
      <c r="BU51" s="205"/>
      <c r="BV51" s="5">
        <f t="shared" si="12"/>
        <v>68404</v>
      </c>
      <c r="BW51" s="5">
        <f t="shared" si="13"/>
        <v>72997</v>
      </c>
      <c r="BX51" s="5">
        <f t="shared" si="14"/>
        <v>73125.696649999998</v>
      </c>
      <c r="BY51" s="5">
        <f t="shared" si="15"/>
        <v>76371.27936</v>
      </c>
      <c r="BZ51" s="5">
        <f t="shared" si="16"/>
        <v>40860.840479999999</v>
      </c>
      <c r="CA51" s="5">
        <f t="shared" si="17"/>
        <v>42963.033688761869</v>
      </c>
      <c r="CB51" s="5">
        <f t="shared" si="18"/>
        <v>44466.734253814073</v>
      </c>
      <c r="CC51" s="5">
        <f t="shared" si="19"/>
        <v>45702.37147777692</v>
      </c>
      <c r="CD51" s="5">
        <f t="shared" si="20"/>
        <v>46961.199440070028</v>
      </c>
      <c r="CE51" s="5">
        <f t="shared" si="32"/>
        <v>48261.896780621653</v>
      </c>
      <c r="CH51" s="41">
        <f>BV51/'1. Väestöennuste'!I51*1000</f>
        <v>3664.4345636685061</v>
      </c>
      <c r="CI51" s="41">
        <f>BW51/'1. Väestöennuste'!J51*1000</f>
        <v>3946.4237443909824</v>
      </c>
      <c r="CJ51" s="41">
        <f>BX51/'1. Väestöennuste'!K51*1000</f>
        <v>3986.3550288922806</v>
      </c>
      <c r="CK51" s="41">
        <f>BY51/'1. Väestöennuste'!L51*1000</f>
        <v>4212.1934454801167</v>
      </c>
      <c r="CL51" s="41">
        <f>BZ51/'1. Väestöennuste'!M51*1000</f>
        <v>2275.9895549490334</v>
      </c>
      <c r="CM51" s="41">
        <f>CA51/'1. Väestöennuste'!N51*1000</f>
        <v>2434.855975560321</v>
      </c>
      <c r="CN51" s="41">
        <f>CB51/'1. Väestöennuste'!O51*1000</f>
        <v>2546.485755000233</v>
      </c>
      <c r="CO51" s="41">
        <f>CC51/'1. Väestöennuste'!P51*1000</f>
        <v>2643.2834862797522</v>
      </c>
      <c r="CP51" s="41">
        <f>CD51/'1. Väestöennuste'!Q51*1000</f>
        <v>2741.9395947959379</v>
      </c>
      <c r="CQ51" s="41">
        <f>CE51/'1. Väestöennuste'!R51*1000</f>
        <v>2844.2890606212663</v>
      </c>
      <c r="CR51" s="41"/>
      <c r="CU51" s="159">
        <f t="shared" si="21"/>
        <v>281.98918072247625</v>
      </c>
      <c r="CV51" s="159">
        <f t="shared" si="22"/>
        <v>39.931284501298251</v>
      </c>
      <c r="CW51" s="159">
        <f t="shared" si="23"/>
        <v>225.83841658783604</v>
      </c>
      <c r="CX51" s="159">
        <f t="shared" si="24"/>
        <v>-1936.2038905310833</v>
      </c>
      <c r="CY51" s="159">
        <f t="shared" si="25"/>
        <v>158.86642061128759</v>
      </c>
      <c r="CZ51" s="159">
        <f t="shared" si="26"/>
        <v>111.629779439912</v>
      </c>
      <c r="DA51" s="159">
        <f t="shared" si="33"/>
        <v>96.797731279519212</v>
      </c>
      <c r="DB51" s="159">
        <f t="shared" si="34"/>
        <v>98.656108516185668</v>
      </c>
      <c r="DC51" s="159">
        <f t="shared" si="34"/>
        <v>102.34946582532848</v>
      </c>
    </row>
    <row r="52" spans="1:107" x14ac:dyDescent="0.2">
      <c r="A52" s="99">
        <v>17</v>
      </c>
      <c r="B52" s="30">
        <v>139</v>
      </c>
      <c r="C52" s="47" t="s">
        <v>366</v>
      </c>
      <c r="D52" s="64">
        <v>27156.41562</v>
      </c>
      <c r="E52" s="64">
        <v>3054.70847</v>
      </c>
      <c r="F52" s="64">
        <v>1429.5841599999999</v>
      </c>
      <c r="G52" s="205">
        <v>31634</v>
      </c>
      <c r="H52" s="205"/>
      <c r="I52" s="64">
        <v>26309</v>
      </c>
      <c r="J52" s="64">
        <v>3595</v>
      </c>
      <c r="K52" s="64">
        <v>1318</v>
      </c>
      <c r="L52" s="205">
        <v>31222</v>
      </c>
      <c r="M52" s="205"/>
      <c r="N52" s="64">
        <v>26592</v>
      </c>
      <c r="O52" s="64">
        <v>3520</v>
      </c>
      <c r="P52" s="64">
        <v>1526</v>
      </c>
      <c r="Q52" s="205">
        <v>31638</v>
      </c>
      <c r="R52" s="205"/>
      <c r="S52" s="64">
        <v>26489</v>
      </c>
      <c r="T52" s="64">
        <v>4228</v>
      </c>
      <c r="U52" s="64">
        <v>1373</v>
      </c>
      <c r="V52" s="205">
        <v>32090</v>
      </c>
      <c r="W52" s="205"/>
      <c r="X52" s="64">
        <v>28154</v>
      </c>
      <c r="Y52" s="64">
        <v>4279</v>
      </c>
      <c r="Z52" s="64">
        <v>1453</v>
      </c>
      <c r="AA52" s="205">
        <f t="shared" si="27"/>
        <v>33886</v>
      </c>
      <c r="AB52" s="205"/>
      <c r="AC52" s="64">
        <v>28922</v>
      </c>
      <c r="AD52" s="64">
        <v>3996</v>
      </c>
      <c r="AE52" s="64">
        <v>1521</v>
      </c>
      <c r="AF52" s="205">
        <f t="shared" si="7"/>
        <v>34439</v>
      </c>
      <c r="AG52" s="205"/>
      <c r="AH52" s="278">
        <v>30897.02377</v>
      </c>
      <c r="AI52" s="64">
        <v>4517.7378899999994</v>
      </c>
      <c r="AJ52" s="64">
        <v>2048.6402600000001</v>
      </c>
      <c r="AK52" s="205">
        <f t="shared" si="28"/>
        <v>37463.401919999997</v>
      </c>
      <c r="AL52" s="205"/>
      <c r="AM52" s="64">
        <v>31837.783359999998</v>
      </c>
      <c r="AN52" s="64">
        <v>4796.2512999999999</v>
      </c>
      <c r="AO52" s="64">
        <v>2225.8653199999999</v>
      </c>
      <c r="AP52" s="205">
        <f t="shared" si="29"/>
        <v>38859.899979999995</v>
      </c>
      <c r="AQ52" s="205"/>
      <c r="AR52" s="64">
        <v>16664.943650000001</v>
      </c>
      <c r="AS52" s="64">
        <v>4884.33896</v>
      </c>
      <c r="AT52" s="64">
        <v>1488.5136299999999</v>
      </c>
      <c r="AU52" s="205">
        <f t="shared" si="30"/>
        <v>23037.796240000003</v>
      </c>
      <c r="AV52" s="205"/>
      <c r="AW52" s="64">
        <v>15774.448457744398</v>
      </c>
      <c r="AX52" s="64">
        <v>4941.9798788677472</v>
      </c>
      <c r="AY52" s="64">
        <v>1128.9952249246398</v>
      </c>
      <c r="AZ52" s="205">
        <f t="shared" si="31"/>
        <v>21845.423561536787</v>
      </c>
      <c r="BA52" s="205"/>
      <c r="BB52" s="64">
        <v>16755.51514992406</v>
      </c>
      <c r="BC52" s="64">
        <v>4986.2275826066516</v>
      </c>
      <c r="BD52" s="64">
        <v>1142.5431676237354</v>
      </c>
      <c r="BE52" s="205">
        <f t="shared" si="8"/>
        <v>22884.285900154446</v>
      </c>
      <c r="BF52" s="205"/>
      <c r="BG52" s="64">
        <v>17513.591227360637</v>
      </c>
      <c r="BH52" s="64">
        <v>5069.2937081037126</v>
      </c>
      <c r="BI52" s="64">
        <v>1198.025218677175</v>
      </c>
      <c r="BJ52" s="205">
        <f t="shared" si="9"/>
        <v>23780.910154141526</v>
      </c>
      <c r="BK52" s="205"/>
      <c r="BL52" s="64">
        <v>18127.49583195386</v>
      </c>
      <c r="BM52" s="64">
        <v>5163.7249206670558</v>
      </c>
      <c r="BN52" s="64">
        <v>1269.6357729438237</v>
      </c>
      <c r="BO52" s="205">
        <f t="shared" si="10"/>
        <v>24560.856525564741</v>
      </c>
      <c r="BQ52" s="64">
        <v>18800.981687247287</v>
      </c>
      <c r="BR52" s="64">
        <v>5257.0153206536916</v>
      </c>
      <c r="BS52" s="64">
        <v>1314.1504418122809</v>
      </c>
      <c r="BT52" s="205">
        <f t="shared" si="11"/>
        <v>25372.147449713262</v>
      </c>
      <c r="BU52" s="205"/>
      <c r="BV52" s="5">
        <f t="shared" si="12"/>
        <v>33886</v>
      </c>
      <c r="BW52" s="5">
        <f t="shared" si="13"/>
        <v>34439</v>
      </c>
      <c r="BX52" s="5">
        <f t="shared" si="14"/>
        <v>37463.401919999997</v>
      </c>
      <c r="BY52" s="5">
        <f t="shared" si="15"/>
        <v>38859.899979999995</v>
      </c>
      <c r="BZ52" s="5">
        <f t="shared" si="16"/>
        <v>23037.796240000003</v>
      </c>
      <c r="CA52" s="5">
        <f t="shared" si="17"/>
        <v>21845.423561536787</v>
      </c>
      <c r="CB52" s="5">
        <f t="shared" si="18"/>
        <v>22884.285900154446</v>
      </c>
      <c r="CC52" s="5">
        <f t="shared" si="19"/>
        <v>23780.910154141526</v>
      </c>
      <c r="CD52" s="5">
        <f t="shared" si="20"/>
        <v>24560.856525564741</v>
      </c>
      <c r="CE52" s="5">
        <f t="shared" si="32"/>
        <v>25372.147449713262</v>
      </c>
      <c r="CH52" s="41">
        <f>BV52/'1. Väestöennuste'!I52*1000</f>
        <v>3442.2998780983339</v>
      </c>
      <c r="CI52" s="41">
        <f>BW52/'1. Väestöennuste'!J52*1000</f>
        <v>3497.0552396425674</v>
      </c>
      <c r="CJ52" s="41">
        <f>BX52/'1. Väestöennuste'!K52*1000</f>
        <v>3779.6006779661011</v>
      </c>
      <c r="CK52" s="41">
        <f>BY52/'1. Väestöennuste'!L52*1000</f>
        <v>3943.9663026489388</v>
      </c>
      <c r="CL52" s="41">
        <f>BZ52/'1. Väestöennuste'!M52*1000</f>
        <v>2358.9797501535945</v>
      </c>
      <c r="CM52" s="41">
        <f>CA52/'1. Väestöennuste'!N52*1000</f>
        <v>2255.826472690705</v>
      </c>
      <c r="CN52" s="41">
        <f>CB52/'1. Väestöennuste'!O52*1000</f>
        <v>2373.6423503946107</v>
      </c>
      <c r="CO52" s="41">
        <f>CC52/'1. Väestöennuste'!P52*1000</f>
        <v>2477.952501213038</v>
      </c>
      <c r="CP52" s="41">
        <f>CD52/'1. Väestöennuste'!Q52*1000</f>
        <v>2571.5481651727296</v>
      </c>
      <c r="CQ52" s="41">
        <f>CE52/'1. Väestöennuste'!R52*1000</f>
        <v>2668.7858893145331</v>
      </c>
      <c r="CR52" s="41"/>
      <c r="CU52" s="159">
        <f t="shared" si="21"/>
        <v>54.755361544233438</v>
      </c>
      <c r="CV52" s="159">
        <f t="shared" si="22"/>
        <v>282.54543832353374</v>
      </c>
      <c r="CW52" s="159">
        <f t="shared" si="23"/>
        <v>164.36562468283773</v>
      </c>
      <c r="CX52" s="159">
        <f t="shared" si="24"/>
        <v>-1584.9865524953443</v>
      </c>
      <c r="CY52" s="159">
        <f t="shared" si="25"/>
        <v>-103.15327746288949</v>
      </c>
      <c r="CZ52" s="159">
        <f t="shared" si="26"/>
        <v>117.8158777039057</v>
      </c>
      <c r="DA52" s="159">
        <f t="shared" si="33"/>
        <v>104.31015081842725</v>
      </c>
      <c r="DB52" s="159">
        <f t="shared" si="34"/>
        <v>93.595663959691592</v>
      </c>
      <c r="DC52" s="159">
        <f t="shared" si="34"/>
        <v>97.237724141803483</v>
      </c>
    </row>
    <row r="53" spans="1:107" x14ac:dyDescent="0.2">
      <c r="A53" s="99">
        <v>11</v>
      </c>
      <c r="B53" s="30">
        <v>140</v>
      </c>
      <c r="C53" s="47" t="s">
        <v>367</v>
      </c>
      <c r="D53" s="64">
        <v>65912.761979999996</v>
      </c>
      <c r="E53" s="64">
        <v>5806.2702599999993</v>
      </c>
      <c r="F53" s="64">
        <v>6099.9671100000005</v>
      </c>
      <c r="G53" s="205">
        <v>77806</v>
      </c>
      <c r="H53" s="205"/>
      <c r="I53" s="64">
        <v>64796</v>
      </c>
      <c r="J53" s="64">
        <v>5775</v>
      </c>
      <c r="K53" s="64">
        <v>4535</v>
      </c>
      <c r="L53" s="205">
        <v>75106</v>
      </c>
      <c r="M53" s="205"/>
      <c r="N53" s="64">
        <v>64544</v>
      </c>
      <c r="O53" s="64">
        <v>5774</v>
      </c>
      <c r="P53" s="64">
        <v>5255</v>
      </c>
      <c r="Q53" s="205">
        <v>75573</v>
      </c>
      <c r="R53" s="205"/>
      <c r="S53" s="64">
        <v>63744</v>
      </c>
      <c r="T53" s="64">
        <v>5737</v>
      </c>
      <c r="U53" s="64">
        <v>5766</v>
      </c>
      <c r="V53" s="205">
        <v>75247</v>
      </c>
      <c r="W53" s="205"/>
      <c r="X53" s="64">
        <v>65351</v>
      </c>
      <c r="Y53" s="64">
        <v>5873</v>
      </c>
      <c r="Z53" s="64">
        <v>5852</v>
      </c>
      <c r="AA53" s="205">
        <f t="shared" si="27"/>
        <v>77076</v>
      </c>
      <c r="AB53" s="205"/>
      <c r="AC53" s="64">
        <v>66202</v>
      </c>
      <c r="AD53" s="64">
        <v>5321</v>
      </c>
      <c r="AE53" s="64">
        <v>5504</v>
      </c>
      <c r="AF53" s="205">
        <f t="shared" si="7"/>
        <v>77027</v>
      </c>
      <c r="AG53" s="205"/>
      <c r="AH53" s="278">
        <v>67179.386849999995</v>
      </c>
      <c r="AI53" s="64">
        <v>5873.8068200000007</v>
      </c>
      <c r="AJ53" s="64">
        <v>7615.4504000000006</v>
      </c>
      <c r="AK53" s="205">
        <f t="shared" si="28"/>
        <v>80668.644069999995</v>
      </c>
      <c r="AL53" s="205"/>
      <c r="AM53" s="64">
        <v>69934.627939999991</v>
      </c>
      <c r="AN53" s="64">
        <v>6055.4853499999999</v>
      </c>
      <c r="AO53" s="64">
        <v>8003.4959400000007</v>
      </c>
      <c r="AP53" s="205">
        <f t="shared" si="29"/>
        <v>83993.609230000002</v>
      </c>
      <c r="AQ53" s="205"/>
      <c r="AR53" s="64">
        <v>33351.328809999999</v>
      </c>
      <c r="AS53" s="64">
        <v>5891.62219</v>
      </c>
      <c r="AT53" s="64">
        <v>5653.2475700000005</v>
      </c>
      <c r="AU53" s="205">
        <f t="shared" si="30"/>
        <v>44896.19857</v>
      </c>
      <c r="AV53" s="205"/>
      <c r="AW53" s="64">
        <v>31659.58873525801</v>
      </c>
      <c r="AX53" s="64">
        <v>6040.0037473607163</v>
      </c>
      <c r="AY53" s="64">
        <v>5124.3135923336195</v>
      </c>
      <c r="AZ53" s="205">
        <f t="shared" si="31"/>
        <v>42823.906074952349</v>
      </c>
      <c r="BA53" s="205"/>
      <c r="BB53" s="64">
        <v>33268.13619074368</v>
      </c>
      <c r="BC53" s="64">
        <v>6048.4924064944262</v>
      </c>
      <c r="BD53" s="64">
        <v>5185.8053554416219</v>
      </c>
      <c r="BE53" s="205">
        <f t="shared" si="8"/>
        <v>44502.433952679727</v>
      </c>
      <c r="BF53" s="205"/>
      <c r="BG53" s="64">
        <v>34608.825182387765</v>
      </c>
      <c r="BH53" s="64">
        <v>6103.0881668343127</v>
      </c>
      <c r="BI53" s="64">
        <v>5437.6287662648747</v>
      </c>
      <c r="BJ53" s="205">
        <f t="shared" si="9"/>
        <v>46149.542115486955</v>
      </c>
      <c r="BK53" s="205"/>
      <c r="BL53" s="64">
        <v>35690.054152263168</v>
      </c>
      <c r="BM53" s="64">
        <v>6169.932639948328</v>
      </c>
      <c r="BN53" s="64">
        <v>5762.6566569786073</v>
      </c>
      <c r="BO53" s="205">
        <f t="shared" si="10"/>
        <v>47622.643449190102</v>
      </c>
      <c r="BQ53" s="64">
        <v>36932.230236420284</v>
      </c>
      <c r="BR53" s="64">
        <v>6233.8929962085831</v>
      </c>
      <c r="BS53" s="64">
        <v>5964.7010214763332</v>
      </c>
      <c r="BT53" s="205">
        <f t="shared" si="11"/>
        <v>49130.824254105202</v>
      </c>
      <c r="BU53" s="205"/>
      <c r="BV53" s="5">
        <f t="shared" si="12"/>
        <v>77076</v>
      </c>
      <c r="BW53" s="5">
        <f t="shared" si="13"/>
        <v>77027</v>
      </c>
      <c r="BX53" s="5">
        <f t="shared" si="14"/>
        <v>80668.644069999995</v>
      </c>
      <c r="BY53" s="5">
        <f t="shared" si="15"/>
        <v>83993.609230000002</v>
      </c>
      <c r="BZ53" s="5">
        <f t="shared" si="16"/>
        <v>44896.19857</v>
      </c>
      <c r="CA53" s="5">
        <f t="shared" si="17"/>
        <v>42823.906074952349</v>
      </c>
      <c r="CB53" s="5">
        <f t="shared" si="18"/>
        <v>44502.433952679727</v>
      </c>
      <c r="CC53" s="5">
        <f t="shared" si="19"/>
        <v>46149.542115486955</v>
      </c>
      <c r="CD53" s="5">
        <f t="shared" si="20"/>
        <v>47622.643449190102</v>
      </c>
      <c r="CE53" s="5">
        <f t="shared" si="32"/>
        <v>49130.824254105202</v>
      </c>
      <c r="CH53" s="41">
        <f>BV53/'1. Väestöennuste'!I53*1000</f>
        <v>3607.0760014975663</v>
      </c>
      <c r="CI53" s="41">
        <f>BW53/'1. Väestöennuste'!J53*1000</f>
        <v>3646.4211323612953</v>
      </c>
      <c r="CJ53" s="41">
        <f>BX53/'1. Väestöennuste'!K53*1000</f>
        <v>3849.0621275885101</v>
      </c>
      <c r="CK53" s="41">
        <f>BY53/'1. Väestöennuste'!L53*1000</f>
        <v>4037.9601572039805</v>
      </c>
      <c r="CL53" s="41">
        <f>BZ53/'1. Väestöennuste'!M53*1000</f>
        <v>2177.5244238044424</v>
      </c>
      <c r="CM53" s="41">
        <f>CA53/'1. Väestöennuste'!N53*1000</f>
        <v>2093.2596575888333</v>
      </c>
      <c r="CN53" s="41">
        <f>CB53/'1. Väestöennuste'!O53*1000</f>
        <v>2192.6701789850081</v>
      </c>
      <c r="CO53" s="41">
        <f>CC53/'1. Väestöennuste'!P53*1000</f>
        <v>2291.8922385521928</v>
      </c>
      <c r="CP53" s="41">
        <f>CD53/'1. Väestöennuste'!Q53*1000</f>
        <v>2383.8736271307057</v>
      </c>
      <c r="CQ53" s="41">
        <f>CE53/'1. Väestöennuste'!R53*1000</f>
        <v>2478.7258086930628</v>
      </c>
      <c r="CR53" s="41"/>
      <c r="CU53" s="159">
        <f t="shared" si="21"/>
        <v>39.345130863729082</v>
      </c>
      <c r="CV53" s="159">
        <f t="shared" si="22"/>
        <v>202.64099522721472</v>
      </c>
      <c r="CW53" s="159">
        <f t="shared" si="23"/>
        <v>188.89802961547048</v>
      </c>
      <c r="CX53" s="159">
        <f t="shared" si="24"/>
        <v>-1860.4357333995381</v>
      </c>
      <c r="CY53" s="159">
        <f t="shared" si="25"/>
        <v>-84.264766215609143</v>
      </c>
      <c r="CZ53" s="159">
        <f t="shared" si="26"/>
        <v>99.410521396174772</v>
      </c>
      <c r="DA53" s="159">
        <f t="shared" si="33"/>
        <v>99.222059567184715</v>
      </c>
      <c r="DB53" s="159">
        <f t="shared" si="34"/>
        <v>91.981388578512906</v>
      </c>
      <c r="DC53" s="159">
        <f t="shared" si="34"/>
        <v>94.852181562357146</v>
      </c>
    </row>
    <row r="54" spans="1:107" x14ac:dyDescent="0.2">
      <c r="A54" s="99">
        <v>7</v>
      </c>
      <c r="B54" s="30">
        <v>142</v>
      </c>
      <c r="C54" s="47" t="s">
        <v>368</v>
      </c>
      <c r="D54" s="64">
        <v>19742.875620000003</v>
      </c>
      <c r="E54" s="64">
        <v>2496.47685</v>
      </c>
      <c r="F54" s="64">
        <v>1279.5316799999998</v>
      </c>
      <c r="G54" s="205">
        <v>23519</v>
      </c>
      <c r="H54" s="205"/>
      <c r="I54" s="64">
        <v>19968</v>
      </c>
      <c r="J54" s="64">
        <v>2326</v>
      </c>
      <c r="K54" s="64">
        <v>1319</v>
      </c>
      <c r="L54" s="205">
        <v>23613</v>
      </c>
      <c r="M54" s="205"/>
      <c r="N54" s="64">
        <v>20213</v>
      </c>
      <c r="O54" s="64">
        <v>1491</v>
      </c>
      <c r="P54" s="64">
        <v>2463</v>
      </c>
      <c r="Q54" s="205">
        <v>24167</v>
      </c>
      <c r="R54" s="205"/>
      <c r="S54" s="64">
        <v>19362</v>
      </c>
      <c r="T54" s="64">
        <v>2453</v>
      </c>
      <c r="U54" s="64">
        <v>1421</v>
      </c>
      <c r="V54" s="205">
        <v>23236</v>
      </c>
      <c r="W54" s="205"/>
      <c r="X54" s="64">
        <v>19979</v>
      </c>
      <c r="Y54" s="64">
        <v>2943</v>
      </c>
      <c r="Z54" s="64">
        <v>1389</v>
      </c>
      <c r="AA54" s="205">
        <f t="shared" si="27"/>
        <v>24311</v>
      </c>
      <c r="AB54" s="205"/>
      <c r="AC54" s="64">
        <v>21217</v>
      </c>
      <c r="AD54" s="64">
        <v>2733</v>
      </c>
      <c r="AE54" s="64">
        <v>1433</v>
      </c>
      <c r="AF54" s="205">
        <f t="shared" si="7"/>
        <v>25383</v>
      </c>
      <c r="AG54" s="205"/>
      <c r="AH54" s="278">
        <v>21174.306359999999</v>
      </c>
      <c r="AI54" s="64">
        <v>3014.0228999999999</v>
      </c>
      <c r="AJ54" s="64">
        <v>2049.4562000000001</v>
      </c>
      <c r="AK54" s="205">
        <f t="shared" si="28"/>
        <v>26237.785459999999</v>
      </c>
      <c r="AL54" s="205"/>
      <c r="AM54" s="64">
        <v>22108.296059999997</v>
      </c>
      <c r="AN54" s="64">
        <v>3148.7292900000002</v>
      </c>
      <c r="AO54" s="64">
        <v>2010.41968</v>
      </c>
      <c r="AP54" s="205">
        <f t="shared" si="29"/>
        <v>27267.445029999995</v>
      </c>
      <c r="AQ54" s="205"/>
      <c r="AR54" s="64">
        <v>11023.381089999999</v>
      </c>
      <c r="AS54" s="64">
        <v>3351.0586899999998</v>
      </c>
      <c r="AT54" s="64">
        <v>1138.09492</v>
      </c>
      <c r="AU54" s="205">
        <f t="shared" si="30"/>
        <v>15512.534699999998</v>
      </c>
      <c r="AV54" s="205"/>
      <c r="AW54" s="64">
        <v>10447.920673053737</v>
      </c>
      <c r="AX54" s="64">
        <v>3422.5374904185269</v>
      </c>
      <c r="AY54" s="64">
        <v>870.7459724985373</v>
      </c>
      <c r="AZ54" s="205">
        <f t="shared" si="31"/>
        <v>14741.2041359708</v>
      </c>
      <c r="BA54" s="205"/>
      <c r="BB54" s="64">
        <v>10982.78468247976</v>
      </c>
      <c r="BC54" s="64">
        <v>3460.6770240344226</v>
      </c>
      <c r="BD54" s="64">
        <v>881.19492416851961</v>
      </c>
      <c r="BE54" s="205">
        <f t="shared" si="8"/>
        <v>15324.656630682703</v>
      </c>
      <c r="BF54" s="205"/>
      <c r="BG54" s="64">
        <v>11353.653864017861</v>
      </c>
      <c r="BH54" s="64">
        <v>3525.8137239635439</v>
      </c>
      <c r="BI54" s="64">
        <v>923.98586910273355</v>
      </c>
      <c r="BJ54" s="205">
        <f t="shared" si="9"/>
        <v>15803.453457084137</v>
      </c>
      <c r="BK54" s="205"/>
      <c r="BL54" s="64">
        <v>11681.864699591504</v>
      </c>
      <c r="BM54" s="64">
        <v>3598.9766979564029</v>
      </c>
      <c r="BN54" s="64">
        <v>979.21604221549796</v>
      </c>
      <c r="BO54" s="205">
        <f t="shared" si="10"/>
        <v>16260.057439763405</v>
      </c>
      <c r="BQ54" s="64">
        <v>12052.554311241598</v>
      </c>
      <c r="BR54" s="64">
        <v>3671.4716901871725</v>
      </c>
      <c r="BS54" s="64">
        <v>1013.5483119882974</v>
      </c>
      <c r="BT54" s="205">
        <f t="shared" si="11"/>
        <v>16737.57431341707</v>
      </c>
      <c r="BU54" s="205"/>
      <c r="BV54" s="5">
        <f t="shared" si="12"/>
        <v>24311</v>
      </c>
      <c r="BW54" s="5">
        <f t="shared" si="13"/>
        <v>25383</v>
      </c>
      <c r="BX54" s="5">
        <f t="shared" si="14"/>
        <v>26237.785459999999</v>
      </c>
      <c r="BY54" s="5">
        <f t="shared" si="15"/>
        <v>27267.445029999995</v>
      </c>
      <c r="BZ54" s="5">
        <f t="shared" si="16"/>
        <v>15512.534699999998</v>
      </c>
      <c r="CA54" s="5">
        <f t="shared" si="17"/>
        <v>14741.2041359708</v>
      </c>
      <c r="CB54" s="5">
        <f t="shared" si="18"/>
        <v>15324.656630682703</v>
      </c>
      <c r="CC54" s="5">
        <f t="shared" si="19"/>
        <v>15803.453457084137</v>
      </c>
      <c r="CD54" s="5">
        <f t="shared" si="20"/>
        <v>16260.057439763405</v>
      </c>
      <c r="CE54" s="5">
        <f t="shared" si="32"/>
        <v>16737.57431341707</v>
      </c>
      <c r="CH54" s="41">
        <f>BV54/'1. Väestöennuste'!I54*1000</f>
        <v>3622.5599761585459</v>
      </c>
      <c r="CI54" s="41">
        <f>BW54/'1. Väestöennuste'!J54*1000</f>
        <v>3831.3962264150946</v>
      </c>
      <c r="CJ54" s="41">
        <f>BX54/'1. Väestöennuste'!K54*1000</f>
        <v>4000.2722152767187</v>
      </c>
      <c r="CK54" s="41">
        <f>BY54/'1. Väestöennuste'!L54*1000</f>
        <v>4192.4115974784736</v>
      </c>
      <c r="CL54" s="41">
        <f>BZ54/'1. Väestöennuste'!M54*1000</f>
        <v>2407.2834729981378</v>
      </c>
      <c r="CM54" s="41">
        <f>CA54/'1. Väestöennuste'!N54*1000</f>
        <v>2300.078660628928</v>
      </c>
      <c r="CN54" s="41">
        <f>CB54/'1. Väestöennuste'!O54*1000</f>
        <v>2411.4329867321326</v>
      </c>
      <c r="CO54" s="41">
        <f>CC54/'1. Väestöennuste'!P54*1000</f>
        <v>2506.4953936691736</v>
      </c>
      <c r="CP54" s="41">
        <f>CD54/'1. Väestöennuste'!Q54*1000</f>
        <v>2599.1140408828974</v>
      </c>
      <c r="CQ54" s="41">
        <f>CE54/'1. Väestöennuste'!R54*1000</f>
        <v>2696.1298829602242</v>
      </c>
      <c r="CR54" s="41"/>
      <c r="CU54" s="159">
        <f t="shared" si="21"/>
        <v>208.83625025654874</v>
      </c>
      <c r="CV54" s="159">
        <f t="shared" si="22"/>
        <v>168.87598886162414</v>
      </c>
      <c r="CW54" s="159">
        <f t="shared" si="23"/>
        <v>192.13938220175487</v>
      </c>
      <c r="CX54" s="159">
        <f t="shared" si="24"/>
        <v>-1785.1281244803358</v>
      </c>
      <c r="CY54" s="159">
        <f t="shared" si="25"/>
        <v>-107.20481236920978</v>
      </c>
      <c r="CZ54" s="159">
        <f t="shared" si="26"/>
        <v>111.35432610320458</v>
      </c>
      <c r="DA54" s="159">
        <f t="shared" si="33"/>
        <v>95.062406937041033</v>
      </c>
      <c r="DB54" s="159">
        <f t="shared" si="34"/>
        <v>92.618647213723762</v>
      </c>
      <c r="DC54" s="159">
        <f t="shared" si="34"/>
        <v>97.015842077326852</v>
      </c>
    </row>
    <row r="55" spans="1:107" x14ac:dyDescent="0.2">
      <c r="A55" s="99">
        <v>6</v>
      </c>
      <c r="B55" s="30">
        <v>143</v>
      </c>
      <c r="C55" s="47" t="s">
        <v>369</v>
      </c>
      <c r="D55" s="64">
        <v>21105.75578</v>
      </c>
      <c r="E55" s="64">
        <v>2959.7342200000003</v>
      </c>
      <c r="F55" s="64">
        <v>1621.43904</v>
      </c>
      <c r="G55" s="205">
        <v>25679</v>
      </c>
      <c r="H55" s="205"/>
      <c r="I55" s="64">
        <v>20666</v>
      </c>
      <c r="J55" s="64">
        <v>2981</v>
      </c>
      <c r="K55" s="64">
        <v>1498</v>
      </c>
      <c r="L55" s="205">
        <v>25145</v>
      </c>
      <c r="M55" s="205"/>
      <c r="N55" s="64">
        <v>20748</v>
      </c>
      <c r="O55" s="64">
        <v>2896</v>
      </c>
      <c r="P55" s="64">
        <v>1732</v>
      </c>
      <c r="Q55" s="205">
        <v>25376</v>
      </c>
      <c r="R55" s="205"/>
      <c r="S55" s="64">
        <v>20257</v>
      </c>
      <c r="T55" s="64">
        <v>2907</v>
      </c>
      <c r="U55" s="64">
        <v>1663</v>
      </c>
      <c r="V55" s="205">
        <v>24827</v>
      </c>
      <c r="W55" s="205"/>
      <c r="X55" s="64">
        <v>19957</v>
      </c>
      <c r="Y55" s="64">
        <v>2759</v>
      </c>
      <c r="Z55" s="64">
        <v>1770</v>
      </c>
      <c r="AA55" s="205">
        <f t="shared" si="27"/>
        <v>24486</v>
      </c>
      <c r="AB55" s="205"/>
      <c r="AC55" s="64">
        <v>21116</v>
      </c>
      <c r="AD55" s="64">
        <v>2644</v>
      </c>
      <c r="AE55" s="64">
        <v>1945</v>
      </c>
      <c r="AF55" s="205">
        <f t="shared" si="7"/>
        <v>25705</v>
      </c>
      <c r="AG55" s="205"/>
      <c r="AH55" s="278">
        <v>21687.033500000001</v>
      </c>
      <c r="AI55" s="64">
        <v>2434.09789</v>
      </c>
      <c r="AJ55" s="64">
        <v>2762.5363299999999</v>
      </c>
      <c r="AK55" s="205">
        <f t="shared" si="28"/>
        <v>26883.667720000001</v>
      </c>
      <c r="AL55" s="205"/>
      <c r="AM55" s="64">
        <v>22397.927350000002</v>
      </c>
      <c r="AN55" s="64">
        <v>2511.9349300000003</v>
      </c>
      <c r="AO55" s="64">
        <v>2711.6351400000003</v>
      </c>
      <c r="AP55" s="205">
        <f t="shared" si="29"/>
        <v>27621.49742</v>
      </c>
      <c r="AQ55" s="205"/>
      <c r="AR55" s="64">
        <v>11507.89084</v>
      </c>
      <c r="AS55" s="64">
        <v>2867.6910099999996</v>
      </c>
      <c r="AT55" s="64">
        <v>1868.3668300000002</v>
      </c>
      <c r="AU55" s="205">
        <f t="shared" si="30"/>
        <v>16243.94868</v>
      </c>
      <c r="AV55" s="205"/>
      <c r="AW55" s="64">
        <v>11367.881296279174</v>
      </c>
      <c r="AX55" s="64">
        <v>3023.3277821528668</v>
      </c>
      <c r="AY55" s="64">
        <v>1782.2682207085718</v>
      </c>
      <c r="AZ55" s="205">
        <f t="shared" si="31"/>
        <v>16173.477299140613</v>
      </c>
      <c r="BA55" s="205"/>
      <c r="BB55" s="64">
        <v>11864.048050037432</v>
      </c>
      <c r="BC55" s="64">
        <v>3066.7127002141228</v>
      </c>
      <c r="BD55" s="64">
        <v>1803.6554393570746</v>
      </c>
      <c r="BE55" s="205">
        <f t="shared" si="8"/>
        <v>16734.41618960863</v>
      </c>
      <c r="BF55" s="205"/>
      <c r="BG55" s="64">
        <v>12307.10133916401</v>
      </c>
      <c r="BH55" s="64">
        <v>3134.3638385026393</v>
      </c>
      <c r="BI55" s="64">
        <v>1891.2411919176104</v>
      </c>
      <c r="BJ55" s="205">
        <f t="shared" si="9"/>
        <v>17332.706369584259</v>
      </c>
      <c r="BK55" s="205"/>
      <c r="BL55" s="64">
        <v>12698.28828931438</v>
      </c>
      <c r="BM55" s="64">
        <v>3209.5944810622</v>
      </c>
      <c r="BN55" s="64">
        <v>2004.2879190596968</v>
      </c>
      <c r="BO55" s="205">
        <f t="shared" si="10"/>
        <v>17912.170689436276</v>
      </c>
      <c r="BQ55" s="64">
        <v>13150.686853050602</v>
      </c>
      <c r="BR55" s="64">
        <v>3284.6984544915686</v>
      </c>
      <c r="BS55" s="64">
        <v>2074.5602089047775</v>
      </c>
      <c r="BT55" s="205">
        <f t="shared" si="11"/>
        <v>18509.945516446951</v>
      </c>
      <c r="BU55" s="205"/>
      <c r="BV55" s="5">
        <f t="shared" si="12"/>
        <v>24486</v>
      </c>
      <c r="BW55" s="5">
        <f t="shared" si="13"/>
        <v>25705</v>
      </c>
      <c r="BX55" s="5">
        <f t="shared" si="14"/>
        <v>26883.667720000001</v>
      </c>
      <c r="BY55" s="5">
        <f t="shared" si="15"/>
        <v>27621.49742</v>
      </c>
      <c r="BZ55" s="5">
        <f t="shared" si="16"/>
        <v>16243.94868</v>
      </c>
      <c r="CA55" s="5">
        <f t="shared" si="17"/>
        <v>16173.477299140613</v>
      </c>
      <c r="CB55" s="5">
        <f t="shared" si="18"/>
        <v>16734.41618960863</v>
      </c>
      <c r="CC55" s="5">
        <f t="shared" si="19"/>
        <v>17332.706369584259</v>
      </c>
      <c r="CD55" s="5">
        <f t="shared" si="20"/>
        <v>17912.170689436276</v>
      </c>
      <c r="CE55" s="5">
        <f t="shared" si="32"/>
        <v>18509.945516446951</v>
      </c>
      <c r="CH55" s="41">
        <f>BV55/'1. Väestöennuste'!I55*1000</f>
        <v>3527.2255834053585</v>
      </c>
      <c r="CI55" s="41">
        <f>BW55/'1. Väestöennuste'!J55*1000</f>
        <v>3743.8100786484124</v>
      </c>
      <c r="CJ55" s="41">
        <f>BX55/'1. Väestöennuste'!K55*1000</f>
        <v>3909.2144423440454</v>
      </c>
      <c r="CK55" s="41">
        <f>BY55/'1. Väestöennuste'!L55*1000</f>
        <v>4059.5969165196939</v>
      </c>
      <c r="CL55" s="41">
        <f>BZ55/'1. Väestöennuste'!M55*1000</f>
        <v>2371.3793693430657</v>
      </c>
      <c r="CM55" s="41">
        <f>CA55/'1. Väestöennuste'!N55*1000</f>
        <v>2435.7646534850323</v>
      </c>
      <c r="CN55" s="41">
        <f>CB55/'1. Väestöennuste'!O55*1000</f>
        <v>2539.3651274064691</v>
      </c>
      <c r="CO55" s="41">
        <f>CC55/'1. Väestöennuste'!P55*1000</f>
        <v>2649.0457541776336</v>
      </c>
      <c r="CP55" s="41">
        <f>CD55/'1. Väestöennuste'!Q55*1000</f>
        <v>2756.9910250017356</v>
      </c>
      <c r="CQ55" s="41">
        <f>CE55/'1. Väestöennuste'!R55*1000</f>
        <v>2868.42484370788</v>
      </c>
      <c r="CR55" s="41"/>
      <c r="CU55" s="159">
        <f t="shared" si="21"/>
        <v>216.58449524305388</v>
      </c>
      <c r="CV55" s="159">
        <f t="shared" si="22"/>
        <v>165.40436369563304</v>
      </c>
      <c r="CW55" s="159">
        <f t="shared" si="23"/>
        <v>150.38247417564844</v>
      </c>
      <c r="CX55" s="159">
        <f t="shared" si="24"/>
        <v>-1688.2175471766282</v>
      </c>
      <c r="CY55" s="159">
        <f t="shared" si="25"/>
        <v>64.385284141966622</v>
      </c>
      <c r="CZ55" s="159">
        <f t="shared" si="26"/>
        <v>103.60047392143679</v>
      </c>
      <c r="DA55" s="159">
        <f t="shared" si="33"/>
        <v>109.6806267711645</v>
      </c>
      <c r="DB55" s="159">
        <f t="shared" si="34"/>
        <v>107.94527082410195</v>
      </c>
      <c r="DC55" s="159">
        <f t="shared" si="34"/>
        <v>111.43381870614439</v>
      </c>
    </row>
    <row r="56" spans="1:107" x14ac:dyDescent="0.2">
      <c r="A56" s="99">
        <v>14</v>
      </c>
      <c r="B56" s="30">
        <v>145</v>
      </c>
      <c r="C56" s="47" t="s">
        <v>370</v>
      </c>
      <c r="D56" s="64">
        <v>35638.688450000001</v>
      </c>
      <c r="E56" s="64">
        <v>2113.4795399999998</v>
      </c>
      <c r="F56" s="64">
        <v>1300.99883</v>
      </c>
      <c r="G56" s="205">
        <v>39043</v>
      </c>
      <c r="H56" s="205"/>
      <c r="I56" s="64">
        <v>35072</v>
      </c>
      <c r="J56" s="64">
        <v>2128</v>
      </c>
      <c r="K56" s="64">
        <v>1266</v>
      </c>
      <c r="L56" s="205">
        <v>38465</v>
      </c>
      <c r="M56" s="205"/>
      <c r="N56" s="64">
        <v>35206</v>
      </c>
      <c r="O56" s="64">
        <v>2306</v>
      </c>
      <c r="P56" s="64">
        <v>1430</v>
      </c>
      <c r="Q56" s="205">
        <v>38942</v>
      </c>
      <c r="R56" s="205"/>
      <c r="S56" s="64">
        <v>35062</v>
      </c>
      <c r="T56" s="64">
        <v>2516</v>
      </c>
      <c r="U56" s="64">
        <v>1571</v>
      </c>
      <c r="V56" s="205">
        <v>39149</v>
      </c>
      <c r="W56" s="205"/>
      <c r="X56" s="64">
        <v>36607</v>
      </c>
      <c r="Y56" s="64">
        <v>2671</v>
      </c>
      <c r="Z56" s="64">
        <v>1626</v>
      </c>
      <c r="AA56" s="205">
        <f t="shared" si="27"/>
        <v>40904</v>
      </c>
      <c r="AB56" s="205"/>
      <c r="AC56" s="64">
        <v>39060</v>
      </c>
      <c r="AD56" s="64">
        <v>2440</v>
      </c>
      <c r="AE56" s="64">
        <v>1764</v>
      </c>
      <c r="AF56" s="205">
        <f t="shared" si="7"/>
        <v>43264</v>
      </c>
      <c r="AG56" s="205"/>
      <c r="AH56" s="278">
        <v>40386.449619999999</v>
      </c>
      <c r="AI56" s="64">
        <v>2854.6934100000003</v>
      </c>
      <c r="AJ56" s="64">
        <v>2886.3997599999998</v>
      </c>
      <c r="AK56" s="205">
        <f t="shared" si="28"/>
        <v>46127.54279</v>
      </c>
      <c r="AL56" s="205"/>
      <c r="AM56" s="64">
        <v>41557.65266</v>
      </c>
      <c r="AN56" s="64">
        <v>3010.9111200000002</v>
      </c>
      <c r="AO56" s="64">
        <v>3220.9711299999999</v>
      </c>
      <c r="AP56" s="205">
        <f t="shared" si="29"/>
        <v>47789.534909999995</v>
      </c>
      <c r="AQ56" s="205"/>
      <c r="AR56" s="64">
        <v>21226.908780000002</v>
      </c>
      <c r="AS56" s="64">
        <v>3009.0271499999999</v>
      </c>
      <c r="AT56" s="64">
        <v>1929.13627</v>
      </c>
      <c r="AU56" s="205">
        <f t="shared" si="30"/>
        <v>26165.072199999999</v>
      </c>
      <c r="AV56" s="205"/>
      <c r="AW56" s="64">
        <v>20426.80695456433</v>
      </c>
      <c r="AX56" s="64">
        <v>3220.7961097941284</v>
      </c>
      <c r="AY56" s="64">
        <v>1359.4258290151467</v>
      </c>
      <c r="AZ56" s="205">
        <f t="shared" si="31"/>
        <v>25007.028893373608</v>
      </c>
      <c r="BA56" s="205"/>
      <c r="BB56" s="64">
        <v>22006.301735449106</v>
      </c>
      <c r="BC56" s="64">
        <v>3236.1383948480502</v>
      </c>
      <c r="BD56" s="64">
        <v>1375.7389389633283</v>
      </c>
      <c r="BE56" s="205">
        <f t="shared" si="8"/>
        <v>26618.179069260485</v>
      </c>
      <c r="BF56" s="205"/>
      <c r="BG56" s="64">
        <v>23306.613804096316</v>
      </c>
      <c r="BH56" s="64">
        <v>3277.0860525242606</v>
      </c>
      <c r="BI56" s="64">
        <v>1442.5450082749301</v>
      </c>
      <c r="BJ56" s="205">
        <f t="shared" si="9"/>
        <v>28026.244864895507</v>
      </c>
      <c r="BK56" s="205"/>
      <c r="BL56" s="64">
        <v>24307.691965273971</v>
      </c>
      <c r="BM56" s="64">
        <v>3325.6705373423233</v>
      </c>
      <c r="BN56" s="64">
        <v>1528.7714465724623</v>
      </c>
      <c r="BO56" s="205">
        <f t="shared" si="10"/>
        <v>29162.133949188759</v>
      </c>
      <c r="BQ56" s="64">
        <v>25413.76447539233</v>
      </c>
      <c r="BR56" s="64">
        <v>3373.7979667306558</v>
      </c>
      <c r="BS56" s="64">
        <v>1582.3716649736309</v>
      </c>
      <c r="BT56" s="205">
        <f t="shared" si="11"/>
        <v>30369.934107096618</v>
      </c>
      <c r="BU56" s="205"/>
      <c r="BV56" s="5">
        <f t="shared" si="12"/>
        <v>40904</v>
      </c>
      <c r="BW56" s="5">
        <f t="shared" si="13"/>
        <v>43264</v>
      </c>
      <c r="BX56" s="5">
        <f t="shared" si="14"/>
        <v>46127.54279</v>
      </c>
      <c r="BY56" s="5">
        <f t="shared" si="15"/>
        <v>47789.534909999995</v>
      </c>
      <c r="BZ56" s="5">
        <f t="shared" si="16"/>
        <v>26165.072199999999</v>
      </c>
      <c r="CA56" s="5">
        <f t="shared" si="17"/>
        <v>25007.028893373608</v>
      </c>
      <c r="CB56" s="5">
        <f t="shared" si="18"/>
        <v>26618.179069260485</v>
      </c>
      <c r="CC56" s="5">
        <f t="shared" si="19"/>
        <v>28026.244864895507</v>
      </c>
      <c r="CD56" s="5">
        <f t="shared" si="20"/>
        <v>29162.133949188759</v>
      </c>
      <c r="CE56" s="5">
        <f t="shared" si="32"/>
        <v>30369.934107096618</v>
      </c>
      <c r="CH56" s="41">
        <f>BV56/'1. Väestöennuste'!I56*1000</f>
        <v>3333.9310457249976</v>
      </c>
      <c r="CI56" s="41">
        <f>BW56/'1. Väestöennuste'!J56*1000</f>
        <v>3519.1150154546931</v>
      </c>
      <c r="CJ56" s="41">
        <f>BX56/'1. Väestöennuste'!K56*1000</f>
        <v>3730.1910714863334</v>
      </c>
      <c r="CK56" s="41">
        <f>BY56/'1. Väestöennuste'!L56*1000</f>
        <v>3863.6538855202521</v>
      </c>
      <c r="CL56" s="41">
        <f>BZ56/'1. Väestöennuste'!M56*1000</f>
        <v>2119.8308514947739</v>
      </c>
      <c r="CM56" s="41">
        <f>CA56/'1. Väestöennuste'!N56*1000</f>
        <v>2010.6962204208094</v>
      </c>
      <c r="CN56" s="41">
        <f>CB56/'1. Väestöennuste'!O56*1000</f>
        <v>2136.9764827601548</v>
      </c>
      <c r="CO56" s="41">
        <f>CC56/'1. Väestöennuste'!P56*1000</f>
        <v>2247.6738202658998</v>
      </c>
      <c r="CP56" s="41">
        <f>CD56/'1. Väestöennuste'!Q56*1000</f>
        <v>2337.2712951181184</v>
      </c>
      <c r="CQ56" s="41">
        <f>CE56/'1. Väestöennuste'!R56*1000</f>
        <v>2434.0734236672774</v>
      </c>
      <c r="CR56" s="41"/>
      <c r="CU56" s="159">
        <f t="shared" si="21"/>
        <v>185.18396972969549</v>
      </c>
      <c r="CV56" s="159">
        <f t="shared" si="22"/>
        <v>211.07605603164029</v>
      </c>
      <c r="CW56" s="159">
        <f t="shared" si="23"/>
        <v>133.46281403391868</v>
      </c>
      <c r="CX56" s="159">
        <f t="shared" si="24"/>
        <v>-1743.8230340254781</v>
      </c>
      <c r="CY56" s="159">
        <f t="shared" si="25"/>
        <v>-109.13463107396456</v>
      </c>
      <c r="CZ56" s="159">
        <f t="shared" si="26"/>
        <v>126.28026233934543</v>
      </c>
      <c r="DA56" s="159">
        <f t="shared" si="33"/>
        <v>110.69733750574505</v>
      </c>
      <c r="DB56" s="159">
        <f t="shared" si="34"/>
        <v>89.597474852218511</v>
      </c>
      <c r="DC56" s="159">
        <f t="shared" si="34"/>
        <v>96.802128549159079</v>
      </c>
    </row>
    <row r="57" spans="1:107" x14ac:dyDescent="0.2">
      <c r="A57" s="99">
        <v>12</v>
      </c>
      <c r="B57" s="30">
        <v>146</v>
      </c>
      <c r="C57" s="47" t="s">
        <v>371</v>
      </c>
      <c r="D57" s="64">
        <v>14037.303910000001</v>
      </c>
      <c r="E57" s="64">
        <v>1295.9705300000001</v>
      </c>
      <c r="F57" s="64">
        <v>3157.7223199999999</v>
      </c>
      <c r="G57" s="205">
        <v>18491</v>
      </c>
      <c r="H57" s="205"/>
      <c r="I57" s="64">
        <v>13587</v>
      </c>
      <c r="J57" s="64">
        <v>1321</v>
      </c>
      <c r="K57" s="64">
        <v>2960</v>
      </c>
      <c r="L57" s="205">
        <v>17868</v>
      </c>
      <c r="M57" s="205"/>
      <c r="N57" s="64">
        <v>13573</v>
      </c>
      <c r="O57" s="64">
        <v>1372</v>
      </c>
      <c r="P57" s="64">
        <v>3414</v>
      </c>
      <c r="Q57" s="205">
        <v>18359</v>
      </c>
      <c r="R57" s="205"/>
      <c r="S57" s="64">
        <v>12588</v>
      </c>
      <c r="T57" s="64">
        <v>1351</v>
      </c>
      <c r="U57" s="64">
        <v>3121</v>
      </c>
      <c r="V57" s="205">
        <v>17060</v>
      </c>
      <c r="W57" s="205"/>
      <c r="X57" s="64">
        <v>12804</v>
      </c>
      <c r="Y57" s="64">
        <v>1484</v>
      </c>
      <c r="Z57" s="64">
        <v>3002</v>
      </c>
      <c r="AA57" s="205">
        <f t="shared" si="27"/>
        <v>17290</v>
      </c>
      <c r="AB57" s="205"/>
      <c r="AC57" s="64">
        <v>12966</v>
      </c>
      <c r="AD57" s="64">
        <v>1336</v>
      </c>
      <c r="AE57" s="64">
        <v>3160</v>
      </c>
      <c r="AF57" s="205">
        <f t="shared" si="7"/>
        <v>17462</v>
      </c>
      <c r="AG57" s="205"/>
      <c r="AH57" s="278">
        <v>13178.979429999999</v>
      </c>
      <c r="AI57" s="64">
        <v>1475.37113</v>
      </c>
      <c r="AJ57" s="64">
        <v>4533.4801100000004</v>
      </c>
      <c r="AK57" s="205">
        <f t="shared" si="28"/>
        <v>19187.830669999999</v>
      </c>
      <c r="AL57" s="205"/>
      <c r="AM57" s="64">
        <v>13196.27843</v>
      </c>
      <c r="AN57" s="64">
        <v>1555.0956200000001</v>
      </c>
      <c r="AO57" s="64">
        <v>4299.7631799999999</v>
      </c>
      <c r="AP57" s="205">
        <f t="shared" si="29"/>
        <v>19051.13723</v>
      </c>
      <c r="AQ57" s="205"/>
      <c r="AR57" s="64">
        <v>6335.32161</v>
      </c>
      <c r="AS57" s="64">
        <v>1577.95607</v>
      </c>
      <c r="AT57" s="64">
        <v>2605.22912</v>
      </c>
      <c r="AU57" s="205">
        <f t="shared" si="30"/>
        <v>10518.506799999999</v>
      </c>
      <c r="AV57" s="205"/>
      <c r="AW57" s="64">
        <v>5972.1486886766588</v>
      </c>
      <c r="AX57" s="64">
        <v>1692.8726154803683</v>
      </c>
      <c r="AY57" s="64">
        <v>2532.3757224711326</v>
      </c>
      <c r="AZ57" s="205">
        <f t="shared" si="31"/>
        <v>10197.397026628159</v>
      </c>
      <c r="BA57" s="205"/>
      <c r="BB57" s="64">
        <v>6119.7666725178478</v>
      </c>
      <c r="BC57" s="64">
        <v>1722.5536937660272</v>
      </c>
      <c r="BD57" s="64">
        <v>2562.7642311407863</v>
      </c>
      <c r="BE57" s="205">
        <f t="shared" si="8"/>
        <v>10405.084597424662</v>
      </c>
      <c r="BF57" s="205"/>
      <c r="BG57" s="64">
        <v>6178.4234351491305</v>
      </c>
      <c r="BH57" s="64">
        <v>1766.4687519564097</v>
      </c>
      <c r="BI57" s="64">
        <v>2687.212409502225</v>
      </c>
      <c r="BJ57" s="205">
        <f t="shared" si="9"/>
        <v>10632.104596607765</v>
      </c>
      <c r="BK57" s="205"/>
      <c r="BL57" s="64">
        <v>6236.3615588503835</v>
      </c>
      <c r="BM57" s="64">
        <v>1815.3553949636876</v>
      </c>
      <c r="BN57" s="64">
        <v>2847.8373838989651</v>
      </c>
      <c r="BO57" s="205">
        <f t="shared" si="10"/>
        <v>10899.554337713036</v>
      </c>
      <c r="BQ57" s="64">
        <v>6325.2867026723907</v>
      </c>
      <c r="BR57" s="64">
        <v>1864.9269199747066</v>
      </c>
      <c r="BS57" s="64">
        <v>2947.6853409563982</v>
      </c>
      <c r="BT57" s="205">
        <f t="shared" si="11"/>
        <v>11137.898963603497</v>
      </c>
      <c r="BU57" s="205"/>
      <c r="BV57" s="5">
        <f t="shared" si="12"/>
        <v>17290</v>
      </c>
      <c r="BW57" s="5">
        <f t="shared" si="13"/>
        <v>17462</v>
      </c>
      <c r="BX57" s="5">
        <f t="shared" si="14"/>
        <v>19187.830669999999</v>
      </c>
      <c r="BY57" s="5">
        <f t="shared" si="15"/>
        <v>19051.13723</v>
      </c>
      <c r="BZ57" s="5">
        <f t="shared" si="16"/>
        <v>10518.506799999999</v>
      </c>
      <c r="CA57" s="5">
        <f t="shared" si="17"/>
        <v>10197.397026628159</v>
      </c>
      <c r="CB57" s="5">
        <f t="shared" si="18"/>
        <v>10405.084597424662</v>
      </c>
      <c r="CC57" s="5">
        <f t="shared" si="19"/>
        <v>10632.104596607765</v>
      </c>
      <c r="CD57" s="5">
        <f t="shared" si="20"/>
        <v>10899.554337713036</v>
      </c>
      <c r="CE57" s="5">
        <f t="shared" si="32"/>
        <v>11137.898963603497</v>
      </c>
      <c r="CH57" s="41">
        <f>BV57/'1. Väestöennuste'!I57*1000</f>
        <v>3559.8105826641963</v>
      </c>
      <c r="CI57" s="41">
        <f>BW57/'1. Väestöennuste'!J57*1000</f>
        <v>3676.9846283428087</v>
      </c>
      <c r="CJ57" s="41">
        <f>BX57/'1. Väestöennuste'!K57*1000</f>
        <v>4132.6363708808958</v>
      </c>
      <c r="CK57" s="41">
        <f>BY57/'1. Väestöennuste'!L57*1000</f>
        <v>4241.125830365093</v>
      </c>
      <c r="CL57" s="41">
        <f>BZ57/'1. Väestöennuste'!M57*1000</f>
        <v>2387.3142986836128</v>
      </c>
      <c r="CM57" s="41">
        <f>CA57/'1. Väestöennuste'!N57*1000</f>
        <v>2343.1518903097794</v>
      </c>
      <c r="CN57" s="41">
        <f>CB57/'1. Väestöennuste'!O57*1000</f>
        <v>2436.7879619261507</v>
      </c>
      <c r="CO57" s="41">
        <f>CC57/'1. Väestöennuste'!P57*1000</f>
        <v>2536.8896675275032</v>
      </c>
      <c r="CP57" s="41">
        <f>CD57/'1. Väestöennuste'!Q57*1000</f>
        <v>2648.7373846204218</v>
      </c>
      <c r="CQ57" s="41">
        <f>CE57/'1. Väestöennuste'!R57*1000</f>
        <v>2755.5415545778073</v>
      </c>
      <c r="CR57" s="41"/>
      <c r="CU57" s="159">
        <f t="shared" si="21"/>
        <v>117.1740456786124</v>
      </c>
      <c r="CV57" s="159">
        <f t="shared" si="22"/>
        <v>455.65174253808709</v>
      </c>
      <c r="CW57" s="159">
        <f t="shared" si="23"/>
        <v>108.48945948419714</v>
      </c>
      <c r="CX57" s="159">
        <f t="shared" si="24"/>
        <v>-1853.8115316814801</v>
      </c>
      <c r="CY57" s="159">
        <f t="shared" si="25"/>
        <v>-44.162408373833387</v>
      </c>
      <c r="CZ57" s="159">
        <f t="shared" si="26"/>
        <v>93.636071616371282</v>
      </c>
      <c r="DA57" s="159">
        <f t="shared" si="33"/>
        <v>100.10170560135248</v>
      </c>
      <c r="DB57" s="159">
        <f t="shared" si="34"/>
        <v>111.84771709291863</v>
      </c>
      <c r="DC57" s="159">
        <f t="shared" si="34"/>
        <v>106.80416995738551</v>
      </c>
    </row>
    <row r="58" spans="1:107" x14ac:dyDescent="0.2">
      <c r="A58" s="99">
        <v>19</v>
      </c>
      <c r="B58" s="30">
        <v>148</v>
      </c>
      <c r="C58" s="47" t="s">
        <v>372</v>
      </c>
      <c r="D58" s="64">
        <v>18854.621420000003</v>
      </c>
      <c r="E58" s="64">
        <v>4067.6536700000001</v>
      </c>
      <c r="F58" s="64">
        <v>2362.3422</v>
      </c>
      <c r="G58" s="205">
        <v>25068</v>
      </c>
      <c r="H58" s="205"/>
      <c r="I58" s="64">
        <v>19749</v>
      </c>
      <c r="J58" s="64">
        <v>4259</v>
      </c>
      <c r="K58" s="64">
        <v>2161</v>
      </c>
      <c r="L58" s="205">
        <v>26169</v>
      </c>
      <c r="M58" s="205"/>
      <c r="N58" s="64">
        <v>19854</v>
      </c>
      <c r="O58" s="64">
        <v>4245</v>
      </c>
      <c r="P58" s="64">
        <v>2578</v>
      </c>
      <c r="Q58" s="205">
        <v>26677</v>
      </c>
      <c r="R58" s="205"/>
      <c r="S58" s="64">
        <v>21115</v>
      </c>
      <c r="T58" s="64">
        <v>4390</v>
      </c>
      <c r="U58" s="64">
        <v>2487</v>
      </c>
      <c r="V58" s="205">
        <v>27992</v>
      </c>
      <c r="W58" s="205"/>
      <c r="X58" s="64">
        <v>20440</v>
      </c>
      <c r="Y58" s="64">
        <v>4508</v>
      </c>
      <c r="Z58" s="64">
        <v>2705</v>
      </c>
      <c r="AA58" s="205">
        <f t="shared" si="27"/>
        <v>27653</v>
      </c>
      <c r="AB58" s="205"/>
      <c r="AC58" s="64">
        <v>20976</v>
      </c>
      <c r="AD58" s="64">
        <v>4228</v>
      </c>
      <c r="AE58" s="64">
        <v>3041</v>
      </c>
      <c r="AF58" s="205">
        <f t="shared" si="7"/>
        <v>28245</v>
      </c>
      <c r="AG58" s="205"/>
      <c r="AH58" s="278">
        <v>21052.21155</v>
      </c>
      <c r="AI58" s="64">
        <v>4730.1441299999997</v>
      </c>
      <c r="AJ58" s="64">
        <v>4440.3858899999996</v>
      </c>
      <c r="AK58" s="205">
        <f t="shared" si="28"/>
        <v>30222.741569999998</v>
      </c>
      <c r="AL58" s="205"/>
      <c r="AM58" s="64">
        <v>22800.539290000001</v>
      </c>
      <c r="AN58" s="64">
        <v>4975.8418300000003</v>
      </c>
      <c r="AO58" s="64">
        <v>4367.3032699999994</v>
      </c>
      <c r="AP58" s="205">
        <f t="shared" si="29"/>
        <v>32143.684390000002</v>
      </c>
      <c r="AQ58" s="205"/>
      <c r="AR58" s="64">
        <v>11132.32</v>
      </c>
      <c r="AS58" s="64">
        <v>5259.2371399999993</v>
      </c>
      <c r="AT58" s="64">
        <v>2391.0464200000001</v>
      </c>
      <c r="AU58" s="205">
        <f t="shared" si="30"/>
        <v>18782.603559999996</v>
      </c>
      <c r="AV58" s="205"/>
      <c r="AW58" s="64">
        <v>9771.959455946404</v>
      </c>
      <c r="AX58" s="64">
        <v>5570.6362247606621</v>
      </c>
      <c r="AY58" s="64">
        <v>1940.6011163408134</v>
      </c>
      <c r="AZ58" s="205">
        <f t="shared" si="31"/>
        <v>17283.19679704788</v>
      </c>
      <c r="BA58" s="205"/>
      <c r="BB58" s="64">
        <v>10313.376914703613</v>
      </c>
      <c r="BC58" s="64">
        <v>5752.3125248131555</v>
      </c>
      <c r="BD58" s="64">
        <v>1963.888329736903</v>
      </c>
      <c r="BE58" s="205">
        <f t="shared" si="8"/>
        <v>18029.577769253672</v>
      </c>
      <c r="BF58" s="205"/>
      <c r="BG58" s="64">
        <v>10827.235477427295</v>
      </c>
      <c r="BH58" s="64">
        <v>5986.869761332061</v>
      </c>
      <c r="BI58" s="64">
        <v>2059.2550131685089</v>
      </c>
      <c r="BJ58" s="205">
        <f t="shared" si="9"/>
        <v>18873.360251927865</v>
      </c>
      <c r="BK58" s="205"/>
      <c r="BL58" s="64">
        <v>11267.668463469847</v>
      </c>
      <c r="BM58" s="64">
        <v>6244.7032114458043</v>
      </c>
      <c r="BN58" s="64">
        <v>2182.3445696906974</v>
      </c>
      <c r="BO58" s="205">
        <f t="shared" si="10"/>
        <v>19694.716244606348</v>
      </c>
      <c r="BQ58" s="64">
        <v>11770.552776428094</v>
      </c>
      <c r="BR58" s="64">
        <v>6511.7493100492875</v>
      </c>
      <c r="BS58" s="64">
        <v>2258.8596994207069</v>
      </c>
      <c r="BT58" s="205">
        <f t="shared" si="11"/>
        <v>20541.16178589809</v>
      </c>
      <c r="BU58" s="205"/>
      <c r="BV58" s="5">
        <f t="shared" si="12"/>
        <v>27653</v>
      </c>
      <c r="BW58" s="5">
        <f t="shared" si="13"/>
        <v>28245</v>
      </c>
      <c r="BX58" s="5">
        <f t="shared" si="14"/>
        <v>30222.741569999998</v>
      </c>
      <c r="BY58" s="5">
        <f t="shared" si="15"/>
        <v>32143.684390000002</v>
      </c>
      <c r="BZ58" s="5">
        <f t="shared" si="16"/>
        <v>18782.603559999996</v>
      </c>
      <c r="CA58" s="5">
        <f t="shared" si="17"/>
        <v>17283.19679704788</v>
      </c>
      <c r="CB58" s="5">
        <f t="shared" si="18"/>
        <v>18029.577769253672</v>
      </c>
      <c r="CC58" s="5">
        <f t="shared" si="19"/>
        <v>18873.360251927865</v>
      </c>
      <c r="CD58" s="5">
        <f t="shared" si="20"/>
        <v>19694.716244606348</v>
      </c>
      <c r="CE58" s="5">
        <f t="shared" si="32"/>
        <v>20541.16178589809</v>
      </c>
      <c r="CH58" s="41">
        <f>BV58/'1. Väestöennuste'!I58*1000</f>
        <v>4003.6195164326045</v>
      </c>
      <c r="CI58" s="41">
        <f>BW58/'1. Väestöennuste'!J58*1000</f>
        <v>4116.1468959487029</v>
      </c>
      <c r="CJ58" s="41">
        <f>BX58/'1. Väestöennuste'!K58*1000</f>
        <v>4312.6058176369861</v>
      </c>
      <c r="CK58" s="41">
        <f>BY58/'1. Väestöennuste'!L58*1000</f>
        <v>4561.328847736625</v>
      </c>
      <c r="CL58" s="41">
        <f>BZ58/'1. Väestöennuste'!M58*1000</f>
        <v>2635.4151199663247</v>
      </c>
      <c r="CM58" s="41">
        <f>CA58/'1. Väestöennuste'!N58*1000</f>
        <v>2507.7186298676552</v>
      </c>
      <c r="CN58" s="41">
        <f>CB58/'1. Väestöennuste'!O58*1000</f>
        <v>2612.9822853990827</v>
      </c>
      <c r="CO58" s="41">
        <f>CC58/'1. Väestöennuste'!P58*1000</f>
        <v>2732.893172882691</v>
      </c>
      <c r="CP58" s="41">
        <f>CD58/'1. Väestöennuste'!Q58*1000</f>
        <v>2848.9391356294441</v>
      </c>
      <c r="CQ58" s="41">
        <f>CE58/'1. Väestöennuste'!R58*1000</f>
        <v>2968.3759806211115</v>
      </c>
      <c r="CR58" s="41"/>
      <c r="CU58" s="159">
        <f t="shared" si="21"/>
        <v>112.52737951609834</v>
      </c>
      <c r="CV58" s="159">
        <f t="shared" si="22"/>
        <v>196.45892168828323</v>
      </c>
      <c r="CW58" s="159">
        <f t="shared" si="23"/>
        <v>248.72303009963889</v>
      </c>
      <c r="CX58" s="159">
        <f t="shared" si="24"/>
        <v>-1925.9137277703003</v>
      </c>
      <c r="CY58" s="159">
        <f t="shared" si="25"/>
        <v>-127.69649009866953</v>
      </c>
      <c r="CZ58" s="159">
        <f t="shared" si="26"/>
        <v>105.2636555314275</v>
      </c>
      <c r="DA58" s="159">
        <f t="shared" si="33"/>
        <v>119.91088748360835</v>
      </c>
      <c r="DB58" s="159">
        <f t="shared" si="34"/>
        <v>116.04596274675305</v>
      </c>
      <c r="DC58" s="159">
        <f t="shared" si="34"/>
        <v>119.43684499166739</v>
      </c>
    </row>
    <row r="59" spans="1:107" x14ac:dyDescent="0.2">
      <c r="A59" s="99">
        <v>1</v>
      </c>
      <c r="B59" s="30">
        <v>149</v>
      </c>
      <c r="C59" s="47" t="s">
        <v>373</v>
      </c>
      <c r="D59" s="64">
        <v>21375.591170000003</v>
      </c>
      <c r="E59" s="64">
        <v>2922.0744300000001</v>
      </c>
      <c r="F59" s="64">
        <v>2069.2097699999999</v>
      </c>
      <c r="G59" s="205">
        <v>26367</v>
      </c>
      <c r="H59" s="205"/>
      <c r="I59" s="64">
        <v>21280</v>
      </c>
      <c r="J59" s="64">
        <v>3086</v>
      </c>
      <c r="K59" s="64">
        <v>1397</v>
      </c>
      <c r="L59" s="205">
        <v>25765</v>
      </c>
      <c r="M59" s="205"/>
      <c r="N59" s="64">
        <v>21433</v>
      </c>
      <c r="O59" s="64">
        <v>3038</v>
      </c>
      <c r="P59" s="64">
        <v>1107</v>
      </c>
      <c r="Q59" s="205">
        <v>25578</v>
      </c>
      <c r="R59" s="205"/>
      <c r="S59" s="64">
        <v>21994</v>
      </c>
      <c r="T59" s="64">
        <v>2939</v>
      </c>
      <c r="U59" s="64">
        <v>1042</v>
      </c>
      <c r="V59" s="205">
        <v>25975</v>
      </c>
      <c r="W59" s="205"/>
      <c r="X59" s="64">
        <v>21925</v>
      </c>
      <c r="Y59" s="64">
        <v>2899</v>
      </c>
      <c r="Z59" s="64">
        <v>1129</v>
      </c>
      <c r="AA59" s="205">
        <f t="shared" si="27"/>
        <v>25953</v>
      </c>
      <c r="AB59" s="205"/>
      <c r="AC59" s="64">
        <v>22802</v>
      </c>
      <c r="AD59" s="64">
        <v>2651</v>
      </c>
      <c r="AE59" s="64">
        <v>1306</v>
      </c>
      <c r="AF59" s="205">
        <f t="shared" si="7"/>
        <v>26759</v>
      </c>
      <c r="AG59" s="205"/>
      <c r="AH59" s="278">
        <v>22742.991969999999</v>
      </c>
      <c r="AI59" s="64">
        <v>2439.49361</v>
      </c>
      <c r="AJ59" s="64">
        <v>1992.85115</v>
      </c>
      <c r="AK59" s="205">
        <f t="shared" si="28"/>
        <v>27175.336729999999</v>
      </c>
      <c r="AL59" s="205"/>
      <c r="AM59" s="64">
        <v>24404.091690000001</v>
      </c>
      <c r="AN59" s="64">
        <v>3024.8802599999999</v>
      </c>
      <c r="AO59" s="64">
        <v>2031.23404</v>
      </c>
      <c r="AP59" s="205">
        <f t="shared" si="29"/>
        <v>29460.205989999999</v>
      </c>
      <c r="AQ59" s="205"/>
      <c r="AR59" s="64">
        <v>11997.341</v>
      </c>
      <c r="AS59" s="64">
        <v>3169.02709</v>
      </c>
      <c r="AT59" s="64">
        <v>1140.16463</v>
      </c>
      <c r="AU59" s="205">
        <f t="shared" si="30"/>
        <v>16306.532719999999</v>
      </c>
      <c r="AV59" s="205"/>
      <c r="AW59" s="64">
        <v>10987.022803079808</v>
      </c>
      <c r="AX59" s="64">
        <v>3375.9469213881921</v>
      </c>
      <c r="AY59" s="64">
        <v>760.40534463222036</v>
      </c>
      <c r="AZ59" s="205">
        <f t="shared" si="31"/>
        <v>15123.375069100219</v>
      </c>
      <c r="BA59" s="205"/>
      <c r="BB59" s="64">
        <v>11495.444849689404</v>
      </c>
      <c r="BC59" s="64">
        <v>3407.115312394119</v>
      </c>
      <c r="BD59" s="64">
        <v>769.53020876780693</v>
      </c>
      <c r="BE59" s="205">
        <f t="shared" si="8"/>
        <v>15672.090370851329</v>
      </c>
      <c r="BF59" s="205"/>
      <c r="BG59" s="64">
        <v>11903.542289906192</v>
      </c>
      <c r="BH59" s="64">
        <v>3464.9802913815665</v>
      </c>
      <c r="BI59" s="64">
        <v>806.89869998973325</v>
      </c>
      <c r="BJ59" s="205">
        <f t="shared" si="9"/>
        <v>16175.421281277491</v>
      </c>
      <c r="BK59" s="205"/>
      <c r="BL59" s="64">
        <v>12237.416508874783</v>
      </c>
      <c r="BM59" s="64">
        <v>3530.7964577341609</v>
      </c>
      <c r="BN59" s="64">
        <v>855.13012470640558</v>
      </c>
      <c r="BO59" s="205">
        <f t="shared" si="10"/>
        <v>16623.34309131535</v>
      </c>
      <c r="BQ59" s="64">
        <v>12624.43153517973</v>
      </c>
      <c r="BR59" s="64">
        <v>3596.0192294180279</v>
      </c>
      <c r="BS59" s="64">
        <v>885.11182115190445</v>
      </c>
      <c r="BT59" s="205">
        <f t="shared" si="11"/>
        <v>17105.562585749663</v>
      </c>
      <c r="BU59" s="205"/>
      <c r="BV59" s="5">
        <f t="shared" si="12"/>
        <v>25953</v>
      </c>
      <c r="BW59" s="5">
        <f t="shared" si="13"/>
        <v>26759</v>
      </c>
      <c r="BX59" s="5">
        <f t="shared" si="14"/>
        <v>27175.336729999999</v>
      </c>
      <c r="BY59" s="5">
        <f t="shared" si="15"/>
        <v>29460.205989999999</v>
      </c>
      <c r="BZ59" s="5">
        <f t="shared" si="16"/>
        <v>16306.532719999999</v>
      </c>
      <c r="CA59" s="5">
        <f t="shared" si="17"/>
        <v>15123.375069100219</v>
      </c>
      <c r="CB59" s="5">
        <f t="shared" si="18"/>
        <v>15672.090370851329</v>
      </c>
      <c r="CC59" s="5">
        <f t="shared" si="19"/>
        <v>16175.421281277491</v>
      </c>
      <c r="CD59" s="5">
        <f t="shared" si="20"/>
        <v>16623.34309131535</v>
      </c>
      <c r="CE59" s="5">
        <f t="shared" si="32"/>
        <v>17105.562585749663</v>
      </c>
      <c r="CH59" s="41">
        <f>BV59/'1. Väestöennuste'!I59*1000</f>
        <v>4818.6037875974744</v>
      </c>
      <c r="CI59" s="41">
        <f>BW59/'1. Väestöennuste'!J59*1000</f>
        <v>5028.941928208983</v>
      </c>
      <c r="CJ59" s="41">
        <f>BX59/'1. Väestöennuste'!K59*1000</f>
        <v>5076.6554698300015</v>
      </c>
      <c r="CK59" s="41">
        <f>BY59/'1. Väestöennuste'!L59*1000</f>
        <v>5471.8064617384834</v>
      </c>
      <c r="CL59" s="41">
        <f>BZ59/'1. Väestöennuste'!M59*1000</f>
        <v>3031.5175162669639</v>
      </c>
      <c r="CM59" s="41">
        <f>CA59/'1. Väestöennuste'!N59*1000</f>
        <v>2917.317721662851</v>
      </c>
      <c r="CN59" s="41">
        <f>CB59/'1. Väestöennuste'!O59*1000</f>
        <v>3036.6383202579595</v>
      </c>
      <c r="CO59" s="41">
        <f>CC59/'1. Väestöennuste'!P59*1000</f>
        <v>3148.8069459368294</v>
      </c>
      <c r="CP59" s="41">
        <f>CD59/'1. Väestöennuste'!Q59*1000</f>
        <v>3249.2852015862686</v>
      </c>
      <c r="CQ59" s="41">
        <f>CE59/'1. Väestöennuste'!R59*1000</f>
        <v>3356.6645576431833</v>
      </c>
      <c r="CR59" s="41"/>
      <c r="CU59" s="159">
        <f t="shared" si="21"/>
        <v>210.33814061150861</v>
      </c>
      <c r="CV59" s="159">
        <f t="shared" si="22"/>
        <v>47.713541621018521</v>
      </c>
      <c r="CW59" s="159">
        <f t="shared" si="23"/>
        <v>395.15099190848196</v>
      </c>
      <c r="CX59" s="159">
        <f t="shared" si="24"/>
        <v>-2440.2889454715196</v>
      </c>
      <c r="CY59" s="159">
        <f t="shared" si="25"/>
        <v>-114.19979460411287</v>
      </c>
      <c r="CZ59" s="159">
        <f t="shared" si="26"/>
        <v>119.32059859510855</v>
      </c>
      <c r="DA59" s="159">
        <f t="shared" si="33"/>
        <v>112.16862567886983</v>
      </c>
      <c r="DB59" s="159">
        <f t="shared" si="34"/>
        <v>100.47825564943923</v>
      </c>
      <c r="DC59" s="159">
        <f t="shared" si="34"/>
        <v>107.37935605691473</v>
      </c>
    </row>
    <row r="60" spans="1:107" x14ac:dyDescent="0.2">
      <c r="A60" s="99">
        <v>14</v>
      </c>
      <c r="B60" s="30">
        <v>151</v>
      </c>
      <c r="C60" s="47" t="s">
        <v>374</v>
      </c>
      <c r="D60" s="64">
        <v>5513.0707999999995</v>
      </c>
      <c r="E60" s="64">
        <v>400.89254</v>
      </c>
      <c r="F60" s="64">
        <v>556.47518000000002</v>
      </c>
      <c r="G60" s="205">
        <v>6470</v>
      </c>
      <c r="H60" s="205"/>
      <c r="I60" s="64">
        <v>5183</v>
      </c>
      <c r="J60" s="64">
        <v>414</v>
      </c>
      <c r="K60" s="64">
        <v>548</v>
      </c>
      <c r="L60" s="205">
        <v>6145</v>
      </c>
      <c r="M60" s="205"/>
      <c r="N60" s="64">
        <v>5409</v>
      </c>
      <c r="O60" s="64">
        <v>447</v>
      </c>
      <c r="P60" s="64">
        <v>656</v>
      </c>
      <c r="Q60" s="205">
        <v>6512</v>
      </c>
      <c r="R60" s="205"/>
      <c r="S60" s="64">
        <v>5099</v>
      </c>
      <c r="T60" s="64">
        <v>454</v>
      </c>
      <c r="U60" s="64">
        <v>619</v>
      </c>
      <c r="V60" s="205">
        <v>6172</v>
      </c>
      <c r="W60" s="205"/>
      <c r="X60" s="64">
        <v>4983</v>
      </c>
      <c r="Y60" s="64">
        <v>457</v>
      </c>
      <c r="Z60" s="64">
        <v>659</v>
      </c>
      <c r="AA60" s="205">
        <f t="shared" si="27"/>
        <v>6099</v>
      </c>
      <c r="AB60" s="205"/>
      <c r="AC60" s="64">
        <v>5528</v>
      </c>
      <c r="AD60" s="64">
        <v>581</v>
      </c>
      <c r="AE60" s="64">
        <v>805</v>
      </c>
      <c r="AF60" s="205">
        <f t="shared" si="7"/>
        <v>6914</v>
      </c>
      <c r="AG60" s="205"/>
      <c r="AH60" s="278">
        <v>5356.6094499999999</v>
      </c>
      <c r="AI60" s="64">
        <v>641.30764999999997</v>
      </c>
      <c r="AJ60" s="64">
        <v>1252.46603</v>
      </c>
      <c r="AK60" s="205">
        <f t="shared" si="28"/>
        <v>7250.3831300000002</v>
      </c>
      <c r="AL60" s="205"/>
      <c r="AM60" s="64">
        <v>5943.6016200000004</v>
      </c>
      <c r="AN60" s="64">
        <v>1004.79883</v>
      </c>
      <c r="AO60" s="64">
        <v>1178.47749</v>
      </c>
      <c r="AP60" s="205">
        <f t="shared" si="29"/>
        <v>8126.8779400000003</v>
      </c>
      <c r="AQ60" s="205"/>
      <c r="AR60" s="64">
        <v>3042.8685399999999</v>
      </c>
      <c r="AS60" s="64">
        <v>1149.27432</v>
      </c>
      <c r="AT60" s="64">
        <v>899.54025000000001</v>
      </c>
      <c r="AU60" s="205">
        <f t="shared" si="30"/>
        <v>5091.6831099999999</v>
      </c>
      <c r="AV60" s="205"/>
      <c r="AW60" s="64">
        <v>2903.7424814667056</v>
      </c>
      <c r="AX60" s="64">
        <v>1170.7754333980929</v>
      </c>
      <c r="AY60" s="64">
        <v>1115.5571529517581</v>
      </c>
      <c r="AZ60" s="205">
        <f t="shared" si="31"/>
        <v>5190.0750678165568</v>
      </c>
      <c r="BA60" s="205"/>
      <c r="BB60" s="64">
        <v>3038.3252583244966</v>
      </c>
      <c r="BC60" s="64">
        <v>1174.7668192071624</v>
      </c>
      <c r="BD60" s="64">
        <v>1128.9438387871792</v>
      </c>
      <c r="BE60" s="205">
        <f t="shared" si="8"/>
        <v>5342.0359163188386</v>
      </c>
      <c r="BF60" s="205"/>
      <c r="BG60" s="64">
        <v>3137.0693290059071</v>
      </c>
      <c r="BH60" s="64">
        <v>1187.8798350012796</v>
      </c>
      <c r="BI60" s="64">
        <v>1183.7655045893798</v>
      </c>
      <c r="BJ60" s="205">
        <f t="shared" si="9"/>
        <v>5508.7146685965663</v>
      </c>
      <c r="BK60" s="205"/>
      <c r="BL60" s="64">
        <v>3210.2971459907249</v>
      </c>
      <c r="BM60" s="64">
        <v>1203.571545844859</v>
      </c>
      <c r="BN60" s="64">
        <v>1254.5237011480342</v>
      </c>
      <c r="BO60" s="205">
        <f t="shared" si="10"/>
        <v>5668.3923929836174</v>
      </c>
      <c r="BQ60" s="64">
        <v>3317.0422169595554</v>
      </c>
      <c r="BR60" s="64">
        <v>1218.9049232872974</v>
      </c>
      <c r="BS60" s="64">
        <v>1298.5085260358464</v>
      </c>
      <c r="BT60" s="205">
        <f t="shared" si="11"/>
        <v>5834.455666282699</v>
      </c>
      <c r="BU60" s="205"/>
      <c r="BV60" s="5">
        <f t="shared" si="12"/>
        <v>6099</v>
      </c>
      <c r="BW60" s="5">
        <f t="shared" si="13"/>
        <v>6914</v>
      </c>
      <c r="BX60" s="5">
        <f t="shared" si="14"/>
        <v>7250.3831300000002</v>
      </c>
      <c r="BY60" s="5">
        <f t="shared" si="15"/>
        <v>8126.8779400000003</v>
      </c>
      <c r="BZ60" s="5">
        <f t="shared" si="16"/>
        <v>5091.6831099999999</v>
      </c>
      <c r="CA60" s="5">
        <f t="shared" si="17"/>
        <v>5190.0750678165568</v>
      </c>
      <c r="CB60" s="5">
        <f t="shared" si="18"/>
        <v>5342.0359163188386</v>
      </c>
      <c r="CC60" s="5">
        <f t="shared" si="19"/>
        <v>5508.7146685965663</v>
      </c>
      <c r="CD60" s="5">
        <f t="shared" si="20"/>
        <v>5668.3923929836174</v>
      </c>
      <c r="CE60" s="5">
        <f t="shared" si="32"/>
        <v>5834.455666282699</v>
      </c>
      <c r="CH60" s="41">
        <f>BV60/'1. Väestöennuste'!I60*1000</f>
        <v>3126.089185033316</v>
      </c>
      <c r="CI60" s="41">
        <f>BW60/'1. Väestöennuste'!J60*1000</f>
        <v>3591.6883116883114</v>
      </c>
      <c r="CJ60" s="41">
        <f>BX60/'1. Väestöennuste'!K60*1000</f>
        <v>3834.1528979375994</v>
      </c>
      <c r="CK60" s="41">
        <f>BY60/'1. Väestöennuste'!L60*1000</f>
        <v>4388.1630345572357</v>
      </c>
      <c r="CL60" s="41">
        <f>BZ60/'1. Väestöennuste'!M60*1000</f>
        <v>2806.8815380374863</v>
      </c>
      <c r="CM60" s="41">
        <f>CA60/'1. Väestöennuste'!N60*1000</f>
        <v>2889.7968083611117</v>
      </c>
      <c r="CN60" s="41">
        <f>CB60/'1. Väestöennuste'!O60*1000</f>
        <v>3018.0993877507563</v>
      </c>
      <c r="CO60" s="41">
        <f>CC60/'1. Väestöennuste'!P60*1000</f>
        <v>3156.8565436083477</v>
      </c>
      <c r="CP60" s="41">
        <f>CD60/'1. Väestöennuste'!Q60*1000</f>
        <v>3286.0245756426771</v>
      </c>
      <c r="CQ60" s="41">
        <f>CE60/'1. Väestöennuste'!R60*1000</f>
        <v>3423.9763299781098</v>
      </c>
      <c r="CR60" s="41"/>
      <c r="CU60" s="159">
        <f t="shared" si="21"/>
        <v>465.59912665499542</v>
      </c>
      <c r="CV60" s="159">
        <f t="shared" si="22"/>
        <v>242.464586249288</v>
      </c>
      <c r="CW60" s="159">
        <f t="shared" si="23"/>
        <v>554.01013661963634</v>
      </c>
      <c r="CX60" s="159">
        <f t="shared" si="24"/>
        <v>-1581.2814965197495</v>
      </c>
      <c r="CY60" s="159">
        <f t="shared" si="25"/>
        <v>82.915270323625464</v>
      </c>
      <c r="CZ60" s="159">
        <f t="shared" si="26"/>
        <v>128.30257938964451</v>
      </c>
      <c r="DA60" s="159">
        <f t="shared" si="33"/>
        <v>138.75715585759144</v>
      </c>
      <c r="DB60" s="159">
        <f t="shared" si="34"/>
        <v>129.16803203432937</v>
      </c>
      <c r="DC60" s="159">
        <f t="shared" si="34"/>
        <v>137.95175433543272</v>
      </c>
    </row>
    <row r="61" spans="1:107" x14ac:dyDescent="0.2">
      <c r="A61" s="99">
        <v>14</v>
      </c>
      <c r="B61" s="30">
        <v>152</v>
      </c>
      <c r="C61" s="47" t="s">
        <v>375</v>
      </c>
      <c r="D61" s="64">
        <v>14299.65907</v>
      </c>
      <c r="E61" s="64">
        <v>887.13129000000004</v>
      </c>
      <c r="F61" s="64">
        <v>550.32169999999996</v>
      </c>
      <c r="G61" s="205">
        <v>15739</v>
      </c>
      <c r="H61" s="205"/>
      <c r="I61" s="64">
        <v>14008</v>
      </c>
      <c r="J61" s="64">
        <v>906</v>
      </c>
      <c r="K61" s="64">
        <v>524</v>
      </c>
      <c r="L61" s="205">
        <v>15438</v>
      </c>
      <c r="M61" s="205"/>
      <c r="N61" s="64">
        <v>13541</v>
      </c>
      <c r="O61" s="64">
        <v>886</v>
      </c>
      <c r="P61" s="64">
        <v>636</v>
      </c>
      <c r="Q61" s="205">
        <v>15063</v>
      </c>
      <c r="R61" s="205"/>
      <c r="S61" s="64">
        <v>13175</v>
      </c>
      <c r="T61" s="64">
        <v>895</v>
      </c>
      <c r="U61" s="64">
        <v>574</v>
      </c>
      <c r="V61" s="205">
        <v>14644</v>
      </c>
      <c r="W61" s="205"/>
      <c r="X61" s="64">
        <v>13658</v>
      </c>
      <c r="Y61" s="64">
        <v>929</v>
      </c>
      <c r="Z61" s="64">
        <v>627</v>
      </c>
      <c r="AA61" s="205">
        <f t="shared" si="27"/>
        <v>15214</v>
      </c>
      <c r="AB61" s="205"/>
      <c r="AC61" s="64">
        <v>13852</v>
      </c>
      <c r="AD61" s="64">
        <v>835</v>
      </c>
      <c r="AE61" s="64">
        <v>676</v>
      </c>
      <c r="AF61" s="205">
        <f t="shared" si="7"/>
        <v>15363</v>
      </c>
      <c r="AG61" s="205"/>
      <c r="AH61" s="278">
        <v>14047.061159999999</v>
      </c>
      <c r="AI61" s="64">
        <v>927.37118999999996</v>
      </c>
      <c r="AJ61" s="64">
        <v>1073.21713</v>
      </c>
      <c r="AK61" s="205">
        <f t="shared" si="28"/>
        <v>16047.64948</v>
      </c>
      <c r="AL61" s="205"/>
      <c r="AM61" s="64">
        <v>15227.50589</v>
      </c>
      <c r="AN61" s="64">
        <v>975.01522</v>
      </c>
      <c r="AO61" s="64">
        <v>1305.9170200000001</v>
      </c>
      <c r="AP61" s="205">
        <f t="shared" si="29"/>
        <v>17508.438129999999</v>
      </c>
      <c r="AQ61" s="205"/>
      <c r="AR61" s="64">
        <v>7504.6685800000005</v>
      </c>
      <c r="AS61" s="64">
        <v>986.80237999999997</v>
      </c>
      <c r="AT61" s="64">
        <v>879.41506000000004</v>
      </c>
      <c r="AU61" s="205">
        <f t="shared" si="30"/>
        <v>9370.8860199999999</v>
      </c>
      <c r="AV61" s="205"/>
      <c r="AW61" s="64">
        <v>7687.7238765049779</v>
      </c>
      <c r="AX61" s="64">
        <v>1151.8095158289871</v>
      </c>
      <c r="AY61" s="64">
        <v>676.76067220485618</v>
      </c>
      <c r="AZ61" s="205">
        <f t="shared" si="31"/>
        <v>9516.2940645388207</v>
      </c>
      <c r="BA61" s="205"/>
      <c r="BB61" s="64">
        <v>8128.41675532917</v>
      </c>
      <c r="BC61" s="64">
        <v>1198.8471217080089</v>
      </c>
      <c r="BD61" s="64">
        <v>684.88180027131443</v>
      </c>
      <c r="BE61" s="205">
        <f t="shared" si="8"/>
        <v>10012.145677308494</v>
      </c>
      <c r="BF61" s="205"/>
      <c r="BG61" s="64">
        <v>8443.5914099995553</v>
      </c>
      <c r="BH61" s="64">
        <v>1257.4078514228027</v>
      </c>
      <c r="BI61" s="64">
        <v>718.13975330538165</v>
      </c>
      <c r="BJ61" s="205">
        <f t="shared" si="9"/>
        <v>10419.13901472774</v>
      </c>
      <c r="BK61" s="205"/>
      <c r="BL61" s="64">
        <v>8659.9746646034873</v>
      </c>
      <c r="BM61" s="64">
        <v>1321.4559296064263</v>
      </c>
      <c r="BN61" s="64">
        <v>761.06571594237539</v>
      </c>
      <c r="BO61" s="205">
        <f t="shared" si="10"/>
        <v>10742.496310152288</v>
      </c>
      <c r="BQ61" s="64">
        <v>8897.1724552361084</v>
      </c>
      <c r="BR61" s="64">
        <v>1388.0735159096062</v>
      </c>
      <c r="BS61" s="64">
        <v>787.74942244645263</v>
      </c>
      <c r="BT61" s="205">
        <f t="shared" si="11"/>
        <v>11072.995393592166</v>
      </c>
      <c r="BU61" s="205"/>
      <c r="BV61" s="5">
        <f t="shared" si="12"/>
        <v>15214</v>
      </c>
      <c r="BW61" s="5">
        <f t="shared" si="13"/>
        <v>15363</v>
      </c>
      <c r="BX61" s="5">
        <f t="shared" si="14"/>
        <v>16047.64948</v>
      </c>
      <c r="BY61" s="5">
        <f t="shared" si="15"/>
        <v>17508.438129999999</v>
      </c>
      <c r="BZ61" s="5">
        <f t="shared" si="16"/>
        <v>9370.8860199999999</v>
      </c>
      <c r="CA61" s="5">
        <f t="shared" si="17"/>
        <v>9516.2940645388207</v>
      </c>
      <c r="CB61" s="5">
        <f t="shared" si="18"/>
        <v>10012.145677308494</v>
      </c>
      <c r="CC61" s="5">
        <f t="shared" si="19"/>
        <v>10419.13901472774</v>
      </c>
      <c r="CD61" s="5">
        <f t="shared" si="20"/>
        <v>10742.496310152288</v>
      </c>
      <c r="CE61" s="5">
        <f t="shared" si="32"/>
        <v>11072.995393592166</v>
      </c>
      <c r="CH61" s="41">
        <f>BV61/'1. Väestöennuste'!I61*1000</f>
        <v>3364.4405130473242</v>
      </c>
      <c r="CI61" s="41">
        <f>BW61/'1. Väestöennuste'!J61*1000</f>
        <v>3436.1440393647954</v>
      </c>
      <c r="CJ61" s="41">
        <f>BX61/'1. Väestöennuste'!K61*1000</f>
        <v>3582.0646160714286</v>
      </c>
      <c r="CK61" s="41">
        <f>BY61/'1. Väestöennuste'!L61*1000</f>
        <v>3973.7717044938718</v>
      </c>
      <c r="CL61" s="41">
        <f>BZ61/'1. Väestöennuste'!M61*1000</f>
        <v>2150.7656690383292</v>
      </c>
      <c r="CM61" s="41">
        <f>CA61/'1. Väestöennuste'!N61*1000</f>
        <v>2230.2071864398454</v>
      </c>
      <c r="CN61" s="41">
        <f>CB61/'1. Väestöennuste'!O61*1000</f>
        <v>2372.5463690304487</v>
      </c>
      <c r="CO61" s="41">
        <f>CC61/'1. Väestöennuste'!P61*1000</f>
        <v>2496.2000514441161</v>
      </c>
      <c r="CP61" s="41">
        <f>CD61/'1. Väestöennuste'!Q61*1000</f>
        <v>2602.9794790773658</v>
      </c>
      <c r="CQ61" s="41">
        <f>CE61/'1. Väestöennuste'!R61*1000</f>
        <v>2709.9841883485478</v>
      </c>
      <c r="CR61" s="41"/>
      <c r="CU61" s="159">
        <f t="shared" si="21"/>
        <v>71.703526317471187</v>
      </c>
      <c r="CV61" s="159">
        <f t="shared" si="22"/>
        <v>145.92057670663326</v>
      </c>
      <c r="CW61" s="159">
        <f t="shared" si="23"/>
        <v>391.70708842244312</v>
      </c>
      <c r="CX61" s="159">
        <f t="shared" si="24"/>
        <v>-1823.0060354555426</v>
      </c>
      <c r="CY61" s="159">
        <f t="shared" si="25"/>
        <v>79.441517401516194</v>
      </c>
      <c r="CZ61" s="159">
        <f t="shared" si="26"/>
        <v>142.33918259060329</v>
      </c>
      <c r="DA61" s="159">
        <f t="shared" si="33"/>
        <v>123.65368241366741</v>
      </c>
      <c r="DB61" s="159">
        <f t="shared" si="34"/>
        <v>106.77942763324972</v>
      </c>
      <c r="DC61" s="159">
        <f t="shared" si="34"/>
        <v>107.00470927118204</v>
      </c>
    </row>
    <row r="62" spans="1:107" x14ac:dyDescent="0.2">
      <c r="A62" s="99">
        <v>9</v>
      </c>
      <c r="B62" s="30">
        <v>153</v>
      </c>
      <c r="C62" s="47" t="s">
        <v>376</v>
      </c>
      <c r="D62" s="64">
        <v>93789.441489999997</v>
      </c>
      <c r="E62" s="64">
        <v>9005.5127899999989</v>
      </c>
      <c r="F62" s="64">
        <v>4830.5616399999999</v>
      </c>
      <c r="G62" s="205">
        <v>107621</v>
      </c>
      <c r="H62" s="205"/>
      <c r="I62" s="64">
        <v>93467</v>
      </c>
      <c r="J62" s="64">
        <v>3959</v>
      </c>
      <c r="K62" s="64">
        <v>9262</v>
      </c>
      <c r="L62" s="205">
        <v>106689</v>
      </c>
      <c r="M62" s="205"/>
      <c r="N62" s="64">
        <v>91183</v>
      </c>
      <c r="O62" s="64">
        <v>9920</v>
      </c>
      <c r="P62" s="64">
        <v>4487</v>
      </c>
      <c r="Q62" s="205">
        <v>105590</v>
      </c>
      <c r="R62" s="205"/>
      <c r="S62" s="64">
        <v>89509</v>
      </c>
      <c r="T62" s="64">
        <v>9785</v>
      </c>
      <c r="U62" s="64">
        <v>3740</v>
      </c>
      <c r="V62" s="205">
        <v>103034</v>
      </c>
      <c r="W62" s="205"/>
      <c r="X62" s="64">
        <v>90624</v>
      </c>
      <c r="Y62" s="64">
        <v>11979</v>
      </c>
      <c r="Z62" s="64">
        <v>3372</v>
      </c>
      <c r="AA62" s="205">
        <f t="shared" si="27"/>
        <v>105975</v>
      </c>
      <c r="AB62" s="205"/>
      <c r="AC62" s="64">
        <v>90701</v>
      </c>
      <c r="AD62" s="64">
        <v>11241</v>
      </c>
      <c r="AE62" s="64">
        <v>3804</v>
      </c>
      <c r="AF62" s="205">
        <f t="shared" si="7"/>
        <v>105746</v>
      </c>
      <c r="AG62" s="205"/>
      <c r="AH62" s="278">
        <v>92543.998739999995</v>
      </c>
      <c r="AI62" s="64">
        <v>11912.557060000001</v>
      </c>
      <c r="AJ62" s="64">
        <v>5377.6325299999999</v>
      </c>
      <c r="AK62" s="205">
        <f t="shared" si="28"/>
        <v>109834.18833</v>
      </c>
      <c r="AL62" s="205"/>
      <c r="AM62" s="64">
        <v>93596.27115</v>
      </c>
      <c r="AN62" s="64">
        <v>12708.48545</v>
      </c>
      <c r="AO62" s="64">
        <v>5503.9052899999997</v>
      </c>
      <c r="AP62" s="205">
        <f t="shared" si="29"/>
        <v>111808.66188999999</v>
      </c>
      <c r="AQ62" s="205"/>
      <c r="AR62" s="64">
        <v>42575.796539999996</v>
      </c>
      <c r="AS62" s="64">
        <v>11943.088960000001</v>
      </c>
      <c r="AT62" s="64">
        <v>4054.7060299999998</v>
      </c>
      <c r="AU62" s="205">
        <f t="shared" si="30"/>
        <v>58573.591529999998</v>
      </c>
      <c r="AV62" s="205"/>
      <c r="AW62" s="64">
        <v>45475.733123856546</v>
      </c>
      <c r="AX62" s="64">
        <v>12271.39917615748</v>
      </c>
      <c r="AY62" s="64">
        <v>4517.6526970294017</v>
      </c>
      <c r="AZ62" s="205">
        <f t="shared" si="31"/>
        <v>62264.784997043425</v>
      </c>
      <c r="BA62" s="205"/>
      <c r="BB62" s="64">
        <v>47635.895220017475</v>
      </c>
      <c r="BC62" s="64">
        <v>12154.998133898274</v>
      </c>
      <c r="BD62" s="64">
        <v>4571.8645293937543</v>
      </c>
      <c r="BE62" s="205">
        <f t="shared" si="8"/>
        <v>64362.757883309503</v>
      </c>
      <c r="BF62" s="205"/>
      <c r="BG62" s="64">
        <v>48884.581448210665</v>
      </c>
      <c r="BH62" s="64">
        <v>12131.380632550005</v>
      </c>
      <c r="BI62" s="64">
        <v>4793.8748905049133</v>
      </c>
      <c r="BJ62" s="205">
        <f t="shared" si="9"/>
        <v>65809.836971265584</v>
      </c>
      <c r="BK62" s="205"/>
      <c r="BL62" s="64">
        <v>49918.188646681236</v>
      </c>
      <c r="BM62" s="64">
        <v>12130.984337589734</v>
      </c>
      <c r="BN62" s="64">
        <v>5080.423147287921</v>
      </c>
      <c r="BO62" s="205">
        <f t="shared" si="10"/>
        <v>67129.596131558894</v>
      </c>
      <c r="BQ62" s="64">
        <v>51174.801224088878</v>
      </c>
      <c r="BR62" s="64">
        <v>12123.62393067136</v>
      </c>
      <c r="BS62" s="64">
        <v>5258.5477393422234</v>
      </c>
      <c r="BT62" s="205">
        <f t="shared" si="11"/>
        <v>68556.972894102466</v>
      </c>
      <c r="BU62" s="205"/>
      <c r="BV62" s="5">
        <f t="shared" si="12"/>
        <v>105975</v>
      </c>
      <c r="BW62" s="5">
        <f t="shared" si="13"/>
        <v>105746</v>
      </c>
      <c r="BX62" s="5">
        <f t="shared" si="14"/>
        <v>109834.18833</v>
      </c>
      <c r="BY62" s="5">
        <f t="shared" si="15"/>
        <v>111808.66188999999</v>
      </c>
      <c r="BZ62" s="5">
        <f t="shared" si="16"/>
        <v>58573.591529999998</v>
      </c>
      <c r="CA62" s="5">
        <f t="shared" si="17"/>
        <v>62264.784997043425</v>
      </c>
      <c r="CB62" s="5">
        <f t="shared" si="18"/>
        <v>64362.757883309503</v>
      </c>
      <c r="CC62" s="5">
        <f t="shared" si="19"/>
        <v>65809.836971265584</v>
      </c>
      <c r="CD62" s="5">
        <f t="shared" si="20"/>
        <v>67129.596131558894</v>
      </c>
      <c r="CE62" s="5">
        <f t="shared" si="32"/>
        <v>68556.972894102466</v>
      </c>
      <c r="CH62" s="41">
        <f>BV62/'1. Väestöennuste'!I62*1000</f>
        <v>3997.8497057492082</v>
      </c>
      <c r="CI62" s="41">
        <f>BW62/'1. Väestöennuste'!J62*1000</f>
        <v>4055.4554170661554</v>
      </c>
      <c r="CJ62" s="41">
        <f>BX62/'1. Väestöennuste'!K62*1000</f>
        <v>4281.2000908205036</v>
      </c>
      <c r="CK62" s="41">
        <f>BY62/'1. Väestöennuste'!L62*1000</f>
        <v>4435.4435849730244</v>
      </c>
      <c r="CL62" s="41">
        <f>BZ62/'1. Väestöennuste'!M62*1000</f>
        <v>2350.559473895421</v>
      </c>
      <c r="CM62" s="41">
        <f>CA62/'1. Väestöennuste'!N62*1000</f>
        <v>2519.0057851380948</v>
      </c>
      <c r="CN62" s="41">
        <f>CB62/'1. Väestöennuste'!O62*1000</f>
        <v>2638.5749142503792</v>
      </c>
      <c r="CO62" s="41">
        <f>CC62/'1. Väestöennuste'!P62*1000</f>
        <v>2733.3071799337786</v>
      </c>
      <c r="CP62" s="41">
        <f>CD62/'1. Väestöennuste'!Q62*1000</f>
        <v>2823.5371664167778</v>
      </c>
      <c r="CQ62" s="41">
        <f>CE62/'1. Väestöennuste'!R62*1000</f>
        <v>2918.4356942702511</v>
      </c>
      <c r="CR62" s="41"/>
      <c r="CU62" s="159">
        <f t="shared" si="21"/>
        <v>57.605711316947236</v>
      </c>
      <c r="CV62" s="159">
        <f t="shared" si="22"/>
        <v>225.74467375434824</v>
      </c>
      <c r="CW62" s="159">
        <f t="shared" si="23"/>
        <v>154.24349415252073</v>
      </c>
      <c r="CX62" s="159">
        <f t="shared" si="24"/>
        <v>-2084.8841110776034</v>
      </c>
      <c r="CY62" s="159">
        <f t="shared" si="25"/>
        <v>168.4463112426738</v>
      </c>
      <c r="CZ62" s="159">
        <f t="shared" si="26"/>
        <v>119.56912911228437</v>
      </c>
      <c r="DA62" s="159">
        <f t="shared" si="33"/>
        <v>94.732265683399419</v>
      </c>
      <c r="DB62" s="159">
        <f t="shared" si="34"/>
        <v>90.229986482999266</v>
      </c>
      <c r="DC62" s="159">
        <f t="shared" si="34"/>
        <v>94.898527853473297</v>
      </c>
    </row>
    <row r="63" spans="1:107" x14ac:dyDescent="0.2">
      <c r="A63" s="99">
        <v>5</v>
      </c>
      <c r="B63" s="30">
        <v>165</v>
      </c>
      <c r="C63" s="47" t="s">
        <v>377</v>
      </c>
      <c r="D63" s="64">
        <v>57265.761599999998</v>
      </c>
      <c r="E63" s="64">
        <v>3091.3409200000001</v>
      </c>
      <c r="F63" s="64">
        <v>2206.57818</v>
      </c>
      <c r="G63" s="205">
        <v>62545</v>
      </c>
      <c r="H63" s="205"/>
      <c r="I63" s="64">
        <v>57060</v>
      </c>
      <c r="J63" s="64">
        <v>3687</v>
      </c>
      <c r="K63" s="64">
        <v>2287</v>
      </c>
      <c r="L63" s="205">
        <v>63034</v>
      </c>
      <c r="M63" s="205"/>
      <c r="N63" s="64">
        <v>58492</v>
      </c>
      <c r="O63" s="64">
        <v>3636</v>
      </c>
      <c r="P63" s="64">
        <v>2676</v>
      </c>
      <c r="Q63" s="205">
        <v>64804</v>
      </c>
      <c r="R63" s="205"/>
      <c r="S63" s="64">
        <v>57504</v>
      </c>
      <c r="T63" s="64">
        <v>3658</v>
      </c>
      <c r="U63" s="64">
        <v>2130</v>
      </c>
      <c r="V63" s="205">
        <v>63292</v>
      </c>
      <c r="W63" s="205"/>
      <c r="X63" s="64">
        <v>57028</v>
      </c>
      <c r="Y63" s="64">
        <v>3787</v>
      </c>
      <c r="Z63" s="64">
        <v>1999</v>
      </c>
      <c r="AA63" s="205">
        <f t="shared" si="27"/>
        <v>62814</v>
      </c>
      <c r="AB63" s="205"/>
      <c r="AC63" s="64">
        <v>60799</v>
      </c>
      <c r="AD63" s="64">
        <v>3421</v>
      </c>
      <c r="AE63" s="64">
        <v>2485</v>
      </c>
      <c r="AF63" s="205">
        <f t="shared" si="7"/>
        <v>66705</v>
      </c>
      <c r="AG63" s="205"/>
      <c r="AH63" s="278">
        <v>60868.022520000006</v>
      </c>
      <c r="AI63" s="64">
        <v>3930.0063999999998</v>
      </c>
      <c r="AJ63" s="64">
        <v>3661.6943999999999</v>
      </c>
      <c r="AK63" s="205">
        <f t="shared" si="28"/>
        <v>68459.723320000005</v>
      </c>
      <c r="AL63" s="205"/>
      <c r="AM63" s="64">
        <v>63541.706030000001</v>
      </c>
      <c r="AN63" s="64">
        <v>4053.5121800000002</v>
      </c>
      <c r="AO63" s="64">
        <v>3932.75164</v>
      </c>
      <c r="AP63" s="205">
        <f t="shared" si="29"/>
        <v>71527.969850000009</v>
      </c>
      <c r="AQ63" s="205"/>
      <c r="AR63" s="64">
        <v>31662.303500000002</v>
      </c>
      <c r="AS63" s="64">
        <v>4238.0692099999997</v>
      </c>
      <c r="AT63" s="64">
        <v>3051.3200299999999</v>
      </c>
      <c r="AU63" s="205">
        <f t="shared" si="30"/>
        <v>38951.692740000006</v>
      </c>
      <c r="AV63" s="205"/>
      <c r="AW63" s="64">
        <v>29729.240882859202</v>
      </c>
      <c r="AX63" s="64">
        <v>4612.8505385472072</v>
      </c>
      <c r="AY63" s="64">
        <v>2801.0373089167738</v>
      </c>
      <c r="AZ63" s="205">
        <f t="shared" si="31"/>
        <v>37143.128730323187</v>
      </c>
      <c r="BA63" s="205"/>
      <c r="BB63" s="64">
        <v>31417.992067810956</v>
      </c>
      <c r="BC63" s="64">
        <v>4738.2977433342376</v>
      </c>
      <c r="BD63" s="64">
        <v>2834.6497566237749</v>
      </c>
      <c r="BE63" s="205">
        <f t="shared" si="8"/>
        <v>38990.939567768968</v>
      </c>
      <c r="BF63" s="205"/>
      <c r="BG63" s="64">
        <v>32710.101154433254</v>
      </c>
      <c r="BH63" s="64">
        <v>4908.7112821578603</v>
      </c>
      <c r="BI63" s="64">
        <v>2972.300732947685</v>
      </c>
      <c r="BJ63" s="205">
        <f t="shared" si="9"/>
        <v>40591.113169538796</v>
      </c>
      <c r="BK63" s="205"/>
      <c r="BL63" s="64">
        <v>33741.708508804993</v>
      </c>
      <c r="BM63" s="64">
        <v>5099.7269128642874</v>
      </c>
      <c r="BN63" s="64">
        <v>3149.9665279704063</v>
      </c>
      <c r="BO63" s="205">
        <f t="shared" si="10"/>
        <v>41991.401949639687</v>
      </c>
      <c r="BQ63" s="64">
        <v>34913.65231998884</v>
      </c>
      <c r="BR63" s="64">
        <v>5300.1257141496208</v>
      </c>
      <c r="BS63" s="64">
        <v>3260.4074275791249</v>
      </c>
      <c r="BT63" s="205">
        <f t="shared" si="11"/>
        <v>43474.185461717592</v>
      </c>
      <c r="BU63" s="205"/>
      <c r="BV63" s="5">
        <f t="shared" si="12"/>
        <v>62814</v>
      </c>
      <c r="BW63" s="5">
        <f t="shared" si="13"/>
        <v>66705</v>
      </c>
      <c r="BX63" s="5">
        <f t="shared" si="14"/>
        <v>68459.723320000005</v>
      </c>
      <c r="BY63" s="5">
        <f t="shared" si="15"/>
        <v>71527.969850000009</v>
      </c>
      <c r="BZ63" s="5">
        <f t="shared" si="16"/>
        <v>38951.692740000006</v>
      </c>
      <c r="CA63" s="5">
        <f t="shared" si="17"/>
        <v>37143.128730323187</v>
      </c>
      <c r="CB63" s="5">
        <f t="shared" si="18"/>
        <v>38990.939567768968</v>
      </c>
      <c r="CC63" s="5">
        <f t="shared" si="19"/>
        <v>40591.113169538796</v>
      </c>
      <c r="CD63" s="5">
        <f t="shared" si="20"/>
        <v>41991.401949639687</v>
      </c>
      <c r="CE63" s="5">
        <f t="shared" si="32"/>
        <v>43474.185461717592</v>
      </c>
      <c r="CH63" s="41">
        <f>BV63/'1. Väestöennuste'!I63*1000</f>
        <v>3827.0882836775727</v>
      </c>
      <c r="CI63" s="41">
        <f>BW63/'1. Väestöennuste'!J63*1000</f>
        <v>4108.2096446387877</v>
      </c>
      <c r="CJ63" s="41">
        <f>BX63/'1. Väestöennuste'!K63*1000</f>
        <v>4189.7015495716041</v>
      </c>
      <c r="CK63" s="41">
        <f>BY63/'1. Väestöennuste'!L63*1000</f>
        <v>4393.6099416461921</v>
      </c>
      <c r="CL63" s="41">
        <f>BZ63/'1. Väestöennuste'!M63*1000</f>
        <v>2415.9084996588731</v>
      </c>
      <c r="CM63" s="41">
        <f>CA63/'1. Väestöennuste'!N63*1000</f>
        <v>2354.2580167537039</v>
      </c>
      <c r="CN63" s="41">
        <f>CB63/'1. Väestöennuste'!O63*1000</f>
        <v>2487.9364195870962</v>
      </c>
      <c r="CO63" s="41">
        <f>CC63/'1. Väestöennuste'!P63*1000</f>
        <v>2607.3428294924715</v>
      </c>
      <c r="CP63" s="41">
        <f>CD63/'1. Väestöennuste'!Q63*1000</f>
        <v>2714.9028221141584</v>
      </c>
      <c r="CQ63" s="41">
        <f>CE63/'1. Väestöennuste'!R63*1000</f>
        <v>2829.4295777232405</v>
      </c>
      <c r="CR63" s="41"/>
      <c r="CU63" s="159">
        <f t="shared" si="21"/>
        <v>281.12136096121503</v>
      </c>
      <c r="CV63" s="159">
        <f t="shared" si="22"/>
        <v>81.491904932816396</v>
      </c>
      <c r="CW63" s="159">
        <f t="shared" si="23"/>
        <v>203.90839207458794</v>
      </c>
      <c r="CX63" s="159">
        <f t="shared" si="24"/>
        <v>-1977.701441987319</v>
      </c>
      <c r="CY63" s="159">
        <f t="shared" si="25"/>
        <v>-61.650482905169156</v>
      </c>
      <c r="CZ63" s="159">
        <f t="shared" si="26"/>
        <v>133.67840283339228</v>
      </c>
      <c r="DA63" s="159">
        <f t="shared" si="33"/>
        <v>119.40640990537531</v>
      </c>
      <c r="DB63" s="159">
        <f t="shared" si="34"/>
        <v>107.55999262168689</v>
      </c>
      <c r="DC63" s="159">
        <f t="shared" si="34"/>
        <v>114.5267556090821</v>
      </c>
    </row>
    <row r="64" spans="1:107" x14ac:dyDescent="0.2">
      <c r="A64" s="99">
        <v>12</v>
      </c>
      <c r="B64" s="30">
        <v>167</v>
      </c>
      <c r="C64" s="47" t="s">
        <v>378</v>
      </c>
      <c r="D64" s="64">
        <v>223783.16782</v>
      </c>
      <c r="E64" s="64">
        <v>19607.559100000002</v>
      </c>
      <c r="F64" s="64">
        <v>18639.89644</v>
      </c>
      <c r="G64" s="205">
        <v>261994</v>
      </c>
      <c r="H64" s="205"/>
      <c r="I64" s="64">
        <v>224447</v>
      </c>
      <c r="J64" s="64">
        <v>20727</v>
      </c>
      <c r="K64" s="64">
        <v>17132</v>
      </c>
      <c r="L64" s="205">
        <v>262306</v>
      </c>
      <c r="M64" s="205"/>
      <c r="N64" s="64">
        <v>220248</v>
      </c>
      <c r="O64" s="64">
        <v>20776</v>
      </c>
      <c r="P64" s="64">
        <v>21356</v>
      </c>
      <c r="Q64" s="205">
        <v>262380</v>
      </c>
      <c r="R64" s="205"/>
      <c r="S64" s="64">
        <v>218368</v>
      </c>
      <c r="T64" s="64">
        <v>21099</v>
      </c>
      <c r="U64" s="64">
        <v>21169</v>
      </c>
      <c r="V64" s="205">
        <v>260636</v>
      </c>
      <c r="W64" s="205"/>
      <c r="X64" s="64">
        <v>225883</v>
      </c>
      <c r="Y64" s="64">
        <v>21579</v>
      </c>
      <c r="Z64" s="64">
        <v>21103</v>
      </c>
      <c r="AA64" s="205">
        <f t="shared" si="27"/>
        <v>268565</v>
      </c>
      <c r="AB64" s="205"/>
      <c r="AC64" s="64">
        <v>231975</v>
      </c>
      <c r="AD64" s="64">
        <v>19937</v>
      </c>
      <c r="AE64" s="64">
        <v>22082</v>
      </c>
      <c r="AF64" s="205">
        <f t="shared" si="7"/>
        <v>273994</v>
      </c>
      <c r="AG64" s="205"/>
      <c r="AH64" s="278">
        <v>241728.52984999999</v>
      </c>
      <c r="AI64" s="64">
        <v>21977.93692</v>
      </c>
      <c r="AJ64" s="64">
        <v>32458.182769999999</v>
      </c>
      <c r="AK64" s="205">
        <f t="shared" si="28"/>
        <v>296164.64954000001</v>
      </c>
      <c r="AL64" s="205"/>
      <c r="AM64" s="64">
        <v>252224.92500999998</v>
      </c>
      <c r="AN64" s="64">
        <v>22957.001820000001</v>
      </c>
      <c r="AO64" s="64">
        <v>37901.403920000004</v>
      </c>
      <c r="AP64" s="205">
        <f t="shared" si="29"/>
        <v>313083.33074999996</v>
      </c>
      <c r="AQ64" s="205"/>
      <c r="AR64" s="64">
        <v>119920.7654</v>
      </c>
      <c r="AS64" s="64">
        <v>23596.249010000003</v>
      </c>
      <c r="AT64" s="64">
        <v>27220.884910000001</v>
      </c>
      <c r="AU64" s="205">
        <f t="shared" si="30"/>
        <v>170737.89932</v>
      </c>
      <c r="AV64" s="205"/>
      <c r="AW64" s="64">
        <v>117809.68510061712</v>
      </c>
      <c r="AX64" s="64">
        <v>24754.742680538657</v>
      </c>
      <c r="AY64" s="64">
        <v>20982.85673162451</v>
      </c>
      <c r="AZ64" s="205">
        <f t="shared" si="31"/>
        <v>163547.28451278029</v>
      </c>
      <c r="BA64" s="205"/>
      <c r="BB64" s="64">
        <v>125209.94453073776</v>
      </c>
      <c r="BC64" s="64">
        <v>25032.796869817237</v>
      </c>
      <c r="BD64" s="64">
        <v>21234.651012404003</v>
      </c>
      <c r="BE64" s="205">
        <f t="shared" si="8"/>
        <v>171477.39241295902</v>
      </c>
      <c r="BF64" s="205"/>
      <c r="BG64" s="64">
        <v>132040.52620642941</v>
      </c>
      <c r="BH64" s="64">
        <v>25506.276475726685</v>
      </c>
      <c r="BI64" s="64">
        <v>22265.808543215266</v>
      </c>
      <c r="BJ64" s="205">
        <f t="shared" si="9"/>
        <v>179812.61122537137</v>
      </c>
      <c r="BK64" s="205"/>
      <c r="BL64" s="64">
        <v>138057.26737018087</v>
      </c>
      <c r="BM64" s="64">
        <v>26037.97795301344</v>
      </c>
      <c r="BN64" s="64">
        <v>23596.721170192592</v>
      </c>
      <c r="BO64" s="205">
        <f t="shared" si="10"/>
        <v>187691.96649338689</v>
      </c>
      <c r="BQ64" s="64">
        <v>144794.88917212959</v>
      </c>
      <c r="BR64" s="64">
        <v>26565.004396407352</v>
      </c>
      <c r="BS64" s="64">
        <v>24424.045235610931</v>
      </c>
      <c r="BT64" s="205">
        <f t="shared" si="11"/>
        <v>195783.93880414788</v>
      </c>
      <c r="BU64" s="205"/>
      <c r="BV64" s="5">
        <f t="shared" si="12"/>
        <v>268565</v>
      </c>
      <c r="BW64" s="5">
        <f t="shared" si="13"/>
        <v>273994</v>
      </c>
      <c r="BX64" s="5">
        <f t="shared" si="14"/>
        <v>296164.64954000001</v>
      </c>
      <c r="BY64" s="5">
        <f t="shared" si="15"/>
        <v>313083.33074999996</v>
      </c>
      <c r="BZ64" s="5">
        <f t="shared" si="16"/>
        <v>170737.89932</v>
      </c>
      <c r="CA64" s="5">
        <f t="shared" si="17"/>
        <v>163547.28451278029</v>
      </c>
      <c r="CB64" s="5">
        <f t="shared" si="18"/>
        <v>171477.39241295902</v>
      </c>
      <c r="CC64" s="5">
        <f t="shared" si="19"/>
        <v>179812.61122537137</v>
      </c>
      <c r="CD64" s="5">
        <f t="shared" si="20"/>
        <v>187691.96649338689</v>
      </c>
      <c r="CE64" s="5">
        <f t="shared" si="32"/>
        <v>195783.93880414788</v>
      </c>
      <c r="CH64" s="41">
        <f>BV64/'1. Väestöennuste'!I64*1000</f>
        <v>3494.6649316851008</v>
      </c>
      <c r="CI64" s="41">
        <f>BW64/'1. Väestöennuste'!J64*1000</f>
        <v>3561.369987651914</v>
      </c>
      <c r="CJ64" s="41">
        <f>BX64/'1. Väestöennuste'!K64*1000</f>
        <v>3833.3007538085194</v>
      </c>
      <c r="CK64" s="41">
        <f>BY64/'1. Väestöennuste'!L64*1000</f>
        <v>4039.1073852128025</v>
      </c>
      <c r="CL64" s="41">
        <f>BZ64/'1. Väestöennuste'!M64*1000</f>
        <v>2187.2088765340368</v>
      </c>
      <c r="CM64" s="41">
        <f>CA64/'1. Väestöennuste'!N64*1000</f>
        <v>2101.1779191220039</v>
      </c>
      <c r="CN64" s="41">
        <f>CB64/'1. Väestöennuste'!O64*1000</f>
        <v>2198.6254203961767</v>
      </c>
      <c r="CO64" s="41">
        <f>CC64/'1. Väestöennuste'!P64*1000</f>
        <v>2301.1007041715261</v>
      </c>
      <c r="CP64" s="41">
        <f>CD64/'1. Väestöennuste'!Q64*1000</f>
        <v>2397.638876030082</v>
      </c>
      <c r="CQ64" s="41">
        <f>CE64/'1. Väestöennuste'!R64*1000</f>
        <v>2496.8937879142959</v>
      </c>
      <c r="CR64" s="41"/>
      <c r="CU64" s="159">
        <f t="shared" si="21"/>
        <v>66.705055966813234</v>
      </c>
      <c r="CV64" s="159">
        <f t="shared" si="22"/>
        <v>271.93076615660539</v>
      </c>
      <c r="CW64" s="159">
        <f t="shared" si="23"/>
        <v>205.80663140428305</v>
      </c>
      <c r="CX64" s="159">
        <f t="shared" si="24"/>
        <v>-1851.8985086787657</v>
      </c>
      <c r="CY64" s="159">
        <f t="shared" si="25"/>
        <v>-86.030957412032876</v>
      </c>
      <c r="CZ64" s="159">
        <f t="shared" si="26"/>
        <v>97.447501274172737</v>
      </c>
      <c r="DA64" s="159">
        <f t="shared" si="33"/>
        <v>102.47528377534945</v>
      </c>
      <c r="DB64" s="159">
        <f t="shared" si="34"/>
        <v>96.53817185855587</v>
      </c>
      <c r="DC64" s="159">
        <f t="shared" si="34"/>
        <v>99.254911884213925</v>
      </c>
    </row>
    <row r="65" spans="1:107" x14ac:dyDescent="0.2">
      <c r="A65" s="99">
        <v>5</v>
      </c>
      <c r="B65" s="30">
        <v>169</v>
      </c>
      <c r="C65" s="47" t="s">
        <v>379</v>
      </c>
      <c r="D65" s="64">
        <v>17493.68146</v>
      </c>
      <c r="E65" s="64">
        <v>838.99459999999999</v>
      </c>
      <c r="F65" s="64">
        <v>979.87418000000002</v>
      </c>
      <c r="G65" s="205">
        <v>19315</v>
      </c>
      <c r="H65" s="205"/>
      <c r="I65" s="64">
        <v>16675</v>
      </c>
      <c r="J65" s="64">
        <v>845</v>
      </c>
      <c r="K65" s="64">
        <v>888</v>
      </c>
      <c r="L65" s="205">
        <v>18408</v>
      </c>
      <c r="M65" s="205"/>
      <c r="N65" s="64">
        <v>16672</v>
      </c>
      <c r="O65" s="64">
        <v>895</v>
      </c>
      <c r="P65" s="64">
        <v>1080</v>
      </c>
      <c r="Q65" s="205">
        <v>18647</v>
      </c>
      <c r="R65" s="205"/>
      <c r="S65" s="64">
        <v>16786</v>
      </c>
      <c r="T65" s="64">
        <v>986</v>
      </c>
      <c r="U65" s="64">
        <v>1021</v>
      </c>
      <c r="V65" s="205">
        <v>18793</v>
      </c>
      <c r="W65" s="205"/>
      <c r="X65" s="64">
        <v>17212</v>
      </c>
      <c r="Y65" s="64">
        <v>1013</v>
      </c>
      <c r="Z65" s="64">
        <v>869</v>
      </c>
      <c r="AA65" s="205">
        <f t="shared" si="27"/>
        <v>19094</v>
      </c>
      <c r="AB65" s="205"/>
      <c r="AC65" s="64">
        <v>18058</v>
      </c>
      <c r="AD65" s="64">
        <v>902</v>
      </c>
      <c r="AE65" s="64">
        <v>1348</v>
      </c>
      <c r="AF65" s="205">
        <f t="shared" si="7"/>
        <v>20308</v>
      </c>
      <c r="AG65" s="205"/>
      <c r="AH65" s="278">
        <v>17946.444390000001</v>
      </c>
      <c r="AI65" s="64">
        <v>1137.9741100000001</v>
      </c>
      <c r="AJ65" s="64">
        <v>2035.2238500000001</v>
      </c>
      <c r="AK65" s="205">
        <f t="shared" si="28"/>
        <v>21119.642349999998</v>
      </c>
      <c r="AL65" s="205"/>
      <c r="AM65" s="64">
        <v>18819.147800000002</v>
      </c>
      <c r="AN65" s="64">
        <v>1257.2761</v>
      </c>
      <c r="AO65" s="64">
        <v>1471.75621</v>
      </c>
      <c r="AP65" s="205">
        <f t="shared" si="29"/>
        <v>21548.180110000001</v>
      </c>
      <c r="AQ65" s="205"/>
      <c r="AR65" s="64">
        <v>9360.9709199999998</v>
      </c>
      <c r="AS65" s="64">
        <v>1266.82275</v>
      </c>
      <c r="AT65" s="64">
        <v>735.73864000000003</v>
      </c>
      <c r="AU65" s="205">
        <f t="shared" si="30"/>
        <v>11363.532309999999</v>
      </c>
      <c r="AV65" s="205"/>
      <c r="AW65" s="64">
        <v>8851.7823729999527</v>
      </c>
      <c r="AX65" s="64">
        <v>1307.3274401219442</v>
      </c>
      <c r="AY65" s="64">
        <v>514.14620837330165</v>
      </c>
      <c r="AZ65" s="205">
        <f t="shared" si="31"/>
        <v>10673.256021495199</v>
      </c>
      <c r="BA65" s="205"/>
      <c r="BB65" s="64">
        <v>9300.5032054778585</v>
      </c>
      <c r="BC65" s="64">
        <v>1320.4305096770845</v>
      </c>
      <c r="BD65" s="64">
        <v>520.31596287378125</v>
      </c>
      <c r="BE65" s="205">
        <f t="shared" si="8"/>
        <v>11141.249678028724</v>
      </c>
      <c r="BF65" s="205"/>
      <c r="BG65" s="64">
        <v>9651.1236443356211</v>
      </c>
      <c r="BH65" s="64">
        <v>1343.792528397244</v>
      </c>
      <c r="BI65" s="64">
        <v>545.5825765424122</v>
      </c>
      <c r="BJ65" s="205">
        <f t="shared" si="9"/>
        <v>11540.498749275277</v>
      </c>
      <c r="BK65" s="205"/>
      <c r="BL65" s="64">
        <v>9909.6579996498076</v>
      </c>
      <c r="BM65" s="64">
        <v>1370.1570637311765</v>
      </c>
      <c r="BN65" s="64">
        <v>578.1941360449473</v>
      </c>
      <c r="BO65" s="205">
        <f t="shared" si="10"/>
        <v>11858.009199425931</v>
      </c>
      <c r="BQ65" s="64">
        <v>10202.82540624548</v>
      </c>
      <c r="BR65" s="64">
        <v>1396.2078396453028</v>
      </c>
      <c r="BS65" s="64">
        <v>598.4661865465232</v>
      </c>
      <c r="BT65" s="205">
        <f t="shared" si="11"/>
        <v>12197.499432437307</v>
      </c>
      <c r="BU65" s="205"/>
      <c r="BV65" s="5">
        <f t="shared" si="12"/>
        <v>19094</v>
      </c>
      <c r="BW65" s="5">
        <f t="shared" si="13"/>
        <v>20308</v>
      </c>
      <c r="BX65" s="5">
        <f t="shared" si="14"/>
        <v>21119.642349999998</v>
      </c>
      <c r="BY65" s="5">
        <f t="shared" si="15"/>
        <v>21548.180110000001</v>
      </c>
      <c r="BZ65" s="5">
        <f t="shared" si="16"/>
        <v>11363.532309999999</v>
      </c>
      <c r="CA65" s="5">
        <f t="shared" si="17"/>
        <v>10673.256021495199</v>
      </c>
      <c r="CB65" s="5">
        <f t="shared" si="18"/>
        <v>11141.249678028724</v>
      </c>
      <c r="CC65" s="5">
        <f t="shared" si="19"/>
        <v>11540.498749275277</v>
      </c>
      <c r="CD65" s="5">
        <f t="shared" si="20"/>
        <v>11858.009199425931</v>
      </c>
      <c r="CE65" s="5">
        <f t="shared" si="32"/>
        <v>12197.499432437307</v>
      </c>
      <c r="CH65" s="41">
        <f>BV65/'1. Väestöennuste'!I65*1000</f>
        <v>3719.8519384375609</v>
      </c>
      <c r="CI65" s="41">
        <f>BW65/'1. Väestöennuste'!J65*1000</f>
        <v>4012.6457221892906</v>
      </c>
      <c r="CJ65" s="41">
        <f>BX65/'1. Väestöennuste'!K65*1000</f>
        <v>4185.4225822433609</v>
      </c>
      <c r="CK65" s="41">
        <f>BY65/'1. Väestöennuste'!L65*1000</f>
        <v>4318.2725671342687</v>
      </c>
      <c r="CL65" s="41">
        <f>BZ65/'1. Väestöennuste'!M65*1000</f>
        <v>2311.5403397070791</v>
      </c>
      <c r="CM65" s="41">
        <f>CA65/'1. Väestöennuste'!N65*1000</f>
        <v>2214.8279770689351</v>
      </c>
      <c r="CN65" s="41">
        <f>CB65/'1. Väestöennuste'!O65*1000</f>
        <v>2338.6334336752152</v>
      </c>
      <c r="CO65" s="41">
        <f>CC65/'1. Väestöennuste'!P65*1000</f>
        <v>2448.6523974698234</v>
      </c>
      <c r="CP65" s="41">
        <f>CD65/'1. Väestöennuste'!Q65*1000</f>
        <v>2543.0000427677314</v>
      </c>
      <c r="CQ65" s="41">
        <f>CE65/'1. Väestöennuste'!R65*1000</f>
        <v>2641.2948099691012</v>
      </c>
      <c r="CR65" s="41"/>
      <c r="CU65" s="159">
        <f t="shared" si="21"/>
        <v>292.79378375172973</v>
      </c>
      <c r="CV65" s="159">
        <f t="shared" si="22"/>
        <v>172.77686005407031</v>
      </c>
      <c r="CW65" s="159">
        <f t="shared" si="23"/>
        <v>132.84998489090776</v>
      </c>
      <c r="CX65" s="159">
        <f t="shared" si="24"/>
        <v>-2006.7322274271896</v>
      </c>
      <c r="CY65" s="159">
        <f t="shared" si="25"/>
        <v>-96.712362638143986</v>
      </c>
      <c r="CZ65" s="159">
        <f t="shared" si="26"/>
        <v>123.80545660628013</v>
      </c>
      <c r="DA65" s="159">
        <f t="shared" si="33"/>
        <v>110.01896379460823</v>
      </c>
      <c r="DB65" s="159">
        <f t="shared" si="34"/>
        <v>94.347645297908002</v>
      </c>
      <c r="DC65" s="159">
        <f t="shared" si="34"/>
        <v>98.294767201369723</v>
      </c>
    </row>
    <row r="66" spans="1:107" x14ac:dyDescent="0.2">
      <c r="A66" s="99">
        <v>11</v>
      </c>
      <c r="B66" s="30">
        <v>171</v>
      </c>
      <c r="C66" s="47" t="s">
        <v>380</v>
      </c>
      <c r="D66" s="64">
        <v>14684.436</v>
      </c>
      <c r="E66" s="64">
        <v>1161.28459</v>
      </c>
      <c r="F66" s="64">
        <v>1370.8989199999999</v>
      </c>
      <c r="G66" s="205">
        <v>17216</v>
      </c>
      <c r="H66" s="205"/>
      <c r="I66" s="64">
        <v>14334</v>
      </c>
      <c r="J66" s="64">
        <v>1181</v>
      </c>
      <c r="K66" s="64">
        <v>1309</v>
      </c>
      <c r="L66" s="205">
        <v>16824</v>
      </c>
      <c r="M66" s="205"/>
      <c r="N66" s="64">
        <v>14749</v>
      </c>
      <c r="O66" s="64">
        <v>1183</v>
      </c>
      <c r="P66" s="64">
        <v>1489</v>
      </c>
      <c r="Q66" s="205">
        <v>17421</v>
      </c>
      <c r="R66" s="205"/>
      <c r="S66" s="64">
        <v>13705</v>
      </c>
      <c r="T66" s="64">
        <v>1125</v>
      </c>
      <c r="U66" s="64">
        <v>1385</v>
      </c>
      <c r="V66" s="205">
        <v>16215</v>
      </c>
      <c r="W66" s="205"/>
      <c r="X66" s="64">
        <v>14427</v>
      </c>
      <c r="Y66" s="64">
        <v>1118</v>
      </c>
      <c r="Z66" s="64">
        <v>1439</v>
      </c>
      <c r="AA66" s="205">
        <f t="shared" si="27"/>
        <v>16984</v>
      </c>
      <c r="AB66" s="205"/>
      <c r="AC66" s="64">
        <v>15027</v>
      </c>
      <c r="AD66" s="64">
        <v>1007</v>
      </c>
      <c r="AE66" s="64">
        <v>1736</v>
      </c>
      <c r="AF66" s="205">
        <f t="shared" si="7"/>
        <v>17770</v>
      </c>
      <c r="AG66" s="205"/>
      <c r="AH66" s="278">
        <v>15247.472519999999</v>
      </c>
      <c r="AI66" s="64">
        <v>1146.15717</v>
      </c>
      <c r="AJ66" s="64">
        <v>2420.0421499999998</v>
      </c>
      <c r="AK66" s="205">
        <f t="shared" si="28"/>
        <v>18813.671839999999</v>
      </c>
      <c r="AL66" s="205"/>
      <c r="AM66" s="64">
        <v>16106.006740000001</v>
      </c>
      <c r="AN66" s="64">
        <v>1229.9371799999999</v>
      </c>
      <c r="AO66" s="64">
        <v>2255.3821899999998</v>
      </c>
      <c r="AP66" s="205">
        <f t="shared" si="29"/>
        <v>19591.326110000002</v>
      </c>
      <c r="AQ66" s="205"/>
      <c r="AR66" s="64">
        <v>7984.5252300000002</v>
      </c>
      <c r="AS66" s="64">
        <v>1227.07286</v>
      </c>
      <c r="AT66" s="64">
        <v>1404.5017399999999</v>
      </c>
      <c r="AU66" s="205">
        <f t="shared" si="30"/>
        <v>10616.099829999999</v>
      </c>
      <c r="AV66" s="205"/>
      <c r="AW66" s="64">
        <v>7612.3195939832649</v>
      </c>
      <c r="AX66" s="64">
        <v>1329.8841257578649</v>
      </c>
      <c r="AY66" s="64">
        <v>1229.031039379448</v>
      </c>
      <c r="AZ66" s="205">
        <f t="shared" si="31"/>
        <v>10171.234759120578</v>
      </c>
      <c r="BA66" s="205"/>
      <c r="BB66" s="64">
        <v>7720.7470343671703</v>
      </c>
      <c r="BC66" s="64">
        <v>1358.9775658379194</v>
      </c>
      <c r="BD66" s="64">
        <v>1243.7794118520012</v>
      </c>
      <c r="BE66" s="205">
        <f t="shared" si="8"/>
        <v>10323.50401205709</v>
      </c>
      <c r="BF66" s="205"/>
      <c r="BG66" s="64">
        <v>7871.9244843402385</v>
      </c>
      <c r="BH66" s="64">
        <v>1399.4479842490591</v>
      </c>
      <c r="BI66" s="64">
        <v>1304.1775086443627</v>
      </c>
      <c r="BJ66" s="205">
        <f t="shared" si="9"/>
        <v>10575.549977233661</v>
      </c>
      <c r="BK66" s="205"/>
      <c r="BL66" s="64">
        <v>7996.2838636235456</v>
      </c>
      <c r="BM66" s="64">
        <v>1444.0543136204126</v>
      </c>
      <c r="BN66" s="64">
        <v>1382.1331917135735</v>
      </c>
      <c r="BO66" s="205">
        <f t="shared" si="10"/>
        <v>10822.471368957533</v>
      </c>
      <c r="BQ66" s="64">
        <v>8151.839555538787</v>
      </c>
      <c r="BR66" s="64">
        <v>1489.4057747677555</v>
      </c>
      <c r="BS66" s="64">
        <v>1430.5921298376775</v>
      </c>
      <c r="BT66" s="205">
        <f t="shared" si="11"/>
        <v>11071.837460144221</v>
      </c>
      <c r="BU66" s="205"/>
      <c r="BV66" s="5">
        <f t="shared" si="12"/>
        <v>16984</v>
      </c>
      <c r="BW66" s="5">
        <f t="shared" si="13"/>
        <v>17770</v>
      </c>
      <c r="BX66" s="5">
        <f t="shared" si="14"/>
        <v>18813.671839999999</v>
      </c>
      <c r="BY66" s="5">
        <f t="shared" si="15"/>
        <v>19591.326110000002</v>
      </c>
      <c r="BZ66" s="5">
        <f t="shared" si="16"/>
        <v>10616.099829999999</v>
      </c>
      <c r="CA66" s="5">
        <f t="shared" si="17"/>
        <v>10171.234759120578</v>
      </c>
      <c r="CB66" s="5">
        <f t="shared" si="18"/>
        <v>10323.50401205709</v>
      </c>
      <c r="CC66" s="5">
        <f t="shared" si="19"/>
        <v>10575.549977233661</v>
      </c>
      <c r="CD66" s="5">
        <f t="shared" si="20"/>
        <v>10822.471368957533</v>
      </c>
      <c r="CE66" s="5">
        <f t="shared" si="32"/>
        <v>11071.837460144221</v>
      </c>
      <c r="CH66" s="41">
        <f>BV66/'1. Väestöennuste'!I66*1000</f>
        <v>3562.8277742815189</v>
      </c>
      <c r="CI66" s="41">
        <f>BW66/'1. Väestöennuste'!J66*1000</f>
        <v>3789.7206227340585</v>
      </c>
      <c r="CJ66" s="41">
        <f>BX66/'1. Väestöennuste'!K66*1000</f>
        <v>4068.7006574394459</v>
      </c>
      <c r="CK66" s="41">
        <f>BY66/'1. Väestöennuste'!L66*1000</f>
        <v>4315.2700682819395</v>
      </c>
      <c r="CL66" s="41">
        <f>BZ66/'1. Väestöennuste'!M66*1000</f>
        <v>2312.8757799564269</v>
      </c>
      <c r="CM66" s="41">
        <f>CA66/'1. Väestöennuste'!N66*1000</f>
        <v>2311.1190091162412</v>
      </c>
      <c r="CN66" s="41">
        <f>CB66/'1. Väestöennuste'!O66*1000</f>
        <v>2384.1810651402056</v>
      </c>
      <c r="CO66" s="41">
        <f>CC66/'1. Väestöennuste'!P66*1000</f>
        <v>2481.9408536103406</v>
      </c>
      <c r="CP66" s="41">
        <f>CD66/'1. Väestöennuste'!Q66*1000</f>
        <v>2579.8501475464918</v>
      </c>
      <c r="CQ66" s="41">
        <f>CE66/'1. Väestöennuste'!R66*1000</f>
        <v>2682.7810661846916</v>
      </c>
      <c r="CR66" s="41"/>
      <c r="CU66" s="159">
        <f t="shared" si="21"/>
        <v>226.89284845253951</v>
      </c>
      <c r="CV66" s="159">
        <f t="shared" si="22"/>
        <v>278.98003470538742</v>
      </c>
      <c r="CW66" s="159">
        <f t="shared" si="23"/>
        <v>246.56941084249365</v>
      </c>
      <c r="CX66" s="159">
        <f t="shared" si="24"/>
        <v>-2002.3942883255127</v>
      </c>
      <c r="CY66" s="159">
        <f t="shared" si="25"/>
        <v>-1.7567708401857089</v>
      </c>
      <c r="CZ66" s="159">
        <f t="shared" si="26"/>
        <v>73.062056023964487</v>
      </c>
      <c r="DA66" s="159">
        <f t="shared" si="33"/>
        <v>97.759788470134936</v>
      </c>
      <c r="DB66" s="159">
        <f t="shared" si="34"/>
        <v>97.909293936151244</v>
      </c>
      <c r="DC66" s="159">
        <f t="shared" si="34"/>
        <v>102.93091863819973</v>
      </c>
    </row>
    <row r="67" spans="1:107" x14ac:dyDescent="0.2">
      <c r="A67" s="99">
        <v>13</v>
      </c>
      <c r="B67" s="30">
        <v>172</v>
      </c>
      <c r="C67" s="47" t="s">
        <v>381</v>
      </c>
      <c r="D67" s="64">
        <v>12132.878720000001</v>
      </c>
      <c r="E67" s="64">
        <v>1654.9087099999999</v>
      </c>
      <c r="F67" s="64">
        <v>1278.58494</v>
      </c>
      <c r="G67" s="205">
        <v>15063</v>
      </c>
      <c r="H67" s="205"/>
      <c r="I67" s="64">
        <v>12259</v>
      </c>
      <c r="J67" s="64">
        <v>1714</v>
      </c>
      <c r="K67" s="64">
        <v>1244</v>
      </c>
      <c r="L67" s="205">
        <v>15217</v>
      </c>
      <c r="M67" s="205"/>
      <c r="N67" s="64">
        <v>12364</v>
      </c>
      <c r="O67" s="64">
        <v>1686</v>
      </c>
      <c r="P67" s="64">
        <v>1492</v>
      </c>
      <c r="Q67" s="205">
        <v>15542</v>
      </c>
      <c r="R67" s="205"/>
      <c r="S67" s="64">
        <v>11668</v>
      </c>
      <c r="T67" s="64">
        <v>1754</v>
      </c>
      <c r="U67" s="64">
        <v>1476</v>
      </c>
      <c r="V67" s="205">
        <v>14898</v>
      </c>
      <c r="W67" s="205"/>
      <c r="X67" s="64">
        <v>12176</v>
      </c>
      <c r="Y67" s="64">
        <v>1776</v>
      </c>
      <c r="Z67" s="64">
        <v>1618</v>
      </c>
      <c r="AA67" s="205">
        <f t="shared" si="27"/>
        <v>15570</v>
      </c>
      <c r="AB67" s="205"/>
      <c r="AC67" s="64">
        <v>11730</v>
      </c>
      <c r="AD67" s="64">
        <v>1566</v>
      </c>
      <c r="AE67" s="64">
        <v>1766</v>
      </c>
      <c r="AF67" s="205">
        <f t="shared" si="7"/>
        <v>15062</v>
      </c>
      <c r="AG67" s="205"/>
      <c r="AH67" s="278">
        <v>11881.25173</v>
      </c>
      <c r="AI67" s="64">
        <v>1758.5248200000001</v>
      </c>
      <c r="AJ67" s="64">
        <v>2446.2943700000001</v>
      </c>
      <c r="AK67" s="205">
        <f t="shared" si="28"/>
        <v>16086.07092</v>
      </c>
      <c r="AL67" s="205"/>
      <c r="AM67" s="64">
        <v>11988.418439999999</v>
      </c>
      <c r="AN67" s="64">
        <v>1853.4789699999999</v>
      </c>
      <c r="AO67" s="64">
        <v>2356.4666699999998</v>
      </c>
      <c r="AP67" s="205">
        <f t="shared" si="29"/>
        <v>16198.364079999999</v>
      </c>
      <c r="AQ67" s="205"/>
      <c r="AR67" s="64">
        <v>6142.9889699999994</v>
      </c>
      <c r="AS67" s="64">
        <v>1862.6998700000001</v>
      </c>
      <c r="AT67" s="64">
        <v>1405.33755</v>
      </c>
      <c r="AU67" s="205">
        <f t="shared" si="30"/>
        <v>9411.0263899999991</v>
      </c>
      <c r="AV67" s="205"/>
      <c r="AW67" s="64">
        <v>6018.6511886469416</v>
      </c>
      <c r="AX67" s="64">
        <v>2137.6399279610496</v>
      </c>
      <c r="AY67" s="64">
        <v>1111.8572764697901</v>
      </c>
      <c r="AZ67" s="205">
        <f t="shared" si="31"/>
        <v>9268.1483930777813</v>
      </c>
      <c r="BA67" s="205"/>
      <c r="BB67" s="64">
        <v>6349.2644359647393</v>
      </c>
      <c r="BC67" s="64">
        <v>2151.4633245140076</v>
      </c>
      <c r="BD67" s="64">
        <v>1125.1995637874275</v>
      </c>
      <c r="BE67" s="205">
        <f t="shared" si="8"/>
        <v>9625.9273242661748</v>
      </c>
      <c r="BF67" s="205"/>
      <c r="BG67" s="64">
        <v>6522.1081485191289</v>
      </c>
      <c r="BH67" s="64">
        <v>2181.8629466081484</v>
      </c>
      <c r="BI67" s="64">
        <v>1179.8394070882287</v>
      </c>
      <c r="BJ67" s="205">
        <f t="shared" si="9"/>
        <v>9883.8105022155069</v>
      </c>
      <c r="BK67" s="205"/>
      <c r="BL67" s="64">
        <v>6663.7257444434254</v>
      </c>
      <c r="BM67" s="64">
        <v>2216.9246001860856</v>
      </c>
      <c r="BN67" s="64">
        <v>1250.3629257671696</v>
      </c>
      <c r="BO67" s="205">
        <f t="shared" si="10"/>
        <v>10131.013270396679</v>
      </c>
      <c r="BQ67" s="64">
        <v>6862.4577618760613</v>
      </c>
      <c r="BR67" s="64">
        <v>2251.2529142716653</v>
      </c>
      <c r="BS67" s="64">
        <v>1294.2018698108357</v>
      </c>
      <c r="BT67" s="205">
        <f t="shared" si="11"/>
        <v>10407.912545958561</v>
      </c>
      <c r="BU67" s="205"/>
      <c r="BV67" s="5">
        <f t="shared" si="12"/>
        <v>15570</v>
      </c>
      <c r="BW67" s="5">
        <f t="shared" si="13"/>
        <v>15062</v>
      </c>
      <c r="BX67" s="5">
        <f t="shared" si="14"/>
        <v>16086.07092</v>
      </c>
      <c r="BY67" s="5">
        <f t="shared" si="15"/>
        <v>16198.364079999999</v>
      </c>
      <c r="BZ67" s="5">
        <f t="shared" si="16"/>
        <v>9411.0263899999991</v>
      </c>
      <c r="CA67" s="5">
        <f t="shared" si="17"/>
        <v>9268.1483930777813</v>
      </c>
      <c r="CB67" s="5">
        <f t="shared" si="18"/>
        <v>9625.9273242661748</v>
      </c>
      <c r="CC67" s="5">
        <f t="shared" si="19"/>
        <v>9883.8105022155069</v>
      </c>
      <c r="CD67" s="5">
        <f t="shared" si="20"/>
        <v>10131.013270396679</v>
      </c>
      <c r="CE67" s="5">
        <f t="shared" si="32"/>
        <v>10407.912545958561</v>
      </c>
      <c r="CH67" s="41">
        <f>BV67/'1. Väestöennuste'!I67*1000</f>
        <v>3557.2309801233723</v>
      </c>
      <c r="CI67" s="41">
        <f>BW67/'1. Väestöennuste'!J67*1000</f>
        <v>3505.2362113102163</v>
      </c>
      <c r="CJ67" s="41">
        <f>BX67/'1. Väestöennuste'!K67*1000</f>
        <v>3773.4156509500353</v>
      </c>
      <c r="CK67" s="41">
        <f>BY67/'1. Väestöennuste'!L67*1000</f>
        <v>3883.5684679932865</v>
      </c>
      <c r="CL67" s="41">
        <f>BZ67/'1. Väestöennuste'!M67*1000</f>
        <v>2307.1896028438341</v>
      </c>
      <c r="CM67" s="41">
        <f>CA67/'1. Väestöennuste'!N67*1000</f>
        <v>2303.2177915203238</v>
      </c>
      <c r="CN67" s="41">
        <f>CB67/'1. Väestöennuste'!O67*1000</f>
        <v>2425.8889426074029</v>
      </c>
      <c r="CO67" s="41">
        <f>CC67/'1. Väestöennuste'!P67*1000</f>
        <v>2527.8287729451426</v>
      </c>
      <c r="CP67" s="41">
        <f>CD67/'1. Väestöennuste'!Q67*1000</f>
        <v>2625.2949651196368</v>
      </c>
      <c r="CQ67" s="41">
        <f>CE67/'1. Väestöennuste'!R67*1000</f>
        <v>2731.0187735393756</v>
      </c>
      <c r="CR67" s="41"/>
      <c r="CU67" s="159">
        <f t="shared" si="21"/>
        <v>-51.994768813156043</v>
      </c>
      <c r="CV67" s="159">
        <f t="shared" si="22"/>
        <v>268.17943963981907</v>
      </c>
      <c r="CW67" s="159">
        <f t="shared" si="23"/>
        <v>110.15281704325116</v>
      </c>
      <c r="CX67" s="159">
        <f t="shared" si="24"/>
        <v>-1576.3788651494524</v>
      </c>
      <c r="CY67" s="159">
        <f t="shared" si="25"/>
        <v>-3.9718113235103374</v>
      </c>
      <c r="CZ67" s="159">
        <f t="shared" si="26"/>
        <v>122.67115108707912</v>
      </c>
      <c r="DA67" s="159">
        <f t="shared" si="33"/>
        <v>101.93983033773975</v>
      </c>
      <c r="DB67" s="159">
        <f t="shared" si="34"/>
        <v>97.466192174494154</v>
      </c>
      <c r="DC67" s="159">
        <f t="shared" si="34"/>
        <v>105.72380841973882</v>
      </c>
    </row>
    <row r="68" spans="1:107" x14ac:dyDescent="0.2">
      <c r="A68" s="99">
        <v>12</v>
      </c>
      <c r="B68" s="30">
        <v>176</v>
      </c>
      <c r="C68" s="47" t="s">
        <v>382</v>
      </c>
      <c r="D68" s="64">
        <v>12461.70687</v>
      </c>
      <c r="E68" s="64">
        <v>1226.3791999999999</v>
      </c>
      <c r="F68" s="64">
        <v>1832.3770300000001</v>
      </c>
      <c r="G68" s="205">
        <v>15520</v>
      </c>
      <c r="H68" s="205"/>
      <c r="I68" s="64">
        <v>11562</v>
      </c>
      <c r="J68" s="64">
        <v>1244</v>
      </c>
      <c r="K68" s="64">
        <v>1689</v>
      </c>
      <c r="L68" s="205">
        <v>14495</v>
      </c>
      <c r="M68" s="205"/>
      <c r="N68" s="64">
        <v>11708</v>
      </c>
      <c r="O68" s="64">
        <v>1213</v>
      </c>
      <c r="P68" s="64">
        <v>1860</v>
      </c>
      <c r="Q68" s="205">
        <v>14781</v>
      </c>
      <c r="R68" s="205"/>
      <c r="S68" s="64">
        <v>10804</v>
      </c>
      <c r="T68" s="64">
        <v>1204</v>
      </c>
      <c r="U68" s="64">
        <v>1646</v>
      </c>
      <c r="V68" s="205">
        <v>13654</v>
      </c>
      <c r="W68" s="205"/>
      <c r="X68" s="64">
        <v>10964</v>
      </c>
      <c r="Y68" s="64">
        <v>1210</v>
      </c>
      <c r="Z68" s="64">
        <v>1703</v>
      </c>
      <c r="AA68" s="205">
        <f t="shared" si="27"/>
        <v>13877</v>
      </c>
      <c r="AB68" s="205"/>
      <c r="AC68" s="64">
        <v>10958</v>
      </c>
      <c r="AD68" s="64">
        <v>1130</v>
      </c>
      <c r="AE68" s="64">
        <v>1933</v>
      </c>
      <c r="AF68" s="205">
        <f t="shared" si="7"/>
        <v>14021</v>
      </c>
      <c r="AG68" s="205"/>
      <c r="AH68" s="278">
        <v>11423.0762</v>
      </c>
      <c r="AI68" s="64">
        <v>1209.3670300000001</v>
      </c>
      <c r="AJ68" s="64">
        <v>2818.3166000000001</v>
      </c>
      <c r="AK68" s="205">
        <f t="shared" si="28"/>
        <v>15450.759829999999</v>
      </c>
      <c r="AL68" s="205"/>
      <c r="AM68" s="64">
        <v>11416.187099999999</v>
      </c>
      <c r="AN68" s="64">
        <v>1288.37823</v>
      </c>
      <c r="AO68" s="64">
        <v>2667.8857200000002</v>
      </c>
      <c r="AP68" s="205">
        <f t="shared" si="29"/>
        <v>15372.45105</v>
      </c>
      <c r="AQ68" s="205"/>
      <c r="AR68" s="64">
        <v>5605.3402300000007</v>
      </c>
      <c r="AS68" s="64">
        <v>1308.62968</v>
      </c>
      <c r="AT68" s="64">
        <v>1552.7474</v>
      </c>
      <c r="AU68" s="205">
        <f t="shared" si="30"/>
        <v>8466.71731</v>
      </c>
      <c r="AV68" s="205"/>
      <c r="AW68" s="64">
        <v>5444.6199430188008</v>
      </c>
      <c r="AX68" s="64">
        <v>1526.5815649110111</v>
      </c>
      <c r="AY68" s="64">
        <v>1384.0836851490642</v>
      </c>
      <c r="AZ68" s="205">
        <f t="shared" si="31"/>
        <v>8355.2851930788765</v>
      </c>
      <c r="BA68" s="205"/>
      <c r="BB68" s="64">
        <v>5627.7941613987086</v>
      </c>
      <c r="BC68" s="64">
        <v>1547.072087616026</v>
      </c>
      <c r="BD68" s="64">
        <v>1400.6926893708528</v>
      </c>
      <c r="BE68" s="205">
        <f t="shared" si="8"/>
        <v>8575.5589383855877</v>
      </c>
      <c r="BF68" s="205"/>
      <c r="BG68" s="64">
        <v>5708.3840018896635</v>
      </c>
      <c r="BH68" s="64">
        <v>1579.933915276805</v>
      </c>
      <c r="BI68" s="64">
        <v>1468.7105161838927</v>
      </c>
      <c r="BJ68" s="205">
        <f t="shared" si="9"/>
        <v>8757.0284333503623</v>
      </c>
      <c r="BK68" s="205"/>
      <c r="BL68" s="64">
        <v>5767.4636734260339</v>
      </c>
      <c r="BM68" s="64">
        <v>1616.7473201489031</v>
      </c>
      <c r="BN68" s="64">
        <v>1556.5009670704906</v>
      </c>
      <c r="BO68" s="205">
        <f t="shared" si="10"/>
        <v>8940.7119606454271</v>
      </c>
      <c r="BQ68" s="64">
        <v>5870.9107592893215</v>
      </c>
      <c r="BR68" s="64">
        <v>1653.6417094100836</v>
      </c>
      <c r="BS68" s="64">
        <v>1611.0734095135108</v>
      </c>
      <c r="BT68" s="205">
        <f t="shared" si="11"/>
        <v>9135.6258782129153</v>
      </c>
      <c r="BU68" s="205"/>
      <c r="BV68" s="5">
        <f t="shared" si="12"/>
        <v>13877</v>
      </c>
      <c r="BW68" s="5">
        <f t="shared" si="13"/>
        <v>14021</v>
      </c>
      <c r="BX68" s="5">
        <f t="shared" si="14"/>
        <v>15450.759829999999</v>
      </c>
      <c r="BY68" s="5">
        <f t="shared" si="15"/>
        <v>15372.45105</v>
      </c>
      <c r="BZ68" s="5">
        <f t="shared" si="16"/>
        <v>8466.71731</v>
      </c>
      <c r="CA68" s="5">
        <f t="shared" si="17"/>
        <v>8355.2851930788765</v>
      </c>
      <c r="CB68" s="5">
        <f t="shared" si="18"/>
        <v>8575.5589383855877</v>
      </c>
      <c r="CC68" s="5">
        <f t="shared" si="19"/>
        <v>8757.0284333503623</v>
      </c>
      <c r="CD68" s="5">
        <f t="shared" si="20"/>
        <v>8940.7119606454271</v>
      </c>
      <c r="CE68" s="5">
        <f t="shared" si="32"/>
        <v>9135.6258782129153</v>
      </c>
      <c r="CH68" s="41">
        <f>BV68/'1. Väestöennuste'!I68*1000</f>
        <v>3012.8093790707771</v>
      </c>
      <c r="CI68" s="41">
        <f>BW68/'1. Väestöennuste'!J68*1000</f>
        <v>3097.1946101170756</v>
      </c>
      <c r="CJ68" s="41">
        <f>BX68/'1. Väestöennuste'!K68*1000</f>
        <v>3476.7686386138612</v>
      </c>
      <c r="CK68" s="41">
        <f>BY68/'1. Väestöennuste'!L68*1000</f>
        <v>3532.2727596507352</v>
      </c>
      <c r="CL68" s="41">
        <f>BZ68/'1. Väestöennuste'!M68*1000</f>
        <v>1987.9589833294201</v>
      </c>
      <c r="CM68" s="41">
        <f>CA68/'1. Väestöennuste'!N68*1000</f>
        <v>2004.146124509205</v>
      </c>
      <c r="CN68" s="41">
        <f>CB68/'1. Väestöennuste'!O68*1000</f>
        <v>2098.7662600062622</v>
      </c>
      <c r="CO68" s="41">
        <f>CC68/'1. Väestöennuste'!P68*1000</f>
        <v>2186.5239533958456</v>
      </c>
      <c r="CP68" s="41">
        <f>CD68/'1. Väestöennuste'!Q68*1000</f>
        <v>2272.6771633567432</v>
      </c>
      <c r="CQ68" s="41">
        <f>CE68/'1. Väestöennuste'!R68*1000</f>
        <v>2363.6806929399522</v>
      </c>
      <c r="CR68" s="41"/>
      <c r="CU68" s="159">
        <f t="shared" si="21"/>
        <v>84.385231046298486</v>
      </c>
      <c r="CV68" s="159">
        <f t="shared" si="22"/>
        <v>379.57402849678556</v>
      </c>
      <c r="CW68" s="159">
        <f t="shared" si="23"/>
        <v>55.504121036874039</v>
      </c>
      <c r="CX68" s="159">
        <f t="shared" si="24"/>
        <v>-1544.3137763213151</v>
      </c>
      <c r="CY68" s="159">
        <f t="shared" si="25"/>
        <v>16.187141179784931</v>
      </c>
      <c r="CZ68" s="159">
        <f t="shared" si="26"/>
        <v>94.620135497057163</v>
      </c>
      <c r="DA68" s="159">
        <f t="shared" si="33"/>
        <v>87.757693389583437</v>
      </c>
      <c r="DB68" s="159">
        <f t="shared" si="34"/>
        <v>86.153209960897584</v>
      </c>
      <c r="DC68" s="159">
        <f t="shared" si="34"/>
        <v>91.003529583209001</v>
      </c>
    </row>
    <row r="69" spans="1:107" x14ac:dyDescent="0.2">
      <c r="A69" s="99">
        <v>6</v>
      </c>
      <c r="B69" s="30">
        <v>177</v>
      </c>
      <c r="C69" s="47" t="s">
        <v>383</v>
      </c>
      <c r="D69" s="64">
        <v>5986.86121</v>
      </c>
      <c r="E69" s="64">
        <v>541.38750000000005</v>
      </c>
      <c r="F69" s="64">
        <v>752.24238000000003</v>
      </c>
      <c r="G69" s="205">
        <v>7280</v>
      </c>
      <c r="H69" s="205"/>
      <c r="I69" s="64">
        <v>5609</v>
      </c>
      <c r="J69" s="64">
        <v>549</v>
      </c>
      <c r="K69" s="64">
        <v>754</v>
      </c>
      <c r="L69" s="205">
        <v>6912</v>
      </c>
      <c r="M69" s="205"/>
      <c r="N69" s="64">
        <v>5707</v>
      </c>
      <c r="O69" s="64">
        <v>543</v>
      </c>
      <c r="P69" s="64">
        <v>924</v>
      </c>
      <c r="Q69" s="205">
        <v>7174</v>
      </c>
      <c r="R69" s="205"/>
      <c r="S69" s="64">
        <v>5424</v>
      </c>
      <c r="T69" s="64">
        <v>484</v>
      </c>
      <c r="U69" s="64">
        <v>1003</v>
      </c>
      <c r="V69" s="205">
        <v>6911</v>
      </c>
      <c r="W69" s="205"/>
      <c r="X69" s="64">
        <v>5542</v>
      </c>
      <c r="Y69" s="64">
        <v>503</v>
      </c>
      <c r="Z69" s="64">
        <v>1114</v>
      </c>
      <c r="AA69" s="205">
        <f t="shared" si="27"/>
        <v>7159</v>
      </c>
      <c r="AB69" s="205"/>
      <c r="AC69" s="64">
        <v>5452</v>
      </c>
      <c r="AD69" s="64">
        <v>487</v>
      </c>
      <c r="AE69" s="64">
        <v>1196</v>
      </c>
      <c r="AF69" s="205">
        <f t="shared" si="7"/>
        <v>7135</v>
      </c>
      <c r="AG69" s="205"/>
      <c r="AH69" s="278">
        <v>5762.7446799999998</v>
      </c>
      <c r="AI69" s="64">
        <v>525.60559000000001</v>
      </c>
      <c r="AJ69" s="64">
        <v>1695.2581200000002</v>
      </c>
      <c r="AK69" s="205">
        <f t="shared" si="28"/>
        <v>7983.6083900000003</v>
      </c>
      <c r="AL69" s="205"/>
      <c r="AM69" s="64">
        <v>6024.4715700000006</v>
      </c>
      <c r="AN69" s="64">
        <v>558.81947000000002</v>
      </c>
      <c r="AO69" s="64">
        <v>1497.2746299999999</v>
      </c>
      <c r="AP69" s="205">
        <f t="shared" si="29"/>
        <v>8080.5656700000009</v>
      </c>
      <c r="AQ69" s="205"/>
      <c r="AR69" s="64">
        <v>2695.2711300000001</v>
      </c>
      <c r="AS69" s="64">
        <v>581.36108999999999</v>
      </c>
      <c r="AT69" s="64">
        <v>1004.1798199999999</v>
      </c>
      <c r="AU69" s="205">
        <f t="shared" si="30"/>
        <v>4280.8120399999998</v>
      </c>
      <c r="AV69" s="205"/>
      <c r="AW69" s="64">
        <v>2632.8437765559202</v>
      </c>
      <c r="AX69" s="64">
        <v>639.44824068164496</v>
      </c>
      <c r="AY69" s="64">
        <v>1403.3161942979307</v>
      </c>
      <c r="AZ69" s="205">
        <f t="shared" si="31"/>
        <v>4675.6082115354957</v>
      </c>
      <c r="BA69" s="205"/>
      <c r="BB69" s="64">
        <v>2771.7689664921454</v>
      </c>
      <c r="BC69" s="64">
        <v>654.63233316822652</v>
      </c>
      <c r="BD69" s="64">
        <v>1420.1559886295058</v>
      </c>
      <c r="BE69" s="205">
        <f t="shared" si="8"/>
        <v>4846.5572882898778</v>
      </c>
      <c r="BF69" s="205"/>
      <c r="BG69" s="64">
        <v>2840.5068072389813</v>
      </c>
      <c r="BH69" s="64">
        <v>675.37065687625807</v>
      </c>
      <c r="BI69" s="64">
        <v>1489.1189558921471</v>
      </c>
      <c r="BJ69" s="205">
        <f t="shared" si="9"/>
        <v>5004.9964200073864</v>
      </c>
      <c r="BK69" s="205"/>
      <c r="BL69" s="64">
        <v>2904.8566647374996</v>
      </c>
      <c r="BM69" s="64">
        <v>698.19349417783167</v>
      </c>
      <c r="BN69" s="64">
        <v>1578.1292973590444</v>
      </c>
      <c r="BO69" s="205">
        <f t="shared" si="10"/>
        <v>5181.1794562743762</v>
      </c>
      <c r="BQ69" s="64">
        <v>2988.5515460348697</v>
      </c>
      <c r="BR69" s="64">
        <v>721.47055419718401</v>
      </c>
      <c r="BS69" s="64">
        <v>1633.4600501627913</v>
      </c>
      <c r="BT69" s="205">
        <f t="shared" si="11"/>
        <v>5343.4821503948451</v>
      </c>
      <c r="BU69" s="205"/>
      <c r="BV69" s="5">
        <f t="shared" si="12"/>
        <v>7159</v>
      </c>
      <c r="BW69" s="5">
        <f t="shared" si="13"/>
        <v>7135</v>
      </c>
      <c r="BX69" s="5">
        <f t="shared" si="14"/>
        <v>7983.6083900000003</v>
      </c>
      <c r="BY69" s="5">
        <f t="shared" si="15"/>
        <v>8080.5656700000009</v>
      </c>
      <c r="BZ69" s="5">
        <f t="shared" si="16"/>
        <v>4280.8120399999998</v>
      </c>
      <c r="CA69" s="5">
        <f t="shared" si="17"/>
        <v>4675.6082115354957</v>
      </c>
      <c r="CB69" s="5">
        <f t="shared" si="18"/>
        <v>4846.5572882898778</v>
      </c>
      <c r="CC69" s="5">
        <f t="shared" si="19"/>
        <v>5004.9964200073864</v>
      </c>
      <c r="CD69" s="5">
        <f t="shared" si="20"/>
        <v>5181.1794562743762</v>
      </c>
      <c r="CE69" s="5">
        <f t="shared" si="32"/>
        <v>5343.4821503948451</v>
      </c>
      <c r="CH69" s="41">
        <f>BV69/'1. Väestöennuste'!I69*1000</f>
        <v>3882.3210412147505</v>
      </c>
      <c r="CI69" s="41">
        <f>BW69/'1. Väestöennuste'!J69*1000</f>
        <v>3963.8888888888891</v>
      </c>
      <c r="CJ69" s="41">
        <f>BX69/'1. Väestöennuste'!K69*1000</f>
        <v>4470.1054815229572</v>
      </c>
      <c r="CK69" s="41">
        <f>BY69/'1. Väestöennuste'!L69*1000</f>
        <v>4570.4556957013574</v>
      </c>
      <c r="CL69" s="41">
        <f>BZ69/'1. Väestöennuste'!M69*1000</f>
        <v>2506.3302341920376</v>
      </c>
      <c r="CM69" s="41">
        <f>CA69/'1. Väestöennuste'!N69*1000</f>
        <v>2793.075395182494</v>
      </c>
      <c r="CN69" s="41">
        <f>CB69/'1. Väestöennuste'!O69*1000</f>
        <v>2942.6577342379342</v>
      </c>
      <c r="CO69" s="41">
        <f>CC69/'1. Väestöennuste'!P69*1000</f>
        <v>3085.694463629708</v>
      </c>
      <c r="CP69" s="41">
        <f>CD69/'1. Väestöennuste'!Q69*1000</f>
        <v>3238.2371601714854</v>
      </c>
      <c r="CQ69" s="41">
        <f>CE69/'1. Väestöennuste'!R69*1000</f>
        <v>3386.237104179243</v>
      </c>
      <c r="CR69" s="41"/>
      <c r="CU69" s="159">
        <f t="shared" si="21"/>
        <v>81.567847674138648</v>
      </c>
      <c r="CV69" s="159">
        <f t="shared" si="22"/>
        <v>506.21659263406809</v>
      </c>
      <c r="CW69" s="159">
        <f t="shared" si="23"/>
        <v>100.35021417840017</v>
      </c>
      <c r="CX69" s="159">
        <f t="shared" si="24"/>
        <v>-2064.1254615093198</v>
      </c>
      <c r="CY69" s="159">
        <f t="shared" si="25"/>
        <v>286.7451609904565</v>
      </c>
      <c r="CZ69" s="159">
        <f t="shared" si="26"/>
        <v>149.58233905544012</v>
      </c>
      <c r="DA69" s="159">
        <f t="shared" si="33"/>
        <v>143.03672939177386</v>
      </c>
      <c r="DB69" s="159">
        <f t="shared" si="34"/>
        <v>152.54269654177733</v>
      </c>
      <c r="DC69" s="159">
        <f t="shared" si="34"/>
        <v>147.99994400775768</v>
      </c>
    </row>
    <row r="70" spans="1:107" x14ac:dyDescent="0.2">
      <c r="A70" s="99">
        <v>10</v>
      </c>
      <c r="B70" s="30">
        <v>178</v>
      </c>
      <c r="C70" s="47" t="s">
        <v>384</v>
      </c>
      <c r="D70" s="64">
        <v>15888.90602</v>
      </c>
      <c r="E70" s="64">
        <v>1491.88228</v>
      </c>
      <c r="F70" s="64">
        <v>2447.8142000000003</v>
      </c>
      <c r="G70" s="205">
        <v>19827</v>
      </c>
      <c r="H70" s="205"/>
      <c r="I70" s="64">
        <v>15444</v>
      </c>
      <c r="J70" s="64">
        <v>1534</v>
      </c>
      <c r="K70" s="64">
        <v>2240</v>
      </c>
      <c r="L70" s="205">
        <v>19218</v>
      </c>
      <c r="M70" s="205"/>
      <c r="N70" s="64">
        <v>15240</v>
      </c>
      <c r="O70" s="64">
        <v>1505</v>
      </c>
      <c r="P70" s="64">
        <v>2548</v>
      </c>
      <c r="Q70" s="205">
        <v>19293</v>
      </c>
      <c r="R70" s="205"/>
      <c r="S70" s="64">
        <v>15564</v>
      </c>
      <c r="T70" s="64">
        <v>1513</v>
      </c>
      <c r="U70" s="64">
        <v>2405</v>
      </c>
      <c r="V70" s="205">
        <v>19482</v>
      </c>
      <c r="W70" s="205"/>
      <c r="X70" s="64">
        <v>15734</v>
      </c>
      <c r="Y70" s="64">
        <v>1526</v>
      </c>
      <c r="Z70" s="64">
        <v>2553</v>
      </c>
      <c r="AA70" s="205">
        <f t="shared" si="27"/>
        <v>19813</v>
      </c>
      <c r="AB70" s="205"/>
      <c r="AC70" s="64">
        <v>15868</v>
      </c>
      <c r="AD70" s="64">
        <v>1392</v>
      </c>
      <c r="AE70" s="64">
        <v>2957</v>
      </c>
      <c r="AF70" s="205">
        <f t="shared" si="7"/>
        <v>20217</v>
      </c>
      <c r="AG70" s="205"/>
      <c r="AH70" s="278">
        <v>16408.294730000001</v>
      </c>
      <c r="AI70" s="64">
        <v>1598.9350900000002</v>
      </c>
      <c r="AJ70" s="64">
        <v>4147.61553</v>
      </c>
      <c r="AK70" s="205">
        <f t="shared" si="28"/>
        <v>22154.84535</v>
      </c>
      <c r="AL70" s="205"/>
      <c r="AM70" s="64">
        <v>16735.321060000002</v>
      </c>
      <c r="AN70" s="64">
        <v>1670.76677</v>
      </c>
      <c r="AO70" s="64">
        <v>3667.1533199999999</v>
      </c>
      <c r="AP70" s="205">
        <f t="shared" si="29"/>
        <v>22073.241150000002</v>
      </c>
      <c r="AQ70" s="205"/>
      <c r="AR70" s="64">
        <v>8299.72343</v>
      </c>
      <c r="AS70" s="64">
        <v>1682.2318600000001</v>
      </c>
      <c r="AT70" s="64">
        <v>1993.8019899999999</v>
      </c>
      <c r="AU70" s="205">
        <f t="shared" si="30"/>
        <v>11975.75728</v>
      </c>
      <c r="AV70" s="205"/>
      <c r="AW70" s="64">
        <v>7765.3330693024755</v>
      </c>
      <c r="AX70" s="64">
        <v>1819.3543407056636</v>
      </c>
      <c r="AY70" s="64">
        <v>1672.7812228235057</v>
      </c>
      <c r="AZ70" s="205">
        <f t="shared" si="31"/>
        <v>11257.468632831644</v>
      </c>
      <c r="BA70" s="205"/>
      <c r="BB70" s="64">
        <v>8005.1554600823474</v>
      </c>
      <c r="BC70" s="64">
        <v>1827.6288756396732</v>
      </c>
      <c r="BD70" s="64">
        <v>1692.8545974973877</v>
      </c>
      <c r="BE70" s="205">
        <f t="shared" si="8"/>
        <v>11525.638933219409</v>
      </c>
      <c r="BF70" s="205"/>
      <c r="BG70" s="64">
        <v>8180.682967694127</v>
      </c>
      <c r="BH70" s="64">
        <v>1849.9207199624511</v>
      </c>
      <c r="BI70" s="64">
        <v>1775.0598461618572</v>
      </c>
      <c r="BJ70" s="205">
        <f t="shared" si="9"/>
        <v>11805.663533818435</v>
      </c>
      <c r="BK70" s="205"/>
      <c r="BL70" s="64">
        <v>8325.8593736161438</v>
      </c>
      <c r="BM70" s="64">
        <v>1876.0670725744262</v>
      </c>
      <c r="BN70" s="64">
        <v>1881.1619694380909</v>
      </c>
      <c r="BO70" s="205">
        <f t="shared" si="10"/>
        <v>12083.088415628661</v>
      </c>
      <c r="BQ70" s="64">
        <v>8524.8244969356601</v>
      </c>
      <c r="BR70" s="64">
        <v>1901.4883149631901</v>
      </c>
      <c r="BS70" s="64">
        <v>1947.1173433665606</v>
      </c>
      <c r="BT70" s="205">
        <f t="shared" si="11"/>
        <v>12373.430155265411</v>
      </c>
      <c r="BU70" s="205"/>
      <c r="BV70" s="5">
        <f t="shared" si="12"/>
        <v>19813</v>
      </c>
      <c r="BW70" s="5">
        <f t="shared" si="13"/>
        <v>20217</v>
      </c>
      <c r="BX70" s="5">
        <f t="shared" si="14"/>
        <v>22154.84535</v>
      </c>
      <c r="BY70" s="5">
        <f t="shared" si="15"/>
        <v>22073.241150000002</v>
      </c>
      <c r="BZ70" s="5">
        <f t="shared" si="16"/>
        <v>11975.75728</v>
      </c>
      <c r="CA70" s="5">
        <f t="shared" si="17"/>
        <v>11257.468632831644</v>
      </c>
      <c r="CB70" s="5">
        <f t="shared" si="18"/>
        <v>11525.638933219409</v>
      </c>
      <c r="CC70" s="5">
        <f t="shared" si="19"/>
        <v>11805.663533818435</v>
      </c>
      <c r="CD70" s="5">
        <f t="shared" si="20"/>
        <v>12083.088415628661</v>
      </c>
      <c r="CE70" s="5">
        <f t="shared" si="32"/>
        <v>12373.430155265411</v>
      </c>
      <c r="CH70" s="41">
        <f>BV70/'1. Väestöennuste'!I70*1000</f>
        <v>3239.5356442119028</v>
      </c>
      <c r="CI70" s="41">
        <f>BW70/'1. Väestöennuste'!J70*1000</f>
        <v>3408.125421443021</v>
      </c>
      <c r="CJ70" s="41">
        <f>BX70/'1. Väestöennuste'!K70*1000</f>
        <v>3763.3506624766433</v>
      </c>
      <c r="CK70" s="41">
        <f>BY70/'1. Väestöennuste'!L70*1000</f>
        <v>3826.1815132605307</v>
      </c>
      <c r="CL70" s="41">
        <f>BZ70/'1. Väestöennuste'!M70*1000</f>
        <v>2088.5520195326126</v>
      </c>
      <c r="CM70" s="41">
        <f>CA70/'1. Väestöennuste'!N70*1000</f>
        <v>2038.6578473074328</v>
      </c>
      <c r="CN70" s="41">
        <f>CB70/'1. Väestöennuste'!O70*1000</f>
        <v>2121.4133873034066</v>
      </c>
      <c r="CO70" s="41">
        <f>CC70/'1. Väestöennuste'!P70*1000</f>
        <v>2207.9041581856059</v>
      </c>
      <c r="CP70" s="41">
        <f>CD70/'1. Väestöennuste'!Q70*1000</f>
        <v>2293.2413011251965</v>
      </c>
      <c r="CQ70" s="41">
        <f>CE70/'1. Väestöennuste'!R70*1000</f>
        <v>2382.7132977595629</v>
      </c>
      <c r="CR70" s="41"/>
      <c r="CU70" s="159">
        <f t="shared" si="21"/>
        <v>168.58977723111821</v>
      </c>
      <c r="CV70" s="159">
        <f t="shared" si="22"/>
        <v>355.2252410336223</v>
      </c>
      <c r="CW70" s="159">
        <f t="shared" si="23"/>
        <v>62.830850783887399</v>
      </c>
      <c r="CX70" s="159">
        <f t="shared" si="24"/>
        <v>-1737.6294937279181</v>
      </c>
      <c r="CY70" s="159">
        <f t="shared" si="25"/>
        <v>-49.894172225179773</v>
      </c>
      <c r="CZ70" s="159">
        <f t="shared" si="26"/>
        <v>82.755539995973777</v>
      </c>
      <c r="DA70" s="159">
        <f t="shared" si="33"/>
        <v>86.490770882199286</v>
      </c>
      <c r="DB70" s="159">
        <f t="shared" si="34"/>
        <v>85.337142939590649</v>
      </c>
      <c r="DC70" s="159">
        <f t="shared" si="34"/>
        <v>89.471996634366405</v>
      </c>
    </row>
    <row r="71" spans="1:107" x14ac:dyDescent="0.2">
      <c r="A71" s="99">
        <v>13</v>
      </c>
      <c r="B71" s="30">
        <v>179</v>
      </c>
      <c r="C71" s="47" t="s">
        <v>385</v>
      </c>
      <c r="D71" s="64">
        <v>427041.26812000002</v>
      </c>
      <c r="E71" s="64">
        <v>40959.886149999998</v>
      </c>
      <c r="F71" s="64">
        <v>22522.949619999999</v>
      </c>
      <c r="G71" s="205">
        <v>490468</v>
      </c>
      <c r="H71" s="205"/>
      <c r="I71" s="64">
        <v>439145</v>
      </c>
      <c r="J71" s="64">
        <v>47104</v>
      </c>
      <c r="K71" s="64">
        <v>21150</v>
      </c>
      <c r="L71" s="205">
        <v>507399</v>
      </c>
      <c r="M71" s="205"/>
      <c r="N71" s="64">
        <v>440260</v>
      </c>
      <c r="O71" s="64">
        <v>47096</v>
      </c>
      <c r="P71" s="64">
        <v>27051</v>
      </c>
      <c r="Q71" s="205">
        <v>514407</v>
      </c>
      <c r="R71" s="205"/>
      <c r="S71" s="64">
        <v>438821</v>
      </c>
      <c r="T71" s="64">
        <v>48998</v>
      </c>
      <c r="U71" s="64">
        <v>25942</v>
      </c>
      <c r="V71" s="205">
        <v>513761</v>
      </c>
      <c r="W71" s="205"/>
      <c r="X71" s="64">
        <v>448187</v>
      </c>
      <c r="Y71" s="64">
        <v>49365</v>
      </c>
      <c r="Z71" s="64">
        <v>26652</v>
      </c>
      <c r="AA71" s="205">
        <f t="shared" si="27"/>
        <v>524204</v>
      </c>
      <c r="AB71" s="205"/>
      <c r="AC71" s="64">
        <v>472627</v>
      </c>
      <c r="AD71" s="64">
        <v>47316</v>
      </c>
      <c r="AE71" s="64">
        <v>29183</v>
      </c>
      <c r="AF71" s="205">
        <f t="shared" si="7"/>
        <v>549126</v>
      </c>
      <c r="AG71" s="205"/>
      <c r="AH71" s="278">
        <v>487898.1998</v>
      </c>
      <c r="AI71" s="64">
        <v>52547.124819999997</v>
      </c>
      <c r="AJ71" s="64">
        <v>44206.047290000002</v>
      </c>
      <c r="AK71" s="205">
        <f t="shared" si="28"/>
        <v>584651.37190999999</v>
      </c>
      <c r="AL71" s="205"/>
      <c r="AM71" s="64">
        <v>504072.13729000004</v>
      </c>
      <c r="AN71" s="64">
        <v>52254.69887</v>
      </c>
      <c r="AO71" s="64">
        <v>50727.606749999999</v>
      </c>
      <c r="AP71" s="205">
        <f t="shared" si="29"/>
        <v>607054.4429100001</v>
      </c>
      <c r="AQ71" s="205"/>
      <c r="AR71" s="64">
        <v>241856.52132</v>
      </c>
      <c r="AS71" s="64">
        <v>57993.304340000002</v>
      </c>
      <c r="AT71" s="64">
        <v>35310.819170000002</v>
      </c>
      <c r="AU71" s="205">
        <f t="shared" si="30"/>
        <v>335160.64483</v>
      </c>
      <c r="AV71" s="205"/>
      <c r="AW71" s="64">
        <v>247152.61154899857</v>
      </c>
      <c r="AX71" s="64">
        <v>59010.593469675478</v>
      </c>
      <c r="AY71" s="64">
        <v>27016.331736775497</v>
      </c>
      <c r="AZ71" s="205">
        <f t="shared" si="31"/>
        <v>333179.53675544955</v>
      </c>
      <c r="BA71" s="205"/>
      <c r="BB71" s="64">
        <v>264273.77841238456</v>
      </c>
      <c r="BC71" s="64">
        <v>59617.4884632104</v>
      </c>
      <c r="BD71" s="64">
        <v>27340.527717616798</v>
      </c>
      <c r="BE71" s="205">
        <f t="shared" si="8"/>
        <v>351231.79459321179</v>
      </c>
      <c r="BF71" s="205"/>
      <c r="BG71" s="64">
        <v>279697.41179263848</v>
      </c>
      <c r="BH71" s="64">
        <v>60690.076504617944</v>
      </c>
      <c r="BI71" s="64">
        <v>28668.187448681198</v>
      </c>
      <c r="BJ71" s="205">
        <f t="shared" si="9"/>
        <v>369055.67574593762</v>
      </c>
      <c r="BK71" s="205"/>
      <c r="BL71" s="64">
        <v>293094.1997361338</v>
      </c>
      <c r="BM71" s="64">
        <v>61901.062450408703</v>
      </c>
      <c r="BN71" s="64">
        <v>30381.794775985243</v>
      </c>
      <c r="BO71" s="205">
        <f t="shared" si="10"/>
        <v>385377.05696252774</v>
      </c>
      <c r="BQ71" s="64">
        <v>307994.1948124987</v>
      </c>
      <c r="BR71" s="64">
        <v>63100.847049254007</v>
      </c>
      <c r="BS71" s="64">
        <v>31447.010141606679</v>
      </c>
      <c r="BT71" s="205">
        <f t="shared" si="11"/>
        <v>402542.05200335936</v>
      </c>
      <c r="BU71" s="205"/>
      <c r="BV71" s="5">
        <f t="shared" si="12"/>
        <v>524204</v>
      </c>
      <c r="BW71" s="5">
        <f t="shared" si="13"/>
        <v>549126</v>
      </c>
      <c r="BX71" s="5">
        <f t="shared" si="14"/>
        <v>584651.37190999999</v>
      </c>
      <c r="BY71" s="5">
        <f t="shared" si="15"/>
        <v>607054.4429100001</v>
      </c>
      <c r="BZ71" s="5">
        <f t="shared" si="16"/>
        <v>335160.64483</v>
      </c>
      <c r="CA71" s="5">
        <f t="shared" si="17"/>
        <v>333179.53675544955</v>
      </c>
      <c r="CB71" s="5">
        <f t="shared" si="18"/>
        <v>351231.79459321179</v>
      </c>
      <c r="CC71" s="5">
        <f t="shared" si="19"/>
        <v>369055.67574593762</v>
      </c>
      <c r="CD71" s="5">
        <f t="shared" si="20"/>
        <v>385377.05696252774</v>
      </c>
      <c r="CE71" s="5">
        <f t="shared" si="32"/>
        <v>402542.05200335936</v>
      </c>
      <c r="CH71" s="41">
        <f>BV71/'1. Väestöennuste'!I71*1000</f>
        <v>3681.2078651685392</v>
      </c>
      <c r="CI71" s="41">
        <f>BW71/'1. Väestöennuste'!J71*1000</f>
        <v>3828.7965416259935</v>
      </c>
      <c r="CJ71" s="41">
        <f>BX71/'1. Väestöennuste'!K71*1000</f>
        <v>4046.7864023727616</v>
      </c>
      <c r="CK71" s="41">
        <f>BY71/'1. Väestöennuste'!L71*1000</f>
        <v>4161.1277420880551</v>
      </c>
      <c r="CL71" s="41">
        <f>BZ71/'1. Väestöennuste'!M71*1000</f>
        <v>2268.4921746104801</v>
      </c>
      <c r="CM71" s="41">
        <f>CA71/'1. Väestöennuste'!N71*1000</f>
        <v>2257.8187315283876</v>
      </c>
      <c r="CN71" s="41">
        <f>CB71/'1. Väestöennuste'!O71*1000</f>
        <v>2366.7432234739986</v>
      </c>
      <c r="CO71" s="41">
        <f>CC71/'1. Väestöennuste'!P71*1000</f>
        <v>2473.9780509196421</v>
      </c>
      <c r="CP71" s="41">
        <f>CD71/'1. Väestöennuste'!Q71*1000</f>
        <v>2570.9629140372508</v>
      </c>
      <c r="CQ71" s="41">
        <f>CE71/'1. Väestöennuste'!R71*1000</f>
        <v>2673.5078204610531</v>
      </c>
      <c r="CR71" s="41"/>
      <c r="CU71" s="159">
        <f t="shared" si="21"/>
        <v>147.58867645745431</v>
      </c>
      <c r="CV71" s="159">
        <f t="shared" si="22"/>
        <v>217.98986074676804</v>
      </c>
      <c r="CW71" s="159">
        <f t="shared" si="23"/>
        <v>114.34133971529354</v>
      </c>
      <c r="CX71" s="159">
        <f t="shared" si="24"/>
        <v>-1892.635567477575</v>
      </c>
      <c r="CY71" s="159">
        <f t="shared" si="25"/>
        <v>-10.67344308209249</v>
      </c>
      <c r="CZ71" s="159">
        <f t="shared" si="26"/>
        <v>108.92449194561095</v>
      </c>
      <c r="DA71" s="159">
        <f t="shared" si="33"/>
        <v>107.23482744564353</v>
      </c>
      <c r="DB71" s="159">
        <f t="shared" si="34"/>
        <v>96.984863117608711</v>
      </c>
      <c r="DC71" s="159">
        <f t="shared" si="34"/>
        <v>102.54490642380233</v>
      </c>
    </row>
    <row r="72" spans="1:107" x14ac:dyDescent="0.2">
      <c r="A72" s="99">
        <v>4</v>
      </c>
      <c r="B72" s="30">
        <v>181</v>
      </c>
      <c r="C72" s="47" t="s">
        <v>386</v>
      </c>
      <c r="D72" s="64">
        <v>5201.0602099999996</v>
      </c>
      <c r="E72" s="64">
        <v>397.89802000000003</v>
      </c>
      <c r="F72" s="64">
        <v>288.56117</v>
      </c>
      <c r="G72" s="205">
        <v>5884</v>
      </c>
      <c r="H72" s="205"/>
      <c r="I72" s="64">
        <v>4709</v>
      </c>
      <c r="J72" s="64">
        <v>401</v>
      </c>
      <c r="K72" s="64">
        <v>273</v>
      </c>
      <c r="L72" s="205">
        <v>5383</v>
      </c>
      <c r="M72" s="205"/>
      <c r="N72" s="64">
        <v>5008</v>
      </c>
      <c r="O72" s="64">
        <v>392</v>
      </c>
      <c r="P72" s="64">
        <v>305</v>
      </c>
      <c r="Q72" s="205">
        <v>5705</v>
      </c>
      <c r="R72" s="205"/>
      <c r="S72" s="64">
        <v>4775</v>
      </c>
      <c r="T72" s="64">
        <v>721</v>
      </c>
      <c r="U72" s="64">
        <v>274</v>
      </c>
      <c r="V72" s="205">
        <v>5770</v>
      </c>
      <c r="W72" s="205"/>
      <c r="X72" s="64">
        <v>5140</v>
      </c>
      <c r="Y72" s="64">
        <v>708</v>
      </c>
      <c r="Z72" s="64">
        <v>286</v>
      </c>
      <c r="AA72" s="205">
        <f t="shared" si="27"/>
        <v>6134</v>
      </c>
      <c r="AB72" s="205"/>
      <c r="AC72" s="64">
        <v>5108</v>
      </c>
      <c r="AD72" s="64">
        <v>660</v>
      </c>
      <c r="AE72" s="64">
        <v>306</v>
      </c>
      <c r="AF72" s="205">
        <f t="shared" si="7"/>
        <v>6074</v>
      </c>
      <c r="AG72" s="205"/>
      <c r="AH72" s="278">
        <v>5184.2415499999997</v>
      </c>
      <c r="AI72" s="64">
        <v>726.87192000000005</v>
      </c>
      <c r="AJ72" s="64">
        <v>465.23937000000001</v>
      </c>
      <c r="AK72" s="205">
        <f t="shared" si="28"/>
        <v>6376.3528400000005</v>
      </c>
      <c r="AL72" s="205"/>
      <c r="AM72" s="64">
        <v>5334.1851699999997</v>
      </c>
      <c r="AN72" s="64">
        <v>765.8365</v>
      </c>
      <c r="AO72" s="64">
        <v>485.02484999999996</v>
      </c>
      <c r="AP72" s="205">
        <f t="shared" si="29"/>
        <v>6585.0465199999999</v>
      </c>
      <c r="AQ72" s="205"/>
      <c r="AR72" s="64">
        <v>2869.0156200000001</v>
      </c>
      <c r="AS72" s="64">
        <v>729.41681999999992</v>
      </c>
      <c r="AT72" s="64">
        <v>320.52659999999997</v>
      </c>
      <c r="AU72" s="205">
        <f t="shared" si="30"/>
        <v>3918.9590400000002</v>
      </c>
      <c r="AV72" s="205"/>
      <c r="AW72" s="64">
        <v>2748.2833916027334</v>
      </c>
      <c r="AX72" s="64">
        <v>792.23677364481375</v>
      </c>
      <c r="AY72" s="64">
        <v>280.24592994540819</v>
      </c>
      <c r="AZ72" s="205">
        <f t="shared" si="31"/>
        <v>3820.7660951929552</v>
      </c>
      <c r="BA72" s="205"/>
      <c r="BB72" s="64">
        <v>2792.5161856579462</v>
      </c>
      <c r="BC72" s="64">
        <v>793.27450228076691</v>
      </c>
      <c r="BD72" s="64">
        <v>283.6088811047531</v>
      </c>
      <c r="BE72" s="205">
        <f t="shared" si="8"/>
        <v>3869.3995690434658</v>
      </c>
      <c r="BF72" s="205"/>
      <c r="BG72" s="64">
        <v>2862.876278224358</v>
      </c>
      <c r="BH72" s="64">
        <v>800.47446979836354</v>
      </c>
      <c r="BI72" s="64">
        <v>297.38096680492743</v>
      </c>
      <c r="BJ72" s="205">
        <f t="shared" si="9"/>
        <v>3960.7317148276493</v>
      </c>
      <c r="BK72" s="205"/>
      <c r="BL72" s="64">
        <v>2906.1275047113418</v>
      </c>
      <c r="BM72" s="64">
        <v>809.39642070717196</v>
      </c>
      <c r="BN72" s="64">
        <v>315.15656579003621</v>
      </c>
      <c r="BO72" s="205">
        <f t="shared" si="10"/>
        <v>4030.6804912085499</v>
      </c>
      <c r="BQ72" s="64">
        <v>2950.3437075849515</v>
      </c>
      <c r="BR72" s="64">
        <v>818.05663383240699</v>
      </c>
      <c r="BS72" s="64">
        <v>326.20626245645514</v>
      </c>
      <c r="BT72" s="205">
        <f t="shared" si="11"/>
        <v>4094.6066038738136</v>
      </c>
      <c r="BU72" s="205"/>
      <c r="BV72" s="5">
        <f t="shared" si="12"/>
        <v>6134</v>
      </c>
      <c r="BW72" s="5">
        <f t="shared" si="13"/>
        <v>6074</v>
      </c>
      <c r="BX72" s="5">
        <f t="shared" si="14"/>
        <v>6376.3528400000005</v>
      </c>
      <c r="BY72" s="5">
        <f t="shared" si="15"/>
        <v>6585.0465199999999</v>
      </c>
      <c r="BZ72" s="5">
        <f t="shared" si="16"/>
        <v>3918.9590400000002</v>
      </c>
      <c r="CA72" s="5">
        <f t="shared" si="17"/>
        <v>3820.7660951929552</v>
      </c>
      <c r="CB72" s="5">
        <f t="shared" si="18"/>
        <v>3869.3995690434658</v>
      </c>
      <c r="CC72" s="5">
        <f t="shared" si="19"/>
        <v>3960.7317148276493</v>
      </c>
      <c r="CD72" s="5">
        <f t="shared" si="20"/>
        <v>4030.6804912085499</v>
      </c>
      <c r="CE72" s="5">
        <f t="shared" si="32"/>
        <v>4094.6066038738136</v>
      </c>
      <c r="CH72" s="41">
        <f>BV72/'1. Väestöennuste'!I72*1000</f>
        <v>3527.3145485911441</v>
      </c>
      <c r="CI72" s="41">
        <f>BW72/'1. Väestöennuste'!J72*1000</f>
        <v>3558.2893966022261</v>
      </c>
      <c r="CJ72" s="41">
        <f>BX72/'1. Väestöennuste'!K72*1000</f>
        <v>3784.1856617210683</v>
      </c>
      <c r="CK72" s="41">
        <f>BY72/'1. Väestöennuste'!L72*1000</f>
        <v>3912.6836125965538</v>
      </c>
      <c r="CL72" s="41">
        <f>BZ72/'1. Väestöennuste'!M72*1000</f>
        <v>2329.9399762187873</v>
      </c>
      <c r="CM72" s="41">
        <f>CA72/'1. Väestöennuste'!N72*1000</f>
        <v>2442.9450736527847</v>
      </c>
      <c r="CN72" s="41">
        <f>CB72/'1. Väestöennuste'!O72*1000</f>
        <v>2520.7814782042124</v>
      </c>
      <c r="CO72" s="41">
        <f>CC72/'1. Väestöennuste'!P72*1000</f>
        <v>2628.2227702904111</v>
      </c>
      <c r="CP72" s="41">
        <f>CD72/'1. Väestöennuste'!Q72*1000</f>
        <v>2727.1180590044314</v>
      </c>
      <c r="CQ72" s="41">
        <f>CE72/'1. Väestöennuste'!R72*1000</f>
        <v>2818.0362036296033</v>
      </c>
      <c r="CR72" s="41"/>
      <c r="CU72" s="159">
        <f t="shared" si="21"/>
        <v>30.974848011082031</v>
      </c>
      <c r="CV72" s="159">
        <f t="shared" si="22"/>
        <v>225.89626511884217</v>
      </c>
      <c r="CW72" s="159">
        <f t="shared" si="23"/>
        <v>128.49795087548546</v>
      </c>
      <c r="CX72" s="159">
        <f t="shared" si="24"/>
        <v>-1582.7436363777665</v>
      </c>
      <c r="CY72" s="159">
        <f t="shared" si="25"/>
        <v>113.00509743399743</v>
      </c>
      <c r="CZ72" s="159">
        <f t="shared" si="26"/>
        <v>77.836404551427677</v>
      </c>
      <c r="DA72" s="159">
        <f t="shared" si="33"/>
        <v>107.4412920861987</v>
      </c>
      <c r="DB72" s="159">
        <f t="shared" si="34"/>
        <v>98.895288714020353</v>
      </c>
      <c r="DC72" s="159">
        <f t="shared" si="34"/>
        <v>90.918144625171863</v>
      </c>
    </row>
    <row r="73" spans="1:107" x14ac:dyDescent="0.2">
      <c r="A73" s="99">
        <v>13</v>
      </c>
      <c r="B73" s="30">
        <v>182</v>
      </c>
      <c r="C73" s="47" t="s">
        <v>387</v>
      </c>
      <c r="D73" s="64">
        <v>72051.790420000005</v>
      </c>
      <c r="E73" s="64">
        <v>5981.0780999999997</v>
      </c>
      <c r="F73" s="64">
        <v>9084.4486099999995</v>
      </c>
      <c r="G73" s="205">
        <v>87105</v>
      </c>
      <c r="H73" s="205"/>
      <c r="I73" s="64">
        <v>71823</v>
      </c>
      <c r="J73" s="64">
        <v>6179</v>
      </c>
      <c r="K73" s="64">
        <v>8939</v>
      </c>
      <c r="L73" s="205">
        <v>86941</v>
      </c>
      <c r="M73" s="205"/>
      <c r="N73" s="64">
        <v>69890</v>
      </c>
      <c r="O73" s="64">
        <v>6107</v>
      </c>
      <c r="P73" s="64">
        <v>9416</v>
      </c>
      <c r="Q73" s="205">
        <v>85413</v>
      </c>
      <c r="R73" s="205"/>
      <c r="S73" s="64">
        <v>69472</v>
      </c>
      <c r="T73" s="64">
        <v>6087</v>
      </c>
      <c r="U73" s="64">
        <v>8479</v>
      </c>
      <c r="V73" s="205">
        <v>84038</v>
      </c>
      <c r="W73" s="205"/>
      <c r="X73" s="64">
        <v>69037</v>
      </c>
      <c r="Y73" s="64">
        <v>6157</v>
      </c>
      <c r="Z73" s="64">
        <v>9669</v>
      </c>
      <c r="AA73" s="205">
        <f t="shared" si="27"/>
        <v>84863</v>
      </c>
      <c r="AB73" s="205"/>
      <c r="AC73" s="64">
        <v>70253</v>
      </c>
      <c r="AD73" s="64">
        <v>5634</v>
      </c>
      <c r="AE73" s="64">
        <v>11485</v>
      </c>
      <c r="AF73" s="205">
        <f t="shared" si="7"/>
        <v>87372</v>
      </c>
      <c r="AG73" s="205"/>
      <c r="AH73" s="278">
        <v>71228.030790000004</v>
      </c>
      <c r="AI73" s="64">
        <v>5886.2020300000004</v>
      </c>
      <c r="AJ73" s="64">
        <v>15605.43014</v>
      </c>
      <c r="AK73" s="205">
        <f t="shared" si="28"/>
        <v>92719.662960000001</v>
      </c>
      <c r="AL73" s="205"/>
      <c r="AM73" s="64">
        <v>71723.911849999989</v>
      </c>
      <c r="AN73" s="64">
        <v>5481.3492300000007</v>
      </c>
      <c r="AO73" s="64">
        <v>13900.567640000001</v>
      </c>
      <c r="AP73" s="205">
        <f t="shared" si="29"/>
        <v>91105.82871999999</v>
      </c>
      <c r="AQ73" s="205"/>
      <c r="AR73" s="64">
        <v>32896.440649999997</v>
      </c>
      <c r="AS73" s="64">
        <v>6284.0543499999994</v>
      </c>
      <c r="AT73" s="64">
        <v>8163.5825100000002</v>
      </c>
      <c r="AU73" s="205">
        <f t="shared" si="30"/>
        <v>47344.077509999996</v>
      </c>
      <c r="AV73" s="205"/>
      <c r="AW73" s="64">
        <v>36045.492076974675</v>
      </c>
      <c r="AX73" s="64">
        <v>7211.095234776144</v>
      </c>
      <c r="AY73" s="64">
        <v>6841.6655924561983</v>
      </c>
      <c r="AZ73" s="205">
        <f t="shared" si="31"/>
        <v>50098.252904207016</v>
      </c>
      <c r="BA73" s="205"/>
      <c r="BB73" s="64">
        <v>37534.706127153884</v>
      </c>
      <c r="BC73" s="64">
        <v>7405.0546389538258</v>
      </c>
      <c r="BD73" s="64">
        <v>6923.7655795656729</v>
      </c>
      <c r="BE73" s="205">
        <f t="shared" si="8"/>
        <v>51863.526345673388</v>
      </c>
      <c r="BF73" s="205"/>
      <c r="BG73" s="64">
        <v>38501.492675674541</v>
      </c>
      <c r="BH73" s="64">
        <v>7662.7357100550526</v>
      </c>
      <c r="BI73" s="64">
        <v>7259.984574394949</v>
      </c>
      <c r="BJ73" s="205">
        <f t="shared" si="9"/>
        <v>53424.21296012454</v>
      </c>
      <c r="BK73" s="205"/>
      <c r="BL73" s="64">
        <v>39279.945981880825</v>
      </c>
      <c r="BM73" s="64">
        <v>7945.1751370183792</v>
      </c>
      <c r="BN73" s="64">
        <v>7693.9416491164566</v>
      </c>
      <c r="BO73" s="205">
        <f t="shared" si="10"/>
        <v>54919.062768015661</v>
      </c>
      <c r="BQ73" s="64">
        <v>40264.621589752343</v>
      </c>
      <c r="BR73" s="64">
        <v>8233.9233970380192</v>
      </c>
      <c r="BS73" s="64">
        <v>7963.6987496190159</v>
      </c>
      <c r="BT73" s="205">
        <f t="shared" si="11"/>
        <v>56462.243736409378</v>
      </c>
      <c r="BU73" s="205"/>
      <c r="BV73" s="5">
        <f t="shared" si="12"/>
        <v>84863</v>
      </c>
      <c r="BW73" s="5">
        <f t="shared" si="13"/>
        <v>87372</v>
      </c>
      <c r="BX73" s="5">
        <f t="shared" si="14"/>
        <v>92719.662960000001</v>
      </c>
      <c r="BY73" s="5">
        <f t="shared" si="15"/>
        <v>91105.82871999999</v>
      </c>
      <c r="BZ73" s="5">
        <f t="shared" si="16"/>
        <v>47344.077509999996</v>
      </c>
      <c r="CA73" s="5">
        <f t="shared" si="17"/>
        <v>50098.252904207016</v>
      </c>
      <c r="CB73" s="5">
        <f t="shared" si="18"/>
        <v>51863.526345673388</v>
      </c>
      <c r="CC73" s="5">
        <f t="shared" si="19"/>
        <v>53424.21296012454</v>
      </c>
      <c r="CD73" s="5">
        <f t="shared" si="20"/>
        <v>54919.062768015661</v>
      </c>
      <c r="CE73" s="5">
        <f t="shared" si="32"/>
        <v>56462.243736409378</v>
      </c>
      <c r="CH73" s="41">
        <f>BV73/'1. Väestöennuste'!I73*1000</f>
        <v>4204.885541571698</v>
      </c>
      <c r="CI73" s="41">
        <f>BW73/'1. Väestöennuste'!J73*1000</f>
        <v>4393.4228390405797</v>
      </c>
      <c r="CJ73" s="41">
        <f>BX73/'1. Väestöennuste'!K73*1000</f>
        <v>4690.6289755653361</v>
      </c>
      <c r="CK73" s="41">
        <f>BY73/'1. Väestöennuste'!L73*1000</f>
        <v>4709.0416457331876</v>
      </c>
      <c r="CL73" s="41">
        <f>BZ73/'1. Väestöennuste'!M73*1000</f>
        <v>2468.1512621207376</v>
      </c>
      <c r="CM73" s="41">
        <f>CA73/'1. Väestöennuste'!N73*1000</f>
        <v>2689.6946689684855</v>
      </c>
      <c r="CN73" s="41">
        <f>CB73/'1. Väestöennuste'!O73*1000</f>
        <v>2824.5031230624872</v>
      </c>
      <c r="CO73" s="41">
        <f>CC73/'1. Väestöennuste'!P73*1000</f>
        <v>2950.9618294368393</v>
      </c>
      <c r="CP73" s="41">
        <f>CD73/'1. Väestöennuste'!Q73*1000</f>
        <v>3075.1476996481133</v>
      </c>
      <c r="CQ73" s="41">
        <f>CE73/'1. Väestöennuste'!R73*1000</f>
        <v>3204.6224948299778</v>
      </c>
      <c r="CR73" s="41"/>
      <c r="CU73" s="159">
        <f t="shared" si="21"/>
        <v>188.53729746888166</v>
      </c>
      <c r="CV73" s="159">
        <f t="shared" si="22"/>
        <v>297.2061365247564</v>
      </c>
      <c r="CW73" s="159">
        <f t="shared" si="23"/>
        <v>18.412670167851502</v>
      </c>
      <c r="CX73" s="159">
        <f t="shared" si="24"/>
        <v>-2240.89038361245</v>
      </c>
      <c r="CY73" s="159">
        <f t="shared" si="25"/>
        <v>221.54340684774797</v>
      </c>
      <c r="CZ73" s="159">
        <f t="shared" si="26"/>
        <v>134.80845409400172</v>
      </c>
      <c r="DA73" s="159">
        <f t="shared" si="33"/>
        <v>126.458706374352</v>
      </c>
      <c r="DB73" s="159">
        <f t="shared" si="34"/>
        <v>124.18587021127405</v>
      </c>
      <c r="DC73" s="159">
        <f t="shared" si="34"/>
        <v>129.47479518186447</v>
      </c>
    </row>
    <row r="74" spans="1:107" x14ac:dyDescent="0.2">
      <c r="A74" s="99">
        <v>1</v>
      </c>
      <c r="B74" s="30">
        <v>186</v>
      </c>
      <c r="C74" s="47" t="s">
        <v>388</v>
      </c>
      <c r="D74" s="64">
        <v>158736.95004</v>
      </c>
      <c r="E74" s="64">
        <v>12120.54146</v>
      </c>
      <c r="F74" s="64">
        <v>4673.6628300000002</v>
      </c>
      <c r="G74" s="205">
        <v>175502</v>
      </c>
      <c r="H74" s="205"/>
      <c r="I74" s="64">
        <v>164643</v>
      </c>
      <c r="J74" s="64">
        <v>12621</v>
      </c>
      <c r="K74" s="64">
        <v>4222</v>
      </c>
      <c r="L74" s="205">
        <v>181224</v>
      </c>
      <c r="M74" s="205"/>
      <c r="N74" s="64">
        <v>163681</v>
      </c>
      <c r="O74" s="64">
        <v>12903</v>
      </c>
      <c r="P74" s="64">
        <v>5316</v>
      </c>
      <c r="Q74" s="205">
        <v>181900</v>
      </c>
      <c r="R74" s="205"/>
      <c r="S74" s="64">
        <v>168830</v>
      </c>
      <c r="T74" s="64">
        <v>13788</v>
      </c>
      <c r="U74" s="64">
        <v>5198</v>
      </c>
      <c r="V74" s="205">
        <v>187816</v>
      </c>
      <c r="W74" s="205"/>
      <c r="X74" s="64">
        <v>174569</v>
      </c>
      <c r="Y74" s="64">
        <v>14596</v>
      </c>
      <c r="Z74" s="64">
        <v>4677</v>
      </c>
      <c r="AA74" s="205">
        <f t="shared" si="27"/>
        <v>193842</v>
      </c>
      <c r="AB74" s="205"/>
      <c r="AC74" s="64">
        <v>182979</v>
      </c>
      <c r="AD74" s="64">
        <v>13798</v>
      </c>
      <c r="AE74" s="64">
        <v>4673</v>
      </c>
      <c r="AF74" s="205">
        <f t="shared" si="7"/>
        <v>201450</v>
      </c>
      <c r="AG74" s="205"/>
      <c r="AH74" s="278">
        <v>194498.46049999999</v>
      </c>
      <c r="AI74" s="64">
        <v>16757.711729999999</v>
      </c>
      <c r="AJ74" s="64">
        <v>7144.0548399999998</v>
      </c>
      <c r="AK74" s="205">
        <f t="shared" si="28"/>
        <v>218400.22706999999</v>
      </c>
      <c r="AL74" s="205"/>
      <c r="AM74" s="64">
        <v>204423.9412</v>
      </c>
      <c r="AN74" s="64">
        <v>17842.595229999999</v>
      </c>
      <c r="AO74" s="64">
        <v>8732.9243699999988</v>
      </c>
      <c r="AP74" s="205">
        <f t="shared" si="29"/>
        <v>230999.4608</v>
      </c>
      <c r="AQ74" s="205"/>
      <c r="AR74" s="64">
        <v>98811.056469999996</v>
      </c>
      <c r="AS74" s="64">
        <v>18599.818199999998</v>
      </c>
      <c r="AT74" s="64">
        <v>6442.47912</v>
      </c>
      <c r="AU74" s="205">
        <f t="shared" si="30"/>
        <v>123853.35378999999</v>
      </c>
      <c r="AV74" s="205"/>
      <c r="AW74" s="64">
        <v>93770.582975338519</v>
      </c>
      <c r="AX74" s="64">
        <v>18771.798102880497</v>
      </c>
      <c r="AY74" s="64">
        <v>4708.0532219134047</v>
      </c>
      <c r="AZ74" s="205">
        <f t="shared" si="31"/>
        <v>117250.43430013242</v>
      </c>
      <c r="BA74" s="205"/>
      <c r="BB74" s="64">
        <v>100402.46079618254</v>
      </c>
      <c r="BC74" s="64">
        <v>18980.688312226237</v>
      </c>
      <c r="BD74" s="64">
        <v>4764.5498605763651</v>
      </c>
      <c r="BE74" s="205">
        <f t="shared" si="8"/>
        <v>124147.69896898515</v>
      </c>
      <c r="BF74" s="205"/>
      <c r="BG74" s="64">
        <v>106272.97861391791</v>
      </c>
      <c r="BH74" s="64">
        <v>19342.083001560091</v>
      </c>
      <c r="BI74" s="64">
        <v>4995.9170474818238</v>
      </c>
      <c r="BJ74" s="205">
        <f t="shared" si="9"/>
        <v>130610.97866295982</v>
      </c>
      <c r="BK74" s="205"/>
      <c r="BL74" s="64">
        <v>111519.97269459409</v>
      </c>
      <c r="BM74" s="64">
        <v>19752.233524843916</v>
      </c>
      <c r="BN74" s="64">
        <v>5294.5421375574742</v>
      </c>
      <c r="BO74" s="205">
        <f t="shared" si="10"/>
        <v>136566.74835699546</v>
      </c>
      <c r="BQ74" s="64">
        <v>117257.01987554075</v>
      </c>
      <c r="BR74" s="64">
        <v>20163.762206026917</v>
      </c>
      <c r="BS74" s="64">
        <v>5480.1739503072031</v>
      </c>
      <c r="BT74" s="205">
        <f t="shared" si="11"/>
        <v>142900.95603187487</v>
      </c>
      <c r="BU74" s="205"/>
      <c r="BV74" s="5">
        <f t="shared" si="12"/>
        <v>193842</v>
      </c>
      <c r="BW74" s="5">
        <f t="shared" si="13"/>
        <v>201450</v>
      </c>
      <c r="BX74" s="5">
        <f t="shared" si="14"/>
        <v>218400.22706999999</v>
      </c>
      <c r="BY74" s="5">
        <f t="shared" si="15"/>
        <v>230999.4608</v>
      </c>
      <c r="BZ74" s="5">
        <f t="shared" si="16"/>
        <v>123853.35378999999</v>
      </c>
      <c r="CA74" s="5">
        <f t="shared" si="17"/>
        <v>117250.43430013242</v>
      </c>
      <c r="CB74" s="5">
        <f t="shared" si="18"/>
        <v>124147.69896898515</v>
      </c>
      <c r="CC74" s="5">
        <f t="shared" si="19"/>
        <v>130610.97866295982</v>
      </c>
      <c r="CD74" s="5">
        <f t="shared" si="20"/>
        <v>136566.74835699546</v>
      </c>
      <c r="CE74" s="5">
        <f t="shared" si="32"/>
        <v>142900.95603187487</v>
      </c>
      <c r="CH74" s="41">
        <f>BV74/'1. Väestöennuste'!I74*1000</f>
        <v>4434.6274393173344</v>
      </c>
      <c r="CI74" s="41">
        <f>BW74/'1. Väestöennuste'!J74*1000</f>
        <v>4531.5487571701715</v>
      </c>
      <c r="CJ74" s="41">
        <f>BX74/'1. Väestöennuste'!K74*1000</f>
        <v>4829.0856381285103</v>
      </c>
      <c r="CK74" s="41">
        <f>BY74/'1. Väestöennuste'!L74*1000</f>
        <v>5062.4470918255529</v>
      </c>
      <c r="CL74" s="41">
        <f>BZ74/'1. Väestöennuste'!M74*1000</f>
        <v>2664.0859064314905</v>
      </c>
      <c r="CM74" s="41">
        <f>CA74/'1. Väestöennuste'!N74*1000</f>
        <v>2486.2263422419937</v>
      </c>
      <c r="CN74" s="41">
        <f>CB74/'1. Väestöennuste'!O74*1000</f>
        <v>2599.1353285666314</v>
      </c>
      <c r="CO74" s="41">
        <f>CC74/'1. Väestöennuste'!P74*1000</f>
        <v>2701.9234311741793</v>
      </c>
      <c r="CP74" s="41">
        <f>CD74/'1. Väestöennuste'!Q74*1000</f>
        <v>2793.2330106560476</v>
      </c>
      <c r="CQ74" s="41">
        <f>CE74/'1. Väestöennuste'!R74*1000</f>
        <v>2891.9123331823948</v>
      </c>
      <c r="CR74" s="41"/>
      <c r="CU74" s="159">
        <f t="shared" si="21"/>
        <v>96.921317852837092</v>
      </c>
      <c r="CV74" s="159">
        <f t="shared" si="22"/>
        <v>297.53688095833877</v>
      </c>
      <c r="CW74" s="159">
        <f t="shared" si="23"/>
        <v>233.36145369704263</v>
      </c>
      <c r="CX74" s="159">
        <f t="shared" si="24"/>
        <v>-2398.3611853940624</v>
      </c>
      <c r="CY74" s="159">
        <f t="shared" si="25"/>
        <v>-177.85956418949672</v>
      </c>
      <c r="CZ74" s="159">
        <f t="shared" si="26"/>
        <v>112.90898632463768</v>
      </c>
      <c r="DA74" s="159">
        <f t="shared" si="33"/>
        <v>102.7881026075479</v>
      </c>
      <c r="DB74" s="159">
        <f t="shared" si="34"/>
        <v>91.309579481868241</v>
      </c>
      <c r="DC74" s="159">
        <f t="shared" si="34"/>
        <v>98.679322526347278</v>
      </c>
    </row>
    <row r="75" spans="1:107" x14ac:dyDescent="0.2">
      <c r="A75" s="99">
        <v>2</v>
      </c>
      <c r="B75" s="30">
        <v>202</v>
      </c>
      <c r="C75" s="47" t="s">
        <v>389</v>
      </c>
      <c r="D75" s="64">
        <v>118751.05623</v>
      </c>
      <c r="E75" s="64">
        <v>6453.6003700000001</v>
      </c>
      <c r="F75" s="64">
        <v>4671.1295399999999</v>
      </c>
      <c r="G75" s="205">
        <v>129819</v>
      </c>
      <c r="H75" s="205"/>
      <c r="I75" s="64">
        <v>126274</v>
      </c>
      <c r="J75" s="64">
        <v>6657</v>
      </c>
      <c r="K75" s="64">
        <v>4086</v>
      </c>
      <c r="L75" s="205">
        <v>137017</v>
      </c>
      <c r="M75" s="205"/>
      <c r="N75" s="64">
        <v>125226</v>
      </c>
      <c r="O75" s="64">
        <v>7061</v>
      </c>
      <c r="P75" s="64">
        <v>4979</v>
      </c>
      <c r="Q75" s="205">
        <v>137266</v>
      </c>
      <c r="R75" s="205"/>
      <c r="S75" s="64">
        <v>127265</v>
      </c>
      <c r="T75" s="64">
        <v>7185</v>
      </c>
      <c r="U75" s="64">
        <v>4896</v>
      </c>
      <c r="V75" s="205">
        <v>139346</v>
      </c>
      <c r="W75" s="205"/>
      <c r="X75" s="64">
        <v>132499</v>
      </c>
      <c r="Y75" s="64">
        <v>7416</v>
      </c>
      <c r="Z75" s="64">
        <v>5375</v>
      </c>
      <c r="AA75" s="205">
        <f t="shared" si="27"/>
        <v>145290</v>
      </c>
      <c r="AB75" s="205"/>
      <c r="AC75" s="64">
        <v>137875</v>
      </c>
      <c r="AD75" s="64">
        <v>6973</v>
      </c>
      <c r="AE75" s="64">
        <v>5762</v>
      </c>
      <c r="AF75" s="205">
        <f t="shared" si="7"/>
        <v>150610</v>
      </c>
      <c r="AG75" s="205"/>
      <c r="AH75" s="278">
        <v>147184.95514999999</v>
      </c>
      <c r="AI75" s="64">
        <v>7747.73387</v>
      </c>
      <c r="AJ75" s="64">
        <v>9102.8539299999993</v>
      </c>
      <c r="AK75" s="205">
        <f t="shared" si="28"/>
        <v>164035.54295</v>
      </c>
      <c r="AL75" s="205"/>
      <c r="AM75" s="64">
        <v>159008.75516999999</v>
      </c>
      <c r="AN75" s="64">
        <v>8051.6939499999999</v>
      </c>
      <c r="AO75" s="64">
        <v>10529.53508</v>
      </c>
      <c r="AP75" s="205">
        <f t="shared" si="29"/>
        <v>177589.98419999998</v>
      </c>
      <c r="AQ75" s="205"/>
      <c r="AR75" s="64">
        <v>74901.562239999999</v>
      </c>
      <c r="AS75" s="64">
        <v>8614.7875000000004</v>
      </c>
      <c r="AT75" s="64">
        <v>7091.6183899999996</v>
      </c>
      <c r="AU75" s="205">
        <f t="shared" si="30"/>
        <v>90607.968130000008</v>
      </c>
      <c r="AV75" s="205"/>
      <c r="AW75" s="64">
        <v>71586.193603694177</v>
      </c>
      <c r="AX75" s="64">
        <v>9401.0103647498581</v>
      </c>
      <c r="AY75" s="64">
        <v>5136.5040244472048</v>
      </c>
      <c r="AZ75" s="205">
        <f t="shared" si="31"/>
        <v>86123.707992891243</v>
      </c>
      <c r="BA75" s="205"/>
      <c r="BB75" s="64">
        <v>76683.157816674968</v>
      </c>
      <c r="BC75" s="64">
        <v>9593.7189338629232</v>
      </c>
      <c r="BD75" s="64">
        <v>5198.1420727405712</v>
      </c>
      <c r="BE75" s="205">
        <f t="shared" si="8"/>
        <v>91475.018823278457</v>
      </c>
      <c r="BF75" s="205"/>
      <c r="BG75" s="64">
        <v>80981.967664698619</v>
      </c>
      <c r="BH75" s="64">
        <v>9865.5391086310301</v>
      </c>
      <c r="BI75" s="64">
        <v>5450.5645562276914</v>
      </c>
      <c r="BJ75" s="205">
        <f t="shared" si="9"/>
        <v>96298.071329557337</v>
      </c>
      <c r="BK75" s="205"/>
      <c r="BL75" s="64">
        <v>84720.461790188812</v>
      </c>
      <c r="BM75" s="64">
        <v>10165.088169434994</v>
      </c>
      <c r="BN75" s="64">
        <v>5776.3656686354852</v>
      </c>
      <c r="BO75" s="205">
        <f t="shared" si="10"/>
        <v>100661.91562825929</v>
      </c>
      <c r="BQ75" s="64">
        <v>88784.536715077687</v>
      </c>
      <c r="BR75" s="64">
        <v>10468.326842510152</v>
      </c>
      <c r="BS75" s="64">
        <v>5978.8906844565472</v>
      </c>
      <c r="BT75" s="205">
        <f t="shared" si="11"/>
        <v>105231.75424204439</v>
      </c>
      <c r="BU75" s="205"/>
      <c r="BV75" s="5">
        <f t="shared" si="12"/>
        <v>145290</v>
      </c>
      <c r="BW75" s="5">
        <f t="shared" si="13"/>
        <v>150610</v>
      </c>
      <c r="BX75" s="5">
        <f t="shared" si="14"/>
        <v>164035.54295</v>
      </c>
      <c r="BY75" s="5">
        <f t="shared" si="15"/>
        <v>177589.98419999998</v>
      </c>
      <c r="BZ75" s="5">
        <f t="shared" si="16"/>
        <v>90607.968130000008</v>
      </c>
      <c r="CA75" s="5">
        <f t="shared" si="17"/>
        <v>86123.707992891243</v>
      </c>
      <c r="CB75" s="5">
        <f t="shared" si="18"/>
        <v>91475.018823278457</v>
      </c>
      <c r="CC75" s="5">
        <f t="shared" si="19"/>
        <v>96298.071329557337</v>
      </c>
      <c r="CD75" s="5">
        <f t="shared" si="20"/>
        <v>100661.91562825929</v>
      </c>
      <c r="CE75" s="5">
        <f t="shared" si="32"/>
        <v>105231.75424204439</v>
      </c>
      <c r="CH75" s="41">
        <f>BV75/'1. Väestöennuste'!I75*1000</f>
        <v>4281.1680466747212</v>
      </c>
      <c r="CI75" s="41">
        <f>BW75/'1. Väestöennuste'!J75*1000</f>
        <v>4344.4774569475294</v>
      </c>
      <c r="CJ75" s="41">
        <f>BX75/'1. Väestöennuste'!K75*1000</f>
        <v>4621.1100360593855</v>
      </c>
      <c r="CK75" s="41">
        <f>BY75/'1. Väestöennuste'!L75*1000</f>
        <v>4953.971886855612</v>
      </c>
      <c r="CL75" s="41">
        <f>BZ75/'1. Väestöennuste'!M75*1000</f>
        <v>2493.408407771265</v>
      </c>
      <c r="CM75" s="41">
        <f>CA75/'1. Väestöennuste'!N75*1000</f>
        <v>2356.9061600090649</v>
      </c>
      <c r="CN75" s="41">
        <f>CB75/'1. Väestöennuste'!O75*1000</f>
        <v>2475.7772768019499</v>
      </c>
      <c r="CO75" s="41">
        <f>CC75/'1. Väestöennuste'!P75*1000</f>
        <v>2579.2974776900319</v>
      </c>
      <c r="CP75" s="41">
        <f>CD75/'1. Väestöennuste'!Q75*1000</f>
        <v>2670.0065151656263</v>
      </c>
      <c r="CQ75" s="41">
        <f>CE75/'1. Väestöennuste'!R75*1000</f>
        <v>2765.9084855712663</v>
      </c>
      <c r="CR75" s="41"/>
      <c r="CU75" s="159">
        <f t="shared" si="21"/>
        <v>63.309410272808236</v>
      </c>
      <c r="CV75" s="159">
        <f t="shared" si="22"/>
        <v>276.6325791118561</v>
      </c>
      <c r="CW75" s="159">
        <f t="shared" si="23"/>
        <v>332.86185079622646</v>
      </c>
      <c r="CX75" s="159">
        <f t="shared" si="24"/>
        <v>-2460.5634790843469</v>
      </c>
      <c r="CY75" s="159">
        <f t="shared" si="25"/>
        <v>-136.50224776220011</v>
      </c>
      <c r="CZ75" s="159">
        <f t="shared" si="26"/>
        <v>118.871116792885</v>
      </c>
      <c r="DA75" s="159">
        <f t="shared" si="33"/>
        <v>103.52020088808194</v>
      </c>
      <c r="DB75" s="159">
        <f t="shared" si="34"/>
        <v>90.709037475594414</v>
      </c>
      <c r="DC75" s="159">
        <f t="shared" si="34"/>
        <v>95.901970405639986</v>
      </c>
    </row>
    <row r="76" spans="1:107" x14ac:dyDescent="0.2">
      <c r="A76" s="99">
        <v>11</v>
      </c>
      <c r="B76" s="30">
        <v>204</v>
      </c>
      <c r="C76" s="47" t="s">
        <v>390</v>
      </c>
      <c r="D76" s="64">
        <v>7342.6358600000003</v>
      </c>
      <c r="E76" s="64">
        <v>977.70451000000003</v>
      </c>
      <c r="F76" s="64">
        <v>948.76264000000003</v>
      </c>
      <c r="G76" s="205">
        <v>9268</v>
      </c>
      <c r="H76" s="205"/>
      <c r="I76" s="64">
        <v>7268</v>
      </c>
      <c r="J76" s="64">
        <v>1086</v>
      </c>
      <c r="K76" s="64">
        <v>839</v>
      </c>
      <c r="L76" s="205">
        <v>9193</v>
      </c>
      <c r="M76" s="205"/>
      <c r="N76" s="64">
        <v>6988</v>
      </c>
      <c r="O76" s="64">
        <v>995</v>
      </c>
      <c r="P76" s="64">
        <v>1051</v>
      </c>
      <c r="Q76" s="205">
        <v>9034</v>
      </c>
      <c r="R76" s="205"/>
      <c r="S76" s="64">
        <v>7148</v>
      </c>
      <c r="T76" s="64">
        <v>1104</v>
      </c>
      <c r="U76" s="64">
        <v>967</v>
      </c>
      <c r="V76" s="205">
        <v>9219</v>
      </c>
      <c r="W76" s="205"/>
      <c r="X76" s="64">
        <v>7195</v>
      </c>
      <c r="Y76" s="64">
        <v>1148</v>
      </c>
      <c r="Z76" s="64">
        <v>1099</v>
      </c>
      <c r="AA76" s="205">
        <f t="shared" si="27"/>
        <v>9442</v>
      </c>
      <c r="AB76" s="205"/>
      <c r="AC76" s="64">
        <v>7458</v>
      </c>
      <c r="AD76" s="64">
        <v>1071</v>
      </c>
      <c r="AE76" s="64">
        <v>1304</v>
      </c>
      <c r="AF76" s="205">
        <f t="shared" si="7"/>
        <v>9833</v>
      </c>
      <c r="AG76" s="205"/>
      <c r="AH76" s="278">
        <v>7604.3224199999995</v>
      </c>
      <c r="AI76" s="64">
        <v>1238.68003</v>
      </c>
      <c r="AJ76" s="64">
        <v>1818.25477</v>
      </c>
      <c r="AK76" s="205">
        <f t="shared" si="28"/>
        <v>10661.25722</v>
      </c>
      <c r="AL76" s="205"/>
      <c r="AM76" s="64">
        <v>7753.6733600000007</v>
      </c>
      <c r="AN76" s="64">
        <v>1292.0323500000002</v>
      </c>
      <c r="AO76" s="64">
        <v>1923.0534</v>
      </c>
      <c r="AP76" s="205">
        <f t="shared" si="29"/>
        <v>10968.759110000001</v>
      </c>
      <c r="AQ76" s="205"/>
      <c r="AR76" s="64">
        <v>3822.8761199999999</v>
      </c>
      <c r="AS76" s="64">
        <v>1258.53178</v>
      </c>
      <c r="AT76" s="64">
        <v>1184.18379</v>
      </c>
      <c r="AU76" s="205">
        <f t="shared" si="30"/>
        <v>6265.5916900000002</v>
      </c>
      <c r="AV76" s="205"/>
      <c r="AW76" s="64">
        <v>3932.3105151202653</v>
      </c>
      <c r="AX76" s="64">
        <v>1301.8756574889949</v>
      </c>
      <c r="AY76" s="64">
        <v>788.69171632592099</v>
      </c>
      <c r="AZ76" s="205">
        <f t="shared" si="31"/>
        <v>6022.8778889351815</v>
      </c>
      <c r="BA76" s="205"/>
      <c r="BB76" s="64">
        <v>4126.5641846464096</v>
      </c>
      <c r="BC76" s="64">
        <v>1307.8472486722956</v>
      </c>
      <c r="BD76" s="64">
        <v>798.15601692183202</v>
      </c>
      <c r="BE76" s="205">
        <f t="shared" si="8"/>
        <v>6232.5674502405373</v>
      </c>
      <c r="BF76" s="205"/>
      <c r="BG76" s="64">
        <v>4243.156307124158</v>
      </c>
      <c r="BH76" s="64">
        <v>1323.8073031303202</v>
      </c>
      <c r="BI76" s="64">
        <v>836.9145812669916</v>
      </c>
      <c r="BJ76" s="205">
        <f t="shared" si="9"/>
        <v>6403.8781915214695</v>
      </c>
      <c r="BK76" s="205"/>
      <c r="BL76" s="64">
        <v>4343.1322672288643</v>
      </c>
      <c r="BM76" s="64">
        <v>1342.4827948202289</v>
      </c>
      <c r="BN76" s="64">
        <v>886.94017013109294</v>
      </c>
      <c r="BO76" s="205">
        <f t="shared" si="10"/>
        <v>6572.5552321801861</v>
      </c>
      <c r="BQ76" s="64">
        <v>4457.4045008617668</v>
      </c>
      <c r="BR76" s="64">
        <v>1360.5954921730638</v>
      </c>
      <c r="BS76" s="64">
        <v>918.03715780337211</v>
      </c>
      <c r="BT76" s="205">
        <f t="shared" si="11"/>
        <v>6736.0371508382023</v>
      </c>
      <c r="BU76" s="205"/>
      <c r="BV76" s="5">
        <f t="shared" si="12"/>
        <v>9442</v>
      </c>
      <c r="BW76" s="5">
        <f t="shared" si="13"/>
        <v>9833</v>
      </c>
      <c r="BX76" s="5">
        <f t="shared" si="14"/>
        <v>10661.25722</v>
      </c>
      <c r="BY76" s="5">
        <f t="shared" si="15"/>
        <v>10968.759110000001</v>
      </c>
      <c r="BZ76" s="5">
        <f t="shared" si="16"/>
        <v>6265.5916900000002</v>
      </c>
      <c r="CA76" s="5">
        <f t="shared" si="17"/>
        <v>6022.8778889351815</v>
      </c>
      <c r="CB76" s="5">
        <f t="shared" si="18"/>
        <v>6232.5674502405373</v>
      </c>
      <c r="CC76" s="5">
        <f t="shared" si="19"/>
        <v>6403.8781915214695</v>
      </c>
      <c r="CD76" s="5">
        <f t="shared" si="20"/>
        <v>6572.5552321801861</v>
      </c>
      <c r="CE76" s="5">
        <f t="shared" si="32"/>
        <v>6736.0371508382023</v>
      </c>
      <c r="CH76" s="41">
        <f>BV76/'1. Väestöennuste'!I76*1000</f>
        <v>3263.7400622191499</v>
      </c>
      <c r="CI76" s="41">
        <f>BW76/'1. Väestöennuste'!J76*1000</f>
        <v>3503.0281439258997</v>
      </c>
      <c r="CJ76" s="41">
        <f>BX76/'1. Väestöennuste'!K76*1000</f>
        <v>3837.7455795536357</v>
      </c>
      <c r="CK76" s="41">
        <f>BY76/'1. Väestöennuste'!L76*1000</f>
        <v>4079.1220193380441</v>
      </c>
      <c r="CL76" s="41">
        <f>BZ76/'1. Väestöennuste'!M76*1000</f>
        <v>2384.1673097412486</v>
      </c>
      <c r="CM76" s="41">
        <f>CA76/'1. Väestöennuste'!N76*1000</f>
        <v>2340.799801373953</v>
      </c>
      <c r="CN76" s="41">
        <f>CB76/'1. Väestöennuste'!O76*1000</f>
        <v>2464.4394821038109</v>
      </c>
      <c r="CO76" s="41">
        <f>CC76/'1. Väestöennuste'!P76*1000</f>
        <v>2572.8719130259019</v>
      </c>
      <c r="CP76" s="41">
        <f>CD76/'1. Väestöennuste'!Q76*1000</f>
        <v>2681.5810820808592</v>
      </c>
      <c r="CQ76" s="41">
        <f>CE76/'1. Väestöennuste'!R76*1000</f>
        <v>2791.5611897381696</v>
      </c>
      <c r="CR76" s="41"/>
      <c r="CU76" s="159">
        <f t="shared" si="21"/>
        <v>239.28808170674984</v>
      </c>
      <c r="CV76" s="159">
        <f t="shared" si="22"/>
        <v>334.71743562773599</v>
      </c>
      <c r="CW76" s="159">
        <f t="shared" si="23"/>
        <v>241.37643978440838</v>
      </c>
      <c r="CX76" s="159">
        <f t="shared" si="24"/>
        <v>-1694.9547095967955</v>
      </c>
      <c r="CY76" s="159">
        <f t="shared" si="25"/>
        <v>-43.367508367295613</v>
      </c>
      <c r="CZ76" s="159">
        <f t="shared" si="26"/>
        <v>123.6396807298579</v>
      </c>
      <c r="DA76" s="159">
        <f t="shared" si="33"/>
        <v>108.43243092209104</v>
      </c>
      <c r="DB76" s="159">
        <f t="shared" si="34"/>
        <v>108.70916905495733</v>
      </c>
      <c r="DC76" s="159">
        <f t="shared" si="34"/>
        <v>109.98010765731033</v>
      </c>
    </row>
    <row r="77" spans="1:107" x14ac:dyDescent="0.2">
      <c r="A77" s="99">
        <v>18</v>
      </c>
      <c r="B77" s="30">
        <v>205</v>
      </c>
      <c r="C77" s="47" t="s">
        <v>391</v>
      </c>
      <c r="D77" s="64">
        <v>122208.93349</v>
      </c>
      <c r="E77" s="64">
        <v>9800.1838599999992</v>
      </c>
      <c r="F77" s="64">
        <v>6126.8239100000001</v>
      </c>
      <c r="G77" s="205">
        <v>138123</v>
      </c>
      <c r="H77" s="205"/>
      <c r="I77" s="64">
        <v>122245</v>
      </c>
      <c r="J77" s="64">
        <v>9770</v>
      </c>
      <c r="K77" s="64">
        <v>5118</v>
      </c>
      <c r="L77" s="205">
        <v>137133</v>
      </c>
      <c r="M77" s="205"/>
      <c r="N77" s="78">
        <v>122933</v>
      </c>
      <c r="O77" s="78">
        <v>9985</v>
      </c>
      <c r="P77" s="78">
        <v>5736</v>
      </c>
      <c r="Q77" s="205">
        <v>138654</v>
      </c>
      <c r="R77" s="205"/>
      <c r="S77" s="64">
        <v>120067</v>
      </c>
      <c r="T77" s="64">
        <v>10142</v>
      </c>
      <c r="U77" s="64">
        <v>5397</v>
      </c>
      <c r="V77" s="205">
        <v>135606</v>
      </c>
      <c r="W77" s="205"/>
      <c r="X77" s="64">
        <v>122364</v>
      </c>
      <c r="Y77" s="64">
        <v>10589</v>
      </c>
      <c r="Z77" s="64">
        <v>5465</v>
      </c>
      <c r="AA77" s="205">
        <f t="shared" si="27"/>
        <v>138418</v>
      </c>
      <c r="AB77" s="205"/>
      <c r="AC77" s="64">
        <v>125951</v>
      </c>
      <c r="AD77" s="64">
        <v>9650</v>
      </c>
      <c r="AE77" s="64">
        <v>5821</v>
      </c>
      <c r="AF77" s="205">
        <f t="shared" si="7"/>
        <v>141422</v>
      </c>
      <c r="AG77" s="205"/>
      <c r="AH77" s="278">
        <v>130220.0263</v>
      </c>
      <c r="AI77" s="64">
        <v>10561.32121</v>
      </c>
      <c r="AJ77" s="64">
        <v>8622.5601199999983</v>
      </c>
      <c r="AK77" s="205">
        <f t="shared" si="28"/>
        <v>149403.90763</v>
      </c>
      <c r="AL77" s="205"/>
      <c r="AM77" s="64">
        <v>134496.75480000002</v>
      </c>
      <c r="AN77" s="64">
        <v>11180.93842</v>
      </c>
      <c r="AO77" s="64">
        <v>9439.6585599999999</v>
      </c>
      <c r="AP77" s="205">
        <f t="shared" si="29"/>
        <v>155117.35178000003</v>
      </c>
      <c r="AQ77" s="205"/>
      <c r="AR77" s="64">
        <v>64297.284770000006</v>
      </c>
      <c r="AS77" s="64">
        <v>11359.795900000001</v>
      </c>
      <c r="AT77" s="64">
        <v>6335.0097000000005</v>
      </c>
      <c r="AU77" s="205">
        <f t="shared" si="30"/>
        <v>81992.090370000005</v>
      </c>
      <c r="AV77" s="205"/>
      <c r="AW77" s="64">
        <v>63285.082222673213</v>
      </c>
      <c r="AX77" s="64">
        <v>11501.888510969457</v>
      </c>
      <c r="AY77" s="64">
        <v>7655.3345899962915</v>
      </c>
      <c r="AZ77" s="205">
        <f t="shared" si="31"/>
        <v>82442.305323638953</v>
      </c>
      <c r="BA77" s="205"/>
      <c r="BB77" s="64">
        <v>66159.159862811066</v>
      </c>
      <c r="BC77" s="64">
        <v>11516.338927580811</v>
      </c>
      <c r="BD77" s="64">
        <v>7747.1986050762471</v>
      </c>
      <c r="BE77" s="205">
        <f t="shared" ref="BE77:BE140" si="35">SUM(BB77:BD77)</f>
        <v>85422.697395468131</v>
      </c>
      <c r="BF77" s="205"/>
      <c r="BG77" s="64">
        <v>69069.104403772726</v>
      </c>
      <c r="BH77" s="64">
        <v>11620.036414117527</v>
      </c>
      <c r="BI77" s="64">
        <v>8123.403619213208</v>
      </c>
      <c r="BJ77" s="205">
        <f t="shared" si="9"/>
        <v>88812.544437103454</v>
      </c>
      <c r="BK77" s="205"/>
      <c r="BL77" s="64">
        <v>71404.880588798347</v>
      </c>
      <c r="BM77" s="64">
        <v>11748.762699059944</v>
      </c>
      <c r="BN77" s="64">
        <v>8608.9705560644015</v>
      </c>
      <c r="BO77" s="205">
        <f t="shared" si="10"/>
        <v>91762.613843922692</v>
      </c>
      <c r="BQ77" s="64">
        <v>74104.866488361644</v>
      </c>
      <c r="BR77" s="64">
        <v>11874.009811385611</v>
      </c>
      <c r="BS77" s="64">
        <v>8910.8094627556839</v>
      </c>
      <c r="BT77" s="205">
        <f t="shared" si="11"/>
        <v>94889.685762502937</v>
      </c>
      <c r="BU77" s="205"/>
      <c r="BV77" s="5">
        <f t="shared" si="12"/>
        <v>138418</v>
      </c>
      <c r="BW77" s="5">
        <f t="shared" si="13"/>
        <v>141422</v>
      </c>
      <c r="BX77" s="5">
        <f t="shared" si="14"/>
        <v>149403.90763</v>
      </c>
      <c r="BY77" s="5">
        <f t="shared" si="15"/>
        <v>155117.35178000003</v>
      </c>
      <c r="BZ77" s="5">
        <f t="shared" si="16"/>
        <v>81992.090370000005</v>
      </c>
      <c r="CA77" s="5">
        <f t="shared" si="17"/>
        <v>82442.305323638953</v>
      </c>
      <c r="CB77" s="5">
        <f t="shared" si="18"/>
        <v>85422.697395468131</v>
      </c>
      <c r="CC77" s="5">
        <f t="shared" si="19"/>
        <v>88812.544437103454</v>
      </c>
      <c r="CD77" s="5">
        <f t="shared" si="20"/>
        <v>91762.613843922692</v>
      </c>
      <c r="CE77" s="5">
        <f t="shared" si="32"/>
        <v>94889.685762502937</v>
      </c>
      <c r="CH77" s="41">
        <f>BV77/'1. Väestöennuste'!I77*1000</f>
        <v>3770.6829387888529</v>
      </c>
      <c r="CI77" s="41">
        <f>BW77/'1. Väestöennuste'!J77*1000</f>
        <v>3867.4761396887902</v>
      </c>
      <c r="CJ77" s="41">
        <f>BX77/'1. Väestöennuste'!K77*1000</f>
        <v>4094.0429022004218</v>
      </c>
      <c r="CK77" s="41">
        <f>BY77/'1. Väestöennuste'!L77*1000</f>
        <v>4273.5584698459934</v>
      </c>
      <c r="CL77" s="41">
        <f>BZ77/'1. Väestöennuste'!M77*1000</f>
        <v>2245.5588521896311</v>
      </c>
      <c r="CM77" s="41">
        <f>CA77/'1. Väestöennuste'!N77*1000</f>
        <v>2297.2749275124406</v>
      </c>
      <c r="CN77" s="41">
        <f>CB77/'1. Väestöennuste'!O77*1000</f>
        <v>2392.6586016320689</v>
      </c>
      <c r="CO77" s="41">
        <f>CC77/'1. Väestöennuste'!P77*1000</f>
        <v>2501.0572919488441</v>
      </c>
      <c r="CP77" s="41">
        <f>CD77/'1. Väestöennuste'!Q77*1000</f>
        <v>2597.9619445633671</v>
      </c>
      <c r="CQ77" s="41">
        <f>CE77/'1. Väestöennuste'!R77*1000</f>
        <v>2701.4857156584467</v>
      </c>
      <c r="CR77" s="41"/>
      <c r="CU77" s="159">
        <f t="shared" si="21"/>
        <v>96.793200899937347</v>
      </c>
      <c r="CV77" s="159">
        <f t="shared" si="22"/>
        <v>226.56676251163162</v>
      </c>
      <c r="CW77" s="159">
        <f t="shared" si="23"/>
        <v>179.51556764557154</v>
      </c>
      <c r="CX77" s="159">
        <f t="shared" si="24"/>
        <v>-2027.9996176563623</v>
      </c>
      <c r="CY77" s="159">
        <f t="shared" si="25"/>
        <v>51.716075322809502</v>
      </c>
      <c r="CZ77" s="159">
        <f t="shared" si="26"/>
        <v>95.383674119628267</v>
      </c>
      <c r="DA77" s="159">
        <f t="shared" si="33"/>
        <v>108.39869031677517</v>
      </c>
      <c r="DB77" s="159">
        <f t="shared" si="34"/>
        <v>96.904652614523002</v>
      </c>
      <c r="DC77" s="159">
        <f t="shared" si="34"/>
        <v>103.52377109507961</v>
      </c>
    </row>
    <row r="78" spans="1:107" x14ac:dyDescent="0.2">
      <c r="A78" s="99">
        <v>17</v>
      </c>
      <c r="B78" s="30">
        <v>208</v>
      </c>
      <c r="C78" s="47" t="s">
        <v>392</v>
      </c>
      <c r="D78" s="64">
        <v>32835.350330000001</v>
      </c>
      <c r="E78" s="64">
        <v>2697.0918500000002</v>
      </c>
      <c r="F78" s="64">
        <v>2932.8280399999999</v>
      </c>
      <c r="G78" s="205">
        <v>38461</v>
      </c>
      <c r="H78" s="205"/>
      <c r="I78" s="64">
        <v>33344</v>
      </c>
      <c r="J78" s="64">
        <v>3034</v>
      </c>
      <c r="K78" s="64">
        <v>2720</v>
      </c>
      <c r="L78" s="205">
        <v>39098</v>
      </c>
      <c r="M78" s="205"/>
      <c r="N78" s="64">
        <v>32482</v>
      </c>
      <c r="O78" s="64">
        <v>3557</v>
      </c>
      <c r="P78" s="64">
        <v>2716</v>
      </c>
      <c r="Q78" s="205">
        <v>38755</v>
      </c>
      <c r="R78" s="205"/>
      <c r="S78" s="64">
        <v>31797</v>
      </c>
      <c r="T78" s="64">
        <v>5079</v>
      </c>
      <c r="U78" s="64">
        <v>2129</v>
      </c>
      <c r="V78" s="205">
        <v>39005</v>
      </c>
      <c r="W78" s="205"/>
      <c r="X78" s="64">
        <v>34278</v>
      </c>
      <c r="Y78" s="64">
        <v>5351</v>
      </c>
      <c r="Z78" s="64">
        <v>1911</v>
      </c>
      <c r="AA78" s="205">
        <f t="shared" si="27"/>
        <v>41540</v>
      </c>
      <c r="AB78" s="205"/>
      <c r="AC78" s="64">
        <v>36015</v>
      </c>
      <c r="AD78" s="64">
        <v>4876</v>
      </c>
      <c r="AE78" s="64">
        <v>2079</v>
      </c>
      <c r="AF78" s="205">
        <f t="shared" si="7"/>
        <v>42970</v>
      </c>
      <c r="AG78" s="205"/>
      <c r="AH78" s="278">
        <v>37416.200229999995</v>
      </c>
      <c r="AI78" s="64">
        <v>5028.1519800000005</v>
      </c>
      <c r="AJ78" s="64">
        <v>3074.1157000000003</v>
      </c>
      <c r="AK78" s="205">
        <f t="shared" si="28"/>
        <v>45518.467909999999</v>
      </c>
      <c r="AL78" s="205"/>
      <c r="AM78" s="64">
        <v>38271.894670000001</v>
      </c>
      <c r="AN78" s="64">
        <v>5707.8563199999999</v>
      </c>
      <c r="AO78" s="64">
        <v>3475.1664900000001</v>
      </c>
      <c r="AP78" s="205">
        <f t="shared" si="29"/>
        <v>47454.917480000004</v>
      </c>
      <c r="AQ78" s="205"/>
      <c r="AR78" s="64">
        <v>19552.528249999999</v>
      </c>
      <c r="AS78" s="64">
        <v>7611.0865899999999</v>
      </c>
      <c r="AT78" s="64">
        <v>2972.04864</v>
      </c>
      <c r="AU78" s="205">
        <f t="shared" si="30"/>
        <v>30135.663479999999</v>
      </c>
      <c r="AV78" s="205"/>
      <c r="AW78" s="64">
        <v>18595.754409580404</v>
      </c>
      <c r="AX78" s="64">
        <v>8046.3608424003869</v>
      </c>
      <c r="AY78" s="64">
        <v>3261.7760969565547</v>
      </c>
      <c r="AZ78" s="205">
        <f t="shared" si="31"/>
        <v>29903.891348937344</v>
      </c>
      <c r="BA78" s="205"/>
      <c r="BB78" s="64">
        <v>19586.296403600139</v>
      </c>
      <c r="BC78" s="64">
        <v>7946.8458439076358</v>
      </c>
      <c r="BD78" s="64">
        <v>3300.9174101200333</v>
      </c>
      <c r="BE78" s="205">
        <f t="shared" si="35"/>
        <v>30834.059657627808</v>
      </c>
      <c r="BF78" s="205"/>
      <c r="BG78" s="64">
        <v>20503.152055680064</v>
      </c>
      <c r="BH78" s="64">
        <v>7924.4376722627076</v>
      </c>
      <c r="BI78" s="64">
        <v>3461.2104068847557</v>
      </c>
      <c r="BJ78" s="205">
        <f t="shared" si="9"/>
        <v>31888.800134827528</v>
      </c>
      <c r="BK78" s="205"/>
      <c r="BL78" s="64">
        <v>21218.624122227768</v>
      </c>
      <c r="BM78" s="64">
        <v>7932.6411717986566</v>
      </c>
      <c r="BN78" s="64">
        <v>3668.1002050345714</v>
      </c>
      <c r="BO78" s="205">
        <f t="shared" si="10"/>
        <v>32819.365499060994</v>
      </c>
      <c r="BQ78" s="64">
        <v>21999.444357764321</v>
      </c>
      <c r="BR78" s="64">
        <v>7951.0635387054899</v>
      </c>
      <c r="BS78" s="64">
        <v>3796.7073768574296</v>
      </c>
      <c r="BT78" s="205">
        <f t="shared" si="11"/>
        <v>33747.215273327238</v>
      </c>
      <c r="BU78" s="205"/>
      <c r="BV78" s="5">
        <f t="shared" si="12"/>
        <v>41540</v>
      </c>
      <c r="BW78" s="5">
        <f t="shared" si="13"/>
        <v>42970</v>
      </c>
      <c r="BX78" s="5">
        <f t="shared" si="14"/>
        <v>45518.467909999999</v>
      </c>
      <c r="BY78" s="5">
        <f t="shared" si="15"/>
        <v>47454.917480000004</v>
      </c>
      <c r="BZ78" s="5">
        <f t="shared" si="16"/>
        <v>30135.663479999999</v>
      </c>
      <c r="CA78" s="5">
        <f t="shared" si="17"/>
        <v>29903.891348937344</v>
      </c>
      <c r="CB78" s="5">
        <f t="shared" si="18"/>
        <v>30834.059657627808</v>
      </c>
      <c r="CC78" s="5">
        <f t="shared" si="19"/>
        <v>31888.800134827528</v>
      </c>
      <c r="CD78" s="5">
        <f t="shared" si="20"/>
        <v>32819.365499060994</v>
      </c>
      <c r="CE78" s="5">
        <f t="shared" si="32"/>
        <v>33747.215273327238</v>
      </c>
      <c r="CH78" s="41">
        <f>BV78/'1. Väestöennuste'!I78*1000</f>
        <v>3357.3102723672514</v>
      </c>
      <c r="CI78" s="41">
        <f>BW78/'1. Väestöennuste'!J78*1000</f>
        <v>3465.3225806451615</v>
      </c>
      <c r="CJ78" s="41">
        <f>BX78/'1. Väestöennuste'!K78*1000</f>
        <v>3667.2951909442472</v>
      </c>
      <c r="CK78" s="41">
        <f>BY78/'1. Väestöennuste'!L78*1000</f>
        <v>3847.1761232265912</v>
      </c>
      <c r="CL78" s="41">
        <f>BZ78/'1. Väestöennuste'!M78*1000</f>
        <v>2435.7956256062075</v>
      </c>
      <c r="CM78" s="41">
        <f>CA78/'1. Väestöennuste'!N78*1000</f>
        <v>2447.928237470313</v>
      </c>
      <c r="CN78" s="41">
        <f>CB78/'1. Väestöennuste'!O78*1000</f>
        <v>2535.9042402852051</v>
      </c>
      <c r="CO78" s="41">
        <f>CC78/'1. Väestöennuste'!P78*1000</f>
        <v>2635.4380276716965</v>
      </c>
      <c r="CP78" s="41">
        <f>CD78/'1. Väestöennuste'!Q78*1000</f>
        <v>2726.3137978950817</v>
      </c>
      <c r="CQ78" s="41">
        <f>CE78/'1. Väestöennuste'!R78*1000</f>
        <v>2818.3744173481909</v>
      </c>
      <c r="CR78" s="41"/>
      <c r="CU78" s="159">
        <f t="shared" si="21"/>
        <v>108.01230827791005</v>
      </c>
      <c r="CV78" s="159">
        <f t="shared" si="22"/>
        <v>201.97261029908577</v>
      </c>
      <c r="CW78" s="159">
        <f t="shared" si="23"/>
        <v>179.88093228234402</v>
      </c>
      <c r="CX78" s="159">
        <f t="shared" si="24"/>
        <v>-1411.3804976203837</v>
      </c>
      <c r="CY78" s="159">
        <f t="shared" si="25"/>
        <v>12.132611864105456</v>
      </c>
      <c r="CZ78" s="159">
        <f t="shared" si="26"/>
        <v>87.976002814892126</v>
      </c>
      <c r="DA78" s="159">
        <f t="shared" si="33"/>
        <v>99.53378738649144</v>
      </c>
      <c r="DB78" s="159">
        <f t="shared" si="34"/>
        <v>90.875770223385189</v>
      </c>
      <c r="DC78" s="159">
        <f t="shared" si="34"/>
        <v>92.060619453109211</v>
      </c>
    </row>
    <row r="79" spans="1:107" x14ac:dyDescent="0.2">
      <c r="A79" s="99">
        <v>6</v>
      </c>
      <c r="B79" s="30">
        <v>211</v>
      </c>
      <c r="C79" s="47" t="s">
        <v>393</v>
      </c>
      <c r="D79" s="64">
        <v>111087.83872</v>
      </c>
      <c r="E79" s="64">
        <v>6752.2722599999997</v>
      </c>
      <c r="F79" s="64">
        <v>3781.1370699999998</v>
      </c>
      <c r="G79" s="205">
        <v>121621</v>
      </c>
      <c r="H79" s="205"/>
      <c r="I79" s="64">
        <v>114489</v>
      </c>
      <c r="J79" s="64">
        <v>6935</v>
      </c>
      <c r="K79" s="64">
        <v>3536</v>
      </c>
      <c r="L79" s="205">
        <v>124961</v>
      </c>
      <c r="M79" s="205"/>
      <c r="N79" s="64">
        <v>117566</v>
      </c>
      <c r="O79" s="64">
        <v>7080</v>
      </c>
      <c r="P79" s="64">
        <v>4095</v>
      </c>
      <c r="Q79" s="205">
        <v>128741</v>
      </c>
      <c r="R79" s="205"/>
      <c r="S79" s="64">
        <v>114129</v>
      </c>
      <c r="T79" s="64">
        <v>7148</v>
      </c>
      <c r="U79" s="64">
        <v>4094</v>
      </c>
      <c r="V79" s="205">
        <v>125371</v>
      </c>
      <c r="W79" s="205"/>
      <c r="X79" s="64">
        <v>119533</v>
      </c>
      <c r="Y79" s="64">
        <v>7212</v>
      </c>
      <c r="Z79" s="64">
        <v>4316</v>
      </c>
      <c r="AA79" s="205">
        <f t="shared" si="27"/>
        <v>131061</v>
      </c>
      <c r="AB79" s="205"/>
      <c r="AC79" s="64">
        <v>126025</v>
      </c>
      <c r="AD79" s="64">
        <v>6731</v>
      </c>
      <c r="AE79" s="64">
        <v>4922</v>
      </c>
      <c r="AF79" s="205">
        <f t="shared" ref="AF79:AF142" si="36">SUM(AC79:AE79)</f>
        <v>137678</v>
      </c>
      <c r="AG79" s="205"/>
      <c r="AH79" s="278">
        <v>128315.85952</v>
      </c>
      <c r="AI79" s="64">
        <v>7658.9346999999998</v>
      </c>
      <c r="AJ79" s="64">
        <v>7306.0638499999995</v>
      </c>
      <c r="AK79" s="205">
        <f t="shared" ref="AK79:AK142" si="37">SUM(AH79:AJ79)</f>
        <v>143280.85807000002</v>
      </c>
      <c r="AL79" s="205"/>
      <c r="AM79" s="64">
        <v>136963.88580000002</v>
      </c>
      <c r="AN79" s="64">
        <v>8373.0380000000005</v>
      </c>
      <c r="AO79" s="64">
        <v>7855.3036600000005</v>
      </c>
      <c r="AP79" s="205">
        <f t="shared" ref="AP79:AP142" si="38">SUM(AM79:AO79)</f>
        <v>153192.22746000002</v>
      </c>
      <c r="AQ79" s="205"/>
      <c r="AR79" s="64">
        <v>69741.61523000001</v>
      </c>
      <c r="AS79" s="64">
        <v>8594.6803</v>
      </c>
      <c r="AT79" s="64">
        <v>5720.35466</v>
      </c>
      <c r="AU79" s="205">
        <f t="shared" ref="AU79:AU142" si="39">SUM(AR79:AT79)</f>
        <v>84056.65019</v>
      </c>
      <c r="AV79" s="205"/>
      <c r="AW79" s="64">
        <v>73624.644062746345</v>
      </c>
      <c r="AX79" s="64">
        <v>9893.0100781511828</v>
      </c>
      <c r="AY79" s="64">
        <v>3944.303585565317</v>
      </c>
      <c r="AZ79" s="205">
        <f t="shared" ref="AZ79:AZ142" si="40">SUM(AW79:AY79)</f>
        <v>87461.957726462846</v>
      </c>
      <c r="BA79" s="205"/>
      <c r="BB79" s="64">
        <v>79028.092004235354</v>
      </c>
      <c r="BC79" s="64">
        <v>10220.562499199181</v>
      </c>
      <c r="BD79" s="64">
        <v>3991.6352285921002</v>
      </c>
      <c r="BE79" s="205">
        <f t="shared" si="35"/>
        <v>93240.289732026635</v>
      </c>
      <c r="BF79" s="205"/>
      <c r="BG79" s="64">
        <v>83545.611147695454</v>
      </c>
      <c r="BH79" s="64">
        <v>10646.294825467256</v>
      </c>
      <c r="BI79" s="64">
        <v>4185.469576225596</v>
      </c>
      <c r="BJ79" s="205">
        <f t="shared" ref="BJ79:BJ142" si="41">SUM(BG79:BI79)</f>
        <v>98377.375549388307</v>
      </c>
      <c r="BK79" s="205"/>
      <c r="BL79" s="64">
        <v>87237.370083267408</v>
      </c>
      <c r="BM79" s="64">
        <v>11118.169600094481</v>
      </c>
      <c r="BN79" s="64">
        <v>4435.6511179385961</v>
      </c>
      <c r="BO79" s="205">
        <f t="shared" ref="BO79:BO142" si="42">SUM(BL79:BN79)</f>
        <v>102791.19080130049</v>
      </c>
      <c r="BQ79" s="64">
        <v>91298.689712742198</v>
      </c>
      <c r="BR79" s="64">
        <v>11611.732606381131</v>
      </c>
      <c r="BS79" s="64">
        <v>4591.1693735980289</v>
      </c>
      <c r="BT79" s="205">
        <f t="shared" ref="BT79:BT142" si="43">SUM(BQ79:BS79)</f>
        <v>107501.59169272135</v>
      </c>
      <c r="BU79" s="205"/>
      <c r="BV79" s="5">
        <f t="shared" ref="BV79:BV142" si="44">AA79</f>
        <v>131061</v>
      </c>
      <c r="BW79" s="5">
        <f t="shared" ref="BW79:BW142" si="45">AF79</f>
        <v>137678</v>
      </c>
      <c r="BX79" s="5">
        <f t="shared" ref="BX79:BX142" si="46">AK79</f>
        <v>143280.85807000002</v>
      </c>
      <c r="BY79" s="5">
        <f t="shared" ref="BY79:BY142" si="47">AP79</f>
        <v>153192.22746000002</v>
      </c>
      <c r="BZ79" s="5">
        <f t="shared" ref="BZ79:BZ142" si="48">AU79</f>
        <v>84056.65019</v>
      </c>
      <c r="CA79" s="5">
        <f t="shared" ref="CA79:CA142" si="49">AZ79</f>
        <v>87461.957726462846</v>
      </c>
      <c r="CB79" s="5">
        <f t="shared" ref="CB79:CB142" si="50">BE79</f>
        <v>93240.289732026635</v>
      </c>
      <c r="CC79" s="5">
        <f t="shared" ref="CC79:CC142" si="51">BJ79</f>
        <v>98377.375549388307</v>
      </c>
      <c r="CD79" s="5">
        <f t="shared" ref="CD79:CD142" si="52">BO79</f>
        <v>102791.19080130049</v>
      </c>
      <c r="CE79" s="5">
        <f t="shared" si="32"/>
        <v>107501.59169272135</v>
      </c>
      <c r="CH79" s="41">
        <f>BV79/'1. Väestöennuste'!I79*1000</f>
        <v>4112.6208108447345</v>
      </c>
      <c r="CI79" s="41">
        <f>BW79/'1. Väestöennuste'!J79*1000</f>
        <v>4273.8560874154091</v>
      </c>
      <c r="CJ79" s="41">
        <f>BX79/'1. Väestöennuste'!K79*1000</f>
        <v>4392.1543151860715</v>
      </c>
      <c r="CK79" s="41">
        <f>BY79/'1. Väestöennuste'!L79*1000</f>
        <v>4647.9634533814742</v>
      </c>
      <c r="CL79" s="41">
        <f>BZ79/'1. Väestöennuste'!M79*1000</f>
        <v>2511.1776712574315</v>
      </c>
      <c r="CM79" s="41">
        <f>CA79/'1. Väestöennuste'!N79*1000</f>
        <v>2632.2556272447964</v>
      </c>
      <c r="CN79" s="41">
        <f>CB79/'1. Väestöennuste'!O79*1000</f>
        <v>2786.952706002709</v>
      </c>
      <c r="CO79" s="41">
        <f>CC79/'1. Väestöennuste'!P79*1000</f>
        <v>2921.6374301909095</v>
      </c>
      <c r="CP79" s="41">
        <f>CD79/'1. Väestöennuste'!Q79*1000</f>
        <v>3034.1575890341956</v>
      </c>
      <c r="CQ79" s="41">
        <f>CE79/'1. Väestöennuste'!R79*1000</f>
        <v>3154.8522873872739</v>
      </c>
      <c r="CR79" s="41"/>
      <c r="CU79" s="159">
        <f t="shared" ref="CU79:CU142" si="53">CI79-CH79</f>
        <v>161.23527657067461</v>
      </c>
      <c r="CV79" s="159">
        <f t="shared" ref="CV79:CV142" si="54">CJ79-CI79</f>
        <v>118.29822777066238</v>
      </c>
      <c r="CW79" s="159">
        <f t="shared" ref="CW79:CW142" si="55">CK79-CJ79</f>
        <v>255.80913819540274</v>
      </c>
      <c r="CX79" s="159">
        <f t="shared" ref="CX79:CX142" si="56">CL79-CK79</f>
        <v>-2136.7857821240427</v>
      </c>
      <c r="CY79" s="159">
        <f t="shared" ref="CY79:CY142" si="57">CM79-CL79</f>
        <v>121.07795598736493</v>
      </c>
      <c r="CZ79" s="159">
        <f t="shared" ref="CZ79:CZ142" si="58">CN79-CM79</f>
        <v>154.69707875791255</v>
      </c>
      <c r="DA79" s="159">
        <f t="shared" si="33"/>
        <v>134.68472418820056</v>
      </c>
      <c r="DB79" s="159">
        <f t="shared" si="34"/>
        <v>112.52015884328603</v>
      </c>
      <c r="DC79" s="159">
        <f t="shared" si="34"/>
        <v>120.69469835307837</v>
      </c>
    </row>
    <row r="80" spans="1:107" x14ac:dyDescent="0.2">
      <c r="A80" s="99">
        <v>10</v>
      </c>
      <c r="B80" s="30">
        <v>213</v>
      </c>
      <c r="C80" s="47" t="s">
        <v>394</v>
      </c>
      <c r="D80" s="64">
        <v>13713.02133</v>
      </c>
      <c r="E80" s="64">
        <v>1724.34727</v>
      </c>
      <c r="F80" s="64">
        <v>2654.7954399999999</v>
      </c>
      <c r="G80" s="205">
        <v>18100</v>
      </c>
      <c r="H80" s="205"/>
      <c r="I80" s="64">
        <v>13457</v>
      </c>
      <c r="J80" s="64">
        <v>1745</v>
      </c>
      <c r="K80" s="64">
        <v>2528</v>
      </c>
      <c r="L80" s="205">
        <v>17731</v>
      </c>
      <c r="M80" s="205"/>
      <c r="N80" s="64">
        <v>14031</v>
      </c>
      <c r="O80" s="64">
        <v>1826</v>
      </c>
      <c r="P80" s="64">
        <v>2828</v>
      </c>
      <c r="Q80" s="205">
        <v>18685</v>
      </c>
      <c r="R80" s="205"/>
      <c r="S80" s="64">
        <v>13689</v>
      </c>
      <c r="T80" s="64">
        <v>1807</v>
      </c>
      <c r="U80" s="64">
        <v>2568</v>
      </c>
      <c r="V80" s="205">
        <v>18064</v>
      </c>
      <c r="W80" s="205"/>
      <c r="X80" s="64">
        <v>14009</v>
      </c>
      <c r="Y80" s="64">
        <v>1844</v>
      </c>
      <c r="Z80" s="64">
        <v>2660</v>
      </c>
      <c r="AA80" s="205">
        <f t="shared" ref="AA80:AA143" si="59">SUM(X80:Z80)</f>
        <v>18513</v>
      </c>
      <c r="AB80" s="205"/>
      <c r="AC80" s="64">
        <v>14676</v>
      </c>
      <c r="AD80" s="64">
        <v>1780</v>
      </c>
      <c r="AE80" s="64">
        <v>2981</v>
      </c>
      <c r="AF80" s="205">
        <f t="shared" si="36"/>
        <v>19437</v>
      </c>
      <c r="AG80" s="205"/>
      <c r="AH80" s="278">
        <v>15415.63096</v>
      </c>
      <c r="AI80" s="64">
        <v>1983.84195</v>
      </c>
      <c r="AJ80" s="64">
        <v>4399.0105700000004</v>
      </c>
      <c r="AK80" s="205">
        <f t="shared" si="37"/>
        <v>21798.483480000003</v>
      </c>
      <c r="AL80" s="205"/>
      <c r="AM80" s="64">
        <v>15333.891800000001</v>
      </c>
      <c r="AN80" s="64">
        <v>2084.5599299999999</v>
      </c>
      <c r="AO80" s="64">
        <v>4152.1269300000004</v>
      </c>
      <c r="AP80" s="205">
        <f t="shared" si="38"/>
        <v>21570.578659999999</v>
      </c>
      <c r="AQ80" s="205"/>
      <c r="AR80" s="64">
        <v>8460.8690299999998</v>
      </c>
      <c r="AS80" s="64">
        <v>2130.2290099999996</v>
      </c>
      <c r="AT80" s="64">
        <v>2341.2039100000002</v>
      </c>
      <c r="AU80" s="205">
        <f t="shared" si="39"/>
        <v>12932.301949999999</v>
      </c>
      <c r="AV80" s="205"/>
      <c r="AW80" s="64">
        <v>8118.0347673705264</v>
      </c>
      <c r="AX80" s="64">
        <v>2352.3601690738351</v>
      </c>
      <c r="AY80" s="64">
        <v>1987.6907860689946</v>
      </c>
      <c r="AZ80" s="205">
        <f t="shared" si="40"/>
        <v>12458.085722513357</v>
      </c>
      <c r="BA80" s="205"/>
      <c r="BB80" s="64">
        <v>8519.1610626620241</v>
      </c>
      <c r="BC80" s="64">
        <v>2382.0867292086086</v>
      </c>
      <c r="BD80" s="64">
        <v>2011.5430755018224</v>
      </c>
      <c r="BE80" s="205">
        <f t="shared" si="35"/>
        <v>12912.790867372454</v>
      </c>
      <c r="BF80" s="205"/>
      <c r="BG80" s="64">
        <v>8780.6549511411122</v>
      </c>
      <c r="BH80" s="64">
        <v>2430.7978700889539</v>
      </c>
      <c r="BI80" s="64">
        <v>2109.2238798457847</v>
      </c>
      <c r="BJ80" s="205">
        <f t="shared" si="41"/>
        <v>13320.676701075852</v>
      </c>
      <c r="BK80" s="205"/>
      <c r="BL80" s="64">
        <v>9002.9863199176416</v>
      </c>
      <c r="BM80" s="64">
        <v>2485.4911875267085</v>
      </c>
      <c r="BN80" s="64">
        <v>2235.3002668478753</v>
      </c>
      <c r="BO80" s="205">
        <f t="shared" si="42"/>
        <v>13723.777774292224</v>
      </c>
      <c r="BQ80" s="64">
        <v>9260.5118369049633</v>
      </c>
      <c r="BR80" s="64">
        <v>2540.1915790010462</v>
      </c>
      <c r="BS80" s="64">
        <v>2313.6720749843098</v>
      </c>
      <c r="BT80" s="205">
        <f t="shared" si="43"/>
        <v>14114.375490890319</v>
      </c>
      <c r="BU80" s="205"/>
      <c r="BV80" s="5">
        <f t="shared" si="44"/>
        <v>18513</v>
      </c>
      <c r="BW80" s="5">
        <f t="shared" si="45"/>
        <v>19437</v>
      </c>
      <c r="BX80" s="5">
        <f t="shared" si="46"/>
        <v>21798.483480000003</v>
      </c>
      <c r="BY80" s="5">
        <f t="shared" si="47"/>
        <v>21570.578659999999</v>
      </c>
      <c r="BZ80" s="5">
        <f t="shared" si="48"/>
        <v>12932.301949999999</v>
      </c>
      <c r="CA80" s="5">
        <f t="shared" si="49"/>
        <v>12458.085722513357</v>
      </c>
      <c r="CB80" s="5">
        <f t="shared" si="50"/>
        <v>12912.790867372454</v>
      </c>
      <c r="CC80" s="5">
        <f t="shared" si="51"/>
        <v>13320.676701075852</v>
      </c>
      <c r="CD80" s="5">
        <f t="shared" si="52"/>
        <v>13723.777774292224</v>
      </c>
      <c r="CE80" s="5">
        <f t="shared" ref="CE80:CE143" si="60">BT80</f>
        <v>14114.375490890319</v>
      </c>
      <c r="CH80" s="41">
        <f>BV80/'1. Väestöennuste'!I80*1000</f>
        <v>3456.4973861090366</v>
      </c>
      <c r="CI80" s="41">
        <f>BW80/'1. Väestöennuste'!J80*1000</f>
        <v>3659.0737951807228</v>
      </c>
      <c r="CJ80" s="41">
        <f>BX80/'1. Väestöennuste'!K80*1000</f>
        <v>4167.9700726577439</v>
      </c>
      <c r="CK80" s="41">
        <f>BY80/'1. Väestöennuste'!L80*1000</f>
        <v>4185.2112262320525</v>
      </c>
      <c r="CL80" s="41">
        <f>BZ80/'1. Väestöennuste'!M80*1000</f>
        <v>2528.8036664059441</v>
      </c>
      <c r="CM80" s="41">
        <f>CA80/'1. Väestöennuste'!N80*1000</f>
        <v>2458.6709537227862</v>
      </c>
      <c r="CN80" s="41">
        <f>CB80/'1. Väestöennuste'!O80*1000</f>
        <v>2576.8890176356927</v>
      </c>
      <c r="CO80" s="41">
        <f>CC80/'1. Väestöennuste'!P80*1000</f>
        <v>2687.2456528295043</v>
      </c>
      <c r="CP80" s="41">
        <f>CD80/'1. Väestöennuste'!Q80*1000</f>
        <v>2798.4864955734552</v>
      </c>
      <c r="CQ80" s="41">
        <f>CE80/'1. Väestöennuste'!R80*1000</f>
        <v>2908.3815147105543</v>
      </c>
      <c r="CR80" s="41"/>
      <c r="CU80" s="159">
        <f t="shared" si="53"/>
        <v>202.57640907168616</v>
      </c>
      <c r="CV80" s="159">
        <f t="shared" si="54"/>
        <v>508.89627747702116</v>
      </c>
      <c r="CW80" s="159">
        <f t="shared" si="55"/>
        <v>17.241153574308555</v>
      </c>
      <c r="CX80" s="159">
        <f t="shared" si="56"/>
        <v>-1656.4075598261084</v>
      </c>
      <c r="CY80" s="159">
        <f t="shared" si="57"/>
        <v>-70.132712683157933</v>
      </c>
      <c r="CZ80" s="159">
        <f t="shared" si="58"/>
        <v>118.21806391290647</v>
      </c>
      <c r="DA80" s="159">
        <f t="shared" ref="DA80:DA143" si="61">CO80-CN80</f>
        <v>110.3566351938116</v>
      </c>
      <c r="DB80" s="159">
        <f t="shared" ref="DB80:DC143" si="62">CP80-CO80</f>
        <v>111.24084274395091</v>
      </c>
      <c r="DC80" s="159">
        <f t="shared" si="62"/>
        <v>109.8950191370991</v>
      </c>
    </row>
    <row r="81" spans="1:107" x14ac:dyDescent="0.2">
      <c r="A81" s="99">
        <v>4</v>
      </c>
      <c r="B81" s="30">
        <v>214</v>
      </c>
      <c r="C81" s="47" t="s">
        <v>395</v>
      </c>
      <c r="D81" s="64">
        <v>40166.030550000003</v>
      </c>
      <c r="E81" s="64">
        <v>3644.3688200000001</v>
      </c>
      <c r="F81" s="64">
        <v>3546.0214599999999</v>
      </c>
      <c r="G81" s="205">
        <v>47357</v>
      </c>
      <c r="H81" s="205"/>
      <c r="I81" s="64">
        <v>40135</v>
      </c>
      <c r="J81" s="64">
        <v>3659</v>
      </c>
      <c r="K81" s="64">
        <v>3097</v>
      </c>
      <c r="L81" s="205">
        <v>46891</v>
      </c>
      <c r="M81" s="205"/>
      <c r="N81" s="64">
        <v>38711</v>
      </c>
      <c r="O81" s="64">
        <v>3491</v>
      </c>
      <c r="P81" s="64">
        <v>3645</v>
      </c>
      <c r="Q81" s="205">
        <v>45847</v>
      </c>
      <c r="R81" s="205"/>
      <c r="S81" s="64">
        <v>37740</v>
      </c>
      <c r="T81" s="64">
        <v>4075</v>
      </c>
      <c r="U81" s="64">
        <v>3237</v>
      </c>
      <c r="V81" s="205">
        <v>45052</v>
      </c>
      <c r="W81" s="205"/>
      <c r="X81" s="64">
        <v>38049</v>
      </c>
      <c r="Y81" s="64">
        <v>4174</v>
      </c>
      <c r="Z81" s="64">
        <v>3151</v>
      </c>
      <c r="AA81" s="205">
        <f t="shared" si="59"/>
        <v>45374</v>
      </c>
      <c r="AB81" s="205"/>
      <c r="AC81" s="64">
        <v>39033</v>
      </c>
      <c r="AD81" s="64">
        <v>3839</v>
      </c>
      <c r="AE81" s="64">
        <v>3420</v>
      </c>
      <c r="AF81" s="205">
        <f t="shared" si="36"/>
        <v>46292</v>
      </c>
      <c r="AG81" s="205"/>
      <c r="AH81" s="278">
        <v>40560.443549999996</v>
      </c>
      <c r="AI81" s="64">
        <v>4245.7445199999993</v>
      </c>
      <c r="AJ81" s="64">
        <v>5027.7195700000002</v>
      </c>
      <c r="AK81" s="205">
        <f t="shared" si="37"/>
        <v>49833.907639999998</v>
      </c>
      <c r="AL81" s="205"/>
      <c r="AM81" s="64">
        <v>40388.62801</v>
      </c>
      <c r="AN81" s="64">
        <v>4322.36852</v>
      </c>
      <c r="AO81" s="64">
        <v>5355.6623399999999</v>
      </c>
      <c r="AP81" s="205">
        <f t="shared" si="38"/>
        <v>50066.658870000007</v>
      </c>
      <c r="AQ81" s="205"/>
      <c r="AR81" s="64">
        <v>20973.409239999997</v>
      </c>
      <c r="AS81" s="64">
        <v>4466.9613200000003</v>
      </c>
      <c r="AT81" s="64">
        <v>3620.8191900000002</v>
      </c>
      <c r="AU81" s="205">
        <f t="shared" si="39"/>
        <v>29061.189749999998</v>
      </c>
      <c r="AV81" s="205"/>
      <c r="AW81" s="64">
        <v>20164.909781492384</v>
      </c>
      <c r="AX81" s="64">
        <v>4716.7930496547433</v>
      </c>
      <c r="AY81" s="64">
        <v>3174.2844696141974</v>
      </c>
      <c r="AZ81" s="205">
        <f t="shared" si="40"/>
        <v>28055.987300761328</v>
      </c>
      <c r="BA81" s="205"/>
      <c r="BB81" s="64">
        <v>21099.640832266596</v>
      </c>
      <c r="BC81" s="64">
        <v>4808.9013214725519</v>
      </c>
      <c r="BD81" s="64">
        <v>3212.3758832495673</v>
      </c>
      <c r="BE81" s="205">
        <f t="shared" si="35"/>
        <v>29120.918036988714</v>
      </c>
      <c r="BF81" s="205"/>
      <c r="BG81" s="64">
        <v>21874.399963291307</v>
      </c>
      <c r="BH81" s="64">
        <v>4940.9843108815421</v>
      </c>
      <c r="BI81" s="64">
        <v>3368.3692914706085</v>
      </c>
      <c r="BJ81" s="205">
        <f t="shared" si="41"/>
        <v>30183.753565643459</v>
      </c>
      <c r="BK81" s="205"/>
      <c r="BL81" s="64">
        <v>22503.013935575094</v>
      </c>
      <c r="BM81" s="64">
        <v>5087.3219774724921</v>
      </c>
      <c r="BN81" s="64">
        <v>3569.7096206861374</v>
      </c>
      <c r="BO81" s="205">
        <f t="shared" si="42"/>
        <v>31160.045533733726</v>
      </c>
      <c r="BQ81" s="64">
        <v>23235.133420230981</v>
      </c>
      <c r="BR81" s="64">
        <v>5235.9688831423819</v>
      </c>
      <c r="BS81" s="64">
        <v>3694.8671226309257</v>
      </c>
      <c r="BT81" s="205">
        <f t="shared" si="43"/>
        <v>32165.969426004289</v>
      </c>
      <c r="BU81" s="205"/>
      <c r="BV81" s="5">
        <f t="shared" si="44"/>
        <v>45374</v>
      </c>
      <c r="BW81" s="5">
        <f t="shared" si="45"/>
        <v>46292</v>
      </c>
      <c r="BX81" s="5">
        <f t="shared" si="46"/>
        <v>49833.907639999998</v>
      </c>
      <c r="BY81" s="5">
        <f t="shared" si="47"/>
        <v>50066.658870000007</v>
      </c>
      <c r="BZ81" s="5">
        <f t="shared" si="48"/>
        <v>29061.189749999998</v>
      </c>
      <c r="CA81" s="5">
        <f t="shared" si="49"/>
        <v>28055.987300761328</v>
      </c>
      <c r="CB81" s="5">
        <f t="shared" si="50"/>
        <v>29120.918036988714</v>
      </c>
      <c r="CC81" s="5">
        <f t="shared" si="51"/>
        <v>30183.753565643459</v>
      </c>
      <c r="CD81" s="5">
        <f t="shared" si="52"/>
        <v>31160.045533733726</v>
      </c>
      <c r="CE81" s="5">
        <f t="shared" si="60"/>
        <v>32165.969426004289</v>
      </c>
      <c r="CH81" s="41">
        <f>BV81/'1. Väestöennuste'!I81*1000</f>
        <v>3515.7291182395784</v>
      </c>
      <c r="CI81" s="41">
        <f>BW81/'1. Väestöennuste'!J81*1000</f>
        <v>3628.4684119767985</v>
      </c>
      <c r="CJ81" s="41">
        <f>BX81/'1. Väestöennuste'!K81*1000</f>
        <v>3935.7058632127628</v>
      </c>
      <c r="CK81" s="41">
        <f>BY81/'1. Väestöennuste'!L81*1000</f>
        <v>3996.380816570882</v>
      </c>
      <c r="CL81" s="41">
        <f>BZ81/'1. Väestöennuste'!M81*1000</f>
        <v>2344.7789051153782</v>
      </c>
      <c r="CM81" s="41">
        <f>CA81/'1. Väestöennuste'!N81*1000</f>
        <v>2311.6080827849819</v>
      </c>
      <c r="CN81" s="41">
        <f>CB81/'1. Väestöennuste'!O81*1000</f>
        <v>2427.1476943647872</v>
      </c>
      <c r="CO81" s="41">
        <f>CC81/'1. Väestöennuste'!P81*1000</f>
        <v>2543.7176441634465</v>
      </c>
      <c r="CP81" s="41">
        <f>CD81/'1. Väestöennuste'!Q81*1000</f>
        <v>2653.9515828067219</v>
      </c>
      <c r="CQ81" s="41">
        <f>CE81/'1. Väestöennuste'!R81*1000</f>
        <v>2768.3939604100433</v>
      </c>
      <c r="CR81" s="41"/>
      <c r="CU81" s="159">
        <f t="shared" si="53"/>
        <v>112.73929373722012</v>
      </c>
      <c r="CV81" s="159">
        <f t="shared" si="54"/>
        <v>307.23745123596427</v>
      </c>
      <c r="CW81" s="159">
        <f t="shared" si="55"/>
        <v>60.674953358119183</v>
      </c>
      <c r="CX81" s="159">
        <f t="shared" si="56"/>
        <v>-1651.6019114555038</v>
      </c>
      <c r="CY81" s="159">
        <f t="shared" si="57"/>
        <v>-33.170822330396277</v>
      </c>
      <c r="CZ81" s="159">
        <f t="shared" si="58"/>
        <v>115.5396115798053</v>
      </c>
      <c r="DA81" s="159">
        <f t="shared" si="61"/>
        <v>116.56994979865931</v>
      </c>
      <c r="DB81" s="159">
        <f t="shared" si="62"/>
        <v>110.23393864327545</v>
      </c>
      <c r="DC81" s="159">
        <f t="shared" si="62"/>
        <v>114.44237760332135</v>
      </c>
    </row>
    <row r="82" spans="1:107" x14ac:dyDescent="0.2">
      <c r="A82" s="99">
        <v>13</v>
      </c>
      <c r="B82" s="30">
        <v>216</v>
      </c>
      <c r="C82" s="47" t="s">
        <v>396</v>
      </c>
      <c r="D82" s="64">
        <v>3343.6857999999997</v>
      </c>
      <c r="E82" s="64">
        <v>391.01686999999998</v>
      </c>
      <c r="F82" s="64">
        <v>576.47167000000002</v>
      </c>
      <c r="G82" s="205">
        <v>4311</v>
      </c>
      <c r="H82" s="205"/>
      <c r="I82" s="64">
        <v>3259</v>
      </c>
      <c r="J82" s="64">
        <v>438</v>
      </c>
      <c r="K82" s="64">
        <v>507</v>
      </c>
      <c r="L82" s="205">
        <v>4204</v>
      </c>
      <c r="M82" s="205"/>
      <c r="N82" s="64">
        <v>3216</v>
      </c>
      <c r="O82" s="64">
        <v>443</v>
      </c>
      <c r="P82" s="64">
        <v>570</v>
      </c>
      <c r="Q82" s="205">
        <v>4229</v>
      </c>
      <c r="R82" s="205"/>
      <c r="S82" s="64">
        <v>3034</v>
      </c>
      <c r="T82" s="64">
        <v>441</v>
      </c>
      <c r="U82" s="64">
        <v>574</v>
      </c>
      <c r="V82" s="205">
        <v>4049</v>
      </c>
      <c r="W82" s="205"/>
      <c r="X82" s="64">
        <v>3217</v>
      </c>
      <c r="Y82" s="64">
        <v>453</v>
      </c>
      <c r="Z82" s="64">
        <v>634</v>
      </c>
      <c r="AA82" s="205">
        <f t="shared" si="59"/>
        <v>4304</v>
      </c>
      <c r="AB82" s="205"/>
      <c r="AC82" s="64">
        <v>3187</v>
      </c>
      <c r="AD82" s="64">
        <v>418</v>
      </c>
      <c r="AE82" s="64">
        <v>709</v>
      </c>
      <c r="AF82" s="205">
        <f t="shared" si="36"/>
        <v>4314</v>
      </c>
      <c r="AG82" s="205"/>
      <c r="AH82" s="278">
        <v>3458.0712000000003</v>
      </c>
      <c r="AI82" s="64">
        <v>527.27996999999993</v>
      </c>
      <c r="AJ82" s="64">
        <v>1010.8640300000001</v>
      </c>
      <c r="AK82" s="205">
        <f t="shared" si="37"/>
        <v>4996.2152000000006</v>
      </c>
      <c r="AL82" s="205"/>
      <c r="AM82" s="64">
        <v>3457.0512200000003</v>
      </c>
      <c r="AN82" s="64">
        <v>553.62106000000006</v>
      </c>
      <c r="AO82" s="64">
        <v>947.59619999999995</v>
      </c>
      <c r="AP82" s="205">
        <f t="shared" si="38"/>
        <v>4958.2684800000006</v>
      </c>
      <c r="AQ82" s="205"/>
      <c r="AR82" s="64">
        <v>1785.1450400000001</v>
      </c>
      <c r="AS82" s="64">
        <v>568.74441000000002</v>
      </c>
      <c r="AT82" s="64">
        <v>553.64364999999998</v>
      </c>
      <c r="AU82" s="205">
        <f t="shared" si="39"/>
        <v>2907.5331000000001</v>
      </c>
      <c r="AV82" s="205"/>
      <c r="AW82" s="64">
        <v>1713.1972926681792</v>
      </c>
      <c r="AX82" s="64">
        <v>651.43409190330181</v>
      </c>
      <c r="AY82" s="64">
        <v>486.4337736691383</v>
      </c>
      <c r="AZ82" s="205">
        <f t="shared" si="40"/>
        <v>2851.0651582406194</v>
      </c>
      <c r="BA82" s="205"/>
      <c r="BB82" s="64">
        <v>1831.1741708301108</v>
      </c>
      <c r="BC82" s="64">
        <v>661.72198829811589</v>
      </c>
      <c r="BD82" s="64">
        <v>492.27097895316791</v>
      </c>
      <c r="BE82" s="205">
        <f t="shared" si="35"/>
        <v>2985.1671380813946</v>
      </c>
      <c r="BF82" s="205"/>
      <c r="BG82" s="64">
        <v>1878.7747285274295</v>
      </c>
      <c r="BH82" s="64">
        <v>677.3508686833859</v>
      </c>
      <c r="BI82" s="64">
        <v>516.17572440205129</v>
      </c>
      <c r="BJ82" s="205">
        <f t="shared" si="41"/>
        <v>3072.301321612867</v>
      </c>
      <c r="BK82" s="205"/>
      <c r="BL82" s="64">
        <v>1931.0283951829276</v>
      </c>
      <c r="BM82" s="64">
        <v>694.73913629822368</v>
      </c>
      <c r="BN82" s="64">
        <v>547.02952376049382</v>
      </c>
      <c r="BO82" s="205">
        <f t="shared" si="42"/>
        <v>3172.797055241645</v>
      </c>
      <c r="BQ82" s="64">
        <v>1978.3410039749481</v>
      </c>
      <c r="BR82" s="64">
        <v>712.2309642034844</v>
      </c>
      <c r="BS82" s="64">
        <v>566.20891255087702</v>
      </c>
      <c r="BT82" s="205">
        <f t="shared" si="43"/>
        <v>3256.7808807293095</v>
      </c>
      <c r="BU82" s="205"/>
      <c r="BV82" s="5">
        <f t="shared" si="44"/>
        <v>4304</v>
      </c>
      <c r="BW82" s="5">
        <f t="shared" si="45"/>
        <v>4314</v>
      </c>
      <c r="BX82" s="5">
        <f t="shared" si="46"/>
        <v>4996.2152000000006</v>
      </c>
      <c r="BY82" s="5">
        <f t="shared" si="47"/>
        <v>4958.2684800000006</v>
      </c>
      <c r="BZ82" s="5">
        <f t="shared" si="48"/>
        <v>2907.5331000000001</v>
      </c>
      <c r="CA82" s="5">
        <f t="shared" si="49"/>
        <v>2851.0651582406194</v>
      </c>
      <c r="CB82" s="5">
        <f t="shared" si="50"/>
        <v>2985.1671380813946</v>
      </c>
      <c r="CC82" s="5">
        <f t="shared" si="51"/>
        <v>3072.301321612867</v>
      </c>
      <c r="CD82" s="5">
        <f t="shared" si="52"/>
        <v>3172.797055241645</v>
      </c>
      <c r="CE82" s="5">
        <f t="shared" si="60"/>
        <v>3256.7808807293095</v>
      </c>
      <c r="CH82" s="41">
        <f>BV82/'1. Väestöennuste'!I82*1000</f>
        <v>3214.3390589992532</v>
      </c>
      <c r="CI82" s="41">
        <f>BW82/'1. Väestöennuste'!J82*1000</f>
        <v>3260.7709750566896</v>
      </c>
      <c r="CJ82" s="41">
        <f>BX82/'1. Väestöennuste'!K82*1000</f>
        <v>3810.9955758962628</v>
      </c>
      <c r="CK82" s="41">
        <f>BY82/'1. Väestöennuste'!L82*1000</f>
        <v>3907.2249645390075</v>
      </c>
      <c r="CL82" s="41">
        <f>BZ82/'1. Väestöennuste'!M82*1000</f>
        <v>2389.0986852917008</v>
      </c>
      <c r="CM82" s="41">
        <f>CA82/'1. Väestöennuste'!N82*1000</f>
        <v>2295.5436056687759</v>
      </c>
      <c r="CN82" s="41">
        <f>CB82/'1. Väestöennuste'!O82*1000</f>
        <v>2438.8620409161722</v>
      </c>
      <c r="CO82" s="41">
        <f>CC82/'1. Väestöennuste'!P82*1000</f>
        <v>2539.0920013329483</v>
      </c>
      <c r="CP82" s="41">
        <f>CD82/'1. Väestöennuste'!Q82*1000</f>
        <v>2657.2839658640246</v>
      </c>
      <c r="CQ82" s="41">
        <f>CE82/'1. Väestöennuste'!R82*1000</f>
        <v>2762.3247504065394</v>
      </c>
      <c r="CR82" s="41"/>
      <c r="CU82" s="159">
        <f t="shared" si="53"/>
        <v>46.43191605743641</v>
      </c>
      <c r="CV82" s="159">
        <f t="shared" si="54"/>
        <v>550.22460083957321</v>
      </c>
      <c r="CW82" s="159">
        <f t="shared" si="55"/>
        <v>96.229388642744652</v>
      </c>
      <c r="CX82" s="159">
        <f t="shared" si="56"/>
        <v>-1518.1262792473067</v>
      </c>
      <c r="CY82" s="159">
        <f t="shared" si="57"/>
        <v>-93.55507962292495</v>
      </c>
      <c r="CZ82" s="159">
        <f t="shared" si="58"/>
        <v>143.31843524739634</v>
      </c>
      <c r="DA82" s="159">
        <f t="shared" si="61"/>
        <v>100.22996041677607</v>
      </c>
      <c r="DB82" s="159">
        <f t="shared" si="62"/>
        <v>118.19196453107634</v>
      </c>
      <c r="DC82" s="159">
        <f t="shared" si="62"/>
        <v>105.04078454251476</v>
      </c>
    </row>
    <row r="83" spans="1:107" x14ac:dyDescent="0.2">
      <c r="A83" s="99">
        <v>16</v>
      </c>
      <c r="B83" s="30">
        <v>217</v>
      </c>
      <c r="C83" s="47" t="s">
        <v>397</v>
      </c>
      <c r="D83" s="64">
        <v>16116.545169999999</v>
      </c>
      <c r="E83" s="64">
        <v>1306.80702</v>
      </c>
      <c r="F83" s="64">
        <v>1146.8935100000001</v>
      </c>
      <c r="G83" s="205">
        <v>18567</v>
      </c>
      <c r="H83" s="205"/>
      <c r="I83" s="64">
        <v>14785</v>
      </c>
      <c r="J83" s="64">
        <v>1310</v>
      </c>
      <c r="K83" s="64">
        <v>1076</v>
      </c>
      <c r="L83" s="205">
        <v>17150</v>
      </c>
      <c r="M83" s="205"/>
      <c r="N83" s="64">
        <v>15135</v>
      </c>
      <c r="O83" s="64">
        <v>1276</v>
      </c>
      <c r="P83" s="64">
        <v>1210</v>
      </c>
      <c r="Q83" s="205">
        <v>17621</v>
      </c>
      <c r="R83" s="205"/>
      <c r="S83" s="64">
        <v>15347</v>
      </c>
      <c r="T83" s="64">
        <v>1279</v>
      </c>
      <c r="U83" s="64">
        <v>1153</v>
      </c>
      <c r="V83" s="205">
        <v>17779</v>
      </c>
      <c r="W83" s="205"/>
      <c r="X83" s="64">
        <v>15563</v>
      </c>
      <c r="Y83" s="64">
        <v>1289</v>
      </c>
      <c r="Z83" s="64">
        <v>950</v>
      </c>
      <c r="AA83" s="205">
        <f t="shared" si="59"/>
        <v>17802</v>
      </c>
      <c r="AB83" s="205"/>
      <c r="AC83" s="64">
        <v>16616</v>
      </c>
      <c r="AD83" s="64">
        <v>1639</v>
      </c>
      <c r="AE83" s="64">
        <v>1091</v>
      </c>
      <c r="AF83" s="205">
        <f t="shared" si="36"/>
        <v>19346</v>
      </c>
      <c r="AG83" s="205"/>
      <c r="AH83" s="278">
        <v>16563.43216</v>
      </c>
      <c r="AI83" s="64">
        <v>1833.7095900000002</v>
      </c>
      <c r="AJ83" s="64">
        <v>1620.1621399999999</v>
      </c>
      <c r="AK83" s="205">
        <f t="shared" si="37"/>
        <v>20017.303889999999</v>
      </c>
      <c r="AL83" s="205"/>
      <c r="AM83" s="64">
        <v>17221.646140000001</v>
      </c>
      <c r="AN83" s="64">
        <v>2077.4210800000001</v>
      </c>
      <c r="AO83" s="64">
        <v>1562.3074099999999</v>
      </c>
      <c r="AP83" s="205">
        <f t="shared" si="38"/>
        <v>20861.374630000002</v>
      </c>
      <c r="AQ83" s="205"/>
      <c r="AR83" s="64">
        <v>8812.9799899999998</v>
      </c>
      <c r="AS83" s="64">
        <v>3344.9662400000002</v>
      </c>
      <c r="AT83" s="64">
        <v>1010.8601</v>
      </c>
      <c r="AU83" s="205">
        <f t="shared" si="39"/>
        <v>13168.806329999999</v>
      </c>
      <c r="AV83" s="205"/>
      <c r="AW83" s="64">
        <v>8451.0140751386862</v>
      </c>
      <c r="AX83" s="64">
        <v>3513.8964504204191</v>
      </c>
      <c r="AY83" s="64">
        <v>887.81499972084953</v>
      </c>
      <c r="AZ83" s="205">
        <f t="shared" si="40"/>
        <v>12852.725525279955</v>
      </c>
      <c r="BA83" s="205"/>
      <c r="BB83" s="64">
        <v>9029.341385099211</v>
      </c>
      <c r="BC83" s="64">
        <v>3450.9415982563992</v>
      </c>
      <c r="BD83" s="64">
        <v>898.46877971749961</v>
      </c>
      <c r="BE83" s="205">
        <f t="shared" si="35"/>
        <v>13378.751763073109</v>
      </c>
      <c r="BF83" s="205"/>
      <c r="BG83" s="64">
        <v>9465.415303471711</v>
      </c>
      <c r="BH83" s="64">
        <v>3424.8714826467999</v>
      </c>
      <c r="BI83" s="64">
        <v>942.09854541806715</v>
      </c>
      <c r="BJ83" s="205">
        <f t="shared" si="41"/>
        <v>13832.385331536578</v>
      </c>
      <c r="BK83" s="205"/>
      <c r="BL83" s="64">
        <v>9797.9057672961426</v>
      </c>
      <c r="BM83" s="64">
        <v>3414.2057569507515</v>
      </c>
      <c r="BN83" s="64">
        <v>998.41138254321822</v>
      </c>
      <c r="BO83" s="205">
        <f t="shared" si="42"/>
        <v>14210.522906790113</v>
      </c>
      <c r="BQ83" s="64">
        <v>10174.085609287597</v>
      </c>
      <c r="BR83" s="64">
        <v>3409.1996095687382</v>
      </c>
      <c r="BS83" s="64">
        <v>1033.4166596750688</v>
      </c>
      <c r="BT83" s="205">
        <f t="shared" si="43"/>
        <v>14616.701878531403</v>
      </c>
      <c r="BU83" s="205"/>
      <c r="BV83" s="5">
        <f t="shared" si="44"/>
        <v>17802</v>
      </c>
      <c r="BW83" s="5">
        <f t="shared" si="45"/>
        <v>19346</v>
      </c>
      <c r="BX83" s="5">
        <f t="shared" si="46"/>
        <v>20017.303889999999</v>
      </c>
      <c r="BY83" s="5">
        <f t="shared" si="47"/>
        <v>20861.374630000002</v>
      </c>
      <c r="BZ83" s="5">
        <f t="shared" si="48"/>
        <v>13168.806329999999</v>
      </c>
      <c r="CA83" s="5">
        <f t="shared" si="49"/>
        <v>12852.725525279955</v>
      </c>
      <c r="CB83" s="5">
        <f t="shared" si="50"/>
        <v>13378.751763073109</v>
      </c>
      <c r="CC83" s="5">
        <f t="shared" si="51"/>
        <v>13832.385331536578</v>
      </c>
      <c r="CD83" s="5">
        <f t="shared" si="52"/>
        <v>14210.522906790113</v>
      </c>
      <c r="CE83" s="5">
        <f t="shared" si="60"/>
        <v>14616.701878531403</v>
      </c>
      <c r="CH83" s="41">
        <f>BV83/'1. Väestöennuste'!I83*1000</f>
        <v>3258.0527086383599</v>
      </c>
      <c r="CI83" s="41">
        <f>BW83/'1. Väestöennuste'!J83*1000</f>
        <v>3565.4257279764097</v>
      </c>
      <c r="CJ83" s="41">
        <f>BX83/'1. Väestöennuste'!K83*1000</f>
        <v>3713.7855083487939</v>
      </c>
      <c r="CK83" s="41">
        <f>BY83/'1. Väestöennuste'!L83*1000</f>
        <v>3897.8652148729452</v>
      </c>
      <c r="CL83" s="41">
        <f>BZ83/'1. Väestöennuste'!M83*1000</f>
        <v>2510.2566393442621</v>
      </c>
      <c r="CM83" s="41">
        <f>CA83/'1. Väestöennuste'!N83*1000</f>
        <v>2434.6894346050303</v>
      </c>
      <c r="CN83" s="41">
        <f>CB83/'1. Väestöennuste'!O83*1000</f>
        <v>2550.7629672208022</v>
      </c>
      <c r="CO83" s="41">
        <f>CC83/'1. Väestöennuste'!P83*1000</f>
        <v>2652.9315940806632</v>
      </c>
      <c r="CP83" s="41">
        <f>CD83/'1. Väestöennuste'!Q83*1000</f>
        <v>2740.6987284069651</v>
      </c>
      <c r="CQ83" s="41">
        <f>CE83/'1. Väestöennuste'!R83*1000</f>
        <v>2835.441683517246</v>
      </c>
      <c r="CR83" s="41"/>
      <c r="CU83" s="159">
        <f t="shared" si="53"/>
        <v>307.37301933804974</v>
      </c>
      <c r="CV83" s="159">
        <f t="shared" si="54"/>
        <v>148.35978037238419</v>
      </c>
      <c r="CW83" s="159">
        <f t="shared" si="55"/>
        <v>184.07970652415133</v>
      </c>
      <c r="CX83" s="159">
        <f t="shared" si="56"/>
        <v>-1387.6085755286831</v>
      </c>
      <c r="CY83" s="159">
        <f t="shared" si="57"/>
        <v>-75.567204739231784</v>
      </c>
      <c r="CZ83" s="159">
        <f t="shared" si="58"/>
        <v>116.07353261577191</v>
      </c>
      <c r="DA83" s="159">
        <f t="shared" si="61"/>
        <v>102.16862685986098</v>
      </c>
      <c r="DB83" s="159">
        <f t="shared" si="62"/>
        <v>87.767134326301857</v>
      </c>
      <c r="DC83" s="159">
        <f t="shared" si="62"/>
        <v>94.742955110280946</v>
      </c>
    </row>
    <row r="84" spans="1:107" x14ac:dyDescent="0.2">
      <c r="A84" s="99">
        <v>14</v>
      </c>
      <c r="B84" s="30">
        <v>218</v>
      </c>
      <c r="C84" s="47" t="s">
        <v>398</v>
      </c>
      <c r="D84" s="64">
        <v>3537.3170299999997</v>
      </c>
      <c r="E84" s="64">
        <v>233.81788</v>
      </c>
      <c r="F84" s="64">
        <v>300.84453999999999</v>
      </c>
      <c r="G84" s="205">
        <v>4073</v>
      </c>
      <c r="H84" s="205"/>
      <c r="I84" s="64">
        <v>3509</v>
      </c>
      <c r="J84" s="64">
        <v>227</v>
      </c>
      <c r="K84" s="64">
        <v>265</v>
      </c>
      <c r="L84" s="205">
        <v>4001</v>
      </c>
      <c r="M84" s="205"/>
      <c r="N84" s="64">
        <v>3707</v>
      </c>
      <c r="O84" s="64">
        <v>227</v>
      </c>
      <c r="P84" s="64">
        <v>308</v>
      </c>
      <c r="Q84" s="205">
        <v>4242</v>
      </c>
      <c r="R84" s="205"/>
      <c r="S84" s="64">
        <v>3509</v>
      </c>
      <c r="T84" s="64">
        <v>243</v>
      </c>
      <c r="U84" s="64">
        <v>281</v>
      </c>
      <c r="V84" s="205">
        <v>4033</v>
      </c>
      <c r="W84" s="205"/>
      <c r="X84" s="64">
        <v>3270</v>
      </c>
      <c r="Y84" s="64">
        <v>286</v>
      </c>
      <c r="Z84" s="64">
        <v>282</v>
      </c>
      <c r="AA84" s="205">
        <f t="shared" si="59"/>
        <v>3838</v>
      </c>
      <c r="AB84" s="205"/>
      <c r="AC84" s="64">
        <v>3557</v>
      </c>
      <c r="AD84" s="64">
        <v>259</v>
      </c>
      <c r="AE84" s="64">
        <v>329</v>
      </c>
      <c r="AF84" s="205">
        <f t="shared" si="36"/>
        <v>4145</v>
      </c>
      <c r="AG84" s="205"/>
      <c r="AH84" s="278">
        <v>3353.0342599999999</v>
      </c>
      <c r="AI84" s="64">
        <v>291.44634000000002</v>
      </c>
      <c r="AJ84" s="64">
        <v>540.80691000000002</v>
      </c>
      <c r="AK84" s="205">
        <f t="shared" si="37"/>
        <v>4185.2875100000001</v>
      </c>
      <c r="AL84" s="205"/>
      <c r="AM84" s="64">
        <v>3419.0307699999998</v>
      </c>
      <c r="AN84" s="64">
        <v>299.94698999999997</v>
      </c>
      <c r="AO84" s="64">
        <v>553.38162999999997</v>
      </c>
      <c r="AP84" s="205">
        <f t="shared" si="38"/>
        <v>4272.3593899999996</v>
      </c>
      <c r="AQ84" s="205"/>
      <c r="AR84" s="64">
        <v>2034.6099299999998</v>
      </c>
      <c r="AS84" s="64">
        <v>304.91566999999998</v>
      </c>
      <c r="AT84" s="64">
        <v>305.66224</v>
      </c>
      <c r="AU84" s="205">
        <f t="shared" si="39"/>
        <v>2645.1878400000001</v>
      </c>
      <c r="AV84" s="205"/>
      <c r="AW84" s="64">
        <v>1831.2376947277901</v>
      </c>
      <c r="AX84" s="64">
        <v>328.8724034564766</v>
      </c>
      <c r="AY84" s="64">
        <v>236.33744125381548</v>
      </c>
      <c r="AZ84" s="205">
        <f t="shared" si="40"/>
        <v>2396.447539438082</v>
      </c>
      <c r="BA84" s="205"/>
      <c r="BB84" s="64">
        <v>1880.9012606428412</v>
      </c>
      <c r="BC84" s="64">
        <v>331.90273811678537</v>
      </c>
      <c r="BD84" s="64">
        <v>239.17349054886125</v>
      </c>
      <c r="BE84" s="205">
        <f t="shared" si="35"/>
        <v>2451.9774893084877</v>
      </c>
      <c r="BF84" s="205"/>
      <c r="BG84" s="64">
        <v>1945.0977976619345</v>
      </c>
      <c r="BH84" s="64">
        <v>337.52078625558977</v>
      </c>
      <c r="BI84" s="64">
        <v>250.78778766190592</v>
      </c>
      <c r="BJ84" s="205">
        <f t="shared" si="41"/>
        <v>2533.40637157943</v>
      </c>
      <c r="BK84" s="205"/>
      <c r="BL84" s="64">
        <v>1989.7642488007298</v>
      </c>
      <c r="BM84" s="64">
        <v>343.90088177212152</v>
      </c>
      <c r="BN84" s="64">
        <v>265.77833393571939</v>
      </c>
      <c r="BO84" s="205">
        <f t="shared" si="42"/>
        <v>2599.4434645085707</v>
      </c>
      <c r="BQ84" s="64">
        <v>2027.7852766388992</v>
      </c>
      <c r="BR84" s="64">
        <v>350.2112598608428</v>
      </c>
      <c r="BS84" s="64">
        <v>275.09678161944123</v>
      </c>
      <c r="BT84" s="205">
        <f t="shared" si="43"/>
        <v>2653.0933181191831</v>
      </c>
      <c r="BU84" s="205"/>
      <c r="BV84" s="5">
        <f t="shared" si="44"/>
        <v>3838</v>
      </c>
      <c r="BW84" s="5">
        <f t="shared" si="45"/>
        <v>4145</v>
      </c>
      <c r="BX84" s="5">
        <f t="shared" si="46"/>
        <v>4185.2875100000001</v>
      </c>
      <c r="BY84" s="5">
        <f t="shared" si="47"/>
        <v>4272.3593899999996</v>
      </c>
      <c r="BZ84" s="5">
        <f t="shared" si="48"/>
        <v>2645.1878400000001</v>
      </c>
      <c r="CA84" s="5">
        <f t="shared" si="49"/>
        <v>2396.447539438082</v>
      </c>
      <c r="CB84" s="5">
        <f t="shared" si="50"/>
        <v>2451.9774893084877</v>
      </c>
      <c r="CC84" s="5">
        <f t="shared" si="51"/>
        <v>2533.40637157943</v>
      </c>
      <c r="CD84" s="5">
        <f t="shared" si="52"/>
        <v>2599.4434645085707</v>
      </c>
      <c r="CE84" s="5">
        <f t="shared" si="60"/>
        <v>2653.0933181191831</v>
      </c>
      <c r="CH84" s="41">
        <f>BV84/'1. Väestöennuste'!I84*1000</f>
        <v>3082.730923694779</v>
      </c>
      <c r="CI84" s="41">
        <f>BW84/'1. Väestöennuste'!J84*1000</f>
        <v>3434.1342170671087</v>
      </c>
      <c r="CJ84" s="41">
        <f>BX84/'1. Väestöennuste'!K84*1000</f>
        <v>3511.1472399328859</v>
      </c>
      <c r="CK84" s="41">
        <f>BY84/'1. Väestöennuste'!L84*1000</f>
        <v>3560.2994916666662</v>
      </c>
      <c r="CL84" s="41">
        <f>BZ84/'1. Väestöennuste'!M84*1000</f>
        <v>2226.5890909090913</v>
      </c>
      <c r="CM84" s="41">
        <f>CA84/'1. Väestöennuste'!N84*1000</f>
        <v>2164.812592084988</v>
      </c>
      <c r="CN84" s="41">
        <f>CB84/'1. Väestöennuste'!O84*1000</f>
        <v>2253.6557806144192</v>
      </c>
      <c r="CO84" s="41">
        <f>CC84/'1. Väestöennuste'!P84*1000</f>
        <v>2365.4587969929321</v>
      </c>
      <c r="CP84" s="41">
        <f>CD84/'1. Väestöennuste'!Q84*1000</f>
        <v>2470.9538636013031</v>
      </c>
      <c r="CQ84" s="41">
        <f>CE84/'1. Väestöennuste'!R84*1000</f>
        <v>2553.5065621936315</v>
      </c>
      <c r="CR84" s="41"/>
      <c r="CU84" s="159">
        <f t="shared" si="53"/>
        <v>351.4032933723297</v>
      </c>
      <c r="CV84" s="159">
        <f t="shared" si="54"/>
        <v>77.013022865777202</v>
      </c>
      <c r="CW84" s="159">
        <f t="shared" si="55"/>
        <v>49.152251733780304</v>
      </c>
      <c r="CX84" s="159">
        <f t="shared" si="56"/>
        <v>-1333.7104007575749</v>
      </c>
      <c r="CY84" s="159">
        <f t="shared" si="57"/>
        <v>-61.776498824103328</v>
      </c>
      <c r="CZ84" s="159">
        <f t="shared" si="58"/>
        <v>88.843188529431245</v>
      </c>
      <c r="DA84" s="159">
        <f t="shared" si="61"/>
        <v>111.80301637851289</v>
      </c>
      <c r="DB84" s="159">
        <f t="shared" si="62"/>
        <v>105.49506660837096</v>
      </c>
      <c r="DC84" s="159">
        <f t="shared" si="62"/>
        <v>82.552698592328397</v>
      </c>
    </row>
    <row r="85" spans="1:107" x14ac:dyDescent="0.2">
      <c r="A85" s="99">
        <v>1</v>
      </c>
      <c r="B85" s="30">
        <v>224</v>
      </c>
      <c r="C85" s="47" t="s">
        <v>399</v>
      </c>
      <c r="D85" s="64">
        <v>28532.757690000002</v>
      </c>
      <c r="E85" s="64">
        <v>2070.3612800000001</v>
      </c>
      <c r="F85" s="64">
        <v>1261.6114499999999</v>
      </c>
      <c r="G85" s="205">
        <v>31856</v>
      </c>
      <c r="H85" s="205"/>
      <c r="I85" s="64">
        <v>28285</v>
      </c>
      <c r="J85" s="64">
        <v>2142</v>
      </c>
      <c r="K85" s="64">
        <v>1141</v>
      </c>
      <c r="L85" s="205">
        <v>31568</v>
      </c>
      <c r="M85" s="205"/>
      <c r="N85" s="64">
        <v>27960</v>
      </c>
      <c r="O85" s="64">
        <v>2251</v>
      </c>
      <c r="P85" s="64">
        <v>1347</v>
      </c>
      <c r="Q85" s="205">
        <v>31558</v>
      </c>
      <c r="R85" s="205"/>
      <c r="S85" s="64">
        <v>27267</v>
      </c>
      <c r="T85" s="64">
        <v>2260</v>
      </c>
      <c r="U85" s="64">
        <v>1193</v>
      </c>
      <c r="V85" s="205">
        <v>30720</v>
      </c>
      <c r="W85" s="205"/>
      <c r="X85" s="64">
        <v>27314</v>
      </c>
      <c r="Y85" s="64">
        <v>2248</v>
      </c>
      <c r="Z85" s="64">
        <v>1218</v>
      </c>
      <c r="AA85" s="205">
        <f t="shared" si="59"/>
        <v>30780</v>
      </c>
      <c r="AB85" s="205"/>
      <c r="AC85" s="64">
        <v>28608</v>
      </c>
      <c r="AD85" s="64">
        <v>2074</v>
      </c>
      <c r="AE85" s="64">
        <v>1287</v>
      </c>
      <c r="AF85" s="205">
        <f t="shared" si="36"/>
        <v>31969</v>
      </c>
      <c r="AG85" s="205"/>
      <c r="AH85" s="278">
        <v>30082.038410000001</v>
      </c>
      <c r="AI85" s="64">
        <v>2288.75659</v>
      </c>
      <c r="AJ85" s="64">
        <v>1914.98731</v>
      </c>
      <c r="AK85" s="205">
        <f t="shared" si="37"/>
        <v>34285.782310000002</v>
      </c>
      <c r="AL85" s="205"/>
      <c r="AM85" s="64">
        <v>31013.553820000001</v>
      </c>
      <c r="AN85" s="64">
        <v>2391.7522899999999</v>
      </c>
      <c r="AO85" s="64">
        <v>1982.4744099999998</v>
      </c>
      <c r="AP85" s="205">
        <f t="shared" si="38"/>
        <v>35387.78052</v>
      </c>
      <c r="AQ85" s="205"/>
      <c r="AR85" s="64">
        <v>15042.989659999999</v>
      </c>
      <c r="AS85" s="64">
        <v>2486.67679</v>
      </c>
      <c r="AT85" s="64">
        <v>1173.9148799999998</v>
      </c>
      <c r="AU85" s="205">
        <f t="shared" si="39"/>
        <v>18703.581330000001</v>
      </c>
      <c r="AV85" s="205"/>
      <c r="AW85" s="64">
        <v>14841.374237151604</v>
      </c>
      <c r="AX85" s="64">
        <v>2611.5418214418064</v>
      </c>
      <c r="AY85" s="64">
        <v>879.8503714717807</v>
      </c>
      <c r="AZ85" s="205">
        <f t="shared" si="40"/>
        <v>18332.766430065192</v>
      </c>
      <c r="BA85" s="205"/>
      <c r="BB85" s="64">
        <v>15683.346770411501</v>
      </c>
      <c r="BC85" s="64">
        <v>2664.2608815637627</v>
      </c>
      <c r="BD85" s="64">
        <v>890.40857592944201</v>
      </c>
      <c r="BE85" s="205">
        <f t="shared" si="35"/>
        <v>19238.016227904707</v>
      </c>
      <c r="BF85" s="205"/>
      <c r="BG85" s="64">
        <v>16382.539979005254</v>
      </c>
      <c r="BH85" s="64">
        <v>2739.2954893053729</v>
      </c>
      <c r="BI85" s="64">
        <v>933.64693704176966</v>
      </c>
      <c r="BJ85" s="205">
        <f t="shared" si="41"/>
        <v>20055.482405352395</v>
      </c>
      <c r="BK85" s="205"/>
      <c r="BL85" s="64">
        <v>17007.925117481202</v>
      </c>
      <c r="BM85" s="64">
        <v>2822.4194530803097</v>
      </c>
      <c r="BN85" s="64">
        <v>989.45458917512258</v>
      </c>
      <c r="BO85" s="205">
        <f t="shared" si="42"/>
        <v>20819.799159736634</v>
      </c>
      <c r="BQ85" s="64">
        <v>17699.766839059939</v>
      </c>
      <c r="BR85" s="64">
        <v>2907.0137889003568</v>
      </c>
      <c r="BS85" s="64">
        <v>1024.1458323931529</v>
      </c>
      <c r="BT85" s="205">
        <f t="shared" si="43"/>
        <v>21630.926460353447</v>
      </c>
      <c r="BU85" s="205"/>
      <c r="BV85" s="5">
        <f t="shared" si="44"/>
        <v>30780</v>
      </c>
      <c r="BW85" s="5">
        <f t="shared" si="45"/>
        <v>31969</v>
      </c>
      <c r="BX85" s="5">
        <f t="shared" si="46"/>
        <v>34285.782310000002</v>
      </c>
      <c r="BY85" s="5">
        <f t="shared" si="47"/>
        <v>35387.78052</v>
      </c>
      <c r="BZ85" s="5">
        <f t="shared" si="48"/>
        <v>18703.581330000001</v>
      </c>
      <c r="CA85" s="5">
        <f t="shared" si="49"/>
        <v>18332.766430065192</v>
      </c>
      <c r="CB85" s="5">
        <f t="shared" si="50"/>
        <v>19238.016227904707</v>
      </c>
      <c r="CC85" s="5">
        <f t="shared" si="51"/>
        <v>20055.482405352395</v>
      </c>
      <c r="CD85" s="5">
        <f t="shared" si="52"/>
        <v>20819.799159736634</v>
      </c>
      <c r="CE85" s="5">
        <f t="shared" si="60"/>
        <v>21630.926460353447</v>
      </c>
      <c r="CH85" s="41">
        <f>BV85/'1. Väestöennuste'!I85*1000</f>
        <v>3532.2469589166858</v>
      </c>
      <c r="CI85" s="41">
        <f>BW85/'1. Väestöennuste'!J85*1000</f>
        <v>3676.2879484820605</v>
      </c>
      <c r="CJ85" s="41">
        <f>BX85/'1. Väestöennuste'!K85*1000</f>
        <v>3933.2089377079274</v>
      </c>
      <c r="CK85" s="41">
        <f>BY85/'1. Väestöennuste'!L85*1000</f>
        <v>4113.4232849006157</v>
      </c>
      <c r="CL85" s="41">
        <f>BZ85/'1. Väestöennuste'!M85*1000</f>
        <v>2179.6505453909799</v>
      </c>
      <c r="CM85" s="41">
        <f>CA85/'1. Väestöennuste'!N85*1000</f>
        <v>2164.6908052975787</v>
      </c>
      <c r="CN85" s="41">
        <f>CB85/'1. Väestöennuste'!O85*1000</f>
        <v>2283.7151267693143</v>
      </c>
      <c r="CO85" s="41">
        <f>CC85/'1. Väestöennuste'!P85*1000</f>
        <v>2391.543334766563</v>
      </c>
      <c r="CP85" s="41">
        <f>CD85/'1. Väestöennuste'!Q85*1000</f>
        <v>2493.6877661680001</v>
      </c>
      <c r="CQ85" s="41">
        <f>CE85/'1. Väestöennuste'!R85*1000</f>
        <v>2601.4343307701079</v>
      </c>
      <c r="CR85" s="41"/>
      <c r="CU85" s="159">
        <f t="shared" si="53"/>
        <v>144.04098956537473</v>
      </c>
      <c r="CV85" s="159">
        <f t="shared" si="54"/>
        <v>256.92098922586683</v>
      </c>
      <c r="CW85" s="159">
        <f t="shared" si="55"/>
        <v>180.21434719268836</v>
      </c>
      <c r="CX85" s="159">
        <f t="shared" si="56"/>
        <v>-1933.7727395096358</v>
      </c>
      <c r="CY85" s="159">
        <f t="shared" si="57"/>
        <v>-14.959740093401251</v>
      </c>
      <c r="CZ85" s="159">
        <f t="shared" si="58"/>
        <v>119.02432147173568</v>
      </c>
      <c r="DA85" s="159">
        <f t="shared" si="61"/>
        <v>107.82820799724868</v>
      </c>
      <c r="DB85" s="159">
        <f t="shared" si="62"/>
        <v>102.14443140143703</v>
      </c>
      <c r="DC85" s="159">
        <f t="shared" si="62"/>
        <v>107.74656460210781</v>
      </c>
    </row>
    <row r="86" spans="1:107" x14ac:dyDescent="0.2">
      <c r="A86" s="99">
        <v>13</v>
      </c>
      <c r="B86" s="30">
        <v>226</v>
      </c>
      <c r="C86" s="47" t="s">
        <v>400</v>
      </c>
      <c r="D86" s="64">
        <v>10168.151230000001</v>
      </c>
      <c r="E86" s="64">
        <v>926.26197999999999</v>
      </c>
      <c r="F86" s="64">
        <v>1233.8029299999998</v>
      </c>
      <c r="G86" s="205">
        <v>12328</v>
      </c>
      <c r="H86" s="205"/>
      <c r="I86" s="64">
        <v>9627</v>
      </c>
      <c r="J86" s="64">
        <v>948</v>
      </c>
      <c r="K86" s="64">
        <v>1146</v>
      </c>
      <c r="L86" s="205">
        <v>11721</v>
      </c>
      <c r="M86" s="205"/>
      <c r="N86" s="64">
        <v>9803</v>
      </c>
      <c r="O86" s="64">
        <v>962</v>
      </c>
      <c r="P86" s="64">
        <v>1365</v>
      </c>
      <c r="Q86" s="205">
        <v>12130</v>
      </c>
      <c r="R86" s="205"/>
      <c r="S86" s="64">
        <v>9626</v>
      </c>
      <c r="T86" s="64">
        <v>1089</v>
      </c>
      <c r="U86" s="64">
        <v>1298</v>
      </c>
      <c r="V86" s="205">
        <v>12013</v>
      </c>
      <c r="W86" s="205"/>
      <c r="X86" s="64">
        <v>10075</v>
      </c>
      <c r="Y86" s="64">
        <v>1089</v>
      </c>
      <c r="Z86" s="64">
        <v>1373</v>
      </c>
      <c r="AA86" s="205">
        <f t="shared" si="59"/>
        <v>12537</v>
      </c>
      <c r="AB86" s="205"/>
      <c r="AC86" s="64">
        <v>10149</v>
      </c>
      <c r="AD86" s="64">
        <v>990</v>
      </c>
      <c r="AE86" s="64">
        <v>1524</v>
      </c>
      <c r="AF86" s="205">
        <f t="shared" si="36"/>
        <v>12663</v>
      </c>
      <c r="AG86" s="205"/>
      <c r="AH86" s="278">
        <v>10605.002179999999</v>
      </c>
      <c r="AI86" s="64">
        <v>1119.0486799999999</v>
      </c>
      <c r="AJ86" s="64">
        <v>2336.1555800000001</v>
      </c>
      <c r="AK86" s="205">
        <f t="shared" si="37"/>
        <v>14060.20644</v>
      </c>
      <c r="AL86" s="205"/>
      <c r="AM86" s="64">
        <v>10757.89559</v>
      </c>
      <c r="AN86" s="64">
        <v>1252.1689099999999</v>
      </c>
      <c r="AO86" s="64">
        <v>2222.7343100000003</v>
      </c>
      <c r="AP86" s="205">
        <f t="shared" si="38"/>
        <v>14232.79881</v>
      </c>
      <c r="AQ86" s="205"/>
      <c r="AR86" s="64">
        <v>5261.4991300000002</v>
      </c>
      <c r="AS86" s="64">
        <v>1709.0795500000002</v>
      </c>
      <c r="AT86" s="64">
        <v>1308.17209</v>
      </c>
      <c r="AU86" s="205">
        <f t="shared" si="39"/>
        <v>8278.7507700000006</v>
      </c>
      <c r="AV86" s="205"/>
      <c r="AW86" s="64">
        <v>5062.5011638103833</v>
      </c>
      <c r="AX86" s="64">
        <v>1830.0461391756812</v>
      </c>
      <c r="AY86" s="64">
        <v>1132.5766021951654</v>
      </c>
      <c r="AZ86" s="205">
        <f t="shared" si="40"/>
        <v>8025.1239051812299</v>
      </c>
      <c r="BA86" s="205"/>
      <c r="BB86" s="64">
        <v>5173.3492129668612</v>
      </c>
      <c r="BC86" s="64">
        <v>1851.2522511491893</v>
      </c>
      <c r="BD86" s="64">
        <v>1146.1675214215074</v>
      </c>
      <c r="BE86" s="205">
        <f t="shared" si="35"/>
        <v>8170.7689855375584</v>
      </c>
      <c r="BF86" s="205"/>
      <c r="BG86" s="64">
        <v>5275.377477157992</v>
      </c>
      <c r="BH86" s="64">
        <v>1887.2914377872764</v>
      </c>
      <c r="BI86" s="64">
        <v>1201.8255715865271</v>
      </c>
      <c r="BJ86" s="205">
        <f t="shared" si="41"/>
        <v>8364.4944865317957</v>
      </c>
      <c r="BK86" s="205"/>
      <c r="BL86" s="64">
        <v>5346.8138536768574</v>
      </c>
      <c r="BM86" s="64">
        <v>1928.0576678053403</v>
      </c>
      <c r="BN86" s="64">
        <v>1273.6632874971917</v>
      </c>
      <c r="BO86" s="205">
        <f t="shared" si="42"/>
        <v>8548.5348089793897</v>
      </c>
      <c r="BQ86" s="64">
        <v>5442.877291484162</v>
      </c>
      <c r="BR86" s="64">
        <v>1968.9322572070082</v>
      </c>
      <c r="BS86" s="64">
        <v>1318.3191649551727</v>
      </c>
      <c r="BT86" s="205">
        <f t="shared" si="43"/>
        <v>8730.1287136463434</v>
      </c>
      <c r="BU86" s="205"/>
      <c r="BV86" s="5">
        <f t="shared" si="44"/>
        <v>12537</v>
      </c>
      <c r="BW86" s="5">
        <f t="shared" si="45"/>
        <v>12663</v>
      </c>
      <c r="BX86" s="5">
        <f t="shared" si="46"/>
        <v>14060.20644</v>
      </c>
      <c r="BY86" s="5">
        <f t="shared" si="47"/>
        <v>14232.79881</v>
      </c>
      <c r="BZ86" s="5">
        <f t="shared" si="48"/>
        <v>8278.7507700000006</v>
      </c>
      <c r="CA86" s="5">
        <f t="shared" si="49"/>
        <v>8025.1239051812299</v>
      </c>
      <c r="CB86" s="5">
        <f t="shared" si="50"/>
        <v>8170.7689855375584</v>
      </c>
      <c r="CC86" s="5">
        <f t="shared" si="51"/>
        <v>8364.4944865317957</v>
      </c>
      <c r="CD86" s="5">
        <f t="shared" si="52"/>
        <v>8548.5348089793897</v>
      </c>
      <c r="CE86" s="5">
        <f t="shared" si="60"/>
        <v>8730.1287136463434</v>
      </c>
      <c r="CH86" s="41">
        <f>BV86/'1. Väestöennuste'!I86*1000</f>
        <v>3174.7277791846036</v>
      </c>
      <c r="CI86" s="41">
        <f>BW86/'1. Väestöennuste'!J86*1000</f>
        <v>3282.2706065318816</v>
      </c>
      <c r="CJ86" s="41">
        <f>BX86/'1. Väestöennuste'!K86*1000</f>
        <v>3725.5448966613671</v>
      </c>
      <c r="CK86" s="41">
        <f>BY86/'1. Väestöennuste'!L86*1000</f>
        <v>3883.4376016371079</v>
      </c>
      <c r="CL86" s="41">
        <f>BZ86/'1. Väestöennuste'!M86*1000</f>
        <v>2283.793315862069</v>
      </c>
      <c r="CM86" s="41">
        <f>CA86/'1. Väestöennuste'!N86*1000</f>
        <v>2251.7182674470341</v>
      </c>
      <c r="CN86" s="41">
        <f>CB86/'1. Väestöennuste'!O86*1000</f>
        <v>2335.1726166154781</v>
      </c>
      <c r="CO86" s="41">
        <f>CC86/'1. Väestöennuste'!P86*1000</f>
        <v>2434.3697574306739</v>
      </c>
      <c r="CP86" s="41">
        <f>CD86/'1. Väestöennuste'!Q86*1000</f>
        <v>2532.8992026605597</v>
      </c>
      <c r="CQ86" s="41">
        <f>CE86/'1. Väestöennuste'!R86*1000</f>
        <v>2631.9350960646198</v>
      </c>
      <c r="CR86" s="41"/>
      <c r="CU86" s="159">
        <f t="shared" si="53"/>
        <v>107.54282734727803</v>
      </c>
      <c r="CV86" s="159">
        <f t="shared" si="54"/>
        <v>443.27429012948551</v>
      </c>
      <c r="CW86" s="159">
        <f t="shared" si="55"/>
        <v>157.8927049757408</v>
      </c>
      <c r="CX86" s="159">
        <f t="shared" si="56"/>
        <v>-1599.644285775039</v>
      </c>
      <c r="CY86" s="159">
        <f t="shared" si="57"/>
        <v>-32.075048415034871</v>
      </c>
      <c r="CZ86" s="159">
        <f t="shared" si="58"/>
        <v>83.454349168443969</v>
      </c>
      <c r="DA86" s="159">
        <f t="shared" si="61"/>
        <v>99.19714081519578</v>
      </c>
      <c r="DB86" s="159">
        <f t="shared" si="62"/>
        <v>98.529445229885823</v>
      </c>
      <c r="DC86" s="159">
        <f t="shared" si="62"/>
        <v>99.035893404060062</v>
      </c>
    </row>
    <row r="87" spans="1:107" x14ac:dyDescent="0.2">
      <c r="A87" s="99">
        <v>4</v>
      </c>
      <c r="B87" s="30">
        <v>230</v>
      </c>
      <c r="C87" s="47" t="s">
        <v>401</v>
      </c>
      <c r="D87" s="64">
        <v>5635.3013799999999</v>
      </c>
      <c r="E87" s="64">
        <v>412.80452000000002</v>
      </c>
      <c r="F87" s="64">
        <v>612.56299999999999</v>
      </c>
      <c r="G87" s="205">
        <v>6660</v>
      </c>
      <c r="H87" s="205"/>
      <c r="I87" s="64">
        <v>5258</v>
      </c>
      <c r="J87" s="64">
        <v>407</v>
      </c>
      <c r="K87" s="64">
        <v>596</v>
      </c>
      <c r="L87" s="205">
        <v>6261</v>
      </c>
      <c r="M87" s="205"/>
      <c r="N87" s="64">
        <v>5486</v>
      </c>
      <c r="O87" s="64">
        <v>536</v>
      </c>
      <c r="P87" s="64">
        <v>703</v>
      </c>
      <c r="Q87" s="205">
        <v>6725</v>
      </c>
      <c r="R87" s="205"/>
      <c r="S87" s="64">
        <v>5092</v>
      </c>
      <c r="T87" s="64">
        <v>704</v>
      </c>
      <c r="U87" s="64">
        <v>615</v>
      </c>
      <c r="V87" s="205">
        <v>6411</v>
      </c>
      <c r="W87" s="205"/>
      <c r="X87" s="64">
        <v>5453</v>
      </c>
      <c r="Y87" s="64">
        <v>724</v>
      </c>
      <c r="Z87" s="64">
        <v>637</v>
      </c>
      <c r="AA87" s="205">
        <f t="shared" si="59"/>
        <v>6814</v>
      </c>
      <c r="AB87" s="205"/>
      <c r="AC87" s="64">
        <v>5551</v>
      </c>
      <c r="AD87" s="64">
        <v>667</v>
      </c>
      <c r="AE87" s="64">
        <v>689</v>
      </c>
      <c r="AF87" s="205">
        <f t="shared" si="36"/>
        <v>6907</v>
      </c>
      <c r="AG87" s="205"/>
      <c r="AH87" s="278">
        <v>5830.1153600000007</v>
      </c>
      <c r="AI87" s="64">
        <v>731.77548000000002</v>
      </c>
      <c r="AJ87" s="64">
        <v>1003.73109</v>
      </c>
      <c r="AK87" s="205">
        <f t="shared" si="37"/>
        <v>7565.6219300000012</v>
      </c>
      <c r="AL87" s="205"/>
      <c r="AM87" s="64">
        <v>5734.7764699999998</v>
      </c>
      <c r="AN87" s="64">
        <v>757.03078000000005</v>
      </c>
      <c r="AO87" s="64">
        <v>995.03703000000007</v>
      </c>
      <c r="AP87" s="205">
        <f t="shared" si="38"/>
        <v>7486.8442800000003</v>
      </c>
      <c r="AQ87" s="205"/>
      <c r="AR87" s="64">
        <v>2860.3678199999999</v>
      </c>
      <c r="AS87" s="64">
        <v>737.65147000000002</v>
      </c>
      <c r="AT87" s="64">
        <v>586.60861999999997</v>
      </c>
      <c r="AU87" s="205">
        <f t="shared" si="39"/>
        <v>4184.6279100000002</v>
      </c>
      <c r="AV87" s="205"/>
      <c r="AW87" s="64">
        <v>3041.3101161894879</v>
      </c>
      <c r="AX87" s="64">
        <v>810.29383136435524</v>
      </c>
      <c r="AY87" s="64">
        <v>509.40484580723768</v>
      </c>
      <c r="AZ87" s="205">
        <f t="shared" si="40"/>
        <v>4361.0087933610812</v>
      </c>
      <c r="BA87" s="205"/>
      <c r="BB87" s="64">
        <v>3211.9560136456985</v>
      </c>
      <c r="BC87" s="64">
        <v>825.68670775574719</v>
      </c>
      <c r="BD87" s="64">
        <v>515.51770395692449</v>
      </c>
      <c r="BE87" s="205">
        <f t="shared" si="35"/>
        <v>4553.16042535837</v>
      </c>
      <c r="BF87" s="205"/>
      <c r="BG87" s="64">
        <v>3320.5440296361057</v>
      </c>
      <c r="BH87" s="64">
        <v>847.91595717792779</v>
      </c>
      <c r="BI87" s="64">
        <v>540.55131352230887</v>
      </c>
      <c r="BJ87" s="205">
        <f t="shared" si="41"/>
        <v>4709.0113003363431</v>
      </c>
      <c r="BK87" s="205"/>
      <c r="BL87" s="64">
        <v>3420.3615743111263</v>
      </c>
      <c r="BM87" s="64">
        <v>872.5519481430315</v>
      </c>
      <c r="BN87" s="64">
        <v>572.86213517065357</v>
      </c>
      <c r="BO87" s="205">
        <f t="shared" si="42"/>
        <v>4865.7756576248112</v>
      </c>
      <c r="BQ87" s="64">
        <v>3536.449192282028</v>
      </c>
      <c r="BR87" s="64">
        <v>897.53438571895708</v>
      </c>
      <c r="BS87" s="64">
        <v>592.94724051962464</v>
      </c>
      <c r="BT87" s="205">
        <f t="shared" si="43"/>
        <v>5026.93081852061</v>
      </c>
      <c r="BU87" s="205"/>
      <c r="BV87" s="5">
        <f t="shared" si="44"/>
        <v>6814</v>
      </c>
      <c r="BW87" s="5">
        <f t="shared" si="45"/>
        <v>6907</v>
      </c>
      <c r="BX87" s="5">
        <f t="shared" si="46"/>
        <v>7565.6219300000012</v>
      </c>
      <c r="BY87" s="5">
        <f t="shared" si="47"/>
        <v>7486.8442800000003</v>
      </c>
      <c r="BZ87" s="5">
        <f t="shared" si="48"/>
        <v>4184.6279100000002</v>
      </c>
      <c r="CA87" s="5">
        <f t="shared" si="49"/>
        <v>4361.0087933610812</v>
      </c>
      <c r="CB87" s="5">
        <f t="shared" si="50"/>
        <v>4553.16042535837</v>
      </c>
      <c r="CC87" s="5">
        <f t="shared" si="51"/>
        <v>4709.0113003363431</v>
      </c>
      <c r="CD87" s="5">
        <f t="shared" si="52"/>
        <v>4865.7756576248112</v>
      </c>
      <c r="CE87" s="5">
        <f t="shared" si="60"/>
        <v>5026.93081852061</v>
      </c>
      <c r="CH87" s="41">
        <f>BV87/'1. Väestöennuste'!I87*1000</f>
        <v>2909.4790777113581</v>
      </c>
      <c r="CI87" s="41">
        <f>BW87/'1. Väestöennuste'!J87*1000</f>
        <v>2974.5908699397069</v>
      </c>
      <c r="CJ87" s="41">
        <f>BX87/'1. Väestöennuste'!K87*1000</f>
        <v>3303.7650349344981</v>
      </c>
      <c r="CK87" s="41">
        <f>BY87/'1. Väestöennuste'!L87*1000</f>
        <v>3342.3411964285715</v>
      </c>
      <c r="CL87" s="41">
        <f>BZ87/'1. Väestöennuste'!M87*1000</f>
        <v>1888.3699954873648</v>
      </c>
      <c r="CM87" s="41">
        <f>CA87/'1. Väestöennuste'!N87*1000</f>
        <v>1974.2004496881309</v>
      </c>
      <c r="CN87" s="41">
        <f>CB87/'1. Väestöennuste'!O87*1000</f>
        <v>2085.7354216025515</v>
      </c>
      <c r="CO87" s="41">
        <f>CC87/'1. Väestöennuste'!P87*1000</f>
        <v>2179.0889867359292</v>
      </c>
      <c r="CP87" s="41">
        <f>CD87/'1. Väestöennuste'!Q87*1000</f>
        <v>2273.7269428153322</v>
      </c>
      <c r="CQ87" s="41">
        <f>CE87/'1. Väestöennuste'!R87*1000</f>
        <v>2371.1937823210424</v>
      </c>
      <c r="CR87" s="41"/>
      <c r="CU87" s="159">
        <f t="shared" si="53"/>
        <v>65.111792228348804</v>
      </c>
      <c r="CV87" s="159">
        <f t="shared" si="54"/>
        <v>329.17416499479123</v>
      </c>
      <c r="CW87" s="159">
        <f t="shared" si="55"/>
        <v>38.576161494073403</v>
      </c>
      <c r="CX87" s="159">
        <f t="shared" si="56"/>
        <v>-1453.9712009412067</v>
      </c>
      <c r="CY87" s="159">
        <f t="shared" si="57"/>
        <v>85.830454200766098</v>
      </c>
      <c r="CZ87" s="159">
        <f t="shared" si="58"/>
        <v>111.53497191442057</v>
      </c>
      <c r="DA87" s="159">
        <f t="shared" si="61"/>
        <v>93.353565133377742</v>
      </c>
      <c r="DB87" s="159">
        <f t="shared" si="62"/>
        <v>94.637956079403011</v>
      </c>
      <c r="DC87" s="159">
        <f t="shared" si="62"/>
        <v>97.466839505710141</v>
      </c>
    </row>
    <row r="88" spans="1:107" x14ac:dyDescent="0.2">
      <c r="A88" s="99">
        <v>15</v>
      </c>
      <c r="B88" s="30">
        <v>231</v>
      </c>
      <c r="C88" s="47" t="s">
        <v>402</v>
      </c>
      <c r="D88" s="64">
        <v>4692.4969199999996</v>
      </c>
      <c r="E88" s="64">
        <v>608.11856999999998</v>
      </c>
      <c r="F88" s="64">
        <v>892.22183999999993</v>
      </c>
      <c r="G88" s="205">
        <v>6192</v>
      </c>
      <c r="H88" s="205"/>
      <c r="I88" s="64">
        <v>4788</v>
      </c>
      <c r="J88" s="64">
        <v>600</v>
      </c>
      <c r="K88" s="64">
        <v>954</v>
      </c>
      <c r="L88" s="205">
        <v>6342</v>
      </c>
      <c r="M88" s="205"/>
      <c r="N88" s="64">
        <v>4837</v>
      </c>
      <c r="O88" s="64">
        <v>596</v>
      </c>
      <c r="P88" s="64">
        <v>1205</v>
      </c>
      <c r="Q88" s="205">
        <v>6638</v>
      </c>
      <c r="R88" s="205"/>
      <c r="S88" s="64">
        <v>4970</v>
      </c>
      <c r="T88" s="64">
        <v>610</v>
      </c>
      <c r="U88" s="64">
        <v>1082</v>
      </c>
      <c r="V88" s="205">
        <v>6662</v>
      </c>
      <c r="W88" s="205"/>
      <c r="X88" s="64">
        <v>4745</v>
      </c>
      <c r="Y88" s="64">
        <v>866</v>
      </c>
      <c r="Z88" s="64">
        <v>749</v>
      </c>
      <c r="AA88" s="205">
        <f t="shared" si="59"/>
        <v>6360</v>
      </c>
      <c r="AB88" s="205"/>
      <c r="AC88" s="64">
        <v>4907</v>
      </c>
      <c r="AD88" s="64">
        <v>675</v>
      </c>
      <c r="AE88" s="64">
        <v>814</v>
      </c>
      <c r="AF88" s="205">
        <f t="shared" si="36"/>
        <v>6396</v>
      </c>
      <c r="AG88" s="205"/>
      <c r="AH88" s="278">
        <v>5226.1325500000003</v>
      </c>
      <c r="AI88" s="64">
        <v>736.68408999999997</v>
      </c>
      <c r="AJ88" s="64">
        <v>1244.39986</v>
      </c>
      <c r="AK88" s="205">
        <f t="shared" si="37"/>
        <v>7207.2165000000005</v>
      </c>
      <c r="AL88" s="205"/>
      <c r="AM88" s="64">
        <v>5245.7164899999998</v>
      </c>
      <c r="AN88" s="64">
        <v>880.96564000000001</v>
      </c>
      <c r="AO88" s="64">
        <v>1292.3266299999998</v>
      </c>
      <c r="AP88" s="205">
        <f t="shared" si="38"/>
        <v>7419.0087599999997</v>
      </c>
      <c r="AQ88" s="205"/>
      <c r="AR88" s="64">
        <v>2513.9560099999999</v>
      </c>
      <c r="AS88" s="64">
        <v>907.45802000000003</v>
      </c>
      <c r="AT88" s="64">
        <v>1064.7146299999999</v>
      </c>
      <c r="AU88" s="205">
        <f t="shared" si="39"/>
        <v>4486.1286600000003</v>
      </c>
      <c r="AV88" s="205"/>
      <c r="AW88" s="64">
        <v>2520.6092468674697</v>
      </c>
      <c r="AX88" s="64">
        <v>965.53720715831378</v>
      </c>
      <c r="AY88" s="64">
        <v>970.93452895162307</v>
      </c>
      <c r="AZ88" s="205">
        <f t="shared" si="40"/>
        <v>4457.0809829774062</v>
      </c>
      <c r="BA88" s="205"/>
      <c r="BB88" s="64">
        <v>2994.2801403030044</v>
      </c>
      <c r="BC88" s="64">
        <v>971.3272935943944</v>
      </c>
      <c r="BD88" s="64">
        <v>982.58574329904252</v>
      </c>
      <c r="BE88" s="205">
        <f t="shared" si="35"/>
        <v>4948.193177196441</v>
      </c>
      <c r="BF88" s="205"/>
      <c r="BG88" s="64">
        <v>3163.3313228679922</v>
      </c>
      <c r="BH88" s="64">
        <v>984.96709843685994</v>
      </c>
      <c r="BI88" s="64">
        <v>1030.3002401503795</v>
      </c>
      <c r="BJ88" s="205">
        <f t="shared" si="41"/>
        <v>5178.5986614552312</v>
      </c>
      <c r="BK88" s="205"/>
      <c r="BL88" s="64">
        <v>3139.4853582671353</v>
      </c>
      <c r="BM88" s="64">
        <v>1001.1046486820983</v>
      </c>
      <c r="BN88" s="64">
        <v>1091.885230272454</v>
      </c>
      <c r="BO88" s="205">
        <f t="shared" si="42"/>
        <v>5232.4752372216881</v>
      </c>
      <c r="BQ88" s="64">
        <v>3279.6255909541956</v>
      </c>
      <c r="BR88" s="64">
        <v>1017.3376942068353</v>
      </c>
      <c r="BS88" s="64">
        <v>1130.1677916996894</v>
      </c>
      <c r="BT88" s="205">
        <f t="shared" si="43"/>
        <v>5427.1310768607209</v>
      </c>
      <c r="BU88" s="205"/>
      <c r="BV88" s="5">
        <f t="shared" si="44"/>
        <v>6360</v>
      </c>
      <c r="BW88" s="5">
        <f t="shared" si="45"/>
        <v>6396</v>
      </c>
      <c r="BX88" s="5">
        <f t="shared" si="46"/>
        <v>7207.2165000000005</v>
      </c>
      <c r="BY88" s="5">
        <f t="shared" si="47"/>
        <v>7419.0087599999997</v>
      </c>
      <c r="BZ88" s="5">
        <f t="shared" si="48"/>
        <v>4486.1286600000003</v>
      </c>
      <c r="CA88" s="5">
        <f t="shared" si="49"/>
        <v>4457.0809829774062</v>
      </c>
      <c r="CB88" s="5">
        <f t="shared" si="50"/>
        <v>4948.193177196441</v>
      </c>
      <c r="CC88" s="5">
        <f t="shared" si="51"/>
        <v>5178.5986614552312</v>
      </c>
      <c r="CD88" s="5">
        <f t="shared" si="52"/>
        <v>5232.4752372216881</v>
      </c>
      <c r="CE88" s="5">
        <f t="shared" si="60"/>
        <v>5427.1310768607209</v>
      </c>
      <c r="CH88" s="41">
        <f>BV88/'1. Väestöennuste'!I88*1000</f>
        <v>5104.3338683788115</v>
      </c>
      <c r="CI88" s="41">
        <f>BW88/'1. Väestöennuste'!J88*1000</f>
        <v>5004.6948356807507</v>
      </c>
      <c r="CJ88" s="41">
        <f>BX88/'1. Väestöennuste'!K88*1000</f>
        <v>5591.3238944918548</v>
      </c>
      <c r="CK88" s="41">
        <f>BY88/'1. Väestöennuste'!L88*1000</f>
        <v>5906.854108280254</v>
      </c>
      <c r="CL88" s="41">
        <f>BZ88/'1. Väestöennuste'!M88*1000</f>
        <v>3713.6826655629138</v>
      </c>
      <c r="CM88" s="41">
        <f>CA88/'1. Väestöennuste'!N88*1000</f>
        <v>3423.2572833927852</v>
      </c>
      <c r="CN88" s="41">
        <f>CB88/'1. Väestöennuste'!O88*1000</f>
        <v>3788.8156027537834</v>
      </c>
      <c r="CO88" s="41">
        <f>CC88/'1. Väestöennuste'!P88*1000</f>
        <v>3950.1133954654701</v>
      </c>
      <c r="CP88" s="41">
        <f>CD88/'1. Väestöennuste'!Q88*1000</f>
        <v>3982.0968319799758</v>
      </c>
      <c r="CQ88" s="41">
        <f>CE88/'1. Väestöennuste'!R88*1000</f>
        <v>4120.8284562344124</v>
      </c>
      <c r="CR88" s="41"/>
      <c r="CU88" s="159">
        <f t="shared" si="53"/>
        <v>-99.639032698060873</v>
      </c>
      <c r="CV88" s="159">
        <f t="shared" si="54"/>
        <v>586.62905881110419</v>
      </c>
      <c r="CW88" s="159">
        <f t="shared" si="55"/>
        <v>315.53021378839912</v>
      </c>
      <c r="CX88" s="159">
        <f t="shared" si="56"/>
        <v>-2193.1714427173401</v>
      </c>
      <c r="CY88" s="159">
        <f t="shared" si="57"/>
        <v>-290.42538217012861</v>
      </c>
      <c r="CZ88" s="159">
        <f t="shared" si="58"/>
        <v>365.55831936099821</v>
      </c>
      <c r="DA88" s="159">
        <f t="shared" si="61"/>
        <v>161.29779271168672</v>
      </c>
      <c r="DB88" s="159">
        <f t="shared" si="62"/>
        <v>31.983436514505684</v>
      </c>
      <c r="DC88" s="159">
        <f t="shared" si="62"/>
        <v>138.73162425443661</v>
      </c>
    </row>
    <row r="89" spans="1:107" x14ac:dyDescent="0.2">
      <c r="A89" s="99">
        <v>14</v>
      </c>
      <c r="B89" s="30">
        <v>232</v>
      </c>
      <c r="C89" s="47" t="s">
        <v>403</v>
      </c>
      <c r="D89" s="64">
        <v>39415.47421</v>
      </c>
      <c r="E89" s="64">
        <v>3399.1480000000001</v>
      </c>
      <c r="F89" s="64">
        <v>3909.9262200000003</v>
      </c>
      <c r="G89" s="205">
        <v>46722</v>
      </c>
      <c r="H89" s="205"/>
      <c r="I89" s="64">
        <v>38682</v>
      </c>
      <c r="J89" s="64">
        <v>3375</v>
      </c>
      <c r="K89" s="64">
        <v>3501</v>
      </c>
      <c r="L89" s="205">
        <v>45558</v>
      </c>
      <c r="M89" s="205"/>
      <c r="N89" s="64">
        <v>38421</v>
      </c>
      <c r="O89" s="64">
        <v>3421</v>
      </c>
      <c r="P89" s="64">
        <v>4023</v>
      </c>
      <c r="Q89" s="205">
        <v>45865</v>
      </c>
      <c r="R89" s="205"/>
      <c r="S89" s="64">
        <v>37191</v>
      </c>
      <c r="T89" s="64">
        <v>3850</v>
      </c>
      <c r="U89" s="64">
        <v>3479</v>
      </c>
      <c r="V89" s="205">
        <v>44520</v>
      </c>
      <c r="W89" s="205"/>
      <c r="X89" s="64">
        <v>37263</v>
      </c>
      <c r="Y89" s="64">
        <v>3599</v>
      </c>
      <c r="Z89" s="64">
        <v>3936</v>
      </c>
      <c r="AA89" s="205">
        <f t="shared" si="59"/>
        <v>44798</v>
      </c>
      <c r="AB89" s="205"/>
      <c r="AC89" s="64">
        <v>38875</v>
      </c>
      <c r="AD89" s="64">
        <v>3272</v>
      </c>
      <c r="AE89" s="64">
        <v>4009</v>
      </c>
      <c r="AF89" s="205">
        <f t="shared" si="36"/>
        <v>46156</v>
      </c>
      <c r="AG89" s="205"/>
      <c r="AH89" s="278">
        <v>39623.643819999998</v>
      </c>
      <c r="AI89" s="64">
        <v>3622.9595299999996</v>
      </c>
      <c r="AJ89" s="64">
        <v>6123.6455599999999</v>
      </c>
      <c r="AK89" s="205">
        <f t="shared" si="37"/>
        <v>49370.248909999995</v>
      </c>
      <c r="AL89" s="205"/>
      <c r="AM89" s="64">
        <v>40811.723479999993</v>
      </c>
      <c r="AN89" s="64">
        <v>3827.152</v>
      </c>
      <c r="AO89" s="64">
        <v>6636.0900899999997</v>
      </c>
      <c r="AP89" s="205">
        <f t="shared" si="38"/>
        <v>51274.965569999993</v>
      </c>
      <c r="AQ89" s="205"/>
      <c r="AR89" s="64">
        <v>20764.587769999998</v>
      </c>
      <c r="AS89" s="64">
        <v>4095.8452900000002</v>
      </c>
      <c r="AT89" s="64">
        <v>4381.9595899999995</v>
      </c>
      <c r="AU89" s="205">
        <f t="shared" si="39"/>
        <v>29242.392649999998</v>
      </c>
      <c r="AV89" s="205"/>
      <c r="AW89" s="64">
        <v>20517.992090664444</v>
      </c>
      <c r="AX89" s="64">
        <v>4145.7441125140285</v>
      </c>
      <c r="AY89" s="64">
        <v>3765.2306268456973</v>
      </c>
      <c r="AZ89" s="205">
        <f t="shared" si="40"/>
        <v>28428.966830024168</v>
      </c>
      <c r="BA89" s="205"/>
      <c r="BB89" s="64">
        <v>21584.45394596452</v>
      </c>
      <c r="BC89" s="64">
        <v>4158.517122797185</v>
      </c>
      <c r="BD89" s="64">
        <v>3810.4133943678453</v>
      </c>
      <c r="BE89" s="205">
        <f t="shared" si="35"/>
        <v>29553.384463129551</v>
      </c>
      <c r="BF89" s="205"/>
      <c r="BG89" s="64">
        <v>22503.903530774045</v>
      </c>
      <c r="BH89" s="64">
        <v>4202.9044331188306</v>
      </c>
      <c r="BI89" s="64">
        <v>3995.4475851728344</v>
      </c>
      <c r="BJ89" s="205">
        <f t="shared" si="41"/>
        <v>30702.255549065711</v>
      </c>
      <c r="BK89" s="205"/>
      <c r="BL89" s="64">
        <v>23177.462531920046</v>
      </c>
      <c r="BM89" s="64">
        <v>4255.7051085034491</v>
      </c>
      <c r="BN89" s="64">
        <v>4234.2707849327617</v>
      </c>
      <c r="BO89" s="205">
        <f t="shared" si="42"/>
        <v>31667.43842535626</v>
      </c>
      <c r="BQ89" s="64">
        <v>23920.018354981577</v>
      </c>
      <c r="BR89" s="64">
        <v>4306.5021109769932</v>
      </c>
      <c r="BS89" s="64">
        <v>4382.7284496483917</v>
      </c>
      <c r="BT89" s="205">
        <f t="shared" si="43"/>
        <v>32609.248915606964</v>
      </c>
      <c r="BU89" s="205"/>
      <c r="BV89" s="5">
        <f t="shared" si="44"/>
        <v>44798</v>
      </c>
      <c r="BW89" s="5">
        <f t="shared" si="45"/>
        <v>46156</v>
      </c>
      <c r="BX89" s="5">
        <f t="shared" si="46"/>
        <v>49370.248909999995</v>
      </c>
      <c r="BY89" s="5">
        <f t="shared" si="47"/>
        <v>51274.965569999993</v>
      </c>
      <c r="BZ89" s="5">
        <f t="shared" si="48"/>
        <v>29242.392649999998</v>
      </c>
      <c r="CA89" s="5">
        <f t="shared" si="49"/>
        <v>28428.966830024168</v>
      </c>
      <c r="CB89" s="5">
        <f t="shared" si="50"/>
        <v>29553.384463129551</v>
      </c>
      <c r="CC89" s="5">
        <f t="shared" si="51"/>
        <v>30702.255549065711</v>
      </c>
      <c r="CD89" s="5">
        <f t="shared" si="52"/>
        <v>31667.43842535626</v>
      </c>
      <c r="CE89" s="5">
        <f t="shared" si="60"/>
        <v>32609.248915606964</v>
      </c>
      <c r="CH89" s="41">
        <f>BV89/'1. Väestöennuste'!I89*1000</f>
        <v>3397.9065533980583</v>
      </c>
      <c r="CI89" s="41">
        <f>BW89/'1. Väestöennuste'!J89*1000</f>
        <v>3548.5507803490427</v>
      </c>
      <c r="CJ89" s="41">
        <f>BX89/'1. Väestöennuste'!K89*1000</f>
        <v>3830.1201636927844</v>
      </c>
      <c r="CK89" s="41">
        <f>BY89/'1. Väestöennuste'!L89*1000</f>
        <v>4021.5659270588235</v>
      </c>
      <c r="CL89" s="41">
        <f>BZ89/'1. Väestöennuste'!M89*1000</f>
        <v>2317.5140790933588</v>
      </c>
      <c r="CM89" s="41">
        <f>CA89/'1. Väestöennuste'!N89*1000</f>
        <v>2295.2500266449356</v>
      </c>
      <c r="CN89" s="41">
        <f>CB89/'1. Väestöennuste'!O89*1000</f>
        <v>2412.3242562345567</v>
      </c>
      <c r="CO89" s="41">
        <f>CC89/'1. Väestöennuste'!P89*1000</f>
        <v>2533.1894017380951</v>
      </c>
      <c r="CP89" s="41">
        <f>CD89/'1. Väestöennuste'!Q89*1000</f>
        <v>2641.3744620365551</v>
      </c>
      <c r="CQ89" s="41">
        <f>CE89/'1. Väestöennuste'!R89*1000</f>
        <v>2750.674729279373</v>
      </c>
      <c r="CR89" s="41"/>
      <c r="CU89" s="159">
        <f t="shared" si="53"/>
        <v>150.64422695098438</v>
      </c>
      <c r="CV89" s="159">
        <f t="shared" si="54"/>
        <v>281.56938334374172</v>
      </c>
      <c r="CW89" s="159">
        <f t="shared" si="55"/>
        <v>191.44576336603905</v>
      </c>
      <c r="CX89" s="159">
        <f t="shared" si="56"/>
        <v>-1704.0518479654647</v>
      </c>
      <c r="CY89" s="159">
        <f t="shared" si="57"/>
        <v>-22.264052448423172</v>
      </c>
      <c r="CZ89" s="159">
        <f t="shared" si="58"/>
        <v>117.07422958962115</v>
      </c>
      <c r="DA89" s="159">
        <f t="shared" si="61"/>
        <v>120.86514550353832</v>
      </c>
      <c r="DB89" s="159">
        <f t="shared" si="62"/>
        <v>108.18506029846003</v>
      </c>
      <c r="DC89" s="159">
        <f t="shared" si="62"/>
        <v>109.30026724281788</v>
      </c>
    </row>
    <row r="90" spans="1:107" x14ac:dyDescent="0.2">
      <c r="A90" s="99">
        <v>14</v>
      </c>
      <c r="B90" s="30">
        <v>233</v>
      </c>
      <c r="C90" s="47" t="s">
        <v>404</v>
      </c>
      <c r="D90" s="64">
        <v>48718.807030000004</v>
      </c>
      <c r="E90" s="64">
        <v>3911.0377200000003</v>
      </c>
      <c r="F90" s="64">
        <v>3984.5802899999999</v>
      </c>
      <c r="G90" s="205">
        <v>56606</v>
      </c>
      <c r="H90" s="205"/>
      <c r="I90" s="64">
        <v>47485</v>
      </c>
      <c r="J90" s="64">
        <v>3988</v>
      </c>
      <c r="K90" s="64">
        <v>3560</v>
      </c>
      <c r="L90" s="205">
        <v>55033</v>
      </c>
      <c r="M90" s="205"/>
      <c r="N90" s="64">
        <v>47136</v>
      </c>
      <c r="O90" s="64">
        <v>3913</v>
      </c>
      <c r="P90" s="64">
        <v>4064</v>
      </c>
      <c r="Q90" s="205">
        <v>55113</v>
      </c>
      <c r="R90" s="205"/>
      <c r="S90" s="64">
        <v>44637</v>
      </c>
      <c r="T90" s="64">
        <v>4089</v>
      </c>
      <c r="U90" s="64">
        <v>3319</v>
      </c>
      <c r="V90" s="205">
        <v>52045</v>
      </c>
      <c r="W90" s="205"/>
      <c r="X90" s="64">
        <v>46472</v>
      </c>
      <c r="Y90" s="64">
        <v>3864</v>
      </c>
      <c r="Z90" s="64">
        <v>3262</v>
      </c>
      <c r="AA90" s="205">
        <f t="shared" si="59"/>
        <v>53598</v>
      </c>
      <c r="AB90" s="205"/>
      <c r="AC90" s="64">
        <v>47212</v>
      </c>
      <c r="AD90" s="64">
        <v>3670</v>
      </c>
      <c r="AE90" s="64">
        <v>3490</v>
      </c>
      <c r="AF90" s="205">
        <f t="shared" si="36"/>
        <v>54372</v>
      </c>
      <c r="AG90" s="205"/>
      <c r="AH90" s="278">
        <v>47804.935939999996</v>
      </c>
      <c r="AI90" s="64">
        <v>4069.8182900000002</v>
      </c>
      <c r="AJ90" s="64">
        <v>4956.2037900000005</v>
      </c>
      <c r="AK90" s="205">
        <f t="shared" si="37"/>
        <v>56830.958019999998</v>
      </c>
      <c r="AL90" s="205"/>
      <c r="AM90" s="64">
        <v>49831.685250000002</v>
      </c>
      <c r="AN90" s="64">
        <v>3853.0027200000004</v>
      </c>
      <c r="AO90" s="64">
        <v>5327.9535599999999</v>
      </c>
      <c r="AP90" s="205">
        <f t="shared" si="38"/>
        <v>59012.641530000001</v>
      </c>
      <c r="AQ90" s="205"/>
      <c r="AR90" s="64">
        <v>25715.478010000003</v>
      </c>
      <c r="AS90" s="64">
        <v>3991.0003400000001</v>
      </c>
      <c r="AT90" s="64">
        <v>3465.6525499999998</v>
      </c>
      <c r="AU90" s="205">
        <f t="shared" si="39"/>
        <v>33172.130900000004</v>
      </c>
      <c r="AV90" s="205"/>
      <c r="AW90" s="64">
        <v>24683.500726221355</v>
      </c>
      <c r="AX90" s="64">
        <v>4429.6827885582034</v>
      </c>
      <c r="AY90" s="64">
        <v>2782.4890455822137</v>
      </c>
      <c r="AZ90" s="205">
        <f t="shared" si="40"/>
        <v>31895.672560361771</v>
      </c>
      <c r="BA90" s="205"/>
      <c r="BB90" s="64">
        <v>25433.989698942933</v>
      </c>
      <c r="BC90" s="64">
        <v>4457.0099988743013</v>
      </c>
      <c r="BD90" s="64">
        <v>2815.8789141292004</v>
      </c>
      <c r="BE90" s="205">
        <f t="shared" si="35"/>
        <v>32706.878611946435</v>
      </c>
      <c r="BF90" s="205"/>
      <c r="BG90" s="64">
        <v>26273.827171153123</v>
      </c>
      <c r="BH90" s="64">
        <v>4518.4575036729066</v>
      </c>
      <c r="BI90" s="64">
        <v>2952.6183757978124</v>
      </c>
      <c r="BJ90" s="205">
        <f t="shared" si="41"/>
        <v>33744.903050623841</v>
      </c>
      <c r="BK90" s="205"/>
      <c r="BL90" s="64">
        <v>26840.269012328201</v>
      </c>
      <c r="BM90" s="64">
        <v>4589.3203841764835</v>
      </c>
      <c r="BN90" s="64">
        <v>3129.1076809747415</v>
      </c>
      <c r="BO90" s="205">
        <f t="shared" si="42"/>
        <v>34558.697077479424</v>
      </c>
      <c r="BQ90" s="64">
        <v>27522.105596821526</v>
      </c>
      <c r="BR90" s="64">
        <v>4658.4159827952935</v>
      </c>
      <c r="BS90" s="64">
        <v>3238.8172490576972</v>
      </c>
      <c r="BT90" s="205">
        <f t="shared" si="43"/>
        <v>35419.338828674518</v>
      </c>
      <c r="BU90" s="205"/>
      <c r="BV90" s="5">
        <f t="shared" si="44"/>
        <v>53598</v>
      </c>
      <c r="BW90" s="5">
        <f t="shared" si="45"/>
        <v>54372</v>
      </c>
      <c r="BX90" s="5">
        <f t="shared" si="46"/>
        <v>56830.958019999998</v>
      </c>
      <c r="BY90" s="5">
        <f t="shared" si="47"/>
        <v>59012.641530000001</v>
      </c>
      <c r="BZ90" s="5">
        <f t="shared" si="48"/>
        <v>33172.130900000004</v>
      </c>
      <c r="CA90" s="5">
        <f t="shared" si="49"/>
        <v>31895.672560361771</v>
      </c>
      <c r="CB90" s="5">
        <f t="shared" si="50"/>
        <v>32706.878611946435</v>
      </c>
      <c r="CC90" s="5">
        <f t="shared" si="51"/>
        <v>33744.903050623841</v>
      </c>
      <c r="CD90" s="5">
        <f t="shared" si="52"/>
        <v>34558.697077479424</v>
      </c>
      <c r="CE90" s="5">
        <f t="shared" si="60"/>
        <v>35419.338828674518</v>
      </c>
      <c r="CH90" s="41">
        <f>BV90/'1. Väestöennuste'!I90*1000</f>
        <v>3408.2411293399464</v>
      </c>
      <c r="CI90" s="41">
        <f>BW90/'1. Väestöennuste'!J90*1000</f>
        <v>3504.7054273559365</v>
      </c>
      <c r="CJ90" s="41">
        <f>BX90/'1. Väestöennuste'!K90*1000</f>
        <v>3711.5306961859978</v>
      </c>
      <c r="CK90" s="41">
        <f>BY90/'1. Väestöennuste'!L90*1000</f>
        <v>3903.9852824821382</v>
      </c>
      <c r="CL90" s="41">
        <f>BZ90/'1. Väestöennuste'!M90*1000</f>
        <v>2187.4138410814376</v>
      </c>
      <c r="CM90" s="41">
        <f>CA90/'1. Väestöennuste'!N90*1000</f>
        <v>2182.3929223648147</v>
      </c>
      <c r="CN90" s="41">
        <f>CB90/'1. Väestöennuste'!O90*1000</f>
        <v>2269.4198315255644</v>
      </c>
      <c r="CO90" s="41">
        <f>CC90/'1. Väestöennuste'!P90*1000</f>
        <v>2373.8939887881702</v>
      </c>
      <c r="CP90" s="41">
        <f>CD90/'1. Väestöennuste'!Q90*1000</f>
        <v>2463.9025436674337</v>
      </c>
      <c r="CQ90" s="41">
        <f>CE90/'1. Väestöennuste'!R90*1000</f>
        <v>2558.8310091514604</v>
      </c>
      <c r="CR90" s="41"/>
      <c r="CU90" s="159">
        <f t="shared" si="53"/>
        <v>96.464298015990153</v>
      </c>
      <c r="CV90" s="159">
        <f t="shared" si="54"/>
        <v>206.8252688300613</v>
      </c>
      <c r="CW90" s="159">
        <f t="shared" si="55"/>
        <v>192.45458629614041</v>
      </c>
      <c r="CX90" s="159">
        <f t="shared" si="56"/>
        <v>-1716.5714414007007</v>
      </c>
      <c r="CY90" s="159">
        <f t="shared" si="57"/>
        <v>-5.020918716622873</v>
      </c>
      <c r="CZ90" s="159">
        <f t="shared" si="58"/>
        <v>87.02690916074971</v>
      </c>
      <c r="DA90" s="159">
        <f t="shared" si="61"/>
        <v>104.47415726260579</v>
      </c>
      <c r="DB90" s="159">
        <f t="shared" si="62"/>
        <v>90.008554879263556</v>
      </c>
      <c r="DC90" s="159">
        <f t="shared" si="62"/>
        <v>94.928465484026674</v>
      </c>
    </row>
    <row r="91" spans="1:107" x14ac:dyDescent="0.2">
      <c r="A91" s="99">
        <v>1</v>
      </c>
      <c r="B91" s="30">
        <v>235</v>
      </c>
      <c r="C91" s="47" t="s">
        <v>405</v>
      </c>
      <c r="D91" s="64">
        <v>54770.643060000002</v>
      </c>
      <c r="E91" s="64">
        <v>3825.4597400000002</v>
      </c>
      <c r="F91" s="64">
        <v>1353.6706899999999</v>
      </c>
      <c r="G91" s="205">
        <v>59940</v>
      </c>
      <c r="H91" s="205"/>
      <c r="I91" s="64">
        <v>57552</v>
      </c>
      <c r="J91" s="64">
        <v>3993</v>
      </c>
      <c r="K91" s="64">
        <v>1428</v>
      </c>
      <c r="L91" s="205">
        <v>62971</v>
      </c>
      <c r="M91" s="205"/>
      <c r="N91" s="64">
        <v>62530</v>
      </c>
      <c r="O91" s="64">
        <v>4659</v>
      </c>
      <c r="P91" s="64">
        <v>2081</v>
      </c>
      <c r="Q91" s="205">
        <v>69270</v>
      </c>
      <c r="R91" s="205"/>
      <c r="S91" s="64">
        <v>62301</v>
      </c>
      <c r="T91" s="64">
        <v>4851</v>
      </c>
      <c r="U91" s="64">
        <v>1997</v>
      </c>
      <c r="V91" s="205">
        <v>69149</v>
      </c>
      <c r="W91" s="205"/>
      <c r="X91" s="64">
        <v>61069</v>
      </c>
      <c r="Y91" s="64">
        <v>4752</v>
      </c>
      <c r="Z91" s="64">
        <v>1172</v>
      </c>
      <c r="AA91" s="205">
        <f t="shared" si="59"/>
        <v>66993</v>
      </c>
      <c r="AB91" s="205"/>
      <c r="AC91" s="64">
        <v>63838</v>
      </c>
      <c r="AD91" s="64">
        <v>4317</v>
      </c>
      <c r="AE91" s="64">
        <v>1060</v>
      </c>
      <c r="AF91" s="205">
        <f t="shared" si="36"/>
        <v>69215</v>
      </c>
      <c r="AG91" s="205"/>
      <c r="AH91" s="278">
        <v>67983.689499999993</v>
      </c>
      <c r="AI91" s="64">
        <v>4747.68228</v>
      </c>
      <c r="AJ91" s="64">
        <v>1963.24179</v>
      </c>
      <c r="AK91" s="205">
        <f t="shared" si="37"/>
        <v>74694.613569999987</v>
      </c>
      <c r="AL91" s="205"/>
      <c r="AM91" s="64">
        <v>80268.532689999993</v>
      </c>
      <c r="AN91" s="64">
        <v>4866.6554699999997</v>
      </c>
      <c r="AO91" s="64">
        <v>2500.5828099999999</v>
      </c>
      <c r="AP91" s="205">
        <f t="shared" si="38"/>
        <v>87635.770969999983</v>
      </c>
      <c r="AQ91" s="205"/>
      <c r="AR91" s="64">
        <v>25326.46328</v>
      </c>
      <c r="AS91" s="64">
        <v>4882.2659699999995</v>
      </c>
      <c r="AT91" s="64">
        <v>1695.2006000000001</v>
      </c>
      <c r="AU91" s="205">
        <f t="shared" si="39"/>
        <v>31903.92985</v>
      </c>
      <c r="AV91" s="205"/>
      <c r="AW91" s="64">
        <v>22117.283668067743</v>
      </c>
      <c r="AX91" s="64">
        <v>6069.5171805988793</v>
      </c>
      <c r="AY91" s="64">
        <v>1318.0246442268372</v>
      </c>
      <c r="AZ91" s="205">
        <f t="shared" si="40"/>
        <v>29504.825492893458</v>
      </c>
      <c r="BA91" s="205"/>
      <c r="BB91" s="64">
        <v>23277.29066895735</v>
      </c>
      <c r="BC91" s="64">
        <v>6081.2894721058738</v>
      </c>
      <c r="BD91" s="64">
        <v>1333.8409399575592</v>
      </c>
      <c r="BE91" s="205">
        <f t="shared" si="35"/>
        <v>30692.421081020781</v>
      </c>
      <c r="BF91" s="205"/>
      <c r="BG91" s="64">
        <v>23552.572689724322</v>
      </c>
      <c r="BH91" s="64">
        <v>6140.0413272788355</v>
      </c>
      <c r="BI91" s="64">
        <v>1398.6124367595639</v>
      </c>
      <c r="BJ91" s="205">
        <f t="shared" si="41"/>
        <v>31091.22645376272</v>
      </c>
      <c r="BK91" s="205"/>
      <c r="BL91" s="64">
        <v>23901.582381504337</v>
      </c>
      <c r="BM91" s="64">
        <v>6211.7652049145563</v>
      </c>
      <c r="BN91" s="64">
        <v>1482.2128570505233</v>
      </c>
      <c r="BO91" s="205">
        <f t="shared" si="42"/>
        <v>31595.560443469418</v>
      </c>
      <c r="BQ91" s="64">
        <v>24316.633795770926</v>
      </c>
      <c r="BR91" s="64">
        <v>6281.2401612506819</v>
      </c>
      <c r="BS91" s="64">
        <v>1534.1806858800385</v>
      </c>
      <c r="BT91" s="205">
        <f t="shared" si="43"/>
        <v>32132.054642901643</v>
      </c>
      <c r="BU91" s="205"/>
      <c r="BV91" s="5">
        <f t="shared" si="44"/>
        <v>66993</v>
      </c>
      <c r="BW91" s="5">
        <f t="shared" si="45"/>
        <v>69215</v>
      </c>
      <c r="BX91" s="5">
        <f t="shared" si="46"/>
        <v>74694.613569999987</v>
      </c>
      <c r="BY91" s="5">
        <f t="shared" si="47"/>
        <v>87635.770969999983</v>
      </c>
      <c r="BZ91" s="5">
        <f t="shared" si="48"/>
        <v>31903.92985</v>
      </c>
      <c r="CA91" s="5">
        <f t="shared" si="49"/>
        <v>29504.825492893458</v>
      </c>
      <c r="CB91" s="5">
        <f t="shared" si="50"/>
        <v>30692.421081020781</v>
      </c>
      <c r="CC91" s="5">
        <f t="shared" si="51"/>
        <v>31091.22645376272</v>
      </c>
      <c r="CD91" s="5">
        <f t="shared" si="52"/>
        <v>31595.560443469418</v>
      </c>
      <c r="CE91" s="5">
        <f t="shared" si="60"/>
        <v>32132.054642901643</v>
      </c>
      <c r="CH91" s="41">
        <f>BV91/'1. Väestöennuste'!I91*1000</f>
        <v>6838.1137082780442</v>
      </c>
      <c r="CI91" s="41">
        <f>BW91/'1. Väestöennuste'!J91*1000</f>
        <v>6800.4519551974845</v>
      </c>
      <c r="CJ91" s="41">
        <f>BX91/'1. Väestöennuste'!K91*1000</f>
        <v>7184.9378193535958</v>
      </c>
      <c r="CK91" s="41">
        <f>BY91/'1. Väestöennuste'!L91*1000</f>
        <v>8521.5646606378814</v>
      </c>
      <c r="CL91" s="41">
        <f>BZ91/'1. Väestöennuste'!M91*1000</f>
        <v>3106.5170253164556</v>
      </c>
      <c r="CM91" s="41">
        <f>CA91/'1. Väestöennuste'!N91*1000</f>
        <v>2762.8828067134996</v>
      </c>
      <c r="CN91" s="41">
        <f>CB91/'1. Väestöennuste'!O91*1000</f>
        <v>2841.1016459336092</v>
      </c>
      <c r="CO91" s="41">
        <f>CC91/'1. Väestöennuste'!P91*1000</f>
        <v>2846.1393677922665</v>
      </c>
      <c r="CP91" s="41">
        <f>CD91/'1. Väestöennuste'!Q91*1000</f>
        <v>2862.4352639490321</v>
      </c>
      <c r="CQ91" s="41">
        <f>CE91/'1. Väestöennuste'!R91*1000</f>
        <v>2882.5742031848608</v>
      </c>
      <c r="CR91" s="41"/>
      <c r="CU91" s="159">
        <f t="shared" si="53"/>
        <v>-37.66175308055972</v>
      </c>
      <c r="CV91" s="159">
        <f t="shared" si="54"/>
        <v>384.48586415611135</v>
      </c>
      <c r="CW91" s="159">
        <f t="shared" si="55"/>
        <v>1336.6268412842855</v>
      </c>
      <c r="CX91" s="159">
        <f t="shared" si="56"/>
        <v>-5415.0476353214253</v>
      </c>
      <c r="CY91" s="159">
        <f t="shared" si="57"/>
        <v>-343.63421860295603</v>
      </c>
      <c r="CZ91" s="159">
        <f t="shared" si="58"/>
        <v>78.218839220109658</v>
      </c>
      <c r="DA91" s="159">
        <f t="shared" si="61"/>
        <v>5.0377218586572781</v>
      </c>
      <c r="DB91" s="159">
        <f t="shared" si="62"/>
        <v>16.295896156765593</v>
      </c>
      <c r="DC91" s="159">
        <f t="shared" si="62"/>
        <v>20.13893923582873</v>
      </c>
    </row>
    <row r="92" spans="1:107" x14ac:dyDescent="0.2">
      <c r="A92" s="99">
        <v>16</v>
      </c>
      <c r="B92" s="30">
        <v>236</v>
      </c>
      <c r="C92" s="47" t="s">
        <v>406</v>
      </c>
      <c r="D92" s="64">
        <v>12123.313890000001</v>
      </c>
      <c r="E92" s="64">
        <v>894.74926000000005</v>
      </c>
      <c r="F92" s="64">
        <v>1512.4381899999998</v>
      </c>
      <c r="G92" s="205">
        <v>14527</v>
      </c>
      <c r="H92" s="205"/>
      <c r="I92" s="64">
        <v>12296</v>
      </c>
      <c r="J92" s="64">
        <v>922</v>
      </c>
      <c r="K92" s="64">
        <v>1411</v>
      </c>
      <c r="L92" s="205">
        <v>14629</v>
      </c>
      <c r="M92" s="205"/>
      <c r="N92" s="64">
        <v>11740</v>
      </c>
      <c r="O92" s="64">
        <v>893</v>
      </c>
      <c r="P92" s="64">
        <v>1457</v>
      </c>
      <c r="Q92" s="205">
        <v>14090</v>
      </c>
      <c r="R92" s="205"/>
      <c r="S92" s="64">
        <v>12180</v>
      </c>
      <c r="T92" s="64">
        <v>957</v>
      </c>
      <c r="U92" s="64">
        <v>1031</v>
      </c>
      <c r="V92" s="205">
        <v>14168</v>
      </c>
      <c r="W92" s="205"/>
      <c r="X92" s="64">
        <v>12079</v>
      </c>
      <c r="Y92" s="64">
        <v>962</v>
      </c>
      <c r="Z92" s="64">
        <v>810</v>
      </c>
      <c r="AA92" s="205">
        <f t="shared" si="59"/>
        <v>13851</v>
      </c>
      <c r="AB92" s="205"/>
      <c r="AC92" s="64">
        <v>12879</v>
      </c>
      <c r="AD92" s="64">
        <v>871</v>
      </c>
      <c r="AE92" s="64">
        <v>796</v>
      </c>
      <c r="AF92" s="205">
        <f t="shared" si="36"/>
        <v>14546</v>
      </c>
      <c r="AG92" s="205"/>
      <c r="AH92" s="278">
        <v>12922.393470000001</v>
      </c>
      <c r="AI92" s="64">
        <v>951.12745999999993</v>
      </c>
      <c r="AJ92" s="64">
        <v>1087.79322</v>
      </c>
      <c r="AK92" s="205">
        <f t="shared" si="37"/>
        <v>14961.31415</v>
      </c>
      <c r="AL92" s="205"/>
      <c r="AM92" s="64">
        <v>13671.583070000001</v>
      </c>
      <c r="AN92" s="64">
        <v>1167.80672</v>
      </c>
      <c r="AO92" s="64">
        <v>1154.18831</v>
      </c>
      <c r="AP92" s="205">
        <f t="shared" si="38"/>
        <v>15993.578100000001</v>
      </c>
      <c r="AQ92" s="205"/>
      <c r="AR92" s="64">
        <v>6842.0138699999998</v>
      </c>
      <c r="AS92" s="64">
        <v>1129.6880000000001</v>
      </c>
      <c r="AT92" s="64">
        <v>783.94538999999997</v>
      </c>
      <c r="AU92" s="205">
        <f t="shared" si="39"/>
        <v>8755.6472599999997</v>
      </c>
      <c r="AV92" s="205"/>
      <c r="AW92" s="64">
        <v>6855.4182446929699</v>
      </c>
      <c r="AX92" s="64">
        <v>1241.0242916136062</v>
      </c>
      <c r="AY92" s="64">
        <v>661.7278273885704</v>
      </c>
      <c r="AZ92" s="205">
        <f t="shared" si="40"/>
        <v>8758.1703636951461</v>
      </c>
      <c r="BA92" s="205"/>
      <c r="BB92" s="64">
        <v>7340.3742202393496</v>
      </c>
      <c r="BC92" s="64">
        <v>1264.3912862407674</v>
      </c>
      <c r="BD92" s="64">
        <v>669.66856131723318</v>
      </c>
      <c r="BE92" s="205">
        <f t="shared" si="35"/>
        <v>9274.4340677973505</v>
      </c>
      <c r="BF92" s="205"/>
      <c r="BG92" s="64">
        <v>7713.3940181775288</v>
      </c>
      <c r="BH92" s="64">
        <v>1298.1182563067491</v>
      </c>
      <c r="BI92" s="64">
        <v>702.18775740604303</v>
      </c>
      <c r="BJ92" s="205">
        <f t="shared" si="41"/>
        <v>9713.700031890321</v>
      </c>
      <c r="BK92" s="205"/>
      <c r="BL92" s="64">
        <v>7988.1828013167187</v>
      </c>
      <c r="BM92" s="64">
        <v>1335.4099979480691</v>
      </c>
      <c r="BN92" s="64">
        <v>744.16020817183232</v>
      </c>
      <c r="BO92" s="205">
        <f t="shared" si="42"/>
        <v>10067.75300743662</v>
      </c>
      <c r="BQ92" s="64">
        <v>8297.4359096371227</v>
      </c>
      <c r="BR92" s="64">
        <v>1373.101974197351</v>
      </c>
      <c r="BS92" s="64">
        <v>770.25119108029594</v>
      </c>
      <c r="BT92" s="205">
        <f t="shared" si="43"/>
        <v>10440.78907491477</v>
      </c>
      <c r="BU92" s="205"/>
      <c r="BV92" s="5">
        <f t="shared" si="44"/>
        <v>13851</v>
      </c>
      <c r="BW92" s="5">
        <f t="shared" si="45"/>
        <v>14546</v>
      </c>
      <c r="BX92" s="5">
        <f t="shared" si="46"/>
        <v>14961.31415</v>
      </c>
      <c r="BY92" s="5">
        <f t="shared" si="47"/>
        <v>15993.578100000001</v>
      </c>
      <c r="BZ92" s="5">
        <f t="shared" si="48"/>
        <v>8755.6472599999997</v>
      </c>
      <c r="CA92" s="5">
        <f t="shared" si="49"/>
        <v>8758.1703636951461</v>
      </c>
      <c r="CB92" s="5">
        <f t="shared" si="50"/>
        <v>9274.4340677973505</v>
      </c>
      <c r="CC92" s="5">
        <f t="shared" si="51"/>
        <v>9713.700031890321</v>
      </c>
      <c r="CD92" s="5">
        <f t="shared" si="52"/>
        <v>10067.75300743662</v>
      </c>
      <c r="CE92" s="5">
        <f t="shared" si="60"/>
        <v>10440.78907491477</v>
      </c>
      <c r="CH92" s="41">
        <f>BV92/'1. Väestöennuste'!I92*1000</f>
        <v>3250.6453884064772</v>
      </c>
      <c r="CI92" s="41">
        <f>BW92/'1. Väestöennuste'!J92*1000</f>
        <v>3440.3973509933776</v>
      </c>
      <c r="CJ92" s="41">
        <f>BX92/'1. Väestöennuste'!K92*1000</f>
        <v>3565.6134771210677</v>
      </c>
      <c r="CK92" s="41">
        <f>BY92/'1. Väestöennuste'!L92*1000</f>
        <v>3809.8089804668894</v>
      </c>
      <c r="CL92" s="41">
        <f>BZ92/'1. Väestöennuste'!M92*1000</f>
        <v>2116.4242832970749</v>
      </c>
      <c r="CM92" s="41">
        <f>CA92/'1. Väestöennuste'!N92*1000</f>
        <v>2125.7695057512487</v>
      </c>
      <c r="CN92" s="41">
        <f>CB92/'1. Väestöennuste'!O92*1000</f>
        <v>2268.1423496691982</v>
      </c>
      <c r="CO92" s="41">
        <f>CC92/'1. Väestöennuste'!P92*1000</f>
        <v>2393.7161241720851</v>
      </c>
      <c r="CP92" s="41">
        <f>CD92/'1. Väestöennuste'!Q92*1000</f>
        <v>2500.0628277716964</v>
      </c>
      <c r="CQ92" s="41">
        <f>CE92/'1. Väestöennuste'!R92*1000</f>
        <v>2612.8100788075003</v>
      </c>
      <c r="CR92" s="41"/>
      <c r="CU92" s="159">
        <f t="shared" si="53"/>
        <v>189.75196258690039</v>
      </c>
      <c r="CV92" s="159">
        <f t="shared" si="54"/>
        <v>125.21612612769013</v>
      </c>
      <c r="CW92" s="159">
        <f t="shared" si="55"/>
        <v>244.19550334582163</v>
      </c>
      <c r="CX92" s="159">
        <f t="shared" si="56"/>
        <v>-1693.3846971698144</v>
      </c>
      <c r="CY92" s="159">
        <f t="shared" si="57"/>
        <v>9.345222454173836</v>
      </c>
      <c r="CZ92" s="159">
        <f t="shared" si="58"/>
        <v>142.37284391794947</v>
      </c>
      <c r="DA92" s="159">
        <f t="shared" si="61"/>
        <v>125.57377450288686</v>
      </c>
      <c r="DB92" s="159">
        <f t="shared" si="62"/>
        <v>106.34670359961137</v>
      </c>
      <c r="DC92" s="159">
        <f t="shared" si="62"/>
        <v>112.74725103580386</v>
      </c>
    </row>
    <row r="93" spans="1:107" x14ac:dyDescent="0.2">
      <c r="A93" s="99">
        <v>11</v>
      </c>
      <c r="B93" s="30">
        <v>239</v>
      </c>
      <c r="C93" s="47" t="s">
        <v>407</v>
      </c>
      <c r="D93" s="64">
        <v>5810.1932999999999</v>
      </c>
      <c r="E93" s="64">
        <v>546.61436000000003</v>
      </c>
      <c r="F93" s="64">
        <v>986.05403000000001</v>
      </c>
      <c r="G93" s="205">
        <v>7338</v>
      </c>
      <c r="H93" s="205"/>
      <c r="I93" s="64">
        <v>5688</v>
      </c>
      <c r="J93" s="64">
        <v>534</v>
      </c>
      <c r="K93" s="64">
        <v>883</v>
      </c>
      <c r="L93" s="205">
        <v>7133</v>
      </c>
      <c r="M93" s="205"/>
      <c r="N93" s="64">
        <v>5995</v>
      </c>
      <c r="O93" s="64">
        <v>561</v>
      </c>
      <c r="P93" s="64">
        <v>759</v>
      </c>
      <c r="Q93" s="205">
        <v>7315</v>
      </c>
      <c r="R93" s="205"/>
      <c r="S93" s="64">
        <v>5713</v>
      </c>
      <c r="T93" s="64">
        <v>542</v>
      </c>
      <c r="U93" s="64">
        <v>618</v>
      </c>
      <c r="V93" s="205">
        <v>6873</v>
      </c>
      <c r="W93" s="205"/>
      <c r="X93" s="64">
        <v>5770</v>
      </c>
      <c r="Y93" s="64">
        <v>560</v>
      </c>
      <c r="Z93" s="64">
        <v>804</v>
      </c>
      <c r="AA93" s="205">
        <f t="shared" si="59"/>
        <v>7134</v>
      </c>
      <c r="AB93" s="205"/>
      <c r="AC93" s="64">
        <v>5811</v>
      </c>
      <c r="AD93" s="64">
        <v>472</v>
      </c>
      <c r="AE93" s="64">
        <v>1186</v>
      </c>
      <c r="AF93" s="205">
        <f t="shared" si="36"/>
        <v>7469</v>
      </c>
      <c r="AG93" s="205"/>
      <c r="AH93" s="278">
        <v>5838.5233899999994</v>
      </c>
      <c r="AI93" s="64">
        <v>386.73777000000001</v>
      </c>
      <c r="AJ93" s="64">
        <v>1754.5127399999999</v>
      </c>
      <c r="AK93" s="205">
        <f t="shared" si="37"/>
        <v>7979.7738999999992</v>
      </c>
      <c r="AL93" s="205"/>
      <c r="AM93" s="64">
        <v>6155.7352199999996</v>
      </c>
      <c r="AN93" s="64">
        <v>513.21451000000002</v>
      </c>
      <c r="AO93" s="64">
        <v>1460.46165</v>
      </c>
      <c r="AP93" s="205">
        <f t="shared" si="38"/>
        <v>8129.4113799999996</v>
      </c>
      <c r="AQ93" s="205"/>
      <c r="AR93" s="64">
        <v>2752.0832300000002</v>
      </c>
      <c r="AS93" s="64">
        <v>602.7436899999999</v>
      </c>
      <c r="AT93" s="64">
        <v>1486.3165200000001</v>
      </c>
      <c r="AU93" s="205">
        <f t="shared" si="39"/>
        <v>4841.1434399999998</v>
      </c>
      <c r="AV93" s="205"/>
      <c r="AW93" s="64">
        <v>2746.6012008521252</v>
      </c>
      <c r="AX93" s="64">
        <v>616.22210127494793</v>
      </c>
      <c r="AY93" s="64">
        <v>4030.4766477850594</v>
      </c>
      <c r="AZ93" s="205">
        <f t="shared" si="40"/>
        <v>7393.2999499121324</v>
      </c>
      <c r="BA93" s="205"/>
      <c r="BB93" s="64">
        <v>2813.3665940375176</v>
      </c>
      <c r="BC93" s="64">
        <v>614.07851043119183</v>
      </c>
      <c r="BD93" s="64">
        <v>4078.8423675584795</v>
      </c>
      <c r="BE93" s="205">
        <f t="shared" si="35"/>
        <v>7506.2874720271884</v>
      </c>
      <c r="BF93" s="205"/>
      <c r="BG93" s="64">
        <v>2874.5863727073702</v>
      </c>
      <c r="BH93" s="64">
        <v>616.6927982008433</v>
      </c>
      <c r="BI93" s="64">
        <v>4276.911505678203</v>
      </c>
      <c r="BJ93" s="205">
        <f t="shared" si="41"/>
        <v>7768.1906765864169</v>
      </c>
      <c r="BK93" s="205"/>
      <c r="BL93" s="64">
        <v>2938.0390308750952</v>
      </c>
      <c r="BM93" s="64">
        <v>620.59306771943</v>
      </c>
      <c r="BN93" s="64">
        <v>4532.5588816234267</v>
      </c>
      <c r="BO93" s="205">
        <f t="shared" si="42"/>
        <v>8091.1909802179525</v>
      </c>
      <c r="BQ93" s="64">
        <v>3005.1206991962986</v>
      </c>
      <c r="BR93" s="64">
        <v>624.24762301952421</v>
      </c>
      <c r="BS93" s="64">
        <v>4691.4748180218094</v>
      </c>
      <c r="BT93" s="205">
        <f t="shared" si="43"/>
        <v>8320.8431402376318</v>
      </c>
      <c r="BU93" s="205"/>
      <c r="BV93" s="5">
        <f t="shared" si="44"/>
        <v>7134</v>
      </c>
      <c r="BW93" s="5">
        <f t="shared" si="45"/>
        <v>7469</v>
      </c>
      <c r="BX93" s="5">
        <f t="shared" si="46"/>
        <v>7979.7738999999992</v>
      </c>
      <c r="BY93" s="5">
        <f t="shared" si="47"/>
        <v>8129.4113799999996</v>
      </c>
      <c r="BZ93" s="5">
        <f t="shared" si="48"/>
        <v>4841.1434399999998</v>
      </c>
      <c r="CA93" s="5">
        <f t="shared" si="49"/>
        <v>7393.2999499121324</v>
      </c>
      <c r="CB93" s="5">
        <f t="shared" si="50"/>
        <v>7506.2874720271884</v>
      </c>
      <c r="CC93" s="5">
        <f t="shared" si="51"/>
        <v>7768.1906765864169</v>
      </c>
      <c r="CD93" s="5">
        <f t="shared" si="52"/>
        <v>8091.1909802179525</v>
      </c>
      <c r="CE93" s="5">
        <f t="shared" si="60"/>
        <v>8320.8431402376318</v>
      </c>
      <c r="CH93" s="41">
        <f>BV93/'1. Väestöennuste'!I93*1000</f>
        <v>3239.7820163487741</v>
      </c>
      <c r="CI93" s="41">
        <f>BW93/'1. Väestöennuste'!J93*1000</f>
        <v>3465.8932714617172</v>
      </c>
      <c r="CJ93" s="41">
        <f>BX93/'1. Väestöennuste'!K93*1000</f>
        <v>3808.9612887828157</v>
      </c>
      <c r="CK93" s="41">
        <f>BY93/'1. Väestöennuste'!L93*1000</f>
        <v>4006.6098472153772</v>
      </c>
      <c r="CL93" s="41">
        <f>BZ93/'1. Väestöennuste'!M93*1000</f>
        <v>2378.9402653562656</v>
      </c>
      <c r="CM93" s="41">
        <f>CA93/'1. Väestöennuste'!N93*1000</f>
        <v>3687.4313964649041</v>
      </c>
      <c r="CN93" s="41">
        <f>CB93/'1. Väestöennuste'!O93*1000</f>
        <v>3808.3650289331244</v>
      </c>
      <c r="CO93" s="41">
        <f>CC93/'1. Väestöennuste'!P93*1000</f>
        <v>3998.0394629883772</v>
      </c>
      <c r="CP93" s="41">
        <f>CD93/'1. Väestöennuste'!Q93*1000</f>
        <v>4227.3725079508631</v>
      </c>
      <c r="CQ93" s="41">
        <f>CE93/'1. Väestöennuste'!R93*1000</f>
        <v>4404.8931393529019</v>
      </c>
      <c r="CR93" s="41"/>
      <c r="CU93" s="159">
        <f t="shared" si="53"/>
        <v>226.11125511294313</v>
      </c>
      <c r="CV93" s="159">
        <f t="shared" si="54"/>
        <v>343.06801732109852</v>
      </c>
      <c r="CW93" s="159">
        <f t="shared" si="55"/>
        <v>197.64855843256146</v>
      </c>
      <c r="CX93" s="159">
        <f t="shared" si="56"/>
        <v>-1627.6695818591115</v>
      </c>
      <c r="CY93" s="159">
        <f t="shared" si="57"/>
        <v>1308.4911311086385</v>
      </c>
      <c r="CZ93" s="159">
        <f t="shared" si="58"/>
        <v>120.93363246822037</v>
      </c>
      <c r="DA93" s="159">
        <f t="shared" si="61"/>
        <v>189.67443405525273</v>
      </c>
      <c r="DB93" s="159">
        <f t="shared" si="62"/>
        <v>229.33304496248593</v>
      </c>
      <c r="DC93" s="159">
        <f t="shared" si="62"/>
        <v>177.52063140203882</v>
      </c>
    </row>
    <row r="94" spans="1:107" x14ac:dyDescent="0.2">
      <c r="A94" s="99">
        <v>19</v>
      </c>
      <c r="B94" s="30">
        <v>240</v>
      </c>
      <c r="C94" s="47" t="s">
        <v>408</v>
      </c>
      <c r="D94" s="64">
        <v>74610.437420000002</v>
      </c>
      <c r="E94" s="64">
        <v>6512.3709900000003</v>
      </c>
      <c r="F94" s="64">
        <v>6186.9017800000001</v>
      </c>
      <c r="G94" s="205">
        <v>87302</v>
      </c>
      <c r="H94" s="205"/>
      <c r="I94" s="64">
        <v>74083</v>
      </c>
      <c r="J94" s="64">
        <v>6722</v>
      </c>
      <c r="K94" s="64">
        <v>5987</v>
      </c>
      <c r="L94" s="205">
        <v>86793</v>
      </c>
      <c r="M94" s="205"/>
      <c r="N94" s="64">
        <v>73192</v>
      </c>
      <c r="O94" s="64">
        <v>6624</v>
      </c>
      <c r="P94" s="64">
        <v>8112</v>
      </c>
      <c r="Q94" s="205">
        <v>87928</v>
      </c>
      <c r="R94" s="205"/>
      <c r="S94" s="64">
        <v>72619</v>
      </c>
      <c r="T94" s="64">
        <v>6556</v>
      </c>
      <c r="U94" s="64">
        <v>7185</v>
      </c>
      <c r="V94" s="205">
        <v>86360</v>
      </c>
      <c r="W94" s="205"/>
      <c r="X94" s="64">
        <v>74973</v>
      </c>
      <c r="Y94" s="64">
        <v>6619</v>
      </c>
      <c r="Z94" s="64">
        <v>5132</v>
      </c>
      <c r="AA94" s="205">
        <f t="shared" si="59"/>
        <v>86724</v>
      </c>
      <c r="AB94" s="205"/>
      <c r="AC94" s="64">
        <v>76160</v>
      </c>
      <c r="AD94" s="64">
        <v>6364</v>
      </c>
      <c r="AE94" s="64">
        <v>5946</v>
      </c>
      <c r="AF94" s="205">
        <f t="shared" si="36"/>
        <v>88470</v>
      </c>
      <c r="AG94" s="205"/>
      <c r="AH94" s="278">
        <v>77676.781000000003</v>
      </c>
      <c r="AI94" s="64">
        <v>5971.8980000000001</v>
      </c>
      <c r="AJ94" s="64">
        <v>8685.8469999999998</v>
      </c>
      <c r="AK94" s="205">
        <f t="shared" si="37"/>
        <v>92334.525999999998</v>
      </c>
      <c r="AL94" s="205"/>
      <c r="AM94" s="64">
        <v>77375.212</v>
      </c>
      <c r="AN94" s="64">
        <v>7259.2790000000005</v>
      </c>
      <c r="AO94" s="64">
        <v>6982.18</v>
      </c>
      <c r="AP94" s="205">
        <f t="shared" si="38"/>
        <v>91616.671000000002</v>
      </c>
      <c r="AQ94" s="205"/>
      <c r="AR94" s="64">
        <v>39918.516819999997</v>
      </c>
      <c r="AS94" s="64">
        <v>8510.7639099999997</v>
      </c>
      <c r="AT94" s="64">
        <v>4968.6270000000004</v>
      </c>
      <c r="AU94" s="205">
        <f t="shared" si="39"/>
        <v>53397.907729999999</v>
      </c>
      <c r="AV94" s="205"/>
      <c r="AW94" s="64">
        <v>39365.059116644989</v>
      </c>
      <c r="AX94" s="64">
        <v>8921.8617579123475</v>
      </c>
      <c r="AY94" s="64">
        <v>7758.0610336050268</v>
      </c>
      <c r="AZ94" s="205">
        <f t="shared" si="40"/>
        <v>56044.981908162357</v>
      </c>
      <c r="BA94" s="205"/>
      <c r="BB94" s="64">
        <v>41040.173250012333</v>
      </c>
      <c r="BC94" s="64">
        <v>9246.5464437148257</v>
      </c>
      <c r="BD94" s="64">
        <v>7851.1577660082858</v>
      </c>
      <c r="BE94" s="205">
        <f t="shared" si="35"/>
        <v>58137.877459735442</v>
      </c>
      <c r="BF94" s="205"/>
      <c r="BG94" s="64">
        <v>42192.848740192232</v>
      </c>
      <c r="BH94" s="64">
        <v>9675.2032879173312</v>
      </c>
      <c r="BI94" s="64">
        <v>8232.4110510883056</v>
      </c>
      <c r="BJ94" s="205">
        <f t="shared" si="41"/>
        <v>60100.463079197871</v>
      </c>
      <c r="BK94" s="205"/>
      <c r="BL94" s="64">
        <v>43130.438509163767</v>
      </c>
      <c r="BM94" s="64">
        <v>10165.075871299217</v>
      </c>
      <c r="BN94" s="64">
        <v>8724.4937795055375</v>
      </c>
      <c r="BO94" s="205">
        <f t="shared" si="42"/>
        <v>62020.008159968522</v>
      </c>
      <c r="BQ94" s="64">
        <v>44256.995959598862</v>
      </c>
      <c r="BR94" s="64">
        <v>10698.740986327637</v>
      </c>
      <c r="BS94" s="64">
        <v>9030.3830431162514</v>
      </c>
      <c r="BT94" s="205">
        <f t="shared" si="43"/>
        <v>63986.119989042752</v>
      </c>
      <c r="BU94" s="205"/>
      <c r="BV94" s="5">
        <f t="shared" si="44"/>
        <v>86724</v>
      </c>
      <c r="BW94" s="5">
        <f t="shared" si="45"/>
        <v>88470</v>
      </c>
      <c r="BX94" s="5">
        <f t="shared" si="46"/>
        <v>92334.525999999998</v>
      </c>
      <c r="BY94" s="5">
        <f t="shared" si="47"/>
        <v>91616.671000000002</v>
      </c>
      <c r="BZ94" s="5">
        <f t="shared" si="48"/>
        <v>53397.907729999999</v>
      </c>
      <c r="CA94" s="5">
        <f t="shared" si="49"/>
        <v>56044.981908162357</v>
      </c>
      <c r="CB94" s="5">
        <f t="shared" si="50"/>
        <v>58137.877459735442</v>
      </c>
      <c r="CC94" s="5">
        <f t="shared" si="51"/>
        <v>60100.463079197871</v>
      </c>
      <c r="CD94" s="5">
        <f t="shared" si="52"/>
        <v>62020.008159968522</v>
      </c>
      <c r="CE94" s="5">
        <f t="shared" si="60"/>
        <v>63986.119989042752</v>
      </c>
      <c r="CH94" s="41">
        <f>BV94/'1. Väestöennuste'!I94*1000</f>
        <v>4188.1489351427053</v>
      </c>
      <c r="CI94" s="41">
        <f>BW94/'1. Väestöennuste'!J94*1000</f>
        <v>4328.9132455839899</v>
      </c>
      <c r="CJ94" s="41">
        <f>BX94/'1. Väestöennuste'!K94*1000</f>
        <v>4620.8850965869278</v>
      </c>
      <c r="CK94" s="41">
        <f>BY94/'1. Väestöennuste'!L94*1000</f>
        <v>4698.5317708600442</v>
      </c>
      <c r="CL94" s="41">
        <f>BZ94/'1. Väestöennuste'!M94*1000</f>
        <v>2756.5901466109135</v>
      </c>
      <c r="CM94" s="41">
        <f>CA94/'1. Väestöennuste'!N94*1000</f>
        <v>2897.5794596299429</v>
      </c>
      <c r="CN94" s="41">
        <f>CB94/'1. Väestöennuste'!O94*1000</f>
        <v>3044.8244191754184</v>
      </c>
      <c r="CO94" s="41">
        <f>CC94/'1. Väestöennuste'!P94*1000</f>
        <v>3187.5079861680124</v>
      </c>
      <c r="CP94" s="41">
        <f>CD94/'1. Väestöennuste'!Q94*1000</f>
        <v>3330.1121219914371</v>
      </c>
      <c r="CQ94" s="41">
        <f>CE94/'1. Väestöennuste'!R94*1000</f>
        <v>3476.9396288128432</v>
      </c>
      <c r="CR94" s="41"/>
      <c r="CU94" s="159">
        <f t="shared" si="53"/>
        <v>140.76431044128458</v>
      </c>
      <c r="CV94" s="159">
        <f t="shared" si="54"/>
        <v>291.97185100293791</v>
      </c>
      <c r="CW94" s="159">
        <f t="shared" si="55"/>
        <v>77.646674273116332</v>
      </c>
      <c r="CX94" s="159">
        <f t="shared" si="56"/>
        <v>-1941.9416242491307</v>
      </c>
      <c r="CY94" s="159">
        <f t="shared" si="57"/>
        <v>140.9893130190294</v>
      </c>
      <c r="CZ94" s="159">
        <f t="shared" si="58"/>
        <v>147.24495954547547</v>
      </c>
      <c r="DA94" s="159">
        <f t="shared" si="61"/>
        <v>142.68356699259402</v>
      </c>
      <c r="DB94" s="159">
        <f t="shared" si="62"/>
        <v>142.60413582342471</v>
      </c>
      <c r="DC94" s="159">
        <f t="shared" si="62"/>
        <v>146.82750682140613</v>
      </c>
    </row>
    <row r="95" spans="1:107" x14ac:dyDescent="0.2">
      <c r="A95" s="99">
        <v>19</v>
      </c>
      <c r="B95" s="30">
        <v>241</v>
      </c>
      <c r="C95" s="47" t="s">
        <v>409</v>
      </c>
      <c r="D95" s="64">
        <v>29971.624190000002</v>
      </c>
      <c r="E95" s="64">
        <v>3623.4394500000003</v>
      </c>
      <c r="F95" s="64">
        <v>1060.1888899999999</v>
      </c>
      <c r="G95" s="205">
        <v>34655</v>
      </c>
      <c r="H95" s="205"/>
      <c r="I95" s="64">
        <v>30641</v>
      </c>
      <c r="J95" s="64">
        <v>3853</v>
      </c>
      <c r="K95" s="64">
        <v>741</v>
      </c>
      <c r="L95" s="205">
        <v>35235</v>
      </c>
      <c r="M95" s="205"/>
      <c r="N95" s="64">
        <v>30084</v>
      </c>
      <c r="O95" s="64">
        <v>3812</v>
      </c>
      <c r="P95" s="64">
        <v>925</v>
      </c>
      <c r="Q95" s="205">
        <v>34821</v>
      </c>
      <c r="R95" s="205"/>
      <c r="S95" s="64">
        <v>30057</v>
      </c>
      <c r="T95" s="64">
        <v>3765</v>
      </c>
      <c r="U95" s="64">
        <v>1033</v>
      </c>
      <c r="V95" s="205">
        <v>34855</v>
      </c>
      <c r="W95" s="205"/>
      <c r="X95" s="64">
        <v>30785</v>
      </c>
      <c r="Y95" s="64">
        <v>3983</v>
      </c>
      <c r="Z95" s="64">
        <v>1094</v>
      </c>
      <c r="AA95" s="205">
        <f t="shared" si="59"/>
        <v>35862</v>
      </c>
      <c r="AB95" s="205"/>
      <c r="AC95" s="64">
        <v>31240</v>
      </c>
      <c r="AD95" s="64">
        <v>3581</v>
      </c>
      <c r="AE95" s="64">
        <v>1399</v>
      </c>
      <c r="AF95" s="205">
        <f t="shared" si="36"/>
        <v>36220</v>
      </c>
      <c r="AG95" s="205"/>
      <c r="AH95" s="278">
        <v>32705.921260000003</v>
      </c>
      <c r="AI95" s="64">
        <v>3862.1442000000002</v>
      </c>
      <c r="AJ95" s="64">
        <v>2154.4032099999999</v>
      </c>
      <c r="AK95" s="205">
        <f t="shared" si="37"/>
        <v>38722.468670000002</v>
      </c>
      <c r="AL95" s="205"/>
      <c r="AM95" s="64">
        <v>65788.291880000004</v>
      </c>
      <c r="AN95" s="64">
        <v>8155.7156199999999</v>
      </c>
      <c r="AO95" s="64">
        <v>4309.3833399999994</v>
      </c>
      <c r="AP95" s="205">
        <f t="shared" si="38"/>
        <v>78253.390840000007</v>
      </c>
      <c r="AQ95" s="205"/>
      <c r="AR95" s="64">
        <v>16395.94227</v>
      </c>
      <c r="AS95" s="64">
        <v>4246.0450000000001</v>
      </c>
      <c r="AT95" s="64">
        <v>1409.9779099999998</v>
      </c>
      <c r="AU95" s="205">
        <f t="shared" si="39"/>
        <v>22051.965179999999</v>
      </c>
      <c r="AV95" s="205"/>
      <c r="AW95" s="64">
        <v>15258.775360105534</v>
      </c>
      <c r="AX95" s="64">
        <v>4043.8306721050699</v>
      </c>
      <c r="AY95" s="64">
        <v>1470.829377381747</v>
      </c>
      <c r="AZ95" s="205">
        <f t="shared" si="40"/>
        <v>20773.435409592348</v>
      </c>
      <c r="BA95" s="205"/>
      <c r="BB95" s="64">
        <v>16010.356520377311</v>
      </c>
      <c r="BC95" s="64">
        <v>4075.0947681003195</v>
      </c>
      <c r="BD95" s="64">
        <v>1488.4793299103278</v>
      </c>
      <c r="BE95" s="205">
        <f t="shared" si="35"/>
        <v>21573.93061838796</v>
      </c>
      <c r="BF95" s="205"/>
      <c r="BG95" s="64">
        <v>16549.406642124621</v>
      </c>
      <c r="BH95" s="64">
        <v>4138.6572159104198</v>
      </c>
      <c r="BI95" s="64">
        <v>1560.7600878845167</v>
      </c>
      <c r="BJ95" s="205">
        <f t="shared" si="41"/>
        <v>22248.823945919557</v>
      </c>
      <c r="BK95" s="205"/>
      <c r="BL95" s="64">
        <v>16959.705561992112</v>
      </c>
      <c r="BM95" s="64">
        <v>4212.0887696887066</v>
      </c>
      <c r="BN95" s="64">
        <v>1654.0526941070161</v>
      </c>
      <c r="BO95" s="205">
        <f t="shared" si="42"/>
        <v>22825.847025787836</v>
      </c>
      <c r="BQ95" s="64">
        <v>17398.609321550026</v>
      </c>
      <c r="BR95" s="64">
        <v>4285.2426493684634</v>
      </c>
      <c r="BS95" s="64">
        <v>1712.0453952723535</v>
      </c>
      <c r="BT95" s="205">
        <f t="shared" si="43"/>
        <v>23395.897366190846</v>
      </c>
      <c r="BU95" s="205"/>
      <c r="BV95" s="5">
        <f t="shared" si="44"/>
        <v>35862</v>
      </c>
      <c r="BW95" s="5">
        <f t="shared" si="45"/>
        <v>36220</v>
      </c>
      <c r="BX95" s="5">
        <f t="shared" si="46"/>
        <v>38722.468670000002</v>
      </c>
      <c r="BY95" s="5">
        <f t="shared" si="47"/>
        <v>78253.390840000007</v>
      </c>
      <c r="BZ95" s="5">
        <f t="shared" si="48"/>
        <v>22051.965179999999</v>
      </c>
      <c r="CA95" s="5">
        <f t="shared" si="49"/>
        <v>20773.435409592348</v>
      </c>
      <c r="CB95" s="5">
        <f t="shared" si="50"/>
        <v>21573.93061838796</v>
      </c>
      <c r="CC95" s="5">
        <f t="shared" si="51"/>
        <v>22248.823945919557</v>
      </c>
      <c r="CD95" s="5">
        <f t="shared" si="52"/>
        <v>22825.847025787836</v>
      </c>
      <c r="CE95" s="5">
        <f t="shared" si="60"/>
        <v>23395.897366190846</v>
      </c>
      <c r="CH95" s="41">
        <f>BV95/'1. Väestöennuste'!I95*1000</f>
        <v>4438.9157073895276</v>
      </c>
      <c r="CI95" s="41">
        <f>BW95/'1. Väestöennuste'!J95*1000</f>
        <v>4536.5731462925851</v>
      </c>
      <c r="CJ95" s="41">
        <f>BX95/'1. Väestöennuste'!K95*1000</f>
        <v>4899.097756831984</v>
      </c>
      <c r="CK95" s="41">
        <f>BY95/'1. Väestöennuste'!L95*1000</f>
        <v>10069.925471625273</v>
      </c>
      <c r="CL95" s="41">
        <f>BZ95/'1. Väestöennuste'!M95*1000</f>
        <v>2867.2429046937978</v>
      </c>
      <c r="CM95" s="41">
        <f>CA95/'1. Väestöennuste'!N95*1000</f>
        <v>2693.65085705295</v>
      </c>
      <c r="CN95" s="41">
        <f>CB95/'1. Väestöennuste'!O95*1000</f>
        <v>2821.9660717315842</v>
      </c>
      <c r="CO95" s="41">
        <f>CC95/'1. Väestöennuste'!P95*1000</f>
        <v>2935.9757120506147</v>
      </c>
      <c r="CP95" s="41">
        <f>CD95/'1. Väestöennuste'!Q95*1000</f>
        <v>3041.0134593375747</v>
      </c>
      <c r="CQ95" s="41">
        <f>CE95/'1. Väestöennuste'!R95*1000</f>
        <v>3145.4554135776884</v>
      </c>
      <c r="CR95" s="41"/>
      <c r="CU95" s="159">
        <f t="shared" si="53"/>
        <v>97.657438903057482</v>
      </c>
      <c r="CV95" s="159">
        <f t="shared" si="54"/>
        <v>362.52461053939896</v>
      </c>
      <c r="CW95" s="159">
        <f t="shared" si="55"/>
        <v>5170.8277147932886</v>
      </c>
      <c r="CX95" s="159">
        <f t="shared" si="56"/>
        <v>-7202.6825669314749</v>
      </c>
      <c r="CY95" s="159">
        <f t="shared" si="57"/>
        <v>-173.5920476408478</v>
      </c>
      <c r="CZ95" s="159">
        <f t="shared" si="58"/>
        <v>128.31521467863422</v>
      </c>
      <c r="DA95" s="159">
        <f t="shared" si="61"/>
        <v>114.0096403190305</v>
      </c>
      <c r="DB95" s="159">
        <f t="shared" si="62"/>
        <v>105.03774728695998</v>
      </c>
      <c r="DC95" s="159">
        <f t="shared" si="62"/>
        <v>104.44195424011377</v>
      </c>
    </row>
    <row r="96" spans="1:107" x14ac:dyDescent="0.2">
      <c r="A96" s="99">
        <v>17</v>
      </c>
      <c r="B96" s="30">
        <v>244</v>
      </c>
      <c r="C96" s="47" t="s">
        <v>410</v>
      </c>
      <c r="D96" s="64">
        <v>58405.347659999999</v>
      </c>
      <c r="E96" s="64">
        <v>2989.5424500000004</v>
      </c>
      <c r="F96" s="64">
        <v>2228.1050599999999</v>
      </c>
      <c r="G96" s="205">
        <v>63605</v>
      </c>
      <c r="H96" s="205"/>
      <c r="I96" s="64">
        <v>59921</v>
      </c>
      <c r="J96" s="64">
        <v>3133</v>
      </c>
      <c r="K96" s="64">
        <v>2599</v>
      </c>
      <c r="L96" s="205">
        <v>65653</v>
      </c>
      <c r="M96" s="205"/>
      <c r="N96" s="64">
        <v>60190</v>
      </c>
      <c r="O96" s="64">
        <v>3609</v>
      </c>
      <c r="P96" s="64">
        <v>3445</v>
      </c>
      <c r="Q96" s="205">
        <v>67244</v>
      </c>
      <c r="R96" s="205"/>
      <c r="S96" s="64">
        <v>61290</v>
      </c>
      <c r="T96" s="64">
        <v>3688</v>
      </c>
      <c r="U96" s="64">
        <v>3686</v>
      </c>
      <c r="V96" s="205">
        <v>68664</v>
      </c>
      <c r="W96" s="205"/>
      <c r="X96" s="64">
        <v>63456</v>
      </c>
      <c r="Y96" s="64">
        <v>3839</v>
      </c>
      <c r="Z96" s="64">
        <v>3972</v>
      </c>
      <c r="AA96" s="205">
        <f t="shared" si="59"/>
        <v>71267</v>
      </c>
      <c r="AB96" s="205"/>
      <c r="AC96" s="64">
        <v>67226</v>
      </c>
      <c r="AD96" s="64">
        <v>3599</v>
      </c>
      <c r="AE96" s="64">
        <v>3917</v>
      </c>
      <c r="AF96" s="205">
        <f t="shared" si="36"/>
        <v>74742</v>
      </c>
      <c r="AG96" s="205"/>
      <c r="AH96" s="278">
        <v>71454.391860000003</v>
      </c>
      <c r="AI96" s="64">
        <v>4046.67382</v>
      </c>
      <c r="AJ96" s="64">
        <v>5353.3045700000002</v>
      </c>
      <c r="AK96" s="205">
        <f t="shared" si="37"/>
        <v>80854.370250000007</v>
      </c>
      <c r="AL96" s="205"/>
      <c r="AM96" s="64">
        <v>75764.726490000001</v>
      </c>
      <c r="AN96" s="64">
        <v>4705.5486700000001</v>
      </c>
      <c r="AO96" s="64">
        <v>5966.5533299999997</v>
      </c>
      <c r="AP96" s="205">
        <f t="shared" si="38"/>
        <v>86436.82849</v>
      </c>
      <c r="AQ96" s="205"/>
      <c r="AR96" s="64">
        <v>37152.381939999999</v>
      </c>
      <c r="AS96" s="64">
        <v>5161.83187</v>
      </c>
      <c r="AT96" s="64">
        <v>4361.0378099999998</v>
      </c>
      <c r="AU96" s="205">
        <f t="shared" si="39"/>
        <v>46675.251620000003</v>
      </c>
      <c r="AV96" s="205"/>
      <c r="AW96" s="64">
        <v>35686.997648985402</v>
      </c>
      <c r="AX96" s="64">
        <v>5597.3067609188292</v>
      </c>
      <c r="AY96" s="64">
        <v>3891.4703636166528</v>
      </c>
      <c r="AZ96" s="205">
        <f t="shared" si="40"/>
        <v>45175.774773520883</v>
      </c>
      <c r="BA96" s="205"/>
      <c r="BB96" s="64">
        <v>38764.212790209167</v>
      </c>
      <c r="BC96" s="64">
        <v>5762.6003095205297</v>
      </c>
      <c r="BD96" s="64">
        <v>3938.1680079800522</v>
      </c>
      <c r="BE96" s="205">
        <f t="shared" si="35"/>
        <v>48464.981107709747</v>
      </c>
      <c r="BF96" s="205"/>
      <c r="BG96" s="64">
        <v>41251.931622904551</v>
      </c>
      <c r="BH96" s="64">
        <v>5979.8961299752682</v>
      </c>
      <c r="BI96" s="64">
        <v>4129.4059801349285</v>
      </c>
      <c r="BJ96" s="205">
        <f t="shared" si="41"/>
        <v>51361.233733014749</v>
      </c>
      <c r="BK96" s="205"/>
      <c r="BL96" s="64">
        <v>43382.004857716187</v>
      </c>
      <c r="BM96" s="64">
        <v>6218.7600286500592</v>
      </c>
      <c r="BN96" s="64">
        <v>4376.2363860557562</v>
      </c>
      <c r="BO96" s="205">
        <f t="shared" si="42"/>
        <v>53977.001272422</v>
      </c>
      <c r="BQ96" s="64">
        <v>45700.750586636219</v>
      </c>
      <c r="BR96" s="64">
        <v>6464.6021856802636</v>
      </c>
      <c r="BS96" s="64">
        <v>4529.6715032497841</v>
      </c>
      <c r="BT96" s="205">
        <f t="shared" si="43"/>
        <v>56695.024275566262</v>
      </c>
      <c r="BU96" s="205"/>
      <c r="BV96" s="5">
        <f t="shared" si="44"/>
        <v>71267</v>
      </c>
      <c r="BW96" s="5">
        <f t="shared" si="45"/>
        <v>74742</v>
      </c>
      <c r="BX96" s="5">
        <f t="shared" si="46"/>
        <v>80854.370250000007</v>
      </c>
      <c r="BY96" s="5">
        <f t="shared" si="47"/>
        <v>86436.82849</v>
      </c>
      <c r="BZ96" s="5">
        <f t="shared" si="48"/>
        <v>46675.251620000003</v>
      </c>
      <c r="CA96" s="5">
        <f t="shared" si="49"/>
        <v>45175.774773520883</v>
      </c>
      <c r="CB96" s="5">
        <f t="shared" si="50"/>
        <v>48464.981107709747</v>
      </c>
      <c r="CC96" s="5">
        <f t="shared" si="51"/>
        <v>51361.233733014749</v>
      </c>
      <c r="CD96" s="5">
        <f t="shared" si="52"/>
        <v>53977.001272422</v>
      </c>
      <c r="CE96" s="5">
        <f t="shared" si="60"/>
        <v>56695.024275566262</v>
      </c>
      <c r="CH96" s="41">
        <f>BV96/'1. Väestöennuste'!I96*1000</f>
        <v>3882.7022609643145</v>
      </c>
      <c r="CI96" s="41">
        <f>BW96/'1. Väestöennuste'!J96*1000</f>
        <v>3976.4843583741222</v>
      </c>
      <c r="CJ96" s="41">
        <f>BX96/'1. Väestöennuste'!K96*1000</f>
        <v>4229.669923101068</v>
      </c>
      <c r="CK96" s="41">
        <f>BY96/'1. Väestöennuste'!L96*1000</f>
        <v>4478.5921497409327</v>
      </c>
      <c r="CL96" s="41">
        <f>BZ96/'1. Väestöennuste'!M96*1000</f>
        <v>2391.8853961258587</v>
      </c>
      <c r="CM96" s="41">
        <f>CA96/'1. Väestöennuste'!N96*1000</f>
        <v>2241.1953551382094</v>
      </c>
      <c r="CN96" s="41">
        <f>CB96/'1. Väestöennuste'!O96*1000</f>
        <v>2370.7372258332803</v>
      </c>
      <c r="CO96" s="41">
        <f>CC96/'1. Väestöennuste'!P96*1000</f>
        <v>2480.0209431682642</v>
      </c>
      <c r="CP96" s="41">
        <f>CD96/'1. Väestöennuste'!Q96*1000</f>
        <v>2574.5016346666985</v>
      </c>
      <c r="CQ96" s="41">
        <f>CE96/'1. Väestöennuste'!R96*1000</f>
        <v>2673.9152136757184</v>
      </c>
      <c r="CR96" s="41"/>
      <c r="CU96" s="159">
        <f t="shared" si="53"/>
        <v>93.782097409807648</v>
      </c>
      <c r="CV96" s="159">
        <f t="shared" si="54"/>
        <v>253.18556472694581</v>
      </c>
      <c r="CW96" s="159">
        <f t="shared" si="55"/>
        <v>248.92222663986468</v>
      </c>
      <c r="CX96" s="159">
        <f t="shared" si="56"/>
        <v>-2086.7067536150739</v>
      </c>
      <c r="CY96" s="159">
        <f t="shared" si="57"/>
        <v>-150.69004098764935</v>
      </c>
      <c r="CZ96" s="159">
        <f t="shared" si="58"/>
        <v>129.54187069507088</v>
      </c>
      <c r="DA96" s="159">
        <f t="shared" si="61"/>
        <v>109.28371733498398</v>
      </c>
      <c r="DB96" s="159">
        <f t="shared" si="62"/>
        <v>94.480691498434226</v>
      </c>
      <c r="DC96" s="159">
        <f t="shared" si="62"/>
        <v>99.413579009019941</v>
      </c>
    </row>
    <row r="97" spans="1:107" x14ac:dyDescent="0.2">
      <c r="A97" s="99">
        <v>1</v>
      </c>
      <c r="B97" s="30">
        <v>245</v>
      </c>
      <c r="C97" s="47" t="s">
        <v>411</v>
      </c>
      <c r="D97" s="64">
        <v>132253.37904999999</v>
      </c>
      <c r="E97" s="64">
        <v>9712.5306300000011</v>
      </c>
      <c r="F97" s="64">
        <v>10198.21969</v>
      </c>
      <c r="G97" s="205">
        <v>152164</v>
      </c>
      <c r="H97" s="205"/>
      <c r="I97" s="64">
        <v>135018</v>
      </c>
      <c r="J97" s="64">
        <v>9512</v>
      </c>
      <c r="K97" s="64">
        <v>10037</v>
      </c>
      <c r="L97" s="205">
        <v>154567</v>
      </c>
      <c r="M97" s="205"/>
      <c r="N97" s="64">
        <v>135457</v>
      </c>
      <c r="O97" s="64">
        <v>9734</v>
      </c>
      <c r="P97" s="64">
        <v>11635</v>
      </c>
      <c r="Q97" s="205">
        <v>156826</v>
      </c>
      <c r="R97" s="205"/>
      <c r="S97" s="64">
        <v>132745</v>
      </c>
      <c r="T97" s="64">
        <v>10224</v>
      </c>
      <c r="U97" s="64">
        <v>9562</v>
      </c>
      <c r="V97" s="205">
        <v>152531</v>
      </c>
      <c r="W97" s="205"/>
      <c r="X97" s="64">
        <v>138903</v>
      </c>
      <c r="Y97" s="64">
        <v>10562</v>
      </c>
      <c r="Z97" s="64">
        <v>7956</v>
      </c>
      <c r="AA97" s="205">
        <f t="shared" si="59"/>
        <v>157421</v>
      </c>
      <c r="AB97" s="205"/>
      <c r="AC97" s="64">
        <v>145530</v>
      </c>
      <c r="AD97" s="64">
        <v>9917</v>
      </c>
      <c r="AE97" s="64">
        <v>7538</v>
      </c>
      <c r="AF97" s="205">
        <f t="shared" si="36"/>
        <v>162985</v>
      </c>
      <c r="AG97" s="205"/>
      <c r="AH97" s="278">
        <v>146768.08018000002</v>
      </c>
      <c r="AI97" s="64">
        <v>11136.644679999999</v>
      </c>
      <c r="AJ97" s="64">
        <v>11011.045749999999</v>
      </c>
      <c r="AK97" s="205">
        <f t="shared" si="37"/>
        <v>168915.77061000001</v>
      </c>
      <c r="AL97" s="205"/>
      <c r="AM97" s="64">
        <v>152216.97297999999</v>
      </c>
      <c r="AN97" s="64">
        <v>14001.220039999998</v>
      </c>
      <c r="AO97" s="64">
        <v>12704.075359999999</v>
      </c>
      <c r="AP97" s="205">
        <f t="shared" si="38"/>
        <v>178922.26837999996</v>
      </c>
      <c r="AQ97" s="205"/>
      <c r="AR97" s="64">
        <v>68898.441849999988</v>
      </c>
      <c r="AS97" s="64">
        <v>14520.21983</v>
      </c>
      <c r="AT97" s="64">
        <v>8342.4113099999995</v>
      </c>
      <c r="AU97" s="205">
        <f t="shared" si="39"/>
        <v>91761.072989999986</v>
      </c>
      <c r="AV97" s="205"/>
      <c r="AW97" s="64">
        <v>66727.710727243495</v>
      </c>
      <c r="AX97" s="64">
        <v>15664.885241480975</v>
      </c>
      <c r="AY97" s="64">
        <v>5781.9505829742347</v>
      </c>
      <c r="AZ97" s="205">
        <f t="shared" si="40"/>
        <v>88174.546551698717</v>
      </c>
      <c r="BA97" s="205"/>
      <c r="BB97" s="64">
        <v>71121.074911617441</v>
      </c>
      <c r="BC97" s="64">
        <v>16130.539480339286</v>
      </c>
      <c r="BD97" s="64">
        <v>5851.3339899699249</v>
      </c>
      <c r="BE97" s="205">
        <f t="shared" si="35"/>
        <v>93102.948381926646</v>
      </c>
      <c r="BF97" s="205"/>
      <c r="BG97" s="64">
        <v>74939.929005828904</v>
      </c>
      <c r="BH97" s="64">
        <v>16742.915466230086</v>
      </c>
      <c r="BI97" s="64">
        <v>6135.4755614760879</v>
      </c>
      <c r="BJ97" s="205">
        <f t="shared" si="41"/>
        <v>97818.320033535085</v>
      </c>
      <c r="BK97" s="205"/>
      <c r="BL97" s="64">
        <v>78407.937493766309</v>
      </c>
      <c r="BM97" s="64">
        <v>17418.526910901979</v>
      </c>
      <c r="BN97" s="64">
        <v>6502.2164270247395</v>
      </c>
      <c r="BO97" s="205">
        <f t="shared" si="42"/>
        <v>102328.68083169303</v>
      </c>
      <c r="BQ97" s="64">
        <v>82186.161270192315</v>
      </c>
      <c r="BR97" s="64">
        <v>18118.054814780669</v>
      </c>
      <c r="BS97" s="64">
        <v>6730.1904785820097</v>
      </c>
      <c r="BT97" s="205">
        <f t="shared" si="43"/>
        <v>107034.40656355499</v>
      </c>
      <c r="BU97" s="205"/>
      <c r="BV97" s="5">
        <f t="shared" si="44"/>
        <v>157421</v>
      </c>
      <c r="BW97" s="5">
        <f t="shared" si="45"/>
        <v>162985</v>
      </c>
      <c r="BX97" s="5">
        <f t="shared" si="46"/>
        <v>168915.77061000001</v>
      </c>
      <c r="BY97" s="5">
        <f t="shared" si="47"/>
        <v>178922.26837999996</v>
      </c>
      <c r="BZ97" s="5">
        <f t="shared" si="48"/>
        <v>91761.072989999986</v>
      </c>
      <c r="CA97" s="5">
        <f t="shared" si="49"/>
        <v>88174.546551698717</v>
      </c>
      <c r="CB97" s="5">
        <f t="shared" si="50"/>
        <v>93102.948381926646</v>
      </c>
      <c r="CC97" s="5">
        <f t="shared" si="51"/>
        <v>97818.320033535085</v>
      </c>
      <c r="CD97" s="5">
        <f t="shared" si="52"/>
        <v>102328.68083169303</v>
      </c>
      <c r="CE97" s="5">
        <f t="shared" si="60"/>
        <v>107034.40656355499</v>
      </c>
      <c r="CH97" s="41">
        <f>BV97/'1. Väestöennuste'!I97*1000</f>
        <v>4282.865382522582</v>
      </c>
      <c r="CI97" s="41">
        <f>BW97/'1. Väestöennuste'!J97*1000</f>
        <v>4392.5346988276515</v>
      </c>
      <c r="CJ97" s="41">
        <f>BX97/'1. Väestöennuste'!K97*1000</f>
        <v>4536.8438603889135</v>
      </c>
      <c r="CK97" s="41">
        <f>BY97/'1. Väestöennuste'!L97*1000</f>
        <v>4748.9719816328679</v>
      </c>
      <c r="CL97" s="41">
        <f>BZ97/'1. Väestöennuste'!M97*1000</f>
        <v>2401.4308180890316</v>
      </c>
      <c r="CM97" s="41">
        <f>CA97/'1. Väestöennuste'!N97*1000</f>
        <v>2284.373858175049</v>
      </c>
      <c r="CN97" s="41">
        <f>CB97/'1. Väestöennuste'!O97*1000</f>
        <v>2392.469443194826</v>
      </c>
      <c r="CO97" s="41">
        <f>CC97/'1. Väestöennuste'!P97*1000</f>
        <v>2494.2200018750341</v>
      </c>
      <c r="CP97" s="41">
        <f>CD97/'1. Väestöennuste'!Q97*1000</f>
        <v>2590.6651011846639</v>
      </c>
      <c r="CQ97" s="41">
        <f>CE97/'1. Väestöennuste'!R97*1000</f>
        <v>2691.5383751239719</v>
      </c>
      <c r="CR97" s="41"/>
      <c r="CU97" s="159">
        <f t="shared" si="53"/>
        <v>109.66931630506951</v>
      </c>
      <c r="CV97" s="159">
        <f t="shared" si="54"/>
        <v>144.30916156126204</v>
      </c>
      <c r="CW97" s="159">
        <f t="shared" si="55"/>
        <v>212.12812124395441</v>
      </c>
      <c r="CX97" s="159">
        <f t="shared" si="56"/>
        <v>-2347.5411635438363</v>
      </c>
      <c r="CY97" s="159">
        <f t="shared" si="57"/>
        <v>-117.05695991398261</v>
      </c>
      <c r="CZ97" s="159">
        <f t="shared" si="58"/>
        <v>108.09558501977699</v>
      </c>
      <c r="DA97" s="159">
        <f t="shared" si="61"/>
        <v>101.75055868020809</v>
      </c>
      <c r="DB97" s="159">
        <f t="shared" si="62"/>
        <v>96.445099309629768</v>
      </c>
      <c r="DC97" s="159">
        <f t="shared" si="62"/>
        <v>100.87327393930809</v>
      </c>
    </row>
    <row r="98" spans="1:107" x14ac:dyDescent="0.2">
      <c r="A98" s="99">
        <v>13</v>
      </c>
      <c r="B98" s="30">
        <v>249</v>
      </c>
      <c r="C98" s="47" t="s">
        <v>412</v>
      </c>
      <c r="D98" s="64">
        <v>29390.517660000001</v>
      </c>
      <c r="E98" s="64">
        <v>2447.52009</v>
      </c>
      <c r="F98" s="64">
        <v>2540.7601299999997</v>
      </c>
      <c r="G98" s="205">
        <v>34378</v>
      </c>
      <c r="H98" s="205"/>
      <c r="I98" s="64">
        <v>28935</v>
      </c>
      <c r="J98" s="64">
        <v>2420</v>
      </c>
      <c r="K98" s="64">
        <v>2272</v>
      </c>
      <c r="L98" s="205">
        <v>33627</v>
      </c>
      <c r="M98" s="205"/>
      <c r="N98" s="64">
        <v>28769</v>
      </c>
      <c r="O98" s="64">
        <v>2449</v>
      </c>
      <c r="P98" s="64">
        <v>2595</v>
      </c>
      <c r="Q98" s="205">
        <v>33813</v>
      </c>
      <c r="R98" s="205"/>
      <c r="S98" s="64">
        <v>29644</v>
      </c>
      <c r="T98" s="64">
        <v>2156</v>
      </c>
      <c r="U98" s="64">
        <v>2473</v>
      </c>
      <c r="V98" s="205">
        <v>34273</v>
      </c>
      <c r="W98" s="205"/>
      <c r="X98" s="64">
        <v>28636</v>
      </c>
      <c r="Y98" s="64">
        <v>2411</v>
      </c>
      <c r="Z98" s="64">
        <v>2666</v>
      </c>
      <c r="AA98" s="205">
        <f t="shared" si="59"/>
        <v>33713</v>
      </c>
      <c r="AB98" s="205"/>
      <c r="AC98" s="64">
        <v>30187</v>
      </c>
      <c r="AD98" s="64">
        <v>2188</v>
      </c>
      <c r="AE98" s="64">
        <v>3056</v>
      </c>
      <c r="AF98" s="205">
        <f t="shared" si="36"/>
        <v>35431</v>
      </c>
      <c r="AG98" s="205"/>
      <c r="AH98" s="278">
        <v>30837.44918</v>
      </c>
      <c r="AI98" s="64">
        <v>2430.1877500000001</v>
      </c>
      <c r="AJ98" s="64">
        <v>4419.9168399999999</v>
      </c>
      <c r="AK98" s="205">
        <f t="shared" si="37"/>
        <v>37687.553769999999</v>
      </c>
      <c r="AL98" s="205"/>
      <c r="AM98" s="64">
        <v>32379.586319999999</v>
      </c>
      <c r="AN98" s="64">
        <v>2667.7348900000002</v>
      </c>
      <c r="AO98" s="64">
        <v>4306.71198</v>
      </c>
      <c r="AP98" s="205">
        <f t="shared" si="38"/>
        <v>39354.033190000002</v>
      </c>
      <c r="AQ98" s="205"/>
      <c r="AR98" s="64">
        <v>15873.633159999999</v>
      </c>
      <c r="AS98" s="64">
        <v>3035.2770399999999</v>
      </c>
      <c r="AT98" s="64">
        <v>2898.9212799999996</v>
      </c>
      <c r="AU98" s="205">
        <f t="shared" si="39"/>
        <v>21807.831479999997</v>
      </c>
      <c r="AV98" s="205"/>
      <c r="AW98" s="64">
        <v>15500.364711509259</v>
      </c>
      <c r="AX98" s="64">
        <v>3241.1509076608177</v>
      </c>
      <c r="AY98" s="64">
        <v>2543.8379072249863</v>
      </c>
      <c r="AZ98" s="205">
        <f t="shared" si="40"/>
        <v>21285.353526395062</v>
      </c>
      <c r="BA98" s="205"/>
      <c r="BB98" s="64">
        <v>16112.128995109686</v>
      </c>
      <c r="BC98" s="64">
        <v>3241.3470403025767</v>
      </c>
      <c r="BD98" s="64">
        <v>2574.3639621116859</v>
      </c>
      <c r="BE98" s="205">
        <f t="shared" si="35"/>
        <v>21927.839997523948</v>
      </c>
      <c r="BF98" s="205"/>
      <c r="BG98" s="64">
        <v>16613.43551106564</v>
      </c>
      <c r="BH98" s="64">
        <v>3270.4709127777305</v>
      </c>
      <c r="BI98" s="64">
        <v>2699.3754249810286</v>
      </c>
      <c r="BJ98" s="205">
        <f t="shared" si="41"/>
        <v>22583.281848824401</v>
      </c>
      <c r="BK98" s="205"/>
      <c r="BL98" s="64">
        <v>17002.522688000681</v>
      </c>
      <c r="BM98" s="64">
        <v>3310.3161588218468</v>
      </c>
      <c r="BN98" s="64">
        <v>2860.7274293821561</v>
      </c>
      <c r="BO98" s="205">
        <f t="shared" si="42"/>
        <v>23173.566276204685</v>
      </c>
      <c r="BQ98" s="64">
        <v>17494.858298898595</v>
      </c>
      <c r="BR98" s="64">
        <v>3352.7613256142236</v>
      </c>
      <c r="BS98" s="64">
        <v>2961.0273240098841</v>
      </c>
      <c r="BT98" s="205">
        <f t="shared" si="43"/>
        <v>23808.646948522703</v>
      </c>
      <c r="BU98" s="205"/>
      <c r="BV98" s="5">
        <f t="shared" si="44"/>
        <v>33713</v>
      </c>
      <c r="BW98" s="5">
        <f t="shared" si="45"/>
        <v>35431</v>
      </c>
      <c r="BX98" s="5">
        <f t="shared" si="46"/>
        <v>37687.553769999999</v>
      </c>
      <c r="BY98" s="5">
        <f t="shared" si="47"/>
        <v>39354.033190000002</v>
      </c>
      <c r="BZ98" s="5">
        <f t="shared" si="48"/>
        <v>21807.831479999997</v>
      </c>
      <c r="CA98" s="5">
        <f t="shared" si="49"/>
        <v>21285.353526395062</v>
      </c>
      <c r="CB98" s="5">
        <f t="shared" si="50"/>
        <v>21927.839997523948</v>
      </c>
      <c r="CC98" s="5">
        <f t="shared" si="51"/>
        <v>22583.281848824401</v>
      </c>
      <c r="CD98" s="5">
        <f t="shared" si="52"/>
        <v>23173.566276204685</v>
      </c>
      <c r="CE98" s="5">
        <f t="shared" si="60"/>
        <v>23808.646948522703</v>
      </c>
      <c r="CH98" s="41">
        <f>BV98/'1. Väestöennuste'!I98*1000</f>
        <v>3509.9427381572095</v>
      </c>
      <c r="CI98" s="41">
        <f>BW98/'1. Väestöennuste'!J98*1000</f>
        <v>3735.0832806240778</v>
      </c>
      <c r="CJ98" s="41">
        <f>BX98/'1. Väestöennuste'!K98*1000</f>
        <v>3991.0572667584452</v>
      </c>
      <c r="CK98" s="41">
        <f>BY98/'1. Väestöennuste'!L98*1000</f>
        <v>4254.4900745945952</v>
      </c>
      <c r="CL98" s="41">
        <f>BZ98/'1. Väestöennuste'!M98*1000</f>
        <v>2374.5461106271773</v>
      </c>
      <c r="CM98" s="41">
        <f>CA98/'1. Väestöennuste'!N98*1000</f>
        <v>2368.9875933661729</v>
      </c>
      <c r="CN98" s="41">
        <f>CB98/'1. Väestöennuste'!O98*1000</f>
        <v>2469.3513510725165</v>
      </c>
      <c r="CO98" s="41">
        <f>CC98/'1. Väestöennuste'!P98*1000</f>
        <v>2573.3001195105289</v>
      </c>
      <c r="CP98" s="41">
        <f>CD98/'1. Väestöennuste'!Q98*1000</f>
        <v>2670.073312156318</v>
      </c>
      <c r="CQ98" s="41">
        <f>CE98/'1. Väestöennuste'!R98*1000</f>
        <v>2773.930670921904</v>
      </c>
      <c r="CR98" s="41"/>
      <c r="CU98" s="159">
        <f t="shared" si="53"/>
        <v>225.14054246686828</v>
      </c>
      <c r="CV98" s="159">
        <f t="shared" si="54"/>
        <v>255.97398613436735</v>
      </c>
      <c r="CW98" s="159">
        <f t="shared" si="55"/>
        <v>263.43280783615</v>
      </c>
      <c r="CX98" s="159">
        <f t="shared" si="56"/>
        <v>-1879.9439639674179</v>
      </c>
      <c r="CY98" s="159">
        <f t="shared" si="57"/>
        <v>-5.5585172610044538</v>
      </c>
      <c r="CZ98" s="159">
        <f t="shared" si="58"/>
        <v>100.36375770634368</v>
      </c>
      <c r="DA98" s="159">
        <f t="shared" si="61"/>
        <v>103.94876843801239</v>
      </c>
      <c r="DB98" s="159">
        <f t="shared" si="62"/>
        <v>96.773192645789095</v>
      </c>
      <c r="DC98" s="159">
        <f t="shared" si="62"/>
        <v>103.85735876558601</v>
      </c>
    </row>
    <row r="99" spans="1:107" x14ac:dyDescent="0.2">
      <c r="A99" s="99">
        <v>6</v>
      </c>
      <c r="B99" s="30">
        <v>250</v>
      </c>
      <c r="C99" s="47" t="s">
        <v>413</v>
      </c>
      <c r="D99" s="64">
        <v>5115.4999800000005</v>
      </c>
      <c r="E99" s="64">
        <v>508.14734000000004</v>
      </c>
      <c r="F99" s="64">
        <v>572.04498999999998</v>
      </c>
      <c r="G99" s="205">
        <v>6196</v>
      </c>
      <c r="H99" s="205"/>
      <c r="I99" s="64">
        <v>5027</v>
      </c>
      <c r="J99" s="64">
        <v>499</v>
      </c>
      <c r="K99" s="64">
        <v>577</v>
      </c>
      <c r="L99" s="205">
        <v>6103</v>
      </c>
      <c r="M99" s="205"/>
      <c r="N99" s="64">
        <v>4685</v>
      </c>
      <c r="O99" s="64">
        <v>492</v>
      </c>
      <c r="P99" s="64">
        <v>706</v>
      </c>
      <c r="Q99" s="205">
        <v>5883</v>
      </c>
      <c r="R99" s="205"/>
      <c r="S99" s="64">
        <v>4554</v>
      </c>
      <c r="T99" s="64">
        <v>560</v>
      </c>
      <c r="U99" s="64">
        <v>664</v>
      </c>
      <c r="V99" s="205">
        <v>5778</v>
      </c>
      <c r="W99" s="205"/>
      <c r="X99" s="64">
        <v>4493</v>
      </c>
      <c r="Y99" s="64">
        <v>542</v>
      </c>
      <c r="Z99" s="64">
        <v>682</v>
      </c>
      <c r="AA99" s="205">
        <f t="shared" si="59"/>
        <v>5717</v>
      </c>
      <c r="AB99" s="205"/>
      <c r="AC99" s="64">
        <v>4586</v>
      </c>
      <c r="AD99" s="64">
        <v>494</v>
      </c>
      <c r="AE99" s="64">
        <v>780</v>
      </c>
      <c r="AF99" s="205">
        <f t="shared" si="36"/>
        <v>5860</v>
      </c>
      <c r="AG99" s="205"/>
      <c r="AH99" s="278">
        <v>4861.2362800000001</v>
      </c>
      <c r="AI99" s="64">
        <v>544.88083999999992</v>
      </c>
      <c r="AJ99" s="64">
        <v>1151.69651</v>
      </c>
      <c r="AK99" s="205">
        <f t="shared" si="37"/>
        <v>6557.8136299999996</v>
      </c>
      <c r="AL99" s="205"/>
      <c r="AM99" s="64">
        <v>5000.4942499999997</v>
      </c>
      <c r="AN99" s="64">
        <v>558.00613999999996</v>
      </c>
      <c r="AO99" s="64">
        <v>1153.8244499999998</v>
      </c>
      <c r="AP99" s="205">
        <f t="shared" si="38"/>
        <v>6712.3248399999993</v>
      </c>
      <c r="AQ99" s="205"/>
      <c r="AR99" s="64">
        <v>2520.5946400000003</v>
      </c>
      <c r="AS99" s="64">
        <v>562.52671999999995</v>
      </c>
      <c r="AT99" s="64">
        <v>746.65748999999994</v>
      </c>
      <c r="AU99" s="205">
        <f t="shared" si="39"/>
        <v>3829.7788500000001</v>
      </c>
      <c r="AV99" s="205"/>
      <c r="AW99" s="64">
        <v>2434.8601125488781</v>
      </c>
      <c r="AX99" s="64">
        <v>589.83967625278365</v>
      </c>
      <c r="AY99" s="64">
        <v>639.29714650735741</v>
      </c>
      <c r="AZ99" s="205">
        <f t="shared" si="40"/>
        <v>3663.9969353090191</v>
      </c>
      <c r="BA99" s="205"/>
      <c r="BB99" s="64">
        <v>2501.9785750484011</v>
      </c>
      <c r="BC99" s="64">
        <v>594.44736697701489</v>
      </c>
      <c r="BD99" s="64">
        <v>646.96871226544556</v>
      </c>
      <c r="BE99" s="205">
        <f t="shared" si="35"/>
        <v>3743.3946542908616</v>
      </c>
      <c r="BF99" s="205"/>
      <c r="BG99" s="64">
        <v>2557.1153352720257</v>
      </c>
      <c r="BH99" s="64">
        <v>603.70527803141613</v>
      </c>
      <c r="BI99" s="64">
        <v>678.38560060809289</v>
      </c>
      <c r="BJ99" s="205">
        <f t="shared" si="41"/>
        <v>3839.2062139115346</v>
      </c>
      <c r="BK99" s="205"/>
      <c r="BL99" s="64">
        <v>2597.6028106300596</v>
      </c>
      <c r="BM99" s="64">
        <v>614.33301495643059</v>
      </c>
      <c r="BN99" s="64">
        <v>718.93530532941679</v>
      </c>
      <c r="BO99" s="205">
        <f t="shared" si="42"/>
        <v>3930.8711309159066</v>
      </c>
      <c r="BQ99" s="64">
        <v>2652.7750548439449</v>
      </c>
      <c r="BR99" s="64">
        <v>624.84082642904934</v>
      </c>
      <c r="BS99" s="64">
        <v>744.14187853456394</v>
      </c>
      <c r="BT99" s="205">
        <f t="shared" si="43"/>
        <v>4021.7577598075582</v>
      </c>
      <c r="BU99" s="205"/>
      <c r="BV99" s="5">
        <f t="shared" si="44"/>
        <v>5717</v>
      </c>
      <c r="BW99" s="5">
        <f t="shared" si="45"/>
        <v>5860</v>
      </c>
      <c r="BX99" s="5">
        <f t="shared" si="46"/>
        <v>6557.8136299999996</v>
      </c>
      <c r="BY99" s="5">
        <f t="shared" si="47"/>
        <v>6712.3248399999993</v>
      </c>
      <c r="BZ99" s="5">
        <f t="shared" si="48"/>
        <v>3829.7788500000001</v>
      </c>
      <c r="CA99" s="5">
        <f t="shared" si="49"/>
        <v>3663.9969353090191</v>
      </c>
      <c r="CB99" s="5">
        <f t="shared" si="50"/>
        <v>3743.3946542908616</v>
      </c>
      <c r="CC99" s="5">
        <f t="shared" si="51"/>
        <v>3839.2062139115346</v>
      </c>
      <c r="CD99" s="5">
        <f t="shared" si="52"/>
        <v>3930.8711309159066</v>
      </c>
      <c r="CE99" s="5">
        <f t="shared" si="60"/>
        <v>4021.7577598075582</v>
      </c>
      <c r="CH99" s="41">
        <f>BV99/'1. Väestöennuste'!I99*1000</f>
        <v>3065.4155495978553</v>
      </c>
      <c r="CI99" s="41">
        <f>BW99/'1. Väestöennuste'!J99*1000</f>
        <v>3216.245883644347</v>
      </c>
      <c r="CJ99" s="41">
        <f>BX99/'1. Väestöennuste'!K99*1000</f>
        <v>3627.1093086283186</v>
      </c>
      <c r="CK99" s="41">
        <f>BY99/'1. Väestöennuste'!L99*1000</f>
        <v>3790.1326030491241</v>
      </c>
      <c r="CL99" s="41">
        <f>BZ99/'1. Väestöennuste'!M99*1000</f>
        <v>2189.6963121783879</v>
      </c>
      <c r="CM99" s="41">
        <f>CA99/'1. Väestöennuste'!N99*1000</f>
        <v>2194.0101409036042</v>
      </c>
      <c r="CN99" s="41">
        <f>CB99/'1. Väestöennuste'!O99*1000</f>
        <v>2285.3447217892926</v>
      </c>
      <c r="CO99" s="41">
        <f>CC99/'1. Väestöennuste'!P99*1000</f>
        <v>2389.0517821478124</v>
      </c>
      <c r="CP99" s="41">
        <f>CD99/'1. Väestöennuste'!Q99*1000</f>
        <v>2491.046344053173</v>
      </c>
      <c r="CQ99" s="41">
        <f>CE99/'1. Väestöennuste'!R99*1000</f>
        <v>2599.71413045091</v>
      </c>
      <c r="CR99" s="41"/>
      <c r="CU99" s="159">
        <f t="shared" si="53"/>
        <v>150.83033404649177</v>
      </c>
      <c r="CV99" s="159">
        <f t="shared" si="54"/>
        <v>410.86342498397153</v>
      </c>
      <c r="CW99" s="159">
        <f t="shared" si="55"/>
        <v>163.02329442080554</v>
      </c>
      <c r="CX99" s="159">
        <f t="shared" si="56"/>
        <v>-1600.4362908707362</v>
      </c>
      <c r="CY99" s="159">
        <f t="shared" si="57"/>
        <v>4.3138287252163536</v>
      </c>
      <c r="CZ99" s="159">
        <f t="shared" si="58"/>
        <v>91.33458088568841</v>
      </c>
      <c r="DA99" s="159">
        <f t="shared" si="61"/>
        <v>103.70706035851981</v>
      </c>
      <c r="DB99" s="159">
        <f t="shared" si="62"/>
        <v>101.99456190536057</v>
      </c>
      <c r="DC99" s="159">
        <f t="shared" si="62"/>
        <v>108.66778639773702</v>
      </c>
    </row>
    <row r="100" spans="1:107" x14ac:dyDescent="0.2">
      <c r="A100" s="99">
        <v>13</v>
      </c>
      <c r="B100" s="30">
        <v>256</v>
      </c>
      <c r="C100" s="47" t="s">
        <v>414</v>
      </c>
      <c r="D100" s="64">
        <v>3880.2011499999999</v>
      </c>
      <c r="E100" s="64">
        <v>364.76434999999998</v>
      </c>
      <c r="F100" s="64">
        <v>544.37927000000002</v>
      </c>
      <c r="G100" s="205">
        <v>4789</v>
      </c>
      <c r="H100" s="205"/>
      <c r="I100" s="64">
        <v>3896</v>
      </c>
      <c r="J100" s="64">
        <v>364</v>
      </c>
      <c r="K100" s="64">
        <v>505</v>
      </c>
      <c r="L100" s="205">
        <v>4765</v>
      </c>
      <c r="M100" s="205"/>
      <c r="N100" s="64">
        <v>3838</v>
      </c>
      <c r="O100" s="64">
        <v>365</v>
      </c>
      <c r="P100" s="64">
        <v>578</v>
      </c>
      <c r="Q100" s="205">
        <v>4781</v>
      </c>
      <c r="R100" s="205"/>
      <c r="S100" s="64">
        <v>3669</v>
      </c>
      <c r="T100" s="64">
        <v>365</v>
      </c>
      <c r="U100" s="64">
        <v>569</v>
      </c>
      <c r="V100" s="205">
        <v>4603</v>
      </c>
      <c r="W100" s="205"/>
      <c r="X100" s="64">
        <v>3403</v>
      </c>
      <c r="Y100" s="64">
        <v>419</v>
      </c>
      <c r="Z100" s="64">
        <v>615</v>
      </c>
      <c r="AA100" s="205">
        <f t="shared" si="59"/>
        <v>4437</v>
      </c>
      <c r="AB100" s="205"/>
      <c r="AC100" s="64">
        <v>3872</v>
      </c>
      <c r="AD100" s="64">
        <v>382</v>
      </c>
      <c r="AE100" s="64">
        <v>707</v>
      </c>
      <c r="AF100" s="205">
        <f t="shared" si="36"/>
        <v>4961</v>
      </c>
      <c r="AG100" s="205"/>
      <c r="AH100" s="278">
        <v>4056.0880000000002</v>
      </c>
      <c r="AI100" s="64">
        <v>438.68700000000001</v>
      </c>
      <c r="AJ100" s="64">
        <v>1045.3599999999999</v>
      </c>
      <c r="AK100" s="205">
        <f t="shared" si="37"/>
        <v>5540.1350000000002</v>
      </c>
      <c r="AL100" s="205"/>
      <c r="AM100" s="64">
        <v>3960.6005</v>
      </c>
      <c r="AN100" s="64">
        <v>457.18640999999997</v>
      </c>
      <c r="AO100" s="64">
        <v>1015.26175</v>
      </c>
      <c r="AP100" s="205">
        <f t="shared" si="38"/>
        <v>5433.0486599999995</v>
      </c>
      <c r="AQ100" s="205"/>
      <c r="AR100" s="64">
        <v>1946.05807</v>
      </c>
      <c r="AS100" s="64">
        <v>468.97578000000004</v>
      </c>
      <c r="AT100" s="64">
        <v>580.16980000000001</v>
      </c>
      <c r="AU100" s="205">
        <f t="shared" si="39"/>
        <v>2995.2036500000004</v>
      </c>
      <c r="AV100" s="205"/>
      <c r="AW100" s="64">
        <v>2019.0797170253481</v>
      </c>
      <c r="AX100" s="64">
        <v>568.46217461096933</v>
      </c>
      <c r="AY100" s="64">
        <v>452.20100698713276</v>
      </c>
      <c r="AZ100" s="205">
        <f t="shared" si="40"/>
        <v>3039.7428986234499</v>
      </c>
      <c r="BA100" s="205"/>
      <c r="BB100" s="64">
        <v>2108.3933127027926</v>
      </c>
      <c r="BC100" s="64">
        <v>563.11416650323918</v>
      </c>
      <c r="BD100" s="64">
        <v>457.62741907097836</v>
      </c>
      <c r="BE100" s="205">
        <f t="shared" si="35"/>
        <v>3129.1348982770101</v>
      </c>
      <c r="BF100" s="205"/>
      <c r="BG100" s="64">
        <v>2170.0032664924443</v>
      </c>
      <c r="BH100" s="64">
        <v>562.43356972660251</v>
      </c>
      <c r="BI100" s="64">
        <v>479.84986855720319</v>
      </c>
      <c r="BJ100" s="205">
        <f t="shared" si="41"/>
        <v>3212.2867047762497</v>
      </c>
      <c r="BK100" s="205"/>
      <c r="BL100" s="64">
        <v>2203.2236443511283</v>
      </c>
      <c r="BM100" s="64">
        <v>563.18619004049651</v>
      </c>
      <c r="BN100" s="64">
        <v>508.53233242895845</v>
      </c>
      <c r="BO100" s="205">
        <f t="shared" si="42"/>
        <v>3274.9421668205832</v>
      </c>
      <c r="BQ100" s="64">
        <v>2253.7608443055919</v>
      </c>
      <c r="BR100" s="64">
        <v>563.9609406522311</v>
      </c>
      <c r="BS100" s="64">
        <v>526.36197213302262</v>
      </c>
      <c r="BT100" s="205">
        <f t="shared" si="43"/>
        <v>3344.0837570908452</v>
      </c>
      <c r="BU100" s="205"/>
      <c r="BV100" s="5">
        <f t="shared" si="44"/>
        <v>4437</v>
      </c>
      <c r="BW100" s="5">
        <f t="shared" si="45"/>
        <v>4961</v>
      </c>
      <c r="BX100" s="5">
        <f t="shared" si="46"/>
        <v>5540.1350000000002</v>
      </c>
      <c r="BY100" s="5">
        <f t="shared" si="47"/>
        <v>5433.0486599999995</v>
      </c>
      <c r="BZ100" s="5">
        <f t="shared" si="48"/>
        <v>2995.2036500000004</v>
      </c>
      <c r="CA100" s="5">
        <f t="shared" si="49"/>
        <v>3039.7428986234499</v>
      </c>
      <c r="CB100" s="5">
        <f t="shared" si="50"/>
        <v>3129.1348982770101</v>
      </c>
      <c r="CC100" s="5">
        <f t="shared" si="51"/>
        <v>3212.2867047762497</v>
      </c>
      <c r="CD100" s="5">
        <f t="shared" si="52"/>
        <v>3274.9421668205832</v>
      </c>
      <c r="CE100" s="5">
        <f t="shared" si="60"/>
        <v>3344.0837570908452</v>
      </c>
      <c r="CH100" s="41">
        <f>BV100/'1. Väestöennuste'!I100*1000</f>
        <v>2738.8888888888891</v>
      </c>
      <c r="CI100" s="41">
        <f>BW100/'1. Väestöennuste'!J100*1000</f>
        <v>3106.4495929868503</v>
      </c>
      <c r="CJ100" s="41">
        <f>BX100/'1. Väestöennuste'!K100*1000</f>
        <v>3504.1967109424418</v>
      </c>
      <c r="CK100" s="41">
        <f>BY100/'1. Väestöennuste'!L100*1000</f>
        <v>3496.1703088803088</v>
      </c>
      <c r="CL100" s="41">
        <f>BZ100/'1. Väestöennuste'!M100*1000</f>
        <v>1966.6471766250825</v>
      </c>
      <c r="CM100" s="41">
        <f>CA100/'1. Väestöennuste'!N100*1000</f>
        <v>2031.9137022884024</v>
      </c>
      <c r="CN100" s="41">
        <f>CB100/'1. Väestöennuste'!O100*1000</f>
        <v>2122.886633837863</v>
      </c>
      <c r="CO100" s="41">
        <f>CC100/'1. Väestöennuste'!P100*1000</f>
        <v>2215.3701412249998</v>
      </c>
      <c r="CP100" s="41">
        <f>CD100/'1. Väestöennuste'!Q100*1000</f>
        <v>2293.3768675214169</v>
      </c>
      <c r="CQ100" s="41">
        <f>CE100/'1. Väestöennuste'!R100*1000</f>
        <v>2373.3738517323245</v>
      </c>
      <c r="CR100" s="41"/>
      <c r="CU100" s="159">
        <f t="shared" si="53"/>
        <v>367.56070409796121</v>
      </c>
      <c r="CV100" s="159">
        <f t="shared" si="54"/>
        <v>397.74711795559142</v>
      </c>
      <c r="CW100" s="159">
        <f t="shared" si="55"/>
        <v>-8.0264020621330019</v>
      </c>
      <c r="CX100" s="159">
        <f t="shared" si="56"/>
        <v>-1529.5231322552263</v>
      </c>
      <c r="CY100" s="159">
        <f t="shared" si="57"/>
        <v>65.266525663319953</v>
      </c>
      <c r="CZ100" s="159">
        <f t="shared" si="58"/>
        <v>90.972931549460554</v>
      </c>
      <c r="DA100" s="159">
        <f t="shared" si="61"/>
        <v>92.483507387136797</v>
      </c>
      <c r="DB100" s="159">
        <f t="shared" si="62"/>
        <v>78.006726296417128</v>
      </c>
      <c r="DC100" s="159">
        <f t="shared" si="62"/>
        <v>79.996984210907613</v>
      </c>
    </row>
    <row r="101" spans="1:107" x14ac:dyDescent="0.2">
      <c r="A101" s="99">
        <v>1</v>
      </c>
      <c r="B101" s="30">
        <v>257</v>
      </c>
      <c r="C101" s="47" t="s">
        <v>415</v>
      </c>
      <c r="D101" s="64">
        <v>160692.79079</v>
      </c>
      <c r="E101" s="64">
        <v>9498.4253800000006</v>
      </c>
      <c r="F101" s="64">
        <v>8300.0309099999995</v>
      </c>
      <c r="G101" s="205">
        <v>178491</v>
      </c>
      <c r="H101" s="205"/>
      <c r="I101" s="64">
        <v>168325</v>
      </c>
      <c r="J101" s="64">
        <v>9806</v>
      </c>
      <c r="K101" s="64">
        <v>6644</v>
      </c>
      <c r="L101" s="205">
        <v>184775</v>
      </c>
      <c r="M101" s="205"/>
      <c r="N101" s="64">
        <v>171018</v>
      </c>
      <c r="O101" s="64">
        <v>11436</v>
      </c>
      <c r="P101" s="64">
        <v>7265</v>
      </c>
      <c r="Q101" s="205">
        <v>189719</v>
      </c>
      <c r="R101" s="205"/>
      <c r="S101" s="64">
        <v>171177</v>
      </c>
      <c r="T101" s="64">
        <v>11571</v>
      </c>
      <c r="U101" s="64">
        <v>6599</v>
      </c>
      <c r="V101" s="205">
        <v>189347</v>
      </c>
      <c r="W101" s="205"/>
      <c r="X101" s="64">
        <v>171819</v>
      </c>
      <c r="Y101" s="64">
        <v>11825</v>
      </c>
      <c r="Z101" s="64">
        <v>6289</v>
      </c>
      <c r="AA101" s="205">
        <f t="shared" si="59"/>
        <v>189933</v>
      </c>
      <c r="AB101" s="205"/>
      <c r="AC101" s="64">
        <v>185022</v>
      </c>
      <c r="AD101" s="64">
        <v>10889</v>
      </c>
      <c r="AE101" s="64">
        <v>6124</v>
      </c>
      <c r="AF101" s="205">
        <f t="shared" si="36"/>
        <v>202035</v>
      </c>
      <c r="AG101" s="205"/>
      <c r="AH101" s="278">
        <v>187976.67765999999</v>
      </c>
      <c r="AI101" s="64">
        <v>11899.847109999999</v>
      </c>
      <c r="AJ101" s="64">
        <v>8241.47883</v>
      </c>
      <c r="AK101" s="205">
        <f t="shared" si="37"/>
        <v>208118.0036</v>
      </c>
      <c r="AL101" s="205"/>
      <c r="AM101" s="64">
        <v>201280.81988</v>
      </c>
      <c r="AN101" s="64">
        <v>12737.91309</v>
      </c>
      <c r="AO101" s="64">
        <v>9196.5197399999997</v>
      </c>
      <c r="AP101" s="205">
        <f t="shared" si="38"/>
        <v>223215.25270999997</v>
      </c>
      <c r="AQ101" s="205"/>
      <c r="AR101" s="64">
        <v>95855.762799999997</v>
      </c>
      <c r="AS101" s="64">
        <v>13429.13571</v>
      </c>
      <c r="AT101" s="64">
        <v>7207.4809500000001</v>
      </c>
      <c r="AU101" s="205">
        <f t="shared" si="39"/>
        <v>116492.37946</v>
      </c>
      <c r="AV101" s="205"/>
      <c r="AW101" s="64">
        <v>85893.04424162113</v>
      </c>
      <c r="AX101" s="64">
        <v>16033.284152001024</v>
      </c>
      <c r="AY101" s="64">
        <v>5510.5586352861255</v>
      </c>
      <c r="AZ101" s="205">
        <f t="shared" si="40"/>
        <v>107436.88702890828</v>
      </c>
      <c r="BA101" s="205"/>
      <c r="BB101" s="64">
        <v>90723.119108298284</v>
      </c>
      <c r="BC101" s="64">
        <v>16531.3842731851</v>
      </c>
      <c r="BD101" s="64">
        <v>5576.6853389095586</v>
      </c>
      <c r="BE101" s="205">
        <f t="shared" si="35"/>
        <v>112831.18872039295</v>
      </c>
      <c r="BF101" s="205"/>
      <c r="BG101" s="64">
        <v>94804.721256350327</v>
      </c>
      <c r="BH101" s="64">
        <v>17178.910476803216</v>
      </c>
      <c r="BI101" s="64">
        <v>5847.4899347007631</v>
      </c>
      <c r="BJ101" s="205">
        <f t="shared" si="41"/>
        <v>117831.1216678543</v>
      </c>
      <c r="BK101" s="205"/>
      <c r="BL101" s="64">
        <v>98360.383774018439</v>
      </c>
      <c r="BM101" s="64">
        <v>17890.379464882903</v>
      </c>
      <c r="BN101" s="64">
        <v>6197.0167967103398</v>
      </c>
      <c r="BO101" s="205">
        <f t="shared" si="42"/>
        <v>122447.78003561168</v>
      </c>
      <c r="BQ101" s="64">
        <v>102233.75779063295</v>
      </c>
      <c r="BR101" s="64">
        <v>18625.289591885925</v>
      </c>
      <c r="BS101" s="64">
        <v>6414.2902514730504</v>
      </c>
      <c r="BT101" s="205">
        <f t="shared" si="43"/>
        <v>127273.33763399193</v>
      </c>
      <c r="BU101" s="205"/>
      <c r="BV101" s="5">
        <f t="shared" si="44"/>
        <v>189933</v>
      </c>
      <c r="BW101" s="5">
        <f t="shared" si="45"/>
        <v>202035</v>
      </c>
      <c r="BX101" s="5">
        <f t="shared" si="46"/>
        <v>208118.0036</v>
      </c>
      <c r="BY101" s="5">
        <f t="shared" si="47"/>
        <v>223215.25270999997</v>
      </c>
      <c r="BZ101" s="5">
        <f t="shared" si="48"/>
        <v>116492.37946</v>
      </c>
      <c r="CA101" s="5">
        <f t="shared" si="49"/>
        <v>107436.88702890828</v>
      </c>
      <c r="CB101" s="5">
        <f t="shared" si="50"/>
        <v>112831.18872039295</v>
      </c>
      <c r="CC101" s="5">
        <f t="shared" si="51"/>
        <v>117831.1216678543</v>
      </c>
      <c r="CD101" s="5">
        <f t="shared" si="52"/>
        <v>122447.78003561168</v>
      </c>
      <c r="CE101" s="5">
        <f t="shared" si="60"/>
        <v>127273.33763399193</v>
      </c>
      <c r="CH101" s="41">
        <f>BV101/'1. Väestöennuste'!I101*1000</f>
        <v>4797.9841358055874</v>
      </c>
      <c r="CI101" s="41">
        <f>BW101/'1. Väestöennuste'!J101*1000</f>
        <v>5040.5418891272893</v>
      </c>
      <c r="CJ101" s="41">
        <f>BX101/'1. Väestöennuste'!K101*1000</f>
        <v>5147.2313110577998</v>
      </c>
      <c r="CK101" s="41">
        <f>BY101/'1. Väestöennuste'!L101*1000</f>
        <v>5481.4413022444869</v>
      </c>
      <c r="CL101" s="41">
        <f>BZ101/'1. Väestöennuste'!M101*1000</f>
        <v>2830.6453676434853</v>
      </c>
      <c r="CM101" s="41">
        <f>CA101/'1. Väestöennuste'!N101*1000</f>
        <v>2591.1508339702455</v>
      </c>
      <c r="CN101" s="41">
        <f>CB101/'1. Väestöennuste'!O101*1000</f>
        <v>2701.8315825864552</v>
      </c>
      <c r="CO101" s="41">
        <f>CC101/'1. Väestöennuste'!P101*1000</f>
        <v>2802.7668625354845</v>
      </c>
      <c r="CP101" s="41">
        <f>CD101/'1. Väestöennuste'!Q101*1000</f>
        <v>2894.4044447609426</v>
      </c>
      <c r="CQ101" s="41">
        <f>CE101/'1. Väestöennuste'!R101*1000</f>
        <v>2990.3747006412427</v>
      </c>
      <c r="CR101" s="41"/>
      <c r="CU101" s="159">
        <f t="shared" si="53"/>
        <v>242.55775332170197</v>
      </c>
      <c r="CV101" s="159">
        <f t="shared" si="54"/>
        <v>106.68942193051043</v>
      </c>
      <c r="CW101" s="159">
        <f t="shared" si="55"/>
        <v>334.20999118668715</v>
      </c>
      <c r="CX101" s="159">
        <f t="shared" si="56"/>
        <v>-2650.7959346010016</v>
      </c>
      <c r="CY101" s="159">
        <f t="shared" si="57"/>
        <v>-239.49453367323986</v>
      </c>
      <c r="CZ101" s="159">
        <f t="shared" si="58"/>
        <v>110.68074861620971</v>
      </c>
      <c r="DA101" s="159">
        <f t="shared" si="61"/>
        <v>100.93527994902934</v>
      </c>
      <c r="DB101" s="159">
        <f t="shared" si="62"/>
        <v>91.637582225458118</v>
      </c>
      <c r="DC101" s="159">
        <f t="shared" si="62"/>
        <v>95.970255880300101</v>
      </c>
    </row>
    <row r="102" spans="1:107" x14ac:dyDescent="0.2">
      <c r="A102" s="99">
        <v>12</v>
      </c>
      <c r="B102" s="30">
        <v>260</v>
      </c>
      <c r="C102" s="47" t="s">
        <v>416</v>
      </c>
      <c r="D102" s="64">
        <v>30622.967690000001</v>
      </c>
      <c r="E102" s="64">
        <v>3099.7146600000001</v>
      </c>
      <c r="F102" s="64">
        <v>2374.0484999999999</v>
      </c>
      <c r="G102" s="205">
        <v>36097</v>
      </c>
      <c r="H102" s="205"/>
      <c r="I102" s="64">
        <v>29349</v>
      </c>
      <c r="J102" s="64">
        <v>3105</v>
      </c>
      <c r="K102" s="64">
        <v>2263</v>
      </c>
      <c r="L102" s="205">
        <v>34718</v>
      </c>
      <c r="M102" s="205"/>
      <c r="N102" s="64">
        <v>28980</v>
      </c>
      <c r="O102" s="64">
        <v>2748</v>
      </c>
      <c r="P102" s="64">
        <v>2594</v>
      </c>
      <c r="Q102" s="205">
        <v>34322</v>
      </c>
      <c r="R102" s="205"/>
      <c r="S102" s="64">
        <v>27147</v>
      </c>
      <c r="T102" s="64">
        <v>2845</v>
      </c>
      <c r="U102" s="64">
        <v>2167</v>
      </c>
      <c r="V102" s="205">
        <v>32159</v>
      </c>
      <c r="W102" s="205"/>
      <c r="X102" s="64">
        <v>27059</v>
      </c>
      <c r="Y102" s="64">
        <v>2978</v>
      </c>
      <c r="Z102" s="64">
        <v>2199</v>
      </c>
      <c r="AA102" s="205">
        <f t="shared" si="59"/>
        <v>32236</v>
      </c>
      <c r="AB102" s="205"/>
      <c r="AC102" s="64">
        <v>27559</v>
      </c>
      <c r="AD102" s="64">
        <v>2649</v>
      </c>
      <c r="AE102" s="64">
        <v>2464</v>
      </c>
      <c r="AF102" s="205">
        <f t="shared" si="36"/>
        <v>32672</v>
      </c>
      <c r="AG102" s="205"/>
      <c r="AH102" s="278">
        <v>27055.068910000002</v>
      </c>
      <c r="AI102" s="64">
        <v>2870.9093499999999</v>
      </c>
      <c r="AJ102" s="64">
        <v>3621.3608799999997</v>
      </c>
      <c r="AK102" s="205">
        <f t="shared" si="37"/>
        <v>33547.339140000004</v>
      </c>
      <c r="AL102" s="205"/>
      <c r="AM102" s="64">
        <v>27559.6574</v>
      </c>
      <c r="AN102" s="64">
        <v>2923.4864199999997</v>
      </c>
      <c r="AO102" s="64">
        <v>3741.21488</v>
      </c>
      <c r="AP102" s="205">
        <f t="shared" si="38"/>
        <v>34224.358700000004</v>
      </c>
      <c r="AQ102" s="205"/>
      <c r="AR102" s="64">
        <v>12864.924730000001</v>
      </c>
      <c r="AS102" s="64">
        <v>2965.3038799999999</v>
      </c>
      <c r="AT102" s="64">
        <v>2381.53829</v>
      </c>
      <c r="AU102" s="205">
        <f t="shared" si="39"/>
        <v>18211.766899999999</v>
      </c>
      <c r="AV102" s="205"/>
      <c r="AW102" s="64">
        <v>12532.813630602004</v>
      </c>
      <c r="AX102" s="64">
        <v>3132.307672688914</v>
      </c>
      <c r="AY102" s="64">
        <v>2004.6132576489204</v>
      </c>
      <c r="AZ102" s="205">
        <f t="shared" si="40"/>
        <v>17669.73456093984</v>
      </c>
      <c r="BA102" s="205"/>
      <c r="BB102" s="64">
        <v>12816.775330198148</v>
      </c>
      <c r="BC102" s="64">
        <v>3129.887146126357</v>
      </c>
      <c r="BD102" s="64">
        <v>2028.6686167407072</v>
      </c>
      <c r="BE102" s="205">
        <f t="shared" si="35"/>
        <v>17975.331093065211</v>
      </c>
      <c r="BF102" s="205"/>
      <c r="BG102" s="64">
        <v>13022.918751122263</v>
      </c>
      <c r="BH102" s="64">
        <v>3151.2527865626935</v>
      </c>
      <c r="BI102" s="64">
        <v>2127.181039688026</v>
      </c>
      <c r="BJ102" s="205">
        <f t="shared" si="41"/>
        <v>18301.352577372982</v>
      </c>
      <c r="BK102" s="205"/>
      <c r="BL102" s="64">
        <v>13248.802882675927</v>
      </c>
      <c r="BM102" s="64">
        <v>3178.8059733028813</v>
      </c>
      <c r="BN102" s="64">
        <v>2254.3307948874717</v>
      </c>
      <c r="BO102" s="205">
        <f t="shared" si="42"/>
        <v>18681.939650866279</v>
      </c>
      <c r="BQ102" s="64">
        <v>13545.67162494788</v>
      </c>
      <c r="BR102" s="64">
        <v>3204.727361783036</v>
      </c>
      <c r="BS102" s="64">
        <v>2333.3698319033433</v>
      </c>
      <c r="BT102" s="205">
        <f t="shared" si="43"/>
        <v>19083.768818634257</v>
      </c>
      <c r="BU102" s="205"/>
      <c r="BV102" s="5">
        <f t="shared" si="44"/>
        <v>32236</v>
      </c>
      <c r="BW102" s="5">
        <f t="shared" si="45"/>
        <v>32672</v>
      </c>
      <c r="BX102" s="5">
        <f t="shared" si="46"/>
        <v>33547.339140000004</v>
      </c>
      <c r="BY102" s="5">
        <f t="shared" si="47"/>
        <v>34224.358700000004</v>
      </c>
      <c r="BZ102" s="5">
        <f t="shared" si="48"/>
        <v>18211.766899999999</v>
      </c>
      <c r="CA102" s="5">
        <f t="shared" si="49"/>
        <v>17669.73456093984</v>
      </c>
      <c r="CB102" s="5">
        <f t="shared" si="50"/>
        <v>17975.331093065211</v>
      </c>
      <c r="CC102" s="5">
        <f t="shared" si="51"/>
        <v>18301.352577372982</v>
      </c>
      <c r="CD102" s="5">
        <f t="shared" si="52"/>
        <v>18681.939650866279</v>
      </c>
      <c r="CE102" s="5">
        <f t="shared" si="60"/>
        <v>19083.768818634257</v>
      </c>
      <c r="CH102" s="41">
        <f>BV102/'1. Väestöennuste'!I102*1000</f>
        <v>3180.3472770323601</v>
      </c>
      <c r="CI102" s="41">
        <f>BW102/'1. Väestöennuste'!J102*1000</f>
        <v>3289.2378938890565</v>
      </c>
      <c r="CJ102" s="41">
        <f>BX102/'1. Väestöennuste'!K102*1000</f>
        <v>3396.510999291283</v>
      </c>
      <c r="CK102" s="41">
        <f>BY102/'1. Väestöennuste'!L102*1000</f>
        <v>3518.4906651588367</v>
      </c>
      <c r="CL102" s="41">
        <f>BZ102/'1. Väestöennuste'!M102*1000</f>
        <v>1879.6332851687478</v>
      </c>
      <c r="CM102" s="41">
        <f>CA102/'1. Väestöennuste'!N102*1000</f>
        <v>1911.8951050573296</v>
      </c>
      <c r="CN102" s="41">
        <f>CB102/'1. Väestöennuste'!O102*1000</f>
        <v>1977.0491743362529</v>
      </c>
      <c r="CO102" s="41">
        <f>CC102/'1. Väestöennuste'!P102*1000</f>
        <v>2045.3009138771772</v>
      </c>
      <c r="CP102" s="41">
        <f>CD102/'1. Väestöennuste'!Q102*1000</f>
        <v>2119.8161410264697</v>
      </c>
      <c r="CQ102" s="41">
        <f>CE102/'1. Väestöennuste'!R102*1000</f>
        <v>2197.5781688892512</v>
      </c>
      <c r="CR102" s="41"/>
      <c r="CU102" s="159">
        <f t="shared" si="53"/>
        <v>108.8906168566964</v>
      </c>
      <c r="CV102" s="159">
        <f t="shared" si="54"/>
        <v>107.27310540222652</v>
      </c>
      <c r="CW102" s="159">
        <f t="shared" si="55"/>
        <v>121.97966586755365</v>
      </c>
      <c r="CX102" s="159">
        <f t="shared" si="56"/>
        <v>-1638.8573799900889</v>
      </c>
      <c r="CY102" s="159">
        <f t="shared" si="57"/>
        <v>32.26181988858184</v>
      </c>
      <c r="CZ102" s="159">
        <f t="shared" si="58"/>
        <v>65.154069278923316</v>
      </c>
      <c r="DA102" s="159">
        <f t="shared" si="61"/>
        <v>68.251739540924291</v>
      </c>
      <c r="DB102" s="159">
        <f t="shared" si="62"/>
        <v>74.515227149292514</v>
      </c>
      <c r="DC102" s="159">
        <f t="shared" si="62"/>
        <v>77.762027862781451</v>
      </c>
    </row>
    <row r="103" spans="1:107" x14ac:dyDescent="0.2">
      <c r="A103" s="99">
        <v>19</v>
      </c>
      <c r="B103" s="30">
        <v>261</v>
      </c>
      <c r="C103" s="47" t="s">
        <v>417</v>
      </c>
      <c r="D103" s="64">
        <v>18371.450850000001</v>
      </c>
      <c r="E103" s="64">
        <v>4845.8246600000002</v>
      </c>
      <c r="F103" s="64">
        <v>4329.8638300000002</v>
      </c>
      <c r="G103" s="205">
        <v>27547</v>
      </c>
      <c r="H103" s="205"/>
      <c r="I103" s="64">
        <v>19016</v>
      </c>
      <c r="J103" s="64">
        <v>5995</v>
      </c>
      <c r="K103" s="64">
        <v>3484</v>
      </c>
      <c r="L103" s="205">
        <v>28495</v>
      </c>
      <c r="M103" s="205"/>
      <c r="N103" s="64">
        <v>19635</v>
      </c>
      <c r="O103" s="64">
        <v>2402</v>
      </c>
      <c r="P103" s="64">
        <v>7107</v>
      </c>
      <c r="Q103" s="205">
        <v>29144</v>
      </c>
      <c r="R103" s="205"/>
      <c r="S103" s="64">
        <v>19614</v>
      </c>
      <c r="T103" s="64">
        <v>7040</v>
      </c>
      <c r="U103" s="64">
        <v>1926</v>
      </c>
      <c r="V103" s="205">
        <v>28580</v>
      </c>
      <c r="W103" s="205"/>
      <c r="X103" s="64">
        <v>20938</v>
      </c>
      <c r="Y103" s="64">
        <v>7034</v>
      </c>
      <c r="Z103" s="64">
        <v>2580</v>
      </c>
      <c r="AA103" s="205">
        <f t="shared" si="59"/>
        <v>30552</v>
      </c>
      <c r="AB103" s="205"/>
      <c r="AC103" s="64">
        <v>22001</v>
      </c>
      <c r="AD103" s="64">
        <v>6606</v>
      </c>
      <c r="AE103" s="64">
        <v>2733</v>
      </c>
      <c r="AF103" s="205">
        <f t="shared" si="36"/>
        <v>31340</v>
      </c>
      <c r="AG103" s="205"/>
      <c r="AH103" s="278">
        <v>21138.750680000001</v>
      </c>
      <c r="AI103" s="64">
        <v>7344.5013499999995</v>
      </c>
      <c r="AJ103" s="64">
        <v>3553.67823</v>
      </c>
      <c r="AK103" s="205">
        <f t="shared" si="37"/>
        <v>32036.930260000001</v>
      </c>
      <c r="AL103" s="205"/>
      <c r="AM103" s="64">
        <v>22421.21574</v>
      </c>
      <c r="AN103" s="64">
        <v>7553.0734599999996</v>
      </c>
      <c r="AO103" s="64">
        <v>5480.8390099999997</v>
      </c>
      <c r="AP103" s="205">
        <f t="shared" si="38"/>
        <v>35455.128209999995</v>
      </c>
      <c r="AQ103" s="205"/>
      <c r="AR103" s="64">
        <v>12278.00655</v>
      </c>
      <c r="AS103" s="64">
        <v>8354.1563700000006</v>
      </c>
      <c r="AT103" s="64">
        <v>5621.4029</v>
      </c>
      <c r="AU103" s="205">
        <f t="shared" si="39"/>
        <v>26253.565820000003</v>
      </c>
      <c r="AV103" s="205"/>
      <c r="AW103" s="64">
        <v>11017.065104655447</v>
      </c>
      <c r="AX103" s="64">
        <v>9150.8543306208867</v>
      </c>
      <c r="AY103" s="64">
        <v>5264.7963243975337</v>
      </c>
      <c r="AZ103" s="205">
        <f t="shared" si="40"/>
        <v>25432.715759673869</v>
      </c>
      <c r="BA103" s="205"/>
      <c r="BB103" s="64">
        <v>11420.378074909053</v>
      </c>
      <c r="BC103" s="64">
        <v>9515.798243433781</v>
      </c>
      <c r="BD103" s="64">
        <v>5327.973880290303</v>
      </c>
      <c r="BE103" s="205">
        <f t="shared" si="35"/>
        <v>26264.150198633135</v>
      </c>
      <c r="BF103" s="205"/>
      <c r="BG103" s="64">
        <v>11989.598120758124</v>
      </c>
      <c r="BH103" s="64">
        <v>9971.4221971797342</v>
      </c>
      <c r="BI103" s="64">
        <v>5586.701013946411</v>
      </c>
      <c r="BJ103" s="205">
        <f t="shared" si="41"/>
        <v>27547.72133188427</v>
      </c>
      <c r="BK103" s="205"/>
      <c r="BL103" s="64">
        <v>12447.832349637385</v>
      </c>
      <c r="BM103" s="64">
        <v>10469.650587672617</v>
      </c>
      <c r="BN103" s="64">
        <v>5920.6395236653407</v>
      </c>
      <c r="BO103" s="205">
        <f t="shared" si="42"/>
        <v>28838.122460975341</v>
      </c>
      <c r="BQ103" s="64">
        <v>12960.834738843503</v>
      </c>
      <c r="BR103" s="64">
        <v>10987.264297220794</v>
      </c>
      <c r="BS103" s="64">
        <v>6128.222921598729</v>
      </c>
      <c r="BT103" s="205">
        <f t="shared" si="43"/>
        <v>30076.321957663025</v>
      </c>
      <c r="BU103" s="205"/>
      <c r="BV103" s="5">
        <f t="shared" si="44"/>
        <v>30552</v>
      </c>
      <c r="BW103" s="5">
        <f t="shared" si="45"/>
        <v>31340</v>
      </c>
      <c r="BX103" s="5">
        <f t="shared" si="46"/>
        <v>32036.930260000001</v>
      </c>
      <c r="BY103" s="5">
        <f t="shared" si="47"/>
        <v>35455.128209999995</v>
      </c>
      <c r="BZ103" s="5">
        <f t="shared" si="48"/>
        <v>26253.565820000003</v>
      </c>
      <c r="CA103" s="5">
        <f t="shared" si="49"/>
        <v>25432.715759673869</v>
      </c>
      <c r="CB103" s="5">
        <f t="shared" si="50"/>
        <v>26264.150198633135</v>
      </c>
      <c r="CC103" s="5">
        <f t="shared" si="51"/>
        <v>27547.72133188427</v>
      </c>
      <c r="CD103" s="5">
        <f t="shared" si="52"/>
        <v>28838.122460975341</v>
      </c>
      <c r="CE103" s="5">
        <f t="shared" si="60"/>
        <v>30076.321957663025</v>
      </c>
      <c r="CH103" s="41">
        <f>BV103/'1. Väestöennuste'!I103*1000</f>
        <v>4734.5420734542076</v>
      </c>
      <c r="CI103" s="41">
        <f>BW103/'1. Väestöennuste'!J103*1000</f>
        <v>4869.484151646986</v>
      </c>
      <c r="CJ103" s="41">
        <f>BX103/'1. Väestöennuste'!K103*1000</f>
        <v>4911.3797731105324</v>
      </c>
      <c r="CK103" s="41">
        <f>BY103/'1. Väestöennuste'!L103*1000</f>
        <v>5342.0413153533209</v>
      </c>
      <c r="CL103" s="41">
        <f>BZ103/'1. Väestöennuste'!M103*1000</f>
        <v>3848.367900908825</v>
      </c>
      <c r="CM103" s="41">
        <f>CA103/'1. Väestöennuste'!N103*1000</f>
        <v>3970.7596814479107</v>
      </c>
      <c r="CN103" s="41">
        <f>CB103/'1. Väestöennuste'!O103*1000</f>
        <v>4108.26688544238</v>
      </c>
      <c r="CO103" s="41">
        <f>CC103/'1. Väestöennuste'!P103*1000</f>
        <v>4318.5015412892726</v>
      </c>
      <c r="CP103" s="41">
        <f>CD103/'1. Väestöennuste'!Q103*1000</f>
        <v>4530.7340865632896</v>
      </c>
      <c r="CQ103" s="41">
        <f>CE103/'1. Väestöennuste'!R103*1000</f>
        <v>4734.1920285948418</v>
      </c>
      <c r="CR103" s="41"/>
      <c r="CU103" s="159">
        <f t="shared" si="53"/>
        <v>134.94207819277835</v>
      </c>
      <c r="CV103" s="159">
        <f t="shared" si="54"/>
        <v>41.895621463546377</v>
      </c>
      <c r="CW103" s="159">
        <f t="shared" si="55"/>
        <v>430.66154224278853</v>
      </c>
      <c r="CX103" s="159">
        <f t="shared" si="56"/>
        <v>-1493.6734144444958</v>
      </c>
      <c r="CY103" s="159">
        <f t="shared" si="57"/>
        <v>122.39178053908563</v>
      </c>
      <c r="CZ103" s="159">
        <f t="shared" si="58"/>
        <v>137.50720399446936</v>
      </c>
      <c r="DA103" s="159">
        <f t="shared" si="61"/>
        <v>210.23465584689257</v>
      </c>
      <c r="DB103" s="159">
        <f t="shared" si="62"/>
        <v>212.23254527401696</v>
      </c>
      <c r="DC103" s="159">
        <f t="shared" si="62"/>
        <v>203.45794203155219</v>
      </c>
    </row>
    <row r="104" spans="1:107" x14ac:dyDescent="0.2">
      <c r="A104" s="99">
        <v>11</v>
      </c>
      <c r="B104" s="30">
        <v>263</v>
      </c>
      <c r="C104" s="47" t="s">
        <v>418</v>
      </c>
      <c r="D104" s="64">
        <v>21345.056430000001</v>
      </c>
      <c r="E104" s="64">
        <v>1656.2353000000001</v>
      </c>
      <c r="F104" s="64">
        <v>1934.9275</v>
      </c>
      <c r="G104" s="205">
        <v>24900</v>
      </c>
      <c r="H104" s="205"/>
      <c r="I104" s="64">
        <v>20093</v>
      </c>
      <c r="J104" s="64">
        <v>1683</v>
      </c>
      <c r="K104" s="64">
        <v>1780</v>
      </c>
      <c r="L104" s="205">
        <v>23556</v>
      </c>
      <c r="M104" s="205"/>
      <c r="N104" s="64">
        <v>20787</v>
      </c>
      <c r="O104" s="64">
        <v>1717</v>
      </c>
      <c r="P104" s="64">
        <v>1986</v>
      </c>
      <c r="Q104" s="205">
        <v>24490</v>
      </c>
      <c r="R104" s="205"/>
      <c r="S104" s="64">
        <v>19533</v>
      </c>
      <c r="T104" s="64">
        <v>1708</v>
      </c>
      <c r="U104" s="64">
        <v>1814</v>
      </c>
      <c r="V104" s="205">
        <v>23055</v>
      </c>
      <c r="W104" s="205"/>
      <c r="X104" s="64">
        <v>19910</v>
      </c>
      <c r="Y104" s="64">
        <v>1719</v>
      </c>
      <c r="Z104" s="64">
        <v>1917</v>
      </c>
      <c r="AA104" s="205">
        <f t="shared" si="59"/>
        <v>23546</v>
      </c>
      <c r="AB104" s="205"/>
      <c r="AC104" s="64">
        <v>20758</v>
      </c>
      <c r="AD104" s="64">
        <v>1563</v>
      </c>
      <c r="AE104" s="64">
        <v>2225</v>
      </c>
      <c r="AF104" s="205">
        <f t="shared" si="36"/>
        <v>24546</v>
      </c>
      <c r="AG104" s="205"/>
      <c r="AH104" s="278">
        <v>21490.742100000003</v>
      </c>
      <c r="AI104" s="64">
        <v>1709.45263</v>
      </c>
      <c r="AJ104" s="64">
        <v>3295.1766499999999</v>
      </c>
      <c r="AK104" s="205">
        <f t="shared" si="37"/>
        <v>26495.371380000004</v>
      </c>
      <c r="AL104" s="205"/>
      <c r="AM104" s="64">
        <v>21701.346320000001</v>
      </c>
      <c r="AN104" s="64">
        <v>1755.7667799999999</v>
      </c>
      <c r="AO104" s="64">
        <v>3208.4572699999999</v>
      </c>
      <c r="AP104" s="205">
        <f t="shared" si="38"/>
        <v>26665.570370000001</v>
      </c>
      <c r="AQ104" s="205"/>
      <c r="AR104" s="64">
        <v>11275.713109999999</v>
      </c>
      <c r="AS104" s="64">
        <v>1608.0380400000001</v>
      </c>
      <c r="AT104" s="64">
        <v>1874.8393100000001</v>
      </c>
      <c r="AU104" s="205">
        <f t="shared" si="39"/>
        <v>14758.590459999998</v>
      </c>
      <c r="AV104" s="205"/>
      <c r="AW104" s="64">
        <v>11142.778024901003</v>
      </c>
      <c r="AX104" s="64">
        <v>1814.0341081845947</v>
      </c>
      <c r="AY104" s="64">
        <v>1594.3886794162311</v>
      </c>
      <c r="AZ104" s="205">
        <f t="shared" si="40"/>
        <v>14551.200812501829</v>
      </c>
      <c r="BA104" s="205"/>
      <c r="BB104" s="64">
        <v>11635.309140544652</v>
      </c>
      <c r="BC104" s="64">
        <v>1808.159934880729</v>
      </c>
      <c r="BD104" s="64">
        <v>1613.5213435692258</v>
      </c>
      <c r="BE104" s="205">
        <f t="shared" si="35"/>
        <v>15056.990418994606</v>
      </c>
      <c r="BF104" s="205"/>
      <c r="BG104" s="64">
        <v>11999.285843499993</v>
      </c>
      <c r="BH104" s="64">
        <v>1816.5739387458038</v>
      </c>
      <c r="BI104" s="64">
        <v>1691.8741586719664</v>
      </c>
      <c r="BJ104" s="205">
        <f t="shared" si="41"/>
        <v>15507.733940917762</v>
      </c>
      <c r="BK104" s="205"/>
      <c r="BL104" s="64">
        <v>12244.450411905353</v>
      </c>
      <c r="BM104" s="64">
        <v>1829.0593903806691</v>
      </c>
      <c r="BN104" s="64">
        <v>1793.0039549092246</v>
      </c>
      <c r="BO104" s="205">
        <f t="shared" si="42"/>
        <v>15866.513757195247</v>
      </c>
      <c r="BQ104" s="64">
        <v>12552.150875933266</v>
      </c>
      <c r="BR104" s="64">
        <v>1841.10652400956</v>
      </c>
      <c r="BS104" s="64">
        <v>1855.8684228404929</v>
      </c>
      <c r="BT104" s="205">
        <f t="shared" si="43"/>
        <v>16249.125822783319</v>
      </c>
      <c r="BU104" s="205"/>
      <c r="BV104" s="5">
        <f t="shared" si="44"/>
        <v>23546</v>
      </c>
      <c r="BW104" s="5">
        <f t="shared" si="45"/>
        <v>24546</v>
      </c>
      <c r="BX104" s="5">
        <f t="shared" si="46"/>
        <v>26495.371380000004</v>
      </c>
      <c r="BY104" s="5">
        <f t="shared" si="47"/>
        <v>26665.570370000001</v>
      </c>
      <c r="BZ104" s="5">
        <f t="shared" si="48"/>
        <v>14758.590459999998</v>
      </c>
      <c r="CA104" s="5">
        <f t="shared" si="49"/>
        <v>14551.200812501829</v>
      </c>
      <c r="CB104" s="5">
        <f t="shared" si="50"/>
        <v>15056.990418994606</v>
      </c>
      <c r="CC104" s="5">
        <f t="shared" si="51"/>
        <v>15507.733940917762</v>
      </c>
      <c r="CD104" s="5">
        <f t="shared" si="52"/>
        <v>15866.513757195247</v>
      </c>
      <c r="CE104" s="5">
        <f t="shared" si="60"/>
        <v>16249.125822783319</v>
      </c>
      <c r="CH104" s="41">
        <f>BV104/'1. Väestöennuste'!I104*1000</f>
        <v>2943.9859964991247</v>
      </c>
      <c r="CI104" s="41">
        <f>BW104/'1. Väestöennuste'!J104*1000</f>
        <v>3125.2864782276547</v>
      </c>
      <c r="CJ104" s="41">
        <f>BX104/'1. Väestöennuste'!K104*1000</f>
        <v>3414.7920324784127</v>
      </c>
      <c r="CK104" s="41">
        <f>BY104/'1. Väestöennuste'!L104*1000</f>
        <v>3510.0132117941298</v>
      </c>
      <c r="CL104" s="41">
        <f>BZ104/'1. Väestöennuste'!M104*1000</f>
        <v>1974.3933725752504</v>
      </c>
      <c r="CM104" s="41">
        <f>CA104/'1. Väestöennuste'!N104*1000</f>
        <v>1984.8862109537347</v>
      </c>
      <c r="CN104" s="41">
        <f>CB104/'1. Väestöennuste'!O104*1000</f>
        <v>2086.9009589736115</v>
      </c>
      <c r="CO104" s="41">
        <f>CC104/'1. Väestöennuste'!P104*1000</f>
        <v>2183.5727880762834</v>
      </c>
      <c r="CP104" s="41">
        <f>CD104/'1. Väestöennuste'!Q104*1000</f>
        <v>2268.5893275944018</v>
      </c>
      <c r="CQ104" s="41">
        <f>CE104/'1. Väestöennuste'!R104*1000</f>
        <v>2358.0214515720963</v>
      </c>
      <c r="CR104" s="41"/>
      <c r="CU104" s="159">
        <f t="shared" si="53"/>
        <v>181.30048172853003</v>
      </c>
      <c r="CV104" s="159">
        <f t="shared" si="54"/>
        <v>289.505554250758</v>
      </c>
      <c r="CW104" s="159">
        <f t="shared" si="55"/>
        <v>95.221179315717109</v>
      </c>
      <c r="CX104" s="159">
        <f t="shared" si="56"/>
        <v>-1535.6198392188794</v>
      </c>
      <c r="CY104" s="159">
        <f t="shared" si="57"/>
        <v>10.492838378484294</v>
      </c>
      <c r="CZ104" s="159">
        <f t="shared" si="58"/>
        <v>102.01474801987683</v>
      </c>
      <c r="DA104" s="159">
        <f t="shared" si="61"/>
        <v>96.671829102671836</v>
      </c>
      <c r="DB104" s="159">
        <f t="shared" si="62"/>
        <v>85.016539518118407</v>
      </c>
      <c r="DC104" s="159">
        <f t="shared" si="62"/>
        <v>89.432123977694573</v>
      </c>
    </row>
    <row r="105" spans="1:107" x14ac:dyDescent="0.2">
      <c r="A105" s="99">
        <v>13</v>
      </c>
      <c r="B105" s="30">
        <v>265</v>
      </c>
      <c r="C105" s="47" t="s">
        <v>419</v>
      </c>
      <c r="D105" s="64">
        <v>2630.40735</v>
      </c>
      <c r="E105" s="64">
        <v>375.03278999999998</v>
      </c>
      <c r="F105" s="64">
        <v>579.79701999999997</v>
      </c>
      <c r="G105" s="205">
        <v>3585</v>
      </c>
      <c r="H105" s="205"/>
      <c r="I105" s="64">
        <v>2511</v>
      </c>
      <c r="J105" s="64">
        <v>530</v>
      </c>
      <c r="K105" s="64">
        <v>386</v>
      </c>
      <c r="L105" s="205">
        <v>3427</v>
      </c>
      <c r="M105" s="205"/>
      <c r="N105" s="64">
        <v>2518</v>
      </c>
      <c r="O105" s="64">
        <v>379</v>
      </c>
      <c r="P105" s="64">
        <v>619</v>
      </c>
      <c r="Q105" s="205">
        <v>3516</v>
      </c>
      <c r="R105" s="205"/>
      <c r="S105" s="64">
        <v>2441</v>
      </c>
      <c r="T105" s="64">
        <v>439</v>
      </c>
      <c r="U105" s="64">
        <v>609</v>
      </c>
      <c r="V105" s="205">
        <v>3489</v>
      </c>
      <c r="W105" s="205"/>
      <c r="X105" s="64">
        <v>2464</v>
      </c>
      <c r="Y105" s="64">
        <v>447</v>
      </c>
      <c r="Z105" s="64">
        <v>660</v>
      </c>
      <c r="AA105" s="205">
        <f t="shared" si="59"/>
        <v>3571</v>
      </c>
      <c r="AB105" s="205"/>
      <c r="AC105" s="64">
        <v>2680</v>
      </c>
      <c r="AD105" s="64">
        <v>461</v>
      </c>
      <c r="AE105" s="64">
        <v>753</v>
      </c>
      <c r="AF105" s="205">
        <f t="shared" si="36"/>
        <v>3894</v>
      </c>
      <c r="AG105" s="205"/>
      <c r="AH105" s="278">
        <v>2900.1661300000001</v>
      </c>
      <c r="AI105" s="64">
        <v>511.58852000000002</v>
      </c>
      <c r="AJ105" s="64">
        <v>1087.82313</v>
      </c>
      <c r="AK105" s="205">
        <f t="shared" si="37"/>
        <v>4499.5777799999996</v>
      </c>
      <c r="AL105" s="205"/>
      <c r="AM105" s="64">
        <v>2916.2770299999997</v>
      </c>
      <c r="AN105" s="64">
        <v>534.85501999999997</v>
      </c>
      <c r="AO105" s="64">
        <v>1029.04387</v>
      </c>
      <c r="AP105" s="205">
        <f t="shared" si="38"/>
        <v>4480.1759199999997</v>
      </c>
      <c r="AQ105" s="205"/>
      <c r="AR105" s="64">
        <v>1257.6018100000001</v>
      </c>
      <c r="AS105" s="64">
        <v>558.38271999999995</v>
      </c>
      <c r="AT105" s="64">
        <v>589.08105</v>
      </c>
      <c r="AU105" s="205">
        <f t="shared" si="39"/>
        <v>2405.0655800000004</v>
      </c>
      <c r="AV105" s="205"/>
      <c r="AW105" s="64">
        <v>1353.7701270632874</v>
      </c>
      <c r="AX105" s="64">
        <v>569.13586773157158</v>
      </c>
      <c r="AY105" s="64">
        <v>473.32453700800897</v>
      </c>
      <c r="AZ105" s="205">
        <f t="shared" si="40"/>
        <v>2396.230531802868</v>
      </c>
      <c r="BA105" s="205"/>
      <c r="BB105" s="64">
        <v>1429.9997582010117</v>
      </c>
      <c r="BC105" s="64">
        <v>575.75703430438966</v>
      </c>
      <c r="BD105" s="64">
        <v>479.00443145210505</v>
      </c>
      <c r="BE105" s="205">
        <f t="shared" si="35"/>
        <v>2484.7612239575064</v>
      </c>
      <c r="BF105" s="205"/>
      <c r="BG105" s="64">
        <v>1471.4708341171643</v>
      </c>
      <c r="BH105" s="64">
        <v>586.90267419272629</v>
      </c>
      <c r="BI105" s="64">
        <v>502.26495155649866</v>
      </c>
      <c r="BJ105" s="205">
        <f t="shared" si="41"/>
        <v>2560.638459866389</v>
      </c>
      <c r="BK105" s="205"/>
      <c r="BL105" s="64">
        <v>1506.3651712473279</v>
      </c>
      <c r="BM105" s="64">
        <v>599.42215507659523</v>
      </c>
      <c r="BN105" s="64">
        <v>532.2872507610067</v>
      </c>
      <c r="BO105" s="205">
        <f t="shared" si="42"/>
        <v>2638.0745770849298</v>
      </c>
      <c r="BQ105" s="64">
        <v>1547.3785045112108</v>
      </c>
      <c r="BR105" s="64">
        <v>611.87097527713786</v>
      </c>
      <c r="BS105" s="64">
        <v>550.94976107732248</v>
      </c>
      <c r="BT105" s="205">
        <f t="shared" si="43"/>
        <v>2710.1992408656711</v>
      </c>
      <c r="BU105" s="205"/>
      <c r="BV105" s="5">
        <f t="shared" si="44"/>
        <v>3571</v>
      </c>
      <c r="BW105" s="5">
        <f t="shared" si="45"/>
        <v>3894</v>
      </c>
      <c r="BX105" s="5">
        <f t="shared" si="46"/>
        <v>4499.5777799999996</v>
      </c>
      <c r="BY105" s="5">
        <f t="shared" si="47"/>
        <v>4480.1759199999997</v>
      </c>
      <c r="BZ105" s="5">
        <f t="shared" si="48"/>
        <v>2405.0655800000004</v>
      </c>
      <c r="CA105" s="5">
        <f t="shared" si="49"/>
        <v>2396.230531802868</v>
      </c>
      <c r="CB105" s="5">
        <f t="shared" si="50"/>
        <v>2484.7612239575064</v>
      </c>
      <c r="CC105" s="5">
        <f t="shared" si="51"/>
        <v>2560.638459866389</v>
      </c>
      <c r="CD105" s="5">
        <f t="shared" si="52"/>
        <v>2638.0745770849298</v>
      </c>
      <c r="CE105" s="5">
        <f t="shared" si="60"/>
        <v>2710.1992408656711</v>
      </c>
      <c r="CH105" s="41">
        <f>BV105/'1. Väestöennuste'!I105*1000</f>
        <v>3258.2116788321168</v>
      </c>
      <c r="CI105" s="41">
        <f>BW105/'1. Väestöennuste'!J105*1000</f>
        <v>3517.6151761517613</v>
      </c>
      <c r="CJ105" s="41">
        <f>BX105/'1. Väestöennuste'!K105*1000</f>
        <v>4135.6413419117644</v>
      </c>
      <c r="CK105" s="41">
        <f>BY105/'1. Väestöennuste'!L105*1000</f>
        <v>4210.6916541353376</v>
      </c>
      <c r="CL105" s="41">
        <f>BZ105/'1. Väestöennuste'!M105*1000</f>
        <v>2323.7348599033821</v>
      </c>
      <c r="CM105" s="41">
        <f>CA105/'1. Väestöennuste'!N105*1000</f>
        <v>2288.663354157467</v>
      </c>
      <c r="CN105" s="41">
        <f>CB105/'1. Väestöennuste'!O105*1000</f>
        <v>2407.7143642999094</v>
      </c>
      <c r="CO105" s="41">
        <f>CC105/'1. Väestöennuste'!P105*1000</f>
        <v>2517.835260438927</v>
      </c>
      <c r="CP105" s="41">
        <f>CD105/'1. Väestöennuste'!Q105*1000</f>
        <v>2630.1840250099003</v>
      </c>
      <c r="CQ105" s="41">
        <f>CE105/'1. Väestöennuste'!R105*1000</f>
        <v>2740.3430140198898</v>
      </c>
      <c r="CR105" s="41"/>
      <c r="CU105" s="159">
        <f t="shared" si="53"/>
        <v>259.40349731964443</v>
      </c>
      <c r="CV105" s="159">
        <f t="shared" si="54"/>
        <v>618.0261657600031</v>
      </c>
      <c r="CW105" s="159">
        <f t="shared" si="55"/>
        <v>75.050312223573201</v>
      </c>
      <c r="CX105" s="159">
        <f t="shared" si="56"/>
        <v>-1886.9567942319554</v>
      </c>
      <c r="CY105" s="159">
        <f t="shared" si="57"/>
        <v>-35.071505745915147</v>
      </c>
      <c r="CZ105" s="159">
        <f t="shared" si="58"/>
        <v>119.05101014244246</v>
      </c>
      <c r="DA105" s="159">
        <f t="shared" si="61"/>
        <v>110.12089613901753</v>
      </c>
      <c r="DB105" s="159">
        <f t="shared" si="62"/>
        <v>112.34876457097334</v>
      </c>
      <c r="DC105" s="159">
        <f t="shared" si="62"/>
        <v>110.15898900998945</v>
      </c>
    </row>
    <row r="106" spans="1:107" x14ac:dyDescent="0.2">
      <c r="A106" s="99">
        <v>4</v>
      </c>
      <c r="B106" s="30">
        <v>271</v>
      </c>
      <c r="C106" s="47" t="s">
        <v>420</v>
      </c>
      <c r="D106" s="64">
        <v>23113.94472</v>
      </c>
      <c r="E106" s="64">
        <v>2283.87104</v>
      </c>
      <c r="F106" s="64">
        <v>1625.0882199999999</v>
      </c>
      <c r="G106" s="205">
        <v>27021</v>
      </c>
      <c r="H106" s="205"/>
      <c r="I106" s="64">
        <v>22613</v>
      </c>
      <c r="J106" s="64">
        <v>2382</v>
      </c>
      <c r="K106" s="64">
        <v>1508</v>
      </c>
      <c r="L106" s="205">
        <v>26503</v>
      </c>
      <c r="M106" s="205"/>
      <c r="N106" s="64">
        <v>22874</v>
      </c>
      <c r="O106" s="64">
        <v>2301</v>
      </c>
      <c r="P106" s="64">
        <v>1653</v>
      </c>
      <c r="Q106" s="205">
        <v>26828</v>
      </c>
      <c r="R106" s="205"/>
      <c r="S106" s="64">
        <v>22047</v>
      </c>
      <c r="T106" s="64">
        <v>2525</v>
      </c>
      <c r="U106" s="64">
        <v>1229</v>
      </c>
      <c r="V106" s="205">
        <v>25801</v>
      </c>
      <c r="W106" s="205"/>
      <c r="X106" s="64">
        <v>22135</v>
      </c>
      <c r="Y106" s="64">
        <v>2481</v>
      </c>
      <c r="Z106" s="64">
        <v>1247</v>
      </c>
      <c r="AA106" s="205">
        <f t="shared" si="59"/>
        <v>25863</v>
      </c>
      <c r="AB106" s="205"/>
      <c r="AC106" s="64">
        <v>22895</v>
      </c>
      <c r="AD106" s="64">
        <v>2393</v>
      </c>
      <c r="AE106" s="64">
        <v>1302</v>
      </c>
      <c r="AF106" s="205">
        <f t="shared" si="36"/>
        <v>26590</v>
      </c>
      <c r="AG106" s="205"/>
      <c r="AH106" s="278">
        <v>22988.47568</v>
      </c>
      <c r="AI106" s="64">
        <v>2635.0424400000002</v>
      </c>
      <c r="AJ106" s="64">
        <v>1893.8808899999999</v>
      </c>
      <c r="AK106" s="205">
        <f t="shared" si="37"/>
        <v>27517.399010000001</v>
      </c>
      <c r="AL106" s="205"/>
      <c r="AM106" s="64">
        <v>23221.508719999998</v>
      </c>
      <c r="AN106" s="64">
        <v>2733.0133700000001</v>
      </c>
      <c r="AO106" s="64">
        <v>2055.75684</v>
      </c>
      <c r="AP106" s="205">
        <f t="shared" si="38"/>
        <v>28010.27893</v>
      </c>
      <c r="AQ106" s="205"/>
      <c r="AR106" s="64">
        <v>12320.498960000001</v>
      </c>
      <c r="AS106" s="64">
        <v>2466.9908300000002</v>
      </c>
      <c r="AT106" s="64">
        <v>1269.82115</v>
      </c>
      <c r="AU106" s="205">
        <f t="shared" si="39"/>
        <v>16057.310940000001</v>
      </c>
      <c r="AV106" s="205"/>
      <c r="AW106" s="64">
        <v>11520.05959679543</v>
      </c>
      <c r="AX106" s="64">
        <v>2738.2993122186522</v>
      </c>
      <c r="AY106" s="64">
        <v>934.47702670656076</v>
      </c>
      <c r="AZ106" s="205">
        <f t="shared" si="40"/>
        <v>15192.835935720645</v>
      </c>
      <c r="BA106" s="205"/>
      <c r="BB106" s="64">
        <v>12126.013929020317</v>
      </c>
      <c r="BC106" s="64">
        <v>2757.6413101180819</v>
      </c>
      <c r="BD106" s="64">
        <v>945.69075102703948</v>
      </c>
      <c r="BE106" s="205">
        <f t="shared" si="35"/>
        <v>15829.345990165439</v>
      </c>
      <c r="BF106" s="205"/>
      <c r="BG106" s="64">
        <v>12522.283139584119</v>
      </c>
      <c r="BH106" s="64">
        <v>2798.96360389457</v>
      </c>
      <c r="BI106" s="64">
        <v>991.61362205376201</v>
      </c>
      <c r="BJ106" s="205">
        <f t="shared" si="41"/>
        <v>16312.860365532451</v>
      </c>
      <c r="BK106" s="205"/>
      <c r="BL106" s="64">
        <v>12864.511373189116</v>
      </c>
      <c r="BM106" s="64">
        <v>2847.0599984747128</v>
      </c>
      <c r="BN106" s="64">
        <v>1050.8861648905781</v>
      </c>
      <c r="BO106" s="205">
        <f t="shared" si="42"/>
        <v>16762.457536554408</v>
      </c>
      <c r="BQ106" s="64">
        <v>13272.266164038951</v>
      </c>
      <c r="BR106" s="64">
        <v>2895.0582546606747</v>
      </c>
      <c r="BS106" s="64">
        <v>1087.7312590864369</v>
      </c>
      <c r="BT106" s="205">
        <f t="shared" si="43"/>
        <v>17255.055677786062</v>
      </c>
      <c r="BU106" s="205"/>
      <c r="BV106" s="5">
        <f t="shared" si="44"/>
        <v>25863</v>
      </c>
      <c r="BW106" s="5">
        <f t="shared" si="45"/>
        <v>26590</v>
      </c>
      <c r="BX106" s="5">
        <f t="shared" si="46"/>
        <v>27517.399010000001</v>
      </c>
      <c r="BY106" s="5">
        <f t="shared" si="47"/>
        <v>28010.27893</v>
      </c>
      <c r="BZ106" s="5">
        <f t="shared" si="48"/>
        <v>16057.310940000001</v>
      </c>
      <c r="CA106" s="5">
        <f t="shared" si="49"/>
        <v>15192.835935720645</v>
      </c>
      <c r="CB106" s="5">
        <f t="shared" si="50"/>
        <v>15829.345990165439</v>
      </c>
      <c r="CC106" s="5">
        <f t="shared" si="51"/>
        <v>16312.860365532451</v>
      </c>
      <c r="CD106" s="5">
        <f t="shared" si="52"/>
        <v>16762.457536554408</v>
      </c>
      <c r="CE106" s="5">
        <f t="shared" si="60"/>
        <v>17255.055677786062</v>
      </c>
      <c r="CH106" s="41">
        <f>BV106/'1. Väestöennuste'!I106*1000</f>
        <v>3641.1375475151344</v>
      </c>
      <c r="CI106" s="41">
        <f>BW106/'1. Väestöennuste'!J106*1000</f>
        <v>3791.5300156851563</v>
      </c>
      <c r="CJ106" s="41">
        <f>BX106/'1. Väestöennuste'!K106*1000</f>
        <v>3958.7683800891959</v>
      </c>
      <c r="CK106" s="41">
        <f>BY106/'1. Väestöennuste'!L106*1000</f>
        <v>4057.6964986237867</v>
      </c>
      <c r="CL106" s="41">
        <f>BZ106/'1. Väestöennuste'!M106*1000</f>
        <v>2373.235433047591</v>
      </c>
      <c r="CM106" s="41">
        <f>CA106/'1. Väestöennuste'!N106*1000</f>
        <v>2290.1471112029913</v>
      </c>
      <c r="CN106" s="41">
        <f>CB106/'1. Väestöennuste'!O106*1000</f>
        <v>2416.6940443000667</v>
      </c>
      <c r="CO106" s="41">
        <f>CC106/'1. Väestöennuste'!P106*1000</f>
        <v>2520.1390955557627</v>
      </c>
      <c r="CP106" s="41">
        <f>CD106/'1. Väestöennuste'!Q106*1000</f>
        <v>2618.3157664096234</v>
      </c>
      <c r="CQ106" s="41">
        <f>CE106/'1. Väestöennuste'!R106*1000</f>
        <v>2724.1957179959049</v>
      </c>
      <c r="CR106" s="41"/>
      <c r="CU106" s="159">
        <f t="shared" si="53"/>
        <v>150.39246817002186</v>
      </c>
      <c r="CV106" s="159">
        <f t="shared" si="54"/>
        <v>167.23836440403966</v>
      </c>
      <c r="CW106" s="159">
        <f t="shared" si="55"/>
        <v>98.928118534590794</v>
      </c>
      <c r="CX106" s="159">
        <f t="shared" si="56"/>
        <v>-1684.4610655761958</v>
      </c>
      <c r="CY106" s="159">
        <f t="shared" si="57"/>
        <v>-83.088321844599704</v>
      </c>
      <c r="CZ106" s="159">
        <f t="shared" si="58"/>
        <v>126.54693309707545</v>
      </c>
      <c r="DA106" s="159">
        <f t="shared" si="61"/>
        <v>103.44505125569594</v>
      </c>
      <c r="DB106" s="159">
        <f t="shared" si="62"/>
        <v>98.176670853860742</v>
      </c>
      <c r="DC106" s="159">
        <f t="shared" si="62"/>
        <v>105.87995158628155</v>
      </c>
    </row>
    <row r="107" spans="1:107" x14ac:dyDescent="0.2">
      <c r="A107" s="99">
        <v>16</v>
      </c>
      <c r="B107" s="30">
        <v>272</v>
      </c>
      <c r="C107" s="47" t="s">
        <v>421</v>
      </c>
      <c r="D107" s="64">
        <v>153284.50735</v>
      </c>
      <c r="E107" s="64">
        <v>14171.524089999999</v>
      </c>
      <c r="F107" s="64">
        <v>14686.476130000001</v>
      </c>
      <c r="G107" s="205">
        <v>182109</v>
      </c>
      <c r="H107" s="205"/>
      <c r="I107" s="64">
        <v>156556</v>
      </c>
      <c r="J107" s="64">
        <v>14432</v>
      </c>
      <c r="K107" s="64">
        <v>12923</v>
      </c>
      <c r="L107" s="205">
        <v>183911</v>
      </c>
      <c r="M107" s="205"/>
      <c r="N107" s="64">
        <v>159221</v>
      </c>
      <c r="O107" s="64">
        <v>15456</v>
      </c>
      <c r="P107" s="64">
        <v>16028</v>
      </c>
      <c r="Q107" s="205">
        <v>190705</v>
      </c>
      <c r="R107" s="205"/>
      <c r="S107" s="64">
        <v>156967</v>
      </c>
      <c r="T107" s="64">
        <v>15332</v>
      </c>
      <c r="U107" s="64">
        <v>15715</v>
      </c>
      <c r="V107" s="205">
        <v>188014</v>
      </c>
      <c r="W107" s="205"/>
      <c r="X107" s="64">
        <v>162710</v>
      </c>
      <c r="Y107" s="64">
        <v>15729</v>
      </c>
      <c r="Z107" s="64">
        <v>16757</v>
      </c>
      <c r="AA107" s="205">
        <f t="shared" si="59"/>
        <v>195196</v>
      </c>
      <c r="AB107" s="205"/>
      <c r="AC107" s="64">
        <v>168285</v>
      </c>
      <c r="AD107" s="64">
        <v>14499</v>
      </c>
      <c r="AE107" s="64">
        <v>19140</v>
      </c>
      <c r="AF107" s="205">
        <f t="shared" si="36"/>
        <v>201924</v>
      </c>
      <c r="AG107" s="205"/>
      <c r="AH107" s="278">
        <v>171521.77741000001</v>
      </c>
      <c r="AI107" s="64">
        <v>16074.46003</v>
      </c>
      <c r="AJ107" s="64">
        <v>24651.216339999999</v>
      </c>
      <c r="AK107" s="205">
        <f t="shared" si="37"/>
        <v>212247.45377999998</v>
      </c>
      <c r="AL107" s="205"/>
      <c r="AM107" s="64">
        <v>179333.63616999998</v>
      </c>
      <c r="AN107" s="64">
        <v>16028.554390000001</v>
      </c>
      <c r="AO107" s="64">
        <v>25974.125960000001</v>
      </c>
      <c r="AP107" s="205">
        <f t="shared" si="38"/>
        <v>221336.31651999999</v>
      </c>
      <c r="AQ107" s="205"/>
      <c r="AR107" s="64">
        <v>91338.164799999999</v>
      </c>
      <c r="AS107" s="64">
        <v>16321.54717</v>
      </c>
      <c r="AT107" s="64">
        <v>17131.8878</v>
      </c>
      <c r="AU107" s="205">
        <f t="shared" si="39"/>
        <v>124791.59977</v>
      </c>
      <c r="AV107" s="205"/>
      <c r="AW107" s="64">
        <v>88441.35086062389</v>
      </c>
      <c r="AX107" s="64">
        <v>18154.827745032722</v>
      </c>
      <c r="AY107" s="64">
        <v>13497.957379151421</v>
      </c>
      <c r="AZ107" s="205">
        <f t="shared" si="40"/>
        <v>120094.13598480803</v>
      </c>
      <c r="BA107" s="205"/>
      <c r="BB107" s="64">
        <v>93541.897449568511</v>
      </c>
      <c r="BC107" s="64">
        <v>18612.961041638748</v>
      </c>
      <c r="BD107" s="64">
        <v>13659.932867701238</v>
      </c>
      <c r="BE107" s="205">
        <f t="shared" si="35"/>
        <v>125814.79135890849</v>
      </c>
      <c r="BF107" s="205"/>
      <c r="BG107" s="64">
        <v>98297.1704432392</v>
      </c>
      <c r="BH107" s="64">
        <v>19230.97039344181</v>
      </c>
      <c r="BI107" s="64">
        <v>14323.261058905251</v>
      </c>
      <c r="BJ107" s="205">
        <f t="shared" si="41"/>
        <v>131851.40189558626</v>
      </c>
      <c r="BK107" s="205"/>
      <c r="BL107" s="64">
        <v>102148.4459746909</v>
      </c>
      <c r="BM107" s="64">
        <v>19910.638408277089</v>
      </c>
      <c r="BN107" s="64">
        <v>15179.41721266857</v>
      </c>
      <c r="BO107" s="205">
        <f t="shared" si="42"/>
        <v>137238.50159563657</v>
      </c>
      <c r="BQ107" s="64">
        <v>106453.44359332058</v>
      </c>
      <c r="BR107" s="64">
        <v>20605.70196835744</v>
      </c>
      <c r="BS107" s="64">
        <v>15711.622389332255</v>
      </c>
      <c r="BT107" s="205">
        <f t="shared" si="43"/>
        <v>142770.76795101026</v>
      </c>
      <c r="BU107" s="205"/>
      <c r="BV107" s="5">
        <f t="shared" si="44"/>
        <v>195196</v>
      </c>
      <c r="BW107" s="5">
        <f t="shared" si="45"/>
        <v>201924</v>
      </c>
      <c r="BX107" s="5">
        <f t="shared" si="46"/>
        <v>212247.45377999998</v>
      </c>
      <c r="BY107" s="5">
        <f t="shared" si="47"/>
        <v>221336.31651999999</v>
      </c>
      <c r="BZ107" s="5">
        <f t="shared" si="48"/>
        <v>124791.59977</v>
      </c>
      <c r="CA107" s="5">
        <f t="shared" si="49"/>
        <v>120094.13598480803</v>
      </c>
      <c r="CB107" s="5">
        <f t="shared" si="50"/>
        <v>125814.79135890849</v>
      </c>
      <c r="CC107" s="5">
        <f t="shared" si="51"/>
        <v>131851.40189558626</v>
      </c>
      <c r="CD107" s="5">
        <f t="shared" si="52"/>
        <v>137238.50159563657</v>
      </c>
      <c r="CE107" s="5">
        <f t="shared" si="60"/>
        <v>142770.76795101026</v>
      </c>
      <c r="CH107" s="41">
        <f>BV107/'1. Väestöennuste'!I107*1000</f>
        <v>4093.7899792370126</v>
      </c>
      <c r="CI107" s="41">
        <f>BW107/'1. Väestöennuste'!J107*1000</f>
        <v>4226.8274302938953</v>
      </c>
      <c r="CJ107" s="41">
        <f>BX107/'1. Väestöennuste'!K107*1000</f>
        <v>4430.2209142332331</v>
      </c>
      <c r="CK107" s="41">
        <f>BY107/'1. Väestöennuste'!L107*1000</f>
        <v>4610.5969362163059</v>
      </c>
      <c r="CL107" s="41">
        <f>BZ107/'1. Väestöennuste'!M107*1000</f>
        <v>2583.944502950616</v>
      </c>
      <c r="CM107" s="41">
        <f>CA107/'1. Väestöennuste'!N107*1000</f>
        <v>2507.91747034223</v>
      </c>
      <c r="CN107" s="41">
        <f>CB107/'1. Väestöennuste'!O107*1000</f>
        <v>2628.149886340836</v>
      </c>
      <c r="CO107" s="41">
        <f>CC107/'1. Väestöennuste'!P107*1000</f>
        <v>2755.9183557800775</v>
      </c>
      <c r="CP107" s="41">
        <f>CD107/'1. Väestöennuste'!Q107*1000</f>
        <v>2870.9181765921926</v>
      </c>
      <c r="CQ107" s="41">
        <f>CE107/'1. Väestöennuste'!R107*1000</f>
        <v>2990.0889660511489</v>
      </c>
      <c r="CR107" s="41"/>
      <c r="CU107" s="159">
        <f t="shared" si="53"/>
        <v>133.03745105688267</v>
      </c>
      <c r="CV107" s="159">
        <f t="shared" si="54"/>
        <v>203.39348393933778</v>
      </c>
      <c r="CW107" s="159">
        <f t="shared" si="55"/>
        <v>180.37602198307286</v>
      </c>
      <c r="CX107" s="159">
        <f t="shared" si="56"/>
        <v>-2026.65243326569</v>
      </c>
      <c r="CY107" s="159">
        <f t="shared" si="57"/>
        <v>-76.02703260838598</v>
      </c>
      <c r="CZ107" s="159">
        <f t="shared" si="58"/>
        <v>120.23241599860603</v>
      </c>
      <c r="DA107" s="159">
        <f t="shared" si="61"/>
        <v>127.76846943924147</v>
      </c>
      <c r="DB107" s="159">
        <f t="shared" si="62"/>
        <v>114.9998208121151</v>
      </c>
      <c r="DC107" s="159">
        <f t="shared" si="62"/>
        <v>119.17078945895628</v>
      </c>
    </row>
    <row r="108" spans="1:107" x14ac:dyDescent="0.2">
      <c r="A108" s="99">
        <v>19</v>
      </c>
      <c r="B108" s="30">
        <v>273</v>
      </c>
      <c r="C108" s="47" t="s">
        <v>422</v>
      </c>
      <c r="D108" s="64">
        <v>10300.151159999999</v>
      </c>
      <c r="E108" s="64">
        <v>3234.5623999999998</v>
      </c>
      <c r="F108" s="64">
        <v>682.71695</v>
      </c>
      <c r="G108" s="205">
        <v>14217</v>
      </c>
      <c r="H108" s="205"/>
      <c r="I108" s="64">
        <v>10199</v>
      </c>
      <c r="J108" s="64">
        <v>3097</v>
      </c>
      <c r="K108" s="64">
        <v>630</v>
      </c>
      <c r="L108" s="205">
        <v>13926</v>
      </c>
      <c r="M108" s="205"/>
      <c r="N108" s="64">
        <v>9989</v>
      </c>
      <c r="O108" s="64">
        <v>732</v>
      </c>
      <c r="P108" s="64">
        <v>3410</v>
      </c>
      <c r="Q108" s="205">
        <v>14131</v>
      </c>
      <c r="R108" s="205"/>
      <c r="S108" s="64">
        <v>10418</v>
      </c>
      <c r="T108" s="64">
        <v>3676</v>
      </c>
      <c r="U108" s="64">
        <v>762</v>
      </c>
      <c r="V108" s="205">
        <v>14856</v>
      </c>
      <c r="W108" s="205"/>
      <c r="X108" s="64">
        <v>10485</v>
      </c>
      <c r="Y108" s="64">
        <v>3781</v>
      </c>
      <c r="Z108" s="64">
        <v>847</v>
      </c>
      <c r="AA108" s="205">
        <f t="shared" si="59"/>
        <v>15113</v>
      </c>
      <c r="AB108" s="205"/>
      <c r="AC108" s="64">
        <v>10750</v>
      </c>
      <c r="AD108" s="64">
        <v>3421</v>
      </c>
      <c r="AE108" s="64">
        <v>943</v>
      </c>
      <c r="AF108" s="205">
        <f t="shared" si="36"/>
        <v>15114</v>
      </c>
      <c r="AG108" s="205"/>
      <c r="AH108" s="278">
        <v>11362.13139</v>
      </c>
      <c r="AI108" s="64">
        <v>3746.51035</v>
      </c>
      <c r="AJ108" s="64">
        <v>1444.3515</v>
      </c>
      <c r="AK108" s="205">
        <f t="shared" si="37"/>
        <v>16552.99324</v>
      </c>
      <c r="AL108" s="205"/>
      <c r="AM108" s="64">
        <v>12384.58798</v>
      </c>
      <c r="AN108" s="64">
        <v>3992.0035499999999</v>
      </c>
      <c r="AO108" s="64">
        <v>1442.25559</v>
      </c>
      <c r="AP108" s="205">
        <f t="shared" si="38"/>
        <v>17818.847119999999</v>
      </c>
      <c r="AQ108" s="205"/>
      <c r="AR108" s="64">
        <v>6628.98981</v>
      </c>
      <c r="AS108" s="64">
        <v>4434.4205899999997</v>
      </c>
      <c r="AT108" s="64">
        <v>871.47993000000008</v>
      </c>
      <c r="AU108" s="205">
        <f t="shared" si="39"/>
        <v>11934.89033</v>
      </c>
      <c r="AV108" s="205"/>
      <c r="AW108" s="64">
        <v>5910.875799719257</v>
      </c>
      <c r="AX108" s="64">
        <v>5103.3521338750943</v>
      </c>
      <c r="AY108" s="64">
        <v>763.06199239463001</v>
      </c>
      <c r="AZ108" s="205">
        <f t="shared" si="40"/>
        <v>11777.289925988982</v>
      </c>
      <c r="BA108" s="205"/>
      <c r="BB108" s="64">
        <v>6501.9540260965659</v>
      </c>
      <c r="BC108" s="64">
        <v>5292.3475315475889</v>
      </c>
      <c r="BD108" s="64">
        <v>772.21873630336552</v>
      </c>
      <c r="BE108" s="205">
        <f t="shared" si="35"/>
        <v>12566.52029394752</v>
      </c>
      <c r="BF108" s="205"/>
      <c r="BG108" s="64">
        <v>6871.8264150657169</v>
      </c>
      <c r="BH108" s="64">
        <v>5532.253550524907</v>
      </c>
      <c r="BI108" s="64">
        <v>809.7177827867589</v>
      </c>
      <c r="BJ108" s="205">
        <f t="shared" si="41"/>
        <v>13213.797748377381</v>
      </c>
      <c r="BK108" s="205"/>
      <c r="BL108" s="64">
        <v>7172.8890176912819</v>
      </c>
      <c r="BM108" s="64">
        <v>5796.2846824382668</v>
      </c>
      <c r="BN108" s="64">
        <v>858.11771487578972</v>
      </c>
      <c r="BO108" s="205">
        <f t="shared" si="42"/>
        <v>13827.291415005337</v>
      </c>
      <c r="BQ108" s="64">
        <v>7481.8471398715383</v>
      </c>
      <c r="BR108" s="64">
        <v>6071.6722596541213</v>
      </c>
      <c r="BS108" s="64">
        <v>888.2041591473494</v>
      </c>
      <c r="BT108" s="205">
        <f t="shared" si="43"/>
        <v>14441.723558673009</v>
      </c>
      <c r="BU108" s="205"/>
      <c r="BV108" s="5">
        <f t="shared" si="44"/>
        <v>15113</v>
      </c>
      <c r="BW108" s="5">
        <f t="shared" si="45"/>
        <v>15114</v>
      </c>
      <c r="BX108" s="5">
        <f t="shared" si="46"/>
        <v>16552.99324</v>
      </c>
      <c r="BY108" s="5">
        <f t="shared" si="47"/>
        <v>17818.847119999999</v>
      </c>
      <c r="BZ108" s="5">
        <f t="shared" si="48"/>
        <v>11934.89033</v>
      </c>
      <c r="CA108" s="5">
        <f t="shared" si="49"/>
        <v>11777.289925988982</v>
      </c>
      <c r="CB108" s="5">
        <f t="shared" si="50"/>
        <v>12566.52029394752</v>
      </c>
      <c r="CC108" s="5">
        <f t="shared" si="51"/>
        <v>13213.797748377381</v>
      </c>
      <c r="CD108" s="5">
        <f t="shared" si="52"/>
        <v>13827.291415005337</v>
      </c>
      <c r="CE108" s="5">
        <f t="shared" si="60"/>
        <v>14441.723558673009</v>
      </c>
      <c r="CH108" s="41">
        <f>BV108/'1. Väestöennuste'!I108*1000</f>
        <v>3929.5371814872592</v>
      </c>
      <c r="CI108" s="41">
        <f>BW108/'1. Väestöennuste'!J108*1000</f>
        <v>3850.7006369426754</v>
      </c>
      <c r="CJ108" s="41">
        <f>BX108/'1. Väestöennuste'!K108*1000</f>
        <v>4149.6598746553018</v>
      </c>
      <c r="CK108" s="41">
        <f>BY108/'1. Väestöennuste'!L108*1000</f>
        <v>4455.825736434108</v>
      </c>
      <c r="CL108" s="41">
        <f>BZ108/'1. Väestöennuste'!M108*1000</f>
        <v>2975.539847918225</v>
      </c>
      <c r="CM108" s="41">
        <f>CA108/'1. Väestöennuste'!N108*1000</f>
        <v>2968.0670176383519</v>
      </c>
      <c r="CN108" s="41">
        <f>CB108/'1. Väestöennuste'!O108*1000</f>
        <v>3162.1842712500052</v>
      </c>
      <c r="CO108" s="41">
        <f>CC108/'1. Väestöennuste'!P108*1000</f>
        <v>3321.7188909948168</v>
      </c>
      <c r="CP108" s="41">
        <f>CD108/'1. Väestöennuste'!Q108*1000</f>
        <v>3476.8145373410453</v>
      </c>
      <c r="CQ108" s="41">
        <f>CE108/'1. Väestöennuste'!R108*1000</f>
        <v>3631.3109275013853</v>
      </c>
      <c r="CR108" s="41"/>
      <c r="CU108" s="159">
        <f t="shared" si="53"/>
        <v>-78.83654454458383</v>
      </c>
      <c r="CV108" s="159">
        <f t="shared" si="54"/>
        <v>298.95923771262642</v>
      </c>
      <c r="CW108" s="159">
        <f t="shared" si="55"/>
        <v>306.16586177880617</v>
      </c>
      <c r="CX108" s="159">
        <f t="shared" si="56"/>
        <v>-1480.285888515883</v>
      </c>
      <c r="CY108" s="159">
        <f t="shared" si="57"/>
        <v>-7.472830279873051</v>
      </c>
      <c r="CZ108" s="159">
        <f t="shared" si="58"/>
        <v>194.11725361165327</v>
      </c>
      <c r="DA108" s="159">
        <f t="shared" si="61"/>
        <v>159.53461974481161</v>
      </c>
      <c r="DB108" s="159">
        <f t="shared" si="62"/>
        <v>155.09564634622848</v>
      </c>
      <c r="DC108" s="159">
        <f t="shared" si="62"/>
        <v>154.49639016034007</v>
      </c>
    </row>
    <row r="109" spans="1:107" x14ac:dyDescent="0.2">
      <c r="A109" s="99">
        <v>13</v>
      </c>
      <c r="B109" s="30">
        <v>275</v>
      </c>
      <c r="C109" s="47" t="s">
        <v>423</v>
      </c>
      <c r="D109" s="64">
        <v>7371.9312699999991</v>
      </c>
      <c r="E109" s="64">
        <v>767.37053000000003</v>
      </c>
      <c r="F109" s="64">
        <v>703.11305000000004</v>
      </c>
      <c r="G109" s="205">
        <v>8842</v>
      </c>
      <c r="H109" s="205"/>
      <c r="I109" s="64">
        <v>7270</v>
      </c>
      <c r="J109" s="64">
        <v>772</v>
      </c>
      <c r="K109" s="64">
        <v>675</v>
      </c>
      <c r="L109" s="205">
        <v>8717</v>
      </c>
      <c r="M109" s="205"/>
      <c r="N109" s="64">
        <v>7241</v>
      </c>
      <c r="O109" s="64">
        <v>765</v>
      </c>
      <c r="P109" s="64">
        <v>808</v>
      </c>
      <c r="Q109" s="205">
        <v>8814</v>
      </c>
      <c r="R109" s="205"/>
      <c r="S109" s="64">
        <v>7329</v>
      </c>
      <c r="T109" s="64">
        <v>782</v>
      </c>
      <c r="U109" s="64">
        <v>806</v>
      </c>
      <c r="V109" s="205">
        <v>8917</v>
      </c>
      <c r="W109" s="205"/>
      <c r="X109" s="64">
        <v>7138</v>
      </c>
      <c r="Y109" s="64">
        <v>812</v>
      </c>
      <c r="Z109" s="64">
        <v>874</v>
      </c>
      <c r="AA109" s="205">
        <f t="shared" si="59"/>
        <v>8824</v>
      </c>
      <c r="AB109" s="205"/>
      <c r="AC109" s="64">
        <v>7034</v>
      </c>
      <c r="AD109" s="64">
        <v>730</v>
      </c>
      <c r="AE109" s="64">
        <v>940</v>
      </c>
      <c r="AF109" s="205">
        <f t="shared" si="36"/>
        <v>8704</v>
      </c>
      <c r="AG109" s="205"/>
      <c r="AH109" s="278">
        <v>7373.6033499999994</v>
      </c>
      <c r="AI109" s="64">
        <v>803.66674999999998</v>
      </c>
      <c r="AJ109" s="64">
        <v>1326.2630800000002</v>
      </c>
      <c r="AK109" s="205">
        <f t="shared" si="37"/>
        <v>9503.5331800000004</v>
      </c>
      <c r="AL109" s="205"/>
      <c r="AM109" s="64">
        <v>7842.2395400000005</v>
      </c>
      <c r="AN109" s="64">
        <v>860.11566000000005</v>
      </c>
      <c r="AO109" s="64">
        <v>1276.90851</v>
      </c>
      <c r="AP109" s="205">
        <f t="shared" si="38"/>
        <v>9979.2637099999993</v>
      </c>
      <c r="AQ109" s="205"/>
      <c r="AR109" s="64">
        <v>3827.5499799999998</v>
      </c>
      <c r="AS109" s="64">
        <v>876.98881999999992</v>
      </c>
      <c r="AT109" s="64">
        <v>753.57169999999996</v>
      </c>
      <c r="AU109" s="205">
        <f t="shared" si="39"/>
        <v>5458.1104999999989</v>
      </c>
      <c r="AV109" s="205"/>
      <c r="AW109" s="64">
        <v>3975.0544554732064</v>
      </c>
      <c r="AX109" s="64">
        <v>935.53244251386855</v>
      </c>
      <c r="AY109" s="64">
        <v>648.72767970738664</v>
      </c>
      <c r="AZ109" s="205">
        <f t="shared" si="40"/>
        <v>5559.3145776944611</v>
      </c>
      <c r="BA109" s="205"/>
      <c r="BB109" s="64">
        <v>4184.2962284274035</v>
      </c>
      <c r="BC109" s="64">
        <v>944.02027863071453</v>
      </c>
      <c r="BD109" s="64">
        <v>656.51241186387517</v>
      </c>
      <c r="BE109" s="205">
        <f t="shared" si="35"/>
        <v>5784.8289189219931</v>
      </c>
      <c r="BF109" s="205"/>
      <c r="BG109" s="64">
        <v>4313.7880353410692</v>
      </c>
      <c r="BH109" s="64">
        <v>959.82999440548849</v>
      </c>
      <c r="BI109" s="64">
        <v>688.3927435523525</v>
      </c>
      <c r="BJ109" s="205">
        <f t="shared" si="41"/>
        <v>5962.0107732989109</v>
      </c>
      <c r="BK109" s="205"/>
      <c r="BL109" s="64">
        <v>4434.0604617463423</v>
      </c>
      <c r="BM109" s="64">
        <v>977.76286911863315</v>
      </c>
      <c r="BN109" s="64">
        <v>729.54061352236397</v>
      </c>
      <c r="BO109" s="205">
        <f t="shared" si="42"/>
        <v>6141.363944387339</v>
      </c>
      <c r="BQ109" s="64">
        <v>4562.28140783448</v>
      </c>
      <c r="BR109" s="64">
        <v>995.44865843454613</v>
      </c>
      <c r="BS109" s="64">
        <v>755.11901917939804</v>
      </c>
      <c r="BT109" s="205">
        <f t="shared" si="43"/>
        <v>6312.8490854484244</v>
      </c>
      <c r="BU109" s="205"/>
      <c r="BV109" s="5">
        <f t="shared" si="44"/>
        <v>8824</v>
      </c>
      <c r="BW109" s="5">
        <f t="shared" si="45"/>
        <v>8704</v>
      </c>
      <c r="BX109" s="5">
        <f t="shared" si="46"/>
        <v>9503.5331800000004</v>
      </c>
      <c r="BY109" s="5">
        <f t="shared" si="47"/>
        <v>9979.2637099999993</v>
      </c>
      <c r="BZ109" s="5">
        <f t="shared" si="48"/>
        <v>5458.1104999999989</v>
      </c>
      <c r="CA109" s="5">
        <f t="shared" si="49"/>
        <v>5559.3145776944611</v>
      </c>
      <c r="CB109" s="5">
        <f t="shared" si="50"/>
        <v>5784.8289189219931</v>
      </c>
      <c r="CC109" s="5">
        <f t="shared" si="51"/>
        <v>5962.0107732989109</v>
      </c>
      <c r="CD109" s="5">
        <f t="shared" si="52"/>
        <v>6141.363944387339</v>
      </c>
      <c r="CE109" s="5">
        <f t="shared" si="60"/>
        <v>6312.8490854484244</v>
      </c>
      <c r="CH109" s="41">
        <f>BV109/'1. Väestöennuste'!I109*1000</f>
        <v>3358.9645984012182</v>
      </c>
      <c r="CI109" s="41">
        <f>BW109/'1. Väestöennuste'!J109*1000</f>
        <v>3356.729656768222</v>
      </c>
      <c r="CJ109" s="41">
        <f>BX109/'1. Väestöennuste'!K109*1000</f>
        <v>3674.9934957463265</v>
      </c>
      <c r="CK109" s="41">
        <f>BY109/'1. Väestöennuste'!L109*1000</f>
        <v>3958.4544664815548</v>
      </c>
      <c r="CL109" s="41">
        <f>BZ109/'1. Väestöennuste'!M109*1000</f>
        <v>2184.1178471388553</v>
      </c>
      <c r="CM109" s="41">
        <f>CA109/'1. Väestöennuste'!N109*1000</f>
        <v>2269.1079908956985</v>
      </c>
      <c r="CN109" s="41">
        <f>CB109/'1. Väestöennuste'!O109*1000</f>
        <v>2391.4133604472895</v>
      </c>
      <c r="CO109" s="41">
        <f>CC109/'1. Väestöennuste'!P109*1000</f>
        <v>2494.5651771125149</v>
      </c>
      <c r="CP109" s="41">
        <f>CD109/'1. Väestöennuste'!Q109*1000</f>
        <v>2602.2728577912453</v>
      </c>
      <c r="CQ109" s="41">
        <f>CE109/'1. Väestöennuste'!R109*1000</f>
        <v>2708.2149658723397</v>
      </c>
      <c r="CR109" s="41"/>
      <c r="CU109" s="159">
        <f t="shared" si="53"/>
        <v>-2.2349416329961969</v>
      </c>
      <c r="CV109" s="159">
        <f t="shared" si="54"/>
        <v>318.26383897810456</v>
      </c>
      <c r="CW109" s="159">
        <f t="shared" si="55"/>
        <v>283.46097073522833</v>
      </c>
      <c r="CX109" s="159">
        <f t="shared" si="56"/>
        <v>-1774.3366193426996</v>
      </c>
      <c r="CY109" s="159">
        <f t="shared" si="57"/>
        <v>84.990143756843281</v>
      </c>
      <c r="CZ109" s="159">
        <f t="shared" si="58"/>
        <v>122.30536955159096</v>
      </c>
      <c r="DA109" s="159">
        <f t="shared" si="61"/>
        <v>103.1518166652254</v>
      </c>
      <c r="DB109" s="159">
        <f t="shared" si="62"/>
        <v>107.70768067873041</v>
      </c>
      <c r="DC109" s="159">
        <f t="shared" si="62"/>
        <v>105.94210808109437</v>
      </c>
    </row>
    <row r="110" spans="1:107" x14ac:dyDescent="0.2">
      <c r="A110" s="99">
        <v>12</v>
      </c>
      <c r="B110" s="30">
        <v>276</v>
      </c>
      <c r="C110" s="47" t="s">
        <v>424</v>
      </c>
      <c r="D110" s="64">
        <v>45675.432200000003</v>
      </c>
      <c r="E110" s="64">
        <v>2511.2232200000003</v>
      </c>
      <c r="F110" s="64">
        <v>2104.51793</v>
      </c>
      <c r="G110" s="205">
        <v>50282</v>
      </c>
      <c r="H110" s="205"/>
      <c r="I110" s="64">
        <v>46273</v>
      </c>
      <c r="J110" s="64">
        <v>2601</v>
      </c>
      <c r="K110" s="64">
        <v>2005</v>
      </c>
      <c r="L110" s="205">
        <v>50879</v>
      </c>
      <c r="M110" s="205"/>
      <c r="N110" s="64">
        <v>46157</v>
      </c>
      <c r="O110" s="64">
        <v>2721</v>
      </c>
      <c r="P110" s="64">
        <v>1873</v>
      </c>
      <c r="Q110" s="205">
        <v>50751</v>
      </c>
      <c r="R110" s="205"/>
      <c r="S110" s="64">
        <v>45058</v>
      </c>
      <c r="T110" s="64">
        <v>2812</v>
      </c>
      <c r="U110" s="64">
        <v>1444</v>
      </c>
      <c r="V110" s="205">
        <v>49314</v>
      </c>
      <c r="W110" s="205"/>
      <c r="X110" s="64">
        <v>47876</v>
      </c>
      <c r="Y110" s="64">
        <v>2905</v>
      </c>
      <c r="Z110" s="64">
        <v>1923</v>
      </c>
      <c r="AA110" s="205">
        <f t="shared" si="59"/>
        <v>52704</v>
      </c>
      <c r="AB110" s="205"/>
      <c r="AC110" s="64">
        <v>49067</v>
      </c>
      <c r="AD110" s="64">
        <v>2612</v>
      </c>
      <c r="AE110" s="64">
        <v>2340</v>
      </c>
      <c r="AF110" s="205">
        <f t="shared" si="36"/>
        <v>54019</v>
      </c>
      <c r="AG110" s="205"/>
      <c r="AH110" s="278">
        <v>50758.762329999998</v>
      </c>
      <c r="AI110" s="64">
        <v>2952.7737499999998</v>
      </c>
      <c r="AJ110" s="64">
        <v>3293.77043</v>
      </c>
      <c r="AK110" s="205">
        <f t="shared" si="37"/>
        <v>57005.306509999995</v>
      </c>
      <c r="AL110" s="205"/>
      <c r="AM110" s="64">
        <v>54493.459390000004</v>
      </c>
      <c r="AN110" s="64">
        <v>3134.0191500000001</v>
      </c>
      <c r="AO110" s="64">
        <v>4007.6959400000001</v>
      </c>
      <c r="AP110" s="205">
        <f t="shared" si="38"/>
        <v>61635.174480000001</v>
      </c>
      <c r="AQ110" s="205"/>
      <c r="AR110" s="64">
        <v>25983.072079999998</v>
      </c>
      <c r="AS110" s="64">
        <v>3527.2430099999997</v>
      </c>
      <c r="AT110" s="64">
        <v>2975.77646</v>
      </c>
      <c r="AU110" s="205">
        <f t="shared" si="39"/>
        <v>32486.091549999997</v>
      </c>
      <c r="AV110" s="205"/>
      <c r="AW110" s="64">
        <v>26352.969826883105</v>
      </c>
      <c r="AX110" s="64">
        <v>3608.6079295204095</v>
      </c>
      <c r="AY110" s="64">
        <v>2269.0027732585186</v>
      </c>
      <c r="AZ110" s="205">
        <f t="shared" si="40"/>
        <v>32230.580529662035</v>
      </c>
      <c r="BA110" s="205"/>
      <c r="BB110" s="64">
        <v>28220.764209528235</v>
      </c>
      <c r="BC110" s="64">
        <v>3629.6297028892036</v>
      </c>
      <c r="BD110" s="64">
        <v>2296.2308065376205</v>
      </c>
      <c r="BE110" s="205">
        <f t="shared" si="35"/>
        <v>34146.624718955063</v>
      </c>
      <c r="BF110" s="205"/>
      <c r="BG110" s="64">
        <v>29747.199524949967</v>
      </c>
      <c r="BH110" s="64">
        <v>3678.6432440530348</v>
      </c>
      <c r="BI110" s="64">
        <v>2407.7360856806108</v>
      </c>
      <c r="BJ110" s="205">
        <f t="shared" si="41"/>
        <v>35833.578854683612</v>
      </c>
      <c r="BK110" s="205"/>
      <c r="BL110" s="64">
        <v>30924.726326920474</v>
      </c>
      <c r="BM110" s="64">
        <v>3735.5236757454577</v>
      </c>
      <c r="BN110" s="64">
        <v>2551.6556901558652</v>
      </c>
      <c r="BO110" s="205">
        <f t="shared" si="42"/>
        <v>37211.905692821798</v>
      </c>
      <c r="BQ110" s="64">
        <v>32222.982932878294</v>
      </c>
      <c r="BR110" s="64">
        <v>3791.1737272573428</v>
      </c>
      <c r="BS110" s="64">
        <v>2641.1192280729156</v>
      </c>
      <c r="BT110" s="205">
        <f t="shared" si="43"/>
        <v>38655.275888208555</v>
      </c>
      <c r="BU110" s="205"/>
      <c r="BV110" s="5">
        <f t="shared" si="44"/>
        <v>52704</v>
      </c>
      <c r="BW110" s="5">
        <f t="shared" si="45"/>
        <v>54019</v>
      </c>
      <c r="BX110" s="5">
        <f t="shared" si="46"/>
        <v>57005.306509999995</v>
      </c>
      <c r="BY110" s="5">
        <f t="shared" si="47"/>
        <v>61635.174480000001</v>
      </c>
      <c r="BZ110" s="5">
        <f t="shared" si="48"/>
        <v>32486.091549999997</v>
      </c>
      <c r="CA110" s="5">
        <f t="shared" si="49"/>
        <v>32230.580529662035</v>
      </c>
      <c r="CB110" s="5">
        <f t="shared" si="50"/>
        <v>34146.624718955063</v>
      </c>
      <c r="CC110" s="5">
        <f t="shared" si="51"/>
        <v>35833.578854683612</v>
      </c>
      <c r="CD110" s="5">
        <f t="shared" si="52"/>
        <v>37211.905692821798</v>
      </c>
      <c r="CE110" s="5">
        <f t="shared" si="60"/>
        <v>38655.275888208555</v>
      </c>
      <c r="CH110" s="41">
        <f>BV110/'1. Väestöennuste'!I110*1000</f>
        <v>3556.0353552391875</v>
      </c>
      <c r="CI110" s="41">
        <f>BW110/'1. Väestöennuste'!J110*1000</f>
        <v>3635.9291916268426</v>
      </c>
      <c r="CJ110" s="41">
        <f>BX110/'1. Väestöennuste'!K110*1000</f>
        <v>3791.5069178583303</v>
      </c>
      <c r="CK110" s="41">
        <f>BY110/'1. Väestöennuste'!L110*1000</f>
        <v>4066.4494609751268</v>
      </c>
      <c r="CL110" s="41">
        <f>BZ110/'1. Väestöennuste'!M110*1000</f>
        <v>2146.279832848837</v>
      </c>
      <c r="CM110" s="41">
        <f>CA110/'1. Väestöennuste'!N110*1000</f>
        <v>2156.0358906724218</v>
      </c>
      <c r="CN110" s="41">
        <f>CB110/'1. Väestöennuste'!O110*1000</f>
        <v>2284.6664471400413</v>
      </c>
      <c r="CO110" s="41">
        <f>CC110/'1. Väestöennuste'!P110*1000</f>
        <v>2399.7842790439067</v>
      </c>
      <c r="CP110" s="41">
        <f>CD110/'1. Väestöennuste'!Q110*1000</f>
        <v>2495.6009451292198</v>
      </c>
      <c r="CQ110" s="41">
        <f>CE110/'1. Väestöennuste'!R110*1000</f>
        <v>2597.4516790894068</v>
      </c>
      <c r="CR110" s="41"/>
      <c r="CU110" s="159">
        <f t="shared" si="53"/>
        <v>79.893836387655028</v>
      </c>
      <c r="CV110" s="159">
        <f t="shared" si="54"/>
        <v>155.57772623148776</v>
      </c>
      <c r="CW110" s="159">
        <f t="shared" si="55"/>
        <v>274.94254311679651</v>
      </c>
      <c r="CX110" s="159">
        <f t="shared" si="56"/>
        <v>-1920.1696281262898</v>
      </c>
      <c r="CY110" s="159">
        <f t="shared" si="57"/>
        <v>9.756057823584797</v>
      </c>
      <c r="CZ110" s="159">
        <f t="shared" si="58"/>
        <v>128.6305564676195</v>
      </c>
      <c r="DA110" s="159">
        <f t="shared" si="61"/>
        <v>115.11783190386541</v>
      </c>
      <c r="DB110" s="159">
        <f t="shared" si="62"/>
        <v>95.816666085313045</v>
      </c>
      <c r="DC110" s="159">
        <f t="shared" si="62"/>
        <v>101.85073396018697</v>
      </c>
    </row>
    <row r="111" spans="1:107" x14ac:dyDescent="0.2">
      <c r="A111" s="99">
        <v>15</v>
      </c>
      <c r="B111" s="30">
        <v>280</v>
      </c>
      <c r="C111" s="47" t="s">
        <v>425</v>
      </c>
      <c r="D111" s="64">
        <v>5016.4931500000002</v>
      </c>
      <c r="E111" s="64">
        <v>648.13389000000006</v>
      </c>
      <c r="F111" s="64">
        <v>969.10587999999996</v>
      </c>
      <c r="G111" s="205">
        <v>6631</v>
      </c>
      <c r="H111" s="205"/>
      <c r="I111" s="64">
        <v>5467</v>
      </c>
      <c r="J111" s="64">
        <v>694</v>
      </c>
      <c r="K111" s="64">
        <v>882</v>
      </c>
      <c r="L111" s="205">
        <v>7040</v>
      </c>
      <c r="M111" s="205"/>
      <c r="N111" s="64">
        <v>5407</v>
      </c>
      <c r="O111" s="64">
        <v>709</v>
      </c>
      <c r="P111" s="64">
        <v>975</v>
      </c>
      <c r="Q111" s="205">
        <v>7091</v>
      </c>
      <c r="R111" s="205"/>
      <c r="S111" s="64">
        <v>5066</v>
      </c>
      <c r="T111" s="64">
        <v>721</v>
      </c>
      <c r="U111" s="64">
        <v>852</v>
      </c>
      <c r="V111" s="205">
        <v>6639</v>
      </c>
      <c r="W111" s="205"/>
      <c r="X111" s="64">
        <v>5472</v>
      </c>
      <c r="Y111" s="64">
        <v>728</v>
      </c>
      <c r="Z111" s="64">
        <v>717</v>
      </c>
      <c r="AA111" s="205">
        <f t="shared" si="59"/>
        <v>6917</v>
      </c>
      <c r="AB111" s="205"/>
      <c r="AC111" s="64">
        <v>5300</v>
      </c>
      <c r="AD111" s="64">
        <v>658</v>
      </c>
      <c r="AE111" s="64">
        <v>648</v>
      </c>
      <c r="AF111" s="205">
        <f t="shared" si="36"/>
        <v>6606</v>
      </c>
      <c r="AG111" s="205"/>
      <c r="AH111" s="278">
        <v>6188.6280500000003</v>
      </c>
      <c r="AI111" s="64">
        <v>717.56928000000005</v>
      </c>
      <c r="AJ111" s="64">
        <v>883.47026000000005</v>
      </c>
      <c r="AK111" s="205">
        <f t="shared" si="37"/>
        <v>7789.66759</v>
      </c>
      <c r="AL111" s="205"/>
      <c r="AM111" s="64">
        <v>6236.6483499999995</v>
      </c>
      <c r="AN111" s="64">
        <v>809.85092000000009</v>
      </c>
      <c r="AO111" s="64">
        <v>911.09198000000004</v>
      </c>
      <c r="AP111" s="205">
        <f t="shared" si="38"/>
        <v>7957.5912499999995</v>
      </c>
      <c r="AQ111" s="205"/>
      <c r="AR111" s="64">
        <v>3150.7506400000002</v>
      </c>
      <c r="AS111" s="64">
        <v>828.73806999999999</v>
      </c>
      <c r="AT111" s="64">
        <v>571.32245</v>
      </c>
      <c r="AU111" s="205">
        <f t="shared" si="39"/>
        <v>4550.8111600000002</v>
      </c>
      <c r="AV111" s="205"/>
      <c r="AW111" s="64">
        <v>3184.0170827056822</v>
      </c>
      <c r="AX111" s="64">
        <v>871.1675599055128</v>
      </c>
      <c r="AY111" s="64">
        <v>417.55314453798661</v>
      </c>
      <c r="AZ111" s="205">
        <f t="shared" si="40"/>
        <v>4472.7377871491817</v>
      </c>
      <c r="BA111" s="205"/>
      <c r="BB111" s="64">
        <v>3386.9931709035759</v>
      </c>
      <c r="BC111" s="64">
        <v>881.3088029853518</v>
      </c>
      <c r="BD111" s="64">
        <v>422.56378227244244</v>
      </c>
      <c r="BE111" s="205">
        <f t="shared" si="35"/>
        <v>4690.86575616137</v>
      </c>
      <c r="BF111" s="205"/>
      <c r="BG111" s="64">
        <v>3578.2125412837931</v>
      </c>
      <c r="BH111" s="64">
        <v>898.33413584332664</v>
      </c>
      <c r="BI111" s="64">
        <v>443.08353680402354</v>
      </c>
      <c r="BJ111" s="205">
        <f t="shared" si="41"/>
        <v>4919.6302139311429</v>
      </c>
      <c r="BK111" s="205"/>
      <c r="BL111" s="64">
        <v>3725.481495003432</v>
      </c>
      <c r="BM111" s="64">
        <v>917.41745785787714</v>
      </c>
      <c r="BN111" s="64">
        <v>469.56833625757582</v>
      </c>
      <c r="BO111" s="205">
        <f t="shared" si="42"/>
        <v>5112.4672891188848</v>
      </c>
      <c r="BQ111" s="64">
        <v>3872.2383931495133</v>
      </c>
      <c r="BR111" s="64">
        <v>936.34411524535778</v>
      </c>
      <c r="BS111" s="64">
        <v>486.0318602422164</v>
      </c>
      <c r="BT111" s="205">
        <f t="shared" si="43"/>
        <v>5294.6143686370879</v>
      </c>
      <c r="BU111" s="205"/>
      <c r="BV111" s="5">
        <f t="shared" si="44"/>
        <v>6917</v>
      </c>
      <c r="BW111" s="5">
        <f t="shared" si="45"/>
        <v>6606</v>
      </c>
      <c r="BX111" s="5">
        <f t="shared" si="46"/>
        <v>7789.66759</v>
      </c>
      <c r="BY111" s="5">
        <f t="shared" si="47"/>
        <v>7957.5912499999995</v>
      </c>
      <c r="BZ111" s="5">
        <f t="shared" si="48"/>
        <v>4550.8111600000002</v>
      </c>
      <c r="CA111" s="5">
        <f t="shared" si="49"/>
        <v>4472.7377871491817</v>
      </c>
      <c r="CB111" s="5">
        <f t="shared" si="50"/>
        <v>4690.86575616137</v>
      </c>
      <c r="CC111" s="5">
        <f t="shared" si="51"/>
        <v>4919.6302139311429</v>
      </c>
      <c r="CD111" s="5">
        <f t="shared" si="52"/>
        <v>5112.4672891188848</v>
      </c>
      <c r="CE111" s="5">
        <f t="shared" si="60"/>
        <v>5294.6143686370879</v>
      </c>
      <c r="CH111" s="41">
        <f>BV111/'1. Väestöennuste'!I111*1000</f>
        <v>3330.2840635532016</v>
      </c>
      <c r="CI111" s="41">
        <f>BW111/'1. Väestöennuste'!J111*1000</f>
        <v>3194.3907156673113</v>
      </c>
      <c r="CJ111" s="41">
        <f>BX111/'1. Väestöennuste'!K111*1000</f>
        <v>3799.837848780488</v>
      </c>
      <c r="CK111" s="41">
        <f>BY111/'1. Väestöennuste'!L111*1000</f>
        <v>3931.616230237154</v>
      </c>
      <c r="CL111" s="41">
        <f>BZ111/'1. Väestöennuste'!M111*1000</f>
        <v>2258.4670769230775</v>
      </c>
      <c r="CM111" s="41">
        <f>CA111/'1. Väestöennuste'!N111*1000</f>
        <v>2219.720986178254</v>
      </c>
      <c r="CN111" s="41">
        <f>CB111/'1. Väestöennuste'!O111*1000</f>
        <v>2339.5839182849727</v>
      </c>
      <c r="CO111" s="41">
        <f>CC111/'1. Väestöennuste'!P111*1000</f>
        <v>2465.980057108342</v>
      </c>
      <c r="CP111" s="41">
        <f>CD111/'1. Väestöennuste'!Q111*1000</f>
        <v>2579.4486827037763</v>
      </c>
      <c r="CQ111" s="41">
        <f>CE111/'1. Väestöennuste'!R111*1000</f>
        <v>2686.2579242197298</v>
      </c>
      <c r="CR111" s="41"/>
      <c r="CU111" s="159">
        <f t="shared" si="53"/>
        <v>-135.89334788589031</v>
      </c>
      <c r="CV111" s="159">
        <f t="shared" si="54"/>
        <v>605.44713311317673</v>
      </c>
      <c r="CW111" s="159">
        <f t="shared" si="55"/>
        <v>131.77838145666601</v>
      </c>
      <c r="CX111" s="159">
        <f t="shared" si="56"/>
        <v>-1673.1491533140766</v>
      </c>
      <c r="CY111" s="159">
        <f t="shared" si="57"/>
        <v>-38.746090744823505</v>
      </c>
      <c r="CZ111" s="159">
        <f t="shared" si="58"/>
        <v>119.86293210671874</v>
      </c>
      <c r="DA111" s="159">
        <f t="shared" si="61"/>
        <v>126.39613882336926</v>
      </c>
      <c r="DB111" s="159">
        <f t="shared" si="62"/>
        <v>113.46862559543433</v>
      </c>
      <c r="DC111" s="159">
        <f t="shared" si="62"/>
        <v>106.80924151595354</v>
      </c>
    </row>
    <row r="112" spans="1:107" x14ac:dyDescent="0.2">
      <c r="A112" s="99">
        <v>2</v>
      </c>
      <c r="B112" s="30">
        <v>284</v>
      </c>
      <c r="C112" s="47" t="s">
        <v>426</v>
      </c>
      <c r="D112" s="64">
        <v>6008.2873600000003</v>
      </c>
      <c r="E112" s="64">
        <v>479.90868</v>
      </c>
      <c r="F112" s="64">
        <v>379.09765999999996</v>
      </c>
      <c r="G112" s="205">
        <v>6869</v>
      </c>
      <c r="H112" s="205"/>
      <c r="I112" s="64">
        <v>5938</v>
      </c>
      <c r="J112" s="64">
        <v>475</v>
      </c>
      <c r="K112" s="64">
        <v>374</v>
      </c>
      <c r="L112" s="205">
        <v>6788</v>
      </c>
      <c r="M112" s="205"/>
      <c r="N112" s="64">
        <v>6359</v>
      </c>
      <c r="O112" s="64">
        <v>536</v>
      </c>
      <c r="P112" s="64">
        <v>543</v>
      </c>
      <c r="Q112" s="205">
        <v>7438</v>
      </c>
      <c r="R112" s="205"/>
      <c r="S112" s="64">
        <v>5587</v>
      </c>
      <c r="T112" s="64">
        <v>526</v>
      </c>
      <c r="U112" s="64">
        <v>599</v>
      </c>
      <c r="V112" s="205">
        <v>6712</v>
      </c>
      <c r="W112" s="205"/>
      <c r="X112" s="64">
        <v>5858</v>
      </c>
      <c r="Y112" s="64">
        <v>528</v>
      </c>
      <c r="Z112" s="64">
        <v>580</v>
      </c>
      <c r="AA112" s="205">
        <f t="shared" si="59"/>
        <v>6966</v>
      </c>
      <c r="AB112" s="205"/>
      <c r="AC112" s="64">
        <v>6366</v>
      </c>
      <c r="AD112" s="64">
        <v>465</v>
      </c>
      <c r="AE112" s="64">
        <v>704</v>
      </c>
      <c r="AF112" s="205">
        <f t="shared" si="36"/>
        <v>7535</v>
      </c>
      <c r="AG112" s="205"/>
      <c r="AH112" s="278">
        <v>6534.1101200000003</v>
      </c>
      <c r="AI112" s="64">
        <v>513.30912999999998</v>
      </c>
      <c r="AJ112" s="64">
        <v>1001.35763</v>
      </c>
      <c r="AK112" s="205">
        <f t="shared" si="37"/>
        <v>8048.7768799999994</v>
      </c>
      <c r="AL112" s="205"/>
      <c r="AM112" s="64">
        <v>6436.3707699999995</v>
      </c>
      <c r="AN112" s="64">
        <v>550.52913999999998</v>
      </c>
      <c r="AO112" s="64">
        <v>787.06894999999997</v>
      </c>
      <c r="AP112" s="205">
        <f t="shared" si="38"/>
        <v>7773.968859999999</v>
      </c>
      <c r="AQ112" s="205"/>
      <c r="AR112" s="64">
        <v>3296.7439300000001</v>
      </c>
      <c r="AS112" s="64">
        <v>553.21071999999992</v>
      </c>
      <c r="AT112" s="64">
        <v>949.98969</v>
      </c>
      <c r="AU112" s="205">
        <f t="shared" si="39"/>
        <v>4799.94434</v>
      </c>
      <c r="AV112" s="205"/>
      <c r="AW112" s="64">
        <v>2946.918671616098</v>
      </c>
      <c r="AX112" s="64">
        <v>558.96414890926962</v>
      </c>
      <c r="AY112" s="64">
        <v>1545.5341556235171</v>
      </c>
      <c r="AZ112" s="205">
        <f t="shared" si="40"/>
        <v>5051.4169761488847</v>
      </c>
      <c r="BA112" s="205"/>
      <c r="BB112" s="64">
        <v>3102.5015419495821</v>
      </c>
      <c r="BC112" s="64">
        <v>553.34415924273048</v>
      </c>
      <c r="BD112" s="64">
        <v>1564.0805654909993</v>
      </c>
      <c r="BE112" s="205">
        <f t="shared" si="35"/>
        <v>5219.926266683312</v>
      </c>
      <c r="BF112" s="205"/>
      <c r="BG112" s="64">
        <v>3202.9622667541598</v>
      </c>
      <c r="BH112" s="64">
        <v>552.07425167345798</v>
      </c>
      <c r="BI112" s="64">
        <v>1640.0325297102122</v>
      </c>
      <c r="BJ112" s="205">
        <f t="shared" si="41"/>
        <v>5395.0690481378297</v>
      </c>
      <c r="BK112" s="205"/>
      <c r="BL112" s="64">
        <v>3294.5025631224566</v>
      </c>
      <c r="BM112" s="64">
        <v>551.98326273743169</v>
      </c>
      <c r="BN112" s="64">
        <v>1738.0635532954752</v>
      </c>
      <c r="BO112" s="205">
        <f t="shared" si="42"/>
        <v>5584.5493791553636</v>
      </c>
      <c r="BQ112" s="64">
        <v>3407.2400347923394</v>
      </c>
      <c r="BR112" s="64">
        <v>551.69640632864821</v>
      </c>
      <c r="BS112" s="64">
        <v>1799.001757145774</v>
      </c>
      <c r="BT112" s="205">
        <f t="shared" si="43"/>
        <v>5757.9381982667619</v>
      </c>
      <c r="BU112" s="205"/>
      <c r="BV112" s="5">
        <f t="shared" si="44"/>
        <v>6966</v>
      </c>
      <c r="BW112" s="5">
        <f t="shared" si="45"/>
        <v>7535</v>
      </c>
      <c r="BX112" s="5">
        <f t="shared" si="46"/>
        <v>8048.7768799999994</v>
      </c>
      <c r="BY112" s="5">
        <f t="shared" si="47"/>
        <v>7773.968859999999</v>
      </c>
      <c r="BZ112" s="5">
        <f t="shared" si="48"/>
        <v>4799.94434</v>
      </c>
      <c r="CA112" s="5">
        <f t="shared" si="49"/>
        <v>5051.4169761488847</v>
      </c>
      <c r="CB112" s="5">
        <f t="shared" si="50"/>
        <v>5219.926266683312</v>
      </c>
      <c r="CC112" s="5">
        <f t="shared" si="51"/>
        <v>5395.0690481378297</v>
      </c>
      <c r="CD112" s="5">
        <f t="shared" si="52"/>
        <v>5584.5493791553636</v>
      </c>
      <c r="CE112" s="5">
        <f t="shared" si="60"/>
        <v>5757.9381982667619</v>
      </c>
      <c r="CH112" s="41">
        <f>BV112/'1. Väestöennuste'!I112*1000</f>
        <v>3018.1975736568456</v>
      </c>
      <c r="CI112" s="41">
        <f>BW112/'1. Väestöennuste'!J112*1000</f>
        <v>3287.5218150087262</v>
      </c>
      <c r="CJ112" s="41">
        <f>BX112/'1. Väestöennuste'!K112*1000</f>
        <v>3544.1553852928223</v>
      </c>
      <c r="CK112" s="41">
        <f>BY112/'1. Väestöennuste'!L112*1000</f>
        <v>3490.780808262236</v>
      </c>
      <c r="CL112" s="41">
        <f>BZ112/'1. Väestöennuste'!M112*1000</f>
        <v>2174.872831898505</v>
      </c>
      <c r="CM112" s="41">
        <f>CA112/'1. Väestöennuste'!N112*1000</f>
        <v>2298.1878872378911</v>
      </c>
      <c r="CN112" s="41">
        <f>CB112/'1. Väestöennuste'!O112*1000</f>
        <v>2397.7612616827341</v>
      </c>
      <c r="CO112" s="41">
        <f>CC112/'1. Väestöennuste'!P112*1000</f>
        <v>2501.1910283439174</v>
      </c>
      <c r="CP112" s="41">
        <f>CD112/'1. Väestöennuste'!Q112*1000</f>
        <v>2610.8225241493051</v>
      </c>
      <c r="CQ112" s="41">
        <f>CE112/'1. Väestöennuste'!R112*1000</f>
        <v>2718.5732758577724</v>
      </c>
      <c r="CR112" s="41"/>
      <c r="CU112" s="159">
        <f t="shared" si="53"/>
        <v>269.32424135188057</v>
      </c>
      <c r="CV112" s="159">
        <f t="shared" si="54"/>
        <v>256.63357028409609</v>
      </c>
      <c r="CW112" s="159">
        <f t="shared" si="55"/>
        <v>-53.374577030586352</v>
      </c>
      <c r="CX112" s="159">
        <f t="shared" si="56"/>
        <v>-1315.907976363731</v>
      </c>
      <c r="CY112" s="159">
        <f t="shared" si="57"/>
        <v>123.31505533938616</v>
      </c>
      <c r="CZ112" s="159">
        <f t="shared" si="58"/>
        <v>99.573374444843012</v>
      </c>
      <c r="DA112" s="159">
        <f t="shared" si="61"/>
        <v>103.42976666118329</v>
      </c>
      <c r="DB112" s="159">
        <f t="shared" si="62"/>
        <v>109.63149580538766</v>
      </c>
      <c r="DC112" s="159">
        <f t="shared" si="62"/>
        <v>107.75075170846731</v>
      </c>
    </row>
    <row r="113" spans="1:107" x14ac:dyDescent="0.2">
      <c r="A113" s="99">
        <v>8</v>
      </c>
      <c r="B113" s="30">
        <v>285</v>
      </c>
      <c r="C113" s="47" t="s">
        <v>427</v>
      </c>
      <c r="D113" s="64">
        <v>185526.40430000002</v>
      </c>
      <c r="E113" s="64">
        <v>15224.077130000001</v>
      </c>
      <c r="F113" s="64">
        <v>10333.93338</v>
      </c>
      <c r="G113" s="205">
        <v>211078</v>
      </c>
      <c r="H113" s="205"/>
      <c r="I113" s="64">
        <v>185958</v>
      </c>
      <c r="J113" s="64">
        <v>15395</v>
      </c>
      <c r="K113" s="64">
        <v>8225</v>
      </c>
      <c r="L113" s="205">
        <v>209578</v>
      </c>
      <c r="M113" s="205"/>
      <c r="N113" s="64">
        <v>191014</v>
      </c>
      <c r="O113" s="64">
        <v>15046</v>
      </c>
      <c r="P113" s="64">
        <v>10128</v>
      </c>
      <c r="Q113" s="205">
        <v>216188</v>
      </c>
      <c r="R113" s="205"/>
      <c r="S113" s="64">
        <v>187770</v>
      </c>
      <c r="T113" s="64">
        <v>15212</v>
      </c>
      <c r="U113" s="64">
        <v>9500</v>
      </c>
      <c r="V113" s="205">
        <v>212482</v>
      </c>
      <c r="W113" s="205"/>
      <c r="X113" s="64">
        <v>193221</v>
      </c>
      <c r="Y113" s="64">
        <v>15301</v>
      </c>
      <c r="Z113" s="64">
        <v>9538</v>
      </c>
      <c r="AA113" s="205">
        <f t="shared" si="59"/>
        <v>218060</v>
      </c>
      <c r="AB113" s="205"/>
      <c r="AC113" s="64">
        <v>200183</v>
      </c>
      <c r="AD113" s="64">
        <v>14085</v>
      </c>
      <c r="AE113" s="64">
        <v>10994</v>
      </c>
      <c r="AF113" s="205">
        <f t="shared" si="36"/>
        <v>225262</v>
      </c>
      <c r="AG113" s="205"/>
      <c r="AH113" s="278">
        <v>204221.27530000001</v>
      </c>
      <c r="AI113" s="64">
        <v>15606.347230000001</v>
      </c>
      <c r="AJ113" s="64">
        <v>16924.602500000001</v>
      </c>
      <c r="AK113" s="205">
        <f t="shared" si="37"/>
        <v>236752.22503000003</v>
      </c>
      <c r="AL113" s="205"/>
      <c r="AM113" s="64">
        <v>209653.7769</v>
      </c>
      <c r="AN113" s="64">
        <v>16190.606750000001</v>
      </c>
      <c r="AO113" s="64">
        <v>19305.316320000002</v>
      </c>
      <c r="AP113" s="205">
        <f t="shared" si="38"/>
        <v>245149.69997000002</v>
      </c>
      <c r="AQ113" s="205"/>
      <c r="AR113" s="64">
        <v>112256.9572</v>
      </c>
      <c r="AS113" s="64">
        <v>17090.800600000002</v>
      </c>
      <c r="AT113" s="64">
        <v>12290.4861</v>
      </c>
      <c r="AU113" s="205">
        <f t="shared" si="39"/>
        <v>141638.2439</v>
      </c>
      <c r="AV113" s="205"/>
      <c r="AW113" s="64">
        <v>104928.92923388029</v>
      </c>
      <c r="AX113" s="64">
        <v>18001.657579984389</v>
      </c>
      <c r="AY113" s="64">
        <v>8569.060923539153</v>
      </c>
      <c r="AZ113" s="205">
        <f t="shared" si="40"/>
        <v>131499.64773740384</v>
      </c>
      <c r="BA113" s="205"/>
      <c r="BB113" s="64">
        <v>109150.68740899114</v>
      </c>
      <c r="BC113" s="64">
        <v>18339.960062105773</v>
      </c>
      <c r="BD113" s="64">
        <v>8671.8896546216238</v>
      </c>
      <c r="BE113" s="205">
        <f t="shared" si="35"/>
        <v>136162.53712571855</v>
      </c>
      <c r="BF113" s="205"/>
      <c r="BG113" s="64">
        <v>112783.31807824076</v>
      </c>
      <c r="BH113" s="64">
        <v>18828.411724054429</v>
      </c>
      <c r="BI113" s="64">
        <v>9092.9977914355477</v>
      </c>
      <c r="BJ113" s="205">
        <f t="shared" si="41"/>
        <v>140704.72759373073</v>
      </c>
      <c r="BK113" s="205"/>
      <c r="BL113" s="64">
        <v>115965.83034087961</v>
      </c>
      <c r="BM113" s="64">
        <v>19368.410636899469</v>
      </c>
      <c r="BN113" s="64">
        <v>9636.5210843000314</v>
      </c>
      <c r="BO113" s="205">
        <f t="shared" si="42"/>
        <v>144970.76206207913</v>
      </c>
      <c r="BQ113" s="64">
        <v>119635.41584990022</v>
      </c>
      <c r="BR113" s="64">
        <v>19914.023683167361</v>
      </c>
      <c r="BS113" s="64">
        <v>9974.3869149995753</v>
      </c>
      <c r="BT113" s="205">
        <f t="shared" si="43"/>
        <v>149523.82644806715</v>
      </c>
      <c r="BU113" s="205"/>
      <c r="BV113" s="5">
        <f t="shared" si="44"/>
        <v>218060</v>
      </c>
      <c r="BW113" s="5">
        <f t="shared" si="45"/>
        <v>225262</v>
      </c>
      <c r="BX113" s="5">
        <f t="shared" si="46"/>
        <v>236752.22503000003</v>
      </c>
      <c r="BY113" s="5">
        <f t="shared" si="47"/>
        <v>245149.69997000002</v>
      </c>
      <c r="BZ113" s="5">
        <f t="shared" si="48"/>
        <v>141638.2439</v>
      </c>
      <c r="CA113" s="5">
        <f t="shared" si="49"/>
        <v>131499.64773740384</v>
      </c>
      <c r="CB113" s="5">
        <f t="shared" si="50"/>
        <v>136162.53712571855</v>
      </c>
      <c r="CC113" s="5">
        <f t="shared" si="51"/>
        <v>140704.72759373073</v>
      </c>
      <c r="CD113" s="5">
        <f t="shared" si="52"/>
        <v>144970.76206207913</v>
      </c>
      <c r="CE113" s="5">
        <f t="shared" si="60"/>
        <v>149523.82644806715</v>
      </c>
      <c r="CH113" s="41">
        <f>BV113/'1. Väestöennuste'!I113*1000</f>
        <v>4183.3250201434985</v>
      </c>
      <c r="CI113" s="41">
        <f>BW113/'1. Väestöennuste'!J113*1000</f>
        <v>4359.7971665247351</v>
      </c>
      <c r="CJ113" s="41">
        <f>BX113/'1. Väestöennuste'!K113*1000</f>
        <v>4620.3669918619862</v>
      </c>
      <c r="CK113" s="41">
        <f>BY113/'1. Väestöennuste'!L113*1000</f>
        <v>4843.2285589821613</v>
      </c>
      <c r="CL113" s="41">
        <f>BZ113/'1. Väestöennuste'!M113*1000</f>
        <v>2804.7177009900988</v>
      </c>
      <c r="CM113" s="41">
        <f>CA113/'1. Väestöennuste'!N113*1000</f>
        <v>2639.5481189386346</v>
      </c>
      <c r="CN113" s="41">
        <f>CB113/'1. Väestöennuste'!O113*1000</f>
        <v>2756.9963781833349</v>
      </c>
      <c r="CO113" s="41">
        <f>CC113/'1. Väestöennuste'!P113*1000</f>
        <v>2873.0495281931376</v>
      </c>
      <c r="CP113" s="41">
        <f>CD113/'1. Väestöennuste'!Q113*1000</f>
        <v>2984.7799477471513</v>
      </c>
      <c r="CQ113" s="41">
        <f>CE113/'1. Väestöennuste'!R113*1000</f>
        <v>3103.7639117398476</v>
      </c>
      <c r="CR113" s="41"/>
      <c r="CU113" s="159">
        <f t="shared" si="53"/>
        <v>176.4721463812366</v>
      </c>
      <c r="CV113" s="159">
        <f t="shared" si="54"/>
        <v>260.56982533725113</v>
      </c>
      <c r="CW113" s="159">
        <f t="shared" si="55"/>
        <v>222.8615671201751</v>
      </c>
      <c r="CX113" s="159">
        <f t="shared" si="56"/>
        <v>-2038.5108579920625</v>
      </c>
      <c r="CY113" s="159">
        <f t="shared" si="57"/>
        <v>-165.1695820514642</v>
      </c>
      <c r="CZ113" s="159">
        <f t="shared" si="58"/>
        <v>117.44825924470024</v>
      </c>
      <c r="DA113" s="159">
        <f t="shared" si="61"/>
        <v>116.05315000980272</v>
      </c>
      <c r="DB113" s="159">
        <f t="shared" si="62"/>
        <v>111.73041955401368</v>
      </c>
      <c r="DC113" s="159">
        <f t="shared" si="62"/>
        <v>118.98396399269632</v>
      </c>
    </row>
    <row r="114" spans="1:107" x14ac:dyDescent="0.2">
      <c r="A114" s="99">
        <v>8</v>
      </c>
      <c r="B114" s="30">
        <v>286</v>
      </c>
      <c r="C114" s="47" t="s">
        <v>428</v>
      </c>
      <c r="D114" s="64">
        <v>288332.98179000005</v>
      </c>
      <c r="E114" s="64">
        <v>25057.800070000001</v>
      </c>
      <c r="F114" s="64">
        <v>19392.178620000002</v>
      </c>
      <c r="G114" s="205">
        <v>332744</v>
      </c>
      <c r="H114" s="205"/>
      <c r="I114" s="64">
        <v>294657</v>
      </c>
      <c r="J114" s="64">
        <v>28776</v>
      </c>
      <c r="K114" s="64">
        <v>17467</v>
      </c>
      <c r="L114" s="205">
        <v>340900</v>
      </c>
      <c r="M114" s="205"/>
      <c r="N114" s="64">
        <v>289198</v>
      </c>
      <c r="O114" s="64">
        <v>28306</v>
      </c>
      <c r="P114" s="64">
        <v>20631</v>
      </c>
      <c r="Q114" s="205">
        <v>338135</v>
      </c>
      <c r="R114" s="205"/>
      <c r="S114" s="64">
        <v>283094</v>
      </c>
      <c r="T114" s="64">
        <v>20213</v>
      </c>
      <c r="U114" s="64">
        <v>27768</v>
      </c>
      <c r="V114" s="205">
        <v>331075</v>
      </c>
      <c r="W114" s="205"/>
      <c r="X114" s="64">
        <v>286569</v>
      </c>
      <c r="Y114" s="64">
        <v>28447</v>
      </c>
      <c r="Z114" s="64">
        <v>23064</v>
      </c>
      <c r="AA114" s="205">
        <f t="shared" si="59"/>
        <v>338080</v>
      </c>
      <c r="AB114" s="205"/>
      <c r="AC114" s="64">
        <v>302676</v>
      </c>
      <c r="AD114" s="64">
        <v>26068</v>
      </c>
      <c r="AE114" s="64">
        <v>25999</v>
      </c>
      <c r="AF114" s="205">
        <f t="shared" si="36"/>
        <v>354743</v>
      </c>
      <c r="AG114" s="205"/>
      <c r="AH114" s="278">
        <v>307316.11095999996</v>
      </c>
      <c r="AI114" s="64">
        <v>27796.410459999999</v>
      </c>
      <c r="AJ114" s="64">
        <v>35841.16691</v>
      </c>
      <c r="AK114" s="205">
        <f t="shared" si="37"/>
        <v>370953.68832999992</v>
      </c>
      <c r="AL114" s="205"/>
      <c r="AM114" s="64">
        <v>314412.51691000001</v>
      </c>
      <c r="AN114" s="64">
        <v>30015.5481</v>
      </c>
      <c r="AO114" s="64">
        <v>36546.46602</v>
      </c>
      <c r="AP114" s="205">
        <f t="shared" si="38"/>
        <v>380974.53103000001</v>
      </c>
      <c r="AQ114" s="205"/>
      <c r="AR114" s="64">
        <v>157373.69300999999</v>
      </c>
      <c r="AS114" s="64">
        <v>30264.747489999998</v>
      </c>
      <c r="AT114" s="64">
        <v>24935.052019999999</v>
      </c>
      <c r="AU114" s="205">
        <f t="shared" si="39"/>
        <v>212573.49252</v>
      </c>
      <c r="AV114" s="205"/>
      <c r="AW114" s="64">
        <v>151809.71706409793</v>
      </c>
      <c r="AX114" s="64">
        <v>30490.915967565994</v>
      </c>
      <c r="AY114" s="64">
        <v>19687.06393357263</v>
      </c>
      <c r="AZ114" s="205">
        <f t="shared" si="40"/>
        <v>201987.69696523657</v>
      </c>
      <c r="BA114" s="205"/>
      <c r="BB114" s="64">
        <v>158718.78382121812</v>
      </c>
      <c r="BC114" s="64">
        <v>30657.596511504573</v>
      </c>
      <c r="BD114" s="64">
        <v>19923.308700775498</v>
      </c>
      <c r="BE114" s="205">
        <f t="shared" si="35"/>
        <v>209299.6890334982</v>
      </c>
      <c r="BF114" s="205"/>
      <c r="BG114" s="64">
        <v>163967.22380459966</v>
      </c>
      <c r="BH114" s="64">
        <v>31063.033434317153</v>
      </c>
      <c r="BI114" s="64">
        <v>20890.787271225356</v>
      </c>
      <c r="BJ114" s="205">
        <f t="shared" si="41"/>
        <v>215921.04451014218</v>
      </c>
      <c r="BK114" s="205"/>
      <c r="BL114" s="64">
        <v>168228.38674071053</v>
      </c>
      <c r="BM114" s="64">
        <v>31537.295670634488</v>
      </c>
      <c r="BN114" s="64">
        <v>22139.509612154819</v>
      </c>
      <c r="BO114" s="205">
        <f t="shared" si="42"/>
        <v>221905.19202349984</v>
      </c>
      <c r="BQ114" s="64">
        <v>173229.54218969878</v>
      </c>
      <c r="BR114" s="64">
        <v>32003.739042092722</v>
      </c>
      <c r="BS114" s="64">
        <v>22915.742418678539</v>
      </c>
      <c r="BT114" s="205">
        <f t="shared" si="43"/>
        <v>228149.02365047004</v>
      </c>
      <c r="BU114" s="205"/>
      <c r="BV114" s="5">
        <f t="shared" si="44"/>
        <v>338080</v>
      </c>
      <c r="BW114" s="5">
        <f t="shared" si="45"/>
        <v>354743</v>
      </c>
      <c r="BX114" s="5">
        <f t="shared" si="46"/>
        <v>370953.68832999992</v>
      </c>
      <c r="BY114" s="5">
        <f t="shared" si="47"/>
        <v>380974.53103000001</v>
      </c>
      <c r="BZ114" s="5">
        <f t="shared" si="48"/>
        <v>212573.49252</v>
      </c>
      <c r="CA114" s="5">
        <f t="shared" si="49"/>
        <v>201987.69696523657</v>
      </c>
      <c r="CB114" s="5">
        <f t="shared" si="50"/>
        <v>209299.6890334982</v>
      </c>
      <c r="CC114" s="5">
        <f t="shared" si="51"/>
        <v>215921.04451014218</v>
      </c>
      <c r="CD114" s="5">
        <f t="shared" si="52"/>
        <v>221905.19202349984</v>
      </c>
      <c r="CE114" s="5">
        <f t="shared" si="60"/>
        <v>228149.02365047004</v>
      </c>
      <c r="CH114" s="41">
        <f>BV114/'1. Väestöennuste'!I114*1000</f>
        <v>4117.2530537186558</v>
      </c>
      <c r="CI114" s="41">
        <f>BW114/'1. Väestöennuste'!J114*1000</f>
        <v>4369.4557010358803</v>
      </c>
      <c r="CJ114" s="41">
        <f>BX114/'1. Väestöennuste'!K114*1000</f>
        <v>4610.7550691078122</v>
      </c>
      <c r="CK114" s="41">
        <f>BY114/'1. Väestöennuste'!L114*1000</f>
        <v>4796.4160574853013</v>
      </c>
      <c r="CL114" s="41">
        <f>BZ114/'1. Väestöennuste'!M114*1000</f>
        <v>2694.8972175456388</v>
      </c>
      <c r="CM114" s="41">
        <f>CA114/'1. Väestöennuste'!N114*1000</f>
        <v>2592.3776498438906</v>
      </c>
      <c r="CN114" s="41">
        <f>CB114/'1. Väestöennuste'!O114*1000</f>
        <v>2713.0687540799559</v>
      </c>
      <c r="CO114" s="41">
        <f>CC114/'1. Väestöennuste'!P114*1000</f>
        <v>2826.5246496333621</v>
      </c>
      <c r="CP114" s="41">
        <f>CD114/'1. Väestöennuste'!Q114*1000</f>
        <v>2932.9649086493323</v>
      </c>
      <c r="CQ114" s="41">
        <f>CE114/'1. Väestöennuste'!R114*1000</f>
        <v>3043.9351004705686</v>
      </c>
      <c r="CR114" s="41"/>
      <c r="CU114" s="159">
        <f t="shared" si="53"/>
        <v>252.20264731722455</v>
      </c>
      <c r="CV114" s="159">
        <f t="shared" si="54"/>
        <v>241.29936807193189</v>
      </c>
      <c r="CW114" s="159">
        <f t="shared" si="55"/>
        <v>185.66098837748905</v>
      </c>
      <c r="CX114" s="159">
        <f t="shared" si="56"/>
        <v>-2101.5188399396625</v>
      </c>
      <c r="CY114" s="159">
        <f t="shared" si="57"/>
        <v>-102.5195677017482</v>
      </c>
      <c r="CZ114" s="159">
        <f t="shared" si="58"/>
        <v>120.69110423606526</v>
      </c>
      <c r="DA114" s="159">
        <f t="shared" si="61"/>
        <v>113.45589555340621</v>
      </c>
      <c r="DB114" s="159">
        <f t="shared" si="62"/>
        <v>106.44025901597024</v>
      </c>
      <c r="DC114" s="159">
        <f t="shared" si="62"/>
        <v>110.97019182123631</v>
      </c>
    </row>
    <row r="115" spans="1:107" x14ac:dyDescent="0.2">
      <c r="A115" s="99">
        <v>15</v>
      </c>
      <c r="B115" s="30">
        <v>287</v>
      </c>
      <c r="C115" s="47" t="s">
        <v>429</v>
      </c>
      <c r="D115" s="64">
        <v>20266.078850000002</v>
      </c>
      <c r="E115" s="64">
        <v>1787.5209600000001</v>
      </c>
      <c r="F115" s="64">
        <v>1184.8395700000001</v>
      </c>
      <c r="G115" s="205">
        <v>23240</v>
      </c>
      <c r="H115" s="205"/>
      <c r="I115" s="64">
        <v>19971</v>
      </c>
      <c r="J115" s="64">
        <v>2026</v>
      </c>
      <c r="K115" s="64">
        <v>1257</v>
      </c>
      <c r="L115" s="205">
        <v>23249</v>
      </c>
      <c r="M115" s="205"/>
      <c r="N115" s="64">
        <v>20406</v>
      </c>
      <c r="O115" s="64">
        <v>2118</v>
      </c>
      <c r="P115" s="64">
        <v>1573</v>
      </c>
      <c r="Q115" s="205">
        <v>24097</v>
      </c>
      <c r="R115" s="205"/>
      <c r="S115" s="64">
        <v>19548</v>
      </c>
      <c r="T115" s="64">
        <v>2552</v>
      </c>
      <c r="U115" s="64">
        <v>1369</v>
      </c>
      <c r="V115" s="205">
        <v>23469</v>
      </c>
      <c r="W115" s="205"/>
      <c r="X115" s="64">
        <v>20363</v>
      </c>
      <c r="Y115" s="64">
        <v>2877</v>
      </c>
      <c r="Z115" s="64">
        <v>1408</v>
      </c>
      <c r="AA115" s="205">
        <f t="shared" si="59"/>
        <v>24648</v>
      </c>
      <c r="AB115" s="205"/>
      <c r="AC115" s="64">
        <v>20980</v>
      </c>
      <c r="AD115" s="64">
        <v>2653</v>
      </c>
      <c r="AE115" s="64">
        <v>1486</v>
      </c>
      <c r="AF115" s="205">
        <f t="shared" si="36"/>
        <v>25119</v>
      </c>
      <c r="AG115" s="205"/>
      <c r="AH115" s="278">
        <v>21778.199510000002</v>
      </c>
      <c r="AI115" s="64">
        <v>2836.2588900000001</v>
      </c>
      <c r="AJ115" s="64">
        <v>2193.63715</v>
      </c>
      <c r="AK115" s="205">
        <f t="shared" si="37"/>
        <v>26808.095550000002</v>
      </c>
      <c r="AL115" s="205"/>
      <c r="AM115" s="64">
        <v>22040.453000000001</v>
      </c>
      <c r="AN115" s="64">
        <v>3132.0829100000001</v>
      </c>
      <c r="AO115" s="64">
        <v>2212.49143</v>
      </c>
      <c r="AP115" s="205">
        <f t="shared" si="38"/>
        <v>27385.027340000001</v>
      </c>
      <c r="AQ115" s="205"/>
      <c r="AR115" s="64">
        <v>11086.743199999999</v>
      </c>
      <c r="AS115" s="64">
        <v>3191.22775</v>
      </c>
      <c r="AT115" s="64">
        <v>1376.2130300000001</v>
      </c>
      <c r="AU115" s="205">
        <f t="shared" si="39"/>
        <v>15654.18398</v>
      </c>
      <c r="AV115" s="205"/>
      <c r="AW115" s="64">
        <v>10707.097927974808</v>
      </c>
      <c r="AX115" s="64">
        <v>3575.9583158322689</v>
      </c>
      <c r="AY115" s="64">
        <v>1144.2077354570979</v>
      </c>
      <c r="AZ115" s="205">
        <f t="shared" si="40"/>
        <v>15427.263979264175</v>
      </c>
      <c r="BA115" s="205"/>
      <c r="BB115" s="64">
        <v>11212.14625514824</v>
      </c>
      <c r="BC115" s="64">
        <v>3633.521025249172</v>
      </c>
      <c r="BD115" s="64">
        <v>1157.9382282825829</v>
      </c>
      <c r="BE115" s="205">
        <f t="shared" si="35"/>
        <v>16003.605508679995</v>
      </c>
      <c r="BF115" s="205"/>
      <c r="BG115" s="64">
        <v>11628.09561233885</v>
      </c>
      <c r="BH115" s="64">
        <v>3720.7264421230693</v>
      </c>
      <c r="BI115" s="64">
        <v>1214.1678655679032</v>
      </c>
      <c r="BJ115" s="205">
        <f t="shared" si="41"/>
        <v>16562.98992002982</v>
      </c>
      <c r="BK115" s="205"/>
      <c r="BL115" s="64">
        <v>11941.544335327413</v>
      </c>
      <c r="BM115" s="64">
        <v>3817.9450851803867</v>
      </c>
      <c r="BN115" s="64">
        <v>1286.7433276454678</v>
      </c>
      <c r="BO115" s="205">
        <f t="shared" si="42"/>
        <v>17046.232748153267</v>
      </c>
      <c r="BQ115" s="64">
        <v>12305.426435293859</v>
      </c>
      <c r="BR115" s="64">
        <v>3916.1080919767187</v>
      </c>
      <c r="BS115" s="64">
        <v>1331.857804072062</v>
      </c>
      <c r="BT115" s="205">
        <f t="shared" si="43"/>
        <v>17553.392331342638</v>
      </c>
      <c r="BU115" s="205"/>
      <c r="BV115" s="5">
        <f t="shared" si="44"/>
        <v>24648</v>
      </c>
      <c r="BW115" s="5">
        <f t="shared" si="45"/>
        <v>25119</v>
      </c>
      <c r="BX115" s="5">
        <f t="shared" si="46"/>
        <v>26808.095550000002</v>
      </c>
      <c r="BY115" s="5">
        <f t="shared" si="47"/>
        <v>27385.027340000001</v>
      </c>
      <c r="BZ115" s="5">
        <f t="shared" si="48"/>
        <v>15654.18398</v>
      </c>
      <c r="CA115" s="5">
        <f t="shared" si="49"/>
        <v>15427.263979264175</v>
      </c>
      <c r="CB115" s="5">
        <f t="shared" si="50"/>
        <v>16003.605508679995</v>
      </c>
      <c r="CC115" s="5">
        <f t="shared" si="51"/>
        <v>16562.98992002982</v>
      </c>
      <c r="CD115" s="5">
        <f t="shared" si="52"/>
        <v>17046.232748153267</v>
      </c>
      <c r="CE115" s="5">
        <f t="shared" si="60"/>
        <v>17553.392331342638</v>
      </c>
      <c r="CH115" s="41">
        <f>BV115/'1. Väestöennuste'!I115*1000</f>
        <v>3800.1850138760406</v>
      </c>
      <c r="CI115" s="41">
        <f>BW115/'1. Väestöennuste'!J115*1000</f>
        <v>3922.3922548407245</v>
      </c>
      <c r="CJ115" s="41">
        <f>BX115/'1. Väestöennuste'!K115*1000</f>
        <v>4201.8958542319751</v>
      </c>
      <c r="CK115" s="41">
        <f>BY115/'1. Väestöennuste'!L115*1000</f>
        <v>4387.2200160205057</v>
      </c>
      <c r="CL115" s="41">
        <f>BZ115/'1. Väestöennuste'!M115*1000</f>
        <v>2525.2756864010321</v>
      </c>
      <c r="CM115" s="41">
        <f>CA115/'1. Väestöennuste'!N115*1000</f>
        <v>2525.3337664534579</v>
      </c>
      <c r="CN115" s="41">
        <f>CB115/'1. Väestöennuste'!O115*1000</f>
        <v>2646.5363831122863</v>
      </c>
      <c r="CO115" s="41">
        <f>CC115/'1. Väestöennuste'!P115*1000</f>
        <v>2766.0303807665032</v>
      </c>
      <c r="CP115" s="41">
        <f>CD115/'1. Väestöennuste'!Q115*1000</f>
        <v>2874.0908359725622</v>
      </c>
      <c r="CQ115" s="41">
        <f>CE115/'1. Väestöennuste'!R115*1000</f>
        <v>2988.3201108857061</v>
      </c>
      <c r="CR115" s="41"/>
      <c r="CU115" s="159">
        <f t="shared" si="53"/>
        <v>122.20724096468393</v>
      </c>
      <c r="CV115" s="159">
        <f t="shared" si="54"/>
        <v>279.50359939125065</v>
      </c>
      <c r="CW115" s="159">
        <f t="shared" si="55"/>
        <v>185.32416178853055</v>
      </c>
      <c r="CX115" s="159">
        <f t="shared" si="56"/>
        <v>-1861.9443296194736</v>
      </c>
      <c r="CY115" s="159">
        <f t="shared" si="57"/>
        <v>5.8080052425793838E-2</v>
      </c>
      <c r="CZ115" s="159">
        <f t="shared" si="58"/>
        <v>121.20261665882845</v>
      </c>
      <c r="DA115" s="159">
        <f t="shared" si="61"/>
        <v>119.49399765421686</v>
      </c>
      <c r="DB115" s="159">
        <f t="shared" si="62"/>
        <v>108.06045520605903</v>
      </c>
      <c r="DC115" s="159">
        <f t="shared" si="62"/>
        <v>114.22927491314385</v>
      </c>
    </row>
    <row r="116" spans="1:107" x14ac:dyDescent="0.2">
      <c r="A116" s="99">
        <v>15</v>
      </c>
      <c r="B116" s="30">
        <v>288</v>
      </c>
      <c r="C116" s="47" t="s">
        <v>430</v>
      </c>
      <c r="D116" s="64">
        <v>19055.92468</v>
      </c>
      <c r="E116" s="64">
        <v>1503.7983400000001</v>
      </c>
      <c r="F116" s="64">
        <v>2224.1577000000002</v>
      </c>
      <c r="G116" s="205">
        <v>22784</v>
      </c>
      <c r="H116" s="205"/>
      <c r="I116" s="64">
        <v>18792</v>
      </c>
      <c r="J116" s="64">
        <v>2037</v>
      </c>
      <c r="K116" s="64">
        <v>1509</v>
      </c>
      <c r="L116" s="205">
        <v>22338</v>
      </c>
      <c r="M116" s="205"/>
      <c r="N116" s="64">
        <v>18706</v>
      </c>
      <c r="O116" s="64">
        <v>2466</v>
      </c>
      <c r="P116" s="64">
        <v>1585</v>
      </c>
      <c r="Q116" s="205">
        <v>22757</v>
      </c>
      <c r="R116" s="205"/>
      <c r="S116" s="64">
        <v>19461</v>
      </c>
      <c r="T116" s="64">
        <v>1807</v>
      </c>
      <c r="U116" s="64">
        <v>2316</v>
      </c>
      <c r="V116" s="205">
        <v>23584</v>
      </c>
      <c r="W116" s="205"/>
      <c r="X116" s="64">
        <v>20132</v>
      </c>
      <c r="Y116" s="64">
        <v>1804</v>
      </c>
      <c r="Z116" s="64">
        <v>2193</v>
      </c>
      <c r="AA116" s="205">
        <f t="shared" si="59"/>
        <v>24129</v>
      </c>
      <c r="AB116" s="205"/>
      <c r="AC116" s="64">
        <v>20637</v>
      </c>
      <c r="AD116" s="64">
        <v>1694</v>
      </c>
      <c r="AE116" s="64">
        <v>2259</v>
      </c>
      <c r="AF116" s="205">
        <f t="shared" si="36"/>
        <v>24590</v>
      </c>
      <c r="AG116" s="205"/>
      <c r="AH116" s="278">
        <v>21430.71888</v>
      </c>
      <c r="AI116" s="64">
        <v>1902.6110900000001</v>
      </c>
      <c r="AJ116" s="64">
        <v>3337.6878500000003</v>
      </c>
      <c r="AK116" s="205">
        <f t="shared" si="37"/>
        <v>26671.017820000001</v>
      </c>
      <c r="AL116" s="205"/>
      <c r="AM116" s="64">
        <v>21718.980920000002</v>
      </c>
      <c r="AN116" s="64">
        <v>1835.5045700000001</v>
      </c>
      <c r="AO116" s="64">
        <v>3461.41059</v>
      </c>
      <c r="AP116" s="205">
        <f t="shared" si="38"/>
        <v>27015.896080000002</v>
      </c>
      <c r="AQ116" s="205"/>
      <c r="AR116" s="64">
        <v>11684.011349999999</v>
      </c>
      <c r="AS116" s="64">
        <v>1837.9405800000002</v>
      </c>
      <c r="AT116" s="64">
        <v>2122.91995</v>
      </c>
      <c r="AU116" s="205">
        <f t="shared" si="39"/>
        <v>15644.871879999999</v>
      </c>
      <c r="AV116" s="205"/>
      <c r="AW116" s="64">
        <v>10654.394062617708</v>
      </c>
      <c r="AX116" s="64">
        <v>2009.9317836889736</v>
      </c>
      <c r="AY116" s="64">
        <v>1850.6066288156017</v>
      </c>
      <c r="AZ116" s="205">
        <f t="shared" si="40"/>
        <v>14514.932475122283</v>
      </c>
      <c r="BA116" s="205"/>
      <c r="BB116" s="64">
        <v>11189.527866123972</v>
      </c>
      <c r="BC116" s="64">
        <v>2089.4736326316502</v>
      </c>
      <c r="BD116" s="64">
        <v>1872.8139083613887</v>
      </c>
      <c r="BE116" s="205">
        <f t="shared" si="35"/>
        <v>15151.81540711701</v>
      </c>
      <c r="BF116" s="205"/>
      <c r="BG116" s="64">
        <v>11701.219210367099</v>
      </c>
      <c r="BH116" s="64">
        <v>2188.934208427936</v>
      </c>
      <c r="BI116" s="64">
        <v>1963.7580055488986</v>
      </c>
      <c r="BJ116" s="205">
        <f t="shared" si="41"/>
        <v>15853.911424343933</v>
      </c>
      <c r="BK116" s="205"/>
      <c r="BL116" s="64">
        <v>12077.559661260853</v>
      </c>
      <c r="BM116" s="64">
        <v>2297.7627585556488</v>
      </c>
      <c r="BN116" s="64">
        <v>2081.1393402909166</v>
      </c>
      <c r="BO116" s="205">
        <f t="shared" si="42"/>
        <v>16456.461760107421</v>
      </c>
      <c r="BQ116" s="64">
        <v>12491.099106216296</v>
      </c>
      <c r="BR116" s="64">
        <v>2410.876321114436</v>
      </c>
      <c r="BS116" s="64">
        <v>2154.1061159413603</v>
      </c>
      <c r="BT116" s="205">
        <f t="shared" si="43"/>
        <v>17056.081543272092</v>
      </c>
      <c r="BU116" s="205"/>
      <c r="BV116" s="5">
        <f t="shared" si="44"/>
        <v>24129</v>
      </c>
      <c r="BW116" s="5">
        <f t="shared" si="45"/>
        <v>24590</v>
      </c>
      <c r="BX116" s="5">
        <f t="shared" si="46"/>
        <v>26671.017820000001</v>
      </c>
      <c r="BY116" s="5">
        <f t="shared" si="47"/>
        <v>27015.896080000002</v>
      </c>
      <c r="BZ116" s="5">
        <f t="shared" si="48"/>
        <v>15644.871879999999</v>
      </c>
      <c r="CA116" s="5">
        <f t="shared" si="49"/>
        <v>14514.932475122283</v>
      </c>
      <c r="CB116" s="5">
        <f t="shared" si="50"/>
        <v>15151.81540711701</v>
      </c>
      <c r="CC116" s="5">
        <f t="shared" si="51"/>
        <v>15853.911424343933</v>
      </c>
      <c r="CD116" s="5">
        <f t="shared" si="52"/>
        <v>16456.461760107421</v>
      </c>
      <c r="CE116" s="5">
        <f t="shared" si="60"/>
        <v>17056.081543272092</v>
      </c>
      <c r="CH116" s="41">
        <f>BV116/'1. Väestöennuste'!I116*1000</f>
        <v>3753.7336652146855</v>
      </c>
      <c r="CI116" s="41">
        <f>BW116/'1. Väestöennuste'!J116*1000</f>
        <v>3832.6059850374063</v>
      </c>
      <c r="CJ116" s="41">
        <f>BX116/'1. Väestöennuste'!K116*1000</f>
        <v>4140.1766252716552</v>
      </c>
      <c r="CK116" s="41">
        <f>BY116/'1. Väestöennuste'!L116*1000</f>
        <v>4217.9384980484001</v>
      </c>
      <c r="CL116" s="41">
        <f>BZ116/'1. Väestöennuste'!M116*1000</f>
        <v>2456.7952072864323</v>
      </c>
      <c r="CM116" s="41">
        <f>CA116/'1. Väestöennuste'!N116*1000</f>
        <v>2332.0906933037086</v>
      </c>
      <c r="CN116" s="41">
        <f>CB116/'1. Väestöennuste'!O116*1000</f>
        <v>2452.9408138444246</v>
      </c>
      <c r="CO116" s="41">
        <f>CC116/'1. Väestöennuste'!P116*1000</f>
        <v>2585.8606139853096</v>
      </c>
      <c r="CP116" s="41">
        <f>CD116/'1. Väestöennuste'!Q116*1000</f>
        <v>2704.8753714837972</v>
      </c>
      <c r="CQ116" s="41">
        <f>CE116/'1. Väestöennuste'!R116*1000</f>
        <v>2825.7259018012082</v>
      </c>
      <c r="CR116" s="41"/>
      <c r="CU116" s="159">
        <f t="shared" si="53"/>
        <v>78.872319822720783</v>
      </c>
      <c r="CV116" s="159">
        <f t="shared" si="54"/>
        <v>307.57064023424891</v>
      </c>
      <c r="CW116" s="159">
        <f t="shared" si="55"/>
        <v>77.761872776744895</v>
      </c>
      <c r="CX116" s="159">
        <f t="shared" si="56"/>
        <v>-1761.1432907619678</v>
      </c>
      <c r="CY116" s="159">
        <f t="shared" si="57"/>
        <v>-124.70451398272371</v>
      </c>
      <c r="CZ116" s="159">
        <f t="shared" si="58"/>
        <v>120.85012054071603</v>
      </c>
      <c r="DA116" s="159">
        <f t="shared" si="61"/>
        <v>132.91980014088494</v>
      </c>
      <c r="DB116" s="159">
        <f t="shared" si="62"/>
        <v>119.0147574984876</v>
      </c>
      <c r="DC116" s="159">
        <f t="shared" si="62"/>
        <v>120.85053031741108</v>
      </c>
    </row>
    <row r="117" spans="1:107" x14ac:dyDescent="0.2">
      <c r="A117" s="99">
        <v>18</v>
      </c>
      <c r="B117" s="30">
        <v>290</v>
      </c>
      <c r="C117" s="47" t="s">
        <v>431</v>
      </c>
      <c r="D117" s="64">
        <v>24551.376559999997</v>
      </c>
      <c r="E117" s="64">
        <v>2082.84638</v>
      </c>
      <c r="F117" s="64">
        <v>2949.06648</v>
      </c>
      <c r="G117" s="205">
        <v>29584</v>
      </c>
      <c r="H117" s="205"/>
      <c r="I117" s="64">
        <v>23817</v>
      </c>
      <c r="J117" s="64">
        <v>2156</v>
      </c>
      <c r="K117" s="64">
        <v>2734</v>
      </c>
      <c r="L117" s="205">
        <v>28620</v>
      </c>
      <c r="M117" s="205"/>
      <c r="N117" s="64">
        <v>23766</v>
      </c>
      <c r="O117" s="64">
        <v>2141</v>
      </c>
      <c r="P117" s="64">
        <v>3190</v>
      </c>
      <c r="Q117" s="205">
        <v>29097</v>
      </c>
      <c r="R117" s="205"/>
      <c r="S117" s="64">
        <v>22756</v>
      </c>
      <c r="T117" s="64">
        <v>2144</v>
      </c>
      <c r="U117" s="64">
        <v>2888</v>
      </c>
      <c r="V117" s="205">
        <v>27788</v>
      </c>
      <c r="W117" s="205"/>
      <c r="X117" s="64">
        <v>23205</v>
      </c>
      <c r="Y117" s="64">
        <v>2141</v>
      </c>
      <c r="Z117" s="64">
        <v>2912</v>
      </c>
      <c r="AA117" s="205">
        <f t="shared" si="59"/>
        <v>28258</v>
      </c>
      <c r="AB117" s="205"/>
      <c r="AC117" s="64">
        <v>23643</v>
      </c>
      <c r="AD117" s="64">
        <v>1988</v>
      </c>
      <c r="AE117" s="64">
        <v>3356</v>
      </c>
      <c r="AF117" s="205">
        <f t="shared" si="36"/>
        <v>28987</v>
      </c>
      <c r="AG117" s="205"/>
      <c r="AH117" s="278">
        <v>24521.823800000002</v>
      </c>
      <c r="AI117" s="64">
        <v>2217.9110699999997</v>
      </c>
      <c r="AJ117" s="64">
        <v>5069.8088699999998</v>
      </c>
      <c r="AK117" s="205">
        <f t="shared" si="37"/>
        <v>31809.543740000001</v>
      </c>
      <c r="AL117" s="205"/>
      <c r="AM117" s="64">
        <v>24703.008409999999</v>
      </c>
      <c r="AN117" s="64">
        <v>2309.7957700000002</v>
      </c>
      <c r="AO117" s="64">
        <v>5051.3527999999997</v>
      </c>
      <c r="AP117" s="205">
        <f t="shared" si="38"/>
        <v>32064.15698</v>
      </c>
      <c r="AQ117" s="205"/>
      <c r="AR117" s="64">
        <v>12695.476070000001</v>
      </c>
      <c r="AS117" s="64">
        <v>2307.0356099999999</v>
      </c>
      <c r="AT117" s="64">
        <v>3455.1750000000002</v>
      </c>
      <c r="AU117" s="205">
        <f t="shared" si="39"/>
        <v>18457.686679999999</v>
      </c>
      <c r="AV117" s="205"/>
      <c r="AW117" s="64">
        <v>12019.43574564172</v>
      </c>
      <c r="AX117" s="64">
        <v>2520.2432860822601</v>
      </c>
      <c r="AY117" s="64">
        <v>3362.6015866711432</v>
      </c>
      <c r="AZ117" s="205">
        <f t="shared" si="40"/>
        <v>17902.280618395122</v>
      </c>
      <c r="BA117" s="205"/>
      <c r="BB117" s="64">
        <v>12495.060823719641</v>
      </c>
      <c r="BC117" s="64">
        <v>2551.5287362589575</v>
      </c>
      <c r="BD117" s="64">
        <v>3402.9528057111966</v>
      </c>
      <c r="BE117" s="205">
        <f t="shared" si="35"/>
        <v>18449.542365689795</v>
      </c>
      <c r="BF117" s="205"/>
      <c r="BG117" s="64">
        <v>12762.516799020243</v>
      </c>
      <c r="BH117" s="64">
        <v>2603.1474279560171</v>
      </c>
      <c r="BI117" s="64">
        <v>3568.2006551133218</v>
      </c>
      <c r="BJ117" s="205">
        <f t="shared" si="41"/>
        <v>18933.864882089583</v>
      </c>
      <c r="BK117" s="205"/>
      <c r="BL117" s="64">
        <v>12945.335899174779</v>
      </c>
      <c r="BM117" s="64">
        <v>2661.1801039318825</v>
      </c>
      <c r="BN117" s="64">
        <v>3781.4856700393198</v>
      </c>
      <c r="BO117" s="205">
        <f t="shared" si="42"/>
        <v>19388.001673145984</v>
      </c>
      <c r="BQ117" s="64">
        <v>13180.303447967392</v>
      </c>
      <c r="BR117" s="64">
        <v>2719.2430479868535</v>
      </c>
      <c r="BS117" s="64">
        <v>3914.0682468852106</v>
      </c>
      <c r="BT117" s="205">
        <f t="shared" si="43"/>
        <v>19813.614742839454</v>
      </c>
      <c r="BU117" s="205"/>
      <c r="BV117" s="5">
        <f t="shared" si="44"/>
        <v>28258</v>
      </c>
      <c r="BW117" s="5">
        <f t="shared" si="45"/>
        <v>28987</v>
      </c>
      <c r="BX117" s="5">
        <f t="shared" si="46"/>
        <v>31809.543740000001</v>
      </c>
      <c r="BY117" s="5">
        <f t="shared" si="47"/>
        <v>32064.15698</v>
      </c>
      <c r="BZ117" s="5">
        <f t="shared" si="48"/>
        <v>18457.686679999999</v>
      </c>
      <c r="CA117" s="5">
        <f t="shared" si="49"/>
        <v>17902.280618395122</v>
      </c>
      <c r="CB117" s="5">
        <f t="shared" si="50"/>
        <v>18449.542365689795</v>
      </c>
      <c r="CC117" s="5">
        <f t="shared" si="51"/>
        <v>18933.864882089583</v>
      </c>
      <c r="CD117" s="5">
        <f t="shared" si="52"/>
        <v>19388.001673145984</v>
      </c>
      <c r="CE117" s="5">
        <f t="shared" si="60"/>
        <v>19813.614742839454</v>
      </c>
      <c r="CH117" s="41">
        <f>BV117/'1. Väestöennuste'!I117*1000</f>
        <v>3450.3052503052504</v>
      </c>
      <c r="CI117" s="41">
        <f>BW117/'1. Väestöennuste'!J117*1000</f>
        <v>3604.451628948023</v>
      </c>
      <c r="CJ117" s="41">
        <f>BX117/'1. Väestöennuste'!K117*1000</f>
        <v>4012.3037008072656</v>
      </c>
      <c r="CK117" s="41">
        <f>BY117/'1. Väestöennuste'!L117*1000</f>
        <v>4134.6430664087684</v>
      </c>
      <c r="CL117" s="41">
        <f>BZ117/'1. Väestöennuste'!M117*1000</f>
        <v>2434.4086890002636</v>
      </c>
      <c r="CM117" s="41">
        <f>CA117/'1. Väestöennuste'!N117*1000</f>
        <v>2394.3133099364882</v>
      </c>
      <c r="CN117" s="41">
        <f>CB117/'1. Väestöennuste'!O117*1000</f>
        <v>2511.1667844956846</v>
      </c>
      <c r="CO117" s="41">
        <f>CC117/'1. Väestöennuste'!P117*1000</f>
        <v>2623.5090594553949</v>
      </c>
      <c r="CP117" s="41">
        <f>CD117/'1. Väestöennuste'!Q117*1000</f>
        <v>2734.5559482575436</v>
      </c>
      <c r="CQ117" s="41">
        <f>CE117/'1. Väestöennuste'!R117*1000</f>
        <v>2843.9234595721909</v>
      </c>
      <c r="CR117" s="41"/>
      <c r="CU117" s="159">
        <f t="shared" si="53"/>
        <v>154.14637864277256</v>
      </c>
      <c r="CV117" s="159">
        <f t="shared" si="54"/>
        <v>407.85207185924264</v>
      </c>
      <c r="CW117" s="159">
        <f t="shared" si="55"/>
        <v>122.33936560150278</v>
      </c>
      <c r="CX117" s="159">
        <f t="shared" si="56"/>
        <v>-1700.2343774085048</v>
      </c>
      <c r="CY117" s="159">
        <f t="shared" si="57"/>
        <v>-40.095379063775454</v>
      </c>
      <c r="CZ117" s="159">
        <f t="shared" si="58"/>
        <v>116.85347455919646</v>
      </c>
      <c r="DA117" s="159">
        <f t="shared" si="61"/>
        <v>112.34227495971027</v>
      </c>
      <c r="DB117" s="159">
        <f t="shared" si="62"/>
        <v>111.04688880214871</v>
      </c>
      <c r="DC117" s="159">
        <f t="shared" si="62"/>
        <v>109.36751131464734</v>
      </c>
    </row>
    <row r="118" spans="1:107" x14ac:dyDescent="0.2">
      <c r="A118" s="99">
        <v>6</v>
      </c>
      <c r="B118" s="30">
        <v>291</v>
      </c>
      <c r="C118" s="47" t="s">
        <v>432</v>
      </c>
      <c r="D118" s="64">
        <v>5917.4506100000008</v>
      </c>
      <c r="E118" s="64">
        <v>1332.40067</v>
      </c>
      <c r="F118" s="64">
        <v>905.53144999999995</v>
      </c>
      <c r="G118" s="205">
        <v>8155</v>
      </c>
      <c r="H118" s="205"/>
      <c r="I118" s="64">
        <v>6063</v>
      </c>
      <c r="J118" s="64">
        <v>1343</v>
      </c>
      <c r="K118" s="64">
        <v>861</v>
      </c>
      <c r="L118" s="205">
        <v>8267</v>
      </c>
      <c r="M118" s="205"/>
      <c r="N118" s="64">
        <v>5721</v>
      </c>
      <c r="O118" s="64">
        <v>1341</v>
      </c>
      <c r="P118" s="64">
        <v>1005</v>
      </c>
      <c r="Q118" s="205">
        <v>8067</v>
      </c>
      <c r="R118" s="205"/>
      <c r="S118" s="64">
        <v>5685</v>
      </c>
      <c r="T118" s="64">
        <v>1342</v>
      </c>
      <c r="U118" s="64">
        <v>1013</v>
      </c>
      <c r="V118" s="205">
        <v>8040</v>
      </c>
      <c r="W118" s="205"/>
      <c r="X118" s="64">
        <v>5657</v>
      </c>
      <c r="Y118" s="64">
        <v>1372</v>
      </c>
      <c r="Z118" s="64">
        <v>1110</v>
      </c>
      <c r="AA118" s="205">
        <f t="shared" si="59"/>
        <v>8139</v>
      </c>
      <c r="AB118" s="205"/>
      <c r="AC118" s="64">
        <v>6141</v>
      </c>
      <c r="AD118" s="64">
        <v>1389</v>
      </c>
      <c r="AE118" s="64">
        <v>1227</v>
      </c>
      <c r="AF118" s="205">
        <f t="shared" si="36"/>
        <v>8757</v>
      </c>
      <c r="AG118" s="205"/>
      <c r="AH118" s="278">
        <v>6394.0643</v>
      </c>
      <c r="AI118" s="64">
        <v>1542.8246899999999</v>
      </c>
      <c r="AJ118" s="64">
        <v>1728.22648</v>
      </c>
      <c r="AK118" s="205">
        <f t="shared" si="37"/>
        <v>9665.1154699999988</v>
      </c>
      <c r="AL118" s="205"/>
      <c r="AM118" s="64">
        <v>6638.0398800000003</v>
      </c>
      <c r="AN118" s="64">
        <v>1614.9967199999999</v>
      </c>
      <c r="AO118" s="64">
        <v>1641.14357</v>
      </c>
      <c r="AP118" s="205">
        <f t="shared" si="38"/>
        <v>9894.1801699999996</v>
      </c>
      <c r="AQ118" s="205"/>
      <c r="AR118" s="64">
        <v>3414.0867400000002</v>
      </c>
      <c r="AS118" s="64">
        <v>1647.6272200000001</v>
      </c>
      <c r="AT118" s="64">
        <v>932.45699999999999</v>
      </c>
      <c r="AU118" s="205">
        <f t="shared" si="39"/>
        <v>5994.1709600000004</v>
      </c>
      <c r="AV118" s="205"/>
      <c r="AW118" s="64">
        <v>3223.4836649077038</v>
      </c>
      <c r="AX118" s="64">
        <v>1748.6592972992387</v>
      </c>
      <c r="AY118" s="64">
        <v>739.61814325558487</v>
      </c>
      <c r="AZ118" s="205">
        <f t="shared" si="40"/>
        <v>5711.7611054625277</v>
      </c>
      <c r="BA118" s="205"/>
      <c r="BB118" s="64">
        <v>3368.2910576255927</v>
      </c>
      <c r="BC118" s="64">
        <v>1763.5102139243713</v>
      </c>
      <c r="BD118" s="64">
        <v>748.49356097465181</v>
      </c>
      <c r="BE118" s="205">
        <f t="shared" si="35"/>
        <v>5880.2948325246161</v>
      </c>
      <c r="BF118" s="205"/>
      <c r="BG118" s="64">
        <v>3431.8440840577118</v>
      </c>
      <c r="BH118" s="64">
        <v>1792.0207573221987</v>
      </c>
      <c r="BI118" s="64">
        <v>784.84050972892635</v>
      </c>
      <c r="BJ118" s="205">
        <f t="shared" si="41"/>
        <v>6008.705351108837</v>
      </c>
      <c r="BK118" s="205"/>
      <c r="BL118" s="64">
        <v>3492.0566002345304</v>
      </c>
      <c r="BM118" s="64">
        <v>1824.4663406314382</v>
      </c>
      <c r="BN118" s="64">
        <v>831.75343195828066</v>
      </c>
      <c r="BO118" s="205">
        <f t="shared" si="42"/>
        <v>6148.2763728242498</v>
      </c>
      <c r="BQ118" s="64">
        <v>3589.218628077489</v>
      </c>
      <c r="BR118" s="64">
        <v>1856.4193906375563</v>
      </c>
      <c r="BS118" s="64">
        <v>860.91551874950085</v>
      </c>
      <c r="BT118" s="205">
        <f t="shared" si="43"/>
        <v>6306.553537464546</v>
      </c>
      <c r="BU118" s="205"/>
      <c r="BV118" s="5">
        <f t="shared" si="44"/>
        <v>8139</v>
      </c>
      <c r="BW118" s="5">
        <f t="shared" si="45"/>
        <v>8757</v>
      </c>
      <c r="BX118" s="5">
        <f t="shared" si="46"/>
        <v>9665.1154699999988</v>
      </c>
      <c r="BY118" s="5">
        <f t="shared" si="47"/>
        <v>9894.1801699999996</v>
      </c>
      <c r="BZ118" s="5">
        <f t="shared" si="48"/>
        <v>5994.1709600000004</v>
      </c>
      <c r="CA118" s="5">
        <f t="shared" si="49"/>
        <v>5711.7611054625277</v>
      </c>
      <c r="CB118" s="5">
        <f t="shared" si="50"/>
        <v>5880.2948325246161</v>
      </c>
      <c r="CC118" s="5">
        <f t="shared" si="51"/>
        <v>6008.705351108837</v>
      </c>
      <c r="CD118" s="5">
        <f t="shared" si="52"/>
        <v>6148.2763728242498</v>
      </c>
      <c r="CE118" s="5">
        <f t="shared" si="60"/>
        <v>6306.553537464546</v>
      </c>
      <c r="CH118" s="41">
        <f>BV118/'1. Väestöennuste'!I118*1000</f>
        <v>3689.4832275611966</v>
      </c>
      <c r="CI118" s="41">
        <f>BW118/'1. Väestöennuste'!J118*1000</f>
        <v>4052.2906062008328</v>
      </c>
      <c r="CJ118" s="41">
        <f>BX118/'1. Väestöennuste'!K118*1000</f>
        <v>4478.7374745134384</v>
      </c>
      <c r="CK118" s="41">
        <f>BY118/'1. Väestöennuste'!L118*1000</f>
        <v>4669.2686031146759</v>
      </c>
      <c r="CL118" s="41">
        <f>BZ118/'1. Väestöennuste'!M118*1000</f>
        <v>2865.2824856596562</v>
      </c>
      <c r="CM118" s="41">
        <f>CA118/'1. Väestöennuste'!N118*1000</f>
        <v>2797.1406001285641</v>
      </c>
      <c r="CN118" s="41">
        <f>CB118/'1. Väestöennuste'!O118*1000</f>
        <v>2918.2604627913729</v>
      </c>
      <c r="CO118" s="41">
        <f>CC118/'1. Väestöennuste'!P118*1000</f>
        <v>3020.9679995519541</v>
      </c>
      <c r="CP118" s="41">
        <f>CD118/'1. Väestöennuste'!Q118*1000</f>
        <v>3125.7124417001778</v>
      </c>
      <c r="CQ118" s="41">
        <f>CE118/'1. Väestöennuste'!R118*1000</f>
        <v>3240.7777684812672</v>
      </c>
      <c r="CR118" s="41"/>
      <c r="CU118" s="159">
        <f t="shared" si="53"/>
        <v>362.80737863963623</v>
      </c>
      <c r="CV118" s="159">
        <f t="shared" si="54"/>
        <v>426.4468683126056</v>
      </c>
      <c r="CW118" s="159">
        <f t="shared" si="55"/>
        <v>190.53112860123747</v>
      </c>
      <c r="CX118" s="159">
        <f t="shared" si="56"/>
        <v>-1803.9861174550197</v>
      </c>
      <c r="CY118" s="159">
        <f t="shared" si="57"/>
        <v>-68.141885531092157</v>
      </c>
      <c r="CZ118" s="159">
        <f t="shared" si="58"/>
        <v>121.11986266280883</v>
      </c>
      <c r="DA118" s="159">
        <f t="shared" si="61"/>
        <v>102.70753676058121</v>
      </c>
      <c r="DB118" s="159">
        <f t="shared" si="62"/>
        <v>104.7444421482237</v>
      </c>
      <c r="DC118" s="159">
        <f t="shared" si="62"/>
        <v>115.06532678108942</v>
      </c>
    </row>
    <row r="119" spans="1:107" x14ac:dyDescent="0.2">
      <c r="A119" s="99">
        <v>11</v>
      </c>
      <c r="B119" s="30">
        <v>297</v>
      </c>
      <c r="C119" s="47" t="s">
        <v>433</v>
      </c>
      <c r="D119" s="64">
        <v>369539.08799999999</v>
      </c>
      <c r="E119" s="64">
        <v>36771.005400000002</v>
      </c>
      <c r="F119" s="64">
        <v>21789.945609999999</v>
      </c>
      <c r="G119" s="205">
        <v>429383</v>
      </c>
      <c r="H119" s="205"/>
      <c r="I119" s="64">
        <v>372394</v>
      </c>
      <c r="J119" s="64">
        <v>36264</v>
      </c>
      <c r="K119" s="64">
        <v>20477</v>
      </c>
      <c r="L119" s="205">
        <v>429135</v>
      </c>
      <c r="M119" s="205"/>
      <c r="N119" s="64">
        <v>388768</v>
      </c>
      <c r="O119" s="64">
        <v>25537</v>
      </c>
      <c r="P119" s="64">
        <v>38434</v>
      </c>
      <c r="Q119" s="205">
        <v>452739</v>
      </c>
      <c r="R119" s="205"/>
      <c r="S119" s="64">
        <v>378301</v>
      </c>
      <c r="T119" s="64">
        <v>38754</v>
      </c>
      <c r="U119" s="64">
        <v>24219</v>
      </c>
      <c r="V119" s="205">
        <v>441274</v>
      </c>
      <c r="W119" s="205"/>
      <c r="X119" s="64">
        <v>399893</v>
      </c>
      <c r="Y119" s="64">
        <v>40079</v>
      </c>
      <c r="Z119" s="64">
        <v>24028</v>
      </c>
      <c r="AA119" s="205">
        <f t="shared" si="59"/>
        <v>464000</v>
      </c>
      <c r="AB119" s="205"/>
      <c r="AC119" s="64">
        <v>421596</v>
      </c>
      <c r="AD119" s="64">
        <v>37106</v>
      </c>
      <c r="AE119" s="64">
        <v>27485</v>
      </c>
      <c r="AF119" s="205">
        <f t="shared" si="36"/>
        <v>486187</v>
      </c>
      <c r="AG119" s="205"/>
      <c r="AH119" s="278">
        <v>437817.75773000001</v>
      </c>
      <c r="AI119" s="64">
        <v>44684.801590000003</v>
      </c>
      <c r="AJ119" s="64">
        <v>41721.987390000002</v>
      </c>
      <c r="AK119" s="205">
        <f t="shared" si="37"/>
        <v>524224.54671000002</v>
      </c>
      <c r="AL119" s="205"/>
      <c r="AM119" s="64">
        <v>457508.14083999995</v>
      </c>
      <c r="AN119" s="64">
        <v>47705.404630000005</v>
      </c>
      <c r="AO119" s="64">
        <v>44337.103560000003</v>
      </c>
      <c r="AP119" s="205">
        <f t="shared" si="38"/>
        <v>549550.64902999997</v>
      </c>
      <c r="AQ119" s="205"/>
      <c r="AR119" s="64">
        <v>227779.40861000001</v>
      </c>
      <c r="AS119" s="64">
        <v>50445.45968</v>
      </c>
      <c r="AT119" s="64">
        <v>29844.138480000001</v>
      </c>
      <c r="AU119" s="205">
        <f t="shared" si="39"/>
        <v>308069.00677000004</v>
      </c>
      <c r="AV119" s="205"/>
      <c r="AW119" s="64">
        <v>217730.49108077248</v>
      </c>
      <c r="AX119" s="64">
        <v>55935.320014518096</v>
      </c>
      <c r="AY119" s="64">
        <v>24391.234563675836</v>
      </c>
      <c r="AZ119" s="205">
        <f t="shared" si="40"/>
        <v>298057.04565896641</v>
      </c>
      <c r="BA119" s="205"/>
      <c r="BB119" s="64">
        <v>231317.55373466463</v>
      </c>
      <c r="BC119" s="64">
        <v>57530.146423824372</v>
      </c>
      <c r="BD119" s="64">
        <v>24683.929378439945</v>
      </c>
      <c r="BE119" s="205">
        <f t="shared" si="35"/>
        <v>313531.62953692896</v>
      </c>
      <c r="BF119" s="205"/>
      <c r="BG119" s="64">
        <v>243996.57438811101</v>
      </c>
      <c r="BH119" s="64">
        <v>59626.281723345259</v>
      </c>
      <c r="BI119" s="64">
        <v>25882.584334140585</v>
      </c>
      <c r="BJ119" s="205">
        <f t="shared" si="41"/>
        <v>329505.44044559688</v>
      </c>
      <c r="BK119" s="205"/>
      <c r="BL119" s="64">
        <v>254752.58135967504</v>
      </c>
      <c r="BM119" s="64">
        <v>61922.482195075252</v>
      </c>
      <c r="BN119" s="64">
        <v>27429.685497893741</v>
      </c>
      <c r="BO119" s="205">
        <f t="shared" si="42"/>
        <v>344104.74905264401</v>
      </c>
      <c r="BQ119" s="64">
        <v>266718.13100304001</v>
      </c>
      <c r="BR119" s="64">
        <v>64275.72880425828</v>
      </c>
      <c r="BS119" s="64">
        <v>28391.397032118672</v>
      </c>
      <c r="BT119" s="205">
        <f t="shared" si="43"/>
        <v>359385.25683941698</v>
      </c>
      <c r="BU119" s="205"/>
      <c r="BV119" s="5">
        <f t="shared" si="44"/>
        <v>464000</v>
      </c>
      <c r="BW119" s="5">
        <f t="shared" si="45"/>
        <v>486187</v>
      </c>
      <c r="BX119" s="5">
        <f t="shared" si="46"/>
        <v>524224.54671000002</v>
      </c>
      <c r="BY119" s="5">
        <f t="shared" si="47"/>
        <v>549550.64902999997</v>
      </c>
      <c r="BZ119" s="5">
        <f t="shared" si="48"/>
        <v>308069.00677000004</v>
      </c>
      <c r="CA119" s="5">
        <f t="shared" si="49"/>
        <v>298057.04565896641</v>
      </c>
      <c r="CB119" s="5">
        <f t="shared" si="50"/>
        <v>313531.62953692896</v>
      </c>
      <c r="CC119" s="5">
        <f t="shared" si="51"/>
        <v>329505.44044559688</v>
      </c>
      <c r="CD119" s="5">
        <f t="shared" si="52"/>
        <v>344104.74905264401</v>
      </c>
      <c r="CE119" s="5">
        <f t="shared" si="60"/>
        <v>359385.25683941698</v>
      </c>
      <c r="CH119" s="41">
        <f>BV119/'1. Väestöennuste'!I119*1000</f>
        <v>3889.9414832078601</v>
      </c>
      <c r="CI119" s="41">
        <f>BW119/'1. Väestöennuste'!J119*1000</f>
        <v>4044.4804924715081</v>
      </c>
      <c r="CJ119" s="41">
        <f>BX119/'1. Väestöennuste'!K119*1000</f>
        <v>4313.0788832758781</v>
      </c>
      <c r="CK119" s="41">
        <f>BY119/'1. Väestöennuste'!L119*1000</f>
        <v>4482.6879702921842</v>
      </c>
      <c r="CL119" s="41">
        <f>BZ119/'1. Väestöennuste'!M119*1000</f>
        <v>2484.0067953814278</v>
      </c>
      <c r="CM119" s="41">
        <f>CA119/'1. Väestöennuste'!N119*1000</f>
        <v>2427.708418454924</v>
      </c>
      <c r="CN119" s="41">
        <f>CB119/'1. Väestöennuste'!O119*1000</f>
        <v>2543.144985496443</v>
      </c>
      <c r="CO119" s="41">
        <f>CC119/'1. Väestöennuste'!P119*1000</f>
        <v>2662.2614745663041</v>
      </c>
      <c r="CP119" s="41">
        <f>CD119/'1. Väestöennuste'!Q119*1000</f>
        <v>2770.0120672380281</v>
      </c>
      <c r="CQ119" s="41">
        <f>CE119/'1. Väestöennuste'!R119*1000</f>
        <v>2883.1317585853058</v>
      </c>
      <c r="CR119" s="41"/>
      <c r="CU119" s="159">
        <f t="shared" si="53"/>
        <v>154.53900926364804</v>
      </c>
      <c r="CV119" s="159">
        <f t="shared" si="54"/>
        <v>268.59839080436996</v>
      </c>
      <c r="CW119" s="159">
        <f t="shared" si="55"/>
        <v>169.60908701630615</v>
      </c>
      <c r="CX119" s="159">
        <f t="shared" si="56"/>
        <v>-1998.6811749107565</v>
      </c>
      <c r="CY119" s="159">
        <f t="shared" si="57"/>
        <v>-56.298376926503806</v>
      </c>
      <c r="CZ119" s="159">
        <f t="shared" si="58"/>
        <v>115.43656704151908</v>
      </c>
      <c r="DA119" s="159">
        <f t="shared" si="61"/>
        <v>119.11648906986102</v>
      </c>
      <c r="DB119" s="159">
        <f t="shared" si="62"/>
        <v>107.75059267172401</v>
      </c>
      <c r="DC119" s="159">
        <f t="shared" si="62"/>
        <v>113.11969134727769</v>
      </c>
    </row>
    <row r="120" spans="1:107" x14ac:dyDescent="0.2">
      <c r="A120" s="99">
        <v>14</v>
      </c>
      <c r="B120" s="30">
        <v>300</v>
      </c>
      <c r="C120" s="47" t="s">
        <v>434</v>
      </c>
      <c r="D120" s="64">
        <v>9670.0415299999986</v>
      </c>
      <c r="E120" s="64">
        <v>715.84253000000001</v>
      </c>
      <c r="F120" s="64">
        <v>610.73615000000007</v>
      </c>
      <c r="G120" s="205">
        <v>11000</v>
      </c>
      <c r="H120" s="205"/>
      <c r="I120" s="64">
        <v>9655</v>
      </c>
      <c r="J120" s="64">
        <v>855</v>
      </c>
      <c r="K120" s="64">
        <v>602</v>
      </c>
      <c r="L120" s="205">
        <v>11111</v>
      </c>
      <c r="M120" s="205"/>
      <c r="N120" s="64">
        <v>9700</v>
      </c>
      <c r="O120" s="64">
        <v>850</v>
      </c>
      <c r="P120" s="64">
        <v>755</v>
      </c>
      <c r="Q120" s="205">
        <v>11305</v>
      </c>
      <c r="R120" s="205"/>
      <c r="S120" s="64">
        <v>9230</v>
      </c>
      <c r="T120" s="64">
        <v>839</v>
      </c>
      <c r="U120" s="64">
        <v>707</v>
      </c>
      <c r="V120" s="205">
        <v>10776</v>
      </c>
      <c r="W120" s="205"/>
      <c r="X120" s="64">
        <v>9561</v>
      </c>
      <c r="Y120" s="64">
        <v>830</v>
      </c>
      <c r="Z120" s="64">
        <v>722</v>
      </c>
      <c r="AA120" s="205">
        <f t="shared" si="59"/>
        <v>11113</v>
      </c>
      <c r="AB120" s="205"/>
      <c r="AC120" s="64">
        <v>9895</v>
      </c>
      <c r="AD120" s="64">
        <v>825</v>
      </c>
      <c r="AE120" s="64">
        <v>826</v>
      </c>
      <c r="AF120" s="205">
        <f t="shared" si="36"/>
        <v>11546</v>
      </c>
      <c r="AG120" s="205"/>
      <c r="AH120" s="278">
        <v>9779.1459600000017</v>
      </c>
      <c r="AI120" s="64">
        <v>911.02048000000002</v>
      </c>
      <c r="AJ120" s="64">
        <v>1173.9757999999999</v>
      </c>
      <c r="AK120" s="205">
        <f t="shared" si="37"/>
        <v>11864.142240000001</v>
      </c>
      <c r="AL120" s="205"/>
      <c r="AM120" s="64">
        <v>10208.813099999999</v>
      </c>
      <c r="AN120" s="64">
        <v>919.38765999999998</v>
      </c>
      <c r="AO120" s="64">
        <v>1108.0672199999999</v>
      </c>
      <c r="AP120" s="205">
        <f t="shared" si="38"/>
        <v>12236.267980000001</v>
      </c>
      <c r="AQ120" s="205"/>
      <c r="AR120" s="64">
        <v>5192.3928699999997</v>
      </c>
      <c r="AS120" s="64">
        <v>1014.12722</v>
      </c>
      <c r="AT120" s="64">
        <v>693.37727000000007</v>
      </c>
      <c r="AU120" s="205">
        <f t="shared" si="39"/>
        <v>6899.8973599999999</v>
      </c>
      <c r="AV120" s="205"/>
      <c r="AW120" s="64">
        <v>4927.0644889482655</v>
      </c>
      <c r="AX120" s="64">
        <v>1043.992743285115</v>
      </c>
      <c r="AY120" s="64">
        <v>603.40103427650308</v>
      </c>
      <c r="AZ120" s="205">
        <f t="shared" si="40"/>
        <v>6574.4582665098842</v>
      </c>
      <c r="BA120" s="205"/>
      <c r="BB120" s="64">
        <v>5226.2894398332846</v>
      </c>
      <c r="BC120" s="64">
        <v>1034.8534031726633</v>
      </c>
      <c r="BD120" s="64">
        <v>610.64184668782104</v>
      </c>
      <c r="BE120" s="205">
        <f t="shared" si="35"/>
        <v>6871.784689693769</v>
      </c>
      <c r="BF120" s="205"/>
      <c r="BG120" s="64">
        <v>5443.8187886848491</v>
      </c>
      <c r="BH120" s="64">
        <v>1034.2881548026821</v>
      </c>
      <c r="BI120" s="64">
        <v>640.29469751512352</v>
      </c>
      <c r="BJ120" s="205">
        <f t="shared" si="41"/>
        <v>7118.4016410026552</v>
      </c>
      <c r="BK120" s="205"/>
      <c r="BL120" s="64">
        <v>5592.8224948262805</v>
      </c>
      <c r="BM120" s="64">
        <v>1036.3735031080414</v>
      </c>
      <c r="BN120" s="64">
        <v>678.56756311780453</v>
      </c>
      <c r="BO120" s="205">
        <f t="shared" si="42"/>
        <v>7307.7635610521265</v>
      </c>
      <c r="BQ120" s="64">
        <v>5774.0132423503628</v>
      </c>
      <c r="BR120" s="64">
        <v>1038.5265343745193</v>
      </c>
      <c r="BS120" s="64">
        <v>702.3588038978495</v>
      </c>
      <c r="BT120" s="205">
        <f t="shared" si="43"/>
        <v>7514.898580622732</v>
      </c>
      <c r="BU120" s="205"/>
      <c r="BV120" s="5">
        <f t="shared" si="44"/>
        <v>11113</v>
      </c>
      <c r="BW120" s="5">
        <f t="shared" si="45"/>
        <v>11546</v>
      </c>
      <c r="BX120" s="5">
        <f t="shared" si="46"/>
        <v>11864.142240000001</v>
      </c>
      <c r="BY120" s="5">
        <f t="shared" si="47"/>
        <v>12236.267980000001</v>
      </c>
      <c r="BZ120" s="5">
        <f t="shared" si="48"/>
        <v>6899.8973599999999</v>
      </c>
      <c r="CA120" s="5">
        <f t="shared" si="49"/>
        <v>6574.4582665098842</v>
      </c>
      <c r="CB120" s="5">
        <f t="shared" si="50"/>
        <v>6871.784689693769</v>
      </c>
      <c r="CC120" s="5">
        <f t="shared" si="51"/>
        <v>7118.4016410026552</v>
      </c>
      <c r="CD120" s="5">
        <f t="shared" si="52"/>
        <v>7307.7635610521265</v>
      </c>
      <c r="CE120" s="5">
        <f t="shared" si="60"/>
        <v>7514.898580622732</v>
      </c>
      <c r="CH120" s="41">
        <f>BV120/'1. Väestöennuste'!I120*1000</f>
        <v>3129.5409743734158</v>
      </c>
      <c r="CI120" s="41">
        <f>BW120/'1. Väestöennuste'!J120*1000</f>
        <v>3267.119411431805</v>
      </c>
      <c r="CJ120" s="41">
        <f>BX120/'1. Väestöennuste'!K120*1000</f>
        <v>3362.8521088435377</v>
      </c>
      <c r="CK120" s="41">
        <f>BY120/'1. Väestöennuste'!L120*1000</f>
        <v>3560.1594355542625</v>
      </c>
      <c r="CL120" s="41">
        <f>BZ120/'1. Väestöennuste'!M120*1000</f>
        <v>2040.7859686483287</v>
      </c>
      <c r="CM120" s="41">
        <f>CA120/'1. Väestöennuste'!N120*1000</f>
        <v>1941.085995426597</v>
      </c>
      <c r="CN120" s="41">
        <f>CB120/'1. Väestöennuste'!O120*1000</f>
        <v>2048.8326445121552</v>
      </c>
      <c r="CO120" s="41">
        <f>CC120/'1. Väestöennuste'!P120*1000</f>
        <v>2144.7428867136655</v>
      </c>
      <c r="CP120" s="41">
        <f>CD120/'1. Väestöennuste'!Q120*1000</f>
        <v>2223.2319930185963</v>
      </c>
      <c r="CQ120" s="41">
        <f>CE120/'1. Väestöennuste'!R120*1000</f>
        <v>2307.306902248306</v>
      </c>
      <c r="CR120" s="41"/>
      <c r="CU120" s="159">
        <f t="shared" si="53"/>
        <v>137.57843705838923</v>
      </c>
      <c r="CV120" s="159">
        <f t="shared" si="54"/>
        <v>95.732697411732715</v>
      </c>
      <c r="CW120" s="159">
        <f t="shared" si="55"/>
        <v>197.30732671072474</v>
      </c>
      <c r="CX120" s="159">
        <f t="shared" si="56"/>
        <v>-1519.3734669059338</v>
      </c>
      <c r="CY120" s="159">
        <f t="shared" si="57"/>
        <v>-99.699973221731625</v>
      </c>
      <c r="CZ120" s="159">
        <f t="shared" si="58"/>
        <v>107.74664908555815</v>
      </c>
      <c r="DA120" s="159">
        <f t="shared" si="61"/>
        <v>95.9102422015103</v>
      </c>
      <c r="DB120" s="159">
        <f t="shared" si="62"/>
        <v>78.489106304930829</v>
      </c>
      <c r="DC120" s="159">
        <f t="shared" si="62"/>
        <v>84.074909229709647</v>
      </c>
    </row>
    <row r="121" spans="1:107" x14ac:dyDescent="0.2">
      <c r="A121" s="99">
        <v>14</v>
      </c>
      <c r="B121" s="30">
        <v>301</v>
      </c>
      <c r="C121" s="47" t="s">
        <v>435</v>
      </c>
      <c r="D121" s="64">
        <v>35681.075219999999</v>
      </c>
      <c r="E121" s="64">
        <v>2169.3131699999999</v>
      </c>
      <c r="F121" s="64">
        <v>2065.1221499999997</v>
      </c>
      <c r="G121" s="205">
        <v>65451</v>
      </c>
      <c r="H121" s="205"/>
      <c r="I121" s="64">
        <v>55388</v>
      </c>
      <c r="J121" s="64">
        <v>4342</v>
      </c>
      <c r="K121" s="64">
        <v>3439</v>
      </c>
      <c r="L121" s="205">
        <v>63169</v>
      </c>
      <c r="M121" s="205"/>
      <c r="N121" s="64">
        <v>57835</v>
      </c>
      <c r="O121" s="64">
        <v>4336</v>
      </c>
      <c r="P121" s="64">
        <v>4318</v>
      </c>
      <c r="Q121" s="205">
        <v>66489</v>
      </c>
      <c r="R121" s="205"/>
      <c r="S121" s="64">
        <v>55377</v>
      </c>
      <c r="T121" s="64">
        <v>4376</v>
      </c>
      <c r="U121" s="64">
        <v>4019</v>
      </c>
      <c r="V121" s="205">
        <v>63772</v>
      </c>
      <c r="W121" s="205"/>
      <c r="X121" s="64">
        <v>56851</v>
      </c>
      <c r="Y121" s="64">
        <v>4535</v>
      </c>
      <c r="Z121" s="64">
        <v>3524</v>
      </c>
      <c r="AA121" s="205">
        <f t="shared" si="59"/>
        <v>64910</v>
      </c>
      <c r="AB121" s="205"/>
      <c r="AC121" s="64">
        <v>59870</v>
      </c>
      <c r="AD121" s="64">
        <v>4151</v>
      </c>
      <c r="AE121" s="64">
        <v>3868</v>
      </c>
      <c r="AF121" s="205">
        <f t="shared" si="36"/>
        <v>67889</v>
      </c>
      <c r="AG121" s="205"/>
      <c r="AH121" s="278">
        <v>59826.011140000002</v>
      </c>
      <c r="AI121" s="64">
        <v>4831.3095000000003</v>
      </c>
      <c r="AJ121" s="64">
        <v>5922.6611199999998</v>
      </c>
      <c r="AK121" s="205">
        <f t="shared" si="37"/>
        <v>70579.98176000001</v>
      </c>
      <c r="AL121" s="205"/>
      <c r="AM121" s="64">
        <v>60714.387270000007</v>
      </c>
      <c r="AN121" s="64">
        <v>5103.2806600000004</v>
      </c>
      <c r="AO121" s="64">
        <v>6397.6195700000007</v>
      </c>
      <c r="AP121" s="205">
        <f t="shared" si="38"/>
        <v>72215.287500000006</v>
      </c>
      <c r="AQ121" s="205"/>
      <c r="AR121" s="64">
        <v>30891.36318</v>
      </c>
      <c r="AS121" s="64">
        <v>5317.4373700000006</v>
      </c>
      <c r="AT121" s="64">
        <v>3989.7068199999999</v>
      </c>
      <c r="AU121" s="205">
        <f t="shared" si="39"/>
        <v>40198.507369999999</v>
      </c>
      <c r="AV121" s="205"/>
      <c r="AW121" s="64">
        <v>29441.698243437473</v>
      </c>
      <c r="AX121" s="64">
        <v>6443.303757719339</v>
      </c>
      <c r="AY121" s="64">
        <v>3106.3062642572427</v>
      </c>
      <c r="AZ121" s="205">
        <f t="shared" si="40"/>
        <v>38991.308265414053</v>
      </c>
      <c r="BA121" s="205"/>
      <c r="BB121" s="64">
        <v>30809.732333036587</v>
      </c>
      <c r="BC121" s="64">
        <v>6559.7560136938837</v>
      </c>
      <c r="BD121" s="64">
        <v>3143.5819394283294</v>
      </c>
      <c r="BE121" s="205">
        <f t="shared" si="35"/>
        <v>40513.0702861588</v>
      </c>
      <c r="BF121" s="205"/>
      <c r="BG121" s="64">
        <v>31937.909508186211</v>
      </c>
      <c r="BH121" s="64">
        <v>6730.6648230188603</v>
      </c>
      <c r="BI121" s="64">
        <v>3296.2347044146854</v>
      </c>
      <c r="BJ121" s="205">
        <f t="shared" si="41"/>
        <v>41964.809035619757</v>
      </c>
      <c r="BK121" s="205"/>
      <c r="BL121" s="64">
        <v>32801.682807673234</v>
      </c>
      <c r="BM121" s="64">
        <v>6920.8011521716435</v>
      </c>
      <c r="BN121" s="64">
        <v>3493.263273176145</v>
      </c>
      <c r="BO121" s="205">
        <f t="shared" si="42"/>
        <v>43215.747233021022</v>
      </c>
      <c r="BQ121" s="64">
        <v>33790.283559212461</v>
      </c>
      <c r="BR121" s="64">
        <v>7113.8375947171444</v>
      </c>
      <c r="BS121" s="64">
        <v>3615.7404915954307</v>
      </c>
      <c r="BT121" s="205">
        <f t="shared" si="43"/>
        <v>44519.861645525038</v>
      </c>
      <c r="BU121" s="205"/>
      <c r="BV121" s="5">
        <f t="shared" si="44"/>
        <v>64910</v>
      </c>
      <c r="BW121" s="5">
        <f t="shared" si="45"/>
        <v>67889</v>
      </c>
      <c r="BX121" s="5">
        <f t="shared" si="46"/>
        <v>70579.98176000001</v>
      </c>
      <c r="BY121" s="5">
        <f t="shared" si="47"/>
        <v>72215.287500000006</v>
      </c>
      <c r="BZ121" s="5">
        <f t="shared" si="48"/>
        <v>40198.507369999999</v>
      </c>
      <c r="CA121" s="5">
        <f t="shared" si="49"/>
        <v>38991.308265414053</v>
      </c>
      <c r="CB121" s="5">
        <f t="shared" si="50"/>
        <v>40513.0702861588</v>
      </c>
      <c r="CC121" s="5">
        <f t="shared" si="51"/>
        <v>41964.809035619757</v>
      </c>
      <c r="CD121" s="5">
        <f t="shared" si="52"/>
        <v>43215.747233021022</v>
      </c>
      <c r="CE121" s="5">
        <f t="shared" si="60"/>
        <v>44519.861645525038</v>
      </c>
      <c r="CH121" s="41">
        <f>BV121/'1. Väestöennuste'!I121*1000</f>
        <v>3139.0850178934129</v>
      </c>
      <c r="CI121" s="41">
        <f>BW121/'1. Väestöennuste'!J121*1000</f>
        <v>3318.781775518185</v>
      </c>
      <c r="CJ121" s="41">
        <f>BX121/'1. Väestöennuste'!K121*1000</f>
        <v>3494.5774996286582</v>
      </c>
      <c r="CK121" s="41">
        <f>BY121/'1. Väestöennuste'!L121*1000</f>
        <v>3630.7334087481149</v>
      </c>
      <c r="CL121" s="41">
        <f>BZ121/'1. Väestöennuste'!M121*1000</f>
        <v>2034.4403750189786</v>
      </c>
      <c r="CM121" s="41">
        <f>CA121/'1. Väestöennuste'!N121*1000</f>
        <v>2000.0671077411671</v>
      </c>
      <c r="CN121" s="41">
        <f>CB121/'1. Väestöennuste'!O121*1000</f>
        <v>2102.4998851086611</v>
      </c>
      <c r="CO121" s="41">
        <f>CC121/'1. Väestöennuste'!P121*1000</f>
        <v>2202.9927573951263</v>
      </c>
      <c r="CP121" s="41">
        <f>CD121/'1. Väestöennuste'!Q121*1000</f>
        <v>2294.5602226304036</v>
      </c>
      <c r="CQ121" s="41">
        <f>CE121/'1. Väestöennuste'!R121*1000</f>
        <v>2390.7132233661819</v>
      </c>
      <c r="CR121" s="41"/>
      <c r="CU121" s="159">
        <f t="shared" si="53"/>
        <v>179.69675762477209</v>
      </c>
      <c r="CV121" s="159">
        <f t="shared" si="54"/>
        <v>175.7957241104732</v>
      </c>
      <c r="CW121" s="159">
        <f t="shared" si="55"/>
        <v>136.15590911945674</v>
      </c>
      <c r="CX121" s="159">
        <f t="shared" si="56"/>
        <v>-1596.2930337291364</v>
      </c>
      <c r="CY121" s="159">
        <f t="shared" si="57"/>
        <v>-34.373267277811465</v>
      </c>
      <c r="CZ121" s="159">
        <f t="shared" si="58"/>
        <v>102.43277736749405</v>
      </c>
      <c r="DA121" s="159">
        <f t="shared" si="61"/>
        <v>100.49287228646517</v>
      </c>
      <c r="DB121" s="159">
        <f t="shared" si="62"/>
        <v>91.567465235277268</v>
      </c>
      <c r="DC121" s="159">
        <f t="shared" si="62"/>
        <v>96.153000735778278</v>
      </c>
    </row>
    <row r="122" spans="1:107" x14ac:dyDescent="0.2">
      <c r="A122" s="99">
        <v>2</v>
      </c>
      <c r="B122" s="30">
        <v>304</v>
      </c>
      <c r="C122" s="47" t="s">
        <v>436</v>
      </c>
      <c r="D122" s="64">
        <v>2502.5387299999998</v>
      </c>
      <c r="E122" s="64">
        <v>1358.62691</v>
      </c>
      <c r="F122" s="64">
        <v>167.04810999999998</v>
      </c>
      <c r="G122" s="205">
        <v>4028</v>
      </c>
      <c r="H122" s="205"/>
      <c r="I122" s="64">
        <v>2684</v>
      </c>
      <c r="J122" s="64">
        <v>1400</v>
      </c>
      <c r="K122" s="64">
        <v>149</v>
      </c>
      <c r="L122" s="205">
        <v>4233</v>
      </c>
      <c r="M122" s="205"/>
      <c r="N122" s="64">
        <v>2425</v>
      </c>
      <c r="O122" s="64">
        <v>1402</v>
      </c>
      <c r="P122" s="64">
        <v>201</v>
      </c>
      <c r="Q122" s="205">
        <v>4028</v>
      </c>
      <c r="R122" s="205"/>
      <c r="S122" s="64">
        <v>2827</v>
      </c>
      <c r="T122" s="64">
        <v>1421</v>
      </c>
      <c r="U122" s="64">
        <v>223</v>
      </c>
      <c r="V122" s="205">
        <v>4471</v>
      </c>
      <c r="W122" s="205"/>
      <c r="X122" s="64">
        <v>2913</v>
      </c>
      <c r="Y122" s="64">
        <v>1441</v>
      </c>
      <c r="Z122" s="64">
        <v>232</v>
      </c>
      <c r="AA122" s="205">
        <f t="shared" si="59"/>
        <v>4586</v>
      </c>
      <c r="AB122" s="205"/>
      <c r="AC122" s="64">
        <v>3114</v>
      </c>
      <c r="AD122" s="64">
        <v>1281</v>
      </c>
      <c r="AE122" s="64">
        <v>258</v>
      </c>
      <c r="AF122" s="205">
        <f t="shared" si="36"/>
        <v>4653</v>
      </c>
      <c r="AG122" s="205"/>
      <c r="AH122" s="278">
        <v>3180.2495400000003</v>
      </c>
      <c r="AI122" s="64">
        <v>1461.93076</v>
      </c>
      <c r="AJ122" s="64">
        <v>378.16028999999997</v>
      </c>
      <c r="AK122" s="205">
        <f t="shared" si="37"/>
        <v>5020.3405899999998</v>
      </c>
      <c r="AL122" s="205"/>
      <c r="AM122" s="64">
        <v>3734.7194900000004</v>
      </c>
      <c r="AN122" s="64">
        <v>1529.1179500000001</v>
      </c>
      <c r="AO122" s="64">
        <v>390.45913000000002</v>
      </c>
      <c r="AP122" s="205">
        <f t="shared" si="38"/>
        <v>5654.2965700000004</v>
      </c>
      <c r="AQ122" s="205"/>
      <c r="AR122" s="64">
        <v>1516.21533</v>
      </c>
      <c r="AS122" s="64">
        <v>1487.17669</v>
      </c>
      <c r="AT122" s="64">
        <v>250.76729999999998</v>
      </c>
      <c r="AU122" s="205">
        <f t="shared" si="39"/>
        <v>3254.1593200000002</v>
      </c>
      <c r="AV122" s="205"/>
      <c r="AW122" s="64">
        <v>1284.1110123978065</v>
      </c>
      <c r="AX122" s="64">
        <v>1855.419149735493</v>
      </c>
      <c r="AY122" s="64">
        <v>215.79412171014118</v>
      </c>
      <c r="AZ122" s="205">
        <f t="shared" si="40"/>
        <v>3355.3242838434403</v>
      </c>
      <c r="BA122" s="205"/>
      <c r="BB122" s="64">
        <v>1395.1546105903628</v>
      </c>
      <c r="BC122" s="64">
        <v>1880.9657233816527</v>
      </c>
      <c r="BD122" s="64">
        <v>218.38365117066286</v>
      </c>
      <c r="BE122" s="205">
        <f t="shared" si="35"/>
        <v>3494.5039851426782</v>
      </c>
      <c r="BF122" s="205"/>
      <c r="BG122" s="64">
        <v>1459.5234347434898</v>
      </c>
      <c r="BH122" s="64">
        <v>1921.6004877481705</v>
      </c>
      <c r="BI122" s="64">
        <v>228.98839086613268</v>
      </c>
      <c r="BJ122" s="205">
        <f t="shared" si="41"/>
        <v>3610.112313357793</v>
      </c>
      <c r="BK122" s="205"/>
      <c r="BL122" s="64">
        <v>1533.0541981250167</v>
      </c>
      <c r="BM122" s="64">
        <v>1967.0931679745293</v>
      </c>
      <c r="BN122" s="64">
        <v>242.67590372889021</v>
      </c>
      <c r="BO122" s="205">
        <f t="shared" si="42"/>
        <v>3742.8232698284364</v>
      </c>
      <c r="BQ122" s="64">
        <v>1615.9150652902281</v>
      </c>
      <c r="BR122" s="64">
        <v>2012.7357342203277</v>
      </c>
      <c r="BS122" s="64">
        <v>251.18435767060433</v>
      </c>
      <c r="BT122" s="205">
        <f t="shared" si="43"/>
        <v>3879.83515718116</v>
      </c>
      <c r="BU122" s="205"/>
      <c r="BV122" s="5">
        <f t="shared" si="44"/>
        <v>4586</v>
      </c>
      <c r="BW122" s="5">
        <f t="shared" si="45"/>
        <v>4653</v>
      </c>
      <c r="BX122" s="5">
        <f t="shared" si="46"/>
        <v>5020.3405899999998</v>
      </c>
      <c r="BY122" s="5">
        <f t="shared" si="47"/>
        <v>5654.2965700000004</v>
      </c>
      <c r="BZ122" s="5">
        <f t="shared" si="48"/>
        <v>3254.1593200000002</v>
      </c>
      <c r="CA122" s="5">
        <f t="shared" si="49"/>
        <v>3355.3242838434403</v>
      </c>
      <c r="CB122" s="5">
        <f t="shared" si="50"/>
        <v>3494.5039851426782</v>
      </c>
      <c r="CC122" s="5">
        <f t="shared" si="51"/>
        <v>3610.112313357793</v>
      </c>
      <c r="CD122" s="5">
        <f t="shared" si="52"/>
        <v>3742.8232698284364</v>
      </c>
      <c r="CE122" s="5">
        <f t="shared" si="60"/>
        <v>3879.83515718116</v>
      </c>
      <c r="CH122" s="41">
        <f>BV122/'1. Väestöennuste'!I122*1000</f>
        <v>4832.4552160168596</v>
      </c>
      <c r="CI122" s="41">
        <f>BW122/'1. Väestöennuste'!J122*1000</f>
        <v>4836.798336798337</v>
      </c>
      <c r="CJ122" s="41">
        <f>BX122/'1. Väestöennuste'!K122*1000</f>
        <v>5170.2786714727081</v>
      </c>
      <c r="CK122" s="41">
        <f>BY122/'1. Väestöennuste'!L122*1000</f>
        <v>5951.8911263157897</v>
      </c>
      <c r="CL122" s="41">
        <f>BZ122/'1. Väestöennuste'!M122*1000</f>
        <v>3429.0403793466808</v>
      </c>
      <c r="CM122" s="41">
        <f>CA122/'1. Väestöennuste'!N122*1000</f>
        <v>3273.487106188722</v>
      </c>
      <c r="CN122" s="41">
        <f>CB122/'1. Väestöennuste'!O122*1000</f>
        <v>3369.8206221240871</v>
      </c>
      <c r="CO122" s="41">
        <f>CC122/'1. Väestöennuste'!P122*1000</f>
        <v>3438.2022031978981</v>
      </c>
      <c r="CP122" s="41">
        <f>CD122/'1. Väestöennuste'!Q122*1000</f>
        <v>3517.6910430718385</v>
      </c>
      <c r="CQ122" s="41">
        <f>CE122/'1. Väestöennuste'!R122*1000</f>
        <v>3609.1489834243348</v>
      </c>
      <c r="CR122" s="41"/>
      <c r="CU122" s="159">
        <f t="shared" si="53"/>
        <v>4.3431207814774098</v>
      </c>
      <c r="CV122" s="159">
        <f t="shared" si="54"/>
        <v>333.48033467437108</v>
      </c>
      <c r="CW122" s="159">
        <f t="shared" si="55"/>
        <v>781.61245484308165</v>
      </c>
      <c r="CX122" s="159">
        <f t="shared" si="56"/>
        <v>-2522.850746969109</v>
      </c>
      <c r="CY122" s="159">
        <f t="shared" si="57"/>
        <v>-155.55327315795876</v>
      </c>
      <c r="CZ122" s="159">
        <f t="shared" si="58"/>
        <v>96.333515935365085</v>
      </c>
      <c r="DA122" s="159">
        <f t="shared" si="61"/>
        <v>68.381581073811049</v>
      </c>
      <c r="DB122" s="159">
        <f t="shared" si="62"/>
        <v>79.488839873940378</v>
      </c>
      <c r="DC122" s="159">
        <f t="shared" si="62"/>
        <v>91.45794035249628</v>
      </c>
    </row>
    <row r="123" spans="1:107" x14ac:dyDescent="0.2">
      <c r="A123" s="99">
        <v>17</v>
      </c>
      <c r="B123" s="30">
        <v>305</v>
      </c>
      <c r="C123" s="47" t="s">
        <v>437</v>
      </c>
      <c r="D123" s="64">
        <v>42247.82791</v>
      </c>
      <c r="E123" s="64">
        <v>6872.8948300000002</v>
      </c>
      <c r="F123" s="64">
        <v>3595.0094399999998</v>
      </c>
      <c r="G123" s="205">
        <v>52619</v>
      </c>
      <c r="H123" s="205"/>
      <c r="I123" s="64">
        <v>41662</v>
      </c>
      <c r="J123" s="64">
        <v>6828</v>
      </c>
      <c r="K123" s="64">
        <v>3304</v>
      </c>
      <c r="L123" s="205">
        <v>51703</v>
      </c>
      <c r="M123" s="205"/>
      <c r="N123" s="64">
        <v>41781</v>
      </c>
      <c r="O123" s="64">
        <v>6737</v>
      </c>
      <c r="P123" s="64">
        <v>4067</v>
      </c>
      <c r="Q123" s="205">
        <v>52585</v>
      </c>
      <c r="R123" s="205"/>
      <c r="S123" s="64">
        <v>40189</v>
      </c>
      <c r="T123" s="64">
        <v>7218</v>
      </c>
      <c r="U123" s="64">
        <v>3843</v>
      </c>
      <c r="V123" s="205">
        <v>51250</v>
      </c>
      <c r="W123" s="205"/>
      <c r="X123" s="64">
        <v>41462</v>
      </c>
      <c r="Y123" s="64">
        <v>7377</v>
      </c>
      <c r="Z123" s="64">
        <v>3766</v>
      </c>
      <c r="AA123" s="205">
        <f t="shared" si="59"/>
        <v>52605</v>
      </c>
      <c r="AB123" s="205"/>
      <c r="AC123" s="64">
        <v>42693</v>
      </c>
      <c r="AD123" s="64">
        <v>6799</v>
      </c>
      <c r="AE123" s="64">
        <v>4396</v>
      </c>
      <c r="AF123" s="205">
        <f t="shared" si="36"/>
        <v>53888</v>
      </c>
      <c r="AG123" s="205"/>
      <c r="AH123" s="278">
        <v>44181.334999999999</v>
      </c>
      <c r="AI123" s="64">
        <v>7575.0075299999999</v>
      </c>
      <c r="AJ123" s="64">
        <v>6659.9191799999999</v>
      </c>
      <c r="AK123" s="205">
        <f t="shared" si="37"/>
        <v>58416.261709999999</v>
      </c>
      <c r="AL123" s="205"/>
      <c r="AM123" s="64">
        <v>44512.224000000002</v>
      </c>
      <c r="AN123" s="64">
        <v>7826.5642300000009</v>
      </c>
      <c r="AO123" s="64">
        <v>6667.0261200000004</v>
      </c>
      <c r="AP123" s="205">
        <f t="shared" si="38"/>
        <v>59005.814350000008</v>
      </c>
      <c r="AQ123" s="205"/>
      <c r="AR123" s="64">
        <v>21183.307000000001</v>
      </c>
      <c r="AS123" s="64">
        <v>8048.3065800000004</v>
      </c>
      <c r="AT123" s="64">
        <v>4716.1624900000006</v>
      </c>
      <c r="AU123" s="205">
        <f t="shared" si="39"/>
        <v>33947.77607</v>
      </c>
      <c r="AV123" s="205"/>
      <c r="AW123" s="64">
        <v>20110.944704025405</v>
      </c>
      <c r="AX123" s="64">
        <v>8464.7364636839065</v>
      </c>
      <c r="AY123" s="64">
        <v>4716.6684631123562</v>
      </c>
      <c r="AZ123" s="205">
        <f t="shared" si="40"/>
        <v>33292.349630821671</v>
      </c>
      <c r="BA123" s="205"/>
      <c r="BB123" s="64">
        <v>21226.296888671284</v>
      </c>
      <c r="BC123" s="64">
        <v>8525.452635440497</v>
      </c>
      <c r="BD123" s="64">
        <v>4773.2684846697048</v>
      </c>
      <c r="BE123" s="205">
        <f t="shared" si="35"/>
        <v>34525.018008781481</v>
      </c>
      <c r="BF123" s="205"/>
      <c r="BG123" s="64">
        <v>22117.705542250067</v>
      </c>
      <c r="BH123" s="64">
        <v>8653.8402478143453</v>
      </c>
      <c r="BI123" s="64">
        <v>5005.0590491426556</v>
      </c>
      <c r="BJ123" s="205">
        <f t="shared" si="41"/>
        <v>35776.604839207066</v>
      </c>
      <c r="BK123" s="205"/>
      <c r="BL123" s="64">
        <v>22838.31504197359</v>
      </c>
      <c r="BM123" s="64">
        <v>8802.8640660054643</v>
      </c>
      <c r="BN123" s="64">
        <v>5304.2305916600671</v>
      </c>
      <c r="BO123" s="205">
        <f t="shared" si="42"/>
        <v>36945.409699639124</v>
      </c>
      <c r="BQ123" s="64">
        <v>23633.413502203581</v>
      </c>
      <c r="BR123" s="64">
        <v>8951.2397552746406</v>
      </c>
      <c r="BS123" s="64">
        <v>5490.2020910627834</v>
      </c>
      <c r="BT123" s="205">
        <f t="shared" si="43"/>
        <v>38074.855348541008</v>
      </c>
      <c r="BU123" s="205"/>
      <c r="BV123" s="5">
        <f t="shared" si="44"/>
        <v>52605</v>
      </c>
      <c r="BW123" s="5">
        <f t="shared" si="45"/>
        <v>53888</v>
      </c>
      <c r="BX123" s="5">
        <f t="shared" si="46"/>
        <v>58416.261709999999</v>
      </c>
      <c r="BY123" s="5">
        <f t="shared" si="47"/>
        <v>59005.814350000008</v>
      </c>
      <c r="BZ123" s="5">
        <f t="shared" si="48"/>
        <v>33947.77607</v>
      </c>
      <c r="CA123" s="5">
        <f t="shared" si="49"/>
        <v>33292.349630821671</v>
      </c>
      <c r="CB123" s="5">
        <f t="shared" si="50"/>
        <v>34525.018008781481</v>
      </c>
      <c r="CC123" s="5">
        <f t="shared" si="51"/>
        <v>35776.604839207066</v>
      </c>
      <c r="CD123" s="5">
        <f t="shared" si="52"/>
        <v>36945.409699639124</v>
      </c>
      <c r="CE123" s="5">
        <f t="shared" si="60"/>
        <v>38074.855348541008</v>
      </c>
      <c r="CH123" s="41">
        <f>BV123/'1. Väestöennuste'!I123*1000</f>
        <v>3475.9481961147089</v>
      </c>
      <c r="CI123" s="41">
        <f>BW123/'1. Väestöennuste'!J123*1000</f>
        <v>3542.2336159863275</v>
      </c>
      <c r="CJ123" s="41">
        <f>BX123/'1. Väestöennuste'!K123*1000</f>
        <v>3852.0449528519616</v>
      </c>
      <c r="CK123" s="41">
        <f>BY123/'1. Väestöennuste'!L123*1000</f>
        <v>3895.8018189621025</v>
      </c>
      <c r="CL123" s="41">
        <f>BZ123/'1. Väestöennuste'!M123*1000</f>
        <v>2260.321996804048</v>
      </c>
      <c r="CM123" s="41">
        <f>CA123/'1. Väestöennuste'!N123*1000</f>
        <v>2253.136818545051</v>
      </c>
      <c r="CN123" s="41">
        <f>CB123/'1. Väestöennuste'!O123*1000</f>
        <v>2352.9624486322828</v>
      </c>
      <c r="CO123" s="41">
        <f>CC123/'1. Väestöennuste'!P123*1000</f>
        <v>2454.8239906139061</v>
      </c>
      <c r="CP123" s="41">
        <f>CD123/'1. Väestöennuste'!Q123*1000</f>
        <v>2552.5362511841317</v>
      </c>
      <c r="CQ123" s="41">
        <f>CE123/'1. Väestöennuste'!R123*1000</f>
        <v>2648.8698586712821</v>
      </c>
      <c r="CR123" s="41"/>
      <c r="CU123" s="159">
        <f t="shared" si="53"/>
        <v>66.285419871618615</v>
      </c>
      <c r="CV123" s="159">
        <f t="shared" si="54"/>
        <v>309.81133686563408</v>
      </c>
      <c r="CW123" s="159">
        <f t="shared" si="55"/>
        <v>43.756866110140891</v>
      </c>
      <c r="CX123" s="159">
        <f t="shared" si="56"/>
        <v>-1635.4798221580545</v>
      </c>
      <c r="CY123" s="159">
        <f t="shared" si="57"/>
        <v>-7.1851782589969844</v>
      </c>
      <c r="CZ123" s="159">
        <f t="shared" si="58"/>
        <v>99.82563008723173</v>
      </c>
      <c r="DA123" s="159">
        <f t="shared" si="61"/>
        <v>101.8615419816233</v>
      </c>
      <c r="DB123" s="159">
        <f t="shared" si="62"/>
        <v>97.712260570225681</v>
      </c>
      <c r="DC123" s="159">
        <f t="shared" si="62"/>
        <v>96.333607487150402</v>
      </c>
    </row>
    <row r="124" spans="1:107" x14ac:dyDescent="0.2">
      <c r="A124" s="99">
        <v>12</v>
      </c>
      <c r="B124" s="30">
        <v>309</v>
      </c>
      <c r="C124" s="47" t="s">
        <v>438</v>
      </c>
      <c r="D124" s="64">
        <v>20288.509320000001</v>
      </c>
      <c r="E124" s="64">
        <v>1766.6724999999999</v>
      </c>
      <c r="F124" s="64">
        <v>1560.24596</v>
      </c>
      <c r="G124" s="205">
        <v>23614</v>
      </c>
      <c r="H124" s="205"/>
      <c r="I124" s="64">
        <v>19876</v>
      </c>
      <c r="J124" s="64">
        <v>1775</v>
      </c>
      <c r="K124" s="64">
        <v>1319</v>
      </c>
      <c r="L124" s="205">
        <v>22970</v>
      </c>
      <c r="M124" s="205"/>
      <c r="N124" s="64">
        <v>19165</v>
      </c>
      <c r="O124" s="64">
        <v>1764</v>
      </c>
      <c r="P124" s="64">
        <v>1436</v>
      </c>
      <c r="Q124" s="205">
        <v>22365</v>
      </c>
      <c r="R124" s="205"/>
      <c r="S124" s="64">
        <v>18390</v>
      </c>
      <c r="T124" s="64">
        <v>1726</v>
      </c>
      <c r="U124" s="64">
        <v>1246</v>
      </c>
      <c r="V124" s="205">
        <v>21362</v>
      </c>
      <c r="W124" s="205"/>
      <c r="X124" s="64">
        <v>18127</v>
      </c>
      <c r="Y124" s="64">
        <v>1660</v>
      </c>
      <c r="Z124" s="64">
        <v>1342</v>
      </c>
      <c r="AA124" s="205">
        <f t="shared" si="59"/>
        <v>21129</v>
      </c>
      <c r="AB124" s="205"/>
      <c r="AC124" s="64">
        <v>19234</v>
      </c>
      <c r="AD124" s="64">
        <v>1543</v>
      </c>
      <c r="AE124" s="64">
        <v>1433</v>
      </c>
      <c r="AF124" s="205">
        <f t="shared" si="36"/>
        <v>22210</v>
      </c>
      <c r="AG124" s="205"/>
      <c r="AH124" s="278">
        <v>18741.318789999998</v>
      </c>
      <c r="AI124" s="64">
        <v>1701.76028</v>
      </c>
      <c r="AJ124" s="64">
        <v>1932.2933600000001</v>
      </c>
      <c r="AK124" s="205">
        <f t="shared" si="37"/>
        <v>22375.372429999996</v>
      </c>
      <c r="AL124" s="205"/>
      <c r="AM124" s="64">
        <v>19180.189670000003</v>
      </c>
      <c r="AN124" s="64">
        <v>1576.0929099999998</v>
      </c>
      <c r="AO124" s="64">
        <v>1792.4526899999998</v>
      </c>
      <c r="AP124" s="205">
        <f t="shared" si="38"/>
        <v>22548.735270000001</v>
      </c>
      <c r="AQ124" s="205"/>
      <c r="AR124" s="64">
        <v>10044.136490000001</v>
      </c>
      <c r="AS124" s="64">
        <v>1666.14076</v>
      </c>
      <c r="AT124" s="64">
        <v>1073.29493</v>
      </c>
      <c r="AU124" s="205">
        <f t="shared" si="39"/>
        <v>12783.572180000001</v>
      </c>
      <c r="AV124" s="205"/>
      <c r="AW124" s="64">
        <v>9406.6780344869494</v>
      </c>
      <c r="AX124" s="64">
        <v>1720.2084518970926</v>
      </c>
      <c r="AY124" s="64">
        <v>979.91302251270929</v>
      </c>
      <c r="AZ124" s="205">
        <f t="shared" si="40"/>
        <v>12106.799508896753</v>
      </c>
      <c r="BA124" s="205"/>
      <c r="BB124" s="64">
        <v>9707.0991817019731</v>
      </c>
      <c r="BC124" s="64">
        <v>1744.8856765727007</v>
      </c>
      <c r="BD124" s="64">
        <v>991.67197878286174</v>
      </c>
      <c r="BE124" s="205">
        <f t="shared" si="35"/>
        <v>12443.656837057537</v>
      </c>
      <c r="BF124" s="205"/>
      <c r="BG124" s="64">
        <v>9935.3719513923716</v>
      </c>
      <c r="BH124" s="64">
        <v>1783.8207701187891</v>
      </c>
      <c r="BI124" s="64">
        <v>1039.8277044606293</v>
      </c>
      <c r="BJ124" s="205">
        <f t="shared" si="41"/>
        <v>12759.02042597179</v>
      </c>
      <c r="BK124" s="205"/>
      <c r="BL124" s="64">
        <v>10130.825588319909</v>
      </c>
      <c r="BM124" s="64">
        <v>1827.5591753519977</v>
      </c>
      <c r="BN124" s="64">
        <v>1101.9821876028639</v>
      </c>
      <c r="BO124" s="205">
        <f t="shared" si="42"/>
        <v>13060.366951274771</v>
      </c>
      <c r="BQ124" s="64">
        <v>10394.492933378417</v>
      </c>
      <c r="BR124" s="64">
        <v>1871.7568723929257</v>
      </c>
      <c r="BS124" s="64">
        <v>1140.6187582047935</v>
      </c>
      <c r="BT124" s="205">
        <f t="shared" si="43"/>
        <v>13406.868563976135</v>
      </c>
      <c r="BU124" s="205"/>
      <c r="BV124" s="5">
        <f t="shared" si="44"/>
        <v>21129</v>
      </c>
      <c r="BW124" s="5">
        <f t="shared" si="45"/>
        <v>22210</v>
      </c>
      <c r="BX124" s="5">
        <f t="shared" si="46"/>
        <v>22375.372429999996</v>
      </c>
      <c r="BY124" s="5">
        <f t="shared" si="47"/>
        <v>22548.735270000001</v>
      </c>
      <c r="BZ124" s="5">
        <f t="shared" si="48"/>
        <v>12783.572180000001</v>
      </c>
      <c r="CA124" s="5">
        <f t="shared" si="49"/>
        <v>12106.799508896753</v>
      </c>
      <c r="CB124" s="5">
        <f t="shared" si="50"/>
        <v>12443.656837057537</v>
      </c>
      <c r="CC124" s="5">
        <f t="shared" si="51"/>
        <v>12759.02042597179</v>
      </c>
      <c r="CD124" s="5">
        <f t="shared" si="52"/>
        <v>13060.366951274771</v>
      </c>
      <c r="CE124" s="5">
        <f t="shared" si="60"/>
        <v>13406.868563976135</v>
      </c>
      <c r="CH124" s="41">
        <f>BV124/'1. Väestöennuste'!I124*1000</f>
        <v>3159.2404306220096</v>
      </c>
      <c r="CI124" s="41">
        <f>BW124/'1. Väestöennuste'!J124*1000</f>
        <v>3389.8046398046399</v>
      </c>
      <c r="CJ124" s="41">
        <f>BX124/'1. Väestöennuste'!K124*1000</f>
        <v>3439.1903519827847</v>
      </c>
      <c r="CK124" s="41">
        <f>BY124/'1. Väestöennuste'!L124*1000</f>
        <v>3492.1380315936194</v>
      </c>
      <c r="CL124" s="41">
        <f>BZ124/'1. Väestöennuste'!M124*1000</f>
        <v>1994.628207208613</v>
      </c>
      <c r="CM124" s="41">
        <f>CA124/'1. Väestöennuste'!N124*1000</f>
        <v>1970.5077325678308</v>
      </c>
      <c r="CN124" s="41">
        <f>CB124/'1. Väestöennuste'!O124*1000</f>
        <v>2057.1428065891118</v>
      </c>
      <c r="CO124" s="41">
        <f>CC124/'1. Väestöennuste'!P124*1000</f>
        <v>2143.2925291402303</v>
      </c>
      <c r="CP124" s="41">
        <f>CD124/'1. Väestöennuste'!Q124*1000</f>
        <v>2227.5911566219975</v>
      </c>
      <c r="CQ124" s="41">
        <f>CE124/'1. Väestöennuste'!R124*1000</f>
        <v>2322.7423014511669</v>
      </c>
      <c r="CR124" s="41"/>
      <c r="CU124" s="159">
        <f t="shared" si="53"/>
        <v>230.56420918263029</v>
      </c>
      <c r="CV124" s="159">
        <f t="shared" si="54"/>
        <v>49.385712178144786</v>
      </c>
      <c r="CW124" s="159">
        <f t="shared" si="55"/>
        <v>52.947679610834712</v>
      </c>
      <c r="CX124" s="159">
        <f t="shared" si="56"/>
        <v>-1497.5098243850064</v>
      </c>
      <c r="CY124" s="159">
        <f t="shared" si="57"/>
        <v>-24.120474640782277</v>
      </c>
      <c r="CZ124" s="159">
        <f t="shared" si="58"/>
        <v>86.635074021281071</v>
      </c>
      <c r="DA124" s="159">
        <f t="shared" si="61"/>
        <v>86.14972255111843</v>
      </c>
      <c r="DB124" s="159">
        <f t="shared" si="62"/>
        <v>84.298627481767198</v>
      </c>
      <c r="DC124" s="159">
        <f t="shared" si="62"/>
        <v>95.151144829169425</v>
      </c>
    </row>
    <row r="125" spans="1:107" x14ac:dyDescent="0.2">
      <c r="A125" s="99">
        <v>13</v>
      </c>
      <c r="B125" s="30">
        <v>312</v>
      </c>
      <c r="C125" s="47" t="s">
        <v>439</v>
      </c>
      <c r="D125" s="64">
        <v>3517.7736299999997</v>
      </c>
      <c r="E125" s="64">
        <v>285.41934999999995</v>
      </c>
      <c r="F125" s="64">
        <v>722.66237000000001</v>
      </c>
      <c r="G125" s="205">
        <v>4527</v>
      </c>
      <c r="H125" s="205"/>
      <c r="I125" s="64">
        <v>3083</v>
      </c>
      <c r="J125" s="64">
        <v>283</v>
      </c>
      <c r="K125" s="64">
        <v>541</v>
      </c>
      <c r="L125" s="205">
        <v>3907</v>
      </c>
      <c r="M125" s="205"/>
      <c r="N125" s="64">
        <v>3421</v>
      </c>
      <c r="O125" s="64">
        <v>321</v>
      </c>
      <c r="P125" s="64">
        <v>577</v>
      </c>
      <c r="Q125" s="205">
        <v>4319</v>
      </c>
      <c r="R125" s="205"/>
      <c r="S125" s="64">
        <v>3406</v>
      </c>
      <c r="T125" s="64">
        <v>381</v>
      </c>
      <c r="U125" s="64">
        <v>597</v>
      </c>
      <c r="V125" s="205">
        <v>4384</v>
      </c>
      <c r="W125" s="205"/>
      <c r="X125" s="64">
        <v>3310</v>
      </c>
      <c r="Y125" s="64">
        <v>385</v>
      </c>
      <c r="Z125" s="64">
        <v>720</v>
      </c>
      <c r="AA125" s="205">
        <f t="shared" si="59"/>
        <v>4415</v>
      </c>
      <c r="AB125" s="205"/>
      <c r="AC125" s="64">
        <v>3324</v>
      </c>
      <c r="AD125" s="64">
        <v>405</v>
      </c>
      <c r="AE125" s="64">
        <v>927</v>
      </c>
      <c r="AF125" s="205">
        <f t="shared" si="36"/>
        <v>4656</v>
      </c>
      <c r="AG125" s="205"/>
      <c r="AH125" s="278">
        <v>3216.0606000000002</v>
      </c>
      <c r="AI125" s="64">
        <v>445.49799000000002</v>
      </c>
      <c r="AJ125" s="64">
        <v>1476.58169</v>
      </c>
      <c r="AK125" s="205">
        <f t="shared" si="37"/>
        <v>5138.1402799999996</v>
      </c>
      <c r="AL125" s="205"/>
      <c r="AM125" s="64">
        <v>3605.2787899999998</v>
      </c>
      <c r="AN125" s="64">
        <v>490.34613999999999</v>
      </c>
      <c r="AO125" s="64">
        <v>1434.9004299999999</v>
      </c>
      <c r="AP125" s="205">
        <f t="shared" si="38"/>
        <v>5530.5253599999996</v>
      </c>
      <c r="AQ125" s="205"/>
      <c r="AR125" s="64">
        <v>1972.6933000000001</v>
      </c>
      <c r="AS125" s="64">
        <v>518.95776999999998</v>
      </c>
      <c r="AT125" s="64">
        <v>804.22262999999998</v>
      </c>
      <c r="AU125" s="205">
        <f t="shared" si="39"/>
        <v>3295.8737000000001</v>
      </c>
      <c r="AV125" s="205"/>
      <c r="AW125" s="64">
        <v>1826.7415067806267</v>
      </c>
      <c r="AX125" s="64">
        <v>584.70944795991056</v>
      </c>
      <c r="AY125" s="64">
        <v>628.47834276621711</v>
      </c>
      <c r="AZ125" s="205">
        <f t="shared" si="40"/>
        <v>3039.9292975067547</v>
      </c>
      <c r="BA125" s="205"/>
      <c r="BB125" s="64">
        <v>1911.5882471478267</v>
      </c>
      <c r="BC125" s="64">
        <v>595.45409564036095</v>
      </c>
      <c r="BD125" s="64">
        <v>636.02008287941169</v>
      </c>
      <c r="BE125" s="205">
        <f t="shared" si="35"/>
        <v>3143.0624256675997</v>
      </c>
      <c r="BF125" s="205"/>
      <c r="BG125" s="64">
        <v>1969.9106484027297</v>
      </c>
      <c r="BH125" s="64">
        <v>611.17950324868752</v>
      </c>
      <c r="BI125" s="64">
        <v>666.90530429535147</v>
      </c>
      <c r="BJ125" s="205">
        <f t="shared" si="41"/>
        <v>3247.9954559467687</v>
      </c>
      <c r="BK125" s="205"/>
      <c r="BL125" s="64">
        <v>2012.9629522216744</v>
      </c>
      <c r="BM125" s="64">
        <v>628.69213481665031</v>
      </c>
      <c r="BN125" s="64">
        <v>706.76878775080877</v>
      </c>
      <c r="BO125" s="205">
        <f t="shared" si="42"/>
        <v>3348.4238747891336</v>
      </c>
      <c r="BQ125" s="64">
        <v>2059.507996404554</v>
      </c>
      <c r="BR125" s="64">
        <v>646.51192373540061</v>
      </c>
      <c r="BS125" s="64">
        <v>731.54879097987669</v>
      </c>
      <c r="BT125" s="205">
        <f t="shared" si="43"/>
        <v>3437.5687111198313</v>
      </c>
      <c r="BU125" s="205"/>
      <c r="BV125" s="5">
        <f t="shared" si="44"/>
        <v>4415</v>
      </c>
      <c r="BW125" s="5">
        <f t="shared" si="45"/>
        <v>4656</v>
      </c>
      <c r="BX125" s="5">
        <f t="shared" si="46"/>
        <v>5138.1402799999996</v>
      </c>
      <c r="BY125" s="5">
        <f t="shared" si="47"/>
        <v>5530.5253599999996</v>
      </c>
      <c r="BZ125" s="5">
        <f t="shared" si="48"/>
        <v>3295.8737000000001</v>
      </c>
      <c r="CA125" s="5">
        <f t="shared" si="49"/>
        <v>3039.9292975067547</v>
      </c>
      <c r="CB125" s="5">
        <f t="shared" si="50"/>
        <v>3143.0624256675997</v>
      </c>
      <c r="CC125" s="5">
        <f t="shared" si="51"/>
        <v>3247.9954559467687</v>
      </c>
      <c r="CD125" s="5">
        <f t="shared" si="52"/>
        <v>3348.4238747891336</v>
      </c>
      <c r="CE125" s="5">
        <f t="shared" si="60"/>
        <v>3437.5687111198313</v>
      </c>
      <c r="CH125" s="41">
        <f>BV125/'1. Väestöennuste'!I125*1000</f>
        <v>3362.5285605483627</v>
      </c>
      <c r="CI125" s="41">
        <f>BW125/'1. Väestöennuste'!J125*1000</f>
        <v>3614.9068322981366</v>
      </c>
      <c r="CJ125" s="41">
        <f>BX125/'1. Väestöennuste'!K125*1000</f>
        <v>4170.568409090909</v>
      </c>
      <c r="CK125" s="41">
        <f>BY125/'1. Väestöennuste'!L125*1000</f>
        <v>4624.1850836120393</v>
      </c>
      <c r="CL125" s="41">
        <f>BZ125/'1. Väestöennuste'!M125*1000</f>
        <v>2807.3881601362864</v>
      </c>
      <c r="CM125" s="41">
        <f>CA125/'1. Väestöennuste'!N125*1000</f>
        <v>2535.3872372867008</v>
      </c>
      <c r="CN125" s="41">
        <f>CB125/'1. Väestöennuste'!O125*1000</f>
        <v>2665.8714382252751</v>
      </c>
      <c r="CO125" s="41">
        <f>CC125/'1. Väestöennuste'!P125*1000</f>
        <v>2797.5843720471735</v>
      </c>
      <c r="CP125" s="41">
        <f>CD125/'1. Väestöennuste'!Q125*1000</f>
        <v>2929.5047023526977</v>
      </c>
      <c r="CQ125" s="41">
        <f>CE125/'1. Väestöennuste'!R125*1000</f>
        <v>3058.3351522418429</v>
      </c>
      <c r="CR125" s="41"/>
      <c r="CU125" s="159">
        <f t="shared" si="53"/>
        <v>252.37827174977383</v>
      </c>
      <c r="CV125" s="159">
        <f t="shared" si="54"/>
        <v>555.66157679277239</v>
      </c>
      <c r="CW125" s="159">
        <f t="shared" si="55"/>
        <v>453.61667452113034</v>
      </c>
      <c r="CX125" s="159">
        <f t="shared" si="56"/>
        <v>-1816.7969234757529</v>
      </c>
      <c r="CY125" s="159">
        <f t="shared" si="57"/>
        <v>-272.00092284958555</v>
      </c>
      <c r="CZ125" s="159">
        <f t="shared" si="58"/>
        <v>130.4842009385743</v>
      </c>
      <c r="DA125" s="159">
        <f t="shared" si="61"/>
        <v>131.71293382189833</v>
      </c>
      <c r="DB125" s="159">
        <f t="shared" si="62"/>
        <v>131.9203303055242</v>
      </c>
      <c r="DC125" s="159">
        <f t="shared" si="62"/>
        <v>128.83044988914526</v>
      </c>
    </row>
    <row r="126" spans="1:107" x14ac:dyDescent="0.2">
      <c r="A126" s="99">
        <v>7</v>
      </c>
      <c r="B126" s="30">
        <v>316</v>
      </c>
      <c r="C126" s="47" t="s">
        <v>440</v>
      </c>
      <c r="D126" s="64">
        <v>14318.91267</v>
      </c>
      <c r="E126" s="64">
        <v>1228.3958400000001</v>
      </c>
      <c r="F126" s="64">
        <v>626.68098999999995</v>
      </c>
      <c r="G126" s="205">
        <v>16170</v>
      </c>
      <c r="H126" s="205"/>
      <c r="I126" s="64">
        <v>14435</v>
      </c>
      <c r="J126" s="64">
        <v>1163</v>
      </c>
      <c r="K126" s="64">
        <v>625</v>
      </c>
      <c r="L126" s="205">
        <v>16211</v>
      </c>
      <c r="M126" s="205"/>
      <c r="N126" s="64">
        <v>14790</v>
      </c>
      <c r="O126" s="64">
        <v>1161</v>
      </c>
      <c r="P126" s="64">
        <v>736</v>
      </c>
      <c r="Q126" s="205">
        <v>16687</v>
      </c>
      <c r="R126" s="205"/>
      <c r="S126" s="64">
        <v>13911</v>
      </c>
      <c r="T126" s="64">
        <v>1137</v>
      </c>
      <c r="U126" s="64">
        <v>616</v>
      </c>
      <c r="V126" s="205">
        <v>15664</v>
      </c>
      <c r="W126" s="205"/>
      <c r="X126" s="64">
        <v>14235</v>
      </c>
      <c r="Y126" s="64">
        <v>904</v>
      </c>
      <c r="Z126" s="64">
        <v>698</v>
      </c>
      <c r="AA126" s="205">
        <f t="shared" si="59"/>
        <v>15837</v>
      </c>
      <c r="AB126" s="205"/>
      <c r="AC126" s="64">
        <v>15411</v>
      </c>
      <c r="AD126" s="64">
        <v>996</v>
      </c>
      <c r="AE126" s="64">
        <v>837</v>
      </c>
      <c r="AF126" s="205">
        <f t="shared" si="36"/>
        <v>17244</v>
      </c>
      <c r="AG126" s="205"/>
      <c r="AH126" s="278">
        <v>14745.41784</v>
      </c>
      <c r="AI126" s="64">
        <v>1098.42507</v>
      </c>
      <c r="AJ126" s="64">
        <v>1113.53611</v>
      </c>
      <c r="AK126" s="205">
        <f t="shared" si="37"/>
        <v>16957.37902</v>
      </c>
      <c r="AL126" s="205"/>
      <c r="AM126" s="64">
        <v>15857.82611</v>
      </c>
      <c r="AN126" s="64">
        <v>1225.57385</v>
      </c>
      <c r="AO126" s="64">
        <v>1004.3711099999999</v>
      </c>
      <c r="AP126" s="205">
        <f t="shared" si="38"/>
        <v>18087.771069999999</v>
      </c>
      <c r="AQ126" s="205"/>
      <c r="AR126" s="64">
        <v>8035.1207400000003</v>
      </c>
      <c r="AS126" s="64">
        <v>1273.5459599999999</v>
      </c>
      <c r="AT126" s="64">
        <v>1304.0350900000001</v>
      </c>
      <c r="AU126" s="205">
        <f t="shared" si="39"/>
        <v>10612.701789999999</v>
      </c>
      <c r="AV126" s="205"/>
      <c r="AW126" s="64">
        <v>7705.4025619909171</v>
      </c>
      <c r="AX126" s="64">
        <v>1317.3528265319194</v>
      </c>
      <c r="AY126" s="64">
        <v>2200.2835993029566</v>
      </c>
      <c r="AZ126" s="205">
        <f t="shared" si="40"/>
        <v>11223.038987825794</v>
      </c>
      <c r="BA126" s="205"/>
      <c r="BB126" s="64">
        <v>8184.2709802158515</v>
      </c>
      <c r="BC126" s="64">
        <v>1345.0498760241189</v>
      </c>
      <c r="BD126" s="64">
        <v>2226.687002494592</v>
      </c>
      <c r="BE126" s="205">
        <f t="shared" si="35"/>
        <v>11756.007858734563</v>
      </c>
      <c r="BF126" s="205"/>
      <c r="BG126" s="64">
        <v>8507.7127335748119</v>
      </c>
      <c r="BH126" s="64">
        <v>1384.05778229625</v>
      </c>
      <c r="BI126" s="64">
        <v>2334.8152250889088</v>
      </c>
      <c r="BJ126" s="205">
        <f t="shared" si="41"/>
        <v>12226.58574095997</v>
      </c>
      <c r="BK126" s="205"/>
      <c r="BL126" s="64">
        <v>8790.2386171912767</v>
      </c>
      <c r="BM126" s="64">
        <v>1427.2027535540385</v>
      </c>
      <c r="BN126" s="64">
        <v>2474.3760705304107</v>
      </c>
      <c r="BO126" s="205">
        <f t="shared" si="42"/>
        <v>12691.817441275725</v>
      </c>
      <c r="BQ126" s="64">
        <v>9121.9080170134257</v>
      </c>
      <c r="BR126" s="64">
        <v>1471.1363592787061</v>
      </c>
      <c r="BS126" s="64">
        <v>2561.1301095886415</v>
      </c>
      <c r="BT126" s="205">
        <f t="shared" si="43"/>
        <v>13154.174485880772</v>
      </c>
      <c r="BU126" s="205"/>
      <c r="BV126" s="5">
        <f t="shared" si="44"/>
        <v>15837</v>
      </c>
      <c r="BW126" s="5">
        <f t="shared" si="45"/>
        <v>17244</v>
      </c>
      <c r="BX126" s="5">
        <f t="shared" si="46"/>
        <v>16957.37902</v>
      </c>
      <c r="BY126" s="5">
        <f t="shared" si="47"/>
        <v>18087.771069999999</v>
      </c>
      <c r="BZ126" s="5">
        <f t="shared" si="48"/>
        <v>10612.701789999999</v>
      </c>
      <c r="CA126" s="5">
        <f t="shared" si="49"/>
        <v>11223.038987825794</v>
      </c>
      <c r="CB126" s="5">
        <f t="shared" si="50"/>
        <v>11756.007858734563</v>
      </c>
      <c r="CC126" s="5">
        <f t="shared" si="51"/>
        <v>12226.58574095997</v>
      </c>
      <c r="CD126" s="5">
        <f t="shared" si="52"/>
        <v>12691.817441275725</v>
      </c>
      <c r="CE126" s="5">
        <f t="shared" si="60"/>
        <v>13154.174485880772</v>
      </c>
      <c r="CH126" s="41">
        <f>BV126/'1. Väestöennuste'!I126*1000</f>
        <v>3625.6868131868132</v>
      </c>
      <c r="CI126" s="41">
        <f>BW126/'1. Väestöennuste'!J126*1000</f>
        <v>3986.1303744798893</v>
      </c>
      <c r="CJ126" s="41">
        <f>BX126/'1. Väestöennuste'!K126*1000</f>
        <v>3994.671147232038</v>
      </c>
      <c r="CK126" s="41">
        <f>BY126/'1. Väestöennuste'!L126*1000</f>
        <v>4308.6639042401139</v>
      </c>
      <c r="CL126" s="41">
        <f>BZ126/'1. Väestöennuste'!M126*1000</f>
        <v>2579.6552722411275</v>
      </c>
      <c r="CM126" s="41">
        <f>CA126/'1. Väestöennuste'!N126*1000</f>
        <v>2716.7850369948665</v>
      </c>
      <c r="CN126" s="41">
        <f>CB126/'1. Väestöennuste'!O126*1000</f>
        <v>2873.6269515361923</v>
      </c>
      <c r="CO126" s="41">
        <f>CC126/'1. Väestöennuste'!P126*1000</f>
        <v>3015.1876056621381</v>
      </c>
      <c r="CP126" s="41">
        <f>CD126/'1. Väestöennuste'!Q126*1000</f>
        <v>3154.0301792434702</v>
      </c>
      <c r="CQ126" s="41">
        <f>CE126/'1. Väestöennuste'!R126*1000</f>
        <v>3294.308661628042</v>
      </c>
      <c r="CR126" s="41"/>
      <c r="CU126" s="159">
        <f t="shared" si="53"/>
        <v>360.44356129307607</v>
      </c>
      <c r="CV126" s="159">
        <f t="shared" si="54"/>
        <v>8.5407727521487686</v>
      </c>
      <c r="CW126" s="159">
        <f t="shared" si="55"/>
        <v>313.99275700807584</v>
      </c>
      <c r="CX126" s="159">
        <f t="shared" si="56"/>
        <v>-1729.0086319989864</v>
      </c>
      <c r="CY126" s="159">
        <f t="shared" si="57"/>
        <v>137.12976475373898</v>
      </c>
      <c r="CZ126" s="159">
        <f t="shared" si="58"/>
        <v>156.84191454132588</v>
      </c>
      <c r="DA126" s="159">
        <f t="shared" si="61"/>
        <v>141.5606541259458</v>
      </c>
      <c r="DB126" s="159">
        <f t="shared" si="62"/>
        <v>138.84257358133209</v>
      </c>
      <c r="DC126" s="159">
        <f t="shared" si="62"/>
        <v>140.27848238457182</v>
      </c>
    </row>
    <row r="127" spans="1:107" x14ac:dyDescent="0.2">
      <c r="A127" s="99">
        <v>17</v>
      </c>
      <c r="B127" s="30">
        <v>317</v>
      </c>
      <c r="C127" s="47" t="s">
        <v>441</v>
      </c>
      <c r="D127" s="64">
        <v>6232.4075000000003</v>
      </c>
      <c r="E127" s="64">
        <v>504.20173</v>
      </c>
      <c r="F127" s="64">
        <v>476.35807</v>
      </c>
      <c r="G127" s="205">
        <v>7215</v>
      </c>
      <c r="H127" s="205"/>
      <c r="I127" s="64">
        <v>6065</v>
      </c>
      <c r="J127" s="64">
        <v>498</v>
      </c>
      <c r="K127" s="64">
        <v>500</v>
      </c>
      <c r="L127" s="205">
        <v>7063</v>
      </c>
      <c r="M127" s="205"/>
      <c r="N127" s="64">
        <v>5781</v>
      </c>
      <c r="O127" s="64">
        <v>470</v>
      </c>
      <c r="P127" s="64">
        <v>626</v>
      </c>
      <c r="Q127" s="205">
        <v>6877</v>
      </c>
      <c r="R127" s="205"/>
      <c r="S127" s="64">
        <v>5855</v>
      </c>
      <c r="T127" s="64">
        <v>586</v>
      </c>
      <c r="U127" s="64">
        <v>589</v>
      </c>
      <c r="V127" s="205">
        <v>7030</v>
      </c>
      <c r="W127" s="205"/>
      <c r="X127" s="64">
        <v>6295</v>
      </c>
      <c r="Y127" s="64">
        <v>595</v>
      </c>
      <c r="Z127" s="64">
        <v>621</v>
      </c>
      <c r="AA127" s="205">
        <f t="shared" si="59"/>
        <v>7511</v>
      </c>
      <c r="AB127" s="205"/>
      <c r="AC127" s="64">
        <v>5788</v>
      </c>
      <c r="AD127" s="64">
        <v>533</v>
      </c>
      <c r="AE127" s="64">
        <v>702</v>
      </c>
      <c r="AF127" s="205">
        <f t="shared" si="36"/>
        <v>7023</v>
      </c>
      <c r="AG127" s="205"/>
      <c r="AH127" s="278">
        <v>6313.2459000000008</v>
      </c>
      <c r="AI127" s="64">
        <v>587.89485000000002</v>
      </c>
      <c r="AJ127" s="64">
        <v>1134.6038000000001</v>
      </c>
      <c r="AK127" s="205">
        <f t="shared" si="37"/>
        <v>8035.7445500000003</v>
      </c>
      <c r="AL127" s="205"/>
      <c r="AM127" s="64">
        <v>6797.78017</v>
      </c>
      <c r="AN127" s="64">
        <v>651.59569999999997</v>
      </c>
      <c r="AO127" s="64">
        <v>1271.0598500000001</v>
      </c>
      <c r="AP127" s="205">
        <f t="shared" si="38"/>
        <v>8720.4357199999995</v>
      </c>
      <c r="AQ127" s="205"/>
      <c r="AR127" s="64">
        <v>2940.0195199999998</v>
      </c>
      <c r="AS127" s="64">
        <v>668.83642000000009</v>
      </c>
      <c r="AT127" s="64">
        <v>822.35625000000005</v>
      </c>
      <c r="AU127" s="205">
        <f t="shared" si="39"/>
        <v>4431.2121900000002</v>
      </c>
      <c r="AV127" s="205"/>
      <c r="AW127" s="64">
        <v>3374.0487368002887</v>
      </c>
      <c r="AX127" s="64">
        <v>756.43290832001992</v>
      </c>
      <c r="AY127" s="64">
        <v>594.65413696836833</v>
      </c>
      <c r="AZ127" s="205">
        <f t="shared" si="40"/>
        <v>4725.1357820886769</v>
      </c>
      <c r="BA127" s="205"/>
      <c r="BB127" s="64">
        <v>3579.1248063511007</v>
      </c>
      <c r="BC127" s="64">
        <v>769.17406380632667</v>
      </c>
      <c r="BD127" s="64">
        <v>601.78998661198875</v>
      </c>
      <c r="BE127" s="205">
        <f t="shared" si="35"/>
        <v>4950.0888567694165</v>
      </c>
      <c r="BF127" s="205"/>
      <c r="BG127" s="64">
        <v>3736.3649706931214</v>
      </c>
      <c r="BH127" s="64">
        <v>788.27943674283574</v>
      </c>
      <c r="BI127" s="64">
        <v>631.01298991443434</v>
      </c>
      <c r="BJ127" s="205">
        <f t="shared" si="41"/>
        <v>5155.657397350391</v>
      </c>
      <c r="BK127" s="205"/>
      <c r="BL127" s="64">
        <v>3851.6213963474938</v>
      </c>
      <c r="BM127" s="64">
        <v>809.60711127719583</v>
      </c>
      <c r="BN127" s="64">
        <v>668.73105231642796</v>
      </c>
      <c r="BO127" s="205">
        <f t="shared" si="42"/>
        <v>5329.9595599411177</v>
      </c>
      <c r="BQ127" s="64">
        <v>3969.8311976190294</v>
      </c>
      <c r="BR127" s="64">
        <v>831.24352839146866</v>
      </c>
      <c r="BS127" s="64">
        <v>692.17741543118086</v>
      </c>
      <c r="BT127" s="205">
        <f t="shared" si="43"/>
        <v>5493.2521414416788</v>
      </c>
      <c r="BU127" s="205"/>
      <c r="BV127" s="5">
        <f t="shared" si="44"/>
        <v>7511</v>
      </c>
      <c r="BW127" s="5">
        <f t="shared" si="45"/>
        <v>7023</v>
      </c>
      <c r="BX127" s="5">
        <f t="shared" si="46"/>
        <v>8035.7445500000003</v>
      </c>
      <c r="BY127" s="5">
        <f t="shared" si="47"/>
        <v>8720.4357199999995</v>
      </c>
      <c r="BZ127" s="5">
        <f t="shared" si="48"/>
        <v>4431.2121900000002</v>
      </c>
      <c r="CA127" s="5">
        <f t="shared" si="49"/>
        <v>4725.1357820886769</v>
      </c>
      <c r="CB127" s="5">
        <f t="shared" si="50"/>
        <v>4950.0888567694165</v>
      </c>
      <c r="CC127" s="5">
        <f t="shared" si="51"/>
        <v>5155.657397350391</v>
      </c>
      <c r="CD127" s="5">
        <f t="shared" si="52"/>
        <v>5329.9595599411177</v>
      </c>
      <c r="CE127" s="5">
        <f t="shared" si="60"/>
        <v>5493.2521414416788</v>
      </c>
      <c r="CH127" s="41">
        <f>BV127/'1. Väestöennuste'!I127*1000</f>
        <v>2915.7608695652175</v>
      </c>
      <c r="CI127" s="41">
        <f>BW127/'1. Väestöennuste'!J127*1000</f>
        <v>2767.1394799054374</v>
      </c>
      <c r="CJ127" s="41">
        <f>BX127/'1. Väestöennuste'!K127*1000</f>
        <v>3172.4218515594157</v>
      </c>
      <c r="CK127" s="41">
        <f>BY127/'1. Väestöennuste'!L127*1000</f>
        <v>3524.8325464834274</v>
      </c>
      <c r="CL127" s="41">
        <f>BZ127/'1. Väestöennuste'!M127*1000</f>
        <v>1816.0705696721313</v>
      </c>
      <c r="CM127" s="41">
        <f>CA127/'1. Väestöennuste'!N127*1000</f>
        <v>1952.5354471440814</v>
      </c>
      <c r="CN127" s="41">
        <f>CB127/'1. Väestöennuste'!O127*1000</f>
        <v>2067.7062893773668</v>
      </c>
      <c r="CO127" s="41">
        <f>CC127/'1. Väestöennuste'!P127*1000</f>
        <v>2176.3011386029511</v>
      </c>
      <c r="CP127" s="41">
        <f>CD127/'1. Väestöennuste'!Q127*1000</f>
        <v>2276.7875095861245</v>
      </c>
      <c r="CQ127" s="41">
        <f>CE127/'1. Väestöennuste'!R127*1000</f>
        <v>2371.8705273927799</v>
      </c>
      <c r="CR127" s="41"/>
      <c r="CU127" s="159">
        <f t="shared" si="53"/>
        <v>-148.62138965978011</v>
      </c>
      <c r="CV127" s="159">
        <f t="shared" si="54"/>
        <v>405.28237165397832</v>
      </c>
      <c r="CW127" s="159">
        <f t="shared" si="55"/>
        <v>352.41069492401175</v>
      </c>
      <c r="CX127" s="159">
        <f t="shared" si="56"/>
        <v>-1708.7619768112961</v>
      </c>
      <c r="CY127" s="159">
        <f t="shared" si="57"/>
        <v>136.4648774719501</v>
      </c>
      <c r="CZ127" s="159">
        <f t="shared" si="58"/>
        <v>115.17084223328538</v>
      </c>
      <c r="DA127" s="159">
        <f t="shared" si="61"/>
        <v>108.59484922558431</v>
      </c>
      <c r="DB127" s="159">
        <f t="shared" si="62"/>
        <v>100.4863709831734</v>
      </c>
      <c r="DC127" s="159">
        <f t="shared" si="62"/>
        <v>95.083017806655334</v>
      </c>
    </row>
    <row r="128" spans="1:107" x14ac:dyDescent="0.2">
      <c r="A128" s="99">
        <v>19</v>
      </c>
      <c r="B128" s="30">
        <v>320</v>
      </c>
      <c r="C128" s="47" t="s">
        <v>442</v>
      </c>
      <c r="D128" s="64">
        <v>23378.013999999999</v>
      </c>
      <c r="E128" s="64">
        <v>3955.7966699999997</v>
      </c>
      <c r="F128" s="64">
        <v>1207.72272</v>
      </c>
      <c r="G128" s="205">
        <v>28542</v>
      </c>
      <c r="H128" s="205"/>
      <c r="I128" s="64">
        <v>23640</v>
      </c>
      <c r="J128" s="64">
        <v>4419</v>
      </c>
      <c r="K128" s="64">
        <v>1046</v>
      </c>
      <c r="L128" s="205">
        <v>29105</v>
      </c>
      <c r="M128" s="205"/>
      <c r="N128" s="64">
        <v>23514</v>
      </c>
      <c r="O128" s="64">
        <v>4347</v>
      </c>
      <c r="P128" s="64">
        <v>1292</v>
      </c>
      <c r="Q128" s="205">
        <v>29153</v>
      </c>
      <c r="R128" s="205"/>
      <c r="S128" s="64">
        <v>23822</v>
      </c>
      <c r="T128" s="64">
        <v>4326</v>
      </c>
      <c r="U128" s="64">
        <v>1298</v>
      </c>
      <c r="V128" s="205">
        <v>29446</v>
      </c>
      <c r="W128" s="205"/>
      <c r="X128" s="64">
        <v>22775</v>
      </c>
      <c r="Y128" s="64">
        <v>4537</v>
      </c>
      <c r="Z128" s="64">
        <v>1184</v>
      </c>
      <c r="AA128" s="205">
        <f t="shared" si="59"/>
        <v>28496</v>
      </c>
      <c r="AB128" s="205"/>
      <c r="AC128" s="64">
        <v>24214</v>
      </c>
      <c r="AD128" s="64">
        <v>3998</v>
      </c>
      <c r="AE128" s="64">
        <v>1377</v>
      </c>
      <c r="AF128" s="205">
        <f t="shared" si="36"/>
        <v>29589</v>
      </c>
      <c r="AG128" s="205"/>
      <c r="AH128" s="278">
        <v>24346.193920000002</v>
      </c>
      <c r="AI128" s="64">
        <v>3944.9202799999998</v>
      </c>
      <c r="AJ128" s="64">
        <v>2460.5848700000001</v>
      </c>
      <c r="AK128" s="205">
        <f t="shared" si="37"/>
        <v>30751.699069999999</v>
      </c>
      <c r="AL128" s="205"/>
      <c r="AM128" s="64">
        <v>24448.18462</v>
      </c>
      <c r="AN128" s="64">
        <v>4598.1793600000001</v>
      </c>
      <c r="AO128" s="64">
        <v>2061.1450800000002</v>
      </c>
      <c r="AP128" s="205">
        <f t="shared" si="38"/>
        <v>31107.509060000004</v>
      </c>
      <c r="AQ128" s="205"/>
      <c r="AR128" s="64">
        <v>12500.940430000001</v>
      </c>
      <c r="AS128" s="64">
        <v>5084.3723499999996</v>
      </c>
      <c r="AT128" s="64">
        <v>1393.0380700000001</v>
      </c>
      <c r="AU128" s="205">
        <f t="shared" si="39"/>
        <v>18978.350849999999</v>
      </c>
      <c r="AV128" s="205"/>
      <c r="AW128" s="64">
        <v>11872.2396369986</v>
      </c>
      <c r="AX128" s="64">
        <v>5180.3221947765951</v>
      </c>
      <c r="AY128" s="64">
        <v>1853.0408291612375</v>
      </c>
      <c r="AZ128" s="205">
        <f t="shared" si="40"/>
        <v>18905.602660936431</v>
      </c>
      <c r="BA128" s="205"/>
      <c r="BB128" s="64">
        <v>12144.870697164495</v>
      </c>
      <c r="BC128" s="64">
        <v>5265.249717695252</v>
      </c>
      <c r="BD128" s="64">
        <v>1875.2773191111723</v>
      </c>
      <c r="BE128" s="205">
        <f t="shared" si="35"/>
        <v>19285.39773397092</v>
      </c>
      <c r="BF128" s="205"/>
      <c r="BG128" s="64">
        <v>12396.544968576914</v>
      </c>
      <c r="BH128" s="64">
        <v>5395.4752751386186</v>
      </c>
      <c r="BI128" s="64">
        <v>1966.3410398585247</v>
      </c>
      <c r="BJ128" s="205">
        <f t="shared" si="41"/>
        <v>19758.361283574057</v>
      </c>
      <c r="BK128" s="205"/>
      <c r="BL128" s="64">
        <v>12619.2270764531</v>
      </c>
      <c r="BM128" s="64">
        <v>5542.8591135859342</v>
      </c>
      <c r="BN128" s="64">
        <v>2083.8767724510376</v>
      </c>
      <c r="BO128" s="205">
        <f t="shared" si="42"/>
        <v>20245.96296249007</v>
      </c>
      <c r="BQ128" s="64">
        <v>12919.776898345484</v>
      </c>
      <c r="BR128" s="64">
        <v>5694.5619831477361</v>
      </c>
      <c r="BS128" s="64">
        <v>2156.9395251436804</v>
      </c>
      <c r="BT128" s="205">
        <f t="shared" si="43"/>
        <v>20771.278406636899</v>
      </c>
      <c r="BU128" s="205"/>
      <c r="BV128" s="5">
        <f t="shared" si="44"/>
        <v>28496</v>
      </c>
      <c r="BW128" s="5">
        <f t="shared" si="45"/>
        <v>29589</v>
      </c>
      <c r="BX128" s="5">
        <f t="shared" si="46"/>
        <v>30751.699069999999</v>
      </c>
      <c r="BY128" s="5">
        <f t="shared" si="47"/>
        <v>31107.509060000004</v>
      </c>
      <c r="BZ128" s="5">
        <f t="shared" si="48"/>
        <v>18978.350849999999</v>
      </c>
      <c r="CA128" s="5">
        <f t="shared" si="49"/>
        <v>18905.602660936431</v>
      </c>
      <c r="CB128" s="5">
        <f t="shared" si="50"/>
        <v>19285.39773397092</v>
      </c>
      <c r="CC128" s="5">
        <f t="shared" si="51"/>
        <v>19758.361283574057</v>
      </c>
      <c r="CD128" s="5">
        <f t="shared" si="52"/>
        <v>20245.96296249007</v>
      </c>
      <c r="CE128" s="5">
        <f t="shared" si="60"/>
        <v>20771.278406636899</v>
      </c>
      <c r="CH128" s="41">
        <f>BV128/'1. Väestöennuste'!I128*1000</f>
        <v>3917.5144349738798</v>
      </c>
      <c r="CI128" s="41">
        <f>BW128/'1. Väestöennuste'!J128*1000</f>
        <v>4114.7267417605344</v>
      </c>
      <c r="CJ128" s="41">
        <f>BX128/'1. Väestöennuste'!K128*1000</f>
        <v>4328.1772090077411</v>
      </c>
      <c r="CK128" s="41">
        <f>BY128/'1. Väestöennuste'!L128*1000</f>
        <v>4446.4707061177814</v>
      </c>
      <c r="CL128" s="41">
        <f>BZ128/'1. Väestöennuste'!M128*1000</f>
        <v>2699.6231650071122</v>
      </c>
      <c r="CM128" s="41">
        <f>CA128/'1. Väestöennuste'!N128*1000</f>
        <v>2803.7376035794796</v>
      </c>
      <c r="CN128" s="41">
        <f>CB128/'1. Väestöennuste'!O128*1000</f>
        <v>2899.6237759691653</v>
      </c>
      <c r="CO128" s="41">
        <f>CC128/'1. Väestöennuste'!P128*1000</f>
        <v>3011.9453176179968</v>
      </c>
      <c r="CP128" s="41">
        <f>CD128/'1. Väestöennuste'!Q128*1000</f>
        <v>3126.7896467166133</v>
      </c>
      <c r="CQ128" s="41">
        <f>CE128/'1. Väestöennuste'!R128*1000</f>
        <v>3248.0497899354023</v>
      </c>
      <c r="CR128" s="41"/>
      <c r="CU128" s="159">
        <f t="shared" si="53"/>
        <v>197.21230678665461</v>
      </c>
      <c r="CV128" s="159">
        <f t="shared" si="54"/>
        <v>213.45046724720669</v>
      </c>
      <c r="CW128" s="159">
        <f t="shared" si="55"/>
        <v>118.29349711004033</v>
      </c>
      <c r="CX128" s="159">
        <f t="shared" si="56"/>
        <v>-1746.8475411106692</v>
      </c>
      <c r="CY128" s="159">
        <f t="shared" si="57"/>
        <v>104.11443857236736</v>
      </c>
      <c r="CZ128" s="159">
        <f t="shared" si="58"/>
        <v>95.886172389685726</v>
      </c>
      <c r="DA128" s="159">
        <f t="shared" si="61"/>
        <v>112.3215416488315</v>
      </c>
      <c r="DB128" s="159">
        <f t="shared" si="62"/>
        <v>114.84432909861653</v>
      </c>
      <c r="DC128" s="159">
        <f t="shared" si="62"/>
        <v>121.26014321878893</v>
      </c>
    </row>
    <row r="129" spans="1:107" x14ac:dyDescent="0.2">
      <c r="A129" s="99">
        <v>2</v>
      </c>
      <c r="B129" s="30">
        <v>322</v>
      </c>
      <c r="C129" s="47" t="s">
        <v>443</v>
      </c>
      <c r="D129" s="64">
        <v>18866.584920000001</v>
      </c>
      <c r="E129" s="64">
        <v>3120.2876200000001</v>
      </c>
      <c r="F129" s="64">
        <v>810.61984999999993</v>
      </c>
      <c r="G129" s="205">
        <v>22792</v>
      </c>
      <c r="H129" s="205"/>
      <c r="I129" s="64">
        <v>18509</v>
      </c>
      <c r="J129" s="64">
        <v>3154</v>
      </c>
      <c r="K129" s="64">
        <v>735</v>
      </c>
      <c r="L129" s="205">
        <v>22398</v>
      </c>
      <c r="M129" s="205"/>
      <c r="N129" s="64">
        <v>19154</v>
      </c>
      <c r="O129" s="64">
        <v>3221</v>
      </c>
      <c r="P129" s="64">
        <v>1007</v>
      </c>
      <c r="Q129" s="205">
        <v>23382</v>
      </c>
      <c r="R129" s="205"/>
      <c r="S129" s="64">
        <v>17833</v>
      </c>
      <c r="T129" s="64">
        <v>3359</v>
      </c>
      <c r="U129" s="64">
        <v>1070</v>
      </c>
      <c r="V129" s="205">
        <v>22262</v>
      </c>
      <c r="W129" s="205"/>
      <c r="X129" s="64">
        <v>18239</v>
      </c>
      <c r="Y129" s="64">
        <v>3354</v>
      </c>
      <c r="Z129" s="64">
        <v>1064</v>
      </c>
      <c r="AA129" s="205">
        <f t="shared" si="59"/>
        <v>22657</v>
      </c>
      <c r="AB129" s="205"/>
      <c r="AC129" s="64">
        <v>18994</v>
      </c>
      <c r="AD129" s="64">
        <v>3069</v>
      </c>
      <c r="AE129" s="64">
        <v>1237</v>
      </c>
      <c r="AF129" s="205">
        <f t="shared" si="36"/>
        <v>23300</v>
      </c>
      <c r="AG129" s="205"/>
      <c r="AH129" s="278">
        <v>19145.947219999998</v>
      </c>
      <c r="AI129" s="64">
        <v>3391.6546699999999</v>
      </c>
      <c r="AJ129" s="64">
        <v>1934.64582</v>
      </c>
      <c r="AK129" s="205">
        <f t="shared" si="37"/>
        <v>24472.24771</v>
      </c>
      <c r="AL129" s="205"/>
      <c r="AM129" s="64">
        <v>20982.15206</v>
      </c>
      <c r="AN129" s="64">
        <v>3568.6287499999999</v>
      </c>
      <c r="AO129" s="64">
        <v>1882.38824</v>
      </c>
      <c r="AP129" s="205">
        <f t="shared" si="38"/>
        <v>26433.16905</v>
      </c>
      <c r="AQ129" s="205"/>
      <c r="AR129" s="64">
        <v>9347.111789999999</v>
      </c>
      <c r="AS129" s="64">
        <v>3691.90798</v>
      </c>
      <c r="AT129" s="64">
        <v>1113.5153300000002</v>
      </c>
      <c r="AU129" s="205">
        <f t="shared" si="39"/>
        <v>14152.535099999999</v>
      </c>
      <c r="AV129" s="205"/>
      <c r="AW129" s="64">
        <v>8687.2661151595494</v>
      </c>
      <c r="AX129" s="64">
        <v>3973.4833394997477</v>
      </c>
      <c r="AY129" s="64">
        <v>929.44673518083289</v>
      </c>
      <c r="AZ129" s="205">
        <f t="shared" si="40"/>
        <v>13590.19618984013</v>
      </c>
      <c r="BA129" s="205"/>
      <c r="BB129" s="64">
        <v>9168.0084552004919</v>
      </c>
      <c r="BC129" s="64">
        <v>4029.0539796234234</v>
      </c>
      <c r="BD129" s="64">
        <v>940.60009600300282</v>
      </c>
      <c r="BE129" s="205">
        <f t="shared" si="35"/>
        <v>14137.662530826918</v>
      </c>
      <c r="BF129" s="205"/>
      <c r="BG129" s="64">
        <v>9497.3584721851021</v>
      </c>
      <c r="BH129" s="64">
        <v>4116.8381970089276</v>
      </c>
      <c r="BI129" s="64">
        <v>986.27576413188956</v>
      </c>
      <c r="BJ129" s="205">
        <f t="shared" si="41"/>
        <v>14600.472433325918</v>
      </c>
      <c r="BK129" s="205"/>
      <c r="BL129" s="64">
        <v>9806.9466714425489</v>
      </c>
      <c r="BM129" s="64">
        <v>4214.9229873922277</v>
      </c>
      <c r="BN129" s="64">
        <v>1045.2292427633595</v>
      </c>
      <c r="BO129" s="205">
        <f t="shared" si="42"/>
        <v>15067.098901598138</v>
      </c>
      <c r="BQ129" s="64">
        <v>10160.081390080024</v>
      </c>
      <c r="BR129" s="64">
        <v>4313.2127883461471</v>
      </c>
      <c r="BS129" s="64">
        <v>1081.8759997504894</v>
      </c>
      <c r="BT129" s="205">
        <f t="shared" si="43"/>
        <v>15555.170178176661</v>
      </c>
      <c r="BU129" s="205"/>
      <c r="BV129" s="5">
        <f t="shared" si="44"/>
        <v>22657</v>
      </c>
      <c r="BW129" s="5">
        <f t="shared" si="45"/>
        <v>23300</v>
      </c>
      <c r="BX129" s="5">
        <f t="shared" si="46"/>
        <v>24472.24771</v>
      </c>
      <c r="BY129" s="5">
        <f t="shared" si="47"/>
        <v>26433.16905</v>
      </c>
      <c r="BZ129" s="5">
        <f t="shared" si="48"/>
        <v>14152.535099999999</v>
      </c>
      <c r="CA129" s="5">
        <f t="shared" si="49"/>
        <v>13590.19618984013</v>
      </c>
      <c r="CB129" s="5">
        <f t="shared" si="50"/>
        <v>14137.662530826918</v>
      </c>
      <c r="CC129" s="5">
        <f t="shared" si="51"/>
        <v>14600.472433325918</v>
      </c>
      <c r="CD129" s="5">
        <f t="shared" si="52"/>
        <v>15067.098901598138</v>
      </c>
      <c r="CE129" s="5">
        <f t="shared" si="60"/>
        <v>15555.170178176661</v>
      </c>
      <c r="CH129" s="41">
        <f>BV129/'1. Väestöennuste'!I129*1000</f>
        <v>3412.1987951807232</v>
      </c>
      <c r="CI129" s="41">
        <f>BW129/'1. Väestöennuste'!J129*1000</f>
        <v>3525.4955363897716</v>
      </c>
      <c r="CJ129" s="41">
        <f>BX129/'1. Väestöennuste'!K129*1000</f>
        <v>3700.0676912609615</v>
      </c>
      <c r="CK129" s="41">
        <f>BY129/'1. Väestöennuste'!L129*1000</f>
        <v>4036.2145442052224</v>
      </c>
      <c r="CL129" s="41">
        <f>BZ129/'1. Väestöennuste'!M129*1000</f>
        <v>2190.1168523676879</v>
      </c>
      <c r="CM129" s="41">
        <f>CA129/'1. Väestöennuste'!N129*1000</f>
        <v>2135.1447273904369</v>
      </c>
      <c r="CN129" s="41">
        <f>CB129/'1. Väestöennuste'!O129*1000</f>
        <v>2236.9719194346385</v>
      </c>
      <c r="CO129" s="41">
        <f>CC129/'1. Väestöennuste'!P129*1000</f>
        <v>2325.6566475511181</v>
      </c>
      <c r="CP129" s="41">
        <f>CD129/'1. Väestöennuste'!Q129*1000</f>
        <v>2415.3733410705572</v>
      </c>
      <c r="CQ129" s="41">
        <f>CE129/'1. Väestöennuste'!R129*1000</f>
        <v>2508.8984158349454</v>
      </c>
      <c r="CR129" s="41"/>
      <c r="CU129" s="159">
        <f t="shared" si="53"/>
        <v>113.29674120904838</v>
      </c>
      <c r="CV129" s="159">
        <f t="shared" si="54"/>
        <v>174.57215487118992</v>
      </c>
      <c r="CW129" s="159">
        <f t="shared" si="55"/>
        <v>336.1468529442609</v>
      </c>
      <c r="CX129" s="159">
        <f t="shared" si="56"/>
        <v>-1846.0976918375345</v>
      </c>
      <c r="CY129" s="159">
        <f t="shared" si="57"/>
        <v>-54.972124977251042</v>
      </c>
      <c r="CZ129" s="159">
        <f t="shared" si="58"/>
        <v>101.82719204420164</v>
      </c>
      <c r="DA129" s="159">
        <f t="shared" si="61"/>
        <v>88.684728116479619</v>
      </c>
      <c r="DB129" s="159">
        <f t="shared" si="62"/>
        <v>89.716693519439104</v>
      </c>
      <c r="DC129" s="159">
        <f t="shared" si="62"/>
        <v>93.525074764388137</v>
      </c>
    </row>
    <row r="130" spans="1:107" x14ac:dyDescent="0.2">
      <c r="A130" s="99">
        <v>7</v>
      </c>
      <c r="B130" s="30">
        <v>398</v>
      </c>
      <c r="C130" s="47" t="s">
        <v>444</v>
      </c>
      <c r="D130" s="64">
        <v>336846.98499000003</v>
      </c>
      <c r="E130" s="64">
        <v>32375.05371</v>
      </c>
      <c r="F130" s="64">
        <v>23485.349710000002</v>
      </c>
      <c r="G130" s="205">
        <v>447283</v>
      </c>
      <c r="H130" s="205"/>
      <c r="I130" s="64">
        <v>390502</v>
      </c>
      <c r="J130" s="64">
        <v>36543</v>
      </c>
      <c r="K130" s="64">
        <v>22132</v>
      </c>
      <c r="L130" s="205">
        <v>449200</v>
      </c>
      <c r="M130" s="205"/>
      <c r="N130" s="64">
        <v>390185</v>
      </c>
      <c r="O130" s="64">
        <v>35898</v>
      </c>
      <c r="P130" s="64">
        <v>26717</v>
      </c>
      <c r="Q130" s="205">
        <v>452800</v>
      </c>
      <c r="R130" s="205"/>
      <c r="S130" s="64">
        <v>396744</v>
      </c>
      <c r="T130" s="64">
        <v>40968</v>
      </c>
      <c r="U130" s="64">
        <v>27427</v>
      </c>
      <c r="V130" s="205">
        <v>465139</v>
      </c>
      <c r="W130" s="205"/>
      <c r="X130" s="64">
        <v>403837</v>
      </c>
      <c r="Y130" s="64">
        <v>42116</v>
      </c>
      <c r="Z130" s="64">
        <v>29403</v>
      </c>
      <c r="AA130" s="205">
        <f t="shared" si="59"/>
        <v>475356</v>
      </c>
      <c r="AB130" s="205"/>
      <c r="AC130" s="64">
        <v>434333</v>
      </c>
      <c r="AD130" s="64">
        <v>38059</v>
      </c>
      <c r="AE130" s="64">
        <v>32227</v>
      </c>
      <c r="AF130" s="205">
        <f t="shared" si="36"/>
        <v>504619</v>
      </c>
      <c r="AG130" s="205"/>
      <c r="AH130" s="278">
        <v>431589.12436999998</v>
      </c>
      <c r="AI130" s="64">
        <v>41968.996159999995</v>
      </c>
      <c r="AJ130" s="64">
        <v>45619.228189999994</v>
      </c>
      <c r="AK130" s="205">
        <f t="shared" si="37"/>
        <v>519177.34871999995</v>
      </c>
      <c r="AL130" s="205"/>
      <c r="AM130" s="64">
        <v>452477.25154000003</v>
      </c>
      <c r="AN130" s="64">
        <v>44241.52738</v>
      </c>
      <c r="AO130" s="64">
        <v>48348.782490000005</v>
      </c>
      <c r="AP130" s="205">
        <f t="shared" si="38"/>
        <v>545067.56140999997</v>
      </c>
      <c r="AQ130" s="205"/>
      <c r="AR130" s="64">
        <v>225383.37432</v>
      </c>
      <c r="AS130" s="64">
        <v>46807.072039999999</v>
      </c>
      <c r="AT130" s="64">
        <v>32652.219390000002</v>
      </c>
      <c r="AU130" s="205">
        <f t="shared" si="39"/>
        <v>304842.66574999999</v>
      </c>
      <c r="AV130" s="205"/>
      <c r="AW130" s="64">
        <v>211371.67562979375</v>
      </c>
      <c r="AX130" s="64">
        <v>47240.246514488332</v>
      </c>
      <c r="AY130" s="64">
        <v>26040.304181421496</v>
      </c>
      <c r="AZ130" s="205">
        <f t="shared" si="40"/>
        <v>284652.22632570355</v>
      </c>
      <c r="BA130" s="205"/>
      <c r="BB130" s="64">
        <v>223396.87234075594</v>
      </c>
      <c r="BC130" s="64">
        <v>47734.075298237665</v>
      </c>
      <c r="BD130" s="64">
        <v>26352.787831598551</v>
      </c>
      <c r="BE130" s="205">
        <f t="shared" si="35"/>
        <v>297483.73547059216</v>
      </c>
      <c r="BF130" s="205"/>
      <c r="BG130" s="64">
        <v>233799.74344583854</v>
      </c>
      <c r="BH130" s="64">
        <v>48599.090652225867</v>
      </c>
      <c r="BI130" s="64">
        <v>27632.482779942697</v>
      </c>
      <c r="BJ130" s="205">
        <f t="shared" si="41"/>
        <v>310031.31687800708</v>
      </c>
      <c r="BK130" s="205"/>
      <c r="BL130" s="64">
        <v>243233.67597266979</v>
      </c>
      <c r="BM130" s="64">
        <v>49573.225718464855</v>
      </c>
      <c r="BN130" s="64">
        <v>29284.182073735716</v>
      </c>
      <c r="BO130" s="205">
        <f t="shared" si="42"/>
        <v>322091.08376487036</v>
      </c>
      <c r="BQ130" s="64">
        <v>253844.22992527639</v>
      </c>
      <c r="BR130" s="64">
        <v>50536.589163355318</v>
      </c>
      <c r="BS130" s="64">
        <v>30310.914067174621</v>
      </c>
      <c r="BT130" s="205">
        <f t="shared" si="43"/>
        <v>334691.73315580632</v>
      </c>
      <c r="BU130" s="205"/>
      <c r="BV130" s="5">
        <f t="shared" si="44"/>
        <v>475356</v>
      </c>
      <c r="BW130" s="5">
        <f t="shared" si="45"/>
        <v>504619</v>
      </c>
      <c r="BX130" s="5">
        <f t="shared" si="46"/>
        <v>519177.34871999995</v>
      </c>
      <c r="BY130" s="5">
        <f t="shared" si="47"/>
        <v>545067.56140999997</v>
      </c>
      <c r="BZ130" s="5">
        <f t="shared" si="48"/>
        <v>304842.66574999999</v>
      </c>
      <c r="CA130" s="5">
        <f t="shared" si="49"/>
        <v>284652.22632570355</v>
      </c>
      <c r="CB130" s="5">
        <f t="shared" si="50"/>
        <v>297483.73547059216</v>
      </c>
      <c r="CC130" s="5">
        <f t="shared" si="51"/>
        <v>310031.31687800708</v>
      </c>
      <c r="CD130" s="5">
        <f t="shared" si="52"/>
        <v>322091.08376487036</v>
      </c>
      <c r="CE130" s="5">
        <f t="shared" si="60"/>
        <v>334691.73315580632</v>
      </c>
      <c r="CH130" s="41">
        <f>BV130/'1. Väestöennuste'!I130*1000</f>
        <v>3967.1515485340879</v>
      </c>
      <c r="CI130" s="41">
        <f>BW130/'1. Väestöennuste'!J130*1000</f>
        <v>4205.7190958794499</v>
      </c>
      <c r="CJ130" s="41">
        <f>BX130/'1. Väestöennuste'!K130*1000</f>
        <v>4325.5046674498226</v>
      </c>
      <c r="CK130" s="41">
        <f>BY130/'1. Väestöennuste'!L130*1000</f>
        <v>4535.6152395256913</v>
      </c>
      <c r="CL130" s="41">
        <f>BZ130/'1. Väestöennuste'!M130*1000</f>
        <v>2525.7692306098943</v>
      </c>
      <c r="CM130" s="41">
        <f>CA130/'1. Väestöennuste'!N130*1000</f>
        <v>2356.4706308628065</v>
      </c>
      <c r="CN130" s="41">
        <f>CB130/'1. Väestöennuste'!O130*1000</f>
        <v>2460.536099242297</v>
      </c>
      <c r="CO130" s="41">
        <f>CC130/'1. Väestöennuste'!P130*1000</f>
        <v>2562.9412722313282</v>
      </c>
      <c r="CP130" s="41">
        <f>CD130/'1. Väestöennuste'!Q130*1000</f>
        <v>2661.9757825803149</v>
      </c>
      <c r="CQ130" s="41">
        <f>CE130/'1. Väestöennuste'!R130*1000</f>
        <v>2766.2302727106444</v>
      </c>
      <c r="CR130" s="41"/>
      <c r="CU130" s="159">
        <f t="shared" si="53"/>
        <v>238.56754734536207</v>
      </c>
      <c r="CV130" s="159">
        <f t="shared" si="54"/>
        <v>119.78557157037267</v>
      </c>
      <c r="CW130" s="159">
        <f t="shared" si="55"/>
        <v>210.11057207586873</v>
      </c>
      <c r="CX130" s="159">
        <f t="shared" si="56"/>
        <v>-2009.846008915797</v>
      </c>
      <c r="CY130" s="159">
        <f t="shared" si="57"/>
        <v>-169.29859974708779</v>
      </c>
      <c r="CZ130" s="159">
        <f t="shared" si="58"/>
        <v>104.06546837949054</v>
      </c>
      <c r="DA130" s="159">
        <f t="shared" si="61"/>
        <v>102.40517298903114</v>
      </c>
      <c r="DB130" s="159">
        <f t="shared" si="62"/>
        <v>99.034510348986714</v>
      </c>
      <c r="DC130" s="159">
        <f t="shared" si="62"/>
        <v>104.25449013032949</v>
      </c>
    </row>
    <row r="131" spans="1:107" x14ac:dyDescent="0.2">
      <c r="A131" s="99">
        <v>15</v>
      </c>
      <c r="B131" s="30">
        <v>399</v>
      </c>
      <c r="C131" s="47" t="s">
        <v>445</v>
      </c>
      <c r="D131" s="64">
        <v>27388.225140000002</v>
      </c>
      <c r="E131" s="64">
        <v>1351.4700399999999</v>
      </c>
      <c r="F131" s="64">
        <v>1090.3898200000001</v>
      </c>
      <c r="G131" s="205">
        <v>29825</v>
      </c>
      <c r="H131" s="205"/>
      <c r="I131" s="64">
        <v>27054</v>
      </c>
      <c r="J131" s="64">
        <v>1227</v>
      </c>
      <c r="K131" s="64">
        <v>933</v>
      </c>
      <c r="L131" s="205">
        <v>29214</v>
      </c>
      <c r="M131" s="205"/>
      <c r="N131" s="64">
        <v>27660</v>
      </c>
      <c r="O131" s="64">
        <v>1132</v>
      </c>
      <c r="P131" s="64">
        <v>1217</v>
      </c>
      <c r="Q131" s="205">
        <v>30009</v>
      </c>
      <c r="R131" s="205"/>
      <c r="S131" s="64">
        <v>26941</v>
      </c>
      <c r="T131" s="64">
        <v>1234</v>
      </c>
      <c r="U131" s="64">
        <v>1015</v>
      </c>
      <c r="V131" s="205">
        <v>29190</v>
      </c>
      <c r="W131" s="205"/>
      <c r="X131" s="64">
        <v>28304</v>
      </c>
      <c r="Y131" s="64">
        <v>1423</v>
      </c>
      <c r="Z131" s="64">
        <v>998</v>
      </c>
      <c r="AA131" s="205">
        <f t="shared" si="59"/>
        <v>30725</v>
      </c>
      <c r="AB131" s="205"/>
      <c r="AC131" s="64">
        <v>28891</v>
      </c>
      <c r="AD131" s="64">
        <v>1354</v>
      </c>
      <c r="AE131" s="64">
        <v>1046</v>
      </c>
      <c r="AF131" s="205">
        <f t="shared" si="36"/>
        <v>31291</v>
      </c>
      <c r="AG131" s="205"/>
      <c r="AH131" s="278">
        <v>29921.504730000001</v>
      </c>
      <c r="AI131" s="64">
        <v>1492.5603899999999</v>
      </c>
      <c r="AJ131" s="64">
        <v>1434.8339799999999</v>
      </c>
      <c r="AK131" s="205">
        <f t="shared" si="37"/>
        <v>32848.899100000002</v>
      </c>
      <c r="AL131" s="205"/>
      <c r="AM131" s="64">
        <v>31568.026399999999</v>
      </c>
      <c r="AN131" s="64">
        <v>1560.69381</v>
      </c>
      <c r="AO131" s="64">
        <v>1489.9444099999998</v>
      </c>
      <c r="AP131" s="205">
        <f t="shared" si="38"/>
        <v>34618.664619999996</v>
      </c>
      <c r="AQ131" s="205"/>
      <c r="AR131" s="64">
        <v>16390.120029999998</v>
      </c>
      <c r="AS131" s="64">
        <v>1441.36994</v>
      </c>
      <c r="AT131" s="64">
        <v>1080.31134</v>
      </c>
      <c r="AU131" s="205">
        <f t="shared" si="39"/>
        <v>18911.801309999999</v>
      </c>
      <c r="AV131" s="205"/>
      <c r="AW131" s="64">
        <v>15990.051432863838</v>
      </c>
      <c r="AX131" s="64">
        <v>1512.3191152930258</v>
      </c>
      <c r="AY131" s="64">
        <v>978.26605773720678</v>
      </c>
      <c r="AZ131" s="205">
        <f t="shared" si="40"/>
        <v>18480.636605894073</v>
      </c>
      <c r="BA131" s="205"/>
      <c r="BB131" s="64">
        <v>17202.785206205586</v>
      </c>
      <c r="BC131" s="64">
        <v>1542.1976618303772</v>
      </c>
      <c r="BD131" s="64">
        <v>990.00525043005314</v>
      </c>
      <c r="BE131" s="205">
        <f t="shared" si="35"/>
        <v>19734.988118466019</v>
      </c>
      <c r="BF131" s="205"/>
      <c r="BG131" s="64">
        <v>17999.8838502494</v>
      </c>
      <c r="BH131" s="64">
        <v>1585.3611891344617</v>
      </c>
      <c r="BI131" s="64">
        <v>1038.0800395531389</v>
      </c>
      <c r="BJ131" s="205">
        <f t="shared" si="41"/>
        <v>20623.325078937003</v>
      </c>
      <c r="BK131" s="205"/>
      <c r="BL131" s="64">
        <v>18582.84337936886</v>
      </c>
      <c r="BM131" s="64">
        <v>1633.6131476603</v>
      </c>
      <c r="BN131" s="64">
        <v>1100.1300580724703</v>
      </c>
      <c r="BO131" s="205">
        <f t="shared" si="42"/>
        <v>21316.586585101631</v>
      </c>
      <c r="BQ131" s="64">
        <v>19209.388196741089</v>
      </c>
      <c r="BR131" s="64">
        <v>1683.1713189626535</v>
      </c>
      <c r="BS131" s="64">
        <v>1138.7016912061088</v>
      </c>
      <c r="BT131" s="205">
        <f t="shared" si="43"/>
        <v>22031.26120690985</v>
      </c>
      <c r="BU131" s="205"/>
      <c r="BV131" s="5">
        <f t="shared" si="44"/>
        <v>30725</v>
      </c>
      <c r="BW131" s="5">
        <f t="shared" si="45"/>
        <v>31291</v>
      </c>
      <c r="BX131" s="5">
        <f t="shared" si="46"/>
        <v>32848.899100000002</v>
      </c>
      <c r="BY131" s="5">
        <f t="shared" si="47"/>
        <v>34618.664619999996</v>
      </c>
      <c r="BZ131" s="5">
        <f t="shared" si="48"/>
        <v>18911.801309999999</v>
      </c>
      <c r="CA131" s="5">
        <f t="shared" si="49"/>
        <v>18480.636605894073</v>
      </c>
      <c r="CB131" s="5">
        <f t="shared" si="50"/>
        <v>19734.988118466019</v>
      </c>
      <c r="CC131" s="5">
        <f t="shared" si="51"/>
        <v>20623.325078937003</v>
      </c>
      <c r="CD131" s="5">
        <f t="shared" si="52"/>
        <v>21316.586585101631</v>
      </c>
      <c r="CE131" s="5">
        <f t="shared" si="60"/>
        <v>22031.26120690985</v>
      </c>
      <c r="CH131" s="41">
        <f>BV131/'1. Väestöennuste'!I131*1000</f>
        <v>3832.4809779219158</v>
      </c>
      <c r="CI131" s="41">
        <f>BW131/'1. Väestöennuste'!J131*1000</f>
        <v>3913.3316658329163</v>
      </c>
      <c r="CJ131" s="41">
        <f>BX131/'1. Väestöennuste'!K131*1000</f>
        <v>4149.6840702374939</v>
      </c>
      <c r="CK131" s="41">
        <f>BY131/'1. Väestöennuste'!L131*1000</f>
        <v>4428.6381757707559</v>
      </c>
      <c r="CL131" s="41">
        <f>BZ131/'1. Väestöennuste'!M131*1000</f>
        <v>2461.8330265555842</v>
      </c>
      <c r="CM131" s="41">
        <f>CA131/'1. Väestöennuste'!N131*1000</f>
        <v>2343.1769501577369</v>
      </c>
      <c r="CN131" s="41">
        <f>CB131/'1. Väestöennuste'!O131*1000</f>
        <v>2513.3708760145209</v>
      </c>
      <c r="CO131" s="41">
        <f>CC131/'1. Väestöennuste'!P131*1000</f>
        <v>2638.6035157288902</v>
      </c>
      <c r="CP131" s="41">
        <f>CD131/'1. Väestöennuste'!Q131*1000</f>
        <v>2741.3305793597774</v>
      </c>
      <c r="CQ131" s="41">
        <f>CE131/'1. Väestöennuste'!R131*1000</f>
        <v>2850.0984743738486</v>
      </c>
      <c r="CR131" s="41"/>
      <c r="CU131" s="159">
        <f t="shared" si="53"/>
        <v>80.850687911000477</v>
      </c>
      <c r="CV131" s="159">
        <f t="shared" si="54"/>
        <v>236.35240440457756</v>
      </c>
      <c r="CW131" s="159">
        <f t="shared" si="55"/>
        <v>278.95410553326201</v>
      </c>
      <c r="CX131" s="159">
        <f t="shared" si="56"/>
        <v>-1966.8051492151717</v>
      </c>
      <c r="CY131" s="159">
        <f t="shared" si="57"/>
        <v>-118.6560763978473</v>
      </c>
      <c r="CZ131" s="159">
        <f t="shared" si="58"/>
        <v>170.19392585678406</v>
      </c>
      <c r="DA131" s="159">
        <f t="shared" si="61"/>
        <v>125.23263971436927</v>
      </c>
      <c r="DB131" s="159">
        <f t="shared" si="62"/>
        <v>102.72706363088719</v>
      </c>
      <c r="DC131" s="159">
        <f t="shared" si="62"/>
        <v>108.7678950140712</v>
      </c>
    </row>
    <row r="132" spans="1:107" x14ac:dyDescent="0.2">
      <c r="A132" s="99">
        <v>2</v>
      </c>
      <c r="B132" s="30">
        <v>400</v>
      </c>
      <c r="C132" s="47" t="s">
        <v>446</v>
      </c>
      <c r="D132" s="64">
        <v>25204.593760000003</v>
      </c>
      <c r="E132" s="64">
        <v>1890.1641200000001</v>
      </c>
      <c r="F132" s="64">
        <v>2159.94452</v>
      </c>
      <c r="G132" s="205">
        <v>29255</v>
      </c>
      <c r="H132" s="205"/>
      <c r="I132" s="64">
        <v>24978</v>
      </c>
      <c r="J132" s="64">
        <v>1778</v>
      </c>
      <c r="K132" s="64">
        <v>1928</v>
      </c>
      <c r="L132" s="205">
        <v>28683</v>
      </c>
      <c r="M132" s="205"/>
      <c r="N132" s="64">
        <v>25112</v>
      </c>
      <c r="O132" s="64">
        <v>2074</v>
      </c>
      <c r="P132" s="64">
        <v>2046</v>
      </c>
      <c r="Q132" s="205">
        <v>29232</v>
      </c>
      <c r="R132" s="205"/>
      <c r="S132" s="64">
        <v>24995</v>
      </c>
      <c r="T132" s="64">
        <v>2063</v>
      </c>
      <c r="U132" s="64">
        <v>1948</v>
      </c>
      <c r="V132" s="205">
        <v>29006</v>
      </c>
      <c r="W132" s="205"/>
      <c r="X132" s="64">
        <v>26313</v>
      </c>
      <c r="Y132" s="64">
        <v>2099</v>
      </c>
      <c r="Z132" s="64">
        <v>1934</v>
      </c>
      <c r="AA132" s="205">
        <f t="shared" si="59"/>
        <v>30346</v>
      </c>
      <c r="AB132" s="205"/>
      <c r="AC132" s="64">
        <v>27007</v>
      </c>
      <c r="AD132" s="64">
        <v>1881</v>
      </c>
      <c r="AE132" s="64">
        <v>2097</v>
      </c>
      <c r="AF132" s="205">
        <f t="shared" si="36"/>
        <v>30985</v>
      </c>
      <c r="AG132" s="205"/>
      <c r="AH132" s="278">
        <v>26699.064999999999</v>
      </c>
      <c r="AI132" s="64">
        <v>2079.991</v>
      </c>
      <c r="AJ132" s="64">
        <v>3120.2330000000002</v>
      </c>
      <c r="AK132" s="205">
        <f t="shared" si="37"/>
        <v>31899.288999999997</v>
      </c>
      <c r="AL132" s="205"/>
      <c r="AM132" s="64">
        <v>27723.090980000001</v>
      </c>
      <c r="AN132" s="64">
        <v>2164.3960400000001</v>
      </c>
      <c r="AO132" s="64">
        <v>3490.5639000000001</v>
      </c>
      <c r="AP132" s="205">
        <f t="shared" si="38"/>
        <v>33378.050920000001</v>
      </c>
      <c r="AQ132" s="205"/>
      <c r="AR132" s="64">
        <v>13923.69715</v>
      </c>
      <c r="AS132" s="64">
        <v>2125.6809199999998</v>
      </c>
      <c r="AT132" s="64">
        <v>2367.09942</v>
      </c>
      <c r="AU132" s="205">
        <f t="shared" si="39"/>
        <v>18416.477489999997</v>
      </c>
      <c r="AV132" s="205"/>
      <c r="AW132" s="64">
        <v>13489.634256686075</v>
      </c>
      <c r="AX132" s="64">
        <v>2409.2147755223846</v>
      </c>
      <c r="AY132" s="64">
        <v>1806.2875752090708</v>
      </c>
      <c r="AZ132" s="205">
        <f t="shared" si="40"/>
        <v>17705.136607417531</v>
      </c>
      <c r="BA132" s="205"/>
      <c r="BB132" s="64">
        <v>14242.789103890569</v>
      </c>
      <c r="BC132" s="64">
        <v>2474.6685175575335</v>
      </c>
      <c r="BD132" s="64">
        <v>1827.9630261115797</v>
      </c>
      <c r="BE132" s="205">
        <f t="shared" si="35"/>
        <v>18545.42064755968</v>
      </c>
      <c r="BF132" s="205"/>
      <c r="BG132" s="64">
        <v>14956.179447784833</v>
      </c>
      <c r="BH132" s="64">
        <v>2562.3985158979035</v>
      </c>
      <c r="BI132" s="64">
        <v>1916.729158378997</v>
      </c>
      <c r="BJ132" s="205">
        <f t="shared" si="41"/>
        <v>19435.307122061731</v>
      </c>
      <c r="BK132" s="205"/>
      <c r="BL132" s="64">
        <v>15514.100550973964</v>
      </c>
      <c r="BM132" s="64">
        <v>2659.5139785469828</v>
      </c>
      <c r="BN132" s="64">
        <v>2031.2993988636865</v>
      </c>
      <c r="BO132" s="205">
        <f t="shared" si="42"/>
        <v>20204.913928384634</v>
      </c>
      <c r="BQ132" s="64">
        <v>16127.996487285816</v>
      </c>
      <c r="BR132" s="64">
        <v>2759.9781500276163</v>
      </c>
      <c r="BS132" s="64">
        <v>2102.5187375433584</v>
      </c>
      <c r="BT132" s="205">
        <f t="shared" si="43"/>
        <v>20990.493374856793</v>
      </c>
      <c r="BU132" s="205"/>
      <c r="BV132" s="5">
        <f t="shared" si="44"/>
        <v>30346</v>
      </c>
      <c r="BW132" s="5">
        <f t="shared" si="45"/>
        <v>30985</v>
      </c>
      <c r="BX132" s="5">
        <f t="shared" si="46"/>
        <v>31899.288999999997</v>
      </c>
      <c r="BY132" s="5">
        <f t="shared" si="47"/>
        <v>33378.050920000001</v>
      </c>
      <c r="BZ132" s="5">
        <f t="shared" si="48"/>
        <v>18416.477489999997</v>
      </c>
      <c r="CA132" s="5">
        <f t="shared" si="49"/>
        <v>17705.136607417531</v>
      </c>
      <c r="CB132" s="5">
        <f t="shared" si="50"/>
        <v>18545.42064755968</v>
      </c>
      <c r="CC132" s="5">
        <f t="shared" si="51"/>
        <v>19435.307122061731</v>
      </c>
      <c r="CD132" s="5">
        <f t="shared" si="52"/>
        <v>20204.913928384634</v>
      </c>
      <c r="CE132" s="5">
        <f t="shared" si="60"/>
        <v>20990.493374856793</v>
      </c>
      <c r="CH132" s="41">
        <f>BV132/'1. Väestöennuste'!I132*1000</f>
        <v>3533.5351653469957</v>
      </c>
      <c r="CI132" s="41">
        <f>BW132/'1. Väestöennuste'!J132*1000</f>
        <v>3659.0694378837979</v>
      </c>
      <c r="CJ132" s="41">
        <f>BX132/'1. Väestöennuste'!K132*1000</f>
        <v>3772.3851702932825</v>
      </c>
      <c r="CK132" s="41">
        <f>BY132/'1. Väestöennuste'!L132*1000</f>
        <v>3989.7263829787234</v>
      </c>
      <c r="CL132" s="41">
        <f>BZ132/'1. Väestöennuste'!M132*1000</f>
        <v>2181.7885902144294</v>
      </c>
      <c r="CM132" s="41">
        <f>CA132/'1. Väestöennuste'!N132*1000</f>
        <v>2113.2891629765495</v>
      </c>
      <c r="CN132" s="41">
        <f>CB132/'1. Väestöennuste'!O132*1000</f>
        <v>2220.7425035995307</v>
      </c>
      <c r="CO132" s="41">
        <f>CC132/'1. Väestöennuste'!P132*1000</f>
        <v>2334.851888762822</v>
      </c>
      <c r="CP132" s="41">
        <f>CD132/'1. Väestöennuste'!Q132*1000</f>
        <v>2436.0880067982439</v>
      </c>
      <c r="CQ132" s="41">
        <f>CE132/'1. Väestöennuste'!R132*1000</f>
        <v>2539.6846188574459</v>
      </c>
      <c r="CR132" s="41"/>
      <c r="CU132" s="159">
        <f t="shared" si="53"/>
        <v>125.53427253680229</v>
      </c>
      <c r="CV132" s="159">
        <f t="shared" si="54"/>
        <v>113.31573240948455</v>
      </c>
      <c r="CW132" s="159">
        <f t="shared" si="55"/>
        <v>217.34121268544095</v>
      </c>
      <c r="CX132" s="159">
        <f t="shared" si="56"/>
        <v>-1807.937792764294</v>
      </c>
      <c r="CY132" s="159">
        <f t="shared" si="57"/>
        <v>-68.4994272378799</v>
      </c>
      <c r="CZ132" s="159">
        <f t="shared" si="58"/>
        <v>107.45334062298116</v>
      </c>
      <c r="DA132" s="159">
        <f t="shared" si="61"/>
        <v>114.10938516329134</v>
      </c>
      <c r="DB132" s="159">
        <f t="shared" si="62"/>
        <v>101.2361180354219</v>
      </c>
      <c r="DC132" s="159">
        <f t="shared" si="62"/>
        <v>103.59661205920202</v>
      </c>
    </row>
    <row r="133" spans="1:107" x14ac:dyDescent="0.2">
      <c r="A133" s="99">
        <v>11</v>
      </c>
      <c r="B133" s="30">
        <v>402</v>
      </c>
      <c r="C133" s="47" t="s">
        <v>447</v>
      </c>
      <c r="D133" s="64">
        <v>25825.104620000002</v>
      </c>
      <c r="E133" s="64">
        <v>2227.9173900000001</v>
      </c>
      <c r="F133" s="64">
        <v>2008.4930200000001</v>
      </c>
      <c r="G133" s="205">
        <v>30059</v>
      </c>
      <c r="H133" s="205"/>
      <c r="I133" s="64">
        <v>25300</v>
      </c>
      <c r="J133" s="64">
        <v>2223</v>
      </c>
      <c r="K133" s="64">
        <v>1707</v>
      </c>
      <c r="L133" s="205">
        <v>29230</v>
      </c>
      <c r="M133" s="205"/>
      <c r="N133" s="64">
        <v>25412</v>
      </c>
      <c r="O133" s="64">
        <v>2219</v>
      </c>
      <c r="P133" s="64">
        <v>1767</v>
      </c>
      <c r="Q133" s="205">
        <v>29398</v>
      </c>
      <c r="R133" s="205"/>
      <c r="S133" s="64">
        <v>25409</v>
      </c>
      <c r="T133" s="64">
        <v>2224</v>
      </c>
      <c r="U133" s="64">
        <v>1555</v>
      </c>
      <c r="V133" s="205">
        <v>29188</v>
      </c>
      <c r="W133" s="205"/>
      <c r="X133" s="64">
        <v>26302</v>
      </c>
      <c r="Y133" s="64">
        <v>2253</v>
      </c>
      <c r="Z133" s="64">
        <v>1645</v>
      </c>
      <c r="AA133" s="205">
        <f t="shared" si="59"/>
        <v>30200</v>
      </c>
      <c r="AB133" s="205"/>
      <c r="AC133" s="64">
        <v>26879</v>
      </c>
      <c r="AD133" s="64">
        <v>2055</v>
      </c>
      <c r="AE133" s="64">
        <v>1897</v>
      </c>
      <c r="AF133" s="205">
        <f t="shared" si="36"/>
        <v>30831</v>
      </c>
      <c r="AG133" s="205"/>
      <c r="AH133" s="278">
        <v>27614.506699999998</v>
      </c>
      <c r="AI133" s="64">
        <v>2262.3266699999999</v>
      </c>
      <c r="AJ133" s="64">
        <v>2790.9159</v>
      </c>
      <c r="AK133" s="205">
        <f t="shared" si="37"/>
        <v>32667.749269999997</v>
      </c>
      <c r="AL133" s="205"/>
      <c r="AM133" s="64">
        <v>28091.140920000002</v>
      </c>
      <c r="AN133" s="64">
        <v>2395.5426200000002</v>
      </c>
      <c r="AO133" s="64">
        <v>2789.28935</v>
      </c>
      <c r="AP133" s="205">
        <f t="shared" si="38"/>
        <v>33275.972890000005</v>
      </c>
      <c r="AQ133" s="205"/>
      <c r="AR133" s="64">
        <v>14000.09166</v>
      </c>
      <c r="AS133" s="64">
        <v>2309.0545999999999</v>
      </c>
      <c r="AT133" s="64">
        <v>1738.18444</v>
      </c>
      <c r="AU133" s="205">
        <f t="shared" si="39"/>
        <v>18047.330699999999</v>
      </c>
      <c r="AV133" s="205"/>
      <c r="AW133" s="64">
        <v>14590.434257369892</v>
      </c>
      <c r="AX133" s="64">
        <v>2657.016997897405</v>
      </c>
      <c r="AY133" s="64">
        <v>1536.2188977593246</v>
      </c>
      <c r="AZ133" s="205">
        <f t="shared" si="40"/>
        <v>18783.670153026622</v>
      </c>
      <c r="BA133" s="205"/>
      <c r="BB133" s="64">
        <v>15465.014349539542</v>
      </c>
      <c r="BC133" s="64">
        <v>2640.9125041094717</v>
      </c>
      <c r="BD133" s="64">
        <v>1554.6535245324364</v>
      </c>
      <c r="BE133" s="205">
        <f t="shared" si="35"/>
        <v>19660.58037818145</v>
      </c>
      <c r="BF133" s="205"/>
      <c r="BG133" s="64">
        <v>16086.742386366626</v>
      </c>
      <c r="BH133" s="64">
        <v>2645.2792993182898</v>
      </c>
      <c r="BI133" s="64">
        <v>1630.1477103651805</v>
      </c>
      <c r="BJ133" s="205">
        <f t="shared" si="41"/>
        <v>20362.169396050096</v>
      </c>
      <c r="BK133" s="205"/>
      <c r="BL133" s="64">
        <v>16547.857091577851</v>
      </c>
      <c r="BM133" s="64">
        <v>2655.1048063395228</v>
      </c>
      <c r="BN133" s="64">
        <v>1727.5878804516292</v>
      </c>
      <c r="BO133" s="205">
        <f t="shared" si="42"/>
        <v>20930.549778369004</v>
      </c>
      <c r="BQ133" s="64">
        <v>17081.910360738188</v>
      </c>
      <c r="BR133" s="64">
        <v>2663.8105833010168</v>
      </c>
      <c r="BS133" s="64">
        <v>1788.1587969918539</v>
      </c>
      <c r="BT133" s="205">
        <f t="shared" si="43"/>
        <v>21533.879741031058</v>
      </c>
      <c r="BU133" s="205"/>
      <c r="BV133" s="5">
        <f t="shared" si="44"/>
        <v>30200</v>
      </c>
      <c r="BW133" s="5">
        <f t="shared" si="45"/>
        <v>30831</v>
      </c>
      <c r="BX133" s="5">
        <f t="shared" si="46"/>
        <v>32667.749269999997</v>
      </c>
      <c r="BY133" s="5">
        <f t="shared" si="47"/>
        <v>33275.972890000005</v>
      </c>
      <c r="BZ133" s="5">
        <f t="shared" si="48"/>
        <v>18047.330699999999</v>
      </c>
      <c r="CA133" s="5">
        <f t="shared" si="49"/>
        <v>18783.670153026622</v>
      </c>
      <c r="CB133" s="5">
        <f t="shared" si="50"/>
        <v>19660.58037818145</v>
      </c>
      <c r="CC133" s="5">
        <f t="shared" si="51"/>
        <v>20362.169396050096</v>
      </c>
      <c r="CD133" s="5">
        <f t="shared" si="52"/>
        <v>20930.549778369004</v>
      </c>
      <c r="CE133" s="5">
        <f t="shared" si="60"/>
        <v>21533.879741031058</v>
      </c>
      <c r="CH133" s="41">
        <f>BV133/'1. Väestöennuste'!I133*1000</f>
        <v>3183.9746968898257</v>
      </c>
      <c r="CI133" s="41">
        <f>BW133/'1. Väestöennuste'!J133*1000</f>
        <v>3294.6142338106433</v>
      </c>
      <c r="CJ133" s="41">
        <f>BX133/'1. Väestöennuste'!K133*1000</f>
        <v>3532.7943408673082</v>
      </c>
      <c r="CK133" s="41">
        <f>BY133/'1. Väestöennuste'!L133*1000</f>
        <v>3657.1021969447197</v>
      </c>
      <c r="CL133" s="41">
        <f>BZ133/'1. Väestöennuste'!M133*1000</f>
        <v>2010.8446462395539</v>
      </c>
      <c r="CM133" s="41">
        <f>CA133/'1. Väestöennuste'!N133*1000</f>
        <v>2101.5518184187317</v>
      </c>
      <c r="CN133" s="41">
        <f>CB133/'1. Väestöennuste'!O133*1000</f>
        <v>2224.0475540929242</v>
      </c>
      <c r="CO133" s="41">
        <f>CC133/'1. Väestöennuste'!P133*1000</f>
        <v>2328.7018979929207</v>
      </c>
      <c r="CP133" s="41">
        <f>CD133/'1. Väestöennuste'!Q133*1000</f>
        <v>2419.1573946334956</v>
      </c>
      <c r="CQ133" s="41">
        <f>CE133/'1. Väestöennuste'!R133*1000</f>
        <v>2515.6401566625068</v>
      </c>
      <c r="CR133" s="41"/>
      <c r="CU133" s="159">
        <f t="shared" si="53"/>
        <v>110.63953692081759</v>
      </c>
      <c r="CV133" s="159">
        <f t="shared" si="54"/>
        <v>238.18010705666484</v>
      </c>
      <c r="CW133" s="159">
        <f t="shared" si="55"/>
        <v>124.30785607741154</v>
      </c>
      <c r="CX133" s="159">
        <f t="shared" si="56"/>
        <v>-1646.2575507051658</v>
      </c>
      <c r="CY133" s="159">
        <f t="shared" si="57"/>
        <v>90.70717217917786</v>
      </c>
      <c r="CZ133" s="159">
        <f t="shared" si="58"/>
        <v>122.49573567419247</v>
      </c>
      <c r="DA133" s="159">
        <f t="shared" si="61"/>
        <v>104.65434389999655</v>
      </c>
      <c r="DB133" s="159">
        <f t="shared" si="62"/>
        <v>90.455496640574893</v>
      </c>
      <c r="DC133" s="159">
        <f t="shared" si="62"/>
        <v>96.482762029011155</v>
      </c>
    </row>
    <row r="134" spans="1:107" x14ac:dyDescent="0.2">
      <c r="A134" s="99">
        <v>14</v>
      </c>
      <c r="B134" s="30">
        <v>403</v>
      </c>
      <c r="C134" s="47" t="s">
        <v>448</v>
      </c>
      <c r="D134" s="64">
        <v>8256.7379000000001</v>
      </c>
      <c r="E134" s="64">
        <v>923.80038999999999</v>
      </c>
      <c r="F134" s="64">
        <v>1115.5023700000002</v>
      </c>
      <c r="G134" s="205">
        <v>10293</v>
      </c>
      <c r="H134" s="205"/>
      <c r="I134" s="64">
        <v>8424</v>
      </c>
      <c r="J134" s="64">
        <v>927</v>
      </c>
      <c r="K134" s="64">
        <v>1003</v>
      </c>
      <c r="L134" s="205">
        <v>10354</v>
      </c>
      <c r="M134" s="205"/>
      <c r="N134" s="64">
        <v>8038</v>
      </c>
      <c r="O134" s="64">
        <v>886</v>
      </c>
      <c r="P134" s="64">
        <v>982</v>
      </c>
      <c r="Q134" s="205">
        <v>9906</v>
      </c>
      <c r="R134" s="205"/>
      <c r="S134" s="64">
        <v>7532</v>
      </c>
      <c r="T134" s="64">
        <v>1029</v>
      </c>
      <c r="U134" s="64">
        <v>757</v>
      </c>
      <c r="V134" s="205">
        <v>9318</v>
      </c>
      <c r="W134" s="205"/>
      <c r="X134" s="64">
        <v>8040</v>
      </c>
      <c r="Y134" s="64">
        <v>997</v>
      </c>
      <c r="Z134" s="64">
        <v>656</v>
      </c>
      <c r="AA134" s="205">
        <f t="shared" si="59"/>
        <v>9693</v>
      </c>
      <c r="AB134" s="205"/>
      <c r="AC134" s="64">
        <v>8124</v>
      </c>
      <c r="AD134" s="64">
        <v>703</v>
      </c>
      <c r="AE134" s="64">
        <v>648</v>
      </c>
      <c r="AF134" s="205">
        <f t="shared" si="36"/>
        <v>9475</v>
      </c>
      <c r="AG134" s="205"/>
      <c r="AH134" s="278">
        <v>8590.4093300000004</v>
      </c>
      <c r="AI134" s="64">
        <v>976.02910999999995</v>
      </c>
      <c r="AJ134" s="64">
        <v>994.07831999999996</v>
      </c>
      <c r="AK134" s="205">
        <f t="shared" si="37"/>
        <v>10560.51676</v>
      </c>
      <c r="AL134" s="205"/>
      <c r="AM134" s="64">
        <v>8194.5408399999997</v>
      </c>
      <c r="AN134" s="64">
        <v>1023.03966</v>
      </c>
      <c r="AO134" s="64">
        <v>1019.06125</v>
      </c>
      <c r="AP134" s="205">
        <f t="shared" si="38"/>
        <v>10236.641750000001</v>
      </c>
      <c r="AQ134" s="205"/>
      <c r="AR134" s="64">
        <v>4326.4369900000002</v>
      </c>
      <c r="AS134" s="64">
        <v>1086.26622</v>
      </c>
      <c r="AT134" s="64">
        <v>591.89559999999994</v>
      </c>
      <c r="AU134" s="205">
        <f t="shared" si="39"/>
        <v>6004.5988099999995</v>
      </c>
      <c r="AV134" s="205"/>
      <c r="AW134" s="64">
        <v>4138.9510272296056</v>
      </c>
      <c r="AX134" s="64">
        <v>1193.7056359395447</v>
      </c>
      <c r="AY134" s="64">
        <v>445.64712927663959</v>
      </c>
      <c r="AZ134" s="205">
        <f t="shared" si="40"/>
        <v>5778.3037924457894</v>
      </c>
      <c r="BA134" s="205"/>
      <c r="BB134" s="64">
        <v>4276.1535006849672</v>
      </c>
      <c r="BC134" s="64">
        <v>1200.3314999935358</v>
      </c>
      <c r="BD134" s="64">
        <v>450.99489482795923</v>
      </c>
      <c r="BE134" s="205">
        <f t="shared" si="35"/>
        <v>5927.4798955064616</v>
      </c>
      <c r="BF134" s="205"/>
      <c r="BG134" s="64">
        <v>4372.5801637222294</v>
      </c>
      <c r="BH134" s="64">
        <v>1216.8754521281439</v>
      </c>
      <c r="BI134" s="64">
        <v>472.89526803812555</v>
      </c>
      <c r="BJ134" s="205">
        <f t="shared" si="41"/>
        <v>6062.3508838884982</v>
      </c>
      <c r="BK134" s="205"/>
      <c r="BL134" s="64">
        <v>4434.356633274555</v>
      </c>
      <c r="BM134" s="64">
        <v>1236.6946069805929</v>
      </c>
      <c r="BN134" s="64">
        <v>501.1620288093867</v>
      </c>
      <c r="BO134" s="205">
        <f t="shared" si="42"/>
        <v>6172.213269064534</v>
      </c>
      <c r="BQ134" s="64">
        <v>4520.9193223099082</v>
      </c>
      <c r="BR134" s="64">
        <v>1256.7956848979056</v>
      </c>
      <c r="BS134" s="64">
        <v>518.73325847800845</v>
      </c>
      <c r="BT134" s="205">
        <f t="shared" si="43"/>
        <v>6296.4482656858227</v>
      </c>
      <c r="BU134" s="205"/>
      <c r="BV134" s="5">
        <f t="shared" si="44"/>
        <v>9693</v>
      </c>
      <c r="BW134" s="5">
        <f t="shared" si="45"/>
        <v>9475</v>
      </c>
      <c r="BX134" s="5">
        <f t="shared" si="46"/>
        <v>10560.51676</v>
      </c>
      <c r="BY134" s="5">
        <f t="shared" si="47"/>
        <v>10236.641750000001</v>
      </c>
      <c r="BZ134" s="5">
        <f t="shared" si="48"/>
        <v>6004.5988099999995</v>
      </c>
      <c r="CA134" s="5">
        <f t="shared" si="49"/>
        <v>5778.3037924457894</v>
      </c>
      <c r="CB134" s="5">
        <f t="shared" si="50"/>
        <v>5927.4798955064616</v>
      </c>
      <c r="CC134" s="5">
        <f t="shared" si="51"/>
        <v>6062.3508838884982</v>
      </c>
      <c r="CD134" s="5">
        <f t="shared" si="52"/>
        <v>6172.213269064534</v>
      </c>
      <c r="CE134" s="5">
        <f t="shared" si="60"/>
        <v>6296.4482656858227</v>
      </c>
      <c r="CH134" s="41">
        <f>BV134/'1. Väestöennuste'!I134*1000</f>
        <v>3235.3137516688917</v>
      </c>
      <c r="CI134" s="41">
        <f>BW134/'1. Väestöennuste'!J134*1000</f>
        <v>3239.3162393162393</v>
      </c>
      <c r="CJ134" s="41">
        <f>BX134/'1. Väestöennuste'!K134*1000</f>
        <v>3684.7581158408934</v>
      </c>
      <c r="CK134" s="41">
        <f>BY134/'1. Väestöennuste'!L134*1000</f>
        <v>3630.0148049645391</v>
      </c>
      <c r="CL134" s="41">
        <f>BZ134/'1. Väestöennuste'!M134*1000</f>
        <v>2152.9576228038723</v>
      </c>
      <c r="CM134" s="41">
        <f>CA134/'1. Väestöennuste'!N134*1000</f>
        <v>2131.4289164314973</v>
      </c>
      <c r="CN134" s="41">
        <f>CB134/'1. Väestöennuste'!O134*1000</f>
        <v>2225.0299908057286</v>
      </c>
      <c r="CO134" s="41">
        <f>CC134/'1. Väestöennuste'!P134*1000</f>
        <v>2315.6420488496938</v>
      </c>
      <c r="CP134" s="41">
        <f>CD134/'1. Väestöennuste'!Q134*1000</f>
        <v>2396.976026821178</v>
      </c>
      <c r="CQ134" s="41">
        <f>CE134/'1. Väestöennuste'!R134*1000</f>
        <v>2488.714729520088</v>
      </c>
      <c r="CR134" s="41"/>
      <c r="CU134" s="159">
        <f t="shared" si="53"/>
        <v>4.002487647347607</v>
      </c>
      <c r="CV134" s="159">
        <f t="shared" si="54"/>
        <v>445.44187652465416</v>
      </c>
      <c r="CW134" s="159">
        <f t="shared" si="55"/>
        <v>-54.743310876354371</v>
      </c>
      <c r="CX134" s="159">
        <f t="shared" si="56"/>
        <v>-1477.0571821606668</v>
      </c>
      <c r="CY134" s="159">
        <f t="shared" si="57"/>
        <v>-21.528706372374927</v>
      </c>
      <c r="CZ134" s="159">
        <f t="shared" si="58"/>
        <v>93.601074374231302</v>
      </c>
      <c r="DA134" s="159">
        <f t="shared" si="61"/>
        <v>90.612058043965135</v>
      </c>
      <c r="DB134" s="159">
        <f t="shared" si="62"/>
        <v>81.333977971484273</v>
      </c>
      <c r="DC134" s="159">
        <f t="shared" si="62"/>
        <v>91.738702698909947</v>
      </c>
    </row>
    <row r="135" spans="1:107" x14ac:dyDescent="0.2">
      <c r="A135" s="99">
        <v>9</v>
      </c>
      <c r="B135" s="30">
        <v>405</v>
      </c>
      <c r="C135" s="47" t="s">
        <v>449</v>
      </c>
      <c r="D135" s="64">
        <v>249786.46</v>
      </c>
      <c r="E135" s="64">
        <v>24143.944950000001</v>
      </c>
      <c r="F135" s="64">
        <v>23031.736489999999</v>
      </c>
      <c r="G135" s="205">
        <v>296962</v>
      </c>
      <c r="H135" s="205"/>
      <c r="I135" s="64">
        <v>250126</v>
      </c>
      <c r="J135" s="64">
        <v>24813</v>
      </c>
      <c r="K135" s="64">
        <v>21482</v>
      </c>
      <c r="L135" s="205">
        <v>296421</v>
      </c>
      <c r="M135" s="205"/>
      <c r="N135" s="64">
        <v>244562</v>
      </c>
      <c r="O135" s="64">
        <v>24626</v>
      </c>
      <c r="P135" s="64">
        <v>24745</v>
      </c>
      <c r="Q135" s="205">
        <v>293933</v>
      </c>
      <c r="R135" s="205"/>
      <c r="S135" s="64">
        <v>243607</v>
      </c>
      <c r="T135" s="64">
        <v>24771</v>
      </c>
      <c r="U135" s="64">
        <v>22310</v>
      </c>
      <c r="V135" s="205">
        <v>290688</v>
      </c>
      <c r="W135" s="205"/>
      <c r="X135" s="64">
        <v>247955</v>
      </c>
      <c r="Y135" s="64">
        <v>25877</v>
      </c>
      <c r="Z135" s="64">
        <v>21726</v>
      </c>
      <c r="AA135" s="205">
        <f t="shared" si="59"/>
        <v>295558</v>
      </c>
      <c r="AB135" s="205"/>
      <c r="AC135" s="64">
        <v>255268</v>
      </c>
      <c r="AD135" s="64">
        <v>24418</v>
      </c>
      <c r="AE135" s="64">
        <v>25511</v>
      </c>
      <c r="AF135" s="205">
        <f t="shared" si="36"/>
        <v>305197</v>
      </c>
      <c r="AG135" s="205"/>
      <c r="AH135" s="278">
        <v>268248.0698</v>
      </c>
      <c r="AI135" s="64">
        <v>26842.469969999998</v>
      </c>
      <c r="AJ135" s="64">
        <v>37365.728929999997</v>
      </c>
      <c r="AK135" s="205">
        <f t="shared" si="37"/>
        <v>332456.26869999996</v>
      </c>
      <c r="AL135" s="205"/>
      <c r="AM135" s="64">
        <v>270618.92362999998</v>
      </c>
      <c r="AN135" s="64">
        <v>26952.547770000001</v>
      </c>
      <c r="AO135" s="64">
        <v>35649.747210000001</v>
      </c>
      <c r="AP135" s="205">
        <f t="shared" si="38"/>
        <v>333221.21860999998</v>
      </c>
      <c r="AQ135" s="205"/>
      <c r="AR135" s="64">
        <v>136900.51427000001</v>
      </c>
      <c r="AS135" s="64">
        <v>27396.17539</v>
      </c>
      <c r="AT135" s="64">
        <v>25181.264940000001</v>
      </c>
      <c r="AU135" s="205">
        <f t="shared" si="39"/>
        <v>189477.9546</v>
      </c>
      <c r="AV135" s="205"/>
      <c r="AW135" s="64">
        <v>128863.13333652902</v>
      </c>
      <c r="AX135" s="64">
        <v>27900.749482110838</v>
      </c>
      <c r="AY135" s="64">
        <v>26771.911603720033</v>
      </c>
      <c r="AZ135" s="205">
        <f t="shared" si="40"/>
        <v>183535.7944223599</v>
      </c>
      <c r="BA135" s="205"/>
      <c r="BB135" s="64">
        <v>135900.5970854075</v>
      </c>
      <c r="BC135" s="64">
        <v>27871.858846587147</v>
      </c>
      <c r="BD135" s="64">
        <v>27093.174542964673</v>
      </c>
      <c r="BE135" s="205">
        <f t="shared" si="35"/>
        <v>190865.63047495933</v>
      </c>
      <c r="BF135" s="205"/>
      <c r="BG135" s="64">
        <v>142223.63422155855</v>
      </c>
      <c r="BH135" s="64">
        <v>28057.940161841463</v>
      </c>
      <c r="BI135" s="64">
        <v>28408.822770347488</v>
      </c>
      <c r="BJ135" s="205">
        <f t="shared" si="41"/>
        <v>198690.3971537475</v>
      </c>
      <c r="BK135" s="205"/>
      <c r="BL135" s="64">
        <v>147620.57018420121</v>
      </c>
      <c r="BM135" s="64">
        <v>28302.263033717925</v>
      </c>
      <c r="BN135" s="64">
        <v>30106.926877783444</v>
      </c>
      <c r="BO135" s="205">
        <f t="shared" si="42"/>
        <v>206029.76009570257</v>
      </c>
      <c r="BQ135" s="64">
        <v>153731.59359310204</v>
      </c>
      <c r="BR135" s="64">
        <v>28535.267847551575</v>
      </c>
      <c r="BS135" s="64">
        <v>31162.505106730121</v>
      </c>
      <c r="BT135" s="205">
        <f t="shared" si="43"/>
        <v>213429.36654738375</v>
      </c>
      <c r="BU135" s="205"/>
      <c r="BV135" s="5">
        <f t="shared" si="44"/>
        <v>295558</v>
      </c>
      <c r="BW135" s="5">
        <f t="shared" si="45"/>
        <v>305197</v>
      </c>
      <c r="BX135" s="5">
        <f t="shared" si="46"/>
        <v>332456.26869999996</v>
      </c>
      <c r="BY135" s="5">
        <f t="shared" si="47"/>
        <v>333221.21860999998</v>
      </c>
      <c r="BZ135" s="5">
        <f t="shared" si="48"/>
        <v>189477.9546</v>
      </c>
      <c r="CA135" s="5">
        <f t="shared" si="49"/>
        <v>183535.7944223599</v>
      </c>
      <c r="CB135" s="5">
        <f t="shared" si="50"/>
        <v>190865.63047495933</v>
      </c>
      <c r="CC135" s="5">
        <f t="shared" si="51"/>
        <v>198690.3971537475</v>
      </c>
      <c r="CD135" s="5">
        <f t="shared" si="52"/>
        <v>206029.76009570257</v>
      </c>
      <c r="CE135" s="5">
        <f t="shared" si="60"/>
        <v>213429.36654738375</v>
      </c>
      <c r="CH135" s="41">
        <f>BV135/'1. Väestöennuste'!I135*1000</f>
        <v>4069.1411735550842</v>
      </c>
      <c r="CI135" s="41">
        <f>BW135/'1. Väestöennuste'!J135*1000</f>
        <v>4200.2284550383974</v>
      </c>
      <c r="CJ135" s="41">
        <f>BX135/'1. Väestöennuste'!K135*1000</f>
        <v>4577.1438816532191</v>
      </c>
      <c r="CK135" s="41">
        <f>BY135/'1. Väestöennuste'!L135*1000</f>
        <v>4586.665087543015</v>
      </c>
      <c r="CL135" s="41">
        <f>BZ135/'1. Väestöennuste'!M135*1000</f>
        <v>2596.015161396394</v>
      </c>
      <c r="CM135" s="41">
        <f>CA135/'1. Väestöennuste'!N135*1000</f>
        <v>2530.3415559924988</v>
      </c>
      <c r="CN135" s="41">
        <f>CB135/'1. Väestöennuste'!O135*1000</f>
        <v>2633.8645775254508</v>
      </c>
      <c r="CO135" s="41">
        <f>CC135/'1. Väestöennuste'!P135*1000</f>
        <v>2744.8353593013594</v>
      </c>
      <c r="CP135" s="41">
        <f>CD135/'1. Väestöennuste'!Q135*1000</f>
        <v>2849.4538426900294</v>
      </c>
      <c r="CQ135" s="41">
        <f>CE135/'1. Väestöennuste'!R135*1000</f>
        <v>2955.3895418998818</v>
      </c>
      <c r="CR135" s="41"/>
      <c r="CU135" s="159">
        <f t="shared" si="53"/>
        <v>131.08728148331329</v>
      </c>
      <c r="CV135" s="159">
        <f t="shared" si="54"/>
        <v>376.91542661482163</v>
      </c>
      <c r="CW135" s="159">
        <f t="shared" si="55"/>
        <v>9.521205889795965</v>
      </c>
      <c r="CX135" s="159">
        <f t="shared" si="56"/>
        <v>-1990.6499261466211</v>
      </c>
      <c r="CY135" s="159">
        <f t="shared" si="57"/>
        <v>-65.673605403895181</v>
      </c>
      <c r="CZ135" s="159">
        <f t="shared" si="58"/>
        <v>103.52302153295204</v>
      </c>
      <c r="DA135" s="159">
        <f t="shared" si="61"/>
        <v>110.97078177590856</v>
      </c>
      <c r="DB135" s="159">
        <f t="shared" si="62"/>
        <v>104.61848338867003</v>
      </c>
      <c r="DC135" s="159">
        <f t="shared" si="62"/>
        <v>105.93569920985237</v>
      </c>
    </row>
    <row r="136" spans="1:107" x14ac:dyDescent="0.2">
      <c r="A136" s="99">
        <v>1</v>
      </c>
      <c r="B136" s="30">
        <v>407</v>
      </c>
      <c r="C136" s="47" t="s">
        <v>450</v>
      </c>
      <c r="D136" s="64">
        <v>7853.8919599999999</v>
      </c>
      <c r="E136" s="64">
        <v>553.23026000000004</v>
      </c>
      <c r="F136" s="64">
        <v>416.97154</v>
      </c>
      <c r="G136" s="205">
        <v>8824</v>
      </c>
      <c r="H136" s="205"/>
      <c r="I136" s="64">
        <v>7551</v>
      </c>
      <c r="J136" s="64">
        <v>545</v>
      </c>
      <c r="K136" s="64">
        <v>406</v>
      </c>
      <c r="L136" s="205">
        <v>8502</v>
      </c>
      <c r="M136" s="205"/>
      <c r="N136" s="64">
        <v>7595</v>
      </c>
      <c r="O136" s="64">
        <v>547</v>
      </c>
      <c r="P136" s="64">
        <v>508</v>
      </c>
      <c r="Q136" s="205">
        <v>8650</v>
      </c>
      <c r="R136" s="205"/>
      <c r="S136" s="64">
        <v>7362</v>
      </c>
      <c r="T136" s="64">
        <v>545</v>
      </c>
      <c r="U136" s="64">
        <v>549</v>
      </c>
      <c r="V136" s="205">
        <v>8456</v>
      </c>
      <c r="W136" s="205"/>
      <c r="X136" s="64">
        <v>7678</v>
      </c>
      <c r="Y136" s="64">
        <v>561</v>
      </c>
      <c r="Z136" s="64">
        <v>601</v>
      </c>
      <c r="AA136" s="205">
        <f t="shared" si="59"/>
        <v>8840</v>
      </c>
      <c r="AB136" s="205"/>
      <c r="AC136" s="64">
        <v>7630</v>
      </c>
      <c r="AD136" s="64">
        <v>532</v>
      </c>
      <c r="AE136" s="64">
        <v>619</v>
      </c>
      <c r="AF136" s="205">
        <f t="shared" si="36"/>
        <v>8781</v>
      </c>
      <c r="AG136" s="205"/>
      <c r="AH136" s="278">
        <v>7991.5878600000005</v>
      </c>
      <c r="AI136" s="64">
        <v>669.16193999999996</v>
      </c>
      <c r="AJ136" s="64">
        <v>919.92386999999997</v>
      </c>
      <c r="AK136" s="205">
        <f t="shared" si="37"/>
        <v>9580.6736700000019</v>
      </c>
      <c r="AL136" s="205"/>
      <c r="AM136" s="64">
        <v>8422.9744300000002</v>
      </c>
      <c r="AN136" s="64">
        <v>757.55072999999993</v>
      </c>
      <c r="AO136" s="64">
        <v>925.45315000000005</v>
      </c>
      <c r="AP136" s="205">
        <f t="shared" si="38"/>
        <v>10105.97831</v>
      </c>
      <c r="AQ136" s="205"/>
      <c r="AR136" s="64">
        <v>4156.1379399999996</v>
      </c>
      <c r="AS136" s="64">
        <v>652.70066000000008</v>
      </c>
      <c r="AT136" s="64">
        <v>528.6700699999999</v>
      </c>
      <c r="AU136" s="205">
        <f t="shared" si="39"/>
        <v>5337.5086700000002</v>
      </c>
      <c r="AV136" s="205"/>
      <c r="AW136" s="64">
        <v>3962.7129319506716</v>
      </c>
      <c r="AX136" s="64">
        <v>760.45456996455061</v>
      </c>
      <c r="AY136" s="64">
        <v>386.74761901985858</v>
      </c>
      <c r="AZ136" s="205">
        <f t="shared" si="40"/>
        <v>5109.9151209350812</v>
      </c>
      <c r="BA136" s="205"/>
      <c r="BB136" s="64">
        <v>4274.8748720423264</v>
      </c>
      <c r="BC136" s="64">
        <v>764.21336673926396</v>
      </c>
      <c r="BD136" s="64">
        <v>391.38859044809686</v>
      </c>
      <c r="BE136" s="205">
        <f t="shared" si="35"/>
        <v>5430.4768292296867</v>
      </c>
      <c r="BF136" s="205"/>
      <c r="BG136" s="64">
        <v>4461.9453994014857</v>
      </c>
      <c r="BH136" s="64">
        <v>773.80851707698082</v>
      </c>
      <c r="BI136" s="64">
        <v>410.39447343992993</v>
      </c>
      <c r="BJ136" s="205">
        <f t="shared" si="41"/>
        <v>5646.1483899183968</v>
      </c>
      <c r="BK136" s="205"/>
      <c r="BL136" s="64">
        <v>4628.2422063033728</v>
      </c>
      <c r="BM136" s="64">
        <v>784.99325515034548</v>
      </c>
      <c r="BN136" s="64">
        <v>434.92532241776092</v>
      </c>
      <c r="BO136" s="205">
        <f t="shared" si="42"/>
        <v>5848.160783871479</v>
      </c>
      <c r="BQ136" s="64">
        <v>4812.1259798366673</v>
      </c>
      <c r="BR136" s="64">
        <v>795.85156817673328</v>
      </c>
      <c r="BS136" s="64">
        <v>450.17422853911535</v>
      </c>
      <c r="BT136" s="205">
        <f t="shared" si="43"/>
        <v>6058.1517765525159</v>
      </c>
      <c r="BU136" s="205"/>
      <c r="BV136" s="5">
        <f t="shared" si="44"/>
        <v>8840</v>
      </c>
      <c r="BW136" s="5">
        <f t="shared" si="45"/>
        <v>8781</v>
      </c>
      <c r="BX136" s="5">
        <f t="shared" si="46"/>
        <v>9580.6736700000019</v>
      </c>
      <c r="BY136" s="5">
        <f t="shared" si="47"/>
        <v>10105.97831</v>
      </c>
      <c r="BZ136" s="5">
        <f t="shared" si="48"/>
        <v>5337.5086700000002</v>
      </c>
      <c r="CA136" s="5">
        <f t="shared" si="49"/>
        <v>5109.9151209350812</v>
      </c>
      <c r="CB136" s="5">
        <f t="shared" si="50"/>
        <v>5430.4768292296867</v>
      </c>
      <c r="CC136" s="5">
        <f t="shared" si="51"/>
        <v>5646.1483899183968</v>
      </c>
      <c r="CD136" s="5">
        <f t="shared" si="52"/>
        <v>5848.160783871479</v>
      </c>
      <c r="CE136" s="5">
        <f t="shared" si="60"/>
        <v>6058.1517765525159</v>
      </c>
      <c r="CH136" s="41">
        <f>BV136/'1. Väestöennuste'!I136*1000</f>
        <v>3392.1719109746737</v>
      </c>
      <c r="CI136" s="41">
        <f>BW136/'1. Väestöennuste'!J136*1000</f>
        <v>3350.2479969477295</v>
      </c>
      <c r="CJ136" s="41">
        <f>BX136/'1. Väestöennuste'!K136*1000</f>
        <v>3713.439406976745</v>
      </c>
      <c r="CK136" s="41">
        <f>BY136/'1. Väestöennuste'!L136*1000</f>
        <v>4013.4941660047662</v>
      </c>
      <c r="CL136" s="41">
        <f>BZ136/'1. Väestöennuste'!M136*1000</f>
        <v>2179.4645447121275</v>
      </c>
      <c r="CM136" s="41">
        <f>CA136/'1. Väestöennuste'!N136*1000</f>
        <v>2022.1270759537319</v>
      </c>
      <c r="CN136" s="41">
        <f>CB136/'1. Väestöennuste'!O136*1000</f>
        <v>2165.2618936322515</v>
      </c>
      <c r="CO136" s="41">
        <f>CC136/'1. Väestöennuste'!P136*1000</f>
        <v>2266.619185033479</v>
      </c>
      <c r="CP136" s="41">
        <f>CD136/'1. Väestöennuste'!Q136*1000</f>
        <v>2363.8483362455449</v>
      </c>
      <c r="CQ136" s="41">
        <f>CE136/'1. Väestöennuste'!R136*1000</f>
        <v>2464.6671182068822</v>
      </c>
      <c r="CR136" s="41"/>
      <c r="CU136" s="159">
        <f t="shared" si="53"/>
        <v>-41.923914026944203</v>
      </c>
      <c r="CV136" s="159">
        <f t="shared" si="54"/>
        <v>363.19141002901551</v>
      </c>
      <c r="CW136" s="159">
        <f t="shared" si="55"/>
        <v>300.05475902802118</v>
      </c>
      <c r="CX136" s="159">
        <f t="shared" si="56"/>
        <v>-1834.0296212926387</v>
      </c>
      <c r="CY136" s="159">
        <f t="shared" si="57"/>
        <v>-157.33746875839552</v>
      </c>
      <c r="CZ136" s="159">
        <f t="shared" si="58"/>
        <v>143.13481767851954</v>
      </c>
      <c r="DA136" s="159">
        <f t="shared" si="61"/>
        <v>101.35729140122749</v>
      </c>
      <c r="DB136" s="159">
        <f t="shared" si="62"/>
        <v>97.229151212065972</v>
      </c>
      <c r="DC136" s="159">
        <f t="shared" si="62"/>
        <v>100.81878196133721</v>
      </c>
    </row>
    <row r="137" spans="1:107" x14ac:dyDescent="0.2">
      <c r="A137" s="99">
        <v>14</v>
      </c>
      <c r="B137" s="30">
        <v>408</v>
      </c>
      <c r="C137" s="47" t="s">
        <v>451</v>
      </c>
      <c r="D137" s="64">
        <v>43156.848030000001</v>
      </c>
      <c r="E137" s="64">
        <v>2762.6561400000001</v>
      </c>
      <c r="F137" s="64">
        <v>2520.3060599999999</v>
      </c>
      <c r="G137" s="205">
        <v>48434</v>
      </c>
      <c r="H137" s="205"/>
      <c r="I137" s="64">
        <v>43199</v>
      </c>
      <c r="J137" s="64">
        <v>2851</v>
      </c>
      <c r="K137" s="64">
        <v>2207</v>
      </c>
      <c r="L137" s="205">
        <v>48257</v>
      </c>
      <c r="M137" s="205"/>
      <c r="N137" s="64">
        <v>43335</v>
      </c>
      <c r="O137" s="64">
        <v>2884</v>
      </c>
      <c r="P137" s="64">
        <v>2468</v>
      </c>
      <c r="Q137" s="205">
        <v>48687</v>
      </c>
      <c r="R137" s="205"/>
      <c r="S137" s="64">
        <v>42420</v>
      </c>
      <c r="T137" s="64">
        <v>3014</v>
      </c>
      <c r="U137" s="64">
        <v>2343</v>
      </c>
      <c r="V137" s="205">
        <v>47777</v>
      </c>
      <c r="W137" s="205"/>
      <c r="X137" s="64">
        <v>44615</v>
      </c>
      <c r="Y137" s="64">
        <v>2931</v>
      </c>
      <c r="Z137" s="64">
        <v>2326</v>
      </c>
      <c r="AA137" s="205">
        <f t="shared" si="59"/>
        <v>49872</v>
      </c>
      <c r="AB137" s="205"/>
      <c r="AC137" s="64">
        <v>45582</v>
      </c>
      <c r="AD137" s="64">
        <v>2774</v>
      </c>
      <c r="AE137" s="64">
        <v>2323</v>
      </c>
      <c r="AF137" s="205">
        <f t="shared" si="36"/>
        <v>50679</v>
      </c>
      <c r="AG137" s="205"/>
      <c r="AH137" s="278">
        <v>46831.554020000003</v>
      </c>
      <c r="AI137" s="64">
        <v>3095.35241</v>
      </c>
      <c r="AJ137" s="64">
        <v>3557.9119000000001</v>
      </c>
      <c r="AK137" s="205">
        <f t="shared" si="37"/>
        <v>53484.818330000002</v>
      </c>
      <c r="AL137" s="205"/>
      <c r="AM137" s="64">
        <v>49272.071689999997</v>
      </c>
      <c r="AN137" s="64">
        <v>3222.6850800000002</v>
      </c>
      <c r="AO137" s="64">
        <v>4129.28</v>
      </c>
      <c r="AP137" s="205">
        <f t="shared" si="38"/>
        <v>56624.036769999999</v>
      </c>
      <c r="AQ137" s="205"/>
      <c r="AR137" s="64">
        <v>25330.663190000003</v>
      </c>
      <c r="AS137" s="64">
        <v>3270.26485</v>
      </c>
      <c r="AT137" s="64">
        <v>2984.37212</v>
      </c>
      <c r="AU137" s="205">
        <f t="shared" si="39"/>
        <v>31585.300160000003</v>
      </c>
      <c r="AV137" s="205"/>
      <c r="AW137" s="64">
        <v>24131.737443633541</v>
      </c>
      <c r="AX137" s="64">
        <v>3374.2911842632388</v>
      </c>
      <c r="AY137" s="64">
        <v>2483.0140046270908</v>
      </c>
      <c r="AZ137" s="205">
        <f t="shared" si="40"/>
        <v>29989.04263252387</v>
      </c>
      <c r="BA137" s="205"/>
      <c r="BB137" s="64">
        <v>25514.595926011028</v>
      </c>
      <c r="BC137" s="64">
        <v>3383.1002918498248</v>
      </c>
      <c r="BD137" s="64">
        <v>2512.8101726826158</v>
      </c>
      <c r="BE137" s="205">
        <f t="shared" si="35"/>
        <v>31410.506390543469</v>
      </c>
      <c r="BF137" s="205"/>
      <c r="BG137" s="64">
        <v>26625.86771147075</v>
      </c>
      <c r="BH137" s="64">
        <v>3417.9200450441267</v>
      </c>
      <c r="BI137" s="64">
        <v>2634.8325751957186</v>
      </c>
      <c r="BJ137" s="205">
        <f t="shared" si="41"/>
        <v>32678.620331710597</v>
      </c>
      <c r="BK137" s="205"/>
      <c r="BL137" s="64">
        <v>27472.402803138535</v>
      </c>
      <c r="BM137" s="64">
        <v>3459.8636620432758</v>
      </c>
      <c r="BN137" s="64">
        <v>2792.3266063463516</v>
      </c>
      <c r="BO137" s="205">
        <f t="shared" si="42"/>
        <v>33724.593071528165</v>
      </c>
      <c r="BQ137" s="64">
        <v>28398.010508872329</v>
      </c>
      <c r="BR137" s="64">
        <v>3500.4643488158918</v>
      </c>
      <c r="BS137" s="64">
        <v>2890.2283013859337</v>
      </c>
      <c r="BT137" s="205">
        <f t="shared" si="43"/>
        <v>34788.703159074154</v>
      </c>
      <c r="BU137" s="205"/>
      <c r="BV137" s="5">
        <f t="shared" si="44"/>
        <v>49872</v>
      </c>
      <c r="BW137" s="5">
        <f t="shared" si="45"/>
        <v>50679</v>
      </c>
      <c r="BX137" s="5">
        <f t="shared" si="46"/>
        <v>53484.818330000002</v>
      </c>
      <c r="BY137" s="5">
        <f t="shared" si="47"/>
        <v>56624.036769999999</v>
      </c>
      <c r="BZ137" s="5">
        <f t="shared" si="48"/>
        <v>31585.300160000003</v>
      </c>
      <c r="CA137" s="5">
        <f t="shared" si="49"/>
        <v>29989.04263252387</v>
      </c>
      <c r="CB137" s="5">
        <f t="shared" si="50"/>
        <v>31410.506390543469</v>
      </c>
      <c r="CC137" s="5">
        <f t="shared" si="51"/>
        <v>32678.620331710597</v>
      </c>
      <c r="CD137" s="5">
        <f t="shared" si="52"/>
        <v>33724.593071528165</v>
      </c>
      <c r="CE137" s="5">
        <f t="shared" si="60"/>
        <v>34788.703159074154</v>
      </c>
      <c r="CH137" s="41">
        <f>BV137/'1. Väestöennuste'!I137*1000</f>
        <v>3492.9261801372741</v>
      </c>
      <c r="CI137" s="41">
        <f>BW137/'1. Väestöennuste'!J137*1000</f>
        <v>3563.6734406863088</v>
      </c>
      <c r="CJ137" s="41">
        <f>BX137/'1. Väestöennuste'!K137*1000</f>
        <v>3765.7409230444273</v>
      </c>
      <c r="CK137" s="41">
        <f>BY137/'1. Väestöennuste'!L137*1000</f>
        <v>4016.1739676572806</v>
      </c>
      <c r="CL137" s="41">
        <f>BZ137/'1. Väestöennuste'!M137*1000</f>
        <v>2252.2318996006848</v>
      </c>
      <c r="CM137" s="41">
        <f>CA137/'1. Väestöennuste'!N137*1000</f>
        <v>2160.9052192335976</v>
      </c>
      <c r="CN137" s="41">
        <f>CB137/'1. Väestöennuste'!O137*1000</f>
        <v>2278.2698477220188</v>
      </c>
      <c r="CO137" s="41">
        <f>CC137/'1. Väestöennuste'!P137*1000</f>
        <v>2385.30075413946</v>
      </c>
      <c r="CP137" s="41">
        <f>CD137/'1. Väestöennuste'!Q137*1000</f>
        <v>2478.2916719229984</v>
      </c>
      <c r="CQ137" s="41">
        <f>CE137/'1. Väestöennuste'!R137*1000</f>
        <v>2573.5096285748009</v>
      </c>
      <c r="CR137" s="41"/>
      <c r="CU137" s="159">
        <f t="shared" si="53"/>
        <v>70.747260549034763</v>
      </c>
      <c r="CV137" s="159">
        <f t="shared" si="54"/>
        <v>202.06748235811847</v>
      </c>
      <c r="CW137" s="159">
        <f t="shared" si="55"/>
        <v>250.43304461285334</v>
      </c>
      <c r="CX137" s="159">
        <f t="shared" si="56"/>
        <v>-1763.9420680565959</v>
      </c>
      <c r="CY137" s="159">
        <f t="shared" si="57"/>
        <v>-91.326680367087192</v>
      </c>
      <c r="CZ137" s="159">
        <f t="shared" si="58"/>
        <v>117.3646284884212</v>
      </c>
      <c r="DA137" s="159">
        <f t="shared" si="61"/>
        <v>107.0309064174412</v>
      </c>
      <c r="DB137" s="159">
        <f t="shared" si="62"/>
        <v>92.990917783538407</v>
      </c>
      <c r="DC137" s="159">
        <f t="shared" si="62"/>
        <v>95.217956651802524</v>
      </c>
    </row>
    <row r="138" spans="1:107" x14ac:dyDescent="0.2">
      <c r="A138" s="99">
        <v>13</v>
      </c>
      <c r="B138" s="30">
        <v>410</v>
      </c>
      <c r="C138" s="47" t="s">
        <v>452</v>
      </c>
      <c r="D138" s="64">
        <v>58341.254770000007</v>
      </c>
      <c r="E138" s="64">
        <v>4754.0329000000002</v>
      </c>
      <c r="F138" s="64">
        <v>2224.22496</v>
      </c>
      <c r="G138" s="205">
        <v>62306</v>
      </c>
      <c r="H138" s="205"/>
      <c r="I138" s="64">
        <v>59865</v>
      </c>
      <c r="J138" s="64">
        <v>4824</v>
      </c>
      <c r="K138" s="64">
        <v>2057</v>
      </c>
      <c r="L138" s="205">
        <v>66746</v>
      </c>
      <c r="M138" s="205"/>
      <c r="N138" s="64">
        <v>60612</v>
      </c>
      <c r="O138" s="64">
        <v>4713</v>
      </c>
      <c r="P138" s="64">
        <v>2606</v>
      </c>
      <c r="Q138" s="205">
        <v>67931</v>
      </c>
      <c r="R138" s="205"/>
      <c r="S138" s="64">
        <v>58865</v>
      </c>
      <c r="T138" s="64">
        <v>4754</v>
      </c>
      <c r="U138" s="64">
        <v>2511</v>
      </c>
      <c r="V138" s="205">
        <v>66130</v>
      </c>
      <c r="W138" s="205"/>
      <c r="X138" s="64">
        <v>60024</v>
      </c>
      <c r="Y138" s="64">
        <v>4860</v>
      </c>
      <c r="Z138" s="64">
        <v>2696</v>
      </c>
      <c r="AA138" s="205">
        <f t="shared" si="59"/>
        <v>67580</v>
      </c>
      <c r="AB138" s="205"/>
      <c r="AC138" s="64">
        <v>63721</v>
      </c>
      <c r="AD138" s="64">
        <v>5178</v>
      </c>
      <c r="AE138" s="64">
        <v>2857</v>
      </c>
      <c r="AF138" s="205">
        <f t="shared" si="36"/>
        <v>71756</v>
      </c>
      <c r="AG138" s="205"/>
      <c r="AH138" s="278">
        <v>65449.568679999997</v>
      </c>
      <c r="AI138" s="64">
        <v>5853.3797000000004</v>
      </c>
      <c r="AJ138" s="64">
        <v>4117.9081900000001</v>
      </c>
      <c r="AK138" s="205">
        <f t="shared" si="37"/>
        <v>75420.856570000004</v>
      </c>
      <c r="AL138" s="205"/>
      <c r="AM138" s="64">
        <v>67984.998730000007</v>
      </c>
      <c r="AN138" s="64">
        <v>6213.2695100000001</v>
      </c>
      <c r="AO138" s="64">
        <v>4404.7226600000004</v>
      </c>
      <c r="AP138" s="205">
        <f t="shared" si="38"/>
        <v>78602.990900000004</v>
      </c>
      <c r="AQ138" s="205"/>
      <c r="AR138" s="64">
        <v>34960.562250000003</v>
      </c>
      <c r="AS138" s="64">
        <v>6562.6594400000004</v>
      </c>
      <c r="AT138" s="64">
        <v>2803.9677099999999</v>
      </c>
      <c r="AU138" s="205">
        <f t="shared" si="39"/>
        <v>44327.189400000003</v>
      </c>
      <c r="AV138" s="205"/>
      <c r="AW138" s="64">
        <v>36858.975477906861</v>
      </c>
      <c r="AX138" s="64">
        <v>6663.1603180292022</v>
      </c>
      <c r="AY138" s="64">
        <v>2148.0630879828682</v>
      </c>
      <c r="AZ138" s="205">
        <f t="shared" si="40"/>
        <v>45670.198883918929</v>
      </c>
      <c r="BA138" s="205"/>
      <c r="BB138" s="64">
        <v>39464.753689937403</v>
      </c>
      <c r="BC138" s="64">
        <v>6769.0756639624478</v>
      </c>
      <c r="BD138" s="64">
        <v>2173.8398450386626</v>
      </c>
      <c r="BE138" s="205">
        <f t="shared" si="35"/>
        <v>48407.669198938507</v>
      </c>
      <c r="BF138" s="205"/>
      <c r="BG138" s="64">
        <v>41436.874553287606</v>
      </c>
      <c r="BH138" s="64">
        <v>6929.1573780454546</v>
      </c>
      <c r="BI138" s="64">
        <v>2279.4018025052496</v>
      </c>
      <c r="BJ138" s="205">
        <f t="shared" si="41"/>
        <v>50645.433733838312</v>
      </c>
      <c r="BK138" s="205"/>
      <c r="BL138" s="64">
        <v>42981.083535493584</v>
      </c>
      <c r="BM138" s="64">
        <v>7106.7170068021924</v>
      </c>
      <c r="BN138" s="64">
        <v>2415.6503755144486</v>
      </c>
      <c r="BO138" s="205">
        <f t="shared" si="42"/>
        <v>52503.450917810231</v>
      </c>
      <c r="BQ138" s="64">
        <v>44709.810919654119</v>
      </c>
      <c r="BR138" s="64">
        <v>7284.7549365961395</v>
      </c>
      <c r="BS138" s="64">
        <v>2500.3454344120587</v>
      </c>
      <c r="BT138" s="205">
        <f t="shared" si="43"/>
        <v>54494.91129066232</v>
      </c>
      <c r="BU138" s="205"/>
      <c r="BV138" s="5">
        <f t="shared" si="44"/>
        <v>67580</v>
      </c>
      <c r="BW138" s="5">
        <f t="shared" si="45"/>
        <v>71756</v>
      </c>
      <c r="BX138" s="5">
        <f t="shared" si="46"/>
        <v>75420.856570000004</v>
      </c>
      <c r="BY138" s="5">
        <f t="shared" si="47"/>
        <v>78602.990900000004</v>
      </c>
      <c r="BZ138" s="5">
        <f t="shared" si="48"/>
        <v>44327.189400000003</v>
      </c>
      <c r="CA138" s="5">
        <f t="shared" si="49"/>
        <v>45670.198883918929</v>
      </c>
      <c r="CB138" s="5">
        <f t="shared" si="50"/>
        <v>48407.669198938507</v>
      </c>
      <c r="CC138" s="5">
        <f t="shared" si="51"/>
        <v>50645.433733838312</v>
      </c>
      <c r="CD138" s="5">
        <f t="shared" si="52"/>
        <v>52503.450917810231</v>
      </c>
      <c r="CE138" s="5">
        <f t="shared" si="60"/>
        <v>54494.91129066232</v>
      </c>
      <c r="CH138" s="41">
        <f>BV138/'1. Väestöennuste'!I138*1000</f>
        <v>3575.0939004390834</v>
      </c>
      <c r="CI138" s="41">
        <f>BW138/'1. Väestöennuste'!J138*1000</f>
        <v>3812.1447165701534</v>
      </c>
      <c r="CJ138" s="41">
        <f>BX138/'1. Väestöennuste'!K138*1000</f>
        <v>4014.3100154353847</v>
      </c>
      <c r="CK138" s="41">
        <f>BY138/'1. Väestöennuste'!L138*1000</f>
        <v>4186.5774114513979</v>
      </c>
      <c r="CL138" s="41">
        <f>BZ138/'1. Väestöennuste'!M138*1000</f>
        <v>2362.6047009913655</v>
      </c>
      <c r="CM138" s="41">
        <f>CA138/'1. Väestöennuste'!N138*1000</f>
        <v>2436.1337218711756</v>
      </c>
      <c r="CN138" s="41">
        <f>CB138/'1. Väestöennuste'!O138*1000</f>
        <v>2586.8470688258699</v>
      </c>
      <c r="CO138" s="41">
        <f>CC138/'1. Väestöennuste'!P138*1000</f>
        <v>2712.0827746512964</v>
      </c>
      <c r="CP138" s="41">
        <f>CD138/'1. Väestöennuste'!Q138*1000</f>
        <v>2817.6156980685969</v>
      </c>
      <c r="CQ138" s="41">
        <f>CE138/'1. Väestöennuste'!R138*1000</f>
        <v>2931.4099672222869</v>
      </c>
      <c r="CR138" s="41"/>
      <c r="CU138" s="159">
        <f t="shared" si="53"/>
        <v>237.05081613106995</v>
      </c>
      <c r="CV138" s="159">
        <f t="shared" si="54"/>
        <v>202.16529886523131</v>
      </c>
      <c r="CW138" s="159">
        <f t="shared" si="55"/>
        <v>172.26739601601321</v>
      </c>
      <c r="CX138" s="159">
        <f t="shared" si="56"/>
        <v>-1823.9727104600324</v>
      </c>
      <c r="CY138" s="159">
        <f t="shared" si="57"/>
        <v>73.529020879810105</v>
      </c>
      <c r="CZ138" s="159">
        <f t="shared" si="58"/>
        <v>150.71334695469432</v>
      </c>
      <c r="DA138" s="159">
        <f t="shared" si="61"/>
        <v>125.23570582542652</v>
      </c>
      <c r="DB138" s="159">
        <f t="shared" si="62"/>
        <v>105.53292341730048</v>
      </c>
      <c r="DC138" s="159">
        <f t="shared" si="62"/>
        <v>113.79426915369004</v>
      </c>
    </row>
    <row r="139" spans="1:107" x14ac:dyDescent="0.2">
      <c r="A139" s="99">
        <v>9</v>
      </c>
      <c r="B139" s="30">
        <v>416</v>
      </c>
      <c r="C139" s="47" t="s">
        <v>453</v>
      </c>
      <c r="D139" s="64">
        <v>9087.0038199999999</v>
      </c>
      <c r="E139" s="64">
        <v>784.44299000000001</v>
      </c>
      <c r="F139" s="64">
        <v>512.99078999999995</v>
      </c>
      <c r="G139" s="205">
        <v>10385</v>
      </c>
      <c r="H139" s="205"/>
      <c r="I139" s="64">
        <v>9579</v>
      </c>
      <c r="J139" s="64">
        <v>813</v>
      </c>
      <c r="K139" s="64">
        <v>486</v>
      </c>
      <c r="L139" s="205">
        <v>10878</v>
      </c>
      <c r="M139" s="205"/>
      <c r="N139" s="64">
        <v>9242</v>
      </c>
      <c r="O139" s="64">
        <v>815</v>
      </c>
      <c r="P139" s="64">
        <v>520</v>
      </c>
      <c r="Q139" s="205">
        <v>10577</v>
      </c>
      <c r="R139" s="205"/>
      <c r="S139" s="64">
        <v>9046</v>
      </c>
      <c r="T139" s="64">
        <v>816</v>
      </c>
      <c r="U139" s="64">
        <v>421</v>
      </c>
      <c r="V139" s="205">
        <v>10283</v>
      </c>
      <c r="W139" s="205"/>
      <c r="X139" s="64">
        <v>9048</v>
      </c>
      <c r="Y139" s="64">
        <v>841</v>
      </c>
      <c r="Z139" s="64">
        <v>401</v>
      </c>
      <c r="AA139" s="205">
        <f t="shared" si="59"/>
        <v>10290</v>
      </c>
      <c r="AB139" s="205"/>
      <c r="AC139" s="64">
        <v>9537</v>
      </c>
      <c r="AD139" s="64">
        <v>843</v>
      </c>
      <c r="AE139" s="64">
        <v>458</v>
      </c>
      <c r="AF139" s="205">
        <f t="shared" si="36"/>
        <v>10838</v>
      </c>
      <c r="AG139" s="205"/>
      <c r="AH139" s="278">
        <v>10527.579109999999</v>
      </c>
      <c r="AI139" s="64">
        <v>942.28088000000002</v>
      </c>
      <c r="AJ139" s="64">
        <v>685.32168000000001</v>
      </c>
      <c r="AK139" s="205">
        <f t="shared" si="37"/>
        <v>12155.181669999998</v>
      </c>
      <c r="AL139" s="205"/>
      <c r="AM139" s="64">
        <v>10209.56048</v>
      </c>
      <c r="AN139" s="64">
        <v>987.37868000000003</v>
      </c>
      <c r="AO139" s="64">
        <v>635.39837</v>
      </c>
      <c r="AP139" s="205">
        <f t="shared" si="38"/>
        <v>11832.337530000001</v>
      </c>
      <c r="AQ139" s="205"/>
      <c r="AR139" s="64">
        <v>5332.8798399999996</v>
      </c>
      <c r="AS139" s="64">
        <v>984.19031000000007</v>
      </c>
      <c r="AT139" s="64">
        <v>360.97571999999997</v>
      </c>
      <c r="AU139" s="205">
        <f t="shared" si="39"/>
        <v>6678.0458699999999</v>
      </c>
      <c r="AV139" s="205"/>
      <c r="AW139" s="64">
        <v>5426.8300557860885</v>
      </c>
      <c r="AX139" s="64">
        <v>1200.1952088310891</v>
      </c>
      <c r="AY139" s="64">
        <v>306.37544172731191</v>
      </c>
      <c r="AZ139" s="205">
        <f t="shared" si="40"/>
        <v>6933.4007063444897</v>
      </c>
      <c r="BA139" s="205"/>
      <c r="BB139" s="64">
        <v>5776.0071748882565</v>
      </c>
      <c r="BC139" s="64">
        <v>1213.6441351627011</v>
      </c>
      <c r="BD139" s="64">
        <v>310.05194702803965</v>
      </c>
      <c r="BE139" s="205">
        <f t="shared" si="35"/>
        <v>7299.703257078997</v>
      </c>
      <c r="BF139" s="205"/>
      <c r="BG139" s="64">
        <v>6040.7088934877565</v>
      </c>
      <c r="BH139" s="64">
        <v>1236.6531598041513</v>
      </c>
      <c r="BI139" s="64">
        <v>325.10811159292473</v>
      </c>
      <c r="BJ139" s="205">
        <f t="shared" si="41"/>
        <v>7602.4701648848322</v>
      </c>
      <c r="BK139" s="205"/>
      <c r="BL139" s="64">
        <v>6234.4389177958647</v>
      </c>
      <c r="BM139" s="64">
        <v>1262.5728762925194</v>
      </c>
      <c r="BN139" s="64">
        <v>344.54106818248562</v>
      </c>
      <c r="BO139" s="205">
        <f t="shared" si="42"/>
        <v>7841.5528622708698</v>
      </c>
      <c r="BQ139" s="64">
        <v>6439.7512681770222</v>
      </c>
      <c r="BR139" s="64">
        <v>1288.3566084711706</v>
      </c>
      <c r="BS139" s="64">
        <v>356.62101417059108</v>
      </c>
      <c r="BT139" s="205">
        <f t="shared" si="43"/>
        <v>8084.7288908187847</v>
      </c>
      <c r="BU139" s="205"/>
      <c r="BV139" s="5">
        <f t="shared" si="44"/>
        <v>10290</v>
      </c>
      <c r="BW139" s="5">
        <f t="shared" si="45"/>
        <v>10838</v>
      </c>
      <c r="BX139" s="5">
        <f t="shared" si="46"/>
        <v>12155.181669999998</v>
      </c>
      <c r="BY139" s="5">
        <f t="shared" si="47"/>
        <v>11832.337530000001</v>
      </c>
      <c r="BZ139" s="5">
        <f t="shared" si="48"/>
        <v>6678.0458699999999</v>
      </c>
      <c r="CA139" s="5">
        <f t="shared" si="49"/>
        <v>6933.4007063444897</v>
      </c>
      <c r="CB139" s="5">
        <f t="shared" si="50"/>
        <v>7299.703257078997</v>
      </c>
      <c r="CC139" s="5">
        <f t="shared" si="51"/>
        <v>7602.4701648848322</v>
      </c>
      <c r="CD139" s="5">
        <f t="shared" si="52"/>
        <v>7841.5528622708698</v>
      </c>
      <c r="CE139" s="5">
        <f t="shared" si="60"/>
        <v>8084.7288908187847</v>
      </c>
      <c r="CH139" s="41">
        <f>BV139/'1. Väestöennuste'!I139*1000</f>
        <v>3463.4803096600472</v>
      </c>
      <c r="CI139" s="41">
        <f>BW139/'1. Väestöennuste'!J139*1000</f>
        <v>3656.5452091767884</v>
      </c>
      <c r="CJ139" s="41">
        <f>BX139/'1. Väestöennuste'!K139*1000</f>
        <v>4167.0146280425088</v>
      </c>
      <c r="CK139" s="41">
        <f>BY139/'1. Väestöennuste'!L139*1000</f>
        <v>4099.9090540540537</v>
      </c>
      <c r="CL139" s="41">
        <f>BZ139/'1. Väestöennuste'!M139*1000</f>
        <v>2333.3493605870021</v>
      </c>
      <c r="CM139" s="41">
        <f>CA139/'1. Väestöennuste'!N139*1000</f>
        <v>2404.0917844467717</v>
      </c>
      <c r="CN139" s="41">
        <f>CB139/'1. Väestöennuste'!O139*1000</f>
        <v>2547.000438617933</v>
      </c>
      <c r="CO139" s="41">
        <f>CC139/'1. Väestöennuste'!P139*1000</f>
        <v>2671.2825596924922</v>
      </c>
      <c r="CP139" s="41">
        <f>CD139/'1. Väestöennuste'!Q139*1000</f>
        <v>2776.7538464131976</v>
      </c>
      <c r="CQ139" s="41">
        <f>CE139/'1. Väestöennuste'!R139*1000</f>
        <v>2885.3422165663046</v>
      </c>
      <c r="CR139" s="41"/>
      <c r="CU139" s="159">
        <f t="shared" si="53"/>
        <v>193.06489951674121</v>
      </c>
      <c r="CV139" s="159">
        <f t="shared" si="54"/>
        <v>510.4694188657204</v>
      </c>
      <c r="CW139" s="159">
        <f t="shared" si="55"/>
        <v>-67.105573988455035</v>
      </c>
      <c r="CX139" s="159">
        <f t="shared" si="56"/>
        <v>-1766.5596934670516</v>
      </c>
      <c r="CY139" s="159">
        <f t="shared" si="57"/>
        <v>70.742423859769588</v>
      </c>
      <c r="CZ139" s="159">
        <f t="shared" si="58"/>
        <v>142.90865417116129</v>
      </c>
      <c r="DA139" s="159">
        <f t="shared" si="61"/>
        <v>124.2821210745592</v>
      </c>
      <c r="DB139" s="159">
        <f t="shared" si="62"/>
        <v>105.47128672070539</v>
      </c>
      <c r="DC139" s="159">
        <f t="shared" si="62"/>
        <v>108.58837015310701</v>
      </c>
    </row>
    <row r="140" spans="1:107" x14ac:dyDescent="0.2">
      <c r="A140" s="99">
        <v>6</v>
      </c>
      <c r="B140" s="30">
        <v>418</v>
      </c>
      <c r="C140" s="47" t="s">
        <v>454</v>
      </c>
      <c r="D140" s="64">
        <v>79549.005409999998</v>
      </c>
      <c r="E140" s="64">
        <v>5220.9458600000007</v>
      </c>
      <c r="F140" s="64">
        <v>3812.2862</v>
      </c>
      <c r="G140" s="205">
        <v>88548</v>
      </c>
      <c r="H140" s="205"/>
      <c r="I140" s="64">
        <v>83808</v>
      </c>
      <c r="J140" s="64">
        <v>5243</v>
      </c>
      <c r="K140" s="64">
        <v>3901</v>
      </c>
      <c r="L140" s="205">
        <v>92952</v>
      </c>
      <c r="M140" s="205"/>
      <c r="N140" s="64">
        <v>83968</v>
      </c>
      <c r="O140" s="64">
        <v>5313</v>
      </c>
      <c r="P140" s="64">
        <v>4684</v>
      </c>
      <c r="Q140" s="205">
        <v>93965</v>
      </c>
      <c r="R140" s="205"/>
      <c r="S140" s="64">
        <v>82103</v>
      </c>
      <c r="T140" s="64">
        <v>5572</v>
      </c>
      <c r="U140" s="64">
        <v>4275</v>
      </c>
      <c r="V140" s="205">
        <v>91950</v>
      </c>
      <c r="W140" s="205"/>
      <c r="X140" s="64">
        <v>87219</v>
      </c>
      <c r="Y140" s="64">
        <v>5869</v>
      </c>
      <c r="Z140" s="64">
        <v>4091</v>
      </c>
      <c r="AA140" s="205">
        <f t="shared" si="59"/>
        <v>97179</v>
      </c>
      <c r="AB140" s="205"/>
      <c r="AC140" s="64">
        <v>92572</v>
      </c>
      <c r="AD140" s="64">
        <v>5192</v>
      </c>
      <c r="AE140" s="64">
        <v>4756</v>
      </c>
      <c r="AF140" s="205">
        <f t="shared" si="36"/>
        <v>102520</v>
      </c>
      <c r="AG140" s="205"/>
      <c r="AH140" s="278">
        <v>96010.89409999999</v>
      </c>
      <c r="AI140" s="64">
        <v>5896.7658600000004</v>
      </c>
      <c r="AJ140" s="64">
        <v>6934.9628499999999</v>
      </c>
      <c r="AK140" s="205">
        <f t="shared" si="37"/>
        <v>108842.62280999999</v>
      </c>
      <c r="AL140" s="205"/>
      <c r="AM140" s="64">
        <v>102505.88140000001</v>
      </c>
      <c r="AN140" s="64">
        <v>6409.8821600000001</v>
      </c>
      <c r="AO140" s="64">
        <v>7490.9261500000002</v>
      </c>
      <c r="AP140" s="205">
        <f t="shared" si="38"/>
        <v>116406.68971000001</v>
      </c>
      <c r="AQ140" s="205"/>
      <c r="AR140" s="64">
        <v>51653.214110000001</v>
      </c>
      <c r="AS140" s="64">
        <v>6854.6076800000001</v>
      </c>
      <c r="AT140" s="64">
        <v>5359.7432099999996</v>
      </c>
      <c r="AU140" s="205">
        <f t="shared" si="39"/>
        <v>63867.565000000002</v>
      </c>
      <c r="AV140" s="205"/>
      <c r="AW140" s="64">
        <v>50061.961443515633</v>
      </c>
      <c r="AX140" s="64">
        <v>7428.4776064625585</v>
      </c>
      <c r="AY140" s="64">
        <v>3910.2387218101121</v>
      </c>
      <c r="AZ140" s="205">
        <f t="shared" si="40"/>
        <v>61400.677771788301</v>
      </c>
      <c r="BA140" s="205"/>
      <c r="BB140" s="64">
        <v>53807.07438354694</v>
      </c>
      <c r="BC140" s="64">
        <v>7522.4404526320532</v>
      </c>
      <c r="BD140" s="64">
        <v>3957.1615864718328</v>
      </c>
      <c r="BE140" s="205">
        <f t="shared" si="35"/>
        <v>65286.676422650824</v>
      </c>
      <c r="BF140" s="205"/>
      <c r="BG140" s="64">
        <v>56752.838492372422</v>
      </c>
      <c r="BH140" s="64">
        <v>7678.2827800856385</v>
      </c>
      <c r="BI140" s="64">
        <v>4149.321889372216</v>
      </c>
      <c r="BJ140" s="205">
        <f t="shared" si="41"/>
        <v>68580.443161830277</v>
      </c>
      <c r="BK140" s="205"/>
      <c r="BL140" s="64">
        <v>59178.89885249381</v>
      </c>
      <c r="BM140" s="64">
        <v>7855.1666195856078</v>
      </c>
      <c r="BN140" s="64">
        <v>4397.3427454413149</v>
      </c>
      <c r="BO140" s="205">
        <f t="shared" si="42"/>
        <v>71431.40821752073</v>
      </c>
      <c r="BQ140" s="64">
        <v>61798.626615665213</v>
      </c>
      <c r="BR140" s="64">
        <v>8034.4561798579562</v>
      </c>
      <c r="BS140" s="64">
        <v>4551.5178721869706</v>
      </c>
      <c r="BT140" s="205">
        <f t="shared" si="43"/>
        <v>74384.60066771014</v>
      </c>
      <c r="BU140" s="205"/>
      <c r="BV140" s="5">
        <f t="shared" si="44"/>
        <v>97179</v>
      </c>
      <c r="BW140" s="5">
        <f t="shared" si="45"/>
        <v>102520</v>
      </c>
      <c r="BX140" s="5">
        <f t="shared" si="46"/>
        <v>108842.62280999999</v>
      </c>
      <c r="BY140" s="5">
        <f t="shared" si="47"/>
        <v>116406.68971000001</v>
      </c>
      <c r="BZ140" s="5">
        <f t="shared" si="48"/>
        <v>63867.565000000002</v>
      </c>
      <c r="CA140" s="5">
        <f t="shared" si="49"/>
        <v>61400.677771788301</v>
      </c>
      <c r="CB140" s="5">
        <f t="shared" si="50"/>
        <v>65286.676422650824</v>
      </c>
      <c r="CC140" s="5">
        <f t="shared" si="51"/>
        <v>68580.443161830277</v>
      </c>
      <c r="CD140" s="5">
        <f t="shared" si="52"/>
        <v>71431.40821752073</v>
      </c>
      <c r="CE140" s="5">
        <f t="shared" si="60"/>
        <v>74384.60066771014</v>
      </c>
      <c r="CH140" s="41">
        <f>BV140/'1. Väestöennuste'!I140*1000</f>
        <v>4131.2332610636404</v>
      </c>
      <c r="CI140" s="41">
        <f>BW140/'1. Väestöennuste'!J140*1000</f>
        <v>4302.5012590229981</v>
      </c>
      <c r="CJ140" s="41">
        <f>BX140/'1. Väestöennuste'!K140*1000</f>
        <v>4504.3296974838595</v>
      </c>
      <c r="CK140" s="41">
        <f>BY140/'1. Väestöennuste'!L140*1000</f>
        <v>4735.8295244100891</v>
      </c>
      <c r="CL140" s="41">
        <f>BZ140/'1. Väestöennuste'!M140*1000</f>
        <v>2584.5803488325037</v>
      </c>
      <c r="CM140" s="41">
        <f>CA140/'1. Väestöennuste'!N140*1000</f>
        <v>2487.5694920304786</v>
      </c>
      <c r="CN140" s="41">
        <f>CB140/'1. Väestöennuste'!O140*1000</f>
        <v>2626.5962513135996</v>
      </c>
      <c r="CO140" s="41">
        <f>CC140/'1. Väestöennuste'!P140*1000</f>
        <v>2741.5727828035288</v>
      </c>
      <c r="CP140" s="41">
        <f>CD140/'1. Väestöennuste'!Q140*1000</f>
        <v>2839.4247413253061</v>
      </c>
      <c r="CQ140" s="41">
        <f>CE140/'1. Väestöennuste'!R140*1000</f>
        <v>2941.3816547791589</v>
      </c>
      <c r="CR140" s="41"/>
      <c r="CU140" s="159">
        <f t="shared" si="53"/>
        <v>171.26799795935767</v>
      </c>
      <c r="CV140" s="159">
        <f t="shared" si="54"/>
        <v>201.82843846086143</v>
      </c>
      <c r="CW140" s="159">
        <f t="shared" si="55"/>
        <v>231.49982692622962</v>
      </c>
      <c r="CX140" s="159">
        <f t="shared" si="56"/>
        <v>-2151.2491755775854</v>
      </c>
      <c r="CY140" s="159">
        <f t="shared" si="57"/>
        <v>-97.010856802025046</v>
      </c>
      <c r="CZ140" s="159">
        <f t="shared" si="58"/>
        <v>139.02675928312101</v>
      </c>
      <c r="DA140" s="159">
        <f t="shared" si="61"/>
        <v>114.97653148992913</v>
      </c>
      <c r="DB140" s="159">
        <f t="shared" si="62"/>
        <v>97.851958521777306</v>
      </c>
      <c r="DC140" s="159">
        <f t="shared" si="62"/>
        <v>101.95691345385285</v>
      </c>
    </row>
    <row r="141" spans="1:107" x14ac:dyDescent="0.2">
      <c r="A141" s="99">
        <v>11</v>
      </c>
      <c r="B141" s="30">
        <v>420</v>
      </c>
      <c r="C141" s="47" t="s">
        <v>455</v>
      </c>
      <c r="D141" s="64">
        <v>28488.0416</v>
      </c>
      <c r="E141" s="64">
        <v>2275.2176400000003</v>
      </c>
      <c r="F141" s="64">
        <v>2341.9463599999999</v>
      </c>
      <c r="G141" s="205">
        <v>33099</v>
      </c>
      <c r="H141" s="205"/>
      <c r="I141" s="64">
        <v>28524</v>
      </c>
      <c r="J141" s="64">
        <v>2346</v>
      </c>
      <c r="K141" s="64">
        <v>2317</v>
      </c>
      <c r="L141" s="205">
        <v>33185</v>
      </c>
      <c r="M141" s="205"/>
      <c r="N141" s="64">
        <v>27957</v>
      </c>
      <c r="O141" s="64">
        <v>2420</v>
      </c>
      <c r="P141" s="64">
        <v>2821</v>
      </c>
      <c r="Q141" s="205">
        <v>33198</v>
      </c>
      <c r="R141" s="205"/>
      <c r="S141" s="64">
        <v>29588</v>
      </c>
      <c r="T141" s="64">
        <v>2499</v>
      </c>
      <c r="U141" s="64">
        <v>2598</v>
      </c>
      <c r="V141" s="205">
        <v>34685</v>
      </c>
      <c r="W141" s="205"/>
      <c r="X141" s="64">
        <v>29588</v>
      </c>
      <c r="Y141" s="64">
        <v>2574</v>
      </c>
      <c r="Z141" s="64">
        <v>2627</v>
      </c>
      <c r="AA141" s="205">
        <f t="shared" si="59"/>
        <v>34789</v>
      </c>
      <c r="AB141" s="205"/>
      <c r="AC141" s="64">
        <v>30016</v>
      </c>
      <c r="AD141" s="64">
        <v>2340</v>
      </c>
      <c r="AE141" s="64">
        <v>3144</v>
      </c>
      <c r="AF141" s="205">
        <f t="shared" si="36"/>
        <v>35500</v>
      </c>
      <c r="AG141" s="205"/>
      <c r="AH141" s="278">
        <v>31586.161030000003</v>
      </c>
      <c r="AI141" s="64">
        <v>2645.8673900000003</v>
      </c>
      <c r="AJ141" s="64">
        <v>4401.3999699999995</v>
      </c>
      <c r="AK141" s="205">
        <f t="shared" si="37"/>
        <v>38633.428390000001</v>
      </c>
      <c r="AL141" s="205"/>
      <c r="AM141" s="64">
        <v>32379.870309999998</v>
      </c>
      <c r="AN141" s="64">
        <v>2805.70469</v>
      </c>
      <c r="AO141" s="64">
        <v>4254.9637499999999</v>
      </c>
      <c r="AP141" s="205">
        <f t="shared" si="38"/>
        <v>39440.53875</v>
      </c>
      <c r="AQ141" s="205"/>
      <c r="AR141" s="64">
        <v>15756.42993</v>
      </c>
      <c r="AS141" s="64">
        <v>2935.6815000000001</v>
      </c>
      <c r="AT141" s="64">
        <v>2630.5432400000004</v>
      </c>
      <c r="AU141" s="205">
        <f t="shared" si="39"/>
        <v>21322.65467</v>
      </c>
      <c r="AV141" s="205"/>
      <c r="AW141" s="64">
        <v>14921.0052637639</v>
      </c>
      <c r="AX141" s="64">
        <v>3208.5968174916202</v>
      </c>
      <c r="AY141" s="64">
        <v>2086.5436124401604</v>
      </c>
      <c r="AZ141" s="205">
        <f t="shared" si="40"/>
        <v>20216.145693695682</v>
      </c>
      <c r="BA141" s="205"/>
      <c r="BB141" s="64">
        <v>15686.018932675219</v>
      </c>
      <c r="BC141" s="64">
        <v>3285.5303829435165</v>
      </c>
      <c r="BD141" s="64">
        <v>2111.582135789442</v>
      </c>
      <c r="BE141" s="205">
        <f t="shared" ref="BE141:BE204" si="63">SUM(BB141:BD141)</f>
        <v>21083.131451408179</v>
      </c>
      <c r="BF141" s="205"/>
      <c r="BG141" s="64">
        <v>16205.06135515453</v>
      </c>
      <c r="BH141" s="64">
        <v>3390.4537947391887</v>
      </c>
      <c r="BI141" s="64">
        <v>2214.1208504579299</v>
      </c>
      <c r="BJ141" s="205">
        <f t="shared" si="41"/>
        <v>21809.636000351649</v>
      </c>
      <c r="BK141" s="205"/>
      <c r="BL141" s="64">
        <v>16609.726520193406</v>
      </c>
      <c r="BM141" s="64">
        <v>3505.9768375658859</v>
      </c>
      <c r="BN141" s="64">
        <v>2346.4673310184203</v>
      </c>
      <c r="BO141" s="205">
        <f t="shared" si="42"/>
        <v>22462.170688777711</v>
      </c>
      <c r="BQ141" s="64">
        <v>17081.148247042162</v>
      </c>
      <c r="BR141" s="64">
        <v>3623.9328717416256</v>
      </c>
      <c r="BS141" s="64">
        <v>2428.7367648803465</v>
      </c>
      <c r="BT141" s="205">
        <f t="shared" si="43"/>
        <v>23133.817883664131</v>
      </c>
      <c r="BU141" s="205"/>
      <c r="BV141" s="5">
        <f t="shared" si="44"/>
        <v>34789</v>
      </c>
      <c r="BW141" s="5">
        <f t="shared" si="45"/>
        <v>35500</v>
      </c>
      <c r="BX141" s="5">
        <f t="shared" si="46"/>
        <v>38633.428390000001</v>
      </c>
      <c r="BY141" s="5">
        <f t="shared" si="47"/>
        <v>39440.53875</v>
      </c>
      <c r="BZ141" s="5">
        <f t="shared" si="48"/>
        <v>21322.65467</v>
      </c>
      <c r="CA141" s="5">
        <f t="shared" si="49"/>
        <v>20216.145693695682</v>
      </c>
      <c r="CB141" s="5">
        <f t="shared" si="50"/>
        <v>21083.131451408179</v>
      </c>
      <c r="CC141" s="5">
        <f t="shared" si="51"/>
        <v>21809.636000351649</v>
      </c>
      <c r="CD141" s="5">
        <f t="shared" si="52"/>
        <v>22462.170688777711</v>
      </c>
      <c r="CE141" s="5">
        <f t="shared" si="60"/>
        <v>23133.817883664131</v>
      </c>
      <c r="CH141" s="41">
        <f>BV141/'1. Väestöennuste'!I141*1000</f>
        <v>3679.8180664269094</v>
      </c>
      <c r="CI141" s="41">
        <f>BW141/'1. Väestöennuste'!J141*1000</f>
        <v>3775.7923845990217</v>
      </c>
      <c r="CJ141" s="41">
        <f>BX141/'1. Väestöennuste'!K141*1000</f>
        <v>4163.0849558189657</v>
      </c>
      <c r="CK141" s="41">
        <f>BY141/'1. Väestöennuste'!L141*1000</f>
        <v>4297.7594802222948</v>
      </c>
      <c r="CL141" s="41">
        <f>BZ141/'1. Väestöennuste'!M141*1000</f>
        <v>2356.3548093712011</v>
      </c>
      <c r="CM141" s="41">
        <f>CA141/'1. Väestöennuste'!N141*1000</f>
        <v>2249.2373936021008</v>
      </c>
      <c r="CN141" s="41">
        <f>CB141/'1. Väestöennuste'!O141*1000</f>
        <v>2371.289107120479</v>
      </c>
      <c r="CO141" s="41">
        <f>CC141/'1. Väestöennuste'!P141*1000</f>
        <v>2479.7766913418591</v>
      </c>
      <c r="CP141" s="41">
        <f>CD141/'1. Väestöennuste'!Q141*1000</f>
        <v>2580.9687106489382</v>
      </c>
      <c r="CQ141" s="41">
        <f>CE141/'1. Väestöennuste'!R141*1000</f>
        <v>2686.5425483293611</v>
      </c>
      <c r="CR141" s="41"/>
      <c r="CU141" s="159">
        <f t="shared" si="53"/>
        <v>95.974318172112362</v>
      </c>
      <c r="CV141" s="159">
        <f t="shared" si="54"/>
        <v>387.29257121994397</v>
      </c>
      <c r="CW141" s="159">
        <f t="shared" si="55"/>
        <v>134.67452440332909</v>
      </c>
      <c r="CX141" s="159">
        <f t="shared" si="56"/>
        <v>-1941.4046708510937</v>
      </c>
      <c r="CY141" s="159">
        <f t="shared" si="57"/>
        <v>-107.11741576910026</v>
      </c>
      <c r="CZ141" s="159">
        <f t="shared" si="58"/>
        <v>122.05171351837816</v>
      </c>
      <c r="DA141" s="159">
        <f t="shared" si="61"/>
        <v>108.48758422138008</v>
      </c>
      <c r="DB141" s="159">
        <f t="shared" si="62"/>
        <v>101.19201930707914</v>
      </c>
      <c r="DC141" s="159">
        <f t="shared" si="62"/>
        <v>105.57383768042291</v>
      </c>
    </row>
    <row r="142" spans="1:107" x14ac:dyDescent="0.2">
      <c r="A142" s="99">
        <v>16</v>
      </c>
      <c r="B142" s="30">
        <v>421</v>
      </c>
      <c r="C142" s="47" t="s">
        <v>456</v>
      </c>
      <c r="D142" s="64">
        <v>1875.4129800000001</v>
      </c>
      <c r="E142" s="64">
        <v>232.04732999999999</v>
      </c>
      <c r="F142" s="64">
        <v>340.21365999999995</v>
      </c>
      <c r="G142" s="205">
        <v>2448</v>
      </c>
      <c r="H142" s="205"/>
      <c r="I142" s="64">
        <v>1681</v>
      </c>
      <c r="J142" s="64">
        <v>245</v>
      </c>
      <c r="K142" s="64">
        <v>330</v>
      </c>
      <c r="L142" s="205">
        <v>2256</v>
      </c>
      <c r="M142" s="205"/>
      <c r="N142" s="64">
        <v>1886</v>
      </c>
      <c r="O142" s="64">
        <v>278</v>
      </c>
      <c r="P142" s="64">
        <v>405</v>
      </c>
      <c r="Q142" s="205">
        <v>2569</v>
      </c>
      <c r="R142" s="205"/>
      <c r="S142" s="64">
        <v>1763</v>
      </c>
      <c r="T142" s="64">
        <v>273</v>
      </c>
      <c r="U142" s="64">
        <v>384</v>
      </c>
      <c r="V142" s="205">
        <v>2420</v>
      </c>
      <c r="W142" s="205"/>
      <c r="X142" s="64">
        <v>1728</v>
      </c>
      <c r="Y142" s="64">
        <v>272</v>
      </c>
      <c r="Z142" s="64">
        <v>381</v>
      </c>
      <c r="AA142" s="205">
        <f t="shared" si="59"/>
        <v>2381</v>
      </c>
      <c r="AB142" s="205"/>
      <c r="AC142" s="64">
        <v>1853</v>
      </c>
      <c r="AD142" s="64">
        <v>245</v>
      </c>
      <c r="AE142" s="64">
        <v>443</v>
      </c>
      <c r="AF142" s="205">
        <f t="shared" si="36"/>
        <v>2541</v>
      </c>
      <c r="AG142" s="205"/>
      <c r="AH142" s="278">
        <v>2026.5264199999999</v>
      </c>
      <c r="AI142" s="64">
        <v>275.21815999999995</v>
      </c>
      <c r="AJ142" s="64">
        <v>677.93205</v>
      </c>
      <c r="AK142" s="205">
        <f t="shared" si="37"/>
        <v>2979.6766299999999</v>
      </c>
      <c r="AL142" s="205"/>
      <c r="AM142" s="64">
        <v>1891.3969999999999</v>
      </c>
      <c r="AN142" s="64">
        <v>288.02800000000002</v>
      </c>
      <c r="AO142" s="64">
        <v>665.39400000000001</v>
      </c>
      <c r="AP142" s="205">
        <f t="shared" si="38"/>
        <v>2844.8190000000004</v>
      </c>
      <c r="AQ142" s="205"/>
      <c r="AR142" s="64">
        <v>880.11967000000004</v>
      </c>
      <c r="AS142" s="64">
        <v>417.22403000000003</v>
      </c>
      <c r="AT142" s="64">
        <v>381.53002000000004</v>
      </c>
      <c r="AU142" s="205">
        <f t="shared" si="39"/>
        <v>1678.87372</v>
      </c>
      <c r="AV142" s="205"/>
      <c r="AW142" s="64">
        <v>973.78070915804358</v>
      </c>
      <c r="AX142" s="64">
        <v>734.34345982077252</v>
      </c>
      <c r="AY142" s="64">
        <v>303.19870441115256</v>
      </c>
      <c r="AZ142" s="205">
        <f t="shared" si="40"/>
        <v>2011.3228733899687</v>
      </c>
      <c r="BA142" s="205"/>
      <c r="BB142" s="64">
        <v>1036.4369110787507</v>
      </c>
      <c r="BC142" s="64">
        <v>775.56236924626376</v>
      </c>
      <c r="BD142" s="64">
        <v>306.83708886408635</v>
      </c>
      <c r="BE142" s="205">
        <f t="shared" si="63"/>
        <v>2118.8363691891009</v>
      </c>
      <c r="BF142" s="205"/>
      <c r="BG142" s="64">
        <v>1065.5091146929758</v>
      </c>
      <c r="BH142" s="64">
        <v>815.72507801532765</v>
      </c>
      <c r="BI142" s="64">
        <v>321.73713948086305</v>
      </c>
      <c r="BJ142" s="205">
        <f t="shared" si="41"/>
        <v>2202.9713321891663</v>
      </c>
      <c r="BK142" s="205"/>
      <c r="BL142" s="64">
        <v>1085.8029093008868</v>
      </c>
      <c r="BM142" s="64">
        <v>859.97871911348261</v>
      </c>
      <c r="BN142" s="64">
        <v>340.96860016065614</v>
      </c>
      <c r="BO142" s="205">
        <f t="shared" si="42"/>
        <v>2286.7502285750256</v>
      </c>
      <c r="BQ142" s="64">
        <v>1122.1517700879415</v>
      </c>
      <c r="BR142" s="64">
        <v>906.49438985015934</v>
      </c>
      <c r="BS142" s="64">
        <v>352.92329193458158</v>
      </c>
      <c r="BT142" s="205">
        <f t="shared" si="43"/>
        <v>2381.5694518726823</v>
      </c>
      <c r="BU142" s="205"/>
      <c r="BV142" s="5">
        <f t="shared" si="44"/>
        <v>2381</v>
      </c>
      <c r="BW142" s="5">
        <f t="shared" si="45"/>
        <v>2541</v>
      </c>
      <c r="BX142" s="5">
        <f t="shared" si="46"/>
        <v>2979.6766299999999</v>
      </c>
      <c r="BY142" s="5">
        <f t="shared" si="47"/>
        <v>2844.8190000000004</v>
      </c>
      <c r="BZ142" s="5">
        <f t="shared" si="48"/>
        <v>1678.87372</v>
      </c>
      <c r="CA142" s="5">
        <f t="shared" si="49"/>
        <v>2011.3228733899687</v>
      </c>
      <c r="CB142" s="5">
        <f t="shared" si="50"/>
        <v>2118.8363691891009</v>
      </c>
      <c r="CC142" s="5">
        <f t="shared" si="51"/>
        <v>2202.9713321891663</v>
      </c>
      <c r="CD142" s="5">
        <f t="shared" si="52"/>
        <v>2286.7502285750256</v>
      </c>
      <c r="CE142" s="5">
        <f t="shared" si="60"/>
        <v>2381.5694518726823</v>
      </c>
      <c r="CH142" s="41">
        <f>BV142/'1. Väestöennuste'!I142*1000</f>
        <v>3311.5438108484009</v>
      </c>
      <c r="CI142" s="41">
        <f>BW142/'1. Väestöennuste'!J142*1000</f>
        <v>3519.3905817174514</v>
      </c>
      <c r="CJ142" s="41">
        <f>BX142/'1. Väestöennuste'!K142*1000</f>
        <v>4144.1955910987481</v>
      </c>
      <c r="CK142" s="41">
        <f>BY142/'1. Väestöennuste'!L142*1000</f>
        <v>4093.264748201439</v>
      </c>
      <c r="CL142" s="41">
        <f>BZ142/'1. Väestöennuste'!M142*1000</f>
        <v>2461.6916715542525</v>
      </c>
      <c r="CM142" s="41">
        <f>CA142/'1. Väestöennuste'!N142*1000</f>
        <v>2966.5529106046733</v>
      </c>
      <c r="CN142" s="41">
        <f>CB142/'1. Väestöennuste'!O142*1000</f>
        <v>3167.1694606713017</v>
      </c>
      <c r="CO142" s="41">
        <f>CC142/'1. Väestöennuste'!P142*1000</f>
        <v>3337.8353518017675</v>
      </c>
      <c r="CP142" s="41">
        <f>CD142/'1. Väestöennuste'!Q142*1000</f>
        <v>3496.5599825306203</v>
      </c>
      <c r="CQ142" s="41">
        <f>CE142/'1. Väestöennuste'!R142*1000</f>
        <v>3680.941965800127</v>
      </c>
      <c r="CR142" s="41"/>
      <c r="CU142" s="159">
        <f t="shared" si="53"/>
        <v>207.84677086905049</v>
      </c>
      <c r="CV142" s="159">
        <f t="shared" si="54"/>
        <v>624.80500938129671</v>
      </c>
      <c r="CW142" s="159">
        <f t="shared" si="55"/>
        <v>-50.930842897309049</v>
      </c>
      <c r="CX142" s="159">
        <f t="shared" si="56"/>
        <v>-1631.5730766471866</v>
      </c>
      <c r="CY142" s="159">
        <f t="shared" si="57"/>
        <v>504.86123905042086</v>
      </c>
      <c r="CZ142" s="159">
        <f t="shared" si="58"/>
        <v>200.61655006662841</v>
      </c>
      <c r="DA142" s="159">
        <f t="shared" si="61"/>
        <v>170.66589113046575</v>
      </c>
      <c r="DB142" s="159">
        <f t="shared" si="62"/>
        <v>158.72463072885284</v>
      </c>
      <c r="DC142" s="159">
        <f t="shared" si="62"/>
        <v>184.38198326950669</v>
      </c>
    </row>
    <row r="143" spans="1:107" x14ac:dyDescent="0.2">
      <c r="A143" s="99">
        <v>12</v>
      </c>
      <c r="B143" s="30">
        <v>422</v>
      </c>
      <c r="C143" s="47" t="s">
        <v>457</v>
      </c>
      <c r="D143" s="64">
        <v>33224.040489999999</v>
      </c>
      <c r="E143" s="64">
        <v>3281.1690800000001</v>
      </c>
      <c r="F143" s="64">
        <v>4422.4973600000003</v>
      </c>
      <c r="G143" s="205">
        <v>40927</v>
      </c>
      <c r="H143" s="205"/>
      <c r="I143" s="64">
        <v>32192</v>
      </c>
      <c r="J143" s="64">
        <v>4303</v>
      </c>
      <c r="K143" s="64">
        <v>3316</v>
      </c>
      <c r="L143" s="205">
        <v>39811</v>
      </c>
      <c r="M143" s="205"/>
      <c r="N143" s="64">
        <v>32294</v>
      </c>
      <c r="O143" s="64">
        <v>3282</v>
      </c>
      <c r="P143" s="64">
        <v>5054</v>
      </c>
      <c r="Q143" s="205">
        <v>40630</v>
      </c>
      <c r="R143" s="205"/>
      <c r="S143" s="64">
        <v>30785</v>
      </c>
      <c r="T143" s="64">
        <v>3277</v>
      </c>
      <c r="U143" s="64">
        <v>4483</v>
      </c>
      <c r="V143" s="205">
        <v>38545</v>
      </c>
      <c r="W143" s="205"/>
      <c r="X143" s="64">
        <v>31086</v>
      </c>
      <c r="Y143" s="64">
        <v>3205</v>
      </c>
      <c r="Z143" s="64">
        <v>4257</v>
      </c>
      <c r="AA143" s="205">
        <f t="shared" si="59"/>
        <v>38548</v>
      </c>
      <c r="AB143" s="205"/>
      <c r="AC143" s="64">
        <v>31798</v>
      </c>
      <c r="AD143" s="64">
        <v>2987</v>
      </c>
      <c r="AE143" s="64">
        <v>4644</v>
      </c>
      <c r="AF143" s="205">
        <f t="shared" ref="AF143:AF206" si="64">SUM(AC143:AE143)</f>
        <v>39429</v>
      </c>
      <c r="AG143" s="205"/>
      <c r="AH143" s="278">
        <v>33113.695379999997</v>
      </c>
      <c r="AI143" s="64">
        <v>3303.7280499999997</v>
      </c>
      <c r="AJ143" s="64">
        <v>6817.7694000000001</v>
      </c>
      <c r="AK143" s="205">
        <f t="shared" ref="AK143:AK206" si="65">SUM(AH143:AJ143)</f>
        <v>43235.192829999993</v>
      </c>
      <c r="AL143" s="205"/>
      <c r="AM143" s="64">
        <v>31903.59057</v>
      </c>
      <c r="AN143" s="64">
        <v>3392.0689199999997</v>
      </c>
      <c r="AO143" s="64">
        <v>6544.3757000000005</v>
      </c>
      <c r="AP143" s="205">
        <f t="shared" ref="AP143:AP206" si="66">SUM(AM143:AO143)</f>
        <v>41840.035189999995</v>
      </c>
      <c r="AQ143" s="205"/>
      <c r="AR143" s="64">
        <v>15958.48214</v>
      </c>
      <c r="AS143" s="64">
        <v>3603.2465400000001</v>
      </c>
      <c r="AT143" s="64">
        <v>3939.8025499999999</v>
      </c>
      <c r="AU143" s="205">
        <f t="shared" ref="AU143:AU206" si="67">SUM(AR143:AT143)</f>
        <v>23501.531230000001</v>
      </c>
      <c r="AV143" s="205"/>
      <c r="AW143" s="64">
        <v>14890.659964440281</v>
      </c>
      <c r="AX143" s="64">
        <v>3996.9443190965089</v>
      </c>
      <c r="AY143" s="64">
        <v>4418.8850855323462</v>
      </c>
      <c r="AZ143" s="205">
        <f t="shared" ref="AZ143:AZ206" si="68">SUM(AW143:AY143)</f>
        <v>23306.489369069139</v>
      </c>
      <c r="BA143" s="205"/>
      <c r="BB143" s="64">
        <v>15306.721883692531</v>
      </c>
      <c r="BC143" s="64">
        <v>4087.0785343077396</v>
      </c>
      <c r="BD143" s="64">
        <v>4471.9117065587343</v>
      </c>
      <c r="BE143" s="205">
        <f t="shared" si="63"/>
        <v>23865.712124559006</v>
      </c>
      <c r="BF143" s="205"/>
      <c r="BG143" s="64">
        <v>15541.927160136478</v>
      </c>
      <c r="BH143" s="64">
        <v>4211.7708323982306</v>
      </c>
      <c r="BI143" s="64">
        <v>4689.0683450477527</v>
      </c>
      <c r="BJ143" s="205">
        <f t="shared" ref="BJ143:BJ206" si="69">SUM(BG143:BI143)</f>
        <v>24442.76633758246</v>
      </c>
      <c r="BK143" s="205"/>
      <c r="BL143" s="64">
        <v>15769.943859113611</v>
      </c>
      <c r="BM143" s="64">
        <v>4349.2968417522407</v>
      </c>
      <c r="BN143" s="64">
        <v>4969.3519133300897</v>
      </c>
      <c r="BO143" s="205">
        <f t="shared" ref="BO143:BO206" si="70">SUM(BL143:BN143)</f>
        <v>25088.592614195943</v>
      </c>
      <c r="BQ143" s="64">
        <v>16084.831533486589</v>
      </c>
      <c r="BR143" s="64">
        <v>4489.4771681368729</v>
      </c>
      <c r="BS143" s="64">
        <v>5143.5822395596506</v>
      </c>
      <c r="BT143" s="205">
        <f t="shared" ref="BT143:BT206" si="71">SUM(BQ143:BS143)</f>
        <v>25717.890941183116</v>
      </c>
      <c r="BU143" s="205"/>
      <c r="BV143" s="5">
        <f t="shared" ref="BV143:BV206" si="72">AA143</f>
        <v>38548</v>
      </c>
      <c r="BW143" s="5">
        <f t="shared" ref="BW143:BW206" si="73">AF143</f>
        <v>39429</v>
      </c>
      <c r="BX143" s="5">
        <f t="shared" ref="BX143:BX206" si="74">AK143</f>
        <v>43235.192829999993</v>
      </c>
      <c r="BY143" s="5">
        <f t="shared" ref="BY143:BY206" si="75">AP143</f>
        <v>41840.035189999995</v>
      </c>
      <c r="BZ143" s="5">
        <f t="shared" ref="BZ143:BZ206" si="76">AU143</f>
        <v>23501.531230000001</v>
      </c>
      <c r="CA143" s="5">
        <f t="shared" ref="CA143:CA206" si="77">AZ143</f>
        <v>23306.489369069139</v>
      </c>
      <c r="CB143" s="5">
        <f t="shared" ref="CB143:CB206" si="78">BE143</f>
        <v>23865.712124559006</v>
      </c>
      <c r="CC143" s="5">
        <f t="shared" ref="CC143:CC206" si="79">BJ143</f>
        <v>24442.76633758246</v>
      </c>
      <c r="CD143" s="5">
        <f t="shared" ref="CD143:CD206" si="80">BO143</f>
        <v>25088.592614195943</v>
      </c>
      <c r="CE143" s="5">
        <f t="shared" si="60"/>
        <v>25717.890941183116</v>
      </c>
      <c r="CH143" s="41">
        <f>BV143/'1. Väestöennuste'!I143*1000</f>
        <v>3541.712605659684</v>
      </c>
      <c r="CI143" s="41">
        <f>BW143/'1. Väestöennuste'!J143*1000</f>
        <v>3678.4214945424014</v>
      </c>
      <c r="CJ143" s="41">
        <f>BX143/'1. Väestöennuste'!K143*1000</f>
        <v>4100.8434819311387</v>
      </c>
      <c r="CK143" s="41">
        <f>BY143/'1. Väestöennuste'!L143*1000</f>
        <v>4033.9409168916304</v>
      </c>
      <c r="CL143" s="41">
        <f>BZ143/'1. Väestöennuste'!M143*1000</f>
        <v>2297.7641014861169</v>
      </c>
      <c r="CM143" s="41">
        <f>CA143/'1. Väestöennuste'!N143*1000</f>
        <v>2336.2559511897693</v>
      </c>
      <c r="CN143" s="41">
        <f>CB143/'1. Väestöennuste'!O143*1000</f>
        <v>2432.5463382488028</v>
      </c>
      <c r="CO143" s="41">
        <f>CC143/'1. Väestöennuste'!P143*1000</f>
        <v>2532.9291541536231</v>
      </c>
      <c r="CP143" s="41">
        <f>CD143/'1. Väestöennuste'!Q143*1000</f>
        <v>2642.295167371874</v>
      </c>
      <c r="CQ143" s="41">
        <f>CE143/'1. Väestöennuste'!R143*1000</f>
        <v>2751.4593924449682</v>
      </c>
      <c r="CR143" s="41"/>
      <c r="CU143" s="159">
        <f t="shared" ref="CU143:CU206" si="81">CI143-CH143</f>
        <v>136.70888888271747</v>
      </c>
      <c r="CV143" s="159">
        <f t="shared" ref="CV143:CV206" si="82">CJ143-CI143</f>
        <v>422.42198738873731</v>
      </c>
      <c r="CW143" s="159">
        <f t="shared" ref="CW143:CW206" si="83">CK143-CJ143</f>
        <v>-66.902565039508318</v>
      </c>
      <c r="CX143" s="159">
        <f t="shared" ref="CX143:CX206" si="84">CL143-CK143</f>
        <v>-1736.1768154055135</v>
      </c>
      <c r="CY143" s="159">
        <f t="shared" ref="CY143:CY206" si="85">CM143-CL143</f>
        <v>38.491849703652406</v>
      </c>
      <c r="CZ143" s="159">
        <f t="shared" ref="CZ143:CZ206" si="86">CN143-CM143</f>
        <v>96.290387059033492</v>
      </c>
      <c r="DA143" s="159">
        <f t="shared" si="61"/>
        <v>100.38281590482029</v>
      </c>
      <c r="DB143" s="159">
        <f t="shared" si="62"/>
        <v>109.36601321825083</v>
      </c>
      <c r="DC143" s="159">
        <f t="shared" si="62"/>
        <v>109.16422507309426</v>
      </c>
    </row>
    <row r="144" spans="1:107" x14ac:dyDescent="0.2">
      <c r="A144" s="99">
        <v>2</v>
      </c>
      <c r="B144" s="30">
        <v>423</v>
      </c>
      <c r="C144" s="47" t="s">
        <v>458</v>
      </c>
      <c r="D144" s="64">
        <v>66009.502290000004</v>
      </c>
      <c r="E144" s="64">
        <v>3500.27153</v>
      </c>
      <c r="F144" s="64">
        <v>3126.8676399999999</v>
      </c>
      <c r="G144" s="205">
        <v>72610</v>
      </c>
      <c r="H144" s="205"/>
      <c r="I144" s="64">
        <v>69108</v>
      </c>
      <c r="J144" s="64">
        <v>3559</v>
      </c>
      <c r="K144" s="64">
        <v>2697</v>
      </c>
      <c r="L144" s="205">
        <v>75363</v>
      </c>
      <c r="M144" s="205"/>
      <c r="N144" s="64">
        <v>68995</v>
      </c>
      <c r="O144" s="64">
        <v>3567</v>
      </c>
      <c r="P144" s="64">
        <v>3393</v>
      </c>
      <c r="Q144" s="205">
        <v>75955</v>
      </c>
      <c r="R144" s="205"/>
      <c r="S144" s="64">
        <v>67828</v>
      </c>
      <c r="T144" s="64">
        <v>3657</v>
      </c>
      <c r="U144" s="64">
        <v>3640</v>
      </c>
      <c r="V144" s="205">
        <v>75125</v>
      </c>
      <c r="W144" s="205"/>
      <c r="X144" s="64">
        <v>71842</v>
      </c>
      <c r="Y144" s="64">
        <v>3745</v>
      </c>
      <c r="Z144" s="64">
        <v>3850</v>
      </c>
      <c r="AA144" s="205">
        <f t="shared" ref="AA144:AA207" si="87">SUM(X144:Z144)</f>
        <v>79437</v>
      </c>
      <c r="AB144" s="205"/>
      <c r="AC144" s="64">
        <v>74945</v>
      </c>
      <c r="AD144" s="64">
        <v>3894</v>
      </c>
      <c r="AE144" s="64">
        <v>3879</v>
      </c>
      <c r="AF144" s="205">
        <f t="shared" si="64"/>
        <v>82718</v>
      </c>
      <c r="AG144" s="205"/>
      <c r="AH144" s="278">
        <v>78212.225330000001</v>
      </c>
      <c r="AI144" s="64">
        <v>4419.1943300000003</v>
      </c>
      <c r="AJ144" s="64">
        <v>5610.7966200000001</v>
      </c>
      <c r="AK144" s="205">
        <f t="shared" si="65"/>
        <v>88242.216279999993</v>
      </c>
      <c r="AL144" s="205"/>
      <c r="AM144" s="64">
        <v>81602.787290000007</v>
      </c>
      <c r="AN144" s="64">
        <v>4783.6941299999999</v>
      </c>
      <c r="AO144" s="64">
        <v>6380.4388399999998</v>
      </c>
      <c r="AP144" s="205">
        <f t="shared" si="66"/>
        <v>92766.920260000014</v>
      </c>
      <c r="AQ144" s="205"/>
      <c r="AR144" s="64">
        <v>37578.677950000005</v>
      </c>
      <c r="AS144" s="64">
        <v>4778.2708400000001</v>
      </c>
      <c r="AT144" s="64">
        <v>4678.6912999999995</v>
      </c>
      <c r="AU144" s="205">
        <f t="shared" si="67"/>
        <v>47035.640090000001</v>
      </c>
      <c r="AV144" s="205"/>
      <c r="AW144" s="64">
        <v>34795.995953351703</v>
      </c>
      <c r="AX144" s="64">
        <v>5776.8776081295118</v>
      </c>
      <c r="AY144" s="64">
        <v>3630.4326330554109</v>
      </c>
      <c r="AZ144" s="205">
        <f t="shared" si="68"/>
        <v>44203.306194536628</v>
      </c>
      <c r="BA144" s="205"/>
      <c r="BB144" s="64">
        <v>37170.003583907266</v>
      </c>
      <c r="BC144" s="64">
        <v>5973.1709187907618</v>
      </c>
      <c r="BD144" s="64">
        <v>3673.9978246520759</v>
      </c>
      <c r="BE144" s="205">
        <f t="shared" si="63"/>
        <v>46817.172327350105</v>
      </c>
      <c r="BF144" s="205"/>
      <c r="BG144" s="64">
        <v>39194.202687278193</v>
      </c>
      <c r="BH144" s="64">
        <v>6223.8870310258962</v>
      </c>
      <c r="BI144" s="64">
        <v>3852.4076569050849</v>
      </c>
      <c r="BJ144" s="205">
        <f t="shared" si="69"/>
        <v>49270.497375209176</v>
      </c>
      <c r="BK144" s="205"/>
      <c r="BL144" s="64">
        <v>40955.5410151131</v>
      </c>
      <c r="BM144" s="64">
        <v>6498.2677246321136</v>
      </c>
      <c r="BN144" s="64">
        <v>4082.6808124874565</v>
      </c>
      <c r="BO144" s="205">
        <f t="shared" si="70"/>
        <v>51536.48955223267</v>
      </c>
      <c r="BQ144" s="64">
        <v>42867.590041144911</v>
      </c>
      <c r="BR144" s="64">
        <v>6781.5815335093412</v>
      </c>
      <c r="BS144" s="64">
        <v>4225.8235848764989</v>
      </c>
      <c r="BT144" s="205">
        <f t="shared" si="71"/>
        <v>53874.99515953075</v>
      </c>
      <c r="BU144" s="205"/>
      <c r="BV144" s="5">
        <f t="shared" si="72"/>
        <v>79437</v>
      </c>
      <c r="BW144" s="5">
        <f t="shared" si="73"/>
        <v>82718</v>
      </c>
      <c r="BX144" s="5">
        <f t="shared" si="74"/>
        <v>88242.216279999993</v>
      </c>
      <c r="BY144" s="5">
        <f t="shared" si="75"/>
        <v>92766.920260000014</v>
      </c>
      <c r="BZ144" s="5">
        <f t="shared" si="76"/>
        <v>47035.640090000001</v>
      </c>
      <c r="CA144" s="5">
        <f t="shared" si="77"/>
        <v>44203.306194536628</v>
      </c>
      <c r="CB144" s="5">
        <f t="shared" si="78"/>
        <v>46817.172327350105</v>
      </c>
      <c r="CC144" s="5">
        <f t="shared" si="79"/>
        <v>49270.497375209176</v>
      </c>
      <c r="CD144" s="5">
        <f t="shared" si="80"/>
        <v>51536.48955223267</v>
      </c>
      <c r="CE144" s="5">
        <f t="shared" ref="CE144:CE207" si="88">BT144</f>
        <v>53874.99515953075</v>
      </c>
      <c r="CH144" s="41">
        <f>BV144/'1. Väestöennuste'!I144*1000</f>
        <v>3973.0419125737722</v>
      </c>
      <c r="CI144" s="41">
        <f>BW144/'1. Väestöennuste'!J144*1000</f>
        <v>4105.9267348356989</v>
      </c>
      <c r="CJ144" s="41">
        <f>BX144/'1. Väestöennuste'!K144*1000</f>
        <v>4348.8352609531312</v>
      </c>
      <c r="CK144" s="41">
        <f>BY144/'1. Väestöennuste'!L144*1000</f>
        <v>4525.877946040885</v>
      </c>
      <c r="CL144" s="41">
        <f>BZ144/'1. Väestöennuste'!M144*1000</f>
        <v>2279.1898090807772</v>
      </c>
      <c r="CM144" s="41">
        <f>CA144/'1. Väestöennuste'!N144*1000</f>
        <v>2130.1771574640561</v>
      </c>
      <c r="CN144" s="41">
        <f>CB144/'1. Väestöennuste'!O144*1000</f>
        <v>2240.9138582878663</v>
      </c>
      <c r="CO144" s="41">
        <f>CC144/'1. Väestöennuste'!P144*1000</f>
        <v>2343.0900406700198</v>
      </c>
      <c r="CP144" s="41">
        <f>CD144/'1. Väestöennuste'!Q144*1000</f>
        <v>2435.9072435710486</v>
      </c>
      <c r="CQ144" s="41">
        <f>CE144/'1. Väestöennuste'!R144*1000</f>
        <v>2532.3146961001526</v>
      </c>
      <c r="CR144" s="41"/>
      <c r="CU144" s="159">
        <f t="shared" si="81"/>
        <v>132.88482226192673</v>
      </c>
      <c r="CV144" s="159">
        <f t="shared" si="82"/>
        <v>242.9085261174323</v>
      </c>
      <c r="CW144" s="159">
        <f t="shared" si="83"/>
        <v>177.04268508775385</v>
      </c>
      <c r="CX144" s="159">
        <f t="shared" si="84"/>
        <v>-2246.6881369601078</v>
      </c>
      <c r="CY144" s="159">
        <f t="shared" si="85"/>
        <v>-149.01265161672109</v>
      </c>
      <c r="CZ144" s="159">
        <f t="shared" si="86"/>
        <v>110.73670082381022</v>
      </c>
      <c r="DA144" s="159">
        <f t="shared" ref="DA144:DA207" si="89">CO144-CN144</f>
        <v>102.17618238215346</v>
      </c>
      <c r="DB144" s="159">
        <f t="shared" ref="DB144:DC207" si="90">CP144-CO144</f>
        <v>92.81720290102885</v>
      </c>
      <c r="DC144" s="159">
        <f t="shared" si="90"/>
        <v>96.407452529103921</v>
      </c>
    </row>
    <row r="145" spans="1:107" x14ac:dyDescent="0.2">
      <c r="A145" s="99">
        <v>17</v>
      </c>
      <c r="B145" s="30">
        <v>425</v>
      </c>
      <c r="C145" s="47" t="s">
        <v>459</v>
      </c>
      <c r="D145" s="64">
        <v>27755.04436</v>
      </c>
      <c r="E145" s="64">
        <v>1168.1692</v>
      </c>
      <c r="F145" s="64">
        <v>627.45519999999999</v>
      </c>
      <c r="G145" s="205">
        <v>29551</v>
      </c>
      <c r="H145" s="205"/>
      <c r="I145" s="64">
        <v>28187</v>
      </c>
      <c r="J145" s="64">
        <v>1181</v>
      </c>
      <c r="K145" s="64">
        <v>622</v>
      </c>
      <c r="L145" s="205">
        <v>29990</v>
      </c>
      <c r="M145" s="205"/>
      <c r="N145" s="64">
        <v>29443</v>
      </c>
      <c r="O145" s="64">
        <v>1183</v>
      </c>
      <c r="P145" s="64">
        <v>758</v>
      </c>
      <c r="Q145" s="205">
        <v>31384</v>
      </c>
      <c r="R145" s="205"/>
      <c r="S145" s="64">
        <v>30159</v>
      </c>
      <c r="T145" s="64">
        <v>1255</v>
      </c>
      <c r="U145" s="64">
        <v>684</v>
      </c>
      <c r="V145" s="205">
        <v>32098</v>
      </c>
      <c r="W145" s="205"/>
      <c r="X145" s="64">
        <v>31728</v>
      </c>
      <c r="Y145" s="64">
        <v>1317</v>
      </c>
      <c r="Z145" s="64">
        <v>698</v>
      </c>
      <c r="AA145" s="205">
        <f t="shared" si="87"/>
        <v>33743</v>
      </c>
      <c r="AB145" s="205"/>
      <c r="AC145" s="64">
        <v>33249</v>
      </c>
      <c r="AD145" s="64">
        <v>1202</v>
      </c>
      <c r="AE145" s="64">
        <v>861</v>
      </c>
      <c r="AF145" s="205">
        <f t="shared" si="64"/>
        <v>35312</v>
      </c>
      <c r="AG145" s="205"/>
      <c r="AH145" s="278">
        <v>34453.058440000001</v>
      </c>
      <c r="AI145" s="64">
        <v>1451.8752099999999</v>
      </c>
      <c r="AJ145" s="64">
        <v>1411.2667099999999</v>
      </c>
      <c r="AK145" s="205">
        <f t="shared" si="65"/>
        <v>37316.200360000003</v>
      </c>
      <c r="AL145" s="205"/>
      <c r="AM145" s="64">
        <v>36045.642049999995</v>
      </c>
      <c r="AN145" s="64">
        <v>1593.25442</v>
      </c>
      <c r="AO145" s="64">
        <v>1548.1983799999998</v>
      </c>
      <c r="AP145" s="205">
        <f t="shared" si="66"/>
        <v>39187.094849999994</v>
      </c>
      <c r="AQ145" s="205"/>
      <c r="AR145" s="64">
        <v>19099.84647</v>
      </c>
      <c r="AS145" s="64">
        <v>1791.5025700000001</v>
      </c>
      <c r="AT145" s="64">
        <v>1051.90426</v>
      </c>
      <c r="AU145" s="205">
        <f t="shared" si="67"/>
        <v>21943.2533</v>
      </c>
      <c r="AV145" s="205"/>
      <c r="AW145" s="64">
        <v>17914.04596853122</v>
      </c>
      <c r="AX145" s="64">
        <v>2196.1470111171616</v>
      </c>
      <c r="AY145" s="64">
        <v>901.53851538247056</v>
      </c>
      <c r="AZ145" s="205">
        <f t="shared" si="68"/>
        <v>21011.731495030854</v>
      </c>
      <c r="BA145" s="205"/>
      <c r="BB145" s="64">
        <v>19166.867421078572</v>
      </c>
      <c r="BC145" s="64">
        <v>2265.9019847963909</v>
      </c>
      <c r="BD145" s="64">
        <v>912.3569775670602</v>
      </c>
      <c r="BE145" s="205">
        <f t="shared" si="63"/>
        <v>22345.126383442021</v>
      </c>
      <c r="BF145" s="205"/>
      <c r="BG145" s="64">
        <v>20224.484830808218</v>
      </c>
      <c r="BH145" s="64">
        <v>2356.723741558882</v>
      </c>
      <c r="BI145" s="64">
        <v>956.66115603728451</v>
      </c>
      <c r="BJ145" s="205">
        <f t="shared" si="69"/>
        <v>23537.869728404385</v>
      </c>
      <c r="BK145" s="205"/>
      <c r="BL145" s="64">
        <v>21030.958602112532</v>
      </c>
      <c r="BM145" s="64">
        <v>2456.9046913571519</v>
      </c>
      <c r="BN145" s="64">
        <v>1013.8444561558298</v>
      </c>
      <c r="BO145" s="205">
        <f t="shared" si="70"/>
        <v>24501.707749625511</v>
      </c>
      <c r="BQ145" s="64">
        <v>21924.906696350128</v>
      </c>
      <c r="BR145" s="64">
        <v>2560.901986630497</v>
      </c>
      <c r="BS145" s="64">
        <v>1049.3908319051957</v>
      </c>
      <c r="BT145" s="205">
        <f t="shared" si="71"/>
        <v>25535.199514885822</v>
      </c>
      <c r="BU145" s="205"/>
      <c r="BV145" s="5">
        <f t="shared" si="72"/>
        <v>33743</v>
      </c>
      <c r="BW145" s="5">
        <f t="shared" si="73"/>
        <v>35312</v>
      </c>
      <c r="BX145" s="5">
        <f t="shared" si="74"/>
        <v>37316.200360000003</v>
      </c>
      <c r="BY145" s="5">
        <f t="shared" si="75"/>
        <v>39187.094849999994</v>
      </c>
      <c r="BZ145" s="5">
        <f t="shared" si="76"/>
        <v>21943.2533</v>
      </c>
      <c r="CA145" s="5">
        <f t="shared" si="77"/>
        <v>21011.731495030854</v>
      </c>
      <c r="CB145" s="5">
        <f t="shared" si="78"/>
        <v>22345.126383442021</v>
      </c>
      <c r="CC145" s="5">
        <f t="shared" si="79"/>
        <v>23537.869728404385</v>
      </c>
      <c r="CD145" s="5">
        <f t="shared" si="80"/>
        <v>24501.707749625511</v>
      </c>
      <c r="CE145" s="5">
        <f t="shared" si="88"/>
        <v>25535.199514885822</v>
      </c>
      <c r="CH145" s="41">
        <f>BV145/'1. Väestöennuste'!I145*1000</f>
        <v>3311.0587773525658</v>
      </c>
      <c r="CI145" s="41">
        <f>BW145/'1. Väestöennuste'!J145*1000</f>
        <v>3449.1111545223675</v>
      </c>
      <c r="CJ145" s="41">
        <f>BX145/'1. Väestöennuste'!K145*1000</f>
        <v>3652.0062986885891</v>
      </c>
      <c r="CK145" s="41">
        <f>BY145/'1. Väestöennuste'!L145*1000</f>
        <v>3820.1496246831734</v>
      </c>
      <c r="CL145" s="41">
        <f>BZ145/'1. Väestöennuste'!M145*1000</f>
        <v>2139.5527788611544</v>
      </c>
      <c r="CM145" s="41">
        <f>CA145/'1. Väestöennuste'!N145*1000</f>
        <v>2013.3893728469579</v>
      </c>
      <c r="CN145" s="41">
        <f>CB145/'1. Väestöennuste'!O145*1000</f>
        <v>2135.428744594994</v>
      </c>
      <c r="CO145" s="41">
        <f>CC145/'1. Väestöennuste'!P145*1000</f>
        <v>2244.05279134373</v>
      </c>
      <c r="CP145" s="41">
        <f>CD145/'1. Väestöennuste'!Q145*1000</f>
        <v>2330.832167962853</v>
      </c>
      <c r="CQ145" s="41">
        <f>CE145/'1. Väestöennuste'!R145*1000</f>
        <v>2424.9952055921958</v>
      </c>
      <c r="CR145" s="41"/>
      <c r="CU145" s="159">
        <f t="shared" si="81"/>
        <v>138.05237716980173</v>
      </c>
      <c r="CV145" s="159">
        <f t="shared" si="82"/>
        <v>202.8951441662216</v>
      </c>
      <c r="CW145" s="159">
        <f t="shared" si="83"/>
        <v>168.1433259945843</v>
      </c>
      <c r="CX145" s="159">
        <f t="shared" si="84"/>
        <v>-1680.5968458220191</v>
      </c>
      <c r="CY145" s="159">
        <f t="shared" si="85"/>
        <v>-126.16340601419643</v>
      </c>
      <c r="CZ145" s="159">
        <f t="shared" si="86"/>
        <v>122.03937174803605</v>
      </c>
      <c r="DA145" s="159">
        <f t="shared" si="89"/>
        <v>108.62404674873596</v>
      </c>
      <c r="DB145" s="159">
        <f t="shared" si="90"/>
        <v>86.779376619123013</v>
      </c>
      <c r="DC145" s="159">
        <f t="shared" si="90"/>
        <v>94.163037629342853</v>
      </c>
    </row>
    <row r="146" spans="1:107" x14ac:dyDescent="0.2">
      <c r="A146" s="99">
        <v>12</v>
      </c>
      <c r="B146" s="30">
        <v>426</v>
      </c>
      <c r="C146" s="47" t="s">
        <v>460</v>
      </c>
      <c r="D146" s="64">
        <v>36646.271869999997</v>
      </c>
      <c r="E146" s="64">
        <v>2287.69292</v>
      </c>
      <c r="F146" s="64">
        <v>1378.60222</v>
      </c>
      <c r="G146" s="205">
        <v>40300</v>
      </c>
      <c r="H146" s="205"/>
      <c r="I146" s="64">
        <v>36586</v>
      </c>
      <c r="J146" s="64">
        <v>2381</v>
      </c>
      <c r="K146" s="64">
        <v>1316</v>
      </c>
      <c r="L146" s="205">
        <v>40289</v>
      </c>
      <c r="M146" s="205"/>
      <c r="N146" s="64">
        <v>36068</v>
      </c>
      <c r="O146" s="64">
        <v>2419</v>
      </c>
      <c r="P146" s="64">
        <v>1533</v>
      </c>
      <c r="Q146" s="205">
        <v>40020</v>
      </c>
      <c r="R146" s="205"/>
      <c r="S146" s="64">
        <v>35753</v>
      </c>
      <c r="T146" s="64">
        <v>2397</v>
      </c>
      <c r="U146" s="64">
        <v>1338</v>
      </c>
      <c r="V146" s="205">
        <v>39488</v>
      </c>
      <c r="W146" s="205"/>
      <c r="X146" s="64">
        <v>36988</v>
      </c>
      <c r="Y146" s="64">
        <v>2416</v>
      </c>
      <c r="Z146" s="64">
        <v>1345</v>
      </c>
      <c r="AA146" s="205">
        <f t="shared" si="87"/>
        <v>40749</v>
      </c>
      <c r="AB146" s="205"/>
      <c r="AC146" s="64">
        <v>37662</v>
      </c>
      <c r="AD146" s="64">
        <v>2289</v>
      </c>
      <c r="AE146" s="64">
        <v>1430</v>
      </c>
      <c r="AF146" s="205">
        <f t="shared" si="64"/>
        <v>41381</v>
      </c>
      <c r="AG146" s="205"/>
      <c r="AH146" s="278">
        <v>39093.388920000005</v>
      </c>
      <c r="AI146" s="64">
        <v>2683.34611</v>
      </c>
      <c r="AJ146" s="64">
        <v>2043.34476</v>
      </c>
      <c r="AK146" s="205">
        <f t="shared" si="65"/>
        <v>43820.079790000003</v>
      </c>
      <c r="AL146" s="205"/>
      <c r="AM146" s="64">
        <v>40577.049490000005</v>
      </c>
      <c r="AN146" s="64">
        <v>3001.56115</v>
      </c>
      <c r="AO146" s="64">
        <v>2321.1083699999999</v>
      </c>
      <c r="AP146" s="205">
        <f t="shared" si="66"/>
        <v>45899.719010000008</v>
      </c>
      <c r="AQ146" s="205"/>
      <c r="AR146" s="64">
        <v>20562.269620000003</v>
      </c>
      <c r="AS146" s="64">
        <v>3071.5837200000001</v>
      </c>
      <c r="AT146" s="64">
        <v>1680.2698700000001</v>
      </c>
      <c r="AU146" s="205">
        <f t="shared" si="67"/>
        <v>25314.123210000002</v>
      </c>
      <c r="AV146" s="205"/>
      <c r="AW146" s="64">
        <v>20074.7825450214</v>
      </c>
      <c r="AX146" s="64">
        <v>3282.0078019469306</v>
      </c>
      <c r="AY146" s="64">
        <v>1330.881808668332</v>
      </c>
      <c r="AZ146" s="205">
        <f t="shared" si="68"/>
        <v>24687.672155636661</v>
      </c>
      <c r="BA146" s="205"/>
      <c r="BB146" s="64">
        <v>21154.931316902348</v>
      </c>
      <c r="BC146" s="64">
        <v>3333.4462247579841</v>
      </c>
      <c r="BD146" s="64">
        <v>1346.8523903723519</v>
      </c>
      <c r="BE146" s="205">
        <f t="shared" si="63"/>
        <v>25835.229932032682</v>
      </c>
      <c r="BF146" s="205"/>
      <c r="BG146" s="64">
        <v>22166.050992773638</v>
      </c>
      <c r="BH146" s="64">
        <v>3411.6366228522497</v>
      </c>
      <c r="BI146" s="64">
        <v>1412.2557249697672</v>
      </c>
      <c r="BJ146" s="205">
        <f t="shared" si="69"/>
        <v>26989.943340595655</v>
      </c>
      <c r="BK146" s="205"/>
      <c r="BL146" s="64">
        <v>22974.450128680826</v>
      </c>
      <c r="BM146" s="64">
        <v>3498.5160694894453</v>
      </c>
      <c r="BN146" s="64">
        <v>1496.6716568338729</v>
      </c>
      <c r="BO146" s="205">
        <f t="shared" si="70"/>
        <v>27969.637855004145</v>
      </c>
      <c r="BQ146" s="64">
        <v>23861.585010168867</v>
      </c>
      <c r="BR146" s="64">
        <v>3585.7272277244915</v>
      </c>
      <c r="BS146" s="64">
        <v>1549.1464252899386</v>
      </c>
      <c r="BT146" s="205">
        <f t="shared" si="71"/>
        <v>28996.458663183297</v>
      </c>
      <c r="BU146" s="205"/>
      <c r="BV146" s="5">
        <f t="shared" si="72"/>
        <v>40749</v>
      </c>
      <c r="BW146" s="5">
        <f t="shared" si="73"/>
        <v>41381</v>
      </c>
      <c r="BX146" s="5">
        <f t="shared" si="74"/>
        <v>43820.079790000003</v>
      </c>
      <c r="BY146" s="5">
        <f t="shared" si="75"/>
        <v>45899.719010000008</v>
      </c>
      <c r="BZ146" s="5">
        <f t="shared" si="76"/>
        <v>25314.123210000002</v>
      </c>
      <c r="CA146" s="5">
        <f t="shared" si="77"/>
        <v>24687.672155636661</v>
      </c>
      <c r="CB146" s="5">
        <f t="shared" si="78"/>
        <v>25835.229932032682</v>
      </c>
      <c r="CC146" s="5">
        <f t="shared" si="79"/>
        <v>26989.943340595655</v>
      </c>
      <c r="CD146" s="5">
        <f t="shared" si="80"/>
        <v>27969.637855004145</v>
      </c>
      <c r="CE146" s="5">
        <f t="shared" si="88"/>
        <v>28996.458663183297</v>
      </c>
      <c r="CH146" s="41">
        <f>BV146/'1. Väestöennuste'!I146*1000</f>
        <v>3372.1449851042703</v>
      </c>
      <c r="CI146" s="41">
        <f>BW146/'1. Väestöennuste'!J146*1000</f>
        <v>3450.1417375354345</v>
      </c>
      <c r="CJ146" s="41">
        <f>BX146/'1. Väestöennuste'!K146*1000</f>
        <v>3658.0749469905668</v>
      </c>
      <c r="CK146" s="41">
        <f>BY146/'1. Väestöennuste'!L146*1000</f>
        <v>3837.127487878282</v>
      </c>
      <c r="CL146" s="41">
        <f>BZ146/'1. Väestöennuste'!M146*1000</f>
        <v>2114.9739502046959</v>
      </c>
      <c r="CM146" s="41">
        <f>CA146/'1. Väestöennuste'!N146*1000</f>
        <v>2101.7939856663256</v>
      </c>
      <c r="CN146" s="41">
        <f>CB146/'1. Väestöennuste'!O146*1000</f>
        <v>2211.9203708932091</v>
      </c>
      <c r="CO146" s="41">
        <f>CC146/'1. Väestöennuste'!P146*1000</f>
        <v>2324.114642262607</v>
      </c>
      <c r="CP146" s="41">
        <f>CD146/'1. Väestöennuste'!Q146*1000</f>
        <v>2423.0822017676637</v>
      </c>
      <c r="CQ146" s="41">
        <f>CE146/'1. Väestöennuste'!R146*1000</f>
        <v>2528.2464611721421</v>
      </c>
      <c r="CR146" s="41"/>
      <c r="CU146" s="159">
        <f t="shared" si="81"/>
        <v>77.996752431164168</v>
      </c>
      <c r="CV146" s="159">
        <f t="shared" si="82"/>
        <v>207.93320945513233</v>
      </c>
      <c r="CW146" s="159">
        <f t="shared" si="83"/>
        <v>179.05254088771517</v>
      </c>
      <c r="CX146" s="159">
        <f t="shared" si="84"/>
        <v>-1722.153537673586</v>
      </c>
      <c r="CY146" s="159">
        <f t="shared" si="85"/>
        <v>-13.179964538370314</v>
      </c>
      <c r="CZ146" s="159">
        <f t="shared" si="86"/>
        <v>110.12638522688349</v>
      </c>
      <c r="DA146" s="159">
        <f t="shared" si="89"/>
        <v>112.19427136939794</v>
      </c>
      <c r="DB146" s="159">
        <f t="shared" si="90"/>
        <v>98.96755950505667</v>
      </c>
      <c r="DC146" s="159">
        <f t="shared" si="90"/>
        <v>105.16425940447834</v>
      </c>
    </row>
    <row r="147" spans="1:107" x14ac:dyDescent="0.2">
      <c r="A147" s="99">
        <v>2</v>
      </c>
      <c r="B147" s="30">
        <v>430</v>
      </c>
      <c r="C147" s="47" t="s">
        <v>461</v>
      </c>
      <c r="D147" s="64">
        <v>46833.559310000004</v>
      </c>
      <c r="E147" s="64">
        <v>4080.5980099999997</v>
      </c>
      <c r="F147" s="64">
        <v>3100.5607400000004</v>
      </c>
      <c r="G147" s="205">
        <v>54006</v>
      </c>
      <c r="H147" s="205"/>
      <c r="I147" s="64">
        <v>46513</v>
      </c>
      <c r="J147" s="64">
        <v>4211</v>
      </c>
      <c r="K147" s="64">
        <v>3001</v>
      </c>
      <c r="L147" s="205">
        <v>53725</v>
      </c>
      <c r="M147" s="205"/>
      <c r="N147" s="64">
        <v>45770</v>
      </c>
      <c r="O147" s="64">
        <v>4149</v>
      </c>
      <c r="P147" s="64">
        <v>3595</v>
      </c>
      <c r="Q147" s="205">
        <v>53514</v>
      </c>
      <c r="R147" s="205"/>
      <c r="S147" s="64">
        <v>45814</v>
      </c>
      <c r="T147" s="64">
        <v>4163</v>
      </c>
      <c r="U147" s="64">
        <v>3300</v>
      </c>
      <c r="V147" s="205">
        <v>53277</v>
      </c>
      <c r="W147" s="205"/>
      <c r="X147" s="64">
        <v>46828</v>
      </c>
      <c r="Y147" s="64">
        <v>4208</v>
      </c>
      <c r="Z147" s="64">
        <v>3347</v>
      </c>
      <c r="AA147" s="205">
        <f t="shared" si="87"/>
        <v>54383</v>
      </c>
      <c r="AB147" s="205"/>
      <c r="AC147" s="64">
        <v>48377</v>
      </c>
      <c r="AD147" s="64">
        <v>3814</v>
      </c>
      <c r="AE147" s="64">
        <v>3724</v>
      </c>
      <c r="AF147" s="205">
        <f t="shared" si="64"/>
        <v>55915</v>
      </c>
      <c r="AG147" s="205"/>
      <c r="AH147" s="278">
        <v>50259.697439999996</v>
      </c>
      <c r="AI147" s="64">
        <v>4168.06621</v>
      </c>
      <c r="AJ147" s="64">
        <v>5624.0083800000002</v>
      </c>
      <c r="AK147" s="205">
        <f t="shared" si="65"/>
        <v>60051.772029999993</v>
      </c>
      <c r="AL147" s="205"/>
      <c r="AM147" s="64">
        <v>50119.924159999995</v>
      </c>
      <c r="AN147" s="64">
        <v>4409.4846900000002</v>
      </c>
      <c r="AO147" s="64">
        <v>6047.4611299999997</v>
      </c>
      <c r="AP147" s="205">
        <f t="shared" si="66"/>
        <v>60576.869979999989</v>
      </c>
      <c r="AQ147" s="205"/>
      <c r="AR147" s="64">
        <v>25117.435579999998</v>
      </c>
      <c r="AS147" s="64">
        <v>4433.9295599999996</v>
      </c>
      <c r="AT147" s="64">
        <v>4047.0203799999999</v>
      </c>
      <c r="AU147" s="205">
        <f t="shared" si="67"/>
        <v>33598.385519999996</v>
      </c>
      <c r="AV147" s="205"/>
      <c r="AW147" s="64">
        <v>24247.167647417606</v>
      </c>
      <c r="AX147" s="64">
        <v>4903.940585877468</v>
      </c>
      <c r="AY147" s="64">
        <v>3167.5747131615935</v>
      </c>
      <c r="AZ147" s="205">
        <f t="shared" si="68"/>
        <v>32318.682946456669</v>
      </c>
      <c r="BA147" s="205"/>
      <c r="BB147" s="64">
        <v>25301.897678380567</v>
      </c>
      <c r="BC147" s="64">
        <v>4956.7210068652794</v>
      </c>
      <c r="BD147" s="64">
        <v>3205.5856097195324</v>
      </c>
      <c r="BE147" s="205">
        <f t="shared" si="63"/>
        <v>33464.204294965377</v>
      </c>
      <c r="BF147" s="205"/>
      <c r="BG147" s="64">
        <v>26271.836901870964</v>
      </c>
      <c r="BH147" s="64">
        <v>5047.968005400222</v>
      </c>
      <c r="BI147" s="64">
        <v>3361.2492813377598</v>
      </c>
      <c r="BJ147" s="205">
        <f t="shared" si="69"/>
        <v>34681.054188608949</v>
      </c>
      <c r="BK147" s="205"/>
      <c r="BL147" s="64">
        <v>27081.320788624369</v>
      </c>
      <c r="BM147" s="64">
        <v>5150.477606989879</v>
      </c>
      <c r="BN147" s="64">
        <v>3562.1640202868666</v>
      </c>
      <c r="BO147" s="205">
        <f t="shared" si="70"/>
        <v>35793.962415901115</v>
      </c>
      <c r="BQ147" s="64">
        <v>28025.858474256675</v>
      </c>
      <c r="BR147" s="64">
        <v>5251.7895612336724</v>
      </c>
      <c r="BS147" s="64">
        <v>3687.0569661200948</v>
      </c>
      <c r="BT147" s="205">
        <f t="shared" si="71"/>
        <v>36964.70500161044</v>
      </c>
      <c r="BU147" s="205"/>
      <c r="BV147" s="5">
        <f t="shared" si="72"/>
        <v>54383</v>
      </c>
      <c r="BW147" s="5">
        <f t="shared" si="73"/>
        <v>55915</v>
      </c>
      <c r="BX147" s="5">
        <f t="shared" si="74"/>
        <v>60051.772029999993</v>
      </c>
      <c r="BY147" s="5">
        <f t="shared" si="75"/>
        <v>60576.869979999989</v>
      </c>
      <c r="BZ147" s="5">
        <f t="shared" si="76"/>
        <v>33598.385519999996</v>
      </c>
      <c r="CA147" s="5">
        <f t="shared" si="77"/>
        <v>32318.682946456669</v>
      </c>
      <c r="CB147" s="5">
        <f t="shared" si="78"/>
        <v>33464.204294965377</v>
      </c>
      <c r="CC147" s="5">
        <f t="shared" si="79"/>
        <v>34681.054188608949</v>
      </c>
      <c r="CD147" s="5">
        <f t="shared" si="80"/>
        <v>35793.962415901115</v>
      </c>
      <c r="CE147" s="5">
        <f t="shared" si="88"/>
        <v>36964.70500161044</v>
      </c>
      <c r="CH147" s="41">
        <f>BV147/'1. Väestöennuste'!I147*1000</f>
        <v>3425.7007874015749</v>
      </c>
      <c r="CI147" s="41">
        <f>BW147/'1. Väestöennuste'!J147*1000</f>
        <v>3545.6563094483195</v>
      </c>
      <c r="CJ147" s="41">
        <f>BX147/'1. Väestöennuste'!K147*1000</f>
        <v>3842.5756353980032</v>
      </c>
      <c r="CK147" s="41">
        <f>BY147/'1. Väestöennuste'!L147*1000</f>
        <v>3935.6074571205813</v>
      </c>
      <c r="CL147" s="41">
        <f>BZ147/'1. Väestöennuste'!M147*1000</f>
        <v>2178.8836264591437</v>
      </c>
      <c r="CM147" s="41">
        <f>CA147/'1. Väestöennuste'!N147*1000</f>
        <v>2122.5983808259998</v>
      </c>
      <c r="CN147" s="41">
        <f>CB147/'1. Väestöennuste'!O147*1000</f>
        <v>2215.5855597831946</v>
      </c>
      <c r="CO147" s="41">
        <f>CC147/'1. Väestöennuste'!P147*1000</f>
        <v>2314.075811610659</v>
      </c>
      <c r="CP147" s="41">
        <f>CD147/'1. Väestöennuste'!Q147*1000</f>
        <v>2406.4785811416646</v>
      </c>
      <c r="CQ147" s="41">
        <f>CE147/'1. Väestöennuste'!R147*1000</f>
        <v>2503.535726489024</v>
      </c>
      <c r="CR147" s="41"/>
      <c r="CU147" s="159">
        <f t="shared" si="81"/>
        <v>119.95552204674459</v>
      </c>
      <c r="CV147" s="159">
        <f t="shared" si="82"/>
        <v>296.91932594968375</v>
      </c>
      <c r="CW147" s="159">
        <f t="shared" si="83"/>
        <v>93.031821722578115</v>
      </c>
      <c r="CX147" s="159">
        <f t="shared" si="84"/>
        <v>-1756.7238306614377</v>
      </c>
      <c r="CY147" s="159">
        <f t="shared" si="85"/>
        <v>-56.285245633143859</v>
      </c>
      <c r="CZ147" s="159">
        <f t="shared" si="86"/>
        <v>92.987178957194828</v>
      </c>
      <c r="DA147" s="159">
        <f t="shared" si="89"/>
        <v>98.490251827464363</v>
      </c>
      <c r="DB147" s="159">
        <f t="shared" si="90"/>
        <v>92.402769531005561</v>
      </c>
      <c r="DC147" s="159">
        <f t="shared" si="90"/>
        <v>97.057145347359437</v>
      </c>
    </row>
    <row r="148" spans="1:107" x14ac:dyDescent="0.2">
      <c r="A148" s="99">
        <v>5</v>
      </c>
      <c r="B148" s="30">
        <v>433</v>
      </c>
      <c r="C148" s="47" t="s">
        <v>462</v>
      </c>
      <c r="D148" s="64">
        <v>24128.603629999998</v>
      </c>
      <c r="E148" s="64">
        <v>2001.79232</v>
      </c>
      <c r="F148" s="64">
        <v>1477.9101499999999</v>
      </c>
      <c r="G148" s="205">
        <v>27603</v>
      </c>
      <c r="H148" s="205"/>
      <c r="I148" s="64">
        <v>25091</v>
      </c>
      <c r="J148" s="64">
        <v>2031</v>
      </c>
      <c r="K148" s="64">
        <v>1450</v>
      </c>
      <c r="L148" s="205">
        <v>28572</v>
      </c>
      <c r="M148" s="205"/>
      <c r="N148" s="64">
        <v>25505</v>
      </c>
      <c r="O148" s="64">
        <v>2029</v>
      </c>
      <c r="P148" s="64">
        <v>1684</v>
      </c>
      <c r="Q148" s="205">
        <v>29218</v>
      </c>
      <c r="R148" s="205"/>
      <c r="S148" s="64">
        <v>24605</v>
      </c>
      <c r="T148" s="64">
        <v>2025</v>
      </c>
      <c r="U148" s="64">
        <v>1482</v>
      </c>
      <c r="V148" s="205">
        <v>28112</v>
      </c>
      <c r="W148" s="205"/>
      <c r="X148" s="64">
        <v>25620</v>
      </c>
      <c r="Y148" s="64">
        <v>2107</v>
      </c>
      <c r="Z148" s="64">
        <v>1479</v>
      </c>
      <c r="AA148" s="205">
        <f t="shared" si="87"/>
        <v>29206</v>
      </c>
      <c r="AB148" s="205"/>
      <c r="AC148" s="64">
        <v>26358</v>
      </c>
      <c r="AD148" s="64">
        <v>1889</v>
      </c>
      <c r="AE148" s="64">
        <v>1742</v>
      </c>
      <c r="AF148" s="205">
        <f t="shared" si="64"/>
        <v>29989</v>
      </c>
      <c r="AG148" s="205"/>
      <c r="AH148" s="278">
        <v>27476.354769999998</v>
      </c>
      <c r="AI148" s="64">
        <v>2007.75477</v>
      </c>
      <c r="AJ148" s="64">
        <v>2665.9951299999998</v>
      </c>
      <c r="AK148" s="205">
        <f t="shared" si="65"/>
        <v>32150.104669999997</v>
      </c>
      <c r="AL148" s="205"/>
      <c r="AM148" s="64">
        <v>28851.827390000002</v>
      </c>
      <c r="AN148" s="64">
        <v>2106.0383099999999</v>
      </c>
      <c r="AO148" s="64">
        <v>2818.0725499999999</v>
      </c>
      <c r="AP148" s="205">
        <f t="shared" si="66"/>
        <v>33775.938249999999</v>
      </c>
      <c r="AQ148" s="205"/>
      <c r="AR148" s="64">
        <v>14529.67578</v>
      </c>
      <c r="AS148" s="64">
        <v>2203.1846499999997</v>
      </c>
      <c r="AT148" s="64">
        <v>1830.3399099999999</v>
      </c>
      <c r="AU148" s="205">
        <f t="shared" si="67"/>
        <v>18563.200339999999</v>
      </c>
      <c r="AV148" s="205"/>
      <c r="AW148" s="64">
        <v>13973.995603707144</v>
      </c>
      <c r="AX148" s="64">
        <v>2460.4948883592629</v>
      </c>
      <c r="AY148" s="64">
        <v>1380.404110370233</v>
      </c>
      <c r="AZ148" s="205">
        <f t="shared" si="68"/>
        <v>17814.894602436641</v>
      </c>
      <c r="BA148" s="205"/>
      <c r="BB148" s="64">
        <v>14856.084447865931</v>
      </c>
      <c r="BC148" s="64">
        <v>2514.8179398603047</v>
      </c>
      <c r="BD148" s="64">
        <v>1396.9689596946757</v>
      </c>
      <c r="BE148" s="205">
        <f t="shared" si="63"/>
        <v>18767.871347420914</v>
      </c>
      <c r="BF148" s="205"/>
      <c r="BG148" s="64">
        <v>15548.209252738394</v>
      </c>
      <c r="BH148" s="64">
        <v>2589.9229560227759</v>
      </c>
      <c r="BI148" s="64">
        <v>1464.805961690013</v>
      </c>
      <c r="BJ148" s="205">
        <f t="shared" si="69"/>
        <v>19602.938170451183</v>
      </c>
      <c r="BK148" s="205"/>
      <c r="BL148" s="64">
        <v>16081.163000443141</v>
      </c>
      <c r="BM148" s="64">
        <v>2672.3862909518025</v>
      </c>
      <c r="BN148" s="64">
        <v>1552.363022404925</v>
      </c>
      <c r="BO148" s="205">
        <f t="shared" si="70"/>
        <v>20305.912313799869</v>
      </c>
      <c r="BQ148" s="64">
        <v>16685.329293526069</v>
      </c>
      <c r="BR148" s="64">
        <v>2755.9019650432897</v>
      </c>
      <c r="BS148" s="64">
        <v>1606.7903844709513</v>
      </c>
      <c r="BT148" s="205">
        <f t="shared" si="71"/>
        <v>21048.021643040309</v>
      </c>
      <c r="BU148" s="205"/>
      <c r="BV148" s="5">
        <f t="shared" si="72"/>
        <v>29206</v>
      </c>
      <c r="BW148" s="5">
        <f t="shared" si="73"/>
        <v>29989</v>
      </c>
      <c r="BX148" s="5">
        <f t="shared" si="74"/>
        <v>32150.104669999997</v>
      </c>
      <c r="BY148" s="5">
        <f t="shared" si="75"/>
        <v>33775.938249999999</v>
      </c>
      <c r="BZ148" s="5">
        <f t="shared" si="76"/>
        <v>18563.200339999999</v>
      </c>
      <c r="CA148" s="5">
        <f t="shared" si="77"/>
        <v>17814.894602436641</v>
      </c>
      <c r="CB148" s="5">
        <f t="shared" si="78"/>
        <v>18767.871347420914</v>
      </c>
      <c r="CC148" s="5">
        <f t="shared" si="79"/>
        <v>19602.938170451183</v>
      </c>
      <c r="CD148" s="5">
        <f t="shared" si="80"/>
        <v>20305.912313799869</v>
      </c>
      <c r="CE148" s="5">
        <f t="shared" si="88"/>
        <v>21048.021643040309</v>
      </c>
      <c r="CH148" s="41">
        <f>BV148/'1. Väestöennuste'!I148*1000</f>
        <v>3730.9657639243737</v>
      </c>
      <c r="CI148" s="41">
        <f>BW148/'1. Väestöennuste'!J148*1000</f>
        <v>3818.795364828728</v>
      </c>
      <c r="CJ148" s="41">
        <f>BX148/'1. Väestöennuste'!K148*1000</f>
        <v>4122.3367957430437</v>
      </c>
      <c r="CK148" s="41">
        <f>BY148/'1. Väestöennuste'!L148*1000</f>
        <v>4358.7479997419023</v>
      </c>
      <c r="CL148" s="41">
        <f>BZ148/'1. Väestöennuste'!M148*1000</f>
        <v>2413.3125767030679</v>
      </c>
      <c r="CM148" s="41">
        <f>CA148/'1. Väestöennuste'!N148*1000</f>
        <v>2329.6579838415905</v>
      </c>
      <c r="CN148" s="41">
        <f>CB148/'1. Väestöennuste'!O148*1000</f>
        <v>2468.4823553098663</v>
      </c>
      <c r="CO148" s="41">
        <f>CC148/'1. Väestöennuste'!P148*1000</f>
        <v>2594.0106087668632</v>
      </c>
      <c r="CP148" s="41">
        <f>CD148/'1. Väestöennuste'!Q148*1000</f>
        <v>2702.0508734264631</v>
      </c>
      <c r="CQ148" s="41">
        <f>CE148/'1. Väestöennuste'!R148*1000</f>
        <v>2817.2964319422176</v>
      </c>
      <c r="CR148" s="41"/>
      <c r="CU148" s="159">
        <f t="shared" si="81"/>
        <v>87.829600904354265</v>
      </c>
      <c r="CV148" s="159">
        <f t="shared" si="82"/>
        <v>303.5414309143157</v>
      </c>
      <c r="CW148" s="159">
        <f t="shared" si="83"/>
        <v>236.41120399885858</v>
      </c>
      <c r="CX148" s="159">
        <f t="shared" si="84"/>
        <v>-1945.4354230388344</v>
      </c>
      <c r="CY148" s="159">
        <f t="shared" si="85"/>
        <v>-83.65459286147734</v>
      </c>
      <c r="CZ148" s="159">
        <f t="shared" si="86"/>
        <v>138.82437146827579</v>
      </c>
      <c r="DA148" s="159">
        <f t="shared" si="89"/>
        <v>125.52825345699694</v>
      </c>
      <c r="DB148" s="159">
        <f t="shared" si="90"/>
        <v>108.04026465959987</v>
      </c>
      <c r="DC148" s="159">
        <f t="shared" si="90"/>
        <v>115.24555851575451</v>
      </c>
    </row>
    <row r="149" spans="1:107" x14ac:dyDescent="0.2">
      <c r="A149" s="99">
        <v>1</v>
      </c>
      <c r="B149" s="30">
        <v>434</v>
      </c>
      <c r="C149" s="47" t="s">
        <v>463</v>
      </c>
      <c r="D149" s="64">
        <v>49303.876939999995</v>
      </c>
      <c r="E149" s="64">
        <v>7425.2095599999993</v>
      </c>
      <c r="F149" s="64">
        <v>9103.1407200000012</v>
      </c>
      <c r="G149" s="205">
        <v>65800</v>
      </c>
      <c r="H149" s="205"/>
      <c r="I149" s="64">
        <v>49366</v>
      </c>
      <c r="J149" s="64">
        <v>8001</v>
      </c>
      <c r="K149" s="64">
        <v>8586</v>
      </c>
      <c r="L149" s="205">
        <v>65954</v>
      </c>
      <c r="M149" s="205"/>
      <c r="N149" s="64">
        <v>47747</v>
      </c>
      <c r="O149" s="64">
        <v>8252</v>
      </c>
      <c r="P149" s="64">
        <v>9950</v>
      </c>
      <c r="Q149" s="205">
        <v>65949</v>
      </c>
      <c r="R149" s="205"/>
      <c r="S149" s="64">
        <v>45706</v>
      </c>
      <c r="T149" s="64">
        <v>7605</v>
      </c>
      <c r="U149" s="64">
        <v>6689</v>
      </c>
      <c r="V149" s="205">
        <v>60000</v>
      </c>
      <c r="W149" s="205"/>
      <c r="X149" s="64">
        <v>47242</v>
      </c>
      <c r="Y149" s="64">
        <v>8151</v>
      </c>
      <c r="Z149" s="64">
        <v>3899</v>
      </c>
      <c r="AA149" s="205">
        <f t="shared" si="87"/>
        <v>59292</v>
      </c>
      <c r="AB149" s="205"/>
      <c r="AC149" s="64">
        <v>50192</v>
      </c>
      <c r="AD149" s="64">
        <v>7495</v>
      </c>
      <c r="AE149" s="64">
        <v>3621</v>
      </c>
      <c r="AF149" s="205">
        <f t="shared" si="64"/>
        <v>61308</v>
      </c>
      <c r="AG149" s="205"/>
      <c r="AH149" s="278">
        <v>51496.85742</v>
      </c>
      <c r="AI149" s="64">
        <v>8303.734559999999</v>
      </c>
      <c r="AJ149" s="64">
        <v>6341.5606399999997</v>
      </c>
      <c r="AK149" s="205">
        <f t="shared" si="65"/>
        <v>66142.152619999993</v>
      </c>
      <c r="AL149" s="205"/>
      <c r="AM149" s="64">
        <v>52307.472329999997</v>
      </c>
      <c r="AN149" s="64">
        <v>8686.7324800000006</v>
      </c>
      <c r="AO149" s="64">
        <v>8251.3879199999992</v>
      </c>
      <c r="AP149" s="205">
        <f t="shared" si="66"/>
        <v>69245.592729999989</v>
      </c>
      <c r="AQ149" s="205"/>
      <c r="AR149" s="64">
        <v>25567.332280000002</v>
      </c>
      <c r="AS149" s="64">
        <v>9100.3530900000005</v>
      </c>
      <c r="AT149" s="64">
        <v>6944.3939700000001</v>
      </c>
      <c r="AU149" s="205">
        <f t="shared" si="67"/>
        <v>41612.079340000004</v>
      </c>
      <c r="AV149" s="205"/>
      <c r="AW149" s="64">
        <v>23447.10794118961</v>
      </c>
      <c r="AX149" s="64">
        <v>9601.8941929838111</v>
      </c>
      <c r="AY149" s="64">
        <v>9918.3696209820901</v>
      </c>
      <c r="AZ149" s="205">
        <f t="shared" si="68"/>
        <v>42967.371755155516</v>
      </c>
      <c r="BA149" s="205"/>
      <c r="BB149" s="64">
        <v>24745.246375232517</v>
      </c>
      <c r="BC149" s="64">
        <v>9776.0012207211603</v>
      </c>
      <c r="BD149" s="64">
        <v>10037.390056433875</v>
      </c>
      <c r="BE149" s="205">
        <f t="shared" si="63"/>
        <v>44558.637652387551</v>
      </c>
      <c r="BF149" s="205"/>
      <c r="BG149" s="64">
        <v>25712.957406315443</v>
      </c>
      <c r="BH149" s="64">
        <v>10028.774878683784</v>
      </c>
      <c r="BI149" s="64">
        <v>10524.807077807853</v>
      </c>
      <c r="BJ149" s="205">
        <f t="shared" si="69"/>
        <v>46266.539362807081</v>
      </c>
      <c r="BK149" s="205"/>
      <c r="BL149" s="64">
        <v>26568.089969964069</v>
      </c>
      <c r="BM149" s="64">
        <v>10307.485321798555</v>
      </c>
      <c r="BN149" s="64">
        <v>11153.915093767289</v>
      </c>
      <c r="BO149" s="205">
        <f t="shared" si="70"/>
        <v>48029.490385529913</v>
      </c>
      <c r="BQ149" s="64">
        <v>27570.115622632664</v>
      </c>
      <c r="BR149" s="64">
        <v>10587.558948106931</v>
      </c>
      <c r="BS149" s="64">
        <v>11544.982238823153</v>
      </c>
      <c r="BT149" s="205">
        <f t="shared" si="71"/>
        <v>49702.656809562752</v>
      </c>
      <c r="BU149" s="205"/>
      <c r="BV149" s="5">
        <f t="shared" si="72"/>
        <v>59292</v>
      </c>
      <c r="BW149" s="5">
        <f t="shared" si="73"/>
        <v>61308</v>
      </c>
      <c r="BX149" s="5">
        <f t="shared" si="74"/>
        <v>66142.152619999993</v>
      </c>
      <c r="BY149" s="5">
        <f t="shared" si="75"/>
        <v>69245.592729999989</v>
      </c>
      <c r="BZ149" s="5">
        <f t="shared" si="76"/>
        <v>41612.079340000004</v>
      </c>
      <c r="CA149" s="5">
        <f t="shared" si="77"/>
        <v>42967.371755155516</v>
      </c>
      <c r="CB149" s="5">
        <f t="shared" si="78"/>
        <v>44558.637652387551</v>
      </c>
      <c r="CC149" s="5">
        <f t="shared" si="79"/>
        <v>46266.539362807081</v>
      </c>
      <c r="CD149" s="5">
        <f t="shared" si="80"/>
        <v>48029.490385529913</v>
      </c>
      <c r="CE149" s="5">
        <f t="shared" si="88"/>
        <v>49702.656809562752</v>
      </c>
      <c r="CH149" s="41">
        <f>BV149/'1. Väestöennuste'!I149*1000</f>
        <v>4013.8099106417549</v>
      </c>
      <c r="CI149" s="41">
        <f>BW149/'1. Väestöennuste'!J149*1000</f>
        <v>4157.8840284842317</v>
      </c>
      <c r="CJ149" s="41">
        <f>BX149/'1. Väestöennuste'!K149*1000</f>
        <v>4516.9809888684003</v>
      </c>
      <c r="CK149" s="41">
        <f>BY149/'1. Väestöennuste'!L149*1000</f>
        <v>4753.2669364360236</v>
      </c>
      <c r="CL149" s="41">
        <f>BZ149/'1. Väestöennuste'!M149*1000</f>
        <v>2878.1352427721681</v>
      </c>
      <c r="CM149" s="41">
        <f>CA149/'1. Väestöennuste'!N149*1000</f>
        <v>2999.4674872708911</v>
      </c>
      <c r="CN149" s="41">
        <f>CB149/'1. Väestöennuste'!O149*1000</f>
        <v>3129.5573572403114</v>
      </c>
      <c r="CO149" s="41">
        <f>CC149/'1. Väestöennuste'!P149*1000</f>
        <v>3269.0270163786536</v>
      </c>
      <c r="CP149" s="41">
        <f>CD149/'1. Väestöennuste'!Q149*1000</f>
        <v>3411.6700089167434</v>
      </c>
      <c r="CQ149" s="41">
        <f>CE149/'1. Väestöennuste'!R149*1000</f>
        <v>3548.1622508254391</v>
      </c>
      <c r="CR149" s="41"/>
      <c r="CU149" s="159">
        <f t="shared" si="81"/>
        <v>144.07411784247688</v>
      </c>
      <c r="CV149" s="159">
        <f t="shared" si="82"/>
        <v>359.0969603841686</v>
      </c>
      <c r="CW149" s="159">
        <f t="shared" si="83"/>
        <v>236.28594756762323</v>
      </c>
      <c r="CX149" s="159">
        <f t="shared" si="84"/>
        <v>-1875.1316936638555</v>
      </c>
      <c r="CY149" s="159">
        <f t="shared" si="85"/>
        <v>121.33224449872296</v>
      </c>
      <c r="CZ149" s="159">
        <f t="shared" si="86"/>
        <v>130.08986996942031</v>
      </c>
      <c r="DA149" s="159">
        <f t="shared" si="89"/>
        <v>139.46965913834219</v>
      </c>
      <c r="DB149" s="159">
        <f t="shared" si="90"/>
        <v>142.64299253808986</v>
      </c>
      <c r="DC149" s="159">
        <f t="shared" si="90"/>
        <v>136.49224190869563</v>
      </c>
    </row>
    <row r="150" spans="1:107" x14ac:dyDescent="0.2">
      <c r="A150" s="99">
        <v>13</v>
      </c>
      <c r="B150" s="30">
        <v>435</v>
      </c>
      <c r="C150" s="47" t="s">
        <v>464</v>
      </c>
      <c r="D150" s="64">
        <v>1810.0862</v>
      </c>
      <c r="E150" s="64">
        <v>445.49468000000002</v>
      </c>
      <c r="F150" s="64">
        <v>267.06109999999995</v>
      </c>
      <c r="G150" s="205">
        <v>2523</v>
      </c>
      <c r="H150" s="205"/>
      <c r="I150" s="64">
        <v>1593</v>
      </c>
      <c r="J150" s="64">
        <v>498</v>
      </c>
      <c r="K150" s="64">
        <v>238</v>
      </c>
      <c r="L150" s="205">
        <v>2330</v>
      </c>
      <c r="M150" s="205"/>
      <c r="N150" s="64">
        <v>1655</v>
      </c>
      <c r="O150" s="64">
        <v>495</v>
      </c>
      <c r="P150" s="64">
        <v>286</v>
      </c>
      <c r="Q150" s="205">
        <v>2436</v>
      </c>
      <c r="R150" s="205"/>
      <c r="S150" s="64">
        <v>1589</v>
      </c>
      <c r="T150" s="64">
        <v>579</v>
      </c>
      <c r="U150" s="64">
        <v>284</v>
      </c>
      <c r="V150" s="205">
        <v>2452</v>
      </c>
      <c r="W150" s="205"/>
      <c r="X150" s="64">
        <v>1752</v>
      </c>
      <c r="Y150" s="64">
        <v>585</v>
      </c>
      <c r="Z150" s="64">
        <v>309</v>
      </c>
      <c r="AA150" s="205">
        <f t="shared" si="87"/>
        <v>2646</v>
      </c>
      <c r="AB150" s="205"/>
      <c r="AC150" s="64">
        <v>1767</v>
      </c>
      <c r="AD150" s="64">
        <v>535</v>
      </c>
      <c r="AE150" s="64">
        <v>348</v>
      </c>
      <c r="AF150" s="205">
        <f t="shared" si="64"/>
        <v>2650</v>
      </c>
      <c r="AG150" s="205"/>
      <c r="AH150" s="278">
        <v>2006.21533</v>
      </c>
      <c r="AI150" s="64">
        <v>608.59100999999998</v>
      </c>
      <c r="AJ150" s="64">
        <v>495.21120000000002</v>
      </c>
      <c r="AK150" s="205">
        <f t="shared" si="65"/>
        <v>3110.0175400000003</v>
      </c>
      <c r="AL150" s="205"/>
      <c r="AM150" s="64">
        <v>2034.8474699999999</v>
      </c>
      <c r="AN150" s="64">
        <v>639.76953000000003</v>
      </c>
      <c r="AO150" s="64">
        <v>464.14928999999995</v>
      </c>
      <c r="AP150" s="205">
        <f t="shared" si="66"/>
        <v>3138.76629</v>
      </c>
      <c r="AQ150" s="205"/>
      <c r="AR150" s="64">
        <v>912.80749000000003</v>
      </c>
      <c r="AS150" s="64">
        <v>647.11196999999993</v>
      </c>
      <c r="AT150" s="64">
        <v>259.59325000000001</v>
      </c>
      <c r="AU150" s="205">
        <f t="shared" si="67"/>
        <v>1819.51271</v>
      </c>
      <c r="AV150" s="205"/>
      <c r="AW150" s="64">
        <v>851.34758004517323</v>
      </c>
      <c r="AX150" s="64">
        <v>665.51395700259843</v>
      </c>
      <c r="AY150" s="64">
        <v>209.02790386855611</v>
      </c>
      <c r="AZ150" s="205">
        <f t="shared" si="68"/>
        <v>1725.8894409163277</v>
      </c>
      <c r="BA150" s="205"/>
      <c r="BB150" s="64">
        <v>898.40223816449225</v>
      </c>
      <c r="BC150" s="64">
        <v>672.93784842730201</v>
      </c>
      <c r="BD150" s="64">
        <v>211.53623871497877</v>
      </c>
      <c r="BE150" s="205">
        <f t="shared" si="63"/>
        <v>1782.876325306773</v>
      </c>
      <c r="BF150" s="205"/>
      <c r="BG150" s="64">
        <v>913.63397687460019</v>
      </c>
      <c r="BH150" s="64">
        <v>685.6330806163345</v>
      </c>
      <c r="BI150" s="64">
        <v>221.80846713366213</v>
      </c>
      <c r="BJ150" s="205">
        <f t="shared" si="69"/>
        <v>1821.0755246245969</v>
      </c>
      <c r="BK150" s="205"/>
      <c r="BL150" s="64">
        <v>951.28225702795191</v>
      </c>
      <c r="BM150" s="64">
        <v>699.91168977035454</v>
      </c>
      <c r="BN150" s="64">
        <v>235.06680846475339</v>
      </c>
      <c r="BO150" s="205">
        <f t="shared" si="70"/>
        <v>1886.26075526306</v>
      </c>
      <c r="BQ150" s="64">
        <v>978.4733615483326</v>
      </c>
      <c r="BR150" s="64">
        <v>714.08389297777467</v>
      </c>
      <c r="BS150" s="64">
        <v>243.30848010299931</v>
      </c>
      <c r="BT150" s="205">
        <f t="shared" si="71"/>
        <v>1935.8657346291066</v>
      </c>
      <c r="BU150" s="205"/>
      <c r="BV150" s="5">
        <f t="shared" si="72"/>
        <v>2646</v>
      </c>
      <c r="BW150" s="5">
        <f t="shared" si="73"/>
        <v>2650</v>
      </c>
      <c r="BX150" s="5">
        <f t="shared" si="74"/>
        <v>3110.0175400000003</v>
      </c>
      <c r="BY150" s="5">
        <f t="shared" si="75"/>
        <v>3138.76629</v>
      </c>
      <c r="BZ150" s="5">
        <f t="shared" si="76"/>
        <v>1819.51271</v>
      </c>
      <c r="CA150" s="5">
        <f t="shared" si="77"/>
        <v>1725.8894409163277</v>
      </c>
      <c r="CB150" s="5">
        <f t="shared" si="78"/>
        <v>1782.876325306773</v>
      </c>
      <c r="CC150" s="5">
        <f t="shared" si="79"/>
        <v>1821.0755246245969</v>
      </c>
      <c r="CD150" s="5">
        <f t="shared" si="80"/>
        <v>1886.26075526306</v>
      </c>
      <c r="CE150" s="5">
        <f t="shared" si="88"/>
        <v>1935.8657346291066</v>
      </c>
      <c r="CH150" s="41">
        <f>BV150/'1. Väestöennuste'!I150*1000</f>
        <v>3834.782608695652</v>
      </c>
      <c r="CI150" s="41">
        <f>BW150/'1. Väestöennuste'!J150*1000</f>
        <v>3791.1301859799714</v>
      </c>
      <c r="CJ150" s="41">
        <f>BX150/'1. Väestöennuste'!K150*1000</f>
        <v>4423.9225320056903</v>
      </c>
      <c r="CK150" s="41">
        <f>BY150/'1. Väestöennuste'!L150*1000</f>
        <v>4535.7894364161857</v>
      </c>
      <c r="CL150" s="41">
        <f>BZ150/'1. Väestöennuste'!M150*1000</f>
        <v>2591.8984472934471</v>
      </c>
      <c r="CM150" s="41">
        <f>CA150/'1. Väestöennuste'!N150*1000</f>
        <v>2512.2117043905791</v>
      </c>
      <c r="CN150" s="41">
        <f>CB150/'1. Väestöennuste'!O150*1000</f>
        <v>2610.3606519864907</v>
      </c>
      <c r="CO150" s="41">
        <f>CC150/'1. Väestöennuste'!P150*1000</f>
        <v>2666.2892015001416</v>
      </c>
      <c r="CP150" s="41">
        <f>CD150/'1. Väestöennuste'!Q150*1000</f>
        <v>2773.9128753868531</v>
      </c>
      <c r="CQ150" s="41">
        <f>CE150/'1. Väestöennuste'!R150*1000</f>
        <v>2851.0541010737948</v>
      </c>
      <c r="CR150" s="41"/>
      <c r="CU150" s="159">
        <f t="shared" si="81"/>
        <v>-43.652422715680586</v>
      </c>
      <c r="CV150" s="159">
        <f t="shared" si="82"/>
        <v>632.79234602571887</v>
      </c>
      <c r="CW150" s="159">
        <f t="shared" si="83"/>
        <v>111.86690441049541</v>
      </c>
      <c r="CX150" s="159">
        <f t="shared" si="84"/>
        <v>-1943.8909891227386</v>
      </c>
      <c r="CY150" s="159">
        <f t="shared" si="85"/>
        <v>-79.686742902867991</v>
      </c>
      <c r="CZ150" s="159">
        <f t="shared" si="86"/>
        <v>98.148947595911523</v>
      </c>
      <c r="DA150" s="159">
        <f t="shared" si="89"/>
        <v>55.928549513650978</v>
      </c>
      <c r="DB150" s="159">
        <f t="shared" si="90"/>
        <v>107.62367388671146</v>
      </c>
      <c r="DC150" s="159">
        <f t="shared" si="90"/>
        <v>77.141225686941652</v>
      </c>
    </row>
    <row r="151" spans="1:107" x14ac:dyDescent="0.2">
      <c r="A151" s="99">
        <v>17</v>
      </c>
      <c r="B151" s="30">
        <v>436</v>
      </c>
      <c r="C151" s="47" t="s">
        <v>465</v>
      </c>
      <c r="D151" s="64">
        <v>5038.40409</v>
      </c>
      <c r="E151" s="64">
        <v>255.20735999999999</v>
      </c>
      <c r="F151" s="64">
        <v>144.94577999999998</v>
      </c>
      <c r="G151" s="205">
        <v>5439</v>
      </c>
      <c r="H151" s="205"/>
      <c r="I151" s="64">
        <v>4942</v>
      </c>
      <c r="J151" s="64">
        <v>291</v>
      </c>
      <c r="K151" s="64">
        <v>132</v>
      </c>
      <c r="L151" s="205">
        <v>5365</v>
      </c>
      <c r="M151" s="205"/>
      <c r="N151" s="64">
        <v>5349</v>
      </c>
      <c r="O151" s="64">
        <v>288</v>
      </c>
      <c r="P151" s="64">
        <v>164</v>
      </c>
      <c r="Q151" s="205">
        <v>5801</v>
      </c>
      <c r="R151" s="205"/>
      <c r="S151" s="64">
        <v>5255</v>
      </c>
      <c r="T151" s="64">
        <v>290</v>
      </c>
      <c r="U151" s="64">
        <v>159</v>
      </c>
      <c r="V151" s="205">
        <v>5704</v>
      </c>
      <c r="W151" s="205"/>
      <c r="X151" s="64">
        <v>5459</v>
      </c>
      <c r="Y151" s="64">
        <v>307</v>
      </c>
      <c r="Z151" s="64">
        <v>157</v>
      </c>
      <c r="AA151" s="205">
        <f t="shared" si="87"/>
        <v>5923</v>
      </c>
      <c r="AB151" s="205"/>
      <c r="AC151" s="64">
        <v>5412</v>
      </c>
      <c r="AD151" s="64">
        <v>277</v>
      </c>
      <c r="AE151" s="64">
        <v>172</v>
      </c>
      <c r="AF151" s="205">
        <f t="shared" si="64"/>
        <v>5861</v>
      </c>
      <c r="AG151" s="205"/>
      <c r="AH151" s="278">
        <v>5764.8472499999998</v>
      </c>
      <c r="AI151" s="64">
        <v>307.91978999999998</v>
      </c>
      <c r="AJ151" s="64">
        <v>258.92543000000001</v>
      </c>
      <c r="AK151" s="205">
        <f t="shared" si="65"/>
        <v>6331.69247</v>
      </c>
      <c r="AL151" s="205"/>
      <c r="AM151" s="64">
        <v>5735.3522899999998</v>
      </c>
      <c r="AN151" s="64">
        <v>326.25063</v>
      </c>
      <c r="AO151" s="64">
        <v>287.97415999999998</v>
      </c>
      <c r="AP151" s="205">
        <f t="shared" si="66"/>
        <v>6349.5770799999991</v>
      </c>
      <c r="AQ151" s="205"/>
      <c r="AR151" s="64">
        <v>3045.33628</v>
      </c>
      <c r="AS151" s="64">
        <v>322.94299999999998</v>
      </c>
      <c r="AT151" s="64">
        <v>194.52495000000002</v>
      </c>
      <c r="AU151" s="205">
        <f t="shared" si="67"/>
        <v>3562.8042299999997</v>
      </c>
      <c r="AV151" s="205"/>
      <c r="AW151" s="64">
        <v>3066.7454570554532</v>
      </c>
      <c r="AX151" s="64">
        <v>327.76662396384609</v>
      </c>
      <c r="AY151" s="64">
        <v>150.32748971335278</v>
      </c>
      <c r="AZ151" s="205">
        <f t="shared" si="68"/>
        <v>3544.8395707326522</v>
      </c>
      <c r="BA151" s="205"/>
      <c r="BB151" s="64">
        <v>3207.3925439056034</v>
      </c>
      <c r="BC151" s="64">
        <v>327.52391286393106</v>
      </c>
      <c r="BD151" s="64">
        <v>152.13141958991301</v>
      </c>
      <c r="BE151" s="205">
        <f t="shared" si="63"/>
        <v>3687.0478763594474</v>
      </c>
      <c r="BF151" s="205"/>
      <c r="BG151" s="64">
        <v>3347.8614318528194</v>
      </c>
      <c r="BH151" s="64">
        <v>329.83241248965811</v>
      </c>
      <c r="BI151" s="64">
        <v>159.51894194154065</v>
      </c>
      <c r="BJ151" s="205">
        <f t="shared" si="69"/>
        <v>3837.212786284018</v>
      </c>
      <c r="BK151" s="205"/>
      <c r="BL151" s="64">
        <v>3468.7638320940518</v>
      </c>
      <c r="BM151" s="64">
        <v>332.84918651275177</v>
      </c>
      <c r="BN151" s="64">
        <v>169.05399986050188</v>
      </c>
      <c r="BO151" s="205">
        <f t="shared" si="70"/>
        <v>3970.6670184673053</v>
      </c>
      <c r="BQ151" s="64">
        <v>3592.980012640302</v>
      </c>
      <c r="BR151" s="64">
        <v>335.75435806440032</v>
      </c>
      <c r="BS151" s="64">
        <v>174.98119802634264</v>
      </c>
      <c r="BT151" s="205">
        <f t="shared" si="71"/>
        <v>4103.7155687310451</v>
      </c>
      <c r="BU151" s="205"/>
      <c r="BV151" s="5">
        <f t="shared" si="72"/>
        <v>5923</v>
      </c>
      <c r="BW151" s="5">
        <f t="shared" si="73"/>
        <v>5861</v>
      </c>
      <c r="BX151" s="5">
        <f t="shared" si="74"/>
        <v>6331.69247</v>
      </c>
      <c r="BY151" s="5">
        <f t="shared" si="75"/>
        <v>6349.5770799999991</v>
      </c>
      <c r="BZ151" s="5">
        <f t="shared" si="76"/>
        <v>3562.8042299999997</v>
      </c>
      <c r="CA151" s="5">
        <f t="shared" si="77"/>
        <v>3544.8395707326522</v>
      </c>
      <c r="CB151" s="5">
        <f t="shared" si="78"/>
        <v>3687.0478763594474</v>
      </c>
      <c r="CC151" s="5">
        <f t="shared" si="79"/>
        <v>3837.212786284018</v>
      </c>
      <c r="CD151" s="5">
        <f t="shared" si="80"/>
        <v>3970.6670184673053</v>
      </c>
      <c r="CE151" s="5">
        <f t="shared" si="88"/>
        <v>4103.7155687310451</v>
      </c>
      <c r="CH151" s="41">
        <f>BV151/'1. Väestöennuste'!I151*1000</f>
        <v>2932.1782178217823</v>
      </c>
      <c r="CI151" s="41">
        <f>BW151/'1. Väestöennuste'!J151*1000</f>
        <v>2878.6836935166993</v>
      </c>
      <c r="CJ151" s="41">
        <f>BX151/'1. Väestöennuste'!K151*1000</f>
        <v>3137.607765113974</v>
      </c>
      <c r="CK151" s="41">
        <f>BY151/'1. Väestöennuste'!L151*1000</f>
        <v>3193.9522535211263</v>
      </c>
      <c r="CL151" s="41">
        <f>BZ151/'1. Väestöennuste'!M151*1000</f>
        <v>1752.4860944417117</v>
      </c>
      <c r="CM151" s="41">
        <f>CA151/'1. Väestöennuste'!N151*1000</f>
        <v>1756.6102927317404</v>
      </c>
      <c r="CN151" s="41">
        <f>CB151/'1. Väestöennuste'!O151*1000</f>
        <v>1835.2652445791177</v>
      </c>
      <c r="CO151" s="41">
        <f>CC151/'1. Väestöennuste'!P151*1000</f>
        <v>1914.7768394630828</v>
      </c>
      <c r="CP151" s="41">
        <f>CD151/'1. Väestöennuste'!Q151*1000</f>
        <v>1988.3159832084655</v>
      </c>
      <c r="CQ151" s="41">
        <f>CE151/'1. Väestöennuste'!R151*1000</f>
        <v>2060.0981770738176</v>
      </c>
      <c r="CR151" s="41"/>
      <c r="CU151" s="159">
        <f t="shared" si="81"/>
        <v>-53.494524305082905</v>
      </c>
      <c r="CV151" s="159">
        <f t="shared" si="82"/>
        <v>258.92407159727463</v>
      </c>
      <c r="CW151" s="159">
        <f t="shared" si="83"/>
        <v>56.344488407152312</v>
      </c>
      <c r="CX151" s="159">
        <f t="shared" si="84"/>
        <v>-1441.4661590794146</v>
      </c>
      <c r="CY151" s="159">
        <f t="shared" si="85"/>
        <v>4.1241982900287439</v>
      </c>
      <c r="CZ151" s="159">
        <f t="shared" si="86"/>
        <v>78.654951847377333</v>
      </c>
      <c r="DA151" s="159">
        <f t="shared" si="89"/>
        <v>79.511594883965017</v>
      </c>
      <c r="DB151" s="159">
        <f t="shared" si="90"/>
        <v>73.539143745382717</v>
      </c>
      <c r="DC151" s="159">
        <f t="shared" si="90"/>
        <v>71.782193865352156</v>
      </c>
    </row>
    <row r="152" spans="1:107" x14ac:dyDescent="0.2">
      <c r="A152" s="99">
        <v>15</v>
      </c>
      <c r="B152" s="30">
        <v>440</v>
      </c>
      <c r="C152" s="47" t="s">
        <v>466</v>
      </c>
      <c r="D152" s="64">
        <v>13629.04567</v>
      </c>
      <c r="E152" s="64">
        <v>988.84672999999998</v>
      </c>
      <c r="F152" s="64">
        <v>315.69476000000003</v>
      </c>
      <c r="G152" s="205">
        <v>14928</v>
      </c>
      <c r="H152" s="205"/>
      <c r="I152" s="64">
        <v>13618</v>
      </c>
      <c r="J152" s="64">
        <v>998</v>
      </c>
      <c r="K152" s="64">
        <v>283</v>
      </c>
      <c r="L152" s="205">
        <v>14900</v>
      </c>
      <c r="M152" s="205"/>
      <c r="N152" s="64">
        <v>13596</v>
      </c>
      <c r="O152" s="64">
        <v>1026</v>
      </c>
      <c r="P152" s="64">
        <v>362</v>
      </c>
      <c r="Q152" s="205">
        <v>14984</v>
      </c>
      <c r="R152" s="205"/>
      <c r="S152" s="64">
        <v>13671</v>
      </c>
      <c r="T152" s="64">
        <v>1032</v>
      </c>
      <c r="U152" s="64">
        <v>352</v>
      </c>
      <c r="V152" s="205">
        <v>15055</v>
      </c>
      <c r="W152" s="205"/>
      <c r="X152" s="64">
        <v>14267</v>
      </c>
      <c r="Y152" s="64">
        <v>1154</v>
      </c>
      <c r="Z152" s="64">
        <v>348</v>
      </c>
      <c r="AA152" s="205">
        <f t="shared" si="87"/>
        <v>15769</v>
      </c>
      <c r="AB152" s="205"/>
      <c r="AC152" s="64">
        <v>15436</v>
      </c>
      <c r="AD152" s="64">
        <v>1165</v>
      </c>
      <c r="AE152" s="64">
        <v>410</v>
      </c>
      <c r="AF152" s="205">
        <f t="shared" si="64"/>
        <v>17011</v>
      </c>
      <c r="AG152" s="205"/>
      <c r="AH152" s="278">
        <v>16590.732680000001</v>
      </c>
      <c r="AI152" s="64">
        <v>1342.23803</v>
      </c>
      <c r="AJ152" s="64">
        <v>626.32564000000002</v>
      </c>
      <c r="AK152" s="205">
        <f t="shared" si="65"/>
        <v>18559.296350000001</v>
      </c>
      <c r="AL152" s="205"/>
      <c r="AM152" s="64">
        <v>17507.958770000001</v>
      </c>
      <c r="AN152" s="64">
        <v>1462.02451</v>
      </c>
      <c r="AO152" s="64">
        <v>695.22334000000001</v>
      </c>
      <c r="AP152" s="205">
        <f t="shared" si="66"/>
        <v>19665.206620000001</v>
      </c>
      <c r="AQ152" s="205"/>
      <c r="AR152" s="64">
        <v>8251.3615300000001</v>
      </c>
      <c r="AS152" s="64">
        <v>1559.13986</v>
      </c>
      <c r="AT152" s="64">
        <v>483.07544000000001</v>
      </c>
      <c r="AU152" s="205">
        <f t="shared" si="67"/>
        <v>10293.57683</v>
      </c>
      <c r="AV152" s="205"/>
      <c r="AW152" s="64">
        <v>8960.1971605339695</v>
      </c>
      <c r="AX152" s="64">
        <v>1886.2161279838474</v>
      </c>
      <c r="AY152" s="64">
        <v>430.48681067628036</v>
      </c>
      <c r="AZ152" s="205">
        <f t="shared" si="68"/>
        <v>11276.900099194097</v>
      </c>
      <c r="BA152" s="205"/>
      <c r="BB152" s="64">
        <v>9772.3645860343422</v>
      </c>
      <c r="BC152" s="64">
        <v>1955.6159114646662</v>
      </c>
      <c r="BD152" s="64">
        <v>435.65265240439567</v>
      </c>
      <c r="BE152" s="205">
        <f t="shared" si="63"/>
        <v>12163.633149903402</v>
      </c>
      <c r="BF152" s="205"/>
      <c r="BG152" s="64">
        <v>10473.207205080203</v>
      </c>
      <c r="BH152" s="64">
        <v>2043.8267044342667</v>
      </c>
      <c r="BI152" s="64">
        <v>456.80800424334439</v>
      </c>
      <c r="BJ152" s="205">
        <f t="shared" si="69"/>
        <v>12973.841913757815</v>
      </c>
      <c r="BK152" s="205"/>
      <c r="BL152" s="64">
        <v>11051.265837674364</v>
      </c>
      <c r="BM152" s="64">
        <v>2140.9565442217013</v>
      </c>
      <c r="BN152" s="64">
        <v>484.11316766338274</v>
      </c>
      <c r="BO152" s="205">
        <f t="shared" si="70"/>
        <v>13676.335549559448</v>
      </c>
      <c r="BQ152" s="64">
        <v>11678.661453829505</v>
      </c>
      <c r="BR152" s="64">
        <v>2242.3023132557714</v>
      </c>
      <c r="BS152" s="64">
        <v>501.08664762719036</v>
      </c>
      <c r="BT152" s="205">
        <f t="shared" si="71"/>
        <v>14422.050414712467</v>
      </c>
      <c r="BU152" s="205"/>
      <c r="BV152" s="5">
        <f t="shared" si="72"/>
        <v>15769</v>
      </c>
      <c r="BW152" s="5">
        <f t="shared" si="73"/>
        <v>17011</v>
      </c>
      <c r="BX152" s="5">
        <f t="shared" si="74"/>
        <v>18559.296350000001</v>
      </c>
      <c r="BY152" s="5">
        <f t="shared" si="75"/>
        <v>19665.206620000001</v>
      </c>
      <c r="BZ152" s="5">
        <f t="shared" si="76"/>
        <v>10293.57683</v>
      </c>
      <c r="CA152" s="5">
        <f t="shared" si="77"/>
        <v>11276.900099194097</v>
      </c>
      <c r="CB152" s="5">
        <f t="shared" si="78"/>
        <v>12163.633149903402</v>
      </c>
      <c r="CC152" s="5">
        <f t="shared" si="79"/>
        <v>12973.841913757815</v>
      </c>
      <c r="CD152" s="5">
        <f t="shared" si="80"/>
        <v>13676.335549559448</v>
      </c>
      <c r="CE152" s="5">
        <f t="shared" si="88"/>
        <v>14422.050414712467</v>
      </c>
      <c r="CH152" s="41">
        <f>BV152/'1. Väestöennuste'!I152*1000</f>
        <v>2911.0208602547532</v>
      </c>
      <c r="CI152" s="41">
        <f>BW152/'1. Väestöennuste'!J152*1000</f>
        <v>3073.9067582219009</v>
      </c>
      <c r="CJ152" s="41">
        <f>BX152/'1. Väestöennuste'!K152*1000</f>
        <v>3301.1910974742086</v>
      </c>
      <c r="CK152" s="41">
        <f>BY152/'1. Väestöennuste'!L152*1000</f>
        <v>3430.7757536636427</v>
      </c>
      <c r="CL152" s="41">
        <f>BZ152/'1. Väestöennuste'!M152*1000</f>
        <v>1761.6937925723089</v>
      </c>
      <c r="CM152" s="41">
        <f>CA152/'1. Väestöennuste'!N152*1000</f>
        <v>1922.7451149521053</v>
      </c>
      <c r="CN152" s="41">
        <f>CB152/'1. Väestöennuste'!O152*1000</f>
        <v>2048.7844281461012</v>
      </c>
      <c r="CO152" s="41">
        <f>CC152/'1. Väestöennuste'!P152*1000</f>
        <v>2159.7872338534735</v>
      </c>
      <c r="CP152" s="41">
        <f>CD152/'1. Väestöennuste'!Q152*1000</f>
        <v>2251.2486501332423</v>
      </c>
      <c r="CQ152" s="41">
        <f>CE152/'1. Väestöennuste'!R152*1000</f>
        <v>2349.2507598489115</v>
      </c>
      <c r="CR152" s="41"/>
      <c r="CU152" s="159">
        <f t="shared" si="81"/>
        <v>162.88589796714768</v>
      </c>
      <c r="CV152" s="159">
        <f t="shared" si="82"/>
        <v>227.28433925230775</v>
      </c>
      <c r="CW152" s="159">
        <f t="shared" si="83"/>
        <v>129.5846561894341</v>
      </c>
      <c r="CX152" s="159">
        <f t="shared" si="84"/>
        <v>-1669.0819610913338</v>
      </c>
      <c r="CY152" s="159">
        <f t="shared" si="85"/>
        <v>161.05132237979637</v>
      </c>
      <c r="CZ152" s="159">
        <f t="shared" si="86"/>
        <v>126.03931319399589</v>
      </c>
      <c r="DA152" s="159">
        <f t="shared" si="89"/>
        <v>111.00280570737232</v>
      </c>
      <c r="DB152" s="159">
        <f t="shared" si="90"/>
        <v>91.461416279768855</v>
      </c>
      <c r="DC152" s="159">
        <f t="shared" si="90"/>
        <v>98.002109715669121</v>
      </c>
    </row>
    <row r="153" spans="1:107" x14ac:dyDescent="0.2">
      <c r="A153" s="99">
        <v>9</v>
      </c>
      <c r="B153" s="30">
        <v>441</v>
      </c>
      <c r="C153" s="47" t="s">
        <v>467</v>
      </c>
      <c r="D153" s="64">
        <v>13701.918659999999</v>
      </c>
      <c r="E153" s="64">
        <v>1325.4548400000001</v>
      </c>
      <c r="F153" s="64">
        <v>1943.1443700000002</v>
      </c>
      <c r="G153" s="205">
        <v>16971</v>
      </c>
      <c r="H153" s="205"/>
      <c r="I153" s="64">
        <v>13196</v>
      </c>
      <c r="J153" s="64">
        <v>1343</v>
      </c>
      <c r="K153" s="64">
        <v>1905</v>
      </c>
      <c r="L153" s="205">
        <v>16444</v>
      </c>
      <c r="M153" s="205"/>
      <c r="N153" s="64">
        <v>13559</v>
      </c>
      <c r="O153" s="64">
        <v>1503</v>
      </c>
      <c r="P153" s="64">
        <v>2202</v>
      </c>
      <c r="Q153" s="205">
        <v>17264</v>
      </c>
      <c r="R153" s="205"/>
      <c r="S153" s="64">
        <v>12822</v>
      </c>
      <c r="T153" s="64">
        <v>1966</v>
      </c>
      <c r="U153" s="64">
        <v>1513</v>
      </c>
      <c r="V153" s="205">
        <v>16301</v>
      </c>
      <c r="W153" s="205"/>
      <c r="X153" s="64">
        <v>13096</v>
      </c>
      <c r="Y153" s="64">
        <v>1520</v>
      </c>
      <c r="Z153" s="64">
        <v>2171</v>
      </c>
      <c r="AA153" s="205">
        <f t="shared" si="87"/>
        <v>16787</v>
      </c>
      <c r="AB153" s="205"/>
      <c r="AC153" s="64">
        <v>13712</v>
      </c>
      <c r="AD153" s="64">
        <v>1472</v>
      </c>
      <c r="AE153" s="64">
        <v>2281</v>
      </c>
      <c r="AF153" s="205">
        <f t="shared" si="64"/>
        <v>17465</v>
      </c>
      <c r="AG153" s="205"/>
      <c r="AH153" s="278">
        <v>14225.680420000001</v>
      </c>
      <c r="AI153" s="64">
        <v>1612.1656399999999</v>
      </c>
      <c r="AJ153" s="64">
        <v>2843.2742499999999</v>
      </c>
      <c r="AK153" s="205">
        <f t="shared" si="65"/>
        <v>18681.120309999998</v>
      </c>
      <c r="AL153" s="205"/>
      <c r="AM153" s="64">
        <v>14479.666300000001</v>
      </c>
      <c r="AN153" s="64">
        <v>1685.7402500000001</v>
      </c>
      <c r="AO153" s="64">
        <v>2658.0423500000002</v>
      </c>
      <c r="AP153" s="205">
        <f t="shared" si="66"/>
        <v>18823.448900000003</v>
      </c>
      <c r="AQ153" s="205"/>
      <c r="AR153" s="64">
        <v>7044.3634499999998</v>
      </c>
      <c r="AS153" s="64">
        <v>1711.91365</v>
      </c>
      <c r="AT153" s="64">
        <v>1534.2720400000001</v>
      </c>
      <c r="AU153" s="205">
        <f t="shared" si="67"/>
        <v>10290.549139999999</v>
      </c>
      <c r="AV153" s="205"/>
      <c r="AW153" s="64">
        <v>7053.8235918585042</v>
      </c>
      <c r="AX153" s="64">
        <v>1852.9460684903272</v>
      </c>
      <c r="AY153" s="64">
        <v>1242.2238354109984</v>
      </c>
      <c r="AZ153" s="205">
        <f t="shared" si="68"/>
        <v>10148.993495759829</v>
      </c>
      <c r="BA153" s="205"/>
      <c r="BB153" s="64">
        <v>7356.3488811439756</v>
      </c>
      <c r="BC153" s="64">
        <v>1858.809809049681</v>
      </c>
      <c r="BD153" s="64">
        <v>1257.1305214359304</v>
      </c>
      <c r="BE153" s="205">
        <f t="shared" si="63"/>
        <v>10472.289211629588</v>
      </c>
      <c r="BF153" s="205"/>
      <c r="BG153" s="64">
        <v>7568.012017941277</v>
      </c>
      <c r="BH153" s="64">
        <v>1879.0659719287974</v>
      </c>
      <c r="BI153" s="64">
        <v>1318.1769499189852</v>
      </c>
      <c r="BJ153" s="205">
        <f t="shared" si="69"/>
        <v>10765.25493978906</v>
      </c>
      <c r="BK153" s="205"/>
      <c r="BL153" s="64">
        <v>7761.8555855627537</v>
      </c>
      <c r="BM153" s="64">
        <v>1903.3474857496474</v>
      </c>
      <c r="BN153" s="64">
        <v>1396.9694331936257</v>
      </c>
      <c r="BO153" s="205">
        <f t="shared" si="70"/>
        <v>11062.172504506027</v>
      </c>
      <c r="BQ153" s="64">
        <v>7972.2120203229388</v>
      </c>
      <c r="BR153" s="64">
        <v>1926.9986397670043</v>
      </c>
      <c r="BS153" s="64">
        <v>1445.9485444184022</v>
      </c>
      <c r="BT153" s="205">
        <f t="shared" si="71"/>
        <v>11345.159204508345</v>
      </c>
      <c r="BU153" s="205"/>
      <c r="BV153" s="5">
        <f t="shared" si="72"/>
        <v>16787</v>
      </c>
      <c r="BW153" s="5">
        <f t="shared" si="73"/>
        <v>17465</v>
      </c>
      <c r="BX153" s="5">
        <f t="shared" si="74"/>
        <v>18681.120309999998</v>
      </c>
      <c r="BY153" s="5">
        <f t="shared" si="75"/>
        <v>18823.448900000003</v>
      </c>
      <c r="BZ153" s="5">
        <f t="shared" si="76"/>
        <v>10290.549139999999</v>
      </c>
      <c r="CA153" s="5">
        <f t="shared" si="77"/>
        <v>10148.993495759829</v>
      </c>
      <c r="CB153" s="5">
        <f t="shared" si="78"/>
        <v>10472.289211629588</v>
      </c>
      <c r="CC153" s="5">
        <f t="shared" si="79"/>
        <v>10765.25493978906</v>
      </c>
      <c r="CD153" s="5">
        <f t="shared" si="80"/>
        <v>11062.172504506027</v>
      </c>
      <c r="CE153" s="5">
        <f t="shared" si="88"/>
        <v>11345.159204508345</v>
      </c>
      <c r="CH153" s="41">
        <f>BV153/'1. Väestöennuste'!I153*1000</f>
        <v>3621.0094909404661</v>
      </c>
      <c r="CI153" s="41">
        <f>BW153/'1. Väestöennuste'!J153*1000</f>
        <v>3844.3759630200307</v>
      </c>
      <c r="CJ153" s="41">
        <f>BX153/'1. Väestöennuste'!K153*1000</f>
        <v>4176.4185803711152</v>
      </c>
      <c r="CK153" s="41">
        <f>BY153/'1. Väestöennuste'!L153*1000</f>
        <v>4257.7355575661622</v>
      </c>
      <c r="CL153" s="41">
        <f>BZ153/'1. Väestöennuste'!M153*1000</f>
        <v>2340.8892493175608</v>
      </c>
      <c r="CM153" s="41">
        <f>CA153/'1. Väestöennuste'!N153*1000</f>
        <v>2362.428653575379</v>
      </c>
      <c r="CN153" s="41">
        <f>CB153/'1. Väestöennuste'!O153*1000</f>
        <v>2466.9703678750502</v>
      </c>
      <c r="CO153" s="41">
        <f>CC153/'1. Väestöennuste'!P153*1000</f>
        <v>2564.3770699831016</v>
      </c>
      <c r="CP153" s="41">
        <f>CD153/'1. Väestöennuste'!Q153*1000</f>
        <v>2665.5837360255487</v>
      </c>
      <c r="CQ153" s="41">
        <f>CE153/'1. Väestöennuste'!R153*1000</f>
        <v>2765.0887654175835</v>
      </c>
      <c r="CR153" s="41"/>
      <c r="CU153" s="159">
        <f t="shared" si="81"/>
        <v>223.36647207956457</v>
      </c>
      <c r="CV153" s="159">
        <f t="shared" si="82"/>
        <v>332.04261735108457</v>
      </c>
      <c r="CW153" s="159">
        <f t="shared" si="83"/>
        <v>81.316977195047002</v>
      </c>
      <c r="CX153" s="159">
        <f t="shared" si="84"/>
        <v>-1916.8463082486014</v>
      </c>
      <c r="CY153" s="159">
        <f t="shared" si="85"/>
        <v>21.539404257818205</v>
      </c>
      <c r="CZ153" s="159">
        <f t="shared" si="86"/>
        <v>104.54171429967118</v>
      </c>
      <c r="DA153" s="159">
        <f t="shared" si="89"/>
        <v>97.406702108051377</v>
      </c>
      <c r="DB153" s="159">
        <f t="shared" si="90"/>
        <v>101.20666604244707</v>
      </c>
      <c r="DC153" s="159">
        <f t="shared" si="90"/>
        <v>99.505029392034885</v>
      </c>
    </row>
    <row r="154" spans="1:107" x14ac:dyDescent="0.2">
      <c r="A154" s="99">
        <v>1</v>
      </c>
      <c r="B154" s="30">
        <v>444</v>
      </c>
      <c r="C154" s="47" t="s">
        <v>468</v>
      </c>
      <c r="D154" s="64">
        <v>168598.74377</v>
      </c>
      <c r="E154" s="64">
        <v>12221.86306</v>
      </c>
      <c r="F154" s="64">
        <v>6700.3198200000006</v>
      </c>
      <c r="G154" s="205">
        <v>187476</v>
      </c>
      <c r="H154" s="205"/>
      <c r="I154" s="64">
        <v>172144</v>
      </c>
      <c r="J154" s="64">
        <v>12405</v>
      </c>
      <c r="K154" s="64">
        <v>5582</v>
      </c>
      <c r="L154" s="205">
        <v>190131</v>
      </c>
      <c r="M154" s="205"/>
      <c r="N154" s="64">
        <v>170627</v>
      </c>
      <c r="O154" s="64">
        <v>12616</v>
      </c>
      <c r="P154" s="64">
        <v>6613</v>
      </c>
      <c r="Q154" s="205">
        <v>189856</v>
      </c>
      <c r="R154" s="205"/>
      <c r="S154" s="64">
        <v>168400</v>
      </c>
      <c r="T154" s="64">
        <v>13269</v>
      </c>
      <c r="U154" s="64">
        <v>6789</v>
      </c>
      <c r="V154" s="205">
        <v>188458</v>
      </c>
      <c r="W154" s="205"/>
      <c r="X154" s="64">
        <v>169133</v>
      </c>
      <c r="Y154" s="64">
        <v>13799</v>
      </c>
      <c r="Z154" s="64">
        <v>7157</v>
      </c>
      <c r="AA154" s="205">
        <f t="shared" si="87"/>
        <v>190089</v>
      </c>
      <c r="AB154" s="205"/>
      <c r="AC154" s="64">
        <v>177030</v>
      </c>
      <c r="AD154" s="64">
        <v>12516</v>
      </c>
      <c r="AE154" s="64">
        <v>7709</v>
      </c>
      <c r="AF154" s="205">
        <f t="shared" si="64"/>
        <v>197255</v>
      </c>
      <c r="AG154" s="205"/>
      <c r="AH154" s="278">
        <v>180563.62624000001</v>
      </c>
      <c r="AI154" s="64">
        <v>13679.794749999999</v>
      </c>
      <c r="AJ154" s="64">
        <v>12689.01539</v>
      </c>
      <c r="AK154" s="205">
        <f t="shared" si="65"/>
        <v>206932.43638000003</v>
      </c>
      <c r="AL154" s="205"/>
      <c r="AM154" s="64">
        <v>185348.73991</v>
      </c>
      <c r="AN154" s="64">
        <v>14365.12139</v>
      </c>
      <c r="AO154" s="64">
        <v>13694.885460000001</v>
      </c>
      <c r="AP154" s="205">
        <f t="shared" si="66"/>
        <v>213408.74675999998</v>
      </c>
      <c r="AQ154" s="205"/>
      <c r="AR154" s="64">
        <v>90052.247659999994</v>
      </c>
      <c r="AS154" s="64">
        <v>14884.73198</v>
      </c>
      <c r="AT154" s="64">
        <v>9866.3743100000011</v>
      </c>
      <c r="AU154" s="205">
        <f t="shared" si="67"/>
        <v>114803.35394999999</v>
      </c>
      <c r="AV154" s="205"/>
      <c r="AW154" s="64">
        <v>84174.659574973295</v>
      </c>
      <c r="AX154" s="64">
        <v>15745.210715778832</v>
      </c>
      <c r="AY154" s="64">
        <v>8462.8513001682004</v>
      </c>
      <c r="AZ154" s="205">
        <f t="shared" si="68"/>
        <v>108382.72159092032</v>
      </c>
      <c r="BA154" s="205"/>
      <c r="BB154" s="64">
        <v>88605.731933320654</v>
      </c>
      <c r="BC154" s="64">
        <v>15787.311825707944</v>
      </c>
      <c r="BD154" s="64">
        <v>8564.4055157702187</v>
      </c>
      <c r="BE154" s="205">
        <f t="shared" si="63"/>
        <v>112957.44927479883</v>
      </c>
      <c r="BF154" s="205"/>
      <c r="BG154" s="64">
        <v>92069.81750369232</v>
      </c>
      <c r="BH154" s="64">
        <v>15949.591375506785</v>
      </c>
      <c r="BI154" s="64">
        <v>8980.2942082356276</v>
      </c>
      <c r="BJ154" s="205">
        <f t="shared" si="69"/>
        <v>116999.70308743474</v>
      </c>
      <c r="BK154" s="205"/>
      <c r="BL154" s="64">
        <v>95048.778953815068</v>
      </c>
      <c r="BM154" s="64">
        <v>16143.901329318072</v>
      </c>
      <c r="BN154" s="64">
        <v>9517.0807764177243</v>
      </c>
      <c r="BO154" s="205">
        <f t="shared" si="70"/>
        <v>120709.76105955087</v>
      </c>
      <c r="BQ154" s="64">
        <v>98387.902751213493</v>
      </c>
      <c r="BR154" s="64">
        <v>16330.709290057432</v>
      </c>
      <c r="BS154" s="64">
        <v>9850.7589133957863</v>
      </c>
      <c r="BT154" s="205">
        <f t="shared" si="71"/>
        <v>124569.37095466671</v>
      </c>
      <c r="BU154" s="205"/>
      <c r="BV154" s="5">
        <f t="shared" si="72"/>
        <v>190089</v>
      </c>
      <c r="BW154" s="5">
        <f t="shared" si="73"/>
        <v>197255</v>
      </c>
      <c r="BX154" s="5">
        <f t="shared" si="74"/>
        <v>206932.43638000003</v>
      </c>
      <c r="BY154" s="5">
        <f t="shared" si="75"/>
        <v>213408.74675999998</v>
      </c>
      <c r="BZ154" s="5">
        <f t="shared" si="76"/>
        <v>114803.35394999999</v>
      </c>
      <c r="CA154" s="5">
        <f t="shared" si="77"/>
        <v>108382.72159092032</v>
      </c>
      <c r="CB154" s="5">
        <f t="shared" si="78"/>
        <v>112957.44927479883</v>
      </c>
      <c r="CC154" s="5">
        <f t="shared" si="79"/>
        <v>116999.70308743474</v>
      </c>
      <c r="CD154" s="5">
        <f t="shared" si="80"/>
        <v>120709.76105955087</v>
      </c>
      <c r="CE154" s="5">
        <f t="shared" si="88"/>
        <v>124569.37095466671</v>
      </c>
      <c r="CH154" s="41">
        <f>BV154/'1. Väestöennuste'!I154*1000</f>
        <v>4135.5161535951265</v>
      </c>
      <c r="CI154" s="41">
        <f>BW154/'1. Väestöennuste'!J154*1000</f>
        <v>4298.8057359543209</v>
      </c>
      <c r="CJ154" s="41">
        <f>BX154/'1. Väestöennuste'!K154*1000</f>
        <v>4499.7050617552413</v>
      </c>
      <c r="CK154" s="41">
        <f>BY154/'1. Väestöennuste'!L154*1000</f>
        <v>4658.4607792888164</v>
      </c>
      <c r="CL154" s="41">
        <f>BZ154/'1. Väestöennuste'!M154*1000</f>
        <v>2515.1353697009527</v>
      </c>
      <c r="CM154" s="41">
        <f>CA154/'1. Väestöennuste'!N154*1000</f>
        <v>2414.0303715375262</v>
      </c>
      <c r="CN154" s="41">
        <f>CB154/'1. Väestöennuste'!O154*1000</f>
        <v>2528.7660183751332</v>
      </c>
      <c r="CO154" s="41">
        <f>CC154/'1. Väestöennuste'!P154*1000</f>
        <v>2632.1050839673962</v>
      </c>
      <c r="CP154" s="41">
        <f>CD154/'1. Väestöennuste'!Q154*1000</f>
        <v>2728.3358058800459</v>
      </c>
      <c r="CQ154" s="41">
        <f>CE154/'1. Väestöennuste'!R154*1000</f>
        <v>2828.1011409327921</v>
      </c>
      <c r="CR154" s="41"/>
      <c r="CU154" s="159">
        <f t="shared" si="81"/>
        <v>163.28958235919436</v>
      </c>
      <c r="CV154" s="159">
        <f t="shared" si="82"/>
        <v>200.89932580092045</v>
      </c>
      <c r="CW154" s="159">
        <f t="shared" si="83"/>
        <v>158.75571753357508</v>
      </c>
      <c r="CX154" s="159">
        <f t="shared" si="84"/>
        <v>-2143.3254095878638</v>
      </c>
      <c r="CY154" s="159">
        <f t="shared" si="85"/>
        <v>-101.10499816342644</v>
      </c>
      <c r="CZ154" s="159">
        <f t="shared" si="86"/>
        <v>114.73564683760696</v>
      </c>
      <c r="DA154" s="159">
        <f t="shared" si="89"/>
        <v>103.33906559226307</v>
      </c>
      <c r="DB154" s="159">
        <f t="shared" si="90"/>
        <v>96.230721912649642</v>
      </c>
      <c r="DC154" s="159">
        <f t="shared" si="90"/>
        <v>99.765335052746195</v>
      </c>
    </row>
    <row r="155" spans="1:107" x14ac:dyDescent="0.2">
      <c r="A155" s="99">
        <v>2</v>
      </c>
      <c r="B155" s="30">
        <v>445</v>
      </c>
      <c r="C155" s="47" t="s">
        <v>469</v>
      </c>
      <c r="D155" s="64">
        <v>53344.586430000003</v>
      </c>
      <c r="E155" s="64">
        <v>9091.8677699999989</v>
      </c>
      <c r="F155" s="64">
        <v>2353.6882000000001</v>
      </c>
      <c r="G155" s="205">
        <v>64771</v>
      </c>
      <c r="H155" s="205"/>
      <c r="I155" s="64">
        <v>54746</v>
      </c>
      <c r="J155" s="64">
        <v>9156</v>
      </c>
      <c r="K155" s="64">
        <v>2014</v>
      </c>
      <c r="L155" s="205">
        <v>65916</v>
      </c>
      <c r="M155" s="205"/>
      <c r="N155" s="64">
        <v>54787</v>
      </c>
      <c r="O155" s="64">
        <v>9190</v>
      </c>
      <c r="P155" s="64">
        <v>2254</v>
      </c>
      <c r="Q155" s="205">
        <v>66231</v>
      </c>
      <c r="R155" s="205"/>
      <c r="S155" s="64">
        <v>54276</v>
      </c>
      <c r="T155" s="64">
        <v>9109</v>
      </c>
      <c r="U155" s="64">
        <v>2304</v>
      </c>
      <c r="V155" s="205">
        <v>65689</v>
      </c>
      <c r="W155" s="205"/>
      <c r="X155" s="64">
        <v>55114</v>
      </c>
      <c r="Y155" s="64">
        <v>9399</v>
      </c>
      <c r="Z155" s="64">
        <v>2534</v>
      </c>
      <c r="AA155" s="205">
        <f t="shared" si="87"/>
        <v>67047</v>
      </c>
      <c r="AB155" s="205"/>
      <c r="AC155" s="64">
        <v>57437</v>
      </c>
      <c r="AD155" s="64">
        <v>8673</v>
      </c>
      <c r="AE155" s="64">
        <v>2600</v>
      </c>
      <c r="AF155" s="205">
        <f t="shared" si="64"/>
        <v>68710</v>
      </c>
      <c r="AG155" s="205"/>
      <c r="AH155" s="278">
        <v>59975.735780000003</v>
      </c>
      <c r="AI155" s="64">
        <v>9542.3918599999997</v>
      </c>
      <c r="AJ155" s="64">
        <v>3735.1884</v>
      </c>
      <c r="AK155" s="205">
        <f t="shared" si="65"/>
        <v>73253.316040000005</v>
      </c>
      <c r="AL155" s="205"/>
      <c r="AM155" s="64">
        <v>63195.660459999999</v>
      </c>
      <c r="AN155" s="64">
        <v>10017.164560000001</v>
      </c>
      <c r="AO155" s="64">
        <v>4041.5747799999999</v>
      </c>
      <c r="AP155" s="205">
        <f t="shared" si="66"/>
        <v>77254.399799999999</v>
      </c>
      <c r="AQ155" s="205"/>
      <c r="AR155" s="64">
        <v>30541.31767</v>
      </c>
      <c r="AS155" s="64">
        <v>10310.44218</v>
      </c>
      <c r="AT155" s="64">
        <v>2627.62246</v>
      </c>
      <c r="AU155" s="205">
        <f t="shared" si="67"/>
        <v>43479.382310000001</v>
      </c>
      <c r="AV155" s="205"/>
      <c r="AW155" s="64">
        <v>28370.845406622691</v>
      </c>
      <c r="AX155" s="64">
        <v>10439.193710387051</v>
      </c>
      <c r="AY155" s="64">
        <v>2170.5243521164462</v>
      </c>
      <c r="AZ155" s="205">
        <f t="shared" si="68"/>
        <v>40980.563469126188</v>
      </c>
      <c r="BA155" s="205"/>
      <c r="BB155" s="64">
        <v>29705.150867771496</v>
      </c>
      <c r="BC155" s="64">
        <v>10550.622441373505</v>
      </c>
      <c r="BD155" s="64">
        <v>2196.5706443418435</v>
      </c>
      <c r="BE155" s="205">
        <f t="shared" si="63"/>
        <v>42452.343953486845</v>
      </c>
      <c r="BF155" s="205"/>
      <c r="BG155" s="64">
        <v>30767.299994970945</v>
      </c>
      <c r="BH155" s="64">
        <v>10747.323203788026</v>
      </c>
      <c r="BI155" s="64">
        <v>2303.2364125029949</v>
      </c>
      <c r="BJ155" s="205">
        <f t="shared" si="69"/>
        <v>43817.859611261963</v>
      </c>
      <c r="BK155" s="205"/>
      <c r="BL155" s="64">
        <v>31649.730537327927</v>
      </c>
      <c r="BM155" s="64">
        <v>10971.568132057966</v>
      </c>
      <c r="BN155" s="64">
        <v>2440.9096714086663</v>
      </c>
      <c r="BO155" s="205">
        <f t="shared" si="70"/>
        <v>45062.208340794561</v>
      </c>
      <c r="BQ155" s="64">
        <v>32667.736571359888</v>
      </c>
      <c r="BR155" s="64">
        <v>11197.018987469386</v>
      </c>
      <c r="BS155" s="64">
        <v>2526.4903458635436</v>
      </c>
      <c r="BT155" s="205">
        <f t="shared" si="71"/>
        <v>46391.24590469282</v>
      </c>
      <c r="BU155" s="205"/>
      <c r="BV155" s="5">
        <f t="shared" si="72"/>
        <v>67047</v>
      </c>
      <c r="BW155" s="5">
        <f t="shared" si="73"/>
        <v>68710</v>
      </c>
      <c r="BX155" s="5">
        <f t="shared" si="74"/>
        <v>73253.316040000005</v>
      </c>
      <c r="BY155" s="5">
        <f t="shared" si="75"/>
        <v>77254.399799999999</v>
      </c>
      <c r="BZ155" s="5">
        <f t="shared" si="76"/>
        <v>43479.382310000001</v>
      </c>
      <c r="CA155" s="5">
        <f t="shared" si="77"/>
        <v>40980.563469126188</v>
      </c>
      <c r="CB155" s="5">
        <f t="shared" si="78"/>
        <v>42452.343953486845</v>
      </c>
      <c r="CC155" s="5">
        <f t="shared" si="79"/>
        <v>43817.859611261963</v>
      </c>
      <c r="CD155" s="5">
        <f t="shared" si="80"/>
        <v>45062.208340794561</v>
      </c>
      <c r="CE155" s="5">
        <f t="shared" si="88"/>
        <v>46391.24590469282</v>
      </c>
      <c r="CH155" s="41">
        <f>BV155/'1. Väestöennuste'!I155*1000</f>
        <v>4430.8088818398101</v>
      </c>
      <c r="CI155" s="41">
        <f>BW155/'1. Väestöennuste'!J155*1000</f>
        <v>4548.8248924197287</v>
      </c>
      <c r="CJ155" s="41">
        <f>BX155/'1. Väestöennuste'!K155*1000</f>
        <v>4855.7149701710196</v>
      </c>
      <c r="CK155" s="41">
        <f>BY155/'1. Väestöennuste'!L155*1000</f>
        <v>5153.3853512107262</v>
      </c>
      <c r="CL155" s="41">
        <f>BZ155/'1. Väestöennuste'!M155*1000</f>
        <v>2898.8187419161281</v>
      </c>
      <c r="CM155" s="41">
        <f>CA155/'1. Väestöennuste'!N155*1000</f>
        <v>2767.8348959290956</v>
      </c>
      <c r="CN155" s="41">
        <f>CB155/'1. Väestöennuste'!O155*1000</f>
        <v>2879.8822300716943</v>
      </c>
      <c r="CO155" s="41">
        <f>CC155/'1. Väestöennuste'!P155*1000</f>
        <v>2985.0711636529713</v>
      </c>
      <c r="CP155" s="41">
        <f>CD155/'1. Väestöennuste'!Q155*1000</f>
        <v>3082.0195842141138</v>
      </c>
      <c r="CQ155" s="41">
        <f>CE155/'1. Väestöennuste'!R155*1000</f>
        <v>3185.5555795298237</v>
      </c>
      <c r="CR155" s="41"/>
      <c r="CU155" s="159">
        <f t="shared" si="81"/>
        <v>118.01601057991866</v>
      </c>
      <c r="CV155" s="159">
        <f t="shared" si="82"/>
        <v>306.89007775129085</v>
      </c>
      <c r="CW155" s="159">
        <f t="shared" si="83"/>
        <v>297.67038103970663</v>
      </c>
      <c r="CX155" s="159">
        <f t="shared" si="84"/>
        <v>-2254.566609294598</v>
      </c>
      <c r="CY155" s="159">
        <f t="shared" si="85"/>
        <v>-130.98384598703251</v>
      </c>
      <c r="CZ155" s="159">
        <f t="shared" si="86"/>
        <v>112.04733414259863</v>
      </c>
      <c r="DA155" s="159">
        <f t="shared" si="89"/>
        <v>105.18893358127707</v>
      </c>
      <c r="DB155" s="159">
        <f t="shared" si="90"/>
        <v>96.948420561142484</v>
      </c>
      <c r="DC155" s="159">
        <f t="shared" si="90"/>
        <v>103.5359953157099</v>
      </c>
    </row>
    <row r="156" spans="1:107" x14ac:dyDescent="0.2">
      <c r="A156" s="99">
        <v>15</v>
      </c>
      <c r="B156" s="30">
        <v>475</v>
      </c>
      <c r="C156" s="47" t="s">
        <v>470</v>
      </c>
      <c r="D156" s="64">
        <v>16992.80097</v>
      </c>
      <c r="E156" s="64">
        <v>1318.8952400000001</v>
      </c>
      <c r="F156" s="64">
        <v>1079.1105500000001</v>
      </c>
      <c r="G156" s="205">
        <v>19391</v>
      </c>
      <c r="H156" s="205"/>
      <c r="I156" s="64">
        <v>16991</v>
      </c>
      <c r="J156" s="64">
        <v>1332</v>
      </c>
      <c r="K156" s="64">
        <v>925</v>
      </c>
      <c r="L156" s="205">
        <v>19252</v>
      </c>
      <c r="M156" s="205"/>
      <c r="N156" s="64">
        <v>17027</v>
      </c>
      <c r="O156" s="64">
        <v>1387</v>
      </c>
      <c r="P156" s="64">
        <v>1075</v>
      </c>
      <c r="Q156" s="205">
        <v>19489</v>
      </c>
      <c r="R156" s="205"/>
      <c r="S156" s="64">
        <v>16592</v>
      </c>
      <c r="T156" s="64">
        <v>1416</v>
      </c>
      <c r="U156" s="64">
        <v>1085</v>
      </c>
      <c r="V156" s="205">
        <v>19093</v>
      </c>
      <c r="W156" s="205"/>
      <c r="X156" s="64">
        <v>17612</v>
      </c>
      <c r="Y156" s="64">
        <v>1441</v>
      </c>
      <c r="Z156" s="64">
        <v>1093</v>
      </c>
      <c r="AA156" s="205">
        <f t="shared" si="87"/>
        <v>20146</v>
      </c>
      <c r="AB156" s="205"/>
      <c r="AC156" s="64">
        <v>17682</v>
      </c>
      <c r="AD156" s="64">
        <v>1331</v>
      </c>
      <c r="AE156" s="64">
        <v>1147</v>
      </c>
      <c r="AF156" s="205">
        <f t="shared" si="64"/>
        <v>20160</v>
      </c>
      <c r="AG156" s="205"/>
      <c r="AH156" s="278">
        <v>18414.60887</v>
      </c>
      <c r="AI156" s="64">
        <v>1875.51749</v>
      </c>
      <c r="AJ156" s="64">
        <v>1769.28424</v>
      </c>
      <c r="AK156" s="205">
        <f t="shared" si="65"/>
        <v>22059.410599999999</v>
      </c>
      <c r="AL156" s="205"/>
      <c r="AM156" s="64">
        <v>19884.658350000002</v>
      </c>
      <c r="AN156" s="64">
        <v>2128.5820899999999</v>
      </c>
      <c r="AO156" s="64">
        <v>1985.0405900000001</v>
      </c>
      <c r="AP156" s="205">
        <f t="shared" si="66"/>
        <v>23998.281030000002</v>
      </c>
      <c r="AQ156" s="205"/>
      <c r="AR156" s="64">
        <v>9951.5494299999991</v>
      </c>
      <c r="AS156" s="64">
        <v>2489.0810200000001</v>
      </c>
      <c r="AT156" s="64">
        <v>1359.93236</v>
      </c>
      <c r="AU156" s="205">
        <f t="shared" si="67"/>
        <v>13800.562809999999</v>
      </c>
      <c r="AV156" s="205"/>
      <c r="AW156" s="64">
        <v>9717.4198195359859</v>
      </c>
      <c r="AX156" s="64">
        <v>2675.1548040068642</v>
      </c>
      <c r="AY156" s="64">
        <v>1101.2109936394263</v>
      </c>
      <c r="AZ156" s="205">
        <f t="shared" si="68"/>
        <v>13493.785617182277</v>
      </c>
      <c r="BA156" s="205"/>
      <c r="BB156" s="64">
        <v>10393.05757896903</v>
      </c>
      <c r="BC156" s="64">
        <v>2707.9356191265133</v>
      </c>
      <c r="BD156" s="64">
        <v>1114.4255255630994</v>
      </c>
      <c r="BE156" s="205">
        <f t="shared" si="63"/>
        <v>14215.418723658644</v>
      </c>
      <c r="BF156" s="205"/>
      <c r="BG156" s="64">
        <v>10948.223546505016</v>
      </c>
      <c r="BH156" s="64">
        <v>2762.1505951696308</v>
      </c>
      <c r="BI156" s="64">
        <v>1168.5421801076657</v>
      </c>
      <c r="BJ156" s="205">
        <f t="shared" si="69"/>
        <v>14878.916321782313</v>
      </c>
      <c r="BK156" s="205"/>
      <c r="BL156" s="64">
        <v>11383.484178508315</v>
      </c>
      <c r="BM156" s="64">
        <v>2823.0082507371121</v>
      </c>
      <c r="BN156" s="64">
        <v>1238.3904202756521</v>
      </c>
      <c r="BO156" s="205">
        <f t="shared" si="70"/>
        <v>15444.88284952108</v>
      </c>
      <c r="BQ156" s="64">
        <v>11856.253929677414</v>
      </c>
      <c r="BR156" s="64">
        <v>2883.7197364846706</v>
      </c>
      <c r="BS156" s="64">
        <v>1281.8095965962923</v>
      </c>
      <c r="BT156" s="205">
        <f t="shared" si="71"/>
        <v>16021.783262758378</v>
      </c>
      <c r="BU156" s="205"/>
      <c r="BV156" s="5">
        <f t="shared" si="72"/>
        <v>20146</v>
      </c>
      <c r="BW156" s="5">
        <f t="shared" si="73"/>
        <v>20160</v>
      </c>
      <c r="BX156" s="5">
        <f t="shared" si="74"/>
        <v>22059.410599999999</v>
      </c>
      <c r="BY156" s="5">
        <f t="shared" si="75"/>
        <v>23998.281030000002</v>
      </c>
      <c r="BZ156" s="5">
        <f t="shared" si="76"/>
        <v>13800.562809999999</v>
      </c>
      <c r="CA156" s="5">
        <f t="shared" si="77"/>
        <v>13493.785617182277</v>
      </c>
      <c r="CB156" s="5">
        <f t="shared" si="78"/>
        <v>14215.418723658644</v>
      </c>
      <c r="CC156" s="5">
        <f t="shared" si="79"/>
        <v>14878.916321782313</v>
      </c>
      <c r="CD156" s="5">
        <f t="shared" si="80"/>
        <v>15444.88284952108</v>
      </c>
      <c r="CE156" s="5">
        <f t="shared" si="88"/>
        <v>16021.783262758378</v>
      </c>
      <c r="CH156" s="41">
        <f>BV156/'1. Väestöennuste'!I156*1000</f>
        <v>3679.6347031963469</v>
      </c>
      <c r="CI156" s="41">
        <f>BW156/'1. Väestöennuste'!J156*1000</f>
        <v>3698.4039625756741</v>
      </c>
      <c r="CJ156" s="41">
        <f>BX156/'1. Väestöennuste'!K156*1000</f>
        <v>4020.3044650993256</v>
      </c>
      <c r="CK156" s="41">
        <f>BY156/'1. Väestöennuste'!L156*1000</f>
        <v>4380.0476419054576</v>
      </c>
      <c r="CL156" s="41">
        <f>BZ156/'1. Väestöennuste'!M156*1000</f>
        <v>2529.4286675219937</v>
      </c>
      <c r="CM156" s="41">
        <f>CA156/'1. Väestöennuste'!N156*1000</f>
        <v>2498.8491883670886</v>
      </c>
      <c r="CN156" s="41">
        <f>CB156/'1. Väestöennuste'!O156*1000</f>
        <v>2638.3479442573575</v>
      </c>
      <c r="CO156" s="41">
        <f>CC156/'1. Väestöennuste'!P156*1000</f>
        <v>2767.6555658077218</v>
      </c>
      <c r="CP156" s="41">
        <f>CD156/'1. Väestöennuste'!Q156*1000</f>
        <v>2880.4332058040059</v>
      </c>
      <c r="CQ156" s="41">
        <f>CE156/'1. Väestöennuste'!R156*1000</f>
        <v>2999.7721892451559</v>
      </c>
      <c r="CR156" s="41"/>
      <c r="CU156" s="159">
        <f t="shared" si="81"/>
        <v>18.769259379327195</v>
      </c>
      <c r="CV156" s="159">
        <f t="shared" si="82"/>
        <v>321.90050252365154</v>
      </c>
      <c r="CW156" s="159">
        <f t="shared" si="83"/>
        <v>359.74317680613194</v>
      </c>
      <c r="CX156" s="159">
        <f t="shared" si="84"/>
        <v>-1850.6189743834639</v>
      </c>
      <c r="CY156" s="159">
        <f t="shared" si="85"/>
        <v>-30.57947915490513</v>
      </c>
      <c r="CZ156" s="159">
        <f t="shared" si="86"/>
        <v>139.49875589026897</v>
      </c>
      <c r="DA156" s="159">
        <f t="shared" si="89"/>
        <v>129.30762155036427</v>
      </c>
      <c r="DB156" s="159">
        <f t="shared" si="90"/>
        <v>112.77763999628405</v>
      </c>
      <c r="DC156" s="159">
        <f t="shared" si="90"/>
        <v>119.33898344115005</v>
      </c>
    </row>
    <row r="157" spans="1:107" x14ac:dyDescent="0.2">
      <c r="A157" s="99">
        <v>2</v>
      </c>
      <c r="B157" s="30">
        <v>480</v>
      </c>
      <c r="C157" s="47" t="s">
        <v>471</v>
      </c>
      <c r="D157" s="64">
        <v>5598.9129999999996</v>
      </c>
      <c r="E157" s="64">
        <v>358.15859</v>
      </c>
      <c r="F157" s="64">
        <v>254.41862</v>
      </c>
      <c r="G157" s="205">
        <v>6211</v>
      </c>
      <c r="H157" s="205"/>
      <c r="I157" s="64">
        <v>5454</v>
      </c>
      <c r="J157" s="64">
        <v>370</v>
      </c>
      <c r="K157" s="64">
        <v>255</v>
      </c>
      <c r="L157" s="205">
        <v>6078</v>
      </c>
      <c r="M157" s="205"/>
      <c r="N157" s="64">
        <v>5951</v>
      </c>
      <c r="O157" s="64">
        <v>350</v>
      </c>
      <c r="P157" s="64">
        <v>330</v>
      </c>
      <c r="Q157" s="205">
        <v>6631</v>
      </c>
      <c r="R157" s="205"/>
      <c r="S157" s="64">
        <v>5592</v>
      </c>
      <c r="T157" s="64">
        <v>342</v>
      </c>
      <c r="U157" s="64">
        <v>309</v>
      </c>
      <c r="V157" s="205">
        <v>6243</v>
      </c>
      <c r="W157" s="205"/>
      <c r="X157" s="64">
        <v>6005</v>
      </c>
      <c r="Y157" s="64">
        <v>375</v>
      </c>
      <c r="Z157" s="64">
        <v>292</v>
      </c>
      <c r="AA157" s="205">
        <f t="shared" si="87"/>
        <v>6672</v>
      </c>
      <c r="AB157" s="205"/>
      <c r="AC157" s="64">
        <v>6091</v>
      </c>
      <c r="AD157" s="64">
        <v>347</v>
      </c>
      <c r="AE157" s="64">
        <v>316</v>
      </c>
      <c r="AF157" s="205">
        <f t="shared" si="64"/>
        <v>6754</v>
      </c>
      <c r="AG157" s="205"/>
      <c r="AH157" s="278">
        <v>6458.4560799999999</v>
      </c>
      <c r="AI157" s="64">
        <v>511.32281999999998</v>
      </c>
      <c r="AJ157" s="64">
        <v>476.55387000000002</v>
      </c>
      <c r="AK157" s="205">
        <f t="shared" si="65"/>
        <v>7446.33277</v>
      </c>
      <c r="AL157" s="205"/>
      <c r="AM157" s="64">
        <v>6512.3044900000004</v>
      </c>
      <c r="AN157" s="64">
        <v>559.24165000000005</v>
      </c>
      <c r="AO157" s="64">
        <v>482.21131000000003</v>
      </c>
      <c r="AP157" s="205">
        <f t="shared" si="66"/>
        <v>7553.7574500000001</v>
      </c>
      <c r="AQ157" s="205"/>
      <c r="AR157" s="64">
        <v>2801.67848</v>
      </c>
      <c r="AS157" s="64">
        <v>543.26338999999996</v>
      </c>
      <c r="AT157" s="64">
        <v>305.83148999999997</v>
      </c>
      <c r="AU157" s="205">
        <f t="shared" si="67"/>
        <v>3650.7733600000001</v>
      </c>
      <c r="AV157" s="205"/>
      <c r="AW157" s="64">
        <v>3042.3018776138911</v>
      </c>
      <c r="AX157" s="64">
        <v>571.37576197197995</v>
      </c>
      <c r="AY157" s="64">
        <v>229.81310121440981</v>
      </c>
      <c r="AZ157" s="205">
        <f t="shared" si="68"/>
        <v>3843.4907408002809</v>
      </c>
      <c r="BA157" s="205"/>
      <c r="BB157" s="64">
        <v>3324.1832295121303</v>
      </c>
      <c r="BC157" s="64">
        <v>569.99471625702313</v>
      </c>
      <c r="BD157" s="64">
        <v>232.57085842898272</v>
      </c>
      <c r="BE157" s="205">
        <f t="shared" si="63"/>
        <v>4126.748804198136</v>
      </c>
      <c r="BF157" s="205"/>
      <c r="BG157" s="64">
        <v>3500.2987911814694</v>
      </c>
      <c r="BH157" s="64">
        <v>573.15908766225459</v>
      </c>
      <c r="BI157" s="64">
        <v>243.86453083151946</v>
      </c>
      <c r="BJ157" s="205">
        <f t="shared" si="69"/>
        <v>4317.3224096752438</v>
      </c>
      <c r="BK157" s="205"/>
      <c r="BL157" s="64">
        <v>3647.5845810869946</v>
      </c>
      <c r="BM157" s="64">
        <v>577.65214351727604</v>
      </c>
      <c r="BN157" s="64">
        <v>258.44124753711918</v>
      </c>
      <c r="BO157" s="205">
        <f t="shared" si="70"/>
        <v>4483.6779721413895</v>
      </c>
      <c r="BQ157" s="64">
        <v>3801.0353178097348</v>
      </c>
      <c r="BR157" s="64">
        <v>582.04978959429252</v>
      </c>
      <c r="BS157" s="64">
        <v>267.50244981357304</v>
      </c>
      <c r="BT157" s="205">
        <f t="shared" si="71"/>
        <v>4650.5875572176001</v>
      </c>
      <c r="BU157" s="205"/>
      <c r="BV157" s="5">
        <f t="shared" si="72"/>
        <v>6672</v>
      </c>
      <c r="BW157" s="5">
        <f t="shared" si="73"/>
        <v>6754</v>
      </c>
      <c r="BX157" s="5">
        <f t="shared" si="74"/>
        <v>7446.33277</v>
      </c>
      <c r="BY157" s="5">
        <f t="shared" si="75"/>
        <v>7553.7574500000001</v>
      </c>
      <c r="BZ157" s="5">
        <f t="shared" si="76"/>
        <v>3650.7733600000001</v>
      </c>
      <c r="CA157" s="5">
        <f t="shared" si="77"/>
        <v>3843.4907408002809</v>
      </c>
      <c r="CB157" s="5">
        <f t="shared" si="78"/>
        <v>4126.748804198136</v>
      </c>
      <c r="CC157" s="5">
        <f t="shared" si="79"/>
        <v>4317.3224096752438</v>
      </c>
      <c r="CD157" s="5">
        <f t="shared" si="80"/>
        <v>4483.6779721413895</v>
      </c>
      <c r="CE157" s="5">
        <f t="shared" si="88"/>
        <v>4650.5875572176001</v>
      </c>
      <c r="CH157" s="41">
        <f>BV157/'1. Väestöennuste'!I157*1000</f>
        <v>3314.4560357675109</v>
      </c>
      <c r="CI157" s="41">
        <f>BW157/'1. Väestöennuste'!J157*1000</f>
        <v>3378.6893446723361</v>
      </c>
      <c r="CJ157" s="41">
        <f>BX157/'1. Väestöennuste'!K157*1000</f>
        <v>3741.8757638190955</v>
      </c>
      <c r="CK157" s="41">
        <f>BY157/'1. Väestöennuste'!L157*1000</f>
        <v>3818.8864762386252</v>
      </c>
      <c r="CL157" s="41">
        <f>BZ157/'1. Väestöennuste'!M157*1000</f>
        <v>1891.592414507772</v>
      </c>
      <c r="CM157" s="41">
        <f>CA157/'1. Väestöennuste'!N157*1000</f>
        <v>1940.1770523979208</v>
      </c>
      <c r="CN157" s="41">
        <f>CB157/'1. Väestöennuste'!O157*1000</f>
        <v>2087.3792636308226</v>
      </c>
      <c r="CO157" s="41">
        <f>CC157/'1. Väestöennuste'!P157*1000</f>
        <v>2187.0934192883706</v>
      </c>
      <c r="CP157" s="41">
        <f>CD157/'1. Väestöennuste'!Q157*1000</f>
        <v>2277.1345719356982</v>
      </c>
      <c r="CQ157" s="41">
        <f>CE157/'1. Väestöennuste'!R157*1000</f>
        <v>2371.538784914635</v>
      </c>
      <c r="CR157" s="41"/>
      <c r="CU157" s="159">
        <f t="shared" si="81"/>
        <v>64.233308904825208</v>
      </c>
      <c r="CV157" s="159">
        <f t="shared" si="82"/>
        <v>363.18641914675936</v>
      </c>
      <c r="CW157" s="159">
        <f t="shared" si="83"/>
        <v>77.010712419529682</v>
      </c>
      <c r="CX157" s="159">
        <f t="shared" si="84"/>
        <v>-1927.2940617308532</v>
      </c>
      <c r="CY157" s="159">
        <f t="shared" si="85"/>
        <v>48.58463789014877</v>
      </c>
      <c r="CZ157" s="159">
        <f t="shared" si="86"/>
        <v>147.20221123290185</v>
      </c>
      <c r="DA157" s="159">
        <f t="shared" si="89"/>
        <v>99.714155657547963</v>
      </c>
      <c r="DB157" s="159">
        <f t="shared" si="90"/>
        <v>90.041152647327635</v>
      </c>
      <c r="DC157" s="159">
        <f t="shared" si="90"/>
        <v>94.404212978936812</v>
      </c>
    </row>
    <row r="158" spans="1:107" x14ac:dyDescent="0.2">
      <c r="A158" s="99">
        <v>2</v>
      </c>
      <c r="B158" s="30">
        <v>481</v>
      </c>
      <c r="C158" s="47" t="s">
        <v>472</v>
      </c>
      <c r="D158" s="64">
        <v>35985.705649999996</v>
      </c>
      <c r="E158" s="64">
        <v>1831.3262299999999</v>
      </c>
      <c r="F158" s="64">
        <v>1665.0911599999999</v>
      </c>
      <c r="G158" s="205">
        <v>39478</v>
      </c>
      <c r="H158" s="205"/>
      <c r="I158" s="64">
        <v>35859</v>
      </c>
      <c r="J158" s="64">
        <v>1862</v>
      </c>
      <c r="K158" s="64">
        <v>1443</v>
      </c>
      <c r="L158" s="205">
        <v>39164</v>
      </c>
      <c r="M158" s="205"/>
      <c r="N158" s="64">
        <v>36930</v>
      </c>
      <c r="O158" s="64">
        <v>1864</v>
      </c>
      <c r="P158" s="64">
        <v>1647</v>
      </c>
      <c r="Q158" s="205">
        <v>40441</v>
      </c>
      <c r="R158" s="205"/>
      <c r="S158" s="64">
        <v>36887</v>
      </c>
      <c r="T158" s="64">
        <v>1888</v>
      </c>
      <c r="U158" s="64">
        <v>1554</v>
      </c>
      <c r="V158" s="205">
        <v>40329</v>
      </c>
      <c r="W158" s="205"/>
      <c r="X158" s="64">
        <v>36704</v>
      </c>
      <c r="Y158" s="64">
        <v>1980</v>
      </c>
      <c r="Z158" s="64">
        <v>1631</v>
      </c>
      <c r="AA158" s="205">
        <f t="shared" si="87"/>
        <v>40315</v>
      </c>
      <c r="AB158" s="205"/>
      <c r="AC158" s="64">
        <v>39634</v>
      </c>
      <c r="AD158" s="64">
        <v>1792</v>
      </c>
      <c r="AE158" s="64">
        <v>1815</v>
      </c>
      <c r="AF158" s="205">
        <f t="shared" si="64"/>
        <v>43241</v>
      </c>
      <c r="AG158" s="205"/>
      <c r="AH158" s="278">
        <v>39209.587460000002</v>
      </c>
      <c r="AI158" s="64">
        <v>1990.2089799999999</v>
      </c>
      <c r="AJ158" s="64">
        <v>2620.7959599999999</v>
      </c>
      <c r="AK158" s="205">
        <f t="shared" si="65"/>
        <v>43820.592400000009</v>
      </c>
      <c r="AL158" s="205"/>
      <c r="AM158" s="64">
        <v>41894.495880000002</v>
      </c>
      <c r="AN158" s="64">
        <v>2135.1200400000002</v>
      </c>
      <c r="AO158" s="64">
        <v>2806.3974700000003</v>
      </c>
      <c r="AP158" s="205">
        <f t="shared" si="66"/>
        <v>46836.013390000007</v>
      </c>
      <c r="AQ158" s="205"/>
      <c r="AR158" s="64">
        <v>20257.364870000001</v>
      </c>
      <c r="AS158" s="64">
        <v>2235.76422</v>
      </c>
      <c r="AT158" s="64">
        <v>1847.9351499999998</v>
      </c>
      <c r="AU158" s="205">
        <f t="shared" si="67"/>
        <v>24341.064240000003</v>
      </c>
      <c r="AV158" s="205"/>
      <c r="AW158" s="64">
        <v>19070.944724112913</v>
      </c>
      <c r="AX158" s="64">
        <v>2535.0553221574705</v>
      </c>
      <c r="AY158" s="64">
        <v>1323.4391868720213</v>
      </c>
      <c r="AZ158" s="205">
        <f t="shared" si="68"/>
        <v>22929.439233142402</v>
      </c>
      <c r="BA158" s="205"/>
      <c r="BB158" s="64">
        <v>20183.776646974344</v>
      </c>
      <c r="BC158" s="64">
        <v>2610.919444261619</v>
      </c>
      <c r="BD158" s="64">
        <v>1339.3204571144856</v>
      </c>
      <c r="BE158" s="205">
        <f t="shared" si="63"/>
        <v>24134.01654835045</v>
      </c>
      <c r="BF158" s="205"/>
      <c r="BG158" s="64">
        <v>21112.256677465819</v>
      </c>
      <c r="BH158" s="64">
        <v>2710.3597497783676</v>
      </c>
      <c r="BI158" s="64">
        <v>1404.3580400121964</v>
      </c>
      <c r="BJ158" s="205">
        <f t="shared" si="69"/>
        <v>25226.974467256383</v>
      </c>
      <c r="BK158" s="205"/>
      <c r="BL158" s="64">
        <v>21854.536571380631</v>
      </c>
      <c r="BM158" s="64">
        <v>2819.8192572439802</v>
      </c>
      <c r="BN158" s="64">
        <v>1488.3018970080789</v>
      </c>
      <c r="BO158" s="205">
        <f t="shared" si="70"/>
        <v>26162.657725632689</v>
      </c>
      <c r="BQ158" s="64">
        <v>22683.445616788144</v>
      </c>
      <c r="BR158" s="64">
        <v>2932.8791729492468</v>
      </c>
      <c r="BS158" s="64">
        <v>1540.4832135190329</v>
      </c>
      <c r="BT158" s="205">
        <f t="shared" si="71"/>
        <v>27156.808003256425</v>
      </c>
      <c r="BU158" s="205"/>
      <c r="BV158" s="5">
        <f t="shared" si="72"/>
        <v>40315</v>
      </c>
      <c r="BW158" s="5">
        <f t="shared" si="73"/>
        <v>43241</v>
      </c>
      <c r="BX158" s="5">
        <f t="shared" si="74"/>
        <v>43820.592400000009</v>
      </c>
      <c r="BY158" s="5">
        <f t="shared" si="75"/>
        <v>46836.013390000007</v>
      </c>
      <c r="BZ158" s="5">
        <f t="shared" si="76"/>
        <v>24341.064240000003</v>
      </c>
      <c r="CA158" s="5">
        <f t="shared" si="77"/>
        <v>22929.439233142402</v>
      </c>
      <c r="CB158" s="5">
        <f t="shared" si="78"/>
        <v>24134.01654835045</v>
      </c>
      <c r="CC158" s="5">
        <f t="shared" si="79"/>
        <v>25226.974467256383</v>
      </c>
      <c r="CD158" s="5">
        <f t="shared" si="80"/>
        <v>26162.657725632689</v>
      </c>
      <c r="CE158" s="5">
        <f t="shared" si="88"/>
        <v>27156.808003256425</v>
      </c>
      <c r="CH158" s="41">
        <f>BV158/'1. Väestöennuste'!I158*1000</f>
        <v>4228.5504510174114</v>
      </c>
      <c r="CI158" s="41">
        <f>BW158/'1. Väestöennuste'!J158*1000</f>
        <v>4531.1746830137272</v>
      </c>
      <c r="CJ158" s="41">
        <f>BX158/'1. Väestöennuste'!K158*1000</f>
        <v>4558.9463587182699</v>
      </c>
      <c r="CK158" s="41">
        <f>BY158/'1. Väestöennuste'!L158*1000</f>
        <v>4857.4998330221952</v>
      </c>
      <c r="CL158" s="41">
        <f>BZ158/'1. Väestöennuste'!M158*1000</f>
        <v>2530.5192057386425</v>
      </c>
      <c r="CM158" s="41">
        <f>CA158/'1. Väestöennuste'!N158*1000</f>
        <v>2420.2490218643024</v>
      </c>
      <c r="CN158" s="41">
        <f>CB158/'1. Väestöennuste'!O158*1000</f>
        <v>2552.2437128120191</v>
      </c>
      <c r="CO158" s="41">
        <f>CC158/'1. Väestöennuste'!P158*1000</f>
        <v>2671.782934469009</v>
      </c>
      <c r="CP158" s="41">
        <f>CD158/'1. Väestöennuste'!Q158*1000</f>
        <v>2774.1127903332294</v>
      </c>
      <c r="CQ158" s="41">
        <f>CE158/'1. Väestöennuste'!R158*1000</f>
        <v>2882.2763747884128</v>
      </c>
      <c r="CR158" s="41"/>
      <c r="CU158" s="159">
        <f t="shared" si="81"/>
        <v>302.62423199631576</v>
      </c>
      <c r="CV158" s="159">
        <f t="shared" si="82"/>
        <v>27.771675704542758</v>
      </c>
      <c r="CW158" s="159">
        <f t="shared" si="83"/>
        <v>298.55347430392521</v>
      </c>
      <c r="CX158" s="159">
        <f t="shared" si="84"/>
        <v>-2326.9806272835526</v>
      </c>
      <c r="CY158" s="159">
        <f t="shared" si="85"/>
        <v>-110.27018387434009</v>
      </c>
      <c r="CZ158" s="159">
        <f t="shared" si="86"/>
        <v>131.99469094771666</v>
      </c>
      <c r="DA158" s="159">
        <f t="shared" si="89"/>
        <v>119.53922165698987</v>
      </c>
      <c r="DB158" s="159">
        <f t="shared" si="90"/>
        <v>102.32985586422046</v>
      </c>
      <c r="DC158" s="159">
        <f t="shared" si="90"/>
        <v>108.16358445518335</v>
      </c>
    </row>
    <row r="159" spans="1:107" x14ac:dyDescent="0.2">
      <c r="A159" s="99">
        <v>17</v>
      </c>
      <c r="B159" s="30">
        <v>483</v>
      </c>
      <c r="C159" s="47" t="s">
        <v>473</v>
      </c>
      <c r="D159" s="64">
        <v>2489.8093599999997</v>
      </c>
      <c r="E159" s="64">
        <v>189.41466</v>
      </c>
      <c r="F159" s="64">
        <v>103.52503</v>
      </c>
      <c r="G159" s="205">
        <v>2782</v>
      </c>
      <c r="H159" s="205"/>
      <c r="I159" s="64">
        <v>2178</v>
      </c>
      <c r="J159" s="64">
        <v>198</v>
      </c>
      <c r="K159" s="64">
        <v>108</v>
      </c>
      <c r="L159" s="205">
        <v>2484</v>
      </c>
      <c r="M159" s="205"/>
      <c r="N159" s="64">
        <v>2268</v>
      </c>
      <c r="O159" s="64">
        <v>202</v>
      </c>
      <c r="P159" s="64">
        <v>136</v>
      </c>
      <c r="Q159" s="205">
        <v>2606</v>
      </c>
      <c r="R159" s="205"/>
      <c r="S159" s="64">
        <v>2126</v>
      </c>
      <c r="T159" s="64">
        <v>332</v>
      </c>
      <c r="U159" s="64">
        <v>121</v>
      </c>
      <c r="V159" s="205">
        <v>2579</v>
      </c>
      <c r="W159" s="205"/>
      <c r="X159" s="64">
        <v>2207</v>
      </c>
      <c r="Y159" s="64">
        <v>336</v>
      </c>
      <c r="Z159" s="64">
        <v>114</v>
      </c>
      <c r="AA159" s="205">
        <f t="shared" si="87"/>
        <v>2657</v>
      </c>
      <c r="AB159" s="205"/>
      <c r="AC159" s="64">
        <v>2300</v>
      </c>
      <c r="AD159" s="64">
        <v>298</v>
      </c>
      <c r="AE159" s="64">
        <v>138</v>
      </c>
      <c r="AF159" s="205">
        <f t="shared" si="64"/>
        <v>2736</v>
      </c>
      <c r="AG159" s="205"/>
      <c r="AH159" s="278">
        <v>2625.7977599999999</v>
      </c>
      <c r="AI159" s="64">
        <v>331.76769000000002</v>
      </c>
      <c r="AJ159" s="64">
        <v>221.68463</v>
      </c>
      <c r="AK159" s="205">
        <f t="shared" si="65"/>
        <v>3179.2500800000003</v>
      </c>
      <c r="AL159" s="205"/>
      <c r="AM159" s="64">
        <v>2379.4078399999999</v>
      </c>
      <c r="AN159" s="64">
        <v>347.9513</v>
      </c>
      <c r="AO159" s="64">
        <v>224.27291</v>
      </c>
      <c r="AP159" s="205">
        <f t="shared" si="66"/>
        <v>2951.6320500000002</v>
      </c>
      <c r="AQ159" s="205"/>
      <c r="AR159" s="64">
        <v>1358.2790199999999</v>
      </c>
      <c r="AS159" s="64">
        <v>340.8175</v>
      </c>
      <c r="AT159" s="64">
        <v>135.50117</v>
      </c>
      <c r="AU159" s="205">
        <f t="shared" si="67"/>
        <v>1834.5976900000001</v>
      </c>
      <c r="AV159" s="205"/>
      <c r="AW159" s="64">
        <v>1345.3469130932942</v>
      </c>
      <c r="AX159" s="64">
        <v>376.07251004795876</v>
      </c>
      <c r="AY159" s="64">
        <v>117.95123972120179</v>
      </c>
      <c r="AZ159" s="205">
        <f t="shared" si="68"/>
        <v>1839.3706628624548</v>
      </c>
      <c r="BA159" s="205"/>
      <c r="BB159" s="64">
        <v>1412.2762048364502</v>
      </c>
      <c r="BC159" s="64">
        <v>380.84261102935312</v>
      </c>
      <c r="BD159" s="64">
        <v>119.3666545978562</v>
      </c>
      <c r="BE159" s="205">
        <f t="shared" si="63"/>
        <v>1912.4854704636596</v>
      </c>
      <c r="BF159" s="205"/>
      <c r="BG159" s="64">
        <v>1466.2923249115927</v>
      </c>
      <c r="BH159" s="64">
        <v>388.70516912095286</v>
      </c>
      <c r="BI159" s="64">
        <v>125.16311552129812</v>
      </c>
      <c r="BJ159" s="205">
        <f t="shared" si="69"/>
        <v>1980.1606095538436</v>
      </c>
      <c r="BK159" s="205"/>
      <c r="BL159" s="64">
        <v>1505.3744895233544</v>
      </c>
      <c r="BM159" s="64">
        <v>397.58991835958506</v>
      </c>
      <c r="BN159" s="64">
        <v>132.64459415504291</v>
      </c>
      <c r="BO159" s="205">
        <f t="shared" si="70"/>
        <v>2035.6090020379825</v>
      </c>
      <c r="BQ159" s="64">
        <v>1543.1873548371489</v>
      </c>
      <c r="BR159" s="64">
        <v>406.55030826415771</v>
      </c>
      <c r="BS159" s="64">
        <v>137.29524303547888</v>
      </c>
      <c r="BT159" s="205">
        <f t="shared" si="71"/>
        <v>2087.0329061367856</v>
      </c>
      <c r="BU159" s="205"/>
      <c r="BV159" s="5">
        <f t="shared" si="72"/>
        <v>2657</v>
      </c>
      <c r="BW159" s="5">
        <f t="shared" si="73"/>
        <v>2736</v>
      </c>
      <c r="BX159" s="5">
        <f t="shared" si="74"/>
        <v>3179.2500800000003</v>
      </c>
      <c r="BY159" s="5">
        <f t="shared" si="75"/>
        <v>2951.6320500000002</v>
      </c>
      <c r="BZ159" s="5">
        <f t="shared" si="76"/>
        <v>1834.5976900000001</v>
      </c>
      <c r="CA159" s="5">
        <f t="shared" si="77"/>
        <v>1839.3706628624548</v>
      </c>
      <c r="CB159" s="5">
        <f t="shared" si="78"/>
        <v>1912.4854704636596</v>
      </c>
      <c r="CC159" s="5">
        <f t="shared" si="79"/>
        <v>1980.1606095538436</v>
      </c>
      <c r="CD159" s="5">
        <f t="shared" si="80"/>
        <v>2035.6090020379825</v>
      </c>
      <c r="CE159" s="5">
        <f t="shared" si="88"/>
        <v>2087.0329061367856</v>
      </c>
      <c r="CH159" s="41">
        <f>BV159/'1. Väestöennuste'!I159*1000</f>
        <v>2439.8530762167129</v>
      </c>
      <c r="CI159" s="41">
        <f>BW159/'1. Väestöennuste'!J159*1000</f>
        <v>2538.0333951762523</v>
      </c>
      <c r="CJ159" s="41">
        <f>BX159/'1. Väestöennuste'!K159*1000</f>
        <v>2954.6933828996289</v>
      </c>
      <c r="CK159" s="41">
        <f>BY159/'1. Väestöennuste'!L159*1000</f>
        <v>2766.290581068416</v>
      </c>
      <c r="CL159" s="41">
        <f>BZ159/'1. Väestöennuste'!M159*1000</f>
        <v>1738.9551563981042</v>
      </c>
      <c r="CM159" s="41">
        <f>CA159/'1. Väestöennuste'!N159*1000</f>
        <v>1803.3045714337793</v>
      </c>
      <c r="CN159" s="41">
        <f>CB159/'1. Väestöennuste'!O159*1000</f>
        <v>1901.0789964847511</v>
      </c>
      <c r="CO159" s="41">
        <f>CC159/'1. Väestöennuste'!P159*1000</f>
        <v>1994.1194456735584</v>
      </c>
      <c r="CP159" s="41">
        <f>CD159/'1. Väestöennuste'!Q159*1000</f>
        <v>2079.2737508048849</v>
      </c>
      <c r="CQ159" s="41">
        <f>CE159/'1. Väestöennuste'!R159*1000</f>
        <v>2153.8007287273331</v>
      </c>
      <c r="CR159" s="41"/>
      <c r="CU159" s="159">
        <f t="shared" si="81"/>
        <v>98.180318959539363</v>
      </c>
      <c r="CV159" s="159">
        <f t="shared" si="82"/>
        <v>416.65998772337662</v>
      </c>
      <c r="CW159" s="159">
        <f t="shared" si="83"/>
        <v>-188.40280183121286</v>
      </c>
      <c r="CX159" s="159">
        <f t="shared" si="84"/>
        <v>-1027.3354246703118</v>
      </c>
      <c r="CY159" s="159">
        <f t="shared" si="85"/>
        <v>64.349415035675065</v>
      </c>
      <c r="CZ159" s="159">
        <f t="shared" si="86"/>
        <v>97.774425050971786</v>
      </c>
      <c r="DA159" s="159">
        <f t="shared" si="89"/>
        <v>93.040449188807315</v>
      </c>
      <c r="DB159" s="159">
        <f t="shared" si="90"/>
        <v>85.15430513132651</v>
      </c>
      <c r="DC159" s="159">
        <f t="shared" si="90"/>
        <v>74.526977922448168</v>
      </c>
    </row>
    <row r="160" spans="1:107" x14ac:dyDescent="0.2">
      <c r="A160" s="99">
        <v>4</v>
      </c>
      <c r="B160" s="30">
        <v>484</v>
      </c>
      <c r="C160" s="47" t="s">
        <v>474</v>
      </c>
      <c r="D160" s="64">
        <v>8349.8815999999988</v>
      </c>
      <c r="E160" s="64">
        <v>985.78354999999999</v>
      </c>
      <c r="F160" s="64">
        <v>720.23163999999997</v>
      </c>
      <c r="G160" s="205">
        <v>10053</v>
      </c>
      <c r="H160" s="205"/>
      <c r="I160" s="64">
        <v>7406</v>
      </c>
      <c r="J160" s="64">
        <v>998</v>
      </c>
      <c r="K160" s="64">
        <v>696</v>
      </c>
      <c r="L160" s="205">
        <v>9100</v>
      </c>
      <c r="M160" s="205"/>
      <c r="N160" s="64">
        <v>7975</v>
      </c>
      <c r="O160" s="64">
        <v>992</v>
      </c>
      <c r="P160" s="64">
        <v>789</v>
      </c>
      <c r="Q160" s="205">
        <v>9756</v>
      </c>
      <c r="R160" s="205"/>
      <c r="S160" s="64">
        <v>7459</v>
      </c>
      <c r="T160" s="64">
        <v>1010</v>
      </c>
      <c r="U160" s="64">
        <v>817</v>
      </c>
      <c r="V160" s="205">
        <v>9286</v>
      </c>
      <c r="W160" s="205"/>
      <c r="X160" s="64">
        <v>7957</v>
      </c>
      <c r="Y160" s="64">
        <v>1023</v>
      </c>
      <c r="Z160" s="64">
        <v>1032</v>
      </c>
      <c r="AA160" s="205">
        <f t="shared" si="87"/>
        <v>10012</v>
      </c>
      <c r="AB160" s="205"/>
      <c r="AC160" s="64">
        <v>8160</v>
      </c>
      <c r="AD160" s="64">
        <v>1097</v>
      </c>
      <c r="AE160" s="64">
        <v>2040</v>
      </c>
      <c r="AF160" s="205">
        <f t="shared" si="64"/>
        <v>11297</v>
      </c>
      <c r="AG160" s="205"/>
      <c r="AH160" s="278">
        <v>8572.1908999999996</v>
      </c>
      <c r="AI160" s="64">
        <v>1218.0911999999998</v>
      </c>
      <c r="AJ160" s="64">
        <v>3243.4917</v>
      </c>
      <c r="AK160" s="205">
        <f t="shared" si="65"/>
        <v>13033.773800000001</v>
      </c>
      <c r="AL160" s="205"/>
      <c r="AM160" s="64">
        <v>9188.0709399999996</v>
      </c>
      <c r="AN160" s="64">
        <v>1278.8415</v>
      </c>
      <c r="AO160" s="64">
        <v>2178.1390099999999</v>
      </c>
      <c r="AP160" s="205">
        <f t="shared" si="66"/>
        <v>12645.051449999999</v>
      </c>
      <c r="AQ160" s="205"/>
      <c r="AR160" s="64">
        <v>3968.7287099999999</v>
      </c>
      <c r="AS160" s="64">
        <v>1274.1769099999999</v>
      </c>
      <c r="AT160" s="64">
        <v>1457.53898</v>
      </c>
      <c r="AU160" s="205">
        <f t="shared" si="67"/>
        <v>6700.4445999999998</v>
      </c>
      <c r="AV160" s="205"/>
      <c r="AW160" s="64">
        <v>4057.1698782925737</v>
      </c>
      <c r="AX160" s="64">
        <v>1397.6582391001195</v>
      </c>
      <c r="AY160" s="64">
        <v>2526.7763733351621</v>
      </c>
      <c r="AZ160" s="205">
        <f t="shared" si="68"/>
        <v>7981.6044907278556</v>
      </c>
      <c r="BA160" s="205"/>
      <c r="BB160" s="64">
        <v>4252.7441345488178</v>
      </c>
      <c r="BC160" s="64">
        <v>1403.6687274023504</v>
      </c>
      <c r="BD160" s="64">
        <v>2557.0976898151839</v>
      </c>
      <c r="BE160" s="205">
        <f t="shared" si="63"/>
        <v>8213.5105517663524</v>
      </c>
      <c r="BF160" s="205"/>
      <c r="BG160" s="64">
        <v>4422.2367512999808</v>
      </c>
      <c r="BH160" s="64">
        <v>1420.5038105094754</v>
      </c>
      <c r="BI160" s="64">
        <v>2681.270700161941</v>
      </c>
      <c r="BJ160" s="205">
        <f t="shared" si="69"/>
        <v>8524.0112619713982</v>
      </c>
      <c r="BK160" s="205"/>
      <c r="BL160" s="64">
        <v>4572.605771318943</v>
      </c>
      <c r="BM160" s="64">
        <v>1440.355645667333</v>
      </c>
      <c r="BN160" s="64">
        <v>2841.5405158420567</v>
      </c>
      <c r="BO160" s="205">
        <f t="shared" si="70"/>
        <v>8854.5019328283324</v>
      </c>
      <c r="BQ160" s="64">
        <v>4733.7518572979261</v>
      </c>
      <c r="BR160" s="64">
        <v>1459.7087478944363</v>
      </c>
      <c r="BS160" s="64">
        <v>2941.1676985621289</v>
      </c>
      <c r="BT160" s="205">
        <f t="shared" si="71"/>
        <v>9134.6283037544908</v>
      </c>
      <c r="BU160" s="205"/>
      <c r="BV160" s="5">
        <f t="shared" si="72"/>
        <v>10012</v>
      </c>
      <c r="BW160" s="5">
        <f t="shared" si="73"/>
        <v>11297</v>
      </c>
      <c r="BX160" s="5">
        <f t="shared" si="74"/>
        <v>13033.773800000001</v>
      </c>
      <c r="BY160" s="5">
        <f t="shared" si="75"/>
        <v>12645.051449999999</v>
      </c>
      <c r="BZ160" s="5">
        <f t="shared" si="76"/>
        <v>6700.4445999999998</v>
      </c>
      <c r="CA160" s="5">
        <f t="shared" si="77"/>
        <v>7981.6044907278556</v>
      </c>
      <c r="CB160" s="5">
        <f t="shared" si="78"/>
        <v>8213.5105517663524</v>
      </c>
      <c r="CC160" s="5">
        <f t="shared" si="79"/>
        <v>8524.0112619713982</v>
      </c>
      <c r="CD160" s="5">
        <f t="shared" si="80"/>
        <v>8854.5019328283324</v>
      </c>
      <c r="CE160" s="5">
        <f t="shared" si="88"/>
        <v>9134.6283037544908</v>
      </c>
      <c r="CH160" s="41">
        <f>BV160/'1. Väestöennuste'!I160*1000</f>
        <v>3264.4277795891749</v>
      </c>
      <c r="CI160" s="41">
        <f>BW160/'1. Väestöennuste'!J160*1000</f>
        <v>3684.6053489889105</v>
      </c>
      <c r="CJ160" s="41">
        <f>BX160/'1. Väestöennuste'!K160*1000</f>
        <v>4266.3744026186587</v>
      </c>
      <c r="CK160" s="41">
        <f>BY160/'1. Väestöennuste'!L160*1000</f>
        <v>4261.8980283114261</v>
      </c>
      <c r="CL160" s="41">
        <f>BZ160/'1. Väestöennuste'!M160*1000</f>
        <v>2259.0844908968306</v>
      </c>
      <c r="CM160" s="41">
        <f>CA160/'1. Väestöennuste'!N160*1000</f>
        <v>2677.4922813578851</v>
      </c>
      <c r="CN160" s="41">
        <f>CB160/'1. Väestöennuste'!O160*1000</f>
        <v>2770.1553294321593</v>
      </c>
      <c r="CO160" s="41">
        <f>CC160/'1. Väestöennuste'!P160*1000</f>
        <v>2889.495343041152</v>
      </c>
      <c r="CP160" s="41">
        <f>CD160/'1. Väestöennuste'!Q160*1000</f>
        <v>3018.9232638350945</v>
      </c>
      <c r="CQ160" s="41">
        <f>CE160/'1. Väestöennuste'!R160*1000</f>
        <v>3129.3690660344264</v>
      </c>
      <c r="CR160" s="41"/>
      <c r="CU160" s="159">
        <f t="shared" si="81"/>
        <v>420.1775693997356</v>
      </c>
      <c r="CV160" s="159">
        <f t="shared" si="82"/>
        <v>581.76905362974821</v>
      </c>
      <c r="CW160" s="159">
        <f t="shared" si="83"/>
        <v>-4.4763743072326179</v>
      </c>
      <c r="CX160" s="159">
        <f t="shared" si="84"/>
        <v>-2002.8135374145954</v>
      </c>
      <c r="CY160" s="159">
        <f t="shared" si="85"/>
        <v>418.40779046105445</v>
      </c>
      <c r="CZ160" s="159">
        <f t="shared" si="86"/>
        <v>92.663048074274229</v>
      </c>
      <c r="DA160" s="159">
        <f t="shared" si="89"/>
        <v>119.34001360899265</v>
      </c>
      <c r="DB160" s="159">
        <f t="shared" si="90"/>
        <v>129.42792079394258</v>
      </c>
      <c r="DC160" s="159">
        <f t="shared" si="90"/>
        <v>110.44580219933187</v>
      </c>
    </row>
    <row r="161" spans="1:107" x14ac:dyDescent="0.2">
      <c r="A161" s="99">
        <v>8</v>
      </c>
      <c r="B161" s="30">
        <v>489</v>
      </c>
      <c r="C161" s="47" t="s">
        <v>475</v>
      </c>
      <c r="D161" s="64">
        <v>4887.1469999999999</v>
      </c>
      <c r="E161" s="64">
        <v>440.45206000000002</v>
      </c>
      <c r="F161" s="64">
        <v>714.54856999999993</v>
      </c>
      <c r="G161" s="205">
        <v>6016</v>
      </c>
      <c r="H161" s="205"/>
      <c r="I161" s="64">
        <v>4706</v>
      </c>
      <c r="J161" s="64">
        <v>496</v>
      </c>
      <c r="K161" s="64">
        <v>716</v>
      </c>
      <c r="L161" s="205">
        <v>5918</v>
      </c>
      <c r="M161" s="205"/>
      <c r="N161" s="64">
        <v>4667</v>
      </c>
      <c r="O161" s="64">
        <v>495</v>
      </c>
      <c r="P161" s="64">
        <v>834</v>
      </c>
      <c r="Q161" s="205">
        <v>5996</v>
      </c>
      <c r="R161" s="205"/>
      <c r="S161" s="64">
        <v>4349</v>
      </c>
      <c r="T161" s="64">
        <v>490</v>
      </c>
      <c r="U161" s="64">
        <v>777</v>
      </c>
      <c r="V161" s="205">
        <v>5616</v>
      </c>
      <c r="W161" s="205"/>
      <c r="X161" s="64">
        <v>4591</v>
      </c>
      <c r="Y161" s="64">
        <v>495</v>
      </c>
      <c r="Z161" s="64">
        <v>796</v>
      </c>
      <c r="AA161" s="205">
        <f t="shared" si="87"/>
        <v>5882</v>
      </c>
      <c r="AB161" s="205"/>
      <c r="AC161" s="64">
        <v>4551</v>
      </c>
      <c r="AD161" s="64">
        <v>442</v>
      </c>
      <c r="AE161" s="64">
        <v>850</v>
      </c>
      <c r="AF161" s="205">
        <f t="shared" si="64"/>
        <v>5843</v>
      </c>
      <c r="AG161" s="205"/>
      <c r="AH161" s="278">
        <v>4812.2918600000003</v>
      </c>
      <c r="AI161" s="64">
        <v>483.86897999999997</v>
      </c>
      <c r="AJ161" s="64">
        <v>1191.82978</v>
      </c>
      <c r="AK161" s="205">
        <f t="shared" si="65"/>
        <v>6487.9906200000005</v>
      </c>
      <c r="AL161" s="205"/>
      <c r="AM161" s="64">
        <v>5114.3250499999995</v>
      </c>
      <c r="AN161" s="64">
        <v>519.78028999999992</v>
      </c>
      <c r="AO161" s="64">
        <v>1070.0898</v>
      </c>
      <c r="AP161" s="205">
        <f t="shared" si="66"/>
        <v>6704.1951399999989</v>
      </c>
      <c r="AQ161" s="205"/>
      <c r="AR161" s="64">
        <v>2758.6689200000001</v>
      </c>
      <c r="AS161" s="64">
        <v>541.86027000000001</v>
      </c>
      <c r="AT161" s="64">
        <v>555.76406999999995</v>
      </c>
      <c r="AU161" s="205">
        <f t="shared" si="67"/>
        <v>3856.2932600000004</v>
      </c>
      <c r="AV161" s="205"/>
      <c r="AW161" s="64">
        <v>2474.8108976125959</v>
      </c>
      <c r="AX161" s="64">
        <v>579.38715679768961</v>
      </c>
      <c r="AY161" s="64">
        <v>463.47716540537664</v>
      </c>
      <c r="AZ161" s="205">
        <f t="shared" si="68"/>
        <v>3517.6752198156619</v>
      </c>
      <c r="BA161" s="205"/>
      <c r="BB161" s="64">
        <v>2581.9302402050589</v>
      </c>
      <c r="BC161" s="64">
        <v>579.82737719337285</v>
      </c>
      <c r="BD161" s="64">
        <v>469.03889139024113</v>
      </c>
      <c r="BE161" s="205">
        <f t="shared" si="63"/>
        <v>3630.7965087886728</v>
      </c>
      <c r="BF161" s="205"/>
      <c r="BG161" s="64">
        <v>2657.0267610072701</v>
      </c>
      <c r="BH161" s="64">
        <v>584.69872420618253</v>
      </c>
      <c r="BI161" s="64">
        <v>491.81548351873397</v>
      </c>
      <c r="BJ161" s="205">
        <f t="shared" si="69"/>
        <v>3733.5409687321867</v>
      </c>
      <c r="BK161" s="205"/>
      <c r="BL161" s="64">
        <v>2718.7037402590495</v>
      </c>
      <c r="BM161" s="64">
        <v>590.7512430268564</v>
      </c>
      <c r="BN161" s="64">
        <v>521.21317801016073</v>
      </c>
      <c r="BO161" s="205">
        <f t="shared" si="70"/>
        <v>3830.6681612960665</v>
      </c>
      <c r="BQ161" s="64">
        <v>2795.2291506844863</v>
      </c>
      <c r="BR161" s="64">
        <v>596.53491683505717</v>
      </c>
      <c r="BS161" s="64">
        <v>539.48742053185845</v>
      </c>
      <c r="BT161" s="205">
        <f t="shared" si="71"/>
        <v>3931.2514880514018</v>
      </c>
      <c r="BU161" s="205"/>
      <c r="BV161" s="5">
        <f t="shared" si="72"/>
        <v>5882</v>
      </c>
      <c r="BW161" s="5">
        <f t="shared" si="73"/>
        <v>5843</v>
      </c>
      <c r="BX161" s="5">
        <f t="shared" si="74"/>
        <v>6487.9906200000005</v>
      </c>
      <c r="BY161" s="5">
        <f t="shared" si="75"/>
        <v>6704.1951399999989</v>
      </c>
      <c r="BZ161" s="5">
        <f t="shared" si="76"/>
        <v>3856.2932600000004</v>
      </c>
      <c r="CA161" s="5">
        <f t="shared" si="77"/>
        <v>3517.6752198156619</v>
      </c>
      <c r="CB161" s="5">
        <f t="shared" si="78"/>
        <v>3630.7965087886728</v>
      </c>
      <c r="CC161" s="5">
        <f t="shared" si="79"/>
        <v>3733.5409687321867</v>
      </c>
      <c r="CD161" s="5">
        <f t="shared" si="80"/>
        <v>3830.6681612960665</v>
      </c>
      <c r="CE161" s="5">
        <f t="shared" si="88"/>
        <v>3931.2514880514018</v>
      </c>
      <c r="CH161" s="41">
        <f>BV161/'1. Väestöennuste'!I161*1000</f>
        <v>3167.4744211093162</v>
      </c>
      <c r="CI161" s="41">
        <f>BW161/'1. Väestöennuste'!J161*1000</f>
        <v>3127.9443254817988</v>
      </c>
      <c r="CJ161" s="41">
        <f>BX161/'1. Väestöennuste'!K161*1000</f>
        <v>3535.6897111716626</v>
      </c>
      <c r="CK161" s="41">
        <f>BY161/'1. Väestöennuste'!L161*1000</f>
        <v>3743.269201563372</v>
      </c>
      <c r="CL161" s="41">
        <f>BZ161/'1. Väestöennuste'!M161*1000</f>
        <v>2201.0806278538817</v>
      </c>
      <c r="CM161" s="41">
        <f>CA161/'1. Väestöennuste'!N161*1000</f>
        <v>2034.5142971750502</v>
      </c>
      <c r="CN161" s="41">
        <f>CB161/'1. Väestöennuste'!O161*1000</f>
        <v>2133.2529428840617</v>
      </c>
      <c r="CO161" s="41">
        <f>CC161/'1. Väestöennuste'!P161*1000</f>
        <v>2228.979682825186</v>
      </c>
      <c r="CP161" s="41">
        <f>CD161/'1. Väestöennuste'!Q161*1000</f>
        <v>2323.0249613681422</v>
      </c>
      <c r="CQ161" s="41">
        <f>CE161/'1. Väestöennuste'!R161*1000</f>
        <v>2419.2316849547087</v>
      </c>
      <c r="CR161" s="41"/>
      <c r="CU161" s="159">
        <f t="shared" si="81"/>
        <v>-39.530095627517312</v>
      </c>
      <c r="CV161" s="159">
        <f t="shared" si="82"/>
        <v>407.74538568986372</v>
      </c>
      <c r="CW161" s="159">
        <f t="shared" si="83"/>
        <v>207.57949039170944</v>
      </c>
      <c r="CX161" s="159">
        <f t="shared" si="84"/>
        <v>-1542.1885737094904</v>
      </c>
      <c r="CY161" s="159">
        <f t="shared" si="85"/>
        <v>-166.56633067883149</v>
      </c>
      <c r="CZ161" s="159">
        <f t="shared" si="86"/>
        <v>98.738645709011507</v>
      </c>
      <c r="DA161" s="159">
        <f t="shared" si="89"/>
        <v>95.726739941124379</v>
      </c>
      <c r="DB161" s="159">
        <f t="shared" si="90"/>
        <v>94.045278542956112</v>
      </c>
      <c r="DC161" s="159">
        <f t="shared" si="90"/>
        <v>96.206723586566568</v>
      </c>
    </row>
    <row r="162" spans="1:107" x14ac:dyDescent="0.2">
      <c r="A162" s="99">
        <v>10</v>
      </c>
      <c r="B162" s="30">
        <v>491</v>
      </c>
      <c r="C162" s="47" t="s">
        <v>476</v>
      </c>
      <c r="D162" s="64">
        <v>168983.4859</v>
      </c>
      <c r="E162" s="64">
        <v>17987.538039999999</v>
      </c>
      <c r="F162" s="64">
        <v>12366.441939999999</v>
      </c>
      <c r="G162" s="205">
        <v>199302</v>
      </c>
      <c r="H162" s="205"/>
      <c r="I162" s="64">
        <v>169039</v>
      </c>
      <c r="J162" s="64">
        <v>18215</v>
      </c>
      <c r="K162" s="64">
        <v>11378</v>
      </c>
      <c r="L162" s="205">
        <v>198632</v>
      </c>
      <c r="M162" s="205"/>
      <c r="N162" s="64">
        <v>169353</v>
      </c>
      <c r="O162" s="64">
        <v>18948</v>
      </c>
      <c r="P162" s="64">
        <v>13293</v>
      </c>
      <c r="Q162" s="205">
        <v>201594</v>
      </c>
      <c r="R162" s="205"/>
      <c r="S162" s="64">
        <v>167523</v>
      </c>
      <c r="T162" s="64">
        <v>19147</v>
      </c>
      <c r="U162" s="64">
        <v>13164</v>
      </c>
      <c r="V162" s="205">
        <v>199834</v>
      </c>
      <c r="W162" s="205"/>
      <c r="X162" s="64">
        <v>170262</v>
      </c>
      <c r="Y162" s="64">
        <v>19318</v>
      </c>
      <c r="Z162" s="64">
        <v>14731</v>
      </c>
      <c r="AA162" s="205">
        <f t="shared" si="87"/>
        <v>204311</v>
      </c>
      <c r="AB162" s="205"/>
      <c r="AC162" s="64">
        <v>186073</v>
      </c>
      <c r="AD162" s="64">
        <v>19763</v>
      </c>
      <c r="AE162" s="64">
        <v>16974</v>
      </c>
      <c r="AF162" s="205">
        <f t="shared" si="64"/>
        <v>222810</v>
      </c>
      <c r="AG162" s="205"/>
      <c r="AH162" s="278">
        <v>191019.2573</v>
      </c>
      <c r="AI162" s="64">
        <v>21771.806109999998</v>
      </c>
      <c r="AJ162" s="64">
        <v>24330.5959</v>
      </c>
      <c r="AK162" s="205">
        <f t="shared" si="65"/>
        <v>237121.65931000002</v>
      </c>
      <c r="AL162" s="205"/>
      <c r="AM162" s="64">
        <v>199948.23461000001</v>
      </c>
      <c r="AN162" s="64">
        <v>22719.519949999998</v>
      </c>
      <c r="AO162" s="64">
        <v>23269.029859999999</v>
      </c>
      <c r="AP162" s="205">
        <f t="shared" si="66"/>
        <v>245936.78442000001</v>
      </c>
      <c r="AQ162" s="205"/>
      <c r="AR162" s="64">
        <v>109719.01064000001</v>
      </c>
      <c r="AS162" s="64">
        <v>21898.910159999999</v>
      </c>
      <c r="AT162" s="64">
        <v>14575.81345</v>
      </c>
      <c r="AU162" s="205">
        <f t="shared" si="67"/>
        <v>146193.73425000001</v>
      </c>
      <c r="AV162" s="205"/>
      <c r="AW162" s="64">
        <v>100970.29716651705</v>
      </c>
      <c r="AX162" s="64">
        <v>23330.078122991799</v>
      </c>
      <c r="AY162" s="64">
        <v>13229.937343951258</v>
      </c>
      <c r="AZ162" s="205">
        <f t="shared" si="68"/>
        <v>137530.3126334601</v>
      </c>
      <c r="BA162" s="205"/>
      <c r="BB162" s="64">
        <v>105549.11982590365</v>
      </c>
      <c r="BC162" s="64">
        <v>23281.555812855579</v>
      </c>
      <c r="BD162" s="64">
        <v>13388.696592078672</v>
      </c>
      <c r="BE162" s="205">
        <f t="shared" si="63"/>
        <v>142219.37223083788</v>
      </c>
      <c r="BF162" s="205"/>
      <c r="BG162" s="64">
        <v>109616.87758091548</v>
      </c>
      <c r="BH162" s="64">
        <v>23416.102727343452</v>
      </c>
      <c r="BI162" s="64">
        <v>14038.853512981421</v>
      </c>
      <c r="BJ162" s="205">
        <f t="shared" si="69"/>
        <v>147071.83382124035</v>
      </c>
      <c r="BK162" s="205"/>
      <c r="BL162" s="64">
        <v>112804.72400859006</v>
      </c>
      <c r="BM162" s="64">
        <v>23602.512536876147</v>
      </c>
      <c r="BN162" s="64">
        <v>14878.009538797758</v>
      </c>
      <c r="BO162" s="205">
        <f t="shared" si="70"/>
        <v>151285.24608426396</v>
      </c>
      <c r="BQ162" s="64">
        <v>116541.93731205547</v>
      </c>
      <c r="BR162" s="64">
        <v>23782.700757952658</v>
      </c>
      <c r="BS162" s="64">
        <v>15399.647068359263</v>
      </c>
      <c r="BT162" s="205">
        <f t="shared" si="71"/>
        <v>155724.28513836738</v>
      </c>
      <c r="BU162" s="205"/>
      <c r="BV162" s="5">
        <f t="shared" si="72"/>
        <v>204311</v>
      </c>
      <c r="BW162" s="5">
        <f t="shared" si="73"/>
        <v>222810</v>
      </c>
      <c r="BX162" s="5">
        <f t="shared" si="74"/>
        <v>237121.65931000002</v>
      </c>
      <c r="BY162" s="5">
        <f t="shared" si="75"/>
        <v>245936.78442000001</v>
      </c>
      <c r="BZ162" s="5">
        <f t="shared" si="76"/>
        <v>146193.73425000001</v>
      </c>
      <c r="CA162" s="5">
        <f t="shared" si="77"/>
        <v>137530.3126334601</v>
      </c>
      <c r="CB162" s="5">
        <f t="shared" si="78"/>
        <v>142219.37223083788</v>
      </c>
      <c r="CC162" s="5">
        <f t="shared" si="79"/>
        <v>147071.83382124035</v>
      </c>
      <c r="CD162" s="5">
        <f t="shared" si="80"/>
        <v>151285.24608426396</v>
      </c>
      <c r="CE162" s="5">
        <f t="shared" si="88"/>
        <v>155724.28513836738</v>
      </c>
      <c r="CH162" s="41">
        <f>BV162/'1. Väestöennuste'!I162*1000</f>
        <v>3845.202695072835</v>
      </c>
      <c r="CI162" s="41">
        <f>BW162/'1. Väestöennuste'!J162*1000</f>
        <v>4237.301028849628</v>
      </c>
      <c r="CJ162" s="41">
        <f>BX162/'1. Väestöennuste'!K162*1000</f>
        <v>4549.3584150646566</v>
      </c>
      <c r="CK162" s="41">
        <f>BY162/'1. Väestöennuste'!L162*1000</f>
        <v>4731.3733055021166</v>
      </c>
      <c r="CL162" s="41">
        <f>BZ162/'1. Väestöennuste'!M162*1000</f>
        <v>2815.8041227681583</v>
      </c>
      <c r="CM162" s="41">
        <f>CA162/'1. Väestöennuste'!N162*1000</f>
        <v>2697.6248996402669</v>
      </c>
      <c r="CN162" s="41">
        <f>CB162/'1. Väestöennuste'!O162*1000</f>
        <v>2811.3262479409714</v>
      </c>
      <c r="CO162" s="41">
        <f>CC162/'1. Väestöennuste'!P162*1000</f>
        <v>2930.1263885649464</v>
      </c>
      <c r="CP162" s="41">
        <f>CD162/'1. Väestöennuste'!Q162*1000</f>
        <v>3037.1854828103019</v>
      </c>
      <c r="CQ162" s="41">
        <f>CE162/'1. Väestöennuste'!R162*1000</f>
        <v>3150.3365325072809</v>
      </c>
      <c r="CR162" s="41"/>
      <c r="CU162" s="159">
        <f t="shared" si="81"/>
        <v>392.09833377679297</v>
      </c>
      <c r="CV162" s="159">
        <f t="shared" si="82"/>
        <v>312.0573862150286</v>
      </c>
      <c r="CW162" s="159">
        <f t="shared" si="83"/>
        <v>182.01489043746005</v>
      </c>
      <c r="CX162" s="159">
        <f t="shared" si="84"/>
        <v>-1915.5691827339583</v>
      </c>
      <c r="CY162" s="159">
        <f t="shared" si="85"/>
        <v>-118.17922312789142</v>
      </c>
      <c r="CZ162" s="159">
        <f t="shared" si="86"/>
        <v>113.70134830070447</v>
      </c>
      <c r="DA162" s="159">
        <f t="shared" si="89"/>
        <v>118.80014062397504</v>
      </c>
      <c r="DB162" s="159">
        <f t="shared" si="90"/>
        <v>107.05909424535548</v>
      </c>
      <c r="DC162" s="159">
        <f t="shared" si="90"/>
        <v>113.15104969697904</v>
      </c>
    </row>
    <row r="163" spans="1:107" x14ac:dyDescent="0.2">
      <c r="A163" s="99">
        <v>17</v>
      </c>
      <c r="B163" s="30">
        <v>494</v>
      </c>
      <c r="C163" s="47" t="s">
        <v>477</v>
      </c>
      <c r="D163" s="64">
        <v>24169.304059999999</v>
      </c>
      <c r="E163" s="64">
        <v>3362.6334400000001</v>
      </c>
      <c r="F163" s="64">
        <v>1243.4206200000001</v>
      </c>
      <c r="G163" s="205">
        <v>28775</v>
      </c>
      <c r="H163" s="205"/>
      <c r="I163" s="64">
        <v>24867</v>
      </c>
      <c r="J163" s="64">
        <v>3595</v>
      </c>
      <c r="K163" s="64">
        <v>1209</v>
      </c>
      <c r="L163" s="205">
        <v>29671</v>
      </c>
      <c r="M163" s="205"/>
      <c r="N163" s="64">
        <v>24970</v>
      </c>
      <c r="O163" s="64">
        <v>3662</v>
      </c>
      <c r="P163" s="64">
        <v>1204</v>
      </c>
      <c r="Q163" s="205">
        <v>29836</v>
      </c>
      <c r="R163" s="205"/>
      <c r="S163" s="64">
        <v>25620</v>
      </c>
      <c r="T163" s="64">
        <v>3680</v>
      </c>
      <c r="U163" s="64">
        <v>782</v>
      </c>
      <c r="V163" s="205">
        <v>30082</v>
      </c>
      <c r="W163" s="205"/>
      <c r="X163" s="64">
        <v>26374</v>
      </c>
      <c r="Y163" s="64">
        <v>3736</v>
      </c>
      <c r="Z163" s="64">
        <v>761</v>
      </c>
      <c r="AA163" s="205">
        <f t="shared" si="87"/>
        <v>30871</v>
      </c>
      <c r="AB163" s="205"/>
      <c r="AC163" s="64">
        <v>26334</v>
      </c>
      <c r="AD163" s="64">
        <v>3548</v>
      </c>
      <c r="AE163" s="64">
        <v>816</v>
      </c>
      <c r="AF163" s="205">
        <f t="shared" si="64"/>
        <v>30698</v>
      </c>
      <c r="AG163" s="205"/>
      <c r="AH163" s="278">
        <v>27904.454470000001</v>
      </c>
      <c r="AI163" s="64">
        <v>3950.8200499999998</v>
      </c>
      <c r="AJ163" s="64">
        <v>1264.66472</v>
      </c>
      <c r="AK163" s="205">
        <f t="shared" si="65"/>
        <v>33119.93924</v>
      </c>
      <c r="AL163" s="205"/>
      <c r="AM163" s="64">
        <v>29293.393660000002</v>
      </c>
      <c r="AN163" s="64">
        <v>4162.7539800000004</v>
      </c>
      <c r="AO163" s="64">
        <v>1497.6368300000001</v>
      </c>
      <c r="AP163" s="205">
        <f t="shared" si="66"/>
        <v>34953.784470000006</v>
      </c>
      <c r="AQ163" s="205"/>
      <c r="AR163" s="64">
        <v>15898.143099999999</v>
      </c>
      <c r="AS163" s="64">
        <v>4386.0585700000001</v>
      </c>
      <c r="AT163" s="64">
        <v>981.04541000000006</v>
      </c>
      <c r="AU163" s="205">
        <f t="shared" si="67"/>
        <v>21265.247079999997</v>
      </c>
      <c r="AV163" s="205"/>
      <c r="AW163" s="64">
        <v>15077.142557889209</v>
      </c>
      <c r="AX163" s="64">
        <v>4330.8818735009027</v>
      </c>
      <c r="AY163" s="64">
        <v>727.24778403050789</v>
      </c>
      <c r="AZ163" s="205">
        <f t="shared" si="68"/>
        <v>20135.27221542062</v>
      </c>
      <c r="BA163" s="205"/>
      <c r="BB163" s="64">
        <v>16023.539718835824</v>
      </c>
      <c r="BC163" s="64">
        <v>4335.8207177155682</v>
      </c>
      <c r="BD163" s="64">
        <v>735.97475743887401</v>
      </c>
      <c r="BE163" s="205">
        <f t="shared" si="63"/>
        <v>21095.335193990268</v>
      </c>
      <c r="BF163" s="205"/>
      <c r="BG163" s="64">
        <v>16801.335295608413</v>
      </c>
      <c r="BH163" s="64">
        <v>4374.5357548152197</v>
      </c>
      <c r="BI163" s="64">
        <v>771.71379139694466</v>
      </c>
      <c r="BJ163" s="205">
        <f t="shared" si="69"/>
        <v>21947.584841820579</v>
      </c>
      <c r="BK163" s="205"/>
      <c r="BL163" s="64">
        <v>17408.446680945832</v>
      </c>
      <c r="BM163" s="64">
        <v>4422.7488904280399</v>
      </c>
      <c r="BN163" s="64">
        <v>817.8420794125941</v>
      </c>
      <c r="BO163" s="205">
        <f t="shared" si="70"/>
        <v>22649.037650786464</v>
      </c>
      <c r="BQ163" s="64">
        <v>18087.414065083987</v>
      </c>
      <c r="BR163" s="64">
        <v>4469.6182496244082</v>
      </c>
      <c r="BS163" s="64">
        <v>846.51642061151119</v>
      </c>
      <c r="BT163" s="205">
        <f t="shared" si="71"/>
        <v>23403.548735319906</v>
      </c>
      <c r="BU163" s="205"/>
      <c r="BV163" s="5">
        <f t="shared" si="72"/>
        <v>30871</v>
      </c>
      <c r="BW163" s="5">
        <f t="shared" si="73"/>
        <v>30698</v>
      </c>
      <c r="BX163" s="5">
        <f t="shared" si="74"/>
        <v>33119.93924</v>
      </c>
      <c r="BY163" s="5">
        <f t="shared" si="75"/>
        <v>34953.784470000006</v>
      </c>
      <c r="BZ163" s="5">
        <f t="shared" si="76"/>
        <v>21265.247079999997</v>
      </c>
      <c r="CA163" s="5">
        <f t="shared" si="77"/>
        <v>20135.27221542062</v>
      </c>
      <c r="CB163" s="5">
        <f t="shared" si="78"/>
        <v>21095.335193990268</v>
      </c>
      <c r="CC163" s="5">
        <f t="shared" si="79"/>
        <v>21947.584841820579</v>
      </c>
      <c r="CD163" s="5">
        <f t="shared" si="80"/>
        <v>22649.037650786464</v>
      </c>
      <c r="CE163" s="5">
        <f t="shared" si="88"/>
        <v>23403.548735319906</v>
      </c>
      <c r="CH163" s="41">
        <f>BV163/'1. Väestöennuste'!I163*1000</f>
        <v>3465.5365963179165</v>
      </c>
      <c r="CI163" s="41">
        <f>BW163/'1. Väestöennuste'!J163*1000</f>
        <v>3448.0512186903288</v>
      </c>
      <c r="CJ163" s="41">
        <f>BX163/'1. Väestöennuste'!K163*1000</f>
        <v>3717.582134919744</v>
      </c>
      <c r="CK163" s="41">
        <f>BY163/'1. Väestöennuste'!L163*1000</f>
        <v>3935.3506496284626</v>
      </c>
      <c r="CL163" s="41">
        <f>BZ163/'1. Väestöennuste'!M163*1000</f>
        <v>2409.1137509912764</v>
      </c>
      <c r="CM163" s="41">
        <f>CA163/'1. Väestöennuste'!N163*1000</f>
        <v>2293.3111862665855</v>
      </c>
      <c r="CN163" s="41">
        <f>CB163/'1. Väestöennuste'!O163*1000</f>
        <v>2410.8954507417448</v>
      </c>
      <c r="CO163" s="41">
        <f>CC163/'1. Väestöennuste'!P163*1000</f>
        <v>2516.9248671812593</v>
      </c>
      <c r="CP163" s="41">
        <f>CD163/'1. Väestöennuste'!Q163*1000</f>
        <v>2606.0335577938631</v>
      </c>
      <c r="CQ163" s="41">
        <f>CE163/'1. Väestöennuste'!R163*1000</f>
        <v>2701.8643194781698</v>
      </c>
      <c r="CR163" s="41"/>
      <c r="CU163" s="159">
        <f t="shared" si="81"/>
        <v>-17.485377627587695</v>
      </c>
      <c r="CV163" s="159">
        <f t="shared" si="82"/>
        <v>269.5309162294152</v>
      </c>
      <c r="CW163" s="159">
        <f t="shared" si="83"/>
        <v>217.76851470871861</v>
      </c>
      <c r="CX163" s="159">
        <f t="shared" si="84"/>
        <v>-1526.2368986371862</v>
      </c>
      <c r="CY163" s="159">
        <f t="shared" si="85"/>
        <v>-115.80256472469091</v>
      </c>
      <c r="CZ163" s="159">
        <f t="shared" si="86"/>
        <v>117.58426447515922</v>
      </c>
      <c r="DA163" s="159">
        <f t="shared" si="89"/>
        <v>106.02941643951453</v>
      </c>
      <c r="DB163" s="159">
        <f t="shared" si="90"/>
        <v>89.108690612603823</v>
      </c>
      <c r="DC163" s="159">
        <f t="shared" si="90"/>
        <v>95.830761684306708</v>
      </c>
    </row>
    <row r="164" spans="1:107" x14ac:dyDescent="0.2">
      <c r="A164" s="99">
        <v>13</v>
      </c>
      <c r="B164" s="30">
        <v>495</v>
      </c>
      <c r="C164" s="47" t="s">
        <v>478</v>
      </c>
      <c r="D164" s="64">
        <v>3936.8936100000001</v>
      </c>
      <c r="E164" s="64">
        <v>396.51272999999998</v>
      </c>
      <c r="F164" s="64">
        <v>1023.44263</v>
      </c>
      <c r="G164" s="205">
        <v>5357</v>
      </c>
      <c r="H164" s="205"/>
      <c r="I164" s="64">
        <v>4252</v>
      </c>
      <c r="J164" s="64">
        <v>404</v>
      </c>
      <c r="K164" s="64">
        <v>932</v>
      </c>
      <c r="L164" s="205">
        <v>5588</v>
      </c>
      <c r="M164" s="205"/>
      <c r="N164" s="78">
        <v>3973</v>
      </c>
      <c r="O164" s="78">
        <v>404</v>
      </c>
      <c r="P164" s="78">
        <v>1081</v>
      </c>
      <c r="Q164" s="205">
        <v>5458</v>
      </c>
      <c r="R164" s="205"/>
      <c r="S164" s="64">
        <v>3890</v>
      </c>
      <c r="T164" s="64">
        <v>403</v>
      </c>
      <c r="U164" s="64">
        <v>1086</v>
      </c>
      <c r="V164" s="205">
        <v>5379</v>
      </c>
      <c r="W164" s="205"/>
      <c r="X164" s="64">
        <v>4063</v>
      </c>
      <c r="Y164" s="64">
        <v>414</v>
      </c>
      <c r="Z164" s="64">
        <v>1170</v>
      </c>
      <c r="AA164" s="205">
        <f t="shared" si="87"/>
        <v>5647</v>
      </c>
      <c r="AB164" s="205"/>
      <c r="AC164" s="64">
        <v>4147</v>
      </c>
      <c r="AD164" s="64">
        <v>368</v>
      </c>
      <c r="AE164" s="64">
        <v>1301</v>
      </c>
      <c r="AF164" s="205">
        <f t="shared" si="64"/>
        <v>5816</v>
      </c>
      <c r="AG164" s="205"/>
      <c r="AH164" s="278">
        <v>4140.4250600000005</v>
      </c>
      <c r="AI164" s="64">
        <v>459.1816</v>
      </c>
      <c r="AJ164" s="64">
        <v>1829.81736</v>
      </c>
      <c r="AK164" s="205">
        <f t="shared" si="65"/>
        <v>6429.4240200000004</v>
      </c>
      <c r="AL164" s="205"/>
      <c r="AM164" s="64">
        <v>4419.7449000000006</v>
      </c>
      <c r="AN164" s="64">
        <v>492.36872</v>
      </c>
      <c r="AO164" s="64">
        <v>1674.45056</v>
      </c>
      <c r="AP164" s="205">
        <f t="shared" si="66"/>
        <v>6586.5641800000012</v>
      </c>
      <c r="AQ164" s="205"/>
      <c r="AR164" s="64">
        <v>2211.1912900000002</v>
      </c>
      <c r="AS164" s="64">
        <v>514.08645000000001</v>
      </c>
      <c r="AT164" s="64">
        <v>965.88995999999997</v>
      </c>
      <c r="AU164" s="205">
        <f t="shared" si="67"/>
        <v>3691.1677000000004</v>
      </c>
      <c r="AV164" s="205"/>
      <c r="AW164" s="64">
        <v>2157.1400450505171</v>
      </c>
      <c r="AX164" s="64">
        <v>559.22366750154185</v>
      </c>
      <c r="AY164" s="64">
        <v>926.88715221367818</v>
      </c>
      <c r="AZ164" s="205">
        <f t="shared" si="68"/>
        <v>3643.2508647657373</v>
      </c>
      <c r="BA164" s="205"/>
      <c r="BB164" s="64">
        <v>2276.1649926359796</v>
      </c>
      <c r="BC164" s="64">
        <v>570.10340611436743</v>
      </c>
      <c r="BD164" s="64">
        <v>938.00979804024223</v>
      </c>
      <c r="BE164" s="205">
        <f t="shared" si="63"/>
        <v>3784.2781967905894</v>
      </c>
      <c r="BF164" s="205"/>
      <c r="BG164" s="64">
        <v>2337.0991069666698</v>
      </c>
      <c r="BH164" s="64">
        <v>585.72109466313339</v>
      </c>
      <c r="BI164" s="64">
        <v>983.5596809490288</v>
      </c>
      <c r="BJ164" s="205">
        <f t="shared" si="69"/>
        <v>3906.3798825788322</v>
      </c>
      <c r="BK164" s="205"/>
      <c r="BL164" s="64">
        <v>2384.9079471489054</v>
      </c>
      <c r="BM164" s="64">
        <v>603.02193085177259</v>
      </c>
      <c r="BN164" s="64">
        <v>1042.3508088894393</v>
      </c>
      <c r="BO164" s="205">
        <f t="shared" si="70"/>
        <v>4030.2806868901171</v>
      </c>
      <c r="BQ164" s="64">
        <v>2427.1645803806914</v>
      </c>
      <c r="BR164" s="64">
        <v>620.58374641879095</v>
      </c>
      <c r="BS164" s="64">
        <v>1078.8966451767214</v>
      </c>
      <c r="BT164" s="205">
        <f t="shared" si="71"/>
        <v>4126.644971976204</v>
      </c>
      <c r="BU164" s="205"/>
      <c r="BV164" s="5">
        <f t="shared" si="72"/>
        <v>5647</v>
      </c>
      <c r="BW164" s="5">
        <f t="shared" si="73"/>
        <v>5816</v>
      </c>
      <c r="BX164" s="5">
        <f t="shared" si="74"/>
        <v>6429.4240200000004</v>
      </c>
      <c r="BY164" s="5">
        <f t="shared" si="75"/>
        <v>6586.5641800000012</v>
      </c>
      <c r="BZ164" s="5">
        <f t="shared" si="76"/>
        <v>3691.1677000000004</v>
      </c>
      <c r="CA164" s="5">
        <f t="shared" si="77"/>
        <v>3643.2508647657373</v>
      </c>
      <c r="CB164" s="5">
        <f t="shared" si="78"/>
        <v>3784.2781967905894</v>
      </c>
      <c r="CC164" s="5">
        <f t="shared" si="79"/>
        <v>3906.3798825788322</v>
      </c>
      <c r="CD164" s="5">
        <f t="shared" si="80"/>
        <v>4030.2806868901171</v>
      </c>
      <c r="CE164" s="5">
        <f t="shared" si="88"/>
        <v>4126.644971976204</v>
      </c>
      <c r="CH164" s="41">
        <f>BV164/'1. Väestöennuste'!I164*1000</f>
        <v>3606.002554278416</v>
      </c>
      <c r="CI164" s="41">
        <f>BW164/'1. Väestöennuste'!J164*1000</f>
        <v>3732.9910141206674</v>
      </c>
      <c r="CJ164" s="41">
        <f>BX164/'1. Väestöennuste'!K164*1000</f>
        <v>4320.8494758064517</v>
      </c>
      <c r="CK164" s="41">
        <f>BY164/'1. Väestöennuste'!L164*1000</f>
        <v>4459.4205687203803</v>
      </c>
      <c r="CL164" s="41">
        <f>BZ164/'1. Väestöennuste'!M164*1000</f>
        <v>2581.2361538461541</v>
      </c>
      <c r="CM164" s="41">
        <f>CA164/'1. Väestöennuste'!N164*1000</f>
        <v>2500.5153498735331</v>
      </c>
      <c r="CN164" s="41">
        <f>CB164/'1. Väestöennuste'!O164*1000</f>
        <v>2638.966664428584</v>
      </c>
      <c r="CO164" s="41">
        <f>CC164/'1. Väestöennuste'!P164*1000</f>
        <v>2764.6000584422022</v>
      </c>
      <c r="CP164" s="41">
        <f>CD164/'1. Väestöennuste'!Q164*1000</f>
        <v>2901.569968963367</v>
      </c>
      <c r="CQ164" s="41">
        <f>CE164/'1. Väestöennuste'!R164*1000</f>
        <v>3018.7600380220952</v>
      </c>
      <c r="CR164" s="41"/>
      <c r="CU164" s="159">
        <f t="shared" si="81"/>
        <v>126.98845984225136</v>
      </c>
      <c r="CV164" s="159">
        <f t="shared" si="82"/>
        <v>587.85846168578428</v>
      </c>
      <c r="CW164" s="159">
        <f t="shared" si="83"/>
        <v>138.57109291392862</v>
      </c>
      <c r="CX164" s="159">
        <f t="shared" si="84"/>
        <v>-1878.1844148742261</v>
      </c>
      <c r="CY164" s="159">
        <f t="shared" si="85"/>
        <v>-80.72080397262107</v>
      </c>
      <c r="CZ164" s="159">
        <f t="shared" si="86"/>
        <v>138.45131455505089</v>
      </c>
      <c r="DA164" s="159">
        <f t="shared" si="89"/>
        <v>125.63339401361827</v>
      </c>
      <c r="DB164" s="159">
        <f t="shared" si="90"/>
        <v>136.96991052116482</v>
      </c>
      <c r="DC164" s="159">
        <f t="shared" si="90"/>
        <v>117.19006905872811</v>
      </c>
    </row>
    <row r="165" spans="1:107" x14ac:dyDescent="0.2">
      <c r="A165" s="99">
        <v>19</v>
      </c>
      <c r="B165" s="30">
        <v>498</v>
      </c>
      <c r="C165" s="47" t="s">
        <v>479</v>
      </c>
      <c r="D165" s="64">
        <v>6863.6195900000002</v>
      </c>
      <c r="E165" s="64">
        <v>901.59081999999989</v>
      </c>
      <c r="F165" s="64">
        <v>639.30838000000006</v>
      </c>
      <c r="G165" s="205">
        <v>8404</v>
      </c>
      <c r="H165" s="205"/>
      <c r="I165" s="64">
        <v>7044</v>
      </c>
      <c r="J165" s="64">
        <v>921</v>
      </c>
      <c r="K165" s="64">
        <v>575</v>
      </c>
      <c r="L165" s="205">
        <v>8540</v>
      </c>
      <c r="M165" s="205"/>
      <c r="N165" s="64">
        <v>7044</v>
      </c>
      <c r="O165" s="64">
        <v>966</v>
      </c>
      <c r="P165" s="64">
        <v>728</v>
      </c>
      <c r="Q165" s="205">
        <v>8738</v>
      </c>
      <c r="R165" s="205"/>
      <c r="S165" s="64">
        <v>6997</v>
      </c>
      <c r="T165" s="64">
        <v>948</v>
      </c>
      <c r="U165" s="64">
        <v>705</v>
      </c>
      <c r="V165" s="205">
        <v>8650</v>
      </c>
      <c r="W165" s="205"/>
      <c r="X165" s="64">
        <v>7081</v>
      </c>
      <c r="Y165" s="64">
        <v>1018</v>
      </c>
      <c r="Z165" s="64">
        <v>757</v>
      </c>
      <c r="AA165" s="205">
        <f t="shared" si="87"/>
        <v>8856</v>
      </c>
      <c r="AB165" s="205"/>
      <c r="AC165" s="64">
        <v>7985</v>
      </c>
      <c r="AD165" s="64">
        <v>894</v>
      </c>
      <c r="AE165" s="64">
        <v>1054</v>
      </c>
      <c r="AF165" s="205">
        <f t="shared" si="64"/>
        <v>9933</v>
      </c>
      <c r="AG165" s="205"/>
      <c r="AH165" s="278">
        <v>7786.4009400000004</v>
      </c>
      <c r="AI165" s="64">
        <v>1023.7132800000001</v>
      </c>
      <c r="AJ165" s="64">
        <v>1613.05925</v>
      </c>
      <c r="AK165" s="205">
        <f t="shared" si="65"/>
        <v>10423.173470000002</v>
      </c>
      <c r="AL165" s="205"/>
      <c r="AM165" s="64">
        <v>8026.9517300000007</v>
      </c>
      <c r="AN165" s="64">
        <v>1221.3793600000001</v>
      </c>
      <c r="AO165" s="64">
        <v>1777.2716200000002</v>
      </c>
      <c r="AP165" s="205">
        <f t="shared" si="66"/>
        <v>11025.602710000001</v>
      </c>
      <c r="AQ165" s="205"/>
      <c r="AR165" s="64">
        <v>4260.3010700000004</v>
      </c>
      <c r="AS165" s="64">
        <v>1236.88903</v>
      </c>
      <c r="AT165" s="64">
        <v>1008.50836</v>
      </c>
      <c r="AU165" s="205">
        <f t="shared" si="67"/>
        <v>6505.6984600000005</v>
      </c>
      <c r="AV165" s="205"/>
      <c r="AW165" s="64">
        <v>4129.8780468928207</v>
      </c>
      <c r="AX165" s="64">
        <v>1300.2737164246425</v>
      </c>
      <c r="AY165" s="64">
        <v>675.89031292316668</v>
      </c>
      <c r="AZ165" s="205">
        <f t="shared" si="68"/>
        <v>6106.0420762406302</v>
      </c>
      <c r="BA165" s="205"/>
      <c r="BB165" s="64">
        <v>4276.3060234374434</v>
      </c>
      <c r="BC165" s="64">
        <v>1317.5387111583652</v>
      </c>
      <c r="BD165" s="64">
        <v>684.00099667824463</v>
      </c>
      <c r="BE165" s="205">
        <f t="shared" si="63"/>
        <v>6277.8457312740529</v>
      </c>
      <c r="BF165" s="205"/>
      <c r="BG165" s="64">
        <v>4457.0189463987572</v>
      </c>
      <c r="BH165" s="64">
        <v>1345.149180059087</v>
      </c>
      <c r="BI165" s="64">
        <v>717.2161777704689</v>
      </c>
      <c r="BJ165" s="205">
        <f t="shared" si="69"/>
        <v>6519.3843042283124</v>
      </c>
      <c r="BK165" s="205"/>
      <c r="BL165" s="64">
        <v>4596.9460707574517</v>
      </c>
      <c r="BM165" s="64">
        <v>1375.9158159883648</v>
      </c>
      <c r="BN165" s="64">
        <v>760.08693476159544</v>
      </c>
      <c r="BO165" s="205">
        <f t="shared" si="70"/>
        <v>6732.9488215074116</v>
      </c>
      <c r="BQ165" s="64">
        <v>4753.8848382961978</v>
      </c>
      <c r="BR165" s="64">
        <v>1406.5256659934785</v>
      </c>
      <c r="BS165" s="64">
        <v>786.73632424256607</v>
      </c>
      <c r="BT165" s="205">
        <f t="shared" si="71"/>
        <v>6947.1468285322426</v>
      </c>
      <c r="BU165" s="205"/>
      <c r="BV165" s="5">
        <f t="shared" si="72"/>
        <v>8856</v>
      </c>
      <c r="BW165" s="5">
        <f t="shared" si="73"/>
        <v>9933</v>
      </c>
      <c r="BX165" s="5">
        <f t="shared" si="74"/>
        <v>10423.173470000002</v>
      </c>
      <c r="BY165" s="5">
        <f t="shared" si="75"/>
        <v>11025.602710000001</v>
      </c>
      <c r="BZ165" s="5">
        <f t="shared" si="76"/>
        <v>6505.6984600000005</v>
      </c>
      <c r="CA165" s="5">
        <f t="shared" si="77"/>
        <v>6106.0420762406302</v>
      </c>
      <c r="CB165" s="5">
        <f t="shared" si="78"/>
        <v>6277.8457312740529</v>
      </c>
      <c r="CC165" s="5">
        <f t="shared" si="79"/>
        <v>6519.3843042283124</v>
      </c>
      <c r="CD165" s="5">
        <f t="shared" si="80"/>
        <v>6732.9488215074116</v>
      </c>
      <c r="CE165" s="5">
        <f t="shared" si="88"/>
        <v>6947.1468285322426</v>
      </c>
      <c r="CH165" s="41">
        <f>BV165/'1. Väestöennuste'!I165*1000</f>
        <v>3837.0883882149046</v>
      </c>
      <c r="CI165" s="41">
        <f>BW165/'1. Väestöennuste'!J165*1000</f>
        <v>4324.3360905528943</v>
      </c>
      <c r="CJ165" s="41">
        <f>BX165/'1. Väestöennuste'!K165*1000</f>
        <v>4490.8114907367526</v>
      </c>
      <c r="CK165" s="41">
        <f>BY165/'1. Väestöennuste'!L165*1000</f>
        <v>4833.6706313020613</v>
      </c>
      <c r="CL165" s="41">
        <f>BZ165/'1. Väestöennuste'!M165*1000</f>
        <v>2798.1498752688176</v>
      </c>
      <c r="CM165" s="41">
        <f>CA165/'1. Väestöennuste'!N165*1000</f>
        <v>2707.7791912375301</v>
      </c>
      <c r="CN165" s="41">
        <f>CB165/'1. Väestöennuste'!O165*1000</f>
        <v>2796.3678090307585</v>
      </c>
      <c r="CO165" s="41">
        <f>CC165/'1. Väestöennuste'!P165*1000</f>
        <v>2915.6459321235743</v>
      </c>
      <c r="CP165" s="41">
        <f>CD165/'1. Väestöennuste'!Q165*1000</f>
        <v>3023.3268170217389</v>
      </c>
      <c r="CQ165" s="41">
        <f>CE165/'1. Väestöennuste'!R165*1000</f>
        <v>3133.5799858061537</v>
      </c>
      <c r="CR165" s="41"/>
      <c r="CU165" s="159">
        <f t="shared" si="81"/>
        <v>487.24770233798972</v>
      </c>
      <c r="CV165" s="159">
        <f t="shared" si="82"/>
        <v>166.47540018385826</v>
      </c>
      <c r="CW165" s="159">
        <f t="shared" si="83"/>
        <v>342.85914056530873</v>
      </c>
      <c r="CX165" s="159">
        <f t="shared" si="84"/>
        <v>-2035.5207560332437</v>
      </c>
      <c r="CY165" s="159">
        <f t="shared" si="85"/>
        <v>-90.37068403128751</v>
      </c>
      <c r="CZ165" s="159">
        <f t="shared" si="86"/>
        <v>88.588617793228423</v>
      </c>
      <c r="DA165" s="159">
        <f t="shared" si="89"/>
        <v>119.2781230928158</v>
      </c>
      <c r="DB165" s="159">
        <f t="shared" si="90"/>
        <v>107.68088489816455</v>
      </c>
      <c r="DC165" s="159">
        <f t="shared" si="90"/>
        <v>110.25316878441481</v>
      </c>
    </row>
    <row r="166" spans="1:107" x14ac:dyDescent="0.2">
      <c r="A166" s="99">
        <v>15</v>
      </c>
      <c r="B166" s="30">
        <v>499</v>
      </c>
      <c r="C166" s="47" t="s">
        <v>480</v>
      </c>
      <c r="D166" s="64">
        <v>68167.774409999998</v>
      </c>
      <c r="E166" s="64">
        <v>4499.9978200000005</v>
      </c>
      <c r="F166" s="64">
        <v>2504.7894000000001</v>
      </c>
      <c r="G166" s="205">
        <v>75152</v>
      </c>
      <c r="H166" s="205"/>
      <c r="I166" s="64">
        <v>69120</v>
      </c>
      <c r="J166" s="64">
        <v>4598</v>
      </c>
      <c r="K166" s="64">
        <v>2197</v>
      </c>
      <c r="L166" s="205">
        <v>75915</v>
      </c>
      <c r="M166" s="205"/>
      <c r="N166" s="64">
        <v>69600</v>
      </c>
      <c r="O166" s="64">
        <v>4579</v>
      </c>
      <c r="P166" s="64">
        <v>2650</v>
      </c>
      <c r="Q166" s="205">
        <v>76829</v>
      </c>
      <c r="R166" s="205"/>
      <c r="S166" s="64">
        <v>68348</v>
      </c>
      <c r="T166" s="64">
        <v>4579</v>
      </c>
      <c r="U166" s="64">
        <v>2430</v>
      </c>
      <c r="V166" s="205">
        <v>75357</v>
      </c>
      <c r="W166" s="205"/>
      <c r="X166" s="64">
        <v>69716</v>
      </c>
      <c r="Y166" s="64">
        <v>4737</v>
      </c>
      <c r="Z166" s="64">
        <v>2494</v>
      </c>
      <c r="AA166" s="205">
        <f t="shared" si="87"/>
        <v>76947</v>
      </c>
      <c r="AB166" s="205"/>
      <c r="AC166" s="64">
        <v>72079</v>
      </c>
      <c r="AD166" s="64">
        <v>4339</v>
      </c>
      <c r="AE166" s="64">
        <v>2995</v>
      </c>
      <c r="AF166" s="205">
        <f t="shared" si="64"/>
        <v>79413</v>
      </c>
      <c r="AG166" s="205"/>
      <c r="AH166" s="278">
        <v>74199.269239999994</v>
      </c>
      <c r="AI166" s="64">
        <v>4900.0724900000005</v>
      </c>
      <c r="AJ166" s="64">
        <v>5065.0531700000001</v>
      </c>
      <c r="AK166" s="205">
        <f t="shared" si="65"/>
        <v>84164.394899999999</v>
      </c>
      <c r="AL166" s="205"/>
      <c r="AM166" s="64">
        <v>78332.898060000007</v>
      </c>
      <c r="AN166" s="64">
        <v>5144.9444000000003</v>
      </c>
      <c r="AO166" s="64">
        <v>5396.5775100000001</v>
      </c>
      <c r="AP166" s="205">
        <f t="shared" si="66"/>
        <v>88874.419970000017</v>
      </c>
      <c r="AQ166" s="205"/>
      <c r="AR166" s="64">
        <v>39599.359770000003</v>
      </c>
      <c r="AS166" s="64">
        <v>5730.0785300000007</v>
      </c>
      <c r="AT166" s="64">
        <v>3219.9207999999999</v>
      </c>
      <c r="AU166" s="205">
        <f t="shared" si="67"/>
        <v>48549.359100000001</v>
      </c>
      <c r="AV166" s="205"/>
      <c r="AW166" s="64">
        <v>37886.163664146909</v>
      </c>
      <c r="AX166" s="64">
        <v>5844.5779760610194</v>
      </c>
      <c r="AY166" s="64">
        <v>2566.7498168891379</v>
      </c>
      <c r="AZ166" s="205">
        <f t="shared" si="68"/>
        <v>46297.491457097065</v>
      </c>
      <c r="BA166" s="205"/>
      <c r="BB166" s="64">
        <v>40209.362788160055</v>
      </c>
      <c r="BC166" s="64">
        <v>5889.367191582588</v>
      </c>
      <c r="BD166" s="64">
        <v>2597.5508146918073</v>
      </c>
      <c r="BE166" s="205">
        <f t="shared" si="63"/>
        <v>48696.280794434453</v>
      </c>
      <c r="BF166" s="205"/>
      <c r="BG166" s="64">
        <v>42219.642637239565</v>
      </c>
      <c r="BH166" s="64">
        <v>5981.3291757713196</v>
      </c>
      <c r="BI166" s="64">
        <v>2723.6882342646454</v>
      </c>
      <c r="BJ166" s="205">
        <f t="shared" si="69"/>
        <v>50924.660047275524</v>
      </c>
      <c r="BK166" s="205"/>
      <c r="BL166" s="64">
        <v>43791.681691080907</v>
      </c>
      <c r="BM166" s="64">
        <v>6087.9733561515277</v>
      </c>
      <c r="BN166" s="64">
        <v>2886.4935083644705</v>
      </c>
      <c r="BO166" s="205">
        <f t="shared" si="70"/>
        <v>52766.148555596897</v>
      </c>
      <c r="BQ166" s="64">
        <v>45514.876323166143</v>
      </c>
      <c r="BR166" s="64">
        <v>6194.5575186502865</v>
      </c>
      <c r="BS166" s="64">
        <v>2987.6967868589568</v>
      </c>
      <c r="BT166" s="205">
        <f t="shared" si="71"/>
        <v>54697.130628675382</v>
      </c>
      <c r="BU166" s="205"/>
      <c r="BV166" s="5">
        <f t="shared" si="72"/>
        <v>76947</v>
      </c>
      <c r="BW166" s="5">
        <f t="shared" si="73"/>
        <v>79413</v>
      </c>
      <c r="BX166" s="5">
        <f t="shared" si="74"/>
        <v>84164.394899999999</v>
      </c>
      <c r="BY166" s="5">
        <f t="shared" si="75"/>
        <v>88874.419970000017</v>
      </c>
      <c r="BZ166" s="5">
        <f t="shared" si="76"/>
        <v>48549.359100000001</v>
      </c>
      <c r="CA166" s="5">
        <f t="shared" si="77"/>
        <v>46297.491457097065</v>
      </c>
      <c r="CB166" s="5">
        <f t="shared" si="78"/>
        <v>48696.280794434453</v>
      </c>
      <c r="CC166" s="5">
        <f t="shared" si="79"/>
        <v>50924.660047275524</v>
      </c>
      <c r="CD166" s="5">
        <f t="shared" si="80"/>
        <v>52766.148555596897</v>
      </c>
      <c r="CE166" s="5">
        <f t="shared" si="88"/>
        <v>54697.130628675382</v>
      </c>
      <c r="CH166" s="41">
        <f>BV166/'1. Väestöennuste'!I166*1000</f>
        <v>3956.5508021390374</v>
      </c>
      <c r="CI166" s="41">
        <f>BW166/'1. Väestöennuste'!J166*1000</f>
        <v>4082.3009304477455</v>
      </c>
      <c r="CJ166" s="41">
        <f>BX166/'1. Väestöennuste'!K166*1000</f>
        <v>4308.1692721130221</v>
      </c>
      <c r="CK166" s="41">
        <f>BY166/'1. Väestöennuste'!L166*1000</f>
        <v>4520.1108722408717</v>
      </c>
      <c r="CL166" s="41">
        <f>BZ166/'1. Väestöennuste'!M166*1000</f>
        <v>2456.5784091484088</v>
      </c>
      <c r="CM166" s="41">
        <f>CA166/'1. Väestöennuste'!N166*1000</f>
        <v>2371.4332560107086</v>
      </c>
      <c r="CN166" s="41">
        <f>CB166/'1. Väestöennuste'!O166*1000</f>
        <v>2494.6865161083224</v>
      </c>
      <c r="CO166" s="41">
        <f>CC166/'1. Väestöennuste'!P166*1000</f>
        <v>2609.9149265721362</v>
      </c>
      <c r="CP166" s="41">
        <f>CD166/'1. Väestöennuste'!Q166*1000</f>
        <v>2706.0951102926761</v>
      </c>
      <c r="CQ166" s="41">
        <f>CE166/'1. Väestöennuste'!R166*1000</f>
        <v>2807.5726634162497</v>
      </c>
      <c r="CR166" s="41"/>
      <c r="CU166" s="159">
        <f t="shared" si="81"/>
        <v>125.7501283087081</v>
      </c>
      <c r="CV166" s="159">
        <f t="shared" si="82"/>
        <v>225.8683416652766</v>
      </c>
      <c r="CW166" s="159">
        <f t="shared" si="83"/>
        <v>211.9416001278496</v>
      </c>
      <c r="CX166" s="159">
        <f t="shared" si="84"/>
        <v>-2063.5324630924629</v>
      </c>
      <c r="CY166" s="159">
        <f t="shared" si="85"/>
        <v>-85.145153137700163</v>
      </c>
      <c r="CZ166" s="159">
        <f t="shared" si="86"/>
        <v>123.25326009761375</v>
      </c>
      <c r="DA166" s="159">
        <f t="shared" si="89"/>
        <v>115.22841046381382</v>
      </c>
      <c r="DB166" s="159">
        <f t="shared" si="90"/>
        <v>96.180183720539844</v>
      </c>
      <c r="DC166" s="159">
        <f t="shared" si="90"/>
        <v>101.47755312357367</v>
      </c>
    </row>
    <row r="167" spans="1:107" x14ac:dyDescent="0.2">
      <c r="A167" s="99">
        <v>13</v>
      </c>
      <c r="B167" s="30">
        <v>500</v>
      </c>
      <c r="C167" s="47" t="s">
        <v>481</v>
      </c>
      <c r="D167" s="64">
        <v>32776.675109999996</v>
      </c>
      <c r="E167" s="64">
        <v>1952.9845700000001</v>
      </c>
      <c r="F167" s="64">
        <v>2121.6872499999999</v>
      </c>
      <c r="G167" s="205">
        <v>36837</v>
      </c>
      <c r="H167" s="205"/>
      <c r="I167" s="64">
        <v>33671</v>
      </c>
      <c r="J167" s="64">
        <v>2094</v>
      </c>
      <c r="K167" s="64">
        <v>1923</v>
      </c>
      <c r="L167" s="205">
        <v>37688</v>
      </c>
      <c r="M167" s="205"/>
      <c r="N167" s="64">
        <v>34205</v>
      </c>
      <c r="O167" s="64">
        <v>2134</v>
      </c>
      <c r="P167" s="64">
        <v>2316</v>
      </c>
      <c r="Q167" s="205">
        <v>38655</v>
      </c>
      <c r="R167" s="205"/>
      <c r="S167" s="64">
        <v>35053</v>
      </c>
      <c r="T167" s="64">
        <v>2212</v>
      </c>
      <c r="U167" s="64">
        <v>2139</v>
      </c>
      <c r="V167" s="205">
        <v>39404</v>
      </c>
      <c r="W167" s="205"/>
      <c r="X167" s="64">
        <v>35724</v>
      </c>
      <c r="Y167" s="64">
        <v>2313</v>
      </c>
      <c r="Z167" s="64">
        <v>2015</v>
      </c>
      <c r="AA167" s="205">
        <f t="shared" si="87"/>
        <v>40052</v>
      </c>
      <c r="AB167" s="205"/>
      <c r="AC167" s="64">
        <v>38101</v>
      </c>
      <c r="AD167" s="64">
        <v>2136</v>
      </c>
      <c r="AE167" s="64">
        <v>2023</v>
      </c>
      <c r="AF167" s="205">
        <f t="shared" si="64"/>
        <v>42260</v>
      </c>
      <c r="AG167" s="205"/>
      <c r="AH167" s="278">
        <v>38802.353889999999</v>
      </c>
      <c r="AI167" s="64">
        <v>2377.3269599999999</v>
      </c>
      <c r="AJ167" s="64">
        <v>3041.6239700000001</v>
      </c>
      <c r="AK167" s="205">
        <f t="shared" si="65"/>
        <v>44221.304819999998</v>
      </c>
      <c r="AL167" s="205"/>
      <c r="AM167" s="64">
        <v>40865.13826</v>
      </c>
      <c r="AN167" s="64">
        <v>2575.6554799999999</v>
      </c>
      <c r="AO167" s="64">
        <v>3560.5962100000002</v>
      </c>
      <c r="AP167" s="205">
        <f t="shared" si="66"/>
        <v>47001.389950000004</v>
      </c>
      <c r="AQ167" s="205"/>
      <c r="AR167" s="64">
        <v>18329.327710000001</v>
      </c>
      <c r="AS167" s="64">
        <v>2766.2692499999998</v>
      </c>
      <c r="AT167" s="64">
        <v>2739.32762</v>
      </c>
      <c r="AU167" s="205">
        <f t="shared" si="67"/>
        <v>23834.924580000003</v>
      </c>
      <c r="AV167" s="205"/>
      <c r="AW167" s="64">
        <v>17376.188865940341</v>
      </c>
      <c r="AX167" s="64">
        <v>3031.1578702888305</v>
      </c>
      <c r="AY167" s="64">
        <v>2488.4647940898926</v>
      </c>
      <c r="AZ167" s="205">
        <f t="shared" si="68"/>
        <v>22895.811530319064</v>
      </c>
      <c r="BA167" s="205"/>
      <c r="BB167" s="64">
        <v>18548.954663732602</v>
      </c>
      <c r="BC167" s="64">
        <v>3103.377453397844</v>
      </c>
      <c r="BD167" s="64">
        <v>2518.3263716189713</v>
      </c>
      <c r="BE167" s="205">
        <f t="shared" si="63"/>
        <v>24170.658488749417</v>
      </c>
      <c r="BF167" s="205"/>
      <c r="BG167" s="64">
        <v>19518.008397176261</v>
      </c>
      <c r="BH167" s="64">
        <v>3201.6124654827058</v>
      </c>
      <c r="BI167" s="64">
        <v>2640.6166414999607</v>
      </c>
      <c r="BJ167" s="205">
        <f t="shared" si="69"/>
        <v>25360.237504158929</v>
      </c>
      <c r="BK167" s="205"/>
      <c r="BL167" s="64">
        <v>20343.465563993126</v>
      </c>
      <c r="BM167" s="64">
        <v>3309.3846401012806</v>
      </c>
      <c r="BN167" s="64">
        <v>2798.4564084393764</v>
      </c>
      <c r="BO167" s="205">
        <f t="shared" si="70"/>
        <v>26451.306612533783</v>
      </c>
      <c r="BQ167" s="64">
        <v>21239.049718140144</v>
      </c>
      <c r="BR167" s="64">
        <v>3418.9316955342797</v>
      </c>
      <c r="BS167" s="64">
        <v>2896.5730203206354</v>
      </c>
      <c r="BT167" s="205">
        <f t="shared" si="71"/>
        <v>27554.554433995061</v>
      </c>
      <c r="BU167" s="205"/>
      <c r="BV167" s="5">
        <f t="shared" si="72"/>
        <v>40052</v>
      </c>
      <c r="BW167" s="5">
        <f t="shared" si="73"/>
        <v>42260</v>
      </c>
      <c r="BX167" s="5">
        <f t="shared" si="74"/>
        <v>44221.304819999998</v>
      </c>
      <c r="BY167" s="5">
        <f t="shared" si="75"/>
        <v>47001.389950000004</v>
      </c>
      <c r="BZ167" s="5">
        <f t="shared" si="76"/>
        <v>23834.924580000003</v>
      </c>
      <c r="CA167" s="5">
        <f t="shared" si="77"/>
        <v>22895.811530319064</v>
      </c>
      <c r="CB167" s="5">
        <f t="shared" si="78"/>
        <v>24170.658488749417</v>
      </c>
      <c r="CC167" s="5">
        <f t="shared" si="79"/>
        <v>25360.237504158929</v>
      </c>
      <c r="CD167" s="5">
        <f t="shared" si="80"/>
        <v>26451.306612533783</v>
      </c>
      <c r="CE167" s="5">
        <f t="shared" si="88"/>
        <v>27554.554433995061</v>
      </c>
      <c r="CH167" s="41">
        <f>BV167/'1. Väestöennuste'!I167*1000</f>
        <v>3940.5745769382133</v>
      </c>
      <c r="CI167" s="41">
        <f>BW167/'1. Väestöennuste'!J167*1000</f>
        <v>4116.1001266192652</v>
      </c>
      <c r="CJ167" s="41">
        <f>BX167/'1. Väestöennuste'!K167*1000</f>
        <v>4241.444928064454</v>
      </c>
      <c r="CK167" s="41">
        <f>BY167/'1. Väestöennuste'!L167*1000</f>
        <v>4482.2992513827967</v>
      </c>
      <c r="CL167" s="41">
        <f>BZ167/'1. Väestöennuste'!M167*1000</f>
        <v>2259.0204321865231</v>
      </c>
      <c r="CM167" s="41">
        <f>CA167/'1. Väestöennuste'!N167*1000</f>
        <v>2154.0889575989336</v>
      </c>
      <c r="CN167" s="41">
        <f>CB167/'1. Väestöennuste'!O167*1000</f>
        <v>2258.9400456775156</v>
      </c>
      <c r="CO167" s="41">
        <f>CC167/'1. Väestöennuste'!P167*1000</f>
        <v>2356.2424513759106</v>
      </c>
      <c r="CP167" s="41">
        <f>CD167/'1. Väestöennuste'!Q167*1000</f>
        <v>2444.8938545645424</v>
      </c>
      <c r="CQ167" s="41">
        <f>CE167/'1. Väestöennuste'!R167*1000</f>
        <v>2535.1508357710054</v>
      </c>
      <c r="CR167" s="41"/>
      <c r="CU167" s="159">
        <f t="shared" si="81"/>
        <v>175.52554968105187</v>
      </c>
      <c r="CV167" s="159">
        <f t="shared" si="82"/>
        <v>125.34480144518875</v>
      </c>
      <c r="CW167" s="159">
        <f t="shared" si="83"/>
        <v>240.85432331834272</v>
      </c>
      <c r="CX167" s="159">
        <f t="shared" si="84"/>
        <v>-2223.2788191962736</v>
      </c>
      <c r="CY167" s="159">
        <f t="shared" si="85"/>
        <v>-104.93147458758949</v>
      </c>
      <c r="CZ167" s="159">
        <f t="shared" si="86"/>
        <v>104.85108807858205</v>
      </c>
      <c r="DA167" s="159">
        <f t="shared" si="89"/>
        <v>97.302405698394978</v>
      </c>
      <c r="DB167" s="159">
        <f t="shared" si="90"/>
        <v>88.651403188631775</v>
      </c>
      <c r="DC167" s="159">
        <f t="shared" si="90"/>
        <v>90.256981206463024</v>
      </c>
    </row>
    <row r="168" spans="1:107" x14ac:dyDescent="0.2">
      <c r="A168" s="99">
        <v>2</v>
      </c>
      <c r="B168" s="30">
        <v>503</v>
      </c>
      <c r="C168" s="47" t="s">
        <v>482</v>
      </c>
      <c r="D168" s="64">
        <v>23594.75088</v>
      </c>
      <c r="E168" s="64">
        <v>1328.0029099999999</v>
      </c>
      <c r="F168" s="64">
        <v>901.78327000000002</v>
      </c>
      <c r="G168" s="205">
        <v>25815</v>
      </c>
      <c r="H168" s="205"/>
      <c r="I168" s="64">
        <v>24604</v>
      </c>
      <c r="J168" s="64">
        <v>1581</v>
      </c>
      <c r="K168" s="64">
        <v>885</v>
      </c>
      <c r="L168" s="205">
        <v>27071</v>
      </c>
      <c r="M168" s="205"/>
      <c r="N168" s="64">
        <v>25161</v>
      </c>
      <c r="O168" s="64">
        <v>1113</v>
      </c>
      <c r="P168" s="64">
        <v>1587</v>
      </c>
      <c r="Q168" s="205">
        <v>27861</v>
      </c>
      <c r="R168" s="205"/>
      <c r="S168" s="64">
        <v>24650</v>
      </c>
      <c r="T168" s="64">
        <v>1593</v>
      </c>
      <c r="U168" s="64">
        <v>1053</v>
      </c>
      <c r="V168" s="205">
        <v>27296</v>
      </c>
      <c r="W168" s="205"/>
      <c r="X168" s="64">
        <v>24456</v>
      </c>
      <c r="Y168" s="64">
        <v>1549</v>
      </c>
      <c r="Z168" s="64">
        <v>1017</v>
      </c>
      <c r="AA168" s="205">
        <f t="shared" si="87"/>
        <v>27022</v>
      </c>
      <c r="AB168" s="205"/>
      <c r="AC168" s="64">
        <v>25968</v>
      </c>
      <c r="AD168" s="64">
        <v>1598</v>
      </c>
      <c r="AE168" s="64">
        <v>1103</v>
      </c>
      <c r="AF168" s="205">
        <f t="shared" si="64"/>
        <v>28669</v>
      </c>
      <c r="AG168" s="205"/>
      <c r="AH168" s="278">
        <v>26746.178019999999</v>
      </c>
      <c r="AI168" s="64">
        <v>1785.19811</v>
      </c>
      <c r="AJ168" s="64">
        <v>1678.8026599999998</v>
      </c>
      <c r="AK168" s="205">
        <f t="shared" si="65"/>
        <v>30210.178790000002</v>
      </c>
      <c r="AL168" s="205"/>
      <c r="AM168" s="64">
        <v>26799.428960000001</v>
      </c>
      <c r="AN168" s="64">
        <v>1843.66688</v>
      </c>
      <c r="AO168" s="64">
        <v>1851.2121200000001</v>
      </c>
      <c r="AP168" s="205">
        <f t="shared" si="66"/>
        <v>30494.307960000002</v>
      </c>
      <c r="AQ168" s="205"/>
      <c r="AR168" s="64">
        <v>13935.41469</v>
      </c>
      <c r="AS168" s="64">
        <v>1953.0187700000001</v>
      </c>
      <c r="AT168" s="64">
        <v>1186.9267399999999</v>
      </c>
      <c r="AU168" s="205">
        <f t="shared" si="67"/>
        <v>17075.360199999999</v>
      </c>
      <c r="AV168" s="205"/>
      <c r="AW168" s="64">
        <v>13915.612139236062</v>
      </c>
      <c r="AX168" s="64">
        <v>2126.0058606478678</v>
      </c>
      <c r="AY168" s="64">
        <v>1032.9442949816737</v>
      </c>
      <c r="AZ168" s="205">
        <f t="shared" si="68"/>
        <v>17074.562294865602</v>
      </c>
      <c r="BA168" s="205"/>
      <c r="BB168" s="64">
        <v>14788.639365624482</v>
      </c>
      <c r="BC168" s="64">
        <v>2177.1438053072943</v>
      </c>
      <c r="BD168" s="64">
        <v>1045.3396265214537</v>
      </c>
      <c r="BE168" s="205">
        <f t="shared" si="63"/>
        <v>18011.12279745323</v>
      </c>
      <c r="BF168" s="205"/>
      <c r="BG168" s="64">
        <v>15484.387003287173</v>
      </c>
      <c r="BH168" s="64">
        <v>2248.0585406563146</v>
      </c>
      <c r="BI168" s="64">
        <v>1096.1014604462675</v>
      </c>
      <c r="BJ168" s="205">
        <f t="shared" si="69"/>
        <v>18828.547004389755</v>
      </c>
      <c r="BK168" s="205"/>
      <c r="BL168" s="64">
        <v>16021.22494198007</v>
      </c>
      <c r="BM168" s="64">
        <v>2327.3888706424273</v>
      </c>
      <c r="BN168" s="64">
        <v>1161.6196414422479</v>
      </c>
      <c r="BO168" s="205">
        <f t="shared" si="70"/>
        <v>19510.233454064746</v>
      </c>
      <c r="BQ168" s="64">
        <v>16629.440448005982</v>
      </c>
      <c r="BR168" s="64">
        <v>2409.8939040449104</v>
      </c>
      <c r="BS168" s="64">
        <v>1202.3471593586683</v>
      </c>
      <c r="BT168" s="205">
        <f t="shared" si="71"/>
        <v>20241.681511409563</v>
      </c>
      <c r="BU168" s="205"/>
      <c r="BV168" s="5">
        <f t="shared" si="72"/>
        <v>27022</v>
      </c>
      <c r="BW168" s="5">
        <f t="shared" si="73"/>
        <v>28669</v>
      </c>
      <c r="BX168" s="5">
        <f t="shared" si="74"/>
        <v>30210.178790000002</v>
      </c>
      <c r="BY168" s="5">
        <f t="shared" si="75"/>
        <v>30494.307960000002</v>
      </c>
      <c r="BZ168" s="5">
        <f t="shared" si="76"/>
        <v>17075.360199999999</v>
      </c>
      <c r="CA168" s="5">
        <f t="shared" si="77"/>
        <v>17074.562294865602</v>
      </c>
      <c r="CB168" s="5">
        <f t="shared" si="78"/>
        <v>18011.12279745323</v>
      </c>
      <c r="CC168" s="5">
        <f t="shared" si="79"/>
        <v>18828.547004389755</v>
      </c>
      <c r="CD168" s="5">
        <f t="shared" si="80"/>
        <v>19510.233454064746</v>
      </c>
      <c r="CE168" s="5">
        <f t="shared" si="88"/>
        <v>20241.681511409563</v>
      </c>
      <c r="CH168" s="41">
        <f>BV168/'1. Väestöennuste'!I168*1000</f>
        <v>3530.4415991638361</v>
      </c>
      <c r="CI168" s="41">
        <f>BW168/'1. Väestöennuste'!J168*1000</f>
        <v>3750.0327011118379</v>
      </c>
      <c r="CJ168" s="41">
        <f>BX168/'1. Väestöennuste'!K168*1000</f>
        <v>3978.1641809323155</v>
      </c>
      <c r="CK168" s="41">
        <f>BY168/'1. Väestöennuste'!L168*1000</f>
        <v>4044.8743812176681</v>
      </c>
      <c r="CL168" s="41">
        <f>BZ168/'1. Väestöennuste'!M168*1000</f>
        <v>2272.1703526280771</v>
      </c>
      <c r="CM168" s="41">
        <f>CA168/'1. Väestöennuste'!N168*1000</f>
        <v>2288.5085504443909</v>
      </c>
      <c r="CN168" s="41">
        <f>CB168/'1. Väestöennuste'!O168*1000</f>
        <v>2426.7209374094896</v>
      </c>
      <c r="CO168" s="41">
        <f>CC168/'1. Väestöennuste'!P168*1000</f>
        <v>2549.5662836005085</v>
      </c>
      <c r="CP168" s="41">
        <f>CD168/'1. Väestöennuste'!Q168*1000</f>
        <v>2654.0924301543664</v>
      </c>
      <c r="CQ168" s="41">
        <f>CE168/'1. Väestöennuste'!R168*1000</f>
        <v>2766.7689326694317</v>
      </c>
      <c r="CR168" s="41"/>
      <c r="CU168" s="159">
        <f t="shared" si="81"/>
        <v>219.59110194800178</v>
      </c>
      <c r="CV168" s="159">
        <f t="shared" si="82"/>
        <v>228.13147982047758</v>
      </c>
      <c r="CW168" s="159">
        <f t="shared" si="83"/>
        <v>66.710200285352585</v>
      </c>
      <c r="CX168" s="159">
        <f t="shared" si="84"/>
        <v>-1772.704028589591</v>
      </c>
      <c r="CY168" s="159">
        <f t="shared" si="85"/>
        <v>16.338197816313823</v>
      </c>
      <c r="CZ168" s="159">
        <f t="shared" si="86"/>
        <v>138.21238696509863</v>
      </c>
      <c r="DA168" s="159">
        <f t="shared" si="89"/>
        <v>122.84534619101896</v>
      </c>
      <c r="DB168" s="159">
        <f t="shared" si="90"/>
        <v>104.52614655385787</v>
      </c>
      <c r="DC168" s="159">
        <f t="shared" si="90"/>
        <v>112.67650251506529</v>
      </c>
    </row>
    <row r="169" spans="1:107" x14ac:dyDescent="0.2">
      <c r="A169" s="99">
        <v>1</v>
      </c>
      <c r="B169" s="30">
        <v>504</v>
      </c>
      <c r="C169" s="47" t="s">
        <v>483</v>
      </c>
      <c r="D169" s="64">
        <v>5522.4282000000003</v>
      </c>
      <c r="E169" s="64">
        <v>400.19785999999999</v>
      </c>
      <c r="F169" s="64">
        <v>427.26686000000001</v>
      </c>
      <c r="G169" s="205">
        <v>6350</v>
      </c>
      <c r="H169" s="205"/>
      <c r="I169" s="64">
        <v>5586</v>
      </c>
      <c r="J169" s="64">
        <v>385</v>
      </c>
      <c r="K169" s="64">
        <v>403</v>
      </c>
      <c r="L169" s="205">
        <v>6374</v>
      </c>
      <c r="M169" s="205"/>
      <c r="N169" s="64">
        <v>5515</v>
      </c>
      <c r="O169" s="64">
        <v>400</v>
      </c>
      <c r="P169" s="64">
        <v>463</v>
      </c>
      <c r="Q169" s="205">
        <v>6378</v>
      </c>
      <c r="R169" s="205"/>
      <c r="S169" s="64">
        <v>5582</v>
      </c>
      <c r="T169" s="64">
        <v>394</v>
      </c>
      <c r="U169" s="64">
        <v>441</v>
      </c>
      <c r="V169" s="205">
        <v>6417</v>
      </c>
      <c r="W169" s="205"/>
      <c r="X169" s="64">
        <v>5738</v>
      </c>
      <c r="Y169" s="64">
        <v>403</v>
      </c>
      <c r="Z169" s="64">
        <v>456</v>
      </c>
      <c r="AA169" s="205">
        <f t="shared" si="87"/>
        <v>6597</v>
      </c>
      <c r="AB169" s="205"/>
      <c r="AC169" s="64">
        <v>5743</v>
      </c>
      <c r="AD169" s="64">
        <v>363</v>
      </c>
      <c r="AE169" s="64">
        <v>495</v>
      </c>
      <c r="AF169" s="205">
        <f t="shared" si="64"/>
        <v>6601</v>
      </c>
      <c r="AG169" s="205"/>
      <c r="AH169" s="278">
        <v>6168.9796799999995</v>
      </c>
      <c r="AI169" s="64">
        <v>400.54371000000003</v>
      </c>
      <c r="AJ169" s="64">
        <v>741.60357999999997</v>
      </c>
      <c r="AK169" s="205">
        <f t="shared" si="65"/>
        <v>7311.1269699999993</v>
      </c>
      <c r="AL169" s="205"/>
      <c r="AM169" s="64">
        <v>5913.2292300000008</v>
      </c>
      <c r="AN169" s="64">
        <v>421.35273000000001</v>
      </c>
      <c r="AO169" s="64">
        <v>730.57088999999996</v>
      </c>
      <c r="AP169" s="205">
        <f t="shared" si="66"/>
        <v>7065.1528500000004</v>
      </c>
      <c r="AQ169" s="205"/>
      <c r="AR169" s="64">
        <v>3145.07566</v>
      </c>
      <c r="AS169" s="64">
        <v>428.18146000000002</v>
      </c>
      <c r="AT169" s="64">
        <v>416.63265999999999</v>
      </c>
      <c r="AU169" s="205">
        <f t="shared" si="67"/>
        <v>3989.8897800000004</v>
      </c>
      <c r="AV169" s="205"/>
      <c r="AW169" s="64">
        <v>3216.6404717718301</v>
      </c>
      <c r="AX169" s="64">
        <v>554.62197755723707</v>
      </c>
      <c r="AY169" s="64">
        <v>353.06439243091694</v>
      </c>
      <c r="AZ169" s="205">
        <f t="shared" si="68"/>
        <v>4124.3268417599838</v>
      </c>
      <c r="BA169" s="205"/>
      <c r="BB169" s="64">
        <v>3480.3572067617974</v>
      </c>
      <c r="BC169" s="64">
        <v>558.11603898586282</v>
      </c>
      <c r="BD169" s="64">
        <v>357.3011651400879</v>
      </c>
      <c r="BE169" s="205">
        <f t="shared" si="63"/>
        <v>4395.7744108877478</v>
      </c>
      <c r="BF169" s="205"/>
      <c r="BG169" s="64">
        <v>3633.2701859581175</v>
      </c>
      <c r="BH169" s="64">
        <v>565.99128245203872</v>
      </c>
      <c r="BI169" s="64">
        <v>374.65175813955017</v>
      </c>
      <c r="BJ169" s="205">
        <f t="shared" si="69"/>
        <v>4573.9132265497065</v>
      </c>
      <c r="BK169" s="205"/>
      <c r="BL169" s="64">
        <v>3748.1492141376134</v>
      </c>
      <c r="BM169" s="64">
        <v>575.15829163510193</v>
      </c>
      <c r="BN169" s="64">
        <v>397.04612817373976</v>
      </c>
      <c r="BO169" s="205">
        <f t="shared" si="70"/>
        <v>4720.3536339464554</v>
      </c>
      <c r="BQ169" s="64">
        <v>3908.0505412122857</v>
      </c>
      <c r="BR169" s="64">
        <v>584.21970806807713</v>
      </c>
      <c r="BS169" s="64">
        <v>410.96695278958731</v>
      </c>
      <c r="BT169" s="205">
        <f t="shared" si="71"/>
        <v>4903.2372020699504</v>
      </c>
      <c r="BU169" s="205"/>
      <c r="BV169" s="5">
        <f t="shared" si="72"/>
        <v>6597</v>
      </c>
      <c r="BW169" s="5">
        <f t="shared" si="73"/>
        <v>6601</v>
      </c>
      <c r="BX169" s="5">
        <f t="shared" si="74"/>
        <v>7311.1269699999993</v>
      </c>
      <c r="BY169" s="5">
        <f t="shared" si="75"/>
        <v>7065.1528500000004</v>
      </c>
      <c r="BZ169" s="5">
        <f t="shared" si="76"/>
        <v>3989.8897800000004</v>
      </c>
      <c r="CA169" s="5">
        <f t="shared" si="77"/>
        <v>4124.3268417599838</v>
      </c>
      <c r="CB169" s="5">
        <f t="shared" si="78"/>
        <v>4395.7744108877478</v>
      </c>
      <c r="CC169" s="5">
        <f t="shared" si="79"/>
        <v>4573.9132265497065</v>
      </c>
      <c r="CD169" s="5">
        <f t="shared" si="80"/>
        <v>4720.3536339464554</v>
      </c>
      <c r="CE169" s="5">
        <f t="shared" si="88"/>
        <v>4903.2372020699504</v>
      </c>
      <c r="CH169" s="41">
        <f>BV169/'1. Väestöennuste'!I169*1000</f>
        <v>3505.313496280553</v>
      </c>
      <c r="CI169" s="41">
        <f>BW169/'1. Väestöennuste'!J169*1000</f>
        <v>3528.0598610368784</v>
      </c>
      <c r="CJ169" s="41">
        <f>BX169/'1. Väestöennuste'!K169*1000</f>
        <v>4025.9509746696026</v>
      </c>
      <c r="CK169" s="41">
        <f>BY169/'1. Väestöennuste'!L169*1000</f>
        <v>4005.1886904761905</v>
      </c>
      <c r="CL169" s="41">
        <f>BZ169/'1. Väestöennuste'!M169*1000</f>
        <v>2326.4663440233239</v>
      </c>
      <c r="CM169" s="41">
        <f>CA169/'1. Väestöennuste'!N169*1000</f>
        <v>2304.0932076871418</v>
      </c>
      <c r="CN169" s="41">
        <f>CB169/'1. Väestöennuste'!O169*1000</f>
        <v>2479.2861877539467</v>
      </c>
      <c r="CO169" s="41">
        <f>CC169/'1. Väestöennuste'!P169*1000</f>
        <v>2604.734183684343</v>
      </c>
      <c r="CP169" s="41">
        <f>CD169/'1. Väestöennuste'!Q169*1000</f>
        <v>2705.0737157286276</v>
      </c>
      <c r="CQ169" s="41">
        <f>CE169/'1. Väestöennuste'!R169*1000</f>
        <v>2827.7031153805942</v>
      </c>
      <c r="CR169" s="41"/>
      <c r="CU169" s="159">
        <f t="shared" si="81"/>
        <v>22.74636475632542</v>
      </c>
      <c r="CV169" s="159">
        <f t="shared" si="82"/>
        <v>497.89111363272423</v>
      </c>
      <c r="CW169" s="159">
        <f t="shared" si="83"/>
        <v>-20.762284193412142</v>
      </c>
      <c r="CX169" s="159">
        <f t="shared" si="84"/>
        <v>-1678.7223464528665</v>
      </c>
      <c r="CY169" s="159">
        <f t="shared" si="85"/>
        <v>-22.373136336182142</v>
      </c>
      <c r="CZ169" s="159">
        <f t="shared" si="86"/>
        <v>175.19298006680492</v>
      </c>
      <c r="DA169" s="159">
        <f t="shared" si="89"/>
        <v>125.44799593039625</v>
      </c>
      <c r="DB169" s="159">
        <f t="shared" si="90"/>
        <v>100.33953204428462</v>
      </c>
      <c r="DC169" s="159">
        <f t="shared" si="90"/>
        <v>122.62939965196665</v>
      </c>
    </row>
    <row r="170" spans="1:107" x14ac:dyDescent="0.2">
      <c r="A170" s="99">
        <v>1</v>
      </c>
      <c r="B170" s="30">
        <v>505</v>
      </c>
      <c r="C170" s="47" t="s">
        <v>484</v>
      </c>
      <c r="D170" s="64">
        <v>69530.772930000006</v>
      </c>
      <c r="E170" s="64">
        <v>6799.5316199999997</v>
      </c>
      <c r="F170" s="64">
        <v>2559.6869200000001</v>
      </c>
      <c r="G170" s="205">
        <v>78866</v>
      </c>
      <c r="H170" s="205"/>
      <c r="I170" s="64">
        <v>70565</v>
      </c>
      <c r="J170" s="64">
        <v>6730</v>
      </c>
      <c r="K170" s="64">
        <v>2481</v>
      </c>
      <c r="L170" s="205">
        <v>79776</v>
      </c>
      <c r="M170" s="205"/>
      <c r="N170" s="64">
        <v>71545</v>
      </c>
      <c r="O170" s="64">
        <v>6885</v>
      </c>
      <c r="P170" s="64">
        <v>2877</v>
      </c>
      <c r="Q170" s="205">
        <v>81307</v>
      </c>
      <c r="R170" s="205"/>
      <c r="S170" s="64">
        <v>69917</v>
      </c>
      <c r="T170" s="64">
        <v>6954</v>
      </c>
      <c r="U170" s="64">
        <v>2753</v>
      </c>
      <c r="V170" s="205">
        <v>79624</v>
      </c>
      <c r="W170" s="205"/>
      <c r="X170" s="64">
        <v>72831</v>
      </c>
      <c r="Y170" s="64">
        <v>7294</v>
      </c>
      <c r="Z170" s="64">
        <v>3495</v>
      </c>
      <c r="AA170" s="205">
        <f t="shared" si="87"/>
        <v>83620</v>
      </c>
      <c r="AB170" s="205"/>
      <c r="AC170" s="64">
        <v>77048</v>
      </c>
      <c r="AD170" s="64">
        <v>6503</v>
      </c>
      <c r="AE170" s="64">
        <v>4349</v>
      </c>
      <c r="AF170" s="205">
        <f t="shared" si="64"/>
        <v>87900</v>
      </c>
      <c r="AG170" s="205"/>
      <c r="AH170" s="278">
        <v>80320.874280000004</v>
      </c>
      <c r="AI170" s="64">
        <v>7985.2876999999999</v>
      </c>
      <c r="AJ170" s="64">
        <v>6220.3158800000001</v>
      </c>
      <c r="AK170" s="205">
        <f t="shared" si="65"/>
        <v>94526.477859999999</v>
      </c>
      <c r="AL170" s="205"/>
      <c r="AM170" s="64">
        <v>84963.119500000001</v>
      </c>
      <c r="AN170" s="64">
        <v>8554.2430899999999</v>
      </c>
      <c r="AO170" s="64">
        <v>6239.5250300000007</v>
      </c>
      <c r="AP170" s="205">
        <f t="shared" si="66"/>
        <v>99756.887620000009</v>
      </c>
      <c r="AQ170" s="205"/>
      <c r="AR170" s="64">
        <v>41631.464919999999</v>
      </c>
      <c r="AS170" s="64">
        <v>9035.6343800000013</v>
      </c>
      <c r="AT170" s="64">
        <v>3998.6646800000003</v>
      </c>
      <c r="AU170" s="205">
        <f t="shared" si="67"/>
        <v>54665.763980000003</v>
      </c>
      <c r="AV170" s="205"/>
      <c r="AW170" s="64">
        <v>39767.042561199531</v>
      </c>
      <c r="AX170" s="64">
        <v>9623.9260886860502</v>
      </c>
      <c r="AY170" s="64">
        <v>3177.9480992785475</v>
      </c>
      <c r="AZ170" s="205">
        <f t="shared" si="68"/>
        <v>52568.916749164127</v>
      </c>
      <c r="BA170" s="205"/>
      <c r="BB170" s="64">
        <v>42477.334822780438</v>
      </c>
      <c r="BC170" s="64">
        <v>9863.0274362199525</v>
      </c>
      <c r="BD170" s="64">
        <v>3216.0834764698898</v>
      </c>
      <c r="BE170" s="205">
        <f t="shared" si="63"/>
        <v>55556.445735470283</v>
      </c>
      <c r="BF170" s="205"/>
      <c r="BG170" s="64">
        <v>44724.158539356773</v>
      </c>
      <c r="BH170" s="64">
        <v>10186.165914383651</v>
      </c>
      <c r="BI170" s="64">
        <v>3372.25692592015</v>
      </c>
      <c r="BJ170" s="205">
        <f t="shared" si="69"/>
        <v>58282.581379660573</v>
      </c>
      <c r="BK170" s="205"/>
      <c r="BL170" s="64">
        <v>46654.360724650607</v>
      </c>
      <c r="BM170" s="64">
        <v>10541.19197170792</v>
      </c>
      <c r="BN170" s="64">
        <v>3573.829633931532</v>
      </c>
      <c r="BO170" s="205">
        <f t="shared" si="70"/>
        <v>60769.382330290064</v>
      </c>
      <c r="BQ170" s="64">
        <v>48758.787237280689</v>
      </c>
      <c r="BR170" s="64">
        <v>10903.533134407338</v>
      </c>
      <c r="BS170" s="64">
        <v>3699.131587560229</v>
      </c>
      <c r="BT170" s="205">
        <f t="shared" si="71"/>
        <v>63361.451959248254</v>
      </c>
      <c r="BU170" s="205"/>
      <c r="BV170" s="5">
        <f t="shared" si="72"/>
        <v>83620</v>
      </c>
      <c r="BW170" s="5">
        <f t="shared" si="73"/>
        <v>87900</v>
      </c>
      <c r="BX170" s="5">
        <f t="shared" si="74"/>
        <v>94526.477859999999</v>
      </c>
      <c r="BY170" s="5">
        <f t="shared" si="75"/>
        <v>99756.887620000009</v>
      </c>
      <c r="BZ170" s="5">
        <f t="shared" si="76"/>
        <v>54665.763980000003</v>
      </c>
      <c r="CA170" s="5">
        <f t="shared" si="77"/>
        <v>52568.916749164127</v>
      </c>
      <c r="CB170" s="5">
        <f t="shared" si="78"/>
        <v>55556.445735470283</v>
      </c>
      <c r="CC170" s="5">
        <f t="shared" si="79"/>
        <v>58282.581379660573</v>
      </c>
      <c r="CD170" s="5">
        <f t="shared" si="80"/>
        <v>60769.382330290064</v>
      </c>
      <c r="CE170" s="5">
        <f t="shared" si="88"/>
        <v>63361.451959248254</v>
      </c>
      <c r="CH170" s="41">
        <f>BV170/'1. Väestöennuste'!I170*1000</f>
        <v>4035.5195212586264</v>
      </c>
      <c r="CI170" s="41">
        <f>BW170/'1. Väestöennuste'!J170*1000</f>
        <v>4229.4182745513162</v>
      </c>
      <c r="CJ170" s="41">
        <f>BX170/'1. Väestöennuste'!K170*1000</f>
        <v>4536.4725181168114</v>
      </c>
      <c r="CK170" s="41">
        <f>BY170/'1. Väestöennuste'!L170*1000</f>
        <v>4770.3178854246371</v>
      </c>
      <c r="CL170" s="41">
        <f>BZ170/'1. Väestöennuste'!M170*1000</f>
        <v>2608.4727766378778</v>
      </c>
      <c r="CM170" s="41">
        <f>CA170/'1. Väestöennuste'!N170*1000</f>
        <v>2516.4632239906236</v>
      </c>
      <c r="CN170" s="41">
        <f>CB170/'1. Väestöennuste'!O170*1000</f>
        <v>2654.7735334959752</v>
      </c>
      <c r="CO170" s="41">
        <f>CC170/'1. Väestöennuste'!P170*1000</f>
        <v>2779.3314916385589</v>
      </c>
      <c r="CP170" s="41">
        <f>CD170/'1. Väestöennuste'!Q170*1000</f>
        <v>2892.2651149535986</v>
      </c>
      <c r="CQ170" s="41">
        <f>CE170/'1. Väestöennuste'!R170*1000</f>
        <v>3010.3312409372984</v>
      </c>
      <c r="CR170" s="41"/>
      <c r="CU170" s="159">
        <f t="shared" si="81"/>
        <v>193.89875329268989</v>
      </c>
      <c r="CV170" s="159">
        <f t="shared" si="82"/>
        <v>307.0542435654952</v>
      </c>
      <c r="CW170" s="159">
        <f t="shared" si="83"/>
        <v>233.84536730782565</v>
      </c>
      <c r="CX170" s="159">
        <f t="shared" si="84"/>
        <v>-2161.8451087867593</v>
      </c>
      <c r="CY170" s="159">
        <f t="shared" si="85"/>
        <v>-92.009552647254168</v>
      </c>
      <c r="CZ170" s="159">
        <f t="shared" si="86"/>
        <v>138.3103095053516</v>
      </c>
      <c r="DA170" s="159">
        <f t="shared" si="89"/>
        <v>124.55795814258363</v>
      </c>
      <c r="DB170" s="159">
        <f t="shared" si="90"/>
        <v>112.93362331503977</v>
      </c>
      <c r="DC170" s="159">
        <f t="shared" si="90"/>
        <v>118.06612598369975</v>
      </c>
    </row>
    <row r="171" spans="1:107" x14ac:dyDescent="0.2">
      <c r="A171" s="99">
        <v>10</v>
      </c>
      <c r="B171" s="30">
        <v>507</v>
      </c>
      <c r="C171" s="47" t="s">
        <v>485</v>
      </c>
      <c r="D171" s="64">
        <v>16369.54774</v>
      </c>
      <c r="E171" s="64">
        <v>2548.4328599999999</v>
      </c>
      <c r="F171" s="64">
        <v>2303.6043999999997</v>
      </c>
      <c r="G171" s="205">
        <v>21219</v>
      </c>
      <c r="H171" s="205"/>
      <c r="I171" s="64">
        <v>15573</v>
      </c>
      <c r="J171" s="64">
        <v>2580</v>
      </c>
      <c r="K171" s="64">
        <v>2011</v>
      </c>
      <c r="L171" s="205">
        <v>20164</v>
      </c>
      <c r="M171" s="205"/>
      <c r="N171" s="64">
        <v>16104</v>
      </c>
      <c r="O171" s="64">
        <v>2568</v>
      </c>
      <c r="P171" s="64">
        <v>2346</v>
      </c>
      <c r="Q171" s="205">
        <v>21018</v>
      </c>
      <c r="R171" s="205"/>
      <c r="S171" s="64">
        <v>15855</v>
      </c>
      <c r="T171" s="64">
        <v>2232</v>
      </c>
      <c r="U171" s="64">
        <v>2818</v>
      </c>
      <c r="V171" s="205">
        <v>20905</v>
      </c>
      <c r="W171" s="205"/>
      <c r="X171" s="64">
        <v>15618</v>
      </c>
      <c r="Y171" s="64">
        <v>2855</v>
      </c>
      <c r="Z171" s="64">
        <v>2343</v>
      </c>
      <c r="AA171" s="205">
        <f t="shared" si="87"/>
        <v>20816</v>
      </c>
      <c r="AB171" s="205"/>
      <c r="AC171" s="64">
        <v>16696</v>
      </c>
      <c r="AD171" s="64">
        <v>2577</v>
      </c>
      <c r="AE171" s="64">
        <v>2793</v>
      </c>
      <c r="AF171" s="205">
        <f t="shared" si="64"/>
        <v>22066</v>
      </c>
      <c r="AG171" s="205"/>
      <c r="AH171" s="278">
        <v>16885.846249999999</v>
      </c>
      <c r="AI171" s="64">
        <v>2822.3436099999999</v>
      </c>
      <c r="AJ171" s="64">
        <v>4039.49179</v>
      </c>
      <c r="AK171" s="205">
        <f t="shared" si="65"/>
        <v>23747.681649999999</v>
      </c>
      <c r="AL171" s="205"/>
      <c r="AM171" s="64">
        <v>18318.539359999999</v>
      </c>
      <c r="AN171" s="64">
        <v>2926.8731899999998</v>
      </c>
      <c r="AO171" s="64">
        <v>3793.34555</v>
      </c>
      <c r="AP171" s="205">
        <f t="shared" si="66"/>
        <v>25038.758099999999</v>
      </c>
      <c r="AQ171" s="205"/>
      <c r="AR171" s="64">
        <v>8701.694300000001</v>
      </c>
      <c r="AS171" s="64">
        <v>3043.7240200000001</v>
      </c>
      <c r="AT171" s="64">
        <v>2209.23101</v>
      </c>
      <c r="AU171" s="205">
        <f t="shared" si="67"/>
        <v>13954.64933</v>
      </c>
      <c r="AV171" s="205"/>
      <c r="AW171" s="64">
        <v>8126.2286303094806</v>
      </c>
      <c r="AX171" s="64">
        <v>3209.6169473032905</v>
      </c>
      <c r="AY171" s="64">
        <v>1921.0294903309664</v>
      </c>
      <c r="AZ171" s="205">
        <f t="shared" si="68"/>
        <v>13256.875067943736</v>
      </c>
      <c r="BA171" s="205"/>
      <c r="BB171" s="64">
        <v>10793.729674606788</v>
      </c>
      <c r="BC171" s="64">
        <v>4350.2684312267438</v>
      </c>
      <c r="BD171" s="64">
        <v>2529.9118178584586</v>
      </c>
      <c r="BE171" s="205">
        <f t="shared" si="63"/>
        <v>17673.90992369199</v>
      </c>
      <c r="BF171" s="205"/>
      <c r="BG171" s="64">
        <v>10881.614078371629</v>
      </c>
      <c r="BH171" s="64">
        <v>4452.6457608093897</v>
      </c>
      <c r="BI171" s="64">
        <v>2652.7646785788584</v>
      </c>
      <c r="BJ171" s="205">
        <f t="shared" si="69"/>
        <v>17987.024517759877</v>
      </c>
      <c r="BK171" s="205"/>
      <c r="BL171" s="64">
        <v>11115.212909330368</v>
      </c>
      <c r="BM171" s="64">
        <v>4566.5122019052551</v>
      </c>
      <c r="BN171" s="64">
        <v>2811.330580206351</v>
      </c>
      <c r="BO171" s="205">
        <f t="shared" si="70"/>
        <v>18493.055691441976</v>
      </c>
      <c r="BQ171" s="64">
        <v>11415.051748127553</v>
      </c>
      <c r="BR171" s="64">
        <v>4680.9686423862822</v>
      </c>
      <c r="BS171" s="64">
        <v>2909.8985731099274</v>
      </c>
      <c r="BT171" s="205">
        <f t="shared" si="71"/>
        <v>19005.918963623764</v>
      </c>
      <c r="BU171" s="205"/>
      <c r="BV171" s="5">
        <f t="shared" si="72"/>
        <v>20816</v>
      </c>
      <c r="BW171" s="5">
        <f t="shared" si="73"/>
        <v>22066</v>
      </c>
      <c r="BX171" s="5">
        <f t="shared" si="74"/>
        <v>23747.681649999999</v>
      </c>
      <c r="BY171" s="5">
        <f t="shared" si="75"/>
        <v>25038.758099999999</v>
      </c>
      <c r="BZ171" s="5">
        <f t="shared" si="76"/>
        <v>13954.64933</v>
      </c>
      <c r="CA171" s="5">
        <f t="shared" si="77"/>
        <v>13256.875067943736</v>
      </c>
      <c r="CB171" s="5">
        <f t="shared" si="78"/>
        <v>17673.90992369199</v>
      </c>
      <c r="CC171" s="5">
        <f t="shared" si="79"/>
        <v>17987.024517759877</v>
      </c>
      <c r="CD171" s="5">
        <f t="shared" si="80"/>
        <v>18493.055691441976</v>
      </c>
      <c r="CE171" s="5">
        <f t="shared" si="88"/>
        <v>19005.918963623764</v>
      </c>
      <c r="CH171" s="41">
        <f>BV171/'1. Väestöennuste'!I171*1000</f>
        <v>3594.5432567777584</v>
      </c>
      <c r="CI171" s="41">
        <f>BW171/'1. Väestöennuste'!J171*1000</f>
        <v>3887.5968992248058</v>
      </c>
      <c r="CJ171" s="41">
        <f>BX171/'1. Väestöennuste'!K171*1000</f>
        <v>4214.3179503105584</v>
      </c>
      <c r="CK171" s="41">
        <f>BY171/'1. Väestöennuste'!L171*1000</f>
        <v>4500.136250898634</v>
      </c>
      <c r="CL171" s="41">
        <f>BZ171/'1. Väestöennuste'!M171*1000</f>
        <v>2527.1005668236148</v>
      </c>
      <c r="CM171" s="41">
        <f>CA171/'1. Väestöennuste'!N171*1000</f>
        <v>2464.1031724802483</v>
      </c>
      <c r="CN171" s="41">
        <f>CB171/'1. Väestöennuste'!O171*1000</f>
        <v>2584.2827787237884</v>
      </c>
      <c r="CO171" s="41">
        <f>CC171/'1. Väestöennuste'!P171*1000</f>
        <v>2661.1961115194376</v>
      </c>
      <c r="CP171" s="41">
        <f>CD171/'1. Väestöennuste'!Q171*1000</f>
        <v>2766.7647653264476</v>
      </c>
      <c r="CQ171" s="41">
        <f>CE171/'1. Väestöennuste'!R171*1000</f>
        <v>2873.589199217382</v>
      </c>
      <c r="CR171" s="41"/>
      <c r="CU171" s="159">
        <f t="shared" si="81"/>
        <v>293.05364244704742</v>
      </c>
      <c r="CV171" s="159">
        <f t="shared" si="82"/>
        <v>326.72105108575261</v>
      </c>
      <c r="CW171" s="159">
        <f t="shared" si="83"/>
        <v>285.81830058807554</v>
      </c>
      <c r="CX171" s="159">
        <f t="shared" si="84"/>
        <v>-1973.0356840750192</v>
      </c>
      <c r="CY171" s="159">
        <f t="shared" si="85"/>
        <v>-62.997394343366523</v>
      </c>
      <c r="CZ171" s="159">
        <f t="shared" si="86"/>
        <v>120.17960624354009</v>
      </c>
      <c r="DA171" s="159">
        <f t="shared" si="89"/>
        <v>76.913332795649239</v>
      </c>
      <c r="DB171" s="159">
        <f t="shared" si="90"/>
        <v>105.56865380700992</v>
      </c>
      <c r="DC171" s="159">
        <f t="shared" si="90"/>
        <v>106.82443389093442</v>
      </c>
    </row>
    <row r="172" spans="1:107" x14ac:dyDescent="0.2">
      <c r="A172" s="99">
        <v>6</v>
      </c>
      <c r="B172" s="30">
        <v>508</v>
      </c>
      <c r="C172" s="47" t="s">
        <v>486</v>
      </c>
      <c r="D172" s="64">
        <v>37319.37371</v>
      </c>
      <c r="E172" s="64">
        <v>2887.3720600000001</v>
      </c>
      <c r="F172" s="64">
        <v>1514.0591899999999</v>
      </c>
      <c r="G172" s="205">
        <v>41718</v>
      </c>
      <c r="H172" s="205"/>
      <c r="I172" s="64">
        <v>36201</v>
      </c>
      <c r="J172" s="64">
        <v>2896</v>
      </c>
      <c r="K172" s="64">
        <v>1422</v>
      </c>
      <c r="L172" s="205">
        <v>40519</v>
      </c>
      <c r="M172" s="205"/>
      <c r="N172" s="64">
        <v>35684</v>
      </c>
      <c r="O172" s="64">
        <v>1701</v>
      </c>
      <c r="P172" s="64">
        <v>3252</v>
      </c>
      <c r="Q172" s="205">
        <v>40637</v>
      </c>
      <c r="R172" s="205"/>
      <c r="S172" s="64">
        <v>34122</v>
      </c>
      <c r="T172" s="64">
        <v>3145</v>
      </c>
      <c r="U172" s="64">
        <v>2046</v>
      </c>
      <c r="V172" s="205">
        <v>39313</v>
      </c>
      <c r="W172" s="205"/>
      <c r="X172" s="64">
        <v>33804</v>
      </c>
      <c r="Y172" s="64">
        <v>3166</v>
      </c>
      <c r="Z172" s="64">
        <v>2531</v>
      </c>
      <c r="AA172" s="205">
        <f t="shared" si="87"/>
        <v>39501</v>
      </c>
      <c r="AB172" s="205"/>
      <c r="AC172" s="64">
        <v>34957</v>
      </c>
      <c r="AD172" s="64">
        <v>2848</v>
      </c>
      <c r="AE172" s="64">
        <v>3911</v>
      </c>
      <c r="AF172" s="205">
        <f t="shared" si="64"/>
        <v>41716</v>
      </c>
      <c r="AG172" s="205"/>
      <c r="AH172" s="278">
        <v>35883.188350000004</v>
      </c>
      <c r="AI172" s="64">
        <v>3070.4957000000004</v>
      </c>
      <c r="AJ172" s="64">
        <v>6164.2387399999998</v>
      </c>
      <c r="AK172" s="205">
        <f t="shared" si="65"/>
        <v>45117.922790000004</v>
      </c>
      <c r="AL172" s="205"/>
      <c r="AM172" s="64">
        <v>36442.697679999997</v>
      </c>
      <c r="AN172" s="64">
        <v>3014.0218500000001</v>
      </c>
      <c r="AO172" s="64">
        <v>5050.8652699999993</v>
      </c>
      <c r="AP172" s="205">
        <f t="shared" si="66"/>
        <v>44507.584799999997</v>
      </c>
      <c r="AQ172" s="205"/>
      <c r="AR172" s="64">
        <v>19171.84186</v>
      </c>
      <c r="AS172" s="64">
        <v>3249.7163399999999</v>
      </c>
      <c r="AT172" s="64">
        <v>3486.52009</v>
      </c>
      <c r="AU172" s="205">
        <f t="shared" si="67"/>
        <v>25908.078289999998</v>
      </c>
      <c r="AV172" s="205"/>
      <c r="AW172" s="64">
        <v>18213.501611470892</v>
      </c>
      <c r="AX172" s="64">
        <v>3341.7413191226433</v>
      </c>
      <c r="AY172" s="64">
        <v>5442.6844652662758</v>
      </c>
      <c r="AZ172" s="205">
        <f t="shared" si="68"/>
        <v>26997.927395859813</v>
      </c>
      <c r="BA172" s="205"/>
      <c r="BB172" s="64">
        <v>18760.782837937692</v>
      </c>
      <c r="BC172" s="64">
        <v>3375.4370219330249</v>
      </c>
      <c r="BD172" s="64">
        <v>5507.9966788494712</v>
      </c>
      <c r="BE172" s="205">
        <f t="shared" si="63"/>
        <v>27644.216538720189</v>
      </c>
      <c r="BF172" s="205"/>
      <c r="BG172" s="64">
        <v>19168.76381145899</v>
      </c>
      <c r="BH172" s="64">
        <v>3435.3328078389709</v>
      </c>
      <c r="BI172" s="64">
        <v>5775.4657439997</v>
      </c>
      <c r="BJ172" s="205">
        <f t="shared" si="69"/>
        <v>28379.56236329766</v>
      </c>
      <c r="BK172" s="205"/>
      <c r="BL172" s="64">
        <v>19507.237012144953</v>
      </c>
      <c r="BM172" s="64">
        <v>3502.8803528077524</v>
      </c>
      <c r="BN172" s="64">
        <v>6120.6874443680181</v>
      </c>
      <c r="BO172" s="205">
        <f t="shared" si="70"/>
        <v>29130.804809320722</v>
      </c>
      <c r="BQ172" s="64">
        <v>19944.35814265531</v>
      </c>
      <c r="BR172" s="64">
        <v>3569.6010951834774</v>
      </c>
      <c r="BS172" s="64">
        <v>6335.2847175699453</v>
      </c>
      <c r="BT172" s="205">
        <f t="shared" si="71"/>
        <v>29849.243955408732</v>
      </c>
      <c r="BU172" s="205"/>
      <c r="BV172" s="5">
        <f t="shared" si="72"/>
        <v>39501</v>
      </c>
      <c r="BW172" s="5">
        <f t="shared" si="73"/>
        <v>41716</v>
      </c>
      <c r="BX172" s="5">
        <f t="shared" si="74"/>
        <v>45117.922790000004</v>
      </c>
      <c r="BY172" s="5">
        <f t="shared" si="75"/>
        <v>44507.584799999997</v>
      </c>
      <c r="BZ172" s="5">
        <f t="shared" si="76"/>
        <v>25908.078289999998</v>
      </c>
      <c r="CA172" s="5">
        <f t="shared" si="77"/>
        <v>26997.927395859813</v>
      </c>
      <c r="CB172" s="5">
        <f t="shared" si="78"/>
        <v>27644.216538720189</v>
      </c>
      <c r="CC172" s="5">
        <f t="shared" si="79"/>
        <v>28379.56236329766</v>
      </c>
      <c r="CD172" s="5">
        <f t="shared" si="80"/>
        <v>29130.804809320722</v>
      </c>
      <c r="CE172" s="5">
        <f t="shared" si="88"/>
        <v>29849.243955408732</v>
      </c>
      <c r="CH172" s="41">
        <f>BV172/'1. Väestöennuste'!I172*1000</f>
        <v>4008.2191780821922</v>
      </c>
      <c r="CI172" s="41">
        <f>BW172/'1. Väestöennuste'!J172*1000</f>
        <v>4312.6227643957409</v>
      </c>
      <c r="CJ172" s="41">
        <f>BX172/'1. Väestöennuste'!K172*1000</f>
        <v>4717.9674568650007</v>
      </c>
      <c r="CK172" s="41">
        <f>BY172/'1. Väestöennuste'!L172*1000</f>
        <v>4755.083846153846</v>
      </c>
      <c r="CL172" s="41">
        <f>BZ172/'1. Väestöennuste'!M172*1000</f>
        <v>2794.5289925574366</v>
      </c>
      <c r="CM172" s="41">
        <f>CA172/'1. Väestöennuste'!N172*1000</f>
        <v>3013.4978676035066</v>
      </c>
      <c r="CN172" s="41">
        <f>CB172/'1. Väestöennuste'!O172*1000</f>
        <v>3136.7544013071815</v>
      </c>
      <c r="CO172" s="41">
        <f>CC172/'1. Väestöennuste'!P172*1000</f>
        <v>3271.0422272127316</v>
      </c>
      <c r="CP172" s="41">
        <f>CD172/'1. Väestöennuste'!Q172*1000</f>
        <v>3408.7063900445496</v>
      </c>
      <c r="CQ172" s="41">
        <f>CE172/'1. Väestöennuste'!R172*1000</f>
        <v>3542.9369680010363</v>
      </c>
      <c r="CR172" s="41"/>
      <c r="CU172" s="159">
        <f t="shared" si="81"/>
        <v>304.40358631354866</v>
      </c>
      <c r="CV172" s="159">
        <f t="shared" si="82"/>
        <v>405.34469246925983</v>
      </c>
      <c r="CW172" s="159">
        <f t="shared" si="83"/>
        <v>37.116389288845312</v>
      </c>
      <c r="CX172" s="159">
        <f t="shared" si="84"/>
        <v>-1960.5548535964094</v>
      </c>
      <c r="CY172" s="159">
        <f t="shared" si="85"/>
        <v>218.96887504607002</v>
      </c>
      <c r="CZ172" s="159">
        <f t="shared" si="86"/>
        <v>123.2565337036749</v>
      </c>
      <c r="DA172" s="159">
        <f t="shared" si="89"/>
        <v>134.28782590555011</v>
      </c>
      <c r="DB172" s="159">
        <f t="shared" si="90"/>
        <v>137.66416283181798</v>
      </c>
      <c r="DC172" s="159">
        <f t="shared" si="90"/>
        <v>134.23057795648674</v>
      </c>
    </row>
    <row r="173" spans="1:107" x14ac:dyDescent="0.2">
      <c r="A173" s="99">
        <v>2</v>
      </c>
      <c r="B173" s="30">
        <v>529</v>
      </c>
      <c r="C173" s="47" t="s">
        <v>487</v>
      </c>
      <c r="D173" s="64">
        <v>67256.07001000001</v>
      </c>
      <c r="E173" s="64">
        <v>6059.7919299999994</v>
      </c>
      <c r="F173" s="64">
        <v>7390.9893899999997</v>
      </c>
      <c r="G173" s="205">
        <v>80687</v>
      </c>
      <c r="H173" s="205"/>
      <c r="I173" s="64">
        <v>69760</v>
      </c>
      <c r="J173" s="64">
        <v>6211</v>
      </c>
      <c r="K173" s="64">
        <v>7044</v>
      </c>
      <c r="L173" s="205">
        <v>83015</v>
      </c>
      <c r="M173" s="205"/>
      <c r="N173" s="64">
        <v>71892</v>
      </c>
      <c r="O173" s="64">
        <v>6545</v>
      </c>
      <c r="P173" s="64">
        <v>7868</v>
      </c>
      <c r="Q173" s="205">
        <v>86305</v>
      </c>
      <c r="R173" s="205"/>
      <c r="S173" s="64">
        <v>74124</v>
      </c>
      <c r="T173" s="64">
        <v>6600</v>
      </c>
      <c r="U173" s="64">
        <v>8840</v>
      </c>
      <c r="V173" s="205">
        <v>89564</v>
      </c>
      <c r="W173" s="205"/>
      <c r="X173" s="64">
        <v>74045</v>
      </c>
      <c r="Y173" s="64">
        <v>6786</v>
      </c>
      <c r="Z173" s="64">
        <v>9947</v>
      </c>
      <c r="AA173" s="205">
        <f t="shared" si="87"/>
        <v>90778</v>
      </c>
      <c r="AB173" s="205"/>
      <c r="AC173" s="64">
        <v>78673</v>
      </c>
      <c r="AD173" s="64">
        <v>6219</v>
      </c>
      <c r="AE173" s="64">
        <v>10309</v>
      </c>
      <c r="AF173" s="205">
        <f t="shared" si="64"/>
        <v>95201</v>
      </c>
      <c r="AG173" s="205"/>
      <c r="AH173" s="278">
        <v>79344.391209999987</v>
      </c>
      <c r="AI173" s="64">
        <v>6945.8860400000003</v>
      </c>
      <c r="AJ173" s="64">
        <v>13953.52153</v>
      </c>
      <c r="AK173" s="205">
        <f t="shared" si="65"/>
        <v>100243.79877999998</v>
      </c>
      <c r="AL173" s="205"/>
      <c r="AM173" s="64">
        <v>84772.948519999991</v>
      </c>
      <c r="AN173" s="64">
        <v>7418.39941</v>
      </c>
      <c r="AO173" s="64">
        <v>13743.389630000001</v>
      </c>
      <c r="AP173" s="205">
        <f t="shared" si="66"/>
        <v>105934.73755999999</v>
      </c>
      <c r="AQ173" s="205"/>
      <c r="AR173" s="64">
        <v>37322.379520000002</v>
      </c>
      <c r="AS173" s="64">
        <v>7658.1097300000001</v>
      </c>
      <c r="AT173" s="64">
        <v>8315.8129200000003</v>
      </c>
      <c r="AU173" s="205">
        <f t="shared" si="67"/>
        <v>53296.302169999995</v>
      </c>
      <c r="AV173" s="205"/>
      <c r="AW173" s="64">
        <v>33794.923631361307</v>
      </c>
      <c r="AX173" s="64">
        <v>8587.385716459281</v>
      </c>
      <c r="AY173" s="64">
        <v>6266.9172318475885</v>
      </c>
      <c r="AZ173" s="205">
        <f t="shared" si="68"/>
        <v>48649.226579668175</v>
      </c>
      <c r="BA173" s="205"/>
      <c r="BB173" s="64">
        <v>35580.041440699453</v>
      </c>
      <c r="BC173" s="64">
        <v>8858.2253555671159</v>
      </c>
      <c r="BD173" s="64">
        <v>6342.1202386297591</v>
      </c>
      <c r="BE173" s="205">
        <f t="shared" si="63"/>
        <v>50780.387034896332</v>
      </c>
      <c r="BF173" s="205"/>
      <c r="BG173" s="64">
        <v>37069.227092508067</v>
      </c>
      <c r="BH173" s="64">
        <v>9210.3571577135281</v>
      </c>
      <c r="BI173" s="64">
        <v>6650.0944568805553</v>
      </c>
      <c r="BJ173" s="205">
        <f t="shared" si="69"/>
        <v>52929.678707102154</v>
      </c>
      <c r="BK173" s="205"/>
      <c r="BL173" s="64">
        <v>38412.203340476663</v>
      </c>
      <c r="BM173" s="64">
        <v>9598.0567756606306</v>
      </c>
      <c r="BN173" s="64">
        <v>7047.5960641577458</v>
      </c>
      <c r="BO173" s="205">
        <f t="shared" si="70"/>
        <v>55057.856180295043</v>
      </c>
      <c r="BQ173" s="64">
        <v>39892.287867785606</v>
      </c>
      <c r="BR173" s="64">
        <v>9999.6417482274974</v>
      </c>
      <c r="BS173" s="64">
        <v>7294.6916578705932</v>
      </c>
      <c r="BT173" s="205">
        <f t="shared" si="71"/>
        <v>57186.621273883698</v>
      </c>
      <c r="BU173" s="205"/>
      <c r="BV173" s="5">
        <f t="shared" si="72"/>
        <v>90778</v>
      </c>
      <c r="BW173" s="5">
        <f t="shared" si="73"/>
        <v>95201</v>
      </c>
      <c r="BX173" s="5">
        <f t="shared" si="74"/>
        <v>100243.79877999998</v>
      </c>
      <c r="BY173" s="5">
        <f t="shared" si="75"/>
        <v>105934.73755999999</v>
      </c>
      <c r="BZ173" s="5">
        <f t="shared" si="76"/>
        <v>53296.302169999995</v>
      </c>
      <c r="CA173" s="5">
        <f t="shared" si="77"/>
        <v>48649.226579668175</v>
      </c>
      <c r="CB173" s="5">
        <f t="shared" si="78"/>
        <v>50780.387034896332</v>
      </c>
      <c r="CC173" s="5">
        <f t="shared" si="79"/>
        <v>52929.678707102154</v>
      </c>
      <c r="CD173" s="5">
        <f t="shared" si="80"/>
        <v>55057.856180295043</v>
      </c>
      <c r="CE173" s="5">
        <f t="shared" si="88"/>
        <v>57186.621273883698</v>
      </c>
      <c r="CH173" s="41">
        <f>BV173/'1. Väestöennuste'!I173*1000</f>
        <v>4700.1139070104591</v>
      </c>
      <c r="CI173" s="41">
        <f>BW173/'1. Väestöennuste'!J173*1000</f>
        <v>4900.4478303392189</v>
      </c>
      <c r="CJ173" s="41">
        <f>BX173/'1. Väestöennuste'!K173*1000</f>
        <v>5119.9652065989067</v>
      </c>
      <c r="CK173" s="41">
        <f>BY173/'1. Väestöennuste'!L173*1000</f>
        <v>5336.7625974811081</v>
      </c>
      <c r="CL173" s="41">
        <f>BZ173/'1. Väestöennuste'!M173*1000</f>
        <v>2664.9483559177957</v>
      </c>
      <c r="CM173" s="41">
        <f>CA173/'1. Väestöennuste'!N173*1000</f>
        <v>2466.373971085839</v>
      </c>
      <c r="CN173" s="41">
        <f>CB173/'1. Väestöennuste'!O173*1000</f>
        <v>2564.6660118634509</v>
      </c>
      <c r="CO173" s="41">
        <f>CC173/'1. Väestöennuste'!P173*1000</f>
        <v>2663.3965031501111</v>
      </c>
      <c r="CP173" s="41">
        <f>CD173/'1. Väestöennuste'!Q173*1000</f>
        <v>2760.8994173249948</v>
      </c>
      <c r="CQ173" s="41">
        <f>CE173/'1. Väestöennuste'!R173*1000</f>
        <v>2858.1877885787535</v>
      </c>
      <c r="CR173" s="41"/>
      <c r="CU173" s="159">
        <f t="shared" si="81"/>
        <v>200.33392332875974</v>
      </c>
      <c r="CV173" s="159">
        <f t="shared" si="82"/>
        <v>219.51737625968781</v>
      </c>
      <c r="CW173" s="159">
        <f t="shared" si="83"/>
        <v>216.7973908822014</v>
      </c>
      <c r="CX173" s="159">
        <f t="shared" si="84"/>
        <v>-2671.8142415633124</v>
      </c>
      <c r="CY173" s="159">
        <f t="shared" si="85"/>
        <v>-198.57438483195665</v>
      </c>
      <c r="CZ173" s="159">
        <f t="shared" si="86"/>
        <v>98.292040777611874</v>
      </c>
      <c r="DA173" s="159">
        <f t="shared" si="89"/>
        <v>98.730491286660254</v>
      </c>
      <c r="DB173" s="159">
        <f t="shared" si="90"/>
        <v>97.502914174883699</v>
      </c>
      <c r="DC173" s="159">
        <f t="shared" si="90"/>
        <v>97.288371253758669</v>
      </c>
    </row>
    <row r="174" spans="1:107" x14ac:dyDescent="0.2">
      <c r="A174" s="99">
        <v>4</v>
      </c>
      <c r="B174" s="30">
        <v>531</v>
      </c>
      <c r="C174" s="47" t="s">
        <v>488</v>
      </c>
      <c r="D174" s="64">
        <v>17137.695090000001</v>
      </c>
      <c r="E174" s="64">
        <v>1258.1964699999999</v>
      </c>
      <c r="F174" s="64">
        <v>677.54534999999998</v>
      </c>
      <c r="G174" s="205">
        <v>19068</v>
      </c>
      <c r="H174" s="205"/>
      <c r="I174" s="64">
        <v>17593</v>
      </c>
      <c r="J174" s="64">
        <v>1295</v>
      </c>
      <c r="K174" s="64">
        <v>664</v>
      </c>
      <c r="L174" s="205">
        <v>19552</v>
      </c>
      <c r="M174" s="205"/>
      <c r="N174" s="64">
        <v>16886</v>
      </c>
      <c r="O174" s="64">
        <v>1340</v>
      </c>
      <c r="P174" s="64">
        <v>693</v>
      </c>
      <c r="Q174" s="205">
        <v>18919</v>
      </c>
      <c r="R174" s="205"/>
      <c r="S174" s="64">
        <v>17362</v>
      </c>
      <c r="T174" s="64">
        <v>1405</v>
      </c>
      <c r="U174" s="64">
        <v>574</v>
      </c>
      <c r="V174" s="205">
        <v>19341</v>
      </c>
      <c r="W174" s="205"/>
      <c r="X174" s="64">
        <v>17564</v>
      </c>
      <c r="Y174" s="64">
        <v>1349</v>
      </c>
      <c r="Z174" s="64">
        <v>517</v>
      </c>
      <c r="AA174" s="205">
        <f t="shared" si="87"/>
        <v>19430</v>
      </c>
      <c r="AB174" s="205"/>
      <c r="AC174" s="64">
        <v>17726</v>
      </c>
      <c r="AD174" s="64">
        <v>1390</v>
      </c>
      <c r="AE174" s="64">
        <v>526</v>
      </c>
      <c r="AF174" s="205">
        <f t="shared" si="64"/>
        <v>19642</v>
      </c>
      <c r="AG174" s="205"/>
      <c r="AH174" s="278">
        <v>18074.80141</v>
      </c>
      <c r="AI174" s="64">
        <v>1524.5478899999998</v>
      </c>
      <c r="AJ174" s="64">
        <v>895.13962000000004</v>
      </c>
      <c r="AK174" s="205">
        <f t="shared" si="65"/>
        <v>20494.488920000003</v>
      </c>
      <c r="AL174" s="205"/>
      <c r="AM174" s="64">
        <v>19162.59981</v>
      </c>
      <c r="AN174" s="64">
        <v>1614.61985</v>
      </c>
      <c r="AO174" s="64">
        <v>994.22226000000001</v>
      </c>
      <c r="AP174" s="205">
        <f t="shared" si="66"/>
        <v>21771.441919999997</v>
      </c>
      <c r="AQ174" s="205"/>
      <c r="AR174" s="64">
        <v>9937.7374600000003</v>
      </c>
      <c r="AS174" s="64">
        <v>1659.12922</v>
      </c>
      <c r="AT174" s="64">
        <v>701.79595999999992</v>
      </c>
      <c r="AU174" s="205">
        <f t="shared" si="67"/>
        <v>12298.66264</v>
      </c>
      <c r="AV174" s="205"/>
      <c r="AW174" s="64">
        <v>9156.9709171211598</v>
      </c>
      <c r="AX174" s="64">
        <v>1649.3417666910243</v>
      </c>
      <c r="AY174" s="64">
        <v>676.26951039978223</v>
      </c>
      <c r="AZ174" s="205">
        <f t="shared" si="68"/>
        <v>11482.582194211967</v>
      </c>
      <c r="BA174" s="205"/>
      <c r="BB174" s="64">
        <v>9599.3128253356117</v>
      </c>
      <c r="BC174" s="64">
        <v>1646.0074820104817</v>
      </c>
      <c r="BD174" s="64">
        <v>684.38474452457967</v>
      </c>
      <c r="BE174" s="205">
        <f t="shared" si="63"/>
        <v>11929.705051870673</v>
      </c>
      <c r="BF174" s="205"/>
      <c r="BG174" s="64">
        <v>9884.0474704760782</v>
      </c>
      <c r="BH174" s="64">
        <v>1655.2268397743173</v>
      </c>
      <c r="BI174" s="64">
        <v>717.61856046422611</v>
      </c>
      <c r="BJ174" s="205">
        <f t="shared" si="69"/>
        <v>12256.892870714622</v>
      </c>
      <c r="BK174" s="205"/>
      <c r="BL174" s="64">
        <v>10107.455472401449</v>
      </c>
      <c r="BM174" s="64">
        <v>1667.7211572043113</v>
      </c>
      <c r="BN174" s="64">
        <v>760.51336940958379</v>
      </c>
      <c r="BO174" s="205">
        <f t="shared" si="70"/>
        <v>12535.689999015343</v>
      </c>
      <c r="BQ174" s="64">
        <v>10375.998590309595</v>
      </c>
      <c r="BR174" s="64">
        <v>1679.3814825622228</v>
      </c>
      <c r="BS174" s="64">
        <v>787.17771010534659</v>
      </c>
      <c r="BT174" s="205">
        <f t="shared" si="71"/>
        <v>12842.557782977165</v>
      </c>
      <c r="BU174" s="205"/>
      <c r="BV174" s="5">
        <f t="shared" si="72"/>
        <v>19430</v>
      </c>
      <c r="BW174" s="5">
        <f t="shared" si="73"/>
        <v>19642</v>
      </c>
      <c r="BX174" s="5">
        <f t="shared" si="74"/>
        <v>20494.488920000003</v>
      </c>
      <c r="BY174" s="5">
        <f t="shared" si="75"/>
        <v>21771.441919999997</v>
      </c>
      <c r="BZ174" s="5">
        <f t="shared" si="76"/>
        <v>12298.66264</v>
      </c>
      <c r="CA174" s="5">
        <f t="shared" si="77"/>
        <v>11482.582194211967</v>
      </c>
      <c r="CB174" s="5">
        <f t="shared" si="78"/>
        <v>11929.705051870673</v>
      </c>
      <c r="CC174" s="5">
        <f t="shared" si="79"/>
        <v>12256.892870714622</v>
      </c>
      <c r="CD174" s="5">
        <f t="shared" si="80"/>
        <v>12535.689999015343</v>
      </c>
      <c r="CE174" s="5">
        <f t="shared" si="88"/>
        <v>12842.557782977165</v>
      </c>
      <c r="CH174" s="41">
        <f>BV174/'1. Väestöennuste'!I174*1000</f>
        <v>3646.0874460499158</v>
      </c>
      <c r="CI174" s="41">
        <f>BW174/'1. Väestöennuste'!J174*1000</f>
        <v>3737.0624048706241</v>
      </c>
      <c r="CJ174" s="41">
        <f>BX174/'1. Väestöennuste'!K174*1000</f>
        <v>3964.8846817566268</v>
      </c>
      <c r="CK174" s="41">
        <f>BY174/'1. Väestöennuste'!L174*1000</f>
        <v>4292.4767192429017</v>
      </c>
      <c r="CL174" s="41">
        <f>BZ174/'1. Väestöennuste'!M174*1000</f>
        <v>2476.5732259363676</v>
      </c>
      <c r="CM174" s="41">
        <f>CA174/'1. Väestöennuste'!N174*1000</f>
        <v>2307.1292333156453</v>
      </c>
      <c r="CN174" s="41">
        <f>CB174/'1. Väestöennuste'!O174*1000</f>
        <v>2431.1605974874001</v>
      </c>
      <c r="CO174" s="41">
        <f>CC174/'1. Väestöennuste'!P174*1000</f>
        <v>2532.415882379054</v>
      </c>
      <c r="CP174" s="41">
        <f>CD174/'1. Väestöennuste'!Q174*1000</f>
        <v>2624.7257116866299</v>
      </c>
      <c r="CQ174" s="41">
        <f>CE174/'1. Väestöennuste'!R174*1000</f>
        <v>2724.9220842302493</v>
      </c>
      <c r="CR174" s="41"/>
      <c r="CU174" s="159">
        <f t="shared" si="81"/>
        <v>90.974958820708252</v>
      </c>
      <c r="CV174" s="159">
        <f t="shared" si="82"/>
        <v>227.82227688600278</v>
      </c>
      <c r="CW174" s="159">
        <f t="shared" si="83"/>
        <v>327.59203748627488</v>
      </c>
      <c r="CX174" s="159">
        <f t="shared" si="84"/>
        <v>-1815.9034933065341</v>
      </c>
      <c r="CY174" s="159">
        <f t="shared" si="85"/>
        <v>-169.44399262072238</v>
      </c>
      <c r="CZ174" s="159">
        <f t="shared" si="86"/>
        <v>124.03136417175483</v>
      </c>
      <c r="DA174" s="159">
        <f t="shared" si="89"/>
        <v>101.2552848916539</v>
      </c>
      <c r="DB174" s="159">
        <f t="shared" si="90"/>
        <v>92.30982930757591</v>
      </c>
      <c r="DC174" s="159">
        <f t="shared" si="90"/>
        <v>100.19637254361942</v>
      </c>
    </row>
    <row r="175" spans="1:107" x14ac:dyDescent="0.2">
      <c r="A175" s="99">
        <v>17</v>
      </c>
      <c r="B175" s="30">
        <v>535</v>
      </c>
      <c r="C175" s="47" t="s">
        <v>489</v>
      </c>
      <c r="D175" s="64">
        <v>28234.285780000002</v>
      </c>
      <c r="E175" s="64">
        <v>2412.01827</v>
      </c>
      <c r="F175" s="64">
        <v>1307.1011299999998</v>
      </c>
      <c r="G175" s="205">
        <v>31993</v>
      </c>
      <c r="H175" s="205"/>
      <c r="I175" s="64">
        <v>27076</v>
      </c>
      <c r="J175" s="64">
        <v>2435</v>
      </c>
      <c r="K175" s="64">
        <v>1035</v>
      </c>
      <c r="L175" s="205">
        <v>30546</v>
      </c>
      <c r="M175" s="205"/>
      <c r="N175" s="64">
        <v>27412</v>
      </c>
      <c r="O175" s="64">
        <v>2334</v>
      </c>
      <c r="P175" s="64">
        <v>1232</v>
      </c>
      <c r="Q175" s="205">
        <v>30978</v>
      </c>
      <c r="R175" s="205"/>
      <c r="S175" s="64">
        <v>27573</v>
      </c>
      <c r="T175" s="64">
        <v>2476</v>
      </c>
      <c r="U175" s="64">
        <v>1130</v>
      </c>
      <c r="V175" s="205">
        <v>31179</v>
      </c>
      <c r="W175" s="205"/>
      <c r="X175" s="64">
        <v>29013</v>
      </c>
      <c r="Y175" s="64">
        <v>2518</v>
      </c>
      <c r="Z175" s="64">
        <v>1238</v>
      </c>
      <c r="AA175" s="205">
        <f t="shared" si="87"/>
        <v>32769</v>
      </c>
      <c r="AB175" s="205"/>
      <c r="AC175" s="64">
        <v>30009</v>
      </c>
      <c r="AD175" s="64">
        <v>2291</v>
      </c>
      <c r="AE175" s="64">
        <v>1504</v>
      </c>
      <c r="AF175" s="205">
        <f t="shared" si="64"/>
        <v>33804</v>
      </c>
      <c r="AG175" s="205"/>
      <c r="AH175" s="278">
        <v>30275.218280000001</v>
      </c>
      <c r="AI175" s="64">
        <v>2519.9016900000001</v>
      </c>
      <c r="AJ175" s="64">
        <v>2139.3732999999997</v>
      </c>
      <c r="AK175" s="205">
        <f t="shared" si="65"/>
        <v>34934.493269999999</v>
      </c>
      <c r="AL175" s="205"/>
      <c r="AM175" s="64">
        <v>31490.371940000001</v>
      </c>
      <c r="AN175" s="64">
        <v>2529.4532899999999</v>
      </c>
      <c r="AO175" s="64">
        <v>2306.9480099999996</v>
      </c>
      <c r="AP175" s="205">
        <f t="shared" si="66"/>
        <v>36326.773240000002</v>
      </c>
      <c r="AQ175" s="205"/>
      <c r="AR175" s="64">
        <v>16812.58986</v>
      </c>
      <c r="AS175" s="64">
        <v>2754.22073</v>
      </c>
      <c r="AT175" s="64">
        <v>1608.6145200000001</v>
      </c>
      <c r="AU175" s="205">
        <f t="shared" si="67"/>
        <v>21175.42511</v>
      </c>
      <c r="AV175" s="205"/>
      <c r="AW175" s="64">
        <v>17003.684121898739</v>
      </c>
      <c r="AX175" s="64">
        <v>2845.0960939462234</v>
      </c>
      <c r="AY175" s="64">
        <v>1487.9153952998176</v>
      </c>
      <c r="AZ175" s="205">
        <f t="shared" si="68"/>
        <v>21336.69561114478</v>
      </c>
      <c r="BA175" s="205"/>
      <c r="BB175" s="64">
        <v>17767.345847626584</v>
      </c>
      <c r="BC175" s="64">
        <v>2924.9943493440696</v>
      </c>
      <c r="BD175" s="64">
        <v>1505.7703800434153</v>
      </c>
      <c r="BE175" s="205">
        <f t="shared" si="63"/>
        <v>22198.110577014068</v>
      </c>
      <c r="BF175" s="205"/>
      <c r="BG175" s="64">
        <v>18529.662361964947</v>
      </c>
      <c r="BH175" s="64">
        <v>3031.4895146364843</v>
      </c>
      <c r="BI175" s="64">
        <v>1578.8907937552922</v>
      </c>
      <c r="BJ175" s="205">
        <f t="shared" si="69"/>
        <v>23140.042670356721</v>
      </c>
      <c r="BK175" s="205"/>
      <c r="BL175" s="64">
        <v>18993.929962833081</v>
      </c>
      <c r="BM175" s="64">
        <v>3149.4028757820965</v>
      </c>
      <c r="BN175" s="64">
        <v>1673.2671416857379</v>
      </c>
      <c r="BO175" s="205">
        <f t="shared" si="70"/>
        <v>23816.599980300914</v>
      </c>
      <c r="BQ175" s="64">
        <v>19529.803274061698</v>
      </c>
      <c r="BR175" s="64">
        <v>3271.6254283942321</v>
      </c>
      <c r="BS175" s="64">
        <v>1731.9335201289878</v>
      </c>
      <c r="BT175" s="205">
        <f t="shared" si="71"/>
        <v>24533.362222584918</v>
      </c>
      <c r="BU175" s="205"/>
      <c r="BV175" s="5">
        <f t="shared" si="72"/>
        <v>32769</v>
      </c>
      <c r="BW175" s="5">
        <f t="shared" si="73"/>
        <v>33804</v>
      </c>
      <c r="BX175" s="5">
        <f t="shared" si="74"/>
        <v>34934.493269999999</v>
      </c>
      <c r="BY175" s="5">
        <f t="shared" si="75"/>
        <v>36326.773240000002</v>
      </c>
      <c r="BZ175" s="5">
        <f t="shared" si="76"/>
        <v>21175.42511</v>
      </c>
      <c r="CA175" s="5">
        <f t="shared" si="77"/>
        <v>21336.69561114478</v>
      </c>
      <c r="CB175" s="5">
        <f t="shared" si="78"/>
        <v>22198.110577014068</v>
      </c>
      <c r="CC175" s="5">
        <f t="shared" si="79"/>
        <v>23140.042670356721</v>
      </c>
      <c r="CD175" s="5">
        <f t="shared" si="80"/>
        <v>23816.599980300914</v>
      </c>
      <c r="CE175" s="5">
        <f t="shared" si="88"/>
        <v>24533.362222584918</v>
      </c>
      <c r="CH175" s="41">
        <f>BV175/'1. Väestöennuste'!I175*1000</f>
        <v>3080.0827145408402</v>
      </c>
      <c r="CI175" s="41">
        <f>BW175/'1. Väestöennuste'!J175*1000</f>
        <v>3219.4285714285711</v>
      </c>
      <c r="CJ175" s="41">
        <f>BX175/'1. Väestöennuste'!K175*1000</f>
        <v>3360.3783445555982</v>
      </c>
      <c r="CK175" s="41">
        <f>BY175/'1. Väestöennuste'!L175*1000</f>
        <v>3486.5892350513486</v>
      </c>
      <c r="CL175" s="41">
        <f>BZ175/'1. Väestöennuste'!M175*1000</f>
        <v>2025.5811277979722</v>
      </c>
      <c r="CM175" s="41">
        <f>CA175/'1. Väestöennuste'!N175*1000</f>
        <v>2120.3115980467833</v>
      </c>
      <c r="CN175" s="41">
        <f>CB175/'1. Väestöennuste'!O175*1000</f>
        <v>2229.3974668086844</v>
      </c>
      <c r="CO175" s="41">
        <f>CC175/'1. Väestöennuste'!P175*1000</f>
        <v>2349.9586341379836</v>
      </c>
      <c r="CP175" s="41">
        <f>CD175/'1. Väestöennuste'!Q175*1000</f>
        <v>2445.9895224710808</v>
      </c>
      <c r="CQ175" s="41">
        <f>CE175/'1. Väestöennuste'!R175*1000</f>
        <v>2547.8618987002715</v>
      </c>
      <c r="CR175" s="41"/>
      <c r="CU175" s="159">
        <f t="shared" si="81"/>
        <v>139.34585688773086</v>
      </c>
      <c r="CV175" s="159">
        <f t="shared" si="82"/>
        <v>140.94977312702713</v>
      </c>
      <c r="CW175" s="159">
        <f t="shared" si="83"/>
        <v>126.21089049575039</v>
      </c>
      <c r="CX175" s="159">
        <f t="shared" si="84"/>
        <v>-1461.0081072533765</v>
      </c>
      <c r="CY175" s="159">
        <f t="shared" si="85"/>
        <v>94.730470248811116</v>
      </c>
      <c r="CZ175" s="159">
        <f t="shared" si="86"/>
        <v>109.08586876190111</v>
      </c>
      <c r="DA175" s="159">
        <f t="shared" si="89"/>
        <v>120.56116732929922</v>
      </c>
      <c r="DB175" s="159">
        <f t="shared" si="90"/>
        <v>96.030888333097209</v>
      </c>
      <c r="DC175" s="159">
        <f t="shared" si="90"/>
        <v>101.87237622919065</v>
      </c>
    </row>
    <row r="176" spans="1:107" x14ac:dyDescent="0.2">
      <c r="A176" s="99">
        <v>6</v>
      </c>
      <c r="B176" s="30">
        <v>536</v>
      </c>
      <c r="C176" s="47" t="s">
        <v>490</v>
      </c>
      <c r="D176" s="64">
        <v>110954.48346999999</v>
      </c>
      <c r="E176" s="64">
        <v>7011.2080800000003</v>
      </c>
      <c r="F176" s="64">
        <v>6656.7870000000003</v>
      </c>
      <c r="G176" s="205">
        <v>124582</v>
      </c>
      <c r="H176" s="205"/>
      <c r="I176" s="64">
        <v>114099</v>
      </c>
      <c r="J176" s="64">
        <v>6924</v>
      </c>
      <c r="K176" s="64">
        <v>5575</v>
      </c>
      <c r="L176" s="205">
        <v>126598</v>
      </c>
      <c r="M176" s="205"/>
      <c r="N176" s="64">
        <v>114222</v>
      </c>
      <c r="O176" s="64">
        <v>7240</v>
      </c>
      <c r="P176" s="64">
        <v>8614</v>
      </c>
      <c r="Q176" s="205">
        <v>130076</v>
      </c>
      <c r="R176" s="205"/>
      <c r="S176" s="64">
        <v>118109</v>
      </c>
      <c r="T176" s="64">
        <v>8942</v>
      </c>
      <c r="U176" s="64">
        <v>8837</v>
      </c>
      <c r="V176" s="205">
        <v>135888</v>
      </c>
      <c r="W176" s="205"/>
      <c r="X176" s="64">
        <v>120432</v>
      </c>
      <c r="Y176" s="64">
        <v>8942</v>
      </c>
      <c r="Z176" s="64">
        <v>9234</v>
      </c>
      <c r="AA176" s="205">
        <f t="shared" si="87"/>
        <v>138608</v>
      </c>
      <c r="AB176" s="205"/>
      <c r="AC176" s="64">
        <v>130209</v>
      </c>
      <c r="AD176" s="64">
        <v>8321</v>
      </c>
      <c r="AE176" s="64">
        <v>9047</v>
      </c>
      <c r="AF176" s="205">
        <f t="shared" si="64"/>
        <v>147577</v>
      </c>
      <c r="AG176" s="205"/>
      <c r="AH176" s="278">
        <v>134666.29856999998</v>
      </c>
      <c r="AI176" s="64">
        <v>9353.8874700000015</v>
      </c>
      <c r="AJ176" s="64">
        <v>12561.008199999998</v>
      </c>
      <c r="AK176" s="205">
        <f t="shared" si="65"/>
        <v>156581.19424000001</v>
      </c>
      <c r="AL176" s="205"/>
      <c r="AM176" s="64">
        <v>142744.46871000002</v>
      </c>
      <c r="AN176" s="64">
        <v>10032.56234</v>
      </c>
      <c r="AO176" s="64">
        <v>11660.55622</v>
      </c>
      <c r="AP176" s="205">
        <f t="shared" si="66"/>
        <v>164437.58727000002</v>
      </c>
      <c r="AQ176" s="205"/>
      <c r="AR176" s="64">
        <v>74334.891780000005</v>
      </c>
      <c r="AS176" s="64">
        <v>10525.23727</v>
      </c>
      <c r="AT176" s="64">
        <v>6861.4023399999996</v>
      </c>
      <c r="AU176" s="205">
        <f t="shared" si="67"/>
        <v>91721.531390000004</v>
      </c>
      <c r="AV176" s="205"/>
      <c r="AW176" s="64">
        <v>69438.533614340515</v>
      </c>
      <c r="AX176" s="64">
        <v>11449.788166178112</v>
      </c>
      <c r="AY176" s="64">
        <v>5142.0364563814201</v>
      </c>
      <c r="AZ176" s="205">
        <f t="shared" si="68"/>
        <v>86030.358236900051</v>
      </c>
      <c r="BA176" s="205"/>
      <c r="BB176" s="64">
        <v>74229.486944792734</v>
      </c>
      <c r="BC176" s="64">
        <v>11786.122743994558</v>
      </c>
      <c r="BD176" s="64">
        <v>5203.7408938579965</v>
      </c>
      <c r="BE176" s="205">
        <f t="shared" si="63"/>
        <v>91219.350582645275</v>
      </c>
      <c r="BF176" s="205"/>
      <c r="BG176" s="64">
        <v>78420.866634076665</v>
      </c>
      <c r="BH176" s="64">
        <v>12225.637767288021</v>
      </c>
      <c r="BI176" s="64">
        <v>5456.4352568573122</v>
      </c>
      <c r="BJ176" s="205">
        <f t="shared" si="69"/>
        <v>96102.939658221992</v>
      </c>
      <c r="BK176" s="205"/>
      <c r="BL176" s="64">
        <v>82039.000813161736</v>
      </c>
      <c r="BM176" s="64">
        <v>12706.764139344074</v>
      </c>
      <c r="BN176" s="64">
        <v>5782.5872835192195</v>
      </c>
      <c r="BO176" s="205">
        <f t="shared" si="70"/>
        <v>100528.35223602502</v>
      </c>
      <c r="BQ176" s="64">
        <v>86007.072323208791</v>
      </c>
      <c r="BR176" s="64">
        <v>13200.224362616076</v>
      </c>
      <c r="BS176" s="64">
        <v>5985.3304352279729</v>
      </c>
      <c r="BT176" s="205">
        <f t="shared" si="71"/>
        <v>105192.62712105284</v>
      </c>
      <c r="BU176" s="205"/>
      <c r="BV176" s="5">
        <f t="shared" si="72"/>
        <v>138608</v>
      </c>
      <c r="BW176" s="5">
        <f t="shared" si="73"/>
        <v>147577</v>
      </c>
      <c r="BX176" s="5">
        <f t="shared" si="74"/>
        <v>156581.19424000001</v>
      </c>
      <c r="BY176" s="5">
        <f t="shared" si="75"/>
        <v>164437.58727000002</v>
      </c>
      <c r="BZ176" s="5">
        <f t="shared" si="76"/>
        <v>91721.531390000004</v>
      </c>
      <c r="CA176" s="5">
        <f t="shared" si="77"/>
        <v>86030.358236900051</v>
      </c>
      <c r="CB176" s="5">
        <f t="shared" si="78"/>
        <v>91219.350582645275</v>
      </c>
      <c r="CC176" s="5">
        <f t="shared" si="79"/>
        <v>96102.939658221992</v>
      </c>
      <c r="CD176" s="5">
        <f t="shared" si="80"/>
        <v>100528.35223602502</v>
      </c>
      <c r="CE176" s="5">
        <f t="shared" si="88"/>
        <v>105192.62712105284</v>
      </c>
      <c r="CH176" s="41">
        <f>BV176/'1. Väestöennuste'!I176*1000</f>
        <v>4085.2368180612457</v>
      </c>
      <c r="CI176" s="41">
        <f>BW176/'1. Väestöennuste'!J176*1000</f>
        <v>4280.5719921104537</v>
      </c>
      <c r="CJ176" s="41">
        <f>BX176/'1. Väestöennuste'!K176*1000</f>
        <v>4488.6249925467264</v>
      </c>
      <c r="CK176" s="41">
        <f>BY176/'1. Väestöennuste'!L176*1000</f>
        <v>4652.2262001358013</v>
      </c>
      <c r="CL176" s="41">
        <f>BZ176/'1. Väestöennuste'!M176*1000</f>
        <v>2573.0505060734426</v>
      </c>
      <c r="CM176" s="41">
        <f>CA176/'1. Väestöennuste'!N176*1000</f>
        <v>2422.7079199352311</v>
      </c>
      <c r="CN176" s="41">
        <f>CB176/'1. Väestöennuste'!O176*1000</f>
        <v>2552.9470371007042</v>
      </c>
      <c r="CO176" s="41">
        <f>CC176/'1. Väestöennuste'!P176*1000</f>
        <v>2673.8339451956485</v>
      </c>
      <c r="CP176" s="41">
        <f>CD176/'1. Väestöennuste'!Q176*1000</f>
        <v>2781.7137230146109</v>
      </c>
      <c r="CQ176" s="41">
        <f>CE176/'1. Väestöennuste'!R176*1000</f>
        <v>2896.1132955523603</v>
      </c>
      <c r="CR176" s="41"/>
      <c r="CU176" s="159">
        <f t="shared" si="81"/>
        <v>195.33517404920804</v>
      </c>
      <c r="CV176" s="159">
        <f t="shared" si="82"/>
        <v>208.05300043627267</v>
      </c>
      <c r="CW176" s="159">
        <f t="shared" si="83"/>
        <v>163.60120758907487</v>
      </c>
      <c r="CX176" s="159">
        <f t="shared" si="84"/>
        <v>-2079.1756940623586</v>
      </c>
      <c r="CY176" s="159">
        <f t="shared" si="85"/>
        <v>-150.34258613821157</v>
      </c>
      <c r="CZ176" s="159">
        <f t="shared" si="86"/>
        <v>130.23911716547309</v>
      </c>
      <c r="DA176" s="159">
        <f t="shared" si="89"/>
        <v>120.88690809494437</v>
      </c>
      <c r="DB176" s="159">
        <f t="shared" si="90"/>
        <v>107.87977781896234</v>
      </c>
      <c r="DC176" s="159">
        <f t="shared" si="90"/>
        <v>114.39957253774946</v>
      </c>
    </row>
    <row r="177" spans="1:107" x14ac:dyDescent="0.2">
      <c r="A177" s="99">
        <v>2</v>
      </c>
      <c r="B177" s="30">
        <v>538</v>
      </c>
      <c r="C177" s="47" t="s">
        <v>491</v>
      </c>
      <c r="D177" s="64">
        <v>15951.50844</v>
      </c>
      <c r="E177" s="64">
        <v>857.86443000000008</v>
      </c>
      <c r="F177" s="64">
        <v>317.37383</v>
      </c>
      <c r="G177" s="205">
        <v>17123</v>
      </c>
      <c r="H177" s="205"/>
      <c r="I177" s="64">
        <v>16254</v>
      </c>
      <c r="J177" s="64">
        <v>353</v>
      </c>
      <c r="K177" s="64">
        <v>877</v>
      </c>
      <c r="L177" s="205">
        <v>17484</v>
      </c>
      <c r="M177" s="205"/>
      <c r="N177" s="64">
        <v>16097</v>
      </c>
      <c r="O177" s="64">
        <v>853</v>
      </c>
      <c r="P177" s="64">
        <v>462</v>
      </c>
      <c r="Q177" s="205">
        <v>17412</v>
      </c>
      <c r="R177" s="205"/>
      <c r="S177" s="64">
        <v>16500</v>
      </c>
      <c r="T177" s="64">
        <v>858</v>
      </c>
      <c r="U177" s="64">
        <v>428</v>
      </c>
      <c r="V177" s="205">
        <v>17786</v>
      </c>
      <c r="W177" s="205"/>
      <c r="X177" s="64">
        <v>16220</v>
      </c>
      <c r="Y177" s="64">
        <v>873</v>
      </c>
      <c r="Z177" s="64">
        <v>414</v>
      </c>
      <c r="AA177" s="205">
        <f t="shared" si="87"/>
        <v>17507</v>
      </c>
      <c r="AB177" s="205"/>
      <c r="AC177" s="64">
        <v>17312</v>
      </c>
      <c r="AD177" s="64">
        <v>788</v>
      </c>
      <c r="AE177" s="64">
        <v>369</v>
      </c>
      <c r="AF177" s="205">
        <f t="shared" si="64"/>
        <v>18469</v>
      </c>
      <c r="AG177" s="205"/>
      <c r="AH177" s="278">
        <v>17766.393050000002</v>
      </c>
      <c r="AI177" s="64">
        <v>870.62436000000002</v>
      </c>
      <c r="AJ177" s="64">
        <v>545.31694999999991</v>
      </c>
      <c r="AK177" s="205">
        <f t="shared" si="65"/>
        <v>19182.334360000004</v>
      </c>
      <c r="AL177" s="205"/>
      <c r="AM177" s="64">
        <v>17998.71989</v>
      </c>
      <c r="AN177" s="64">
        <v>934.08023000000003</v>
      </c>
      <c r="AO177" s="64">
        <v>584.83695999999998</v>
      </c>
      <c r="AP177" s="205">
        <f t="shared" si="66"/>
        <v>19517.63708</v>
      </c>
      <c r="AQ177" s="205"/>
      <c r="AR177" s="64">
        <v>9289.4956600000005</v>
      </c>
      <c r="AS177" s="64">
        <v>916.89092000000005</v>
      </c>
      <c r="AT177" s="64">
        <v>360.99196000000001</v>
      </c>
      <c r="AU177" s="205">
        <f t="shared" si="67"/>
        <v>10567.37854</v>
      </c>
      <c r="AV177" s="205"/>
      <c r="AW177" s="64">
        <v>9233.6419948815983</v>
      </c>
      <c r="AX177" s="64">
        <v>1132.5259728885392</v>
      </c>
      <c r="AY177" s="64">
        <v>272.98445510541262</v>
      </c>
      <c r="AZ177" s="205">
        <f t="shared" si="68"/>
        <v>10639.15242287555</v>
      </c>
      <c r="BA177" s="205"/>
      <c r="BB177" s="64">
        <v>9710.9881450130506</v>
      </c>
      <c r="BC177" s="64">
        <v>1142.7848866162362</v>
      </c>
      <c r="BD177" s="64">
        <v>276.26026856667755</v>
      </c>
      <c r="BE177" s="205">
        <f t="shared" si="63"/>
        <v>11130.033300195964</v>
      </c>
      <c r="BF177" s="205"/>
      <c r="BG177" s="64">
        <v>10189.883857231505</v>
      </c>
      <c r="BH177" s="64">
        <v>1161.8578331358744</v>
      </c>
      <c r="BI177" s="64">
        <v>289.67550464614357</v>
      </c>
      <c r="BJ177" s="205">
        <f t="shared" si="69"/>
        <v>11641.417195013524</v>
      </c>
      <c r="BK177" s="205"/>
      <c r="BL177" s="64">
        <v>10552.881676872854</v>
      </c>
      <c r="BM177" s="64">
        <v>1183.4491862665861</v>
      </c>
      <c r="BN177" s="64">
        <v>306.99051865568691</v>
      </c>
      <c r="BO177" s="205">
        <f t="shared" si="70"/>
        <v>12043.321381795125</v>
      </c>
      <c r="BQ177" s="64">
        <v>10965.573139786518</v>
      </c>
      <c r="BR177" s="64">
        <v>1204.6876713611193</v>
      </c>
      <c r="BS177" s="64">
        <v>317.75390574270028</v>
      </c>
      <c r="BT177" s="205">
        <f t="shared" si="71"/>
        <v>12488.014716890339</v>
      </c>
      <c r="BU177" s="205"/>
      <c r="BV177" s="5">
        <f t="shared" si="72"/>
        <v>17507</v>
      </c>
      <c r="BW177" s="5">
        <f t="shared" si="73"/>
        <v>18469</v>
      </c>
      <c r="BX177" s="5">
        <f t="shared" si="74"/>
        <v>19182.334360000004</v>
      </c>
      <c r="BY177" s="5">
        <f t="shared" si="75"/>
        <v>19517.63708</v>
      </c>
      <c r="BZ177" s="5">
        <f t="shared" si="76"/>
        <v>10567.37854</v>
      </c>
      <c r="CA177" s="5">
        <f t="shared" si="77"/>
        <v>10639.15242287555</v>
      </c>
      <c r="CB177" s="5">
        <f t="shared" si="78"/>
        <v>11130.033300195964</v>
      </c>
      <c r="CC177" s="5">
        <f t="shared" si="79"/>
        <v>11641.417195013524</v>
      </c>
      <c r="CD177" s="5">
        <f t="shared" si="80"/>
        <v>12043.321381795125</v>
      </c>
      <c r="CE177" s="5">
        <f t="shared" si="88"/>
        <v>12488.014716890339</v>
      </c>
      <c r="CH177" s="41">
        <f>BV177/'1. Väestöennuste'!I177*1000</f>
        <v>3713.0434782608695</v>
      </c>
      <c r="CI177" s="41">
        <f>BW177/'1. Väestöennuste'!J177*1000</f>
        <v>3935.4357553803538</v>
      </c>
      <c r="CJ177" s="41">
        <f>BX177/'1. Väestöennuste'!K177*1000</f>
        <v>4090.9222350181285</v>
      </c>
      <c r="CK177" s="41">
        <f>BY177/'1. Väestöennuste'!L177*1000</f>
        <v>4202.7642291128341</v>
      </c>
      <c r="CL177" s="41">
        <f>BZ177/'1. Väestöennuste'!M177*1000</f>
        <v>2250.7728519701809</v>
      </c>
      <c r="CM177" s="41">
        <f>CA177/'1. Väestöennuste'!N177*1000</f>
        <v>2306.3413012953715</v>
      </c>
      <c r="CN177" s="41">
        <f>CB177/'1. Väestöennuste'!O177*1000</f>
        <v>2421.151468391552</v>
      </c>
      <c r="CO177" s="41">
        <f>CC177/'1. Väestöennuste'!P177*1000</f>
        <v>2541.2392916423319</v>
      </c>
      <c r="CP177" s="41">
        <f>CD177/'1. Väestöennuste'!Q177*1000</f>
        <v>2637.0311762196461</v>
      </c>
      <c r="CQ177" s="41">
        <f>CE177/'1. Väestöennuste'!R177*1000</f>
        <v>2742.2078868885242</v>
      </c>
      <c r="CR177" s="41"/>
      <c r="CU177" s="159">
        <f t="shared" si="81"/>
        <v>222.39227711948433</v>
      </c>
      <c r="CV177" s="159">
        <f t="shared" si="82"/>
        <v>155.48647963777466</v>
      </c>
      <c r="CW177" s="159">
        <f t="shared" si="83"/>
        <v>111.84199409470557</v>
      </c>
      <c r="CX177" s="159">
        <f t="shared" si="84"/>
        <v>-1951.9913771426532</v>
      </c>
      <c r="CY177" s="159">
        <f t="shared" si="85"/>
        <v>55.568449325190613</v>
      </c>
      <c r="CZ177" s="159">
        <f t="shared" si="86"/>
        <v>114.81016709618052</v>
      </c>
      <c r="DA177" s="159">
        <f t="shared" si="89"/>
        <v>120.08782325077982</v>
      </c>
      <c r="DB177" s="159">
        <f t="shared" si="90"/>
        <v>95.791884577314249</v>
      </c>
      <c r="DC177" s="159">
        <f t="shared" si="90"/>
        <v>105.17671066887806</v>
      </c>
    </row>
    <row r="178" spans="1:107" x14ac:dyDescent="0.2">
      <c r="A178" s="99">
        <v>12</v>
      </c>
      <c r="B178" s="30">
        <v>541</v>
      </c>
      <c r="C178" s="47" t="s">
        <v>492</v>
      </c>
      <c r="D178" s="64">
        <v>21352.305820000001</v>
      </c>
      <c r="E178" s="64">
        <v>1679.51145</v>
      </c>
      <c r="F178" s="64">
        <v>2246.02394</v>
      </c>
      <c r="G178" s="205">
        <v>25272</v>
      </c>
      <c r="H178" s="205"/>
      <c r="I178" s="64">
        <v>20182</v>
      </c>
      <c r="J178" s="64">
        <v>1729</v>
      </c>
      <c r="K178" s="64">
        <v>2304</v>
      </c>
      <c r="L178" s="205">
        <v>24215</v>
      </c>
      <c r="M178" s="205"/>
      <c r="N178" s="64">
        <v>19703</v>
      </c>
      <c r="O178" s="64">
        <v>1652</v>
      </c>
      <c r="P178" s="64">
        <v>2881</v>
      </c>
      <c r="Q178" s="205">
        <v>24236</v>
      </c>
      <c r="R178" s="205"/>
      <c r="S178" s="64">
        <v>24308</v>
      </c>
      <c r="T178" s="64">
        <v>2073</v>
      </c>
      <c r="U178" s="64">
        <v>3528</v>
      </c>
      <c r="V178" s="205">
        <v>29909</v>
      </c>
      <c r="W178" s="205"/>
      <c r="X178" s="64">
        <v>24990</v>
      </c>
      <c r="Y178" s="64">
        <v>2096</v>
      </c>
      <c r="Z178" s="64">
        <v>3295</v>
      </c>
      <c r="AA178" s="205">
        <f t="shared" si="87"/>
        <v>30381</v>
      </c>
      <c r="AB178" s="205"/>
      <c r="AC178" s="64">
        <v>24487</v>
      </c>
      <c r="AD178" s="64">
        <v>1913</v>
      </c>
      <c r="AE178" s="64">
        <v>3458</v>
      </c>
      <c r="AF178" s="205">
        <f t="shared" si="64"/>
        <v>29858</v>
      </c>
      <c r="AG178" s="205"/>
      <c r="AH178" s="278">
        <v>25855.394929999999</v>
      </c>
      <c r="AI178" s="64">
        <v>2133.3019300000001</v>
      </c>
      <c r="AJ178" s="64">
        <v>4990.4548199999999</v>
      </c>
      <c r="AK178" s="205">
        <f t="shared" si="65"/>
        <v>32979.151680000003</v>
      </c>
      <c r="AL178" s="205"/>
      <c r="AM178" s="64">
        <v>26474.485239999998</v>
      </c>
      <c r="AN178" s="64">
        <v>2209.3397</v>
      </c>
      <c r="AO178" s="64">
        <v>4911.8796400000001</v>
      </c>
      <c r="AP178" s="205">
        <f t="shared" si="66"/>
        <v>33595.704579999998</v>
      </c>
      <c r="AQ178" s="205"/>
      <c r="AR178" s="64">
        <v>13034.502960000002</v>
      </c>
      <c r="AS178" s="64">
        <v>2249.78791</v>
      </c>
      <c r="AT178" s="64">
        <v>3021.5607500000001</v>
      </c>
      <c r="AU178" s="205">
        <f t="shared" si="67"/>
        <v>18305.851620000001</v>
      </c>
      <c r="AV178" s="205"/>
      <c r="AW178" s="64">
        <v>13167.728360718058</v>
      </c>
      <c r="AX178" s="64">
        <v>2390.0479943829591</v>
      </c>
      <c r="AY178" s="64">
        <v>2868.4792182101783</v>
      </c>
      <c r="AZ178" s="205">
        <f t="shared" si="68"/>
        <v>18426.255573311195</v>
      </c>
      <c r="BA178" s="205"/>
      <c r="BB178" s="64">
        <v>13703.33684261017</v>
      </c>
      <c r="BC178" s="64">
        <v>2411.0035728524831</v>
      </c>
      <c r="BD178" s="64">
        <v>2902.9009688287001</v>
      </c>
      <c r="BE178" s="205">
        <f t="shared" si="63"/>
        <v>19017.241384291352</v>
      </c>
      <c r="BF178" s="205"/>
      <c r="BG178" s="64">
        <v>14049.702535049504</v>
      </c>
      <c r="BH178" s="64">
        <v>2450.5868079433617</v>
      </c>
      <c r="BI178" s="64">
        <v>3043.866233266458</v>
      </c>
      <c r="BJ178" s="205">
        <f t="shared" si="69"/>
        <v>19544.155576259323</v>
      </c>
      <c r="BK178" s="205"/>
      <c r="BL178" s="64">
        <v>14312.725686477172</v>
      </c>
      <c r="BM178" s="64">
        <v>2495.5098987633687</v>
      </c>
      <c r="BN178" s="64">
        <v>3225.8097722500747</v>
      </c>
      <c r="BO178" s="205">
        <f t="shared" si="70"/>
        <v>20034.045357490617</v>
      </c>
      <c r="BQ178" s="64">
        <v>14650.474657854364</v>
      </c>
      <c r="BR178" s="64">
        <v>2539.7185863334071</v>
      </c>
      <c r="BS178" s="64">
        <v>3338.9098099966477</v>
      </c>
      <c r="BT178" s="205">
        <f t="shared" si="71"/>
        <v>20529.103054184419</v>
      </c>
      <c r="BU178" s="205"/>
      <c r="BV178" s="5">
        <f t="shared" si="72"/>
        <v>30381</v>
      </c>
      <c r="BW178" s="5">
        <f t="shared" si="73"/>
        <v>29858</v>
      </c>
      <c r="BX178" s="5">
        <f t="shared" si="74"/>
        <v>32979.151680000003</v>
      </c>
      <c r="BY178" s="5">
        <f t="shared" si="75"/>
        <v>33595.704579999998</v>
      </c>
      <c r="BZ178" s="5">
        <f t="shared" si="76"/>
        <v>18305.851620000001</v>
      </c>
      <c r="CA178" s="5">
        <f t="shared" si="77"/>
        <v>18426.255573311195</v>
      </c>
      <c r="CB178" s="5">
        <f t="shared" si="78"/>
        <v>19017.241384291352</v>
      </c>
      <c r="CC178" s="5">
        <f t="shared" si="79"/>
        <v>19544.155576259323</v>
      </c>
      <c r="CD178" s="5">
        <f t="shared" si="80"/>
        <v>20034.045357490617</v>
      </c>
      <c r="CE178" s="5">
        <f t="shared" si="88"/>
        <v>20529.103054184419</v>
      </c>
      <c r="CH178" s="41">
        <f>BV178/'1. Väestöennuste'!I178*1000</f>
        <v>3180.5904522613068</v>
      </c>
      <c r="CI178" s="41">
        <f>BW178/'1. Väestöennuste'!J178*1000</f>
        <v>3142.6165666771917</v>
      </c>
      <c r="CJ178" s="41">
        <f>BX178/'1. Väestöennuste'!K178*1000</f>
        <v>3499.8569118115252</v>
      </c>
      <c r="CK178" s="41">
        <f>BY178/'1. Väestöennuste'!L178*1000</f>
        <v>3634.7186606080272</v>
      </c>
      <c r="CL178" s="41">
        <f>BZ178/'1. Väestöennuste'!M178*1000</f>
        <v>2005.0220832420594</v>
      </c>
      <c r="CM178" s="41">
        <f>CA178/'1. Väestöennuste'!N178*1000</f>
        <v>2073.6276809938327</v>
      </c>
      <c r="CN178" s="41">
        <f>CB178/'1. Väestöennuste'!O178*1000</f>
        <v>2174.393023586937</v>
      </c>
      <c r="CO178" s="41">
        <f>CC178/'1. Väestöennuste'!P178*1000</f>
        <v>2268.882699821143</v>
      </c>
      <c r="CP178" s="41">
        <f>CD178/'1. Väestöennuste'!Q178*1000</f>
        <v>2359.7226569482468</v>
      </c>
      <c r="CQ178" s="41">
        <f>CE178/'1. Väestöennuste'!R178*1000</f>
        <v>2452.1145549670828</v>
      </c>
      <c r="CR178" s="41"/>
      <c r="CU178" s="159">
        <f t="shared" si="81"/>
        <v>-37.973885584115123</v>
      </c>
      <c r="CV178" s="159">
        <f t="shared" si="82"/>
        <v>357.24034513433344</v>
      </c>
      <c r="CW178" s="159">
        <f t="shared" si="83"/>
        <v>134.86174879650207</v>
      </c>
      <c r="CX178" s="159">
        <f t="shared" si="84"/>
        <v>-1629.6965773659679</v>
      </c>
      <c r="CY178" s="159">
        <f t="shared" si="85"/>
        <v>68.605597751773303</v>
      </c>
      <c r="CZ178" s="159">
        <f t="shared" si="86"/>
        <v>100.76534259310438</v>
      </c>
      <c r="DA178" s="159">
        <f t="shared" si="89"/>
        <v>94.489676234205945</v>
      </c>
      <c r="DB178" s="159">
        <f t="shared" si="90"/>
        <v>90.839957127103844</v>
      </c>
      <c r="DC178" s="159">
        <f t="shared" si="90"/>
        <v>92.391898018835946</v>
      </c>
    </row>
    <row r="179" spans="1:107" x14ac:dyDescent="0.2">
      <c r="A179" s="99">
        <v>1</v>
      </c>
      <c r="B179" s="30">
        <v>543</v>
      </c>
      <c r="C179" s="47" t="s">
        <v>493</v>
      </c>
      <c r="D179" s="64">
        <v>162221.12688999998</v>
      </c>
      <c r="E179" s="64">
        <v>8137.5150599999997</v>
      </c>
      <c r="F179" s="64">
        <v>7059.6006100000004</v>
      </c>
      <c r="G179" s="205">
        <v>177418</v>
      </c>
      <c r="H179" s="205"/>
      <c r="I179" s="64">
        <v>167223</v>
      </c>
      <c r="J179" s="64">
        <v>8012</v>
      </c>
      <c r="K179" s="64">
        <v>6303</v>
      </c>
      <c r="L179" s="205">
        <v>181538</v>
      </c>
      <c r="M179" s="205"/>
      <c r="N179" s="64">
        <v>165825</v>
      </c>
      <c r="O179" s="64">
        <v>8972</v>
      </c>
      <c r="P179" s="64">
        <v>7810</v>
      </c>
      <c r="Q179" s="205">
        <v>182607</v>
      </c>
      <c r="R179" s="205"/>
      <c r="S179" s="64">
        <v>166166</v>
      </c>
      <c r="T179" s="64">
        <v>9376</v>
      </c>
      <c r="U179" s="64">
        <v>7631</v>
      </c>
      <c r="V179" s="205">
        <v>183173</v>
      </c>
      <c r="W179" s="205"/>
      <c r="X179" s="64">
        <v>171561</v>
      </c>
      <c r="Y179" s="64">
        <v>9555</v>
      </c>
      <c r="Z179" s="64">
        <v>8612</v>
      </c>
      <c r="AA179" s="205">
        <f t="shared" si="87"/>
        <v>189728</v>
      </c>
      <c r="AB179" s="205"/>
      <c r="AC179" s="64">
        <v>180605</v>
      </c>
      <c r="AD179" s="64">
        <v>10772</v>
      </c>
      <c r="AE179" s="64">
        <v>9254</v>
      </c>
      <c r="AF179" s="205">
        <f t="shared" si="64"/>
        <v>200631</v>
      </c>
      <c r="AG179" s="205"/>
      <c r="AH179" s="278">
        <v>186283.3095</v>
      </c>
      <c r="AI179" s="64">
        <v>11981.401300000001</v>
      </c>
      <c r="AJ179" s="64">
        <v>12101.117679999999</v>
      </c>
      <c r="AK179" s="205">
        <f t="shared" si="65"/>
        <v>210365.82848</v>
      </c>
      <c r="AL179" s="205"/>
      <c r="AM179" s="64">
        <v>196529.86609999998</v>
      </c>
      <c r="AN179" s="64">
        <v>12667.079029999999</v>
      </c>
      <c r="AO179" s="64">
        <v>13385.02376</v>
      </c>
      <c r="AP179" s="205">
        <f t="shared" si="66"/>
        <v>222581.96888999999</v>
      </c>
      <c r="AQ179" s="205"/>
      <c r="AR179" s="64">
        <v>92194.752370000002</v>
      </c>
      <c r="AS179" s="64">
        <v>13630.50123</v>
      </c>
      <c r="AT179" s="64">
        <v>9382.3246799999997</v>
      </c>
      <c r="AU179" s="205">
        <f t="shared" si="67"/>
        <v>115207.57828</v>
      </c>
      <c r="AV179" s="205"/>
      <c r="AW179" s="64">
        <v>89244.324486332596</v>
      </c>
      <c r="AX179" s="64">
        <v>14540.806598255003</v>
      </c>
      <c r="AY179" s="64">
        <v>6936.6842722830179</v>
      </c>
      <c r="AZ179" s="205">
        <f t="shared" si="68"/>
        <v>110721.81535687062</v>
      </c>
      <c r="BA179" s="205"/>
      <c r="BB179" s="64">
        <v>95652.199203583645</v>
      </c>
      <c r="BC179" s="64">
        <v>14955.247672855674</v>
      </c>
      <c r="BD179" s="64">
        <v>7019.9244835504142</v>
      </c>
      <c r="BE179" s="205">
        <f t="shared" si="63"/>
        <v>117627.37135998975</v>
      </c>
      <c r="BF179" s="205"/>
      <c r="BG179" s="64">
        <v>100681.76729455432</v>
      </c>
      <c r="BH179" s="64">
        <v>15506.071405951774</v>
      </c>
      <c r="BI179" s="64">
        <v>7360.8129677883226</v>
      </c>
      <c r="BJ179" s="205">
        <f t="shared" si="69"/>
        <v>123548.65166829442</v>
      </c>
      <c r="BK179" s="205"/>
      <c r="BL179" s="64">
        <v>105019.50351689463</v>
      </c>
      <c r="BM179" s="64">
        <v>16115.3122631608</v>
      </c>
      <c r="BN179" s="64">
        <v>7800.796941630274</v>
      </c>
      <c r="BO179" s="205">
        <f t="shared" si="70"/>
        <v>128935.61272168571</v>
      </c>
      <c r="BQ179" s="64">
        <v>109726.76385887431</v>
      </c>
      <c r="BR179" s="64">
        <v>16746.162904710014</v>
      </c>
      <c r="BS179" s="64">
        <v>8074.3004929374329</v>
      </c>
      <c r="BT179" s="205">
        <f t="shared" si="71"/>
        <v>134547.22725652176</v>
      </c>
      <c r="BU179" s="205"/>
      <c r="BV179" s="5">
        <f t="shared" si="72"/>
        <v>189728</v>
      </c>
      <c r="BW179" s="5">
        <f t="shared" si="73"/>
        <v>200631</v>
      </c>
      <c r="BX179" s="5">
        <f t="shared" si="74"/>
        <v>210365.82848</v>
      </c>
      <c r="BY179" s="5">
        <f t="shared" si="75"/>
        <v>222581.96888999999</v>
      </c>
      <c r="BZ179" s="5">
        <f t="shared" si="76"/>
        <v>115207.57828</v>
      </c>
      <c r="CA179" s="5">
        <f t="shared" si="77"/>
        <v>110721.81535687062</v>
      </c>
      <c r="CB179" s="5">
        <f t="shared" si="78"/>
        <v>117627.37135998975</v>
      </c>
      <c r="CC179" s="5">
        <f t="shared" si="79"/>
        <v>123548.65166829442</v>
      </c>
      <c r="CD179" s="5">
        <f t="shared" si="80"/>
        <v>128935.61272168571</v>
      </c>
      <c r="CE179" s="5">
        <f t="shared" si="88"/>
        <v>134547.22725652176</v>
      </c>
      <c r="CH179" s="41">
        <f>BV179/'1. Väestöennuste'!I179*1000</f>
        <v>4412.997464703556</v>
      </c>
      <c r="CI179" s="41">
        <f>BW179/'1. Väestöennuste'!J179*1000</f>
        <v>4594.9888921970551</v>
      </c>
      <c r="CJ179" s="41">
        <f>BX179/'1. Väestöennuste'!K179*1000</f>
        <v>4767.2814485462413</v>
      </c>
      <c r="CK179" s="41">
        <f>BY179/'1. Väestöennuste'!L179*1000</f>
        <v>5006.5672969994148</v>
      </c>
      <c r="CL179" s="41">
        <f>BZ179/'1. Väestöennuste'!M179*1000</f>
        <v>2572.459043876298</v>
      </c>
      <c r="CM179" s="41">
        <f>CA179/'1. Väestöennuste'!N179*1000</f>
        <v>2452.4190519374197</v>
      </c>
      <c r="CN179" s="41">
        <f>CB179/'1. Väestöennuste'!O179*1000</f>
        <v>2585.89894829383</v>
      </c>
      <c r="CO179" s="41">
        <f>CC179/'1. Väestöennuste'!P179*1000</f>
        <v>2696.3913502464957</v>
      </c>
      <c r="CP179" s="41">
        <f>CD179/'1. Väestöennuste'!Q179*1000</f>
        <v>2794.322151655449</v>
      </c>
      <c r="CQ179" s="41">
        <f>CE179/'1. Väestöennuste'!R179*1000</f>
        <v>2896.6657464428031</v>
      </c>
      <c r="CR179" s="41"/>
      <c r="CU179" s="159">
        <f t="shared" si="81"/>
        <v>181.99142749349903</v>
      </c>
      <c r="CV179" s="159">
        <f t="shared" si="82"/>
        <v>172.29255634918627</v>
      </c>
      <c r="CW179" s="159">
        <f t="shared" si="83"/>
        <v>239.28584845317346</v>
      </c>
      <c r="CX179" s="159">
        <f t="shared" si="84"/>
        <v>-2434.1082531231168</v>
      </c>
      <c r="CY179" s="159">
        <f t="shared" si="85"/>
        <v>-120.0399919388783</v>
      </c>
      <c r="CZ179" s="159">
        <f t="shared" si="86"/>
        <v>133.47989635641034</v>
      </c>
      <c r="DA179" s="159">
        <f t="shared" si="89"/>
        <v>110.49240195266566</v>
      </c>
      <c r="DB179" s="159">
        <f t="shared" si="90"/>
        <v>97.930801408953357</v>
      </c>
      <c r="DC179" s="159">
        <f t="shared" si="90"/>
        <v>102.34359478735405</v>
      </c>
    </row>
    <row r="180" spans="1:107" x14ac:dyDescent="0.2">
      <c r="A180" s="99">
        <v>15</v>
      </c>
      <c r="B180" s="30">
        <v>545</v>
      </c>
      <c r="C180" s="47" t="s">
        <v>494</v>
      </c>
      <c r="D180" s="64">
        <v>26246.313710000002</v>
      </c>
      <c r="E180" s="64">
        <v>2347.9457499999999</v>
      </c>
      <c r="F180" s="64">
        <v>2337.0943900000002</v>
      </c>
      <c r="G180" s="205">
        <v>30924</v>
      </c>
      <c r="H180" s="205"/>
      <c r="I180" s="64">
        <v>25990</v>
      </c>
      <c r="J180" s="64">
        <v>2697</v>
      </c>
      <c r="K180" s="64">
        <v>2188</v>
      </c>
      <c r="L180" s="205">
        <v>30850</v>
      </c>
      <c r="M180" s="205"/>
      <c r="N180" s="64">
        <v>26290</v>
      </c>
      <c r="O180" s="64">
        <v>2910</v>
      </c>
      <c r="P180" s="64">
        <v>2619</v>
      </c>
      <c r="Q180" s="205">
        <v>31819</v>
      </c>
      <c r="R180" s="205"/>
      <c r="S180" s="64">
        <v>24902</v>
      </c>
      <c r="T180" s="64">
        <v>3002</v>
      </c>
      <c r="U180" s="64">
        <v>2682</v>
      </c>
      <c r="V180" s="205">
        <v>30586</v>
      </c>
      <c r="W180" s="205"/>
      <c r="X180" s="64">
        <v>26072</v>
      </c>
      <c r="Y180" s="64">
        <v>3125</v>
      </c>
      <c r="Z180" s="64">
        <v>2644</v>
      </c>
      <c r="AA180" s="205">
        <f t="shared" si="87"/>
        <v>31841</v>
      </c>
      <c r="AB180" s="205"/>
      <c r="AC180" s="64">
        <v>26814</v>
      </c>
      <c r="AD180" s="64">
        <v>3183</v>
      </c>
      <c r="AE180" s="64">
        <v>2970</v>
      </c>
      <c r="AF180" s="205">
        <f t="shared" si="64"/>
        <v>32967</v>
      </c>
      <c r="AG180" s="205"/>
      <c r="AH180" s="278">
        <v>28665.583019999998</v>
      </c>
      <c r="AI180" s="64">
        <v>3916.2194900000004</v>
      </c>
      <c r="AJ180" s="64">
        <v>4655.1155599999993</v>
      </c>
      <c r="AK180" s="205">
        <f t="shared" si="65"/>
        <v>37236.91807</v>
      </c>
      <c r="AL180" s="205"/>
      <c r="AM180" s="64">
        <v>28768.767239999997</v>
      </c>
      <c r="AN180" s="64">
        <v>4216.8957099999998</v>
      </c>
      <c r="AO180" s="64">
        <v>5008.8223099999996</v>
      </c>
      <c r="AP180" s="205">
        <f t="shared" si="66"/>
        <v>37994.485260000001</v>
      </c>
      <c r="AQ180" s="205"/>
      <c r="AR180" s="64">
        <v>15162.13609</v>
      </c>
      <c r="AS180" s="64">
        <v>4615.4677899999997</v>
      </c>
      <c r="AT180" s="64">
        <v>3152.7173299999999</v>
      </c>
      <c r="AU180" s="205">
        <f t="shared" si="67"/>
        <v>22930.321209999998</v>
      </c>
      <c r="AV180" s="205"/>
      <c r="AW180" s="64">
        <v>14869.494565456205</v>
      </c>
      <c r="AX180" s="64">
        <v>5380.2788636022788</v>
      </c>
      <c r="AY180" s="64">
        <v>2551.400857999975</v>
      </c>
      <c r="AZ180" s="205">
        <f t="shared" si="68"/>
        <v>22801.17428705846</v>
      </c>
      <c r="BA180" s="205"/>
      <c r="BB180" s="64">
        <v>15994.017071554721</v>
      </c>
      <c r="BC180" s="64">
        <v>5479.1161028621445</v>
      </c>
      <c r="BD180" s="64">
        <v>2582.0176682959745</v>
      </c>
      <c r="BE180" s="205">
        <f t="shared" si="63"/>
        <v>24055.150842712839</v>
      </c>
      <c r="BF180" s="205"/>
      <c r="BG180" s="64">
        <v>16970.609460616928</v>
      </c>
      <c r="BH180" s="64">
        <v>5622.6685840321952</v>
      </c>
      <c r="BI180" s="64">
        <v>2707.4007961748307</v>
      </c>
      <c r="BJ180" s="205">
        <f t="shared" si="69"/>
        <v>25300.678840823955</v>
      </c>
      <c r="BK180" s="205"/>
      <c r="BL180" s="64">
        <v>17788.460934045404</v>
      </c>
      <c r="BM180" s="64">
        <v>5781.446533816641</v>
      </c>
      <c r="BN180" s="64">
        <v>2869.2325077394003</v>
      </c>
      <c r="BO180" s="205">
        <f t="shared" si="70"/>
        <v>26439.139975601447</v>
      </c>
      <c r="BQ180" s="64">
        <v>18682.928337220947</v>
      </c>
      <c r="BR180" s="64">
        <v>5941.724632946145</v>
      </c>
      <c r="BS180" s="64">
        <v>2969.8305987119711</v>
      </c>
      <c r="BT180" s="205">
        <f t="shared" si="71"/>
        <v>27594.483568879063</v>
      </c>
      <c r="BU180" s="205"/>
      <c r="BV180" s="5">
        <f t="shared" si="72"/>
        <v>31841</v>
      </c>
      <c r="BW180" s="5">
        <f t="shared" si="73"/>
        <v>32967</v>
      </c>
      <c r="BX180" s="5">
        <f t="shared" si="74"/>
        <v>37236.91807</v>
      </c>
      <c r="BY180" s="5">
        <f t="shared" si="75"/>
        <v>37994.485260000001</v>
      </c>
      <c r="BZ180" s="5">
        <f t="shared" si="76"/>
        <v>22930.321209999998</v>
      </c>
      <c r="CA180" s="5">
        <f t="shared" si="77"/>
        <v>22801.17428705846</v>
      </c>
      <c r="CB180" s="5">
        <f t="shared" si="78"/>
        <v>24055.150842712839</v>
      </c>
      <c r="CC180" s="5">
        <f t="shared" si="79"/>
        <v>25300.678840823955</v>
      </c>
      <c r="CD180" s="5">
        <f t="shared" si="80"/>
        <v>26439.139975601447</v>
      </c>
      <c r="CE180" s="5">
        <f t="shared" si="88"/>
        <v>27594.483568879063</v>
      </c>
      <c r="CH180" s="41">
        <f>BV180/'1. Väestöennuste'!I180*1000</f>
        <v>3359.1096107184303</v>
      </c>
      <c r="CI180" s="41">
        <f>BW180/'1. Väestöennuste'!J180*1000</f>
        <v>3449.1525423728813</v>
      </c>
      <c r="CJ180" s="41">
        <f>BX180/'1. Väestöennuste'!K180*1000</f>
        <v>3894.2604130934951</v>
      </c>
      <c r="CK180" s="41">
        <f>BY180/'1. Väestöennuste'!L180*1000</f>
        <v>3964.3661581803003</v>
      </c>
      <c r="CL180" s="41">
        <f>BZ180/'1. Väestöennuste'!M180*1000</f>
        <v>2383.3615227107366</v>
      </c>
      <c r="CM180" s="41">
        <f>CA180/'1. Väestöennuste'!N180*1000</f>
        <v>2372.1571251621367</v>
      </c>
      <c r="CN180" s="41">
        <f>CB180/'1. Väestöennuste'!O180*1000</f>
        <v>2500.015676856458</v>
      </c>
      <c r="CO180" s="41">
        <f>CC180/'1. Väestöennuste'!P180*1000</f>
        <v>2627.8228958063933</v>
      </c>
      <c r="CP180" s="41">
        <f>CD180/'1. Väestöennuste'!Q180*1000</f>
        <v>2744.3574813786013</v>
      </c>
      <c r="CQ180" s="41">
        <f>CE180/'1. Väestöennuste'!R180*1000</f>
        <v>2863.0922980783425</v>
      </c>
      <c r="CR180" s="41"/>
      <c r="CU180" s="159">
        <f t="shared" si="81"/>
        <v>90.042931654450967</v>
      </c>
      <c r="CV180" s="159">
        <f t="shared" si="82"/>
        <v>445.10787072061385</v>
      </c>
      <c r="CW180" s="159">
        <f t="shared" si="83"/>
        <v>70.1057450868052</v>
      </c>
      <c r="CX180" s="159">
        <f t="shared" si="84"/>
        <v>-1581.0046354695637</v>
      </c>
      <c r="CY180" s="159">
        <f t="shared" si="85"/>
        <v>-11.2043975485999</v>
      </c>
      <c r="CZ180" s="159">
        <f t="shared" si="86"/>
        <v>127.85855169432125</v>
      </c>
      <c r="DA180" s="159">
        <f t="shared" si="89"/>
        <v>127.8072189499353</v>
      </c>
      <c r="DB180" s="159">
        <f t="shared" si="90"/>
        <v>116.53458557220802</v>
      </c>
      <c r="DC180" s="159">
        <f t="shared" si="90"/>
        <v>118.73481669974126</v>
      </c>
    </row>
    <row r="181" spans="1:107" x14ac:dyDescent="0.2">
      <c r="A181" s="99">
        <v>7</v>
      </c>
      <c r="B181" s="30">
        <v>560</v>
      </c>
      <c r="C181" s="47" t="s">
        <v>495</v>
      </c>
      <c r="D181" s="64">
        <v>46671.144899999999</v>
      </c>
      <c r="E181" s="64">
        <v>4333.4860599999993</v>
      </c>
      <c r="F181" s="64">
        <v>2712.0793100000001</v>
      </c>
      <c r="G181" s="205">
        <v>53705</v>
      </c>
      <c r="H181" s="205"/>
      <c r="I181" s="64">
        <v>48784</v>
      </c>
      <c r="J181" s="64">
        <v>4427</v>
      </c>
      <c r="K181" s="64">
        <v>2429</v>
      </c>
      <c r="L181" s="205">
        <v>55641</v>
      </c>
      <c r="M181" s="205"/>
      <c r="N181" s="64">
        <v>48770</v>
      </c>
      <c r="O181" s="64">
        <v>4380</v>
      </c>
      <c r="P181" s="64">
        <v>2691</v>
      </c>
      <c r="Q181" s="205">
        <v>55841</v>
      </c>
      <c r="R181" s="205"/>
      <c r="S181" s="64">
        <v>48357</v>
      </c>
      <c r="T181" s="64">
        <v>4318</v>
      </c>
      <c r="U181" s="64">
        <v>2368</v>
      </c>
      <c r="V181" s="205">
        <v>55043</v>
      </c>
      <c r="W181" s="205"/>
      <c r="X181" s="64">
        <v>48664</v>
      </c>
      <c r="Y181" s="64">
        <v>4648</v>
      </c>
      <c r="Z181" s="64">
        <v>2343</v>
      </c>
      <c r="AA181" s="205">
        <f t="shared" si="87"/>
        <v>55655</v>
      </c>
      <c r="AB181" s="205"/>
      <c r="AC181" s="64">
        <v>53137</v>
      </c>
      <c r="AD181" s="64">
        <v>4120</v>
      </c>
      <c r="AE181" s="64">
        <v>2686</v>
      </c>
      <c r="AF181" s="205">
        <f t="shared" si="64"/>
        <v>59943</v>
      </c>
      <c r="AG181" s="205"/>
      <c r="AH181" s="278">
        <v>53114.042390000002</v>
      </c>
      <c r="AI181" s="64">
        <v>4523.5126500000006</v>
      </c>
      <c r="AJ181" s="64">
        <v>4214.79396</v>
      </c>
      <c r="AK181" s="205">
        <f t="shared" si="65"/>
        <v>61852.349000000009</v>
      </c>
      <c r="AL181" s="205"/>
      <c r="AM181" s="64">
        <v>55607.733840000001</v>
      </c>
      <c r="AN181" s="64">
        <v>4584.2097000000003</v>
      </c>
      <c r="AO181" s="64">
        <v>4501.6403200000004</v>
      </c>
      <c r="AP181" s="205">
        <f t="shared" si="66"/>
        <v>64693.583859999999</v>
      </c>
      <c r="AQ181" s="205"/>
      <c r="AR181" s="64">
        <v>28015.626629999999</v>
      </c>
      <c r="AS181" s="64">
        <v>4694.6601900000005</v>
      </c>
      <c r="AT181" s="64">
        <v>2853.4095299999999</v>
      </c>
      <c r="AU181" s="205">
        <f t="shared" si="67"/>
        <v>35563.696349999998</v>
      </c>
      <c r="AV181" s="205"/>
      <c r="AW181" s="64">
        <v>26960.813940231394</v>
      </c>
      <c r="AX181" s="64">
        <v>4690.3566120804926</v>
      </c>
      <c r="AY181" s="64">
        <v>2253.3745570365077</v>
      </c>
      <c r="AZ181" s="205">
        <f t="shared" si="68"/>
        <v>33904.545109348393</v>
      </c>
      <c r="BA181" s="205"/>
      <c r="BB181" s="64">
        <v>28519.925144010958</v>
      </c>
      <c r="BC181" s="64">
        <v>4727.8971479743086</v>
      </c>
      <c r="BD181" s="64">
        <v>2280.4150517209459</v>
      </c>
      <c r="BE181" s="205">
        <f t="shared" si="63"/>
        <v>35528.23734370622</v>
      </c>
      <c r="BF181" s="205"/>
      <c r="BG181" s="64">
        <v>29751.894023393921</v>
      </c>
      <c r="BH181" s="64">
        <v>4801.8411341143883</v>
      </c>
      <c r="BI181" s="64">
        <v>2391.1523156667399</v>
      </c>
      <c r="BJ181" s="205">
        <f t="shared" si="69"/>
        <v>36944.887473175047</v>
      </c>
      <c r="BK181" s="205"/>
      <c r="BL181" s="64">
        <v>30789.271591283534</v>
      </c>
      <c r="BM181" s="64">
        <v>4886.0862901248629</v>
      </c>
      <c r="BN181" s="64">
        <v>2534.0806447130558</v>
      </c>
      <c r="BO181" s="205">
        <f t="shared" si="70"/>
        <v>38209.438526121448</v>
      </c>
      <c r="BQ181" s="64">
        <v>31955.610776780901</v>
      </c>
      <c r="BR181" s="64">
        <v>4968.7618942230201</v>
      </c>
      <c r="BS181" s="64">
        <v>2622.9279843904951</v>
      </c>
      <c r="BT181" s="205">
        <f t="shared" si="71"/>
        <v>39547.300655394414</v>
      </c>
      <c r="BU181" s="205"/>
      <c r="BV181" s="5">
        <f t="shared" si="72"/>
        <v>55655</v>
      </c>
      <c r="BW181" s="5">
        <f t="shared" si="73"/>
        <v>59943</v>
      </c>
      <c r="BX181" s="5">
        <f t="shared" si="74"/>
        <v>61852.349000000009</v>
      </c>
      <c r="BY181" s="5">
        <f t="shared" si="75"/>
        <v>64693.583859999999</v>
      </c>
      <c r="BZ181" s="5">
        <f t="shared" si="76"/>
        <v>35563.696349999998</v>
      </c>
      <c r="CA181" s="5">
        <f t="shared" si="77"/>
        <v>33904.545109348393</v>
      </c>
      <c r="CB181" s="5">
        <f t="shared" si="78"/>
        <v>35528.23734370622</v>
      </c>
      <c r="CC181" s="5">
        <f t="shared" si="79"/>
        <v>36944.887473175047</v>
      </c>
      <c r="CD181" s="5">
        <f t="shared" si="80"/>
        <v>38209.438526121448</v>
      </c>
      <c r="CE181" s="5">
        <f t="shared" si="88"/>
        <v>39547.300655394414</v>
      </c>
      <c r="CH181" s="41">
        <f>BV181/'1. Väestöennuste'!I181*1000</f>
        <v>3477.7854152346436</v>
      </c>
      <c r="CI181" s="41">
        <f>BW181/'1. Väestöennuste'!J181*1000</f>
        <v>3774.272761616925</v>
      </c>
      <c r="CJ181" s="41">
        <f>BX181/'1. Väestöennuste'!K181*1000</f>
        <v>3912.724506578948</v>
      </c>
      <c r="CK181" s="41">
        <f>BY181/'1. Väestöennuste'!L181*1000</f>
        <v>4111.4447956784243</v>
      </c>
      <c r="CL181" s="41">
        <f>BZ181/'1. Väestöennuste'!M181*1000</f>
        <v>2269.685133065288</v>
      </c>
      <c r="CM181" s="41">
        <f>CA181/'1. Väestöennuste'!N181*1000</f>
        <v>2184.1490117469812</v>
      </c>
      <c r="CN181" s="41">
        <f>CB181/'1. Väestöennuste'!O181*1000</f>
        <v>2302.0953375044528</v>
      </c>
      <c r="CO181" s="41">
        <f>CC181/'1. Väestöennuste'!P181*1000</f>
        <v>2407.1466948902171</v>
      </c>
      <c r="CP181" s="41">
        <f>CD181/'1. Väestöennuste'!Q181*1000</f>
        <v>2502.9109476039202</v>
      </c>
      <c r="CQ181" s="41">
        <f>CE181/'1. Väestöennuste'!R181*1000</f>
        <v>2604.5377143963656</v>
      </c>
      <c r="CR181" s="41"/>
      <c r="CU181" s="159">
        <f t="shared" si="81"/>
        <v>296.48734638228143</v>
      </c>
      <c r="CV181" s="159">
        <f t="shared" si="82"/>
        <v>138.45174496202299</v>
      </c>
      <c r="CW181" s="159">
        <f t="shared" si="83"/>
        <v>198.7202890994763</v>
      </c>
      <c r="CX181" s="159">
        <f t="shared" si="84"/>
        <v>-1841.7596626131362</v>
      </c>
      <c r="CY181" s="159">
        <f t="shared" si="85"/>
        <v>-85.536121318306868</v>
      </c>
      <c r="CZ181" s="159">
        <f t="shared" si="86"/>
        <v>117.94632575747164</v>
      </c>
      <c r="DA181" s="159">
        <f t="shared" si="89"/>
        <v>105.05135738576428</v>
      </c>
      <c r="DB181" s="159">
        <f t="shared" si="90"/>
        <v>95.764252713703172</v>
      </c>
      <c r="DC181" s="159">
        <f t="shared" si="90"/>
        <v>101.62676679244532</v>
      </c>
    </row>
    <row r="182" spans="1:107" x14ac:dyDescent="0.2">
      <c r="A182" s="99">
        <v>2</v>
      </c>
      <c r="B182" s="30">
        <v>561</v>
      </c>
      <c r="C182" s="47" t="s">
        <v>496</v>
      </c>
      <c r="D182" s="64">
        <v>3494.10466</v>
      </c>
      <c r="E182" s="64">
        <v>307.82057000000003</v>
      </c>
      <c r="F182" s="64">
        <v>399.04608000000002</v>
      </c>
      <c r="G182" s="205">
        <v>4201</v>
      </c>
      <c r="H182" s="205"/>
      <c r="I182" s="64">
        <v>3331</v>
      </c>
      <c r="J182" s="64">
        <v>342</v>
      </c>
      <c r="K182" s="64">
        <v>395</v>
      </c>
      <c r="L182" s="205">
        <v>4068</v>
      </c>
      <c r="M182" s="205"/>
      <c r="N182" s="64">
        <v>3458</v>
      </c>
      <c r="O182" s="64">
        <v>327</v>
      </c>
      <c r="P182" s="64">
        <v>388</v>
      </c>
      <c r="Q182" s="205">
        <v>4173</v>
      </c>
      <c r="R182" s="205"/>
      <c r="S182" s="64">
        <v>3314</v>
      </c>
      <c r="T182" s="64">
        <v>317</v>
      </c>
      <c r="U182" s="64">
        <v>356</v>
      </c>
      <c r="V182" s="205">
        <v>3987</v>
      </c>
      <c r="W182" s="205"/>
      <c r="X182" s="64">
        <v>3850</v>
      </c>
      <c r="Y182" s="64">
        <v>402</v>
      </c>
      <c r="Z182" s="64">
        <v>432</v>
      </c>
      <c r="AA182" s="205">
        <f t="shared" si="87"/>
        <v>4684</v>
      </c>
      <c r="AB182" s="205"/>
      <c r="AC182" s="64">
        <v>3949</v>
      </c>
      <c r="AD182" s="64">
        <v>381</v>
      </c>
      <c r="AE182" s="64">
        <v>519</v>
      </c>
      <c r="AF182" s="205">
        <f t="shared" si="64"/>
        <v>4849</v>
      </c>
      <c r="AG182" s="205"/>
      <c r="AH182" s="278">
        <v>3838.8287599999999</v>
      </c>
      <c r="AI182" s="64">
        <v>402.84541999999999</v>
      </c>
      <c r="AJ182" s="64">
        <v>742.66931999999997</v>
      </c>
      <c r="AK182" s="205">
        <f t="shared" si="65"/>
        <v>4984.3434999999999</v>
      </c>
      <c r="AL182" s="205"/>
      <c r="AM182" s="64">
        <v>3958.6971400000002</v>
      </c>
      <c r="AN182" s="64">
        <v>386.33865000000003</v>
      </c>
      <c r="AO182" s="64">
        <v>809.85072000000002</v>
      </c>
      <c r="AP182" s="205">
        <f t="shared" si="66"/>
        <v>5154.8865100000003</v>
      </c>
      <c r="AQ182" s="205"/>
      <c r="AR182" s="64">
        <v>2060.80044</v>
      </c>
      <c r="AS182" s="64">
        <v>378.58326</v>
      </c>
      <c r="AT182" s="64">
        <v>535.27705000000003</v>
      </c>
      <c r="AU182" s="205">
        <f t="shared" si="67"/>
        <v>2974.66075</v>
      </c>
      <c r="AV182" s="205"/>
      <c r="AW182" s="64">
        <v>1976.4479659162346</v>
      </c>
      <c r="AX182" s="64">
        <v>600.15757441811627</v>
      </c>
      <c r="AY182" s="64">
        <v>362.89355349296733</v>
      </c>
      <c r="AZ182" s="205">
        <f t="shared" si="68"/>
        <v>2939.4990938273181</v>
      </c>
      <c r="BA182" s="205"/>
      <c r="BB182" s="64">
        <v>2105.4994664710393</v>
      </c>
      <c r="BC182" s="64">
        <v>627.07864902274184</v>
      </c>
      <c r="BD182" s="64">
        <v>367.24827613488293</v>
      </c>
      <c r="BE182" s="205">
        <f t="shared" si="63"/>
        <v>3099.8263916286642</v>
      </c>
      <c r="BF182" s="205"/>
      <c r="BG182" s="64">
        <v>2212.2148867331634</v>
      </c>
      <c r="BH182" s="64">
        <v>660.41384526913146</v>
      </c>
      <c r="BI182" s="64">
        <v>385.08190219225162</v>
      </c>
      <c r="BJ182" s="205">
        <f t="shared" si="69"/>
        <v>3257.7106341945464</v>
      </c>
      <c r="BK182" s="205"/>
      <c r="BL182" s="64">
        <v>2307.8234428947571</v>
      </c>
      <c r="BM182" s="64">
        <v>697.08396040492346</v>
      </c>
      <c r="BN182" s="64">
        <v>408.09972187094843</v>
      </c>
      <c r="BO182" s="205">
        <f t="shared" si="70"/>
        <v>3413.007125170629</v>
      </c>
      <c r="BQ182" s="64">
        <v>2414.5319544620024</v>
      </c>
      <c r="BR182" s="64">
        <v>735.61429086712781</v>
      </c>
      <c r="BS182" s="64">
        <v>422.40809626581398</v>
      </c>
      <c r="BT182" s="205">
        <f t="shared" si="71"/>
        <v>3572.5543415949442</v>
      </c>
      <c r="BU182" s="205"/>
      <c r="BV182" s="5">
        <f t="shared" si="72"/>
        <v>4684</v>
      </c>
      <c r="BW182" s="5">
        <f t="shared" si="73"/>
        <v>4849</v>
      </c>
      <c r="BX182" s="5">
        <f t="shared" si="74"/>
        <v>4984.3434999999999</v>
      </c>
      <c r="BY182" s="5">
        <f t="shared" si="75"/>
        <v>5154.8865100000003</v>
      </c>
      <c r="BZ182" s="5">
        <f t="shared" si="76"/>
        <v>2974.66075</v>
      </c>
      <c r="CA182" s="5">
        <f t="shared" si="77"/>
        <v>2939.4990938273181</v>
      </c>
      <c r="CB182" s="5">
        <f t="shared" si="78"/>
        <v>3099.8263916286642</v>
      </c>
      <c r="CC182" s="5">
        <f t="shared" si="79"/>
        <v>3257.7106341945464</v>
      </c>
      <c r="CD182" s="5">
        <f t="shared" si="80"/>
        <v>3413.007125170629</v>
      </c>
      <c r="CE182" s="5">
        <f t="shared" si="88"/>
        <v>3572.5543415949442</v>
      </c>
      <c r="CH182" s="41">
        <f>BV182/'1. Väestöennuste'!I182*1000</f>
        <v>3524.454477050414</v>
      </c>
      <c r="CI182" s="41">
        <f>BW182/'1. Väestöennuste'!J182*1000</f>
        <v>3634.9325337331334</v>
      </c>
      <c r="CJ182" s="41">
        <f>BX182/'1. Väestöennuste'!K182*1000</f>
        <v>3728.0056095736722</v>
      </c>
      <c r="CK182" s="41">
        <f>BY182/'1. Väestöennuste'!L182*1000</f>
        <v>3914.1127638572516</v>
      </c>
      <c r="CL182" s="41">
        <f>BZ182/'1. Väestöennuste'!M182*1000</f>
        <v>2262.0994296577946</v>
      </c>
      <c r="CM182" s="41">
        <f>CA182/'1. Väestöennuste'!N182*1000</f>
        <v>2243.8924380361204</v>
      </c>
      <c r="CN182" s="41">
        <f>CB182/'1. Väestöennuste'!O182*1000</f>
        <v>2375.3458939683251</v>
      </c>
      <c r="CO182" s="41">
        <f>CC182/'1. Väestöennuste'!P182*1000</f>
        <v>2504.0050993040327</v>
      </c>
      <c r="CP182" s="41">
        <f>CD182/'1. Väestöennuste'!Q182*1000</f>
        <v>2629.4353814873875</v>
      </c>
      <c r="CQ182" s="41">
        <f>CE182/'1. Väestöennuste'!R182*1000</f>
        <v>2758.7292213088372</v>
      </c>
      <c r="CR182" s="41"/>
      <c r="CU182" s="159">
        <f t="shared" si="81"/>
        <v>110.4780566827194</v>
      </c>
      <c r="CV182" s="159">
        <f t="shared" si="82"/>
        <v>93.073075840538877</v>
      </c>
      <c r="CW182" s="159">
        <f t="shared" si="83"/>
        <v>186.10715428357935</v>
      </c>
      <c r="CX182" s="159">
        <f t="shared" si="84"/>
        <v>-1652.0133341994569</v>
      </c>
      <c r="CY182" s="159">
        <f t="shared" si="85"/>
        <v>-18.206991621674206</v>
      </c>
      <c r="CZ182" s="159">
        <f t="shared" si="86"/>
        <v>131.45345593220463</v>
      </c>
      <c r="DA182" s="159">
        <f t="shared" si="89"/>
        <v>128.65920533570761</v>
      </c>
      <c r="DB182" s="159">
        <f t="shared" si="90"/>
        <v>125.43028218335485</v>
      </c>
      <c r="DC182" s="159">
        <f t="shared" si="90"/>
        <v>129.29383982144964</v>
      </c>
    </row>
    <row r="183" spans="1:107" x14ac:dyDescent="0.2">
      <c r="A183" s="99">
        <v>6</v>
      </c>
      <c r="B183" s="30">
        <v>562</v>
      </c>
      <c r="C183" s="47" t="s">
        <v>497</v>
      </c>
      <c r="D183" s="64">
        <v>28788.692079999997</v>
      </c>
      <c r="E183" s="64">
        <v>3004.8055399999998</v>
      </c>
      <c r="F183" s="64">
        <v>1716.8085900000001</v>
      </c>
      <c r="G183" s="205">
        <v>33524</v>
      </c>
      <c r="H183" s="205"/>
      <c r="I183" s="64">
        <v>29201</v>
      </c>
      <c r="J183" s="64">
        <v>3036</v>
      </c>
      <c r="K183" s="64">
        <v>1658</v>
      </c>
      <c r="L183" s="205">
        <v>31178</v>
      </c>
      <c r="M183" s="205"/>
      <c r="N183" s="64">
        <v>28775</v>
      </c>
      <c r="O183" s="64">
        <v>3022</v>
      </c>
      <c r="P183" s="64">
        <v>1972</v>
      </c>
      <c r="Q183" s="205">
        <v>33769</v>
      </c>
      <c r="R183" s="205"/>
      <c r="S183" s="64">
        <v>28106</v>
      </c>
      <c r="T183" s="64">
        <v>2969</v>
      </c>
      <c r="U183" s="64">
        <v>1892</v>
      </c>
      <c r="V183" s="205">
        <v>32967</v>
      </c>
      <c r="W183" s="205"/>
      <c r="X183" s="64">
        <v>28796</v>
      </c>
      <c r="Y183" s="64">
        <v>2973</v>
      </c>
      <c r="Z183" s="64">
        <v>1959</v>
      </c>
      <c r="AA183" s="205">
        <f t="shared" si="87"/>
        <v>33728</v>
      </c>
      <c r="AB183" s="205"/>
      <c r="AC183" s="64">
        <v>30497</v>
      </c>
      <c r="AD183" s="64">
        <v>2775</v>
      </c>
      <c r="AE183" s="64">
        <v>2087</v>
      </c>
      <c r="AF183" s="205">
        <f t="shared" si="64"/>
        <v>35359</v>
      </c>
      <c r="AG183" s="205"/>
      <c r="AH183" s="278">
        <v>30599.094260000002</v>
      </c>
      <c r="AI183" s="64">
        <v>2967.4970800000001</v>
      </c>
      <c r="AJ183" s="64">
        <v>2955.8686899999998</v>
      </c>
      <c r="AK183" s="205">
        <f t="shared" si="65"/>
        <v>36522.460030000002</v>
      </c>
      <c r="AL183" s="205"/>
      <c r="AM183" s="64">
        <v>32446.468989999998</v>
      </c>
      <c r="AN183" s="64">
        <v>3022.08554</v>
      </c>
      <c r="AO183" s="64">
        <v>3028.2012</v>
      </c>
      <c r="AP183" s="205">
        <f t="shared" si="66"/>
        <v>38496.755729999997</v>
      </c>
      <c r="AQ183" s="205"/>
      <c r="AR183" s="64">
        <v>16796.60455</v>
      </c>
      <c r="AS183" s="64">
        <v>3167.32323</v>
      </c>
      <c r="AT183" s="64">
        <v>1902.1927800000001</v>
      </c>
      <c r="AU183" s="205">
        <f t="shared" si="67"/>
        <v>21866.120559999999</v>
      </c>
      <c r="AV183" s="205"/>
      <c r="AW183" s="64">
        <v>15997.331324232282</v>
      </c>
      <c r="AX183" s="64">
        <v>3369.2250262286548</v>
      </c>
      <c r="AY183" s="64">
        <v>1480.1317397435175</v>
      </c>
      <c r="AZ183" s="205">
        <f t="shared" si="68"/>
        <v>20846.688090204454</v>
      </c>
      <c r="BA183" s="205"/>
      <c r="BB183" s="64">
        <v>16868.515034566492</v>
      </c>
      <c r="BC183" s="64">
        <v>3416.6895169287918</v>
      </c>
      <c r="BD183" s="64">
        <v>1497.8933206204397</v>
      </c>
      <c r="BE183" s="205">
        <f t="shared" si="63"/>
        <v>21783.097872115723</v>
      </c>
      <c r="BF183" s="205"/>
      <c r="BG183" s="64">
        <v>17523.727842548047</v>
      </c>
      <c r="BH183" s="64">
        <v>3491.2007724481191</v>
      </c>
      <c r="BI183" s="64">
        <v>1570.6312232592641</v>
      </c>
      <c r="BJ183" s="205">
        <f t="shared" si="69"/>
        <v>22585.559838255431</v>
      </c>
      <c r="BK183" s="205"/>
      <c r="BL183" s="64">
        <v>18049.173530412452</v>
      </c>
      <c r="BM183" s="64">
        <v>3574.1597227385878</v>
      </c>
      <c r="BN183" s="64">
        <v>1664.5138650372814</v>
      </c>
      <c r="BO183" s="205">
        <f t="shared" si="70"/>
        <v>23287.847118188321</v>
      </c>
      <c r="BQ183" s="64">
        <v>18660.61719327699</v>
      </c>
      <c r="BR183" s="64">
        <v>3656.984177353278</v>
      </c>
      <c r="BS183" s="64">
        <v>1722.8733450614545</v>
      </c>
      <c r="BT183" s="205">
        <f t="shared" si="71"/>
        <v>24040.474715691722</v>
      </c>
      <c r="BU183" s="205"/>
      <c r="BV183" s="5">
        <f t="shared" si="72"/>
        <v>33728</v>
      </c>
      <c r="BW183" s="5">
        <f t="shared" si="73"/>
        <v>35359</v>
      </c>
      <c r="BX183" s="5">
        <f t="shared" si="74"/>
        <v>36522.460030000002</v>
      </c>
      <c r="BY183" s="5">
        <f t="shared" si="75"/>
        <v>38496.755729999997</v>
      </c>
      <c r="BZ183" s="5">
        <f t="shared" si="76"/>
        <v>21866.120559999999</v>
      </c>
      <c r="CA183" s="5">
        <f t="shared" si="77"/>
        <v>20846.688090204454</v>
      </c>
      <c r="CB183" s="5">
        <f t="shared" si="78"/>
        <v>21783.097872115723</v>
      </c>
      <c r="CC183" s="5">
        <f t="shared" si="79"/>
        <v>22585.559838255431</v>
      </c>
      <c r="CD183" s="5">
        <f t="shared" si="80"/>
        <v>23287.847118188321</v>
      </c>
      <c r="CE183" s="5">
        <f t="shared" si="88"/>
        <v>24040.474715691722</v>
      </c>
      <c r="CH183" s="41">
        <f>BV183/'1. Väestöennuste'!I183*1000</f>
        <v>3682.9001965494649</v>
      </c>
      <c r="CI183" s="41">
        <f>BW183/'1. Väestöennuste'!J183*1000</f>
        <v>3925.2886323268208</v>
      </c>
      <c r="CJ183" s="41">
        <f>BX183/'1. Väestöennuste'!K183*1000</f>
        <v>4067.9951024727111</v>
      </c>
      <c r="CK183" s="41">
        <f>BY183/'1. Väestöennuste'!L183*1000</f>
        <v>4308.5344969222151</v>
      </c>
      <c r="CL183" s="41">
        <f>BZ183/'1. Väestöennuste'!M183*1000</f>
        <v>2473.822893992533</v>
      </c>
      <c r="CM183" s="41">
        <f>CA183/'1. Väestöennuste'!N183*1000</f>
        <v>2400.8623851438965</v>
      </c>
      <c r="CN183" s="41">
        <f>CB183/'1. Väestöennuste'!O183*1000</f>
        <v>2529.0953061785353</v>
      </c>
      <c r="CO183" s="41">
        <f>CC183/'1. Väestöennuste'!P183*1000</f>
        <v>2643.1316370105828</v>
      </c>
      <c r="CP183" s="41">
        <f>CD183/'1. Väestöennuste'!Q183*1000</f>
        <v>2746.2083865788113</v>
      </c>
      <c r="CQ183" s="41">
        <f>CE183/'1. Väestöennuste'!R183*1000</f>
        <v>2855.5024011986839</v>
      </c>
      <c r="CR183" s="41"/>
      <c r="CU183" s="159">
        <f t="shared" si="81"/>
        <v>242.38843577735588</v>
      </c>
      <c r="CV183" s="159">
        <f t="shared" si="82"/>
        <v>142.70647014589031</v>
      </c>
      <c r="CW183" s="159">
        <f t="shared" si="83"/>
        <v>240.53939444950402</v>
      </c>
      <c r="CX183" s="159">
        <f t="shared" si="84"/>
        <v>-1834.7116029296822</v>
      </c>
      <c r="CY183" s="159">
        <f t="shared" si="85"/>
        <v>-72.960508848636437</v>
      </c>
      <c r="CZ183" s="159">
        <f t="shared" si="86"/>
        <v>128.23292103463882</v>
      </c>
      <c r="DA183" s="159">
        <f t="shared" si="89"/>
        <v>114.0363308320475</v>
      </c>
      <c r="DB183" s="159">
        <f t="shared" si="90"/>
        <v>103.07674956822848</v>
      </c>
      <c r="DC183" s="159">
        <f t="shared" si="90"/>
        <v>109.29401461987254</v>
      </c>
    </row>
    <row r="184" spans="1:107" x14ac:dyDescent="0.2">
      <c r="A184" s="99">
        <v>17</v>
      </c>
      <c r="B184" s="30">
        <v>563</v>
      </c>
      <c r="C184" s="47" t="s">
        <v>498</v>
      </c>
      <c r="D184" s="64">
        <v>22314.974469999997</v>
      </c>
      <c r="E184" s="64">
        <v>1804.73811</v>
      </c>
      <c r="F184" s="64">
        <v>1173.61797</v>
      </c>
      <c r="G184" s="205">
        <v>25293</v>
      </c>
      <c r="H184" s="205"/>
      <c r="I184" s="64">
        <v>22052</v>
      </c>
      <c r="J184" s="64">
        <v>1847</v>
      </c>
      <c r="K184" s="64">
        <v>1022</v>
      </c>
      <c r="L184" s="205">
        <v>24921</v>
      </c>
      <c r="M184" s="205"/>
      <c r="N184" s="64">
        <v>21436</v>
      </c>
      <c r="O184" s="64">
        <v>1901</v>
      </c>
      <c r="P184" s="64">
        <v>1279</v>
      </c>
      <c r="Q184" s="205">
        <v>24616</v>
      </c>
      <c r="R184" s="205"/>
      <c r="S184" s="64">
        <v>21172</v>
      </c>
      <c r="T184" s="64">
        <v>2031</v>
      </c>
      <c r="U184" s="64">
        <v>1128</v>
      </c>
      <c r="V184" s="205">
        <v>24331</v>
      </c>
      <c r="W184" s="205"/>
      <c r="X184" s="64">
        <v>21940</v>
      </c>
      <c r="Y184" s="64">
        <v>2143</v>
      </c>
      <c r="Z184" s="64">
        <v>1415</v>
      </c>
      <c r="AA184" s="205">
        <f t="shared" si="87"/>
        <v>25498</v>
      </c>
      <c r="AB184" s="205"/>
      <c r="AC184" s="64">
        <v>22532</v>
      </c>
      <c r="AD184" s="64">
        <v>1932</v>
      </c>
      <c r="AE184" s="64">
        <v>1767</v>
      </c>
      <c r="AF184" s="205">
        <f t="shared" si="64"/>
        <v>26231</v>
      </c>
      <c r="AG184" s="205"/>
      <c r="AH184" s="278">
        <v>22810.116300000002</v>
      </c>
      <c r="AI184" s="64">
        <v>2101.2929100000001</v>
      </c>
      <c r="AJ184" s="64">
        <v>2280.2081600000001</v>
      </c>
      <c r="AK184" s="205">
        <f t="shared" si="65"/>
        <v>27191.61737</v>
      </c>
      <c r="AL184" s="205"/>
      <c r="AM184" s="64">
        <v>23516.83539</v>
      </c>
      <c r="AN184" s="64">
        <v>2117.4212499999999</v>
      </c>
      <c r="AO184" s="64">
        <v>2115.8296</v>
      </c>
      <c r="AP184" s="205">
        <f t="shared" si="66"/>
        <v>27750.086240000001</v>
      </c>
      <c r="AQ184" s="205"/>
      <c r="AR184" s="64">
        <v>12499.187169999999</v>
      </c>
      <c r="AS184" s="64">
        <v>2235.4277999999999</v>
      </c>
      <c r="AT184" s="64">
        <v>1673.3515300000001</v>
      </c>
      <c r="AU184" s="205">
        <f t="shared" si="67"/>
        <v>16407.966499999999</v>
      </c>
      <c r="AV184" s="205"/>
      <c r="AW184" s="64">
        <v>12503.916333483106</v>
      </c>
      <c r="AX184" s="64">
        <v>2486.6406075365312</v>
      </c>
      <c r="AY184" s="64">
        <v>1582.1435285491266</v>
      </c>
      <c r="AZ184" s="205">
        <f t="shared" si="68"/>
        <v>16572.700469568765</v>
      </c>
      <c r="BA184" s="205"/>
      <c r="BB184" s="64">
        <v>13116.519398890341</v>
      </c>
      <c r="BC184" s="64">
        <v>2520.0668236258693</v>
      </c>
      <c r="BD184" s="64">
        <v>1601.1292508917159</v>
      </c>
      <c r="BE184" s="205">
        <f t="shared" si="63"/>
        <v>17237.715473407927</v>
      </c>
      <c r="BF184" s="205"/>
      <c r="BG184" s="64">
        <v>13600.931711385527</v>
      </c>
      <c r="BH184" s="64">
        <v>2573.7101082732806</v>
      </c>
      <c r="BI184" s="64">
        <v>1678.8803042947018</v>
      </c>
      <c r="BJ184" s="205">
        <f t="shared" si="69"/>
        <v>17853.522123953509</v>
      </c>
      <c r="BK184" s="205"/>
      <c r="BL184" s="64">
        <v>13927.461248526501</v>
      </c>
      <c r="BM184" s="64">
        <v>2633.8552412016552</v>
      </c>
      <c r="BN184" s="64">
        <v>1779.2334081055321</v>
      </c>
      <c r="BO184" s="205">
        <f t="shared" si="70"/>
        <v>18340.549897833687</v>
      </c>
      <c r="BQ184" s="64">
        <v>14310.210698330569</v>
      </c>
      <c r="BR184" s="64">
        <v>2694.1960058911845</v>
      </c>
      <c r="BS184" s="64">
        <v>1841.6150672311833</v>
      </c>
      <c r="BT184" s="205">
        <f t="shared" si="71"/>
        <v>18846.021771452935</v>
      </c>
      <c r="BU184" s="205"/>
      <c r="BV184" s="5">
        <f t="shared" si="72"/>
        <v>25498</v>
      </c>
      <c r="BW184" s="5">
        <f t="shared" si="73"/>
        <v>26231</v>
      </c>
      <c r="BX184" s="5">
        <f t="shared" si="74"/>
        <v>27191.61737</v>
      </c>
      <c r="BY184" s="5">
        <f t="shared" si="75"/>
        <v>27750.086240000001</v>
      </c>
      <c r="BZ184" s="5">
        <f t="shared" si="76"/>
        <v>16407.966499999999</v>
      </c>
      <c r="CA184" s="5">
        <f t="shared" si="77"/>
        <v>16572.700469568765</v>
      </c>
      <c r="CB184" s="5">
        <f t="shared" si="78"/>
        <v>17237.715473407927</v>
      </c>
      <c r="CC184" s="5">
        <f t="shared" si="79"/>
        <v>17853.522123953509</v>
      </c>
      <c r="CD184" s="5">
        <f t="shared" si="80"/>
        <v>18340.549897833687</v>
      </c>
      <c r="CE184" s="5">
        <f t="shared" si="88"/>
        <v>18846.021771452935</v>
      </c>
      <c r="CH184" s="41">
        <f>BV184/'1. Väestöennuste'!I184*1000</f>
        <v>3498.6278814489574</v>
      </c>
      <c r="CI184" s="41">
        <f>BW184/'1. Väestöennuste'!J184*1000</f>
        <v>3666.1076170510132</v>
      </c>
      <c r="CJ184" s="41">
        <f>BX184/'1. Väestöennuste'!K184*1000</f>
        <v>3828.7267488031544</v>
      </c>
      <c r="CK184" s="41">
        <f>BY184/'1. Väestöennuste'!L184*1000</f>
        <v>3950.1902120996442</v>
      </c>
      <c r="CL184" s="41">
        <f>BZ184/'1. Väestöennuste'!M184*1000</f>
        <v>2351.3852823158495</v>
      </c>
      <c r="CM184" s="41">
        <f>CA184/'1. Väestöennuste'!N184*1000</f>
        <v>2429.3023262340607</v>
      </c>
      <c r="CN184" s="41">
        <f>CB184/'1. Väestöennuste'!O184*1000</f>
        <v>2556.7658667172836</v>
      </c>
      <c r="CO184" s="41">
        <f>CC184/'1. Väestöennuste'!P184*1000</f>
        <v>2679.5020447176212</v>
      </c>
      <c r="CP184" s="41">
        <f>CD184/'1. Väestöennuste'!Q184*1000</f>
        <v>2784.778302130836</v>
      </c>
      <c r="CQ184" s="41">
        <f>CE184/'1. Väestöennuste'!R184*1000</f>
        <v>2893.6007633122886</v>
      </c>
      <c r="CR184" s="41"/>
      <c r="CU184" s="159">
        <f t="shared" si="81"/>
        <v>167.47973560205583</v>
      </c>
      <c r="CV184" s="159">
        <f t="shared" si="82"/>
        <v>162.61913175214113</v>
      </c>
      <c r="CW184" s="159">
        <f t="shared" si="83"/>
        <v>121.46346329648986</v>
      </c>
      <c r="CX184" s="159">
        <f t="shared" si="84"/>
        <v>-1598.8049297837947</v>
      </c>
      <c r="CY184" s="159">
        <f t="shared" si="85"/>
        <v>77.91704391821122</v>
      </c>
      <c r="CZ184" s="159">
        <f t="shared" si="86"/>
        <v>127.46354048322291</v>
      </c>
      <c r="DA184" s="159">
        <f t="shared" si="89"/>
        <v>122.73617800033753</v>
      </c>
      <c r="DB184" s="159">
        <f t="shared" si="90"/>
        <v>105.27625741321481</v>
      </c>
      <c r="DC184" s="159">
        <f t="shared" si="90"/>
        <v>108.82246118145258</v>
      </c>
    </row>
    <row r="185" spans="1:107" x14ac:dyDescent="0.2">
      <c r="A185" s="99">
        <v>17</v>
      </c>
      <c r="B185" s="30">
        <v>564</v>
      </c>
      <c r="C185" s="47" t="s">
        <v>499</v>
      </c>
      <c r="D185" s="64">
        <v>653417.77914999996</v>
      </c>
      <c r="E185" s="64">
        <v>43607.176329999995</v>
      </c>
      <c r="F185" s="64">
        <v>37295.478439999999</v>
      </c>
      <c r="G185" s="205">
        <v>734160</v>
      </c>
      <c r="H185" s="205"/>
      <c r="I185" s="64">
        <v>664334</v>
      </c>
      <c r="J185" s="64">
        <v>45522</v>
      </c>
      <c r="K185" s="64">
        <v>33793</v>
      </c>
      <c r="L185" s="205">
        <v>743649</v>
      </c>
      <c r="M185" s="205"/>
      <c r="N185" s="64">
        <v>665862</v>
      </c>
      <c r="O185" s="64">
        <v>56086</v>
      </c>
      <c r="P185" s="64">
        <v>42612</v>
      </c>
      <c r="Q185" s="205">
        <v>764560</v>
      </c>
      <c r="R185" s="205"/>
      <c r="S185" s="64">
        <v>665006</v>
      </c>
      <c r="T185" s="64">
        <v>56717</v>
      </c>
      <c r="U185" s="64">
        <v>45173</v>
      </c>
      <c r="V185" s="205">
        <v>766896</v>
      </c>
      <c r="W185" s="205"/>
      <c r="X185" s="64">
        <v>694362</v>
      </c>
      <c r="Y185" s="64">
        <v>57209</v>
      </c>
      <c r="Z185" s="64">
        <v>45324</v>
      </c>
      <c r="AA185" s="205">
        <f t="shared" si="87"/>
        <v>796895</v>
      </c>
      <c r="AB185" s="205"/>
      <c r="AC185" s="64">
        <v>724511</v>
      </c>
      <c r="AD185" s="64">
        <v>54077</v>
      </c>
      <c r="AE185" s="64">
        <v>45547</v>
      </c>
      <c r="AF185" s="205">
        <f t="shared" si="64"/>
        <v>824135</v>
      </c>
      <c r="AG185" s="205"/>
      <c r="AH185" s="278">
        <v>770557.14072999998</v>
      </c>
      <c r="AI185" s="64">
        <v>60189.033100000001</v>
      </c>
      <c r="AJ185" s="64">
        <v>68130.945659999998</v>
      </c>
      <c r="AK185" s="205">
        <f t="shared" si="65"/>
        <v>898877.11948999995</v>
      </c>
      <c r="AL185" s="205"/>
      <c r="AM185" s="64">
        <v>814986.32671000005</v>
      </c>
      <c r="AN185" s="64">
        <v>64552.474390000003</v>
      </c>
      <c r="AO185" s="64">
        <v>75372.36765</v>
      </c>
      <c r="AP185" s="205">
        <f t="shared" si="66"/>
        <v>954911.16875000007</v>
      </c>
      <c r="AQ185" s="205"/>
      <c r="AR185" s="64">
        <v>404010.11468</v>
      </c>
      <c r="AS185" s="64">
        <v>68247.571089999998</v>
      </c>
      <c r="AT185" s="64">
        <v>52067.903659999996</v>
      </c>
      <c r="AU185" s="205">
        <f t="shared" si="67"/>
        <v>524325.58942999993</v>
      </c>
      <c r="AV185" s="205"/>
      <c r="AW185" s="64">
        <v>381466.61519857903</v>
      </c>
      <c r="AX185" s="64">
        <v>75504.472324915201</v>
      </c>
      <c r="AY185" s="64">
        <v>42045.30981923372</v>
      </c>
      <c r="AZ185" s="205">
        <f t="shared" si="68"/>
        <v>499016.39734272799</v>
      </c>
      <c r="BA185" s="205"/>
      <c r="BB185" s="64">
        <v>405833.96244802506</v>
      </c>
      <c r="BC185" s="64">
        <v>78651.878904347745</v>
      </c>
      <c r="BD185" s="64">
        <v>42549.853537064519</v>
      </c>
      <c r="BE185" s="205">
        <f t="shared" si="63"/>
        <v>527035.69488943729</v>
      </c>
      <c r="BF185" s="205"/>
      <c r="BG185" s="64">
        <v>428612.74236285168</v>
      </c>
      <c r="BH185" s="64">
        <v>82628.268134983562</v>
      </c>
      <c r="BI185" s="64">
        <v>44616.080191038294</v>
      </c>
      <c r="BJ185" s="205">
        <f t="shared" si="69"/>
        <v>555857.09068887355</v>
      </c>
      <c r="BK185" s="205"/>
      <c r="BL185" s="64">
        <v>448459.13910335163</v>
      </c>
      <c r="BM185" s="64">
        <v>87050.002802722622</v>
      </c>
      <c r="BN185" s="64">
        <v>47282.954128143974</v>
      </c>
      <c r="BO185" s="205">
        <f t="shared" si="70"/>
        <v>582792.09603421821</v>
      </c>
      <c r="BQ185" s="64">
        <v>470520.6181793026</v>
      </c>
      <c r="BR185" s="64">
        <v>91738.247380072964</v>
      </c>
      <c r="BS185" s="64">
        <v>48940.74062958805</v>
      </c>
      <c r="BT185" s="205">
        <f t="shared" si="71"/>
        <v>611199.60618896363</v>
      </c>
      <c r="BU185" s="205"/>
      <c r="BV185" s="5">
        <f t="shared" si="72"/>
        <v>796895</v>
      </c>
      <c r="BW185" s="5">
        <f t="shared" si="73"/>
        <v>824135</v>
      </c>
      <c r="BX185" s="5">
        <f t="shared" si="74"/>
        <v>898877.11948999995</v>
      </c>
      <c r="BY185" s="5">
        <f t="shared" si="75"/>
        <v>954911.16875000007</v>
      </c>
      <c r="BZ185" s="5">
        <f t="shared" si="76"/>
        <v>524325.58942999993</v>
      </c>
      <c r="CA185" s="5">
        <f t="shared" si="77"/>
        <v>499016.39734272799</v>
      </c>
      <c r="CB185" s="5">
        <f t="shared" si="78"/>
        <v>527035.69488943729</v>
      </c>
      <c r="CC185" s="5">
        <f t="shared" si="79"/>
        <v>555857.09068887355</v>
      </c>
      <c r="CD185" s="5">
        <f t="shared" si="80"/>
        <v>582792.09603421821</v>
      </c>
      <c r="CE185" s="5">
        <f t="shared" si="88"/>
        <v>611199.60618896363</v>
      </c>
      <c r="CH185" s="41">
        <f>BV185/'1. Väestöennuste'!I185*1000</f>
        <v>3878.04213364219</v>
      </c>
      <c r="CI185" s="41">
        <f>BW185/'1. Väestöennuste'!J185*1000</f>
        <v>3975.0490770618394</v>
      </c>
      <c r="CJ185" s="41">
        <f>BX185/'1. Väestöennuste'!K185*1000</f>
        <v>4289.5386778874836</v>
      </c>
      <c r="CK185" s="41">
        <f>BY185/'1. Väestöennuste'!L185*1000</f>
        <v>4507.5297796061332</v>
      </c>
      <c r="CL185" s="41">
        <f>BZ185/'1. Väestöennuste'!M185*1000</f>
        <v>2442.8936343898654</v>
      </c>
      <c r="CM185" s="41">
        <f>CA185/'1. Väestöennuste'!N185*1000</f>
        <v>2322.1405679179506</v>
      </c>
      <c r="CN185" s="41">
        <f>CB185/'1. Väestöennuste'!O185*1000</f>
        <v>2434.3337670007863</v>
      </c>
      <c r="CO185" s="41">
        <f>CC185/'1. Väestöennuste'!P185*1000</f>
        <v>2549.5926514731514</v>
      </c>
      <c r="CP185" s="41">
        <f>CD185/'1. Väestöennuste'!Q185*1000</f>
        <v>2655.5006061723375</v>
      </c>
      <c r="CQ185" s="41">
        <f>CE185/'1. Väestöennuste'!R185*1000</f>
        <v>2767.5250566634982</v>
      </c>
      <c r="CR185" s="41"/>
      <c r="CU185" s="159">
        <f t="shared" si="81"/>
        <v>97.00694341964936</v>
      </c>
      <c r="CV185" s="159">
        <f t="shared" si="82"/>
        <v>314.48960082564417</v>
      </c>
      <c r="CW185" s="159">
        <f t="shared" si="83"/>
        <v>217.99110171864959</v>
      </c>
      <c r="CX185" s="159">
        <f t="shared" si="84"/>
        <v>-2064.6361452162678</v>
      </c>
      <c r="CY185" s="159">
        <f t="shared" si="85"/>
        <v>-120.75306647191474</v>
      </c>
      <c r="CZ185" s="159">
        <f t="shared" si="86"/>
        <v>112.19319908283569</v>
      </c>
      <c r="DA185" s="159">
        <f t="shared" si="89"/>
        <v>115.25888447236503</v>
      </c>
      <c r="DB185" s="159">
        <f t="shared" si="90"/>
        <v>105.90795469918612</v>
      </c>
      <c r="DC185" s="159">
        <f t="shared" si="90"/>
        <v>112.02445049116068</v>
      </c>
    </row>
    <row r="186" spans="1:107" x14ac:dyDescent="0.2">
      <c r="A186" s="99">
        <v>7</v>
      </c>
      <c r="B186" s="30">
        <v>576</v>
      </c>
      <c r="C186" s="47" t="s">
        <v>500</v>
      </c>
      <c r="D186" s="64">
        <v>8296.4371200000005</v>
      </c>
      <c r="E186" s="64">
        <v>1393.10465</v>
      </c>
      <c r="F186" s="64">
        <v>1184.37248</v>
      </c>
      <c r="G186" s="205">
        <v>10873</v>
      </c>
      <c r="H186" s="205"/>
      <c r="I186" s="64">
        <v>8425</v>
      </c>
      <c r="J186" s="64">
        <v>1394</v>
      </c>
      <c r="K186" s="64">
        <v>1140</v>
      </c>
      <c r="L186" s="205">
        <v>10959</v>
      </c>
      <c r="M186" s="205"/>
      <c r="N186" s="64">
        <v>7978</v>
      </c>
      <c r="O186" s="64">
        <v>1465</v>
      </c>
      <c r="P186" s="64">
        <v>1271</v>
      </c>
      <c r="Q186" s="205">
        <v>10714</v>
      </c>
      <c r="R186" s="205"/>
      <c r="S186" s="64">
        <v>8126</v>
      </c>
      <c r="T186" s="64">
        <v>1466</v>
      </c>
      <c r="U186" s="64">
        <v>1172</v>
      </c>
      <c r="V186" s="205">
        <v>10764</v>
      </c>
      <c r="W186" s="205"/>
      <c r="X186" s="64">
        <v>7635</v>
      </c>
      <c r="Y186" s="64">
        <v>1463</v>
      </c>
      <c r="Z186" s="64">
        <v>1216</v>
      </c>
      <c r="AA186" s="205">
        <f t="shared" si="87"/>
        <v>10314</v>
      </c>
      <c r="AB186" s="205"/>
      <c r="AC186" s="64">
        <v>8096</v>
      </c>
      <c r="AD186" s="64">
        <v>1327</v>
      </c>
      <c r="AE186" s="64">
        <v>1313</v>
      </c>
      <c r="AF186" s="205">
        <f t="shared" si="64"/>
        <v>10736</v>
      </c>
      <c r="AG186" s="205"/>
      <c r="AH186" s="278">
        <v>8245.6587500000005</v>
      </c>
      <c r="AI186" s="64">
        <v>1484.0049899999999</v>
      </c>
      <c r="AJ186" s="64">
        <v>1849.0129399999998</v>
      </c>
      <c r="AK186" s="205">
        <f t="shared" si="65"/>
        <v>11578.67668</v>
      </c>
      <c r="AL186" s="205"/>
      <c r="AM186" s="64">
        <v>8386.2596400000002</v>
      </c>
      <c r="AN186" s="64">
        <v>1549.2963400000001</v>
      </c>
      <c r="AO186" s="64">
        <v>1745.0408500000001</v>
      </c>
      <c r="AP186" s="205">
        <f t="shared" si="66"/>
        <v>11680.59683</v>
      </c>
      <c r="AQ186" s="205"/>
      <c r="AR186" s="64">
        <v>3674.57519</v>
      </c>
      <c r="AS186" s="64">
        <v>1590.32367</v>
      </c>
      <c r="AT186" s="64">
        <v>993.56795999999997</v>
      </c>
      <c r="AU186" s="205">
        <f t="shared" si="67"/>
        <v>6258.4668200000006</v>
      </c>
      <c r="AV186" s="205"/>
      <c r="AW186" s="64">
        <v>3789.3033194322988</v>
      </c>
      <c r="AX186" s="64">
        <v>1758.8673232339152</v>
      </c>
      <c r="AY186" s="64">
        <v>789.57157297088054</v>
      </c>
      <c r="AZ186" s="205">
        <f t="shared" si="68"/>
        <v>6337.7422156370949</v>
      </c>
      <c r="BA186" s="205"/>
      <c r="BB186" s="64">
        <v>3927.1349058216638</v>
      </c>
      <c r="BC186" s="64">
        <v>1767.1503453700418</v>
      </c>
      <c r="BD186" s="64">
        <v>799.04643184653105</v>
      </c>
      <c r="BE186" s="205">
        <f t="shared" si="63"/>
        <v>6493.3316830382364</v>
      </c>
      <c r="BF186" s="205"/>
      <c r="BG186" s="64">
        <v>4008.9602847948649</v>
      </c>
      <c r="BH186" s="64">
        <v>1789.0600037809859</v>
      </c>
      <c r="BI186" s="64">
        <v>837.84823486110008</v>
      </c>
      <c r="BJ186" s="205">
        <f t="shared" si="69"/>
        <v>6635.8685234369514</v>
      </c>
      <c r="BK186" s="205"/>
      <c r="BL186" s="64">
        <v>4091.1515953812236</v>
      </c>
      <c r="BM186" s="64">
        <v>1814.7764360127162</v>
      </c>
      <c r="BN186" s="64">
        <v>887.92963177525303</v>
      </c>
      <c r="BO186" s="205">
        <f t="shared" si="70"/>
        <v>6793.8576631691931</v>
      </c>
      <c r="BQ186" s="64">
        <v>4197.637269553029</v>
      </c>
      <c r="BR186" s="64">
        <v>1839.8743533246118</v>
      </c>
      <c r="BS186" s="64">
        <v>919.06131093810495</v>
      </c>
      <c r="BT186" s="205">
        <f t="shared" si="71"/>
        <v>6956.5729338157453</v>
      </c>
      <c r="BU186" s="205"/>
      <c r="BV186" s="5">
        <f t="shared" si="72"/>
        <v>10314</v>
      </c>
      <c r="BW186" s="5">
        <f t="shared" si="73"/>
        <v>10736</v>
      </c>
      <c r="BX186" s="5">
        <f t="shared" si="74"/>
        <v>11578.67668</v>
      </c>
      <c r="BY186" s="5">
        <f t="shared" si="75"/>
        <v>11680.59683</v>
      </c>
      <c r="BZ186" s="5">
        <f t="shared" si="76"/>
        <v>6258.4668200000006</v>
      </c>
      <c r="CA186" s="5">
        <f t="shared" si="77"/>
        <v>6337.7422156370949</v>
      </c>
      <c r="CB186" s="5">
        <f t="shared" si="78"/>
        <v>6493.3316830382364</v>
      </c>
      <c r="CC186" s="5">
        <f t="shared" si="79"/>
        <v>6635.8685234369514</v>
      </c>
      <c r="CD186" s="5">
        <f t="shared" si="80"/>
        <v>6793.8576631691931</v>
      </c>
      <c r="CE186" s="5">
        <f t="shared" si="88"/>
        <v>6956.5729338157453</v>
      </c>
      <c r="CH186" s="41">
        <f>BV186/'1. Väestöennuste'!I186*1000</f>
        <v>3561.46408839779</v>
      </c>
      <c r="CI186" s="41">
        <f>BW186/'1. Väestöennuste'!J186*1000</f>
        <v>3752.5340789933589</v>
      </c>
      <c r="CJ186" s="41">
        <f>BX186/'1. Väestöennuste'!K186*1000</f>
        <v>4116.131062922148</v>
      </c>
      <c r="CK186" s="41">
        <f>BY186/'1. Väestöennuste'!L186*1000</f>
        <v>4247.4897563636368</v>
      </c>
      <c r="CL186" s="41">
        <f>BZ186/'1. Väestöennuste'!M186*1000</f>
        <v>2295.8425605282468</v>
      </c>
      <c r="CM186" s="41">
        <f>CA186/'1. Väestöennuste'!N186*1000</f>
        <v>2364.8291849392144</v>
      </c>
      <c r="CN186" s="41">
        <f>CB186/'1. Väestöennuste'!O186*1000</f>
        <v>2457.7334152302183</v>
      </c>
      <c r="CO186" s="41">
        <f>CC186/'1. Väestöennuste'!P186*1000</f>
        <v>2546.380860873734</v>
      </c>
      <c r="CP186" s="41">
        <f>CD186/'1. Väestöennuste'!Q186*1000</f>
        <v>2641.4687648402769</v>
      </c>
      <c r="CQ186" s="41">
        <f>CE186/'1. Väestöennuste'!R186*1000</f>
        <v>2739.8869373043503</v>
      </c>
      <c r="CR186" s="41"/>
      <c r="CU186" s="159">
        <f t="shared" si="81"/>
        <v>191.06999059556892</v>
      </c>
      <c r="CV186" s="159">
        <f t="shared" si="82"/>
        <v>363.59698392878909</v>
      </c>
      <c r="CW186" s="159">
        <f t="shared" si="83"/>
        <v>131.35869344148887</v>
      </c>
      <c r="CX186" s="159">
        <f t="shared" si="84"/>
        <v>-1951.64719583539</v>
      </c>
      <c r="CY186" s="159">
        <f t="shared" si="85"/>
        <v>68.986624410967579</v>
      </c>
      <c r="CZ186" s="159">
        <f t="shared" si="86"/>
        <v>92.904230291003842</v>
      </c>
      <c r="DA186" s="159">
        <f t="shared" si="89"/>
        <v>88.647445643515766</v>
      </c>
      <c r="DB186" s="159">
        <f t="shared" si="90"/>
        <v>95.087903966542854</v>
      </c>
      <c r="DC186" s="159">
        <f t="shared" si="90"/>
        <v>98.41817246407345</v>
      </c>
    </row>
    <row r="187" spans="1:107" x14ac:dyDescent="0.2">
      <c r="A187" s="99">
        <v>2</v>
      </c>
      <c r="B187" s="30">
        <v>577</v>
      </c>
      <c r="C187" s="47" t="s">
        <v>501</v>
      </c>
      <c r="D187" s="64">
        <v>37152.58354</v>
      </c>
      <c r="E187" s="64">
        <v>1963.9768000000001</v>
      </c>
      <c r="F187" s="64">
        <v>1353.51082</v>
      </c>
      <c r="G187" s="205">
        <v>40456</v>
      </c>
      <c r="H187" s="205"/>
      <c r="I187" s="64">
        <v>38973</v>
      </c>
      <c r="J187" s="64">
        <v>1810</v>
      </c>
      <c r="K187" s="64">
        <v>1307</v>
      </c>
      <c r="L187" s="205">
        <v>42090</v>
      </c>
      <c r="M187" s="205"/>
      <c r="N187" s="64">
        <v>38296</v>
      </c>
      <c r="O187" s="64">
        <v>2302</v>
      </c>
      <c r="P187" s="64">
        <v>1494</v>
      </c>
      <c r="Q187" s="205">
        <v>42092</v>
      </c>
      <c r="R187" s="205"/>
      <c r="S187" s="64">
        <v>37406</v>
      </c>
      <c r="T187" s="64">
        <v>2337</v>
      </c>
      <c r="U187" s="64">
        <v>1345</v>
      </c>
      <c r="V187" s="205">
        <v>41088</v>
      </c>
      <c r="W187" s="205"/>
      <c r="X187" s="64">
        <v>39807</v>
      </c>
      <c r="Y187" s="64">
        <v>2386</v>
      </c>
      <c r="Z187" s="64">
        <v>1302</v>
      </c>
      <c r="AA187" s="205">
        <f t="shared" si="87"/>
        <v>43495</v>
      </c>
      <c r="AB187" s="205"/>
      <c r="AC187" s="64">
        <v>40486</v>
      </c>
      <c r="AD187" s="64">
        <v>2179</v>
      </c>
      <c r="AE187" s="64">
        <v>1342</v>
      </c>
      <c r="AF187" s="205">
        <f t="shared" si="64"/>
        <v>44007</v>
      </c>
      <c r="AG187" s="205"/>
      <c r="AH187" s="278">
        <v>41347.71211</v>
      </c>
      <c r="AI187" s="64">
        <v>2402.32278</v>
      </c>
      <c r="AJ187" s="64">
        <v>1852.4982</v>
      </c>
      <c r="AK187" s="205">
        <f t="shared" si="65"/>
        <v>45602.533090000004</v>
      </c>
      <c r="AL187" s="205"/>
      <c r="AM187" s="64">
        <v>43553.411500000002</v>
      </c>
      <c r="AN187" s="64">
        <v>2509.5545200000001</v>
      </c>
      <c r="AO187" s="64">
        <v>2919.9648700000002</v>
      </c>
      <c r="AP187" s="205">
        <f t="shared" si="66"/>
        <v>48982.930890000003</v>
      </c>
      <c r="AQ187" s="205"/>
      <c r="AR187" s="64">
        <v>21881.366770000001</v>
      </c>
      <c r="AS187" s="64">
        <v>2480.6403599999999</v>
      </c>
      <c r="AT187" s="64">
        <v>2272.68788</v>
      </c>
      <c r="AU187" s="205">
        <f t="shared" si="67"/>
        <v>26634.695010000003</v>
      </c>
      <c r="AV187" s="205"/>
      <c r="AW187" s="64">
        <v>20977.175570643754</v>
      </c>
      <c r="AX187" s="64">
        <v>2676.8095450271326</v>
      </c>
      <c r="AY187" s="64">
        <v>1209.2089095218826</v>
      </c>
      <c r="AZ187" s="205">
        <f t="shared" si="68"/>
        <v>24863.19402519277</v>
      </c>
      <c r="BA187" s="205"/>
      <c r="BB187" s="64">
        <v>22420.803395868483</v>
      </c>
      <c r="BC187" s="64">
        <v>2685.7006866924753</v>
      </c>
      <c r="BD187" s="64">
        <v>1223.7194164361451</v>
      </c>
      <c r="BE187" s="205">
        <f t="shared" si="63"/>
        <v>26330.223498997104</v>
      </c>
      <c r="BF187" s="205"/>
      <c r="BG187" s="64">
        <v>23673.517561438544</v>
      </c>
      <c r="BH187" s="64">
        <v>2715.3064652084367</v>
      </c>
      <c r="BI187" s="64">
        <v>1283.1433971326492</v>
      </c>
      <c r="BJ187" s="205">
        <f t="shared" si="69"/>
        <v>27671.967423779628</v>
      </c>
      <c r="BK187" s="205"/>
      <c r="BL187" s="64">
        <v>24709.455563160667</v>
      </c>
      <c r="BM187" s="64">
        <v>2750.6536025949144</v>
      </c>
      <c r="BN187" s="64">
        <v>1359.8417908223228</v>
      </c>
      <c r="BO187" s="205">
        <f t="shared" si="70"/>
        <v>28819.950956577904</v>
      </c>
      <c r="BQ187" s="64">
        <v>25851.758238989129</v>
      </c>
      <c r="BR187" s="64">
        <v>2785.015887012757</v>
      </c>
      <c r="BS187" s="64">
        <v>1407.5191706834714</v>
      </c>
      <c r="BT187" s="205">
        <f t="shared" si="71"/>
        <v>30044.293296685355</v>
      </c>
      <c r="BU187" s="205"/>
      <c r="BV187" s="5">
        <f t="shared" si="72"/>
        <v>43495</v>
      </c>
      <c r="BW187" s="5">
        <f t="shared" si="73"/>
        <v>44007</v>
      </c>
      <c r="BX187" s="5">
        <f t="shared" si="74"/>
        <v>45602.533090000004</v>
      </c>
      <c r="BY187" s="5">
        <f t="shared" si="75"/>
        <v>48982.930890000003</v>
      </c>
      <c r="BZ187" s="5">
        <f t="shared" si="76"/>
        <v>26634.695010000003</v>
      </c>
      <c r="CA187" s="5">
        <f t="shared" si="77"/>
        <v>24863.19402519277</v>
      </c>
      <c r="CB187" s="5">
        <f t="shared" si="78"/>
        <v>26330.223498997104</v>
      </c>
      <c r="CC187" s="5">
        <f t="shared" si="79"/>
        <v>27671.967423779628</v>
      </c>
      <c r="CD187" s="5">
        <f t="shared" si="80"/>
        <v>28819.950956577904</v>
      </c>
      <c r="CE187" s="5">
        <f t="shared" si="88"/>
        <v>30044.293296685355</v>
      </c>
      <c r="CH187" s="41">
        <f>BV187/'1. Väestöennuste'!I187*1000</f>
        <v>4008.7557603686637</v>
      </c>
      <c r="CI187" s="41">
        <f>BW187/'1. Väestöennuste'!J187*1000</f>
        <v>4029.2071049258375</v>
      </c>
      <c r="CJ187" s="41">
        <f>BX187/'1. Väestöennuste'!K187*1000</f>
        <v>4130.2901086858074</v>
      </c>
      <c r="CK187" s="41">
        <f>BY187/'1. Väestöennuste'!L187*1000</f>
        <v>4397.8210531513741</v>
      </c>
      <c r="CL187" s="41">
        <f>BZ187/'1. Väestöennuste'!M187*1000</f>
        <v>2370.4783739765044</v>
      </c>
      <c r="CM187" s="41">
        <f>CA187/'1. Väestöennuste'!N187*1000</f>
        <v>2235.2956958727655</v>
      </c>
      <c r="CN187" s="41">
        <f>CB187/'1. Väestöennuste'!O187*1000</f>
        <v>2356.5938869593756</v>
      </c>
      <c r="CO187" s="41">
        <f>CC187/'1. Väestöennuste'!P187*1000</f>
        <v>2466.3072570213571</v>
      </c>
      <c r="CP187" s="41">
        <f>CD187/'1. Väestöennuste'!Q187*1000</f>
        <v>2558.8165636666877</v>
      </c>
      <c r="CQ187" s="41">
        <f>CE187/'1. Väestöennuste'!R187*1000</f>
        <v>2658.7870174057839</v>
      </c>
      <c r="CR187" s="41"/>
      <c r="CU187" s="159">
        <f t="shared" si="81"/>
        <v>20.451344557173798</v>
      </c>
      <c r="CV187" s="159">
        <f t="shared" si="82"/>
        <v>101.08300375996987</v>
      </c>
      <c r="CW187" s="159">
        <f t="shared" si="83"/>
        <v>267.53094446556679</v>
      </c>
      <c r="CX187" s="159">
        <f t="shared" si="84"/>
        <v>-2027.3426791748698</v>
      </c>
      <c r="CY187" s="159">
        <f t="shared" si="85"/>
        <v>-135.18267810373891</v>
      </c>
      <c r="CZ187" s="159">
        <f t="shared" si="86"/>
        <v>121.29819108661013</v>
      </c>
      <c r="DA187" s="159">
        <f t="shared" si="89"/>
        <v>109.71337006198155</v>
      </c>
      <c r="DB187" s="159">
        <f t="shared" si="90"/>
        <v>92.509306645330525</v>
      </c>
      <c r="DC187" s="159">
        <f t="shared" si="90"/>
        <v>99.970453739096229</v>
      </c>
    </row>
    <row r="188" spans="1:107" x14ac:dyDescent="0.2">
      <c r="A188" s="99">
        <v>18</v>
      </c>
      <c r="B188" s="32">
        <v>578</v>
      </c>
      <c r="C188" s="47" t="s">
        <v>502</v>
      </c>
      <c r="D188" s="64">
        <v>9506.7463599999992</v>
      </c>
      <c r="E188" s="64">
        <v>1257.3054399999999</v>
      </c>
      <c r="F188" s="64">
        <v>685.31260999999995</v>
      </c>
      <c r="G188" s="205">
        <v>11449</v>
      </c>
      <c r="H188" s="205"/>
      <c r="I188" s="64">
        <v>9257</v>
      </c>
      <c r="J188" s="64">
        <v>1274</v>
      </c>
      <c r="K188" s="64">
        <v>622</v>
      </c>
      <c r="L188" s="205">
        <v>11153</v>
      </c>
      <c r="M188" s="205"/>
      <c r="N188" s="64">
        <v>9356</v>
      </c>
      <c r="O188" s="64">
        <v>1288</v>
      </c>
      <c r="P188" s="64">
        <v>673</v>
      </c>
      <c r="Q188" s="205">
        <v>11317</v>
      </c>
      <c r="R188" s="205"/>
      <c r="S188" s="64">
        <v>8812</v>
      </c>
      <c r="T188" s="64">
        <v>1278</v>
      </c>
      <c r="U188" s="64">
        <v>598</v>
      </c>
      <c r="V188" s="205">
        <v>10688</v>
      </c>
      <c r="W188" s="205"/>
      <c r="X188" s="64">
        <v>9333</v>
      </c>
      <c r="Y188" s="64">
        <v>1290</v>
      </c>
      <c r="Z188" s="64">
        <v>623</v>
      </c>
      <c r="AA188" s="205">
        <f t="shared" si="87"/>
        <v>11246</v>
      </c>
      <c r="AB188" s="205"/>
      <c r="AC188" s="64">
        <v>9417</v>
      </c>
      <c r="AD188" s="64">
        <v>1186</v>
      </c>
      <c r="AE188" s="64">
        <v>699</v>
      </c>
      <c r="AF188" s="205">
        <f t="shared" si="64"/>
        <v>11302</v>
      </c>
      <c r="AG188" s="205"/>
      <c r="AH188" s="278">
        <v>9490.6632499999996</v>
      </c>
      <c r="AI188" s="64">
        <v>1308.2751499999999</v>
      </c>
      <c r="AJ188" s="64">
        <v>1037.56168</v>
      </c>
      <c r="AK188" s="205">
        <f t="shared" si="65"/>
        <v>11836.50008</v>
      </c>
      <c r="AL188" s="205"/>
      <c r="AM188" s="64">
        <v>10255.622369999999</v>
      </c>
      <c r="AN188" s="64">
        <v>1361.21504</v>
      </c>
      <c r="AO188" s="64">
        <v>1025.0577599999999</v>
      </c>
      <c r="AP188" s="205">
        <f t="shared" si="66"/>
        <v>12641.89517</v>
      </c>
      <c r="AQ188" s="205"/>
      <c r="AR188" s="64">
        <v>4897.1123099999995</v>
      </c>
      <c r="AS188" s="64">
        <v>1411.4463400000002</v>
      </c>
      <c r="AT188" s="64">
        <v>567.95799999999997</v>
      </c>
      <c r="AU188" s="205">
        <f t="shared" si="67"/>
        <v>6876.5166499999996</v>
      </c>
      <c r="AV188" s="205"/>
      <c r="AW188" s="64">
        <v>4838.9007597223717</v>
      </c>
      <c r="AX188" s="64">
        <v>1467.006339061935</v>
      </c>
      <c r="AY188" s="64">
        <v>417.62555104144877</v>
      </c>
      <c r="AZ188" s="205">
        <f t="shared" si="68"/>
        <v>6723.5326498257555</v>
      </c>
      <c r="BA188" s="205"/>
      <c r="BB188" s="64">
        <v>5088.2183368059104</v>
      </c>
      <c r="BC188" s="64">
        <v>1491.631126184536</v>
      </c>
      <c r="BD188" s="64">
        <v>422.63705765394616</v>
      </c>
      <c r="BE188" s="205">
        <f t="shared" si="63"/>
        <v>7002.4865206443919</v>
      </c>
      <c r="BF188" s="205"/>
      <c r="BG188" s="64">
        <v>5241.2085931109359</v>
      </c>
      <c r="BH188" s="64">
        <v>1529.3814967163933</v>
      </c>
      <c r="BI188" s="64">
        <v>443.1603704479831</v>
      </c>
      <c r="BJ188" s="205">
        <f t="shared" si="69"/>
        <v>7213.7504602753124</v>
      </c>
      <c r="BK188" s="205"/>
      <c r="BL188" s="64">
        <v>5370.7834682128714</v>
      </c>
      <c r="BM188" s="64">
        <v>1572.35306884186</v>
      </c>
      <c r="BN188" s="64">
        <v>469.64976254261217</v>
      </c>
      <c r="BO188" s="205">
        <f t="shared" si="70"/>
        <v>7412.7862995973437</v>
      </c>
      <c r="BQ188" s="64">
        <v>5524.7509202089032</v>
      </c>
      <c r="BR188" s="64">
        <v>1616.976284739671</v>
      </c>
      <c r="BS188" s="64">
        <v>486.11614141224641</v>
      </c>
      <c r="BT188" s="205">
        <f t="shared" si="71"/>
        <v>7627.8433463608208</v>
      </c>
      <c r="BU188" s="205"/>
      <c r="BV188" s="5">
        <f t="shared" si="72"/>
        <v>11246</v>
      </c>
      <c r="BW188" s="5">
        <f t="shared" si="73"/>
        <v>11302</v>
      </c>
      <c r="BX188" s="5">
        <f t="shared" si="74"/>
        <v>11836.50008</v>
      </c>
      <c r="BY188" s="5">
        <f t="shared" si="75"/>
        <v>12641.89517</v>
      </c>
      <c r="BZ188" s="5">
        <f t="shared" si="76"/>
        <v>6876.5166499999996</v>
      </c>
      <c r="CA188" s="5">
        <f t="shared" si="77"/>
        <v>6723.5326498257555</v>
      </c>
      <c r="CB188" s="5">
        <f t="shared" si="78"/>
        <v>7002.4865206443919</v>
      </c>
      <c r="CC188" s="5">
        <f t="shared" si="79"/>
        <v>7213.7504602753124</v>
      </c>
      <c r="CD188" s="5">
        <f t="shared" si="80"/>
        <v>7412.7862995973437</v>
      </c>
      <c r="CE188" s="5">
        <f t="shared" si="88"/>
        <v>7627.8433463608208</v>
      </c>
      <c r="CH188" s="41">
        <f>BV188/'1. Väestöennuste'!I188*1000</f>
        <v>3435.9914451573477</v>
      </c>
      <c r="CI188" s="41">
        <f>BW188/'1. Väestöennuste'!J188*1000</f>
        <v>3493.663060278207</v>
      </c>
      <c r="CJ188" s="41">
        <f>BX188/'1. Väestöennuste'!K188*1000</f>
        <v>3718.6616650958217</v>
      </c>
      <c r="CK188" s="41">
        <f>BY188/'1. Väestöennuste'!L188*1000</f>
        <v>4078.0307000000003</v>
      </c>
      <c r="CL188" s="41">
        <f>BZ188/'1. Väestöennuste'!M188*1000</f>
        <v>2264.2465097135332</v>
      </c>
      <c r="CM188" s="41">
        <f>CA188/'1. Väestöennuste'!N188*1000</f>
        <v>2202.9923492220692</v>
      </c>
      <c r="CN188" s="41">
        <f>CB188/'1. Väestöennuste'!O188*1000</f>
        <v>2324.8627226575004</v>
      </c>
      <c r="CO188" s="41">
        <f>CC188/'1. Väestöennuste'!P188*1000</f>
        <v>2425.6054002270721</v>
      </c>
      <c r="CP188" s="41">
        <f>CD188/'1. Väestöennuste'!Q188*1000</f>
        <v>2523.0722599037931</v>
      </c>
      <c r="CQ188" s="41">
        <f>CE188/'1. Väestöennuste'!R188*1000</f>
        <v>2627.5726305066555</v>
      </c>
      <c r="CR188" s="41"/>
      <c r="CU188" s="159">
        <f t="shared" si="81"/>
        <v>57.671615120859315</v>
      </c>
      <c r="CV188" s="159">
        <f t="shared" si="82"/>
        <v>224.99860481761471</v>
      </c>
      <c r="CW188" s="159">
        <f t="shared" si="83"/>
        <v>359.36903490417853</v>
      </c>
      <c r="CX188" s="159">
        <f t="shared" si="84"/>
        <v>-1813.784190286467</v>
      </c>
      <c r="CY188" s="159">
        <f t="shared" si="85"/>
        <v>-61.254160491464063</v>
      </c>
      <c r="CZ188" s="159">
        <f t="shared" si="86"/>
        <v>121.87037343543125</v>
      </c>
      <c r="DA188" s="159">
        <f t="shared" si="89"/>
        <v>100.7426775695717</v>
      </c>
      <c r="DB188" s="159">
        <f t="shared" si="90"/>
        <v>97.466859676721015</v>
      </c>
      <c r="DC188" s="159">
        <f t="shared" si="90"/>
        <v>104.5003706028624</v>
      </c>
    </row>
    <row r="189" spans="1:107" x14ac:dyDescent="0.2">
      <c r="A189" s="99">
        <v>9</v>
      </c>
      <c r="B189" s="30">
        <v>580</v>
      </c>
      <c r="C189" s="47" t="s">
        <v>503</v>
      </c>
      <c r="D189" s="64">
        <v>13447.526310000001</v>
      </c>
      <c r="E189" s="64">
        <v>1362.3481100000001</v>
      </c>
      <c r="F189" s="64">
        <v>1252.18103</v>
      </c>
      <c r="G189" s="205">
        <v>16059</v>
      </c>
      <c r="H189" s="205"/>
      <c r="I189" s="64">
        <v>12990</v>
      </c>
      <c r="J189" s="64">
        <v>1381</v>
      </c>
      <c r="K189" s="64">
        <v>1418</v>
      </c>
      <c r="L189" s="205">
        <v>15788</v>
      </c>
      <c r="M189" s="205"/>
      <c r="N189" s="64">
        <v>12734</v>
      </c>
      <c r="O189" s="64">
        <v>1332</v>
      </c>
      <c r="P189" s="64">
        <v>1748</v>
      </c>
      <c r="Q189" s="205">
        <v>15814</v>
      </c>
      <c r="R189" s="205"/>
      <c r="S189" s="64">
        <v>12085</v>
      </c>
      <c r="T189" s="64">
        <v>1322</v>
      </c>
      <c r="U189" s="64">
        <v>1439</v>
      </c>
      <c r="V189" s="205">
        <v>14846</v>
      </c>
      <c r="W189" s="205"/>
      <c r="X189" s="64">
        <v>12262</v>
      </c>
      <c r="Y189" s="64">
        <v>1334</v>
      </c>
      <c r="Z189" s="64">
        <v>1457</v>
      </c>
      <c r="AA189" s="205">
        <f t="shared" si="87"/>
        <v>15053</v>
      </c>
      <c r="AB189" s="205"/>
      <c r="AC189" s="64">
        <v>12889</v>
      </c>
      <c r="AD189" s="64">
        <v>1223</v>
      </c>
      <c r="AE189" s="64">
        <v>1545</v>
      </c>
      <c r="AF189" s="205">
        <f t="shared" si="64"/>
        <v>15657</v>
      </c>
      <c r="AG189" s="205"/>
      <c r="AH189" s="278">
        <v>13993.749470000001</v>
      </c>
      <c r="AI189" s="64">
        <v>1321.83905</v>
      </c>
      <c r="AJ189" s="64">
        <v>2135.7330899999997</v>
      </c>
      <c r="AK189" s="205">
        <f t="shared" si="65"/>
        <v>17451.321609999999</v>
      </c>
      <c r="AL189" s="205"/>
      <c r="AM189" s="64">
        <v>14236.58808</v>
      </c>
      <c r="AN189" s="64">
        <v>1373.32008</v>
      </c>
      <c r="AO189" s="64">
        <v>1938.0920000000001</v>
      </c>
      <c r="AP189" s="205">
        <f t="shared" si="66"/>
        <v>17548.00016</v>
      </c>
      <c r="AQ189" s="205"/>
      <c r="AR189" s="64">
        <v>7051.4216200000001</v>
      </c>
      <c r="AS189" s="64">
        <v>1379.0549799999999</v>
      </c>
      <c r="AT189" s="64">
        <v>1086.9561000000001</v>
      </c>
      <c r="AU189" s="205">
        <f t="shared" si="67"/>
        <v>9517.4326999999994</v>
      </c>
      <c r="AV189" s="205"/>
      <c r="AW189" s="64">
        <v>7112.8667332736013</v>
      </c>
      <c r="AX189" s="64">
        <v>1627.5104015799743</v>
      </c>
      <c r="AY189" s="64">
        <v>986.87119165047636</v>
      </c>
      <c r="AZ189" s="205">
        <f t="shared" si="68"/>
        <v>9727.2483265040519</v>
      </c>
      <c r="BA189" s="205"/>
      <c r="BB189" s="64">
        <v>7350.1202189891683</v>
      </c>
      <c r="BC189" s="64">
        <v>1639.0335365081207</v>
      </c>
      <c r="BD189" s="64">
        <v>998.71364595028206</v>
      </c>
      <c r="BE189" s="205">
        <f t="shared" si="63"/>
        <v>9987.867401447571</v>
      </c>
      <c r="BF189" s="205"/>
      <c r="BG189" s="64">
        <v>7465.6199135187135</v>
      </c>
      <c r="BH189" s="64">
        <v>1663.3461710659756</v>
      </c>
      <c r="BI189" s="64">
        <v>1047.2113159399628</v>
      </c>
      <c r="BJ189" s="205">
        <f t="shared" si="69"/>
        <v>10176.177400524652</v>
      </c>
      <c r="BK189" s="205"/>
      <c r="BL189" s="64">
        <v>7539.486591298406</v>
      </c>
      <c r="BM189" s="64">
        <v>1691.3913809621647</v>
      </c>
      <c r="BN189" s="64">
        <v>1109.8071458103643</v>
      </c>
      <c r="BO189" s="205">
        <f t="shared" si="70"/>
        <v>10340.685118070935</v>
      </c>
      <c r="BQ189" s="64">
        <v>7643.5024647699929</v>
      </c>
      <c r="BR189" s="64">
        <v>1719.0651574050235</v>
      </c>
      <c r="BS189" s="64">
        <v>1148.7180670811545</v>
      </c>
      <c r="BT189" s="205">
        <f t="shared" si="71"/>
        <v>10511.28568925617</v>
      </c>
      <c r="BU189" s="205"/>
      <c r="BV189" s="5">
        <f t="shared" si="72"/>
        <v>15053</v>
      </c>
      <c r="BW189" s="5">
        <f t="shared" si="73"/>
        <v>15657</v>
      </c>
      <c r="BX189" s="5">
        <f t="shared" si="74"/>
        <v>17451.321609999999</v>
      </c>
      <c r="BY189" s="5">
        <f t="shared" si="75"/>
        <v>17548.00016</v>
      </c>
      <c r="BZ189" s="5">
        <f t="shared" si="76"/>
        <v>9517.4326999999994</v>
      </c>
      <c r="CA189" s="5">
        <f t="shared" si="77"/>
        <v>9727.2483265040519</v>
      </c>
      <c r="CB189" s="5">
        <f t="shared" si="78"/>
        <v>9987.867401447571</v>
      </c>
      <c r="CC189" s="5">
        <f t="shared" si="79"/>
        <v>10176.177400524652</v>
      </c>
      <c r="CD189" s="5">
        <f t="shared" si="80"/>
        <v>10340.685118070935</v>
      </c>
      <c r="CE189" s="5">
        <f t="shared" si="88"/>
        <v>10511.28568925617</v>
      </c>
      <c r="CH189" s="41">
        <f>BV189/'1. Väestöennuste'!I189*1000</f>
        <v>3179.7634136037177</v>
      </c>
      <c r="CI189" s="41">
        <f>BW189/'1. Väestöennuste'!J189*1000</f>
        <v>3363.4801288936628</v>
      </c>
      <c r="CJ189" s="41">
        <f>BX189/'1. Väestöennuste'!K189*1000</f>
        <v>3821.178368732209</v>
      </c>
      <c r="CK189" s="41">
        <f>BY189/'1. Väestöennuste'!L189*1000</f>
        <v>3954.0333844073907</v>
      </c>
      <c r="CL189" s="41">
        <f>BZ189/'1. Väestöennuste'!M189*1000</f>
        <v>2179.8975492441596</v>
      </c>
      <c r="CM189" s="41">
        <f>CA189/'1. Väestöennuste'!N189*1000</f>
        <v>2264.7842436563565</v>
      </c>
      <c r="CN189" s="41">
        <f>CB189/'1. Väestöennuste'!O189*1000</f>
        <v>2367.3542075012019</v>
      </c>
      <c r="CO189" s="41">
        <f>CC189/'1. Väestöennuste'!P189*1000</f>
        <v>2455.6412646053695</v>
      </c>
      <c r="CP189" s="41">
        <f>CD189/'1. Väestöennuste'!Q189*1000</f>
        <v>2540.708874218903</v>
      </c>
      <c r="CQ189" s="41">
        <f>CE189/'1. Väestöennuste'!R189*1000</f>
        <v>2626.5081682299278</v>
      </c>
      <c r="CR189" s="41"/>
      <c r="CU189" s="159">
        <f t="shared" si="81"/>
        <v>183.71671528994511</v>
      </c>
      <c r="CV189" s="159">
        <f t="shared" si="82"/>
        <v>457.69823983854621</v>
      </c>
      <c r="CW189" s="159">
        <f t="shared" si="83"/>
        <v>132.85501567518168</v>
      </c>
      <c r="CX189" s="159">
        <f t="shared" si="84"/>
        <v>-1774.1358351632311</v>
      </c>
      <c r="CY189" s="159">
        <f t="shared" si="85"/>
        <v>84.886694412196903</v>
      </c>
      <c r="CZ189" s="159">
        <f t="shared" si="86"/>
        <v>102.56996384484546</v>
      </c>
      <c r="DA189" s="159">
        <f t="shared" si="89"/>
        <v>88.287057104167616</v>
      </c>
      <c r="DB189" s="159">
        <f t="shared" si="90"/>
        <v>85.067609613533477</v>
      </c>
      <c r="DC189" s="159">
        <f t="shared" si="90"/>
        <v>85.799294011024813</v>
      </c>
    </row>
    <row r="190" spans="1:107" x14ac:dyDescent="0.2">
      <c r="A190" s="99">
        <v>6</v>
      </c>
      <c r="B190" s="30">
        <v>581</v>
      </c>
      <c r="C190" s="47" t="s">
        <v>504</v>
      </c>
      <c r="D190" s="64">
        <v>18468.702789999999</v>
      </c>
      <c r="E190" s="64">
        <v>1890.6194499999999</v>
      </c>
      <c r="F190" s="64">
        <v>1865.6028799999999</v>
      </c>
      <c r="G190" s="205">
        <v>22226</v>
      </c>
      <c r="H190" s="205"/>
      <c r="I190" s="64">
        <v>18541</v>
      </c>
      <c r="J190" s="64">
        <v>1843</v>
      </c>
      <c r="K190" s="64">
        <v>1848</v>
      </c>
      <c r="L190" s="205">
        <v>22232</v>
      </c>
      <c r="M190" s="205"/>
      <c r="N190" s="64">
        <v>18014</v>
      </c>
      <c r="O190" s="64">
        <v>1868</v>
      </c>
      <c r="P190" s="64">
        <v>2181</v>
      </c>
      <c r="Q190" s="205">
        <v>22063</v>
      </c>
      <c r="R190" s="205"/>
      <c r="S190" s="64">
        <v>18261</v>
      </c>
      <c r="T190" s="64">
        <v>1902</v>
      </c>
      <c r="U190" s="64">
        <v>2013</v>
      </c>
      <c r="V190" s="205">
        <v>22176</v>
      </c>
      <c r="W190" s="205"/>
      <c r="X190" s="64">
        <v>18997</v>
      </c>
      <c r="Y190" s="64">
        <v>1956</v>
      </c>
      <c r="Z190" s="64">
        <v>2106</v>
      </c>
      <c r="AA190" s="205">
        <f t="shared" si="87"/>
        <v>23059</v>
      </c>
      <c r="AB190" s="205"/>
      <c r="AC190" s="64">
        <v>19782</v>
      </c>
      <c r="AD190" s="64">
        <v>1772</v>
      </c>
      <c r="AE190" s="64">
        <v>2249</v>
      </c>
      <c r="AF190" s="205">
        <f t="shared" si="64"/>
        <v>23803</v>
      </c>
      <c r="AG190" s="205"/>
      <c r="AH190" s="278">
        <v>19873.55949</v>
      </c>
      <c r="AI190" s="64">
        <v>1945.1432500000001</v>
      </c>
      <c r="AJ190" s="64">
        <v>3309.9308300000002</v>
      </c>
      <c r="AK190" s="205">
        <f t="shared" si="65"/>
        <v>25128.633570000002</v>
      </c>
      <c r="AL190" s="205"/>
      <c r="AM190" s="64">
        <v>20328.673879999998</v>
      </c>
      <c r="AN190" s="64">
        <v>2042.24728</v>
      </c>
      <c r="AO190" s="64">
        <v>3486.0034100000003</v>
      </c>
      <c r="AP190" s="205">
        <f t="shared" si="66"/>
        <v>25856.924569999999</v>
      </c>
      <c r="AQ190" s="205"/>
      <c r="AR190" s="64">
        <v>10446.526750000001</v>
      </c>
      <c r="AS190" s="64">
        <v>2129.5296499999999</v>
      </c>
      <c r="AT190" s="64">
        <v>2341.6450800000002</v>
      </c>
      <c r="AU190" s="205">
        <f t="shared" si="67"/>
        <v>14917.701480000002</v>
      </c>
      <c r="AV190" s="205"/>
      <c r="AW190" s="64">
        <v>10037.226935268218</v>
      </c>
      <c r="AX190" s="64">
        <v>2148.4679021333527</v>
      </c>
      <c r="AY190" s="64">
        <v>1972.5122569280534</v>
      </c>
      <c r="AZ190" s="205">
        <f t="shared" si="68"/>
        <v>14158.207094329624</v>
      </c>
      <c r="BA190" s="205"/>
      <c r="BB190" s="64">
        <v>10582.93021632232</v>
      </c>
      <c r="BC190" s="64">
        <v>2150.672846809282</v>
      </c>
      <c r="BD190" s="64">
        <v>1996.1824040111899</v>
      </c>
      <c r="BE190" s="205">
        <f t="shared" si="63"/>
        <v>14729.785467142792</v>
      </c>
      <c r="BF190" s="205"/>
      <c r="BG190" s="64">
        <v>10949.577737358937</v>
      </c>
      <c r="BH190" s="64">
        <v>2169.5095576868353</v>
      </c>
      <c r="BI190" s="64">
        <v>2093.1172920659401</v>
      </c>
      <c r="BJ190" s="205">
        <f t="shared" si="69"/>
        <v>15212.204587111712</v>
      </c>
      <c r="BK190" s="205"/>
      <c r="BL190" s="64">
        <v>11241.951026068924</v>
      </c>
      <c r="BM190" s="64">
        <v>2192.9419679124717</v>
      </c>
      <c r="BN190" s="64">
        <v>2218.2309266482339</v>
      </c>
      <c r="BO190" s="205">
        <f t="shared" si="70"/>
        <v>15653.123920629629</v>
      </c>
      <c r="BQ190" s="64">
        <v>11579.769464511422</v>
      </c>
      <c r="BR190" s="64">
        <v>2215.6025396515679</v>
      </c>
      <c r="BS190" s="64">
        <v>2296.0042670642542</v>
      </c>
      <c r="BT190" s="205">
        <f t="shared" si="71"/>
        <v>16091.376271227244</v>
      </c>
      <c r="BU190" s="205"/>
      <c r="BV190" s="5">
        <f t="shared" si="72"/>
        <v>23059</v>
      </c>
      <c r="BW190" s="5">
        <f t="shared" si="73"/>
        <v>23803</v>
      </c>
      <c r="BX190" s="5">
        <f t="shared" si="74"/>
        <v>25128.633570000002</v>
      </c>
      <c r="BY190" s="5">
        <f t="shared" si="75"/>
        <v>25856.924569999999</v>
      </c>
      <c r="BZ190" s="5">
        <f t="shared" si="76"/>
        <v>14917.701480000002</v>
      </c>
      <c r="CA190" s="5">
        <f t="shared" si="77"/>
        <v>14158.207094329624</v>
      </c>
      <c r="CB190" s="5">
        <f t="shared" si="78"/>
        <v>14729.785467142792</v>
      </c>
      <c r="CC190" s="5">
        <f t="shared" si="79"/>
        <v>15212.204587111712</v>
      </c>
      <c r="CD190" s="5">
        <f t="shared" si="80"/>
        <v>15653.123920629629</v>
      </c>
      <c r="CE190" s="5">
        <f t="shared" si="88"/>
        <v>16091.376271227244</v>
      </c>
      <c r="CH190" s="41">
        <f>BV190/'1. Väestöennuste'!I190*1000</f>
        <v>3600.7183010618364</v>
      </c>
      <c r="CI190" s="41">
        <f>BW190/'1. Väestöennuste'!J190*1000</f>
        <v>3747.3236775818641</v>
      </c>
      <c r="CJ190" s="41">
        <f>BX190/'1. Väestöennuste'!K190*1000</f>
        <v>3997.5554517976457</v>
      </c>
      <c r="CK190" s="41">
        <f>BY190/'1. Väestöennuste'!L190*1000</f>
        <v>4143.7379118589743</v>
      </c>
      <c r="CL190" s="41">
        <f>BZ190/'1. Väestöennuste'!M190*1000</f>
        <v>2436.3386379225872</v>
      </c>
      <c r="CM190" s="41">
        <f>CA190/'1. Väestöennuste'!N190*1000</f>
        <v>2341.7477827207449</v>
      </c>
      <c r="CN190" s="41">
        <f>CB190/'1. Väestöennuste'!O190*1000</f>
        <v>2462.7629940048141</v>
      </c>
      <c r="CO190" s="41">
        <f>CC190/'1. Väestöennuste'!P190*1000</f>
        <v>2570.4975645677109</v>
      </c>
      <c r="CP190" s="41">
        <f>CD190/'1. Väestöennuste'!Q190*1000</f>
        <v>2673.4626679128314</v>
      </c>
      <c r="CQ190" s="41">
        <f>CE190/'1. Väestöennuste'!R190*1000</f>
        <v>2777.2482345922062</v>
      </c>
      <c r="CR190" s="41"/>
      <c r="CU190" s="159">
        <f t="shared" si="81"/>
        <v>146.60537652002768</v>
      </c>
      <c r="CV190" s="159">
        <f t="shared" si="82"/>
        <v>250.23177421578157</v>
      </c>
      <c r="CW190" s="159">
        <f t="shared" si="83"/>
        <v>146.18246006132858</v>
      </c>
      <c r="CX190" s="159">
        <f t="shared" si="84"/>
        <v>-1707.3992739363871</v>
      </c>
      <c r="CY190" s="159">
        <f t="shared" si="85"/>
        <v>-94.59085520184226</v>
      </c>
      <c r="CZ190" s="159">
        <f t="shared" si="86"/>
        <v>121.01521128406921</v>
      </c>
      <c r="DA190" s="159">
        <f t="shared" si="89"/>
        <v>107.73457056289681</v>
      </c>
      <c r="DB190" s="159">
        <f t="shared" si="90"/>
        <v>102.9651033451205</v>
      </c>
      <c r="DC190" s="159">
        <f t="shared" si="90"/>
        <v>103.78556667937482</v>
      </c>
    </row>
    <row r="191" spans="1:107" x14ac:dyDescent="0.2">
      <c r="A191" s="99">
        <v>19</v>
      </c>
      <c r="B191" s="30">
        <v>583</v>
      </c>
      <c r="C191" s="47" t="s">
        <v>505</v>
      </c>
      <c r="D191" s="64">
        <v>2477.0738199999996</v>
      </c>
      <c r="E191" s="64">
        <v>1650.0136499999999</v>
      </c>
      <c r="F191" s="64">
        <v>322.10548999999997</v>
      </c>
      <c r="G191" s="205">
        <v>4448</v>
      </c>
      <c r="H191" s="205"/>
      <c r="I191" s="64">
        <v>2868</v>
      </c>
      <c r="J191" s="64">
        <v>1752</v>
      </c>
      <c r="K191" s="64">
        <v>276</v>
      </c>
      <c r="L191" s="205">
        <v>4896</v>
      </c>
      <c r="M191" s="205"/>
      <c r="N191" s="64">
        <v>2883</v>
      </c>
      <c r="O191" s="64">
        <v>1737</v>
      </c>
      <c r="P191" s="64">
        <v>357</v>
      </c>
      <c r="Q191" s="205">
        <v>4977</v>
      </c>
      <c r="R191" s="205"/>
      <c r="S191" s="64">
        <v>2688</v>
      </c>
      <c r="T191" s="64">
        <v>1989</v>
      </c>
      <c r="U191" s="64">
        <v>344</v>
      </c>
      <c r="V191" s="205">
        <v>5021</v>
      </c>
      <c r="W191" s="205"/>
      <c r="X191" s="64">
        <v>2826</v>
      </c>
      <c r="Y191" s="64">
        <v>2005</v>
      </c>
      <c r="Z191" s="64">
        <v>357</v>
      </c>
      <c r="AA191" s="205">
        <f t="shared" si="87"/>
        <v>5188</v>
      </c>
      <c r="AB191" s="205"/>
      <c r="AC191" s="64">
        <v>2923</v>
      </c>
      <c r="AD191" s="64">
        <v>1812</v>
      </c>
      <c r="AE191" s="64">
        <v>407</v>
      </c>
      <c r="AF191" s="205">
        <f t="shared" si="64"/>
        <v>5142</v>
      </c>
      <c r="AG191" s="205"/>
      <c r="AH191" s="278">
        <v>2990.2737700000002</v>
      </c>
      <c r="AI191" s="64">
        <v>2013.35825</v>
      </c>
      <c r="AJ191" s="64">
        <v>592.23341000000005</v>
      </c>
      <c r="AK191" s="205">
        <f t="shared" si="65"/>
        <v>5595.8654299999998</v>
      </c>
      <c r="AL191" s="205"/>
      <c r="AM191" s="64">
        <v>3231.5331000000001</v>
      </c>
      <c r="AN191" s="64">
        <v>1993.33349</v>
      </c>
      <c r="AO191" s="64">
        <v>647.99884999999995</v>
      </c>
      <c r="AP191" s="205">
        <f t="shared" si="66"/>
        <v>5872.8654399999996</v>
      </c>
      <c r="AQ191" s="205"/>
      <c r="AR191" s="64">
        <v>1729.16013</v>
      </c>
      <c r="AS191" s="64">
        <v>2155.6484599999999</v>
      </c>
      <c r="AT191" s="64">
        <v>282.50885</v>
      </c>
      <c r="AU191" s="205">
        <f t="shared" si="67"/>
        <v>4167.3174399999998</v>
      </c>
      <c r="AV191" s="205"/>
      <c r="AW191" s="64">
        <v>1504.5762888386193</v>
      </c>
      <c r="AX191" s="64">
        <v>2205.3805363095735</v>
      </c>
      <c r="AY191" s="64">
        <v>247.1186912007413</v>
      </c>
      <c r="AZ191" s="205">
        <f t="shared" si="68"/>
        <v>3957.0755163489339</v>
      </c>
      <c r="BA191" s="205"/>
      <c r="BB191" s="64">
        <v>1638.6330904105293</v>
      </c>
      <c r="BC191" s="64">
        <v>2228.4391354033278</v>
      </c>
      <c r="BD191" s="64">
        <v>250.08411549515017</v>
      </c>
      <c r="BE191" s="205">
        <f t="shared" si="63"/>
        <v>4117.1563413090071</v>
      </c>
      <c r="BF191" s="205"/>
      <c r="BG191" s="64">
        <v>1709.1041691243029</v>
      </c>
      <c r="BH191" s="64">
        <v>2269.0236265776348</v>
      </c>
      <c r="BI191" s="64">
        <v>262.22823403415805</v>
      </c>
      <c r="BJ191" s="205">
        <f t="shared" si="69"/>
        <v>4240.3560297360955</v>
      </c>
      <c r="BK191" s="205"/>
      <c r="BL191" s="64">
        <v>1773.2112996031412</v>
      </c>
      <c r="BM191" s="64">
        <v>2314.9129919302554</v>
      </c>
      <c r="BN191" s="64">
        <v>277.90261959031938</v>
      </c>
      <c r="BO191" s="205">
        <f t="shared" si="70"/>
        <v>4366.0269111237167</v>
      </c>
      <c r="BQ191" s="64">
        <v>1836.1950372895994</v>
      </c>
      <c r="BR191" s="64">
        <v>2360.5234045459083</v>
      </c>
      <c r="BS191" s="64">
        <v>287.64615655766289</v>
      </c>
      <c r="BT191" s="205">
        <f t="shared" si="71"/>
        <v>4484.364598393171</v>
      </c>
      <c r="BU191" s="205"/>
      <c r="BV191" s="5">
        <f t="shared" si="72"/>
        <v>5188</v>
      </c>
      <c r="BW191" s="5">
        <f t="shared" si="73"/>
        <v>5142</v>
      </c>
      <c r="BX191" s="5">
        <f t="shared" si="74"/>
        <v>5595.8654299999998</v>
      </c>
      <c r="BY191" s="5">
        <f t="shared" si="75"/>
        <v>5872.8654399999996</v>
      </c>
      <c r="BZ191" s="5">
        <f t="shared" si="76"/>
        <v>4167.3174399999998</v>
      </c>
      <c r="CA191" s="5">
        <f t="shared" si="77"/>
        <v>3957.0755163489339</v>
      </c>
      <c r="CB191" s="5">
        <f t="shared" si="78"/>
        <v>4117.1563413090071</v>
      </c>
      <c r="CC191" s="5">
        <f t="shared" si="79"/>
        <v>4240.3560297360955</v>
      </c>
      <c r="CD191" s="5">
        <f t="shared" si="80"/>
        <v>4366.0269111237167</v>
      </c>
      <c r="CE191" s="5">
        <f t="shared" si="88"/>
        <v>4484.364598393171</v>
      </c>
      <c r="CH191" s="41">
        <f>BV191/'1. Väestöennuste'!I191*1000</f>
        <v>5525.0266240681576</v>
      </c>
      <c r="CI191" s="41">
        <f>BW191/'1. Väestöennuste'!J191*1000</f>
        <v>5523.0934479054786</v>
      </c>
      <c r="CJ191" s="41">
        <f>BX191/'1. Väestöennuste'!K191*1000</f>
        <v>6056.1314177489176</v>
      </c>
      <c r="CK191" s="41">
        <f>BY191/'1. Väestöennuste'!L191*1000</f>
        <v>6201.5474551214356</v>
      </c>
      <c r="CL191" s="41">
        <f>BZ191/'1. Väestöennuste'!M191*1000</f>
        <v>4569.4270175438596</v>
      </c>
      <c r="CM191" s="41">
        <f>CA191/'1. Väestöennuste'!N191*1000</f>
        <v>4319.9514370621546</v>
      </c>
      <c r="CN191" s="41">
        <f>CB191/'1. Väestöennuste'!O191*1000</f>
        <v>4514.4258128388237</v>
      </c>
      <c r="CO191" s="41">
        <f>CC191/'1. Väestöennuste'!P191*1000</f>
        <v>4659.7319008088962</v>
      </c>
      <c r="CP191" s="41">
        <f>CD191/'1. Väestöennuste'!Q191*1000</f>
        <v>4813.7011148001284</v>
      </c>
      <c r="CQ191" s="41">
        <f>CE191/'1. Väestöennuste'!R191*1000</f>
        <v>4977.0972235218323</v>
      </c>
      <c r="CR191" s="41"/>
      <c r="CU191" s="159">
        <f t="shared" si="81"/>
        <v>-1.9331761626790467</v>
      </c>
      <c r="CV191" s="159">
        <f t="shared" si="82"/>
        <v>533.03796984343899</v>
      </c>
      <c r="CW191" s="159">
        <f t="shared" si="83"/>
        <v>145.41603737251808</v>
      </c>
      <c r="CX191" s="159">
        <f t="shared" si="84"/>
        <v>-1632.120437577576</v>
      </c>
      <c r="CY191" s="159">
        <f t="shared" si="85"/>
        <v>-249.47558048170504</v>
      </c>
      <c r="CZ191" s="159">
        <f t="shared" si="86"/>
        <v>194.47437577666915</v>
      </c>
      <c r="DA191" s="159">
        <f t="shared" si="89"/>
        <v>145.30608797007244</v>
      </c>
      <c r="DB191" s="159">
        <f t="shared" si="90"/>
        <v>153.96921399123221</v>
      </c>
      <c r="DC191" s="159">
        <f t="shared" si="90"/>
        <v>163.39610872170397</v>
      </c>
    </row>
    <row r="192" spans="1:107" x14ac:dyDescent="0.2">
      <c r="A192" s="99">
        <v>16</v>
      </c>
      <c r="B192" s="30">
        <v>584</v>
      </c>
      <c r="C192" s="47" t="s">
        <v>506</v>
      </c>
      <c r="D192" s="64">
        <v>6429.6388200000001</v>
      </c>
      <c r="E192" s="64">
        <v>473.68056999999999</v>
      </c>
      <c r="F192" s="64">
        <v>559.81439999999998</v>
      </c>
      <c r="G192" s="205">
        <v>7463</v>
      </c>
      <c r="H192" s="205"/>
      <c r="I192" s="64">
        <v>6094</v>
      </c>
      <c r="J192" s="64">
        <v>487</v>
      </c>
      <c r="K192" s="64">
        <v>547</v>
      </c>
      <c r="L192" s="205">
        <v>7128</v>
      </c>
      <c r="M192" s="205"/>
      <c r="N192" s="64">
        <v>6569</v>
      </c>
      <c r="O192" s="64">
        <v>583</v>
      </c>
      <c r="P192" s="64">
        <v>650</v>
      </c>
      <c r="Q192" s="205">
        <v>7802</v>
      </c>
      <c r="R192" s="205"/>
      <c r="S192" s="64">
        <v>6365</v>
      </c>
      <c r="T192" s="64">
        <v>737</v>
      </c>
      <c r="U192" s="64">
        <v>613</v>
      </c>
      <c r="V192" s="205">
        <v>7715</v>
      </c>
      <c r="W192" s="205"/>
      <c r="X192" s="64">
        <v>6107</v>
      </c>
      <c r="Y192" s="64">
        <v>773</v>
      </c>
      <c r="Z192" s="64">
        <v>646</v>
      </c>
      <c r="AA192" s="205">
        <f t="shared" si="87"/>
        <v>7526</v>
      </c>
      <c r="AB192" s="205"/>
      <c r="AC192" s="64">
        <v>6414</v>
      </c>
      <c r="AD192" s="64">
        <v>753</v>
      </c>
      <c r="AE192" s="64">
        <v>720</v>
      </c>
      <c r="AF192" s="205">
        <f t="shared" si="64"/>
        <v>7887</v>
      </c>
      <c r="AG192" s="205"/>
      <c r="AH192" s="278">
        <v>6638.5025099999993</v>
      </c>
      <c r="AI192" s="64">
        <v>818.39823000000001</v>
      </c>
      <c r="AJ192" s="64">
        <v>1060.51767</v>
      </c>
      <c r="AK192" s="205">
        <f t="shared" si="65"/>
        <v>8517.4184099999984</v>
      </c>
      <c r="AL192" s="205"/>
      <c r="AM192" s="64">
        <v>6745.2574599999998</v>
      </c>
      <c r="AN192" s="64">
        <v>878.99527999999998</v>
      </c>
      <c r="AO192" s="64">
        <v>1070.2800099999999</v>
      </c>
      <c r="AP192" s="205">
        <f t="shared" si="66"/>
        <v>8694.5327500000003</v>
      </c>
      <c r="AQ192" s="205"/>
      <c r="AR192" s="64">
        <v>3432.8573300000003</v>
      </c>
      <c r="AS192" s="64">
        <v>929.0319300000001</v>
      </c>
      <c r="AT192" s="64">
        <v>664.82074</v>
      </c>
      <c r="AU192" s="205">
        <f t="shared" si="67"/>
        <v>5026.71</v>
      </c>
      <c r="AV192" s="205"/>
      <c r="AW192" s="64">
        <v>3349.1235803999098</v>
      </c>
      <c r="AX192" s="64">
        <v>978.5248285968263</v>
      </c>
      <c r="AY192" s="64">
        <v>628.04799893878044</v>
      </c>
      <c r="AZ192" s="205">
        <f t="shared" si="68"/>
        <v>4955.6964079355166</v>
      </c>
      <c r="BA192" s="205"/>
      <c r="BB192" s="64">
        <v>3494.3927992757249</v>
      </c>
      <c r="BC192" s="64">
        <v>991.18012439880522</v>
      </c>
      <c r="BD192" s="64">
        <v>635.58457492604578</v>
      </c>
      <c r="BE192" s="205">
        <f t="shared" si="63"/>
        <v>5121.1574986005762</v>
      </c>
      <c r="BF192" s="205"/>
      <c r="BG192" s="64">
        <v>3573.2965983246781</v>
      </c>
      <c r="BH192" s="64">
        <v>1011.6986774827174</v>
      </c>
      <c r="BI192" s="64">
        <v>666.44864801675158</v>
      </c>
      <c r="BJ192" s="205">
        <f t="shared" si="69"/>
        <v>5251.4439238241475</v>
      </c>
      <c r="BK192" s="205"/>
      <c r="BL192" s="64">
        <v>3608.5027434910799</v>
      </c>
      <c r="BM192" s="64">
        <v>1034.674845506853</v>
      </c>
      <c r="BN192" s="64">
        <v>706.28483537801139</v>
      </c>
      <c r="BO192" s="205">
        <f t="shared" si="70"/>
        <v>5349.4624243759445</v>
      </c>
      <c r="BQ192" s="64">
        <v>3659.6754676385704</v>
      </c>
      <c r="BR192" s="64">
        <v>1057.6235642636464</v>
      </c>
      <c r="BS192" s="64">
        <v>731.04787076474042</v>
      </c>
      <c r="BT192" s="205">
        <f t="shared" si="71"/>
        <v>5448.3469026669572</v>
      </c>
      <c r="BU192" s="205"/>
      <c r="BV192" s="5">
        <f t="shared" si="72"/>
        <v>7526</v>
      </c>
      <c r="BW192" s="5">
        <f t="shared" si="73"/>
        <v>7887</v>
      </c>
      <c r="BX192" s="5">
        <f t="shared" si="74"/>
        <v>8517.4184099999984</v>
      </c>
      <c r="BY192" s="5">
        <f t="shared" si="75"/>
        <v>8694.5327500000003</v>
      </c>
      <c r="BZ192" s="5">
        <f t="shared" si="76"/>
        <v>5026.71</v>
      </c>
      <c r="CA192" s="5">
        <f t="shared" si="77"/>
        <v>4955.6964079355166</v>
      </c>
      <c r="CB192" s="5">
        <f t="shared" si="78"/>
        <v>5121.1574986005762</v>
      </c>
      <c r="CC192" s="5">
        <f t="shared" si="79"/>
        <v>5251.4439238241475</v>
      </c>
      <c r="CD192" s="5">
        <f t="shared" si="80"/>
        <v>5349.4624243759445</v>
      </c>
      <c r="CE192" s="5">
        <f t="shared" si="88"/>
        <v>5448.3469026669572</v>
      </c>
      <c r="CH192" s="41">
        <f>BV192/'1. Väestöennuste'!I192*1000</f>
        <v>2727.7999275099678</v>
      </c>
      <c r="CI192" s="41">
        <f>BW192/'1. Väestöennuste'!J192*1000</f>
        <v>2914.6341463414633</v>
      </c>
      <c r="CJ192" s="41">
        <f>BX192/'1. Väestöennuste'!K192*1000</f>
        <v>3182.8917825112103</v>
      </c>
      <c r="CK192" s="41">
        <f>BY192/'1. Väestöennuste'!L192*1000</f>
        <v>3277.2456652845835</v>
      </c>
      <c r="CL192" s="41">
        <f>BZ192/'1. Väestöennuste'!M192*1000</f>
        <v>1949.8487199379365</v>
      </c>
      <c r="CM192" s="41">
        <f>CA192/'1. Väestöennuste'!N192*1000</f>
        <v>1980.6940079678322</v>
      </c>
      <c r="CN192" s="41">
        <f>CB192/'1. Väestöennuste'!O192*1000</f>
        <v>2091.1218859128526</v>
      </c>
      <c r="CO192" s="41">
        <f>CC192/'1. Väestöennuste'!P192*1000</f>
        <v>2189.9265737381766</v>
      </c>
      <c r="CP192" s="41">
        <f>CD192/'1. Väestöennuste'!Q192*1000</f>
        <v>2277.3360682741359</v>
      </c>
      <c r="CQ192" s="41">
        <f>CE192/'1. Väestöennuste'!R192*1000</f>
        <v>2366.7884025486351</v>
      </c>
      <c r="CR192" s="41"/>
      <c r="CU192" s="159">
        <f t="shared" si="81"/>
        <v>186.83421883149549</v>
      </c>
      <c r="CV192" s="159">
        <f t="shared" si="82"/>
        <v>268.257636169747</v>
      </c>
      <c r="CW192" s="159">
        <f t="shared" si="83"/>
        <v>94.353882773373243</v>
      </c>
      <c r="CX192" s="159">
        <f t="shared" si="84"/>
        <v>-1327.396945346647</v>
      </c>
      <c r="CY192" s="159">
        <f t="shared" si="85"/>
        <v>30.845288029895755</v>
      </c>
      <c r="CZ192" s="159">
        <f t="shared" si="86"/>
        <v>110.42787794502033</v>
      </c>
      <c r="DA192" s="159">
        <f t="shared" si="89"/>
        <v>98.804687825323981</v>
      </c>
      <c r="DB192" s="159">
        <f t="shared" si="90"/>
        <v>87.409494535959311</v>
      </c>
      <c r="DC192" s="159">
        <f t="shared" si="90"/>
        <v>89.452334274499208</v>
      </c>
    </row>
    <row r="193" spans="1:107" x14ac:dyDescent="0.2">
      <c r="A193" s="99">
        <v>10</v>
      </c>
      <c r="B193" s="30">
        <v>588</v>
      </c>
      <c r="C193" s="47" t="s">
        <v>507</v>
      </c>
      <c r="D193" s="64">
        <v>4102.7635099999998</v>
      </c>
      <c r="E193" s="64">
        <v>817.92618999999991</v>
      </c>
      <c r="F193" s="64">
        <v>780.37118999999996</v>
      </c>
      <c r="G193" s="205">
        <v>5701</v>
      </c>
      <c r="H193" s="205"/>
      <c r="I193" s="64">
        <v>4056</v>
      </c>
      <c r="J193" s="64">
        <v>836</v>
      </c>
      <c r="K193" s="64">
        <v>734</v>
      </c>
      <c r="L193" s="205">
        <v>5626</v>
      </c>
      <c r="M193" s="205"/>
      <c r="N193" s="64">
        <v>4126</v>
      </c>
      <c r="O193" s="64">
        <v>813</v>
      </c>
      <c r="P193" s="64">
        <v>841</v>
      </c>
      <c r="Q193" s="205">
        <v>5780</v>
      </c>
      <c r="R193" s="205"/>
      <c r="S193" s="64">
        <v>3876</v>
      </c>
      <c r="T193" s="64">
        <v>824</v>
      </c>
      <c r="U193" s="64">
        <v>795</v>
      </c>
      <c r="V193" s="205">
        <v>5495</v>
      </c>
      <c r="W193" s="205"/>
      <c r="X193" s="64">
        <v>4212</v>
      </c>
      <c r="Y193" s="64">
        <v>834</v>
      </c>
      <c r="Z193" s="64">
        <v>848</v>
      </c>
      <c r="AA193" s="205">
        <f t="shared" si="87"/>
        <v>5894</v>
      </c>
      <c r="AB193" s="205"/>
      <c r="AC193" s="64">
        <v>4418</v>
      </c>
      <c r="AD193" s="64">
        <v>816</v>
      </c>
      <c r="AE193" s="64">
        <v>984</v>
      </c>
      <c r="AF193" s="205">
        <f t="shared" si="64"/>
        <v>6218</v>
      </c>
      <c r="AG193" s="205"/>
      <c r="AH193" s="278">
        <v>4516.7919299999994</v>
      </c>
      <c r="AI193" s="64">
        <v>927.86248999999998</v>
      </c>
      <c r="AJ193" s="64">
        <v>1382.68703</v>
      </c>
      <c r="AK193" s="205">
        <f t="shared" si="65"/>
        <v>6827.341449999999</v>
      </c>
      <c r="AL193" s="205"/>
      <c r="AM193" s="64">
        <v>4557.3963899999999</v>
      </c>
      <c r="AN193" s="64">
        <v>966.76796999999999</v>
      </c>
      <c r="AO193" s="64">
        <v>1209.6704499999998</v>
      </c>
      <c r="AP193" s="205">
        <f t="shared" si="66"/>
        <v>6733.8348099999994</v>
      </c>
      <c r="AQ193" s="205"/>
      <c r="AR193" s="64">
        <v>2518.74289</v>
      </c>
      <c r="AS193" s="64">
        <v>988.40862000000004</v>
      </c>
      <c r="AT193" s="64">
        <v>659.63386000000003</v>
      </c>
      <c r="AU193" s="205">
        <f t="shared" si="67"/>
        <v>4166.7853700000005</v>
      </c>
      <c r="AV193" s="205"/>
      <c r="AW193" s="64">
        <v>2259.3386924856982</v>
      </c>
      <c r="AX193" s="64">
        <v>1073.3095316707843</v>
      </c>
      <c r="AY193" s="64">
        <v>578.88337316553464</v>
      </c>
      <c r="AZ193" s="205">
        <f t="shared" si="68"/>
        <v>3911.5315973220172</v>
      </c>
      <c r="BA193" s="205"/>
      <c r="BB193" s="64">
        <v>0</v>
      </c>
      <c r="BC193" s="64">
        <v>0</v>
      </c>
      <c r="BD193" s="64">
        <v>0</v>
      </c>
      <c r="BE193" s="205">
        <f t="shared" si="63"/>
        <v>0</v>
      </c>
      <c r="BF193" s="205"/>
      <c r="BG193" s="64">
        <v>0</v>
      </c>
      <c r="BH193" s="64">
        <v>0</v>
      </c>
      <c r="BI193" s="64">
        <v>0</v>
      </c>
      <c r="BJ193" s="205">
        <f t="shared" si="69"/>
        <v>0</v>
      </c>
      <c r="BK193" s="205"/>
      <c r="BL193" s="64">
        <v>0</v>
      </c>
      <c r="BM193" s="64">
        <v>0</v>
      </c>
      <c r="BN193" s="64">
        <v>0</v>
      </c>
      <c r="BO193" s="205">
        <f t="shared" si="70"/>
        <v>0</v>
      </c>
      <c r="BQ193" s="64">
        <v>0</v>
      </c>
      <c r="BR193" s="64">
        <v>0</v>
      </c>
      <c r="BS193" s="64">
        <v>0</v>
      </c>
      <c r="BT193" s="205">
        <f t="shared" si="71"/>
        <v>0</v>
      </c>
      <c r="BU193" s="205"/>
      <c r="BV193" s="5">
        <f t="shared" si="72"/>
        <v>5894</v>
      </c>
      <c r="BW193" s="5">
        <f t="shared" si="73"/>
        <v>6218</v>
      </c>
      <c r="BX193" s="5">
        <f t="shared" si="74"/>
        <v>6827.341449999999</v>
      </c>
      <c r="BY193" s="5">
        <f t="shared" si="75"/>
        <v>6733.8348099999994</v>
      </c>
      <c r="BZ193" s="5">
        <f t="shared" si="76"/>
        <v>4166.7853700000005</v>
      </c>
      <c r="CA193" s="5">
        <f t="shared" si="77"/>
        <v>3911.5315973220172</v>
      </c>
      <c r="CB193" s="5">
        <f t="shared" si="78"/>
        <v>0</v>
      </c>
      <c r="CC193" s="5">
        <f t="shared" si="79"/>
        <v>0</v>
      </c>
      <c r="CD193" s="5">
        <f t="shared" si="80"/>
        <v>0</v>
      </c>
      <c r="CE193" s="5">
        <f t="shared" si="88"/>
        <v>0</v>
      </c>
      <c r="CH193" s="41">
        <f>BV193/'1. Väestöennuste'!I193*1000</f>
        <v>3487.5739644970417</v>
      </c>
      <c r="CI193" s="41">
        <f>BW193/'1. Väestöennuste'!J193*1000</f>
        <v>3759.3712212817413</v>
      </c>
      <c r="CJ193" s="41">
        <f>BX193/'1. Väestöennuste'!K193*1000</f>
        <v>4152.8840936739662</v>
      </c>
      <c r="CK193" s="41">
        <f>BY193/'1. Väestöennuste'!L193*1000</f>
        <v>4208.6467562499993</v>
      </c>
      <c r="CL193" s="41">
        <f>BZ193/'1. Väestöennuste'!M193*1000</f>
        <v>2642.2228091312622</v>
      </c>
      <c r="CM193" s="41">
        <f>CA193/'1. Väestöennuste'!N193*1000</f>
        <v>2533.3753868665917</v>
      </c>
      <c r="CN193" s="41">
        <v>0</v>
      </c>
      <c r="CO193" s="41">
        <v>0</v>
      </c>
      <c r="CP193" s="41">
        <v>0</v>
      </c>
      <c r="CQ193" s="41">
        <v>0</v>
      </c>
      <c r="CR193" s="41"/>
      <c r="CU193" s="159">
        <f t="shared" si="81"/>
        <v>271.79725678469958</v>
      </c>
      <c r="CV193" s="159">
        <f t="shared" si="82"/>
        <v>393.51287239222484</v>
      </c>
      <c r="CW193" s="159">
        <f t="shared" si="83"/>
        <v>55.762662576033108</v>
      </c>
      <c r="CX193" s="159">
        <f t="shared" si="84"/>
        <v>-1566.423947118737</v>
      </c>
      <c r="CY193" s="159">
        <f t="shared" si="85"/>
        <v>-108.84742226467051</v>
      </c>
      <c r="CZ193" s="159">
        <f t="shared" si="86"/>
        <v>-2533.3753868665917</v>
      </c>
      <c r="DA193" s="159">
        <f t="shared" si="89"/>
        <v>0</v>
      </c>
      <c r="DB193" s="159">
        <f t="shared" si="90"/>
        <v>0</v>
      </c>
      <c r="DC193" s="159">
        <f t="shared" si="90"/>
        <v>0</v>
      </c>
    </row>
    <row r="194" spans="1:107" x14ac:dyDescent="0.2">
      <c r="A194" s="99">
        <v>13</v>
      </c>
      <c r="B194" s="30">
        <v>592</v>
      </c>
      <c r="C194" s="47" t="s">
        <v>508</v>
      </c>
      <c r="D194" s="64">
        <v>11283.39532</v>
      </c>
      <c r="E194" s="64">
        <v>857.86606999999992</v>
      </c>
      <c r="F194" s="64">
        <v>898.59289000000001</v>
      </c>
      <c r="G194" s="205">
        <v>13040</v>
      </c>
      <c r="H194" s="205"/>
      <c r="I194" s="64">
        <v>10960</v>
      </c>
      <c r="J194" s="64">
        <v>852</v>
      </c>
      <c r="K194" s="64">
        <v>884</v>
      </c>
      <c r="L194" s="205">
        <v>12696</v>
      </c>
      <c r="M194" s="205"/>
      <c r="N194" s="64">
        <v>11046</v>
      </c>
      <c r="O194" s="64">
        <v>882</v>
      </c>
      <c r="P194" s="64">
        <v>1081</v>
      </c>
      <c r="Q194" s="205">
        <v>13009</v>
      </c>
      <c r="R194" s="205"/>
      <c r="S194" s="64">
        <v>10870</v>
      </c>
      <c r="T194" s="64">
        <v>942</v>
      </c>
      <c r="U194" s="64">
        <v>1161</v>
      </c>
      <c r="V194" s="205">
        <v>12973</v>
      </c>
      <c r="W194" s="205"/>
      <c r="X194" s="64">
        <v>11213</v>
      </c>
      <c r="Y194" s="64">
        <v>958</v>
      </c>
      <c r="Z194" s="64">
        <v>1193</v>
      </c>
      <c r="AA194" s="205">
        <f t="shared" si="87"/>
        <v>13364</v>
      </c>
      <c r="AB194" s="205"/>
      <c r="AC194" s="64">
        <v>11436</v>
      </c>
      <c r="AD194" s="64">
        <v>976</v>
      </c>
      <c r="AE194" s="64">
        <v>1362</v>
      </c>
      <c r="AF194" s="205">
        <f t="shared" si="64"/>
        <v>13774</v>
      </c>
      <c r="AG194" s="205"/>
      <c r="AH194" s="278">
        <v>11836.580890000001</v>
      </c>
      <c r="AI194" s="64">
        <v>1058.92049</v>
      </c>
      <c r="AJ194" s="64">
        <v>2016.4772</v>
      </c>
      <c r="AK194" s="205">
        <f t="shared" si="65"/>
        <v>14911.978580000001</v>
      </c>
      <c r="AL194" s="205"/>
      <c r="AM194" s="64">
        <v>11878.29334</v>
      </c>
      <c r="AN194" s="64">
        <v>1085.8416499999998</v>
      </c>
      <c r="AO194" s="64">
        <v>1860.42589</v>
      </c>
      <c r="AP194" s="205">
        <f t="shared" si="66"/>
        <v>14824.560880000001</v>
      </c>
      <c r="AQ194" s="205"/>
      <c r="AR194" s="64">
        <v>6495.49071</v>
      </c>
      <c r="AS194" s="64">
        <v>1144.0922499999999</v>
      </c>
      <c r="AT194" s="64">
        <v>916.11176</v>
      </c>
      <c r="AU194" s="205">
        <f t="shared" si="67"/>
        <v>8555.6947199999995</v>
      </c>
      <c r="AV194" s="205"/>
      <c r="AW194" s="64">
        <v>6447.6181768030792</v>
      </c>
      <c r="AX194" s="64">
        <v>1144.4634265017773</v>
      </c>
      <c r="AY194" s="64">
        <v>562.43977781067304</v>
      </c>
      <c r="AZ194" s="205">
        <f t="shared" si="68"/>
        <v>8154.5213811155299</v>
      </c>
      <c r="BA194" s="205"/>
      <c r="BB194" s="64">
        <v>6858.4389482787637</v>
      </c>
      <c r="BC194" s="64">
        <v>1153.038002169656</v>
      </c>
      <c r="BD194" s="64">
        <v>569.1890551444011</v>
      </c>
      <c r="BE194" s="205">
        <f t="shared" si="63"/>
        <v>8580.6660055928205</v>
      </c>
      <c r="BF194" s="205"/>
      <c r="BG194" s="64">
        <v>7143.5773495666608</v>
      </c>
      <c r="BH194" s="64">
        <v>1170.4890580733095</v>
      </c>
      <c r="BI194" s="64">
        <v>596.82895279681134</v>
      </c>
      <c r="BJ194" s="205">
        <f t="shared" si="69"/>
        <v>8910.8953604367816</v>
      </c>
      <c r="BK194" s="205"/>
      <c r="BL194" s="64">
        <v>7368.6350616505397</v>
      </c>
      <c r="BM194" s="64">
        <v>1190.4445979364325</v>
      </c>
      <c r="BN194" s="64">
        <v>632.50370441794553</v>
      </c>
      <c r="BO194" s="205">
        <f t="shared" si="70"/>
        <v>9191.5833640049186</v>
      </c>
      <c r="BQ194" s="64">
        <v>7589.9860739101914</v>
      </c>
      <c r="BR194" s="64">
        <v>1210.0110485359592</v>
      </c>
      <c r="BS194" s="64">
        <v>654.67990137162349</v>
      </c>
      <c r="BT194" s="205">
        <f t="shared" si="71"/>
        <v>9454.6770238177742</v>
      </c>
      <c r="BU194" s="205"/>
      <c r="BV194" s="5">
        <f t="shared" si="72"/>
        <v>13364</v>
      </c>
      <c r="BW194" s="5">
        <f t="shared" si="73"/>
        <v>13774</v>
      </c>
      <c r="BX194" s="5">
        <f t="shared" si="74"/>
        <v>14911.978580000001</v>
      </c>
      <c r="BY194" s="5">
        <f t="shared" si="75"/>
        <v>14824.560880000001</v>
      </c>
      <c r="BZ194" s="5">
        <f t="shared" si="76"/>
        <v>8555.6947199999995</v>
      </c>
      <c r="CA194" s="5">
        <f t="shared" si="77"/>
        <v>8154.5213811155299</v>
      </c>
      <c r="CB194" s="5">
        <f t="shared" si="78"/>
        <v>8580.6660055928205</v>
      </c>
      <c r="CC194" s="5">
        <f t="shared" si="79"/>
        <v>8910.8953604367816</v>
      </c>
      <c r="CD194" s="5">
        <f t="shared" si="80"/>
        <v>9191.5833640049186</v>
      </c>
      <c r="CE194" s="5">
        <f t="shared" si="88"/>
        <v>9454.6770238177742</v>
      </c>
      <c r="CH194" s="41">
        <f>BV194/'1. Väestöennuste'!I194*1000</f>
        <v>3479.3022650351472</v>
      </c>
      <c r="CI194" s="41">
        <f>BW194/'1. Väestöennuste'!J194*1000</f>
        <v>3651.6436903499471</v>
      </c>
      <c r="CJ194" s="41">
        <f>BX194/'1. Väestöennuste'!K194*1000</f>
        <v>4054.3715551930395</v>
      </c>
      <c r="CK194" s="41">
        <f>BY194/'1. Väestöennuste'!L194*1000</f>
        <v>4060.411087373323</v>
      </c>
      <c r="CL194" s="41">
        <f>BZ194/'1. Väestöennuste'!M194*1000</f>
        <v>2379.2254505005558</v>
      </c>
      <c r="CM194" s="41">
        <f>CA194/'1. Väestöennuste'!N194*1000</f>
        <v>2255.7458868922627</v>
      </c>
      <c r="CN194" s="41">
        <f>CB194/'1. Väestöennuste'!O194*1000</f>
        <v>2397.5037735660298</v>
      </c>
      <c r="CO194" s="41">
        <f>CC194/'1. Väestöennuste'!P194*1000</f>
        <v>2512.9428540430858</v>
      </c>
      <c r="CP194" s="41">
        <f>CD194/'1. Väestöennuste'!Q194*1000</f>
        <v>2620.1776978349253</v>
      </c>
      <c r="CQ194" s="41">
        <f>CE194/'1. Väestöennuste'!R194*1000</f>
        <v>2721.5535474432281</v>
      </c>
      <c r="CR194" s="41"/>
      <c r="CU194" s="159">
        <f t="shared" si="81"/>
        <v>172.34142531479984</v>
      </c>
      <c r="CV194" s="159">
        <f t="shared" si="82"/>
        <v>402.72786484309245</v>
      </c>
      <c r="CW194" s="159">
        <f t="shared" si="83"/>
        <v>6.0395321802834587</v>
      </c>
      <c r="CX194" s="159">
        <f t="shared" si="84"/>
        <v>-1681.1856368727672</v>
      </c>
      <c r="CY194" s="159">
        <f t="shared" si="85"/>
        <v>-123.47956360829312</v>
      </c>
      <c r="CZ194" s="159">
        <f t="shared" si="86"/>
        <v>141.75788667376719</v>
      </c>
      <c r="DA194" s="159">
        <f t="shared" si="89"/>
        <v>115.439080477056</v>
      </c>
      <c r="DB194" s="159">
        <f t="shared" si="90"/>
        <v>107.23484379183947</v>
      </c>
      <c r="DC194" s="159">
        <f t="shared" si="90"/>
        <v>101.37584960830281</v>
      </c>
    </row>
    <row r="195" spans="1:107" x14ac:dyDescent="0.2">
      <c r="A195" s="99">
        <v>10</v>
      </c>
      <c r="B195" s="30">
        <v>593</v>
      </c>
      <c r="C195" s="47" t="s">
        <v>509</v>
      </c>
      <c r="D195" s="64">
        <v>58852.702969999998</v>
      </c>
      <c r="E195" s="64">
        <v>3769.5143700000003</v>
      </c>
      <c r="F195" s="64">
        <v>4706.1473699999997</v>
      </c>
      <c r="G195" s="205">
        <v>67328</v>
      </c>
      <c r="H195" s="205"/>
      <c r="I195" s="64">
        <v>59467</v>
      </c>
      <c r="J195" s="64">
        <v>4264</v>
      </c>
      <c r="K195" s="64">
        <v>4151</v>
      </c>
      <c r="L195" s="205">
        <v>67882</v>
      </c>
      <c r="M195" s="205"/>
      <c r="N195" s="64">
        <v>58000</v>
      </c>
      <c r="O195" s="64">
        <v>4152</v>
      </c>
      <c r="P195" s="64">
        <v>4818</v>
      </c>
      <c r="Q195" s="205">
        <v>66970</v>
      </c>
      <c r="R195" s="205"/>
      <c r="S195" s="64">
        <v>56515</v>
      </c>
      <c r="T195" s="64">
        <v>4215</v>
      </c>
      <c r="U195" s="64">
        <v>4472</v>
      </c>
      <c r="V195" s="205">
        <v>65202</v>
      </c>
      <c r="W195" s="205"/>
      <c r="X195" s="64">
        <v>56665</v>
      </c>
      <c r="Y195" s="64">
        <v>4156</v>
      </c>
      <c r="Z195" s="64">
        <v>4560</v>
      </c>
      <c r="AA195" s="205">
        <f t="shared" si="87"/>
        <v>65381</v>
      </c>
      <c r="AB195" s="205"/>
      <c r="AC195" s="64">
        <v>58225</v>
      </c>
      <c r="AD195" s="64">
        <v>3961</v>
      </c>
      <c r="AE195" s="64">
        <v>5211</v>
      </c>
      <c r="AF195" s="205">
        <f t="shared" si="64"/>
        <v>67397</v>
      </c>
      <c r="AG195" s="205"/>
      <c r="AH195" s="278">
        <v>58956.703729999994</v>
      </c>
      <c r="AI195" s="64">
        <v>4383.6281799999997</v>
      </c>
      <c r="AJ195" s="64">
        <v>7557.1047099999996</v>
      </c>
      <c r="AK195" s="205">
        <f t="shared" si="65"/>
        <v>70897.436619999993</v>
      </c>
      <c r="AL195" s="205"/>
      <c r="AM195" s="64">
        <v>60757.968159999997</v>
      </c>
      <c r="AN195" s="64">
        <v>4799.5204800000001</v>
      </c>
      <c r="AO195" s="64">
        <v>7285.5403499999993</v>
      </c>
      <c r="AP195" s="205">
        <f t="shared" si="66"/>
        <v>72843.028989999992</v>
      </c>
      <c r="AQ195" s="205"/>
      <c r="AR195" s="64">
        <v>31387.678390000001</v>
      </c>
      <c r="AS195" s="64">
        <v>5055.3076300000002</v>
      </c>
      <c r="AT195" s="64">
        <v>4174.0398399999995</v>
      </c>
      <c r="AU195" s="205">
        <f t="shared" si="67"/>
        <v>40617.025860000002</v>
      </c>
      <c r="AV195" s="205"/>
      <c r="AW195" s="64">
        <v>30169.672735333006</v>
      </c>
      <c r="AX195" s="64">
        <v>5361.4309748563783</v>
      </c>
      <c r="AY195" s="64">
        <v>3229.5654844651035</v>
      </c>
      <c r="AZ195" s="205">
        <f t="shared" si="68"/>
        <v>38760.669194654489</v>
      </c>
      <c r="BA195" s="205"/>
      <c r="BB195" s="64">
        <v>31063.491658029303</v>
      </c>
      <c r="BC195" s="64">
        <v>5516.6241222468789</v>
      </c>
      <c r="BD195" s="64">
        <v>3268.3202702786848</v>
      </c>
      <c r="BE195" s="205">
        <f t="shared" si="63"/>
        <v>39848.436050554868</v>
      </c>
      <c r="BF195" s="205"/>
      <c r="BG195" s="64">
        <v>31909.533816475789</v>
      </c>
      <c r="BH195" s="64">
        <v>5721.0077008171247</v>
      </c>
      <c r="BI195" s="64">
        <v>3427.0303455152557</v>
      </c>
      <c r="BJ195" s="205">
        <f t="shared" si="69"/>
        <v>41057.571862808167</v>
      </c>
      <c r="BK195" s="205"/>
      <c r="BL195" s="64">
        <v>32594.949281260233</v>
      </c>
      <c r="BM195" s="64">
        <v>5945.8724048971126</v>
      </c>
      <c r="BN195" s="64">
        <v>3631.8770705298994</v>
      </c>
      <c r="BO195" s="205">
        <f t="shared" si="70"/>
        <v>42172.698756687241</v>
      </c>
      <c r="BQ195" s="64">
        <v>33427.263876833866</v>
      </c>
      <c r="BR195" s="64">
        <v>6177.661325267919</v>
      </c>
      <c r="BS195" s="64">
        <v>3759.2142239173809</v>
      </c>
      <c r="BT195" s="205">
        <f t="shared" si="71"/>
        <v>43364.139426019159</v>
      </c>
      <c r="BU195" s="205"/>
      <c r="BV195" s="5">
        <f t="shared" si="72"/>
        <v>65381</v>
      </c>
      <c r="BW195" s="5">
        <f t="shared" si="73"/>
        <v>67397</v>
      </c>
      <c r="BX195" s="5">
        <f t="shared" si="74"/>
        <v>70897.436619999993</v>
      </c>
      <c r="BY195" s="5">
        <f t="shared" si="75"/>
        <v>72843.028989999992</v>
      </c>
      <c r="BZ195" s="5">
        <f t="shared" si="76"/>
        <v>40617.025860000002</v>
      </c>
      <c r="CA195" s="5">
        <f t="shared" si="77"/>
        <v>38760.669194654489</v>
      </c>
      <c r="CB195" s="5">
        <f t="shared" si="78"/>
        <v>39848.436050554868</v>
      </c>
      <c r="CC195" s="5">
        <f t="shared" si="79"/>
        <v>41057.571862808167</v>
      </c>
      <c r="CD195" s="5">
        <f t="shared" si="80"/>
        <v>42172.698756687241</v>
      </c>
      <c r="CE195" s="5">
        <f t="shared" si="88"/>
        <v>43364.139426019159</v>
      </c>
      <c r="CH195" s="41">
        <f>BV195/'1. Väestöennuste'!I195*1000</f>
        <v>3697.6020812125325</v>
      </c>
      <c r="CI195" s="41">
        <f>BW195/'1. Väestöennuste'!J195*1000</f>
        <v>3878.9640287769785</v>
      </c>
      <c r="CJ195" s="41">
        <f>BX195/'1. Väestöennuste'!K195*1000</f>
        <v>4109.2816681156901</v>
      </c>
      <c r="CK195" s="41">
        <f>BY195/'1. Väestöennuste'!L195*1000</f>
        <v>4265.5635644434033</v>
      </c>
      <c r="CL195" s="41">
        <f>BZ195/'1. Väestöennuste'!M195*1000</f>
        <v>2382.2302557184753</v>
      </c>
      <c r="CM195" s="41">
        <f>CA195/'1. Väestöennuste'!N195*1000</f>
        <v>2383.5118186357454</v>
      </c>
      <c r="CN195" s="41">
        <f>CB195/'1. Väestöennuste'!O195*1000</f>
        <v>2488.8161920276602</v>
      </c>
      <c r="CO195" s="41">
        <f>CC195/'1. Väestöennuste'!P195*1000</f>
        <v>2603.1937523971701</v>
      </c>
      <c r="CP195" s="41">
        <f>CD195/'1. Väestöennuste'!Q195*1000</f>
        <v>2713.8158788087026</v>
      </c>
      <c r="CQ195" s="41">
        <f>CE195/'1. Väestöennuste'!R195*1000</f>
        <v>2831.1117990480616</v>
      </c>
      <c r="CR195" s="41"/>
      <c r="CU195" s="159">
        <f t="shared" si="81"/>
        <v>181.36194756444593</v>
      </c>
      <c r="CV195" s="159">
        <f t="shared" si="82"/>
        <v>230.31763933871161</v>
      </c>
      <c r="CW195" s="159">
        <f t="shared" si="83"/>
        <v>156.28189632771318</v>
      </c>
      <c r="CX195" s="159">
        <f t="shared" si="84"/>
        <v>-1883.333308724928</v>
      </c>
      <c r="CY195" s="159">
        <f t="shared" si="85"/>
        <v>1.2815629172700937</v>
      </c>
      <c r="CZ195" s="159">
        <f t="shared" si="86"/>
        <v>105.30437339191485</v>
      </c>
      <c r="DA195" s="159">
        <f t="shared" si="89"/>
        <v>114.37756036950987</v>
      </c>
      <c r="DB195" s="159">
        <f t="shared" si="90"/>
        <v>110.62212641153246</v>
      </c>
      <c r="DC195" s="159">
        <f t="shared" si="90"/>
        <v>117.29592023935902</v>
      </c>
    </row>
    <row r="196" spans="1:107" x14ac:dyDescent="0.2">
      <c r="A196" s="99">
        <v>11</v>
      </c>
      <c r="B196" s="30">
        <v>595</v>
      </c>
      <c r="C196" s="47" t="s">
        <v>510</v>
      </c>
      <c r="D196" s="64">
        <v>11000.539939999999</v>
      </c>
      <c r="E196" s="64">
        <v>1152.7108899999998</v>
      </c>
      <c r="F196" s="64">
        <v>1452.3781999999999</v>
      </c>
      <c r="G196" s="205">
        <v>13604</v>
      </c>
      <c r="H196" s="205"/>
      <c r="I196" s="64">
        <v>10470</v>
      </c>
      <c r="J196" s="64">
        <v>1164</v>
      </c>
      <c r="K196" s="64">
        <v>1339</v>
      </c>
      <c r="L196" s="205">
        <v>12973</v>
      </c>
      <c r="M196" s="205"/>
      <c r="N196" s="64">
        <v>10348</v>
      </c>
      <c r="O196" s="64">
        <v>1178</v>
      </c>
      <c r="P196" s="64">
        <v>1534</v>
      </c>
      <c r="Q196" s="205">
        <v>13060</v>
      </c>
      <c r="R196" s="205"/>
      <c r="S196" s="64">
        <v>10601</v>
      </c>
      <c r="T196" s="64">
        <v>1171</v>
      </c>
      <c r="U196" s="64">
        <v>1438</v>
      </c>
      <c r="V196" s="205">
        <v>13210</v>
      </c>
      <c r="W196" s="205"/>
      <c r="X196" s="64">
        <v>11076</v>
      </c>
      <c r="Y196" s="64">
        <v>1179</v>
      </c>
      <c r="Z196" s="64">
        <v>1519</v>
      </c>
      <c r="AA196" s="205">
        <f t="shared" si="87"/>
        <v>13774</v>
      </c>
      <c r="AB196" s="205"/>
      <c r="AC196" s="64">
        <v>10716</v>
      </c>
      <c r="AD196" s="64">
        <v>1077</v>
      </c>
      <c r="AE196" s="64">
        <v>1820</v>
      </c>
      <c r="AF196" s="205">
        <f t="shared" si="64"/>
        <v>13613</v>
      </c>
      <c r="AG196" s="205"/>
      <c r="AH196" s="278">
        <v>10812.70176</v>
      </c>
      <c r="AI196" s="64">
        <v>1196.8974800000001</v>
      </c>
      <c r="AJ196" s="64">
        <v>2698.9017400000002</v>
      </c>
      <c r="AK196" s="205">
        <f t="shared" si="65"/>
        <v>14708.500980000001</v>
      </c>
      <c r="AL196" s="205"/>
      <c r="AM196" s="64">
        <v>11317.68936</v>
      </c>
      <c r="AN196" s="64">
        <v>1250.34178</v>
      </c>
      <c r="AO196" s="64">
        <v>2546.4226200000003</v>
      </c>
      <c r="AP196" s="205">
        <f t="shared" si="66"/>
        <v>15114.45376</v>
      </c>
      <c r="AQ196" s="205"/>
      <c r="AR196" s="64">
        <v>5457.3516500000005</v>
      </c>
      <c r="AS196" s="64">
        <v>1226.77774</v>
      </c>
      <c r="AT196" s="64">
        <v>1443.48614</v>
      </c>
      <c r="AU196" s="205">
        <f t="shared" si="67"/>
        <v>8127.61553</v>
      </c>
      <c r="AV196" s="205"/>
      <c r="AW196" s="64">
        <v>5394.4510714716353</v>
      </c>
      <c r="AX196" s="64">
        <v>1344.5723249986306</v>
      </c>
      <c r="AY196" s="64">
        <v>1219.7661436801184</v>
      </c>
      <c r="AZ196" s="205">
        <f t="shared" si="68"/>
        <v>7958.7895401503838</v>
      </c>
      <c r="BA196" s="205"/>
      <c r="BB196" s="64">
        <v>5585.7920795010496</v>
      </c>
      <c r="BC196" s="64">
        <v>1349.5729572595383</v>
      </c>
      <c r="BD196" s="64">
        <v>1234.4033374042797</v>
      </c>
      <c r="BE196" s="205">
        <f t="shared" si="63"/>
        <v>8169.7683741648671</v>
      </c>
      <c r="BF196" s="205"/>
      <c r="BG196" s="64">
        <v>5703.2861852055858</v>
      </c>
      <c r="BH196" s="64">
        <v>1364.9380331376069</v>
      </c>
      <c r="BI196" s="64">
        <v>1294.3461307508455</v>
      </c>
      <c r="BJ196" s="205">
        <f t="shared" si="69"/>
        <v>8362.5703490940377</v>
      </c>
      <c r="BK196" s="205"/>
      <c r="BL196" s="64">
        <v>5786.0259131114326</v>
      </c>
      <c r="BM196" s="64">
        <v>1383.1516507008721</v>
      </c>
      <c r="BN196" s="64">
        <v>1371.7141547214133</v>
      </c>
      <c r="BO196" s="205">
        <f t="shared" si="70"/>
        <v>8540.8917185337177</v>
      </c>
      <c r="BQ196" s="64">
        <v>5913.9045859833259</v>
      </c>
      <c r="BR196" s="64">
        <v>1400.8352104677654</v>
      </c>
      <c r="BS196" s="64">
        <v>1419.8077912436579</v>
      </c>
      <c r="BT196" s="205">
        <f t="shared" si="71"/>
        <v>8734.5475876947494</v>
      </c>
      <c r="BU196" s="205"/>
      <c r="BV196" s="5">
        <f t="shared" si="72"/>
        <v>13774</v>
      </c>
      <c r="BW196" s="5">
        <f t="shared" si="73"/>
        <v>13613</v>
      </c>
      <c r="BX196" s="5">
        <f t="shared" si="74"/>
        <v>14708.500980000001</v>
      </c>
      <c r="BY196" s="5">
        <f t="shared" si="75"/>
        <v>15114.45376</v>
      </c>
      <c r="BZ196" s="5">
        <f t="shared" si="76"/>
        <v>8127.61553</v>
      </c>
      <c r="CA196" s="5">
        <f t="shared" si="77"/>
        <v>7958.7895401503838</v>
      </c>
      <c r="CB196" s="5">
        <f t="shared" si="78"/>
        <v>8169.7683741648671</v>
      </c>
      <c r="CC196" s="5">
        <f t="shared" si="79"/>
        <v>8362.5703490940377</v>
      </c>
      <c r="CD196" s="5">
        <f t="shared" si="80"/>
        <v>8540.8917185337177</v>
      </c>
      <c r="CE196" s="5">
        <f t="shared" si="88"/>
        <v>8734.5475876947494</v>
      </c>
      <c r="CH196" s="41">
        <f>BV196/'1. Väestöennuste'!I196*1000</f>
        <v>3136.87087223867</v>
      </c>
      <c r="CI196" s="41">
        <f>BW196/'1. Väestöennuste'!J196*1000</f>
        <v>3150.4281416338808</v>
      </c>
      <c r="CJ196" s="41">
        <f>BX196/'1. Väestöennuste'!K196*1000</f>
        <v>3445.4207027406887</v>
      </c>
      <c r="CK196" s="41">
        <f>BY196/'1. Väestöennuste'!L196*1000</f>
        <v>3650.8342415458937</v>
      </c>
      <c r="CL196" s="41">
        <f>BZ196/'1. Väestöennuste'!M196*1000</f>
        <v>1995.4862582862756</v>
      </c>
      <c r="CM196" s="41">
        <f>CA196/'1. Väestöennuste'!N196*1000</f>
        <v>1983.2518166335369</v>
      </c>
      <c r="CN196" s="41">
        <f>CB196/'1. Väestöennuste'!O196*1000</f>
        <v>2071.9676323015133</v>
      </c>
      <c r="CO196" s="41">
        <f>CC196/'1. Väestöennuste'!P196*1000</f>
        <v>2159.1970950410632</v>
      </c>
      <c r="CP196" s="41">
        <f>CD196/'1. Väestöennuste'!Q196*1000</f>
        <v>2242.2923913189074</v>
      </c>
      <c r="CQ196" s="41">
        <f>CE196/'1. Väestöennuste'!R196*1000</f>
        <v>2331.0775520936081</v>
      </c>
      <c r="CR196" s="41"/>
      <c r="CU196" s="159">
        <f t="shared" si="81"/>
        <v>13.557269395210824</v>
      </c>
      <c r="CV196" s="159">
        <f t="shared" si="82"/>
        <v>294.9925611068079</v>
      </c>
      <c r="CW196" s="159">
        <f t="shared" si="83"/>
        <v>205.41353880520501</v>
      </c>
      <c r="CX196" s="159">
        <f t="shared" si="84"/>
        <v>-1655.3479832596181</v>
      </c>
      <c r="CY196" s="159">
        <f t="shared" si="85"/>
        <v>-12.234441652738724</v>
      </c>
      <c r="CZ196" s="159">
        <f t="shared" si="86"/>
        <v>88.715815667976358</v>
      </c>
      <c r="DA196" s="159">
        <f t="shared" si="89"/>
        <v>87.229462739549945</v>
      </c>
      <c r="DB196" s="159">
        <f t="shared" si="90"/>
        <v>83.095296277844227</v>
      </c>
      <c r="DC196" s="159">
        <f t="shared" si="90"/>
        <v>88.785160774700671</v>
      </c>
    </row>
    <row r="197" spans="1:107" x14ac:dyDescent="0.2">
      <c r="A197" s="99">
        <v>15</v>
      </c>
      <c r="B197" s="30">
        <v>598</v>
      </c>
      <c r="C197" s="47" t="s">
        <v>511</v>
      </c>
      <c r="D197" s="64">
        <v>68906.917159999997</v>
      </c>
      <c r="E197" s="64">
        <v>5438.2626399999999</v>
      </c>
      <c r="F197" s="64">
        <v>5867.4230399999997</v>
      </c>
      <c r="G197" s="205">
        <v>80212</v>
      </c>
      <c r="H197" s="205"/>
      <c r="I197" s="64">
        <v>67731</v>
      </c>
      <c r="J197" s="64">
        <v>4677</v>
      </c>
      <c r="K197" s="64">
        <v>5140</v>
      </c>
      <c r="L197" s="205">
        <v>77548</v>
      </c>
      <c r="M197" s="205"/>
      <c r="N197" s="64">
        <v>66694</v>
      </c>
      <c r="O197" s="64">
        <v>5119</v>
      </c>
      <c r="P197" s="64">
        <v>5922</v>
      </c>
      <c r="Q197" s="205">
        <v>77735</v>
      </c>
      <c r="R197" s="205"/>
      <c r="S197" s="64">
        <v>66249</v>
      </c>
      <c r="T197" s="64">
        <v>5932</v>
      </c>
      <c r="U197" s="64">
        <v>6167</v>
      </c>
      <c r="V197" s="205">
        <v>78348</v>
      </c>
      <c r="W197" s="205"/>
      <c r="X197" s="64">
        <v>67487</v>
      </c>
      <c r="Y197" s="64">
        <v>5921</v>
      </c>
      <c r="Z197" s="64">
        <v>6588</v>
      </c>
      <c r="AA197" s="205">
        <f t="shared" si="87"/>
        <v>79996</v>
      </c>
      <c r="AB197" s="205"/>
      <c r="AC197" s="64">
        <v>69956</v>
      </c>
      <c r="AD197" s="64">
        <v>5515</v>
      </c>
      <c r="AE197" s="64">
        <v>6912</v>
      </c>
      <c r="AF197" s="205">
        <f t="shared" si="64"/>
        <v>82383</v>
      </c>
      <c r="AG197" s="205"/>
      <c r="AH197" s="278">
        <v>71482.357999999993</v>
      </c>
      <c r="AI197" s="64">
        <v>6673.6390000000001</v>
      </c>
      <c r="AJ197" s="64">
        <v>11303.745999999999</v>
      </c>
      <c r="AK197" s="205">
        <f t="shared" si="65"/>
        <v>89459.742999999988</v>
      </c>
      <c r="AL197" s="205"/>
      <c r="AM197" s="64">
        <v>73783.373000000007</v>
      </c>
      <c r="AN197" s="64">
        <v>6924.54</v>
      </c>
      <c r="AO197" s="64">
        <v>11920.459000000001</v>
      </c>
      <c r="AP197" s="205">
        <f t="shared" si="66"/>
        <v>92628.372000000003</v>
      </c>
      <c r="AQ197" s="205"/>
      <c r="AR197" s="64">
        <v>37568.325579999997</v>
      </c>
      <c r="AS197" s="64">
        <v>7589.2866699999995</v>
      </c>
      <c r="AT197" s="64">
        <v>8236.6880999999994</v>
      </c>
      <c r="AU197" s="205">
        <f t="shared" si="67"/>
        <v>53394.300349999998</v>
      </c>
      <c r="AV197" s="205"/>
      <c r="AW197" s="64">
        <v>37360.002815279106</v>
      </c>
      <c r="AX197" s="64">
        <v>7995.5287791462642</v>
      </c>
      <c r="AY197" s="64">
        <v>7707.7824281124495</v>
      </c>
      <c r="AZ197" s="205">
        <f t="shared" si="68"/>
        <v>53063.314022537816</v>
      </c>
      <c r="BA197" s="205"/>
      <c r="BB197" s="64">
        <v>38983.326687593639</v>
      </c>
      <c r="BC197" s="64">
        <v>8059.8833428327443</v>
      </c>
      <c r="BD197" s="64">
        <v>7800.2758172497979</v>
      </c>
      <c r="BE197" s="205">
        <f t="shared" si="63"/>
        <v>54843.48584767618</v>
      </c>
      <c r="BF197" s="205"/>
      <c r="BG197" s="64">
        <v>40680.020825691186</v>
      </c>
      <c r="BH197" s="64">
        <v>8186.2881276845947</v>
      </c>
      <c r="BI197" s="64">
        <v>8179.0582680027537</v>
      </c>
      <c r="BJ197" s="205">
        <f t="shared" si="69"/>
        <v>57045.367221378532</v>
      </c>
      <c r="BK197" s="205"/>
      <c r="BL197" s="64">
        <v>42075.172017353361</v>
      </c>
      <c r="BM197" s="64">
        <v>8330.247598249236</v>
      </c>
      <c r="BN197" s="64">
        <v>8667.9518963001719</v>
      </c>
      <c r="BO197" s="205">
        <f t="shared" si="70"/>
        <v>59073.371511902777</v>
      </c>
      <c r="BQ197" s="64">
        <v>43694.603426567432</v>
      </c>
      <c r="BR197" s="64">
        <v>8471.5227581924064</v>
      </c>
      <c r="BS197" s="64">
        <v>8971.8587463228905</v>
      </c>
      <c r="BT197" s="205">
        <f t="shared" si="71"/>
        <v>61137.984931082727</v>
      </c>
      <c r="BU197" s="205"/>
      <c r="BV197" s="5">
        <f t="shared" si="72"/>
        <v>79996</v>
      </c>
      <c r="BW197" s="5">
        <f t="shared" si="73"/>
        <v>82383</v>
      </c>
      <c r="BX197" s="5">
        <f t="shared" si="74"/>
        <v>89459.742999999988</v>
      </c>
      <c r="BY197" s="5">
        <f t="shared" si="75"/>
        <v>92628.372000000003</v>
      </c>
      <c r="BZ197" s="5">
        <f t="shared" si="76"/>
        <v>53394.300349999998</v>
      </c>
      <c r="CA197" s="5">
        <f t="shared" si="77"/>
        <v>53063.314022537816</v>
      </c>
      <c r="CB197" s="5">
        <f t="shared" si="78"/>
        <v>54843.48584767618</v>
      </c>
      <c r="CC197" s="5">
        <f t="shared" si="79"/>
        <v>57045.367221378532</v>
      </c>
      <c r="CD197" s="5">
        <f t="shared" si="80"/>
        <v>59073.371511902777</v>
      </c>
      <c r="CE197" s="5">
        <f t="shared" si="88"/>
        <v>61137.984931082727</v>
      </c>
      <c r="CH197" s="41">
        <f>BV197/'1. Väestöennuste'!I197*1000</f>
        <v>4164.7230320699709</v>
      </c>
      <c r="CI197" s="41">
        <f>BW197/'1. Väestöennuste'!J197*1000</f>
        <v>4320.9377950277976</v>
      </c>
      <c r="CJ197" s="41">
        <f>BX197/'1. Väestöennuste'!K197*1000</f>
        <v>4684.4919620882856</v>
      </c>
      <c r="CK197" s="41">
        <f>BY197/'1. Väestöennuste'!L197*1000</f>
        <v>4822.6361222470978</v>
      </c>
      <c r="CL197" s="41">
        <f>BZ197/'1. Väestöennuste'!M197*1000</f>
        <v>2741.6842284980744</v>
      </c>
      <c r="CM197" s="41">
        <f>CA197/'1. Väestöennuste'!N197*1000</f>
        <v>2827.7811895836835</v>
      </c>
      <c r="CN197" s="41">
        <f>CB197/'1. Väestöennuste'!O197*1000</f>
        <v>2935.318232052889</v>
      </c>
      <c r="CO197" s="41">
        <f>CC197/'1. Väestöennuste'!P197*1000</f>
        <v>3066.9552269558353</v>
      </c>
      <c r="CP197" s="41">
        <f>CD197/'1. Väestöennuste'!Q197*1000</f>
        <v>3189.7068850919427</v>
      </c>
      <c r="CQ197" s="41">
        <f>CE197/'1. Väestöennuste'!R197*1000</f>
        <v>3315.3291541176031</v>
      </c>
      <c r="CR197" s="41"/>
      <c r="CU197" s="159">
        <f t="shared" si="81"/>
        <v>156.21476295782668</v>
      </c>
      <c r="CV197" s="159">
        <f t="shared" si="82"/>
        <v>363.554167060488</v>
      </c>
      <c r="CW197" s="159">
        <f t="shared" si="83"/>
        <v>138.14416015881216</v>
      </c>
      <c r="CX197" s="159">
        <f t="shared" si="84"/>
        <v>-2080.9518937490234</v>
      </c>
      <c r="CY197" s="159">
        <f t="shared" si="85"/>
        <v>86.096961085609109</v>
      </c>
      <c r="CZ197" s="159">
        <f t="shared" si="86"/>
        <v>107.53704246920552</v>
      </c>
      <c r="DA197" s="159">
        <f t="shared" si="89"/>
        <v>131.6369949029463</v>
      </c>
      <c r="DB197" s="159">
        <f t="shared" si="90"/>
        <v>122.75165813610738</v>
      </c>
      <c r="DC197" s="159">
        <f t="shared" si="90"/>
        <v>125.62226902566044</v>
      </c>
    </row>
    <row r="198" spans="1:107" x14ac:dyDescent="0.2">
      <c r="A198" s="99">
        <v>15</v>
      </c>
      <c r="B198" s="30">
        <v>599</v>
      </c>
      <c r="C198" s="47" t="s">
        <v>512</v>
      </c>
      <c r="D198" s="64">
        <v>30716.337299999999</v>
      </c>
      <c r="E198" s="64">
        <v>2057.2127799999998</v>
      </c>
      <c r="F198" s="64">
        <v>3535.96578</v>
      </c>
      <c r="G198" s="205">
        <v>36296</v>
      </c>
      <c r="H198" s="205"/>
      <c r="I198" s="64">
        <v>30276</v>
      </c>
      <c r="J198" s="64">
        <v>2146</v>
      </c>
      <c r="K198" s="64">
        <v>3058</v>
      </c>
      <c r="L198" s="205">
        <v>35480</v>
      </c>
      <c r="M198" s="205"/>
      <c r="N198" s="64">
        <v>30169</v>
      </c>
      <c r="O198" s="64">
        <v>2184</v>
      </c>
      <c r="P198" s="64">
        <v>3210</v>
      </c>
      <c r="Q198" s="205">
        <v>35563</v>
      </c>
      <c r="R198" s="205"/>
      <c r="S198" s="64">
        <v>29339</v>
      </c>
      <c r="T198" s="64">
        <v>2202</v>
      </c>
      <c r="U198" s="64">
        <v>2665</v>
      </c>
      <c r="V198" s="205">
        <v>34206</v>
      </c>
      <c r="W198" s="205"/>
      <c r="X198" s="64">
        <v>30431</v>
      </c>
      <c r="Y198" s="64">
        <v>2354</v>
      </c>
      <c r="Z198" s="64">
        <v>2645</v>
      </c>
      <c r="AA198" s="205">
        <f t="shared" si="87"/>
        <v>35430</v>
      </c>
      <c r="AB198" s="205"/>
      <c r="AC198" s="64">
        <v>32902</v>
      </c>
      <c r="AD198" s="64">
        <v>2170</v>
      </c>
      <c r="AE198" s="64">
        <v>2925</v>
      </c>
      <c r="AF198" s="205">
        <f t="shared" si="64"/>
        <v>37997</v>
      </c>
      <c r="AG198" s="205"/>
      <c r="AH198" s="278">
        <v>33409.434979999998</v>
      </c>
      <c r="AI198" s="64">
        <v>2370.6542100000001</v>
      </c>
      <c r="AJ198" s="64">
        <v>4145.2998100000004</v>
      </c>
      <c r="AK198" s="205">
        <f t="shared" si="65"/>
        <v>39925.388999999996</v>
      </c>
      <c r="AL198" s="205"/>
      <c r="AM198" s="64">
        <v>34743.706760000001</v>
      </c>
      <c r="AN198" s="64">
        <v>2546.3561600000003</v>
      </c>
      <c r="AO198" s="64">
        <v>4547.1870799999997</v>
      </c>
      <c r="AP198" s="205">
        <f t="shared" si="66"/>
        <v>41837.25</v>
      </c>
      <c r="AQ198" s="205"/>
      <c r="AR198" s="64">
        <v>18412.357929999998</v>
      </c>
      <c r="AS198" s="64">
        <v>2581.7694700000002</v>
      </c>
      <c r="AT198" s="64">
        <v>3048.85034</v>
      </c>
      <c r="AU198" s="205">
        <f t="shared" si="67"/>
        <v>24042.977739999998</v>
      </c>
      <c r="AV198" s="205"/>
      <c r="AW198" s="64">
        <v>18584.955235223468</v>
      </c>
      <c r="AX198" s="64">
        <v>2918.1754468131994</v>
      </c>
      <c r="AY198" s="64">
        <v>2380.4230509255572</v>
      </c>
      <c r="AZ198" s="205">
        <f t="shared" si="68"/>
        <v>23883.553732962224</v>
      </c>
      <c r="BA198" s="205"/>
      <c r="BB198" s="64">
        <v>20099.711862624998</v>
      </c>
      <c r="BC198" s="64">
        <v>3014.6238565404087</v>
      </c>
      <c r="BD198" s="64">
        <v>2408.9881275366638</v>
      </c>
      <c r="BE198" s="205">
        <f t="shared" si="63"/>
        <v>25523.323846702071</v>
      </c>
      <c r="BF198" s="205"/>
      <c r="BG198" s="64">
        <v>21403.730598579554</v>
      </c>
      <c r="BH198" s="64">
        <v>3138.0013552803134</v>
      </c>
      <c r="BI198" s="64">
        <v>2525.9689174678629</v>
      </c>
      <c r="BJ198" s="205">
        <f t="shared" si="69"/>
        <v>27067.700871327732</v>
      </c>
      <c r="BK198" s="205"/>
      <c r="BL198" s="64">
        <v>22357.208442355171</v>
      </c>
      <c r="BM198" s="64">
        <v>3272.7059370957804</v>
      </c>
      <c r="BN198" s="64">
        <v>2676.9557509837123</v>
      </c>
      <c r="BO198" s="205">
        <f t="shared" si="70"/>
        <v>28306.870130434661</v>
      </c>
      <c r="BQ198" s="64">
        <v>23398.006851688486</v>
      </c>
      <c r="BR198" s="64">
        <v>3411.2572506640568</v>
      </c>
      <c r="BS198" s="64">
        <v>2770.8124312773489</v>
      </c>
      <c r="BT198" s="205">
        <f t="shared" si="71"/>
        <v>29580.076533629894</v>
      </c>
      <c r="BU198" s="205"/>
      <c r="BV198" s="5">
        <f t="shared" si="72"/>
        <v>35430</v>
      </c>
      <c r="BW198" s="5">
        <f t="shared" si="73"/>
        <v>37997</v>
      </c>
      <c r="BX198" s="5">
        <f t="shared" si="74"/>
        <v>39925.388999999996</v>
      </c>
      <c r="BY198" s="5">
        <f t="shared" si="75"/>
        <v>41837.25</v>
      </c>
      <c r="BZ198" s="5">
        <f t="shared" si="76"/>
        <v>24042.977739999998</v>
      </c>
      <c r="CA198" s="5">
        <f t="shared" si="77"/>
        <v>23883.553732962224</v>
      </c>
      <c r="CB198" s="5">
        <f t="shared" si="78"/>
        <v>25523.323846702071</v>
      </c>
      <c r="CC198" s="5">
        <f t="shared" si="79"/>
        <v>27067.700871327732</v>
      </c>
      <c r="CD198" s="5">
        <f t="shared" si="80"/>
        <v>28306.870130434661</v>
      </c>
      <c r="CE198" s="5">
        <f t="shared" si="88"/>
        <v>29580.076533629894</v>
      </c>
      <c r="CH198" s="41">
        <f>BV198/'1. Väestöennuste'!I198*1000</f>
        <v>3197.3648587672592</v>
      </c>
      <c r="CI198" s="41">
        <f>BW198/'1. Väestöennuste'!J198*1000</f>
        <v>3400.4832647216754</v>
      </c>
      <c r="CJ198" s="41">
        <f>BX198/'1. Väestöennuste'!K198*1000</f>
        <v>3573.7011278195487</v>
      </c>
      <c r="CK198" s="41">
        <f>BY198/'1. Väestöennuste'!L198*1000</f>
        <v>3733.4686774941997</v>
      </c>
      <c r="CL198" s="41">
        <f>BZ198/'1. Väestöennuste'!M198*1000</f>
        <v>2141.9133844097992</v>
      </c>
      <c r="CM198" s="41">
        <f>CA198/'1. Väestöennuste'!N198*1000</f>
        <v>2119.2150606000196</v>
      </c>
      <c r="CN198" s="41">
        <f>CB198/'1. Väestöennuste'!O198*1000</f>
        <v>2260.5016248961178</v>
      </c>
      <c r="CO198" s="41">
        <f>CC198/'1. Väestöennuste'!P198*1000</f>
        <v>2393.4654586017978</v>
      </c>
      <c r="CP198" s="41">
        <f>CD198/'1. Väestöennuste'!Q198*1000</f>
        <v>2500.1651766856266</v>
      </c>
      <c r="CQ198" s="41">
        <f>CE198/'1. Väestöennuste'!R198*1000</f>
        <v>2610.313848714251</v>
      </c>
      <c r="CR198" s="41"/>
      <c r="CU198" s="159">
        <f t="shared" si="81"/>
        <v>203.11840595441618</v>
      </c>
      <c r="CV198" s="159">
        <f t="shared" si="82"/>
        <v>173.21786309787331</v>
      </c>
      <c r="CW198" s="159">
        <f t="shared" si="83"/>
        <v>159.76754967465104</v>
      </c>
      <c r="CX198" s="159">
        <f t="shared" si="84"/>
        <v>-1591.5552930844005</v>
      </c>
      <c r="CY198" s="159">
        <f t="shared" si="85"/>
        <v>-22.698323809779595</v>
      </c>
      <c r="CZ198" s="159">
        <f t="shared" si="86"/>
        <v>141.28656429609828</v>
      </c>
      <c r="DA198" s="159">
        <f t="shared" si="89"/>
        <v>132.96383370567992</v>
      </c>
      <c r="DB198" s="159">
        <f t="shared" si="90"/>
        <v>106.69971808382888</v>
      </c>
      <c r="DC198" s="159">
        <f t="shared" si="90"/>
        <v>110.14867202862433</v>
      </c>
    </row>
    <row r="199" spans="1:107" x14ac:dyDescent="0.2">
      <c r="A199" s="99">
        <v>13</v>
      </c>
      <c r="B199" s="30">
        <v>601</v>
      </c>
      <c r="C199" s="47" t="s">
        <v>513</v>
      </c>
      <c r="D199" s="64">
        <v>10131.52713</v>
      </c>
      <c r="E199" s="64">
        <v>875.03827999999999</v>
      </c>
      <c r="F199" s="64">
        <v>1472.8467800000001</v>
      </c>
      <c r="G199" s="205">
        <v>12478</v>
      </c>
      <c r="H199" s="205"/>
      <c r="I199" s="64">
        <v>9536</v>
      </c>
      <c r="J199" s="64">
        <v>859</v>
      </c>
      <c r="K199" s="64">
        <v>1398</v>
      </c>
      <c r="L199" s="205">
        <v>11792</v>
      </c>
      <c r="M199" s="205"/>
      <c r="N199" s="64">
        <v>9872</v>
      </c>
      <c r="O199" s="64">
        <v>935</v>
      </c>
      <c r="P199" s="64">
        <v>1628</v>
      </c>
      <c r="Q199" s="205">
        <v>12435</v>
      </c>
      <c r="R199" s="205"/>
      <c r="S199" s="64">
        <v>9292</v>
      </c>
      <c r="T199" s="64">
        <v>938</v>
      </c>
      <c r="U199" s="64">
        <v>1562</v>
      </c>
      <c r="V199" s="205">
        <v>11792</v>
      </c>
      <c r="W199" s="205"/>
      <c r="X199" s="64">
        <v>9737</v>
      </c>
      <c r="Y199" s="64">
        <v>951</v>
      </c>
      <c r="Z199" s="64">
        <v>1621</v>
      </c>
      <c r="AA199" s="205">
        <f t="shared" si="87"/>
        <v>12309</v>
      </c>
      <c r="AB199" s="205"/>
      <c r="AC199" s="64">
        <v>9703</v>
      </c>
      <c r="AD199" s="64">
        <v>856</v>
      </c>
      <c r="AE199" s="64">
        <v>1868</v>
      </c>
      <c r="AF199" s="205">
        <f t="shared" si="64"/>
        <v>12427</v>
      </c>
      <c r="AG199" s="205"/>
      <c r="AH199" s="278">
        <v>10026.14147</v>
      </c>
      <c r="AI199" s="64">
        <v>944.95440000000008</v>
      </c>
      <c r="AJ199" s="64">
        <v>2766.5785099999998</v>
      </c>
      <c r="AK199" s="205">
        <f t="shared" si="65"/>
        <v>13737.67438</v>
      </c>
      <c r="AL199" s="205"/>
      <c r="AM199" s="64">
        <v>10729.70804</v>
      </c>
      <c r="AN199" s="64">
        <v>1154.4688100000001</v>
      </c>
      <c r="AO199" s="64">
        <v>2848.5453399999997</v>
      </c>
      <c r="AP199" s="205">
        <f t="shared" si="66"/>
        <v>14732.72219</v>
      </c>
      <c r="AQ199" s="205"/>
      <c r="AR199" s="64">
        <v>5214.0389999999998</v>
      </c>
      <c r="AS199" s="64">
        <v>1189.0820000000001</v>
      </c>
      <c r="AT199" s="64">
        <v>1988.143</v>
      </c>
      <c r="AU199" s="205">
        <f t="shared" si="67"/>
        <v>8391.2639999999992</v>
      </c>
      <c r="AV199" s="205"/>
      <c r="AW199" s="64">
        <v>4949.1980725125086</v>
      </c>
      <c r="AX199" s="64">
        <v>1290.7423150997995</v>
      </c>
      <c r="AY199" s="64">
        <v>1727.0904570088117</v>
      </c>
      <c r="AZ199" s="205">
        <f t="shared" si="68"/>
        <v>7967.0308446211193</v>
      </c>
      <c r="BA199" s="205"/>
      <c r="BB199" s="64">
        <v>5123.5385689960031</v>
      </c>
      <c r="BC199" s="64">
        <v>1314.3996059811855</v>
      </c>
      <c r="BD199" s="64">
        <v>1747.8155424929173</v>
      </c>
      <c r="BE199" s="205">
        <f t="shared" si="63"/>
        <v>8185.7537174701056</v>
      </c>
      <c r="BF199" s="205"/>
      <c r="BG199" s="64">
        <v>5271.408696852598</v>
      </c>
      <c r="BH199" s="64">
        <v>1349.4488377085991</v>
      </c>
      <c r="BI199" s="64">
        <v>1832.6897020944932</v>
      </c>
      <c r="BJ199" s="205">
        <f t="shared" si="69"/>
        <v>8453.5472366556896</v>
      </c>
      <c r="BK199" s="205"/>
      <c r="BL199" s="64">
        <v>5371.313171598692</v>
      </c>
      <c r="BM199" s="64">
        <v>1388.9058013486065</v>
      </c>
      <c r="BN199" s="64">
        <v>1942.2365825104807</v>
      </c>
      <c r="BO199" s="205">
        <f t="shared" si="70"/>
        <v>8702.4555554577782</v>
      </c>
      <c r="BQ199" s="64">
        <v>5510.8839111957568</v>
      </c>
      <c r="BR199" s="64">
        <v>1429.5750469555189</v>
      </c>
      <c r="BS199" s="64">
        <v>2010.3332919582567</v>
      </c>
      <c r="BT199" s="205">
        <f t="shared" si="71"/>
        <v>8950.7922501095327</v>
      </c>
      <c r="BU199" s="205"/>
      <c r="BV199" s="5">
        <f t="shared" si="72"/>
        <v>12309</v>
      </c>
      <c r="BW199" s="5">
        <f t="shared" si="73"/>
        <v>12427</v>
      </c>
      <c r="BX199" s="5">
        <f t="shared" si="74"/>
        <v>13737.67438</v>
      </c>
      <c r="BY199" s="5">
        <f t="shared" si="75"/>
        <v>14732.72219</v>
      </c>
      <c r="BZ199" s="5">
        <f t="shared" si="76"/>
        <v>8391.2639999999992</v>
      </c>
      <c r="CA199" s="5">
        <f t="shared" si="77"/>
        <v>7967.0308446211193</v>
      </c>
      <c r="CB199" s="5">
        <f t="shared" si="78"/>
        <v>8185.7537174701056</v>
      </c>
      <c r="CC199" s="5">
        <f t="shared" si="79"/>
        <v>8453.5472366556896</v>
      </c>
      <c r="CD199" s="5">
        <f t="shared" si="80"/>
        <v>8702.4555554577782</v>
      </c>
      <c r="CE199" s="5">
        <f t="shared" si="88"/>
        <v>8950.7922501095327</v>
      </c>
      <c r="CH199" s="41">
        <f>BV199/'1. Väestöennuste'!I199*1000</f>
        <v>3052.8273809523807</v>
      </c>
      <c r="CI199" s="41">
        <f>BW199/'1. Väestöennuste'!J199*1000</f>
        <v>3161.2821165097939</v>
      </c>
      <c r="CJ199" s="41">
        <f>BX199/'1. Väestöennuste'!K199*1000</f>
        <v>3547.0370203976245</v>
      </c>
      <c r="CK199" s="41">
        <f>BY199/'1. Väestöennuste'!L199*1000</f>
        <v>3891.3687770734286</v>
      </c>
      <c r="CL199" s="41">
        <f>BZ199/'1. Väestöennuste'!M199*1000</f>
        <v>2244.2535437282695</v>
      </c>
      <c r="CM199" s="41">
        <f>CA199/'1. Väestöennuste'!N199*1000</f>
        <v>2163.1905632965295</v>
      </c>
      <c r="CN199" s="41">
        <f>CB199/'1. Väestöennuste'!O199*1000</f>
        <v>2256.271697207857</v>
      </c>
      <c r="CO199" s="41">
        <f>CC199/'1. Väestöennuste'!P199*1000</f>
        <v>2365.9522072923846</v>
      </c>
      <c r="CP199" s="41">
        <f>CD199/'1. Väestöennuste'!Q199*1000</f>
        <v>2470.1832402661876</v>
      </c>
      <c r="CQ199" s="41">
        <f>CE199/'1. Väestöennuste'!R199*1000</f>
        <v>2577.2508638380459</v>
      </c>
      <c r="CR199" s="41"/>
      <c r="CU199" s="159">
        <f t="shared" si="81"/>
        <v>108.45473555741319</v>
      </c>
      <c r="CV199" s="159">
        <f t="shared" si="82"/>
        <v>385.75490388783055</v>
      </c>
      <c r="CW199" s="159">
        <f t="shared" si="83"/>
        <v>344.33175667580417</v>
      </c>
      <c r="CX199" s="159">
        <f t="shared" si="84"/>
        <v>-1647.1152333451591</v>
      </c>
      <c r="CY199" s="159">
        <f t="shared" si="85"/>
        <v>-81.062980431740016</v>
      </c>
      <c r="CZ199" s="159">
        <f t="shared" si="86"/>
        <v>93.08113391132747</v>
      </c>
      <c r="DA199" s="159">
        <f t="shared" si="89"/>
        <v>109.68051008452767</v>
      </c>
      <c r="DB199" s="159">
        <f t="shared" si="90"/>
        <v>104.23103297380294</v>
      </c>
      <c r="DC199" s="159">
        <f t="shared" si="90"/>
        <v>107.06762357185835</v>
      </c>
    </row>
    <row r="200" spans="1:107" x14ac:dyDescent="0.2">
      <c r="A200" s="99">
        <v>6</v>
      </c>
      <c r="B200" s="30">
        <v>604</v>
      </c>
      <c r="C200" s="47" t="s">
        <v>514</v>
      </c>
      <c r="D200" s="64">
        <v>74077.663430000001</v>
      </c>
      <c r="E200" s="64">
        <v>3964.26386</v>
      </c>
      <c r="F200" s="64">
        <v>3274.64842</v>
      </c>
      <c r="G200" s="205">
        <v>81317</v>
      </c>
      <c r="H200" s="205"/>
      <c r="I200" s="64">
        <v>77696</v>
      </c>
      <c r="J200" s="64">
        <v>4124</v>
      </c>
      <c r="K200" s="64">
        <v>2989</v>
      </c>
      <c r="L200" s="205">
        <v>84809</v>
      </c>
      <c r="M200" s="205"/>
      <c r="N200" s="64">
        <v>76541</v>
      </c>
      <c r="O200" s="64">
        <v>5164</v>
      </c>
      <c r="P200" s="64">
        <v>3743</v>
      </c>
      <c r="Q200" s="205">
        <v>85448</v>
      </c>
      <c r="R200" s="205"/>
      <c r="S200" s="64">
        <v>76869</v>
      </c>
      <c r="T200" s="64">
        <v>5384</v>
      </c>
      <c r="U200" s="64">
        <v>3814</v>
      </c>
      <c r="V200" s="205">
        <v>86067</v>
      </c>
      <c r="W200" s="205"/>
      <c r="X200" s="64">
        <v>80907</v>
      </c>
      <c r="Y200" s="64">
        <v>5319</v>
      </c>
      <c r="Z200" s="64">
        <v>4025</v>
      </c>
      <c r="AA200" s="205">
        <f t="shared" si="87"/>
        <v>90251</v>
      </c>
      <c r="AB200" s="205"/>
      <c r="AC200" s="64">
        <v>86590</v>
      </c>
      <c r="AD200" s="64">
        <v>5213</v>
      </c>
      <c r="AE200" s="64">
        <v>4492</v>
      </c>
      <c r="AF200" s="205">
        <f t="shared" si="64"/>
        <v>96295</v>
      </c>
      <c r="AG200" s="205"/>
      <c r="AH200" s="278">
        <v>87753.839299999992</v>
      </c>
      <c r="AI200" s="64">
        <v>5872.9002899999996</v>
      </c>
      <c r="AJ200" s="64">
        <v>6962.2861299999995</v>
      </c>
      <c r="AK200" s="205">
        <f t="shared" si="65"/>
        <v>100589.02571999999</v>
      </c>
      <c r="AL200" s="205"/>
      <c r="AM200" s="64">
        <v>97222.615310000008</v>
      </c>
      <c r="AN200" s="64">
        <v>5996.4824800000006</v>
      </c>
      <c r="AO200" s="64">
        <v>8702.7602799999986</v>
      </c>
      <c r="AP200" s="205">
        <f t="shared" si="66"/>
        <v>111921.85807000002</v>
      </c>
      <c r="AQ200" s="205"/>
      <c r="AR200" s="64">
        <v>48351.164380000002</v>
      </c>
      <c r="AS200" s="64">
        <v>6930.9395800000002</v>
      </c>
      <c r="AT200" s="64">
        <v>6620.9989000000005</v>
      </c>
      <c r="AU200" s="205">
        <f t="shared" si="67"/>
        <v>61903.102859999999</v>
      </c>
      <c r="AV200" s="205"/>
      <c r="AW200" s="64">
        <v>44568.888033076735</v>
      </c>
      <c r="AX200" s="64">
        <v>7295.1188863522329</v>
      </c>
      <c r="AY200" s="64">
        <v>5560.8404646543077</v>
      </c>
      <c r="AZ200" s="205">
        <f t="shared" si="68"/>
        <v>57424.847384083274</v>
      </c>
      <c r="BA200" s="205"/>
      <c r="BB200" s="64">
        <v>46997.126869151616</v>
      </c>
      <c r="BC200" s="64">
        <v>7438.1617870150476</v>
      </c>
      <c r="BD200" s="64">
        <v>5627.5705502301589</v>
      </c>
      <c r="BE200" s="205">
        <f t="shared" si="63"/>
        <v>60062.859206396824</v>
      </c>
      <c r="BF200" s="205"/>
      <c r="BG200" s="64">
        <v>49345.584144785716</v>
      </c>
      <c r="BH200" s="64">
        <v>7644.4654583058464</v>
      </c>
      <c r="BI200" s="64">
        <v>5900.8461387788857</v>
      </c>
      <c r="BJ200" s="205">
        <f t="shared" si="69"/>
        <v>62890.895741870445</v>
      </c>
      <c r="BK200" s="205"/>
      <c r="BL200" s="64">
        <v>51320.438284199779</v>
      </c>
      <c r="BM200" s="64">
        <v>7874.32181831446</v>
      </c>
      <c r="BN200" s="64">
        <v>6253.5623053941017</v>
      </c>
      <c r="BO200" s="205">
        <f t="shared" si="70"/>
        <v>65448.322407908337</v>
      </c>
      <c r="BQ200" s="64">
        <v>53487.553776204833</v>
      </c>
      <c r="BR200" s="64">
        <v>8109.3125312070106</v>
      </c>
      <c r="BS200" s="64">
        <v>6472.8183008576143</v>
      </c>
      <c r="BT200" s="205">
        <f t="shared" si="71"/>
        <v>68069.684608269454</v>
      </c>
      <c r="BU200" s="205"/>
      <c r="BV200" s="5">
        <f t="shared" si="72"/>
        <v>90251</v>
      </c>
      <c r="BW200" s="5">
        <f t="shared" si="73"/>
        <v>96295</v>
      </c>
      <c r="BX200" s="5">
        <f t="shared" si="74"/>
        <v>100589.02571999999</v>
      </c>
      <c r="BY200" s="5">
        <f t="shared" si="75"/>
        <v>111921.85807000002</v>
      </c>
      <c r="BZ200" s="5">
        <f t="shared" si="76"/>
        <v>61903.102859999999</v>
      </c>
      <c r="CA200" s="5">
        <f t="shared" si="77"/>
        <v>57424.847384083274</v>
      </c>
      <c r="CB200" s="5">
        <f t="shared" si="78"/>
        <v>60062.859206396824</v>
      </c>
      <c r="CC200" s="5">
        <f t="shared" si="79"/>
        <v>62890.895741870445</v>
      </c>
      <c r="CD200" s="5">
        <f t="shared" si="80"/>
        <v>65448.322407908337</v>
      </c>
      <c r="CE200" s="5">
        <f t="shared" si="88"/>
        <v>68069.684608269454</v>
      </c>
      <c r="CH200" s="41">
        <f>BV200/'1. Väestöennuste'!I200*1000</f>
        <v>4599.2457830097337</v>
      </c>
      <c r="CI200" s="41">
        <f>BW200/'1. Väestöennuste'!J200*1000</f>
        <v>4862.6470736757055</v>
      </c>
      <c r="CJ200" s="41">
        <f>BX200/'1. Väestöennuste'!K200*1000</f>
        <v>4978.1760724537262</v>
      </c>
      <c r="CK200" s="41">
        <f>BY200/'1. Väestöennuste'!L200*1000</f>
        <v>5485.0212237196774</v>
      </c>
      <c r="CL200" s="41">
        <f>BZ200/'1. Väestöennuste'!M200*1000</f>
        <v>2981.4141915908103</v>
      </c>
      <c r="CM200" s="41">
        <f>CA200/'1. Väestöennuste'!N200*1000</f>
        <v>2804.3584208664979</v>
      </c>
      <c r="CN200" s="41">
        <f>CB200/'1. Väestöennuste'!O200*1000</f>
        <v>2911.2917069650925</v>
      </c>
      <c r="CO200" s="41">
        <f>CC200/'1. Väestöennuste'!P200*1000</f>
        <v>3026.8021822057199</v>
      </c>
      <c r="CP200" s="41">
        <f>CD200/'1. Väestöennuste'!Q200*1000</f>
        <v>3128.9535979303118</v>
      </c>
      <c r="CQ200" s="41">
        <f>CE200/'1. Väestöennuste'!R200*1000</f>
        <v>3233.8678610988386</v>
      </c>
      <c r="CR200" s="41"/>
      <c r="CU200" s="159">
        <f t="shared" si="81"/>
        <v>263.40129066597183</v>
      </c>
      <c r="CV200" s="159">
        <f t="shared" si="82"/>
        <v>115.52899877802065</v>
      </c>
      <c r="CW200" s="159">
        <f t="shared" si="83"/>
        <v>506.84515126595124</v>
      </c>
      <c r="CX200" s="159">
        <f t="shared" si="84"/>
        <v>-2503.6070321288671</v>
      </c>
      <c r="CY200" s="159">
        <f t="shared" si="85"/>
        <v>-177.05577072431242</v>
      </c>
      <c r="CZ200" s="159">
        <f t="shared" si="86"/>
        <v>106.93328609859464</v>
      </c>
      <c r="DA200" s="159">
        <f t="shared" si="89"/>
        <v>115.51047524062733</v>
      </c>
      <c r="DB200" s="159">
        <f t="shared" si="90"/>
        <v>102.15141572459197</v>
      </c>
      <c r="DC200" s="159">
        <f t="shared" si="90"/>
        <v>104.91426316852676</v>
      </c>
    </row>
    <row r="201" spans="1:107" x14ac:dyDescent="0.2">
      <c r="A201" s="99">
        <v>12</v>
      </c>
      <c r="B201" s="30">
        <v>607</v>
      </c>
      <c r="C201" s="47" t="s">
        <v>515</v>
      </c>
      <c r="D201" s="64">
        <v>10198.499390000001</v>
      </c>
      <c r="E201" s="64">
        <v>897.29408999999998</v>
      </c>
      <c r="F201" s="64">
        <v>1089.69911</v>
      </c>
      <c r="G201" s="205">
        <v>12189</v>
      </c>
      <c r="H201" s="205"/>
      <c r="I201" s="64">
        <v>9659</v>
      </c>
      <c r="J201" s="64">
        <v>919</v>
      </c>
      <c r="K201" s="64">
        <v>1026</v>
      </c>
      <c r="L201" s="205">
        <v>11604</v>
      </c>
      <c r="M201" s="205"/>
      <c r="N201" s="64">
        <v>9963</v>
      </c>
      <c r="O201" s="64">
        <v>909</v>
      </c>
      <c r="P201" s="64">
        <v>1241</v>
      </c>
      <c r="Q201" s="205">
        <v>12113</v>
      </c>
      <c r="R201" s="205"/>
      <c r="S201" s="64">
        <v>9223</v>
      </c>
      <c r="T201" s="64">
        <v>901</v>
      </c>
      <c r="U201" s="64">
        <v>1125</v>
      </c>
      <c r="V201" s="205">
        <v>11249</v>
      </c>
      <c r="W201" s="205"/>
      <c r="X201" s="64">
        <v>9566</v>
      </c>
      <c r="Y201" s="64">
        <v>896</v>
      </c>
      <c r="Z201" s="64">
        <v>1198</v>
      </c>
      <c r="AA201" s="205">
        <f t="shared" si="87"/>
        <v>11660</v>
      </c>
      <c r="AB201" s="205"/>
      <c r="AC201" s="64">
        <v>9554</v>
      </c>
      <c r="AD201" s="64">
        <v>827</v>
      </c>
      <c r="AE201" s="64">
        <v>1389</v>
      </c>
      <c r="AF201" s="205">
        <f t="shared" si="64"/>
        <v>11770</v>
      </c>
      <c r="AG201" s="205"/>
      <c r="AH201" s="278">
        <v>9942.5740700000006</v>
      </c>
      <c r="AI201" s="64">
        <v>906.31961999999999</v>
      </c>
      <c r="AJ201" s="64">
        <v>1842.8769600000001</v>
      </c>
      <c r="AK201" s="205">
        <f t="shared" si="65"/>
        <v>12691.77065</v>
      </c>
      <c r="AL201" s="205"/>
      <c r="AM201" s="64">
        <v>10183.7462</v>
      </c>
      <c r="AN201" s="64">
        <v>935.82245999999998</v>
      </c>
      <c r="AO201" s="64">
        <v>1942.2437500000001</v>
      </c>
      <c r="AP201" s="205">
        <f t="shared" si="66"/>
        <v>13061.812409999999</v>
      </c>
      <c r="AQ201" s="205"/>
      <c r="AR201" s="64">
        <v>4532.3934200000003</v>
      </c>
      <c r="AS201" s="64">
        <v>938.85615000000007</v>
      </c>
      <c r="AT201" s="64">
        <v>1318.4602600000001</v>
      </c>
      <c r="AU201" s="205">
        <f t="shared" si="67"/>
        <v>6789.7098299999998</v>
      </c>
      <c r="AV201" s="205"/>
      <c r="AW201" s="64">
        <v>5025.2609011450904</v>
      </c>
      <c r="AX201" s="64">
        <v>1024.8687190950475</v>
      </c>
      <c r="AY201" s="64">
        <v>966.65949563529432</v>
      </c>
      <c r="AZ201" s="205">
        <f t="shared" si="68"/>
        <v>7016.7891158754328</v>
      </c>
      <c r="BA201" s="205"/>
      <c r="BB201" s="64">
        <v>5236.9348705009988</v>
      </c>
      <c r="BC201" s="64">
        <v>1026.4818842746492</v>
      </c>
      <c r="BD201" s="64">
        <v>978.25940958291778</v>
      </c>
      <c r="BE201" s="205">
        <f t="shared" si="63"/>
        <v>7241.676164358566</v>
      </c>
      <c r="BF201" s="205"/>
      <c r="BG201" s="64">
        <v>5388.7430615746216</v>
      </c>
      <c r="BH201" s="64">
        <v>1035.9825936454993</v>
      </c>
      <c r="BI201" s="64">
        <v>1025.7638190827095</v>
      </c>
      <c r="BJ201" s="205">
        <f t="shared" si="69"/>
        <v>7450.4894743028299</v>
      </c>
      <c r="BK201" s="205"/>
      <c r="BL201" s="64">
        <v>5528.4343269241963</v>
      </c>
      <c r="BM201" s="64">
        <v>1047.6269966599418</v>
      </c>
      <c r="BN201" s="64">
        <v>1087.0776499487197</v>
      </c>
      <c r="BO201" s="205">
        <f t="shared" si="70"/>
        <v>7663.1389735328576</v>
      </c>
      <c r="BQ201" s="64">
        <v>5673.4493203108659</v>
      </c>
      <c r="BR201" s="64">
        <v>1058.8466538704913</v>
      </c>
      <c r="BS201" s="64">
        <v>1125.1916529194825</v>
      </c>
      <c r="BT201" s="205">
        <f t="shared" si="71"/>
        <v>7857.4876271008397</v>
      </c>
      <c r="BU201" s="205"/>
      <c r="BV201" s="5">
        <f t="shared" si="72"/>
        <v>11660</v>
      </c>
      <c r="BW201" s="5">
        <f t="shared" si="73"/>
        <v>11770</v>
      </c>
      <c r="BX201" s="5">
        <f t="shared" si="74"/>
        <v>12691.77065</v>
      </c>
      <c r="BY201" s="5">
        <f t="shared" si="75"/>
        <v>13061.812409999999</v>
      </c>
      <c r="BZ201" s="5">
        <f t="shared" si="76"/>
        <v>6789.7098299999998</v>
      </c>
      <c r="CA201" s="5">
        <f t="shared" si="77"/>
        <v>7016.7891158754328</v>
      </c>
      <c r="CB201" s="5">
        <f t="shared" si="78"/>
        <v>7241.676164358566</v>
      </c>
      <c r="CC201" s="5">
        <f t="shared" si="79"/>
        <v>7450.4894743028299</v>
      </c>
      <c r="CD201" s="5">
        <f t="shared" si="80"/>
        <v>7663.1389735328576</v>
      </c>
      <c r="CE201" s="5">
        <f t="shared" si="88"/>
        <v>7857.4876271008397</v>
      </c>
      <c r="CH201" s="41">
        <f>BV201/'1. Väestöennuste'!I201*1000</f>
        <v>2746.1139896373056</v>
      </c>
      <c r="CI201" s="41">
        <f>BW201/'1. Väestöennuste'!J201*1000</f>
        <v>2801.7138776481788</v>
      </c>
      <c r="CJ201" s="41">
        <f>BX201/'1. Väestöennuste'!K201*1000</f>
        <v>3050.1731915404948</v>
      </c>
      <c r="CK201" s="41">
        <f>BY201/'1. Väestöennuste'!L201*1000</f>
        <v>3198.2890328109693</v>
      </c>
      <c r="CL201" s="41">
        <f>BZ201/'1. Väestöennuste'!M201*1000</f>
        <v>1670.6963164370079</v>
      </c>
      <c r="CM201" s="41">
        <f>CA201/'1. Väestöennuste'!N201*1000</f>
        <v>1776.8521438023379</v>
      </c>
      <c r="CN201" s="41">
        <f>CB201/'1. Väestöennuste'!O201*1000</f>
        <v>1860.6567739872985</v>
      </c>
      <c r="CO201" s="41">
        <f>CC201/'1. Väestöennuste'!P201*1000</f>
        <v>1940.2316339330287</v>
      </c>
      <c r="CP201" s="41">
        <f>CD201/'1. Väestöennuste'!Q201*1000</f>
        <v>2024.0726290366763</v>
      </c>
      <c r="CQ201" s="41">
        <f>CE201/'1. Väestöennuste'!R201*1000</f>
        <v>2106.0004361031465</v>
      </c>
      <c r="CR201" s="41"/>
      <c r="CU201" s="159">
        <f t="shared" si="81"/>
        <v>55.599888010873201</v>
      </c>
      <c r="CV201" s="159">
        <f t="shared" si="82"/>
        <v>248.459313892316</v>
      </c>
      <c r="CW201" s="159">
        <f t="shared" si="83"/>
        <v>148.11584127047445</v>
      </c>
      <c r="CX201" s="159">
        <f t="shared" si="84"/>
        <v>-1527.5927163739614</v>
      </c>
      <c r="CY201" s="159">
        <f t="shared" si="85"/>
        <v>106.15582736532997</v>
      </c>
      <c r="CZ201" s="159">
        <f t="shared" si="86"/>
        <v>83.804630184960615</v>
      </c>
      <c r="DA201" s="159">
        <f t="shared" si="89"/>
        <v>79.574859945730168</v>
      </c>
      <c r="DB201" s="159">
        <f t="shared" si="90"/>
        <v>83.840995103647629</v>
      </c>
      <c r="DC201" s="159">
        <f t="shared" si="90"/>
        <v>81.927807066470223</v>
      </c>
    </row>
    <row r="202" spans="1:107" x14ac:dyDescent="0.2">
      <c r="A202" s="99">
        <v>4</v>
      </c>
      <c r="B202" s="30">
        <v>608</v>
      </c>
      <c r="C202" s="47" t="s">
        <v>516</v>
      </c>
      <c r="D202" s="64">
        <v>5681.8992900000003</v>
      </c>
      <c r="E202" s="64">
        <v>447.39589000000001</v>
      </c>
      <c r="F202" s="64">
        <v>459.52121999999997</v>
      </c>
      <c r="G202" s="205">
        <v>6587</v>
      </c>
      <c r="H202" s="205"/>
      <c r="I202" s="64">
        <v>5578</v>
      </c>
      <c r="J202" s="64">
        <v>443</v>
      </c>
      <c r="K202" s="64">
        <v>434</v>
      </c>
      <c r="L202" s="205">
        <v>6456</v>
      </c>
      <c r="M202" s="205"/>
      <c r="N202" s="64">
        <v>5495</v>
      </c>
      <c r="O202" s="64">
        <v>534</v>
      </c>
      <c r="P202" s="64">
        <v>530</v>
      </c>
      <c r="Q202" s="205">
        <v>6559</v>
      </c>
      <c r="R202" s="205"/>
      <c r="S202" s="64">
        <v>5032</v>
      </c>
      <c r="T202" s="64">
        <v>531</v>
      </c>
      <c r="U202" s="64">
        <v>540</v>
      </c>
      <c r="V202" s="205">
        <v>6103</v>
      </c>
      <c r="W202" s="205"/>
      <c r="X202" s="64">
        <v>5910</v>
      </c>
      <c r="Y202" s="64">
        <v>574</v>
      </c>
      <c r="Z202" s="64">
        <v>583</v>
      </c>
      <c r="AA202" s="205">
        <f t="shared" si="87"/>
        <v>7067</v>
      </c>
      <c r="AB202" s="205"/>
      <c r="AC202" s="64">
        <v>5712</v>
      </c>
      <c r="AD202" s="64">
        <v>512</v>
      </c>
      <c r="AE202" s="64">
        <v>640</v>
      </c>
      <c r="AF202" s="205">
        <f t="shared" si="64"/>
        <v>6864</v>
      </c>
      <c r="AG202" s="205"/>
      <c r="AH202" s="278">
        <v>6042.1893200000004</v>
      </c>
      <c r="AI202" s="64">
        <v>548.54110000000003</v>
      </c>
      <c r="AJ202" s="64">
        <v>920.93853000000001</v>
      </c>
      <c r="AK202" s="205">
        <f t="shared" si="65"/>
        <v>7511.6689500000011</v>
      </c>
      <c r="AL202" s="205"/>
      <c r="AM202" s="64">
        <v>6037.4277199999997</v>
      </c>
      <c r="AN202" s="64">
        <v>563.25016000000005</v>
      </c>
      <c r="AO202" s="64">
        <v>925.51328000000001</v>
      </c>
      <c r="AP202" s="205">
        <f t="shared" si="66"/>
        <v>7526.1911599999994</v>
      </c>
      <c r="AQ202" s="205"/>
      <c r="AR202" s="64">
        <v>3185.4810499999999</v>
      </c>
      <c r="AS202" s="64">
        <v>547.41956999999991</v>
      </c>
      <c r="AT202" s="64">
        <v>539.15467000000001</v>
      </c>
      <c r="AU202" s="205">
        <f t="shared" si="67"/>
        <v>4272.0552900000002</v>
      </c>
      <c r="AV202" s="205"/>
      <c r="AW202" s="64">
        <v>3235.9274882367936</v>
      </c>
      <c r="AX202" s="64">
        <v>609.18375580283794</v>
      </c>
      <c r="AY202" s="64">
        <v>390.72100213764827</v>
      </c>
      <c r="AZ202" s="205">
        <f t="shared" si="68"/>
        <v>4235.8322461772796</v>
      </c>
      <c r="BA202" s="205"/>
      <c r="BB202" s="64">
        <v>3421.4129393618523</v>
      </c>
      <c r="BC202" s="64">
        <v>622.91642248640733</v>
      </c>
      <c r="BD202" s="64">
        <v>395.40965416330005</v>
      </c>
      <c r="BE202" s="205">
        <f t="shared" si="63"/>
        <v>4439.7390160115592</v>
      </c>
      <c r="BF202" s="205"/>
      <c r="BG202" s="64">
        <v>3536.3084562062231</v>
      </c>
      <c r="BH202" s="64">
        <v>641.81506925037729</v>
      </c>
      <c r="BI202" s="64">
        <v>414.6108005540645</v>
      </c>
      <c r="BJ202" s="205">
        <f t="shared" si="69"/>
        <v>4592.7343260106645</v>
      </c>
      <c r="BK202" s="205"/>
      <c r="BL202" s="64">
        <v>3609.6912352272334</v>
      </c>
      <c r="BM202" s="64">
        <v>662.55856814204969</v>
      </c>
      <c r="BN202" s="64">
        <v>439.39367554679529</v>
      </c>
      <c r="BO202" s="205">
        <f t="shared" si="70"/>
        <v>4711.6434789160776</v>
      </c>
      <c r="BQ202" s="64">
        <v>3697.2273469191268</v>
      </c>
      <c r="BR202" s="64">
        <v>683.58514122205179</v>
      </c>
      <c r="BS202" s="64">
        <v>454.79924648822259</v>
      </c>
      <c r="BT202" s="205">
        <f t="shared" si="71"/>
        <v>4835.6117346294013</v>
      </c>
      <c r="BU202" s="205"/>
      <c r="BV202" s="5">
        <f t="shared" si="72"/>
        <v>7067</v>
      </c>
      <c r="BW202" s="5">
        <f t="shared" si="73"/>
        <v>6864</v>
      </c>
      <c r="BX202" s="5">
        <f t="shared" si="74"/>
        <v>7511.6689500000011</v>
      </c>
      <c r="BY202" s="5">
        <f t="shared" si="75"/>
        <v>7526.1911599999994</v>
      </c>
      <c r="BZ202" s="5">
        <f t="shared" si="76"/>
        <v>4272.0552900000002</v>
      </c>
      <c r="CA202" s="5">
        <f t="shared" si="77"/>
        <v>4235.8322461772796</v>
      </c>
      <c r="CB202" s="5">
        <f t="shared" si="78"/>
        <v>4439.7390160115592</v>
      </c>
      <c r="CC202" s="5">
        <f t="shared" si="79"/>
        <v>4592.7343260106645</v>
      </c>
      <c r="CD202" s="5">
        <f t="shared" si="80"/>
        <v>4711.6434789160776</v>
      </c>
      <c r="CE202" s="5">
        <f t="shared" si="88"/>
        <v>4835.6117346294013</v>
      </c>
      <c r="CH202" s="41">
        <f>BV202/'1. Väestöennuste'!I202*1000</f>
        <v>3382.9583532790812</v>
      </c>
      <c r="CI202" s="41">
        <f>BW202/'1. Väestöennuste'!J202*1000</f>
        <v>3327.1934076587495</v>
      </c>
      <c r="CJ202" s="41">
        <f>BX202/'1. Väestöennuste'!K202*1000</f>
        <v>3731.5792101341285</v>
      </c>
      <c r="CK202" s="41">
        <f>BY202/'1. Väestöennuste'!L202*1000</f>
        <v>3801.106646464646</v>
      </c>
      <c r="CL202" s="41">
        <f>BZ202/'1. Väestöennuste'!M202*1000</f>
        <v>2198.6903190941844</v>
      </c>
      <c r="CM202" s="41">
        <f>CA202/'1. Väestöennuste'!N202*1000</f>
        <v>2174.4518717542505</v>
      </c>
      <c r="CN202" s="41">
        <f>CB202/'1. Väestöennuste'!O202*1000</f>
        <v>2308.7566385915547</v>
      </c>
      <c r="CO202" s="41">
        <f>CC202/'1. Väestöennuste'!P202*1000</f>
        <v>2421.0513052243882</v>
      </c>
      <c r="CP202" s="41">
        <f>CD202/'1. Väestöennuste'!Q202*1000</f>
        <v>2518.2487861657282</v>
      </c>
      <c r="CQ202" s="41">
        <f>CE202/'1. Väestöennuste'!R202*1000</f>
        <v>2618.0897317971853</v>
      </c>
      <c r="CR202" s="41"/>
      <c r="CU202" s="159">
        <f t="shared" si="81"/>
        <v>-55.764945620331673</v>
      </c>
      <c r="CV202" s="159">
        <f t="shared" si="82"/>
        <v>404.38580247537902</v>
      </c>
      <c r="CW202" s="159">
        <f t="shared" si="83"/>
        <v>69.527436330517503</v>
      </c>
      <c r="CX202" s="159">
        <f t="shared" si="84"/>
        <v>-1602.4163273704617</v>
      </c>
      <c r="CY202" s="159">
        <f t="shared" si="85"/>
        <v>-24.238447339933828</v>
      </c>
      <c r="CZ202" s="159">
        <f t="shared" si="86"/>
        <v>134.30476683730421</v>
      </c>
      <c r="DA202" s="159">
        <f t="shared" si="89"/>
        <v>112.29466663283347</v>
      </c>
      <c r="DB202" s="159">
        <f t="shared" si="90"/>
        <v>97.197480941340018</v>
      </c>
      <c r="DC202" s="159">
        <f t="shared" si="90"/>
        <v>99.840945631457089</v>
      </c>
    </row>
    <row r="203" spans="1:107" x14ac:dyDescent="0.2">
      <c r="A203" s="99">
        <v>4</v>
      </c>
      <c r="B203" s="30">
        <v>609</v>
      </c>
      <c r="C203" s="47" t="s">
        <v>517</v>
      </c>
      <c r="D203" s="64">
        <v>268417.73674999998</v>
      </c>
      <c r="E203" s="64">
        <v>22101.404280000002</v>
      </c>
      <c r="F203" s="64">
        <v>17943.734820000001</v>
      </c>
      <c r="G203" s="205">
        <v>308500</v>
      </c>
      <c r="H203" s="205"/>
      <c r="I203" s="64">
        <v>271049</v>
      </c>
      <c r="J203" s="64">
        <v>23230</v>
      </c>
      <c r="K203" s="64">
        <v>14121</v>
      </c>
      <c r="L203" s="205">
        <v>308400</v>
      </c>
      <c r="M203" s="205"/>
      <c r="N203" s="64">
        <v>263387</v>
      </c>
      <c r="O203" s="64">
        <v>23139</v>
      </c>
      <c r="P203" s="64">
        <v>16961</v>
      </c>
      <c r="Q203" s="205">
        <v>303487</v>
      </c>
      <c r="R203" s="205"/>
      <c r="S203" s="64">
        <v>265797</v>
      </c>
      <c r="T203" s="64">
        <v>24428</v>
      </c>
      <c r="U203" s="64">
        <v>16332</v>
      </c>
      <c r="V203" s="205">
        <v>306557</v>
      </c>
      <c r="W203" s="205"/>
      <c r="X203" s="64">
        <v>273458</v>
      </c>
      <c r="Y203" s="64">
        <v>23698</v>
      </c>
      <c r="Z203" s="64">
        <v>17286</v>
      </c>
      <c r="AA203" s="205">
        <f t="shared" si="87"/>
        <v>314442</v>
      </c>
      <c r="AB203" s="205"/>
      <c r="AC203" s="64">
        <v>282016</v>
      </c>
      <c r="AD203" s="64">
        <v>22582</v>
      </c>
      <c r="AE203" s="64">
        <v>17516</v>
      </c>
      <c r="AF203" s="205">
        <f t="shared" si="64"/>
        <v>322114</v>
      </c>
      <c r="AG203" s="205"/>
      <c r="AH203" s="278">
        <v>293489.60876999999</v>
      </c>
      <c r="AI203" s="64">
        <v>24503.425070000001</v>
      </c>
      <c r="AJ203" s="64">
        <v>23958.8056</v>
      </c>
      <c r="AK203" s="205">
        <f t="shared" si="65"/>
        <v>341951.83944000001</v>
      </c>
      <c r="AL203" s="205"/>
      <c r="AM203" s="64">
        <v>308217.95329999999</v>
      </c>
      <c r="AN203" s="64">
        <v>26029.671579999998</v>
      </c>
      <c r="AO203" s="64">
        <v>26174.82058</v>
      </c>
      <c r="AP203" s="205">
        <f t="shared" si="66"/>
        <v>360422.44546000002</v>
      </c>
      <c r="AQ203" s="205"/>
      <c r="AR203" s="64">
        <v>154748.10669999997</v>
      </c>
      <c r="AS203" s="64">
        <v>27101.569309999999</v>
      </c>
      <c r="AT203" s="64">
        <v>18852.855480000002</v>
      </c>
      <c r="AU203" s="205">
        <f t="shared" si="67"/>
        <v>200702.53148999996</v>
      </c>
      <c r="AV203" s="205"/>
      <c r="AW203" s="64">
        <v>146256.5555122151</v>
      </c>
      <c r="AX203" s="64">
        <v>28221.825216261139</v>
      </c>
      <c r="AY203" s="64">
        <v>16700.127240039426</v>
      </c>
      <c r="AZ203" s="205">
        <f t="shared" si="68"/>
        <v>191178.50796851568</v>
      </c>
      <c r="BA203" s="205"/>
      <c r="BB203" s="64">
        <v>153774.12829400713</v>
      </c>
      <c r="BC203" s="64">
        <v>28083.078915477479</v>
      </c>
      <c r="BD203" s="64">
        <v>16900.528766919899</v>
      </c>
      <c r="BE203" s="205">
        <f t="shared" si="63"/>
        <v>198757.73597640448</v>
      </c>
      <c r="BF203" s="205"/>
      <c r="BG203" s="64">
        <v>160248.5038340982</v>
      </c>
      <c r="BH203" s="64">
        <v>28163.419434418331</v>
      </c>
      <c r="BI203" s="64">
        <v>17721.220734144692</v>
      </c>
      <c r="BJ203" s="205">
        <f t="shared" si="69"/>
        <v>206133.14400266123</v>
      </c>
      <c r="BK203" s="205"/>
      <c r="BL203" s="64">
        <v>165644.7158383248</v>
      </c>
      <c r="BM203" s="64">
        <v>28303.611969572794</v>
      </c>
      <c r="BN203" s="64">
        <v>18780.485947655765</v>
      </c>
      <c r="BO203" s="205">
        <f t="shared" si="70"/>
        <v>212728.81375555336</v>
      </c>
      <c r="BQ203" s="64">
        <v>171765.05026111347</v>
      </c>
      <c r="BR203" s="64">
        <v>28433.679925616059</v>
      </c>
      <c r="BS203" s="64">
        <v>19438.948107405889</v>
      </c>
      <c r="BT203" s="205">
        <f t="shared" si="71"/>
        <v>219637.6782941354</v>
      </c>
      <c r="BU203" s="205"/>
      <c r="BV203" s="5">
        <f t="shared" si="72"/>
        <v>314442</v>
      </c>
      <c r="BW203" s="5">
        <f t="shared" si="73"/>
        <v>322114</v>
      </c>
      <c r="BX203" s="5">
        <f t="shared" si="74"/>
        <v>341951.83944000001</v>
      </c>
      <c r="BY203" s="5">
        <f t="shared" si="75"/>
        <v>360422.44546000002</v>
      </c>
      <c r="BZ203" s="5">
        <f t="shared" si="76"/>
        <v>200702.53148999996</v>
      </c>
      <c r="CA203" s="5">
        <f t="shared" si="77"/>
        <v>191178.50796851568</v>
      </c>
      <c r="CB203" s="5">
        <f t="shared" si="78"/>
        <v>198757.73597640448</v>
      </c>
      <c r="CC203" s="5">
        <f t="shared" si="79"/>
        <v>206133.14400266123</v>
      </c>
      <c r="CD203" s="5">
        <f t="shared" si="80"/>
        <v>212728.81375555336</v>
      </c>
      <c r="CE203" s="5">
        <f t="shared" si="88"/>
        <v>219637.6782941354</v>
      </c>
      <c r="CH203" s="41">
        <f>BV203/'1. Väestöennuste'!I203*1000</f>
        <v>3746.3006648080636</v>
      </c>
      <c r="CI203" s="41">
        <f>BW203/'1. Väestöennuste'!J203*1000</f>
        <v>3849.1706897375843</v>
      </c>
      <c r="CJ203" s="41">
        <f>BX203/'1. Väestöennuste'!K203*1000</f>
        <v>4096.1146048249921</v>
      </c>
      <c r="CK203" s="41">
        <f>BY203/'1. Väestöennuste'!L203*1000</f>
        <v>4331.7402254672197</v>
      </c>
      <c r="CL203" s="41">
        <f>BZ203/'1. Väestöennuste'!M203*1000</f>
        <v>2415.0185484802537</v>
      </c>
      <c r="CM203" s="41">
        <f>CA203/'1. Väestöennuste'!N203*1000</f>
        <v>2324.4435416308888</v>
      </c>
      <c r="CN203" s="41">
        <f>CB203/'1. Väestöennuste'!O203*1000</f>
        <v>2427.6050513765599</v>
      </c>
      <c r="CO203" s="41">
        <f>CC203/'1. Väestöennuste'!P203*1000</f>
        <v>2529.396208388996</v>
      </c>
      <c r="CP203" s="41">
        <f>CD203/'1. Väestöennuste'!Q203*1000</f>
        <v>2622.5259351490872</v>
      </c>
      <c r="CQ203" s="41">
        <f>CE203/'1. Väestöennuste'!R203*1000</f>
        <v>2720.4092088402517</v>
      </c>
      <c r="CR203" s="41"/>
      <c r="CU203" s="159">
        <f t="shared" si="81"/>
        <v>102.8700249295207</v>
      </c>
      <c r="CV203" s="159">
        <f t="shared" si="82"/>
        <v>246.94391508740773</v>
      </c>
      <c r="CW203" s="159">
        <f t="shared" si="83"/>
        <v>235.62562064222766</v>
      </c>
      <c r="CX203" s="159">
        <f t="shared" si="84"/>
        <v>-1916.721676986966</v>
      </c>
      <c r="CY203" s="159">
        <f t="shared" si="85"/>
        <v>-90.575006849364854</v>
      </c>
      <c r="CZ203" s="159">
        <f t="shared" si="86"/>
        <v>103.16150974567108</v>
      </c>
      <c r="DA203" s="159">
        <f t="shared" si="89"/>
        <v>101.79115701243609</v>
      </c>
      <c r="DB203" s="159">
        <f t="shared" si="90"/>
        <v>93.129726760091216</v>
      </c>
      <c r="DC203" s="159">
        <f t="shared" si="90"/>
        <v>97.883273691164504</v>
      </c>
    </row>
    <row r="204" spans="1:107" x14ac:dyDescent="0.2">
      <c r="A204" s="99">
        <v>1</v>
      </c>
      <c r="B204" s="30">
        <v>611</v>
      </c>
      <c r="C204" s="47" t="s">
        <v>518</v>
      </c>
      <c r="D204" s="64">
        <v>17010.399799999999</v>
      </c>
      <c r="E204" s="64">
        <v>1105.29528</v>
      </c>
      <c r="F204" s="64">
        <v>387.17063999999999</v>
      </c>
      <c r="G204" s="205">
        <v>18499</v>
      </c>
      <c r="H204" s="205"/>
      <c r="I204" s="64">
        <v>17837</v>
      </c>
      <c r="J204" s="64">
        <v>1099</v>
      </c>
      <c r="K204" s="64">
        <v>351</v>
      </c>
      <c r="L204" s="205">
        <v>19287</v>
      </c>
      <c r="M204" s="205"/>
      <c r="N204" s="64">
        <v>18040</v>
      </c>
      <c r="O204" s="64">
        <v>1129</v>
      </c>
      <c r="P204" s="64">
        <v>627</v>
      </c>
      <c r="Q204" s="205">
        <v>19796</v>
      </c>
      <c r="R204" s="205"/>
      <c r="S204" s="64">
        <v>17786</v>
      </c>
      <c r="T204" s="64">
        <v>1170</v>
      </c>
      <c r="U204" s="64">
        <v>726</v>
      </c>
      <c r="V204" s="205">
        <v>19682</v>
      </c>
      <c r="W204" s="205"/>
      <c r="X204" s="64">
        <v>18196</v>
      </c>
      <c r="Y204" s="64">
        <v>1188</v>
      </c>
      <c r="Z204" s="64">
        <v>619</v>
      </c>
      <c r="AA204" s="205">
        <f t="shared" si="87"/>
        <v>20003</v>
      </c>
      <c r="AB204" s="205"/>
      <c r="AC204" s="64">
        <v>19524</v>
      </c>
      <c r="AD204" s="64">
        <v>1090</v>
      </c>
      <c r="AE204" s="64">
        <v>600</v>
      </c>
      <c r="AF204" s="205">
        <f t="shared" si="64"/>
        <v>21214</v>
      </c>
      <c r="AG204" s="205"/>
      <c r="AH204" s="278">
        <v>19766.666269999998</v>
      </c>
      <c r="AI204" s="64">
        <v>1191.5896499999999</v>
      </c>
      <c r="AJ204" s="64">
        <v>729.76366000000007</v>
      </c>
      <c r="AK204" s="205">
        <f t="shared" si="65"/>
        <v>21688.019579999996</v>
      </c>
      <c r="AL204" s="205"/>
      <c r="AM204" s="64">
        <v>20855.664530000002</v>
      </c>
      <c r="AN204" s="64">
        <v>1259.39517</v>
      </c>
      <c r="AO204" s="64">
        <v>760.18889000000001</v>
      </c>
      <c r="AP204" s="205">
        <f t="shared" si="66"/>
        <v>22875.248590000003</v>
      </c>
      <c r="AQ204" s="205"/>
      <c r="AR204" s="64">
        <v>10148.447890000001</v>
      </c>
      <c r="AS204" s="64">
        <v>1293.4642200000001</v>
      </c>
      <c r="AT204" s="64">
        <v>535.07206000000008</v>
      </c>
      <c r="AU204" s="205">
        <f t="shared" si="67"/>
        <v>11976.984170000002</v>
      </c>
      <c r="AV204" s="205"/>
      <c r="AW204" s="64">
        <v>9475.5890584564168</v>
      </c>
      <c r="AX204" s="64">
        <v>1404.8230128956461</v>
      </c>
      <c r="AY204" s="64">
        <v>428.59247879689201</v>
      </c>
      <c r="AZ204" s="205">
        <f t="shared" si="68"/>
        <v>11309.004550148955</v>
      </c>
      <c r="BA204" s="205"/>
      <c r="BB204" s="64">
        <v>10160.063445046797</v>
      </c>
      <c r="BC204" s="64">
        <v>1408.5517792964372</v>
      </c>
      <c r="BD204" s="64">
        <v>433.73558854245471</v>
      </c>
      <c r="BE204" s="205">
        <f t="shared" si="63"/>
        <v>12002.350812885688</v>
      </c>
      <c r="BF204" s="205"/>
      <c r="BG204" s="64">
        <v>10693.354602204376</v>
      </c>
      <c r="BH204" s="64">
        <v>1423.3265655220271</v>
      </c>
      <c r="BI204" s="64">
        <v>454.79784750047344</v>
      </c>
      <c r="BJ204" s="205">
        <f t="shared" si="69"/>
        <v>12571.479015226876</v>
      </c>
      <c r="BK204" s="205"/>
      <c r="BL204" s="64">
        <v>11149.13877159308</v>
      </c>
      <c r="BM204" s="64">
        <v>1441.2842266726607</v>
      </c>
      <c r="BN204" s="64">
        <v>481.98285615559058</v>
      </c>
      <c r="BO204" s="205">
        <f t="shared" si="70"/>
        <v>13072.405854421331</v>
      </c>
      <c r="BQ204" s="64">
        <v>11656.370700775749</v>
      </c>
      <c r="BR204" s="64">
        <v>1458.8985830964391</v>
      </c>
      <c r="BS204" s="64">
        <v>498.88164531958233</v>
      </c>
      <c r="BT204" s="205">
        <f t="shared" si="71"/>
        <v>13614.150929191772</v>
      </c>
      <c r="BU204" s="205"/>
      <c r="BV204" s="5">
        <f t="shared" si="72"/>
        <v>20003</v>
      </c>
      <c r="BW204" s="5">
        <f t="shared" si="73"/>
        <v>21214</v>
      </c>
      <c r="BX204" s="5">
        <f t="shared" si="74"/>
        <v>21688.019579999996</v>
      </c>
      <c r="BY204" s="5">
        <f t="shared" si="75"/>
        <v>22875.248590000003</v>
      </c>
      <c r="BZ204" s="5">
        <f t="shared" si="76"/>
        <v>11976.984170000002</v>
      </c>
      <c r="CA204" s="5">
        <f t="shared" si="77"/>
        <v>11309.004550148955</v>
      </c>
      <c r="CB204" s="5">
        <f t="shared" si="78"/>
        <v>12002.350812885688</v>
      </c>
      <c r="CC204" s="5">
        <f t="shared" si="79"/>
        <v>12571.479015226876</v>
      </c>
      <c r="CD204" s="5">
        <f t="shared" si="80"/>
        <v>13072.405854421331</v>
      </c>
      <c r="CE204" s="5">
        <f t="shared" si="88"/>
        <v>13614.150929191772</v>
      </c>
      <c r="CH204" s="41">
        <f>BV204/'1. Väestöennuste'!I204*1000</f>
        <v>3972.7904667328698</v>
      </c>
      <c r="CI204" s="41">
        <f>BW204/'1. Väestöennuste'!J204*1000</f>
        <v>4184.2209072978303</v>
      </c>
      <c r="CJ204" s="41">
        <f>BX204/'1. Väestöennuste'!K204*1000</f>
        <v>4281.0934820371094</v>
      </c>
      <c r="CK204" s="41">
        <f>BY204/'1. Väestöennuste'!L204*1000</f>
        <v>4565.006703252845</v>
      </c>
      <c r="CL204" s="41">
        <f>BZ204/'1. Väestöennuste'!M204*1000</f>
        <v>2408.4022059119247</v>
      </c>
      <c r="CM204" s="41">
        <f>CA204/'1. Väestöennuste'!N204*1000</f>
        <v>2234.098093668304</v>
      </c>
      <c r="CN204" s="41">
        <f>CB204/'1. Väestöennuste'!O204*1000</f>
        <v>2368.7291914122143</v>
      </c>
      <c r="CO204" s="41">
        <f>CC204/'1. Väestöennuste'!P204*1000</f>
        <v>2477.1387222121925</v>
      </c>
      <c r="CP204" s="41">
        <f>CD204/'1. Väestöennuste'!Q204*1000</f>
        <v>2569.7672212347807</v>
      </c>
      <c r="CQ204" s="41">
        <f>CE204/'1. Väestöennuste'!R204*1000</f>
        <v>2671.0125425135907</v>
      </c>
      <c r="CR204" s="41"/>
      <c r="CU204" s="159">
        <f t="shared" si="81"/>
        <v>211.43044056496046</v>
      </c>
      <c r="CV204" s="159">
        <f t="shared" si="82"/>
        <v>96.872574739279116</v>
      </c>
      <c r="CW204" s="159">
        <f t="shared" si="83"/>
        <v>283.91322121573558</v>
      </c>
      <c r="CX204" s="159">
        <f t="shared" si="84"/>
        <v>-2156.6044973409203</v>
      </c>
      <c r="CY204" s="159">
        <f t="shared" si="85"/>
        <v>-174.30411224362069</v>
      </c>
      <c r="CZ204" s="159">
        <f t="shared" si="86"/>
        <v>134.63109774391023</v>
      </c>
      <c r="DA204" s="159">
        <f t="shared" si="89"/>
        <v>108.40953079997826</v>
      </c>
      <c r="DB204" s="159">
        <f t="shared" si="90"/>
        <v>92.62849902258813</v>
      </c>
      <c r="DC204" s="159">
        <f t="shared" si="90"/>
        <v>101.24532127881002</v>
      </c>
    </row>
    <row r="205" spans="1:107" x14ac:dyDescent="0.2">
      <c r="A205" s="99">
        <v>19</v>
      </c>
      <c r="B205" s="30">
        <v>614</v>
      </c>
      <c r="C205" s="47" t="s">
        <v>519</v>
      </c>
      <c r="D205" s="64">
        <v>8723.4839100000008</v>
      </c>
      <c r="E205" s="64">
        <v>1126.7340200000001</v>
      </c>
      <c r="F205" s="64">
        <v>707.39787999999999</v>
      </c>
      <c r="G205" s="205">
        <v>10558</v>
      </c>
      <c r="H205" s="205"/>
      <c r="I205" s="64">
        <v>8126</v>
      </c>
      <c r="J205" s="64">
        <v>1234</v>
      </c>
      <c r="K205" s="64">
        <v>705</v>
      </c>
      <c r="L205" s="205">
        <v>10065</v>
      </c>
      <c r="M205" s="205"/>
      <c r="N205" s="64">
        <v>8590</v>
      </c>
      <c r="O205" s="64">
        <v>1277</v>
      </c>
      <c r="P205" s="64">
        <v>786</v>
      </c>
      <c r="Q205" s="205">
        <v>10653</v>
      </c>
      <c r="R205" s="205"/>
      <c r="S205" s="64">
        <v>7511</v>
      </c>
      <c r="T205" s="64">
        <v>1230</v>
      </c>
      <c r="U205" s="64">
        <v>660</v>
      </c>
      <c r="V205" s="205">
        <v>9401</v>
      </c>
      <c r="W205" s="205"/>
      <c r="X205" s="64">
        <v>8013</v>
      </c>
      <c r="Y205" s="64">
        <v>1250</v>
      </c>
      <c r="Z205" s="64">
        <v>714</v>
      </c>
      <c r="AA205" s="205">
        <f t="shared" si="87"/>
        <v>9977</v>
      </c>
      <c r="AB205" s="205"/>
      <c r="AC205" s="64">
        <v>8303</v>
      </c>
      <c r="AD205" s="64">
        <v>1145</v>
      </c>
      <c r="AE205" s="64">
        <v>766</v>
      </c>
      <c r="AF205" s="205">
        <f t="shared" si="64"/>
        <v>10214</v>
      </c>
      <c r="AG205" s="205"/>
      <c r="AH205" s="278">
        <v>8812.2509000000009</v>
      </c>
      <c r="AI205" s="64">
        <v>1286.17968</v>
      </c>
      <c r="AJ205" s="64">
        <v>1105.4397200000001</v>
      </c>
      <c r="AK205" s="205">
        <f t="shared" si="65"/>
        <v>11203.8703</v>
      </c>
      <c r="AL205" s="205"/>
      <c r="AM205" s="64">
        <v>8454.5837699999993</v>
      </c>
      <c r="AN205" s="64">
        <v>1373.4795200000001</v>
      </c>
      <c r="AO205" s="64">
        <v>1157.78513</v>
      </c>
      <c r="AP205" s="205">
        <f t="shared" si="66"/>
        <v>10985.84842</v>
      </c>
      <c r="AQ205" s="205"/>
      <c r="AR205" s="64">
        <v>4532.2528300000004</v>
      </c>
      <c r="AS205" s="64">
        <v>1543.0573200000001</v>
      </c>
      <c r="AT205" s="64">
        <v>735.30291</v>
      </c>
      <c r="AU205" s="205">
        <f t="shared" si="67"/>
        <v>6810.6130600000006</v>
      </c>
      <c r="AV205" s="205"/>
      <c r="AW205" s="64">
        <v>4168.7507115141398</v>
      </c>
      <c r="AX205" s="64">
        <v>2063.0323674757083</v>
      </c>
      <c r="AY205" s="64">
        <v>612.43311387805738</v>
      </c>
      <c r="AZ205" s="205">
        <f t="shared" si="68"/>
        <v>6844.2161928679052</v>
      </c>
      <c r="BA205" s="205"/>
      <c r="BB205" s="64">
        <v>4324.6328727407108</v>
      </c>
      <c r="BC205" s="64">
        <v>2059.8482181919926</v>
      </c>
      <c r="BD205" s="64">
        <v>619.78231124459398</v>
      </c>
      <c r="BE205" s="205">
        <f t="shared" ref="BE205:BE268" si="91">SUM(BB205:BD205)</f>
        <v>7004.2634021772974</v>
      </c>
      <c r="BF205" s="205"/>
      <c r="BG205" s="64">
        <v>4396.701508105114</v>
      </c>
      <c r="BH205" s="64">
        <v>2074.8094777614938</v>
      </c>
      <c r="BI205" s="64">
        <v>649.87902426945857</v>
      </c>
      <c r="BJ205" s="205">
        <f t="shared" si="69"/>
        <v>7121.3900101360659</v>
      </c>
      <c r="BK205" s="205"/>
      <c r="BL205" s="64">
        <v>4473.2640032161662</v>
      </c>
      <c r="BM205" s="64">
        <v>2096.1719218881381</v>
      </c>
      <c r="BN205" s="64">
        <v>688.72478177829544</v>
      </c>
      <c r="BO205" s="205">
        <f t="shared" si="70"/>
        <v>7258.1607068825997</v>
      </c>
      <c r="BQ205" s="64">
        <v>4555.0951892466892</v>
      </c>
      <c r="BR205" s="64">
        <v>2118.654885895095</v>
      </c>
      <c r="BS205" s="64">
        <v>712.87214455405876</v>
      </c>
      <c r="BT205" s="205">
        <f t="shared" si="71"/>
        <v>7386.6222196958433</v>
      </c>
      <c r="BU205" s="205"/>
      <c r="BV205" s="5">
        <f t="shared" si="72"/>
        <v>9977</v>
      </c>
      <c r="BW205" s="5">
        <f t="shared" si="73"/>
        <v>10214</v>
      </c>
      <c r="BX205" s="5">
        <f t="shared" si="74"/>
        <v>11203.8703</v>
      </c>
      <c r="BY205" s="5">
        <f t="shared" si="75"/>
        <v>10985.84842</v>
      </c>
      <c r="BZ205" s="5">
        <f t="shared" si="76"/>
        <v>6810.6130600000006</v>
      </c>
      <c r="CA205" s="5">
        <f t="shared" si="77"/>
        <v>6844.2161928679052</v>
      </c>
      <c r="CB205" s="5">
        <f t="shared" si="78"/>
        <v>7004.2634021772974</v>
      </c>
      <c r="CC205" s="5">
        <f t="shared" si="79"/>
        <v>7121.3900101360659</v>
      </c>
      <c r="CD205" s="5">
        <f t="shared" si="80"/>
        <v>7258.1607068825997</v>
      </c>
      <c r="CE205" s="5">
        <f t="shared" si="88"/>
        <v>7386.6222196958433</v>
      </c>
      <c r="CH205" s="41">
        <f>BV205/'1. Väestöennuste'!I205*1000</f>
        <v>3134.4643418158967</v>
      </c>
      <c r="CI205" s="41">
        <f>BW205/'1. Väestöennuste'!J205*1000</f>
        <v>3276.8687840872635</v>
      </c>
      <c r="CJ205" s="41">
        <f>BX205/'1. Väestöennuste'!K205*1000</f>
        <v>3654.2303652968039</v>
      </c>
      <c r="CK205" s="41">
        <f>BY205/'1. Väestöennuste'!L205*1000</f>
        <v>3663.1705301767256</v>
      </c>
      <c r="CL205" s="41">
        <f>BZ205/'1. Väestöennuste'!M205*1000</f>
        <v>2330.0078891549779</v>
      </c>
      <c r="CM205" s="41">
        <f>CA205/'1. Väestöennuste'!N205*1000</f>
        <v>2396.434241200247</v>
      </c>
      <c r="CN205" s="41">
        <f>CB205/'1. Väestöennuste'!O205*1000</f>
        <v>2497.9541377237151</v>
      </c>
      <c r="CO205" s="41">
        <f>CC205/'1. Väestöennuste'!P205*1000</f>
        <v>2583.0214037490268</v>
      </c>
      <c r="CP205" s="41">
        <f>CD205/'1. Väestöennuste'!Q205*1000</f>
        <v>2678.2880837205166</v>
      </c>
      <c r="CQ205" s="41">
        <f>CE205/'1. Väestöennuste'!R205*1000</f>
        <v>2769.637127744973</v>
      </c>
      <c r="CR205" s="41"/>
      <c r="CU205" s="159">
        <f t="shared" si="81"/>
        <v>142.40444227136686</v>
      </c>
      <c r="CV205" s="159">
        <f t="shared" si="82"/>
        <v>377.36158120954042</v>
      </c>
      <c r="CW205" s="159">
        <f t="shared" si="83"/>
        <v>8.9401648799216673</v>
      </c>
      <c r="CX205" s="159">
        <f t="shared" si="84"/>
        <v>-1333.1626410217477</v>
      </c>
      <c r="CY205" s="159">
        <f t="shared" si="85"/>
        <v>66.426352045269141</v>
      </c>
      <c r="CZ205" s="159">
        <f t="shared" si="86"/>
        <v>101.51989652346811</v>
      </c>
      <c r="DA205" s="159">
        <f t="shared" si="89"/>
        <v>85.06726602531171</v>
      </c>
      <c r="DB205" s="159">
        <f t="shared" si="90"/>
        <v>95.266679971489793</v>
      </c>
      <c r="DC205" s="159">
        <f t="shared" si="90"/>
        <v>91.349044024456362</v>
      </c>
    </row>
    <row r="206" spans="1:107" x14ac:dyDescent="0.2">
      <c r="A206" s="99">
        <v>17</v>
      </c>
      <c r="B206" s="30">
        <v>615</v>
      </c>
      <c r="C206" s="47" t="s">
        <v>520</v>
      </c>
      <c r="D206" s="64">
        <v>18866.355379999997</v>
      </c>
      <c r="E206" s="64">
        <v>1822.17073</v>
      </c>
      <c r="F206" s="64">
        <v>2526.76062</v>
      </c>
      <c r="G206" s="205">
        <v>23214</v>
      </c>
      <c r="H206" s="205"/>
      <c r="I206" s="64">
        <v>18211</v>
      </c>
      <c r="J206" s="64">
        <v>1839</v>
      </c>
      <c r="K206" s="64">
        <v>2398</v>
      </c>
      <c r="L206" s="205">
        <v>22447</v>
      </c>
      <c r="M206" s="205"/>
      <c r="N206" s="64">
        <v>18463</v>
      </c>
      <c r="O206" s="64">
        <v>1971</v>
      </c>
      <c r="P206" s="64">
        <v>2832</v>
      </c>
      <c r="Q206" s="205">
        <v>23266</v>
      </c>
      <c r="R206" s="205"/>
      <c r="S206" s="64">
        <v>17561</v>
      </c>
      <c r="T206" s="64">
        <v>2066</v>
      </c>
      <c r="U206" s="64">
        <v>2619</v>
      </c>
      <c r="V206" s="205">
        <v>22246</v>
      </c>
      <c r="W206" s="205"/>
      <c r="X206" s="64">
        <v>18293</v>
      </c>
      <c r="Y206" s="64">
        <v>2032</v>
      </c>
      <c r="Z206" s="64">
        <v>2581</v>
      </c>
      <c r="AA206" s="205">
        <f t="shared" si="87"/>
        <v>22906</v>
      </c>
      <c r="AB206" s="205"/>
      <c r="AC206" s="64">
        <v>18230</v>
      </c>
      <c r="AD206" s="64">
        <v>2088</v>
      </c>
      <c r="AE206" s="64">
        <v>2935</v>
      </c>
      <c r="AF206" s="205">
        <f t="shared" si="64"/>
        <v>23253</v>
      </c>
      <c r="AG206" s="205"/>
      <c r="AH206" s="278">
        <v>19836.849999999999</v>
      </c>
      <c r="AI206" s="64">
        <v>2438.1564800000001</v>
      </c>
      <c r="AJ206" s="64">
        <v>4427.6273799999999</v>
      </c>
      <c r="AK206" s="205">
        <f t="shared" si="65"/>
        <v>26702.633860000002</v>
      </c>
      <c r="AL206" s="205"/>
      <c r="AM206" s="64">
        <v>20255.003250000002</v>
      </c>
      <c r="AN206" s="64">
        <v>2671.5457099999999</v>
      </c>
      <c r="AO206" s="64">
        <v>4322.5108600000003</v>
      </c>
      <c r="AP206" s="205">
        <f t="shared" si="66"/>
        <v>27249.059820000002</v>
      </c>
      <c r="AQ206" s="205"/>
      <c r="AR206" s="64">
        <v>9793.7056599999996</v>
      </c>
      <c r="AS206" s="64">
        <v>2767.4114300000001</v>
      </c>
      <c r="AT206" s="64">
        <v>2630.5071000000003</v>
      </c>
      <c r="AU206" s="205">
        <f t="shared" si="67"/>
        <v>15191.62419</v>
      </c>
      <c r="AV206" s="205"/>
      <c r="AW206" s="64">
        <v>10051.58103934841</v>
      </c>
      <c r="AX206" s="64">
        <v>2958.3784401462526</v>
      </c>
      <c r="AY206" s="64">
        <v>2236.702066513662</v>
      </c>
      <c r="AZ206" s="205">
        <f t="shared" si="68"/>
        <v>15246.661546008325</v>
      </c>
      <c r="BA206" s="205"/>
      <c r="BB206" s="64">
        <v>10586.042886577918</v>
      </c>
      <c r="BC206" s="64">
        <v>3010.5704699727767</v>
      </c>
      <c r="BD206" s="64">
        <v>2263.5424913118259</v>
      </c>
      <c r="BE206" s="205">
        <f t="shared" si="91"/>
        <v>15860.155847862519</v>
      </c>
      <c r="BF206" s="205"/>
      <c r="BG206" s="64">
        <v>10942.543833042293</v>
      </c>
      <c r="BH206" s="64">
        <v>3087.0425000468335</v>
      </c>
      <c r="BI206" s="64">
        <v>2373.46042143764</v>
      </c>
      <c r="BJ206" s="205">
        <f t="shared" si="69"/>
        <v>16403.046754526767</v>
      </c>
      <c r="BK206" s="205"/>
      <c r="BL206" s="64">
        <v>11212.119478998085</v>
      </c>
      <c r="BM206" s="64">
        <v>3171.5453550284128</v>
      </c>
      <c r="BN206" s="64">
        <v>2515.331238227935</v>
      </c>
      <c r="BO206" s="205">
        <f t="shared" si="70"/>
        <v>16898.996072254435</v>
      </c>
      <c r="BQ206" s="64">
        <v>11549.734436542671</v>
      </c>
      <c r="BR206" s="64">
        <v>3256.5195100287742</v>
      </c>
      <c r="BS206" s="64">
        <v>2603.5212054219023</v>
      </c>
      <c r="BT206" s="205">
        <f t="shared" si="71"/>
        <v>17409.775151993348</v>
      </c>
      <c r="BU206" s="205"/>
      <c r="BV206" s="5">
        <f t="shared" si="72"/>
        <v>22906</v>
      </c>
      <c r="BW206" s="5">
        <f t="shared" si="73"/>
        <v>23253</v>
      </c>
      <c r="BX206" s="5">
        <f t="shared" si="74"/>
        <v>26702.633860000002</v>
      </c>
      <c r="BY206" s="5">
        <f t="shared" si="75"/>
        <v>27249.059820000002</v>
      </c>
      <c r="BZ206" s="5">
        <f t="shared" si="76"/>
        <v>15191.62419</v>
      </c>
      <c r="CA206" s="5">
        <f t="shared" si="77"/>
        <v>15246.661546008325</v>
      </c>
      <c r="CB206" s="5">
        <f t="shared" si="78"/>
        <v>15860.155847862519</v>
      </c>
      <c r="CC206" s="5">
        <f t="shared" si="79"/>
        <v>16403.046754526767</v>
      </c>
      <c r="CD206" s="5">
        <f t="shared" si="80"/>
        <v>16898.996072254435</v>
      </c>
      <c r="CE206" s="5">
        <f t="shared" si="88"/>
        <v>17409.775151993348</v>
      </c>
      <c r="CH206" s="41">
        <f>BV206/'1. Väestöennuste'!I206*1000</f>
        <v>2909.4373174139464</v>
      </c>
      <c r="CI206" s="41">
        <f>BW206/'1. Väestöennuste'!J206*1000</f>
        <v>2989.201696876205</v>
      </c>
      <c r="CJ206" s="41">
        <f>BX206/'1. Väestöennuste'!K206*1000</f>
        <v>3466.9740145416777</v>
      </c>
      <c r="CK206" s="41">
        <f>BY206/'1. Väestöennuste'!L206*1000</f>
        <v>3583.9878758384848</v>
      </c>
      <c r="CL206" s="41">
        <f>BZ206/'1. Väestöennuste'!M206*1000</f>
        <v>2031.2373565984756</v>
      </c>
      <c r="CM206" s="41">
        <f>CA206/'1. Väestöennuste'!N206*1000</f>
        <v>2060.0812790174737</v>
      </c>
      <c r="CN206" s="41">
        <f>CB206/'1. Väestöennuste'!O206*1000</f>
        <v>2168.4653880041728</v>
      </c>
      <c r="CO206" s="41">
        <f>CC206/'1. Väestöennuste'!P206*1000</f>
        <v>2269.3755886174276</v>
      </c>
      <c r="CP206" s="41">
        <f>CD206/'1. Väestöennuste'!Q206*1000</f>
        <v>2363.8265592746448</v>
      </c>
      <c r="CQ206" s="41">
        <f>CE206/'1. Väestöennuste'!R206*1000</f>
        <v>2462.1376257945622</v>
      </c>
      <c r="CR206" s="41"/>
      <c r="CU206" s="159">
        <f t="shared" si="81"/>
        <v>79.764379462258603</v>
      </c>
      <c r="CV206" s="159">
        <f t="shared" si="82"/>
        <v>477.77231766547266</v>
      </c>
      <c r="CW206" s="159">
        <f t="shared" si="83"/>
        <v>117.01386129680714</v>
      </c>
      <c r="CX206" s="159">
        <f t="shared" si="84"/>
        <v>-1552.7505192400092</v>
      </c>
      <c r="CY206" s="159">
        <f t="shared" si="85"/>
        <v>28.843922418998091</v>
      </c>
      <c r="CZ206" s="159">
        <f t="shared" si="86"/>
        <v>108.38410898669918</v>
      </c>
      <c r="DA206" s="159">
        <f t="shared" si="89"/>
        <v>100.9102006132548</v>
      </c>
      <c r="DB206" s="159">
        <f t="shared" si="90"/>
        <v>94.450970657217113</v>
      </c>
      <c r="DC206" s="159">
        <f t="shared" si="90"/>
        <v>98.311066519917404</v>
      </c>
    </row>
    <row r="207" spans="1:107" x14ac:dyDescent="0.2">
      <c r="A207" s="99">
        <v>1</v>
      </c>
      <c r="B207" s="30">
        <v>616</v>
      </c>
      <c r="C207" s="47" t="s">
        <v>521</v>
      </c>
      <c r="D207" s="64">
        <v>6448.1622300000008</v>
      </c>
      <c r="E207" s="64">
        <v>434.15019000000001</v>
      </c>
      <c r="F207" s="64">
        <v>340.47728999999998</v>
      </c>
      <c r="G207" s="205">
        <v>7220</v>
      </c>
      <c r="H207" s="205"/>
      <c r="I207" s="64">
        <v>6509</v>
      </c>
      <c r="J207" s="64">
        <v>406</v>
      </c>
      <c r="K207" s="64">
        <v>399</v>
      </c>
      <c r="L207" s="205">
        <v>7314</v>
      </c>
      <c r="M207" s="205"/>
      <c r="N207" s="64">
        <v>6556</v>
      </c>
      <c r="O207" s="64">
        <v>445</v>
      </c>
      <c r="P207" s="64">
        <v>455</v>
      </c>
      <c r="Q207" s="205">
        <v>7456</v>
      </c>
      <c r="R207" s="205"/>
      <c r="S207" s="64">
        <v>5803</v>
      </c>
      <c r="T207" s="64">
        <v>407</v>
      </c>
      <c r="U207" s="64">
        <v>291</v>
      </c>
      <c r="V207" s="205">
        <v>6501</v>
      </c>
      <c r="W207" s="205"/>
      <c r="X207" s="64">
        <v>6043</v>
      </c>
      <c r="Y207" s="64">
        <v>446</v>
      </c>
      <c r="Z207" s="64">
        <v>272</v>
      </c>
      <c r="AA207" s="205">
        <f t="shared" si="87"/>
        <v>6761</v>
      </c>
      <c r="AB207" s="205"/>
      <c r="AC207" s="64">
        <v>6303</v>
      </c>
      <c r="AD207" s="64">
        <v>396</v>
      </c>
      <c r="AE207" s="64">
        <v>298</v>
      </c>
      <c r="AF207" s="205">
        <f t="shared" ref="AF207:AF270" si="92">SUM(AC207:AE207)</f>
        <v>6997</v>
      </c>
      <c r="AG207" s="205"/>
      <c r="AH207" s="278">
        <v>6484.8416500000003</v>
      </c>
      <c r="AI207" s="64">
        <v>440.79109000000005</v>
      </c>
      <c r="AJ207" s="64">
        <v>430.26247999999998</v>
      </c>
      <c r="AK207" s="205">
        <f t="shared" ref="AK207:AK270" si="93">SUM(AH207:AJ207)</f>
        <v>7355.8952200000003</v>
      </c>
      <c r="AL207" s="205"/>
      <c r="AM207" s="64">
        <v>6764.7012999999997</v>
      </c>
      <c r="AN207" s="64">
        <v>469.25165999999996</v>
      </c>
      <c r="AO207" s="64">
        <v>422.36990000000003</v>
      </c>
      <c r="AP207" s="205">
        <f t="shared" ref="AP207:AP270" si="94">SUM(AM207:AO207)</f>
        <v>7656.3228599999993</v>
      </c>
      <c r="AQ207" s="205"/>
      <c r="AR207" s="64">
        <v>3367.2418199999997</v>
      </c>
      <c r="AS207" s="64">
        <v>476.95471999999995</v>
      </c>
      <c r="AT207" s="64">
        <v>251.50667999999999</v>
      </c>
      <c r="AU207" s="205">
        <f t="shared" ref="AU207:AU270" si="95">SUM(AR207:AT207)</f>
        <v>4095.7032199999999</v>
      </c>
      <c r="AV207" s="205"/>
      <c r="AW207" s="64">
        <v>3231.8681703254933</v>
      </c>
      <c r="AX207" s="64">
        <v>545.89280302974817</v>
      </c>
      <c r="AY207" s="64">
        <v>203.80923344934428</v>
      </c>
      <c r="AZ207" s="205">
        <f t="shared" ref="AZ207:AZ270" si="96">SUM(AW207:AY207)</f>
        <v>3981.5702068045862</v>
      </c>
      <c r="BA207" s="205"/>
      <c r="BB207" s="64">
        <v>3426.3128013014621</v>
      </c>
      <c r="BC207" s="64">
        <v>549.83178156921963</v>
      </c>
      <c r="BD207" s="64">
        <v>206.2549442507364</v>
      </c>
      <c r="BE207" s="205">
        <f t="shared" si="91"/>
        <v>4182.399527121418</v>
      </c>
      <c r="BF207" s="205"/>
      <c r="BG207" s="64">
        <v>3559.9817153885251</v>
      </c>
      <c r="BH207" s="64">
        <v>558.2587587862381</v>
      </c>
      <c r="BI207" s="64">
        <v>216.27071229453279</v>
      </c>
      <c r="BJ207" s="205">
        <f t="shared" ref="BJ207:BJ270" si="97">SUM(BG207:BI207)</f>
        <v>4334.5111864692963</v>
      </c>
      <c r="BK207" s="205"/>
      <c r="BL207" s="64">
        <v>3695.2096002612875</v>
      </c>
      <c r="BM207" s="64">
        <v>568.13546791669285</v>
      </c>
      <c r="BN207" s="64">
        <v>229.1980408161769</v>
      </c>
      <c r="BO207" s="205">
        <f t="shared" ref="BO207:BO270" si="98">SUM(BL207:BN207)</f>
        <v>4492.5431089941576</v>
      </c>
      <c r="BQ207" s="64">
        <v>3833.7108279731942</v>
      </c>
      <c r="BR207" s="64">
        <v>578.08364790602434</v>
      </c>
      <c r="BS207" s="64">
        <v>237.23394773503676</v>
      </c>
      <c r="BT207" s="205">
        <f t="shared" ref="BT207:BT270" si="99">SUM(BQ207:BS207)</f>
        <v>4649.0284236142552</v>
      </c>
      <c r="BU207" s="205"/>
      <c r="BV207" s="5">
        <f t="shared" ref="BV207:BV270" si="100">AA207</f>
        <v>6761</v>
      </c>
      <c r="BW207" s="5">
        <f t="shared" ref="BW207:BW270" si="101">AF207</f>
        <v>6997</v>
      </c>
      <c r="BX207" s="5">
        <f t="shared" ref="BX207:BX270" si="102">AK207</f>
        <v>7355.8952200000003</v>
      </c>
      <c r="BY207" s="5">
        <f t="shared" ref="BY207:BY270" si="103">AP207</f>
        <v>7656.3228599999993</v>
      </c>
      <c r="BZ207" s="5">
        <f t="shared" ref="BZ207:BZ270" si="104">AU207</f>
        <v>4095.7032199999999</v>
      </c>
      <c r="CA207" s="5">
        <f t="shared" ref="CA207:CA270" si="105">AZ207</f>
        <v>3981.5702068045862</v>
      </c>
      <c r="CB207" s="5">
        <f t="shared" ref="CB207:CB270" si="106">BE207</f>
        <v>4182.399527121418</v>
      </c>
      <c r="CC207" s="5">
        <f t="shared" ref="CC207:CC270" si="107">BJ207</f>
        <v>4334.5111864692963</v>
      </c>
      <c r="CD207" s="5">
        <f t="shared" ref="CD207:CD270" si="108">BO207</f>
        <v>4492.5431089941576</v>
      </c>
      <c r="CE207" s="5">
        <f t="shared" si="88"/>
        <v>4649.0284236142552</v>
      </c>
      <c r="CH207" s="41">
        <f>BV207/'1. Väestöennuste'!I207*1000</f>
        <v>3634.9462365591398</v>
      </c>
      <c r="CI207" s="41">
        <f>BW207/'1. Väestöennuste'!J207*1000</f>
        <v>3817.2394980905619</v>
      </c>
      <c r="CJ207" s="41">
        <f>BX207/'1. Väestöennuste'!K207*1000</f>
        <v>3980.4627813852817</v>
      </c>
      <c r="CK207" s="41">
        <f>BY207/'1. Väestöennuste'!L207*1000</f>
        <v>4237.03534034311</v>
      </c>
      <c r="CL207" s="41">
        <f>BZ207/'1. Väestöennuste'!M207*1000</f>
        <v>2299.6649185850642</v>
      </c>
      <c r="CM207" s="41">
        <f>CA207/'1. Väestöennuste'!N207*1000</f>
        <v>2283.0104396815291</v>
      </c>
      <c r="CN207" s="41">
        <f>CB207/'1. Väestöennuste'!O207*1000</f>
        <v>2420.3700967137838</v>
      </c>
      <c r="CO207" s="41">
        <f>CC207/'1. Väestöennuste'!P207*1000</f>
        <v>2524.4677847811859</v>
      </c>
      <c r="CP207" s="41">
        <f>CD207/'1. Väestöennuste'!Q207*1000</f>
        <v>2633.378141262695</v>
      </c>
      <c r="CQ207" s="41">
        <f>CE207/'1. Väestöennuste'!R207*1000</f>
        <v>2739.5571146813522</v>
      </c>
      <c r="CR207" s="41"/>
      <c r="CU207" s="159">
        <f t="shared" ref="CU207:CU270" si="109">CI207-CH207</f>
        <v>182.2932615314221</v>
      </c>
      <c r="CV207" s="159">
        <f t="shared" ref="CV207:CV270" si="110">CJ207-CI207</f>
        <v>163.22328329471975</v>
      </c>
      <c r="CW207" s="159">
        <f t="shared" ref="CW207:CW270" si="111">CK207-CJ207</f>
        <v>256.57255895782828</v>
      </c>
      <c r="CX207" s="159">
        <f t="shared" ref="CX207:CX270" si="112">CL207-CK207</f>
        <v>-1937.3704217580457</v>
      </c>
      <c r="CY207" s="159">
        <f t="shared" ref="CY207:CY270" si="113">CM207-CL207</f>
        <v>-16.654478903535164</v>
      </c>
      <c r="CZ207" s="159">
        <f t="shared" ref="CZ207:CZ270" si="114">CN207-CM207</f>
        <v>137.35965703225474</v>
      </c>
      <c r="DA207" s="159">
        <f t="shared" si="89"/>
        <v>104.09768806740203</v>
      </c>
      <c r="DB207" s="159">
        <f t="shared" si="90"/>
        <v>108.9103564815091</v>
      </c>
      <c r="DC207" s="159">
        <f t="shared" si="90"/>
        <v>106.17897341865728</v>
      </c>
    </row>
    <row r="208" spans="1:107" x14ac:dyDescent="0.2">
      <c r="A208" s="99">
        <v>6</v>
      </c>
      <c r="B208" s="30">
        <v>619</v>
      </c>
      <c r="C208" s="47" t="s">
        <v>522</v>
      </c>
      <c r="D208" s="64">
        <v>7873.2617</v>
      </c>
      <c r="E208" s="64">
        <v>614.75086999999996</v>
      </c>
      <c r="F208" s="64">
        <v>502.39166999999998</v>
      </c>
      <c r="G208" s="205">
        <v>8989</v>
      </c>
      <c r="H208" s="205"/>
      <c r="I208" s="64">
        <v>7507</v>
      </c>
      <c r="J208" s="64">
        <v>617</v>
      </c>
      <c r="K208" s="64">
        <v>522</v>
      </c>
      <c r="L208" s="205">
        <v>8646</v>
      </c>
      <c r="M208" s="205"/>
      <c r="N208" s="64">
        <v>7772</v>
      </c>
      <c r="O208" s="64">
        <v>606</v>
      </c>
      <c r="P208" s="64">
        <v>603</v>
      </c>
      <c r="Q208" s="205">
        <v>8981</v>
      </c>
      <c r="R208" s="205"/>
      <c r="S208" s="64">
        <v>7721</v>
      </c>
      <c r="T208" s="64">
        <v>674</v>
      </c>
      <c r="U208" s="64">
        <v>482</v>
      </c>
      <c r="V208" s="205">
        <v>8877</v>
      </c>
      <c r="W208" s="205"/>
      <c r="X208" s="64">
        <v>7778</v>
      </c>
      <c r="Y208" s="64">
        <v>673</v>
      </c>
      <c r="Z208" s="64">
        <v>493</v>
      </c>
      <c r="AA208" s="205">
        <f t="shared" ref="AA208:AA271" si="115">SUM(X208:Z208)</f>
        <v>8944</v>
      </c>
      <c r="AB208" s="205"/>
      <c r="AC208" s="64">
        <v>8020</v>
      </c>
      <c r="AD208" s="64">
        <v>608</v>
      </c>
      <c r="AE208" s="64">
        <v>539</v>
      </c>
      <c r="AF208" s="205">
        <f t="shared" si="92"/>
        <v>9167</v>
      </c>
      <c r="AG208" s="205"/>
      <c r="AH208" s="278">
        <v>7991.1166299999995</v>
      </c>
      <c r="AI208" s="64">
        <v>658.19083999999998</v>
      </c>
      <c r="AJ208" s="64">
        <v>830.77763000000004</v>
      </c>
      <c r="AK208" s="205">
        <f t="shared" si="93"/>
        <v>9480.0851000000002</v>
      </c>
      <c r="AL208" s="205"/>
      <c r="AM208" s="64">
        <v>7676.64149</v>
      </c>
      <c r="AN208" s="64">
        <v>726.05197999999996</v>
      </c>
      <c r="AO208" s="64">
        <v>882.37398999999994</v>
      </c>
      <c r="AP208" s="205">
        <f t="shared" si="94"/>
        <v>9285.0674600000002</v>
      </c>
      <c r="AQ208" s="205"/>
      <c r="AR208" s="64">
        <v>4509.1068499999992</v>
      </c>
      <c r="AS208" s="64">
        <v>669.25923999999998</v>
      </c>
      <c r="AT208" s="64">
        <v>576.05946999999992</v>
      </c>
      <c r="AU208" s="205">
        <f t="shared" si="95"/>
        <v>5754.4255599999997</v>
      </c>
      <c r="AV208" s="205"/>
      <c r="AW208" s="64">
        <v>3872.3303627573309</v>
      </c>
      <c r="AX208" s="64">
        <v>716.41138047558479</v>
      </c>
      <c r="AY208" s="64">
        <v>434.68455810985245</v>
      </c>
      <c r="AZ208" s="205">
        <f t="shared" si="96"/>
        <v>5023.4263013427681</v>
      </c>
      <c r="BA208" s="205"/>
      <c r="BB208" s="64">
        <v>3957.8939873471118</v>
      </c>
      <c r="BC208" s="64">
        <v>728.32737426217409</v>
      </c>
      <c r="BD208" s="64">
        <v>439.90077280717065</v>
      </c>
      <c r="BE208" s="205">
        <f t="shared" si="91"/>
        <v>5126.1221344164569</v>
      </c>
      <c r="BF208" s="205"/>
      <c r="BG208" s="64">
        <v>4022.9176979878976</v>
      </c>
      <c r="BH208" s="64">
        <v>746.15148702479473</v>
      </c>
      <c r="BI208" s="64">
        <v>461.26241394856913</v>
      </c>
      <c r="BJ208" s="205">
        <f t="shared" si="97"/>
        <v>5230.3315989612611</v>
      </c>
      <c r="BK208" s="205"/>
      <c r="BL208" s="64">
        <v>4088.0930989517656</v>
      </c>
      <c r="BM208" s="64">
        <v>765.94714992036222</v>
      </c>
      <c r="BN208" s="64">
        <v>488.83383449153695</v>
      </c>
      <c r="BO208" s="205">
        <f t="shared" si="98"/>
        <v>5342.8740833636648</v>
      </c>
      <c r="BQ208" s="64">
        <v>4176.9266927310764</v>
      </c>
      <c r="BR208" s="64">
        <v>785.88930122704301</v>
      </c>
      <c r="BS208" s="64">
        <v>505.97282563986823</v>
      </c>
      <c r="BT208" s="205">
        <f t="shared" si="99"/>
        <v>5468.7888195979876</v>
      </c>
      <c r="BU208" s="205"/>
      <c r="BV208" s="5">
        <f t="shared" si="100"/>
        <v>8944</v>
      </c>
      <c r="BW208" s="5">
        <f t="shared" si="101"/>
        <v>9167</v>
      </c>
      <c r="BX208" s="5">
        <f t="shared" si="102"/>
        <v>9480.0851000000002</v>
      </c>
      <c r="BY208" s="5">
        <f t="shared" si="103"/>
        <v>9285.0674600000002</v>
      </c>
      <c r="BZ208" s="5">
        <f t="shared" si="104"/>
        <v>5754.4255599999997</v>
      </c>
      <c r="CA208" s="5">
        <f t="shared" si="105"/>
        <v>5023.4263013427681</v>
      </c>
      <c r="CB208" s="5">
        <f t="shared" si="106"/>
        <v>5126.1221344164569</v>
      </c>
      <c r="CC208" s="5">
        <f t="shared" si="107"/>
        <v>5230.3315989612611</v>
      </c>
      <c r="CD208" s="5">
        <f t="shared" si="108"/>
        <v>5342.8740833636648</v>
      </c>
      <c r="CE208" s="5">
        <f t="shared" ref="CE208:CE271" si="116">BT208</f>
        <v>5468.7888195979876</v>
      </c>
      <c r="CH208" s="41">
        <f>BV208/'1. Väestöennuste'!I208*1000</f>
        <v>3162.6591230551626</v>
      </c>
      <c r="CI208" s="41">
        <f>BW208/'1. Väestöennuste'!J208*1000</f>
        <v>3291.5619389587073</v>
      </c>
      <c r="CJ208" s="41">
        <f>BX208/'1. Väestöennuste'!K208*1000</f>
        <v>3484.0445056964354</v>
      </c>
      <c r="CK208" s="41">
        <f>BY208/'1. Väestöennuste'!L208*1000</f>
        <v>3471.0532560747661</v>
      </c>
      <c r="CL208" s="41">
        <f>BZ208/'1. Väestöennuste'!M208*1000</f>
        <v>2171.4813433962263</v>
      </c>
      <c r="CM208" s="41">
        <f>CA208/'1. Väestöennuste'!N208*1000</f>
        <v>1959.9790485145406</v>
      </c>
      <c r="CN208" s="41">
        <f>CB208/'1. Väestöennuste'!O208*1000</f>
        <v>2037.4094333928686</v>
      </c>
      <c r="CO208" s="41">
        <f>CC208/'1. Väestöennuste'!P208*1000</f>
        <v>2114.1194821993777</v>
      </c>
      <c r="CP208" s="41">
        <f>CD208/'1. Väestöennuste'!Q208*1000</f>
        <v>2193.2980637781875</v>
      </c>
      <c r="CQ208" s="41">
        <f>CE208/'1. Väestöennuste'!R208*1000</f>
        <v>2278.6620081658284</v>
      </c>
      <c r="CR208" s="41"/>
      <c r="CU208" s="159">
        <f t="shared" si="109"/>
        <v>128.90281590354471</v>
      </c>
      <c r="CV208" s="159">
        <f t="shared" si="110"/>
        <v>192.48256673772812</v>
      </c>
      <c r="CW208" s="159">
        <f t="shared" si="111"/>
        <v>-12.99124962166934</v>
      </c>
      <c r="CX208" s="159">
        <f t="shared" si="112"/>
        <v>-1299.5719126785398</v>
      </c>
      <c r="CY208" s="159">
        <f t="shared" si="113"/>
        <v>-211.50229488168566</v>
      </c>
      <c r="CZ208" s="159">
        <f t="shared" si="114"/>
        <v>77.430384878327914</v>
      </c>
      <c r="DA208" s="159">
        <f t="shared" ref="DA208:DA271" si="117">CO208-CN208</f>
        <v>76.710048806509121</v>
      </c>
      <c r="DB208" s="159">
        <f t="shared" ref="DB208:DC271" si="118">CP208-CO208</f>
        <v>79.178581578809826</v>
      </c>
      <c r="DC208" s="159">
        <f t="shared" si="118"/>
        <v>85.363944387640913</v>
      </c>
    </row>
    <row r="209" spans="1:107" x14ac:dyDescent="0.2">
      <c r="A209" s="7">
        <v>18</v>
      </c>
      <c r="B209" s="32">
        <v>620</v>
      </c>
      <c r="C209" s="47" t="s">
        <v>523</v>
      </c>
      <c r="D209" s="64">
        <v>7254.6903899999998</v>
      </c>
      <c r="E209" s="64">
        <v>794.58393000000001</v>
      </c>
      <c r="F209" s="64">
        <v>1276.81385</v>
      </c>
      <c r="G209" s="205">
        <v>9325</v>
      </c>
      <c r="H209" s="205"/>
      <c r="I209" s="64">
        <v>6859</v>
      </c>
      <c r="J209" s="64">
        <v>813</v>
      </c>
      <c r="K209" s="64">
        <v>1244</v>
      </c>
      <c r="L209" s="205">
        <v>8916</v>
      </c>
      <c r="M209" s="205"/>
      <c r="N209" s="64">
        <v>6697</v>
      </c>
      <c r="O209" s="64">
        <v>798</v>
      </c>
      <c r="P209" s="64">
        <v>1367</v>
      </c>
      <c r="Q209" s="205">
        <v>8862</v>
      </c>
      <c r="R209" s="205"/>
      <c r="S209" s="64">
        <v>6079</v>
      </c>
      <c r="T209" s="64">
        <v>796</v>
      </c>
      <c r="U209" s="64">
        <v>1233</v>
      </c>
      <c r="V209" s="205">
        <v>8108</v>
      </c>
      <c r="W209" s="205"/>
      <c r="X209" s="64">
        <v>6425</v>
      </c>
      <c r="Y209" s="64">
        <v>824</v>
      </c>
      <c r="Z209" s="64">
        <v>1221</v>
      </c>
      <c r="AA209" s="205">
        <f t="shared" si="115"/>
        <v>8470</v>
      </c>
      <c r="AB209" s="205"/>
      <c r="AC209" s="64">
        <v>6392</v>
      </c>
      <c r="AD209" s="64">
        <v>740</v>
      </c>
      <c r="AE209" s="64">
        <v>1325</v>
      </c>
      <c r="AF209" s="205">
        <f t="shared" si="92"/>
        <v>8457</v>
      </c>
      <c r="AG209" s="205"/>
      <c r="AH209" s="278">
        <v>6772.4595799999997</v>
      </c>
      <c r="AI209" s="64">
        <v>808.26724000000002</v>
      </c>
      <c r="AJ209" s="64">
        <v>2020.69174</v>
      </c>
      <c r="AK209" s="205">
        <f t="shared" si="93"/>
        <v>9601.4185600000001</v>
      </c>
      <c r="AL209" s="205"/>
      <c r="AM209" s="64">
        <v>6821.0736200000001</v>
      </c>
      <c r="AN209" s="64">
        <v>846.78859999999997</v>
      </c>
      <c r="AO209" s="64">
        <v>2049.9756600000001</v>
      </c>
      <c r="AP209" s="205">
        <f t="shared" si="94"/>
        <v>9717.8378799999991</v>
      </c>
      <c r="AQ209" s="205"/>
      <c r="AR209" s="64">
        <v>3146.0538900000001</v>
      </c>
      <c r="AS209" s="64">
        <v>815.54514000000006</v>
      </c>
      <c r="AT209" s="64">
        <v>1161.7306599999999</v>
      </c>
      <c r="AU209" s="205">
        <f t="shared" si="95"/>
        <v>5123.3296900000005</v>
      </c>
      <c r="AV209" s="205"/>
      <c r="AW209" s="64">
        <v>3176.1839325737365</v>
      </c>
      <c r="AX209" s="64">
        <v>925.38612603411957</v>
      </c>
      <c r="AY209" s="64">
        <v>878.73273221797854</v>
      </c>
      <c r="AZ209" s="205">
        <f t="shared" si="96"/>
        <v>4980.3027908258355</v>
      </c>
      <c r="BA209" s="205"/>
      <c r="BB209" s="64">
        <v>3225.3710665175263</v>
      </c>
      <c r="BC209" s="64">
        <v>928.72678528950803</v>
      </c>
      <c r="BD209" s="64">
        <v>889.27752500459417</v>
      </c>
      <c r="BE209" s="205">
        <f t="shared" si="91"/>
        <v>5043.3753768116285</v>
      </c>
      <c r="BF209" s="205"/>
      <c r="BG209" s="64">
        <v>3253.7351011962282</v>
      </c>
      <c r="BH209" s="64">
        <v>939.66767300677759</v>
      </c>
      <c r="BI209" s="64">
        <v>932.46096213073497</v>
      </c>
      <c r="BJ209" s="205">
        <f t="shared" si="97"/>
        <v>5125.8637363337402</v>
      </c>
      <c r="BK209" s="205"/>
      <c r="BL209" s="64">
        <v>3292.3244789061541</v>
      </c>
      <c r="BM209" s="64">
        <v>953.03141590587859</v>
      </c>
      <c r="BN209" s="64">
        <v>988.19772400284671</v>
      </c>
      <c r="BO209" s="205">
        <f t="shared" si="98"/>
        <v>5233.553618814879</v>
      </c>
      <c r="BQ209" s="64">
        <v>3348.6447008636906</v>
      </c>
      <c r="BR209" s="64">
        <v>966.48813714884602</v>
      </c>
      <c r="BS209" s="64">
        <v>1022.844900301727</v>
      </c>
      <c r="BT209" s="205">
        <f t="shared" si="99"/>
        <v>5337.9777383142637</v>
      </c>
      <c r="BU209" s="205"/>
      <c r="BV209" s="5">
        <f t="shared" si="100"/>
        <v>8470</v>
      </c>
      <c r="BW209" s="5">
        <f t="shared" si="101"/>
        <v>8457</v>
      </c>
      <c r="BX209" s="5">
        <f t="shared" si="102"/>
        <v>9601.4185600000001</v>
      </c>
      <c r="BY209" s="5">
        <f t="shared" si="103"/>
        <v>9717.8378799999991</v>
      </c>
      <c r="BZ209" s="5">
        <f t="shared" si="104"/>
        <v>5123.3296900000005</v>
      </c>
      <c r="CA209" s="5">
        <f t="shared" si="105"/>
        <v>4980.3027908258355</v>
      </c>
      <c r="CB209" s="5">
        <f t="shared" si="106"/>
        <v>5043.3753768116285</v>
      </c>
      <c r="CC209" s="5">
        <f t="shared" si="107"/>
        <v>5125.8637363337402</v>
      </c>
      <c r="CD209" s="5">
        <f t="shared" si="108"/>
        <v>5233.553618814879</v>
      </c>
      <c r="CE209" s="5">
        <f t="shared" si="116"/>
        <v>5337.9777383142637</v>
      </c>
      <c r="CH209" s="41">
        <f>BV209/'1. Väestöennuste'!I209*1000</f>
        <v>3350.4746835443038</v>
      </c>
      <c r="CI209" s="41">
        <f>BW209/'1. Väestöennuste'!J209*1000</f>
        <v>3395.0220794861502</v>
      </c>
      <c r="CJ209" s="41">
        <f>BX209/'1. Väestöennuste'!K209*1000</f>
        <v>3925.3550940310711</v>
      </c>
      <c r="CK209" s="41">
        <f>BY209/'1. Väestöennuste'!L209*1000</f>
        <v>4083.1251596638649</v>
      </c>
      <c r="CL209" s="41">
        <f>BZ209/'1. Väestöennuste'!M209*1000</f>
        <v>2171.8226748622296</v>
      </c>
      <c r="CM209" s="41">
        <f>CA209/'1. Väestöennuste'!N209*1000</f>
        <v>2181.4729701383426</v>
      </c>
      <c r="CN209" s="41">
        <f>CB209/'1. Väestöennuste'!O209*1000</f>
        <v>2253.5189351258396</v>
      </c>
      <c r="CO209" s="41">
        <f>CC209/'1. Väestöennuste'!P209*1000</f>
        <v>2334.1820292958746</v>
      </c>
      <c r="CP209" s="41">
        <f>CD209/'1. Väestöennuste'!Q209*1000</f>
        <v>2426.3113670908106</v>
      </c>
      <c r="CQ209" s="41">
        <f>CE209/'1. Väestöennuste'!R209*1000</f>
        <v>2519.1022833007378</v>
      </c>
      <c r="CR209" s="41"/>
      <c r="CU209" s="159">
        <f t="shared" si="109"/>
        <v>44.547395941846389</v>
      </c>
      <c r="CV209" s="159">
        <f t="shared" si="110"/>
        <v>530.33301454492084</v>
      </c>
      <c r="CW209" s="159">
        <f t="shared" si="111"/>
        <v>157.77006563279383</v>
      </c>
      <c r="CX209" s="159">
        <f t="shared" si="112"/>
        <v>-1911.3024848016353</v>
      </c>
      <c r="CY209" s="159">
        <f t="shared" si="113"/>
        <v>9.6502952761129563</v>
      </c>
      <c r="CZ209" s="159">
        <f t="shared" si="114"/>
        <v>72.045964987496973</v>
      </c>
      <c r="DA209" s="159">
        <f t="shared" si="117"/>
        <v>80.663094170035038</v>
      </c>
      <c r="DB209" s="159">
        <f t="shared" si="118"/>
        <v>92.129337794935964</v>
      </c>
      <c r="DC209" s="159">
        <f t="shared" si="118"/>
        <v>92.790916209927218</v>
      </c>
    </row>
    <row r="210" spans="1:107" x14ac:dyDescent="0.2">
      <c r="A210" s="99">
        <v>10</v>
      </c>
      <c r="B210" s="30">
        <v>623</v>
      </c>
      <c r="C210" s="47" t="s">
        <v>524</v>
      </c>
      <c r="D210" s="64">
        <v>6248.3732</v>
      </c>
      <c r="E210" s="64">
        <v>1718.4913700000002</v>
      </c>
      <c r="F210" s="64">
        <v>1400.38535</v>
      </c>
      <c r="G210" s="205">
        <v>9366</v>
      </c>
      <c r="H210" s="205"/>
      <c r="I210" s="64">
        <v>5857</v>
      </c>
      <c r="J210" s="64">
        <v>1730</v>
      </c>
      <c r="K210" s="64">
        <v>1301</v>
      </c>
      <c r="L210" s="205">
        <v>8848</v>
      </c>
      <c r="M210" s="205"/>
      <c r="N210" s="64">
        <v>5724</v>
      </c>
      <c r="O210" s="64">
        <v>1726</v>
      </c>
      <c r="P210" s="64">
        <v>1470</v>
      </c>
      <c r="Q210" s="205">
        <v>8920</v>
      </c>
      <c r="R210" s="205"/>
      <c r="S210" s="64">
        <v>5888</v>
      </c>
      <c r="T210" s="64">
        <v>1720</v>
      </c>
      <c r="U210" s="64">
        <v>1428</v>
      </c>
      <c r="V210" s="205">
        <v>9036</v>
      </c>
      <c r="W210" s="205"/>
      <c r="X210" s="64">
        <v>6070</v>
      </c>
      <c r="Y210" s="64">
        <v>1765</v>
      </c>
      <c r="Z210" s="64">
        <v>1531</v>
      </c>
      <c r="AA210" s="205">
        <f t="shared" si="115"/>
        <v>9366</v>
      </c>
      <c r="AB210" s="205"/>
      <c r="AC210" s="64">
        <v>5816</v>
      </c>
      <c r="AD210" s="64">
        <v>1609</v>
      </c>
      <c r="AE210" s="64">
        <v>1764</v>
      </c>
      <c r="AF210" s="205">
        <f t="shared" si="92"/>
        <v>9189</v>
      </c>
      <c r="AG210" s="205"/>
      <c r="AH210" s="278">
        <v>6271.0247900000004</v>
      </c>
      <c r="AI210" s="64">
        <v>1767.42336</v>
      </c>
      <c r="AJ210" s="64">
        <v>2470.0162200000004</v>
      </c>
      <c r="AK210" s="205">
        <f t="shared" si="93"/>
        <v>10508.464370000002</v>
      </c>
      <c r="AL210" s="205"/>
      <c r="AM210" s="64">
        <v>6947.4149699999998</v>
      </c>
      <c r="AN210" s="64">
        <v>1863.0239899999999</v>
      </c>
      <c r="AO210" s="64">
        <v>2196.1408900000001</v>
      </c>
      <c r="AP210" s="205">
        <f t="shared" si="94"/>
        <v>11006.57985</v>
      </c>
      <c r="AQ210" s="205"/>
      <c r="AR210" s="64">
        <v>3317.8323999999998</v>
      </c>
      <c r="AS210" s="64">
        <v>1909.6855500000001</v>
      </c>
      <c r="AT210" s="64">
        <v>1211.4918300000002</v>
      </c>
      <c r="AU210" s="205">
        <f t="shared" si="95"/>
        <v>6439.0097799999994</v>
      </c>
      <c r="AV210" s="205"/>
      <c r="AW210" s="64">
        <v>2742.8771219626319</v>
      </c>
      <c r="AX210" s="64">
        <v>2163.4412857405132</v>
      </c>
      <c r="AY210" s="64">
        <v>1030.9921947367072</v>
      </c>
      <c r="AZ210" s="205">
        <f t="shared" si="96"/>
        <v>5937.310602439853</v>
      </c>
      <c r="BA210" s="205"/>
      <c r="BB210" s="64">
        <v>2822.0860779790787</v>
      </c>
      <c r="BC210" s="64">
        <v>2190.8570550714212</v>
      </c>
      <c r="BD210" s="64">
        <v>1043.3641010735475</v>
      </c>
      <c r="BE210" s="205">
        <f t="shared" si="91"/>
        <v>6056.3072341240468</v>
      </c>
      <c r="BF210" s="205"/>
      <c r="BG210" s="64">
        <v>2895.47227521685</v>
      </c>
      <c r="BH210" s="64">
        <v>2235.5537555709516</v>
      </c>
      <c r="BI210" s="64">
        <v>1094.0300032148944</v>
      </c>
      <c r="BJ210" s="205">
        <f t="shared" si="97"/>
        <v>6225.0560340026959</v>
      </c>
      <c r="BK210" s="205"/>
      <c r="BL210" s="64">
        <v>2965.2814470800677</v>
      </c>
      <c r="BM210" s="64">
        <v>2285.5684846990152</v>
      </c>
      <c r="BN210" s="64">
        <v>1159.4243652810512</v>
      </c>
      <c r="BO210" s="205">
        <f t="shared" si="98"/>
        <v>6410.2742970601339</v>
      </c>
      <c r="BQ210" s="64">
        <v>3050.03683986343</v>
      </c>
      <c r="BR210" s="64">
        <v>2335.401035136696</v>
      </c>
      <c r="BS210" s="64">
        <v>1200.0749146735272</v>
      </c>
      <c r="BT210" s="205">
        <f t="shared" si="99"/>
        <v>6585.5127896736531</v>
      </c>
      <c r="BU210" s="205"/>
      <c r="BV210" s="5">
        <f t="shared" si="100"/>
        <v>9366</v>
      </c>
      <c r="BW210" s="5">
        <f t="shared" si="101"/>
        <v>9189</v>
      </c>
      <c r="BX210" s="5">
        <f t="shared" si="102"/>
        <v>10508.464370000002</v>
      </c>
      <c r="BY210" s="5">
        <f t="shared" si="103"/>
        <v>11006.57985</v>
      </c>
      <c r="BZ210" s="5">
        <f t="shared" si="104"/>
        <v>6439.0097799999994</v>
      </c>
      <c r="CA210" s="5">
        <f t="shared" si="105"/>
        <v>5937.310602439853</v>
      </c>
      <c r="CB210" s="5">
        <f t="shared" si="106"/>
        <v>6056.3072341240468</v>
      </c>
      <c r="CC210" s="5">
        <f t="shared" si="107"/>
        <v>6225.0560340026959</v>
      </c>
      <c r="CD210" s="5">
        <f t="shared" si="108"/>
        <v>6410.2742970601339</v>
      </c>
      <c r="CE210" s="5">
        <f t="shared" si="116"/>
        <v>6585.5127896736531</v>
      </c>
      <c r="CH210" s="41">
        <f>BV210/'1. Väestöennuste'!I210*1000</f>
        <v>4354.2538354253838</v>
      </c>
      <c r="CI210" s="41">
        <f>BW210/'1. Väestöennuste'!J210*1000</f>
        <v>4299.9532054281699</v>
      </c>
      <c r="CJ210" s="41">
        <f>BX210/'1. Väestöennuste'!K210*1000</f>
        <v>4963.8471280113381</v>
      </c>
      <c r="CK210" s="41">
        <f>BY210/'1. Väestöennuste'!L210*1000</f>
        <v>5223.8157807308971</v>
      </c>
      <c r="CL210" s="41">
        <f>BZ210/'1. Väestöennuste'!M210*1000</f>
        <v>3054.5587191650848</v>
      </c>
      <c r="CM210" s="41">
        <f>CA210/'1. Väestöennuste'!N210*1000</f>
        <v>2896.2490743609037</v>
      </c>
      <c r="CN210" s="41">
        <f>CB210/'1. Väestöennuste'!O210*1000</f>
        <v>2979.000115161853</v>
      </c>
      <c r="CO210" s="41">
        <f>CC210/'1. Väestöennuste'!P210*1000</f>
        <v>3087.8254136918131</v>
      </c>
      <c r="CP210" s="41">
        <f>CD210/'1. Väestöennuste'!Q210*1000</f>
        <v>3205.137148530067</v>
      </c>
      <c r="CQ210" s="41">
        <f>CE210/'1. Väestöennuste'!R210*1000</f>
        <v>3320.9847653422357</v>
      </c>
      <c r="CR210" s="41"/>
      <c r="CU210" s="159">
        <f t="shared" si="109"/>
        <v>-54.300629997213946</v>
      </c>
      <c r="CV210" s="159">
        <f t="shared" si="110"/>
        <v>663.89392258316821</v>
      </c>
      <c r="CW210" s="159">
        <f t="shared" si="111"/>
        <v>259.96865271955903</v>
      </c>
      <c r="CX210" s="159">
        <f t="shared" si="112"/>
        <v>-2169.2570615658124</v>
      </c>
      <c r="CY210" s="159">
        <f t="shared" si="113"/>
        <v>-158.30964480418106</v>
      </c>
      <c r="CZ210" s="159">
        <f t="shared" si="114"/>
        <v>82.75104080094934</v>
      </c>
      <c r="DA210" s="159">
        <f t="shared" si="117"/>
        <v>108.82529852996004</v>
      </c>
      <c r="DB210" s="159">
        <f t="shared" si="118"/>
        <v>117.31173483825387</v>
      </c>
      <c r="DC210" s="159">
        <f t="shared" si="118"/>
        <v>115.84761681216878</v>
      </c>
    </row>
    <row r="211" spans="1:107" x14ac:dyDescent="0.2">
      <c r="A211" s="99">
        <v>8</v>
      </c>
      <c r="B211" s="30">
        <v>624</v>
      </c>
      <c r="C211" s="47" t="s">
        <v>525</v>
      </c>
      <c r="D211" s="64">
        <v>17445.095960000002</v>
      </c>
      <c r="E211" s="64">
        <v>1877.5173400000001</v>
      </c>
      <c r="F211" s="64">
        <v>642.16368999999997</v>
      </c>
      <c r="G211" s="205">
        <v>19959</v>
      </c>
      <c r="H211" s="205"/>
      <c r="I211" s="64">
        <v>17986</v>
      </c>
      <c r="J211" s="64">
        <v>2136</v>
      </c>
      <c r="K211" s="64">
        <v>659</v>
      </c>
      <c r="L211" s="205">
        <v>20781</v>
      </c>
      <c r="M211" s="205"/>
      <c r="N211" s="64">
        <v>17914</v>
      </c>
      <c r="O211" s="64">
        <v>2005</v>
      </c>
      <c r="P211" s="64">
        <v>784</v>
      </c>
      <c r="Q211" s="205">
        <v>20703</v>
      </c>
      <c r="R211" s="205"/>
      <c r="S211" s="64">
        <v>17742</v>
      </c>
      <c r="T211" s="64">
        <v>2060</v>
      </c>
      <c r="U211" s="64">
        <v>788</v>
      </c>
      <c r="V211" s="205">
        <v>20590</v>
      </c>
      <c r="W211" s="205"/>
      <c r="X211" s="64">
        <v>17972</v>
      </c>
      <c r="Y211" s="64">
        <v>2107</v>
      </c>
      <c r="Z211" s="64">
        <v>845</v>
      </c>
      <c r="AA211" s="205">
        <f t="shared" si="115"/>
        <v>20924</v>
      </c>
      <c r="AB211" s="205"/>
      <c r="AC211" s="64">
        <v>19501</v>
      </c>
      <c r="AD211" s="64">
        <v>1930</v>
      </c>
      <c r="AE211" s="64">
        <v>923</v>
      </c>
      <c r="AF211" s="205">
        <f t="shared" si="92"/>
        <v>22354</v>
      </c>
      <c r="AG211" s="205"/>
      <c r="AH211" s="278">
        <v>19500.904760000001</v>
      </c>
      <c r="AI211" s="64">
        <v>2075.28181</v>
      </c>
      <c r="AJ211" s="64">
        <v>1250.7138500000001</v>
      </c>
      <c r="AK211" s="205">
        <f t="shared" si="93"/>
        <v>22826.900420000002</v>
      </c>
      <c r="AL211" s="205"/>
      <c r="AM211" s="64">
        <v>20260.205570000002</v>
      </c>
      <c r="AN211" s="64">
        <v>2162.9354399999997</v>
      </c>
      <c r="AO211" s="64">
        <v>1279.95135</v>
      </c>
      <c r="AP211" s="205">
        <f t="shared" si="94"/>
        <v>23703.092360000002</v>
      </c>
      <c r="AQ211" s="205"/>
      <c r="AR211" s="64">
        <v>10131.33208</v>
      </c>
      <c r="AS211" s="64">
        <v>2253.7287500000002</v>
      </c>
      <c r="AT211" s="64">
        <v>991.85097999999994</v>
      </c>
      <c r="AU211" s="205">
        <f t="shared" si="95"/>
        <v>13376.91181</v>
      </c>
      <c r="AV211" s="205"/>
      <c r="AW211" s="64">
        <v>9197.391465149236</v>
      </c>
      <c r="AX211" s="64">
        <v>2135.6324149732682</v>
      </c>
      <c r="AY211" s="64">
        <v>973.87409358135153</v>
      </c>
      <c r="AZ211" s="205">
        <f t="shared" si="96"/>
        <v>12306.897973703855</v>
      </c>
      <c r="BA211" s="205"/>
      <c r="BB211" s="64">
        <v>9636.330478460759</v>
      </c>
      <c r="BC211" s="64">
        <v>2140.6188078691703</v>
      </c>
      <c r="BD211" s="64">
        <v>985.56058270432777</v>
      </c>
      <c r="BE211" s="205">
        <f t="shared" si="91"/>
        <v>12762.509869034257</v>
      </c>
      <c r="BF211" s="205"/>
      <c r="BG211" s="64">
        <v>9945.8377355737866</v>
      </c>
      <c r="BH211" s="64">
        <v>2162.0085800088832</v>
      </c>
      <c r="BI211" s="64">
        <v>1033.4195381603256</v>
      </c>
      <c r="BJ211" s="205">
        <f t="shared" si="97"/>
        <v>13141.265853742996</v>
      </c>
      <c r="BK211" s="205"/>
      <c r="BL211" s="64">
        <v>10225.094700296338</v>
      </c>
      <c r="BM211" s="64">
        <v>2187.8422113084875</v>
      </c>
      <c r="BN211" s="64">
        <v>1095.1909806674857</v>
      </c>
      <c r="BO211" s="205">
        <f t="shared" si="98"/>
        <v>13508.12789227231</v>
      </c>
      <c r="BQ211" s="64">
        <v>10535.494168498513</v>
      </c>
      <c r="BR211" s="64">
        <v>2212.7610880215616</v>
      </c>
      <c r="BS211" s="64">
        <v>1133.5894449286932</v>
      </c>
      <c r="BT211" s="205">
        <f t="shared" si="99"/>
        <v>13881.844701448768</v>
      </c>
      <c r="BU211" s="205"/>
      <c r="BV211" s="5">
        <f t="shared" si="100"/>
        <v>20924</v>
      </c>
      <c r="BW211" s="5">
        <f t="shared" si="101"/>
        <v>22354</v>
      </c>
      <c r="BX211" s="5">
        <f t="shared" si="102"/>
        <v>22826.900420000002</v>
      </c>
      <c r="BY211" s="5">
        <f t="shared" si="103"/>
        <v>23703.092360000002</v>
      </c>
      <c r="BZ211" s="5">
        <f t="shared" si="104"/>
        <v>13376.91181</v>
      </c>
      <c r="CA211" s="5">
        <f t="shared" si="105"/>
        <v>12306.897973703855</v>
      </c>
      <c r="CB211" s="5">
        <f t="shared" si="106"/>
        <v>12762.509869034257</v>
      </c>
      <c r="CC211" s="5">
        <f t="shared" si="107"/>
        <v>13141.265853742996</v>
      </c>
      <c r="CD211" s="5">
        <f t="shared" si="108"/>
        <v>13508.12789227231</v>
      </c>
      <c r="CE211" s="5">
        <f t="shared" si="116"/>
        <v>13881.844701448768</v>
      </c>
      <c r="CH211" s="41">
        <f>BV211/'1. Väestöennuste'!I211*1000</f>
        <v>4070.8171206225679</v>
      </c>
      <c r="CI211" s="41">
        <f>BW211/'1. Väestöennuste'!J211*1000</f>
        <v>4361.7560975609758</v>
      </c>
      <c r="CJ211" s="41">
        <f>BX211/'1. Väestöennuste'!K211*1000</f>
        <v>4459.2499355342843</v>
      </c>
      <c r="CK211" s="41">
        <f>BY211/'1. Väestöennuste'!L211*1000</f>
        <v>4632.2244205589222</v>
      </c>
      <c r="CL211" s="41">
        <f>BZ211/'1. Väestöennuste'!M211*1000</f>
        <v>2641.0487285291215</v>
      </c>
      <c r="CM211" s="41">
        <f>CA211/'1. Väestöennuste'!N211*1000</f>
        <v>2467.7958639871376</v>
      </c>
      <c r="CN211" s="41">
        <f>CB211/'1. Väestöennuste'!O211*1000</f>
        <v>2580.3699694772054</v>
      </c>
      <c r="CO211" s="41">
        <f>CC211/'1. Väestöennuste'!P211*1000</f>
        <v>2678.0651831552877</v>
      </c>
      <c r="CP211" s="41">
        <f>CD211/'1. Väestöennuste'!Q211*1000</f>
        <v>2774.8824758160044</v>
      </c>
      <c r="CQ211" s="41">
        <f>CE211/'1. Väestöennuste'!R211*1000</f>
        <v>2877.0662593676202</v>
      </c>
      <c r="CR211" s="41"/>
      <c r="CU211" s="159">
        <f t="shared" si="109"/>
        <v>290.9389769384079</v>
      </c>
      <c r="CV211" s="159">
        <f t="shared" si="110"/>
        <v>97.493837973308473</v>
      </c>
      <c r="CW211" s="159">
        <f t="shared" si="111"/>
        <v>172.97448502463794</v>
      </c>
      <c r="CX211" s="159">
        <f t="shared" si="112"/>
        <v>-1991.1756920298008</v>
      </c>
      <c r="CY211" s="159">
        <f t="shared" si="113"/>
        <v>-173.25286454198385</v>
      </c>
      <c r="CZ211" s="159">
        <f t="shared" si="114"/>
        <v>112.57410549006772</v>
      </c>
      <c r="DA211" s="159">
        <f t="shared" si="117"/>
        <v>97.695213678082382</v>
      </c>
      <c r="DB211" s="159">
        <f t="shared" si="118"/>
        <v>96.817292660716703</v>
      </c>
      <c r="DC211" s="159">
        <f t="shared" si="118"/>
        <v>102.18378355161576</v>
      </c>
    </row>
    <row r="212" spans="1:107" x14ac:dyDescent="0.2">
      <c r="A212" s="99">
        <v>17</v>
      </c>
      <c r="B212" s="30">
        <v>625</v>
      </c>
      <c r="C212" s="47" t="s">
        <v>526</v>
      </c>
      <c r="D212" s="64">
        <v>9097.3781400000007</v>
      </c>
      <c r="E212" s="64">
        <v>631.35</v>
      </c>
      <c r="F212" s="64">
        <v>559.51134000000002</v>
      </c>
      <c r="G212" s="205">
        <v>9900</v>
      </c>
      <c r="H212" s="205"/>
      <c r="I212" s="64">
        <v>8977</v>
      </c>
      <c r="J212" s="64">
        <v>814</v>
      </c>
      <c r="K212" s="64">
        <v>521</v>
      </c>
      <c r="L212" s="205">
        <v>10450</v>
      </c>
      <c r="M212" s="205"/>
      <c r="N212" s="64">
        <v>9094</v>
      </c>
      <c r="O212" s="64">
        <v>907</v>
      </c>
      <c r="P212" s="64">
        <v>651</v>
      </c>
      <c r="Q212" s="205">
        <v>10652</v>
      </c>
      <c r="R212" s="205"/>
      <c r="S212" s="64">
        <v>8926</v>
      </c>
      <c r="T212" s="64">
        <v>1430</v>
      </c>
      <c r="U212" s="64">
        <v>589</v>
      </c>
      <c r="V212" s="205">
        <v>10945</v>
      </c>
      <c r="W212" s="205"/>
      <c r="X212" s="64">
        <v>9064</v>
      </c>
      <c r="Y212" s="64">
        <v>1647</v>
      </c>
      <c r="Z212" s="64">
        <v>519</v>
      </c>
      <c r="AA212" s="205">
        <f t="shared" si="115"/>
        <v>11230</v>
      </c>
      <c r="AB212" s="205"/>
      <c r="AC212" s="64">
        <v>9527</v>
      </c>
      <c r="AD212" s="64">
        <v>1615</v>
      </c>
      <c r="AE212" s="64">
        <v>677</v>
      </c>
      <c r="AF212" s="205">
        <f t="shared" si="92"/>
        <v>11819</v>
      </c>
      <c r="AG212" s="205"/>
      <c r="AH212" s="278">
        <v>10370.7435</v>
      </c>
      <c r="AI212" s="64">
        <v>2428.8566900000001</v>
      </c>
      <c r="AJ212" s="64">
        <v>928.37093999999991</v>
      </c>
      <c r="AK212" s="205">
        <f t="shared" si="93"/>
        <v>13727.971130000002</v>
      </c>
      <c r="AL212" s="205"/>
      <c r="AM212" s="64">
        <v>11874.574550000001</v>
      </c>
      <c r="AN212" s="64">
        <v>3317.0761600000001</v>
      </c>
      <c r="AO212" s="64">
        <v>874.61390000000006</v>
      </c>
      <c r="AP212" s="205">
        <f t="shared" si="94"/>
        <v>16066.264610000002</v>
      </c>
      <c r="AQ212" s="205"/>
      <c r="AR212" s="64">
        <v>4756.1808099999998</v>
      </c>
      <c r="AS212" s="64">
        <v>5947.1661299999996</v>
      </c>
      <c r="AT212" s="64">
        <v>579.77787000000001</v>
      </c>
      <c r="AU212" s="205">
        <f t="shared" si="95"/>
        <v>11283.124809999999</v>
      </c>
      <c r="AV212" s="205"/>
      <c r="AW212" s="64">
        <v>4801.6381915338779</v>
      </c>
      <c r="AX212" s="64">
        <v>5987.0241718267553</v>
      </c>
      <c r="AY212" s="64">
        <v>493.042805792016</v>
      </c>
      <c r="AZ212" s="205">
        <f t="shared" si="96"/>
        <v>11281.705169152649</v>
      </c>
      <c r="BA212" s="205"/>
      <c r="BB212" s="64">
        <v>4987.3208242123037</v>
      </c>
      <c r="BC212" s="64">
        <v>6037.7279274955827</v>
      </c>
      <c r="BD212" s="64">
        <v>498.95931946152012</v>
      </c>
      <c r="BE212" s="205">
        <f t="shared" si="91"/>
        <v>11524.008071169408</v>
      </c>
      <c r="BF212" s="205"/>
      <c r="BG212" s="64">
        <v>5141.2278979453367</v>
      </c>
      <c r="BH212" s="64">
        <v>6135.8433935261728</v>
      </c>
      <c r="BI212" s="64">
        <v>523.18885163187065</v>
      </c>
      <c r="BJ212" s="205">
        <f t="shared" si="97"/>
        <v>11800.26014310338</v>
      </c>
      <c r="BK212" s="205"/>
      <c r="BL212" s="64">
        <v>5267.4117285825341</v>
      </c>
      <c r="BM212" s="64">
        <v>6248.1303870970769</v>
      </c>
      <c r="BN212" s="64">
        <v>554.46185245639288</v>
      </c>
      <c r="BO212" s="205">
        <f t="shared" si="98"/>
        <v>12070.003968136003</v>
      </c>
      <c r="BQ212" s="64">
        <v>5405.5671465020514</v>
      </c>
      <c r="BR212" s="64">
        <v>6359.4862964880467</v>
      </c>
      <c r="BS212" s="64">
        <v>573.90182594190662</v>
      </c>
      <c r="BT212" s="205">
        <f t="shared" si="99"/>
        <v>12338.955268932004</v>
      </c>
      <c r="BU212" s="205"/>
      <c r="BV212" s="5">
        <f t="shared" si="100"/>
        <v>11230</v>
      </c>
      <c r="BW212" s="5">
        <f t="shared" si="101"/>
        <v>11819</v>
      </c>
      <c r="BX212" s="5">
        <f t="shared" si="102"/>
        <v>13727.971130000002</v>
      </c>
      <c r="BY212" s="5">
        <f t="shared" si="103"/>
        <v>16066.264610000002</v>
      </c>
      <c r="BZ212" s="5">
        <f t="shared" si="104"/>
        <v>11283.124809999999</v>
      </c>
      <c r="CA212" s="5">
        <f t="shared" si="105"/>
        <v>11281.705169152649</v>
      </c>
      <c r="CB212" s="5">
        <f t="shared" si="106"/>
        <v>11524.008071169408</v>
      </c>
      <c r="CC212" s="5">
        <f t="shared" si="107"/>
        <v>11800.26014310338</v>
      </c>
      <c r="CD212" s="5">
        <f t="shared" si="108"/>
        <v>12070.003968136003</v>
      </c>
      <c r="CE212" s="5">
        <f t="shared" si="116"/>
        <v>12338.955268932004</v>
      </c>
      <c r="CH212" s="41">
        <f>BV212/'1. Väestöennuste'!I212*1000</f>
        <v>3649.6587585310367</v>
      </c>
      <c r="CI212" s="41">
        <f>BW212/'1. Väestöennuste'!J212*1000</f>
        <v>3873.8118649623075</v>
      </c>
      <c r="CJ212" s="41">
        <f>BX212/'1. Väestöennuste'!K212*1000</f>
        <v>4503.9275360892398</v>
      </c>
      <c r="CK212" s="41">
        <f>BY212/'1. Väestöennuste'!L212*1000</f>
        <v>5371.5361451019726</v>
      </c>
      <c r="CL212" s="41">
        <f>BZ212/'1. Väestöennuste'!M212*1000</f>
        <v>3786.2834932885903</v>
      </c>
      <c r="CM212" s="41">
        <f>CA212/'1. Väestöennuste'!N212*1000</f>
        <v>3874.2119399562666</v>
      </c>
      <c r="CN212" s="41">
        <f>CB212/'1. Väestöennuste'!O212*1000</f>
        <v>4002.7815460817669</v>
      </c>
      <c r="CO212" s="41">
        <f>CC212/'1. Väestöennuste'!P212*1000</f>
        <v>4144.8051082203647</v>
      </c>
      <c r="CP212" s="41">
        <f>CD212/'1. Väestöennuste'!Q212*1000</f>
        <v>4289.2693561250899</v>
      </c>
      <c r="CQ212" s="41">
        <f>CE212/'1. Väestöennuste'!R212*1000</f>
        <v>4436.8771193570674</v>
      </c>
      <c r="CR212" s="41"/>
      <c r="CU212" s="159">
        <f t="shared" si="109"/>
        <v>224.15310643127077</v>
      </c>
      <c r="CV212" s="159">
        <f t="shared" si="110"/>
        <v>630.11567112693228</v>
      </c>
      <c r="CW212" s="159">
        <f t="shared" si="111"/>
        <v>867.60860901273281</v>
      </c>
      <c r="CX212" s="159">
        <f t="shared" si="112"/>
        <v>-1585.2526518133823</v>
      </c>
      <c r="CY212" s="159">
        <f t="shared" si="113"/>
        <v>87.928446667676326</v>
      </c>
      <c r="CZ212" s="159">
        <f t="shared" si="114"/>
        <v>128.56960612550029</v>
      </c>
      <c r="DA212" s="159">
        <f t="shared" si="117"/>
        <v>142.02356213859775</v>
      </c>
      <c r="DB212" s="159">
        <f t="shared" si="118"/>
        <v>144.4642479047252</v>
      </c>
      <c r="DC212" s="159">
        <f t="shared" si="118"/>
        <v>147.60776323197751</v>
      </c>
    </row>
    <row r="213" spans="1:107" x14ac:dyDescent="0.2">
      <c r="A213" s="99">
        <v>17</v>
      </c>
      <c r="B213" s="30">
        <v>626</v>
      </c>
      <c r="C213" s="47" t="s">
        <v>527</v>
      </c>
      <c r="D213" s="64">
        <v>14436.59474</v>
      </c>
      <c r="E213" s="64">
        <v>1111.1973500000001</v>
      </c>
      <c r="F213" s="64">
        <v>6370.7044999999998</v>
      </c>
      <c r="G213" s="205">
        <v>21918</v>
      </c>
      <c r="H213" s="205"/>
      <c r="I213" s="64">
        <v>14613</v>
      </c>
      <c r="J213" s="64">
        <v>1027</v>
      </c>
      <c r="K213" s="64">
        <v>5390</v>
      </c>
      <c r="L213" s="205">
        <v>21030</v>
      </c>
      <c r="M213" s="205"/>
      <c r="N213" s="64">
        <v>14172</v>
      </c>
      <c r="O213" s="64">
        <v>1194</v>
      </c>
      <c r="P213" s="64">
        <v>6239</v>
      </c>
      <c r="Q213" s="205">
        <v>21605</v>
      </c>
      <c r="R213" s="205"/>
      <c r="S213" s="64">
        <v>14331</v>
      </c>
      <c r="T213" s="64">
        <v>1219</v>
      </c>
      <c r="U213" s="64">
        <v>4908</v>
      </c>
      <c r="V213" s="205">
        <v>20458</v>
      </c>
      <c r="W213" s="205"/>
      <c r="X213" s="64">
        <v>14334</v>
      </c>
      <c r="Y213" s="64">
        <v>1249</v>
      </c>
      <c r="Z213" s="64">
        <v>4151</v>
      </c>
      <c r="AA213" s="205">
        <f t="shared" si="115"/>
        <v>19734</v>
      </c>
      <c r="AB213" s="205"/>
      <c r="AC213" s="64">
        <v>15799</v>
      </c>
      <c r="AD213" s="64">
        <v>1185</v>
      </c>
      <c r="AE213" s="64">
        <v>4733</v>
      </c>
      <c r="AF213" s="205">
        <f t="shared" si="92"/>
        <v>21717</v>
      </c>
      <c r="AG213" s="205"/>
      <c r="AH213" s="278">
        <v>15269.14272</v>
      </c>
      <c r="AI213" s="64">
        <v>1308.93588</v>
      </c>
      <c r="AJ213" s="64">
        <v>6051.3023700000003</v>
      </c>
      <c r="AK213" s="205">
        <f t="shared" si="93"/>
        <v>22629.380970000002</v>
      </c>
      <c r="AL213" s="205"/>
      <c r="AM213" s="64">
        <v>15551.89011</v>
      </c>
      <c r="AN213" s="64">
        <v>1319.6978999999999</v>
      </c>
      <c r="AO213" s="64">
        <v>4320.5428300000003</v>
      </c>
      <c r="AP213" s="205">
        <f t="shared" si="94"/>
        <v>21192.130839999998</v>
      </c>
      <c r="AQ213" s="205"/>
      <c r="AR213" s="64">
        <v>7885.5995199999998</v>
      </c>
      <c r="AS213" s="64">
        <v>1402.60752</v>
      </c>
      <c r="AT213" s="64">
        <v>1751.5421299999998</v>
      </c>
      <c r="AU213" s="205">
        <f t="shared" si="95"/>
        <v>11039.749169999999</v>
      </c>
      <c r="AV213" s="205"/>
      <c r="AW213" s="64">
        <v>7452.1797176619302</v>
      </c>
      <c r="AX213" s="64">
        <v>1599.0936871705999</v>
      </c>
      <c r="AY213" s="64">
        <v>1191.4893564814606</v>
      </c>
      <c r="AZ213" s="205">
        <f t="shared" si="96"/>
        <v>10242.76276131399</v>
      </c>
      <c r="BA213" s="205"/>
      <c r="BB213" s="64">
        <v>7686.5431412958196</v>
      </c>
      <c r="BC213" s="64">
        <v>1625.7992270194104</v>
      </c>
      <c r="BD213" s="64">
        <v>1205.7872287592381</v>
      </c>
      <c r="BE213" s="205">
        <f t="shared" si="91"/>
        <v>10518.129597074469</v>
      </c>
      <c r="BF213" s="205"/>
      <c r="BG213" s="64">
        <v>7822.1437058601141</v>
      </c>
      <c r="BH213" s="64">
        <v>1665.8861428701364</v>
      </c>
      <c r="BI213" s="64">
        <v>1264.3404199920415</v>
      </c>
      <c r="BJ213" s="205">
        <f t="shared" si="97"/>
        <v>10752.37026872229</v>
      </c>
      <c r="BK213" s="205"/>
      <c r="BL213" s="64">
        <v>7917.0919792557506</v>
      </c>
      <c r="BM213" s="64">
        <v>1710.5554388170847</v>
      </c>
      <c r="BN213" s="64">
        <v>1339.9148877460084</v>
      </c>
      <c r="BO213" s="205">
        <f t="shared" si="98"/>
        <v>10967.562305818843</v>
      </c>
      <c r="BQ213" s="64">
        <v>8049.0915972493049</v>
      </c>
      <c r="BR213" s="64">
        <v>1755.7216598827429</v>
      </c>
      <c r="BS213" s="64">
        <v>1386.8936109444203</v>
      </c>
      <c r="BT213" s="205">
        <f t="shared" si="99"/>
        <v>11191.706868076468</v>
      </c>
      <c r="BU213" s="205"/>
      <c r="BV213" s="5">
        <f t="shared" si="100"/>
        <v>19734</v>
      </c>
      <c r="BW213" s="5">
        <f t="shared" si="101"/>
        <v>21717</v>
      </c>
      <c r="BX213" s="5">
        <f t="shared" si="102"/>
        <v>22629.380970000002</v>
      </c>
      <c r="BY213" s="5">
        <f t="shared" si="103"/>
        <v>21192.130839999998</v>
      </c>
      <c r="BZ213" s="5">
        <f t="shared" si="104"/>
        <v>11039.749169999999</v>
      </c>
      <c r="CA213" s="5">
        <f t="shared" si="105"/>
        <v>10242.76276131399</v>
      </c>
      <c r="CB213" s="5">
        <f t="shared" si="106"/>
        <v>10518.129597074469</v>
      </c>
      <c r="CC213" s="5">
        <f t="shared" si="107"/>
        <v>10752.37026872229</v>
      </c>
      <c r="CD213" s="5">
        <f t="shared" si="108"/>
        <v>10967.562305818843</v>
      </c>
      <c r="CE213" s="5">
        <f t="shared" si="116"/>
        <v>11191.706868076468</v>
      </c>
      <c r="CH213" s="41">
        <f>BV213/'1. Väestöennuste'!I213*1000</f>
        <v>3846.0339115182223</v>
      </c>
      <c r="CI213" s="41">
        <f>BW213/'1. Väestöennuste'!J213*1000</f>
        <v>4314.9215179813236</v>
      </c>
      <c r="CJ213" s="41">
        <f>BX213/'1. Väestöennuste'!K213*1000</f>
        <v>4558.6988255439164</v>
      </c>
      <c r="CK213" s="41">
        <f>BY213/'1. Väestöennuste'!L213*1000</f>
        <v>4383.067391933816</v>
      </c>
      <c r="CL213" s="41">
        <f>BZ213/'1. Väestöennuste'!M213*1000</f>
        <v>2321.2256455004203</v>
      </c>
      <c r="CM213" s="41">
        <f>CA213/'1. Väestöennuste'!N213*1000</f>
        <v>2181.1675386103047</v>
      </c>
      <c r="CN213" s="41">
        <f>CB213/'1. Väestöennuste'!O213*1000</f>
        <v>2277.1443163183521</v>
      </c>
      <c r="CO213" s="41">
        <f>CC213/'1. Väestöennuste'!P213*1000</f>
        <v>2366.2786682927576</v>
      </c>
      <c r="CP213" s="41">
        <f>CD213/'1. Väestöennuste'!Q213*1000</f>
        <v>2452.4960433405286</v>
      </c>
      <c r="CQ213" s="41">
        <f>CE213/'1. Väestöennuste'!R213*1000</f>
        <v>2544.1479581896947</v>
      </c>
      <c r="CR213" s="41"/>
      <c r="CU213" s="159">
        <f t="shared" si="109"/>
        <v>468.88760646310129</v>
      </c>
      <c r="CV213" s="159">
        <f t="shared" si="110"/>
        <v>243.7773075625928</v>
      </c>
      <c r="CW213" s="159">
        <f t="shared" si="111"/>
        <v>-175.63143361010043</v>
      </c>
      <c r="CX213" s="159">
        <f t="shared" si="112"/>
        <v>-2061.8417464333957</v>
      </c>
      <c r="CY213" s="159">
        <f t="shared" si="113"/>
        <v>-140.0581068901156</v>
      </c>
      <c r="CZ213" s="159">
        <f t="shared" si="114"/>
        <v>95.976777708047393</v>
      </c>
      <c r="DA213" s="159">
        <f t="shared" si="117"/>
        <v>89.13435197440549</v>
      </c>
      <c r="DB213" s="159">
        <f t="shared" si="118"/>
        <v>86.217375047770929</v>
      </c>
      <c r="DC213" s="159">
        <f t="shared" si="118"/>
        <v>91.651914849166133</v>
      </c>
    </row>
    <row r="214" spans="1:107" x14ac:dyDescent="0.2">
      <c r="A214" s="99">
        <v>17</v>
      </c>
      <c r="B214" s="30">
        <v>630</v>
      </c>
      <c r="C214" s="47" t="s">
        <v>528</v>
      </c>
      <c r="D214" s="64">
        <v>3983.8210099999997</v>
      </c>
      <c r="E214" s="64">
        <v>366.08251000000001</v>
      </c>
      <c r="F214" s="64">
        <v>496.15636000000001</v>
      </c>
      <c r="G214" s="205">
        <v>4846</v>
      </c>
      <c r="H214" s="205"/>
      <c r="I214" s="64">
        <v>3677</v>
      </c>
      <c r="J214" s="64">
        <v>373</v>
      </c>
      <c r="K214" s="64">
        <v>478</v>
      </c>
      <c r="L214" s="205">
        <v>4528</v>
      </c>
      <c r="M214" s="205"/>
      <c r="N214" s="64">
        <v>3769</v>
      </c>
      <c r="O214" s="64">
        <v>433</v>
      </c>
      <c r="P214" s="64">
        <v>591</v>
      </c>
      <c r="Q214" s="205">
        <v>4793</v>
      </c>
      <c r="R214" s="205"/>
      <c r="S214" s="64">
        <v>3562</v>
      </c>
      <c r="T214" s="64">
        <v>481</v>
      </c>
      <c r="U214" s="64">
        <v>622</v>
      </c>
      <c r="V214" s="205">
        <v>4665</v>
      </c>
      <c r="W214" s="205"/>
      <c r="X214" s="64">
        <v>3664</v>
      </c>
      <c r="Y214" s="64">
        <v>503</v>
      </c>
      <c r="Z214" s="64">
        <v>604</v>
      </c>
      <c r="AA214" s="205">
        <f t="shared" si="115"/>
        <v>4771</v>
      </c>
      <c r="AB214" s="205"/>
      <c r="AC214" s="64">
        <v>3943</v>
      </c>
      <c r="AD214" s="64">
        <v>464</v>
      </c>
      <c r="AE214" s="64">
        <v>621</v>
      </c>
      <c r="AF214" s="205">
        <f t="shared" si="92"/>
        <v>5028</v>
      </c>
      <c r="AG214" s="205"/>
      <c r="AH214" s="278">
        <v>3976.8154300000001</v>
      </c>
      <c r="AI214" s="64">
        <v>776.96710999999993</v>
      </c>
      <c r="AJ214" s="64">
        <v>986.23073999999997</v>
      </c>
      <c r="AK214" s="205">
        <f t="shared" si="93"/>
        <v>5740.0132800000001</v>
      </c>
      <c r="AL214" s="205"/>
      <c r="AM214" s="64">
        <v>4342.6175700000003</v>
      </c>
      <c r="AN214" s="64">
        <v>1335.4433000000001</v>
      </c>
      <c r="AO214" s="64">
        <v>1020.8091400000001</v>
      </c>
      <c r="AP214" s="205">
        <f t="shared" si="94"/>
        <v>6698.8700100000005</v>
      </c>
      <c r="AQ214" s="205"/>
      <c r="AR214" s="64">
        <v>2292.5291000000002</v>
      </c>
      <c r="AS214" s="64">
        <v>1386.21984</v>
      </c>
      <c r="AT214" s="64">
        <v>642.49585999999999</v>
      </c>
      <c r="AU214" s="205">
        <f t="shared" si="95"/>
        <v>4321.2448000000004</v>
      </c>
      <c r="AV214" s="205"/>
      <c r="AW214" s="64">
        <v>2199.7630416467641</v>
      </c>
      <c r="AX214" s="64">
        <v>1374.9158693645804</v>
      </c>
      <c r="AY214" s="64">
        <v>607.36012778350107</v>
      </c>
      <c r="AZ214" s="205">
        <f t="shared" si="96"/>
        <v>4182.0390387948455</v>
      </c>
      <c r="BA214" s="205"/>
      <c r="BB214" s="64">
        <v>2415.0650249436608</v>
      </c>
      <c r="BC214" s="64">
        <v>1374.9368217340414</v>
      </c>
      <c r="BD214" s="64">
        <v>614.64844931690311</v>
      </c>
      <c r="BE214" s="205">
        <f t="shared" si="91"/>
        <v>4404.6502959946047</v>
      </c>
      <c r="BF214" s="205"/>
      <c r="BG214" s="64">
        <v>2565.8739300056636</v>
      </c>
      <c r="BH214" s="64">
        <v>1385.5758230392728</v>
      </c>
      <c r="BI214" s="64">
        <v>644.49586131083515</v>
      </c>
      <c r="BJ214" s="205">
        <f t="shared" si="97"/>
        <v>4595.9456143557709</v>
      </c>
      <c r="BK214" s="205"/>
      <c r="BL214" s="64">
        <v>2657.0774866504721</v>
      </c>
      <c r="BM214" s="64">
        <v>1399.1210280765358</v>
      </c>
      <c r="BN214" s="64">
        <v>683.01984655881722</v>
      </c>
      <c r="BO214" s="205">
        <f t="shared" si="98"/>
        <v>4739.2183612858253</v>
      </c>
      <c r="BQ214" s="64">
        <v>2761.8970182445523</v>
      </c>
      <c r="BR214" s="64">
        <v>1412.1419939620598</v>
      </c>
      <c r="BS214" s="64">
        <v>706.96718873999532</v>
      </c>
      <c r="BT214" s="205">
        <f t="shared" si="99"/>
        <v>4881.0062009466074</v>
      </c>
      <c r="BU214" s="205"/>
      <c r="BV214" s="5">
        <f t="shared" si="100"/>
        <v>4771</v>
      </c>
      <c r="BW214" s="5">
        <f t="shared" si="101"/>
        <v>5028</v>
      </c>
      <c r="BX214" s="5">
        <f t="shared" si="102"/>
        <v>5740.0132800000001</v>
      </c>
      <c r="BY214" s="5">
        <f t="shared" si="103"/>
        <v>6698.8700100000005</v>
      </c>
      <c r="BZ214" s="5">
        <f t="shared" si="104"/>
        <v>4321.2448000000004</v>
      </c>
      <c r="CA214" s="5">
        <f t="shared" si="105"/>
        <v>4182.0390387948455</v>
      </c>
      <c r="CB214" s="5">
        <f t="shared" si="106"/>
        <v>4404.6502959946047</v>
      </c>
      <c r="CC214" s="5">
        <f t="shared" si="107"/>
        <v>4595.9456143557709</v>
      </c>
      <c r="CD214" s="5">
        <f t="shared" si="108"/>
        <v>4739.2183612858253</v>
      </c>
      <c r="CE214" s="5">
        <f t="shared" si="116"/>
        <v>4881.0062009466074</v>
      </c>
      <c r="CH214" s="41">
        <f>BV214/'1. Väestöennuste'!I214*1000</f>
        <v>3023.4474017743983</v>
      </c>
      <c r="CI214" s="41">
        <f>BW214/'1. Väestöennuste'!J214*1000</f>
        <v>3156.3088512241056</v>
      </c>
      <c r="CJ214" s="41">
        <f>BX214/'1. Väestöennuste'!K214*1000</f>
        <v>3519.321446965052</v>
      </c>
      <c r="CK214" s="41">
        <f>BY214/'1. Väestöennuste'!L214*1000</f>
        <v>4097.1682018348629</v>
      </c>
      <c r="CL214" s="41">
        <f>BZ214/'1. Väestöennuste'!M214*1000</f>
        <v>2625.3006075334142</v>
      </c>
      <c r="CM214" s="41">
        <f>CA214/'1. Väestöennuste'!N214*1000</f>
        <v>2617.045706379753</v>
      </c>
      <c r="CN214" s="41">
        <f>CB214/'1. Väestöennuste'!O214*1000</f>
        <v>2754.6280775450937</v>
      </c>
      <c r="CO214" s="41">
        <f>CC214/'1. Väestöennuste'!P214*1000</f>
        <v>2877.8620002227744</v>
      </c>
      <c r="CP214" s="41">
        <f>CD214/'1. Väestöennuste'!Q214*1000</f>
        <v>2971.2967782356272</v>
      </c>
      <c r="CQ214" s="41">
        <f>CE214/'1. Väestöennuste'!R214*1000</f>
        <v>3056.3595497474057</v>
      </c>
      <c r="CR214" s="41"/>
      <c r="CU214" s="159">
        <f t="shared" si="109"/>
        <v>132.86144944970738</v>
      </c>
      <c r="CV214" s="159">
        <f t="shared" si="110"/>
        <v>363.01259574094638</v>
      </c>
      <c r="CW214" s="159">
        <f t="shared" si="111"/>
        <v>577.84675486981087</v>
      </c>
      <c r="CX214" s="159">
        <f t="shared" si="112"/>
        <v>-1471.8675943014487</v>
      </c>
      <c r="CY214" s="159">
        <f t="shared" si="113"/>
        <v>-8.2549011536611943</v>
      </c>
      <c r="CZ214" s="159">
        <f t="shared" si="114"/>
        <v>137.58237116534065</v>
      </c>
      <c r="DA214" s="159">
        <f t="shared" si="117"/>
        <v>123.23392267768077</v>
      </c>
      <c r="DB214" s="159">
        <f t="shared" si="118"/>
        <v>93.434778012852803</v>
      </c>
      <c r="DC214" s="159">
        <f t="shared" si="118"/>
        <v>85.062771511778465</v>
      </c>
    </row>
    <row r="215" spans="1:107" x14ac:dyDescent="0.2">
      <c r="A215" s="99">
        <v>2</v>
      </c>
      <c r="B215" s="30">
        <v>631</v>
      </c>
      <c r="C215" s="47" t="s">
        <v>529</v>
      </c>
      <c r="D215" s="64">
        <v>7212.1495000000004</v>
      </c>
      <c r="E215" s="64">
        <v>512.86519999999996</v>
      </c>
      <c r="F215" s="64">
        <v>243.94103000000001</v>
      </c>
      <c r="G215" s="205">
        <v>7969</v>
      </c>
      <c r="H215" s="205"/>
      <c r="I215" s="64">
        <v>6992</v>
      </c>
      <c r="J215" s="64">
        <v>516</v>
      </c>
      <c r="K215" s="64">
        <v>266</v>
      </c>
      <c r="L215" s="205">
        <v>7773</v>
      </c>
      <c r="M215" s="205"/>
      <c r="N215" s="64">
        <v>6960</v>
      </c>
      <c r="O215" s="64">
        <v>853</v>
      </c>
      <c r="P215" s="64">
        <v>312</v>
      </c>
      <c r="Q215" s="205">
        <v>8125</v>
      </c>
      <c r="R215" s="205"/>
      <c r="S215" s="64">
        <v>7202</v>
      </c>
      <c r="T215" s="64">
        <v>862</v>
      </c>
      <c r="U215" s="64">
        <v>308</v>
      </c>
      <c r="V215" s="205">
        <v>8372</v>
      </c>
      <c r="W215" s="205"/>
      <c r="X215" s="64">
        <v>7175</v>
      </c>
      <c r="Y215" s="64">
        <v>866</v>
      </c>
      <c r="Z215" s="64">
        <v>320</v>
      </c>
      <c r="AA215" s="205">
        <f t="shared" si="115"/>
        <v>8361</v>
      </c>
      <c r="AB215" s="205"/>
      <c r="AC215" s="64">
        <v>7594</v>
      </c>
      <c r="AD215" s="64">
        <v>709</v>
      </c>
      <c r="AE215" s="64">
        <v>319</v>
      </c>
      <c r="AF215" s="205">
        <f t="shared" si="92"/>
        <v>8622</v>
      </c>
      <c r="AG215" s="205"/>
      <c r="AH215" s="278">
        <v>7214.6092800000006</v>
      </c>
      <c r="AI215" s="64">
        <v>771.88350000000003</v>
      </c>
      <c r="AJ215" s="64">
        <v>519.91670999999997</v>
      </c>
      <c r="AK215" s="205">
        <f t="shared" si="93"/>
        <v>8506.40949</v>
      </c>
      <c r="AL215" s="205"/>
      <c r="AM215" s="64">
        <v>7856.7569000000003</v>
      </c>
      <c r="AN215" s="64">
        <v>807.42836999999997</v>
      </c>
      <c r="AO215" s="64">
        <v>576.28204000000005</v>
      </c>
      <c r="AP215" s="205">
        <f t="shared" si="94"/>
        <v>9240.46731</v>
      </c>
      <c r="AQ215" s="205"/>
      <c r="AR215" s="64">
        <v>3777.47138</v>
      </c>
      <c r="AS215" s="64">
        <v>816.32978000000003</v>
      </c>
      <c r="AT215" s="64">
        <v>320.74603999999999</v>
      </c>
      <c r="AU215" s="205">
        <f t="shared" si="95"/>
        <v>4914.5472</v>
      </c>
      <c r="AV215" s="205"/>
      <c r="AW215" s="64">
        <v>3678.9557032542166</v>
      </c>
      <c r="AX215" s="64">
        <v>826.7867905183009</v>
      </c>
      <c r="AY215" s="64">
        <v>193.95044758443331</v>
      </c>
      <c r="AZ215" s="205">
        <f t="shared" si="96"/>
        <v>4699.6929413569505</v>
      </c>
      <c r="BA215" s="205"/>
      <c r="BB215" s="64">
        <v>3864.0796663989631</v>
      </c>
      <c r="BC215" s="64">
        <v>835.56696201670968</v>
      </c>
      <c r="BD215" s="64">
        <v>196.27785295544649</v>
      </c>
      <c r="BE215" s="205">
        <f t="shared" si="91"/>
        <v>4895.9244813711193</v>
      </c>
      <c r="BF215" s="205"/>
      <c r="BG215" s="64">
        <v>3999.7017441952316</v>
      </c>
      <c r="BH215" s="64">
        <v>850.83830122486802</v>
      </c>
      <c r="BI215" s="64">
        <v>205.80913209388152</v>
      </c>
      <c r="BJ215" s="205">
        <f t="shared" si="97"/>
        <v>5056.349177513981</v>
      </c>
      <c r="BK215" s="205"/>
      <c r="BL215" s="64">
        <v>4101.0169776847415</v>
      </c>
      <c r="BM215" s="64">
        <v>868.01415962202816</v>
      </c>
      <c r="BN215" s="64">
        <v>218.11113191209415</v>
      </c>
      <c r="BO215" s="205">
        <f t="shared" si="98"/>
        <v>5187.1422692188644</v>
      </c>
      <c r="BQ215" s="64">
        <v>4206.1561193597227</v>
      </c>
      <c r="BR215" s="64">
        <v>884.99480626957427</v>
      </c>
      <c r="BS215" s="64">
        <v>225.75832098828036</v>
      </c>
      <c r="BT215" s="205">
        <f t="shared" si="99"/>
        <v>5316.9092466175771</v>
      </c>
      <c r="BU215" s="205"/>
      <c r="BV215" s="5">
        <f t="shared" si="100"/>
        <v>8361</v>
      </c>
      <c r="BW215" s="5">
        <f t="shared" si="101"/>
        <v>8622</v>
      </c>
      <c r="BX215" s="5">
        <f t="shared" si="102"/>
        <v>8506.40949</v>
      </c>
      <c r="BY215" s="5">
        <f t="shared" si="103"/>
        <v>9240.46731</v>
      </c>
      <c r="BZ215" s="5">
        <f t="shared" si="104"/>
        <v>4914.5472</v>
      </c>
      <c r="CA215" s="5">
        <f t="shared" si="105"/>
        <v>4699.6929413569505</v>
      </c>
      <c r="CB215" s="5">
        <f t="shared" si="106"/>
        <v>4895.9244813711193</v>
      </c>
      <c r="CC215" s="5">
        <f t="shared" si="107"/>
        <v>5056.349177513981</v>
      </c>
      <c r="CD215" s="5">
        <f t="shared" si="108"/>
        <v>5187.1422692188644</v>
      </c>
      <c r="CE215" s="5">
        <f t="shared" si="116"/>
        <v>5316.9092466175771</v>
      </c>
      <c r="CH215" s="41">
        <f>BV215/'1. Väestöennuste'!I215*1000</f>
        <v>4172.1556886227545</v>
      </c>
      <c r="CI215" s="41">
        <f>BW215/'1. Väestöennuste'!J215*1000</f>
        <v>4323.9719157472418</v>
      </c>
      <c r="CJ215" s="41">
        <f>BX215/'1. Väestöennuste'!K215*1000</f>
        <v>4285.3448312342571</v>
      </c>
      <c r="CK215" s="41">
        <f>BY215/'1. Väestöennuste'!L215*1000</f>
        <v>4707.3190575649523</v>
      </c>
      <c r="CL215" s="41">
        <f>BZ215/'1. Väestöennuste'!M215*1000</f>
        <v>2546.3975129533678</v>
      </c>
      <c r="CM215" s="41">
        <f>CA215/'1. Väestöennuste'!N215*1000</f>
        <v>2469.6231956683923</v>
      </c>
      <c r="CN215" s="41">
        <f>CB215/'1. Väestöennuste'!O215*1000</f>
        <v>2600.0661080037812</v>
      </c>
      <c r="CO215" s="41">
        <f>CC215/'1. Väestöennuste'!P215*1000</f>
        <v>2714.0897356489431</v>
      </c>
      <c r="CP215" s="41">
        <f>CD215/'1. Väestöennuste'!Q215*1000</f>
        <v>2816.0381483272881</v>
      </c>
      <c r="CQ215" s="41">
        <f>CE215/'1. Väestöennuste'!R215*1000</f>
        <v>2919.7744352650066</v>
      </c>
      <c r="CR215" s="41"/>
      <c r="CU215" s="159">
        <f t="shared" si="109"/>
        <v>151.81622712448734</v>
      </c>
      <c r="CV215" s="159">
        <f t="shared" si="110"/>
        <v>-38.627084512984766</v>
      </c>
      <c r="CW215" s="159">
        <f t="shared" si="111"/>
        <v>421.97422633069527</v>
      </c>
      <c r="CX215" s="159">
        <f t="shared" si="112"/>
        <v>-2160.9215446115845</v>
      </c>
      <c r="CY215" s="159">
        <f t="shared" si="113"/>
        <v>-76.774317284975496</v>
      </c>
      <c r="CZ215" s="159">
        <f t="shared" si="114"/>
        <v>130.44291233538888</v>
      </c>
      <c r="DA215" s="159">
        <f t="shared" si="117"/>
        <v>114.02362764516192</v>
      </c>
      <c r="DB215" s="159">
        <f t="shared" si="118"/>
        <v>101.94841267834499</v>
      </c>
      <c r="DC215" s="159">
        <f t="shared" si="118"/>
        <v>103.73628693771843</v>
      </c>
    </row>
    <row r="216" spans="1:107" x14ac:dyDescent="0.2">
      <c r="A216" s="99">
        <v>6</v>
      </c>
      <c r="B216" s="30">
        <v>635</v>
      </c>
      <c r="C216" s="47" t="s">
        <v>530</v>
      </c>
      <c r="D216" s="64">
        <v>18893.566930000001</v>
      </c>
      <c r="E216" s="64">
        <v>2182.3979599999998</v>
      </c>
      <c r="F216" s="64">
        <v>1200.6096699999998</v>
      </c>
      <c r="G216" s="205">
        <v>22274</v>
      </c>
      <c r="H216" s="205"/>
      <c r="I216" s="64">
        <v>19630</v>
      </c>
      <c r="J216" s="64">
        <v>2195</v>
      </c>
      <c r="K216" s="64">
        <v>1169</v>
      </c>
      <c r="L216" s="205">
        <v>22994</v>
      </c>
      <c r="M216" s="205"/>
      <c r="N216" s="64">
        <v>19571</v>
      </c>
      <c r="O216" s="64">
        <v>2168</v>
      </c>
      <c r="P216" s="64">
        <v>1341</v>
      </c>
      <c r="Q216" s="205">
        <v>23080</v>
      </c>
      <c r="R216" s="205"/>
      <c r="S216" s="64">
        <v>18847</v>
      </c>
      <c r="T216" s="64">
        <v>2166</v>
      </c>
      <c r="U216" s="64">
        <v>1192</v>
      </c>
      <c r="V216" s="205">
        <v>22205</v>
      </c>
      <c r="W216" s="205"/>
      <c r="X216" s="64">
        <v>19815</v>
      </c>
      <c r="Y216" s="64">
        <v>2360</v>
      </c>
      <c r="Z216" s="64">
        <v>1217</v>
      </c>
      <c r="AA216" s="205">
        <f t="shared" si="115"/>
        <v>23392</v>
      </c>
      <c r="AB216" s="205"/>
      <c r="AC216" s="64">
        <v>20374</v>
      </c>
      <c r="AD216" s="64">
        <v>2156</v>
      </c>
      <c r="AE216" s="64">
        <v>1347</v>
      </c>
      <c r="AF216" s="205">
        <f t="shared" si="92"/>
        <v>23877</v>
      </c>
      <c r="AG216" s="205"/>
      <c r="AH216" s="278">
        <v>21484.636309999998</v>
      </c>
      <c r="AI216" s="64">
        <v>2395.2820000000002</v>
      </c>
      <c r="AJ216" s="64">
        <v>2028.08232</v>
      </c>
      <c r="AK216" s="205">
        <f t="shared" si="93"/>
        <v>25908.000629999999</v>
      </c>
      <c r="AL216" s="205"/>
      <c r="AM216" s="64">
        <v>21931.96009</v>
      </c>
      <c r="AN216" s="64">
        <v>2522.0459999999998</v>
      </c>
      <c r="AO216" s="64">
        <v>2051.1186000000002</v>
      </c>
      <c r="AP216" s="205">
        <f t="shared" si="94"/>
        <v>26505.124690000001</v>
      </c>
      <c r="AQ216" s="205"/>
      <c r="AR216" s="64">
        <v>11090.58526</v>
      </c>
      <c r="AS216" s="64">
        <v>2549.9588399999998</v>
      </c>
      <c r="AT216" s="64">
        <v>1300.5191200000002</v>
      </c>
      <c r="AU216" s="205">
        <f t="shared" si="95"/>
        <v>14941.06322</v>
      </c>
      <c r="AV216" s="205"/>
      <c r="AW216" s="64">
        <v>10840.945668549573</v>
      </c>
      <c r="AX216" s="64">
        <v>2877.0269144469989</v>
      </c>
      <c r="AY216" s="64">
        <v>1062.3102293443233</v>
      </c>
      <c r="AZ216" s="205">
        <f t="shared" si="96"/>
        <v>14780.282812340894</v>
      </c>
      <c r="BA216" s="205"/>
      <c r="BB216" s="64">
        <v>11397.832429296117</v>
      </c>
      <c r="BC216" s="64">
        <v>2995.1071968498577</v>
      </c>
      <c r="BD216" s="64">
        <v>1075.0579520964552</v>
      </c>
      <c r="BE216" s="205">
        <f t="shared" si="91"/>
        <v>15467.99757824243</v>
      </c>
      <c r="BF216" s="205"/>
      <c r="BG216" s="64">
        <v>11868.133789039015</v>
      </c>
      <c r="BH216" s="64">
        <v>3143.0960907578915</v>
      </c>
      <c r="BI216" s="64">
        <v>1127.2629119385192</v>
      </c>
      <c r="BJ216" s="205">
        <f t="shared" si="97"/>
        <v>16138.492791735425</v>
      </c>
      <c r="BK216" s="205"/>
      <c r="BL216" s="64">
        <v>12272.043300119329</v>
      </c>
      <c r="BM216" s="64">
        <v>3306.0794951891298</v>
      </c>
      <c r="BN216" s="64">
        <v>1194.6437321997876</v>
      </c>
      <c r="BO216" s="205">
        <f t="shared" si="98"/>
        <v>16772.766527508247</v>
      </c>
      <c r="BQ216" s="64">
        <v>12722.182148243313</v>
      </c>
      <c r="BR216" s="64">
        <v>3476.9370659795723</v>
      </c>
      <c r="BS216" s="64">
        <v>1236.5291069567925</v>
      </c>
      <c r="BT216" s="205">
        <f t="shared" si="99"/>
        <v>17435.64832117968</v>
      </c>
      <c r="BU216" s="205"/>
      <c r="BV216" s="5">
        <f t="shared" si="100"/>
        <v>23392</v>
      </c>
      <c r="BW216" s="5">
        <f t="shared" si="101"/>
        <v>23877</v>
      </c>
      <c r="BX216" s="5">
        <f t="shared" si="102"/>
        <v>25908.000629999999</v>
      </c>
      <c r="BY216" s="5">
        <f t="shared" si="103"/>
        <v>26505.124690000001</v>
      </c>
      <c r="BZ216" s="5">
        <f t="shared" si="104"/>
        <v>14941.06322</v>
      </c>
      <c r="CA216" s="5">
        <f t="shared" si="105"/>
        <v>14780.282812340894</v>
      </c>
      <c r="CB216" s="5">
        <f t="shared" si="106"/>
        <v>15467.99757824243</v>
      </c>
      <c r="CC216" s="5">
        <f t="shared" si="107"/>
        <v>16138.492791735425</v>
      </c>
      <c r="CD216" s="5">
        <f t="shared" si="108"/>
        <v>16772.766527508247</v>
      </c>
      <c r="CE216" s="5">
        <f t="shared" si="116"/>
        <v>17435.64832117968</v>
      </c>
      <c r="CH216" s="41">
        <f>BV216/'1. Väestöennuste'!I216*1000</f>
        <v>3635.1204351204351</v>
      </c>
      <c r="CI216" s="41">
        <f>BW216/'1. Väestöennuste'!J216*1000</f>
        <v>3722.057677318784</v>
      </c>
      <c r="CJ216" s="41">
        <f>BX216/'1. Väestöennuste'!K216*1000</f>
        <v>4023.6062478645749</v>
      </c>
      <c r="CK216" s="41">
        <f>BY216/'1. Väestöennuste'!L216*1000</f>
        <v>4176.008301559792</v>
      </c>
      <c r="CL216" s="41">
        <f>BZ216/'1. Väestöennuste'!M216*1000</f>
        <v>2357.7502319709638</v>
      </c>
      <c r="CM216" s="41">
        <f>CA216/'1. Väestöennuste'!N216*1000</f>
        <v>2385.4555862396537</v>
      </c>
      <c r="CN216" s="41">
        <f>CB216/'1. Väestöennuste'!O216*1000</f>
        <v>2516.349044776709</v>
      </c>
      <c r="CO216" s="41">
        <f>CC216/'1. Väestöennuste'!P216*1000</f>
        <v>2643.9208374402729</v>
      </c>
      <c r="CP216" s="41">
        <f>CD216/'1. Väestöennuste'!Q216*1000</f>
        <v>2766.4137436101346</v>
      </c>
      <c r="CQ216" s="41">
        <f>CE216/'1. Väestöennuste'!R216*1000</f>
        <v>2893.8835387850095</v>
      </c>
      <c r="CR216" s="41"/>
      <c r="CU216" s="159">
        <f t="shared" si="109"/>
        <v>86.93724219834894</v>
      </c>
      <c r="CV216" s="159">
        <f t="shared" si="110"/>
        <v>301.54857054579088</v>
      </c>
      <c r="CW216" s="159">
        <f t="shared" si="111"/>
        <v>152.40205369521709</v>
      </c>
      <c r="CX216" s="159">
        <f t="shared" si="112"/>
        <v>-1818.2580695888282</v>
      </c>
      <c r="CY216" s="159">
        <f t="shared" si="113"/>
        <v>27.705354268689916</v>
      </c>
      <c r="CZ216" s="159">
        <f t="shared" si="114"/>
        <v>130.89345853705527</v>
      </c>
      <c r="DA216" s="159">
        <f t="shared" si="117"/>
        <v>127.57179266356388</v>
      </c>
      <c r="DB216" s="159">
        <f t="shared" si="118"/>
        <v>122.49290616986173</v>
      </c>
      <c r="DC216" s="159">
        <f t="shared" si="118"/>
        <v>127.46979517487489</v>
      </c>
    </row>
    <row r="217" spans="1:107" x14ac:dyDescent="0.2">
      <c r="A217" s="99">
        <v>2</v>
      </c>
      <c r="B217" s="30">
        <v>636</v>
      </c>
      <c r="C217" s="47" t="s">
        <v>531</v>
      </c>
      <c r="D217" s="64">
        <v>23555.406190000002</v>
      </c>
      <c r="E217" s="64">
        <v>1433.9911299999999</v>
      </c>
      <c r="F217" s="64">
        <v>1448.9472900000001</v>
      </c>
      <c r="G217" s="205">
        <v>26438</v>
      </c>
      <c r="H217" s="205"/>
      <c r="I217" s="64">
        <v>23968</v>
      </c>
      <c r="J217" s="64">
        <v>1564</v>
      </c>
      <c r="K217" s="64">
        <v>1457</v>
      </c>
      <c r="L217" s="205">
        <v>26989</v>
      </c>
      <c r="M217" s="205"/>
      <c r="N217" s="64">
        <v>24228</v>
      </c>
      <c r="O217" s="64">
        <v>1708</v>
      </c>
      <c r="P217" s="64">
        <v>1764</v>
      </c>
      <c r="Q217" s="205">
        <v>27700</v>
      </c>
      <c r="R217" s="205"/>
      <c r="S217" s="64">
        <v>23669</v>
      </c>
      <c r="T217" s="64">
        <v>1876</v>
      </c>
      <c r="U217" s="64">
        <v>1677</v>
      </c>
      <c r="V217" s="205">
        <v>27222</v>
      </c>
      <c r="W217" s="205"/>
      <c r="X217" s="64">
        <v>23906</v>
      </c>
      <c r="Y217" s="64">
        <v>1881</v>
      </c>
      <c r="Z217" s="64">
        <v>1862</v>
      </c>
      <c r="AA217" s="205">
        <f t="shared" si="115"/>
        <v>27649</v>
      </c>
      <c r="AB217" s="205"/>
      <c r="AC217" s="64">
        <v>24492</v>
      </c>
      <c r="AD217" s="64">
        <v>1690</v>
      </c>
      <c r="AE217" s="64">
        <v>2783</v>
      </c>
      <c r="AF217" s="205">
        <f t="shared" si="92"/>
        <v>28965</v>
      </c>
      <c r="AG217" s="205"/>
      <c r="AH217" s="278">
        <v>25060.85122</v>
      </c>
      <c r="AI217" s="64">
        <v>1890.0998300000001</v>
      </c>
      <c r="AJ217" s="64">
        <v>4302.2738200000003</v>
      </c>
      <c r="AK217" s="205">
        <f t="shared" si="93"/>
        <v>31253.224869999998</v>
      </c>
      <c r="AL217" s="205"/>
      <c r="AM217" s="64">
        <v>26517.615180000001</v>
      </c>
      <c r="AN217" s="64">
        <v>2236.4192699999999</v>
      </c>
      <c r="AO217" s="64">
        <v>3549.9813799999997</v>
      </c>
      <c r="AP217" s="205">
        <f t="shared" si="94"/>
        <v>32304.01583</v>
      </c>
      <c r="AQ217" s="205"/>
      <c r="AR217" s="64">
        <v>12644.860460000002</v>
      </c>
      <c r="AS217" s="64">
        <v>2206.56448</v>
      </c>
      <c r="AT217" s="64">
        <v>2353.43046</v>
      </c>
      <c r="AU217" s="205">
        <f t="shared" si="95"/>
        <v>17204.8554</v>
      </c>
      <c r="AV217" s="205"/>
      <c r="AW217" s="64">
        <v>12697.622785276191</v>
      </c>
      <c r="AX217" s="64">
        <v>2235.0360712016504</v>
      </c>
      <c r="AY217" s="64">
        <v>2432.4500425775477</v>
      </c>
      <c r="AZ217" s="205">
        <f t="shared" si="96"/>
        <v>17365.108899055391</v>
      </c>
      <c r="BA217" s="205"/>
      <c r="BB217" s="64">
        <v>13454.093039128964</v>
      </c>
      <c r="BC217" s="64">
        <v>2237.604103432142</v>
      </c>
      <c r="BD217" s="64">
        <v>2461.6394430884779</v>
      </c>
      <c r="BE217" s="205">
        <f t="shared" si="91"/>
        <v>18153.336585649584</v>
      </c>
      <c r="BF217" s="205"/>
      <c r="BG217" s="64">
        <v>14112.117831979071</v>
      </c>
      <c r="BH217" s="64">
        <v>2257.284771147612</v>
      </c>
      <c r="BI217" s="64">
        <v>2581.1769880380034</v>
      </c>
      <c r="BJ217" s="205">
        <f t="shared" si="97"/>
        <v>18950.579591164686</v>
      </c>
      <c r="BK217" s="205"/>
      <c r="BL217" s="64">
        <v>14644.838559068095</v>
      </c>
      <c r="BM217" s="64">
        <v>2281.5496330388837</v>
      </c>
      <c r="BN217" s="64">
        <v>2735.463819310065</v>
      </c>
      <c r="BO217" s="205">
        <f t="shared" si="98"/>
        <v>19661.852011417046</v>
      </c>
      <c r="BQ217" s="64">
        <v>15240.81568270264</v>
      </c>
      <c r="BR217" s="64">
        <v>2304.80506457807</v>
      </c>
      <c r="BS217" s="64">
        <v>2831.3718495602657</v>
      </c>
      <c r="BT217" s="205">
        <f t="shared" si="99"/>
        <v>20376.992596840977</v>
      </c>
      <c r="BU217" s="205"/>
      <c r="BV217" s="5">
        <f t="shared" si="100"/>
        <v>27649</v>
      </c>
      <c r="BW217" s="5">
        <f t="shared" si="101"/>
        <v>28965</v>
      </c>
      <c r="BX217" s="5">
        <f t="shared" si="102"/>
        <v>31253.224869999998</v>
      </c>
      <c r="BY217" s="5">
        <f t="shared" si="103"/>
        <v>32304.01583</v>
      </c>
      <c r="BZ217" s="5">
        <f t="shared" si="104"/>
        <v>17204.8554</v>
      </c>
      <c r="CA217" s="5">
        <f t="shared" si="105"/>
        <v>17365.108899055391</v>
      </c>
      <c r="CB217" s="5">
        <f t="shared" si="106"/>
        <v>18153.336585649584</v>
      </c>
      <c r="CC217" s="5">
        <f t="shared" si="107"/>
        <v>18950.579591164686</v>
      </c>
      <c r="CD217" s="5">
        <f t="shared" si="108"/>
        <v>19661.852011417046</v>
      </c>
      <c r="CE217" s="5">
        <f t="shared" si="116"/>
        <v>20376.992596840977</v>
      </c>
      <c r="CH217" s="41">
        <f>BV217/'1. Väestöennuste'!I217*1000</f>
        <v>3340.8651522474624</v>
      </c>
      <c r="CI217" s="41">
        <f>BW217/'1. Väestöennuste'!J217*1000</f>
        <v>3519.8687568355817</v>
      </c>
      <c r="CJ217" s="41">
        <f>BX217/'1. Väestöennuste'!K217*1000</f>
        <v>3801.1706239357818</v>
      </c>
      <c r="CK217" s="41">
        <f>BY217/'1. Väestöennuste'!L217*1000</f>
        <v>3961.7385123865588</v>
      </c>
      <c r="CL217" s="41">
        <f>BZ217/'1. Väestöennuste'!M217*1000</f>
        <v>2116.2183763837643</v>
      </c>
      <c r="CM217" s="41">
        <f>CA217/'1. Väestöennuste'!N217*1000</f>
        <v>2173.0833311294446</v>
      </c>
      <c r="CN217" s="41">
        <f>CB217/'1. Väestöennuste'!O217*1000</f>
        <v>2285.1632157162112</v>
      </c>
      <c r="CO217" s="41">
        <f>CC217/'1. Väestöennuste'!P217*1000</f>
        <v>2399.4149900183193</v>
      </c>
      <c r="CP217" s="41">
        <f>CD217/'1. Väestöennuste'!Q217*1000</f>
        <v>2503.4188962843195</v>
      </c>
      <c r="CQ217" s="41">
        <f>CE217/'1. Väestöennuste'!R217*1000</f>
        <v>2610.7613833236355</v>
      </c>
      <c r="CR217" s="41"/>
      <c r="CU217" s="159">
        <f t="shared" si="109"/>
        <v>179.00360458811929</v>
      </c>
      <c r="CV217" s="159">
        <f t="shared" si="110"/>
        <v>281.30186710020007</v>
      </c>
      <c r="CW217" s="159">
        <f t="shared" si="111"/>
        <v>160.56788845077699</v>
      </c>
      <c r="CX217" s="159">
        <f t="shared" si="112"/>
        <v>-1845.5201360027945</v>
      </c>
      <c r="CY217" s="159">
        <f t="shared" si="113"/>
        <v>56.864954745680279</v>
      </c>
      <c r="CZ217" s="159">
        <f t="shared" si="114"/>
        <v>112.07988458676664</v>
      </c>
      <c r="DA217" s="159">
        <f t="shared" si="117"/>
        <v>114.25177430210806</v>
      </c>
      <c r="DB217" s="159">
        <f t="shared" si="118"/>
        <v>104.00390626600029</v>
      </c>
      <c r="DC217" s="159">
        <f t="shared" si="118"/>
        <v>107.34248703931598</v>
      </c>
    </row>
    <row r="218" spans="1:107" x14ac:dyDescent="0.2">
      <c r="A218" s="99">
        <v>1</v>
      </c>
      <c r="B218" s="30">
        <v>638</v>
      </c>
      <c r="C218" s="47" t="s">
        <v>532</v>
      </c>
      <c r="D218" s="64">
        <v>187564.23844999998</v>
      </c>
      <c r="E218" s="64">
        <v>16418.781709999999</v>
      </c>
      <c r="F218" s="64">
        <v>17858.860210000003</v>
      </c>
      <c r="G218" s="205">
        <v>221842</v>
      </c>
      <c r="H218" s="205"/>
      <c r="I218" s="64">
        <v>196962</v>
      </c>
      <c r="J218" s="64">
        <v>16841</v>
      </c>
      <c r="K218" s="64">
        <v>14924</v>
      </c>
      <c r="L218" s="205">
        <v>228727</v>
      </c>
      <c r="M218" s="205"/>
      <c r="N218" s="64">
        <v>190592</v>
      </c>
      <c r="O218" s="64">
        <v>16658</v>
      </c>
      <c r="P218" s="64">
        <v>13931</v>
      </c>
      <c r="Q218" s="205">
        <v>221181</v>
      </c>
      <c r="R218" s="205"/>
      <c r="S218" s="64">
        <v>192402</v>
      </c>
      <c r="T218" s="64">
        <v>16386</v>
      </c>
      <c r="U218" s="64">
        <v>20364</v>
      </c>
      <c r="V218" s="205">
        <v>229152</v>
      </c>
      <c r="W218" s="205"/>
      <c r="X218" s="64">
        <v>193588</v>
      </c>
      <c r="Y218" s="64">
        <v>16983</v>
      </c>
      <c r="Z218" s="64">
        <v>32382</v>
      </c>
      <c r="AA218" s="205">
        <f t="shared" si="115"/>
        <v>242953</v>
      </c>
      <c r="AB218" s="205"/>
      <c r="AC218" s="64">
        <v>204259</v>
      </c>
      <c r="AD218" s="64">
        <v>15679</v>
      </c>
      <c r="AE218" s="64">
        <v>37980</v>
      </c>
      <c r="AF218" s="205">
        <f t="shared" si="92"/>
        <v>257918</v>
      </c>
      <c r="AG218" s="335"/>
      <c r="AH218" s="278">
        <v>208030.07399999999</v>
      </c>
      <c r="AI218" s="64">
        <v>17270.663619999999</v>
      </c>
      <c r="AJ218" s="64">
        <v>71419.422860000006</v>
      </c>
      <c r="AK218" s="205">
        <f t="shared" si="93"/>
        <v>296720.16048000002</v>
      </c>
      <c r="AL218" s="205"/>
      <c r="AM218" s="64">
        <v>223930.88068</v>
      </c>
      <c r="AN218" s="64">
        <v>18200.694649999998</v>
      </c>
      <c r="AO218" s="64">
        <v>74349.64516</v>
      </c>
      <c r="AP218" s="205">
        <f t="shared" si="94"/>
        <v>316481.22048999998</v>
      </c>
      <c r="AQ218" s="205"/>
      <c r="AR218" s="64">
        <v>101297.85295</v>
      </c>
      <c r="AS218" s="64">
        <v>19030.689109999999</v>
      </c>
      <c r="AT218" s="64">
        <v>32268.83397</v>
      </c>
      <c r="AU218" s="205">
        <f t="shared" si="95"/>
        <v>152597.37603000001</v>
      </c>
      <c r="AV218" s="205"/>
      <c r="AW218" s="64">
        <v>93886.433403602408</v>
      </c>
      <c r="AX218" s="64">
        <v>19160.863859667836</v>
      </c>
      <c r="AY218" s="64">
        <v>31453.250311126809</v>
      </c>
      <c r="AZ218" s="205">
        <f t="shared" si="96"/>
        <v>144500.54757439706</v>
      </c>
      <c r="BA218" s="205"/>
      <c r="BB218" s="64">
        <v>99517.789303599639</v>
      </c>
      <c r="BC218" s="64">
        <v>19459.840924053638</v>
      </c>
      <c r="BD218" s="64">
        <v>31830.689314860327</v>
      </c>
      <c r="BE218" s="205">
        <f t="shared" si="91"/>
        <v>150808.31954251361</v>
      </c>
      <c r="BF218" s="205"/>
      <c r="BG218" s="64">
        <v>103977.10230558597</v>
      </c>
      <c r="BH218" s="64">
        <v>19913.78765735502</v>
      </c>
      <c r="BI218" s="64">
        <v>33376.391901578565</v>
      </c>
      <c r="BJ218" s="205">
        <f t="shared" si="97"/>
        <v>157267.28186451955</v>
      </c>
      <c r="BK218" s="205"/>
      <c r="BL218" s="64">
        <v>107962.28368330978</v>
      </c>
      <c r="BM218" s="64">
        <v>20417.134310339788</v>
      </c>
      <c r="BN218" s="64">
        <v>35371.426635598604</v>
      </c>
      <c r="BO218" s="205">
        <f t="shared" si="98"/>
        <v>163750.8446292482</v>
      </c>
      <c r="BQ218" s="64">
        <v>112331.97791700751</v>
      </c>
      <c r="BR218" s="64">
        <v>20920.985196345289</v>
      </c>
      <c r="BS218" s="64">
        <v>36611.583362151607</v>
      </c>
      <c r="BT218" s="205">
        <f t="shared" si="99"/>
        <v>169864.54647550441</v>
      </c>
      <c r="BU218" s="205"/>
      <c r="BV218" s="5">
        <f t="shared" si="100"/>
        <v>242953</v>
      </c>
      <c r="BW218" s="5">
        <f t="shared" si="101"/>
        <v>257918</v>
      </c>
      <c r="BX218" s="5">
        <f t="shared" si="102"/>
        <v>296720.16048000002</v>
      </c>
      <c r="BY218" s="5">
        <f t="shared" si="103"/>
        <v>316481.22048999998</v>
      </c>
      <c r="BZ218" s="5">
        <f t="shared" si="104"/>
        <v>152597.37603000001</v>
      </c>
      <c r="CA218" s="5">
        <f t="shared" si="105"/>
        <v>144500.54757439706</v>
      </c>
      <c r="CB218" s="5">
        <f t="shared" si="106"/>
        <v>150808.31954251361</v>
      </c>
      <c r="CC218" s="5">
        <f t="shared" si="107"/>
        <v>157267.28186451955</v>
      </c>
      <c r="CD218" s="5">
        <f t="shared" si="108"/>
        <v>163750.8446292482</v>
      </c>
      <c r="CE218" s="5">
        <f t="shared" si="116"/>
        <v>169864.54647550441</v>
      </c>
      <c r="CH218" s="41">
        <f>BV218/'1. Väestöennuste'!I218*1000</f>
        <v>4822.4096863834857</v>
      </c>
      <c r="CI218" s="41">
        <f>BW218/'1. Väestöennuste'!J218*1000</f>
        <v>5095.2804282976749</v>
      </c>
      <c r="CJ218" s="41">
        <f>BX218/'1. Väestöennuste'!K218*1000</f>
        <v>5801.0940679192172</v>
      </c>
      <c r="CK218" s="41">
        <f>BY218/'1. Väestöennuste'!L218*1000</f>
        <v>6177.412954598688</v>
      </c>
      <c r="CL218" s="41">
        <f>BZ218/'1. Väestöennuste'!M218*1000</f>
        <v>2975.2456867944397</v>
      </c>
      <c r="CM218" s="41">
        <f>CA218/'1. Väestöennuste'!N218*1000</f>
        <v>2814.2513063217598</v>
      </c>
      <c r="CN218" s="41">
        <f>CB218/'1. Väestöennuste'!O218*1000</f>
        <v>2929.1131480890649</v>
      </c>
      <c r="CO218" s="41">
        <f>CC218/'1. Väestöennuste'!P218*1000</f>
        <v>3046.6346738574107</v>
      </c>
      <c r="CP218" s="41">
        <f>CD218/'1. Väestöennuste'!Q218*1000</f>
        <v>3164.8790999081598</v>
      </c>
      <c r="CQ218" s="41">
        <f>CE218/'1. Väestöennuste'!R218*1000</f>
        <v>3276.1392982604179</v>
      </c>
      <c r="CR218" s="41"/>
      <c r="CU218" s="159">
        <f t="shared" si="109"/>
        <v>272.87074191418924</v>
      </c>
      <c r="CV218" s="159">
        <f t="shared" si="110"/>
        <v>705.81363962154228</v>
      </c>
      <c r="CW218" s="159">
        <f t="shared" si="111"/>
        <v>376.31888667947078</v>
      </c>
      <c r="CX218" s="159">
        <f t="shared" si="112"/>
        <v>-3202.1672678042482</v>
      </c>
      <c r="CY218" s="159">
        <f t="shared" si="113"/>
        <v>-160.99438047267995</v>
      </c>
      <c r="CZ218" s="159">
        <f t="shared" si="114"/>
        <v>114.86184176730512</v>
      </c>
      <c r="DA218" s="159">
        <f t="shared" si="117"/>
        <v>117.52152576834578</v>
      </c>
      <c r="DB218" s="159">
        <f t="shared" si="118"/>
        <v>118.2444260507491</v>
      </c>
      <c r="DC218" s="159">
        <f t="shared" si="118"/>
        <v>111.26019835225816</v>
      </c>
    </row>
    <row r="219" spans="1:107" x14ac:dyDescent="0.2">
      <c r="A219" s="99">
        <v>17</v>
      </c>
      <c r="B219" s="30">
        <v>678</v>
      </c>
      <c r="C219" s="47" t="s">
        <v>533</v>
      </c>
      <c r="D219" s="64">
        <v>84097.202749999997</v>
      </c>
      <c r="E219" s="64">
        <v>5791.5565199999992</v>
      </c>
      <c r="F219" s="64">
        <v>3506.57582</v>
      </c>
      <c r="G219" s="205">
        <v>93385</v>
      </c>
      <c r="H219" s="205"/>
      <c r="I219" s="64">
        <v>82720</v>
      </c>
      <c r="J219" s="64">
        <v>6271</v>
      </c>
      <c r="K219" s="64">
        <v>3086</v>
      </c>
      <c r="L219" s="205">
        <v>92077</v>
      </c>
      <c r="M219" s="205"/>
      <c r="N219" s="64">
        <v>81210</v>
      </c>
      <c r="O219" s="64">
        <v>6209</v>
      </c>
      <c r="P219" s="64">
        <v>3473</v>
      </c>
      <c r="Q219" s="205">
        <v>90892</v>
      </c>
      <c r="R219" s="205"/>
      <c r="S219" s="64">
        <v>81914</v>
      </c>
      <c r="T219" s="64">
        <v>7077</v>
      </c>
      <c r="U219" s="64">
        <v>3264</v>
      </c>
      <c r="V219" s="205">
        <v>92255</v>
      </c>
      <c r="W219" s="205"/>
      <c r="X219" s="64">
        <v>81506</v>
      </c>
      <c r="Y219" s="64">
        <v>7258</v>
      </c>
      <c r="Z219" s="64">
        <v>4015</v>
      </c>
      <c r="AA219" s="205">
        <f t="shared" si="115"/>
        <v>92779</v>
      </c>
      <c r="AB219" s="205"/>
      <c r="AC219" s="64">
        <v>86705</v>
      </c>
      <c r="AD219" s="64">
        <v>6458</v>
      </c>
      <c r="AE219" s="64">
        <v>5964</v>
      </c>
      <c r="AF219" s="205">
        <f t="shared" si="92"/>
        <v>99127</v>
      </c>
      <c r="AG219" s="205"/>
      <c r="AH219" s="278">
        <v>86910.046629999997</v>
      </c>
      <c r="AI219" s="64">
        <v>6069.558</v>
      </c>
      <c r="AJ219" s="64">
        <v>8086.1281200000003</v>
      </c>
      <c r="AK219" s="205">
        <f t="shared" si="93"/>
        <v>101065.73275</v>
      </c>
      <c r="AL219" s="205"/>
      <c r="AM219" s="64">
        <v>91522.798379999993</v>
      </c>
      <c r="AN219" s="64">
        <v>7301.1849000000002</v>
      </c>
      <c r="AO219" s="64">
        <v>6607.9148099999993</v>
      </c>
      <c r="AP219" s="205">
        <f t="shared" si="94"/>
        <v>105431.89808999999</v>
      </c>
      <c r="AQ219" s="205"/>
      <c r="AR219" s="64">
        <v>47588.212920000005</v>
      </c>
      <c r="AS219" s="64">
        <v>8339.0048399999996</v>
      </c>
      <c r="AT219" s="64">
        <v>9878.2944000000007</v>
      </c>
      <c r="AU219" s="205">
        <f t="shared" si="95"/>
        <v>65805.512160000013</v>
      </c>
      <c r="AV219" s="205"/>
      <c r="AW219" s="64">
        <v>43853.208217944979</v>
      </c>
      <c r="AX219" s="64">
        <v>8434.3991120577084</v>
      </c>
      <c r="AY219" s="64">
        <v>14972.16241568736</v>
      </c>
      <c r="AZ219" s="205">
        <f t="shared" si="96"/>
        <v>67259.76974569005</v>
      </c>
      <c r="BA219" s="205"/>
      <c r="BB219" s="64">
        <v>46269.331812247772</v>
      </c>
      <c r="BC219" s="64">
        <v>8444.9460914387819</v>
      </c>
      <c r="BD219" s="64">
        <v>15151.828364675608</v>
      </c>
      <c r="BE219" s="205">
        <f t="shared" si="91"/>
        <v>69866.106268362157</v>
      </c>
      <c r="BF219" s="205"/>
      <c r="BG219" s="64">
        <v>47936.589149750551</v>
      </c>
      <c r="BH219" s="64">
        <v>8521.0277018711367</v>
      </c>
      <c r="BI219" s="64">
        <v>15887.603203389388</v>
      </c>
      <c r="BJ219" s="205">
        <f t="shared" si="97"/>
        <v>72345.220055011072</v>
      </c>
      <c r="BK219" s="205"/>
      <c r="BL219" s="64">
        <v>49281.531769691763</v>
      </c>
      <c r="BM219" s="64">
        <v>8615.3910937736127</v>
      </c>
      <c r="BN219" s="64">
        <v>16837.266076612988</v>
      </c>
      <c r="BO219" s="205">
        <f t="shared" si="98"/>
        <v>74734.188940078369</v>
      </c>
      <c r="BQ219" s="64">
        <v>50840.459856748494</v>
      </c>
      <c r="BR219" s="64">
        <v>8706.9418689437553</v>
      </c>
      <c r="BS219" s="64">
        <v>17427.597051860088</v>
      </c>
      <c r="BT219" s="205">
        <f t="shared" si="99"/>
        <v>76974.998777552333</v>
      </c>
      <c r="BU219" s="205"/>
      <c r="BV219" s="5">
        <f t="shared" si="100"/>
        <v>92779</v>
      </c>
      <c r="BW219" s="5">
        <f t="shared" si="101"/>
        <v>99127</v>
      </c>
      <c r="BX219" s="5">
        <f t="shared" si="102"/>
        <v>101065.73275</v>
      </c>
      <c r="BY219" s="5">
        <f t="shared" si="103"/>
        <v>105431.89808999999</v>
      </c>
      <c r="BZ219" s="5">
        <f t="shared" si="104"/>
        <v>65805.512160000013</v>
      </c>
      <c r="CA219" s="5">
        <f t="shared" si="105"/>
        <v>67259.76974569005</v>
      </c>
      <c r="CB219" s="5">
        <f t="shared" si="106"/>
        <v>69866.106268362157</v>
      </c>
      <c r="CC219" s="5">
        <f t="shared" si="107"/>
        <v>72345.220055011072</v>
      </c>
      <c r="CD219" s="5">
        <f t="shared" si="108"/>
        <v>74734.188940078369</v>
      </c>
      <c r="CE219" s="5">
        <f t="shared" si="116"/>
        <v>76974.998777552333</v>
      </c>
      <c r="CH219" s="41">
        <f>BV219/'1. Väestöennuste'!I219*1000</f>
        <v>3759.4310952631795</v>
      </c>
      <c r="CI219" s="41">
        <f>BW219/'1. Väestöennuste'!J219*1000</f>
        <v>4070.422535211268</v>
      </c>
      <c r="CJ219" s="41">
        <f>BX219/'1. Väestöennuste'!K219*1000</f>
        <v>4165.9411685902714</v>
      </c>
      <c r="CK219" s="41">
        <f>BY219/'1. Väestöennuste'!L219*1000</f>
        <v>4379.6742445893733</v>
      </c>
      <c r="CL219" s="41">
        <f>BZ219/'1. Väestöennuste'!M219*1000</f>
        <v>2765.2860511829231</v>
      </c>
      <c r="CM219" s="41">
        <f>CA219/'1. Väestöennuste'!N219*1000</f>
        <v>2844.2054188806683</v>
      </c>
      <c r="CN219" s="41">
        <f>CB219/'1. Väestöennuste'!O219*1000</f>
        <v>2977.841030959089</v>
      </c>
      <c r="CO219" s="41">
        <f>CC219/'1. Väestöennuste'!P219*1000</f>
        <v>3108.680820514398</v>
      </c>
      <c r="CP219" s="41">
        <f>CD219/'1. Väestöennuste'!Q219*1000</f>
        <v>3238.0497807659603</v>
      </c>
      <c r="CQ219" s="41">
        <f>CE219/'1. Väestöennuste'!R219*1000</f>
        <v>3363.7038445006265</v>
      </c>
      <c r="CR219" s="41"/>
      <c r="CU219" s="159">
        <f t="shared" si="109"/>
        <v>310.99143994808855</v>
      </c>
      <c r="CV219" s="159">
        <f t="shared" si="110"/>
        <v>95.518633379003404</v>
      </c>
      <c r="CW219" s="159">
        <f t="shared" si="111"/>
        <v>213.73307599910186</v>
      </c>
      <c r="CX219" s="159">
        <f t="shared" si="112"/>
        <v>-1614.3881934064502</v>
      </c>
      <c r="CY219" s="159">
        <f t="shared" si="113"/>
        <v>78.919367697745201</v>
      </c>
      <c r="CZ219" s="159">
        <f t="shared" si="114"/>
        <v>133.63561207842076</v>
      </c>
      <c r="DA219" s="159">
        <f t="shared" si="117"/>
        <v>130.83978955530893</v>
      </c>
      <c r="DB219" s="159">
        <f t="shared" si="118"/>
        <v>129.36896025156238</v>
      </c>
      <c r="DC219" s="159">
        <f t="shared" si="118"/>
        <v>125.65406373466612</v>
      </c>
    </row>
    <row r="220" spans="1:107" x14ac:dyDescent="0.2">
      <c r="A220" s="99">
        <v>2</v>
      </c>
      <c r="B220" s="30">
        <v>680</v>
      </c>
      <c r="C220" s="47" t="s">
        <v>534</v>
      </c>
      <c r="D220" s="64">
        <v>84919.299939999997</v>
      </c>
      <c r="E220" s="64">
        <v>7496.2532000000001</v>
      </c>
      <c r="F220" s="64">
        <v>5897.9597699999995</v>
      </c>
      <c r="G220" s="205">
        <v>98294</v>
      </c>
      <c r="H220" s="205"/>
      <c r="I220" s="64">
        <v>85391</v>
      </c>
      <c r="J220" s="64">
        <v>7697</v>
      </c>
      <c r="K220" s="64">
        <v>5042</v>
      </c>
      <c r="L220" s="205">
        <v>98130</v>
      </c>
      <c r="M220" s="205"/>
      <c r="N220" s="64">
        <v>85963</v>
      </c>
      <c r="O220" s="64">
        <v>7710</v>
      </c>
      <c r="P220" s="64">
        <v>5903</v>
      </c>
      <c r="Q220" s="205">
        <v>99576</v>
      </c>
      <c r="R220" s="205"/>
      <c r="S220" s="64">
        <v>85873</v>
      </c>
      <c r="T220" s="64">
        <v>7693</v>
      </c>
      <c r="U220" s="64">
        <v>5642</v>
      </c>
      <c r="V220" s="205">
        <v>99208</v>
      </c>
      <c r="W220" s="205"/>
      <c r="X220" s="64">
        <v>85900</v>
      </c>
      <c r="Y220" s="64">
        <v>7789</v>
      </c>
      <c r="Z220" s="64">
        <v>5411</v>
      </c>
      <c r="AA220" s="205">
        <f t="shared" si="115"/>
        <v>99100</v>
      </c>
      <c r="AB220" s="205"/>
      <c r="AC220" s="64">
        <v>90398</v>
      </c>
      <c r="AD220" s="64">
        <v>7141</v>
      </c>
      <c r="AE220" s="64">
        <v>5804</v>
      </c>
      <c r="AF220" s="205">
        <f t="shared" si="92"/>
        <v>103343</v>
      </c>
      <c r="AG220" s="205"/>
      <c r="AH220" s="278">
        <v>95086.918209999989</v>
      </c>
      <c r="AI220" s="64">
        <v>7664.86762</v>
      </c>
      <c r="AJ220" s="64">
        <v>8545.9523399999998</v>
      </c>
      <c r="AK220" s="205">
        <f t="shared" si="93"/>
        <v>111297.73817</v>
      </c>
      <c r="AL220" s="205"/>
      <c r="AM220" s="64">
        <v>99907.662859999997</v>
      </c>
      <c r="AN220" s="64">
        <v>7958.5626099999999</v>
      </c>
      <c r="AO220" s="64">
        <v>9754.2532599999995</v>
      </c>
      <c r="AP220" s="205">
        <f t="shared" si="94"/>
        <v>117620.47872999999</v>
      </c>
      <c r="AQ220" s="205"/>
      <c r="AR220" s="64">
        <v>49084.594429999997</v>
      </c>
      <c r="AS220" s="64">
        <v>8572.4597699999995</v>
      </c>
      <c r="AT220" s="64">
        <v>6914.9512599999998</v>
      </c>
      <c r="AU220" s="205">
        <f t="shared" si="95"/>
        <v>64572.00546</v>
      </c>
      <c r="AV220" s="205"/>
      <c r="AW220" s="64">
        <v>46013.014435102537</v>
      </c>
      <c r="AX220" s="64">
        <v>8579.3891171074101</v>
      </c>
      <c r="AY220" s="64">
        <v>5018.4348083051991</v>
      </c>
      <c r="AZ220" s="205">
        <f t="shared" si="96"/>
        <v>59610.838360515147</v>
      </c>
      <c r="BA220" s="205"/>
      <c r="BB220" s="64">
        <v>48350.007265389213</v>
      </c>
      <c r="BC220" s="64">
        <v>8640.8374308422844</v>
      </c>
      <c r="BD220" s="64">
        <v>5078.6560260048618</v>
      </c>
      <c r="BE220" s="205">
        <f t="shared" si="91"/>
        <v>62069.500722236364</v>
      </c>
      <c r="BF220" s="205"/>
      <c r="BG220" s="64">
        <v>50773.669368357128</v>
      </c>
      <c r="BH220" s="64">
        <v>8769.8566938153472</v>
      </c>
      <c r="BI220" s="64">
        <v>5325.2762508701462</v>
      </c>
      <c r="BJ220" s="205">
        <f t="shared" si="97"/>
        <v>64868.802313042623</v>
      </c>
      <c r="BK220" s="205"/>
      <c r="BL220" s="64">
        <v>52852.118397976112</v>
      </c>
      <c r="BM220" s="64">
        <v>8918.6801523834383</v>
      </c>
      <c r="BN220" s="64">
        <v>5643.5884015683614</v>
      </c>
      <c r="BO220" s="205">
        <f t="shared" si="98"/>
        <v>67414.386951927911</v>
      </c>
      <c r="BQ220" s="64">
        <v>55176.120099355809</v>
      </c>
      <c r="BR220" s="64">
        <v>9065.6438356454073</v>
      </c>
      <c r="BS220" s="64">
        <v>5841.4581168672521</v>
      </c>
      <c r="BT220" s="205">
        <f t="shared" si="99"/>
        <v>70083.222051868477</v>
      </c>
      <c r="BU220" s="205"/>
      <c r="BV220" s="5">
        <f t="shared" si="100"/>
        <v>99100</v>
      </c>
      <c r="BW220" s="5">
        <f t="shared" si="101"/>
        <v>103343</v>
      </c>
      <c r="BX220" s="5">
        <f t="shared" si="102"/>
        <v>111297.73817</v>
      </c>
      <c r="BY220" s="5">
        <f t="shared" si="103"/>
        <v>117620.47872999999</v>
      </c>
      <c r="BZ220" s="5">
        <f t="shared" si="104"/>
        <v>64572.00546</v>
      </c>
      <c r="CA220" s="5">
        <f t="shared" si="105"/>
        <v>59610.838360515147</v>
      </c>
      <c r="CB220" s="5">
        <f t="shared" si="106"/>
        <v>62069.500722236364</v>
      </c>
      <c r="CC220" s="5">
        <f t="shared" si="107"/>
        <v>64868.802313042623</v>
      </c>
      <c r="CD220" s="5">
        <f t="shared" si="108"/>
        <v>67414.386951927911</v>
      </c>
      <c r="CE220" s="5">
        <f t="shared" si="116"/>
        <v>70083.222051868477</v>
      </c>
      <c r="CH220" s="41">
        <f>BV220/'1. Väestöennuste'!I220*1000</f>
        <v>4119.5543731293646</v>
      </c>
      <c r="CI220" s="41">
        <f>BW220/'1. Väestöennuste'!J220*1000</f>
        <v>4234.1541361084937</v>
      </c>
      <c r="CJ220" s="41">
        <f>BX220/'1. Väestöennuste'!K220*1000</f>
        <v>4486.003150745667</v>
      </c>
      <c r="CK220" s="41">
        <f>BY220/'1. Väestöennuste'!L220*1000</f>
        <v>4715.7597117312152</v>
      </c>
      <c r="CL220" s="41">
        <f>BZ220/'1. Väestöennuste'!M220*1000</f>
        <v>2549.1297406340059</v>
      </c>
      <c r="CM220" s="41">
        <f>CA220/'1. Väestöennuste'!N220*1000</f>
        <v>2428.4368094070619</v>
      </c>
      <c r="CN220" s="41">
        <f>CB220/'1. Väestöennuste'!O220*1000</f>
        <v>2523.7659885433991</v>
      </c>
      <c r="CO220" s="41">
        <f>CC220/'1. Väestöennuste'!P220*1000</f>
        <v>2632.9830057654185</v>
      </c>
      <c r="CP220" s="41">
        <f>CD220/'1. Väestöennuste'!Q220*1000</f>
        <v>2731.6498623091661</v>
      </c>
      <c r="CQ220" s="41">
        <f>CE220/'1. Väestöennuste'!R220*1000</f>
        <v>2834.6231213342694</v>
      </c>
      <c r="CR220" s="41"/>
      <c r="CU220" s="159">
        <f t="shared" si="109"/>
        <v>114.59976297912908</v>
      </c>
      <c r="CV220" s="159">
        <f t="shared" si="110"/>
        <v>251.84901463717324</v>
      </c>
      <c r="CW220" s="159">
        <f t="shared" si="111"/>
        <v>229.75656098554828</v>
      </c>
      <c r="CX220" s="159">
        <f t="shared" si="112"/>
        <v>-2166.6299710972094</v>
      </c>
      <c r="CY220" s="159">
        <f t="shared" si="113"/>
        <v>-120.69293122694398</v>
      </c>
      <c r="CZ220" s="159">
        <f t="shared" si="114"/>
        <v>95.329179136337189</v>
      </c>
      <c r="DA220" s="159">
        <f t="shared" si="117"/>
        <v>109.21701722201942</v>
      </c>
      <c r="DB220" s="159">
        <f t="shared" si="118"/>
        <v>98.666856543747599</v>
      </c>
      <c r="DC220" s="159">
        <f t="shared" si="118"/>
        <v>102.97325902510329</v>
      </c>
    </row>
    <row r="221" spans="1:107" x14ac:dyDescent="0.2">
      <c r="A221" s="99">
        <v>10</v>
      </c>
      <c r="B221" s="30">
        <v>681</v>
      </c>
      <c r="C221" s="47" t="s">
        <v>535</v>
      </c>
      <c r="D221" s="64">
        <v>9342.8037100000001</v>
      </c>
      <c r="E221" s="64">
        <v>993.87325999999996</v>
      </c>
      <c r="F221" s="64">
        <v>1074.63318</v>
      </c>
      <c r="G221" s="205">
        <v>11412</v>
      </c>
      <c r="H221" s="205"/>
      <c r="I221" s="64">
        <v>8682</v>
      </c>
      <c r="J221" s="64">
        <v>1026</v>
      </c>
      <c r="K221" s="64">
        <v>996</v>
      </c>
      <c r="L221" s="205">
        <v>10704</v>
      </c>
      <c r="M221" s="205"/>
      <c r="N221" s="64">
        <v>9065</v>
      </c>
      <c r="O221" s="64">
        <v>1055</v>
      </c>
      <c r="P221" s="64">
        <v>1119</v>
      </c>
      <c r="Q221" s="205">
        <v>11239</v>
      </c>
      <c r="R221" s="205"/>
      <c r="S221" s="64">
        <v>8548</v>
      </c>
      <c r="T221" s="64">
        <v>1073</v>
      </c>
      <c r="U221" s="64">
        <v>1052</v>
      </c>
      <c r="V221" s="205">
        <v>10673</v>
      </c>
      <c r="W221" s="205"/>
      <c r="X221" s="64">
        <v>9179</v>
      </c>
      <c r="Y221" s="64">
        <v>1192</v>
      </c>
      <c r="Z221" s="64">
        <v>1143</v>
      </c>
      <c r="AA221" s="205">
        <f t="shared" si="115"/>
        <v>11514</v>
      </c>
      <c r="AB221" s="205"/>
      <c r="AC221" s="64">
        <v>9618</v>
      </c>
      <c r="AD221" s="64">
        <v>1226</v>
      </c>
      <c r="AE221" s="64">
        <v>1315</v>
      </c>
      <c r="AF221" s="205">
        <f t="shared" si="92"/>
        <v>12159</v>
      </c>
      <c r="AG221" s="205"/>
      <c r="AH221" s="278">
        <v>9865.4306199999992</v>
      </c>
      <c r="AI221" s="64">
        <v>1369.992</v>
      </c>
      <c r="AJ221" s="64">
        <v>1934.5943300000001</v>
      </c>
      <c r="AK221" s="205">
        <f t="shared" si="93"/>
        <v>13170.016949999999</v>
      </c>
      <c r="AL221" s="205"/>
      <c r="AM221" s="64">
        <v>10000.62226</v>
      </c>
      <c r="AN221" s="64">
        <v>1401.24108</v>
      </c>
      <c r="AO221" s="64">
        <v>1977.71741</v>
      </c>
      <c r="AP221" s="205">
        <f t="shared" si="94"/>
        <v>13379.580749999999</v>
      </c>
      <c r="AQ221" s="205"/>
      <c r="AR221" s="64">
        <v>5281.1960199999994</v>
      </c>
      <c r="AS221" s="64">
        <v>1433.62653</v>
      </c>
      <c r="AT221" s="64">
        <v>1239.17497</v>
      </c>
      <c r="AU221" s="205">
        <f t="shared" si="95"/>
        <v>7953.997519999999</v>
      </c>
      <c r="AV221" s="205"/>
      <c r="AW221" s="64">
        <v>5031.8446757689871</v>
      </c>
      <c r="AX221" s="64">
        <v>1575.046989944547</v>
      </c>
      <c r="AY221" s="64">
        <v>965.82172363675136</v>
      </c>
      <c r="AZ221" s="205">
        <f t="shared" si="96"/>
        <v>7572.7133893502851</v>
      </c>
      <c r="BA221" s="205"/>
      <c r="BB221" s="64">
        <v>5157.9838814375998</v>
      </c>
      <c r="BC221" s="64">
        <v>1597.9808933654297</v>
      </c>
      <c r="BD221" s="64">
        <v>977.41158432039231</v>
      </c>
      <c r="BE221" s="205">
        <f t="shared" si="91"/>
        <v>7733.3763591234219</v>
      </c>
      <c r="BF221" s="205"/>
      <c r="BG221" s="64">
        <v>5268.2582520724127</v>
      </c>
      <c r="BH221" s="64">
        <v>1633.8923017345271</v>
      </c>
      <c r="BI221" s="64">
        <v>1024.8748233105414</v>
      </c>
      <c r="BJ221" s="205">
        <f t="shared" si="97"/>
        <v>7927.0253771174812</v>
      </c>
      <c r="BK221" s="205"/>
      <c r="BL221" s="64">
        <v>5383.2255886738376</v>
      </c>
      <c r="BM221" s="64">
        <v>1674.119508005253</v>
      </c>
      <c r="BN221" s="64">
        <v>1086.1355154955011</v>
      </c>
      <c r="BO221" s="205">
        <f t="shared" si="98"/>
        <v>8143.4806121745914</v>
      </c>
      <c r="BQ221" s="64">
        <v>5508.0717474951534</v>
      </c>
      <c r="BR221" s="64">
        <v>1714.6766031747893</v>
      </c>
      <c r="BS221" s="64">
        <v>1124.2164863131786</v>
      </c>
      <c r="BT221" s="205">
        <f t="shared" si="99"/>
        <v>8346.9648369831211</v>
      </c>
      <c r="BU221" s="205"/>
      <c r="BV221" s="5">
        <f t="shared" si="100"/>
        <v>11514</v>
      </c>
      <c r="BW221" s="5">
        <f t="shared" si="101"/>
        <v>12159</v>
      </c>
      <c r="BX221" s="5">
        <f t="shared" si="102"/>
        <v>13170.016949999999</v>
      </c>
      <c r="BY221" s="5">
        <f t="shared" si="103"/>
        <v>13379.580749999999</v>
      </c>
      <c r="BZ221" s="5">
        <f t="shared" si="104"/>
        <v>7953.997519999999</v>
      </c>
      <c r="CA221" s="5">
        <f t="shared" si="105"/>
        <v>7572.7133893502851</v>
      </c>
      <c r="CB221" s="5">
        <f t="shared" si="106"/>
        <v>7733.3763591234219</v>
      </c>
      <c r="CC221" s="5">
        <f t="shared" si="107"/>
        <v>7927.0253771174812</v>
      </c>
      <c r="CD221" s="5">
        <f t="shared" si="108"/>
        <v>8143.4806121745914</v>
      </c>
      <c r="CE221" s="5">
        <f t="shared" si="116"/>
        <v>8346.9648369831211</v>
      </c>
      <c r="CH221" s="41">
        <f>BV221/'1. Väestöennuste'!I221*1000</f>
        <v>3355.8729233459635</v>
      </c>
      <c r="CI221" s="41">
        <f>BW221/'1. Väestöennuste'!J221*1000</f>
        <v>3614.4470868014268</v>
      </c>
      <c r="CJ221" s="41">
        <f>BX221/'1. Väestöennuste'!K221*1000</f>
        <v>3954.9600450450448</v>
      </c>
      <c r="CK221" s="41">
        <f>BY221/'1. Väestöennuste'!L221*1000</f>
        <v>4044.613285973398</v>
      </c>
      <c r="CL221" s="41">
        <f>BZ221/'1. Väestöennuste'!M221*1000</f>
        <v>2412.4954564755835</v>
      </c>
      <c r="CM221" s="41">
        <f>CA221/'1. Väestöennuste'!N221*1000</f>
        <v>2438.0918832422039</v>
      </c>
      <c r="CN221" s="41">
        <f>CB221/'1. Väestöennuste'!O221*1000</f>
        <v>2533.8716773012525</v>
      </c>
      <c r="CO221" s="41">
        <f>CC221/'1. Väestöennuste'!P221*1000</f>
        <v>2637.9452170108093</v>
      </c>
      <c r="CP221" s="41">
        <f>CD221/'1. Väestöennuste'!Q221*1000</f>
        <v>2752.1056479130084</v>
      </c>
      <c r="CQ221" s="41">
        <f>CE221/'1. Väestöennuste'!R221*1000</f>
        <v>2864.4354279283189</v>
      </c>
      <c r="CR221" s="41"/>
      <c r="CU221" s="159">
        <f t="shared" si="109"/>
        <v>258.57416345546335</v>
      </c>
      <c r="CV221" s="159">
        <f t="shared" si="110"/>
        <v>340.51295824361796</v>
      </c>
      <c r="CW221" s="159">
        <f t="shared" si="111"/>
        <v>89.653240928353171</v>
      </c>
      <c r="CX221" s="159">
        <f t="shared" si="112"/>
        <v>-1632.1178294978145</v>
      </c>
      <c r="CY221" s="159">
        <f t="shared" si="113"/>
        <v>25.596426766620425</v>
      </c>
      <c r="CZ221" s="159">
        <f t="shared" si="114"/>
        <v>95.779794059048527</v>
      </c>
      <c r="DA221" s="159">
        <f t="shared" si="117"/>
        <v>104.07353970955683</v>
      </c>
      <c r="DB221" s="159">
        <f t="shared" si="118"/>
        <v>114.1604309021991</v>
      </c>
      <c r="DC221" s="159">
        <f t="shared" si="118"/>
        <v>112.32978001531046</v>
      </c>
    </row>
    <row r="222" spans="1:107" x14ac:dyDescent="0.2">
      <c r="A222" s="99">
        <v>19</v>
      </c>
      <c r="B222" s="30">
        <v>683</v>
      </c>
      <c r="C222" s="47" t="s">
        <v>536</v>
      </c>
      <c r="D222" s="64">
        <v>8838.5126400000008</v>
      </c>
      <c r="E222" s="64">
        <v>738.45484999999996</v>
      </c>
      <c r="F222" s="64">
        <v>612.08068999999989</v>
      </c>
      <c r="G222" s="205">
        <v>10186</v>
      </c>
      <c r="H222" s="205"/>
      <c r="I222" s="64">
        <v>8354</v>
      </c>
      <c r="J222" s="64">
        <v>750</v>
      </c>
      <c r="K222" s="64">
        <v>523</v>
      </c>
      <c r="L222" s="205">
        <v>9628</v>
      </c>
      <c r="M222" s="205"/>
      <c r="N222" s="64">
        <v>8659</v>
      </c>
      <c r="O222" s="64">
        <v>790</v>
      </c>
      <c r="P222" s="64">
        <v>623</v>
      </c>
      <c r="Q222" s="205">
        <v>10072</v>
      </c>
      <c r="R222" s="205"/>
      <c r="S222" s="64">
        <v>7829</v>
      </c>
      <c r="T222" s="64">
        <v>879</v>
      </c>
      <c r="U222" s="64">
        <v>589</v>
      </c>
      <c r="V222" s="205">
        <v>9297</v>
      </c>
      <c r="W222" s="205"/>
      <c r="X222" s="64">
        <v>8100</v>
      </c>
      <c r="Y222" s="64">
        <v>1026</v>
      </c>
      <c r="Z222" s="64">
        <v>646</v>
      </c>
      <c r="AA222" s="205">
        <f t="shared" si="115"/>
        <v>9772</v>
      </c>
      <c r="AB222" s="205"/>
      <c r="AC222" s="64">
        <v>8589</v>
      </c>
      <c r="AD222" s="64">
        <v>902</v>
      </c>
      <c r="AE222" s="64">
        <v>741</v>
      </c>
      <c r="AF222" s="205">
        <f t="shared" si="92"/>
        <v>10232</v>
      </c>
      <c r="AG222" s="205"/>
      <c r="AH222" s="278">
        <v>8842.1608100000012</v>
      </c>
      <c r="AI222" s="64">
        <v>1032.1633199999999</v>
      </c>
      <c r="AJ222" s="64">
        <v>1076.4924099999998</v>
      </c>
      <c r="AK222" s="205">
        <f t="shared" si="93"/>
        <v>10950.81654</v>
      </c>
      <c r="AL222" s="205"/>
      <c r="AM222" s="64">
        <v>8624.0505199999989</v>
      </c>
      <c r="AN222" s="64">
        <v>1093.38273</v>
      </c>
      <c r="AO222" s="64">
        <v>1113.4578600000002</v>
      </c>
      <c r="AP222" s="205">
        <f t="shared" si="94"/>
        <v>10830.891109999999</v>
      </c>
      <c r="AQ222" s="205"/>
      <c r="AR222" s="64">
        <v>3721.2199500000002</v>
      </c>
      <c r="AS222" s="64">
        <v>1135.5170500000002</v>
      </c>
      <c r="AT222" s="64">
        <v>696.29731000000004</v>
      </c>
      <c r="AU222" s="205">
        <f t="shared" si="95"/>
        <v>5553.03431</v>
      </c>
      <c r="AV222" s="205"/>
      <c r="AW222" s="64">
        <v>3674.3453545566426</v>
      </c>
      <c r="AX222" s="64">
        <v>1182.4227101804936</v>
      </c>
      <c r="AY222" s="64">
        <v>535.2577142094874</v>
      </c>
      <c r="AZ222" s="205">
        <f t="shared" si="96"/>
        <v>5392.0257789466232</v>
      </c>
      <c r="BA222" s="205"/>
      <c r="BB222" s="64">
        <v>3760.9603625518571</v>
      </c>
      <c r="BC222" s="64">
        <v>1197.2011773810584</v>
      </c>
      <c r="BD222" s="64">
        <v>541.68080678000115</v>
      </c>
      <c r="BE222" s="205">
        <f t="shared" si="91"/>
        <v>5499.8423467129169</v>
      </c>
      <c r="BF222" s="205"/>
      <c r="BG222" s="64">
        <v>3831.0705982187701</v>
      </c>
      <c r="BH222" s="64">
        <v>1221.5425303491661</v>
      </c>
      <c r="BI222" s="64">
        <v>567.98490016401036</v>
      </c>
      <c r="BJ222" s="205">
        <f t="shared" si="97"/>
        <v>5620.5980287319471</v>
      </c>
      <c r="BK222" s="205"/>
      <c r="BL222" s="64">
        <v>3894.7252133103034</v>
      </c>
      <c r="BM222" s="64">
        <v>1248.9179079311907</v>
      </c>
      <c r="BN222" s="64">
        <v>601.93553232244062</v>
      </c>
      <c r="BO222" s="205">
        <f t="shared" si="98"/>
        <v>5745.5786535639345</v>
      </c>
      <c r="BQ222" s="64">
        <v>3984.8717963702757</v>
      </c>
      <c r="BR222" s="64">
        <v>1276.3328393213546</v>
      </c>
      <c r="BS222" s="64">
        <v>623.03997933984328</v>
      </c>
      <c r="BT222" s="205">
        <f t="shared" si="99"/>
        <v>5884.2446150314736</v>
      </c>
      <c r="BU222" s="205"/>
      <c r="BV222" s="5">
        <f t="shared" si="100"/>
        <v>9772</v>
      </c>
      <c r="BW222" s="5">
        <f t="shared" si="101"/>
        <v>10232</v>
      </c>
      <c r="BX222" s="5">
        <f t="shared" si="102"/>
        <v>10950.81654</v>
      </c>
      <c r="BY222" s="5">
        <f t="shared" si="103"/>
        <v>10830.891109999999</v>
      </c>
      <c r="BZ222" s="5">
        <f t="shared" si="104"/>
        <v>5553.03431</v>
      </c>
      <c r="CA222" s="5">
        <f t="shared" si="105"/>
        <v>5392.0257789466232</v>
      </c>
      <c r="CB222" s="5">
        <f t="shared" si="106"/>
        <v>5499.8423467129169</v>
      </c>
      <c r="CC222" s="5">
        <f t="shared" si="107"/>
        <v>5620.5980287319471</v>
      </c>
      <c r="CD222" s="5">
        <f t="shared" si="108"/>
        <v>5745.5786535639345</v>
      </c>
      <c r="CE222" s="5">
        <f t="shared" si="116"/>
        <v>5884.2446150314736</v>
      </c>
      <c r="CH222" s="41">
        <f>BV222/'1. Väestöennuste'!I222*1000</f>
        <v>2583.1350779804388</v>
      </c>
      <c r="CI222" s="41">
        <f>BW222/'1. Väestöennuste'!J222*1000</f>
        <v>2756.4655172413795</v>
      </c>
      <c r="CJ222" s="41">
        <f>BX222/'1. Väestöennuste'!K222*1000</f>
        <v>2983.8737166212536</v>
      </c>
      <c r="CK222" s="41">
        <f>BY222/'1. Väestöennuste'!L222*1000</f>
        <v>2993.6127998894417</v>
      </c>
      <c r="CL222" s="41">
        <f>BZ222/'1. Väestöennuste'!M222*1000</f>
        <v>1542.938124479022</v>
      </c>
      <c r="CM222" s="41">
        <f>CA222/'1. Väestöennuste'!N222*1000</f>
        <v>1561.5481549222773</v>
      </c>
      <c r="CN222" s="41">
        <f>CB222/'1. Väestöennuste'!O222*1000</f>
        <v>1620.460326079233</v>
      </c>
      <c r="CO222" s="41">
        <f>CC222/'1. Väestöennuste'!P222*1000</f>
        <v>1684.3266493053482</v>
      </c>
      <c r="CP222" s="41">
        <f>CD222/'1. Väestöennuste'!Q222*1000</f>
        <v>1749.5671904884086</v>
      </c>
      <c r="CQ222" s="41">
        <f>CE222/'1. Väestöennuste'!R222*1000</f>
        <v>1820.620239799342</v>
      </c>
      <c r="CR222" s="41"/>
      <c r="CU222" s="159">
        <f t="shared" si="109"/>
        <v>173.33043926094069</v>
      </c>
      <c r="CV222" s="159">
        <f t="shared" si="110"/>
        <v>227.40819937987408</v>
      </c>
      <c r="CW222" s="159">
        <f t="shared" si="111"/>
        <v>9.7390832681880966</v>
      </c>
      <c r="CX222" s="159">
        <f t="shared" si="112"/>
        <v>-1450.6746754104197</v>
      </c>
      <c r="CY222" s="159">
        <f t="shared" si="113"/>
        <v>18.610030443255255</v>
      </c>
      <c r="CZ222" s="159">
        <f t="shared" si="114"/>
        <v>58.912171156955765</v>
      </c>
      <c r="DA222" s="159">
        <f t="shared" si="117"/>
        <v>63.866323226115128</v>
      </c>
      <c r="DB222" s="159">
        <f t="shared" si="118"/>
        <v>65.240541183060486</v>
      </c>
      <c r="DC222" s="159">
        <f t="shared" si="118"/>
        <v>71.053049310933375</v>
      </c>
    </row>
    <row r="223" spans="1:107" x14ac:dyDescent="0.2">
      <c r="A223" s="99">
        <v>4</v>
      </c>
      <c r="B223" s="30">
        <v>684</v>
      </c>
      <c r="C223" s="47" t="s">
        <v>537</v>
      </c>
      <c r="D223" s="64">
        <v>132955.63741</v>
      </c>
      <c r="E223" s="64">
        <v>6960.0935199999994</v>
      </c>
      <c r="F223" s="64">
        <v>21578.235760000003</v>
      </c>
      <c r="G223" s="205">
        <v>161447</v>
      </c>
      <c r="H223" s="205"/>
      <c r="I223" s="64">
        <v>145324</v>
      </c>
      <c r="J223" s="64">
        <v>7028</v>
      </c>
      <c r="K223" s="64">
        <v>19891</v>
      </c>
      <c r="L223" s="205">
        <v>172243</v>
      </c>
      <c r="M223" s="205"/>
      <c r="N223" s="64">
        <v>150687</v>
      </c>
      <c r="O223" s="64">
        <v>8057</v>
      </c>
      <c r="P223" s="64">
        <v>23054</v>
      </c>
      <c r="Q223" s="205">
        <v>181798</v>
      </c>
      <c r="R223" s="205"/>
      <c r="S223" s="64">
        <v>148518</v>
      </c>
      <c r="T223" s="64">
        <v>8145</v>
      </c>
      <c r="U223" s="64">
        <v>17086</v>
      </c>
      <c r="V223" s="205">
        <v>173749</v>
      </c>
      <c r="W223" s="205"/>
      <c r="X223" s="64">
        <v>147238</v>
      </c>
      <c r="Y223" s="64">
        <v>8751</v>
      </c>
      <c r="Z223" s="64">
        <v>13614</v>
      </c>
      <c r="AA223" s="205">
        <f t="shared" si="115"/>
        <v>169603</v>
      </c>
      <c r="AB223" s="205"/>
      <c r="AC223" s="64">
        <v>159165</v>
      </c>
      <c r="AD223" s="64">
        <v>7954</v>
      </c>
      <c r="AE223" s="64">
        <v>16221</v>
      </c>
      <c r="AF223" s="205">
        <f t="shared" si="92"/>
        <v>183340</v>
      </c>
      <c r="AG223" s="205"/>
      <c r="AH223" s="278">
        <v>169052.02299999999</v>
      </c>
      <c r="AI223" s="64">
        <v>8793.0990000000002</v>
      </c>
      <c r="AJ223" s="64">
        <v>23237.965</v>
      </c>
      <c r="AK223" s="205">
        <f t="shared" si="93"/>
        <v>201083.08699999997</v>
      </c>
      <c r="AL223" s="205"/>
      <c r="AM223" s="64">
        <v>167980.56453999999</v>
      </c>
      <c r="AN223" s="64">
        <v>9142.2329900000004</v>
      </c>
      <c r="AO223" s="64">
        <v>21783.431789999999</v>
      </c>
      <c r="AP223" s="205">
        <f t="shared" si="94"/>
        <v>198906.22931999998</v>
      </c>
      <c r="AQ223" s="205"/>
      <c r="AR223" s="64">
        <v>73668.75351000001</v>
      </c>
      <c r="AS223" s="64">
        <v>9792.5762799999993</v>
      </c>
      <c r="AT223" s="64">
        <v>15755.82267</v>
      </c>
      <c r="AU223" s="205">
        <f t="shared" si="95"/>
        <v>99217.152459999998</v>
      </c>
      <c r="AV223" s="205"/>
      <c r="AW223" s="64">
        <v>74156.793147679287</v>
      </c>
      <c r="AX223" s="64">
        <v>10319.918533675085</v>
      </c>
      <c r="AY223" s="64">
        <v>16986.38918325986</v>
      </c>
      <c r="AZ223" s="205">
        <f t="shared" si="96"/>
        <v>101463.10086461423</v>
      </c>
      <c r="BA223" s="205"/>
      <c r="BB223" s="64">
        <v>77533.09623685063</v>
      </c>
      <c r="BC223" s="64">
        <v>10521.185300824651</v>
      </c>
      <c r="BD223" s="64">
        <v>17190.225853458978</v>
      </c>
      <c r="BE223" s="205">
        <f t="shared" si="91"/>
        <v>105244.50739113426</v>
      </c>
      <c r="BF223" s="205"/>
      <c r="BG223" s="64">
        <v>80498.969664141114</v>
      </c>
      <c r="BH223" s="64">
        <v>10809.258765793635</v>
      </c>
      <c r="BI223" s="64">
        <v>18024.985550464891</v>
      </c>
      <c r="BJ223" s="205">
        <f t="shared" si="97"/>
        <v>109333.21398039964</v>
      </c>
      <c r="BK223" s="205"/>
      <c r="BL223" s="64">
        <v>82964.506120690843</v>
      </c>
      <c r="BM223" s="64">
        <v>11127.71475233771</v>
      </c>
      <c r="BN223" s="64">
        <v>19102.407950088804</v>
      </c>
      <c r="BO223" s="205">
        <f t="shared" si="98"/>
        <v>113194.62882311735</v>
      </c>
      <c r="BQ223" s="64">
        <v>85736.774322494137</v>
      </c>
      <c r="BR223" s="64">
        <v>11450.250934559119</v>
      </c>
      <c r="BS223" s="64">
        <v>19772.15700931448</v>
      </c>
      <c r="BT223" s="205">
        <f t="shared" si="99"/>
        <v>116959.18226636774</v>
      </c>
      <c r="BU223" s="205"/>
      <c r="BV223" s="5">
        <f t="shared" si="100"/>
        <v>169603</v>
      </c>
      <c r="BW223" s="5">
        <f t="shared" si="101"/>
        <v>183340</v>
      </c>
      <c r="BX223" s="5">
        <f t="shared" si="102"/>
        <v>201083.08699999997</v>
      </c>
      <c r="BY223" s="5">
        <f t="shared" si="103"/>
        <v>198906.22931999998</v>
      </c>
      <c r="BZ223" s="5">
        <f t="shared" si="104"/>
        <v>99217.152459999998</v>
      </c>
      <c r="CA223" s="5">
        <f t="shared" si="105"/>
        <v>101463.10086461423</v>
      </c>
      <c r="CB223" s="5">
        <f t="shared" si="106"/>
        <v>105244.50739113426</v>
      </c>
      <c r="CC223" s="5">
        <f t="shared" si="107"/>
        <v>109333.21398039964</v>
      </c>
      <c r="CD223" s="5">
        <f t="shared" si="108"/>
        <v>113194.62882311735</v>
      </c>
      <c r="CE223" s="5">
        <f t="shared" si="116"/>
        <v>116959.18226636774</v>
      </c>
      <c r="CH223" s="41">
        <f>BV223/'1. Väestöennuste'!I223*1000</f>
        <v>4326.0553500828983</v>
      </c>
      <c r="CI223" s="41">
        <f>BW223/'1. Väestöennuste'!J223*1000</f>
        <v>4696.2090163934427</v>
      </c>
      <c r="CJ223" s="41">
        <f>BX223/'1. Väestöennuste'!K223*1000</f>
        <v>5161.4026797402394</v>
      </c>
      <c r="CK223" s="41">
        <f>BY223/'1. Väestöennuste'!L223*1000</f>
        <v>5144.0822748079754</v>
      </c>
      <c r="CL223" s="41">
        <f>BZ223/'1. Väestöennuste'!M223*1000</f>
        <v>2555.0358585702511</v>
      </c>
      <c r="CM223" s="41">
        <f>CA223/'1. Väestöennuste'!N223*1000</f>
        <v>2637.1861741595421</v>
      </c>
      <c r="CN223" s="41">
        <f>CB223/'1. Väestöennuste'!O223*1000</f>
        <v>2747.1093782760636</v>
      </c>
      <c r="CO223" s="41">
        <f>CC223/'1. Väestöennuste'!P223*1000</f>
        <v>2866.1025501454806</v>
      </c>
      <c r="CP223" s="41">
        <f>CD223/'1. Väestöennuste'!Q223*1000</f>
        <v>2980.2961697458559</v>
      </c>
      <c r="CQ223" s="41">
        <f>CE223/'1. Väestöennuste'!R223*1000</f>
        <v>3092.6855536085395</v>
      </c>
      <c r="CR223" s="41"/>
      <c r="CU223" s="159">
        <f t="shared" si="109"/>
        <v>370.15366631054439</v>
      </c>
      <c r="CV223" s="159">
        <f t="shared" si="110"/>
        <v>465.19366334679671</v>
      </c>
      <c r="CW223" s="159">
        <f t="shared" si="111"/>
        <v>-17.320404932263955</v>
      </c>
      <c r="CX223" s="159">
        <f t="shared" si="112"/>
        <v>-2589.0464162377243</v>
      </c>
      <c r="CY223" s="159">
        <f t="shared" si="113"/>
        <v>82.15031558929104</v>
      </c>
      <c r="CZ223" s="159">
        <f t="shared" si="114"/>
        <v>109.92320411652145</v>
      </c>
      <c r="DA223" s="159">
        <f t="shared" si="117"/>
        <v>118.99317186941698</v>
      </c>
      <c r="DB223" s="159">
        <f t="shared" si="118"/>
        <v>114.19361960037531</v>
      </c>
      <c r="DC223" s="159">
        <f t="shared" si="118"/>
        <v>112.38938386268364</v>
      </c>
    </row>
    <row r="224" spans="1:107" x14ac:dyDescent="0.2">
      <c r="A224" s="99">
        <v>11</v>
      </c>
      <c r="B224" s="30">
        <v>686</v>
      </c>
      <c r="C224" s="47" t="s">
        <v>538</v>
      </c>
      <c r="D224" s="64">
        <v>9055.3141899999991</v>
      </c>
      <c r="E224" s="64">
        <v>1093.0893899999999</v>
      </c>
      <c r="F224" s="64">
        <v>699.28329000000008</v>
      </c>
      <c r="G224" s="205">
        <v>10847</v>
      </c>
      <c r="H224" s="205"/>
      <c r="I224" s="64">
        <v>8760</v>
      </c>
      <c r="J224" s="64">
        <v>1111</v>
      </c>
      <c r="K224" s="64">
        <v>655</v>
      </c>
      <c r="L224" s="205">
        <v>10526</v>
      </c>
      <c r="M224" s="205"/>
      <c r="N224" s="64">
        <v>8805</v>
      </c>
      <c r="O224" s="64">
        <v>1105</v>
      </c>
      <c r="P224" s="64">
        <v>773</v>
      </c>
      <c r="Q224" s="205">
        <v>10683</v>
      </c>
      <c r="R224" s="205"/>
      <c r="S224" s="64">
        <v>8488</v>
      </c>
      <c r="T224" s="64">
        <v>1122</v>
      </c>
      <c r="U224" s="64">
        <v>727</v>
      </c>
      <c r="V224" s="205">
        <v>10337</v>
      </c>
      <c r="W224" s="205"/>
      <c r="X224" s="64">
        <v>8603</v>
      </c>
      <c r="Y224" s="64">
        <v>1159</v>
      </c>
      <c r="Z224" s="64">
        <v>762</v>
      </c>
      <c r="AA224" s="205">
        <f t="shared" si="115"/>
        <v>10524</v>
      </c>
      <c r="AB224" s="205"/>
      <c r="AC224" s="64">
        <v>8719</v>
      </c>
      <c r="AD224" s="64">
        <v>1073</v>
      </c>
      <c r="AE224" s="64">
        <v>874</v>
      </c>
      <c r="AF224" s="205">
        <f t="shared" si="92"/>
        <v>10666</v>
      </c>
      <c r="AG224" s="205"/>
      <c r="AH224" s="278">
        <v>9004.31718</v>
      </c>
      <c r="AI224" s="64">
        <v>1174.35995</v>
      </c>
      <c r="AJ224" s="64">
        <v>1298.14687</v>
      </c>
      <c r="AK224" s="205">
        <f t="shared" si="93"/>
        <v>11476.824000000001</v>
      </c>
      <c r="AL224" s="205"/>
      <c r="AM224" s="64">
        <v>9348.1493300000002</v>
      </c>
      <c r="AN224" s="64">
        <v>1296.7676100000001</v>
      </c>
      <c r="AO224" s="64">
        <v>1269.5834199999999</v>
      </c>
      <c r="AP224" s="205">
        <f t="shared" si="94"/>
        <v>11914.500360000002</v>
      </c>
      <c r="AQ224" s="205"/>
      <c r="AR224" s="64">
        <v>5069.8254400000005</v>
      </c>
      <c r="AS224" s="64">
        <v>1320.4568999999999</v>
      </c>
      <c r="AT224" s="64">
        <v>737.67558999999994</v>
      </c>
      <c r="AU224" s="205">
        <f t="shared" si="95"/>
        <v>7127.9579300000005</v>
      </c>
      <c r="AV224" s="205"/>
      <c r="AW224" s="64">
        <v>4835.7696943726914</v>
      </c>
      <c r="AX224" s="64">
        <v>1378.905535636135</v>
      </c>
      <c r="AY224" s="64">
        <v>599.26244931687881</v>
      </c>
      <c r="AZ224" s="205">
        <f t="shared" si="96"/>
        <v>6813.9376793257052</v>
      </c>
      <c r="BA224" s="205"/>
      <c r="BB224" s="64">
        <v>5027.0714166815951</v>
      </c>
      <c r="BC224" s="64">
        <v>1384.3247329082426</v>
      </c>
      <c r="BD224" s="64">
        <v>606.4535987086814</v>
      </c>
      <c r="BE224" s="205">
        <f t="shared" si="91"/>
        <v>7017.8497482985185</v>
      </c>
      <c r="BF224" s="205"/>
      <c r="BG224" s="64">
        <v>5141.505221254899</v>
      </c>
      <c r="BH224" s="64">
        <v>1400.4233719022952</v>
      </c>
      <c r="BI224" s="64">
        <v>635.90306764653951</v>
      </c>
      <c r="BJ224" s="205">
        <f t="shared" si="97"/>
        <v>7177.831660803733</v>
      </c>
      <c r="BK224" s="205"/>
      <c r="BL224" s="64">
        <v>5246.0813759563434</v>
      </c>
      <c r="BM224" s="64">
        <v>1419.4937365162739</v>
      </c>
      <c r="BN224" s="64">
        <v>673.91342871749578</v>
      </c>
      <c r="BO224" s="205">
        <f t="shared" si="98"/>
        <v>7339.4885411901132</v>
      </c>
      <c r="BQ224" s="64">
        <v>5370.1278922657002</v>
      </c>
      <c r="BR224" s="64">
        <v>1438.067921705783</v>
      </c>
      <c r="BS224" s="64">
        <v>697.54149100484699</v>
      </c>
      <c r="BT224" s="205">
        <f t="shared" si="99"/>
        <v>7505.7373049763301</v>
      </c>
      <c r="BU224" s="205"/>
      <c r="BV224" s="5">
        <f t="shared" si="100"/>
        <v>10524</v>
      </c>
      <c r="BW224" s="5">
        <f t="shared" si="101"/>
        <v>10666</v>
      </c>
      <c r="BX224" s="5">
        <f t="shared" si="102"/>
        <v>11476.824000000001</v>
      </c>
      <c r="BY224" s="5">
        <f t="shared" si="103"/>
        <v>11914.500360000002</v>
      </c>
      <c r="BZ224" s="5">
        <f t="shared" si="104"/>
        <v>7127.9579300000005</v>
      </c>
      <c r="CA224" s="5">
        <f t="shared" si="105"/>
        <v>6813.9376793257052</v>
      </c>
      <c r="CB224" s="5">
        <f t="shared" si="106"/>
        <v>7017.8497482985185</v>
      </c>
      <c r="CC224" s="5">
        <f t="shared" si="107"/>
        <v>7177.831660803733</v>
      </c>
      <c r="CD224" s="5">
        <f t="shared" si="108"/>
        <v>7339.4885411901132</v>
      </c>
      <c r="CE224" s="5">
        <f t="shared" si="116"/>
        <v>7505.7373049763301</v>
      </c>
      <c r="CH224" s="41">
        <f>BV224/'1. Väestöennuste'!I224*1000</f>
        <v>3371.9961550785006</v>
      </c>
      <c r="CI224" s="41">
        <f>BW224/'1. Väestöennuste'!J224*1000</f>
        <v>3493.6128398296755</v>
      </c>
      <c r="CJ224" s="41">
        <f>BX224/'1. Väestöennuste'!K224*1000</f>
        <v>3783.9841740850643</v>
      </c>
      <c r="CK224" s="41">
        <f>BY224/'1. Väestöennuste'!L224*1000</f>
        <v>4019.7369635627542</v>
      </c>
      <c r="CL224" s="41">
        <f>BZ224/'1. Väestöennuste'!M224*1000</f>
        <v>2430.2618240709176</v>
      </c>
      <c r="CM224" s="41">
        <f>CA224/'1. Väestöennuste'!N224*1000</f>
        <v>2376.6786464338002</v>
      </c>
      <c r="CN224" s="41">
        <f>CB224/'1. Väestöennuste'!O224*1000</f>
        <v>2488.5992015242973</v>
      </c>
      <c r="CO224" s="41">
        <f>CC224/'1. Väestöennuste'!P224*1000</f>
        <v>2581.9538348214865</v>
      </c>
      <c r="CP224" s="41">
        <f>CD224/'1. Väestöennuste'!Q224*1000</f>
        <v>2676.6916634537247</v>
      </c>
      <c r="CQ224" s="41">
        <f>CE224/'1. Väestöennuste'!R224*1000</f>
        <v>2775.7904234379921</v>
      </c>
      <c r="CR224" s="41"/>
      <c r="CU224" s="159">
        <f t="shared" si="109"/>
        <v>121.61668475117494</v>
      </c>
      <c r="CV224" s="159">
        <f t="shared" si="110"/>
        <v>290.37133425538877</v>
      </c>
      <c r="CW224" s="159">
        <f t="shared" si="111"/>
        <v>235.75278947768993</v>
      </c>
      <c r="CX224" s="159">
        <f t="shared" si="112"/>
        <v>-1589.4751394918367</v>
      </c>
      <c r="CY224" s="159">
        <f t="shared" si="113"/>
        <v>-53.583177637117387</v>
      </c>
      <c r="CZ224" s="159">
        <f t="shared" si="114"/>
        <v>111.92055509049715</v>
      </c>
      <c r="DA224" s="159">
        <f t="shared" si="117"/>
        <v>93.354633297189139</v>
      </c>
      <c r="DB224" s="159">
        <f t="shared" si="118"/>
        <v>94.737828632238234</v>
      </c>
      <c r="DC224" s="159">
        <f t="shared" si="118"/>
        <v>99.098759984267417</v>
      </c>
    </row>
    <row r="225" spans="1:107" x14ac:dyDescent="0.2">
      <c r="A225" s="99">
        <v>11</v>
      </c>
      <c r="B225" s="30">
        <v>687</v>
      </c>
      <c r="C225" s="47" t="s">
        <v>539</v>
      </c>
      <c r="D225" s="64">
        <v>3877.7241600000002</v>
      </c>
      <c r="E225" s="64">
        <v>329.15562</v>
      </c>
      <c r="F225" s="64">
        <v>1305.8798200000001</v>
      </c>
      <c r="G225" s="205">
        <v>5513</v>
      </c>
      <c r="H225" s="205"/>
      <c r="I225" s="64">
        <v>3819</v>
      </c>
      <c r="J225" s="64">
        <v>335</v>
      </c>
      <c r="K225" s="64">
        <v>1202</v>
      </c>
      <c r="L225" s="205">
        <v>5356</v>
      </c>
      <c r="M225" s="205"/>
      <c r="N225" s="64">
        <v>3700</v>
      </c>
      <c r="O225" s="64">
        <v>362</v>
      </c>
      <c r="P225" s="64">
        <v>1401</v>
      </c>
      <c r="Q225" s="205">
        <v>5463</v>
      </c>
      <c r="R225" s="205"/>
      <c r="S225" s="64">
        <v>3760</v>
      </c>
      <c r="T225" s="64">
        <v>430</v>
      </c>
      <c r="U225" s="64">
        <v>1359</v>
      </c>
      <c r="V225" s="205">
        <v>5549</v>
      </c>
      <c r="W225" s="205"/>
      <c r="X225" s="64">
        <v>3740</v>
      </c>
      <c r="Y225" s="64">
        <v>437</v>
      </c>
      <c r="Z225" s="64">
        <v>1447</v>
      </c>
      <c r="AA225" s="205">
        <f t="shared" si="115"/>
        <v>5624</v>
      </c>
      <c r="AB225" s="205"/>
      <c r="AC225" s="64">
        <v>3674</v>
      </c>
      <c r="AD225" s="64">
        <v>421</v>
      </c>
      <c r="AE225" s="64">
        <v>1706</v>
      </c>
      <c r="AF225" s="205">
        <f t="shared" si="92"/>
        <v>5801</v>
      </c>
      <c r="AG225" s="205"/>
      <c r="AH225" s="278">
        <v>3738.5466099999999</v>
      </c>
      <c r="AI225" s="64">
        <v>459.82171999999997</v>
      </c>
      <c r="AJ225" s="64">
        <v>2511.5509400000001</v>
      </c>
      <c r="AK225" s="205">
        <f t="shared" si="93"/>
        <v>6709.9192700000003</v>
      </c>
      <c r="AL225" s="205"/>
      <c r="AM225" s="64">
        <v>3875.32368</v>
      </c>
      <c r="AN225" s="64">
        <v>474.28245000000004</v>
      </c>
      <c r="AO225" s="64">
        <v>2327.7648799999997</v>
      </c>
      <c r="AP225" s="205">
        <f t="shared" si="94"/>
        <v>6677.3710099999998</v>
      </c>
      <c r="AQ225" s="205"/>
      <c r="AR225" s="64">
        <v>1999.05539</v>
      </c>
      <c r="AS225" s="64">
        <v>486.32891999999998</v>
      </c>
      <c r="AT225" s="64">
        <v>1284.5111399999998</v>
      </c>
      <c r="AU225" s="205">
        <f t="shared" si="95"/>
        <v>3769.89545</v>
      </c>
      <c r="AV225" s="205"/>
      <c r="AW225" s="64">
        <v>1851.5485634796466</v>
      </c>
      <c r="AX225" s="64">
        <v>496.24024079553885</v>
      </c>
      <c r="AY225" s="64">
        <v>1091.5043398503815</v>
      </c>
      <c r="AZ225" s="205">
        <f t="shared" si="96"/>
        <v>3439.2931441255669</v>
      </c>
      <c r="BA225" s="205"/>
      <c r="BB225" s="64">
        <v>1937.7528804362937</v>
      </c>
      <c r="BC225" s="64">
        <v>499.22452509896164</v>
      </c>
      <c r="BD225" s="64">
        <v>1104.602391928586</v>
      </c>
      <c r="BE225" s="205">
        <f t="shared" si="91"/>
        <v>3541.5797974638417</v>
      </c>
      <c r="BF225" s="205"/>
      <c r="BG225" s="64">
        <v>1974.4404913212952</v>
      </c>
      <c r="BH225" s="64">
        <v>506.0406150403071</v>
      </c>
      <c r="BI225" s="64">
        <v>1158.2420337726621</v>
      </c>
      <c r="BJ225" s="205">
        <f t="shared" si="97"/>
        <v>3638.7231401342647</v>
      </c>
      <c r="BK225" s="205"/>
      <c r="BL225" s="64">
        <v>1992.6281997086742</v>
      </c>
      <c r="BM225" s="64">
        <v>513.92095883411707</v>
      </c>
      <c r="BN225" s="64">
        <v>1227.4745947574577</v>
      </c>
      <c r="BO225" s="205">
        <f t="shared" si="98"/>
        <v>3734.0237533002492</v>
      </c>
      <c r="BQ225" s="64">
        <v>2017.907128957329</v>
      </c>
      <c r="BR225" s="64">
        <v>521.61359695050328</v>
      </c>
      <c r="BS225" s="64">
        <v>1270.5110515858441</v>
      </c>
      <c r="BT225" s="205">
        <f t="shared" si="99"/>
        <v>3810.0317774936766</v>
      </c>
      <c r="BU225" s="205"/>
      <c r="BV225" s="5">
        <f t="shared" si="100"/>
        <v>5624</v>
      </c>
      <c r="BW225" s="5">
        <f t="shared" si="101"/>
        <v>5801</v>
      </c>
      <c r="BX225" s="5">
        <f t="shared" si="102"/>
        <v>6709.9192700000003</v>
      </c>
      <c r="BY225" s="5">
        <f t="shared" si="103"/>
        <v>6677.3710099999998</v>
      </c>
      <c r="BZ225" s="5">
        <f t="shared" si="104"/>
        <v>3769.89545</v>
      </c>
      <c r="CA225" s="5">
        <f t="shared" si="105"/>
        <v>3439.2931441255669</v>
      </c>
      <c r="CB225" s="5">
        <f t="shared" si="106"/>
        <v>3541.5797974638417</v>
      </c>
      <c r="CC225" s="5">
        <f t="shared" si="107"/>
        <v>3638.7231401342647</v>
      </c>
      <c r="CD225" s="5">
        <f t="shared" si="108"/>
        <v>3734.0237533002492</v>
      </c>
      <c r="CE225" s="5">
        <f t="shared" si="116"/>
        <v>3810.0317774936766</v>
      </c>
      <c r="CH225" s="41">
        <f>BV225/'1. Väestöennuste'!I225*1000</f>
        <v>3510.6117353308364</v>
      </c>
      <c r="CI225" s="41">
        <f>BW225/'1. Väestöennuste'!J225*1000</f>
        <v>3716.2075592568863</v>
      </c>
      <c r="CJ225" s="41">
        <f>BX225/'1. Väestöennuste'!K225*1000</f>
        <v>4434.8441969596834</v>
      </c>
      <c r="CK225" s="41">
        <f>BY225/'1. Väestöennuste'!L225*1000</f>
        <v>4520.9011577521997</v>
      </c>
      <c r="CL225" s="41">
        <f>BZ225/'1. Väestöennuste'!M225*1000</f>
        <v>2647.3984901685394</v>
      </c>
      <c r="CM225" s="41">
        <f>CA225/'1. Väestöennuste'!N225*1000</f>
        <v>2396.7199610631128</v>
      </c>
      <c r="CN225" s="41">
        <f>CB225/'1. Väestöennuste'!O225*1000</f>
        <v>2515.3265606987516</v>
      </c>
      <c r="CO225" s="41">
        <f>CC225/'1. Väestöennuste'!P225*1000</f>
        <v>2634.8465895251734</v>
      </c>
      <c r="CP225" s="41">
        <f>CD225/'1. Väestöennuste'!Q225*1000</f>
        <v>2755.7370873064569</v>
      </c>
      <c r="CQ225" s="41">
        <f>CE225/'1. Väestöennuste'!R225*1000</f>
        <v>2862.5332663363461</v>
      </c>
      <c r="CR225" s="41"/>
      <c r="CU225" s="159">
        <f t="shared" si="109"/>
        <v>205.59582392604989</v>
      </c>
      <c r="CV225" s="159">
        <f t="shared" si="110"/>
        <v>718.63663770279709</v>
      </c>
      <c r="CW225" s="159">
        <f t="shared" si="111"/>
        <v>86.056960792516293</v>
      </c>
      <c r="CX225" s="159">
        <f t="shared" si="112"/>
        <v>-1873.5026675836602</v>
      </c>
      <c r="CY225" s="159">
        <f t="shared" si="113"/>
        <v>-250.67852910542661</v>
      </c>
      <c r="CZ225" s="159">
        <f t="shared" si="114"/>
        <v>118.60659963563876</v>
      </c>
      <c r="DA225" s="159">
        <f t="shared" si="117"/>
        <v>119.52002882642182</v>
      </c>
      <c r="DB225" s="159">
        <f t="shared" si="118"/>
        <v>120.89049778128356</v>
      </c>
      <c r="DC225" s="159">
        <f t="shared" si="118"/>
        <v>106.79617902988912</v>
      </c>
    </row>
    <row r="226" spans="1:107" x14ac:dyDescent="0.2">
      <c r="A226" s="99">
        <v>9</v>
      </c>
      <c r="B226" s="30">
        <v>689</v>
      </c>
      <c r="C226" s="47" t="s">
        <v>540</v>
      </c>
      <c r="D226" s="64">
        <v>10797.59095</v>
      </c>
      <c r="E226" s="64">
        <v>713.30679000000009</v>
      </c>
      <c r="F226" s="64">
        <v>738.18197999999995</v>
      </c>
      <c r="G226" s="205">
        <v>12249</v>
      </c>
      <c r="H226" s="205"/>
      <c r="I226" s="64">
        <v>10545</v>
      </c>
      <c r="J226" s="64">
        <v>731</v>
      </c>
      <c r="K226" s="64">
        <v>1060</v>
      </c>
      <c r="L226" s="205">
        <v>12336</v>
      </c>
      <c r="M226" s="205"/>
      <c r="N226" s="64">
        <v>10559</v>
      </c>
      <c r="O226" s="64">
        <v>760</v>
      </c>
      <c r="P226" s="64">
        <v>1456</v>
      </c>
      <c r="Q226" s="205">
        <v>12775</v>
      </c>
      <c r="R226" s="205"/>
      <c r="S226" s="64">
        <v>9850</v>
      </c>
      <c r="T226" s="64">
        <v>751</v>
      </c>
      <c r="U226" s="64">
        <v>1392</v>
      </c>
      <c r="V226" s="205">
        <v>11993</v>
      </c>
      <c r="W226" s="205"/>
      <c r="X226" s="64">
        <v>10114</v>
      </c>
      <c r="Y226" s="64">
        <v>755</v>
      </c>
      <c r="Z226" s="64">
        <v>1730</v>
      </c>
      <c r="AA226" s="205">
        <f t="shared" si="115"/>
        <v>12599</v>
      </c>
      <c r="AB226" s="205"/>
      <c r="AC226" s="64">
        <v>10111</v>
      </c>
      <c r="AD226" s="64">
        <v>682</v>
      </c>
      <c r="AE226" s="64">
        <v>1603</v>
      </c>
      <c r="AF226" s="205">
        <f t="shared" si="92"/>
        <v>12396</v>
      </c>
      <c r="AG226" s="205"/>
      <c r="AH226" s="278">
        <v>11000.328960000001</v>
      </c>
      <c r="AI226" s="64">
        <v>842.43482999999992</v>
      </c>
      <c r="AJ226" s="64">
        <v>2102.7660299999998</v>
      </c>
      <c r="AK226" s="205">
        <f t="shared" si="93"/>
        <v>13945.52982</v>
      </c>
      <c r="AL226" s="205"/>
      <c r="AM226" s="64">
        <v>10620.76008</v>
      </c>
      <c r="AN226" s="64">
        <v>879.41449</v>
      </c>
      <c r="AO226" s="64">
        <v>3099.65967</v>
      </c>
      <c r="AP226" s="205">
        <f t="shared" si="94"/>
        <v>14599.83424</v>
      </c>
      <c r="AQ226" s="205"/>
      <c r="AR226" s="64">
        <v>5301.6812900000004</v>
      </c>
      <c r="AS226" s="64">
        <v>844.20352000000003</v>
      </c>
      <c r="AT226" s="64">
        <v>2408.8915200000001</v>
      </c>
      <c r="AU226" s="205">
        <f t="shared" si="95"/>
        <v>8554.7763300000006</v>
      </c>
      <c r="AV226" s="205"/>
      <c r="AW226" s="64">
        <v>4700.536494814166</v>
      </c>
      <c r="AX226" s="64">
        <v>1009.3144157904594</v>
      </c>
      <c r="AY226" s="64">
        <v>1149.8619776101334</v>
      </c>
      <c r="AZ226" s="205">
        <f t="shared" si="96"/>
        <v>6859.712888214759</v>
      </c>
      <c r="BA226" s="205"/>
      <c r="BB226" s="64">
        <v>4768.1961689837908</v>
      </c>
      <c r="BC226" s="64">
        <v>1022.8425129678285</v>
      </c>
      <c r="BD226" s="64">
        <v>1163.6603213414548</v>
      </c>
      <c r="BE226" s="205">
        <f t="shared" si="91"/>
        <v>6954.6990032930735</v>
      </c>
      <c r="BF226" s="205"/>
      <c r="BG226" s="64">
        <v>4781.4223445779908</v>
      </c>
      <c r="BH226" s="64">
        <v>1044.4862166509076</v>
      </c>
      <c r="BI226" s="64">
        <v>1220.1678242411531</v>
      </c>
      <c r="BJ226" s="205">
        <f t="shared" si="97"/>
        <v>7046.0763854700508</v>
      </c>
      <c r="BK226" s="205"/>
      <c r="BL226" s="64">
        <v>4805.6906798290111</v>
      </c>
      <c r="BM226" s="64">
        <v>1068.6723755527109</v>
      </c>
      <c r="BN226" s="64">
        <v>1293.1019268209957</v>
      </c>
      <c r="BO226" s="205">
        <f t="shared" si="98"/>
        <v>7167.4649822027177</v>
      </c>
      <c r="BQ226" s="64">
        <v>4855.3998193497391</v>
      </c>
      <c r="BR226" s="64">
        <v>1092.8355639656863</v>
      </c>
      <c r="BS226" s="64">
        <v>1338.4393419381954</v>
      </c>
      <c r="BT226" s="205">
        <f t="shared" si="99"/>
        <v>7286.6747252536206</v>
      </c>
      <c r="BU226" s="205"/>
      <c r="BV226" s="5">
        <f t="shared" si="100"/>
        <v>12599</v>
      </c>
      <c r="BW226" s="5">
        <f t="shared" si="101"/>
        <v>12396</v>
      </c>
      <c r="BX226" s="5">
        <f t="shared" si="102"/>
        <v>13945.52982</v>
      </c>
      <c r="BY226" s="5">
        <f t="shared" si="103"/>
        <v>14599.83424</v>
      </c>
      <c r="BZ226" s="5">
        <f t="shared" si="104"/>
        <v>8554.7763300000006</v>
      </c>
      <c r="CA226" s="5">
        <f t="shared" si="105"/>
        <v>6859.712888214759</v>
      </c>
      <c r="CB226" s="5">
        <f t="shared" si="106"/>
        <v>6954.6990032930735</v>
      </c>
      <c r="CC226" s="5">
        <f t="shared" si="107"/>
        <v>7046.0763854700508</v>
      </c>
      <c r="CD226" s="5">
        <f t="shared" si="108"/>
        <v>7167.4649822027177</v>
      </c>
      <c r="CE226" s="5">
        <f t="shared" si="116"/>
        <v>7286.6747252536206</v>
      </c>
      <c r="CH226" s="41">
        <f>BV226/'1. Väestöennuste'!I226*1000</f>
        <v>3905.4556726596402</v>
      </c>
      <c r="CI226" s="41">
        <f>BW226/'1. Väestöennuste'!J226*1000</f>
        <v>3940.2415766052127</v>
      </c>
      <c r="CJ226" s="41">
        <f>BX226/'1. Väestöennuste'!K226*1000</f>
        <v>4510.1972250970248</v>
      </c>
      <c r="CK226" s="41">
        <f>BY226/'1. Väestöennuste'!L226*1000</f>
        <v>4720.2826511477524</v>
      </c>
      <c r="CL226" s="41">
        <f>BZ226/'1. Väestöennuste'!M226*1000</f>
        <v>2821.4961510554094</v>
      </c>
      <c r="CM226" s="41">
        <f>CA226/'1. Väestöennuste'!N226*1000</f>
        <v>2399.3399399142213</v>
      </c>
      <c r="CN226" s="41">
        <f>CB226/'1. Väestöennuste'!O226*1000</f>
        <v>2484.7084684862716</v>
      </c>
      <c r="CO226" s="41">
        <f>CC226/'1. Väestöennuste'!P226*1000</f>
        <v>2569.6850421116155</v>
      </c>
      <c r="CP226" s="41">
        <f>CD226/'1. Väestöennuste'!Q226*1000</f>
        <v>2665.476006769326</v>
      </c>
      <c r="CQ226" s="41">
        <f>CE226/'1. Väestöennuste'!R226*1000</f>
        <v>2761.1499527296783</v>
      </c>
      <c r="CR226" s="41"/>
      <c r="CU226" s="159">
        <f t="shared" si="109"/>
        <v>34.7859039455725</v>
      </c>
      <c r="CV226" s="159">
        <f t="shared" si="110"/>
        <v>569.9556484918121</v>
      </c>
      <c r="CW226" s="159">
        <f t="shared" si="111"/>
        <v>210.08542605072762</v>
      </c>
      <c r="CX226" s="159">
        <f t="shared" si="112"/>
        <v>-1898.786500092343</v>
      </c>
      <c r="CY226" s="159">
        <f t="shared" si="113"/>
        <v>-422.15621114118812</v>
      </c>
      <c r="CZ226" s="159">
        <f t="shared" si="114"/>
        <v>85.368528572050309</v>
      </c>
      <c r="DA226" s="159">
        <f t="shared" si="117"/>
        <v>84.976573625343917</v>
      </c>
      <c r="DB226" s="159">
        <f t="shared" si="118"/>
        <v>95.790964657710447</v>
      </c>
      <c r="DC226" s="159">
        <f t="shared" si="118"/>
        <v>95.673945960352285</v>
      </c>
    </row>
    <row r="227" spans="1:107" x14ac:dyDescent="0.2">
      <c r="A227" s="99">
        <v>17</v>
      </c>
      <c r="B227" s="30">
        <v>691</v>
      </c>
      <c r="C227" s="47" t="s">
        <v>541</v>
      </c>
      <c r="D227" s="64">
        <v>7749.7122399999998</v>
      </c>
      <c r="E227" s="64">
        <v>656.91840000000002</v>
      </c>
      <c r="F227" s="64">
        <v>354.76633000000004</v>
      </c>
      <c r="G227" s="205">
        <v>8759</v>
      </c>
      <c r="H227" s="205"/>
      <c r="I227" s="64">
        <v>6830</v>
      </c>
      <c r="J227" s="64">
        <v>684</v>
      </c>
      <c r="K227" s="64">
        <v>344</v>
      </c>
      <c r="L227" s="205">
        <v>7858</v>
      </c>
      <c r="M227" s="205"/>
      <c r="N227" s="64">
        <v>7136</v>
      </c>
      <c r="O227" s="64">
        <v>691</v>
      </c>
      <c r="P227" s="64">
        <v>415</v>
      </c>
      <c r="Q227" s="205">
        <v>8242</v>
      </c>
      <c r="R227" s="205"/>
      <c r="S227" s="64">
        <v>6965</v>
      </c>
      <c r="T227" s="64">
        <v>692</v>
      </c>
      <c r="U227" s="64">
        <v>373</v>
      </c>
      <c r="V227" s="205">
        <v>8030</v>
      </c>
      <c r="W227" s="205"/>
      <c r="X227" s="64">
        <v>7194</v>
      </c>
      <c r="Y227" s="64">
        <v>660</v>
      </c>
      <c r="Z227" s="64">
        <v>363</v>
      </c>
      <c r="AA227" s="205">
        <f t="shared" si="115"/>
        <v>8217</v>
      </c>
      <c r="AB227" s="205"/>
      <c r="AC227" s="64">
        <v>7566</v>
      </c>
      <c r="AD227" s="64">
        <v>696</v>
      </c>
      <c r="AE227" s="64">
        <v>414</v>
      </c>
      <c r="AF227" s="205">
        <f t="shared" si="92"/>
        <v>8676</v>
      </c>
      <c r="AG227" s="205"/>
      <c r="AH227" s="278">
        <v>7625.2534500000002</v>
      </c>
      <c r="AI227" s="64">
        <v>782.07762000000002</v>
      </c>
      <c r="AJ227" s="64">
        <v>648.41989000000001</v>
      </c>
      <c r="AK227" s="205">
        <f t="shared" si="93"/>
        <v>9055.7509599999994</v>
      </c>
      <c r="AL227" s="205"/>
      <c r="AM227" s="64">
        <v>7763.4011200000004</v>
      </c>
      <c r="AN227" s="64">
        <v>801.11311000000001</v>
      </c>
      <c r="AO227" s="64">
        <v>707.70479</v>
      </c>
      <c r="AP227" s="205">
        <f t="shared" si="94"/>
        <v>9272.2190200000005</v>
      </c>
      <c r="AQ227" s="205"/>
      <c r="AR227" s="64">
        <v>4337.0132999999996</v>
      </c>
      <c r="AS227" s="64">
        <v>731.62466000000006</v>
      </c>
      <c r="AT227" s="64">
        <v>437.96537000000001</v>
      </c>
      <c r="AU227" s="205">
        <f t="shared" si="95"/>
        <v>5506.6033299999999</v>
      </c>
      <c r="AV227" s="205"/>
      <c r="AW227" s="64">
        <v>4082.6135041556977</v>
      </c>
      <c r="AX227" s="64">
        <v>828.74088949255406</v>
      </c>
      <c r="AY227" s="64">
        <v>328.06036176239627</v>
      </c>
      <c r="AZ227" s="205">
        <f t="shared" si="96"/>
        <v>5239.4147554106485</v>
      </c>
      <c r="BA227" s="205"/>
      <c r="BB227" s="64">
        <v>4303.2611662349454</v>
      </c>
      <c r="BC227" s="64">
        <v>835.1347375662483</v>
      </c>
      <c r="BD227" s="64">
        <v>331.99708610354497</v>
      </c>
      <c r="BE227" s="205">
        <f t="shared" si="91"/>
        <v>5470.3929899047389</v>
      </c>
      <c r="BF227" s="205"/>
      <c r="BG227" s="64">
        <v>4462.4555269427037</v>
      </c>
      <c r="BH227" s="64">
        <v>848.03224602576631</v>
      </c>
      <c r="BI227" s="64">
        <v>348.1189095958685</v>
      </c>
      <c r="BJ227" s="205">
        <f t="shared" si="97"/>
        <v>5658.6066825643393</v>
      </c>
      <c r="BK227" s="205"/>
      <c r="BL227" s="64">
        <v>4568.4791507420605</v>
      </c>
      <c r="BM227" s="64">
        <v>862.8234762103898</v>
      </c>
      <c r="BN227" s="64">
        <v>368.92730968479765</v>
      </c>
      <c r="BO227" s="205">
        <f t="shared" si="98"/>
        <v>5800.2299366372481</v>
      </c>
      <c r="BQ227" s="64">
        <v>4699.1760478055321</v>
      </c>
      <c r="BR227" s="64">
        <v>877.41528642158198</v>
      </c>
      <c r="BS227" s="64">
        <v>381.86226109142927</v>
      </c>
      <c r="BT227" s="205">
        <f t="shared" si="99"/>
        <v>5958.4535953185432</v>
      </c>
      <c r="BU227" s="205"/>
      <c r="BV227" s="5">
        <f t="shared" si="100"/>
        <v>8217</v>
      </c>
      <c r="BW227" s="5">
        <f t="shared" si="101"/>
        <v>8676</v>
      </c>
      <c r="BX227" s="5">
        <f t="shared" si="102"/>
        <v>9055.7509599999994</v>
      </c>
      <c r="BY227" s="5">
        <f t="shared" si="103"/>
        <v>9272.2190200000005</v>
      </c>
      <c r="BZ227" s="5">
        <f t="shared" si="104"/>
        <v>5506.6033299999999</v>
      </c>
      <c r="CA227" s="5">
        <f t="shared" si="105"/>
        <v>5239.4147554106485</v>
      </c>
      <c r="CB227" s="5">
        <f t="shared" si="106"/>
        <v>5470.3929899047389</v>
      </c>
      <c r="CC227" s="5">
        <f t="shared" si="107"/>
        <v>5658.6066825643393</v>
      </c>
      <c r="CD227" s="5">
        <f t="shared" si="108"/>
        <v>5800.2299366372481</v>
      </c>
      <c r="CE227" s="5">
        <f t="shared" si="116"/>
        <v>5958.4535953185432</v>
      </c>
      <c r="CH227" s="41">
        <f>BV227/'1. Väestöennuste'!I227*1000</f>
        <v>3023.1788079470198</v>
      </c>
      <c r="CI227" s="41">
        <f>BW227/'1. Väestöennuste'!J227*1000</f>
        <v>3201.4760147601478</v>
      </c>
      <c r="CJ227" s="41">
        <f>BX227/'1. Väestöennuste'!K227*1000</f>
        <v>3366.4501710037175</v>
      </c>
      <c r="CK227" s="41">
        <f>BY227/'1. Väestöennuste'!L227*1000</f>
        <v>3517.5337708649472</v>
      </c>
      <c r="CL227" s="41">
        <f>BZ227/'1. Väestöennuste'!M227*1000</f>
        <v>2119.5547844495763</v>
      </c>
      <c r="CM227" s="41">
        <f>CA227/'1. Väestöennuste'!N227*1000</f>
        <v>2032.3563830142159</v>
      </c>
      <c r="CN227" s="41">
        <f>CB227/'1. Väestöennuste'!O227*1000</f>
        <v>2148.6225412037466</v>
      </c>
      <c r="CO227" s="41">
        <f>CC227/'1. Väestöennuste'!P227*1000</f>
        <v>2249.9430149361192</v>
      </c>
      <c r="CP227" s="41">
        <f>CD227/'1. Väestöennuste'!Q227*1000</f>
        <v>2333.1576575371068</v>
      </c>
      <c r="CQ227" s="41">
        <f>CE227/'1. Väestöennuste'!R227*1000</f>
        <v>2427.0686742641724</v>
      </c>
      <c r="CR227" s="41"/>
      <c r="CU227" s="159">
        <f t="shared" si="109"/>
        <v>178.29720681312801</v>
      </c>
      <c r="CV227" s="159">
        <f t="shared" si="110"/>
        <v>164.97415624356972</v>
      </c>
      <c r="CW227" s="159">
        <f t="shared" si="111"/>
        <v>151.08359986122969</v>
      </c>
      <c r="CX227" s="159">
        <f t="shared" si="112"/>
        <v>-1397.9789864153709</v>
      </c>
      <c r="CY227" s="159">
        <f t="shared" si="113"/>
        <v>-87.198401435360438</v>
      </c>
      <c r="CZ227" s="159">
        <f t="shared" si="114"/>
        <v>116.26615818953064</v>
      </c>
      <c r="DA227" s="159">
        <f t="shared" si="117"/>
        <v>101.32047373237265</v>
      </c>
      <c r="DB227" s="159">
        <f t="shared" si="118"/>
        <v>83.214642600987645</v>
      </c>
      <c r="DC227" s="159">
        <f t="shared" si="118"/>
        <v>93.911016727065544</v>
      </c>
    </row>
    <row r="228" spans="1:107" x14ac:dyDescent="0.2">
      <c r="A228" s="99">
        <v>5</v>
      </c>
      <c r="B228" s="30">
        <v>694</v>
      </c>
      <c r="C228" s="47" t="s">
        <v>542</v>
      </c>
      <c r="D228" s="64">
        <v>106187.66420999999</v>
      </c>
      <c r="E228" s="64">
        <v>9323.8761099999992</v>
      </c>
      <c r="F228" s="64">
        <v>7395.7493700000005</v>
      </c>
      <c r="G228" s="205">
        <v>122881</v>
      </c>
      <c r="H228" s="205"/>
      <c r="I228" s="64">
        <v>103431</v>
      </c>
      <c r="J228" s="64">
        <v>9751</v>
      </c>
      <c r="K228" s="64">
        <v>6983</v>
      </c>
      <c r="L228" s="205">
        <v>120164</v>
      </c>
      <c r="M228" s="205"/>
      <c r="N228" s="64">
        <v>103379</v>
      </c>
      <c r="O228" s="64">
        <v>9622</v>
      </c>
      <c r="P228" s="64">
        <v>8703</v>
      </c>
      <c r="Q228" s="205">
        <v>121704</v>
      </c>
      <c r="R228" s="205"/>
      <c r="S228" s="64">
        <v>102234</v>
      </c>
      <c r="T228" s="64">
        <v>9728</v>
      </c>
      <c r="U228" s="64">
        <v>8036</v>
      </c>
      <c r="V228" s="205">
        <v>119998</v>
      </c>
      <c r="W228" s="205"/>
      <c r="X228" s="64">
        <v>103979</v>
      </c>
      <c r="Y228" s="64">
        <v>9800</v>
      </c>
      <c r="Z228" s="64">
        <v>7900</v>
      </c>
      <c r="AA228" s="205">
        <f t="shared" si="115"/>
        <v>121679</v>
      </c>
      <c r="AB228" s="205"/>
      <c r="AC228" s="64">
        <v>109300</v>
      </c>
      <c r="AD228" s="64">
        <v>8996</v>
      </c>
      <c r="AE228" s="64">
        <v>8110</v>
      </c>
      <c r="AF228" s="205">
        <f t="shared" si="92"/>
        <v>126406</v>
      </c>
      <c r="AG228" s="205"/>
      <c r="AH228" s="278">
        <v>108858.3579</v>
      </c>
      <c r="AI228" s="64">
        <v>9539.70111</v>
      </c>
      <c r="AJ228" s="64">
        <v>12747.13301</v>
      </c>
      <c r="AK228" s="205">
        <f t="shared" si="93"/>
        <v>131145.19201999999</v>
      </c>
      <c r="AL228" s="205"/>
      <c r="AM228" s="64">
        <v>114352.9933</v>
      </c>
      <c r="AN228" s="64">
        <v>10105.31947</v>
      </c>
      <c r="AO228" s="64">
        <v>15698.127109999999</v>
      </c>
      <c r="AP228" s="205">
        <f t="shared" si="94"/>
        <v>140156.43987999999</v>
      </c>
      <c r="AQ228" s="205"/>
      <c r="AR228" s="64">
        <v>54572.624170000003</v>
      </c>
      <c r="AS228" s="64">
        <v>10328.113939999999</v>
      </c>
      <c r="AT228" s="64">
        <v>11762.78916</v>
      </c>
      <c r="AU228" s="205">
        <f t="shared" si="95"/>
        <v>76663.527270000006</v>
      </c>
      <c r="AV228" s="205"/>
      <c r="AW228" s="64">
        <v>51987.827990661724</v>
      </c>
      <c r="AX228" s="64">
        <v>9749.2441250555003</v>
      </c>
      <c r="AY228" s="64">
        <v>11869.142674780405</v>
      </c>
      <c r="AZ228" s="205">
        <f t="shared" si="96"/>
        <v>73606.21479049763</v>
      </c>
      <c r="BA228" s="205"/>
      <c r="BB228" s="64">
        <v>54570.196856602313</v>
      </c>
      <c r="BC228" s="64">
        <v>9663.6775916482566</v>
      </c>
      <c r="BD228" s="64">
        <v>12011.57238687777</v>
      </c>
      <c r="BE228" s="205">
        <f t="shared" si="91"/>
        <v>76245.446835128343</v>
      </c>
      <c r="BF228" s="205"/>
      <c r="BG228" s="64">
        <v>56973.089137293246</v>
      </c>
      <c r="BH228" s="64">
        <v>9655.0965114434875</v>
      </c>
      <c r="BI228" s="64">
        <v>12594.855969752694</v>
      </c>
      <c r="BJ228" s="205">
        <f t="shared" si="97"/>
        <v>79223.041618489427</v>
      </c>
      <c r="BK228" s="205"/>
      <c r="BL228" s="64">
        <v>59021.050341755421</v>
      </c>
      <c r="BM228" s="64">
        <v>9668.2795348655691</v>
      </c>
      <c r="BN228" s="64">
        <v>13347.698733695908</v>
      </c>
      <c r="BO228" s="205">
        <f t="shared" si="98"/>
        <v>82037.028610316906</v>
      </c>
      <c r="BQ228" s="64">
        <v>61309.724702532549</v>
      </c>
      <c r="BR228" s="64">
        <v>9679.20991962076</v>
      </c>
      <c r="BS228" s="64">
        <v>13815.682073444392</v>
      </c>
      <c r="BT228" s="205">
        <f t="shared" si="99"/>
        <v>84804.616695597695</v>
      </c>
      <c r="BU228" s="205"/>
      <c r="BV228" s="5">
        <f t="shared" si="100"/>
        <v>121679</v>
      </c>
      <c r="BW228" s="5">
        <f t="shared" si="101"/>
        <v>126406</v>
      </c>
      <c r="BX228" s="5">
        <f t="shared" si="102"/>
        <v>131145.19201999999</v>
      </c>
      <c r="BY228" s="5">
        <f t="shared" si="103"/>
        <v>140156.43987999999</v>
      </c>
      <c r="BZ228" s="5">
        <f t="shared" si="104"/>
        <v>76663.527270000006</v>
      </c>
      <c r="CA228" s="5">
        <f t="shared" si="105"/>
        <v>73606.21479049763</v>
      </c>
      <c r="CB228" s="5">
        <f t="shared" si="106"/>
        <v>76245.446835128343</v>
      </c>
      <c r="CC228" s="5">
        <f t="shared" si="107"/>
        <v>79223.041618489427</v>
      </c>
      <c r="CD228" s="5">
        <f t="shared" si="108"/>
        <v>82037.028610316906</v>
      </c>
      <c r="CE228" s="5">
        <f t="shared" si="116"/>
        <v>84804.616695597695</v>
      </c>
      <c r="CH228" s="41">
        <f>BV228/'1. Väestöennuste'!I228*1000</f>
        <v>4225.9924287153126</v>
      </c>
      <c r="CI228" s="41">
        <f>BW228/'1. Väestöennuste'!J228*1000</f>
        <v>4402.856147683734</v>
      </c>
      <c r="CJ228" s="41">
        <f>BX228/'1. Väestöennuste'!K228*1000</f>
        <v>4598.1975393569646</v>
      </c>
      <c r="CK228" s="41">
        <f>BY228/'1. Väestöennuste'!L228*1000</f>
        <v>4943.9641567603794</v>
      </c>
      <c r="CL228" s="41">
        <f>BZ228/'1. Väestöennuste'!M228*1000</f>
        <v>2691.5538135027914</v>
      </c>
      <c r="CM228" s="41">
        <f>CA228/'1. Väestöennuste'!N228*1000</f>
        <v>2601.3859265063666</v>
      </c>
      <c r="CN228" s="41">
        <f>CB228/'1. Väestöennuste'!O228*1000</f>
        <v>2703.4516482334625</v>
      </c>
      <c r="CO228" s="41">
        <f>CC228/'1. Väestöennuste'!P228*1000</f>
        <v>2818.3223628064538</v>
      </c>
      <c r="CP228" s="41">
        <f>CD228/'1. Väestöennuste'!Q228*1000</f>
        <v>2928.1160941684302</v>
      </c>
      <c r="CQ228" s="41">
        <f>CE228/'1. Väestöennuste'!R228*1000</f>
        <v>3036.762038802467</v>
      </c>
      <c r="CR228" s="41"/>
      <c r="CU228" s="159">
        <f t="shared" si="109"/>
        <v>176.86371896842138</v>
      </c>
      <c r="CV228" s="159">
        <f t="shared" si="110"/>
        <v>195.34139167323065</v>
      </c>
      <c r="CW228" s="159">
        <f t="shared" si="111"/>
        <v>345.76661740341478</v>
      </c>
      <c r="CX228" s="159">
        <f t="shared" si="112"/>
        <v>-2252.410343257588</v>
      </c>
      <c r="CY228" s="159">
        <f t="shared" si="113"/>
        <v>-90.167886996424841</v>
      </c>
      <c r="CZ228" s="159">
        <f t="shared" si="114"/>
        <v>102.06572172709593</v>
      </c>
      <c r="DA228" s="159">
        <f t="shared" si="117"/>
        <v>114.87071457299135</v>
      </c>
      <c r="DB228" s="159">
        <f t="shared" si="118"/>
        <v>109.79373136197637</v>
      </c>
      <c r="DC228" s="159">
        <f t="shared" si="118"/>
        <v>108.64594463403682</v>
      </c>
    </row>
    <row r="229" spans="1:107" x14ac:dyDescent="0.2">
      <c r="A229" s="99">
        <v>18</v>
      </c>
      <c r="B229" s="32">
        <v>697</v>
      </c>
      <c r="C229" s="47" t="s">
        <v>543</v>
      </c>
      <c r="D229" s="64">
        <v>3896.7977700000001</v>
      </c>
      <c r="E229" s="64">
        <v>770.72368000000006</v>
      </c>
      <c r="F229" s="64">
        <v>468.55809999999997</v>
      </c>
      <c r="G229" s="205">
        <v>5134</v>
      </c>
      <c r="H229" s="205"/>
      <c r="I229" s="64">
        <v>3537</v>
      </c>
      <c r="J229" s="64">
        <v>846</v>
      </c>
      <c r="K229" s="64">
        <v>435</v>
      </c>
      <c r="L229" s="205">
        <v>4819</v>
      </c>
      <c r="M229" s="205"/>
      <c r="N229" s="64">
        <v>3761</v>
      </c>
      <c r="O229" s="64">
        <v>826</v>
      </c>
      <c r="P229" s="64">
        <v>494</v>
      </c>
      <c r="Q229" s="205">
        <v>5081</v>
      </c>
      <c r="R229" s="205"/>
      <c r="S229" s="64">
        <v>3555</v>
      </c>
      <c r="T229" s="64">
        <v>818</v>
      </c>
      <c r="U229" s="64">
        <v>443</v>
      </c>
      <c r="V229" s="205">
        <v>4816</v>
      </c>
      <c r="W229" s="205"/>
      <c r="X229" s="64">
        <v>3658</v>
      </c>
      <c r="Y229" s="64">
        <v>837</v>
      </c>
      <c r="Z229" s="64">
        <v>456</v>
      </c>
      <c r="AA229" s="205">
        <f t="shared" si="115"/>
        <v>4951</v>
      </c>
      <c r="AB229" s="205"/>
      <c r="AC229" s="64">
        <v>3649</v>
      </c>
      <c r="AD229" s="64">
        <v>756</v>
      </c>
      <c r="AE229" s="64">
        <v>509</v>
      </c>
      <c r="AF229" s="205">
        <f t="shared" si="92"/>
        <v>4914</v>
      </c>
      <c r="AG229" s="205"/>
      <c r="AH229" s="278">
        <v>3731.5417400000001</v>
      </c>
      <c r="AI229" s="64">
        <v>830.47559000000001</v>
      </c>
      <c r="AJ229" s="64">
        <v>772.36310000000003</v>
      </c>
      <c r="AK229" s="205">
        <f t="shared" si="93"/>
        <v>5334.3804300000011</v>
      </c>
      <c r="AL229" s="205"/>
      <c r="AM229" s="64">
        <v>3820.0096000000003</v>
      </c>
      <c r="AN229" s="64">
        <v>868.93518999999992</v>
      </c>
      <c r="AO229" s="64">
        <v>756.50937999999996</v>
      </c>
      <c r="AP229" s="205">
        <f t="shared" si="94"/>
        <v>5445.4541700000009</v>
      </c>
      <c r="AQ229" s="205"/>
      <c r="AR229" s="64">
        <v>1954.54357</v>
      </c>
      <c r="AS229" s="64">
        <v>897.41485999999998</v>
      </c>
      <c r="AT229" s="64">
        <v>423.07830000000001</v>
      </c>
      <c r="AU229" s="205">
        <f t="shared" si="95"/>
        <v>3275.0367300000003</v>
      </c>
      <c r="AV229" s="205"/>
      <c r="AW229" s="64">
        <v>1877.4144458093815</v>
      </c>
      <c r="AX229" s="64">
        <v>877.51730393158107</v>
      </c>
      <c r="AY229" s="64">
        <v>340.69229057037757</v>
      </c>
      <c r="AZ229" s="205">
        <f t="shared" si="96"/>
        <v>3095.6240403113402</v>
      </c>
      <c r="BA229" s="205"/>
      <c r="BB229" s="64">
        <v>1954.9905105788848</v>
      </c>
      <c r="BC229" s="64">
        <v>878.56772352414623</v>
      </c>
      <c r="BD229" s="64">
        <v>344.78059805722211</v>
      </c>
      <c r="BE229" s="205">
        <f t="shared" si="91"/>
        <v>3178.3388321602533</v>
      </c>
      <c r="BF229" s="205"/>
      <c r="BG229" s="64">
        <v>2029.7520378844572</v>
      </c>
      <c r="BH229" s="64">
        <v>886.31951212638546</v>
      </c>
      <c r="BI229" s="64">
        <v>361.52319062239496</v>
      </c>
      <c r="BJ229" s="205">
        <f t="shared" si="97"/>
        <v>3277.5947406332375</v>
      </c>
      <c r="BK229" s="205"/>
      <c r="BL229" s="64">
        <v>2085.8390429493256</v>
      </c>
      <c r="BM229" s="64">
        <v>895.85242845485527</v>
      </c>
      <c r="BN229" s="64">
        <v>383.1328159100018</v>
      </c>
      <c r="BO229" s="205">
        <f t="shared" si="98"/>
        <v>3364.8242873141826</v>
      </c>
      <c r="BQ229" s="64">
        <v>2147.6035333849427</v>
      </c>
      <c r="BR229" s="64">
        <v>904.96857394144058</v>
      </c>
      <c r="BS229" s="64">
        <v>396.56582622391954</v>
      </c>
      <c r="BT229" s="205">
        <f t="shared" si="99"/>
        <v>3449.1379335503025</v>
      </c>
      <c r="BU229" s="205"/>
      <c r="BV229" s="5">
        <f t="shared" si="100"/>
        <v>4951</v>
      </c>
      <c r="BW229" s="5">
        <f t="shared" si="101"/>
        <v>4914</v>
      </c>
      <c r="BX229" s="5">
        <f t="shared" si="102"/>
        <v>5334.3804300000011</v>
      </c>
      <c r="BY229" s="5">
        <f t="shared" si="103"/>
        <v>5445.4541700000009</v>
      </c>
      <c r="BZ229" s="5">
        <f t="shared" si="104"/>
        <v>3275.0367300000003</v>
      </c>
      <c r="CA229" s="5">
        <f t="shared" si="105"/>
        <v>3095.6240403113402</v>
      </c>
      <c r="CB229" s="5">
        <f t="shared" si="106"/>
        <v>3178.3388321602533</v>
      </c>
      <c r="CC229" s="5">
        <f t="shared" si="107"/>
        <v>3277.5947406332375</v>
      </c>
      <c r="CD229" s="5">
        <f t="shared" si="108"/>
        <v>3364.8242873141826</v>
      </c>
      <c r="CE229" s="5">
        <f t="shared" si="116"/>
        <v>3449.1379335503025</v>
      </c>
      <c r="CH229" s="41">
        <f>BV229/'1. Väestöennuste'!I229*1000</f>
        <v>3892.2955974842766</v>
      </c>
      <c r="CI229" s="41">
        <f>BW229/'1. Väestöennuste'!J229*1000</f>
        <v>3978.9473684210525</v>
      </c>
      <c r="CJ229" s="41">
        <f>BX229/'1. Väestöennuste'!K229*1000</f>
        <v>4408.578867768596</v>
      </c>
      <c r="CK229" s="41">
        <f>BY229/'1. Väestöennuste'!L229*1000</f>
        <v>4638.3766354344125</v>
      </c>
      <c r="CL229" s="41">
        <f>BZ229/'1. Väestöennuste'!M229*1000</f>
        <v>2813.60543814433</v>
      </c>
      <c r="CM229" s="41">
        <f>CA229/'1. Väestöennuste'!N229*1000</f>
        <v>2636.8177515428793</v>
      </c>
      <c r="CN229" s="41">
        <f>CB229/'1. Väestöennuste'!O229*1000</f>
        <v>2725.848055025946</v>
      </c>
      <c r="CO229" s="41">
        <f>CC229/'1. Väestöennuste'!P229*1000</f>
        <v>2835.2895680218317</v>
      </c>
      <c r="CP229" s="41">
        <f>CD229/'1. Väestöennuste'!Q229*1000</f>
        <v>2938.7111679599848</v>
      </c>
      <c r="CQ229" s="41">
        <f>CE229/'1. Väestöennuste'!R229*1000</f>
        <v>3033.5425976695715</v>
      </c>
      <c r="CR229" s="41"/>
      <c r="CU229" s="159">
        <f t="shared" si="109"/>
        <v>86.651770936775847</v>
      </c>
      <c r="CV229" s="159">
        <f t="shared" si="110"/>
        <v>429.63149934754347</v>
      </c>
      <c r="CW229" s="159">
        <f t="shared" si="111"/>
        <v>229.79776766581654</v>
      </c>
      <c r="CX229" s="159">
        <f t="shared" si="112"/>
        <v>-1824.7711972900825</v>
      </c>
      <c r="CY229" s="159">
        <f t="shared" si="113"/>
        <v>-176.78768660145079</v>
      </c>
      <c r="CZ229" s="159">
        <f t="shared" si="114"/>
        <v>89.030303483066746</v>
      </c>
      <c r="DA229" s="159">
        <f t="shared" si="117"/>
        <v>109.44151299588566</v>
      </c>
      <c r="DB229" s="159">
        <f t="shared" si="118"/>
        <v>103.42159993815312</v>
      </c>
      <c r="DC229" s="159">
        <f t="shared" si="118"/>
        <v>94.8314297095867</v>
      </c>
    </row>
    <row r="230" spans="1:107" x14ac:dyDescent="0.2">
      <c r="A230" s="99">
        <v>19</v>
      </c>
      <c r="B230" s="30">
        <v>698</v>
      </c>
      <c r="C230" s="47" t="s">
        <v>544</v>
      </c>
      <c r="D230" s="64">
        <v>205747.56066999998</v>
      </c>
      <c r="E230" s="64">
        <v>24919.84909</v>
      </c>
      <c r="F230" s="64">
        <v>10765.36081</v>
      </c>
      <c r="G230" s="205">
        <v>241433</v>
      </c>
      <c r="H230" s="205"/>
      <c r="I230" s="64">
        <v>208386</v>
      </c>
      <c r="J230" s="64">
        <v>30298</v>
      </c>
      <c r="K230" s="64">
        <v>10062</v>
      </c>
      <c r="L230" s="205">
        <v>248746</v>
      </c>
      <c r="M230" s="205"/>
      <c r="N230" s="64">
        <v>207241</v>
      </c>
      <c r="O230" s="64">
        <v>30474</v>
      </c>
      <c r="P230" s="64">
        <v>11870</v>
      </c>
      <c r="Q230" s="205">
        <v>249585</v>
      </c>
      <c r="R230" s="205"/>
      <c r="S230" s="64">
        <v>204832</v>
      </c>
      <c r="T230" s="64">
        <v>30730</v>
      </c>
      <c r="U230" s="64">
        <v>10486</v>
      </c>
      <c r="V230" s="205">
        <v>246048</v>
      </c>
      <c r="W230" s="205"/>
      <c r="X230" s="64">
        <v>211816</v>
      </c>
      <c r="Y230" s="64">
        <v>30726</v>
      </c>
      <c r="Z230" s="64">
        <v>10009</v>
      </c>
      <c r="AA230" s="205">
        <f t="shared" si="115"/>
        <v>252551</v>
      </c>
      <c r="AB230" s="205"/>
      <c r="AC230" s="64">
        <v>227190</v>
      </c>
      <c r="AD230" s="64">
        <v>28903</v>
      </c>
      <c r="AE230" s="64">
        <v>11002</v>
      </c>
      <c r="AF230" s="205">
        <f t="shared" si="92"/>
        <v>267095</v>
      </c>
      <c r="AG230" s="205"/>
      <c r="AH230" s="278">
        <v>234833.77674999999</v>
      </c>
      <c r="AI230" s="64">
        <v>31938.690449999998</v>
      </c>
      <c r="AJ230" s="64">
        <v>17253.041289999997</v>
      </c>
      <c r="AK230" s="205">
        <f t="shared" si="93"/>
        <v>284025.50849000004</v>
      </c>
      <c r="AL230" s="205"/>
      <c r="AM230" s="64">
        <v>242624.88097</v>
      </c>
      <c r="AN230" s="64">
        <v>34277.90958</v>
      </c>
      <c r="AO230" s="64">
        <v>19840.50908</v>
      </c>
      <c r="AP230" s="205">
        <f t="shared" si="94"/>
        <v>296743.29962999996</v>
      </c>
      <c r="AQ230" s="205"/>
      <c r="AR230" s="64">
        <v>130085.19615999999</v>
      </c>
      <c r="AS230" s="64">
        <v>35084.67828</v>
      </c>
      <c r="AT230" s="64">
        <v>13357.576929999999</v>
      </c>
      <c r="AU230" s="205">
        <f t="shared" si="95"/>
        <v>178527.45137</v>
      </c>
      <c r="AV230" s="205"/>
      <c r="AW230" s="64">
        <v>124157.51328013626</v>
      </c>
      <c r="AX230" s="64">
        <v>35303.030526807197</v>
      </c>
      <c r="AY230" s="64">
        <v>10513.817441271805</v>
      </c>
      <c r="AZ230" s="205">
        <f t="shared" si="96"/>
        <v>169974.36124821525</v>
      </c>
      <c r="BA230" s="205"/>
      <c r="BB230" s="64">
        <v>132402.79318999671</v>
      </c>
      <c r="BC230" s="64">
        <v>35508.08997382925</v>
      </c>
      <c r="BD230" s="64">
        <v>10639.983250567066</v>
      </c>
      <c r="BE230" s="205">
        <f t="shared" si="91"/>
        <v>178550.86641439304</v>
      </c>
      <c r="BF230" s="205"/>
      <c r="BG230" s="64">
        <v>140004.7047080971</v>
      </c>
      <c r="BH230" s="64">
        <v>35990.097451586043</v>
      </c>
      <c r="BI230" s="64">
        <v>11156.662279109567</v>
      </c>
      <c r="BJ230" s="205">
        <f t="shared" si="97"/>
        <v>187151.4644387927</v>
      </c>
      <c r="BK230" s="205"/>
      <c r="BL230" s="64">
        <v>146393.80263062986</v>
      </c>
      <c r="BM230" s="64">
        <v>36552.330616402141</v>
      </c>
      <c r="BN230" s="64">
        <v>11823.538699670235</v>
      </c>
      <c r="BO230" s="205">
        <f t="shared" si="98"/>
        <v>194769.67194670223</v>
      </c>
      <c r="BQ230" s="64">
        <v>153470.97768315443</v>
      </c>
      <c r="BR230" s="64">
        <v>37105.950910261578</v>
      </c>
      <c r="BS230" s="64">
        <v>12238.08350164038</v>
      </c>
      <c r="BT230" s="205">
        <f t="shared" si="99"/>
        <v>202815.01209505639</v>
      </c>
      <c r="BU230" s="205"/>
      <c r="BV230" s="5">
        <f t="shared" si="100"/>
        <v>252551</v>
      </c>
      <c r="BW230" s="5">
        <f t="shared" si="101"/>
        <v>267095</v>
      </c>
      <c r="BX230" s="5">
        <f t="shared" si="102"/>
        <v>284025.50849000004</v>
      </c>
      <c r="BY230" s="5">
        <f t="shared" si="103"/>
        <v>296743.29962999996</v>
      </c>
      <c r="BZ230" s="5">
        <f t="shared" si="104"/>
        <v>178527.45137</v>
      </c>
      <c r="CA230" s="5">
        <f t="shared" si="105"/>
        <v>169974.36124821525</v>
      </c>
      <c r="CB230" s="5">
        <f t="shared" si="106"/>
        <v>178550.86641439304</v>
      </c>
      <c r="CC230" s="5">
        <f t="shared" si="107"/>
        <v>187151.4644387927</v>
      </c>
      <c r="CD230" s="5">
        <f t="shared" si="108"/>
        <v>194769.67194670223</v>
      </c>
      <c r="CE230" s="5">
        <f t="shared" si="116"/>
        <v>202815.01209505639</v>
      </c>
      <c r="CH230" s="41">
        <f>BV230/'1. Väestöennuste'!I230*1000</f>
        <v>4006.0753148694525</v>
      </c>
      <c r="CI230" s="41">
        <f>BW230/'1. Väestöennuste'!J230*1000</f>
        <v>4204.3665785165595</v>
      </c>
      <c r="CJ230" s="41">
        <f>BX230/'1. Väestöennuste'!K230*1000</f>
        <v>4425.4519864443755</v>
      </c>
      <c r="CK230" s="41">
        <f>BY230/'1. Väestöennuste'!L230*1000</f>
        <v>4598.176177733013</v>
      </c>
      <c r="CL230" s="41">
        <f>BZ230/'1. Väestöennuste'!M230*1000</f>
        <v>2734.5441805287501</v>
      </c>
      <c r="CM230" s="41">
        <f>CA230/'1. Väestöennuste'!N230*1000</f>
        <v>2616.8823803090736</v>
      </c>
      <c r="CN230" s="41">
        <f>CB230/'1. Väestöennuste'!O230*1000</f>
        <v>2736.2859395643582</v>
      </c>
      <c r="CO230" s="41">
        <f>CC230/'1. Väestöennuste'!P230*1000</f>
        <v>2855.6175720771566</v>
      </c>
      <c r="CP230" s="41">
        <f>CD230/'1. Väestöennuste'!Q230*1000</f>
        <v>2959.9354418817397</v>
      </c>
      <c r="CQ230" s="41">
        <f>CE230/'1. Väestöennuste'!R230*1000</f>
        <v>3070.9074570749253</v>
      </c>
      <c r="CR230" s="41"/>
      <c r="CU230" s="159">
        <f t="shared" si="109"/>
        <v>198.29126364710692</v>
      </c>
      <c r="CV230" s="159">
        <f t="shared" si="110"/>
        <v>221.08540792781605</v>
      </c>
      <c r="CW230" s="159">
        <f t="shared" si="111"/>
        <v>172.72419128863748</v>
      </c>
      <c r="CX230" s="159">
        <f t="shared" si="112"/>
        <v>-1863.6319972042629</v>
      </c>
      <c r="CY230" s="159">
        <f t="shared" si="113"/>
        <v>-117.66180021967648</v>
      </c>
      <c r="CZ230" s="159">
        <f t="shared" si="114"/>
        <v>119.40355925528456</v>
      </c>
      <c r="DA230" s="159">
        <f t="shared" si="117"/>
        <v>119.33163251279848</v>
      </c>
      <c r="DB230" s="159">
        <f t="shared" si="118"/>
        <v>104.3178698045831</v>
      </c>
      <c r="DC230" s="159">
        <f t="shared" si="118"/>
        <v>110.9720151931856</v>
      </c>
    </row>
    <row r="231" spans="1:107" x14ac:dyDescent="0.2">
      <c r="A231" s="99">
        <v>9</v>
      </c>
      <c r="B231" s="30">
        <v>700</v>
      </c>
      <c r="C231" s="47" t="s">
        <v>545</v>
      </c>
      <c r="D231" s="64">
        <v>17557.875980000001</v>
      </c>
      <c r="E231" s="64">
        <v>1758.0867000000001</v>
      </c>
      <c r="F231" s="64">
        <v>1799.2330400000001</v>
      </c>
      <c r="G231" s="205">
        <v>21115</v>
      </c>
      <c r="H231" s="205"/>
      <c r="I231" s="64">
        <v>17630</v>
      </c>
      <c r="J231" s="64">
        <v>1788</v>
      </c>
      <c r="K231" s="64">
        <v>1751</v>
      </c>
      <c r="L231" s="205">
        <v>21169</v>
      </c>
      <c r="M231" s="205"/>
      <c r="N231" s="64">
        <v>17010</v>
      </c>
      <c r="O231" s="64">
        <v>1793</v>
      </c>
      <c r="P231" s="64">
        <v>2056</v>
      </c>
      <c r="Q231" s="205">
        <v>20859</v>
      </c>
      <c r="R231" s="205"/>
      <c r="S231" s="64">
        <v>17041</v>
      </c>
      <c r="T231" s="64">
        <v>1799</v>
      </c>
      <c r="U231" s="64">
        <v>1995</v>
      </c>
      <c r="V231" s="205">
        <v>20835</v>
      </c>
      <c r="W231" s="205"/>
      <c r="X231" s="64">
        <v>17139</v>
      </c>
      <c r="Y231" s="64">
        <v>1838</v>
      </c>
      <c r="Z231" s="64">
        <v>2058</v>
      </c>
      <c r="AA231" s="205">
        <f t="shared" si="115"/>
        <v>21035</v>
      </c>
      <c r="AB231" s="205"/>
      <c r="AC231" s="64">
        <v>17545</v>
      </c>
      <c r="AD231" s="64">
        <v>1664</v>
      </c>
      <c r="AE231" s="64">
        <v>2208</v>
      </c>
      <c r="AF231" s="205">
        <f t="shared" si="92"/>
        <v>21417</v>
      </c>
      <c r="AG231" s="205"/>
      <c r="AH231" s="278">
        <v>17798.175079999997</v>
      </c>
      <c r="AI231" s="64">
        <v>1832.4047599999999</v>
      </c>
      <c r="AJ231" s="64">
        <v>3063.51863</v>
      </c>
      <c r="AK231" s="205">
        <f t="shared" si="93"/>
        <v>22694.098469999997</v>
      </c>
      <c r="AL231" s="205"/>
      <c r="AM231" s="64">
        <v>18338.534520000001</v>
      </c>
      <c r="AN231" s="64">
        <v>1907.1588300000001</v>
      </c>
      <c r="AO231" s="64">
        <v>2721.1141499999999</v>
      </c>
      <c r="AP231" s="205">
        <f t="shared" si="94"/>
        <v>22966.807500000003</v>
      </c>
      <c r="AQ231" s="205"/>
      <c r="AR231" s="64">
        <v>8488.9791300000015</v>
      </c>
      <c r="AS231" s="64">
        <v>1955.53574</v>
      </c>
      <c r="AT231" s="64">
        <v>1465.1403799999998</v>
      </c>
      <c r="AU231" s="205">
        <f t="shared" si="95"/>
        <v>11909.65525</v>
      </c>
      <c r="AV231" s="205"/>
      <c r="AW231" s="64">
        <v>8561.9724702700751</v>
      </c>
      <c r="AX231" s="64">
        <v>2165.1851076621956</v>
      </c>
      <c r="AY231" s="64">
        <v>1290.8863207757572</v>
      </c>
      <c r="AZ231" s="205">
        <f t="shared" si="96"/>
        <v>12018.043898708027</v>
      </c>
      <c r="BA231" s="205"/>
      <c r="BB231" s="64">
        <v>8953.5713785194512</v>
      </c>
      <c r="BC231" s="64">
        <v>2182.0136196773769</v>
      </c>
      <c r="BD231" s="64">
        <v>1306.3769566250662</v>
      </c>
      <c r="BE231" s="205">
        <f t="shared" si="91"/>
        <v>12441.961954821894</v>
      </c>
      <c r="BF231" s="205"/>
      <c r="BG231" s="64">
        <v>9127.3739064382407</v>
      </c>
      <c r="BH231" s="64">
        <v>2215.6139354869088</v>
      </c>
      <c r="BI231" s="64">
        <v>1369.8147986746178</v>
      </c>
      <c r="BJ231" s="205">
        <f t="shared" si="97"/>
        <v>12712.802640599766</v>
      </c>
      <c r="BK231" s="205"/>
      <c r="BL231" s="64">
        <v>9280.2470420629943</v>
      </c>
      <c r="BM231" s="64">
        <v>2253.9321819367183</v>
      </c>
      <c r="BN231" s="64">
        <v>1451.6938738781089</v>
      </c>
      <c r="BO231" s="205">
        <f t="shared" si="98"/>
        <v>12985.87309787782</v>
      </c>
      <c r="BQ231" s="64">
        <v>9462.1618624116272</v>
      </c>
      <c r="BR231" s="64">
        <v>2291.4891799493762</v>
      </c>
      <c r="BS231" s="64">
        <v>1502.5916773829815</v>
      </c>
      <c r="BT231" s="205">
        <f t="shared" si="99"/>
        <v>13256.242719743985</v>
      </c>
      <c r="BU231" s="205"/>
      <c r="BV231" s="5">
        <f t="shared" si="100"/>
        <v>21035</v>
      </c>
      <c r="BW231" s="5">
        <f t="shared" si="101"/>
        <v>21417</v>
      </c>
      <c r="BX231" s="5">
        <f t="shared" si="102"/>
        <v>22694.098469999997</v>
      </c>
      <c r="BY231" s="5">
        <f t="shared" si="103"/>
        <v>22966.807500000003</v>
      </c>
      <c r="BZ231" s="5">
        <f t="shared" si="104"/>
        <v>11909.65525</v>
      </c>
      <c r="CA231" s="5">
        <f t="shared" si="105"/>
        <v>12018.043898708027</v>
      </c>
      <c r="CB231" s="5">
        <f t="shared" si="106"/>
        <v>12441.961954821894</v>
      </c>
      <c r="CC231" s="5">
        <f t="shared" si="107"/>
        <v>12712.802640599766</v>
      </c>
      <c r="CD231" s="5">
        <f t="shared" si="108"/>
        <v>12985.87309787782</v>
      </c>
      <c r="CE231" s="5">
        <f t="shared" si="116"/>
        <v>13256.242719743985</v>
      </c>
      <c r="CH231" s="41">
        <f>BV231/'1. Väestöennuste'!I231*1000</f>
        <v>4212.0544653584302</v>
      </c>
      <c r="CI231" s="41">
        <f>BW231/'1. Väestöennuste'!J231*1000</f>
        <v>4351.2799674928892</v>
      </c>
      <c r="CJ231" s="41">
        <f>BX231/'1. Väestöennuste'!K231*1000</f>
        <v>4619.1936637492363</v>
      </c>
      <c r="CK231" s="41">
        <f>BY231/'1. Väestöennuste'!L231*1000</f>
        <v>4743.2481412639418</v>
      </c>
      <c r="CL231" s="41">
        <f>BZ231/'1. Väestöennuste'!M231*1000</f>
        <v>2503.0801282051279</v>
      </c>
      <c r="CM231" s="41">
        <f>CA231/'1. Väestöennuste'!N231*1000</f>
        <v>2591.2125697947449</v>
      </c>
      <c r="CN231" s="41">
        <f>CB231/'1. Väestöennuste'!O231*1000</f>
        <v>2720.1490937520539</v>
      </c>
      <c r="CO231" s="41">
        <f>CC231/'1. Väestöennuste'!P231*1000</f>
        <v>2817.5537767286719</v>
      </c>
      <c r="CP231" s="41">
        <f>CD231/'1. Väestöennuste'!Q231*1000</f>
        <v>2917.5181078134847</v>
      </c>
      <c r="CQ231" s="41">
        <f>CE231/'1. Väestöennuste'!R231*1000</f>
        <v>3020.3332694791493</v>
      </c>
      <c r="CR231" s="41"/>
      <c r="CU231" s="159">
        <f t="shared" si="109"/>
        <v>139.22550213445902</v>
      </c>
      <c r="CV231" s="159">
        <f t="shared" si="110"/>
        <v>267.91369625634707</v>
      </c>
      <c r="CW231" s="159">
        <f t="shared" si="111"/>
        <v>124.05447751470547</v>
      </c>
      <c r="CX231" s="159">
        <f t="shared" si="112"/>
        <v>-2240.1680130588138</v>
      </c>
      <c r="CY231" s="159">
        <f t="shared" si="113"/>
        <v>88.132441589616974</v>
      </c>
      <c r="CZ231" s="159">
        <f t="shared" si="114"/>
        <v>128.93652395730896</v>
      </c>
      <c r="DA231" s="159">
        <f t="shared" si="117"/>
        <v>97.404682976618005</v>
      </c>
      <c r="DB231" s="159">
        <f t="shared" si="118"/>
        <v>99.964331084812784</v>
      </c>
      <c r="DC231" s="159">
        <f t="shared" si="118"/>
        <v>102.81516166566462</v>
      </c>
    </row>
    <row r="232" spans="1:107" x14ac:dyDescent="0.2">
      <c r="A232" s="99">
        <v>6</v>
      </c>
      <c r="B232" s="30">
        <v>702</v>
      </c>
      <c r="C232" s="47" t="s">
        <v>546</v>
      </c>
      <c r="D232" s="64">
        <v>13688.11508</v>
      </c>
      <c r="E232" s="64">
        <v>1601.5399499999999</v>
      </c>
      <c r="F232" s="64">
        <v>1413.1483700000001</v>
      </c>
      <c r="G232" s="205">
        <v>16700</v>
      </c>
      <c r="H232" s="205"/>
      <c r="I232" s="64">
        <v>13066</v>
      </c>
      <c r="J232" s="64">
        <v>1638</v>
      </c>
      <c r="K232" s="64">
        <v>1433</v>
      </c>
      <c r="L232" s="205">
        <v>16137</v>
      </c>
      <c r="M232" s="205"/>
      <c r="N232" s="64">
        <v>13312</v>
      </c>
      <c r="O232" s="64">
        <v>1604</v>
      </c>
      <c r="P232" s="64">
        <v>1658</v>
      </c>
      <c r="Q232" s="205">
        <v>16574</v>
      </c>
      <c r="R232" s="205"/>
      <c r="S232" s="64">
        <v>12734</v>
      </c>
      <c r="T232" s="64">
        <v>1552</v>
      </c>
      <c r="U232" s="64">
        <v>1950</v>
      </c>
      <c r="V232" s="205">
        <v>16236</v>
      </c>
      <c r="W232" s="205"/>
      <c r="X232" s="64">
        <v>12922</v>
      </c>
      <c r="Y232" s="64">
        <v>1644</v>
      </c>
      <c r="Z232" s="64">
        <v>1802</v>
      </c>
      <c r="AA232" s="205">
        <f t="shared" si="115"/>
        <v>16368</v>
      </c>
      <c r="AB232" s="205"/>
      <c r="AC232" s="64">
        <v>12890</v>
      </c>
      <c r="AD232" s="64">
        <v>2136</v>
      </c>
      <c r="AE232" s="64">
        <v>1879</v>
      </c>
      <c r="AF232" s="205">
        <f t="shared" si="92"/>
        <v>16905</v>
      </c>
      <c r="AG232" s="205"/>
      <c r="AH232" s="278">
        <v>12992.48501</v>
      </c>
      <c r="AI232" s="64">
        <v>1932.0027700000001</v>
      </c>
      <c r="AJ232" s="64">
        <v>2658.42715</v>
      </c>
      <c r="AK232" s="205">
        <f t="shared" si="93"/>
        <v>17582.914929999999</v>
      </c>
      <c r="AL232" s="205"/>
      <c r="AM232" s="64">
        <v>13445.828230000001</v>
      </c>
      <c r="AN232" s="64">
        <v>1927.8907199999999</v>
      </c>
      <c r="AO232" s="64">
        <v>2655.6058399999997</v>
      </c>
      <c r="AP232" s="205">
        <f t="shared" si="94"/>
        <v>18029.324789999999</v>
      </c>
      <c r="AQ232" s="205"/>
      <c r="AR232" s="64">
        <v>6805.79565</v>
      </c>
      <c r="AS232" s="64">
        <v>2006.7965300000001</v>
      </c>
      <c r="AT232" s="64">
        <v>1563.10673</v>
      </c>
      <c r="AU232" s="205">
        <f t="shared" si="95"/>
        <v>10375.698909999999</v>
      </c>
      <c r="AV232" s="205"/>
      <c r="AW232" s="64">
        <v>6641.0567650986359</v>
      </c>
      <c r="AX232" s="64">
        <v>2144.0133949597985</v>
      </c>
      <c r="AY232" s="64">
        <v>1341.9614849381919</v>
      </c>
      <c r="AZ232" s="205">
        <f t="shared" si="96"/>
        <v>10127.031644996627</v>
      </c>
      <c r="BA232" s="205"/>
      <c r="BB232" s="64">
        <v>6783.155823958562</v>
      </c>
      <c r="BC232" s="64">
        <v>2166.8715867373899</v>
      </c>
      <c r="BD232" s="64">
        <v>1358.0650227574502</v>
      </c>
      <c r="BE232" s="205">
        <f t="shared" si="91"/>
        <v>10308.092433453401</v>
      </c>
      <c r="BF232" s="205"/>
      <c r="BG232" s="64">
        <v>6938.4116633780332</v>
      </c>
      <c r="BH232" s="64">
        <v>2206.7155453613927</v>
      </c>
      <c r="BI232" s="64">
        <v>1424.0128443029841</v>
      </c>
      <c r="BJ232" s="205">
        <f t="shared" si="97"/>
        <v>10569.140053042411</v>
      </c>
      <c r="BK232" s="205"/>
      <c r="BL232" s="64">
        <v>7080.1915548483257</v>
      </c>
      <c r="BM232" s="64">
        <v>2251.6602409544935</v>
      </c>
      <c r="BN232" s="64">
        <v>1509.131544204778</v>
      </c>
      <c r="BO232" s="205">
        <f t="shared" si="98"/>
        <v>10840.983340007597</v>
      </c>
      <c r="BQ232" s="64">
        <v>7263.1275564711286</v>
      </c>
      <c r="BR232" s="64">
        <v>2296.2685537193602</v>
      </c>
      <c r="BS232" s="64">
        <v>1562.0431684680552</v>
      </c>
      <c r="BT232" s="205">
        <f t="shared" si="99"/>
        <v>11121.439278658545</v>
      </c>
      <c r="BU232" s="205"/>
      <c r="BV232" s="5">
        <f t="shared" si="100"/>
        <v>16368</v>
      </c>
      <c r="BW232" s="5">
        <f t="shared" si="101"/>
        <v>16905</v>
      </c>
      <c r="BX232" s="5">
        <f t="shared" si="102"/>
        <v>17582.914929999999</v>
      </c>
      <c r="BY232" s="5">
        <f t="shared" si="103"/>
        <v>18029.324789999999</v>
      </c>
      <c r="BZ232" s="5">
        <f t="shared" si="104"/>
        <v>10375.698909999999</v>
      </c>
      <c r="CA232" s="5">
        <f t="shared" si="105"/>
        <v>10127.031644996627</v>
      </c>
      <c r="CB232" s="5">
        <f t="shared" si="106"/>
        <v>10308.092433453401</v>
      </c>
      <c r="CC232" s="5">
        <f t="shared" si="107"/>
        <v>10569.140053042411</v>
      </c>
      <c r="CD232" s="5">
        <f t="shared" si="108"/>
        <v>10840.983340007597</v>
      </c>
      <c r="CE232" s="5">
        <f t="shared" si="116"/>
        <v>11121.439278658545</v>
      </c>
      <c r="CH232" s="41">
        <f>BV232/'1. Väestöennuste'!I232*1000</f>
        <v>3821.6203595610555</v>
      </c>
      <c r="CI232" s="41">
        <f>BW232/'1. Väestöennuste'!J232*1000</f>
        <v>4010.6761565836296</v>
      </c>
      <c r="CJ232" s="41">
        <f>BX232/'1. Väestöennuste'!K232*1000</f>
        <v>4231.7484789410346</v>
      </c>
      <c r="CK232" s="41">
        <f>BY232/'1. Väestöennuste'!L232*1000</f>
        <v>4382.4318886728242</v>
      </c>
      <c r="CL232" s="41">
        <f>BZ232/'1. Väestöennuste'!M232*1000</f>
        <v>2515.9308705140638</v>
      </c>
      <c r="CM232" s="41">
        <f>CA232/'1. Väestöennuste'!N232*1000</f>
        <v>2594.6788739422564</v>
      </c>
      <c r="CN232" s="41">
        <f>CB232/'1. Väestöennuste'!O232*1000</f>
        <v>2683.0016745063513</v>
      </c>
      <c r="CO232" s="41">
        <f>CC232/'1. Väestöennuste'!P232*1000</f>
        <v>2790.1636887651557</v>
      </c>
      <c r="CP232" s="41">
        <f>CD232/'1. Väestöennuste'!Q232*1000</f>
        <v>2900.2095612647399</v>
      </c>
      <c r="CQ232" s="41">
        <f>CE232/'1. Väestöennuste'!R232*1000</f>
        <v>3012.3074969280997</v>
      </c>
      <c r="CR232" s="41"/>
      <c r="CU232" s="159">
        <f t="shared" si="109"/>
        <v>189.0557970225741</v>
      </c>
      <c r="CV232" s="159">
        <f t="shared" si="110"/>
        <v>221.07232235740503</v>
      </c>
      <c r="CW232" s="159">
        <f t="shared" si="111"/>
        <v>150.68340973178965</v>
      </c>
      <c r="CX232" s="159">
        <f t="shared" si="112"/>
        <v>-1866.5010181587604</v>
      </c>
      <c r="CY232" s="159">
        <f t="shared" si="113"/>
        <v>78.748003428192533</v>
      </c>
      <c r="CZ232" s="159">
        <f t="shared" si="114"/>
        <v>88.322800564094905</v>
      </c>
      <c r="DA232" s="159">
        <f t="shared" si="117"/>
        <v>107.16201425880445</v>
      </c>
      <c r="DB232" s="159">
        <f t="shared" si="118"/>
        <v>110.04587249958422</v>
      </c>
      <c r="DC232" s="159">
        <f t="shared" si="118"/>
        <v>112.09793566335975</v>
      </c>
    </row>
    <row r="233" spans="1:107" x14ac:dyDescent="0.2">
      <c r="A233" s="99">
        <v>2</v>
      </c>
      <c r="B233" s="30">
        <v>704</v>
      </c>
      <c r="C233" s="47" t="s">
        <v>547</v>
      </c>
      <c r="D233" s="64">
        <v>20123.152340000001</v>
      </c>
      <c r="E233" s="64">
        <v>1051.7126799999999</v>
      </c>
      <c r="F233" s="64">
        <v>872.69924000000003</v>
      </c>
      <c r="G233" s="205">
        <v>22045</v>
      </c>
      <c r="H233" s="205"/>
      <c r="I233" s="64">
        <v>21449</v>
      </c>
      <c r="J233" s="64">
        <v>1152</v>
      </c>
      <c r="K233" s="64">
        <v>960</v>
      </c>
      <c r="L233" s="205">
        <v>23562</v>
      </c>
      <c r="M233" s="205"/>
      <c r="N233" s="64">
        <v>21837</v>
      </c>
      <c r="O233" s="64">
        <v>1172</v>
      </c>
      <c r="P233" s="64">
        <v>1298</v>
      </c>
      <c r="Q233" s="205">
        <v>24307</v>
      </c>
      <c r="R233" s="205"/>
      <c r="S233" s="64">
        <v>22412</v>
      </c>
      <c r="T233" s="64">
        <v>1181</v>
      </c>
      <c r="U233" s="64">
        <v>1163</v>
      </c>
      <c r="V233" s="205">
        <v>24756</v>
      </c>
      <c r="W233" s="205"/>
      <c r="X233" s="64">
        <v>22214</v>
      </c>
      <c r="Y233" s="64">
        <v>1207</v>
      </c>
      <c r="Z233" s="64">
        <v>1326</v>
      </c>
      <c r="AA233" s="205">
        <f t="shared" si="115"/>
        <v>24747</v>
      </c>
      <c r="AB233" s="205"/>
      <c r="AC233" s="64">
        <v>23874</v>
      </c>
      <c r="AD233" s="64">
        <v>1094</v>
      </c>
      <c r="AE233" s="64">
        <v>1406</v>
      </c>
      <c r="AF233" s="205">
        <f t="shared" si="92"/>
        <v>26374</v>
      </c>
      <c r="AG233" s="205"/>
      <c r="AH233" s="278">
        <v>24266.698640000002</v>
      </c>
      <c r="AI233" s="64">
        <v>1205.05693</v>
      </c>
      <c r="AJ233" s="64">
        <v>1818.1938</v>
      </c>
      <c r="AK233" s="205">
        <f t="shared" si="93"/>
        <v>27289.949370000002</v>
      </c>
      <c r="AL233" s="205"/>
      <c r="AM233" s="64">
        <v>25231.03399</v>
      </c>
      <c r="AN233" s="64">
        <v>1287.0720800000001</v>
      </c>
      <c r="AO233" s="64">
        <v>1768.1146100000001</v>
      </c>
      <c r="AP233" s="205">
        <f t="shared" si="94"/>
        <v>28286.220680000002</v>
      </c>
      <c r="AQ233" s="205"/>
      <c r="AR233" s="64">
        <v>11718.852650000001</v>
      </c>
      <c r="AS233" s="64">
        <v>1300.1113700000001</v>
      </c>
      <c r="AT233" s="64">
        <v>1013.12126</v>
      </c>
      <c r="AU233" s="205">
        <f t="shared" si="95"/>
        <v>14032.085280000001</v>
      </c>
      <c r="AV233" s="205"/>
      <c r="AW233" s="64">
        <v>10984.095368418721</v>
      </c>
      <c r="AX233" s="64">
        <v>1444.9073387700535</v>
      </c>
      <c r="AY233" s="64">
        <v>745.19039441011512</v>
      </c>
      <c r="AZ233" s="205">
        <f t="shared" si="96"/>
        <v>13174.19310159889</v>
      </c>
      <c r="BA233" s="205"/>
      <c r="BB233" s="64">
        <v>11853.174934289778</v>
      </c>
      <c r="BC233" s="64">
        <v>1479.1650850125359</v>
      </c>
      <c r="BD233" s="64">
        <v>754.13267914303651</v>
      </c>
      <c r="BE233" s="205">
        <f t="shared" si="91"/>
        <v>14086.47269844535</v>
      </c>
      <c r="BF233" s="205"/>
      <c r="BG233" s="64">
        <v>12575.359031590917</v>
      </c>
      <c r="BH233" s="64">
        <v>1526.0205472914367</v>
      </c>
      <c r="BI233" s="64">
        <v>790.75346423976225</v>
      </c>
      <c r="BJ233" s="205">
        <f t="shared" si="97"/>
        <v>14892.133043122116</v>
      </c>
      <c r="BK233" s="205"/>
      <c r="BL233" s="64">
        <v>13179.052483996114</v>
      </c>
      <c r="BM233" s="64">
        <v>1577.6404238178113</v>
      </c>
      <c r="BN233" s="64">
        <v>838.01982639948949</v>
      </c>
      <c r="BO233" s="205">
        <f t="shared" si="98"/>
        <v>15594.712734213415</v>
      </c>
      <c r="BQ233" s="64">
        <v>13849.758616640409</v>
      </c>
      <c r="BR233" s="64">
        <v>1630.3488643972753</v>
      </c>
      <c r="BS233" s="64">
        <v>867.40161909337405</v>
      </c>
      <c r="BT233" s="205">
        <f t="shared" si="99"/>
        <v>16347.509100131059</v>
      </c>
      <c r="BU233" s="205"/>
      <c r="BV233" s="5">
        <f t="shared" si="100"/>
        <v>24747</v>
      </c>
      <c r="BW233" s="5">
        <f t="shared" si="101"/>
        <v>26374</v>
      </c>
      <c r="BX233" s="5">
        <f t="shared" si="102"/>
        <v>27289.949370000002</v>
      </c>
      <c r="BY233" s="5">
        <f t="shared" si="103"/>
        <v>28286.220680000002</v>
      </c>
      <c r="BZ233" s="5">
        <f t="shared" si="104"/>
        <v>14032.085280000001</v>
      </c>
      <c r="CA233" s="5">
        <f t="shared" si="105"/>
        <v>13174.19310159889</v>
      </c>
      <c r="CB233" s="5">
        <f t="shared" si="106"/>
        <v>14086.47269844535</v>
      </c>
      <c r="CC233" s="5">
        <f t="shared" si="107"/>
        <v>14892.133043122116</v>
      </c>
      <c r="CD233" s="5">
        <f t="shared" si="108"/>
        <v>15594.712734213415</v>
      </c>
      <c r="CE233" s="5">
        <f t="shared" si="116"/>
        <v>16347.509100131059</v>
      </c>
      <c r="CH233" s="41">
        <f>BV233/'1. Väestöennuste'!I233*1000</f>
        <v>3911.3323850165957</v>
      </c>
      <c r="CI233" s="41">
        <f>BW233/'1. Väestöennuste'!J233*1000</f>
        <v>4150.7711677683346</v>
      </c>
      <c r="CJ233" s="41">
        <f>BX233/'1. Väestöennuste'!K233*1000</f>
        <v>4278.0920786957213</v>
      </c>
      <c r="CK233" s="41">
        <f>BY233/'1. Väestöennuste'!L233*1000</f>
        <v>4400.4699253266963</v>
      </c>
      <c r="CL233" s="41">
        <f>BZ233/'1. Väestöennuste'!M233*1000</f>
        <v>2180.2494220012431</v>
      </c>
      <c r="CM233" s="41">
        <f>CA233/'1. Väestöennuste'!N233*1000</f>
        <v>2003.6795591785385</v>
      </c>
      <c r="CN233" s="41">
        <f>CB233/'1. Väestöennuste'!O233*1000</f>
        <v>2123.0554180023137</v>
      </c>
      <c r="CO233" s="41">
        <f>CC233/'1. Väestöennuste'!P233*1000</f>
        <v>2225.6961654643724</v>
      </c>
      <c r="CP233" s="41">
        <f>CD233/'1. Väestöennuste'!Q233*1000</f>
        <v>2311.3550814011287</v>
      </c>
      <c r="CQ233" s="41">
        <f>CE233/'1. Väestöennuste'!R233*1000</f>
        <v>2405.106532312941</v>
      </c>
      <c r="CR233" s="41"/>
      <c r="CU233" s="159">
        <f t="shared" si="109"/>
        <v>239.43878275173893</v>
      </c>
      <c r="CV233" s="159">
        <f t="shared" si="110"/>
        <v>127.32091092738665</v>
      </c>
      <c r="CW233" s="159">
        <f t="shared" si="111"/>
        <v>122.377846630975</v>
      </c>
      <c r="CX233" s="159">
        <f t="shared" si="112"/>
        <v>-2220.2205033254531</v>
      </c>
      <c r="CY233" s="159">
        <f t="shared" si="113"/>
        <v>-176.56986282270464</v>
      </c>
      <c r="CZ233" s="159">
        <f t="shared" si="114"/>
        <v>119.37585882377516</v>
      </c>
      <c r="DA233" s="159">
        <f t="shared" si="117"/>
        <v>102.6407474620587</v>
      </c>
      <c r="DB233" s="159">
        <f t="shared" si="118"/>
        <v>85.65891593675633</v>
      </c>
      <c r="DC233" s="159">
        <f t="shared" si="118"/>
        <v>93.751450911812299</v>
      </c>
    </row>
    <row r="234" spans="1:107" x14ac:dyDescent="0.2">
      <c r="A234" s="99">
        <v>12</v>
      </c>
      <c r="B234" s="30">
        <v>707</v>
      </c>
      <c r="C234" s="47" t="s">
        <v>548</v>
      </c>
      <c r="D234" s="64">
        <v>5417.9136100000005</v>
      </c>
      <c r="E234" s="64">
        <v>620.16963999999996</v>
      </c>
      <c r="F234" s="64">
        <v>475.10550000000001</v>
      </c>
      <c r="G234" s="205">
        <v>6513</v>
      </c>
      <c r="H234" s="205"/>
      <c r="I234" s="64">
        <v>5001</v>
      </c>
      <c r="J234" s="64">
        <v>655</v>
      </c>
      <c r="K234" s="64">
        <v>484</v>
      </c>
      <c r="L234" s="205">
        <v>6139</v>
      </c>
      <c r="M234" s="205"/>
      <c r="N234" s="64">
        <v>4878</v>
      </c>
      <c r="O234" s="64">
        <v>644</v>
      </c>
      <c r="P234" s="64">
        <v>542</v>
      </c>
      <c r="Q234" s="205">
        <v>6064</v>
      </c>
      <c r="R234" s="205"/>
      <c r="S234" s="64">
        <v>4838</v>
      </c>
      <c r="T234" s="64">
        <v>646</v>
      </c>
      <c r="U234" s="64">
        <v>485</v>
      </c>
      <c r="V234" s="205">
        <v>5969</v>
      </c>
      <c r="W234" s="205"/>
      <c r="X234" s="64">
        <v>4631</v>
      </c>
      <c r="Y234" s="64">
        <v>655</v>
      </c>
      <c r="Z234" s="64">
        <v>514</v>
      </c>
      <c r="AA234" s="205">
        <f t="shared" si="115"/>
        <v>5800</v>
      </c>
      <c r="AB234" s="205"/>
      <c r="AC234" s="64">
        <v>5105</v>
      </c>
      <c r="AD234" s="64">
        <v>592</v>
      </c>
      <c r="AE234" s="64">
        <v>564</v>
      </c>
      <c r="AF234" s="205">
        <f t="shared" si="92"/>
        <v>6261</v>
      </c>
      <c r="AG234" s="205"/>
      <c r="AH234" s="278">
        <v>4957.7626900000005</v>
      </c>
      <c r="AI234" s="64">
        <v>646.67201</v>
      </c>
      <c r="AJ234" s="64">
        <v>828.66354000000001</v>
      </c>
      <c r="AK234" s="205">
        <f t="shared" si="93"/>
        <v>6433.0982400000012</v>
      </c>
      <c r="AL234" s="205"/>
      <c r="AM234" s="64">
        <v>5112.60455</v>
      </c>
      <c r="AN234" s="64">
        <v>682.14469999999994</v>
      </c>
      <c r="AO234" s="64">
        <v>821.98633999999993</v>
      </c>
      <c r="AP234" s="205">
        <f t="shared" si="94"/>
        <v>6616.7355900000002</v>
      </c>
      <c r="AQ234" s="205"/>
      <c r="AR234" s="64">
        <v>2503.7602700000002</v>
      </c>
      <c r="AS234" s="64">
        <v>683.82366999999999</v>
      </c>
      <c r="AT234" s="64">
        <v>475.6302</v>
      </c>
      <c r="AU234" s="205">
        <f t="shared" si="95"/>
        <v>3663.2141400000005</v>
      </c>
      <c r="AV234" s="205"/>
      <c r="AW234" s="64">
        <v>2393.4793290498715</v>
      </c>
      <c r="AX234" s="64">
        <v>738.3911124895119</v>
      </c>
      <c r="AY234" s="64">
        <v>389.31722214092207</v>
      </c>
      <c r="AZ234" s="205">
        <f t="shared" si="96"/>
        <v>3521.1876636803054</v>
      </c>
      <c r="BA234" s="205"/>
      <c r="BB234" s="64">
        <v>2499.0867736699684</v>
      </c>
      <c r="BC234" s="64">
        <v>743.9490489661905</v>
      </c>
      <c r="BD234" s="64">
        <v>393.98902880661308</v>
      </c>
      <c r="BE234" s="205">
        <f t="shared" si="91"/>
        <v>3637.0248514427717</v>
      </c>
      <c r="BF234" s="205"/>
      <c r="BG234" s="64">
        <v>2555.8519747759283</v>
      </c>
      <c r="BH234" s="64">
        <v>755.2541351797081</v>
      </c>
      <c r="BI234" s="64">
        <v>413.12118943753842</v>
      </c>
      <c r="BJ234" s="205">
        <f t="shared" si="97"/>
        <v>3724.2272993931747</v>
      </c>
      <c r="BK234" s="205"/>
      <c r="BL234" s="64">
        <v>2610.3382505477707</v>
      </c>
      <c r="BM234" s="64">
        <v>768.19613227698255</v>
      </c>
      <c r="BN234" s="64">
        <v>437.81502467047693</v>
      </c>
      <c r="BO234" s="205">
        <f t="shared" si="98"/>
        <v>3816.34940749523</v>
      </c>
      <c r="BQ234" s="64">
        <v>2677.6694271668398</v>
      </c>
      <c r="BR234" s="64">
        <v>780.90871344563004</v>
      </c>
      <c r="BS234" s="64">
        <v>453.16524657203325</v>
      </c>
      <c r="BT234" s="205">
        <f t="shared" si="99"/>
        <v>3911.7433871845028</v>
      </c>
      <c r="BU234" s="205"/>
      <c r="BV234" s="5">
        <f t="shared" si="100"/>
        <v>5800</v>
      </c>
      <c r="BW234" s="5">
        <f t="shared" si="101"/>
        <v>6261</v>
      </c>
      <c r="BX234" s="5">
        <f t="shared" si="102"/>
        <v>6433.0982400000012</v>
      </c>
      <c r="BY234" s="5">
        <f t="shared" si="103"/>
        <v>6616.7355900000002</v>
      </c>
      <c r="BZ234" s="5">
        <f t="shared" si="104"/>
        <v>3663.2141400000005</v>
      </c>
      <c r="CA234" s="5">
        <f t="shared" si="105"/>
        <v>3521.1876636803054</v>
      </c>
      <c r="CB234" s="5">
        <f t="shared" si="106"/>
        <v>3637.0248514427717</v>
      </c>
      <c r="CC234" s="5">
        <f t="shared" si="107"/>
        <v>3724.2272993931747</v>
      </c>
      <c r="CD234" s="5">
        <f t="shared" si="108"/>
        <v>3816.34940749523</v>
      </c>
      <c r="CE234" s="5">
        <f t="shared" si="116"/>
        <v>3911.7433871845028</v>
      </c>
      <c r="CH234" s="41">
        <f>BV234/'1. Väestöennuste'!I234*1000</f>
        <v>2728.1279397930389</v>
      </c>
      <c r="CI234" s="41">
        <f>BW234/'1. Väestöennuste'!J234*1000</f>
        <v>3030.4937076476285</v>
      </c>
      <c r="CJ234" s="41">
        <f>BX234/'1. Väestöennuste'!K234*1000</f>
        <v>3165.894803149607</v>
      </c>
      <c r="CK234" s="41">
        <f>BY234/'1. Väestöennuste'!L234*1000</f>
        <v>3375.885505102041</v>
      </c>
      <c r="CL234" s="41">
        <f>BZ234/'1. Väestöennuste'!M234*1000</f>
        <v>1925.9800946372243</v>
      </c>
      <c r="CM234" s="41">
        <f>CA234/'1. Väestöennuste'!N234*1000</f>
        <v>1847.4226986780195</v>
      </c>
      <c r="CN234" s="41">
        <f>CB234/'1. Väestöennuste'!O234*1000</f>
        <v>1938.7126073788761</v>
      </c>
      <c r="CO234" s="41">
        <f>CC234/'1. Väestöennuste'!P234*1000</f>
        <v>2016.3656195956548</v>
      </c>
      <c r="CP234" s="41">
        <f>CD234/'1. Väestöennuste'!Q234*1000</f>
        <v>2098.048052498752</v>
      </c>
      <c r="CQ234" s="41">
        <f>CE234/'1. Väestöennuste'!R234*1000</f>
        <v>2181.6750625680438</v>
      </c>
      <c r="CR234" s="41"/>
      <c r="CU234" s="159">
        <f t="shared" si="109"/>
        <v>302.36576785458965</v>
      </c>
      <c r="CV234" s="159">
        <f t="shared" si="110"/>
        <v>135.40109550197849</v>
      </c>
      <c r="CW234" s="159">
        <f t="shared" si="111"/>
        <v>209.99070195243394</v>
      </c>
      <c r="CX234" s="159">
        <f t="shared" si="112"/>
        <v>-1449.9054104648167</v>
      </c>
      <c r="CY234" s="159">
        <f t="shared" si="113"/>
        <v>-78.557395959204769</v>
      </c>
      <c r="CZ234" s="159">
        <f t="shared" si="114"/>
        <v>91.289908700856586</v>
      </c>
      <c r="DA234" s="159">
        <f t="shared" si="117"/>
        <v>77.653012216778734</v>
      </c>
      <c r="DB234" s="159">
        <f t="shared" si="118"/>
        <v>81.682432903097151</v>
      </c>
      <c r="DC234" s="159">
        <f t="shared" si="118"/>
        <v>83.627010069291828</v>
      </c>
    </row>
    <row r="235" spans="1:107" x14ac:dyDescent="0.2">
      <c r="A235" s="99">
        <v>1</v>
      </c>
      <c r="B235" s="30">
        <v>710</v>
      </c>
      <c r="C235" s="47" t="s">
        <v>549</v>
      </c>
      <c r="D235" s="64">
        <v>100386.47990000001</v>
      </c>
      <c r="E235" s="64">
        <v>10227.19903</v>
      </c>
      <c r="F235" s="64">
        <v>3810.8474200000001</v>
      </c>
      <c r="G235" s="205">
        <v>114413</v>
      </c>
      <c r="H235" s="205"/>
      <c r="I235" s="64">
        <v>99483</v>
      </c>
      <c r="J235" s="64">
        <v>10301</v>
      </c>
      <c r="K235" s="64">
        <v>3244</v>
      </c>
      <c r="L235" s="205">
        <v>113028</v>
      </c>
      <c r="M235" s="205"/>
      <c r="N235" s="64">
        <v>100336</v>
      </c>
      <c r="O235" s="64">
        <v>11145</v>
      </c>
      <c r="P235" s="64">
        <v>4321</v>
      </c>
      <c r="Q235" s="205">
        <v>115802</v>
      </c>
      <c r="R235" s="205"/>
      <c r="S235" s="64">
        <v>97092</v>
      </c>
      <c r="T235" s="64">
        <v>11343</v>
      </c>
      <c r="U235" s="64">
        <v>4435</v>
      </c>
      <c r="V235" s="205">
        <v>112870</v>
      </c>
      <c r="W235" s="205"/>
      <c r="X235" s="64">
        <v>98557</v>
      </c>
      <c r="Y235" s="64">
        <v>11418</v>
      </c>
      <c r="Z235" s="64">
        <v>4120</v>
      </c>
      <c r="AA235" s="205">
        <f t="shared" si="115"/>
        <v>114095</v>
      </c>
      <c r="AB235" s="205"/>
      <c r="AC235" s="64">
        <v>102828</v>
      </c>
      <c r="AD235" s="64">
        <v>10330</v>
      </c>
      <c r="AE235" s="64">
        <v>4138</v>
      </c>
      <c r="AF235" s="205">
        <f t="shared" si="92"/>
        <v>117296</v>
      </c>
      <c r="AG235" s="205"/>
      <c r="AH235" s="278">
        <v>104080.64590999999</v>
      </c>
      <c r="AI235" s="64">
        <v>11547.570320000001</v>
      </c>
      <c r="AJ235" s="64">
        <v>5803.7839899999999</v>
      </c>
      <c r="AK235" s="205">
        <f t="shared" si="93"/>
        <v>121432.00021999999</v>
      </c>
      <c r="AL235" s="205"/>
      <c r="AM235" s="64">
        <v>109001.17484000001</v>
      </c>
      <c r="AN235" s="64">
        <v>11850.58468</v>
      </c>
      <c r="AO235" s="64">
        <v>6194.8815700000005</v>
      </c>
      <c r="AP235" s="205">
        <f t="shared" si="94"/>
        <v>127046.64109</v>
      </c>
      <c r="AQ235" s="205"/>
      <c r="AR235" s="64">
        <v>57333.02074</v>
      </c>
      <c r="AS235" s="64">
        <v>12339.25267</v>
      </c>
      <c r="AT235" s="64">
        <v>4224.4531299999999</v>
      </c>
      <c r="AU235" s="205">
        <f t="shared" si="95"/>
        <v>73896.726539999989</v>
      </c>
      <c r="AV235" s="205"/>
      <c r="AW235" s="64">
        <v>54216.934350814423</v>
      </c>
      <c r="AX235" s="64">
        <v>12356.058816964291</v>
      </c>
      <c r="AY235" s="64">
        <v>3415.0577894375201</v>
      </c>
      <c r="AZ235" s="205">
        <f t="shared" si="96"/>
        <v>69988.050957216226</v>
      </c>
      <c r="BA235" s="205"/>
      <c r="BB235" s="64">
        <v>57212.771301873865</v>
      </c>
      <c r="BC235" s="64">
        <v>12475.478160764833</v>
      </c>
      <c r="BD235" s="64">
        <v>3456.0384829107702</v>
      </c>
      <c r="BE235" s="205">
        <f t="shared" si="91"/>
        <v>73144.287945549455</v>
      </c>
      <c r="BF235" s="205"/>
      <c r="BG235" s="64">
        <v>59652.729693823516</v>
      </c>
      <c r="BH235" s="64">
        <v>12691.823302046245</v>
      </c>
      <c r="BI235" s="64">
        <v>3623.8641799917</v>
      </c>
      <c r="BJ235" s="205">
        <f t="shared" si="97"/>
        <v>75968.417175861454</v>
      </c>
      <c r="BK235" s="205"/>
      <c r="BL235" s="64">
        <v>61709.809173488436</v>
      </c>
      <c r="BM235" s="64">
        <v>12936.490651862263</v>
      </c>
      <c r="BN235" s="64">
        <v>3840.4764169217369</v>
      </c>
      <c r="BO235" s="205">
        <f t="shared" si="98"/>
        <v>78486.776242272434</v>
      </c>
      <c r="BQ235" s="64">
        <v>64065.418459095556</v>
      </c>
      <c r="BR235" s="64">
        <v>13178.161050317703</v>
      </c>
      <c r="BS235" s="64">
        <v>3975.1272669052737</v>
      </c>
      <c r="BT235" s="205">
        <f t="shared" si="99"/>
        <v>81218.706776318533</v>
      </c>
      <c r="BU235" s="205"/>
      <c r="BV235" s="5">
        <f t="shared" si="100"/>
        <v>114095</v>
      </c>
      <c r="BW235" s="5">
        <f t="shared" si="101"/>
        <v>117296</v>
      </c>
      <c r="BX235" s="5">
        <f t="shared" si="102"/>
        <v>121432.00021999999</v>
      </c>
      <c r="BY235" s="5">
        <f t="shared" si="103"/>
        <v>127046.64109</v>
      </c>
      <c r="BZ235" s="5">
        <f t="shared" si="104"/>
        <v>73896.726539999989</v>
      </c>
      <c r="CA235" s="5">
        <f t="shared" si="105"/>
        <v>69988.050957216226</v>
      </c>
      <c r="CB235" s="5">
        <f t="shared" si="106"/>
        <v>73144.287945549455</v>
      </c>
      <c r="CC235" s="5">
        <f t="shared" si="107"/>
        <v>75968.417175861454</v>
      </c>
      <c r="CD235" s="5">
        <f t="shared" si="108"/>
        <v>78486.776242272434</v>
      </c>
      <c r="CE235" s="5">
        <f t="shared" si="116"/>
        <v>81218.706776318533</v>
      </c>
      <c r="CH235" s="41">
        <f>BV235/'1. Väestöennuste'!I235*1000</f>
        <v>4143.484892504358</v>
      </c>
      <c r="CI235" s="41">
        <f>BW235/'1. Väestöennuste'!J235*1000</f>
        <v>4260.9706480674222</v>
      </c>
      <c r="CJ235" s="41">
        <f>BX235/'1. Väestöennuste'!K235*1000</f>
        <v>4418.2797343909178</v>
      </c>
      <c r="CK235" s="41">
        <f>BY235/'1. Väestöennuste'!L235*1000</f>
        <v>4652.700545301399</v>
      </c>
      <c r="CL235" s="41">
        <f>BZ235/'1. Väestöennuste'!M235*1000</f>
        <v>2715.8927759197322</v>
      </c>
      <c r="CM235" s="41">
        <f>CA235/'1. Väestöennuste'!N235*1000</f>
        <v>2605.6608695910732</v>
      </c>
      <c r="CN235" s="41">
        <f>CB235/'1. Väestöennuste'!O235*1000</f>
        <v>2738.5633286738348</v>
      </c>
      <c r="CO235" s="41">
        <f>CC235/'1. Väestöennuste'!P235*1000</f>
        <v>2859.8259740950707</v>
      </c>
      <c r="CP235" s="41">
        <f>CD235/'1. Väestöennuste'!Q235*1000</f>
        <v>2969.9465032834764</v>
      </c>
      <c r="CQ235" s="41">
        <f>CE235/'1. Väestöennuste'!R235*1000</f>
        <v>3088.5160579654917</v>
      </c>
      <c r="CR235" s="41"/>
      <c r="CU235" s="159">
        <f t="shared" si="109"/>
        <v>117.48575556306423</v>
      </c>
      <c r="CV235" s="159">
        <f t="shared" si="110"/>
        <v>157.30908632349565</v>
      </c>
      <c r="CW235" s="159">
        <f t="shared" si="111"/>
        <v>234.42081091048112</v>
      </c>
      <c r="CX235" s="159">
        <f t="shared" si="112"/>
        <v>-1936.8077693816667</v>
      </c>
      <c r="CY235" s="159">
        <f t="shared" si="113"/>
        <v>-110.23190632865908</v>
      </c>
      <c r="CZ235" s="159">
        <f t="shared" si="114"/>
        <v>132.90245908276165</v>
      </c>
      <c r="DA235" s="159">
        <f t="shared" si="117"/>
        <v>121.2626454212359</v>
      </c>
      <c r="DB235" s="159">
        <f t="shared" si="118"/>
        <v>110.12052918840573</v>
      </c>
      <c r="DC235" s="159">
        <f t="shared" si="118"/>
        <v>118.56955468201522</v>
      </c>
    </row>
    <row r="236" spans="1:107" x14ac:dyDescent="0.2">
      <c r="A236" s="99">
        <v>13</v>
      </c>
      <c r="B236" s="30">
        <v>729</v>
      </c>
      <c r="C236" s="47" t="s">
        <v>550</v>
      </c>
      <c r="D236" s="64">
        <v>26869.840940000002</v>
      </c>
      <c r="E236" s="64">
        <v>2092.1553100000001</v>
      </c>
      <c r="F236" s="64">
        <v>2141.40598</v>
      </c>
      <c r="G236" s="205">
        <v>31103</v>
      </c>
      <c r="H236" s="205"/>
      <c r="I236" s="64">
        <v>25876</v>
      </c>
      <c r="J236" s="64">
        <v>1943</v>
      </c>
      <c r="K236" s="64">
        <v>2131</v>
      </c>
      <c r="L236" s="205">
        <v>29950</v>
      </c>
      <c r="M236" s="205"/>
      <c r="N236" s="64">
        <v>26050</v>
      </c>
      <c r="O236" s="64">
        <v>2090</v>
      </c>
      <c r="P236" s="64">
        <v>2329</v>
      </c>
      <c r="Q236" s="205">
        <v>30469</v>
      </c>
      <c r="R236" s="205"/>
      <c r="S236" s="64">
        <v>24661</v>
      </c>
      <c r="T236" s="64">
        <v>2318</v>
      </c>
      <c r="U236" s="64">
        <v>2164</v>
      </c>
      <c r="V236" s="205">
        <v>29143</v>
      </c>
      <c r="W236" s="205"/>
      <c r="X236" s="64">
        <v>25133</v>
      </c>
      <c r="Y236" s="64">
        <v>2339</v>
      </c>
      <c r="Z236" s="64">
        <v>2256</v>
      </c>
      <c r="AA236" s="205">
        <f t="shared" si="115"/>
        <v>29728</v>
      </c>
      <c r="AB236" s="205"/>
      <c r="AC236" s="64">
        <v>25425</v>
      </c>
      <c r="AD236" s="64">
        <v>2197</v>
      </c>
      <c r="AE236" s="64">
        <v>2459</v>
      </c>
      <c r="AF236" s="205">
        <f t="shared" si="92"/>
        <v>30081</v>
      </c>
      <c r="AG236" s="205"/>
      <c r="AH236" s="278">
        <v>26785.754559999998</v>
      </c>
      <c r="AI236" s="64">
        <v>2575.1998699999999</v>
      </c>
      <c r="AJ236" s="64">
        <v>3402.54054</v>
      </c>
      <c r="AK236" s="205">
        <f t="shared" si="93"/>
        <v>32763.49497</v>
      </c>
      <c r="AL236" s="205"/>
      <c r="AM236" s="64">
        <v>27566.858609999999</v>
      </c>
      <c r="AN236" s="64">
        <v>2613.3192200000003</v>
      </c>
      <c r="AO236" s="64">
        <v>3430.6115</v>
      </c>
      <c r="AP236" s="205">
        <f t="shared" si="94"/>
        <v>33610.78933</v>
      </c>
      <c r="AQ236" s="205"/>
      <c r="AR236" s="64">
        <v>14012.284589999999</v>
      </c>
      <c r="AS236" s="64">
        <v>3146.6698999999999</v>
      </c>
      <c r="AT236" s="64">
        <v>2128.3275199999998</v>
      </c>
      <c r="AU236" s="205">
        <f t="shared" si="95"/>
        <v>19287.282009999999</v>
      </c>
      <c r="AV236" s="205"/>
      <c r="AW236" s="64">
        <v>13498.59514877973</v>
      </c>
      <c r="AX236" s="64">
        <v>3350.1579251789017</v>
      </c>
      <c r="AY236" s="64">
        <v>1785.2548364957847</v>
      </c>
      <c r="AZ236" s="205">
        <f t="shared" si="96"/>
        <v>18634.007910454417</v>
      </c>
      <c r="BA236" s="205"/>
      <c r="BB236" s="64">
        <v>14101.229372743745</v>
      </c>
      <c r="BC236" s="64">
        <v>3399.7184432019844</v>
      </c>
      <c r="BD236" s="64">
        <v>1806.6778945337342</v>
      </c>
      <c r="BE236" s="205">
        <f t="shared" si="91"/>
        <v>19307.625710479464</v>
      </c>
      <c r="BF236" s="205"/>
      <c r="BG236" s="64">
        <v>14521.94036742123</v>
      </c>
      <c r="BH236" s="64">
        <v>3476.5106901594581</v>
      </c>
      <c r="BI236" s="64">
        <v>1894.4104179272413</v>
      </c>
      <c r="BJ236" s="205">
        <f t="shared" si="97"/>
        <v>19892.861475507929</v>
      </c>
      <c r="BK236" s="205"/>
      <c r="BL236" s="64">
        <v>14860.849542974842</v>
      </c>
      <c r="BM236" s="64">
        <v>3562.0790563019737</v>
      </c>
      <c r="BN236" s="64">
        <v>2007.6465818421168</v>
      </c>
      <c r="BO236" s="205">
        <f t="shared" si="98"/>
        <v>20430.575181118933</v>
      </c>
      <c r="BQ236" s="64">
        <v>15273.591989147726</v>
      </c>
      <c r="BR236" s="64">
        <v>3647.9047321726021</v>
      </c>
      <c r="BS236" s="64">
        <v>2078.0366296810935</v>
      </c>
      <c r="BT236" s="205">
        <f t="shared" si="99"/>
        <v>20999.533351001421</v>
      </c>
      <c r="BU236" s="205"/>
      <c r="BV236" s="5">
        <f t="shared" si="100"/>
        <v>29728</v>
      </c>
      <c r="BW236" s="5">
        <f t="shared" si="101"/>
        <v>30081</v>
      </c>
      <c r="BX236" s="5">
        <f t="shared" si="102"/>
        <v>32763.49497</v>
      </c>
      <c r="BY236" s="5">
        <f t="shared" si="103"/>
        <v>33610.78933</v>
      </c>
      <c r="BZ236" s="5">
        <f t="shared" si="104"/>
        <v>19287.282009999999</v>
      </c>
      <c r="CA236" s="5">
        <f t="shared" si="105"/>
        <v>18634.007910454417</v>
      </c>
      <c r="CB236" s="5">
        <f t="shared" si="106"/>
        <v>19307.625710479464</v>
      </c>
      <c r="CC236" s="5">
        <f t="shared" si="107"/>
        <v>19892.861475507929</v>
      </c>
      <c r="CD236" s="5">
        <f t="shared" si="108"/>
        <v>20430.575181118933</v>
      </c>
      <c r="CE236" s="5">
        <f t="shared" si="116"/>
        <v>20999.533351001421</v>
      </c>
      <c r="CH236" s="41">
        <f>BV236/'1. Väestöennuste'!I236*1000</f>
        <v>3193.4686862176391</v>
      </c>
      <c r="CI236" s="41">
        <f>BW236/'1. Väestöennuste'!J236*1000</f>
        <v>3266.8331885317116</v>
      </c>
      <c r="CJ236" s="41">
        <f>BX236/'1. Väestöennuste'!K236*1000</f>
        <v>3593.6706120434355</v>
      </c>
      <c r="CK236" s="41">
        <f>BY236/'1. Väestöennuste'!L236*1000</f>
        <v>3744.9347442896938</v>
      </c>
      <c r="CL236" s="41">
        <f>BZ236/'1. Väestöennuste'!M236*1000</f>
        <v>2180.092913982141</v>
      </c>
      <c r="CM236" s="41">
        <f>CA236/'1. Väestöennuste'!N236*1000</f>
        <v>2137.9082045037194</v>
      </c>
      <c r="CN236" s="41">
        <f>CB236/'1. Väestöennuste'!O236*1000</f>
        <v>2244.5507684816862</v>
      </c>
      <c r="CO236" s="41">
        <f>CC236/'1. Väestöennuste'!P236*1000</f>
        <v>2343.3692396640272</v>
      </c>
      <c r="CP236" s="41">
        <f>CD236/'1. Väestöennuste'!Q236*1000</f>
        <v>2437.4344048101807</v>
      </c>
      <c r="CQ236" s="41">
        <f>CE236/'1. Väestöennuste'!R236*1000</f>
        <v>2536.788276274634</v>
      </c>
      <c r="CR236" s="41"/>
      <c r="CU236" s="159">
        <f t="shared" si="109"/>
        <v>73.364502314072524</v>
      </c>
      <c r="CV236" s="159">
        <f t="shared" si="110"/>
        <v>326.83742351172396</v>
      </c>
      <c r="CW236" s="159">
        <f t="shared" si="111"/>
        <v>151.26413224625821</v>
      </c>
      <c r="CX236" s="159">
        <f t="shared" si="112"/>
        <v>-1564.8418303075528</v>
      </c>
      <c r="CY236" s="159">
        <f t="shared" si="113"/>
        <v>-42.18470947842161</v>
      </c>
      <c r="CZ236" s="159">
        <f t="shared" si="114"/>
        <v>106.6425639779668</v>
      </c>
      <c r="DA236" s="159">
        <f t="shared" si="117"/>
        <v>98.818471182341</v>
      </c>
      <c r="DB236" s="159">
        <f t="shared" si="118"/>
        <v>94.065165146153504</v>
      </c>
      <c r="DC236" s="159">
        <f t="shared" si="118"/>
        <v>99.353871464453277</v>
      </c>
    </row>
    <row r="237" spans="1:107" x14ac:dyDescent="0.2">
      <c r="A237" s="99">
        <v>19</v>
      </c>
      <c r="B237" s="30">
        <v>732</v>
      </c>
      <c r="C237" s="47" t="s">
        <v>551</v>
      </c>
      <c r="D237" s="64">
        <v>9795.3318299999992</v>
      </c>
      <c r="E237" s="64">
        <v>1234.18173</v>
      </c>
      <c r="F237" s="64">
        <v>1177.22174</v>
      </c>
      <c r="G237" s="205">
        <v>12208</v>
      </c>
      <c r="H237" s="205"/>
      <c r="I237" s="64">
        <v>9210</v>
      </c>
      <c r="J237" s="64">
        <v>1255</v>
      </c>
      <c r="K237" s="64">
        <v>1122</v>
      </c>
      <c r="L237" s="205">
        <v>11587</v>
      </c>
      <c r="M237" s="205"/>
      <c r="N237" s="64">
        <v>9000</v>
      </c>
      <c r="O237" s="64">
        <v>1289</v>
      </c>
      <c r="P237" s="64">
        <v>1301</v>
      </c>
      <c r="Q237" s="205">
        <v>11590</v>
      </c>
      <c r="R237" s="205"/>
      <c r="S237" s="64">
        <v>8616</v>
      </c>
      <c r="T237" s="64">
        <v>1300</v>
      </c>
      <c r="U237" s="64">
        <v>1095</v>
      </c>
      <c r="V237" s="205">
        <v>11011</v>
      </c>
      <c r="W237" s="205"/>
      <c r="X237" s="64">
        <v>8745</v>
      </c>
      <c r="Y237" s="64">
        <v>1270</v>
      </c>
      <c r="Z237" s="64">
        <v>1074</v>
      </c>
      <c r="AA237" s="205">
        <f t="shared" si="115"/>
        <v>11089</v>
      </c>
      <c r="AB237" s="205"/>
      <c r="AC237" s="64">
        <v>9068</v>
      </c>
      <c r="AD237" s="64">
        <v>1202</v>
      </c>
      <c r="AE237" s="64">
        <v>1200</v>
      </c>
      <c r="AF237" s="205">
        <f t="shared" si="92"/>
        <v>11470</v>
      </c>
      <c r="AG237" s="205"/>
      <c r="AH237" s="278">
        <v>9284.2800000000007</v>
      </c>
      <c r="AI237" s="64">
        <v>1320.1717200000001</v>
      </c>
      <c r="AJ237" s="64">
        <v>1797.7298799999999</v>
      </c>
      <c r="AK237" s="205">
        <f t="shared" si="93"/>
        <v>12402.1816</v>
      </c>
      <c r="AL237" s="205"/>
      <c r="AM237" s="64">
        <v>9794.8813200000004</v>
      </c>
      <c r="AN237" s="64">
        <v>1382.4514999999999</v>
      </c>
      <c r="AO237" s="64">
        <v>1795.5509</v>
      </c>
      <c r="AP237" s="205">
        <f t="shared" si="94"/>
        <v>12972.88372</v>
      </c>
      <c r="AQ237" s="205"/>
      <c r="AR237" s="64">
        <v>4543.8080300000001</v>
      </c>
      <c r="AS237" s="64">
        <v>1304.4806599999999</v>
      </c>
      <c r="AT237" s="64">
        <v>1016.5881400000001</v>
      </c>
      <c r="AU237" s="205">
        <f t="shared" si="95"/>
        <v>6864.8768300000002</v>
      </c>
      <c r="AV237" s="205"/>
      <c r="AW237" s="64">
        <v>4830.3549240356615</v>
      </c>
      <c r="AX237" s="64">
        <v>1486.8125924920264</v>
      </c>
      <c r="AY237" s="64">
        <v>816.82717578857887</v>
      </c>
      <c r="AZ237" s="205">
        <f t="shared" si="96"/>
        <v>7133.994692316267</v>
      </c>
      <c r="BA237" s="205"/>
      <c r="BB237" s="64">
        <v>4970.0732439331796</v>
      </c>
      <c r="BC237" s="64">
        <v>1518.4201208375416</v>
      </c>
      <c r="BD237" s="64">
        <v>826.62910189804177</v>
      </c>
      <c r="BE237" s="205">
        <f t="shared" si="91"/>
        <v>7315.1224666687631</v>
      </c>
      <c r="BF237" s="205"/>
      <c r="BG237" s="64">
        <v>5080.5227065674972</v>
      </c>
      <c r="BH237" s="64">
        <v>1562.8781758813386</v>
      </c>
      <c r="BI237" s="64">
        <v>866.77032310822347</v>
      </c>
      <c r="BJ237" s="205">
        <f t="shared" si="97"/>
        <v>7510.1712055570588</v>
      </c>
      <c r="BK237" s="205"/>
      <c r="BL237" s="64">
        <v>5174.6674835435424</v>
      </c>
      <c r="BM237" s="64">
        <v>1612.1054697275204</v>
      </c>
      <c r="BN237" s="64">
        <v>918.58050397252759</v>
      </c>
      <c r="BO237" s="205">
        <f t="shared" si="98"/>
        <v>7705.3534572435901</v>
      </c>
      <c r="BQ237" s="64">
        <v>5297.3727829097061</v>
      </c>
      <c r="BR237" s="64">
        <v>1662.3357412213154</v>
      </c>
      <c r="BS237" s="64">
        <v>950.78683261790582</v>
      </c>
      <c r="BT237" s="205">
        <f t="shared" si="99"/>
        <v>7910.4953567489274</v>
      </c>
      <c r="BU237" s="205"/>
      <c r="BV237" s="5">
        <f t="shared" si="100"/>
        <v>11089</v>
      </c>
      <c r="BW237" s="5">
        <f t="shared" si="101"/>
        <v>11470</v>
      </c>
      <c r="BX237" s="5">
        <f t="shared" si="102"/>
        <v>12402.1816</v>
      </c>
      <c r="BY237" s="5">
        <f t="shared" si="103"/>
        <v>12972.88372</v>
      </c>
      <c r="BZ237" s="5">
        <f t="shared" si="104"/>
        <v>6864.8768300000002</v>
      </c>
      <c r="CA237" s="5">
        <f t="shared" si="105"/>
        <v>7133.994692316267</v>
      </c>
      <c r="CB237" s="5">
        <f t="shared" si="106"/>
        <v>7315.1224666687631</v>
      </c>
      <c r="CC237" s="5">
        <f t="shared" si="107"/>
        <v>7510.1712055570588</v>
      </c>
      <c r="CD237" s="5">
        <f t="shared" si="108"/>
        <v>7705.3534572435901</v>
      </c>
      <c r="CE237" s="5">
        <f t="shared" si="116"/>
        <v>7910.4953567489274</v>
      </c>
      <c r="CH237" s="41">
        <f>BV237/'1. Väestöennuste'!I237*1000</f>
        <v>3261.4705882352937</v>
      </c>
      <c r="CI237" s="41">
        <f>BW237/'1. Väestöennuste'!J237*1000</f>
        <v>3366.5981802172</v>
      </c>
      <c r="CJ237" s="41">
        <f>BX237/'1. Väestöennuste'!K237*1000</f>
        <v>3630.6152224824359</v>
      </c>
      <c r="CK237" s="41">
        <f>BY237/'1. Väestöennuste'!L237*1000</f>
        <v>3888.754112709832</v>
      </c>
      <c r="CL237" s="41">
        <f>BZ237/'1. Väestöennuste'!M237*1000</f>
        <v>2052.8937888755981</v>
      </c>
      <c r="CM237" s="41">
        <f>CA237/'1. Väestöennuste'!N237*1000</f>
        <v>2247.6353788015967</v>
      </c>
      <c r="CN237" s="41">
        <f>CB237/'1. Väestöennuste'!O237*1000</f>
        <v>2339.342010447318</v>
      </c>
      <c r="CO237" s="41">
        <f>CC237/'1. Väestöennuste'!P237*1000</f>
        <v>2437.5758537997594</v>
      </c>
      <c r="CP237" s="41">
        <f>CD237/'1. Väestöennuste'!Q237*1000</f>
        <v>2536.3243769728738</v>
      </c>
      <c r="CQ237" s="41">
        <f>CE237/'1. Väestöennuste'!R237*1000</f>
        <v>2639.4712568398154</v>
      </c>
      <c r="CR237" s="41"/>
      <c r="CU237" s="159">
        <f t="shared" si="109"/>
        <v>105.12759198190633</v>
      </c>
      <c r="CV237" s="159">
        <f t="shared" si="110"/>
        <v>264.01704226523589</v>
      </c>
      <c r="CW237" s="159">
        <f t="shared" si="111"/>
        <v>258.13889022739613</v>
      </c>
      <c r="CX237" s="159">
        <f t="shared" si="112"/>
        <v>-1835.8603238342339</v>
      </c>
      <c r="CY237" s="159">
        <f t="shared" si="113"/>
        <v>194.7415899259986</v>
      </c>
      <c r="CZ237" s="159">
        <f t="shared" si="114"/>
        <v>91.706631645721245</v>
      </c>
      <c r="DA237" s="159">
        <f t="shared" si="117"/>
        <v>98.233843352441454</v>
      </c>
      <c r="DB237" s="159">
        <f t="shared" si="118"/>
        <v>98.748523173114336</v>
      </c>
      <c r="DC237" s="159">
        <f t="shared" si="118"/>
        <v>103.14687986694162</v>
      </c>
    </row>
    <row r="238" spans="1:107" x14ac:dyDescent="0.2">
      <c r="A238" s="99">
        <v>2</v>
      </c>
      <c r="B238" s="30">
        <v>734</v>
      </c>
      <c r="C238" s="47" t="s">
        <v>552</v>
      </c>
      <c r="D238" s="64">
        <v>169873.23349000001</v>
      </c>
      <c r="E238" s="64">
        <v>13947.41504</v>
      </c>
      <c r="F238" s="64">
        <v>10665.01814</v>
      </c>
      <c r="G238" s="205">
        <v>194486</v>
      </c>
      <c r="H238" s="205"/>
      <c r="I238" s="64">
        <v>172697</v>
      </c>
      <c r="J238" s="64">
        <v>14059</v>
      </c>
      <c r="K238" s="64">
        <v>10142</v>
      </c>
      <c r="L238" s="205">
        <v>196901</v>
      </c>
      <c r="M238" s="205"/>
      <c r="N238" s="64">
        <v>169253</v>
      </c>
      <c r="O238" s="64">
        <v>14550</v>
      </c>
      <c r="P238" s="64">
        <v>12321</v>
      </c>
      <c r="Q238" s="205">
        <v>196124</v>
      </c>
      <c r="R238" s="205"/>
      <c r="S238" s="64">
        <v>155081</v>
      </c>
      <c r="T238" s="64">
        <v>14428</v>
      </c>
      <c r="U238" s="64">
        <v>11571</v>
      </c>
      <c r="V238" s="205">
        <v>181080</v>
      </c>
      <c r="W238" s="205"/>
      <c r="X238" s="64">
        <v>162630</v>
      </c>
      <c r="Y238" s="64">
        <v>14669</v>
      </c>
      <c r="Z238" s="64">
        <v>11124</v>
      </c>
      <c r="AA238" s="205">
        <f t="shared" si="115"/>
        <v>188423</v>
      </c>
      <c r="AB238" s="205"/>
      <c r="AC238" s="64">
        <v>169465</v>
      </c>
      <c r="AD238" s="64">
        <v>13491</v>
      </c>
      <c r="AE238" s="64">
        <v>11710</v>
      </c>
      <c r="AF238" s="205">
        <f t="shared" si="92"/>
        <v>194666</v>
      </c>
      <c r="AG238" s="205"/>
      <c r="AH238" s="278">
        <v>175123.73915000001</v>
      </c>
      <c r="AI238" s="64">
        <v>14706.534820000001</v>
      </c>
      <c r="AJ238" s="64">
        <v>16995.934880000001</v>
      </c>
      <c r="AK238" s="205">
        <f t="shared" si="93"/>
        <v>206826.20885</v>
      </c>
      <c r="AL238" s="205"/>
      <c r="AM238" s="64">
        <v>181340.57834000001</v>
      </c>
      <c r="AN238" s="64">
        <v>15392.411910000001</v>
      </c>
      <c r="AO238" s="64">
        <v>19065.64388</v>
      </c>
      <c r="AP238" s="205">
        <f t="shared" si="94"/>
        <v>215798.63412999999</v>
      </c>
      <c r="AQ238" s="205"/>
      <c r="AR238" s="64">
        <v>89138.097569999998</v>
      </c>
      <c r="AS238" s="64">
        <v>15448.53491</v>
      </c>
      <c r="AT238" s="64">
        <v>13113.366300000002</v>
      </c>
      <c r="AU238" s="205">
        <f t="shared" si="95"/>
        <v>117699.99877999999</v>
      </c>
      <c r="AV238" s="205"/>
      <c r="AW238" s="64">
        <v>84489.879512535757</v>
      </c>
      <c r="AX238" s="64">
        <v>17539.796257673632</v>
      </c>
      <c r="AY238" s="64">
        <v>9882.7409161629403</v>
      </c>
      <c r="AZ238" s="205">
        <f t="shared" si="96"/>
        <v>111912.41668637234</v>
      </c>
      <c r="BA238" s="205"/>
      <c r="BB238" s="64">
        <v>87942.343413142371</v>
      </c>
      <c r="BC238" s="64">
        <v>17905.449621343927</v>
      </c>
      <c r="BD238" s="64">
        <v>10001.333807156894</v>
      </c>
      <c r="BE238" s="205">
        <f t="shared" si="91"/>
        <v>115849.12684164318</v>
      </c>
      <c r="BF238" s="205"/>
      <c r="BG238" s="64">
        <v>91236.012766114087</v>
      </c>
      <c r="BH238" s="64">
        <v>18420.554357821904</v>
      </c>
      <c r="BI238" s="64">
        <v>10486.99993217976</v>
      </c>
      <c r="BJ238" s="205">
        <f t="shared" si="97"/>
        <v>120143.56705611576</v>
      </c>
      <c r="BK238" s="205"/>
      <c r="BL238" s="64">
        <v>94041.176209245124</v>
      </c>
      <c r="BM238" s="64">
        <v>18989.628843994324</v>
      </c>
      <c r="BN238" s="64">
        <v>11113.848070290667</v>
      </c>
      <c r="BO238" s="205">
        <f t="shared" si="98"/>
        <v>124144.65312353012</v>
      </c>
      <c r="BQ238" s="64">
        <v>97285.373108826563</v>
      </c>
      <c r="BR238" s="64">
        <v>19568.185385510555</v>
      </c>
      <c r="BS238" s="64">
        <v>11503.510426413663</v>
      </c>
      <c r="BT238" s="205">
        <f t="shared" si="99"/>
        <v>128357.06892075078</v>
      </c>
      <c r="BU238" s="205"/>
      <c r="BV238" s="5">
        <f t="shared" si="100"/>
        <v>188423</v>
      </c>
      <c r="BW238" s="5">
        <f t="shared" si="101"/>
        <v>194666</v>
      </c>
      <c r="BX238" s="5">
        <f t="shared" si="102"/>
        <v>206826.20885</v>
      </c>
      <c r="BY238" s="5">
        <f t="shared" si="103"/>
        <v>215798.63412999999</v>
      </c>
      <c r="BZ238" s="5">
        <f t="shared" si="104"/>
        <v>117699.99877999999</v>
      </c>
      <c r="CA238" s="5">
        <f t="shared" si="105"/>
        <v>111912.41668637234</v>
      </c>
      <c r="CB238" s="5">
        <f t="shared" si="106"/>
        <v>115849.12684164318</v>
      </c>
      <c r="CC238" s="5">
        <f t="shared" si="107"/>
        <v>120143.56705611576</v>
      </c>
      <c r="CD238" s="5">
        <f t="shared" si="108"/>
        <v>124144.65312353012</v>
      </c>
      <c r="CE238" s="5">
        <f t="shared" si="116"/>
        <v>128357.06892075078</v>
      </c>
      <c r="CH238" s="41">
        <f>BV238/'1. Väestöennuste'!I238*1000</f>
        <v>3635.1937954584914</v>
      </c>
      <c r="CI238" s="41">
        <f>BW238/'1. Väestöennuste'!J238*1000</f>
        <v>3775.3772157790618</v>
      </c>
      <c r="CJ238" s="41">
        <f>BX238/'1. Väestöennuste'!K238*1000</f>
        <v>4023.8562033073927</v>
      </c>
      <c r="CK238" s="41">
        <f>BY238/'1. Väestöennuste'!L238*1000</f>
        <v>4236.9119064260885</v>
      </c>
      <c r="CL238" s="41">
        <f>BZ238/'1. Väestöennuste'!M238*1000</f>
        <v>2303.3267863013693</v>
      </c>
      <c r="CM238" s="41">
        <f>CA238/'1. Väestöennuste'!N238*1000</f>
        <v>2245.3886696970831</v>
      </c>
      <c r="CN238" s="41">
        <f>CB238/'1. Väestöennuste'!O238*1000</f>
        <v>2343.0371094903971</v>
      </c>
      <c r="CO238" s="41">
        <f>CC238/'1. Väestöennuste'!P238*1000</f>
        <v>2449.1604740824741</v>
      </c>
      <c r="CP238" s="41">
        <f>CD238/'1. Väestöennuste'!Q238*1000</f>
        <v>2550.16645351431</v>
      </c>
      <c r="CQ238" s="41">
        <f>CE238/'1. Väestöennuste'!R238*1000</f>
        <v>2656.4512701163267</v>
      </c>
      <c r="CR238" s="41"/>
      <c r="CU238" s="159">
        <f t="shared" si="109"/>
        <v>140.18342032057035</v>
      </c>
      <c r="CV238" s="159">
        <f t="shared" si="110"/>
        <v>248.47898752833089</v>
      </c>
      <c r="CW238" s="159">
        <f t="shared" si="111"/>
        <v>213.05570311869587</v>
      </c>
      <c r="CX238" s="159">
        <f t="shared" si="112"/>
        <v>-1933.5851201247192</v>
      </c>
      <c r="CY238" s="159">
        <f t="shared" si="113"/>
        <v>-57.938116604286279</v>
      </c>
      <c r="CZ238" s="159">
        <f t="shared" si="114"/>
        <v>97.648439793314083</v>
      </c>
      <c r="DA238" s="159">
        <f t="shared" si="117"/>
        <v>106.123364592077</v>
      </c>
      <c r="DB238" s="159">
        <f t="shared" si="118"/>
        <v>101.00597943183584</v>
      </c>
      <c r="DC238" s="159">
        <f t="shared" si="118"/>
        <v>106.28481660201669</v>
      </c>
    </row>
    <row r="239" spans="1:107" x14ac:dyDescent="0.2">
      <c r="A239" s="99">
        <v>2</v>
      </c>
      <c r="B239" s="30">
        <v>738</v>
      </c>
      <c r="C239" s="47" t="s">
        <v>553</v>
      </c>
      <c r="D239" s="64">
        <v>9199.9440699999996</v>
      </c>
      <c r="E239" s="64">
        <v>953.42518999999993</v>
      </c>
      <c r="F239" s="64">
        <v>380.87419</v>
      </c>
      <c r="G239" s="205">
        <v>10534</v>
      </c>
      <c r="H239" s="205"/>
      <c r="I239" s="64">
        <v>9824</v>
      </c>
      <c r="J239" s="64">
        <v>1098</v>
      </c>
      <c r="K239" s="64">
        <v>351</v>
      </c>
      <c r="L239" s="205">
        <v>11273</v>
      </c>
      <c r="M239" s="205"/>
      <c r="N239" s="64">
        <v>10060</v>
      </c>
      <c r="O239" s="64">
        <v>1089</v>
      </c>
      <c r="P239" s="64">
        <v>451</v>
      </c>
      <c r="Q239" s="205">
        <v>11600</v>
      </c>
      <c r="R239" s="205"/>
      <c r="S239" s="64">
        <v>9819</v>
      </c>
      <c r="T239" s="64">
        <v>1174</v>
      </c>
      <c r="U239" s="64">
        <v>468</v>
      </c>
      <c r="V239" s="205">
        <v>11461</v>
      </c>
      <c r="W239" s="205"/>
      <c r="X239" s="64">
        <v>9747</v>
      </c>
      <c r="Y239" s="64">
        <v>1159</v>
      </c>
      <c r="Z239" s="64">
        <v>464</v>
      </c>
      <c r="AA239" s="205">
        <f t="shared" si="115"/>
        <v>11370</v>
      </c>
      <c r="AB239" s="205"/>
      <c r="AC239" s="64">
        <v>10035</v>
      </c>
      <c r="AD239" s="64">
        <v>1083</v>
      </c>
      <c r="AE239" s="64">
        <v>513</v>
      </c>
      <c r="AF239" s="205">
        <f t="shared" si="92"/>
        <v>11631</v>
      </c>
      <c r="AG239" s="205"/>
      <c r="AH239" s="278">
        <v>11006.828880000001</v>
      </c>
      <c r="AI239" s="64">
        <v>1189.5179800000001</v>
      </c>
      <c r="AJ239" s="64">
        <v>758.51541000000009</v>
      </c>
      <c r="AK239" s="205">
        <f t="shared" si="93"/>
        <v>12954.862270000001</v>
      </c>
      <c r="AL239" s="205"/>
      <c r="AM239" s="64">
        <v>10797.53073</v>
      </c>
      <c r="AN239" s="64">
        <v>1270.65157</v>
      </c>
      <c r="AO239" s="64">
        <v>821.55124000000001</v>
      </c>
      <c r="AP239" s="205">
        <f t="shared" si="94"/>
        <v>12889.733540000001</v>
      </c>
      <c r="AQ239" s="205"/>
      <c r="AR239" s="64">
        <v>5489.2181700000001</v>
      </c>
      <c r="AS239" s="64">
        <v>1314.6168400000001</v>
      </c>
      <c r="AT239" s="64">
        <v>556.399</v>
      </c>
      <c r="AU239" s="205">
        <f t="shared" si="95"/>
        <v>7360.234010000001</v>
      </c>
      <c r="AV239" s="205"/>
      <c r="AW239" s="64">
        <v>5437.5485666054356</v>
      </c>
      <c r="AX239" s="64">
        <v>1418.2291202315564</v>
      </c>
      <c r="AY239" s="64">
        <v>420.88157827114668</v>
      </c>
      <c r="AZ239" s="205">
        <f t="shared" si="96"/>
        <v>7276.6592651081382</v>
      </c>
      <c r="BA239" s="205"/>
      <c r="BB239" s="64">
        <v>5677.3371833716647</v>
      </c>
      <c r="BC239" s="64">
        <v>1448.5086656909493</v>
      </c>
      <c r="BD239" s="64">
        <v>425.93215721040042</v>
      </c>
      <c r="BE239" s="205">
        <f t="shared" si="91"/>
        <v>7551.7780062730144</v>
      </c>
      <c r="BF239" s="205"/>
      <c r="BG239" s="64">
        <v>5945.0337300365236</v>
      </c>
      <c r="BH239" s="64">
        <v>1490.7406831836531</v>
      </c>
      <c r="BI239" s="64">
        <v>446.61548048543966</v>
      </c>
      <c r="BJ239" s="205">
        <f t="shared" si="97"/>
        <v>7882.3898937056165</v>
      </c>
      <c r="BK239" s="205"/>
      <c r="BL239" s="64">
        <v>6172.8537922554251</v>
      </c>
      <c r="BM239" s="64">
        <v>1537.1812015111097</v>
      </c>
      <c r="BN239" s="64">
        <v>473.31139773578099</v>
      </c>
      <c r="BO239" s="205">
        <f t="shared" si="98"/>
        <v>8183.3463915023158</v>
      </c>
      <c r="BQ239" s="64">
        <v>6399.0077746346387</v>
      </c>
      <c r="BR239" s="64">
        <v>1584.1992020185401</v>
      </c>
      <c r="BS239" s="64">
        <v>489.90615710761477</v>
      </c>
      <c r="BT239" s="205">
        <f t="shared" si="99"/>
        <v>8473.1131337607931</v>
      </c>
      <c r="BU239" s="205"/>
      <c r="BV239" s="5">
        <f t="shared" si="100"/>
        <v>11370</v>
      </c>
      <c r="BW239" s="5">
        <f t="shared" si="101"/>
        <v>11631</v>
      </c>
      <c r="BX239" s="5">
        <f t="shared" si="102"/>
        <v>12954.862270000001</v>
      </c>
      <c r="BY239" s="5">
        <f t="shared" si="103"/>
        <v>12889.733540000001</v>
      </c>
      <c r="BZ239" s="5">
        <f t="shared" si="104"/>
        <v>7360.234010000001</v>
      </c>
      <c r="CA239" s="5">
        <f t="shared" si="105"/>
        <v>7276.6592651081382</v>
      </c>
      <c r="CB239" s="5">
        <f t="shared" si="106"/>
        <v>7551.7780062730144</v>
      </c>
      <c r="CC239" s="5">
        <f t="shared" si="107"/>
        <v>7882.3898937056165</v>
      </c>
      <c r="CD239" s="5">
        <f t="shared" si="108"/>
        <v>8183.3463915023158</v>
      </c>
      <c r="CE239" s="5">
        <f t="shared" si="116"/>
        <v>8473.1131337607931</v>
      </c>
      <c r="CH239" s="41">
        <f>BV239/'1. Väestöennuste'!I239*1000</f>
        <v>3860.7809847198641</v>
      </c>
      <c r="CI239" s="41">
        <f>BW239/'1. Väestöennuste'!J239*1000</f>
        <v>3942.7118644067796</v>
      </c>
      <c r="CJ239" s="41">
        <f>BX239/'1. Väestöennuste'!K239*1000</f>
        <v>4378.1217539709369</v>
      </c>
      <c r="CK239" s="41">
        <f>BY239/'1. Väestöennuste'!L239*1000</f>
        <v>4418.8322043195067</v>
      </c>
      <c r="CL239" s="41">
        <f>BZ239/'1. Väestöennuste'!M239*1000</f>
        <v>2474.8601244115675</v>
      </c>
      <c r="CM239" s="41">
        <f>CA239/'1. Väestöennuste'!N239*1000</f>
        <v>2509.1928500372892</v>
      </c>
      <c r="CN239" s="41">
        <f>CB239/'1. Väestöennuste'!O239*1000</f>
        <v>2609.4602647798943</v>
      </c>
      <c r="CO239" s="41">
        <f>CC239/'1. Väestöennuste'!P239*1000</f>
        <v>2727.4705514552306</v>
      </c>
      <c r="CP239" s="41">
        <f>CD239/'1. Väestöennuste'!Q239*1000</f>
        <v>2840.4534507123622</v>
      </c>
      <c r="CQ239" s="41">
        <f>CE239/'1. Väestöennuste'!R239*1000</f>
        <v>2946.1450395552133</v>
      </c>
      <c r="CR239" s="41"/>
      <c r="CU239" s="159">
        <f t="shared" si="109"/>
        <v>81.930879686915432</v>
      </c>
      <c r="CV239" s="159">
        <f t="shared" si="110"/>
        <v>435.40988956415731</v>
      </c>
      <c r="CW239" s="159">
        <f t="shared" si="111"/>
        <v>40.710450348569793</v>
      </c>
      <c r="CX239" s="159">
        <f t="shared" si="112"/>
        <v>-1943.9720799079391</v>
      </c>
      <c r="CY239" s="159">
        <f t="shared" si="113"/>
        <v>34.33272562572165</v>
      </c>
      <c r="CZ239" s="159">
        <f t="shared" si="114"/>
        <v>100.26741474260507</v>
      </c>
      <c r="DA239" s="159">
        <f t="shared" si="117"/>
        <v>118.01028667533637</v>
      </c>
      <c r="DB239" s="159">
        <f t="shared" si="118"/>
        <v>112.98289925713152</v>
      </c>
      <c r="DC239" s="159">
        <f t="shared" si="118"/>
        <v>105.69158884285116</v>
      </c>
    </row>
    <row r="240" spans="1:107" x14ac:dyDescent="0.2">
      <c r="A240" s="99">
        <v>9</v>
      </c>
      <c r="B240" s="30">
        <v>739</v>
      </c>
      <c r="C240" s="47" t="s">
        <v>554</v>
      </c>
      <c r="D240" s="64">
        <v>10112.502269999999</v>
      </c>
      <c r="E240" s="64">
        <v>1300.73046</v>
      </c>
      <c r="F240" s="64">
        <v>1081.81277</v>
      </c>
      <c r="G240" s="205">
        <v>12495</v>
      </c>
      <c r="H240" s="205"/>
      <c r="I240" s="64">
        <v>9685</v>
      </c>
      <c r="J240" s="64">
        <v>1317</v>
      </c>
      <c r="K240" s="64">
        <v>1151</v>
      </c>
      <c r="L240" s="205">
        <v>12153</v>
      </c>
      <c r="M240" s="205"/>
      <c r="N240" s="64">
        <v>9602</v>
      </c>
      <c r="O240" s="64">
        <v>1348</v>
      </c>
      <c r="P240" s="64">
        <v>1364</v>
      </c>
      <c r="Q240" s="205">
        <v>12314</v>
      </c>
      <c r="R240" s="205"/>
      <c r="S240" s="64">
        <v>9612</v>
      </c>
      <c r="T240" s="64">
        <v>1338</v>
      </c>
      <c r="U240" s="64">
        <v>1180</v>
      </c>
      <c r="V240" s="205">
        <v>12130</v>
      </c>
      <c r="W240" s="205"/>
      <c r="X240" s="64">
        <v>9638</v>
      </c>
      <c r="Y240" s="64">
        <v>1382</v>
      </c>
      <c r="Z240" s="64">
        <v>1165</v>
      </c>
      <c r="AA240" s="205">
        <f t="shared" si="115"/>
        <v>12185</v>
      </c>
      <c r="AB240" s="205"/>
      <c r="AC240" s="64">
        <v>10252</v>
      </c>
      <c r="AD240" s="64">
        <v>1238</v>
      </c>
      <c r="AE240" s="64">
        <v>1253</v>
      </c>
      <c r="AF240" s="205">
        <f t="shared" si="92"/>
        <v>12743</v>
      </c>
      <c r="AG240" s="205"/>
      <c r="AH240" s="278">
        <v>10649.9498</v>
      </c>
      <c r="AI240" s="64">
        <v>1364.5241100000001</v>
      </c>
      <c r="AJ240" s="64">
        <v>1738.73296</v>
      </c>
      <c r="AK240" s="205">
        <f t="shared" si="93"/>
        <v>13753.20687</v>
      </c>
      <c r="AL240" s="205"/>
      <c r="AM240" s="64">
        <v>10155.950339999999</v>
      </c>
      <c r="AN240" s="64">
        <v>1467.1404499999999</v>
      </c>
      <c r="AO240" s="64">
        <v>1520.0394899999999</v>
      </c>
      <c r="AP240" s="205">
        <f t="shared" si="94"/>
        <v>13143.130279999998</v>
      </c>
      <c r="AQ240" s="205"/>
      <c r="AR240" s="64">
        <v>5217.8079200000002</v>
      </c>
      <c r="AS240" s="64">
        <v>1485.07843</v>
      </c>
      <c r="AT240" s="64">
        <v>845.16876000000002</v>
      </c>
      <c r="AU240" s="205">
        <f t="shared" si="95"/>
        <v>7548.0551100000012</v>
      </c>
      <c r="AV240" s="205"/>
      <c r="AW240" s="64">
        <v>4898.7264204011944</v>
      </c>
      <c r="AX240" s="64">
        <v>1705.9616028837174</v>
      </c>
      <c r="AY240" s="64">
        <v>837.1950990729639</v>
      </c>
      <c r="AZ240" s="205">
        <f t="shared" si="96"/>
        <v>7441.8831223578754</v>
      </c>
      <c r="BA240" s="205"/>
      <c r="BB240" s="64">
        <v>5057.06319076821</v>
      </c>
      <c r="BC240" s="64">
        <v>1724.844723166457</v>
      </c>
      <c r="BD240" s="64">
        <v>847.24144026183944</v>
      </c>
      <c r="BE240" s="205">
        <f t="shared" si="91"/>
        <v>7629.1493541965065</v>
      </c>
      <c r="BF240" s="205"/>
      <c r="BG240" s="64">
        <v>5151.8755523409936</v>
      </c>
      <c r="BH240" s="64">
        <v>1757.205853043255</v>
      </c>
      <c r="BI240" s="64">
        <v>888.38359941628232</v>
      </c>
      <c r="BJ240" s="205">
        <f t="shared" si="97"/>
        <v>7797.4650048005315</v>
      </c>
      <c r="BK240" s="205"/>
      <c r="BL240" s="64">
        <v>5230.529748200549</v>
      </c>
      <c r="BM240" s="64">
        <v>1793.5907487780078</v>
      </c>
      <c r="BN240" s="64">
        <v>941.48568855748169</v>
      </c>
      <c r="BO240" s="205">
        <f t="shared" si="98"/>
        <v>7965.6061855360385</v>
      </c>
      <c r="BQ240" s="64">
        <v>5330.3452899030453</v>
      </c>
      <c r="BR240" s="64">
        <v>1829.6688991947997</v>
      </c>
      <c r="BS240" s="64">
        <v>974.49509532092998</v>
      </c>
      <c r="BT240" s="205">
        <f t="shared" si="99"/>
        <v>8134.5092844187748</v>
      </c>
      <c r="BU240" s="205"/>
      <c r="BV240" s="5">
        <f t="shared" si="100"/>
        <v>12185</v>
      </c>
      <c r="BW240" s="5">
        <f t="shared" si="101"/>
        <v>12743</v>
      </c>
      <c r="BX240" s="5">
        <f t="shared" si="102"/>
        <v>13753.20687</v>
      </c>
      <c r="BY240" s="5">
        <f t="shared" si="103"/>
        <v>13143.130279999998</v>
      </c>
      <c r="BZ240" s="5">
        <f t="shared" si="104"/>
        <v>7548.0551100000012</v>
      </c>
      <c r="CA240" s="5">
        <f t="shared" si="105"/>
        <v>7441.8831223578754</v>
      </c>
      <c r="CB240" s="5">
        <f t="shared" si="106"/>
        <v>7629.1493541965065</v>
      </c>
      <c r="CC240" s="5">
        <f t="shared" si="107"/>
        <v>7797.4650048005315</v>
      </c>
      <c r="CD240" s="5">
        <f t="shared" si="108"/>
        <v>7965.6061855360385</v>
      </c>
      <c r="CE240" s="5">
        <f t="shared" si="116"/>
        <v>8134.5092844187748</v>
      </c>
      <c r="CH240" s="41">
        <f>BV240/'1. Väestöennuste'!I240*1000</f>
        <v>3601.8326928761453</v>
      </c>
      <c r="CI240" s="41">
        <f>BW240/'1. Väestöennuste'!J240*1000</f>
        <v>3831.3289236319906</v>
      </c>
      <c r="CJ240" s="41">
        <f>BX240/'1. Väestöennuste'!K240*1000</f>
        <v>4217.4814075436989</v>
      </c>
      <c r="CK240" s="41">
        <f>BY240/'1. Väestöennuste'!L240*1000</f>
        <v>4036.587923832923</v>
      </c>
      <c r="CL240" s="41">
        <f>BZ240/'1. Väestöennuste'!M240*1000</f>
        <v>2347.0320615671649</v>
      </c>
      <c r="CM240" s="41">
        <f>CA240/'1. Väestöennuste'!N240*1000</f>
        <v>2392.8884637806673</v>
      </c>
      <c r="CN240" s="41">
        <f>CB240/'1. Väestöennuste'!O240*1000</f>
        <v>2490.744157426218</v>
      </c>
      <c r="CO240" s="41">
        <f>CC240/'1. Väestöennuste'!P240*1000</f>
        <v>2583.653083101568</v>
      </c>
      <c r="CP240" s="41">
        <f>CD240/'1. Väestöennuste'!Q240*1000</f>
        <v>2677.5146842137947</v>
      </c>
      <c r="CQ240" s="41">
        <f>CE240/'1. Väestöennuste'!R240*1000</f>
        <v>2773.443329157441</v>
      </c>
      <c r="CR240" s="41"/>
      <c r="CU240" s="159">
        <f t="shared" si="109"/>
        <v>229.49623075584532</v>
      </c>
      <c r="CV240" s="159">
        <f t="shared" si="110"/>
        <v>386.15248391170826</v>
      </c>
      <c r="CW240" s="159">
        <f t="shared" si="111"/>
        <v>-180.89348371077585</v>
      </c>
      <c r="CX240" s="159">
        <f t="shared" si="112"/>
        <v>-1689.5558622657582</v>
      </c>
      <c r="CY240" s="159">
        <f t="shared" si="113"/>
        <v>45.856402213502406</v>
      </c>
      <c r="CZ240" s="159">
        <f t="shared" si="114"/>
        <v>97.855693645550673</v>
      </c>
      <c r="DA240" s="159">
        <f t="shared" si="117"/>
        <v>92.908925675350019</v>
      </c>
      <c r="DB240" s="159">
        <f t="shared" si="118"/>
        <v>93.861601112226708</v>
      </c>
      <c r="DC240" s="159">
        <f t="shared" si="118"/>
        <v>95.928644943646304</v>
      </c>
    </row>
    <row r="241" spans="1:107" x14ac:dyDescent="0.2">
      <c r="A241" s="99">
        <v>10</v>
      </c>
      <c r="B241" s="30">
        <v>740</v>
      </c>
      <c r="C241" s="47" t="s">
        <v>555</v>
      </c>
      <c r="D241" s="64">
        <v>114635.11532</v>
      </c>
      <c r="E241" s="64">
        <v>12238.29017</v>
      </c>
      <c r="F241" s="64">
        <v>9193.0867600000001</v>
      </c>
      <c r="G241" s="205">
        <v>136047</v>
      </c>
      <c r="H241" s="205"/>
      <c r="I241" s="64">
        <v>116031</v>
      </c>
      <c r="J241" s="64">
        <v>13988</v>
      </c>
      <c r="K241" s="64">
        <v>7835</v>
      </c>
      <c r="L241" s="205">
        <v>137500</v>
      </c>
      <c r="M241" s="205"/>
      <c r="N241" s="64">
        <v>114318</v>
      </c>
      <c r="O241" s="64">
        <v>13848</v>
      </c>
      <c r="P241" s="64">
        <v>9054</v>
      </c>
      <c r="Q241" s="205">
        <v>137220</v>
      </c>
      <c r="R241" s="205"/>
      <c r="S241" s="64">
        <v>107504</v>
      </c>
      <c r="T241" s="64">
        <v>12891</v>
      </c>
      <c r="U241" s="64">
        <v>9435</v>
      </c>
      <c r="V241" s="205">
        <v>129830</v>
      </c>
      <c r="W241" s="205"/>
      <c r="X241" s="64">
        <v>108328</v>
      </c>
      <c r="Y241" s="64">
        <v>12976</v>
      </c>
      <c r="Z241" s="64">
        <v>10348</v>
      </c>
      <c r="AA241" s="205">
        <f t="shared" si="115"/>
        <v>131652</v>
      </c>
      <c r="AB241" s="205"/>
      <c r="AC241" s="64">
        <v>115830</v>
      </c>
      <c r="AD241" s="64">
        <v>12338</v>
      </c>
      <c r="AE241" s="64">
        <v>11110</v>
      </c>
      <c r="AF241" s="205">
        <f t="shared" si="92"/>
        <v>139278</v>
      </c>
      <c r="AG241" s="205"/>
      <c r="AH241" s="278">
        <v>116106.88615999999</v>
      </c>
      <c r="AI241" s="64">
        <v>13585.08677</v>
      </c>
      <c r="AJ241" s="64">
        <v>15418.453880000001</v>
      </c>
      <c r="AK241" s="205">
        <f t="shared" si="93"/>
        <v>145110.42680999998</v>
      </c>
      <c r="AL241" s="205"/>
      <c r="AM241" s="64">
        <v>117866.22540000001</v>
      </c>
      <c r="AN241" s="64">
        <v>14022.38283</v>
      </c>
      <c r="AO241" s="64">
        <v>14945.90566</v>
      </c>
      <c r="AP241" s="205">
        <f t="shared" si="94"/>
        <v>146834.51389</v>
      </c>
      <c r="AQ241" s="205"/>
      <c r="AR241" s="64">
        <v>60249.373780000002</v>
      </c>
      <c r="AS241" s="64">
        <v>14478.800539999998</v>
      </c>
      <c r="AT241" s="64">
        <v>9649.8221699999995</v>
      </c>
      <c r="AU241" s="205">
        <f t="shared" si="95"/>
        <v>84377.996490000005</v>
      </c>
      <c r="AV241" s="205"/>
      <c r="AW241" s="64">
        <v>56837.703848751196</v>
      </c>
      <c r="AX241" s="64">
        <v>14561.759596361439</v>
      </c>
      <c r="AY241" s="64">
        <v>8995.6058056677412</v>
      </c>
      <c r="AZ241" s="205">
        <f t="shared" si="96"/>
        <v>80395.069250780376</v>
      </c>
      <c r="BA241" s="205"/>
      <c r="BB241" s="64">
        <v>58652.29062988182</v>
      </c>
      <c r="BC241" s="64">
        <v>14633.902431781822</v>
      </c>
      <c r="BD241" s="64">
        <v>9103.5530753357525</v>
      </c>
      <c r="BE241" s="205">
        <f t="shared" si="91"/>
        <v>82389.746136999398</v>
      </c>
      <c r="BF241" s="205"/>
      <c r="BG241" s="64">
        <v>60173.653422025469</v>
      </c>
      <c r="BH241" s="64">
        <v>14818.927747886733</v>
      </c>
      <c r="BI241" s="64">
        <v>9545.6228463571388</v>
      </c>
      <c r="BJ241" s="205">
        <f t="shared" si="97"/>
        <v>84538.20401626933</v>
      </c>
      <c r="BK241" s="205"/>
      <c r="BL241" s="64">
        <v>61354.404732972725</v>
      </c>
      <c r="BM241" s="64">
        <v>15035.505407411669</v>
      </c>
      <c r="BN241" s="64">
        <v>10116.201271745207</v>
      </c>
      <c r="BO241" s="205">
        <f t="shared" si="98"/>
        <v>86506.111412129598</v>
      </c>
      <c r="BQ241" s="64">
        <v>62818.022583189624</v>
      </c>
      <c r="BR241" s="64">
        <v>15246.932614687037</v>
      </c>
      <c r="BS241" s="64">
        <v>10470.885157797249</v>
      </c>
      <c r="BT241" s="205">
        <f t="shared" si="99"/>
        <v>88535.840355673921</v>
      </c>
      <c r="BU241" s="205"/>
      <c r="BV241" s="5">
        <f t="shared" si="100"/>
        <v>131652</v>
      </c>
      <c r="BW241" s="5">
        <f t="shared" si="101"/>
        <v>139278</v>
      </c>
      <c r="BX241" s="5">
        <f t="shared" si="102"/>
        <v>145110.42680999998</v>
      </c>
      <c r="BY241" s="5">
        <f t="shared" si="103"/>
        <v>146834.51389</v>
      </c>
      <c r="BZ241" s="5">
        <f t="shared" si="104"/>
        <v>84377.996490000005</v>
      </c>
      <c r="CA241" s="5">
        <f t="shared" si="105"/>
        <v>80395.069250780376</v>
      </c>
      <c r="CB241" s="5">
        <f t="shared" si="106"/>
        <v>82389.746136999398</v>
      </c>
      <c r="CC241" s="5">
        <f t="shared" si="107"/>
        <v>84538.20401626933</v>
      </c>
      <c r="CD241" s="5">
        <f t="shared" si="108"/>
        <v>86506.111412129598</v>
      </c>
      <c r="CE241" s="5">
        <f t="shared" si="116"/>
        <v>88535.840355673921</v>
      </c>
      <c r="CH241" s="41">
        <f>BV241/'1. Väestöennuste'!I241*1000</f>
        <v>3992.6002304846243</v>
      </c>
      <c r="CI241" s="41">
        <f>BW241/'1. Väestöennuste'!J241*1000</f>
        <v>4264.2214193864429</v>
      </c>
      <c r="CJ241" s="41">
        <f>BX241/'1. Väestöennuste'!K241*1000</f>
        <v>4458.4885491750392</v>
      </c>
      <c r="CK241" s="41">
        <f>BY241/'1. Väestöennuste'!L241*1000</f>
        <v>4576.4224369643134</v>
      </c>
      <c r="CL241" s="41">
        <f>BZ241/'1. Väestöennuste'!M241*1000</f>
        <v>2649.8130355180101</v>
      </c>
      <c r="CM241" s="41">
        <f>CA241/'1. Väestöennuste'!N241*1000</f>
        <v>2622.6616184113127</v>
      </c>
      <c r="CN241" s="41">
        <f>CB241/'1. Väestöennuste'!O241*1000</f>
        <v>2727.5050861389545</v>
      </c>
      <c r="CO241" s="41">
        <f>CC241/'1. Väestöennuste'!P241*1000</f>
        <v>2839.234391814251</v>
      </c>
      <c r="CP241" s="41">
        <f>CD241/'1. Väestöennuste'!Q241*1000</f>
        <v>2946.5941621407997</v>
      </c>
      <c r="CQ241" s="41">
        <f>CE241/'1. Väestöennuste'!R241*1000</f>
        <v>3057.7047264953867</v>
      </c>
      <c r="CR241" s="41"/>
      <c r="CU241" s="159">
        <f t="shared" si="109"/>
        <v>271.62118890181864</v>
      </c>
      <c r="CV241" s="159">
        <f t="shared" si="110"/>
        <v>194.26712978859632</v>
      </c>
      <c r="CW241" s="159">
        <f t="shared" si="111"/>
        <v>117.93388778927419</v>
      </c>
      <c r="CX241" s="159">
        <f t="shared" si="112"/>
        <v>-1926.6094014463033</v>
      </c>
      <c r="CY241" s="159">
        <f t="shared" si="113"/>
        <v>-27.151417106697409</v>
      </c>
      <c r="CZ241" s="159">
        <f t="shared" si="114"/>
        <v>104.84346772764184</v>
      </c>
      <c r="DA241" s="159">
        <f t="shared" si="117"/>
        <v>111.72930567529647</v>
      </c>
      <c r="DB241" s="159">
        <f t="shared" si="118"/>
        <v>107.35977032654864</v>
      </c>
      <c r="DC241" s="159">
        <f t="shared" si="118"/>
        <v>111.11056435458704</v>
      </c>
    </row>
    <row r="242" spans="1:107" x14ac:dyDescent="0.2">
      <c r="A242" s="99">
        <v>19</v>
      </c>
      <c r="B242" s="30">
        <v>742</v>
      </c>
      <c r="C242" s="47" t="s">
        <v>556</v>
      </c>
      <c r="D242" s="64">
        <v>2881.8499700000002</v>
      </c>
      <c r="E242" s="64">
        <v>387.0462</v>
      </c>
      <c r="F242" s="64">
        <v>990.33302000000003</v>
      </c>
      <c r="G242" s="205">
        <v>4260</v>
      </c>
      <c r="H242" s="205"/>
      <c r="I242" s="64">
        <v>2870</v>
      </c>
      <c r="J242" s="64">
        <v>400</v>
      </c>
      <c r="K242" s="64">
        <v>853</v>
      </c>
      <c r="L242" s="205">
        <v>4123</v>
      </c>
      <c r="M242" s="205"/>
      <c r="N242" s="64">
        <v>2836</v>
      </c>
      <c r="O242" s="64">
        <v>398</v>
      </c>
      <c r="P242" s="64">
        <v>978</v>
      </c>
      <c r="Q242" s="205">
        <v>4212</v>
      </c>
      <c r="R242" s="205"/>
      <c r="S242" s="64">
        <v>2619</v>
      </c>
      <c r="T242" s="64">
        <v>392</v>
      </c>
      <c r="U242" s="64">
        <v>956</v>
      </c>
      <c r="V242" s="205">
        <v>3967</v>
      </c>
      <c r="W242" s="205"/>
      <c r="X242" s="64">
        <v>2995</v>
      </c>
      <c r="Y242" s="64">
        <v>399</v>
      </c>
      <c r="Z242" s="64">
        <v>986</v>
      </c>
      <c r="AA242" s="205">
        <f t="shared" si="115"/>
        <v>4380</v>
      </c>
      <c r="AB242" s="205"/>
      <c r="AC242" s="64">
        <v>2753</v>
      </c>
      <c r="AD242" s="64">
        <v>364</v>
      </c>
      <c r="AE242" s="64">
        <v>1089</v>
      </c>
      <c r="AF242" s="205">
        <f t="shared" si="92"/>
        <v>4206</v>
      </c>
      <c r="AG242" s="205"/>
      <c r="AH242" s="278">
        <v>3142.10565</v>
      </c>
      <c r="AI242" s="64">
        <v>426.62553000000003</v>
      </c>
      <c r="AJ242" s="64">
        <v>1622.2324099999998</v>
      </c>
      <c r="AK242" s="205">
        <f t="shared" si="93"/>
        <v>5190.9635899999994</v>
      </c>
      <c r="AL242" s="205"/>
      <c r="AM242" s="64">
        <v>3180.14032</v>
      </c>
      <c r="AN242" s="64">
        <v>367.72964000000002</v>
      </c>
      <c r="AO242" s="64">
        <v>1575.8624</v>
      </c>
      <c r="AP242" s="205">
        <f t="shared" si="94"/>
        <v>5123.73236</v>
      </c>
      <c r="AQ242" s="205"/>
      <c r="AR242" s="64">
        <v>1749.36941</v>
      </c>
      <c r="AS242" s="64">
        <v>430.10563999999999</v>
      </c>
      <c r="AT242" s="64">
        <v>848.70983000000001</v>
      </c>
      <c r="AU242" s="205">
        <f t="shared" si="95"/>
        <v>3028.1848799999998</v>
      </c>
      <c r="AV242" s="205"/>
      <c r="AW242" s="64">
        <v>1593.7390075430646</v>
      </c>
      <c r="AX242" s="64">
        <v>448.49297047698985</v>
      </c>
      <c r="AY242" s="64">
        <v>648.03045125888548</v>
      </c>
      <c r="AZ242" s="205">
        <f t="shared" si="96"/>
        <v>2690.2624292789401</v>
      </c>
      <c r="BA242" s="205"/>
      <c r="BB242" s="64">
        <v>1674.1095262645881</v>
      </c>
      <c r="BC242" s="64">
        <v>453.03542993301602</v>
      </c>
      <c r="BD242" s="64">
        <v>655.8068166739921</v>
      </c>
      <c r="BE242" s="205">
        <f t="shared" si="91"/>
        <v>2782.9517728715964</v>
      </c>
      <c r="BF242" s="205"/>
      <c r="BG242" s="64">
        <v>1739.4203670029722</v>
      </c>
      <c r="BH242" s="64">
        <v>461.11141271057988</v>
      </c>
      <c r="BI242" s="64">
        <v>687.65288456442875</v>
      </c>
      <c r="BJ242" s="205">
        <f t="shared" si="97"/>
        <v>2888.184664277981</v>
      </c>
      <c r="BK242" s="205"/>
      <c r="BL242" s="64">
        <v>1796.6264778659599</v>
      </c>
      <c r="BM242" s="64">
        <v>470.23255958781749</v>
      </c>
      <c r="BN242" s="64">
        <v>728.75653032999242</v>
      </c>
      <c r="BO242" s="205">
        <f t="shared" si="98"/>
        <v>2995.6155677837701</v>
      </c>
      <c r="BQ242" s="64">
        <v>1870.0540582721446</v>
      </c>
      <c r="BR242" s="64">
        <v>479.26173034003</v>
      </c>
      <c r="BS242" s="64">
        <v>754.30744526534272</v>
      </c>
      <c r="BT242" s="205">
        <f t="shared" si="99"/>
        <v>3103.6232338775171</v>
      </c>
      <c r="BU242" s="205"/>
      <c r="BV242" s="5">
        <f t="shared" si="100"/>
        <v>4380</v>
      </c>
      <c r="BW242" s="5">
        <f t="shared" si="101"/>
        <v>4206</v>
      </c>
      <c r="BX242" s="5">
        <f t="shared" si="102"/>
        <v>5190.9635899999994</v>
      </c>
      <c r="BY242" s="5">
        <f t="shared" si="103"/>
        <v>5123.73236</v>
      </c>
      <c r="BZ242" s="5">
        <f t="shared" si="104"/>
        <v>3028.1848799999998</v>
      </c>
      <c r="CA242" s="5">
        <f t="shared" si="105"/>
        <v>2690.2624292789401</v>
      </c>
      <c r="CB242" s="5">
        <f t="shared" si="106"/>
        <v>2782.9517728715964</v>
      </c>
      <c r="CC242" s="5">
        <f t="shared" si="107"/>
        <v>2888.184664277981</v>
      </c>
      <c r="CD242" s="5">
        <f t="shared" si="108"/>
        <v>2995.6155677837701</v>
      </c>
      <c r="CE242" s="5">
        <f t="shared" si="116"/>
        <v>3103.6232338775171</v>
      </c>
      <c r="CH242" s="41">
        <f>BV242/'1. Väestöennuste'!I242*1000</f>
        <v>4358.2089552238804</v>
      </c>
      <c r="CI242" s="41">
        <f>BW242/'1. Väestöennuste'!J242*1000</f>
        <v>4168.4836471754206</v>
      </c>
      <c r="CJ242" s="41">
        <f>BX242/'1. Väestöennuste'!K242*1000</f>
        <v>5144.6616352824567</v>
      </c>
      <c r="CK242" s="41">
        <f>BY242/'1. Väestöennuste'!L242*1000</f>
        <v>5185.9639271255064</v>
      </c>
      <c r="CL242" s="41">
        <f>BZ242/'1. Väestöennuste'!M242*1000</f>
        <v>3096.3035582822081</v>
      </c>
      <c r="CM242" s="41">
        <f>CA242/'1. Väestöennuste'!N242*1000</f>
        <v>2753.5951169692321</v>
      </c>
      <c r="CN242" s="41">
        <f>CB242/'1. Väestöennuste'!O242*1000</f>
        <v>2863.119107892589</v>
      </c>
      <c r="CO242" s="41">
        <f>CC242/'1. Väestöennuste'!P242*1000</f>
        <v>2986.7473260372089</v>
      </c>
      <c r="CP242" s="41">
        <f>CD242/'1. Väestöennuste'!Q242*1000</f>
        <v>3107.4850288213383</v>
      </c>
      <c r="CQ242" s="41">
        <f>CE242/'1. Väestöennuste'!R242*1000</f>
        <v>3232.9408686224137</v>
      </c>
      <c r="CR242" s="41"/>
      <c r="CU242" s="159">
        <f t="shared" si="109"/>
        <v>-189.72530804845974</v>
      </c>
      <c r="CV242" s="159">
        <f t="shared" si="110"/>
        <v>976.17798810703607</v>
      </c>
      <c r="CW242" s="159">
        <f t="shared" si="111"/>
        <v>41.302291843049716</v>
      </c>
      <c r="CX242" s="159">
        <f t="shared" si="112"/>
        <v>-2089.6603688432983</v>
      </c>
      <c r="CY242" s="159">
        <f t="shared" si="113"/>
        <v>-342.70844131297599</v>
      </c>
      <c r="CZ242" s="159">
        <f t="shared" si="114"/>
        <v>109.52399092335691</v>
      </c>
      <c r="DA242" s="159">
        <f t="shared" si="117"/>
        <v>123.62821814461995</v>
      </c>
      <c r="DB242" s="159">
        <f t="shared" si="118"/>
        <v>120.7377027841294</v>
      </c>
      <c r="DC242" s="159">
        <f t="shared" si="118"/>
        <v>125.4558398010754</v>
      </c>
    </row>
    <row r="243" spans="1:107" x14ac:dyDescent="0.2">
      <c r="A243" s="99">
        <v>14</v>
      </c>
      <c r="B243" s="30">
        <v>743</v>
      </c>
      <c r="C243" s="47" t="s">
        <v>557</v>
      </c>
      <c r="D243" s="64">
        <v>206547.94053999998</v>
      </c>
      <c r="E243" s="64">
        <v>22017.023410000002</v>
      </c>
      <c r="F243" s="64">
        <v>15251.45811</v>
      </c>
      <c r="G243" s="205">
        <v>243781</v>
      </c>
      <c r="H243" s="205"/>
      <c r="I243" s="64">
        <v>208038</v>
      </c>
      <c r="J243" s="64">
        <v>13028</v>
      </c>
      <c r="K243" s="64">
        <v>22736</v>
      </c>
      <c r="L243" s="205">
        <v>243802</v>
      </c>
      <c r="M243" s="205"/>
      <c r="N243" s="64">
        <v>207970</v>
      </c>
      <c r="O243" s="64">
        <v>15560</v>
      </c>
      <c r="P243" s="64">
        <v>23970</v>
      </c>
      <c r="Q243" s="205">
        <v>247500</v>
      </c>
      <c r="R243" s="205"/>
      <c r="S243" s="64">
        <v>208304</v>
      </c>
      <c r="T243" s="64">
        <v>14537</v>
      </c>
      <c r="U243" s="64">
        <v>24713</v>
      </c>
      <c r="V243" s="205">
        <v>247554</v>
      </c>
      <c r="W243" s="205"/>
      <c r="X243" s="64">
        <v>216332</v>
      </c>
      <c r="Y243" s="64">
        <v>25777</v>
      </c>
      <c r="Z243" s="64">
        <v>14991</v>
      </c>
      <c r="AA243" s="205">
        <f t="shared" si="115"/>
        <v>257100</v>
      </c>
      <c r="AB243" s="205"/>
      <c r="AC243" s="64">
        <v>226354</v>
      </c>
      <c r="AD243" s="64">
        <v>23795</v>
      </c>
      <c r="AE243" s="64">
        <v>16434</v>
      </c>
      <c r="AF243" s="205">
        <f t="shared" si="92"/>
        <v>266583</v>
      </c>
      <c r="AG243" s="205"/>
      <c r="AH243" s="278">
        <v>231653.62938999999</v>
      </c>
      <c r="AI243" s="64">
        <v>26863.544239999999</v>
      </c>
      <c r="AJ243" s="64">
        <v>24215.298079999997</v>
      </c>
      <c r="AK243" s="205">
        <f t="shared" si="93"/>
        <v>282732.47170999995</v>
      </c>
      <c r="AL243" s="205"/>
      <c r="AM243" s="64">
        <v>250921.03990999999</v>
      </c>
      <c r="AN243" s="64">
        <v>29045.828879999997</v>
      </c>
      <c r="AO243" s="64">
        <v>26305.416510000003</v>
      </c>
      <c r="AP243" s="205">
        <f t="shared" si="94"/>
        <v>306272.28529999999</v>
      </c>
      <c r="AQ243" s="205"/>
      <c r="AR243" s="64">
        <v>120070.19136</v>
      </c>
      <c r="AS243" s="64">
        <v>30126.416100000002</v>
      </c>
      <c r="AT243" s="64">
        <v>17582.01325</v>
      </c>
      <c r="AU243" s="205">
        <f t="shared" si="95"/>
        <v>167778.62070999999</v>
      </c>
      <c r="AV243" s="205"/>
      <c r="AW243" s="64">
        <v>119907.26939413276</v>
      </c>
      <c r="AX243" s="64">
        <v>32646.564383189969</v>
      </c>
      <c r="AY243" s="64">
        <v>15234.953237523761</v>
      </c>
      <c r="AZ243" s="205">
        <f t="shared" si="96"/>
        <v>167788.78701484649</v>
      </c>
      <c r="BA243" s="205"/>
      <c r="BB243" s="64">
        <v>128188.48326604004</v>
      </c>
      <c r="BC243" s="64">
        <v>33377.982850693501</v>
      </c>
      <c r="BD243" s="64">
        <v>15417.772676374047</v>
      </c>
      <c r="BE243" s="205">
        <f t="shared" si="91"/>
        <v>176984.23879310759</v>
      </c>
      <c r="BF243" s="205"/>
      <c r="BG243" s="64">
        <v>135950.5800782147</v>
      </c>
      <c r="BH243" s="64">
        <v>34386.711443021821</v>
      </c>
      <c r="BI243" s="64">
        <v>16166.461806903786</v>
      </c>
      <c r="BJ243" s="205">
        <f t="shared" si="97"/>
        <v>186503.75332814033</v>
      </c>
      <c r="BK243" s="205"/>
      <c r="BL243" s="64">
        <v>142315.95280864791</v>
      </c>
      <c r="BM243" s="64">
        <v>35494.82239437828</v>
      </c>
      <c r="BN243" s="64">
        <v>17132.793126541008</v>
      </c>
      <c r="BO243" s="205">
        <f t="shared" si="98"/>
        <v>194943.56832956721</v>
      </c>
      <c r="BQ243" s="64">
        <v>149365.9110184137</v>
      </c>
      <c r="BR243" s="64">
        <v>36618.722367288356</v>
      </c>
      <c r="BS243" s="64">
        <v>17733.485568477659</v>
      </c>
      <c r="BT243" s="205">
        <f t="shared" si="99"/>
        <v>203718.11895417969</v>
      </c>
      <c r="BU243" s="205"/>
      <c r="BV243" s="5">
        <f t="shared" si="100"/>
        <v>257100</v>
      </c>
      <c r="BW243" s="5">
        <f t="shared" si="101"/>
        <v>266583</v>
      </c>
      <c r="BX243" s="5">
        <f t="shared" si="102"/>
        <v>282732.47170999995</v>
      </c>
      <c r="BY243" s="5">
        <f t="shared" si="103"/>
        <v>306272.28529999999</v>
      </c>
      <c r="BZ243" s="5">
        <f t="shared" si="104"/>
        <v>167778.62070999999</v>
      </c>
      <c r="CA243" s="5">
        <f t="shared" si="105"/>
        <v>167788.78701484649</v>
      </c>
      <c r="CB243" s="5">
        <f t="shared" si="106"/>
        <v>176984.23879310759</v>
      </c>
      <c r="CC243" s="5">
        <f t="shared" si="107"/>
        <v>186503.75332814033</v>
      </c>
      <c r="CD243" s="5">
        <f t="shared" si="108"/>
        <v>194943.56832956721</v>
      </c>
      <c r="CE243" s="5">
        <f t="shared" si="116"/>
        <v>203718.11895417969</v>
      </c>
      <c r="CH243" s="41">
        <f>BV243/'1. Väestöennuste'!I243*1000</f>
        <v>4030.9810131543877</v>
      </c>
      <c r="CI243" s="41">
        <f>BW243/'1. Väestöennuste'!J243*1000</f>
        <v>4156.9156401060345</v>
      </c>
      <c r="CJ243" s="41">
        <f>BX243/'1. Väestöennuste'!K243*1000</f>
        <v>4367.4689772305974</v>
      </c>
      <c r="CK243" s="41">
        <f>BY243/'1. Väestöennuste'!L243*1000</f>
        <v>4688.5826630742613</v>
      </c>
      <c r="CL243" s="41">
        <f>BZ243/'1. Väestöennuste'!M243*1000</f>
        <v>2535.9525500302298</v>
      </c>
      <c r="CM243" s="41">
        <f>CA243/'1. Väestöennuste'!N243*1000</f>
        <v>2538.7923591291647</v>
      </c>
      <c r="CN243" s="41">
        <f>CB243/'1. Väestöennuste'!O243*1000</f>
        <v>2662.017579801573</v>
      </c>
      <c r="CO243" s="41">
        <f>CC243/'1. Väestöennuste'!P243*1000</f>
        <v>2789.6754667285963</v>
      </c>
      <c r="CP243" s="41">
        <f>CD243/'1. Väestöennuste'!Q243*1000</f>
        <v>2900.8596221774233</v>
      </c>
      <c r="CQ243" s="41">
        <f>CE243/'1. Väestöennuste'!R243*1000</f>
        <v>3017.3309875315435</v>
      </c>
      <c r="CR243" s="41"/>
      <c r="CU243" s="159">
        <f t="shared" si="109"/>
        <v>125.93462695164681</v>
      </c>
      <c r="CV243" s="159">
        <f t="shared" si="110"/>
        <v>210.55333712456286</v>
      </c>
      <c r="CW243" s="159">
        <f t="shared" si="111"/>
        <v>321.11368584366392</v>
      </c>
      <c r="CX243" s="159">
        <f t="shared" si="112"/>
        <v>-2152.6301130440315</v>
      </c>
      <c r="CY243" s="159">
        <f t="shared" si="113"/>
        <v>2.839809098934893</v>
      </c>
      <c r="CZ243" s="159">
        <f t="shared" si="114"/>
        <v>123.22522067240834</v>
      </c>
      <c r="DA243" s="159">
        <f t="shared" si="117"/>
        <v>127.65788692702336</v>
      </c>
      <c r="DB243" s="159">
        <f t="shared" si="118"/>
        <v>111.18415544882691</v>
      </c>
      <c r="DC243" s="159">
        <f t="shared" si="118"/>
        <v>116.47136535412028</v>
      </c>
    </row>
    <row r="244" spans="1:107" x14ac:dyDescent="0.2">
      <c r="A244" s="99">
        <v>17</v>
      </c>
      <c r="B244" s="30">
        <v>746</v>
      </c>
      <c r="C244" s="47" t="s">
        <v>558</v>
      </c>
      <c r="D244" s="64">
        <v>12837.859490000001</v>
      </c>
      <c r="E244" s="64">
        <v>1036.18994</v>
      </c>
      <c r="F244" s="64">
        <v>1853.90452</v>
      </c>
      <c r="G244" s="205">
        <v>15723</v>
      </c>
      <c r="H244" s="205"/>
      <c r="I244" s="64">
        <v>12039</v>
      </c>
      <c r="J244" s="64">
        <v>1040</v>
      </c>
      <c r="K244" s="64">
        <v>1830</v>
      </c>
      <c r="L244" s="205">
        <v>14909</v>
      </c>
      <c r="M244" s="205"/>
      <c r="N244" s="64">
        <v>12027</v>
      </c>
      <c r="O244" s="64">
        <v>1049</v>
      </c>
      <c r="P244" s="64">
        <v>2232</v>
      </c>
      <c r="Q244" s="205">
        <v>15308</v>
      </c>
      <c r="R244" s="205"/>
      <c r="S244" s="64">
        <v>12316</v>
      </c>
      <c r="T244" s="64">
        <v>1042</v>
      </c>
      <c r="U244" s="64">
        <v>1929</v>
      </c>
      <c r="V244" s="205">
        <v>15287</v>
      </c>
      <c r="W244" s="205"/>
      <c r="X244" s="64">
        <v>12439</v>
      </c>
      <c r="Y244" s="64">
        <v>1048</v>
      </c>
      <c r="Z244" s="64">
        <v>1945</v>
      </c>
      <c r="AA244" s="205">
        <f t="shared" si="115"/>
        <v>15432</v>
      </c>
      <c r="AB244" s="205"/>
      <c r="AC244" s="64">
        <v>12984</v>
      </c>
      <c r="AD244" s="64">
        <v>1020</v>
      </c>
      <c r="AE244" s="64">
        <v>2080</v>
      </c>
      <c r="AF244" s="205">
        <f t="shared" si="92"/>
        <v>16084</v>
      </c>
      <c r="AG244" s="205"/>
      <c r="AH244" s="278">
        <v>12611.65897</v>
      </c>
      <c r="AI244" s="64">
        <v>1116.1686599999998</v>
      </c>
      <c r="AJ244" s="64">
        <v>3818.4004799999998</v>
      </c>
      <c r="AK244" s="205">
        <f t="shared" si="93"/>
        <v>17546.22811</v>
      </c>
      <c r="AL244" s="205"/>
      <c r="AM244" s="64">
        <v>13520.68044</v>
      </c>
      <c r="AN244" s="64">
        <v>1407.51332</v>
      </c>
      <c r="AO244" s="64">
        <v>4426.4273700000003</v>
      </c>
      <c r="AP244" s="205">
        <f t="shared" si="94"/>
        <v>19354.62113</v>
      </c>
      <c r="AQ244" s="205"/>
      <c r="AR244" s="64">
        <v>6923.9360900000001</v>
      </c>
      <c r="AS244" s="64">
        <v>1389.52286</v>
      </c>
      <c r="AT244" s="64">
        <v>2749.8986500000001</v>
      </c>
      <c r="AU244" s="205">
        <f t="shared" si="95"/>
        <v>11063.357599999999</v>
      </c>
      <c r="AV244" s="205"/>
      <c r="AW244" s="64">
        <v>7002.7358963809793</v>
      </c>
      <c r="AX244" s="64">
        <v>1604.4539311687379</v>
      </c>
      <c r="AY244" s="64">
        <v>1956.4435024611514</v>
      </c>
      <c r="AZ244" s="205">
        <f t="shared" si="96"/>
        <v>10563.633330010869</v>
      </c>
      <c r="BA244" s="205"/>
      <c r="BB244" s="64">
        <v>7267.6564333970236</v>
      </c>
      <c r="BC244" s="64">
        <v>1613.2784035603308</v>
      </c>
      <c r="BD244" s="64">
        <v>1979.9208244906852</v>
      </c>
      <c r="BE244" s="205">
        <f t="shared" si="91"/>
        <v>10860.85566144804</v>
      </c>
      <c r="BF244" s="205"/>
      <c r="BG244" s="64">
        <v>7525.739577602003</v>
      </c>
      <c r="BH244" s="64">
        <v>1634.5039480986416</v>
      </c>
      <c r="BI244" s="64">
        <v>2076.0660480402048</v>
      </c>
      <c r="BJ244" s="205">
        <f t="shared" si="97"/>
        <v>11236.309573740848</v>
      </c>
      <c r="BK244" s="205"/>
      <c r="BL244" s="64">
        <v>7668.7272258908852</v>
      </c>
      <c r="BM244" s="64">
        <v>1659.1805574631874</v>
      </c>
      <c r="BN244" s="64">
        <v>2200.1604644820263</v>
      </c>
      <c r="BO244" s="205">
        <f t="shared" si="98"/>
        <v>11528.068247836098</v>
      </c>
      <c r="BQ244" s="64">
        <v>7856.8533807843442</v>
      </c>
      <c r="BR244" s="64">
        <v>1683.2667979650953</v>
      </c>
      <c r="BS244" s="64">
        <v>2277.3002368647803</v>
      </c>
      <c r="BT244" s="205">
        <f t="shared" si="99"/>
        <v>11817.420415614219</v>
      </c>
      <c r="BU244" s="205"/>
      <c r="BV244" s="5">
        <f t="shared" si="100"/>
        <v>15432</v>
      </c>
      <c r="BW244" s="5">
        <f t="shared" si="101"/>
        <v>16084</v>
      </c>
      <c r="BX244" s="5">
        <f t="shared" si="102"/>
        <v>17546.22811</v>
      </c>
      <c r="BY244" s="5">
        <f t="shared" si="103"/>
        <v>19354.62113</v>
      </c>
      <c r="BZ244" s="5">
        <f t="shared" si="104"/>
        <v>11063.357599999999</v>
      </c>
      <c r="CA244" s="5">
        <f t="shared" si="105"/>
        <v>10563.633330010869</v>
      </c>
      <c r="CB244" s="5">
        <f t="shared" si="106"/>
        <v>10860.85566144804</v>
      </c>
      <c r="CC244" s="5">
        <f t="shared" si="107"/>
        <v>11236.309573740848</v>
      </c>
      <c r="CD244" s="5">
        <f t="shared" si="108"/>
        <v>11528.068247836098</v>
      </c>
      <c r="CE244" s="5">
        <f t="shared" si="116"/>
        <v>11817.420415614219</v>
      </c>
      <c r="CH244" s="41">
        <f>BV244/'1. Väestöennuste'!I244*1000</f>
        <v>3142.9735234215887</v>
      </c>
      <c r="CI244" s="41">
        <f>BW244/'1. Väestöennuste'!J244*1000</f>
        <v>3327.2652047993379</v>
      </c>
      <c r="CJ244" s="41">
        <f>BX244/'1. Väestöennuste'!K244*1000</f>
        <v>3669.9912382346793</v>
      </c>
      <c r="CK244" s="41">
        <f>BY244/'1. Väestöennuste'!L244*1000</f>
        <v>4087.5651805702214</v>
      </c>
      <c r="CL244" s="41">
        <f>BZ244/'1. Väestöennuste'!M244*1000</f>
        <v>2347.4130277954591</v>
      </c>
      <c r="CM244" s="41">
        <f>CA244/'1. Väestöennuste'!N244*1000</f>
        <v>2311.011448263152</v>
      </c>
      <c r="CN244" s="41">
        <f>CB244/'1. Väestöennuste'!O244*1000</f>
        <v>2412.4512797530078</v>
      </c>
      <c r="CO244" s="41">
        <f>CC244/'1. Väestöennuste'!P244*1000</f>
        <v>2535.8405718214503</v>
      </c>
      <c r="CP244" s="41">
        <f>CD244/'1. Väestöennuste'!Q244*1000</f>
        <v>2641.6288377259616</v>
      </c>
      <c r="CQ244" s="41">
        <f>CE244/'1. Väestöennuste'!R244*1000</f>
        <v>2748.8765795799532</v>
      </c>
      <c r="CR244" s="41"/>
      <c r="CU244" s="159">
        <f t="shared" si="109"/>
        <v>184.29168137774923</v>
      </c>
      <c r="CV244" s="159">
        <f t="shared" si="110"/>
        <v>342.72603343534138</v>
      </c>
      <c r="CW244" s="159">
        <f t="shared" si="111"/>
        <v>417.57394233554214</v>
      </c>
      <c r="CX244" s="159">
        <f t="shared" si="112"/>
        <v>-1740.1521527747623</v>
      </c>
      <c r="CY244" s="159">
        <f t="shared" si="113"/>
        <v>-36.401579532307096</v>
      </c>
      <c r="CZ244" s="159">
        <f t="shared" si="114"/>
        <v>101.43983148985581</v>
      </c>
      <c r="DA244" s="159">
        <f t="shared" si="117"/>
        <v>123.3892920684425</v>
      </c>
      <c r="DB244" s="159">
        <f t="shared" si="118"/>
        <v>105.78826590451126</v>
      </c>
      <c r="DC244" s="159">
        <f t="shared" si="118"/>
        <v>107.24774185399156</v>
      </c>
    </row>
    <row r="245" spans="1:107" x14ac:dyDescent="0.2">
      <c r="A245" s="99">
        <v>4</v>
      </c>
      <c r="B245" s="30">
        <v>747</v>
      </c>
      <c r="C245" s="47" t="s">
        <v>559</v>
      </c>
      <c r="D245" s="64">
        <v>3540.2913100000001</v>
      </c>
      <c r="E245" s="64">
        <v>522.75549999999998</v>
      </c>
      <c r="F245" s="64">
        <v>578.63531999999998</v>
      </c>
      <c r="G245" s="205">
        <v>4640</v>
      </c>
      <c r="H245" s="205"/>
      <c r="I245" s="64">
        <v>3245</v>
      </c>
      <c r="J245" s="64">
        <v>552</v>
      </c>
      <c r="K245" s="64">
        <v>539</v>
      </c>
      <c r="L245" s="205">
        <v>4336</v>
      </c>
      <c r="M245" s="205"/>
      <c r="N245" s="64">
        <v>3383</v>
      </c>
      <c r="O245" s="64">
        <v>546</v>
      </c>
      <c r="P245" s="64">
        <v>610</v>
      </c>
      <c r="Q245" s="205">
        <v>4539</v>
      </c>
      <c r="R245" s="205"/>
      <c r="S245" s="64">
        <v>3324</v>
      </c>
      <c r="T245" s="64">
        <v>755</v>
      </c>
      <c r="U245" s="64">
        <v>571</v>
      </c>
      <c r="V245" s="205">
        <v>4650</v>
      </c>
      <c r="W245" s="205"/>
      <c r="X245" s="64">
        <v>3403</v>
      </c>
      <c r="Y245" s="64">
        <v>769</v>
      </c>
      <c r="Z245" s="64">
        <v>613</v>
      </c>
      <c r="AA245" s="205">
        <f t="shared" si="115"/>
        <v>4785</v>
      </c>
      <c r="AB245" s="205"/>
      <c r="AC245" s="64">
        <v>3463</v>
      </c>
      <c r="AD245" s="64">
        <v>670</v>
      </c>
      <c r="AE245" s="64">
        <v>681</v>
      </c>
      <c r="AF245" s="205">
        <f t="shared" si="92"/>
        <v>4814</v>
      </c>
      <c r="AG245" s="205"/>
      <c r="AH245" s="278">
        <v>3458.0170899999998</v>
      </c>
      <c r="AI245" s="64">
        <v>622.86245999999994</v>
      </c>
      <c r="AJ245" s="64">
        <v>993.93236999999999</v>
      </c>
      <c r="AK245" s="205">
        <f t="shared" si="93"/>
        <v>5074.8119200000001</v>
      </c>
      <c r="AL245" s="205"/>
      <c r="AM245" s="64">
        <v>3555.0686299999998</v>
      </c>
      <c r="AN245" s="64">
        <v>754.18605000000002</v>
      </c>
      <c r="AO245" s="64">
        <v>976.21528999999998</v>
      </c>
      <c r="AP245" s="205">
        <f t="shared" si="94"/>
        <v>5285.4699700000001</v>
      </c>
      <c r="AQ245" s="205"/>
      <c r="AR245" s="64">
        <v>1884.6031399999999</v>
      </c>
      <c r="AS245" s="64">
        <v>772.31025</v>
      </c>
      <c r="AT245" s="64">
        <v>566.12891999999999</v>
      </c>
      <c r="AU245" s="205">
        <f t="shared" si="95"/>
        <v>3223.0423099999998</v>
      </c>
      <c r="AV245" s="205"/>
      <c r="AW245" s="64">
        <v>1769.7124444535145</v>
      </c>
      <c r="AX245" s="64">
        <v>793.68616320053764</v>
      </c>
      <c r="AY245" s="64">
        <v>475.10228657496367</v>
      </c>
      <c r="AZ245" s="205">
        <f t="shared" si="96"/>
        <v>3038.500894229016</v>
      </c>
      <c r="BA245" s="205"/>
      <c r="BB245" s="64">
        <v>1836.7364079326521</v>
      </c>
      <c r="BC245" s="64">
        <v>798.6845023763517</v>
      </c>
      <c r="BD245" s="64">
        <v>480.80351401386321</v>
      </c>
      <c r="BE245" s="205">
        <f t="shared" si="91"/>
        <v>3116.224424322867</v>
      </c>
      <c r="BF245" s="205"/>
      <c r="BG245" s="64">
        <v>1890.662663433199</v>
      </c>
      <c r="BH245" s="64">
        <v>809.83414027587628</v>
      </c>
      <c r="BI245" s="64">
        <v>504.15139781126146</v>
      </c>
      <c r="BJ245" s="205">
        <f t="shared" si="97"/>
        <v>3204.6482015203369</v>
      </c>
      <c r="BK245" s="205"/>
      <c r="BL245" s="64">
        <v>1936.71693557206</v>
      </c>
      <c r="BM245" s="64">
        <v>822.71069785415352</v>
      </c>
      <c r="BN245" s="64">
        <v>534.28645713115918</v>
      </c>
      <c r="BO245" s="205">
        <f t="shared" si="98"/>
        <v>3293.7140905573729</v>
      </c>
      <c r="BQ245" s="64">
        <v>1997.903310082283</v>
      </c>
      <c r="BR245" s="64">
        <v>835.311526703852</v>
      </c>
      <c r="BS245" s="64">
        <v>553.01906157325766</v>
      </c>
      <c r="BT245" s="205">
        <f t="shared" si="99"/>
        <v>3386.2338983593927</v>
      </c>
      <c r="BU245" s="205"/>
      <c r="BV245" s="5">
        <f t="shared" si="100"/>
        <v>4785</v>
      </c>
      <c r="BW245" s="5">
        <f t="shared" si="101"/>
        <v>4814</v>
      </c>
      <c r="BX245" s="5">
        <f t="shared" si="102"/>
        <v>5074.8119200000001</v>
      </c>
      <c r="BY245" s="5">
        <f t="shared" si="103"/>
        <v>5285.4699700000001</v>
      </c>
      <c r="BZ245" s="5">
        <f t="shared" si="104"/>
        <v>3223.0423099999998</v>
      </c>
      <c r="CA245" s="5">
        <f t="shared" si="105"/>
        <v>3038.500894229016</v>
      </c>
      <c r="CB245" s="5">
        <f t="shared" si="106"/>
        <v>3116.224424322867</v>
      </c>
      <c r="CC245" s="5">
        <f t="shared" si="107"/>
        <v>3204.6482015203369</v>
      </c>
      <c r="CD245" s="5">
        <f t="shared" si="108"/>
        <v>3293.7140905573729</v>
      </c>
      <c r="CE245" s="5">
        <f t="shared" si="116"/>
        <v>3386.2338983593927</v>
      </c>
      <c r="CH245" s="41">
        <f>BV245/'1. Väestöennuste'!I245*1000</f>
        <v>3329.8538622129436</v>
      </c>
      <c r="CI245" s="41">
        <f>BW245/'1. Väestöennuste'!J245*1000</f>
        <v>3475.8122743682311</v>
      </c>
      <c r="CJ245" s="41">
        <f>BX245/'1. Väestöennuste'!K245*1000</f>
        <v>3753.5591124260359</v>
      </c>
      <c r="CK245" s="41">
        <f>BY245/'1. Väestöennuste'!L245*1000</f>
        <v>4040.8791819571866</v>
      </c>
      <c r="CL245" s="41">
        <f>BZ245/'1. Väestöennuste'!M245*1000</f>
        <v>2512.1140374123147</v>
      </c>
      <c r="CM245" s="41">
        <f>CA245/'1. Väestöennuste'!N245*1000</f>
        <v>2351.7808778862354</v>
      </c>
      <c r="CN245" s="41">
        <f>CB245/'1. Väestöennuste'!O245*1000</f>
        <v>2444.0975877042097</v>
      </c>
      <c r="CO245" s="41">
        <f>CC245/'1. Väestöennuste'!P245*1000</f>
        <v>2547.4151045471676</v>
      </c>
      <c r="CP245" s="41">
        <f>CD245/'1. Väestöennuste'!Q245*1000</f>
        <v>2649.810209619769</v>
      </c>
      <c r="CQ245" s="41">
        <f>CE245/'1. Väestöennuste'!R245*1000</f>
        <v>2764.2725700893002</v>
      </c>
      <c r="CR245" s="41"/>
      <c r="CU245" s="159">
        <f t="shared" si="109"/>
        <v>145.95841215528753</v>
      </c>
      <c r="CV245" s="159">
        <f t="shared" si="110"/>
        <v>277.74683805780478</v>
      </c>
      <c r="CW245" s="159">
        <f t="shared" si="111"/>
        <v>287.32006953115069</v>
      </c>
      <c r="CX245" s="159">
        <f t="shared" si="112"/>
        <v>-1528.7651445448719</v>
      </c>
      <c r="CY245" s="159">
        <f t="shared" si="113"/>
        <v>-160.33315952607927</v>
      </c>
      <c r="CZ245" s="159">
        <f t="shared" si="114"/>
        <v>92.316709817974242</v>
      </c>
      <c r="DA245" s="159">
        <f t="shared" si="117"/>
        <v>103.31751684295796</v>
      </c>
      <c r="DB245" s="159">
        <f t="shared" si="118"/>
        <v>102.39510507260138</v>
      </c>
      <c r="DC245" s="159">
        <f t="shared" si="118"/>
        <v>114.46236046953118</v>
      </c>
    </row>
    <row r="246" spans="1:107" x14ac:dyDescent="0.2">
      <c r="A246" s="99">
        <v>17</v>
      </c>
      <c r="B246" s="30">
        <v>748</v>
      </c>
      <c r="C246" s="47" t="s">
        <v>560</v>
      </c>
      <c r="D246" s="64">
        <v>15590.70384</v>
      </c>
      <c r="E246" s="64">
        <v>1069.6755600000001</v>
      </c>
      <c r="F246" s="64">
        <v>719.81263999999999</v>
      </c>
      <c r="G246" s="205">
        <v>17380</v>
      </c>
      <c r="H246" s="205"/>
      <c r="I246" s="64">
        <v>14569</v>
      </c>
      <c r="J246" s="64">
        <v>1164</v>
      </c>
      <c r="K246" s="64">
        <v>702</v>
      </c>
      <c r="L246" s="205">
        <v>16435</v>
      </c>
      <c r="M246" s="205"/>
      <c r="N246" s="64">
        <v>14894</v>
      </c>
      <c r="O246" s="64">
        <v>1141</v>
      </c>
      <c r="P246" s="64">
        <v>869</v>
      </c>
      <c r="Q246" s="205">
        <v>16904</v>
      </c>
      <c r="R246" s="205"/>
      <c r="S246" s="64">
        <v>14183</v>
      </c>
      <c r="T246" s="64">
        <v>1325</v>
      </c>
      <c r="U246" s="64">
        <v>835</v>
      </c>
      <c r="V246" s="205">
        <v>16343</v>
      </c>
      <c r="W246" s="205"/>
      <c r="X246" s="64">
        <v>14995</v>
      </c>
      <c r="Y246" s="64">
        <v>1411</v>
      </c>
      <c r="Z246" s="64">
        <v>938</v>
      </c>
      <c r="AA246" s="205">
        <f t="shared" si="115"/>
        <v>17344</v>
      </c>
      <c r="AB246" s="205"/>
      <c r="AC246" s="64">
        <v>14966</v>
      </c>
      <c r="AD246" s="64">
        <v>1292</v>
      </c>
      <c r="AE246" s="64">
        <v>1112</v>
      </c>
      <c r="AF246" s="205">
        <f t="shared" si="92"/>
        <v>17370</v>
      </c>
      <c r="AG246" s="205"/>
      <c r="AH246" s="278">
        <v>14916.042660000001</v>
      </c>
      <c r="AI246" s="64">
        <v>1347.35923</v>
      </c>
      <c r="AJ246" s="64">
        <v>1627.09232</v>
      </c>
      <c r="AK246" s="205">
        <f t="shared" si="93"/>
        <v>17890.494210000001</v>
      </c>
      <c r="AL246" s="205"/>
      <c r="AM246" s="64">
        <v>14245.00942</v>
      </c>
      <c r="AN246" s="64">
        <v>2873.7867299999998</v>
      </c>
      <c r="AO246" s="64">
        <v>1809.3253300000001</v>
      </c>
      <c r="AP246" s="205">
        <f t="shared" si="94"/>
        <v>18928.121480000002</v>
      </c>
      <c r="AQ246" s="205"/>
      <c r="AR246" s="64">
        <v>8126.6958500000001</v>
      </c>
      <c r="AS246" s="64">
        <v>1717.0629799999999</v>
      </c>
      <c r="AT246" s="64">
        <v>1234.89985</v>
      </c>
      <c r="AU246" s="205">
        <f t="shared" si="95"/>
        <v>11078.65868</v>
      </c>
      <c r="AV246" s="205"/>
      <c r="AW246" s="64">
        <v>7686.4486994598265</v>
      </c>
      <c r="AX246" s="64">
        <v>2230.5118016358097</v>
      </c>
      <c r="AY246" s="64">
        <v>909.22937560039827</v>
      </c>
      <c r="AZ246" s="205">
        <f t="shared" si="96"/>
        <v>10826.189876696035</v>
      </c>
      <c r="BA246" s="205"/>
      <c r="BB246" s="64">
        <v>7926.9407296178269</v>
      </c>
      <c r="BC246" s="64">
        <v>2232.3573647641529</v>
      </c>
      <c r="BD246" s="64">
        <v>920.14012810760289</v>
      </c>
      <c r="BE246" s="205">
        <f t="shared" si="91"/>
        <v>11079.438222489583</v>
      </c>
      <c r="BF246" s="205"/>
      <c r="BG246" s="64">
        <v>8123.3740605400108</v>
      </c>
      <c r="BH246" s="64">
        <v>2251.1351692811895</v>
      </c>
      <c r="BI246" s="64">
        <v>964.82225742282264</v>
      </c>
      <c r="BJ246" s="205">
        <f t="shared" si="97"/>
        <v>11339.331487244022</v>
      </c>
      <c r="BK246" s="205"/>
      <c r="BL246" s="64">
        <v>8277.6368081953024</v>
      </c>
      <c r="BM246" s="64">
        <v>2274.3326773454</v>
      </c>
      <c r="BN246" s="64">
        <v>1022.4933778180479</v>
      </c>
      <c r="BO246" s="205">
        <f t="shared" si="98"/>
        <v>11574.462863358751</v>
      </c>
      <c r="BQ246" s="64">
        <v>8463.938077903842</v>
      </c>
      <c r="BR246" s="64">
        <v>2296.3656657277729</v>
      </c>
      <c r="BS246" s="64">
        <v>1058.3429931988635</v>
      </c>
      <c r="BT246" s="205">
        <f t="shared" si="99"/>
        <v>11818.646736830478</v>
      </c>
      <c r="BU246" s="205"/>
      <c r="BV246" s="5">
        <f t="shared" si="100"/>
        <v>17344</v>
      </c>
      <c r="BW246" s="5">
        <f t="shared" si="101"/>
        <v>17370</v>
      </c>
      <c r="BX246" s="5">
        <f t="shared" si="102"/>
        <v>17890.494210000001</v>
      </c>
      <c r="BY246" s="5">
        <f t="shared" si="103"/>
        <v>18928.121480000002</v>
      </c>
      <c r="BZ246" s="5">
        <f t="shared" si="104"/>
        <v>11078.65868</v>
      </c>
      <c r="CA246" s="5">
        <f t="shared" si="105"/>
        <v>10826.189876696035</v>
      </c>
      <c r="CB246" s="5">
        <f t="shared" si="106"/>
        <v>11079.438222489583</v>
      </c>
      <c r="CC246" s="5">
        <f t="shared" si="107"/>
        <v>11339.331487244022</v>
      </c>
      <c r="CD246" s="5">
        <f t="shared" si="108"/>
        <v>11574.462863358751</v>
      </c>
      <c r="CE246" s="5">
        <f t="shared" si="116"/>
        <v>11818.646736830478</v>
      </c>
      <c r="CH246" s="41">
        <f>BV246/'1. Väestöennuste'!I246*1000</f>
        <v>3371.0398445092324</v>
      </c>
      <c r="CI246" s="41">
        <f>BW246/'1. Väestöennuste'!J246*1000</f>
        <v>3450.5363528009534</v>
      </c>
      <c r="CJ246" s="41">
        <f>BX246/'1. Väestöennuste'!K246*1000</f>
        <v>3558.1730727923627</v>
      </c>
      <c r="CK246" s="41">
        <f>BY246/'1. Väestöennuste'!L246*1000</f>
        <v>3865.2484133142743</v>
      </c>
      <c r="CL246" s="41">
        <f>BZ246/'1. Väestöennuste'!M246*1000</f>
        <v>2290.398734752946</v>
      </c>
      <c r="CM246" s="41">
        <f>CA246/'1. Väestöennuste'!N246*1000</f>
        <v>2324.214228573644</v>
      </c>
      <c r="CN246" s="41">
        <f>CB246/'1. Väestöennuste'!O246*1000</f>
        <v>2422.264587339218</v>
      </c>
      <c r="CO246" s="41">
        <f>CC246/'1. Väestöennuste'!P246*1000</f>
        <v>2520.9718735535844</v>
      </c>
      <c r="CP246" s="41">
        <f>CD246/'1. Väestöennuste'!Q246*1000</f>
        <v>2615.6978222279663</v>
      </c>
      <c r="CQ246" s="41">
        <f>CE246/'1. Väestöennuste'!R246*1000</f>
        <v>2714.4342528319885</v>
      </c>
      <c r="CR246" s="41"/>
      <c r="CU246" s="159">
        <f t="shared" si="109"/>
        <v>79.496508291721057</v>
      </c>
      <c r="CV246" s="159">
        <f t="shared" si="110"/>
        <v>107.63671999140934</v>
      </c>
      <c r="CW246" s="159">
        <f t="shared" si="111"/>
        <v>307.07534052191158</v>
      </c>
      <c r="CX246" s="159">
        <f t="shared" si="112"/>
        <v>-1574.8496785613283</v>
      </c>
      <c r="CY246" s="159">
        <f t="shared" si="113"/>
        <v>33.815493820698066</v>
      </c>
      <c r="CZ246" s="159">
        <f t="shared" si="114"/>
        <v>98.050358765573947</v>
      </c>
      <c r="DA246" s="159">
        <f t="shared" si="117"/>
        <v>98.707286214366377</v>
      </c>
      <c r="DB246" s="159">
        <f t="shared" si="118"/>
        <v>94.725948674381925</v>
      </c>
      <c r="DC246" s="159">
        <f t="shared" si="118"/>
        <v>98.736430604022189</v>
      </c>
    </row>
    <row r="247" spans="1:107" x14ac:dyDescent="0.2">
      <c r="A247" s="99">
        <v>11</v>
      </c>
      <c r="B247" s="30">
        <v>749</v>
      </c>
      <c r="C247" s="47" t="s">
        <v>561</v>
      </c>
      <c r="D247" s="64">
        <v>75326.229720000003</v>
      </c>
      <c r="E247" s="64">
        <v>5247.0704400000004</v>
      </c>
      <c r="F247" s="64">
        <v>5435.6155599999993</v>
      </c>
      <c r="G247" s="205">
        <v>85985</v>
      </c>
      <c r="H247" s="205"/>
      <c r="I247" s="64">
        <v>76164</v>
      </c>
      <c r="J247" s="64">
        <v>5294</v>
      </c>
      <c r="K247" s="64">
        <v>3843</v>
      </c>
      <c r="L247" s="205">
        <v>85301</v>
      </c>
      <c r="M247" s="205"/>
      <c r="N247" s="64">
        <v>75886</v>
      </c>
      <c r="O247" s="64">
        <v>5334</v>
      </c>
      <c r="P247" s="64">
        <v>4671</v>
      </c>
      <c r="Q247" s="205">
        <v>85891</v>
      </c>
      <c r="R247" s="205"/>
      <c r="S247" s="64">
        <v>75908</v>
      </c>
      <c r="T247" s="64">
        <v>5323</v>
      </c>
      <c r="U247" s="64">
        <v>3965</v>
      </c>
      <c r="V247" s="205">
        <v>85196</v>
      </c>
      <c r="W247" s="205"/>
      <c r="X247" s="64">
        <v>76285</v>
      </c>
      <c r="Y247" s="64">
        <v>5184</v>
      </c>
      <c r="Z247" s="64">
        <v>3767</v>
      </c>
      <c r="AA247" s="205">
        <f t="shared" si="115"/>
        <v>85236</v>
      </c>
      <c r="AB247" s="205"/>
      <c r="AC247" s="64">
        <v>81672</v>
      </c>
      <c r="AD247" s="64">
        <v>5016</v>
      </c>
      <c r="AE247" s="64">
        <v>4913</v>
      </c>
      <c r="AF247" s="205">
        <f t="shared" si="92"/>
        <v>91601</v>
      </c>
      <c r="AG247" s="205"/>
      <c r="AH247" s="278">
        <v>83956.080400000006</v>
      </c>
      <c r="AI247" s="64">
        <v>5717.2842899999996</v>
      </c>
      <c r="AJ247" s="64">
        <v>7831.1657400000004</v>
      </c>
      <c r="AK247" s="205">
        <f t="shared" si="93"/>
        <v>97504.530429999999</v>
      </c>
      <c r="AL247" s="205"/>
      <c r="AM247" s="64">
        <v>86409.220180000004</v>
      </c>
      <c r="AN247" s="64">
        <v>6057.3802400000004</v>
      </c>
      <c r="AO247" s="64">
        <v>7648.44481</v>
      </c>
      <c r="AP247" s="205">
        <f t="shared" si="94"/>
        <v>100115.04523</v>
      </c>
      <c r="AQ247" s="205"/>
      <c r="AR247" s="64">
        <v>46100.570490000006</v>
      </c>
      <c r="AS247" s="64">
        <v>6766.9481900000001</v>
      </c>
      <c r="AT247" s="64">
        <v>6163.1236200000003</v>
      </c>
      <c r="AU247" s="205">
        <f t="shared" si="95"/>
        <v>59030.642300000007</v>
      </c>
      <c r="AV247" s="205"/>
      <c r="AW247" s="64">
        <v>43924.959502642727</v>
      </c>
      <c r="AX247" s="64">
        <v>6878.8930992843289</v>
      </c>
      <c r="AY247" s="64">
        <v>8827.9478934127164</v>
      </c>
      <c r="AZ247" s="205">
        <f t="shared" si="96"/>
        <v>59631.800495339776</v>
      </c>
      <c r="BA247" s="205"/>
      <c r="BB247" s="64">
        <v>46245.078227775033</v>
      </c>
      <c r="BC247" s="64">
        <v>6967.3859270434978</v>
      </c>
      <c r="BD247" s="64">
        <v>8933.8832681336698</v>
      </c>
      <c r="BE247" s="205">
        <f t="shared" si="91"/>
        <v>62146.347422952203</v>
      </c>
      <c r="BF247" s="205"/>
      <c r="BG247" s="64">
        <v>48312.693389711181</v>
      </c>
      <c r="BH247" s="64">
        <v>7110.5270611577507</v>
      </c>
      <c r="BI247" s="64">
        <v>9367.7138503242368</v>
      </c>
      <c r="BJ247" s="205">
        <f t="shared" si="97"/>
        <v>64790.934301193171</v>
      </c>
      <c r="BK247" s="205"/>
      <c r="BL247" s="64">
        <v>49847.684457781419</v>
      </c>
      <c r="BM247" s="64">
        <v>7270.2657179203088</v>
      </c>
      <c r="BN247" s="64">
        <v>9927.6579738492728</v>
      </c>
      <c r="BO247" s="205">
        <f t="shared" si="98"/>
        <v>67045.608149551001</v>
      </c>
      <c r="BQ247" s="64">
        <v>51556.528825325535</v>
      </c>
      <c r="BR247" s="64">
        <v>7429.0870226883308</v>
      </c>
      <c r="BS247" s="64">
        <v>10275.731347932402</v>
      </c>
      <c r="BT247" s="205">
        <f t="shared" si="99"/>
        <v>69261.347195946277</v>
      </c>
      <c r="BU247" s="205"/>
      <c r="BV247" s="5">
        <f t="shared" si="100"/>
        <v>85236</v>
      </c>
      <c r="BW247" s="5">
        <f t="shared" si="101"/>
        <v>91601</v>
      </c>
      <c r="BX247" s="5">
        <f t="shared" si="102"/>
        <v>97504.530429999999</v>
      </c>
      <c r="BY247" s="5">
        <f t="shared" si="103"/>
        <v>100115.04523</v>
      </c>
      <c r="BZ247" s="5">
        <f t="shared" si="104"/>
        <v>59030.642300000007</v>
      </c>
      <c r="CA247" s="5">
        <f t="shared" si="105"/>
        <v>59631.800495339776</v>
      </c>
      <c r="CB247" s="5">
        <f t="shared" si="106"/>
        <v>62146.347422952203</v>
      </c>
      <c r="CC247" s="5">
        <f t="shared" si="107"/>
        <v>64790.934301193171</v>
      </c>
      <c r="CD247" s="5">
        <f t="shared" si="108"/>
        <v>67045.608149551001</v>
      </c>
      <c r="CE247" s="5">
        <f t="shared" si="116"/>
        <v>69261.347195946277</v>
      </c>
      <c r="CH247" s="41">
        <f>BV247/'1. Väestöennuste'!I247*1000</f>
        <v>3978.7144657610979</v>
      </c>
      <c r="CI247" s="41">
        <f>BW247/'1. Väestöennuste'!J247*1000</f>
        <v>4310.4324502376357</v>
      </c>
      <c r="CJ247" s="41">
        <f>BX247/'1. Väestöennuste'!K247*1000</f>
        <v>4579.1823805945614</v>
      </c>
      <c r="CK247" s="41">
        <f>BY247/'1. Väestöennuste'!L247*1000</f>
        <v>4715.290374434815</v>
      </c>
      <c r="CL247" s="41">
        <f>BZ247/'1. Väestöennuste'!M247*1000</f>
        <v>2772.6933912635041</v>
      </c>
      <c r="CM247" s="41">
        <f>CA247/'1. Väestöennuste'!N247*1000</f>
        <v>2860.8616626050557</v>
      </c>
      <c r="CN247" s="41">
        <f>CB247/'1. Väestöennuste'!O247*1000</f>
        <v>2996.3042969457697</v>
      </c>
      <c r="CO247" s="41">
        <f>CC247/'1. Väestöennuste'!P247*1000</f>
        <v>3141.0740437869381</v>
      </c>
      <c r="CP247" s="41">
        <f>CD247/'1. Väestöennuste'!Q247*1000</f>
        <v>3269.2416690828454</v>
      </c>
      <c r="CQ247" s="41">
        <f>CE247/'1. Väestöennuste'!R247*1000</f>
        <v>3397.3290428187706</v>
      </c>
      <c r="CR247" s="41"/>
      <c r="CU247" s="159">
        <f t="shared" si="109"/>
        <v>331.71798447653782</v>
      </c>
      <c r="CV247" s="159">
        <f t="shared" si="110"/>
        <v>268.74993035692569</v>
      </c>
      <c r="CW247" s="159">
        <f t="shared" si="111"/>
        <v>136.10799384025358</v>
      </c>
      <c r="CX247" s="159">
        <f t="shared" si="112"/>
        <v>-1942.596983171311</v>
      </c>
      <c r="CY247" s="159">
        <f t="shared" si="113"/>
        <v>88.168271341551645</v>
      </c>
      <c r="CZ247" s="159">
        <f t="shared" si="114"/>
        <v>135.44263434071399</v>
      </c>
      <c r="DA247" s="159">
        <f t="shared" si="117"/>
        <v>144.7697468411684</v>
      </c>
      <c r="DB247" s="159">
        <f t="shared" si="118"/>
        <v>128.16762529590733</v>
      </c>
      <c r="DC247" s="159">
        <f t="shared" si="118"/>
        <v>128.08737373592521</v>
      </c>
    </row>
    <row r="248" spans="1:107" x14ac:dyDescent="0.2">
      <c r="A248" s="99">
        <v>19</v>
      </c>
      <c r="B248" s="30">
        <v>751</v>
      </c>
      <c r="C248" s="47" t="s">
        <v>562</v>
      </c>
      <c r="D248" s="64">
        <v>10766.6183</v>
      </c>
      <c r="E248" s="64">
        <v>747.25125000000003</v>
      </c>
      <c r="F248" s="64">
        <v>323.41038000000003</v>
      </c>
      <c r="G248" s="205">
        <v>11837</v>
      </c>
      <c r="H248" s="205"/>
      <c r="I248" s="64">
        <v>10695</v>
      </c>
      <c r="J248" s="64">
        <v>895</v>
      </c>
      <c r="K248" s="64">
        <v>296</v>
      </c>
      <c r="L248" s="205">
        <v>11887</v>
      </c>
      <c r="M248" s="205"/>
      <c r="N248" s="64">
        <v>10483</v>
      </c>
      <c r="O248" s="64">
        <v>1118</v>
      </c>
      <c r="P248" s="64">
        <v>357</v>
      </c>
      <c r="Q248" s="205">
        <v>11958</v>
      </c>
      <c r="R248" s="205"/>
      <c r="S248" s="64">
        <v>9988</v>
      </c>
      <c r="T248" s="64">
        <v>1619</v>
      </c>
      <c r="U248" s="64">
        <v>344</v>
      </c>
      <c r="V248" s="205">
        <v>11951</v>
      </c>
      <c r="W248" s="205"/>
      <c r="X248" s="64">
        <v>10338</v>
      </c>
      <c r="Y248" s="64">
        <v>1653</v>
      </c>
      <c r="Z248" s="64">
        <v>347</v>
      </c>
      <c r="AA248" s="205">
        <f t="shared" si="115"/>
        <v>12338</v>
      </c>
      <c r="AB248" s="205"/>
      <c r="AC248" s="64">
        <v>10410</v>
      </c>
      <c r="AD248" s="64">
        <v>1448</v>
      </c>
      <c r="AE248" s="64">
        <v>336</v>
      </c>
      <c r="AF248" s="205">
        <f t="shared" si="92"/>
        <v>12194</v>
      </c>
      <c r="AG248" s="205"/>
      <c r="AH248" s="278">
        <v>11006.200640000001</v>
      </c>
      <c r="AI248" s="64">
        <v>1488.9085700000001</v>
      </c>
      <c r="AJ248" s="64">
        <v>487.46415000000002</v>
      </c>
      <c r="AK248" s="205">
        <f t="shared" si="93"/>
        <v>12982.57336</v>
      </c>
      <c r="AL248" s="205"/>
      <c r="AM248" s="64">
        <v>10996.38055</v>
      </c>
      <c r="AN248" s="64">
        <v>2303.68325</v>
      </c>
      <c r="AO248" s="64">
        <v>476.71148999999997</v>
      </c>
      <c r="AP248" s="205">
        <f t="shared" si="94"/>
        <v>13776.77529</v>
      </c>
      <c r="AQ248" s="205"/>
      <c r="AR248" s="64">
        <v>5934.9637599999996</v>
      </c>
      <c r="AS248" s="64">
        <v>2379.51712</v>
      </c>
      <c r="AT248" s="64">
        <v>328.66909999999996</v>
      </c>
      <c r="AU248" s="205">
        <f t="shared" si="95"/>
        <v>8643.1499799999983</v>
      </c>
      <c r="AV248" s="205"/>
      <c r="AW248" s="64">
        <v>5360.0755598277747</v>
      </c>
      <c r="AX248" s="64">
        <v>2316.8165850964192</v>
      </c>
      <c r="AY248" s="64">
        <v>296.24619883863835</v>
      </c>
      <c r="AZ248" s="205">
        <f t="shared" si="96"/>
        <v>7973.1383437628319</v>
      </c>
      <c r="BA248" s="205"/>
      <c r="BB248" s="64">
        <v>5594.6901805687567</v>
      </c>
      <c r="BC248" s="64">
        <v>2327.4210804109152</v>
      </c>
      <c r="BD248" s="64">
        <v>299.80115322470198</v>
      </c>
      <c r="BE248" s="205">
        <f t="shared" si="91"/>
        <v>8221.9124142043747</v>
      </c>
      <c r="BF248" s="205"/>
      <c r="BG248" s="64">
        <v>5693.3624941590833</v>
      </c>
      <c r="BH248" s="64">
        <v>2355.9459377782705</v>
      </c>
      <c r="BI248" s="64">
        <v>314.35953785334368</v>
      </c>
      <c r="BJ248" s="205">
        <f t="shared" si="97"/>
        <v>8363.6679697906984</v>
      </c>
      <c r="BK248" s="205"/>
      <c r="BL248" s="64">
        <v>5778.494717573356</v>
      </c>
      <c r="BM248" s="64">
        <v>2389.4601690566651</v>
      </c>
      <c r="BN248" s="64">
        <v>333.150011036823</v>
      </c>
      <c r="BO248" s="205">
        <f t="shared" si="98"/>
        <v>8501.1048976668444</v>
      </c>
      <c r="BQ248" s="64">
        <v>5900.9487708812921</v>
      </c>
      <c r="BR248" s="64">
        <v>2422.142310890642</v>
      </c>
      <c r="BS248" s="64">
        <v>344.83057544817501</v>
      </c>
      <c r="BT248" s="205">
        <f t="shared" si="99"/>
        <v>8667.9216572201094</v>
      </c>
      <c r="BU248" s="205"/>
      <c r="BV248" s="5">
        <f t="shared" si="100"/>
        <v>12338</v>
      </c>
      <c r="BW248" s="5">
        <f t="shared" si="101"/>
        <v>12194</v>
      </c>
      <c r="BX248" s="5">
        <f t="shared" si="102"/>
        <v>12982.57336</v>
      </c>
      <c r="BY248" s="5">
        <f t="shared" si="103"/>
        <v>13776.77529</v>
      </c>
      <c r="BZ248" s="5">
        <f t="shared" si="104"/>
        <v>8643.1499799999983</v>
      </c>
      <c r="CA248" s="5">
        <f t="shared" si="105"/>
        <v>7973.1383437628319</v>
      </c>
      <c r="CB248" s="5">
        <f t="shared" si="106"/>
        <v>8221.9124142043747</v>
      </c>
      <c r="CC248" s="5">
        <f t="shared" si="107"/>
        <v>8363.6679697906984</v>
      </c>
      <c r="CD248" s="5">
        <f t="shared" si="108"/>
        <v>8501.1048976668444</v>
      </c>
      <c r="CE248" s="5">
        <f t="shared" si="116"/>
        <v>8667.9216572201094</v>
      </c>
      <c r="CH248" s="41">
        <f>BV248/'1. Väestöennuste'!I248*1000</f>
        <v>4129.1834002677379</v>
      </c>
      <c r="CI248" s="41">
        <f>BW248/'1. Väestöennuste'!J248*1000</f>
        <v>4133.5593220338978</v>
      </c>
      <c r="CJ248" s="41">
        <f>BX248/'1. Väestöennuste'!K248*1000</f>
        <v>4470.5831129476592</v>
      </c>
      <c r="CK248" s="41">
        <f>BY248/'1. Väestöennuste'!L248*1000</f>
        <v>4788.5906465067783</v>
      </c>
      <c r="CL248" s="41">
        <f>BZ248/'1. Väestöennuste'!M248*1000</f>
        <v>3056.2765134370575</v>
      </c>
      <c r="CM248" s="41">
        <f>CA248/'1. Väestöennuste'!N248*1000</f>
        <v>2883.5943377080766</v>
      </c>
      <c r="CN248" s="41">
        <f>CB248/'1. Väestöennuste'!O248*1000</f>
        <v>3022.7619169869026</v>
      </c>
      <c r="CO248" s="41">
        <f>CC248/'1. Väestöennuste'!P248*1000</f>
        <v>3123.1023038800217</v>
      </c>
      <c r="CP248" s="41">
        <f>CD248/'1. Väestöennuste'!Q248*1000</f>
        <v>3218.8962126720353</v>
      </c>
      <c r="CQ248" s="41">
        <f>CE248/'1. Väestöennuste'!R248*1000</f>
        <v>3333.8160220077343</v>
      </c>
      <c r="CR248" s="41"/>
      <c r="CU248" s="159">
        <f t="shared" si="109"/>
        <v>4.3759217661599905</v>
      </c>
      <c r="CV248" s="159">
        <f t="shared" si="110"/>
        <v>337.02379091376133</v>
      </c>
      <c r="CW248" s="159">
        <f t="shared" si="111"/>
        <v>318.00753355911911</v>
      </c>
      <c r="CX248" s="159">
        <f t="shared" si="112"/>
        <v>-1732.3141330697208</v>
      </c>
      <c r="CY248" s="159">
        <f t="shared" si="113"/>
        <v>-172.68217572898084</v>
      </c>
      <c r="CZ248" s="159">
        <f t="shared" si="114"/>
        <v>139.167579278826</v>
      </c>
      <c r="DA248" s="159">
        <f t="shared" si="117"/>
        <v>100.3403868931191</v>
      </c>
      <c r="DB248" s="159">
        <f t="shared" si="118"/>
        <v>95.793908792013553</v>
      </c>
      <c r="DC248" s="159">
        <f t="shared" si="118"/>
        <v>114.91980933569903</v>
      </c>
    </row>
    <row r="249" spans="1:107" x14ac:dyDescent="0.2">
      <c r="A249" s="99">
        <v>1</v>
      </c>
      <c r="B249" s="30">
        <v>753</v>
      </c>
      <c r="C249" s="47" t="s">
        <v>563</v>
      </c>
      <c r="D249" s="64">
        <v>75498.967879999997</v>
      </c>
      <c r="E249" s="64">
        <v>7598.1611199999998</v>
      </c>
      <c r="F249" s="64">
        <v>4104.0142900000001</v>
      </c>
      <c r="G249" s="205">
        <v>87201</v>
      </c>
      <c r="H249" s="205"/>
      <c r="I249" s="64">
        <v>80235</v>
      </c>
      <c r="J249" s="64">
        <v>8390</v>
      </c>
      <c r="K249" s="64">
        <v>4073</v>
      </c>
      <c r="L249" s="205">
        <v>84157</v>
      </c>
      <c r="M249" s="205"/>
      <c r="N249" s="64">
        <v>83264</v>
      </c>
      <c r="O249" s="64">
        <v>8957</v>
      </c>
      <c r="P249" s="64">
        <v>4678</v>
      </c>
      <c r="Q249" s="205">
        <v>96899</v>
      </c>
      <c r="R249" s="205"/>
      <c r="S249" s="64">
        <v>84729</v>
      </c>
      <c r="T249" s="64">
        <v>9443</v>
      </c>
      <c r="U249" s="64">
        <v>4774</v>
      </c>
      <c r="V249" s="205">
        <v>98946</v>
      </c>
      <c r="W249" s="205"/>
      <c r="X249" s="64">
        <v>88839</v>
      </c>
      <c r="Y249" s="64">
        <v>10016</v>
      </c>
      <c r="Z249" s="64">
        <v>4366</v>
      </c>
      <c r="AA249" s="205">
        <f t="shared" si="115"/>
        <v>103221</v>
      </c>
      <c r="AB249" s="205"/>
      <c r="AC249" s="64">
        <v>92585</v>
      </c>
      <c r="AD249" s="64">
        <v>9110</v>
      </c>
      <c r="AE249" s="64">
        <v>5349</v>
      </c>
      <c r="AF249" s="205">
        <f t="shared" si="92"/>
        <v>107044</v>
      </c>
      <c r="AG249" s="205"/>
      <c r="AH249" s="278">
        <v>97682.756410000002</v>
      </c>
      <c r="AI249" s="64">
        <v>9850.3511099999996</v>
      </c>
      <c r="AJ249" s="64">
        <v>7570.6215599999996</v>
      </c>
      <c r="AK249" s="205">
        <f t="shared" si="93"/>
        <v>115103.72908</v>
      </c>
      <c r="AL249" s="205"/>
      <c r="AM249" s="64">
        <v>103992.85593000001</v>
      </c>
      <c r="AN249" s="64">
        <v>10644.448550000001</v>
      </c>
      <c r="AO249" s="64">
        <v>7566.76926</v>
      </c>
      <c r="AP249" s="205">
        <f t="shared" si="94"/>
        <v>122204.07374000001</v>
      </c>
      <c r="AQ249" s="205"/>
      <c r="AR249" s="64">
        <v>44787.613659999995</v>
      </c>
      <c r="AS249" s="64">
        <v>11624.089250000001</v>
      </c>
      <c r="AT249" s="64">
        <v>5981.02862</v>
      </c>
      <c r="AU249" s="205">
        <f t="shared" si="95"/>
        <v>62392.73152999999</v>
      </c>
      <c r="AV249" s="205"/>
      <c r="AW249" s="64">
        <v>42633.256451223708</v>
      </c>
      <c r="AX249" s="64">
        <v>13728.440020239386</v>
      </c>
      <c r="AY249" s="64">
        <v>4587.5857037162887</v>
      </c>
      <c r="AZ249" s="205">
        <f t="shared" si="96"/>
        <v>60949.282175179382</v>
      </c>
      <c r="BA249" s="205"/>
      <c r="BB249" s="64">
        <v>45935.689105170131</v>
      </c>
      <c r="BC249" s="64">
        <v>14084.10606180679</v>
      </c>
      <c r="BD249" s="64">
        <v>4642.6367321608841</v>
      </c>
      <c r="BE249" s="205">
        <f t="shared" si="91"/>
        <v>64662.43189913781</v>
      </c>
      <c r="BF249" s="205"/>
      <c r="BG249" s="64">
        <v>48566.916488969575</v>
      </c>
      <c r="BH249" s="64">
        <v>14558.996590687462</v>
      </c>
      <c r="BI249" s="64">
        <v>4868.0838010292282</v>
      </c>
      <c r="BJ249" s="205">
        <f t="shared" si="97"/>
        <v>67993.99688068626</v>
      </c>
      <c r="BK249" s="205"/>
      <c r="BL249" s="64">
        <v>50983.027299546389</v>
      </c>
      <c r="BM249" s="64">
        <v>15078.686027239699</v>
      </c>
      <c r="BN249" s="64">
        <v>5159.0678085220898</v>
      </c>
      <c r="BO249" s="205">
        <f t="shared" si="98"/>
        <v>71220.781135308178</v>
      </c>
      <c r="BQ249" s="64">
        <v>53567.061676418612</v>
      </c>
      <c r="BR249" s="64">
        <v>15607.934978072706</v>
      </c>
      <c r="BS249" s="64">
        <v>5339.9497591257605</v>
      </c>
      <c r="BT249" s="205">
        <f t="shared" si="99"/>
        <v>74514.946413617086</v>
      </c>
      <c r="BU249" s="205"/>
      <c r="BV249" s="5">
        <f t="shared" si="100"/>
        <v>103221</v>
      </c>
      <c r="BW249" s="5">
        <f t="shared" si="101"/>
        <v>107044</v>
      </c>
      <c r="BX249" s="5">
        <f t="shared" si="102"/>
        <v>115103.72908</v>
      </c>
      <c r="BY249" s="5">
        <f t="shared" si="103"/>
        <v>122204.07374000001</v>
      </c>
      <c r="BZ249" s="5">
        <f t="shared" si="104"/>
        <v>62392.73152999999</v>
      </c>
      <c r="CA249" s="5">
        <f t="shared" si="105"/>
        <v>60949.282175179382</v>
      </c>
      <c r="CB249" s="5">
        <f t="shared" si="106"/>
        <v>64662.43189913781</v>
      </c>
      <c r="CC249" s="5">
        <f t="shared" si="107"/>
        <v>67993.99688068626</v>
      </c>
      <c r="CD249" s="5">
        <f t="shared" si="108"/>
        <v>71220.781135308178</v>
      </c>
      <c r="CE249" s="5">
        <f t="shared" si="116"/>
        <v>74514.946413617086</v>
      </c>
      <c r="CH249" s="41">
        <f>BV249/'1. Väestöennuste'!I249*1000</f>
        <v>4875.8148323098731</v>
      </c>
      <c r="CI249" s="41">
        <f>BW249/'1. Väestöennuste'!J249*1000</f>
        <v>4935.8601927421951</v>
      </c>
      <c r="CJ249" s="41">
        <f>BX249/'1. Väestöennuste'!K249*1000</f>
        <v>5187.1892329878328</v>
      </c>
      <c r="CK249" s="41">
        <f>BY249/'1. Väestöennuste'!L249*1000</f>
        <v>5475.0929094982084</v>
      </c>
      <c r="CL249" s="41">
        <f>BZ249/'1. Väestöennuste'!M249*1000</f>
        <v>2761.351251604337</v>
      </c>
      <c r="CM249" s="41">
        <f>CA249/'1. Väestöennuste'!N249*1000</f>
        <v>2622.602503234913</v>
      </c>
      <c r="CN249" s="41">
        <f>CB249/'1. Väestöennuste'!O249*1000</f>
        <v>2739.4692382281737</v>
      </c>
      <c r="CO249" s="41">
        <f>CC249/'1. Väestöennuste'!P249*1000</f>
        <v>2837.8128915144516</v>
      </c>
      <c r="CP249" s="41">
        <f>CD249/'1. Väestöennuste'!Q249*1000</f>
        <v>2930.6551368326959</v>
      </c>
      <c r="CQ249" s="41">
        <f>CE249/'1. Väestöennuste'!R249*1000</f>
        <v>3025.2505547325359</v>
      </c>
      <c r="CR249" s="41"/>
      <c r="CU249" s="159">
        <f t="shared" si="109"/>
        <v>60.045360432322013</v>
      </c>
      <c r="CV249" s="159">
        <f t="shared" si="110"/>
        <v>251.32904024563777</v>
      </c>
      <c r="CW249" s="159">
        <f t="shared" si="111"/>
        <v>287.90367651037559</v>
      </c>
      <c r="CX249" s="159">
        <f t="shared" si="112"/>
        <v>-2713.7416578938714</v>
      </c>
      <c r="CY249" s="159">
        <f t="shared" si="113"/>
        <v>-138.74874836942399</v>
      </c>
      <c r="CZ249" s="159">
        <f t="shared" si="114"/>
        <v>116.86673499326071</v>
      </c>
      <c r="DA249" s="159">
        <f t="shared" si="117"/>
        <v>98.343653286277913</v>
      </c>
      <c r="DB249" s="159">
        <f t="shared" si="118"/>
        <v>92.842245318244295</v>
      </c>
      <c r="DC249" s="159">
        <f t="shared" si="118"/>
        <v>94.595417899839958</v>
      </c>
    </row>
    <row r="250" spans="1:107" x14ac:dyDescent="0.2">
      <c r="A250" s="99">
        <v>1</v>
      </c>
      <c r="B250" s="30">
        <v>755</v>
      </c>
      <c r="C250" s="47" t="s">
        <v>564</v>
      </c>
      <c r="D250" s="64">
        <v>25166.484640000002</v>
      </c>
      <c r="E250" s="64">
        <v>2116.8292099999999</v>
      </c>
      <c r="F250" s="64">
        <v>558.65131999999994</v>
      </c>
      <c r="G250" s="205">
        <v>27833</v>
      </c>
      <c r="H250" s="205"/>
      <c r="I250" s="64">
        <v>26738</v>
      </c>
      <c r="J250" s="64">
        <v>2097</v>
      </c>
      <c r="K250" s="64">
        <v>440</v>
      </c>
      <c r="L250" s="205">
        <v>29275</v>
      </c>
      <c r="M250" s="205"/>
      <c r="N250" s="64">
        <v>26426</v>
      </c>
      <c r="O250" s="64">
        <v>2153</v>
      </c>
      <c r="P250" s="64">
        <v>556</v>
      </c>
      <c r="Q250" s="205">
        <v>29135</v>
      </c>
      <c r="R250" s="205"/>
      <c r="S250" s="64">
        <v>26067</v>
      </c>
      <c r="T250" s="64">
        <v>2202</v>
      </c>
      <c r="U250" s="64">
        <v>597</v>
      </c>
      <c r="V250" s="205">
        <v>28866</v>
      </c>
      <c r="W250" s="205"/>
      <c r="X250" s="64">
        <v>26773</v>
      </c>
      <c r="Y250" s="64">
        <v>2235</v>
      </c>
      <c r="Z250" s="64">
        <v>631</v>
      </c>
      <c r="AA250" s="205">
        <f t="shared" si="115"/>
        <v>29639</v>
      </c>
      <c r="AB250" s="205"/>
      <c r="AC250" s="64">
        <v>27534</v>
      </c>
      <c r="AD250" s="64">
        <v>2049</v>
      </c>
      <c r="AE250" s="64">
        <v>691</v>
      </c>
      <c r="AF250" s="205">
        <f t="shared" si="92"/>
        <v>30274</v>
      </c>
      <c r="AG250" s="205"/>
      <c r="AH250" s="278">
        <v>28193.591350000002</v>
      </c>
      <c r="AI250" s="64">
        <v>2292.2755499999998</v>
      </c>
      <c r="AJ250" s="64">
        <v>1035.6585400000001</v>
      </c>
      <c r="AK250" s="205">
        <f t="shared" si="93"/>
        <v>31521.525440000001</v>
      </c>
      <c r="AL250" s="205"/>
      <c r="AM250" s="64">
        <v>30511.383610000001</v>
      </c>
      <c r="AN250" s="64">
        <v>1945.0586000000001</v>
      </c>
      <c r="AO250" s="64">
        <v>1189.42076</v>
      </c>
      <c r="AP250" s="205">
        <f t="shared" si="94"/>
        <v>33645.862970000002</v>
      </c>
      <c r="AQ250" s="205"/>
      <c r="AR250" s="64">
        <v>15076.984210000001</v>
      </c>
      <c r="AS250" s="64">
        <v>2579.9890800000003</v>
      </c>
      <c r="AT250" s="64">
        <v>781.82057999999995</v>
      </c>
      <c r="AU250" s="205">
        <f t="shared" si="95"/>
        <v>18438.793870000001</v>
      </c>
      <c r="AV250" s="205"/>
      <c r="AW250" s="64">
        <v>14027.095044814232</v>
      </c>
      <c r="AX250" s="64">
        <v>2820.3375296029062</v>
      </c>
      <c r="AY250" s="64">
        <v>521.69565372345676</v>
      </c>
      <c r="AZ250" s="205">
        <f t="shared" si="96"/>
        <v>17369.128228140595</v>
      </c>
      <c r="BA250" s="205"/>
      <c r="BB250" s="64">
        <v>15026.940024610114</v>
      </c>
      <c r="BC250" s="64">
        <v>2924.9503107916662</v>
      </c>
      <c r="BD250" s="64">
        <v>527.95600156813816</v>
      </c>
      <c r="BE250" s="205">
        <f t="shared" si="91"/>
        <v>18479.84633696992</v>
      </c>
      <c r="BF250" s="205"/>
      <c r="BG250" s="64">
        <v>15725.704527487365</v>
      </c>
      <c r="BH250" s="64">
        <v>3058.755671753489</v>
      </c>
      <c r="BI250" s="64">
        <v>553.59361655111957</v>
      </c>
      <c r="BJ250" s="205">
        <f t="shared" si="97"/>
        <v>19338.053815791973</v>
      </c>
      <c r="BK250" s="205"/>
      <c r="BL250" s="64">
        <v>16297.980770086382</v>
      </c>
      <c r="BM250" s="64">
        <v>3207.1159959412544</v>
      </c>
      <c r="BN250" s="64">
        <v>586.68402658729303</v>
      </c>
      <c r="BO250" s="205">
        <f t="shared" si="98"/>
        <v>20091.780792614929</v>
      </c>
      <c r="BQ250" s="64">
        <v>16914.076273681741</v>
      </c>
      <c r="BR250" s="64">
        <v>3363.1527439396746</v>
      </c>
      <c r="BS250" s="64">
        <v>607.25374093410369</v>
      </c>
      <c r="BT250" s="205">
        <f t="shared" si="99"/>
        <v>20884.482758555518</v>
      </c>
      <c r="BU250" s="205"/>
      <c r="BV250" s="5">
        <f t="shared" si="100"/>
        <v>29639</v>
      </c>
      <c r="BW250" s="5">
        <f t="shared" si="101"/>
        <v>30274</v>
      </c>
      <c r="BX250" s="5">
        <f t="shared" si="102"/>
        <v>31521.525440000001</v>
      </c>
      <c r="BY250" s="5">
        <f t="shared" si="103"/>
        <v>33645.862970000002</v>
      </c>
      <c r="BZ250" s="5">
        <f t="shared" si="104"/>
        <v>18438.793870000001</v>
      </c>
      <c r="CA250" s="5">
        <f t="shared" si="105"/>
        <v>17369.128228140595</v>
      </c>
      <c r="CB250" s="5">
        <f t="shared" si="106"/>
        <v>18479.84633696992</v>
      </c>
      <c r="CC250" s="5">
        <f t="shared" si="107"/>
        <v>19338.053815791973</v>
      </c>
      <c r="CD250" s="5">
        <f t="shared" si="108"/>
        <v>20091.780792614929</v>
      </c>
      <c r="CE250" s="5">
        <f t="shared" si="116"/>
        <v>20884.482758555518</v>
      </c>
      <c r="CH250" s="41">
        <f>BV250/'1. Väestöennuste'!I250*1000</f>
        <v>4823.2709519934906</v>
      </c>
      <c r="CI250" s="41">
        <f>BW250/'1. Väestöennuste'!J250*1000</f>
        <v>4923.4021792161329</v>
      </c>
      <c r="CJ250" s="41">
        <f>BX250/'1. Väestöennuste'!K250*1000</f>
        <v>5085.7575734107777</v>
      </c>
      <c r="CK250" s="41">
        <f>BY250/'1. Väestöennuste'!L250*1000</f>
        <v>5411.9129757117589</v>
      </c>
      <c r="CL250" s="41">
        <f>BZ250/'1. Väestöennuste'!M250*1000</f>
        <v>2994.2828629425139</v>
      </c>
      <c r="CM250" s="41">
        <f>CA250/'1. Väestöennuste'!N250*1000</f>
        <v>2805.5448599807132</v>
      </c>
      <c r="CN250" s="41">
        <f>CB250/'1. Väestöennuste'!O250*1000</f>
        <v>2980.6203769306321</v>
      </c>
      <c r="CO250" s="41">
        <f>CC250/'1. Väestöennuste'!P250*1000</f>
        <v>3115.5234115985136</v>
      </c>
      <c r="CP250" s="41">
        <f>CD250/'1. Väestöennuste'!Q250*1000</f>
        <v>3234.3497734409093</v>
      </c>
      <c r="CQ250" s="41">
        <f>CE250/'1. Väestöennuste'!R250*1000</f>
        <v>3359.2541030328962</v>
      </c>
      <c r="CR250" s="41"/>
      <c r="CU250" s="159">
        <f t="shared" si="109"/>
        <v>100.13122722264234</v>
      </c>
      <c r="CV250" s="159">
        <f t="shared" si="110"/>
        <v>162.35539419464476</v>
      </c>
      <c r="CW250" s="159">
        <f t="shared" si="111"/>
        <v>326.15540230098122</v>
      </c>
      <c r="CX250" s="159">
        <f t="shared" si="112"/>
        <v>-2417.630112769245</v>
      </c>
      <c r="CY250" s="159">
        <f t="shared" si="113"/>
        <v>-188.7380029618007</v>
      </c>
      <c r="CZ250" s="159">
        <f t="shared" si="114"/>
        <v>175.07551694991889</v>
      </c>
      <c r="DA250" s="159">
        <f t="shared" si="117"/>
        <v>134.90303466788146</v>
      </c>
      <c r="DB250" s="159">
        <f t="shared" si="118"/>
        <v>118.82636184239573</v>
      </c>
      <c r="DC250" s="159">
        <f t="shared" si="118"/>
        <v>124.90432959198688</v>
      </c>
    </row>
    <row r="251" spans="1:107" x14ac:dyDescent="0.2">
      <c r="A251" s="99">
        <v>19</v>
      </c>
      <c r="B251" s="30">
        <v>758</v>
      </c>
      <c r="C251" s="47" t="s">
        <v>565</v>
      </c>
      <c r="D251" s="64">
        <v>27423.774829999998</v>
      </c>
      <c r="E251" s="64">
        <v>6813.3805700000003</v>
      </c>
      <c r="F251" s="64">
        <v>2324.3720800000001</v>
      </c>
      <c r="G251" s="205">
        <v>36541</v>
      </c>
      <c r="H251" s="205"/>
      <c r="I251" s="64">
        <v>27447</v>
      </c>
      <c r="J251" s="64">
        <v>7115</v>
      </c>
      <c r="K251" s="64">
        <v>2408</v>
      </c>
      <c r="L251" s="205">
        <v>36971</v>
      </c>
      <c r="M251" s="205"/>
      <c r="N251" s="64">
        <v>26238</v>
      </c>
      <c r="O251" s="64">
        <v>7394</v>
      </c>
      <c r="P251" s="64">
        <v>2907</v>
      </c>
      <c r="Q251" s="205">
        <v>36539</v>
      </c>
      <c r="R251" s="205"/>
      <c r="S251" s="64">
        <v>25952</v>
      </c>
      <c r="T251" s="64">
        <v>7956</v>
      </c>
      <c r="U251" s="64">
        <v>2378</v>
      </c>
      <c r="V251" s="205">
        <v>36286</v>
      </c>
      <c r="W251" s="205"/>
      <c r="X251" s="64">
        <v>26692</v>
      </c>
      <c r="Y251" s="64">
        <v>7915</v>
      </c>
      <c r="Z251" s="64">
        <v>2681</v>
      </c>
      <c r="AA251" s="205">
        <f t="shared" si="115"/>
        <v>37288</v>
      </c>
      <c r="AB251" s="205"/>
      <c r="AC251" s="64">
        <v>29619</v>
      </c>
      <c r="AD251" s="64">
        <v>7345</v>
      </c>
      <c r="AE251" s="64">
        <v>4250</v>
      </c>
      <c r="AF251" s="205">
        <f t="shared" si="92"/>
        <v>41214</v>
      </c>
      <c r="AG251" s="205"/>
      <c r="AH251" s="278">
        <v>29456.718399999998</v>
      </c>
      <c r="AI251" s="64">
        <v>7889.5483899999999</v>
      </c>
      <c r="AJ251" s="64">
        <v>6591.2019500000006</v>
      </c>
      <c r="AK251" s="205">
        <f t="shared" si="93"/>
        <v>43937.468739999997</v>
      </c>
      <c r="AL251" s="205"/>
      <c r="AM251" s="64">
        <v>30061.205719999998</v>
      </c>
      <c r="AN251" s="64">
        <v>8192.5987000000005</v>
      </c>
      <c r="AO251" s="64">
        <v>5215.2574299999997</v>
      </c>
      <c r="AP251" s="205">
        <f t="shared" si="94"/>
        <v>43469.061849999998</v>
      </c>
      <c r="AQ251" s="205"/>
      <c r="AR251" s="64">
        <v>15651.63984</v>
      </c>
      <c r="AS251" s="64">
        <v>8404.9470199999996</v>
      </c>
      <c r="AT251" s="64">
        <v>4997.2366099999999</v>
      </c>
      <c r="AU251" s="205">
        <f t="shared" si="95"/>
        <v>29053.823469999999</v>
      </c>
      <c r="AV251" s="205"/>
      <c r="AW251" s="64">
        <v>13779.430541284244</v>
      </c>
      <c r="AX251" s="64">
        <v>8774.2581837797643</v>
      </c>
      <c r="AY251" s="64">
        <v>8550.257364109355</v>
      </c>
      <c r="AZ251" s="205">
        <f t="shared" si="96"/>
        <v>31103.946089173362</v>
      </c>
      <c r="BA251" s="205"/>
      <c r="BB251" s="64">
        <v>14268.857238302966</v>
      </c>
      <c r="BC251" s="64">
        <v>8885.379102735269</v>
      </c>
      <c r="BD251" s="64">
        <v>8652.860452478666</v>
      </c>
      <c r="BE251" s="205">
        <f t="shared" si="91"/>
        <v>31807.096793516903</v>
      </c>
      <c r="BF251" s="205"/>
      <c r="BG251" s="64">
        <v>14793.563164887804</v>
      </c>
      <c r="BH251" s="64">
        <v>9067.5673642377969</v>
      </c>
      <c r="BI251" s="64">
        <v>9073.0445286577542</v>
      </c>
      <c r="BJ251" s="205">
        <f t="shared" si="97"/>
        <v>32934.175057783352</v>
      </c>
      <c r="BK251" s="205"/>
      <c r="BL251" s="64">
        <v>15202.558843299474</v>
      </c>
      <c r="BM251" s="64">
        <v>9272.379169253587</v>
      </c>
      <c r="BN251" s="64">
        <v>9615.3751386098338</v>
      </c>
      <c r="BO251" s="205">
        <f t="shared" si="98"/>
        <v>34090.313151162889</v>
      </c>
      <c r="BQ251" s="64">
        <v>15657.252148421809</v>
      </c>
      <c r="BR251" s="64">
        <v>9477.5823756327845</v>
      </c>
      <c r="BS251" s="64">
        <v>9952.4995718232876</v>
      </c>
      <c r="BT251" s="205">
        <f t="shared" si="99"/>
        <v>35087.334095877879</v>
      </c>
      <c r="BU251" s="205"/>
      <c r="BV251" s="5">
        <f t="shared" si="100"/>
        <v>37288</v>
      </c>
      <c r="BW251" s="5">
        <f t="shared" si="101"/>
        <v>41214</v>
      </c>
      <c r="BX251" s="5">
        <f t="shared" si="102"/>
        <v>43937.468739999997</v>
      </c>
      <c r="BY251" s="5">
        <f t="shared" si="103"/>
        <v>43469.061849999998</v>
      </c>
      <c r="BZ251" s="5">
        <f t="shared" si="104"/>
        <v>29053.823469999999</v>
      </c>
      <c r="CA251" s="5">
        <f t="shared" si="105"/>
        <v>31103.946089173362</v>
      </c>
      <c r="CB251" s="5">
        <f t="shared" si="106"/>
        <v>31807.096793516903</v>
      </c>
      <c r="CC251" s="5">
        <f t="shared" si="107"/>
        <v>32934.175057783352</v>
      </c>
      <c r="CD251" s="5">
        <f t="shared" si="108"/>
        <v>34090.313151162889</v>
      </c>
      <c r="CE251" s="5">
        <f t="shared" si="116"/>
        <v>35087.334095877879</v>
      </c>
      <c r="CH251" s="41">
        <f>BV251/'1. Väestöennuste'!I251*1000</f>
        <v>4490.9069011200772</v>
      </c>
      <c r="CI251" s="41">
        <f>BW251/'1. Väestöennuste'!J251*1000</f>
        <v>4985.9666102105011</v>
      </c>
      <c r="CJ251" s="41">
        <f>BX251/'1. Väestöennuste'!K251*1000</f>
        <v>5366.7361353365086</v>
      </c>
      <c r="CK251" s="41">
        <f>BY251/'1. Väestöennuste'!L251*1000</f>
        <v>5344.1187423162028</v>
      </c>
      <c r="CL251" s="41">
        <f>BZ251/'1. Väestöennuste'!M251*1000</f>
        <v>3575.4151452128967</v>
      </c>
      <c r="CM251" s="41">
        <f>CA251/'1. Väestöennuste'!N251*1000</f>
        <v>3947.7022577958323</v>
      </c>
      <c r="CN251" s="41">
        <f>CB251/'1. Väestöennuste'!O251*1000</f>
        <v>4078.8787886018081</v>
      </c>
      <c r="CO251" s="41">
        <f>CC251/'1. Väestöennuste'!P251*1000</f>
        <v>4267.7433015139759</v>
      </c>
      <c r="CP251" s="41">
        <f>CD251/'1. Väestöennuste'!Q251*1000</f>
        <v>4465.0049968779158</v>
      </c>
      <c r="CQ251" s="41">
        <f>CE251/'1. Väestöennuste'!R251*1000</f>
        <v>4643.0242286460079</v>
      </c>
      <c r="CR251" s="41"/>
      <c r="CU251" s="159">
        <f t="shared" si="109"/>
        <v>495.05970909042389</v>
      </c>
      <c r="CV251" s="159">
        <f t="shared" si="110"/>
        <v>380.76952512600747</v>
      </c>
      <c r="CW251" s="159">
        <f t="shared" si="111"/>
        <v>-22.617393020305826</v>
      </c>
      <c r="CX251" s="159">
        <f t="shared" si="112"/>
        <v>-1768.703597103306</v>
      </c>
      <c r="CY251" s="159">
        <f t="shared" si="113"/>
        <v>372.28711258293561</v>
      </c>
      <c r="CZ251" s="159">
        <f t="shared" si="114"/>
        <v>131.17653080597574</v>
      </c>
      <c r="DA251" s="159">
        <f t="shared" si="117"/>
        <v>188.86451291216781</v>
      </c>
      <c r="DB251" s="159">
        <f t="shared" si="118"/>
        <v>197.26169536393991</v>
      </c>
      <c r="DC251" s="159">
        <f t="shared" si="118"/>
        <v>178.01923176809214</v>
      </c>
    </row>
    <row r="252" spans="1:107" x14ac:dyDescent="0.2">
      <c r="A252" s="99">
        <v>14</v>
      </c>
      <c r="B252" s="30">
        <v>759</v>
      </c>
      <c r="C252" s="47" t="s">
        <v>566</v>
      </c>
      <c r="D252" s="64">
        <v>5120.9044800000001</v>
      </c>
      <c r="E252" s="64">
        <v>488.41694000000001</v>
      </c>
      <c r="F252" s="64">
        <v>517.54834000000005</v>
      </c>
      <c r="G252" s="205">
        <v>6127</v>
      </c>
      <c r="H252" s="205"/>
      <c r="I252" s="64">
        <v>4806</v>
      </c>
      <c r="J252" s="64">
        <v>511</v>
      </c>
      <c r="K252" s="64">
        <v>515</v>
      </c>
      <c r="L252" s="205">
        <v>5832</v>
      </c>
      <c r="M252" s="205"/>
      <c r="N252" s="64">
        <v>5026</v>
      </c>
      <c r="O252" s="64">
        <v>528</v>
      </c>
      <c r="P252" s="64">
        <v>633</v>
      </c>
      <c r="Q252" s="205">
        <v>6187</v>
      </c>
      <c r="R252" s="205"/>
      <c r="S252" s="64">
        <v>4720</v>
      </c>
      <c r="T252" s="64">
        <v>488</v>
      </c>
      <c r="U252" s="64">
        <v>588</v>
      </c>
      <c r="V252" s="205">
        <v>5796</v>
      </c>
      <c r="W252" s="205"/>
      <c r="X252" s="64">
        <v>4966</v>
      </c>
      <c r="Y252" s="64">
        <v>587</v>
      </c>
      <c r="Z252" s="64">
        <v>604</v>
      </c>
      <c r="AA252" s="205">
        <f t="shared" si="115"/>
        <v>6157</v>
      </c>
      <c r="AB252" s="205"/>
      <c r="AC252" s="64">
        <v>5010</v>
      </c>
      <c r="AD252" s="64">
        <v>526</v>
      </c>
      <c r="AE252" s="64">
        <v>722</v>
      </c>
      <c r="AF252" s="205">
        <f t="shared" si="92"/>
        <v>6258</v>
      </c>
      <c r="AG252" s="205"/>
      <c r="AH252" s="278">
        <v>4827.1227199999994</v>
      </c>
      <c r="AI252" s="64">
        <v>594.80021999999997</v>
      </c>
      <c r="AJ252" s="64">
        <v>1192.94181</v>
      </c>
      <c r="AK252" s="205">
        <f t="shared" si="93"/>
        <v>6614.8647499999997</v>
      </c>
      <c r="AL252" s="205"/>
      <c r="AM252" s="64">
        <v>5200.7320499999996</v>
      </c>
      <c r="AN252" s="64">
        <v>662.24757999999997</v>
      </c>
      <c r="AO252" s="64">
        <v>1402.04259</v>
      </c>
      <c r="AP252" s="205">
        <f t="shared" si="94"/>
        <v>7265.0222199999998</v>
      </c>
      <c r="AQ252" s="205"/>
      <c r="AR252" s="64">
        <v>2581.6884300000002</v>
      </c>
      <c r="AS252" s="64">
        <v>1149.4328500000001</v>
      </c>
      <c r="AT252" s="64">
        <v>1076.65347</v>
      </c>
      <c r="AU252" s="205">
        <f t="shared" si="95"/>
        <v>4807.7747500000005</v>
      </c>
      <c r="AV252" s="205"/>
      <c r="AW252" s="64">
        <v>2499.2668996778848</v>
      </c>
      <c r="AX252" s="64">
        <v>1208.7948450278391</v>
      </c>
      <c r="AY252" s="64">
        <v>1062.5153375382463</v>
      </c>
      <c r="AZ252" s="205">
        <f t="shared" si="96"/>
        <v>4770.5770822439699</v>
      </c>
      <c r="BA252" s="205"/>
      <c r="BB252" s="64">
        <v>2648.3001935313177</v>
      </c>
      <c r="BC252" s="64">
        <v>1206.831042312311</v>
      </c>
      <c r="BD252" s="64">
        <v>1075.2655215887053</v>
      </c>
      <c r="BE252" s="205">
        <f t="shared" si="91"/>
        <v>4930.3967574323342</v>
      </c>
      <c r="BF252" s="205"/>
      <c r="BG252" s="64">
        <v>2736.4015374987848</v>
      </c>
      <c r="BH252" s="64">
        <v>1214.2053681691468</v>
      </c>
      <c r="BI252" s="64">
        <v>1127.480561033442</v>
      </c>
      <c r="BJ252" s="205">
        <f t="shared" si="97"/>
        <v>5078.0874667013741</v>
      </c>
      <c r="BK252" s="205"/>
      <c r="BL252" s="64">
        <v>2780.4687355922965</v>
      </c>
      <c r="BM252" s="64">
        <v>1224.1181945458579</v>
      </c>
      <c r="BN252" s="64">
        <v>1194.8743910144394</v>
      </c>
      <c r="BO252" s="205">
        <f t="shared" si="98"/>
        <v>5199.4613211525939</v>
      </c>
      <c r="BQ252" s="64">
        <v>2850.3631534249366</v>
      </c>
      <c r="BR252" s="64">
        <v>1233.5535654703917</v>
      </c>
      <c r="BS252" s="64">
        <v>1236.7678528945189</v>
      </c>
      <c r="BT252" s="205">
        <f t="shared" si="99"/>
        <v>5320.6845717898468</v>
      </c>
      <c r="BU252" s="205"/>
      <c r="BV252" s="5">
        <f t="shared" si="100"/>
        <v>6157</v>
      </c>
      <c r="BW252" s="5">
        <f t="shared" si="101"/>
        <v>6258</v>
      </c>
      <c r="BX252" s="5">
        <f t="shared" si="102"/>
        <v>6614.8647499999997</v>
      </c>
      <c r="BY252" s="5">
        <f t="shared" si="103"/>
        <v>7265.0222199999998</v>
      </c>
      <c r="BZ252" s="5">
        <f t="shared" si="104"/>
        <v>4807.7747500000005</v>
      </c>
      <c r="CA252" s="5">
        <f t="shared" si="105"/>
        <v>4770.5770822439699</v>
      </c>
      <c r="CB252" s="5">
        <f t="shared" si="106"/>
        <v>4930.3967574323342</v>
      </c>
      <c r="CC252" s="5">
        <f t="shared" si="107"/>
        <v>5078.0874667013741</v>
      </c>
      <c r="CD252" s="5">
        <f t="shared" si="108"/>
        <v>5199.4613211525939</v>
      </c>
      <c r="CE252" s="5">
        <f t="shared" si="116"/>
        <v>5320.6845717898468</v>
      </c>
      <c r="CH252" s="41">
        <f>BV252/'1. Väestöennuste'!I252*1000</f>
        <v>3000.487329434698</v>
      </c>
      <c r="CI252" s="41">
        <f>BW252/'1. Väestöennuste'!J252*1000</f>
        <v>3118.086696562033</v>
      </c>
      <c r="CJ252" s="41">
        <f>BX252/'1. Väestöennuste'!K252*1000</f>
        <v>3312.4009764646967</v>
      </c>
      <c r="CK252" s="41">
        <f>BY252/'1. Väestöennuste'!L252*1000</f>
        <v>3741.0001132852726</v>
      </c>
      <c r="CL252" s="41">
        <f>BZ252/'1. Väestöennuste'!M252*1000</f>
        <v>2566.8845435130806</v>
      </c>
      <c r="CM252" s="41">
        <f>CA252/'1. Väestöennuste'!N252*1000</f>
        <v>2567.5872347922336</v>
      </c>
      <c r="CN252" s="41">
        <f>CB252/'1. Väestöennuste'!O252*1000</f>
        <v>2697.1535872168129</v>
      </c>
      <c r="CO252" s="41">
        <f>CC252/'1. Väestöennuste'!P252*1000</f>
        <v>2829.0180872988158</v>
      </c>
      <c r="CP252" s="41">
        <f>CD252/'1. Väestöennuste'!Q252*1000</f>
        <v>2944.2023336084903</v>
      </c>
      <c r="CQ252" s="41">
        <f>CE252/'1. Väestöennuste'!R252*1000</f>
        <v>3063.1459826078562</v>
      </c>
      <c r="CR252" s="41"/>
      <c r="CU252" s="159">
        <f t="shared" si="109"/>
        <v>117.59936712733497</v>
      </c>
      <c r="CV252" s="159">
        <f t="shared" si="110"/>
        <v>194.31427990266366</v>
      </c>
      <c r="CW252" s="159">
        <f t="shared" si="111"/>
        <v>428.59913682057595</v>
      </c>
      <c r="CX252" s="159">
        <f t="shared" si="112"/>
        <v>-1174.115569772192</v>
      </c>
      <c r="CY252" s="159">
        <f t="shared" si="113"/>
        <v>0.70269127915298668</v>
      </c>
      <c r="CZ252" s="159">
        <f t="shared" si="114"/>
        <v>129.56635242457924</v>
      </c>
      <c r="DA252" s="159">
        <f t="shared" si="117"/>
        <v>131.86450008200291</v>
      </c>
      <c r="DB252" s="159">
        <f t="shared" si="118"/>
        <v>115.18424630967456</v>
      </c>
      <c r="DC252" s="159">
        <f t="shared" si="118"/>
        <v>118.94364899936591</v>
      </c>
    </row>
    <row r="253" spans="1:107" x14ac:dyDescent="0.2">
      <c r="A253" s="99">
        <v>2</v>
      </c>
      <c r="B253" s="30">
        <v>761</v>
      </c>
      <c r="C253" s="47" t="s">
        <v>567</v>
      </c>
      <c r="D253" s="64">
        <v>24388.55168</v>
      </c>
      <c r="E253" s="64">
        <v>1629.04467</v>
      </c>
      <c r="F253" s="64">
        <v>1241.78304</v>
      </c>
      <c r="G253" s="205">
        <v>27249</v>
      </c>
      <c r="H253" s="205"/>
      <c r="I253" s="64">
        <v>23546</v>
      </c>
      <c r="J253" s="64">
        <v>1639</v>
      </c>
      <c r="K253" s="64">
        <v>1184</v>
      </c>
      <c r="L253" s="205">
        <v>26369</v>
      </c>
      <c r="M253" s="205"/>
      <c r="N253" s="64">
        <v>24047</v>
      </c>
      <c r="O253" s="64">
        <v>1788</v>
      </c>
      <c r="P253" s="64">
        <v>1362</v>
      </c>
      <c r="Q253" s="205">
        <v>27197</v>
      </c>
      <c r="R253" s="205"/>
      <c r="S253" s="64">
        <v>23637</v>
      </c>
      <c r="T253" s="64">
        <v>1816</v>
      </c>
      <c r="U253" s="64">
        <v>1259</v>
      </c>
      <c r="V253" s="205">
        <v>26712</v>
      </c>
      <c r="W253" s="205"/>
      <c r="X253" s="64">
        <v>24284</v>
      </c>
      <c r="Y253" s="64">
        <v>1844</v>
      </c>
      <c r="Z253" s="64">
        <v>1382</v>
      </c>
      <c r="AA253" s="205">
        <f t="shared" si="115"/>
        <v>27510</v>
      </c>
      <c r="AB253" s="205"/>
      <c r="AC253" s="64">
        <v>25752</v>
      </c>
      <c r="AD253" s="64">
        <v>1663</v>
      </c>
      <c r="AE253" s="64">
        <v>1515</v>
      </c>
      <c r="AF253" s="205">
        <f t="shared" si="92"/>
        <v>28930</v>
      </c>
      <c r="AG253" s="205"/>
      <c r="AH253" s="278">
        <v>26253.615329999997</v>
      </c>
      <c r="AI253" s="64">
        <v>1842.04639</v>
      </c>
      <c r="AJ253" s="64">
        <v>2215.5359199999998</v>
      </c>
      <c r="AK253" s="205">
        <f t="shared" si="93"/>
        <v>30311.197639999995</v>
      </c>
      <c r="AL253" s="205"/>
      <c r="AM253" s="64">
        <v>26961.578309999997</v>
      </c>
      <c r="AN253" s="64">
        <v>1970.31297</v>
      </c>
      <c r="AO253" s="64">
        <v>2350.3202700000002</v>
      </c>
      <c r="AP253" s="205">
        <f t="shared" si="94"/>
        <v>31282.211549999996</v>
      </c>
      <c r="AQ253" s="205"/>
      <c r="AR253" s="64">
        <v>13000.607609999999</v>
      </c>
      <c r="AS253" s="64">
        <v>1936.74648</v>
      </c>
      <c r="AT253" s="64">
        <v>1452.4884199999999</v>
      </c>
      <c r="AU253" s="205">
        <f t="shared" si="95"/>
        <v>16389.842509999999</v>
      </c>
      <c r="AV253" s="205"/>
      <c r="AW253" s="64">
        <v>12810.361359489883</v>
      </c>
      <c r="AX253" s="64">
        <v>2172.1564020659002</v>
      </c>
      <c r="AY253" s="64">
        <v>1167.2079096074192</v>
      </c>
      <c r="AZ253" s="205">
        <f t="shared" si="96"/>
        <v>16149.725671163204</v>
      </c>
      <c r="BA253" s="205"/>
      <c r="BB253" s="64">
        <v>13398.914796876539</v>
      </c>
      <c r="BC253" s="64">
        <v>2212.4100289275007</v>
      </c>
      <c r="BD253" s="64">
        <v>1181.214404522708</v>
      </c>
      <c r="BE253" s="205">
        <f t="shared" si="91"/>
        <v>16792.539230326747</v>
      </c>
      <c r="BF253" s="205"/>
      <c r="BG253" s="64">
        <v>13851.524394385433</v>
      </c>
      <c r="BH253" s="64">
        <v>2270.7915417697209</v>
      </c>
      <c r="BI253" s="64">
        <v>1238.5743360805586</v>
      </c>
      <c r="BJ253" s="205">
        <f t="shared" si="97"/>
        <v>17360.890272235712</v>
      </c>
      <c r="BK253" s="205"/>
      <c r="BL253" s="64">
        <v>14232.418319260596</v>
      </c>
      <c r="BM253" s="64">
        <v>2335.4073533862511</v>
      </c>
      <c r="BN253" s="64">
        <v>1312.6086663470862</v>
      </c>
      <c r="BO253" s="205">
        <f t="shared" si="98"/>
        <v>17880.434338993931</v>
      </c>
      <c r="BQ253" s="64">
        <v>14683.168955155541</v>
      </c>
      <c r="BR253" s="64">
        <v>2400.7254603147808</v>
      </c>
      <c r="BS253" s="64">
        <v>1358.6300067830359</v>
      </c>
      <c r="BT253" s="205">
        <f t="shared" si="99"/>
        <v>18442.524422253355</v>
      </c>
      <c r="BU253" s="205"/>
      <c r="BV253" s="5">
        <f t="shared" si="100"/>
        <v>27510</v>
      </c>
      <c r="BW253" s="5">
        <f t="shared" si="101"/>
        <v>28930</v>
      </c>
      <c r="BX253" s="5">
        <f t="shared" si="102"/>
        <v>30311.197639999995</v>
      </c>
      <c r="BY253" s="5">
        <f t="shared" si="103"/>
        <v>31282.211549999996</v>
      </c>
      <c r="BZ253" s="5">
        <f t="shared" si="104"/>
        <v>16389.842509999999</v>
      </c>
      <c r="CA253" s="5">
        <f t="shared" si="105"/>
        <v>16149.725671163204</v>
      </c>
      <c r="CB253" s="5">
        <f t="shared" si="106"/>
        <v>16792.539230326747</v>
      </c>
      <c r="CC253" s="5">
        <f t="shared" si="107"/>
        <v>17360.890272235712</v>
      </c>
      <c r="CD253" s="5">
        <f t="shared" si="108"/>
        <v>17880.434338993931</v>
      </c>
      <c r="CE253" s="5">
        <f t="shared" si="116"/>
        <v>18442.524422253355</v>
      </c>
      <c r="CH253" s="41">
        <f>BV253/'1. Väestöennuste'!I253*1000</f>
        <v>3158.0759958672943</v>
      </c>
      <c r="CI253" s="41">
        <f>BW253/'1. Väestöennuste'!J253*1000</f>
        <v>3346.055979643766</v>
      </c>
      <c r="CJ253" s="41">
        <f>BX253/'1. Väestöennuste'!K253*1000</f>
        <v>3539.7871820623609</v>
      </c>
      <c r="CK253" s="41">
        <f>BY253/'1. Väestöennuste'!L253*1000</f>
        <v>3712.5814799430332</v>
      </c>
      <c r="CL253" s="41">
        <f>BZ253/'1. Väestöennuste'!M253*1000</f>
        <v>1948.8516658739595</v>
      </c>
      <c r="CM253" s="41">
        <f>CA253/'1. Väestöennuste'!N253*1000</f>
        <v>1948.8024220059374</v>
      </c>
      <c r="CN253" s="41">
        <f>CB253/'1. Väestöennuste'!O253*1000</f>
        <v>2044.8781332594676</v>
      </c>
      <c r="CO253" s="41">
        <f>CC253/'1. Väestöennuste'!P253*1000</f>
        <v>2132.5255217093368</v>
      </c>
      <c r="CP253" s="41">
        <f>CD253/'1. Väestöennuste'!Q253*1000</f>
        <v>2214.5695242747006</v>
      </c>
      <c r="CQ253" s="41">
        <f>CE253/'1. Väestöennuste'!R253*1000</f>
        <v>2301.2882982597148</v>
      </c>
      <c r="CR253" s="41"/>
      <c r="CU253" s="159">
        <f t="shared" si="109"/>
        <v>187.97998377647173</v>
      </c>
      <c r="CV253" s="159">
        <f t="shared" si="110"/>
        <v>193.73120241859488</v>
      </c>
      <c r="CW253" s="159">
        <f t="shared" si="111"/>
        <v>172.79429788067227</v>
      </c>
      <c r="CX253" s="159">
        <f t="shared" si="112"/>
        <v>-1763.7298140690737</v>
      </c>
      <c r="CY253" s="159">
        <f t="shared" si="113"/>
        <v>-4.924386802213121E-2</v>
      </c>
      <c r="CZ253" s="159">
        <f t="shared" si="114"/>
        <v>96.075711253530244</v>
      </c>
      <c r="DA253" s="159">
        <f t="shared" si="117"/>
        <v>87.64738844986914</v>
      </c>
      <c r="DB253" s="159">
        <f t="shared" si="118"/>
        <v>82.044002565363826</v>
      </c>
      <c r="DC253" s="159">
        <f t="shared" si="118"/>
        <v>86.718773985014195</v>
      </c>
    </row>
    <row r="254" spans="1:107" x14ac:dyDescent="0.2">
      <c r="A254" s="99">
        <v>11</v>
      </c>
      <c r="B254" s="30">
        <v>762</v>
      </c>
      <c r="C254" s="47" t="s">
        <v>568</v>
      </c>
      <c r="D254" s="64">
        <v>10625.53579</v>
      </c>
      <c r="E254" s="64">
        <v>772.79170999999997</v>
      </c>
      <c r="F254" s="64">
        <v>1846.5331299999998</v>
      </c>
      <c r="G254" s="205">
        <v>13243</v>
      </c>
      <c r="H254" s="205"/>
      <c r="I254" s="64">
        <v>9603</v>
      </c>
      <c r="J254" s="64">
        <v>807</v>
      </c>
      <c r="K254" s="64">
        <v>1788</v>
      </c>
      <c r="L254" s="205">
        <v>12197</v>
      </c>
      <c r="M254" s="205"/>
      <c r="N254" s="64">
        <v>9957</v>
      </c>
      <c r="O254" s="64">
        <v>863</v>
      </c>
      <c r="P254" s="64">
        <v>2120</v>
      </c>
      <c r="Q254" s="205">
        <v>12940</v>
      </c>
      <c r="R254" s="205"/>
      <c r="S254" s="64">
        <v>9416</v>
      </c>
      <c r="T254" s="64">
        <v>859</v>
      </c>
      <c r="U254" s="64">
        <v>1946</v>
      </c>
      <c r="V254" s="205">
        <v>12221</v>
      </c>
      <c r="W254" s="205"/>
      <c r="X254" s="64">
        <v>9786</v>
      </c>
      <c r="Y254" s="64">
        <v>873</v>
      </c>
      <c r="Z254" s="64">
        <v>2069</v>
      </c>
      <c r="AA254" s="205">
        <f t="shared" si="115"/>
        <v>12728</v>
      </c>
      <c r="AB254" s="205"/>
      <c r="AC254" s="64">
        <v>10099</v>
      </c>
      <c r="AD254" s="64">
        <v>1056</v>
      </c>
      <c r="AE254" s="64">
        <v>2741</v>
      </c>
      <c r="AF254" s="205">
        <f t="shared" si="92"/>
        <v>13896</v>
      </c>
      <c r="AG254" s="205"/>
      <c r="AH254" s="278">
        <v>10248.366050000001</v>
      </c>
      <c r="AI254" s="64">
        <v>1067.01703</v>
      </c>
      <c r="AJ254" s="64">
        <v>3957.95667</v>
      </c>
      <c r="AK254" s="205">
        <f t="shared" si="93"/>
        <v>15273.339749999999</v>
      </c>
      <c r="AL254" s="205"/>
      <c r="AM254" s="64">
        <v>10597.0545</v>
      </c>
      <c r="AN254" s="64">
        <v>1046.96399</v>
      </c>
      <c r="AO254" s="64">
        <v>3338.6775899999998</v>
      </c>
      <c r="AP254" s="205">
        <f t="shared" si="94"/>
        <v>14982.69608</v>
      </c>
      <c r="AQ254" s="205"/>
      <c r="AR254" s="64">
        <v>5261.3025499999994</v>
      </c>
      <c r="AS254" s="64">
        <v>1035.2683999999999</v>
      </c>
      <c r="AT254" s="64">
        <v>1803.2593700000002</v>
      </c>
      <c r="AU254" s="205">
        <f t="shared" si="95"/>
        <v>8099.8303199999991</v>
      </c>
      <c r="AV254" s="205"/>
      <c r="AW254" s="64">
        <v>5014.6384691265466</v>
      </c>
      <c r="AX254" s="64">
        <v>1101.5594237367591</v>
      </c>
      <c r="AY254" s="64">
        <v>1547.3906723133714</v>
      </c>
      <c r="AZ254" s="205">
        <f t="shared" si="96"/>
        <v>7663.5885651766766</v>
      </c>
      <c r="BA254" s="205"/>
      <c r="BB254" s="64">
        <v>5166.6951195605452</v>
      </c>
      <c r="BC254" s="64">
        <v>1107.3236105535852</v>
      </c>
      <c r="BD254" s="64">
        <v>1565.9593603811318</v>
      </c>
      <c r="BE254" s="205">
        <f t="shared" si="91"/>
        <v>7839.9780904952622</v>
      </c>
      <c r="BF254" s="205"/>
      <c r="BG254" s="64">
        <v>5286.7457571353752</v>
      </c>
      <c r="BH254" s="64">
        <v>1121.5400285313976</v>
      </c>
      <c r="BI254" s="64">
        <v>1642.0025591348176</v>
      </c>
      <c r="BJ254" s="205">
        <f t="shared" si="97"/>
        <v>8050.28834480159</v>
      </c>
      <c r="BK254" s="205"/>
      <c r="BL254" s="64">
        <v>5388.2987095183353</v>
      </c>
      <c r="BM254" s="64">
        <v>1138.0583833641979</v>
      </c>
      <c r="BN254" s="64">
        <v>1740.1513389215513</v>
      </c>
      <c r="BO254" s="205">
        <f t="shared" si="98"/>
        <v>8266.5084318040845</v>
      </c>
      <c r="BQ254" s="64">
        <v>5520.1243236672726</v>
      </c>
      <c r="BR254" s="64">
        <v>1154.1014133482868</v>
      </c>
      <c r="BS254" s="64">
        <v>1801.1627425727643</v>
      </c>
      <c r="BT254" s="205">
        <f t="shared" si="99"/>
        <v>8475.3884795883241</v>
      </c>
      <c r="BU254" s="205"/>
      <c r="BV254" s="5">
        <f t="shared" si="100"/>
        <v>12728</v>
      </c>
      <c r="BW254" s="5">
        <f t="shared" si="101"/>
        <v>13896</v>
      </c>
      <c r="BX254" s="5">
        <f t="shared" si="102"/>
        <v>15273.339749999999</v>
      </c>
      <c r="BY254" s="5">
        <f t="shared" si="103"/>
        <v>14982.69608</v>
      </c>
      <c r="BZ254" s="5">
        <f t="shared" si="104"/>
        <v>8099.8303199999991</v>
      </c>
      <c r="CA254" s="5">
        <f t="shared" si="105"/>
        <v>7663.5885651766766</v>
      </c>
      <c r="CB254" s="5">
        <f t="shared" si="106"/>
        <v>7839.9780904952622</v>
      </c>
      <c r="CC254" s="5">
        <f t="shared" si="107"/>
        <v>8050.28834480159</v>
      </c>
      <c r="CD254" s="5">
        <f t="shared" si="108"/>
        <v>8266.5084318040845</v>
      </c>
      <c r="CE254" s="5">
        <f t="shared" si="116"/>
        <v>8475.3884795883241</v>
      </c>
      <c r="CH254" s="41">
        <f>BV254/'1. Väestöennuste'!I254*1000</f>
        <v>3266.1021298434694</v>
      </c>
      <c r="CI254" s="41">
        <f>BW254/'1. Väestöennuste'!J254*1000</f>
        <v>3617.807862535798</v>
      </c>
      <c r="CJ254" s="41">
        <f>BX254/'1. Väestöennuste'!K254*1000</f>
        <v>4043.775416997617</v>
      </c>
      <c r="CK254" s="41">
        <f>BY254/'1. Väestöennuste'!L254*1000</f>
        <v>4080.2549237472767</v>
      </c>
      <c r="CL254" s="41">
        <f>BZ254/'1. Väestöennuste'!M254*1000</f>
        <v>2227.0636018696728</v>
      </c>
      <c r="CM254" s="41">
        <f>CA254/'1. Väestöennuste'!N254*1000</f>
        <v>2155.1148945941159</v>
      </c>
      <c r="CN254" s="41">
        <f>CB254/'1. Väestöennuste'!O254*1000</f>
        <v>2241.9153818974155</v>
      </c>
      <c r="CO254" s="41">
        <f>CC254/'1. Väestöennuste'!P254*1000</f>
        <v>2338.840309355488</v>
      </c>
      <c r="CP254" s="41">
        <f>CD254/'1. Väestöennuste'!Q254*1000</f>
        <v>2437.7789536431978</v>
      </c>
      <c r="CQ254" s="41">
        <f>CE254/'1. Väestöennuste'!R254*1000</f>
        <v>2536.7819454020728</v>
      </c>
      <c r="CR254" s="41"/>
      <c r="CU254" s="159">
        <f t="shared" si="109"/>
        <v>351.70573269232864</v>
      </c>
      <c r="CV254" s="159">
        <f t="shared" si="110"/>
        <v>425.96755446181896</v>
      </c>
      <c r="CW254" s="159">
        <f t="shared" si="111"/>
        <v>36.479506749659777</v>
      </c>
      <c r="CX254" s="159">
        <f t="shared" si="112"/>
        <v>-1853.191321877604</v>
      </c>
      <c r="CY254" s="159">
        <f t="shared" si="113"/>
        <v>-71.948707275556899</v>
      </c>
      <c r="CZ254" s="159">
        <f t="shared" si="114"/>
        <v>86.800487303299633</v>
      </c>
      <c r="DA254" s="159">
        <f t="shared" si="117"/>
        <v>96.924927458072489</v>
      </c>
      <c r="DB254" s="159">
        <f t="shared" si="118"/>
        <v>98.938644287709849</v>
      </c>
      <c r="DC254" s="159">
        <f t="shared" si="118"/>
        <v>99.002991758874941</v>
      </c>
    </row>
    <row r="255" spans="1:107" x14ac:dyDescent="0.2">
      <c r="A255" s="99">
        <v>18</v>
      </c>
      <c r="B255" s="30">
        <v>765</v>
      </c>
      <c r="C255" s="47" t="s">
        <v>569</v>
      </c>
      <c r="D255" s="64">
        <v>31795.249540000001</v>
      </c>
      <c r="E255" s="64">
        <v>3703.6422200000002</v>
      </c>
      <c r="F255" s="64">
        <v>2686.6010899999997</v>
      </c>
      <c r="G255" s="205">
        <v>38178</v>
      </c>
      <c r="H255" s="205"/>
      <c r="I255" s="64">
        <v>32172</v>
      </c>
      <c r="J255" s="64">
        <v>4105</v>
      </c>
      <c r="K255" s="64">
        <v>2298</v>
      </c>
      <c r="L255" s="205">
        <v>38575</v>
      </c>
      <c r="M255" s="205"/>
      <c r="N255" s="64">
        <v>33264</v>
      </c>
      <c r="O255" s="64">
        <v>4185</v>
      </c>
      <c r="P255" s="64">
        <v>2507</v>
      </c>
      <c r="Q255" s="205">
        <v>39956</v>
      </c>
      <c r="R255" s="205"/>
      <c r="S255" s="64">
        <v>32524</v>
      </c>
      <c r="T255" s="64">
        <v>4099</v>
      </c>
      <c r="U255" s="64">
        <v>2520</v>
      </c>
      <c r="V255" s="205">
        <v>39143</v>
      </c>
      <c r="W255" s="205"/>
      <c r="X255" s="64">
        <v>33521</v>
      </c>
      <c r="Y255" s="64">
        <v>4183</v>
      </c>
      <c r="Z255" s="64">
        <v>2844</v>
      </c>
      <c r="AA255" s="205">
        <f t="shared" si="115"/>
        <v>40548</v>
      </c>
      <c r="AB255" s="205"/>
      <c r="AC255" s="64">
        <v>31996</v>
      </c>
      <c r="AD255" s="64">
        <v>3918</v>
      </c>
      <c r="AE255" s="64">
        <v>3447</v>
      </c>
      <c r="AF255" s="205">
        <f t="shared" si="92"/>
        <v>39361</v>
      </c>
      <c r="AG255" s="205"/>
      <c r="AH255" s="278">
        <v>32569.335309999999</v>
      </c>
      <c r="AI255" s="64">
        <v>4701.2759900000001</v>
      </c>
      <c r="AJ255" s="64">
        <v>5124.8048899999994</v>
      </c>
      <c r="AK255" s="205">
        <f t="shared" si="93"/>
        <v>42395.416189999996</v>
      </c>
      <c r="AL255" s="205"/>
      <c r="AM255" s="64">
        <v>35273.764259999996</v>
      </c>
      <c r="AN255" s="64">
        <v>4989.4741599999998</v>
      </c>
      <c r="AO255" s="64">
        <v>5012.8617300000005</v>
      </c>
      <c r="AP255" s="205">
        <f t="shared" si="94"/>
        <v>45276.100149999998</v>
      </c>
      <c r="AQ255" s="205"/>
      <c r="AR255" s="64">
        <v>16417.936279999998</v>
      </c>
      <c r="AS255" s="64">
        <v>5151.1102300000002</v>
      </c>
      <c r="AT255" s="64">
        <v>2991.6537000000003</v>
      </c>
      <c r="AU255" s="205">
        <f t="shared" si="95"/>
        <v>24560.700209999999</v>
      </c>
      <c r="AV255" s="205"/>
      <c r="AW255" s="64">
        <v>15788.169039651826</v>
      </c>
      <c r="AX255" s="64">
        <v>5584.5554241656055</v>
      </c>
      <c r="AY255" s="64">
        <v>2254.7762458706793</v>
      </c>
      <c r="AZ255" s="205">
        <f t="shared" si="96"/>
        <v>23627.500709688109</v>
      </c>
      <c r="BA255" s="205"/>
      <c r="BB255" s="64">
        <v>16780.917373050001</v>
      </c>
      <c r="BC255" s="64">
        <v>5735.9017149725951</v>
      </c>
      <c r="BD255" s="64">
        <v>2281.8335608211273</v>
      </c>
      <c r="BE255" s="205">
        <f t="shared" si="91"/>
        <v>24798.652648843723</v>
      </c>
      <c r="BF255" s="205"/>
      <c r="BG255" s="64">
        <v>17491.782624182659</v>
      </c>
      <c r="BH255" s="64">
        <v>5938.4542908297635</v>
      </c>
      <c r="BI255" s="64">
        <v>2392.6397077610582</v>
      </c>
      <c r="BJ255" s="205">
        <f t="shared" si="97"/>
        <v>25822.876622773481</v>
      </c>
      <c r="BK255" s="205"/>
      <c r="BL255" s="64">
        <v>18089.701877175336</v>
      </c>
      <c r="BM255" s="64">
        <v>6162.3359284777871</v>
      </c>
      <c r="BN255" s="64">
        <v>2535.6569439277123</v>
      </c>
      <c r="BO255" s="205">
        <f t="shared" si="98"/>
        <v>26787.694749580834</v>
      </c>
      <c r="BQ255" s="64">
        <v>18742.322331998497</v>
      </c>
      <c r="BR255" s="64">
        <v>6393.5697234426589</v>
      </c>
      <c r="BS255" s="64">
        <v>2624.5595501934708</v>
      </c>
      <c r="BT255" s="205">
        <f t="shared" si="99"/>
        <v>27760.451605634626</v>
      </c>
      <c r="BU255" s="205"/>
      <c r="BV255" s="5">
        <f t="shared" si="100"/>
        <v>40548</v>
      </c>
      <c r="BW255" s="5">
        <f t="shared" si="101"/>
        <v>39361</v>
      </c>
      <c r="BX255" s="5">
        <f t="shared" si="102"/>
        <v>42395.416189999996</v>
      </c>
      <c r="BY255" s="5">
        <f t="shared" si="103"/>
        <v>45276.100149999998</v>
      </c>
      <c r="BZ255" s="5">
        <f t="shared" si="104"/>
        <v>24560.700209999999</v>
      </c>
      <c r="CA255" s="5">
        <f t="shared" si="105"/>
        <v>23627.500709688109</v>
      </c>
      <c r="CB255" s="5">
        <f t="shared" si="106"/>
        <v>24798.652648843723</v>
      </c>
      <c r="CC255" s="5">
        <f t="shared" si="107"/>
        <v>25822.876622773481</v>
      </c>
      <c r="CD255" s="5">
        <f t="shared" si="108"/>
        <v>26787.694749580834</v>
      </c>
      <c r="CE255" s="5">
        <f t="shared" si="116"/>
        <v>27760.451605634626</v>
      </c>
      <c r="CH255" s="41">
        <f>BV255/'1. Väestöennuste'!I255*1000</f>
        <v>3922.9876160990711</v>
      </c>
      <c r="CI255" s="41">
        <f>BW255/'1. Väestöennuste'!J255*1000</f>
        <v>3821.0853315212116</v>
      </c>
      <c r="CJ255" s="41">
        <f>BX255/'1. Väestöennuste'!K255*1000</f>
        <v>4096.9671617703898</v>
      </c>
      <c r="CK255" s="41">
        <f>BY255/'1. Väestöennuste'!L255*1000</f>
        <v>4372.8124541240104</v>
      </c>
      <c r="CL255" s="41">
        <f>BZ255/'1. Väestöennuste'!M255*1000</f>
        <v>2390.5684455908117</v>
      </c>
      <c r="CM255" s="41">
        <f>CA255/'1. Väestöennuste'!N255*1000</f>
        <v>2339.8198365704206</v>
      </c>
      <c r="CN255" s="41">
        <f>CB255/'1. Väestöennuste'!O255*1000</f>
        <v>2468.2644221004998</v>
      </c>
      <c r="CO255" s="41">
        <f>CC255/'1. Väestöennuste'!P255*1000</f>
        <v>2582.545916869035</v>
      </c>
      <c r="CP255" s="41">
        <f>CD255/'1. Väestöennuste'!Q255*1000</f>
        <v>2692.5012312373942</v>
      </c>
      <c r="CQ255" s="41">
        <f>CE255/'1. Väestöennuste'!R255*1000</f>
        <v>2804.0860207711744</v>
      </c>
      <c r="CR255" s="41"/>
      <c r="CU255" s="159">
        <f t="shared" si="109"/>
        <v>-101.90228457785952</v>
      </c>
      <c r="CV255" s="159">
        <f t="shared" si="110"/>
        <v>275.88183024917817</v>
      </c>
      <c r="CW255" s="159">
        <f t="shared" si="111"/>
        <v>275.84529235362061</v>
      </c>
      <c r="CX255" s="159">
        <f t="shared" si="112"/>
        <v>-1982.2440085331987</v>
      </c>
      <c r="CY255" s="159">
        <f t="shared" si="113"/>
        <v>-50.748609020391086</v>
      </c>
      <c r="CZ255" s="159">
        <f t="shared" si="114"/>
        <v>128.44458553007917</v>
      </c>
      <c r="DA255" s="159">
        <f t="shared" si="117"/>
        <v>114.28149476853514</v>
      </c>
      <c r="DB255" s="159">
        <f t="shared" si="118"/>
        <v>109.95531436835927</v>
      </c>
      <c r="DC255" s="159">
        <f t="shared" si="118"/>
        <v>111.58478953378017</v>
      </c>
    </row>
    <row r="256" spans="1:107" x14ac:dyDescent="0.2">
      <c r="A256" s="99">
        <v>10</v>
      </c>
      <c r="B256" s="30">
        <v>768</v>
      </c>
      <c r="C256" s="47" t="s">
        <v>570</v>
      </c>
      <c r="D256" s="64">
        <v>6721.5311600000005</v>
      </c>
      <c r="E256" s="64">
        <v>935.67075999999997</v>
      </c>
      <c r="F256" s="64">
        <v>1168.32429</v>
      </c>
      <c r="G256" s="205">
        <v>8823</v>
      </c>
      <c r="H256" s="205"/>
      <c r="I256" s="64">
        <v>6492</v>
      </c>
      <c r="J256" s="64">
        <v>943</v>
      </c>
      <c r="K256" s="64">
        <v>1065</v>
      </c>
      <c r="L256" s="205">
        <v>8450</v>
      </c>
      <c r="M256" s="205"/>
      <c r="N256" s="64">
        <v>6839</v>
      </c>
      <c r="O256" s="64">
        <v>951</v>
      </c>
      <c r="P256" s="64">
        <v>1208</v>
      </c>
      <c r="Q256" s="205">
        <v>8998</v>
      </c>
      <c r="R256" s="205"/>
      <c r="S256" s="64">
        <v>5998</v>
      </c>
      <c r="T256" s="64">
        <v>958</v>
      </c>
      <c r="U256" s="64">
        <v>1134</v>
      </c>
      <c r="V256" s="205">
        <v>8090</v>
      </c>
      <c r="W256" s="205"/>
      <c r="X256" s="64">
        <v>6238</v>
      </c>
      <c r="Y256" s="64">
        <v>981</v>
      </c>
      <c r="Z256" s="64">
        <v>1233</v>
      </c>
      <c r="AA256" s="205">
        <f t="shared" si="115"/>
        <v>8452</v>
      </c>
      <c r="AB256" s="205"/>
      <c r="AC256" s="64">
        <v>6541</v>
      </c>
      <c r="AD256" s="64">
        <v>895</v>
      </c>
      <c r="AE256" s="64">
        <v>1511</v>
      </c>
      <c r="AF256" s="205">
        <f t="shared" si="92"/>
        <v>8947</v>
      </c>
      <c r="AG256" s="205"/>
      <c r="AH256" s="278">
        <v>6592.5176300000003</v>
      </c>
      <c r="AI256" s="64">
        <v>985.21802000000002</v>
      </c>
      <c r="AJ256" s="64">
        <v>2119.0226600000001</v>
      </c>
      <c r="AK256" s="205">
        <f t="shared" si="93"/>
        <v>9696.7583100000011</v>
      </c>
      <c r="AL256" s="205"/>
      <c r="AM256" s="64">
        <v>6687.5246299999999</v>
      </c>
      <c r="AN256" s="64">
        <v>1039.1041299999999</v>
      </c>
      <c r="AO256" s="64">
        <v>1845.8351200000002</v>
      </c>
      <c r="AP256" s="205">
        <f t="shared" si="94"/>
        <v>9572.4638799999993</v>
      </c>
      <c r="AQ256" s="205"/>
      <c r="AR256" s="64">
        <v>3173.91338</v>
      </c>
      <c r="AS256" s="64">
        <v>1033.0287900000001</v>
      </c>
      <c r="AT256" s="64">
        <v>979.12142000000006</v>
      </c>
      <c r="AU256" s="205">
        <f t="shared" si="95"/>
        <v>5186.0635900000007</v>
      </c>
      <c r="AV256" s="205"/>
      <c r="AW256" s="64">
        <v>3083.5652159142205</v>
      </c>
      <c r="AX256" s="64">
        <v>1164.8874960249661</v>
      </c>
      <c r="AY256" s="64">
        <v>796.17067207162245</v>
      </c>
      <c r="AZ256" s="205">
        <f t="shared" si="96"/>
        <v>5044.6233840108089</v>
      </c>
      <c r="BA256" s="205"/>
      <c r="BB256" s="64">
        <v>3142.2113884464311</v>
      </c>
      <c r="BC256" s="64">
        <v>1172.6734473955682</v>
      </c>
      <c r="BD256" s="64">
        <v>805.72472013648189</v>
      </c>
      <c r="BE256" s="205">
        <f t="shared" si="91"/>
        <v>5120.6095559784808</v>
      </c>
      <c r="BF256" s="205"/>
      <c r="BG256" s="64">
        <v>3197.1813589731296</v>
      </c>
      <c r="BH256" s="64">
        <v>1189.4792445503722</v>
      </c>
      <c r="BI256" s="64">
        <v>844.85082173543026</v>
      </c>
      <c r="BJ256" s="205">
        <f t="shared" si="97"/>
        <v>5231.5114252589319</v>
      </c>
      <c r="BK256" s="205"/>
      <c r="BL256" s="64">
        <v>3248.1236017909305</v>
      </c>
      <c r="BM256" s="64">
        <v>1208.8130499088065</v>
      </c>
      <c r="BN256" s="64">
        <v>895.35079007825891</v>
      </c>
      <c r="BO256" s="205">
        <f t="shared" si="98"/>
        <v>5352.2874417779958</v>
      </c>
      <c r="BQ256" s="64">
        <v>3318.8457060279857</v>
      </c>
      <c r="BR256" s="64">
        <v>1227.7329061332046</v>
      </c>
      <c r="BS256" s="64">
        <v>926.74266229136856</v>
      </c>
      <c r="BT256" s="205">
        <f t="shared" si="99"/>
        <v>5473.321274452559</v>
      </c>
      <c r="BU256" s="205"/>
      <c r="BV256" s="5">
        <f t="shared" si="100"/>
        <v>8452</v>
      </c>
      <c r="BW256" s="5">
        <f t="shared" si="101"/>
        <v>8947</v>
      </c>
      <c r="BX256" s="5">
        <f t="shared" si="102"/>
        <v>9696.7583100000011</v>
      </c>
      <c r="BY256" s="5">
        <f t="shared" si="103"/>
        <v>9572.4638799999993</v>
      </c>
      <c r="BZ256" s="5">
        <f t="shared" si="104"/>
        <v>5186.0635900000007</v>
      </c>
      <c r="CA256" s="5">
        <f t="shared" si="105"/>
        <v>5044.6233840108089</v>
      </c>
      <c r="CB256" s="5">
        <f t="shared" si="106"/>
        <v>5120.6095559784808</v>
      </c>
      <c r="CC256" s="5">
        <f t="shared" si="107"/>
        <v>5231.5114252589319</v>
      </c>
      <c r="CD256" s="5">
        <f t="shared" si="108"/>
        <v>5352.2874417779958</v>
      </c>
      <c r="CE256" s="5">
        <f t="shared" si="116"/>
        <v>5473.321274452559</v>
      </c>
      <c r="CH256" s="41">
        <f>BV256/'1. Väestöennuste'!I256*1000</f>
        <v>3391.6532905296954</v>
      </c>
      <c r="CI256" s="41">
        <f>BW256/'1. Väestöennuste'!J256*1000</f>
        <v>3604.7542304593071</v>
      </c>
      <c r="CJ256" s="41">
        <f>BX256/'1. Väestöennuste'!K256*1000</f>
        <v>3990.4355185185191</v>
      </c>
      <c r="CK256" s="41">
        <f>BY256/'1. Väestöennuste'!L256*1000</f>
        <v>4030.5111073684207</v>
      </c>
      <c r="CL256" s="41">
        <f>BZ256/'1. Väestöennuste'!M256*1000</f>
        <v>2190.0606376689193</v>
      </c>
      <c r="CM256" s="41">
        <f>CA256/'1. Väestöennuste'!N256*1000</f>
        <v>2200.0101979986084</v>
      </c>
      <c r="CN256" s="41">
        <f>CB256/'1. Väestöennuste'!O256*1000</f>
        <v>2271.7877355716419</v>
      </c>
      <c r="CO256" s="41">
        <f>CC256/'1. Väestöennuste'!P256*1000</f>
        <v>2358.6615984034861</v>
      </c>
      <c r="CP256" s="41">
        <f>CD256/'1. Väestöennuste'!Q256*1000</f>
        <v>2449.5594699212793</v>
      </c>
      <c r="CQ256" s="41">
        <f>CE256/'1. Väestöennuste'!R256*1000</f>
        <v>2537.4692973818078</v>
      </c>
      <c r="CR256" s="41"/>
      <c r="CU256" s="159">
        <f t="shared" si="109"/>
        <v>213.10093992961174</v>
      </c>
      <c r="CV256" s="159">
        <f t="shared" si="110"/>
        <v>385.68128805921197</v>
      </c>
      <c r="CW256" s="159">
        <f t="shared" si="111"/>
        <v>40.075588849901578</v>
      </c>
      <c r="CX256" s="159">
        <f t="shared" si="112"/>
        <v>-1840.4504696995014</v>
      </c>
      <c r="CY256" s="159">
        <f t="shared" si="113"/>
        <v>9.9495603296891204</v>
      </c>
      <c r="CZ256" s="159">
        <f t="shared" si="114"/>
        <v>71.777537573033442</v>
      </c>
      <c r="DA256" s="159">
        <f t="shared" si="117"/>
        <v>86.873862831844235</v>
      </c>
      <c r="DB256" s="159">
        <f t="shared" si="118"/>
        <v>90.897871517793192</v>
      </c>
      <c r="DC256" s="159">
        <f t="shared" si="118"/>
        <v>87.909827460528504</v>
      </c>
    </row>
    <row r="257" spans="1:107" x14ac:dyDescent="0.2">
      <c r="A257" s="99">
        <v>18</v>
      </c>
      <c r="B257" s="30">
        <v>777</v>
      </c>
      <c r="C257" s="47" t="s">
        <v>571</v>
      </c>
      <c r="D257" s="64">
        <v>21965.7363</v>
      </c>
      <c r="E257" s="64">
        <v>2479.6562400000003</v>
      </c>
      <c r="F257" s="64">
        <v>2942.0173199999999</v>
      </c>
      <c r="G257" s="205">
        <v>27383</v>
      </c>
      <c r="H257" s="205"/>
      <c r="I257" s="64">
        <v>21331</v>
      </c>
      <c r="J257" s="64">
        <v>2593</v>
      </c>
      <c r="K257" s="64">
        <v>2561</v>
      </c>
      <c r="L257" s="205">
        <v>26486</v>
      </c>
      <c r="M257" s="205"/>
      <c r="N257" s="64">
        <v>20796</v>
      </c>
      <c r="O257" s="64">
        <v>2670</v>
      </c>
      <c r="P257" s="64">
        <v>2837</v>
      </c>
      <c r="Q257" s="205">
        <v>26303</v>
      </c>
      <c r="R257" s="205"/>
      <c r="S257" s="64">
        <v>20288</v>
      </c>
      <c r="T257" s="64">
        <v>3030</v>
      </c>
      <c r="U257" s="64">
        <v>2601</v>
      </c>
      <c r="V257" s="205">
        <v>25919</v>
      </c>
      <c r="W257" s="205"/>
      <c r="X257" s="64">
        <v>21111</v>
      </c>
      <c r="Y257" s="64">
        <v>3082</v>
      </c>
      <c r="Z257" s="64">
        <v>2675</v>
      </c>
      <c r="AA257" s="205">
        <f t="shared" si="115"/>
        <v>26868</v>
      </c>
      <c r="AB257" s="205"/>
      <c r="AC257" s="64">
        <v>22092</v>
      </c>
      <c r="AD257" s="64">
        <v>3019</v>
      </c>
      <c r="AE257" s="64">
        <v>3003</v>
      </c>
      <c r="AF257" s="205">
        <f t="shared" si="92"/>
        <v>28114</v>
      </c>
      <c r="AG257" s="205"/>
      <c r="AH257" s="278">
        <v>22144.338809999997</v>
      </c>
      <c r="AI257" s="64">
        <v>3270.6422000000002</v>
      </c>
      <c r="AJ257" s="64">
        <v>4579.5785999999998</v>
      </c>
      <c r="AK257" s="205">
        <f t="shared" si="93"/>
        <v>29994.559609999997</v>
      </c>
      <c r="AL257" s="205"/>
      <c r="AM257" s="64">
        <v>22850.8593</v>
      </c>
      <c r="AN257" s="64">
        <v>3471.6002799999997</v>
      </c>
      <c r="AO257" s="64">
        <v>4500.9607100000003</v>
      </c>
      <c r="AP257" s="205">
        <f t="shared" si="94"/>
        <v>30823.420289999998</v>
      </c>
      <c r="AQ257" s="205"/>
      <c r="AR257" s="64">
        <v>11256.43981</v>
      </c>
      <c r="AS257" s="64">
        <v>3590.9907000000003</v>
      </c>
      <c r="AT257" s="64">
        <v>2441.6932599999996</v>
      </c>
      <c r="AU257" s="205">
        <f t="shared" si="95"/>
        <v>17289.123769999998</v>
      </c>
      <c r="AV257" s="205"/>
      <c r="AW257" s="64">
        <v>10649.912213435411</v>
      </c>
      <c r="AX257" s="64">
        <v>3674.0848385056124</v>
      </c>
      <c r="AY257" s="64">
        <v>1866.9822613874301</v>
      </c>
      <c r="AZ257" s="205">
        <f t="shared" si="96"/>
        <v>16190.979313328453</v>
      </c>
      <c r="BA257" s="205"/>
      <c r="BB257" s="64">
        <v>11102.762304849686</v>
      </c>
      <c r="BC257" s="64">
        <v>3716.1782262126585</v>
      </c>
      <c r="BD257" s="64">
        <v>1889.3860485240791</v>
      </c>
      <c r="BE257" s="205">
        <f t="shared" si="91"/>
        <v>16708.326579586424</v>
      </c>
      <c r="BF257" s="205"/>
      <c r="BG257" s="64">
        <v>11330.880624725276</v>
      </c>
      <c r="BH257" s="64">
        <v>3787.8251080405121</v>
      </c>
      <c r="BI257" s="64">
        <v>1981.13489108369</v>
      </c>
      <c r="BJ257" s="205">
        <f t="shared" si="97"/>
        <v>17099.840623849479</v>
      </c>
      <c r="BK257" s="205"/>
      <c r="BL257" s="64">
        <v>11513.731650830468</v>
      </c>
      <c r="BM257" s="64">
        <v>3868.7117893445902</v>
      </c>
      <c r="BN257" s="64">
        <v>2099.5549088059784</v>
      </c>
      <c r="BO257" s="205">
        <f t="shared" si="98"/>
        <v>17481.998348981037</v>
      </c>
      <c r="BQ257" s="64">
        <v>11743.2108415603</v>
      </c>
      <c r="BR257" s="64">
        <v>3949.5454112300022</v>
      </c>
      <c r="BS257" s="64">
        <v>2173.1673522549686</v>
      </c>
      <c r="BT257" s="205">
        <f t="shared" si="99"/>
        <v>17865.923605045271</v>
      </c>
      <c r="BU257" s="205"/>
      <c r="BV257" s="5">
        <f t="shared" si="100"/>
        <v>26868</v>
      </c>
      <c r="BW257" s="5">
        <f t="shared" si="101"/>
        <v>28114</v>
      </c>
      <c r="BX257" s="5">
        <f t="shared" si="102"/>
        <v>29994.559609999997</v>
      </c>
      <c r="BY257" s="5">
        <f t="shared" si="103"/>
        <v>30823.420289999998</v>
      </c>
      <c r="BZ257" s="5">
        <f t="shared" si="104"/>
        <v>17289.123769999998</v>
      </c>
      <c r="CA257" s="5">
        <f t="shared" si="105"/>
        <v>16190.979313328453</v>
      </c>
      <c r="CB257" s="5">
        <f t="shared" si="106"/>
        <v>16708.326579586424</v>
      </c>
      <c r="CC257" s="5">
        <f t="shared" si="107"/>
        <v>17099.840623849479</v>
      </c>
      <c r="CD257" s="5">
        <f t="shared" si="108"/>
        <v>17481.998348981037</v>
      </c>
      <c r="CE257" s="5">
        <f t="shared" si="116"/>
        <v>17865.923605045271</v>
      </c>
      <c r="CH257" s="41">
        <f>BV257/'1. Väestöennuste'!I257*1000</f>
        <v>3477.1580173417888</v>
      </c>
      <c r="CI257" s="41">
        <f>BW257/'1. Väestöennuste'!J257*1000</f>
        <v>3702.1332631024493</v>
      </c>
      <c r="CJ257" s="41">
        <f>BX257/'1. Väestöennuste'!K257*1000</f>
        <v>3995.0132671816723</v>
      </c>
      <c r="CK257" s="41">
        <f>BY257/'1. Väestöennuste'!L257*1000</f>
        <v>4183.9853793945977</v>
      </c>
      <c r="CL257" s="41">
        <f>BZ257/'1. Väestöennuste'!M257*1000</f>
        <v>2410.6419088120465</v>
      </c>
      <c r="CM257" s="41">
        <f>CA257/'1. Väestöennuste'!N257*1000</f>
        <v>2302.144079813515</v>
      </c>
      <c r="CN257" s="41">
        <f>CB257/'1. Väestöennuste'!O257*1000</f>
        <v>2418.342246285486</v>
      </c>
      <c r="CO257" s="41">
        <f>CC257/'1. Väestöennuste'!P257*1000</f>
        <v>2518.015111743407</v>
      </c>
      <c r="CP257" s="41">
        <f>CD257/'1. Väestöennuste'!Q257*1000</f>
        <v>2617.8494083529554</v>
      </c>
      <c r="CQ257" s="41">
        <f>CE257/'1. Väestöennuste'!R257*1000</f>
        <v>2718.9048249954758</v>
      </c>
      <c r="CR257" s="41"/>
      <c r="CU257" s="159">
        <f t="shared" si="109"/>
        <v>224.97524576066053</v>
      </c>
      <c r="CV257" s="159">
        <f t="shared" si="110"/>
        <v>292.880004079223</v>
      </c>
      <c r="CW257" s="159">
        <f t="shared" si="111"/>
        <v>188.97211221292537</v>
      </c>
      <c r="CX257" s="159">
        <f t="shared" si="112"/>
        <v>-1773.3434705825512</v>
      </c>
      <c r="CY257" s="159">
        <f t="shared" si="113"/>
        <v>-108.49782899853153</v>
      </c>
      <c r="CZ257" s="159">
        <f t="shared" si="114"/>
        <v>116.19816647197104</v>
      </c>
      <c r="DA257" s="159">
        <f t="shared" si="117"/>
        <v>99.672865457921034</v>
      </c>
      <c r="DB257" s="159">
        <f t="shared" si="118"/>
        <v>99.834296609548346</v>
      </c>
      <c r="DC257" s="159">
        <f t="shared" si="118"/>
        <v>101.05541664252041</v>
      </c>
    </row>
    <row r="258" spans="1:107" x14ac:dyDescent="0.2">
      <c r="A258" s="99">
        <v>11</v>
      </c>
      <c r="B258" s="30">
        <v>778</v>
      </c>
      <c r="C258" s="47" t="s">
        <v>572</v>
      </c>
      <c r="D258" s="64">
        <v>21380.035680000001</v>
      </c>
      <c r="E258" s="64">
        <v>1673.9581699999999</v>
      </c>
      <c r="F258" s="64">
        <v>1666.4918799999998</v>
      </c>
      <c r="G258" s="205">
        <v>24718</v>
      </c>
      <c r="H258" s="205"/>
      <c r="I258" s="64">
        <v>21089</v>
      </c>
      <c r="J258" s="64">
        <v>1831</v>
      </c>
      <c r="K258" s="64">
        <v>1572</v>
      </c>
      <c r="L258" s="205">
        <v>24492</v>
      </c>
      <c r="M258" s="205"/>
      <c r="N258" s="64">
        <v>20255</v>
      </c>
      <c r="O258" s="64">
        <v>1790</v>
      </c>
      <c r="P258" s="64">
        <v>1826</v>
      </c>
      <c r="Q258" s="205">
        <v>23871</v>
      </c>
      <c r="R258" s="205"/>
      <c r="S258" s="64">
        <v>19944</v>
      </c>
      <c r="T258" s="64">
        <v>1726</v>
      </c>
      <c r="U258" s="64">
        <v>1674</v>
      </c>
      <c r="V258" s="205">
        <v>23344</v>
      </c>
      <c r="W258" s="205"/>
      <c r="X258" s="64">
        <v>21030</v>
      </c>
      <c r="Y258" s="64">
        <v>1806</v>
      </c>
      <c r="Z258" s="64">
        <v>1761</v>
      </c>
      <c r="AA258" s="205">
        <f t="shared" si="115"/>
        <v>24597</v>
      </c>
      <c r="AB258" s="205"/>
      <c r="AC258" s="64">
        <v>20709</v>
      </c>
      <c r="AD258" s="64">
        <v>1660</v>
      </c>
      <c r="AE258" s="64">
        <v>1942</v>
      </c>
      <c r="AF258" s="205">
        <f t="shared" si="92"/>
        <v>24311</v>
      </c>
      <c r="AG258" s="205"/>
      <c r="AH258" s="278">
        <v>21506.271629999999</v>
      </c>
      <c r="AI258" s="64">
        <v>1845.3581399999998</v>
      </c>
      <c r="AJ258" s="64">
        <v>2821.8859600000001</v>
      </c>
      <c r="AK258" s="205">
        <f t="shared" si="93"/>
        <v>26173.515729999999</v>
      </c>
      <c r="AL258" s="205"/>
      <c r="AM258" s="64">
        <v>22058.15929</v>
      </c>
      <c r="AN258" s="64">
        <v>1908.6448799999998</v>
      </c>
      <c r="AO258" s="64">
        <v>2735.5688799999998</v>
      </c>
      <c r="AP258" s="205">
        <f t="shared" si="94"/>
        <v>26702.373049999998</v>
      </c>
      <c r="AQ258" s="205"/>
      <c r="AR258" s="64">
        <v>11263.020109999999</v>
      </c>
      <c r="AS258" s="64">
        <v>2006.35636</v>
      </c>
      <c r="AT258" s="64">
        <v>2599.56367</v>
      </c>
      <c r="AU258" s="205">
        <f t="shared" si="95"/>
        <v>15868.940139999999</v>
      </c>
      <c r="AV258" s="205"/>
      <c r="AW258" s="64">
        <v>10858.144768976072</v>
      </c>
      <c r="AX258" s="64">
        <v>2071.0542335622395</v>
      </c>
      <c r="AY258" s="64">
        <v>3228.6474641035179</v>
      </c>
      <c r="AZ258" s="205">
        <f t="shared" si="96"/>
        <v>16157.846466641829</v>
      </c>
      <c r="BA258" s="205"/>
      <c r="BB258" s="64">
        <v>11383.955643007748</v>
      </c>
      <c r="BC258" s="64">
        <v>2074.3324030837011</v>
      </c>
      <c r="BD258" s="64">
        <v>3267.3912336727599</v>
      </c>
      <c r="BE258" s="205">
        <f t="shared" si="91"/>
        <v>16725.679279764208</v>
      </c>
      <c r="BF258" s="205"/>
      <c r="BG258" s="64">
        <v>11794.644307732598</v>
      </c>
      <c r="BH258" s="64">
        <v>2094.0540374744237</v>
      </c>
      <c r="BI258" s="64">
        <v>3426.0561947658471</v>
      </c>
      <c r="BJ258" s="205">
        <f t="shared" si="97"/>
        <v>17314.75453997287</v>
      </c>
      <c r="BK258" s="205"/>
      <c r="BL258" s="64">
        <v>12120.573037969085</v>
      </c>
      <c r="BM258" s="64">
        <v>2118.6253704836304</v>
      </c>
      <c r="BN258" s="64">
        <v>3630.8446910604134</v>
      </c>
      <c r="BO258" s="205">
        <f t="shared" si="98"/>
        <v>17870.043099513128</v>
      </c>
      <c r="BQ258" s="64">
        <v>12513.452291844142</v>
      </c>
      <c r="BR258" s="64">
        <v>2142.8678590262375</v>
      </c>
      <c r="BS258" s="64">
        <v>3758.1456482164949</v>
      </c>
      <c r="BT258" s="205">
        <f t="shared" si="99"/>
        <v>18414.465799086873</v>
      </c>
      <c r="BU258" s="205"/>
      <c r="BV258" s="5">
        <f t="shared" si="100"/>
        <v>24597</v>
      </c>
      <c r="BW258" s="5">
        <f t="shared" si="101"/>
        <v>24311</v>
      </c>
      <c r="BX258" s="5">
        <f t="shared" si="102"/>
        <v>26173.515729999999</v>
      </c>
      <c r="BY258" s="5">
        <f t="shared" si="103"/>
        <v>26702.373049999998</v>
      </c>
      <c r="BZ258" s="5">
        <f t="shared" si="104"/>
        <v>15868.940139999999</v>
      </c>
      <c r="CA258" s="5">
        <f t="shared" si="105"/>
        <v>16157.846466641829</v>
      </c>
      <c r="CB258" s="5">
        <f t="shared" si="106"/>
        <v>16725.679279764208</v>
      </c>
      <c r="CC258" s="5">
        <f t="shared" si="107"/>
        <v>17314.75453997287</v>
      </c>
      <c r="CD258" s="5">
        <f t="shared" si="108"/>
        <v>17870.043099513128</v>
      </c>
      <c r="CE258" s="5">
        <f t="shared" si="116"/>
        <v>18414.465799086873</v>
      </c>
      <c r="CH258" s="41">
        <f>BV258/'1. Väestöennuste'!I258*1000</f>
        <v>3482.0215175537942</v>
      </c>
      <c r="CI258" s="41">
        <f>BW258/'1. Väestöennuste'!J258*1000</f>
        <v>3507.5746645505701</v>
      </c>
      <c r="CJ258" s="41">
        <f>BX258/'1. Väestöennuste'!K258*1000</f>
        <v>3798.2173458133793</v>
      </c>
      <c r="CK258" s="41">
        <f>BY258/'1. Väestöennuste'!L258*1000</f>
        <v>3948.3029794469908</v>
      </c>
      <c r="CL258" s="41">
        <f>BZ258/'1. Väestöennuste'!M258*1000</f>
        <v>2365.6738431723311</v>
      </c>
      <c r="CM258" s="41">
        <f>CA258/'1. Väestöennuste'!N258*1000</f>
        <v>2461.5853849241057</v>
      </c>
      <c r="CN258" s="41">
        <f>CB258/'1. Väestöennuste'!O258*1000</f>
        <v>2577.9407027996622</v>
      </c>
      <c r="CO258" s="41">
        <f>CC258/'1. Väestöennuste'!P258*1000</f>
        <v>2698.6836876516322</v>
      </c>
      <c r="CP258" s="41">
        <f>CD258/'1. Väestöennuste'!Q258*1000</f>
        <v>2814.6232634293792</v>
      </c>
      <c r="CQ258" s="41">
        <f>CE258/'1. Väestöennuste'!R258*1000</f>
        <v>2931.7729341007598</v>
      </c>
      <c r="CR258" s="41"/>
      <c r="CU258" s="159">
        <f t="shared" si="109"/>
        <v>25.553146996775922</v>
      </c>
      <c r="CV258" s="159">
        <f t="shared" si="110"/>
        <v>290.64268126280922</v>
      </c>
      <c r="CW258" s="159">
        <f t="shared" si="111"/>
        <v>150.08563363361145</v>
      </c>
      <c r="CX258" s="159">
        <f t="shared" si="112"/>
        <v>-1582.6291362746597</v>
      </c>
      <c r="CY258" s="159">
        <f t="shared" si="113"/>
        <v>95.911541751774621</v>
      </c>
      <c r="CZ258" s="159">
        <f t="shared" si="114"/>
        <v>116.35531787555647</v>
      </c>
      <c r="DA258" s="159">
        <f t="shared" si="117"/>
        <v>120.74298485197005</v>
      </c>
      <c r="DB258" s="159">
        <f t="shared" si="118"/>
        <v>115.939575777747</v>
      </c>
      <c r="DC258" s="159">
        <f t="shared" si="118"/>
        <v>117.14967067138059</v>
      </c>
    </row>
    <row r="259" spans="1:107" x14ac:dyDescent="0.2">
      <c r="A259" s="99">
        <v>7</v>
      </c>
      <c r="B259" s="30">
        <v>781</v>
      </c>
      <c r="C259" s="47" t="s">
        <v>573</v>
      </c>
      <c r="D259" s="64">
        <v>9269.9830500000007</v>
      </c>
      <c r="E259" s="64">
        <v>1903.1740300000001</v>
      </c>
      <c r="F259" s="64">
        <v>1269.3408100000001</v>
      </c>
      <c r="G259" s="205">
        <v>12442</v>
      </c>
      <c r="H259" s="205"/>
      <c r="I259" s="64">
        <v>8645</v>
      </c>
      <c r="J259" s="64">
        <v>1973</v>
      </c>
      <c r="K259" s="64">
        <v>1276</v>
      </c>
      <c r="L259" s="205">
        <v>11895</v>
      </c>
      <c r="M259" s="205"/>
      <c r="N259" s="64">
        <v>9059</v>
      </c>
      <c r="O259" s="64">
        <v>1963</v>
      </c>
      <c r="P259" s="64">
        <v>1489</v>
      </c>
      <c r="Q259" s="205">
        <v>12511</v>
      </c>
      <c r="R259" s="205"/>
      <c r="S259" s="64">
        <v>8443</v>
      </c>
      <c r="T259" s="64">
        <v>1960</v>
      </c>
      <c r="U259" s="64">
        <v>1355</v>
      </c>
      <c r="V259" s="205">
        <v>11758</v>
      </c>
      <c r="W259" s="205"/>
      <c r="X259" s="64">
        <v>8447</v>
      </c>
      <c r="Y259" s="64">
        <v>1973</v>
      </c>
      <c r="Z259" s="64">
        <v>1437</v>
      </c>
      <c r="AA259" s="205">
        <f t="shared" si="115"/>
        <v>11857</v>
      </c>
      <c r="AB259" s="205"/>
      <c r="AC259" s="64">
        <v>9230</v>
      </c>
      <c r="AD259" s="64">
        <v>1821</v>
      </c>
      <c r="AE259" s="64">
        <v>1595</v>
      </c>
      <c r="AF259" s="205">
        <f t="shared" si="92"/>
        <v>12646</v>
      </c>
      <c r="AG259" s="205"/>
      <c r="AH259" s="278">
        <v>9396.3670000000002</v>
      </c>
      <c r="AI259" s="64">
        <v>2037.9449999999999</v>
      </c>
      <c r="AJ259" s="64">
        <v>2251.616</v>
      </c>
      <c r="AK259" s="205">
        <f t="shared" si="93"/>
        <v>13685.928</v>
      </c>
      <c r="AL259" s="205"/>
      <c r="AM259" s="64">
        <v>9668.5045300000002</v>
      </c>
      <c r="AN259" s="64">
        <v>2136.5061700000001</v>
      </c>
      <c r="AO259" s="64">
        <v>2210.9168799999998</v>
      </c>
      <c r="AP259" s="205">
        <f t="shared" si="94"/>
        <v>14015.92758</v>
      </c>
      <c r="AQ259" s="205"/>
      <c r="AR259" s="64">
        <v>3977.6279100000002</v>
      </c>
      <c r="AS259" s="64">
        <v>2186.4958900000001</v>
      </c>
      <c r="AT259" s="64">
        <v>1324.99577</v>
      </c>
      <c r="AU259" s="205">
        <f t="shared" si="95"/>
        <v>7489.1195700000007</v>
      </c>
      <c r="AV259" s="205"/>
      <c r="AW259" s="64">
        <v>3717.1919624367956</v>
      </c>
      <c r="AX259" s="64">
        <v>2494.0769172028595</v>
      </c>
      <c r="AY259" s="64">
        <v>1045.1065835325414</v>
      </c>
      <c r="AZ259" s="205">
        <f t="shared" si="96"/>
        <v>7256.3754631721968</v>
      </c>
      <c r="BA259" s="205"/>
      <c r="BB259" s="64">
        <v>3763.4279535354958</v>
      </c>
      <c r="BC259" s="64">
        <v>2512.6398992972645</v>
      </c>
      <c r="BD259" s="64">
        <v>1057.6478625349318</v>
      </c>
      <c r="BE259" s="205">
        <f t="shared" si="91"/>
        <v>7333.7157153676926</v>
      </c>
      <c r="BF259" s="205"/>
      <c r="BG259" s="64">
        <v>3780.3971643450691</v>
      </c>
      <c r="BH259" s="64">
        <v>2551.0169912003798</v>
      </c>
      <c r="BI259" s="64">
        <v>1109.0073860685311</v>
      </c>
      <c r="BJ259" s="205">
        <f t="shared" si="97"/>
        <v>7440.4215416139796</v>
      </c>
      <c r="BK259" s="205"/>
      <c r="BL259" s="64">
        <v>3839.9784863959208</v>
      </c>
      <c r="BM259" s="64">
        <v>2595.3269844857814</v>
      </c>
      <c r="BN259" s="64">
        <v>1175.2970036525953</v>
      </c>
      <c r="BO259" s="205">
        <f t="shared" si="98"/>
        <v>7610.6024745342966</v>
      </c>
      <c r="BQ259" s="64">
        <v>3919.7956780707818</v>
      </c>
      <c r="BR259" s="64">
        <v>2639.2689460754473</v>
      </c>
      <c r="BS259" s="64">
        <v>1216.5040632318783</v>
      </c>
      <c r="BT259" s="205">
        <f t="shared" si="99"/>
        <v>7775.5686873781069</v>
      </c>
      <c r="BU259" s="205"/>
      <c r="BV259" s="5">
        <f t="shared" si="100"/>
        <v>11857</v>
      </c>
      <c r="BW259" s="5">
        <f t="shared" si="101"/>
        <v>12646</v>
      </c>
      <c r="BX259" s="5">
        <f t="shared" si="102"/>
        <v>13685.928</v>
      </c>
      <c r="BY259" s="5">
        <f t="shared" si="103"/>
        <v>14015.92758</v>
      </c>
      <c r="BZ259" s="5">
        <f t="shared" si="104"/>
        <v>7489.1195700000007</v>
      </c>
      <c r="CA259" s="5">
        <f t="shared" si="105"/>
        <v>7256.3754631721968</v>
      </c>
      <c r="CB259" s="5">
        <f t="shared" si="106"/>
        <v>7333.7157153676926</v>
      </c>
      <c r="CC259" s="5">
        <f t="shared" si="107"/>
        <v>7440.4215416139796</v>
      </c>
      <c r="CD259" s="5">
        <f t="shared" si="108"/>
        <v>7610.6024745342966</v>
      </c>
      <c r="CE259" s="5">
        <f t="shared" si="116"/>
        <v>7775.5686873781069</v>
      </c>
      <c r="CH259" s="41">
        <f>BV259/'1. Väestöennuste'!I259*1000</f>
        <v>3242.2750888706591</v>
      </c>
      <c r="CI259" s="41">
        <f>BW259/'1. Väestöennuste'!J259*1000</f>
        <v>3482.7871109887087</v>
      </c>
      <c r="CJ259" s="41">
        <f>BX259/'1. Väestöennuste'!K259*1000</f>
        <v>3818.6183035714289</v>
      </c>
      <c r="CK259" s="41">
        <f>BY259/'1. Väestöennuste'!L259*1000</f>
        <v>3999.9793321917809</v>
      </c>
      <c r="CL259" s="41">
        <f>BZ259/'1. Väestöennuste'!M259*1000</f>
        <v>2142.1966733409613</v>
      </c>
      <c r="CM259" s="41">
        <f>CA259/'1. Väestöennuste'!N259*1000</f>
        <v>2178.4375452333225</v>
      </c>
      <c r="CN259" s="41">
        <f>CB259/'1. Väestöennuste'!O259*1000</f>
        <v>2242.7265184610683</v>
      </c>
      <c r="CO259" s="41">
        <f>CC259/'1. Väestöennuste'!P259*1000</f>
        <v>2312.1260228756928</v>
      </c>
      <c r="CP259" s="41">
        <f>CD259/'1. Väestöennuste'!Q259*1000</f>
        <v>2401.5785656466696</v>
      </c>
      <c r="CQ259" s="41">
        <f>CE259/'1. Väestöennuste'!R259*1000</f>
        <v>2488.9784530659754</v>
      </c>
      <c r="CR259" s="41"/>
      <c r="CU259" s="159">
        <f t="shared" si="109"/>
        <v>240.51202211804957</v>
      </c>
      <c r="CV259" s="159">
        <f t="shared" si="110"/>
        <v>335.83119258272018</v>
      </c>
      <c r="CW259" s="159">
        <f t="shared" si="111"/>
        <v>181.36102862035204</v>
      </c>
      <c r="CX259" s="159">
        <f t="shared" si="112"/>
        <v>-1857.7826588508196</v>
      </c>
      <c r="CY259" s="159">
        <f t="shared" si="113"/>
        <v>36.240871892361156</v>
      </c>
      <c r="CZ259" s="159">
        <f t="shared" si="114"/>
        <v>64.288973227745828</v>
      </c>
      <c r="DA259" s="159">
        <f t="shared" si="117"/>
        <v>69.399504414624516</v>
      </c>
      <c r="DB259" s="159">
        <f t="shared" si="118"/>
        <v>89.452542770976834</v>
      </c>
      <c r="DC259" s="159">
        <f t="shared" si="118"/>
        <v>87.399887419305742</v>
      </c>
    </row>
    <row r="260" spans="1:107" x14ac:dyDescent="0.2">
      <c r="A260" s="99">
        <v>4</v>
      </c>
      <c r="B260" s="30">
        <v>783</v>
      </c>
      <c r="C260" s="47" t="s">
        <v>574</v>
      </c>
      <c r="D260" s="64">
        <v>15858.097330000001</v>
      </c>
      <c r="E260" s="64">
        <v>1216.89465</v>
      </c>
      <c r="F260" s="64">
        <v>1300.3996399999999</v>
      </c>
      <c r="G260" s="205">
        <v>27681</v>
      </c>
      <c r="H260" s="205"/>
      <c r="I260" s="64">
        <v>24758</v>
      </c>
      <c r="J260" s="64">
        <v>1908</v>
      </c>
      <c r="K260" s="64">
        <v>1652</v>
      </c>
      <c r="L260" s="205">
        <v>28318</v>
      </c>
      <c r="M260" s="205"/>
      <c r="N260" s="64">
        <v>24588</v>
      </c>
      <c r="O260" s="64">
        <v>1949</v>
      </c>
      <c r="P260" s="64">
        <v>1795</v>
      </c>
      <c r="Q260" s="205">
        <v>28332</v>
      </c>
      <c r="R260" s="205"/>
      <c r="S260" s="64">
        <v>24251</v>
      </c>
      <c r="T260" s="64">
        <v>2021</v>
      </c>
      <c r="U260" s="64">
        <v>1408</v>
      </c>
      <c r="V260" s="205">
        <v>27680</v>
      </c>
      <c r="W260" s="205"/>
      <c r="X260" s="64">
        <v>23265</v>
      </c>
      <c r="Y260" s="64">
        <v>1982</v>
      </c>
      <c r="Z260" s="64">
        <v>1356</v>
      </c>
      <c r="AA260" s="205">
        <f t="shared" si="115"/>
        <v>26603</v>
      </c>
      <c r="AB260" s="205"/>
      <c r="AC260" s="64">
        <v>24094</v>
      </c>
      <c r="AD260" s="64">
        <v>1858</v>
      </c>
      <c r="AE260" s="64">
        <v>1386</v>
      </c>
      <c r="AF260" s="205">
        <f t="shared" si="92"/>
        <v>27338</v>
      </c>
      <c r="AG260" s="205"/>
      <c r="AH260" s="278">
        <v>24968.680399999997</v>
      </c>
      <c r="AI260" s="64">
        <v>2153.4090200000001</v>
      </c>
      <c r="AJ260" s="64">
        <v>1946.88456</v>
      </c>
      <c r="AK260" s="205">
        <f t="shared" si="93"/>
        <v>29068.973979999995</v>
      </c>
      <c r="AL260" s="205"/>
      <c r="AM260" s="64">
        <v>24920.15094</v>
      </c>
      <c r="AN260" s="64">
        <v>2142.5094300000001</v>
      </c>
      <c r="AO260" s="64">
        <v>2218.9596800000004</v>
      </c>
      <c r="AP260" s="205">
        <f t="shared" si="94"/>
        <v>29281.620049999998</v>
      </c>
      <c r="AQ260" s="205"/>
      <c r="AR260" s="64">
        <v>12493.967929999999</v>
      </c>
      <c r="AS260" s="64">
        <v>2001.51802</v>
      </c>
      <c r="AT260" s="64">
        <v>1487.8368899999998</v>
      </c>
      <c r="AU260" s="205">
        <f t="shared" si="95"/>
        <v>15983.322839999999</v>
      </c>
      <c r="AV260" s="205"/>
      <c r="AW260" s="64">
        <v>12043.539967399805</v>
      </c>
      <c r="AX260" s="64">
        <v>2699.6794631158491</v>
      </c>
      <c r="AY260" s="64">
        <v>1091.308293360863</v>
      </c>
      <c r="AZ260" s="205">
        <f t="shared" si="96"/>
        <v>15834.527723876519</v>
      </c>
      <c r="BA260" s="205"/>
      <c r="BB260" s="64">
        <v>12557.599717434543</v>
      </c>
      <c r="BC260" s="64">
        <v>2739.1737645155022</v>
      </c>
      <c r="BD260" s="64">
        <v>1104.4039928811933</v>
      </c>
      <c r="BE260" s="205">
        <f t="shared" si="91"/>
        <v>16401.177474831238</v>
      </c>
      <c r="BF260" s="205"/>
      <c r="BG260" s="64">
        <v>12951.702277540448</v>
      </c>
      <c r="BH260" s="64">
        <v>2800.4315490862737</v>
      </c>
      <c r="BI260" s="64">
        <v>1158.0340004406414</v>
      </c>
      <c r="BJ260" s="205">
        <f t="shared" si="97"/>
        <v>16910.167827067362</v>
      </c>
      <c r="BK260" s="205"/>
      <c r="BL260" s="64">
        <v>13232.355178008562</v>
      </c>
      <c r="BM260" s="64">
        <v>2868.5620806445972</v>
      </c>
      <c r="BN260" s="64">
        <v>1227.2541264766733</v>
      </c>
      <c r="BO260" s="205">
        <f t="shared" si="98"/>
        <v>17328.171385129834</v>
      </c>
      <c r="BQ260" s="64">
        <v>13583.435401875873</v>
      </c>
      <c r="BR260" s="64">
        <v>2936.6861443740995</v>
      </c>
      <c r="BS260" s="64">
        <v>1270.2828534720445</v>
      </c>
      <c r="BT260" s="205">
        <f t="shared" si="99"/>
        <v>17790.404399722014</v>
      </c>
      <c r="BU260" s="205"/>
      <c r="BV260" s="5">
        <f t="shared" si="100"/>
        <v>26603</v>
      </c>
      <c r="BW260" s="5">
        <f t="shared" si="101"/>
        <v>27338</v>
      </c>
      <c r="BX260" s="5">
        <f t="shared" si="102"/>
        <v>29068.973979999995</v>
      </c>
      <c r="BY260" s="5">
        <f t="shared" si="103"/>
        <v>29281.620049999998</v>
      </c>
      <c r="BZ260" s="5">
        <f t="shared" si="104"/>
        <v>15983.322839999999</v>
      </c>
      <c r="CA260" s="5">
        <f t="shared" si="105"/>
        <v>15834.527723876519</v>
      </c>
      <c r="CB260" s="5">
        <f t="shared" si="106"/>
        <v>16401.177474831238</v>
      </c>
      <c r="CC260" s="5">
        <f t="shared" si="107"/>
        <v>16910.167827067362</v>
      </c>
      <c r="CD260" s="5">
        <f t="shared" si="108"/>
        <v>17328.171385129834</v>
      </c>
      <c r="CE260" s="5">
        <f t="shared" si="116"/>
        <v>17790.404399722014</v>
      </c>
      <c r="CH260" s="41">
        <f>BV260/'1. Väestöennuste'!I260*1000</f>
        <v>3958.1907454247876</v>
      </c>
      <c r="CI260" s="41">
        <f>BW260/'1. Väestöennuste'!J260*1000</f>
        <v>4113.4517002708399</v>
      </c>
      <c r="CJ260" s="41">
        <f>BX260/'1. Väestöennuste'!K260*1000</f>
        <v>4412.4125652701878</v>
      </c>
      <c r="CK260" s="41">
        <f>BY260/'1. Väestöennuste'!L260*1000</f>
        <v>4561.71055460352</v>
      </c>
      <c r="CL260" s="41">
        <f>BZ260/'1. Väestöennuste'!M260*1000</f>
        <v>2506.4015744080284</v>
      </c>
      <c r="CM260" s="41">
        <f>CA260/'1. Väestöennuste'!N260*1000</f>
        <v>2503.0868991268608</v>
      </c>
      <c r="CN260" s="41">
        <f>CB260/'1. Väestöennuste'!O260*1000</f>
        <v>2621.6715912454024</v>
      </c>
      <c r="CO260" s="41">
        <f>CC260/'1. Väestöennuste'!P260*1000</f>
        <v>2734.0610876422575</v>
      </c>
      <c r="CP260" s="41">
        <f>CD260/'1. Väestöennuste'!Q260*1000</f>
        <v>2832.3261499068053</v>
      </c>
      <c r="CQ260" s="41">
        <f>CE260/'1. Väestöennuste'!R260*1000</f>
        <v>2939.590945096169</v>
      </c>
      <c r="CR260" s="41"/>
      <c r="CU260" s="159">
        <f t="shared" si="109"/>
        <v>155.2609548460523</v>
      </c>
      <c r="CV260" s="159">
        <f t="shared" si="110"/>
        <v>298.9608649993479</v>
      </c>
      <c r="CW260" s="159">
        <f t="shared" si="111"/>
        <v>149.29798933333223</v>
      </c>
      <c r="CX260" s="159">
        <f t="shared" si="112"/>
        <v>-2055.3089801954916</v>
      </c>
      <c r="CY260" s="159">
        <f t="shared" si="113"/>
        <v>-3.3146752811676379</v>
      </c>
      <c r="CZ260" s="159">
        <f t="shared" si="114"/>
        <v>118.58469211854162</v>
      </c>
      <c r="DA260" s="159">
        <f t="shared" si="117"/>
        <v>112.38949639685507</v>
      </c>
      <c r="DB260" s="159">
        <f t="shared" si="118"/>
        <v>98.265062264547851</v>
      </c>
      <c r="DC260" s="159">
        <f t="shared" si="118"/>
        <v>107.26479518936367</v>
      </c>
    </row>
    <row r="261" spans="1:107" x14ac:dyDescent="0.2">
      <c r="A261" s="99">
        <v>17</v>
      </c>
      <c r="B261" s="30">
        <v>785</v>
      </c>
      <c r="C261" s="47" t="s">
        <v>575</v>
      </c>
      <c r="D261" s="64">
        <v>8293.0801599999995</v>
      </c>
      <c r="E261" s="64">
        <v>2547.8243199999997</v>
      </c>
      <c r="F261" s="64">
        <v>668.19616000000008</v>
      </c>
      <c r="G261" s="205">
        <v>11509</v>
      </c>
      <c r="H261" s="205"/>
      <c r="I261" s="64">
        <v>8106</v>
      </c>
      <c r="J261" s="64">
        <v>2700</v>
      </c>
      <c r="K261" s="64">
        <v>602</v>
      </c>
      <c r="L261" s="205">
        <v>11408</v>
      </c>
      <c r="M261" s="205"/>
      <c r="N261" s="64">
        <v>7950</v>
      </c>
      <c r="O261" s="64">
        <v>2689</v>
      </c>
      <c r="P261" s="64">
        <v>693</v>
      </c>
      <c r="Q261" s="205">
        <v>11332</v>
      </c>
      <c r="R261" s="205"/>
      <c r="S261" s="64">
        <v>7502</v>
      </c>
      <c r="T261" s="64">
        <v>2703</v>
      </c>
      <c r="U261" s="64">
        <v>619</v>
      </c>
      <c r="V261" s="205">
        <v>10824</v>
      </c>
      <c r="W261" s="205"/>
      <c r="X261" s="64">
        <v>7628</v>
      </c>
      <c r="Y261" s="64">
        <v>2779</v>
      </c>
      <c r="Z261" s="64">
        <v>625</v>
      </c>
      <c r="AA261" s="205">
        <f t="shared" si="115"/>
        <v>11032</v>
      </c>
      <c r="AB261" s="205"/>
      <c r="AC261" s="64">
        <v>7645</v>
      </c>
      <c r="AD261" s="64">
        <v>2542</v>
      </c>
      <c r="AE261" s="64">
        <v>719</v>
      </c>
      <c r="AF261" s="205">
        <f t="shared" si="92"/>
        <v>10906</v>
      </c>
      <c r="AG261" s="205"/>
      <c r="AH261" s="278">
        <v>7855.3775700000006</v>
      </c>
      <c r="AI261" s="64">
        <v>2836.3346000000001</v>
      </c>
      <c r="AJ261" s="64">
        <v>1086.56933</v>
      </c>
      <c r="AK261" s="205">
        <f t="shared" si="93"/>
        <v>11778.281500000001</v>
      </c>
      <c r="AL261" s="205"/>
      <c r="AM261" s="64">
        <v>7564.3256600000004</v>
      </c>
      <c r="AN261" s="64">
        <v>3106.8975699999996</v>
      </c>
      <c r="AO261" s="64">
        <v>1058.2102299999999</v>
      </c>
      <c r="AP261" s="205">
        <f t="shared" si="94"/>
        <v>11729.43346</v>
      </c>
      <c r="AQ261" s="205"/>
      <c r="AR261" s="64">
        <v>3829.982</v>
      </c>
      <c r="AS261" s="64">
        <v>4070.2150799999999</v>
      </c>
      <c r="AT261" s="64">
        <v>591.58715000000007</v>
      </c>
      <c r="AU261" s="205">
        <f t="shared" si="95"/>
        <v>8491.7842299999993</v>
      </c>
      <c r="AV261" s="205"/>
      <c r="AW261" s="64">
        <v>3492.0318141639636</v>
      </c>
      <c r="AX261" s="64">
        <v>4204.2293048352749</v>
      </c>
      <c r="AY261" s="64">
        <v>499.89449990303109</v>
      </c>
      <c r="AZ261" s="205">
        <f t="shared" si="96"/>
        <v>8196.1556189022704</v>
      </c>
      <c r="BA261" s="205"/>
      <c r="BB261" s="64">
        <v>3568.4803138960169</v>
      </c>
      <c r="BC261" s="64">
        <v>4231.8044431127446</v>
      </c>
      <c r="BD261" s="64">
        <v>505.89323390186746</v>
      </c>
      <c r="BE261" s="205">
        <f t="shared" si="91"/>
        <v>8306.1779909106299</v>
      </c>
      <c r="BF261" s="205"/>
      <c r="BG261" s="64">
        <v>3614.8181091213301</v>
      </c>
      <c r="BH261" s="64">
        <v>4292.1607911891615</v>
      </c>
      <c r="BI261" s="64">
        <v>530.45947789710215</v>
      </c>
      <c r="BJ261" s="205">
        <f t="shared" si="97"/>
        <v>8437.4383782075929</v>
      </c>
      <c r="BK261" s="205"/>
      <c r="BL261" s="64">
        <v>3664.0336737918115</v>
      </c>
      <c r="BM261" s="64">
        <v>4361.8841218494226</v>
      </c>
      <c r="BN261" s="64">
        <v>562.16707189095155</v>
      </c>
      <c r="BO261" s="205">
        <f t="shared" si="98"/>
        <v>8588.0848675321849</v>
      </c>
      <c r="BQ261" s="64">
        <v>3730.5095696552376</v>
      </c>
      <c r="BR261" s="64">
        <v>4430.3774753518283</v>
      </c>
      <c r="BS261" s="64">
        <v>581.8771978871282</v>
      </c>
      <c r="BT261" s="205">
        <f t="shared" si="99"/>
        <v>8742.7642428941945</v>
      </c>
      <c r="BU261" s="205"/>
      <c r="BV261" s="5">
        <f t="shared" si="100"/>
        <v>11032</v>
      </c>
      <c r="BW261" s="5">
        <f t="shared" si="101"/>
        <v>10906</v>
      </c>
      <c r="BX261" s="5">
        <f t="shared" si="102"/>
        <v>11778.281500000001</v>
      </c>
      <c r="BY261" s="5">
        <f t="shared" si="103"/>
        <v>11729.43346</v>
      </c>
      <c r="BZ261" s="5">
        <f t="shared" si="104"/>
        <v>8491.7842299999993</v>
      </c>
      <c r="CA261" s="5">
        <f t="shared" si="105"/>
        <v>8196.1556189022704</v>
      </c>
      <c r="CB261" s="5">
        <f t="shared" si="106"/>
        <v>8306.1779909106299</v>
      </c>
      <c r="CC261" s="5">
        <f t="shared" si="107"/>
        <v>8437.4383782075929</v>
      </c>
      <c r="CD261" s="5">
        <f t="shared" si="108"/>
        <v>8588.0848675321849</v>
      </c>
      <c r="CE261" s="5">
        <f t="shared" si="116"/>
        <v>8742.7642428941945</v>
      </c>
      <c r="CH261" s="41">
        <f>BV261/'1. Väestöennuste'!I261*1000</f>
        <v>3951.2893982808023</v>
      </c>
      <c r="CI261" s="41">
        <f>BW261/'1. Väestöennuste'!J261*1000</f>
        <v>3984.6547314578006</v>
      </c>
      <c r="CJ261" s="41">
        <f>BX261/'1. Väestöennuste'!K261*1000</f>
        <v>4406.3903853348302</v>
      </c>
      <c r="CK261" s="41">
        <f>BY261/'1. Väestöennuste'!L261*1000</f>
        <v>4466.6540213252092</v>
      </c>
      <c r="CL261" s="41">
        <f>BZ261/'1. Väestöennuste'!M261*1000</f>
        <v>3279.9475589030508</v>
      </c>
      <c r="CM261" s="41">
        <f>CA261/'1. Väestöennuste'!N261*1000</f>
        <v>3286.3494863280957</v>
      </c>
      <c r="CN261" s="41">
        <f>CB261/'1. Väestöennuste'!O261*1000</f>
        <v>3394.4331797754926</v>
      </c>
      <c r="CO261" s="41">
        <f>CC261/'1. Väestöennuste'!P261*1000</f>
        <v>3511.2103113639587</v>
      </c>
      <c r="CP261" s="41">
        <f>CD261/'1. Väestöennuste'!Q261*1000</f>
        <v>3635.9377085233637</v>
      </c>
      <c r="CQ261" s="41">
        <f>CE261/'1. Väestöennuste'!R261*1000</f>
        <v>3760.3287066211587</v>
      </c>
      <c r="CR261" s="41"/>
      <c r="CU261" s="159">
        <f t="shared" si="109"/>
        <v>33.36533317699832</v>
      </c>
      <c r="CV261" s="159">
        <f t="shared" si="110"/>
        <v>421.73565387702956</v>
      </c>
      <c r="CW261" s="159">
        <f t="shared" si="111"/>
        <v>60.263635990379044</v>
      </c>
      <c r="CX261" s="159">
        <f t="shared" si="112"/>
        <v>-1186.7064624221584</v>
      </c>
      <c r="CY261" s="159">
        <f t="shared" si="113"/>
        <v>6.4019274250449598</v>
      </c>
      <c r="CZ261" s="159">
        <f t="shared" si="114"/>
        <v>108.08369344739685</v>
      </c>
      <c r="DA261" s="159">
        <f t="shared" si="117"/>
        <v>116.77713158846609</v>
      </c>
      <c r="DB261" s="159">
        <f t="shared" si="118"/>
        <v>124.72739715940497</v>
      </c>
      <c r="DC261" s="159">
        <f t="shared" si="118"/>
        <v>124.39099809779509</v>
      </c>
    </row>
    <row r="262" spans="1:107" x14ac:dyDescent="0.2">
      <c r="A262" s="99">
        <v>6</v>
      </c>
      <c r="B262" s="30">
        <v>790</v>
      </c>
      <c r="C262" s="47" t="s">
        <v>576</v>
      </c>
      <c r="D262" s="64">
        <v>72567.563069999989</v>
      </c>
      <c r="E262" s="64">
        <v>5236.1322399999999</v>
      </c>
      <c r="F262" s="64">
        <v>4588.1565399999999</v>
      </c>
      <c r="G262" s="205">
        <v>82365</v>
      </c>
      <c r="H262" s="205"/>
      <c r="I262" s="64">
        <v>70867</v>
      </c>
      <c r="J262" s="64">
        <v>5353</v>
      </c>
      <c r="K262" s="64">
        <v>4124</v>
      </c>
      <c r="L262" s="205">
        <v>80344</v>
      </c>
      <c r="M262" s="205"/>
      <c r="N262" s="64">
        <v>72033</v>
      </c>
      <c r="O262" s="64">
        <v>5718</v>
      </c>
      <c r="P262" s="64">
        <v>4788</v>
      </c>
      <c r="Q262" s="205">
        <v>82539</v>
      </c>
      <c r="R262" s="205"/>
      <c r="S262" s="64">
        <v>70545</v>
      </c>
      <c r="T262" s="64">
        <v>5737</v>
      </c>
      <c r="U262" s="64">
        <v>4654</v>
      </c>
      <c r="V262" s="205">
        <v>80936</v>
      </c>
      <c r="W262" s="205"/>
      <c r="X262" s="64">
        <v>71198</v>
      </c>
      <c r="Y262" s="64">
        <v>5878</v>
      </c>
      <c r="Z262" s="64">
        <v>4745</v>
      </c>
      <c r="AA262" s="205">
        <f t="shared" si="115"/>
        <v>81821</v>
      </c>
      <c r="AB262" s="205"/>
      <c r="AC262" s="64">
        <v>72378</v>
      </c>
      <c r="AD262" s="64">
        <v>5393</v>
      </c>
      <c r="AE262" s="64">
        <v>5088</v>
      </c>
      <c r="AF262" s="205">
        <f t="shared" si="92"/>
        <v>82859</v>
      </c>
      <c r="AG262" s="205"/>
      <c r="AH262" s="278">
        <v>76835.039449999997</v>
      </c>
      <c r="AI262" s="64">
        <v>6021.7772300000006</v>
      </c>
      <c r="AJ262" s="64">
        <v>7703.3508200000006</v>
      </c>
      <c r="AK262" s="205">
        <f t="shared" si="93"/>
        <v>90560.16750000001</v>
      </c>
      <c r="AL262" s="205"/>
      <c r="AM262" s="64">
        <v>81489.744059999997</v>
      </c>
      <c r="AN262" s="64">
        <v>6244.7793000000001</v>
      </c>
      <c r="AO262" s="64">
        <v>8282.5291500000003</v>
      </c>
      <c r="AP262" s="205">
        <f t="shared" si="94"/>
        <v>96017.052509999994</v>
      </c>
      <c r="AQ262" s="205"/>
      <c r="AR262" s="64">
        <v>40835.310299999997</v>
      </c>
      <c r="AS262" s="64">
        <v>6744.7506900000008</v>
      </c>
      <c r="AT262" s="64">
        <v>5362.01055</v>
      </c>
      <c r="AU262" s="205">
        <f t="shared" si="95"/>
        <v>52942.071539999997</v>
      </c>
      <c r="AV262" s="205"/>
      <c r="AW262" s="64">
        <v>39238.072220532034</v>
      </c>
      <c r="AX262" s="64">
        <v>7124.895748904778</v>
      </c>
      <c r="AY262" s="64">
        <v>4682.2061042081814</v>
      </c>
      <c r="AZ262" s="205">
        <f t="shared" si="96"/>
        <v>51045.174073644994</v>
      </c>
      <c r="BA262" s="205"/>
      <c r="BB262" s="64">
        <v>41250.28421779957</v>
      </c>
      <c r="BC262" s="64">
        <v>7172.8618978122977</v>
      </c>
      <c r="BD262" s="64">
        <v>4738.3925774586796</v>
      </c>
      <c r="BE262" s="205">
        <f t="shared" si="91"/>
        <v>53161.53869307055</v>
      </c>
      <c r="BF262" s="205"/>
      <c r="BG262" s="64">
        <v>42768.190838621587</v>
      </c>
      <c r="BH262" s="64">
        <v>7276.1029031233602</v>
      </c>
      <c r="BI262" s="64">
        <v>4968.4895631511963</v>
      </c>
      <c r="BJ262" s="205">
        <f t="shared" si="97"/>
        <v>55012.783304896147</v>
      </c>
      <c r="BK262" s="205"/>
      <c r="BL262" s="64">
        <v>44037.655577563892</v>
      </c>
      <c r="BM262" s="64">
        <v>7394.9221347547309</v>
      </c>
      <c r="BN262" s="64">
        <v>5265.4752074752578</v>
      </c>
      <c r="BO262" s="205">
        <f t="shared" si="98"/>
        <v>56698.052919793874</v>
      </c>
      <c r="BQ262" s="64">
        <v>45500.392625615968</v>
      </c>
      <c r="BR262" s="64">
        <v>7511.331894416975</v>
      </c>
      <c r="BS262" s="64">
        <v>5450.0879052983237</v>
      </c>
      <c r="BT262" s="205">
        <f t="shared" si="99"/>
        <v>58461.812425331264</v>
      </c>
      <c r="BU262" s="205"/>
      <c r="BV262" s="5">
        <f t="shared" si="100"/>
        <v>81821</v>
      </c>
      <c r="BW262" s="5">
        <f t="shared" si="101"/>
        <v>82859</v>
      </c>
      <c r="BX262" s="5">
        <f t="shared" si="102"/>
        <v>90560.16750000001</v>
      </c>
      <c r="BY262" s="5">
        <f t="shared" si="103"/>
        <v>96017.052509999994</v>
      </c>
      <c r="BZ262" s="5">
        <f t="shared" si="104"/>
        <v>52942.071539999997</v>
      </c>
      <c r="CA262" s="5">
        <f t="shared" si="105"/>
        <v>51045.174073644994</v>
      </c>
      <c r="CB262" s="5">
        <f t="shared" si="106"/>
        <v>53161.53869307055</v>
      </c>
      <c r="CC262" s="5">
        <f t="shared" si="107"/>
        <v>55012.783304896147</v>
      </c>
      <c r="CD262" s="5">
        <f t="shared" si="108"/>
        <v>56698.052919793874</v>
      </c>
      <c r="CE262" s="5">
        <f t="shared" si="116"/>
        <v>58461.812425331264</v>
      </c>
      <c r="CH262" s="41">
        <f>BV262/'1. Väestöennuste'!I262*1000</f>
        <v>3370.3093462948468</v>
      </c>
      <c r="CI262" s="41">
        <f>BW262/'1. Väestöennuste'!J262*1000</f>
        <v>3444.9941792782301</v>
      </c>
      <c r="CJ262" s="41">
        <f>BX262/'1. Väestöennuste'!K262*1000</f>
        <v>3773.6547837319781</v>
      </c>
      <c r="CK262" s="41">
        <f>BY262/'1. Väestöennuste'!L262*1000</f>
        <v>4045.5486858515205</v>
      </c>
      <c r="CL262" s="41">
        <f>BZ262/'1. Väestöennuste'!M262*1000</f>
        <v>2251.417033382947</v>
      </c>
      <c r="CM262" s="41">
        <f>CA262/'1. Väestöennuste'!N262*1000</f>
        <v>2219.355394506304</v>
      </c>
      <c r="CN262" s="41">
        <f>CB262/'1. Väestöennuste'!O262*1000</f>
        <v>2334.6159015006169</v>
      </c>
      <c r="CO262" s="41">
        <f>CC262/'1. Väestöennuste'!P262*1000</f>
        <v>2438.7260973887824</v>
      </c>
      <c r="CP262" s="41">
        <f>CD262/'1. Väestöennuste'!Q262*1000</f>
        <v>2536.7121345708861</v>
      </c>
      <c r="CQ262" s="41">
        <f>CE262/'1. Väestöennuste'!R262*1000</f>
        <v>2639.1211820752651</v>
      </c>
      <c r="CR262" s="41"/>
      <c r="CU262" s="159">
        <f t="shared" si="109"/>
        <v>74.68483298338333</v>
      </c>
      <c r="CV262" s="159">
        <f t="shared" si="110"/>
        <v>328.66060445374796</v>
      </c>
      <c r="CW262" s="159">
        <f t="shared" si="111"/>
        <v>271.89390211954242</v>
      </c>
      <c r="CX262" s="159">
        <f t="shared" si="112"/>
        <v>-1794.1316524685735</v>
      </c>
      <c r="CY262" s="159">
        <f t="shared" si="113"/>
        <v>-32.061638876642974</v>
      </c>
      <c r="CZ262" s="159">
        <f t="shared" si="114"/>
        <v>115.26050699431289</v>
      </c>
      <c r="DA262" s="159">
        <f t="shared" si="117"/>
        <v>104.11019588816544</v>
      </c>
      <c r="DB262" s="159">
        <f t="shared" si="118"/>
        <v>97.986037182103701</v>
      </c>
      <c r="DC262" s="159">
        <f t="shared" si="118"/>
        <v>102.40904750437903</v>
      </c>
    </row>
    <row r="263" spans="1:107" x14ac:dyDescent="0.2">
      <c r="A263" s="99">
        <v>17</v>
      </c>
      <c r="B263" s="30">
        <v>791</v>
      </c>
      <c r="C263" s="47" t="s">
        <v>577</v>
      </c>
      <c r="D263" s="64">
        <v>15223.795820000001</v>
      </c>
      <c r="E263" s="64">
        <v>1362.9058200000002</v>
      </c>
      <c r="F263" s="64">
        <v>1126.6781799999999</v>
      </c>
      <c r="G263" s="205">
        <v>17713</v>
      </c>
      <c r="H263" s="205"/>
      <c r="I263" s="64">
        <v>13983</v>
      </c>
      <c r="J263" s="64">
        <v>1387</v>
      </c>
      <c r="K263" s="64">
        <v>1065</v>
      </c>
      <c r="L263" s="205">
        <v>16435</v>
      </c>
      <c r="M263" s="205"/>
      <c r="N263" s="64">
        <v>14172</v>
      </c>
      <c r="O263" s="64">
        <v>1337</v>
      </c>
      <c r="P263" s="64">
        <v>1267</v>
      </c>
      <c r="Q263" s="205">
        <v>16776</v>
      </c>
      <c r="R263" s="205"/>
      <c r="S263" s="64">
        <v>13526</v>
      </c>
      <c r="T263" s="64">
        <v>1340</v>
      </c>
      <c r="U263" s="64">
        <v>1147</v>
      </c>
      <c r="V263" s="205">
        <v>16013</v>
      </c>
      <c r="W263" s="205"/>
      <c r="X263" s="64">
        <v>13739</v>
      </c>
      <c r="Y263" s="64">
        <v>1386</v>
      </c>
      <c r="Z263" s="64">
        <v>1159</v>
      </c>
      <c r="AA263" s="205">
        <f t="shared" si="115"/>
        <v>16284</v>
      </c>
      <c r="AB263" s="205"/>
      <c r="AC263" s="64">
        <v>13932</v>
      </c>
      <c r="AD263" s="64">
        <v>1250</v>
      </c>
      <c r="AE263" s="64">
        <v>1400</v>
      </c>
      <c r="AF263" s="205">
        <f t="shared" si="92"/>
        <v>16582</v>
      </c>
      <c r="AG263" s="205"/>
      <c r="AH263" s="278">
        <v>14694.87954</v>
      </c>
      <c r="AI263" s="64">
        <v>1330.7891000000002</v>
      </c>
      <c r="AJ263" s="64">
        <v>2159.81891</v>
      </c>
      <c r="AK263" s="205">
        <f t="shared" si="93"/>
        <v>18185.487549999998</v>
      </c>
      <c r="AL263" s="205"/>
      <c r="AM263" s="64">
        <v>14075.74827</v>
      </c>
      <c r="AN263" s="64">
        <v>1428.64798</v>
      </c>
      <c r="AO263" s="64">
        <v>2084.7539099999999</v>
      </c>
      <c r="AP263" s="205">
        <f t="shared" si="94"/>
        <v>17589.150160000001</v>
      </c>
      <c r="AQ263" s="205"/>
      <c r="AR263" s="64">
        <v>7276.9838899999995</v>
      </c>
      <c r="AS263" s="64">
        <v>1708.0329299999999</v>
      </c>
      <c r="AT263" s="64">
        <v>1425.58719</v>
      </c>
      <c r="AU263" s="205">
        <f t="shared" si="95"/>
        <v>10410.604009999999</v>
      </c>
      <c r="AV263" s="205"/>
      <c r="AW263" s="64">
        <v>7028.1956904127455</v>
      </c>
      <c r="AX263" s="64">
        <v>1827.548111839865</v>
      </c>
      <c r="AY263" s="64">
        <v>1389.6970625005067</v>
      </c>
      <c r="AZ263" s="205">
        <f t="shared" si="96"/>
        <v>10245.440864753118</v>
      </c>
      <c r="BA263" s="205"/>
      <c r="BB263" s="64">
        <v>7309.889383721993</v>
      </c>
      <c r="BC263" s="64">
        <v>1833.4852526583372</v>
      </c>
      <c r="BD263" s="64">
        <v>1406.3734272505128</v>
      </c>
      <c r="BE263" s="205">
        <f t="shared" si="91"/>
        <v>10549.748063630843</v>
      </c>
      <c r="BF263" s="205"/>
      <c r="BG263" s="64">
        <v>7499.8245328219982</v>
      </c>
      <c r="BH263" s="64">
        <v>1853.5879763066218</v>
      </c>
      <c r="BI263" s="64">
        <v>1474.6671114648234</v>
      </c>
      <c r="BJ263" s="205">
        <f t="shared" si="97"/>
        <v>10828.079620593444</v>
      </c>
      <c r="BK263" s="205"/>
      <c r="BL263" s="64">
        <v>7629.5431016535194</v>
      </c>
      <c r="BM263" s="64">
        <v>1877.6373572144371</v>
      </c>
      <c r="BN263" s="64">
        <v>1562.8136108577128</v>
      </c>
      <c r="BO263" s="205">
        <f t="shared" si="98"/>
        <v>11069.99406972567</v>
      </c>
      <c r="BQ263" s="64">
        <v>7804.525184536782</v>
      </c>
      <c r="BR263" s="64">
        <v>1901.0461945628215</v>
      </c>
      <c r="BS263" s="64">
        <v>1617.6073807505898</v>
      </c>
      <c r="BT263" s="205">
        <f t="shared" si="99"/>
        <v>11323.178759850192</v>
      </c>
      <c r="BU263" s="205"/>
      <c r="BV263" s="5">
        <f t="shared" si="100"/>
        <v>16284</v>
      </c>
      <c r="BW263" s="5">
        <f t="shared" si="101"/>
        <v>16582</v>
      </c>
      <c r="BX263" s="5">
        <f t="shared" si="102"/>
        <v>18185.487549999998</v>
      </c>
      <c r="BY263" s="5">
        <f t="shared" si="103"/>
        <v>17589.150160000001</v>
      </c>
      <c r="BZ263" s="5">
        <f t="shared" si="104"/>
        <v>10410.604009999999</v>
      </c>
      <c r="CA263" s="5">
        <f t="shared" si="105"/>
        <v>10245.440864753118</v>
      </c>
      <c r="CB263" s="5">
        <f t="shared" si="106"/>
        <v>10549.748063630843</v>
      </c>
      <c r="CC263" s="5">
        <f t="shared" si="107"/>
        <v>10828.079620593444</v>
      </c>
      <c r="CD263" s="5">
        <f t="shared" si="108"/>
        <v>11069.99406972567</v>
      </c>
      <c r="CE263" s="5">
        <f t="shared" si="116"/>
        <v>11323.178759850192</v>
      </c>
      <c r="CH263" s="41">
        <f>BV263/'1. Väestöennuste'!I263*1000</f>
        <v>3112.9803096922192</v>
      </c>
      <c r="CI263" s="41">
        <f>BW263/'1. Väestöennuste'!J263*1000</f>
        <v>3187.0074956755716</v>
      </c>
      <c r="CJ263" s="41">
        <f>BX263/'1. Väestöennuste'!K263*1000</f>
        <v>3544.2384622880527</v>
      </c>
      <c r="CK263" s="41">
        <f>BY263/'1. Väestöennuste'!L263*1000</f>
        <v>3497.544275203818</v>
      </c>
      <c r="CL263" s="41">
        <f>BZ263/'1. Väestöennuste'!M263*1000</f>
        <v>2111.2561366862701</v>
      </c>
      <c r="CM263" s="41">
        <f>CA263/'1. Väestöennuste'!N263*1000</f>
        <v>2118.1395213465203</v>
      </c>
      <c r="CN263" s="41">
        <f>CB263/'1. Väestöennuste'!O263*1000</f>
        <v>2217.7313566598364</v>
      </c>
      <c r="CO263" s="41">
        <f>CC263/'1. Väestöennuste'!P263*1000</f>
        <v>2314.18671096248</v>
      </c>
      <c r="CP263" s="41">
        <f>CD263/'1. Väestöennuste'!Q263*1000</f>
        <v>2403.3855991588516</v>
      </c>
      <c r="CQ263" s="41">
        <f>CE263/'1. Väestöennuste'!R263*1000</f>
        <v>2495.7414061825421</v>
      </c>
      <c r="CR263" s="41"/>
      <c r="CU263" s="159">
        <f t="shared" si="109"/>
        <v>74.02718598335241</v>
      </c>
      <c r="CV263" s="159">
        <f t="shared" si="110"/>
        <v>357.2309666124811</v>
      </c>
      <c r="CW263" s="159">
        <f t="shared" si="111"/>
        <v>-46.694187084234727</v>
      </c>
      <c r="CX263" s="159">
        <f t="shared" si="112"/>
        <v>-1386.2881385175478</v>
      </c>
      <c r="CY263" s="159">
        <f t="shared" si="113"/>
        <v>6.883384660250158</v>
      </c>
      <c r="CZ263" s="159">
        <f t="shared" si="114"/>
        <v>99.591835313316096</v>
      </c>
      <c r="DA263" s="159">
        <f t="shared" si="117"/>
        <v>96.455354302643627</v>
      </c>
      <c r="DB263" s="159">
        <f t="shared" si="118"/>
        <v>89.198888196371627</v>
      </c>
      <c r="DC263" s="159">
        <f t="shared" si="118"/>
        <v>92.355807023690431</v>
      </c>
    </row>
    <row r="264" spans="1:107" x14ac:dyDescent="0.2">
      <c r="A264" s="99">
        <v>9</v>
      </c>
      <c r="B264" s="30">
        <v>831</v>
      </c>
      <c r="C264" s="47" t="s">
        <v>578</v>
      </c>
      <c r="D264" s="64">
        <v>16103.10583</v>
      </c>
      <c r="E264" s="64">
        <v>1703.51505</v>
      </c>
      <c r="F264" s="64">
        <v>709.3131800000001</v>
      </c>
      <c r="G264" s="205">
        <v>18516</v>
      </c>
      <c r="H264" s="205"/>
      <c r="I264" s="64">
        <v>16565</v>
      </c>
      <c r="J264" s="64">
        <v>1727</v>
      </c>
      <c r="K264" s="64">
        <v>694</v>
      </c>
      <c r="L264" s="205">
        <v>18986</v>
      </c>
      <c r="M264" s="205"/>
      <c r="N264" s="64">
        <v>16690</v>
      </c>
      <c r="O264" s="64">
        <v>1698</v>
      </c>
      <c r="P264" s="64">
        <v>846</v>
      </c>
      <c r="Q264" s="205">
        <v>19234</v>
      </c>
      <c r="R264" s="205"/>
      <c r="S264" s="64">
        <v>16440</v>
      </c>
      <c r="T264" s="64">
        <v>1703</v>
      </c>
      <c r="U264" s="64">
        <v>865</v>
      </c>
      <c r="V264" s="205">
        <v>19008</v>
      </c>
      <c r="W264" s="205"/>
      <c r="X264" s="64">
        <v>17293</v>
      </c>
      <c r="Y264" s="64">
        <v>2057</v>
      </c>
      <c r="Z264" s="64">
        <v>875</v>
      </c>
      <c r="AA264" s="205">
        <f t="shared" si="115"/>
        <v>20225</v>
      </c>
      <c r="AB264" s="205"/>
      <c r="AC264" s="64">
        <v>17502</v>
      </c>
      <c r="AD264" s="64">
        <v>1893</v>
      </c>
      <c r="AE264" s="64">
        <v>868</v>
      </c>
      <c r="AF264" s="205">
        <f t="shared" si="92"/>
        <v>20263</v>
      </c>
      <c r="AG264" s="205"/>
      <c r="AH264" s="278">
        <v>18753.284010000003</v>
      </c>
      <c r="AI264" s="64">
        <v>2091.59474</v>
      </c>
      <c r="AJ264" s="64">
        <v>1158.77385</v>
      </c>
      <c r="AK264" s="205">
        <f t="shared" si="93"/>
        <v>22003.652600000005</v>
      </c>
      <c r="AL264" s="205"/>
      <c r="AM264" s="64">
        <v>18493.491829999999</v>
      </c>
      <c r="AN264" s="64">
        <v>2252.4316400000002</v>
      </c>
      <c r="AO264" s="64">
        <v>967.40327000000002</v>
      </c>
      <c r="AP264" s="205">
        <f t="shared" si="94"/>
        <v>21713.326739999997</v>
      </c>
      <c r="AQ264" s="205"/>
      <c r="AR264" s="64">
        <v>9155.2194399999989</v>
      </c>
      <c r="AS264" s="64">
        <v>2150.80296</v>
      </c>
      <c r="AT264" s="64">
        <v>557.97573999999997</v>
      </c>
      <c r="AU264" s="205">
        <f t="shared" si="95"/>
        <v>11863.998139999998</v>
      </c>
      <c r="AV264" s="205"/>
      <c r="AW264" s="64">
        <v>8775.2952143695202</v>
      </c>
      <c r="AX264" s="64">
        <v>2157.9895504762139</v>
      </c>
      <c r="AY264" s="64">
        <v>608.95742744832546</v>
      </c>
      <c r="AZ264" s="205">
        <f t="shared" si="96"/>
        <v>11542.242192294059</v>
      </c>
      <c r="BA264" s="205"/>
      <c r="BB264" s="64">
        <v>9008.5475858751452</v>
      </c>
      <c r="BC264" s="64">
        <v>2176.7551581726143</v>
      </c>
      <c r="BD264" s="64">
        <v>616.26491657770532</v>
      </c>
      <c r="BE264" s="205">
        <f t="shared" si="91"/>
        <v>11801.567660625466</v>
      </c>
      <c r="BF264" s="205"/>
      <c r="BG264" s="64">
        <v>9288.0221608802804</v>
      </c>
      <c r="BH264" s="64">
        <v>2212.346317676082</v>
      </c>
      <c r="BI264" s="64">
        <v>646.19082444088031</v>
      </c>
      <c r="BJ264" s="205">
        <f t="shared" si="97"/>
        <v>12146.559302997242</v>
      </c>
      <c r="BK264" s="205"/>
      <c r="BL264" s="64">
        <v>9523.6208289499664</v>
      </c>
      <c r="BM264" s="64">
        <v>2252.766056472854</v>
      </c>
      <c r="BN264" s="64">
        <v>684.81612412474544</v>
      </c>
      <c r="BO264" s="205">
        <f t="shared" si="98"/>
        <v>12461.203009547566</v>
      </c>
      <c r="BQ264" s="64">
        <v>9810.603726559917</v>
      </c>
      <c r="BR264" s="64">
        <v>2292.5502804596535</v>
      </c>
      <c r="BS264" s="64">
        <v>708.82644554985086</v>
      </c>
      <c r="BT264" s="205">
        <f t="shared" si="99"/>
        <v>12811.98045256942</v>
      </c>
      <c r="BU264" s="205"/>
      <c r="BV264" s="5">
        <f t="shared" si="100"/>
        <v>20225</v>
      </c>
      <c r="BW264" s="5">
        <f t="shared" si="101"/>
        <v>20263</v>
      </c>
      <c r="BX264" s="5">
        <f t="shared" si="102"/>
        <v>22003.652600000005</v>
      </c>
      <c r="BY264" s="5">
        <f t="shared" si="103"/>
        <v>21713.326739999997</v>
      </c>
      <c r="BZ264" s="5">
        <f t="shared" si="104"/>
        <v>11863.998139999998</v>
      </c>
      <c r="CA264" s="5">
        <f t="shared" si="105"/>
        <v>11542.242192294059</v>
      </c>
      <c r="CB264" s="5">
        <f t="shared" si="106"/>
        <v>11801.567660625466</v>
      </c>
      <c r="CC264" s="5">
        <f t="shared" si="107"/>
        <v>12146.559302997242</v>
      </c>
      <c r="CD264" s="5">
        <f t="shared" si="108"/>
        <v>12461.203009547566</v>
      </c>
      <c r="CE264" s="5">
        <f t="shared" si="116"/>
        <v>12811.98045256942</v>
      </c>
      <c r="CH264" s="41">
        <f>BV264/'1. Väestöennuste'!I264*1000</f>
        <v>4329.9079426247054</v>
      </c>
      <c r="CI264" s="41">
        <f>BW264/'1. Väestöennuste'!J264*1000</f>
        <v>4378.3491789109767</v>
      </c>
      <c r="CJ264" s="41">
        <f>BX264/'1. Väestöennuste'!K264*1000</f>
        <v>4788.6077475516877</v>
      </c>
      <c r="CK264" s="41">
        <f>BY264/'1. Väestöennuste'!L264*1000</f>
        <v>4762.7389208159684</v>
      </c>
      <c r="CL264" s="41">
        <f>BZ264/'1. Väestöennuste'!M264*1000</f>
        <v>2565.1887870270266</v>
      </c>
      <c r="CM264" s="41">
        <f>CA264/'1. Väestöennuste'!N264*1000</f>
        <v>2564.3728487656208</v>
      </c>
      <c r="CN264" s="41">
        <f>CB264/'1. Väestöennuste'!O264*1000</f>
        <v>2640.7625107687327</v>
      </c>
      <c r="CO264" s="41">
        <f>CC264/'1. Väestöennuste'!P264*1000</f>
        <v>2738.1783821003705</v>
      </c>
      <c r="CP264" s="41">
        <f>CD264/'1. Väestöennuste'!Q264*1000</f>
        <v>2828.2349091120213</v>
      </c>
      <c r="CQ264" s="41">
        <f>CE264/'1. Väestöennuste'!R264*1000</f>
        <v>2928.4526748730104</v>
      </c>
      <c r="CR264" s="41"/>
      <c r="CU264" s="159">
        <f t="shared" si="109"/>
        <v>48.441236286271305</v>
      </c>
      <c r="CV264" s="159">
        <f t="shared" si="110"/>
        <v>410.25856864071102</v>
      </c>
      <c r="CW264" s="159">
        <f t="shared" si="111"/>
        <v>-25.868826735719267</v>
      </c>
      <c r="CX264" s="159">
        <f t="shared" si="112"/>
        <v>-2197.5501337889418</v>
      </c>
      <c r="CY264" s="159">
        <f t="shared" si="113"/>
        <v>-0.8159382614057904</v>
      </c>
      <c r="CZ264" s="159">
        <f t="shared" si="114"/>
        <v>76.38966200311188</v>
      </c>
      <c r="DA264" s="159">
        <f t="shared" si="117"/>
        <v>97.415871331637845</v>
      </c>
      <c r="DB264" s="159">
        <f t="shared" si="118"/>
        <v>90.056527011650815</v>
      </c>
      <c r="DC264" s="159">
        <f t="shared" si="118"/>
        <v>100.2177657609891</v>
      </c>
    </row>
    <row r="265" spans="1:107" x14ac:dyDescent="0.2">
      <c r="A265" s="99">
        <v>17</v>
      </c>
      <c r="B265" s="30">
        <v>832</v>
      </c>
      <c r="C265" s="47" t="s">
        <v>579</v>
      </c>
      <c r="D265" s="64">
        <v>10087.205039999999</v>
      </c>
      <c r="E265" s="64">
        <v>798.25238999999999</v>
      </c>
      <c r="F265" s="64">
        <v>1146.13148</v>
      </c>
      <c r="G265" s="205">
        <v>12028</v>
      </c>
      <c r="H265" s="205"/>
      <c r="I265" s="64">
        <v>10209</v>
      </c>
      <c r="J265" s="64">
        <v>811</v>
      </c>
      <c r="K265" s="64">
        <v>1139</v>
      </c>
      <c r="L265" s="205">
        <v>12159</v>
      </c>
      <c r="M265" s="205"/>
      <c r="N265" s="64">
        <v>9771</v>
      </c>
      <c r="O265" s="64">
        <v>855</v>
      </c>
      <c r="P265" s="64">
        <v>1300</v>
      </c>
      <c r="Q265" s="205">
        <v>11926</v>
      </c>
      <c r="R265" s="205"/>
      <c r="S265" s="64">
        <v>9662</v>
      </c>
      <c r="T265" s="64">
        <v>897</v>
      </c>
      <c r="U265" s="64">
        <v>1232</v>
      </c>
      <c r="V265" s="205">
        <v>11791</v>
      </c>
      <c r="W265" s="205"/>
      <c r="X265" s="64">
        <v>9759</v>
      </c>
      <c r="Y265" s="64">
        <v>915</v>
      </c>
      <c r="Z265" s="64">
        <v>1305</v>
      </c>
      <c r="AA265" s="205">
        <f t="shared" si="115"/>
        <v>11979</v>
      </c>
      <c r="AB265" s="205"/>
      <c r="AC265" s="64">
        <v>10079</v>
      </c>
      <c r="AD265" s="64">
        <v>843</v>
      </c>
      <c r="AE265" s="64">
        <v>1561</v>
      </c>
      <c r="AF265" s="205">
        <f t="shared" si="92"/>
        <v>12483</v>
      </c>
      <c r="AG265" s="205"/>
      <c r="AH265" s="278">
        <v>10211.80941</v>
      </c>
      <c r="AI265" s="64">
        <v>921.40221999999994</v>
      </c>
      <c r="AJ265" s="64">
        <v>2395.4752999999996</v>
      </c>
      <c r="AK265" s="205">
        <f t="shared" si="93"/>
        <v>13528.68693</v>
      </c>
      <c r="AL265" s="205"/>
      <c r="AM265" s="64">
        <v>10932.146460000002</v>
      </c>
      <c r="AN265" s="64">
        <v>936.66690000000006</v>
      </c>
      <c r="AO265" s="64">
        <v>2284.48308</v>
      </c>
      <c r="AP265" s="205">
        <f t="shared" si="94"/>
        <v>14153.296440000002</v>
      </c>
      <c r="AQ265" s="205"/>
      <c r="AR265" s="64">
        <v>4808.0422699999999</v>
      </c>
      <c r="AS265" s="64">
        <v>1018.29185</v>
      </c>
      <c r="AT265" s="64">
        <v>1281.88428</v>
      </c>
      <c r="AU265" s="205">
        <f t="shared" si="95"/>
        <v>7108.2183999999997</v>
      </c>
      <c r="AV265" s="205"/>
      <c r="AW265" s="64">
        <v>4770.0840537326212</v>
      </c>
      <c r="AX265" s="64">
        <v>1089.4540907737564</v>
      </c>
      <c r="AY265" s="64">
        <v>1045.2649019642993</v>
      </c>
      <c r="AZ265" s="205">
        <f t="shared" si="96"/>
        <v>6904.8030464706771</v>
      </c>
      <c r="BA265" s="205"/>
      <c r="BB265" s="64">
        <v>5017.5382049282198</v>
      </c>
      <c r="BC265" s="64">
        <v>1105.4759682005808</v>
      </c>
      <c r="BD265" s="64">
        <v>1057.8080807878709</v>
      </c>
      <c r="BE265" s="205">
        <f t="shared" si="91"/>
        <v>7180.8222539166709</v>
      </c>
      <c r="BF265" s="205"/>
      <c r="BG265" s="64">
        <v>5164.666156266695</v>
      </c>
      <c r="BH265" s="64">
        <v>1130.5390950451053</v>
      </c>
      <c r="BI265" s="64">
        <v>1109.1753845415451</v>
      </c>
      <c r="BJ265" s="205">
        <f t="shared" si="97"/>
        <v>7404.3806358533457</v>
      </c>
      <c r="BK265" s="205"/>
      <c r="BL265" s="64">
        <v>5283.4676678125552</v>
      </c>
      <c r="BM265" s="64">
        <v>1158.6573383688772</v>
      </c>
      <c r="BN265" s="64">
        <v>1175.4750440375662</v>
      </c>
      <c r="BO265" s="205">
        <f t="shared" si="98"/>
        <v>7617.6000502189991</v>
      </c>
      <c r="BQ265" s="64">
        <v>5421.0170732656616</v>
      </c>
      <c r="BR265" s="64">
        <v>1187.0771792728199</v>
      </c>
      <c r="BS265" s="64">
        <v>1216.6883458864445</v>
      </c>
      <c r="BT265" s="205">
        <f t="shared" si="99"/>
        <v>7824.7825984249266</v>
      </c>
      <c r="BU265" s="205"/>
      <c r="BV265" s="5">
        <f t="shared" si="100"/>
        <v>11979</v>
      </c>
      <c r="BW265" s="5">
        <f t="shared" si="101"/>
        <v>12483</v>
      </c>
      <c r="BX265" s="5">
        <f t="shared" si="102"/>
        <v>13528.68693</v>
      </c>
      <c r="BY265" s="5">
        <f t="shared" si="103"/>
        <v>14153.296440000002</v>
      </c>
      <c r="BZ265" s="5">
        <f t="shared" si="104"/>
        <v>7108.2183999999997</v>
      </c>
      <c r="CA265" s="5">
        <f t="shared" si="105"/>
        <v>6904.8030464706771</v>
      </c>
      <c r="CB265" s="5">
        <f t="shared" si="106"/>
        <v>7180.8222539166709</v>
      </c>
      <c r="CC265" s="5">
        <f t="shared" si="107"/>
        <v>7404.3806358533457</v>
      </c>
      <c r="CD265" s="5">
        <f t="shared" si="108"/>
        <v>7617.6000502189991</v>
      </c>
      <c r="CE265" s="5">
        <f t="shared" si="116"/>
        <v>7824.7825984249266</v>
      </c>
      <c r="CH265" s="41">
        <f>BV265/'1. Väestöennuste'!I265*1000</f>
        <v>3012.8269617706237</v>
      </c>
      <c r="CI265" s="41">
        <f>BW265/'1. Väestöennuste'!J265*1000</f>
        <v>3187.6915219611851</v>
      </c>
      <c r="CJ265" s="41">
        <f>BX265/'1. Väestöennuste'!K265*1000</f>
        <v>3457.3695195502169</v>
      </c>
      <c r="CK265" s="41">
        <f>BY265/'1. Väestöennuste'!L265*1000</f>
        <v>3700.2082196078441</v>
      </c>
      <c r="CL265" s="41">
        <f>BZ265/'1. Väestöennuste'!M265*1000</f>
        <v>1905.1778075582952</v>
      </c>
      <c r="CM265" s="41">
        <f>CA265/'1. Väestöennuste'!N265*1000</f>
        <v>1874.7768249988264</v>
      </c>
      <c r="CN265" s="41">
        <f>CB265/'1. Väestöennuste'!O265*1000</f>
        <v>1978.1879487373749</v>
      </c>
      <c r="CO265" s="41">
        <f>CC265/'1. Väestöennuste'!P265*1000</f>
        <v>2069.4188473597951</v>
      </c>
      <c r="CP265" s="41">
        <f>CD265/'1. Väestöennuste'!Q265*1000</f>
        <v>2159.7958747431239</v>
      </c>
      <c r="CQ265" s="41">
        <f>CE265/'1. Väestöennuste'!R265*1000</f>
        <v>2251.0882043800134</v>
      </c>
      <c r="CR265" s="41"/>
      <c r="CU265" s="159">
        <f t="shared" si="109"/>
        <v>174.86456019056141</v>
      </c>
      <c r="CV265" s="159">
        <f t="shared" si="110"/>
        <v>269.67799758903175</v>
      </c>
      <c r="CW265" s="159">
        <f t="shared" si="111"/>
        <v>242.83870005762719</v>
      </c>
      <c r="CX265" s="159">
        <f t="shared" si="112"/>
        <v>-1795.0304120495489</v>
      </c>
      <c r="CY265" s="159">
        <f t="shared" si="113"/>
        <v>-30.40098255946873</v>
      </c>
      <c r="CZ265" s="159">
        <f t="shared" si="114"/>
        <v>103.41112373854844</v>
      </c>
      <c r="DA265" s="159">
        <f t="shared" si="117"/>
        <v>91.230898622420227</v>
      </c>
      <c r="DB265" s="159">
        <f t="shared" si="118"/>
        <v>90.377027383328823</v>
      </c>
      <c r="DC265" s="159">
        <f t="shared" si="118"/>
        <v>91.292329636889463</v>
      </c>
    </row>
    <row r="266" spans="1:107" x14ac:dyDescent="0.2">
      <c r="A266" s="99">
        <v>2</v>
      </c>
      <c r="B266" s="30">
        <v>833</v>
      </c>
      <c r="C266" s="47" t="s">
        <v>580</v>
      </c>
      <c r="D266" s="64">
        <v>4897.5831900000003</v>
      </c>
      <c r="E266" s="64">
        <v>1125.7851799999999</v>
      </c>
      <c r="F266" s="64">
        <v>264.74020000000002</v>
      </c>
      <c r="G266" s="205">
        <v>6288</v>
      </c>
      <c r="H266" s="205"/>
      <c r="I266" s="64">
        <v>4781</v>
      </c>
      <c r="J266" s="64">
        <v>1183</v>
      </c>
      <c r="K266" s="64">
        <v>212</v>
      </c>
      <c r="L266" s="205">
        <v>5818</v>
      </c>
      <c r="M266" s="205"/>
      <c r="N266" s="64">
        <v>4993</v>
      </c>
      <c r="O266" s="64">
        <v>1222</v>
      </c>
      <c r="P266" s="64">
        <v>244</v>
      </c>
      <c r="Q266" s="205">
        <v>6459</v>
      </c>
      <c r="R266" s="205"/>
      <c r="S266" s="64">
        <v>5200</v>
      </c>
      <c r="T266" s="64">
        <v>1191</v>
      </c>
      <c r="U266" s="64">
        <v>226</v>
      </c>
      <c r="V266" s="205">
        <v>6617</v>
      </c>
      <c r="W266" s="205"/>
      <c r="X266" s="64">
        <v>5100</v>
      </c>
      <c r="Y266" s="64">
        <v>1227</v>
      </c>
      <c r="Z266" s="64">
        <v>241</v>
      </c>
      <c r="AA266" s="205">
        <f t="shared" si="115"/>
        <v>6568</v>
      </c>
      <c r="AB266" s="205"/>
      <c r="AC266" s="64">
        <v>5706</v>
      </c>
      <c r="AD266" s="64">
        <v>1115</v>
      </c>
      <c r="AE266" s="64">
        <v>270</v>
      </c>
      <c r="AF266" s="205">
        <f t="shared" si="92"/>
        <v>7091</v>
      </c>
      <c r="AG266" s="205"/>
      <c r="AH266" s="278">
        <v>5674.9673400000001</v>
      </c>
      <c r="AI266" s="64">
        <v>1236.9522099999999</v>
      </c>
      <c r="AJ266" s="64">
        <v>349.99365</v>
      </c>
      <c r="AK266" s="205">
        <f t="shared" si="93"/>
        <v>7261.9132000000009</v>
      </c>
      <c r="AL266" s="205"/>
      <c r="AM266" s="64">
        <v>5387.7337900000002</v>
      </c>
      <c r="AN266" s="64">
        <v>1284.18498</v>
      </c>
      <c r="AO266" s="64">
        <v>369.01229999999998</v>
      </c>
      <c r="AP266" s="205">
        <f t="shared" si="94"/>
        <v>7040.9310700000005</v>
      </c>
      <c r="AQ266" s="205"/>
      <c r="AR266" s="64">
        <v>2442.6396299999997</v>
      </c>
      <c r="AS266" s="64">
        <v>1321.0601200000001</v>
      </c>
      <c r="AT266" s="64">
        <v>249.56904999999998</v>
      </c>
      <c r="AU266" s="205">
        <f t="shared" si="95"/>
        <v>4013.2687999999998</v>
      </c>
      <c r="AV266" s="205"/>
      <c r="AW266" s="64">
        <v>2350.4504455395609</v>
      </c>
      <c r="AX266" s="64">
        <v>1387.4166770539407</v>
      </c>
      <c r="AY266" s="64">
        <v>200.16146176770167</v>
      </c>
      <c r="AZ266" s="205">
        <f t="shared" si="96"/>
        <v>3938.0285843612028</v>
      </c>
      <c r="BA266" s="205"/>
      <c r="BB266" s="64">
        <v>2490.5085602527893</v>
      </c>
      <c r="BC266" s="64">
        <v>1406.0897458098109</v>
      </c>
      <c r="BD266" s="64">
        <v>202.56339930891409</v>
      </c>
      <c r="BE266" s="205">
        <f t="shared" si="91"/>
        <v>4099.1617053715145</v>
      </c>
      <c r="BF266" s="205"/>
      <c r="BG266" s="64">
        <v>2597.4123571609812</v>
      </c>
      <c r="BH266" s="64">
        <v>1435.8540592326972</v>
      </c>
      <c r="BI266" s="64">
        <v>212.39990543006971</v>
      </c>
      <c r="BJ266" s="205">
        <f t="shared" si="97"/>
        <v>4245.6663218237481</v>
      </c>
      <c r="BK266" s="205"/>
      <c r="BL266" s="64">
        <v>2701.2231759285905</v>
      </c>
      <c r="BM266" s="64">
        <v>1469.0434036615566</v>
      </c>
      <c r="BN266" s="64">
        <v>225.09586100504967</v>
      </c>
      <c r="BO266" s="205">
        <f t="shared" si="98"/>
        <v>4395.3624405951959</v>
      </c>
      <c r="BQ266" s="64">
        <v>2824.6781627217283</v>
      </c>
      <c r="BR266" s="64">
        <v>1502.1251724528113</v>
      </c>
      <c r="BS266" s="64">
        <v>232.98794149760474</v>
      </c>
      <c r="BT266" s="205">
        <f t="shared" si="99"/>
        <v>4559.7912766721447</v>
      </c>
      <c r="BU266" s="205"/>
      <c r="BV266" s="5">
        <f t="shared" si="100"/>
        <v>6568</v>
      </c>
      <c r="BW266" s="5">
        <f t="shared" si="101"/>
        <v>7091</v>
      </c>
      <c r="BX266" s="5">
        <f t="shared" si="102"/>
        <v>7261.9132000000009</v>
      </c>
      <c r="BY266" s="5">
        <f t="shared" si="103"/>
        <v>7040.9310700000005</v>
      </c>
      <c r="BZ266" s="5">
        <f t="shared" si="104"/>
        <v>4013.2687999999998</v>
      </c>
      <c r="CA266" s="5">
        <f t="shared" si="105"/>
        <v>3938.0285843612028</v>
      </c>
      <c r="CB266" s="5">
        <f t="shared" si="106"/>
        <v>4099.1617053715145</v>
      </c>
      <c r="CC266" s="5">
        <f t="shared" si="107"/>
        <v>4245.6663218237481</v>
      </c>
      <c r="CD266" s="5">
        <f t="shared" si="108"/>
        <v>4395.3624405951959</v>
      </c>
      <c r="CE266" s="5">
        <f t="shared" si="116"/>
        <v>4559.7912766721447</v>
      </c>
      <c r="CH266" s="41">
        <f>BV266/'1. Väestöennuste'!I266*1000</f>
        <v>4007.3215375228797</v>
      </c>
      <c r="CI266" s="41">
        <f>BW266/'1. Väestöennuste'!J266*1000</f>
        <v>4274.2616033755276</v>
      </c>
      <c r="CJ266" s="41">
        <f>BX266/'1. Väestöennuste'!K266*1000</f>
        <v>4330.3000596302927</v>
      </c>
      <c r="CK266" s="41">
        <f>BY266/'1. Väestöennuste'!L266*1000</f>
        <v>4163.7676345357777</v>
      </c>
      <c r="CL266" s="41">
        <f>BZ266/'1. Väestöennuste'!M266*1000</f>
        <v>2353.8233431085046</v>
      </c>
      <c r="CM266" s="41">
        <f>CA266/'1. Väestöennuste'!N266*1000</f>
        <v>2341.2773985500612</v>
      </c>
      <c r="CN266" s="41">
        <f>CB266/'1. Väestöennuste'!O266*1000</f>
        <v>2432.7369171344299</v>
      </c>
      <c r="CO266" s="41">
        <f>CC266/'1. Väestöennuste'!P266*1000</f>
        <v>2515.205166957197</v>
      </c>
      <c r="CP266" s="41">
        <f>CD266/'1. Väestöennuste'!Q266*1000</f>
        <v>2596.1975431749529</v>
      </c>
      <c r="CQ266" s="41">
        <f>CE266/'1. Väestöennuste'!R266*1000</f>
        <v>2690.1423461192594</v>
      </c>
      <c r="CR266" s="41"/>
      <c r="CU266" s="159">
        <f t="shared" si="109"/>
        <v>266.94006585264788</v>
      </c>
      <c r="CV266" s="159">
        <f t="shared" si="110"/>
        <v>56.038456254765151</v>
      </c>
      <c r="CW266" s="159">
        <f t="shared" si="111"/>
        <v>-166.53242509451502</v>
      </c>
      <c r="CX266" s="159">
        <f t="shared" si="112"/>
        <v>-1809.9442914272731</v>
      </c>
      <c r="CY266" s="159">
        <f t="shared" si="113"/>
        <v>-12.545944558443352</v>
      </c>
      <c r="CZ266" s="159">
        <f t="shared" si="114"/>
        <v>91.459518584368652</v>
      </c>
      <c r="DA266" s="159">
        <f t="shared" si="117"/>
        <v>82.46824982276712</v>
      </c>
      <c r="DB266" s="159">
        <f t="shared" si="118"/>
        <v>80.992376217755918</v>
      </c>
      <c r="DC266" s="159">
        <f t="shared" si="118"/>
        <v>93.944802944306502</v>
      </c>
    </row>
    <row r="267" spans="1:107" x14ac:dyDescent="0.2">
      <c r="A267" s="99">
        <v>5</v>
      </c>
      <c r="B267" s="30">
        <v>834</v>
      </c>
      <c r="C267" s="47" t="s">
        <v>581</v>
      </c>
      <c r="D267" s="64">
        <v>18113.985079999999</v>
      </c>
      <c r="E267" s="64">
        <v>1467.8277599999999</v>
      </c>
      <c r="F267" s="64">
        <v>1293.89348</v>
      </c>
      <c r="G267" s="205">
        <v>20869</v>
      </c>
      <c r="H267" s="205"/>
      <c r="I267" s="64">
        <v>18021</v>
      </c>
      <c r="J267" s="64">
        <v>1478</v>
      </c>
      <c r="K267" s="64">
        <v>1209</v>
      </c>
      <c r="L267" s="205">
        <v>20707</v>
      </c>
      <c r="M267" s="205"/>
      <c r="N267" s="64">
        <v>19172</v>
      </c>
      <c r="O267" s="64">
        <v>1335</v>
      </c>
      <c r="P267" s="64">
        <v>1552</v>
      </c>
      <c r="Q267" s="205">
        <v>22059</v>
      </c>
      <c r="R267" s="205"/>
      <c r="S267" s="64">
        <v>18349</v>
      </c>
      <c r="T267" s="64">
        <v>1583</v>
      </c>
      <c r="U267" s="64">
        <v>1245</v>
      </c>
      <c r="V267" s="205">
        <v>21177</v>
      </c>
      <c r="W267" s="205"/>
      <c r="X267" s="64">
        <v>18880</v>
      </c>
      <c r="Y267" s="64">
        <v>1609</v>
      </c>
      <c r="Z267" s="64">
        <v>1282</v>
      </c>
      <c r="AA267" s="205">
        <f t="shared" si="115"/>
        <v>21771</v>
      </c>
      <c r="AB267" s="205"/>
      <c r="AC267" s="64">
        <v>19944</v>
      </c>
      <c r="AD267" s="64">
        <v>1407</v>
      </c>
      <c r="AE267" s="64">
        <v>1444</v>
      </c>
      <c r="AF267" s="205">
        <f t="shared" si="92"/>
        <v>22795</v>
      </c>
      <c r="AG267" s="205"/>
      <c r="AH267" s="278">
        <v>20703.569909999998</v>
      </c>
      <c r="AI267" s="64">
        <v>1819.18121</v>
      </c>
      <c r="AJ267" s="64">
        <v>2205.04234</v>
      </c>
      <c r="AK267" s="205">
        <f t="shared" si="93"/>
        <v>24727.793459999997</v>
      </c>
      <c r="AL267" s="205"/>
      <c r="AM267" s="64">
        <v>22441.623030000002</v>
      </c>
      <c r="AN267" s="64">
        <v>1898.77271</v>
      </c>
      <c r="AO267" s="64">
        <v>2164.3352799999998</v>
      </c>
      <c r="AP267" s="205">
        <f t="shared" si="94"/>
        <v>26504.731020000003</v>
      </c>
      <c r="AQ267" s="205"/>
      <c r="AR267" s="64">
        <v>11209.88631</v>
      </c>
      <c r="AS267" s="64">
        <v>1983.9493500000001</v>
      </c>
      <c r="AT267" s="64">
        <v>1236.7964399999998</v>
      </c>
      <c r="AU267" s="205">
        <f t="shared" si="95"/>
        <v>14430.632100000001</v>
      </c>
      <c r="AV267" s="205"/>
      <c r="AW267" s="64">
        <v>10465.583272656368</v>
      </c>
      <c r="AX267" s="64">
        <v>2052.7322961751588</v>
      </c>
      <c r="AY267" s="64">
        <v>966.17896390654096</v>
      </c>
      <c r="AZ267" s="205">
        <f t="shared" si="96"/>
        <v>13484.494532738068</v>
      </c>
      <c r="BA267" s="205"/>
      <c r="BB267" s="64">
        <v>10973.26717383954</v>
      </c>
      <c r="BC267" s="64">
        <v>2059.7171320738653</v>
      </c>
      <c r="BD267" s="64">
        <v>977.77311147341936</v>
      </c>
      <c r="BE267" s="205">
        <f t="shared" si="91"/>
        <v>14010.757417386825</v>
      </c>
      <c r="BF267" s="205"/>
      <c r="BG267" s="64">
        <v>11389.787027494287</v>
      </c>
      <c r="BH267" s="64">
        <v>2082.406595218863</v>
      </c>
      <c r="BI267" s="64">
        <v>1025.2539062711123</v>
      </c>
      <c r="BJ267" s="205">
        <f t="shared" si="97"/>
        <v>14497.447528984263</v>
      </c>
      <c r="BK267" s="205"/>
      <c r="BL267" s="64">
        <v>11707.552957944374</v>
      </c>
      <c r="BM267" s="64">
        <v>2109.3183402297245</v>
      </c>
      <c r="BN267" s="64">
        <v>1086.5372576960415</v>
      </c>
      <c r="BO267" s="205">
        <f t="shared" si="98"/>
        <v>14903.408555870139</v>
      </c>
      <c r="BQ267" s="64">
        <v>12077.080598986282</v>
      </c>
      <c r="BR267" s="64">
        <v>2135.2931427456756</v>
      </c>
      <c r="BS267" s="64">
        <v>1124.6323139872136</v>
      </c>
      <c r="BT267" s="205">
        <f t="shared" si="99"/>
        <v>15337.00605571917</v>
      </c>
      <c r="BU267" s="205"/>
      <c r="BV267" s="5">
        <f t="shared" si="100"/>
        <v>21771</v>
      </c>
      <c r="BW267" s="5">
        <f t="shared" si="101"/>
        <v>22795</v>
      </c>
      <c r="BX267" s="5">
        <f t="shared" si="102"/>
        <v>24727.793459999997</v>
      </c>
      <c r="BY267" s="5">
        <f t="shared" si="103"/>
        <v>26504.731020000003</v>
      </c>
      <c r="BZ267" s="5">
        <f t="shared" si="104"/>
        <v>14430.632100000001</v>
      </c>
      <c r="CA267" s="5">
        <f t="shared" si="105"/>
        <v>13484.494532738068</v>
      </c>
      <c r="CB267" s="5">
        <f t="shared" si="106"/>
        <v>14010.757417386825</v>
      </c>
      <c r="CC267" s="5">
        <f t="shared" si="107"/>
        <v>14497.447528984263</v>
      </c>
      <c r="CD267" s="5">
        <f t="shared" si="108"/>
        <v>14903.408555870139</v>
      </c>
      <c r="CE267" s="5">
        <f t="shared" si="116"/>
        <v>15337.00605571917</v>
      </c>
      <c r="CH267" s="41">
        <f>BV267/'1. Väestöennuste'!I267*1000</f>
        <v>3619.4513715710723</v>
      </c>
      <c r="CI267" s="41">
        <f>BW267/'1. Väestöennuste'!J267*1000</f>
        <v>3789.0625</v>
      </c>
      <c r="CJ267" s="41">
        <f>BX267/'1. Väestöennuste'!K267*1000</f>
        <v>4144.0914127702363</v>
      </c>
      <c r="CK267" s="41">
        <f>BY267/'1. Väestöennuste'!L267*1000</f>
        <v>4508.3740466065665</v>
      </c>
      <c r="CL267" s="41">
        <f>BZ267/'1. Väestöennuste'!M267*1000</f>
        <v>2469.3073408624232</v>
      </c>
      <c r="CM267" s="41">
        <f>CA267/'1. Väestöennuste'!N267*1000</f>
        <v>2326.9188149677425</v>
      </c>
      <c r="CN267" s="41">
        <f>CB267/'1. Väestöennuste'!O267*1000</f>
        <v>2439.1987147261184</v>
      </c>
      <c r="CO267" s="41">
        <f>CC267/'1. Väestöennuste'!P267*1000</f>
        <v>2545.6448690051384</v>
      </c>
      <c r="CP267" s="41">
        <f>CD267/'1. Väestöennuste'!Q267*1000</f>
        <v>2638.7054808551948</v>
      </c>
      <c r="CQ267" s="41">
        <f>CE267/'1. Väestöennuste'!R267*1000</f>
        <v>2735.8198458293205</v>
      </c>
      <c r="CR267" s="41"/>
      <c r="CU267" s="159">
        <f t="shared" si="109"/>
        <v>169.61112842892771</v>
      </c>
      <c r="CV267" s="159">
        <f t="shared" si="110"/>
        <v>355.02891277023627</v>
      </c>
      <c r="CW267" s="159">
        <f t="shared" si="111"/>
        <v>364.28263383633021</v>
      </c>
      <c r="CX267" s="159">
        <f t="shared" si="112"/>
        <v>-2039.0667057441433</v>
      </c>
      <c r="CY267" s="159">
        <f t="shared" si="113"/>
        <v>-142.3885258946807</v>
      </c>
      <c r="CZ267" s="159">
        <f t="shared" si="114"/>
        <v>112.2798997583759</v>
      </c>
      <c r="DA267" s="159">
        <f t="shared" si="117"/>
        <v>106.44615427901999</v>
      </c>
      <c r="DB267" s="159">
        <f t="shared" si="118"/>
        <v>93.060611850056375</v>
      </c>
      <c r="DC267" s="159">
        <f t="shared" si="118"/>
        <v>97.114364974125692</v>
      </c>
    </row>
    <row r="268" spans="1:107" x14ac:dyDescent="0.2">
      <c r="A268" s="99">
        <v>6</v>
      </c>
      <c r="B268" s="30">
        <v>837</v>
      </c>
      <c r="C268" s="47" t="s">
        <v>582</v>
      </c>
      <c r="D268" s="64">
        <v>755773.74154999992</v>
      </c>
      <c r="E268" s="64">
        <v>63835.052049999998</v>
      </c>
      <c r="F268" s="64">
        <v>67297.671959999992</v>
      </c>
      <c r="G268" s="205">
        <v>886853</v>
      </c>
      <c r="H268" s="205"/>
      <c r="I268" s="64">
        <v>776520</v>
      </c>
      <c r="J268" s="64">
        <v>65388</v>
      </c>
      <c r="K268" s="64">
        <v>54305</v>
      </c>
      <c r="L268" s="205">
        <v>896213</v>
      </c>
      <c r="M268" s="205"/>
      <c r="N268" s="64">
        <v>776800</v>
      </c>
      <c r="O268" s="64">
        <v>75680</v>
      </c>
      <c r="P268" s="64">
        <v>66502</v>
      </c>
      <c r="Q268" s="205">
        <v>918982</v>
      </c>
      <c r="R268" s="205"/>
      <c r="S268" s="64">
        <v>767389</v>
      </c>
      <c r="T268" s="64">
        <v>76028</v>
      </c>
      <c r="U268" s="64">
        <v>71098</v>
      </c>
      <c r="V268" s="205">
        <v>914515</v>
      </c>
      <c r="W268" s="205"/>
      <c r="X268" s="64">
        <v>808932</v>
      </c>
      <c r="Y268" s="64">
        <v>88362</v>
      </c>
      <c r="Z268" s="64">
        <v>77280</v>
      </c>
      <c r="AA268" s="205">
        <f t="shared" si="115"/>
        <v>974574</v>
      </c>
      <c r="AB268" s="205"/>
      <c r="AC268" s="64">
        <v>866872</v>
      </c>
      <c r="AD268" s="64">
        <v>83117</v>
      </c>
      <c r="AE268" s="64">
        <v>85333</v>
      </c>
      <c r="AF268" s="205">
        <f t="shared" si="92"/>
        <v>1035322</v>
      </c>
      <c r="AG268" s="205"/>
      <c r="AH268" s="278">
        <v>896751.82171000005</v>
      </c>
      <c r="AI268" s="64">
        <v>93270.134420000002</v>
      </c>
      <c r="AJ268" s="64">
        <v>127460.59529000001</v>
      </c>
      <c r="AK268" s="205">
        <f t="shared" si="93"/>
        <v>1117482.5514200001</v>
      </c>
      <c r="AL268" s="205"/>
      <c r="AM268" s="64">
        <v>953897.12770000007</v>
      </c>
      <c r="AN268" s="64">
        <v>99620.202839999998</v>
      </c>
      <c r="AO268" s="64">
        <v>138774.25246000002</v>
      </c>
      <c r="AP268" s="205">
        <f t="shared" si="94"/>
        <v>1192291.5830000001</v>
      </c>
      <c r="AQ268" s="205"/>
      <c r="AR268" s="64">
        <v>477772.95120999997</v>
      </c>
      <c r="AS268" s="64">
        <v>105302.04715000001</v>
      </c>
      <c r="AT268" s="64">
        <v>97982.395640000002</v>
      </c>
      <c r="AU268" s="205">
        <f t="shared" si="95"/>
        <v>681057.39399999997</v>
      </c>
      <c r="AV268" s="205"/>
      <c r="AW268" s="64">
        <v>447023.77890879358</v>
      </c>
      <c r="AX268" s="64">
        <v>109254.8624340282</v>
      </c>
      <c r="AY268" s="64">
        <v>83394.188707085545</v>
      </c>
      <c r="AZ268" s="205">
        <f t="shared" si="96"/>
        <v>639672.83004990732</v>
      </c>
      <c r="BA268" s="205"/>
      <c r="BB268" s="64">
        <v>474867.90358487103</v>
      </c>
      <c r="BC268" s="64">
        <v>111799.66114809224</v>
      </c>
      <c r="BD268" s="64">
        <v>84394.918971570572</v>
      </c>
      <c r="BE268" s="205">
        <f t="shared" si="91"/>
        <v>671062.48370453378</v>
      </c>
      <c r="BF268" s="205"/>
      <c r="BG268" s="64">
        <v>503350.58936032996</v>
      </c>
      <c r="BH268" s="64">
        <v>115285.84404434853</v>
      </c>
      <c r="BI268" s="64">
        <v>88493.147673747357</v>
      </c>
      <c r="BJ268" s="205">
        <f t="shared" si="97"/>
        <v>707129.58107842586</v>
      </c>
      <c r="BK268" s="205"/>
      <c r="BL268" s="64">
        <v>529022.432430199</v>
      </c>
      <c r="BM268" s="64">
        <v>119119.02450071057</v>
      </c>
      <c r="BN268" s="64">
        <v>93782.7219288825</v>
      </c>
      <c r="BO268" s="205">
        <f t="shared" si="98"/>
        <v>741924.17885979207</v>
      </c>
      <c r="BQ268" s="64">
        <v>557511.97256406595</v>
      </c>
      <c r="BR268" s="64">
        <v>123019.53589226166</v>
      </c>
      <c r="BS268" s="64">
        <v>97070.835655047587</v>
      </c>
      <c r="BT268" s="205">
        <f t="shared" si="99"/>
        <v>777602.34411137516</v>
      </c>
      <c r="BU268" s="205"/>
      <c r="BV268" s="5">
        <f t="shared" si="100"/>
        <v>974574</v>
      </c>
      <c r="BW268" s="5">
        <f t="shared" si="101"/>
        <v>1035322</v>
      </c>
      <c r="BX268" s="5">
        <f t="shared" si="102"/>
        <v>1117482.5514200001</v>
      </c>
      <c r="BY268" s="5">
        <f t="shared" si="103"/>
        <v>1192291.5830000001</v>
      </c>
      <c r="BZ268" s="5">
        <f t="shared" si="104"/>
        <v>681057.39399999997</v>
      </c>
      <c r="CA268" s="5">
        <f t="shared" si="105"/>
        <v>639672.83004990732</v>
      </c>
      <c r="CB268" s="5">
        <f t="shared" si="106"/>
        <v>671062.48370453378</v>
      </c>
      <c r="CC268" s="5">
        <f t="shared" si="107"/>
        <v>707129.58107842586</v>
      </c>
      <c r="CD268" s="5">
        <f t="shared" si="108"/>
        <v>741924.17885979207</v>
      </c>
      <c r="CE268" s="5">
        <f t="shared" si="116"/>
        <v>777602.34411137516</v>
      </c>
      <c r="CH268" s="41">
        <f>BV268/'1. Väestöennuste'!I268*1000</f>
        <v>4092.4414210128493</v>
      </c>
      <c r="CI268" s="41">
        <f>BW268/'1. Väestöennuste'!J268*1000</f>
        <v>4295.7814853387217</v>
      </c>
      <c r="CJ268" s="41">
        <f>BX268/'1. Väestöennuste'!K268*1000</f>
        <v>4575.6646647531152</v>
      </c>
      <c r="CK268" s="41">
        <f>BY268/'1. Väestöennuste'!L268*1000</f>
        <v>4788.1465449039997</v>
      </c>
      <c r="CL268" s="41">
        <f>BZ268/'1. Väestöennuste'!M268*1000</f>
        <v>2670.2897235836112</v>
      </c>
      <c r="CM268" s="41">
        <f>CA268/'1. Väestöennuste'!N268*1000</f>
        <v>2519.9545784201546</v>
      </c>
      <c r="CN268" s="41">
        <f>CB268/'1. Väestöennuste'!O268*1000</f>
        <v>2615.3511247867527</v>
      </c>
      <c r="CO268" s="41">
        <f>CC268/'1. Väestöennuste'!P268*1000</f>
        <v>2728.2181135858336</v>
      </c>
      <c r="CP268" s="41">
        <f>CD268/'1. Väestöennuste'!Q268*1000</f>
        <v>2835.2670615292595</v>
      </c>
      <c r="CQ268" s="41">
        <f>CE268/'1. Väestöennuste'!R268*1000</f>
        <v>2944.77184945723</v>
      </c>
      <c r="CR268" s="41"/>
      <c r="CU268" s="159">
        <f t="shared" si="109"/>
        <v>203.34006432587239</v>
      </c>
      <c r="CV268" s="159">
        <f t="shared" si="110"/>
        <v>279.88317941439345</v>
      </c>
      <c r="CW268" s="159">
        <f t="shared" si="111"/>
        <v>212.48188015088454</v>
      </c>
      <c r="CX268" s="159">
        <f t="shared" si="112"/>
        <v>-2117.8568213203885</v>
      </c>
      <c r="CY268" s="159">
        <f t="shared" si="113"/>
        <v>-150.33514516345667</v>
      </c>
      <c r="CZ268" s="159">
        <f t="shared" si="114"/>
        <v>95.396546366598159</v>
      </c>
      <c r="DA268" s="159">
        <f t="shared" si="117"/>
        <v>112.8669887990809</v>
      </c>
      <c r="DB268" s="159">
        <f t="shared" si="118"/>
        <v>107.0489479434259</v>
      </c>
      <c r="DC268" s="159">
        <f t="shared" si="118"/>
        <v>109.50478792797048</v>
      </c>
    </row>
    <row r="269" spans="1:107" x14ac:dyDescent="0.2">
      <c r="A269" s="99">
        <v>11</v>
      </c>
      <c r="B269" s="30">
        <v>844</v>
      </c>
      <c r="C269" s="47" t="s">
        <v>583</v>
      </c>
      <c r="D269" s="64">
        <v>3506.6329500000002</v>
      </c>
      <c r="E269" s="64">
        <v>406.41104999999999</v>
      </c>
      <c r="F269" s="64">
        <v>412.69594000000001</v>
      </c>
      <c r="G269" s="205">
        <v>4324</v>
      </c>
      <c r="H269" s="205"/>
      <c r="I269" s="64">
        <v>3689</v>
      </c>
      <c r="J269" s="64">
        <v>412</v>
      </c>
      <c r="K269" s="64">
        <v>376</v>
      </c>
      <c r="L269" s="205">
        <v>4477</v>
      </c>
      <c r="M269" s="205"/>
      <c r="N269" s="64">
        <v>3677</v>
      </c>
      <c r="O269" s="64">
        <v>419</v>
      </c>
      <c r="P269" s="64">
        <v>430</v>
      </c>
      <c r="Q269" s="205">
        <v>4526</v>
      </c>
      <c r="R269" s="205"/>
      <c r="S269" s="64">
        <v>3441</v>
      </c>
      <c r="T269" s="64">
        <v>411</v>
      </c>
      <c r="U269" s="64">
        <v>431</v>
      </c>
      <c r="V269" s="205">
        <v>4283</v>
      </c>
      <c r="W269" s="205"/>
      <c r="X269" s="64">
        <v>3499</v>
      </c>
      <c r="Y269" s="64">
        <v>434</v>
      </c>
      <c r="Z269" s="64">
        <v>471</v>
      </c>
      <c r="AA269" s="205">
        <f t="shared" si="115"/>
        <v>4404</v>
      </c>
      <c r="AB269" s="205"/>
      <c r="AC269" s="64">
        <v>3794</v>
      </c>
      <c r="AD269" s="64">
        <v>477</v>
      </c>
      <c r="AE269" s="64">
        <v>545</v>
      </c>
      <c r="AF269" s="205">
        <f t="shared" si="92"/>
        <v>4816</v>
      </c>
      <c r="AG269" s="205"/>
      <c r="AH269" s="278">
        <v>4133.8990299999996</v>
      </c>
      <c r="AI269" s="64">
        <v>505.56658000000004</v>
      </c>
      <c r="AJ269" s="64">
        <v>793.27072999999996</v>
      </c>
      <c r="AK269" s="205">
        <f t="shared" si="93"/>
        <v>5432.7363399999995</v>
      </c>
      <c r="AL269" s="205"/>
      <c r="AM269" s="64">
        <v>4106.8858199999995</v>
      </c>
      <c r="AN269" s="64">
        <v>587.87807999999995</v>
      </c>
      <c r="AO269" s="64">
        <v>736.86867000000007</v>
      </c>
      <c r="AP269" s="205">
        <f t="shared" si="94"/>
        <v>5431.6325699999998</v>
      </c>
      <c r="AQ269" s="205"/>
      <c r="AR269" s="64">
        <v>1997.44795</v>
      </c>
      <c r="AS269" s="64">
        <v>604.48023999999998</v>
      </c>
      <c r="AT269" s="64">
        <v>411.10220000000004</v>
      </c>
      <c r="AU269" s="205">
        <f t="shared" si="95"/>
        <v>3013.0303899999999</v>
      </c>
      <c r="AV269" s="205"/>
      <c r="AW269" s="64">
        <v>2168.0359883379406</v>
      </c>
      <c r="AX269" s="64">
        <v>703.01550393228695</v>
      </c>
      <c r="AY269" s="64">
        <v>361.71108819996437</v>
      </c>
      <c r="AZ269" s="205">
        <f t="shared" si="96"/>
        <v>3232.762580470192</v>
      </c>
      <c r="BA269" s="205"/>
      <c r="BB269" s="64">
        <v>2335.2984882504325</v>
      </c>
      <c r="BC269" s="64">
        <v>717.40178318746985</v>
      </c>
      <c r="BD269" s="64">
        <v>366.05162125836392</v>
      </c>
      <c r="BE269" s="205">
        <f t="shared" ref="BE269:BE307" si="119">SUM(BB269:BD269)</f>
        <v>3418.7518926962662</v>
      </c>
      <c r="BF269" s="205"/>
      <c r="BG269" s="64">
        <v>2429.4228744769371</v>
      </c>
      <c r="BH269" s="64">
        <v>737.93183131195804</v>
      </c>
      <c r="BI269" s="64">
        <v>383.8271375927622</v>
      </c>
      <c r="BJ269" s="205">
        <f t="shared" si="97"/>
        <v>3551.181843381657</v>
      </c>
      <c r="BK269" s="205"/>
      <c r="BL269" s="64">
        <v>2520.9760369887431</v>
      </c>
      <c r="BM269" s="64">
        <v>760.79648878102978</v>
      </c>
      <c r="BN269" s="64">
        <v>406.76995518715995</v>
      </c>
      <c r="BO269" s="205">
        <f t="shared" si="98"/>
        <v>3688.5424809569331</v>
      </c>
      <c r="BQ269" s="64">
        <v>2620.4226600895686</v>
      </c>
      <c r="BR269" s="64">
        <v>784.23396999645524</v>
      </c>
      <c r="BS269" s="64">
        <v>421.03170666475853</v>
      </c>
      <c r="BT269" s="205">
        <f t="shared" si="99"/>
        <v>3825.6883367507826</v>
      </c>
      <c r="BU269" s="205"/>
      <c r="BV269" s="5">
        <f t="shared" si="100"/>
        <v>4404</v>
      </c>
      <c r="BW269" s="5">
        <f t="shared" si="101"/>
        <v>4816</v>
      </c>
      <c r="BX269" s="5">
        <f t="shared" si="102"/>
        <v>5432.7363399999995</v>
      </c>
      <c r="BY269" s="5">
        <f t="shared" si="103"/>
        <v>5431.6325699999998</v>
      </c>
      <c r="BZ269" s="5">
        <f t="shared" si="104"/>
        <v>3013.0303899999999</v>
      </c>
      <c r="CA269" s="5">
        <f t="shared" si="105"/>
        <v>3232.762580470192</v>
      </c>
      <c r="CB269" s="5">
        <f t="shared" si="106"/>
        <v>3418.7518926962662</v>
      </c>
      <c r="CC269" s="5">
        <f t="shared" si="107"/>
        <v>3551.181843381657</v>
      </c>
      <c r="CD269" s="5">
        <f t="shared" si="108"/>
        <v>3688.5424809569331</v>
      </c>
      <c r="CE269" s="5">
        <f t="shared" si="116"/>
        <v>3825.6883367507826</v>
      </c>
      <c r="CH269" s="41">
        <f>BV269/'1. Väestöennuste'!I269*1000</f>
        <v>2897.3684210526317</v>
      </c>
      <c r="CI269" s="41">
        <f>BW269/'1. Väestöennuste'!J269*1000</f>
        <v>3204.2581503659349</v>
      </c>
      <c r="CJ269" s="41">
        <f>BX269/'1. Väestöennuste'!K269*1000</f>
        <v>3673.2497227856657</v>
      </c>
      <c r="CK269" s="41">
        <f>BY269/'1. Väestöennuste'!L269*1000</f>
        <v>3769.3494587092291</v>
      </c>
      <c r="CL269" s="41">
        <f>BZ269/'1. Väestöennuste'!M269*1000</f>
        <v>2133.8742138810194</v>
      </c>
      <c r="CM269" s="41">
        <f>CA269/'1. Väestöennuste'!N269*1000</f>
        <v>2254.3672109276094</v>
      </c>
      <c r="CN269" s="41">
        <f>CB269/'1. Väestöennuste'!O269*1000</f>
        <v>2404.1855785487105</v>
      </c>
      <c r="CO269" s="41">
        <f>CC269/'1. Väestöennuste'!P269*1000</f>
        <v>2515.0013055110885</v>
      </c>
      <c r="CP269" s="41">
        <f>CD269/'1. Väestöennuste'!Q269*1000</f>
        <v>2630.9147510391822</v>
      </c>
      <c r="CQ269" s="41">
        <f>CE269/'1. Väestöennuste'!R269*1000</f>
        <v>2750.3151234728848</v>
      </c>
      <c r="CR269" s="41"/>
      <c r="CU269" s="159">
        <f t="shared" si="109"/>
        <v>306.88972931330318</v>
      </c>
      <c r="CV269" s="159">
        <f t="shared" si="110"/>
        <v>468.9915724197308</v>
      </c>
      <c r="CW269" s="159">
        <f t="shared" si="111"/>
        <v>96.099735923563458</v>
      </c>
      <c r="CX269" s="159">
        <f t="shared" si="112"/>
        <v>-1635.4752448282097</v>
      </c>
      <c r="CY269" s="159">
        <f t="shared" si="113"/>
        <v>120.49299704659006</v>
      </c>
      <c r="CZ269" s="159">
        <f t="shared" si="114"/>
        <v>149.81836762110106</v>
      </c>
      <c r="DA269" s="159">
        <f t="shared" si="117"/>
        <v>110.81572696237799</v>
      </c>
      <c r="DB269" s="159">
        <f t="shared" si="118"/>
        <v>115.91344552809369</v>
      </c>
      <c r="DC269" s="159">
        <f t="shared" si="118"/>
        <v>119.40037243370261</v>
      </c>
    </row>
    <row r="270" spans="1:107" x14ac:dyDescent="0.2">
      <c r="A270" s="99">
        <v>19</v>
      </c>
      <c r="B270" s="30">
        <v>845</v>
      </c>
      <c r="C270" s="47" t="s">
        <v>584</v>
      </c>
      <c r="D270" s="64">
        <v>8274.5814100000007</v>
      </c>
      <c r="E270" s="64">
        <v>2587.3314700000001</v>
      </c>
      <c r="F270" s="64">
        <v>543.63770999999997</v>
      </c>
      <c r="G270" s="205">
        <v>11401</v>
      </c>
      <c r="H270" s="205"/>
      <c r="I270" s="64">
        <v>8288</v>
      </c>
      <c r="J270" s="64">
        <v>2735</v>
      </c>
      <c r="K270" s="64">
        <v>524</v>
      </c>
      <c r="L270" s="205">
        <v>11547</v>
      </c>
      <c r="M270" s="205"/>
      <c r="N270" s="64">
        <v>8075</v>
      </c>
      <c r="O270" s="64">
        <v>2680</v>
      </c>
      <c r="P270" s="64">
        <v>596</v>
      </c>
      <c r="Q270" s="205">
        <v>11351</v>
      </c>
      <c r="R270" s="205"/>
      <c r="S270" s="64">
        <v>7988</v>
      </c>
      <c r="T270" s="64">
        <v>2803</v>
      </c>
      <c r="U270" s="64">
        <v>482</v>
      </c>
      <c r="V270" s="205">
        <v>11273</v>
      </c>
      <c r="W270" s="205"/>
      <c r="X270" s="64">
        <v>7948</v>
      </c>
      <c r="Y270" s="64">
        <v>2795</v>
      </c>
      <c r="Z270" s="64">
        <v>486</v>
      </c>
      <c r="AA270" s="205">
        <f t="shared" si="115"/>
        <v>11229</v>
      </c>
      <c r="AB270" s="205"/>
      <c r="AC270" s="64">
        <v>8476</v>
      </c>
      <c r="AD270" s="64">
        <v>2502</v>
      </c>
      <c r="AE270" s="64">
        <v>558</v>
      </c>
      <c r="AF270" s="205">
        <f t="shared" si="92"/>
        <v>11536</v>
      </c>
      <c r="AG270" s="205"/>
      <c r="AH270" s="278">
        <v>8765.6993199999997</v>
      </c>
      <c r="AI270" s="64">
        <v>2680.4935399999999</v>
      </c>
      <c r="AJ270" s="64">
        <v>874.48848999999996</v>
      </c>
      <c r="AK270" s="205">
        <f t="shared" si="93"/>
        <v>12320.681349999999</v>
      </c>
      <c r="AL270" s="205"/>
      <c r="AM270" s="64">
        <v>8642.4290099999998</v>
      </c>
      <c r="AN270" s="64">
        <v>2901.5436600000003</v>
      </c>
      <c r="AO270" s="64">
        <v>910.64873999999998</v>
      </c>
      <c r="AP270" s="205">
        <f t="shared" si="94"/>
        <v>12454.62141</v>
      </c>
      <c r="AQ270" s="205"/>
      <c r="AR270" s="64">
        <v>4136.9137799999999</v>
      </c>
      <c r="AS270" s="64">
        <v>2908.70757</v>
      </c>
      <c r="AT270" s="64">
        <v>696.8293000000001</v>
      </c>
      <c r="AU270" s="205">
        <f t="shared" si="95"/>
        <v>7742.4506499999998</v>
      </c>
      <c r="AV270" s="205"/>
      <c r="AW270" s="64">
        <v>3538.8431807638863</v>
      </c>
      <c r="AX270" s="64">
        <v>2862.3123351423278</v>
      </c>
      <c r="AY270" s="64">
        <v>741.91903198834814</v>
      </c>
      <c r="AZ270" s="205">
        <f t="shared" si="96"/>
        <v>7143.0745478945619</v>
      </c>
      <c r="BA270" s="205"/>
      <c r="BB270" s="64">
        <v>3615.1815438760054</v>
      </c>
      <c r="BC270" s="64">
        <v>2882.2692964607313</v>
      </c>
      <c r="BD270" s="64">
        <v>750.82206037220828</v>
      </c>
      <c r="BE270" s="205">
        <f t="shared" si="119"/>
        <v>7248.2729007089447</v>
      </c>
      <c r="BF270" s="205"/>
      <c r="BG270" s="64">
        <v>3682.9868944893669</v>
      </c>
      <c r="BH270" s="64">
        <v>2924.7626284868343</v>
      </c>
      <c r="BI270" s="64">
        <v>787.28208137277863</v>
      </c>
      <c r="BJ270" s="205">
        <f t="shared" si="97"/>
        <v>7395.0316043489793</v>
      </c>
      <c r="BK270" s="205"/>
      <c r="BL270" s="64">
        <v>3752.2034659423352</v>
      </c>
      <c r="BM270" s="64">
        <v>2973.8761979221067</v>
      </c>
      <c r="BN270" s="64">
        <v>834.34094568746809</v>
      </c>
      <c r="BO270" s="205">
        <f t="shared" si="98"/>
        <v>7560.4206095519103</v>
      </c>
      <c r="BQ270" s="64">
        <v>3828.6002970328764</v>
      </c>
      <c r="BR270" s="64">
        <v>3022.4086137384697</v>
      </c>
      <c r="BS270" s="64">
        <v>863.59375323443726</v>
      </c>
      <c r="BT270" s="205">
        <f t="shared" si="99"/>
        <v>7714.6026640057835</v>
      </c>
      <c r="BU270" s="205"/>
      <c r="BV270" s="5">
        <f t="shared" si="100"/>
        <v>11229</v>
      </c>
      <c r="BW270" s="5">
        <f t="shared" si="101"/>
        <v>11536</v>
      </c>
      <c r="BX270" s="5">
        <f t="shared" si="102"/>
        <v>12320.681349999999</v>
      </c>
      <c r="BY270" s="5">
        <f t="shared" si="103"/>
        <v>12454.62141</v>
      </c>
      <c r="BZ270" s="5">
        <f t="shared" si="104"/>
        <v>7742.4506499999998</v>
      </c>
      <c r="CA270" s="5">
        <f t="shared" si="105"/>
        <v>7143.0745478945619</v>
      </c>
      <c r="CB270" s="5">
        <f t="shared" si="106"/>
        <v>7248.2729007089447</v>
      </c>
      <c r="CC270" s="5">
        <f t="shared" si="107"/>
        <v>7395.0316043489793</v>
      </c>
      <c r="CD270" s="5">
        <f t="shared" si="108"/>
        <v>7560.4206095519103</v>
      </c>
      <c r="CE270" s="5">
        <f t="shared" si="116"/>
        <v>7714.6026640057835</v>
      </c>
      <c r="CH270" s="41">
        <f>BV270/'1. Väestöennuste'!I270*1000</f>
        <v>3741.7527490836387</v>
      </c>
      <c r="CI270" s="41">
        <f>BW270/'1. Väestöennuste'!J270*1000</f>
        <v>3943.9316239316236</v>
      </c>
      <c r="CJ270" s="41">
        <f>BX270/'1. Väestöennuste'!K270*1000</f>
        <v>4275.0455759888964</v>
      </c>
      <c r="CK270" s="41">
        <f>BY270/'1. Väestöennuste'!L270*1000</f>
        <v>4350.1995843520781</v>
      </c>
      <c r="CL270" s="41">
        <f>BZ270/'1. Väestöennuste'!M270*1000</f>
        <v>2734.8818968562341</v>
      </c>
      <c r="CM270" s="41">
        <f>CA270/'1. Väestöennuste'!N270*1000</f>
        <v>2628.0627475697434</v>
      </c>
      <c r="CN270" s="41">
        <f>CB270/'1. Väestöennuste'!O270*1000</f>
        <v>2708.6221602051364</v>
      </c>
      <c r="CO270" s="41">
        <f>CC270/'1. Väestöennuste'!P270*1000</f>
        <v>2804.3350793890704</v>
      </c>
      <c r="CP270" s="41">
        <f>CD270/'1. Väestöennuste'!Q270*1000</f>
        <v>2910.0926133764087</v>
      </c>
      <c r="CQ270" s="41">
        <f>CE270/'1. Väestöennuste'!R270*1000</f>
        <v>3012.3399703263503</v>
      </c>
      <c r="CR270" s="41"/>
      <c r="CU270" s="159">
        <f t="shared" si="109"/>
        <v>202.17887484798484</v>
      </c>
      <c r="CV270" s="159">
        <f t="shared" si="110"/>
        <v>331.11395205727285</v>
      </c>
      <c r="CW270" s="159">
        <f t="shared" si="111"/>
        <v>75.154008363181674</v>
      </c>
      <c r="CX270" s="159">
        <f t="shared" si="112"/>
        <v>-1615.317687495844</v>
      </c>
      <c r="CY270" s="159">
        <f t="shared" si="113"/>
        <v>-106.81914928649076</v>
      </c>
      <c r="CZ270" s="159">
        <f t="shared" si="114"/>
        <v>80.559412635393073</v>
      </c>
      <c r="DA270" s="159">
        <f t="shared" si="117"/>
        <v>95.712919183933991</v>
      </c>
      <c r="DB270" s="159">
        <f t="shared" si="118"/>
        <v>105.75753398733832</v>
      </c>
      <c r="DC270" s="159">
        <f t="shared" si="118"/>
        <v>102.2473569499416</v>
      </c>
    </row>
    <row r="271" spans="1:107" x14ac:dyDescent="0.2">
      <c r="A271" s="99">
        <v>14</v>
      </c>
      <c r="B271" s="30">
        <v>846</v>
      </c>
      <c r="C271" s="47" t="s">
        <v>585</v>
      </c>
      <c r="D271" s="64">
        <v>15000.104519999999</v>
      </c>
      <c r="E271" s="64">
        <v>960.32911999999999</v>
      </c>
      <c r="F271" s="64">
        <v>845.98068000000001</v>
      </c>
      <c r="G271" s="205">
        <v>16804</v>
      </c>
      <c r="H271" s="205"/>
      <c r="I271" s="64">
        <v>14603</v>
      </c>
      <c r="J271" s="64">
        <v>991</v>
      </c>
      <c r="K271" s="64">
        <v>718</v>
      </c>
      <c r="L271" s="205">
        <v>16312</v>
      </c>
      <c r="M271" s="205"/>
      <c r="N271" s="64">
        <v>14973</v>
      </c>
      <c r="O271" s="64">
        <v>1018</v>
      </c>
      <c r="P271" s="64">
        <v>842</v>
      </c>
      <c r="Q271" s="205">
        <v>16833</v>
      </c>
      <c r="R271" s="205"/>
      <c r="S271" s="64">
        <v>13849</v>
      </c>
      <c r="T271" s="64">
        <v>1090</v>
      </c>
      <c r="U271" s="64">
        <v>858</v>
      </c>
      <c r="V271" s="205">
        <v>15797</v>
      </c>
      <c r="W271" s="205"/>
      <c r="X271" s="64">
        <v>14564</v>
      </c>
      <c r="Y271" s="64">
        <v>1104</v>
      </c>
      <c r="Z271" s="64">
        <v>923</v>
      </c>
      <c r="AA271" s="205">
        <f t="shared" si="115"/>
        <v>16591</v>
      </c>
      <c r="AB271" s="205"/>
      <c r="AC271" s="64">
        <v>14830</v>
      </c>
      <c r="AD271" s="64">
        <v>1002</v>
      </c>
      <c r="AE271" s="64">
        <v>978</v>
      </c>
      <c r="AF271" s="205">
        <f t="shared" ref="AF271:AF307" si="120">SUM(AC271:AE271)</f>
        <v>16810</v>
      </c>
      <c r="AG271" s="205"/>
      <c r="AH271" s="278">
        <v>15064.07351</v>
      </c>
      <c r="AI271" s="64">
        <v>1192.27737</v>
      </c>
      <c r="AJ271" s="64">
        <v>1355.93001</v>
      </c>
      <c r="AK271" s="205">
        <f t="shared" ref="AK271:AK307" si="121">SUM(AH271:AJ271)</f>
        <v>17612.280890000002</v>
      </c>
      <c r="AL271" s="205"/>
      <c r="AM271" s="64">
        <v>15503.38947</v>
      </c>
      <c r="AN271" s="64">
        <v>1353.0963000000002</v>
      </c>
      <c r="AO271" s="64">
        <v>1430.8117199999999</v>
      </c>
      <c r="AP271" s="205">
        <f t="shared" ref="AP271:AP307" si="122">SUM(AM271:AO271)</f>
        <v>18287.297490000001</v>
      </c>
      <c r="AQ271" s="205"/>
      <c r="AR271" s="64">
        <v>8303.2570199999991</v>
      </c>
      <c r="AS271" s="64">
        <v>1712.8218100000001</v>
      </c>
      <c r="AT271" s="64">
        <v>958.40814999999998</v>
      </c>
      <c r="AU271" s="205">
        <f t="shared" ref="AU271:AU307" si="123">SUM(AR271:AT271)</f>
        <v>10974.486979999998</v>
      </c>
      <c r="AV271" s="205"/>
      <c r="AW271" s="64">
        <v>7757.6929053064914</v>
      </c>
      <c r="AX271" s="64">
        <v>1734.1792066743835</v>
      </c>
      <c r="AY271" s="64">
        <v>745.73374814728754</v>
      </c>
      <c r="AZ271" s="205">
        <f t="shared" ref="AZ271:AZ307" si="124">SUM(AW271:AY271)</f>
        <v>10237.605860128162</v>
      </c>
      <c r="BA271" s="205"/>
      <c r="BB271" s="64">
        <v>8109.5189075867183</v>
      </c>
      <c r="BC271" s="64">
        <v>1745.2147956789686</v>
      </c>
      <c r="BD271" s="64">
        <v>754.68255312505494</v>
      </c>
      <c r="BE271" s="205">
        <f t="shared" si="119"/>
        <v>10609.416256390741</v>
      </c>
      <c r="BF271" s="205"/>
      <c r="BG271" s="64">
        <v>8344.6197863441012</v>
      </c>
      <c r="BH271" s="64">
        <v>1769.6503154794377</v>
      </c>
      <c r="BI271" s="64">
        <v>791.33004017686449</v>
      </c>
      <c r="BJ271" s="205">
        <f t="shared" ref="BJ271:BJ307" si="125">SUM(BG271:BI271)</f>
        <v>10905.600142000403</v>
      </c>
      <c r="BK271" s="205"/>
      <c r="BL271" s="64">
        <v>8497.3843250768368</v>
      </c>
      <c r="BM271" s="64">
        <v>1797.8178248485001</v>
      </c>
      <c r="BN271" s="64">
        <v>838.63086648792103</v>
      </c>
      <c r="BO271" s="205">
        <f t="shared" ref="BO271:BO307" si="126">SUM(BL271:BN271)</f>
        <v>11133.833016413259</v>
      </c>
      <c r="BQ271" s="64">
        <v>8684.2293851985578</v>
      </c>
      <c r="BR271" s="64">
        <v>1825.3397637133814</v>
      </c>
      <c r="BS271" s="64">
        <v>868.03408284344266</v>
      </c>
      <c r="BT271" s="205">
        <f t="shared" ref="BT271:BT307" si="127">SUM(BQ271:BS271)</f>
        <v>11377.603231755382</v>
      </c>
      <c r="BU271" s="205"/>
      <c r="BV271" s="5">
        <f t="shared" ref="BV271:BV305" si="128">AA271</f>
        <v>16591</v>
      </c>
      <c r="BW271" s="5">
        <f t="shared" ref="BW271:BW305" si="129">AF271</f>
        <v>16810</v>
      </c>
      <c r="BX271" s="5">
        <f t="shared" ref="BX271:BX305" si="130">AK271</f>
        <v>17612.280890000002</v>
      </c>
      <c r="BY271" s="5">
        <f t="shared" ref="BY271:BY305" si="131">AP271</f>
        <v>18287.297490000001</v>
      </c>
      <c r="BZ271" s="5">
        <f t="shared" ref="BZ271:BZ305" si="132">AU271</f>
        <v>10974.486979999998</v>
      </c>
      <c r="CA271" s="5">
        <f t="shared" ref="CA271:CA305" si="133">AZ271</f>
        <v>10237.605860128162</v>
      </c>
      <c r="CB271" s="5">
        <f t="shared" ref="CB271:CB305" si="134">BE271</f>
        <v>10609.416256390741</v>
      </c>
      <c r="CC271" s="5">
        <f t="shared" ref="CC271:CC305" si="135">BJ271</f>
        <v>10905.600142000403</v>
      </c>
      <c r="CD271" s="5">
        <f t="shared" ref="CD271:CD305" si="136">BO271</f>
        <v>11133.833016413259</v>
      </c>
      <c r="CE271" s="5">
        <f t="shared" si="116"/>
        <v>11377.603231755382</v>
      </c>
      <c r="CH271" s="41">
        <f>BV271/'1. Väestöennuste'!I271*1000</f>
        <v>3268.5185185185187</v>
      </c>
      <c r="CI271" s="41">
        <f>BW271/'1. Väestöennuste'!J271*1000</f>
        <v>3366.0392470965157</v>
      </c>
      <c r="CJ271" s="41">
        <f>BX271/'1. Väestöennuste'!K271*1000</f>
        <v>3556.5995335218095</v>
      </c>
      <c r="CK271" s="41">
        <f>BY271/'1. Väestöennuste'!L271*1000</f>
        <v>3761.2705656108601</v>
      </c>
      <c r="CL271" s="41">
        <f>BZ271/'1. Väestöennuste'!M271*1000</f>
        <v>2306.5336233711641</v>
      </c>
      <c r="CM271" s="41">
        <f>CA271/'1. Väestöennuste'!N271*1000</f>
        <v>2210.1912478687741</v>
      </c>
      <c r="CN271" s="41">
        <f>CB271/'1. Väestöennuste'!O271*1000</f>
        <v>2329.6917559048616</v>
      </c>
      <c r="CO271" s="41">
        <f>CC271/'1. Väestöennuste'!P271*1000</f>
        <v>2434.8292346506819</v>
      </c>
      <c r="CP271" s="41">
        <f>CD271/'1. Väestöennuste'!Q271*1000</f>
        <v>2526.3973261659307</v>
      </c>
      <c r="CQ271" s="41">
        <f>CE271/'1. Väestöennuste'!R271*1000</f>
        <v>2625.1968693482654</v>
      </c>
      <c r="CR271" s="41"/>
      <c r="CU271" s="159">
        <f t="shared" ref="CU271:CU305" si="137">CI271-CH271</f>
        <v>97.520728577997033</v>
      </c>
      <c r="CV271" s="159">
        <f t="shared" ref="CV271:CV305" si="138">CJ271-CI271</f>
        <v>190.56028642529373</v>
      </c>
      <c r="CW271" s="159">
        <f t="shared" ref="CW271:CW305" si="139">CK271-CJ271</f>
        <v>204.67103208905064</v>
      </c>
      <c r="CX271" s="159">
        <f t="shared" ref="CX271:CX305" si="140">CL271-CK271</f>
        <v>-1454.736942239696</v>
      </c>
      <c r="CY271" s="159">
        <f t="shared" ref="CY271:CY305" si="141">CM271-CL271</f>
        <v>-96.342375502390041</v>
      </c>
      <c r="CZ271" s="159">
        <f t="shared" ref="CZ271:CZ305" si="142">CN271-CM271</f>
        <v>119.50050803608747</v>
      </c>
      <c r="DA271" s="159">
        <f t="shared" si="117"/>
        <v>105.13747874582032</v>
      </c>
      <c r="DB271" s="159">
        <f t="shared" si="118"/>
        <v>91.568091515248852</v>
      </c>
      <c r="DC271" s="159">
        <f t="shared" si="118"/>
        <v>98.799543182334673</v>
      </c>
    </row>
    <row r="272" spans="1:107" x14ac:dyDescent="0.2">
      <c r="A272" s="99">
        <v>12</v>
      </c>
      <c r="B272" s="30">
        <v>848</v>
      </c>
      <c r="C272" s="47" t="s">
        <v>586</v>
      </c>
      <c r="D272" s="64">
        <v>12359.04067</v>
      </c>
      <c r="E272" s="64">
        <v>945.84248000000002</v>
      </c>
      <c r="F272" s="64">
        <v>932.59769999999992</v>
      </c>
      <c r="G272" s="205">
        <v>14239</v>
      </c>
      <c r="H272" s="205"/>
      <c r="I272" s="64">
        <v>11815</v>
      </c>
      <c r="J272" s="64">
        <v>985</v>
      </c>
      <c r="K272" s="64">
        <v>988</v>
      </c>
      <c r="L272" s="205">
        <v>13788</v>
      </c>
      <c r="M272" s="205"/>
      <c r="N272" s="64">
        <v>11849</v>
      </c>
      <c r="O272" s="64">
        <v>958</v>
      </c>
      <c r="P272" s="64">
        <v>1041</v>
      </c>
      <c r="Q272" s="205">
        <v>13848</v>
      </c>
      <c r="R272" s="205"/>
      <c r="S272" s="64">
        <v>11265</v>
      </c>
      <c r="T272" s="64">
        <v>961</v>
      </c>
      <c r="U272" s="64">
        <v>932</v>
      </c>
      <c r="V272" s="205">
        <v>13158</v>
      </c>
      <c r="W272" s="205"/>
      <c r="X272" s="64">
        <v>11669</v>
      </c>
      <c r="Y272" s="64">
        <v>942</v>
      </c>
      <c r="Z272" s="64">
        <v>980</v>
      </c>
      <c r="AA272" s="205">
        <f t="shared" ref="AA272:AA307" si="143">SUM(X272:Z272)</f>
        <v>13591</v>
      </c>
      <c r="AB272" s="205"/>
      <c r="AC272" s="64">
        <v>11561</v>
      </c>
      <c r="AD272" s="64">
        <v>878</v>
      </c>
      <c r="AE272" s="64">
        <v>1103</v>
      </c>
      <c r="AF272" s="205">
        <f t="shared" si="120"/>
        <v>13542</v>
      </c>
      <c r="AG272" s="205"/>
      <c r="AH272" s="278">
        <v>12090.31661</v>
      </c>
      <c r="AI272" s="64">
        <v>988.88218999999992</v>
      </c>
      <c r="AJ272" s="64">
        <v>1596.8466100000001</v>
      </c>
      <c r="AK272" s="205">
        <f t="shared" si="121"/>
        <v>14676.045410000001</v>
      </c>
      <c r="AL272" s="205"/>
      <c r="AM272" s="64">
        <v>12029.293369999999</v>
      </c>
      <c r="AN272" s="64">
        <v>1057.0676599999999</v>
      </c>
      <c r="AO272" s="64">
        <v>1524.7626200000002</v>
      </c>
      <c r="AP272" s="205">
        <f t="shared" si="122"/>
        <v>14611.12365</v>
      </c>
      <c r="AQ272" s="205"/>
      <c r="AR272" s="64">
        <v>6052.6901699999999</v>
      </c>
      <c r="AS272" s="64">
        <v>1044.64788</v>
      </c>
      <c r="AT272" s="64">
        <v>867.72185999999999</v>
      </c>
      <c r="AU272" s="205">
        <f t="shared" si="123"/>
        <v>7965.0599099999999</v>
      </c>
      <c r="AV272" s="205"/>
      <c r="AW272" s="64">
        <v>5810.0294207056868</v>
      </c>
      <c r="AX272" s="64">
        <v>1109.7264144032049</v>
      </c>
      <c r="AY272" s="64">
        <v>734.24132866816137</v>
      </c>
      <c r="AZ272" s="205">
        <f t="shared" si="124"/>
        <v>7653.9971637770532</v>
      </c>
      <c r="BA272" s="205"/>
      <c r="BB272" s="64">
        <v>6044.5175360457033</v>
      </c>
      <c r="BC272" s="64">
        <v>1116.2711164006969</v>
      </c>
      <c r="BD272" s="64">
        <v>743.05222461217932</v>
      </c>
      <c r="BE272" s="205">
        <f t="shared" si="119"/>
        <v>7903.8408770585793</v>
      </c>
      <c r="BF272" s="205"/>
      <c r="BG272" s="64">
        <v>6204.1024509876152</v>
      </c>
      <c r="BH272" s="64">
        <v>1131.4088281620127</v>
      </c>
      <c r="BI272" s="64">
        <v>779.13494133530037</v>
      </c>
      <c r="BJ272" s="205">
        <f t="shared" si="125"/>
        <v>8114.6462204849277</v>
      </c>
      <c r="BK272" s="205"/>
      <c r="BL272" s="64">
        <v>6341.4497397245541</v>
      </c>
      <c r="BM272" s="64">
        <v>1148.9503628531425</v>
      </c>
      <c r="BN272" s="64">
        <v>825.70681989653804</v>
      </c>
      <c r="BO272" s="205">
        <f t="shared" si="126"/>
        <v>8316.106922474235</v>
      </c>
      <c r="BQ272" s="64">
        <v>6506.76792188122</v>
      </c>
      <c r="BR272" s="64">
        <v>1166.0969977967738</v>
      </c>
      <c r="BS272" s="64">
        <v>854.65690656973993</v>
      </c>
      <c r="BT272" s="205">
        <f t="shared" si="127"/>
        <v>8527.5218262477338</v>
      </c>
      <c r="BU272" s="205"/>
      <c r="BV272" s="5">
        <f t="shared" si="128"/>
        <v>13591</v>
      </c>
      <c r="BW272" s="5">
        <f t="shared" si="129"/>
        <v>13542</v>
      </c>
      <c r="BX272" s="5">
        <f t="shared" si="130"/>
        <v>14676.045410000001</v>
      </c>
      <c r="BY272" s="5">
        <f t="shared" si="131"/>
        <v>14611.12365</v>
      </c>
      <c r="BZ272" s="5">
        <f t="shared" si="132"/>
        <v>7965.0599099999999</v>
      </c>
      <c r="CA272" s="5">
        <f t="shared" si="133"/>
        <v>7653.9971637770532</v>
      </c>
      <c r="CB272" s="5">
        <f t="shared" si="134"/>
        <v>7903.8408770585793</v>
      </c>
      <c r="CC272" s="5">
        <f t="shared" si="135"/>
        <v>8114.6462204849277</v>
      </c>
      <c r="CD272" s="5">
        <f t="shared" si="136"/>
        <v>8316.106922474235</v>
      </c>
      <c r="CE272" s="5">
        <f t="shared" ref="CE272:CE305" si="144">BT272</f>
        <v>8527.5218262477338</v>
      </c>
      <c r="CH272" s="41">
        <f>BV272/'1. Väestöennuste'!I272*1000</f>
        <v>3116.4870442559045</v>
      </c>
      <c r="CI272" s="41">
        <f>BW272/'1. Väestöennuste'!J272*1000</f>
        <v>3144.1838866960761</v>
      </c>
      <c r="CJ272" s="41">
        <f>BX272/'1. Väestöennuste'!K272*1000</f>
        <v>3460.5153053525114</v>
      </c>
      <c r="CK272" s="41">
        <f>BY272/'1. Väestöennuste'!L272*1000</f>
        <v>3512.2893389423075</v>
      </c>
      <c r="CL272" s="41">
        <f>BZ272/'1. Väestöennuste'!M272*1000</f>
        <v>1958.9424274471226</v>
      </c>
      <c r="CM272" s="41">
        <f>CA272/'1. Väestöennuste'!N272*1000</f>
        <v>1914.4565192038651</v>
      </c>
      <c r="CN272" s="41">
        <f>CB272/'1. Väestöennuste'!O272*1000</f>
        <v>2006.5602632796597</v>
      </c>
      <c r="CO272" s="41">
        <f>CC272/'1. Väestöennuste'!P272*1000</f>
        <v>2089.7878497257088</v>
      </c>
      <c r="CP272" s="41">
        <f>CD272/'1. Väestöennuste'!Q272*1000</f>
        <v>2171.8743594866114</v>
      </c>
      <c r="CQ272" s="41">
        <f>CE272/'1. Väestöennuste'!R272*1000</f>
        <v>2257.75002018738</v>
      </c>
      <c r="CR272" s="41"/>
      <c r="CU272" s="159">
        <f t="shared" si="137"/>
        <v>27.696842440171622</v>
      </c>
      <c r="CV272" s="159">
        <f t="shared" si="138"/>
        <v>316.33141865643529</v>
      </c>
      <c r="CW272" s="159">
        <f t="shared" si="139"/>
        <v>51.77403358979609</v>
      </c>
      <c r="CX272" s="159">
        <f t="shared" si="140"/>
        <v>-1553.3469114951849</v>
      </c>
      <c r="CY272" s="159">
        <f t="shared" si="141"/>
        <v>-44.485908243257427</v>
      </c>
      <c r="CZ272" s="159">
        <f t="shared" si="142"/>
        <v>92.103744075794566</v>
      </c>
      <c r="DA272" s="159">
        <f t="shared" ref="DA272:DA305" si="145">CO272-CN272</f>
        <v>83.227586446049145</v>
      </c>
      <c r="DB272" s="159">
        <f t="shared" ref="DB272:DC305" si="146">CP272-CO272</f>
        <v>82.086509760902572</v>
      </c>
      <c r="DC272" s="159">
        <f t="shared" si="146"/>
        <v>85.875660700768549</v>
      </c>
    </row>
    <row r="273" spans="1:107" x14ac:dyDescent="0.2">
      <c r="A273" s="99">
        <v>16</v>
      </c>
      <c r="B273" s="30">
        <v>849</v>
      </c>
      <c r="C273" s="47" t="s">
        <v>587</v>
      </c>
      <c r="D273" s="64">
        <v>9132.3921599999994</v>
      </c>
      <c r="E273" s="64">
        <v>730.47623999999996</v>
      </c>
      <c r="F273" s="64">
        <v>565.85987</v>
      </c>
      <c r="G273" s="205">
        <v>10428</v>
      </c>
      <c r="H273" s="205"/>
      <c r="I273" s="64">
        <v>8380</v>
      </c>
      <c r="J273" s="64">
        <v>752</v>
      </c>
      <c r="K273" s="64">
        <v>555</v>
      </c>
      <c r="L273" s="205">
        <v>9687</v>
      </c>
      <c r="M273" s="205"/>
      <c r="N273" s="64">
        <v>7924</v>
      </c>
      <c r="O273" s="64">
        <v>825</v>
      </c>
      <c r="P273" s="64">
        <v>676</v>
      </c>
      <c r="Q273" s="205">
        <v>9425</v>
      </c>
      <c r="R273" s="205"/>
      <c r="S273" s="64">
        <v>7874</v>
      </c>
      <c r="T273" s="64">
        <v>850</v>
      </c>
      <c r="U273" s="64">
        <v>592</v>
      </c>
      <c r="V273" s="205">
        <v>9316</v>
      </c>
      <c r="W273" s="205"/>
      <c r="X273" s="64">
        <v>7962</v>
      </c>
      <c r="Y273" s="64">
        <v>760</v>
      </c>
      <c r="Z273" s="64">
        <v>594</v>
      </c>
      <c r="AA273" s="205">
        <f t="shared" si="143"/>
        <v>9316</v>
      </c>
      <c r="AB273" s="205"/>
      <c r="AC273" s="64">
        <v>7972</v>
      </c>
      <c r="AD273" s="64">
        <v>742</v>
      </c>
      <c r="AE273" s="64">
        <v>698</v>
      </c>
      <c r="AF273" s="205">
        <f t="shared" si="120"/>
        <v>9412</v>
      </c>
      <c r="AG273" s="205"/>
      <c r="AH273" s="278">
        <v>8535.1898299999993</v>
      </c>
      <c r="AI273" s="64">
        <v>799.8314499999999</v>
      </c>
      <c r="AJ273" s="64">
        <v>1199.9559999999999</v>
      </c>
      <c r="AK273" s="205">
        <f t="shared" si="121"/>
        <v>10534.977279999999</v>
      </c>
      <c r="AL273" s="205"/>
      <c r="AM273" s="64">
        <v>8347.11924</v>
      </c>
      <c r="AN273" s="64">
        <v>666.19520999999997</v>
      </c>
      <c r="AO273" s="64">
        <v>1262.9629600000001</v>
      </c>
      <c r="AP273" s="205">
        <f t="shared" si="122"/>
        <v>10276.277410000001</v>
      </c>
      <c r="AQ273" s="205"/>
      <c r="AR273" s="64">
        <v>4240.8777099999998</v>
      </c>
      <c r="AS273" s="64">
        <v>700.17998</v>
      </c>
      <c r="AT273" s="64">
        <v>696.22832999999991</v>
      </c>
      <c r="AU273" s="205">
        <f t="shared" si="123"/>
        <v>5637.2860199999996</v>
      </c>
      <c r="AV273" s="205"/>
      <c r="AW273" s="64">
        <v>4181.6266426649063</v>
      </c>
      <c r="AX273" s="64">
        <v>752.36917651267618</v>
      </c>
      <c r="AY273" s="64">
        <v>559.50073597158348</v>
      </c>
      <c r="AZ273" s="205">
        <f t="shared" si="124"/>
        <v>5493.4965551491659</v>
      </c>
      <c r="BA273" s="205"/>
      <c r="BB273" s="64">
        <v>4288.5321660080972</v>
      </c>
      <c r="BC273" s="64">
        <v>744.21733654724676</v>
      </c>
      <c r="BD273" s="64">
        <v>566.21474480324252</v>
      </c>
      <c r="BE273" s="205">
        <f t="shared" si="119"/>
        <v>5598.9642473585864</v>
      </c>
      <c r="BF273" s="205"/>
      <c r="BG273" s="64">
        <v>4370.5337679231425</v>
      </c>
      <c r="BH273" s="64">
        <v>742.16047124110548</v>
      </c>
      <c r="BI273" s="64">
        <v>593.71020954241749</v>
      </c>
      <c r="BJ273" s="205">
        <f t="shared" si="125"/>
        <v>5706.4044487066658</v>
      </c>
      <c r="BK273" s="205"/>
      <c r="BL273" s="64">
        <v>4408.6182007572743</v>
      </c>
      <c r="BM273" s="64">
        <v>741.9155555000367</v>
      </c>
      <c r="BN273" s="64">
        <v>629.19854193832941</v>
      </c>
      <c r="BO273" s="205">
        <f t="shared" si="126"/>
        <v>5779.7322981956404</v>
      </c>
      <c r="BQ273" s="64">
        <v>4468.5545261198404</v>
      </c>
      <c r="BR273" s="64">
        <v>741.62296656417084</v>
      </c>
      <c r="BS273" s="64">
        <v>651.25885667092325</v>
      </c>
      <c r="BT273" s="205">
        <f t="shared" si="127"/>
        <v>5861.4363493549354</v>
      </c>
      <c r="BU273" s="205"/>
      <c r="BV273" s="5">
        <f t="shared" si="128"/>
        <v>9316</v>
      </c>
      <c r="BW273" s="5">
        <f t="shared" si="129"/>
        <v>9412</v>
      </c>
      <c r="BX273" s="5">
        <f t="shared" si="130"/>
        <v>10534.977279999999</v>
      </c>
      <c r="BY273" s="5">
        <f t="shared" si="131"/>
        <v>10276.277410000001</v>
      </c>
      <c r="BZ273" s="5">
        <f t="shared" si="132"/>
        <v>5637.2860199999996</v>
      </c>
      <c r="CA273" s="5">
        <f t="shared" si="133"/>
        <v>5493.4965551491659</v>
      </c>
      <c r="CB273" s="5">
        <f t="shared" si="134"/>
        <v>5598.9642473585864</v>
      </c>
      <c r="CC273" s="5">
        <f t="shared" si="135"/>
        <v>5706.4044487066658</v>
      </c>
      <c r="CD273" s="5">
        <f t="shared" si="136"/>
        <v>5779.7322981956404</v>
      </c>
      <c r="CE273" s="5">
        <f t="shared" si="144"/>
        <v>5861.4363493549354</v>
      </c>
      <c r="CH273" s="41">
        <f>BV273/'1. Väestöennuste'!I273*1000</f>
        <v>3071.5463237718432</v>
      </c>
      <c r="CI273" s="41">
        <f>BW273/'1. Väestöennuste'!J273*1000</f>
        <v>3173.2973701955498</v>
      </c>
      <c r="CJ273" s="41">
        <f>BX273/'1. Väestöennuste'!K273*1000</f>
        <v>3585.7649012933966</v>
      </c>
      <c r="CK273" s="41">
        <f>BY273/'1. Väestöennuste'!L273*1000</f>
        <v>3539.8819875990357</v>
      </c>
      <c r="CL273" s="41">
        <f>BZ273/'1. Väestöennuste'!M273*1000</f>
        <v>1978.6893717093717</v>
      </c>
      <c r="CM273" s="41">
        <f>CA273/'1. Väestöennuste'!N273*1000</f>
        <v>2035.382199017846</v>
      </c>
      <c r="CN273" s="41">
        <f>CB273/'1. Väestöennuste'!O273*1000</f>
        <v>2123.2325549331008</v>
      </c>
      <c r="CO273" s="41">
        <f>CC273/'1. Väestöennuste'!P273*1000</f>
        <v>2212.6422833294555</v>
      </c>
      <c r="CP273" s="41">
        <f>CD273/'1. Väestöennuste'!Q273*1000</f>
        <v>2289.9097853390017</v>
      </c>
      <c r="CQ273" s="41">
        <f>CE273/'1. Väestöennuste'!R273*1000</f>
        <v>2372.0907929400792</v>
      </c>
      <c r="CR273" s="41"/>
      <c r="CU273" s="159">
        <f t="shared" si="137"/>
        <v>101.75104642370661</v>
      </c>
      <c r="CV273" s="159">
        <f t="shared" si="138"/>
        <v>412.46753109784686</v>
      </c>
      <c r="CW273" s="159">
        <f t="shared" si="139"/>
        <v>-45.882913694360923</v>
      </c>
      <c r="CX273" s="159">
        <f t="shared" si="140"/>
        <v>-1561.192615889664</v>
      </c>
      <c r="CY273" s="159">
        <f t="shared" si="141"/>
        <v>56.692827308474307</v>
      </c>
      <c r="CZ273" s="159">
        <f t="shared" si="142"/>
        <v>87.850355915254795</v>
      </c>
      <c r="DA273" s="159">
        <f t="shared" si="145"/>
        <v>89.409728396354694</v>
      </c>
      <c r="DB273" s="159">
        <f t="shared" si="146"/>
        <v>77.267502009546206</v>
      </c>
      <c r="DC273" s="159">
        <f t="shared" si="146"/>
        <v>82.181007601077454</v>
      </c>
    </row>
    <row r="274" spans="1:107" x14ac:dyDescent="0.2">
      <c r="A274" s="99">
        <v>13</v>
      </c>
      <c r="B274" s="30">
        <v>850</v>
      </c>
      <c r="C274" s="47" t="s">
        <v>588</v>
      </c>
      <c r="D274" s="64">
        <v>6729.2422800000004</v>
      </c>
      <c r="E274" s="64">
        <v>568.71618999999998</v>
      </c>
      <c r="F274" s="64">
        <v>452.84505000000001</v>
      </c>
      <c r="G274" s="205">
        <v>7752</v>
      </c>
      <c r="H274" s="205"/>
      <c r="I274" s="64">
        <v>6693</v>
      </c>
      <c r="J274" s="64">
        <v>570</v>
      </c>
      <c r="K274" s="64">
        <v>440</v>
      </c>
      <c r="L274" s="205">
        <v>7703</v>
      </c>
      <c r="M274" s="205"/>
      <c r="N274" s="64">
        <v>6793</v>
      </c>
      <c r="O274" s="64">
        <v>569</v>
      </c>
      <c r="P274" s="64">
        <v>546</v>
      </c>
      <c r="Q274" s="205">
        <v>7908</v>
      </c>
      <c r="R274" s="205"/>
      <c r="S274" s="64">
        <v>6664</v>
      </c>
      <c r="T274" s="64">
        <v>632</v>
      </c>
      <c r="U274" s="64">
        <v>569</v>
      </c>
      <c r="V274" s="205">
        <v>7865</v>
      </c>
      <c r="W274" s="205"/>
      <c r="X274" s="64">
        <v>6961</v>
      </c>
      <c r="Y274" s="64">
        <v>692</v>
      </c>
      <c r="Z274" s="64">
        <v>624</v>
      </c>
      <c r="AA274" s="205">
        <f t="shared" si="143"/>
        <v>8277</v>
      </c>
      <c r="AB274" s="205"/>
      <c r="AC274" s="64">
        <v>7035</v>
      </c>
      <c r="AD274" s="64">
        <v>679</v>
      </c>
      <c r="AE274" s="64">
        <v>684</v>
      </c>
      <c r="AF274" s="205">
        <f t="shared" si="120"/>
        <v>8398</v>
      </c>
      <c r="AG274" s="205"/>
      <c r="AH274" s="278">
        <v>7395.4501600000003</v>
      </c>
      <c r="AI274" s="64">
        <v>737.97222999999997</v>
      </c>
      <c r="AJ274" s="64">
        <v>1097.36382</v>
      </c>
      <c r="AK274" s="205">
        <f t="shared" si="121"/>
        <v>9230.7862100000002</v>
      </c>
      <c r="AL274" s="205"/>
      <c r="AM274" s="64">
        <v>7497.0325300000004</v>
      </c>
      <c r="AN274" s="64">
        <v>772.94055000000003</v>
      </c>
      <c r="AO274" s="64">
        <v>1055.2413700000002</v>
      </c>
      <c r="AP274" s="205">
        <f t="shared" si="122"/>
        <v>9325.2144499999995</v>
      </c>
      <c r="AQ274" s="205"/>
      <c r="AR274" s="64">
        <v>3903.4018900000001</v>
      </c>
      <c r="AS274" s="64">
        <v>798.75492000000008</v>
      </c>
      <c r="AT274" s="64">
        <v>622.63162</v>
      </c>
      <c r="AU274" s="205">
        <f t="shared" si="123"/>
        <v>5324.7884300000005</v>
      </c>
      <c r="AV274" s="205"/>
      <c r="AW274" s="64">
        <v>3992.131676450259</v>
      </c>
      <c r="AX274" s="64">
        <v>893.70327291985734</v>
      </c>
      <c r="AY274" s="64">
        <v>554.04951084991603</v>
      </c>
      <c r="AZ274" s="205">
        <f t="shared" si="124"/>
        <v>5439.8844602200325</v>
      </c>
      <c r="BA274" s="205"/>
      <c r="BB274" s="64">
        <v>4336.6646385137619</v>
      </c>
      <c r="BC274" s="64">
        <v>901.30545828948732</v>
      </c>
      <c r="BD274" s="64">
        <v>560.69810498011498</v>
      </c>
      <c r="BE274" s="205">
        <f t="shared" si="119"/>
        <v>5798.6682017833646</v>
      </c>
      <c r="BF274" s="205"/>
      <c r="BG274" s="64">
        <v>4540.4934491319809</v>
      </c>
      <c r="BH274" s="64">
        <v>915.90136427114282</v>
      </c>
      <c r="BI274" s="64">
        <v>587.92568094188232</v>
      </c>
      <c r="BJ274" s="205">
        <f t="shared" si="125"/>
        <v>6044.3204943450055</v>
      </c>
      <c r="BK274" s="205"/>
      <c r="BL274" s="64">
        <v>4719.1810807345328</v>
      </c>
      <c r="BM274" s="64">
        <v>932.52190666926469</v>
      </c>
      <c r="BN274" s="64">
        <v>623.06824991579128</v>
      </c>
      <c r="BO274" s="205">
        <f t="shared" si="126"/>
        <v>6274.7712373195882</v>
      </c>
      <c r="BQ274" s="64">
        <v>4900.0346524273591</v>
      </c>
      <c r="BR274" s="64">
        <v>948.90505369217601</v>
      </c>
      <c r="BS274" s="64">
        <v>644.91363062930225</v>
      </c>
      <c r="BT274" s="205">
        <f t="shared" si="127"/>
        <v>6493.8533367488371</v>
      </c>
      <c r="BU274" s="205"/>
      <c r="BV274" s="5">
        <f t="shared" si="128"/>
        <v>8277</v>
      </c>
      <c r="BW274" s="5">
        <f t="shared" si="129"/>
        <v>8398</v>
      </c>
      <c r="BX274" s="5">
        <f t="shared" si="130"/>
        <v>9230.7862100000002</v>
      </c>
      <c r="BY274" s="5">
        <f t="shared" si="131"/>
        <v>9325.2144499999995</v>
      </c>
      <c r="BZ274" s="5">
        <f t="shared" si="132"/>
        <v>5324.7884300000005</v>
      </c>
      <c r="CA274" s="5">
        <f t="shared" si="133"/>
        <v>5439.8844602200325</v>
      </c>
      <c r="CB274" s="5">
        <f t="shared" si="134"/>
        <v>5798.6682017833646</v>
      </c>
      <c r="CC274" s="5">
        <f t="shared" si="135"/>
        <v>6044.3204943450055</v>
      </c>
      <c r="CD274" s="5">
        <f t="shared" si="136"/>
        <v>6274.7712373195882</v>
      </c>
      <c r="CE274" s="5">
        <f t="shared" si="144"/>
        <v>6493.8533367488371</v>
      </c>
      <c r="CH274" s="41">
        <f>BV274/'1. Väestöennuste'!I274*1000</f>
        <v>3466.0804020100504</v>
      </c>
      <c r="CI274" s="41">
        <f>BW274/'1. Väestöennuste'!J274*1000</f>
        <v>3497.7092877967511</v>
      </c>
      <c r="CJ274" s="41">
        <f>BX274/'1. Väestöennuste'!K274*1000</f>
        <v>3867.1077545035614</v>
      </c>
      <c r="CK274" s="41">
        <f>BY274/'1. Väestöennuste'!L274*1000</f>
        <v>3874.206252596593</v>
      </c>
      <c r="CL274" s="41">
        <f>BZ274/'1. Väestöennuste'!M274*1000</f>
        <v>2248.643762668919</v>
      </c>
      <c r="CM274" s="41">
        <f>CA274/'1. Väestöennuste'!N274*1000</f>
        <v>2276.1022846108922</v>
      </c>
      <c r="CN274" s="41">
        <f>CB274/'1. Väestöennuste'!O274*1000</f>
        <v>2433.3479654986841</v>
      </c>
      <c r="CO274" s="41">
        <f>CC274/'1. Väestöennuste'!P274*1000</f>
        <v>2542.8357149116559</v>
      </c>
      <c r="CP274" s="41">
        <f>CD274/'1. Väestöennuste'!Q274*1000</f>
        <v>2649.8189346788804</v>
      </c>
      <c r="CQ274" s="41">
        <f>CE274/'1. Väestöennuste'!R274*1000</f>
        <v>2757.4748776003553</v>
      </c>
      <c r="CR274" s="41"/>
      <c r="CU274" s="159">
        <f t="shared" si="137"/>
        <v>31.628885786700721</v>
      </c>
      <c r="CV274" s="159">
        <f t="shared" si="138"/>
        <v>369.39846670681027</v>
      </c>
      <c r="CW274" s="159">
        <f t="shared" si="139"/>
        <v>7.0984980930315942</v>
      </c>
      <c r="CX274" s="159">
        <f t="shared" si="140"/>
        <v>-1625.5624899276741</v>
      </c>
      <c r="CY274" s="159">
        <f t="shared" si="141"/>
        <v>27.458521941973231</v>
      </c>
      <c r="CZ274" s="159">
        <f t="shared" si="142"/>
        <v>157.24568088779188</v>
      </c>
      <c r="DA274" s="159">
        <f t="shared" si="145"/>
        <v>109.48774941297188</v>
      </c>
      <c r="DB274" s="159">
        <f t="shared" si="146"/>
        <v>106.98321976722445</v>
      </c>
      <c r="DC274" s="159">
        <f t="shared" si="146"/>
        <v>107.65594292147489</v>
      </c>
    </row>
    <row r="275" spans="1:107" x14ac:dyDescent="0.2">
      <c r="A275" s="99">
        <v>19</v>
      </c>
      <c r="B275" s="30">
        <v>851</v>
      </c>
      <c r="C275" s="47" t="s">
        <v>589</v>
      </c>
      <c r="D275" s="64">
        <v>71608.407630000002</v>
      </c>
      <c r="E275" s="64">
        <v>4848.50875</v>
      </c>
      <c r="F275" s="64">
        <v>2951.2860699999997</v>
      </c>
      <c r="G275" s="205">
        <v>79731</v>
      </c>
      <c r="H275" s="205"/>
      <c r="I275" s="64">
        <v>72430</v>
      </c>
      <c r="J275" s="64">
        <v>2670</v>
      </c>
      <c r="K275" s="64">
        <v>6234</v>
      </c>
      <c r="L275" s="205">
        <v>81335</v>
      </c>
      <c r="M275" s="205"/>
      <c r="N275" s="64">
        <v>73200</v>
      </c>
      <c r="O275" s="64">
        <v>6779</v>
      </c>
      <c r="P275" s="64">
        <v>3221</v>
      </c>
      <c r="Q275" s="205">
        <v>83200</v>
      </c>
      <c r="R275" s="205"/>
      <c r="S275" s="64">
        <v>73472</v>
      </c>
      <c r="T275" s="64">
        <v>6947</v>
      </c>
      <c r="U275" s="64">
        <v>3088</v>
      </c>
      <c r="V275" s="205">
        <v>83507</v>
      </c>
      <c r="W275" s="205"/>
      <c r="X275" s="64">
        <v>73795</v>
      </c>
      <c r="Y275" s="64">
        <v>7085</v>
      </c>
      <c r="Z275" s="64">
        <v>3001</v>
      </c>
      <c r="AA275" s="205">
        <f t="shared" si="143"/>
        <v>83881</v>
      </c>
      <c r="AB275" s="205"/>
      <c r="AC275" s="64">
        <v>76536</v>
      </c>
      <c r="AD275" s="64">
        <v>6314</v>
      </c>
      <c r="AE275" s="64">
        <v>3289</v>
      </c>
      <c r="AF275" s="205">
        <f t="shared" si="120"/>
        <v>86139</v>
      </c>
      <c r="AG275" s="205"/>
      <c r="AH275" s="278">
        <v>79245.95040999999</v>
      </c>
      <c r="AI275" s="64">
        <v>6741.1007199999995</v>
      </c>
      <c r="AJ275" s="64">
        <v>4981.6686399999999</v>
      </c>
      <c r="AK275" s="205">
        <f t="shared" si="121"/>
        <v>90968.719769999996</v>
      </c>
      <c r="AL275" s="205"/>
      <c r="AM275" s="64">
        <v>80986.907829999996</v>
      </c>
      <c r="AN275" s="64">
        <v>7030.0487899999998</v>
      </c>
      <c r="AO275" s="64">
        <v>5133.4987000000001</v>
      </c>
      <c r="AP275" s="205">
        <f t="shared" si="122"/>
        <v>93150.455319999994</v>
      </c>
      <c r="AQ275" s="205"/>
      <c r="AR275" s="64">
        <v>41212.146260000001</v>
      </c>
      <c r="AS275" s="64">
        <v>7202.0369299999993</v>
      </c>
      <c r="AT275" s="64">
        <v>3335.0470599999999</v>
      </c>
      <c r="AU275" s="205">
        <f t="shared" si="123"/>
        <v>51749.230250000001</v>
      </c>
      <c r="AV275" s="205"/>
      <c r="AW275" s="64">
        <v>37921.210656442432</v>
      </c>
      <c r="AX275" s="64">
        <v>7310.7471177556181</v>
      </c>
      <c r="AY275" s="64">
        <v>5600.5075528939951</v>
      </c>
      <c r="AZ275" s="205">
        <f t="shared" si="124"/>
        <v>50832.465327092039</v>
      </c>
      <c r="BA275" s="205"/>
      <c r="BB275" s="64">
        <v>39908.114922435634</v>
      </c>
      <c r="BC275" s="64">
        <v>7342.3168002971488</v>
      </c>
      <c r="BD275" s="64">
        <v>5667.713643528723</v>
      </c>
      <c r="BE275" s="205">
        <f t="shared" si="119"/>
        <v>52918.145366261509</v>
      </c>
      <c r="BF275" s="205"/>
      <c r="BG275" s="64">
        <v>41508.975081722521</v>
      </c>
      <c r="BH275" s="64">
        <v>7430.2347990126855</v>
      </c>
      <c r="BI275" s="64">
        <v>5942.9385861280853</v>
      </c>
      <c r="BJ275" s="205">
        <f t="shared" si="125"/>
        <v>54882.148466863291</v>
      </c>
      <c r="BK275" s="205"/>
      <c r="BL275" s="64">
        <v>42788.266233336239</v>
      </c>
      <c r="BM275" s="64">
        <v>7533.6657698002118</v>
      </c>
      <c r="BN275" s="64">
        <v>6298.1707794830763</v>
      </c>
      <c r="BO275" s="205">
        <f t="shared" si="126"/>
        <v>56620.10278261952</v>
      </c>
      <c r="BQ275" s="64">
        <v>44224.688625325834</v>
      </c>
      <c r="BR275" s="64">
        <v>7634.2267569636006</v>
      </c>
      <c r="BS275" s="64">
        <v>6518.9907915686108</v>
      </c>
      <c r="BT275" s="205">
        <f t="shared" si="127"/>
        <v>58377.906173858049</v>
      </c>
      <c r="BU275" s="205"/>
      <c r="BV275" s="5">
        <f t="shared" si="128"/>
        <v>83881</v>
      </c>
      <c r="BW275" s="5">
        <f t="shared" si="129"/>
        <v>86139</v>
      </c>
      <c r="BX275" s="5">
        <f t="shared" si="130"/>
        <v>90968.719769999996</v>
      </c>
      <c r="BY275" s="5">
        <f t="shared" si="131"/>
        <v>93150.455319999994</v>
      </c>
      <c r="BZ275" s="5">
        <f t="shared" si="132"/>
        <v>51749.230250000001</v>
      </c>
      <c r="CA275" s="5">
        <f t="shared" si="133"/>
        <v>50832.465327092039</v>
      </c>
      <c r="CB275" s="5">
        <f t="shared" si="134"/>
        <v>52918.145366261509</v>
      </c>
      <c r="CC275" s="5">
        <f t="shared" si="135"/>
        <v>54882.148466863291</v>
      </c>
      <c r="CD275" s="5">
        <f t="shared" si="136"/>
        <v>56620.10278261952</v>
      </c>
      <c r="CE275" s="5">
        <f t="shared" si="144"/>
        <v>58377.906173858049</v>
      </c>
      <c r="CH275" s="41">
        <f>BV275/'1. Väestöennuste'!I275*1000</f>
        <v>3883.0200907323397</v>
      </c>
      <c r="CI275" s="41">
        <f>BW275/'1. Väestöennuste'!J275*1000</f>
        <v>4012.6240275772116</v>
      </c>
      <c r="CJ275" s="41">
        <f>BX275/'1. Väestöennuste'!K275*1000</f>
        <v>4264.2253677401204</v>
      </c>
      <c r="CK275" s="41">
        <f>BY275/'1. Väestöennuste'!L275*1000</f>
        <v>4388.300528572101</v>
      </c>
      <c r="CL275" s="41">
        <f>BZ275/'1. Väestöennuste'!M275*1000</f>
        <v>2462.1386549624131</v>
      </c>
      <c r="CM275" s="41">
        <f>CA275/'1. Väestöennuste'!N275*1000</f>
        <v>2433.5726410901971</v>
      </c>
      <c r="CN275" s="41">
        <f>CB275/'1. Väestöennuste'!O275*1000</f>
        <v>2550.517898894424</v>
      </c>
      <c r="CO275" s="41">
        <f>CC275/'1. Väestöennuste'!P275*1000</f>
        <v>2662.6309172745632</v>
      </c>
      <c r="CP275" s="41">
        <f>CD275/'1. Väestöennuste'!Q275*1000</f>
        <v>2765.1935330445167</v>
      </c>
      <c r="CQ275" s="41">
        <f>CE275/'1. Väestöennuste'!R275*1000</f>
        <v>2870.1035483706023</v>
      </c>
      <c r="CR275" s="41"/>
      <c r="CU275" s="159">
        <f t="shared" si="137"/>
        <v>129.6039368448719</v>
      </c>
      <c r="CV275" s="159">
        <f t="shared" si="138"/>
        <v>251.60134016290885</v>
      </c>
      <c r="CW275" s="159">
        <f t="shared" si="139"/>
        <v>124.07516083198061</v>
      </c>
      <c r="CX275" s="159">
        <f t="shared" si="140"/>
        <v>-1926.161873609688</v>
      </c>
      <c r="CY275" s="159">
        <f t="shared" si="141"/>
        <v>-28.56601387221599</v>
      </c>
      <c r="CZ275" s="159">
        <f t="shared" si="142"/>
        <v>116.94525780422691</v>
      </c>
      <c r="DA275" s="159">
        <f t="shared" si="145"/>
        <v>112.11301838013924</v>
      </c>
      <c r="DB275" s="159">
        <f t="shared" si="146"/>
        <v>102.56261576995348</v>
      </c>
      <c r="DC275" s="159">
        <f t="shared" si="146"/>
        <v>104.91001532608561</v>
      </c>
    </row>
    <row r="276" spans="1:107" x14ac:dyDescent="0.2">
      <c r="A276" s="99">
        <v>2</v>
      </c>
      <c r="B276" s="30">
        <v>853</v>
      </c>
      <c r="C276" s="47" t="s">
        <v>590</v>
      </c>
      <c r="D276" s="64">
        <v>594694.46416999993</v>
      </c>
      <c r="E276" s="64">
        <v>50005.734340000003</v>
      </c>
      <c r="F276" s="64">
        <v>86234.954040000011</v>
      </c>
      <c r="G276" s="205">
        <v>730885</v>
      </c>
      <c r="H276" s="205"/>
      <c r="I276" s="64">
        <v>607016</v>
      </c>
      <c r="J276" s="64">
        <v>52328</v>
      </c>
      <c r="K276" s="64">
        <v>77697</v>
      </c>
      <c r="L276" s="205">
        <v>734000</v>
      </c>
      <c r="M276" s="205"/>
      <c r="N276" s="64">
        <v>601025</v>
      </c>
      <c r="O276" s="64">
        <v>53654</v>
      </c>
      <c r="P276" s="64">
        <v>94339</v>
      </c>
      <c r="Q276" s="205">
        <v>749018</v>
      </c>
      <c r="R276" s="205"/>
      <c r="S276" s="64">
        <v>601727</v>
      </c>
      <c r="T276" s="64">
        <v>55603</v>
      </c>
      <c r="U276" s="64">
        <v>97196</v>
      </c>
      <c r="V276" s="205">
        <v>754526</v>
      </c>
      <c r="W276" s="205"/>
      <c r="X276" s="64">
        <v>621946</v>
      </c>
      <c r="Y276" s="64">
        <v>55759</v>
      </c>
      <c r="Z276" s="64">
        <v>107347</v>
      </c>
      <c r="AA276" s="205">
        <f t="shared" si="143"/>
        <v>785052</v>
      </c>
      <c r="AB276" s="205"/>
      <c r="AC276" s="64">
        <v>654073</v>
      </c>
      <c r="AD276" s="64">
        <v>52412</v>
      </c>
      <c r="AE276" s="64">
        <v>110192</v>
      </c>
      <c r="AF276" s="205">
        <f t="shared" si="120"/>
        <v>816677</v>
      </c>
      <c r="AG276" s="205"/>
      <c r="AH276" s="278">
        <v>665366.44038000004</v>
      </c>
      <c r="AI276" s="64">
        <v>64856.158299999996</v>
      </c>
      <c r="AJ276" s="64">
        <v>158730.70327</v>
      </c>
      <c r="AK276" s="205">
        <f t="shared" si="121"/>
        <v>888953.30194999999</v>
      </c>
      <c r="AL276" s="205"/>
      <c r="AM276" s="64">
        <v>697531.32762999996</v>
      </c>
      <c r="AN276" s="64">
        <v>69684.313120000006</v>
      </c>
      <c r="AO276" s="64">
        <v>180748.39688999997</v>
      </c>
      <c r="AP276" s="205">
        <f t="shared" si="122"/>
        <v>947964.03764</v>
      </c>
      <c r="AQ276" s="205"/>
      <c r="AR276" s="64">
        <v>325658.63152999996</v>
      </c>
      <c r="AS276" s="64">
        <v>73263.431840000005</v>
      </c>
      <c r="AT276" s="64">
        <v>120298.30867</v>
      </c>
      <c r="AU276" s="205">
        <f t="shared" si="123"/>
        <v>519220.37203999999</v>
      </c>
      <c r="AV276" s="205"/>
      <c r="AW276" s="64">
        <v>307329.20326308644</v>
      </c>
      <c r="AX276" s="64">
        <v>82772.220873282233</v>
      </c>
      <c r="AY276" s="64">
        <v>90884.458164999538</v>
      </c>
      <c r="AZ276" s="205">
        <f t="shared" si="124"/>
        <v>480985.88230136823</v>
      </c>
      <c r="BA276" s="205"/>
      <c r="BB276" s="64">
        <v>324664.31629313837</v>
      </c>
      <c r="BC276" s="64">
        <v>84517.4450756601</v>
      </c>
      <c r="BD276" s="64">
        <v>91975.071662979521</v>
      </c>
      <c r="BE276" s="205">
        <f t="shared" si="119"/>
        <v>501156.83303177799</v>
      </c>
      <c r="BF276" s="205"/>
      <c r="BG276" s="64">
        <v>342347.43716373784</v>
      </c>
      <c r="BH276" s="64">
        <v>86961.094165856863</v>
      </c>
      <c r="BI276" s="64">
        <v>96441.393607088088</v>
      </c>
      <c r="BJ276" s="205">
        <f t="shared" si="125"/>
        <v>525749.9249366828</v>
      </c>
      <c r="BK276" s="205"/>
      <c r="BL276" s="64">
        <v>358607.32125778613</v>
      </c>
      <c r="BM276" s="64">
        <v>89651.344570211382</v>
      </c>
      <c r="BN276" s="64">
        <v>102206.06495355377</v>
      </c>
      <c r="BO276" s="205">
        <f t="shared" si="126"/>
        <v>550464.73078155122</v>
      </c>
      <c r="BQ276" s="64">
        <v>376841.5195142848</v>
      </c>
      <c r="BR276" s="64">
        <v>92376.658199848869</v>
      </c>
      <c r="BS276" s="64">
        <v>105789.50930405947</v>
      </c>
      <c r="BT276" s="205">
        <f t="shared" si="127"/>
        <v>575007.68701819307</v>
      </c>
      <c r="BU276" s="205"/>
      <c r="BV276" s="5">
        <f t="shared" si="128"/>
        <v>785052</v>
      </c>
      <c r="BW276" s="5">
        <f t="shared" si="129"/>
        <v>816677</v>
      </c>
      <c r="BX276" s="5">
        <f t="shared" si="130"/>
        <v>888953.30194999999</v>
      </c>
      <c r="BY276" s="5">
        <f t="shared" si="131"/>
        <v>947964.03764</v>
      </c>
      <c r="BZ276" s="5">
        <f t="shared" si="132"/>
        <v>519220.37203999999</v>
      </c>
      <c r="CA276" s="5">
        <f t="shared" si="133"/>
        <v>480985.88230136823</v>
      </c>
      <c r="CB276" s="5">
        <f t="shared" si="134"/>
        <v>501156.83303177799</v>
      </c>
      <c r="CC276" s="5">
        <f t="shared" si="135"/>
        <v>525749.9249366828</v>
      </c>
      <c r="CD276" s="5">
        <f t="shared" si="136"/>
        <v>550464.73078155122</v>
      </c>
      <c r="CE276" s="5">
        <f t="shared" si="144"/>
        <v>575007.68701819307</v>
      </c>
      <c r="CH276" s="41">
        <f>BV276/'1. Väestöennuste'!I276*1000</f>
        <v>4068.4279806386749</v>
      </c>
      <c r="CI276" s="41">
        <f>BW276/'1. Väestöennuste'!J276*1000</f>
        <v>4201.2078748501726</v>
      </c>
      <c r="CJ276" s="41">
        <f>BX276/'1. Väestöennuste'!K276*1000</f>
        <v>4555.5343269087871</v>
      </c>
      <c r="CK276" s="41">
        <f>BY276/'1. Väestöennuste'!L276*1000</f>
        <v>4790.116410510358</v>
      </c>
      <c r="CL276" s="41">
        <f>BZ276/'1. Väestöennuste'!M276*1000</f>
        <v>2572.1423541708978</v>
      </c>
      <c r="CM276" s="41">
        <f>CA276/'1. Väestöennuste'!N276*1000</f>
        <v>2404.7009649151742</v>
      </c>
      <c r="CN276" s="41">
        <f>CB276/'1. Väestöennuste'!O276*1000</f>
        <v>2490.2945331626183</v>
      </c>
      <c r="CO276" s="41">
        <f>CC276/'1. Väestöennuste'!P276*1000</f>
        <v>2597.0654264803538</v>
      </c>
      <c r="CP276" s="41">
        <f>CD276/'1. Väestöennuste'!Q276*1000</f>
        <v>2703.5914185877123</v>
      </c>
      <c r="CQ276" s="41">
        <f>CE276/'1. Väestöennuste'!R276*1000</f>
        <v>2808.4363666557247</v>
      </c>
      <c r="CR276" s="41"/>
      <c r="CU276" s="159">
        <f t="shared" si="137"/>
        <v>132.77989421149778</v>
      </c>
      <c r="CV276" s="159">
        <f t="shared" si="138"/>
        <v>354.32645205861445</v>
      </c>
      <c r="CW276" s="159">
        <f t="shared" si="139"/>
        <v>234.58208360157096</v>
      </c>
      <c r="CX276" s="159">
        <f t="shared" si="140"/>
        <v>-2217.9740563394603</v>
      </c>
      <c r="CY276" s="159">
        <f t="shared" si="141"/>
        <v>-167.44138925572361</v>
      </c>
      <c r="CZ276" s="159">
        <f t="shared" si="142"/>
        <v>85.593568247444182</v>
      </c>
      <c r="DA276" s="159">
        <f t="shared" si="145"/>
        <v>106.7708933177355</v>
      </c>
      <c r="DB276" s="159">
        <f t="shared" si="146"/>
        <v>106.52599210735843</v>
      </c>
      <c r="DC276" s="159">
        <f t="shared" si="146"/>
        <v>104.8449480680124</v>
      </c>
    </row>
    <row r="277" spans="1:107" x14ac:dyDescent="0.2">
      <c r="A277" s="99">
        <v>19</v>
      </c>
      <c r="B277" s="30">
        <v>854</v>
      </c>
      <c r="C277" s="47" t="s">
        <v>591</v>
      </c>
      <c r="D277" s="64">
        <v>9862.1918900000001</v>
      </c>
      <c r="E277" s="64">
        <v>676.69583999999998</v>
      </c>
      <c r="F277" s="64">
        <v>776.42931999999996</v>
      </c>
      <c r="G277" s="205">
        <v>11313</v>
      </c>
      <c r="H277" s="205"/>
      <c r="I277" s="64">
        <v>9937</v>
      </c>
      <c r="J277" s="64">
        <v>720</v>
      </c>
      <c r="K277" s="64">
        <v>672</v>
      </c>
      <c r="L277" s="205">
        <v>11329</v>
      </c>
      <c r="M277" s="205"/>
      <c r="N277" s="64">
        <v>9553</v>
      </c>
      <c r="O277" s="64">
        <v>746</v>
      </c>
      <c r="P277" s="64">
        <v>791</v>
      </c>
      <c r="Q277" s="205">
        <v>11090</v>
      </c>
      <c r="R277" s="205"/>
      <c r="S277" s="64">
        <v>9571</v>
      </c>
      <c r="T277" s="64">
        <v>719</v>
      </c>
      <c r="U277" s="64">
        <v>765</v>
      </c>
      <c r="V277" s="205">
        <v>11055</v>
      </c>
      <c r="W277" s="205"/>
      <c r="X277" s="64">
        <v>9545</v>
      </c>
      <c r="Y277" s="64">
        <v>874</v>
      </c>
      <c r="Z277" s="64">
        <v>738</v>
      </c>
      <c r="AA277" s="205">
        <f t="shared" si="143"/>
        <v>11157</v>
      </c>
      <c r="AB277" s="205"/>
      <c r="AC277" s="64">
        <v>9936</v>
      </c>
      <c r="AD277" s="64">
        <v>810</v>
      </c>
      <c r="AE277" s="64">
        <v>789</v>
      </c>
      <c r="AF277" s="205">
        <f t="shared" si="120"/>
        <v>11535</v>
      </c>
      <c r="AG277" s="205"/>
      <c r="AH277" s="278">
        <v>10326.176800000001</v>
      </c>
      <c r="AI277" s="64">
        <v>937.03494999999998</v>
      </c>
      <c r="AJ277" s="64">
        <v>1239.15599</v>
      </c>
      <c r="AK277" s="205">
        <f t="shared" si="121"/>
        <v>12502.36774</v>
      </c>
      <c r="AL277" s="205"/>
      <c r="AM277" s="64">
        <v>10852.333279999999</v>
      </c>
      <c r="AN277" s="64">
        <v>987.49294999999995</v>
      </c>
      <c r="AO277" s="64">
        <v>1328.80232</v>
      </c>
      <c r="AP277" s="205">
        <f t="shared" si="122"/>
        <v>13168.628549999999</v>
      </c>
      <c r="AQ277" s="205"/>
      <c r="AR277" s="64">
        <v>5345.8751700000003</v>
      </c>
      <c r="AS277" s="64">
        <v>1029.1380100000001</v>
      </c>
      <c r="AT277" s="64">
        <v>854.65506999999991</v>
      </c>
      <c r="AU277" s="205">
        <f t="shared" si="123"/>
        <v>7229.6682499999997</v>
      </c>
      <c r="AV277" s="205"/>
      <c r="AW277" s="64">
        <v>5158.3408507478025</v>
      </c>
      <c r="AX277" s="64">
        <v>1266.4987850075497</v>
      </c>
      <c r="AY277" s="64">
        <v>921.82000394792101</v>
      </c>
      <c r="AZ277" s="205">
        <f t="shared" si="124"/>
        <v>7346.6596397032727</v>
      </c>
      <c r="BA277" s="205"/>
      <c r="BB277" s="64">
        <v>5268.1900663030156</v>
      </c>
      <c r="BC277" s="64">
        <v>1301.1213116448901</v>
      </c>
      <c r="BD277" s="64">
        <v>932.88184399529609</v>
      </c>
      <c r="BE277" s="205">
        <f t="shared" si="119"/>
        <v>7502.1932219432019</v>
      </c>
      <c r="BF277" s="205"/>
      <c r="BG277" s="64">
        <v>5383.9991488133082</v>
      </c>
      <c r="BH277" s="64">
        <v>1346.8647739035146</v>
      </c>
      <c r="BI277" s="64">
        <v>978.18271276073676</v>
      </c>
      <c r="BJ277" s="205">
        <f t="shared" si="125"/>
        <v>7709.046635477559</v>
      </c>
      <c r="BK277" s="205"/>
      <c r="BL277" s="64">
        <v>5477.6866445054984</v>
      </c>
      <c r="BM277" s="64">
        <v>1396.8811287599215</v>
      </c>
      <c r="BN277" s="64">
        <v>1036.6524387254335</v>
      </c>
      <c r="BO277" s="205">
        <f t="shared" si="126"/>
        <v>7911.2202119908543</v>
      </c>
      <c r="BQ277" s="64">
        <v>5588.8752602564628</v>
      </c>
      <c r="BR277" s="64">
        <v>1447.919380988606</v>
      </c>
      <c r="BS277" s="64">
        <v>1072.9984845953802</v>
      </c>
      <c r="BT277" s="205">
        <f t="shared" si="127"/>
        <v>8109.7931258404496</v>
      </c>
      <c r="BU277" s="205"/>
      <c r="BV277" s="5">
        <f t="shared" si="128"/>
        <v>11157</v>
      </c>
      <c r="BW277" s="5">
        <f t="shared" si="129"/>
        <v>11535</v>
      </c>
      <c r="BX277" s="5">
        <f t="shared" si="130"/>
        <v>12502.36774</v>
      </c>
      <c r="BY277" s="5">
        <f t="shared" si="131"/>
        <v>13168.628549999999</v>
      </c>
      <c r="BZ277" s="5">
        <f t="shared" si="132"/>
        <v>7229.6682499999997</v>
      </c>
      <c r="CA277" s="5">
        <f t="shared" si="133"/>
        <v>7346.6596397032727</v>
      </c>
      <c r="CB277" s="5">
        <f t="shared" si="134"/>
        <v>7502.1932219432019</v>
      </c>
      <c r="CC277" s="5">
        <f t="shared" si="135"/>
        <v>7709.046635477559</v>
      </c>
      <c r="CD277" s="5">
        <f t="shared" si="136"/>
        <v>7911.2202119908543</v>
      </c>
      <c r="CE277" s="5">
        <f t="shared" si="144"/>
        <v>8109.7931258404496</v>
      </c>
      <c r="CH277" s="41">
        <f>BV277/'1. Väestöennuste'!I277*1000</f>
        <v>3307.7379187666766</v>
      </c>
      <c r="CI277" s="41">
        <f>BW277/'1. Väestöennuste'!J277*1000</f>
        <v>3491.2227602905568</v>
      </c>
      <c r="CJ277" s="41">
        <f>BX277/'1. Väestöennuste'!K277*1000</f>
        <v>3793.1940958737864</v>
      </c>
      <c r="CK277" s="41">
        <f>BY277/'1. Väestöennuste'!L277*1000</f>
        <v>4036.979935622317</v>
      </c>
      <c r="CL277" s="41">
        <f>BZ277/'1. Väestöennuste'!M277*1000</f>
        <v>2222.4618044881645</v>
      </c>
      <c r="CM277" s="41">
        <f>CA277/'1. Väestöennuste'!N277*1000</f>
        <v>2397.7348693548543</v>
      </c>
      <c r="CN277" s="41">
        <f>CB277/'1. Väestöennuste'!O277*1000</f>
        <v>2489.1152030335775</v>
      </c>
      <c r="CO277" s="41">
        <f>CC277/'1. Väestöennuste'!P277*1000</f>
        <v>2597.3876804169672</v>
      </c>
      <c r="CP277" s="41">
        <f>CD277/'1. Väestöennuste'!Q277*1000</f>
        <v>2706.5412972941685</v>
      </c>
      <c r="CQ277" s="41">
        <f>CE277/'1. Väestöennuste'!R277*1000</f>
        <v>2814.922987101857</v>
      </c>
      <c r="CR277" s="41"/>
      <c r="CU277" s="159">
        <f t="shared" si="137"/>
        <v>183.48484152388028</v>
      </c>
      <c r="CV277" s="159">
        <f t="shared" si="138"/>
        <v>301.97133558322957</v>
      </c>
      <c r="CW277" s="159">
        <f t="shared" si="139"/>
        <v>243.78583974853063</v>
      </c>
      <c r="CX277" s="159">
        <f t="shared" si="140"/>
        <v>-1814.5181311341526</v>
      </c>
      <c r="CY277" s="159">
        <f t="shared" si="141"/>
        <v>175.27306486668977</v>
      </c>
      <c r="CZ277" s="159">
        <f t="shared" si="142"/>
        <v>91.380333678723218</v>
      </c>
      <c r="DA277" s="159">
        <f t="shared" si="145"/>
        <v>108.27247738338974</v>
      </c>
      <c r="DB277" s="159">
        <f t="shared" si="146"/>
        <v>109.15361687720133</v>
      </c>
      <c r="DC277" s="159">
        <f t="shared" si="146"/>
        <v>108.38168980768842</v>
      </c>
    </row>
    <row r="278" spans="1:107" x14ac:dyDescent="0.2">
      <c r="A278" s="99">
        <v>11</v>
      </c>
      <c r="B278" s="30">
        <v>857</v>
      </c>
      <c r="C278" s="47" t="s">
        <v>592</v>
      </c>
      <c r="D278" s="64">
        <v>6765.1621399999995</v>
      </c>
      <c r="E278" s="64">
        <v>952.59574999999995</v>
      </c>
      <c r="F278" s="64">
        <v>806.12022000000002</v>
      </c>
      <c r="G278" s="205">
        <v>8523</v>
      </c>
      <c r="H278" s="205"/>
      <c r="I278" s="64">
        <v>7024</v>
      </c>
      <c r="J278" s="64">
        <v>964</v>
      </c>
      <c r="K278" s="64">
        <v>706</v>
      </c>
      <c r="L278" s="205">
        <v>8694</v>
      </c>
      <c r="M278" s="205"/>
      <c r="N278" s="64">
        <v>6659</v>
      </c>
      <c r="O278" s="64">
        <v>956</v>
      </c>
      <c r="P278" s="64">
        <v>778</v>
      </c>
      <c r="Q278" s="205">
        <v>8393</v>
      </c>
      <c r="R278" s="205"/>
      <c r="S278" s="64">
        <v>6182</v>
      </c>
      <c r="T278" s="64">
        <v>939</v>
      </c>
      <c r="U278" s="64">
        <v>712</v>
      </c>
      <c r="V278" s="205">
        <v>7833</v>
      </c>
      <c r="W278" s="205"/>
      <c r="X278" s="64">
        <v>6658</v>
      </c>
      <c r="Y278" s="64">
        <v>935</v>
      </c>
      <c r="Z278" s="64">
        <v>739</v>
      </c>
      <c r="AA278" s="205">
        <f t="shared" si="143"/>
        <v>8332</v>
      </c>
      <c r="AB278" s="205"/>
      <c r="AC278" s="64">
        <v>6606</v>
      </c>
      <c r="AD278" s="64">
        <v>856</v>
      </c>
      <c r="AE278" s="64">
        <v>883</v>
      </c>
      <c r="AF278" s="205">
        <f t="shared" si="120"/>
        <v>8345</v>
      </c>
      <c r="AG278" s="205"/>
      <c r="AH278" s="278">
        <v>6916.2013200000001</v>
      </c>
      <c r="AI278" s="64">
        <v>943.39254000000005</v>
      </c>
      <c r="AJ278" s="64">
        <v>1241.6672599999999</v>
      </c>
      <c r="AK278" s="205">
        <f t="shared" si="121"/>
        <v>9101.2611199999992</v>
      </c>
      <c r="AL278" s="205"/>
      <c r="AM278" s="64">
        <v>6761.9950999999992</v>
      </c>
      <c r="AN278" s="64">
        <v>993.82931000000008</v>
      </c>
      <c r="AO278" s="64">
        <v>1291.5520900000001</v>
      </c>
      <c r="AP278" s="205">
        <f t="shared" si="122"/>
        <v>9047.3764999999985</v>
      </c>
      <c r="AQ278" s="205"/>
      <c r="AR278" s="64">
        <v>3573.3442099999997</v>
      </c>
      <c r="AS278" s="64">
        <v>1022.48341</v>
      </c>
      <c r="AT278" s="64">
        <v>753.40494999999999</v>
      </c>
      <c r="AU278" s="205">
        <f t="shared" si="123"/>
        <v>5349.2325700000001</v>
      </c>
      <c r="AV278" s="205"/>
      <c r="AW278" s="64">
        <v>3334.4037933989384</v>
      </c>
      <c r="AX278" s="64">
        <v>1115.8683229200396</v>
      </c>
      <c r="AY278" s="64">
        <v>663.61370748596619</v>
      </c>
      <c r="AZ278" s="205">
        <f t="shared" si="124"/>
        <v>5113.8858238049443</v>
      </c>
      <c r="BA278" s="205"/>
      <c r="BB278" s="64">
        <v>3527.0132336704728</v>
      </c>
      <c r="BC278" s="64">
        <v>1154.9585834363891</v>
      </c>
      <c r="BD278" s="64">
        <v>671.57707197579782</v>
      </c>
      <c r="BE278" s="205">
        <f t="shared" si="119"/>
        <v>5353.5488890826591</v>
      </c>
      <c r="BF278" s="205"/>
      <c r="BG278" s="64">
        <v>3613.2475938019302</v>
      </c>
      <c r="BH278" s="64">
        <v>1204.9867012645861</v>
      </c>
      <c r="BI278" s="64">
        <v>704.18894560082242</v>
      </c>
      <c r="BJ278" s="205">
        <f t="shared" si="125"/>
        <v>5522.4232406673382</v>
      </c>
      <c r="BK278" s="205"/>
      <c r="BL278" s="64">
        <v>3696.2920409408785</v>
      </c>
      <c r="BM278" s="64">
        <v>1260.0753682408779</v>
      </c>
      <c r="BN278" s="64">
        <v>746.28101504707513</v>
      </c>
      <c r="BO278" s="205">
        <f t="shared" si="126"/>
        <v>5702.6484242288316</v>
      </c>
      <c r="BQ278" s="64">
        <v>3790.9211790483823</v>
      </c>
      <c r="BR278" s="64">
        <v>1317.4353228693412</v>
      </c>
      <c r="BS278" s="64">
        <v>772.44635551366468</v>
      </c>
      <c r="BT278" s="205">
        <f t="shared" si="127"/>
        <v>5880.8028574313885</v>
      </c>
      <c r="BU278" s="205"/>
      <c r="BV278" s="5">
        <f t="shared" si="128"/>
        <v>8332</v>
      </c>
      <c r="BW278" s="5">
        <f t="shared" si="129"/>
        <v>8345</v>
      </c>
      <c r="BX278" s="5">
        <f t="shared" si="130"/>
        <v>9101.2611199999992</v>
      </c>
      <c r="BY278" s="5">
        <f t="shared" si="131"/>
        <v>9047.3764999999985</v>
      </c>
      <c r="BZ278" s="5">
        <f t="shared" si="132"/>
        <v>5349.2325700000001</v>
      </c>
      <c r="CA278" s="5">
        <f t="shared" si="133"/>
        <v>5113.8858238049443</v>
      </c>
      <c r="CB278" s="5">
        <f t="shared" si="134"/>
        <v>5353.5488890826591</v>
      </c>
      <c r="CC278" s="5">
        <f t="shared" si="135"/>
        <v>5522.4232406673382</v>
      </c>
      <c r="CD278" s="5">
        <f t="shared" si="136"/>
        <v>5702.6484242288316</v>
      </c>
      <c r="CE278" s="5">
        <f t="shared" si="144"/>
        <v>5880.8028574313885</v>
      </c>
      <c r="CH278" s="41">
        <f>BV278/'1. Väestöennuste'!I278*1000</f>
        <v>3363.7464675010092</v>
      </c>
      <c r="CI278" s="41">
        <f>BW278/'1. Väestöennuste'!J278*1000</f>
        <v>3429.9219071105631</v>
      </c>
      <c r="CJ278" s="41">
        <f>BX278/'1. Väestöennuste'!K278*1000</f>
        <v>3760.8517024793382</v>
      </c>
      <c r="CK278" s="41">
        <f>BY278/'1. Väestöennuste'!L278*1000</f>
        <v>3779.1881787802836</v>
      </c>
      <c r="CL278" s="41">
        <f>BZ278/'1. Väestöennuste'!M278*1000</f>
        <v>2312.6816126242975</v>
      </c>
      <c r="CM278" s="41">
        <f>CA278/'1. Väestöennuste'!N278*1000</f>
        <v>2278.915251249975</v>
      </c>
      <c r="CN278" s="41">
        <f>CB278/'1. Väestöennuste'!O278*1000</f>
        <v>2425.7131350623736</v>
      </c>
      <c r="CO278" s="41">
        <f>CC278/'1. Väestöennuste'!P278*1000</f>
        <v>2540.2130821836881</v>
      </c>
      <c r="CP278" s="41">
        <f>CD278/'1. Väestöennuste'!Q278*1000</f>
        <v>2662.300851647447</v>
      </c>
      <c r="CQ278" s="41">
        <f>CE278/'1. Väestöennuste'!R278*1000</f>
        <v>2783.1532690162744</v>
      </c>
      <c r="CR278" s="41"/>
      <c r="CU278" s="159">
        <f t="shared" si="137"/>
        <v>66.175439609553905</v>
      </c>
      <c r="CV278" s="159">
        <f t="shared" si="138"/>
        <v>330.9297953687751</v>
      </c>
      <c r="CW278" s="159">
        <f t="shared" si="139"/>
        <v>18.336476300945378</v>
      </c>
      <c r="CX278" s="159">
        <f t="shared" si="140"/>
        <v>-1466.5065661559861</v>
      </c>
      <c r="CY278" s="159">
        <f t="shared" si="141"/>
        <v>-33.766361374322514</v>
      </c>
      <c r="CZ278" s="159">
        <f t="shared" si="142"/>
        <v>146.7978838123986</v>
      </c>
      <c r="DA278" s="159">
        <f t="shared" si="145"/>
        <v>114.49994712131456</v>
      </c>
      <c r="DB278" s="159">
        <f t="shared" si="146"/>
        <v>122.08776946375883</v>
      </c>
      <c r="DC278" s="159">
        <f t="shared" si="146"/>
        <v>120.85241736882745</v>
      </c>
    </row>
    <row r="279" spans="1:107" x14ac:dyDescent="0.2">
      <c r="A279" s="99">
        <v>1</v>
      </c>
      <c r="B279" s="30">
        <v>858</v>
      </c>
      <c r="C279" s="47" t="s">
        <v>593</v>
      </c>
      <c r="D279" s="64">
        <v>155825.49359</v>
      </c>
      <c r="E279" s="64">
        <v>8317.6256300000005</v>
      </c>
      <c r="F279" s="64">
        <v>7299.6519100000005</v>
      </c>
      <c r="G279" s="205">
        <v>171443</v>
      </c>
      <c r="H279" s="205"/>
      <c r="I279" s="64">
        <v>161188</v>
      </c>
      <c r="J279" s="64">
        <v>8795</v>
      </c>
      <c r="K279" s="64">
        <v>6531</v>
      </c>
      <c r="L279" s="205">
        <v>175366</v>
      </c>
      <c r="M279" s="205"/>
      <c r="N279" s="64">
        <v>159903</v>
      </c>
      <c r="O279" s="64">
        <v>10399</v>
      </c>
      <c r="P279" s="64">
        <v>7652</v>
      </c>
      <c r="Q279" s="205">
        <v>177954</v>
      </c>
      <c r="R279" s="205"/>
      <c r="S279" s="64">
        <v>161181</v>
      </c>
      <c r="T279" s="64">
        <v>10205</v>
      </c>
      <c r="U279" s="64">
        <v>7817</v>
      </c>
      <c r="V279" s="205">
        <v>179203</v>
      </c>
      <c r="W279" s="205"/>
      <c r="X279" s="64">
        <v>164111</v>
      </c>
      <c r="Y279" s="64">
        <v>10264</v>
      </c>
      <c r="Z279" s="64">
        <v>8148</v>
      </c>
      <c r="AA279" s="205">
        <f t="shared" si="143"/>
        <v>182523</v>
      </c>
      <c r="AB279" s="205"/>
      <c r="AC279" s="64">
        <v>173652</v>
      </c>
      <c r="AD279" s="64">
        <v>10026</v>
      </c>
      <c r="AE279" s="64">
        <v>8443</v>
      </c>
      <c r="AF279" s="205">
        <f t="shared" si="120"/>
        <v>192121</v>
      </c>
      <c r="AG279" s="205"/>
      <c r="AH279" s="278">
        <v>176108.30121999999</v>
      </c>
      <c r="AI279" s="64">
        <v>13127.8542</v>
      </c>
      <c r="AJ279" s="64">
        <v>12557.92808</v>
      </c>
      <c r="AK279" s="205">
        <f t="shared" si="121"/>
        <v>201794.08350000001</v>
      </c>
      <c r="AL279" s="205"/>
      <c r="AM279" s="64">
        <v>188924.8603</v>
      </c>
      <c r="AN279" s="64">
        <v>14583.09865</v>
      </c>
      <c r="AO279" s="64">
        <v>13678.677619999999</v>
      </c>
      <c r="AP279" s="205">
        <f t="shared" si="122"/>
        <v>217186.63657</v>
      </c>
      <c r="AQ279" s="205"/>
      <c r="AR279" s="64">
        <v>90985.070939999991</v>
      </c>
      <c r="AS279" s="64">
        <v>15378.372789999999</v>
      </c>
      <c r="AT279" s="64">
        <v>9266.8024399999995</v>
      </c>
      <c r="AU279" s="205">
        <f t="shared" si="123"/>
        <v>115630.24616999998</v>
      </c>
      <c r="AV279" s="205"/>
      <c r="AW279" s="64">
        <v>82165.640037081088</v>
      </c>
      <c r="AX279" s="64">
        <v>16456.86198099457</v>
      </c>
      <c r="AY279" s="64">
        <v>7583.689879626475</v>
      </c>
      <c r="AZ279" s="205">
        <f t="shared" si="124"/>
        <v>106206.19189770213</v>
      </c>
      <c r="BA279" s="205"/>
      <c r="BB279" s="64">
        <v>85212.721042216595</v>
      </c>
      <c r="BC279" s="64">
        <v>16808.897503002678</v>
      </c>
      <c r="BD279" s="64">
        <v>7674.694158181992</v>
      </c>
      <c r="BE279" s="205">
        <f t="shared" si="119"/>
        <v>109696.31270340126</v>
      </c>
      <c r="BF279" s="205"/>
      <c r="BG279" s="64">
        <v>88759.03209014122</v>
      </c>
      <c r="BH279" s="64">
        <v>17304.521503339343</v>
      </c>
      <c r="BI279" s="64">
        <v>8047.3783465522083</v>
      </c>
      <c r="BJ279" s="205">
        <f t="shared" si="125"/>
        <v>114110.93194003278</v>
      </c>
      <c r="BK279" s="205"/>
      <c r="BL279" s="64">
        <v>91830.831907162326</v>
      </c>
      <c r="BM279" s="64">
        <v>17854.33749580288</v>
      </c>
      <c r="BN279" s="64">
        <v>8528.4009617742304</v>
      </c>
      <c r="BO279" s="205">
        <f t="shared" si="126"/>
        <v>118213.57036473943</v>
      </c>
      <c r="BQ279" s="64">
        <v>95238.32075704023</v>
      </c>
      <c r="BR279" s="64">
        <v>18416.680451753346</v>
      </c>
      <c r="BS279" s="64">
        <v>8827.4150198852167</v>
      </c>
      <c r="BT279" s="205">
        <f t="shared" si="127"/>
        <v>122482.41622867879</v>
      </c>
      <c r="BU279" s="205"/>
      <c r="BV279" s="5">
        <f t="shared" si="128"/>
        <v>182523</v>
      </c>
      <c r="BW279" s="5">
        <f t="shared" si="129"/>
        <v>192121</v>
      </c>
      <c r="BX279" s="5">
        <f t="shared" si="130"/>
        <v>201794.08350000001</v>
      </c>
      <c r="BY279" s="5">
        <f t="shared" si="131"/>
        <v>217186.63657</v>
      </c>
      <c r="BZ279" s="5">
        <f t="shared" si="132"/>
        <v>115630.24616999998</v>
      </c>
      <c r="CA279" s="5">
        <f t="shared" si="133"/>
        <v>106206.19189770213</v>
      </c>
      <c r="CB279" s="5">
        <f t="shared" si="134"/>
        <v>109696.31270340126</v>
      </c>
      <c r="CC279" s="5">
        <f t="shared" si="135"/>
        <v>114110.93194003278</v>
      </c>
      <c r="CD279" s="5">
        <f t="shared" si="136"/>
        <v>118213.57036473943</v>
      </c>
      <c r="CE279" s="5">
        <f t="shared" si="144"/>
        <v>122482.41622867879</v>
      </c>
      <c r="CH279" s="41">
        <f>BV279/'1. Väestöennuste'!I279*1000</f>
        <v>4728.6976346537476</v>
      </c>
      <c r="CI279" s="41">
        <f>BW279/'1. Väestöennuste'!J279*1000</f>
        <v>4953.7426191888198</v>
      </c>
      <c r="CJ279" s="41">
        <f>BX279/'1. Väestöennuste'!K279*1000</f>
        <v>5080.6708167581455</v>
      </c>
      <c r="CK279" s="41">
        <f>BY279/'1. Väestöennuste'!L279*1000</f>
        <v>5378.0367613411254</v>
      </c>
      <c r="CL279" s="41">
        <f>BZ279/'1. Väestöennuste'!M279*1000</f>
        <v>2797.1901439353619</v>
      </c>
      <c r="CM279" s="41">
        <f>CA279/'1. Väestöennuste'!N279*1000</f>
        <v>2705.6834356024283</v>
      </c>
      <c r="CN279" s="41">
        <f>CB279/'1. Väestöennuste'!O279*1000</f>
        <v>2787.0706243400814</v>
      </c>
      <c r="CO279" s="41">
        <f>CC279/'1. Väestöennuste'!P279*1000</f>
        <v>2891.4463940208484</v>
      </c>
      <c r="CP279" s="41">
        <f>CD279/'1. Väestöennuste'!Q279*1000</f>
        <v>2987.4543938523989</v>
      </c>
      <c r="CQ279" s="41">
        <f>CE279/'1. Väestöennuste'!R279*1000</f>
        <v>3087.8439023011847</v>
      </c>
      <c r="CR279" s="41"/>
      <c r="CU279" s="159">
        <f t="shared" si="137"/>
        <v>225.04498453507222</v>
      </c>
      <c r="CV279" s="159">
        <f t="shared" si="138"/>
        <v>126.92819756932568</v>
      </c>
      <c r="CW279" s="159">
        <f t="shared" si="139"/>
        <v>297.36594458297986</v>
      </c>
      <c r="CX279" s="159">
        <f t="shared" si="140"/>
        <v>-2580.8466174057635</v>
      </c>
      <c r="CY279" s="159">
        <f t="shared" si="141"/>
        <v>-91.506708332933613</v>
      </c>
      <c r="CZ279" s="159">
        <f t="shared" si="142"/>
        <v>81.387188737653105</v>
      </c>
      <c r="DA279" s="159">
        <f t="shared" si="145"/>
        <v>104.37576968076701</v>
      </c>
      <c r="DB279" s="159">
        <f t="shared" si="146"/>
        <v>96.007999831550478</v>
      </c>
      <c r="DC279" s="159">
        <f t="shared" si="146"/>
        <v>100.38950844878582</v>
      </c>
    </row>
    <row r="280" spans="1:107" x14ac:dyDescent="0.2">
      <c r="A280" s="99">
        <v>17</v>
      </c>
      <c r="B280" s="30">
        <v>859</v>
      </c>
      <c r="C280" s="47" t="s">
        <v>594</v>
      </c>
      <c r="D280" s="64">
        <v>16607.250019999999</v>
      </c>
      <c r="E280" s="64">
        <v>866.87270000000001</v>
      </c>
      <c r="F280" s="64">
        <v>583.48576000000003</v>
      </c>
      <c r="G280" s="205">
        <v>18054</v>
      </c>
      <c r="H280" s="205"/>
      <c r="I280" s="64">
        <v>16635</v>
      </c>
      <c r="J280" s="64">
        <v>886</v>
      </c>
      <c r="K280" s="64">
        <v>469</v>
      </c>
      <c r="L280" s="205">
        <v>17988</v>
      </c>
      <c r="M280" s="205"/>
      <c r="N280" s="64">
        <v>16778</v>
      </c>
      <c r="O280" s="64">
        <v>885</v>
      </c>
      <c r="P280" s="64">
        <v>505</v>
      </c>
      <c r="Q280" s="205">
        <v>18168</v>
      </c>
      <c r="R280" s="205"/>
      <c r="S280" s="64">
        <v>16976</v>
      </c>
      <c r="T280" s="64">
        <v>904</v>
      </c>
      <c r="U280" s="64">
        <v>416</v>
      </c>
      <c r="V280" s="205">
        <v>18296</v>
      </c>
      <c r="W280" s="205"/>
      <c r="X280" s="64">
        <v>18387</v>
      </c>
      <c r="Y280" s="64">
        <v>925</v>
      </c>
      <c r="Z280" s="64">
        <v>408</v>
      </c>
      <c r="AA280" s="205">
        <f t="shared" si="143"/>
        <v>19720</v>
      </c>
      <c r="AB280" s="205"/>
      <c r="AC280" s="64">
        <v>18634</v>
      </c>
      <c r="AD280" s="64">
        <v>843</v>
      </c>
      <c r="AE280" s="64">
        <v>422</v>
      </c>
      <c r="AF280" s="205">
        <f t="shared" si="120"/>
        <v>19899</v>
      </c>
      <c r="AG280" s="205"/>
      <c r="AH280" s="278">
        <v>19943.141960000001</v>
      </c>
      <c r="AI280" s="64">
        <v>932.13243</v>
      </c>
      <c r="AJ280" s="64">
        <v>702.70632000000001</v>
      </c>
      <c r="AK280" s="205">
        <f t="shared" si="121"/>
        <v>21577.980710000003</v>
      </c>
      <c r="AL280" s="205"/>
      <c r="AM280" s="64">
        <v>20276.37961</v>
      </c>
      <c r="AN280" s="64">
        <v>986.38247000000001</v>
      </c>
      <c r="AO280" s="64">
        <v>847.03409999999997</v>
      </c>
      <c r="AP280" s="205">
        <f t="shared" si="122"/>
        <v>22109.796180000001</v>
      </c>
      <c r="AQ280" s="205"/>
      <c r="AR280" s="64">
        <v>10497.93</v>
      </c>
      <c r="AS280" s="64">
        <v>1013.79542</v>
      </c>
      <c r="AT280" s="64">
        <v>552.93540000000007</v>
      </c>
      <c r="AU280" s="205">
        <f t="shared" si="123"/>
        <v>12064.660820000001</v>
      </c>
      <c r="AV280" s="205"/>
      <c r="AW280" s="64">
        <v>10851.08525429954</v>
      </c>
      <c r="AX280" s="64">
        <v>1018.7058089754887</v>
      </c>
      <c r="AY280" s="64">
        <v>440.85871555309132</v>
      </c>
      <c r="AZ280" s="205">
        <f t="shared" si="124"/>
        <v>12310.649778828119</v>
      </c>
      <c r="BA280" s="205"/>
      <c r="BB280" s="64">
        <v>11560.491876389548</v>
      </c>
      <c r="BC280" s="64">
        <v>1019.8519169901011</v>
      </c>
      <c r="BD280" s="64">
        <v>446.14902013972841</v>
      </c>
      <c r="BE280" s="205">
        <f t="shared" si="119"/>
        <v>13026.492813519377</v>
      </c>
      <c r="BF280" s="205"/>
      <c r="BG280" s="64">
        <v>12144.74871154585</v>
      </c>
      <c r="BH280" s="64">
        <v>1029.158266063082</v>
      </c>
      <c r="BI280" s="64">
        <v>467.81407701833751</v>
      </c>
      <c r="BJ280" s="205">
        <f t="shared" si="125"/>
        <v>13641.721054627269</v>
      </c>
      <c r="BK280" s="205"/>
      <c r="BL280" s="64">
        <v>12532.539831496608</v>
      </c>
      <c r="BM280" s="64">
        <v>1040.909527626806</v>
      </c>
      <c r="BN280" s="64">
        <v>495.77711554770502</v>
      </c>
      <c r="BO280" s="205">
        <f t="shared" si="126"/>
        <v>14069.226474671119</v>
      </c>
      <c r="BQ280" s="64">
        <v>12966.926168262724</v>
      </c>
      <c r="BR280" s="64">
        <v>1052.5504365757176</v>
      </c>
      <c r="BS280" s="64">
        <v>513.15954490379829</v>
      </c>
      <c r="BT280" s="205">
        <f t="shared" si="127"/>
        <v>14532.636149742239</v>
      </c>
      <c r="BU280" s="205"/>
      <c r="BV280" s="5">
        <f t="shared" si="128"/>
        <v>19720</v>
      </c>
      <c r="BW280" s="5">
        <f t="shared" si="129"/>
        <v>19899</v>
      </c>
      <c r="BX280" s="5">
        <f t="shared" si="130"/>
        <v>21577.980710000003</v>
      </c>
      <c r="BY280" s="5">
        <f t="shared" si="131"/>
        <v>22109.796180000001</v>
      </c>
      <c r="BZ280" s="5">
        <f t="shared" si="132"/>
        <v>12064.660820000001</v>
      </c>
      <c r="CA280" s="5">
        <f t="shared" si="133"/>
        <v>12310.649778828119</v>
      </c>
      <c r="CB280" s="5">
        <f t="shared" si="134"/>
        <v>13026.492813519377</v>
      </c>
      <c r="CC280" s="5">
        <f t="shared" si="135"/>
        <v>13641.721054627269</v>
      </c>
      <c r="CD280" s="5">
        <f t="shared" si="136"/>
        <v>14069.226474671119</v>
      </c>
      <c r="CE280" s="5">
        <f t="shared" si="144"/>
        <v>14532.636149742239</v>
      </c>
      <c r="CH280" s="41">
        <f>BV280/'1. Väestöennuste'!I280*1000</f>
        <v>2971.2219376224198</v>
      </c>
      <c r="CI280" s="41">
        <f>BW280/'1. Väestöennuste'!J280*1000</f>
        <v>3013.6301681054065</v>
      </c>
      <c r="CJ280" s="41">
        <f>BX280/'1. Väestöennuste'!K280*1000</f>
        <v>3272.8622341877754</v>
      </c>
      <c r="CK280" s="41">
        <f>BY280/'1. Väestöennuste'!L280*1000</f>
        <v>3369.368512648583</v>
      </c>
      <c r="CL280" s="41">
        <f>BZ280/'1. Väestöennuste'!M280*1000</f>
        <v>1848.9901639846744</v>
      </c>
      <c r="CM280" s="41">
        <f>CA280/'1. Väestöennuste'!N280*1000</f>
        <v>1901.8460959104154</v>
      </c>
      <c r="CN280" s="41">
        <f>CB280/'1. Väestöennuste'!O280*1000</f>
        <v>2025.893128074553</v>
      </c>
      <c r="CO280" s="41">
        <f>CC280/'1. Väestöennuste'!P280*1000</f>
        <v>2137.1958412388017</v>
      </c>
      <c r="CP280" s="41">
        <f>CD280/'1. Väestöennuste'!Q280*1000</f>
        <v>2220.1714493721192</v>
      </c>
      <c r="CQ280" s="41">
        <f>CE280/'1. Väestöennuste'!R280*1000</f>
        <v>2311.1698711422137</v>
      </c>
      <c r="CR280" s="41"/>
      <c r="CU280" s="159">
        <f t="shared" si="137"/>
        <v>42.40823048298671</v>
      </c>
      <c r="CV280" s="159">
        <f t="shared" si="138"/>
        <v>259.23206608236887</v>
      </c>
      <c r="CW280" s="159">
        <f t="shared" si="139"/>
        <v>96.506278460807607</v>
      </c>
      <c r="CX280" s="159">
        <f t="shared" si="140"/>
        <v>-1520.3783486639086</v>
      </c>
      <c r="CY280" s="159">
        <f t="shared" si="141"/>
        <v>52.855931925741061</v>
      </c>
      <c r="CZ280" s="159">
        <f t="shared" si="142"/>
        <v>124.04703216413759</v>
      </c>
      <c r="DA280" s="159">
        <f t="shared" si="145"/>
        <v>111.30271316424864</v>
      </c>
      <c r="DB280" s="159">
        <f t="shared" si="146"/>
        <v>82.975608133317564</v>
      </c>
      <c r="DC280" s="159">
        <f t="shared" si="146"/>
        <v>90.99842177009441</v>
      </c>
    </row>
    <row r="281" spans="1:107" x14ac:dyDescent="0.2">
      <c r="A281" s="99">
        <v>4</v>
      </c>
      <c r="B281" s="30">
        <v>886</v>
      </c>
      <c r="C281" s="47" t="s">
        <v>595</v>
      </c>
      <c r="D281" s="64">
        <v>44241.854420000003</v>
      </c>
      <c r="E281" s="64">
        <v>2430.8469700000001</v>
      </c>
      <c r="F281" s="64">
        <v>1591.5313500000002</v>
      </c>
      <c r="G281" s="205">
        <v>48251</v>
      </c>
      <c r="H281" s="205"/>
      <c r="I281" s="64">
        <v>44476</v>
      </c>
      <c r="J281" s="64">
        <v>2485</v>
      </c>
      <c r="K281" s="64">
        <v>1416</v>
      </c>
      <c r="L281" s="205">
        <v>48377</v>
      </c>
      <c r="M281" s="205"/>
      <c r="N281" s="64">
        <v>44115</v>
      </c>
      <c r="O281" s="64">
        <v>2595</v>
      </c>
      <c r="P281" s="64">
        <v>1823</v>
      </c>
      <c r="Q281" s="205">
        <v>48533</v>
      </c>
      <c r="R281" s="205"/>
      <c r="S281" s="64">
        <v>44406</v>
      </c>
      <c r="T281" s="64">
        <v>2563</v>
      </c>
      <c r="U281" s="64">
        <v>2234</v>
      </c>
      <c r="V281" s="205">
        <v>49203</v>
      </c>
      <c r="W281" s="205"/>
      <c r="X281" s="64">
        <v>44741</v>
      </c>
      <c r="Y281" s="64">
        <v>2478</v>
      </c>
      <c r="Z281" s="64">
        <v>2488</v>
      </c>
      <c r="AA281" s="205">
        <f t="shared" si="143"/>
        <v>49707</v>
      </c>
      <c r="AB281" s="205"/>
      <c r="AC281" s="64">
        <v>47045</v>
      </c>
      <c r="AD281" s="64">
        <v>2390</v>
      </c>
      <c r="AE281" s="64">
        <v>2211</v>
      </c>
      <c r="AF281" s="205">
        <f t="shared" si="120"/>
        <v>51646</v>
      </c>
      <c r="AG281" s="205"/>
      <c r="AH281" s="278">
        <v>47700.511549999996</v>
      </c>
      <c r="AI281" s="64">
        <v>2859.90933</v>
      </c>
      <c r="AJ281" s="64">
        <v>3161.2253100000003</v>
      </c>
      <c r="AK281" s="205">
        <f t="shared" si="121"/>
        <v>53721.646189999999</v>
      </c>
      <c r="AL281" s="205"/>
      <c r="AM281" s="64">
        <v>49579.584659999993</v>
      </c>
      <c r="AN281" s="64">
        <v>3037.1056899999999</v>
      </c>
      <c r="AO281" s="64">
        <v>3709.4176200000002</v>
      </c>
      <c r="AP281" s="205">
        <f t="shared" si="122"/>
        <v>56326.10796999999</v>
      </c>
      <c r="AQ281" s="205"/>
      <c r="AR281" s="64">
        <v>25801.10195</v>
      </c>
      <c r="AS281" s="64">
        <v>2895.8184500000002</v>
      </c>
      <c r="AT281" s="64">
        <v>2557.5847000000003</v>
      </c>
      <c r="AU281" s="205">
        <f t="shared" si="123"/>
        <v>31254.505099999998</v>
      </c>
      <c r="AV281" s="205"/>
      <c r="AW281" s="64">
        <v>23971.697785689179</v>
      </c>
      <c r="AX281" s="64">
        <v>3038.5474984517582</v>
      </c>
      <c r="AY281" s="64">
        <v>1740.8242542196606</v>
      </c>
      <c r="AZ281" s="205">
        <f t="shared" si="124"/>
        <v>28751.069538360596</v>
      </c>
      <c r="BA281" s="205"/>
      <c r="BB281" s="64">
        <v>25053.797212786962</v>
      </c>
      <c r="BC281" s="64">
        <v>3030.7091338462724</v>
      </c>
      <c r="BD281" s="64">
        <v>1761.7141452702963</v>
      </c>
      <c r="BE281" s="205">
        <f t="shared" si="119"/>
        <v>29846.220491903532</v>
      </c>
      <c r="BF281" s="205"/>
      <c r="BG281" s="64">
        <v>25928.35526596769</v>
      </c>
      <c r="BH281" s="64">
        <v>3046.0010221310572</v>
      </c>
      <c r="BI281" s="64">
        <v>1847.263222906234</v>
      </c>
      <c r="BJ281" s="205">
        <f t="shared" si="125"/>
        <v>30821.619511004981</v>
      </c>
      <c r="BK281" s="205"/>
      <c r="BL281" s="64">
        <v>26584.95481109056</v>
      </c>
      <c r="BM281" s="64">
        <v>3067.3226712758774</v>
      </c>
      <c r="BN281" s="64">
        <v>1957.6812184595954</v>
      </c>
      <c r="BO281" s="205">
        <f t="shared" si="126"/>
        <v>31609.958700826031</v>
      </c>
      <c r="BQ281" s="64">
        <v>27335.460721832569</v>
      </c>
      <c r="BR281" s="64">
        <v>3087.114647403369</v>
      </c>
      <c r="BS281" s="64">
        <v>2026.3194319116849</v>
      </c>
      <c r="BT281" s="205">
        <f t="shared" si="127"/>
        <v>32448.894801147624</v>
      </c>
      <c r="BU281" s="205"/>
      <c r="BV281" s="5">
        <f t="shared" si="128"/>
        <v>49707</v>
      </c>
      <c r="BW281" s="5">
        <f t="shared" si="129"/>
        <v>51646</v>
      </c>
      <c r="BX281" s="5">
        <f t="shared" si="130"/>
        <v>53721.646189999999</v>
      </c>
      <c r="BY281" s="5">
        <f t="shared" si="131"/>
        <v>56326.10796999999</v>
      </c>
      <c r="BZ281" s="5">
        <f t="shared" si="132"/>
        <v>31254.505099999998</v>
      </c>
      <c r="CA281" s="5">
        <f t="shared" si="133"/>
        <v>28751.069538360596</v>
      </c>
      <c r="CB281" s="5">
        <f t="shared" si="134"/>
        <v>29846.220491903532</v>
      </c>
      <c r="CC281" s="5">
        <f t="shared" si="135"/>
        <v>30821.619511004981</v>
      </c>
      <c r="CD281" s="5">
        <f t="shared" si="136"/>
        <v>31609.958700826031</v>
      </c>
      <c r="CE281" s="5">
        <f t="shared" si="144"/>
        <v>32448.894801147624</v>
      </c>
      <c r="CH281" s="41">
        <f>BV281/'1. Väestöennuste'!I281*1000</f>
        <v>3861.9376893792246</v>
      </c>
      <c r="CI281" s="41">
        <f>BW281/'1. Väestöennuste'!J281*1000</f>
        <v>4055.4377699254019</v>
      </c>
      <c r="CJ281" s="41">
        <f>BX281/'1. Väestöennuste'!K281*1000</f>
        <v>4240.4014673612755</v>
      </c>
      <c r="CK281" s="41">
        <f>BY281/'1. Väestöennuste'!L281*1000</f>
        <v>4470.6808453051817</v>
      </c>
      <c r="CL281" s="41">
        <f>BZ281/'1. Väestöennuste'!M281*1000</f>
        <v>2493.7768371499242</v>
      </c>
      <c r="CM281" s="41">
        <f>CA281/'1. Väestöennuste'!N281*1000</f>
        <v>2340.5299200879676</v>
      </c>
      <c r="CN281" s="41">
        <f>CB281/'1. Väestöennuste'!O281*1000</f>
        <v>2453.0468062713517</v>
      </c>
      <c r="CO281" s="41">
        <f>CC281/'1. Väestöennuste'!P281*1000</f>
        <v>2558.2353511790325</v>
      </c>
      <c r="CP281" s="41">
        <f>CD281/'1. Väestöennuste'!Q281*1000</f>
        <v>2650.2857970005898</v>
      </c>
      <c r="CQ281" s="41">
        <f>CE281/'1. Väestöennuste'!R281*1000</f>
        <v>2749.6733159179412</v>
      </c>
      <c r="CR281" s="41"/>
      <c r="CU281" s="159">
        <f t="shared" si="137"/>
        <v>193.50008054617729</v>
      </c>
      <c r="CV281" s="159">
        <f t="shared" si="138"/>
        <v>184.96369743587366</v>
      </c>
      <c r="CW281" s="159">
        <f t="shared" si="139"/>
        <v>230.27937794390618</v>
      </c>
      <c r="CX281" s="159">
        <f t="shared" si="140"/>
        <v>-1976.9040081552575</v>
      </c>
      <c r="CY281" s="159">
        <f t="shared" si="141"/>
        <v>-153.24691706195654</v>
      </c>
      <c r="CZ281" s="159">
        <f t="shared" si="142"/>
        <v>112.51688618338403</v>
      </c>
      <c r="DA281" s="159">
        <f t="shared" si="145"/>
        <v>105.18854490768081</v>
      </c>
      <c r="DB281" s="159">
        <f t="shared" si="146"/>
        <v>92.050445821557332</v>
      </c>
      <c r="DC281" s="159">
        <f t="shared" si="146"/>
        <v>99.387518917351372</v>
      </c>
    </row>
    <row r="282" spans="1:107" x14ac:dyDescent="0.2">
      <c r="A282" s="99">
        <v>6</v>
      </c>
      <c r="B282" s="30">
        <v>887</v>
      </c>
      <c r="C282" s="47" t="s">
        <v>596</v>
      </c>
      <c r="D282" s="64">
        <v>14163.875679999999</v>
      </c>
      <c r="E282" s="64">
        <v>1629.7129600000001</v>
      </c>
      <c r="F282" s="64">
        <v>998.12939000000006</v>
      </c>
      <c r="G282" s="205">
        <v>16792</v>
      </c>
      <c r="H282" s="205"/>
      <c r="I282" s="64">
        <v>13507</v>
      </c>
      <c r="J282" s="64">
        <v>1556</v>
      </c>
      <c r="K282" s="64">
        <v>893</v>
      </c>
      <c r="L282" s="205">
        <v>15956</v>
      </c>
      <c r="M282" s="205"/>
      <c r="N282" s="64">
        <v>13132</v>
      </c>
      <c r="O282" s="64">
        <v>1475</v>
      </c>
      <c r="P282" s="64">
        <v>923</v>
      </c>
      <c r="Q282" s="205">
        <v>15530</v>
      </c>
      <c r="R282" s="205"/>
      <c r="S282" s="64">
        <v>13357</v>
      </c>
      <c r="T282" s="64">
        <v>1605</v>
      </c>
      <c r="U282" s="64">
        <v>815</v>
      </c>
      <c r="V282" s="205">
        <v>15777</v>
      </c>
      <c r="W282" s="205"/>
      <c r="X282" s="64">
        <v>12981</v>
      </c>
      <c r="Y282" s="64">
        <v>1637</v>
      </c>
      <c r="Z282" s="64">
        <v>899</v>
      </c>
      <c r="AA282" s="205">
        <f t="shared" si="143"/>
        <v>15517</v>
      </c>
      <c r="AB282" s="205"/>
      <c r="AC282" s="64">
        <v>13571</v>
      </c>
      <c r="AD282" s="64">
        <v>1471</v>
      </c>
      <c r="AE282" s="64">
        <v>1025</v>
      </c>
      <c r="AF282" s="205">
        <f t="shared" si="120"/>
        <v>16067</v>
      </c>
      <c r="AG282" s="205"/>
      <c r="AH282" s="278">
        <v>13976.25635</v>
      </c>
      <c r="AI282" s="64">
        <v>1644.53971</v>
      </c>
      <c r="AJ282" s="64">
        <v>1386.92293</v>
      </c>
      <c r="AK282" s="205">
        <f t="shared" si="121"/>
        <v>17007.718990000001</v>
      </c>
      <c r="AL282" s="205"/>
      <c r="AM282" s="64">
        <v>14454.303089999999</v>
      </c>
      <c r="AN282" s="64">
        <v>1763.80142</v>
      </c>
      <c r="AO282" s="64">
        <v>1351.54395</v>
      </c>
      <c r="AP282" s="205">
        <f t="shared" si="122"/>
        <v>17569.64846</v>
      </c>
      <c r="AQ282" s="205"/>
      <c r="AR282" s="64">
        <v>6971.0689199999997</v>
      </c>
      <c r="AS282" s="64">
        <v>1773.8061399999999</v>
      </c>
      <c r="AT282" s="64">
        <v>840.54543999999999</v>
      </c>
      <c r="AU282" s="205">
        <f t="shared" si="123"/>
        <v>9585.4205000000002</v>
      </c>
      <c r="AV282" s="205"/>
      <c r="AW282" s="64">
        <v>7814.8459105125075</v>
      </c>
      <c r="AX282" s="64">
        <v>1863.4524530691131</v>
      </c>
      <c r="AY282" s="64">
        <v>721.62813319140071</v>
      </c>
      <c r="AZ282" s="205">
        <f t="shared" si="124"/>
        <v>10399.926496773021</v>
      </c>
      <c r="BA282" s="205"/>
      <c r="BB282" s="64">
        <v>8198.0432864721079</v>
      </c>
      <c r="BC282" s="64">
        <v>1881.3376618260884</v>
      </c>
      <c r="BD282" s="64">
        <v>730.28767078969747</v>
      </c>
      <c r="BE282" s="205">
        <f t="shared" si="119"/>
        <v>10809.668619087894</v>
      </c>
      <c r="BF282" s="205"/>
      <c r="BG282" s="64">
        <v>8497.6863728313911</v>
      </c>
      <c r="BH282" s="64">
        <v>1913.8449930627175</v>
      </c>
      <c r="BI282" s="64">
        <v>765.7505390493892</v>
      </c>
      <c r="BJ282" s="205">
        <f t="shared" si="125"/>
        <v>11177.281904943498</v>
      </c>
      <c r="BK282" s="205"/>
      <c r="BL282" s="64">
        <v>8758.3127750934818</v>
      </c>
      <c r="BM282" s="64">
        <v>1950.627842829306</v>
      </c>
      <c r="BN282" s="64">
        <v>811.52238064038659</v>
      </c>
      <c r="BO282" s="205">
        <f t="shared" si="126"/>
        <v>11520.462998563175</v>
      </c>
      <c r="BQ282" s="64">
        <v>9069.4397125173618</v>
      </c>
      <c r="BR282" s="64">
        <v>1986.9638210140226</v>
      </c>
      <c r="BS282" s="64">
        <v>839.97514703479044</v>
      </c>
      <c r="BT282" s="205">
        <f t="shared" si="127"/>
        <v>11896.378680566175</v>
      </c>
      <c r="BU282" s="205"/>
      <c r="BV282" s="5">
        <f t="shared" si="128"/>
        <v>15517</v>
      </c>
      <c r="BW282" s="5">
        <f t="shared" si="129"/>
        <v>16067</v>
      </c>
      <c r="BX282" s="5">
        <f t="shared" si="130"/>
        <v>17007.718990000001</v>
      </c>
      <c r="BY282" s="5">
        <f t="shared" si="131"/>
        <v>17569.64846</v>
      </c>
      <c r="BZ282" s="5">
        <f t="shared" si="132"/>
        <v>9585.4205000000002</v>
      </c>
      <c r="CA282" s="5">
        <f t="shared" si="133"/>
        <v>10399.926496773021</v>
      </c>
      <c r="CB282" s="5">
        <f t="shared" si="134"/>
        <v>10809.668619087894</v>
      </c>
      <c r="CC282" s="5">
        <f t="shared" si="135"/>
        <v>11177.281904943498</v>
      </c>
      <c r="CD282" s="5">
        <f t="shared" si="136"/>
        <v>11520.462998563175</v>
      </c>
      <c r="CE282" s="5">
        <f t="shared" si="144"/>
        <v>11896.378680566175</v>
      </c>
      <c r="CH282" s="41">
        <f>BV282/'1. Väestöennuste'!I282*1000</f>
        <v>3309.9402730375423</v>
      </c>
      <c r="CI282" s="41">
        <f>BW282/'1. Väestöennuste'!J282*1000</f>
        <v>3459.7329888027562</v>
      </c>
      <c r="CJ282" s="41">
        <f>BX282/'1. Väestöennuste'!K282*1000</f>
        <v>3642.6898672092525</v>
      </c>
      <c r="CK282" s="41">
        <f>BY282/'1. Väestöennuste'!L282*1000</f>
        <v>3845.4034712190851</v>
      </c>
      <c r="CL282" s="41">
        <f>BZ282/'1. Väestöennuste'!M282*1000</f>
        <v>2098.3845227670754</v>
      </c>
      <c r="CM282" s="41">
        <f>CA282/'1. Väestöennuste'!N282*1000</f>
        <v>2343.3813647528214</v>
      </c>
      <c r="CN282" s="41">
        <f>CB282/'1. Väestöennuste'!O282*1000</f>
        <v>2462.3390931863087</v>
      </c>
      <c r="CO282" s="41">
        <f>CC282/'1. Väestöennuste'!P282*1000</f>
        <v>2571.8550172442469</v>
      </c>
      <c r="CP282" s="41">
        <f>CD282/'1. Väestöennuste'!Q282*1000</f>
        <v>2675.4442634842489</v>
      </c>
      <c r="CQ282" s="41">
        <f>CE282/'1. Väestöennuste'!R282*1000</f>
        <v>2788.6494797389064</v>
      </c>
      <c r="CR282" s="41"/>
      <c r="CU282" s="159">
        <f t="shared" si="137"/>
        <v>149.79271576521387</v>
      </c>
      <c r="CV282" s="159">
        <f t="shared" si="138"/>
        <v>182.95687840649634</v>
      </c>
      <c r="CW282" s="159">
        <f t="shared" si="139"/>
        <v>202.71360400983258</v>
      </c>
      <c r="CX282" s="159">
        <f t="shared" si="140"/>
        <v>-1747.0189484520097</v>
      </c>
      <c r="CY282" s="159">
        <f t="shared" si="141"/>
        <v>244.99684198574596</v>
      </c>
      <c r="CZ282" s="159">
        <f t="shared" si="142"/>
        <v>118.95772843348732</v>
      </c>
      <c r="DA282" s="159">
        <f t="shared" si="145"/>
        <v>109.51592405793826</v>
      </c>
      <c r="DB282" s="159">
        <f t="shared" si="146"/>
        <v>103.58924624000201</v>
      </c>
      <c r="DC282" s="159">
        <f t="shared" si="146"/>
        <v>113.20521625465744</v>
      </c>
    </row>
    <row r="283" spans="1:107" x14ac:dyDescent="0.2">
      <c r="A283" s="99">
        <v>17</v>
      </c>
      <c r="B283" s="30">
        <v>889</v>
      </c>
      <c r="C283" s="47" t="s">
        <v>597</v>
      </c>
      <c r="D283" s="64">
        <v>6823.85394</v>
      </c>
      <c r="E283" s="64">
        <v>2519.9938399999996</v>
      </c>
      <c r="F283" s="64">
        <v>901.06631000000004</v>
      </c>
      <c r="G283" s="205">
        <v>10241</v>
      </c>
      <c r="H283" s="205"/>
      <c r="I283" s="64">
        <v>6745</v>
      </c>
      <c r="J283" s="64">
        <v>2685</v>
      </c>
      <c r="K283" s="64">
        <v>877</v>
      </c>
      <c r="L283" s="205">
        <v>10307</v>
      </c>
      <c r="M283" s="205"/>
      <c r="N283" s="64">
        <v>6762</v>
      </c>
      <c r="O283" s="64">
        <v>2625</v>
      </c>
      <c r="P283" s="64">
        <v>1011</v>
      </c>
      <c r="Q283" s="205">
        <v>10398</v>
      </c>
      <c r="R283" s="205"/>
      <c r="S283" s="64">
        <v>6335</v>
      </c>
      <c r="T283" s="64">
        <v>2683</v>
      </c>
      <c r="U283" s="64">
        <v>856</v>
      </c>
      <c r="V283" s="205">
        <v>9874</v>
      </c>
      <c r="W283" s="205"/>
      <c r="X283" s="64">
        <v>6577</v>
      </c>
      <c r="Y283" s="64">
        <v>2809</v>
      </c>
      <c r="Z283" s="64">
        <v>883</v>
      </c>
      <c r="AA283" s="205">
        <f t="shared" si="143"/>
        <v>10269</v>
      </c>
      <c r="AB283" s="205"/>
      <c r="AC283" s="64">
        <v>6544</v>
      </c>
      <c r="AD283" s="64">
        <v>2531</v>
      </c>
      <c r="AE283" s="64">
        <v>977</v>
      </c>
      <c r="AF283" s="205">
        <f t="shared" si="120"/>
        <v>10052</v>
      </c>
      <c r="AG283" s="205"/>
      <c r="AH283" s="278">
        <v>6976.0927699999993</v>
      </c>
      <c r="AI283" s="64">
        <v>2798.3923100000002</v>
      </c>
      <c r="AJ283" s="64">
        <v>1373.3561000000002</v>
      </c>
      <c r="AK283" s="205">
        <f t="shared" si="121"/>
        <v>11147.841179999999</v>
      </c>
      <c r="AL283" s="205"/>
      <c r="AM283" s="64">
        <v>7322.6714599999996</v>
      </c>
      <c r="AN283" s="64">
        <v>3048.16165</v>
      </c>
      <c r="AO283" s="64">
        <v>1317.7551599999999</v>
      </c>
      <c r="AP283" s="205">
        <f t="shared" si="122"/>
        <v>11688.58827</v>
      </c>
      <c r="AQ283" s="205"/>
      <c r="AR283" s="64">
        <v>3157.8669599999998</v>
      </c>
      <c r="AS283" s="64">
        <v>3184.38625</v>
      </c>
      <c r="AT283" s="64">
        <v>828.15025000000003</v>
      </c>
      <c r="AU283" s="205">
        <f t="shared" si="123"/>
        <v>7170.4034599999995</v>
      </c>
      <c r="AV283" s="205"/>
      <c r="AW283" s="64">
        <v>3315.6769433129634</v>
      </c>
      <c r="AX283" s="64">
        <v>3166.7372328469305</v>
      </c>
      <c r="AY283" s="64">
        <v>623.25609994430738</v>
      </c>
      <c r="AZ283" s="205">
        <f t="shared" si="124"/>
        <v>7105.6702761042015</v>
      </c>
      <c r="BA283" s="205"/>
      <c r="BB283" s="64">
        <v>3439.5410302300861</v>
      </c>
      <c r="BC283" s="64">
        <v>3186.6575614252865</v>
      </c>
      <c r="BD283" s="64">
        <v>630.73517314363903</v>
      </c>
      <c r="BE283" s="205">
        <f t="shared" si="119"/>
        <v>7256.9337647990124</v>
      </c>
      <c r="BF283" s="205"/>
      <c r="BG283" s="64">
        <v>3531.2156121891562</v>
      </c>
      <c r="BH283" s="64">
        <v>3231.3184608406332</v>
      </c>
      <c r="BI283" s="64">
        <v>661.36375862661646</v>
      </c>
      <c r="BJ283" s="205">
        <f t="shared" si="125"/>
        <v>7423.8978316564062</v>
      </c>
      <c r="BK283" s="205"/>
      <c r="BL283" s="64">
        <v>3599.2201779277084</v>
      </c>
      <c r="BM283" s="64">
        <v>3283.0844080977299</v>
      </c>
      <c r="BN283" s="64">
        <v>700.89600268022684</v>
      </c>
      <c r="BO283" s="205">
        <f t="shared" si="126"/>
        <v>7583.2005887056657</v>
      </c>
      <c r="BQ283" s="64">
        <v>3685.7256659162877</v>
      </c>
      <c r="BR283" s="64">
        <v>3333.982843608741</v>
      </c>
      <c r="BS283" s="64">
        <v>725.47010033517381</v>
      </c>
      <c r="BT283" s="205">
        <f t="shared" si="127"/>
        <v>7745.1786098602024</v>
      </c>
      <c r="BU283" s="205"/>
      <c r="BV283" s="5">
        <f t="shared" si="128"/>
        <v>10269</v>
      </c>
      <c r="BW283" s="5">
        <f t="shared" si="129"/>
        <v>10052</v>
      </c>
      <c r="BX283" s="5">
        <f t="shared" si="130"/>
        <v>11147.841179999999</v>
      </c>
      <c r="BY283" s="5">
        <f t="shared" si="131"/>
        <v>11688.58827</v>
      </c>
      <c r="BZ283" s="5">
        <f t="shared" si="132"/>
        <v>7170.4034599999995</v>
      </c>
      <c r="CA283" s="5">
        <f t="shared" si="133"/>
        <v>7105.6702761042015</v>
      </c>
      <c r="CB283" s="5">
        <f t="shared" si="134"/>
        <v>7256.9337647990124</v>
      </c>
      <c r="CC283" s="5">
        <f t="shared" si="135"/>
        <v>7423.8978316564062</v>
      </c>
      <c r="CD283" s="5">
        <f t="shared" si="136"/>
        <v>7583.2005887056657</v>
      </c>
      <c r="CE283" s="5">
        <f t="shared" si="144"/>
        <v>7745.1786098602024</v>
      </c>
      <c r="CH283" s="41">
        <f>BV283/'1. Väestöennuste'!I283*1000</f>
        <v>3837.4439461883408</v>
      </c>
      <c r="CI283" s="41">
        <f>BW283/'1. Väestöennuste'!J283*1000</f>
        <v>3838.1061473844979</v>
      </c>
      <c r="CJ283" s="41">
        <f>BX283/'1. Väestöennuste'!K283*1000</f>
        <v>4341.05964953271</v>
      </c>
      <c r="CK283" s="41">
        <f>BY283/'1. Väestöennuste'!L283*1000</f>
        <v>4632.8134244946496</v>
      </c>
      <c r="CL283" s="41">
        <f>BZ283/'1. Väestöennuste'!M283*1000</f>
        <v>2878.5240706543555</v>
      </c>
      <c r="CM283" s="41">
        <f>CA283/'1. Väestöennuste'!N283*1000</f>
        <v>2920.5385434049326</v>
      </c>
      <c r="CN283" s="41">
        <f>CB283/'1. Väestöennuste'!O283*1000</f>
        <v>3027.5067854814401</v>
      </c>
      <c r="CO283" s="41">
        <f>CC283/'1. Väestöennuste'!P283*1000</f>
        <v>3141.725701081848</v>
      </c>
      <c r="CP283" s="41">
        <f>CD283/'1. Väestöennuste'!Q283*1000</f>
        <v>3251.8012816062032</v>
      </c>
      <c r="CQ283" s="41">
        <f>CE283/'1. Väestöennuste'!R283*1000</f>
        <v>3361.6226605296019</v>
      </c>
      <c r="CR283" s="41"/>
      <c r="CU283" s="159">
        <f t="shared" si="137"/>
        <v>0.66220119615718431</v>
      </c>
      <c r="CV283" s="159">
        <f t="shared" si="138"/>
        <v>502.95350214821201</v>
      </c>
      <c r="CW283" s="159">
        <f t="shared" si="139"/>
        <v>291.7537749619396</v>
      </c>
      <c r="CX283" s="159">
        <f t="shared" si="140"/>
        <v>-1754.2893538402941</v>
      </c>
      <c r="CY283" s="159">
        <f t="shared" si="141"/>
        <v>42.01447275057717</v>
      </c>
      <c r="CZ283" s="159">
        <f t="shared" si="142"/>
        <v>106.96824207650752</v>
      </c>
      <c r="DA283" s="159">
        <f t="shared" si="145"/>
        <v>114.21891560040785</v>
      </c>
      <c r="DB283" s="159">
        <f t="shared" si="146"/>
        <v>110.07558052435525</v>
      </c>
      <c r="DC283" s="159">
        <f t="shared" si="146"/>
        <v>109.8213789233987</v>
      </c>
    </row>
    <row r="284" spans="1:107" x14ac:dyDescent="0.2">
      <c r="A284" s="99">
        <v>19</v>
      </c>
      <c r="B284" s="30">
        <v>890</v>
      </c>
      <c r="C284" s="47" t="s">
        <v>598</v>
      </c>
      <c r="D284" s="64">
        <v>3571.2665299999999</v>
      </c>
      <c r="E284" s="64">
        <v>546.60633999999993</v>
      </c>
      <c r="F284" s="64">
        <v>134.24897000000001</v>
      </c>
      <c r="G284" s="205">
        <v>4252</v>
      </c>
      <c r="H284" s="205"/>
      <c r="I284" s="64">
        <v>3713</v>
      </c>
      <c r="J284" s="64">
        <v>616</v>
      </c>
      <c r="K284" s="64">
        <v>130</v>
      </c>
      <c r="L284" s="205">
        <v>4459</v>
      </c>
      <c r="M284" s="205"/>
      <c r="N284" s="64">
        <v>3843</v>
      </c>
      <c r="O284" s="64">
        <v>633</v>
      </c>
      <c r="P284" s="64">
        <v>160</v>
      </c>
      <c r="Q284" s="205">
        <v>4636</v>
      </c>
      <c r="R284" s="205"/>
      <c r="S284" s="64">
        <v>3780</v>
      </c>
      <c r="T284" s="64">
        <v>621</v>
      </c>
      <c r="U284" s="64">
        <v>149</v>
      </c>
      <c r="V284" s="205">
        <v>4550</v>
      </c>
      <c r="W284" s="205"/>
      <c r="X284" s="64">
        <v>3705</v>
      </c>
      <c r="Y284" s="64">
        <v>646</v>
      </c>
      <c r="Z284" s="64">
        <v>163</v>
      </c>
      <c r="AA284" s="205">
        <f t="shared" si="143"/>
        <v>4514</v>
      </c>
      <c r="AB284" s="205"/>
      <c r="AC284" s="64">
        <v>3999</v>
      </c>
      <c r="AD284" s="64">
        <v>595</v>
      </c>
      <c r="AE284" s="64">
        <v>154</v>
      </c>
      <c r="AF284" s="205">
        <f t="shared" si="120"/>
        <v>4748</v>
      </c>
      <c r="AG284" s="205"/>
      <c r="AH284" s="278">
        <v>3928.6487400000001</v>
      </c>
      <c r="AI284" s="64">
        <v>645.33015</v>
      </c>
      <c r="AJ284" s="64">
        <v>177.67150000000001</v>
      </c>
      <c r="AK284" s="205">
        <f t="shared" si="121"/>
        <v>4751.6503900000007</v>
      </c>
      <c r="AL284" s="205"/>
      <c r="AM284" s="64">
        <v>4159.6291700000002</v>
      </c>
      <c r="AN284" s="64">
        <v>659.32127000000003</v>
      </c>
      <c r="AO284" s="64">
        <v>182.09866</v>
      </c>
      <c r="AP284" s="205">
        <f t="shared" si="122"/>
        <v>5001.0491000000002</v>
      </c>
      <c r="AQ284" s="205"/>
      <c r="AR284" s="64">
        <v>2060.7739999999999</v>
      </c>
      <c r="AS284" s="64">
        <v>772.57511999999997</v>
      </c>
      <c r="AT284" s="64">
        <v>120.58344</v>
      </c>
      <c r="AU284" s="205">
        <f t="shared" si="123"/>
        <v>2953.9325599999997</v>
      </c>
      <c r="AV284" s="205"/>
      <c r="AW284" s="64">
        <v>1891.0274252352626</v>
      </c>
      <c r="AX284" s="64">
        <v>794.49051261064335</v>
      </c>
      <c r="AY284" s="64">
        <v>94.947493168182575</v>
      </c>
      <c r="AZ284" s="205">
        <f t="shared" si="124"/>
        <v>2780.4654310140886</v>
      </c>
      <c r="BA284" s="205"/>
      <c r="BB284" s="64">
        <v>2048.709020134183</v>
      </c>
      <c r="BC284" s="64">
        <v>803.76912215247069</v>
      </c>
      <c r="BD284" s="64">
        <v>96.086863086200751</v>
      </c>
      <c r="BE284" s="205">
        <f t="shared" si="119"/>
        <v>2948.5650053728541</v>
      </c>
      <c r="BF284" s="205"/>
      <c r="BG284" s="64">
        <v>2145.2590500593028</v>
      </c>
      <c r="BH284" s="64">
        <v>819.34708143633975</v>
      </c>
      <c r="BI284" s="64">
        <v>100.75285417903716</v>
      </c>
      <c r="BJ284" s="205">
        <f t="shared" si="125"/>
        <v>3065.3589856746794</v>
      </c>
      <c r="BK284" s="205"/>
      <c r="BL284" s="64">
        <v>2227.1283284707138</v>
      </c>
      <c r="BM284" s="64">
        <v>836.82444590296222</v>
      </c>
      <c r="BN284" s="64">
        <v>106.77523803141904</v>
      </c>
      <c r="BO284" s="205">
        <f t="shared" si="126"/>
        <v>3170.7280124050953</v>
      </c>
      <c r="BQ284" s="64">
        <v>2319.6008204405962</v>
      </c>
      <c r="BR284" s="64">
        <v>854.18254895107805</v>
      </c>
      <c r="BS284" s="64">
        <v>110.51888204776451</v>
      </c>
      <c r="BT284" s="205">
        <f t="shared" si="127"/>
        <v>3284.3022514394388</v>
      </c>
      <c r="BU284" s="205"/>
      <c r="BV284" s="5">
        <f t="shared" si="128"/>
        <v>4514</v>
      </c>
      <c r="BW284" s="5">
        <f t="shared" si="129"/>
        <v>4748</v>
      </c>
      <c r="BX284" s="5">
        <f t="shared" si="130"/>
        <v>4751.6503900000007</v>
      </c>
      <c r="BY284" s="5">
        <f t="shared" si="131"/>
        <v>5001.0491000000002</v>
      </c>
      <c r="BZ284" s="5">
        <f t="shared" si="132"/>
        <v>2953.9325599999997</v>
      </c>
      <c r="CA284" s="5">
        <f t="shared" si="133"/>
        <v>2780.4654310140886</v>
      </c>
      <c r="CB284" s="5">
        <f t="shared" si="134"/>
        <v>2948.5650053728541</v>
      </c>
      <c r="CC284" s="5">
        <f t="shared" si="135"/>
        <v>3065.3589856746794</v>
      </c>
      <c r="CD284" s="5">
        <f t="shared" si="136"/>
        <v>3170.7280124050953</v>
      </c>
      <c r="CE284" s="5">
        <f t="shared" si="144"/>
        <v>3284.3022514394388</v>
      </c>
      <c r="CH284" s="41">
        <f>BV284/'1. Väestöennuste'!I284*1000</f>
        <v>3724.4224422442244</v>
      </c>
      <c r="CI284" s="41">
        <f>BW284/'1. Väestöennuste'!J284*1000</f>
        <v>3894.9958982772764</v>
      </c>
      <c r="CJ284" s="41">
        <f>BX284/'1. Väestöennuste'!K284*1000</f>
        <v>4040.5190391156466</v>
      </c>
      <c r="CK284" s="41">
        <f>BY284/'1. Väestöennuste'!L284*1000</f>
        <v>4238.1772033898305</v>
      </c>
      <c r="CL284" s="41">
        <f>BZ284/'1. Väestöennuste'!M284*1000</f>
        <v>2593.4438630377522</v>
      </c>
      <c r="CM284" s="41">
        <f>CA284/'1. Väestöennuste'!N284*1000</f>
        <v>2320.9227303957337</v>
      </c>
      <c r="CN284" s="41">
        <f>CB284/'1. Väestöennuste'!O284*1000</f>
        <v>2467.4184145379531</v>
      </c>
      <c r="CO284" s="41">
        <f>CC284/'1. Väestöennuste'!P284*1000</f>
        <v>2569.4543048404689</v>
      </c>
      <c r="CP284" s="41">
        <f>CD284/'1. Väestöennuste'!Q284*1000</f>
        <v>2660.0067218163554</v>
      </c>
      <c r="CQ284" s="41">
        <f>CE284/'1. Väestöennuste'!R284*1000</f>
        <v>2755.2871236908045</v>
      </c>
      <c r="CR284" s="41"/>
      <c r="CU284" s="159">
        <f t="shared" si="137"/>
        <v>170.57345603305203</v>
      </c>
      <c r="CV284" s="159">
        <f t="shared" si="138"/>
        <v>145.52314083837018</v>
      </c>
      <c r="CW284" s="159">
        <f t="shared" si="139"/>
        <v>197.65816427418395</v>
      </c>
      <c r="CX284" s="159">
        <f t="shared" si="140"/>
        <v>-1644.7333403520784</v>
      </c>
      <c r="CY284" s="159">
        <f t="shared" si="141"/>
        <v>-272.52113264201853</v>
      </c>
      <c r="CZ284" s="159">
        <f t="shared" si="142"/>
        <v>146.49568414221949</v>
      </c>
      <c r="DA284" s="159">
        <f t="shared" si="145"/>
        <v>102.03589030251578</v>
      </c>
      <c r="DB284" s="159">
        <f t="shared" si="146"/>
        <v>90.552416975886445</v>
      </c>
      <c r="DC284" s="159">
        <f t="shared" si="146"/>
        <v>95.280401874449126</v>
      </c>
    </row>
    <row r="285" spans="1:107" x14ac:dyDescent="0.2">
      <c r="A285" s="99">
        <v>13</v>
      </c>
      <c r="B285" s="30">
        <v>892</v>
      </c>
      <c r="C285" s="47" t="s">
        <v>599</v>
      </c>
      <c r="D285" s="64">
        <v>9281.642609999999</v>
      </c>
      <c r="E285" s="64">
        <v>574.50801999999999</v>
      </c>
      <c r="F285" s="64">
        <v>548.85620999999992</v>
      </c>
      <c r="G285" s="205">
        <v>10403</v>
      </c>
      <c r="H285" s="205"/>
      <c r="I285" s="64">
        <v>9353</v>
      </c>
      <c r="J285" s="64">
        <v>521</v>
      </c>
      <c r="K285" s="64">
        <v>585</v>
      </c>
      <c r="L285" s="205">
        <v>10459</v>
      </c>
      <c r="M285" s="205"/>
      <c r="N285" s="64">
        <v>9652</v>
      </c>
      <c r="O285" s="64">
        <v>595</v>
      </c>
      <c r="P285" s="64">
        <v>601</v>
      </c>
      <c r="Q285" s="205">
        <v>10848</v>
      </c>
      <c r="R285" s="205"/>
      <c r="S285" s="64">
        <v>9494</v>
      </c>
      <c r="T285" s="64">
        <v>629</v>
      </c>
      <c r="U285" s="64">
        <v>532</v>
      </c>
      <c r="V285" s="205">
        <v>10655</v>
      </c>
      <c r="W285" s="205"/>
      <c r="X285" s="64">
        <v>10124</v>
      </c>
      <c r="Y285" s="64">
        <v>659</v>
      </c>
      <c r="Z285" s="64">
        <v>573</v>
      </c>
      <c r="AA285" s="205">
        <f t="shared" si="143"/>
        <v>11356</v>
      </c>
      <c r="AB285" s="205"/>
      <c r="AC285" s="64">
        <v>10235</v>
      </c>
      <c r="AD285" s="64">
        <v>648</v>
      </c>
      <c r="AE285" s="64">
        <v>650</v>
      </c>
      <c r="AF285" s="205">
        <f t="shared" si="120"/>
        <v>11533</v>
      </c>
      <c r="AG285" s="205"/>
      <c r="AH285" s="278">
        <v>10895.43693</v>
      </c>
      <c r="AI285" s="64">
        <v>719.1701700000001</v>
      </c>
      <c r="AJ285" s="64">
        <v>1088.9421399999999</v>
      </c>
      <c r="AK285" s="205">
        <f t="shared" si="121"/>
        <v>12703.549239999998</v>
      </c>
      <c r="AL285" s="205"/>
      <c r="AM285" s="64">
        <v>11473.597699999998</v>
      </c>
      <c r="AN285" s="64">
        <v>771.57362000000001</v>
      </c>
      <c r="AO285" s="64">
        <v>993.10425999999995</v>
      </c>
      <c r="AP285" s="205">
        <f t="shared" si="122"/>
        <v>13238.275579999998</v>
      </c>
      <c r="AQ285" s="205"/>
      <c r="AR285" s="64">
        <v>5487.5704599999999</v>
      </c>
      <c r="AS285" s="64">
        <v>762.42399</v>
      </c>
      <c r="AT285" s="64">
        <v>580.58769999999993</v>
      </c>
      <c r="AU285" s="205">
        <f t="shared" si="123"/>
        <v>6830.5821500000002</v>
      </c>
      <c r="AV285" s="205"/>
      <c r="AW285" s="64">
        <v>5517.9965637509522</v>
      </c>
      <c r="AX285" s="64">
        <v>903.00538727169453</v>
      </c>
      <c r="AY285" s="64">
        <v>474.25379736832713</v>
      </c>
      <c r="AZ285" s="205">
        <f t="shared" si="124"/>
        <v>6895.2557483909741</v>
      </c>
      <c r="BA285" s="205"/>
      <c r="BB285" s="64">
        <v>6029.0927879866385</v>
      </c>
      <c r="BC285" s="64">
        <v>927.92451453546914</v>
      </c>
      <c r="BD285" s="64">
        <v>479.94484293674702</v>
      </c>
      <c r="BE285" s="205">
        <f t="shared" si="119"/>
        <v>7436.9621454588541</v>
      </c>
      <c r="BF285" s="205"/>
      <c r="BG285" s="64">
        <v>6352.6743715387784</v>
      </c>
      <c r="BH285" s="64">
        <v>961.92512893895105</v>
      </c>
      <c r="BI285" s="64">
        <v>503.25102955027626</v>
      </c>
      <c r="BJ285" s="205">
        <f t="shared" si="125"/>
        <v>7817.8505300280058</v>
      </c>
      <c r="BK285" s="205"/>
      <c r="BL285" s="64">
        <v>6591.3150991678094</v>
      </c>
      <c r="BM285" s="64">
        <v>999.86776505747275</v>
      </c>
      <c r="BN285" s="64">
        <v>533.33227041192447</v>
      </c>
      <c r="BO285" s="205">
        <f t="shared" si="126"/>
        <v>8124.5151346372068</v>
      </c>
      <c r="BQ285" s="64">
        <v>6853.8723745866228</v>
      </c>
      <c r="BR285" s="64">
        <v>1039.3811776545006</v>
      </c>
      <c r="BS285" s="64">
        <v>552.03142013673278</v>
      </c>
      <c r="BT285" s="205">
        <f t="shared" si="127"/>
        <v>8445.2849723778563</v>
      </c>
      <c r="BU285" s="205"/>
      <c r="BV285" s="5">
        <f t="shared" si="128"/>
        <v>11356</v>
      </c>
      <c r="BW285" s="5">
        <f t="shared" si="129"/>
        <v>11533</v>
      </c>
      <c r="BX285" s="5">
        <f t="shared" si="130"/>
        <v>12703.549239999998</v>
      </c>
      <c r="BY285" s="5">
        <f t="shared" si="131"/>
        <v>13238.275579999998</v>
      </c>
      <c r="BZ285" s="5">
        <f t="shared" si="132"/>
        <v>6830.5821500000002</v>
      </c>
      <c r="CA285" s="5">
        <f t="shared" si="133"/>
        <v>6895.2557483909741</v>
      </c>
      <c r="CB285" s="5">
        <f t="shared" si="134"/>
        <v>7436.9621454588541</v>
      </c>
      <c r="CC285" s="5">
        <f t="shared" si="135"/>
        <v>7817.8505300280058</v>
      </c>
      <c r="CD285" s="5">
        <f t="shared" si="136"/>
        <v>8124.5151346372068</v>
      </c>
      <c r="CE285" s="5">
        <f t="shared" si="144"/>
        <v>8445.2849723778563</v>
      </c>
      <c r="CH285" s="41">
        <f>BV285/'1. Väestöennuste'!I285*1000</f>
        <v>3085.031241510459</v>
      </c>
      <c r="CI285" s="41">
        <f>BW285/'1. Väestöennuste'!J285*1000</f>
        <v>3163.1925397696104</v>
      </c>
      <c r="CJ285" s="41">
        <f>BX285/'1. Väestöennuste'!K285*1000</f>
        <v>3495.7482773802967</v>
      </c>
      <c r="CK285" s="41">
        <f>BY285/'1. Väestöennuste'!L285*1000</f>
        <v>3685.4887472160353</v>
      </c>
      <c r="CL285" s="41">
        <f>BZ285/'1. Väestöennuste'!M285*1000</f>
        <v>1889.5109681881054</v>
      </c>
      <c r="CM285" s="41">
        <f>CA285/'1. Väestöennuste'!N285*1000</f>
        <v>1882.9207395933845</v>
      </c>
      <c r="CN285" s="41">
        <f>CB285/'1. Väestöennuste'!O285*1000</f>
        <v>2034.7365651050216</v>
      </c>
      <c r="CO285" s="41">
        <f>CC285/'1. Väestöennuste'!P285*1000</f>
        <v>2147.1712524108775</v>
      </c>
      <c r="CP285" s="41">
        <f>CD285/'1. Väestöennuste'!Q285*1000</f>
        <v>2241.2455543826777</v>
      </c>
      <c r="CQ285" s="41">
        <f>CE285/'1. Väestöennuste'!R285*1000</f>
        <v>2343.3088158651099</v>
      </c>
      <c r="CR285" s="41"/>
      <c r="CU285" s="159">
        <f t="shared" si="137"/>
        <v>78.161298259151408</v>
      </c>
      <c r="CV285" s="159">
        <f t="shared" si="138"/>
        <v>332.55573761068626</v>
      </c>
      <c r="CW285" s="159">
        <f t="shared" si="139"/>
        <v>189.74046983573862</v>
      </c>
      <c r="CX285" s="159">
        <f t="shared" si="140"/>
        <v>-1795.97777902793</v>
      </c>
      <c r="CY285" s="159">
        <f t="shared" si="141"/>
        <v>-6.5902285947208838</v>
      </c>
      <c r="CZ285" s="159">
        <f t="shared" si="142"/>
        <v>151.81582551163706</v>
      </c>
      <c r="DA285" s="159">
        <f t="shared" si="145"/>
        <v>112.43468730585596</v>
      </c>
      <c r="DB285" s="159">
        <f t="shared" si="146"/>
        <v>94.074301971800196</v>
      </c>
      <c r="DC285" s="159">
        <f t="shared" si="146"/>
        <v>102.06326148243215</v>
      </c>
    </row>
    <row r="286" spans="1:107" x14ac:dyDescent="0.2">
      <c r="A286" s="99">
        <v>15</v>
      </c>
      <c r="B286" s="30">
        <v>893</v>
      </c>
      <c r="C286" s="47" t="s">
        <v>600</v>
      </c>
      <c r="D286" s="64">
        <v>21084.966350000002</v>
      </c>
      <c r="E286" s="64">
        <v>2088.6986099999999</v>
      </c>
      <c r="F286" s="64">
        <v>4746.3317900000002</v>
      </c>
      <c r="G286" s="205">
        <v>27920</v>
      </c>
      <c r="H286" s="205"/>
      <c r="I286" s="64">
        <v>21882</v>
      </c>
      <c r="J286" s="64">
        <v>2204</v>
      </c>
      <c r="K286" s="64">
        <v>3836</v>
      </c>
      <c r="L286" s="205">
        <v>27922</v>
      </c>
      <c r="M286" s="205"/>
      <c r="N286" s="64">
        <v>21339</v>
      </c>
      <c r="O286" s="64">
        <v>2188</v>
      </c>
      <c r="P286" s="64">
        <v>3444</v>
      </c>
      <c r="Q286" s="205">
        <v>26971</v>
      </c>
      <c r="R286" s="205"/>
      <c r="S286" s="64">
        <v>21112</v>
      </c>
      <c r="T286" s="64">
        <v>2456</v>
      </c>
      <c r="U286" s="64">
        <v>2737</v>
      </c>
      <c r="V286" s="205">
        <v>26305</v>
      </c>
      <c r="W286" s="205"/>
      <c r="X286" s="64">
        <v>21946</v>
      </c>
      <c r="Y286" s="64">
        <v>2560</v>
      </c>
      <c r="Z286" s="64">
        <v>2557</v>
      </c>
      <c r="AA286" s="205">
        <f t="shared" si="143"/>
        <v>27063</v>
      </c>
      <c r="AB286" s="205"/>
      <c r="AC286" s="64">
        <v>22467</v>
      </c>
      <c r="AD286" s="64">
        <v>2349</v>
      </c>
      <c r="AE286" s="64">
        <v>2735</v>
      </c>
      <c r="AF286" s="205">
        <f t="shared" si="120"/>
        <v>27551</v>
      </c>
      <c r="AG286" s="205"/>
      <c r="AH286" s="278">
        <v>22510.340050000003</v>
      </c>
      <c r="AI286" s="64">
        <v>2628.5713300000002</v>
      </c>
      <c r="AJ286" s="64">
        <v>3653.71992</v>
      </c>
      <c r="AK286" s="205">
        <f t="shared" si="121"/>
        <v>28792.631300000001</v>
      </c>
      <c r="AL286" s="205"/>
      <c r="AM286" s="64">
        <v>24440.532760000002</v>
      </c>
      <c r="AN286" s="64">
        <v>2860.4391900000001</v>
      </c>
      <c r="AO286" s="64">
        <v>3743.0999900000002</v>
      </c>
      <c r="AP286" s="205">
        <f t="shared" si="122"/>
        <v>31044.071940000002</v>
      </c>
      <c r="AQ286" s="205"/>
      <c r="AR286" s="64">
        <v>11888.540859999999</v>
      </c>
      <c r="AS286" s="64">
        <v>3221.2912900000001</v>
      </c>
      <c r="AT286" s="64">
        <v>2380.7387999999996</v>
      </c>
      <c r="AU286" s="205">
        <f t="shared" si="123"/>
        <v>17490.570949999998</v>
      </c>
      <c r="AV286" s="205"/>
      <c r="AW286" s="64">
        <v>11914.679561232566</v>
      </c>
      <c r="AX286" s="64">
        <v>3443.6393859722189</v>
      </c>
      <c r="AY286" s="64">
        <v>2012.1289830028779</v>
      </c>
      <c r="AZ286" s="205">
        <f t="shared" si="124"/>
        <v>17370.447930207662</v>
      </c>
      <c r="BA286" s="205"/>
      <c r="BB286" s="64">
        <v>12630.597554847551</v>
      </c>
      <c r="BC286" s="64">
        <v>3531.518706890688</v>
      </c>
      <c r="BD286" s="64">
        <v>2036.2745307989123</v>
      </c>
      <c r="BE286" s="205">
        <f t="shared" si="119"/>
        <v>18198.390792537153</v>
      </c>
      <c r="BF286" s="205"/>
      <c r="BG286" s="64">
        <v>13311.674044710677</v>
      </c>
      <c r="BH286" s="64">
        <v>3649.2816250539663</v>
      </c>
      <c r="BI286" s="64">
        <v>2135.1562979636255</v>
      </c>
      <c r="BJ286" s="205">
        <f t="shared" si="125"/>
        <v>19096.11196772827</v>
      </c>
      <c r="BK286" s="205"/>
      <c r="BL286" s="64">
        <v>13827.852902803057</v>
      </c>
      <c r="BM286" s="64">
        <v>3778.2523652051418</v>
      </c>
      <c r="BN286" s="64">
        <v>2262.7827648855223</v>
      </c>
      <c r="BO286" s="205">
        <f t="shared" si="126"/>
        <v>19868.888032893723</v>
      </c>
      <c r="BQ286" s="64">
        <v>14409.176585263183</v>
      </c>
      <c r="BR286" s="64">
        <v>3909.5980919593849</v>
      </c>
      <c r="BS286" s="64">
        <v>2342.1181362153502</v>
      </c>
      <c r="BT286" s="205">
        <f t="shared" si="127"/>
        <v>20660.89281343792</v>
      </c>
      <c r="BU286" s="205"/>
      <c r="BV286" s="5">
        <f t="shared" si="128"/>
        <v>27063</v>
      </c>
      <c r="BW286" s="5">
        <f t="shared" si="129"/>
        <v>27551</v>
      </c>
      <c r="BX286" s="5">
        <f t="shared" si="130"/>
        <v>28792.631300000001</v>
      </c>
      <c r="BY286" s="5">
        <f t="shared" si="131"/>
        <v>31044.071940000002</v>
      </c>
      <c r="BZ286" s="5">
        <f t="shared" si="132"/>
        <v>17490.570949999998</v>
      </c>
      <c r="CA286" s="5">
        <f t="shared" si="133"/>
        <v>17370.447930207662</v>
      </c>
      <c r="CB286" s="5">
        <f t="shared" si="134"/>
        <v>18198.390792537153</v>
      </c>
      <c r="CC286" s="5">
        <f t="shared" si="135"/>
        <v>19096.11196772827</v>
      </c>
      <c r="CD286" s="5">
        <f t="shared" si="136"/>
        <v>19868.888032893723</v>
      </c>
      <c r="CE286" s="5">
        <f t="shared" si="144"/>
        <v>20660.89281343792</v>
      </c>
      <c r="CH286" s="41">
        <f>BV286/'1. Väestöennuste'!I286*1000</f>
        <v>3625.8038585209006</v>
      </c>
      <c r="CI286" s="41">
        <f>BW286/'1. Väestöennuste'!J286*1000</f>
        <v>3683.781254178366</v>
      </c>
      <c r="CJ286" s="41">
        <f>BX286/'1. Väestöennuste'!K286*1000</f>
        <v>3840.55372815793</v>
      </c>
      <c r="CK286" s="41">
        <f>BY286/'1. Väestöennuste'!L286*1000</f>
        <v>4175.9580225988702</v>
      </c>
      <c r="CL286" s="41">
        <f>BZ286/'1. Väestöennuste'!M286*1000</f>
        <v>2332.0761266666664</v>
      </c>
      <c r="CM286" s="41">
        <f>CA286/'1. Väestöennuste'!N286*1000</f>
        <v>2336.6219976066268</v>
      </c>
      <c r="CN286" s="41">
        <f>CB286/'1. Väestöennuste'!O286*1000</f>
        <v>2453.2745743511937</v>
      </c>
      <c r="CO286" s="41">
        <f>CC286/'1. Väestöennuste'!P286*1000</f>
        <v>2582.3004689287723</v>
      </c>
      <c r="CP286" s="41">
        <f>CD286/'1. Väestöennuste'!Q286*1000</f>
        <v>2695.9142514102746</v>
      </c>
      <c r="CQ286" s="41">
        <f>CE286/'1. Väestöennuste'!R286*1000</f>
        <v>2815.6027273695722</v>
      </c>
      <c r="CR286" s="41"/>
      <c r="CU286" s="159">
        <f t="shared" si="137"/>
        <v>57.977395657465422</v>
      </c>
      <c r="CV286" s="159">
        <f t="shared" si="138"/>
        <v>156.77247397956398</v>
      </c>
      <c r="CW286" s="159">
        <f t="shared" si="139"/>
        <v>335.40429444094025</v>
      </c>
      <c r="CX286" s="159">
        <f t="shared" si="140"/>
        <v>-1843.8818959322039</v>
      </c>
      <c r="CY286" s="159">
        <f t="shared" si="141"/>
        <v>4.5458709399604231</v>
      </c>
      <c r="CZ286" s="159">
        <f t="shared" si="142"/>
        <v>116.65257674456689</v>
      </c>
      <c r="DA286" s="159">
        <f t="shared" si="145"/>
        <v>129.02589457757858</v>
      </c>
      <c r="DB286" s="159">
        <f t="shared" si="146"/>
        <v>113.61378248150231</v>
      </c>
      <c r="DC286" s="159">
        <f t="shared" si="146"/>
        <v>119.68847595929765</v>
      </c>
    </row>
    <row r="287" spans="1:107" x14ac:dyDescent="0.2">
      <c r="A287" s="99">
        <v>2</v>
      </c>
      <c r="B287" s="30">
        <v>895</v>
      </c>
      <c r="C287" s="47" t="s">
        <v>601</v>
      </c>
      <c r="D287" s="64">
        <v>53531.460140000003</v>
      </c>
      <c r="E287" s="64">
        <v>4434.2462800000003</v>
      </c>
      <c r="F287" s="64">
        <v>3927.97876</v>
      </c>
      <c r="G287" s="205">
        <v>61894</v>
      </c>
      <c r="H287" s="205"/>
      <c r="I287" s="64">
        <v>53681</v>
      </c>
      <c r="J287" s="64">
        <v>4806</v>
      </c>
      <c r="K287" s="64">
        <v>3263</v>
      </c>
      <c r="L287" s="205">
        <v>61753</v>
      </c>
      <c r="M287" s="205"/>
      <c r="N287" s="64">
        <v>52754</v>
      </c>
      <c r="O287" s="64">
        <v>4829</v>
      </c>
      <c r="P287" s="64">
        <v>4223</v>
      </c>
      <c r="Q287" s="205">
        <v>61806</v>
      </c>
      <c r="R287" s="205"/>
      <c r="S287" s="64">
        <v>55425</v>
      </c>
      <c r="T287" s="64">
        <v>5060</v>
      </c>
      <c r="U287" s="64">
        <v>3962</v>
      </c>
      <c r="V287" s="205">
        <v>64447</v>
      </c>
      <c r="W287" s="205"/>
      <c r="X287" s="64">
        <v>56013</v>
      </c>
      <c r="Y287" s="64">
        <v>5284</v>
      </c>
      <c r="Z287" s="64">
        <v>3389</v>
      </c>
      <c r="AA287" s="205">
        <f t="shared" si="143"/>
        <v>64686</v>
      </c>
      <c r="AB287" s="205"/>
      <c r="AC287" s="64">
        <v>57673</v>
      </c>
      <c r="AD287" s="64">
        <v>4806</v>
      </c>
      <c r="AE287" s="64">
        <v>3926</v>
      </c>
      <c r="AF287" s="205">
        <f t="shared" si="120"/>
        <v>66405</v>
      </c>
      <c r="AG287" s="205"/>
      <c r="AH287" s="278">
        <v>55777.312549999995</v>
      </c>
      <c r="AI287" s="64">
        <v>5292.7152400000004</v>
      </c>
      <c r="AJ287" s="64">
        <v>6782.6531999999997</v>
      </c>
      <c r="AK287" s="205">
        <f t="shared" si="121"/>
        <v>67852.680989999993</v>
      </c>
      <c r="AL287" s="205"/>
      <c r="AM287" s="64">
        <v>59304.682719999997</v>
      </c>
      <c r="AN287" s="64">
        <v>5571.8844100000006</v>
      </c>
      <c r="AO287" s="64">
        <v>7306.2444400000004</v>
      </c>
      <c r="AP287" s="205">
        <f t="shared" si="122"/>
        <v>72182.811569999991</v>
      </c>
      <c r="AQ287" s="205"/>
      <c r="AR287" s="64">
        <v>27948.424660000001</v>
      </c>
      <c r="AS287" s="64">
        <v>5740.5735100000002</v>
      </c>
      <c r="AT287" s="64">
        <v>5588.7334299999993</v>
      </c>
      <c r="AU287" s="205">
        <f t="shared" si="123"/>
        <v>39277.731599999999</v>
      </c>
      <c r="AV287" s="205"/>
      <c r="AW287" s="64">
        <v>28667.871102528949</v>
      </c>
      <c r="AX287" s="64">
        <v>6070.0024351822003</v>
      </c>
      <c r="AY287" s="64">
        <v>6685.0106805106889</v>
      </c>
      <c r="AZ287" s="205">
        <f t="shared" si="124"/>
        <v>41422.884218221843</v>
      </c>
      <c r="BA287" s="205"/>
      <c r="BB287" s="64">
        <v>30553.881254011925</v>
      </c>
      <c r="BC287" s="64">
        <v>6119.1783291091779</v>
      </c>
      <c r="BD287" s="64">
        <v>6765.2308086768171</v>
      </c>
      <c r="BE287" s="205">
        <f t="shared" si="119"/>
        <v>43438.29039179792</v>
      </c>
      <c r="BF287" s="205"/>
      <c r="BG287" s="64">
        <v>31859.7505725503</v>
      </c>
      <c r="BH287" s="64">
        <v>6215.5139387310792</v>
      </c>
      <c r="BI287" s="64">
        <v>7093.7513335476287</v>
      </c>
      <c r="BJ287" s="205">
        <f t="shared" si="125"/>
        <v>45169.015844829002</v>
      </c>
      <c r="BK287" s="205"/>
      <c r="BL287" s="64">
        <v>32886.604211248348</v>
      </c>
      <c r="BM287" s="64">
        <v>6325.2355843261048</v>
      </c>
      <c r="BN287" s="64">
        <v>7517.7720109971633</v>
      </c>
      <c r="BO287" s="205">
        <f t="shared" si="126"/>
        <v>46729.611806571615</v>
      </c>
      <c r="BQ287" s="64">
        <v>34048.983838439621</v>
      </c>
      <c r="BR287" s="64">
        <v>6432.9813520970611</v>
      </c>
      <c r="BS287" s="64">
        <v>7781.3524321144423</v>
      </c>
      <c r="BT287" s="205">
        <f t="shared" si="127"/>
        <v>48263.317622651128</v>
      </c>
      <c r="BU287" s="205"/>
      <c r="BV287" s="5">
        <f t="shared" si="128"/>
        <v>64686</v>
      </c>
      <c r="BW287" s="5">
        <f t="shared" si="129"/>
        <v>66405</v>
      </c>
      <c r="BX287" s="5">
        <f t="shared" si="130"/>
        <v>67852.680989999993</v>
      </c>
      <c r="BY287" s="5">
        <f t="shared" si="131"/>
        <v>72182.811569999991</v>
      </c>
      <c r="BZ287" s="5">
        <f t="shared" si="132"/>
        <v>39277.731599999999</v>
      </c>
      <c r="CA287" s="5">
        <f t="shared" si="133"/>
        <v>41422.884218221843</v>
      </c>
      <c r="CB287" s="5">
        <f t="shared" si="134"/>
        <v>43438.29039179792</v>
      </c>
      <c r="CC287" s="5">
        <f t="shared" si="135"/>
        <v>45169.015844829002</v>
      </c>
      <c r="CD287" s="5">
        <f t="shared" si="136"/>
        <v>46729.611806571615</v>
      </c>
      <c r="CE287" s="5">
        <f t="shared" si="144"/>
        <v>48263.317622651128</v>
      </c>
      <c r="CH287" s="41">
        <f>BV287/'1. Väestöennuste'!I287*1000</f>
        <v>4167.375338229609</v>
      </c>
      <c r="CI287" s="41">
        <f>BW287/'1. Väestöennuste'!J287*1000</f>
        <v>4318.181818181818</v>
      </c>
      <c r="CJ287" s="41">
        <f>BX287/'1. Väestöennuste'!K287*1000</f>
        <v>4388.0670626657175</v>
      </c>
      <c r="CK287" s="41">
        <f>BY287/'1. Väestöennuste'!L287*1000</f>
        <v>4782.8526086668426</v>
      </c>
      <c r="CL287" s="41">
        <f>BZ287/'1. Väestöennuste'!M287*1000</f>
        <v>2629.3835587093317</v>
      </c>
      <c r="CM287" s="41">
        <f>CA287/'1. Väestöennuste'!N287*1000</f>
        <v>2752.5340034701203</v>
      </c>
      <c r="CN287" s="41">
        <f>CB287/'1. Väestöennuste'!O287*1000</f>
        <v>2903.4349570080826</v>
      </c>
      <c r="CO287" s="41">
        <f>CC287/'1. Väestöennuste'!P287*1000</f>
        <v>3036.3683681654347</v>
      </c>
      <c r="CP287" s="41">
        <f>CD287/'1. Väestöennuste'!Q287*1000</f>
        <v>3159.5410281657619</v>
      </c>
      <c r="CQ287" s="41">
        <f>CE287/'1. Väestöennuste'!R287*1000</f>
        <v>3281.4330719779118</v>
      </c>
      <c r="CR287" s="41"/>
      <c r="CU287" s="159">
        <f t="shared" si="137"/>
        <v>150.80647995220897</v>
      </c>
      <c r="CV287" s="159">
        <f t="shared" si="138"/>
        <v>69.885244483899442</v>
      </c>
      <c r="CW287" s="159">
        <f t="shared" si="139"/>
        <v>394.78554600112511</v>
      </c>
      <c r="CX287" s="159">
        <f t="shared" si="140"/>
        <v>-2153.4690499575108</v>
      </c>
      <c r="CY287" s="159">
        <f t="shared" si="141"/>
        <v>123.15044476078856</v>
      </c>
      <c r="CZ287" s="159">
        <f t="shared" si="142"/>
        <v>150.90095353796232</v>
      </c>
      <c r="DA287" s="159">
        <f t="shared" si="145"/>
        <v>132.93341115735211</v>
      </c>
      <c r="DB287" s="159">
        <f t="shared" si="146"/>
        <v>123.17266000032714</v>
      </c>
      <c r="DC287" s="159">
        <f t="shared" si="146"/>
        <v>121.89204381214995</v>
      </c>
    </row>
    <row r="288" spans="1:107" x14ac:dyDescent="0.2">
      <c r="A288" s="99">
        <v>15</v>
      </c>
      <c r="B288" s="30">
        <v>905</v>
      </c>
      <c r="C288" s="47" t="s">
        <v>602</v>
      </c>
      <c r="D288" s="64">
        <v>225443.98478999999</v>
      </c>
      <c r="E288" s="64">
        <v>19624.326829999998</v>
      </c>
      <c r="F288" s="64">
        <v>33176.339480000002</v>
      </c>
      <c r="G288" s="205">
        <v>278217</v>
      </c>
      <c r="H288" s="205"/>
      <c r="I288" s="64">
        <v>232485</v>
      </c>
      <c r="J288" s="64">
        <v>20069</v>
      </c>
      <c r="K288" s="64">
        <v>31309</v>
      </c>
      <c r="L288" s="205">
        <v>283863</v>
      </c>
      <c r="M288" s="205"/>
      <c r="N288" s="64">
        <v>227407</v>
      </c>
      <c r="O288" s="64">
        <v>20282</v>
      </c>
      <c r="P288" s="64">
        <v>32031</v>
      </c>
      <c r="Q288" s="205">
        <v>279720</v>
      </c>
      <c r="R288" s="205"/>
      <c r="S288" s="64">
        <v>223855</v>
      </c>
      <c r="T288" s="64">
        <v>21232</v>
      </c>
      <c r="U288" s="64">
        <v>24859</v>
      </c>
      <c r="V288" s="205">
        <v>269946</v>
      </c>
      <c r="W288" s="205"/>
      <c r="X288" s="64">
        <v>235919</v>
      </c>
      <c r="Y288" s="64">
        <v>21474</v>
      </c>
      <c r="Z288" s="64">
        <v>25763</v>
      </c>
      <c r="AA288" s="205">
        <f t="shared" si="143"/>
        <v>283156</v>
      </c>
      <c r="AB288" s="205"/>
      <c r="AC288" s="64">
        <v>251340</v>
      </c>
      <c r="AD288" s="64">
        <v>21541</v>
      </c>
      <c r="AE288" s="64">
        <v>27058</v>
      </c>
      <c r="AF288" s="205">
        <f t="shared" si="120"/>
        <v>299939</v>
      </c>
      <c r="AG288" s="205"/>
      <c r="AH288" s="278">
        <v>253794.26738999999</v>
      </c>
      <c r="AI288" s="64">
        <v>23905.623</v>
      </c>
      <c r="AJ288" s="64">
        <v>36772.06149</v>
      </c>
      <c r="AK288" s="205">
        <f t="shared" si="121"/>
        <v>314471.95188000001</v>
      </c>
      <c r="AL288" s="205"/>
      <c r="AM288" s="64">
        <v>269625.09233999997</v>
      </c>
      <c r="AN288" s="64">
        <v>26237.714050000002</v>
      </c>
      <c r="AO288" s="64">
        <v>37623.153100000003</v>
      </c>
      <c r="AP288" s="205">
        <f t="shared" si="122"/>
        <v>333485.95948999998</v>
      </c>
      <c r="AQ288" s="205"/>
      <c r="AR288" s="64">
        <v>137754.39969999998</v>
      </c>
      <c r="AS288" s="64">
        <v>26676.945510000001</v>
      </c>
      <c r="AT288" s="64">
        <v>23709.776890000001</v>
      </c>
      <c r="AU288" s="205">
        <f t="shared" si="123"/>
        <v>188141.12209999998</v>
      </c>
      <c r="AV288" s="205"/>
      <c r="AW288" s="64">
        <v>129610.48523944367</v>
      </c>
      <c r="AX288" s="64">
        <v>27228.126291362783</v>
      </c>
      <c r="AY288" s="64">
        <v>18337.84289069345</v>
      </c>
      <c r="AZ288" s="205">
        <f t="shared" si="124"/>
        <v>175176.45442149992</v>
      </c>
      <c r="BA288" s="205"/>
      <c r="BB288" s="64">
        <v>135888.80021355927</v>
      </c>
      <c r="BC288" s="64">
        <v>27598.119041474056</v>
      </c>
      <c r="BD288" s="64">
        <v>18557.897005381768</v>
      </c>
      <c r="BE288" s="205">
        <f t="shared" si="119"/>
        <v>182044.81626041507</v>
      </c>
      <c r="BF288" s="205"/>
      <c r="BG288" s="64">
        <v>142541.57411256825</v>
      </c>
      <c r="BH288" s="64">
        <v>28185.70776100213</v>
      </c>
      <c r="BI288" s="64">
        <v>19459.070998867275</v>
      </c>
      <c r="BJ288" s="205">
        <f t="shared" si="125"/>
        <v>190186.35287243765</v>
      </c>
      <c r="BK288" s="205"/>
      <c r="BL288" s="64">
        <v>148066.50787234021</v>
      </c>
      <c r="BM288" s="64">
        <v>28840.442186755281</v>
      </c>
      <c r="BN288" s="64">
        <v>20622.214176505546</v>
      </c>
      <c r="BO288" s="205">
        <f t="shared" si="126"/>
        <v>197529.16423560103</v>
      </c>
      <c r="BQ288" s="64">
        <v>154309.832262613</v>
      </c>
      <c r="BR288" s="64">
        <v>29492.958092576187</v>
      </c>
      <c r="BS288" s="64">
        <v>21345.249124767175</v>
      </c>
      <c r="BT288" s="205">
        <f t="shared" si="127"/>
        <v>205148.03947995635</v>
      </c>
      <c r="BU288" s="205"/>
      <c r="BV288" s="5">
        <f t="shared" si="128"/>
        <v>283156</v>
      </c>
      <c r="BW288" s="5">
        <f t="shared" si="129"/>
        <v>299939</v>
      </c>
      <c r="BX288" s="5">
        <f t="shared" si="130"/>
        <v>314471.95188000001</v>
      </c>
      <c r="BY288" s="5">
        <f t="shared" si="131"/>
        <v>333485.95948999998</v>
      </c>
      <c r="BZ288" s="5">
        <f t="shared" si="132"/>
        <v>188141.12209999998</v>
      </c>
      <c r="CA288" s="5">
        <f t="shared" si="133"/>
        <v>175176.45442149992</v>
      </c>
      <c r="CB288" s="5">
        <f t="shared" si="134"/>
        <v>182044.81626041507</v>
      </c>
      <c r="CC288" s="5">
        <f t="shared" si="135"/>
        <v>190186.35287243765</v>
      </c>
      <c r="CD288" s="5">
        <f t="shared" si="136"/>
        <v>197529.16423560103</v>
      </c>
      <c r="CE288" s="5">
        <f t="shared" si="144"/>
        <v>205148.03947995635</v>
      </c>
      <c r="CH288" s="41">
        <f>BV288/'1. Väestöennuste'!I288*1000</f>
        <v>4186.4687444556148</v>
      </c>
      <c r="CI288" s="41">
        <f>BW288/'1. Väestöennuste'!J288*1000</f>
        <v>4440.1859335909157</v>
      </c>
      <c r="CJ288" s="41">
        <f>BX288/'1. Väestöennuste'!K288*1000</f>
        <v>4650.9199420246996</v>
      </c>
      <c r="CK288" s="41">
        <f>BY288/'1. Väestöennuste'!L288*1000</f>
        <v>4905.0708873624753</v>
      </c>
      <c r="CL288" s="41">
        <f>BZ288/'1. Väestöennuste'!M288*1000</f>
        <v>2728.4227927954053</v>
      </c>
      <c r="CM288" s="41">
        <f>CA288/'1. Väestöennuste'!N288*1000</f>
        <v>2588.4193215050891</v>
      </c>
      <c r="CN288" s="41">
        <f>CB288/'1. Väestöennuste'!O288*1000</f>
        <v>2689.9862025920215</v>
      </c>
      <c r="CO288" s="41">
        <f>CC288/'1. Väestöennuste'!P288*1000</f>
        <v>2810.082045987554</v>
      </c>
      <c r="CP288" s="41">
        <f>CD288/'1. Väestöennuste'!Q288*1000</f>
        <v>2918.0146283308618</v>
      </c>
      <c r="CQ288" s="41">
        <f>CE288/'1. Väestöennuste'!R288*1000</f>
        <v>3029.8489045762949</v>
      </c>
      <c r="CR288" s="41"/>
      <c r="CU288" s="159">
        <f t="shared" si="137"/>
        <v>253.71718913530094</v>
      </c>
      <c r="CV288" s="159">
        <f t="shared" si="138"/>
        <v>210.73400843378386</v>
      </c>
      <c r="CW288" s="159">
        <f t="shared" si="139"/>
        <v>254.15094533777574</v>
      </c>
      <c r="CX288" s="159">
        <f t="shared" si="140"/>
        <v>-2176.6480945670701</v>
      </c>
      <c r="CY288" s="159">
        <f t="shared" si="141"/>
        <v>-140.00347129031616</v>
      </c>
      <c r="CZ288" s="159">
        <f t="shared" si="142"/>
        <v>101.56688108693243</v>
      </c>
      <c r="DA288" s="159">
        <f t="shared" si="145"/>
        <v>120.09584339553248</v>
      </c>
      <c r="DB288" s="159">
        <f t="shared" si="146"/>
        <v>107.93258234330779</v>
      </c>
      <c r="DC288" s="159">
        <f t="shared" si="146"/>
        <v>111.8342762454331</v>
      </c>
    </row>
    <row r="289" spans="1:107" x14ac:dyDescent="0.2">
      <c r="A289" s="99">
        <v>6</v>
      </c>
      <c r="B289" s="30">
        <v>908</v>
      </c>
      <c r="C289" s="47" t="s">
        <v>603</v>
      </c>
      <c r="D289" s="64">
        <v>69583.450810000009</v>
      </c>
      <c r="E289" s="64">
        <v>4863.83691</v>
      </c>
      <c r="F289" s="64">
        <v>3852.0910699999999</v>
      </c>
      <c r="G289" s="205">
        <v>78285</v>
      </c>
      <c r="H289" s="205"/>
      <c r="I289" s="64">
        <v>71105</v>
      </c>
      <c r="J289" s="64">
        <v>4917</v>
      </c>
      <c r="K289" s="64">
        <v>3741</v>
      </c>
      <c r="L289" s="205">
        <v>79763</v>
      </c>
      <c r="M289" s="205"/>
      <c r="N289" s="64">
        <v>70685</v>
      </c>
      <c r="O289" s="64">
        <v>4606</v>
      </c>
      <c r="P289" s="64">
        <v>4794</v>
      </c>
      <c r="Q289" s="205">
        <v>80085</v>
      </c>
      <c r="R289" s="205"/>
      <c r="S289" s="64">
        <v>68013</v>
      </c>
      <c r="T289" s="64">
        <v>4964</v>
      </c>
      <c r="U289" s="64">
        <v>4408</v>
      </c>
      <c r="V289" s="205">
        <v>77385</v>
      </c>
      <c r="W289" s="205"/>
      <c r="X289" s="64">
        <v>72248</v>
      </c>
      <c r="Y289" s="64">
        <v>5109</v>
      </c>
      <c r="Z289" s="64">
        <v>4426</v>
      </c>
      <c r="AA289" s="205">
        <f t="shared" si="143"/>
        <v>81783</v>
      </c>
      <c r="AB289" s="205"/>
      <c r="AC289" s="64">
        <v>74365</v>
      </c>
      <c r="AD289" s="64">
        <v>4783</v>
      </c>
      <c r="AE289" s="64">
        <v>5066</v>
      </c>
      <c r="AF289" s="205">
        <f t="shared" si="120"/>
        <v>84214</v>
      </c>
      <c r="AG289" s="205"/>
      <c r="AH289" s="278">
        <v>76884.653749999998</v>
      </c>
      <c r="AI289" s="64">
        <v>5319.7379199999996</v>
      </c>
      <c r="AJ289" s="64">
        <v>7286.0756799999999</v>
      </c>
      <c r="AK289" s="205">
        <f t="shared" si="121"/>
        <v>89490.467349999992</v>
      </c>
      <c r="AL289" s="205"/>
      <c r="AM289" s="64">
        <v>78885.497319999995</v>
      </c>
      <c r="AN289" s="64">
        <v>6350.0253600000005</v>
      </c>
      <c r="AO289" s="64">
        <v>7602.9285300000001</v>
      </c>
      <c r="AP289" s="205">
        <f t="shared" si="122"/>
        <v>92838.451209999999</v>
      </c>
      <c r="AQ289" s="205"/>
      <c r="AR289" s="64">
        <v>37498.425369999997</v>
      </c>
      <c r="AS289" s="64">
        <v>6168.6607400000003</v>
      </c>
      <c r="AT289" s="64">
        <v>5477.5452599999999</v>
      </c>
      <c r="AU289" s="205">
        <f t="shared" si="123"/>
        <v>49144.631369999996</v>
      </c>
      <c r="AV289" s="205"/>
      <c r="AW289" s="64">
        <v>40224.830486310777</v>
      </c>
      <c r="AX289" s="64">
        <v>6199.6271035432974</v>
      </c>
      <c r="AY289" s="64">
        <v>4697.0522256346721</v>
      </c>
      <c r="AZ289" s="205">
        <f t="shared" si="124"/>
        <v>51121.509815488746</v>
      </c>
      <c r="BA289" s="205"/>
      <c r="BB289" s="64">
        <v>42618.587111643363</v>
      </c>
      <c r="BC289" s="64">
        <v>6246.2550135512511</v>
      </c>
      <c r="BD289" s="64">
        <v>4753.4168523422877</v>
      </c>
      <c r="BE289" s="205">
        <f t="shared" si="119"/>
        <v>53618.258977536898</v>
      </c>
      <c r="BF289" s="205"/>
      <c r="BG289" s="64">
        <v>44334.147544274099</v>
      </c>
      <c r="BH289" s="64">
        <v>6340.9058006798959</v>
      </c>
      <c r="BI289" s="64">
        <v>4984.2434188591924</v>
      </c>
      <c r="BJ289" s="205">
        <f t="shared" si="125"/>
        <v>55659.296763813189</v>
      </c>
      <c r="BK289" s="205"/>
      <c r="BL289" s="64">
        <v>45706.594432748665</v>
      </c>
      <c r="BM289" s="64">
        <v>6449.0582155362599</v>
      </c>
      <c r="BN289" s="64">
        <v>5282.1707314565911</v>
      </c>
      <c r="BO289" s="205">
        <f t="shared" si="126"/>
        <v>57437.823379741516</v>
      </c>
      <c r="BQ289" s="64">
        <v>47274.337591315671</v>
      </c>
      <c r="BR289" s="64">
        <v>6555.0320670033871</v>
      </c>
      <c r="BS289" s="64">
        <v>5467.3687906387586</v>
      </c>
      <c r="BT289" s="205">
        <f t="shared" si="127"/>
        <v>59296.738448957818</v>
      </c>
      <c r="BU289" s="205"/>
      <c r="BV289" s="5">
        <f t="shared" si="128"/>
        <v>81783</v>
      </c>
      <c r="BW289" s="5">
        <f t="shared" si="129"/>
        <v>84214</v>
      </c>
      <c r="BX289" s="5">
        <f t="shared" si="130"/>
        <v>89490.467349999992</v>
      </c>
      <c r="BY289" s="5">
        <f t="shared" si="131"/>
        <v>92838.451209999999</v>
      </c>
      <c r="BZ289" s="5">
        <f t="shared" si="132"/>
        <v>49144.631369999996</v>
      </c>
      <c r="CA289" s="5">
        <f t="shared" si="133"/>
        <v>51121.509815488746</v>
      </c>
      <c r="CB289" s="5">
        <f t="shared" si="134"/>
        <v>53618.258977536898</v>
      </c>
      <c r="CC289" s="5">
        <f t="shared" si="135"/>
        <v>55659.296763813189</v>
      </c>
      <c r="CD289" s="5">
        <f t="shared" si="136"/>
        <v>57437.823379741516</v>
      </c>
      <c r="CE289" s="5">
        <f t="shared" si="144"/>
        <v>59296.738448957818</v>
      </c>
      <c r="CH289" s="41">
        <f>BV289/'1. Väestöennuste'!I289*1000</f>
        <v>3899.6280755292769</v>
      </c>
      <c r="CI289" s="41">
        <f>BW289/'1. Väestöennuste'!J289*1000</f>
        <v>4055.5742836503732</v>
      </c>
      <c r="CJ289" s="41">
        <f>BX289/'1. Väestöennuste'!K289*1000</f>
        <v>4324.2554892486105</v>
      </c>
      <c r="CK289" s="41">
        <f>BY289/'1. Väestöennuste'!L289*1000</f>
        <v>4484.2994353475342</v>
      </c>
      <c r="CL289" s="41">
        <f>BZ289/'1. Väestöennuste'!M289*1000</f>
        <v>2374.8251362713827</v>
      </c>
      <c r="CM289" s="41">
        <f>CA289/'1. Väestöennuste'!N289*1000</f>
        <v>2523.8958190811527</v>
      </c>
      <c r="CN289" s="41">
        <f>CB289/'1. Väestöennuste'!O289*1000</f>
        <v>2662.5414131262737</v>
      </c>
      <c r="CO289" s="41">
        <f>CC289/'1. Väestöennuste'!P289*1000</f>
        <v>2779.9069405560476</v>
      </c>
      <c r="CP289" s="41">
        <f>CD289/'1. Väestöennuste'!Q289*1000</f>
        <v>2885.7427341108078</v>
      </c>
      <c r="CQ289" s="41">
        <f>CE289/'1. Väestöennuste'!R289*1000</f>
        <v>2997.3582595641619</v>
      </c>
      <c r="CR289" s="41"/>
      <c r="CU289" s="159">
        <f t="shared" si="137"/>
        <v>155.94620812109633</v>
      </c>
      <c r="CV289" s="159">
        <f t="shared" si="138"/>
        <v>268.68120559823728</v>
      </c>
      <c r="CW289" s="159">
        <f t="shared" si="139"/>
        <v>160.0439460989237</v>
      </c>
      <c r="CX289" s="159">
        <f t="shared" si="140"/>
        <v>-2109.4742990761515</v>
      </c>
      <c r="CY289" s="159">
        <f t="shared" si="141"/>
        <v>149.07068280977001</v>
      </c>
      <c r="CZ289" s="159">
        <f t="shared" si="142"/>
        <v>138.64559404512102</v>
      </c>
      <c r="DA289" s="159">
        <f t="shared" si="145"/>
        <v>117.36552742977392</v>
      </c>
      <c r="DB289" s="159">
        <f t="shared" si="146"/>
        <v>105.83579355476013</v>
      </c>
      <c r="DC289" s="159">
        <f t="shared" si="146"/>
        <v>111.61552545335417</v>
      </c>
    </row>
    <row r="290" spans="1:107" x14ac:dyDescent="0.2">
      <c r="A290" s="99">
        <v>11</v>
      </c>
      <c r="B290" s="30">
        <v>915</v>
      </c>
      <c r="C290" s="47" t="s">
        <v>604</v>
      </c>
      <c r="D290" s="64">
        <v>69477.32901999999</v>
      </c>
      <c r="E290" s="64">
        <v>5214.0612599999995</v>
      </c>
      <c r="F290" s="64">
        <v>5309.6809899999998</v>
      </c>
      <c r="G290" s="205">
        <v>80008</v>
      </c>
      <c r="H290" s="205"/>
      <c r="I290" s="64">
        <v>70996</v>
      </c>
      <c r="J290" s="64">
        <v>5250</v>
      </c>
      <c r="K290" s="64">
        <v>4056</v>
      </c>
      <c r="L290" s="205">
        <v>80302</v>
      </c>
      <c r="M290" s="205"/>
      <c r="N290" s="64">
        <v>69890</v>
      </c>
      <c r="O290" s="64">
        <v>5755</v>
      </c>
      <c r="P290" s="64">
        <v>4308</v>
      </c>
      <c r="Q290" s="205">
        <v>79953</v>
      </c>
      <c r="R290" s="205"/>
      <c r="S290" s="64">
        <v>68660</v>
      </c>
      <c r="T290" s="64">
        <v>5782</v>
      </c>
      <c r="U290" s="64">
        <v>3883</v>
      </c>
      <c r="V290" s="205">
        <v>78325</v>
      </c>
      <c r="W290" s="205"/>
      <c r="X290" s="64">
        <v>68776</v>
      </c>
      <c r="Y290" s="64">
        <v>5899</v>
      </c>
      <c r="Z290" s="64">
        <v>4278</v>
      </c>
      <c r="AA290" s="205">
        <f t="shared" si="143"/>
        <v>78953</v>
      </c>
      <c r="AB290" s="205"/>
      <c r="AC290" s="64">
        <v>70514</v>
      </c>
      <c r="AD290" s="64">
        <v>5465</v>
      </c>
      <c r="AE290" s="64">
        <v>4842</v>
      </c>
      <c r="AF290" s="205">
        <f t="shared" si="120"/>
        <v>80821</v>
      </c>
      <c r="AG290" s="205"/>
      <c r="AH290" s="278">
        <v>72660.89029000001</v>
      </c>
      <c r="AI290" s="64">
        <v>6034.60725</v>
      </c>
      <c r="AJ290" s="64">
        <v>6244.8267500000002</v>
      </c>
      <c r="AK290" s="205">
        <f t="shared" si="121"/>
        <v>84940.324290000019</v>
      </c>
      <c r="AL290" s="205"/>
      <c r="AM290" s="64">
        <v>72886.221239999999</v>
      </c>
      <c r="AN290" s="64">
        <v>6692.2186700000002</v>
      </c>
      <c r="AO290" s="64">
        <v>6386.3124000000007</v>
      </c>
      <c r="AP290" s="205">
        <f t="shared" si="122"/>
        <v>85964.752309999996</v>
      </c>
      <c r="AQ290" s="205"/>
      <c r="AR290" s="64">
        <v>35914.137569999999</v>
      </c>
      <c r="AS290" s="64">
        <v>7228.0861999999997</v>
      </c>
      <c r="AT290" s="64">
        <v>4420.3883699999997</v>
      </c>
      <c r="AU290" s="205">
        <f t="shared" si="123"/>
        <v>47562.612139999997</v>
      </c>
      <c r="AV290" s="205"/>
      <c r="AW290" s="64">
        <v>35426.782144769393</v>
      </c>
      <c r="AX290" s="64">
        <v>8062.4555092073488</v>
      </c>
      <c r="AY290" s="64">
        <v>3606.4692171532547</v>
      </c>
      <c r="AZ290" s="205">
        <f t="shared" si="124"/>
        <v>47095.706871129994</v>
      </c>
      <c r="BA290" s="205"/>
      <c r="BB290" s="64">
        <v>36663.59489509635</v>
      </c>
      <c r="BC290" s="64">
        <v>8354.463260698285</v>
      </c>
      <c r="BD290" s="64">
        <v>3649.7468477590937</v>
      </c>
      <c r="BE290" s="205">
        <f t="shared" si="119"/>
        <v>48667.805003553731</v>
      </c>
      <c r="BF290" s="205"/>
      <c r="BG290" s="64">
        <v>37669.307144505008</v>
      </c>
      <c r="BH290" s="64">
        <v>8727.5959466015811</v>
      </c>
      <c r="BI290" s="64">
        <v>3826.9790492877682</v>
      </c>
      <c r="BJ290" s="205">
        <f t="shared" si="125"/>
        <v>50223.882140394358</v>
      </c>
      <c r="BK290" s="205"/>
      <c r="BL290" s="64">
        <v>38548.204709446974</v>
      </c>
      <c r="BM290" s="64">
        <v>9139.6289556083902</v>
      </c>
      <c r="BN290" s="64">
        <v>4055.7322396329178</v>
      </c>
      <c r="BO290" s="205">
        <f t="shared" si="126"/>
        <v>51743.565904688287</v>
      </c>
      <c r="BQ290" s="64">
        <v>39593.110058313578</v>
      </c>
      <c r="BR290" s="64">
        <v>9570.5591465872349</v>
      </c>
      <c r="BS290" s="64">
        <v>4197.9301687663883</v>
      </c>
      <c r="BT290" s="205">
        <f t="shared" si="127"/>
        <v>53361.599373667203</v>
      </c>
      <c r="BU290" s="205"/>
      <c r="BV290" s="5">
        <f t="shared" si="128"/>
        <v>78953</v>
      </c>
      <c r="BW290" s="5">
        <f t="shared" si="129"/>
        <v>80821</v>
      </c>
      <c r="BX290" s="5">
        <f t="shared" si="130"/>
        <v>84940.324290000019</v>
      </c>
      <c r="BY290" s="5">
        <f t="shared" si="131"/>
        <v>85964.752309999996</v>
      </c>
      <c r="BZ290" s="5">
        <f t="shared" si="132"/>
        <v>47562.612139999997</v>
      </c>
      <c r="CA290" s="5">
        <f t="shared" si="133"/>
        <v>47095.706871129994</v>
      </c>
      <c r="CB290" s="5">
        <f t="shared" si="134"/>
        <v>48667.805003553731</v>
      </c>
      <c r="CC290" s="5">
        <f t="shared" si="135"/>
        <v>50223.882140394358</v>
      </c>
      <c r="CD290" s="5">
        <f t="shared" si="136"/>
        <v>51743.565904688287</v>
      </c>
      <c r="CE290" s="5">
        <f t="shared" si="144"/>
        <v>53361.599373667203</v>
      </c>
      <c r="CH290" s="41">
        <f>BV290/'1. Väestöennuste'!I290*1000</f>
        <v>3857.7640965503761</v>
      </c>
      <c r="CI290" s="41">
        <f>BW290/'1. Väestöennuste'!J290*1000</f>
        <v>3985.6494723345495</v>
      </c>
      <c r="CJ290" s="41">
        <f>BX290/'1. Väestöennuste'!K290*1000</f>
        <v>4252.7574370400052</v>
      </c>
      <c r="CK290" s="41">
        <f>BY290/'1. Väestöennuste'!L290*1000</f>
        <v>4350.6631059264137</v>
      </c>
      <c r="CL290" s="41">
        <f>BZ290/'1. Väestöennuste'!M290*1000</f>
        <v>2411.041321032088</v>
      </c>
      <c r="CM290" s="41">
        <f>CA290/'1. Väestöennuste'!N290*1000</f>
        <v>2446.0219627677361</v>
      </c>
      <c r="CN290" s="41">
        <f>CB290/'1. Väestöennuste'!O290*1000</f>
        <v>2558.6354557359623</v>
      </c>
      <c r="CO290" s="41">
        <f>CC290/'1. Väestöennuste'!P290*1000</f>
        <v>2671.9094611051951</v>
      </c>
      <c r="CP290" s="41">
        <f>CD290/'1. Väestöennuste'!Q290*1000</f>
        <v>2784.6069263097775</v>
      </c>
      <c r="CQ290" s="41">
        <f>CE290/'1. Väestöennuste'!R290*1000</f>
        <v>2904.8230470150902</v>
      </c>
      <c r="CR290" s="41"/>
      <c r="CU290" s="159">
        <f t="shared" si="137"/>
        <v>127.88537578417345</v>
      </c>
      <c r="CV290" s="159">
        <f t="shared" si="138"/>
        <v>267.10796470545574</v>
      </c>
      <c r="CW290" s="159">
        <f t="shared" si="139"/>
        <v>97.905668886408421</v>
      </c>
      <c r="CX290" s="159">
        <f t="shared" si="140"/>
        <v>-1939.6217848943256</v>
      </c>
      <c r="CY290" s="159">
        <f t="shared" si="141"/>
        <v>34.980641735648078</v>
      </c>
      <c r="CZ290" s="159">
        <f t="shared" si="142"/>
        <v>112.61349296822618</v>
      </c>
      <c r="DA290" s="159">
        <f t="shared" si="145"/>
        <v>113.27400536923278</v>
      </c>
      <c r="DB290" s="159">
        <f t="shared" si="146"/>
        <v>112.69746520458239</v>
      </c>
      <c r="DC290" s="159">
        <f t="shared" si="146"/>
        <v>120.21612070531273</v>
      </c>
    </row>
    <row r="291" spans="1:107" x14ac:dyDescent="0.2">
      <c r="A291" s="99">
        <v>2</v>
      </c>
      <c r="B291" s="30">
        <v>918</v>
      </c>
      <c r="C291" s="47" t="s">
        <v>605</v>
      </c>
      <c r="D291" s="64">
        <v>6672.3897900000002</v>
      </c>
      <c r="E291" s="64">
        <v>700.63151000000005</v>
      </c>
      <c r="F291" s="64">
        <v>361.69378</v>
      </c>
      <c r="G291" s="205">
        <v>7734</v>
      </c>
      <c r="H291" s="205"/>
      <c r="I291" s="64">
        <v>6676</v>
      </c>
      <c r="J291" s="64">
        <v>707</v>
      </c>
      <c r="K291" s="64">
        <v>339</v>
      </c>
      <c r="L291" s="205">
        <v>7723</v>
      </c>
      <c r="M291" s="205"/>
      <c r="N291" s="64">
        <v>7006</v>
      </c>
      <c r="O291" s="64">
        <v>735</v>
      </c>
      <c r="P291" s="64">
        <v>386</v>
      </c>
      <c r="Q291" s="205">
        <v>8127</v>
      </c>
      <c r="R291" s="205"/>
      <c r="S291" s="64">
        <v>7146</v>
      </c>
      <c r="T291" s="64">
        <v>762</v>
      </c>
      <c r="U291" s="64">
        <v>447</v>
      </c>
      <c r="V291" s="205">
        <v>8355</v>
      </c>
      <c r="W291" s="205"/>
      <c r="X291" s="64">
        <v>7149</v>
      </c>
      <c r="Y291" s="64">
        <v>763</v>
      </c>
      <c r="Z291" s="64">
        <v>712</v>
      </c>
      <c r="AA291" s="205">
        <f t="shared" si="143"/>
        <v>8624</v>
      </c>
      <c r="AB291" s="205"/>
      <c r="AC291" s="64">
        <v>7448</v>
      </c>
      <c r="AD291" s="64">
        <v>698</v>
      </c>
      <c r="AE291" s="64">
        <v>874</v>
      </c>
      <c r="AF291" s="205">
        <f t="shared" si="120"/>
        <v>9020</v>
      </c>
      <c r="AG291" s="205"/>
      <c r="AH291" s="278">
        <v>7315.2461900000008</v>
      </c>
      <c r="AI291" s="64">
        <v>871.13355000000001</v>
      </c>
      <c r="AJ291" s="64">
        <v>1122.5006000000001</v>
      </c>
      <c r="AK291" s="205">
        <f t="shared" si="121"/>
        <v>9308.8803399999997</v>
      </c>
      <c r="AL291" s="205"/>
      <c r="AM291" s="64">
        <v>7614.9674699999996</v>
      </c>
      <c r="AN291" s="64">
        <v>960.50540999999998</v>
      </c>
      <c r="AO291" s="64">
        <v>943.77445999999998</v>
      </c>
      <c r="AP291" s="205">
        <f t="shared" si="122"/>
        <v>9519.2473399999999</v>
      </c>
      <c r="AQ291" s="205"/>
      <c r="AR291" s="64">
        <v>3952.6444700000002</v>
      </c>
      <c r="AS291" s="64">
        <v>924.41503</v>
      </c>
      <c r="AT291" s="64">
        <v>455.03757999999999</v>
      </c>
      <c r="AU291" s="205">
        <f t="shared" si="123"/>
        <v>5332.0970800000005</v>
      </c>
      <c r="AV291" s="205"/>
      <c r="AW291" s="64">
        <v>3993.8317393471357</v>
      </c>
      <c r="AX291" s="64">
        <v>963.84474999398526</v>
      </c>
      <c r="AY291" s="64">
        <v>284.79237873500404</v>
      </c>
      <c r="AZ291" s="205">
        <f t="shared" si="124"/>
        <v>5242.4688680761246</v>
      </c>
      <c r="BA291" s="205"/>
      <c r="BB291" s="64">
        <v>4304.6896618141891</v>
      </c>
      <c r="BC291" s="64">
        <v>972.46786382809353</v>
      </c>
      <c r="BD291" s="64">
        <v>288.20988727982404</v>
      </c>
      <c r="BE291" s="205">
        <f t="shared" si="119"/>
        <v>5565.3674129221072</v>
      </c>
      <c r="BF291" s="205"/>
      <c r="BG291" s="64">
        <v>4553.1420513456396</v>
      </c>
      <c r="BH291" s="64">
        <v>988.73092720372756</v>
      </c>
      <c r="BI291" s="64">
        <v>302.20539846337289</v>
      </c>
      <c r="BJ291" s="205">
        <f t="shared" si="125"/>
        <v>5844.07837701274</v>
      </c>
      <c r="BK291" s="205"/>
      <c r="BL291" s="64">
        <v>4767.5198816394795</v>
      </c>
      <c r="BM291" s="64">
        <v>1007.2818331202385</v>
      </c>
      <c r="BN291" s="64">
        <v>320.26937220027884</v>
      </c>
      <c r="BO291" s="205">
        <f t="shared" si="126"/>
        <v>6095.071086959997</v>
      </c>
      <c r="BQ291" s="64">
        <v>5009.8429132262618</v>
      </c>
      <c r="BR291" s="64">
        <v>1025.6835660339248</v>
      </c>
      <c r="BS291" s="64">
        <v>331.49832884754471</v>
      </c>
      <c r="BT291" s="205">
        <f t="shared" si="127"/>
        <v>6367.0248081077316</v>
      </c>
      <c r="BU291" s="205"/>
      <c r="BV291" s="5">
        <f t="shared" si="128"/>
        <v>8624</v>
      </c>
      <c r="BW291" s="5">
        <f t="shared" si="129"/>
        <v>9020</v>
      </c>
      <c r="BX291" s="5">
        <f t="shared" si="130"/>
        <v>9308.8803399999997</v>
      </c>
      <c r="BY291" s="5">
        <f t="shared" si="131"/>
        <v>9519.2473399999999</v>
      </c>
      <c r="BZ291" s="5">
        <f t="shared" si="132"/>
        <v>5332.0970800000005</v>
      </c>
      <c r="CA291" s="5">
        <f t="shared" si="133"/>
        <v>5242.4688680761246</v>
      </c>
      <c r="CB291" s="5">
        <f t="shared" si="134"/>
        <v>5565.3674129221072</v>
      </c>
      <c r="CC291" s="5">
        <f t="shared" si="135"/>
        <v>5844.07837701274</v>
      </c>
      <c r="CD291" s="5">
        <f t="shared" si="136"/>
        <v>6095.071086959997</v>
      </c>
      <c r="CE291" s="5">
        <f t="shared" si="144"/>
        <v>6367.0248081077316</v>
      </c>
      <c r="CH291" s="41">
        <f>BV291/'1. Väestöennuste'!I291*1000</f>
        <v>3761.0117749672913</v>
      </c>
      <c r="CI291" s="41">
        <f>BW291/'1. Väestöennuste'!J291*1000</f>
        <v>3935.4275741710298</v>
      </c>
      <c r="CJ291" s="41">
        <f>BX291/'1. Väestöennuste'!K291*1000</f>
        <v>4099.0226067811536</v>
      </c>
      <c r="CK291" s="41">
        <f>BY291/'1. Väestöennuste'!L291*1000</f>
        <v>4272.5526660682226</v>
      </c>
      <c r="CL291" s="41">
        <f>BZ291/'1. Väestöennuste'!M291*1000</f>
        <v>2375.0989220489978</v>
      </c>
      <c r="CM291" s="41">
        <f>CA291/'1. Väestöennuste'!N291*1000</f>
        <v>2257.7385306098727</v>
      </c>
      <c r="CN291" s="41">
        <f>CB291/'1. Väestöennuste'!O291*1000</f>
        <v>2392.6773056414909</v>
      </c>
      <c r="CO291" s="41">
        <f>CC291/'1. Väestöennuste'!P291*1000</f>
        <v>2507.1121308505963</v>
      </c>
      <c r="CP291" s="41">
        <f>CD291/'1. Väestöennuste'!Q291*1000</f>
        <v>2608.074919537868</v>
      </c>
      <c r="CQ291" s="41">
        <f>CE291/'1. Väestöennuste'!R291*1000</f>
        <v>2718.6271597385703</v>
      </c>
      <c r="CR291" s="41"/>
      <c r="CU291" s="159">
        <f t="shared" si="137"/>
        <v>174.41579920373852</v>
      </c>
      <c r="CV291" s="159">
        <f t="shared" si="138"/>
        <v>163.59503261012378</v>
      </c>
      <c r="CW291" s="159">
        <f t="shared" si="139"/>
        <v>173.53005928706898</v>
      </c>
      <c r="CX291" s="159">
        <f t="shared" si="140"/>
        <v>-1897.4537440192248</v>
      </c>
      <c r="CY291" s="159">
        <f t="shared" si="141"/>
        <v>-117.36039143912512</v>
      </c>
      <c r="CZ291" s="159">
        <f t="shared" si="142"/>
        <v>134.93877503161821</v>
      </c>
      <c r="DA291" s="159">
        <f t="shared" si="145"/>
        <v>114.43482520910538</v>
      </c>
      <c r="DB291" s="159">
        <f t="shared" si="146"/>
        <v>100.96278868727177</v>
      </c>
      <c r="DC291" s="159">
        <f t="shared" si="146"/>
        <v>110.55224020070227</v>
      </c>
    </row>
    <row r="292" spans="1:107" x14ac:dyDescent="0.2">
      <c r="A292" s="99">
        <v>11</v>
      </c>
      <c r="B292" s="30">
        <v>921</v>
      </c>
      <c r="C292" s="47" t="s">
        <v>606</v>
      </c>
      <c r="D292" s="64">
        <v>5094.5790499999994</v>
      </c>
      <c r="E292" s="64">
        <v>517.64936</v>
      </c>
      <c r="F292" s="64">
        <v>560.75068999999996</v>
      </c>
      <c r="G292" s="205">
        <v>6171</v>
      </c>
      <c r="H292" s="205"/>
      <c r="I292" s="64">
        <v>4724</v>
      </c>
      <c r="J292" s="64">
        <v>532</v>
      </c>
      <c r="K292" s="64">
        <v>521</v>
      </c>
      <c r="L292" s="205">
        <v>5776</v>
      </c>
      <c r="M292" s="205"/>
      <c r="N292" s="64">
        <v>4821</v>
      </c>
      <c r="O292" s="64">
        <v>521</v>
      </c>
      <c r="P292" s="64">
        <v>600</v>
      </c>
      <c r="Q292" s="205">
        <v>5942</v>
      </c>
      <c r="R292" s="205"/>
      <c r="S292" s="64">
        <v>4919</v>
      </c>
      <c r="T292" s="64">
        <v>559</v>
      </c>
      <c r="U292" s="64">
        <v>548</v>
      </c>
      <c r="V292" s="205">
        <v>6026</v>
      </c>
      <c r="W292" s="205"/>
      <c r="X292" s="64">
        <v>4707</v>
      </c>
      <c r="Y292" s="64">
        <v>595</v>
      </c>
      <c r="Z292" s="64">
        <v>581</v>
      </c>
      <c r="AA292" s="205">
        <f t="shared" si="143"/>
        <v>5883</v>
      </c>
      <c r="AB292" s="205"/>
      <c r="AC292" s="64">
        <v>4927</v>
      </c>
      <c r="AD292" s="64">
        <v>673</v>
      </c>
      <c r="AE292" s="64">
        <v>664</v>
      </c>
      <c r="AF292" s="205">
        <f t="shared" si="120"/>
        <v>6264</v>
      </c>
      <c r="AG292" s="205"/>
      <c r="AH292" s="278">
        <v>5555.5216799999998</v>
      </c>
      <c r="AI292" s="64">
        <v>877.65949000000001</v>
      </c>
      <c r="AJ292" s="64">
        <v>973.11653000000001</v>
      </c>
      <c r="AK292" s="205">
        <f t="shared" si="121"/>
        <v>7406.2977000000001</v>
      </c>
      <c r="AL292" s="205"/>
      <c r="AM292" s="64">
        <v>5191.4977600000002</v>
      </c>
      <c r="AN292" s="64">
        <v>824.15942000000007</v>
      </c>
      <c r="AO292" s="64">
        <v>923.17191000000003</v>
      </c>
      <c r="AP292" s="205">
        <f t="shared" si="122"/>
        <v>6938.8290900000002</v>
      </c>
      <c r="AQ292" s="205"/>
      <c r="AR292" s="64">
        <v>2703.88031</v>
      </c>
      <c r="AS292" s="64">
        <v>796.92403999999999</v>
      </c>
      <c r="AT292" s="64">
        <v>524.37968999999998</v>
      </c>
      <c r="AU292" s="205">
        <f t="shared" si="123"/>
        <v>4025.1840400000001</v>
      </c>
      <c r="AV292" s="205"/>
      <c r="AW292" s="64">
        <v>2615.9014515964614</v>
      </c>
      <c r="AX292" s="64">
        <v>843.67349891428569</v>
      </c>
      <c r="AY292" s="64">
        <v>450.53435043090536</v>
      </c>
      <c r="AZ292" s="205">
        <f t="shared" si="124"/>
        <v>3910.1093009416522</v>
      </c>
      <c r="BA292" s="205"/>
      <c r="BB292" s="64">
        <v>2672.5491147921362</v>
      </c>
      <c r="BC292" s="64">
        <v>852.8316164141844</v>
      </c>
      <c r="BD292" s="64">
        <v>455.94076263607622</v>
      </c>
      <c r="BE292" s="205">
        <f t="shared" si="119"/>
        <v>3981.3214938423966</v>
      </c>
      <c r="BF292" s="205"/>
      <c r="BG292" s="64">
        <v>2715.9534331759155</v>
      </c>
      <c r="BH292" s="64">
        <v>868.80075520370588</v>
      </c>
      <c r="BI292" s="64">
        <v>478.08130785725217</v>
      </c>
      <c r="BJ292" s="205">
        <f t="shared" si="125"/>
        <v>4062.8354962368735</v>
      </c>
      <c r="BK292" s="205"/>
      <c r="BL292" s="64">
        <v>2755.2963961441519</v>
      </c>
      <c r="BM292" s="64">
        <v>886.91691098748515</v>
      </c>
      <c r="BN292" s="64">
        <v>506.65805808458384</v>
      </c>
      <c r="BO292" s="205">
        <f t="shared" si="126"/>
        <v>4148.8713652162205</v>
      </c>
      <c r="BQ292" s="64">
        <v>2811.4672127429558</v>
      </c>
      <c r="BR292" s="64">
        <v>905.05198734960061</v>
      </c>
      <c r="BS292" s="64">
        <v>524.42198390157387</v>
      </c>
      <c r="BT292" s="205">
        <f t="shared" si="127"/>
        <v>4240.9411839941304</v>
      </c>
      <c r="BU292" s="205"/>
      <c r="BV292" s="5">
        <f t="shared" si="128"/>
        <v>5883</v>
      </c>
      <c r="BW292" s="5">
        <f t="shared" si="129"/>
        <v>6264</v>
      </c>
      <c r="BX292" s="5">
        <f t="shared" si="130"/>
        <v>7406.2977000000001</v>
      </c>
      <c r="BY292" s="5">
        <f t="shared" si="131"/>
        <v>6938.8290900000002</v>
      </c>
      <c r="BZ292" s="5">
        <f t="shared" si="132"/>
        <v>4025.1840400000001</v>
      </c>
      <c r="CA292" s="5">
        <f t="shared" si="133"/>
        <v>3910.1093009416522</v>
      </c>
      <c r="CB292" s="5">
        <f t="shared" si="134"/>
        <v>3981.3214938423966</v>
      </c>
      <c r="CC292" s="5">
        <f t="shared" si="135"/>
        <v>4062.8354962368735</v>
      </c>
      <c r="CD292" s="5">
        <f t="shared" si="136"/>
        <v>4148.8713652162205</v>
      </c>
      <c r="CE292" s="5">
        <f t="shared" si="144"/>
        <v>4240.9411839941304</v>
      </c>
      <c r="CH292" s="41">
        <f>BV292/'1. Väestöennuste'!I292*1000</f>
        <v>2921.0526315789475</v>
      </c>
      <c r="CI292" s="41">
        <f>BW292/'1. Väestöennuste'!J292*1000</f>
        <v>3176.4705882352941</v>
      </c>
      <c r="CJ292" s="41">
        <f>BX292/'1. Väestöennuste'!K292*1000</f>
        <v>3815.712364760433</v>
      </c>
      <c r="CK292" s="41">
        <f>BY292/'1. Väestöennuste'!L292*1000</f>
        <v>3663.5845248152064</v>
      </c>
      <c r="CL292" s="41">
        <f>BZ292/'1. Väestöennuste'!M292*1000</f>
        <v>2124.1076728232188</v>
      </c>
      <c r="CM292" s="41">
        <f>CA292/'1. Väestöennuste'!N292*1000</f>
        <v>2156.7067296975465</v>
      </c>
      <c r="CN292" s="41">
        <f>CB292/'1. Väestöennuste'!O292*1000</f>
        <v>2236.697468450785</v>
      </c>
      <c r="CO292" s="41">
        <f>CC292/'1. Väestöennuste'!P292*1000</f>
        <v>2324.2765996778453</v>
      </c>
      <c r="CP292" s="41">
        <f>CD292/'1. Väestöennuste'!Q292*1000</f>
        <v>2414.9425874366825</v>
      </c>
      <c r="CQ292" s="41">
        <f>CE292/'1. Väestöennuste'!R292*1000</f>
        <v>2510.918403785749</v>
      </c>
      <c r="CR292" s="41"/>
      <c r="CU292" s="159">
        <f t="shared" si="137"/>
        <v>255.41795665634663</v>
      </c>
      <c r="CV292" s="159">
        <f t="shared" si="138"/>
        <v>639.2417765251389</v>
      </c>
      <c r="CW292" s="159">
        <f t="shared" si="139"/>
        <v>-152.1278399452267</v>
      </c>
      <c r="CX292" s="159">
        <f t="shared" si="140"/>
        <v>-1539.4768519919876</v>
      </c>
      <c r="CY292" s="159">
        <f t="shared" si="141"/>
        <v>32.599056874327744</v>
      </c>
      <c r="CZ292" s="159">
        <f t="shared" si="142"/>
        <v>79.990738753238475</v>
      </c>
      <c r="DA292" s="159">
        <f t="shared" si="145"/>
        <v>87.579131227060316</v>
      </c>
      <c r="DB292" s="159">
        <f t="shared" si="146"/>
        <v>90.665987758837218</v>
      </c>
      <c r="DC292" s="159">
        <f t="shared" si="146"/>
        <v>95.975816349066463</v>
      </c>
    </row>
    <row r="293" spans="1:107" x14ac:dyDescent="0.2">
      <c r="A293" s="99">
        <v>6</v>
      </c>
      <c r="B293" s="30">
        <v>922</v>
      </c>
      <c r="C293" s="47" t="s">
        <v>607</v>
      </c>
      <c r="D293" s="64">
        <v>14477.000529999999</v>
      </c>
      <c r="E293" s="64">
        <v>1117.11078</v>
      </c>
      <c r="F293" s="64">
        <v>434.63600000000002</v>
      </c>
      <c r="G293" s="205">
        <v>16029</v>
      </c>
      <c r="H293" s="205"/>
      <c r="I293" s="64">
        <v>14963</v>
      </c>
      <c r="J293" s="64">
        <v>1148</v>
      </c>
      <c r="K293" s="64">
        <v>428</v>
      </c>
      <c r="L293" s="205">
        <v>16539</v>
      </c>
      <c r="M293" s="205"/>
      <c r="N293" s="64">
        <v>15003</v>
      </c>
      <c r="O293" s="64">
        <v>1251</v>
      </c>
      <c r="P293" s="64">
        <v>508</v>
      </c>
      <c r="Q293" s="205">
        <v>16762</v>
      </c>
      <c r="R293" s="205"/>
      <c r="S293" s="64">
        <v>14493</v>
      </c>
      <c r="T293" s="64">
        <v>1234</v>
      </c>
      <c r="U293" s="64">
        <v>506</v>
      </c>
      <c r="V293" s="205">
        <v>16233</v>
      </c>
      <c r="W293" s="205"/>
      <c r="X293" s="64">
        <v>15175</v>
      </c>
      <c r="Y293" s="64">
        <v>1260</v>
      </c>
      <c r="Z293" s="64">
        <v>525</v>
      </c>
      <c r="AA293" s="205">
        <f t="shared" si="143"/>
        <v>16960</v>
      </c>
      <c r="AB293" s="205"/>
      <c r="AC293" s="64">
        <v>16184</v>
      </c>
      <c r="AD293" s="64">
        <v>1183</v>
      </c>
      <c r="AE293" s="64">
        <v>575</v>
      </c>
      <c r="AF293" s="205">
        <f t="shared" si="120"/>
        <v>17942</v>
      </c>
      <c r="AG293" s="205"/>
      <c r="AH293" s="278">
        <v>17036.640159999999</v>
      </c>
      <c r="AI293" s="64">
        <v>1313.9806899999999</v>
      </c>
      <c r="AJ293" s="64">
        <v>845.59865000000002</v>
      </c>
      <c r="AK293" s="205">
        <f t="shared" si="121"/>
        <v>19196.219499999999</v>
      </c>
      <c r="AL293" s="205"/>
      <c r="AM293" s="64">
        <v>18518.479769999998</v>
      </c>
      <c r="AN293" s="64">
        <v>1394.3832299999999</v>
      </c>
      <c r="AO293" s="64">
        <v>895.93949999999995</v>
      </c>
      <c r="AP293" s="205">
        <f t="shared" si="122"/>
        <v>20808.802499999998</v>
      </c>
      <c r="AQ293" s="205"/>
      <c r="AR293" s="64">
        <v>10005.445169999999</v>
      </c>
      <c r="AS293" s="64">
        <v>1431.6971799999999</v>
      </c>
      <c r="AT293" s="64">
        <v>568.06067000000007</v>
      </c>
      <c r="AU293" s="205">
        <f t="shared" si="123"/>
        <v>12005.203019999999</v>
      </c>
      <c r="AV293" s="205"/>
      <c r="AW293" s="64">
        <v>9106.7624124556914</v>
      </c>
      <c r="AX293" s="64">
        <v>1487.0207159051113</v>
      </c>
      <c r="AY293" s="64">
        <v>467.39844372284097</v>
      </c>
      <c r="AZ293" s="205">
        <f t="shared" si="124"/>
        <v>11061.181572083644</v>
      </c>
      <c r="BA293" s="205"/>
      <c r="BB293" s="64">
        <v>9660.2706514555994</v>
      </c>
      <c r="BC293" s="64">
        <v>1515.0869914107293</v>
      </c>
      <c r="BD293" s="64">
        <v>473.00722504751502</v>
      </c>
      <c r="BE293" s="205">
        <f t="shared" si="119"/>
        <v>11648.364867913844</v>
      </c>
      <c r="BF293" s="205"/>
      <c r="BG293" s="64">
        <v>10115.175410014021</v>
      </c>
      <c r="BH293" s="64">
        <v>1555.4761967926279</v>
      </c>
      <c r="BI293" s="64">
        <v>495.9765199961804</v>
      </c>
      <c r="BJ293" s="205">
        <f t="shared" si="125"/>
        <v>12166.628126802829</v>
      </c>
      <c r="BK293" s="205"/>
      <c r="BL293" s="64">
        <v>10518.018435166292</v>
      </c>
      <c r="BM293" s="64">
        <v>1600.037302269141</v>
      </c>
      <c r="BN293" s="64">
        <v>525.6229355694577</v>
      </c>
      <c r="BO293" s="205">
        <f t="shared" si="126"/>
        <v>12643.67867300489</v>
      </c>
      <c r="BQ293" s="64">
        <v>10943.643668947365</v>
      </c>
      <c r="BR293" s="64">
        <v>1644.96868298455</v>
      </c>
      <c r="BS293" s="64">
        <v>544.05178849338688</v>
      </c>
      <c r="BT293" s="205">
        <f t="shared" si="127"/>
        <v>13132.664140425302</v>
      </c>
      <c r="BU293" s="205"/>
      <c r="BV293" s="5">
        <f t="shared" si="128"/>
        <v>16960</v>
      </c>
      <c r="BW293" s="5">
        <f t="shared" si="129"/>
        <v>17942</v>
      </c>
      <c r="BX293" s="5">
        <f t="shared" si="130"/>
        <v>19196.219499999999</v>
      </c>
      <c r="BY293" s="5">
        <f t="shared" si="131"/>
        <v>20808.802499999998</v>
      </c>
      <c r="BZ293" s="5">
        <f t="shared" si="132"/>
        <v>12005.203019999999</v>
      </c>
      <c r="CA293" s="5">
        <f t="shared" si="133"/>
        <v>11061.181572083644</v>
      </c>
      <c r="CB293" s="5">
        <f t="shared" si="134"/>
        <v>11648.364867913844</v>
      </c>
      <c r="CC293" s="5">
        <f t="shared" si="135"/>
        <v>12166.628126802829</v>
      </c>
      <c r="CD293" s="5">
        <f t="shared" si="136"/>
        <v>12643.67867300489</v>
      </c>
      <c r="CE293" s="5">
        <f t="shared" si="144"/>
        <v>13132.664140425302</v>
      </c>
      <c r="CH293" s="41">
        <f>BV293/'1. Väestöennuste'!I293*1000</f>
        <v>3894.3742824339838</v>
      </c>
      <c r="CI293" s="41">
        <f>BW293/'1. Väestöennuste'!J293*1000</f>
        <v>4108.5413327226925</v>
      </c>
      <c r="CJ293" s="41">
        <f>BX293/'1. Väestöennuste'!K293*1000</f>
        <v>4319.5813456345631</v>
      </c>
      <c r="CK293" s="41">
        <f>BY293/'1. Väestöennuste'!L293*1000</f>
        <v>4623.150966451899</v>
      </c>
      <c r="CL293" s="41">
        <f>BZ293/'1. Väestöennuste'!M293*1000</f>
        <v>2686.3287133586932</v>
      </c>
      <c r="CM293" s="41">
        <f>CA293/'1. Väestöennuste'!N293*1000</f>
        <v>2571.769721479573</v>
      </c>
      <c r="CN293" s="41">
        <f>CB293/'1. Väestöennuste'!O293*1000</f>
        <v>2715.236565947283</v>
      </c>
      <c r="CO293" s="41">
        <f>CC293/'1. Väestöennuste'!P293*1000</f>
        <v>2840.0159026150395</v>
      </c>
      <c r="CP293" s="41">
        <f>CD293/'1. Väestöennuste'!Q293*1000</f>
        <v>2955.5116112680903</v>
      </c>
      <c r="CQ293" s="41">
        <f>CE293/'1. Väestöennuste'!R293*1000</f>
        <v>3074.125501035885</v>
      </c>
      <c r="CR293" s="41"/>
      <c r="CU293" s="159">
        <f t="shared" si="137"/>
        <v>214.16705028870865</v>
      </c>
      <c r="CV293" s="159">
        <f t="shared" si="138"/>
        <v>211.04001291187069</v>
      </c>
      <c r="CW293" s="159">
        <f t="shared" si="139"/>
        <v>303.56962081733582</v>
      </c>
      <c r="CX293" s="159">
        <f t="shared" si="140"/>
        <v>-1936.8222530932057</v>
      </c>
      <c r="CY293" s="159">
        <f t="shared" si="141"/>
        <v>-114.55899187912019</v>
      </c>
      <c r="CZ293" s="159">
        <f t="shared" si="142"/>
        <v>143.46684446770996</v>
      </c>
      <c r="DA293" s="159">
        <f t="shared" si="145"/>
        <v>124.77933666775652</v>
      </c>
      <c r="DB293" s="159">
        <f t="shared" si="146"/>
        <v>115.49570865305077</v>
      </c>
      <c r="DC293" s="159">
        <f t="shared" si="146"/>
        <v>118.61388976779472</v>
      </c>
    </row>
    <row r="294" spans="1:107" x14ac:dyDescent="0.2">
      <c r="A294" s="99">
        <v>16</v>
      </c>
      <c r="B294" s="30">
        <v>924</v>
      </c>
      <c r="C294" s="47" t="s">
        <v>608</v>
      </c>
      <c r="D294" s="64">
        <v>9628.7601599999998</v>
      </c>
      <c r="E294" s="64">
        <v>725.20457999999996</v>
      </c>
      <c r="F294" s="64">
        <v>811.26303000000007</v>
      </c>
      <c r="G294" s="205">
        <v>11165</v>
      </c>
      <c r="H294" s="205"/>
      <c r="I294" s="64">
        <v>9273</v>
      </c>
      <c r="J294" s="64">
        <v>726</v>
      </c>
      <c r="K294" s="64">
        <v>783</v>
      </c>
      <c r="L294" s="205">
        <v>10783</v>
      </c>
      <c r="M294" s="205"/>
      <c r="N294" s="64">
        <v>9036</v>
      </c>
      <c r="O294" s="64">
        <v>672</v>
      </c>
      <c r="P294" s="64">
        <v>809</v>
      </c>
      <c r="Q294" s="205">
        <v>10517</v>
      </c>
      <c r="R294" s="205"/>
      <c r="S294" s="64">
        <v>8756</v>
      </c>
      <c r="T294" s="64">
        <v>699</v>
      </c>
      <c r="U294" s="64">
        <v>631</v>
      </c>
      <c r="V294" s="205">
        <v>10086</v>
      </c>
      <c r="W294" s="205"/>
      <c r="X294" s="64">
        <v>8863</v>
      </c>
      <c r="Y294" s="64">
        <v>714</v>
      </c>
      <c r="Z294" s="64">
        <v>606</v>
      </c>
      <c r="AA294" s="205">
        <f t="shared" si="143"/>
        <v>10183</v>
      </c>
      <c r="AB294" s="205"/>
      <c r="AC294" s="64">
        <v>8876</v>
      </c>
      <c r="AD294" s="64">
        <v>650</v>
      </c>
      <c r="AE294" s="64">
        <v>679</v>
      </c>
      <c r="AF294" s="205">
        <f t="shared" si="120"/>
        <v>10205</v>
      </c>
      <c r="AG294" s="205"/>
      <c r="AH294" s="278">
        <v>9302.3088699999989</v>
      </c>
      <c r="AI294" s="64">
        <v>763.87122999999997</v>
      </c>
      <c r="AJ294" s="64">
        <v>995.34599000000003</v>
      </c>
      <c r="AK294" s="205">
        <f t="shared" si="121"/>
        <v>11061.526089999999</v>
      </c>
      <c r="AL294" s="205"/>
      <c r="AM294" s="64">
        <v>9505.82719</v>
      </c>
      <c r="AN294" s="64">
        <v>798.77409999999998</v>
      </c>
      <c r="AO294" s="64">
        <v>1036.08593</v>
      </c>
      <c r="AP294" s="205">
        <f t="shared" si="122"/>
        <v>11340.68722</v>
      </c>
      <c r="AQ294" s="205"/>
      <c r="AR294" s="64">
        <v>4754.2635700000001</v>
      </c>
      <c r="AS294" s="64">
        <v>783.43691000000001</v>
      </c>
      <c r="AT294" s="64">
        <v>660.59379000000001</v>
      </c>
      <c r="AU294" s="205">
        <f t="shared" si="123"/>
        <v>6198.2942700000003</v>
      </c>
      <c r="AV294" s="205"/>
      <c r="AW294" s="64">
        <v>4814.7864807998694</v>
      </c>
      <c r="AX294" s="64">
        <v>848.00870058961505</v>
      </c>
      <c r="AY294" s="64">
        <v>563.19913121340846</v>
      </c>
      <c r="AZ294" s="205">
        <f t="shared" si="124"/>
        <v>6225.9943126028929</v>
      </c>
      <c r="BA294" s="205"/>
      <c r="BB294" s="64">
        <v>4985.2314066932831</v>
      </c>
      <c r="BC294" s="64">
        <v>851.10847328431055</v>
      </c>
      <c r="BD294" s="64">
        <v>569.95752078796943</v>
      </c>
      <c r="BE294" s="205">
        <f t="shared" si="119"/>
        <v>6406.297400765563</v>
      </c>
      <c r="BF294" s="205"/>
      <c r="BG294" s="64">
        <v>5138.7076044856012</v>
      </c>
      <c r="BH294" s="64">
        <v>860.68230278604415</v>
      </c>
      <c r="BI294" s="64">
        <v>597.6347352361712</v>
      </c>
      <c r="BJ294" s="205">
        <f t="shared" si="125"/>
        <v>6597.0246425078158</v>
      </c>
      <c r="BK294" s="205"/>
      <c r="BL294" s="64">
        <v>5244.8974168186724</v>
      </c>
      <c r="BM294" s="64">
        <v>871.98726259752868</v>
      </c>
      <c r="BN294" s="64">
        <v>633.35765155885031</v>
      </c>
      <c r="BO294" s="205">
        <f t="shared" si="126"/>
        <v>6750.2423309750511</v>
      </c>
      <c r="BQ294" s="64">
        <v>5366.3963434178295</v>
      </c>
      <c r="BR294" s="64">
        <v>882.89048857640262</v>
      </c>
      <c r="BS294" s="64">
        <v>655.56378873240749</v>
      </c>
      <c r="BT294" s="205">
        <f t="shared" si="127"/>
        <v>6904.8506207266391</v>
      </c>
      <c r="BU294" s="205"/>
      <c r="BV294" s="5">
        <f t="shared" si="128"/>
        <v>10183</v>
      </c>
      <c r="BW294" s="5">
        <f t="shared" si="129"/>
        <v>10205</v>
      </c>
      <c r="BX294" s="5">
        <f t="shared" si="130"/>
        <v>11061.526089999999</v>
      </c>
      <c r="BY294" s="5">
        <f t="shared" si="131"/>
        <v>11340.68722</v>
      </c>
      <c r="BZ294" s="5">
        <f t="shared" si="132"/>
        <v>6198.2942700000003</v>
      </c>
      <c r="CA294" s="5">
        <f t="shared" si="133"/>
        <v>6225.9943126028929</v>
      </c>
      <c r="CB294" s="5">
        <f t="shared" si="134"/>
        <v>6406.297400765563</v>
      </c>
      <c r="CC294" s="5">
        <f t="shared" si="135"/>
        <v>6597.0246425078158</v>
      </c>
      <c r="CD294" s="5">
        <f t="shared" si="136"/>
        <v>6750.2423309750511</v>
      </c>
      <c r="CE294" s="5">
        <f t="shared" si="144"/>
        <v>6904.8506207266391</v>
      </c>
      <c r="CH294" s="41">
        <f>BV294/'1. Väestöennuste'!I294*1000</f>
        <v>3270.0706486833651</v>
      </c>
      <c r="CI294" s="41">
        <f>BW294/'1. Väestöennuste'!J294*1000</f>
        <v>3329.5269168026102</v>
      </c>
      <c r="CJ294" s="41">
        <f>BX294/'1. Väestöennuste'!K294*1000</f>
        <v>3682.2656757656459</v>
      </c>
      <c r="CK294" s="41">
        <f>BY294/'1. Väestöennuste'!L294*1000</f>
        <v>3849.5204412763069</v>
      </c>
      <c r="CL294" s="41">
        <f>BZ294/'1. Väestöennuste'!M294*1000</f>
        <v>2111.1356505449594</v>
      </c>
      <c r="CM294" s="41">
        <f>CA294/'1. Väestöennuste'!N294*1000</f>
        <v>2156.5619371676112</v>
      </c>
      <c r="CN294" s="41">
        <f>CB294/'1. Väestöennuste'!O294*1000</f>
        <v>2253.3582134243975</v>
      </c>
      <c r="CO294" s="41">
        <f>CC294/'1. Väestöennuste'!P294*1000</f>
        <v>2355.239072655414</v>
      </c>
      <c r="CP294" s="41">
        <f>CD294/'1. Väestöennuste'!Q294*1000</f>
        <v>2447.513535523949</v>
      </c>
      <c r="CQ294" s="41">
        <f>CE294/'1. Väestöennuste'!R294*1000</f>
        <v>2542.2866792071572</v>
      </c>
      <c r="CR294" s="41"/>
      <c r="CU294" s="159">
        <f t="shared" si="137"/>
        <v>59.456268119245124</v>
      </c>
      <c r="CV294" s="159">
        <f t="shared" si="138"/>
        <v>352.73875896303571</v>
      </c>
      <c r="CW294" s="159">
        <f t="shared" si="139"/>
        <v>167.25476551066095</v>
      </c>
      <c r="CX294" s="159">
        <f t="shared" si="140"/>
        <v>-1738.3847907313475</v>
      </c>
      <c r="CY294" s="159">
        <f t="shared" si="141"/>
        <v>45.426286622651787</v>
      </c>
      <c r="CZ294" s="159">
        <f t="shared" si="142"/>
        <v>96.796276256786314</v>
      </c>
      <c r="DA294" s="159">
        <f t="shared" si="145"/>
        <v>101.88085923101653</v>
      </c>
      <c r="DB294" s="159">
        <f t="shared" si="146"/>
        <v>92.274462868535011</v>
      </c>
      <c r="DC294" s="159">
        <f t="shared" si="146"/>
        <v>94.773143683208218</v>
      </c>
    </row>
    <row r="295" spans="1:107" x14ac:dyDescent="0.2">
      <c r="A295" s="99">
        <v>11</v>
      </c>
      <c r="B295" s="30">
        <v>925</v>
      </c>
      <c r="C295" s="47" t="s">
        <v>609</v>
      </c>
      <c r="D295" s="64">
        <v>9661.6934199999996</v>
      </c>
      <c r="E295" s="64">
        <v>814.38774999999998</v>
      </c>
      <c r="F295" s="64">
        <v>2031.9309900000001</v>
      </c>
      <c r="G295" s="205">
        <v>12500</v>
      </c>
      <c r="H295" s="205"/>
      <c r="I295" s="64">
        <v>9260</v>
      </c>
      <c r="J295" s="64">
        <v>817</v>
      </c>
      <c r="K295" s="64">
        <v>2079</v>
      </c>
      <c r="L295" s="205">
        <v>12156</v>
      </c>
      <c r="M295" s="205"/>
      <c r="N295" s="64">
        <v>9562</v>
      </c>
      <c r="O295" s="64">
        <v>815</v>
      </c>
      <c r="P295" s="64">
        <v>3016</v>
      </c>
      <c r="Q295" s="205">
        <v>13393</v>
      </c>
      <c r="R295" s="205"/>
      <c r="S295" s="64">
        <v>9153</v>
      </c>
      <c r="T295" s="64">
        <v>885</v>
      </c>
      <c r="U295" s="64">
        <v>3180</v>
      </c>
      <c r="V295" s="205">
        <v>13218</v>
      </c>
      <c r="W295" s="205"/>
      <c r="X295" s="64">
        <v>10288</v>
      </c>
      <c r="Y295" s="64">
        <v>897</v>
      </c>
      <c r="Z295" s="64">
        <v>3400</v>
      </c>
      <c r="AA295" s="205">
        <f t="shared" si="143"/>
        <v>14585</v>
      </c>
      <c r="AB295" s="205"/>
      <c r="AC295" s="64">
        <v>9620</v>
      </c>
      <c r="AD295" s="64">
        <v>1006</v>
      </c>
      <c r="AE295" s="64">
        <v>3609</v>
      </c>
      <c r="AF295" s="205">
        <f t="shared" si="120"/>
        <v>14235</v>
      </c>
      <c r="AG295" s="205"/>
      <c r="AH295" s="278">
        <v>9912.7321699999993</v>
      </c>
      <c r="AI295" s="64">
        <v>1105.4165800000001</v>
      </c>
      <c r="AJ295" s="64">
        <v>5340.1195700000007</v>
      </c>
      <c r="AK295" s="205">
        <f t="shared" si="121"/>
        <v>16358.268320000001</v>
      </c>
      <c r="AL295" s="205"/>
      <c r="AM295" s="64">
        <v>10557.81697</v>
      </c>
      <c r="AN295" s="64">
        <v>1154.5285800000001</v>
      </c>
      <c r="AO295" s="64">
        <v>4847.4676100000006</v>
      </c>
      <c r="AP295" s="205">
        <f t="shared" si="122"/>
        <v>16559.813160000002</v>
      </c>
      <c r="AQ295" s="205"/>
      <c r="AR295" s="64">
        <v>5320.3973099999994</v>
      </c>
      <c r="AS295" s="64">
        <v>1085.6854599999999</v>
      </c>
      <c r="AT295" s="64">
        <v>2727.3009700000002</v>
      </c>
      <c r="AU295" s="205">
        <f t="shared" si="123"/>
        <v>9133.3837399999993</v>
      </c>
      <c r="AV295" s="205"/>
      <c r="AW295" s="64">
        <v>4993.5201913541796</v>
      </c>
      <c r="AX295" s="64">
        <v>1141.8021630933122</v>
      </c>
      <c r="AY295" s="64">
        <v>2332.9222063600259</v>
      </c>
      <c r="AZ295" s="205">
        <f t="shared" si="124"/>
        <v>8468.2445608075177</v>
      </c>
      <c r="BA295" s="205"/>
      <c r="BB295" s="64">
        <v>5236.5025141028555</v>
      </c>
      <c r="BC295" s="64">
        <v>1124.3742896514161</v>
      </c>
      <c r="BD295" s="64">
        <v>2360.9172728363465</v>
      </c>
      <c r="BE295" s="205">
        <f t="shared" si="119"/>
        <v>8721.7940765906169</v>
      </c>
      <c r="BF295" s="205"/>
      <c r="BG295" s="64">
        <v>5450.0098621247316</v>
      </c>
      <c r="BH295" s="64">
        <v>1116.0355398705035</v>
      </c>
      <c r="BI295" s="64">
        <v>2475.5637355488961</v>
      </c>
      <c r="BJ295" s="205">
        <f t="shared" si="125"/>
        <v>9041.609137544132</v>
      </c>
      <c r="BK295" s="205"/>
      <c r="BL295" s="64">
        <v>5598.9588708714919</v>
      </c>
      <c r="BM295" s="64">
        <v>1110.2687015673073</v>
      </c>
      <c r="BN295" s="64">
        <v>2623.5376583523039</v>
      </c>
      <c r="BO295" s="205">
        <f t="shared" si="126"/>
        <v>9332.765230791103</v>
      </c>
      <c r="BQ295" s="64">
        <v>5784.3349929802534</v>
      </c>
      <c r="BR295" s="64">
        <v>1104.2846221937923</v>
      </c>
      <c r="BS295" s="64">
        <v>2715.5214482030706</v>
      </c>
      <c r="BT295" s="205">
        <f t="shared" si="127"/>
        <v>9604.1410633771156</v>
      </c>
      <c r="BU295" s="205"/>
      <c r="BV295" s="5">
        <f t="shared" si="128"/>
        <v>14585</v>
      </c>
      <c r="BW295" s="5">
        <f t="shared" si="129"/>
        <v>14235</v>
      </c>
      <c r="BX295" s="5">
        <f t="shared" si="130"/>
        <v>16358.268320000001</v>
      </c>
      <c r="BY295" s="5">
        <f t="shared" si="131"/>
        <v>16559.813160000002</v>
      </c>
      <c r="BZ295" s="5">
        <f t="shared" si="132"/>
        <v>9133.3837399999993</v>
      </c>
      <c r="CA295" s="5">
        <f t="shared" si="133"/>
        <v>8468.2445608075177</v>
      </c>
      <c r="CB295" s="5">
        <f t="shared" si="134"/>
        <v>8721.7940765906169</v>
      </c>
      <c r="CC295" s="5">
        <f t="shared" si="135"/>
        <v>9041.609137544132</v>
      </c>
      <c r="CD295" s="5">
        <f t="shared" si="136"/>
        <v>9332.765230791103</v>
      </c>
      <c r="CE295" s="5">
        <f t="shared" si="144"/>
        <v>9604.1410633771156</v>
      </c>
      <c r="CH295" s="41">
        <f>BV295/'1. Väestöennuste'!I295*1000</f>
        <v>4075.1606594020677</v>
      </c>
      <c r="CI295" s="41">
        <f>BW295/'1. Väestöennuste'!J295*1000</f>
        <v>4041.7376490630322</v>
      </c>
      <c r="CJ295" s="41">
        <f>BX295/'1. Väestöennuste'!K295*1000</f>
        <v>4687.1828997134671</v>
      </c>
      <c r="CK295" s="41">
        <f>BY295/'1. Väestöennuste'!L295*1000</f>
        <v>4832.1602451123435</v>
      </c>
      <c r="CL295" s="41">
        <f>BZ295/'1. Väestöennuste'!M295*1000</f>
        <v>2696.5998641865954</v>
      </c>
      <c r="CM295" s="41">
        <f>CA295/'1. Väestöennuste'!N295*1000</f>
        <v>2530.8561150052356</v>
      </c>
      <c r="CN295" s="41">
        <f>CB295/'1. Väestöennuste'!O295*1000</f>
        <v>2635.7794126898207</v>
      </c>
      <c r="CO295" s="41">
        <f>CC295/'1. Väestöennuste'!P295*1000</f>
        <v>2764.1727721015386</v>
      </c>
      <c r="CP295" s="41">
        <f>CD295/'1. Väestöennuste'!Q295*1000</f>
        <v>2884.0436436313671</v>
      </c>
      <c r="CQ295" s="41">
        <f>CE295/'1. Väestöennuste'!R295*1000</f>
        <v>3000.3564709081897</v>
      </c>
      <c r="CR295" s="41"/>
      <c r="CU295" s="159">
        <f t="shared" si="137"/>
        <v>-33.4230103390355</v>
      </c>
      <c r="CV295" s="159">
        <f t="shared" si="138"/>
        <v>645.4452506504349</v>
      </c>
      <c r="CW295" s="159">
        <f t="shared" si="139"/>
        <v>144.97734539887642</v>
      </c>
      <c r="CX295" s="159">
        <f t="shared" si="140"/>
        <v>-2135.5603809257482</v>
      </c>
      <c r="CY295" s="159">
        <f t="shared" si="141"/>
        <v>-165.74374918135982</v>
      </c>
      <c r="CZ295" s="159">
        <f t="shared" si="142"/>
        <v>104.92329768458512</v>
      </c>
      <c r="DA295" s="159">
        <f t="shared" si="145"/>
        <v>128.39335941171794</v>
      </c>
      <c r="DB295" s="159">
        <f t="shared" si="146"/>
        <v>119.87087152982849</v>
      </c>
      <c r="DC295" s="159">
        <f t="shared" si="146"/>
        <v>116.31282727682265</v>
      </c>
    </row>
    <row r="296" spans="1:107" x14ac:dyDescent="0.2">
      <c r="A296" s="99">
        <v>1</v>
      </c>
      <c r="B296" s="30">
        <v>927</v>
      </c>
      <c r="C296" s="47" t="s">
        <v>610</v>
      </c>
      <c r="D296" s="64">
        <v>109055.66945999999</v>
      </c>
      <c r="E296" s="64">
        <v>7311.8121100000008</v>
      </c>
      <c r="F296" s="64">
        <v>3523.1054300000001</v>
      </c>
      <c r="G296" s="205">
        <v>119854</v>
      </c>
      <c r="H296" s="205"/>
      <c r="I296" s="64">
        <v>113836</v>
      </c>
      <c r="J296" s="64">
        <v>7320</v>
      </c>
      <c r="K296" s="64">
        <v>3126</v>
      </c>
      <c r="L296" s="205">
        <v>124292</v>
      </c>
      <c r="M296" s="205"/>
      <c r="N296" s="64">
        <v>114644</v>
      </c>
      <c r="O296" s="64">
        <v>7445</v>
      </c>
      <c r="P296" s="64">
        <v>3710</v>
      </c>
      <c r="Q296" s="205">
        <v>125799</v>
      </c>
      <c r="R296" s="205"/>
      <c r="S296" s="64">
        <v>112303</v>
      </c>
      <c r="T296" s="64">
        <v>7185</v>
      </c>
      <c r="U296" s="64">
        <v>3619</v>
      </c>
      <c r="V296" s="205">
        <v>123107</v>
      </c>
      <c r="W296" s="205"/>
      <c r="X296" s="64">
        <v>114967</v>
      </c>
      <c r="Y296" s="64">
        <v>7319</v>
      </c>
      <c r="Z296" s="64">
        <v>3659</v>
      </c>
      <c r="AA296" s="205">
        <f t="shared" si="143"/>
        <v>125945</v>
      </c>
      <c r="AB296" s="205"/>
      <c r="AC296" s="64">
        <v>118445</v>
      </c>
      <c r="AD296" s="64">
        <v>6581</v>
      </c>
      <c r="AE296" s="64">
        <v>3898</v>
      </c>
      <c r="AF296" s="205">
        <f t="shared" si="120"/>
        <v>128924</v>
      </c>
      <c r="AG296" s="205"/>
      <c r="AH296" s="278">
        <v>124038.21618999999</v>
      </c>
      <c r="AI296" s="64">
        <v>7274.11301</v>
      </c>
      <c r="AJ296" s="64">
        <v>5658.4061600000005</v>
      </c>
      <c r="AK296" s="205">
        <f t="shared" si="121"/>
        <v>136970.73535999999</v>
      </c>
      <c r="AL296" s="205"/>
      <c r="AM296" s="64">
        <v>127804.44087999999</v>
      </c>
      <c r="AN296" s="64">
        <v>7539.8676100000002</v>
      </c>
      <c r="AO296" s="64">
        <v>6037.7105799999999</v>
      </c>
      <c r="AP296" s="205">
        <f t="shared" si="122"/>
        <v>141382.01907000001</v>
      </c>
      <c r="AQ296" s="205"/>
      <c r="AR296" s="64">
        <v>62213.201300000001</v>
      </c>
      <c r="AS296" s="64">
        <v>7822.5669400000006</v>
      </c>
      <c r="AT296" s="64">
        <v>4016.8567400000002</v>
      </c>
      <c r="AU296" s="205">
        <f t="shared" si="123"/>
        <v>74052.624980000008</v>
      </c>
      <c r="AV296" s="205"/>
      <c r="AW296" s="64">
        <v>57638.748786595432</v>
      </c>
      <c r="AX296" s="64">
        <v>8827.8000708162981</v>
      </c>
      <c r="AY296" s="64">
        <v>3186.2413014440494</v>
      </c>
      <c r="AZ296" s="205">
        <f t="shared" si="124"/>
        <v>69652.790158855787</v>
      </c>
      <c r="BA296" s="205"/>
      <c r="BB296" s="64">
        <v>61466.749521237158</v>
      </c>
      <c r="BC296" s="64">
        <v>8964.0161038625884</v>
      </c>
      <c r="BD296" s="64">
        <v>3224.4761970613777</v>
      </c>
      <c r="BE296" s="205">
        <f t="shared" si="119"/>
        <v>73655.241822161115</v>
      </c>
      <c r="BF296" s="205"/>
      <c r="BG296" s="64">
        <v>64356.798178855483</v>
      </c>
      <c r="BH296" s="64">
        <v>9172.0294372600365</v>
      </c>
      <c r="BI296" s="64">
        <v>3381.0571981609141</v>
      </c>
      <c r="BJ296" s="205">
        <f t="shared" si="125"/>
        <v>76909.884814276433</v>
      </c>
      <c r="BK296" s="205"/>
      <c r="BL296" s="64">
        <v>66805.801434285619</v>
      </c>
      <c r="BM296" s="64">
        <v>9403.2766212788683</v>
      </c>
      <c r="BN296" s="64">
        <v>3583.1559321382224</v>
      </c>
      <c r="BO296" s="205">
        <f t="shared" si="126"/>
        <v>79792.233987702712</v>
      </c>
      <c r="BQ296" s="64">
        <v>69498.584504947881</v>
      </c>
      <c r="BR296" s="64">
        <v>9635.328373172928</v>
      </c>
      <c r="BS296" s="64">
        <v>3708.7848748808738</v>
      </c>
      <c r="BT296" s="205">
        <f t="shared" si="127"/>
        <v>82842.697753001688</v>
      </c>
      <c r="BU296" s="205"/>
      <c r="BV296" s="5">
        <f t="shared" si="128"/>
        <v>125945</v>
      </c>
      <c r="BW296" s="5">
        <f t="shared" si="129"/>
        <v>128924</v>
      </c>
      <c r="BX296" s="5">
        <f t="shared" si="130"/>
        <v>136970.73535999999</v>
      </c>
      <c r="BY296" s="5">
        <f t="shared" si="131"/>
        <v>141382.01907000001</v>
      </c>
      <c r="BZ296" s="5">
        <f t="shared" si="132"/>
        <v>74052.624980000008</v>
      </c>
      <c r="CA296" s="5">
        <f t="shared" si="133"/>
        <v>69652.790158855787</v>
      </c>
      <c r="CB296" s="5">
        <f t="shared" si="134"/>
        <v>73655.241822161115</v>
      </c>
      <c r="CC296" s="5">
        <f t="shared" si="135"/>
        <v>76909.884814276433</v>
      </c>
      <c r="CD296" s="5">
        <f t="shared" si="136"/>
        <v>79792.233987702712</v>
      </c>
      <c r="CE296" s="5">
        <f t="shared" si="144"/>
        <v>82842.697753001688</v>
      </c>
      <c r="CH296" s="41">
        <f>BV296/'1. Väestöennuste'!I296*1000</f>
        <v>4319.3977639069899</v>
      </c>
      <c r="CI296" s="41">
        <f>BW296/'1. Väestöennuste'!J296*1000</f>
        <v>4421.2620027434841</v>
      </c>
      <c r="CJ296" s="41">
        <f>BX296/'1. Väestöennuste'!K296*1000</f>
        <v>4684.5218837853554</v>
      </c>
      <c r="CK296" s="41">
        <f>BY296/'1. Väestöennuste'!L296*1000</f>
        <v>4889.9117722131914</v>
      </c>
      <c r="CL296" s="41">
        <f>BZ296/'1. Väestöennuste'!M296*1000</f>
        <v>2570.2899927111175</v>
      </c>
      <c r="CM296" s="41">
        <f>CA296/'1. Väestöennuste'!N296*1000</f>
        <v>2374.796800506505</v>
      </c>
      <c r="CN296" s="41">
        <f>CB296/'1. Väestöennuste'!O296*1000</f>
        <v>2507.0710991579399</v>
      </c>
      <c r="CO296" s="41">
        <f>CC296/'1. Väestöennuste'!P296*1000</f>
        <v>2614.0264024973299</v>
      </c>
      <c r="CP296" s="41">
        <f>CD296/'1. Väestöennuste'!Q296*1000</f>
        <v>2708.3101618254941</v>
      </c>
      <c r="CQ296" s="41">
        <f>CE296/'1. Väestöennuste'!R296*1000</f>
        <v>2808.7030938464718</v>
      </c>
      <c r="CR296" s="41"/>
      <c r="CU296" s="159">
        <f t="shared" si="137"/>
        <v>101.86423883649422</v>
      </c>
      <c r="CV296" s="159">
        <f t="shared" si="138"/>
        <v>263.25988104187127</v>
      </c>
      <c r="CW296" s="159">
        <f t="shared" si="139"/>
        <v>205.38988842783601</v>
      </c>
      <c r="CX296" s="159">
        <f t="shared" si="140"/>
        <v>-2319.6217795020739</v>
      </c>
      <c r="CY296" s="159">
        <f t="shared" si="141"/>
        <v>-195.49319220461257</v>
      </c>
      <c r="CZ296" s="159">
        <f t="shared" si="142"/>
        <v>132.27429865143495</v>
      </c>
      <c r="DA296" s="159">
        <f t="shared" si="145"/>
        <v>106.95530333938996</v>
      </c>
      <c r="DB296" s="159">
        <f t="shared" si="146"/>
        <v>94.283759328164251</v>
      </c>
      <c r="DC296" s="159">
        <f t="shared" si="146"/>
        <v>100.3929320209777</v>
      </c>
    </row>
    <row r="297" spans="1:107" x14ac:dyDescent="0.2">
      <c r="A297" s="99">
        <v>13</v>
      </c>
      <c r="B297" s="30">
        <v>931</v>
      </c>
      <c r="C297" s="47" t="s">
        <v>611</v>
      </c>
      <c r="D297" s="64">
        <v>17455.04364</v>
      </c>
      <c r="E297" s="64">
        <v>2041.1191699999999</v>
      </c>
      <c r="F297" s="64">
        <v>2098.3179700000001</v>
      </c>
      <c r="G297" s="205">
        <v>21594</v>
      </c>
      <c r="H297" s="205"/>
      <c r="I297" s="64">
        <v>16586</v>
      </c>
      <c r="J297" s="64">
        <v>1804</v>
      </c>
      <c r="K297" s="64">
        <v>2149</v>
      </c>
      <c r="L297" s="205">
        <v>20539</v>
      </c>
      <c r="M297" s="205"/>
      <c r="N297" s="64">
        <v>17402</v>
      </c>
      <c r="O297" s="64">
        <v>1898</v>
      </c>
      <c r="P297" s="64">
        <v>2334</v>
      </c>
      <c r="Q297" s="205">
        <v>21634</v>
      </c>
      <c r="R297" s="205"/>
      <c r="S297" s="64">
        <v>15837</v>
      </c>
      <c r="T297" s="64">
        <v>1678</v>
      </c>
      <c r="U297" s="64">
        <v>2229</v>
      </c>
      <c r="V297" s="205">
        <v>19744</v>
      </c>
      <c r="W297" s="205"/>
      <c r="X297" s="64">
        <v>16321</v>
      </c>
      <c r="Y297" s="64">
        <v>1865</v>
      </c>
      <c r="Z297" s="64">
        <v>2276</v>
      </c>
      <c r="AA297" s="205">
        <f t="shared" si="143"/>
        <v>20462</v>
      </c>
      <c r="AB297" s="205"/>
      <c r="AC297" s="64">
        <v>16515</v>
      </c>
      <c r="AD297" s="64">
        <v>1677</v>
      </c>
      <c r="AE297" s="64">
        <v>2547</v>
      </c>
      <c r="AF297" s="205">
        <f t="shared" si="120"/>
        <v>20739</v>
      </c>
      <c r="AG297" s="205"/>
      <c r="AH297" s="278">
        <v>17120.63769</v>
      </c>
      <c r="AI297" s="64">
        <v>1849.96651</v>
      </c>
      <c r="AJ297" s="64">
        <v>3718.9110699999997</v>
      </c>
      <c r="AK297" s="205">
        <f t="shared" si="121"/>
        <v>22689.515269999996</v>
      </c>
      <c r="AL297" s="205"/>
      <c r="AM297" s="64">
        <v>17988.901000000002</v>
      </c>
      <c r="AN297" s="64">
        <v>2057.6193200000002</v>
      </c>
      <c r="AO297" s="64">
        <v>3415.96994</v>
      </c>
      <c r="AP297" s="205">
        <f t="shared" si="122"/>
        <v>23462.490260000002</v>
      </c>
      <c r="AQ297" s="205"/>
      <c r="AR297" s="64">
        <v>8405.1610899999996</v>
      </c>
      <c r="AS297" s="64">
        <v>2014.88931</v>
      </c>
      <c r="AT297" s="64">
        <v>2373.2633100000003</v>
      </c>
      <c r="AU297" s="205">
        <f t="shared" si="123"/>
        <v>12793.31371</v>
      </c>
      <c r="AV297" s="205"/>
      <c r="AW297" s="64">
        <v>8243.5040875070299</v>
      </c>
      <c r="AX297" s="64">
        <v>2199.980086653321</v>
      </c>
      <c r="AY297" s="64">
        <v>2488.8852048951935</v>
      </c>
      <c r="AZ297" s="205">
        <f t="shared" si="124"/>
        <v>12932.369379055544</v>
      </c>
      <c r="BA297" s="205"/>
      <c r="BB297" s="64">
        <v>8566.7466133582038</v>
      </c>
      <c r="BC297" s="64">
        <v>2227.920550768049</v>
      </c>
      <c r="BD297" s="64">
        <v>2518.7518273539358</v>
      </c>
      <c r="BE297" s="205">
        <f t="shared" si="119"/>
        <v>13313.418991480188</v>
      </c>
      <c r="BF297" s="205"/>
      <c r="BG297" s="64">
        <v>8797.7631889005679</v>
      </c>
      <c r="BH297" s="64">
        <v>2273.4312727450192</v>
      </c>
      <c r="BI297" s="64">
        <v>2641.0627574230712</v>
      </c>
      <c r="BJ297" s="205">
        <f t="shared" si="125"/>
        <v>13712.257219068659</v>
      </c>
      <c r="BK297" s="205"/>
      <c r="BL297" s="64">
        <v>8992.9927227160842</v>
      </c>
      <c r="BM297" s="64">
        <v>2324.3490204693121</v>
      </c>
      <c r="BN297" s="64">
        <v>2798.9291904192805</v>
      </c>
      <c r="BO297" s="205">
        <f t="shared" si="126"/>
        <v>14116.270933604676</v>
      </c>
      <c r="BQ297" s="64">
        <v>9224.691363647109</v>
      </c>
      <c r="BR297" s="64">
        <v>2375.0819460917837</v>
      </c>
      <c r="BS297" s="64">
        <v>2897.0623784980053</v>
      </c>
      <c r="BT297" s="205">
        <f t="shared" si="127"/>
        <v>14496.835688236897</v>
      </c>
      <c r="BU297" s="205"/>
      <c r="BV297" s="5">
        <f t="shared" si="128"/>
        <v>20462</v>
      </c>
      <c r="BW297" s="5">
        <f t="shared" si="129"/>
        <v>20739</v>
      </c>
      <c r="BX297" s="5">
        <f t="shared" si="130"/>
        <v>22689.515269999996</v>
      </c>
      <c r="BY297" s="5">
        <f t="shared" si="131"/>
        <v>23462.490260000002</v>
      </c>
      <c r="BZ297" s="5">
        <f t="shared" si="132"/>
        <v>12793.31371</v>
      </c>
      <c r="CA297" s="5">
        <f t="shared" si="133"/>
        <v>12932.369379055544</v>
      </c>
      <c r="CB297" s="5">
        <f t="shared" si="134"/>
        <v>13313.418991480188</v>
      </c>
      <c r="CC297" s="5">
        <f t="shared" si="135"/>
        <v>13712.257219068659</v>
      </c>
      <c r="CD297" s="5">
        <f t="shared" si="136"/>
        <v>14116.270933604676</v>
      </c>
      <c r="CE297" s="5">
        <f t="shared" si="144"/>
        <v>14496.835688236897</v>
      </c>
      <c r="CH297" s="41">
        <f>BV297/'1. Väestöennuste'!I297*1000</f>
        <v>3313.1476683937822</v>
      </c>
      <c r="CI297" s="41">
        <f>BW297/'1. Väestöennuste'!J297*1000</f>
        <v>3401.5089388223714</v>
      </c>
      <c r="CJ297" s="41">
        <f>BX297/'1. Väestöennuste'!K297*1000</f>
        <v>3737.9761565074132</v>
      </c>
      <c r="CK297" s="41">
        <f>BY297/'1. Väestöennuste'!L297*1000</f>
        <v>3942.6130499075789</v>
      </c>
      <c r="CL297" s="41">
        <f>BZ297/'1. Väestöennuste'!M297*1000</f>
        <v>2176.8442589756678</v>
      </c>
      <c r="CM297" s="41">
        <f>CA297/'1. Väestöennuste'!N297*1000</f>
        <v>2275.2233249569922</v>
      </c>
      <c r="CN297" s="41">
        <f>CB297/'1. Väestöennuste'!O297*1000</f>
        <v>2378.6705362658904</v>
      </c>
      <c r="CO297" s="41">
        <f>CC297/'1. Väestöennuste'!P297*1000</f>
        <v>2486.8076204331987</v>
      </c>
      <c r="CP297" s="41">
        <f>CD297/'1. Väestöennuste'!Q297*1000</f>
        <v>2597.767930365233</v>
      </c>
      <c r="CQ297" s="41">
        <f>CE297/'1. Väestöennuste'!R297*1000</f>
        <v>2704.6335239247942</v>
      </c>
      <c r="CR297" s="41"/>
      <c r="CU297" s="159">
        <f t="shared" si="137"/>
        <v>88.361270428589251</v>
      </c>
      <c r="CV297" s="159">
        <f t="shared" si="138"/>
        <v>336.46721768504176</v>
      </c>
      <c r="CW297" s="159">
        <f t="shared" si="139"/>
        <v>204.63689340016572</v>
      </c>
      <c r="CX297" s="159">
        <f t="shared" si="140"/>
        <v>-1765.7687909319111</v>
      </c>
      <c r="CY297" s="159">
        <f t="shared" si="141"/>
        <v>98.379065981324402</v>
      </c>
      <c r="CZ297" s="159">
        <f t="shared" si="142"/>
        <v>103.4472113088982</v>
      </c>
      <c r="DA297" s="159">
        <f t="shared" si="145"/>
        <v>108.13708416730833</v>
      </c>
      <c r="DB297" s="159">
        <f t="shared" si="146"/>
        <v>110.96030993203431</v>
      </c>
      <c r="DC297" s="159">
        <f t="shared" si="146"/>
        <v>106.86559355956115</v>
      </c>
    </row>
    <row r="298" spans="1:107" x14ac:dyDescent="0.2">
      <c r="A298" s="99">
        <v>14</v>
      </c>
      <c r="B298" s="30">
        <v>934</v>
      </c>
      <c r="C298" s="47" t="s">
        <v>612</v>
      </c>
      <c r="D298" s="64">
        <v>9150.3919000000005</v>
      </c>
      <c r="E298" s="64">
        <v>766.38022000000001</v>
      </c>
      <c r="F298" s="64">
        <v>614.66231999999991</v>
      </c>
      <c r="G298" s="205">
        <v>10529</v>
      </c>
      <c r="H298" s="205"/>
      <c r="I298" s="64">
        <v>9192</v>
      </c>
      <c r="J298" s="64">
        <v>866</v>
      </c>
      <c r="K298" s="64">
        <v>571</v>
      </c>
      <c r="L298" s="205">
        <v>10630</v>
      </c>
      <c r="M298" s="205"/>
      <c r="N298" s="64">
        <v>9088</v>
      </c>
      <c r="O298" s="64">
        <v>905</v>
      </c>
      <c r="P298" s="64">
        <v>649</v>
      </c>
      <c r="Q298" s="205">
        <v>10642</v>
      </c>
      <c r="R298" s="205"/>
      <c r="S298" s="64">
        <v>8446</v>
      </c>
      <c r="T298" s="64">
        <v>812</v>
      </c>
      <c r="U298" s="64">
        <v>593</v>
      </c>
      <c r="V298" s="205">
        <v>9851</v>
      </c>
      <c r="W298" s="205"/>
      <c r="X298" s="64">
        <v>9102</v>
      </c>
      <c r="Y298" s="64">
        <v>817</v>
      </c>
      <c r="Z298" s="64">
        <v>599</v>
      </c>
      <c r="AA298" s="205">
        <f t="shared" si="143"/>
        <v>10518</v>
      </c>
      <c r="AB298" s="205"/>
      <c r="AC298" s="64">
        <v>8758</v>
      </c>
      <c r="AD298" s="64">
        <v>723</v>
      </c>
      <c r="AE298" s="64">
        <v>667</v>
      </c>
      <c r="AF298" s="205">
        <f t="shared" si="120"/>
        <v>10148</v>
      </c>
      <c r="AG298" s="205"/>
      <c r="AH298" s="278">
        <v>9117.8767799999987</v>
      </c>
      <c r="AI298" s="64">
        <v>781.42070999999999</v>
      </c>
      <c r="AJ298" s="64">
        <v>961.22288000000003</v>
      </c>
      <c r="AK298" s="205">
        <f t="shared" si="121"/>
        <v>10860.520369999998</v>
      </c>
      <c r="AL298" s="205"/>
      <c r="AM298" s="64">
        <v>9158.5745900000002</v>
      </c>
      <c r="AN298" s="64">
        <v>820.12905000000001</v>
      </c>
      <c r="AO298" s="64">
        <v>981.63485000000003</v>
      </c>
      <c r="AP298" s="205">
        <f t="shared" si="122"/>
        <v>10960.33849</v>
      </c>
      <c r="AQ298" s="205"/>
      <c r="AR298" s="64">
        <v>4905.82672</v>
      </c>
      <c r="AS298" s="64">
        <v>842.90860999999995</v>
      </c>
      <c r="AT298" s="64">
        <v>634.7658100000001</v>
      </c>
      <c r="AU298" s="205">
        <f t="shared" si="123"/>
        <v>6383.5011399999994</v>
      </c>
      <c r="AV298" s="205"/>
      <c r="AW298" s="64">
        <v>4638.705735898533</v>
      </c>
      <c r="AX298" s="64">
        <v>925.20878094634566</v>
      </c>
      <c r="AY298" s="64">
        <v>657.20141890679201</v>
      </c>
      <c r="AZ298" s="205">
        <f t="shared" si="124"/>
        <v>6221.1159357516708</v>
      </c>
      <c r="BA298" s="205"/>
      <c r="BB298" s="64">
        <v>4721.35014933602</v>
      </c>
      <c r="BC298" s="64">
        <v>940.70692746419741</v>
      </c>
      <c r="BD298" s="64">
        <v>665.08783593367343</v>
      </c>
      <c r="BE298" s="205">
        <f t="shared" si="119"/>
        <v>6327.144912733891</v>
      </c>
      <c r="BF298" s="205"/>
      <c r="BG298" s="64">
        <v>4833.5615291320755</v>
      </c>
      <c r="BH298" s="64">
        <v>963.9886979179654</v>
      </c>
      <c r="BI298" s="64">
        <v>697.38459137709299</v>
      </c>
      <c r="BJ298" s="205">
        <f t="shared" si="125"/>
        <v>6494.9348184271339</v>
      </c>
      <c r="BK298" s="205"/>
      <c r="BL298" s="64">
        <v>4901.5613196255727</v>
      </c>
      <c r="BM298" s="64">
        <v>989.98660472128859</v>
      </c>
      <c r="BN298" s="64">
        <v>739.06993851918094</v>
      </c>
      <c r="BO298" s="205">
        <f t="shared" si="126"/>
        <v>6630.6178628660427</v>
      </c>
      <c r="BQ298" s="64">
        <v>4993.7297246205526</v>
      </c>
      <c r="BR298" s="64">
        <v>1016.3594937941178</v>
      </c>
      <c r="BS298" s="64">
        <v>764.98245160750594</v>
      </c>
      <c r="BT298" s="205">
        <f t="shared" si="127"/>
        <v>6775.0716700221765</v>
      </c>
      <c r="BU298" s="205"/>
      <c r="BV298" s="5">
        <f t="shared" si="128"/>
        <v>10518</v>
      </c>
      <c r="BW298" s="5">
        <f t="shared" si="129"/>
        <v>10148</v>
      </c>
      <c r="BX298" s="5">
        <f t="shared" si="130"/>
        <v>10860.520369999998</v>
      </c>
      <c r="BY298" s="5">
        <f t="shared" si="131"/>
        <v>10960.33849</v>
      </c>
      <c r="BZ298" s="5">
        <f t="shared" si="132"/>
        <v>6383.5011399999994</v>
      </c>
      <c r="CA298" s="5">
        <f t="shared" si="133"/>
        <v>6221.1159357516708</v>
      </c>
      <c r="CB298" s="5">
        <f t="shared" si="134"/>
        <v>6327.144912733891</v>
      </c>
      <c r="CC298" s="5">
        <f t="shared" si="135"/>
        <v>6494.9348184271339</v>
      </c>
      <c r="CD298" s="5">
        <f t="shared" si="136"/>
        <v>6630.6178628660427</v>
      </c>
      <c r="CE298" s="5">
        <f t="shared" si="144"/>
        <v>6775.0716700221765</v>
      </c>
      <c r="CH298" s="41">
        <f>BV298/'1. Väestöennuste'!I298*1000</f>
        <v>3720.5518217191366</v>
      </c>
      <c r="CI298" s="41">
        <f>BW298/'1. Väestöennuste'!J298*1000</f>
        <v>3645.1149425287354</v>
      </c>
      <c r="CJ298" s="41">
        <f>BX298/'1. Väestöennuste'!K298*1000</f>
        <v>3940.6822822931781</v>
      </c>
      <c r="CK298" s="41">
        <f>BY298/'1. Väestöennuste'!L298*1000</f>
        <v>4103.4588131785849</v>
      </c>
      <c r="CL298" s="41">
        <f>BZ298/'1. Väestöennuste'!M298*1000</f>
        <v>2403.4266340361446</v>
      </c>
      <c r="CM298" s="41">
        <f>CA298/'1. Väestöennuste'!N298*1000</f>
        <v>2434.879035519245</v>
      </c>
      <c r="CN298" s="41">
        <f>CB298/'1. Väestöennuste'!O298*1000</f>
        <v>2528.8348971758155</v>
      </c>
      <c r="CO298" s="41">
        <f>CC298/'1. Väestöennuste'!P298*1000</f>
        <v>2646.6727051455314</v>
      </c>
      <c r="CP298" s="41">
        <f>CD298/'1. Väestöennuste'!Q298*1000</f>
        <v>2752.4358085786812</v>
      </c>
      <c r="CQ298" s="41">
        <f>CE298/'1. Väestöennuste'!R298*1000</f>
        <v>2861.0944552458518</v>
      </c>
      <c r="CR298" s="41"/>
      <c r="CU298" s="159">
        <f t="shared" si="137"/>
        <v>-75.436879190401214</v>
      </c>
      <c r="CV298" s="159">
        <f t="shared" si="138"/>
        <v>295.56733976444275</v>
      </c>
      <c r="CW298" s="159">
        <f t="shared" si="139"/>
        <v>162.77653088540683</v>
      </c>
      <c r="CX298" s="159">
        <f t="shared" si="140"/>
        <v>-1700.0321791424403</v>
      </c>
      <c r="CY298" s="159">
        <f t="shared" si="141"/>
        <v>31.452401483100402</v>
      </c>
      <c r="CZ298" s="159">
        <f t="shared" si="142"/>
        <v>93.955861656570505</v>
      </c>
      <c r="DA298" s="159">
        <f t="shared" si="145"/>
        <v>117.83780796971587</v>
      </c>
      <c r="DB298" s="159">
        <f t="shared" si="146"/>
        <v>105.76310343314981</v>
      </c>
      <c r="DC298" s="159">
        <f t="shared" si="146"/>
        <v>108.65864666717061</v>
      </c>
    </row>
    <row r="299" spans="1:107" x14ac:dyDescent="0.2">
      <c r="A299" s="99">
        <v>8</v>
      </c>
      <c r="B299" s="30">
        <v>935</v>
      </c>
      <c r="C299" s="47" t="s">
        <v>613</v>
      </c>
      <c r="D299" s="64">
        <v>8757.2638000000006</v>
      </c>
      <c r="E299" s="64">
        <v>1071.89203</v>
      </c>
      <c r="F299" s="64">
        <v>1295.8059499999999</v>
      </c>
      <c r="G299" s="205">
        <v>11124</v>
      </c>
      <c r="H299" s="205"/>
      <c r="I299" s="64">
        <v>8420</v>
      </c>
      <c r="J299" s="64">
        <v>1147</v>
      </c>
      <c r="K299" s="64">
        <v>1164</v>
      </c>
      <c r="L299" s="205">
        <v>10731</v>
      </c>
      <c r="M299" s="205"/>
      <c r="N299" s="64">
        <v>8400</v>
      </c>
      <c r="O299" s="64">
        <v>1406</v>
      </c>
      <c r="P299" s="64">
        <v>1172</v>
      </c>
      <c r="Q299" s="205">
        <v>10978</v>
      </c>
      <c r="R299" s="205"/>
      <c r="S299" s="64">
        <v>8212</v>
      </c>
      <c r="T299" s="64">
        <v>1251</v>
      </c>
      <c r="U299" s="64">
        <v>1000</v>
      </c>
      <c r="V299" s="205">
        <v>10463</v>
      </c>
      <c r="W299" s="205"/>
      <c r="X299" s="64">
        <v>8753</v>
      </c>
      <c r="Y299" s="64">
        <v>1295</v>
      </c>
      <c r="Z299" s="64">
        <v>975</v>
      </c>
      <c r="AA299" s="205">
        <f t="shared" si="143"/>
        <v>11023</v>
      </c>
      <c r="AB299" s="205"/>
      <c r="AC299" s="64">
        <v>8976</v>
      </c>
      <c r="AD299" s="64">
        <v>1339</v>
      </c>
      <c r="AE299" s="64">
        <v>1049</v>
      </c>
      <c r="AF299" s="205">
        <f t="shared" si="120"/>
        <v>11364</v>
      </c>
      <c r="AG299" s="205"/>
      <c r="AH299" s="278">
        <v>9019.0698699999994</v>
      </c>
      <c r="AI299" s="64">
        <v>1357.5080399999999</v>
      </c>
      <c r="AJ299" s="64">
        <v>1536.4276200000002</v>
      </c>
      <c r="AK299" s="205">
        <f t="shared" si="121"/>
        <v>11913.00553</v>
      </c>
      <c r="AL299" s="205"/>
      <c r="AM299" s="64">
        <v>9160.9244099999996</v>
      </c>
      <c r="AN299" s="64">
        <v>1421.8720499999999</v>
      </c>
      <c r="AO299" s="64">
        <v>1369.87445</v>
      </c>
      <c r="AP299" s="205">
        <f t="shared" si="122"/>
        <v>11952.670909999999</v>
      </c>
      <c r="AQ299" s="205"/>
      <c r="AR299" s="64">
        <v>4870.8005199999998</v>
      </c>
      <c r="AS299" s="64">
        <v>1602.0064199999999</v>
      </c>
      <c r="AT299" s="64">
        <v>713.12617</v>
      </c>
      <c r="AU299" s="205">
        <f t="shared" si="123"/>
        <v>7185.9331099999999</v>
      </c>
      <c r="AV299" s="205"/>
      <c r="AW299" s="64">
        <v>5002.1467634210558</v>
      </c>
      <c r="AX299" s="64">
        <v>1604.0964816442365</v>
      </c>
      <c r="AY299" s="64">
        <v>721.06526193704951</v>
      </c>
      <c r="AZ299" s="205">
        <f t="shared" si="124"/>
        <v>7327.3085070023417</v>
      </c>
      <c r="BA299" s="205"/>
      <c r="BB299" s="64">
        <v>5284.8530128054972</v>
      </c>
      <c r="BC299" s="64">
        <v>1588.5673875285318</v>
      </c>
      <c r="BD299" s="64">
        <v>729.71804508029413</v>
      </c>
      <c r="BE299" s="205">
        <f t="shared" si="119"/>
        <v>7603.1384454143235</v>
      </c>
      <c r="BF299" s="205"/>
      <c r="BG299" s="64">
        <v>5467.8445400752616</v>
      </c>
      <c r="BH299" s="64">
        <v>1585.3630816287098</v>
      </c>
      <c r="BI299" s="64">
        <v>765.1532522383435</v>
      </c>
      <c r="BJ299" s="205">
        <f t="shared" si="125"/>
        <v>7818.3608739423144</v>
      </c>
      <c r="BK299" s="205"/>
      <c r="BL299" s="64">
        <v>5611.8543246816816</v>
      </c>
      <c r="BM299" s="64">
        <v>1585.3876549145637</v>
      </c>
      <c r="BN299" s="64">
        <v>810.88939170977915</v>
      </c>
      <c r="BO299" s="205">
        <f t="shared" si="126"/>
        <v>8008.1313713060244</v>
      </c>
      <c r="BQ299" s="64">
        <v>5780.211657545663</v>
      </c>
      <c r="BR299" s="64">
        <v>1584.6949232276966</v>
      </c>
      <c r="BS299" s="64">
        <v>839.31996489472567</v>
      </c>
      <c r="BT299" s="205">
        <f t="shared" si="127"/>
        <v>8204.2265456680852</v>
      </c>
      <c r="BU299" s="205"/>
      <c r="BV299" s="5">
        <f t="shared" si="128"/>
        <v>11023</v>
      </c>
      <c r="BW299" s="5">
        <f t="shared" si="129"/>
        <v>11364</v>
      </c>
      <c r="BX299" s="5">
        <f t="shared" si="130"/>
        <v>11913.00553</v>
      </c>
      <c r="BY299" s="5">
        <f t="shared" si="131"/>
        <v>11952.670909999999</v>
      </c>
      <c r="BZ299" s="5">
        <f t="shared" si="132"/>
        <v>7185.9331099999999</v>
      </c>
      <c r="CA299" s="5">
        <f t="shared" si="133"/>
        <v>7327.3085070023417</v>
      </c>
      <c r="CB299" s="5">
        <f t="shared" si="134"/>
        <v>7603.1384454143235</v>
      </c>
      <c r="CC299" s="5">
        <f t="shared" si="135"/>
        <v>7818.3608739423144</v>
      </c>
      <c r="CD299" s="5">
        <f t="shared" si="136"/>
        <v>8008.1313713060244</v>
      </c>
      <c r="CE299" s="5">
        <f t="shared" si="144"/>
        <v>8204.2265456680852</v>
      </c>
      <c r="CH299" s="41">
        <f>BV299/'1. Väestöennuste'!I299*1000</f>
        <v>3545.5130266966871</v>
      </c>
      <c r="CI299" s="41">
        <f>BW299/'1. Väestöennuste'!J299*1000</f>
        <v>3681.2439261418854</v>
      </c>
      <c r="CJ299" s="41">
        <f>BX299/'1. Väestöennuste'!K299*1000</f>
        <v>3918.7518190789478</v>
      </c>
      <c r="CK299" s="41">
        <f>BY299/'1. Väestöennuste'!L299*1000</f>
        <v>4004.2448609715243</v>
      </c>
      <c r="CL299" s="41">
        <f>BZ299/'1. Väestöennuste'!M299*1000</f>
        <v>2455.0506012982573</v>
      </c>
      <c r="CM299" s="41">
        <f>CA299/'1. Väestöennuste'!N299*1000</f>
        <v>2516.246053228826</v>
      </c>
      <c r="CN299" s="41">
        <f>CB299/'1. Väestöennuste'!O299*1000</f>
        <v>2643.6503634959399</v>
      </c>
      <c r="CO299" s="41">
        <f>CC299/'1. Väestöennuste'!P299*1000</f>
        <v>2751.0066410775207</v>
      </c>
      <c r="CP299" s="41">
        <f>CD299/'1. Väestöennuste'!Q299*1000</f>
        <v>2850.8833646514859</v>
      </c>
      <c r="CQ299" s="41">
        <f>CE299/'1. Väestöennuste'!R299*1000</f>
        <v>2955.4130207738058</v>
      </c>
      <c r="CR299" s="41"/>
      <c r="CU299" s="159">
        <f t="shared" si="137"/>
        <v>135.73089944519825</v>
      </c>
      <c r="CV299" s="159">
        <f t="shared" si="138"/>
        <v>237.50789293706248</v>
      </c>
      <c r="CW299" s="159">
        <f t="shared" si="139"/>
        <v>85.493041892576457</v>
      </c>
      <c r="CX299" s="159">
        <f t="shared" si="140"/>
        <v>-1549.194259673267</v>
      </c>
      <c r="CY299" s="159">
        <f t="shared" si="141"/>
        <v>61.195451930568652</v>
      </c>
      <c r="CZ299" s="159">
        <f t="shared" si="142"/>
        <v>127.40431026711394</v>
      </c>
      <c r="DA299" s="159">
        <f t="shared" si="145"/>
        <v>107.3562775815808</v>
      </c>
      <c r="DB299" s="159">
        <f t="shared" si="146"/>
        <v>99.876723573965137</v>
      </c>
      <c r="DC299" s="159">
        <f t="shared" si="146"/>
        <v>104.52965612231992</v>
      </c>
    </row>
    <row r="300" spans="1:107" x14ac:dyDescent="0.2">
      <c r="A300" s="99">
        <v>6</v>
      </c>
      <c r="B300" s="30">
        <v>936</v>
      </c>
      <c r="C300" s="47" t="s">
        <v>614</v>
      </c>
      <c r="D300" s="64">
        <v>17965.430100000001</v>
      </c>
      <c r="E300" s="64">
        <v>1866.00253</v>
      </c>
      <c r="F300" s="64">
        <v>2170.1703600000001</v>
      </c>
      <c r="G300" s="205">
        <v>22071</v>
      </c>
      <c r="H300" s="205"/>
      <c r="I300" s="64">
        <v>17935</v>
      </c>
      <c r="J300" s="64">
        <v>1886</v>
      </c>
      <c r="K300" s="64">
        <v>2086</v>
      </c>
      <c r="L300" s="205">
        <v>21907</v>
      </c>
      <c r="M300" s="205"/>
      <c r="N300" s="64">
        <v>18134</v>
      </c>
      <c r="O300" s="64">
        <v>1880</v>
      </c>
      <c r="P300" s="64">
        <v>2414</v>
      </c>
      <c r="Q300" s="205">
        <v>22428</v>
      </c>
      <c r="R300" s="205"/>
      <c r="S300" s="64">
        <v>17832</v>
      </c>
      <c r="T300" s="64">
        <v>1873</v>
      </c>
      <c r="U300" s="64">
        <v>2297</v>
      </c>
      <c r="V300" s="205">
        <v>22002</v>
      </c>
      <c r="W300" s="205"/>
      <c r="X300" s="64">
        <v>18558</v>
      </c>
      <c r="Y300" s="64">
        <v>1914</v>
      </c>
      <c r="Z300" s="64">
        <v>2447</v>
      </c>
      <c r="AA300" s="205">
        <f t="shared" si="143"/>
        <v>22919</v>
      </c>
      <c r="AB300" s="205"/>
      <c r="AC300" s="64">
        <v>18223</v>
      </c>
      <c r="AD300" s="64">
        <v>1747</v>
      </c>
      <c r="AE300" s="64">
        <v>2781</v>
      </c>
      <c r="AF300" s="205">
        <f t="shared" si="120"/>
        <v>22751</v>
      </c>
      <c r="AG300" s="205"/>
      <c r="AH300" s="278">
        <v>19773.147809999999</v>
      </c>
      <c r="AI300" s="64">
        <v>1925.4390600000002</v>
      </c>
      <c r="AJ300" s="64">
        <v>4110.44218</v>
      </c>
      <c r="AK300" s="205">
        <f t="shared" si="121"/>
        <v>25809.029049999997</v>
      </c>
      <c r="AL300" s="205"/>
      <c r="AM300" s="64">
        <v>19459.853500000001</v>
      </c>
      <c r="AN300" s="64">
        <v>1978.3088</v>
      </c>
      <c r="AO300" s="64">
        <v>4127.0379199999998</v>
      </c>
      <c r="AP300" s="205">
        <f t="shared" si="122"/>
        <v>25565.200219999999</v>
      </c>
      <c r="AQ300" s="205"/>
      <c r="AR300" s="64">
        <v>9913.602710000001</v>
      </c>
      <c r="AS300" s="64">
        <v>2029.57222</v>
      </c>
      <c r="AT300" s="64">
        <v>2433.2619599999998</v>
      </c>
      <c r="AU300" s="205">
        <f t="shared" si="123"/>
        <v>14376.436890000001</v>
      </c>
      <c r="AV300" s="205"/>
      <c r="AW300" s="64">
        <v>9344.3131745246956</v>
      </c>
      <c r="AX300" s="64">
        <v>2246.0821663243514</v>
      </c>
      <c r="AY300" s="64">
        <v>2012.7832554872311</v>
      </c>
      <c r="AZ300" s="205">
        <f t="shared" si="124"/>
        <v>13603.178596336278</v>
      </c>
      <c r="BA300" s="205"/>
      <c r="BB300" s="64">
        <v>9774.229802588965</v>
      </c>
      <c r="BC300" s="64">
        <v>2266.6665643381616</v>
      </c>
      <c r="BD300" s="64">
        <v>2036.9366545530779</v>
      </c>
      <c r="BE300" s="205">
        <f t="shared" si="119"/>
        <v>14077.833021480204</v>
      </c>
      <c r="BF300" s="205"/>
      <c r="BG300" s="64">
        <v>10051.415434655191</v>
      </c>
      <c r="BH300" s="64">
        <v>2304.7543839516202</v>
      </c>
      <c r="BI300" s="64">
        <v>2135.8505745370221</v>
      </c>
      <c r="BJ300" s="205">
        <f t="shared" si="125"/>
        <v>14492.020393143834</v>
      </c>
      <c r="BK300" s="205"/>
      <c r="BL300" s="64">
        <v>10270.247274829077</v>
      </c>
      <c r="BM300" s="64">
        <v>2347.8624412197855</v>
      </c>
      <c r="BN300" s="64">
        <v>2263.5185410279264</v>
      </c>
      <c r="BO300" s="205">
        <f t="shared" si="126"/>
        <v>14881.628257076789</v>
      </c>
      <c r="BQ300" s="64">
        <v>10546.983234066856</v>
      </c>
      <c r="BR300" s="64">
        <v>2390.2964888446481</v>
      </c>
      <c r="BS300" s="64">
        <v>2342.8797093871372</v>
      </c>
      <c r="BT300" s="205">
        <f t="shared" si="127"/>
        <v>15280.159432298642</v>
      </c>
      <c r="BU300" s="205"/>
      <c r="BV300" s="5">
        <f t="shared" si="128"/>
        <v>22919</v>
      </c>
      <c r="BW300" s="5">
        <f t="shared" si="129"/>
        <v>22751</v>
      </c>
      <c r="BX300" s="5">
        <f t="shared" si="130"/>
        <v>25809.029049999997</v>
      </c>
      <c r="BY300" s="5">
        <f t="shared" si="131"/>
        <v>25565.200219999999</v>
      </c>
      <c r="BZ300" s="5">
        <f t="shared" si="132"/>
        <v>14376.436890000001</v>
      </c>
      <c r="CA300" s="5">
        <f t="shared" si="133"/>
        <v>13603.178596336278</v>
      </c>
      <c r="CB300" s="5">
        <f t="shared" si="134"/>
        <v>14077.833021480204</v>
      </c>
      <c r="CC300" s="5">
        <f t="shared" si="135"/>
        <v>14492.020393143834</v>
      </c>
      <c r="CD300" s="5">
        <f t="shared" si="136"/>
        <v>14881.628257076789</v>
      </c>
      <c r="CE300" s="5">
        <f t="shared" si="144"/>
        <v>15280.159432298642</v>
      </c>
      <c r="CH300" s="41">
        <f>BV300/'1. Väestöennuste'!I300*1000</f>
        <v>3502.29217603912</v>
      </c>
      <c r="CI300" s="41">
        <f>BW300/'1. Väestöennuste'!J300*1000</f>
        <v>3494.7772657450078</v>
      </c>
      <c r="CJ300" s="41">
        <f>BX300/'1. Väestöennuste'!K300*1000</f>
        <v>3992.1158623356532</v>
      </c>
      <c r="CK300" s="41">
        <f>BY300/'1. Väestöennuste'!L300*1000</f>
        <v>3997.68572634871</v>
      </c>
      <c r="CL300" s="41">
        <f>BZ300/'1. Väestöennuste'!M300*1000</f>
        <v>2291.0656398406377</v>
      </c>
      <c r="CM300" s="41">
        <f>CA300/'1. Väestöennuste'!N300*1000</f>
        <v>2218.7536448110059</v>
      </c>
      <c r="CN300" s="41">
        <f>CB300/'1. Väestöennuste'!O300*1000</f>
        <v>2327.6840313293987</v>
      </c>
      <c r="CO300" s="41">
        <f>CC300/'1. Väestöennuste'!P300*1000</f>
        <v>2428.2875993873713</v>
      </c>
      <c r="CP300" s="41">
        <f>CD300/'1. Väestöennuste'!Q300*1000</f>
        <v>2524.8775461616542</v>
      </c>
      <c r="CQ300" s="41">
        <f>CE300/'1. Väestöennuste'!R300*1000</f>
        <v>2625.005915186161</v>
      </c>
      <c r="CR300" s="41"/>
      <c r="CU300" s="159">
        <f t="shared" si="137"/>
        <v>-7.5149102941122692</v>
      </c>
      <c r="CV300" s="159">
        <f t="shared" si="138"/>
        <v>497.33859659064547</v>
      </c>
      <c r="CW300" s="159">
        <f t="shared" si="139"/>
        <v>5.5698640130567583</v>
      </c>
      <c r="CX300" s="159">
        <f t="shared" si="140"/>
        <v>-1706.6200865080723</v>
      </c>
      <c r="CY300" s="159">
        <f t="shared" si="141"/>
        <v>-72.311995029631817</v>
      </c>
      <c r="CZ300" s="159">
        <f t="shared" si="142"/>
        <v>108.93038651839288</v>
      </c>
      <c r="DA300" s="159">
        <f t="shared" si="145"/>
        <v>100.60356805797255</v>
      </c>
      <c r="DB300" s="159">
        <f t="shared" si="146"/>
        <v>96.589946774282907</v>
      </c>
      <c r="DC300" s="159">
        <f t="shared" si="146"/>
        <v>100.12836902450681</v>
      </c>
    </row>
    <row r="301" spans="1:107" x14ac:dyDescent="0.2">
      <c r="A301" s="99">
        <v>15</v>
      </c>
      <c r="B301" s="30">
        <v>946</v>
      </c>
      <c r="C301" s="47" t="s">
        <v>615</v>
      </c>
      <c r="D301" s="64">
        <v>19416.988679999999</v>
      </c>
      <c r="E301" s="64">
        <v>1662.7925400000001</v>
      </c>
      <c r="F301" s="64">
        <v>2778.2179000000001</v>
      </c>
      <c r="G301" s="205">
        <v>23852</v>
      </c>
      <c r="H301" s="205"/>
      <c r="I301" s="64">
        <v>19123</v>
      </c>
      <c r="J301" s="64">
        <v>1691</v>
      </c>
      <c r="K301" s="64">
        <v>2391</v>
      </c>
      <c r="L301" s="205">
        <v>23205</v>
      </c>
      <c r="M301" s="205"/>
      <c r="N301" s="64">
        <v>18915</v>
      </c>
      <c r="O301" s="64">
        <v>1792</v>
      </c>
      <c r="P301" s="64">
        <v>2284</v>
      </c>
      <c r="Q301" s="205">
        <v>22991</v>
      </c>
      <c r="R301" s="205"/>
      <c r="S301" s="64">
        <v>18173</v>
      </c>
      <c r="T301" s="64">
        <v>1778</v>
      </c>
      <c r="U301" s="64">
        <v>1864</v>
      </c>
      <c r="V301" s="205">
        <v>21815</v>
      </c>
      <c r="W301" s="205"/>
      <c r="X301" s="64">
        <v>19065</v>
      </c>
      <c r="Y301" s="64">
        <v>1830</v>
      </c>
      <c r="Z301" s="64">
        <v>1721</v>
      </c>
      <c r="AA301" s="205">
        <f t="shared" si="143"/>
        <v>22616</v>
      </c>
      <c r="AB301" s="205"/>
      <c r="AC301" s="64">
        <v>19837</v>
      </c>
      <c r="AD301" s="64">
        <v>1761</v>
      </c>
      <c r="AE301" s="64">
        <v>1925</v>
      </c>
      <c r="AF301" s="205">
        <f t="shared" si="120"/>
        <v>23523</v>
      </c>
      <c r="AG301" s="205"/>
      <c r="AH301" s="278">
        <v>20829.01269</v>
      </c>
      <c r="AI301" s="64">
        <v>2002.2131399999998</v>
      </c>
      <c r="AJ301" s="64">
        <v>2699.63321</v>
      </c>
      <c r="AK301" s="205">
        <f t="shared" si="121"/>
        <v>25530.859039999999</v>
      </c>
      <c r="AL301" s="205"/>
      <c r="AM301" s="64">
        <v>21935.77864</v>
      </c>
      <c r="AN301" s="64">
        <v>2191.7642599999999</v>
      </c>
      <c r="AO301" s="64">
        <v>2698.5312000000004</v>
      </c>
      <c r="AP301" s="205">
        <f t="shared" si="122"/>
        <v>26826.074100000002</v>
      </c>
      <c r="AQ301" s="205"/>
      <c r="AR301" s="64">
        <v>10763.84863</v>
      </c>
      <c r="AS301" s="64">
        <v>2391.14282</v>
      </c>
      <c r="AT301" s="64">
        <v>1690.8440399999999</v>
      </c>
      <c r="AU301" s="205">
        <f t="shared" si="123"/>
        <v>14845.835490000001</v>
      </c>
      <c r="AV301" s="205"/>
      <c r="AW301" s="64">
        <v>10901.849320142657</v>
      </c>
      <c r="AX301" s="64">
        <v>2641.5202098175118</v>
      </c>
      <c r="AY301" s="64">
        <v>1312.157452020298</v>
      </c>
      <c r="AZ301" s="205">
        <f t="shared" si="124"/>
        <v>14855.526981980467</v>
      </c>
      <c r="BA301" s="205"/>
      <c r="BB301" s="64">
        <v>11431.17149763264</v>
      </c>
      <c r="BC301" s="64">
        <v>2704.6190836464161</v>
      </c>
      <c r="BD301" s="64">
        <v>1327.9033414445414</v>
      </c>
      <c r="BE301" s="205">
        <f t="shared" si="119"/>
        <v>15463.693922723598</v>
      </c>
      <c r="BF301" s="205"/>
      <c r="BG301" s="64">
        <v>11923.967657125657</v>
      </c>
      <c r="BH301" s="64">
        <v>2790.8079875537046</v>
      </c>
      <c r="BI301" s="64">
        <v>1392.3865076581105</v>
      </c>
      <c r="BJ301" s="205">
        <f t="shared" si="125"/>
        <v>16107.162152337471</v>
      </c>
      <c r="BK301" s="205"/>
      <c r="BL301" s="64">
        <v>12286.250599486439</v>
      </c>
      <c r="BM301" s="64">
        <v>2885.7676136869613</v>
      </c>
      <c r="BN301" s="64">
        <v>1475.6147803291124</v>
      </c>
      <c r="BO301" s="205">
        <f t="shared" si="126"/>
        <v>16647.632993502513</v>
      </c>
      <c r="BQ301" s="64">
        <v>12679.070036078734</v>
      </c>
      <c r="BR301" s="64">
        <v>2982.7736263110592</v>
      </c>
      <c r="BS301" s="64">
        <v>1527.351274151627</v>
      </c>
      <c r="BT301" s="205">
        <f t="shared" si="127"/>
        <v>17189.194936541422</v>
      </c>
      <c r="BU301" s="205"/>
      <c r="BV301" s="5">
        <f t="shared" si="128"/>
        <v>22616</v>
      </c>
      <c r="BW301" s="5">
        <f t="shared" si="129"/>
        <v>23523</v>
      </c>
      <c r="BX301" s="5">
        <f t="shared" si="130"/>
        <v>25530.859039999999</v>
      </c>
      <c r="BY301" s="5">
        <f t="shared" si="131"/>
        <v>26826.074100000002</v>
      </c>
      <c r="BZ301" s="5">
        <f t="shared" si="132"/>
        <v>14845.835490000001</v>
      </c>
      <c r="CA301" s="5">
        <f t="shared" si="133"/>
        <v>14855.526981980467</v>
      </c>
      <c r="CB301" s="5">
        <f t="shared" si="134"/>
        <v>15463.693922723598</v>
      </c>
      <c r="CC301" s="5">
        <f t="shared" si="135"/>
        <v>16107.162152337471</v>
      </c>
      <c r="CD301" s="5">
        <f t="shared" si="136"/>
        <v>16647.632993502513</v>
      </c>
      <c r="CE301" s="5">
        <f t="shared" si="144"/>
        <v>17189.194936541422</v>
      </c>
      <c r="CH301" s="41">
        <f>BV301/'1. Väestöennuste'!I301*1000</f>
        <v>3500.386937006655</v>
      </c>
      <c r="CI301" s="41">
        <f>BW301/'1. Väestöennuste'!J301*1000</f>
        <v>3682.3731997495302</v>
      </c>
      <c r="CJ301" s="41">
        <f>BX301/'1. Väestöennuste'!K301*1000</f>
        <v>4004.2125219573404</v>
      </c>
      <c r="CK301" s="41">
        <f>BY301/'1. Väestöennuste'!L301*1000</f>
        <v>4266.9117385080326</v>
      </c>
      <c r="CL301" s="41">
        <f>BZ301/'1. Väestöennuste'!M301*1000</f>
        <v>2359.8530424415835</v>
      </c>
      <c r="CM301" s="41">
        <f>CA301/'1. Väestöennuste'!N301*1000</f>
        <v>2410.4376086289903</v>
      </c>
      <c r="CN301" s="41">
        <f>CB301/'1. Väestöennuste'!O301*1000</f>
        <v>2531.7115132160443</v>
      </c>
      <c r="CO301" s="41">
        <f>CC301/'1. Väestöennuste'!P301*1000</f>
        <v>2660.1423868435127</v>
      </c>
      <c r="CP301" s="41">
        <f>CD301/'1. Väestöennuste'!Q301*1000</f>
        <v>2775.0680102521278</v>
      </c>
      <c r="CQ301" s="41">
        <f>CE301/'1. Väestöennuste'!R301*1000</f>
        <v>2893.3167710051207</v>
      </c>
      <c r="CR301" s="41"/>
      <c r="CU301" s="159">
        <f t="shared" si="137"/>
        <v>181.98626274287517</v>
      </c>
      <c r="CV301" s="159">
        <f t="shared" si="138"/>
        <v>321.83932220781026</v>
      </c>
      <c r="CW301" s="159">
        <f t="shared" si="139"/>
        <v>262.6992165506922</v>
      </c>
      <c r="CX301" s="159">
        <f t="shared" si="140"/>
        <v>-1907.0586960664491</v>
      </c>
      <c r="CY301" s="159">
        <f t="shared" si="141"/>
        <v>50.584566187406836</v>
      </c>
      <c r="CZ301" s="159">
        <f t="shared" si="142"/>
        <v>121.27390458705395</v>
      </c>
      <c r="DA301" s="159">
        <f t="shared" si="145"/>
        <v>128.43087362746837</v>
      </c>
      <c r="DB301" s="159">
        <f t="shared" si="146"/>
        <v>114.92562340861514</v>
      </c>
      <c r="DC301" s="159">
        <f t="shared" si="146"/>
        <v>118.24876075299289</v>
      </c>
    </row>
    <row r="302" spans="1:107" x14ac:dyDescent="0.2">
      <c r="A302" s="99">
        <v>19</v>
      </c>
      <c r="B302" s="30">
        <v>976</v>
      </c>
      <c r="C302" s="47" t="s">
        <v>616</v>
      </c>
      <c r="D302" s="64">
        <v>10661.30701</v>
      </c>
      <c r="E302" s="64">
        <v>919.67538999999999</v>
      </c>
      <c r="F302" s="64">
        <v>846.48146999999994</v>
      </c>
      <c r="G302" s="205">
        <v>12427</v>
      </c>
      <c r="H302" s="205"/>
      <c r="I302" s="64">
        <v>10517</v>
      </c>
      <c r="J302" s="64">
        <v>957</v>
      </c>
      <c r="K302" s="64">
        <v>708</v>
      </c>
      <c r="L302" s="205">
        <v>12182</v>
      </c>
      <c r="M302" s="205"/>
      <c r="N302" s="64">
        <v>10452</v>
      </c>
      <c r="O302" s="64">
        <v>1068</v>
      </c>
      <c r="P302" s="64">
        <v>762</v>
      </c>
      <c r="Q302" s="205">
        <v>12282</v>
      </c>
      <c r="R302" s="205"/>
      <c r="S302" s="64">
        <v>10553</v>
      </c>
      <c r="T302" s="64">
        <v>1241</v>
      </c>
      <c r="U302" s="64">
        <v>696</v>
      </c>
      <c r="V302" s="205">
        <v>12490</v>
      </c>
      <c r="W302" s="205"/>
      <c r="X302" s="64">
        <v>10568</v>
      </c>
      <c r="Y302" s="64">
        <v>1261</v>
      </c>
      <c r="Z302" s="64">
        <v>740</v>
      </c>
      <c r="AA302" s="205">
        <f t="shared" si="143"/>
        <v>12569</v>
      </c>
      <c r="AB302" s="205"/>
      <c r="AC302" s="64">
        <v>10594</v>
      </c>
      <c r="AD302" s="64">
        <v>1153</v>
      </c>
      <c r="AE302" s="64">
        <v>766</v>
      </c>
      <c r="AF302" s="205">
        <f t="shared" si="120"/>
        <v>12513</v>
      </c>
      <c r="AG302" s="205"/>
      <c r="AH302" s="278">
        <v>11202.71457</v>
      </c>
      <c r="AI302" s="64">
        <v>1269.46227</v>
      </c>
      <c r="AJ302" s="64">
        <v>1028.15895</v>
      </c>
      <c r="AK302" s="205">
        <f t="shared" si="121"/>
        <v>13500.335790000001</v>
      </c>
      <c r="AL302" s="205"/>
      <c r="AM302" s="64">
        <v>11343.235199999999</v>
      </c>
      <c r="AN302" s="64">
        <v>1329.69813</v>
      </c>
      <c r="AO302" s="64">
        <v>1082.9031100000002</v>
      </c>
      <c r="AP302" s="205">
        <f t="shared" si="122"/>
        <v>13755.836439999999</v>
      </c>
      <c r="AQ302" s="205"/>
      <c r="AR302" s="64">
        <v>5269.9499100000003</v>
      </c>
      <c r="AS302" s="64">
        <v>1341.6393400000002</v>
      </c>
      <c r="AT302" s="64">
        <v>670.60648000000003</v>
      </c>
      <c r="AU302" s="205">
        <f t="shared" si="123"/>
        <v>7282.1957300000013</v>
      </c>
      <c r="AV302" s="205"/>
      <c r="AW302" s="64">
        <v>5424.3346177270068</v>
      </c>
      <c r="AX302" s="64">
        <v>1513.5885424845696</v>
      </c>
      <c r="AY302" s="64">
        <v>532.5308382379435</v>
      </c>
      <c r="AZ302" s="205">
        <f t="shared" si="124"/>
        <v>7470.4539984495195</v>
      </c>
      <c r="BA302" s="205"/>
      <c r="BB302" s="64">
        <v>5568.3526560147202</v>
      </c>
      <c r="BC302" s="64">
        <v>1555.1732062868909</v>
      </c>
      <c r="BD302" s="64">
        <v>538.9212082967988</v>
      </c>
      <c r="BE302" s="205">
        <f t="shared" si="119"/>
        <v>7662.4470705984095</v>
      </c>
      <c r="BF302" s="205"/>
      <c r="BG302" s="64">
        <v>5677.9830625448521</v>
      </c>
      <c r="BH302" s="64">
        <v>1610.4862324792912</v>
      </c>
      <c r="BI302" s="64">
        <v>565.09129520449198</v>
      </c>
      <c r="BJ302" s="205">
        <f t="shared" si="125"/>
        <v>7853.5605902286352</v>
      </c>
      <c r="BK302" s="205"/>
      <c r="BL302" s="64">
        <v>5759.8469060992365</v>
      </c>
      <c r="BM302" s="64">
        <v>1671.398553299809</v>
      </c>
      <c r="BN302" s="64">
        <v>598.86896551558448</v>
      </c>
      <c r="BO302" s="205">
        <f t="shared" si="126"/>
        <v>8030.1144249146309</v>
      </c>
      <c r="BQ302" s="64">
        <v>5880.0540680997228</v>
      </c>
      <c r="BR302" s="64">
        <v>1734.0809176043413</v>
      </c>
      <c r="BS302" s="64">
        <v>619.86589570896626</v>
      </c>
      <c r="BT302" s="205">
        <f t="shared" si="127"/>
        <v>8234.0008814130306</v>
      </c>
      <c r="BU302" s="205"/>
      <c r="BV302" s="5">
        <f t="shared" si="128"/>
        <v>12569</v>
      </c>
      <c r="BW302" s="5">
        <f t="shared" si="129"/>
        <v>12513</v>
      </c>
      <c r="BX302" s="5">
        <f t="shared" si="130"/>
        <v>13500.335790000001</v>
      </c>
      <c r="BY302" s="5">
        <f t="shared" si="131"/>
        <v>13755.836439999999</v>
      </c>
      <c r="BZ302" s="5">
        <f t="shared" si="132"/>
        <v>7282.1957300000013</v>
      </c>
      <c r="CA302" s="5">
        <f t="shared" si="133"/>
        <v>7470.4539984495195</v>
      </c>
      <c r="CB302" s="5">
        <f t="shared" si="134"/>
        <v>7662.4470705984095</v>
      </c>
      <c r="CC302" s="5">
        <f t="shared" si="135"/>
        <v>7853.5605902286352</v>
      </c>
      <c r="CD302" s="5">
        <f t="shared" si="136"/>
        <v>8030.1144249146309</v>
      </c>
      <c r="CE302" s="5">
        <f t="shared" si="144"/>
        <v>8234.0008814130306</v>
      </c>
      <c r="CH302" s="41">
        <f>BV302/'1. Väestöennuste'!I302*1000</f>
        <v>3208.0142930066363</v>
      </c>
      <c r="CI302" s="41">
        <f>BW302/'1. Väestöennuste'!J302*1000</f>
        <v>3216.7095115681232</v>
      </c>
      <c r="CJ302" s="41">
        <f>BX302/'1. Väestöennuste'!K302*1000</f>
        <v>3524.8918511749353</v>
      </c>
      <c r="CK302" s="41">
        <f>BY302/'1. Väestöennuste'!L302*1000</f>
        <v>3631.4246145723337</v>
      </c>
      <c r="CL302" s="41">
        <f>BZ302/'1. Väestöennuste'!M302*1000</f>
        <v>1934.1821328021251</v>
      </c>
      <c r="CM302" s="41">
        <f>CA302/'1. Väestöennuste'!N302*1000</f>
        <v>2078.0122387898527</v>
      </c>
      <c r="CN302" s="41">
        <f>CB302/'1. Väestöennuste'!O302*1000</f>
        <v>2165.7566621250448</v>
      </c>
      <c r="CO302" s="41">
        <f>CC302/'1. Väestöennuste'!P302*1000</f>
        <v>2255.4740351029968</v>
      </c>
      <c r="CP302" s="41">
        <f>CD302/'1. Väestöennuste'!Q302*1000</f>
        <v>2341.1412317535369</v>
      </c>
      <c r="CQ302" s="41">
        <f>CE302/'1. Väestöennuste'!R302*1000</f>
        <v>2437.5372650719451</v>
      </c>
      <c r="CR302" s="41"/>
      <c r="CU302" s="159">
        <f t="shared" si="137"/>
        <v>8.695218561486854</v>
      </c>
      <c r="CV302" s="159">
        <f t="shared" si="138"/>
        <v>308.18233960681209</v>
      </c>
      <c r="CW302" s="159">
        <f t="shared" si="139"/>
        <v>106.53276339739841</v>
      </c>
      <c r="CX302" s="159">
        <f t="shared" si="140"/>
        <v>-1697.2424817702085</v>
      </c>
      <c r="CY302" s="159">
        <f t="shared" si="141"/>
        <v>143.83010598772762</v>
      </c>
      <c r="CZ302" s="159">
        <f t="shared" si="142"/>
        <v>87.744423335192096</v>
      </c>
      <c r="DA302" s="159">
        <f t="shared" si="145"/>
        <v>89.717372977951982</v>
      </c>
      <c r="DB302" s="159">
        <f t="shared" si="146"/>
        <v>85.667196650540063</v>
      </c>
      <c r="DC302" s="159">
        <f t="shared" si="146"/>
        <v>96.396033318408172</v>
      </c>
    </row>
    <row r="303" spans="1:107" x14ac:dyDescent="0.2">
      <c r="A303" s="99">
        <v>17</v>
      </c>
      <c r="B303" s="30">
        <v>977</v>
      </c>
      <c r="C303" s="47" t="s">
        <v>617</v>
      </c>
      <c r="D303" s="64">
        <v>45832.469779999999</v>
      </c>
      <c r="E303" s="64">
        <v>4830.8499000000002</v>
      </c>
      <c r="F303" s="64">
        <v>2697.70669</v>
      </c>
      <c r="G303" s="205">
        <v>53350</v>
      </c>
      <c r="H303" s="205"/>
      <c r="I303" s="64">
        <v>45923</v>
      </c>
      <c r="J303" s="64">
        <v>5035</v>
      </c>
      <c r="K303" s="64">
        <v>3053</v>
      </c>
      <c r="L303" s="205">
        <v>54010</v>
      </c>
      <c r="M303" s="205"/>
      <c r="N303" s="64">
        <v>45777</v>
      </c>
      <c r="O303" s="64">
        <v>4866</v>
      </c>
      <c r="P303" s="64">
        <v>3934</v>
      </c>
      <c r="Q303" s="205">
        <v>54577</v>
      </c>
      <c r="R303" s="205"/>
      <c r="S303" s="64">
        <v>45470</v>
      </c>
      <c r="T303" s="64">
        <v>4988</v>
      </c>
      <c r="U303" s="64">
        <v>3206</v>
      </c>
      <c r="V303" s="205">
        <v>53664</v>
      </c>
      <c r="W303" s="205"/>
      <c r="X303" s="64">
        <v>46959</v>
      </c>
      <c r="Y303" s="64">
        <v>5043</v>
      </c>
      <c r="Z303" s="64">
        <v>3037</v>
      </c>
      <c r="AA303" s="205">
        <f t="shared" si="143"/>
        <v>55039</v>
      </c>
      <c r="AB303" s="205"/>
      <c r="AC303" s="64">
        <v>49681</v>
      </c>
      <c r="AD303" s="64">
        <v>4549</v>
      </c>
      <c r="AE303" s="64">
        <v>3248</v>
      </c>
      <c r="AF303" s="205">
        <f t="shared" si="120"/>
        <v>57478</v>
      </c>
      <c r="AG303" s="205"/>
      <c r="AH303" s="278">
        <v>53102.931750000003</v>
      </c>
      <c r="AI303" s="64">
        <v>5055.5823099999998</v>
      </c>
      <c r="AJ303" s="64">
        <v>4629.5167000000001</v>
      </c>
      <c r="AK303" s="205">
        <f t="shared" si="121"/>
        <v>62788.030760000001</v>
      </c>
      <c r="AL303" s="205"/>
      <c r="AM303" s="64">
        <v>56440.554880000003</v>
      </c>
      <c r="AN303" s="64">
        <v>5226.8259800000005</v>
      </c>
      <c r="AO303" s="64">
        <v>4909.4095399999997</v>
      </c>
      <c r="AP303" s="205">
        <f t="shared" si="122"/>
        <v>66576.790399999998</v>
      </c>
      <c r="AQ303" s="205"/>
      <c r="AR303" s="64">
        <v>30507.029030000002</v>
      </c>
      <c r="AS303" s="64">
        <v>5472.0945999999994</v>
      </c>
      <c r="AT303" s="64">
        <v>3791.0399500000003</v>
      </c>
      <c r="AU303" s="205">
        <f t="shared" si="123"/>
        <v>39770.16358</v>
      </c>
      <c r="AV303" s="205"/>
      <c r="AW303" s="64">
        <v>30323.547094530346</v>
      </c>
      <c r="AX303" s="64">
        <v>5613.2613799222363</v>
      </c>
      <c r="AY303" s="64">
        <v>3647.8060115612288</v>
      </c>
      <c r="AZ303" s="205">
        <f t="shared" si="124"/>
        <v>39584.614486013816</v>
      </c>
      <c r="BA303" s="205"/>
      <c r="BB303" s="64">
        <v>32390.357121909885</v>
      </c>
      <c r="BC303" s="64">
        <v>5678.2415884233606</v>
      </c>
      <c r="BD303" s="64">
        <v>3691.5796836999634</v>
      </c>
      <c r="BE303" s="205">
        <f t="shared" si="119"/>
        <v>41760.17839403321</v>
      </c>
      <c r="BF303" s="205"/>
      <c r="BG303" s="64">
        <v>34300.581899368721</v>
      </c>
      <c r="BH303" s="64">
        <v>5788.2566685755792</v>
      </c>
      <c r="BI303" s="64">
        <v>3870.8432934109724</v>
      </c>
      <c r="BJ303" s="205">
        <f t="shared" si="125"/>
        <v>43959.681861355275</v>
      </c>
      <c r="BK303" s="205"/>
      <c r="BL303" s="64">
        <v>35737.714143166711</v>
      </c>
      <c r="BM303" s="64">
        <v>5912.2629804353155</v>
      </c>
      <c r="BN303" s="64">
        <v>4102.2184175728562</v>
      </c>
      <c r="BO303" s="205">
        <f t="shared" si="126"/>
        <v>45752.195541174879</v>
      </c>
      <c r="BQ303" s="64">
        <v>37309.941580992956</v>
      </c>
      <c r="BR303" s="64">
        <v>6036.0479253386056</v>
      </c>
      <c r="BS303" s="64">
        <v>4246.04619745727</v>
      </c>
      <c r="BT303" s="205">
        <f t="shared" si="127"/>
        <v>47592.035703788832</v>
      </c>
      <c r="BU303" s="205"/>
      <c r="BV303" s="5">
        <f t="shared" si="128"/>
        <v>55039</v>
      </c>
      <c r="BW303" s="5">
        <f t="shared" si="129"/>
        <v>57478</v>
      </c>
      <c r="BX303" s="5">
        <f t="shared" si="130"/>
        <v>62788.030760000001</v>
      </c>
      <c r="BY303" s="5">
        <f t="shared" si="131"/>
        <v>66576.790399999998</v>
      </c>
      <c r="BZ303" s="5">
        <f t="shared" si="132"/>
        <v>39770.16358</v>
      </c>
      <c r="CA303" s="5">
        <f t="shared" si="133"/>
        <v>39584.614486013816</v>
      </c>
      <c r="CB303" s="5">
        <f t="shared" si="134"/>
        <v>41760.17839403321</v>
      </c>
      <c r="CC303" s="5">
        <f t="shared" si="135"/>
        <v>43959.681861355275</v>
      </c>
      <c r="CD303" s="5">
        <f t="shared" si="136"/>
        <v>45752.195541174879</v>
      </c>
      <c r="CE303" s="5">
        <f t="shared" si="144"/>
        <v>47592.035703788832</v>
      </c>
      <c r="CH303" s="41">
        <f>BV303/'1. Väestöennuste'!I303*1000</f>
        <v>3607.9318256309407</v>
      </c>
      <c r="CI303" s="41">
        <f>BW303/'1. Väestöennuste'!J303*1000</f>
        <v>3755.750130684788</v>
      </c>
      <c r="CJ303" s="41">
        <f>BX303/'1. Väestöennuste'!K303*1000</f>
        <v>4088.5609663345708</v>
      </c>
      <c r="CK303" s="41">
        <f>BY303/'1. Väestöennuste'!L303*1000</f>
        <v>4353.4159680899756</v>
      </c>
      <c r="CL303" s="41">
        <f>BZ303/'1. Väestöennuste'!M303*1000</f>
        <v>2587.6871351421692</v>
      </c>
      <c r="CM303" s="41">
        <f>CA303/'1. Väestöennuste'!N303*1000</f>
        <v>2559.4603960955524</v>
      </c>
      <c r="CN303" s="41">
        <f>CB303/'1. Väestöennuste'!O303*1000</f>
        <v>2696.6407331804994</v>
      </c>
      <c r="CO303" s="41">
        <f>CC303/'1. Väestöennuste'!P303*1000</f>
        <v>2836.4745038943911</v>
      </c>
      <c r="CP303" s="41">
        <f>CD303/'1. Väestöennuste'!Q303*1000</f>
        <v>2951.9449991079991</v>
      </c>
      <c r="CQ303" s="41">
        <f>CE303/'1. Väestöennuste'!R303*1000</f>
        <v>3072.4361332336239</v>
      </c>
      <c r="CR303" s="41"/>
      <c r="CU303" s="159">
        <f t="shared" si="137"/>
        <v>147.81830505384733</v>
      </c>
      <c r="CV303" s="159">
        <f t="shared" si="138"/>
        <v>332.8108356497828</v>
      </c>
      <c r="CW303" s="159">
        <f t="shared" si="139"/>
        <v>264.85500175540483</v>
      </c>
      <c r="CX303" s="159">
        <f t="shared" si="140"/>
        <v>-1765.7288329478065</v>
      </c>
      <c r="CY303" s="159">
        <f t="shared" si="141"/>
        <v>-28.226739046616785</v>
      </c>
      <c r="CZ303" s="159">
        <f t="shared" si="142"/>
        <v>137.18033708494704</v>
      </c>
      <c r="DA303" s="159">
        <f t="shared" si="145"/>
        <v>139.83377071389168</v>
      </c>
      <c r="DB303" s="159">
        <f t="shared" si="146"/>
        <v>115.47049521360805</v>
      </c>
      <c r="DC303" s="159">
        <f t="shared" si="146"/>
        <v>120.49113412562474</v>
      </c>
    </row>
    <row r="304" spans="1:107" x14ac:dyDescent="0.2">
      <c r="A304" s="99">
        <v>6</v>
      </c>
      <c r="B304" s="30">
        <v>980</v>
      </c>
      <c r="C304" s="47" t="s">
        <v>618</v>
      </c>
      <c r="D304" s="64">
        <v>107307.49620000001</v>
      </c>
      <c r="E304" s="64">
        <v>7432.8796400000001</v>
      </c>
      <c r="F304" s="64">
        <v>5575.1219700000001</v>
      </c>
      <c r="G304" s="205">
        <v>120315</v>
      </c>
      <c r="H304" s="205"/>
      <c r="I304" s="64">
        <v>124584</v>
      </c>
      <c r="J304" s="64">
        <v>0</v>
      </c>
      <c r="K304" s="64">
        <v>0</v>
      </c>
      <c r="L304" s="205">
        <v>124600</v>
      </c>
      <c r="M304" s="205"/>
      <c r="N304" s="64">
        <v>112635</v>
      </c>
      <c r="O304" s="64">
        <v>7521</v>
      </c>
      <c r="P304" s="64">
        <v>6037</v>
      </c>
      <c r="Q304" s="205">
        <v>126193</v>
      </c>
      <c r="R304" s="205"/>
      <c r="S304" s="64">
        <v>111980</v>
      </c>
      <c r="T304" s="64">
        <v>7575</v>
      </c>
      <c r="U304" s="64">
        <v>5805</v>
      </c>
      <c r="V304" s="205">
        <v>125360</v>
      </c>
      <c r="W304" s="205"/>
      <c r="X304" s="64">
        <v>116140</v>
      </c>
      <c r="Y304" s="64">
        <v>7564</v>
      </c>
      <c r="Z304" s="64">
        <v>6099</v>
      </c>
      <c r="AA304" s="205">
        <f t="shared" si="143"/>
        <v>129803</v>
      </c>
      <c r="AB304" s="205"/>
      <c r="AC304" s="64">
        <v>120752</v>
      </c>
      <c r="AD304" s="64">
        <v>6721</v>
      </c>
      <c r="AE304" s="64">
        <v>7019</v>
      </c>
      <c r="AF304" s="205">
        <f t="shared" si="120"/>
        <v>134492</v>
      </c>
      <c r="AG304" s="205"/>
      <c r="AH304" s="278">
        <v>124279.41022000001</v>
      </c>
      <c r="AI304" s="64">
        <v>7359.8798099999995</v>
      </c>
      <c r="AJ304" s="64">
        <v>10436.108539999999</v>
      </c>
      <c r="AK304" s="205">
        <f t="shared" si="121"/>
        <v>142075.39856999999</v>
      </c>
      <c r="AL304" s="205"/>
      <c r="AM304" s="64">
        <v>133215.92502</v>
      </c>
      <c r="AN304" s="64">
        <v>7713.7630399999998</v>
      </c>
      <c r="AO304" s="64">
        <v>11649.87168</v>
      </c>
      <c r="AP304" s="205">
        <f t="shared" si="122"/>
        <v>152579.55974</v>
      </c>
      <c r="AQ304" s="205"/>
      <c r="AR304" s="64">
        <v>65560.776360000003</v>
      </c>
      <c r="AS304" s="64">
        <v>7997.8788399999994</v>
      </c>
      <c r="AT304" s="64">
        <v>8445.4210999999996</v>
      </c>
      <c r="AU304" s="205">
        <f t="shared" si="123"/>
        <v>82004.076300000015</v>
      </c>
      <c r="AV304" s="205"/>
      <c r="AW304" s="64">
        <v>64744.270676754342</v>
      </c>
      <c r="AX304" s="64">
        <v>8997.0893425205322</v>
      </c>
      <c r="AY304" s="64">
        <v>7278.9803102694304</v>
      </c>
      <c r="AZ304" s="205">
        <f t="shared" si="124"/>
        <v>81020.340329544299</v>
      </c>
      <c r="BA304" s="205"/>
      <c r="BB304" s="64">
        <v>69480.04487060172</v>
      </c>
      <c r="BC304" s="64">
        <v>9164.518048598833</v>
      </c>
      <c r="BD304" s="64">
        <v>7366.3280739926631</v>
      </c>
      <c r="BE304" s="205">
        <f t="shared" si="119"/>
        <v>86010.890993193228</v>
      </c>
      <c r="BF304" s="205"/>
      <c r="BG304" s="64">
        <v>73287.432267126846</v>
      </c>
      <c r="BH304" s="64">
        <v>9405.6699387156696</v>
      </c>
      <c r="BI304" s="64">
        <v>7724.0379635259051</v>
      </c>
      <c r="BJ304" s="205">
        <f t="shared" si="125"/>
        <v>90417.140169368417</v>
      </c>
      <c r="BK304" s="205"/>
      <c r="BL304" s="64">
        <v>76391.807116936194</v>
      </c>
      <c r="BM304" s="64">
        <v>9671.1534714248282</v>
      </c>
      <c r="BN304" s="64">
        <v>8185.733286062994</v>
      </c>
      <c r="BO304" s="205">
        <f t="shared" si="126"/>
        <v>94248.693874424018</v>
      </c>
      <c r="BQ304" s="64">
        <v>79790.482815486946</v>
      </c>
      <c r="BR304" s="64">
        <v>9937.9166090027938</v>
      </c>
      <c r="BS304" s="64">
        <v>8472.7330811536176</v>
      </c>
      <c r="BT304" s="205">
        <f t="shared" si="127"/>
        <v>98201.132505643356</v>
      </c>
      <c r="BU304" s="205"/>
      <c r="BV304" s="5">
        <f t="shared" si="128"/>
        <v>129803</v>
      </c>
      <c r="BW304" s="5">
        <f t="shared" si="129"/>
        <v>134492</v>
      </c>
      <c r="BX304" s="5">
        <f t="shared" si="130"/>
        <v>142075.39856999999</v>
      </c>
      <c r="BY304" s="5">
        <f t="shared" si="131"/>
        <v>152579.55974</v>
      </c>
      <c r="BZ304" s="5">
        <f t="shared" si="132"/>
        <v>82004.076300000015</v>
      </c>
      <c r="CA304" s="5">
        <f t="shared" si="133"/>
        <v>81020.340329544299</v>
      </c>
      <c r="CB304" s="5">
        <f t="shared" si="134"/>
        <v>86010.890993193228</v>
      </c>
      <c r="CC304" s="5">
        <f t="shared" si="135"/>
        <v>90417.140169368417</v>
      </c>
      <c r="CD304" s="5">
        <f t="shared" si="136"/>
        <v>94248.693874424018</v>
      </c>
      <c r="CE304" s="5">
        <f t="shared" si="144"/>
        <v>98201.132505643356</v>
      </c>
      <c r="CH304" s="41">
        <f>BV304/'1. Väestöennuste'!I304*1000</f>
        <v>3903.3800445059242</v>
      </c>
      <c r="CI304" s="41">
        <f>BW304/'1. Väestöennuste'!J304*1000</f>
        <v>4032.5017989925645</v>
      </c>
      <c r="CJ304" s="41">
        <f>BX304/'1. Väestöennuste'!K304*1000</f>
        <v>4236.8830277636953</v>
      </c>
      <c r="CK304" s="41">
        <f>BY304/'1. Väestöennuste'!L304*1000</f>
        <v>4540.1124688308983</v>
      </c>
      <c r="CL304" s="41">
        <f>BZ304/'1. Väestöennuste'!M304*1000</f>
        <v>2435.0172610386917</v>
      </c>
      <c r="CM304" s="41">
        <f>CA304/'1. Väestöennuste'!N304*1000</f>
        <v>2390.8974040057929</v>
      </c>
      <c r="CN304" s="41">
        <f>CB304/'1. Väestöennuste'!O304*1000</f>
        <v>2529.5832890180941</v>
      </c>
      <c r="CO304" s="41">
        <f>CC304/'1. Väestöennuste'!P304*1000</f>
        <v>2650.9071235302104</v>
      </c>
      <c r="CP304" s="41">
        <f>CD304/'1. Väestöennuste'!Q304*1000</f>
        <v>2755.4874831722609</v>
      </c>
      <c r="CQ304" s="41">
        <f>CE304/'1. Väestöennuste'!R304*1000</f>
        <v>2864.1758299493481</v>
      </c>
      <c r="CR304" s="41"/>
      <c r="CU304" s="159">
        <f t="shared" si="137"/>
        <v>129.12175448664038</v>
      </c>
      <c r="CV304" s="159">
        <f t="shared" si="138"/>
        <v>204.38122877113074</v>
      </c>
      <c r="CW304" s="159">
        <f t="shared" si="139"/>
        <v>303.22944106720297</v>
      </c>
      <c r="CX304" s="159">
        <f t="shared" si="140"/>
        <v>-2105.0952077922066</v>
      </c>
      <c r="CY304" s="159">
        <f t="shared" si="141"/>
        <v>-44.119857032898835</v>
      </c>
      <c r="CZ304" s="159">
        <f t="shared" si="142"/>
        <v>138.68588501230124</v>
      </c>
      <c r="DA304" s="159">
        <f t="shared" si="145"/>
        <v>121.32383451211626</v>
      </c>
      <c r="DB304" s="159">
        <f t="shared" si="146"/>
        <v>104.58035964205055</v>
      </c>
      <c r="DC304" s="159">
        <f t="shared" si="146"/>
        <v>108.68834677708719</v>
      </c>
    </row>
    <row r="305" spans="1:107" x14ac:dyDescent="0.2">
      <c r="A305" s="99">
        <v>5</v>
      </c>
      <c r="B305" s="30">
        <v>981</v>
      </c>
      <c r="C305" s="47" t="s">
        <v>619</v>
      </c>
      <c r="D305" s="64">
        <v>6698.8829900000001</v>
      </c>
      <c r="E305" s="64">
        <v>395.20605</v>
      </c>
      <c r="F305" s="64">
        <v>304.30068999999997</v>
      </c>
      <c r="G305" s="205">
        <v>7394</v>
      </c>
      <c r="H305" s="205"/>
      <c r="I305" s="64">
        <v>6565</v>
      </c>
      <c r="J305" s="64">
        <v>462</v>
      </c>
      <c r="K305" s="64">
        <v>316</v>
      </c>
      <c r="L305" s="205">
        <v>7342</v>
      </c>
      <c r="M305" s="205"/>
      <c r="N305" s="64">
        <v>7097</v>
      </c>
      <c r="O305" s="64">
        <v>510</v>
      </c>
      <c r="P305" s="64">
        <v>362</v>
      </c>
      <c r="Q305" s="205">
        <v>7969</v>
      </c>
      <c r="R305" s="205"/>
      <c r="S305" s="64">
        <v>6846</v>
      </c>
      <c r="T305" s="64">
        <v>520</v>
      </c>
      <c r="U305" s="64">
        <v>289</v>
      </c>
      <c r="V305" s="205">
        <v>7655</v>
      </c>
      <c r="W305" s="205"/>
      <c r="X305" s="64">
        <v>7171</v>
      </c>
      <c r="Y305" s="64">
        <v>529</v>
      </c>
      <c r="Z305" s="64">
        <v>303</v>
      </c>
      <c r="AA305" s="205">
        <f t="shared" si="143"/>
        <v>8003</v>
      </c>
      <c r="AB305" s="205"/>
      <c r="AC305" s="64">
        <v>7563</v>
      </c>
      <c r="AD305" s="64">
        <v>482</v>
      </c>
      <c r="AE305" s="64">
        <v>324</v>
      </c>
      <c r="AF305" s="205">
        <f t="shared" si="120"/>
        <v>8369</v>
      </c>
      <c r="AG305" s="205"/>
      <c r="AH305" s="278">
        <v>7585.1340999999993</v>
      </c>
      <c r="AI305" s="64">
        <v>511.71393</v>
      </c>
      <c r="AJ305" s="64">
        <v>459.21600999999998</v>
      </c>
      <c r="AK305" s="205">
        <f t="shared" si="121"/>
        <v>8556.0640399999993</v>
      </c>
      <c r="AL305" s="205"/>
      <c r="AM305" s="64">
        <v>8300.0316999999995</v>
      </c>
      <c r="AN305" s="64">
        <v>623.54479000000003</v>
      </c>
      <c r="AO305" s="64">
        <v>433.81097999999997</v>
      </c>
      <c r="AP305" s="205">
        <f t="shared" si="122"/>
        <v>9357.3874699999997</v>
      </c>
      <c r="AQ305" s="205"/>
      <c r="AR305" s="64">
        <v>4282.2257</v>
      </c>
      <c r="AS305" s="64">
        <v>639.34792000000004</v>
      </c>
      <c r="AT305" s="64">
        <v>240.45282999999998</v>
      </c>
      <c r="AU305" s="205">
        <f t="shared" si="123"/>
        <v>5162.0264500000003</v>
      </c>
      <c r="AV305" s="205"/>
      <c r="AW305" s="64">
        <v>4034.9201278630744</v>
      </c>
      <c r="AX305" s="64">
        <v>675.42101261155597</v>
      </c>
      <c r="AY305" s="64">
        <v>228.23680030690721</v>
      </c>
      <c r="AZ305" s="205">
        <f t="shared" si="124"/>
        <v>4938.5779407815371</v>
      </c>
      <c r="BA305" s="205"/>
      <c r="BB305" s="64">
        <v>4288.2454513764069</v>
      </c>
      <c r="BC305" s="64">
        <v>678.63680129321051</v>
      </c>
      <c r="BD305" s="64">
        <v>230.9756419105901</v>
      </c>
      <c r="BE305" s="205">
        <f t="shared" si="119"/>
        <v>5197.8578945802074</v>
      </c>
      <c r="BF305" s="205"/>
      <c r="BG305" s="64">
        <v>4468.8247170739141</v>
      </c>
      <c r="BH305" s="64">
        <v>687.06734365328998</v>
      </c>
      <c r="BI305" s="64">
        <v>242.19185038281526</v>
      </c>
      <c r="BJ305" s="205">
        <f t="shared" si="125"/>
        <v>5398.0839111100195</v>
      </c>
      <c r="BK305" s="205"/>
      <c r="BL305" s="64">
        <v>4607.7540038733887</v>
      </c>
      <c r="BM305" s="64">
        <v>696.94187096864903</v>
      </c>
      <c r="BN305" s="64">
        <v>256.66858457371052</v>
      </c>
      <c r="BO305" s="205">
        <f t="shared" si="126"/>
        <v>5561.3644594157477</v>
      </c>
      <c r="BQ305" s="64">
        <v>4780.2899088640806</v>
      </c>
      <c r="BR305" s="64">
        <v>706.56092084557656</v>
      </c>
      <c r="BS305" s="64">
        <v>265.66763555723998</v>
      </c>
      <c r="BT305" s="205">
        <f t="shared" si="127"/>
        <v>5752.5184652668968</v>
      </c>
      <c r="BU305" s="205"/>
      <c r="BV305" s="5">
        <f t="shared" si="128"/>
        <v>8003</v>
      </c>
      <c r="BW305" s="5">
        <f t="shared" si="129"/>
        <v>8369</v>
      </c>
      <c r="BX305" s="5">
        <f t="shared" si="130"/>
        <v>8556.0640399999993</v>
      </c>
      <c r="BY305" s="5">
        <f t="shared" si="131"/>
        <v>9357.3874699999997</v>
      </c>
      <c r="BZ305" s="5">
        <f t="shared" si="132"/>
        <v>5162.0264500000003</v>
      </c>
      <c r="CA305" s="5">
        <f t="shared" si="133"/>
        <v>4938.5779407815371</v>
      </c>
      <c r="CB305" s="5">
        <f t="shared" si="134"/>
        <v>5197.8578945802074</v>
      </c>
      <c r="CC305" s="5">
        <f t="shared" si="135"/>
        <v>5398.0839111100195</v>
      </c>
      <c r="CD305" s="5">
        <f t="shared" si="136"/>
        <v>5561.3644594157477</v>
      </c>
      <c r="CE305" s="5">
        <f t="shared" si="144"/>
        <v>5752.5184652668968</v>
      </c>
      <c r="CH305" s="41">
        <f>BV305/'1. Väestöennuste'!I305*1000</f>
        <v>3415.7063593683311</v>
      </c>
      <c r="CI305" s="41">
        <f>BW305/'1. Väestöennuste'!J305*1000</f>
        <v>3616.6810717372514</v>
      </c>
      <c r="CJ305" s="41">
        <f>BX305/'1. Väestöennuste'!K305*1000</f>
        <v>3749.3707449605608</v>
      </c>
      <c r="CK305" s="41">
        <f>BY305/'1. Väestöennuste'!L305*1000</f>
        <v>4183.0073625391151</v>
      </c>
      <c r="CL305" s="41">
        <f>BZ305/'1. Väestöennuste'!M305*1000</f>
        <v>2338.9335976438606</v>
      </c>
      <c r="CM305" s="41">
        <f>CA305/'1. Väestöennuste'!N305*1000</f>
        <v>2201.7734912088886</v>
      </c>
      <c r="CN305" s="41">
        <f>CB305/'1. Väestöennuste'!O305*1000</f>
        <v>2335.0664396137499</v>
      </c>
      <c r="CO305" s="41">
        <f>CC305/'1. Väestöennuste'!P305*1000</f>
        <v>2443.6776419692255</v>
      </c>
      <c r="CP305" s="41">
        <f>CD305/'1. Väestöennuste'!Q305*1000</f>
        <v>2533.6512343579716</v>
      </c>
      <c r="CQ305" s="41">
        <f>CE305/'1. Väestöennuste'!R305*1000</f>
        <v>2638.7699381958241</v>
      </c>
      <c r="CR305" s="41"/>
      <c r="CU305" s="159">
        <f t="shared" si="137"/>
        <v>200.97471236892034</v>
      </c>
      <c r="CV305" s="159">
        <f t="shared" si="138"/>
        <v>132.68967322330946</v>
      </c>
      <c r="CW305" s="159">
        <f t="shared" si="139"/>
        <v>433.63661757855425</v>
      </c>
      <c r="CX305" s="159">
        <f t="shared" si="140"/>
        <v>-1844.0737648952545</v>
      </c>
      <c r="CY305" s="159">
        <f t="shared" si="141"/>
        <v>-137.16010643497202</v>
      </c>
      <c r="CZ305" s="159">
        <f t="shared" si="142"/>
        <v>133.29294840486136</v>
      </c>
      <c r="DA305" s="159">
        <f t="shared" si="145"/>
        <v>108.6112023554756</v>
      </c>
      <c r="DB305" s="159">
        <f t="shared" si="146"/>
        <v>89.973592388746056</v>
      </c>
      <c r="DC305" s="159">
        <f t="shared" si="146"/>
        <v>105.11870383785254</v>
      </c>
    </row>
    <row r="306" spans="1:107" x14ac:dyDescent="0.2">
      <c r="A306" s="99">
        <v>14</v>
      </c>
      <c r="B306" s="30">
        <v>989</v>
      </c>
      <c r="C306" s="47" t="s">
        <v>620</v>
      </c>
      <c r="D306" s="64">
        <v>17635.394920000002</v>
      </c>
      <c r="E306" s="64">
        <v>1799.7766100000001</v>
      </c>
      <c r="F306" s="64">
        <v>1282.26945</v>
      </c>
      <c r="G306" s="205">
        <v>20717</v>
      </c>
      <c r="H306" s="205"/>
      <c r="I306" s="64">
        <v>17461</v>
      </c>
      <c r="J306" s="64">
        <v>2028</v>
      </c>
      <c r="K306" s="64">
        <v>1147</v>
      </c>
      <c r="L306" s="205">
        <v>20636</v>
      </c>
      <c r="M306" s="205"/>
      <c r="N306" s="64">
        <v>17738</v>
      </c>
      <c r="O306" s="64">
        <v>2028</v>
      </c>
      <c r="P306" s="64">
        <v>1473</v>
      </c>
      <c r="Q306" s="205">
        <v>21239</v>
      </c>
      <c r="R306" s="205"/>
      <c r="S306" s="64">
        <v>16894</v>
      </c>
      <c r="T306" s="64">
        <v>2066</v>
      </c>
      <c r="U306" s="64">
        <v>1550</v>
      </c>
      <c r="V306" s="205">
        <v>20510</v>
      </c>
      <c r="W306" s="205"/>
      <c r="X306" s="64">
        <v>16830</v>
      </c>
      <c r="Y306" s="64">
        <v>2093</v>
      </c>
      <c r="Z306" s="64">
        <v>1424</v>
      </c>
      <c r="AA306" s="205">
        <f t="shared" si="143"/>
        <v>20347</v>
      </c>
      <c r="AB306" s="205"/>
      <c r="AC306" s="64">
        <v>17420</v>
      </c>
      <c r="AD306" s="64">
        <v>1894</v>
      </c>
      <c r="AE306" s="64">
        <v>1465</v>
      </c>
      <c r="AF306" s="205">
        <f t="shared" si="120"/>
        <v>20779</v>
      </c>
      <c r="AG306" s="205"/>
      <c r="AH306" s="278">
        <v>17858.511480000001</v>
      </c>
      <c r="AI306" s="64">
        <v>2086.2529</v>
      </c>
      <c r="AJ306" s="64">
        <v>2239.4491800000001</v>
      </c>
      <c r="AK306" s="205">
        <f t="shared" si="121"/>
        <v>22184.21356</v>
      </c>
      <c r="AL306" s="205"/>
      <c r="AM306" s="64">
        <v>19180.860059999999</v>
      </c>
      <c r="AN306" s="64">
        <v>2159.14444</v>
      </c>
      <c r="AO306" s="64">
        <v>2421.5567799999999</v>
      </c>
      <c r="AP306" s="205">
        <f t="shared" si="122"/>
        <v>23761.561279999998</v>
      </c>
      <c r="AQ306" s="205"/>
      <c r="AR306" s="64">
        <v>9451.9686799999999</v>
      </c>
      <c r="AS306" s="64">
        <v>2160.41887</v>
      </c>
      <c r="AT306" s="64">
        <v>1559.5719799999999</v>
      </c>
      <c r="AU306" s="205">
        <f t="shared" si="123"/>
        <v>13171.95953</v>
      </c>
      <c r="AV306" s="205"/>
      <c r="AW306" s="64">
        <v>9523.1808782222288</v>
      </c>
      <c r="AX306" s="64">
        <v>2288.8554223003971</v>
      </c>
      <c r="AY306" s="64">
        <v>1234.5193826364641</v>
      </c>
      <c r="AZ306" s="205">
        <f t="shared" si="124"/>
        <v>13046.555683159091</v>
      </c>
      <c r="BA306" s="205"/>
      <c r="BB306" s="64">
        <v>9956.6456048540167</v>
      </c>
      <c r="BC306" s="64">
        <v>2307.0292063975166</v>
      </c>
      <c r="BD306" s="64">
        <v>1249.3336152281015</v>
      </c>
      <c r="BE306" s="205">
        <f t="shared" si="119"/>
        <v>13513.008426479635</v>
      </c>
      <c r="BF306" s="1"/>
      <c r="BG306" s="64">
        <v>10243.441067480313</v>
      </c>
      <c r="BH306" s="64">
        <v>2343.0425603048629</v>
      </c>
      <c r="BI306" s="64">
        <v>1310.0014248890936</v>
      </c>
      <c r="BJ306" s="205">
        <f t="shared" si="125"/>
        <v>13896.485052674268</v>
      </c>
      <c r="BK306" s="205"/>
      <c r="BL306" s="64">
        <v>10436.947786963881</v>
      </c>
      <c r="BM306" s="64">
        <v>2384.1625452663166</v>
      </c>
      <c r="BN306" s="64">
        <v>1388.3052257306065</v>
      </c>
      <c r="BO306" s="205">
        <f t="shared" si="126"/>
        <v>14209.415557960803</v>
      </c>
      <c r="BQ306" s="64">
        <v>10669.127291583645</v>
      </c>
      <c r="BR306" s="64">
        <v>2424.6025331294873</v>
      </c>
      <c r="BS306" s="64">
        <v>1436.9805613888443</v>
      </c>
      <c r="BT306" s="205">
        <f t="shared" si="127"/>
        <v>14530.710386101977</v>
      </c>
      <c r="BU306" s="205"/>
    </row>
    <row r="307" spans="1:107" x14ac:dyDescent="0.2">
      <c r="A307" s="99">
        <v>13</v>
      </c>
      <c r="B307" s="30">
        <v>992</v>
      </c>
      <c r="C307" s="48" t="s">
        <v>621</v>
      </c>
      <c r="D307" s="64">
        <v>62121.237240000002</v>
      </c>
      <c r="E307" s="64">
        <v>3998.5301400000003</v>
      </c>
      <c r="F307" s="64">
        <v>6968.9280499999995</v>
      </c>
      <c r="G307" s="205">
        <v>73089</v>
      </c>
      <c r="H307" s="205"/>
      <c r="I307" s="64">
        <v>63116</v>
      </c>
      <c r="J307" s="64">
        <v>4529</v>
      </c>
      <c r="K307" s="64">
        <v>6789</v>
      </c>
      <c r="L307" s="205">
        <v>74434</v>
      </c>
      <c r="M307" s="205"/>
      <c r="N307" s="64">
        <v>62984</v>
      </c>
      <c r="O307" s="64">
        <v>4722</v>
      </c>
      <c r="P307" s="64">
        <v>8990</v>
      </c>
      <c r="Q307" s="205">
        <v>76696</v>
      </c>
      <c r="R307" s="205"/>
      <c r="S307" s="64">
        <v>61072</v>
      </c>
      <c r="T307" s="64">
        <v>4827</v>
      </c>
      <c r="U307" s="64">
        <v>9155</v>
      </c>
      <c r="V307" s="205">
        <v>75054</v>
      </c>
      <c r="W307" s="205"/>
      <c r="X307" s="64">
        <v>60452</v>
      </c>
      <c r="Y307" s="64">
        <v>5096</v>
      </c>
      <c r="Z307" s="64">
        <v>8023</v>
      </c>
      <c r="AA307" s="205">
        <f t="shared" si="143"/>
        <v>73571</v>
      </c>
      <c r="AB307" s="205"/>
      <c r="AC307" s="64">
        <v>61432</v>
      </c>
      <c r="AD307" s="64">
        <v>4896</v>
      </c>
      <c r="AE307" s="64">
        <v>8519</v>
      </c>
      <c r="AF307" s="205">
        <f t="shared" si="120"/>
        <v>74847</v>
      </c>
      <c r="AG307" s="205"/>
      <c r="AH307" s="278">
        <v>63994.475100000003</v>
      </c>
      <c r="AI307" s="64">
        <v>5367.4474299999993</v>
      </c>
      <c r="AJ307" s="64">
        <v>11932.847539999999</v>
      </c>
      <c r="AK307" s="205">
        <f t="shared" si="121"/>
        <v>81294.770069999999</v>
      </c>
      <c r="AL307" s="205"/>
      <c r="AM307" s="64">
        <v>64346.542000000001</v>
      </c>
      <c r="AN307" s="64">
        <v>5437.5080900000003</v>
      </c>
      <c r="AO307" s="64">
        <v>9705.1167100000002</v>
      </c>
      <c r="AP307" s="205">
        <f t="shared" si="122"/>
        <v>79489.166800000006</v>
      </c>
      <c r="AQ307" s="205"/>
      <c r="AR307" s="64">
        <v>33159.53383</v>
      </c>
      <c r="AS307" s="64">
        <v>6023.71569</v>
      </c>
      <c r="AT307" s="64">
        <v>6769.6499599999997</v>
      </c>
      <c r="AU307" s="205">
        <f t="shared" si="123"/>
        <v>45952.89948</v>
      </c>
      <c r="AV307" s="205"/>
      <c r="AW307" s="64">
        <v>32846.413059983235</v>
      </c>
      <c r="AX307" s="64">
        <v>7791.8829102116651</v>
      </c>
      <c r="AY307" s="64">
        <v>6655.2458568906995</v>
      </c>
      <c r="AZ307" s="205">
        <f t="shared" si="124"/>
        <v>47293.541827085603</v>
      </c>
      <c r="BA307" s="205"/>
      <c r="BB307" s="64">
        <v>34569.918435854568</v>
      </c>
      <c r="BC307" s="64">
        <v>7980.0751008441366</v>
      </c>
      <c r="BD307" s="64">
        <v>6735.1088071733875</v>
      </c>
      <c r="BE307" s="205">
        <f t="shared" si="119"/>
        <v>49285.102343872095</v>
      </c>
      <c r="BF307" s="1"/>
      <c r="BG307" s="64">
        <v>35772.684917511688</v>
      </c>
      <c r="BH307" s="64">
        <v>8236.8138063442893</v>
      </c>
      <c r="BI307" s="64">
        <v>7062.1666035691596</v>
      </c>
      <c r="BJ307" s="205">
        <f t="shared" si="125"/>
        <v>51071.665327425137</v>
      </c>
      <c r="BK307" s="205"/>
      <c r="BL307" s="64">
        <v>36761.729761664654</v>
      </c>
      <c r="BM307" s="64">
        <v>8519.9075164926526</v>
      </c>
      <c r="BN307" s="64">
        <v>7484.2993407776557</v>
      </c>
      <c r="BO307" s="205">
        <f t="shared" si="126"/>
        <v>52765.936618934968</v>
      </c>
      <c r="BQ307" s="64">
        <v>37889.378164600763</v>
      </c>
      <c r="BR307" s="64">
        <v>8809.5480645388452</v>
      </c>
      <c r="BS307" s="64">
        <v>7746.706177420775</v>
      </c>
      <c r="BT307" s="205">
        <f t="shared" si="127"/>
        <v>54445.632406560384</v>
      </c>
      <c r="BU307" s="205"/>
    </row>
    <row r="308" spans="1:107" x14ac:dyDescent="0.2">
      <c r="AA308" s="7"/>
    </row>
    <row r="309" spans="1:107" x14ac:dyDescent="0.2">
      <c r="AA309" s="7"/>
      <c r="AC309" s="5"/>
      <c r="AD309" s="5"/>
      <c r="AE309" s="5"/>
      <c r="AH309" s="5"/>
      <c r="AI309" s="5"/>
      <c r="AJ309" s="5"/>
      <c r="AM309" s="5"/>
      <c r="AN309" s="5"/>
      <c r="AO309" s="5"/>
      <c r="AR309" s="5"/>
      <c r="AS309" s="5"/>
      <c r="AT309" s="5"/>
      <c r="AW309" s="5"/>
      <c r="AX309" s="5"/>
      <c r="AY309" s="5"/>
    </row>
    <row r="310" spans="1:107" x14ac:dyDescent="0.2">
      <c r="D310" s="5"/>
      <c r="E310" s="5"/>
      <c r="F310" s="5"/>
      <c r="G310" s="5"/>
      <c r="I310" s="5"/>
      <c r="J310" s="5"/>
      <c r="K310" s="5"/>
      <c r="L310" s="5"/>
      <c r="N310" s="5"/>
      <c r="O310" s="5"/>
      <c r="P310" s="5"/>
      <c r="Q310" s="5"/>
      <c r="S310" s="5"/>
      <c r="T310" s="5"/>
      <c r="U310" s="5"/>
      <c r="V310" s="5"/>
      <c r="X310" s="5"/>
      <c r="Y310" s="5"/>
      <c r="Z310" s="5"/>
      <c r="AA310" s="284"/>
    </row>
    <row r="311" spans="1:107" x14ac:dyDescent="0.2">
      <c r="AA311" s="7"/>
    </row>
    <row r="313" spans="1:107" s="319" customFormat="1" x14ac:dyDescent="0.2">
      <c r="C313" s="320"/>
      <c r="AA313" s="24"/>
      <c r="AB313" s="7"/>
      <c r="AK313" s="7"/>
      <c r="BC313" s="324"/>
    </row>
    <row r="315" spans="1:107" ht="12" thickBot="1" x14ac:dyDescent="0.25">
      <c r="G315" s="4">
        <v>2015</v>
      </c>
      <c r="L315" s="4">
        <v>2016</v>
      </c>
      <c r="Q315" s="4">
        <v>2017</v>
      </c>
      <c r="V315" s="4">
        <v>2018</v>
      </c>
      <c r="AA315" s="24">
        <v>2019</v>
      </c>
      <c r="AF315" s="4">
        <v>2020</v>
      </c>
      <c r="AK315" s="7">
        <v>2021</v>
      </c>
      <c r="AP315" s="4">
        <v>2022</v>
      </c>
      <c r="AU315" s="4">
        <v>2023</v>
      </c>
      <c r="AZ315" s="4">
        <v>2024</v>
      </c>
      <c r="BE315" s="4">
        <v>2025</v>
      </c>
    </row>
    <row r="316" spans="1:107" ht="12" thickBot="1" x14ac:dyDescent="0.25">
      <c r="B316" s="102" t="s">
        <v>648</v>
      </c>
      <c r="C316" s="102" t="s">
        <v>649</v>
      </c>
      <c r="D316" s="57" t="s">
        <v>626</v>
      </c>
      <c r="E316" s="56" t="s">
        <v>627</v>
      </c>
      <c r="F316" s="55" t="s">
        <v>628</v>
      </c>
      <c r="G316" s="52" t="s">
        <v>629</v>
      </c>
      <c r="H316" s="204"/>
      <c r="I316" s="57" t="s">
        <v>626</v>
      </c>
      <c r="J316" s="56" t="s">
        <v>627</v>
      </c>
      <c r="K316" s="55" t="s">
        <v>628</v>
      </c>
      <c r="L316" s="52" t="s">
        <v>629</v>
      </c>
      <c r="M316" s="204"/>
      <c r="N316" s="57" t="s">
        <v>626</v>
      </c>
      <c r="O316" s="56" t="s">
        <v>627</v>
      </c>
      <c r="P316" s="55" t="s">
        <v>628</v>
      </c>
      <c r="Q316" s="52" t="s">
        <v>629</v>
      </c>
      <c r="R316" s="204"/>
      <c r="S316" s="57" t="s">
        <v>626</v>
      </c>
      <c r="T316" s="56" t="s">
        <v>627</v>
      </c>
      <c r="U316" s="55" t="s">
        <v>628</v>
      </c>
      <c r="V316" s="52" t="s">
        <v>629</v>
      </c>
      <c r="W316" s="204"/>
      <c r="X316" s="57" t="s">
        <v>626</v>
      </c>
      <c r="Y316" s="56" t="s">
        <v>627</v>
      </c>
      <c r="Z316" s="55" t="s">
        <v>628</v>
      </c>
      <c r="AA316" s="52" t="s">
        <v>629</v>
      </c>
      <c r="AB316" s="210"/>
      <c r="AC316" s="57" t="s">
        <v>626</v>
      </c>
      <c r="AD316" s="56" t="s">
        <v>627</v>
      </c>
      <c r="AE316" s="55" t="s">
        <v>628</v>
      </c>
      <c r="AF316" s="52" t="s">
        <v>629</v>
      </c>
      <c r="AG316" s="204"/>
      <c r="AH316" s="57" t="s">
        <v>626</v>
      </c>
      <c r="AI316" s="56" t="s">
        <v>627</v>
      </c>
      <c r="AJ316" s="55" t="s">
        <v>628</v>
      </c>
      <c r="AK316" s="359" t="s">
        <v>629</v>
      </c>
      <c r="AL316" s="204"/>
      <c r="AM316" s="57" t="s">
        <v>626</v>
      </c>
      <c r="AN316" s="56" t="s">
        <v>627</v>
      </c>
      <c r="AO316" s="55" t="s">
        <v>628</v>
      </c>
      <c r="AP316" s="52" t="s">
        <v>629</v>
      </c>
      <c r="AQ316" s="204"/>
      <c r="AR316" s="57" t="s">
        <v>626</v>
      </c>
      <c r="AS316" s="56" t="s">
        <v>627</v>
      </c>
      <c r="AT316" s="55" t="s">
        <v>628</v>
      </c>
      <c r="AU316" s="52" t="s">
        <v>629</v>
      </c>
      <c r="AV316" s="204"/>
      <c r="AW316" s="57" t="s">
        <v>626</v>
      </c>
      <c r="AX316" s="56" t="s">
        <v>627</v>
      </c>
      <c r="AY316" s="55" t="s">
        <v>628</v>
      </c>
      <c r="AZ316" s="52" t="s">
        <v>629</v>
      </c>
      <c r="BA316" s="204"/>
      <c r="BB316" s="57" t="s">
        <v>626</v>
      </c>
      <c r="BC316" s="325" t="s">
        <v>627</v>
      </c>
      <c r="BD316" s="55" t="s">
        <v>628</v>
      </c>
      <c r="BE316" s="52" t="s">
        <v>629</v>
      </c>
      <c r="BF316" s="204"/>
      <c r="BG316" s="57" t="s">
        <v>626</v>
      </c>
      <c r="BH316" s="56" t="s">
        <v>627</v>
      </c>
      <c r="BI316" s="55" t="s">
        <v>628</v>
      </c>
      <c r="BJ316" s="52" t="s">
        <v>629</v>
      </c>
      <c r="BK316" s="406"/>
      <c r="BL316" s="406"/>
      <c r="BM316" s="406"/>
      <c r="BN316" s="406"/>
      <c r="BO316" s="406"/>
    </row>
    <row r="317" spans="1:107" x14ac:dyDescent="0.2">
      <c r="B317" s="8">
        <v>1</v>
      </c>
      <c r="C317" s="8" t="s">
        <v>650</v>
      </c>
      <c r="D317" s="43">
        <f t="shared" ref="D317:G334" si="147">SUMIF($A$15:$A$307,$B317,D$15:D$307)</f>
        <v>6344256.3505599983</v>
      </c>
      <c r="E317" s="43">
        <f t="shared" si="147"/>
        <v>528907.39593000012</v>
      </c>
      <c r="F317" s="43">
        <f t="shared" si="147"/>
        <v>694404.57703999989</v>
      </c>
      <c r="G317" s="43">
        <f t="shared" si="147"/>
        <v>7567056</v>
      </c>
      <c r="H317" s="43"/>
      <c r="I317" s="43">
        <f t="shared" ref="I317:L334" si="148">SUMIF($A$15:$A$307,$B317,I$15:I$307)</f>
        <v>6601377</v>
      </c>
      <c r="J317" s="43">
        <f t="shared" si="148"/>
        <v>545530</v>
      </c>
      <c r="K317" s="43">
        <f t="shared" si="148"/>
        <v>679989</v>
      </c>
      <c r="L317" s="43">
        <f t="shared" si="148"/>
        <v>7816957</v>
      </c>
      <c r="M317" s="43"/>
      <c r="N317" s="43">
        <f t="shared" ref="N317:Q334" si="149">SUMIF($A$15:$A$307,$B317,N$15:N$307)</f>
        <v>6625504</v>
      </c>
      <c r="O317" s="43">
        <f t="shared" si="149"/>
        <v>607679</v>
      </c>
      <c r="P317" s="43">
        <f t="shared" si="149"/>
        <v>854639</v>
      </c>
      <c r="Q317" s="43">
        <f t="shared" si="149"/>
        <v>8087822</v>
      </c>
      <c r="R317" s="43"/>
      <c r="S317" s="43">
        <f t="shared" ref="S317:V334" si="150">SUMIF($A$15:$A$307,$B317,S$15:S$307)</f>
        <v>6634433</v>
      </c>
      <c r="T317" s="43">
        <f t="shared" si="150"/>
        <v>615392</v>
      </c>
      <c r="U317" s="43">
        <f t="shared" si="150"/>
        <v>888206</v>
      </c>
      <c r="V317" s="43">
        <f t="shared" si="150"/>
        <v>8138031</v>
      </c>
      <c r="W317" s="43"/>
      <c r="X317" s="43">
        <f t="shared" ref="X317:AA334" si="151">SUMIF($A$15:$A$307,$B317,X$15:X$307)</f>
        <v>6770416</v>
      </c>
      <c r="Y317" s="43">
        <f t="shared" si="151"/>
        <v>636239</v>
      </c>
      <c r="Z317" s="43">
        <f t="shared" si="151"/>
        <v>909291</v>
      </c>
      <c r="AA317" s="114">
        <f t="shared" si="151"/>
        <v>8315946</v>
      </c>
      <c r="AB317" s="159"/>
      <c r="AC317" s="43">
        <f t="shared" ref="AC317:AF334" si="152">SUMIF($A$15:$A$307,$B317,AC$15:AC$307)</f>
        <v>7172302</v>
      </c>
      <c r="AD317" s="43">
        <f t="shared" si="152"/>
        <v>594464</v>
      </c>
      <c r="AE317" s="43">
        <f t="shared" si="152"/>
        <v>867418</v>
      </c>
      <c r="AF317" s="43">
        <f t="shared" si="152"/>
        <v>8634184</v>
      </c>
      <c r="AG317" s="43"/>
      <c r="AH317" s="43">
        <f t="shared" ref="AH317:AK334" si="153">SUMIF($A$15:$A$307,$B317,AH$15:AH$307)</f>
        <v>7276757.5094000008</v>
      </c>
      <c r="AI317" s="43">
        <f t="shared" si="153"/>
        <v>687016.76043999998</v>
      </c>
      <c r="AJ317" s="43">
        <f t="shared" si="153"/>
        <v>1257450.2989600003</v>
      </c>
      <c r="AK317" s="159">
        <f t="shared" si="153"/>
        <v>9221224.5688000005</v>
      </c>
      <c r="AL317" s="43"/>
      <c r="AM317" s="43">
        <f t="shared" ref="AM317:AP334" si="154">SUMIF($A$15:$A$307,$B317,AM$15:AM$307)</f>
        <v>7767160.9131500013</v>
      </c>
      <c r="AN317" s="43">
        <f t="shared" si="154"/>
        <v>732216.74263999995</v>
      </c>
      <c r="AO317" s="43">
        <f t="shared" si="154"/>
        <v>1358002.3966699995</v>
      </c>
      <c r="AP317" s="43">
        <f t="shared" si="154"/>
        <v>9857380.0524599981</v>
      </c>
      <c r="AQ317" s="43"/>
      <c r="AR317" s="43">
        <f t="shared" ref="AR317:AU334" si="155">SUMIF($A$15:$A$307,$B317,AR$15:AR$307)</f>
        <v>3319718.1319400007</v>
      </c>
      <c r="AS317" s="43">
        <f t="shared" si="155"/>
        <v>756890.53414999985</v>
      </c>
      <c r="AT317" s="43">
        <f t="shared" si="155"/>
        <v>920859.32605000015</v>
      </c>
      <c r="AU317" s="43">
        <f t="shared" si="155"/>
        <v>4997467.9921400007</v>
      </c>
      <c r="AV317" s="43"/>
      <c r="AW317" s="43">
        <f t="shared" ref="AW317:AZ334" si="156">SUMIF($A$15:$A$307,$B317,AW$15:AW$307)</f>
        <v>3011882.2695708843</v>
      </c>
      <c r="AX317" s="43">
        <f t="shared" si="156"/>
        <v>858401.41295404348</v>
      </c>
      <c r="AY317" s="43">
        <f t="shared" si="156"/>
        <v>766040.84988163237</v>
      </c>
      <c r="AZ317" s="43">
        <f t="shared" si="156"/>
        <v>4636324.5324065601</v>
      </c>
      <c r="BA317" s="43"/>
      <c r="BB317" s="43">
        <f t="shared" ref="BB317:BE334" si="157">SUMIF($A$15:$A$307,$B317,BB$15:BB$307)</f>
        <v>3164863.775137933</v>
      </c>
      <c r="BC317" s="43">
        <f t="shared" si="157"/>
        <v>874209.13216882665</v>
      </c>
      <c r="BD317" s="43">
        <f t="shared" si="157"/>
        <v>775233.34008021175</v>
      </c>
      <c r="BE317" s="43">
        <f t="shared" si="157"/>
        <v>4814306.2473869696</v>
      </c>
      <c r="BF317" s="43"/>
      <c r="BG317" s="43">
        <f t="shared" ref="BG317:BJ334" si="158">SUMIF($A$15:$A$307,$B317,BG$15:BG$307)</f>
        <v>3310610.0750151034</v>
      </c>
      <c r="BH317" s="43">
        <f t="shared" si="158"/>
        <v>897243.20629855222</v>
      </c>
      <c r="BI317" s="43">
        <f t="shared" si="158"/>
        <v>812878.77613153786</v>
      </c>
      <c r="BJ317" s="43">
        <f t="shared" si="158"/>
        <v>5020732.0574451918</v>
      </c>
      <c r="BK317" s="43"/>
      <c r="BL317" s="43"/>
      <c r="BM317" s="43"/>
      <c r="BN317" s="43"/>
      <c r="BO317" s="43"/>
    </row>
    <row r="318" spans="1:107" x14ac:dyDescent="0.2">
      <c r="B318" s="8">
        <v>2</v>
      </c>
      <c r="C318" s="8" t="s">
        <v>651</v>
      </c>
      <c r="D318" s="43">
        <f t="shared" si="147"/>
        <v>1538258.6062500002</v>
      </c>
      <c r="E318" s="43">
        <f t="shared" si="147"/>
        <v>126709.24857000001</v>
      </c>
      <c r="F318" s="43">
        <f t="shared" si="147"/>
        <v>141098.01551000003</v>
      </c>
      <c r="G318" s="43">
        <f t="shared" si="147"/>
        <v>1805812</v>
      </c>
      <c r="H318" s="43"/>
      <c r="I318" s="43">
        <f t="shared" si="148"/>
        <v>1572278</v>
      </c>
      <c r="J318" s="43">
        <f t="shared" si="148"/>
        <v>130078</v>
      </c>
      <c r="K318" s="43">
        <f t="shared" si="148"/>
        <v>128861</v>
      </c>
      <c r="L318" s="43">
        <f t="shared" si="148"/>
        <v>1827824</v>
      </c>
      <c r="M318" s="43"/>
      <c r="N318" s="43">
        <f t="shared" si="149"/>
        <v>1567336</v>
      </c>
      <c r="O318" s="43">
        <f t="shared" si="149"/>
        <v>134395</v>
      </c>
      <c r="P318" s="43">
        <f t="shared" si="149"/>
        <v>155142</v>
      </c>
      <c r="Q318" s="43">
        <f t="shared" si="149"/>
        <v>1856873</v>
      </c>
      <c r="R318" s="43"/>
      <c r="S318" s="43">
        <f t="shared" si="150"/>
        <v>1555081</v>
      </c>
      <c r="T318" s="43">
        <f t="shared" si="150"/>
        <v>137815</v>
      </c>
      <c r="U318" s="43">
        <f t="shared" si="150"/>
        <v>156355</v>
      </c>
      <c r="V318" s="43">
        <f t="shared" si="150"/>
        <v>1849251</v>
      </c>
      <c r="W318" s="43"/>
      <c r="X318" s="43">
        <f t="shared" si="151"/>
        <v>1600110</v>
      </c>
      <c r="Y318" s="43">
        <f t="shared" si="151"/>
        <v>139740</v>
      </c>
      <c r="Z318" s="43">
        <f t="shared" si="151"/>
        <v>168132</v>
      </c>
      <c r="AA318" s="114">
        <f t="shared" si="151"/>
        <v>1907982</v>
      </c>
      <c r="AB318" s="159"/>
      <c r="AC318" s="43">
        <f t="shared" si="152"/>
        <v>1677078</v>
      </c>
      <c r="AD318" s="43">
        <f t="shared" si="152"/>
        <v>129970</v>
      </c>
      <c r="AE318" s="43">
        <f t="shared" si="152"/>
        <v>175887</v>
      </c>
      <c r="AF318" s="43">
        <f t="shared" si="152"/>
        <v>1982935</v>
      </c>
      <c r="AG318" s="43"/>
      <c r="AH318" s="43">
        <f t="shared" si="153"/>
        <v>1718458.2826999996</v>
      </c>
      <c r="AI318" s="43">
        <f t="shared" si="153"/>
        <v>150599.08895999999</v>
      </c>
      <c r="AJ318" s="43">
        <f t="shared" si="153"/>
        <v>255260.10494999998</v>
      </c>
      <c r="AK318" s="159">
        <f t="shared" si="153"/>
        <v>2124317.4766099998</v>
      </c>
      <c r="AL318" s="43"/>
      <c r="AM318" s="43">
        <f t="shared" si="154"/>
        <v>1801680.1150399998</v>
      </c>
      <c r="AN318" s="43">
        <f t="shared" si="154"/>
        <v>160170.62444000001</v>
      </c>
      <c r="AO318" s="43">
        <f t="shared" si="154"/>
        <v>284873.91358999995</v>
      </c>
      <c r="AP318" s="43">
        <f t="shared" si="154"/>
        <v>2246724.6530699995</v>
      </c>
      <c r="AQ318" s="43"/>
      <c r="AR318" s="43">
        <f t="shared" si="155"/>
        <v>855988.71771000011</v>
      </c>
      <c r="AS318" s="43">
        <f t="shared" si="155"/>
        <v>165920.44274</v>
      </c>
      <c r="AT318" s="43">
        <f t="shared" si="155"/>
        <v>190898.24515</v>
      </c>
      <c r="AU318" s="43">
        <f t="shared" si="155"/>
        <v>1212807.4055999999</v>
      </c>
      <c r="AV318" s="43"/>
      <c r="AW318" s="43">
        <f t="shared" si="156"/>
        <v>813266.48628938082</v>
      </c>
      <c r="AX318" s="43">
        <f t="shared" si="156"/>
        <v>183895.49745596742</v>
      </c>
      <c r="AY318" s="43">
        <f t="shared" si="156"/>
        <v>147701.7232811038</v>
      </c>
      <c r="AZ318" s="43">
        <f t="shared" si="156"/>
        <v>1144863.7070264518</v>
      </c>
      <c r="BA318" s="43"/>
      <c r="BB318" s="43">
        <f t="shared" si="157"/>
        <v>859380.01121347782</v>
      </c>
      <c r="BC318" s="43">
        <f t="shared" si="157"/>
        <v>187409.26862171505</v>
      </c>
      <c r="BD318" s="43">
        <f t="shared" si="157"/>
        <v>149474.14396047703</v>
      </c>
      <c r="BE318" s="43">
        <f t="shared" si="157"/>
        <v>1196263.42379567</v>
      </c>
      <c r="BF318" s="43"/>
      <c r="BG318" s="43">
        <f t="shared" si="158"/>
        <v>901851.25734876411</v>
      </c>
      <c r="BH318" s="43">
        <f t="shared" si="158"/>
        <v>192474.47202585122</v>
      </c>
      <c r="BI318" s="43">
        <f t="shared" si="158"/>
        <v>156732.62864743418</v>
      </c>
      <c r="BJ318" s="43">
        <f t="shared" si="158"/>
        <v>1251058.3580220491</v>
      </c>
      <c r="BK318" s="43"/>
      <c r="BL318" s="43"/>
      <c r="BM318" s="43"/>
      <c r="BN318" s="43"/>
      <c r="BO318" s="43"/>
    </row>
    <row r="319" spans="1:107" x14ac:dyDescent="0.2">
      <c r="B319" s="8">
        <v>4</v>
      </c>
      <c r="C319" s="8" t="s">
        <v>652</v>
      </c>
      <c r="D319" s="43">
        <f t="shared" si="147"/>
        <v>679739.22353999992</v>
      </c>
      <c r="E319" s="43">
        <f t="shared" si="147"/>
        <v>64777.022980000002</v>
      </c>
      <c r="F319" s="43">
        <f t="shared" si="147"/>
        <v>62667.197270000004</v>
      </c>
      <c r="G319" s="43">
        <f t="shared" si="147"/>
        <v>816462</v>
      </c>
      <c r="H319" s="43"/>
      <c r="I319" s="43">
        <f t="shared" si="148"/>
        <v>701289</v>
      </c>
      <c r="J319" s="43">
        <f t="shared" si="148"/>
        <v>69924</v>
      </c>
      <c r="K319" s="43">
        <f t="shared" si="148"/>
        <v>55291</v>
      </c>
      <c r="L319" s="43">
        <f t="shared" si="148"/>
        <v>824229</v>
      </c>
      <c r="M319" s="43"/>
      <c r="N319" s="43">
        <f t="shared" si="149"/>
        <v>712074</v>
      </c>
      <c r="O319" s="43">
        <f t="shared" si="149"/>
        <v>72392</v>
      </c>
      <c r="P319" s="43">
        <f t="shared" si="149"/>
        <v>67607</v>
      </c>
      <c r="Q319" s="43">
        <f t="shared" si="149"/>
        <v>852072</v>
      </c>
      <c r="R319" s="43"/>
      <c r="S319" s="43">
        <f t="shared" si="150"/>
        <v>705768</v>
      </c>
      <c r="T319" s="43">
        <f t="shared" si="150"/>
        <v>75330</v>
      </c>
      <c r="U319" s="43">
        <f t="shared" si="150"/>
        <v>58424</v>
      </c>
      <c r="V319" s="43">
        <f t="shared" si="150"/>
        <v>839522</v>
      </c>
      <c r="W319" s="43"/>
      <c r="X319" s="43">
        <f t="shared" si="151"/>
        <v>715051</v>
      </c>
      <c r="Y319" s="43">
        <f t="shared" si="151"/>
        <v>77146</v>
      </c>
      <c r="Z319" s="43">
        <f t="shared" si="151"/>
        <v>56829</v>
      </c>
      <c r="AA319" s="114">
        <f t="shared" si="151"/>
        <v>849026</v>
      </c>
      <c r="AB319" s="159"/>
      <c r="AC319" s="43">
        <f t="shared" si="152"/>
        <v>745377</v>
      </c>
      <c r="AD319" s="43">
        <f t="shared" si="152"/>
        <v>73755</v>
      </c>
      <c r="AE319" s="43">
        <f t="shared" si="152"/>
        <v>61530</v>
      </c>
      <c r="AF319" s="43">
        <f t="shared" si="152"/>
        <v>880662</v>
      </c>
      <c r="AG319" s="43"/>
      <c r="AH319" s="43">
        <f t="shared" si="153"/>
        <v>775350.33122999989</v>
      </c>
      <c r="AI319" s="43">
        <f t="shared" si="153"/>
        <v>81462.456280000013</v>
      </c>
      <c r="AJ319" s="43">
        <f t="shared" si="153"/>
        <v>88171.026559999998</v>
      </c>
      <c r="AK319" s="159">
        <f t="shared" si="153"/>
        <v>944983.81406999996</v>
      </c>
      <c r="AL319" s="43"/>
      <c r="AM319" s="43">
        <f t="shared" si="154"/>
        <v>794135.19267999986</v>
      </c>
      <c r="AN319" s="43">
        <f t="shared" si="154"/>
        <v>85998.085990000007</v>
      </c>
      <c r="AO319" s="43">
        <f t="shared" si="154"/>
        <v>90960.96649999998</v>
      </c>
      <c r="AP319" s="43">
        <f t="shared" si="154"/>
        <v>971094.24517000001</v>
      </c>
      <c r="AQ319" s="43"/>
      <c r="AR319" s="43">
        <f t="shared" si="155"/>
        <v>386445.93678999995</v>
      </c>
      <c r="AS319" s="43">
        <f t="shared" si="155"/>
        <v>88586.109280000004</v>
      </c>
      <c r="AT319" s="43">
        <f t="shared" si="155"/>
        <v>62944.674959999997</v>
      </c>
      <c r="AU319" s="43">
        <f t="shared" si="155"/>
        <v>537976.7210299999</v>
      </c>
      <c r="AV319" s="43"/>
      <c r="AW319" s="43">
        <f t="shared" si="156"/>
        <v>372943.15228725277</v>
      </c>
      <c r="AX319" s="43">
        <f t="shared" si="156"/>
        <v>92979.670630644541</v>
      </c>
      <c r="AY319" s="43">
        <f t="shared" si="156"/>
        <v>59015.601668805088</v>
      </c>
      <c r="AZ319" s="43">
        <f t="shared" si="156"/>
        <v>524938.42458670249</v>
      </c>
      <c r="BA319" s="43"/>
      <c r="BB319" s="43">
        <f t="shared" si="157"/>
        <v>391469.33207551576</v>
      </c>
      <c r="BC319" s="43">
        <f t="shared" si="157"/>
        <v>93864.700125110612</v>
      </c>
      <c r="BD319" s="43">
        <f t="shared" si="157"/>
        <v>59723.788888830735</v>
      </c>
      <c r="BE319" s="43">
        <f t="shared" si="157"/>
        <v>545057.82108945714</v>
      </c>
      <c r="BF319" s="43"/>
      <c r="BG319" s="43">
        <f t="shared" si="158"/>
        <v>406631.00102863496</v>
      </c>
      <c r="BH319" s="43">
        <f t="shared" si="158"/>
        <v>95504.498449787105</v>
      </c>
      <c r="BI319" s="43">
        <f t="shared" si="158"/>
        <v>62623.984170840602</v>
      </c>
      <c r="BJ319" s="43">
        <f t="shared" si="158"/>
        <v>564759.48364926269</v>
      </c>
      <c r="BK319" s="43"/>
      <c r="BL319" s="43"/>
      <c r="BM319" s="43"/>
      <c r="BN319" s="43"/>
      <c r="BO319" s="43"/>
    </row>
    <row r="320" spans="1:107" x14ac:dyDescent="0.2">
      <c r="B320" s="8">
        <v>5</v>
      </c>
      <c r="C320" s="8" t="s">
        <v>653</v>
      </c>
      <c r="D320" s="43">
        <f t="shared" si="147"/>
        <v>589571.8192899999</v>
      </c>
      <c r="E320" s="43">
        <f t="shared" si="147"/>
        <v>49884.137040000001</v>
      </c>
      <c r="F320" s="43">
        <f t="shared" si="147"/>
        <v>35613.927189999995</v>
      </c>
      <c r="G320" s="43">
        <f t="shared" si="147"/>
        <v>674909</v>
      </c>
      <c r="H320" s="43"/>
      <c r="I320" s="43">
        <f t="shared" si="148"/>
        <v>585493</v>
      </c>
      <c r="J320" s="43">
        <f t="shared" si="148"/>
        <v>52130</v>
      </c>
      <c r="K320" s="43">
        <f t="shared" si="148"/>
        <v>32356</v>
      </c>
      <c r="L320" s="43">
        <f t="shared" si="148"/>
        <v>669976</v>
      </c>
      <c r="M320" s="43"/>
      <c r="N320" s="43">
        <f t="shared" si="149"/>
        <v>590484</v>
      </c>
      <c r="O320" s="43">
        <f t="shared" si="149"/>
        <v>54587</v>
      </c>
      <c r="P320" s="43">
        <f t="shared" si="149"/>
        <v>38902</v>
      </c>
      <c r="Q320" s="43">
        <f t="shared" si="149"/>
        <v>683973</v>
      </c>
      <c r="R320" s="43"/>
      <c r="S320" s="43">
        <f t="shared" si="150"/>
        <v>584721</v>
      </c>
      <c r="T320" s="43">
        <f t="shared" si="150"/>
        <v>55311</v>
      </c>
      <c r="U320" s="43">
        <f t="shared" si="150"/>
        <v>37081</v>
      </c>
      <c r="V320" s="43">
        <f t="shared" si="150"/>
        <v>677113</v>
      </c>
      <c r="W320" s="43"/>
      <c r="X320" s="43">
        <f t="shared" si="151"/>
        <v>591307</v>
      </c>
      <c r="Y320" s="43">
        <f t="shared" si="151"/>
        <v>56413</v>
      </c>
      <c r="Z320" s="43">
        <f t="shared" si="151"/>
        <v>36289</v>
      </c>
      <c r="AA320" s="114">
        <f t="shared" si="151"/>
        <v>684009</v>
      </c>
      <c r="AB320" s="159"/>
      <c r="AC320" s="43">
        <f t="shared" si="152"/>
        <v>622460</v>
      </c>
      <c r="AD320" s="43">
        <f t="shared" si="152"/>
        <v>51605</v>
      </c>
      <c r="AE320" s="43">
        <f t="shared" si="152"/>
        <v>40763</v>
      </c>
      <c r="AF320" s="43">
        <f t="shared" si="152"/>
        <v>714828</v>
      </c>
      <c r="AG320" s="43"/>
      <c r="AH320" s="43">
        <f t="shared" si="153"/>
        <v>633369.65093999996</v>
      </c>
      <c r="AI320" s="43">
        <f t="shared" si="153"/>
        <v>56459.269219999995</v>
      </c>
      <c r="AJ320" s="43">
        <f t="shared" si="153"/>
        <v>60986.903140000002</v>
      </c>
      <c r="AK320" s="159">
        <f t="shared" si="153"/>
        <v>750815.82329999993</v>
      </c>
      <c r="AL320" s="43"/>
      <c r="AM320" s="43">
        <f t="shared" si="154"/>
        <v>661769.64067000011</v>
      </c>
      <c r="AN320" s="43">
        <f t="shared" si="154"/>
        <v>59424.844980000002</v>
      </c>
      <c r="AO320" s="43">
        <f t="shared" si="154"/>
        <v>64692.311459999997</v>
      </c>
      <c r="AP320" s="43">
        <f t="shared" si="154"/>
        <v>785886.79710999993</v>
      </c>
      <c r="AQ320" s="43"/>
      <c r="AR320" s="43">
        <f t="shared" si="155"/>
        <v>328521.50596999994</v>
      </c>
      <c r="AS320" s="43">
        <f t="shared" si="155"/>
        <v>61346.59595000001</v>
      </c>
      <c r="AT320" s="43">
        <f t="shared" si="155"/>
        <v>46704.516620000002</v>
      </c>
      <c r="AU320" s="43">
        <f t="shared" si="155"/>
        <v>436572.61854</v>
      </c>
      <c r="AV320" s="43"/>
      <c r="AW320" s="43">
        <f t="shared" si="156"/>
        <v>311499.22717760276</v>
      </c>
      <c r="AX320" s="43">
        <f t="shared" si="156"/>
        <v>61959.187081927012</v>
      </c>
      <c r="AY320" s="43">
        <f t="shared" si="156"/>
        <v>43829.047343032391</v>
      </c>
      <c r="AZ320" s="43">
        <f t="shared" si="156"/>
        <v>417287.46160256217</v>
      </c>
      <c r="BA320" s="43"/>
      <c r="BB320" s="43">
        <f t="shared" si="157"/>
        <v>328388.23372948583</v>
      </c>
      <c r="BC320" s="43">
        <f t="shared" si="157"/>
        <v>62243.455825697347</v>
      </c>
      <c r="BD320" s="43">
        <f t="shared" si="157"/>
        <v>44354.995911148784</v>
      </c>
      <c r="BE320" s="43">
        <f t="shared" si="157"/>
        <v>434986.6854663319</v>
      </c>
      <c r="BF320" s="43"/>
      <c r="BG320" s="43">
        <f t="shared" si="158"/>
        <v>342521.84249288071</v>
      </c>
      <c r="BH320" s="43">
        <f t="shared" si="158"/>
        <v>63018.846278043995</v>
      </c>
      <c r="BI320" s="43">
        <f t="shared" si="158"/>
        <v>46508.880523434957</v>
      </c>
      <c r="BJ320" s="43">
        <f t="shared" si="158"/>
        <v>452049.56929435971</v>
      </c>
      <c r="BK320" s="43"/>
      <c r="BL320" s="43"/>
      <c r="BM320" s="43"/>
      <c r="BN320" s="43"/>
      <c r="BO320" s="43"/>
    </row>
    <row r="321" spans="2:67" x14ac:dyDescent="0.2">
      <c r="B321" s="8">
        <v>6</v>
      </c>
      <c r="C321" s="8" t="s">
        <v>654</v>
      </c>
      <c r="D321" s="43">
        <f t="shared" si="147"/>
        <v>1677124.3282099999</v>
      </c>
      <c r="E321" s="43">
        <f t="shared" si="147"/>
        <v>131897.06809000002</v>
      </c>
      <c r="F321" s="43">
        <f t="shared" si="147"/>
        <v>117487.84745</v>
      </c>
      <c r="G321" s="43">
        <f t="shared" si="147"/>
        <v>1926378</v>
      </c>
      <c r="H321" s="43"/>
      <c r="I321" s="43">
        <f t="shared" si="148"/>
        <v>1728808</v>
      </c>
      <c r="J321" s="43">
        <f t="shared" si="148"/>
        <v>126750</v>
      </c>
      <c r="K321" s="43">
        <f t="shared" si="148"/>
        <v>96190</v>
      </c>
      <c r="L321" s="43">
        <f t="shared" si="148"/>
        <v>1949048</v>
      </c>
      <c r="M321" s="43"/>
      <c r="N321" s="43">
        <f t="shared" si="149"/>
        <v>1719197</v>
      </c>
      <c r="O321" s="43">
        <f t="shared" si="149"/>
        <v>144789</v>
      </c>
      <c r="P321" s="43">
        <f t="shared" si="149"/>
        <v>126005</v>
      </c>
      <c r="Q321" s="43">
        <f t="shared" si="149"/>
        <v>1989991</v>
      </c>
      <c r="R321" s="43"/>
      <c r="S321" s="43">
        <f t="shared" si="150"/>
        <v>1698879</v>
      </c>
      <c r="T321" s="43">
        <f t="shared" si="150"/>
        <v>149189</v>
      </c>
      <c r="U321" s="43">
        <f t="shared" si="150"/>
        <v>127790</v>
      </c>
      <c r="V321" s="43">
        <f t="shared" si="150"/>
        <v>1975858</v>
      </c>
      <c r="W321" s="43"/>
      <c r="X321" s="43">
        <f t="shared" si="151"/>
        <v>1772749</v>
      </c>
      <c r="Y321" s="43">
        <f t="shared" si="151"/>
        <v>162715</v>
      </c>
      <c r="Z321" s="43">
        <f t="shared" si="151"/>
        <v>136368</v>
      </c>
      <c r="AA321" s="114">
        <f t="shared" si="151"/>
        <v>2071832</v>
      </c>
      <c r="AB321" s="159"/>
      <c r="AC321" s="43">
        <f t="shared" si="152"/>
        <v>1875946</v>
      </c>
      <c r="AD321" s="43">
        <f t="shared" si="152"/>
        <v>152401</v>
      </c>
      <c r="AE321" s="43">
        <f t="shared" si="152"/>
        <v>150816</v>
      </c>
      <c r="AF321" s="43">
        <f t="shared" si="152"/>
        <v>2179163</v>
      </c>
      <c r="AG321" s="43"/>
      <c r="AH321" s="43">
        <f t="shared" si="153"/>
        <v>1936808.9335599998</v>
      </c>
      <c r="AI321" s="43">
        <f t="shared" si="153"/>
        <v>169340.86162000004</v>
      </c>
      <c r="AJ321" s="43">
        <f t="shared" si="153"/>
        <v>223251.71802000003</v>
      </c>
      <c r="AK321" s="159">
        <f t="shared" si="153"/>
        <v>2329401.5132000004</v>
      </c>
      <c r="AL321" s="43"/>
      <c r="AM321" s="43">
        <f t="shared" si="154"/>
        <v>2052938.3074100001</v>
      </c>
      <c r="AN321" s="43">
        <f t="shared" si="154"/>
        <v>180509.15322000001</v>
      </c>
      <c r="AO321" s="43">
        <f t="shared" si="154"/>
        <v>238409.30814000004</v>
      </c>
      <c r="AP321" s="43">
        <f t="shared" si="154"/>
        <v>2471856.76877</v>
      </c>
      <c r="AQ321" s="43"/>
      <c r="AR321" s="43">
        <f t="shared" si="155"/>
        <v>1034093.57976</v>
      </c>
      <c r="AS321" s="43">
        <f t="shared" si="155"/>
        <v>190052.68228999997</v>
      </c>
      <c r="AT321" s="43">
        <f t="shared" si="155"/>
        <v>165696.73270000002</v>
      </c>
      <c r="AU321" s="43">
        <f t="shared" si="155"/>
        <v>1389842.9947500001</v>
      </c>
      <c r="AV321" s="43"/>
      <c r="AW321" s="43">
        <f t="shared" si="156"/>
        <v>992851.60253440298</v>
      </c>
      <c r="AX321" s="43">
        <f t="shared" si="156"/>
        <v>200654.98648127087</v>
      </c>
      <c r="AY321" s="43">
        <f t="shared" si="156"/>
        <v>141174.384688858</v>
      </c>
      <c r="AZ321" s="43">
        <f t="shared" si="156"/>
        <v>1334680.973704532</v>
      </c>
      <c r="BA321" s="43"/>
      <c r="BB321" s="43">
        <f t="shared" si="157"/>
        <v>1053975.0634380011</v>
      </c>
      <c r="BC321" s="43">
        <f t="shared" si="157"/>
        <v>204908.00443411863</v>
      </c>
      <c r="BD321" s="43">
        <f t="shared" si="157"/>
        <v>142868.47730512428</v>
      </c>
      <c r="BE321" s="43">
        <f t="shared" si="157"/>
        <v>1401751.5451772439</v>
      </c>
      <c r="BF321" s="43"/>
      <c r="BG321" s="43">
        <f t="shared" si="158"/>
        <v>1109753.1285723089</v>
      </c>
      <c r="BH321" s="43">
        <f t="shared" si="158"/>
        <v>210882.07429045861</v>
      </c>
      <c r="BI321" s="43">
        <f t="shared" si="158"/>
        <v>149806.18992411965</v>
      </c>
      <c r="BJ321" s="43">
        <f t="shared" si="158"/>
        <v>1470441.3927868875</v>
      </c>
      <c r="BK321" s="43"/>
      <c r="BL321" s="43"/>
      <c r="BM321" s="43"/>
      <c r="BN321" s="43"/>
      <c r="BO321" s="43"/>
    </row>
    <row r="322" spans="2:67" x14ac:dyDescent="0.2">
      <c r="B322" s="8">
        <v>7</v>
      </c>
      <c r="C322" s="8" t="s">
        <v>655</v>
      </c>
      <c r="D322" s="43">
        <f t="shared" si="147"/>
        <v>605359.90162999998</v>
      </c>
      <c r="E322" s="43">
        <f t="shared" si="147"/>
        <v>58408.554550000001</v>
      </c>
      <c r="F322" s="43">
        <f t="shared" si="147"/>
        <v>40107.667190000007</v>
      </c>
      <c r="G322" s="43">
        <f t="shared" si="147"/>
        <v>765161</v>
      </c>
      <c r="H322" s="43"/>
      <c r="I322" s="43">
        <f t="shared" si="148"/>
        <v>668697</v>
      </c>
      <c r="J322" s="43">
        <f t="shared" si="148"/>
        <v>63462</v>
      </c>
      <c r="K322" s="43">
        <f t="shared" si="148"/>
        <v>37329</v>
      </c>
      <c r="L322" s="43">
        <f t="shared" si="148"/>
        <v>769501</v>
      </c>
      <c r="M322" s="43"/>
      <c r="N322" s="43">
        <f t="shared" si="149"/>
        <v>667483</v>
      </c>
      <c r="O322" s="43">
        <f t="shared" si="149"/>
        <v>62108</v>
      </c>
      <c r="P322" s="43">
        <f t="shared" si="149"/>
        <v>44613</v>
      </c>
      <c r="Q322" s="43">
        <f t="shared" si="149"/>
        <v>774204</v>
      </c>
      <c r="R322" s="43"/>
      <c r="S322" s="43">
        <f t="shared" si="150"/>
        <v>667921</v>
      </c>
      <c r="T322" s="43">
        <f t="shared" si="150"/>
        <v>68132</v>
      </c>
      <c r="U322" s="43">
        <f t="shared" si="150"/>
        <v>42842</v>
      </c>
      <c r="V322" s="43">
        <f t="shared" si="150"/>
        <v>778895</v>
      </c>
      <c r="W322" s="43"/>
      <c r="X322" s="43">
        <f t="shared" si="151"/>
        <v>677605</v>
      </c>
      <c r="Y322" s="43">
        <f t="shared" si="151"/>
        <v>70290</v>
      </c>
      <c r="Z322" s="43">
        <f t="shared" si="151"/>
        <v>45543</v>
      </c>
      <c r="AA322" s="114">
        <f t="shared" si="151"/>
        <v>793438</v>
      </c>
      <c r="AB322" s="159"/>
      <c r="AC322" s="43">
        <f t="shared" si="152"/>
        <v>729770</v>
      </c>
      <c r="AD322" s="43">
        <f t="shared" si="152"/>
        <v>63751</v>
      </c>
      <c r="AE322" s="43">
        <f t="shared" si="152"/>
        <v>50424</v>
      </c>
      <c r="AF322" s="43">
        <f t="shared" si="152"/>
        <v>843945</v>
      </c>
      <c r="AG322" s="43"/>
      <c r="AH322" s="43">
        <f t="shared" si="153"/>
        <v>723602.9973599998</v>
      </c>
      <c r="AI322" s="43">
        <f t="shared" si="153"/>
        <v>70190.945120000004</v>
      </c>
      <c r="AJ322" s="43">
        <f t="shared" si="153"/>
        <v>71971.961379999993</v>
      </c>
      <c r="AK322" s="159">
        <f t="shared" si="153"/>
        <v>865765.90385999996</v>
      </c>
      <c r="AL322" s="43"/>
      <c r="AM322" s="43">
        <f t="shared" si="154"/>
        <v>756780.68247999996</v>
      </c>
      <c r="AN322" s="43">
        <f t="shared" si="154"/>
        <v>73932.907049999994</v>
      </c>
      <c r="AO322" s="43">
        <f t="shared" si="154"/>
        <v>74857.353660000023</v>
      </c>
      <c r="AP322" s="43">
        <f t="shared" si="154"/>
        <v>905570.94319000014</v>
      </c>
      <c r="AQ322" s="43"/>
      <c r="AR322" s="43">
        <f t="shared" si="155"/>
        <v>374464.53422000003</v>
      </c>
      <c r="AS322" s="43">
        <f t="shared" si="155"/>
        <v>77425.787559999997</v>
      </c>
      <c r="AT322" s="43">
        <f t="shared" si="155"/>
        <v>49875.654459999998</v>
      </c>
      <c r="AU322" s="43">
        <f t="shared" si="155"/>
        <v>501765.97623999987</v>
      </c>
      <c r="AV322" s="43"/>
      <c r="AW322" s="43">
        <f t="shared" si="156"/>
        <v>352938.00365257601</v>
      </c>
      <c r="AX322" s="43">
        <f t="shared" si="156"/>
        <v>81261.868527704763</v>
      </c>
      <c r="AY322" s="43">
        <f t="shared" si="156"/>
        <v>42762.64192035146</v>
      </c>
      <c r="AZ322" s="43">
        <f t="shared" si="156"/>
        <v>476962.51410063222</v>
      </c>
      <c r="BA322" s="43"/>
      <c r="BB322" s="43">
        <f t="shared" si="157"/>
        <v>372002.94087651343</v>
      </c>
      <c r="BC322" s="43">
        <f t="shared" si="157"/>
        <v>82193.534758428112</v>
      </c>
      <c r="BD322" s="43">
        <f t="shared" si="157"/>
        <v>43275.793623395679</v>
      </c>
      <c r="BE322" s="43">
        <f t="shared" si="157"/>
        <v>497472.26925833715</v>
      </c>
      <c r="BF322" s="43"/>
      <c r="BG322" s="43">
        <f t="shared" si="158"/>
        <v>387483.6192317208</v>
      </c>
      <c r="BH322" s="43">
        <f t="shared" si="158"/>
        <v>83773.075162020672</v>
      </c>
      <c r="BI322" s="43">
        <f t="shared" si="158"/>
        <v>45377.272026338665</v>
      </c>
      <c r="BJ322" s="43">
        <f t="shared" si="158"/>
        <v>516633.96642008016</v>
      </c>
      <c r="BK322" s="43"/>
      <c r="BL322" s="43"/>
      <c r="BM322" s="43"/>
      <c r="BN322" s="43"/>
      <c r="BO322" s="43"/>
    </row>
    <row r="323" spans="2:67" x14ac:dyDescent="0.2">
      <c r="B323" s="8">
        <v>8</v>
      </c>
      <c r="C323" s="8" t="s">
        <v>656</v>
      </c>
      <c r="D323" s="43">
        <f t="shared" si="147"/>
        <v>577377.77229999995</v>
      </c>
      <c r="E323" s="43">
        <f t="shared" si="147"/>
        <v>49439.027790000007</v>
      </c>
      <c r="F323" s="43">
        <f t="shared" si="147"/>
        <v>37234.964240000008</v>
      </c>
      <c r="G323" s="43">
        <f t="shared" si="147"/>
        <v>663975</v>
      </c>
      <c r="H323" s="43"/>
      <c r="I323" s="43">
        <f t="shared" si="148"/>
        <v>582871</v>
      </c>
      <c r="J323" s="43">
        <f t="shared" si="148"/>
        <v>54702</v>
      </c>
      <c r="K323" s="43">
        <f t="shared" si="148"/>
        <v>32538</v>
      </c>
      <c r="L323" s="43">
        <f t="shared" si="148"/>
        <v>670108</v>
      </c>
      <c r="M323" s="43"/>
      <c r="N323" s="43">
        <f t="shared" si="149"/>
        <v>581757</v>
      </c>
      <c r="O323" s="43">
        <f t="shared" si="149"/>
        <v>54045</v>
      </c>
      <c r="P323" s="43">
        <f t="shared" si="149"/>
        <v>38751</v>
      </c>
      <c r="Q323" s="43">
        <f t="shared" si="149"/>
        <v>674553</v>
      </c>
      <c r="R323" s="43"/>
      <c r="S323" s="43">
        <f t="shared" si="150"/>
        <v>570357</v>
      </c>
      <c r="T323" s="43">
        <f t="shared" si="150"/>
        <v>45834</v>
      </c>
      <c r="U323" s="43">
        <f t="shared" si="150"/>
        <v>45237</v>
      </c>
      <c r="V323" s="43">
        <f t="shared" si="150"/>
        <v>661428</v>
      </c>
      <c r="W323" s="43"/>
      <c r="X323" s="43">
        <f t="shared" si="151"/>
        <v>582352</v>
      </c>
      <c r="Y323" s="43">
        <f t="shared" si="151"/>
        <v>54439</v>
      </c>
      <c r="Z323" s="43">
        <f t="shared" si="151"/>
        <v>42633</v>
      </c>
      <c r="AA323" s="114">
        <f t="shared" si="151"/>
        <v>679424</v>
      </c>
      <c r="AB323" s="159"/>
      <c r="AC323" s="43">
        <f t="shared" si="152"/>
        <v>610347</v>
      </c>
      <c r="AD323" s="43">
        <f t="shared" si="152"/>
        <v>50075</v>
      </c>
      <c r="AE323" s="43">
        <f t="shared" si="152"/>
        <v>48343</v>
      </c>
      <c r="AF323" s="43">
        <f t="shared" si="152"/>
        <v>708765</v>
      </c>
      <c r="AG323" s="43"/>
      <c r="AH323" s="43">
        <f t="shared" si="153"/>
        <v>622402.63747999992</v>
      </c>
      <c r="AI323" s="43">
        <f t="shared" si="153"/>
        <v>54082.811629999997</v>
      </c>
      <c r="AJ323" s="43">
        <f t="shared" si="153"/>
        <v>71211.479179999995</v>
      </c>
      <c r="AK323" s="159">
        <f t="shared" si="153"/>
        <v>747696.92828999995</v>
      </c>
      <c r="AL323" s="43"/>
      <c r="AM323" s="43">
        <f t="shared" si="154"/>
        <v>633303.20687999995</v>
      </c>
      <c r="AN323" s="43">
        <f t="shared" si="154"/>
        <v>57615.002510000006</v>
      </c>
      <c r="AO323" s="43">
        <f t="shared" si="154"/>
        <v>79809.507600000012</v>
      </c>
      <c r="AP323" s="43">
        <f t="shared" si="154"/>
        <v>770727.71698999999</v>
      </c>
      <c r="AQ323" s="43"/>
      <c r="AR323" s="43">
        <f t="shared" si="155"/>
        <v>324812.27623000002</v>
      </c>
      <c r="AS323" s="43">
        <f t="shared" si="155"/>
        <v>59500.213100000001</v>
      </c>
      <c r="AT323" s="43">
        <f t="shared" si="155"/>
        <v>51623.103770000009</v>
      </c>
      <c r="AU323" s="43">
        <f t="shared" si="155"/>
        <v>435935.59310000006</v>
      </c>
      <c r="AV323" s="43"/>
      <c r="AW323" s="43">
        <f t="shared" si="156"/>
        <v>312649.31692857988</v>
      </c>
      <c r="AX323" s="43">
        <f t="shared" si="156"/>
        <v>60405.779979912819</v>
      </c>
      <c r="AY323" s="43">
        <f t="shared" si="156"/>
        <v>35948.305295665938</v>
      </c>
      <c r="AZ323" s="43">
        <f t="shared" si="156"/>
        <v>409003.40220415872</v>
      </c>
      <c r="BA323" s="43"/>
      <c r="BB323" s="43">
        <f t="shared" si="157"/>
        <v>326501.69925279549</v>
      </c>
      <c r="BC323" s="43">
        <f t="shared" si="157"/>
        <v>60893.794971286166</v>
      </c>
      <c r="BD323" s="43">
        <f t="shared" si="157"/>
        <v>36379.684959213919</v>
      </c>
      <c r="BE323" s="43">
        <f t="shared" si="157"/>
        <v>423775.17918329552</v>
      </c>
      <c r="BF323" s="43"/>
      <c r="BG323" s="43">
        <f t="shared" si="158"/>
        <v>337280.77798537945</v>
      </c>
      <c r="BH323" s="43">
        <f t="shared" si="158"/>
        <v>61861.813714917516</v>
      </c>
      <c r="BI323" s="43">
        <f t="shared" si="158"/>
        <v>38146.287390886646</v>
      </c>
      <c r="BJ323" s="43">
        <f t="shared" si="158"/>
        <v>437288.87909118365</v>
      </c>
      <c r="BK323" s="43"/>
      <c r="BL323" s="43"/>
      <c r="BM323" s="43"/>
      <c r="BN323" s="43"/>
      <c r="BO323" s="43"/>
    </row>
    <row r="324" spans="2:67" x14ac:dyDescent="0.2">
      <c r="B324" s="8">
        <v>9</v>
      </c>
      <c r="C324" s="8" t="s">
        <v>657</v>
      </c>
      <c r="D324" s="43">
        <f t="shared" si="147"/>
        <v>434383.42530999996</v>
      </c>
      <c r="E324" s="43">
        <f t="shared" si="147"/>
        <v>42097.342680000002</v>
      </c>
      <c r="F324" s="43">
        <f t="shared" si="147"/>
        <v>35899.155289999995</v>
      </c>
      <c r="G324" s="43">
        <f t="shared" si="147"/>
        <v>512373</v>
      </c>
      <c r="H324" s="43"/>
      <c r="I324" s="43">
        <f t="shared" si="148"/>
        <v>433783</v>
      </c>
      <c r="J324" s="43">
        <f t="shared" si="148"/>
        <v>37872</v>
      </c>
      <c r="K324" s="43">
        <f t="shared" si="148"/>
        <v>39209</v>
      </c>
      <c r="L324" s="43">
        <f t="shared" si="148"/>
        <v>510864</v>
      </c>
      <c r="M324" s="43"/>
      <c r="N324" s="43">
        <f t="shared" si="149"/>
        <v>425141</v>
      </c>
      <c r="O324" s="43">
        <f t="shared" si="149"/>
        <v>43795</v>
      </c>
      <c r="P324" s="43">
        <f t="shared" si="149"/>
        <v>39424</v>
      </c>
      <c r="Q324" s="43">
        <f t="shared" si="149"/>
        <v>508360</v>
      </c>
      <c r="R324" s="43"/>
      <c r="S324" s="43">
        <f t="shared" si="150"/>
        <v>420012</v>
      </c>
      <c r="T324" s="43">
        <f t="shared" si="150"/>
        <v>44251</v>
      </c>
      <c r="U324" s="43">
        <f t="shared" si="150"/>
        <v>34855</v>
      </c>
      <c r="V324" s="43">
        <f t="shared" si="150"/>
        <v>499118</v>
      </c>
      <c r="W324" s="43"/>
      <c r="X324" s="43">
        <f t="shared" si="151"/>
        <v>427169</v>
      </c>
      <c r="Y324" s="43">
        <f t="shared" si="151"/>
        <v>47583</v>
      </c>
      <c r="Z324" s="43">
        <f t="shared" si="151"/>
        <v>34955</v>
      </c>
      <c r="AA324" s="114">
        <f t="shared" si="151"/>
        <v>509707</v>
      </c>
      <c r="AB324" s="159"/>
      <c r="AC324" s="43">
        <f t="shared" si="152"/>
        <v>437517</v>
      </c>
      <c r="AD324" s="43">
        <f t="shared" si="152"/>
        <v>44674</v>
      </c>
      <c r="AE324" s="43">
        <f t="shared" si="152"/>
        <v>39531</v>
      </c>
      <c r="AF324" s="43">
        <f t="shared" si="152"/>
        <v>521722</v>
      </c>
      <c r="AG324" s="43"/>
      <c r="AH324" s="43">
        <f t="shared" si="153"/>
        <v>457740.81539</v>
      </c>
      <c r="AI324" s="43">
        <f t="shared" si="153"/>
        <v>48762.271039999992</v>
      </c>
      <c r="AJ324" s="43">
        <f t="shared" si="153"/>
        <v>56471.481950000001</v>
      </c>
      <c r="AK324" s="159">
        <f t="shared" si="153"/>
        <v>562974.56837999995</v>
      </c>
      <c r="AL324" s="43"/>
      <c r="AM324" s="43">
        <f t="shared" si="154"/>
        <v>460749.74640999991</v>
      </c>
      <c r="AN324" s="43">
        <f t="shared" si="154"/>
        <v>50213.617640000004</v>
      </c>
      <c r="AO324" s="43">
        <f t="shared" si="154"/>
        <v>54693.401800000014</v>
      </c>
      <c r="AP324" s="43">
        <f t="shared" si="154"/>
        <v>565656.76585000008</v>
      </c>
      <c r="AQ324" s="43"/>
      <c r="AR324" s="43">
        <f t="shared" si="155"/>
        <v>227068.6635</v>
      </c>
      <c r="AS324" s="43">
        <f t="shared" si="155"/>
        <v>49850.043940000003</v>
      </c>
      <c r="AT324" s="43">
        <f t="shared" si="155"/>
        <v>37495.35123</v>
      </c>
      <c r="AU324" s="43">
        <f t="shared" si="155"/>
        <v>314414.05867000006</v>
      </c>
      <c r="AV324" s="43"/>
      <c r="AW324" s="43">
        <f t="shared" si="156"/>
        <v>220868.9174411587</v>
      </c>
      <c r="AX324" s="43">
        <f t="shared" si="156"/>
        <v>51891.251013982292</v>
      </c>
      <c r="AY324" s="43">
        <f t="shared" si="156"/>
        <v>37711.935594445407</v>
      </c>
      <c r="AZ324" s="43">
        <f t="shared" si="156"/>
        <v>310472.1040495864</v>
      </c>
      <c r="BA324" s="43"/>
      <c r="BB324" s="43">
        <f t="shared" si="157"/>
        <v>231806.34690459297</v>
      </c>
      <c r="BC324" s="43">
        <f t="shared" si="157"/>
        <v>51844.80047519019</v>
      </c>
      <c r="BD324" s="43">
        <f t="shared" si="157"/>
        <v>38164.478821578741</v>
      </c>
      <c r="BE324" s="43">
        <f t="shared" si="157"/>
        <v>321815.62620136188</v>
      </c>
      <c r="BF324" s="43"/>
      <c r="BG324" s="43">
        <f t="shared" si="158"/>
        <v>240531.25045895446</v>
      </c>
      <c r="BH324" s="43">
        <f t="shared" si="158"/>
        <v>52198.038420047546</v>
      </c>
      <c r="BI324" s="43">
        <f t="shared" si="158"/>
        <v>40017.751085077194</v>
      </c>
      <c r="BJ324" s="43">
        <f t="shared" si="158"/>
        <v>332747.03996407927</v>
      </c>
      <c r="BK324" s="43"/>
      <c r="BL324" s="43"/>
      <c r="BM324" s="43"/>
      <c r="BN324" s="43"/>
      <c r="BO324" s="43"/>
    </row>
    <row r="325" spans="2:67" x14ac:dyDescent="0.2">
      <c r="B325" s="8">
        <v>10</v>
      </c>
      <c r="C325" s="8" t="s">
        <v>658</v>
      </c>
      <c r="D325" s="43">
        <f t="shared" si="147"/>
        <v>424082.85248999996</v>
      </c>
      <c r="E325" s="43">
        <f t="shared" si="147"/>
        <v>45789.73388</v>
      </c>
      <c r="F325" s="43">
        <f t="shared" si="147"/>
        <v>39573.485389999994</v>
      </c>
      <c r="G325" s="43">
        <f t="shared" si="147"/>
        <v>509388</v>
      </c>
      <c r="H325" s="43"/>
      <c r="I325" s="43">
        <f t="shared" si="148"/>
        <v>423085</v>
      </c>
      <c r="J325" s="43">
        <f t="shared" si="148"/>
        <v>48439</v>
      </c>
      <c r="K325" s="43">
        <f t="shared" si="148"/>
        <v>35606</v>
      </c>
      <c r="L325" s="43">
        <f t="shared" si="148"/>
        <v>506688</v>
      </c>
      <c r="M325" s="43"/>
      <c r="N325" s="43">
        <f t="shared" si="149"/>
        <v>421902</v>
      </c>
      <c r="O325" s="43">
        <f t="shared" si="149"/>
        <v>49226</v>
      </c>
      <c r="P325" s="43">
        <f t="shared" si="149"/>
        <v>41056</v>
      </c>
      <c r="Q325" s="43">
        <f t="shared" si="149"/>
        <v>512184</v>
      </c>
      <c r="R325" s="43"/>
      <c r="S325" s="43">
        <f t="shared" si="150"/>
        <v>409796</v>
      </c>
      <c r="T325" s="43">
        <f t="shared" si="150"/>
        <v>48202</v>
      </c>
      <c r="U325" s="43">
        <f t="shared" si="150"/>
        <v>40722</v>
      </c>
      <c r="V325" s="43">
        <f t="shared" si="150"/>
        <v>498720</v>
      </c>
      <c r="W325" s="43"/>
      <c r="X325" s="43">
        <f t="shared" si="151"/>
        <v>415464</v>
      </c>
      <c r="Y325" s="43">
        <f t="shared" si="151"/>
        <v>49300</v>
      </c>
      <c r="Z325" s="43">
        <f t="shared" si="151"/>
        <v>43482</v>
      </c>
      <c r="AA325" s="114">
        <f t="shared" si="151"/>
        <v>508246</v>
      </c>
      <c r="AB325" s="159"/>
      <c r="AC325" s="43">
        <f t="shared" si="152"/>
        <v>442828</v>
      </c>
      <c r="AD325" s="43">
        <f t="shared" si="152"/>
        <v>48047</v>
      </c>
      <c r="AE325" s="43">
        <f t="shared" si="152"/>
        <v>49348</v>
      </c>
      <c r="AF325" s="43">
        <f t="shared" si="152"/>
        <v>540223</v>
      </c>
      <c r="AG325" s="43"/>
      <c r="AH325" s="43">
        <f t="shared" si="153"/>
        <v>451471.28161000001</v>
      </c>
      <c r="AI325" s="43">
        <f t="shared" si="153"/>
        <v>53061.229099999997</v>
      </c>
      <c r="AJ325" s="43">
        <f t="shared" si="153"/>
        <v>70283.462490000005</v>
      </c>
      <c r="AK325" s="159">
        <f t="shared" si="153"/>
        <v>574815.97319999989</v>
      </c>
      <c r="AL325" s="43"/>
      <c r="AM325" s="43">
        <f t="shared" si="154"/>
        <v>466909.04492999997</v>
      </c>
      <c r="AN325" s="43">
        <f t="shared" si="154"/>
        <v>55475.474430000002</v>
      </c>
      <c r="AO325" s="43">
        <f t="shared" si="154"/>
        <v>66595.612339999992</v>
      </c>
      <c r="AP325" s="43">
        <f t="shared" si="154"/>
        <v>588980.13170000003</v>
      </c>
      <c r="AQ325" s="43"/>
      <c r="AR325" s="43">
        <f t="shared" si="155"/>
        <v>246180.85082000002</v>
      </c>
      <c r="AS325" s="43">
        <f t="shared" si="155"/>
        <v>55687.480229999994</v>
      </c>
      <c r="AT325" s="43">
        <f t="shared" si="155"/>
        <v>40359.989390000002</v>
      </c>
      <c r="AU325" s="43">
        <f t="shared" si="155"/>
        <v>342228.32043999998</v>
      </c>
      <c r="AV325" s="43"/>
      <c r="AW325" s="43">
        <f t="shared" si="156"/>
        <v>229532.48680137077</v>
      </c>
      <c r="AX325" s="43">
        <f t="shared" si="156"/>
        <v>58837.527935689839</v>
      </c>
      <c r="AY325" s="43">
        <f t="shared" si="156"/>
        <v>35588.117880782505</v>
      </c>
      <c r="AZ325" s="43">
        <f t="shared" si="156"/>
        <v>323958.1326178431</v>
      </c>
      <c r="BA325" s="43"/>
      <c r="BB325" s="43">
        <f t="shared" si="157"/>
        <v>238389.23077858472</v>
      </c>
      <c r="BC325" s="43">
        <f t="shared" si="157"/>
        <v>59199.113717016495</v>
      </c>
      <c r="BD325" s="43">
        <f t="shared" si="157"/>
        <v>36015.175295351888</v>
      </c>
      <c r="BE325" s="43">
        <f t="shared" si="157"/>
        <v>333603.5197909532</v>
      </c>
      <c r="BF325" s="43"/>
      <c r="BG325" s="43">
        <f t="shared" si="158"/>
        <v>245739.29588413719</v>
      </c>
      <c r="BH325" s="43">
        <f t="shared" si="158"/>
        <v>60030.530205351475</v>
      </c>
      <c r="BI325" s="43">
        <f t="shared" si="158"/>
        <v>37764.07708835035</v>
      </c>
      <c r="BJ325" s="43">
        <f t="shared" si="158"/>
        <v>343533.90317783901</v>
      </c>
      <c r="BK325" s="43"/>
      <c r="BL325" s="43"/>
      <c r="BM325" s="43"/>
      <c r="BN325" s="43"/>
      <c r="BO325" s="43"/>
    </row>
    <row r="326" spans="2:67" x14ac:dyDescent="0.2">
      <c r="B326" s="8">
        <v>11</v>
      </c>
      <c r="C326" s="8" t="s">
        <v>659</v>
      </c>
      <c r="D326" s="43">
        <f t="shared" si="147"/>
        <v>764718.09384999995</v>
      </c>
      <c r="E326" s="43">
        <f t="shared" si="147"/>
        <v>69596.130839999998</v>
      </c>
      <c r="F326" s="43">
        <f t="shared" si="147"/>
        <v>59008.355900000002</v>
      </c>
      <c r="G326" s="43">
        <f t="shared" si="147"/>
        <v>894505</v>
      </c>
      <c r="H326" s="43"/>
      <c r="I326" s="43">
        <f t="shared" si="148"/>
        <v>763995</v>
      </c>
      <c r="J326" s="43">
        <f t="shared" si="148"/>
        <v>69609</v>
      </c>
      <c r="K326" s="43">
        <f t="shared" si="148"/>
        <v>51984</v>
      </c>
      <c r="L326" s="43">
        <f t="shared" si="148"/>
        <v>885612</v>
      </c>
      <c r="M326" s="43"/>
      <c r="N326" s="43">
        <f t="shared" si="149"/>
        <v>778760</v>
      </c>
      <c r="O326" s="43">
        <f t="shared" si="149"/>
        <v>59504</v>
      </c>
      <c r="P326" s="43">
        <f t="shared" si="149"/>
        <v>75019</v>
      </c>
      <c r="Q326" s="43">
        <f t="shared" si="149"/>
        <v>913283</v>
      </c>
      <c r="R326" s="43"/>
      <c r="S326" s="43">
        <f t="shared" si="150"/>
        <v>763613</v>
      </c>
      <c r="T326" s="43">
        <f t="shared" si="150"/>
        <v>72900</v>
      </c>
      <c r="U326" s="43">
        <f t="shared" si="150"/>
        <v>58785</v>
      </c>
      <c r="V326" s="43">
        <f t="shared" si="150"/>
        <v>895298</v>
      </c>
      <c r="W326" s="43"/>
      <c r="X326" s="43">
        <f t="shared" si="151"/>
        <v>792884</v>
      </c>
      <c r="Y326" s="43">
        <f t="shared" si="151"/>
        <v>74722</v>
      </c>
      <c r="Z326" s="43">
        <f t="shared" si="151"/>
        <v>60205</v>
      </c>
      <c r="AA326" s="114">
        <f t="shared" si="151"/>
        <v>927811</v>
      </c>
      <c r="AB326" s="159"/>
      <c r="AC326" s="43">
        <f t="shared" si="152"/>
        <v>824797</v>
      </c>
      <c r="AD326" s="43">
        <f t="shared" si="152"/>
        <v>69715</v>
      </c>
      <c r="AE326" s="43">
        <f t="shared" si="152"/>
        <v>69020</v>
      </c>
      <c r="AF326" s="43">
        <f t="shared" si="152"/>
        <v>963532</v>
      </c>
      <c r="AG326" s="43"/>
      <c r="AH326" s="43">
        <f t="shared" si="153"/>
        <v>852824.40085999982</v>
      </c>
      <c r="AI326" s="43">
        <f t="shared" si="153"/>
        <v>80875.211120000007</v>
      </c>
      <c r="AJ326" s="43">
        <f t="shared" si="153"/>
        <v>101530.34873000001</v>
      </c>
      <c r="AK326" s="159">
        <f t="shared" si="153"/>
        <v>1035229.9607100001</v>
      </c>
      <c r="AL326" s="43"/>
      <c r="AM326" s="43">
        <f t="shared" si="154"/>
        <v>882740.55487999995</v>
      </c>
      <c r="AN326" s="43">
        <f t="shared" si="154"/>
        <v>86040.083119999996</v>
      </c>
      <c r="AO326" s="43">
        <f t="shared" si="154"/>
        <v>102284.04199000001</v>
      </c>
      <c r="AP326" s="43">
        <f t="shared" si="154"/>
        <v>1071064.6799899999</v>
      </c>
      <c r="AQ326" s="43"/>
      <c r="AR326" s="43">
        <f t="shared" si="155"/>
        <v>441382.78967999999</v>
      </c>
      <c r="AS326" s="43">
        <f t="shared" si="155"/>
        <v>89858.000200000024</v>
      </c>
      <c r="AT326" s="43">
        <f t="shared" si="155"/>
        <v>68684.150799999989</v>
      </c>
      <c r="AU326" s="43">
        <f t="shared" si="155"/>
        <v>599924.94067999988</v>
      </c>
      <c r="AV326" s="43"/>
      <c r="AW326" s="43">
        <f t="shared" si="156"/>
        <v>424753.68431154708</v>
      </c>
      <c r="AX326" s="43">
        <f t="shared" si="156"/>
        <v>98040.993426055138</v>
      </c>
      <c r="AY326" s="43">
        <f t="shared" si="156"/>
        <v>64710.668281422695</v>
      </c>
      <c r="AZ326" s="43">
        <f t="shared" si="156"/>
        <v>587505.34601902508</v>
      </c>
      <c r="BA326" s="43"/>
      <c r="BB326" s="43">
        <f t="shared" si="157"/>
        <v>447814.01377409336</v>
      </c>
      <c r="BC326" s="43">
        <f t="shared" si="157"/>
        <v>100180.33866652918</v>
      </c>
      <c r="BD326" s="43">
        <f t="shared" si="157"/>
        <v>65487.196300799769</v>
      </c>
      <c r="BE326" s="43">
        <f t="shared" si="157"/>
        <v>613481.54874142224</v>
      </c>
      <c r="BF326" s="43"/>
      <c r="BG326" s="43">
        <f t="shared" si="158"/>
        <v>467977.41258013726</v>
      </c>
      <c r="BH326" s="43">
        <f t="shared" si="158"/>
        <v>103174.49893005918</v>
      </c>
      <c r="BI326" s="43">
        <f t="shared" si="158"/>
        <v>68667.263427772559</v>
      </c>
      <c r="BJ326" s="43">
        <f t="shared" si="158"/>
        <v>639819.17493796896</v>
      </c>
      <c r="BK326" s="43"/>
      <c r="BL326" s="43"/>
      <c r="BM326" s="43"/>
      <c r="BN326" s="43"/>
      <c r="BO326" s="43"/>
    </row>
    <row r="327" spans="2:67" x14ac:dyDescent="0.2">
      <c r="B327" s="8">
        <v>12</v>
      </c>
      <c r="C327" s="8" t="s">
        <v>660</v>
      </c>
      <c r="D327" s="43">
        <f t="shared" si="147"/>
        <v>474697.56216000003</v>
      </c>
      <c r="E327" s="43">
        <f t="shared" si="147"/>
        <v>40445.732210000009</v>
      </c>
      <c r="F327" s="43">
        <f t="shared" si="147"/>
        <v>42395.06151</v>
      </c>
      <c r="G327" s="43">
        <f t="shared" si="147"/>
        <v>557477</v>
      </c>
      <c r="H327" s="43"/>
      <c r="I327" s="43">
        <f t="shared" si="148"/>
        <v>469169</v>
      </c>
      <c r="J327" s="43">
        <f t="shared" si="148"/>
        <v>42994</v>
      </c>
      <c r="K327" s="43">
        <f t="shared" si="148"/>
        <v>38805</v>
      </c>
      <c r="L327" s="43">
        <f t="shared" si="148"/>
        <v>550758</v>
      </c>
      <c r="M327" s="43"/>
      <c r="N327" s="43">
        <f t="shared" si="149"/>
        <v>463180</v>
      </c>
      <c r="O327" s="43">
        <f t="shared" si="149"/>
        <v>41683</v>
      </c>
      <c r="P327" s="43">
        <f t="shared" si="149"/>
        <v>47061</v>
      </c>
      <c r="Q327" s="43">
        <f t="shared" si="149"/>
        <v>551924</v>
      </c>
      <c r="R327" s="43"/>
      <c r="S327" s="43">
        <f t="shared" si="150"/>
        <v>456655</v>
      </c>
      <c r="T327" s="43">
        <f t="shared" si="150"/>
        <v>42628</v>
      </c>
      <c r="U327" s="43">
        <f t="shared" si="150"/>
        <v>44735</v>
      </c>
      <c r="V327" s="43">
        <f t="shared" si="150"/>
        <v>544018</v>
      </c>
      <c r="W327" s="43"/>
      <c r="X327" s="43">
        <f t="shared" si="151"/>
        <v>470036</v>
      </c>
      <c r="Y327" s="43">
        <f t="shared" si="151"/>
        <v>43397</v>
      </c>
      <c r="Z327" s="43">
        <f t="shared" si="151"/>
        <v>45051</v>
      </c>
      <c r="AA327" s="114">
        <f t="shared" si="151"/>
        <v>558484</v>
      </c>
      <c r="AB327" s="159"/>
      <c r="AC327" s="43">
        <f t="shared" si="152"/>
        <v>480356</v>
      </c>
      <c r="AD327" s="43">
        <f t="shared" si="152"/>
        <v>39923</v>
      </c>
      <c r="AE327" s="43">
        <f t="shared" si="152"/>
        <v>48534</v>
      </c>
      <c r="AF327" s="43">
        <f t="shared" si="152"/>
        <v>568813</v>
      </c>
      <c r="AG327" s="43"/>
      <c r="AH327" s="43">
        <f t="shared" si="153"/>
        <v>496807.91621999996</v>
      </c>
      <c r="AI327" s="43">
        <f t="shared" si="153"/>
        <v>44197.53299</v>
      </c>
      <c r="AJ327" s="43">
        <f t="shared" si="153"/>
        <v>70345.232649999976</v>
      </c>
      <c r="AK327" s="159">
        <f t="shared" si="153"/>
        <v>611350.68186000001</v>
      </c>
      <c r="AL327" s="43"/>
      <c r="AM327" s="43">
        <f t="shared" si="154"/>
        <v>513754.65787</v>
      </c>
      <c r="AN327" s="43">
        <f t="shared" si="154"/>
        <v>46139.698539999998</v>
      </c>
      <c r="AO327" s="43">
        <f t="shared" si="154"/>
        <v>75728.06504999999</v>
      </c>
      <c r="AP327" s="43">
        <f t="shared" si="154"/>
        <v>635622.42145999998</v>
      </c>
      <c r="AQ327" s="43"/>
      <c r="AR327" s="43">
        <f t="shared" si="155"/>
        <v>247863.33556000001</v>
      </c>
      <c r="AS327" s="43">
        <f t="shared" si="155"/>
        <v>47702.908810000001</v>
      </c>
      <c r="AT327" s="43">
        <f t="shared" si="155"/>
        <v>50909.825159999986</v>
      </c>
      <c r="AU327" s="43">
        <f t="shared" si="155"/>
        <v>346476.06952999992</v>
      </c>
      <c r="AV327" s="43"/>
      <c r="AW327" s="43">
        <f t="shared" si="156"/>
        <v>243146.8171890823</v>
      </c>
      <c r="AX327" s="43">
        <f t="shared" si="156"/>
        <v>50433.039984295923</v>
      </c>
      <c r="AY327" s="43">
        <f t="shared" si="156"/>
        <v>42297.069322934338</v>
      </c>
      <c r="AZ327" s="43">
        <f t="shared" si="156"/>
        <v>335876.92649631249</v>
      </c>
      <c r="BA327" s="43"/>
      <c r="BB327" s="43">
        <f t="shared" si="157"/>
        <v>256044.1374432852</v>
      </c>
      <c r="BC327" s="43">
        <f t="shared" si="157"/>
        <v>50992.518906289552</v>
      </c>
      <c r="BD327" s="43">
        <f t="shared" si="157"/>
        <v>42804.634154809552</v>
      </c>
      <c r="BE327" s="43">
        <f t="shared" si="157"/>
        <v>349841.29050438438</v>
      </c>
      <c r="BF327" s="43"/>
      <c r="BG327" s="43">
        <f t="shared" si="158"/>
        <v>267007.68238117709</v>
      </c>
      <c r="BH327" s="43">
        <f t="shared" si="158"/>
        <v>51953.580927027731</v>
      </c>
      <c r="BI327" s="43">
        <f t="shared" si="158"/>
        <v>44883.232990108037</v>
      </c>
      <c r="BJ327" s="43">
        <f t="shared" si="158"/>
        <v>363844.49629831279</v>
      </c>
      <c r="BK327" s="43"/>
      <c r="BL327" s="43"/>
      <c r="BM327" s="43"/>
      <c r="BN327" s="43"/>
      <c r="BO327" s="43"/>
    </row>
    <row r="328" spans="2:67" x14ac:dyDescent="0.2">
      <c r="B328" s="8">
        <v>13</v>
      </c>
      <c r="C328" s="8" t="s">
        <v>661</v>
      </c>
      <c r="D328" s="43">
        <f t="shared" si="147"/>
        <v>825476.72924999986</v>
      </c>
      <c r="E328" s="43">
        <f t="shared" si="147"/>
        <v>74041.53039</v>
      </c>
      <c r="F328" s="43">
        <f t="shared" si="147"/>
        <v>60795.412060000002</v>
      </c>
      <c r="G328" s="43">
        <f t="shared" si="147"/>
        <v>957207</v>
      </c>
      <c r="H328" s="43"/>
      <c r="I328" s="43">
        <f t="shared" si="148"/>
        <v>836843</v>
      </c>
      <c r="J328" s="43">
        <f t="shared" si="148"/>
        <v>80358</v>
      </c>
      <c r="K328" s="43">
        <f t="shared" si="148"/>
        <v>58224</v>
      </c>
      <c r="L328" s="43">
        <f t="shared" si="148"/>
        <v>975425</v>
      </c>
      <c r="M328" s="43"/>
      <c r="N328" s="43">
        <f t="shared" si="149"/>
        <v>838706</v>
      </c>
      <c r="O328" s="43">
        <f t="shared" si="149"/>
        <v>81318</v>
      </c>
      <c r="P328" s="43">
        <f t="shared" si="149"/>
        <v>69723</v>
      </c>
      <c r="Q328" s="43">
        <f t="shared" si="149"/>
        <v>989747</v>
      </c>
      <c r="R328" s="43"/>
      <c r="S328" s="43">
        <f t="shared" si="150"/>
        <v>828803</v>
      </c>
      <c r="T328" s="43">
        <f t="shared" si="150"/>
        <v>83711</v>
      </c>
      <c r="U328" s="43">
        <f t="shared" si="150"/>
        <v>67088</v>
      </c>
      <c r="V328" s="43">
        <f t="shared" si="150"/>
        <v>979602</v>
      </c>
      <c r="W328" s="43"/>
      <c r="X328" s="43">
        <f t="shared" si="151"/>
        <v>842287</v>
      </c>
      <c r="Y328" s="43">
        <f t="shared" si="151"/>
        <v>85369</v>
      </c>
      <c r="Z328" s="43">
        <f t="shared" si="151"/>
        <v>69186</v>
      </c>
      <c r="AA328" s="114">
        <f t="shared" si="151"/>
        <v>996842</v>
      </c>
      <c r="AB328" s="159"/>
      <c r="AC328" s="43">
        <f t="shared" si="152"/>
        <v>877646</v>
      </c>
      <c r="AD328" s="43">
        <f t="shared" si="152"/>
        <v>81517</v>
      </c>
      <c r="AE328" s="43">
        <f t="shared" si="152"/>
        <v>76725</v>
      </c>
      <c r="AF328" s="43">
        <f t="shared" si="152"/>
        <v>1035888</v>
      </c>
      <c r="AG328" s="43"/>
      <c r="AH328" s="43">
        <f t="shared" si="153"/>
        <v>905684.84560000012</v>
      </c>
      <c r="AI328" s="43">
        <f t="shared" si="153"/>
        <v>90451.608380000034</v>
      </c>
      <c r="AJ328" s="43">
        <f t="shared" si="153"/>
        <v>112003.61159000004</v>
      </c>
      <c r="AK328" s="159">
        <f t="shared" si="153"/>
        <v>1108140.0655700001</v>
      </c>
      <c r="AL328" s="43"/>
      <c r="AM328" s="43">
        <f t="shared" si="154"/>
        <v>933343.69130000018</v>
      </c>
      <c r="AN328" s="43">
        <f t="shared" si="154"/>
        <v>91696.958970000007</v>
      </c>
      <c r="AO328" s="43">
        <f t="shared" si="154"/>
        <v>114140.79759999996</v>
      </c>
      <c r="AP328" s="43">
        <f t="shared" si="154"/>
        <v>1139181.44787</v>
      </c>
      <c r="AQ328" s="43"/>
      <c r="AR328" s="43">
        <f t="shared" si="155"/>
        <v>453237.69794999994</v>
      </c>
      <c r="AS328" s="43">
        <f t="shared" si="155"/>
        <v>100979.49915999996</v>
      </c>
      <c r="AT328" s="43">
        <f t="shared" si="155"/>
        <v>75459.455009999976</v>
      </c>
      <c r="AU328" s="43">
        <f t="shared" si="155"/>
        <v>629676.65211999987</v>
      </c>
      <c r="AV328" s="43"/>
      <c r="AW328" s="43">
        <f t="shared" si="156"/>
        <v>460317.90666149452</v>
      </c>
      <c r="AX328" s="43">
        <f t="shared" si="156"/>
        <v>106867.22191550717</v>
      </c>
      <c r="AY328" s="43">
        <f t="shared" si="156"/>
        <v>62458.368581939401</v>
      </c>
      <c r="AZ328" s="43">
        <f t="shared" si="156"/>
        <v>629643.49715894111</v>
      </c>
      <c r="BA328" s="43"/>
      <c r="BB328" s="43">
        <f t="shared" si="157"/>
        <v>488866.23393494502</v>
      </c>
      <c r="BC328" s="43">
        <f t="shared" si="157"/>
        <v>108288.56002359069</v>
      </c>
      <c r="BD328" s="43">
        <f t="shared" si="157"/>
        <v>63207.869004922672</v>
      </c>
      <c r="BE328" s="43">
        <f t="shared" si="157"/>
        <v>660362.66296345834</v>
      </c>
      <c r="BF328" s="43"/>
      <c r="BG328" s="43">
        <f t="shared" si="158"/>
        <v>512386.74878820032</v>
      </c>
      <c r="BH328" s="43">
        <f t="shared" si="158"/>
        <v>110579.89082019588</v>
      </c>
      <c r="BI328" s="43">
        <f t="shared" si="158"/>
        <v>66277.251689520839</v>
      </c>
      <c r="BJ328" s="43">
        <f t="shared" si="158"/>
        <v>689243.891297917</v>
      </c>
      <c r="BK328" s="43"/>
      <c r="BL328" s="43"/>
      <c r="BM328" s="43"/>
      <c r="BN328" s="43"/>
      <c r="BO328" s="43"/>
    </row>
    <row r="329" spans="2:67" x14ac:dyDescent="0.2">
      <c r="B329" s="8">
        <v>14</v>
      </c>
      <c r="C329" s="8" t="s">
        <v>662</v>
      </c>
      <c r="D329" s="43">
        <f t="shared" si="147"/>
        <v>557722.11790000007</v>
      </c>
      <c r="E329" s="43">
        <f t="shared" si="147"/>
        <v>49123.569040000009</v>
      </c>
      <c r="F329" s="43">
        <f t="shared" si="147"/>
        <v>40817.775849999998</v>
      </c>
      <c r="G329" s="43">
        <f t="shared" si="147"/>
        <v>673134</v>
      </c>
      <c r="H329" s="43"/>
      <c r="I329" s="43">
        <f t="shared" si="148"/>
        <v>576418</v>
      </c>
      <c r="J329" s="43">
        <f t="shared" si="148"/>
        <v>43082</v>
      </c>
      <c r="K329" s="43">
        <f t="shared" si="148"/>
        <v>47777</v>
      </c>
      <c r="L329" s="43">
        <f t="shared" si="148"/>
        <v>667275</v>
      </c>
      <c r="M329" s="43"/>
      <c r="N329" s="43">
        <f t="shared" si="149"/>
        <v>578651</v>
      </c>
      <c r="O329" s="43">
        <f t="shared" si="149"/>
        <v>45804</v>
      </c>
      <c r="P329" s="43">
        <f t="shared" si="149"/>
        <v>53171</v>
      </c>
      <c r="Q329" s="43">
        <f t="shared" si="149"/>
        <v>677626</v>
      </c>
      <c r="R329" s="43"/>
      <c r="S329" s="43">
        <f t="shared" si="150"/>
        <v>565391</v>
      </c>
      <c r="T329" s="43">
        <f t="shared" si="150"/>
        <v>45942</v>
      </c>
      <c r="U329" s="43">
        <f t="shared" si="150"/>
        <v>51150</v>
      </c>
      <c r="V329" s="43">
        <f t="shared" si="150"/>
        <v>662483</v>
      </c>
      <c r="W329" s="43"/>
      <c r="X329" s="43">
        <f t="shared" si="151"/>
        <v>584384</v>
      </c>
      <c r="Y329" s="43">
        <f t="shared" si="151"/>
        <v>57194</v>
      </c>
      <c r="Z329" s="43">
        <f t="shared" si="151"/>
        <v>41396</v>
      </c>
      <c r="AA329" s="114">
        <f t="shared" si="151"/>
        <v>682974</v>
      </c>
      <c r="AB329" s="159"/>
      <c r="AC329" s="43">
        <f t="shared" si="152"/>
        <v>605932</v>
      </c>
      <c r="AD329" s="43">
        <f t="shared" si="152"/>
        <v>52572</v>
      </c>
      <c r="AE329" s="43">
        <f t="shared" si="152"/>
        <v>44632</v>
      </c>
      <c r="AF329" s="43">
        <f t="shared" si="152"/>
        <v>703136</v>
      </c>
      <c r="AG329" s="43"/>
      <c r="AH329" s="43">
        <f t="shared" si="153"/>
        <v>617623.88859999995</v>
      </c>
      <c r="AI329" s="43">
        <f t="shared" si="153"/>
        <v>59416.641689999997</v>
      </c>
      <c r="AJ329" s="43">
        <f t="shared" si="153"/>
        <v>66435.232919999995</v>
      </c>
      <c r="AK329" s="159">
        <f t="shared" si="153"/>
        <v>743475.76320999989</v>
      </c>
      <c r="AL329" s="43"/>
      <c r="AM329" s="43">
        <f t="shared" si="154"/>
        <v>650163.92695999995</v>
      </c>
      <c r="AN329" s="43">
        <f t="shared" si="154"/>
        <v>63173.273929999996</v>
      </c>
      <c r="AO329" s="43">
        <f t="shared" si="154"/>
        <v>71908.330869999991</v>
      </c>
      <c r="AP329" s="43">
        <f t="shared" si="154"/>
        <v>785245.53176000004</v>
      </c>
      <c r="AQ329" s="43"/>
      <c r="AR329" s="43">
        <f t="shared" si="155"/>
        <v>324078.27256999997</v>
      </c>
      <c r="AS329" s="43">
        <f t="shared" si="155"/>
        <v>66667.261660000004</v>
      </c>
      <c r="AT329" s="43">
        <f t="shared" si="155"/>
        <v>47476.869319999998</v>
      </c>
      <c r="AU329" s="43">
        <f t="shared" si="155"/>
        <v>438222.40354999993</v>
      </c>
      <c r="AV329" s="43"/>
      <c r="AW329" s="43">
        <f t="shared" si="156"/>
        <v>318519.13601909927</v>
      </c>
      <c r="AX329" s="43">
        <f t="shared" si="156"/>
        <v>72882.661381921644</v>
      </c>
      <c r="AY329" s="43">
        <f t="shared" si="156"/>
        <v>40384.773398750214</v>
      </c>
      <c r="AZ329" s="43">
        <f t="shared" si="156"/>
        <v>431786.57079977123</v>
      </c>
      <c r="BA329" s="43"/>
      <c r="BB329" s="43">
        <f t="shared" si="157"/>
        <v>336922.03750281403</v>
      </c>
      <c r="BC329" s="43">
        <f t="shared" si="157"/>
        <v>73855.172725852492</v>
      </c>
      <c r="BD329" s="43">
        <f t="shared" si="157"/>
        <v>40869.390679535223</v>
      </c>
      <c r="BE329" s="43">
        <f t="shared" si="157"/>
        <v>451646.60090820165</v>
      </c>
      <c r="BF329" s="43"/>
      <c r="BG329" s="43">
        <f t="shared" si="158"/>
        <v>352922.15570186765</v>
      </c>
      <c r="BH329" s="43">
        <f t="shared" si="158"/>
        <v>75430.064597099234</v>
      </c>
      <c r="BI329" s="43">
        <f t="shared" si="158"/>
        <v>42854.013829416668</v>
      </c>
      <c r="BJ329" s="43">
        <f t="shared" si="158"/>
        <v>471206.23412838363</v>
      </c>
      <c r="BK329" s="43"/>
      <c r="BL329" s="43"/>
      <c r="BM329" s="43"/>
      <c r="BN329" s="43"/>
      <c r="BO329" s="43"/>
    </row>
    <row r="330" spans="2:67" x14ac:dyDescent="0.2">
      <c r="B330" s="8">
        <v>15</v>
      </c>
      <c r="C330" s="8" t="s">
        <v>663</v>
      </c>
      <c r="D330" s="43">
        <f t="shared" si="147"/>
        <v>567024.34777999995</v>
      </c>
      <c r="E330" s="43">
        <f t="shared" si="147"/>
        <v>45926.02074</v>
      </c>
      <c r="F330" s="43">
        <f t="shared" si="147"/>
        <v>62701.681900000011</v>
      </c>
      <c r="G330" s="43">
        <f t="shared" si="147"/>
        <v>675564</v>
      </c>
      <c r="H330" s="43"/>
      <c r="I330" s="43">
        <f t="shared" si="148"/>
        <v>573288</v>
      </c>
      <c r="J330" s="43">
        <f t="shared" si="148"/>
        <v>46996</v>
      </c>
      <c r="K330" s="43">
        <f t="shared" si="148"/>
        <v>56862</v>
      </c>
      <c r="L330" s="43">
        <f t="shared" si="148"/>
        <v>677118</v>
      </c>
      <c r="M330" s="43"/>
      <c r="N330" s="43">
        <f t="shared" si="149"/>
        <v>568053</v>
      </c>
      <c r="O330" s="43">
        <f t="shared" si="149"/>
        <v>48488</v>
      </c>
      <c r="P330" s="43">
        <f t="shared" si="149"/>
        <v>60152</v>
      </c>
      <c r="Q330" s="43">
        <f t="shared" si="149"/>
        <v>676693</v>
      </c>
      <c r="R330" s="43"/>
      <c r="S330" s="43">
        <f t="shared" si="150"/>
        <v>558227</v>
      </c>
      <c r="T330" s="43">
        <f t="shared" si="150"/>
        <v>50553</v>
      </c>
      <c r="U330" s="43">
        <f t="shared" si="150"/>
        <v>51475</v>
      </c>
      <c r="V330" s="43">
        <f t="shared" si="150"/>
        <v>660255</v>
      </c>
      <c r="W330" s="43"/>
      <c r="X330" s="43">
        <f t="shared" si="151"/>
        <v>581531</v>
      </c>
      <c r="Y330" s="43">
        <f t="shared" si="151"/>
        <v>52294</v>
      </c>
      <c r="Z330" s="43">
        <f t="shared" si="151"/>
        <v>51918</v>
      </c>
      <c r="AA330" s="114">
        <f t="shared" si="151"/>
        <v>685743</v>
      </c>
      <c r="AB330" s="159"/>
      <c r="AC330" s="43">
        <f t="shared" si="152"/>
        <v>609228</v>
      </c>
      <c r="AD330" s="43">
        <f t="shared" si="152"/>
        <v>50388</v>
      </c>
      <c r="AE330" s="43">
        <f t="shared" si="152"/>
        <v>55330</v>
      </c>
      <c r="AF330" s="43">
        <f t="shared" si="152"/>
        <v>714946</v>
      </c>
      <c r="AG330" s="43"/>
      <c r="AH330" s="43">
        <f t="shared" si="153"/>
        <v>624440.79064000002</v>
      </c>
      <c r="AI330" s="43">
        <f t="shared" si="153"/>
        <v>57300.431919999995</v>
      </c>
      <c r="AJ330" s="43">
        <f t="shared" si="153"/>
        <v>79784.26814</v>
      </c>
      <c r="AK330" s="159">
        <f t="shared" si="153"/>
        <v>761525.49069999997</v>
      </c>
      <c r="AL330" s="43"/>
      <c r="AM330" s="43">
        <f t="shared" si="154"/>
        <v>655832.59107999993</v>
      </c>
      <c r="AN330" s="43">
        <f t="shared" si="154"/>
        <v>61932.358219999995</v>
      </c>
      <c r="AO330" s="43">
        <f t="shared" si="154"/>
        <v>82985.359159999993</v>
      </c>
      <c r="AP330" s="43">
        <f t="shared" si="154"/>
        <v>800750.30845999997</v>
      </c>
      <c r="AQ330" s="43"/>
      <c r="AR330" s="43">
        <f t="shared" si="155"/>
        <v>334177.46074999997</v>
      </c>
      <c r="AS330" s="43">
        <f t="shared" si="155"/>
        <v>65060.937320000005</v>
      </c>
      <c r="AT330" s="43">
        <f t="shared" si="155"/>
        <v>53498.025500000003</v>
      </c>
      <c r="AU330" s="43">
        <f t="shared" si="155"/>
        <v>452736.42357000004</v>
      </c>
      <c r="AV330" s="43"/>
      <c r="AW330" s="43">
        <f t="shared" si="156"/>
        <v>322861.41713402403</v>
      </c>
      <c r="AX330" s="43">
        <f t="shared" si="156"/>
        <v>68948.131866644078</v>
      </c>
      <c r="AY330" s="43">
        <f t="shared" si="156"/>
        <v>43761.751379458969</v>
      </c>
      <c r="AZ330" s="43">
        <f t="shared" si="156"/>
        <v>435571.3003801271</v>
      </c>
      <c r="BA330" s="43"/>
      <c r="BB330" s="43">
        <f t="shared" si="157"/>
        <v>341388.14247966063</v>
      </c>
      <c r="BC330" s="43">
        <f t="shared" si="157"/>
        <v>70058.627272711165</v>
      </c>
      <c r="BD330" s="43">
        <f t="shared" si="157"/>
        <v>44286.892396012481</v>
      </c>
      <c r="BE330" s="43">
        <f t="shared" si="157"/>
        <v>455733.6621483842</v>
      </c>
      <c r="BF330" s="43"/>
      <c r="BG330" s="43">
        <f t="shared" si="158"/>
        <v>358543.39262522419</v>
      </c>
      <c r="BH330" s="43">
        <f t="shared" si="158"/>
        <v>71738.384989947779</v>
      </c>
      <c r="BI330" s="43">
        <f t="shared" si="158"/>
        <v>46437.469892374458</v>
      </c>
      <c r="BJ330" s="43">
        <f t="shared" si="158"/>
        <v>476719.24750754645</v>
      </c>
      <c r="BK330" s="43"/>
      <c r="BL330" s="43"/>
      <c r="BM330" s="43"/>
      <c r="BN330" s="43"/>
      <c r="BO330" s="43"/>
    </row>
    <row r="331" spans="2:67" x14ac:dyDescent="0.2">
      <c r="B331" s="8">
        <v>16</v>
      </c>
      <c r="C331" s="8" t="s">
        <v>664</v>
      </c>
      <c r="D331" s="43">
        <f t="shared" si="147"/>
        <v>211703.50611999998</v>
      </c>
      <c r="E331" s="43">
        <f t="shared" si="147"/>
        <v>18829.709180000002</v>
      </c>
      <c r="F331" s="43">
        <f t="shared" si="147"/>
        <v>20050.951710000001</v>
      </c>
      <c r="G331" s="43">
        <f t="shared" si="147"/>
        <v>250545</v>
      </c>
      <c r="H331" s="43"/>
      <c r="I331" s="43">
        <f t="shared" si="148"/>
        <v>211956</v>
      </c>
      <c r="J331" s="43">
        <f t="shared" si="148"/>
        <v>19317</v>
      </c>
      <c r="K331" s="43">
        <f t="shared" si="148"/>
        <v>17940</v>
      </c>
      <c r="L331" s="43">
        <f t="shared" si="148"/>
        <v>249194</v>
      </c>
      <c r="M331" s="43"/>
      <c r="N331" s="43">
        <f t="shared" si="149"/>
        <v>214316</v>
      </c>
      <c r="O331" s="43">
        <f t="shared" si="149"/>
        <v>20534</v>
      </c>
      <c r="P331" s="43">
        <f t="shared" si="149"/>
        <v>21591</v>
      </c>
      <c r="Q331" s="43">
        <f t="shared" si="149"/>
        <v>256441</v>
      </c>
      <c r="R331" s="43"/>
      <c r="S331" s="43">
        <f t="shared" si="150"/>
        <v>211875</v>
      </c>
      <c r="T331" s="43">
        <f t="shared" si="150"/>
        <v>20483</v>
      </c>
      <c r="U331" s="43">
        <f t="shared" si="150"/>
        <v>20551</v>
      </c>
      <c r="V331" s="43">
        <f t="shared" si="150"/>
        <v>252909</v>
      </c>
      <c r="W331" s="43"/>
      <c r="X331" s="43">
        <f t="shared" si="151"/>
        <v>218029</v>
      </c>
      <c r="Y331" s="43">
        <f t="shared" si="151"/>
        <v>20920</v>
      </c>
      <c r="Z331" s="43">
        <f t="shared" si="151"/>
        <v>21158</v>
      </c>
      <c r="AA331" s="114">
        <f t="shared" si="151"/>
        <v>260107</v>
      </c>
      <c r="AB331" s="159"/>
      <c r="AC331" s="43">
        <f t="shared" si="152"/>
        <v>226101</v>
      </c>
      <c r="AD331" s="43">
        <f t="shared" si="152"/>
        <v>19753</v>
      </c>
      <c r="AE331" s="43">
        <f t="shared" si="152"/>
        <v>24007</v>
      </c>
      <c r="AF331" s="43">
        <f t="shared" si="152"/>
        <v>269861</v>
      </c>
      <c r="AG331" s="43"/>
      <c r="AH331" s="43">
        <f t="shared" si="153"/>
        <v>230603.90076000002</v>
      </c>
      <c r="AI331" s="43">
        <f t="shared" si="153"/>
        <v>21915.152790000004</v>
      </c>
      <c r="AJ331" s="43">
        <f t="shared" si="153"/>
        <v>31927.58524</v>
      </c>
      <c r="AK331" s="159">
        <f t="shared" si="153"/>
        <v>284446.63879</v>
      </c>
      <c r="AL331" s="43"/>
      <c r="AM331" s="43">
        <f t="shared" si="154"/>
        <v>239990.57804999998</v>
      </c>
      <c r="AN331" s="43">
        <f t="shared" si="154"/>
        <v>22311.201570000001</v>
      </c>
      <c r="AO331" s="43">
        <f t="shared" si="154"/>
        <v>33331.352429999999</v>
      </c>
      <c r="AP331" s="43">
        <f t="shared" si="154"/>
        <v>295633.13205000001</v>
      </c>
      <c r="AQ331" s="43"/>
      <c r="AR331" s="43">
        <f t="shared" si="155"/>
        <v>122143.72104999999</v>
      </c>
      <c r="AS331" s="43">
        <f t="shared" si="155"/>
        <v>24011.496660000004</v>
      </c>
      <c r="AT331" s="43">
        <f t="shared" si="155"/>
        <v>21674.475939999997</v>
      </c>
      <c r="AU331" s="43">
        <f t="shared" si="155"/>
        <v>167829.69365</v>
      </c>
      <c r="AV331" s="43"/>
      <c r="AW331" s="43">
        <f t="shared" si="156"/>
        <v>118761.66138562022</v>
      </c>
      <c r="AX331" s="43">
        <f t="shared" si="156"/>
        <v>26619.675039328282</v>
      </c>
      <c r="AY331" s="43">
        <f t="shared" si="156"/>
        <v>17392.273292214606</v>
      </c>
      <c r="AZ331" s="43">
        <f t="shared" si="156"/>
        <v>162773.60971716308</v>
      </c>
      <c r="BA331" s="43"/>
      <c r="BB331" s="43">
        <f t="shared" si="157"/>
        <v>125483.2738834378</v>
      </c>
      <c r="BC331" s="43">
        <f t="shared" si="157"/>
        <v>27079.824995749314</v>
      </c>
      <c r="BD331" s="43">
        <f t="shared" si="157"/>
        <v>17600.980571721178</v>
      </c>
      <c r="BE331" s="43">
        <f t="shared" si="157"/>
        <v>170164.07945090829</v>
      </c>
      <c r="BF331" s="43"/>
      <c r="BG331" s="43">
        <f t="shared" si="158"/>
        <v>131429.73200083704</v>
      </c>
      <c r="BH331" s="43">
        <f t="shared" si="158"/>
        <v>27769.804933678337</v>
      </c>
      <c r="BI331" s="43">
        <f t="shared" si="158"/>
        <v>18455.686573510011</v>
      </c>
      <c r="BJ331" s="43">
        <f t="shared" si="158"/>
        <v>177655.22350802534</v>
      </c>
      <c r="BK331" s="43"/>
      <c r="BL331" s="43"/>
      <c r="BM331" s="43"/>
      <c r="BN331" s="43"/>
      <c r="BO331" s="43"/>
    </row>
    <row r="332" spans="2:67" x14ac:dyDescent="0.2">
      <c r="B332" s="8">
        <v>17</v>
      </c>
      <c r="C332" s="8" t="s">
        <v>665</v>
      </c>
      <c r="D332" s="43">
        <f t="shared" si="147"/>
        <v>1248611.2909199998</v>
      </c>
      <c r="E332" s="43">
        <f t="shared" si="147"/>
        <v>98261.706209999989</v>
      </c>
      <c r="F332" s="43">
        <f t="shared" si="147"/>
        <v>79027.58077</v>
      </c>
      <c r="G332" s="43">
        <f t="shared" si="147"/>
        <v>1425222</v>
      </c>
      <c r="H332" s="43"/>
      <c r="I332" s="43">
        <f t="shared" si="148"/>
        <v>1251986</v>
      </c>
      <c r="J332" s="43">
        <f t="shared" si="148"/>
        <v>103131</v>
      </c>
      <c r="K332" s="43">
        <f t="shared" si="148"/>
        <v>73208</v>
      </c>
      <c r="L332" s="43">
        <f t="shared" si="148"/>
        <v>1428368</v>
      </c>
      <c r="M332" s="43"/>
      <c r="N332" s="43">
        <f t="shared" si="149"/>
        <v>1252366</v>
      </c>
      <c r="O332" s="43">
        <f t="shared" si="149"/>
        <v>114804</v>
      </c>
      <c r="P332" s="43">
        <f t="shared" si="149"/>
        <v>89042</v>
      </c>
      <c r="Q332" s="43">
        <f t="shared" si="149"/>
        <v>1456212</v>
      </c>
      <c r="R332" s="43"/>
      <c r="S332" s="43">
        <f t="shared" si="150"/>
        <v>1247933</v>
      </c>
      <c r="T332" s="43">
        <f t="shared" si="150"/>
        <v>121405</v>
      </c>
      <c r="U332" s="43">
        <f t="shared" si="150"/>
        <v>86638</v>
      </c>
      <c r="V332" s="43">
        <f t="shared" si="150"/>
        <v>1455976</v>
      </c>
      <c r="W332" s="43"/>
      <c r="X332" s="43">
        <f t="shared" si="151"/>
        <v>1297812</v>
      </c>
      <c r="Y332" s="43">
        <f t="shared" si="151"/>
        <v>123705</v>
      </c>
      <c r="Z332" s="43">
        <f t="shared" si="151"/>
        <v>86871</v>
      </c>
      <c r="AA332" s="114">
        <f t="shared" si="151"/>
        <v>1508388</v>
      </c>
      <c r="AB332" s="159"/>
      <c r="AC332" s="43">
        <f t="shared" si="152"/>
        <v>1350198</v>
      </c>
      <c r="AD332" s="43">
        <f t="shared" si="152"/>
        <v>115315</v>
      </c>
      <c r="AE332" s="43">
        <f t="shared" si="152"/>
        <v>93321</v>
      </c>
      <c r="AF332" s="43">
        <f t="shared" si="152"/>
        <v>1558834</v>
      </c>
      <c r="AG332" s="43"/>
      <c r="AH332" s="43">
        <f t="shared" si="153"/>
        <v>1419814.41597</v>
      </c>
      <c r="AI332" s="43">
        <f t="shared" si="153"/>
        <v>127650.06573</v>
      </c>
      <c r="AJ332" s="43">
        <f t="shared" si="153"/>
        <v>137572.26537000001</v>
      </c>
      <c r="AK332" s="159">
        <f t="shared" si="153"/>
        <v>1685036.74707</v>
      </c>
      <c r="AL332" s="43"/>
      <c r="AM332" s="43">
        <f t="shared" si="154"/>
        <v>1490155.6595600005</v>
      </c>
      <c r="AN332" s="43">
        <f t="shared" si="154"/>
        <v>140774.00769999999</v>
      </c>
      <c r="AO332" s="43">
        <f t="shared" si="154"/>
        <v>144372.7138</v>
      </c>
      <c r="AP332" s="43">
        <f t="shared" si="154"/>
        <v>1775302.38106</v>
      </c>
      <c r="AQ332" s="43"/>
      <c r="AR332" s="43">
        <f t="shared" si="155"/>
        <v>749224.27537000005</v>
      </c>
      <c r="AS332" s="43">
        <f t="shared" si="155"/>
        <v>152749.33003000001</v>
      </c>
      <c r="AT332" s="43">
        <f t="shared" si="155"/>
        <v>103941.62122000003</v>
      </c>
      <c r="AU332" s="43">
        <f t="shared" si="155"/>
        <v>1005915.2266199999</v>
      </c>
      <c r="AV332" s="43"/>
      <c r="AW332" s="43">
        <f t="shared" si="156"/>
        <v>715502.38031437725</v>
      </c>
      <c r="AX332" s="43">
        <f t="shared" si="156"/>
        <v>164716.58394256132</v>
      </c>
      <c r="AY332" s="43">
        <f t="shared" si="156"/>
        <v>94249.642685953033</v>
      </c>
      <c r="AZ332" s="43">
        <f t="shared" si="156"/>
        <v>974468.60694289161</v>
      </c>
      <c r="BA332" s="43"/>
      <c r="BB332" s="43">
        <f t="shared" si="157"/>
        <v>759158.50631676055</v>
      </c>
      <c r="BC332" s="43">
        <f t="shared" si="157"/>
        <v>168524.07578285641</v>
      </c>
      <c r="BD332" s="43">
        <f t="shared" si="157"/>
        <v>95380.638398184426</v>
      </c>
      <c r="BE332" s="43">
        <f t="shared" si="157"/>
        <v>1023063.2204978013</v>
      </c>
      <c r="BF332" s="43"/>
      <c r="BG332" s="43">
        <f t="shared" si="158"/>
        <v>797505.30779517337</v>
      </c>
      <c r="BH332" s="43">
        <f t="shared" si="158"/>
        <v>173894.61760142914</v>
      </c>
      <c r="BI332" s="43">
        <f t="shared" si="158"/>
        <v>100012.33512446561</v>
      </c>
      <c r="BJ332" s="43">
        <f t="shared" si="158"/>
        <v>1071412.2605210682</v>
      </c>
      <c r="BK332" s="43"/>
      <c r="BL332" s="43"/>
      <c r="BM332" s="43"/>
      <c r="BN332" s="43"/>
      <c r="BO332" s="43"/>
    </row>
    <row r="333" spans="2:67" x14ac:dyDescent="0.2">
      <c r="B333" s="8">
        <v>18</v>
      </c>
      <c r="C333" s="8" t="s">
        <v>666</v>
      </c>
      <c r="D333" s="43">
        <f t="shared" si="147"/>
        <v>227891.73625999998</v>
      </c>
      <c r="E333" s="43">
        <f t="shared" si="147"/>
        <v>21693.27347</v>
      </c>
      <c r="F333" s="43">
        <f t="shared" si="147"/>
        <v>17897.766019999999</v>
      </c>
      <c r="G333" s="43">
        <f t="shared" si="147"/>
        <v>267454</v>
      </c>
      <c r="H333" s="43"/>
      <c r="I333" s="43">
        <f t="shared" si="148"/>
        <v>225287</v>
      </c>
      <c r="J333" s="43">
        <f t="shared" si="148"/>
        <v>22384</v>
      </c>
      <c r="K333" s="43">
        <f t="shared" si="148"/>
        <v>15715</v>
      </c>
      <c r="L333" s="43">
        <f t="shared" si="148"/>
        <v>263301</v>
      </c>
      <c r="M333" s="43"/>
      <c r="N333" s="43">
        <f t="shared" si="149"/>
        <v>226820</v>
      </c>
      <c r="O333" s="43">
        <f t="shared" si="149"/>
        <v>22744</v>
      </c>
      <c r="P333" s="43">
        <f t="shared" si="149"/>
        <v>17605</v>
      </c>
      <c r="Q333" s="43">
        <f t="shared" si="149"/>
        <v>267169</v>
      </c>
      <c r="R333" s="43"/>
      <c r="S333" s="43">
        <f t="shared" si="150"/>
        <v>219907</v>
      </c>
      <c r="T333" s="43">
        <f t="shared" si="150"/>
        <v>23497</v>
      </c>
      <c r="U333" s="43">
        <f t="shared" si="150"/>
        <v>16381</v>
      </c>
      <c r="V333" s="43">
        <f t="shared" si="150"/>
        <v>259785</v>
      </c>
      <c r="W333" s="43"/>
      <c r="X333" s="43">
        <f t="shared" si="151"/>
        <v>225814</v>
      </c>
      <c r="Y333" s="43">
        <f t="shared" si="151"/>
        <v>24122</v>
      </c>
      <c r="Z333" s="43">
        <f t="shared" si="151"/>
        <v>16968</v>
      </c>
      <c r="AA333" s="114">
        <f t="shared" si="151"/>
        <v>266904</v>
      </c>
      <c r="AB333" s="159"/>
      <c r="AC333" s="43">
        <f t="shared" si="152"/>
        <v>229287</v>
      </c>
      <c r="AD333" s="43">
        <f t="shared" si="152"/>
        <v>22316</v>
      </c>
      <c r="AE333" s="43">
        <f t="shared" si="152"/>
        <v>19005</v>
      </c>
      <c r="AF333" s="43">
        <f t="shared" si="152"/>
        <v>270608</v>
      </c>
      <c r="AG333" s="43"/>
      <c r="AH333" s="43">
        <f t="shared" si="153"/>
        <v>235637.62771999999</v>
      </c>
      <c r="AI333" s="43">
        <f t="shared" si="153"/>
        <v>24860.92901</v>
      </c>
      <c r="AJ333" s="43">
        <f t="shared" si="153"/>
        <v>28484.978369999997</v>
      </c>
      <c r="AK333" s="159">
        <f t="shared" si="153"/>
        <v>288983.53509999998</v>
      </c>
      <c r="AL333" s="43"/>
      <c r="AM333" s="43">
        <f t="shared" si="154"/>
        <v>244575.35985000004</v>
      </c>
      <c r="AN333" s="43">
        <f t="shared" si="154"/>
        <v>26231.397199999999</v>
      </c>
      <c r="AO333" s="43">
        <f t="shared" si="154"/>
        <v>29081.500309999999</v>
      </c>
      <c r="AP333" s="43">
        <f t="shared" si="154"/>
        <v>299888.25736000005</v>
      </c>
      <c r="AQ333" s="43"/>
      <c r="AR333" s="43">
        <f t="shared" si="155"/>
        <v>117702.24458999999</v>
      </c>
      <c r="AS333" s="43">
        <f t="shared" si="155"/>
        <v>26825.260560000002</v>
      </c>
      <c r="AT333" s="43">
        <f t="shared" si="155"/>
        <v>18078.49397</v>
      </c>
      <c r="AU333" s="43">
        <f t="shared" si="155"/>
        <v>162605.99912000002</v>
      </c>
      <c r="AV333" s="43"/>
      <c r="AW333" s="43">
        <f t="shared" si="156"/>
        <v>114565.1302106254</v>
      </c>
      <c r="AX333" s="43">
        <f t="shared" si="156"/>
        <v>28287.234164971083</v>
      </c>
      <c r="AY333" s="43">
        <f t="shared" si="156"/>
        <v>17331.025493540485</v>
      </c>
      <c r="AZ333" s="43">
        <f t="shared" si="156"/>
        <v>160183.38986913694</v>
      </c>
      <c r="BA333" s="43"/>
      <c r="BB333" s="43">
        <f t="shared" si="157"/>
        <v>119825.7781105966</v>
      </c>
      <c r="BC333" s="43">
        <f t="shared" si="157"/>
        <v>28564.143470758296</v>
      </c>
      <c r="BD333" s="43">
        <f t="shared" si="157"/>
        <v>17538.997799462973</v>
      </c>
      <c r="BE333" s="43">
        <f t="shared" si="157"/>
        <v>165928.91938081785</v>
      </c>
      <c r="BF333" s="43"/>
      <c r="BG333" s="43">
        <f t="shared" si="158"/>
        <v>124258.58480595166</v>
      </c>
      <c r="BH333" s="43">
        <f t="shared" si="158"/>
        <v>29072.268163021436</v>
      </c>
      <c r="BI333" s="43">
        <f t="shared" si="158"/>
        <v>18390.693909431247</v>
      </c>
      <c r="BJ333" s="43">
        <f t="shared" si="158"/>
        <v>171721.54687840433</v>
      </c>
      <c r="BK333" s="43"/>
      <c r="BL333" s="43"/>
      <c r="BM333" s="43"/>
      <c r="BN333" s="43"/>
      <c r="BO333" s="43"/>
    </row>
    <row r="334" spans="2:67" x14ac:dyDescent="0.2">
      <c r="B334" s="8">
        <v>19</v>
      </c>
      <c r="C334" s="8" t="s">
        <v>667</v>
      </c>
      <c r="D334" s="43">
        <f t="shared" si="147"/>
        <v>567846.0957699999</v>
      </c>
      <c r="E334" s="43">
        <f t="shared" si="147"/>
        <v>75159.549869999988</v>
      </c>
      <c r="F334" s="43">
        <f t="shared" si="147"/>
        <v>39281.301130000007</v>
      </c>
      <c r="G334" s="43">
        <f t="shared" si="147"/>
        <v>682353</v>
      </c>
      <c r="H334" s="43"/>
      <c r="I334" s="43">
        <f t="shared" si="148"/>
        <v>572216</v>
      </c>
      <c r="J334" s="43">
        <f t="shared" si="148"/>
        <v>81485</v>
      </c>
      <c r="K334" s="43">
        <f t="shared" si="148"/>
        <v>39463</v>
      </c>
      <c r="L334" s="43">
        <f t="shared" si="148"/>
        <v>693169</v>
      </c>
      <c r="M334" s="43"/>
      <c r="N334" s="43">
        <f t="shared" si="149"/>
        <v>569328</v>
      </c>
      <c r="O334" s="43">
        <f t="shared" si="149"/>
        <v>80341</v>
      </c>
      <c r="P334" s="43">
        <f t="shared" si="149"/>
        <v>49271</v>
      </c>
      <c r="Q334" s="43">
        <f t="shared" si="149"/>
        <v>698940</v>
      </c>
      <c r="R334" s="43"/>
      <c r="S334" s="43">
        <f t="shared" si="150"/>
        <v>565196</v>
      </c>
      <c r="T334" s="43">
        <f t="shared" si="150"/>
        <v>89950</v>
      </c>
      <c r="U334" s="43">
        <f t="shared" si="150"/>
        <v>37812</v>
      </c>
      <c r="V334" s="43">
        <f t="shared" si="150"/>
        <v>692958</v>
      </c>
      <c r="W334" s="43"/>
      <c r="X334" s="43">
        <f t="shared" si="151"/>
        <v>577606</v>
      </c>
      <c r="Y334" s="43">
        <f t="shared" si="151"/>
        <v>91214</v>
      </c>
      <c r="Z334" s="43">
        <f t="shared" si="151"/>
        <v>36632</v>
      </c>
      <c r="AA334" s="114">
        <f t="shared" si="151"/>
        <v>705452</v>
      </c>
      <c r="AB334" s="159"/>
      <c r="AC334" s="43">
        <f t="shared" si="152"/>
        <v>606895</v>
      </c>
      <c r="AD334" s="43">
        <f t="shared" si="152"/>
        <v>84352</v>
      </c>
      <c r="AE334" s="43">
        <f t="shared" si="152"/>
        <v>42296</v>
      </c>
      <c r="AF334" s="43">
        <f t="shared" si="152"/>
        <v>733543</v>
      </c>
      <c r="AG334" s="43"/>
      <c r="AH334" s="43">
        <f t="shared" si="153"/>
        <v>623124.96383000002</v>
      </c>
      <c r="AI334" s="43">
        <f t="shared" si="153"/>
        <v>91104.569789999994</v>
      </c>
      <c r="AJ334" s="43">
        <f t="shared" si="153"/>
        <v>63955.641579999996</v>
      </c>
      <c r="AK334" s="159">
        <f t="shared" si="153"/>
        <v>778185.17520000006</v>
      </c>
      <c r="AL334" s="43"/>
      <c r="AM334" s="43">
        <f t="shared" si="154"/>
        <v>671590.34815999994</v>
      </c>
      <c r="AN334" s="43">
        <f t="shared" si="154"/>
        <v>102546.75312000001</v>
      </c>
      <c r="AO334" s="43">
        <f t="shared" si="154"/>
        <v>67769.177949999998</v>
      </c>
      <c r="AP334" s="43">
        <f t="shared" si="154"/>
        <v>841906.2792300001</v>
      </c>
      <c r="AQ334" s="43"/>
      <c r="AR334" s="43">
        <f t="shared" si="155"/>
        <v>332120.58011000004</v>
      </c>
      <c r="AS334" s="43">
        <f t="shared" si="155"/>
        <v>103823.18805999999</v>
      </c>
      <c r="AT334" s="43">
        <f t="shared" si="155"/>
        <v>46196.898130000001</v>
      </c>
      <c r="AU334" s="43">
        <f t="shared" si="155"/>
        <v>482140.66630000004</v>
      </c>
      <c r="AV334" s="43"/>
      <c r="AW334" s="43">
        <f t="shared" si="156"/>
        <v>312993.11013670935</v>
      </c>
      <c r="AX334" s="43">
        <f t="shared" si="156"/>
        <v>107917.27621757185</v>
      </c>
      <c r="AY334" s="43">
        <f t="shared" si="156"/>
        <v>50277.282396602248</v>
      </c>
      <c r="AZ334" s="43">
        <f t="shared" si="156"/>
        <v>471187.66875088343</v>
      </c>
      <c r="BA334" s="43"/>
      <c r="BB334" s="43">
        <f t="shared" si="157"/>
        <v>329600.9017213597</v>
      </c>
      <c r="BC334" s="43">
        <f t="shared" si="157"/>
        <v>109690.96703855779</v>
      </c>
      <c r="BD334" s="43">
        <f t="shared" si="157"/>
        <v>50880.609785361477</v>
      </c>
      <c r="BE334" s="43">
        <f t="shared" si="157"/>
        <v>490172.47854527907</v>
      </c>
      <c r="BF334" s="43"/>
      <c r="BG334" s="43">
        <f t="shared" si="158"/>
        <v>343912.89077295689</v>
      </c>
      <c r="BH334" s="43">
        <f t="shared" si="158"/>
        <v>112400.38810596285</v>
      </c>
      <c r="BI334" s="43">
        <f t="shared" si="158"/>
        <v>53351.379091708797</v>
      </c>
      <c r="BJ334" s="43">
        <f t="shared" si="158"/>
        <v>509664.65797062858</v>
      </c>
      <c r="BK334" s="43"/>
      <c r="BL334" s="43"/>
      <c r="BM334" s="43"/>
      <c r="BN334" s="43"/>
      <c r="BO334" s="43"/>
    </row>
    <row r="336" spans="2:67" x14ac:dyDescent="0.2">
      <c r="D336" s="41">
        <f>SUM(D317:D334)</f>
        <v>18315845.75959</v>
      </c>
      <c r="E336" s="41">
        <f>SUM(E317:E334)</f>
        <v>1590986.75346</v>
      </c>
      <c r="F336" s="41">
        <f t="shared" ref="F336:BJ336" si="159">SUM(F317:F334)</f>
        <v>1626062.7234200002</v>
      </c>
      <c r="G336" s="41">
        <f t="shared" si="159"/>
        <v>21624975</v>
      </c>
      <c r="H336" s="41"/>
      <c r="I336" s="41">
        <f t="shared" si="159"/>
        <v>18778839</v>
      </c>
      <c r="J336" s="41">
        <f t="shared" si="159"/>
        <v>1638243</v>
      </c>
      <c r="K336" s="41">
        <f t="shared" si="159"/>
        <v>1537347</v>
      </c>
      <c r="L336" s="41">
        <f t="shared" si="159"/>
        <v>21935415</v>
      </c>
      <c r="M336" s="41"/>
      <c r="N336" s="41">
        <f t="shared" si="159"/>
        <v>18801058</v>
      </c>
      <c r="O336" s="41">
        <f t="shared" si="159"/>
        <v>1738236</v>
      </c>
      <c r="P336" s="41">
        <f t="shared" si="159"/>
        <v>1888774</v>
      </c>
      <c r="Q336" s="41">
        <f t="shared" si="159"/>
        <v>22428067</v>
      </c>
      <c r="R336" s="41"/>
      <c r="S336" s="41">
        <f t="shared" si="159"/>
        <v>18664568</v>
      </c>
      <c r="T336" s="41">
        <f t="shared" si="159"/>
        <v>1790525</v>
      </c>
      <c r="U336" s="41">
        <f t="shared" si="159"/>
        <v>1866127</v>
      </c>
      <c r="V336" s="41">
        <f t="shared" si="159"/>
        <v>22321220</v>
      </c>
      <c r="W336" s="41"/>
      <c r="X336" s="41">
        <f t="shared" si="159"/>
        <v>19142606</v>
      </c>
      <c r="Y336" s="41">
        <f t="shared" si="159"/>
        <v>1866802</v>
      </c>
      <c r="Z336" s="41">
        <f t="shared" si="159"/>
        <v>1902907</v>
      </c>
      <c r="AA336" s="115">
        <f t="shared" si="159"/>
        <v>22912315</v>
      </c>
      <c r="AB336" s="165"/>
      <c r="AC336" s="41">
        <f t="shared" si="159"/>
        <v>20124065</v>
      </c>
      <c r="AD336" s="41">
        <f t="shared" si="159"/>
        <v>1744593</v>
      </c>
      <c r="AE336" s="41">
        <f t="shared" si="159"/>
        <v>1956930</v>
      </c>
      <c r="AF336" s="41">
        <f t="shared" si="159"/>
        <v>23825588</v>
      </c>
      <c r="AG336" s="41"/>
      <c r="AH336" s="41">
        <f t="shared" si="159"/>
        <v>20602525.189870004</v>
      </c>
      <c r="AI336" s="41">
        <f t="shared" si="159"/>
        <v>1968747.8368299999</v>
      </c>
      <c r="AJ336" s="41">
        <f t="shared" si="159"/>
        <v>2847097.6012200005</v>
      </c>
      <c r="AK336" s="165">
        <f t="shared" si="159"/>
        <v>25418370.627919994</v>
      </c>
      <c r="AL336" s="41"/>
      <c r="AM336" s="41">
        <f t="shared" si="159"/>
        <v>21677574.217359994</v>
      </c>
      <c r="AN336" s="41">
        <f t="shared" si="159"/>
        <v>2096402.1852700002</v>
      </c>
      <c r="AO336" s="41">
        <f t="shared" si="159"/>
        <v>3034496.1109199994</v>
      </c>
      <c r="AP336" s="41">
        <f t="shared" si="159"/>
        <v>26808472.513550002</v>
      </c>
      <c r="AQ336" s="41"/>
      <c r="AR336" s="41">
        <f t="shared" si="159"/>
        <v>10219224.57457</v>
      </c>
      <c r="AS336" s="41">
        <f t="shared" si="159"/>
        <v>2182937.7716999999</v>
      </c>
      <c r="AT336" s="41">
        <f t="shared" si="159"/>
        <v>2052377.4093800001</v>
      </c>
      <c r="AU336" s="41">
        <f t="shared" si="159"/>
        <v>14454539.755649997</v>
      </c>
      <c r="AV336" s="41"/>
      <c r="AW336" s="41">
        <f t="shared" si="159"/>
        <v>9649852.7060457915</v>
      </c>
      <c r="AX336" s="41">
        <f t="shared" si="159"/>
        <v>2374999.9999999995</v>
      </c>
      <c r="AY336" s="41">
        <f t="shared" si="159"/>
        <v>1742635.4623874931</v>
      </c>
      <c r="AZ336" s="41">
        <f t="shared" si="159"/>
        <v>13767488.168433279</v>
      </c>
      <c r="BA336" s="41"/>
      <c r="BB336" s="41">
        <f t="shared" si="159"/>
        <v>10171879.658573853</v>
      </c>
      <c r="BC336" s="41">
        <f t="shared" si="159"/>
        <v>2414000.0339802839</v>
      </c>
      <c r="BD336" s="41">
        <f t="shared" si="159"/>
        <v>1763547.0879361425</v>
      </c>
      <c r="BE336" s="41">
        <f t="shared" si="159"/>
        <v>14349426.780490277</v>
      </c>
      <c r="BF336" s="41"/>
      <c r="BG336" s="41">
        <f t="shared" si="159"/>
        <v>10638346.155469408</v>
      </c>
      <c r="BH336" s="41">
        <f t="shared" si="159"/>
        <v>2473000.0539134522</v>
      </c>
      <c r="BI336" s="41">
        <f t="shared" si="159"/>
        <v>1849185.1735163284</v>
      </c>
      <c r="BJ336" s="41">
        <f t="shared" si="159"/>
        <v>14960531.382899189</v>
      </c>
      <c r="BK336" s="41"/>
      <c r="BL336" s="41"/>
      <c r="BM336" s="41"/>
      <c r="BN336" s="41"/>
      <c r="BO336" s="41"/>
    </row>
    <row r="337" spans="4:53" x14ac:dyDescent="0.2">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115"/>
      <c r="AB337" s="165"/>
      <c r="AC337" s="41"/>
      <c r="AD337" s="41"/>
      <c r="AE337" s="41"/>
      <c r="AF337" s="41"/>
      <c r="AG337" s="41"/>
      <c r="AH337" s="41"/>
      <c r="AI337" s="41"/>
      <c r="AJ337" s="41"/>
      <c r="AK337" s="165"/>
      <c r="AL337" s="41"/>
      <c r="AM337" s="41"/>
      <c r="AN337" s="41"/>
      <c r="AO337" s="41"/>
      <c r="AP337" s="41"/>
      <c r="AQ337" s="41"/>
      <c r="AR337" s="41"/>
      <c r="AS337" s="41"/>
      <c r="AT337" s="41"/>
      <c r="AU337" s="41"/>
      <c r="AV337" s="41"/>
      <c r="AW337" s="41"/>
      <c r="AX337" s="41"/>
      <c r="AY337" s="41"/>
      <c r="AZ337" s="41"/>
      <c r="BA337" s="41"/>
    </row>
  </sheetData>
  <conditionalFormatting sqref="CU15:DC305">
    <cfRule type="cellIs" dxfId="0" priority="1" operator="greaterThan">
      <formula>400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X307"/>
  <sheetViews>
    <sheetView topLeftCell="A8" zoomScaleNormal="100" workbookViewId="0">
      <pane xSplit="2" ySplit="7" topLeftCell="BI15" activePane="bottomRight" state="frozen"/>
      <selection activeCell="A8" sqref="A8"/>
      <selection pane="topRight" activeCell="C8" sqref="C8"/>
      <selection pane="bottomLeft" activeCell="A15" sqref="A15"/>
      <selection pane="bottomRight" activeCell="BM9" sqref="BM9"/>
    </sheetView>
  </sheetViews>
  <sheetFormatPr defaultColWidth="9.140625" defaultRowHeight="11.25" x14ac:dyDescent="0.2"/>
  <cols>
    <col min="1" max="1" width="7.28515625" style="4" customWidth="1"/>
    <col min="2" max="2" width="18.85546875" style="4" customWidth="1"/>
    <col min="3" max="3" width="7.42578125" style="43" bestFit="1" customWidth="1"/>
    <col min="4" max="4" width="14.85546875" style="43" bestFit="1" customWidth="1"/>
    <col min="5" max="5" width="16.42578125" style="43" bestFit="1" customWidth="1"/>
    <col min="6" max="6" width="8" style="43" bestFit="1" customWidth="1"/>
    <col min="7" max="7" width="7.42578125" style="43" bestFit="1" customWidth="1"/>
    <col min="8" max="8" width="15" style="43" bestFit="1" customWidth="1"/>
    <col min="9" max="9" width="7.42578125" style="43" bestFit="1" customWidth="1"/>
    <col min="10" max="10" width="14.85546875" style="43" bestFit="1" customWidth="1"/>
    <col min="11" max="11" width="16.42578125" style="43" bestFit="1" customWidth="1"/>
    <col min="12" max="12" width="8" style="43" bestFit="1" customWidth="1"/>
    <col min="13" max="13" width="7.42578125" style="43" bestFit="1" customWidth="1"/>
    <col min="14" max="14" width="15" style="43" bestFit="1" customWidth="1"/>
    <col min="15" max="15" width="11.42578125" style="43" bestFit="1" customWidth="1"/>
    <col min="16" max="16" width="14.85546875" style="41" bestFit="1" customWidth="1"/>
    <col min="17" max="17" width="16.42578125" style="41" bestFit="1" customWidth="1"/>
    <col min="18" max="18" width="8" style="41" bestFit="1" customWidth="1"/>
    <col min="19" max="19" width="7.42578125" style="41" bestFit="1" customWidth="1"/>
    <col min="20" max="20" width="15" style="41" bestFit="1" customWidth="1"/>
    <col min="21" max="21" width="7.42578125" style="41" bestFit="1" customWidth="1"/>
    <col min="22" max="22" width="14.85546875" style="41" bestFit="1" customWidth="1"/>
    <col min="23" max="23" width="16.42578125" style="41" bestFit="1" customWidth="1"/>
    <col min="24" max="24" width="8" style="41" bestFit="1" customWidth="1"/>
    <col min="25" max="25" width="7.42578125" style="41" bestFit="1" customWidth="1"/>
    <col min="26" max="26" width="15" style="41" bestFit="1" customWidth="1"/>
    <col min="27" max="27" width="14.85546875" style="165" customWidth="1"/>
    <col min="28" max="28" width="9.5703125" style="41" bestFit="1" customWidth="1"/>
    <col min="29" max="29" width="14.85546875" style="41" bestFit="1" customWidth="1"/>
    <col min="30" max="30" width="16.42578125" style="41" bestFit="1" customWidth="1"/>
    <col min="31" max="31" width="11.42578125" style="165" bestFit="1" customWidth="1"/>
    <col min="32" max="32" width="7.85546875" style="41" bestFit="1" customWidth="1"/>
    <col min="33" max="33" width="15" style="41" bestFit="1" customWidth="1"/>
    <col min="34" max="34" width="11.42578125" style="165" customWidth="1"/>
    <col min="35" max="35" width="8.28515625" style="41" bestFit="1" customWidth="1"/>
    <col min="36" max="36" width="26.5703125" style="41" bestFit="1" customWidth="1"/>
    <col min="37" max="37" width="16.28515625" style="41" bestFit="1" customWidth="1"/>
    <col min="38" max="38" width="11.42578125" style="165" bestFit="1" customWidth="1"/>
    <col min="39" max="39" width="21.140625" style="41" bestFit="1" customWidth="1"/>
    <col min="40" max="40" width="18" style="41" bestFit="1" customWidth="1"/>
    <col min="41" max="41" width="20.140625" style="159" customWidth="1"/>
    <col min="42" max="42" width="16" style="41" bestFit="1" customWidth="1"/>
    <col min="43" max="43" width="26.5703125" style="41" bestFit="1" customWidth="1"/>
    <col min="44" max="44" width="17.85546875" style="41" bestFit="1" customWidth="1"/>
    <col min="45" max="45" width="11.42578125" style="165" bestFit="1" customWidth="1"/>
    <col min="46" max="46" width="21.28515625" style="41" customWidth="1"/>
    <col min="47" max="47" width="20.28515625" style="41" bestFit="1" customWidth="1"/>
    <col min="48" max="48" width="20.140625" style="165" customWidth="1"/>
    <col min="49" max="49" width="12.28515625" style="41" customWidth="1"/>
    <col min="50" max="50" width="1.85546875" style="41" hidden="1" customWidth="1"/>
    <col min="51" max="51" width="2.42578125" style="41" hidden="1" customWidth="1"/>
    <col min="52" max="52" width="17.85546875" style="41" bestFit="1" customWidth="1"/>
    <col min="53" max="53" width="11.42578125" style="165" bestFit="1" customWidth="1"/>
    <col min="54" max="54" width="21.140625" style="41" bestFit="1" customWidth="1"/>
    <col min="55" max="55" width="20.28515625" style="41" bestFit="1" customWidth="1"/>
    <col min="56" max="56" width="20.140625" style="165" customWidth="1"/>
    <col min="57" max="57" width="11.140625" style="41" customWidth="1"/>
    <col min="58" max="58" width="27.7109375" style="41" hidden="1" customWidth="1"/>
    <col min="59" max="59" width="29.7109375" style="41" hidden="1" customWidth="1"/>
    <col min="60" max="60" width="16.28515625" style="41" bestFit="1" customWidth="1"/>
    <col min="61" max="61" width="11.42578125" style="165" bestFit="1" customWidth="1"/>
    <col min="62" max="62" width="18.85546875" style="41" bestFit="1" customWidth="1"/>
    <col min="63" max="63" width="20.28515625" style="41" bestFit="1" customWidth="1"/>
    <col min="64" max="64" width="20.140625" style="165" customWidth="1"/>
    <col min="65" max="65" width="8.28515625" style="41" bestFit="1" customWidth="1"/>
    <col min="66" max="66" width="17.85546875" style="41" bestFit="1" customWidth="1"/>
    <col min="67" max="67" width="11.42578125" style="165" bestFit="1" customWidth="1"/>
    <col min="68" max="68" width="21.140625" style="41" bestFit="1" customWidth="1"/>
    <col min="69" max="69" width="17.5703125" style="41" bestFit="1" customWidth="1"/>
    <col min="70" max="71" width="15" style="7" customWidth="1"/>
    <col min="72" max="72" width="27.7109375" style="7" hidden="1" customWidth="1"/>
    <col min="73" max="73" width="29.7109375" style="7" hidden="1" customWidth="1"/>
    <col min="74" max="74" width="17.85546875" style="7" bestFit="1" customWidth="1"/>
    <col min="75" max="75" width="11.42578125" style="4" bestFit="1" customWidth="1"/>
    <col min="76" max="76" width="9.140625" style="4"/>
    <col min="77" max="77" width="17.5703125" style="4" bestFit="1" customWidth="1"/>
    <col min="78" max="78" width="9.140625" style="4"/>
    <col min="79" max="79" width="13.7109375" style="4" customWidth="1"/>
    <col min="80" max="80" width="16.28515625" style="4" bestFit="1" customWidth="1"/>
    <col min="81" max="81" width="11.42578125" style="4" bestFit="1" customWidth="1"/>
    <col min="82" max="82" width="21.140625" style="4" bestFit="1" customWidth="1"/>
    <col min="83" max="83" width="14.85546875" style="4" customWidth="1"/>
    <col min="84" max="84" width="7.42578125" style="4" customWidth="1"/>
    <col min="85" max="85" width="13.7109375" style="4" customWidth="1"/>
    <col min="86" max="86" width="16.28515625" style="4" bestFit="1" customWidth="1"/>
    <col min="87" max="87" width="11.42578125" style="4" bestFit="1" customWidth="1"/>
    <col min="88" max="88" width="21.140625" style="4" bestFit="1" customWidth="1"/>
    <col min="89" max="89" width="14.85546875" style="4" customWidth="1"/>
    <col min="90" max="90" width="7.7109375" style="4" customWidth="1"/>
    <col min="91" max="97" width="14.85546875" style="4" bestFit="1" customWidth="1"/>
    <col min="98" max="99" width="14.85546875" style="4" customWidth="1"/>
    <col min="100" max="100" width="9.140625" style="4"/>
    <col min="101" max="107" width="14.85546875" style="4" bestFit="1" customWidth="1"/>
    <col min="108" max="108" width="14.85546875" style="4" customWidth="1"/>
    <col min="109" max="109" width="3.5703125" style="4" bestFit="1" customWidth="1"/>
    <col min="110" max="16384" width="9.140625" style="4"/>
  </cols>
  <sheetData>
    <row r="1" spans="1:128" x14ac:dyDescent="0.2">
      <c r="A1" s="1">
        <v>1</v>
      </c>
      <c r="B1" s="1">
        <v>2</v>
      </c>
      <c r="C1" s="1">
        <v>9</v>
      </c>
      <c r="D1" s="1">
        <v>10</v>
      </c>
      <c r="E1" s="1">
        <v>11</v>
      </c>
      <c r="F1" s="1">
        <v>12</v>
      </c>
      <c r="G1" s="1">
        <v>13</v>
      </c>
      <c r="H1" s="1">
        <v>14</v>
      </c>
      <c r="I1" s="1">
        <v>15</v>
      </c>
      <c r="J1" s="1">
        <v>16</v>
      </c>
      <c r="K1" s="1">
        <v>17</v>
      </c>
      <c r="L1" s="1">
        <v>18</v>
      </c>
      <c r="M1" s="1">
        <v>19</v>
      </c>
      <c r="N1" s="1">
        <v>20</v>
      </c>
      <c r="O1" s="1">
        <v>21</v>
      </c>
      <c r="P1" s="1">
        <v>22</v>
      </c>
      <c r="Q1" s="1">
        <v>23</v>
      </c>
      <c r="R1" s="1">
        <v>24</v>
      </c>
      <c r="S1" s="1">
        <v>25</v>
      </c>
      <c r="T1" s="1">
        <v>26</v>
      </c>
      <c r="U1" s="1">
        <v>27</v>
      </c>
      <c r="V1" s="1">
        <v>28</v>
      </c>
      <c r="W1" s="1">
        <v>29</v>
      </c>
      <c r="X1" s="1">
        <v>30</v>
      </c>
      <c r="Y1" s="1">
        <v>31</v>
      </c>
      <c r="Z1" s="1">
        <v>32</v>
      </c>
      <c r="AA1" s="1">
        <v>33</v>
      </c>
      <c r="AB1" s="1">
        <v>34</v>
      </c>
      <c r="AC1" s="1">
        <v>36</v>
      </c>
      <c r="AD1" s="1">
        <v>37</v>
      </c>
      <c r="AE1" s="1">
        <v>38</v>
      </c>
      <c r="AF1" s="1">
        <v>39</v>
      </c>
      <c r="AG1" s="1">
        <v>40</v>
      </c>
      <c r="AH1" s="1">
        <v>42</v>
      </c>
      <c r="AI1" s="1">
        <v>43</v>
      </c>
      <c r="AJ1" s="1">
        <v>45</v>
      </c>
      <c r="AK1" s="1">
        <v>46</v>
      </c>
      <c r="AL1" s="1">
        <v>47</v>
      </c>
      <c r="AM1" s="1">
        <v>48</v>
      </c>
      <c r="AN1" s="1">
        <v>49</v>
      </c>
      <c r="AO1" s="1">
        <v>50</v>
      </c>
      <c r="AP1" s="1">
        <v>51</v>
      </c>
      <c r="AQ1" s="1">
        <v>53</v>
      </c>
      <c r="AR1" s="1">
        <v>54</v>
      </c>
      <c r="AS1" s="1">
        <v>55</v>
      </c>
      <c r="AT1" s="1">
        <v>56</v>
      </c>
      <c r="AU1" s="1">
        <v>57</v>
      </c>
      <c r="AV1" s="1">
        <v>58</v>
      </c>
      <c r="AW1" s="1">
        <v>59</v>
      </c>
      <c r="AX1" s="1"/>
      <c r="AY1" s="1"/>
      <c r="AZ1" s="1">
        <v>62</v>
      </c>
      <c r="BA1" s="1">
        <v>63</v>
      </c>
      <c r="BB1" s="1">
        <v>64</v>
      </c>
      <c r="BC1" s="1">
        <v>65</v>
      </c>
      <c r="BD1" s="1">
        <v>66</v>
      </c>
      <c r="BE1" s="1">
        <v>67</v>
      </c>
      <c r="BF1" s="1"/>
      <c r="BG1" s="1"/>
      <c r="BH1" s="1">
        <v>70</v>
      </c>
      <c r="BI1" s="1">
        <v>71</v>
      </c>
      <c r="BJ1" s="1">
        <v>72</v>
      </c>
      <c r="BK1" s="1">
        <v>73</v>
      </c>
      <c r="BL1" s="1">
        <v>74</v>
      </c>
      <c r="BM1" s="1">
        <v>75</v>
      </c>
      <c r="BN1" s="1">
        <v>78</v>
      </c>
      <c r="BO1" s="1">
        <v>79</v>
      </c>
      <c r="BP1" s="1">
        <v>80</v>
      </c>
      <c r="BQ1" s="1">
        <v>81</v>
      </c>
      <c r="BR1" s="1">
        <v>82</v>
      </c>
      <c r="BS1" s="1"/>
      <c r="BT1" s="1"/>
      <c r="BU1" s="1"/>
      <c r="BV1" s="1">
        <v>83</v>
      </c>
      <c r="BW1" s="1">
        <v>84</v>
      </c>
      <c r="BX1" s="1">
        <v>85</v>
      </c>
      <c r="BY1" s="1">
        <v>86</v>
      </c>
      <c r="BZ1" s="1">
        <v>87</v>
      </c>
      <c r="CA1" s="1"/>
      <c r="CB1" s="1"/>
      <c r="CC1" s="1"/>
      <c r="CD1" s="1"/>
      <c r="CE1" s="1"/>
      <c r="CF1" s="1"/>
      <c r="CG1" s="1"/>
      <c r="CH1" s="1"/>
      <c r="CI1" s="1"/>
      <c r="CJ1" s="1"/>
      <c r="CK1" s="1"/>
      <c r="CL1" s="1"/>
      <c r="CM1" s="1">
        <v>96</v>
      </c>
      <c r="CN1" s="1">
        <v>97</v>
      </c>
      <c r="CO1" s="1">
        <v>98</v>
      </c>
      <c r="CP1" s="1">
        <v>99</v>
      </c>
      <c r="CQ1" s="1">
        <v>100</v>
      </c>
      <c r="CR1" s="1">
        <v>101</v>
      </c>
      <c r="CS1" s="1">
        <v>101</v>
      </c>
      <c r="CT1" s="1"/>
      <c r="CU1" s="1"/>
      <c r="CV1" s="1">
        <v>103</v>
      </c>
      <c r="CW1" s="1">
        <v>105</v>
      </c>
      <c r="CX1" s="1">
        <v>106</v>
      </c>
      <c r="CY1" s="1">
        <v>107</v>
      </c>
      <c r="CZ1" s="1">
        <v>108</v>
      </c>
      <c r="DA1" s="1">
        <v>109</v>
      </c>
      <c r="DB1" s="1">
        <v>110</v>
      </c>
      <c r="DC1" s="1">
        <v>110</v>
      </c>
      <c r="DD1" s="1"/>
      <c r="DE1" s="1">
        <v>111</v>
      </c>
      <c r="DF1" s="1">
        <v>112</v>
      </c>
      <c r="DG1" s="1">
        <v>113</v>
      </c>
      <c r="DH1" s="1">
        <v>114</v>
      </c>
      <c r="DI1" s="1">
        <v>115</v>
      </c>
      <c r="DJ1" s="1">
        <v>116</v>
      </c>
      <c r="DK1" s="1">
        <v>117</v>
      </c>
      <c r="DL1" s="1">
        <v>117</v>
      </c>
      <c r="DM1" s="1">
        <v>119</v>
      </c>
      <c r="DN1" s="1">
        <v>120</v>
      </c>
      <c r="DO1" s="1">
        <v>121</v>
      </c>
      <c r="DP1" s="1">
        <v>122</v>
      </c>
      <c r="DQ1" s="1">
        <v>123</v>
      </c>
      <c r="DR1" s="1">
        <v>124</v>
      </c>
      <c r="DS1" s="1">
        <v>125</v>
      </c>
      <c r="DT1" s="1">
        <v>126</v>
      </c>
      <c r="DU1" s="1">
        <v>127</v>
      </c>
      <c r="DV1" s="1">
        <v>128</v>
      </c>
      <c r="DW1" s="1">
        <v>129</v>
      </c>
      <c r="DX1" s="1">
        <v>130</v>
      </c>
    </row>
    <row r="2" spans="1:128" x14ac:dyDescent="0.2">
      <c r="A2" s="1"/>
      <c r="B2" s="1"/>
      <c r="C2" s="1"/>
      <c r="D2" s="1"/>
      <c r="E2" s="1"/>
      <c r="F2" s="1"/>
      <c r="G2" s="1"/>
      <c r="H2" s="1"/>
      <c r="I2" s="1"/>
      <c r="J2" s="1"/>
      <c r="K2" s="1"/>
      <c r="L2" s="1"/>
      <c r="M2" s="1"/>
      <c r="N2" s="1"/>
      <c r="O2" s="1"/>
      <c r="P2" s="1"/>
      <c r="Q2" s="1"/>
      <c r="R2" s="1"/>
      <c r="S2" s="1"/>
      <c r="T2" s="1"/>
      <c r="U2" s="1"/>
      <c r="V2" s="1"/>
      <c r="W2" s="1"/>
      <c r="X2" s="1"/>
      <c r="Y2" s="1"/>
      <c r="Z2" s="1"/>
      <c r="AA2" s="98"/>
      <c r="AB2" s="4"/>
      <c r="AC2" s="4"/>
      <c r="AD2" s="4"/>
      <c r="AE2" s="7"/>
      <c r="AF2" s="4"/>
      <c r="AG2" s="4"/>
      <c r="AH2" s="7"/>
      <c r="AI2" s="4"/>
      <c r="AJ2" s="4"/>
      <c r="AK2" s="4"/>
      <c r="AL2" s="7"/>
      <c r="AM2" s="4"/>
      <c r="AN2" s="4"/>
      <c r="AO2" s="98"/>
      <c r="AP2" s="4"/>
      <c r="AQ2" s="4"/>
      <c r="AR2" s="4"/>
      <c r="AS2" s="7"/>
      <c r="AT2" s="4"/>
      <c r="AU2" s="4"/>
      <c r="AV2" s="7"/>
      <c r="AW2" s="4"/>
      <c r="AX2" s="4"/>
      <c r="AY2" s="4"/>
      <c r="AZ2" s="4"/>
      <c r="BA2" s="7"/>
      <c r="BB2" s="4"/>
      <c r="BC2" s="4"/>
      <c r="BD2" s="7"/>
      <c r="BE2" s="4"/>
      <c r="BF2" s="4"/>
      <c r="BG2" s="4"/>
      <c r="BH2" s="4"/>
      <c r="BI2" s="7"/>
      <c r="BJ2" s="4"/>
      <c r="BK2" s="4"/>
      <c r="BL2" s="7"/>
      <c r="BM2" s="4"/>
      <c r="BN2" s="4"/>
      <c r="BO2" s="7"/>
      <c r="BP2" s="4"/>
      <c r="BQ2" s="4"/>
    </row>
    <row r="3" spans="1:128" x14ac:dyDescent="0.2">
      <c r="A3" s="1"/>
      <c r="B3" s="1"/>
      <c r="C3" s="1"/>
      <c r="D3" s="1"/>
      <c r="E3" s="1"/>
      <c r="F3" s="1"/>
      <c r="G3" s="1"/>
      <c r="H3" s="1"/>
      <c r="I3" s="1"/>
      <c r="J3" s="1"/>
      <c r="K3" s="1"/>
      <c r="L3" s="1"/>
      <c r="M3" s="1"/>
      <c r="N3" s="1"/>
      <c r="O3" s="1"/>
      <c r="P3" s="1"/>
      <c r="Q3" s="1"/>
      <c r="R3" s="1"/>
      <c r="S3" s="1"/>
      <c r="T3" s="1"/>
      <c r="U3" s="1"/>
      <c r="V3" s="1"/>
      <c r="W3" s="1"/>
      <c r="X3" s="1"/>
      <c r="Y3" s="1"/>
      <c r="Z3" s="1"/>
      <c r="AA3" s="98"/>
      <c r="AB3" s="4"/>
      <c r="AC3" s="4"/>
      <c r="AD3" s="4"/>
      <c r="AE3" s="7"/>
      <c r="AF3" s="4"/>
      <c r="AG3" s="4"/>
      <c r="AH3" s="7"/>
      <c r="AI3" s="4"/>
      <c r="AJ3" s="4" t="s">
        <v>730</v>
      </c>
      <c r="AK3" s="4"/>
      <c r="AL3" s="7"/>
      <c r="AM3" s="4"/>
      <c r="AN3" s="4"/>
      <c r="AO3" s="98"/>
      <c r="AP3" s="4"/>
      <c r="AQ3" s="4" t="s">
        <v>730</v>
      </c>
      <c r="AR3" s="4"/>
      <c r="AS3" s="7"/>
      <c r="AT3" s="4"/>
      <c r="AU3" s="4"/>
      <c r="AV3" s="7"/>
      <c r="AW3" s="4"/>
      <c r="AX3" s="4"/>
      <c r="AY3" s="4"/>
      <c r="AZ3" s="4"/>
      <c r="BA3" s="7"/>
      <c r="BB3" s="4"/>
      <c r="BC3" s="4"/>
      <c r="BD3" s="7"/>
      <c r="BE3" s="4"/>
      <c r="BF3" s="4"/>
      <c r="BG3" s="4"/>
      <c r="BH3" s="4"/>
      <c r="BI3" s="7"/>
      <c r="BJ3" s="4"/>
      <c r="BK3" s="4"/>
      <c r="BL3" s="7"/>
      <c r="BM3" s="4"/>
      <c r="BN3" s="4"/>
      <c r="BO3" s="7"/>
      <c r="BP3" s="4"/>
      <c r="BQ3" s="4"/>
    </row>
    <row r="4" spans="1:128" x14ac:dyDescent="0.2">
      <c r="A4" s="1"/>
      <c r="B4" s="1"/>
      <c r="C4" s="1"/>
      <c r="D4" s="1"/>
      <c r="E4" s="1"/>
      <c r="F4" s="1"/>
      <c r="G4" s="1"/>
      <c r="H4" s="1"/>
      <c r="I4" s="1"/>
      <c r="J4" s="1"/>
      <c r="K4" s="1"/>
      <c r="L4" s="1"/>
      <c r="M4" s="1"/>
      <c r="N4" s="1"/>
      <c r="O4" s="1"/>
      <c r="P4" s="1"/>
      <c r="Q4" s="1"/>
      <c r="R4" s="1"/>
      <c r="S4" s="1"/>
      <c r="T4" s="1"/>
      <c r="U4" s="1"/>
      <c r="V4" s="1"/>
      <c r="W4" s="1"/>
      <c r="X4" s="1"/>
      <c r="Y4" s="1"/>
      <c r="Z4" s="1"/>
      <c r="AA4" s="98"/>
      <c r="BK4" s="4"/>
      <c r="BL4" s="7"/>
      <c r="BM4" s="4"/>
      <c r="BN4" s="4"/>
      <c r="BP4" s="4"/>
      <c r="BQ4" s="4"/>
    </row>
    <row r="5" spans="1:128" x14ac:dyDescent="0.2">
      <c r="A5" s="265"/>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6"/>
      <c r="AB5" s="25"/>
      <c r="AC5" s="280"/>
      <c r="AD5" s="25"/>
      <c r="AE5" s="267"/>
      <c r="AF5" s="25"/>
      <c r="AG5" s="25"/>
      <c r="AH5" s="267"/>
      <c r="AI5" s="25"/>
      <c r="AJ5" s="25"/>
      <c r="AK5" s="25"/>
      <c r="AL5" s="267"/>
      <c r="AM5" s="25"/>
      <c r="AN5" s="25"/>
      <c r="AO5" s="266"/>
      <c r="AP5" s="25"/>
      <c r="AQ5" s="41">
        <f>SUM(AQ13,AJ13)</f>
        <v>-115199.99998482506</v>
      </c>
      <c r="AR5" s="25"/>
      <c r="AS5" s="267"/>
      <c r="AT5" s="25"/>
      <c r="AU5" s="25"/>
      <c r="AV5" s="267"/>
      <c r="AW5" s="25"/>
      <c r="AX5" s="25"/>
      <c r="AY5" s="25"/>
      <c r="AZ5" s="25"/>
      <c r="BA5" s="267"/>
      <c r="BB5" s="25"/>
      <c r="BC5" s="25"/>
      <c r="BD5" s="267"/>
      <c r="BE5" s="25"/>
      <c r="BF5" s="25"/>
      <c r="BG5" s="25"/>
      <c r="BH5" s="25"/>
      <c r="BI5" s="267"/>
      <c r="BJ5" s="25"/>
      <c r="BK5" s="4"/>
      <c r="BL5" s="7"/>
      <c r="BM5" s="4"/>
      <c r="BN5" s="4"/>
      <c r="BO5" s="267"/>
      <c r="BP5" s="4"/>
      <c r="BQ5" s="4"/>
    </row>
    <row r="6" spans="1:128" x14ac:dyDescent="0.2">
      <c r="A6" s="1"/>
      <c r="B6" s="1"/>
      <c r="C6" s="1"/>
      <c r="D6" s="1"/>
      <c r="E6" s="1"/>
      <c r="F6" s="1"/>
      <c r="G6" s="1"/>
      <c r="H6" s="1"/>
      <c r="I6" s="1"/>
      <c r="J6" s="1"/>
      <c r="K6" s="1"/>
      <c r="L6" s="1"/>
      <c r="M6" s="1"/>
      <c r="N6" s="1"/>
      <c r="O6" s="1"/>
      <c r="P6" s="1"/>
      <c r="Q6" s="1"/>
      <c r="R6" s="1"/>
      <c r="S6" s="1"/>
      <c r="T6" s="1"/>
      <c r="U6" s="1"/>
      <c r="V6" s="1"/>
      <c r="W6" s="1"/>
      <c r="X6" s="1"/>
      <c r="Y6" s="1"/>
      <c r="Z6" s="1"/>
      <c r="AA6" s="98"/>
      <c r="AB6" s="4"/>
      <c r="AC6" s="279"/>
      <c r="AD6" s="4"/>
      <c r="AE6" s="7"/>
      <c r="AF6" s="4"/>
      <c r="AG6" s="4"/>
      <c r="AH6" s="7"/>
      <c r="AI6" s="4"/>
      <c r="AJ6" s="4"/>
      <c r="AK6" s="4"/>
      <c r="AL6" s="7"/>
      <c r="AM6" s="4"/>
      <c r="AN6" s="4"/>
      <c r="AO6" s="98"/>
      <c r="AP6" s="4"/>
      <c r="AQ6" s="4"/>
      <c r="AR6" s="4"/>
      <c r="AS6" s="7"/>
      <c r="AT6" s="4"/>
      <c r="AU6" s="4"/>
      <c r="AV6" s="7"/>
      <c r="AW6" s="4"/>
      <c r="AX6" s="4"/>
      <c r="AY6" s="4"/>
      <c r="AZ6" s="4"/>
      <c r="BA6" s="7"/>
      <c r="BB6" s="4"/>
      <c r="BC6" s="4"/>
      <c r="BD6" s="7"/>
      <c r="BE6" s="4"/>
      <c r="BF6" s="4"/>
      <c r="BG6" s="4"/>
      <c r="BH6" s="4"/>
      <c r="BI6" s="7"/>
      <c r="BJ6" s="4"/>
      <c r="BK6" s="4"/>
      <c r="BL6" s="7"/>
      <c r="BM6" s="4"/>
      <c r="BN6" s="4"/>
      <c r="BO6" s="7"/>
      <c r="BP6" s="4"/>
      <c r="BQ6" s="4"/>
    </row>
    <row r="7" spans="1:128" x14ac:dyDescent="0.2">
      <c r="A7" s="1"/>
      <c r="B7" s="1"/>
      <c r="C7" s="1"/>
      <c r="D7" s="1"/>
      <c r="E7" s="1"/>
      <c r="F7" s="1"/>
      <c r="G7" s="1"/>
      <c r="H7" s="1"/>
      <c r="I7" s="1"/>
      <c r="J7" s="1"/>
      <c r="K7" s="1"/>
      <c r="L7" s="1"/>
      <c r="M7" s="1"/>
      <c r="N7" s="1"/>
      <c r="O7" s="1"/>
      <c r="P7" s="1"/>
      <c r="Q7" s="1"/>
      <c r="R7" s="1"/>
      <c r="S7" s="1"/>
      <c r="T7" s="1"/>
      <c r="U7" s="1"/>
      <c r="V7" s="1"/>
      <c r="W7" s="1"/>
      <c r="X7" s="1"/>
      <c r="Y7" s="1"/>
      <c r="Z7" s="1"/>
      <c r="AA7" s="98"/>
      <c r="AB7" s="108">
        <v>2020</v>
      </c>
      <c r="AC7" s="108">
        <v>2020</v>
      </c>
      <c r="AD7" s="108">
        <v>2020</v>
      </c>
      <c r="AE7" s="108">
        <v>2020</v>
      </c>
      <c r="AF7" s="108">
        <v>2020</v>
      </c>
      <c r="AG7" s="108">
        <v>2020</v>
      </c>
      <c r="AH7" s="120"/>
      <c r="AI7" s="108">
        <v>2021</v>
      </c>
      <c r="AJ7" s="108">
        <v>2021</v>
      </c>
      <c r="AK7" s="108">
        <v>2021</v>
      </c>
      <c r="AL7" s="108">
        <v>2021</v>
      </c>
      <c r="AM7" s="108">
        <v>2021</v>
      </c>
      <c r="AN7" s="108">
        <v>2021</v>
      </c>
      <c r="AO7" s="98"/>
      <c r="AP7" s="108">
        <v>2022</v>
      </c>
      <c r="AQ7" s="108">
        <v>2022</v>
      </c>
      <c r="AR7" s="108">
        <v>2022</v>
      </c>
      <c r="AS7" s="108">
        <v>2022</v>
      </c>
      <c r="AT7" s="108">
        <v>2022</v>
      </c>
      <c r="AU7" s="108">
        <v>2022</v>
      </c>
      <c r="AV7" s="7"/>
      <c r="AW7" s="108">
        <v>2023</v>
      </c>
      <c r="AX7" s="108"/>
      <c r="AY7" s="108"/>
      <c r="AZ7" s="108">
        <v>2023</v>
      </c>
      <c r="BA7" s="108">
        <v>2023</v>
      </c>
      <c r="BB7" s="108">
        <v>2023</v>
      </c>
      <c r="BC7" s="108">
        <v>2023</v>
      </c>
      <c r="BD7" s="7"/>
      <c r="BE7" s="108">
        <v>2024</v>
      </c>
      <c r="BF7" s="108"/>
      <c r="BG7" s="108"/>
      <c r="BH7" s="108">
        <v>2024</v>
      </c>
      <c r="BI7" s="108">
        <v>2023</v>
      </c>
      <c r="BJ7" s="108">
        <v>2024</v>
      </c>
      <c r="BK7" s="108">
        <v>2024</v>
      </c>
      <c r="BL7" s="7"/>
      <c r="BM7" s="108">
        <v>2025</v>
      </c>
      <c r="BN7" s="108">
        <v>2025</v>
      </c>
      <c r="BO7" s="108">
        <v>2023</v>
      </c>
      <c r="BP7" s="108">
        <v>2025</v>
      </c>
      <c r="BQ7" s="108">
        <v>2025</v>
      </c>
    </row>
    <row r="8" spans="1:128" x14ac:dyDescent="0.2">
      <c r="A8" s="1" t="s">
        <v>781</v>
      </c>
      <c r="B8" s="1"/>
      <c r="C8" s="19"/>
      <c r="D8" s="19"/>
      <c r="E8" s="19"/>
      <c r="F8" s="19"/>
      <c r="G8" s="19"/>
      <c r="H8" s="19"/>
      <c r="I8" s="19"/>
      <c r="J8" s="19"/>
      <c r="K8" s="19"/>
      <c r="L8" s="19"/>
      <c r="M8" s="19"/>
      <c r="N8" s="19"/>
      <c r="O8" s="19"/>
      <c r="P8" s="19"/>
      <c r="Q8" s="19"/>
      <c r="R8" s="19"/>
      <c r="S8" s="19"/>
      <c r="T8" s="19"/>
      <c r="U8" s="19"/>
      <c r="V8" s="19"/>
      <c r="W8" s="19"/>
      <c r="X8" s="19"/>
      <c r="Y8" s="19"/>
      <c r="Z8" s="19"/>
      <c r="AA8" s="168"/>
      <c r="AB8" s="4"/>
      <c r="AC8" s="4"/>
      <c r="AD8" s="4"/>
      <c r="AE8" s="269"/>
      <c r="AF8" s="4"/>
      <c r="AG8" s="268" t="s">
        <v>317</v>
      </c>
      <c r="AH8" s="269"/>
      <c r="AI8" s="4"/>
      <c r="AJ8" s="4"/>
      <c r="AK8" s="4"/>
      <c r="AL8" s="269"/>
      <c r="AM8" s="4"/>
      <c r="AN8" s="268"/>
      <c r="AO8" s="168"/>
      <c r="AP8" s="351"/>
      <c r="AQ8" s="351"/>
      <c r="AR8" s="351"/>
      <c r="AS8" s="269"/>
      <c r="AT8" s="351"/>
      <c r="AU8" s="268"/>
      <c r="AV8" s="269"/>
      <c r="AW8" s="351"/>
      <c r="AX8" s="351"/>
      <c r="AY8" s="351"/>
      <c r="AZ8" s="351"/>
      <c r="BA8" s="269"/>
      <c r="BB8" s="8"/>
      <c r="BC8" s="268"/>
      <c r="BD8" s="269"/>
      <c r="BE8" s="351"/>
      <c r="BF8" s="352"/>
      <c r="BG8" s="351"/>
      <c r="BH8" s="351"/>
      <c r="BI8" s="269"/>
      <c r="BJ8" s="4"/>
      <c r="BK8" s="268"/>
      <c r="BL8" s="269"/>
      <c r="BM8" s="351"/>
      <c r="BN8" s="351"/>
      <c r="BO8" s="269"/>
      <c r="BP8" s="4"/>
      <c r="BQ8" s="268" t="s">
        <v>796</v>
      </c>
      <c r="BR8" s="269"/>
      <c r="BS8" s="351"/>
      <c r="BT8" s="351"/>
      <c r="BU8" s="351"/>
      <c r="BV8" s="351"/>
      <c r="BW8" s="269"/>
      <c r="BY8" s="268" t="s">
        <v>796</v>
      </c>
      <c r="CE8" s="4" t="s">
        <v>796</v>
      </c>
      <c r="CK8" s="4" t="s">
        <v>796</v>
      </c>
      <c r="CU8" s="4" t="s">
        <v>307</v>
      </c>
      <c r="CV8" s="41">
        <f t="shared" ref="CV8:DB8" si="0">MIN(CV15:CV307)</f>
        <v>-3286.0482844712778</v>
      </c>
      <c r="CW8" s="41">
        <f t="shared" si="0"/>
        <v>-510180.2210725206</v>
      </c>
      <c r="CX8" s="41">
        <f t="shared" si="0"/>
        <v>-5254.8893882594284</v>
      </c>
      <c r="CY8" s="41">
        <f t="shared" si="0"/>
        <v>-610.43303934307187</v>
      </c>
      <c r="CZ8" s="41" t="e">
        <f t="shared" si="0"/>
        <v>#DIV/0!</v>
      </c>
      <c r="DA8" s="41" t="e">
        <f t="shared" si="0"/>
        <v>#DIV/0!</v>
      </c>
      <c r="DB8" s="41" t="e">
        <f t="shared" si="0"/>
        <v>#DIV/0!</v>
      </c>
      <c r="DC8" s="41" t="e">
        <f t="shared" ref="DC8" si="1">MIN(DC15:DC307)</f>
        <v>#DIV/0!</v>
      </c>
      <c r="DD8" s="41"/>
      <c r="DE8" s="356" t="e">
        <f t="shared" ref="DE8:DK8" si="2">MIN(DE15:DE307)</f>
        <v>#DIV/0!</v>
      </c>
      <c r="DF8" s="356" t="e">
        <f t="shared" si="2"/>
        <v>#DIV/0!</v>
      </c>
      <c r="DG8" s="356">
        <f t="shared" si="2"/>
        <v>-1.3553602770905149</v>
      </c>
      <c r="DH8" s="356">
        <f t="shared" si="2"/>
        <v>-15.127360217728867</v>
      </c>
      <c r="DI8" s="356" t="e">
        <f t="shared" si="2"/>
        <v>#DIV/0!</v>
      </c>
      <c r="DJ8" s="356" t="e">
        <f t="shared" si="2"/>
        <v>#DIV/0!</v>
      </c>
      <c r="DK8" s="356" t="e">
        <f t="shared" si="2"/>
        <v>#DIV/0!</v>
      </c>
      <c r="DL8" s="356" t="e">
        <f t="shared" ref="DL8" si="3">MIN(DL15:DL307)</f>
        <v>#DIV/0!</v>
      </c>
    </row>
    <row r="9" spans="1:128" s="120" customFormat="1" x14ac:dyDescent="0.2">
      <c r="A9" s="109" t="s">
        <v>311</v>
      </c>
      <c r="B9" s="109"/>
      <c r="C9" s="110"/>
      <c r="D9" s="110"/>
      <c r="E9" s="110"/>
      <c r="F9" s="110"/>
      <c r="G9" s="110"/>
      <c r="H9" s="110">
        <v>2016</v>
      </c>
      <c r="I9" s="110"/>
      <c r="J9" s="110"/>
      <c r="K9" s="110"/>
      <c r="L9" s="110"/>
      <c r="M9" s="110"/>
      <c r="N9" s="110">
        <v>2017</v>
      </c>
      <c r="O9" s="110"/>
      <c r="P9" s="110"/>
      <c r="Q9" s="110"/>
      <c r="R9" s="110"/>
      <c r="S9" s="110"/>
      <c r="T9" s="110">
        <v>2018</v>
      </c>
      <c r="U9" s="110"/>
      <c r="V9" s="110"/>
      <c r="W9" s="110"/>
      <c r="X9" s="110"/>
      <c r="Y9" s="110"/>
      <c r="Z9" s="109">
        <v>2019</v>
      </c>
      <c r="AA9" s="104"/>
      <c r="AB9" s="108"/>
      <c r="AC9" s="108"/>
      <c r="AD9" s="108"/>
      <c r="AE9" s="108"/>
      <c r="AF9" s="108"/>
      <c r="AG9" s="108">
        <v>2020</v>
      </c>
      <c r="AI9" s="108"/>
      <c r="AJ9" s="108"/>
      <c r="AK9" s="108"/>
      <c r="AL9" s="108"/>
      <c r="AM9" s="108"/>
      <c r="AN9" s="108">
        <v>2021</v>
      </c>
      <c r="AO9" s="104"/>
      <c r="AP9" s="108"/>
      <c r="AQ9" s="108"/>
      <c r="AR9" s="108"/>
      <c r="AS9" s="108"/>
      <c r="AT9" s="108" t="s">
        <v>635</v>
      </c>
      <c r="AU9" s="108">
        <v>2022</v>
      </c>
      <c r="AW9" s="108"/>
      <c r="AX9" s="108"/>
      <c r="AY9" s="108"/>
      <c r="AZ9" s="108"/>
      <c r="BA9" s="108"/>
      <c r="BB9" s="108"/>
      <c r="BC9" s="108">
        <v>2023</v>
      </c>
      <c r="BE9" s="108"/>
      <c r="BF9" s="108"/>
      <c r="BG9" s="108"/>
      <c r="BH9" s="108"/>
      <c r="BI9" s="108"/>
      <c r="BJ9" s="108" t="s">
        <v>635</v>
      </c>
      <c r="BK9" s="108">
        <v>2024</v>
      </c>
      <c r="BM9" s="108"/>
      <c r="BN9" s="108"/>
      <c r="BO9" s="108"/>
      <c r="BP9" s="108" t="s">
        <v>635</v>
      </c>
      <c r="BQ9" s="108">
        <v>2025</v>
      </c>
      <c r="BS9" s="108"/>
      <c r="BT9" s="108"/>
      <c r="BU9" s="108"/>
      <c r="BV9" s="108"/>
      <c r="BW9" s="108"/>
      <c r="BX9" s="108" t="s">
        <v>635</v>
      </c>
      <c r="BY9" s="108">
        <v>2026</v>
      </c>
      <c r="CA9" s="108"/>
      <c r="CB9" s="108"/>
      <c r="CC9" s="108"/>
      <c r="CD9" s="108" t="s">
        <v>635</v>
      </c>
      <c r="CE9" s="108">
        <v>2027</v>
      </c>
      <c r="CF9" s="108"/>
      <c r="CG9" s="108"/>
      <c r="CH9" s="108"/>
      <c r="CI9" s="108"/>
      <c r="CJ9" s="108" t="s">
        <v>635</v>
      </c>
      <c r="CK9" s="108">
        <v>2028</v>
      </c>
      <c r="CL9" s="108"/>
      <c r="CU9" s="7" t="s">
        <v>308</v>
      </c>
      <c r="CV9" s="126">
        <f t="shared" ref="CV9:DB9" si="4">MAX(CV15:CV307)</f>
        <v>484149.59484304534</v>
      </c>
      <c r="CW9" s="126">
        <f t="shared" si="4"/>
        <v>5510.2598107210642</v>
      </c>
      <c r="CX9" s="126">
        <f t="shared" si="4"/>
        <v>1374.746674394479</v>
      </c>
      <c r="CY9" s="126">
        <f t="shared" si="4"/>
        <v>654.04470517725963</v>
      </c>
      <c r="CZ9" s="126" t="e">
        <f t="shared" si="4"/>
        <v>#DIV/0!</v>
      </c>
      <c r="DA9" s="126" t="e">
        <f t="shared" si="4"/>
        <v>#DIV/0!</v>
      </c>
      <c r="DB9" s="126" t="e">
        <f t="shared" si="4"/>
        <v>#DIV/0!</v>
      </c>
      <c r="DC9" s="126" t="e">
        <f t="shared" ref="DC9" si="5">MAX(DC15:DC307)</f>
        <v>#DIV/0!</v>
      </c>
      <c r="DD9" s="126"/>
      <c r="DE9" s="374" t="e">
        <f t="shared" ref="DE9:DK9" si="6">MAX(DE15:DE307)</f>
        <v>#DIV/0!</v>
      </c>
      <c r="DF9" s="374" t="e">
        <f t="shared" si="6"/>
        <v>#DIV/0!</v>
      </c>
      <c r="DG9" s="374">
        <f t="shared" si="6"/>
        <v>3.5538669601870674</v>
      </c>
      <c r="DH9" s="374">
        <f t="shared" si="6"/>
        <v>2.9661309778018232</v>
      </c>
      <c r="DI9" s="374" t="e">
        <f t="shared" si="6"/>
        <v>#DIV/0!</v>
      </c>
      <c r="DJ9" s="374" t="e">
        <f t="shared" si="6"/>
        <v>#DIV/0!</v>
      </c>
      <c r="DK9" s="374" t="e">
        <f t="shared" si="6"/>
        <v>#DIV/0!</v>
      </c>
      <c r="DL9" s="374" t="e">
        <f t="shared" ref="DL9" si="7">MAX(DL15:DL307)</f>
        <v>#DIV/0!</v>
      </c>
    </row>
    <row r="10" spans="1:128" x14ac:dyDescent="0.2">
      <c r="A10" s="1" t="s">
        <v>623</v>
      </c>
      <c r="B10" s="1"/>
      <c r="C10" s="270"/>
      <c r="D10" s="270"/>
      <c r="E10" s="270"/>
      <c r="F10" s="270"/>
      <c r="G10" s="270"/>
      <c r="H10" s="270"/>
      <c r="I10" s="270"/>
      <c r="J10" s="270"/>
      <c r="K10" s="270"/>
      <c r="L10" s="270"/>
      <c r="M10" s="270"/>
      <c r="N10" s="270">
        <f t="shared" ref="N10:Z10" si="8">(N13/H13-1)*100</f>
        <v>-3.0643727478463223</v>
      </c>
      <c r="O10" s="270"/>
      <c r="P10" s="270"/>
      <c r="Q10" s="270"/>
      <c r="R10" s="270"/>
      <c r="S10" s="270"/>
      <c r="T10" s="270">
        <f t="shared" si="8"/>
        <v>-0.43138231901169721</v>
      </c>
      <c r="U10" s="270"/>
      <c r="V10" s="270"/>
      <c r="W10" s="270"/>
      <c r="X10" s="270"/>
      <c r="Y10" s="270"/>
      <c r="Z10" s="270">
        <f t="shared" si="8"/>
        <v>2.1762484546377525</v>
      </c>
      <c r="AA10" s="271"/>
      <c r="AB10" s="270"/>
      <c r="AC10" s="270"/>
      <c r="AD10" s="270"/>
      <c r="AE10" s="271"/>
      <c r="AF10" s="270"/>
      <c r="AG10" s="270">
        <f>(AG13/Z13-1)*100</f>
        <v>26.994511972233504</v>
      </c>
      <c r="AH10" s="271"/>
      <c r="AI10" s="270">
        <f>(AI13/AB13-1)*100</f>
        <v>-10.669508447583475</v>
      </c>
      <c r="AJ10" s="270">
        <f>(AJ13/AC13-1)*100</f>
        <v>-177.28070175424537</v>
      </c>
      <c r="AK10" s="270">
        <f>(AK13/AD13-1)*100</f>
        <v>7.977082362425536</v>
      </c>
      <c r="AL10" s="271"/>
      <c r="AM10" s="270">
        <f>(AM13/AF13-1)*100</f>
        <v>56.126533701520898</v>
      </c>
      <c r="AN10" s="270">
        <f>(AN13/AG13-1)*100</f>
        <v>-8.9866455897364865</v>
      </c>
      <c r="AO10" s="272"/>
      <c r="AP10" s="270">
        <f>(AP13/AI13-1)*100</f>
        <v>3.9511140442085813</v>
      </c>
      <c r="AQ10" s="270">
        <f>(AQ13/AJ13-1)*100</f>
        <v>-69.239500567601155</v>
      </c>
      <c r="AR10" s="270">
        <f>(AR13/AK13-1)*100</f>
        <v>13.326529918409079</v>
      </c>
      <c r="AS10" s="271"/>
      <c r="AT10" s="270">
        <f>(AT13/AM13-1)*100</f>
        <v>-104.11944137864215</v>
      </c>
      <c r="AU10" s="270">
        <f>(AU13/AN13-1)*100</f>
        <v>7.3140703536562546</v>
      </c>
      <c r="AV10" s="271"/>
      <c r="AW10" s="270">
        <f>(AW13/AP13-1)*100</f>
        <v>-65.52757223998816</v>
      </c>
      <c r="AX10" s="270"/>
      <c r="AY10" s="270"/>
      <c r="AZ10" s="270">
        <f>(AZ13/AR13-1)*100</f>
        <v>-69.349900954439008</v>
      </c>
      <c r="BA10" s="271"/>
      <c r="BB10" s="270">
        <f>(BB13/AT13-1)*100</f>
        <v>517.82850056496864</v>
      </c>
      <c r="BC10" s="270">
        <f>(BC13/AU13-1)*100</f>
        <v>-66.239123403189737</v>
      </c>
      <c r="BD10" s="271"/>
      <c r="BE10" s="270">
        <f>(BE13/AW13-1)*100</f>
        <v>-10.027459078101742</v>
      </c>
      <c r="BF10" s="270"/>
      <c r="BG10" s="270"/>
      <c r="BH10" s="270">
        <f>(BH13/AZ13-1)*100</f>
        <v>-0.35252643948293638</v>
      </c>
      <c r="BI10" s="271"/>
      <c r="BJ10" s="270">
        <f>(BJ13/BB13-1)*100</f>
        <v>277.28632071387636</v>
      </c>
      <c r="BK10" s="270">
        <f>(BK13/BC13-1)*100</f>
        <v>-6.8247317950108748</v>
      </c>
      <c r="BL10" s="271"/>
      <c r="BM10" s="270">
        <f>(BM13/BE13-1)*100</f>
        <v>34.522438903119188</v>
      </c>
      <c r="BN10" s="270">
        <f>(BN13/BH13-1)*100</f>
        <v>-36.261792452830186</v>
      </c>
      <c r="BO10" s="271"/>
      <c r="BP10" s="270">
        <f>(BP13/BJ13-1)*100</f>
        <v>0.68817811851751287</v>
      </c>
      <c r="BQ10" s="270">
        <f>(BQ13/BK13-1)*100</f>
        <v>16.157820008316758</v>
      </c>
      <c r="BR10" s="271"/>
      <c r="BS10" s="270">
        <f>(BS13/BM13-1)*100</f>
        <v>3.1575043717168461</v>
      </c>
      <c r="BT10" s="270"/>
      <c r="BU10" s="270"/>
      <c r="BV10" s="270">
        <f>(BV13/BN13-1)*100</f>
        <v>6.7530064754856234</v>
      </c>
      <c r="BW10" s="271"/>
      <c r="BX10" s="270">
        <f>(BX13/BP13-1)*100</f>
        <v>0</v>
      </c>
      <c r="BY10" s="270">
        <f>(BY13/BQ13-1)*100</f>
        <v>3.6083937324542736</v>
      </c>
      <c r="CA10" s="270">
        <f>(CA13/BS13-1)*100</f>
        <v>1.2351776095831379</v>
      </c>
      <c r="CB10" s="270">
        <f>(CB13/BV13-1)*100</f>
        <v>7.6256499133448896</v>
      </c>
      <c r="CC10" s="271"/>
      <c r="CD10" s="270">
        <f>(CD13/BX13-1)*100</f>
        <v>0</v>
      </c>
      <c r="CE10" s="270">
        <f>(CE13/BY13-1)*100</f>
        <v>2.1268176043061748</v>
      </c>
      <c r="CF10" s="270"/>
      <c r="CG10" s="270">
        <f>(CG13/CA13-1)*100</f>
        <v>8.4099169783165237</v>
      </c>
      <c r="CH10" s="270">
        <f>(CH13/CB13-1)*100</f>
        <v>5.9581320450884601</v>
      </c>
      <c r="CI10" s="271"/>
      <c r="CJ10" s="270">
        <f>(CJ13/CD13-1)*100</f>
        <v>0</v>
      </c>
      <c r="CK10" s="270">
        <f>(CK13/CE13-1)*100</f>
        <v>7.9283298239689382</v>
      </c>
      <c r="CL10" s="270"/>
      <c r="CM10" s="4" t="s">
        <v>763</v>
      </c>
      <c r="CN10" s="4" t="s">
        <v>763</v>
      </c>
      <c r="CO10" s="4" t="s">
        <v>763</v>
      </c>
      <c r="CP10" s="4" t="s">
        <v>763</v>
      </c>
      <c r="CQ10" s="4" t="s">
        <v>763</v>
      </c>
      <c r="CU10" s="8" t="s">
        <v>764</v>
      </c>
      <c r="DE10" s="8" t="s">
        <v>797</v>
      </c>
    </row>
    <row r="11" spans="1:128" ht="12" thickBot="1" x14ac:dyDescent="0.25">
      <c r="A11" s="43" t="s">
        <v>624</v>
      </c>
      <c r="B11" s="43"/>
      <c r="C11" s="70"/>
      <c r="D11" s="70"/>
      <c r="E11" s="70"/>
      <c r="F11" s="70"/>
      <c r="G11" s="70"/>
      <c r="H11" s="70"/>
      <c r="I11" s="70">
        <f t="shared" ref="I11:Z11" si="9">I13-C13</f>
        <v>0</v>
      </c>
      <c r="J11" s="70">
        <f t="shared" si="9"/>
        <v>0</v>
      </c>
      <c r="K11" s="70">
        <f t="shared" si="9"/>
        <v>0</v>
      </c>
      <c r="L11" s="70">
        <f t="shared" si="9"/>
        <v>0</v>
      </c>
      <c r="M11" s="70">
        <f t="shared" si="9"/>
        <v>0</v>
      </c>
      <c r="N11" s="70">
        <f t="shared" si="9"/>
        <v>-268497</v>
      </c>
      <c r="O11" s="70">
        <f t="shared" si="9"/>
        <v>0</v>
      </c>
      <c r="P11" s="70">
        <f t="shared" si="9"/>
        <v>0</v>
      </c>
      <c r="Q11" s="70">
        <f t="shared" si="9"/>
        <v>0</v>
      </c>
      <c r="R11" s="70">
        <f t="shared" si="9"/>
        <v>0</v>
      </c>
      <c r="S11" s="70">
        <f t="shared" si="9"/>
        <v>0</v>
      </c>
      <c r="T11" s="70">
        <f t="shared" si="9"/>
        <v>-36639</v>
      </c>
      <c r="U11" s="70">
        <f t="shared" si="9"/>
        <v>0</v>
      </c>
      <c r="V11" s="70">
        <f t="shared" si="9"/>
        <v>0</v>
      </c>
      <c r="W11" s="70">
        <f t="shared" si="9"/>
        <v>0</v>
      </c>
      <c r="X11" s="70">
        <f t="shared" si="9"/>
        <v>0</v>
      </c>
      <c r="Y11" s="70">
        <f t="shared" si="9"/>
        <v>0</v>
      </c>
      <c r="Z11" s="70">
        <f t="shared" si="9"/>
        <v>184040</v>
      </c>
      <c r="AA11" s="181"/>
      <c r="AB11" s="70">
        <f>AB13-U13</f>
        <v>8567597.9727859255</v>
      </c>
      <c r="AC11" s="70"/>
      <c r="AD11" s="70">
        <f>AD13-W13</f>
        <v>2269000.0150000015</v>
      </c>
      <c r="AE11" s="181"/>
      <c r="AF11" s="70">
        <f>AF13-X13</f>
        <v>-37262.546999999984</v>
      </c>
      <c r="AG11" s="70">
        <f>AG13-Z13</f>
        <v>2332540.4407711532</v>
      </c>
      <c r="AH11" s="181"/>
      <c r="AI11" s="70">
        <f t="shared" ref="AI11:AN11" si="10">AI13-AB13</f>
        <v>-914120.58946138527</v>
      </c>
      <c r="AJ11" s="70">
        <f t="shared" si="10"/>
        <v>-202099.99997368469</v>
      </c>
      <c r="AK11" s="70">
        <f t="shared" si="10"/>
        <v>180999.99999999814</v>
      </c>
      <c r="AL11" s="70">
        <f t="shared" si="10"/>
        <v>-30000</v>
      </c>
      <c r="AM11" s="70">
        <f t="shared" si="10"/>
        <v>-20914.176000000058</v>
      </c>
      <c r="AN11" s="70">
        <f t="shared" si="10"/>
        <v>-986134.76543505117</v>
      </c>
      <c r="AO11" s="183"/>
      <c r="AP11" s="70">
        <f>AP13-AI13</f>
        <v>302397.61976286396</v>
      </c>
      <c r="AQ11" s="70">
        <f>AQ13-AJ13</f>
        <v>60999.999992051256</v>
      </c>
      <c r="AR11" s="70">
        <f>AR13-AK13</f>
        <v>326499.98500000173</v>
      </c>
      <c r="AS11" s="181"/>
      <c r="AT11" s="70">
        <f>AT13-AM13</f>
        <v>60573.279000000075</v>
      </c>
      <c r="AU11" s="70">
        <f>AU13-AN13</f>
        <v>730470.88375491463</v>
      </c>
      <c r="AV11" s="181"/>
      <c r="AW11" s="70">
        <f>AW13-AP13</f>
        <v>-5213291.7399712596</v>
      </c>
      <c r="AX11" s="70"/>
      <c r="AY11" s="70"/>
      <c r="AZ11" s="70">
        <f>AZ13-AR13</f>
        <v>-1925500.0000000002</v>
      </c>
      <c r="BA11" s="181"/>
      <c r="BB11" s="70">
        <f>BB13-AT13</f>
        <v>12410.049999999948</v>
      </c>
      <c r="BC11" s="70">
        <f>BC13-AU13</f>
        <v>-7099291.6899748687</v>
      </c>
      <c r="BD11" s="181"/>
      <c r="BE11" s="70">
        <f>BE13-AW13</f>
        <v>-275011.41439183895</v>
      </c>
      <c r="BF11" s="70"/>
      <c r="BG11" s="70"/>
      <c r="BH11" s="70">
        <f>BH13-AZ13</f>
        <v>-2999.9999999997672</v>
      </c>
      <c r="BI11" s="181"/>
      <c r="BJ11" s="70">
        <f>BJ13-BB13</f>
        <v>41056.692999999999</v>
      </c>
      <c r="BK11" s="70">
        <f>BK13-BC13</f>
        <v>-246944.7213918427</v>
      </c>
      <c r="BL11" s="181"/>
      <c r="BM11" s="70">
        <f>BM13-BE13</f>
        <v>851865.98386641731</v>
      </c>
      <c r="BN11" s="70">
        <f>BN13-BH13</f>
        <v>-307500.00000000047</v>
      </c>
      <c r="BO11" s="181"/>
      <c r="BP11" s="70">
        <f>BP13-BJ13</f>
        <v>384.43900000001304</v>
      </c>
      <c r="BQ11" s="70">
        <f>BQ13-BK13</f>
        <v>544750.42286642175</v>
      </c>
      <c r="BR11" s="181"/>
      <c r="BS11" s="70">
        <f>BS13-BM13</f>
        <v>104811.39468047488</v>
      </c>
      <c r="BT11" s="70"/>
      <c r="BU11" s="70"/>
      <c r="BV11" s="70">
        <f>BV13-BN13</f>
        <v>36499.999999999884</v>
      </c>
      <c r="BW11" s="181"/>
      <c r="BX11" s="70">
        <f>BX13-BP13</f>
        <v>0</v>
      </c>
      <c r="BY11" s="70">
        <f>BY13-BQ13</f>
        <v>141311.39468047442</v>
      </c>
      <c r="CA11" s="70">
        <f>CA13-BS13</f>
        <v>42295.559751577675</v>
      </c>
      <c r="CB11" s="70">
        <f>CB13-BV13</f>
        <v>44000.000000000116</v>
      </c>
      <c r="CC11" s="181"/>
      <c r="CD11" s="70">
        <f>CD13-BX13</f>
        <v>0</v>
      </c>
      <c r="CE11" s="70">
        <f>CE13-BY13</f>
        <v>86295.559751576278</v>
      </c>
      <c r="CF11" s="70"/>
      <c r="CG11" s="70">
        <f>CG13-CA13</f>
        <v>291533.53860477498</v>
      </c>
      <c r="CH11" s="70">
        <f>CH13-CB13</f>
        <v>36999.999999999418</v>
      </c>
      <c r="CI11" s="181"/>
      <c r="CJ11" s="70">
        <f>CJ13-CD13</f>
        <v>0</v>
      </c>
      <c r="CK11" s="70">
        <f>CK13-CE13</f>
        <v>328533.53860477684</v>
      </c>
      <c r="CL11" s="70"/>
      <c r="CM11" s="120">
        <v>2022</v>
      </c>
      <c r="CN11" s="120">
        <v>2023</v>
      </c>
      <c r="CO11" s="120">
        <v>2024</v>
      </c>
      <c r="CP11" s="120">
        <v>2025</v>
      </c>
      <c r="CQ11" s="120">
        <v>2026</v>
      </c>
      <c r="CR11" s="120">
        <v>2027</v>
      </c>
      <c r="CS11" s="120">
        <v>2028</v>
      </c>
      <c r="CT11" s="120"/>
      <c r="CU11" s="120">
        <v>2020</v>
      </c>
      <c r="CV11" s="120">
        <v>2021</v>
      </c>
      <c r="CW11" s="120">
        <v>2022</v>
      </c>
      <c r="CX11" s="120">
        <v>2023</v>
      </c>
      <c r="CY11" s="120">
        <v>2024</v>
      </c>
      <c r="CZ11" s="120">
        <v>2025</v>
      </c>
      <c r="DA11" s="120">
        <v>2026</v>
      </c>
      <c r="DB11" s="120">
        <v>2027</v>
      </c>
      <c r="DC11" s="120">
        <v>2028</v>
      </c>
      <c r="DD11" s="120"/>
      <c r="DE11" s="120">
        <v>2021</v>
      </c>
      <c r="DF11" s="120">
        <v>2022</v>
      </c>
      <c r="DG11" s="120">
        <v>2023</v>
      </c>
      <c r="DH11" s="120">
        <v>2024</v>
      </c>
      <c r="DI11" s="120">
        <v>2025</v>
      </c>
      <c r="DJ11" s="120">
        <v>2026</v>
      </c>
      <c r="DK11" s="120">
        <v>2027</v>
      </c>
      <c r="DL11" s="120">
        <v>2028</v>
      </c>
    </row>
    <row r="12" spans="1:128" ht="12" thickBot="1" x14ac:dyDescent="0.25">
      <c r="A12" s="49" t="s">
        <v>326</v>
      </c>
      <c r="B12" s="50" t="s">
        <v>327</v>
      </c>
      <c r="C12" s="61" t="s">
        <v>633</v>
      </c>
      <c r="D12" s="62" t="s">
        <v>630</v>
      </c>
      <c r="E12" s="62" t="s">
        <v>634</v>
      </c>
      <c r="F12" s="62" t="s">
        <v>303</v>
      </c>
      <c r="G12" s="62" t="s">
        <v>631</v>
      </c>
      <c r="H12" s="63" t="s">
        <v>632</v>
      </c>
      <c r="I12" s="61" t="s">
        <v>633</v>
      </c>
      <c r="J12" s="62" t="s">
        <v>630</v>
      </c>
      <c r="K12" s="62" t="s">
        <v>634</v>
      </c>
      <c r="L12" s="62" t="s">
        <v>303</v>
      </c>
      <c r="M12" s="62" t="s">
        <v>631</v>
      </c>
      <c r="N12" s="63" t="s">
        <v>632</v>
      </c>
      <c r="O12" s="61" t="s">
        <v>633</v>
      </c>
      <c r="P12" s="62" t="s">
        <v>630</v>
      </c>
      <c r="Q12" s="62" t="s">
        <v>634</v>
      </c>
      <c r="R12" s="62" t="s">
        <v>303</v>
      </c>
      <c r="S12" s="62" t="s">
        <v>631</v>
      </c>
      <c r="T12" s="63" t="s">
        <v>632</v>
      </c>
      <c r="U12" s="61" t="s">
        <v>633</v>
      </c>
      <c r="V12" s="62" t="s">
        <v>630</v>
      </c>
      <c r="W12" s="62" t="s">
        <v>634</v>
      </c>
      <c r="X12" s="62" t="s">
        <v>303</v>
      </c>
      <c r="Y12" s="62" t="s">
        <v>631</v>
      </c>
      <c r="Z12" s="63" t="s">
        <v>632</v>
      </c>
      <c r="AA12" s="182"/>
      <c r="AB12" s="61" t="s">
        <v>633</v>
      </c>
      <c r="AC12" s="62" t="s">
        <v>729</v>
      </c>
      <c r="AD12" s="62" t="s">
        <v>634</v>
      </c>
      <c r="AE12" s="313" t="s">
        <v>762</v>
      </c>
      <c r="AF12" s="62" t="s">
        <v>303</v>
      </c>
      <c r="AG12" s="63" t="s">
        <v>632</v>
      </c>
      <c r="AH12" s="182"/>
      <c r="AI12" s="61" t="s">
        <v>633</v>
      </c>
      <c r="AJ12" s="62" t="s">
        <v>767</v>
      </c>
      <c r="AK12" s="62" t="s">
        <v>634</v>
      </c>
      <c r="AL12" s="313" t="s">
        <v>762</v>
      </c>
      <c r="AM12" s="62" t="s">
        <v>303</v>
      </c>
      <c r="AN12" s="63" t="s">
        <v>632</v>
      </c>
      <c r="AO12" s="184"/>
      <c r="AP12" s="61" t="s">
        <v>633</v>
      </c>
      <c r="AQ12" s="62" t="s">
        <v>767</v>
      </c>
      <c r="AR12" s="62" t="s">
        <v>634</v>
      </c>
      <c r="AS12" s="313" t="s">
        <v>762</v>
      </c>
      <c r="AT12" s="62" t="s">
        <v>303</v>
      </c>
      <c r="AU12" s="63" t="s">
        <v>632</v>
      </c>
      <c r="AV12" s="182"/>
      <c r="AW12" s="61" t="s">
        <v>633</v>
      </c>
      <c r="AX12" s="363"/>
      <c r="AY12" s="363"/>
      <c r="AZ12" s="62" t="s">
        <v>634</v>
      </c>
      <c r="BA12" s="313" t="s">
        <v>762</v>
      </c>
      <c r="BB12" s="62" t="s">
        <v>303</v>
      </c>
      <c r="BC12" s="63" t="s">
        <v>632</v>
      </c>
      <c r="BD12" s="182"/>
      <c r="BE12" s="61" t="s">
        <v>633</v>
      </c>
      <c r="BF12" s="363"/>
      <c r="BG12" s="363"/>
      <c r="BH12" s="62" t="s">
        <v>634</v>
      </c>
      <c r="BI12" s="313" t="s">
        <v>762</v>
      </c>
      <c r="BJ12" s="62" t="s">
        <v>303</v>
      </c>
      <c r="BK12" s="63" t="s">
        <v>632</v>
      </c>
      <c r="BL12" s="182"/>
      <c r="BM12" s="61" t="s">
        <v>633</v>
      </c>
      <c r="BN12" s="62" t="s">
        <v>634</v>
      </c>
      <c r="BO12" s="313" t="s">
        <v>762</v>
      </c>
      <c r="BP12" s="62" t="s">
        <v>303</v>
      </c>
      <c r="BQ12" s="63" t="s">
        <v>632</v>
      </c>
      <c r="BR12" s="182"/>
      <c r="BS12" s="61" t="s">
        <v>633</v>
      </c>
      <c r="BT12" s="363"/>
      <c r="BU12" s="363"/>
      <c r="BV12" s="62" t="s">
        <v>634</v>
      </c>
      <c r="BW12" s="313" t="s">
        <v>762</v>
      </c>
      <c r="BX12" s="62" t="s">
        <v>303</v>
      </c>
      <c r="BY12" s="63" t="s">
        <v>632</v>
      </c>
      <c r="CA12" s="61" t="s">
        <v>633</v>
      </c>
      <c r="CB12" s="62" t="s">
        <v>634</v>
      </c>
      <c r="CC12" s="313" t="s">
        <v>762</v>
      </c>
      <c r="CD12" s="62" t="s">
        <v>303</v>
      </c>
      <c r="CE12" s="63" t="s">
        <v>632</v>
      </c>
      <c r="CF12" s="182"/>
      <c r="CG12" s="61" t="s">
        <v>633</v>
      </c>
      <c r="CH12" s="62" t="s">
        <v>634</v>
      </c>
      <c r="CI12" s="313" t="s">
        <v>762</v>
      </c>
      <c r="CJ12" s="62" t="s">
        <v>303</v>
      </c>
      <c r="CK12" s="63" t="s">
        <v>632</v>
      </c>
      <c r="CL12" s="63"/>
      <c r="CM12" s="63" t="s">
        <v>632</v>
      </c>
      <c r="CN12" s="63" t="s">
        <v>632</v>
      </c>
      <c r="CO12" s="63" t="s">
        <v>632</v>
      </c>
      <c r="CP12" s="63" t="s">
        <v>632</v>
      </c>
      <c r="CQ12" s="63" t="s">
        <v>632</v>
      </c>
      <c r="CR12" s="63" t="s">
        <v>632</v>
      </c>
      <c r="CS12" s="63" t="s">
        <v>632</v>
      </c>
      <c r="CT12" s="63"/>
      <c r="CU12" s="63" t="s">
        <v>632</v>
      </c>
      <c r="CV12" s="63" t="s">
        <v>632</v>
      </c>
      <c r="CW12" s="63" t="s">
        <v>632</v>
      </c>
      <c r="CX12" s="63" t="s">
        <v>632</v>
      </c>
      <c r="CY12" s="63" t="s">
        <v>632</v>
      </c>
      <c r="CZ12" s="63" t="s">
        <v>632</v>
      </c>
      <c r="DA12" s="63" t="s">
        <v>632</v>
      </c>
      <c r="DB12" s="63" t="s">
        <v>632</v>
      </c>
      <c r="DC12" s="63" t="s">
        <v>632</v>
      </c>
      <c r="DD12" s="63"/>
      <c r="DE12" s="63" t="s">
        <v>632</v>
      </c>
      <c r="DF12" s="63" t="s">
        <v>632</v>
      </c>
      <c r="DG12" s="63" t="s">
        <v>632</v>
      </c>
      <c r="DH12" s="63" t="s">
        <v>632</v>
      </c>
      <c r="DI12" s="63" t="s">
        <v>632</v>
      </c>
      <c r="DJ12" s="63" t="s">
        <v>632</v>
      </c>
      <c r="DK12" s="63" t="s">
        <v>632</v>
      </c>
      <c r="DL12" s="63" t="s">
        <v>632</v>
      </c>
    </row>
    <row r="13" spans="1:128" x14ac:dyDescent="0.2">
      <c r="A13" s="37">
        <v>1</v>
      </c>
      <c r="B13" s="38" t="s">
        <v>312</v>
      </c>
      <c r="C13" s="43">
        <f t="shared" ref="C13:Z13" si="11">SUM(C15:C307)</f>
        <v>0</v>
      </c>
      <c r="D13" s="43">
        <f t="shared" si="11"/>
        <v>0</v>
      </c>
      <c r="E13" s="43">
        <f t="shared" si="11"/>
        <v>0</v>
      </c>
      <c r="F13" s="43">
        <f t="shared" si="11"/>
        <v>0</v>
      </c>
      <c r="G13" s="43">
        <f t="shared" si="11"/>
        <v>0</v>
      </c>
      <c r="H13" s="43">
        <f t="shared" si="11"/>
        <v>8761891</v>
      </c>
      <c r="I13" s="43">
        <f t="shared" si="11"/>
        <v>0</v>
      </c>
      <c r="J13" s="43">
        <f t="shared" si="11"/>
        <v>0</v>
      </c>
      <c r="K13" s="43">
        <f t="shared" si="11"/>
        <v>0</v>
      </c>
      <c r="L13" s="43">
        <f t="shared" si="11"/>
        <v>0</v>
      </c>
      <c r="M13" s="41">
        <f t="shared" si="11"/>
        <v>0</v>
      </c>
      <c r="N13" s="41">
        <f t="shared" si="11"/>
        <v>8493394</v>
      </c>
      <c r="O13" s="41">
        <f t="shared" si="11"/>
        <v>0</v>
      </c>
      <c r="P13" s="41">
        <f t="shared" si="11"/>
        <v>0</v>
      </c>
      <c r="Q13" s="41">
        <f t="shared" si="11"/>
        <v>0</v>
      </c>
      <c r="R13" s="41">
        <f t="shared" si="11"/>
        <v>0</v>
      </c>
      <c r="S13" s="41">
        <f t="shared" si="11"/>
        <v>0</v>
      </c>
      <c r="T13" s="41">
        <f t="shared" si="11"/>
        <v>8456755</v>
      </c>
      <c r="U13" s="41">
        <f t="shared" si="11"/>
        <v>0</v>
      </c>
      <c r="V13" s="41">
        <f t="shared" si="11"/>
        <v>0</v>
      </c>
      <c r="W13" s="41">
        <f t="shared" si="11"/>
        <v>0</v>
      </c>
      <c r="X13" s="41">
        <f t="shared" si="11"/>
        <v>0</v>
      </c>
      <c r="Y13" s="41">
        <f t="shared" si="11"/>
        <v>0</v>
      </c>
      <c r="Z13" s="41">
        <f t="shared" si="11"/>
        <v>8640795</v>
      </c>
      <c r="AB13" s="41">
        <f t="shared" ref="AB13:AG13" si="12">SUM(AB15:AB307)</f>
        <v>8567597.9727859255</v>
      </c>
      <c r="AC13" s="41">
        <f t="shared" si="12"/>
        <v>113999.99998524654</v>
      </c>
      <c r="AD13" s="41">
        <f t="shared" si="12"/>
        <v>2269000.0150000015</v>
      </c>
      <c r="AE13" s="41">
        <f>SUM(AE15:AE307)</f>
        <v>60000</v>
      </c>
      <c r="AF13" s="41">
        <f t="shared" si="12"/>
        <v>-37262.546999999984</v>
      </c>
      <c r="AG13" s="41">
        <f t="shared" si="12"/>
        <v>10973335.440771153</v>
      </c>
      <c r="AI13" s="41">
        <f t="shared" ref="AI13:AN13" si="13">SUM(AI15:AI307)</f>
        <v>7653477.3833245402</v>
      </c>
      <c r="AJ13" s="41">
        <f t="shared" si="13"/>
        <v>-88099.999988438154</v>
      </c>
      <c r="AK13" s="41">
        <f t="shared" si="13"/>
        <v>2450000.0149999997</v>
      </c>
      <c r="AL13" s="41">
        <f>SUM(AL15:AL307)</f>
        <v>30000</v>
      </c>
      <c r="AM13" s="41">
        <f t="shared" si="13"/>
        <v>-58176.723000000042</v>
      </c>
      <c r="AN13" s="41">
        <f t="shared" si="13"/>
        <v>9987200.675336102</v>
      </c>
      <c r="AP13" s="41">
        <f t="shared" ref="AP13:AU13" si="14">SUM(AP15:AP307)</f>
        <v>7955875.0030874042</v>
      </c>
      <c r="AQ13" s="41">
        <f t="shared" si="14"/>
        <v>-27099.999996386898</v>
      </c>
      <c r="AR13" s="41">
        <f t="shared" si="14"/>
        <v>2776500.0000000014</v>
      </c>
      <c r="AS13" s="41">
        <f t="shared" si="14"/>
        <v>10000</v>
      </c>
      <c r="AT13" s="41">
        <f t="shared" si="14"/>
        <v>2396.5560000000305</v>
      </c>
      <c r="AU13" s="41">
        <f t="shared" si="14"/>
        <v>10717671.559091017</v>
      </c>
      <c r="AW13" s="41">
        <f t="shared" ref="AW13:BB13" si="15">SUM(AW15:AW307)</f>
        <v>2742583.263116145</v>
      </c>
      <c r="AZ13" s="41">
        <f t="shared" si="15"/>
        <v>851000.00000000116</v>
      </c>
      <c r="BA13" s="41">
        <f t="shared" si="15"/>
        <v>9990</v>
      </c>
      <c r="BB13" s="41">
        <f t="shared" si="15"/>
        <v>14806.605999999978</v>
      </c>
      <c r="BC13" s="41">
        <f>SUM(BC15:BC307)</f>
        <v>3618379.8691161484</v>
      </c>
      <c r="BE13" s="41">
        <f>SUM(BE15:BE307)</f>
        <v>2467571.8487243061</v>
      </c>
      <c r="BH13" s="41">
        <f>SUM(BH15:BH307)</f>
        <v>848000.0000000014</v>
      </c>
      <c r="BI13" s="41">
        <f t="shared" ref="BI13:BK13" si="16">SUM(BI15:BI307)</f>
        <v>0</v>
      </c>
      <c r="BJ13" s="41">
        <f t="shared" si="16"/>
        <v>55863.298999999977</v>
      </c>
      <c r="BK13" s="41">
        <f t="shared" si="16"/>
        <v>3371435.1477243057</v>
      </c>
      <c r="BM13" s="41">
        <f>SUM(BM15:BM307)</f>
        <v>3319437.8325907234</v>
      </c>
      <c r="BN13" s="41">
        <f t="shared" ref="BN13:BQ13" si="17">SUM(BN15:BN307)</f>
        <v>540500.00000000093</v>
      </c>
      <c r="BO13" s="41">
        <f t="shared" si="17"/>
        <v>0</v>
      </c>
      <c r="BP13" s="41">
        <f t="shared" si="17"/>
        <v>56247.73799999999</v>
      </c>
      <c r="BQ13" s="41">
        <f t="shared" si="17"/>
        <v>3916185.5705907275</v>
      </c>
      <c r="BR13" s="165"/>
      <c r="BS13" s="41">
        <f t="shared" ref="BS13:BY13" si="18">SUM(BS15:BS307)</f>
        <v>3424249.2272711983</v>
      </c>
      <c r="BT13" s="41"/>
      <c r="BU13" s="41"/>
      <c r="BV13" s="41">
        <f t="shared" si="18"/>
        <v>577000.00000000081</v>
      </c>
      <c r="BW13" s="41">
        <f t="shared" si="18"/>
        <v>0</v>
      </c>
      <c r="BX13" s="41">
        <f t="shared" si="18"/>
        <v>56247.73799999999</v>
      </c>
      <c r="BY13" s="41">
        <f t="shared" si="18"/>
        <v>4057496.9652712019</v>
      </c>
      <c r="CA13" s="41">
        <f t="shared" ref="CA13:CE13" si="19">SUM(CA15:CA307)</f>
        <v>3466544.787022776</v>
      </c>
      <c r="CB13" s="41">
        <f t="shared" si="19"/>
        <v>621000.00000000093</v>
      </c>
      <c r="CC13" s="41">
        <f t="shared" si="19"/>
        <v>0</v>
      </c>
      <c r="CD13" s="41">
        <f t="shared" si="19"/>
        <v>56247.73799999999</v>
      </c>
      <c r="CE13" s="41">
        <f t="shared" si="19"/>
        <v>4143792.5250227782</v>
      </c>
      <c r="CF13" s="41"/>
      <c r="CG13" s="41">
        <f t="shared" ref="CG13:CJ13" si="20">SUM(CG15:CG307)</f>
        <v>3758078.3256275509</v>
      </c>
      <c r="CH13" s="41">
        <f t="shared" si="20"/>
        <v>658000.00000000035</v>
      </c>
      <c r="CI13" s="41">
        <f t="shared" si="20"/>
        <v>0</v>
      </c>
      <c r="CJ13" s="41">
        <f t="shared" si="20"/>
        <v>56247.73799999999</v>
      </c>
      <c r="CK13" s="41">
        <f>SUM(CK15:CK307)</f>
        <v>4472326.063627555</v>
      </c>
      <c r="CL13" s="41"/>
      <c r="CM13" s="41">
        <f>AU13/'1. Väestöennuste'!L13*1000</f>
        <v>1936.8314034165062</v>
      </c>
      <c r="CN13" s="41">
        <f>BC13/'1. Väestöennuste'!M13*1000</f>
        <v>649.23355584314322</v>
      </c>
      <c r="CO13" s="41">
        <f>BK13/'1. Väestöennuste'!N13*1000</f>
        <v>608.72118385490251</v>
      </c>
      <c r="CP13" s="41">
        <f>BQ13/'1. Väestöennuste'!O13*1000</f>
        <v>706.26891638679547</v>
      </c>
      <c r="CQ13" s="41">
        <f>BY13/'1. Väestöennuste'!P13*1000</f>
        <v>731.00308746950805</v>
      </c>
      <c r="CR13" s="41">
        <f>CE13/'1. Väestöennuste'!Q13*1000</f>
        <v>745.86366481519383</v>
      </c>
      <c r="CS13" s="41">
        <f>CK13/'1. Väestöennuste'!R13*1000</f>
        <v>804.37056182906053</v>
      </c>
      <c r="CT13" s="41"/>
      <c r="CV13" s="41">
        <f>CK13-CJ13</f>
        <v>4416078.3256275551</v>
      </c>
      <c r="CW13" s="41">
        <f>CM13-CK13</f>
        <v>-4470389.2322241385</v>
      </c>
      <c r="CX13" s="41">
        <f t="shared" ref="CX13:DC13" si="21">CN13-CM13</f>
        <v>-1287.597847573363</v>
      </c>
      <c r="CY13" s="41">
        <f t="shared" si="21"/>
        <v>-40.512371988240716</v>
      </c>
      <c r="CZ13" s="41">
        <f t="shared" si="21"/>
        <v>97.547732531892962</v>
      </c>
      <c r="DA13" s="41">
        <f t="shared" si="21"/>
        <v>24.734171082712578</v>
      </c>
      <c r="DB13" s="41">
        <f t="shared" si="21"/>
        <v>14.860577345685783</v>
      </c>
      <c r="DC13" s="41">
        <f t="shared" si="21"/>
        <v>58.506897013866705</v>
      </c>
      <c r="DD13" s="41"/>
    </row>
    <row r="14" spans="1:128" x14ac:dyDescent="0.2">
      <c r="A14" s="37"/>
      <c r="B14" s="38"/>
      <c r="C14" s="39"/>
      <c r="D14" s="39"/>
      <c r="E14" s="39"/>
      <c r="F14" s="39"/>
      <c r="G14" s="39"/>
      <c r="H14" s="39"/>
      <c r="I14" s="39"/>
      <c r="J14" s="39"/>
      <c r="K14" s="39"/>
      <c r="L14" s="39"/>
      <c r="M14" s="39"/>
      <c r="N14" s="39"/>
      <c r="O14" s="39"/>
      <c r="P14" s="39"/>
      <c r="Q14" s="39"/>
      <c r="R14" s="39"/>
      <c r="S14" s="39"/>
      <c r="T14" s="39"/>
      <c r="U14" s="39"/>
      <c r="V14" s="39"/>
      <c r="W14" s="39"/>
      <c r="X14" s="39"/>
      <c r="Y14" s="39"/>
      <c r="Z14" s="39"/>
      <c r="AA14" s="39"/>
      <c r="AE14" s="65"/>
      <c r="AG14" s="65"/>
      <c r="AH14" s="65"/>
      <c r="AL14" s="65"/>
      <c r="AS14" s="65"/>
      <c r="BA14" s="65"/>
      <c r="BI14" s="65"/>
      <c r="BO14" s="65"/>
      <c r="BR14" s="165"/>
      <c r="BS14" s="41"/>
      <c r="BT14" s="41"/>
      <c r="BU14" s="41"/>
      <c r="BV14" s="41"/>
      <c r="BW14" s="65"/>
      <c r="BX14" s="41"/>
      <c r="BY14" s="41"/>
      <c r="CA14" s="41"/>
      <c r="CB14" s="41"/>
      <c r="CC14" s="65"/>
      <c r="CD14" s="41"/>
      <c r="CE14" s="41"/>
      <c r="CF14" s="41"/>
      <c r="CG14" s="41"/>
      <c r="CH14" s="41"/>
      <c r="CI14" s="65"/>
      <c r="CJ14" s="41"/>
      <c r="CK14" s="41"/>
      <c r="CL14" s="41"/>
      <c r="CM14" s="41"/>
      <c r="CN14" s="41"/>
      <c r="CO14" s="41"/>
      <c r="CP14" s="41"/>
      <c r="CQ14" s="41"/>
      <c r="CR14" s="41"/>
      <c r="CS14" s="41"/>
      <c r="CT14" s="41"/>
    </row>
    <row r="15" spans="1:128" x14ac:dyDescent="0.2">
      <c r="A15" s="30">
        <v>5</v>
      </c>
      <c r="B15" s="31" t="s">
        <v>328</v>
      </c>
      <c r="C15" s="65"/>
      <c r="D15" s="65"/>
      <c r="E15" s="65"/>
      <c r="F15" s="65"/>
      <c r="G15" s="65"/>
      <c r="H15" s="65">
        <v>36984</v>
      </c>
      <c r="I15" s="65"/>
      <c r="J15" s="65"/>
      <c r="K15" s="65"/>
      <c r="L15" s="65"/>
      <c r="M15" s="65"/>
      <c r="N15" s="65">
        <v>35799</v>
      </c>
      <c r="O15" s="65"/>
      <c r="P15" s="65"/>
      <c r="Q15" s="65"/>
      <c r="R15" s="65"/>
      <c r="S15" s="65"/>
      <c r="T15" s="65">
        <v>35055</v>
      </c>
      <c r="U15" s="65"/>
      <c r="V15" s="65"/>
      <c r="W15" s="65"/>
      <c r="X15" s="65"/>
      <c r="Y15" s="65"/>
      <c r="Z15" s="65">
        <v>34792</v>
      </c>
      <c r="AA15" s="65"/>
      <c r="AB15" s="66">
        <v>31755.296722943207</v>
      </c>
      <c r="AC15" s="34">
        <v>141.16537023859408</v>
      </c>
      <c r="AD15" s="180">
        <v>5575.746514173301</v>
      </c>
      <c r="AE15" s="65">
        <v>0</v>
      </c>
      <c r="AF15" s="34">
        <v>1306.3019999999999</v>
      </c>
      <c r="AG15" s="65">
        <f t="shared" ref="AG15:AG78" si="22">SUM(AB15:AF15)</f>
        <v>38778.510607355107</v>
      </c>
      <c r="AH15" s="65"/>
      <c r="AI15" s="66">
        <v>30371.185754501839</v>
      </c>
      <c r="AJ15" s="34">
        <v>-109.27855556343479</v>
      </c>
      <c r="AK15" s="181">
        <v>5931.6759044126484</v>
      </c>
      <c r="AL15" s="65">
        <v>0</v>
      </c>
      <c r="AM15" s="34">
        <v>1480.0889999999999</v>
      </c>
      <c r="AN15" s="65">
        <f t="shared" ref="AN15:AN78" si="23">SUM(AI15:AM15)</f>
        <v>37673.672103351048</v>
      </c>
      <c r="AO15" s="65"/>
      <c r="AP15" s="41">
        <v>31157.689072339756</v>
      </c>
      <c r="AQ15" s="41">
        <v>-33.672136647192268</v>
      </c>
      <c r="AR15" s="41">
        <v>6576.7228656134466</v>
      </c>
      <c r="AS15" s="65">
        <v>0</v>
      </c>
      <c r="AT15" s="34">
        <v>1473.4939999999999</v>
      </c>
      <c r="AU15" s="65">
        <f t="shared" ref="AU15:AU78" si="24">SUM(AP15:AT15)</f>
        <v>39174.233801306007</v>
      </c>
      <c r="AV15" s="65"/>
      <c r="AW15" s="41">
        <v>11405.562226152346</v>
      </c>
      <c r="AX15" s="314"/>
      <c r="AY15" s="314"/>
      <c r="AZ15" s="41">
        <v>1995.4000337450589</v>
      </c>
      <c r="BA15" s="65">
        <v>0</v>
      </c>
      <c r="BB15" s="34">
        <v>1548.6579999999999</v>
      </c>
      <c r="BC15" s="65">
        <f>AW15+AZ15+BA15+BB15</f>
        <v>14949.620259897405</v>
      </c>
      <c r="BD15" s="65"/>
      <c r="BE15" s="41">
        <v>10250.767519180905</v>
      </c>
      <c r="BF15" s="314"/>
      <c r="BG15" s="314"/>
      <c r="BH15" s="41">
        <v>1998.8367833538039</v>
      </c>
      <c r="BI15" s="65">
        <v>0</v>
      </c>
      <c r="BJ15" s="34">
        <v>1369.837</v>
      </c>
      <c r="BK15" s="65">
        <f>BE15+BH15+BI15+BJ15</f>
        <v>13619.441302534708</v>
      </c>
      <c r="BL15" s="65"/>
      <c r="BM15" s="41">
        <v>11394.070935883672</v>
      </c>
      <c r="BN15" s="41">
        <v>1378.1080703756229</v>
      </c>
      <c r="BO15" s="65">
        <v>0</v>
      </c>
      <c r="BP15" s="34">
        <v>1369.837</v>
      </c>
      <c r="BQ15" s="65">
        <f t="shared" ref="BQ15:BQ78" si="25">BM15+BN15+BO15+BP15</f>
        <v>14142.016006259295</v>
      </c>
      <c r="BR15" s="65"/>
      <c r="BS15" s="41">
        <v>11065.957454496429</v>
      </c>
      <c r="BT15" s="314"/>
      <c r="BU15" s="314"/>
      <c r="BV15" s="41">
        <v>1472.4445019339116</v>
      </c>
      <c r="BW15" s="65">
        <v>0</v>
      </c>
      <c r="BX15" s="34">
        <v>1369.837</v>
      </c>
      <c r="BY15" s="65">
        <f>BS15+BV15+BW15+BX15</f>
        <v>13908.238956430339</v>
      </c>
      <c r="CA15" s="5">
        <v>10975.283378577076</v>
      </c>
      <c r="CB15" s="407">
        <v>1568.8847076022462</v>
      </c>
      <c r="CC15" s="415">
        <v>0</v>
      </c>
      <c r="CD15" s="34">
        <v>1369.837</v>
      </c>
      <c r="CE15" s="65">
        <f t="shared" ref="CE15:CE78" si="26">CA15+CB15+CC15+CD15</f>
        <v>13914.005086179322</v>
      </c>
      <c r="CF15" s="407"/>
      <c r="CG15" s="5">
        <v>11772.408091096631</v>
      </c>
      <c r="CH15" s="407">
        <v>1654.0139396177719</v>
      </c>
      <c r="CI15" s="415">
        <v>0</v>
      </c>
      <c r="CJ15" s="34">
        <v>1369.837</v>
      </c>
      <c r="CK15" s="65">
        <f t="shared" ref="CK15:CK78" si="27">CG15+CH15+CI15+CJ15</f>
        <v>14796.259030714402</v>
      </c>
      <c r="CL15" s="407"/>
      <c r="CM15" s="41">
        <f>AU15/'1. Väestöennuste'!L15*1000</f>
        <v>4265.9516281504966</v>
      </c>
      <c r="CN15" s="41">
        <f>BC15/'1. Väestöennuste'!M15*1000</f>
        <v>1640.4718819156594</v>
      </c>
      <c r="CO15" s="41">
        <f>BK15/'1. Väestöennuste'!N15*1000</f>
        <v>1521.5552790229815</v>
      </c>
      <c r="CP15" s="41">
        <f>BQ15/'1. Väestöennuste'!O15*1000</f>
        <v>1599.5946167016509</v>
      </c>
      <c r="CQ15" s="41">
        <f>BY15/'1. Väestöennuste'!P15*1000</f>
        <v>1593.1545196369232</v>
      </c>
      <c r="CR15" s="41">
        <f>CE15/'1. Väestöennuste'!Q15*1000</f>
        <v>1613.9664872032622</v>
      </c>
      <c r="CS15" s="41">
        <f>CK15/'1. Väestöennuste'!R15*1000</f>
        <v>1738.282310939192</v>
      </c>
      <c r="CT15" s="41"/>
      <c r="CV15" s="41">
        <f t="shared" ref="CV15:CV78" si="28">CK15-CJ15</f>
        <v>13426.422030714402</v>
      </c>
      <c r="CW15" s="41">
        <f t="shared" ref="CW15:CW78" si="29">CM15-CK15</f>
        <v>-10530.307402563905</v>
      </c>
      <c r="CX15" s="41">
        <f t="shared" ref="CX15:CX78" si="30">CN15-CM15</f>
        <v>-2625.479746234837</v>
      </c>
      <c r="CY15" s="41">
        <f t="shared" ref="CY15:CY78" si="31">CO15-CN15</f>
        <v>-118.91660289267793</v>
      </c>
      <c r="CZ15" s="41">
        <f t="shared" ref="CZ15:CZ78" si="32">CP15-CO15</f>
        <v>78.039337678669426</v>
      </c>
      <c r="DA15" s="41">
        <f t="shared" ref="DA15:DA78" si="33">CQ15-CP15</f>
        <v>-6.4400970647277518</v>
      </c>
      <c r="DB15" s="41">
        <f t="shared" ref="DB15:DB78" si="34">CR15-CQ15</f>
        <v>20.811967566339035</v>
      </c>
      <c r="DC15" s="41">
        <f t="shared" ref="DC15:DC78" si="35">CS15-CR15</f>
        <v>124.31582373592983</v>
      </c>
      <c r="DD15" s="41"/>
      <c r="DE15" s="283">
        <f t="shared" ref="DE15:DE78" si="36">(CK15-CJ15)/CJ15</f>
        <v>9.8014742124168084</v>
      </c>
      <c r="DF15" s="283">
        <f t="shared" ref="DF15:DF78" si="37">(CM15-CK15)/CK15</f>
        <v>-0.71168714880598261</v>
      </c>
      <c r="DG15" s="283">
        <f t="shared" ref="DG15:DG78" si="38">(CN15-CM15)/CM15</f>
        <v>-0.61544995702942695</v>
      </c>
      <c r="DH15" s="283">
        <f t="shared" ref="DH15:DH78" si="39">(CO15-CN15)/CN15</f>
        <v>-7.2489266170056618E-2</v>
      </c>
      <c r="DI15" s="283">
        <f t="shared" ref="DI15:DI78" si="40">(CP15-CO15)/CO15</f>
        <v>5.12891899193961E-2</v>
      </c>
      <c r="DJ15" s="283">
        <f t="shared" ref="DJ15:DJ78" si="41">(CQ15-CP15)/CP15</f>
        <v>-4.0260807316338503E-3</v>
      </c>
      <c r="DK15" s="283">
        <f t="shared" ref="DK15:DK78" si="42">(CR15-CQ15)/CQ15</f>
        <v>1.3063370382354401E-2</v>
      </c>
      <c r="DL15" s="283">
        <f t="shared" ref="DL15:DL78" si="43">(CS15-CR15)/CR15</f>
        <v>7.7025034114152305E-2</v>
      </c>
    </row>
    <row r="16" spans="1:128" x14ac:dyDescent="0.2">
      <c r="A16" s="30">
        <v>9</v>
      </c>
      <c r="B16" s="31" t="s">
        <v>329</v>
      </c>
      <c r="C16" s="65"/>
      <c r="D16" s="65"/>
      <c r="E16" s="65"/>
      <c r="F16" s="65"/>
      <c r="G16" s="65"/>
      <c r="H16" s="65">
        <v>8869</v>
      </c>
      <c r="I16" s="65"/>
      <c r="J16" s="65"/>
      <c r="K16" s="65"/>
      <c r="L16" s="65"/>
      <c r="M16" s="65"/>
      <c r="N16" s="65">
        <v>8917</v>
      </c>
      <c r="O16" s="65"/>
      <c r="P16" s="65"/>
      <c r="Q16" s="65"/>
      <c r="R16" s="65"/>
      <c r="S16" s="65"/>
      <c r="T16" s="65">
        <v>9025</v>
      </c>
      <c r="U16" s="65"/>
      <c r="V16" s="65"/>
      <c r="W16" s="65"/>
      <c r="X16" s="65"/>
      <c r="Y16" s="65"/>
      <c r="Z16" s="65">
        <v>8909</v>
      </c>
      <c r="AA16" s="65"/>
      <c r="AB16" s="66">
        <v>9151.4986504070093</v>
      </c>
      <c r="AC16" s="34">
        <v>37.999761997635069</v>
      </c>
      <c r="AD16" s="180">
        <v>1454.8763154501617</v>
      </c>
      <c r="AE16" s="65">
        <v>0</v>
      </c>
      <c r="AF16" s="34">
        <v>-543.05399999999997</v>
      </c>
      <c r="AG16" s="65">
        <f t="shared" si="22"/>
        <v>10101.320727854805</v>
      </c>
      <c r="AH16" s="65"/>
      <c r="AI16" s="66">
        <v>8590.8547126722806</v>
      </c>
      <c r="AJ16" s="34">
        <v>-29.622141092550663</v>
      </c>
      <c r="AK16" s="181">
        <v>1555.5992998482841</v>
      </c>
      <c r="AL16" s="65">
        <v>0</v>
      </c>
      <c r="AM16" s="34">
        <v>-652.76499999999999</v>
      </c>
      <c r="AN16" s="65">
        <f t="shared" si="23"/>
        <v>9464.0668714280146</v>
      </c>
      <c r="AO16" s="65"/>
      <c r="AP16" s="41">
        <v>9435.657400261849</v>
      </c>
      <c r="AQ16" s="41">
        <v>-9.1522084304680007</v>
      </c>
      <c r="AR16" s="41">
        <v>1751.3608607681199</v>
      </c>
      <c r="AS16" s="65">
        <v>0</v>
      </c>
      <c r="AT16" s="34">
        <v>-539.82899999999995</v>
      </c>
      <c r="AU16" s="65">
        <f t="shared" si="24"/>
        <v>10638.0370525995</v>
      </c>
      <c r="AV16" s="65"/>
      <c r="AW16" s="41">
        <v>3656.7956233330992</v>
      </c>
      <c r="AX16" s="314"/>
      <c r="AY16" s="314"/>
      <c r="AZ16" s="41">
        <v>527.12188997430371</v>
      </c>
      <c r="BA16" s="65">
        <v>0</v>
      </c>
      <c r="BB16" s="34">
        <v>-493.31900000000002</v>
      </c>
      <c r="BC16" s="65">
        <f t="shared" ref="BC16:BC79" si="44">AW16+AZ16+BA16+BB16</f>
        <v>3690.5985133074032</v>
      </c>
      <c r="BD16" s="65"/>
      <c r="BE16" s="41">
        <v>3598.9531305703308</v>
      </c>
      <c r="BF16" s="314"/>
      <c r="BG16" s="314"/>
      <c r="BH16" s="41">
        <v>524.71877367367654</v>
      </c>
      <c r="BI16" s="65">
        <v>0</v>
      </c>
      <c r="BJ16" s="34">
        <v>-461.572</v>
      </c>
      <c r="BK16" s="65">
        <f t="shared" ref="BK16:BK79" si="45">BE16+BH16+BI16+BJ16</f>
        <v>3662.0999042440071</v>
      </c>
      <c r="BL16" s="65"/>
      <c r="BM16" s="41">
        <v>3944.5677288451589</v>
      </c>
      <c r="BN16" s="41">
        <v>339.76800507004322</v>
      </c>
      <c r="BO16" s="65">
        <v>0</v>
      </c>
      <c r="BP16" s="34">
        <v>-461.572</v>
      </c>
      <c r="BQ16" s="65">
        <f t="shared" si="25"/>
        <v>3822.7637339152016</v>
      </c>
      <c r="BR16" s="65"/>
      <c r="BS16" s="41">
        <v>3790.7772509834758</v>
      </c>
      <c r="BT16" s="314"/>
      <c r="BU16" s="314"/>
      <c r="BV16" s="41">
        <v>365.27899649324809</v>
      </c>
      <c r="BW16" s="65">
        <v>0</v>
      </c>
      <c r="BX16" s="34">
        <v>-461.572</v>
      </c>
      <c r="BY16" s="65">
        <f t="shared" ref="BY16:BY79" si="46">BS16+BV16+BW16+BX16</f>
        <v>3694.4842474767238</v>
      </c>
      <c r="CA16" s="5">
        <v>3842.9379085927608</v>
      </c>
      <c r="CB16" s="407">
        <v>390.2568807753247</v>
      </c>
      <c r="CC16" s="415">
        <v>0</v>
      </c>
      <c r="CD16" s="34">
        <v>-461.572</v>
      </c>
      <c r="CE16" s="65">
        <f t="shared" si="26"/>
        <v>3771.6227893680853</v>
      </c>
      <c r="CF16" s="407"/>
      <c r="CG16" s="5">
        <v>4084.8735630391493</v>
      </c>
      <c r="CH16" s="407">
        <v>412.13315594945533</v>
      </c>
      <c r="CI16" s="415">
        <v>0</v>
      </c>
      <c r="CJ16" s="34">
        <v>-461.572</v>
      </c>
      <c r="CK16" s="65">
        <f t="shared" si="27"/>
        <v>4035.4347189886048</v>
      </c>
      <c r="CL16" s="407"/>
      <c r="CM16" s="41">
        <f>AU16/'1. Väestöennuste'!L16*1000</f>
        <v>4347.3792613810783</v>
      </c>
      <c r="CN16" s="41">
        <f>BC16/'1. Väestöennuste'!M16*1000</f>
        <v>1514.4023444018887</v>
      </c>
      <c r="CO16" s="41">
        <f>BK16/'1. Väestöennuste'!N16*1000</f>
        <v>1512.6393656522127</v>
      </c>
      <c r="CP16" s="41">
        <f>BQ16/'1. Väestöennuste'!O16*1000</f>
        <v>1594.8117371360875</v>
      </c>
      <c r="CQ16" s="41">
        <f>BY16/'1. Väestöennuste'!P16*1000</f>
        <v>1555.5723147270414</v>
      </c>
      <c r="CR16" s="41">
        <f>CE16/'1. Väestöennuste'!Q16*1000</f>
        <v>1603.5811179286077</v>
      </c>
      <c r="CS16" s="41">
        <f>CK16/'1. Väestöennuste'!R16*1000</f>
        <v>1732.6898750487783</v>
      </c>
      <c r="CT16" s="41"/>
      <c r="CV16" s="41">
        <f t="shared" si="28"/>
        <v>4497.0067189886049</v>
      </c>
      <c r="CW16" s="41">
        <f t="shared" si="29"/>
        <v>311.94454239247352</v>
      </c>
      <c r="CX16" s="41">
        <f t="shared" si="30"/>
        <v>-2832.9769169791898</v>
      </c>
      <c r="CY16" s="41">
        <f t="shared" si="31"/>
        <v>-1.7629787496759945</v>
      </c>
      <c r="CZ16" s="41">
        <f t="shared" si="32"/>
        <v>82.172371483874713</v>
      </c>
      <c r="DA16" s="41">
        <f t="shared" si="33"/>
        <v>-39.239422409046028</v>
      </c>
      <c r="DB16" s="41">
        <f t="shared" si="34"/>
        <v>48.008803201566252</v>
      </c>
      <c r="DC16" s="41">
        <f t="shared" si="35"/>
        <v>129.10875712017059</v>
      </c>
      <c r="DD16" s="41"/>
      <c r="DE16" s="283">
        <f t="shared" si="36"/>
        <v>-9.7428065805304591</v>
      </c>
      <c r="DF16" s="283">
        <f t="shared" si="37"/>
        <v>7.7301347714690757E-2</v>
      </c>
      <c r="DG16" s="283">
        <f t="shared" si="38"/>
        <v>-0.65165166106975625</v>
      </c>
      <c r="DH16" s="283">
        <f t="shared" si="39"/>
        <v>-1.1641415877312847E-3</v>
      </c>
      <c r="DI16" s="283">
        <f t="shared" si="40"/>
        <v>5.4323835112174285E-2</v>
      </c>
      <c r="DJ16" s="283">
        <f t="shared" si="41"/>
        <v>-2.4604422889131068E-2</v>
      </c>
      <c r="DK16" s="283">
        <f t="shared" si="42"/>
        <v>3.0862469553522766E-2</v>
      </c>
      <c r="DL16" s="283">
        <f t="shared" si="43"/>
        <v>8.0512769623369049E-2</v>
      </c>
    </row>
    <row r="17" spans="1:116" x14ac:dyDescent="0.2">
      <c r="A17" s="30">
        <v>10</v>
      </c>
      <c r="B17" s="31" t="s">
        <v>330</v>
      </c>
      <c r="C17" s="65"/>
      <c r="D17" s="65"/>
      <c r="E17" s="65"/>
      <c r="F17" s="65"/>
      <c r="G17" s="65"/>
      <c r="H17" s="65">
        <v>38870</v>
      </c>
      <c r="I17" s="65"/>
      <c r="J17" s="65"/>
      <c r="K17" s="65"/>
      <c r="L17" s="65"/>
      <c r="M17" s="65"/>
      <c r="N17" s="65">
        <v>38629</v>
      </c>
      <c r="O17" s="65"/>
      <c r="P17" s="65"/>
      <c r="Q17" s="65"/>
      <c r="R17" s="65"/>
      <c r="S17" s="65"/>
      <c r="T17" s="65">
        <v>38294</v>
      </c>
      <c r="U17" s="65"/>
      <c r="V17" s="65"/>
      <c r="W17" s="65"/>
      <c r="X17" s="65"/>
      <c r="Y17" s="65"/>
      <c r="Z17" s="65">
        <v>38072</v>
      </c>
      <c r="AA17" s="65"/>
      <c r="AB17" s="66">
        <v>36872.309032548008</v>
      </c>
      <c r="AC17" s="34">
        <v>169.1742470572151</v>
      </c>
      <c r="AD17" s="180">
        <v>6731.746531290225</v>
      </c>
      <c r="AE17" s="65">
        <v>0</v>
      </c>
      <c r="AF17" s="34">
        <v>-659.44600000000003</v>
      </c>
      <c r="AG17" s="65">
        <f t="shared" si="22"/>
        <v>43113.783810895446</v>
      </c>
      <c r="AH17" s="65"/>
      <c r="AI17" s="66">
        <v>35762.336988595773</v>
      </c>
      <c r="AJ17" s="34">
        <v>-130.7952932612381</v>
      </c>
      <c r="AK17" s="181">
        <v>7187.667795283809</v>
      </c>
      <c r="AL17" s="65">
        <v>0</v>
      </c>
      <c r="AM17" s="34">
        <v>-750.88499999999999</v>
      </c>
      <c r="AN17" s="65">
        <f t="shared" si="23"/>
        <v>42068.324490618339</v>
      </c>
      <c r="AO17" s="65"/>
      <c r="AP17" s="41">
        <v>37688.245633795515</v>
      </c>
      <c r="AQ17" s="41">
        <v>-40.246410093645096</v>
      </c>
      <c r="AR17" s="41">
        <v>8040.0782659362121</v>
      </c>
      <c r="AS17" s="65">
        <v>0</v>
      </c>
      <c r="AT17" s="34">
        <v>-700.21199999999999</v>
      </c>
      <c r="AU17" s="65">
        <f t="shared" si="24"/>
        <v>44987.865489638076</v>
      </c>
      <c r="AV17" s="65"/>
      <c r="AW17" s="41">
        <v>10571.57231471856</v>
      </c>
      <c r="AX17" s="314"/>
      <c r="AY17" s="314"/>
      <c r="AZ17" s="41">
        <v>2441.2054908443793</v>
      </c>
      <c r="BA17" s="65">
        <v>0</v>
      </c>
      <c r="BB17" s="34">
        <v>-639.82500000000005</v>
      </c>
      <c r="BC17" s="65">
        <f t="shared" si="44"/>
        <v>12372.952805562938</v>
      </c>
      <c r="BD17" s="65"/>
      <c r="BE17" s="41">
        <v>8558.2454650331765</v>
      </c>
      <c r="BF17" s="314"/>
      <c r="BG17" s="314"/>
      <c r="BH17" s="41">
        <v>2446.3711142968205</v>
      </c>
      <c r="BI17" s="65">
        <v>0</v>
      </c>
      <c r="BJ17" s="34">
        <v>-258.19600000000003</v>
      </c>
      <c r="BK17" s="65">
        <f t="shared" si="45"/>
        <v>10746.420579329997</v>
      </c>
      <c r="BL17" s="65"/>
      <c r="BM17" s="41">
        <v>10485.342657619743</v>
      </c>
      <c r="BN17" s="41">
        <v>1621.6010253669797</v>
      </c>
      <c r="BO17" s="65">
        <v>0</v>
      </c>
      <c r="BP17" s="34">
        <v>-258.19600000000003</v>
      </c>
      <c r="BQ17" s="65">
        <f t="shared" si="25"/>
        <v>11848.747682986723</v>
      </c>
      <c r="BR17" s="65"/>
      <c r="BS17" s="41">
        <v>10606.055486837502</v>
      </c>
      <c r="BT17" s="314"/>
      <c r="BU17" s="314"/>
      <c r="BV17" s="41">
        <v>1733.2530029312536</v>
      </c>
      <c r="BW17" s="65">
        <v>0</v>
      </c>
      <c r="BX17" s="34">
        <v>-258.19600000000003</v>
      </c>
      <c r="BY17" s="65">
        <f t="shared" si="46"/>
        <v>12081.112489768755</v>
      </c>
      <c r="CA17" s="5">
        <v>10976.238829932545</v>
      </c>
      <c r="CB17" s="407">
        <v>1849.5074962148014</v>
      </c>
      <c r="CC17" s="415">
        <v>0</v>
      </c>
      <c r="CD17" s="34">
        <v>-258.19600000000003</v>
      </c>
      <c r="CE17" s="65">
        <f t="shared" si="26"/>
        <v>12567.550326147346</v>
      </c>
      <c r="CF17" s="407"/>
      <c r="CG17" s="5">
        <v>12212.206644412965</v>
      </c>
      <c r="CH17" s="407">
        <v>1952.3788431139787</v>
      </c>
      <c r="CI17" s="415">
        <v>0</v>
      </c>
      <c r="CJ17" s="34">
        <v>-258.19600000000003</v>
      </c>
      <c r="CK17" s="65">
        <f t="shared" si="27"/>
        <v>13906.389487526943</v>
      </c>
      <c r="CL17" s="407"/>
      <c r="CM17" s="41">
        <f>AU17/'1. Väestöennuste'!L17*1000</f>
        <v>4052.2307232605003</v>
      </c>
      <c r="CN17" s="41">
        <f>BC17/'1. Väestöennuste'!M17*1000</f>
        <v>1131.7070159666091</v>
      </c>
      <c r="CO17" s="41">
        <f>BK17/'1. Väestöennuste'!N17*1000</f>
        <v>993.65886077947266</v>
      </c>
      <c r="CP17" s="41">
        <f>BQ17/'1. Väestöennuste'!O17*1000</f>
        <v>1108.8103764726486</v>
      </c>
      <c r="CQ17" s="41">
        <f>BY17/'1. Väestöennuste'!P17*1000</f>
        <v>1143.8281092377158</v>
      </c>
      <c r="CR17" s="41">
        <f>CE17/'1. Väestöennuste'!Q17*1000</f>
        <v>1203.4425285978498</v>
      </c>
      <c r="CS17" s="41">
        <f>CK17/'1. Väestöennuste'!R17*1000</f>
        <v>1346.8658099299705</v>
      </c>
      <c r="CT17" s="41"/>
      <c r="CV17" s="41">
        <f t="shared" si="28"/>
        <v>14164.585487526943</v>
      </c>
      <c r="CW17" s="41">
        <f t="shared" si="29"/>
        <v>-9854.1587642664435</v>
      </c>
      <c r="CX17" s="41">
        <f t="shared" si="30"/>
        <v>-2920.5237072938912</v>
      </c>
      <c r="CY17" s="41">
        <f t="shared" si="31"/>
        <v>-138.04815518713644</v>
      </c>
      <c r="CZ17" s="41">
        <f t="shared" si="32"/>
        <v>115.15151569317595</v>
      </c>
      <c r="DA17" s="41">
        <f t="shared" si="33"/>
        <v>35.017732765067194</v>
      </c>
      <c r="DB17" s="41">
        <f t="shared" si="34"/>
        <v>59.614419360133979</v>
      </c>
      <c r="DC17" s="41">
        <f t="shared" si="35"/>
        <v>143.42328133212072</v>
      </c>
      <c r="DD17" s="41"/>
      <c r="DE17" s="283">
        <f t="shared" si="36"/>
        <v>-54.859817687055347</v>
      </c>
      <c r="DF17" s="283">
        <f t="shared" si="37"/>
        <v>-0.70860655622402446</v>
      </c>
      <c r="DG17" s="283">
        <f t="shared" si="38"/>
        <v>-0.72071999516947138</v>
      </c>
      <c r="DH17" s="283">
        <f t="shared" si="39"/>
        <v>-0.12198223854716259</v>
      </c>
      <c r="DI17" s="283">
        <f t="shared" si="40"/>
        <v>0.11588636728187146</v>
      </c>
      <c r="DJ17" s="283">
        <f t="shared" si="41"/>
        <v>3.1581353771657265E-2</v>
      </c>
      <c r="DK17" s="283">
        <f t="shared" si="42"/>
        <v>5.2118337430842612E-2</v>
      </c>
      <c r="DL17" s="283">
        <f t="shared" si="43"/>
        <v>0.11917750779443161</v>
      </c>
    </row>
    <row r="18" spans="1:116" x14ac:dyDescent="0.2">
      <c r="A18" s="30">
        <v>16</v>
      </c>
      <c r="B18" s="31" t="s">
        <v>331</v>
      </c>
      <c r="C18" s="65"/>
      <c r="D18" s="65"/>
      <c r="E18" s="65"/>
      <c r="F18" s="65"/>
      <c r="G18" s="65"/>
      <c r="H18" s="65">
        <v>17906</v>
      </c>
      <c r="I18" s="65"/>
      <c r="J18" s="65"/>
      <c r="K18" s="65"/>
      <c r="L18" s="65"/>
      <c r="M18" s="65"/>
      <c r="N18" s="65">
        <v>17513</v>
      </c>
      <c r="O18" s="65"/>
      <c r="P18" s="65"/>
      <c r="Q18" s="65"/>
      <c r="R18" s="65"/>
      <c r="S18" s="65"/>
      <c r="T18" s="65">
        <v>17538</v>
      </c>
      <c r="U18" s="65"/>
      <c r="V18" s="65"/>
      <c r="W18" s="65"/>
      <c r="X18" s="65"/>
      <c r="Y18" s="65"/>
      <c r="Z18" s="65">
        <v>18410</v>
      </c>
      <c r="AA18" s="65"/>
      <c r="AB18" s="66">
        <v>18411.477227389849</v>
      </c>
      <c r="AC18" s="34">
        <v>147.97308800559364</v>
      </c>
      <c r="AD18" s="180">
        <v>3888.8671552467522</v>
      </c>
      <c r="AE18" s="65">
        <v>0</v>
      </c>
      <c r="AF18" s="34">
        <v>-561</v>
      </c>
      <c r="AG18" s="65">
        <f t="shared" si="22"/>
        <v>21887.317470642196</v>
      </c>
      <c r="AH18" s="65"/>
      <c r="AI18" s="66">
        <v>17134.018241497863</v>
      </c>
      <c r="AJ18" s="34">
        <v>-114.95889511806794</v>
      </c>
      <c r="AK18" s="181">
        <v>4159.321562097165</v>
      </c>
      <c r="AL18" s="65">
        <v>0</v>
      </c>
      <c r="AM18" s="34">
        <v>-1183.1030000000001</v>
      </c>
      <c r="AN18" s="65">
        <f t="shared" si="23"/>
        <v>19995.277908476961</v>
      </c>
      <c r="AO18" s="65"/>
      <c r="AP18" s="41">
        <v>18926.057905282021</v>
      </c>
      <c r="AQ18" s="41">
        <v>-35.442157975426781</v>
      </c>
      <c r="AR18" s="41">
        <v>4744.3635298567642</v>
      </c>
      <c r="AS18" s="65">
        <v>0</v>
      </c>
      <c r="AT18" s="34">
        <v>-571.24300000000005</v>
      </c>
      <c r="AU18" s="65">
        <f t="shared" si="24"/>
        <v>23063.73627716336</v>
      </c>
      <c r="AV18" s="65"/>
      <c r="AW18" s="41">
        <v>9465.4252369196638</v>
      </c>
      <c r="AX18" s="314"/>
      <c r="AY18" s="314"/>
      <c r="AZ18" s="41">
        <v>1409.6579092009974</v>
      </c>
      <c r="BA18" s="65">
        <v>0</v>
      </c>
      <c r="BB18" s="34">
        <v>-582.16800000000001</v>
      </c>
      <c r="BC18" s="65">
        <f t="shared" si="44"/>
        <v>10292.915146120662</v>
      </c>
      <c r="BD18" s="65"/>
      <c r="BE18" s="41">
        <v>6923.4764434025201</v>
      </c>
      <c r="BF18" s="314"/>
      <c r="BG18" s="314"/>
      <c r="BH18" s="41">
        <v>1380.3816988638803</v>
      </c>
      <c r="BI18" s="65">
        <v>0</v>
      </c>
      <c r="BJ18" s="34">
        <v>-432.38299999999998</v>
      </c>
      <c r="BK18" s="65">
        <f t="shared" si="45"/>
        <v>7871.4751422664012</v>
      </c>
      <c r="BL18" s="65"/>
      <c r="BM18" s="41">
        <v>8066.7922151191806</v>
      </c>
      <c r="BN18" s="41">
        <v>967.66609264237809</v>
      </c>
      <c r="BO18" s="65">
        <v>0</v>
      </c>
      <c r="BP18" s="34">
        <v>-432.38299999999998</v>
      </c>
      <c r="BQ18" s="65">
        <f t="shared" si="25"/>
        <v>8602.0753077615591</v>
      </c>
      <c r="BR18" s="65"/>
      <c r="BS18" s="41">
        <v>7001.4016665744057</v>
      </c>
      <c r="BT18" s="314"/>
      <c r="BU18" s="314"/>
      <c r="BV18" s="41">
        <v>1029.3224272633111</v>
      </c>
      <c r="BW18" s="65">
        <v>0</v>
      </c>
      <c r="BX18" s="34">
        <v>-432.38299999999998</v>
      </c>
      <c r="BY18" s="65">
        <f t="shared" si="46"/>
        <v>7598.3410938377165</v>
      </c>
      <c r="CA18" s="5">
        <v>6493.8519079887228</v>
      </c>
      <c r="CB18" s="407">
        <v>1100.2151199789482</v>
      </c>
      <c r="CC18" s="415">
        <v>0</v>
      </c>
      <c r="CD18" s="34">
        <v>-432.38299999999998</v>
      </c>
      <c r="CE18" s="65">
        <f t="shared" si="26"/>
        <v>7161.6840279676708</v>
      </c>
      <c r="CF18" s="407"/>
      <c r="CG18" s="5">
        <v>7301.3882395001592</v>
      </c>
      <c r="CH18" s="407">
        <v>1160.7445901375982</v>
      </c>
      <c r="CI18" s="415">
        <v>0</v>
      </c>
      <c r="CJ18" s="34">
        <v>-432.38299999999998</v>
      </c>
      <c r="CK18" s="65">
        <f t="shared" si="27"/>
        <v>8029.749829637758</v>
      </c>
      <c r="CL18" s="407"/>
      <c r="CM18" s="41">
        <f>AU18/'1. Väestöennuste'!L18*1000</f>
        <v>2877.9306559974243</v>
      </c>
      <c r="CN18" s="41">
        <f>BC18/'1. Väestöennuste'!M18*1000</f>
        <v>1291.7815193424526</v>
      </c>
      <c r="CO18" s="41">
        <f>BK18/'1. Väestöennuste'!N18*1000</f>
        <v>998.15814636905918</v>
      </c>
      <c r="CP18" s="41">
        <f>BQ18/'1. Väestöennuste'!O18*1000</f>
        <v>1097.6234921221844</v>
      </c>
      <c r="CQ18" s="41">
        <f>BY18/'1. Väestöennuste'!P18*1000</f>
        <v>975.27160747499886</v>
      </c>
      <c r="CR18" s="41">
        <f>CE18/'1. Väestöennuste'!Q18*1000</f>
        <v>924.92367660695743</v>
      </c>
      <c r="CS18" s="41">
        <f>CK18/'1. Väestöennuste'!R18*1000</f>
        <v>1042.960102563678</v>
      </c>
      <c r="CT18" s="41"/>
      <c r="CV18" s="41">
        <f t="shared" si="28"/>
        <v>8462.1328296377578</v>
      </c>
      <c r="CW18" s="41">
        <f t="shared" si="29"/>
        <v>-5151.8191736403332</v>
      </c>
      <c r="CX18" s="41">
        <f t="shared" si="30"/>
        <v>-1586.1491366549717</v>
      </c>
      <c r="CY18" s="41">
        <f t="shared" si="31"/>
        <v>-293.62337297339343</v>
      </c>
      <c r="CZ18" s="41">
        <f t="shared" si="32"/>
        <v>99.465345753125234</v>
      </c>
      <c r="DA18" s="41">
        <f t="shared" si="33"/>
        <v>-122.35188464718556</v>
      </c>
      <c r="DB18" s="41">
        <f t="shared" si="34"/>
        <v>-50.347930868041431</v>
      </c>
      <c r="DC18" s="41">
        <f t="shared" si="35"/>
        <v>118.03642595672056</v>
      </c>
      <c r="DD18" s="41"/>
      <c r="DE18" s="283">
        <f t="shared" si="36"/>
        <v>-19.570919369257712</v>
      </c>
      <c r="DF18" s="283">
        <f t="shared" si="37"/>
        <v>-0.64159149200701115</v>
      </c>
      <c r="DG18" s="283">
        <f t="shared" si="38"/>
        <v>-0.55114223594982659</v>
      </c>
      <c r="DH18" s="283">
        <f t="shared" si="39"/>
        <v>-0.22730110980597917</v>
      </c>
      <c r="DI18" s="283">
        <f t="shared" si="40"/>
        <v>9.9648884412699965E-2</v>
      </c>
      <c r="DJ18" s="283">
        <f t="shared" si="41"/>
        <v>-0.11146981230387668</v>
      </c>
      <c r="DK18" s="283">
        <f t="shared" si="42"/>
        <v>-5.1624522319883182E-2</v>
      </c>
      <c r="DL18" s="283">
        <f t="shared" si="43"/>
        <v>0.12761747692494163</v>
      </c>
    </row>
    <row r="19" spans="1:116" x14ac:dyDescent="0.2">
      <c r="A19" s="30">
        <v>18</v>
      </c>
      <c r="B19" s="31" t="s">
        <v>332</v>
      </c>
      <c r="C19" s="65"/>
      <c r="D19" s="65"/>
      <c r="E19" s="65"/>
      <c r="F19" s="65"/>
      <c r="G19" s="65"/>
      <c r="H19" s="65">
        <v>7136</v>
      </c>
      <c r="I19" s="65"/>
      <c r="J19" s="65"/>
      <c r="K19" s="65"/>
      <c r="L19" s="65"/>
      <c r="M19" s="65"/>
      <c r="N19" s="65">
        <v>7325</v>
      </c>
      <c r="O19" s="65"/>
      <c r="P19" s="65"/>
      <c r="Q19" s="65"/>
      <c r="R19" s="65"/>
      <c r="S19" s="65"/>
      <c r="T19" s="65">
        <v>7491</v>
      </c>
      <c r="U19" s="65"/>
      <c r="V19" s="65"/>
      <c r="W19" s="65"/>
      <c r="X19" s="65"/>
      <c r="Y19" s="65"/>
      <c r="Z19" s="65">
        <v>8303</v>
      </c>
      <c r="AA19" s="65"/>
      <c r="AB19" s="66">
        <v>7865.9061811753381</v>
      </c>
      <c r="AC19" s="34">
        <v>98.233590134239748</v>
      </c>
      <c r="AD19" s="180">
        <v>2123.3941241083535</v>
      </c>
      <c r="AE19" s="65">
        <v>0</v>
      </c>
      <c r="AF19" s="34">
        <v>-216.876</v>
      </c>
      <c r="AG19" s="65">
        <f t="shared" si="22"/>
        <v>9870.6578954179313</v>
      </c>
      <c r="AH19" s="65"/>
      <c r="AI19" s="66">
        <v>6265.3607542543159</v>
      </c>
      <c r="AJ19" s="34">
        <v>-76.363405983005762</v>
      </c>
      <c r="AK19" s="181">
        <v>2283.0940568284982</v>
      </c>
      <c r="AL19" s="65">
        <v>0</v>
      </c>
      <c r="AM19" s="34">
        <v>-287.017</v>
      </c>
      <c r="AN19" s="65">
        <f t="shared" si="23"/>
        <v>8185.0744050998092</v>
      </c>
      <c r="AO19" s="65"/>
      <c r="AP19" s="41">
        <v>6135.9669950370871</v>
      </c>
      <c r="AQ19" s="41">
        <v>-23.624613202346051</v>
      </c>
      <c r="AR19" s="41">
        <v>2779.3340948246873</v>
      </c>
      <c r="AS19" s="65">
        <v>0</v>
      </c>
      <c r="AT19" s="34">
        <v>-122.33499999999999</v>
      </c>
      <c r="AU19" s="65">
        <f t="shared" si="24"/>
        <v>8769.3414766594287</v>
      </c>
      <c r="AV19" s="65"/>
      <c r="AW19" s="41">
        <v>2862.8146354596784</v>
      </c>
      <c r="AX19" s="314"/>
      <c r="AY19" s="314"/>
      <c r="AZ19" s="41">
        <v>844.06201572521513</v>
      </c>
      <c r="BA19" s="65">
        <v>0</v>
      </c>
      <c r="BB19" s="34">
        <v>-92.555000000000007</v>
      </c>
      <c r="BC19" s="65">
        <f t="shared" si="44"/>
        <v>3614.3216511848937</v>
      </c>
      <c r="BD19" s="65"/>
      <c r="BE19" s="41">
        <v>2542.3112992120818</v>
      </c>
      <c r="BF19" s="314"/>
      <c r="BG19" s="314"/>
      <c r="BH19" s="41">
        <v>810.54494923117136</v>
      </c>
      <c r="BI19" s="65">
        <v>0</v>
      </c>
      <c r="BJ19" s="34">
        <v>-127.45699999999999</v>
      </c>
      <c r="BK19" s="65">
        <f t="shared" si="45"/>
        <v>3225.3992484432533</v>
      </c>
      <c r="BL19" s="65"/>
      <c r="BM19" s="41">
        <v>2947.7127919614218</v>
      </c>
      <c r="BN19" s="41">
        <v>459.0488254518541</v>
      </c>
      <c r="BO19" s="65">
        <v>0</v>
      </c>
      <c r="BP19" s="34">
        <v>-127.45699999999999</v>
      </c>
      <c r="BQ19" s="65">
        <f t="shared" si="25"/>
        <v>3279.304617413276</v>
      </c>
      <c r="BR19" s="65"/>
      <c r="BS19" s="41">
        <v>3422.2752361419844</v>
      </c>
      <c r="BT19" s="314"/>
      <c r="BU19" s="314"/>
      <c r="BV19" s="41">
        <v>491.19649138073504</v>
      </c>
      <c r="BW19" s="65">
        <v>0</v>
      </c>
      <c r="BX19" s="34">
        <v>-127.45699999999999</v>
      </c>
      <c r="BY19" s="65">
        <f t="shared" si="46"/>
        <v>3786.0147275227196</v>
      </c>
      <c r="CA19" s="5">
        <v>3302.4887958670474</v>
      </c>
      <c r="CB19" s="407">
        <v>531.23861861671173</v>
      </c>
      <c r="CC19" s="415">
        <v>0</v>
      </c>
      <c r="CD19" s="34">
        <v>-127.45699999999999</v>
      </c>
      <c r="CE19" s="65">
        <f t="shared" si="26"/>
        <v>3706.2704144837594</v>
      </c>
      <c r="CF19" s="407"/>
      <c r="CG19" s="5">
        <v>3405.0502238143126</v>
      </c>
      <c r="CH19" s="407">
        <v>564.86604838491826</v>
      </c>
      <c r="CI19" s="415">
        <v>0</v>
      </c>
      <c r="CJ19" s="34">
        <v>-127.45699999999999</v>
      </c>
      <c r="CK19" s="65">
        <f t="shared" si="27"/>
        <v>3842.4592721992308</v>
      </c>
      <c r="CL19" s="407"/>
      <c r="CM19" s="41">
        <f>AU19/'1. Väestöennuste'!L19*1000</f>
        <v>1841.1382483013708</v>
      </c>
      <c r="CN19" s="41">
        <f>BC19/'1. Väestöennuste'!M19*1000</f>
        <v>769.00460663508375</v>
      </c>
      <c r="CO19" s="41">
        <f>BK19/'1. Väestöennuste'!N19*1000</f>
        <v>681.32641496477675</v>
      </c>
      <c r="CP19" s="41">
        <f>BQ19/'1. Väestöennuste'!O19*1000</f>
        <v>696.3908722474572</v>
      </c>
      <c r="CQ19" s="41">
        <f>BY19/'1. Väestöennuste'!P19*1000</f>
        <v>807.9416832101407</v>
      </c>
      <c r="CR19" s="41">
        <f>CE19/'1. Väestöennuste'!Q19*1000</f>
        <v>794.48454758494302</v>
      </c>
      <c r="CS19" s="41">
        <f>CK19/'1. Väestöennuste'!R19*1000</f>
        <v>827.75942959914494</v>
      </c>
      <c r="CT19" s="41"/>
      <c r="CV19" s="41">
        <f t="shared" si="28"/>
        <v>3969.9162721992307</v>
      </c>
      <c r="CW19" s="41">
        <f t="shared" si="29"/>
        <v>-2001.32102389786</v>
      </c>
      <c r="CX19" s="41">
        <f t="shared" si="30"/>
        <v>-1072.1336416662871</v>
      </c>
      <c r="CY19" s="41">
        <f t="shared" si="31"/>
        <v>-87.678191670307001</v>
      </c>
      <c r="CZ19" s="41">
        <f t="shared" si="32"/>
        <v>15.064457282680451</v>
      </c>
      <c r="DA19" s="41">
        <f t="shared" si="33"/>
        <v>111.5508109626835</v>
      </c>
      <c r="DB19" s="41">
        <f t="shared" si="34"/>
        <v>-13.457135625197679</v>
      </c>
      <c r="DC19" s="41">
        <f t="shared" si="35"/>
        <v>33.274882014201921</v>
      </c>
      <c r="DD19" s="41"/>
      <c r="DE19" s="283">
        <f t="shared" si="36"/>
        <v>-31.147102726403656</v>
      </c>
      <c r="DF19" s="283">
        <f t="shared" si="37"/>
        <v>-0.52084378314110391</v>
      </c>
      <c r="DG19" s="283">
        <f t="shared" si="38"/>
        <v>-0.58232109547201827</v>
      </c>
      <c r="DH19" s="283">
        <f t="shared" si="39"/>
        <v>-0.11401517092850523</v>
      </c>
      <c r="DI19" s="283">
        <f t="shared" si="40"/>
        <v>2.2110484713056742E-2</v>
      </c>
      <c r="DJ19" s="283">
        <f t="shared" si="41"/>
        <v>0.16018419454964478</v>
      </c>
      <c r="DK19" s="283">
        <f t="shared" si="42"/>
        <v>-1.6656072962753132E-2</v>
      </c>
      <c r="DL19" s="283">
        <f t="shared" si="43"/>
        <v>4.1882352671741938E-2</v>
      </c>
    </row>
    <row r="20" spans="1:116" x14ac:dyDescent="0.2">
      <c r="A20" s="30">
        <v>19</v>
      </c>
      <c r="B20" s="31" t="s">
        <v>333</v>
      </c>
      <c r="C20" s="65"/>
      <c r="D20" s="65"/>
      <c r="E20" s="65"/>
      <c r="F20" s="65"/>
      <c r="G20" s="65"/>
      <c r="H20" s="65">
        <v>6032</v>
      </c>
      <c r="I20" s="65"/>
      <c r="J20" s="65"/>
      <c r="K20" s="65"/>
      <c r="L20" s="65"/>
      <c r="M20" s="65"/>
      <c r="N20" s="65">
        <v>5984</v>
      </c>
      <c r="O20" s="65"/>
      <c r="P20" s="65"/>
      <c r="Q20" s="65"/>
      <c r="R20" s="65"/>
      <c r="S20" s="65"/>
      <c r="T20" s="65">
        <v>6000</v>
      </c>
      <c r="U20" s="65"/>
      <c r="V20" s="65"/>
      <c r="W20" s="65"/>
      <c r="X20" s="65"/>
      <c r="Y20" s="65"/>
      <c r="Z20" s="65">
        <v>6002</v>
      </c>
      <c r="AA20" s="65"/>
      <c r="AB20" s="66">
        <v>6387.7873717812645</v>
      </c>
      <c r="AC20" s="34">
        <v>72.116082356935493</v>
      </c>
      <c r="AD20" s="180">
        <v>1751.7765695093165</v>
      </c>
      <c r="AE20" s="65">
        <v>540</v>
      </c>
      <c r="AF20" s="34">
        <v>-649.16499999999996</v>
      </c>
      <c r="AG20" s="65">
        <f t="shared" si="22"/>
        <v>8102.5150236475156</v>
      </c>
      <c r="AH20" s="65"/>
      <c r="AI20" s="66">
        <v>5693.2675727127944</v>
      </c>
      <c r="AJ20" s="34">
        <v>-56.197074216914253</v>
      </c>
      <c r="AK20" s="181">
        <v>1893.0429027934038</v>
      </c>
      <c r="AL20" s="65">
        <v>0</v>
      </c>
      <c r="AM20" s="34">
        <v>-18.544</v>
      </c>
      <c r="AN20" s="65">
        <f t="shared" si="23"/>
        <v>7511.5694012892836</v>
      </c>
      <c r="AO20" s="65"/>
      <c r="AP20" s="41">
        <v>5991.0149217118433</v>
      </c>
      <c r="AQ20" s="41">
        <v>-17.424497690650796</v>
      </c>
      <c r="AR20" s="41">
        <v>2246.7658940408842</v>
      </c>
      <c r="AS20" s="65">
        <v>0</v>
      </c>
      <c r="AT20" s="34">
        <v>-74.209999999999994</v>
      </c>
      <c r="AU20" s="65">
        <f t="shared" si="24"/>
        <v>8146.1463180620767</v>
      </c>
      <c r="AV20" s="65"/>
      <c r="AW20" s="41">
        <v>3202.8033303515267</v>
      </c>
      <c r="AX20" s="314"/>
      <c r="AY20" s="314"/>
      <c r="AZ20" s="41">
        <v>661.63039903514732</v>
      </c>
      <c r="BA20" s="65">
        <v>0</v>
      </c>
      <c r="BB20" s="34">
        <v>-773.678</v>
      </c>
      <c r="BC20" s="65">
        <f t="shared" si="44"/>
        <v>3090.7557293866739</v>
      </c>
      <c r="BD20" s="65"/>
      <c r="BE20" s="41">
        <v>2399.1126101401019</v>
      </c>
      <c r="BF20" s="314"/>
      <c r="BG20" s="314"/>
      <c r="BH20" s="41">
        <v>635.35001221102323</v>
      </c>
      <c r="BI20" s="65">
        <v>0</v>
      </c>
      <c r="BJ20" s="34">
        <v>-963.10799999999995</v>
      </c>
      <c r="BK20" s="65">
        <f t="shared" si="45"/>
        <v>2071.3546223511248</v>
      </c>
      <c r="BL20" s="65"/>
      <c r="BM20" s="41">
        <v>2816.5940311513377</v>
      </c>
      <c r="BN20" s="41">
        <v>332.53582947284178</v>
      </c>
      <c r="BO20" s="65">
        <v>0</v>
      </c>
      <c r="BP20" s="34">
        <v>-963.10799999999995</v>
      </c>
      <c r="BQ20" s="65">
        <f t="shared" si="25"/>
        <v>2186.0218606241797</v>
      </c>
      <c r="BR20" s="65"/>
      <c r="BS20" s="41">
        <v>2922.2362519611888</v>
      </c>
      <c r="BT20" s="314"/>
      <c r="BU20" s="314"/>
      <c r="BV20" s="41">
        <v>360.69707604224192</v>
      </c>
      <c r="BW20" s="65">
        <v>0</v>
      </c>
      <c r="BX20" s="34">
        <v>-963.10799999999995</v>
      </c>
      <c r="BY20" s="65">
        <f t="shared" si="46"/>
        <v>2319.8253280034305</v>
      </c>
      <c r="CA20" s="5">
        <v>3166.3158118371935</v>
      </c>
      <c r="CB20" s="407">
        <v>393.70035295185255</v>
      </c>
      <c r="CC20" s="415">
        <v>0</v>
      </c>
      <c r="CD20" s="34">
        <v>-963.10799999999995</v>
      </c>
      <c r="CE20" s="65">
        <f t="shared" si="26"/>
        <v>2596.9081647890462</v>
      </c>
      <c r="CF20" s="407"/>
      <c r="CG20" s="5">
        <v>3065.6540567296911</v>
      </c>
      <c r="CH20" s="407">
        <v>421.38584446559275</v>
      </c>
      <c r="CI20" s="415">
        <v>0</v>
      </c>
      <c r="CJ20" s="34">
        <v>-963.10799999999995</v>
      </c>
      <c r="CK20" s="65">
        <f t="shared" si="27"/>
        <v>2523.9319011952839</v>
      </c>
      <c r="CL20" s="407"/>
      <c r="CM20" s="41">
        <f>AU20/'1. Väestöennuste'!L20*1000</f>
        <v>2054.5135732817344</v>
      </c>
      <c r="CN20" s="41">
        <f>BC20/'1. Väestöennuste'!M20*1000</f>
        <v>780.29682640410863</v>
      </c>
      <c r="CO20" s="41">
        <f>BK20/'1. Väestöennuste'!N20*1000</f>
        <v>522.80530599473116</v>
      </c>
      <c r="CP20" s="41">
        <f>BQ20/'1. Väestöennuste'!O20*1000</f>
        <v>551.0516411959112</v>
      </c>
      <c r="CQ20" s="41">
        <f>BY20/'1. Väestöennuste'!P20*1000</f>
        <v>583.89764107813505</v>
      </c>
      <c r="CR20" s="41">
        <f>CE20/'1. Väestöennuste'!Q20*1000</f>
        <v>652.16176915847473</v>
      </c>
      <c r="CS20" s="41">
        <f>CK20/'1. Väestöennuste'!R20*1000</f>
        <v>632.88162015929879</v>
      </c>
      <c r="CT20" s="41"/>
      <c r="CV20" s="41">
        <f t="shared" si="28"/>
        <v>3487.0399011952841</v>
      </c>
      <c r="CW20" s="41">
        <f t="shared" si="29"/>
        <v>-469.41832791354955</v>
      </c>
      <c r="CX20" s="41">
        <f t="shared" si="30"/>
        <v>-1274.2167468776256</v>
      </c>
      <c r="CY20" s="41">
        <f t="shared" si="31"/>
        <v>-257.49152040937747</v>
      </c>
      <c r="CZ20" s="41">
        <f t="shared" si="32"/>
        <v>28.246335201180045</v>
      </c>
      <c r="DA20" s="41">
        <f t="shared" si="33"/>
        <v>32.84599988222385</v>
      </c>
      <c r="DB20" s="41">
        <f t="shared" si="34"/>
        <v>68.264128080339674</v>
      </c>
      <c r="DC20" s="41">
        <f t="shared" si="35"/>
        <v>-19.280148999175935</v>
      </c>
      <c r="DD20" s="41"/>
      <c r="DE20" s="283">
        <f t="shared" si="36"/>
        <v>-3.6206115006783084</v>
      </c>
      <c r="DF20" s="283">
        <f t="shared" si="37"/>
        <v>-0.18598692290043262</v>
      </c>
      <c r="DG20" s="283">
        <f t="shared" si="38"/>
        <v>-0.62020361580881755</v>
      </c>
      <c r="DH20" s="283">
        <f t="shared" si="39"/>
        <v>-0.32999175659343893</v>
      </c>
      <c r="DI20" s="283">
        <f t="shared" si="40"/>
        <v>5.4028401925715556E-2</v>
      </c>
      <c r="DJ20" s="283">
        <f t="shared" si="41"/>
        <v>5.9606028594598383E-2</v>
      </c>
      <c r="DK20" s="283">
        <f t="shared" si="42"/>
        <v>0.11691112153543504</v>
      </c>
      <c r="DL20" s="283">
        <f t="shared" si="43"/>
        <v>-2.9563445621865143E-2</v>
      </c>
    </row>
    <row r="21" spans="1:116" x14ac:dyDescent="0.2">
      <c r="A21" s="30">
        <v>20</v>
      </c>
      <c r="B21" s="31" t="s">
        <v>334</v>
      </c>
      <c r="C21" s="65"/>
      <c r="D21" s="65"/>
      <c r="E21" s="65"/>
      <c r="F21" s="65"/>
      <c r="G21" s="65"/>
      <c r="H21" s="65">
        <v>31248</v>
      </c>
      <c r="I21" s="65"/>
      <c r="J21" s="65"/>
      <c r="K21" s="65"/>
      <c r="L21" s="65"/>
      <c r="M21" s="65"/>
      <c r="N21" s="65">
        <v>30488</v>
      </c>
      <c r="O21" s="65"/>
      <c r="P21" s="65"/>
      <c r="Q21" s="65"/>
      <c r="R21" s="65"/>
      <c r="S21" s="65"/>
      <c r="T21" s="65">
        <v>29905</v>
      </c>
      <c r="U21" s="65"/>
      <c r="V21" s="65"/>
      <c r="W21" s="65"/>
      <c r="X21" s="65"/>
      <c r="Y21" s="65"/>
      <c r="Z21" s="65">
        <v>31449</v>
      </c>
      <c r="AA21" s="65"/>
      <c r="AB21" s="66">
        <v>31697.921745753301</v>
      </c>
      <c r="AC21" s="34">
        <v>309.96354763664374</v>
      </c>
      <c r="AD21" s="180">
        <v>7323.8144695855772</v>
      </c>
      <c r="AE21" s="65">
        <v>0</v>
      </c>
      <c r="AF21" s="34">
        <v>-2443.7779999999998</v>
      </c>
      <c r="AG21" s="65">
        <f t="shared" si="22"/>
        <v>36887.921762975522</v>
      </c>
      <c r="AH21" s="65"/>
      <c r="AI21" s="66">
        <v>28303.911525963496</v>
      </c>
      <c r="AJ21" s="34">
        <v>-241.92813339552006</v>
      </c>
      <c r="AK21" s="181">
        <v>7876.346318240483</v>
      </c>
      <c r="AL21" s="65">
        <v>1250</v>
      </c>
      <c r="AM21" s="34">
        <v>-2647.5360000000001</v>
      </c>
      <c r="AN21" s="65">
        <f t="shared" si="23"/>
        <v>34540.793710808459</v>
      </c>
      <c r="AO21" s="65"/>
      <c r="AP21" s="41">
        <v>29430.194091806799</v>
      </c>
      <c r="AQ21" s="41">
        <v>-75.065441741654965</v>
      </c>
      <c r="AR21" s="41">
        <v>9229.3096829814203</v>
      </c>
      <c r="AS21" s="65">
        <v>0</v>
      </c>
      <c r="AT21" s="34">
        <v>-2659.9760000000001</v>
      </c>
      <c r="AU21" s="65">
        <f t="shared" si="24"/>
        <v>35924.462333046562</v>
      </c>
      <c r="AV21" s="65"/>
      <c r="AW21" s="41">
        <v>8913.3117045869985</v>
      </c>
      <c r="AX21" s="314"/>
      <c r="AY21" s="314"/>
      <c r="AZ21" s="41">
        <v>2774.2440656870781</v>
      </c>
      <c r="BA21" s="65">
        <v>410</v>
      </c>
      <c r="BB21" s="34">
        <v>-2539.9760000000001</v>
      </c>
      <c r="BC21" s="65">
        <f t="shared" si="44"/>
        <v>9557.5797702740765</v>
      </c>
      <c r="BD21" s="65"/>
      <c r="BE21" s="41">
        <v>5448.8538913393386</v>
      </c>
      <c r="BF21" s="314"/>
      <c r="BG21" s="314"/>
      <c r="BH21" s="41">
        <v>2687.7977412677574</v>
      </c>
      <c r="BI21" s="65">
        <v>0</v>
      </c>
      <c r="BJ21" s="34">
        <v>-2390.8609999999999</v>
      </c>
      <c r="BK21" s="65">
        <f t="shared" si="45"/>
        <v>5745.7906326070961</v>
      </c>
      <c r="BL21" s="65"/>
      <c r="BM21" s="41">
        <v>7418.5885380196187</v>
      </c>
      <c r="BN21" s="41">
        <v>1362.5181473405869</v>
      </c>
      <c r="BO21" s="65">
        <v>0</v>
      </c>
      <c r="BP21" s="34">
        <v>-2390.8609999999999</v>
      </c>
      <c r="BQ21" s="65">
        <f t="shared" si="25"/>
        <v>6390.2456853602062</v>
      </c>
      <c r="BR21" s="65"/>
      <c r="BS21" s="41">
        <v>7612.9603316420671</v>
      </c>
      <c r="BT21" s="314"/>
      <c r="BU21" s="314"/>
      <c r="BV21" s="41">
        <v>1488.7631222039633</v>
      </c>
      <c r="BW21" s="65">
        <v>0</v>
      </c>
      <c r="BX21" s="34">
        <v>-2390.8609999999999</v>
      </c>
      <c r="BY21" s="65">
        <f t="shared" si="46"/>
        <v>6710.8624538460308</v>
      </c>
      <c r="CA21" s="5">
        <v>7740.3448794971755</v>
      </c>
      <c r="CB21" s="407">
        <v>1635.9566490810696</v>
      </c>
      <c r="CC21" s="415">
        <v>0</v>
      </c>
      <c r="CD21" s="34">
        <v>-2390.8609999999999</v>
      </c>
      <c r="CE21" s="65">
        <f t="shared" si="26"/>
        <v>6985.4405285782459</v>
      </c>
      <c r="CF21" s="407"/>
      <c r="CG21" s="5">
        <v>8565.4517591374424</v>
      </c>
      <c r="CH21" s="407">
        <v>1761.5677357611337</v>
      </c>
      <c r="CI21" s="415">
        <v>0</v>
      </c>
      <c r="CJ21" s="34">
        <v>-2390.8609999999999</v>
      </c>
      <c r="CK21" s="65">
        <f t="shared" si="27"/>
        <v>7936.1584948985756</v>
      </c>
      <c r="CL21" s="407"/>
      <c r="CM21" s="41">
        <f>AU21/'1. Väestöennuste'!L21*1000</f>
        <v>2180.8087375126911</v>
      </c>
      <c r="CN21" s="41">
        <f>BC21/'1. Väestöennuste'!M21*1000</f>
        <v>582.60163183627412</v>
      </c>
      <c r="CO21" s="41">
        <f>BK21/'1. Väestöennuste'!N21*1000</f>
        <v>361.23416525883914</v>
      </c>
      <c r="CP21" s="41">
        <f>BQ21/'1. Väestöennuste'!O21*1000</f>
        <v>404.57395918709761</v>
      </c>
      <c r="CQ21" s="41">
        <f>BY21/'1. Väestöennuste'!P21*1000</f>
        <v>427.66138502714955</v>
      </c>
      <c r="CR21" s="41">
        <f>CE21/'1. Väestöennuste'!Q21*1000</f>
        <v>447.92821600373492</v>
      </c>
      <c r="CS21" s="41">
        <f>CK21/'1. Väestöennuste'!R21*1000</f>
        <v>511.94416816530605</v>
      </c>
      <c r="CT21" s="41"/>
      <c r="CV21" s="41">
        <f t="shared" si="28"/>
        <v>10327.019494898575</v>
      </c>
      <c r="CW21" s="41">
        <f t="shared" si="29"/>
        <v>-5755.349757385884</v>
      </c>
      <c r="CX21" s="41">
        <f t="shared" si="30"/>
        <v>-1598.2071056764171</v>
      </c>
      <c r="CY21" s="41">
        <f t="shared" si="31"/>
        <v>-221.36746657743498</v>
      </c>
      <c r="CZ21" s="41">
        <f t="shared" si="32"/>
        <v>43.339793928258473</v>
      </c>
      <c r="DA21" s="41">
        <f t="shared" si="33"/>
        <v>23.087425840051935</v>
      </c>
      <c r="DB21" s="41">
        <f t="shared" si="34"/>
        <v>20.266830976585368</v>
      </c>
      <c r="DC21" s="41">
        <f t="shared" si="35"/>
        <v>64.015952161571136</v>
      </c>
      <c r="DD21" s="41"/>
      <c r="DE21" s="283">
        <f t="shared" si="36"/>
        <v>-4.3193726004558926</v>
      </c>
      <c r="DF21" s="283">
        <f t="shared" si="37"/>
        <v>-0.72520599999174251</v>
      </c>
      <c r="DG21" s="283">
        <f t="shared" si="38"/>
        <v>-0.73285065223062296</v>
      </c>
      <c r="DH21" s="283">
        <f t="shared" si="39"/>
        <v>-0.37996369127857998</v>
      </c>
      <c r="DI21" s="283">
        <f t="shared" si="40"/>
        <v>0.11997700687365417</v>
      </c>
      <c r="DJ21" s="283">
        <f t="shared" si="41"/>
        <v>5.7066020478532625E-2</v>
      </c>
      <c r="DK21" s="283">
        <f t="shared" si="42"/>
        <v>4.7389901651510469E-2</v>
      </c>
      <c r="DL21" s="283">
        <f t="shared" si="43"/>
        <v>0.14291565004031218</v>
      </c>
    </row>
    <row r="22" spans="1:116" x14ac:dyDescent="0.2">
      <c r="A22" s="30">
        <v>46</v>
      </c>
      <c r="B22" s="31" t="s">
        <v>335</v>
      </c>
      <c r="C22" s="65"/>
      <c r="D22" s="65"/>
      <c r="E22" s="65"/>
      <c r="F22" s="65"/>
      <c r="G22" s="65"/>
      <c r="H22" s="65">
        <v>5227</v>
      </c>
      <c r="I22" s="65"/>
      <c r="J22" s="65"/>
      <c r="K22" s="65"/>
      <c r="L22" s="65"/>
      <c r="M22" s="65"/>
      <c r="N22" s="65">
        <v>5272</v>
      </c>
      <c r="O22" s="65"/>
      <c r="P22" s="65"/>
      <c r="Q22" s="65"/>
      <c r="R22" s="65"/>
      <c r="S22" s="65"/>
      <c r="T22" s="65">
        <v>5335</v>
      </c>
      <c r="U22" s="65"/>
      <c r="V22" s="65"/>
      <c r="W22" s="65"/>
      <c r="X22" s="65"/>
      <c r="Y22" s="65"/>
      <c r="Z22" s="65">
        <v>5247</v>
      </c>
      <c r="AA22" s="65"/>
      <c r="AB22" s="66">
        <v>5216.3604705012667</v>
      </c>
      <c r="AC22" s="34">
        <v>23.148249873276036</v>
      </c>
      <c r="AD22" s="180">
        <v>853.01308116295684</v>
      </c>
      <c r="AE22" s="65">
        <v>0</v>
      </c>
      <c r="AF22" s="34">
        <v>-348.47899999999998</v>
      </c>
      <c r="AG22" s="65">
        <f t="shared" si="22"/>
        <v>5744.0428015374991</v>
      </c>
      <c r="AH22" s="65"/>
      <c r="AI22" s="66">
        <v>5037.106656143952</v>
      </c>
      <c r="AJ22" s="34">
        <v>-17.698432270712708</v>
      </c>
      <c r="AK22" s="181">
        <v>904.27353132529822</v>
      </c>
      <c r="AL22" s="65">
        <v>0</v>
      </c>
      <c r="AM22" s="34">
        <v>-344.1</v>
      </c>
      <c r="AN22" s="65">
        <f t="shared" si="23"/>
        <v>5579.5817551985365</v>
      </c>
      <c r="AO22" s="65"/>
      <c r="AP22" s="41">
        <v>5378.9475417952108</v>
      </c>
      <c r="AQ22" s="41">
        <v>-5.3897682851993247</v>
      </c>
      <c r="AR22" s="41">
        <v>1002.3619814681884</v>
      </c>
      <c r="AS22" s="65">
        <v>0</v>
      </c>
      <c r="AT22" s="34">
        <v>-336.72899999999998</v>
      </c>
      <c r="AU22" s="65">
        <f t="shared" si="24"/>
        <v>6039.1907549781999</v>
      </c>
      <c r="AV22" s="65"/>
      <c r="AW22" s="41">
        <v>1924.4815665263375</v>
      </c>
      <c r="AX22" s="314"/>
      <c r="AY22" s="314"/>
      <c r="AZ22" s="41">
        <v>299.25874607450697</v>
      </c>
      <c r="BA22" s="65">
        <v>0</v>
      </c>
      <c r="BB22" s="34">
        <v>-346.76900000000001</v>
      </c>
      <c r="BC22" s="65">
        <f t="shared" si="44"/>
        <v>1876.9713126008444</v>
      </c>
      <c r="BD22" s="65"/>
      <c r="BE22" s="41">
        <v>1988.3710469672362</v>
      </c>
      <c r="BF22" s="314"/>
      <c r="BG22" s="314"/>
      <c r="BH22" s="41">
        <v>298.19875810749141</v>
      </c>
      <c r="BI22" s="65">
        <v>0</v>
      </c>
      <c r="BJ22" s="34">
        <v>-378.233</v>
      </c>
      <c r="BK22" s="65">
        <f t="shared" si="45"/>
        <v>1908.3368050747279</v>
      </c>
      <c r="BL22" s="65"/>
      <c r="BM22" s="41">
        <v>2188.8171298186689</v>
      </c>
      <c r="BN22" s="41">
        <v>226.36044285415824</v>
      </c>
      <c r="BO22" s="65">
        <v>0</v>
      </c>
      <c r="BP22" s="34">
        <v>-378.233</v>
      </c>
      <c r="BQ22" s="65">
        <f t="shared" si="25"/>
        <v>2036.9445726728275</v>
      </c>
      <c r="BR22" s="65"/>
      <c r="BS22" s="41">
        <v>2136.3418891799975</v>
      </c>
      <c r="BT22" s="314"/>
      <c r="BU22" s="314"/>
      <c r="BV22" s="41">
        <v>240.5718721939017</v>
      </c>
      <c r="BW22" s="65">
        <v>0</v>
      </c>
      <c r="BX22" s="34">
        <v>-378.233</v>
      </c>
      <c r="BY22" s="65">
        <f t="shared" si="46"/>
        <v>1998.680761373899</v>
      </c>
      <c r="CA22" s="5">
        <v>2157.3618339443624</v>
      </c>
      <c r="CB22" s="407">
        <v>255.0611093898051</v>
      </c>
      <c r="CC22" s="415">
        <v>0</v>
      </c>
      <c r="CD22" s="34">
        <v>-378.233</v>
      </c>
      <c r="CE22" s="65">
        <f t="shared" si="26"/>
        <v>2034.1899433341675</v>
      </c>
      <c r="CF22" s="407"/>
      <c r="CG22" s="5">
        <v>2268.5558427020524</v>
      </c>
      <c r="CH22" s="407">
        <v>267.89479148874096</v>
      </c>
      <c r="CI22" s="415">
        <v>0</v>
      </c>
      <c r="CJ22" s="34">
        <v>-378.233</v>
      </c>
      <c r="CK22" s="65">
        <f t="shared" si="27"/>
        <v>2158.217634190793</v>
      </c>
      <c r="CL22" s="407"/>
      <c r="CM22" s="41">
        <f>AU22/'1. Väestöennuste'!L22*1000</f>
        <v>4503.4979530038781</v>
      </c>
      <c r="CN22" s="41">
        <f>BC22/'1. Väestöennuste'!M22*1000</f>
        <v>1421.9479640915486</v>
      </c>
      <c r="CO22" s="41">
        <f>BK22/'1. Väestöennuste'!N22*1000</f>
        <v>1452.3111149731567</v>
      </c>
      <c r="CP22" s="41">
        <f>BQ22/'1. Väestöennuste'!O22*1000</f>
        <v>1566.8804405175597</v>
      </c>
      <c r="CQ22" s="41">
        <f>BY22/'1. Väestöennuste'!P22*1000</f>
        <v>1552.976504564024</v>
      </c>
      <c r="CR22" s="41">
        <f>CE22/'1. Väestöennuste'!Q22*1000</f>
        <v>1596.6954029310577</v>
      </c>
      <c r="CS22" s="41">
        <f>CK22/'1. Väestöennuste'!R22*1000</f>
        <v>1714.2316395478897</v>
      </c>
      <c r="CT22" s="41"/>
      <c r="CV22" s="41">
        <f t="shared" si="28"/>
        <v>2536.4506341907932</v>
      </c>
      <c r="CW22" s="41">
        <f t="shared" si="29"/>
        <v>2345.2803188130852</v>
      </c>
      <c r="CX22" s="41">
        <f t="shared" si="30"/>
        <v>-3081.5499889123294</v>
      </c>
      <c r="CY22" s="41">
        <f t="shared" si="31"/>
        <v>30.363150881608135</v>
      </c>
      <c r="CZ22" s="41">
        <f t="shared" si="32"/>
        <v>114.569325544403</v>
      </c>
      <c r="DA22" s="41">
        <f t="shared" si="33"/>
        <v>-13.903935953535665</v>
      </c>
      <c r="DB22" s="41">
        <f t="shared" si="34"/>
        <v>43.718898367033717</v>
      </c>
      <c r="DC22" s="41">
        <f t="shared" si="35"/>
        <v>117.53623661683196</v>
      </c>
      <c r="DD22" s="41"/>
      <c r="DE22" s="283">
        <f t="shared" si="36"/>
        <v>-6.7060532375302868</v>
      </c>
      <c r="DF22" s="283">
        <f t="shared" si="37"/>
        <v>1.0866746159695937</v>
      </c>
      <c r="DG22" s="283">
        <f t="shared" si="38"/>
        <v>-0.68425699779810156</v>
      </c>
      <c r="DH22" s="283">
        <f t="shared" si="39"/>
        <v>2.1353208168209226E-2</v>
      </c>
      <c r="DI22" s="283">
        <f t="shared" si="40"/>
        <v>7.8887591207701113E-2</v>
      </c>
      <c r="DJ22" s="283">
        <f t="shared" si="41"/>
        <v>-8.8736419154884765E-3</v>
      </c>
      <c r="DK22" s="283">
        <f t="shared" si="42"/>
        <v>2.8151680491333108E-2</v>
      </c>
      <c r="DL22" s="283">
        <f t="shared" si="43"/>
        <v>7.3612184516264278E-2</v>
      </c>
    </row>
    <row r="23" spans="1:116" x14ac:dyDescent="0.2">
      <c r="A23" s="30">
        <v>47</v>
      </c>
      <c r="B23" s="31" t="s">
        <v>336</v>
      </c>
      <c r="C23" s="65"/>
      <c r="D23" s="65"/>
      <c r="E23" s="65"/>
      <c r="F23" s="65"/>
      <c r="G23" s="65"/>
      <c r="H23" s="65">
        <v>8935</v>
      </c>
      <c r="I23" s="65"/>
      <c r="J23" s="65"/>
      <c r="K23" s="65"/>
      <c r="L23" s="65"/>
      <c r="M23" s="65"/>
      <c r="N23" s="65">
        <v>8824</v>
      </c>
      <c r="O23" s="65"/>
      <c r="P23" s="65"/>
      <c r="Q23" s="65"/>
      <c r="R23" s="65"/>
      <c r="S23" s="65"/>
      <c r="T23" s="65">
        <v>8604</v>
      </c>
      <c r="U23" s="65"/>
      <c r="V23" s="65"/>
      <c r="W23" s="65"/>
      <c r="X23" s="65"/>
      <c r="Y23" s="65"/>
      <c r="Z23" s="65">
        <v>8789</v>
      </c>
      <c r="AA23" s="65"/>
      <c r="AB23" s="66">
        <v>8609.1254413249972</v>
      </c>
      <c r="AC23" s="34">
        <v>31.424125716523985</v>
      </c>
      <c r="AD23" s="180">
        <v>1076.741696331525</v>
      </c>
      <c r="AE23" s="65">
        <v>0</v>
      </c>
      <c r="AF23" s="34">
        <v>-19.396999999999998</v>
      </c>
      <c r="AG23" s="65">
        <f t="shared" si="22"/>
        <v>9697.8942633730439</v>
      </c>
      <c r="AH23" s="65"/>
      <c r="AI23" s="66">
        <v>8544.5080315834639</v>
      </c>
      <c r="AJ23" s="34">
        <v>-24.364550861164822</v>
      </c>
      <c r="AK23" s="181">
        <v>1151.0840972367487</v>
      </c>
      <c r="AL23" s="65">
        <v>0</v>
      </c>
      <c r="AM23" s="34">
        <v>20.03</v>
      </c>
      <c r="AN23" s="65">
        <f t="shared" si="23"/>
        <v>9691.2575779590497</v>
      </c>
      <c r="AO23" s="65"/>
      <c r="AP23" s="41">
        <v>8660.5255418423676</v>
      </c>
      <c r="AQ23" s="41">
        <v>-7.4805059507274398</v>
      </c>
      <c r="AR23" s="41">
        <v>1289.8196336833798</v>
      </c>
      <c r="AS23" s="65">
        <v>0</v>
      </c>
      <c r="AT23" s="34">
        <v>-36.543999999999997</v>
      </c>
      <c r="AU23" s="65">
        <f t="shared" si="24"/>
        <v>9906.3206695750214</v>
      </c>
      <c r="AV23" s="65"/>
      <c r="AW23" s="41">
        <v>3394.3994491504623</v>
      </c>
      <c r="AX23" s="314"/>
      <c r="AY23" s="314"/>
      <c r="AZ23" s="41">
        <v>388.61391736976691</v>
      </c>
      <c r="BA23" s="65">
        <v>0</v>
      </c>
      <c r="BB23" s="34">
        <v>-18.061</v>
      </c>
      <c r="BC23" s="65">
        <f t="shared" si="44"/>
        <v>3764.9523665202291</v>
      </c>
      <c r="BD23" s="65"/>
      <c r="BE23" s="41">
        <v>3081.873526014298</v>
      </c>
      <c r="BF23" s="314"/>
      <c r="BG23" s="314"/>
      <c r="BH23" s="41">
        <v>388.82850457805779</v>
      </c>
      <c r="BI23" s="65">
        <v>0</v>
      </c>
      <c r="BJ23" s="34">
        <v>-13.007999999999999</v>
      </c>
      <c r="BK23" s="65">
        <f t="shared" si="45"/>
        <v>3457.6940305923558</v>
      </c>
      <c r="BL23" s="65"/>
      <c r="BM23" s="41">
        <v>3262.1982407787245</v>
      </c>
      <c r="BN23" s="41">
        <v>271.69000096239057</v>
      </c>
      <c r="BO23" s="65">
        <v>0</v>
      </c>
      <c r="BP23" s="34">
        <v>-13.007999999999999</v>
      </c>
      <c r="BQ23" s="65">
        <f t="shared" si="25"/>
        <v>3520.8802417411152</v>
      </c>
      <c r="BR23" s="65"/>
      <c r="BS23" s="41">
        <v>3458.4086449267229</v>
      </c>
      <c r="BT23" s="314"/>
      <c r="BU23" s="314"/>
      <c r="BV23" s="41">
        <v>289.68515581081732</v>
      </c>
      <c r="BW23" s="65">
        <v>0</v>
      </c>
      <c r="BX23" s="34">
        <v>-13.007999999999999</v>
      </c>
      <c r="BY23" s="65">
        <f t="shared" si="46"/>
        <v>3735.0858007375405</v>
      </c>
      <c r="CA23" s="5">
        <v>3498.2534032740155</v>
      </c>
      <c r="CB23" s="407">
        <v>308.17384155571415</v>
      </c>
      <c r="CC23" s="415">
        <v>0</v>
      </c>
      <c r="CD23" s="34">
        <v>-13.007999999999999</v>
      </c>
      <c r="CE23" s="65">
        <f t="shared" si="26"/>
        <v>3793.4192448297299</v>
      </c>
      <c r="CF23" s="407"/>
      <c r="CG23" s="5">
        <v>3617.7465353206771</v>
      </c>
      <c r="CH23" s="407">
        <v>324.27352341971027</v>
      </c>
      <c r="CI23" s="415">
        <v>0</v>
      </c>
      <c r="CJ23" s="34">
        <v>-13.007999999999999</v>
      </c>
      <c r="CK23" s="65">
        <f t="shared" si="27"/>
        <v>3929.0120587403876</v>
      </c>
      <c r="CL23" s="407"/>
      <c r="CM23" s="41">
        <f>AU23/'1. Väestöennuste'!L23*1000</f>
        <v>5470.0831968939938</v>
      </c>
      <c r="CN23" s="41">
        <f>BC23/'1. Väestöennuste'!M23*1000</f>
        <v>2125.8906643253695</v>
      </c>
      <c r="CO23" s="41">
        <f>BK23/'1. Väestöennuste'!N23*1000</f>
        <v>1949.0947184849808</v>
      </c>
      <c r="CP23" s="41">
        <f>BQ23/'1. Väestöennuste'!O23*1000</f>
        <v>1991.448100532305</v>
      </c>
      <c r="CQ23" s="41">
        <f>BY23/'1. Väestöennuste'!P23*1000</f>
        <v>2121.0027261428395</v>
      </c>
      <c r="CR23" s="41">
        <f>CE23/'1. Väestöennuste'!Q23*1000</f>
        <v>2163.9584967653905</v>
      </c>
      <c r="CS23" s="41">
        <f>CK23/'1. Väestöennuste'!R23*1000</f>
        <v>2251.5828416850359</v>
      </c>
      <c r="CT23" s="41"/>
      <c r="CV23" s="41">
        <f t="shared" si="28"/>
        <v>3942.0200587403874</v>
      </c>
      <c r="CW23" s="41">
        <f t="shared" si="29"/>
        <v>1541.0711381536062</v>
      </c>
      <c r="CX23" s="41">
        <f t="shared" si="30"/>
        <v>-3344.1925325686243</v>
      </c>
      <c r="CY23" s="41">
        <f t="shared" si="31"/>
        <v>-176.79594584038864</v>
      </c>
      <c r="CZ23" s="41">
        <f t="shared" si="32"/>
        <v>42.353382047324203</v>
      </c>
      <c r="DA23" s="41">
        <f t="shared" si="33"/>
        <v>129.55462561053446</v>
      </c>
      <c r="DB23" s="41">
        <f t="shared" si="34"/>
        <v>42.955770622550972</v>
      </c>
      <c r="DC23" s="41">
        <f t="shared" si="35"/>
        <v>87.624344919645409</v>
      </c>
      <c r="DD23" s="41"/>
      <c r="DE23" s="283">
        <f t="shared" si="36"/>
        <v>-303.04582247389203</v>
      </c>
      <c r="DF23" s="283">
        <f t="shared" si="37"/>
        <v>0.3922286608220954</v>
      </c>
      <c r="DG23" s="283">
        <f t="shared" si="38"/>
        <v>-0.61136045142192963</v>
      </c>
      <c r="DH23" s="283">
        <f t="shared" si="39"/>
        <v>-8.3163235441599301E-2</v>
      </c>
      <c r="DI23" s="283">
        <f t="shared" si="40"/>
        <v>2.1729771080722656E-2</v>
      </c>
      <c r="DJ23" s="283">
        <f t="shared" si="41"/>
        <v>6.505548679672099E-2</v>
      </c>
      <c r="DK23" s="283">
        <f t="shared" si="42"/>
        <v>2.0252576808643907E-2</v>
      </c>
      <c r="DL23" s="283">
        <f t="shared" si="43"/>
        <v>4.0492618065745355E-2</v>
      </c>
    </row>
    <row r="24" spans="1:116" x14ac:dyDescent="0.2">
      <c r="A24" s="30">
        <v>49</v>
      </c>
      <c r="B24" s="31" t="s">
        <v>337</v>
      </c>
      <c r="C24" s="65"/>
      <c r="D24" s="65"/>
      <c r="E24" s="65"/>
      <c r="F24" s="65"/>
      <c r="G24" s="65"/>
      <c r="H24" s="65">
        <v>60915</v>
      </c>
      <c r="I24" s="65"/>
      <c r="J24" s="65"/>
      <c r="K24" s="65"/>
      <c r="L24" s="65"/>
      <c r="M24" s="65"/>
      <c r="N24" s="65">
        <v>36400</v>
      </c>
      <c r="O24" s="65"/>
      <c r="P24" s="65"/>
      <c r="Q24" s="65"/>
      <c r="R24" s="65"/>
      <c r="S24" s="65"/>
      <c r="T24" s="65">
        <v>43067</v>
      </c>
      <c r="U24" s="65"/>
      <c r="V24" s="65"/>
      <c r="W24" s="65"/>
      <c r="X24" s="65"/>
      <c r="Y24" s="65"/>
      <c r="Z24" s="65">
        <v>60874</v>
      </c>
      <c r="AA24" s="65"/>
      <c r="AB24" s="66">
        <v>129216.51985306588</v>
      </c>
      <c r="AC24" s="34">
        <v>7699.5081782708057</v>
      </c>
      <c r="AD24" s="180">
        <v>78185.695324851316</v>
      </c>
      <c r="AE24" s="65">
        <v>0</v>
      </c>
      <c r="AF24" s="34">
        <v>-12341.987999999999</v>
      </c>
      <c r="AG24" s="65">
        <f t="shared" si="22"/>
        <v>202759.735356188</v>
      </c>
      <c r="AH24" s="65"/>
      <c r="AI24" s="66">
        <v>64622.706016371158</v>
      </c>
      <c r="AJ24" s="34">
        <v>-5947.2332372204137</v>
      </c>
      <c r="AK24" s="181">
        <v>86116.267265240007</v>
      </c>
      <c r="AL24" s="65">
        <v>0</v>
      </c>
      <c r="AM24" s="34">
        <v>-7141.9979999999996</v>
      </c>
      <c r="AN24" s="65">
        <f t="shared" si="23"/>
        <v>137649.74204439076</v>
      </c>
      <c r="AO24" s="65"/>
      <c r="AP24" s="41">
        <v>68242.353171724797</v>
      </c>
      <c r="AQ24" s="41">
        <v>-1829.2923131113523</v>
      </c>
      <c r="AR24" s="41">
        <v>97811.038887873583</v>
      </c>
      <c r="AS24" s="65">
        <v>0</v>
      </c>
      <c r="AT24" s="34">
        <v>-77.253</v>
      </c>
      <c r="AU24" s="65">
        <f t="shared" si="24"/>
        <v>164146.84674648705</v>
      </c>
      <c r="AV24" s="65"/>
      <c r="AW24" s="41">
        <v>325417.70219257724</v>
      </c>
      <c r="AX24" s="314"/>
      <c r="AY24" s="314"/>
      <c r="AZ24" s="41">
        <v>30593.19201680956</v>
      </c>
      <c r="BA24" s="65">
        <v>0</v>
      </c>
      <c r="BB24" s="34">
        <v>501.31900000000002</v>
      </c>
      <c r="BC24" s="65">
        <f t="shared" si="44"/>
        <v>356512.2132093868</v>
      </c>
      <c r="BD24" s="65"/>
      <c r="BE24" s="41">
        <v>367584.47493918537</v>
      </c>
      <c r="BF24" s="314"/>
      <c r="BG24" s="314"/>
      <c r="BH24" s="41">
        <v>30849.901272778348</v>
      </c>
      <c r="BI24" s="65">
        <v>0</v>
      </c>
      <c r="BJ24" s="34">
        <v>-3957.8180000000002</v>
      </c>
      <c r="BK24" s="65">
        <f t="shared" si="45"/>
        <v>394476.55821196368</v>
      </c>
      <c r="BL24" s="65"/>
      <c r="BM24" s="41">
        <v>423285.384897638</v>
      </c>
      <c r="BN24" s="41">
        <v>22673.636025407101</v>
      </c>
      <c r="BO24" s="65">
        <v>0</v>
      </c>
      <c r="BP24" s="34">
        <v>-3957.8180000000002</v>
      </c>
      <c r="BQ24" s="65">
        <f t="shared" si="25"/>
        <v>442001.20292304509</v>
      </c>
      <c r="BR24" s="65"/>
      <c r="BS24" s="41">
        <v>434525.05766671244</v>
      </c>
      <c r="BT24" s="314"/>
      <c r="BU24" s="314"/>
      <c r="BV24" s="41">
        <v>23219.108369036552</v>
      </c>
      <c r="BW24" s="65">
        <v>0</v>
      </c>
      <c r="BX24" s="34">
        <v>-3957.8180000000002</v>
      </c>
      <c r="BY24" s="65">
        <f t="shared" si="46"/>
        <v>453786.34803574899</v>
      </c>
      <c r="CA24" s="5">
        <v>442132.08693095663</v>
      </c>
      <c r="CB24" s="407">
        <v>24834.603235702831</v>
      </c>
      <c r="CC24" s="415">
        <v>0</v>
      </c>
      <c r="CD24" s="34">
        <v>-3957.8180000000002</v>
      </c>
      <c r="CE24" s="65">
        <f t="shared" si="26"/>
        <v>463008.87216665945</v>
      </c>
      <c r="CF24" s="407"/>
      <c r="CG24" s="5">
        <v>458070.99646964902</v>
      </c>
      <c r="CH24" s="407">
        <v>26078.598373396322</v>
      </c>
      <c r="CI24" s="415">
        <v>0</v>
      </c>
      <c r="CJ24" s="34">
        <v>-3957.8180000000002</v>
      </c>
      <c r="CK24" s="65">
        <f t="shared" si="27"/>
        <v>480191.77684304531</v>
      </c>
      <c r="CL24" s="407"/>
      <c r="CM24" s="41">
        <f>AU24/'1. Väestöennuste'!L24*1000</f>
        <v>537.703331258106</v>
      </c>
      <c r="CN24" s="41">
        <f>BC24/'1. Väestöennuste'!M24*1000</f>
        <v>1135.3024393338942</v>
      </c>
      <c r="CO24" s="41">
        <f>BK24/'1. Väestöennuste'!N24*1000</f>
        <v>1269.0866801099094</v>
      </c>
      <c r="CP24" s="41">
        <f>BQ24/'1. Väestöennuste'!O24*1000</f>
        <v>1404.3063251533615</v>
      </c>
      <c r="CQ24" s="41">
        <f>BY24/'1. Väestöennuste'!P24*1000</f>
        <v>1424.9040658268616</v>
      </c>
      <c r="CR24" s="41">
        <f>CE24/'1. Väestöennuste'!Q24*1000</f>
        <v>1437.8755630018397</v>
      </c>
      <c r="CS24" s="41">
        <f>CK24/'1. Väestöennuste'!R24*1000</f>
        <v>1475.8057657695877</v>
      </c>
      <c r="CT24" s="41"/>
      <c r="CV24" s="41">
        <f t="shared" si="28"/>
        <v>484149.59484304534</v>
      </c>
      <c r="CW24" s="41">
        <f t="shared" si="29"/>
        <v>-479654.07351178722</v>
      </c>
      <c r="CX24" s="41">
        <f t="shared" si="30"/>
        <v>597.59910807578819</v>
      </c>
      <c r="CY24" s="41">
        <f t="shared" si="31"/>
        <v>133.78424077601517</v>
      </c>
      <c r="CZ24" s="41">
        <f t="shared" si="32"/>
        <v>135.21964504345215</v>
      </c>
      <c r="DA24" s="41">
        <f t="shared" si="33"/>
        <v>20.597740673500084</v>
      </c>
      <c r="DB24" s="41">
        <f t="shared" si="34"/>
        <v>12.97149717497814</v>
      </c>
      <c r="DC24" s="41">
        <f t="shared" si="35"/>
        <v>37.930202767747915</v>
      </c>
      <c r="DD24" s="41"/>
      <c r="DE24" s="283">
        <f t="shared" si="36"/>
        <v>-122.32740233205401</v>
      </c>
      <c r="DF24" s="283">
        <f t="shared" si="37"/>
        <v>-0.99888023211310872</v>
      </c>
      <c r="DG24" s="283">
        <f t="shared" si="38"/>
        <v>1.1113918648737759</v>
      </c>
      <c r="DH24" s="283">
        <f t="shared" si="39"/>
        <v>0.11784017733152163</v>
      </c>
      <c r="DI24" s="283">
        <f t="shared" si="40"/>
        <v>0.10654878595979074</v>
      </c>
      <c r="DJ24" s="283">
        <f t="shared" si="41"/>
        <v>1.46675552937146E-2</v>
      </c>
      <c r="DK24" s="283">
        <f t="shared" si="42"/>
        <v>9.1034178974363951E-3</v>
      </c>
      <c r="DL24" s="283">
        <f t="shared" si="43"/>
        <v>2.6379336114845275E-2</v>
      </c>
    </row>
    <row r="25" spans="1:116" x14ac:dyDescent="0.2">
      <c r="A25" s="30">
        <v>50</v>
      </c>
      <c r="B25" s="31" t="s">
        <v>338</v>
      </c>
      <c r="C25" s="65"/>
      <c r="D25" s="65"/>
      <c r="E25" s="65"/>
      <c r="F25" s="65"/>
      <c r="G25" s="65"/>
      <c r="H25" s="65">
        <v>24386</v>
      </c>
      <c r="I25" s="65"/>
      <c r="J25" s="65"/>
      <c r="K25" s="65"/>
      <c r="L25" s="65"/>
      <c r="M25" s="65"/>
      <c r="N25" s="65">
        <v>23837</v>
      </c>
      <c r="O25" s="65"/>
      <c r="P25" s="65"/>
      <c r="Q25" s="65"/>
      <c r="R25" s="65"/>
      <c r="S25" s="65"/>
      <c r="T25" s="65">
        <v>22881</v>
      </c>
      <c r="U25" s="65"/>
      <c r="V25" s="65"/>
      <c r="W25" s="65"/>
      <c r="X25" s="65"/>
      <c r="Y25" s="65"/>
      <c r="Z25" s="65">
        <v>24118</v>
      </c>
      <c r="AA25" s="65"/>
      <c r="AB25" s="66">
        <v>23930.931061338604</v>
      </c>
      <c r="AC25" s="34">
        <v>222.82981126416857</v>
      </c>
      <c r="AD25" s="180">
        <v>5552.8373952102365</v>
      </c>
      <c r="AE25" s="65">
        <v>0</v>
      </c>
      <c r="AF25" s="34">
        <v>-1216.655</v>
      </c>
      <c r="AG25" s="65">
        <f t="shared" si="22"/>
        <v>28489.943267813011</v>
      </c>
      <c r="AH25" s="65"/>
      <c r="AI25" s="66">
        <v>22139.692218720378</v>
      </c>
      <c r="AJ25" s="34">
        <v>-173.10306009383902</v>
      </c>
      <c r="AK25" s="181">
        <v>5933.9759366506987</v>
      </c>
      <c r="AL25" s="65">
        <v>0</v>
      </c>
      <c r="AM25" s="34">
        <v>-1382.5930000000001</v>
      </c>
      <c r="AN25" s="65">
        <f t="shared" si="23"/>
        <v>26517.972095277237</v>
      </c>
      <c r="AO25" s="65"/>
      <c r="AP25" s="41">
        <v>22011.237615159742</v>
      </c>
      <c r="AQ25" s="41">
        <v>-53.482174047365532</v>
      </c>
      <c r="AR25" s="41">
        <v>6829.0192039551403</v>
      </c>
      <c r="AS25" s="65">
        <v>0</v>
      </c>
      <c r="AT25" s="34">
        <v>-1324.5509999999999</v>
      </c>
      <c r="AU25" s="65">
        <f t="shared" si="24"/>
        <v>27462.223645067515</v>
      </c>
      <c r="AV25" s="65"/>
      <c r="AW25" s="41">
        <v>6207.9400516043097</v>
      </c>
      <c r="AX25" s="314"/>
      <c r="AY25" s="314"/>
      <c r="AZ25" s="41">
        <v>2090.4517902924222</v>
      </c>
      <c r="BA25" s="65">
        <v>0</v>
      </c>
      <c r="BB25" s="34">
        <v>-1294.7059999999999</v>
      </c>
      <c r="BC25" s="65">
        <f t="shared" si="44"/>
        <v>7003.6858418967313</v>
      </c>
      <c r="BD25" s="65"/>
      <c r="BE25" s="41">
        <v>3912.408394692709</v>
      </c>
      <c r="BF25" s="314"/>
      <c r="BG25" s="314"/>
      <c r="BH25" s="41">
        <v>2048.8351354750557</v>
      </c>
      <c r="BI25" s="65">
        <v>0</v>
      </c>
      <c r="BJ25" s="34">
        <v>-835.06799999999998</v>
      </c>
      <c r="BK25" s="65">
        <f t="shared" si="45"/>
        <v>5126.1755301677649</v>
      </c>
      <c r="BL25" s="65"/>
      <c r="BM25" s="41">
        <v>4834.9353389431672</v>
      </c>
      <c r="BN25" s="41">
        <v>1240.2456096827987</v>
      </c>
      <c r="BO25" s="65">
        <v>0</v>
      </c>
      <c r="BP25" s="34">
        <v>-835.06799999999998</v>
      </c>
      <c r="BQ25" s="65">
        <f t="shared" si="25"/>
        <v>5240.1129486259661</v>
      </c>
      <c r="BR25" s="65"/>
      <c r="BS25" s="41">
        <v>5417.0404431951938</v>
      </c>
      <c r="BT25" s="314"/>
      <c r="BU25" s="314"/>
      <c r="BV25" s="41">
        <v>1330.6214534357268</v>
      </c>
      <c r="BW25" s="65">
        <v>0</v>
      </c>
      <c r="BX25" s="34">
        <v>-835.06799999999998</v>
      </c>
      <c r="BY25" s="65">
        <f t="shared" si="46"/>
        <v>5912.5938966309204</v>
      </c>
      <c r="CA25" s="5">
        <v>5341.9694079550063</v>
      </c>
      <c r="CB25" s="407">
        <v>1428.5909179710311</v>
      </c>
      <c r="CC25" s="415">
        <v>0</v>
      </c>
      <c r="CD25" s="34">
        <v>-835.06799999999998</v>
      </c>
      <c r="CE25" s="65">
        <f t="shared" si="26"/>
        <v>5935.4923259260368</v>
      </c>
      <c r="CF25" s="407"/>
      <c r="CG25" s="5">
        <v>6283.9167926510863</v>
      </c>
      <c r="CH25" s="407">
        <v>1512.0523655414552</v>
      </c>
      <c r="CI25" s="415">
        <v>0</v>
      </c>
      <c r="CJ25" s="34">
        <v>-835.06799999999998</v>
      </c>
      <c r="CK25" s="65">
        <f t="shared" si="27"/>
        <v>6960.9011581925415</v>
      </c>
      <c r="CL25" s="407"/>
      <c r="CM25" s="41">
        <f>AU25/'1. Väestöennuste'!L25*1000</f>
        <v>2435.4579323401485</v>
      </c>
      <c r="CN25" s="41">
        <f>BC25/'1. Väestöennuste'!M25*1000</f>
        <v>626.22369830979346</v>
      </c>
      <c r="CO25" s="41">
        <f>BK25/'1. Väestöennuste'!N25*1000</f>
        <v>466.82228669226527</v>
      </c>
      <c r="CP25" s="41">
        <f>BQ25/'1. Väestöennuste'!O25*1000</f>
        <v>482.29295431440096</v>
      </c>
      <c r="CQ25" s="41">
        <f>BY25/'1. Väestöennuste'!P25*1000</f>
        <v>549.8041562796094</v>
      </c>
      <c r="CR25" s="41">
        <f>CE25/'1. Väestöennuste'!Q25*1000</f>
        <v>557.32322309164658</v>
      </c>
      <c r="CS25" s="41">
        <f>CK25/'1. Väestöennuste'!R25*1000</f>
        <v>659.86360396175394</v>
      </c>
      <c r="CT25" s="41"/>
      <c r="CV25" s="41">
        <f t="shared" si="28"/>
        <v>7795.9691581925417</v>
      </c>
      <c r="CW25" s="41">
        <f t="shared" si="29"/>
        <v>-4525.443225852393</v>
      </c>
      <c r="CX25" s="41">
        <f t="shared" si="30"/>
        <v>-1809.2342340303551</v>
      </c>
      <c r="CY25" s="41">
        <f t="shared" si="31"/>
        <v>-159.4014116175282</v>
      </c>
      <c r="CZ25" s="41">
        <f t="shared" si="32"/>
        <v>15.470667622135693</v>
      </c>
      <c r="DA25" s="41">
        <f t="shared" si="33"/>
        <v>67.511201965208443</v>
      </c>
      <c r="DB25" s="41">
        <f t="shared" si="34"/>
        <v>7.5190668120371811</v>
      </c>
      <c r="DC25" s="41">
        <f t="shared" si="35"/>
        <v>102.54038087010736</v>
      </c>
      <c r="DD25" s="41"/>
      <c r="DE25" s="283">
        <f t="shared" si="36"/>
        <v>-9.3357297348150592</v>
      </c>
      <c r="DF25" s="283">
        <f t="shared" si="37"/>
        <v>-0.65012318419810222</v>
      </c>
      <c r="DG25" s="283">
        <f t="shared" si="38"/>
        <v>-0.74287229929359677</v>
      </c>
      <c r="DH25" s="283">
        <f t="shared" si="39"/>
        <v>-0.25454388271756551</v>
      </c>
      <c r="DI25" s="283">
        <f t="shared" si="40"/>
        <v>3.3140379247433273E-2</v>
      </c>
      <c r="DJ25" s="283">
        <f t="shared" si="41"/>
        <v>0.13997965626758607</v>
      </c>
      <c r="DK25" s="283">
        <f t="shared" si="42"/>
        <v>1.3675900274957672E-2</v>
      </c>
      <c r="DL25" s="283">
        <f t="shared" si="43"/>
        <v>0.18398727456803923</v>
      </c>
    </row>
    <row r="26" spans="1:116" x14ac:dyDescent="0.2">
      <c r="A26" s="30">
        <v>51</v>
      </c>
      <c r="B26" s="31" t="s">
        <v>339</v>
      </c>
      <c r="C26" s="65"/>
      <c r="D26" s="65"/>
      <c r="E26" s="65"/>
      <c r="F26" s="65"/>
      <c r="G26" s="65"/>
      <c r="H26" s="65">
        <v>8609</v>
      </c>
      <c r="I26" s="65"/>
      <c r="J26" s="65"/>
      <c r="K26" s="65"/>
      <c r="L26" s="65"/>
      <c r="M26" s="65"/>
      <c r="N26" s="65">
        <v>13351</v>
      </c>
      <c r="O26" s="65"/>
      <c r="P26" s="65"/>
      <c r="Q26" s="65"/>
      <c r="R26" s="65"/>
      <c r="S26" s="65"/>
      <c r="T26" s="65">
        <v>11737</v>
      </c>
      <c r="U26" s="65"/>
      <c r="V26" s="65"/>
      <c r="W26" s="65"/>
      <c r="X26" s="65"/>
      <c r="Y26" s="65"/>
      <c r="Z26" s="65">
        <v>11120</v>
      </c>
      <c r="AA26" s="65"/>
      <c r="AB26" s="66">
        <v>9957.1639602559117</v>
      </c>
      <c r="AC26" s="34">
        <v>257.09279593543488</v>
      </c>
      <c r="AD26" s="180">
        <v>4895.5615507298162</v>
      </c>
      <c r="AE26" s="65">
        <v>0</v>
      </c>
      <c r="AF26" s="34">
        <v>-924.44200000000001</v>
      </c>
      <c r="AG26" s="65">
        <f t="shared" si="22"/>
        <v>14185.376306921164</v>
      </c>
      <c r="AH26" s="65"/>
      <c r="AI26" s="66">
        <v>8732.1720133217514</v>
      </c>
      <c r="AJ26" s="34">
        <v>-201.19253104191006</v>
      </c>
      <c r="AK26" s="181">
        <v>5195.6482626885572</v>
      </c>
      <c r="AL26" s="65">
        <v>0</v>
      </c>
      <c r="AM26" s="34">
        <v>-1017.6180000000001</v>
      </c>
      <c r="AN26" s="65">
        <f t="shared" si="23"/>
        <v>12709.009744968398</v>
      </c>
      <c r="AO26" s="65"/>
      <c r="AP26" s="41">
        <v>9331.5314070571294</v>
      </c>
      <c r="AQ26" s="41">
        <v>-60.850302704078295</v>
      </c>
      <c r="AR26" s="41">
        <v>5827.2755519337297</v>
      </c>
      <c r="AS26" s="65">
        <v>0</v>
      </c>
      <c r="AT26" s="34">
        <v>-914.67899999999997</v>
      </c>
      <c r="AU26" s="65">
        <f t="shared" si="24"/>
        <v>14183.27765628678</v>
      </c>
      <c r="AV26" s="65"/>
      <c r="AW26" s="41">
        <v>-4901.6729999974777</v>
      </c>
      <c r="AX26" s="314"/>
      <c r="AY26" s="314"/>
      <c r="AZ26" s="41">
        <v>1803.7440505200343</v>
      </c>
      <c r="BA26" s="65">
        <v>0</v>
      </c>
      <c r="BB26" s="34">
        <v>-847.97400000000005</v>
      </c>
      <c r="BC26" s="65">
        <f t="shared" si="44"/>
        <v>-3945.9029494774436</v>
      </c>
      <c r="BD26" s="65"/>
      <c r="BE26" s="41">
        <v>-5743.5885893153245</v>
      </c>
      <c r="BF26" s="314"/>
      <c r="BG26" s="314"/>
      <c r="BH26" s="41">
        <v>1783.3720840898197</v>
      </c>
      <c r="BI26" s="65">
        <v>0</v>
      </c>
      <c r="BJ26" s="34">
        <v>-684.39200000000005</v>
      </c>
      <c r="BK26" s="65">
        <f t="shared" si="45"/>
        <v>-4644.6085052255048</v>
      </c>
      <c r="BL26" s="65"/>
      <c r="BM26" s="41">
        <v>-5019.079589138144</v>
      </c>
      <c r="BN26" s="41">
        <v>1453.9177571586624</v>
      </c>
      <c r="BO26" s="65">
        <v>0</v>
      </c>
      <c r="BP26" s="34">
        <v>-684.39200000000005</v>
      </c>
      <c r="BQ26" s="65">
        <f t="shared" si="25"/>
        <v>-4249.5538319794814</v>
      </c>
      <c r="BR26" s="65"/>
      <c r="BS26" s="41">
        <v>-4907.7330523697856</v>
      </c>
      <c r="BT26" s="314"/>
      <c r="BU26" s="314"/>
      <c r="BV26" s="41">
        <v>1511.8557401374148</v>
      </c>
      <c r="BW26" s="65">
        <v>0</v>
      </c>
      <c r="BX26" s="34">
        <v>-684.39200000000005</v>
      </c>
      <c r="BY26" s="65">
        <f t="shared" si="46"/>
        <v>-4080.2693122323708</v>
      </c>
      <c r="CA26" s="5">
        <v>-5167.816912139031</v>
      </c>
      <c r="CB26" s="407">
        <v>1574.0914234919182</v>
      </c>
      <c r="CC26" s="415">
        <v>0</v>
      </c>
      <c r="CD26" s="34">
        <v>-684.39200000000005</v>
      </c>
      <c r="CE26" s="65">
        <f t="shared" si="26"/>
        <v>-4278.1174886471126</v>
      </c>
      <c r="CF26" s="407"/>
      <c r="CG26" s="5">
        <v>-4909.8895472998311</v>
      </c>
      <c r="CH26" s="407">
        <v>1623.8412628285537</v>
      </c>
      <c r="CI26" s="415">
        <v>0</v>
      </c>
      <c r="CJ26" s="34">
        <v>-684.39200000000005</v>
      </c>
      <c r="CK26" s="65">
        <f t="shared" si="27"/>
        <v>-3970.4402844712777</v>
      </c>
      <c r="CL26" s="407"/>
      <c r="CM26" s="41">
        <f>AU26/'1. Väestöennuste'!L26*1000</f>
        <v>1539.8195262497863</v>
      </c>
      <c r="CN26" s="41">
        <f>BC26/'1. Väestöennuste'!M26*1000</f>
        <v>-431.57639171797479</v>
      </c>
      <c r="CO26" s="41">
        <f>BK26/'1. Väestöennuste'!N26*1000</f>
        <v>-485.78689522283287</v>
      </c>
      <c r="CP26" s="41">
        <f>BQ26/'1. Väestöennuste'!O26*1000</f>
        <v>-444.14233193765483</v>
      </c>
      <c r="CQ26" s="41">
        <f>BY26/'1. Väestöennuste'!P26*1000</f>
        <v>-426.58330499031581</v>
      </c>
      <c r="CR26" s="41">
        <f>CE26/'1. Väestöennuste'!Q26*1000</f>
        <v>-447.5486440681151</v>
      </c>
      <c r="CS26" s="41">
        <f>CK26/'1. Väestöennuste'!R26*1000</f>
        <v>-415.83999627893564</v>
      </c>
      <c r="CT26" s="41"/>
      <c r="CV26" s="41">
        <f t="shared" si="28"/>
        <v>-3286.0482844712778</v>
      </c>
      <c r="CW26" s="41">
        <f t="shared" si="29"/>
        <v>5510.2598107210642</v>
      </c>
      <c r="CX26" s="41">
        <f t="shared" si="30"/>
        <v>-1971.3959179677611</v>
      </c>
      <c r="CY26" s="41">
        <f t="shared" si="31"/>
        <v>-54.210503504858082</v>
      </c>
      <c r="CZ26" s="41">
        <f t="shared" si="32"/>
        <v>41.644563285178037</v>
      </c>
      <c r="DA26" s="41">
        <f t="shared" si="33"/>
        <v>17.559026947339021</v>
      </c>
      <c r="DB26" s="41">
        <f t="shared" si="34"/>
        <v>-20.965339077799285</v>
      </c>
      <c r="DC26" s="41">
        <f t="shared" si="35"/>
        <v>31.708647789179452</v>
      </c>
      <c r="DD26" s="41"/>
      <c r="DE26" s="283">
        <f t="shared" si="36"/>
        <v>4.8014124719039346</v>
      </c>
      <c r="DF26" s="283">
        <f t="shared" si="37"/>
        <v>-1.3878208500634424</v>
      </c>
      <c r="DG26" s="283">
        <f t="shared" si="38"/>
        <v>-1.2802772561074571</v>
      </c>
      <c r="DH26" s="283">
        <f t="shared" si="39"/>
        <v>0.12561044706144028</v>
      </c>
      <c r="DI26" s="283">
        <f t="shared" si="40"/>
        <v>-8.5725991571006604E-2</v>
      </c>
      <c r="DJ26" s="283">
        <f t="shared" si="41"/>
        <v>-3.9534684457422573E-2</v>
      </c>
      <c r="DK26" s="283">
        <f t="shared" si="42"/>
        <v>4.9147115774432933E-2</v>
      </c>
      <c r="DL26" s="283">
        <f t="shared" si="43"/>
        <v>-7.0849612013020702E-2</v>
      </c>
    </row>
    <row r="27" spans="1:116" x14ac:dyDescent="0.2">
      <c r="A27" s="30">
        <v>52</v>
      </c>
      <c r="B27" s="31" t="s">
        <v>340</v>
      </c>
      <c r="C27" s="65"/>
      <c r="D27" s="65"/>
      <c r="E27" s="65"/>
      <c r="F27" s="65"/>
      <c r="G27" s="65"/>
      <c r="H27" s="65">
        <v>8085</v>
      </c>
      <c r="I27" s="65"/>
      <c r="J27" s="65"/>
      <c r="K27" s="65"/>
      <c r="L27" s="65"/>
      <c r="M27" s="65"/>
      <c r="N27" s="65">
        <v>8110</v>
      </c>
      <c r="O27" s="65"/>
      <c r="P27" s="65"/>
      <c r="Q27" s="65"/>
      <c r="R27" s="65"/>
      <c r="S27" s="65"/>
      <c r="T27" s="65">
        <v>8389</v>
      </c>
      <c r="U27" s="65"/>
      <c r="V27" s="65"/>
      <c r="W27" s="65"/>
      <c r="X27" s="65"/>
      <c r="Y27" s="65"/>
      <c r="Z27" s="65">
        <v>8860</v>
      </c>
      <c r="AA27" s="65"/>
      <c r="AB27" s="66">
        <v>7937.0615747049605</v>
      </c>
      <c r="AC27" s="34">
        <v>39.078704018920568</v>
      </c>
      <c r="AD27" s="180">
        <v>1516.7790325738483</v>
      </c>
      <c r="AE27" s="65">
        <v>0</v>
      </c>
      <c r="AF27" s="34">
        <v>222.50700000000001</v>
      </c>
      <c r="AG27" s="65">
        <f t="shared" si="22"/>
        <v>9715.4263112977296</v>
      </c>
      <c r="AH27" s="65"/>
      <c r="AI27" s="66">
        <v>7910.9907041375709</v>
      </c>
      <c r="AJ27" s="34">
        <v>-30.214770605432115</v>
      </c>
      <c r="AK27" s="181">
        <v>1615.0366395535757</v>
      </c>
      <c r="AL27" s="65">
        <v>0</v>
      </c>
      <c r="AM27" s="34">
        <v>153.67599999999999</v>
      </c>
      <c r="AN27" s="65">
        <f t="shared" si="23"/>
        <v>9649.4885730857131</v>
      </c>
      <c r="AO27" s="65"/>
      <c r="AP27" s="41">
        <v>8176.9303209515756</v>
      </c>
      <c r="AQ27" s="41">
        <v>-9.2862339800387108</v>
      </c>
      <c r="AR27" s="41">
        <v>1820.0912077150642</v>
      </c>
      <c r="AS27" s="65">
        <v>0</v>
      </c>
      <c r="AT27" s="34">
        <v>148.57599999999999</v>
      </c>
      <c r="AU27" s="65">
        <f t="shared" si="24"/>
        <v>10136.3112946866</v>
      </c>
      <c r="AV27" s="65"/>
      <c r="AW27" s="41">
        <v>3140.7798152834216</v>
      </c>
      <c r="AX27" s="314"/>
      <c r="AY27" s="314"/>
      <c r="AZ27" s="41">
        <v>548.99038673231223</v>
      </c>
      <c r="BA27" s="65">
        <v>0</v>
      </c>
      <c r="BB27" s="34">
        <v>229.822</v>
      </c>
      <c r="BC27" s="65">
        <f t="shared" si="44"/>
        <v>3919.5922020157341</v>
      </c>
      <c r="BD27" s="65"/>
      <c r="BE27" s="41">
        <v>2743.3287854833638</v>
      </c>
      <c r="BF27" s="314"/>
      <c r="BG27" s="314"/>
      <c r="BH27" s="41">
        <v>546.07889423253494</v>
      </c>
      <c r="BI27" s="65">
        <v>0</v>
      </c>
      <c r="BJ27" s="34">
        <v>265.84199999999998</v>
      </c>
      <c r="BK27" s="65">
        <f t="shared" si="45"/>
        <v>3555.2496797158988</v>
      </c>
      <c r="BL27" s="65"/>
      <c r="BM27" s="41">
        <v>2841.6837162098691</v>
      </c>
      <c r="BN27" s="41">
        <v>362.16318222095146</v>
      </c>
      <c r="BO27" s="65">
        <v>0</v>
      </c>
      <c r="BP27" s="34">
        <v>265.84199999999998</v>
      </c>
      <c r="BQ27" s="65">
        <f t="shared" si="25"/>
        <v>3469.6888984308207</v>
      </c>
      <c r="BR27" s="65"/>
      <c r="BS27" s="41">
        <v>2808.9636583438064</v>
      </c>
      <c r="BT27" s="314"/>
      <c r="BU27" s="314"/>
      <c r="BV27" s="41">
        <v>387.95271550644662</v>
      </c>
      <c r="BW27" s="65">
        <v>0</v>
      </c>
      <c r="BX27" s="34">
        <v>265.84199999999998</v>
      </c>
      <c r="BY27" s="65">
        <f t="shared" si="46"/>
        <v>3462.7583738502531</v>
      </c>
      <c r="CA27" s="5">
        <v>2760.304902588306</v>
      </c>
      <c r="CB27" s="407">
        <v>414.11816607688627</v>
      </c>
      <c r="CC27" s="415">
        <v>0</v>
      </c>
      <c r="CD27" s="34">
        <v>265.84199999999998</v>
      </c>
      <c r="CE27" s="65">
        <f t="shared" si="26"/>
        <v>3440.2650686651923</v>
      </c>
      <c r="CF27" s="407"/>
      <c r="CG27" s="5">
        <v>2923.7450142395478</v>
      </c>
      <c r="CH27" s="407">
        <v>437.47510085407384</v>
      </c>
      <c r="CI27" s="415">
        <v>0</v>
      </c>
      <c r="CJ27" s="34">
        <v>265.84199999999998</v>
      </c>
      <c r="CK27" s="65">
        <f t="shared" si="27"/>
        <v>3627.0621150936217</v>
      </c>
      <c r="CL27" s="407"/>
      <c r="CM27" s="41">
        <f>AU27/'1. Väestöennuste'!L27*1000</f>
        <v>4320.678301230435</v>
      </c>
      <c r="CN27" s="41">
        <f>BC27/'1. Väestöennuste'!M27*1000</f>
        <v>1710.1187617869696</v>
      </c>
      <c r="CO27" s="41">
        <f>BK27/'1. Väestöennuste'!N27*1000</f>
        <v>1549.8036964759804</v>
      </c>
      <c r="CP27" s="41">
        <f>BQ27/'1. Väestöennuste'!O27*1000</f>
        <v>1529.170955676871</v>
      </c>
      <c r="CQ27" s="41">
        <f>BY27/'1. Väestöennuste'!P27*1000</f>
        <v>1543.1187049243551</v>
      </c>
      <c r="CR27" s="41">
        <f>CE27/'1. Väestöennuste'!Q27*1000</f>
        <v>1550.3673135039173</v>
      </c>
      <c r="CS27" s="41">
        <f>CK27/'1. Väestöennuste'!R27*1000</f>
        <v>1652.4200979925383</v>
      </c>
      <c r="CT27" s="41"/>
      <c r="CV27" s="41">
        <f t="shared" si="28"/>
        <v>3361.2201150936216</v>
      </c>
      <c r="CW27" s="41">
        <f t="shared" si="29"/>
        <v>693.61618613681321</v>
      </c>
      <c r="CX27" s="41">
        <f t="shared" si="30"/>
        <v>-2610.5595394434654</v>
      </c>
      <c r="CY27" s="41">
        <f t="shared" si="31"/>
        <v>-160.31506531098921</v>
      </c>
      <c r="CZ27" s="41">
        <f t="shared" si="32"/>
        <v>-20.632740799109342</v>
      </c>
      <c r="DA27" s="41">
        <f t="shared" si="33"/>
        <v>13.947749247484126</v>
      </c>
      <c r="DB27" s="41">
        <f t="shared" si="34"/>
        <v>7.2486085795621875</v>
      </c>
      <c r="DC27" s="41">
        <f t="shared" si="35"/>
        <v>102.052784488621</v>
      </c>
      <c r="DD27" s="41"/>
      <c r="DE27" s="283">
        <f t="shared" si="36"/>
        <v>12.643675999629938</v>
      </c>
      <c r="DF27" s="283">
        <f t="shared" si="37"/>
        <v>0.1912336111505798</v>
      </c>
      <c r="DG27" s="283">
        <f t="shared" si="38"/>
        <v>-0.60420132151473416</v>
      </c>
      <c r="DH27" s="283">
        <f t="shared" si="39"/>
        <v>-9.3744989466971157E-2</v>
      </c>
      <c r="DI27" s="283">
        <f t="shared" si="40"/>
        <v>-1.3313131750830818E-2</v>
      </c>
      <c r="DJ27" s="283">
        <f t="shared" si="41"/>
        <v>9.1211183391266444E-3</v>
      </c>
      <c r="DK27" s="283">
        <f t="shared" si="42"/>
        <v>4.697375876807559E-3</v>
      </c>
      <c r="DL27" s="283">
        <f t="shared" si="43"/>
        <v>6.5824907168596042E-2</v>
      </c>
    </row>
    <row r="28" spans="1:116" x14ac:dyDescent="0.2">
      <c r="A28" s="30">
        <v>61</v>
      </c>
      <c r="B28" s="31" t="s">
        <v>341</v>
      </c>
      <c r="C28" s="65"/>
      <c r="D28" s="65"/>
      <c r="E28" s="65"/>
      <c r="F28" s="65"/>
      <c r="G28" s="65"/>
      <c r="H28" s="65">
        <v>41928</v>
      </c>
      <c r="I28" s="65"/>
      <c r="J28" s="65"/>
      <c r="K28" s="65"/>
      <c r="L28" s="65"/>
      <c r="M28" s="65"/>
      <c r="N28" s="65">
        <v>40152</v>
      </c>
      <c r="O28" s="65"/>
      <c r="P28" s="65"/>
      <c r="Q28" s="65"/>
      <c r="R28" s="65"/>
      <c r="S28" s="65"/>
      <c r="T28" s="65">
        <v>39953</v>
      </c>
      <c r="U28" s="65"/>
      <c r="V28" s="65"/>
      <c r="W28" s="65"/>
      <c r="X28" s="65"/>
      <c r="Y28" s="65"/>
      <c r="Z28" s="65">
        <v>40832</v>
      </c>
      <c r="AA28" s="65"/>
      <c r="AB28" s="66">
        <v>38974.333614233132</v>
      </c>
      <c r="AC28" s="34">
        <v>303.97872964914905</v>
      </c>
      <c r="AD28" s="180">
        <v>8182.7838227887341</v>
      </c>
      <c r="AE28" s="65">
        <v>0</v>
      </c>
      <c r="AF28" s="34">
        <v>933.75</v>
      </c>
      <c r="AG28" s="65">
        <f t="shared" si="22"/>
        <v>48394.846166671014</v>
      </c>
      <c r="AH28" s="65"/>
      <c r="AI28" s="66">
        <v>37606.568779285706</v>
      </c>
      <c r="AJ28" s="34">
        <v>-235.82738250876213</v>
      </c>
      <c r="AK28" s="181">
        <v>8756.5002681750175</v>
      </c>
      <c r="AL28" s="65">
        <v>0</v>
      </c>
      <c r="AM28" s="34">
        <v>302.20299999999997</v>
      </c>
      <c r="AN28" s="65">
        <f t="shared" si="23"/>
        <v>46429.444664951967</v>
      </c>
      <c r="AO28" s="65"/>
      <c r="AP28" s="41">
        <v>39560.391261655386</v>
      </c>
      <c r="AQ28" s="41">
        <v>-72.700896531446091</v>
      </c>
      <c r="AR28" s="41">
        <v>9767.9757039504693</v>
      </c>
      <c r="AS28" s="65">
        <v>0</v>
      </c>
      <c r="AT28" s="34">
        <v>966.31200000000001</v>
      </c>
      <c r="AU28" s="65">
        <f t="shared" si="24"/>
        <v>50221.978069074408</v>
      </c>
      <c r="AV28" s="65"/>
      <c r="AW28" s="41">
        <v>8568.7791306589061</v>
      </c>
      <c r="AX28" s="314"/>
      <c r="AY28" s="314"/>
      <c r="AZ28" s="41">
        <v>3033.1937414299296</v>
      </c>
      <c r="BA28" s="65">
        <v>0</v>
      </c>
      <c r="BB28" s="34">
        <v>1241.7670000000001</v>
      </c>
      <c r="BC28" s="65">
        <f t="shared" si="44"/>
        <v>12843.739872088836</v>
      </c>
      <c r="BD28" s="65"/>
      <c r="BE28" s="41">
        <v>5571.7781545198277</v>
      </c>
      <c r="BF28" s="314"/>
      <c r="BG28" s="314"/>
      <c r="BH28" s="41">
        <v>3027.6286186531497</v>
      </c>
      <c r="BI28" s="65">
        <v>0</v>
      </c>
      <c r="BJ28" s="34">
        <v>1382.896</v>
      </c>
      <c r="BK28" s="65">
        <f t="shared" si="45"/>
        <v>9982.302773172978</v>
      </c>
      <c r="BL28" s="65"/>
      <c r="BM28" s="41">
        <v>8534.5456843715292</v>
      </c>
      <c r="BN28" s="41">
        <v>2062.8528851646493</v>
      </c>
      <c r="BO28" s="65">
        <v>0</v>
      </c>
      <c r="BP28" s="34">
        <v>1382.896</v>
      </c>
      <c r="BQ28" s="65">
        <f t="shared" si="25"/>
        <v>11980.29456953618</v>
      </c>
      <c r="BR28" s="65"/>
      <c r="BS28" s="41">
        <v>8805.8882420596237</v>
      </c>
      <c r="BT28" s="314"/>
      <c r="BU28" s="314"/>
      <c r="BV28" s="41">
        <v>2204.8428977693616</v>
      </c>
      <c r="BW28" s="65">
        <v>0</v>
      </c>
      <c r="BX28" s="34">
        <v>1382.896</v>
      </c>
      <c r="BY28" s="65">
        <f t="shared" si="46"/>
        <v>12393.627139828986</v>
      </c>
      <c r="CA28" s="5">
        <v>8099.1223985579654</v>
      </c>
      <c r="CB28" s="407">
        <v>2353.3892870941336</v>
      </c>
      <c r="CC28" s="415">
        <v>0</v>
      </c>
      <c r="CD28" s="34">
        <v>1382.896</v>
      </c>
      <c r="CE28" s="65">
        <f t="shared" si="26"/>
        <v>11835.407685652099</v>
      </c>
      <c r="CF28" s="407"/>
      <c r="CG28" s="5">
        <v>9802.3497085916079</v>
      </c>
      <c r="CH28" s="407">
        <v>2479.7317440426636</v>
      </c>
      <c r="CI28" s="415">
        <v>0</v>
      </c>
      <c r="CJ28" s="34">
        <v>1382.896</v>
      </c>
      <c r="CK28" s="65">
        <f t="shared" si="27"/>
        <v>13664.977452634272</v>
      </c>
      <c r="CL28" s="407"/>
      <c r="CM28" s="41">
        <f>AU28/'1. Väestöennuste'!L28*1000</f>
        <v>3051.3383601114529</v>
      </c>
      <c r="CN28" s="41">
        <f>BC28/'1. Väestöennuste'!M28*1000</f>
        <v>779.87369434020502</v>
      </c>
      <c r="CO28" s="41">
        <f>BK28/'1. Väestöennuste'!N28*1000</f>
        <v>612.93766260425991</v>
      </c>
      <c r="CP28" s="41">
        <f>BQ28/'1. Väestöennuste'!O28*1000</f>
        <v>741.26312149091564</v>
      </c>
      <c r="CQ28" s="41">
        <f>BY28/'1. Väestöennuste'!P28*1000</f>
        <v>772.47738343486571</v>
      </c>
      <c r="CR28" s="41">
        <f>CE28/'1. Väestöennuste'!Q28*1000</f>
        <v>743.29006378522251</v>
      </c>
      <c r="CS28" s="41">
        <f>CK28/'1. Väestöennuste'!R28*1000</f>
        <v>864.70780564666666</v>
      </c>
      <c r="CT28" s="41"/>
      <c r="CV28" s="41">
        <f t="shared" si="28"/>
        <v>12282.081452634271</v>
      </c>
      <c r="CW28" s="41">
        <f t="shared" si="29"/>
        <v>-10613.639092522819</v>
      </c>
      <c r="CX28" s="41">
        <f t="shared" si="30"/>
        <v>-2271.4646657712478</v>
      </c>
      <c r="CY28" s="41">
        <f t="shared" si="31"/>
        <v>-166.93603173594511</v>
      </c>
      <c r="CZ28" s="41">
        <f t="shared" si="32"/>
        <v>128.32545888665572</v>
      </c>
      <c r="DA28" s="41">
        <f t="shared" si="33"/>
        <v>31.214261943950078</v>
      </c>
      <c r="DB28" s="41">
        <f t="shared" si="34"/>
        <v>-29.1873196496432</v>
      </c>
      <c r="DC28" s="41">
        <f t="shared" si="35"/>
        <v>121.41774186144414</v>
      </c>
      <c r="DD28" s="41"/>
      <c r="DE28" s="283">
        <f t="shared" si="36"/>
        <v>8.8814209113586795</v>
      </c>
      <c r="DF28" s="283">
        <f t="shared" si="37"/>
        <v>-0.77670373985701457</v>
      </c>
      <c r="DG28" s="283">
        <f t="shared" si="38"/>
        <v>-0.74441585878017169</v>
      </c>
      <c r="DH28" s="283">
        <f t="shared" si="39"/>
        <v>-0.21405521553996978</v>
      </c>
      <c r="DI28" s="283">
        <f t="shared" si="40"/>
        <v>0.2093613538796496</v>
      </c>
      <c r="DJ28" s="283">
        <f t="shared" si="41"/>
        <v>4.2109557374402064E-2</v>
      </c>
      <c r="DK28" s="283">
        <f t="shared" si="42"/>
        <v>-3.778404426529626E-2</v>
      </c>
      <c r="DL28" s="283">
        <f t="shared" si="43"/>
        <v>0.16335176235657095</v>
      </c>
    </row>
    <row r="29" spans="1:116" x14ac:dyDescent="0.2">
      <c r="A29" s="30">
        <v>69</v>
      </c>
      <c r="B29" s="31" t="s">
        <v>342</v>
      </c>
      <c r="C29" s="65"/>
      <c r="D29" s="65"/>
      <c r="E29" s="65"/>
      <c r="F29" s="65"/>
      <c r="G29" s="65"/>
      <c r="H29" s="65">
        <v>23805</v>
      </c>
      <c r="I29" s="65"/>
      <c r="J29" s="65"/>
      <c r="K29" s="65"/>
      <c r="L29" s="65"/>
      <c r="M29" s="65"/>
      <c r="N29" s="65">
        <v>23620</v>
      </c>
      <c r="O29" s="65"/>
      <c r="P29" s="65"/>
      <c r="Q29" s="65"/>
      <c r="R29" s="65"/>
      <c r="S29" s="65"/>
      <c r="T29" s="65">
        <v>23467</v>
      </c>
      <c r="U29" s="65"/>
      <c r="V29" s="65"/>
      <c r="W29" s="65"/>
      <c r="X29" s="65"/>
      <c r="Y29" s="65"/>
      <c r="Z29" s="65">
        <v>23313</v>
      </c>
      <c r="AA29" s="65"/>
      <c r="AB29" s="66">
        <v>22326.778019664525</v>
      </c>
      <c r="AC29" s="34">
        <v>115.40531050244819</v>
      </c>
      <c r="AD29" s="180">
        <v>3732.889701110802</v>
      </c>
      <c r="AE29" s="65">
        <v>970</v>
      </c>
      <c r="AF29" s="34">
        <v>538.03399999999999</v>
      </c>
      <c r="AG29" s="65">
        <f t="shared" si="22"/>
        <v>27683.107031277774</v>
      </c>
      <c r="AH29" s="65"/>
      <c r="AI29" s="66">
        <v>21563.236498270937</v>
      </c>
      <c r="AJ29" s="34">
        <v>-89.627235043268115</v>
      </c>
      <c r="AK29" s="181">
        <v>3987.2774871050256</v>
      </c>
      <c r="AL29" s="65">
        <v>1250</v>
      </c>
      <c r="AM29" s="34">
        <v>70.977999999999994</v>
      </c>
      <c r="AN29" s="65">
        <f t="shared" si="23"/>
        <v>26781.864750332694</v>
      </c>
      <c r="AO29" s="65"/>
      <c r="AP29" s="41">
        <v>21932.003561005007</v>
      </c>
      <c r="AQ29" s="41">
        <v>-27.630363255893641</v>
      </c>
      <c r="AR29" s="41">
        <v>4445.5824660910312</v>
      </c>
      <c r="AS29" s="65">
        <v>0</v>
      </c>
      <c r="AT29" s="34">
        <v>834.69100000000003</v>
      </c>
      <c r="AU29" s="65">
        <f t="shared" si="24"/>
        <v>27184.646663840147</v>
      </c>
      <c r="AV29" s="65"/>
      <c r="AW29" s="41">
        <v>4510.8371046329739</v>
      </c>
      <c r="AX29" s="314"/>
      <c r="AY29" s="314"/>
      <c r="AZ29" s="41">
        <v>1358.8369357966033</v>
      </c>
      <c r="BA29" s="65">
        <v>535</v>
      </c>
      <c r="BB29" s="34">
        <v>680.40700000000004</v>
      </c>
      <c r="BC29" s="65">
        <f t="shared" si="44"/>
        <v>7085.0810404295771</v>
      </c>
      <c r="BD29" s="65"/>
      <c r="BE29" s="41">
        <v>3245.1886517093585</v>
      </c>
      <c r="BF29" s="314"/>
      <c r="BG29" s="314"/>
      <c r="BH29" s="41">
        <v>1360.7100577640531</v>
      </c>
      <c r="BI29" s="65">
        <v>0</v>
      </c>
      <c r="BJ29" s="34">
        <v>532.44899999999996</v>
      </c>
      <c r="BK29" s="65">
        <f t="shared" si="45"/>
        <v>5138.3477094734108</v>
      </c>
      <c r="BL29" s="65"/>
      <c r="BM29" s="41">
        <v>3457.9591339701278</v>
      </c>
      <c r="BN29" s="41">
        <v>808.04585450310356</v>
      </c>
      <c r="BO29" s="65">
        <v>0</v>
      </c>
      <c r="BP29" s="34">
        <v>532.44899999999996</v>
      </c>
      <c r="BQ29" s="65">
        <f t="shared" si="25"/>
        <v>4798.4539884732312</v>
      </c>
      <c r="BR29" s="65"/>
      <c r="BS29" s="41">
        <v>3977.4288339269142</v>
      </c>
      <c r="BT29" s="314"/>
      <c r="BU29" s="314"/>
      <c r="BV29" s="41">
        <v>878.09079010432856</v>
      </c>
      <c r="BW29" s="65">
        <v>0</v>
      </c>
      <c r="BX29" s="34">
        <v>532.44899999999996</v>
      </c>
      <c r="BY29" s="65">
        <f t="shared" si="46"/>
        <v>5387.9686240312421</v>
      </c>
      <c r="CA29" s="5">
        <v>3821.3163934279182</v>
      </c>
      <c r="CB29" s="407">
        <v>948.35149347656511</v>
      </c>
      <c r="CC29" s="415">
        <v>0</v>
      </c>
      <c r="CD29" s="34">
        <v>532.44899999999996</v>
      </c>
      <c r="CE29" s="65">
        <f t="shared" si="26"/>
        <v>5302.1168869044832</v>
      </c>
      <c r="CF29" s="407"/>
      <c r="CG29" s="5">
        <v>4493.1555841830004</v>
      </c>
      <c r="CH29" s="407">
        <v>1010.2765002416667</v>
      </c>
      <c r="CI29" s="415">
        <v>0</v>
      </c>
      <c r="CJ29" s="34">
        <v>532.44899999999996</v>
      </c>
      <c r="CK29" s="65">
        <f t="shared" si="27"/>
        <v>6035.8810844246664</v>
      </c>
      <c r="CL29" s="407"/>
      <c r="CM29" s="41">
        <f>AU29/'1. Väestöennuste'!L29*1000</f>
        <v>4065.2978411604827</v>
      </c>
      <c r="CN29" s="41">
        <f>BC29/'1. Väestöennuste'!M29*1000</f>
        <v>1080.3722233042965</v>
      </c>
      <c r="CO29" s="41">
        <f>BK29/'1. Väestöennuste'!N29*1000</f>
        <v>794.67177690587857</v>
      </c>
      <c r="CP29" s="41">
        <f>BQ29/'1. Väestöennuste'!O29*1000</f>
        <v>753.40775450984938</v>
      </c>
      <c r="CQ29" s="41">
        <f>BY29/'1. Väestöennuste'!P29*1000</f>
        <v>858.77727510858176</v>
      </c>
      <c r="CR29" s="41">
        <f>CE29/'1. Väestöennuste'!Q29*1000</f>
        <v>857.39276955117771</v>
      </c>
      <c r="CS29" s="41">
        <f>CK29/'1. Väestöennuste'!R29*1000</f>
        <v>990.30042402373533</v>
      </c>
      <c r="CT29" s="41"/>
      <c r="CV29" s="41">
        <f t="shared" si="28"/>
        <v>5503.4320844246668</v>
      </c>
      <c r="CW29" s="41">
        <f t="shared" si="29"/>
        <v>-1970.5832432641837</v>
      </c>
      <c r="CX29" s="41">
        <f t="shared" si="30"/>
        <v>-2984.9256178561864</v>
      </c>
      <c r="CY29" s="41">
        <f t="shared" si="31"/>
        <v>-285.70044639841797</v>
      </c>
      <c r="CZ29" s="41">
        <f t="shared" si="32"/>
        <v>-41.264022396029191</v>
      </c>
      <c r="DA29" s="41">
        <f t="shared" si="33"/>
        <v>105.36952059873238</v>
      </c>
      <c r="DB29" s="41">
        <f t="shared" si="34"/>
        <v>-1.3845055574040543</v>
      </c>
      <c r="DC29" s="41">
        <f t="shared" si="35"/>
        <v>132.90765447255762</v>
      </c>
      <c r="DD29" s="41"/>
      <c r="DE29" s="283">
        <f t="shared" si="36"/>
        <v>10.336073660434458</v>
      </c>
      <c r="DF29" s="283">
        <f t="shared" si="37"/>
        <v>-0.32647814224657101</v>
      </c>
      <c r="DG29" s="283">
        <f t="shared" si="38"/>
        <v>-0.73424524708480088</v>
      </c>
      <c r="DH29" s="283">
        <f t="shared" si="39"/>
        <v>-0.26444630862926938</v>
      </c>
      <c r="DI29" s="283">
        <f t="shared" si="40"/>
        <v>-5.1925868761432716E-2</v>
      </c>
      <c r="DJ29" s="283">
        <f t="shared" si="41"/>
        <v>0.13985722866269606</v>
      </c>
      <c r="DK29" s="283">
        <f t="shared" si="42"/>
        <v>-1.6121823405597228E-3</v>
      </c>
      <c r="DL29" s="283">
        <f t="shared" si="43"/>
        <v>0.15501373371988109</v>
      </c>
    </row>
    <row r="30" spans="1:116" x14ac:dyDescent="0.2">
      <c r="A30" s="30">
        <v>71</v>
      </c>
      <c r="B30" s="31" t="s">
        <v>343</v>
      </c>
      <c r="C30" s="65"/>
      <c r="D30" s="65"/>
      <c r="E30" s="65"/>
      <c r="F30" s="65"/>
      <c r="G30" s="65"/>
      <c r="H30" s="65">
        <v>22953</v>
      </c>
      <c r="I30" s="65"/>
      <c r="J30" s="65"/>
      <c r="K30" s="65"/>
      <c r="L30" s="65"/>
      <c r="M30" s="65"/>
      <c r="N30" s="65">
        <v>23997</v>
      </c>
      <c r="O30" s="65"/>
      <c r="P30" s="65"/>
      <c r="Q30" s="65"/>
      <c r="R30" s="65"/>
      <c r="S30" s="65"/>
      <c r="T30" s="65">
        <v>24524</v>
      </c>
      <c r="U30" s="65"/>
      <c r="V30" s="65"/>
      <c r="W30" s="65"/>
      <c r="X30" s="65"/>
      <c r="Y30" s="65"/>
      <c r="Z30" s="65">
        <v>24589</v>
      </c>
      <c r="AA30" s="65"/>
      <c r="AB30" s="66">
        <v>22900.260043333201</v>
      </c>
      <c r="AC30" s="34">
        <v>101.29314024170522</v>
      </c>
      <c r="AD30" s="180">
        <v>3668.6304714965768</v>
      </c>
      <c r="AE30" s="65">
        <v>0</v>
      </c>
      <c r="AF30" s="34">
        <v>183.55199999999999</v>
      </c>
      <c r="AG30" s="65">
        <f t="shared" si="22"/>
        <v>26853.735655071483</v>
      </c>
      <c r="AH30" s="65"/>
      <c r="AI30" s="66">
        <v>22054.045428799516</v>
      </c>
      <c r="AJ30" s="34">
        <v>-78.655651179516738</v>
      </c>
      <c r="AK30" s="181">
        <v>3914.0884969074823</v>
      </c>
      <c r="AL30" s="65">
        <v>0</v>
      </c>
      <c r="AM30" s="34">
        <v>293.72300000000001</v>
      </c>
      <c r="AN30" s="65">
        <f t="shared" si="23"/>
        <v>26183.201274527484</v>
      </c>
      <c r="AO30" s="65"/>
      <c r="AP30" s="41">
        <v>23701.585897128851</v>
      </c>
      <c r="AQ30" s="41">
        <v>-24.271707921623143</v>
      </c>
      <c r="AR30" s="41">
        <v>4365.965107026871</v>
      </c>
      <c r="AS30" s="65">
        <v>0</v>
      </c>
      <c r="AT30" s="34">
        <v>398.31200000000001</v>
      </c>
      <c r="AU30" s="65">
        <f t="shared" si="24"/>
        <v>28441.591296234099</v>
      </c>
      <c r="AV30" s="65"/>
      <c r="AW30" s="41">
        <v>8373.547895954096</v>
      </c>
      <c r="AX30" s="314"/>
      <c r="AY30" s="314"/>
      <c r="AZ30" s="41">
        <v>1381.0395184965219</v>
      </c>
      <c r="BA30" s="65">
        <v>0</v>
      </c>
      <c r="BB30" s="34">
        <v>637.38400000000001</v>
      </c>
      <c r="BC30" s="65">
        <f t="shared" si="44"/>
        <v>10391.971414450618</v>
      </c>
      <c r="BD30" s="65"/>
      <c r="BE30" s="41">
        <v>7276.0023016480309</v>
      </c>
      <c r="BF30" s="314"/>
      <c r="BG30" s="314"/>
      <c r="BH30" s="41">
        <v>1382.8734984998675</v>
      </c>
      <c r="BI30" s="65">
        <v>0</v>
      </c>
      <c r="BJ30" s="34">
        <v>601.34500000000003</v>
      </c>
      <c r="BK30" s="65">
        <f t="shared" si="45"/>
        <v>9260.2208001478975</v>
      </c>
      <c r="BL30" s="65"/>
      <c r="BM30" s="41">
        <v>8048.4440139315857</v>
      </c>
      <c r="BN30" s="41">
        <v>910.74654485703218</v>
      </c>
      <c r="BO30" s="65">
        <v>0</v>
      </c>
      <c r="BP30" s="34">
        <v>601.34500000000003</v>
      </c>
      <c r="BQ30" s="65">
        <f t="shared" si="25"/>
        <v>9560.535558788617</v>
      </c>
      <c r="BR30" s="65"/>
      <c r="BS30" s="41">
        <v>8626.5506306630123</v>
      </c>
      <c r="BT30" s="314"/>
      <c r="BU30" s="314"/>
      <c r="BV30" s="41">
        <v>976.37368660630682</v>
      </c>
      <c r="BW30" s="65">
        <v>0</v>
      </c>
      <c r="BX30" s="34">
        <v>601.34500000000003</v>
      </c>
      <c r="BY30" s="65">
        <f t="shared" si="46"/>
        <v>10204.269317269318</v>
      </c>
      <c r="CA30" s="5">
        <v>8890.6407203739727</v>
      </c>
      <c r="CB30" s="407">
        <v>1042.2310234510323</v>
      </c>
      <c r="CC30" s="415">
        <v>0</v>
      </c>
      <c r="CD30" s="34">
        <v>601.34500000000003</v>
      </c>
      <c r="CE30" s="65">
        <f t="shared" si="26"/>
        <v>10534.216743825005</v>
      </c>
      <c r="CF30" s="407"/>
      <c r="CG30" s="5">
        <v>9746.7421855020457</v>
      </c>
      <c r="CH30" s="407">
        <v>1100.0320980166557</v>
      </c>
      <c r="CI30" s="415">
        <v>0</v>
      </c>
      <c r="CJ30" s="34">
        <v>601.34500000000003</v>
      </c>
      <c r="CK30" s="65">
        <f t="shared" si="27"/>
        <v>11448.119283518701</v>
      </c>
      <c r="CL30" s="407"/>
      <c r="CM30" s="41">
        <f>AU30/'1. Väestöennuste'!L30*1000</f>
        <v>4315.2164005817176</v>
      </c>
      <c r="CN30" s="41">
        <f>BC30/'1. Väestöennuste'!M30*1000</f>
        <v>1605.4335569983962</v>
      </c>
      <c r="CO30" s="41">
        <f>BK30/'1. Väestöennuste'!N30*1000</f>
        <v>1470.5765920514368</v>
      </c>
      <c r="CP30" s="41">
        <f>BQ30/'1. Väestöennuste'!O30*1000</f>
        <v>1538.547724298136</v>
      </c>
      <c r="CQ30" s="41">
        <f>BY30/'1. Väestöennuste'!P30*1000</f>
        <v>1663.2875822769875</v>
      </c>
      <c r="CR30" s="41">
        <f>CE30/'1. Väestöennuste'!Q30*1000</f>
        <v>1738.3195946905948</v>
      </c>
      <c r="CS30" s="41">
        <f>CK30/'1. Väestöennuste'!R30*1000</f>
        <v>1911.2052226241572</v>
      </c>
      <c r="CT30" s="41"/>
      <c r="CV30" s="41">
        <f t="shared" si="28"/>
        <v>10846.774283518702</v>
      </c>
      <c r="CW30" s="41">
        <f t="shared" si="29"/>
        <v>-7132.9028829369836</v>
      </c>
      <c r="CX30" s="41">
        <f t="shared" si="30"/>
        <v>-2709.7828435833217</v>
      </c>
      <c r="CY30" s="41">
        <f t="shared" si="31"/>
        <v>-134.85696494695935</v>
      </c>
      <c r="CZ30" s="41">
        <f t="shared" si="32"/>
        <v>67.971132246699199</v>
      </c>
      <c r="DA30" s="41">
        <f t="shared" si="33"/>
        <v>124.73985797885143</v>
      </c>
      <c r="DB30" s="41">
        <f t="shared" si="34"/>
        <v>75.03201241360739</v>
      </c>
      <c r="DC30" s="41">
        <f t="shared" si="35"/>
        <v>172.88562793356232</v>
      </c>
      <c r="DD30" s="41"/>
      <c r="DE30" s="283">
        <f t="shared" si="36"/>
        <v>18.037523025083274</v>
      </c>
      <c r="DF30" s="283">
        <f t="shared" si="37"/>
        <v>-0.62306329155793094</v>
      </c>
      <c r="DG30" s="283">
        <f t="shared" si="38"/>
        <v>-0.62795989633753391</v>
      </c>
      <c r="DH30" s="283">
        <f t="shared" si="39"/>
        <v>-8.4000340194143625E-2</v>
      </c>
      <c r="DI30" s="283">
        <f t="shared" si="40"/>
        <v>4.6220735876041842E-2</v>
      </c>
      <c r="DJ30" s="283">
        <f t="shared" si="41"/>
        <v>8.10763657238881E-2</v>
      </c>
      <c r="DK30" s="283">
        <f t="shared" si="42"/>
        <v>4.5110667098765309E-2</v>
      </c>
      <c r="DL30" s="283">
        <f t="shared" si="43"/>
        <v>9.9455605552403847E-2</v>
      </c>
    </row>
    <row r="31" spans="1:116" x14ac:dyDescent="0.2">
      <c r="A31" s="30">
        <v>72</v>
      </c>
      <c r="B31" s="31" t="s">
        <v>344</v>
      </c>
      <c r="C31" s="65"/>
      <c r="D31" s="65"/>
      <c r="E31" s="65"/>
      <c r="F31" s="65"/>
      <c r="G31" s="65"/>
      <c r="H31" s="65">
        <v>3345</v>
      </c>
      <c r="I31" s="65"/>
      <c r="J31" s="65"/>
      <c r="K31" s="65"/>
      <c r="L31" s="65"/>
      <c r="M31" s="65"/>
      <c r="N31" s="65">
        <v>3476</v>
      </c>
      <c r="O31" s="65"/>
      <c r="P31" s="65"/>
      <c r="Q31" s="65"/>
      <c r="R31" s="65"/>
      <c r="S31" s="65"/>
      <c r="T31" s="65">
        <v>3446</v>
      </c>
      <c r="U31" s="65"/>
      <c r="V31" s="65"/>
      <c r="W31" s="65"/>
      <c r="X31" s="65"/>
      <c r="Y31" s="65"/>
      <c r="Z31" s="65">
        <v>3426</v>
      </c>
      <c r="AA31" s="65"/>
      <c r="AB31" s="66">
        <v>3559.5012886396589</v>
      </c>
      <c r="AC31" s="34">
        <v>18.760308841768435</v>
      </c>
      <c r="AD31" s="180">
        <v>464.53177322109593</v>
      </c>
      <c r="AE31" s="65">
        <v>0</v>
      </c>
      <c r="AF31" s="34">
        <v>-200.66300000000001</v>
      </c>
      <c r="AG31" s="65">
        <f t="shared" si="22"/>
        <v>3842.1303707025236</v>
      </c>
      <c r="AH31" s="65"/>
      <c r="AI31" s="66">
        <v>3529.8325331186707</v>
      </c>
      <c r="AJ31" s="34">
        <v>-14.6410724117912</v>
      </c>
      <c r="AK31" s="181">
        <v>494.16244462870299</v>
      </c>
      <c r="AL31" s="65">
        <v>0</v>
      </c>
      <c r="AM31" s="34">
        <v>-258.08600000000001</v>
      </c>
      <c r="AN31" s="65">
        <f t="shared" si="23"/>
        <v>3751.2679053355823</v>
      </c>
      <c r="AO31" s="65"/>
      <c r="AP31" s="41">
        <v>3671.1693484625835</v>
      </c>
      <c r="AQ31" s="41">
        <v>-4.5306641933959808</v>
      </c>
      <c r="AR31" s="41">
        <v>559.15085422893446</v>
      </c>
      <c r="AS31" s="65">
        <v>0</v>
      </c>
      <c r="AT31" s="34">
        <v>-235.405</v>
      </c>
      <c r="AU31" s="65">
        <f t="shared" si="24"/>
        <v>3990.3845384981219</v>
      </c>
      <c r="AV31" s="65"/>
      <c r="AW31" s="41">
        <v>1549.1509690696746</v>
      </c>
      <c r="AX31" s="314"/>
      <c r="AY31" s="314"/>
      <c r="AZ31" s="41">
        <v>170.46073771434132</v>
      </c>
      <c r="BA31" s="65">
        <v>0</v>
      </c>
      <c r="BB31" s="34">
        <v>-217.88800000000001</v>
      </c>
      <c r="BC31" s="65">
        <f t="shared" si="44"/>
        <v>1501.723706784016</v>
      </c>
      <c r="BD31" s="65"/>
      <c r="BE31" s="41">
        <v>1296.5583502717866</v>
      </c>
      <c r="BF31" s="314"/>
      <c r="BG31" s="314"/>
      <c r="BH31" s="41">
        <v>170.637816848054</v>
      </c>
      <c r="BI31" s="65">
        <v>0</v>
      </c>
      <c r="BJ31" s="34">
        <v>-252.05099999999999</v>
      </c>
      <c r="BK31" s="65">
        <f t="shared" si="45"/>
        <v>1215.1451671198406</v>
      </c>
      <c r="BL31" s="65"/>
      <c r="BM31" s="41">
        <v>1533.7254685879593</v>
      </c>
      <c r="BN31" s="41">
        <v>119.8401700113494</v>
      </c>
      <c r="BO31" s="65">
        <v>0</v>
      </c>
      <c r="BP31" s="34">
        <v>-252.05099999999999</v>
      </c>
      <c r="BQ31" s="65">
        <f t="shared" si="25"/>
        <v>1401.5146385993087</v>
      </c>
      <c r="BR31" s="65"/>
      <c r="BS31" s="41">
        <v>1454.1384360271982</v>
      </c>
      <c r="BT31" s="314"/>
      <c r="BU31" s="314"/>
      <c r="BV31" s="41">
        <v>126.98325218010123</v>
      </c>
      <c r="BW31" s="65">
        <v>0</v>
      </c>
      <c r="BX31" s="34">
        <v>-252.05099999999999</v>
      </c>
      <c r="BY31" s="65">
        <f t="shared" si="46"/>
        <v>1329.0706882072996</v>
      </c>
      <c r="CA31" s="5">
        <v>1452.599560503721</v>
      </c>
      <c r="CB31" s="407">
        <v>134.91693537537648</v>
      </c>
      <c r="CC31" s="415">
        <v>0</v>
      </c>
      <c r="CD31" s="34">
        <v>-252.05099999999999</v>
      </c>
      <c r="CE31" s="65">
        <f t="shared" si="26"/>
        <v>1335.4654958790975</v>
      </c>
      <c r="CF31" s="407"/>
      <c r="CG31" s="5">
        <v>1550.1535523199559</v>
      </c>
      <c r="CH31" s="407">
        <v>141.70421590336727</v>
      </c>
      <c r="CI31" s="415">
        <v>0</v>
      </c>
      <c r="CJ31" s="34">
        <v>-252.05099999999999</v>
      </c>
      <c r="CK31" s="65">
        <f t="shared" si="27"/>
        <v>1439.8067682233232</v>
      </c>
      <c r="CL31" s="407"/>
      <c r="CM31" s="41">
        <f>AU31/'1. Väestöennuste'!L31*1000</f>
        <v>4156.6505609355436</v>
      </c>
      <c r="CN31" s="41">
        <f>BC31/'1. Väestöennuste'!M31*1000</f>
        <v>1584.0967371139409</v>
      </c>
      <c r="CO31" s="41">
        <f>BK31/'1. Väestöennuste'!N31*1000</f>
        <v>1312.2518003454002</v>
      </c>
      <c r="CP31" s="41">
        <f>BQ31/'1. Väestöennuste'!O31*1000</f>
        <v>1523.3854767383789</v>
      </c>
      <c r="CQ31" s="41">
        <f>BY31/'1. Väestöennuste'!P31*1000</f>
        <v>1454.1254794390586</v>
      </c>
      <c r="CR31" s="41">
        <f>CE31/'1. Väestöennuste'!Q31*1000</f>
        <v>1470.7769778404158</v>
      </c>
      <c r="CS31" s="41">
        <f>CK31/'1. Väestöennuste'!R31*1000</f>
        <v>1598.0097316574065</v>
      </c>
      <c r="CT31" s="41"/>
      <c r="CV31" s="41">
        <f t="shared" si="28"/>
        <v>1691.8577682233231</v>
      </c>
      <c r="CW31" s="41">
        <f t="shared" si="29"/>
        <v>2716.8437927122204</v>
      </c>
      <c r="CX31" s="41">
        <f t="shared" si="30"/>
        <v>-2572.5538238216027</v>
      </c>
      <c r="CY31" s="41">
        <f t="shared" si="31"/>
        <v>-271.84493676854072</v>
      </c>
      <c r="CZ31" s="41">
        <f t="shared" si="32"/>
        <v>211.13367639297871</v>
      </c>
      <c r="DA31" s="41">
        <f t="shared" si="33"/>
        <v>-69.259997299320275</v>
      </c>
      <c r="DB31" s="41">
        <f t="shared" si="34"/>
        <v>16.65149840135723</v>
      </c>
      <c r="DC31" s="41">
        <f t="shared" si="35"/>
        <v>127.23275381699068</v>
      </c>
      <c r="DD31" s="41"/>
      <c r="DE31" s="283">
        <f t="shared" si="36"/>
        <v>-6.7123628480875821</v>
      </c>
      <c r="DF31" s="283">
        <f t="shared" si="37"/>
        <v>1.8869502857419689</v>
      </c>
      <c r="DG31" s="283">
        <f t="shared" si="38"/>
        <v>-0.61890067161252882</v>
      </c>
      <c r="DH31" s="283">
        <f t="shared" si="39"/>
        <v>-0.17160879787165895</v>
      </c>
      <c r="DI31" s="283">
        <f t="shared" si="40"/>
        <v>0.16089417925538821</v>
      </c>
      <c r="DJ31" s="283">
        <f t="shared" si="41"/>
        <v>-4.5464525136217217E-2</v>
      </c>
      <c r="DK31" s="283">
        <f t="shared" si="42"/>
        <v>1.1451211492271416E-2</v>
      </c>
      <c r="DL31" s="283">
        <f t="shared" si="43"/>
        <v>8.6507169838767939E-2</v>
      </c>
    </row>
    <row r="32" spans="1:116" x14ac:dyDescent="0.2">
      <c r="A32" s="30">
        <v>74</v>
      </c>
      <c r="B32" s="31" t="s">
        <v>345</v>
      </c>
      <c r="C32" s="65"/>
      <c r="D32" s="65"/>
      <c r="E32" s="65"/>
      <c r="F32" s="65"/>
      <c r="G32" s="65"/>
      <c r="H32" s="65">
        <v>3921</v>
      </c>
      <c r="I32" s="65"/>
      <c r="J32" s="65"/>
      <c r="K32" s="65"/>
      <c r="L32" s="65"/>
      <c r="M32" s="65"/>
      <c r="N32" s="65">
        <v>4155</v>
      </c>
      <c r="O32" s="65"/>
      <c r="P32" s="65"/>
      <c r="Q32" s="65"/>
      <c r="R32" s="65"/>
      <c r="S32" s="65"/>
      <c r="T32" s="65">
        <v>4327</v>
      </c>
      <c r="U32" s="65"/>
      <c r="V32" s="65"/>
      <c r="W32" s="65"/>
      <c r="X32" s="65"/>
      <c r="Y32" s="65"/>
      <c r="Z32" s="65">
        <v>4149</v>
      </c>
      <c r="AA32" s="65"/>
      <c r="AB32" s="66">
        <v>4224.2391980563443</v>
      </c>
      <c r="AC32" s="34">
        <v>18.858311770258247</v>
      </c>
      <c r="AD32" s="180">
        <v>740.02796346781849</v>
      </c>
      <c r="AE32" s="65">
        <v>160</v>
      </c>
      <c r="AF32" s="34">
        <v>-284.851</v>
      </c>
      <c r="AG32" s="65">
        <f t="shared" si="22"/>
        <v>4858.2744732944211</v>
      </c>
      <c r="AH32" s="65"/>
      <c r="AI32" s="66">
        <v>4010.0509055249299</v>
      </c>
      <c r="AJ32" s="34">
        <v>-14.500641813030951</v>
      </c>
      <c r="AK32" s="181">
        <v>791.53002980122358</v>
      </c>
      <c r="AL32" s="65">
        <v>0</v>
      </c>
      <c r="AM32" s="34">
        <v>-296.887</v>
      </c>
      <c r="AN32" s="65">
        <f t="shared" si="23"/>
        <v>4490.1932935131226</v>
      </c>
      <c r="AO32" s="65"/>
      <c r="AP32" s="41">
        <v>4293.2526927847339</v>
      </c>
      <c r="AQ32" s="41">
        <v>-4.4342110528096725</v>
      </c>
      <c r="AR32" s="41">
        <v>886.19506163500762</v>
      </c>
      <c r="AS32" s="65">
        <v>0</v>
      </c>
      <c r="AT32" s="34">
        <v>-308.048</v>
      </c>
      <c r="AU32" s="65">
        <f t="shared" si="24"/>
        <v>4866.9655433669323</v>
      </c>
      <c r="AV32" s="65"/>
      <c r="AW32" s="41">
        <v>1150.4768191131616</v>
      </c>
      <c r="AX32" s="314"/>
      <c r="AY32" s="314"/>
      <c r="AZ32" s="41">
        <v>286.52237275305964</v>
      </c>
      <c r="BA32" s="65">
        <v>0</v>
      </c>
      <c r="BB32" s="34">
        <v>-305.209</v>
      </c>
      <c r="BC32" s="65">
        <f t="shared" si="44"/>
        <v>1131.7901918662212</v>
      </c>
      <c r="BD32" s="65"/>
      <c r="BE32" s="41">
        <v>1240.7318703354285</v>
      </c>
      <c r="BF32" s="314"/>
      <c r="BG32" s="314"/>
      <c r="BH32" s="41">
        <v>287.82022960673129</v>
      </c>
      <c r="BI32" s="65">
        <v>0</v>
      </c>
      <c r="BJ32" s="34">
        <v>-300.8</v>
      </c>
      <c r="BK32" s="65">
        <f>BE32+BH32+BI32+BJ32</f>
        <v>1227.7520999421599</v>
      </c>
      <c r="BL32" s="65"/>
      <c r="BM32" s="41">
        <v>1405.4947565847006</v>
      </c>
      <c r="BN32" s="41">
        <v>198.71222995300786</v>
      </c>
      <c r="BO32" s="65">
        <v>0</v>
      </c>
      <c r="BP32" s="34">
        <v>-300.8</v>
      </c>
      <c r="BQ32" s="65">
        <f t="shared" si="25"/>
        <v>1303.4069865377085</v>
      </c>
      <c r="BR32" s="65"/>
      <c r="BS32" s="41">
        <v>1293.092481263184</v>
      </c>
      <c r="BT32" s="314"/>
      <c r="BU32" s="314"/>
      <c r="BV32" s="41">
        <v>212.97917144863138</v>
      </c>
      <c r="BW32" s="65">
        <v>0</v>
      </c>
      <c r="BX32" s="34">
        <v>-300.8</v>
      </c>
      <c r="BY32" s="65">
        <f t="shared" si="46"/>
        <v>1205.2716527118155</v>
      </c>
      <c r="CA32" s="5">
        <v>1283.3391304085976</v>
      </c>
      <c r="CB32" s="407">
        <v>227.03974246772637</v>
      </c>
      <c r="CC32" s="415">
        <v>0</v>
      </c>
      <c r="CD32" s="34">
        <v>-300.8</v>
      </c>
      <c r="CE32" s="65">
        <f t="shared" si="26"/>
        <v>1209.5788728763241</v>
      </c>
      <c r="CF32" s="407"/>
      <c r="CG32" s="5">
        <v>1418.7511230711295</v>
      </c>
      <c r="CH32" s="407">
        <v>239.76098593094702</v>
      </c>
      <c r="CI32" s="415">
        <v>0</v>
      </c>
      <c r="CJ32" s="34">
        <v>-300.8</v>
      </c>
      <c r="CK32" s="65">
        <f t="shared" si="27"/>
        <v>1357.7121090020767</v>
      </c>
      <c r="CL32" s="407"/>
      <c r="CM32" s="41">
        <f>AU32/'1. Väestöennuste'!L32*1000</f>
        <v>4626.3931020598211</v>
      </c>
      <c r="CN32" s="41">
        <f>BC32/'1. Väestöennuste'!M32*1000</f>
        <v>1117.2657372815609</v>
      </c>
      <c r="CO32" s="41">
        <f>BK32/'1. Väestöennuste'!N32*1000</f>
        <v>1226.5255743677922</v>
      </c>
      <c r="CP32" s="41">
        <f>BQ32/'1. Väestöennuste'!O32*1000</f>
        <v>1331.3656655134919</v>
      </c>
      <c r="CQ32" s="41">
        <f>BY32/'1. Väestöennuste'!P32*1000</f>
        <v>1256.8004720665438</v>
      </c>
      <c r="CR32" s="41">
        <f>CE32/'1. Väestöennuste'!Q32*1000</f>
        <v>1286.7860349748128</v>
      </c>
      <c r="CS32" s="41">
        <f>CK32/'1. Väestöennuste'!R32*1000</f>
        <v>1472.5727863363088</v>
      </c>
      <c r="CT32" s="41"/>
      <c r="CV32" s="41">
        <f t="shared" si="28"/>
        <v>1658.5121090020766</v>
      </c>
      <c r="CW32" s="41">
        <f t="shared" si="29"/>
        <v>3268.6809930577447</v>
      </c>
      <c r="CX32" s="41">
        <f t="shared" si="30"/>
        <v>-3509.12736477826</v>
      </c>
      <c r="CY32" s="41">
        <f t="shared" si="31"/>
        <v>109.2598370862313</v>
      </c>
      <c r="CZ32" s="41">
        <f t="shared" si="32"/>
        <v>104.84009114569972</v>
      </c>
      <c r="DA32" s="41">
        <f t="shared" si="33"/>
        <v>-74.565193446948115</v>
      </c>
      <c r="DB32" s="41">
        <f t="shared" si="34"/>
        <v>29.985562908269003</v>
      </c>
      <c r="DC32" s="41">
        <f t="shared" si="35"/>
        <v>185.78675136149604</v>
      </c>
      <c r="DD32" s="41"/>
      <c r="DE32" s="283">
        <f t="shared" si="36"/>
        <v>-5.5136705751398818</v>
      </c>
      <c r="DF32" s="283">
        <f t="shared" si="37"/>
        <v>2.4074919648910234</v>
      </c>
      <c r="DG32" s="283">
        <f t="shared" si="38"/>
        <v>-0.75850177176165212</v>
      </c>
      <c r="DH32" s="283">
        <f t="shared" si="39"/>
        <v>9.7792166572720066E-2</v>
      </c>
      <c r="DI32" s="283">
        <f t="shared" si="40"/>
        <v>8.5477297283213308E-2</v>
      </c>
      <c r="DJ32" s="283">
        <f t="shared" si="41"/>
        <v>-5.6006546795082934E-2</v>
      </c>
      <c r="DK32" s="283">
        <f t="shared" si="42"/>
        <v>2.3858650258910277E-2</v>
      </c>
      <c r="DL32" s="283">
        <f t="shared" si="43"/>
        <v>0.14438045355779183</v>
      </c>
    </row>
    <row r="33" spans="1:116" x14ac:dyDescent="0.2">
      <c r="A33" s="30">
        <v>75</v>
      </c>
      <c r="B33" s="31" t="s">
        <v>346</v>
      </c>
      <c r="C33" s="65"/>
      <c r="D33" s="65"/>
      <c r="E33" s="65"/>
      <c r="F33" s="65"/>
      <c r="G33" s="65"/>
      <c r="H33" s="65">
        <v>37167</v>
      </c>
      <c r="I33" s="65"/>
      <c r="J33" s="65"/>
      <c r="K33" s="65"/>
      <c r="L33" s="65"/>
      <c r="M33" s="65"/>
      <c r="N33" s="65">
        <v>37419</v>
      </c>
      <c r="O33" s="65"/>
      <c r="P33" s="65"/>
      <c r="Q33" s="65"/>
      <c r="R33" s="65"/>
      <c r="S33" s="65"/>
      <c r="T33" s="65">
        <v>37357</v>
      </c>
      <c r="U33" s="65"/>
      <c r="V33" s="65"/>
      <c r="W33" s="65"/>
      <c r="X33" s="65"/>
      <c r="Y33" s="65"/>
      <c r="Z33" s="65">
        <v>38153</v>
      </c>
      <c r="AA33" s="65"/>
      <c r="AB33" s="66">
        <v>39570.941875184726</v>
      </c>
      <c r="AC33" s="34">
        <v>418.41449425302801</v>
      </c>
      <c r="AD33" s="180">
        <v>8734.4609669895362</v>
      </c>
      <c r="AE33" s="65">
        <v>0</v>
      </c>
      <c r="AF33" s="34">
        <v>-1641.7550000000001</v>
      </c>
      <c r="AG33" s="65">
        <f t="shared" si="22"/>
        <v>47082.062336427291</v>
      </c>
      <c r="AH33" s="65"/>
      <c r="AI33" s="66">
        <v>34257.375743686869</v>
      </c>
      <c r="AJ33" s="34">
        <v>-322.31299139151969</v>
      </c>
      <c r="AK33" s="181">
        <v>9362.6264510551955</v>
      </c>
      <c r="AL33" s="65">
        <v>0</v>
      </c>
      <c r="AM33" s="34">
        <v>-1778.7729999999999</v>
      </c>
      <c r="AN33" s="65">
        <f t="shared" si="23"/>
        <v>41518.916203350542</v>
      </c>
      <c r="AO33" s="65"/>
      <c r="AP33" s="41">
        <v>33882.321733184413</v>
      </c>
      <c r="AQ33" s="41">
        <v>-98.937461027595944</v>
      </c>
      <c r="AR33" s="41">
        <v>10721.53822445761</v>
      </c>
      <c r="AS33" s="65">
        <v>0</v>
      </c>
      <c r="AT33" s="34">
        <v>-1667.4929999999999</v>
      </c>
      <c r="AU33" s="65">
        <f t="shared" si="24"/>
        <v>42837.429496614423</v>
      </c>
      <c r="AV33" s="65"/>
      <c r="AW33" s="41">
        <v>1019.5975693856974</v>
      </c>
      <c r="AX33" s="314"/>
      <c r="AY33" s="314"/>
      <c r="AZ33" s="41">
        <v>3237.1453558460621</v>
      </c>
      <c r="BA33" s="65">
        <v>0</v>
      </c>
      <c r="BB33" s="34">
        <v>-1724.521</v>
      </c>
      <c r="BC33" s="65">
        <f t="shared" si="44"/>
        <v>2532.22192523176</v>
      </c>
      <c r="BD33" s="65"/>
      <c r="BE33" s="41">
        <v>-4654.3035285950318</v>
      </c>
      <c r="BF33" s="314"/>
      <c r="BG33" s="314"/>
      <c r="BH33" s="41">
        <v>3174.8761896728884</v>
      </c>
      <c r="BI33" s="65">
        <v>0</v>
      </c>
      <c r="BJ33" s="34">
        <v>-1787.6990000000001</v>
      </c>
      <c r="BK33" s="65">
        <f t="shared" si="45"/>
        <v>-3267.1263389221435</v>
      </c>
      <c r="BL33" s="65"/>
      <c r="BM33" s="41">
        <v>-1635.4405382664895</v>
      </c>
      <c r="BN33" s="41">
        <v>1847.0513468400984</v>
      </c>
      <c r="BO33" s="65">
        <v>0</v>
      </c>
      <c r="BP33" s="34">
        <v>-1787.6990000000001</v>
      </c>
      <c r="BQ33" s="65">
        <f t="shared" si="25"/>
        <v>-1576.0881914263912</v>
      </c>
      <c r="BR33" s="65"/>
      <c r="BS33" s="41">
        <v>1598.8928493457083</v>
      </c>
      <c r="BT33" s="314"/>
      <c r="BU33" s="314"/>
      <c r="BV33" s="41">
        <v>2000.4250884740318</v>
      </c>
      <c r="BW33" s="65">
        <v>0</v>
      </c>
      <c r="BX33" s="34">
        <v>-1787.6990000000001</v>
      </c>
      <c r="BY33" s="65">
        <f t="shared" si="46"/>
        <v>1811.61893781974</v>
      </c>
      <c r="CA33" s="5">
        <v>1280.0966574965432</v>
      </c>
      <c r="CB33" s="407">
        <v>2166.9297512690068</v>
      </c>
      <c r="CC33" s="415">
        <v>0</v>
      </c>
      <c r="CD33" s="34">
        <v>-1787.6990000000001</v>
      </c>
      <c r="CE33" s="65">
        <f t="shared" si="26"/>
        <v>1659.32740876555</v>
      </c>
      <c r="CF33" s="407"/>
      <c r="CG33" s="5">
        <v>2735.2676907338746</v>
      </c>
      <c r="CH33" s="407">
        <v>2308.6890859160926</v>
      </c>
      <c r="CI33" s="415">
        <v>0</v>
      </c>
      <c r="CJ33" s="34">
        <v>-1787.6990000000001</v>
      </c>
      <c r="CK33" s="65">
        <f t="shared" si="27"/>
        <v>3256.2577766499676</v>
      </c>
      <c r="CL33" s="407"/>
      <c r="CM33" s="41">
        <f>AU33/'1. Väestöennuste'!L33*1000</f>
        <v>2191.284950463677</v>
      </c>
      <c r="CN33" s="41">
        <f>BC33/'1. Väestöennuste'!M33*1000</f>
        <v>129.63151045519402</v>
      </c>
      <c r="CO33" s="41">
        <f>BK33/'1. Väestöennuste'!N33*1000</f>
        <v>-171.07164828370213</v>
      </c>
      <c r="CP33" s="41">
        <f>BQ33/'1. Väestöennuste'!O33*1000</f>
        <v>-83.329184277592859</v>
      </c>
      <c r="CQ33" s="41">
        <f>BY33/'1. Väestöennuste'!P33*1000</f>
        <v>96.702195890879679</v>
      </c>
      <c r="CR33" s="41">
        <f>CE33/'1. Väestöennuste'!Q33*1000</f>
        <v>89.413051447653302</v>
      </c>
      <c r="CS33" s="41">
        <f>CK33/'1. Väestöennuste'!R33*1000</f>
        <v>177.19202136638012</v>
      </c>
      <c r="CT33" s="41"/>
      <c r="CV33" s="41">
        <f t="shared" si="28"/>
        <v>5043.9567766499677</v>
      </c>
      <c r="CW33" s="41">
        <f t="shared" si="29"/>
        <v>-1064.9728261862906</v>
      </c>
      <c r="CX33" s="41">
        <f t="shared" si="30"/>
        <v>-2061.6534400084829</v>
      </c>
      <c r="CY33" s="41">
        <f t="shared" si="31"/>
        <v>-300.70315873889615</v>
      </c>
      <c r="CZ33" s="41">
        <f t="shared" si="32"/>
        <v>87.742464006109273</v>
      </c>
      <c r="DA33" s="41">
        <f t="shared" si="33"/>
        <v>180.03138016847254</v>
      </c>
      <c r="DB33" s="41">
        <f t="shared" si="34"/>
        <v>-7.2891444432263768</v>
      </c>
      <c r="DC33" s="41">
        <f t="shared" si="35"/>
        <v>87.778969918726816</v>
      </c>
      <c r="DD33" s="41"/>
      <c r="DE33" s="283">
        <f t="shared" si="36"/>
        <v>-2.8214798893158006</v>
      </c>
      <c r="DF33" s="283">
        <f t="shared" si="37"/>
        <v>-0.32705421352787767</v>
      </c>
      <c r="DG33" s="283">
        <f t="shared" si="38"/>
        <v>-0.94084223942314582</v>
      </c>
      <c r="DH33" s="283">
        <f t="shared" si="39"/>
        <v>-2.3196764249910635</v>
      </c>
      <c r="DI33" s="283">
        <f t="shared" si="40"/>
        <v>-0.51289892209724175</v>
      </c>
      <c r="DJ33" s="283">
        <f t="shared" si="41"/>
        <v>-2.1604841296506345</v>
      </c>
      <c r="DK33" s="283">
        <f t="shared" si="42"/>
        <v>-7.537723808724639E-2</v>
      </c>
      <c r="DL33" s="283">
        <f t="shared" si="43"/>
        <v>0.98172435117167256</v>
      </c>
    </row>
    <row r="34" spans="1:116" x14ac:dyDescent="0.2">
      <c r="A34" s="30">
        <v>77</v>
      </c>
      <c r="B34" s="31" t="s">
        <v>347</v>
      </c>
      <c r="C34" s="65"/>
      <c r="D34" s="65"/>
      <c r="E34" s="65"/>
      <c r="F34" s="65"/>
      <c r="G34" s="65"/>
      <c r="H34" s="65">
        <v>19893</v>
      </c>
      <c r="I34" s="65"/>
      <c r="J34" s="65"/>
      <c r="K34" s="65"/>
      <c r="L34" s="65"/>
      <c r="M34" s="65"/>
      <c r="N34" s="65">
        <v>19127</v>
      </c>
      <c r="O34" s="65"/>
      <c r="P34" s="65"/>
      <c r="Q34" s="65"/>
      <c r="R34" s="65"/>
      <c r="S34" s="65"/>
      <c r="T34" s="65">
        <v>18812</v>
      </c>
      <c r="U34" s="65"/>
      <c r="V34" s="65"/>
      <c r="W34" s="65"/>
      <c r="X34" s="65"/>
      <c r="Y34" s="65"/>
      <c r="Z34" s="65">
        <v>18486</v>
      </c>
      <c r="AA34" s="65"/>
      <c r="AB34" s="66">
        <v>16898.151736972566</v>
      </c>
      <c r="AC34" s="34">
        <v>74.794143915907782</v>
      </c>
      <c r="AD34" s="180">
        <v>2937.6385837878538</v>
      </c>
      <c r="AE34" s="65">
        <v>670</v>
      </c>
      <c r="AF34" s="34">
        <v>-23.058</v>
      </c>
      <c r="AG34" s="65">
        <f t="shared" si="22"/>
        <v>20557.526464676328</v>
      </c>
      <c r="AH34" s="65"/>
      <c r="AI34" s="66">
        <v>16185.268746530463</v>
      </c>
      <c r="AJ34" s="34">
        <v>-57.962662140028307</v>
      </c>
      <c r="AK34" s="181">
        <v>3118.6094237802627</v>
      </c>
      <c r="AL34" s="65">
        <v>0</v>
      </c>
      <c r="AM34" s="34">
        <v>40.082999999999998</v>
      </c>
      <c r="AN34" s="65">
        <f t="shared" si="23"/>
        <v>19285.998508170698</v>
      </c>
      <c r="AO34" s="65"/>
      <c r="AP34" s="41">
        <v>16348.620786406167</v>
      </c>
      <c r="AQ34" s="41">
        <v>-17.855156733539502</v>
      </c>
      <c r="AR34" s="41">
        <v>3513.9815372485864</v>
      </c>
      <c r="AS34" s="65">
        <v>0</v>
      </c>
      <c r="AT34" s="34">
        <v>252.76499999999999</v>
      </c>
      <c r="AU34" s="65">
        <f t="shared" si="24"/>
        <v>20097.512166921213</v>
      </c>
      <c r="AV34" s="65"/>
      <c r="AW34" s="41">
        <v>3786.3767892034202</v>
      </c>
      <c r="AX34" s="314"/>
      <c r="AY34" s="314"/>
      <c r="AZ34" s="41">
        <v>1062.975310328146</v>
      </c>
      <c r="BA34" s="65">
        <v>0</v>
      </c>
      <c r="BB34" s="34">
        <v>207.899</v>
      </c>
      <c r="BC34" s="65">
        <f t="shared" si="44"/>
        <v>5057.251099531567</v>
      </c>
      <c r="BD34" s="65"/>
      <c r="BE34" s="41">
        <v>2674.3425095724424</v>
      </c>
      <c r="BF34" s="314"/>
      <c r="BG34" s="314"/>
      <c r="BH34" s="41">
        <v>1047.1057362009128</v>
      </c>
      <c r="BI34" s="65">
        <v>0</v>
      </c>
      <c r="BJ34" s="34">
        <v>135.63399999999999</v>
      </c>
      <c r="BK34" s="65">
        <f t="shared" si="45"/>
        <v>3857.0822457733552</v>
      </c>
      <c r="BL34" s="65"/>
      <c r="BM34" s="41">
        <v>3335.5063752168153</v>
      </c>
      <c r="BN34" s="41">
        <v>755.09903500415248</v>
      </c>
      <c r="BO34" s="65">
        <v>0</v>
      </c>
      <c r="BP34" s="34">
        <v>135.63399999999999</v>
      </c>
      <c r="BQ34" s="65">
        <f t="shared" si="25"/>
        <v>4226.2394102209673</v>
      </c>
      <c r="BR34" s="65"/>
      <c r="BS34" s="41">
        <v>3384.3922331422445</v>
      </c>
      <c r="BT34" s="314"/>
      <c r="BU34" s="314"/>
      <c r="BV34" s="41">
        <v>805.05908999554754</v>
      </c>
      <c r="BW34" s="65">
        <v>0</v>
      </c>
      <c r="BX34" s="34">
        <v>135.63399999999999</v>
      </c>
      <c r="BY34" s="65">
        <f t="shared" si="46"/>
        <v>4325.0853231377923</v>
      </c>
      <c r="CA34" s="5">
        <v>3291.4241610305276</v>
      </c>
      <c r="CB34" s="407">
        <v>855.62241820730424</v>
      </c>
      <c r="CC34" s="415">
        <v>0</v>
      </c>
      <c r="CD34" s="34">
        <v>135.63399999999999</v>
      </c>
      <c r="CE34" s="65">
        <f t="shared" si="26"/>
        <v>4282.6805792378318</v>
      </c>
      <c r="CF34" s="407"/>
      <c r="CG34" s="5">
        <v>3828.2961252880627</v>
      </c>
      <c r="CH34" s="407">
        <v>900.1451065572345</v>
      </c>
      <c r="CI34" s="415">
        <v>0</v>
      </c>
      <c r="CJ34" s="34">
        <v>135.63399999999999</v>
      </c>
      <c r="CK34" s="65">
        <f t="shared" si="27"/>
        <v>4864.0752318452969</v>
      </c>
      <c r="CL34" s="407"/>
      <c r="CM34" s="41">
        <f>AU34/'1. Väestöennuste'!L34*1000</f>
        <v>4368.0748026344736</v>
      </c>
      <c r="CN34" s="41">
        <f>BC34/'1. Väestöennuste'!M34*1000</f>
        <v>1111.7280939836376</v>
      </c>
      <c r="CO34" s="41">
        <f>BK34/'1. Väestöennuste'!N34*1000</f>
        <v>862.68893888914238</v>
      </c>
      <c r="CP34" s="41">
        <f>BQ34/'1. Väestöennuste'!O34*1000</f>
        <v>959.63655999567834</v>
      </c>
      <c r="CQ34" s="41">
        <f>BY34/'1. Väestöennuste'!P34*1000</f>
        <v>996.56343851101201</v>
      </c>
      <c r="CR34" s="41">
        <f>CE34/'1. Väestöennuste'!Q34*1000</f>
        <v>1000.8601493895377</v>
      </c>
      <c r="CS34" s="41">
        <f>CK34/'1. Väestöennuste'!R34*1000</f>
        <v>1153.4444467264161</v>
      </c>
      <c r="CT34" s="41"/>
      <c r="CV34" s="41">
        <f t="shared" si="28"/>
        <v>4728.4412318452969</v>
      </c>
      <c r="CW34" s="41">
        <f t="shared" si="29"/>
        <v>-496.00042921082331</v>
      </c>
      <c r="CX34" s="41">
        <f t="shared" si="30"/>
        <v>-3256.3467086508363</v>
      </c>
      <c r="CY34" s="41">
        <f t="shared" si="31"/>
        <v>-249.03915509449519</v>
      </c>
      <c r="CZ34" s="41">
        <f t="shared" si="32"/>
        <v>96.947621106535962</v>
      </c>
      <c r="DA34" s="41">
        <f t="shared" si="33"/>
        <v>36.926878515333669</v>
      </c>
      <c r="DB34" s="41">
        <f t="shared" si="34"/>
        <v>4.2967108785256869</v>
      </c>
      <c r="DC34" s="41">
        <f t="shared" si="35"/>
        <v>152.58429733687842</v>
      </c>
      <c r="DD34" s="41"/>
      <c r="DE34" s="283">
        <f t="shared" si="36"/>
        <v>34.861769407709701</v>
      </c>
      <c r="DF34" s="283">
        <f t="shared" si="37"/>
        <v>-0.10197219524144867</v>
      </c>
      <c r="DG34" s="283">
        <f t="shared" si="38"/>
        <v>-0.74548785352459357</v>
      </c>
      <c r="DH34" s="283">
        <f t="shared" si="39"/>
        <v>-0.22401084981321032</v>
      </c>
      <c r="DI34" s="283">
        <f t="shared" si="40"/>
        <v>0.11237842139412658</v>
      </c>
      <c r="DJ34" s="283">
        <f t="shared" si="41"/>
        <v>3.8480066365437313E-2</v>
      </c>
      <c r="DK34" s="283">
        <f t="shared" si="42"/>
        <v>4.311527708607793E-3</v>
      </c>
      <c r="DL34" s="283">
        <f t="shared" si="43"/>
        <v>0.15245316484020802</v>
      </c>
    </row>
    <row r="35" spans="1:116" x14ac:dyDescent="0.2">
      <c r="A35" s="30">
        <v>78</v>
      </c>
      <c r="B35" s="31" t="s">
        <v>348</v>
      </c>
      <c r="C35" s="65"/>
      <c r="D35" s="65"/>
      <c r="E35" s="65"/>
      <c r="F35" s="65"/>
      <c r="G35" s="65"/>
      <c r="H35" s="65">
        <v>12898</v>
      </c>
      <c r="I35" s="65"/>
      <c r="J35" s="65"/>
      <c r="K35" s="65"/>
      <c r="L35" s="65"/>
      <c r="M35" s="65"/>
      <c r="N35" s="65">
        <v>12668</v>
      </c>
      <c r="O35" s="65"/>
      <c r="P35" s="65"/>
      <c r="Q35" s="65"/>
      <c r="R35" s="65"/>
      <c r="S35" s="65"/>
      <c r="T35" s="65">
        <v>12372</v>
      </c>
      <c r="U35" s="65"/>
      <c r="V35" s="65"/>
      <c r="W35" s="65"/>
      <c r="X35" s="65"/>
      <c r="Y35" s="65"/>
      <c r="Z35" s="65">
        <v>12613</v>
      </c>
      <c r="AA35" s="65"/>
      <c r="AB35" s="66">
        <v>12847.190179289473</v>
      </c>
      <c r="AC35" s="34">
        <v>190.92159093992461</v>
      </c>
      <c r="AD35" s="180">
        <v>3399.7831040184778</v>
      </c>
      <c r="AE35" s="65">
        <v>0</v>
      </c>
      <c r="AF35" s="34">
        <v>-541.25</v>
      </c>
      <c r="AG35" s="65">
        <f t="shared" si="22"/>
        <v>15896.644874247875</v>
      </c>
      <c r="AH35" s="65"/>
      <c r="AI35" s="66">
        <v>11389.389584578195</v>
      </c>
      <c r="AJ35" s="34">
        <v>-147.61990375457751</v>
      </c>
      <c r="AK35" s="181">
        <v>3637.2674294529138</v>
      </c>
      <c r="AL35" s="65">
        <v>0</v>
      </c>
      <c r="AM35" s="34">
        <v>-728.37800000000004</v>
      </c>
      <c r="AN35" s="65">
        <f t="shared" si="23"/>
        <v>14150.659110276531</v>
      </c>
      <c r="AO35" s="65"/>
      <c r="AP35" s="41">
        <v>12082.867541490532</v>
      </c>
      <c r="AQ35" s="41">
        <v>-45.45039513411399</v>
      </c>
      <c r="AR35" s="41">
        <v>4059.8307209992331</v>
      </c>
      <c r="AS35" s="65">
        <v>0</v>
      </c>
      <c r="AT35" s="34">
        <v>-482.93299999999999</v>
      </c>
      <c r="AU35" s="65">
        <f t="shared" si="24"/>
        <v>15614.31486735565</v>
      </c>
      <c r="AV35" s="65"/>
      <c r="AW35" s="41">
        <v>-787.64065295636658</v>
      </c>
      <c r="AX35" s="314"/>
      <c r="AY35" s="314"/>
      <c r="AZ35" s="41">
        <v>1250.7562643230706</v>
      </c>
      <c r="BA35" s="65">
        <v>0</v>
      </c>
      <c r="BB35" s="34">
        <v>-344.279</v>
      </c>
      <c r="BC35" s="65">
        <f t="shared" si="44"/>
        <v>118.83661136670401</v>
      </c>
      <c r="BD35" s="65"/>
      <c r="BE35" s="41">
        <v>-2341.721367292324</v>
      </c>
      <c r="BF35" s="314"/>
      <c r="BG35" s="314"/>
      <c r="BH35" s="41">
        <v>1242.8152935434371</v>
      </c>
      <c r="BI35" s="65">
        <v>0</v>
      </c>
      <c r="BJ35" s="34">
        <v>-524.71199999999999</v>
      </c>
      <c r="BK35" s="65">
        <f t="shared" si="45"/>
        <v>-1623.6180737488869</v>
      </c>
      <c r="BL35" s="65"/>
      <c r="BM35" s="41">
        <v>-1574.0991031544768</v>
      </c>
      <c r="BN35" s="41">
        <v>702.04899464487596</v>
      </c>
      <c r="BO35" s="65">
        <v>0</v>
      </c>
      <c r="BP35" s="34">
        <v>-524.71199999999999</v>
      </c>
      <c r="BQ35" s="65">
        <f t="shared" si="25"/>
        <v>-1396.7621085096007</v>
      </c>
      <c r="BR35" s="65"/>
      <c r="BS35" s="41">
        <v>-1279.9574634106286</v>
      </c>
      <c r="BT35" s="314"/>
      <c r="BU35" s="314"/>
      <c r="BV35" s="41">
        <v>762.24915611460983</v>
      </c>
      <c r="BW35" s="65">
        <v>0</v>
      </c>
      <c r="BX35" s="34">
        <v>-524.71199999999999</v>
      </c>
      <c r="BY35" s="65">
        <f t="shared" si="46"/>
        <v>-1042.4203072960188</v>
      </c>
      <c r="CA35" s="5">
        <v>-1396.0922237107693</v>
      </c>
      <c r="CB35" s="407">
        <v>827.83635909159375</v>
      </c>
      <c r="CC35" s="415">
        <v>0</v>
      </c>
      <c r="CD35" s="34">
        <v>-524.71199999999999</v>
      </c>
      <c r="CE35" s="65">
        <f t="shared" si="26"/>
        <v>-1092.9678646191755</v>
      </c>
      <c r="CF35" s="407"/>
      <c r="CG35" s="5">
        <v>-1023.8422360395442</v>
      </c>
      <c r="CH35" s="407">
        <v>883.30428305625821</v>
      </c>
      <c r="CI35" s="415">
        <v>0</v>
      </c>
      <c r="CJ35" s="34">
        <v>-524.71199999999999</v>
      </c>
      <c r="CK35" s="65">
        <f t="shared" si="27"/>
        <v>-665.24995298328599</v>
      </c>
      <c r="CL35" s="407"/>
      <c r="CM35" s="41">
        <f>AU35/'1. Väestöennuste'!L35*1000</f>
        <v>1993.6561373028155</v>
      </c>
      <c r="CN35" s="41">
        <f>BC35/'1. Väestöennuste'!M35*1000</f>
        <v>15.391349743129647</v>
      </c>
      <c r="CO35" s="41">
        <f>BK35/'1. Väestöennuste'!N35*1000</f>
        <v>-217.4391420582412</v>
      </c>
      <c r="CP35" s="41">
        <f>BQ35/'1. Väestöennuste'!O35*1000</f>
        <v>-190.08738548034847</v>
      </c>
      <c r="CQ35" s="41">
        <f>BY35/'1. Väestöennuste'!P35*1000</f>
        <v>-144.06029675179917</v>
      </c>
      <c r="CR35" s="41">
        <f>CE35/'1. Väestöennuste'!Q35*1000</f>
        <v>-153.37747188032213</v>
      </c>
      <c r="CS35" s="41">
        <f>CK35/'1. Väestöennuste'!R35*1000</f>
        <v>-94.710984194659162</v>
      </c>
      <c r="CT35" s="41"/>
      <c r="CV35" s="41">
        <f t="shared" si="28"/>
        <v>-140.537952983286</v>
      </c>
      <c r="CW35" s="41">
        <f t="shared" si="29"/>
        <v>2658.9060902861015</v>
      </c>
      <c r="CX35" s="41">
        <f t="shared" si="30"/>
        <v>-1978.2647875596858</v>
      </c>
      <c r="CY35" s="41">
        <f t="shared" si="31"/>
        <v>-232.83049180137084</v>
      </c>
      <c r="CZ35" s="41">
        <f t="shared" si="32"/>
        <v>27.351756577892729</v>
      </c>
      <c r="DA35" s="41">
        <f t="shared" si="33"/>
        <v>46.027088728549302</v>
      </c>
      <c r="DB35" s="41">
        <f t="shared" si="34"/>
        <v>-9.3171751285229618</v>
      </c>
      <c r="DC35" s="41">
        <f t="shared" si="35"/>
        <v>58.666487685662972</v>
      </c>
      <c r="DD35" s="41"/>
      <c r="DE35" s="283">
        <f t="shared" si="36"/>
        <v>0.26783826743677674</v>
      </c>
      <c r="DF35" s="283">
        <f t="shared" si="37"/>
        <v>-3.996852729357359</v>
      </c>
      <c r="DG35" s="283">
        <f t="shared" si="38"/>
        <v>-0.99227983730235825</v>
      </c>
      <c r="DH35" s="283">
        <f t="shared" si="39"/>
        <v>-15.127360217728867</v>
      </c>
      <c r="DI35" s="283">
        <f t="shared" si="40"/>
        <v>-0.12579039964463504</v>
      </c>
      <c r="DJ35" s="283">
        <f t="shared" si="41"/>
        <v>-0.24213647114057263</v>
      </c>
      <c r="DK35" s="283">
        <f t="shared" si="42"/>
        <v>6.4675523642544488E-2</v>
      </c>
      <c r="DL35" s="283">
        <f t="shared" si="43"/>
        <v>-0.38249742264261238</v>
      </c>
    </row>
    <row r="36" spans="1:116" x14ac:dyDescent="0.2">
      <c r="A36" s="30">
        <v>79</v>
      </c>
      <c r="B36" s="31" t="s">
        <v>349</v>
      </c>
      <c r="C36" s="65"/>
      <c r="D36" s="65"/>
      <c r="E36" s="65"/>
      <c r="F36" s="65"/>
      <c r="G36" s="65"/>
      <c r="H36" s="65">
        <v>12147</v>
      </c>
      <c r="I36" s="65"/>
      <c r="J36" s="65"/>
      <c r="K36" s="65"/>
      <c r="L36" s="65"/>
      <c r="M36" s="65"/>
      <c r="N36" s="65">
        <v>11726</v>
      </c>
      <c r="O36" s="65"/>
      <c r="P36" s="65"/>
      <c r="Q36" s="65"/>
      <c r="R36" s="65"/>
      <c r="S36" s="65"/>
      <c r="T36" s="65">
        <v>11079</v>
      </c>
      <c r="U36" s="65"/>
      <c r="V36" s="65"/>
      <c r="W36" s="65"/>
      <c r="X36" s="65"/>
      <c r="Y36" s="65"/>
      <c r="Z36" s="65">
        <v>10331</v>
      </c>
      <c r="AA36" s="65"/>
      <c r="AB36" s="66">
        <v>10674.741743505219</v>
      </c>
      <c r="AC36" s="34">
        <v>164.35740215221369</v>
      </c>
      <c r="AD36" s="180">
        <v>2963.7727141655655</v>
      </c>
      <c r="AE36" s="65">
        <v>0</v>
      </c>
      <c r="AF36" s="34">
        <v>-485.59500000000003</v>
      </c>
      <c r="AG36" s="65">
        <f t="shared" si="22"/>
        <v>13317.276859823</v>
      </c>
      <c r="AH36" s="65"/>
      <c r="AI36" s="66">
        <v>10718.616689249917</v>
      </c>
      <c r="AJ36" s="34">
        <v>-123.79327748405586</v>
      </c>
      <c r="AK36" s="181">
        <v>3180.2398392883492</v>
      </c>
      <c r="AL36" s="65">
        <v>0</v>
      </c>
      <c r="AM36" s="34">
        <v>-492.09800000000001</v>
      </c>
      <c r="AN36" s="65">
        <f t="shared" si="23"/>
        <v>13282.965251054211</v>
      </c>
      <c r="AO36" s="65"/>
      <c r="AP36" s="41">
        <v>10456.594554617724</v>
      </c>
      <c r="AQ36" s="41">
        <v>-37.454913833898047</v>
      </c>
      <c r="AR36" s="41">
        <v>3610.3969958858434</v>
      </c>
      <c r="AS36" s="65">
        <v>0</v>
      </c>
      <c r="AT36" s="34">
        <v>-374.54</v>
      </c>
      <c r="AU36" s="65">
        <f t="shared" si="24"/>
        <v>13654.996636669668</v>
      </c>
      <c r="AV36" s="65"/>
      <c r="AW36" s="41">
        <v>-1860.8927243588805</v>
      </c>
      <c r="AX36" s="314"/>
      <c r="AY36" s="314"/>
      <c r="AZ36" s="41">
        <v>1086.4006993279202</v>
      </c>
      <c r="BA36" s="65">
        <v>0</v>
      </c>
      <c r="BB36" s="34">
        <v>-358.48500000000001</v>
      </c>
      <c r="BC36" s="65">
        <f t="shared" si="44"/>
        <v>-1132.9770250309602</v>
      </c>
      <c r="BD36" s="65"/>
      <c r="BE36" s="41">
        <v>-2365.9525621655607</v>
      </c>
      <c r="BF36" s="314"/>
      <c r="BG36" s="314"/>
      <c r="BH36" s="41">
        <v>1064.2303536242273</v>
      </c>
      <c r="BI36" s="65">
        <v>0</v>
      </c>
      <c r="BJ36" s="34">
        <v>-280.67200000000003</v>
      </c>
      <c r="BK36" s="65">
        <f t="shared" si="45"/>
        <v>-1582.3942085413335</v>
      </c>
      <c r="BL36" s="65"/>
      <c r="BM36" s="41">
        <v>-1206.6419604829703</v>
      </c>
      <c r="BN36" s="41">
        <v>638.43404946035378</v>
      </c>
      <c r="BO36" s="65">
        <v>0</v>
      </c>
      <c r="BP36" s="34">
        <v>-280.67200000000003</v>
      </c>
      <c r="BQ36" s="65">
        <f t="shared" si="25"/>
        <v>-848.87991102261651</v>
      </c>
      <c r="BR36" s="65"/>
      <c r="BS36" s="41">
        <v>-1080.1457538894742</v>
      </c>
      <c r="BT36" s="314"/>
      <c r="BU36" s="314"/>
      <c r="BV36" s="41">
        <v>695.72199655205463</v>
      </c>
      <c r="BW36" s="65">
        <v>0</v>
      </c>
      <c r="BX36" s="34">
        <v>-280.67200000000003</v>
      </c>
      <c r="BY36" s="65">
        <f t="shared" si="46"/>
        <v>-665.09575733741963</v>
      </c>
      <c r="CA36" s="5">
        <v>-914.6266406158004</v>
      </c>
      <c r="CB36" s="407">
        <v>754.95245693195318</v>
      </c>
      <c r="CC36" s="415">
        <v>0</v>
      </c>
      <c r="CD36" s="34">
        <v>-280.67200000000003</v>
      </c>
      <c r="CE36" s="65">
        <f t="shared" si="26"/>
        <v>-440.34618368384724</v>
      </c>
      <c r="CF36" s="407"/>
      <c r="CG36" s="5">
        <v>-581.17603692710179</v>
      </c>
      <c r="CH36" s="407">
        <v>805.36253067090979</v>
      </c>
      <c r="CI36" s="415">
        <v>0</v>
      </c>
      <c r="CJ36" s="34">
        <v>-280.67200000000003</v>
      </c>
      <c r="CK36" s="65">
        <f t="shared" si="27"/>
        <v>-56.485506256192025</v>
      </c>
      <c r="CL36" s="407"/>
      <c r="CM36" s="41">
        <f>AU36/'1. Väestöennuste'!L36*1000</f>
        <v>2022.0637696830547</v>
      </c>
      <c r="CN36" s="41">
        <f>BC36/'1. Väestöennuste'!M36*1000</f>
        <v>-169.02536551260036</v>
      </c>
      <c r="CO36" s="41">
        <f>BK36/'1. Väestöennuste'!N36*1000</f>
        <v>-241.36580362131383</v>
      </c>
      <c r="CP36" s="41">
        <f>BQ36/'1. Väestöennuste'!O36*1000</f>
        <v>-130.85862664137758</v>
      </c>
      <c r="CQ36" s="41">
        <f>BY36/'1. Väestöennuste'!P36*1000</f>
        <v>-103.56520668598873</v>
      </c>
      <c r="CR36" s="41">
        <f>CE36/'1. Väestöennuste'!Q36*1000</f>
        <v>-69.247709338551218</v>
      </c>
      <c r="CS36" s="41">
        <f>CK36/'1. Väestöennuste'!R36*1000</f>
        <v>-8.9659533739987332</v>
      </c>
      <c r="CT36" s="41"/>
      <c r="CV36" s="41">
        <f t="shared" si="28"/>
        <v>224.186493743808</v>
      </c>
      <c r="CW36" s="41">
        <f t="shared" si="29"/>
        <v>2078.5492759392469</v>
      </c>
      <c r="CX36" s="41">
        <f t="shared" si="30"/>
        <v>-2191.0891351956552</v>
      </c>
      <c r="CY36" s="41">
        <f t="shared" si="31"/>
        <v>-72.340438108713471</v>
      </c>
      <c r="CZ36" s="41">
        <f t="shared" si="32"/>
        <v>110.50717697993625</v>
      </c>
      <c r="DA36" s="41">
        <f t="shared" si="33"/>
        <v>27.293419955388856</v>
      </c>
      <c r="DB36" s="41">
        <f t="shared" si="34"/>
        <v>34.317497347437509</v>
      </c>
      <c r="DC36" s="41">
        <f t="shared" si="35"/>
        <v>60.281755964552488</v>
      </c>
      <c r="DD36" s="41"/>
      <c r="DE36" s="283">
        <f t="shared" si="36"/>
        <v>-0.79874905136176022</v>
      </c>
      <c r="DF36" s="283">
        <f t="shared" si="37"/>
        <v>-36.797922399985453</v>
      </c>
      <c r="DG36" s="283">
        <f t="shared" si="38"/>
        <v>-1.0835905217465491</v>
      </c>
      <c r="DH36" s="283">
        <f t="shared" si="39"/>
        <v>0.42798569249844748</v>
      </c>
      <c r="DI36" s="283">
        <f t="shared" si="40"/>
        <v>-0.45784106663806579</v>
      </c>
      <c r="DJ36" s="283">
        <f t="shared" si="41"/>
        <v>-0.20857180497688838</v>
      </c>
      <c r="DK36" s="283">
        <f t="shared" si="42"/>
        <v>-0.33136125968916069</v>
      </c>
      <c r="DL36" s="283">
        <f t="shared" si="43"/>
        <v>-0.87052346626854771</v>
      </c>
    </row>
    <row r="37" spans="1:116" x14ac:dyDescent="0.2">
      <c r="A37" s="30">
        <v>81</v>
      </c>
      <c r="B37" s="31" t="s">
        <v>350</v>
      </c>
      <c r="C37" s="65"/>
      <c r="D37" s="65"/>
      <c r="E37" s="65"/>
      <c r="F37" s="65"/>
      <c r="G37" s="65"/>
      <c r="H37" s="65">
        <v>9062</v>
      </c>
      <c r="I37" s="65"/>
      <c r="J37" s="65"/>
      <c r="K37" s="65"/>
      <c r="L37" s="65"/>
      <c r="M37" s="65"/>
      <c r="N37" s="65">
        <v>9153</v>
      </c>
      <c r="O37" s="65"/>
      <c r="P37" s="65"/>
      <c r="Q37" s="65"/>
      <c r="R37" s="65"/>
      <c r="S37" s="65"/>
      <c r="T37" s="65">
        <v>8888</v>
      </c>
      <c r="U37" s="65"/>
      <c r="V37" s="65"/>
      <c r="W37" s="65"/>
      <c r="X37" s="65"/>
      <c r="Y37" s="65"/>
      <c r="Z37" s="65">
        <v>8632</v>
      </c>
      <c r="AA37" s="65"/>
      <c r="AB37" s="66">
        <v>8842.988089333021</v>
      </c>
      <c r="AC37" s="34">
        <v>46.675055911587975</v>
      </c>
      <c r="AD37" s="180">
        <v>1812.9716716051039</v>
      </c>
      <c r="AE37" s="65">
        <v>370</v>
      </c>
      <c r="AF37" s="34">
        <v>-387.43</v>
      </c>
      <c r="AG37" s="65">
        <f t="shared" si="22"/>
        <v>10685.204816849713</v>
      </c>
      <c r="AH37" s="65"/>
      <c r="AI37" s="66">
        <v>8203.3406694087935</v>
      </c>
      <c r="AJ37" s="34">
        <v>-35.636762303868167</v>
      </c>
      <c r="AK37" s="181">
        <v>1925.8658629310337</v>
      </c>
      <c r="AL37" s="65">
        <v>0</v>
      </c>
      <c r="AM37" s="34">
        <v>-627.62900000000002</v>
      </c>
      <c r="AN37" s="65">
        <f t="shared" si="23"/>
        <v>9465.9407700359588</v>
      </c>
      <c r="AO37" s="65"/>
      <c r="AP37" s="41">
        <v>8435.8616542851869</v>
      </c>
      <c r="AQ37" s="41">
        <v>-10.818807460280429</v>
      </c>
      <c r="AR37" s="41">
        <v>2115.0576408188299</v>
      </c>
      <c r="AS37" s="65">
        <v>0</v>
      </c>
      <c r="AT37" s="34">
        <v>-671.93600000000004</v>
      </c>
      <c r="AU37" s="65">
        <f t="shared" si="24"/>
        <v>9868.1644876437367</v>
      </c>
      <c r="AV37" s="65"/>
      <c r="AW37" s="41">
        <v>758.48031465843508</v>
      </c>
      <c r="AX37" s="314"/>
      <c r="AY37" s="314"/>
      <c r="AZ37" s="41">
        <v>628.56995055504888</v>
      </c>
      <c r="BA37" s="65">
        <v>0</v>
      </c>
      <c r="BB37" s="34">
        <v>-690.25800000000004</v>
      </c>
      <c r="BC37" s="65">
        <f t="shared" si="44"/>
        <v>696.79226521348392</v>
      </c>
      <c r="BD37" s="65"/>
      <c r="BE37" s="41">
        <v>77.010600481035596</v>
      </c>
      <c r="BF37" s="314"/>
      <c r="BG37" s="314"/>
      <c r="BH37" s="41">
        <v>620.10363561888482</v>
      </c>
      <c r="BI37" s="65">
        <v>0</v>
      </c>
      <c r="BJ37" s="34">
        <v>-753.08500000000004</v>
      </c>
      <c r="BK37" s="65">
        <f t="shared" si="45"/>
        <v>-55.970763900079646</v>
      </c>
      <c r="BL37" s="65"/>
      <c r="BM37" s="41">
        <v>548.7498912665875</v>
      </c>
      <c r="BN37" s="41">
        <v>482.51293442128457</v>
      </c>
      <c r="BO37" s="65">
        <v>0</v>
      </c>
      <c r="BP37" s="34">
        <v>-753.08500000000004</v>
      </c>
      <c r="BQ37" s="65">
        <f t="shared" si="25"/>
        <v>278.17782568787197</v>
      </c>
      <c r="BR37" s="65"/>
      <c r="BS37" s="41">
        <v>173.68775168653642</v>
      </c>
      <c r="BT37" s="314"/>
      <c r="BU37" s="314"/>
      <c r="BV37" s="41">
        <v>512.1577702662189</v>
      </c>
      <c r="BW37" s="65">
        <v>0</v>
      </c>
      <c r="BX37" s="34">
        <v>-753.08500000000004</v>
      </c>
      <c r="BY37" s="65">
        <f t="shared" si="46"/>
        <v>-67.239478047244688</v>
      </c>
      <c r="CA37" s="5">
        <v>191.29280359809334</v>
      </c>
      <c r="CB37" s="407">
        <v>541.79229587147506</v>
      </c>
      <c r="CC37" s="415">
        <v>0</v>
      </c>
      <c r="CD37" s="34">
        <v>-753.08500000000004</v>
      </c>
      <c r="CE37" s="65">
        <f t="shared" si="26"/>
        <v>-19.99990053043166</v>
      </c>
      <c r="CF37" s="407"/>
      <c r="CG37" s="5">
        <v>548.48085886877982</v>
      </c>
      <c r="CH37" s="407">
        <v>568.05690444824495</v>
      </c>
      <c r="CI37" s="415">
        <v>0</v>
      </c>
      <c r="CJ37" s="34">
        <v>-753.08500000000004</v>
      </c>
      <c r="CK37" s="65">
        <f t="shared" si="27"/>
        <v>363.45276331702462</v>
      </c>
      <c r="CL37" s="407"/>
      <c r="CM37" s="41">
        <f>AU37/'1. Väestöennuste'!L37*1000</f>
        <v>3833.7857372353292</v>
      </c>
      <c r="CN37" s="41">
        <f>BC37/'1. Väestöennuste'!M37*1000</f>
        <v>275.30314706182691</v>
      </c>
      <c r="CO37" s="41">
        <f>BK37/'1. Väestöennuste'!N37*1000</f>
        <v>-23.090249133696226</v>
      </c>
      <c r="CP37" s="41">
        <f>BQ37/'1. Väestöennuste'!O37*1000</f>
        <v>116.97974166857526</v>
      </c>
      <c r="CQ37" s="41">
        <f>BY37/'1. Väestöennuste'!P37*1000</f>
        <v>-28.771706481491094</v>
      </c>
      <c r="CR37" s="41">
        <f>CE37/'1. Väestöennuste'!Q37*1000</f>
        <v>-8.6993912703052025</v>
      </c>
      <c r="CS37" s="41">
        <f>CK37/'1. Väestöennuste'!R37*1000</f>
        <v>160.46479616645678</v>
      </c>
      <c r="CT37" s="41"/>
      <c r="CV37" s="41">
        <f t="shared" si="28"/>
        <v>1116.5377633170247</v>
      </c>
      <c r="CW37" s="41">
        <f t="shared" si="29"/>
        <v>3470.3329739183046</v>
      </c>
      <c r="CX37" s="41">
        <f t="shared" si="30"/>
        <v>-3558.4825901735021</v>
      </c>
      <c r="CY37" s="41">
        <f t="shared" si="31"/>
        <v>-298.39339619552311</v>
      </c>
      <c r="CZ37" s="41">
        <f t="shared" si="32"/>
        <v>140.06999080227149</v>
      </c>
      <c r="DA37" s="41">
        <f t="shared" si="33"/>
        <v>-145.75144815006635</v>
      </c>
      <c r="DB37" s="41">
        <f t="shared" si="34"/>
        <v>20.072315211185892</v>
      </c>
      <c r="DC37" s="41">
        <f t="shared" si="35"/>
        <v>169.16418743676198</v>
      </c>
      <c r="DD37" s="41"/>
      <c r="DE37" s="283">
        <f t="shared" si="36"/>
        <v>-1.4826185136034107</v>
      </c>
      <c r="DF37" s="283">
        <f t="shared" si="37"/>
        <v>9.5482365913153853</v>
      </c>
      <c r="DG37" s="283">
        <f t="shared" si="38"/>
        <v>-0.92819026259397652</v>
      </c>
      <c r="DH37" s="283">
        <f t="shared" si="39"/>
        <v>-1.0838720856631205</v>
      </c>
      <c r="DI37" s="283">
        <f t="shared" si="40"/>
        <v>-6.0661966006188974</v>
      </c>
      <c r="DJ37" s="283">
        <f t="shared" si="41"/>
        <v>-1.2459546077901809</v>
      </c>
      <c r="DK37" s="283">
        <f t="shared" si="42"/>
        <v>-0.6976407612144403</v>
      </c>
      <c r="DL37" s="283">
        <f t="shared" si="43"/>
        <v>-19.445520057730104</v>
      </c>
    </row>
    <row r="38" spans="1:116" x14ac:dyDescent="0.2">
      <c r="A38" s="30">
        <v>82</v>
      </c>
      <c r="B38" s="31" t="s">
        <v>351</v>
      </c>
      <c r="C38" s="65"/>
      <c r="D38" s="65"/>
      <c r="E38" s="65"/>
      <c r="F38" s="65"/>
      <c r="G38" s="65"/>
      <c r="H38" s="65">
        <v>9912</v>
      </c>
      <c r="I38" s="65"/>
      <c r="J38" s="65"/>
      <c r="K38" s="65"/>
      <c r="L38" s="65"/>
      <c r="M38" s="65"/>
      <c r="N38" s="65">
        <v>9659</v>
      </c>
      <c r="O38" s="65"/>
      <c r="P38" s="65"/>
      <c r="Q38" s="65"/>
      <c r="R38" s="65"/>
      <c r="S38" s="65"/>
      <c r="T38" s="65">
        <v>9329</v>
      </c>
      <c r="U38" s="65"/>
      <c r="V38" s="65"/>
      <c r="W38" s="65"/>
      <c r="X38" s="65"/>
      <c r="Y38" s="65"/>
      <c r="Z38" s="65">
        <v>9721</v>
      </c>
      <c r="AA38" s="65"/>
      <c r="AB38" s="66">
        <v>11992.95368183386</v>
      </c>
      <c r="AC38" s="34">
        <v>189.44791181877966</v>
      </c>
      <c r="AD38" s="180">
        <v>3776.1218034083536</v>
      </c>
      <c r="AE38" s="65">
        <v>0</v>
      </c>
      <c r="AF38" s="34">
        <v>-1933.079</v>
      </c>
      <c r="AG38" s="65">
        <f t="shared" si="22"/>
        <v>14025.444397060994</v>
      </c>
      <c r="AH38" s="65"/>
      <c r="AI38" s="66">
        <v>10275.356250522924</v>
      </c>
      <c r="AJ38" s="34">
        <v>-147.75132264733548</v>
      </c>
      <c r="AK38" s="181">
        <v>4057.1089457092348</v>
      </c>
      <c r="AL38" s="65">
        <v>0</v>
      </c>
      <c r="AM38" s="34">
        <v>-1969.9970000000001</v>
      </c>
      <c r="AN38" s="65">
        <f t="shared" si="23"/>
        <v>12214.716873584824</v>
      </c>
      <c r="AO38" s="65"/>
      <c r="AP38" s="41">
        <v>11144.046606069174</v>
      </c>
      <c r="AQ38" s="41">
        <v>-45.809784798577745</v>
      </c>
      <c r="AR38" s="41">
        <v>4714.2458157121173</v>
      </c>
      <c r="AS38" s="65">
        <v>0</v>
      </c>
      <c r="AT38" s="34">
        <v>-1911.3230000000001</v>
      </c>
      <c r="AU38" s="65">
        <f t="shared" si="24"/>
        <v>13901.159636982713</v>
      </c>
      <c r="AV38" s="65"/>
      <c r="AW38" s="41">
        <v>6196.0614260028251</v>
      </c>
      <c r="AX38" s="314"/>
      <c r="AY38" s="314"/>
      <c r="AZ38" s="41">
        <v>1420.8155510925856</v>
      </c>
      <c r="BA38" s="65">
        <v>0</v>
      </c>
      <c r="BB38" s="34">
        <v>-2089.4960000000001</v>
      </c>
      <c r="BC38" s="65">
        <f t="shared" si="44"/>
        <v>5527.3809770954103</v>
      </c>
      <c r="BD38" s="65"/>
      <c r="BE38" s="41">
        <v>4598.8848297466184</v>
      </c>
      <c r="BF38" s="314"/>
      <c r="BG38" s="314"/>
      <c r="BH38" s="41">
        <v>1389.3533398513855</v>
      </c>
      <c r="BI38" s="65">
        <v>0</v>
      </c>
      <c r="BJ38" s="34">
        <v>-2075.085</v>
      </c>
      <c r="BK38" s="65">
        <f t="shared" si="45"/>
        <v>3913.1531695980038</v>
      </c>
      <c r="BL38" s="65"/>
      <c r="BM38" s="41">
        <v>3865.7889334192027</v>
      </c>
      <c r="BN38" s="41">
        <v>790.29650373075185</v>
      </c>
      <c r="BO38" s="65">
        <v>0</v>
      </c>
      <c r="BP38" s="34">
        <v>-2075.085</v>
      </c>
      <c r="BQ38" s="65">
        <f t="shared" si="25"/>
        <v>2581.0004371499545</v>
      </c>
      <c r="BR38" s="65"/>
      <c r="BS38" s="41">
        <v>4256.7377871414483</v>
      </c>
      <c r="BT38" s="314"/>
      <c r="BU38" s="314"/>
      <c r="BV38" s="41">
        <v>843.95594541859873</v>
      </c>
      <c r="BW38" s="65">
        <v>0</v>
      </c>
      <c r="BX38" s="34">
        <v>-2075.085</v>
      </c>
      <c r="BY38" s="65">
        <f t="shared" si="46"/>
        <v>3025.6087325600465</v>
      </c>
      <c r="CA38" s="5">
        <v>4295.263089312828</v>
      </c>
      <c r="CB38" s="407">
        <v>913.43639261317639</v>
      </c>
      <c r="CC38" s="415">
        <v>0</v>
      </c>
      <c r="CD38" s="34">
        <v>-2075.085</v>
      </c>
      <c r="CE38" s="65">
        <f t="shared" si="26"/>
        <v>3133.6144819260044</v>
      </c>
      <c r="CF38" s="407"/>
      <c r="CG38" s="5">
        <v>4797.2613919888418</v>
      </c>
      <c r="CH38" s="407">
        <v>970.71277317356976</v>
      </c>
      <c r="CI38" s="415">
        <v>0</v>
      </c>
      <c r="CJ38" s="34">
        <v>-2075.085</v>
      </c>
      <c r="CK38" s="65">
        <f t="shared" si="27"/>
        <v>3692.8891651624117</v>
      </c>
      <c r="CL38" s="407"/>
      <c r="CM38" s="41">
        <f>AU38/'1. Väestöennuste'!L38*1000</f>
        <v>1485.3253164849571</v>
      </c>
      <c r="CN38" s="41">
        <f>BC38/'1. Väestöennuste'!M38*1000</f>
        <v>589.83896885021989</v>
      </c>
      <c r="CO38" s="41">
        <f>BK38/'1. Väestöennuste'!N38*1000</f>
        <v>426.4087577201704</v>
      </c>
      <c r="CP38" s="41">
        <f>BQ38/'1. Väestöennuste'!O38*1000</f>
        <v>282.9423851293526</v>
      </c>
      <c r="CQ38" s="41">
        <f>BY38/'1. Väestöennuste'!P38*1000</f>
        <v>333.73138457534156</v>
      </c>
      <c r="CR38" s="41">
        <f>CE38/'1. Väestöennuste'!Q38*1000</f>
        <v>347.83155532534181</v>
      </c>
      <c r="CS38" s="41">
        <f>CK38/'1. Väestöennuste'!R38*1000</f>
        <v>412.52113105031407</v>
      </c>
      <c r="CT38" s="41"/>
      <c r="CV38" s="41">
        <f t="shared" si="28"/>
        <v>5767.9741651624117</v>
      </c>
      <c r="CW38" s="41">
        <f t="shared" si="29"/>
        <v>-2207.5638486774546</v>
      </c>
      <c r="CX38" s="41">
        <f t="shared" si="30"/>
        <v>-895.48634763473717</v>
      </c>
      <c r="CY38" s="41">
        <f t="shared" si="31"/>
        <v>-163.43021113004949</v>
      </c>
      <c r="CZ38" s="41">
        <f t="shared" si="32"/>
        <v>-143.4663725908178</v>
      </c>
      <c r="DA38" s="41">
        <f t="shared" si="33"/>
        <v>50.788999445988964</v>
      </c>
      <c r="DB38" s="41">
        <f t="shared" si="34"/>
        <v>14.100170750000245</v>
      </c>
      <c r="DC38" s="41">
        <f t="shared" si="35"/>
        <v>64.689575724972258</v>
      </c>
      <c r="DD38" s="41"/>
      <c r="DE38" s="283">
        <f t="shared" si="36"/>
        <v>-2.7796327211475247</v>
      </c>
      <c r="DF38" s="283">
        <f t="shared" si="37"/>
        <v>-0.5977877347370556</v>
      </c>
      <c r="DG38" s="283">
        <f t="shared" si="38"/>
        <v>-0.60288903561808127</v>
      </c>
      <c r="DH38" s="283">
        <f t="shared" si="39"/>
        <v>-0.27707598134559663</v>
      </c>
      <c r="DI38" s="283">
        <f t="shared" si="40"/>
        <v>-0.33645268769307785</v>
      </c>
      <c r="DJ38" s="283">
        <f t="shared" si="41"/>
        <v>0.17950297345083094</v>
      </c>
      <c r="DK38" s="283">
        <f t="shared" si="42"/>
        <v>4.2250059184400918E-2</v>
      </c>
      <c r="DL38" s="283">
        <f t="shared" si="43"/>
        <v>0.18597960631968918</v>
      </c>
    </row>
    <row r="39" spans="1:116" x14ac:dyDescent="0.2">
      <c r="A39" s="30">
        <v>86</v>
      </c>
      <c r="B39" s="31" t="s">
        <v>352</v>
      </c>
      <c r="C39" s="65"/>
      <c r="D39" s="65"/>
      <c r="E39" s="65"/>
      <c r="F39" s="65"/>
      <c r="G39" s="65"/>
      <c r="H39" s="65">
        <v>13464</v>
      </c>
      <c r="I39" s="65"/>
      <c r="J39" s="65"/>
      <c r="K39" s="65"/>
      <c r="L39" s="65"/>
      <c r="M39" s="65"/>
      <c r="N39" s="65">
        <v>13575</v>
      </c>
      <c r="O39" s="65"/>
      <c r="P39" s="65"/>
      <c r="Q39" s="65"/>
      <c r="R39" s="65"/>
      <c r="S39" s="65"/>
      <c r="T39" s="65">
        <v>13374</v>
      </c>
      <c r="U39" s="65"/>
      <c r="V39" s="65"/>
      <c r="W39" s="65"/>
      <c r="X39" s="65"/>
      <c r="Y39" s="65"/>
      <c r="Z39" s="65">
        <v>13454</v>
      </c>
      <c r="AA39" s="65"/>
      <c r="AB39" s="66">
        <v>13982.503341337329</v>
      </c>
      <c r="AC39" s="34">
        <v>158.72055714244712</v>
      </c>
      <c r="AD39" s="180">
        <v>3761.3268227863337</v>
      </c>
      <c r="AE39" s="65">
        <v>0</v>
      </c>
      <c r="AF39" s="34">
        <v>-1206.3810000000001</v>
      </c>
      <c r="AG39" s="65">
        <f t="shared" si="22"/>
        <v>16696.169721266109</v>
      </c>
      <c r="AH39" s="65"/>
      <c r="AI39" s="66">
        <v>12605.503474995832</v>
      </c>
      <c r="AJ39" s="34">
        <v>-123.69533005641449</v>
      </c>
      <c r="AK39" s="181">
        <v>4039.920078002182</v>
      </c>
      <c r="AL39" s="65">
        <v>0</v>
      </c>
      <c r="AM39" s="34">
        <v>-1160.325</v>
      </c>
      <c r="AN39" s="65">
        <f t="shared" si="23"/>
        <v>15361.403222941601</v>
      </c>
      <c r="AO39" s="65"/>
      <c r="AP39" s="41">
        <v>12869.453773326266</v>
      </c>
      <c r="AQ39" s="41">
        <v>-38.34926009483079</v>
      </c>
      <c r="AR39" s="41">
        <v>4770.5328116320015</v>
      </c>
      <c r="AS39" s="65">
        <v>0</v>
      </c>
      <c r="AT39" s="34">
        <v>-1024.9870000000001</v>
      </c>
      <c r="AU39" s="65">
        <f t="shared" si="24"/>
        <v>16576.650324863436</v>
      </c>
      <c r="AV39" s="65"/>
      <c r="AW39" s="41">
        <v>6104.1834685431586</v>
      </c>
      <c r="AX39" s="314"/>
      <c r="AY39" s="314"/>
      <c r="AZ39" s="41">
        <v>1438.4858113037465</v>
      </c>
      <c r="BA39" s="65">
        <v>0</v>
      </c>
      <c r="BB39" s="34">
        <v>-1166.3050000000001</v>
      </c>
      <c r="BC39" s="65">
        <f t="shared" si="44"/>
        <v>6376.3642798469045</v>
      </c>
      <c r="BD39" s="65"/>
      <c r="BE39" s="41">
        <v>4118.3057080415092</v>
      </c>
      <c r="BF39" s="314"/>
      <c r="BG39" s="314"/>
      <c r="BH39" s="41">
        <v>1391.697930258194</v>
      </c>
      <c r="BI39" s="65">
        <v>0</v>
      </c>
      <c r="BJ39" s="34">
        <v>-1247.3679999999999</v>
      </c>
      <c r="BK39" s="65">
        <f t="shared" si="45"/>
        <v>4262.6356382997037</v>
      </c>
      <c r="BL39" s="65"/>
      <c r="BM39" s="41">
        <v>5163.6610085408856</v>
      </c>
      <c r="BN39" s="41">
        <v>797.13096575627958</v>
      </c>
      <c r="BO39" s="65">
        <v>0</v>
      </c>
      <c r="BP39" s="34">
        <v>-1247.3679999999999</v>
      </c>
      <c r="BQ39" s="65">
        <f t="shared" si="25"/>
        <v>4713.4239742971658</v>
      </c>
      <c r="BR39" s="65"/>
      <c r="BS39" s="41">
        <v>5225.4091506263921</v>
      </c>
      <c r="BT39" s="314"/>
      <c r="BU39" s="314"/>
      <c r="BV39" s="41">
        <v>854.05144034794682</v>
      </c>
      <c r="BW39" s="65">
        <v>0</v>
      </c>
      <c r="BX39" s="34">
        <v>-1247.3679999999999</v>
      </c>
      <c r="BY39" s="65">
        <f t="shared" si="46"/>
        <v>4832.0925909743382</v>
      </c>
      <c r="CA39" s="5">
        <v>5266.0698292567322</v>
      </c>
      <c r="CB39" s="407">
        <v>921.67168475645417</v>
      </c>
      <c r="CC39" s="415">
        <v>0</v>
      </c>
      <c r="CD39" s="34">
        <v>-1247.3679999999999</v>
      </c>
      <c r="CE39" s="65">
        <f t="shared" si="26"/>
        <v>4940.3735140131867</v>
      </c>
      <c r="CF39" s="407"/>
      <c r="CG39" s="5">
        <v>5757.7949503933542</v>
      </c>
      <c r="CH39" s="407">
        <v>978.45722943011026</v>
      </c>
      <c r="CI39" s="415">
        <v>0</v>
      </c>
      <c r="CJ39" s="34">
        <v>-1247.3679999999999</v>
      </c>
      <c r="CK39" s="65">
        <f t="shared" si="27"/>
        <v>5488.8841798234644</v>
      </c>
      <c r="CL39" s="407"/>
      <c r="CM39" s="41">
        <f>AU39/'1. Väestöennuste'!L39*1000</f>
        <v>2064.0829691026565</v>
      </c>
      <c r="CN39" s="41">
        <f>BC39/'1. Väestöennuste'!M39*1000</f>
        <v>797.24484619241116</v>
      </c>
      <c r="CO39" s="41">
        <f>BK39/'1. Väestöennuste'!N39*1000</f>
        <v>545.86190783707309</v>
      </c>
      <c r="CP39" s="41">
        <f>BQ39/'1. Väestöennuste'!O39*1000</f>
        <v>609.67843413493279</v>
      </c>
      <c r="CQ39" s="41">
        <f>BY39/'1. Väestöennuste'!P39*1000</f>
        <v>630.90385049932604</v>
      </c>
      <c r="CR39" s="41">
        <f>CE39/'1. Väestöennuste'!Q39*1000</f>
        <v>650.73412987528798</v>
      </c>
      <c r="CS39" s="41">
        <f>CK39/'1. Väestöennuste'!R39*1000</f>
        <v>729.41982456125777</v>
      </c>
      <c r="CT39" s="41"/>
      <c r="CV39" s="41">
        <f t="shared" si="28"/>
        <v>6736.2521798234648</v>
      </c>
      <c r="CW39" s="41">
        <f t="shared" si="29"/>
        <v>-3424.8012107208078</v>
      </c>
      <c r="CX39" s="41">
        <f t="shared" si="30"/>
        <v>-1266.8381229102454</v>
      </c>
      <c r="CY39" s="41">
        <f t="shared" si="31"/>
        <v>-251.38293835533807</v>
      </c>
      <c r="CZ39" s="41">
        <f t="shared" si="32"/>
        <v>63.816526297859696</v>
      </c>
      <c r="DA39" s="41">
        <f t="shared" si="33"/>
        <v>21.225416364393254</v>
      </c>
      <c r="DB39" s="41">
        <f t="shared" si="34"/>
        <v>19.830279375961936</v>
      </c>
      <c r="DC39" s="41">
        <f t="shared" si="35"/>
        <v>78.685694685969793</v>
      </c>
      <c r="DD39" s="41"/>
      <c r="DE39" s="283">
        <f t="shared" si="36"/>
        <v>-5.4003727687606746</v>
      </c>
      <c r="DF39" s="283">
        <f t="shared" si="37"/>
        <v>-0.62395217288606686</v>
      </c>
      <c r="DG39" s="283">
        <f t="shared" si="38"/>
        <v>-0.61375348853393863</v>
      </c>
      <c r="DH39" s="283">
        <f t="shared" si="39"/>
        <v>-0.3153145982139946</v>
      </c>
      <c r="DI39" s="283">
        <f t="shared" si="40"/>
        <v>0.11690965312220948</v>
      </c>
      <c r="DJ39" s="283">
        <f t="shared" si="41"/>
        <v>3.4814117042715816E-2</v>
      </c>
      <c r="DK39" s="283">
        <f t="shared" si="42"/>
        <v>3.1431539624092245E-2</v>
      </c>
      <c r="DL39" s="283">
        <f t="shared" si="43"/>
        <v>0.12091834602412781</v>
      </c>
    </row>
    <row r="40" spans="1:116" x14ac:dyDescent="0.2">
      <c r="A40" s="30">
        <v>90</v>
      </c>
      <c r="B40" s="31" t="s">
        <v>353</v>
      </c>
      <c r="C40" s="65"/>
      <c r="D40" s="65"/>
      <c r="E40" s="65"/>
      <c r="F40" s="65"/>
      <c r="G40" s="65"/>
      <c r="H40" s="65">
        <v>13922</v>
      </c>
      <c r="I40" s="65"/>
      <c r="J40" s="65"/>
      <c r="K40" s="65"/>
      <c r="L40" s="65"/>
      <c r="M40" s="65"/>
      <c r="N40" s="65">
        <v>13942</v>
      </c>
      <c r="O40" s="65"/>
      <c r="P40" s="65"/>
      <c r="Q40" s="65"/>
      <c r="R40" s="65"/>
      <c r="S40" s="65"/>
      <c r="T40" s="65">
        <v>13532</v>
      </c>
      <c r="U40" s="65"/>
      <c r="V40" s="65"/>
      <c r="W40" s="65"/>
      <c r="X40" s="65"/>
      <c r="Y40" s="65"/>
      <c r="Z40" s="65">
        <v>13570</v>
      </c>
      <c r="AA40" s="65"/>
      <c r="AB40" s="66">
        <v>12484.964024588322</v>
      </c>
      <c r="AC40" s="34">
        <v>57.113972516477006</v>
      </c>
      <c r="AD40" s="180">
        <v>2045.1468312013483</v>
      </c>
      <c r="AE40" s="65">
        <v>0</v>
      </c>
      <c r="AF40" s="34">
        <v>-52.369</v>
      </c>
      <c r="AG40" s="65">
        <f t="shared" si="22"/>
        <v>14534.855828306147</v>
      </c>
      <c r="AH40" s="65"/>
      <c r="AI40" s="66">
        <v>11800.467066838732</v>
      </c>
      <c r="AJ40" s="34">
        <v>-43.057995798951289</v>
      </c>
      <c r="AK40" s="181">
        <v>2163.2075754687316</v>
      </c>
      <c r="AL40" s="65">
        <v>0</v>
      </c>
      <c r="AM40" s="34">
        <v>-135.393</v>
      </c>
      <c r="AN40" s="65">
        <f t="shared" si="23"/>
        <v>13785.223646508512</v>
      </c>
      <c r="AO40" s="65"/>
      <c r="AP40" s="41">
        <v>11429.024818132937</v>
      </c>
      <c r="AQ40" s="41">
        <v>-12.980423601841101</v>
      </c>
      <c r="AR40" s="41">
        <v>2389.5540650887783</v>
      </c>
      <c r="AS40" s="65">
        <v>0</v>
      </c>
      <c r="AT40" s="34">
        <v>-239.61699999999999</v>
      </c>
      <c r="AU40" s="65">
        <f t="shared" si="24"/>
        <v>13565.981459619874</v>
      </c>
      <c r="AV40" s="65"/>
      <c r="AW40" s="41">
        <v>364.87794060027846</v>
      </c>
      <c r="AX40" s="314"/>
      <c r="AY40" s="314"/>
      <c r="AZ40" s="41">
        <v>713.12432946300669</v>
      </c>
      <c r="BA40" s="65">
        <v>0</v>
      </c>
      <c r="BB40" s="34">
        <v>-293.86700000000002</v>
      </c>
      <c r="BC40" s="65">
        <f t="shared" si="44"/>
        <v>784.13527006328513</v>
      </c>
      <c r="BD40" s="65"/>
      <c r="BE40" s="41">
        <v>-169.05008367138694</v>
      </c>
      <c r="BF40" s="314"/>
      <c r="BG40" s="314"/>
      <c r="BH40" s="41">
        <v>704.02919670250799</v>
      </c>
      <c r="BI40" s="65">
        <v>0</v>
      </c>
      <c r="BJ40" s="34">
        <v>-415.25900000000001</v>
      </c>
      <c r="BK40" s="65">
        <f t="shared" si="45"/>
        <v>119.72011303112106</v>
      </c>
      <c r="BL40" s="65"/>
      <c r="BM40" s="41">
        <v>663.75170336410963</v>
      </c>
      <c r="BN40" s="41">
        <v>533.66157323594621</v>
      </c>
      <c r="BO40" s="65">
        <v>0</v>
      </c>
      <c r="BP40" s="34">
        <v>-415.25900000000001</v>
      </c>
      <c r="BQ40" s="65">
        <f t="shared" si="25"/>
        <v>782.15427660005571</v>
      </c>
      <c r="BR40" s="65"/>
      <c r="BS40" s="41">
        <v>871.08147834877423</v>
      </c>
      <c r="BT40" s="314"/>
      <c r="BU40" s="314"/>
      <c r="BV40" s="41">
        <v>566.97222594227071</v>
      </c>
      <c r="BW40" s="65">
        <v>0</v>
      </c>
      <c r="BX40" s="34">
        <v>-415.25900000000001</v>
      </c>
      <c r="BY40" s="65">
        <f t="shared" si="46"/>
        <v>1022.794704291045</v>
      </c>
      <c r="CA40" s="5">
        <v>759.04822644284286</v>
      </c>
      <c r="CB40" s="407">
        <v>600.50103505172183</v>
      </c>
      <c r="CC40" s="415">
        <v>0</v>
      </c>
      <c r="CD40" s="34">
        <v>-415.25900000000001</v>
      </c>
      <c r="CE40" s="65">
        <f t="shared" si="26"/>
        <v>944.29026149456467</v>
      </c>
      <c r="CF40" s="407"/>
      <c r="CG40" s="5">
        <v>1187.1151572838564</v>
      </c>
      <c r="CH40" s="407">
        <v>630.14448441408103</v>
      </c>
      <c r="CI40" s="415">
        <v>0</v>
      </c>
      <c r="CJ40" s="34">
        <v>-415.25900000000001</v>
      </c>
      <c r="CK40" s="65">
        <f t="shared" si="27"/>
        <v>1402.0006416979375</v>
      </c>
      <c r="CL40" s="407"/>
      <c r="CM40" s="41">
        <f>AU40/'1. Väestöennuste'!L40*1000</f>
        <v>4431.8789479320067</v>
      </c>
      <c r="CN40" s="41">
        <f>BC40/'1. Väestöennuste'!M40*1000</f>
        <v>261.29132624567978</v>
      </c>
      <c r="CO40" s="41">
        <f>BK40/'1. Väestöennuste'!N40*1000</f>
        <v>40.528135758673344</v>
      </c>
      <c r="CP40" s="41">
        <f>BQ40/'1. Väestöennuste'!O40*1000</f>
        <v>269.42965091286794</v>
      </c>
      <c r="CQ40" s="41">
        <f>BY40/'1. Väestöennuste'!P40*1000</f>
        <v>358.24683162558495</v>
      </c>
      <c r="CR40" s="41">
        <f>CE40/'1. Väestöennuste'!Q40*1000</f>
        <v>336.52539611352984</v>
      </c>
      <c r="CS40" s="41">
        <f>CK40/'1. Väestöennuste'!R40*1000</f>
        <v>508.33960902753353</v>
      </c>
      <c r="CT40" s="41"/>
      <c r="CV40" s="41">
        <f t="shared" si="28"/>
        <v>1817.2596416979375</v>
      </c>
      <c r="CW40" s="41">
        <f t="shared" si="29"/>
        <v>3029.878306234069</v>
      </c>
      <c r="CX40" s="41">
        <f t="shared" si="30"/>
        <v>-4170.5876216863271</v>
      </c>
      <c r="CY40" s="41">
        <f t="shared" si="31"/>
        <v>-220.76319048700645</v>
      </c>
      <c r="CZ40" s="41">
        <f t="shared" si="32"/>
        <v>228.90151515419461</v>
      </c>
      <c r="DA40" s="41">
        <f t="shared" si="33"/>
        <v>88.817180712717004</v>
      </c>
      <c r="DB40" s="41">
        <f t="shared" si="34"/>
        <v>-21.721435512055109</v>
      </c>
      <c r="DC40" s="41">
        <f t="shared" si="35"/>
        <v>171.81421291400369</v>
      </c>
      <c r="DD40" s="41"/>
      <c r="DE40" s="283">
        <f t="shared" si="36"/>
        <v>-4.3762077202370984</v>
      </c>
      <c r="DF40" s="283">
        <f t="shared" si="37"/>
        <v>2.1611104988972318</v>
      </c>
      <c r="DG40" s="283">
        <f t="shared" si="38"/>
        <v>-0.94104276553681532</v>
      </c>
      <c r="DH40" s="283">
        <f t="shared" si="39"/>
        <v>-0.84489291573128356</v>
      </c>
      <c r="DI40" s="283">
        <f t="shared" si="40"/>
        <v>5.6479655643970217</v>
      </c>
      <c r="DJ40" s="283">
        <f t="shared" si="41"/>
        <v>0.32964887276434168</v>
      </c>
      <c r="DK40" s="283">
        <f t="shared" si="42"/>
        <v>-6.0632596284220221E-2</v>
      </c>
      <c r="DL40" s="283">
        <f t="shared" si="43"/>
        <v>0.51055348243625764</v>
      </c>
    </row>
    <row r="41" spans="1:116" x14ac:dyDescent="0.2">
      <c r="A41" s="30">
        <v>91</v>
      </c>
      <c r="B41" s="31" t="s">
        <v>354</v>
      </c>
      <c r="C41" s="65"/>
      <c r="D41" s="65"/>
      <c r="E41" s="65"/>
      <c r="F41" s="65"/>
      <c r="G41" s="65"/>
      <c r="H41" s="65">
        <v>316331</v>
      </c>
      <c r="I41" s="65"/>
      <c r="J41" s="65"/>
      <c r="K41" s="65"/>
      <c r="L41" s="65"/>
      <c r="M41" s="65"/>
      <c r="N41" s="65">
        <v>220442</v>
      </c>
      <c r="O41" s="65"/>
      <c r="P41" s="65"/>
      <c r="Q41" s="65"/>
      <c r="R41" s="65"/>
      <c r="S41" s="65"/>
      <c r="T41" s="65">
        <v>197308</v>
      </c>
      <c r="U41" s="65"/>
      <c r="V41" s="65"/>
      <c r="W41" s="65"/>
      <c r="X41" s="65"/>
      <c r="Y41" s="65"/>
      <c r="Z41" s="65">
        <v>232776</v>
      </c>
      <c r="AA41" s="65"/>
      <c r="AB41" s="66">
        <v>198370.95149911774</v>
      </c>
      <c r="AC41" s="34">
        <v>16621.717895709888</v>
      </c>
      <c r="AD41" s="180">
        <v>235824.41898236086</v>
      </c>
      <c r="AE41" s="65">
        <v>0</v>
      </c>
      <c r="AF41" s="34">
        <v>19805.669999999998</v>
      </c>
      <c r="AG41" s="65">
        <f t="shared" si="22"/>
        <v>470622.75837718847</v>
      </c>
      <c r="AH41" s="65"/>
      <c r="AI41" s="66">
        <v>54499.853649929581</v>
      </c>
      <c r="AJ41" s="34">
        <v>-12683.027809349915</v>
      </c>
      <c r="AK41" s="181">
        <v>257046.43825277669</v>
      </c>
      <c r="AL41" s="65">
        <v>0</v>
      </c>
      <c r="AM41" s="34">
        <v>22943.636999999999</v>
      </c>
      <c r="AN41" s="65">
        <f t="shared" si="23"/>
        <v>321806.90109335631</v>
      </c>
      <c r="AO41" s="65"/>
      <c r="AP41" s="41">
        <v>60756.564993444445</v>
      </c>
      <c r="AQ41" s="41">
        <v>-3867.5916228921369</v>
      </c>
      <c r="AR41" s="41">
        <v>284705.77515331405</v>
      </c>
      <c r="AS41" s="65">
        <v>0</v>
      </c>
      <c r="AT41" s="34">
        <v>27629.938999999998</v>
      </c>
      <c r="AU41" s="65">
        <f t="shared" si="24"/>
        <v>369224.68752386636</v>
      </c>
      <c r="AV41" s="65"/>
      <c r="AW41" s="41">
        <v>75155.836101369016</v>
      </c>
      <c r="AX41" s="314"/>
      <c r="AY41" s="314"/>
      <c r="AZ41" s="41">
        <v>88279.48898038578</v>
      </c>
      <c r="BA41" s="65">
        <v>0</v>
      </c>
      <c r="BB41" s="34">
        <v>33473.959000000003</v>
      </c>
      <c r="BC41" s="65">
        <f t="shared" si="44"/>
        <v>196909.2840817548</v>
      </c>
      <c r="BD41" s="65"/>
      <c r="BE41" s="41">
        <v>169795.26763443608</v>
      </c>
      <c r="BF41" s="314"/>
      <c r="BG41" s="314"/>
      <c r="BH41" s="41">
        <v>89144.112888305768</v>
      </c>
      <c r="BI41" s="65">
        <v>0</v>
      </c>
      <c r="BJ41" s="34">
        <v>40034.726999999999</v>
      </c>
      <c r="BK41" s="65">
        <f t="shared" si="45"/>
        <v>298974.10752274183</v>
      </c>
      <c r="BL41" s="65"/>
      <c r="BM41" s="41">
        <v>293192.49465432408</v>
      </c>
      <c r="BN41" s="41">
        <v>68337.475796050276</v>
      </c>
      <c r="BO41" s="65">
        <v>0</v>
      </c>
      <c r="BP41" s="34">
        <v>40034.726999999999</v>
      </c>
      <c r="BQ41" s="65">
        <f t="shared" si="25"/>
        <v>401564.69745037437</v>
      </c>
      <c r="BR41" s="65"/>
      <c r="BS41" s="41">
        <v>330528.70156253065</v>
      </c>
      <c r="BT41" s="314"/>
      <c r="BU41" s="314"/>
      <c r="BV41" s="41">
        <v>71080.965048704878</v>
      </c>
      <c r="BW41" s="65">
        <v>0</v>
      </c>
      <c r="BX41" s="34">
        <v>40034.726999999999</v>
      </c>
      <c r="BY41" s="65">
        <f t="shared" si="46"/>
        <v>441644.39361123554</v>
      </c>
      <c r="CA41" s="5">
        <v>359760.12226334854</v>
      </c>
      <c r="CB41" s="407">
        <v>75138.354294225937</v>
      </c>
      <c r="CC41" s="415">
        <v>0</v>
      </c>
      <c r="CD41" s="34">
        <v>40034.726999999999</v>
      </c>
      <c r="CE41" s="65">
        <f t="shared" si="26"/>
        <v>474933.20355757448</v>
      </c>
      <c r="CF41" s="407"/>
      <c r="CG41" s="5">
        <v>392318.59264884039</v>
      </c>
      <c r="CH41" s="407">
        <v>78382.939252693235</v>
      </c>
      <c r="CI41" s="415">
        <v>0</v>
      </c>
      <c r="CJ41" s="34">
        <v>40034.726999999999</v>
      </c>
      <c r="CK41" s="65">
        <f t="shared" si="27"/>
        <v>510736.25890153361</v>
      </c>
      <c r="CL41" s="407"/>
      <c r="CM41" s="41">
        <f>AU41/'1. Väestöennuste'!L41*1000</f>
        <v>556.03782901303316</v>
      </c>
      <c r="CN41" s="41">
        <f>BC41/'1. Väestöennuste'!M41*1000</f>
        <v>291.93370508784994</v>
      </c>
      <c r="CO41" s="41">
        <f>BK41/'1. Väestöennuste'!N41*1000</f>
        <v>441.01484611488593</v>
      </c>
      <c r="CP41" s="41">
        <f>BQ41/'1. Väestöennuste'!O41*1000</f>
        <v>588.32232444429621</v>
      </c>
      <c r="CQ41" s="41">
        <f>BY41/'1. Väestöennuste'!P41*1000</f>
        <v>642.80978848973155</v>
      </c>
      <c r="CR41" s="41">
        <f>CE41/'1. Väestöennuste'!Q41*1000</f>
        <v>686.91326255575552</v>
      </c>
      <c r="CS41" s="41">
        <f>CK41/'1. Väestöennuste'!R41*1000</f>
        <v>734.23949560239964</v>
      </c>
      <c r="CT41" s="41"/>
      <c r="CV41" s="41">
        <f t="shared" si="28"/>
        <v>470701.5319015336</v>
      </c>
      <c r="CW41" s="41">
        <f t="shared" si="29"/>
        <v>-510180.2210725206</v>
      </c>
      <c r="CX41" s="41">
        <f t="shared" si="30"/>
        <v>-264.10412392518322</v>
      </c>
      <c r="CY41" s="41">
        <f t="shared" si="31"/>
        <v>149.08114102703598</v>
      </c>
      <c r="CZ41" s="41">
        <f t="shared" si="32"/>
        <v>147.30747832941029</v>
      </c>
      <c r="DA41" s="41">
        <f t="shared" si="33"/>
        <v>54.487464045435331</v>
      </c>
      <c r="DB41" s="41">
        <f t="shared" si="34"/>
        <v>44.103474066023978</v>
      </c>
      <c r="DC41" s="41">
        <f t="shared" si="35"/>
        <v>47.32623304664412</v>
      </c>
      <c r="DD41" s="41"/>
      <c r="DE41" s="283">
        <f t="shared" si="36"/>
        <v>11.757330876804371</v>
      </c>
      <c r="DF41" s="283">
        <f t="shared" si="37"/>
        <v>-0.9989113014411608</v>
      </c>
      <c r="DG41" s="283">
        <f t="shared" si="38"/>
        <v>-0.47497510087392414</v>
      </c>
      <c r="DH41" s="283">
        <f t="shared" si="39"/>
        <v>0.51066779350528868</v>
      </c>
      <c r="DI41" s="283">
        <f t="shared" si="40"/>
        <v>0.33401931845858124</v>
      </c>
      <c r="DJ41" s="283">
        <f t="shared" si="41"/>
        <v>9.2614986345965752E-2</v>
      </c>
      <c r="DK41" s="283">
        <f t="shared" si="42"/>
        <v>6.8610458110235362E-2</v>
      </c>
      <c r="DL41" s="283">
        <f t="shared" si="43"/>
        <v>6.8896956321035846E-2</v>
      </c>
    </row>
    <row r="42" spans="1:116" x14ac:dyDescent="0.2">
      <c r="A42" s="30">
        <v>92</v>
      </c>
      <c r="B42" s="31" t="s">
        <v>355</v>
      </c>
      <c r="C42" s="65"/>
      <c r="D42" s="65"/>
      <c r="E42" s="65"/>
      <c r="F42" s="65"/>
      <c r="G42" s="65"/>
      <c r="H42" s="65">
        <v>189353</v>
      </c>
      <c r="I42" s="65"/>
      <c r="J42" s="65"/>
      <c r="K42" s="65"/>
      <c r="L42" s="65"/>
      <c r="M42" s="65"/>
      <c r="N42" s="65">
        <v>168934</v>
      </c>
      <c r="O42" s="65"/>
      <c r="P42" s="65"/>
      <c r="Q42" s="65"/>
      <c r="R42" s="65"/>
      <c r="S42" s="65"/>
      <c r="T42" s="65">
        <v>173387</v>
      </c>
      <c r="U42" s="65"/>
      <c r="V42" s="65"/>
      <c r="W42" s="65"/>
      <c r="X42" s="65"/>
      <c r="Y42" s="65"/>
      <c r="Z42" s="65">
        <v>184319</v>
      </c>
      <c r="AA42" s="65"/>
      <c r="AB42" s="66">
        <v>189843.48308494463</v>
      </c>
      <c r="AC42" s="34">
        <v>5113.1936570157959</v>
      </c>
      <c r="AD42" s="180">
        <v>76401.573821764119</v>
      </c>
      <c r="AE42" s="65">
        <v>0</v>
      </c>
      <c r="AF42" s="34">
        <v>17978.651000000002</v>
      </c>
      <c r="AG42" s="65">
        <f t="shared" si="22"/>
        <v>289336.90156372456</v>
      </c>
      <c r="AH42" s="65"/>
      <c r="AI42" s="66">
        <v>151468.04729322231</v>
      </c>
      <c r="AJ42" s="34">
        <v>-3954.0964818170755</v>
      </c>
      <c r="AK42" s="181">
        <v>84119.007918567324</v>
      </c>
      <c r="AL42" s="65">
        <v>0</v>
      </c>
      <c r="AM42" s="34">
        <v>17019.048999999999</v>
      </c>
      <c r="AN42" s="65">
        <f t="shared" si="23"/>
        <v>248652.00772997254</v>
      </c>
      <c r="AO42" s="65"/>
      <c r="AP42" s="41">
        <v>167708.52918003136</v>
      </c>
      <c r="AQ42" s="41">
        <v>-1217.0748887401246</v>
      </c>
      <c r="AR42" s="41">
        <v>96292.646239306239</v>
      </c>
      <c r="AS42" s="65">
        <v>0</v>
      </c>
      <c r="AT42" s="34">
        <v>21742.057000000001</v>
      </c>
      <c r="AU42" s="65">
        <f t="shared" si="24"/>
        <v>284526.15753059753</v>
      </c>
      <c r="AV42" s="65"/>
      <c r="AW42" s="41">
        <v>128343.95200355192</v>
      </c>
      <c r="AX42" s="314"/>
      <c r="AY42" s="314"/>
      <c r="AZ42" s="41">
        <v>30036.233761776581</v>
      </c>
      <c r="BA42" s="65">
        <v>0</v>
      </c>
      <c r="BB42" s="34">
        <v>20179.673999999999</v>
      </c>
      <c r="BC42" s="65">
        <f t="shared" si="44"/>
        <v>178559.8597653285</v>
      </c>
      <c r="BD42" s="65"/>
      <c r="BE42" s="41">
        <v>126932.72511829503</v>
      </c>
      <c r="BF42" s="314"/>
      <c r="BG42" s="314"/>
      <c r="BH42" s="41">
        <v>30298.277497694024</v>
      </c>
      <c r="BI42" s="65">
        <v>0</v>
      </c>
      <c r="BJ42" s="34">
        <v>20768.330999999998</v>
      </c>
      <c r="BK42" s="65">
        <f t="shared" si="45"/>
        <v>177999.33361598905</v>
      </c>
      <c r="BL42" s="65"/>
      <c r="BM42" s="41">
        <v>182349.63221151274</v>
      </c>
      <c r="BN42" s="41">
        <v>19073.719295428335</v>
      </c>
      <c r="BO42" s="65">
        <v>0</v>
      </c>
      <c r="BP42" s="34">
        <v>20768.330999999998</v>
      </c>
      <c r="BQ42" s="65">
        <f t="shared" si="25"/>
        <v>222191.68250694108</v>
      </c>
      <c r="BR42" s="65"/>
      <c r="BS42" s="41">
        <v>196202.90552863004</v>
      </c>
      <c r="BT42" s="314"/>
      <c r="BU42" s="314"/>
      <c r="BV42" s="41">
        <v>20255.919276399829</v>
      </c>
      <c r="BW42" s="65">
        <v>0</v>
      </c>
      <c r="BX42" s="34">
        <v>20768.330999999998</v>
      </c>
      <c r="BY42" s="65">
        <f t="shared" si="46"/>
        <v>237227.15580502988</v>
      </c>
      <c r="CA42" s="5">
        <v>204009.13736344737</v>
      </c>
      <c r="CB42" s="407">
        <v>21921.198623776745</v>
      </c>
      <c r="CC42" s="415">
        <v>0</v>
      </c>
      <c r="CD42" s="34">
        <v>20768.330999999998</v>
      </c>
      <c r="CE42" s="65">
        <f t="shared" si="26"/>
        <v>246698.66698722413</v>
      </c>
      <c r="CF42" s="407"/>
      <c r="CG42" s="5">
        <v>217288.38667533567</v>
      </c>
      <c r="CH42" s="407">
        <v>23280.790328856619</v>
      </c>
      <c r="CI42" s="415">
        <v>0</v>
      </c>
      <c r="CJ42" s="34">
        <v>20768.330999999998</v>
      </c>
      <c r="CK42" s="65">
        <f t="shared" si="27"/>
        <v>261337.50800419229</v>
      </c>
      <c r="CL42" s="407"/>
      <c r="CM42" s="41">
        <f>AU42/'1. Väestöennuste'!L42*1000</f>
        <v>1171.7623313274394</v>
      </c>
      <c r="CN42" s="41">
        <f>BC42/'1. Väestöennuste'!M42*1000</f>
        <v>721.6201701617282</v>
      </c>
      <c r="CO42" s="41">
        <f>BK42/'1. Väestöennuste'!N42*1000</f>
        <v>707.04238145472152</v>
      </c>
      <c r="CP42" s="41">
        <f>BQ42/'1. Väestöennuste'!O42*1000</f>
        <v>871.58260734142095</v>
      </c>
      <c r="CQ42" s="41">
        <f>BY42/'1. Väestöennuste'!P42*1000</f>
        <v>919.61341817086827</v>
      </c>
      <c r="CR42" s="41">
        <f>CE42/'1. Väestöennuste'!Q42*1000</f>
        <v>945.71652497028708</v>
      </c>
      <c r="CS42" s="41">
        <f>CK42/'1. Väestöennuste'!R42*1000</f>
        <v>991.3266925780365</v>
      </c>
      <c r="CT42" s="41"/>
      <c r="CV42" s="41">
        <f t="shared" si="28"/>
        <v>240569.17700419229</v>
      </c>
      <c r="CW42" s="41">
        <f t="shared" si="29"/>
        <v>-260165.74567286484</v>
      </c>
      <c r="CX42" s="41">
        <f t="shared" si="30"/>
        <v>-450.14216116571117</v>
      </c>
      <c r="CY42" s="41">
        <f t="shared" si="31"/>
        <v>-14.577788707006675</v>
      </c>
      <c r="CZ42" s="41">
        <f t="shared" si="32"/>
        <v>164.54022588669943</v>
      </c>
      <c r="DA42" s="41">
        <f t="shared" si="33"/>
        <v>48.030810829447319</v>
      </c>
      <c r="DB42" s="41">
        <f t="shared" si="34"/>
        <v>26.103106799418811</v>
      </c>
      <c r="DC42" s="41">
        <f t="shared" si="35"/>
        <v>45.610167607749418</v>
      </c>
      <c r="DD42" s="41"/>
      <c r="DE42" s="283">
        <f t="shared" si="36"/>
        <v>11.583462195599266</v>
      </c>
      <c r="DF42" s="283">
        <f t="shared" si="37"/>
        <v>-0.99551628719399643</v>
      </c>
      <c r="DG42" s="283">
        <f t="shared" si="38"/>
        <v>-0.38415824534636167</v>
      </c>
      <c r="DH42" s="283">
        <f t="shared" si="39"/>
        <v>-2.0201470676380246E-2</v>
      </c>
      <c r="DI42" s="283">
        <f t="shared" si="40"/>
        <v>0.23271621362804609</v>
      </c>
      <c r="DJ42" s="283">
        <f t="shared" si="41"/>
        <v>5.5107582947249469E-2</v>
      </c>
      <c r="DK42" s="283">
        <f t="shared" si="42"/>
        <v>2.8384869428437088E-2</v>
      </c>
      <c r="DL42" s="283">
        <f t="shared" si="43"/>
        <v>4.8228159711159131E-2</v>
      </c>
    </row>
    <row r="43" spans="1:116" x14ac:dyDescent="0.2">
      <c r="A43" s="30">
        <v>97</v>
      </c>
      <c r="B43" s="31" t="s">
        <v>356</v>
      </c>
      <c r="C43" s="65"/>
      <c r="D43" s="65"/>
      <c r="E43" s="65"/>
      <c r="F43" s="65"/>
      <c r="G43" s="65"/>
      <c r="H43" s="65">
        <v>7135</v>
      </c>
      <c r="I43" s="65"/>
      <c r="J43" s="65"/>
      <c r="K43" s="65"/>
      <c r="L43" s="65"/>
      <c r="M43" s="65"/>
      <c r="N43" s="65">
        <v>7348</v>
      </c>
      <c r="O43" s="65"/>
      <c r="P43" s="65"/>
      <c r="Q43" s="65"/>
      <c r="R43" s="65"/>
      <c r="S43" s="65"/>
      <c r="T43" s="65">
        <v>7115</v>
      </c>
      <c r="U43" s="65"/>
      <c r="V43" s="65"/>
      <c r="W43" s="65"/>
      <c r="X43" s="65"/>
      <c r="Y43" s="65"/>
      <c r="Z43" s="65">
        <v>6866</v>
      </c>
      <c r="AA43" s="65"/>
      <c r="AB43" s="66">
        <v>6662.6861387039307</v>
      </c>
      <c r="AC43" s="34">
        <v>37.590233288100698</v>
      </c>
      <c r="AD43" s="180">
        <v>1288.9040023300706</v>
      </c>
      <c r="AE43" s="65">
        <v>0</v>
      </c>
      <c r="AF43" s="34">
        <v>-545.57100000000003</v>
      </c>
      <c r="AG43" s="65">
        <f t="shared" si="22"/>
        <v>7443.6093743221018</v>
      </c>
      <c r="AH43" s="65"/>
      <c r="AI43" s="66">
        <v>6465.8976861351503</v>
      </c>
      <c r="AJ43" s="34">
        <v>-28.798628953490574</v>
      </c>
      <c r="AK43" s="181">
        <v>1366.5698621109761</v>
      </c>
      <c r="AL43" s="65">
        <v>0</v>
      </c>
      <c r="AM43" s="34">
        <v>-561.03</v>
      </c>
      <c r="AN43" s="65">
        <f t="shared" si="23"/>
        <v>7242.6389192926363</v>
      </c>
      <c r="AO43" s="65"/>
      <c r="AP43" s="41">
        <v>6454.9315171278304</v>
      </c>
      <c r="AQ43" s="41">
        <v>-8.7407850605080633</v>
      </c>
      <c r="AR43" s="41">
        <v>1520.0945494879518</v>
      </c>
      <c r="AS43" s="65">
        <v>0</v>
      </c>
      <c r="AT43" s="34">
        <v>-546.38300000000004</v>
      </c>
      <c r="AU43" s="65">
        <f t="shared" si="24"/>
        <v>7419.9022815552744</v>
      </c>
      <c r="AV43" s="65"/>
      <c r="AW43" s="41">
        <v>433.62685966159927</v>
      </c>
      <c r="AX43" s="314"/>
      <c r="AY43" s="314"/>
      <c r="AZ43" s="41">
        <v>454.10340579262203</v>
      </c>
      <c r="BA43" s="65">
        <v>0</v>
      </c>
      <c r="BB43" s="34">
        <v>-520.25699999999995</v>
      </c>
      <c r="BC43" s="65">
        <f t="shared" si="44"/>
        <v>367.4732654542214</v>
      </c>
      <c r="BD43" s="65"/>
      <c r="BE43" s="41">
        <v>211.53054033140558</v>
      </c>
      <c r="BF43" s="314"/>
      <c r="BG43" s="314"/>
      <c r="BH43" s="41">
        <v>448.68295524441572</v>
      </c>
      <c r="BI43" s="65">
        <v>0</v>
      </c>
      <c r="BJ43" s="34">
        <v>-603.20600000000002</v>
      </c>
      <c r="BK43" s="65">
        <f t="shared" si="45"/>
        <v>57.007495575821281</v>
      </c>
      <c r="BL43" s="65"/>
      <c r="BM43" s="41">
        <v>449.56478618519208</v>
      </c>
      <c r="BN43" s="41">
        <v>359.85785753562362</v>
      </c>
      <c r="BO43" s="65">
        <v>0</v>
      </c>
      <c r="BP43" s="34">
        <v>-603.20600000000002</v>
      </c>
      <c r="BQ43" s="65">
        <f t="shared" si="25"/>
        <v>206.21664372081568</v>
      </c>
      <c r="BR43" s="65"/>
      <c r="BS43" s="41">
        <v>634.95535827682841</v>
      </c>
      <c r="BT43" s="314"/>
      <c r="BU43" s="314"/>
      <c r="BV43" s="41">
        <v>379.53755092622822</v>
      </c>
      <c r="BW43" s="65">
        <v>0</v>
      </c>
      <c r="BX43" s="34">
        <v>-603.20600000000002</v>
      </c>
      <c r="BY43" s="65">
        <f t="shared" si="46"/>
        <v>411.28690920305655</v>
      </c>
      <c r="CA43" s="5">
        <v>559.08725945103333</v>
      </c>
      <c r="CB43" s="407">
        <v>399.67297403280782</v>
      </c>
      <c r="CC43" s="415">
        <v>0</v>
      </c>
      <c r="CD43" s="34">
        <v>-603.20600000000002</v>
      </c>
      <c r="CE43" s="65">
        <f t="shared" si="26"/>
        <v>355.55423348384113</v>
      </c>
      <c r="CF43" s="407"/>
      <c r="CG43" s="5">
        <v>762.06770815177765</v>
      </c>
      <c r="CH43" s="407">
        <v>417.07008551580316</v>
      </c>
      <c r="CI43" s="415">
        <v>0</v>
      </c>
      <c r="CJ43" s="34">
        <v>-603.20600000000002</v>
      </c>
      <c r="CK43" s="65">
        <f t="shared" si="27"/>
        <v>575.93179366758079</v>
      </c>
      <c r="CL43" s="407"/>
      <c r="CM43" s="41">
        <f>AU43/'1. Väestöennuste'!L43*1000</f>
        <v>3548.4946348901358</v>
      </c>
      <c r="CN43" s="41">
        <f>BC43/'1. Väestöennuste'!M43*1000</f>
        <v>178.21205890117432</v>
      </c>
      <c r="CO43" s="41">
        <f>BK43/'1. Väestöennuste'!N43*1000</f>
        <v>27.159359493006804</v>
      </c>
      <c r="CP43" s="41">
        <f>BQ43/'1. Väestöennuste'!O43*1000</f>
        <v>98.857451448137908</v>
      </c>
      <c r="CQ43" s="41">
        <f>BY43/'1. Väestöennuste'!P43*1000</f>
        <v>198.30612787032621</v>
      </c>
      <c r="CR43" s="41">
        <f>CE43/'1. Väestöennuste'!Q43*1000</f>
        <v>172.26464800573697</v>
      </c>
      <c r="CS43" s="41">
        <f>CK43/'1. Väestöennuste'!R43*1000</f>
        <v>280.66851543254421</v>
      </c>
      <c r="CT43" s="41"/>
      <c r="CV43" s="41">
        <f t="shared" si="28"/>
        <v>1179.1377936675808</v>
      </c>
      <c r="CW43" s="41">
        <f t="shared" si="29"/>
        <v>2972.5628412225551</v>
      </c>
      <c r="CX43" s="41">
        <f t="shared" si="30"/>
        <v>-3370.2825759889615</v>
      </c>
      <c r="CY43" s="41">
        <f t="shared" si="31"/>
        <v>-151.05269940816751</v>
      </c>
      <c r="CZ43" s="41">
        <f t="shared" si="32"/>
        <v>71.698091955131105</v>
      </c>
      <c r="DA43" s="41">
        <f t="shared" si="33"/>
        <v>99.448676422188299</v>
      </c>
      <c r="DB43" s="41">
        <f t="shared" si="34"/>
        <v>-26.041479864589235</v>
      </c>
      <c r="DC43" s="41">
        <f t="shared" si="35"/>
        <v>108.40386742680724</v>
      </c>
      <c r="DD43" s="41"/>
      <c r="DE43" s="283">
        <f t="shared" si="36"/>
        <v>-1.9547845904509915</v>
      </c>
      <c r="DF43" s="283">
        <f t="shared" si="37"/>
        <v>5.1613105473706042</v>
      </c>
      <c r="DG43" s="283">
        <f t="shared" si="38"/>
        <v>-0.94977812361644109</v>
      </c>
      <c r="DH43" s="283">
        <f t="shared" si="39"/>
        <v>-0.84760088817520618</v>
      </c>
      <c r="DI43" s="283">
        <f t="shared" si="40"/>
        <v>2.6399036388760373</v>
      </c>
      <c r="DJ43" s="283">
        <f t="shared" si="41"/>
        <v>1.0059805807795941</v>
      </c>
      <c r="DK43" s="283">
        <f t="shared" si="42"/>
        <v>-0.1313195923104199</v>
      </c>
      <c r="DL43" s="283">
        <f t="shared" si="43"/>
        <v>0.62928679030648838</v>
      </c>
    </row>
    <row r="44" spans="1:116" x14ac:dyDescent="0.2">
      <c r="A44" s="30">
        <v>98</v>
      </c>
      <c r="B44" s="31" t="s">
        <v>357</v>
      </c>
      <c r="C44" s="65"/>
      <c r="D44" s="65"/>
      <c r="E44" s="65"/>
      <c r="F44" s="65"/>
      <c r="G44" s="65"/>
      <c r="H44" s="65">
        <v>35755</v>
      </c>
      <c r="I44" s="65"/>
      <c r="J44" s="65"/>
      <c r="K44" s="65"/>
      <c r="L44" s="65"/>
      <c r="M44" s="65"/>
      <c r="N44" s="65">
        <v>36771</v>
      </c>
      <c r="O44" s="65"/>
      <c r="P44" s="65"/>
      <c r="Q44" s="65"/>
      <c r="R44" s="65"/>
      <c r="S44" s="65"/>
      <c r="T44" s="65">
        <v>36417</v>
      </c>
      <c r="U44" s="65"/>
      <c r="V44" s="65"/>
      <c r="W44" s="65"/>
      <c r="X44" s="65"/>
      <c r="Y44" s="65"/>
      <c r="Z44" s="65">
        <v>37747</v>
      </c>
      <c r="AA44" s="65"/>
      <c r="AB44" s="66">
        <v>42855.690034119922</v>
      </c>
      <c r="AC44" s="34">
        <v>458.0244561468221</v>
      </c>
      <c r="AD44" s="180">
        <v>9501.0333444647185</v>
      </c>
      <c r="AE44" s="65">
        <v>0</v>
      </c>
      <c r="AF44" s="34">
        <v>-4557.1260000000002</v>
      </c>
      <c r="AG44" s="65">
        <f t="shared" si="22"/>
        <v>48257.621834731457</v>
      </c>
      <c r="AH44" s="65"/>
      <c r="AI44" s="66">
        <v>38120.276561622617</v>
      </c>
      <c r="AJ44" s="34">
        <v>-356.97152543856618</v>
      </c>
      <c r="AK44" s="181">
        <v>10193.44638051774</v>
      </c>
      <c r="AL44" s="65">
        <v>0</v>
      </c>
      <c r="AM44" s="34">
        <v>-4380.72</v>
      </c>
      <c r="AN44" s="65">
        <f t="shared" si="23"/>
        <v>43576.031416701793</v>
      </c>
      <c r="AO44" s="65"/>
      <c r="AP44" s="41">
        <v>40797.671221631739</v>
      </c>
      <c r="AQ44" s="41">
        <v>-110.60693905888991</v>
      </c>
      <c r="AR44" s="41">
        <v>11695.176007493628</v>
      </c>
      <c r="AS44" s="65">
        <v>0</v>
      </c>
      <c r="AT44" s="34">
        <v>-4608.2129999999997</v>
      </c>
      <c r="AU44" s="65">
        <f t="shared" si="24"/>
        <v>47774.027290066471</v>
      </c>
      <c r="AV44" s="65"/>
      <c r="AW44" s="41">
        <v>22288.249859014184</v>
      </c>
      <c r="AX44" s="314"/>
      <c r="AY44" s="314"/>
      <c r="AZ44" s="41">
        <v>3487.3166869670545</v>
      </c>
      <c r="BA44" s="65">
        <v>0</v>
      </c>
      <c r="BB44" s="34">
        <v>-5030.2259999999997</v>
      </c>
      <c r="BC44" s="65">
        <f t="shared" si="44"/>
        <v>20745.340545981238</v>
      </c>
      <c r="BD44" s="65"/>
      <c r="BE44" s="41">
        <v>19356.76085136965</v>
      </c>
      <c r="BF44" s="314"/>
      <c r="BG44" s="314"/>
      <c r="BH44" s="41">
        <v>3417.3594084765423</v>
      </c>
      <c r="BI44" s="65">
        <v>0</v>
      </c>
      <c r="BJ44" s="34">
        <v>-5396.7049999999999</v>
      </c>
      <c r="BK44" s="65">
        <f t="shared" si="45"/>
        <v>17377.415259846195</v>
      </c>
      <c r="BL44" s="65"/>
      <c r="BM44" s="41">
        <v>21850.728432145159</v>
      </c>
      <c r="BN44" s="41">
        <v>2006.4757957560339</v>
      </c>
      <c r="BO44" s="65">
        <v>0</v>
      </c>
      <c r="BP44" s="34">
        <v>-5396.7049999999999</v>
      </c>
      <c r="BQ44" s="65">
        <f t="shared" si="25"/>
        <v>18460.499227901193</v>
      </c>
      <c r="BR44" s="65"/>
      <c r="BS44" s="41">
        <v>21507.42664425265</v>
      </c>
      <c r="BT44" s="314"/>
      <c r="BU44" s="314"/>
      <c r="BV44" s="41">
        <v>2147.1728038649721</v>
      </c>
      <c r="BW44" s="65">
        <v>0</v>
      </c>
      <c r="BX44" s="34">
        <v>-5396.7049999999999</v>
      </c>
      <c r="BY44" s="65">
        <f t="shared" si="46"/>
        <v>18257.894448117622</v>
      </c>
      <c r="CA44" s="5">
        <v>21241.604250557677</v>
      </c>
      <c r="CB44" s="407">
        <v>2325.1815656473641</v>
      </c>
      <c r="CC44" s="415">
        <v>0</v>
      </c>
      <c r="CD44" s="34">
        <v>-5396.7049999999999</v>
      </c>
      <c r="CE44" s="65">
        <f t="shared" si="26"/>
        <v>18170.080816205038</v>
      </c>
      <c r="CF44" s="407"/>
      <c r="CG44" s="5">
        <v>22827.291155450941</v>
      </c>
      <c r="CH44" s="407">
        <v>2473.2930370255235</v>
      </c>
      <c r="CI44" s="415">
        <v>0</v>
      </c>
      <c r="CJ44" s="34">
        <v>-5396.7049999999999</v>
      </c>
      <c r="CK44" s="65">
        <f t="shared" si="27"/>
        <v>19903.879192476466</v>
      </c>
      <c r="CL44" s="407"/>
      <c r="CM44" s="41">
        <f>AU44/'1. Väestöennuste'!L44*1000</f>
        <v>2082.292084298761</v>
      </c>
      <c r="CN44" s="41">
        <f>BC44/'1. Väestöennuste'!M44*1000</f>
        <v>906.50384732275461</v>
      </c>
      <c r="CO44" s="41">
        <f>BK44/'1. Väestöennuste'!N44*1000</f>
        <v>764.34639365938835</v>
      </c>
      <c r="CP44" s="41">
        <f>BQ44/'1. Väestöennuste'!O44*1000</f>
        <v>816.94469300797425</v>
      </c>
      <c r="CQ44" s="41">
        <f>BY44/'1. Väestöennuste'!P44*1000</f>
        <v>812.87095178832749</v>
      </c>
      <c r="CR44" s="41">
        <f>CE44/'1. Väestöennuste'!Q44*1000</f>
        <v>813.59785143979934</v>
      </c>
      <c r="CS44" s="41">
        <f>CK44/'1. Väestöennuste'!R44*1000</f>
        <v>896.53075052819543</v>
      </c>
      <c r="CT44" s="41"/>
      <c r="CV44" s="41">
        <f t="shared" si="28"/>
        <v>25300.584192476468</v>
      </c>
      <c r="CW44" s="41">
        <f t="shared" si="29"/>
        <v>-17821.587108177704</v>
      </c>
      <c r="CX44" s="41">
        <f t="shared" si="30"/>
        <v>-1175.7882369760064</v>
      </c>
      <c r="CY44" s="41">
        <f t="shared" si="31"/>
        <v>-142.15745366336625</v>
      </c>
      <c r="CZ44" s="41">
        <f t="shared" si="32"/>
        <v>52.598299348585897</v>
      </c>
      <c r="DA44" s="41">
        <f t="shared" si="33"/>
        <v>-4.0737412196467631</v>
      </c>
      <c r="DB44" s="41">
        <f t="shared" si="34"/>
        <v>0.72689965147185376</v>
      </c>
      <c r="DC44" s="41">
        <f t="shared" si="35"/>
        <v>82.932899088396084</v>
      </c>
      <c r="DD44" s="41"/>
      <c r="DE44" s="283">
        <f t="shared" si="36"/>
        <v>-4.688154011100564</v>
      </c>
      <c r="DF44" s="283">
        <f t="shared" si="37"/>
        <v>-0.8953826003382368</v>
      </c>
      <c r="DG44" s="283">
        <f t="shared" si="38"/>
        <v>-0.56466057084012222</v>
      </c>
      <c r="DH44" s="283">
        <f t="shared" si="39"/>
        <v>-0.15681947085300352</v>
      </c>
      <c r="DI44" s="283">
        <f t="shared" si="40"/>
        <v>6.8814741306969518E-2</v>
      </c>
      <c r="DJ44" s="283">
        <f t="shared" si="41"/>
        <v>-4.9865569291445274E-3</v>
      </c>
      <c r="DK44" s="283">
        <f t="shared" si="42"/>
        <v>8.9423745537057803E-4</v>
      </c>
      <c r="DL44" s="283">
        <f t="shared" si="43"/>
        <v>0.10193352765328996</v>
      </c>
    </row>
    <row r="45" spans="1:116" x14ac:dyDescent="0.2">
      <c r="A45" s="30">
        <v>102</v>
      </c>
      <c r="B45" s="31" t="s">
        <v>359</v>
      </c>
      <c r="C45" s="65"/>
      <c r="D45" s="65"/>
      <c r="E45" s="65"/>
      <c r="F45" s="65"/>
      <c r="G45" s="65"/>
      <c r="H45" s="65">
        <v>26258</v>
      </c>
      <c r="I45" s="65"/>
      <c r="J45" s="65"/>
      <c r="K45" s="65"/>
      <c r="L45" s="65"/>
      <c r="M45" s="65"/>
      <c r="N45" s="65">
        <v>26010</v>
      </c>
      <c r="O45" s="65"/>
      <c r="P45" s="65"/>
      <c r="Q45" s="65"/>
      <c r="R45" s="65"/>
      <c r="S45" s="65"/>
      <c r="T45" s="65">
        <v>26259</v>
      </c>
      <c r="U45" s="65"/>
      <c r="V45" s="65"/>
      <c r="W45" s="65"/>
      <c r="X45" s="65"/>
      <c r="Y45" s="65"/>
      <c r="Z45" s="65">
        <v>26079</v>
      </c>
      <c r="AA45" s="65"/>
      <c r="AB45" s="66">
        <v>23758.179771125742</v>
      </c>
      <c r="AC45" s="34">
        <v>168.52420214858338</v>
      </c>
      <c r="AD45" s="180">
        <v>5481.4683482821592</v>
      </c>
      <c r="AE45" s="65">
        <v>0</v>
      </c>
      <c r="AF45" s="34">
        <v>602.22199999999998</v>
      </c>
      <c r="AG45" s="65">
        <f t="shared" si="22"/>
        <v>30010.394321556487</v>
      </c>
      <c r="AH45" s="65"/>
      <c r="AI45" s="66">
        <v>21694.481939044959</v>
      </c>
      <c r="AJ45" s="34">
        <v>-130.69386271349134</v>
      </c>
      <c r="AK45" s="181">
        <v>5855.9999352396153</v>
      </c>
      <c r="AL45" s="65">
        <v>0</v>
      </c>
      <c r="AM45" s="34">
        <v>144.25899999999999</v>
      </c>
      <c r="AN45" s="65">
        <f t="shared" si="23"/>
        <v>27564.047011571081</v>
      </c>
      <c r="AO45" s="65"/>
      <c r="AP45" s="41">
        <v>22388.228806839143</v>
      </c>
      <c r="AQ45" s="41">
        <v>-40.327368288060342</v>
      </c>
      <c r="AR45" s="41">
        <v>6585.0165601364461</v>
      </c>
      <c r="AS45" s="65">
        <v>0</v>
      </c>
      <c r="AT45" s="34">
        <v>811.64700000000005</v>
      </c>
      <c r="AU45" s="65">
        <f t="shared" si="24"/>
        <v>29744.564998687529</v>
      </c>
      <c r="AV45" s="65"/>
      <c r="AW45" s="41">
        <v>7150.0415142287347</v>
      </c>
      <c r="AX45" s="314"/>
      <c r="AY45" s="314"/>
      <c r="AZ45" s="41">
        <v>2161.681996197332</v>
      </c>
      <c r="BA45" s="65">
        <v>0</v>
      </c>
      <c r="BB45" s="34">
        <v>683.46400000000006</v>
      </c>
      <c r="BC45" s="65">
        <f t="shared" si="44"/>
        <v>9995.1875104260671</v>
      </c>
      <c r="BD45" s="65"/>
      <c r="BE45" s="41">
        <v>4861.5357254549672</v>
      </c>
      <c r="BF45" s="314"/>
      <c r="BG45" s="314"/>
      <c r="BH45" s="41">
        <v>2140.5564129307818</v>
      </c>
      <c r="BI45" s="65">
        <v>0</v>
      </c>
      <c r="BJ45" s="34">
        <v>1132.5039999999999</v>
      </c>
      <c r="BK45" s="65">
        <f t="shared" si="45"/>
        <v>8134.5961383857493</v>
      </c>
      <c r="BL45" s="65"/>
      <c r="BM45" s="41">
        <v>6061.9648056968808</v>
      </c>
      <c r="BN45" s="41">
        <v>1421.3378284789767</v>
      </c>
      <c r="BO45" s="65">
        <v>0</v>
      </c>
      <c r="BP45" s="34">
        <v>1132.5039999999999</v>
      </c>
      <c r="BQ45" s="65">
        <f t="shared" si="25"/>
        <v>8615.8066341758567</v>
      </c>
      <c r="BR45" s="65"/>
      <c r="BS45" s="41">
        <v>6350.946143767449</v>
      </c>
      <c r="BT45" s="314"/>
      <c r="BU45" s="314"/>
      <c r="BV45" s="41">
        <v>1510.5046287620282</v>
      </c>
      <c r="BW45" s="65">
        <v>0</v>
      </c>
      <c r="BX45" s="34">
        <v>1132.5039999999999</v>
      </c>
      <c r="BY45" s="65">
        <f t="shared" si="46"/>
        <v>8993.954772529476</v>
      </c>
      <c r="CA45" s="5">
        <v>6292.2410432223041</v>
      </c>
      <c r="CB45" s="407">
        <v>1605.0539215595081</v>
      </c>
      <c r="CC45" s="415">
        <v>0</v>
      </c>
      <c r="CD45" s="34">
        <v>1132.5039999999999</v>
      </c>
      <c r="CE45" s="65">
        <f t="shared" si="26"/>
        <v>9029.7989647818122</v>
      </c>
      <c r="CF45" s="407"/>
      <c r="CG45" s="5">
        <v>7034.9368702009833</v>
      </c>
      <c r="CH45" s="407">
        <v>1687.1581694850499</v>
      </c>
      <c r="CI45" s="415">
        <v>0</v>
      </c>
      <c r="CJ45" s="34">
        <v>1132.5039999999999</v>
      </c>
      <c r="CK45" s="65">
        <f t="shared" si="27"/>
        <v>9854.5990396860325</v>
      </c>
      <c r="CL45" s="407"/>
      <c r="CM45" s="41">
        <f>AU45/'1. Väestöennuste'!L45*1000</f>
        <v>3052.2898921177557</v>
      </c>
      <c r="CN45" s="41">
        <f>BC45/'1. Väestöennuste'!M45*1000</f>
        <v>1036.2002395216741</v>
      </c>
      <c r="CO45" s="41">
        <f>BK45/'1. Väestöennuste'!N45*1000</f>
        <v>853.30915119959604</v>
      </c>
      <c r="CP45" s="41">
        <f>BQ45/'1. Väestöennuste'!O45*1000</f>
        <v>912.40142265973282</v>
      </c>
      <c r="CQ45" s="41">
        <f>BY45/'1. Väestöennuste'!P45*1000</f>
        <v>961.40617557770986</v>
      </c>
      <c r="CR45" s="41">
        <f>CE45/'1. Väestöennuste'!Q45*1000</f>
        <v>973.77320875464375</v>
      </c>
      <c r="CS45" s="41">
        <f>CK45/'1. Väestöennuste'!R45*1000</f>
        <v>1071.9676971267304</v>
      </c>
      <c r="CT45" s="41"/>
      <c r="CV45" s="41">
        <f t="shared" si="28"/>
        <v>8722.0950396860317</v>
      </c>
      <c r="CW45" s="41">
        <f t="shared" si="29"/>
        <v>-6802.3091475682768</v>
      </c>
      <c r="CX45" s="41">
        <f t="shared" si="30"/>
        <v>-2016.0896525960816</v>
      </c>
      <c r="CY45" s="41">
        <f t="shared" si="31"/>
        <v>-182.89108832207808</v>
      </c>
      <c r="CZ45" s="41">
        <f t="shared" si="32"/>
        <v>59.092271460136772</v>
      </c>
      <c r="DA45" s="41">
        <f t="shared" si="33"/>
        <v>49.004752917977044</v>
      </c>
      <c r="DB45" s="41">
        <f t="shared" si="34"/>
        <v>12.367033176933887</v>
      </c>
      <c r="DC45" s="41">
        <f t="shared" si="35"/>
        <v>98.194488372086653</v>
      </c>
      <c r="DD45" s="41"/>
      <c r="DE45" s="283">
        <f t="shared" si="36"/>
        <v>7.7016019719895317</v>
      </c>
      <c r="DF45" s="283">
        <f t="shared" si="37"/>
        <v>-0.69026747005883238</v>
      </c>
      <c r="DG45" s="283">
        <f t="shared" si="38"/>
        <v>-0.6605170949857806</v>
      </c>
      <c r="DH45" s="283">
        <f t="shared" si="39"/>
        <v>-0.1765016850473837</v>
      </c>
      <c r="DI45" s="283">
        <f t="shared" si="40"/>
        <v>6.925071807452654E-2</v>
      </c>
      <c r="DJ45" s="283">
        <f t="shared" si="41"/>
        <v>5.3709641064701268E-2</v>
      </c>
      <c r="DK45" s="283">
        <f t="shared" si="42"/>
        <v>1.2863484228715845E-2</v>
      </c>
      <c r="DL45" s="283">
        <f t="shared" si="43"/>
        <v>0.10083917640090689</v>
      </c>
    </row>
    <row r="46" spans="1:116" x14ac:dyDescent="0.2">
      <c r="A46" s="30">
        <v>103</v>
      </c>
      <c r="B46" s="31" t="s">
        <v>360</v>
      </c>
      <c r="C46" s="65"/>
      <c r="D46" s="65"/>
      <c r="E46" s="65"/>
      <c r="F46" s="65"/>
      <c r="G46" s="65"/>
      <c r="H46" s="65">
        <v>6240</v>
      </c>
      <c r="I46" s="65"/>
      <c r="J46" s="65"/>
      <c r="K46" s="65"/>
      <c r="L46" s="65"/>
      <c r="M46" s="65"/>
      <c r="N46" s="65">
        <v>6053</v>
      </c>
      <c r="O46" s="65"/>
      <c r="P46" s="65"/>
      <c r="Q46" s="65"/>
      <c r="R46" s="65"/>
      <c r="S46" s="65"/>
      <c r="T46" s="65">
        <v>5821</v>
      </c>
      <c r="U46" s="65"/>
      <c r="V46" s="65"/>
      <c r="W46" s="65"/>
      <c r="X46" s="65"/>
      <c r="Y46" s="65"/>
      <c r="Z46" s="65">
        <v>5701</v>
      </c>
      <c r="AA46" s="65"/>
      <c r="AB46" s="66">
        <v>5358.5784763832517</v>
      </c>
      <c r="AC46" s="34">
        <v>36.1722206972442</v>
      </c>
      <c r="AD46" s="180">
        <v>1319.5581568054138</v>
      </c>
      <c r="AE46" s="65">
        <v>0</v>
      </c>
      <c r="AF46" s="34">
        <v>-497.30099999999999</v>
      </c>
      <c r="AG46" s="65">
        <f t="shared" si="22"/>
        <v>6217.0078538859098</v>
      </c>
      <c r="AH46" s="65"/>
      <c r="AI46" s="66">
        <v>4962.3970271538483</v>
      </c>
      <c r="AJ46" s="34">
        <v>-28.06769517647124</v>
      </c>
      <c r="AK46" s="181">
        <v>1407.6567727325039</v>
      </c>
      <c r="AL46" s="65">
        <v>395</v>
      </c>
      <c r="AM46" s="34">
        <v>-566.27</v>
      </c>
      <c r="AN46" s="65">
        <f t="shared" si="23"/>
        <v>6170.7161047098816</v>
      </c>
      <c r="AO46" s="65"/>
      <c r="AP46" s="41">
        <v>5016.8208183360712</v>
      </c>
      <c r="AQ46" s="41">
        <v>-8.6577494869615688</v>
      </c>
      <c r="AR46" s="41">
        <v>1598.7583050663991</v>
      </c>
      <c r="AS46" s="65">
        <v>0</v>
      </c>
      <c r="AT46" s="34">
        <v>-578.61599999999999</v>
      </c>
      <c r="AU46" s="65">
        <f t="shared" si="24"/>
        <v>6028.3053739155084</v>
      </c>
      <c r="AV46" s="65"/>
      <c r="AW46" s="41">
        <v>1806.4128505633614</v>
      </c>
      <c r="AX46" s="314"/>
      <c r="AY46" s="314"/>
      <c r="AZ46" s="41">
        <v>497.46205417832141</v>
      </c>
      <c r="BA46" s="65">
        <v>0</v>
      </c>
      <c r="BB46" s="34">
        <v>-548.86400000000003</v>
      </c>
      <c r="BC46" s="65">
        <f t="shared" si="44"/>
        <v>1755.0109047416827</v>
      </c>
      <c r="BD46" s="65"/>
      <c r="BE46" s="41">
        <v>1367.7925979259169</v>
      </c>
      <c r="BF46" s="314"/>
      <c r="BG46" s="314"/>
      <c r="BH46" s="41">
        <v>488.88635415327025</v>
      </c>
      <c r="BI46" s="65">
        <v>0</v>
      </c>
      <c r="BJ46" s="34">
        <v>-577.75199999999995</v>
      </c>
      <c r="BK46" s="65">
        <f t="shared" si="45"/>
        <v>1278.9269520791872</v>
      </c>
      <c r="BL46" s="65"/>
      <c r="BM46" s="41">
        <v>1563.0454229073416</v>
      </c>
      <c r="BN46" s="41">
        <v>332.30967430189435</v>
      </c>
      <c r="BO46" s="65">
        <v>0</v>
      </c>
      <c r="BP46" s="34">
        <v>-577.75199999999995</v>
      </c>
      <c r="BQ46" s="65">
        <f t="shared" si="25"/>
        <v>1317.603097209236</v>
      </c>
      <c r="BR46" s="65"/>
      <c r="BS46" s="41">
        <v>1553.8516312774793</v>
      </c>
      <c r="BT46" s="314"/>
      <c r="BU46" s="314"/>
      <c r="BV46" s="41">
        <v>354.22795487034011</v>
      </c>
      <c r="BW46" s="65">
        <v>0</v>
      </c>
      <c r="BX46" s="34">
        <v>-577.75199999999995</v>
      </c>
      <c r="BY46" s="65">
        <f t="shared" si="46"/>
        <v>1330.3275861478196</v>
      </c>
      <c r="CA46" s="5">
        <v>1516.2566079378996</v>
      </c>
      <c r="CB46" s="407">
        <v>376.38403687895368</v>
      </c>
      <c r="CC46" s="415">
        <v>0</v>
      </c>
      <c r="CD46" s="34">
        <v>-577.75199999999995</v>
      </c>
      <c r="CE46" s="65">
        <f t="shared" si="26"/>
        <v>1314.8886448168532</v>
      </c>
      <c r="CF46" s="407"/>
      <c r="CG46" s="5">
        <v>1809.6964145801007</v>
      </c>
      <c r="CH46" s="407">
        <v>395.84629563620967</v>
      </c>
      <c r="CI46" s="415">
        <v>0</v>
      </c>
      <c r="CJ46" s="34">
        <v>-577.75199999999995</v>
      </c>
      <c r="CK46" s="65">
        <f t="shared" si="27"/>
        <v>1627.7907102163103</v>
      </c>
      <c r="CL46" s="407"/>
      <c r="CM46" s="41">
        <f>AU46/'1. Väestöennuste'!L46*1000</f>
        <v>2789.5906404051407</v>
      </c>
      <c r="CN46" s="41">
        <f>BC46/'1. Väestöennuste'!M46*1000</f>
        <v>825.88748458432121</v>
      </c>
      <c r="CO46" s="41">
        <f>BK46/'1. Väestöennuste'!N46*1000</f>
        <v>613.68855665987871</v>
      </c>
      <c r="CP46" s="41">
        <f>BQ46/'1. Väestöennuste'!O46*1000</f>
        <v>638.37359360912592</v>
      </c>
      <c r="CQ46" s="41">
        <f>BY46/'1. Väestöennuste'!P46*1000</f>
        <v>651.48265727121429</v>
      </c>
      <c r="CR46" s="41">
        <f>CE46/'1. Väestöennuste'!Q46*1000</f>
        <v>650.61288709394023</v>
      </c>
      <c r="CS46" s="41">
        <f>CK46/'1. Väestöennuste'!R46*1000</f>
        <v>812.67634059725924</v>
      </c>
      <c r="CT46" s="41"/>
      <c r="CV46" s="41">
        <f t="shared" si="28"/>
        <v>2205.5427102163103</v>
      </c>
      <c r="CW46" s="41">
        <f t="shared" si="29"/>
        <v>1161.7999301888303</v>
      </c>
      <c r="CX46" s="41">
        <f t="shared" si="30"/>
        <v>-1963.7031558208196</v>
      </c>
      <c r="CY46" s="41">
        <f t="shared" si="31"/>
        <v>-212.1989279244425</v>
      </c>
      <c r="CZ46" s="41">
        <f t="shared" si="32"/>
        <v>24.685036949247205</v>
      </c>
      <c r="DA46" s="41">
        <f t="shared" si="33"/>
        <v>13.109063662088374</v>
      </c>
      <c r="DB46" s="41">
        <f t="shared" si="34"/>
        <v>-0.86977017727406292</v>
      </c>
      <c r="DC46" s="41">
        <f t="shared" si="35"/>
        <v>162.06345350331901</v>
      </c>
      <c r="DD46" s="41"/>
      <c r="DE46" s="283">
        <f t="shared" si="36"/>
        <v>-3.8174557772475222</v>
      </c>
      <c r="DF46" s="283">
        <f t="shared" si="37"/>
        <v>0.71372807505114932</v>
      </c>
      <c r="DG46" s="283">
        <f t="shared" si="38"/>
        <v>-0.70393954129973169</v>
      </c>
      <c r="DH46" s="283">
        <f t="shared" si="39"/>
        <v>-0.25693442737087208</v>
      </c>
      <c r="DI46" s="283">
        <f t="shared" si="40"/>
        <v>4.0224046352763033E-2</v>
      </c>
      <c r="DJ46" s="283">
        <f t="shared" si="41"/>
        <v>2.053509699230293E-2</v>
      </c>
      <c r="DK46" s="283">
        <f t="shared" si="42"/>
        <v>-1.3350626721471955E-3</v>
      </c>
      <c r="DL46" s="283">
        <f t="shared" si="43"/>
        <v>0.2490935189236716</v>
      </c>
    </row>
    <row r="47" spans="1:116" x14ac:dyDescent="0.2">
      <c r="A47" s="30">
        <v>105</v>
      </c>
      <c r="B47" s="31" t="s">
        <v>361</v>
      </c>
      <c r="C47" s="65"/>
      <c r="D47" s="65"/>
      <c r="E47" s="65"/>
      <c r="F47" s="65"/>
      <c r="G47" s="65"/>
      <c r="H47" s="65">
        <v>10106</v>
      </c>
      <c r="I47" s="65"/>
      <c r="J47" s="65"/>
      <c r="K47" s="65"/>
      <c r="L47" s="65"/>
      <c r="M47" s="65"/>
      <c r="N47" s="65">
        <v>11169</v>
      </c>
      <c r="O47" s="65"/>
      <c r="P47" s="65"/>
      <c r="Q47" s="65"/>
      <c r="R47" s="65"/>
      <c r="S47" s="65"/>
      <c r="T47" s="65">
        <v>11343</v>
      </c>
      <c r="U47" s="65"/>
      <c r="V47" s="65"/>
      <c r="W47" s="65"/>
      <c r="X47" s="65"/>
      <c r="Y47" s="65"/>
      <c r="Z47" s="65">
        <v>11004</v>
      </c>
      <c r="AA47" s="65"/>
      <c r="AB47" s="66">
        <v>9757.6554631251656</v>
      </c>
      <c r="AC47" s="34">
        <v>38.746309586528163</v>
      </c>
      <c r="AD47" s="180">
        <v>1413.0643348777976</v>
      </c>
      <c r="AE47" s="65">
        <v>315</v>
      </c>
      <c r="AF47" s="34">
        <v>-490.72699999999998</v>
      </c>
      <c r="AG47" s="65">
        <f t="shared" si="22"/>
        <v>11033.73910758949</v>
      </c>
      <c r="AH47" s="65"/>
      <c r="AI47" s="66">
        <v>9649.4142365035605</v>
      </c>
      <c r="AJ47" s="34">
        <v>-29.855486784285272</v>
      </c>
      <c r="AK47" s="181">
        <v>1491.5252281159669</v>
      </c>
      <c r="AL47" s="65">
        <v>0</v>
      </c>
      <c r="AM47" s="34">
        <v>-477.83199999999999</v>
      </c>
      <c r="AN47" s="65">
        <f t="shared" si="23"/>
        <v>10633.251977835242</v>
      </c>
      <c r="AO47" s="65"/>
      <c r="AP47" s="41">
        <v>11034.692761433535</v>
      </c>
      <c r="AQ47" s="41">
        <v>-9.1148745553537918</v>
      </c>
      <c r="AR47" s="41">
        <v>1653.850122327922</v>
      </c>
      <c r="AS47" s="65">
        <v>385</v>
      </c>
      <c r="AT47" s="34">
        <v>-466.46499999999997</v>
      </c>
      <c r="AU47" s="65">
        <f t="shared" si="24"/>
        <v>12597.963009206102</v>
      </c>
      <c r="AV47" s="65"/>
      <c r="AW47" s="41">
        <v>2446.6060247280393</v>
      </c>
      <c r="AX47" s="314"/>
      <c r="AY47" s="314"/>
      <c r="AZ47" s="41">
        <v>501.64339813616368</v>
      </c>
      <c r="BA47" s="65">
        <v>0</v>
      </c>
      <c r="BB47" s="34">
        <v>-471.32400000000001</v>
      </c>
      <c r="BC47" s="65">
        <f t="shared" si="44"/>
        <v>2476.925422864203</v>
      </c>
      <c r="BD47" s="65"/>
      <c r="BE47" s="41">
        <v>2665.2625034199286</v>
      </c>
      <c r="BF47" s="314"/>
      <c r="BG47" s="314"/>
      <c r="BH47" s="41">
        <v>500.42375808776654</v>
      </c>
      <c r="BI47" s="65">
        <v>0</v>
      </c>
      <c r="BJ47" s="34">
        <v>-491.76600000000002</v>
      </c>
      <c r="BK47" s="65">
        <f t="shared" si="45"/>
        <v>2673.9202615076952</v>
      </c>
      <c r="BL47" s="65"/>
      <c r="BM47" s="41">
        <v>3095.655732572849</v>
      </c>
      <c r="BN47" s="41">
        <v>380.49180003645978</v>
      </c>
      <c r="BO47" s="65">
        <v>0</v>
      </c>
      <c r="BP47" s="34">
        <v>-491.76600000000002</v>
      </c>
      <c r="BQ47" s="65">
        <f t="shared" si="25"/>
        <v>2984.3815326093086</v>
      </c>
      <c r="BR47" s="65"/>
      <c r="BS47" s="41">
        <v>3025.4256462769235</v>
      </c>
      <c r="BT47" s="314"/>
      <c r="BU47" s="314"/>
      <c r="BV47" s="41">
        <v>404.11644075313774</v>
      </c>
      <c r="BW47" s="65">
        <v>0</v>
      </c>
      <c r="BX47" s="34">
        <v>-491.76600000000002</v>
      </c>
      <c r="BY47" s="65">
        <f t="shared" si="46"/>
        <v>2937.7760870300613</v>
      </c>
      <c r="CA47" s="5">
        <v>2968.0648219260702</v>
      </c>
      <c r="CB47" s="407">
        <v>427.95853608411016</v>
      </c>
      <c r="CC47" s="415">
        <v>0</v>
      </c>
      <c r="CD47" s="34">
        <v>-491.76600000000002</v>
      </c>
      <c r="CE47" s="65">
        <f t="shared" si="26"/>
        <v>2904.2573580101803</v>
      </c>
      <c r="CF47" s="407"/>
      <c r="CG47" s="5">
        <v>3370.6191065410917</v>
      </c>
      <c r="CH47" s="407">
        <v>448.81919616272262</v>
      </c>
      <c r="CI47" s="415">
        <v>0</v>
      </c>
      <c r="CJ47" s="34">
        <v>-491.76600000000002</v>
      </c>
      <c r="CK47" s="65">
        <f t="shared" si="27"/>
        <v>3327.6723027038142</v>
      </c>
      <c r="CL47" s="407"/>
      <c r="CM47" s="41">
        <f>AU47/'1. Väestöennuste'!L47*1000</f>
        <v>6016.2192021041556</v>
      </c>
      <c r="CN47" s="41">
        <f>BC47/'1. Väestöennuste'!M47*1000</f>
        <v>1200.6424735163368</v>
      </c>
      <c r="CO47" s="41">
        <f>BK47/'1. Väestöennuste'!N47*1000</f>
        <v>1309.4614405032787</v>
      </c>
      <c r="CP47" s="41">
        <f>BQ47/'1. Väestöennuste'!O47*1000</f>
        <v>1485.5059893525677</v>
      </c>
      <c r="CQ47" s="41">
        <f>BY47/'1. Väestöennuste'!P47*1000</f>
        <v>1486.7287889828244</v>
      </c>
      <c r="CR47" s="41">
        <f>CE47/'1. Väestöennuste'!Q47*1000</f>
        <v>1493.1914437070334</v>
      </c>
      <c r="CS47" s="41">
        <f>CK47/'1. Väestöennuste'!R47*1000</f>
        <v>1736.7809513067925</v>
      </c>
      <c r="CT47" s="41"/>
      <c r="CV47" s="41">
        <f t="shared" si="28"/>
        <v>3819.4383027038143</v>
      </c>
      <c r="CW47" s="41">
        <f t="shared" si="29"/>
        <v>2688.5468994003413</v>
      </c>
      <c r="CX47" s="41">
        <f t="shared" si="30"/>
        <v>-4815.5767285878192</v>
      </c>
      <c r="CY47" s="41">
        <f t="shared" si="31"/>
        <v>108.81896698694186</v>
      </c>
      <c r="CZ47" s="41">
        <f t="shared" si="32"/>
        <v>176.04454884928896</v>
      </c>
      <c r="DA47" s="41">
        <f t="shared" si="33"/>
        <v>1.222799630256759</v>
      </c>
      <c r="DB47" s="41">
        <f t="shared" si="34"/>
        <v>6.46265472420896</v>
      </c>
      <c r="DC47" s="41">
        <f t="shared" si="35"/>
        <v>243.58950759975914</v>
      </c>
      <c r="DD47" s="41"/>
      <c r="DE47" s="283">
        <f t="shared" si="36"/>
        <v>-7.7667799374170121</v>
      </c>
      <c r="DF47" s="283">
        <f t="shared" si="37"/>
        <v>0.80793619528456329</v>
      </c>
      <c r="DG47" s="283">
        <f t="shared" si="38"/>
        <v>-0.80043239230771124</v>
      </c>
      <c r="DH47" s="283">
        <f t="shared" si="39"/>
        <v>9.0633947563292822E-2</v>
      </c>
      <c r="DI47" s="283">
        <f t="shared" si="40"/>
        <v>0.13444042214914551</v>
      </c>
      <c r="DJ47" s="283">
        <f t="shared" si="41"/>
        <v>8.2315361837732826E-4</v>
      </c>
      <c r="DK47" s="283">
        <f t="shared" si="42"/>
        <v>4.3468955280206254E-3</v>
      </c>
      <c r="DL47" s="283">
        <f t="shared" si="43"/>
        <v>0.16313347402729411</v>
      </c>
    </row>
    <row r="48" spans="1:116" x14ac:dyDescent="0.2">
      <c r="A48" s="30">
        <v>106</v>
      </c>
      <c r="B48" s="31" t="s">
        <v>362</v>
      </c>
      <c r="C48" s="65"/>
      <c r="D48" s="65"/>
      <c r="E48" s="65"/>
      <c r="F48" s="65"/>
      <c r="G48" s="65"/>
      <c r="H48" s="65">
        <v>53470</v>
      </c>
      <c r="I48" s="65"/>
      <c r="J48" s="65"/>
      <c r="K48" s="65"/>
      <c r="L48" s="65"/>
      <c r="M48" s="65"/>
      <c r="N48" s="65">
        <v>51169</v>
      </c>
      <c r="O48" s="65"/>
      <c r="P48" s="65"/>
      <c r="Q48" s="65"/>
      <c r="R48" s="65"/>
      <c r="S48" s="65"/>
      <c r="T48" s="65">
        <v>51806</v>
      </c>
      <c r="U48" s="65"/>
      <c r="V48" s="65"/>
      <c r="W48" s="65"/>
      <c r="X48" s="65"/>
      <c r="Y48" s="65"/>
      <c r="Z48" s="65">
        <v>52983</v>
      </c>
      <c r="AA48" s="65"/>
      <c r="AB48" s="66">
        <v>57608.297486119794</v>
      </c>
      <c r="AC48" s="34">
        <v>1006.0158450316839</v>
      </c>
      <c r="AD48" s="180">
        <v>17150.384743636798</v>
      </c>
      <c r="AE48" s="65">
        <v>0</v>
      </c>
      <c r="AF48" s="34">
        <v>-2547.5749999999998</v>
      </c>
      <c r="AG48" s="65">
        <f t="shared" si="22"/>
        <v>73217.12307478828</v>
      </c>
      <c r="AH48" s="65"/>
      <c r="AI48" s="66">
        <v>48850.999194875745</v>
      </c>
      <c r="AJ48" s="34">
        <v>-778.97730774786248</v>
      </c>
      <c r="AK48" s="181">
        <v>18551.943063225179</v>
      </c>
      <c r="AL48" s="65">
        <v>2200</v>
      </c>
      <c r="AM48" s="34">
        <v>-2271.9589999999998</v>
      </c>
      <c r="AN48" s="65">
        <f t="shared" si="23"/>
        <v>66552.005950353065</v>
      </c>
      <c r="AO48" s="65"/>
      <c r="AP48" s="41">
        <v>50857.926460328024</v>
      </c>
      <c r="AQ48" s="41">
        <v>-240.22084721019431</v>
      </c>
      <c r="AR48" s="41">
        <v>21548.308828764879</v>
      </c>
      <c r="AS48" s="65">
        <v>0</v>
      </c>
      <c r="AT48" s="34">
        <v>-2114.194</v>
      </c>
      <c r="AU48" s="65">
        <f t="shared" si="24"/>
        <v>70051.820441882708</v>
      </c>
      <c r="AV48" s="65"/>
      <c r="AW48" s="41">
        <v>16031.614817113934</v>
      </c>
      <c r="AX48" s="314"/>
      <c r="AY48" s="314"/>
      <c r="AZ48" s="41">
        <v>6711.2259388995426</v>
      </c>
      <c r="BA48" s="65">
        <v>0</v>
      </c>
      <c r="BB48" s="34">
        <v>-1743.95</v>
      </c>
      <c r="BC48" s="65">
        <f t="shared" si="44"/>
        <v>20998.890756013476</v>
      </c>
      <c r="BD48" s="65"/>
      <c r="BE48" s="41">
        <v>6919.298745023696</v>
      </c>
      <c r="BF48" s="314"/>
      <c r="BG48" s="314"/>
      <c r="BH48" s="41">
        <v>6611.0953578563131</v>
      </c>
      <c r="BI48" s="65">
        <v>0</v>
      </c>
      <c r="BJ48" s="34">
        <v>-1773.4169999999999</v>
      </c>
      <c r="BK48" s="65">
        <f t="shared" si="45"/>
        <v>11756.97710288001</v>
      </c>
      <c r="BL48" s="65"/>
      <c r="BM48" s="41">
        <v>12662.483061306906</v>
      </c>
      <c r="BN48" s="41">
        <v>4019.6055697928409</v>
      </c>
      <c r="BO48" s="65">
        <v>0</v>
      </c>
      <c r="BP48" s="34">
        <v>-1773.4169999999999</v>
      </c>
      <c r="BQ48" s="65">
        <f t="shared" si="25"/>
        <v>14908.671631099749</v>
      </c>
      <c r="BR48" s="65"/>
      <c r="BS48" s="41">
        <v>11862.244089288417</v>
      </c>
      <c r="BT48" s="314"/>
      <c r="BU48" s="314"/>
      <c r="BV48" s="41">
        <v>4242.7420669883195</v>
      </c>
      <c r="BW48" s="65">
        <v>0</v>
      </c>
      <c r="BX48" s="34">
        <v>-1773.4169999999999</v>
      </c>
      <c r="BY48" s="65">
        <f t="shared" si="46"/>
        <v>14331.569156276737</v>
      </c>
      <c r="CA48" s="5">
        <v>11696.076086656603</v>
      </c>
      <c r="CB48" s="407">
        <v>4582.513630493203</v>
      </c>
      <c r="CC48" s="415">
        <v>0</v>
      </c>
      <c r="CD48" s="34">
        <v>-1773.4169999999999</v>
      </c>
      <c r="CE48" s="65">
        <f t="shared" si="26"/>
        <v>14505.172717149808</v>
      </c>
      <c r="CF48" s="407"/>
      <c r="CG48" s="5">
        <v>13147.073479397743</v>
      </c>
      <c r="CH48" s="407">
        <v>4861.967571123454</v>
      </c>
      <c r="CI48" s="415">
        <v>0</v>
      </c>
      <c r="CJ48" s="34">
        <v>-1773.4169999999999</v>
      </c>
      <c r="CK48" s="65">
        <f t="shared" si="27"/>
        <v>16235.624050521199</v>
      </c>
      <c r="CL48" s="407"/>
      <c r="CM48" s="41">
        <f>AU48/'1. Väestöennuste'!L48*1000</f>
        <v>1496.9297271594912</v>
      </c>
      <c r="CN48" s="41">
        <f>BC48/'1. Väestöennuste'!M48*1000</f>
        <v>447.72799633298808</v>
      </c>
      <c r="CO48" s="41">
        <f>BK48/'1. Väestöennuste'!N48*1000</f>
        <v>250.68181456034134</v>
      </c>
      <c r="CP48" s="41">
        <f>BQ48/'1. Väestöennuste'!O48*1000</f>
        <v>317.32055490496032</v>
      </c>
      <c r="CQ48" s="41">
        <f>BY48/'1. Väestöennuste'!P48*1000</f>
        <v>304.48646970928735</v>
      </c>
      <c r="CR48" s="41">
        <f>CE48/'1. Väestöennuste'!Q48*1000</f>
        <v>307.63234538291459</v>
      </c>
      <c r="CS48" s="41">
        <f>CK48/'1. Väestöennuste'!R48*1000</f>
        <v>343.71293188502835</v>
      </c>
      <c r="CT48" s="41"/>
      <c r="CV48" s="41">
        <f t="shared" si="28"/>
        <v>18009.041050521198</v>
      </c>
      <c r="CW48" s="41">
        <f t="shared" si="29"/>
        <v>-14738.694323361708</v>
      </c>
      <c r="CX48" s="41">
        <f t="shared" si="30"/>
        <v>-1049.2017308265031</v>
      </c>
      <c r="CY48" s="41">
        <f t="shared" si="31"/>
        <v>-197.04618177264675</v>
      </c>
      <c r="CZ48" s="41">
        <f t="shared" si="32"/>
        <v>66.638740344618981</v>
      </c>
      <c r="DA48" s="41">
        <f t="shared" si="33"/>
        <v>-12.834085195672969</v>
      </c>
      <c r="DB48" s="41">
        <f t="shared" si="34"/>
        <v>3.1458756736272449</v>
      </c>
      <c r="DC48" s="41">
        <f t="shared" si="35"/>
        <v>36.080586502113761</v>
      </c>
      <c r="DD48" s="41"/>
      <c r="DE48" s="283">
        <f t="shared" si="36"/>
        <v>-10.154995159356879</v>
      </c>
      <c r="DF48" s="283">
        <f t="shared" si="37"/>
        <v>-0.90779968035097258</v>
      </c>
      <c r="DG48" s="283">
        <f t="shared" si="38"/>
        <v>-0.70090246174576454</v>
      </c>
      <c r="DH48" s="283">
        <f t="shared" si="39"/>
        <v>-0.44010243582377612</v>
      </c>
      <c r="DI48" s="283">
        <f t="shared" si="40"/>
        <v>0.26582997439001882</v>
      </c>
      <c r="DJ48" s="283">
        <f t="shared" si="41"/>
        <v>-4.0445174437303208E-2</v>
      </c>
      <c r="DK48" s="283">
        <f t="shared" si="42"/>
        <v>1.0331742085718335E-2</v>
      </c>
      <c r="DL48" s="283">
        <f t="shared" si="43"/>
        <v>0.11728476229378193</v>
      </c>
    </row>
    <row r="49" spans="1:116" x14ac:dyDescent="0.2">
      <c r="A49" s="30">
        <v>108</v>
      </c>
      <c r="B49" s="31" t="s">
        <v>363</v>
      </c>
      <c r="C49" s="65"/>
      <c r="D49" s="65"/>
      <c r="E49" s="65"/>
      <c r="F49" s="65"/>
      <c r="G49" s="65"/>
      <c r="H49" s="65">
        <v>22307</v>
      </c>
      <c r="I49" s="65"/>
      <c r="J49" s="65"/>
      <c r="K49" s="65"/>
      <c r="L49" s="65"/>
      <c r="M49" s="65"/>
      <c r="N49" s="65">
        <v>21765</v>
      </c>
      <c r="O49" s="65"/>
      <c r="P49" s="65"/>
      <c r="Q49" s="65"/>
      <c r="R49" s="65"/>
      <c r="S49" s="65"/>
      <c r="T49" s="65">
        <v>21575</v>
      </c>
      <c r="U49" s="65"/>
      <c r="V49" s="65"/>
      <c r="W49" s="65"/>
      <c r="X49" s="65"/>
      <c r="Y49" s="65"/>
      <c r="Z49" s="65">
        <v>21841</v>
      </c>
      <c r="AA49" s="65"/>
      <c r="AB49" s="66">
        <v>21923.295606333602</v>
      </c>
      <c r="AC49" s="34">
        <v>191.15706072749444</v>
      </c>
      <c r="AD49" s="180">
        <v>4668.7898443527283</v>
      </c>
      <c r="AE49" s="65">
        <v>0</v>
      </c>
      <c r="AF49" s="34">
        <v>-1176.6780000000001</v>
      </c>
      <c r="AG49" s="65">
        <f t="shared" si="22"/>
        <v>25606.564511413824</v>
      </c>
      <c r="AH49" s="65"/>
      <c r="AI49" s="66">
        <v>19809.157776516466</v>
      </c>
      <c r="AJ49" s="34">
        <v>-148.71665815321714</v>
      </c>
      <c r="AK49" s="181">
        <v>5036.3951140008612</v>
      </c>
      <c r="AL49" s="65">
        <v>700</v>
      </c>
      <c r="AM49" s="34">
        <v>-1110.7950000000001</v>
      </c>
      <c r="AN49" s="65">
        <f t="shared" si="23"/>
        <v>24286.041232364107</v>
      </c>
      <c r="AO49" s="65"/>
      <c r="AP49" s="41">
        <v>20954.61243592151</v>
      </c>
      <c r="AQ49" s="41">
        <v>-46.049716824300056</v>
      </c>
      <c r="AR49" s="41">
        <v>5921.3814229535628</v>
      </c>
      <c r="AS49" s="65">
        <v>0</v>
      </c>
      <c r="AT49" s="34">
        <v>-1291.259</v>
      </c>
      <c r="AU49" s="65">
        <f t="shared" si="24"/>
        <v>25538.685142050774</v>
      </c>
      <c r="AV49" s="65"/>
      <c r="AW49" s="41">
        <v>8573.4058764448237</v>
      </c>
      <c r="AX49" s="314"/>
      <c r="AY49" s="314"/>
      <c r="AZ49" s="41">
        <v>1764.8805176937785</v>
      </c>
      <c r="BA49" s="65">
        <v>0</v>
      </c>
      <c r="BB49" s="34">
        <v>-1302.704</v>
      </c>
      <c r="BC49" s="65">
        <f t="shared" si="44"/>
        <v>9035.5823941386025</v>
      </c>
      <c r="BD49" s="65"/>
      <c r="BE49" s="41">
        <v>7622.1193866832018</v>
      </c>
      <c r="BF49" s="314"/>
      <c r="BG49" s="314"/>
      <c r="BH49" s="41">
        <v>1713.5553959331969</v>
      </c>
      <c r="BI49" s="65">
        <v>0</v>
      </c>
      <c r="BJ49" s="34">
        <v>-1240.453</v>
      </c>
      <c r="BK49" s="65">
        <f t="shared" si="45"/>
        <v>8095.2217826163997</v>
      </c>
      <c r="BL49" s="65"/>
      <c r="BM49" s="41">
        <v>8923.3968492387958</v>
      </c>
      <c r="BN49" s="41">
        <v>960.21520609774893</v>
      </c>
      <c r="BO49" s="65">
        <v>0</v>
      </c>
      <c r="BP49" s="34">
        <v>-1240.453</v>
      </c>
      <c r="BQ49" s="65">
        <f t="shared" si="25"/>
        <v>8643.1590553365459</v>
      </c>
      <c r="BR49" s="65"/>
      <c r="BS49" s="41">
        <v>9287.9979140655214</v>
      </c>
      <c r="BT49" s="314"/>
      <c r="BU49" s="314"/>
      <c r="BV49" s="41">
        <v>1047.1883518604839</v>
      </c>
      <c r="BW49" s="65">
        <v>0</v>
      </c>
      <c r="BX49" s="34">
        <v>-1240.453</v>
      </c>
      <c r="BY49" s="65">
        <f t="shared" si="46"/>
        <v>9094.7332659260064</v>
      </c>
      <c r="CA49" s="5">
        <v>9229.8619431620791</v>
      </c>
      <c r="CB49" s="407">
        <v>1142.9417227718352</v>
      </c>
      <c r="CC49" s="415">
        <v>0</v>
      </c>
      <c r="CD49" s="34">
        <v>-1240.453</v>
      </c>
      <c r="CE49" s="65">
        <f t="shared" si="26"/>
        <v>9132.3506659339146</v>
      </c>
      <c r="CF49" s="407"/>
      <c r="CG49" s="5">
        <v>10042.260531799417</v>
      </c>
      <c r="CH49" s="407">
        <v>1225.7685995086615</v>
      </c>
      <c r="CI49" s="415">
        <v>0</v>
      </c>
      <c r="CJ49" s="34">
        <v>-1240.453</v>
      </c>
      <c r="CK49" s="65">
        <f t="shared" si="27"/>
        <v>10027.576131308078</v>
      </c>
      <c r="CL49" s="407"/>
      <c r="CM49" s="41">
        <f>AU49/'1. Väestöennuste'!L49*1000</f>
        <v>2489.8786333285343</v>
      </c>
      <c r="CN49" s="41">
        <f>BC49/'1. Väestöennuste'!M49*1000</f>
        <v>875.6257771236169</v>
      </c>
      <c r="CO49" s="41">
        <f>BK49/'1. Väestöennuste'!N49*1000</f>
        <v>805.09416037955236</v>
      </c>
      <c r="CP49" s="41">
        <f>BQ49/'1. Väestöennuste'!O49*1000</f>
        <v>864.74827967349131</v>
      </c>
      <c r="CQ49" s="41">
        <f>BY49/'1. Väestöennuste'!P49*1000</f>
        <v>914.77904505391336</v>
      </c>
      <c r="CR49" s="41">
        <f>CE49/'1. Väestöennuste'!Q49*1000</f>
        <v>923.01906872184304</v>
      </c>
      <c r="CS49" s="41">
        <f>CK49/'1. Väestöennuste'!R49*1000</f>
        <v>1018.3381873979973</v>
      </c>
      <c r="CT49" s="41"/>
      <c r="CV49" s="41">
        <f t="shared" si="28"/>
        <v>11268.029131308078</v>
      </c>
      <c r="CW49" s="41">
        <f t="shared" si="29"/>
        <v>-7537.6974979795441</v>
      </c>
      <c r="CX49" s="41">
        <f t="shared" si="30"/>
        <v>-1614.2528562049174</v>
      </c>
      <c r="CY49" s="41">
        <f t="shared" si="31"/>
        <v>-70.531616744064536</v>
      </c>
      <c r="CZ49" s="41">
        <f t="shared" si="32"/>
        <v>59.654119293938948</v>
      </c>
      <c r="DA49" s="41">
        <f t="shared" si="33"/>
        <v>50.030765380422054</v>
      </c>
      <c r="DB49" s="41">
        <f t="shared" si="34"/>
        <v>8.2400236679296768</v>
      </c>
      <c r="DC49" s="41">
        <f t="shared" si="35"/>
        <v>95.319118676154289</v>
      </c>
      <c r="DD49" s="41"/>
      <c r="DE49" s="283">
        <f t="shared" si="36"/>
        <v>-9.0838017492868151</v>
      </c>
      <c r="DF49" s="283">
        <f t="shared" si="37"/>
        <v>-0.75169686066459873</v>
      </c>
      <c r="DG49" s="283">
        <f t="shared" si="38"/>
        <v>-0.64832592022645796</v>
      </c>
      <c r="DH49" s="283">
        <f t="shared" si="39"/>
        <v>-8.0549954771497317E-2</v>
      </c>
      <c r="DI49" s="283">
        <f t="shared" si="40"/>
        <v>7.4095829071491093E-2</v>
      </c>
      <c r="DJ49" s="283">
        <f t="shared" si="41"/>
        <v>5.7855871536758072E-2</v>
      </c>
      <c r="DK49" s="283">
        <f t="shared" si="42"/>
        <v>9.0076655258801239E-3</v>
      </c>
      <c r="DL49" s="283">
        <f t="shared" si="43"/>
        <v>0.10326885099800602</v>
      </c>
    </row>
    <row r="50" spans="1:116" x14ac:dyDescent="0.2">
      <c r="A50" s="30">
        <v>109</v>
      </c>
      <c r="B50" s="31" t="s">
        <v>364</v>
      </c>
      <c r="C50" s="65"/>
      <c r="D50" s="65"/>
      <c r="E50" s="65"/>
      <c r="F50" s="65"/>
      <c r="G50" s="65"/>
      <c r="H50" s="65">
        <v>91435</v>
      </c>
      <c r="I50" s="65"/>
      <c r="J50" s="65"/>
      <c r="K50" s="65"/>
      <c r="L50" s="65"/>
      <c r="M50" s="65"/>
      <c r="N50" s="65">
        <v>90782</v>
      </c>
      <c r="O50" s="65"/>
      <c r="P50" s="65"/>
      <c r="Q50" s="65"/>
      <c r="R50" s="65"/>
      <c r="S50" s="65"/>
      <c r="T50" s="65">
        <v>91264</v>
      </c>
      <c r="U50" s="65"/>
      <c r="V50" s="65"/>
      <c r="W50" s="65"/>
      <c r="X50" s="65"/>
      <c r="Y50" s="65"/>
      <c r="Z50" s="65">
        <v>90981</v>
      </c>
      <c r="AA50" s="65"/>
      <c r="AB50" s="66">
        <v>103394.19780948175</v>
      </c>
      <c r="AC50" s="34">
        <v>1445.2747900594891</v>
      </c>
      <c r="AD50" s="180">
        <v>27616.615144259962</v>
      </c>
      <c r="AE50" s="65">
        <v>2600</v>
      </c>
      <c r="AF50" s="34">
        <v>-12145.191999999999</v>
      </c>
      <c r="AG50" s="65">
        <f t="shared" si="22"/>
        <v>122910.89574380119</v>
      </c>
      <c r="AH50" s="65"/>
      <c r="AI50" s="66">
        <v>94215.760497658048</v>
      </c>
      <c r="AJ50" s="34">
        <v>-1121.6039231644454</v>
      </c>
      <c r="AK50" s="181">
        <v>29784.486951715215</v>
      </c>
      <c r="AL50" s="65">
        <v>0</v>
      </c>
      <c r="AM50" s="34">
        <v>-13091.739</v>
      </c>
      <c r="AN50" s="65">
        <f t="shared" si="23"/>
        <v>109786.90452620882</v>
      </c>
      <c r="AO50" s="65"/>
      <c r="AP50" s="41">
        <v>99223.933817556521</v>
      </c>
      <c r="AQ50" s="41">
        <v>-345.62392840985893</v>
      </c>
      <c r="AR50" s="41">
        <v>34196.138761681432</v>
      </c>
      <c r="AS50" s="65">
        <v>0</v>
      </c>
      <c r="AT50" s="34">
        <v>-13699.393</v>
      </c>
      <c r="AU50" s="65">
        <f t="shared" si="24"/>
        <v>119375.0556508281</v>
      </c>
      <c r="AV50" s="65"/>
      <c r="AW50" s="41">
        <v>18185.224274660864</v>
      </c>
      <c r="AX50" s="314"/>
      <c r="AY50" s="314"/>
      <c r="AZ50" s="41">
        <v>10510.009629210039</v>
      </c>
      <c r="BA50" s="65">
        <v>0</v>
      </c>
      <c r="BB50" s="34">
        <v>-14107.355</v>
      </c>
      <c r="BC50" s="65">
        <f t="shared" si="44"/>
        <v>14587.878903870904</v>
      </c>
      <c r="BD50" s="65"/>
      <c r="BE50" s="41">
        <v>17441.67012831238</v>
      </c>
      <c r="BF50" s="314"/>
      <c r="BG50" s="314"/>
      <c r="BH50" s="41">
        <v>10403.021801521907</v>
      </c>
      <c r="BI50" s="65">
        <v>0</v>
      </c>
      <c r="BJ50" s="34">
        <v>-13475.050999999999</v>
      </c>
      <c r="BK50" s="65">
        <f t="shared" si="45"/>
        <v>14369.640929834288</v>
      </c>
      <c r="BL50" s="65"/>
      <c r="BM50" s="41">
        <v>24130.58181689027</v>
      </c>
      <c r="BN50" s="41">
        <v>6235.4438964348637</v>
      </c>
      <c r="BO50" s="65">
        <v>0</v>
      </c>
      <c r="BP50" s="34">
        <v>-13475.050999999999</v>
      </c>
      <c r="BQ50" s="65">
        <f t="shared" si="25"/>
        <v>16890.974713325133</v>
      </c>
      <c r="BR50" s="65"/>
      <c r="BS50" s="41">
        <v>20804.751799875663</v>
      </c>
      <c r="BT50" s="314"/>
      <c r="BU50" s="314"/>
      <c r="BV50" s="41">
        <v>6712.2507222118247</v>
      </c>
      <c r="BW50" s="65">
        <v>0</v>
      </c>
      <c r="BX50" s="34">
        <v>-13475.050999999999</v>
      </c>
      <c r="BY50" s="65">
        <f t="shared" si="46"/>
        <v>14041.951522087489</v>
      </c>
      <c r="CA50" s="5">
        <v>20034.255145210176</v>
      </c>
      <c r="CB50" s="407">
        <v>7275.0754042768831</v>
      </c>
      <c r="CC50" s="415">
        <v>0</v>
      </c>
      <c r="CD50" s="34">
        <v>-13475.050999999999</v>
      </c>
      <c r="CE50" s="65">
        <f t="shared" si="26"/>
        <v>13834.279549487059</v>
      </c>
      <c r="CF50" s="407"/>
      <c r="CG50" s="5">
        <v>23024.288406154341</v>
      </c>
      <c r="CH50" s="407">
        <v>7750.5214892781923</v>
      </c>
      <c r="CI50" s="415">
        <v>0</v>
      </c>
      <c r="CJ50" s="34">
        <v>-13475.050999999999</v>
      </c>
      <c r="CK50" s="65">
        <f t="shared" si="27"/>
        <v>17299.758895432533</v>
      </c>
      <c r="CL50" s="407"/>
      <c r="CM50" s="41">
        <f>AU50/'1. Väestöennuste'!L50*1000</f>
        <v>1754.4061204066268</v>
      </c>
      <c r="CN50" s="41">
        <f>BC50/'1. Väestöennuste'!M50*1000</f>
        <v>213.52594305933786</v>
      </c>
      <c r="CO50" s="41">
        <f>BK50/'1. Väestöennuste'!N50*1000</f>
        <v>211.11644648254298</v>
      </c>
      <c r="CP50" s="41">
        <f>BQ50/'1. Väestöennuste'!O50*1000</f>
        <v>248.06836118850248</v>
      </c>
      <c r="CQ50" s="41">
        <f>BY50/'1. Väestöennuste'!P50*1000</f>
        <v>206.16881061368525</v>
      </c>
      <c r="CR50" s="41">
        <f>CE50/'1. Väestöennuste'!Q50*1000</f>
        <v>203.08689884743185</v>
      </c>
      <c r="CS50" s="41">
        <f>CK50/'1. Väestöennuste'!R50*1000</f>
        <v>253.96378243122382</v>
      </c>
      <c r="CT50" s="41"/>
      <c r="CV50" s="41">
        <f t="shared" si="28"/>
        <v>30774.809895432532</v>
      </c>
      <c r="CW50" s="41">
        <f t="shared" si="29"/>
        <v>-15545.352775025905</v>
      </c>
      <c r="CX50" s="41">
        <f t="shared" si="30"/>
        <v>-1540.880177347289</v>
      </c>
      <c r="CY50" s="41">
        <f t="shared" si="31"/>
        <v>-2.4094965767948793</v>
      </c>
      <c r="CZ50" s="41">
        <f t="shared" si="32"/>
        <v>36.951914705959496</v>
      </c>
      <c r="DA50" s="41">
        <f t="shared" si="33"/>
        <v>-41.899550574817226</v>
      </c>
      <c r="DB50" s="41">
        <f t="shared" si="34"/>
        <v>-3.0819117662533984</v>
      </c>
      <c r="DC50" s="41">
        <f t="shared" si="35"/>
        <v>50.876883583791965</v>
      </c>
      <c r="DD50" s="41"/>
      <c r="DE50" s="283">
        <f t="shared" si="36"/>
        <v>-2.2838362463661572</v>
      </c>
      <c r="DF50" s="283">
        <f t="shared" si="37"/>
        <v>-0.89858782824598649</v>
      </c>
      <c r="DG50" s="283">
        <f t="shared" si="38"/>
        <v>-0.87829161071904616</v>
      </c>
      <c r="DH50" s="283">
        <f t="shared" si="39"/>
        <v>-1.1284327057744414E-2</v>
      </c>
      <c r="DI50" s="283">
        <f t="shared" si="40"/>
        <v>0.17503096192467893</v>
      </c>
      <c r="DJ50" s="283">
        <f t="shared" si="41"/>
        <v>-0.16890324253393421</v>
      </c>
      <c r="DK50" s="283">
        <f t="shared" si="42"/>
        <v>-1.4948486907790428E-2</v>
      </c>
      <c r="DL50" s="283">
        <f t="shared" si="43"/>
        <v>0.25051780234240023</v>
      </c>
    </row>
    <row r="51" spans="1:116" x14ac:dyDescent="0.2">
      <c r="A51" s="30">
        <v>111</v>
      </c>
      <c r="B51" s="31" t="s">
        <v>365</v>
      </c>
      <c r="C51" s="65"/>
      <c r="D51" s="65"/>
      <c r="E51" s="65"/>
      <c r="F51" s="65"/>
      <c r="G51" s="65"/>
      <c r="H51" s="65">
        <v>41022</v>
      </c>
      <c r="I51" s="65"/>
      <c r="J51" s="65"/>
      <c r="K51" s="65"/>
      <c r="L51" s="65"/>
      <c r="M51" s="65"/>
      <c r="N51" s="65">
        <v>42076</v>
      </c>
      <c r="O51" s="65"/>
      <c r="P51" s="65"/>
      <c r="Q51" s="65"/>
      <c r="R51" s="65"/>
      <c r="S51" s="65"/>
      <c r="T51" s="65">
        <v>42965</v>
      </c>
      <c r="U51" s="65"/>
      <c r="V51" s="65"/>
      <c r="W51" s="65"/>
      <c r="X51" s="65"/>
      <c r="Y51" s="65"/>
      <c r="Z51" s="65">
        <v>43449</v>
      </c>
      <c r="AA51" s="65"/>
      <c r="AB51" s="66">
        <v>45231.633368784431</v>
      </c>
      <c r="AC51" s="34">
        <v>348.84030464196223</v>
      </c>
      <c r="AD51" s="180">
        <v>8706.9452636841488</v>
      </c>
      <c r="AE51" s="65">
        <v>0</v>
      </c>
      <c r="AF51" s="34">
        <v>-2273.2159999999999</v>
      </c>
      <c r="AG51" s="65">
        <f t="shared" si="22"/>
        <v>52014.202937110545</v>
      </c>
      <c r="AH51" s="65"/>
      <c r="AI51" s="66">
        <v>42738.810947590937</v>
      </c>
      <c r="AJ51" s="34">
        <v>-271.21518310302076</v>
      </c>
      <c r="AK51" s="181">
        <v>9318.4479738448972</v>
      </c>
      <c r="AL51" s="65">
        <v>0</v>
      </c>
      <c r="AM51" s="34">
        <v>-2696.0369999999998</v>
      </c>
      <c r="AN51" s="65">
        <f t="shared" si="23"/>
        <v>49090.006738332813</v>
      </c>
      <c r="AO51" s="65"/>
      <c r="AP51" s="41">
        <v>46154.666579014935</v>
      </c>
      <c r="AQ51" s="41">
        <v>-83.717534350180046</v>
      </c>
      <c r="AR51" s="41">
        <v>10455.513156465508</v>
      </c>
      <c r="AS51" s="65">
        <v>0</v>
      </c>
      <c r="AT51" s="34">
        <v>-2686.3820000000001</v>
      </c>
      <c r="AU51" s="65">
        <f t="shared" si="24"/>
        <v>53840.080201130266</v>
      </c>
      <c r="AV51" s="65"/>
      <c r="AW51" s="41">
        <v>11468.503781161506</v>
      </c>
      <c r="AX51" s="314"/>
      <c r="AY51" s="314"/>
      <c r="AZ51" s="41">
        <v>3115.9294168748243</v>
      </c>
      <c r="BA51" s="65">
        <v>0</v>
      </c>
      <c r="BB51" s="34">
        <v>-2674.1709999999998</v>
      </c>
      <c r="BC51" s="65">
        <f t="shared" si="44"/>
        <v>11910.262198036329</v>
      </c>
      <c r="BD51" s="65"/>
      <c r="BE51" s="41">
        <v>8858.7715367791425</v>
      </c>
      <c r="BF51" s="314"/>
      <c r="BG51" s="314"/>
      <c r="BH51" s="41">
        <v>3072.8967526258293</v>
      </c>
      <c r="BI51" s="65">
        <v>0</v>
      </c>
      <c r="BJ51" s="34">
        <v>-2654.5230000000001</v>
      </c>
      <c r="BK51" s="65">
        <f t="shared" si="45"/>
        <v>9277.1452894049726</v>
      </c>
      <c r="BL51" s="65"/>
      <c r="BM51" s="41">
        <v>10582.943013281794</v>
      </c>
      <c r="BN51" s="41">
        <v>2080.6265932627603</v>
      </c>
      <c r="BO51" s="65">
        <v>0</v>
      </c>
      <c r="BP51" s="34">
        <v>-2654.5230000000001</v>
      </c>
      <c r="BQ51" s="65">
        <f t="shared" si="25"/>
        <v>10009.046606544554</v>
      </c>
      <c r="BR51" s="65"/>
      <c r="BS51" s="41">
        <v>8685.9312859850252</v>
      </c>
      <c r="BT51" s="314"/>
      <c r="BU51" s="314"/>
      <c r="BV51" s="41">
        <v>2229.344184266839</v>
      </c>
      <c r="BW51" s="65">
        <v>0</v>
      </c>
      <c r="BX51" s="34">
        <v>-2654.5230000000001</v>
      </c>
      <c r="BY51" s="65">
        <f t="shared" si="46"/>
        <v>8260.752470251864</v>
      </c>
      <c r="CA51" s="5">
        <v>7744.2756920222173</v>
      </c>
      <c r="CB51" s="407">
        <v>2387.5624514956003</v>
      </c>
      <c r="CC51" s="415">
        <v>0</v>
      </c>
      <c r="CD51" s="34">
        <v>-2654.5230000000001</v>
      </c>
      <c r="CE51" s="65">
        <f t="shared" si="26"/>
        <v>7477.3151435178179</v>
      </c>
      <c r="CF51" s="407"/>
      <c r="CG51" s="5">
        <v>9402.6796746423825</v>
      </c>
      <c r="CH51" s="407">
        <v>2522.7387896738901</v>
      </c>
      <c r="CI51" s="415">
        <v>0</v>
      </c>
      <c r="CJ51" s="34">
        <v>-2654.5230000000001</v>
      </c>
      <c r="CK51" s="65">
        <f t="shared" si="27"/>
        <v>9270.8954643162724</v>
      </c>
      <c r="CL51" s="407"/>
      <c r="CM51" s="41">
        <f>AU51/'1. Väestöennuste'!L51*1000</f>
        <v>2969.504175231938</v>
      </c>
      <c r="CN51" s="41">
        <f>BC51/'1. Väestöennuste'!M51*1000</f>
        <v>663.41347953190723</v>
      </c>
      <c r="CO51" s="41">
        <f>BK51/'1. Väestöennuste'!N51*1000</f>
        <v>525.76623912751324</v>
      </c>
      <c r="CP51" s="41">
        <f>BQ51/'1. Väestöennuste'!O51*1000</f>
        <v>573.1901618683172</v>
      </c>
      <c r="CQ51" s="41">
        <f>BY51/'1. Väestöennuste'!P51*1000</f>
        <v>477.77631406893374</v>
      </c>
      <c r="CR51" s="41">
        <f>CE51/'1. Väestöennuste'!Q51*1000</f>
        <v>436.58055371739465</v>
      </c>
      <c r="CS51" s="41">
        <f>CK51/'1. Väestöennuste'!R51*1000</f>
        <v>546.37526310209046</v>
      </c>
      <c r="CT51" s="41"/>
      <c r="CV51" s="41">
        <f t="shared" si="28"/>
        <v>11925.418464316273</v>
      </c>
      <c r="CW51" s="41">
        <f t="shared" si="29"/>
        <v>-6301.3912890843349</v>
      </c>
      <c r="CX51" s="41">
        <f t="shared" si="30"/>
        <v>-2306.0906957000307</v>
      </c>
      <c r="CY51" s="41">
        <f t="shared" si="31"/>
        <v>-137.64724040439398</v>
      </c>
      <c r="CZ51" s="41">
        <f t="shared" si="32"/>
        <v>47.42392274080396</v>
      </c>
      <c r="DA51" s="41">
        <f t="shared" si="33"/>
        <v>-95.413847799383461</v>
      </c>
      <c r="DB51" s="41">
        <f t="shared" si="34"/>
        <v>-41.195760351539093</v>
      </c>
      <c r="DC51" s="41">
        <f t="shared" si="35"/>
        <v>109.79470938469581</v>
      </c>
      <c r="DD51" s="41"/>
      <c r="DE51" s="283">
        <f t="shared" si="36"/>
        <v>-4.4924901627585347</v>
      </c>
      <c r="DF51" s="283">
        <f t="shared" si="37"/>
        <v>-0.67969607826325129</v>
      </c>
      <c r="DG51" s="283">
        <f t="shared" si="38"/>
        <v>-0.77659116122303806</v>
      </c>
      <c r="DH51" s="283">
        <f t="shared" si="39"/>
        <v>-0.20748333377476055</v>
      </c>
      <c r="DI51" s="283">
        <f t="shared" si="40"/>
        <v>9.0199634764495232E-2</v>
      </c>
      <c r="DJ51" s="283">
        <f t="shared" si="41"/>
        <v>-0.16646107024653281</v>
      </c>
      <c r="DK51" s="283">
        <f t="shared" si="42"/>
        <v>-8.622394861038539E-2</v>
      </c>
      <c r="DL51" s="283">
        <f t="shared" si="43"/>
        <v>0.25148786048717969</v>
      </c>
    </row>
    <row r="52" spans="1:116" x14ac:dyDescent="0.2">
      <c r="A52" s="30">
        <v>139</v>
      </c>
      <c r="B52" s="31" t="s">
        <v>366</v>
      </c>
      <c r="C52" s="65"/>
      <c r="D52" s="65"/>
      <c r="E52" s="65"/>
      <c r="F52" s="65"/>
      <c r="G52" s="65"/>
      <c r="H52" s="65">
        <v>27663</v>
      </c>
      <c r="I52" s="65"/>
      <c r="J52" s="65"/>
      <c r="K52" s="65"/>
      <c r="L52" s="65"/>
      <c r="M52" s="65"/>
      <c r="N52" s="65">
        <v>27677</v>
      </c>
      <c r="O52" s="65"/>
      <c r="P52" s="65"/>
      <c r="Q52" s="65"/>
      <c r="R52" s="65"/>
      <c r="S52" s="65"/>
      <c r="T52" s="65">
        <v>27439</v>
      </c>
      <c r="U52" s="65"/>
      <c r="V52" s="65"/>
      <c r="W52" s="65"/>
      <c r="X52" s="65"/>
      <c r="Y52" s="65"/>
      <c r="Z52" s="65">
        <v>27652</v>
      </c>
      <c r="AA52" s="65"/>
      <c r="AB52" s="66">
        <v>29038.176838569456</v>
      </c>
      <c r="AC52" s="34">
        <v>161.87840231630713</v>
      </c>
      <c r="AD52" s="180">
        <v>3946.5861752837027</v>
      </c>
      <c r="AE52" s="65">
        <v>700</v>
      </c>
      <c r="AF52" s="34">
        <v>-156.48599999999999</v>
      </c>
      <c r="AG52" s="65">
        <f t="shared" si="22"/>
        <v>33690.155416169466</v>
      </c>
      <c r="AH52" s="65"/>
      <c r="AI52" s="66">
        <v>26701.953657792033</v>
      </c>
      <c r="AJ52" s="34">
        <v>-126.11836876804631</v>
      </c>
      <c r="AK52" s="181">
        <v>4257.4011380256461</v>
      </c>
      <c r="AL52" s="65">
        <v>0</v>
      </c>
      <c r="AM52" s="34">
        <v>-478.83300000000003</v>
      </c>
      <c r="AN52" s="65">
        <f t="shared" si="23"/>
        <v>30354.403427049634</v>
      </c>
      <c r="AO52" s="65"/>
      <c r="AP52" s="41">
        <v>28176.988221674426</v>
      </c>
      <c r="AQ52" s="41">
        <v>-38.852716130262884</v>
      </c>
      <c r="AR52" s="41">
        <v>5043.1398009602062</v>
      </c>
      <c r="AS52" s="65">
        <v>0</v>
      </c>
      <c r="AT52" s="34">
        <v>-64.5</v>
      </c>
      <c r="AU52" s="65">
        <f t="shared" si="24"/>
        <v>33116.775306504373</v>
      </c>
      <c r="AV52" s="65"/>
      <c r="AW52" s="41">
        <v>13026.839612005158</v>
      </c>
      <c r="AX52" s="314"/>
      <c r="AY52" s="314"/>
      <c r="AZ52" s="41">
        <v>1480.8687365664409</v>
      </c>
      <c r="BA52" s="65">
        <v>0</v>
      </c>
      <c r="BB52" s="34">
        <v>83.582999999999998</v>
      </c>
      <c r="BC52" s="65">
        <f t="shared" si="44"/>
        <v>14591.2913485716</v>
      </c>
      <c r="BD52" s="65"/>
      <c r="BE52" s="41">
        <v>11597.979932674778</v>
      </c>
      <c r="BF52" s="314"/>
      <c r="BG52" s="314"/>
      <c r="BH52" s="41">
        <v>1449.1968540822234</v>
      </c>
      <c r="BI52" s="65">
        <v>0</v>
      </c>
      <c r="BJ52" s="34">
        <v>6.4710000000000001</v>
      </c>
      <c r="BK52" s="65">
        <f t="shared" si="45"/>
        <v>13053.647786757001</v>
      </c>
      <c r="BL52" s="65"/>
      <c r="BM52" s="41">
        <v>13100.815529396601</v>
      </c>
      <c r="BN52" s="41">
        <v>801.83740358996204</v>
      </c>
      <c r="BO52" s="65">
        <v>0</v>
      </c>
      <c r="BP52" s="34">
        <v>6.4710000000000001</v>
      </c>
      <c r="BQ52" s="65">
        <f t="shared" si="25"/>
        <v>13909.123932986562</v>
      </c>
      <c r="BR52" s="65"/>
      <c r="BS52" s="41">
        <v>13440.777673295786</v>
      </c>
      <c r="BT52" s="314"/>
      <c r="BU52" s="314"/>
      <c r="BV52" s="41">
        <v>875.16101727633895</v>
      </c>
      <c r="BW52" s="65">
        <v>0</v>
      </c>
      <c r="BX52" s="34">
        <v>6.4710000000000001</v>
      </c>
      <c r="BY52" s="65">
        <f t="shared" si="46"/>
        <v>14322.409690572125</v>
      </c>
      <c r="CA52" s="5">
        <v>13535.668633602292</v>
      </c>
      <c r="CB52" s="407">
        <v>957.2086518226813</v>
      </c>
      <c r="CC52" s="415">
        <v>0</v>
      </c>
      <c r="CD52" s="34">
        <v>6.4710000000000001</v>
      </c>
      <c r="CE52" s="65">
        <f t="shared" si="26"/>
        <v>14499.348285424972</v>
      </c>
      <c r="CF52" s="407"/>
      <c r="CG52" s="5">
        <v>14539.468111939512</v>
      </c>
      <c r="CH52" s="407">
        <v>1027.1682248855982</v>
      </c>
      <c r="CI52" s="415">
        <v>0</v>
      </c>
      <c r="CJ52" s="34">
        <v>6.4710000000000001</v>
      </c>
      <c r="CK52" s="65">
        <f t="shared" si="27"/>
        <v>15573.107336825109</v>
      </c>
      <c r="CL52" s="407"/>
      <c r="CM52" s="41">
        <f>AU52/'1. Väestöennuste'!L52*1000</f>
        <v>3361.0854873139524</v>
      </c>
      <c r="CN52" s="41">
        <f>BC52/'1. Väestöennuste'!M52*1000</f>
        <v>1494.0908610046693</v>
      </c>
      <c r="CO52" s="41">
        <f>BK52/'1. Väestöennuste'!N52*1000</f>
        <v>1347.9603249439283</v>
      </c>
      <c r="CP52" s="41">
        <f>BQ52/'1. Väestöennuste'!O52*1000</f>
        <v>1442.7055215212699</v>
      </c>
      <c r="CQ52" s="41">
        <f>BY52/'1. Väestöennuste'!P52*1000</f>
        <v>1492.3840461156742</v>
      </c>
      <c r="CR52" s="41">
        <f>CE52/'1. Väestöennuste'!Q52*1000</f>
        <v>1518.0974018872339</v>
      </c>
      <c r="CS52" s="41">
        <f>CK52/'1. Väestöennuste'!R52*1000</f>
        <v>1638.0674594325349</v>
      </c>
      <c r="CT52" s="41"/>
      <c r="CV52" s="41">
        <f t="shared" si="28"/>
        <v>15566.63633682511</v>
      </c>
      <c r="CW52" s="41">
        <f t="shared" si="29"/>
        <v>-12212.021849511157</v>
      </c>
      <c r="CX52" s="41">
        <f t="shared" si="30"/>
        <v>-1866.9946263092831</v>
      </c>
      <c r="CY52" s="41">
        <f t="shared" si="31"/>
        <v>-146.13053606074095</v>
      </c>
      <c r="CZ52" s="41">
        <f t="shared" si="32"/>
        <v>94.74519657734163</v>
      </c>
      <c r="DA52" s="41">
        <f t="shared" si="33"/>
        <v>49.67852459440428</v>
      </c>
      <c r="DB52" s="41">
        <f t="shared" si="34"/>
        <v>25.713355771559691</v>
      </c>
      <c r="DC52" s="41">
        <f t="shared" si="35"/>
        <v>119.97005754530096</v>
      </c>
      <c r="DD52" s="41"/>
      <c r="DE52" s="283">
        <f t="shared" si="36"/>
        <v>2405.5998047944845</v>
      </c>
      <c r="DF52" s="283">
        <f t="shared" si="37"/>
        <v>-0.78417374165487663</v>
      </c>
      <c r="DG52" s="283">
        <f t="shared" si="38"/>
        <v>-0.55547371031056758</v>
      </c>
      <c r="DH52" s="283">
        <f t="shared" si="39"/>
        <v>-9.7805655515808873E-2</v>
      </c>
      <c r="DI52" s="283">
        <f t="shared" si="40"/>
        <v>7.0287822886243176E-2</v>
      </c>
      <c r="DJ52" s="283">
        <f t="shared" si="41"/>
        <v>3.443427910501129E-2</v>
      </c>
      <c r="DK52" s="283">
        <f t="shared" si="42"/>
        <v>1.7229717671188947E-2</v>
      </c>
      <c r="DL52" s="283">
        <f t="shared" si="43"/>
        <v>7.902658775132565E-2</v>
      </c>
    </row>
    <row r="53" spans="1:116" x14ac:dyDescent="0.2">
      <c r="A53" s="30">
        <v>140</v>
      </c>
      <c r="B53" s="31" t="s">
        <v>367</v>
      </c>
      <c r="C53" s="65"/>
      <c r="D53" s="65"/>
      <c r="E53" s="65"/>
      <c r="F53" s="65"/>
      <c r="G53" s="65"/>
      <c r="H53" s="65">
        <v>48618</v>
      </c>
      <c r="I53" s="65"/>
      <c r="J53" s="65"/>
      <c r="K53" s="65"/>
      <c r="L53" s="65"/>
      <c r="M53" s="65"/>
      <c r="N53" s="65">
        <v>51456</v>
      </c>
      <c r="O53" s="65"/>
      <c r="P53" s="65"/>
      <c r="Q53" s="65"/>
      <c r="R53" s="65"/>
      <c r="S53" s="65"/>
      <c r="T53" s="65">
        <v>53714</v>
      </c>
      <c r="U53" s="65"/>
      <c r="V53" s="65"/>
      <c r="W53" s="65"/>
      <c r="X53" s="65"/>
      <c r="Y53" s="65"/>
      <c r="Z53" s="65">
        <v>54428</v>
      </c>
      <c r="AA53" s="65"/>
      <c r="AB53" s="66">
        <v>53741.462090471352</v>
      </c>
      <c r="AC53" s="34">
        <v>373.18884708109198</v>
      </c>
      <c r="AD53" s="180">
        <v>10130.46703114899</v>
      </c>
      <c r="AE53" s="65">
        <v>0</v>
      </c>
      <c r="AF53" s="34">
        <v>-1389.634</v>
      </c>
      <c r="AG53" s="65">
        <f t="shared" si="22"/>
        <v>62855.483968701439</v>
      </c>
      <c r="AH53" s="65"/>
      <c r="AI53" s="66">
        <v>52479.391700701621</v>
      </c>
      <c r="AJ53" s="34">
        <v>-289.07591465828295</v>
      </c>
      <c r="AK53" s="181">
        <v>10843.888708900711</v>
      </c>
      <c r="AL53" s="65">
        <v>0</v>
      </c>
      <c r="AM53" s="34">
        <v>-1542.4659999999999</v>
      </c>
      <c r="AN53" s="65">
        <f t="shared" si="23"/>
        <v>61491.738494944046</v>
      </c>
      <c r="AO53" s="65"/>
      <c r="AP53" s="41">
        <v>55047.402838075788</v>
      </c>
      <c r="AQ53" s="41">
        <v>-89.091354215673107</v>
      </c>
      <c r="AR53" s="41">
        <v>12130.862459012986</v>
      </c>
      <c r="AS53" s="65">
        <v>0</v>
      </c>
      <c r="AT53" s="34">
        <v>-1329.951</v>
      </c>
      <c r="AU53" s="65">
        <f t="shared" si="24"/>
        <v>65759.222942873108</v>
      </c>
      <c r="AV53" s="65"/>
      <c r="AW53" s="41">
        <v>21032.754690557707</v>
      </c>
      <c r="AX53" s="314"/>
      <c r="AY53" s="314"/>
      <c r="AZ53" s="41">
        <v>3680.6265974915632</v>
      </c>
      <c r="BA53" s="65">
        <v>0</v>
      </c>
      <c r="BB53" s="34">
        <v>-1388.7070000000001</v>
      </c>
      <c r="BC53" s="65">
        <f t="shared" si="44"/>
        <v>23324.674288049271</v>
      </c>
      <c r="BD53" s="65"/>
      <c r="BE53" s="41">
        <v>19160.490732795472</v>
      </c>
      <c r="BF53" s="314"/>
      <c r="BG53" s="314"/>
      <c r="BH53" s="41">
        <v>3679.4166630643913</v>
      </c>
      <c r="BI53" s="65">
        <v>0</v>
      </c>
      <c r="BJ53" s="34">
        <v>-1342.2739999999999</v>
      </c>
      <c r="BK53" s="65">
        <f t="shared" si="45"/>
        <v>21497.633395859863</v>
      </c>
      <c r="BL53" s="65"/>
      <c r="BM53" s="41">
        <v>21499.427519971243</v>
      </c>
      <c r="BN53" s="41">
        <v>2421.986586235334</v>
      </c>
      <c r="BO53" s="65">
        <v>0</v>
      </c>
      <c r="BP53" s="34">
        <v>-1342.2739999999999</v>
      </c>
      <c r="BQ53" s="65">
        <f t="shared" si="25"/>
        <v>22579.140106206574</v>
      </c>
      <c r="BR53" s="65"/>
      <c r="BS53" s="41">
        <v>21045.249589968684</v>
      </c>
      <c r="BT53" s="314"/>
      <c r="BU53" s="314"/>
      <c r="BV53" s="41">
        <v>2593.5989347958593</v>
      </c>
      <c r="BW53" s="65">
        <v>0</v>
      </c>
      <c r="BX53" s="34">
        <v>-1342.2739999999999</v>
      </c>
      <c r="BY53" s="65">
        <f t="shared" si="46"/>
        <v>22296.574524764543</v>
      </c>
      <c r="CA53" s="5">
        <v>20198.078321852761</v>
      </c>
      <c r="CB53" s="407">
        <v>2774.4014941772971</v>
      </c>
      <c r="CC53" s="415">
        <v>0</v>
      </c>
      <c r="CD53" s="34">
        <v>-1342.2739999999999</v>
      </c>
      <c r="CE53" s="65">
        <f t="shared" si="26"/>
        <v>21630.205816030058</v>
      </c>
      <c r="CF53" s="407"/>
      <c r="CG53" s="5">
        <v>21912.629629739233</v>
      </c>
      <c r="CH53" s="407">
        <v>2928.4567299668724</v>
      </c>
      <c r="CI53" s="415">
        <v>0</v>
      </c>
      <c r="CJ53" s="34">
        <v>-1342.2739999999999</v>
      </c>
      <c r="CK53" s="65">
        <f t="shared" si="27"/>
        <v>23498.812359706102</v>
      </c>
      <c r="CL53" s="407"/>
      <c r="CM53" s="41">
        <f>AU53/'1. Väestöennuste'!L53*1000</f>
        <v>3161.3491150845207</v>
      </c>
      <c r="CN53" s="41">
        <f>BC53/'1. Väestöennuste'!M53*1000</f>
        <v>1131.2772474560711</v>
      </c>
      <c r="CO53" s="41">
        <f>BK53/'1. Väestöennuste'!N53*1000</f>
        <v>1050.8179389901193</v>
      </c>
      <c r="CP53" s="41">
        <f>BQ53/'1. Väestöennuste'!O53*1000</f>
        <v>1112.4921219061182</v>
      </c>
      <c r="CQ53" s="41">
        <f>BY53/'1. Väestöennuste'!P53*1000</f>
        <v>1107.2990924098403</v>
      </c>
      <c r="CR53" s="41">
        <f>CE53/'1. Väestöennuste'!Q53*1000</f>
        <v>1082.75545958002</v>
      </c>
      <c r="CS53" s="41">
        <f>CK53/'1. Väestöennuste'!R53*1000</f>
        <v>1185.5513021394534</v>
      </c>
      <c r="CT53" s="41"/>
      <c r="CV53" s="41">
        <f t="shared" si="28"/>
        <v>24841.086359706103</v>
      </c>
      <c r="CW53" s="41">
        <f t="shared" si="29"/>
        <v>-20337.46324462158</v>
      </c>
      <c r="CX53" s="41">
        <f t="shared" si="30"/>
        <v>-2030.0718676284496</v>
      </c>
      <c r="CY53" s="41">
        <f t="shared" si="31"/>
        <v>-80.459308465951835</v>
      </c>
      <c r="CZ53" s="41">
        <f t="shared" si="32"/>
        <v>61.674182915998927</v>
      </c>
      <c r="DA53" s="41">
        <f t="shared" si="33"/>
        <v>-5.1930294962778589</v>
      </c>
      <c r="DB53" s="41">
        <f t="shared" si="34"/>
        <v>-24.543632829820353</v>
      </c>
      <c r="DC53" s="41">
        <f t="shared" si="35"/>
        <v>102.79584255943337</v>
      </c>
      <c r="DD53" s="41"/>
      <c r="DE53" s="283">
        <f t="shared" si="36"/>
        <v>-18.506717972415547</v>
      </c>
      <c r="DF53" s="283">
        <f t="shared" si="37"/>
        <v>-0.86546770676354046</v>
      </c>
      <c r="DG53" s="283">
        <f t="shared" si="38"/>
        <v>-0.64215364824526011</v>
      </c>
      <c r="DH53" s="283">
        <f t="shared" si="39"/>
        <v>-7.1122537509600334E-2</v>
      </c>
      <c r="DI53" s="283">
        <f t="shared" si="40"/>
        <v>5.8691596924268764E-2</v>
      </c>
      <c r="DJ53" s="283">
        <f t="shared" si="41"/>
        <v>-4.667924737642405E-3</v>
      </c>
      <c r="DK53" s="283">
        <f t="shared" si="42"/>
        <v>-2.2165314681515256E-2</v>
      </c>
      <c r="DL53" s="283">
        <f t="shared" si="43"/>
        <v>9.4939112659201824E-2</v>
      </c>
    </row>
    <row r="54" spans="1:116" x14ac:dyDescent="0.2">
      <c r="A54" s="30">
        <v>142</v>
      </c>
      <c r="B54" s="31" t="s">
        <v>368</v>
      </c>
      <c r="C54" s="65"/>
      <c r="D54" s="65"/>
      <c r="E54" s="65"/>
      <c r="F54" s="65"/>
      <c r="G54" s="65"/>
      <c r="H54" s="65">
        <v>15648</v>
      </c>
      <c r="I54" s="65"/>
      <c r="J54" s="65"/>
      <c r="K54" s="65"/>
      <c r="L54" s="65"/>
      <c r="M54" s="65"/>
      <c r="N54" s="65">
        <v>15180</v>
      </c>
      <c r="O54" s="65"/>
      <c r="P54" s="65"/>
      <c r="Q54" s="65"/>
      <c r="R54" s="65"/>
      <c r="S54" s="65"/>
      <c r="T54" s="65">
        <v>14934</v>
      </c>
      <c r="U54" s="65"/>
      <c r="V54" s="65"/>
      <c r="W54" s="65"/>
      <c r="X54" s="65"/>
      <c r="Y54" s="65"/>
      <c r="Z54" s="65">
        <v>15231</v>
      </c>
      <c r="AA54" s="65"/>
      <c r="AB54" s="66">
        <v>16118.844738687196</v>
      </c>
      <c r="AC54" s="34">
        <v>123.7939969013842</v>
      </c>
      <c r="AD54" s="180">
        <v>3256.7734623739384</v>
      </c>
      <c r="AE54" s="65">
        <v>920</v>
      </c>
      <c r="AF54" s="34">
        <v>-868.60900000000004</v>
      </c>
      <c r="AG54" s="65">
        <f t="shared" si="22"/>
        <v>19550.803197962519</v>
      </c>
      <c r="AH54" s="65"/>
      <c r="AI54" s="66">
        <v>15330.395126217942</v>
      </c>
      <c r="AJ54" s="34">
        <v>-96.229992381699191</v>
      </c>
      <c r="AK54" s="181">
        <v>3491.5186724077867</v>
      </c>
      <c r="AL54" s="65">
        <v>0</v>
      </c>
      <c r="AM54" s="34">
        <v>-911.38800000000003</v>
      </c>
      <c r="AN54" s="65">
        <f t="shared" si="23"/>
        <v>17814.29580624403</v>
      </c>
      <c r="AO54" s="65"/>
      <c r="AP54" s="41">
        <v>15933.190863620614</v>
      </c>
      <c r="AQ54" s="41">
        <v>-29.63346168573711</v>
      </c>
      <c r="AR54" s="41">
        <v>3985.2578415771632</v>
      </c>
      <c r="AS54" s="65">
        <v>0</v>
      </c>
      <c r="AT54" s="34">
        <v>-694.73099999999999</v>
      </c>
      <c r="AU54" s="65">
        <f t="shared" si="24"/>
        <v>19194.084243512039</v>
      </c>
      <c r="AV54" s="65"/>
      <c r="AW54" s="41">
        <v>3455.7004968409478</v>
      </c>
      <c r="AX54" s="314"/>
      <c r="AY54" s="314"/>
      <c r="AZ54" s="41">
        <v>1192.2046543184986</v>
      </c>
      <c r="BA54" s="65">
        <v>0</v>
      </c>
      <c r="BB54" s="34">
        <v>-661.35900000000004</v>
      </c>
      <c r="BC54" s="65">
        <f t="shared" si="44"/>
        <v>3986.5461511594463</v>
      </c>
      <c r="BD54" s="65"/>
      <c r="BE54" s="41">
        <v>3546.997636815664</v>
      </c>
      <c r="BF54" s="314"/>
      <c r="BG54" s="314"/>
      <c r="BH54" s="41">
        <v>1168.9642998406348</v>
      </c>
      <c r="BI54" s="65">
        <v>0</v>
      </c>
      <c r="BJ54" s="34">
        <v>-664.35699999999997</v>
      </c>
      <c r="BK54" s="65">
        <f t="shared" si="45"/>
        <v>4051.6049366562984</v>
      </c>
      <c r="BL54" s="65"/>
      <c r="BM54" s="41">
        <v>4171.2262849275676</v>
      </c>
      <c r="BN54" s="41">
        <v>770.63976247781909</v>
      </c>
      <c r="BO54" s="65">
        <v>0</v>
      </c>
      <c r="BP54" s="34">
        <v>-664.35699999999997</v>
      </c>
      <c r="BQ54" s="65">
        <f t="shared" si="25"/>
        <v>4277.5090474053868</v>
      </c>
      <c r="BR54" s="65"/>
      <c r="BS54" s="41">
        <v>4297.5457040573419</v>
      </c>
      <c r="BT54" s="314"/>
      <c r="BU54" s="314"/>
      <c r="BV54" s="41">
        <v>827.38006944574079</v>
      </c>
      <c r="BW54" s="65">
        <v>0</v>
      </c>
      <c r="BX54" s="34">
        <v>-664.35699999999997</v>
      </c>
      <c r="BY54" s="65">
        <f t="shared" si="46"/>
        <v>4460.5687735030824</v>
      </c>
      <c r="CA54" s="5">
        <v>4101.8718865629116</v>
      </c>
      <c r="CB54" s="407">
        <v>888.8459533399714</v>
      </c>
      <c r="CC54" s="415">
        <v>0</v>
      </c>
      <c r="CD54" s="34">
        <v>-664.35699999999997</v>
      </c>
      <c r="CE54" s="65">
        <f t="shared" si="26"/>
        <v>4326.3608399028835</v>
      </c>
      <c r="CF54" s="407"/>
      <c r="CG54" s="5">
        <v>4901.8057642308486</v>
      </c>
      <c r="CH54" s="407">
        <v>941.77537940219406</v>
      </c>
      <c r="CI54" s="415">
        <v>0</v>
      </c>
      <c r="CJ54" s="34">
        <v>-664.35699999999997</v>
      </c>
      <c r="CK54" s="65">
        <f t="shared" si="27"/>
        <v>5179.2241436330423</v>
      </c>
      <c r="CL54" s="407"/>
      <c r="CM54" s="41">
        <f>AU54/'1. Väestöennuste'!L54*1000</f>
        <v>2951.1199636396123</v>
      </c>
      <c r="CN54" s="41">
        <f>BC54/'1. Väestöennuste'!M54*1000</f>
        <v>618.64465412157767</v>
      </c>
      <c r="CO54" s="41">
        <f>BK54/'1. Väestöennuste'!N54*1000</f>
        <v>632.17427627653274</v>
      </c>
      <c r="CP54" s="41">
        <f>BQ54/'1. Väestöennuste'!O54*1000</f>
        <v>673.09347716843229</v>
      </c>
      <c r="CQ54" s="41">
        <f>BY54/'1. Väestöennuste'!P54*1000</f>
        <v>707.46530904093299</v>
      </c>
      <c r="CR54" s="41">
        <f>CE54/'1. Väestöennuste'!Q54*1000</f>
        <v>691.55384269547369</v>
      </c>
      <c r="CS54" s="41">
        <f>CK54/'1. Väestöennuste'!R54*1000</f>
        <v>834.28223963161122</v>
      </c>
      <c r="CT54" s="41"/>
      <c r="CV54" s="41">
        <f t="shared" si="28"/>
        <v>5843.5811436330423</v>
      </c>
      <c r="CW54" s="41">
        <f t="shared" si="29"/>
        <v>-2228.1041799934301</v>
      </c>
      <c r="CX54" s="41">
        <f t="shared" si="30"/>
        <v>-2332.4753095180345</v>
      </c>
      <c r="CY54" s="41">
        <f t="shared" si="31"/>
        <v>13.529622154955064</v>
      </c>
      <c r="CZ54" s="41">
        <f t="shared" si="32"/>
        <v>40.91920089189955</v>
      </c>
      <c r="DA54" s="41">
        <f t="shared" si="33"/>
        <v>34.371831872500707</v>
      </c>
      <c r="DB54" s="41">
        <f t="shared" si="34"/>
        <v>-15.911466345459303</v>
      </c>
      <c r="DC54" s="41">
        <f t="shared" si="35"/>
        <v>142.72839693613753</v>
      </c>
      <c r="DD54" s="41"/>
      <c r="DE54" s="283">
        <f t="shared" si="36"/>
        <v>-8.7958449201755116</v>
      </c>
      <c r="DF54" s="283">
        <f t="shared" si="37"/>
        <v>-0.43020037716121973</v>
      </c>
      <c r="DG54" s="283">
        <f t="shared" si="38"/>
        <v>-0.7903695336876092</v>
      </c>
      <c r="DH54" s="283">
        <f t="shared" si="39"/>
        <v>2.1869779468418695E-2</v>
      </c>
      <c r="DI54" s="283">
        <f t="shared" si="40"/>
        <v>6.472772212895328E-2</v>
      </c>
      <c r="DJ54" s="283">
        <f t="shared" si="41"/>
        <v>5.1065465701875513E-2</v>
      </c>
      <c r="DK54" s="283">
        <f t="shared" si="42"/>
        <v>-2.2490807877250538E-2</v>
      </c>
      <c r="DL54" s="283">
        <f t="shared" si="43"/>
        <v>0.20638797462222777</v>
      </c>
    </row>
    <row r="55" spans="1:116" x14ac:dyDescent="0.2">
      <c r="A55" s="30">
        <v>143</v>
      </c>
      <c r="B55" s="31" t="s">
        <v>369</v>
      </c>
      <c r="C55" s="65"/>
      <c r="D55" s="65"/>
      <c r="E55" s="65"/>
      <c r="F55" s="65"/>
      <c r="G55" s="65"/>
      <c r="H55" s="65">
        <v>18750</v>
      </c>
      <c r="I55" s="65"/>
      <c r="J55" s="65"/>
      <c r="K55" s="65"/>
      <c r="L55" s="65"/>
      <c r="M55" s="65"/>
      <c r="N55" s="65">
        <v>18067</v>
      </c>
      <c r="O55" s="65"/>
      <c r="P55" s="65"/>
      <c r="Q55" s="65"/>
      <c r="R55" s="65"/>
      <c r="S55" s="65"/>
      <c r="T55" s="65">
        <v>17767</v>
      </c>
      <c r="U55" s="65"/>
      <c r="V55" s="65"/>
      <c r="W55" s="65"/>
      <c r="X55" s="65"/>
      <c r="Y55" s="65"/>
      <c r="Z55" s="65">
        <v>17675</v>
      </c>
      <c r="AA55" s="65"/>
      <c r="AB55" s="66">
        <v>16967.152628468088</v>
      </c>
      <c r="AC55" s="34">
        <v>127.35773509634558</v>
      </c>
      <c r="AD55" s="180">
        <v>3680.2350923219165</v>
      </c>
      <c r="AE55" s="65">
        <v>960</v>
      </c>
      <c r="AF55" s="34">
        <v>-738.16099999999994</v>
      </c>
      <c r="AG55" s="65">
        <f t="shared" si="22"/>
        <v>20996.58445588635</v>
      </c>
      <c r="AH55" s="65"/>
      <c r="AI55" s="66">
        <v>16191.513723247564</v>
      </c>
      <c r="AJ55" s="34">
        <v>-98.650950420760651</v>
      </c>
      <c r="AK55" s="181">
        <v>3928.9589312707312</v>
      </c>
      <c r="AL55" s="65">
        <v>0</v>
      </c>
      <c r="AM55" s="34">
        <v>-852.87699999999995</v>
      </c>
      <c r="AN55" s="65">
        <f t="shared" si="23"/>
        <v>19168.944704097536</v>
      </c>
      <c r="AO55" s="65"/>
      <c r="AP55" s="41">
        <v>17139.110743279896</v>
      </c>
      <c r="AQ55" s="41">
        <v>-30.315182815287653</v>
      </c>
      <c r="AR55" s="41">
        <v>4479.069565221941</v>
      </c>
      <c r="AS55" s="65">
        <v>0</v>
      </c>
      <c r="AT55" s="34">
        <v>-806.13300000000004</v>
      </c>
      <c r="AU55" s="65">
        <f t="shared" si="24"/>
        <v>20781.732125686547</v>
      </c>
      <c r="AV55" s="65"/>
      <c r="AW55" s="41">
        <v>3334.9397804583118</v>
      </c>
      <c r="AX55" s="314"/>
      <c r="AY55" s="314"/>
      <c r="AZ55" s="41">
        <v>1376.6248416008939</v>
      </c>
      <c r="BA55" s="65">
        <v>0</v>
      </c>
      <c r="BB55" s="34">
        <v>-895.83199999999999</v>
      </c>
      <c r="BC55" s="65">
        <f t="shared" si="44"/>
        <v>3815.7326220592063</v>
      </c>
      <c r="BD55" s="65"/>
      <c r="BE55" s="41">
        <v>2522.861564749951</v>
      </c>
      <c r="BF55" s="314"/>
      <c r="BG55" s="314"/>
      <c r="BH55" s="41">
        <v>1354.0202141943184</v>
      </c>
      <c r="BI55" s="65">
        <v>0</v>
      </c>
      <c r="BJ55" s="34">
        <v>-894.19500000000005</v>
      </c>
      <c r="BK55" s="65">
        <f t="shared" si="45"/>
        <v>2982.686778944269</v>
      </c>
      <c r="BL55" s="65"/>
      <c r="BM55" s="41">
        <v>3576.3835873379167</v>
      </c>
      <c r="BN55" s="41">
        <v>911.52394049362704</v>
      </c>
      <c r="BO55" s="65">
        <v>0</v>
      </c>
      <c r="BP55" s="34">
        <v>-894.19500000000005</v>
      </c>
      <c r="BQ55" s="65">
        <f t="shared" si="25"/>
        <v>3593.7125278315439</v>
      </c>
      <c r="BR55" s="65"/>
      <c r="BS55" s="41">
        <v>3336.0266598175003</v>
      </c>
      <c r="BT55" s="314"/>
      <c r="BU55" s="314"/>
      <c r="BV55" s="41">
        <v>979.32613140774254</v>
      </c>
      <c r="BW55" s="65">
        <v>0</v>
      </c>
      <c r="BX55" s="34">
        <v>-894.19500000000005</v>
      </c>
      <c r="BY55" s="65">
        <f t="shared" si="46"/>
        <v>3421.1577912252428</v>
      </c>
      <c r="CA55" s="5">
        <v>3417.0533569866734</v>
      </c>
      <c r="CB55" s="407">
        <v>1048.3871768857055</v>
      </c>
      <c r="CC55" s="415">
        <v>0</v>
      </c>
      <c r="CD55" s="34">
        <v>-894.19500000000005</v>
      </c>
      <c r="CE55" s="65">
        <f t="shared" si="26"/>
        <v>3571.2455338723789</v>
      </c>
      <c r="CF55" s="407"/>
      <c r="CG55" s="5">
        <v>3811.7912548765921</v>
      </c>
      <c r="CH55" s="407">
        <v>1108.9016581452456</v>
      </c>
      <c r="CI55" s="415">
        <v>0</v>
      </c>
      <c r="CJ55" s="34">
        <v>-894.19500000000005</v>
      </c>
      <c r="CK55" s="65">
        <f t="shared" si="27"/>
        <v>4026.4979130218376</v>
      </c>
      <c r="CL55" s="407"/>
      <c r="CM55" s="41">
        <f>AU55/'1. Väestöennuste'!L55*1000</f>
        <v>3054.3404064795041</v>
      </c>
      <c r="CN55" s="41">
        <f>BC55/'1. Väestöennuste'!M55*1000</f>
        <v>557.04125869477457</v>
      </c>
      <c r="CO55" s="41">
        <f>BK55/'1. Väestöennuste'!N55*1000</f>
        <v>449.19981610606465</v>
      </c>
      <c r="CP55" s="41">
        <f>BQ55/'1. Väestöennuste'!O55*1000</f>
        <v>545.32815293346653</v>
      </c>
      <c r="CQ55" s="41">
        <f>BY55/'1. Väestöennuste'!P55*1000</f>
        <v>522.87296213132254</v>
      </c>
      <c r="CR55" s="41">
        <f>CE55/'1. Väestöennuste'!Q55*1000</f>
        <v>549.67608648181908</v>
      </c>
      <c r="CS55" s="41">
        <f>CK55/'1. Väestöennuste'!R55*1000</f>
        <v>623.97302231858635</v>
      </c>
      <c r="CT55" s="41"/>
      <c r="CV55" s="41">
        <f t="shared" si="28"/>
        <v>4920.6929130218377</v>
      </c>
      <c r="CW55" s="41">
        <f t="shared" si="29"/>
        <v>-972.15750654233352</v>
      </c>
      <c r="CX55" s="41">
        <f t="shared" si="30"/>
        <v>-2497.2991477847295</v>
      </c>
      <c r="CY55" s="41">
        <f t="shared" si="31"/>
        <v>-107.84144258870992</v>
      </c>
      <c r="CZ55" s="41">
        <f t="shared" si="32"/>
        <v>96.128336827401881</v>
      </c>
      <c r="DA55" s="41">
        <f t="shared" si="33"/>
        <v>-22.455190802143989</v>
      </c>
      <c r="DB55" s="41">
        <f t="shared" si="34"/>
        <v>26.803124350496546</v>
      </c>
      <c r="DC55" s="41">
        <f t="shared" si="35"/>
        <v>74.296935836767261</v>
      </c>
      <c r="DD55" s="41"/>
      <c r="DE55" s="283">
        <f t="shared" si="36"/>
        <v>-5.5029304715658638</v>
      </c>
      <c r="DF55" s="283">
        <f t="shared" si="37"/>
        <v>-0.24143996285167355</v>
      </c>
      <c r="DG55" s="283">
        <f t="shared" si="38"/>
        <v>-0.81762305946217961</v>
      </c>
      <c r="DH55" s="283">
        <f t="shared" si="39"/>
        <v>-0.19359686720764183</v>
      </c>
      <c r="DI55" s="283">
        <f t="shared" si="40"/>
        <v>0.21399905650162632</v>
      </c>
      <c r="DJ55" s="283">
        <f t="shared" si="41"/>
        <v>-4.1177391413503024E-2</v>
      </c>
      <c r="DK55" s="283">
        <f t="shared" si="42"/>
        <v>5.1261255202874285E-2</v>
      </c>
      <c r="DL55" s="283">
        <f t="shared" si="43"/>
        <v>0.13516494106975252</v>
      </c>
    </row>
    <row r="56" spans="1:116" x14ac:dyDescent="0.2">
      <c r="A56" s="30">
        <v>145</v>
      </c>
      <c r="B56" s="31" t="s">
        <v>370</v>
      </c>
      <c r="C56" s="65"/>
      <c r="D56" s="65"/>
      <c r="E56" s="65"/>
      <c r="F56" s="65"/>
      <c r="G56" s="65"/>
      <c r="H56" s="65">
        <v>28531</v>
      </c>
      <c r="I56" s="65"/>
      <c r="J56" s="65"/>
      <c r="K56" s="65"/>
      <c r="L56" s="65"/>
      <c r="M56" s="65"/>
      <c r="N56" s="65">
        <v>29014</v>
      </c>
      <c r="O56" s="65"/>
      <c r="P56" s="65"/>
      <c r="Q56" s="65"/>
      <c r="R56" s="65"/>
      <c r="S56" s="65"/>
      <c r="T56" s="65">
        <v>28873</v>
      </c>
      <c r="U56" s="65"/>
      <c r="V56" s="65"/>
      <c r="W56" s="65"/>
      <c r="X56" s="65"/>
      <c r="Y56" s="65"/>
      <c r="Z56" s="65">
        <v>29288</v>
      </c>
      <c r="AA56" s="65"/>
      <c r="AB56" s="66">
        <v>29288.165606542967</v>
      </c>
      <c r="AC56" s="34">
        <v>204.88935489088888</v>
      </c>
      <c r="AD56" s="180">
        <v>5712.402461072702</v>
      </c>
      <c r="AE56" s="65">
        <v>0</v>
      </c>
      <c r="AF56" s="34">
        <v>-261.66899999999998</v>
      </c>
      <c r="AG56" s="65">
        <f t="shared" si="22"/>
        <v>34943.788422506557</v>
      </c>
      <c r="AH56" s="65"/>
      <c r="AI56" s="66">
        <v>27365.942419596933</v>
      </c>
      <c r="AJ56" s="34">
        <v>-159.51959801879838</v>
      </c>
      <c r="AK56" s="181">
        <v>6139.9010934496882</v>
      </c>
      <c r="AL56" s="65">
        <v>0</v>
      </c>
      <c r="AM56" s="34">
        <v>-414.065</v>
      </c>
      <c r="AN56" s="65">
        <f t="shared" si="23"/>
        <v>32932.258915027822</v>
      </c>
      <c r="AO56" s="65"/>
      <c r="AP56" s="41">
        <v>28510.910018499195</v>
      </c>
      <c r="AQ56" s="41">
        <v>-49.381626888145576</v>
      </c>
      <c r="AR56" s="41">
        <v>7080.1518902448634</v>
      </c>
      <c r="AS56" s="65">
        <v>0</v>
      </c>
      <c r="AT56" s="34">
        <v>-229.583</v>
      </c>
      <c r="AU56" s="65">
        <f t="shared" si="24"/>
        <v>35312.097281855917</v>
      </c>
      <c r="AV56" s="65"/>
      <c r="AW56" s="41">
        <v>14088.795340985973</v>
      </c>
      <c r="AX56" s="314"/>
      <c r="AY56" s="314"/>
      <c r="AZ56" s="41">
        <v>2214.6168171209665</v>
      </c>
      <c r="BA56" s="65">
        <v>0</v>
      </c>
      <c r="BB56" s="34">
        <v>-426.69099999999997</v>
      </c>
      <c r="BC56" s="65">
        <f t="shared" si="44"/>
        <v>15876.721158106939</v>
      </c>
      <c r="BD56" s="65"/>
      <c r="BE56" s="41">
        <v>12162.631198164403</v>
      </c>
      <c r="BF56" s="314"/>
      <c r="BG56" s="314"/>
      <c r="BH56" s="41">
        <v>2178.8729141736085</v>
      </c>
      <c r="BI56" s="65">
        <v>0</v>
      </c>
      <c r="BJ56" s="34">
        <v>-508.24700000000001</v>
      </c>
      <c r="BK56" s="65">
        <f t="shared" si="45"/>
        <v>13833.257112338011</v>
      </c>
      <c r="BL56" s="65"/>
      <c r="BM56" s="41">
        <v>13789.291977329698</v>
      </c>
      <c r="BN56" s="41">
        <v>1304.5358268687148</v>
      </c>
      <c r="BO56" s="65">
        <v>0</v>
      </c>
      <c r="BP56" s="34">
        <v>-508.24700000000001</v>
      </c>
      <c r="BQ56" s="65">
        <f t="shared" si="25"/>
        <v>14585.580804198413</v>
      </c>
      <c r="BR56" s="65"/>
      <c r="BS56" s="41">
        <v>13886.359638587657</v>
      </c>
      <c r="BT56" s="314"/>
      <c r="BU56" s="314"/>
      <c r="BV56" s="41">
        <v>1405.9898570061996</v>
      </c>
      <c r="BW56" s="65">
        <v>0</v>
      </c>
      <c r="BX56" s="34">
        <v>-508.24700000000001</v>
      </c>
      <c r="BY56" s="65">
        <f t="shared" si="46"/>
        <v>14784.102495593857</v>
      </c>
      <c r="CA56" s="5">
        <v>14083.048425182935</v>
      </c>
      <c r="CB56" s="407">
        <v>1512.5191298265991</v>
      </c>
      <c r="CC56" s="415">
        <v>0</v>
      </c>
      <c r="CD56" s="34">
        <v>-508.24700000000001</v>
      </c>
      <c r="CE56" s="65">
        <f t="shared" si="26"/>
        <v>15087.320555009534</v>
      </c>
      <c r="CF56" s="407"/>
      <c r="CG56" s="5">
        <v>14671.072422080226</v>
      </c>
      <c r="CH56" s="407">
        <v>1602.8824463016174</v>
      </c>
      <c r="CI56" s="415">
        <v>0</v>
      </c>
      <c r="CJ56" s="34">
        <v>-508.24700000000001</v>
      </c>
      <c r="CK56" s="65">
        <f t="shared" si="27"/>
        <v>15765.707868381844</v>
      </c>
      <c r="CL56" s="407"/>
      <c r="CM56" s="41">
        <f>AU56/'1. Väestöennuste'!L56*1000</f>
        <v>2854.886998290558</v>
      </c>
      <c r="CN56" s="41">
        <f>BC56/'1. Väestöennuste'!M56*1000</f>
        <v>1286.2935395047346</v>
      </c>
      <c r="CO56" s="41">
        <f>BK56/'1. Väestöennuste'!N56*1000</f>
        <v>1112.2663916007084</v>
      </c>
      <c r="CP56" s="41">
        <f>BQ56/'1. Väestöennuste'!O56*1000</f>
        <v>1170.9682726556207</v>
      </c>
      <c r="CQ56" s="41">
        <f>BY56/'1. Väestöennuste'!P56*1000</f>
        <v>1185.668657919148</v>
      </c>
      <c r="CR56" s="41">
        <f>CE56/'1. Väestöennuste'!Q56*1000</f>
        <v>1209.2105918898399</v>
      </c>
      <c r="CS56" s="41">
        <f>CK56/'1. Väestöennuste'!R56*1000</f>
        <v>1263.5816196507049</v>
      </c>
      <c r="CT56" s="41"/>
      <c r="CV56" s="41">
        <f t="shared" si="28"/>
        <v>16273.954868381843</v>
      </c>
      <c r="CW56" s="41">
        <f t="shared" si="29"/>
        <v>-12910.820870091286</v>
      </c>
      <c r="CX56" s="41">
        <f t="shared" si="30"/>
        <v>-1568.5934587858235</v>
      </c>
      <c r="CY56" s="41">
        <f t="shared" si="31"/>
        <v>-174.02714790402615</v>
      </c>
      <c r="CZ56" s="41">
        <f t="shared" si="32"/>
        <v>58.701881054912292</v>
      </c>
      <c r="DA56" s="41">
        <f t="shared" si="33"/>
        <v>14.700385263527323</v>
      </c>
      <c r="DB56" s="41">
        <f t="shared" si="34"/>
        <v>23.541933970691844</v>
      </c>
      <c r="DC56" s="41">
        <f t="shared" si="35"/>
        <v>54.37102776086499</v>
      </c>
      <c r="DD56" s="41"/>
      <c r="DE56" s="283">
        <f t="shared" si="36"/>
        <v>-32.019775558698512</v>
      </c>
      <c r="DF56" s="283">
        <f t="shared" si="37"/>
        <v>-0.81891793111199029</v>
      </c>
      <c r="DG56" s="283">
        <f t="shared" si="38"/>
        <v>-0.54944152245782829</v>
      </c>
      <c r="DH56" s="283">
        <f t="shared" si="39"/>
        <v>-0.13529349449351377</v>
      </c>
      <c r="DI56" s="283">
        <f t="shared" si="40"/>
        <v>5.2776818123967582E-2</v>
      </c>
      <c r="DJ56" s="283">
        <f t="shared" si="41"/>
        <v>1.2554042331299505E-2</v>
      </c>
      <c r="DK56" s="283">
        <f t="shared" si="42"/>
        <v>1.9855407169156354E-2</v>
      </c>
      <c r="DL56" s="283">
        <f t="shared" si="43"/>
        <v>4.4964068397623035E-2</v>
      </c>
    </row>
    <row r="57" spans="1:116" x14ac:dyDescent="0.2">
      <c r="A57" s="30">
        <v>146</v>
      </c>
      <c r="B57" s="31" t="s">
        <v>371</v>
      </c>
      <c r="C57" s="65"/>
      <c r="D57" s="65"/>
      <c r="E57" s="65"/>
      <c r="F57" s="65"/>
      <c r="G57" s="65"/>
      <c r="H57" s="65">
        <v>22543</v>
      </c>
      <c r="I57" s="65"/>
      <c r="J57" s="65"/>
      <c r="K57" s="65"/>
      <c r="L57" s="65"/>
      <c r="M57" s="65"/>
      <c r="N57" s="65">
        <v>21915</v>
      </c>
      <c r="O57" s="65"/>
      <c r="P57" s="65"/>
      <c r="Q57" s="65"/>
      <c r="R57" s="65"/>
      <c r="S57" s="65"/>
      <c r="T57" s="65">
        <v>21278</v>
      </c>
      <c r="U57" s="65"/>
      <c r="V57" s="65"/>
      <c r="W57" s="65"/>
      <c r="X57" s="65"/>
      <c r="Y57" s="65"/>
      <c r="Z57" s="65">
        <v>21552</v>
      </c>
      <c r="AA57" s="65"/>
      <c r="AB57" s="66">
        <v>20147.842584457216</v>
      </c>
      <c r="AC57" s="34">
        <v>83.208690635854751</v>
      </c>
      <c r="AD57" s="180">
        <v>2938.7189218635376</v>
      </c>
      <c r="AE57" s="65">
        <v>0</v>
      </c>
      <c r="AF57" s="34">
        <v>-203.60499999999999</v>
      </c>
      <c r="AG57" s="65">
        <f t="shared" si="22"/>
        <v>22966.165196956612</v>
      </c>
      <c r="AH57" s="65"/>
      <c r="AI57" s="66">
        <v>19726.428329874427</v>
      </c>
      <c r="AJ57" s="34">
        <v>-63.091207506536115</v>
      </c>
      <c r="AK57" s="181">
        <v>3108.7644164579551</v>
      </c>
      <c r="AL57" s="65">
        <v>0</v>
      </c>
      <c r="AM57" s="34">
        <v>-231.02600000000001</v>
      </c>
      <c r="AN57" s="65">
        <f t="shared" si="23"/>
        <v>22541.075538825844</v>
      </c>
      <c r="AO57" s="65"/>
      <c r="AP57" s="41">
        <v>20049.251216199762</v>
      </c>
      <c r="AQ57" s="41">
        <v>-19.1463737998874</v>
      </c>
      <c r="AR57" s="41">
        <v>3417.3946402846213</v>
      </c>
      <c r="AS57" s="65">
        <v>0</v>
      </c>
      <c r="AT57" s="34">
        <v>-48.165999999999997</v>
      </c>
      <c r="AU57" s="65">
        <f t="shared" si="24"/>
        <v>23399.333482684498</v>
      </c>
      <c r="AV57" s="65"/>
      <c r="AW57" s="41">
        <v>4219.6736602645624</v>
      </c>
      <c r="AX57" s="314"/>
      <c r="AY57" s="314"/>
      <c r="AZ57" s="41">
        <v>1027.6712188625729</v>
      </c>
      <c r="BA57" s="65">
        <v>0</v>
      </c>
      <c r="BB57" s="34">
        <v>-153.267</v>
      </c>
      <c r="BC57" s="65">
        <f t="shared" si="44"/>
        <v>5094.077879127135</v>
      </c>
      <c r="BD57" s="65"/>
      <c r="BE57" s="41">
        <v>3051.0860533990767</v>
      </c>
      <c r="BF57" s="314"/>
      <c r="BG57" s="314"/>
      <c r="BH57" s="41">
        <v>1026.9587816953795</v>
      </c>
      <c r="BI57" s="65">
        <v>0</v>
      </c>
      <c r="BJ57" s="34">
        <v>-316.09399999999999</v>
      </c>
      <c r="BK57" s="65">
        <f t="shared" si="45"/>
        <v>3761.9508350944561</v>
      </c>
      <c r="BL57" s="65"/>
      <c r="BM57" s="41">
        <v>3713.7214350392692</v>
      </c>
      <c r="BN57" s="41">
        <v>791.63502488199777</v>
      </c>
      <c r="BO57" s="65">
        <v>0</v>
      </c>
      <c r="BP57" s="34">
        <v>-316.09399999999999</v>
      </c>
      <c r="BQ57" s="65">
        <f t="shared" si="25"/>
        <v>4189.2624599212668</v>
      </c>
      <c r="BR57" s="65"/>
      <c r="BS57" s="41">
        <v>3867.1535751731913</v>
      </c>
      <c r="BT57" s="314"/>
      <c r="BU57" s="314"/>
      <c r="BV57" s="41">
        <v>839.44224656759138</v>
      </c>
      <c r="BW57" s="65">
        <v>0</v>
      </c>
      <c r="BX57" s="34">
        <v>-316.09399999999999</v>
      </c>
      <c r="BY57" s="65">
        <f t="shared" si="46"/>
        <v>4390.5018217407824</v>
      </c>
      <c r="CA57" s="5">
        <v>3897.6297827904368</v>
      </c>
      <c r="CB57" s="407">
        <v>887.14191541846117</v>
      </c>
      <c r="CC57" s="415">
        <v>0</v>
      </c>
      <c r="CD57" s="34">
        <v>-316.09399999999999</v>
      </c>
      <c r="CE57" s="65">
        <f t="shared" si="26"/>
        <v>4468.6776982088977</v>
      </c>
      <c r="CF57" s="407"/>
      <c r="CG57" s="5">
        <v>4698.4618438898588</v>
      </c>
      <c r="CH57" s="407">
        <v>929.34749967096911</v>
      </c>
      <c r="CI57" s="415">
        <v>0</v>
      </c>
      <c r="CJ57" s="34">
        <v>-316.09399999999999</v>
      </c>
      <c r="CK57" s="65">
        <f t="shared" si="27"/>
        <v>5311.7153435608279</v>
      </c>
      <c r="CL57" s="407"/>
      <c r="CM57" s="41">
        <f>AU57/'1. Väestöennuste'!L57*1000</f>
        <v>5209.1125295379561</v>
      </c>
      <c r="CN57" s="41">
        <f>BC57/'1. Väestöennuste'!M57*1000</f>
        <v>1156.1683792844156</v>
      </c>
      <c r="CO57" s="41">
        <f>BK57/'1. Väestöennuste'!N57*1000</f>
        <v>864.41884997574812</v>
      </c>
      <c r="CP57" s="41">
        <f>BQ57/'1. Väestöennuste'!O57*1000</f>
        <v>981.09191098858707</v>
      </c>
      <c r="CQ57" s="41">
        <f>BY57/'1. Väestöennuste'!P57*1000</f>
        <v>1047.6024389741785</v>
      </c>
      <c r="CR57" s="41">
        <f>CE57/'1. Väestöennuste'!Q57*1000</f>
        <v>1085.9484078271926</v>
      </c>
      <c r="CS57" s="41">
        <f>CK57/'1. Väestöennuste'!R57*1000</f>
        <v>1314.1304659972359</v>
      </c>
      <c r="CT57" s="41"/>
      <c r="CV57" s="41">
        <f t="shared" si="28"/>
        <v>5627.809343560828</v>
      </c>
      <c r="CW57" s="41">
        <f t="shared" si="29"/>
        <v>-102.60281402287183</v>
      </c>
      <c r="CX57" s="41">
        <f t="shared" si="30"/>
        <v>-4052.9441502535406</v>
      </c>
      <c r="CY57" s="41">
        <f t="shared" si="31"/>
        <v>-291.74952930866743</v>
      </c>
      <c r="CZ57" s="41">
        <f t="shared" si="32"/>
        <v>116.67306101283896</v>
      </c>
      <c r="DA57" s="41">
        <f t="shared" si="33"/>
        <v>66.510527985591466</v>
      </c>
      <c r="DB57" s="41">
        <f t="shared" si="34"/>
        <v>38.345968853014028</v>
      </c>
      <c r="DC57" s="41">
        <f t="shared" si="35"/>
        <v>228.18205817004332</v>
      </c>
      <c r="DD57" s="41"/>
      <c r="DE57" s="283">
        <f t="shared" si="36"/>
        <v>-17.804227044995564</v>
      </c>
      <c r="DF57" s="283">
        <f t="shared" si="37"/>
        <v>-1.9316323896620885E-2</v>
      </c>
      <c r="DG57" s="283">
        <f t="shared" si="38"/>
        <v>-0.7780488763242428</v>
      </c>
      <c r="DH57" s="283">
        <f t="shared" si="39"/>
        <v>-0.25234173026703882</v>
      </c>
      <c r="DI57" s="283">
        <f t="shared" si="40"/>
        <v>0.13497283292250314</v>
      </c>
      <c r="DJ57" s="283">
        <f t="shared" si="41"/>
        <v>6.7792351807867648E-2</v>
      </c>
      <c r="DK57" s="283">
        <f t="shared" si="42"/>
        <v>3.6603550570732481E-2</v>
      </c>
      <c r="DL57" s="283">
        <f t="shared" si="43"/>
        <v>0.21012237462238079</v>
      </c>
    </row>
    <row r="58" spans="1:116" x14ac:dyDescent="0.2">
      <c r="A58" s="30">
        <v>148</v>
      </c>
      <c r="B58" s="31" t="s">
        <v>372</v>
      </c>
      <c r="C58" s="65"/>
      <c r="D58" s="65"/>
      <c r="E58" s="65"/>
      <c r="F58" s="65"/>
      <c r="G58" s="65"/>
      <c r="H58" s="65">
        <v>23792</v>
      </c>
      <c r="I58" s="65"/>
      <c r="J58" s="65"/>
      <c r="K58" s="65"/>
      <c r="L58" s="65"/>
      <c r="M58" s="65"/>
      <c r="N58" s="65">
        <v>23456</v>
      </c>
      <c r="O58" s="65"/>
      <c r="P58" s="65"/>
      <c r="Q58" s="65"/>
      <c r="R58" s="65"/>
      <c r="S58" s="65"/>
      <c r="T58" s="65">
        <v>23428</v>
      </c>
      <c r="U58" s="65"/>
      <c r="V58" s="65"/>
      <c r="W58" s="65"/>
      <c r="X58" s="65"/>
      <c r="Y58" s="65"/>
      <c r="Z58" s="65">
        <v>23367</v>
      </c>
      <c r="AA58" s="65"/>
      <c r="AB58" s="66">
        <v>24416.597030809404</v>
      </c>
      <c r="AC58" s="34">
        <v>140.96464189369226</v>
      </c>
      <c r="AD58" s="180">
        <v>3147.3769648062867</v>
      </c>
      <c r="AE58" s="65">
        <v>0</v>
      </c>
      <c r="AF58" s="34">
        <v>-542.43299999999999</v>
      </c>
      <c r="AG58" s="65">
        <f t="shared" si="22"/>
        <v>27162.505637509385</v>
      </c>
      <c r="AH58" s="65"/>
      <c r="AI58" s="66">
        <v>23673.050022304767</v>
      </c>
      <c r="AJ58" s="34">
        <v>-108.65479264919527</v>
      </c>
      <c r="AK58" s="181">
        <v>3397.0252876317782</v>
      </c>
      <c r="AL58" s="65">
        <v>0</v>
      </c>
      <c r="AM58" s="34">
        <v>-706.58399999999995</v>
      </c>
      <c r="AN58" s="65">
        <f t="shared" si="23"/>
        <v>26254.836517287353</v>
      </c>
      <c r="AO58" s="65"/>
      <c r="AP58" s="41">
        <v>24669.274057985582</v>
      </c>
      <c r="AQ58" s="41">
        <v>-33.153030880107153</v>
      </c>
      <c r="AR58" s="41">
        <v>3848.4786000446284</v>
      </c>
      <c r="AS58" s="65">
        <v>0</v>
      </c>
      <c r="AT58" s="34">
        <v>-678.01499999999999</v>
      </c>
      <c r="AU58" s="65">
        <f t="shared" si="24"/>
        <v>27806.584627150103</v>
      </c>
      <c r="AV58" s="65"/>
      <c r="AW58" s="41">
        <v>9741.9536583450008</v>
      </c>
      <c r="AX58" s="314"/>
      <c r="AY58" s="314"/>
      <c r="AZ58" s="41">
        <v>1158.727000733347</v>
      </c>
      <c r="BA58" s="65">
        <v>0</v>
      </c>
      <c r="BB58" s="34">
        <v>-768.08900000000006</v>
      </c>
      <c r="BC58" s="65">
        <f t="shared" si="44"/>
        <v>10132.591659078347</v>
      </c>
      <c r="BD58" s="65"/>
      <c r="BE58" s="41">
        <v>11046.489307079939</v>
      </c>
      <c r="BF58" s="314"/>
      <c r="BG58" s="314"/>
      <c r="BH58" s="41">
        <v>1162.8940983254092</v>
      </c>
      <c r="BI58" s="65">
        <v>0</v>
      </c>
      <c r="BJ58" s="34">
        <v>-895.55700000000002</v>
      </c>
      <c r="BK58" s="65">
        <f t="shared" si="45"/>
        <v>11313.826405405347</v>
      </c>
      <c r="BL58" s="65"/>
      <c r="BM58" s="41">
        <v>12239.077394231736</v>
      </c>
      <c r="BN58" s="41">
        <v>800.10017062344957</v>
      </c>
      <c r="BO58" s="65">
        <v>0</v>
      </c>
      <c r="BP58" s="34">
        <v>-895.55700000000002</v>
      </c>
      <c r="BQ58" s="65">
        <f t="shared" si="25"/>
        <v>12143.620564855184</v>
      </c>
      <c r="BR58" s="65"/>
      <c r="BS58" s="41">
        <v>11964.521590056078</v>
      </c>
      <c r="BT58" s="314"/>
      <c r="BU58" s="314"/>
      <c r="BV58" s="41">
        <v>850.61440510457135</v>
      </c>
      <c r="BW58" s="65">
        <v>0</v>
      </c>
      <c r="BX58" s="34">
        <v>-895.55700000000002</v>
      </c>
      <c r="BY58" s="65">
        <f t="shared" si="46"/>
        <v>11919.578995160649</v>
      </c>
      <c r="CA58" s="5">
        <v>11892.470308943584</v>
      </c>
      <c r="CB58" s="407">
        <v>904.23457051806133</v>
      </c>
      <c r="CC58" s="415">
        <v>0</v>
      </c>
      <c r="CD58" s="34">
        <v>-895.55700000000002</v>
      </c>
      <c r="CE58" s="65">
        <f t="shared" si="26"/>
        <v>11901.147879461645</v>
      </c>
      <c r="CF58" s="407"/>
      <c r="CG58" s="5">
        <v>12220.960255238313</v>
      </c>
      <c r="CH58" s="407">
        <v>949.37930422270802</v>
      </c>
      <c r="CI58" s="415">
        <v>0</v>
      </c>
      <c r="CJ58" s="34">
        <v>-895.55700000000002</v>
      </c>
      <c r="CK58" s="65">
        <f t="shared" si="27"/>
        <v>12274.78255946102</v>
      </c>
      <c r="CL58" s="407"/>
      <c r="CM58" s="41">
        <f>AU58/'1. Väestöennuste'!L58*1000</f>
        <v>3945.8754969703564</v>
      </c>
      <c r="CN58" s="41">
        <f>BC58/'1. Väestöennuste'!M58*1000</f>
        <v>1421.7190485587691</v>
      </c>
      <c r="CO58" s="41">
        <f>BK58/'1. Väestöennuste'!N58*1000</f>
        <v>1641.5882770466262</v>
      </c>
      <c r="CP58" s="41">
        <f>BQ58/'1. Väestöennuste'!O58*1000</f>
        <v>1759.9450093993021</v>
      </c>
      <c r="CQ58" s="41">
        <f>BY58/'1. Väestöennuste'!P58*1000</f>
        <v>1725.9743694121994</v>
      </c>
      <c r="CR58" s="41">
        <f>CE58/'1. Väestöennuste'!Q58*1000</f>
        <v>1721.5605206801165</v>
      </c>
      <c r="CS58" s="41">
        <f>CK58/'1. Väestöennuste'!R58*1000</f>
        <v>1773.8125085926331</v>
      </c>
      <c r="CT58" s="41"/>
      <c r="CV58" s="41">
        <f t="shared" si="28"/>
        <v>13170.339559461021</v>
      </c>
      <c r="CW58" s="41">
        <f t="shared" si="29"/>
        <v>-8328.9070624906635</v>
      </c>
      <c r="CX58" s="41">
        <f t="shared" si="30"/>
        <v>-2524.156448411587</v>
      </c>
      <c r="CY58" s="41">
        <f t="shared" si="31"/>
        <v>219.86922848785707</v>
      </c>
      <c r="CZ58" s="41">
        <f t="shared" si="32"/>
        <v>118.35673235267586</v>
      </c>
      <c r="DA58" s="41">
        <f t="shared" si="33"/>
        <v>-33.970639987102686</v>
      </c>
      <c r="DB58" s="41">
        <f t="shared" si="34"/>
        <v>-4.4138487320828972</v>
      </c>
      <c r="DC58" s="41">
        <f t="shared" si="35"/>
        <v>52.251987912516597</v>
      </c>
      <c r="DD58" s="41"/>
      <c r="DE58" s="283">
        <f t="shared" si="36"/>
        <v>-14.706310775819988</v>
      </c>
      <c r="DF58" s="283">
        <f t="shared" si="37"/>
        <v>-0.67853805329292793</v>
      </c>
      <c r="DG58" s="283">
        <f t="shared" si="38"/>
        <v>-0.63969490429934617</v>
      </c>
      <c r="DH58" s="283">
        <f t="shared" si="39"/>
        <v>0.15465026561383124</v>
      </c>
      <c r="DI58" s="283">
        <f t="shared" si="40"/>
        <v>7.2098914208629045E-2</v>
      </c>
      <c r="DJ58" s="283">
        <f t="shared" si="41"/>
        <v>-1.9302103080310117E-2</v>
      </c>
      <c r="DK58" s="283">
        <f t="shared" si="42"/>
        <v>-2.5573083878331778E-3</v>
      </c>
      <c r="DL58" s="283">
        <f t="shared" si="43"/>
        <v>3.0351525424080952E-2</v>
      </c>
    </row>
    <row r="59" spans="1:116" x14ac:dyDescent="0.2">
      <c r="A59" s="30">
        <v>149</v>
      </c>
      <c r="B59" s="31" t="s">
        <v>373</v>
      </c>
      <c r="C59" s="65"/>
      <c r="D59" s="65"/>
      <c r="E59" s="65"/>
      <c r="F59" s="65"/>
      <c r="G59" s="65"/>
      <c r="H59" s="65">
        <v>5805</v>
      </c>
      <c r="I59" s="65"/>
      <c r="J59" s="65"/>
      <c r="K59" s="65"/>
      <c r="L59" s="65"/>
      <c r="M59" s="65"/>
      <c r="N59" s="65">
        <v>6118</v>
      </c>
      <c r="O59" s="65"/>
      <c r="P59" s="65"/>
      <c r="Q59" s="65"/>
      <c r="R59" s="65"/>
      <c r="S59" s="65"/>
      <c r="T59" s="65">
        <v>6946</v>
      </c>
      <c r="U59" s="65"/>
      <c r="V59" s="65"/>
      <c r="W59" s="65"/>
      <c r="X59" s="65"/>
      <c r="Y59" s="65"/>
      <c r="Z59" s="65">
        <v>6867</v>
      </c>
      <c r="AA59" s="65"/>
      <c r="AB59" s="66">
        <v>7895.5168093557422</v>
      </c>
      <c r="AC59" s="34">
        <v>128.59786158857784</v>
      </c>
      <c r="AD59" s="180">
        <v>2223.4724742711232</v>
      </c>
      <c r="AE59" s="65">
        <v>0</v>
      </c>
      <c r="AF59" s="34">
        <v>-1064.327</v>
      </c>
      <c r="AG59" s="65">
        <f t="shared" si="22"/>
        <v>9183.2601452154431</v>
      </c>
      <c r="AH59" s="65"/>
      <c r="AI59" s="66">
        <v>6362.552595456531</v>
      </c>
      <c r="AJ59" s="34">
        <v>-100.09243876960657</v>
      </c>
      <c r="AK59" s="181">
        <v>2393.8364630423939</v>
      </c>
      <c r="AL59" s="65">
        <v>0</v>
      </c>
      <c r="AM59" s="34">
        <v>-1048.7539999999999</v>
      </c>
      <c r="AN59" s="65">
        <f t="shared" si="23"/>
        <v>7607.5426197293173</v>
      </c>
      <c r="AO59" s="65"/>
      <c r="AP59" s="41">
        <v>6717.1967093502262</v>
      </c>
      <c r="AQ59" s="41">
        <v>-30.864917794057636</v>
      </c>
      <c r="AR59" s="41">
        <v>2878.3020147324141</v>
      </c>
      <c r="AS59" s="65">
        <v>0</v>
      </c>
      <c r="AT59" s="34">
        <v>-1115.0050000000001</v>
      </c>
      <c r="AU59" s="65">
        <f t="shared" si="24"/>
        <v>8449.6288062885833</v>
      </c>
      <c r="AV59" s="65"/>
      <c r="AW59" s="41">
        <v>2735.4300594518982</v>
      </c>
      <c r="AX59" s="314"/>
      <c r="AY59" s="314"/>
      <c r="AZ59" s="41">
        <v>894.65511603372499</v>
      </c>
      <c r="BA59" s="65">
        <v>0</v>
      </c>
      <c r="BB59" s="34">
        <v>-1284.588</v>
      </c>
      <c r="BC59" s="65">
        <f t="shared" si="44"/>
        <v>2345.4971754856233</v>
      </c>
      <c r="BD59" s="65"/>
      <c r="BE59" s="41">
        <v>2908.6302319231081</v>
      </c>
      <c r="BF59" s="314"/>
      <c r="BG59" s="314"/>
      <c r="BH59" s="41">
        <v>862.43082720374878</v>
      </c>
      <c r="BI59" s="65">
        <v>0</v>
      </c>
      <c r="BJ59" s="34">
        <v>-1401.1559999999999</v>
      </c>
      <c r="BK59" s="65">
        <f t="shared" si="45"/>
        <v>2369.9050591268569</v>
      </c>
      <c r="BL59" s="65"/>
      <c r="BM59" s="41">
        <v>3309.4862560569754</v>
      </c>
      <c r="BN59" s="41">
        <v>558.95515373240175</v>
      </c>
      <c r="BO59" s="65">
        <v>0</v>
      </c>
      <c r="BP59" s="34">
        <v>-1401.1559999999999</v>
      </c>
      <c r="BQ59" s="65">
        <f t="shared" si="25"/>
        <v>2467.2854097893774</v>
      </c>
      <c r="BR59" s="65"/>
      <c r="BS59" s="41">
        <v>2905.7332916692794</v>
      </c>
      <c r="BT59" s="314"/>
      <c r="BU59" s="314"/>
      <c r="BV59" s="41">
        <v>584.75866533288661</v>
      </c>
      <c r="BW59" s="65">
        <v>0</v>
      </c>
      <c r="BX59" s="34">
        <v>-1401.1559999999999</v>
      </c>
      <c r="BY59" s="65">
        <f t="shared" si="46"/>
        <v>2089.3359570021662</v>
      </c>
      <c r="CA59" s="5">
        <v>2887.0192931701176</v>
      </c>
      <c r="CB59" s="407">
        <v>624.54139269089683</v>
      </c>
      <c r="CC59" s="415">
        <v>0</v>
      </c>
      <c r="CD59" s="34">
        <v>-1401.1559999999999</v>
      </c>
      <c r="CE59" s="65">
        <f t="shared" si="26"/>
        <v>2110.4046858610145</v>
      </c>
      <c r="CF59" s="407"/>
      <c r="CG59" s="5">
        <v>2814.0738288472257</v>
      </c>
      <c r="CH59" s="407">
        <v>657.496641949896</v>
      </c>
      <c r="CI59" s="415">
        <v>0</v>
      </c>
      <c r="CJ59" s="34">
        <v>-1401.1559999999999</v>
      </c>
      <c r="CK59" s="65">
        <f t="shared" si="27"/>
        <v>2070.4144707971218</v>
      </c>
      <c r="CL59" s="407"/>
      <c r="CM59" s="41">
        <f>AU59/'1. Väestöennuste'!L59*1000</f>
        <v>1569.3961378693507</v>
      </c>
      <c r="CN59" s="41">
        <f>BC59/'1. Väestöennuste'!M59*1000</f>
        <v>436.04706738903576</v>
      </c>
      <c r="CO59" s="41">
        <f>BK59/'1. Väestöennuste'!N59*1000</f>
        <v>457.15761171428562</v>
      </c>
      <c r="CP59" s="41">
        <f>BQ59/'1. Väestöennuste'!O59*1000</f>
        <v>478.0634392151477</v>
      </c>
      <c r="CQ59" s="41">
        <f>BY59/'1. Väestöennuste'!P59*1000</f>
        <v>406.7229817018038</v>
      </c>
      <c r="CR59" s="41">
        <f>CE59/'1. Väestöennuste'!Q59*1000</f>
        <v>412.51068918315377</v>
      </c>
      <c r="CS59" s="41">
        <f>CK59/'1. Väestöennuste'!R59*1000</f>
        <v>406.2822744892311</v>
      </c>
      <c r="CT59" s="41"/>
      <c r="CV59" s="41">
        <f t="shared" si="28"/>
        <v>3471.5704707971217</v>
      </c>
      <c r="CW59" s="41">
        <f t="shared" si="29"/>
        <v>-501.0183329277711</v>
      </c>
      <c r="CX59" s="41">
        <f t="shared" si="30"/>
        <v>-1133.3490704803148</v>
      </c>
      <c r="CY59" s="41">
        <f t="shared" si="31"/>
        <v>21.110544325249862</v>
      </c>
      <c r="CZ59" s="41">
        <f t="shared" si="32"/>
        <v>20.905827500862074</v>
      </c>
      <c r="DA59" s="41">
        <f t="shared" si="33"/>
        <v>-71.340457513343893</v>
      </c>
      <c r="DB59" s="41">
        <f t="shared" si="34"/>
        <v>5.7877074813499689</v>
      </c>
      <c r="DC59" s="41">
        <f t="shared" si="35"/>
        <v>-6.228414693922673</v>
      </c>
      <c r="DD59" s="41"/>
      <c r="DE59" s="283">
        <f t="shared" si="36"/>
        <v>-2.4776473646026007</v>
      </c>
      <c r="DF59" s="283">
        <f t="shared" si="37"/>
        <v>-0.24198938907863993</v>
      </c>
      <c r="DG59" s="283">
        <f t="shared" si="38"/>
        <v>-0.7221561485546768</v>
      </c>
      <c r="DH59" s="283">
        <f t="shared" si="39"/>
        <v>4.8413453280756268E-2</v>
      </c>
      <c r="DI59" s="283">
        <f t="shared" si="40"/>
        <v>4.5730021693104389E-2</v>
      </c>
      <c r="DJ59" s="283">
        <f t="shared" si="41"/>
        <v>-0.1492280138185548</v>
      </c>
      <c r="DK59" s="283">
        <f t="shared" si="42"/>
        <v>1.423009699902655E-2</v>
      </c>
      <c r="DL59" s="283">
        <f t="shared" si="43"/>
        <v>-1.5098795879098473E-2</v>
      </c>
    </row>
    <row r="60" spans="1:116" x14ac:dyDescent="0.2">
      <c r="A60" s="30">
        <v>151</v>
      </c>
      <c r="B60" s="31" t="s">
        <v>374</v>
      </c>
      <c r="C60" s="65"/>
      <c r="D60" s="65"/>
      <c r="E60" s="65"/>
      <c r="F60" s="65"/>
      <c r="G60" s="65"/>
      <c r="H60" s="65">
        <v>8448</v>
      </c>
      <c r="I60" s="65"/>
      <c r="J60" s="65"/>
      <c r="K60" s="65"/>
      <c r="L60" s="65"/>
      <c r="M60" s="65"/>
      <c r="N60" s="65">
        <v>8317</v>
      </c>
      <c r="O60" s="65"/>
      <c r="P60" s="65"/>
      <c r="Q60" s="65"/>
      <c r="R60" s="65"/>
      <c r="S60" s="65"/>
      <c r="T60" s="65">
        <v>7907</v>
      </c>
      <c r="U60" s="65"/>
      <c r="V60" s="65"/>
      <c r="W60" s="65"/>
      <c r="X60" s="65"/>
      <c r="Y60" s="65"/>
      <c r="Z60" s="65">
        <v>7832</v>
      </c>
      <c r="AA60" s="65"/>
      <c r="AB60" s="66">
        <v>7136.8050144479721</v>
      </c>
      <c r="AC60" s="34">
        <v>30.271456379006054</v>
      </c>
      <c r="AD60" s="180">
        <v>1394.5765312169497</v>
      </c>
      <c r="AE60" s="65">
        <v>0</v>
      </c>
      <c r="AF60" s="34">
        <v>-491.55399999999997</v>
      </c>
      <c r="AG60" s="65">
        <f t="shared" si="22"/>
        <v>8070.0990020439276</v>
      </c>
      <c r="AH60" s="65"/>
      <c r="AI60" s="66">
        <v>6718.240584487251</v>
      </c>
      <c r="AJ60" s="34">
        <v>-23.178913917790297</v>
      </c>
      <c r="AK60" s="181">
        <v>1477.7989866312384</v>
      </c>
      <c r="AL60" s="65">
        <v>0</v>
      </c>
      <c r="AM60" s="34">
        <v>-499.35899999999998</v>
      </c>
      <c r="AN60" s="65">
        <f t="shared" si="23"/>
        <v>7673.5016572006989</v>
      </c>
      <c r="AO60" s="65"/>
      <c r="AP60" s="41">
        <v>7172.4355434993977</v>
      </c>
      <c r="AQ60" s="41">
        <v>-7.0896251897700457</v>
      </c>
      <c r="AR60" s="41">
        <v>1637.2646319156941</v>
      </c>
      <c r="AS60" s="65">
        <v>0</v>
      </c>
      <c r="AT60" s="34">
        <v>-508.90800000000002</v>
      </c>
      <c r="AU60" s="65">
        <f t="shared" si="24"/>
        <v>8293.7025502253218</v>
      </c>
      <c r="AV60" s="65"/>
      <c r="AW60" s="41">
        <v>879.3254716319974</v>
      </c>
      <c r="AX60" s="314"/>
      <c r="AY60" s="314"/>
      <c r="AZ60" s="41">
        <v>502.07284695007178</v>
      </c>
      <c r="BA60" s="65">
        <v>0</v>
      </c>
      <c r="BB60" s="34">
        <v>-518.93299999999999</v>
      </c>
      <c r="BC60" s="65">
        <f t="shared" si="44"/>
        <v>862.46531858206913</v>
      </c>
      <c r="BD60" s="65"/>
      <c r="BE60" s="41">
        <v>457.06766614076298</v>
      </c>
      <c r="BF60" s="314"/>
      <c r="BG60" s="314"/>
      <c r="BH60" s="41">
        <v>499.43698848256423</v>
      </c>
      <c r="BI60" s="65">
        <v>0</v>
      </c>
      <c r="BJ60" s="34">
        <v>-490.04300000000001</v>
      </c>
      <c r="BK60" s="65">
        <f t="shared" si="45"/>
        <v>466.46165462332726</v>
      </c>
      <c r="BL60" s="65"/>
      <c r="BM60" s="41">
        <v>590.1167307935699</v>
      </c>
      <c r="BN60" s="41">
        <v>359.06207716129677</v>
      </c>
      <c r="BO60" s="65">
        <v>0</v>
      </c>
      <c r="BP60" s="34">
        <v>-490.04300000000001</v>
      </c>
      <c r="BQ60" s="65">
        <f t="shared" si="25"/>
        <v>459.13580795486666</v>
      </c>
      <c r="BR60" s="65"/>
      <c r="BS60" s="41">
        <v>482.77007580537412</v>
      </c>
      <c r="BT60" s="314"/>
      <c r="BU60" s="314"/>
      <c r="BV60" s="41">
        <v>381.96965209778671</v>
      </c>
      <c r="BW60" s="65">
        <v>0</v>
      </c>
      <c r="BX60" s="34">
        <v>-490.04300000000001</v>
      </c>
      <c r="BY60" s="65">
        <f t="shared" si="46"/>
        <v>374.69672790316088</v>
      </c>
      <c r="CA60" s="5">
        <v>571.41647859802049</v>
      </c>
      <c r="CB60" s="407">
        <v>404.79030359419579</v>
      </c>
      <c r="CC60" s="415">
        <v>0</v>
      </c>
      <c r="CD60" s="34">
        <v>-490.04300000000001</v>
      </c>
      <c r="CE60" s="65">
        <f t="shared" si="26"/>
        <v>486.16378219221622</v>
      </c>
      <c r="CF60" s="407"/>
      <c r="CG60" s="5">
        <v>681.20288865031182</v>
      </c>
      <c r="CH60" s="407">
        <v>425.40103525421671</v>
      </c>
      <c r="CI60" s="415">
        <v>0</v>
      </c>
      <c r="CJ60" s="34">
        <v>-490.04300000000001</v>
      </c>
      <c r="CK60" s="65">
        <f t="shared" si="27"/>
        <v>616.56092390452852</v>
      </c>
      <c r="CL60" s="407"/>
      <c r="CM60" s="41">
        <f>AU60/'1. Väestöennuste'!L60*1000</f>
        <v>4478.2411178322463</v>
      </c>
      <c r="CN60" s="41">
        <f>BC60/'1. Väestöennuste'!M60*1000</f>
        <v>475.44945897578236</v>
      </c>
      <c r="CO60" s="41">
        <f>BK60/'1. Väestöennuste'!N60*1000</f>
        <v>259.7225248459506</v>
      </c>
      <c r="CP60" s="41">
        <f>BQ60/'1. Väestöennuste'!O60*1000</f>
        <v>259.39876155642185</v>
      </c>
      <c r="CQ60" s="41">
        <f>BY60/'1. Väestöennuste'!P60*1000</f>
        <v>214.72591856914664</v>
      </c>
      <c r="CR60" s="41">
        <f>CE60/'1. Väestöennuste'!Q60*1000</f>
        <v>281.83407663316882</v>
      </c>
      <c r="CS60" s="41">
        <f>CK60/'1. Väestöennuste'!R60*1000</f>
        <v>361.83152811298623</v>
      </c>
      <c r="CT60" s="41"/>
      <c r="CV60" s="41">
        <f t="shared" si="28"/>
        <v>1106.6039239045285</v>
      </c>
      <c r="CW60" s="41">
        <f t="shared" si="29"/>
        <v>3861.6801939277179</v>
      </c>
      <c r="CX60" s="41">
        <f t="shared" si="30"/>
        <v>-4002.791658856464</v>
      </c>
      <c r="CY60" s="41">
        <f t="shared" si="31"/>
        <v>-215.72693412983176</v>
      </c>
      <c r="CZ60" s="41">
        <f t="shared" si="32"/>
        <v>-0.3237632895287561</v>
      </c>
      <c r="DA60" s="41">
        <f t="shared" si="33"/>
        <v>-44.672842987275203</v>
      </c>
      <c r="DB60" s="41">
        <f t="shared" si="34"/>
        <v>67.108158064022177</v>
      </c>
      <c r="DC60" s="41">
        <f t="shared" si="35"/>
        <v>79.997451479817414</v>
      </c>
      <c r="DD60" s="41"/>
      <c r="DE60" s="283">
        <f t="shared" si="36"/>
        <v>-2.2581771883376121</v>
      </c>
      <c r="DF60" s="283">
        <f t="shared" si="37"/>
        <v>6.2632580888724636</v>
      </c>
      <c r="DG60" s="283">
        <f t="shared" si="38"/>
        <v>-0.89383120594320964</v>
      </c>
      <c r="DH60" s="283">
        <f t="shared" si="39"/>
        <v>-0.45373263142322789</v>
      </c>
      <c r="DI60" s="283">
        <f t="shared" si="40"/>
        <v>-1.2465737799245177E-3</v>
      </c>
      <c r="DJ60" s="283">
        <f t="shared" si="41"/>
        <v>-0.17221687073304862</v>
      </c>
      <c r="DK60" s="283">
        <f t="shared" si="42"/>
        <v>0.31252937936512692</v>
      </c>
      <c r="DL60" s="283">
        <f t="shared" si="43"/>
        <v>0.283845915424702</v>
      </c>
    </row>
    <row r="61" spans="1:116" x14ac:dyDescent="0.2">
      <c r="A61" s="30">
        <v>152</v>
      </c>
      <c r="B61" s="31" t="s">
        <v>375</v>
      </c>
      <c r="C61" s="65"/>
      <c r="D61" s="65"/>
      <c r="E61" s="65"/>
      <c r="F61" s="65"/>
      <c r="G61" s="65"/>
      <c r="H61" s="65">
        <v>12958</v>
      </c>
      <c r="I61" s="65"/>
      <c r="J61" s="65"/>
      <c r="K61" s="65"/>
      <c r="L61" s="65"/>
      <c r="M61" s="65"/>
      <c r="N61" s="65">
        <v>13132</v>
      </c>
      <c r="O61" s="65"/>
      <c r="P61" s="65"/>
      <c r="Q61" s="65"/>
      <c r="R61" s="65"/>
      <c r="S61" s="65"/>
      <c r="T61" s="65">
        <v>12925</v>
      </c>
      <c r="U61" s="65"/>
      <c r="V61" s="65"/>
      <c r="W61" s="65"/>
      <c r="X61" s="65"/>
      <c r="Y61" s="65"/>
      <c r="Z61" s="65">
        <v>13158</v>
      </c>
      <c r="AA61" s="65"/>
      <c r="AB61" s="66">
        <v>12455.855482555933</v>
      </c>
      <c r="AC61" s="34">
        <v>73.86397888048657</v>
      </c>
      <c r="AD61" s="180">
        <v>2526.8723044801541</v>
      </c>
      <c r="AE61" s="65">
        <v>0</v>
      </c>
      <c r="AF61" s="34">
        <v>-158.202</v>
      </c>
      <c r="AG61" s="65">
        <f t="shared" si="22"/>
        <v>14898.389765916574</v>
      </c>
      <c r="AH61" s="65"/>
      <c r="AI61" s="66">
        <v>11954.254023265103</v>
      </c>
      <c r="AJ61" s="34">
        <v>-57.476685378846597</v>
      </c>
      <c r="AK61" s="181">
        <v>2695.8633451260876</v>
      </c>
      <c r="AL61" s="65">
        <v>0</v>
      </c>
      <c r="AM61" s="34">
        <v>-112.38200000000001</v>
      </c>
      <c r="AN61" s="65">
        <f t="shared" si="23"/>
        <v>14480.258683012346</v>
      </c>
      <c r="AO61" s="65"/>
      <c r="AP61" s="41">
        <v>11833.585934226499</v>
      </c>
      <c r="AQ61" s="41">
        <v>-17.790975416456249</v>
      </c>
      <c r="AR61" s="41">
        <v>3087.1648931737309</v>
      </c>
      <c r="AS61" s="65">
        <v>0</v>
      </c>
      <c r="AT61" s="34">
        <v>83.200999999999993</v>
      </c>
      <c r="AU61" s="65">
        <f t="shared" si="24"/>
        <v>14986.160851983774</v>
      </c>
      <c r="AV61" s="65"/>
      <c r="AW61" s="41">
        <v>3777.5064357130982</v>
      </c>
      <c r="AX61" s="314"/>
      <c r="AY61" s="314"/>
      <c r="AZ61" s="41">
        <v>939.65642120935968</v>
      </c>
      <c r="BA61" s="65">
        <v>0</v>
      </c>
      <c r="BB61" s="34">
        <v>-1.8959999999999999</v>
      </c>
      <c r="BC61" s="65">
        <f t="shared" si="44"/>
        <v>4715.2668569224579</v>
      </c>
      <c r="BD61" s="65"/>
      <c r="BE61" s="41">
        <v>3077.2348954330737</v>
      </c>
      <c r="BF61" s="314"/>
      <c r="BG61" s="314"/>
      <c r="BH61" s="41">
        <v>927.63650071073948</v>
      </c>
      <c r="BI61" s="65">
        <v>0</v>
      </c>
      <c r="BJ61" s="34">
        <v>-49.179000000000002</v>
      </c>
      <c r="BK61" s="65">
        <f t="shared" si="45"/>
        <v>3955.6923961438133</v>
      </c>
      <c r="BL61" s="65"/>
      <c r="BM61" s="41">
        <v>3549.4833501640878</v>
      </c>
      <c r="BN61" s="41">
        <v>595.18804350380503</v>
      </c>
      <c r="BO61" s="65">
        <v>0</v>
      </c>
      <c r="BP61" s="34">
        <v>-49.179000000000002</v>
      </c>
      <c r="BQ61" s="65">
        <f t="shared" si="25"/>
        <v>4095.4923936678924</v>
      </c>
      <c r="BR61" s="65"/>
      <c r="BS61" s="41">
        <v>3257.4895055062966</v>
      </c>
      <c r="BT61" s="314"/>
      <c r="BU61" s="314"/>
      <c r="BV61" s="41">
        <v>636.68432623311537</v>
      </c>
      <c r="BW61" s="65">
        <v>0</v>
      </c>
      <c r="BX61" s="34">
        <v>-49.179000000000002</v>
      </c>
      <c r="BY61" s="65">
        <f t="shared" si="46"/>
        <v>3844.9948317394119</v>
      </c>
      <c r="CA61" s="5">
        <v>3365.1091215710603</v>
      </c>
      <c r="CB61" s="407">
        <v>679.67551741262105</v>
      </c>
      <c r="CC61" s="415">
        <v>0</v>
      </c>
      <c r="CD61" s="34">
        <v>-49.179000000000002</v>
      </c>
      <c r="CE61" s="65">
        <f t="shared" si="26"/>
        <v>3995.6056389836813</v>
      </c>
      <c r="CF61" s="407"/>
      <c r="CG61" s="5">
        <v>3822.1543590508118</v>
      </c>
      <c r="CH61" s="407">
        <v>717.41472302864327</v>
      </c>
      <c r="CI61" s="415">
        <v>0</v>
      </c>
      <c r="CJ61" s="34">
        <v>-49.179000000000002</v>
      </c>
      <c r="CK61" s="65">
        <f t="shared" si="27"/>
        <v>4490.3900820794552</v>
      </c>
      <c r="CL61" s="407"/>
      <c r="CM61" s="41">
        <f>AU61/'1. Väestöennuste'!L61*1000</f>
        <v>3401.30750158506</v>
      </c>
      <c r="CN61" s="41">
        <f>BC61/'1. Väestöennuste'!M61*1000</f>
        <v>1082.227876273229</v>
      </c>
      <c r="CO61" s="41">
        <f>BK61/'1. Väestöennuste'!N61*1000</f>
        <v>927.04298011338494</v>
      </c>
      <c r="CP61" s="41">
        <f>BQ61/'1. Väestöennuste'!O61*1000</f>
        <v>970.49582788338682</v>
      </c>
      <c r="CQ61" s="41">
        <f>BY61/'1. Väestöennuste'!P61*1000</f>
        <v>921.17748723991656</v>
      </c>
      <c r="CR61" s="41">
        <f>CE61/'1. Väestöennuste'!Q61*1000</f>
        <v>968.16225805274564</v>
      </c>
      <c r="CS61" s="41">
        <f>CK61/'1. Väestöennuste'!R61*1000</f>
        <v>1098.9696725598274</v>
      </c>
      <c r="CT61" s="41"/>
      <c r="CV61" s="41">
        <f t="shared" si="28"/>
        <v>4539.5690820794553</v>
      </c>
      <c r="CW61" s="41">
        <f t="shared" si="29"/>
        <v>-1089.0825804943952</v>
      </c>
      <c r="CX61" s="41">
        <f t="shared" si="30"/>
        <v>-2319.079625311831</v>
      </c>
      <c r="CY61" s="41">
        <f t="shared" si="31"/>
        <v>-155.18489615984402</v>
      </c>
      <c r="CZ61" s="41">
        <f t="shared" si="32"/>
        <v>43.452847770001881</v>
      </c>
      <c r="DA61" s="41">
        <f t="shared" si="33"/>
        <v>-49.318340643470265</v>
      </c>
      <c r="DB61" s="41">
        <f t="shared" si="34"/>
        <v>46.984770812829083</v>
      </c>
      <c r="DC61" s="41">
        <f t="shared" si="35"/>
        <v>130.80741450708172</v>
      </c>
      <c r="DD61" s="41"/>
      <c r="DE61" s="283">
        <f t="shared" si="36"/>
        <v>-92.307063626333502</v>
      </c>
      <c r="DF61" s="283">
        <f t="shared" si="37"/>
        <v>-0.24253629653262815</v>
      </c>
      <c r="DG61" s="283">
        <f t="shared" si="38"/>
        <v>-0.68182004250750783</v>
      </c>
      <c r="DH61" s="283">
        <f t="shared" si="39"/>
        <v>-0.14339391875049487</v>
      </c>
      <c r="DI61" s="283">
        <f t="shared" si="40"/>
        <v>4.6872527705983213E-2</v>
      </c>
      <c r="DJ61" s="283">
        <f t="shared" si="41"/>
        <v>-5.0817674045061711E-2</v>
      </c>
      <c r="DK61" s="283">
        <f t="shared" si="42"/>
        <v>5.1005122751759252E-2</v>
      </c>
      <c r="DL61" s="283">
        <f t="shared" si="43"/>
        <v>0.13510897932560734</v>
      </c>
    </row>
    <row r="62" spans="1:116" x14ac:dyDescent="0.2">
      <c r="A62" s="30">
        <v>153</v>
      </c>
      <c r="B62" s="31" t="s">
        <v>376</v>
      </c>
      <c r="C62" s="65"/>
      <c r="D62" s="65"/>
      <c r="E62" s="65"/>
      <c r="F62" s="65"/>
      <c r="G62" s="65"/>
      <c r="H62" s="65">
        <v>53738</v>
      </c>
      <c r="I62" s="65"/>
      <c r="J62" s="65"/>
      <c r="K62" s="65"/>
      <c r="L62" s="65"/>
      <c r="M62" s="65"/>
      <c r="N62" s="65">
        <v>55631</v>
      </c>
      <c r="O62" s="65"/>
      <c r="P62" s="65"/>
      <c r="Q62" s="65"/>
      <c r="R62" s="65"/>
      <c r="S62" s="65"/>
      <c r="T62" s="65">
        <v>56039</v>
      </c>
      <c r="U62" s="65"/>
      <c r="V62" s="65"/>
      <c r="W62" s="65"/>
      <c r="X62" s="65"/>
      <c r="Y62" s="65"/>
      <c r="Z62" s="65">
        <v>56103</v>
      </c>
      <c r="AA62" s="65"/>
      <c r="AB62" s="66">
        <v>57864.382607441439</v>
      </c>
      <c r="AC62" s="34">
        <v>533.14008591187837</v>
      </c>
      <c r="AD62" s="180">
        <v>10738.258048470972</v>
      </c>
      <c r="AE62" s="65">
        <v>1600</v>
      </c>
      <c r="AF62" s="34">
        <v>-1519.499</v>
      </c>
      <c r="AG62" s="65">
        <f t="shared" si="22"/>
        <v>69216.281741824292</v>
      </c>
      <c r="AH62" s="65"/>
      <c r="AI62" s="66">
        <v>57309.670179881163</v>
      </c>
      <c r="AJ62" s="34">
        <v>-416.06640729021382</v>
      </c>
      <c r="AK62" s="181">
        <v>11519.138009412034</v>
      </c>
      <c r="AL62" s="65">
        <v>0</v>
      </c>
      <c r="AM62" s="34">
        <v>-1504.9159999999999</v>
      </c>
      <c r="AN62" s="65">
        <f t="shared" si="23"/>
        <v>66907.825782002983</v>
      </c>
      <c r="AO62" s="65"/>
      <c r="AP62" s="41">
        <v>59805.31843215572</v>
      </c>
      <c r="AQ62" s="41">
        <v>-128.51198033726794</v>
      </c>
      <c r="AR62" s="41">
        <v>12887.292564806219</v>
      </c>
      <c r="AS62" s="65">
        <v>0</v>
      </c>
      <c r="AT62" s="34">
        <v>-1173.3530000000001</v>
      </c>
      <c r="AU62" s="65">
        <f t="shared" si="24"/>
        <v>71390.746016624675</v>
      </c>
      <c r="AV62" s="65"/>
      <c r="AW62" s="41">
        <v>21190.129705454445</v>
      </c>
      <c r="AX62" s="314"/>
      <c r="AY62" s="314"/>
      <c r="AZ62" s="41">
        <v>3918.2253298471765</v>
      </c>
      <c r="BA62" s="65">
        <v>0</v>
      </c>
      <c r="BB62" s="34">
        <v>-1241.6869999999999</v>
      </c>
      <c r="BC62" s="65">
        <f t="shared" si="44"/>
        <v>23866.66803530162</v>
      </c>
      <c r="BD62" s="65"/>
      <c r="BE62" s="41">
        <v>14510.72228114163</v>
      </c>
      <c r="BF62" s="314"/>
      <c r="BG62" s="314"/>
      <c r="BH62" s="41">
        <v>3865.9572442810277</v>
      </c>
      <c r="BI62" s="65">
        <v>0</v>
      </c>
      <c r="BJ62" s="34">
        <v>-706.00800000000004</v>
      </c>
      <c r="BK62" s="65">
        <f t="shared" si="45"/>
        <v>17670.671525422658</v>
      </c>
      <c r="BL62" s="65"/>
      <c r="BM62" s="41">
        <v>18608.372951210767</v>
      </c>
      <c r="BN62" s="41">
        <v>2367.3191500618559</v>
      </c>
      <c r="BO62" s="65">
        <v>0</v>
      </c>
      <c r="BP62" s="34">
        <v>-706.00800000000004</v>
      </c>
      <c r="BQ62" s="65">
        <f t="shared" si="25"/>
        <v>20269.684101272622</v>
      </c>
      <c r="BR62" s="65"/>
      <c r="BS62" s="41">
        <v>17804.830879958688</v>
      </c>
      <c r="BT62" s="314"/>
      <c r="BU62" s="314"/>
      <c r="BV62" s="41">
        <v>2554.9085454765991</v>
      </c>
      <c r="BW62" s="65">
        <v>0</v>
      </c>
      <c r="BX62" s="34">
        <v>-706.00800000000004</v>
      </c>
      <c r="BY62" s="65">
        <f t="shared" si="46"/>
        <v>19653.731425435286</v>
      </c>
      <c r="CA62" s="5">
        <v>17262.078241718445</v>
      </c>
      <c r="CB62" s="407">
        <v>2750.9353470724964</v>
      </c>
      <c r="CC62" s="415">
        <v>0</v>
      </c>
      <c r="CD62" s="34">
        <v>-706.00800000000004</v>
      </c>
      <c r="CE62" s="65">
        <f t="shared" si="26"/>
        <v>19307.00558879094</v>
      </c>
      <c r="CF62" s="407"/>
      <c r="CG62" s="5">
        <v>20041.504842301532</v>
      </c>
      <c r="CH62" s="407">
        <v>2912.1791291276763</v>
      </c>
      <c r="CI62" s="415">
        <v>0</v>
      </c>
      <c r="CJ62" s="34">
        <v>-706.00800000000004</v>
      </c>
      <c r="CK62" s="65">
        <f t="shared" si="27"/>
        <v>22247.675971429206</v>
      </c>
      <c r="CL62" s="407"/>
      <c r="CM62" s="41">
        <f>AU62/'1. Väestöennuste'!L62*1000</f>
        <v>2832.0670428683225</v>
      </c>
      <c r="CN62" s="41">
        <f>BC62/'1. Väestöennuste'!M62*1000</f>
        <v>957.76989587469882</v>
      </c>
      <c r="CO62" s="41">
        <f>BK62/'1. Väestöennuste'!N62*1000</f>
        <v>714.89082957450682</v>
      </c>
      <c r="CP62" s="41">
        <f>BQ62/'1. Väestöennuste'!O62*1000</f>
        <v>830.96314931630479</v>
      </c>
      <c r="CQ62" s="41">
        <f>BY62/'1. Väestöennuste'!P62*1000</f>
        <v>816.28655669042178</v>
      </c>
      <c r="CR62" s="41">
        <f>CE62/'1. Väestöennuste'!Q62*1000</f>
        <v>812.07173875040758</v>
      </c>
      <c r="CS62" s="41">
        <f>CK62/'1. Väestöennuste'!R62*1000</f>
        <v>947.07232435525123</v>
      </c>
      <c r="CT62" s="41"/>
      <c r="CV62" s="41">
        <f t="shared" si="28"/>
        <v>22953.683971429207</v>
      </c>
      <c r="CW62" s="41">
        <f t="shared" si="29"/>
        <v>-19415.608928560883</v>
      </c>
      <c r="CX62" s="41">
        <f t="shared" si="30"/>
        <v>-1874.2971469936238</v>
      </c>
      <c r="CY62" s="41">
        <f t="shared" si="31"/>
        <v>-242.87906630019199</v>
      </c>
      <c r="CZ62" s="41">
        <f t="shared" si="32"/>
        <v>116.07231974179797</v>
      </c>
      <c r="DA62" s="41">
        <f t="shared" si="33"/>
        <v>-14.676592625883018</v>
      </c>
      <c r="DB62" s="41">
        <f t="shared" si="34"/>
        <v>-4.2148179400141998</v>
      </c>
      <c r="DC62" s="41">
        <f t="shared" si="35"/>
        <v>135.00058560484365</v>
      </c>
      <c r="DD62" s="41"/>
      <c r="DE62" s="283">
        <f t="shared" si="36"/>
        <v>-32.511931835657961</v>
      </c>
      <c r="DF62" s="283">
        <f t="shared" si="37"/>
        <v>-0.87270279167562015</v>
      </c>
      <c r="DG62" s="283">
        <f t="shared" si="38"/>
        <v>-0.6618124213243668</v>
      </c>
      <c r="DH62" s="283">
        <f t="shared" si="39"/>
        <v>-0.25358811896920058</v>
      </c>
      <c r="DI62" s="283">
        <f t="shared" si="40"/>
        <v>0.16236369937894241</v>
      </c>
      <c r="DJ62" s="283">
        <f t="shared" si="41"/>
        <v>-1.7662146195000998E-2</v>
      </c>
      <c r="DK62" s="283">
        <f t="shared" si="42"/>
        <v>-5.1634048184045715E-3</v>
      </c>
      <c r="DL62" s="283">
        <f t="shared" si="43"/>
        <v>0.16624219162284681</v>
      </c>
    </row>
    <row r="63" spans="1:116" x14ac:dyDescent="0.2">
      <c r="A63" s="30">
        <v>165</v>
      </c>
      <c r="B63" s="31" t="s">
        <v>377</v>
      </c>
      <c r="C63" s="65"/>
      <c r="D63" s="65"/>
      <c r="E63" s="65"/>
      <c r="F63" s="65"/>
      <c r="G63" s="65"/>
      <c r="H63" s="65">
        <v>24760</v>
      </c>
      <c r="I63" s="65"/>
      <c r="J63" s="65"/>
      <c r="K63" s="65"/>
      <c r="L63" s="65"/>
      <c r="M63" s="65"/>
      <c r="N63" s="65">
        <v>24227</v>
      </c>
      <c r="O63" s="65"/>
      <c r="P63" s="65"/>
      <c r="Q63" s="65"/>
      <c r="R63" s="65"/>
      <c r="S63" s="65"/>
      <c r="T63" s="65">
        <v>23120</v>
      </c>
      <c r="U63" s="65"/>
      <c r="V63" s="65"/>
      <c r="W63" s="65"/>
      <c r="X63" s="65"/>
      <c r="Y63" s="65"/>
      <c r="Z63" s="65">
        <v>24290</v>
      </c>
      <c r="AA63" s="65"/>
      <c r="AB63" s="66">
        <v>27069.907896567001</v>
      </c>
      <c r="AC63" s="34">
        <v>322.24521753980855</v>
      </c>
      <c r="AD63" s="180">
        <v>6579.0656792007994</v>
      </c>
      <c r="AE63" s="65">
        <v>0</v>
      </c>
      <c r="AF63" s="34">
        <v>-2294.8760000000002</v>
      </c>
      <c r="AG63" s="65">
        <f t="shared" si="22"/>
        <v>31676.342793307613</v>
      </c>
      <c r="AH63" s="65"/>
      <c r="AI63" s="66">
        <v>23923.777822458582</v>
      </c>
      <c r="AJ63" s="34">
        <v>-251.04421693717973</v>
      </c>
      <c r="AK63" s="181">
        <v>7092.3736346101959</v>
      </c>
      <c r="AL63" s="65">
        <v>0</v>
      </c>
      <c r="AM63" s="34">
        <v>-2232.9520000000002</v>
      </c>
      <c r="AN63" s="65">
        <f t="shared" si="23"/>
        <v>28532.155240131597</v>
      </c>
      <c r="AO63" s="65"/>
      <c r="AP63" s="41">
        <v>25140.761042079183</v>
      </c>
      <c r="AQ63" s="41">
        <v>-77.792072338844477</v>
      </c>
      <c r="AR63" s="41">
        <v>8352.0281662999387</v>
      </c>
      <c r="AS63" s="65">
        <v>0</v>
      </c>
      <c r="AT63" s="34">
        <v>-2047.241</v>
      </c>
      <c r="AU63" s="65">
        <f t="shared" si="24"/>
        <v>31367.756136040276</v>
      </c>
      <c r="AV63" s="65"/>
      <c r="AW63" s="41">
        <v>11953.207395490606</v>
      </c>
      <c r="AX63" s="314"/>
      <c r="AY63" s="314"/>
      <c r="AZ63" s="41">
        <v>2578.4114744891913</v>
      </c>
      <c r="BA63" s="65">
        <v>0</v>
      </c>
      <c r="BB63" s="34">
        <v>-2158.9059999999999</v>
      </c>
      <c r="BC63" s="65">
        <f t="shared" si="44"/>
        <v>12372.712869979798</v>
      </c>
      <c r="BD63" s="65"/>
      <c r="BE63" s="41">
        <v>9269.5289587766692</v>
      </c>
      <c r="BF63" s="314"/>
      <c r="BG63" s="314"/>
      <c r="BH63" s="41">
        <v>2512.7493126344489</v>
      </c>
      <c r="BI63" s="65">
        <v>0</v>
      </c>
      <c r="BJ63" s="34">
        <v>-2072.768</v>
      </c>
      <c r="BK63" s="65">
        <f t="shared" si="45"/>
        <v>9709.5102714111181</v>
      </c>
      <c r="BL63" s="65"/>
      <c r="BM63" s="41">
        <v>10120.797706897523</v>
      </c>
      <c r="BN63" s="41">
        <v>1442.7619929805812</v>
      </c>
      <c r="BO63" s="65">
        <v>0</v>
      </c>
      <c r="BP63" s="34">
        <v>-2072.768</v>
      </c>
      <c r="BQ63" s="65">
        <f t="shared" si="25"/>
        <v>9490.7916998781038</v>
      </c>
      <c r="BR63" s="65"/>
      <c r="BS63" s="41">
        <v>9473.2668909470576</v>
      </c>
      <c r="BT63" s="314"/>
      <c r="BU63" s="314"/>
      <c r="BV63" s="41">
        <v>1552.5770996300521</v>
      </c>
      <c r="BW63" s="65">
        <v>0</v>
      </c>
      <c r="BX63" s="34">
        <v>-2072.768</v>
      </c>
      <c r="BY63" s="65">
        <f t="shared" si="46"/>
        <v>8953.0759905771101</v>
      </c>
      <c r="CA63" s="5">
        <v>8973.307129657127</v>
      </c>
      <c r="CB63" s="407">
        <v>1679.7420487285326</v>
      </c>
      <c r="CC63" s="415">
        <v>0</v>
      </c>
      <c r="CD63" s="34">
        <v>-2072.768</v>
      </c>
      <c r="CE63" s="65">
        <f t="shared" si="26"/>
        <v>8580.2811783856596</v>
      </c>
      <c r="CF63" s="407"/>
      <c r="CG63" s="5">
        <v>9791.3841294023186</v>
      </c>
      <c r="CH63" s="407">
        <v>1785.8610400397979</v>
      </c>
      <c r="CI63" s="415">
        <v>0</v>
      </c>
      <c r="CJ63" s="34">
        <v>-2072.768</v>
      </c>
      <c r="CK63" s="65">
        <f t="shared" si="27"/>
        <v>9504.4771694421161</v>
      </c>
      <c r="CL63" s="407"/>
      <c r="CM63" s="41">
        <f>AU63/'1. Väestöennuste'!L63*1000</f>
        <v>1926.7663474226213</v>
      </c>
      <c r="CN63" s="41">
        <f>BC63/'1. Väestöennuste'!M63*1000</f>
        <v>767.39520374494805</v>
      </c>
      <c r="CO63" s="41">
        <f>BK63/'1. Väestöennuste'!N63*1000</f>
        <v>615.42183377138349</v>
      </c>
      <c r="CP63" s="41">
        <f>BQ63/'1. Väestöennuste'!O63*1000</f>
        <v>605.58905690901634</v>
      </c>
      <c r="CQ63" s="41">
        <f>BY63/'1. Väestöennuste'!P63*1000</f>
        <v>575.09480926111962</v>
      </c>
      <c r="CR63" s="41">
        <f>CE63/'1. Väestöennuste'!Q63*1000</f>
        <v>554.74760318003882</v>
      </c>
      <c r="CS63" s="41">
        <f>CK63/'1. Väestöennuste'!R63*1000</f>
        <v>618.57970513778821</v>
      </c>
      <c r="CT63" s="41"/>
      <c r="CV63" s="41">
        <f t="shared" si="28"/>
        <v>11577.245169442116</v>
      </c>
      <c r="CW63" s="41">
        <f t="shared" si="29"/>
        <v>-7577.710822019495</v>
      </c>
      <c r="CX63" s="41">
        <f t="shared" si="30"/>
        <v>-1159.3711436776732</v>
      </c>
      <c r="CY63" s="41">
        <f t="shared" si="31"/>
        <v>-151.97336997356456</v>
      </c>
      <c r="CZ63" s="41">
        <f t="shared" si="32"/>
        <v>-9.8327768623671545</v>
      </c>
      <c r="DA63" s="41">
        <f t="shared" si="33"/>
        <v>-30.494247647896714</v>
      </c>
      <c r="DB63" s="41">
        <f t="shared" si="34"/>
        <v>-20.347206081080799</v>
      </c>
      <c r="DC63" s="41">
        <f t="shared" si="35"/>
        <v>63.832101957749387</v>
      </c>
      <c r="DD63" s="41"/>
      <c r="DE63" s="283">
        <f t="shared" si="36"/>
        <v>-5.585403272070061</v>
      </c>
      <c r="DF63" s="283">
        <f t="shared" si="37"/>
        <v>-0.79727802875708143</v>
      </c>
      <c r="DG63" s="283">
        <f t="shared" si="38"/>
        <v>-0.60171859718669574</v>
      </c>
      <c r="DH63" s="283">
        <f t="shared" si="39"/>
        <v>-0.19803794606992947</v>
      </c>
      <c r="DI63" s="283">
        <f t="shared" si="40"/>
        <v>-1.5977296096419985E-2</v>
      </c>
      <c r="DJ63" s="283">
        <f t="shared" si="41"/>
        <v>-5.0354687390723719E-2</v>
      </c>
      <c r="DK63" s="283">
        <f t="shared" si="42"/>
        <v>-3.5380611602498793E-2</v>
      </c>
      <c r="DL63" s="283">
        <f t="shared" si="43"/>
        <v>0.11506512437699203</v>
      </c>
    </row>
    <row r="64" spans="1:116" x14ac:dyDescent="0.2">
      <c r="A64" s="30">
        <v>167</v>
      </c>
      <c r="B64" s="31" t="s">
        <v>378</v>
      </c>
      <c r="C64" s="65"/>
      <c r="D64" s="65"/>
      <c r="E64" s="65"/>
      <c r="F64" s="65"/>
      <c r="G64" s="65"/>
      <c r="H64" s="65">
        <v>140768</v>
      </c>
      <c r="I64" s="65"/>
      <c r="J64" s="65"/>
      <c r="K64" s="65"/>
      <c r="L64" s="65"/>
      <c r="M64" s="65"/>
      <c r="N64" s="65">
        <v>139028</v>
      </c>
      <c r="O64" s="65"/>
      <c r="P64" s="65"/>
      <c r="Q64" s="65"/>
      <c r="R64" s="65"/>
      <c r="S64" s="65"/>
      <c r="T64" s="65">
        <v>142927</v>
      </c>
      <c r="U64" s="65"/>
      <c r="V64" s="65"/>
      <c r="W64" s="65"/>
      <c r="X64" s="65"/>
      <c r="Y64" s="65"/>
      <c r="Z64" s="65">
        <v>145271</v>
      </c>
      <c r="AA64" s="65"/>
      <c r="AB64" s="66">
        <v>138102.85695080814</v>
      </c>
      <c r="AC64" s="34">
        <v>1348.4281646400045</v>
      </c>
      <c r="AD64" s="180">
        <v>33815.831535725643</v>
      </c>
      <c r="AE64" s="65">
        <v>0</v>
      </c>
      <c r="AF64" s="34">
        <v>-1788.895</v>
      </c>
      <c r="AG64" s="65">
        <f t="shared" si="22"/>
        <v>171478.22165117381</v>
      </c>
      <c r="AH64" s="65"/>
      <c r="AI64" s="66">
        <v>131325.26846714079</v>
      </c>
      <c r="AJ64" s="34">
        <v>-1042.7656796301426</v>
      </c>
      <c r="AK64" s="181">
        <v>36544.778536444333</v>
      </c>
      <c r="AL64" s="65">
        <v>0</v>
      </c>
      <c r="AM64" s="34">
        <v>-3938.7919999999999</v>
      </c>
      <c r="AN64" s="65">
        <f t="shared" si="23"/>
        <v>162888.489323955</v>
      </c>
      <c r="AO64" s="65"/>
      <c r="AP64" s="41">
        <v>135529.89606323687</v>
      </c>
      <c r="AQ64" s="41">
        <v>-320.95491753940263</v>
      </c>
      <c r="AR64" s="41">
        <v>41188.285727183997</v>
      </c>
      <c r="AS64" s="65">
        <v>0</v>
      </c>
      <c r="AT64" s="34">
        <v>-85.858999999999995</v>
      </c>
      <c r="AU64" s="65">
        <f t="shared" si="24"/>
        <v>176311.36787288147</v>
      </c>
      <c r="AV64" s="65"/>
      <c r="AW64" s="41">
        <v>44401.350197525295</v>
      </c>
      <c r="AX64" s="314"/>
      <c r="AY64" s="314"/>
      <c r="AZ64" s="41">
        <v>12599.686028364587</v>
      </c>
      <c r="BA64" s="65">
        <v>0</v>
      </c>
      <c r="BB64" s="34">
        <v>-761.62099999999998</v>
      </c>
      <c r="BC64" s="65">
        <f t="shared" si="44"/>
        <v>56239.415225889883</v>
      </c>
      <c r="BD64" s="65"/>
      <c r="BE64" s="41">
        <v>27067.902983923712</v>
      </c>
      <c r="BF64" s="314"/>
      <c r="BG64" s="314"/>
      <c r="BH64" s="41">
        <v>12672.879472362412</v>
      </c>
      <c r="BI64" s="65">
        <v>0</v>
      </c>
      <c r="BJ64" s="34">
        <v>-92.259</v>
      </c>
      <c r="BK64" s="65">
        <f t="shared" si="45"/>
        <v>39648.523456286122</v>
      </c>
      <c r="BL64" s="65"/>
      <c r="BM64" s="41">
        <v>40497.263824490474</v>
      </c>
      <c r="BN64" s="41">
        <v>8083.9844919451052</v>
      </c>
      <c r="BO64" s="65">
        <v>0</v>
      </c>
      <c r="BP64" s="34">
        <v>-92.259</v>
      </c>
      <c r="BQ64" s="65">
        <f t="shared" si="25"/>
        <v>48488.989316435582</v>
      </c>
      <c r="BR64" s="65"/>
      <c r="BS64" s="41">
        <v>44293.339951668517</v>
      </c>
      <c r="BT64" s="314"/>
      <c r="BU64" s="314"/>
      <c r="BV64" s="41">
        <v>8753.5460433902317</v>
      </c>
      <c r="BW64" s="65">
        <v>0</v>
      </c>
      <c r="BX64" s="34">
        <v>-92.259</v>
      </c>
      <c r="BY64" s="65">
        <f t="shared" si="46"/>
        <v>52954.626995058752</v>
      </c>
      <c r="CA64" s="5">
        <v>43882.024071839522</v>
      </c>
      <c r="CB64" s="407">
        <v>9457.8856018164824</v>
      </c>
      <c r="CC64" s="415">
        <v>0</v>
      </c>
      <c r="CD64" s="34">
        <v>-92.259</v>
      </c>
      <c r="CE64" s="65">
        <f t="shared" si="26"/>
        <v>53247.650673656004</v>
      </c>
      <c r="CF64" s="407"/>
      <c r="CG64" s="5">
        <v>47948.995077351879</v>
      </c>
      <c r="CH64" s="407">
        <v>10063.509273148511</v>
      </c>
      <c r="CI64" s="415">
        <v>0</v>
      </c>
      <c r="CJ64" s="34">
        <v>-92.259</v>
      </c>
      <c r="CK64" s="65">
        <f t="shared" si="27"/>
        <v>57920.245350500394</v>
      </c>
      <c r="CL64" s="407"/>
      <c r="CM64" s="41">
        <f>AU64/'1. Väestöennuste'!L64*1000</f>
        <v>2274.6038454566524</v>
      </c>
      <c r="CN64" s="41">
        <f>BC64/'1. Väestöennuste'!M64*1000</f>
        <v>720.4454821281787</v>
      </c>
      <c r="CO64" s="41">
        <f>BK64/'1. Väestöennuste'!N64*1000</f>
        <v>509.38541878161936</v>
      </c>
      <c r="CP64" s="41">
        <f>BQ64/'1. Väestöennuste'!O64*1000</f>
        <v>621.70950362770486</v>
      </c>
      <c r="CQ64" s="41">
        <f>BY64/'1. Väestöennuste'!P64*1000</f>
        <v>677.67176416087057</v>
      </c>
      <c r="CR64" s="41">
        <f>CE64/'1. Väestöennuste'!Q64*1000</f>
        <v>680.20299268868962</v>
      </c>
      <c r="CS64" s="41">
        <f>CK64/'1. Väestöennuste'!R64*1000</f>
        <v>738.67499904988324</v>
      </c>
      <c r="CT64" s="41"/>
      <c r="CV64" s="41">
        <f t="shared" si="28"/>
        <v>58012.504350500392</v>
      </c>
      <c r="CW64" s="41">
        <f t="shared" si="29"/>
        <v>-55645.641505043743</v>
      </c>
      <c r="CX64" s="41">
        <f t="shared" si="30"/>
        <v>-1554.1583633284736</v>
      </c>
      <c r="CY64" s="41">
        <f t="shared" si="31"/>
        <v>-211.06006334655933</v>
      </c>
      <c r="CZ64" s="41">
        <f t="shared" si="32"/>
        <v>112.3240848460855</v>
      </c>
      <c r="DA64" s="41">
        <f t="shared" si="33"/>
        <v>55.962260533165704</v>
      </c>
      <c r="DB64" s="41">
        <f t="shared" si="34"/>
        <v>2.5312285278190529</v>
      </c>
      <c r="DC64" s="41">
        <f t="shared" si="35"/>
        <v>58.472006361193621</v>
      </c>
      <c r="DD64" s="41"/>
      <c r="DE64" s="283">
        <f t="shared" si="36"/>
        <v>-628.8004893885734</v>
      </c>
      <c r="DF64" s="283">
        <f t="shared" si="37"/>
        <v>-0.96072869112186865</v>
      </c>
      <c r="DG64" s="283">
        <f t="shared" si="38"/>
        <v>-0.6832655129959383</v>
      </c>
      <c r="DH64" s="283">
        <f t="shared" si="39"/>
        <v>-0.29295771655489178</v>
      </c>
      <c r="DI64" s="283">
        <f t="shared" si="40"/>
        <v>0.22050903049943876</v>
      </c>
      <c r="DJ64" s="283">
        <f t="shared" si="41"/>
        <v>9.0013519508103421E-2</v>
      </c>
      <c r="DK64" s="283">
        <f t="shared" si="42"/>
        <v>3.7351837005535496E-3</v>
      </c>
      <c r="DL64" s="283">
        <f t="shared" si="43"/>
        <v>8.5962583213677016E-2</v>
      </c>
    </row>
    <row r="65" spans="1:116" x14ac:dyDescent="0.2">
      <c r="A65" s="30">
        <v>169</v>
      </c>
      <c r="B65" s="31" t="s">
        <v>379</v>
      </c>
      <c r="C65" s="65"/>
      <c r="D65" s="65"/>
      <c r="E65" s="65"/>
      <c r="F65" s="65"/>
      <c r="G65" s="65"/>
      <c r="H65" s="65">
        <v>9842</v>
      </c>
      <c r="I65" s="65"/>
      <c r="J65" s="65"/>
      <c r="K65" s="65"/>
      <c r="L65" s="65"/>
      <c r="M65" s="65"/>
      <c r="N65" s="65">
        <v>9736</v>
      </c>
      <c r="O65" s="65"/>
      <c r="P65" s="65"/>
      <c r="Q65" s="65"/>
      <c r="R65" s="65"/>
      <c r="S65" s="65"/>
      <c r="T65" s="65">
        <v>9530</v>
      </c>
      <c r="U65" s="65"/>
      <c r="V65" s="65"/>
      <c r="W65" s="65"/>
      <c r="X65" s="65"/>
      <c r="Y65" s="65"/>
      <c r="Z65" s="65">
        <v>9480</v>
      </c>
      <c r="AA65" s="65"/>
      <c r="AB65" s="66">
        <v>9726.7645096043289</v>
      </c>
      <c r="AC65" s="34">
        <v>94.58745629811331</v>
      </c>
      <c r="AD65" s="180">
        <v>2465.3835023070565</v>
      </c>
      <c r="AE65" s="65">
        <v>0</v>
      </c>
      <c r="AF65" s="34">
        <v>-1060.8030000000001</v>
      </c>
      <c r="AG65" s="65">
        <f t="shared" si="22"/>
        <v>11225.932468209499</v>
      </c>
      <c r="AH65" s="65"/>
      <c r="AI65" s="66">
        <v>9077.6321318717382</v>
      </c>
      <c r="AJ65" s="34">
        <v>-73.220005570840456</v>
      </c>
      <c r="AK65" s="181">
        <v>2635.7652656152986</v>
      </c>
      <c r="AL65" s="65">
        <v>0</v>
      </c>
      <c r="AM65" s="34">
        <v>-1323.4559999999999</v>
      </c>
      <c r="AN65" s="65">
        <f t="shared" si="23"/>
        <v>10316.721391916197</v>
      </c>
      <c r="AO65" s="65"/>
      <c r="AP65" s="41">
        <v>8621.066654119335</v>
      </c>
      <c r="AQ65" s="41">
        <v>-22.60191335456199</v>
      </c>
      <c r="AR65" s="41">
        <v>3013.1447423068089</v>
      </c>
      <c r="AS65" s="65">
        <v>0</v>
      </c>
      <c r="AT65" s="34">
        <v>-1291.424</v>
      </c>
      <c r="AU65" s="65">
        <f t="shared" si="24"/>
        <v>10320.185483071582</v>
      </c>
      <c r="AV65" s="65"/>
      <c r="AW65" s="41">
        <v>2754.6721929007845</v>
      </c>
      <c r="AX65" s="314"/>
      <c r="AY65" s="314"/>
      <c r="AZ65" s="41">
        <v>915.35561309493187</v>
      </c>
      <c r="BA65" s="65">
        <v>0</v>
      </c>
      <c r="BB65" s="34">
        <v>-1197.192</v>
      </c>
      <c r="BC65" s="65">
        <f t="shared" si="44"/>
        <v>2472.8358059957163</v>
      </c>
      <c r="BD65" s="65"/>
      <c r="BE65" s="41">
        <v>2926.1206271536871</v>
      </c>
      <c r="BF65" s="314"/>
      <c r="BG65" s="314"/>
      <c r="BH65" s="41">
        <v>903.5332855441095</v>
      </c>
      <c r="BI65" s="65">
        <v>0</v>
      </c>
      <c r="BJ65" s="34">
        <v>-1288.509</v>
      </c>
      <c r="BK65" s="65">
        <f t="shared" si="45"/>
        <v>2541.1449126977968</v>
      </c>
      <c r="BL65" s="65"/>
      <c r="BM65" s="41">
        <v>3732.4550781402331</v>
      </c>
      <c r="BN65" s="41">
        <v>536.82099111127638</v>
      </c>
      <c r="BO65" s="65">
        <v>0</v>
      </c>
      <c r="BP65" s="34">
        <v>-1288.509</v>
      </c>
      <c r="BQ65" s="65">
        <f t="shared" si="25"/>
        <v>2980.7670692515094</v>
      </c>
      <c r="BR65" s="65"/>
      <c r="BS65" s="41">
        <v>3239.0497667165414</v>
      </c>
      <c r="BT65" s="314"/>
      <c r="BU65" s="314"/>
      <c r="BV65" s="41">
        <v>578.72603279817497</v>
      </c>
      <c r="BW65" s="65">
        <v>0</v>
      </c>
      <c r="BX65" s="34">
        <v>-1288.509</v>
      </c>
      <c r="BY65" s="65">
        <f t="shared" si="46"/>
        <v>2529.2667995147162</v>
      </c>
      <c r="CA65" s="5">
        <v>3189.0774230068432</v>
      </c>
      <c r="CB65" s="407">
        <v>621.85265623135888</v>
      </c>
      <c r="CC65" s="415">
        <v>0</v>
      </c>
      <c r="CD65" s="34">
        <v>-1288.509</v>
      </c>
      <c r="CE65" s="65">
        <f t="shared" si="26"/>
        <v>2522.4210792382019</v>
      </c>
      <c r="CF65" s="407"/>
      <c r="CG65" s="5">
        <v>3477.4370835142313</v>
      </c>
      <c r="CH65" s="407">
        <v>658.05615573534635</v>
      </c>
      <c r="CI65" s="415">
        <v>0</v>
      </c>
      <c r="CJ65" s="34">
        <v>-1288.509</v>
      </c>
      <c r="CK65" s="65">
        <f t="shared" si="27"/>
        <v>2846.9842392495775</v>
      </c>
      <c r="CL65" s="407"/>
      <c r="CM65" s="41">
        <f>AU65/'1. Väestöennuste'!L65*1000</f>
        <v>2068.1734435013191</v>
      </c>
      <c r="CN65" s="41">
        <f>BC65/'1. Väestöennuste'!M65*1000</f>
        <v>503.01786126845326</v>
      </c>
      <c r="CO65" s="41">
        <f>BK65/'1. Väestöennuste'!N65*1000</f>
        <v>527.31789016347716</v>
      </c>
      <c r="CP65" s="41">
        <f>BQ65/'1. Väestöennuste'!O65*1000</f>
        <v>625.68578279838573</v>
      </c>
      <c r="CQ65" s="41">
        <f>BY65/'1. Väestöennuste'!P65*1000</f>
        <v>536.65750042748061</v>
      </c>
      <c r="CR65" s="41">
        <f>CE65/'1. Väestöennuste'!Q65*1000</f>
        <v>540.94382998889171</v>
      </c>
      <c r="CS65" s="41">
        <f>CK65/'1. Väestöennuste'!R65*1000</f>
        <v>616.49723673659105</v>
      </c>
      <c r="CT65" s="41"/>
      <c r="CV65" s="41">
        <f t="shared" si="28"/>
        <v>4135.4932392495775</v>
      </c>
      <c r="CW65" s="41">
        <f t="shared" si="29"/>
        <v>-778.81079574825844</v>
      </c>
      <c r="CX65" s="41">
        <f t="shared" si="30"/>
        <v>-1565.1555822328658</v>
      </c>
      <c r="CY65" s="41">
        <f t="shared" si="31"/>
        <v>24.3000288950239</v>
      </c>
      <c r="CZ65" s="41">
        <f t="shared" si="32"/>
        <v>98.367892634908571</v>
      </c>
      <c r="DA65" s="41">
        <f t="shared" si="33"/>
        <v>-89.028282370905117</v>
      </c>
      <c r="DB65" s="41">
        <f t="shared" si="34"/>
        <v>4.2863295614110939</v>
      </c>
      <c r="DC65" s="41">
        <f t="shared" si="35"/>
        <v>75.553406747699341</v>
      </c>
      <c r="DD65" s="41"/>
      <c r="DE65" s="283">
        <f t="shared" si="36"/>
        <v>-3.2095183186532474</v>
      </c>
      <c r="DF65" s="283">
        <f t="shared" si="37"/>
        <v>-0.27355641278630377</v>
      </c>
      <c r="DG65" s="283">
        <f t="shared" si="38"/>
        <v>-0.75678158771013515</v>
      </c>
      <c r="DH65" s="283">
        <f t="shared" si="39"/>
        <v>4.8308481201337163E-2</v>
      </c>
      <c r="DI65" s="283">
        <f t="shared" si="40"/>
        <v>0.18654381819743099</v>
      </c>
      <c r="DJ65" s="283">
        <f t="shared" si="41"/>
        <v>-0.14228912469886285</v>
      </c>
      <c r="DK65" s="283">
        <f t="shared" si="42"/>
        <v>7.9870859123309917E-3</v>
      </c>
      <c r="DL65" s="283">
        <f t="shared" si="43"/>
        <v>0.13966959702498286</v>
      </c>
    </row>
    <row r="66" spans="1:116" x14ac:dyDescent="0.2">
      <c r="A66" s="30">
        <v>171</v>
      </c>
      <c r="B66" s="31" t="s">
        <v>380</v>
      </c>
      <c r="C66" s="65"/>
      <c r="D66" s="65"/>
      <c r="E66" s="65"/>
      <c r="F66" s="65"/>
      <c r="G66" s="65"/>
      <c r="H66" s="65">
        <v>12692</v>
      </c>
      <c r="I66" s="65"/>
      <c r="J66" s="65"/>
      <c r="K66" s="65"/>
      <c r="L66" s="65"/>
      <c r="M66" s="65"/>
      <c r="N66" s="65">
        <v>12420</v>
      </c>
      <c r="O66" s="65"/>
      <c r="P66" s="65"/>
      <c r="Q66" s="65"/>
      <c r="R66" s="65"/>
      <c r="S66" s="65"/>
      <c r="T66" s="65">
        <v>12205</v>
      </c>
      <c r="U66" s="65"/>
      <c r="V66" s="65"/>
      <c r="W66" s="65"/>
      <c r="X66" s="65"/>
      <c r="Y66" s="65"/>
      <c r="Z66" s="65">
        <v>12353</v>
      </c>
      <c r="AA66" s="65"/>
      <c r="AB66" s="66">
        <v>11333.44371572196</v>
      </c>
      <c r="AC66" s="34">
        <v>84.45955181120155</v>
      </c>
      <c r="AD66" s="180">
        <v>2597.5812883356771</v>
      </c>
      <c r="AE66" s="65">
        <v>0</v>
      </c>
      <c r="AF66" s="34">
        <v>-190.952</v>
      </c>
      <c r="AG66" s="65">
        <f t="shared" si="22"/>
        <v>13824.53255586884</v>
      </c>
      <c r="AH66" s="65"/>
      <c r="AI66" s="66">
        <v>10468.095243929973</v>
      </c>
      <c r="AJ66" s="34">
        <v>-65.034110418364705</v>
      </c>
      <c r="AK66" s="181">
        <v>2771.23143818268</v>
      </c>
      <c r="AL66" s="65">
        <v>0</v>
      </c>
      <c r="AM66" s="34">
        <v>-138.93199999999999</v>
      </c>
      <c r="AN66" s="65">
        <f t="shared" si="23"/>
        <v>13035.360571694288</v>
      </c>
      <c r="AO66" s="65"/>
      <c r="AP66" s="41">
        <v>10815.353711339356</v>
      </c>
      <c r="AQ66" s="41">
        <v>-19.979585752619574</v>
      </c>
      <c r="AR66" s="41">
        <v>3113.1850451906303</v>
      </c>
      <c r="AS66" s="65">
        <v>0</v>
      </c>
      <c r="AT66" s="34">
        <v>-135.66900000000001</v>
      </c>
      <c r="AU66" s="65">
        <f t="shared" si="24"/>
        <v>13772.890170777368</v>
      </c>
      <c r="AV66" s="65"/>
      <c r="AW66" s="41">
        <v>2022.0673214033309</v>
      </c>
      <c r="AX66" s="314"/>
      <c r="AY66" s="314"/>
      <c r="AZ66" s="41">
        <v>946.11266206561197</v>
      </c>
      <c r="BA66" s="65">
        <v>0</v>
      </c>
      <c r="BB66" s="34">
        <v>-329.19200000000001</v>
      </c>
      <c r="BC66" s="65">
        <f t="shared" si="44"/>
        <v>2638.9879834689427</v>
      </c>
      <c r="BD66" s="65"/>
      <c r="BE66" s="41">
        <v>1607.2529621877889</v>
      </c>
      <c r="BF66" s="314"/>
      <c r="BG66" s="314"/>
      <c r="BH66" s="41">
        <v>939.27150065603371</v>
      </c>
      <c r="BI66" s="65">
        <v>0</v>
      </c>
      <c r="BJ66" s="34">
        <v>-64.659000000000006</v>
      </c>
      <c r="BK66" s="65">
        <f t="shared" si="45"/>
        <v>2481.8654628438226</v>
      </c>
      <c r="BL66" s="65"/>
      <c r="BM66" s="41">
        <v>2609.1217079795274</v>
      </c>
      <c r="BN66" s="41">
        <v>650.1242436765051</v>
      </c>
      <c r="BO66" s="65">
        <v>0</v>
      </c>
      <c r="BP66" s="34">
        <v>-64.659000000000006</v>
      </c>
      <c r="BQ66" s="65">
        <f t="shared" si="25"/>
        <v>3194.5869516560324</v>
      </c>
      <c r="BR66" s="65"/>
      <c r="BS66" s="41">
        <v>2849.894235968156</v>
      </c>
      <c r="BT66" s="314"/>
      <c r="BU66" s="314"/>
      <c r="BV66" s="41">
        <v>691.79481096919517</v>
      </c>
      <c r="BW66" s="65">
        <v>0</v>
      </c>
      <c r="BX66" s="34">
        <v>-64.659000000000006</v>
      </c>
      <c r="BY66" s="65">
        <f t="shared" si="46"/>
        <v>3477.030046937351</v>
      </c>
      <c r="CA66" s="5">
        <v>2818.7853382729413</v>
      </c>
      <c r="CB66" s="407">
        <v>736.85597760776091</v>
      </c>
      <c r="CC66" s="415">
        <v>0</v>
      </c>
      <c r="CD66" s="34">
        <v>-64.659000000000006</v>
      </c>
      <c r="CE66" s="65">
        <f t="shared" si="26"/>
        <v>3490.9823158807021</v>
      </c>
      <c r="CF66" s="407"/>
      <c r="CG66" s="5">
        <v>3311.2553687488189</v>
      </c>
      <c r="CH66" s="407">
        <v>776.08639233227336</v>
      </c>
      <c r="CI66" s="415">
        <v>0</v>
      </c>
      <c r="CJ66" s="34">
        <v>-64.659000000000006</v>
      </c>
      <c r="CK66" s="65">
        <f t="shared" si="27"/>
        <v>4022.6827610810919</v>
      </c>
      <c r="CL66" s="407"/>
      <c r="CM66" s="41">
        <f>AU66/'1. Väestöennuste'!L66*1000</f>
        <v>3033.6762490699048</v>
      </c>
      <c r="CN66" s="41">
        <f>BC66/'1. Väestöennuste'!M66*1000</f>
        <v>574.9429157884407</v>
      </c>
      <c r="CO66" s="41">
        <f>BK66/'1. Väestöennuste'!N66*1000</f>
        <v>563.93216606312717</v>
      </c>
      <c r="CP66" s="41">
        <f>BQ66/'1. Väestöennuste'!O66*1000</f>
        <v>737.77989645635853</v>
      </c>
      <c r="CQ66" s="41">
        <f>BY66/'1. Väestöennuste'!P66*1000</f>
        <v>816.01268409700799</v>
      </c>
      <c r="CR66" s="41">
        <f>CE66/'1. Väestöennuste'!Q66*1000</f>
        <v>832.17695253413638</v>
      </c>
      <c r="CS66" s="41">
        <f>CK66/'1. Väestöennuste'!R66*1000</f>
        <v>974.7232277880039</v>
      </c>
      <c r="CT66" s="41"/>
      <c r="CV66" s="41">
        <f t="shared" si="28"/>
        <v>4087.341761081092</v>
      </c>
      <c r="CW66" s="41">
        <f t="shared" si="29"/>
        <v>-989.00651201118717</v>
      </c>
      <c r="CX66" s="41">
        <f t="shared" si="30"/>
        <v>-2458.7333332814642</v>
      </c>
      <c r="CY66" s="41">
        <f t="shared" si="31"/>
        <v>-11.010749725313531</v>
      </c>
      <c r="CZ66" s="41">
        <f t="shared" si="32"/>
        <v>173.84773039323136</v>
      </c>
      <c r="DA66" s="41">
        <f t="shared" si="33"/>
        <v>78.232787640649462</v>
      </c>
      <c r="DB66" s="41">
        <f t="shared" si="34"/>
        <v>16.164268437128385</v>
      </c>
      <c r="DC66" s="41">
        <f t="shared" si="35"/>
        <v>142.54627525386752</v>
      </c>
      <c r="DD66" s="41"/>
      <c r="DE66" s="283">
        <f t="shared" si="36"/>
        <v>-63.213810313816971</v>
      </c>
      <c r="DF66" s="283">
        <f t="shared" si="37"/>
        <v>-0.24585744657264313</v>
      </c>
      <c r="DG66" s="283">
        <f t="shared" si="38"/>
        <v>-0.81047980450626123</v>
      </c>
      <c r="DH66" s="283">
        <f t="shared" si="39"/>
        <v>-1.9151031211879666E-2</v>
      </c>
      <c r="DI66" s="283">
        <f t="shared" si="40"/>
        <v>0.30827773419431204</v>
      </c>
      <c r="DJ66" s="283">
        <f t="shared" si="41"/>
        <v>0.10603811247285337</v>
      </c>
      <c r="DK66" s="283">
        <f t="shared" si="42"/>
        <v>1.9808844583115291E-2</v>
      </c>
      <c r="DL66" s="283">
        <f t="shared" si="43"/>
        <v>0.17129322654248849</v>
      </c>
    </row>
    <row r="67" spans="1:116" x14ac:dyDescent="0.2">
      <c r="A67" s="30">
        <v>172</v>
      </c>
      <c r="B67" s="31" t="s">
        <v>381</v>
      </c>
      <c r="C67" s="65"/>
      <c r="D67" s="65"/>
      <c r="E67" s="65"/>
      <c r="F67" s="65"/>
      <c r="G67" s="65"/>
      <c r="H67" s="65">
        <v>15835</v>
      </c>
      <c r="I67" s="65"/>
      <c r="J67" s="65"/>
      <c r="K67" s="65"/>
      <c r="L67" s="65"/>
      <c r="M67" s="65"/>
      <c r="N67" s="65">
        <v>15563</v>
      </c>
      <c r="O67" s="65"/>
      <c r="P67" s="65"/>
      <c r="Q67" s="65"/>
      <c r="R67" s="65"/>
      <c r="S67" s="65"/>
      <c r="T67" s="65">
        <v>15166</v>
      </c>
      <c r="U67" s="65"/>
      <c r="V67" s="65"/>
      <c r="W67" s="65"/>
      <c r="X67" s="65"/>
      <c r="Y67" s="65"/>
      <c r="Z67" s="65">
        <v>15185</v>
      </c>
      <c r="AA67" s="65"/>
      <c r="AB67" s="66">
        <v>13790.278881799657</v>
      </c>
      <c r="AC67" s="34">
        <v>74.643057343944776</v>
      </c>
      <c r="AD67" s="180">
        <v>2630.3617671179031</v>
      </c>
      <c r="AE67" s="65">
        <v>0</v>
      </c>
      <c r="AF67" s="34">
        <v>34.65</v>
      </c>
      <c r="AG67" s="65">
        <f t="shared" si="22"/>
        <v>16529.933706261505</v>
      </c>
      <c r="AH67" s="65"/>
      <c r="AI67" s="66">
        <v>13639.252471689242</v>
      </c>
      <c r="AJ67" s="34">
        <v>-57.376772631643085</v>
      </c>
      <c r="AK67" s="181">
        <v>2793.1110392090313</v>
      </c>
      <c r="AL67" s="65">
        <v>500</v>
      </c>
      <c r="AM67" s="34">
        <v>23.277999999999999</v>
      </c>
      <c r="AN67" s="65">
        <f t="shared" si="23"/>
        <v>16898.264738266629</v>
      </c>
      <c r="AO67" s="65"/>
      <c r="AP67" s="41">
        <v>14079.93241549919</v>
      </c>
      <c r="AQ67" s="41">
        <v>-17.532008363158639</v>
      </c>
      <c r="AR67" s="41">
        <v>3108.7928257372328</v>
      </c>
      <c r="AS67" s="65">
        <v>0</v>
      </c>
      <c r="AT67" s="34">
        <v>78.790000000000006</v>
      </c>
      <c r="AU67" s="65">
        <f t="shared" si="24"/>
        <v>17249.983232873266</v>
      </c>
      <c r="AV67" s="65"/>
      <c r="AW67" s="41">
        <v>1364.8989572015948</v>
      </c>
      <c r="AX67" s="314"/>
      <c r="AY67" s="314"/>
      <c r="AZ67" s="41">
        <v>943.78346906109562</v>
      </c>
      <c r="BA67" s="65">
        <v>0</v>
      </c>
      <c r="BB67" s="34">
        <v>92.094999999999999</v>
      </c>
      <c r="BC67" s="65">
        <f t="shared" si="44"/>
        <v>2400.7774262626904</v>
      </c>
      <c r="BD67" s="65"/>
      <c r="BE67" s="41">
        <v>1767.7209355078478</v>
      </c>
      <c r="BF67" s="314"/>
      <c r="BG67" s="314"/>
      <c r="BH67" s="41">
        <v>929.98200304647889</v>
      </c>
      <c r="BI67" s="65">
        <v>0</v>
      </c>
      <c r="BJ67" s="34">
        <v>614.58199999999999</v>
      </c>
      <c r="BK67" s="65">
        <f t="shared" si="45"/>
        <v>3312.2849385543263</v>
      </c>
      <c r="BL67" s="65"/>
      <c r="BM67" s="41">
        <v>2419.3102548279608</v>
      </c>
      <c r="BN67" s="41">
        <v>695.08685901197134</v>
      </c>
      <c r="BO67" s="65">
        <v>0</v>
      </c>
      <c r="BP67" s="34">
        <v>614.58199999999999</v>
      </c>
      <c r="BQ67" s="65">
        <f t="shared" si="25"/>
        <v>3728.9791138399319</v>
      </c>
      <c r="BR67" s="65"/>
      <c r="BS67" s="41">
        <v>2207.6480719384786</v>
      </c>
      <c r="BT67" s="314"/>
      <c r="BU67" s="314"/>
      <c r="BV67" s="41">
        <v>738.95587834589639</v>
      </c>
      <c r="BW67" s="65">
        <v>0</v>
      </c>
      <c r="BX67" s="34">
        <v>614.58199999999999</v>
      </c>
      <c r="BY67" s="65">
        <f t="shared" si="46"/>
        <v>3561.1859502843749</v>
      </c>
      <c r="CA67" s="5">
        <v>2136.5557140950318</v>
      </c>
      <c r="CB67" s="407">
        <v>783.03429775964526</v>
      </c>
      <c r="CC67" s="415">
        <v>0</v>
      </c>
      <c r="CD67" s="34">
        <v>614.58199999999999</v>
      </c>
      <c r="CE67" s="65">
        <f t="shared" si="26"/>
        <v>3534.1720118546768</v>
      </c>
      <c r="CF67" s="407"/>
      <c r="CG67" s="5">
        <v>2545.3707293809885</v>
      </c>
      <c r="CH67" s="407">
        <v>821.65806179052151</v>
      </c>
      <c r="CI67" s="415">
        <v>0</v>
      </c>
      <c r="CJ67" s="34">
        <v>614.58199999999999</v>
      </c>
      <c r="CK67" s="65">
        <f t="shared" si="27"/>
        <v>3981.6107911715098</v>
      </c>
      <c r="CL67" s="407"/>
      <c r="CM67" s="41">
        <f>AU67/'1. Väestöennuste'!L67*1000</f>
        <v>4135.694853242212</v>
      </c>
      <c r="CN67" s="41">
        <f>BC67/'1. Väestöennuste'!M67*1000</f>
        <v>588.57009714701906</v>
      </c>
      <c r="CO67" s="41">
        <f>BK67/'1. Väestöennuste'!N67*1000</f>
        <v>823.13243999859014</v>
      </c>
      <c r="CP67" s="41">
        <f>BQ67/'1. Väestöennuste'!O67*1000</f>
        <v>939.76288151207962</v>
      </c>
      <c r="CQ67" s="41">
        <f>BY67/'1. Väestöennuste'!P67*1000</f>
        <v>910.78924559702682</v>
      </c>
      <c r="CR67" s="41">
        <f>CE67/'1. Väestöennuste'!Q67*1000</f>
        <v>915.82586469413752</v>
      </c>
      <c r="CS67" s="41">
        <f>CK67/'1. Väestöennuste'!R67*1000</f>
        <v>1044.7679850882996</v>
      </c>
      <c r="CT67" s="41"/>
      <c r="CV67" s="41">
        <f t="shared" si="28"/>
        <v>3367.02879117151</v>
      </c>
      <c r="CW67" s="41">
        <f t="shared" si="29"/>
        <v>154.0840620707022</v>
      </c>
      <c r="CX67" s="41">
        <f t="shared" si="30"/>
        <v>-3547.1247560951929</v>
      </c>
      <c r="CY67" s="41">
        <f t="shared" si="31"/>
        <v>234.56234285157109</v>
      </c>
      <c r="CZ67" s="41">
        <f t="shared" si="32"/>
        <v>116.63044151348947</v>
      </c>
      <c r="DA67" s="41">
        <f t="shared" si="33"/>
        <v>-28.973635915052796</v>
      </c>
      <c r="DB67" s="41">
        <f t="shared" si="34"/>
        <v>5.0366190971107017</v>
      </c>
      <c r="DC67" s="41">
        <f t="shared" si="35"/>
        <v>128.94212039416209</v>
      </c>
      <c r="DD67" s="41"/>
      <c r="DE67" s="283">
        <f t="shared" si="36"/>
        <v>5.4785672069333469</v>
      </c>
      <c r="DF67" s="283">
        <f t="shared" si="37"/>
        <v>3.8698926176399584E-2</v>
      </c>
      <c r="DG67" s="283">
        <f t="shared" si="38"/>
        <v>-0.85768531817921601</v>
      </c>
      <c r="DH67" s="283">
        <f t="shared" si="39"/>
        <v>0.39852915394201499</v>
      </c>
      <c r="DI67" s="283">
        <f t="shared" si="40"/>
        <v>0.14169097929573671</v>
      </c>
      <c r="DJ67" s="283">
        <f t="shared" si="41"/>
        <v>-3.083079411312158E-2</v>
      </c>
      <c r="DK67" s="283">
        <f t="shared" si="42"/>
        <v>5.5299501190411767E-3</v>
      </c>
      <c r="DL67" s="283">
        <f t="shared" si="43"/>
        <v>0.14079327235120781</v>
      </c>
    </row>
    <row r="68" spans="1:116" x14ac:dyDescent="0.2">
      <c r="A68" s="30">
        <v>176</v>
      </c>
      <c r="B68" s="31" t="s">
        <v>382</v>
      </c>
      <c r="C68" s="65"/>
      <c r="D68" s="65"/>
      <c r="E68" s="65"/>
      <c r="F68" s="65"/>
      <c r="G68" s="65"/>
      <c r="H68" s="65">
        <v>20656</v>
      </c>
      <c r="I68" s="65"/>
      <c r="J68" s="65"/>
      <c r="K68" s="65"/>
      <c r="L68" s="65"/>
      <c r="M68" s="65"/>
      <c r="N68" s="65">
        <v>20711</v>
      </c>
      <c r="O68" s="65"/>
      <c r="P68" s="65"/>
      <c r="Q68" s="65"/>
      <c r="R68" s="65"/>
      <c r="S68" s="65"/>
      <c r="T68" s="65">
        <v>20074</v>
      </c>
      <c r="U68" s="65"/>
      <c r="V68" s="65"/>
      <c r="W68" s="65"/>
      <c r="X68" s="65"/>
      <c r="Y68" s="65"/>
      <c r="Z68" s="65">
        <v>20319</v>
      </c>
      <c r="AA68" s="65"/>
      <c r="AB68" s="66">
        <v>18956.863888753414</v>
      </c>
      <c r="AC68" s="34">
        <v>68.976089914848487</v>
      </c>
      <c r="AD68" s="180">
        <v>2815.3177430349092</v>
      </c>
      <c r="AE68" s="65">
        <v>0</v>
      </c>
      <c r="AF68" s="34">
        <v>-263.959</v>
      </c>
      <c r="AG68" s="65">
        <f t="shared" si="22"/>
        <v>21577.198721703175</v>
      </c>
      <c r="AH68" s="65"/>
      <c r="AI68" s="66">
        <v>18424.884808213057</v>
      </c>
      <c r="AJ68" s="34">
        <v>-52.777459778653011</v>
      </c>
      <c r="AK68" s="181">
        <v>2985.771793655485</v>
      </c>
      <c r="AL68" s="65">
        <v>0</v>
      </c>
      <c r="AM68" s="34">
        <v>-494.04399999999998</v>
      </c>
      <c r="AN68" s="65">
        <f t="shared" si="23"/>
        <v>20863.835142089887</v>
      </c>
      <c r="AO68" s="65"/>
      <c r="AP68" s="41">
        <v>18963.236651358424</v>
      </c>
      <c r="AQ68" s="41">
        <v>-16.115652179499577</v>
      </c>
      <c r="AR68" s="41">
        <v>3279.8824928194845</v>
      </c>
      <c r="AS68" s="65">
        <v>0</v>
      </c>
      <c r="AT68" s="34">
        <v>-103.55800000000001</v>
      </c>
      <c r="AU68" s="65">
        <f t="shared" si="24"/>
        <v>22123.445491998409</v>
      </c>
      <c r="AV68" s="65"/>
      <c r="AW68" s="41">
        <v>2364.9221824931315</v>
      </c>
      <c r="AX68" s="314"/>
      <c r="AY68" s="314"/>
      <c r="AZ68" s="41">
        <v>997.6503500185529</v>
      </c>
      <c r="BA68" s="65">
        <v>0</v>
      </c>
      <c r="BB68" s="34">
        <v>-88.162999999999997</v>
      </c>
      <c r="BC68" s="65">
        <f t="shared" si="44"/>
        <v>3274.4095325116846</v>
      </c>
      <c r="BD68" s="65"/>
      <c r="BE68" s="41">
        <v>1139.9269081109594</v>
      </c>
      <c r="BF68" s="314"/>
      <c r="BG68" s="314"/>
      <c r="BH68" s="41">
        <v>996.70966890892669</v>
      </c>
      <c r="BI68" s="65">
        <v>0</v>
      </c>
      <c r="BJ68" s="34">
        <v>23.663</v>
      </c>
      <c r="BK68" s="65">
        <f t="shared" si="45"/>
        <v>2160.2995770198863</v>
      </c>
      <c r="BL68" s="65"/>
      <c r="BM68" s="41">
        <v>1994.3790190458701</v>
      </c>
      <c r="BN68" s="41">
        <v>758.30055194444856</v>
      </c>
      <c r="BO68" s="65">
        <v>0</v>
      </c>
      <c r="BP68" s="34">
        <v>23.663</v>
      </c>
      <c r="BQ68" s="65">
        <f t="shared" si="25"/>
        <v>2776.3425709903186</v>
      </c>
      <c r="BR68" s="65"/>
      <c r="BS68" s="41">
        <v>1937.7562218746291</v>
      </c>
      <c r="BT68" s="314"/>
      <c r="BU68" s="314"/>
      <c r="BV68" s="41">
        <v>804.18432292362479</v>
      </c>
      <c r="BW68" s="65">
        <v>0</v>
      </c>
      <c r="BX68" s="34">
        <v>23.663</v>
      </c>
      <c r="BY68" s="65">
        <f t="shared" si="46"/>
        <v>2765.603544798254</v>
      </c>
      <c r="CA68" s="5">
        <v>1954.4011110284994</v>
      </c>
      <c r="CB68" s="407">
        <v>850.00002214395249</v>
      </c>
      <c r="CC68" s="415">
        <v>0</v>
      </c>
      <c r="CD68" s="34">
        <v>23.663</v>
      </c>
      <c r="CE68" s="65">
        <f t="shared" si="26"/>
        <v>2828.0641331724519</v>
      </c>
      <c r="CF68" s="407"/>
      <c r="CG68" s="5">
        <v>2610.966209550365</v>
      </c>
      <c r="CH68" s="407">
        <v>890.42615708152948</v>
      </c>
      <c r="CI68" s="415">
        <v>0</v>
      </c>
      <c r="CJ68" s="34">
        <v>23.663</v>
      </c>
      <c r="CK68" s="65">
        <f t="shared" si="27"/>
        <v>3525.0553666318942</v>
      </c>
      <c r="CL68" s="407"/>
      <c r="CM68" s="41">
        <f>AU68/'1. Väestöennuste'!L68*1000</f>
        <v>5083.5122913599289</v>
      </c>
      <c r="CN68" s="41">
        <f>BC68/'1. Väestöennuste'!M68*1000</f>
        <v>768.82120979377419</v>
      </c>
      <c r="CO68" s="41">
        <f>BK68/'1. Väestöennuste'!N68*1000</f>
        <v>518.18171672340759</v>
      </c>
      <c r="CP68" s="41">
        <f>BQ68/'1. Väestöennuste'!O68*1000</f>
        <v>679.4768896207338</v>
      </c>
      <c r="CQ68" s="41">
        <f>BY68/'1. Väestöennuste'!P68*1000</f>
        <v>690.53771405699229</v>
      </c>
      <c r="CR68" s="41">
        <f>CE68/'1. Väestöennuste'!Q68*1000</f>
        <v>718.87751224515807</v>
      </c>
      <c r="CS68" s="41">
        <f>CK68/'1. Väestöennuste'!R68*1000</f>
        <v>912.0453729966091</v>
      </c>
      <c r="CT68" s="41"/>
      <c r="CV68" s="41">
        <f t="shared" si="28"/>
        <v>3501.3923666318942</v>
      </c>
      <c r="CW68" s="41">
        <f t="shared" si="29"/>
        <v>1558.4569247280347</v>
      </c>
      <c r="CX68" s="41">
        <f t="shared" si="30"/>
        <v>-4314.6910815661549</v>
      </c>
      <c r="CY68" s="41">
        <f t="shared" si="31"/>
        <v>-250.6394930703666</v>
      </c>
      <c r="CZ68" s="41">
        <f t="shared" si="32"/>
        <v>161.29517289732621</v>
      </c>
      <c r="DA68" s="41">
        <f t="shared" si="33"/>
        <v>11.060824436258486</v>
      </c>
      <c r="DB68" s="41">
        <f t="shared" si="34"/>
        <v>28.339798188165787</v>
      </c>
      <c r="DC68" s="41">
        <f t="shared" si="35"/>
        <v>193.16786075145103</v>
      </c>
      <c r="DD68" s="41"/>
      <c r="DE68" s="283">
        <f t="shared" si="36"/>
        <v>147.96908112377528</v>
      </c>
      <c r="DF68" s="283">
        <f t="shared" si="37"/>
        <v>0.44210849550913661</v>
      </c>
      <c r="DG68" s="283">
        <f t="shared" si="38"/>
        <v>-0.84876180763829712</v>
      </c>
      <c r="DH68" s="283">
        <f t="shared" si="39"/>
        <v>-0.32600491489770062</v>
      </c>
      <c r="DI68" s="283">
        <f t="shared" si="40"/>
        <v>0.31127144723908029</v>
      </c>
      <c r="DJ68" s="283">
        <f t="shared" si="41"/>
        <v>1.6278440967186312E-2</v>
      </c>
      <c r="DK68" s="283">
        <f t="shared" si="42"/>
        <v>4.1040188843077169E-2</v>
      </c>
      <c r="DL68" s="283">
        <f t="shared" si="43"/>
        <v>0.26870761355179962</v>
      </c>
    </row>
    <row r="69" spans="1:116" x14ac:dyDescent="0.2">
      <c r="A69" s="30">
        <v>177</v>
      </c>
      <c r="B69" s="31" t="s">
        <v>383</v>
      </c>
      <c r="C69" s="65"/>
      <c r="D69" s="65"/>
      <c r="E69" s="65"/>
      <c r="F69" s="65"/>
      <c r="G69" s="65"/>
      <c r="H69" s="65">
        <v>4494</v>
      </c>
      <c r="I69" s="65"/>
      <c r="J69" s="65"/>
      <c r="K69" s="65"/>
      <c r="L69" s="65"/>
      <c r="M69" s="65"/>
      <c r="N69" s="65">
        <v>4285</v>
      </c>
      <c r="O69" s="65"/>
      <c r="P69" s="65"/>
      <c r="Q69" s="65"/>
      <c r="R69" s="65"/>
      <c r="S69" s="65"/>
      <c r="T69" s="65">
        <v>4239</v>
      </c>
      <c r="U69" s="65"/>
      <c r="V69" s="65"/>
      <c r="W69" s="65"/>
      <c r="X69" s="65"/>
      <c r="Y69" s="65"/>
      <c r="Z69" s="65">
        <v>4413</v>
      </c>
      <c r="AA69" s="65"/>
      <c r="AB69" s="66">
        <v>4363.6658133152014</v>
      </c>
      <c r="AC69" s="34">
        <v>34.835411501515381</v>
      </c>
      <c r="AD69" s="180">
        <v>1013.5492441377427</v>
      </c>
      <c r="AE69" s="65">
        <v>0</v>
      </c>
      <c r="AF69" s="34">
        <v>-434.68799999999999</v>
      </c>
      <c r="AG69" s="65">
        <f t="shared" si="22"/>
        <v>4977.3624689544595</v>
      </c>
      <c r="AH69" s="65"/>
      <c r="AI69" s="66">
        <v>4019.2033419450208</v>
      </c>
      <c r="AJ69" s="34">
        <v>-26.488976594409284</v>
      </c>
      <c r="AK69" s="181">
        <v>1080.7067707739973</v>
      </c>
      <c r="AL69" s="65">
        <v>0</v>
      </c>
      <c r="AM69" s="34">
        <v>-455.57799999999997</v>
      </c>
      <c r="AN69" s="65">
        <f t="shared" si="23"/>
        <v>4617.8431361246094</v>
      </c>
      <c r="AO69" s="65"/>
      <c r="AP69" s="41">
        <v>4014.4388931559456</v>
      </c>
      <c r="AQ69" s="41">
        <v>-8.060810686422391</v>
      </c>
      <c r="AR69" s="41">
        <v>1232.6915536141264</v>
      </c>
      <c r="AS69" s="65">
        <v>0</v>
      </c>
      <c r="AT69" s="34">
        <v>-479.94499999999999</v>
      </c>
      <c r="AU69" s="65">
        <f t="shared" si="24"/>
        <v>4759.1246360836503</v>
      </c>
      <c r="AV69" s="65"/>
      <c r="AW69" s="41">
        <v>943.70912367996516</v>
      </c>
      <c r="AX69" s="314"/>
      <c r="AY69" s="314"/>
      <c r="AZ69" s="41">
        <v>378.83824359697854</v>
      </c>
      <c r="BA69" s="65">
        <v>0</v>
      </c>
      <c r="BB69" s="34">
        <v>-451.851</v>
      </c>
      <c r="BC69" s="65">
        <f t="shared" si="44"/>
        <v>870.69636727694376</v>
      </c>
      <c r="BD69" s="65"/>
      <c r="BE69" s="41">
        <v>1264.2466750984054</v>
      </c>
      <c r="BF69" s="314"/>
      <c r="BG69" s="314"/>
      <c r="BH69" s="41">
        <v>372.68753085961123</v>
      </c>
      <c r="BI69" s="65">
        <v>0</v>
      </c>
      <c r="BJ69" s="34">
        <v>-512.18700000000001</v>
      </c>
      <c r="BK69" s="65">
        <f t="shared" si="45"/>
        <v>1124.7472059580168</v>
      </c>
      <c r="BL69" s="65"/>
      <c r="BM69" s="41">
        <v>1432.2421957919892</v>
      </c>
      <c r="BN69" s="41">
        <v>269.06684057617542</v>
      </c>
      <c r="BO69" s="65">
        <v>0</v>
      </c>
      <c r="BP69" s="34">
        <v>-512.18700000000001</v>
      </c>
      <c r="BQ69" s="65">
        <f t="shared" si="25"/>
        <v>1189.1220363681646</v>
      </c>
      <c r="BR69" s="65"/>
      <c r="BS69" s="41">
        <v>889.00883948234377</v>
      </c>
      <c r="BT69" s="314"/>
      <c r="BU69" s="314"/>
      <c r="BV69" s="41">
        <v>285.26609986104847</v>
      </c>
      <c r="BW69" s="65">
        <v>0</v>
      </c>
      <c r="BX69" s="34">
        <v>-512.18700000000001</v>
      </c>
      <c r="BY69" s="65">
        <f t="shared" si="46"/>
        <v>662.08793934339235</v>
      </c>
      <c r="CA69" s="5">
        <v>887.02014686714415</v>
      </c>
      <c r="CB69" s="407">
        <v>302.14577153048901</v>
      </c>
      <c r="CC69" s="415">
        <v>0</v>
      </c>
      <c r="CD69" s="34">
        <v>-512.18700000000001</v>
      </c>
      <c r="CE69" s="65">
        <f t="shared" si="26"/>
        <v>676.97891839763304</v>
      </c>
      <c r="CF69" s="407"/>
      <c r="CG69" s="5">
        <v>928.19243061308771</v>
      </c>
      <c r="CH69" s="407">
        <v>316.63032488592438</v>
      </c>
      <c r="CI69" s="415">
        <v>0</v>
      </c>
      <c r="CJ69" s="34">
        <v>-512.18700000000001</v>
      </c>
      <c r="CK69" s="65">
        <f t="shared" si="27"/>
        <v>732.63575549901213</v>
      </c>
      <c r="CL69" s="407"/>
      <c r="CM69" s="41">
        <f>AU69/'1. Väestöennuste'!L69*1000</f>
        <v>2691.8125769703906</v>
      </c>
      <c r="CN69" s="41">
        <f>BC69/'1. Väestöennuste'!M69*1000</f>
        <v>509.77539067736757</v>
      </c>
      <c r="CO69" s="41">
        <f>BK69/'1. Väestöennuste'!N69*1000</f>
        <v>671.89199878017735</v>
      </c>
      <c r="CP69" s="41">
        <f>BQ69/'1. Väestöennuste'!O69*1000</f>
        <v>721.99273610696093</v>
      </c>
      <c r="CQ69" s="41">
        <f>BY69/'1. Väestöennuste'!P69*1000</f>
        <v>408.19231772095702</v>
      </c>
      <c r="CR69" s="41">
        <f>CE69/'1. Väestöennuste'!Q69*1000</f>
        <v>423.11182399852066</v>
      </c>
      <c r="CS69" s="41">
        <f>CK69/'1. Väestöennuste'!R69*1000</f>
        <v>464.28121387770102</v>
      </c>
      <c r="CT69" s="41"/>
      <c r="CV69" s="41">
        <f t="shared" si="28"/>
        <v>1244.8227554990121</v>
      </c>
      <c r="CW69" s="41">
        <f t="shared" si="29"/>
        <v>1959.1768214713784</v>
      </c>
      <c r="CX69" s="41">
        <f t="shared" si="30"/>
        <v>-2182.0371862930233</v>
      </c>
      <c r="CY69" s="41">
        <f t="shared" si="31"/>
        <v>162.11660810280978</v>
      </c>
      <c r="CZ69" s="41">
        <f t="shared" si="32"/>
        <v>50.100737326783587</v>
      </c>
      <c r="DA69" s="41">
        <f t="shared" si="33"/>
        <v>-313.80041838600391</v>
      </c>
      <c r="DB69" s="41">
        <f t="shared" si="34"/>
        <v>14.919506277563642</v>
      </c>
      <c r="DC69" s="41">
        <f t="shared" si="35"/>
        <v>41.169389879180358</v>
      </c>
      <c r="DD69" s="41"/>
      <c r="DE69" s="283">
        <f t="shared" si="36"/>
        <v>-2.4304067762340944</v>
      </c>
      <c r="DF69" s="283">
        <f t="shared" si="37"/>
        <v>2.6741485202792838</v>
      </c>
      <c r="DG69" s="283">
        <f t="shared" si="38"/>
        <v>-0.81062002791772569</v>
      </c>
      <c r="DH69" s="283">
        <f t="shared" si="39"/>
        <v>0.31801575962189194</v>
      </c>
      <c r="DI69" s="283">
        <f t="shared" si="40"/>
        <v>7.4566652702728539E-2</v>
      </c>
      <c r="DJ69" s="283">
        <f t="shared" si="41"/>
        <v>-0.43463099099589192</v>
      </c>
      <c r="DK69" s="283">
        <f t="shared" si="42"/>
        <v>3.6550188795475363E-2</v>
      </c>
      <c r="DL69" s="283">
        <f t="shared" si="43"/>
        <v>9.7301440290934293E-2</v>
      </c>
    </row>
    <row r="70" spans="1:116" x14ac:dyDescent="0.2">
      <c r="A70" s="30">
        <v>178</v>
      </c>
      <c r="B70" s="31" t="s">
        <v>384</v>
      </c>
      <c r="C70" s="65"/>
      <c r="D70" s="65"/>
      <c r="E70" s="65"/>
      <c r="F70" s="65"/>
      <c r="G70" s="65"/>
      <c r="H70" s="65">
        <v>21308</v>
      </c>
      <c r="I70" s="65"/>
      <c r="J70" s="65"/>
      <c r="K70" s="65"/>
      <c r="L70" s="65"/>
      <c r="M70" s="65"/>
      <c r="N70" s="65">
        <v>21780</v>
      </c>
      <c r="O70" s="65"/>
      <c r="P70" s="65"/>
      <c r="Q70" s="65"/>
      <c r="R70" s="65"/>
      <c r="S70" s="65"/>
      <c r="T70" s="65">
        <v>21548</v>
      </c>
      <c r="U70" s="65"/>
      <c r="V70" s="65"/>
      <c r="W70" s="65"/>
      <c r="X70" s="65"/>
      <c r="Y70" s="65"/>
      <c r="Z70" s="65">
        <v>21196</v>
      </c>
      <c r="AA70" s="65"/>
      <c r="AB70" s="66">
        <v>20796.937330722987</v>
      </c>
      <c r="AC70" s="34">
        <v>97.746303031613479</v>
      </c>
      <c r="AD70" s="180">
        <v>3781.7469700938127</v>
      </c>
      <c r="AE70" s="65">
        <v>640</v>
      </c>
      <c r="AF70" s="34">
        <v>-563.524</v>
      </c>
      <c r="AG70" s="65">
        <f t="shared" si="22"/>
        <v>24752.906603848412</v>
      </c>
      <c r="AH70" s="65"/>
      <c r="AI70" s="66">
        <v>20168.110416341187</v>
      </c>
      <c r="AJ70" s="34">
        <v>-74.608587815179646</v>
      </c>
      <c r="AK70" s="181">
        <v>4027.776321467773</v>
      </c>
      <c r="AL70" s="65">
        <v>0</v>
      </c>
      <c r="AM70" s="34">
        <v>-606.86099999999999</v>
      </c>
      <c r="AN70" s="65">
        <f t="shared" si="23"/>
        <v>23514.41714999378</v>
      </c>
      <c r="AO70" s="65"/>
      <c r="AP70" s="41">
        <v>20092.920168910263</v>
      </c>
      <c r="AQ70" s="41">
        <v>-22.765294832038531</v>
      </c>
      <c r="AR70" s="41">
        <v>4493.7854403162873</v>
      </c>
      <c r="AS70" s="65">
        <v>0</v>
      </c>
      <c r="AT70" s="34">
        <v>-581.01800000000003</v>
      </c>
      <c r="AU70" s="65">
        <f t="shared" si="24"/>
        <v>23982.922314394509</v>
      </c>
      <c r="AV70" s="65"/>
      <c r="AW70" s="41">
        <v>3190.7261722261815</v>
      </c>
      <c r="AX70" s="314"/>
      <c r="AY70" s="314"/>
      <c r="AZ70" s="41">
        <v>1352.2229635741962</v>
      </c>
      <c r="BA70" s="65">
        <v>0</v>
      </c>
      <c r="BB70" s="34">
        <v>-712.04</v>
      </c>
      <c r="BC70" s="65">
        <f t="shared" si="44"/>
        <v>3830.909135800378</v>
      </c>
      <c r="BD70" s="65"/>
      <c r="BE70" s="41">
        <v>2898.9840979483324</v>
      </c>
      <c r="BF70" s="314"/>
      <c r="BG70" s="314"/>
      <c r="BH70" s="41">
        <v>1344.0148102650951</v>
      </c>
      <c r="BI70" s="65">
        <v>0</v>
      </c>
      <c r="BJ70" s="34">
        <v>-102.343</v>
      </c>
      <c r="BK70" s="65">
        <f t="shared" si="45"/>
        <v>4140.6559082134272</v>
      </c>
      <c r="BL70" s="65"/>
      <c r="BM70" s="41">
        <v>3522.273534661108</v>
      </c>
      <c r="BN70" s="41">
        <v>1022.3544387742031</v>
      </c>
      <c r="BO70" s="65">
        <v>0</v>
      </c>
      <c r="BP70" s="34">
        <v>-102.343</v>
      </c>
      <c r="BQ70" s="65">
        <f t="shared" si="25"/>
        <v>4442.2849734353113</v>
      </c>
      <c r="BR70" s="65"/>
      <c r="BS70" s="41">
        <v>3678.1309191535215</v>
      </c>
      <c r="BT70" s="314"/>
      <c r="BU70" s="314"/>
      <c r="BV70" s="41">
        <v>1082.3922111890779</v>
      </c>
      <c r="BW70" s="65">
        <v>0</v>
      </c>
      <c r="BX70" s="34">
        <v>-102.343</v>
      </c>
      <c r="BY70" s="65">
        <f t="shared" si="46"/>
        <v>4658.1801303425991</v>
      </c>
      <c r="CA70" s="5">
        <v>3602.8415498859363</v>
      </c>
      <c r="CB70" s="407">
        <v>1142.8936312220387</v>
      </c>
      <c r="CC70" s="415">
        <v>0</v>
      </c>
      <c r="CD70" s="34">
        <v>-102.343</v>
      </c>
      <c r="CE70" s="65">
        <f t="shared" si="26"/>
        <v>4643.3921811079754</v>
      </c>
      <c r="CF70" s="407"/>
      <c r="CG70" s="5">
        <v>4506.1517709809887</v>
      </c>
      <c r="CH70" s="407">
        <v>1196.1219342697839</v>
      </c>
      <c r="CI70" s="415">
        <v>0</v>
      </c>
      <c r="CJ70" s="34">
        <v>-102.343</v>
      </c>
      <c r="CK70" s="65">
        <f t="shared" si="27"/>
        <v>5599.9307052507729</v>
      </c>
      <c r="CL70" s="407"/>
      <c r="CM70" s="41">
        <f>AU70/'1. Väestöennuste'!L70*1000</f>
        <v>4157.2061560746251</v>
      </c>
      <c r="CN70" s="41">
        <f>BC70/'1. Väestöennuste'!M70*1000</f>
        <v>668.10413948384689</v>
      </c>
      <c r="CO70" s="41">
        <f>BK70/'1. Väestöennuste'!N70*1000</f>
        <v>749.84714020525666</v>
      </c>
      <c r="CP70" s="41">
        <f>BQ70/'1. Väestöennuste'!O70*1000</f>
        <v>817.64862386072355</v>
      </c>
      <c r="CQ70" s="41">
        <f>BY70/'1. Väestöennuste'!P70*1000</f>
        <v>871.17638495279584</v>
      </c>
      <c r="CR70" s="41">
        <f>CE70/'1. Väestöennuste'!Q70*1000</f>
        <v>881.26630880773871</v>
      </c>
      <c r="CS70" s="41">
        <f>CK70/'1. Väestöennuste'!R70*1000</f>
        <v>1078.3613913442659</v>
      </c>
      <c r="CT70" s="41"/>
      <c r="CV70" s="41">
        <f t="shared" si="28"/>
        <v>5702.2737052507728</v>
      </c>
      <c r="CW70" s="41">
        <f t="shared" si="29"/>
        <v>-1442.7245491761478</v>
      </c>
      <c r="CX70" s="41">
        <f t="shared" si="30"/>
        <v>-3489.1020165907785</v>
      </c>
      <c r="CY70" s="41">
        <f t="shared" si="31"/>
        <v>81.743000721409771</v>
      </c>
      <c r="CZ70" s="41">
        <f t="shared" si="32"/>
        <v>67.801483655466882</v>
      </c>
      <c r="DA70" s="41">
        <f t="shared" si="33"/>
        <v>53.527761092072296</v>
      </c>
      <c r="DB70" s="41">
        <f t="shared" si="34"/>
        <v>10.089923854942867</v>
      </c>
      <c r="DC70" s="41">
        <f t="shared" si="35"/>
        <v>197.09508253652723</v>
      </c>
      <c r="DD70" s="41"/>
      <c r="DE70" s="283">
        <f t="shared" si="36"/>
        <v>-55.717281155045022</v>
      </c>
      <c r="DF70" s="283">
        <f t="shared" si="37"/>
        <v>-0.25763257174296417</v>
      </c>
      <c r="DG70" s="283">
        <f t="shared" si="38"/>
        <v>-0.83929011109838891</v>
      </c>
      <c r="DH70" s="283">
        <f t="shared" si="39"/>
        <v>0.12235068740116094</v>
      </c>
      <c r="DI70" s="283">
        <f t="shared" si="40"/>
        <v>9.0420407067109021E-2</v>
      </c>
      <c r="DJ70" s="283">
        <f t="shared" si="41"/>
        <v>6.5465481785229665E-2</v>
      </c>
      <c r="DK70" s="283">
        <f t="shared" si="42"/>
        <v>1.1581952896358163E-2</v>
      </c>
      <c r="DL70" s="283">
        <f t="shared" si="43"/>
        <v>0.2236498554031599</v>
      </c>
    </row>
    <row r="71" spans="1:116" x14ac:dyDescent="0.2">
      <c r="A71" s="30">
        <v>179</v>
      </c>
      <c r="B71" s="31" t="s">
        <v>385</v>
      </c>
      <c r="C71" s="65"/>
      <c r="D71" s="65"/>
      <c r="E71" s="65"/>
      <c r="F71" s="65"/>
      <c r="G71" s="65"/>
      <c r="H71" s="65">
        <v>176723</v>
      </c>
      <c r="I71" s="65"/>
      <c r="J71" s="65"/>
      <c r="K71" s="65"/>
      <c r="L71" s="65"/>
      <c r="M71" s="65"/>
      <c r="N71" s="65">
        <v>173337</v>
      </c>
      <c r="O71" s="65"/>
      <c r="P71" s="65"/>
      <c r="Q71" s="65"/>
      <c r="R71" s="65"/>
      <c r="S71" s="65"/>
      <c r="T71" s="65">
        <v>173454</v>
      </c>
      <c r="U71" s="65"/>
      <c r="V71" s="65"/>
      <c r="W71" s="65"/>
      <c r="X71" s="65"/>
      <c r="Y71" s="65"/>
      <c r="Z71" s="65">
        <v>173607</v>
      </c>
      <c r="AA71" s="65"/>
      <c r="AB71" s="66">
        <v>193014.85089140854</v>
      </c>
      <c r="AC71" s="34">
        <v>2666.4081589460898</v>
      </c>
      <c r="AD71" s="180">
        <v>56358.13939074432</v>
      </c>
      <c r="AE71" s="65">
        <v>0</v>
      </c>
      <c r="AF71" s="34">
        <v>-21838.499</v>
      </c>
      <c r="AG71" s="65">
        <f t="shared" si="22"/>
        <v>230200.89944109894</v>
      </c>
      <c r="AH71" s="65"/>
      <c r="AI71" s="66">
        <v>172713.98737243016</v>
      </c>
      <c r="AJ71" s="34">
        <v>-2072.7257025395011</v>
      </c>
      <c r="AK71" s="181">
        <v>61173.59472787194</v>
      </c>
      <c r="AL71" s="65">
        <v>0</v>
      </c>
      <c r="AM71" s="34">
        <v>-21840.814999999999</v>
      </c>
      <c r="AN71" s="65">
        <f t="shared" si="23"/>
        <v>209974.0413977626</v>
      </c>
      <c r="AO71" s="65"/>
      <c r="AP71" s="41">
        <v>175259.38510028587</v>
      </c>
      <c r="AQ71" s="41">
        <v>-639.48795609847525</v>
      </c>
      <c r="AR71" s="41">
        <v>68769.177317952868</v>
      </c>
      <c r="AS71" s="65">
        <v>0</v>
      </c>
      <c r="AT71" s="34">
        <v>-22721.521000000001</v>
      </c>
      <c r="AU71" s="65">
        <f t="shared" si="24"/>
        <v>220667.55346214026</v>
      </c>
      <c r="AV71" s="65"/>
      <c r="AW71" s="41">
        <v>59814.87924250964</v>
      </c>
      <c r="AX71" s="314"/>
      <c r="AY71" s="314"/>
      <c r="AZ71" s="41">
        <v>21122.633565577344</v>
      </c>
      <c r="BA71" s="65">
        <v>0</v>
      </c>
      <c r="BB71" s="34">
        <v>-23235.94</v>
      </c>
      <c r="BC71" s="65">
        <f t="shared" si="44"/>
        <v>57701.572808086989</v>
      </c>
      <c r="BD71" s="65"/>
      <c r="BE71" s="41">
        <v>31853.22904738842</v>
      </c>
      <c r="BF71" s="314"/>
      <c r="BG71" s="314"/>
      <c r="BH71" s="41">
        <v>21221.48907933486</v>
      </c>
      <c r="BI71" s="65">
        <v>0</v>
      </c>
      <c r="BJ71" s="34">
        <v>-23015.814999999999</v>
      </c>
      <c r="BK71" s="65">
        <f t="shared" si="45"/>
        <v>30058.903126723282</v>
      </c>
      <c r="BL71" s="65"/>
      <c r="BM71" s="41">
        <v>59091.908325852004</v>
      </c>
      <c r="BN71" s="41">
        <v>12468.276225247815</v>
      </c>
      <c r="BO71" s="65">
        <v>0</v>
      </c>
      <c r="BP71" s="34">
        <v>-23015.814999999999</v>
      </c>
      <c r="BQ71" s="65">
        <f t="shared" si="25"/>
        <v>48544.369551099822</v>
      </c>
      <c r="BR71" s="65"/>
      <c r="BS71" s="41">
        <v>66835.782337689539</v>
      </c>
      <c r="BT71" s="314"/>
      <c r="BU71" s="314"/>
      <c r="BV71" s="41">
        <v>13523.332671216895</v>
      </c>
      <c r="BW71" s="65">
        <v>0</v>
      </c>
      <c r="BX71" s="34">
        <v>-23015.814999999999</v>
      </c>
      <c r="BY71" s="65">
        <f t="shared" si="46"/>
        <v>57343.30000890643</v>
      </c>
      <c r="CA71" s="5">
        <v>65030.298951828088</v>
      </c>
      <c r="CB71" s="407">
        <v>14699.478211110909</v>
      </c>
      <c r="CC71" s="415">
        <v>0</v>
      </c>
      <c r="CD71" s="34">
        <v>-23015.814999999999</v>
      </c>
      <c r="CE71" s="65">
        <f t="shared" si="26"/>
        <v>56713.962162938988</v>
      </c>
      <c r="CF71" s="407"/>
      <c r="CG71" s="5">
        <v>68178.828408288013</v>
      </c>
      <c r="CH71" s="407">
        <v>15689.510005234621</v>
      </c>
      <c r="CI71" s="415">
        <v>0</v>
      </c>
      <c r="CJ71" s="34">
        <v>-23015.814999999999</v>
      </c>
      <c r="CK71" s="65">
        <f t="shared" si="27"/>
        <v>60852.523413522635</v>
      </c>
      <c r="CL71" s="407"/>
      <c r="CM71" s="41">
        <f>AU71/'1. Väestöennuste'!L71*1000</f>
        <v>1512.5923040582113</v>
      </c>
      <c r="CN71" s="41">
        <f>BC71/'1. Väestöennuste'!M71*1000</f>
        <v>390.54575290083648</v>
      </c>
      <c r="CO71" s="41">
        <f>BK71/'1. Väestöennuste'!N71*1000</f>
        <v>203.69664712790313</v>
      </c>
      <c r="CP71" s="41">
        <f>BQ71/'1. Väestöennuste'!O71*1000</f>
        <v>327.11178042963974</v>
      </c>
      <c r="CQ71" s="41">
        <f>BY71/'1. Väestöennuste'!P71*1000</f>
        <v>384.40288258023412</v>
      </c>
      <c r="CR71" s="41">
        <f>CE71/'1. Väestöennuste'!Q71*1000</f>
        <v>378.35540750212806</v>
      </c>
      <c r="CS71" s="41">
        <f>CK71/'1. Väestöennuste'!R71*1000</f>
        <v>404.15578057291862</v>
      </c>
      <c r="CT71" s="41"/>
      <c r="CV71" s="41">
        <f t="shared" si="28"/>
        <v>83868.338413522637</v>
      </c>
      <c r="CW71" s="41">
        <f t="shared" si="29"/>
        <v>-59339.931109464422</v>
      </c>
      <c r="CX71" s="41">
        <f t="shared" si="30"/>
        <v>-1122.0465511573748</v>
      </c>
      <c r="CY71" s="41">
        <f t="shared" si="31"/>
        <v>-186.84910577293334</v>
      </c>
      <c r="CZ71" s="41">
        <f t="shared" si="32"/>
        <v>123.4151333017366</v>
      </c>
      <c r="DA71" s="41">
        <f t="shared" si="33"/>
        <v>57.291102150594384</v>
      </c>
      <c r="DB71" s="41">
        <f t="shared" si="34"/>
        <v>-6.0474750781060607</v>
      </c>
      <c r="DC71" s="41">
        <f t="shared" si="35"/>
        <v>25.800373070790556</v>
      </c>
      <c r="DD71" s="41"/>
      <c r="DE71" s="283">
        <f t="shared" si="36"/>
        <v>-3.6439438887357514</v>
      </c>
      <c r="DF71" s="283">
        <f t="shared" si="37"/>
        <v>-0.97514331010105515</v>
      </c>
      <c r="DG71" s="283">
        <f t="shared" si="38"/>
        <v>-0.74180368903568972</v>
      </c>
      <c r="DH71" s="283">
        <f t="shared" si="39"/>
        <v>-0.47843077126068817</v>
      </c>
      <c r="DI71" s="283">
        <f t="shared" si="40"/>
        <v>0.60587709734978124</v>
      </c>
      <c r="DJ71" s="283">
        <f t="shared" si="41"/>
        <v>0.17514227728315471</v>
      </c>
      <c r="DK71" s="283">
        <f t="shared" si="42"/>
        <v>-1.5732127286646472E-2</v>
      </c>
      <c r="DL71" s="283">
        <f t="shared" si="43"/>
        <v>6.8190840038794581E-2</v>
      </c>
    </row>
    <row r="72" spans="1:116" x14ac:dyDescent="0.2">
      <c r="A72" s="30">
        <v>181</v>
      </c>
      <c r="B72" s="31" t="s">
        <v>386</v>
      </c>
      <c r="C72" s="65"/>
      <c r="D72" s="65"/>
      <c r="E72" s="65"/>
      <c r="F72" s="65"/>
      <c r="G72" s="65"/>
      <c r="H72" s="65">
        <v>5725</v>
      </c>
      <c r="I72" s="65"/>
      <c r="J72" s="65"/>
      <c r="K72" s="65"/>
      <c r="L72" s="65"/>
      <c r="M72" s="65"/>
      <c r="N72" s="65">
        <v>5862</v>
      </c>
      <c r="O72" s="65"/>
      <c r="P72" s="65"/>
      <c r="Q72" s="65"/>
      <c r="R72" s="65"/>
      <c r="S72" s="65"/>
      <c r="T72" s="65">
        <v>5535</v>
      </c>
      <c r="U72" s="65"/>
      <c r="V72" s="65"/>
      <c r="W72" s="65"/>
      <c r="X72" s="65"/>
      <c r="Y72" s="65"/>
      <c r="Z72" s="65">
        <v>5428</v>
      </c>
      <c r="AA72" s="65"/>
      <c r="AB72" s="66">
        <v>4990.4807743987858</v>
      </c>
      <c r="AC72" s="34">
        <v>28.645682751224385</v>
      </c>
      <c r="AD72" s="180">
        <v>1171.7686010859459</v>
      </c>
      <c r="AE72" s="65">
        <v>0</v>
      </c>
      <c r="AF72" s="34">
        <v>-415.291</v>
      </c>
      <c r="AG72" s="65">
        <f t="shared" si="22"/>
        <v>5775.6040582359565</v>
      </c>
      <c r="AH72" s="65"/>
      <c r="AI72" s="66">
        <v>4597.4564469334291</v>
      </c>
      <c r="AJ72" s="34">
        <v>-22.289320323259144</v>
      </c>
      <c r="AK72" s="181">
        <v>1244.4650634419907</v>
      </c>
      <c r="AL72" s="65">
        <v>315</v>
      </c>
      <c r="AM72" s="34">
        <v>-356.983</v>
      </c>
      <c r="AN72" s="65">
        <f t="shared" si="23"/>
        <v>5777.6491900521605</v>
      </c>
      <c r="AO72" s="65"/>
      <c r="AP72" s="41">
        <v>4685.534956044823</v>
      </c>
      <c r="AQ72" s="41">
        <v>-6.8635823057542771</v>
      </c>
      <c r="AR72" s="41">
        <v>1395.869195644661</v>
      </c>
      <c r="AS72" s="65">
        <v>0</v>
      </c>
      <c r="AT72" s="34">
        <v>-369.01600000000002</v>
      </c>
      <c r="AU72" s="65">
        <f t="shared" si="24"/>
        <v>5705.5245693837305</v>
      </c>
      <c r="AV72" s="65"/>
      <c r="AW72" s="41">
        <v>1818.8785782202617</v>
      </c>
      <c r="AX72" s="314"/>
      <c r="AY72" s="314"/>
      <c r="AZ72" s="41">
        <v>431.79735128548708</v>
      </c>
      <c r="BA72" s="65">
        <v>180</v>
      </c>
      <c r="BB72" s="34">
        <v>-381.08300000000003</v>
      </c>
      <c r="BC72" s="65">
        <f t="shared" si="44"/>
        <v>2049.5929295057485</v>
      </c>
      <c r="BD72" s="65"/>
      <c r="BE72" s="41">
        <v>1780.8551803652192</v>
      </c>
      <c r="BF72" s="314"/>
      <c r="BG72" s="314"/>
      <c r="BH72" s="41">
        <v>426.3613055814975</v>
      </c>
      <c r="BI72" s="65">
        <v>0</v>
      </c>
      <c r="BJ72" s="34">
        <v>-397.29500000000002</v>
      </c>
      <c r="BK72" s="65">
        <f t="shared" si="45"/>
        <v>1809.9214859467165</v>
      </c>
      <c r="BL72" s="65"/>
      <c r="BM72" s="41">
        <v>2068.7133643108114</v>
      </c>
      <c r="BN72" s="41">
        <v>291.09408849518837</v>
      </c>
      <c r="BO72" s="65">
        <v>0</v>
      </c>
      <c r="BP72" s="34">
        <v>-397.29500000000002</v>
      </c>
      <c r="BQ72" s="65">
        <f t="shared" si="25"/>
        <v>1962.5124528059996</v>
      </c>
      <c r="BR72" s="65"/>
      <c r="BS72" s="41">
        <v>2094.1112231907587</v>
      </c>
      <c r="BT72" s="314"/>
      <c r="BU72" s="314"/>
      <c r="BV72" s="41">
        <v>310.03258558943355</v>
      </c>
      <c r="BW72" s="65">
        <v>0</v>
      </c>
      <c r="BX72" s="34">
        <v>-397.29500000000002</v>
      </c>
      <c r="BY72" s="65">
        <f t="shared" si="46"/>
        <v>2006.848808780192</v>
      </c>
      <c r="CA72" s="5">
        <v>2123.1546434731958</v>
      </c>
      <c r="CB72" s="407">
        <v>328.79306144834101</v>
      </c>
      <c r="CC72" s="415">
        <v>0</v>
      </c>
      <c r="CD72" s="34">
        <v>-397.29500000000002</v>
      </c>
      <c r="CE72" s="65">
        <f t="shared" si="26"/>
        <v>2054.652704921537</v>
      </c>
      <c r="CF72" s="407"/>
      <c r="CG72" s="5">
        <v>2325.3471533366319</v>
      </c>
      <c r="CH72" s="407">
        <v>345.4993560037779</v>
      </c>
      <c r="CI72" s="415">
        <v>0</v>
      </c>
      <c r="CJ72" s="34">
        <v>-397.29500000000002</v>
      </c>
      <c r="CK72" s="65">
        <f t="shared" si="27"/>
        <v>2273.5515093404097</v>
      </c>
      <c r="CL72" s="407"/>
      <c r="CM72" s="41">
        <f>AU72/'1. Väestöennuste'!L72*1000</f>
        <v>3390.0918415827273</v>
      </c>
      <c r="CN72" s="41">
        <f>BC72/'1. Väestöennuste'!M72*1000</f>
        <v>1218.5451423934294</v>
      </c>
      <c r="CO72" s="41">
        <f>BK72/'1. Väestöennuste'!N72*1000</f>
        <v>1157.2388017562125</v>
      </c>
      <c r="CP72" s="41">
        <f>BQ72/'1. Väestöennuste'!O72*1000</f>
        <v>1278.5097412416935</v>
      </c>
      <c r="CQ72" s="41">
        <f>BY72/'1. Väestöennuste'!P72*1000</f>
        <v>1331.684677359119</v>
      </c>
      <c r="CR72" s="41">
        <f>CE72/'1. Väestöennuste'!Q72*1000</f>
        <v>1390.1574458197138</v>
      </c>
      <c r="CS72" s="41">
        <f>CK72/'1. Väestöennuste'!R72*1000</f>
        <v>1564.7291874331795</v>
      </c>
      <c r="CT72" s="41"/>
      <c r="CV72" s="41">
        <f t="shared" si="28"/>
        <v>2670.8465093404097</v>
      </c>
      <c r="CW72" s="41">
        <f t="shared" si="29"/>
        <v>1116.5403322423176</v>
      </c>
      <c r="CX72" s="41">
        <f t="shared" si="30"/>
        <v>-2171.5466991892981</v>
      </c>
      <c r="CY72" s="41">
        <f t="shared" si="31"/>
        <v>-61.306340637216863</v>
      </c>
      <c r="CZ72" s="41">
        <f t="shared" si="32"/>
        <v>121.27093948548099</v>
      </c>
      <c r="DA72" s="41">
        <f t="shared" si="33"/>
        <v>53.174936117425432</v>
      </c>
      <c r="DB72" s="41">
        <f t="shared" si="34"/>
        <v>58.472768460594807</v>
      </c>
      <c r="DC72" s="41">
        <f t="shared" si="35"/>
        <v>174.57174161346575</v>
      </c>
      <c r="DD72" s="41"/>
      <c r="DE72" s="283">
        <f t="shared" si="36"/>
        <v>-6.7225777050816387</v>
      </c>
      <c r="DF72" s="283">
        <f t="shared" si="37"/>
        <v>0.4910996419721505</v>
      </c>
      <c r="DG72" s="283">
        <f t="shared" si="38"/>
        <v>-0.64055689363727419</v>
      </c>
      <c r="DH72" s="283">
        <f t="shared" si="39"/>
        <v>-5.0311095177648327E-2</v>
      </c>
      <c r="DI72" s="283">
        <f t="shared" si="40"/>
        <v>0.10479335751742992</v>
      </c>
      <c r="DJ72" s="283">
        <f t="shared" si="41"/>
        <v>4.1591342171379726E-2</v>
      </c>
      <c r="DK72" s="283">
        <f t="shared" si="42"/>
        <v>4.3908869310228082E-2</v>
      </c>
      <c r="DL72" s="283">
        <f t="shared" si="43"/>
        <v>0.12557695686802481</v>
      </c>
    </row>
    <row r="73" spans="1:116" x14ac:dyDescent="0.2">
      <c r="A73" s="30">
        <v>182</v>
      </c>
      <c r="B73" s="31" t="s">
        <v>387</v>
      </c>
      <c r="C73" s="65"/>
      <c r="D73" s="65"/>
      <c r="E73" s="65"/>
      <c r="F73" s="65"/>
      <c r="G73" s="65"/>
      <c r="H73" s="65">
        <v>45577</v>
      </c>
      <c r="I73" s="65"/>
      <c r="J73" s="65"/>
      <c r="K73" s="65"/>
      <c r="L73" s="65"/>
      <c r="M73" s="65"/>
      <c r="N73" s="65">
        <v>43851</v>
      </c>
      <c r="O73" s="65"/>
      <c r="P73" s="65"/>
      <c r="Q73" s="65"/>
      <c r="R73" s="65"/>
      <c r="S73" s="65"/>
      <c r="T73" s="65">
        <v>42252</v>
      </c>
      <c r="U73" s="65"/>
      <c r="V73" s="65"/>
      <c r="W73" s="65"/>
      <c r="X73" s="65"/>
      <c r="Y73" s="65"/>
      <c r="Z73" s="65">
        <v>42543</v>
      </c>
      <c r="AA73" s="65"/>
      <c r="AB73" s="66">
        <v>43557.276259107777</v>
      </c>
      <c r="AC73" s="34">
        <v>423.26788513555641</v>
      </c>
      <c r="AD73" s="180">
        <v>9135.6633648623938</v>
      </c>
      <c r="AE73" s="65">
        <v>0</v>
      </c>
      <c r="AF73" s="34">
        <v>-1912.489</v>
      </c>
      <c r="AG73" s="65">
        <f t="shared" si="22"/>
        <v>51203.718509105733</v>
      </c>
      <c r="AH73" s="65"/>
      <c r="AI73" s="66">
        <v>39229.202798104896</v>
      </c>
      <c r="AJ73" s="34">
        <v>-323.96958338388083</v>
      </c>
      <c r="AK73" s="181">
        <v>9770.391268101901</v>
      </c>
      <c r="AL73" s="65">
        <v>0</v>
      </c>
      <c r="AM73" s="34">
        <v>-1901.364</v>
      </c>
      <c r="AN73" s="65">
        <f t="shared" si="23"/>
        <v>46774.260482822916</v>
      </c>
      <c r="AO73" s="65"/>
      <c r="AP73" s="41">
        <v>38560.834999917424</v>
      </c>
      <c r="AQ73" s="41">
        <v>-99.085218166529472</v>
      </c>
      <c r="AR73" s="41">
        <v>11016.377136233281</v>
      </c>
      <c r="AS73" s="65">
        <v>0</v>
      </c>
      <c r="AT73" s="34">
        <v>-2110.8969999999999</v>
      </c>
      <c r="AU73" s="65">
        <f t="shared" si="24"/>
        <v>47367.229917984179</v>
      </c>
      <c r="AV73" s="65"/>
      <c r="AW73" s="41">
        <v>3930.5788301757298</v>
      </c>
      <c r="AX73" s="314"/>
      <c r="AY73" s="314"/>
      <c r="AZ73" s="41">
        <v>3333.7706346947894</v>
      </c>
      <c r="BA73" s="65">
        <v>1100</v>
      </c>
      <c r="BB73" s="34">
        <v>-1454.6189999999999</v>
      </c>
      <c r="BC73" s="65">
        <f t="shared" si="44"/>
        <v>6909.7304648705203</v>
      </c>
      <c r="BD73" s="65"/>
      <c r="BE73" s="41">
        <v>-125.52144281266304</v>
      </c>
      <c r="BF73" s="314"/>
      <c r="BG73" s="314"/>
      <c r="BH73" s="41">
        <v>3275.3895878337244</v>
      </c>
      <c r="BI73" s="65">
        <v>0</v>
      </c>
      <c r="BJ73" s="34">
        <v>-1359.346</v>
      </c>
      <c r="BK73" s="65">
        <f t="shared" si="45"/>
        <v>1790.5221450210615</v>
      </c>
      <c r="BL73" s="65"/>
      <c r="BM73" s="41">
        <v>3501.0329339514215</v>
      </c>
      <c r="BN73" s="41">
        <v>1977.1229153128256</v>
      </c>
      <c r="BO73" s="65">
        <v>0</v>
      </c>
      <c r="BP73" s="34">
        <v>-1359.346</v>
      </c>
      <c r="BQ73" s="65">
        <f t="shared" si="25"/>
        <v>4118.8098492642475</v>
      </c>
      <c r="BR73" s="65"/>
      <c r="BS73" s="41">
        <v>3813.9570283681073</v>
      </c>
      <c r="BT73" s="314"/>
      <c r="BU73" s="314"/>
      <c r="BV73" s="41">
        <v>2137.969699841849</v>
      </c>
      <c r="BW73" s="65">
        <v>0</v>
      </c>
      <c r="BX73" s="34">
        <v>-1359.346</v>
      </c>
      <c r="BY73" s="65">
        <f t="shared" si="46"/>
        <v>4592.5807282099559</v>
      </c>
      <c r="CA73" s="5">
        <v>3405.8902299311962</v>
      </c>
      <c r="CB73" s="407">
        <v>2307.8761891511749</v>
      </c>
      <c r="CC73" s="415">
        <v>0</v>
      </c>
      <c r="CD73" s="34">
        <v>-1359.346</v>
      </c>
      <c r="CE73" s="65">
        <f t="shared" si="26"/>
        <v>4354.4204190823712</v>
      </c>
      <c r="CF73" s="407"/>
      <c r="CG73" s="5">
        <v>4952.6229800092333</v>
      </c>
      <c r="CH73" s="407">
        <v>2452.7777184186862</v>
      </c>
      <c r="CI73" s="415">
        <v>0</v>
      </c>
      <c r="CJ73" s="34">
        <v>-1359.346</v>
      </c>
      <c r="CK73" s="65">
        <f t="shared" si="27"/>
        <v>6046.054698427919</v>
      </c>
      <c r="CL73" s="407"/>
      <c r="CM73" s="41">
        <f>AU73/'1. Väestöennuste'!L73*1000</f>
        <v>2448.298439964035</v>
      </c>
      <c r="CN73" s="41">
        <f>BC73/'1. Väestöennuste'!M73*1000</f>
        <v>360.21950082736527</v>
      </c>
      <c r="CO73" s="41">
        <f>BK73/'1. Väestöennuste'!N73*1000</f>
        <v>96.13025582632136</v>
      </c>
      <c r="CP73" s="41">
        <f>BQ73/'1. Väestöennuste'!O73*1000</f>
        <v>224.31161361857355</v>
      </c>
      <c r="CQ73" s="41">
        <f>BY73/'1. Väestöennuste'!P73*1000</f>
        <v>253.67768052419109</v>
      </c>
      <c r="CR73" s="41">
        <f>CE73/'1. Väestöennuste'!Q73*1000</f>
        <v>243.82218596127279</v>
      </c>
      <c r="CS73" s="41">
        <f>CK73/'1. Väestöennuste'!R73*1000</f>
        <v>343.15538330370168</v>
      </c>
      <c r="CT73" s="41"/>
      <c r="CV73" s="41">
        <f t="shared" si="28"/>
        <v>7405.4006984279185</v>
      </c>
      <c r="CW73" s="41">
        <f t="shared" si="29"/>
        <v>-3597.756258463884</v>
      </c>
      <c r="CX73" s="41">
        <f t="shared" si="30"/>
        <v>-2088.0789391366698</v>
      </c>
      <c r="CY73" s="41">
        <f t="shared" si="31"/>
        <v>-264.08924500104388</v>
      </c>
      <c r="CZ73" s="41">
        <f t="shared" si="32"/>
        <v>128.18135779225219</v>
      </c>
      <c r="DA73" s="41">
        <f t="shared" si="33"/>
        <v>29.366066905617544</v>
      </c>
      <c r="DB73" s="41">
        <f t="shared" si="34"/>
        <v>-9.8554945629182953</v>
      </c>
      <c r="DC73" s="41">
        <f t="shared" si="35"/>
        <v>99.333197342428889</v>
      </c>
      <c r="DD73" s="41"/>
      <c r="DE73" s="283">
        <f t="shared" si="36"/>
        <v>-5.4477673075345932</v>
      </c>
      <c r="DF73" s="283">
        <f t="shared" si="37"/>
        <v>-0.59505850309282915</v>
      </c>
      <c r="DG73" s="283">
        <f t="shared" si="38"/>
        <v>-0.85286944804300213</v>
      </c>
      <c r="DH73" s="283">
        <f t="shared" si="39"/>
        <v>-0.73313422619950919</v>
      </c>
      <c r="DI73" s="283">
        <f t="shared" si="40"/>
        <v>1.3334132598568924</v>
      </c>
      <c r="DJ73" s="283">
        <f t="shared" si="41"/>
        <v>0.1309163909611587</v>
      </c>
      <c r="DK73" s="283">
        <f t="shared" si="42"/>
        <v>-3.885045993227796E-2</v>
      </c>
      <c r="DL73" s="283">
        <f t="shared" si="43"/>
        <v>0.40740015905774202</v>
      </c>
    </row>
    <row r="74" spans="1:116" x14ac:dyDescent="0.2">
      <c r="A74" s="30">
        <v>186</v>
      </c>
      <c r="B74" s="31" t="s">
        <v>388</v>
      </c>
      <c r="C74" s="65"/>
      <c r="D74" s="65"/>
      <c r="E74" s="65"/>
      <c r="F74" s="65"/>
      <c r="G74" s="65"/>
      <c r="H74" s="65">
        <v>27160</v>
      </c>
      <c r="I74" s="65"/>
      <c r="J74" s="65"/>
      <c r="K74" s="65"/>
      <c r="L74" s="65"/>
      <c r="M74" s="65"/>
      <c r="N74" s="65">
        <v>25193</v>
      </c>
      <c r="O74" s="65"/>
      <c r="P74" s="65"/>
      <c r="Q74" s="65"/>
      <c r="R74" s="65"/>
      <c r="S74" s="65"/>
      <c r="T74" s="65">
        <v>27387</v>
      </c>
      <c r="U74" s="65"/>
      <c r="V74" s="65"/>
      <c r="W74" s="65"/>
      <c r="X74" s="65"/>
      <c r="Y74" s="65"/>
      <c r="Z74" s="65">
        <v>29139</v>
      </c>
      <c r="AA74" s="65"/>
      <c r="AB74" s="66">
        <v>34875.455289705998</v>
      </c>
      <c r="AC74" s="34">
        <v>970.77762526114816</v>
      </c>
      <c r="AD74" s="180">
        <v>13587.35424979341</v>
      </c>
      <c r="AE74" s="65">
        <v>2000</v>
      </c>
      <c r="AF74" s="34">
        <v>-823.41800000000001</v>
      </c>
      <c r="AG74" s="65">
        <f t="shared" si="22"/>
        <v>50610.169164760562</v>
      </c>
      <c r="AH74" s="65"/>
      <c r="AI74" s="66">
        <v>26128.192782889364</v>
      </c>
      <c r="AJ74" s="34">
        <v>-758.62382958170258</v>
      </c>
      <c r="AK74" s="181">
        <v>14867.495119905916</v>
      </c>
      <c r="AL74" s="65">
        <v>0</v>
      </c>
      <c r="AM74" s="34">
        <v>-357.00299999999999</v>
      </c>
      <c r="AN74" s="65">
        <f t="shared" si="23"/>
        <v>39880.061073213583</v>
      </c>
      <c r="AO74" s="65"/>
      <c r="AP74" s="41">
        <v>27917.961214133982</v>
      </c>
      <c r="AQ74" s="41">
        <v>-235.23515643854591</v>
      </c>
      <c r="AR74" s="41">
        <v>17549.557742746751</v>
      </c>
      <c r="AS74" s="65">
        <v>0</v>
      </c>
      <c r="AT74" s="34">
        <v>-349.84199999999998</v>
      </c>
      <c r="AU74" s="65">
        <f t="shared" si="24"/>
        <v>44882.44180044219</v>
      </c>
      <c r="AV74" s="65"/>
      <c r="AW74" s="41">
        <v>13770.510800581787</v>
      </c>
      <c r="AX74" s="314"/>
      <c r="AY74" s="314"/>
      <c r="AZ74" s="41">
        <v>5476.9344101341148</v>
      </c>
      <c r="BA74" s="65">
        <v>0</v>
      </c>
      <c r="BB74" s="34">
        <v>-479.58800000000002</v>
      </c>
      <c r="BC74" s="65">
        <f t="shared" si="44"/>
        <v>18767.857210715902</v>
      </c>
      <c r="BD74" s="65"/>
      <c r="BE74" s="41">
        <v>6699.8585623453819</v>
      </c>
      <c r="BF74" s="314"/>
      <c r="BG74" s="314"/>
      <c r="BH74" s="41">
        <v>5398.8648071859898</v>
      </c>
      <c r="BI74" s="65">
        <v>0</v>
      </c>
      <c r="BJ74" s="34">
        <v>64.182000000000002</v>
      </c>
      <c r="BK74" s="65">
        <f t="shared" si="45"/>
        <v>12162.905369531372</v>
      </c>
      <c r="BL74" s="65"/>
      <c r="BM74" s="41">
        <v>13955.55220912169</v>
      </c>
      <c r="BN74" s="41">
        <v>2862.9514436523227</v>
      </c>
      <c r="BO74" s="65">
        <v>0</v>
      </c>
      <c r="BP74" s="34">
        <v>64.182000000000002</v>
      </c>
      <c r="BQ74" s="65">
        <f t="shared" si="25"/>
        <v>16882.685652774013</v>
      </c>
      <c r="BR74" s="65"/>
      <c r="BS74" s="41">
        <v>14635.898333530011</v>
      </c>
      <c r="BT74" s="314"/>
      <c r="BU74" s="314"/>
      <c r="BV74" s="41">
        <v>3056.2965265829293</v>
      </c>
      <c r="BW74" s="65">
        <v>0</v>
      </c>
      <c r="BX74" s="34">
        <v>64.182000000000002</v>
      </c>
      <c r="BY74" s="65">
        <f t="shared" si="46"/>
        <v>17756.376860112941</v>
      </c>
      <c r="CA74" s="5">
        <v>15719.826361131532</v>
      </c>
      <c r="CB74" s="407">
        <v>3361.813009790088</v>
      </c>
      <c r="CC74" s="415">
        <v>0</v>
      </c>
      <c r="CD74" s="34">
        <v>64.182000000000002</v>
      </c>
      <c r="CE74" s="65">
        <f t="shared" si="26"/>
        <v>19145.821370921622</v>
      </c>
      <c r="CF74" s="407"/>
      <c r="CG74" s="5">
        <v>17708.790848026125</v>
      </c>
      <c r="CH74" s="407">
        <v>3608.6867972758614</v>
      </c>
      <c r="CI74" s="415">
        <v>0</v>
      </c>
      <c r="CJ74" s="34">
        <v>64.182000000000002</v>
      </c>
      <c r="CK74" s="65">
        <f t="shared" si="27"/>
        <v>21381.659645301988</v>
      </c>
      <c r="CL74" s="407"/>
      <c r="CM74" s="41">
        <f>AU74/'1. Väestöennuste'!L74*1000</f>
        <v>983.61695815126427</v>
      </c>
      <c r="CN74" s="41">
        <f>BC74/'1. Väestöennuste'!M74*1000</f>
        <v>403.69664897216393</v>
      </c>
      <c r="CO74" s="41">
        <f>BK74/'1. Väestöennuste'!N74*1000</f>
        <v>257.90723853968132</v>
      </c>
      <c r="CP74" s="41">
        <f>BQ74/'1. Väestöennuste'!O74*1000</f>
        <v>353.45306506383361</v>
      </c>
      <c r="CQ74" s="41">
        <f>BY74/'1. Väestöennuste'!P74*1000</f>
        <v>367.3226491541775</v>
      </c>
      <c r="CR74" s="41">
        <f>CE74/'1. Väestöennuste'!Q74*1000</f>
        <v>391.59415386815067</v>
      </c>
      <c r="CS74" s="41">
        <f>CK74/'1. Väestöennuste'!R74*1000</f>
        <v>432.70448952325228</v>
      </c>
      <c r="CT74" s="41"/>
      <c r="CV74" s="41">
        <f t="shared" si="28"/>
        <v>21317.477645301988</v>
      </c>
      <c r="CW74" s="41">
        <f t="shared" si="29"/>
        <v>-20398.042687150722</v>
      </c>
      <c r="CX74" s="41">
        <f t="shared" si="30"/>
        <v>-579.92030917910029</v>
      </c>
      <c r="CY74" s="41">
        <f t="shared" si="31"/>
        <v>-145.78941043248261</v>
      </c>
      <c r="CZ74" s="41">
        <f t="shared" si="32"/>
        <v>95.545826524152289</v>
      </c>
      <c r="DA74" s="41">
        <f t="shared" si="33"/>
        <v>13.869584090343892</v>
      </c>
      <c r="DB74" s="41">
        <f t="shared" si="34"/>
        <v>24.271504713973172</v>
      </c>
      <c r="DC74" s="41">
        <f t="shared" si="35"/>
        <v>41.110335655101608</v>
      </c>
      <c r="DD74" s="41"/>
      <c r="DE74" s="283">
        <f t="shared" si="36"/>
        <v>332.141062062603</v>
      </c>
      <c r="DF74" s="283">
        <f t="shared" si="37"/>
        <v>-0.95399716511868682</v>
      </c>
      <c r="DG74" s="283">
        <f t="shared" si="38"/>
        <v>-0.58957941338168551</v>
      </c>
      <c r="DH74" s="283">
        <f t="shared" si="39"/>
        <v>-0.36113604312463643</v>
      </c>
      <c r="DI74" s="283">
        <f t="shared" si="40"/>
        <v>0.37046585844255675</v>
      </c>
      <c r="DJ74" s="283">
        <f t="shared" si="41"/>
        <v>3.9240242796703559E-2</v>
      </c>
      <c r="DK74" s="283">
        <f t="shared" si="42"/>
        <v>6.6076798612507051E-2</v>
      </c>
      <c r="DL74" s="283">
        <f t="shared" si="43"/>
        <v>0.10498199538735559</v>
      </c>
    </row>
    <row r="75" spans="1:116" x14ac:dyDescent="0.2">
      <c r="A75" s="30">
        <v>202</v>
      </c>
      <c r="B75" s="31" t="s">
        <v>389</v>
      </c>
      <c r="C75" s="65"/>
      <c r="D75" s="65"/>
      <c r="E75" s="65"/>
      <c r="F75" s="65"/>
      <c r="G75" s="65"/>
      <c r="H75" s="65">
        <v>30547</v>
      </c>
      <c r="I75" s="65"/>
      <c r="J75" s="65"/>
      <c r="K75" s="65"/>
      <c r="L75" s="65"/>
      <c r="M75" s="65"/>
      <c r="N75" s="65">
        <v>28774</v>
      </c>
      <c r="O75" s="65"/>
      <c r="P75" s="65"/>
      <c r="Q75" s="65"/>
      <c r="R75" s="65"/>
      <c r="S75" s="65"/>
      <c r="T75" s="65">
        <v>27618</v>
      </c>
      <c r="U75" s="65"/>
      <c r="V75" s="65"/>
      <c r="W75" s="65"/>
      <c r="X75" s="65"/>
      <c r="Y75" s="65"/>
      <c r="Z75" s="65">
        <v>28272</v>
      </c>
      <c r="AA75" s="65"/>
      <c r="AB75" s="66">
        <v>34597.845699307683</v>
      </c>
      <c r="AC75" s="34">
        <v>726.74019893031891</v>
      </c>
      <c r="AD75" s="180">
        <v>9990.2378301775243</v>
      </c>
      <c r="AE75" s="65">
        <v>0</v>
      </c>
      <c r="AF75" s="34">
        <v>-2710.0439999999999</v>
      </c>
      <c r="AG75" s="65">
        <f t="shared" si="22"/>
        <v>42604.779728415524</v>
      </c>
      <c r="AH75" s="65"/>
      <c r="AI75" s="66">
        <v>29452.328853142488</v>
      </c>
      <c r="AJ75" s="34">
        <v>-566.00935398956506</v>
      </c>
      <c r="AK75" s="181">
        <v>10903.359629936414</v>
      </c>
      <c r="AL75" s="65">
        <v>0</v>
      </c>
      <c r="AM75" s="34">
        <v>-2940.4340000000002</v>
      </c>
      <c r="AN75" s="65">
        <f t="shared" si="23"/>
        <v>36849.245129089337</v>
      </c>
      <c r="AO75" s="65"/>
      <c r="AP75" s="41">
        <v>31989.580198765198</v>
      </c>
      <c r="AQ75" s="41">
        <v>-175.4557191908132</v>
      </c>
      <c r="AR75" s="41">
        <v>12605.467328691928</v>
      </c>
      <c r="AS75" s="65">
        <v>0</v>
      </c>
      <c r="AT75" s="34">
        <v>-3482</v>
      </c>
      <c r="AU75" s="65">
        <f t="shared" si="24"/>
        <v>40937.591808266312</v>
      </c>
      <c r="AV75" s="65"/>
      <c r="AW75" s="41">
        <v>24209.785540344023</v>
      </c>
      <c r="AX75" s="314"/>
      <c r="AY75" s="314"/>
      <c r="AZ75" s="41">
        <v>3823.6138257266621</v>
      </c>
      <c r="BA75" s="65">
        <v>0</v>
      </c>
      <c r="BB75" s="34">
        <v>-3931.9389999999999</v>
      </c>
      <c r="BC75" s="65">
        <f t="shared" si="44"/>
        <v>24101.460366070685</v>
      </c>
      <c r="BD75" s="65"/>
      <c r="BE75" s="41">
        <v>25285.633202633137</v>
      </c>
      <c r="BF75" s="314"/>
      <c r="BG75" s="314"/>
      <c r="BH75" s="41">
        <v>3738.913909100424</v>
      </c>
      <c r="BI75" s="65">
        <v>0</v>
      </c>
      <c r="BJ75" s="34">
        <v>-3898.7849999999999</v>
      </c>
      <c r="BK75" s="65">
        <f t="shared" si="45"/>
        <v>25125.762111733562</v>
      </c>
      <c r="BL75" s="65"/>
      <c r="BM75" s="41">
        <v>29318.584017257697</v>
      </c>
      <c r="BN75" s="41">
        <v>1774.3415880770144</v>
      </c>
      <c r="BO75" s="65">
        <v>0</v>
      </c>
      <c r="BP75" s="34">
        <v>-3898.7849999999999</v>
      </c>
      <c r="BQ75" s="65">
        <f t="shared" si="25"/>
        <v>27194.140605334713</v>
      </c>
      <c r="BR75" s="65"/>
      <c r="BS75" s="41">
        <v>29255.592914250959</v>
      </c>
      <c r="BT75" s="314"/>
      <c r="BU75" s="314"/>
      <c r="BV75" s="41">
        <v>1925.0665243563205</v>
      </c>
      <c r="BW75" s="65">
        <v>0</v>
      </c>
      <c r="BX75" s="34">
        <v>-3898.7849999999999</v>
      </c>
      <c r="BY75" s="65">
        <f t="shared" si="46"/>
        <v>27281.874438607279</v>
      </c>
      <c r="CA75" s="5">
        <v>29255.97804906161</v>
      </c>
      <c r="CB75" s="407">
        <v>2158.7886123307021</v>
      </c>
      <c r="CC75" s="415">
        <v>0</v>
      </c>
      <c r="CD75" s="34">
        <v>-3898.7849999999999</v>
      </c>
      <c r="CE75" s="65">
        <f t="shared" si="26"/>
        <v>27515.981661392314</v>
      </c>
      <c r="CF75" s="407"/>
      <c r="CG75" s="5">
        <v>29611.590521227874</v>
      </c>
      <c r="CH75" s="407">
        <v>2344.9090096000141</v>
      </c>
      <c r="CI75" s="415">
        <v>0</v>
      </c>
      <c r="CJ75" s="34">
        <v>-3898.7849999999999</v>
      </c>
      <c r="CK75" s="65">
        <f t="shared" si="27"/>
        <v>28057.714530827889</v>
      </c>
      <c r="CL75" s="407"/>
      <c r="CM75" s="41">
        <f>AU75/'1. Väestöennuste'!L75*1000</f>
        <v>1141.9770087108434</v>
      </c>
      <c r="CN75" s="41">
        <f>BC75/'1. Väestöennuste'!M75*1000</f>
        <v>663.23950483146723</v>
      </c>
      <c r="CO75" s="41">
        <f>BK75/'1. Väestöennuste'!N75*1000</f>
        <v>687.60466631273266</v>
      </c>
      <c r="CP75" s="41">
        <f>BQ75/'1. Väestöennuste'!O75*1000</f>
        <v>736.01116718996195</v>
      </c>
      <c r="CQ75" s="41">
        <f>BY75/'1. Väestöennuste'!P75*1000</f>
        <v>730.73187193269791</v>
      </c>
      <c r="CR75" s="41">
        <f>CE75/'1. Väestöennuste'!Q75*1000</f>
        <v>729.84752821920677</v>
      </c>
      <c r="CS75" s="41">
        <f>CK75/'1. Väestöennuste'!R75*1000</f>
        <v>737.46818406213242</v>
      </c>
      <c r="CT75" s="41"/>
      <c r="CV75" s="41">
        <f t="shared" si="28"/>
        <v>31956.499530827889</v>
      </c>
      <c r="CW75" s="41">
        <f t="shared" si="29"/>
        <v>-26915.737522117044</v>
      </c>
      <c r="CX75" s="41">
        <f t="shared" si="30"/>
        <v>-478.73750387937616</v>
      </c>
      <c r="CY75" s="41">
        <f t="shared" si="31"/>
        <v>24.365161481265432</v>
      </c>
      <c r="CZ75" s="41">
        <f t="shared" si="32"/>
        <v>48.406500877229291</v>
      </c>
      <c r="DA75" s="41">
        <f t="shared" si="33"/>
        <v>-5.2792952572640388</v>
      </c>
      <c r="DB75" s="41">
        <f t="shared" si="34"/>
        <v>-0.88434371349114826</v>
      </c>
      <c r="DC75" s="41">
        <f t="shared" si="35"/>
        <v>7.6206558429256575</v>
      </c>
      <c r="DD75" s="41"/>
      <c r="DE75" s="283">
        <f t="shared" si="36"/>
        <v>-8.1965277723259664</v>
      </c>
      <c r="DF75" s="283">
        <f t="shared" si="37"/>
        <v>-0.95929900108377975</v>
      </c>
      <c r="DG75" s="283">
        <f t="shared" si="38"/>
        <v>-0.41921816308702575</v>
      </c>
      <c r="DH75" s="283">
        <f t="shared" si="39"/>
        <v>3.6736595609540408E-2</v>
      </c>
      <c r="DI75" s="283">
        <f t="shared" si="40"/>
        <v>7.0398738183102008E-2</v>
      </c>
      <c r="DJ75" s="283">
        <f t="shared" si="41"/>
        <v>-7.1728466803296078E-3</v>
      </c>
      <c r="DK75" s="283">
        <f t="shared" si="42"/>
        <v>-1.210216424736156E-3</v>
      </c>
      <c r="DL75" s="283">
        <f t="shared" si="43"/>
        <v>1.0441435434493688E-2</v>
      </c>
    </row>
    <row r="76" spans="1:116" x14ac:dyDescent="0.2">
      <c r="A76" s="30">
        <v>204</v>
      </c>
      <c r="B76" s="31" t="s">
        <v>390</v>
      </c>
      <c r="C76" s="65"/>
      <c r="D76" s="65"/>
      <c r="E76" s="65"/>
      <c r="F76" s="65"/>
      <c r="G76" s="65"/>
      <c r="H76" s="65">
        <v>12913</v>
      </c>
      <c r="I76" s="65"/>
      <c r="J76" s="65"/>
      <c r="K76" s="65"/>
      <c r="L76" s="65"/>
      <c r="M76" s="65"/>
      <c r="N76" s="65">
        <v>12679</v>
      </c>
      <c r="O76" s="65"/>
      <c r="P76" s="65"/>
      <c r="Q76" s="65"/>
      <c r="R76" s="65"/>
      <c r="S76" s="65"/>
      <c r="T76" s="65">
        <v>12893</v>
      </c>
      <c r="U76" s="65"/>
      <c r="V76" s="65"/>
      <c r="W76" s="65"/>
      <c r="X76" s="65"/>
      <c r="Y76" s="65"/>
      <c r="Z76" s="65">
        <v>12468</v>
      </c>
      <c r="AA76" s="65"/>
      <c r="AB76" s="66">
        <v>11628.635536599177</v>
      </c>
      <c r="AC76" s="34">
        <v>47.329149745335101</v>
      </c>
      <c r="AD76" s="180">
        <v>1757.2557796463279</v>
      </c>
      <c r="AE76" s="65">
        <v>400</v>
      </c>
      <c r="AF76" s="34">
        <v>-536.28700000000003</v>
      </c>
      <c r="AG76" s="65">
        <f t="shared" si="22"/>
        <v>13296.93346599084</v>
      </c>
      <c r="AH76" s="65"/>
      <c r="AI76" s="66">
        <v>11162.598329021997</v>
      </c>
      <c r="AJ76" s="34">
        <v>-36.245726705507501</v>
      </c>
      <c r="AK76" s="181">
        <v>1864.8273493974152</v>
      </c>
      <c r="AL76" s="65">
        <v>0</v>
      </c>
      <c r="AM76" s="34">
        <v>-551.67600000000004</v>
      </c>
      <c r="AN76" s="65">
        <f t="shared" si="23"/>
        <v>12439.503951713907</v>
      </c>
      <c r="AO76" s="65"/>
      <c r="AP76" s="41">
        <v>10936.441258385708</v>
      </c>
      <c r="AQ76" s="41">
        <v>-11.043866512783605</v>
      </c>
      <c r="AR76" s="41">
        <v>2105.4627828661792</v>
      </c>
      <c r="AS76" s="65">
        <v>0</v>
      </c>
      <c r="AT76" s="34">
        <v>-578.178</v>
      </c>
      <c r="AU76" s="65">
        <f t="shared" si="24"/>
        <v>12452.682174739104</v>
      </c>
      <c r="AV76" s="65"/>
      <c r="AW76" s="41">
        <v>32.510991818214301</v>
      </c>
      <c r="AX76" s="314"/>
      <c r="AY76" s="314"/>
      <c r="AZ76" s="41">
        <v>625.92138121556991</v>
      </c>
      <c r="BA76" s="65">
        <v>220</v>
      </c>
      <c r="BB76" s="34">
        <v>-603.49400000000003</v>
      </c>
      <c r="BC76" s="65">
        <f t="shared" si="44"/>
        <v>274.93837303378416</v>
      </c>
      <c r="BD76" s="65"/>
      <c r="BE76" s="41">
        <v>-549.43308912596274</v>
      </c>
      <c r="BF76" s="314"/>
      <c r="BG76" s="314"/>
      <c r="BH76" s="41">
        <v>618.29841845865565</v>
      </c>
      <c r="BI76" s="65">
        <v>0</v>
      </c>
      <c r="BJ76" s="34">
        <v>-603.73299999999995</v>
      </c>
      <c r="BK76" s="65">
        <f t="shared" si="45"/>
        <v>-534.86767066730704</v>
      </c>
      <c r="BL76" s="65"/>
      <c r="BM76" s="41">
        <v>-242.53818839007661</v>
      </c>
      <c r="BN76" s="41">
        <v>438.11305149201786</v>
      </c>
      <c r="BO76" s="65">
        <v>0</v>
      </c>
      <c r="BP76" s="34">
        <v>-603.73299999999995</v>
      </c>
      <c r="BQ76" s="65">
        <f t="shared" si="25"/>
        <v>-408.15813689805873</v>
      </c>
      <c r="BR76" s="65"/>
      <c r="BS76" s="41">
        <v>344.51327333996142</v>
      </c>
      <c r="BT76" s="314"/>
      <c r="BU76" s="314"/>
      <c r="BV76" s="41">
        <v>469.43632739034706</v>
      </c>
      <c r="BW76" s="65">
        <v>0</v>
      </c>
      <c r="BX76" s="34">
        <v>-603.73299999999995</v>
      </c>
      <c r="BY76" s="65">
        <f t="shared" si="46"/>
        <v>210.21660073030853</v>
      </c>
      <c r="CA76" s="5">
        <v>471.79443432933522</v>
      </c>
      <c r="CB76" s="407">
        <v>500.71603330491274</v>
      </c>
      <c r="CC76" s="415">
        <v>0</v>
      </c>
      <c r="CD76" s="34">
        <v>-603.73299999999995</v>
      </c>
      <c r="CE76" s="65">
        <f t="shared" si="26"/>
        <v>368.77746763424807</v>
      </c>
      <c r="CF76" s="407"/>
      <c r="CG76" s="5">
        <v>867.73697730546633</v>
      </c>
      <c r="CH76" s="407">
        <v>528.49414712370981</v>
      </c>
      <c r="CI76" s="415">
        <v>0</v>
      </c>
      <c r="CJ76" s="34">
        <v>-603.73299999999995</v>
      </c>
      <c r="CK76" s="65">
        <f t="shared" si="27"/>
        <v>792.49812442917619</v>
      </c>
      <c r="CL76" s="407"/>
      <c r="CM76" s="41">
        <f>AU76/'1. Väestöennuste'!L76*1000</f>
        <v>4630.9714298025674</v>
      </c>
      <c r="CN76" s="41">
        <f>BC76/'1. Väestöennuste'!M76*1000</f>
        <v>104.6188634070716</v>
      </c>
      <c r="CO76" s="41">
        <f>BK76/'1. Väestöennuste'!N76*1000</f>
        <v>-207.87705816840537</v>
      </c>
      <c r="CP76" s="41">
        <f>BQ76/'1. Väestöennuste'!O76*1000</f>
        <v>-161.39111779282669</v>
      </c>
      <c r="CQ76" s="41">
        <f>BY76/'1. Väestöennuste'!P76*1000</f>
        <v>84.45825662125695</v>
      </c>
      <c r="CR76" s="41">
        <f>CE76/'1. Väestöennuste'!Q76*1000</f>
        <v>150.4600031147483</v>
      </c>
      <c r="CS76" s="41">
        <f>CK76/'1. Väestöennuste'!R76*1000</f>
        <v>328.42856379161884</v>
      </c>
      <c r="CT76" s="41"/>
      <c r="CV76" s="41">
        <f t="shared" si="28"/>
        <v>1396.2311244291761</v>
      </c>
      <c r="CW76" s="41">
        <f t="shared" si="29"/>
        <v>3838.4733053733912</v>
      </c>
      <c r="CX76" s="41">
        <f t="shared" si="30"/>
        <v>-4526.3525663954961</v>
      </c>
      <c r="CY76" s="41">
        <f t="shared" si="31"/>
        <v>-312.49592157547698</v>
      </c>
      <c r="CZ76" s="41">
        <f t="shared" si="32"/>
        <v>46.485940375578679</v>
      </c>
      <c r="DA76" s="41">
        <f t="shared" si="33"/>
        <v>245.84937441408363</v>
      </c>
      <c r="DB76" s="41">
        <f t="shared" si="34"/>
        <v>66.001746493491353</v>
      </c>
      <c r="DC76" s="41">
        <f t="shared" si="35"/>
        <v>177.96856067687054</v>
      </c>
      <c r="DD76" s="41"/>
      <c r="DE76" s="283">
        <f t="shared" si="36"/>
        <v>-2.3126632541689394</v>
      </c>
      <c r="DF76" s="283">
        <f t="shared" si="37"/>
        <v>4.8435109018563072</v>
      </c>
      <c r="DG76" s="283">
        <f t="shared" si="38"/>
        <v>-0.97740887306412694</v>
      </c>
      <c r="DH76" s="283">
        <f t="shared" si="39"/>
        <v>-2.986994041022569</v>
      </c>
      <c r="DI76" s="283">
        <f t="shared" si="40"/>
        <v>-0.22362227359365211</v>
      </c>
      <c r="DJ76" s="283">
        <f t="shared" si="41"/>
        <v>-1.5233141561710581</v>
      </c>
      <c r="DK76" s="283">
        <f t="shared" si="42"/>
        <v>0.78147180789521109</v>
      </c>
      <c r="DL76" s="283">
        <f t="shared" si="43"/>
        <v>1.1828297021976188</v>
      </c>
    </row>
    <row r="77" spans="1:116" x14ac:dyDescent="0.2">
      <c r="A77" s="30">
        <v>205</v>
      </c>
      <c r="B77" s="31" t="s">
        <v>391</v>
      </c>
      <c r="C77" s="65"/>
      <c r="D77" s="65"/>
      <c r="E77" s="65"/>
      <c r="F77" s="65"/>
      <c r="G77" s="65"/>
      <c r="H77" s="65">
        <v>104927</v>
      </c>
      <c r="I77" s="65"/>
      <c r="J77" s="65"/>
      <c r="K77" s="65"/>
      <c r="L77" s="65"/>
      <c r="M77" s="65"/>
      <c r="N77" s="65">
        <v>102583</v>
      </c>
      <c r="O77" s="65"/>
      <c r="P77" s="65"/>
      <c r="Q77" s="65"/>
      <c r="R77" s="65"/>
      <c r="S77" s="65"/>
      <c r="T77" s="65">
        <v>103186</v>
      </c>
      <c r="U77" s="65"/>
      <c r="V77" s="65"/>
      <c r="W77" s="65"/>
      <c r="X77" s="65"/>
      <c r="Y77" s="65"/>
      <c r="Z77" s="65">
        <v>104003</v>
      </c>
      <c r="AA77" s="65"/>
      <c r="AB77" s="66">
        <v>78965.980773369491</v>
      </c>
      <c r="AC77" s="34">
        <v>690.39474810285094</v>
      </c>
      <c r="AD77" s="180">
        <v>15596.307184275842</v>
      </c>
      <c r="AE77" s="65">
        <v>0</v>
      </c>
      <c r="AF77" s="34">
        <v>27443.705999999998</v>
      </c>
      <c r="AG77" s="65">
        <f t="shared" si="22"/>
        <v>122696.38870574816</v>
      </c>
      <c r="AH77" s="65"/>
      <c r="AI77" s="66">
        <v>73172.350324886953</v>
      </c>
      <c r="AJ77" s="34">
        <v>-537.76145095014908</v>
      </c>
      <c r="AK77" s="181">
        <v>16785.060554442727</v>
      </c>
      <c r="AL77" s="65">
        <v>0</v>
      </c>
      <c r="AM77" s="34">
        <v>27960.179</v>
      </c>
      <c r="AN77" s="65">
        <f t="shared" si="23"/>
        <v>117379.82842837954</v>
      </c>
      <c r="AO77" s="65"/>
      <c r="AP77" s="41">
        <v>76596.805853106533</v>
      </c>
      <c r="AQ77" s="41">
        <v>-166.37476337300859</v>
      </c>
      <c r="AR77" s="41">
        <v>18956.918978258283</v>
      </c>
      <c r="AS77" s="65">
        <v>0</v>
      </c>
      <c r="AT77" s="34">
        <v>27918.667000000001</v>
      </c>
      <c r="AU77" s="65">
        <f t="shared" si="24"/>
        <v>123306.01706799181</v>
      </c>
      <c r="AV77" s="65"/>
      <c r="AW77" s="41">
        <v>10166.605242698508</v>
      </c>
      <c r="AX77" s="314"/>
      <c r="AY77" s="314"/>
      <c r="AZ77" s="41">
        <v>5725.0317848050636</v>
      </c>
      <c r="BA77" s="65">
        <v>0</v>
      </c>
      <c r="BB77" s="34">
        <v>31053.934000000001</v>
      </c>
      <c r="BC77" s="65">
        <f t="shared" si="44"/>
        <v>46945.571027503574</v>
      </c>
      <c r="BD77" s="65"/>
      <c r="BE77" s="41">
        <v>11595.736709963459</v>
      </c>
      <c r="BF77" s="314"/>
      <c r="BG77" s="314"/>
      <c r="BH77" s="41">
        <v>5718.1209029471338</v>
      </c>
      <c r="BI77" s="65">
        <v>0</v>
      </c>
      <c r="BJ77" s="34">
        <v>32652.392</v>
      </c>
      <c r="BK77" s="65">
        <f t="shared" si="45"/>
        <v>49966.249612910593</v>
      </c>
      <c r="BL77" s="65"/>
      <c r="BM77" s="41">
        <v>19597.172947431773</v>
      </c>
      <c r="BN77" s="41">
        <v>3279.1276898577162</v>
      </c>
      <c r="BO77" s="65">
        <v>0</v>
      </c>
      <c r="BP77" s="34">
        <v>32652.392</v>
      </c>
      <c r="BQ77" s="65">
        <f t="shared" si="25"/>
        <v>55528.692637289489</v>
      </c>
      <c r="BR77" s="65"/>
      <c r="BS77" s="41">
        <v>18202.954054848309</v>
      </c>
      <c r="BT77" s="314"/>
      <c r="BU77" s="314"/>
      <c r="BV77" s="41">
        <v>3568.2496167762561</v>
      </c>
      <c r="BW77" s="65">
        <v>0</v>
      </c>
      <c r="BX77" s="34">
        <v>32652.392</v>
      </c>
      <c r="BY77" s="65">
        <f t="shared" si="46"/>
        <v>54423.595671624564</v>
      </c>
      <c r="CA77" s="5">
        <v>18139.965038155318</v>
      </c>
      <c r="CB77" s="407">
        <v>3870.5617870449241</v>
      </c>
      <c r="CC77" s="415">
        <v>0</v>
      </c>
      <c r="CD77" s="34">
        <v>32652.392</v>
      </c>
      <c r="CE77" s="65">
        <f t="shared" si="26"/>
        <v>54662.918825200242</v>
      </c>
      <c r="CF77" s="407"/>
      <c r="CG77" s="5">
        <v>20658.516043229745</v>
      </c>
      <c r="CH77" s="407">
        <v>4126.0645474735893</v>
      </c>
      <c r="CI77" s="415">
        <v>0</v>
      </c>
      <c r="CJ77" s="34">
        <v>32652.392</v>
      </c>
      <c r="CK77" s="65">
        <f t="shared" si="27"/>
        <v>57436.972590703335</v>
      </c>
      <c r="CL77" s="407"/>
      <c r="CM77" s="41">
        <f>AU77/'1. Väestöennuste'!L77*1000</f>
        <v>3397.1407297570545</v>
      </c>
      <c r="CN77" s="41">
        <f>BC77/'1. Väestöennuste'!M77*1000</f>
        <v>1285.7220997317002</v>
      </c>
      <c r="CO77" s="41">
        <f>BK77/'1. Väestöennuste'!N77*1000</f>
        <v>1392.3217213172065</v>
      </c>
      <c r="CP77" s="41">
        <f>BQ77/'1. Väestöennuste'!O77*1000</f>
        <v>1555.3384302641164</v>
      </c>
      <c r="CQ77" s="41">
        <f>BY77/'1. Väestöennuste'!P77*1000</f>
        <v>1532.6273070015366</v>
      </c>
      <c r="CR77" s="41">
        <f>CE77/'1. Väestöennuste'!Q77*1000</f>
        <v>1547.6039417117365</v>
      </c>
      <c r="CS77" s="41">
        <f>CK77/'1. Väestöennuste'!R77*1000</f>
        <v>1635.2163015146857</v>
      </c>
      <c r="CT77" s="41"/>
      <c r="CV77" s="41">
        <f t="shared" si="28"/>
        <v>24784.580590703335</v>
      </c>
      <c r="CW77" s="41">
        <f t="shared" si="29"/>
        <v>-54039.83186094628</v>
      </c>
      <c r="CX77" s="41">
        <f t="shared" si="30"/>
        <v>-2111.4186300253541</v>
      </c>
      <c r="CY77" s="41">
        <f t="shared" si="31"/>
        <v>106.59962158550638</v>
      </c>
      <c r="CZ77" s="41">
        <f t="shared" si="32"/>
        <v>163.01670894690983</v>
      </c>
      <c r="DA77" s="41">
        <f t="shared" si="33"/>
        <v>-22.711123262579804</v>
      </c>
      <c r="DB77" s="41">
        <f t="shared" si="34"/>
        <v>14.97663471019996</v>
      </c>
      <c r="DC77" s="41">
        <f t="shared" si="35"/>
        <v>87.612359802949186</v>
      </c>
      <c r="DD77" s="41"/>
      <c r="DE77" s="283">
        <f t="shared" si="36"/>
        <v>0.75904333718348527</v>
      </c>
      <c r="DF77" s="283">
        <f t="shared" si="37"/>
        <v>-0.94085446052379662</v>
      </c>
      <c r="DG77" s="283">
        <f t="shared" si="38"/>
        <v>-0.62152816088262308</v>
      </c>
      <c r="DH77" s="283">
        <f t="shared" si="39"/>
        <v>8.291031289557145E-2</v>
      </c>
      <c r="DI77" s="283">
        <f t="shared" si="40"/>
        <v>0.11708264437093448</v>
      </c>
      <c r="DJ77" s="283">
        <f t="shared" si="41"/>
        <v>-1.4602045973186147E-2</v>
      </c>
      <c r="DK77" s="283">
        <f t="shared" si="42"/>
        <v>9.7718699397967498E-3</v>
      </c>
      <c r="DL77" s="283">
        <f t="shared" si="43"/>
        <v>5.6611615828559482E-2</v>
      </c>
    </row>
    <row r="78" spans="1:116" x14ac:dyDescent="0.2">
      <c r="A78" s="30">
        <v>208</v>
      </c>
      <c r="B78" s="31" t="s">
        <v>392</v>
      </c>
      <c r="C78" s="65"/>
      <c r="D78" s="65"/>
      <c r="E78" s="65"/>
      <c r="F78" s="65"/>
      <c r="G78" s="65"/>
      <c r="H78" s="65">
        <v>30722</v>
      </c>
      <c r="I78" s="65"/>
      <c r="J78" s="65"/>
      <c r="K78" s="65"/>
      <c r="L78" s="65"/>
      <c r="M78" s="65"/>
      <c r="N78" s="65">
        <v>30189</v>
      </c>
      <c r="O78" s="65"/>
      <c r="P78" s="65"/>
      <c r="Q78" s="65"/>
      <c r="R78" s="65"/>
      <c r="S78" s="65"/>
      <c r="T78" s="65">
        <v>30873</v>
      </c>
      <c r="U78" s="65"/>
      <c r="V78" s="65"/>
      <c r="W78" s="65"/>
      <c r="X78" s="65"/>
      <c r="Y78" s="65"/>
      <c r="Z78" s="65">
        <v>31822</v>
      </c>
      <c r="AA78" s="65"/>
      <c r="AB78" s="66">
        <v>31906.265948952285</v>
      </c>
      <c r="AC78" s="34">
        <v>205.6860749476711</v>
      </c>
      <c r="AD78" s="180">
        <v>6291.230000772618</v>
      </c>
      <c r="AE78" s="65">
        <v>0</v>
      </c>
      <c r="AF78" s="34">
        <v>-641.37800000000004</v>
      </c>
      <c r="AG78" s="65">
        <f t="shared" si="22"/>
        <v>37761.80402467258</v>
      </c>
      <c r="AH78" s="65"/>
      <c r="AI78" s="66">
        <v>30114.54645441916</v>
      </c>
      <c r="AJ78" s="34">
        <v>-160.15253337958828</v>
      </c>
      <c r="AK78" s="181">
        <v>6742.3880522199606</v>
      </c>
      <c r="AL78" s="65">
        <v>0</v>
      </c>
      <c r="AM78" s="34">
        <v>-498.88600000000002</v>
      </c>
      <c r="AN78" s="65">
        <f t="shared" si="23"/>
        <v>36197.895973259532</v>
      </c>
      <c r="AO78" s="65"/>
      <c r="AP78" s="41">
        <v>32441.574272951992</v>
      </c>
      <c r="AQ78" s="41">
        <v>-49.327612641345162</v>
      </c>
      <c r="AR78" s="41">
        <v>7666.3817106660281</v>
      </c>
      <c r="AS78" s="65">
        <v>0</v>
      </c>
      <c r="AT78" s="34">
        <v>-485.98899999999998</v>
      </c>
      <c r="AU78" s="65">
        <f t="shared" si="24"/>
        <v>39572.639370976671</v>
      </c>
      <c r="AV78" s="65"/>
      <c r="AW78" s="41">
        <v>15033.811839403044</v>
      </c>
      <c r="AX78" s="314"/>
      <c r="AY78" s="314"/>
      <c r="AZ78" s="41">
        <v>2430.5191975263674</v>
      </c>
      <c r="BA78" s="65">
        <v>0</v>
      </c>
      <c r="BB78" s="34">
        <v>-58.631</v>
      </c>
      <c r="BC78" s="65">
        <f t="shared" si="44"/>
        <v>17405.700036929411</v>
      </c>
      <c r="BD78" s="65"/>
      <c r="BE78" s="41">
        <v>12917.039449267413</v>
      </c>
      <c r="BF78" s="314"/>
      <c r="BG78" s="314"/>
      <c r="BH78" s="41">
        <v>2423.1429183948599</v>
      </c>
      <c r="BI78" s="65">
        <v>0</v>
      </c>
      <c r="BJ78" s="34">
        <v>-80.061000000000007</v>
      </c>
      <c r="BK78" s="65">
        <f t="shared" si="45"/>
        <v>15260.121367662274</v>
      </c>
      <c r="BL78" s="65"/>
      <c r="BM78" s="41">
        <v>13125.047744728738</v>
      </c>
      <c r="BN78" s="41">
        <v>1626.469407818146</v>
      </c>
      <c r="BO78" s="65">
        <v>0</v>
      </c>
      <c r="BP78" s="34">
        <v>-80.061000000000007</v>
      </c>
      <c r="BQ78" s="65">
        <f t="shared" si="25"/>
        <v>14671.456152546883</v>
      </c>
      <c r="BR78" s="65"/>
      <c r="BS78" s="41">
        <v>12916.909611887379</v>
      </c>
      <c r="BT78" s="314"/>
      <c r="BU78" s="314"/>
      <c r="BV78" s="41">
        <v>1736.8453159984072</v>
      </c>
      <c r="BW78" s="65">
        <v>0</v>
      </c>
      <c r="BX78" s="34">
        <v>-80.061000000000007</v>
      </c>
      <c r="BY78" s="65">
        <f t="shared" si="46"/>
        <v>14573.693927885786</v>
      </c>
      <c r="CA78" s="5">
        <v>13020.973161206957</v>
      </c>
      <c r="CB78" s="407">
        <v>1852.8709056220634</v>
      </c>
      <c r="CC78" s="415">
        <v>0</v>
      </c>
      <c r="CD78" s="34">
        <v>-80.061000000000007</v>
      </c>
      <c r="CE78" s="65">
        <f t="shared" si="26"/>
        <v>14793.783066829021</v>
      </c>
      <c r="CF78" s="407"/>
      <c r="CG78" s="5">
        <v>14211.056348821821</v>
      </c>
      <c r="CH78" s="407">
        <v>1953.3615729968349</v>
      </c>
      <c r="CI78" s="415">
        <v>0</v>
      </c>
      <c r="CJ78" s="34">
        <v>-80.061000000000007</v>
      </c>
      <c r="CK78" s="65">
        <f t="shared" si="27"/>
        <v>16084.356921818657</v>
      </c>
      <c r="CL78" s="407"/>
      <c r="CM78" s="41">
        <f>AU78/'1. Väestöennuste'!L78*1000</f>
        <v>3208.1588464512911</v>
      </c>
      <c r="CN78" s="41">
        <f>BC78/'1. Väestöennuste'!M78*1000</f>
        <v>1406.8622726260435</v>
      </c>
      <c r="CO78" s="41">
        <f>BK78/'1. Väestöennuste'!N78*1000</f>
        <v>1249.1913365800813</v>
      </c>
      <c r="CP78" s="41">
        <f>BQ78/'1. Väestöennuste'!O78*1000</f>
        <v>1206.6334527960264</v>
      </c>
      <c r="CQ78" s="41">
        <f>BY78/'1. Väestöennuste'!P78*1000</f>
        <v>1204.4375147013047</v>
      </c>
      <c r="CR78" s="41">
        <f>CE78/'1. Väestöennuste'!Q78*1000</f>
        <v>1228.9236639665244</v>
      </c>
      <c r="CS78" s="41">
        <f>CK78/'1. Väestöennuste'!R78*1000</f>
        <v>1343.2735027408264</v>
      </c>
      <c r="CT78" s="41"/>
      <c r="CV78" s="41">
        <f t="shared" si="28"/>
        <v>16164.417921818656</v>
      </c>
      <c r="CW78" s="41">
        <f t="shared" si="29"/>
        <v>-12876.198075367365</v>
      </c>
      <c r="CX78" s="41">
        <f t="shared" si="30"/>
        <v>-1801.2965738252476</v>
      </c>
      <c r="CY78" s="41">
        <f t="shared" si="31"/>
        <v>-157.67093604596221</v>
      </c>
      <c r="CZ78" s="41">
        <f t="shared" si="32"/>
        <v>-42.557883784054866</v>
      </c>
      <c r="DA78" s="41">
        <f t="shared" si="33"/>
        <v>-2.1959380947216687</v>
      </c>
      <c r="DB78" s="41">
        <f t="shared" si="34"/>
        <v>24.486149265219638</v>
      </c>
      <c r="DC78" s="41">
        <f t="shared" si="35"/>
        <v>114.34983877430204</v>
      </c>
      <c r="DD78" s="41"/>
      <c r="DE78" s="283">
        <f t="shared" si="36"/>
        <v>-201.90127430107862</v>
      </c>
      <c r="DF78" s="283">
        <f t="shared" si="37"/>
        <v>-0.8005416777279184</v>
      </c>
      <c r="DG78" s="283">
        <f t="shared" si="38"/>
        <v>-0.56147362398147904</v>
      </c>
      <c r="DH78" s="283">
        <f t="shared" si="39"/>
        <v>-0.11207275872971863</v>
      </c>
      <c r="DI78" s="283">
        <f t="shared" si="40"/>
        <v>-3.4068346887968212E-2</v>
      </c>
      <c r="DJ78" s="283">
        <f t="shared" si="41"/>
        <v>-1.8198882930298452E-3</v>
      </c>
      <c r="DK78" s="283">
        <f t="shared" si="42"/>
        <v>2.0329945693606279E-2</v>
      </c>
      <c r="DL78" s="283">
        <f t="shared" si="43"/>
        <v>9.3048772781558958E-2</v>
      </c>
    </row>
    <row r="79" spans="1:116" x14ac:dyDescent="0.2">
      <c r="A79" s="30">
        <v>211</v>
      </c>
      <c r="B79" s="31" t="s">
        <v>393</v>
      </c>
      <c r="C79" s="65"/>
      <c r="D79" s="65"/>
      <c r="E79" s="65"/>
      <c r="F79" s="65"/>
      <c r="G79" s="65"/>
      <c r="H79" s="65">
        <v>38585</v>
      </c>
      <c r="I79" s="65"/>
      <c r="J79" s="65"/>
      <c r="K79" s="65"/>
      <c r="L79" s="65"/>
      <c r="M79" s="65"/>
      <c r="N79" s="65">
        <v>38279</v>
      </c>
      <c r="O79" s="65"/>
      <c r="P79" s="65"/>
      <c r="Q79" s="65"/>
      <c r="R79" s="65"/>
      <c r="S79" s="65"/>
      <c r="T79" s="65">
        <v>37444</v>
      </c>
      <c r="U79" s="65"/>
      <c r="V79" s="65"/>
      <c r="W79" s="65"/>
      <c r="X79" s="65"/>
      <c r="Y79" s="65"/>
      <c r="Z79" s="65">
        <v>38573</v>
      </c>
      <c r="AA79" s="65"/>
      <c r="AB79" s="66">
        <v>43421.879495159024</v>
      </c>
      <c r="AC79" s="34">
        <v>658.47536051809197</v>
      </c>
      <c r="AD79" s="180">
        <v>11401.691690927635</v>
      </c>
      <c r="AE79" s="65">
        <v>0</v>
      </c>
      <c r="AF79" s="34">
        <v>-4017.6419999999998</v>
      </c>
      <c r="AG79" s="65">
        <f t="shared" ref="AG79:AG142" si="47">SUM(AB79:AF79)</f>
        <v>51464.404546604746</v>
      </c>
      <c r="AH79" s="65"/>
      <c r="AI79" s="66">
        <v>37377.172616871329</v>
      </c>
      <c r="AJ79" s="34">
        <v>-513.07821617110903</v>
      </c>
      <c r="AK79" s="181">
        <v>12333.244608036797</v>
      </c>
      <c r="AL79" s="65">
        <v>0</v>
      </c>
      <c r="AM79" s="34">
        <v>-4373.7510000000002</v>
      </c>
      <c r="AN79" s="65">
        <f t="shared" ref="AN79:AN142" si="48">SUM(AI79:AM79)</f>
        <v>44823.588008737017</v>
      </c>
      <c r="AO79" s="65"/>
      <c r="AP79" s="41">
        <v>39825.797785856928</v>
      </c>
      <c r="AQ79" s="41">
        <v>-159.04668260285467</v>
      </c>
      <c r="AR79" s="41">
        <v>14234.704239558601</v>
      </c>
      <c r="AS79" s="65">
        <v>0</v>
      </c>
      <c r="AT79" s="34">
        <v>-4056.9090000000001</v>
      </c>
      <c r="AU79" s="65">
        <f t="shared" ref="AU79:AU142" si="49">SUM(AP79:AT79)</f>
        <v>49844.546342812675</v>
      </c>
      <c r="AV79" s="65"/>
      <c r="AW79" s="41">
        <v>23480.17887960255</v>
      </c>
      <c r="AX79" s="314"/>
      <c r="AY79" s="314"/>
      <c r="AZ79" s="41">
        <v>4309.0064312020613</v>
      </c>
      <c r="BA79" s="65">
        <v>0</v>
      </c>
      <c r="BB79" s="34">
        <v>-4305.3819999999996</v>
      </c>
      <c r="BC79" s="65">
        <f t="shared" si="44"/>
        <v>23483.803310804615</v>
      </c>
      <c r="BD79" s="65"/>
      <c r="BE79" s="41">
        <v>19931.494298616442</v>
      </c>
      <c r="BF79" s="314"/>
      <c r="BG79" s="314"/>
      <c r="BH79" s="41">
        <v>4222.1304801200604</v>
      </c>
      <c r="BI79" s="65">
        <v>0</v>
      </c>
      <c r="BJ79" s="34">
        <v>-4333.4799999999996</v>
      </c>
      <c r="BK79" s="65">
        <f t="shared" si="45"/>
        <v>19820.144778736503</v>
      </c>
      <c r="BL79" s="65"/>
      <c r="BM79" s="41">
        <v>22629.720279233865</v>
      </c>
      <c r="BN79" s="41">
        <v>1841.2073934053485</v>
      </c>
      <c r="BO79" s="65">
        <v>0</v>
      </c>
      <c r="BP79" s="34">
        <v>-4333.4799999999996</v>
      </c>
      <c r="BQ79" s="65">
        <f t="shared" ref="BQ79:BQ142" si="50">BM79+BN79+BO79+BP79</f>
        <v>20137.447672639213</v>
      </c>
      <c r="BR79" s="65"/>
      <c r="BS79" s="41">
        <v>23291.552394286744</v>
      </c>
      <c r="BT79" s="314"/>
      <c r="BU79" s="314"/>
      <c r="BV79" s="41">
        <v>2022.4745661004972</v>
      </c>
      <c r="BW79" s="65">
        <v>0</v>
      </c>
      <c r="BX79" s="34">
        <v>-4333.4799999999996</v>
      </c>
      <c r="BY79" s="65">
        <f t="shared" si="46"/>
        <v>20980.546960387241</v>
      </c>
      <c r="CA79" s="5">
        <v>23365.735382338382</v>
      </c>
      <c r="CB79" s="407">
        <v>2265.175636902432</v>
      </c>
      <c r="CC79" s="415">
        <v>0</v>
      </c>
      <c r="CD79" s="34">
        <v>-4333.4799999999996</v>
      </c>
      <c r="CE79" s="65">
        <f t="shared" ref="CE79:CE142" si="51">CA79+CB79+CC79+CD79</f>
        <v>21297.431019240816</v>
      </c>
      <c r="CF79" s="407"/>
      <c r="CG79" s="5">
        <v>23660.64167587478</v>
      </c>
      <c r="CH79" s="407">
        <v>2464.6889712859852</v>
      </c>
      <c r="CI79" s="415">
        <v>0</v>
      </c>
      <c r="CJ79" s="34">
        <v>-4333.4799999999996</v>
      </c>
      <c r="CK79" s="65">
        <f t="shared" ref="CK79:CK142" si="52">CG79+CH79+CI79+CJ79</f>
        <v>21791.850647160765</v>
      </c>
      <c r="CL79" s="407"/>
      <c r="CM79" s="41">
        <f>AU79/'1. Väestöennuste'!L79*1000</f>
        <v>1512.3197409755355</v>
      </c>
      <c r="CN79" s="41">
        <f>BC79/'1. Väestöennuste'!M79*1000</f>
        <v>701.5745021600876</v>
      </c>
      <c r="CO79" s="41">
        <f>BK79/'1. Väestöennuste'!N79*1000</f>
        <v>596.50720133435163</v>
      </c>
      <c r="CP79" s="41">
        <f>BQ79/'1. Väestöennuste'!O79*1000</f>
        <v>601.90840724053123</v>
      </c>
      <c r="CQ79" s="41">
        <f>BY79/'1. Väestöennuste'!P79*1000</f>
        <v>623.08585650948089</v>
      </c>
      <c r="CR79" s="41">
        <f>CE79/'1. Väestöennuste'!Q79*1000</f>
        <v>628.65077688295696</v>
      </c>
      <c r="CS79" s="41">
        <f>CK79/'1. Väestöennuste'!R79*1000</f>
        <v>639.52606448013978</v>
      </c>
      <c r="CT79" s="41"/>
      <c r="CV79" s="41">
        <f t="shared" ref="CV79:CV142" si="53">CK79-CJ79</f>
        <v>26125.330647160765</v>
      </c>
      <c r="CW79" s="41">
        <f t="shared" ref="CW79:CW142" si="54">CM79-CK79</f>
        <v>-20279.530906185231</v>
      </c>
      <c r="CX79" s="41">
        <f t="shared" ref="CX79:CX142" si="55">CN79-CM79</f>
        <v>-810.74523881544792</v>
      </c>
      <c r="CY79" s="41">
        <f t="shared" ref="CY79:CY142" si="56">CO79-CN79</f>
        <v>-105.06730082573597</v>
      </c>
      <c r="CZ79" s="41">
        <f t="shared" ref="CZ79:CZ142" si="57">CP79-CO79</f>
        <v>5.4012059061795981</v>
      </c>
      <c r="DA79" s="41">
        <f t="shared" ref="DA79:DA142" si="58">CQ79-CP79</f>
        <v>21.177449268949658</v>
      </c>
      <c r="DB79" s="41">
        <f t="shared" ref="DB79:DB142" si="59">CR79-CQ79</f>
        <v>5.5649203734760704</v>
      </c>
      <c r="DC79" s="41">
        <f t="shared" ref="DC79:DC142" si="60">CS79-CR79</f>
        <v>10.875287597182819</v>
      </c>
      <c r="DD79" s="41"/>
      <c r="DE79" s="283">
        <f t="shared" ref="DE79:DE142" si="61">(CK79-CJ79)/CJ79</f>
        <v>-6.0287184081063643</v>
      </c>
      <c r="DF79" s="283">
        <f t="shared" ref="DF79:DF142" si="62">(CM79-CK79)/CK79</f>
        <v>-0.9306015920601689</v>
      </c>
      <c r="DG79" s="283">
        <f t="shared" ref="DG79:DG142" si="63">(CN79-CM79)/CM79</f>
        <v>-0.53609380136271279</v>
      </c>
      <c r="DH79" s="283">
        <f t="shared" ref="DH79:DH142" si="64">(CO79-CN79)/CN79</f>
        <v>-0.14975929213824446</v>
      </c>
      <c r="DI79" s="283">
        <f t="shared" ref="DI79:DI142" si="65">(CP79-CO79)/CO79</f>
        <v>9.0547203690037898E-3</v>
      </c>
      <c r="DJ79" s="283">
        <f t="shared" ref="DJ79:DJ142" si="66">(CQ79-CP79)/CP79</f>
        <v>3.5183840288987432E-2</v>
      </c>
      <c r="DK79" s="283">
        <f t="shared" ref="DK79:DK142" si="67">(CR79-CQ79)/CQ79</f>
        <v>8.9312256334154079E-3</v>
      </c>
      <c r="DL79" s="283">
        <f t="shared" ref="DL79:DL142" si="68">(CS79-CR79)/CR79</f>
        <v>1.7299410097138233E-2</v>
      </c>
    </row>
    <row r="80" spans="1:116" x14ac:dyDescent="0.2">
      <c r="A80" s="30">
        <v>213</v>
      </c>
      <c r="B80" s="31" t="s">
        <v>394</v>
      </c>
      <c r="C80" s="65"/>
      <c r="D80" s="65"/>
      <c r="E80" s="65"/>
      <c r="F80" s="65"/>
      <c r="G80" s="65"/>
      <c r="H80" s="65">
        <v>19577</v>
      </c>
      <c r="I80" s="65"/>
      <c r="J80" s="65"/>
      <c r="K80" s="65"/>
      <c r="L80" s="65"/>
      <c r="M80" s="65"/>
      <c r="N80" s="65">
        <v>18676</v>
      </c>
      <c r="O80" s="65"/>
      <c r="P80" s="65"/>
      <c r="Q80" s="65"/>
      <c r="R80" s="65"/>
      <c r="S80" s="65"/>
      <c r="T80" s="65">
        <v>18116</v>
      </c>
      <c r="U80" s="65"/>
      <c r="V80" s="65"/>
      <c r="W80" s="65"/>
      <c r="X80" s="65"/>
      <c r="Y80" s="65"/>
      <c r="Z80" s="65">
        <v>18372</v>
      </c>
      <c r="AA80" s="65"/>
      <c r="AB80" s="66">
        <v>17326.419519183022</v>
      </c>
      <c r="AC80" s="34">
        <v>91.864987301166735</v>
      </c>
      <c r="AD80" s="180">
        <v>3145.246222998348</v>
      </c>
      <c r="AE80" s="65">
        <v>0</v>
      </c>
      <c r="AF80" s="34">
        <v>-503.27800000000002</v>
      </c>
      <c r="AG80" s="65">
        <f t="shared" si="47"/>
        <v>20060.252729482538</v>
      </c>
      <c r="AH80" s="65"/>
      <c r="AI80" s="66">
        <v>16561.037125902549</v>
      </c>
      <c r="AJ80" s="34">
        <v>-70.0157712926908</v>
      </c>
      <c r="AK80" s="181">
        <v>3347.0478590127805</v>
      </c>
      <c r="AL80" s="65">
        <v>0</v>
      </c>
      <c r="AM80" s="34">
        <v>-718.93399999999997</v>
      </c>
      <c r="AN80" s="65">
        <f t="shared" si="48"/>
        <v>19119.135213622634</v>
      </c>
      <c r="AO80" s="65"/>
      <c r="AP80" s="41">
        <v>16551.772417326974</v>
      </c>
      <c r="AQ80" s="41">
        <v>-21.30386359986074</v>
      </c>
      <c r="AR80" s="41">
        <v>3718.4765748914497</v>
      </c>
      <c r="AS80" s="65">
        <v>0</v>
      </c>
      <c r="AT80" s="34">
        <v>-475.02499999999998</v>
      </c>
      <c r="AU80" s="65">
        <f t="shared" si="49"/>
        <v>19773.920128618563</v>
      </c>
      <c r="AV80" s="65"/>
      <c r="AW80" s="41">
        <v>1001.9807165053663</v>
      </c>
      <c r="AX80" s="314"/>
      <c r="AY80" s="314"/>
      <c r="AZ80" s="41">
        <v>1126.6645288037319</v>
      </c>
      <c r="BA80" s="65">
        <v>0</v>
      </c>
      <c r="BB80" s="34">
        <v>-344.90800000000002</v>
      </c>
      <c r="BC80" s="65">
        <f t="shared" ref="BC80:BC143" si="69">AW80+AZ80+BA80+BB80</f>
        <v>1783.7372453090984</v>
      </c>
      <c r="BD80" s="65"/>
      <c r="BE80" s="41">
        <v>764.0854703881904</v>
      </c>
      <c r="BF80" s="314"/>
      <c r="BG80" s="314"/>
      <c r="BH80" s="41">
        <v>1110.2957370382251</v>
      </c>
      <c r="BI80" s="65">
        <v>0</v>
      </c>
      <c r="BJ80" s="34">
        <v>-222.72499999999999</v>
      </c>
      <c r="BK80" s="65">
        <f t="shared" ref="BK80:BK143" si="70">BE80+BH80+BI80+BJ80</f>
        <v>1651.6562074264157</v>
      </c>
      <c r="BL80" s="65"/>
      <c r="BM80" s="41">
        <v>1850.1144979405958</v>
      </c>
      <c r="BN80" s="41">
        <v>782.07783408460671</v>
      </c>
      <c r="BO80" s="65">
        <v>0</v>
      </c>
      <c r="BP80" s="34">
        <v>-222.72499999999999</v>
      </c>
      <c r="BQ80" s="65">
        <f t="shared" si="50"/>
        <v>2409.4673320252027</v>
      </c>
      <c r="BR80" s="65"/>
      <c r="BS80" s="41">
        <v>1919.4559577066395</v>
      </c>
      <c r="BT80" s="314"/>
      <c r="BU80" s="314"/>
      <c r="BV80" s="41">
        <v>836.9559239427482</v>
      </c>
      <c r="BW80" s="65">
        <v>0</v>
      </c>
      <c r="BX80" s="34">
        <v>-222.72499999999999</v>
      </c>
      <c r="BY80" s="65">
        <f t="shared" ref="BY80:BY143" si="71">BS80+BV80+BW80+BX80</f>
        <v>2533.6868816493879</v>
      </c>
      <c r="CA80" s="5">
        <v>1862.2760797875253</v>
      </c>
      <c r="CB80" s="407">
        <v>892.29612962811029</v>
      </c>
      <c r="CC80" s="415">
        <v>0</v>
      </c>
      <c r="CD80" s="34">
        <v>-222.72499999999999</v>
      </c>
      <c r="CE80" s="65">
        <f t="shared" si="51"/>
        <v>2531.8472094156355</v>
      </c>
      <c r="CF80" s="407"/>
      <c r="CG80" s="5">
        <v>2427.4729051522527</v>
      </c>
      <c r="CH80" s="407">
        <v>940.97299622279229</v>
      </c>
      <c r="CI80" s="415">
        <v>0</v>
      </c>
      <c r="CJ80" s="34">
        <v>-222.72499999999999</v>
      </c>
      <c r="CK80" s="65">
        <f t="shared" si="52"/>
        <v>3145.7209013750448</v>
      </c>
      <c r="CL80" s="407"/>
      <c r="CM80" s="41">
        <f>AU80/'1. Väestöennuste'!L80*1000</f>
        <v>3836.6162453664265</v>
      </c>
      <c r="CN80" s="41">
        <f>BC80/'1. Väestöennuste'!M80*1000</f>
        <v>348.79492477690621</v>
      </c>
      <c r="CO80" s="41">
        <f>BK80/'1. Väestöennuste'!N80*1000</f>
        <v>325.96333282542247</v>
      </c>
      <c r="CP80" s="41">
        <f>BQ80/'1. Väestöennuste'!O80*1000</f>
        <v>480.83562802338906</v>
      </c>
      <c r="CQ80" s="41">
        <f>BY80/'1. Väestöennuste'!P80*1000</f>
        <v>511.13312117195642</v>
      </c>
      <c r="CR80" s="41">
        <f>CE80/'1. Väestöennuste'!Q80*1000</f>
        <v>516.28205738491749</v>
      </c>
      <c r="CS80" s="41">
        <f>CK80/'1. Väestöennuste'!R80*1000</f>
        <v>648.20129844942198</v>
      </c>
      <c r="CT80" s="41"/>
      <c r="CV80" s="41">
        <f t="shared" si="53"/>
        <v>3368.4459013750447</v>
      </c>
      <c r="CW80" s="41">
        <f t="shared" si="54"/>
        <v>690.89534399138165</v>
      </c>
      <c r="CX80" s="41">
        <f t="shared" si="55"/>
        <v>-3487.8213205895204</v>
      </c>
      <c r="CY80" s="41">
        <f t="shared" si="56"/>
        <v>-22.831591951483745</v>
      </c>
      <c r="CZ80" s="41">
        <f t="shared" si="57"/>
        <v>154.87229519796659</v>
      </c>
      <c r="DA80" s="41">
        <f t="shared" si="58"/>
        <v>30.297493148567355</v>
      </c>
      <c r="DB80" s="41">
        <f t="shared" si="59"/>
        <v>5.1489362129610754</v>
      </c>
      <c r="DC80" s="41">
        <f t="shared" si="60"/>
        <v>131.91924106450449</v>
      </c>
      <c r="DD80" s="41"/>
      <c r="DE80" s="283">
        <f t="shared" si="61"/>
        <v>-15.123788983612279</v>
      </c>
      <c r="DF80" s="283">
        <f t="shared" si="62"/>
        <v>0.21963021057887883</v>
      </c>
      <c r="DG80" s="283">
        <f t="shared" si="63"/>
        <v>-0.90908787784075251</v>
      </c>
      <c r="DH80" s="283">
        <f t="shared" si="64"/>
        <v>-6.5458498187974293E-2</v>
      </c>
      <c r="DI80" s="283">
        <f t="shared" si="65"/>
        <v>0.47512182997868718</v>
      </c>
      <c r="DJ80" s="283">
        <f t="shared" si="66"/>
        <v>6.3010083660218305E-2</v>
      </c>
      <c r="DK80" s="283">
        <f t="shared" si="67"/>
        <v>1.007357183419319E-2</v>
      </c>
      <c r="DL80" s="283">
        <f t="shared" si="68"/>
        <v>0.25551777207347576</v>
      </c>
    </row>
    <row r="81" spans="1:116" s="7" customFormat="1" x14ac:dyDescent="0.2">
      <c r="A81" s="30">
        <v>214</v>
      </c>
      <c r="B81" s="31" t="s">
        <v>395</v>
      </c>
      <c r="C81" s="65"/>
      <c r="D81" s="65"/>
      <c r="E81" s="65"/>
      <c r="F81" s="65"/>
      <c r="G81" s="65"/>
      <c r="H81" s="65">
        <v>31627</v>
      </c>
      <c r="I81" s="65"/>
      <c r="J81" s="65"/>
      <c r="K81" s="65"/>
      <c r="L81" s="65"/>
      <c r="M81" s="65"/>
      <c r="N81" s="65">
        <v>31664</v>
      </c>
      <c r="O81" s="65"/>
      <c r="P81" s="65"/>
      <c r="Q81" s="65"/>
      <c r="R81" s="65"/>
      <c r="S81" s="65"/>
      <c r="T81" s="65">
        <v>31797</v>
      </c>
      <c r="U81" s="65"/>
      <c r="V81" s="65"/>
      <c r="W81" s="65"/>
      <c r="X81" s="65"/>
      <c r="Y81" s="65"/>
      <c r="Z81" s="65">
        <v>32269</v>
      </c>
      <c r="AA81" s="65"/>
      <c r="AB81" s="264">
        <v>29441.199219883543</v>
      </c>
      <c r="AC81" s="34">
        <v>229.31677274595683</v>
      </c>
      <c r="AD81" s="180">
        <v>7223.0292665842335</v>
      </c>
      <c r="AE81" s="65">
        <v>0</v>
      </c>
      <c r="AF81" s="34">
        <v>145.27799999999999</v>
      </c>
      <c r="AG81" s="65">
        <f t="shared" si="47"/>
        <v>37038.823259213736</v>
      </c>
      <c r="AH81" s="65"/>
      <c r="AI81" s="264">
        <v>28917.859798736685</v>
      </c>
      <c r="AJ81" s="34">
        <v>-177.618321825961</v>
      </c>
      <c r="AK81" s="181">
        <v>7714.6628213247213</v>
      </c>
      <c r="AL81" s="65">
        <v>0</v>
      </c>
      <c r="AM81" s="34">
        <v>-363.363</v>
      </c>
      <c r="AN81" s="65">
        <f t="shared" si="48"/>
        <v>36091.541298235446</v>
      </c>
      <c r="AO81" s="65"/>
      <c r="AP81" s="165">
        <v>29798.823251341073</v>
      </c>
      <c r="AQ81" s="165">
        <v>-54.680512725876405</v>
      </c>
      <c r="AR81" s="165">
        <v>8619.5322042009611</v>
      </c>
      <c r="AS81" s="65">
        <v>0</v>
      </c>
      <c r="AT81" s="34">
        <v>-568.649</v>
      </c>
      <c r="AU81" s="65">
        <f t="shared" si="49"/>
        <v>37795.025942816159</v>
      </c>
      <c r="AV81" s="65"/>
      <c r="AW81" s="165">
        <v>8700.8390462260813</v>
      </c>
      <c r="AX81" s="314"/>
      <c r="AY81" s="314"/>
      <c r="AZ81" s="165">
        <v>2642.332267822017</v>
      </c>
      <c r="BA81" s="65">
        <v>0</v>
      </c>
      <c r="BB81" s="34">
        <v>-647.75599999999997</v>
      </c>
      <c r="BC81" s="65">
        <f t="shared" si="69"/>
        <v>10695.415314048099</v>
      </c>
      <c r="BD81" s="65"/>
      <c r="BE81" s="165">
        <v>6823.0209422749376</v>
      </c>
      <c r="BF81" s="314"/>
      <c r="BG81" s="314"/>
      <c r="BH81" s="165">
        <v>2646.9421936221629</v>
      </c>
      <c r="BI81" s="65">
        <v>0</v>
      </c>
      <c r="BJ81" s="34">
        <v>-147.161</v>
      </c>
      <c r="BK81" s="65">
        <f t="shared" si="70"/>
        <v>9322.8021358971</v>
      </c>
      <c r="BL81" s="65"/>
      <c r="BM81" s="41">
        <v>8732.1187627366689</v>
      </c>
      <c r="BN81" s="165">
        <v>1762.8098407213483</v>
      </c>
      <c r="BO81" s="65">
        <v>0</v>
      </c>
      <c r="BP81" s="34">
        <v>-147.161</v>
      </c>
      <c r="BQ81" s="65">
        <f t="shared" si="50"/>
        <v>10347.767603458018</v>
      </c>
      <c r="BR81" s="65"/>
      <c r="BS81" s="41">
        <v>8983.1817066334934</v>
      </c>
      <c r="BT81" s="314"/>
      <c r="BU81" s="314"/>
      <c r="BV81" s="165">
        <v>1889.2318947825274</v>
      </c>
      <c r="BW81" s="65">
        <v>0</v>
      </c>
      <c r="BX81" s="34">
        <v>-147.161</v>
      </c>
      <c r="BY81" s="65">
        <f t="shared" si="71"/>
        <v>10725.252601416021</v>
      </c>
      <c r="CA81" s="5">
        <v>9132.6813692488649</v>
      </c>
      <c r="CB81" s="408">
        <v>2020.4126439173854</v>
      </c>
      <c r="CC81" s="416">
        <v>0</v>
      </c>
      <c r="CD81" s="34">
        <v>-147.161</v>
      </c>
      <c r="CE81" s="65">
        <f t="shared" si="51"/>
        <v>11005.93301316625</v>
      </c>
      <c r="CF81" s="407"/>
      <c r="CG81" s="5">
        <v>10410.052877631806</v>
      </c>
      <c r="CH81" s="408">
        <v>2136.2486537568147</v>
      </c>
      <c r="CI81" s="416">
        <v>0</v>
      </c>
      <c r="CJ81" s="34">
        <v>-147.161</v>
      </c>
      <c r="CK81" s="65">
        <f t="shared" si="52"/>
        <v>12399.140531388621</v>
      </c>
      <c r="CL81" s="407"/>
      <c r="CM81" s="41">
        <f>AU81/'1. Väestöennuste'!L81*1000</f>
        <v>3016.8443440945211</v>
      </c>
      <c r="CN81" s="41">
        <f>BC81/'1. Väestöennuste'!M81*1000</f>
        <v>862.95105002808612</v>
      </c>
      <c r="CO81" s="41">
        <f>BK81/'1. Väestöennuste'!N81*1000</f>
        <v>768.13068599300482</v>
      </c>
      <c r="CP81" s="41">
        <f>BQ81/'1. Väestöennuste'!O81*1000</f>
        <v>862.457709906486</v>
      </c>
      <c r="CQ81" s="41">
        <f>BY81/'1. Väestöennuste'!P81*1000</f>
        <v>903.86420035530273</v>
      </c>
      <c r="CR81" s="41">
        <f>CE81/'1. Väestöennuste'!Q81*1000</f>
        <v>937.39315332307729</v>
      </c>
      <c r="CS81" s="41">
        <f>CK81/'1. Väestöennuste'!R81*1000</f>
        <v>1067.1435176339289</v>
      </c>
      <c r="CT81" s="41"/>
      <c r="CV81" s="41">
        <f t="shared" si="53"/>
        <v>12546.301531388621</v>
      </c>
      <c r="CW81" s="41">
        <f t="shared" si="54"/>
        <v>-9382.2961872940996</v>
      </c>
      <c r="CX81" s="41">
        <f t="shared" si="55"/>
        <v>-2153.8932940664349</v>
      </c>
      <c r="CY81" s="41">
        <f t="shared" si="56"/>
        <v>-94.820364035081298</v>
      </c>
      <c r="CZ81" s="41">
        <f t="shared" si="57"/>
        <v>94.327023913481185</v>
      </c>
      <c r="DA81" s="41">
        <f t="shared" si="58"/>
        <v>41.406490448816726</v>
      </c>
      <c r="DB81" s="41">
        <f t="shared" si="59"/>
        <v>33.528952967774558</v>
      </c>
      <c r="DC81" s="41">
        <f t="shared" si="60"/>
        <v>129.75036431085164</v>
      </c>
      <c r="DD81" s="41"/>
      <c r="DE81" s="283">
        <f t="shared" si="61"/>
        <v>-85.255614812271048</v>
      </c>
      <c r="DF81" s="283">
        <f t="shared" si="62"/>
        <v>-0.75668923693079115</v>
      </c>
      <c r="DG81" s="283">
        <f t="shared" si="63"/>
        <v>-0.71395572604953428</v>
      </c>
      <c r="DH81" s="283">
        <f t="shared" si="64"/>
        <v>-0.10987919191012656</v>
      </c>
      <c r="DI81" s="283">
        <f t="shared" si="65"/>
        <v>0.12280074944739312</v>
      </c>
      <c r="DJ81" s="283">
        <f t="shared" si="66"/>
        <v>4.8009879178083206E-2</v>
      </c>
      <c r="DK81" s="283">
        <f t="shared" si="67"/>
        <v>3.709512220374981E-2</v>
      </c>
      <c r="DL81" s="283">
        <f t="shared" si="68"/>
        <v>0.13841616385919187</v>
      </c>
    </row>
    <row r="82" spans="1:116" x14ac:dyDescent="0.2">
      <c r="A82" s="30">
        <v>216</v>
      </c>
      <c r="B82" s="31" t="s">
        <v>396</v>
      </c>
      <c r="C82" s="65"/>
      <c r="D82" s="65"/>
      <c r="E82" s="65"/>
      <c r="F82" s="65"/>
      <c r="G82" s="65"/>
      <c r="H82" s="65">
        <v>6414</v>
      </c>
      <c r="I82" s="65"/>
      <c r="J82" s="65"/>
      <c r="K82" s="65"/>
      <c r="L82" s="65"/>
      <c r="M82" s="65"/>
      <c r="N82" s="65">
        <v>5963</v>
      </c>
      <c r="O82" s="65"/>
      <c r="P82" s="65"/>
      <c r="Q82" s="65"/>
      <c r="R82" s="65"/>
      <c r="S82" s="65"/>
      <c r="T82" s="65">
        <v>5907</v>
      </c>
      <c r="U82" s="65"/>
      <c r="V82" s="65"/>
      <c r="W82" s="65"/>
      <c r="X82" s="65"/>
      <c r="Y82" s="65"/>
      <c r="Z82" s="65">
        <v>5729</v>
      </c>
      <c r="AA82" s="65"/>
      <c r="AB82" s="66">
        <v>5577.9670563158115</v>
      </c>
      <c r="AC82" s="34">
        <v>20.040286460424962</v>
      </c>
      <c r="AD82" s="180">
        <v>852.50390196205728</v>
      </c>
      <c r="AE82" s="65">
        <v>190</v>
      </c>
      <c r="AF82" s="34">
        <v>-314.25</v>
      </c>
      <c r="AG82" s="65">
        <f t="shared" si="47"/>
        <v>6326.2612447382935</v>
      </c>
      <c r="AH82" s="65"/>
      <c r="AI82" s="66">
        <v>5392.8869102674298</v>
      </c>
      <c r="AJ82" s="34">
        <v>-15.234803296337159</v>
      </c>
      <c r="AK82" s="181">
        <v>906.02607890637239</v>
      </c>
      <c r="AL82" s="65">
        <v>0</v>
      </c>
      <c r="AM82" s="34">
        <v>-342.97399999999999</v>
      </c>
      <c r="AN82" s="65">
        <f t="shared" si="48"/>
        <v>5940.7041858774646</v>
      </c>
      <c r="AO82" s="65"/>
      <c r="AP82" s="41">
        <v>5753.7961962710406</v>
      </c>
      <c r="AQ82" s="41">
        <v>-4.6226366363511477</v>
      </c>
      <c r="AR82" s="41">
        <v>1007.0419048513905</v>
      </c>
      <c r="AS82" s="65">
        <v>0</v>
      </c>
      <c r="AT82" s="34">
        <v>-350.40600000000001</v>
      </c>
      <c r="AU82" s="65">
        <f t="shared" si="49"/>
        <v>6405.8094644860803</v>
      </c>
      <c r="AV82" s="65"/>
      <c r="AW82" s="41">
        <v>1097.7413510898034</v>
      </c>
      <c r="AX82" s="314"/>
      <c r="AY82" s="314"/>
      <c r="AZ82" s="41">
        <v>301.47903133509607</v>
      </c>
      <c r="BA82" s="65">
        <v>0</v>
      </c>
      <c r="BB82" s="34">
        <v>-349.18900000000002</v>
      </c>
      <c r="BC82" s="65">
        <f t="shared" si="69"/>
        <v>1050.0313824248994</v>
      </c>
      <c r="BD82" s="65"/>
      <c r="BE82" s="41">
        <v>1071.8558207023634</v>
      </c>
      <c r="BF82" s="314"/>
      <c r="BG82" s="314"/>
      <c r="BH82" s="41">
        <v>300.79169579398894</v>
      </c>
      <c r="BI82" s="65">
        <v>0</v>
      </c>
      <c r="BJ82" s="34">
        <v>-263.52499999999998</v>
      </c>
      <c r="BK82" s="65">
        <f t="shared" si="70"/>
        <v>1109.1225164963525</v>
      </c>
      <c r="BL82" s="65"/>
      <c r="BM82" s="41">
        <v>1341.9407730949883</v>
      </c>
      <c r="BN82" s="41">
        <v>224.53053359577333</v>
      </c>
      <c r="BO82" s="65">
        <v>0</v>
      </c>
      <c r="BP82" s="34">
        <v>-263.52499999999998</v>
      </c>
      <c r="BQ82" s="65">
        <f t="shared" si="50"/>
        <v>1302.9463066907615</v>
      </c>
      <c r="BR82" s="65"/>
      <c r="BS82" s="41">
        <v>1278.339766063302</v>
      </c>
      <c r="BT82" s="314"/>
      <c r="BU82" s="314"/>
      <c r="BV82" s="41">
        <v>239.26475492560635</v>
      </c>
      <c r="BW82" s="65">
        <v>0</v>
      </c>
      <c r="BX82" s="34">
        <v>-263.52499999999998</v>
      </c>
      <c r="BY82" s="65">
        <f t="shared" si="71"/>
        <v>1254.0795209889084</v>
      </c>
      <c r="CA82" s="5">
        <v>1237.5714438082621</v>
      </c>
      <c r="CB82" s="407">
        <v>253.90425437279049</v>
      </c>
      <c r="CC82" s="415">
        <v>0</v>
      </c>
      <c r="CD82" s="34">
        <v>-263.52499999999998</v>
      </c>
      <c r="CE82" s="65">
        <f t="shared" si="51"/>
        <v>1227.9506981810528</v>
      </c>
      <c r="CF82" s="407"/>
      <c r="CG82" s="5">
        <v>1376.7273883771904</v>
      </c>
      <c r="CH82" s="407">
        <v>266.87081099380117</v>
      </c>
      <c r="CI82" s="415">
        <v>0</v>
      </c>
      <c r="CJ82" s="34">
        <v>-263.52499999999998</v>
      </c>
      <c r="CK82" s="65">
        <f t="shared" si="52"/>
        <v>1380.0731993709915</v>
      </c>
      <c r="CL82" s="407"/>
      <c r="CM82" s="41">
        <f>AU82/'1. Väestöennuste'!L82*1000</f>
        <v>5047.9191997526241</v>
      </c>
      <c r="CN82" s="41">
        <f>BC82/'1. Väestöennuste'!M82*1000</f>
        <v>862.80310799087874</v>
      </c>
      <c r="CO82" s="41">
        <f>BK82/'1. Väestöennuste'!N82*1000</f>
        <v>893.01329830624195</v>
      </c>
      <c r="CP82" s="41">
        <f>BQ82/'1. Väestöennuste'!O82*1000</f>
        <v>1064.4986165774194</v>
      </c>
      <c r="CQ82" s="41">
        <f>BY82/'1. Väestöennuste'!P82*1000</f>
        <v>1036.4293561891805</v>
      </c>
      <c r="CR82" s="41">
        <f>CE82/'1. Väestöennuste'!Q82*1000</f>
        <v>1028.4344205871462</v>
      </c>
      <c r="CS82" s="41">
        <f>CK82/'1. Väestöennuste'!R82*1000</f>
        <v>1170.5455465402813</v>
      </c>
      <c r="CT82" s="41"/>
      <c r="CV82" s="41">
        <f t="shared" si="53"/>
        <v>1643.5981993709916</v>
      </c>
      <c r="CW82" s="41">
        <f t="shared" si="54"/>
        <v>3667.8460003816326</v>
      </c>
      <c r="CX82" s="41">
        <f t="shared" si="55"/>
        <v>-4185.1160917617453</v>
      </c>
      <c r="CY82" s="41">
        <f t="shared" si="56"/>
        <v>30.210190315363207</v>
      </c>
      <c r="CZ82" s="41">
        <f t="shared" si="57"/>
        <v>171.48531827117745</v>
      </c>
      <c r="DA82" s="41">
        <f t="shared" si="58"/>
        <v>-28.069260388238945</v>
      </c>
      <c r="DB82" s="41">
        <f t="shared" si="59"/>
        <v>-7.9949356020342748</v>
      </c>
      <c r="DC82" s="41">
        <f t="shared" si="60"/>
        <v>142.11112595313512</v>
      </c>
      <c r="DD82" s="41"/>
      <c r="DE82" s="283">
        <f t="shared" si="61"/>
        <v>-6.2369725808594696</v>
      </c>
      <c r="DF82" s="283">
        <f t="shared" si="62"/>
        <v>2.6577184471471225</v>
      </c>
      <c r="DG82" s="283">
        <f t="shared" si="63"/>
        <v>-0.82907747254885522</v>
      </c>
      <c r="DH82" s="283">
        <f t="shared" si="64"/>
        <v>3.5014002656655448E-2</v>
      </c>
      <c r="DI82" s="283">
        <f t="shared" si="65"/>
        <v>0.1920299715540964</v>
      </c>
      <c r="DJ82" s="283">
        <f t="shared" si="66"/>
        <v>-2.6368526883094837E-2</v>
      </c>
      <c r="DK82" s="283">
        <f t="shared" si="67"/>
        <v>-7.7139223761768395E-3</v>
      </c>
      <c r="DL82" s="283">
        <f t="shared" si="68"/>
        <v>0.13818200082412846</v>
      </c>
    </row>
    <row r="83" spans="1:116" x14ac:dyDescent="0.2">
      <c r="A83" s="30">
        <v>217</v>
      </c>
      <c r="B83" s="31" t="s">
        <v>397</v>
      </c>
      <c r="C83" s="65"/>
      <c r="D83" s="65"/>
      <c r="E83" s="65"/>
      <c r="F83" s="65"/>
      <c r="G83" s="65"/>
      <c r="H83" s="65">
        <v>13214</v>
      </c>
      <c r="I83" s="65"/>
      <c r="J83" s="65"/>
      <c r="K83" s="65"/>
      <c r="L83" s="65"/>
      <c r="M83" s="65"/>
      <c r="N83" s="65">
        <v>13531</v>
      </c>
      <c r="O83" s="65"/>
      <c r="P83" s="65"/>
      <c r="Q83" s="65"/>
      <c r="R83" s="65"/>
      <c r="S83" s="65"/>
      <c r="T83" s="65">
        <v>13339</v>
      </c>
      <c r="U83" s="65"/>
      <c r="V83" s="65"/>
      <c r="W83" s="65"/>
      <c r="X83" s="65"/>
      <c r="Y83" s="65"/>
      <c r="Z83" s="65">
        <v>13702</v>
      </c>
      <c r="AA83" s="65"/>
      <c r="AB83" s="66">
        <v>13744.469478343584</v>
      </c>
      <c r="AC83" s="34">
        <v>89.947052360511364</v>
      </c>
      <c r="AD83" s="180">
        <v>2806.9106192087688</v>
      </c>
      <c r="AE83" s="65">
        <v>0</v>
      </c>
      <c r="AF83" s="34">
        <v>-31.405000000000001</v>
      </c>
      <c r="AG83" s="65">
        <f t="shared" si="47"/>
        <v>16609.922149912865</v>
      </c>
      <c r="AH83" s="65"/>
      <c r="AI83" s="66">
        <v>13022.435945504525</v>
      </c>
      <c r="AJ83" s="34">
        <v>-69.814705542801164</v>
      </c>
      <c r="AK83" s="181">
        <v>3012.5942684013344</v>
      </c>
      <c r="AL83" s="65">
        <v>0</v>
      </c>
      <c r="AM83" s="34">
        <v>-232.631</v>
      </c>
      <c r="AN83" s="65">
        <f t="shared" si="48"/>
        <v>15732.584508363057</v>
      </c>
      <c r="AO83" s="65"/>
      <c r="AP83" s="41">
        <v>13790.776595319423</v>
      </c>
      <c r="AQ83" s="41">
        <v>-21.556247575591605</v>
      </c>
      <c r="AR83" s="41">
        <v>3447.8819174647087</v>
      </c>
      <c r="AS83" s="65">
        <v>0</v>
      </c>
      <c r="AT83" s="34">
        <v>40.606000000000002</v>
      </c>
      <c r="AU83" s="65">
        <f t="shared" si="49"/>
        <v>17257.708265208537</v>
      </c>
      <c r="AV83" s="65"/>
      <c r="AW83" s="41">
        <v>3879.5548333840597</v>
      </c>
      <c r="AX83" s="314"/>
      <c r="AY83" s="314"/>
      <c r="AZ83" s="41">
        <v>1064.158201157104</v>
      </c>
      <c r="BA83" s="65">
        <v>0</v>
      </c>
      <c r="BB83" s="34">
        <v>95.28</v>
      </c>
      <c r="BC83" s="65">
        <f t="shared" si="69"/>
        <v>5038.993034541164</v>
      </c>
      <c r="BD83" s="65"/>
      <c r="BE83" s="41">
        <v>3421.3983763619976</v>
      </c>
      <c r="BF83" s="314"/>
      <c r="BG83" s="314"/>
      <c r="BH83" s="41">
        <v>1051.5040723747611</v>
      </c>
      <c r="BI83" s="65">
        <v>0</v>
      </c>
      <c r="BJ83" s="34">
        <v>110.34399999999999</v>
      </c>
      <c r="BK83" s="65">
        <f t="shared" si="70"/>
        <v>4583.2464487367588</v>
      </c>
      <c r="BL83" s="65"/>
      <c r="BM83" s="41">
        <v>4288.6439083765654</v>
      </c>
      <c r="BN83" s="41">
        <v>655.32812399279101</v>
      </c>
      <c r="BO83" s="65">
        <v>0</v>
      </c>
      <c r="BP83" s="34">
        <v>110.34399999999999</v>
      </c>
      <c r="BQ83" s="65">
        <f t="shared" si="50"/>
        <v>5054.3160323693564</v>
      </c>
      <c r="BR83" s="65"/>
      <c r="BS83" s="41">
        <v>4547.9786146377692</v>
      </c>
      <c r="BT83" s="314"/>
      <c r="BU83" s="314"/>
      <c r="BV83" s="41">
        <v>706.89313346980816</v>
      </c>
      <c r="BW83" s="65">
        <v>0</v>
      </c>
      <c r="BX83" s="34">
        <v>110.34399999999999</v>
      </c>
      <c r="BY83" s="65">
        <f t="shared" si="71"/>
        <v>5365.2157481075774</v>
      </c>
      <c r="CA83" s="5">
        <v>4701.5683846984548</v>
      </c>
      <c r="CB83" s="407">
        <v>758.68574463980951</v>
      </c>
      <c r="CC83" s="415">
        <v>0</v>
      </c>
      <c r="CD83" s="34">
        <v>110.34399999999999</v>
      </c>
      <c r="CE83" s="65">
        <f t="shared" si="51"/>
        <v>5570.5981293382647</v>
      </c>
      <c r="CF83" s="407"/>
      <c r="CG83" s="5">
        <v>5056.3078893993088</v>
      </c>
      <c r="CH83" s="407">
        <v>803.56033769749661</v>
      </c>
      <c r="CI83" s="415">
        <v>0</v>
      </c>
      <c r="CJ83" s="34">
        <v>110.34399999999999</v>
      </c>
      <c r="CK83" s="65">
        <f t="shared" si="52"/>
        <v>5970.2122270968057</v>
      </c>
      <c r="CL83" s="407"/>
      <c r="CM83" s="41">
        <f>AU83/'1. Väestöennuste'!L83*1000</f>
        <v>3224.5344292243153</v>
      </c>
      <c r="CN83" s="41">
        <f>BC83/'1. Väestöennuste'!M83*1000</f>
        <v>960.54003708371408</v>
      </c>
      <c r="CO83" s="41">
        <f>BK83/'1. Väestöennuste'!N83*1000</f>
        <v>868.20353262677747</v>
      </c>
      <c r="CP83" s="41">
        <f>BQ83/'1. Väestöennuste'!O83*1000</f>
        <v>963.64462008948647</v>
      </c>
      <c r="CQ83" s="41">
        <f>BY83/'1. Väestöennuste'!P83*1000</f>
        <v>1029.0018696025274</v>
      </c>
      <c r="CR83" s="41">
        <f>CE83/'1. Väestöennuste'!Q83*1000</f>
        <v>1074.3680095155764</v>
      </c>
      <c r="CS83" s="41">
        <f>CK83/'1. Väestöennuste'!R83*1000</f>
        <v>1158.1401022496229</v>
      </c>
      <c r="CT83" s="41"/>
      <c r="CV83" s="41">
        <f t="shared" si="53"/>
        <v>5859.8682270968056</v>
      </c>
      <c r="CW83" s="41">
        <f t="shared" si="54"/>
        <v>-2745.6777978724904</v>
      </c>
      <c r="CX83" s="41">
        <f t="shared" si="55"/>
        <v>-2263.9943921406011</v>
      </c>
      <c r="CY83" s="41">
        <f t="shared" si="56"/>
        <v>-92.336504456936609</v>
      </c>
      <c r="CZ83" s="41">
        <f t="shared" si="57"/>
        <v>95.441087462708992</v>
      </c>
      <c r="DA83" s="41">
        <f t="shared" si="58"/>
        <v>65.357249513040983</v>
      </c>
      <c r="DB83" s="41">
        <f t="shared" si="59"/>
        <v>45.366139913048983</v>
      </c>
      <c r="DC83" s="41">
        <f t="shared" si="60"/>
        <v>83.77209273404651</v>
      </c>
      <c r="DD83" s="41"/>
      <c r="DE83" s="283">
        <f t="shared" si="61"/>
        <v>53.105454098970547</v>
      </c>
      <c r="DF83" s="283">
        <f t="shared" si="62"/>
        <v>-0.45989618014092914</v>
      </c>
      <c r="DG83" s="283">
        <f t="shared" si="63"/>
        <v>-0.70211512447247182</v>
      </c>
      <c r="DH83" s="283">
        <f t="shared" si="64"/>
        <v>-9.6129782093496638E-2</v>
      </c>
      <c r="DI83" s="283">
        <f t="shared" si="65"/>
        <v>0.10992939313889791</v>
      </c>
      <c r="DJ83" s="283">
        <f t="shared" si="66"/>
        <v>6.7822979706950212E-2</v>
      </c>
      <c r="DK83" s="283">
        <f t="shared" si="67"/>
        <v>4.4087519423626084E-2</v>
      </c>
      <c r="DL83" s="283">
        <f t="shared" si="68"/>
        <v>7.7973368521851882E-2</v>
      </c>
    </row>
    <row r="84" spans="1:116" x14ac:dyDescent="0.2">
      <c r="A84" s="30">
        <v>218</v>
      </c>
      <c r="B84" s="31" t="s">
        <v>398</v>
      </c>
      <c r="C84" s="65"/>
      <c r="D84" s="65"/>
      <c r="E84" s="65"/>
      <c r="F84" s="65"/>
      <c r="G84" s="65"/>
      <c r="H84" s="65">
        <v>4680</v>
      </c>
      <c r="I84" s="65"/>
      <c r="J84" s="65"/>
      <c r="K84" s="65"/>
      <c r="L84" s="65"/>
      <c r="M84" s="65"/>
      <c r="N84" s="65">
        <v>4753</v>
      </c>
      <c r="O84" s="65"/>
      <c r="P84" s="65"/>
      <c r="Q84" s="65"/>
      <c r="R84" s="65"/>
      <c r="S84" s="65"/>
      <c r="T84" s="65">
        <v>4640</v>
      </c>
      <c r="U84" s="65"/>
      <c r="V84" s="65"/>
      <c r="W84" s="65"/>
      <c r="X84" s="65"/>
      <c r="Y84" s="65"/>
      <c r="Z84" s="65">
        <v>4854</v>
      </c>
      <c r="AA84" s="65"/>
      <c r="AB84" s="66">
        <v>5016.0860172744669</v>
      </c>
      <c r="AC84" s="34">
        <v>19.319482459777447</v>
      </c>
      <c r="AD84" s="180">
        <v>920.35594657905756</v>
      </c>
      <c r="AE84" s="65">
        <v>180</v>
      </c>
      <c r="AF84" s="34">
        <v>-297.39</v>
      </c>
      <c r="AG84" s="65">
        <f t="shared" si="47"/>
        <v>5838.3714463133019</v>
      </c>
      <c r="AH84" s="65"/>
      <c r="AI84" s="66">
        <v>4767.5960755875612</v>
      </c>
      <c r="AJ84" s="34">
        <v>-14.926917763006474</v>
      </c>
      <c r="AK84" s="181">
        <v>977.47015278628862</v>
      </c>
      <c r="AL84" s="65">
        <v>0</v>
      </c>
      <c r="AM84" s="34">
        <v>-318.13400000000001</v>
      </c>
      <c r="AN84" s="65">
        <f t="shared" si="48"/>
        <v>5412.0053106108435</v>
      </c>
      <c r="AO84" s="65"/>
      <c r="AP84" s="41">
        <v>4853.8307035246125</v>
      </c>
      <c r="AQ84" s="41">
        <v>-4.5953120715257061</v>
      </c>
      <c r="AR84" s="41">
        <v>1086.0305228215868</v>
      </c>
      <c r="AS84" s="65">
        <v>0</v>
      </c>
      <c r="AT84" s="34">
        <v>-287.08800000000002</v>
      </c>
      <c r="AU84" s="65">
        <f t="shared" si="49"/>
        <v>5648.1779142746736</v>
      </c>
      <c r="AV84" s="65"/>
      <c r="AW84" s="41">
        <v>1149.618227006777</v>
      </c>
      <c r="AX84" s="314"/>
      <c r="AY84" s="314"/>
      <c r="AZ84" s="41">
        <v>340.92793071164908</v>
      </c>
      <c r="BA84" s="65">
        <v>0</v>
      </c>
      <c r="BB84" s="34">
        <v>-305.59800000000001</v>
      </c>
      <c r="BC84" s="65">
        <f t="shared" si="69"/>
        <v>1184.948157718426</v>
      </c>
      <c r="BD84" s="65"/>
      <c r="BE84" s="41">
        <v>919.98363016275107</v>
      </c>
      <c r="BF84" s="314"/>
      <c r="BG84" s="314"/>
      <c r="BH84" s="41">
        <v>336.77141445973479</v>
      </c>
      <c r="BI84" s="65">
        <v>0</v>
      </c>
      <c r="BJ84" s="34">
        <v>-277.53199999999998</v>
      </c>
      <c r="BK84" s="65">
        <f t="shared" si="70"/>
        <v>979.22304462248599</v>
      </c>
      <c r="BL84" s="65"/>
      <c r="BM84" s="41">
        <v>1173.6909855942238</v>
      </c>
      <c r="BN84" s="41">
        <v>244.47432525002935</v>
      </c>
      <c r="BO84" s="65">
        <v>0</v>
      </c>
      <c r="BP84" s="34">
        <v>-277.53199999999998</v>
      </c>
      <c r="BQ84" s="65">
        <f t="shared" si="50"/>
        <v>1140.6333108442532</v>
      </c>
      <c r="BR84" s="65"/>
      <c r="BS84" s="41">
        <v>1291.0449013508619</v>
      </c>
      <c r="BT84" s="314"/>
      <c r="BU84" s="314"/>
      <c r="BV84" s="41">
        <v>259.27255599276833</v>
      </c>
      <c r="BW84" s="65">
        <v>0</v>
      </c>
      <c r="BX84" s="34">
        <v>-277.53199999999998</v>
      </c>
      <c r="BY84" s="65">
        <f t="shared" si="71"/>
        <v>1272.7854573436302</v>
      </c>
      <c r="CA84" s="5">
        <v>1331.6863910760903</v>
      </c>
      <c r="CB84" s="407">
        <v>274.0159962932255</v>
      </c>
      <c r="CC84" s="415">
        <v>0</v>
      </c>
      <c r="CD84" s="34">
        <v>-277.53199999999998</v>
      </c>
      <c r="CE84" s="65">
        <f t="shared" si="51"/>
        <v>1328.1703873693159</v>
      </c>
      <c r="CF84" s="407"/>
      <c r="CG84" s="5">
        <v>1535.7057814498253</v>
      </c>
      <c r="CH84" s="407">
        <v>287.18401390875738</v>
      </c>
      <c r="CI84" s="415">
        <v>0</v>
      </c>
      <c r="CJ84" s="34">
        <v>-277.53199999999998</v>
      </c>
      <c r="CK84" s="65">
        <f t="shared" si="52"/>
        <v>1545.3577953585827</v>
      </c>
      <c r="CL84" s="407"/>
      <c r="CM84" s="41">
        <f>AU84/'1. Väestöennuste'!L84*1000</f>
        <v>4706.8149285622276</v>
      </c>
      <c r="CN84" s="41">
        <f>BC84/'1. Väestöennuste'!M84*1000</f>
        <v>997.43110919059427</v>
      </c>
      <c r="CO84" s="41">
        <f>BK84/'1. Väestöennuste'!N84*1000</f>
        <v>884.57366271227284</v>
      </c>
      <c r="CP84" s="41">
        <f>BQ84/'1. Väestöennuste'!O84*1000</f>
        <v>1048.3762048200856</v>
      </c>
      <c r="CQ84" s="41">
        <f>BY84/'1. Väestöennuste'!P84*1000</f>
        <v>1188.4084569034831</v>
      </c>
      <c r="CR84" s="41">
        <f>CE84/'1. Väestöennuste'!Q84*1000</f>
        <v>1262.5193796286273</v>
      </c>
      <c r="CS84" s="41">
        <f>CK84/'1. Väestöennuste'!R84*1000</f>
        <v>1487.351102366297</v>
      </c>
      <c r="CT84" s="41"/>
      <c r="CV84" s="41">
        <f t="shared" si="53"/>
        <v>1822.8897953585827</v>
      </c>
      <c r="CW84" s="41">
        <f t="shared" si="54"/>
        <v>3161.4571332036448</v>
      </c>
      <c r="CX84" s="41">
        <f t="shared" si="55"/>
        <v>-3709.3838193716333</v>
      </c>
      <c r="CY84" s="41">
        <f t="shared" si="56"/>
        <v>-112.85744647832144</v>
      </c>
      <c r="CZ84" s="41">
        <f t="shared" si="57"/>
        <v>163.80254210781277</v>
      </c>
      <c r="DA84" s="41">
        <f t="shared" si="58"/>
        <v>140.03225208339745</v>
      </c>
      <c r="DB84" s="41">
        <f t="shared" si="59"/>
        <v>74.110922725144292</v>
      </c>
      <c r="DC84" s="41">
        <f t="shared" si="60"/>
        <v>224.83172273766968</v>
      </c>
      <c r="DD84" s="41"/>
      <c r="DE84" s="283">
        <f t="shared" si="61"/>
        <v>-6.5682148197634245</v>
      </c>
      <c r="DF84" s="283">
        <f t="shared" si="62"/>
        <v>2.0457768050214318</v>
      </c>
      <c r="DG84" s="283">
        <f t="shared" si="63"/>
        <v>-0.78808788441246924</v>
      </c>
      <c r="DH84" s="283">
        <f t="shared" si="64"/>
        <v>-0.11314811162236975</v>
      </c>
      <c r="DI84" s="283">
        <f t="shared" si="65"/>
        <v>0.18517682473787733</v>
      </c>
      <c r="DJ84" s="283">
        <f t="shared" si="66"/>
        <v>0.13357061276245652</v>
      </c>
      <c r="DK84" s="283">
        <f t="shared" si="67"/>
        <v>6.2361490525107588E-2</v>
      </c>
      <c r="DL84" s="283">
        <f t="shared" si="68"/>
        <v>0.17808179927012635</v>
      </c>
    </row>
    <row r="85" spans="1:116" x14ac:dyDescent="0.2">
      <c r="A85" s="30">
        <v>224</v>
      </c>
      <c r="B85" s="31" t="s">
        <v>399</v>
      </c>
      <c r="C85" s="65"/>
      <c r="D85" s="65"/>
      <c r="E85" s="65"/>
      <c r="F85" s="65"/>
      <c r="G85" s="65"/>
      <c r="H85" s="65">
        <v>17550</v>
      </c>
      <c r="I85" s="65"/>
      <c r="J85" s="65"/>
      <c r="K85" s="65"/>
      <c r="L85" s="65"/>
      <c r="M85" s="65"/>
      <c r="N85" s="65">
        <v>17417</v>
      </c>
      <c r="O85" s="65"/>
      <c r="P85" s="65"/>
      <c r="Q85" s="65"/>
      <c r="R85" s="65"/>
      <c r="S85" s="65"/>
      <c r="T85" s="65">
        <v>17786</v>
      </c>
      <c r="U85" s="65"/>
      <c r="V85" s="65"/>
      <c r="W85" s="65"/>
      <c r="X85" s="65"/>
      <c r="Y85" s="65"/>
      <c r="Z85" s="65">
        <v>18097</v>
      </c>
      <c r="AA85" s="65"/>
      <c r="AB85" s="66">
        <v>18601.765302317708</v>
      </c>
      <c r="AC85" s="34">
        <v>154.79193772629444</v>
      </c>
      <c r="AD85" s="180">
        <v>3811.1930873534297</v>
      </c>
      <c r="AE85" s="65">
        <v>1000</v>
      </c>
      <c r="AF85" s="34">
        <v>-566.52499999999998</v>
      </c>
      <c r="AG85" s="65">
        <f t="shared" si="47"/>
        <v>23001.225327397431</v>
      </c>
      <c r="AH85" s="65"/>
      <c r="AI85" s="66">
        <v>17332.351460837293</v>
      </c>
      <c r="AJ85" s="34">
        <v>-120.57156712030923</v>
      </c>
      <c r="AK85" s="181">
        <v>4103.8020395888461</v>
      </c>
      <c r="AL85" s="65">
        <v>0</v>
      </c>
      <c r="AM85" s="34">
        <v>-556.79899999999998</v>
      </c>
      <c r="AN85" s="65">
        <f t="shared" si="48"/>
        <v>20758.782933305829</v>
      </c>
      <c r="AO85" s="65"/>
      <c r="AP85" s="41">
        <v>17728.834415632202</v>
      </c>
      <c r="AQ85" s="41">
        <v>-37.31477811206652</v>
      </c>
      <c r="AR85" s="41">
        <v>4874.7336182050767</v>
      </c>
      <c r="AS85" s="65">
        <v>0</v>
      </c>
      <c r="AT85" s="34">
        <v>-414.36099999999999</v>
      </c>
      <c r="AU85" s="65">
        <f t="shared" si="49"/>
        <v>22151.892255725212</v>
      </c>
      <c r="AV85" s="65"/>
      <c r="AW85" s="41">
        <v>4458.8350435527645</v>
      </c>
      <c r="AX85" s="314"/>
      <c r="AY85" s="314"/>
      <c r="AZ85" s="41">
        <v>1484.0908745698928</v>
      </c>
      <c r="BA85" s="65">
        <v>0</v>
      </c>
      <c r="BB85" s="34">
        <v>424.40699999999998</v>
      </c>
      <c r="BC85" s="65">
        <f t="shared" si="69"/>
        <v>6367.3329181226572</v>
      </c>
      <c r="BD85" s="65"/>
      <c r="BE85" s="41">
        <v>5064.0044025063753</v>
      </c>
      <c r="BF85" s="314"/>
      <c r="BG85" s="314"/>
      <c r="BH85" s="41">
        <v>1434.6767135479381</v>
      </c>
      <c r="BI85" s="65">
        <v>0</v>
      </c>
      <c r="BJ85" s="34">
        <v>-294.73500000000001</v>
      </c>
      <c r="BK85" s="65">
        <f t="shared" si="70"/>
        <v>6203.9461160543133</v>
      </c>
      <c r="BL85" s="65"/>
      <c r="BM85" s="41">
        <v>6679.4751377240427</v>
      </c>
      <c r="BN85" s="41">
        <v>860.56713811754355</v>
      </c>
      <c r="BO85" s="65">
        <v>0</v>
      </c>
      <c r="BP85" s="34">
        <v>-294.73500000000001</v>
      </c>
      <c r="BQ85" s="65">
        <f t="shared" si="50"/>
        <v>7245.3072758415865</v>
      </c>
      <c r="BR85" s="65"/>
      <c r="BS85" s="41">
        <v>6450.3318453755219</v>
      </c>
      <c r="BT85" s="314"/>
      <c r="BU85" s="314"/>
      <c r="BV85" s="41">
        <v>926.15225524023299</v>
      </c>
      <c r="BW85" s="65">
        <v>0</v>
      </c>
      <c r="BX85" s="34">
        <v>-294.73500000000001</v>
      </c>
      <c r="BY85" s="65">
        <f t="shared" si="71"/>
        <v>7081.7491006157552</v>
      </c>
      <c r="CA85" s="5">
        <v>6019.6785842279933</v>
      </c>
      <c r="CB85" s="407">
        <v>1002.5369280877185</v>
      </c>
      <c r="CC85" s="415">
        <v>0</v>
      </c>
      <c r="CD85" s="34">
        <v>-294.73500000000001</v>
      </c>
      <c r="CE85" s="65">
        <f t="shared" si="51"/>
        <v>6727.4805123157121</v>
      </c>
      <c r="CF85" s="407"/>
      <c r="CG85" s="5">
        <v>6499.1387025308695</v>
      </c>
      <c r="CH85" s="407">
        <v>1067.5798990463702</v>
      </c>
      <c r="CI85" s="415">
        <v>0</v>
      </c>
      <c r="CJ85" s="34">
        <v>-294.73500000000001</v>
      </c>
      <c r="CK85" s="65">
        <f t="shared" si="52"/>
        <v>7271.9836015772398</v>
      </c>
      <c r="CL85" s="407"/>
      <c r="CM85" s="41">
        <f>AU85/'1. Väestöennuste'!L85*1000</f>
        <v>2574.9032030367557</v>
      </c>
      <c r="CN85" s="41">
        <f>BC85/'1. Väestöennuste'!M85*1000</f>
        <v>742.02691039769934</v>
      </c>
      <c r="CO85" s="41">
        <f>BK85/'1. Väestöennuste'!N85*1000</f>
        <v>732.54765805340821</v>
      </c>
      <c r="CP85" s="41">
        <f>BQ85/'1. Väestöennuste'!O85*1000</f>
        <v>860.07921128223961</v>
      </c>
      <c r="CQ85" s="41">
        <f>BY85/'1. Väestöennuste'!P85*1000</f>
        <v>844.47282382730202</v>
      </c>
      <c r="CR85" s="41">
        <f>CE85/'1. Väestöennuste'!Q85*1000</f>
        <v>805.78278983299947</v>
      </c>
      <c r="CS85" s="41">
        <f>CK85/'1. Väestöennuste'!R85*1000</f>
        <v>874.56206874049792</v>
      </c>
      <c r="CT85" s="41"/>
      <c r="CV85" s="41">
        <f t="shared" si="53"/>
        <v>7566.7186015772395</v>
      </c>
      <c r="CW85" s="41">
        <f t="shared" si="54"/>
        <v>-4697.0803985404837</v>
      </c>
      <c r="CX85" s="41">
        <f t="shared" si="55"/>
        <v>-1832.8762926390564</v>
      </c>
      <c r="CY85" s="41">
        <f t="shared" si="56"/>
        <v>-9.4792523442911261</v>
      </c>
      <c r="CZ85" s="41">
        <f t="shared" si="57"/>
        <v>127.5315532288314</v>
      </c>
      <c r="DA85" s="41">
        <f t="shared" si="58"/>
        <v>-15.60638745493759</v>
      </c>
      <c r="DB85" s="41">
        <f t="shared" si="59"/>
        <v>-38.690033994302553</v>
      </c>
      <c r="DC85" s="41">
        <f t="shared" si="60"/>
        <v>68.779278907498451</v>
      </c>
      <c r="DD85" s="41"/>
      <c r="DE85" s="283">
        <f t="shared" si="61"/>
        <v>-25.672955711324544</v>
      </c>
      <c r="DF85" s="283">
        <f t="shared" si="62"/>
        <v>-0.64591460265693135</v>
      </c>
      <c r="DG85" s="283">
        <f t="shared" si="63"/>
        <v>-0.71182337669137341</v>
      </c>
      <c r="DH85" s="283">
        <f t="shared" si="64"/>
        <v>-1.2774809392304375E-2</v>
      </c>
      <c r="DI85" s="283">
        <f t="shared" si="65"/>
        <v>0.17409318264387025</v>
      </c>
      <c r="DJ85" s="283">
        <f t="shared" si="66"/>
        <v>-1.8145290864164686E-2</v>
      </c>
      <c r="DK85" s="283">
        <f t="shared" si="67"/>
        <v>-4.5815605786995478E-2</v>
      </c>
      <c r="DL85" s="283">
        <f t="shared" si="68"/>
        <v>8.5357095951072784E-2</v>
      </c>
    </row>
    <row r="86" spans="1:116" x14ac:dyDescent="0.2">
      <c r="A86" s="30">
        <v>226</v>
      </c>
      <c r="B86" s="31" t="s">
        <v>400</v>
      </c>
      <c r="C86" s="65"/>
      <c r="D86" s="65"/>
      <c r="E86" s="65"/>
      <c r="F86" s="65"/>
      <c r="G86" s="65"/>
      <c r="H86" s="65">
        <v>15297</v>
      </c>
      <c r="I86" s="65"/>
      <c r="J86" s="65"/>
      <c r="K86" s="65"/>
      <c r="L86" s="65"/>
      <c r="M86" s="65"/>
      <c r="N86" s="65">
        <v>15375</v>
      </c>
      <c r="O86" s="65"/>
      <c r="P86" s="65"/>
      <c r="Q86" s="65"/>
      <c r="R86" s="65"/>
      <c r="S86" s="65"/>
      <c r="T86" s="65">
        <v>14876</v>
      </c>
      <c r="U86" s="65"/>
      <c r="V86" s="65"/>
      <c r="W86" s="65"/>
      <c r="X86" s="65"/>
      <c r="Y86" s="65"/>
      <c r="Z86" s="65">
        <v>14685</v>
      </c>
      <c r="AA86" s="65"/>
      <c r="AB86" s="66">
        <v>13640.393691569299</v>
      </c>
      <c r="AC86" s="34">
        <v>62.771116691230603</v>
      </c>
      <c r="AD86" s="180">
        <v>2286.2560156960371</v>
      </c>
      <c r="AE86" s="65">
        <v>545</v>
      </c>
      <c r="AF86" s="34">
        <v>78.082999999999998</v>
      </c>
      <c r="AG86" s="65">
        <f t="shared" si="47"/>
        <v>16612.503823956566</v>
      </c>
      <c r="AH86" s="65"/>
      <c r="AI86" s="66">
        <v>13234.045073314368</v>
      </c>
      <c r="AJ86" s="34">
        <v>-48.191841820210264</v>
      </c>
      <c r="AK86" s="181">
        <v>2440.4521597096277</v>
      </c>
      <c r="AL86" s="65">
        <v>0</v>
      </c>
      <c r="AM86" s="34">
        <v>-19.434000000000001</v>
      </c>
      <c r="AN86" s="65">
        <f t="shared" si="48"/>
        <v>15606.871391203787</v>
      </c>
      <c r="AO86" s="65"/>
      <c r="AP86" s="41">
        <v>14215.742686532058</v>
      </c>
      <c r="AQ86" s="41">
        <v>-14.752110884085541</v>
      </c>
      <c r="AR86" s="41">
        <v>2704.5273776001295</v>
      </c>
      <c r="AS86" s="65">
        <v>0</v>
      </c>
      <c r="AT86" s="34">
        <v>82.537999999999997</v>
      </c>
      <c r="AU86" s="65">
        <f t="shared" si="49"/>
        <v>16988.055953248102</v>
      </c>
      <c r="AV86" s="65"/>
      <c r="AW86" s="41">
        <v>3674.8189364871896</v>
      </c>
      <c r="AX86" s="314"/>
      <c r="AY86" s="314"/>
      <c r="AZ86" s="41">
        <v>806.36018822150197</v>
      </c>
      <c r="BA86" s="65">
        <v>0</v>
      </c>
      <c r="BB86" s="34">
        <v>84.792000000000002</v>
      </c>
      <c r="BC86" s="65">
        <f t="shared" si="69"/>
        <v>4565.9711247086916</v>
      </c>
      <c r="BD86" s="65"/>
      <c r="BE86" s="41">
        <v>2863.1529364207013</v>
      </c>
      <c r="BF86" s="314"/>
      <c r="BG86" s="314"/>
      <c r="BH86" s="41">
        <v>803.30813348792424</v>
      </c>
      <c r="BI86" s="65">
        <v>0</v>
      </c>
      <c r="BJ86" s="34">
        <v>103.58799999999999</v>
      </c>
      <c r="BK86" s="65">
        <f t="shared" si="70"/>
        <v>3770.0490699086258</v>
      </c>
      <c r="BL86" s="65"/>
      <c r="BM86" s="41">
        <v>3197.0087874508699</v>
      </c>
      <c r="BN86" s="41">
        <v>574.43888486252933</v>
      </c>
      <c r="BO86" s="65">
        <v>0</v>
      </c>
      <c r="BP86" s="34">
        <v>103.58799999999999</v>
      </c>
      <c r="BQ86" s="65">
        <f t="shared" si="50"/>
        <v>3875.0356723133996</v>
      </c>
      <c r="BR86" s="65"/>
      <c r="BS86" s="41">
        <v>3216.0478188130919</v>
      </c>
      <c r="BT86" s="314"/>
      <c r="BU86" s="314"/>
      <c r="BV86" s="41">
        <v>614.74181044755869</v>
      </c>
      <c r="BW86" s="65">
        <v>0</v>
      </c>
      <c r="BX86" s="34">
        <v>103.58799999999999</v>
      </c>
      <c r="BY86" s="65">
        <f t="shared" si="71"/>
        <v>3934.3776292606508</v>
      </c>
      <c r="CA86" s="5">
        <v>3126.362557670765</v>
      </c>
      <c r="CB86" s="407">
        <v>654.9894971082939</v>
      </c>
      <c r="CC86" s="415">
        <v>0</v>
      </c>
      <c r="CD86" s="34">
        <v>103.58799999999999</v>
      </c>
      <c r="CE86" s="65">
        <f t="shared" si="51"/>
        <v>3884.9400547790592</v>
      </c>
      <c r="CF86" s="407"/>
      <c r="CG86" s="5">
        <v>3686.4566019056579</v>
      </c>
      <c r="CH86" s="407">
        <v>690.60998761797953</v>
      </c>
      <c r="CI86" s="415">
        <v>0</v>
      </c>
      <c r="CJ86" s="34">
        <v>103.58799999999999</v>
      </c>
      <c r="CK86" s="65">
        <f t="shared" si="52"/>
        <v>4480.6545895236368</v>
      </c>
      <c r="CL86" s="407"/>
      <c r="CM86" s="41">
        <f>AU86/'1. Väestöennuste'!L86*1000</f>
        <v>4635.2130841058943</v>
      </c>
      <c r="CN86" s="41">
        <f>BC86/'1. Väestöennuste'!M86*1000</f>
        <v>1259.5782412989493</v>
      </c>
      <c r="CO86" s="41">
        <f>BK86/'1. Väestöennuste'!N86*1000</f>
        <v>1057.8139926791878</v>
      </c>
      <c r="CP86" s="41">
        <f>BQ86/'1. Väestöennuste'!O86*1000</f>
        <v>1107.4694690807087</v>
      </c>
      <c r="CQ86" s="41">
        <f>BY86/'1. Väestöennuste'!P86*1000</f>
        <v>1145.045875803449</v>
      </c>
      <c r="CR86" s="41">
        <f>CE86/'1. Väestöennuste'!Q86*1000</f>
        <v>1151.0933495641657</v>
      </c>
      <c r="CS86" s="41">
        <f>CK86/'1. Väestöennuste'!R86*1000</f>
        <v>1350.8153721807766</v>
      </c>
      <c r="CT86" s="41"/>
      <c r="CV86" s="41">
        <f t="shared" si="53"/>
        <v>4377.066589523637</v>
      </c>
      <c r="CW86" s="41">
        <f t="shared" si="54"/>
        <v>154.55849458225748</v>
      </c>
      <c r="CX86" s="41">
        <f t="shared" si="55"/>
        <v>-3375.634842806945</v>
      </c>
      <c r="CY86" s="41">
        <f t="shared" si="56"/>
        <v>-201.76424861976147</v>
      </c>
      <c r="CZ86" s="41">
        <f t="shared" si="57"/>
        <v>49.6554764015209</v>
      </c>
      <c r="DA86" s="41">
        <f t="shared" si="58"/>
        <v>37.57640672274033</v>
      </c>
      <c r="DB86" s="41">
        <f t="shared" si="59"/>
        <v>6.0474737607166844</v>
      </c>
      <c r="DC86" s="41">
        <f t="shared" si="60"/>
        <v>199.72202261661096</v>
      </c>
      <c r="DD86" s="41"/>
      <c r="DE86" s="283">
        <f t="shared" si="61"/>
        <v>42.254571857006965</v>
      </c>
      <c r="DF86" s="283">
        <f t="shared" si="62"/>
        <v>3.4494623830999091E-2</v>
      </c>
      <c r="DG86" s="283">
        <f t="shared" si="63"/>
        <v>-0.72825882684486887</v>
      </c>
      <c r="DH86" s="283">
        <f t="shared" si="64"/>
        <v>-0.16018397428943407</v>
      </c>
      <c r="DI86" s="283">
        <f t="shared" si="65"/>
        <v>4.6941595351518796E-2</v>
      </c>
      <c r="DJ86" s="283">
        <f t="shared" si="66"/>
        <v>3.3929970777372184E-2</v>
      </c>
      <c r="DK86" s="283">
        <f t="shared" si="67"/>
        <v>5.2814248655961744E-3</v>
      </c>
      <c r="DL86" s="283">
        <f t="shared" si="68"/>
        <v>0.17350636478981568</v>
      </c>
    </row>
    <row r="87" spans="1:116" x14ac:dyDescent="0.2">
      <c r="A87" s="30">
        <v>230</v>
      </c>
      <c r="B87" s="31" t="s">
        <v>401</v>
      </c>
      <c r="C87" s="65"/>
      <c r="D87" s="65"/>
      <c r="E87" s="65"/>
      <c r="F87" s="65"/>
      <c r="G87" s="65"/>
      <c r="H87" s="65">
        <v>8303</v>
      </c>
      <c r="I87" s="65"/>
      <c r="J87" s="65"/>
      <c r="K87" s="65"/>
      <c r="L87" s="65"/>
      <c r="M87" s="65"/>
      <c r="N87" s="65">
        <v>8224</v>
      </c>
      <c r="O87" s="65"/>
      <c r="P87" s="65"/>
      <c r="Q87" s="65"/>
      <c r="R87" s="65"/>
      <c r="S87" s="65"/>
      <c r="T87" s="65">
        <v>7798</v>
      </c>
      <c r="U87" s="65"/>
      <c r="V87" s="65"/>
      <c r="W87" s="65"/>
      <c r="X87" s="65"/>
      <c r="Y87" s="65"/>
      <c r="Z87" s="65">
        <v>7851</v>
      </c>
      <c r="AA87" s="65"/>
      <c r="AB87" s="66">
        <v>7562.7059055897907</v>
      </c>
      <c r="AC87" s="34">
        <v>33.092329072843754</v>
      </c>
      <c r="AD87" s="180">
        <v>1614.6257344258636</v>
      </c>
      <c r="AE87" s="65">
        <v>300</v>
      </c>
      <c r="AF87" s="34">
        <v>-440.16899999999998</v>
      </c>
      <c r="AG87" s="65">
        <f t="shared" si="47"/>
        <v>9070.2549690884971</v>
      </c>
      <c r="AH87" s="65"/>
      <c r="AI87" s="66">
        <v>7309.3458670521486</v>
      </c>
      <c r="AJ87" s="34">
        <v>-25.500857208686611</v>
      </c>
      <c r="AK87" s="181">
        <v>1719.0004170735053</v>
      </c>
      <c r="AL87" s="65">
        <v>0</v>
      </c>
      <c r="AM87" s="34">
        <v>-411.72800000000001</v>
      </c>
      <c r="AN87" s="65">
        <f t="shared" si="48"/>
        <v>8591.1174269169678</v>
      </c>
      <c r="AO87" s="65"/>
      <c r="AP87" s="41">
        <v>7344.1486585835255</v>
      </c>
      <c r="AQ87" s="41">
        <v>-7.8124012879553275</v>
      </c>
      <c r="AR87" s="41">
        <v>1905.1897123433548</v>
      </c>
      <c r="AS87" s="65">
        <v>0</v>
      </c>
      <c r="AT87" s="34">
        <v>-402.24700000000001</v>
      </c>
      <c r="AU87" s="65">
        <f t="shared" si="49"/>
        <v>8839.2789696389264</v>
      </c>
      <c r="AV87" s="65"/>
      <c r="AW87" s="41">
        <v>1594.1986154502083</v>
      </c>
      <c r="AX87" s="314"/>
      <c r="AY87" s="314"/>
      <c r="AZ87" s="41">
        <v>591.67854719004004</v>
      </c>
      <c r="BA87" s="65">
        <v>0</v>
      </c>
      <c r="BB87" s="34">
        <v>-478.17099999999999</v>
      </c>
      <c r="BC87" s="65">
        <f t="shared" si="69"/>
        <v>1707.7061626402485</v>
      </c>
      <c r="BD87" s="65"/>
      <c r="BE87" s="41">
        <v>1815.7779670031671</v>
      </c>
      <c r="BF87" s="314"/>
      <c r="BG87" s="314"/>
      <c r="BH87" s="41">
        <v>594.52525691554433</v>
      </c>
      <c r="BI87" s="65">
        <v>0</v>
      </c>
      <c r="BJ87" s="34">
        <v>-340.44900000000001</v>
      </c>
      <c r="BK87" s="65">
        <f t="shared" si="70"/>
        <v>2069.8542239187113</v>
      </c>
      <c r="BL87" s="65"/>
      <c r="BM87" s="41">
        <v>2184.4654994097541</v>
      </c>
      <c r="BN87" s="41">
        <v>449.93124917452025</v>
      </c>
      <c r="BO87" s="65">
        <v>0</v>
      </c>
      <c r="BP87" s="34">
        <v>-340.44900000000001</v>
      </c>
      <c r="BQ87" s="65">
        <f t="shared" si="50"/>
        <v>2293.9477485842744</v>
      </c>
      <c r="BR87" s="65"/>
      <c r="BS87" s="41">
        <v>2146.3508428402374</v>
      </c>
      <c r="BT87" s="314"/>
      <c r="BU87" s="314"/>
      <c r="BV87" s="41">
        <v>475.08498237409958</v>
      </c>
      <c r="BW87" s="65">
        <v>0</v>
      </c>
      <c r="BX87" s="34">
        <v>-340.44900000000001</v>
      </c>
      <c r="BY87" s="65">
        <f t="shared" si="71"/>
        <v>2280.9868252143369</v>
      </c>
      <c r="CA87" s="5">
        <v>2180.821307419425</v>
      </c>
      <c r="CB87" s="407">
        <v>500.64260738100353</v>
      </c>
      <c r="CC87" s="415">
        <v>0</v>
      </c>
      <c r="CD87" s="34">
        <v>-340.44900000000001</v>
      </c>
      <c r="CE87" s="65">
        <f t="shared" si="51"/>
        <v>2341.0149148004284</v>
      </c>
      <c r="CF87" s="407"/>
      <c r="CG87" s="5">
        <v>2474.0482705904092</v>
      </c>
      <c r="CH87" s="407">
        <v>523.39184747295872</v>
      </c>
      <c r="CI87" s="415">
        <v>0</v>
      </c>
      <c r="CJ87" s="34">
        <v>-340.44900000000001</v>
      </c>
      <c r="CK87" s="65">
        <f t="shared" si="52"/>
        <v>2656.9911180633676</v>
      </c>
      <c r="CL87" s="407"/>
      <c r="CM87" s="41">
        <f>AU87/'1. Väestöennuste'!L87*1000</f>
        <v>3946.1066828745206</v>
      </c>
      <c r="CN87" s="41">
        <f>BC87/'1. Väestöennuste'!M87*1000</f>
        <v>770.6255246571518</v>
      </c>
      <c r="CO87" s="41">
        <f>BK87/'1. Väestöennuste'!N87*1000</f>
        <v>937.00960793060722</v>
      </c>
      <c r="CP87" s="41">
        <f>BQ87/'1. Väestöennuste'!O87*1000</f>
        <v>1050.8235220266945</v>
      </c>
      <c r="CQ87" s="41">
        <f>BY87/'1. Väestöennuste'!P87*1000</f>
        <v>1055.52375067762</v>
      </c>
      <c r="CR87" s="41">
        <f>CE87/'1. Väestöennuste'!Q87*1000</f>
        <v>1093.9322031777704</v>
      </c>
      <c r="CS87" s="41">
        <f>CK87/'1. Väestöennuste'!R87*1000</f>
        <v>1253.2976971997016</v>
      </c>
      <c r="CT87" s="41"/>
      <c r="CV87" s="41">
        <f t="shared" si="53"/>
        <v>2997.4401180633677</v>
      </c>
      <c r="CW87" s="41">
        <f t="shared" si="54"/>
        <v>1289.115564811153</v>
      </c>
      <c r="CX87" s="41">
        <f t="shared" si="55"/>
        <v>-3175.4811582173688</v>
      </c>
      <c r="CY87" s="41">
        <f t="shared" si="56"/>
        <v>166.38408327345542</v>
      </c>
      <c r="CZ87" s="41">
        <f t="shared" si="57"/>
        <v>113.81391409608727</v>
      </c>
      <c r="DA87" s="41">
        <f t="shared" si="58"/>
        <v>4.70022865092551</v>
      </c>
      <c r="DB87" s="41">
        <f t="shared" si="59"/>
        <v>38.408452500150361</v>
      </c>
      <c r="DC87" s="41">
        <f t="shared" si="60"/>
        <v>159.36549402193123</v>
      </c>
      <c r="DD87" s="41"/>
      <c r="DE87" s="283">
        <f t="shared" si="61"/>
        <v>-8.8043733953202015</v>
      </c>
      <c r="DF87" s="283">
        <f t="shared" si="62"/>
        <v>0.48517872568229203</v>
      </c>
      <c r="DG87" s="283">
        <f t="shared" si="63"/>
        <v>-0.80471244530677677</v>
      </c>
      <c r="DH87" s="283">
        <f t="shared" si="64"/>
        <v>0.21590782805627809</v>
      </c>
      <c r="DI87" s="283">
        <f t="shared" si="65"/>
        <v>0.12146504489686734</v>
      </c>
      <c r="DJ87" s="283">
        <f t="shared" si="66"/>
        <v>4.4729001134846203E-3</v>
      </c>
      <c r="DK87" s="283">
        <f t="shared" si="67"/>
        <v>3.6388051406226612E-2</v>
      </c>
      <c r="DL87" s="283">
        <f t="shared" si="68"/>
        <v>0.14568132609954201</v>
      </c>
    </row>
    <row r="88" spans="1:116" x14ac:dyDescent="0.2">
      <c r="A88" s="30">
        <v>231</v>
      </c>
      <c r="B88" s="31" t="s">
        <v>402</v>
      </c>
      <c r="C88" s="65"/>
      <c r="D88" s="65"/>
      <c r="E88" s="65"/>
      <c r="F88" s="65"/>
      <c r="G88" s="65"/>
      <c r="H88" s="65">
        <v>1825</v>
      </c>
      <c r="I88" s="65"/>
      <c r="J88" s="65"/>
      <c r="K88" s="65"/>
      <c r="L88" s="65"/>
      <c r="M88" s="65"/>
      <c r="N88" s="65">
        <v>2217</v>
      </c>
      <c r="O88" s="65"/>
      <c r="P88" s="65"/>
      <c r="Q88" s="65"/>
      <c r="R88" s="65"/>
      <c r="S88" s="65"/>
      <c r="T88" s="65">
        <v>1912</v>
      </c>
      <c r="U88" s="65"/>
      <c r="V88" s="65"/>
      <c r="W88" s="65"/>
      <c r="X88" s="65"/>
      <c r="Y88" s="65"/>
      <c r="Z88" s="65">
        <v>1832</v>
      </c>
      <c r="AA88" s="65"/>
      <c r="AB88" s="66">
        <v>2087.1559248430904</v>
      </c>
      <c r="AC88" s="34">
        <v>32.617658548194882</v>
      </c>
      <c r="AD88" s="180">
        <v>596.28308835940675</v>
      </c>
      <c r="AE88" s="65">
        <v>175</v>
      </c>
      <c r="AF88" s="34">
        <v>-207.58699999999999</v>
      </c>
      <c r="AG88" s="65">
        <f t="shared" si="47"/>
        <v>2683.4696717506918</v>
      </c>
      <c r="AH88" s="65"/>
      <c r="AI88" s="66">
        <v>2006.567512474466</v>
      </c>
      <c r="AJ88" s="34">
        <v>-25.050758830162483</v>
      </c>
      <c r="AK88" s="181">
        <v>640.27981243067347</v>
      </c>
      <c r="AL88" s="65">
        <v>0</v>
      </c>
      <c r="AM88" s="34">
        <v>-180.66399999999999</v>
      </c>
      <c r="AN88" s="65">
        <f t="shared" si="48"/>
        <v>2441.1325660749771</v>
      </c>
      <c r="AO88" s="65"/>
      <c r="AP88" s="41">
        <v>2285.0675125122139</v>
      </c>
      <c r="AQ88" s="41">
        <v>-7.6416908763574805</v>
      </c>
      <c r="AR88" s="41">
        <v>736.28166310913889</v>
      </c>
      <c r="AS88" s="65">
        <v>250</v>
      </c>
      <c r="AT88" s="34">
        <v>-201.43799999999999</v>
      </c>
      <c r="AU88" s="65">
        <f t="shared" si="49"/>
        <v>3062.2694847449948</v>
      </c>
      <c r="AV88" s="65"/>
      <c r="AW88" s="41">
        <v>-1148.9773257695288</v>
      </c>
      <c r="AX88" s="314"/>
      <c r="AY88" s="314"/>
      <c r="AZ88" s="41">
        <v>224.27099566541264</v>
      </c>
      <c r="BA88" s="65">
        <v>0</v>
      </c>
      <c r="BB88" s="34">
        <v>-121.91500000000001</v>
      </c>
      <c r="BC88" s="65">
        <f t="shared" si="69"/>
        <v>-1046.6213301041162</v>
      </c>
      <c r="BD88" s="65"/>
      <c r="BE88" s="41">
        <v>-1136.1300374204757</v>
      </c>
      <c r="BF88" s="314"/>
      <c r="BG88" s="314"/>
      <c r="BH88" s="41">
        <v>223.02463172437461</v>
      </c>
      <c r="BI88" s="65">
        <v>0</v>
      </c>
      <c r="BJ88" s="34">
        <v>-9.1639999999999997</v>
      </c>
      <c r="BK88" s="65">
        <f t="shared" si="70"/>
        <v>-922.2694056961011</v>
      </c>
      <c r="BL88" s="65"/>
      <c r="BM88" s="41">
        <v>-987.08842864644748</v>
      </c>
      <c r="BN88" s="41">
        <v>132.45480600552148</v>
      </c>
      <c r="BO88" s="65">
        <v>0</v>
      </c>
      <c r="BP88" s="34">
        <v>-9.1639999999999997</v>
      </c>
      <c r="BQ88" s="65">
        <f t="shared" si="50"/>
        <v>-863.79762264092597</v>
      </c>
      <c r="BR88" s="65"/>
      <c r="BS88" s="41">
        <v>-1069.7777445803163</v>
      </c>
      <c r="BT88" s="314"/>
      <c r="BU88" s="314"/>
      <c r="BV88" s="41">
        <v>146.22047459455217</v>
      </c>
      <c r="BW88" s="65">
        <v>0</v>
      </c>
      <c r="BX88" s="34">
        <v>-9.1639999999999997</v>
      </c>
      <c r="BY88" s="65">
        <f t="shared" si="71"/>
        <v>-932.72126998576414</v>
      </c>
      <c r="CA88" s="5">
        <v>-1072.6099734190079</v>
      </c>
      <c r="CB88" s="407">
        <v>159.8982183320353</v>
      </c>
      <c r="CC88" s="415">
        <v>0</v>
      </c>
      <c r="CD88" s="34">
        <v>-9.1639999999999997</v>
      </c>
      <c r="CE88" s="65">
        <f t="shared" si="51"/>
        <v>-921.87575508697262</v>
      </c>
      <c r="CF88" s="407"/>
      <c r="CG88" s="5">
        <v>-1025.4930640074117</v>
      </c>
      <c r="CH88" s="407">
        <v>171.86285009454198</v>
      </c>
      <c r="CI88" s="415">
        <v>0</v>
      </c>
      <c r="CJ88" s="34">
        <v>-9.1639999999999997</v>
      </c>
      <c r="CK88" s="65">
        <f t="shared" si="52"/>
        <v>-862.79421391286974</v>
      </c>
      <c r="CL88" s="407"/>
      <c r="CM88" s="41">
        <f>AU88/'1. Väestöennuste'!L88*1000</f>
        <v>2438.112647089964</v>
      </c>
      <c r="CN88" s="41">
        <f>BC88/'1. Väestöennuste'!M88*1000</f>
        <v>-866.40838584777828</v>
      </c>
      <c r="CO88" s="41">
        <f>BK88/'1. Väestöennuste'!N88*1000</f>
        <v>-708.34823786182881</v>
      </c>
      <c r="CP88" s="41">
        <f>BQ88/'1. Väestöennuste'!O88*1000</f>
        <v>-661.40706174649767</v>
      </c>
      <c r="CQ88" s="41">
        <f>BY88/'1. Väestöennuste'!P88*1000</f>
        <v>-711.45787184268818</v>
      </c>
      <c r="CR88" s="41">
        <f>CE88/'1. Väestöennuste'!Q88*1000</f>
        <v>-701.57972228841152</v>
      </c>
      <c r="CS88" s="41">
        <f>CK88/'1. Väestöennuste'!R88*1000</f>
        <v>-655.12089135373549</v>
      </c>
      <c r="CT88" s="41"/>
      <c r="CV88" s="41">
        <f t="shared" si="53"/>
        <v>-853.63021391286975</v>
      </c>
      <c r="CW88" s="41">
        <f t="shared" si="54"/>
        <v>3300.9068610028335</v>
      </c>
      <c r="CX88" s="41">
        <f t="shared" si="55"/>
        <v>-3304.5210329377423</v>
      </c>
      <c r="CY88" s="41">
        <f t="shared" si="56"/>
        <v>158.06014798594947</v>
      </c>
      <c r="CZ88" s="41">
        <f t="shared" si="57"/>
        <v>46.941176115331132</v>
      </c>
      <c r="DA88" s="41">
        <f t="shared" si="58"/>
        <v>-50.050810096190503</v>
      </c>
      <c r="DB88" s="41">
        <f t="shared" si="59"/>
        <v>9.8781495542766606</v>
      </c>
      <c r="DC88" s="41">
        <f t="shared" si="60"/>
        <v>46.45883093467603</v>
      </c>
      <c r="DD88" s="41"/>
      <c r="DE88" s="283">
        <f t="shared" si="61"/>
        <v>93.150394359763183</v>
      </c>
      <c r="DF88" s="283">
        <f t="shared" si="62"/>
        <v>-3.825833330560767</v>
      </c>
      <c r="DG88" s="283">
        <f t="shared" si="63"/>
        <v>-1.3553602770905149</v>
      </c>
      <c r="DH88" s="283">
        <f t="shared" si="64"/>
        <v>-0.18243146138444635</v>
      </c>
      <c r="DI88" s="283">
        <f t="shared" si="65"/>
        <v>-6.6268501291150986E-2</v>
      </c>
      <c r="DJ88" s="283">
        <f t="shared" si="66"/>
        <v>7.5673232100103946E-2</v>
      </c>
      <c r="DK88" s="283">
        <f t="shared" si="67"/>
        <v>-1.3884377340139737E-2</v>
      </c>
      <c r="DL88" s="283">
        <f t="shared" si="68"/>
        <v>-6.6220316036410945E-2</v>
      </c>
    </row>
    <row r="89" spans="1:116" x14ac:dyDescent="0.2">
      <c r="A89" s="30">
        <v>232</v>
      </c>
      <c r="B89" s="31" t="s">
        <v>403</v>
      </c>
      <c r="C89" s="65"/>
      <c r="D89" s="65"/>
      <c r="E89" s="65"/>
      <c r="F89" s="65"/>
      <c r="G89" s="65"/>
      <c r="H89" s="65">
        <v>38993</v>
      </c>
      <c r="I89" s="65"/>
      <c r="J89" s="65"/>
      <c r="K89" s="65"/>
      <c r="L89" s="65"/>
      <c r="M89" s="65"/>
      <c r="N89" s="65">
        <v>38877</v>
      </c>
      <c r="O89" s="65"/>
      <c r="P89" s="65"/>
      <c r="Q89" s="65"/>
      <c r="R89" s="65"/>
      <c r="S89" s="65"/>
      <c r="T89" s="65">
        <v>38718</v>
      </c>
      <c r="U89" s="65"/>
      <c r="V89" s="65"/>
      <c r="W89" s="65"/>
      <c r="X89" s="65"/>
      <c r="Y89" s="65"/>
      <c r="Z89" s="65">
        <v>39736</v>
      </c>
      <c r="AA89" s="65"/>
      <c r="AB89" s="66">
        <v>37110.627155764865</v>
      </c>
      <c r="AC89" s="34">
        <v>219.77504465026084</v>
      </c>
      <c r="AD89" s="180">
        <v>7723.6848445102314</v>
      </c>
      <c r="AE89" s="65">
        <v>0</v>
      </c>
      <c r="AF89" s="34">
        <v>-518.77</v>
      </c>
      <c r="AG89" s="65">
        <f t="shared" si="47"/>
        <v>44535.317044925359</v>
      </c>
      <c r="AH89" s="65"/>
      <c r="AI89" s="66">
        <v>35286.785284881873</v>
      </c>
      <c r="AJ89" s="34">
        <v>-169.68673022120848</v>
      </c>
      <c r="AK89" s="181">
        <v>8247.9316642248559</v>
      </c>
      <c r="AL89" s="65">
        <v>0</v>
      </c>
      <c r="AM89" s="34">
        <v>-550.74300000000005</v>
      </c>
      <c r="AN89" s="65">
        <f t="shared" si="48"/>
        <v>42814.287218885525</v>
      </c>
      <c r="AO89" s="65"/>
      <c r="AP89" s="41">
        <v>36599.891647561701</v>
      </c>
      <c r="AQ89" s="41">
        <v>-52.168836921019334</v>
      </c>
      <c r="AR89" s="41">
        <v>9220.9719417025935</v>
      </c>
      <c r="AS89" s="65">
        <v>800</v>
      </c>
      <c r="AT89" s="34">
        <v>-589.48199999999997</v>
      </c>
      <c r="AU89" s="65">
        <f>SUM(AP89:AT89)</f>
        <v>45979.212752343272</v>
      </c>
      <c r="AV89" s="65"/>
      <c r="AW89" s="41">
        <v>7759.0623138836545</v>
      </c>
      <c r="AX89" s="314"/>
      <c r="AY89" s="314"/>
      <c r="AZ89" s="41">
        <v>2831.8774419475599</v>
      </c>
      <c r="BA89" s="65">
        <v>0</v>
      </c>
      <c r="BB89" s="34">
        <v>-555.48199999999997</v>
      </c>
      <c r="BC89" s="65">
        <f t="shared" si="69"/>
        <v>10035.457755831214</v>
      </c>
      <c r="BD89" s="65"/>
      <c r="BE89" s="41">
        <v>7520.2321683011169</v>
      </c>
      <c r="BF89" s="314"/>
      <c r="BG89" s="314"/>
      <c r="BH89" s="41">
        <v>2833.8445446507485</v>
      </c>
      <c r="BI89" s="65">
        <v>0</v>
      </c>
      <c r="BJ89" s="34">
        <v>-534.68899999999996</v>
      </c>
      <c r="BK89" s="65">
        <f t="shared" si="70"/>
        <v>9819.3877129518642</v>
      </c>
      <c r="BL89" s="65"/>
      <c r="BM89" s="41">
        <v>9393.66639143885</v>
      </c>
      <c r="BN89" s="41">
        <v>1860.9384501552647</v>
      </c>
      <c r="BO89" s="65">
        <v>0</v>
      </c>
      <c r="BP89" s="34">
        <v>-534.68899999999996</v>
      </c>
      <c r="BQ89" s="65">
        <f t="shared" si="50"/>
        <v>10719.915841594115</v>
      </c>
      <c r="BR89" s="65"/>
      <c r="BS89" s="41">
        <v>9853.3744838725052</v>
      </c>
      <c r="BT89" s="314"/>
      <c r="BU89" s="314"/>
      <c r="BV89" s="41">
        <v>1994.1492305380757</v>
      </c>
      <c r="BW89" s="65">
        <v>0</v>
      </c>
      <c r="BX89" s="34">
        <v>-534.68899999999996</v>
      </c>
      <c r="BY89" s="65">
        <f t="shared" si="71"/>
        <v>11312.834714410581</v>
      </c>
      <c r="CA89" s="5">
        <v>9403.5199205336539</v>
      </c>
      <c r="CB89" s="407">
        <v>2130.6830133989938</v>
      </c>
      <c r="CC89" s="415">
        <v>0</v>
      </c>
      <c r="CD89" s="34">
        <v>-534.68899999999996</v>
      </c>
      <c r="CE89" s="65">
        <f t="shared" si="51"/>
        <v>10999.513933932647</v>
      </c>
      <c r="CF89" s="407"/>
      <c r="CG89" s="5">
        <v>10237.866208371754</v>
      </c>
      <c r="CH89" s="407">
        <v>2251.3681641992225</v>
      </c>
      <c r="CI89" s="415">
        <v>0</v>
      </c>
      <c r="CJ89" s="34">
        <v>-534.68899999999996</v>
      </c>
      <c r="CK89" s="65">
        <f t="shared" si="52"/>
        <v>11954.545372570976</v>
      </c>
      <c r="CL89" s="407"/>
      <c r="CM89" s="41">
        <f>AU89/'1. Väestöennuste'!L89*1000</f>
        <v>3606.2127648896681</v>
      </c>
      <c r="CN89" s="41">
        <f>BC89/'1. Väestöennuste'!M89*1000</f>
        <v>795.32871737448193</v>
      </c>
      <c r="CO89" s="41">
        <f>BK89/'1. Väestöennuste'!N89*1000</f>
        <v>792.78118141061395</v>
      </c>
      <c r="CP89" s="41">
        <f>BQ89/'1. Väestöennuste'!O89*1000</f>
        <v>875.02374023296989</v>
      </c>
      <c r="CQ89" s="41">
        <f>BY89/'1. Väestöennuste'!P89*1000</f>
        <v>933.40220415928889</v>
      </c>
      <c r="CR89" s="41">
        <f>CE89/'1. Väestöennuste'!Q89*1000</f>
        <v>917.46717273606191</v>
      </c>
      <c r="CS89" s="41">
        <f>CK89/'1. Väestöennuste'!R89*1000</f>
        <v>1008.396910381356</v>
      </c>
      <c r="CT89" s="41"/>
      <c r="CV89" s="41">
        <f t="shared" si="53"/>
        <v>12489.234372570976</v>
      </c>
      <c r="CW89" s="41">
        <f t="shared" si="54"/>
        <v>-8348.3326076813082</v>
      </c>
      <c r="CX89" s="41">
        <f t="shared" si="55"/>
        <v>-2810.884047515186</v>
      </c>
      <c r="CY89" s="41">
        <f t="shared" si="56"/>
        <v>-2.547535963867972</v>
      </c>
      <c r="CZ89" s="41">
        <f t="shared" si="57"/>
        <v>82.242558822355932</v>
      </c>
      <c r="DA89" s="41">
        <f t="shared" si="58"/>
        <v>58.378463926319</v>
      </c>
      <c r="DB89" s="41">
        <f t="shared" si="59"/>
        <v>-15.935031423226974</v>
      </c>
      <c r="DC89" s="41">
        <f t="shared" si="60"/>
        <v>90.92973764529404</v>
      </c>
      <c r="DD89" s="41"/>
      <c r="DE89" s="283">
        <f t="shared" si="61"/>
        <v>-23.357941481068391</v>
      </c>
      <c r="DF89" s="283">
        <f t="shared" si="62"/>
        <v>-0.69833961455665916</v>
      </c>
      <c r="DG89" s="283">
        <f t="shared" si="63"/>
        <v>-0.77945596413005458</v>
      </c>
      <c r="DH89" s="283">
        <f t="shared" si="64"/>
        <v>-3.2031233227411051E-3</v>
      </c>
      <c r="DI89" s="283">
        <f t="shared" si="65"/>
        <v>0.10373929244387441</v>
      </c>
      <c r="DJ89" s="283">
        <f t="shared" si="66"/>
        <v>6.6716434357285068E-2</v>
      </c>
      <c r="DK89" s="283">
        <f t="shared" si="67"/>
        <v>-1.7071988208533943E-2</v>
      </c>
      <c r="DL89" s="283">
        <f t="shared" si="68"/>
        <v>9.9109527127956232E-2</v>
      </c>
    </row>
    <row r="90" spans="1:116" x14ac:dyDescent="0.2">
      <c r="A90" s="30">
        <v>233</v>
      </c>
      <c r="B90" s="31" t="s">
        <v>404</v>
      </c>
      <c r="C90" s="65"/>
      <c r="D90" s="65"/>
      <c r="E90" s="65"/>
      <c r="F90" s="65"/>
      <c r="G90" s="65"/>
      <c r="H90" s="65">
        <v>49016</v>
      </c>
      <c r="I90" s="65"/>
      <c r="J90" s="65"/>
      <c r="K90" s="65"/>
      <c r="L90" s="65"/>
      <c r="M90" s="65"/>
      <c r="N90" s="65">
        <v>49422</v>
      </c>
      <c r="O90" s="65"/>
      <c r="P90" s="65"/>
      <c r="Q90" s="65"/>
      <c r="R90" s="65"/>
      <c r="S90" s="65"/>
      <c r="T90" s="65">
        <v>48364</v>
      </c>
      <c r="U90" s="65"/>
      <c r="V90" s="65"/>
      <c r="W90" s="65"/>
      <c r="X90" s="65"/>
      <c r="Y90" s="65"/>
      <c r="Z90" s="65">
        <v>49532</v>
      </c>
      <c r="AA90" s="65"/>
      <c r="AB90" s="66">
        <v>46622.778483692957</v>
      </c>
      <c r="AC90" s="34">
        <v>260.8883147288899</v>
      </c>
      <c r="AD90" s="180">
        <v>9138.3273516838999</v>
      </c>
      <c r="AE90" s="65">
        <v>1800</v>
      </c>
      <c r="AF90" s="34">
        <v>-599.74900000000002</v>
      </c>
      <c r="AG90" s="65">
        <f t="shared" si="47"/>
        <v>57222.245150105744</v>
      </c>
      <c r="AH90" s="65"/>
      <c r="AI90" s="66">
        <v>44402.331413921696</v>
      </c>
      <c r="AJ90" s="34">
        <v>-202.30797544675028</v>
      </c>
      <c r="AK90" s="181">
        <v>9752.6612149881221</v>
      </c>
      <c r="AL90" s="65">
        <v>0</v>
      </c>
      <c r="AM90" s="34">
        <v>-836.11099999999999</v>
      </c>
      <c r="AN90" s="65">
        <f t="shared" si="48"/>
        <v>53116.573653463078</v>
      </c>
      <c r="AO90" s="65"/>
      <c r="AP90" s="41">
        <v>46558.190025028809</v>
      </c>
      <c r="AQ90" s="41">
        <v>-62.402833319580452</v>
      </c>
      <c r="AR90" s="41">
        <v>10985.52788255773</v>
      </c>
      <c r="AS90" s="65">
        <v>0</v>
      </c>
      <c r="AT90" s="34">
        <v>-707.24800000000005</v>
      </c>
      <c r="AU90" s="65">
        <f t="shared" si="49"/>
        <v>56774.067074266954</v>
      </c>
      <c r="AV90" s="65"/>
      <c r="AW90" s="41">
        <v>14229.966117443566</v>
      </c>
      <c r="AX90" s="314"/>
      <c r="AY90" s="314"/>
      <c r="AZ90" s="41">
        <v>3403.0758114378414</v>
      </c>
      <c r="BA90" s="65">
        <v>0</v>
      </c>
      <c r="BB90" s="34">
        <v>-348.82299999999998</v>
      </c>
      <c r="BC90" s="65">
        <f t="shared" si="69"/>
        <v>17284.218928881408</v>
      </c>
      <c r="BD90" s="65"/>
      <c r="BE90" s="41">
        <v>11754.486917027096</v>
      </c>
      <c r="BF90" s="314"/>
      <c r="BG90" s="314"/>
      <c r="BH90" s="41">
        <v>3392.0068512649896</v>
      </c>
      <c r="BI90" s="65">
        <v>0</v>
      </c>
      <c r="BJ90" s="34">
        <v>160.82</v>
      </c>
      <c r="BK90" s="65">
        <f t="shared" si="70"/>
        <v>15307.313768292086</v>
      </c>
      <c r="BL90" s="65"/>
      <c r="BM90" s="41">
        <v>13361.600991763306</v>
      </c>
      <c r="BN90" s="41">
        <v>2290.3480712407763</v>
      </c>
      <c r="BO90" s="65">
        <v>0</v>
      </c>
      <c r="BP90" s="34">
        <v>160.82</v>
      </c>
      <c r="BQ90" s="65">
        <f t="shared" si="50"/>
        <v>15812.769063004082</v>
      </c>
      <c r="BR90" s="65"/>
      <c r="BS90" s="41">
        <v>14101.512904124693</v>
      </c>
      <c r="BT90" s="314"/>
      <c r="BU90" s="314"/>
      <c r="BV90" s="41">
        <v>2445.0648652460704</v>
      </c>
      <c r="BW90" s="65">
        <v>0</v>
      </c>
      <c r="BX90" s="34">
        <v>160.82</v>
      </c>
      <c r="BY90" s="65">
        <f t="shared" si="71"/>
        <v>16707.397769370764</v>
      </c>
      <c r="CA90" s="5">
        <v>13646.083363267298</v>
      </c>
      <c r="CB90" s="407">
        <v>2601.2718688506639</v>
      </c>
      <c r="CC90" s="415">
        <v>0</v>
      </c>
      <c r="CD90" s="34">
        <v>160.82</v>
      </c>
      <c r="CE90" s="65">
        <f t="shared" si="51"/>
        <v>16408.175232117963</v>
      </c>
      <c r="CF90" s="407"/>
      <c r="CG90" s="5">
        <v>15321.229253547359</v>
      </c>
      <c r="CH90" s="407">
        <v>2738.8334878706019</v>
      </c>
      <c r="CI90" s="415">
        <v>0</v>
      </c>
      <c r="CJ90" s="34">
        <v>160.82</v>
      </c>
      <c r="CK90" s="65">
        <f t="shared" si="52"/>
        <v>18220.882741417961</v>
      </c>
      <c r="CL90" s="407"/>
      <c r="CM90" s="41">
        <f>AU90/'1. Väestöennuste'!L90*1000</f>
        <v>3755.8922383082136</v>
      </c>
      <c r="CN90" s="41">
        <f>BC90/'1. Väestöennuste'!M90*1000</f>
        <v>1139.744077077574</v>
      </c>
      <c r="CO90" s="41">
        <f>BK90/'1. Väestöennuste'!N90*1000</f>
        <v>1047.3700833590206</v>
      </c>
      <c r="CP90" s="41">
        <f>BQ90/'1. Väestöennuste'!O90*1000</f>
        <v>1097.1946338470775</v>
      </c>
      <c r="CQ90" s="41">
        <f>BY90/'1. Väestöennuste'!P90*1000</f>
        <v>1175.3357558473981</v>
      </c>
      <c r="CR90" s="41">
        <f>CE90/'1. Väestöennuste'!Q90*1000</f>
        <v>1169.8399566603423</v>
      </c>
      <c r="CS90" s="41">
        <f>CK90/'1. Väestöennuste'!R90*1000</f>
        <v>1316.3475466997515</v>
      </c>
      <c r="CT90" s="41"/>
      <c r="CV90" s="41">
        <f t="shared" si="53"/>
        <v>18060.062741417962</v>
      </c>
      <c r="CW90" s="41">
        <f t="shared" si="54"/>
        <v>-14464.990503109748</v>
      </c>
      <c r="CX90" s="41">
        <f t="shared" si="55"/>
        <v>-2616.1481612306397</v>
      </c>
      <c r="CY90" s="41">
        <f t="shared" si="56"/>
        <v>-92.373993718553493</v>
      </c>
      <c r="CZ90" s="41">
        <f t="shared" si="57"/>
        <v>49.824550488056957</v>
      </c>
      <c r="DA90" s="41">
        <f t="shared" si="58"/>
        <v>78.141122000320593</v>
      </c>
      <c r="DB90" s="41">
        <f t="shared" si="59"/>
        <v>-5.4957991870558089</v>
      </c>
      <c r="DC90" s="41">
        <f t="shared" si="60"/>
        <v>146.50759003940925</v>
      </c>
      <c r="DD90" s="41"/>
      <c r="DE90" s="283">
        <f t="shared" si="61"/>
        <v>112.29985537506505</v>
      </c>
      <c r="DF90" s="283">
        <f t="shared" si="62"/>
        <v>-0.79386881022121503</v>
      </c>
      <c r="DG90" s="283">
        <f t="shared" si="63"/>
        <v>-0.69654505380831833</v>
      </c>
      <c r="DH90" s="283">
        <f t="shared" si="64"/>
        <v>-8.1048013827288587E-2</v>
      </c>
      <c r="DI90" s="283">
        <f t="shared" si="65"/>
        <v>4.7571103356575398E-2</v>
      </c>
      <c r="DJ90" s="283">
        <f t="shared" si="66"/>
        <v>7.1219015833440161E-2</v>
      </c>
      <c r="DK90" s="283">
        <f t="shared" si="67"/>
        <v>-4.6759397556942585E-3</v>
      </c>
      <c r="DL90" s="283">
        <f t="shared" si="68"/>
        <v>0.12523729353343252</v>
      </c>
    </row>
    <row r="91" spans="1:116" x14ac:dyDescent="0.2">
      <c r="A91" s="30">
        <v>235</v>
      </c>
      <c r="B91" s="31" t="s">
        <v>405</v>
      </c>
      <c r="C91" s="65"/>
      <c r="D91" s="65"/>
      <c r="E91" s="65"/>
      <c r="F91" s="65"/>
      <c r="G91" s="65"/>
      <c r="H91" s="65">
        <v>433</v>
      </c>
      <c r="I91" s="65"/>
      <c r="J91" s="65"/>
      <c r="K91" s="65"/>
      <c r="L91" s="65"/>
      <c r="M91" s="65"/>
      <c r="N91" s="65">
        <v>-796</v>
      </c>
      <c r="O91" s="65"/>
      <c r="P91" s="65"/>
      <c r="Q91" s="65"/>
      <c r="R91" s="65"/>
      <c r="S91" s="65"/>
      <c r="T91" s="65">
        <v>-2284</v>
      </c>
      <c r="U91" s="65"/>
      <c r="V91" s="65"/>
      <c r="W91" s="65"/>
      <c r="X91" s="65"/>
      <c r="Y91" s="65"/>
      <c r="Z91" s="65">
        <v>-1864</v>
      </c>
      <c r="AA91" s="65"/>
      <c r="AB91" s="66">
        <v>-22.565017261022703</v>
      </c>
      <c r="AC91" s="34">
        <v>343.31634141990941</v>
      </c>
      <c r="AD91" s="180">
        <v>1592.6334768192698</v>
      </c>
      <c r="AE91" s="65">
        <v>0</v>
      </c>
      <c r="AF91" s="34">
        <v>2351.9279999999999</v>
      </c>
      <c r="AG91" s="65">
        <f t="shared" si="47"/>
        <v>4265.3128009781567</v>
      </c>
      <c r="AH91" s="65"/>
      <c r="AI91" s="66">
        <v>-2241.7205437503903</v>
      </c>
      <c r="AJ91" s="34">
        <v>-268.68016240692697</v>
      </c>
      <c r="AK91" s="181">
        <v>1787.8589229637596</v>
      </c>
      <c r="AL91" s="65">
        <v>0</v>
      </c>
      <c r="AM91" s="34">
        <v>2370.232</v>
      </c>
      <c r="AN91" s="65">
        <f t="shared" si="48"/>
        <v>1647.6902168064421</v>
      </c>
      <c r="AO91" s="65"/>
      <c r="AP91" s="41">
        <v>-842.23626413816953</v>
      </c>
      <c r="AQ91" s="41">
        <v>-83.433596127270917</v>
      </c>
      <c r="AR91" s="41">
        <v>2095.5540760111403</v>
      </c>
      <c r="AS91" s="65">
        <v>0</v>
      </c>
      <c r="AT91" s="34">
        <v>2808.288</v>
      </c>
      <c r="AU91" s="65">
        <f t="shared" si="49"/>
        <v>3978.1722157456998</v>
      </c>
      <c r="AV91" s="65"/>
      <c r="AW91" s="41">
        <v>14442.638083817204</v>
      </c>
      <c r="AX91" s="314"/>
      <c r="AY91" s="314"/>
      <c r="AZ91" s="41">
        <v>662.20584094886237</v>
      </c>
      <c r="BA91" s="65">
        <v>0</v>
      </c>
      <c r="BB91" s="34">
        <v>2986.5610000000001</v>
      </c>
      <c r="BC91" s="65">
        <f t="shared" si="69"/>
        <v>18091.404924766066</v>
      </c>
      <c r="BD91" s="65"/>
      <c r="BE91" s="41">
        <v>17940.54069558296</v>
      </c>
      <c r="BF91" s="314"/>
      <c r="BG91" s="314"/>
      <c r="BH91" s="41">
        <v>655.47600876194031</v>
      </c>
      <c r="BI91" s="65">
        <v>0</v>
      </c>
      <c r="BJ91" s="34">
        <v>2935.6089999999999</v>
      </c>
      <c r="BK91" s="65">
        <f t="shared" si="70"/>
        <v>21531.6257043449</v>
      </c>
      <c r="BL91" s="65"/>
      <c r="BM91" s="41">
        <v>18456.443677280993</v>
      </c>
      <c r="BN91" s="41">
        <v>518.33282055797974</v>
      </c>
      <c r="BO91" s="65">
        <v>0</v>
      </c>
      <c r="BP91" s="34">
        <v>2935.6089999999999</v>
      </c>
      <c r="BQ91" s="65">
        <f t="shared" si="50"/>
        <v>21910.385497838972</v>
      </c>
      <c r="BR91" s="65"/>
      <c r="BS91" s="41">
        <v>18528.976899672074</v>
      </c>
      <c r="BT91" s="314"/>
      <c r="BU91" s="314"/>
      <c r="BV91" s="41">
        <v>493.7456116356812</v>
      </c>
      <c r="BW91" s="65">
        <v>0</v>
      </c>
      <c r="BX91" s="34">
        <v>2935.6089999999999</v>
      </c>
      <c r="BY91" s="65">
        <f t="shared" si="71"/>
        <v>21958.331511307755</v>
      </c>
      <c r="CA91" s="5">
        <v>18735.857421021978</v>
      </c>
      <c r="CB91" s="407">
        <v>535.75593603750667</v>
      </c>
      <c r="CC91" s="415">
        <v>0</v>
      </c>
      <c r="CD91" s="34">
        <v>2935.6089999999999</v>
      </c>
      <c r="CE91" s="65">
        <f t="shared" si="51"/>
        <v>22207.222357059483</v>
      </c>
      <c r="CF91" s="407"/>
      <c r="CG91" s="5">
        <v>19394.579260743623</v>
      </c>
      <c r="CH91" s="407">
        <v>564.25787677080257</v>
      </c>
      <c r="CI91" s="415">
        <v>0</v>
      </c>
      <c r="CJ91" s="34">
        <v>2935.6089999999999</v>
      </c>
      <c r="CK91" s="65">
        <f t="shared" si="52"/>
        <v>22894.446137514427</v>
      </c>
      <c r="CL91" s="407"/>
      <c r="CM91" s="41">
        <f>AU91/'1. Väestöennuste'!L91*1000</f>
        <v>386.83121506667641</v>
      </c>
      <c r="CN91" s="41">
        <f>BC91/'1. Väestöennuste'!M91*1000</f>
        <v>1761.5778894611553</v>
      </c>
      <c r="CO91" s="41">
        <f>BK91/'1. Väestöennuste'!N91*1000</f>
        <v>2016.2586107636389</v>
      </c>
      <c r="CP91" s="41">
        <f>BQ91/'1. Väestöennuste'!O91*1000</f>
        <v>2028.1760157214635</v>
      </c>
      <c r="CQ91" s="41">
        <f>BY91/'1. Väestöennuste'!P91*1000</f>
        <v>2010.0999186477256</v>
      </c>
      <c r="CR91" s="41">
        <f>CE91/'1. Väestöennuste'!Q91*1000</f>
        <v>2011.8882367330571</v>
      </c>
      <c r="CS91" s="41">
        <f>CK91/'1. Väestöennuste'!R91*1000</f>
        <v>2053.8661646644323</v>
      </c>
      <c r="CT91" s="41"/>
      <c r="CV91" s="41">
        <f t="shared" si="53"/>
        <v>19958.837137514427</v>
      </c>
      <c r="CW91" s="41">
        <f t="shared" si="54"/>
        <v>-22507.614922447752</v>
      </c>
      <c r="CX91" s="41">
        <f t="shared" si="55"/>
        <v>1374.746674394479</v>
      </c>
      <c r="CY91" s="41">
        <f t="shared" si="56"/>
        <v>254.68072130248356</v>
      </c>
      <c r="CZ91" s="41">
        <f t="shared" si="57"/>
        <v>11.917404957824601</v>
      </c>
      <c r="DA91" s="41">
        <f t="shared" si="58"/>
        <v>-18.076097073737856</v>
      </c>
      <c r="DB91" s="41">
        <f t="shared" si="59"/>
        <v>1.7883180853314116</v>
      </c>
      <c r="DC91" s="41">
        <f t="shared" si="60"/>
        <v>41.977927931375234</v>
      </c>
      <c r="DD91" s="41"/>
      <c r="DE91" s="283">
        <f t="shared" si="61"/>
        <v>6.7988744882286527</v>
      </c>
      <c r="DF91" s="283">
        <f t="shared" si="62"/>
        <v>-0.98310370939994829</v>
      </c>
      <c r="DG91" s="283">
        <f t="shared" si="63"/>
        <v>3.5538669601870674</v>
      </c>
      <c r="DH91" s="283">
        <f t="shared" si="64"/>
        <v>0.14457533943071188</v>
      </c>
      <c r="DI91" s="283">
        <f t="shared" si="65"/>
        <v>5.9106529758655296E-3</v>
      </c>
      <c r="DJ91" s="283">
        <f t="shared" si="66"/>
        <v>-8.9124893173080054E-3</v>
      </c>
      <c r="DK91" s="283">
        <f t="shared" si="67"/>
        <v>8.8966626421958393E-4</v>
      </c>
      <c r="DL91" s="283">
        <f t="shared" si="68"/>
        <v>2.0864940290888027E-2</v>
      </c>
    </row>
    <row r="92" spans="1:116" x14ac:dyDescent="0.2">
      <c r="A92" s="30">
        <v>236</v>
      </c>
      <c r="B92" s="31" t="s">
        <v>406</v>
      </c>
      <c r="C92" s="65"/>
      <c r="D92" s="65"/>
      <c r="E92" s="65"/>
      <c r="F92" s="65"/>
      <c r="G92" s="65"/>
      <c r="H92" s="65">
        <v>9922</v>
      </c>
      <c r="I92" s="65"/>
      <c r="J92" s="65"/>
      <c r="K92" s="65"/>
      <c r="L92" s="65"/>
      <c r="M92" s="65"/>
      <c r="N92" s="65">
        <v>10266</v>
      </c>
      <c r="O92" s="65"/>
      <c r="P92" s="65"/>
      <c r="Q92" s="65"/>
      <c r="R92" s="65"/>
      <c r="S92" s="65"/>
      <c r="T92" s="65">
        <v>10882</v>
      </c>
      <c r="U92" s="65"/>
      <c r="V92" s="65"/>
      <c r="W92" s="65"/>
      <c r="X92" s="65"/>
      <c r="Y92" s="65"/>
      <c r="Z92" s="65">
        <v>11063</v>
      </c>
      <c r="AA92" s="65"/>
      <c r="AB92" s="66">
        <v>10440.389803707882</v>
      </c>
      <c r="AC92" s="34">
        <v>70.41502279930225</v>
      </c>
      <c r="AD92" s="180">
        <v>2313.7640779875924</v>
      </c>
      <c r="AE92" s="65">
        <v>590</v>
      </c>
      <c r="AF92" s="34">
        <v>905.76800000000003</v>
      </c>
      <c r="AG92" s="65">
        <f t="shared" si="47"/>
        <v>14320.336904494776</v>
      </c>
      <c r="AH92" s="65"/>
      <c r="AI92" s="66">
        <v>10055.907132119006</v>
      </c>
      <c r="AJ92" s="34">
        <v>-54.711333010025186</v>
      </c>
      <c r="AK92" s="181">
        <v>2485.1665605549097</v>
      </c>
      <c r="AL92" s="65">
        <v>0</v>
      </c>
      <c r="AM92" s="34">
        <v>777.20299999999997</v>
      </c>
      <c r="AN92" s="65">
        <f t="shared" si="48"/>
        <v>13263.565359663889</v>
      </c>
      <c r="AO92" s="65"/>
      <c r="AP92" s="41">
        <v>10588.684759080874</v>
      </c>
      <c r="AQ92" s="41">
        <v>-16.910946825257298</v>
      </c>
      <c r="AR92" s="41">
        <v>2830.811300060207</v>
      </c>
      <c r="AS92" s="65">
        <v>550</v>
      </c>
      <c r="AT92" s="34">
        <v>791.78399999999999</v>
      </c>
      <c r="AU92" s="65">
        <f t="shared" si="49"/>
        <v>14744.369112315824</v>
      </c>
      <c r="AV92" s="65"/>
      <c r="AW92" s="41">
        <v>3837.9722553183256</v>
      </c>
      <c r="AX92" s="314"/>
      <c r="AY92" s="314"/>
      <c r="AZ92" s="41">
        <v>896.4896807827472</v>
      </c>
      <c r="BA92" s="65">
        <v>0</v>
      </c>
      <c r="BB92" s="34">
        <v>763.78</v>
      </c>
      <c r="BC92" s="65">
        <f t="shared" si="69"/>
        <v>5498.2419361010725</v>
      </c>
      <c r="BD92" s="65"/>
      <c r="BE92" s="41">
        <v>3878.0423492588111</v>
      </c>
      <c r="BF92" s="314"/>
      <c r="BG92" s="314"/>
      <c r="BH92" s="41">
        <v>887.8529585094866</v>
      </c>
      <c r="BI92" s="65">
        <v>0</v>
      </c>
      <c r="BJ92" s="34">
        <v>782.00099999999998</v>
      </c>
      <c r="BK92" s="65">
        <f t="shared" si="70"/>
        <v>5547.8963077682984</v>
      </c>
      <c r="BL92" s="65"/>
      <c r="BM92" s="41">
        <v>4293.6999468442236</v>
      </c>
      <c r="BN92" s="41">
        <v>542.0307603419144</v>
      </c>
      <c r="BO92" s="65">
        <v>0</v>
      </c>
      <c r="BP92" s="34">
        <v>782.00099999999998</v>
      </c>
      <c r="BQ92" s="65">
        <f t="shared" si="50"/>
        <v>5617.731707186138</v>
      </c>
      <c r="BR92" s="65"/>
      <c r="BS92" s="41">
        <v>4703.3221725731901</v>
      </c>
      <c r="BT92" s="314"/>
      <c r="BU92" s="314"/>
      <c r="BV92" s="41">
        <v>583.55104254103696</v>
      </c>
      <c r="BW92" s="65">
        <v>0</v>
      </c>
      <c r="BX92" s="34">
        <v>782.00099999999998</v>
      </c>
      <c r="BY92" s="65">
        <f t="shared" si="71"/>
        <v>6068.8742151142269</v>
      </c>
      <c r="CA92" s="5">
        <v>4907.5037128390468</v>
      </c>
      <c r="CB92" s="407">
        <v>625.33789336943494</v>
      </c>
      <c r="CC92" s="415">
        <v>0</v>
      </c>
      <c r="CD92" s="34">
        <v>782.00099999999998</v>
      </c>
      <c r="CE92" s="65">
        <f t="shared" si="51"/>
        <v>6314.8426062084818</v>
      </c>
      <c r="CF92" s="407"/>
      <c r="CG92" s="5">
        <v>5257.3442516557388</v>
      </c>
      <c r="CH92" s="407">
        <v>661.74205609393641</v>
      </c>
      <c r="CI92" s="415">
        <v>0</v>
      </c>
      <c r="CJ92" s="34">
        <v>782.00099999999998</v>
      </c>
      <c r="CK92" s="65">
        <f t="shared" si="52"/>
        <v>6701.0873077496753</v>
      </c>
      <c r="CL92" s="407"/>
      <c r="CM92" s="41">
        <f>AU92/'1. Väestöennuste'!L92*1000</f>
        <v>3512.2365679647032</v>
      </c>
      <c r="CN92" s="41">
        <f>BC92/'1. Väestöennuste'!M92*1000</f>
        <v>1329.0408354123938</v>
      </c>
      <c r="CO92" s="41">
        <f>BK92/'1. Väestöennuste'!N92*1000</f>
        <v>1346.5767737301694</v>
      </c>
      <c r="CP92" s="41">
        <f>BQ92/'1. Väestöennuste'!O92*1000</f>
        <v>1373.8644429410951</v>
      </c>
      <c r="CQ92" s="41">
        <f>BY92/'1. Väestöennuste'!P92*1000</f>
        <v>1495.5333206294299</v>
      </c>
      <c r="CR92" s="41">
        <f>CE92/'1. Väestöennuste'!Q92*1000</f>
        <v>1568.125802386015</v>
      </c>
      <c r="CS92" s="41">
        <f>CK92/'1. Väestöennuste'!R92*1000</f>
        <v>1676.9487757131321</v>
      </c>
      <c r="CT92" s="41"/>
      <c r="CV92" s="41">
        <f t="shared" si="53"/>
        <v>5919.0863077496751</v>
      </c>
      <c r="CW92" s="41">
        <f t="shared" si="54"/>
        <v>-3188.8507397849721</v>
      </c>
      <c r="CX92" s="41">
        <f t="shared" si="55"/>
        <v>-2183.1957325523094</v>
      </c>
      <c r="CY92" s="41">
        <f t="shared" si="56"/>
        <v>17.535938317775617</v>
      </c>
      <c r="CZ92" s="41">
        <f t="shared" si="57"/>
        <v>27.287669210925742</v>
      </c>
      <c r="DA92" s="41">
        <f t="shared" si="58"/>
        <v>121.66887768833476</v>
      </c>
      <c r="DB92" s="41">
        <f t="shared" si="59"/>
        <v>72.59248175658513</v>
      </c>
      <c r="DC92" s="41">
        <f t="shared" si="60"/>
        <v>108.8229733271171</v>
      </c>
      <c r="DD92" s="41"/>
      <c r="DE92" s="283">
        <f t="shared" si="61"/>
        <v>7.5691543971806627</v>
      </c>
      <c r="DF92" s="283">
        <f t="shared" si="62"/>
        <v>-0.47587064506638038</v>
      </c>
      <c r="DG92" s="283">
        <f t="shared" si="63"/>
        <v>-0.62159700530008544</v>
      </c>
      <c r="DH92" s="283">
        <f t="shared" si="64"/>
        <v>1.3194431540799358E-2</v>
      </c>
      <c r="DI92" s="283">
        <f t="shared" si="65"/>
        <v>2.0264473398969911E-2</v>
      </c>
      <c r="DJ92" s="283">
        <f t="shared" si="66"/>
        <v>8.8559594298745048E-2</v>
      </c>
      <c r="DK92" s="283">
        <f t="shared" si="67"/>
        <v>4.8539528177167529E-2</v>
      </c>
      <c r="DL92" s="283">
        <f t="shared" si="68"/>
        <v>6.9396838672978398E-2</v>
      </c>
    </row>
    <row r="93" spans="1:116" x14ac:dyDescent="0.2">
      <c r="A93" s="30">
        <v>239</v>
      </c>
      <c r="B93" s="31" t="s">
        <v>407</v>
      </c>
      <c r="C93" s="65"/>
      <c r="D93" s="65"/>
      <c r="E93" s="65"/>
      <c r="F93" s="65"/>
      <c r="G93" s="65"/>
      <c r="H93" s="65">
        <v>7870</v>
      </c>
      <c r="I93" s="65"/>
      <c r="J93" s="65"/>
      <c r="K93" s="65"/>
      <c r="L93" s="65"/>
      <c r="M93" s="65"/>
      <c r="N93" s="65">
        <v>7706</v>
      </c>
      <c r="O93" s="65"/>
      <c r="P93" s="65"/>
      <c r="Q93" s="65"/>
      <c r="R93" s="65"/>
      <c r="S93" s="65"/>
      <c r="T93" s="65">
        <v>7455</v>
      </c>
      <c r="U93" s="65"/>
      <c r="V93" s="65"/>
      <c r="W93" s="65"/>
      <c r="X93" s="65"/>
      <c r="Y93" s="65"/>
      <c r="Z93" s="65">
        <v>8169</v>
      </c>
      <c r="AA93" s="65"/>
      <c r="AB93" s="66">
        <v>7912.7839491148106</v>
      </c>
      <c r="AC93" s="34">
        <v>35.926840469734302</v>
      </c>
      <c r="AD93" s="180">
        <v>1295.990895136305</v>
      </c>
      <c r="AE93" s="65">
        <v>0</v>
      </c>
      <c r="AF93" s="34">
        <v>-466.03899999999999</v>
      </c>
      <c r="AG93" s="65">
        <f t="shared" si="47"/>
        <v>8778.6626847208499</v>
      </c>
      <c r="AH93" s="65"/>
      <c r="AI93" s="66">
        <v>7795.7248841705477</v>
      </c>
      <c r="AJ93" s="34">
        <v>-27.340844779012976</v>
      </c>
      <c r="AK93" s="181">
        <v>1379.2861842788207</v>
      </c>
      <c r="AL93" s="65">
        <v>0</v>
      </c>
      <c r="AM93" s="34">
        <v>-466.86099999999999</v>
      </c>
      <c r="AN93" s="65">
        <f t="shared" si="48"/>
        <v>8680.8092236703542</v>
      </c>
      <c r="AO93" s="65"/>
      <c r="AP93" s="41">
        <v>7523.2080145848222</v>
      </c>
      <c r="AQ93" s="41">
        <v>-8.3259611881532436</v>
      </c>
      <c r="AR93" s="41">
        <v>1523.9782729186475</v>
      </c>
      <c r="AS93" s="65">
        <v>0</v>
      </c>
      <c r="AT93" s="34">
        <v>-468.50400000000002</v>
      </c>
      <c r="AU93" s="65">
        <f t="shared" si="49"/>
        <v>8570.3563263153155</v>
      </c>
      <c r="AV93" s="65"/>
      <c r="AW93" s="41">
        <v>692.99560426129574</v>
      </c>
      <c r="AX93" s="314"/>
      <c r="AY93" s="314"/>
      <c r="AZ93" s="41">
        <v>464.5436724687944</v>
      </c>
      <c r="BA93" s="65">
        <v>0</v>
      </c>
      <c r="BB93" s="34">
        <v>-529.94299999999998</v>
      </c>
      <c r="BC93" s="65">
        <f t="shared" si="69"/>
        <v>627.59627673009004</v>
      </c>
      <c r="BD93" s="65"/>
      <c r="BE93" s="41">
        <v>1208.666968759421</v>
      </c>
      <c r="BF93" s="314"/>
      <c r="BG93" s="314"/>
      <c r="BH93" s="41">
        <v>462.30014243070059</v>
      </c>
      <c r="BI93" s="65">
        <v>0</v>
      </c>
      <c r="BJ93" s="34">
        <v>-400.40300000000002</v>
      </c>
      <c r="BK93" s="65">
        <f t="shared" si="70"/>
        <v>1270.5641111901216</v>
      </c>
      <c r="BL93" s="65"/>
      <c r="BM93" s="41">
        <v>909.98638658747768</v>
      </c>
      <c r="BN93" s="41">
        <v>347.99183532462655</v>
      </c>
      <c r="BO93" s="65">
        <v>0</v>
      </c>
      <c r="BP93" s="34">
        <v>-400.40300000000002</v>
      </c>
      <c r="BQ93" s="65">
        <f t="shared" si="50"/>
        <v>857.57522191210433</v>
      </c>
      <c r="BR93" s="65"/>
      <c r="BS93" s="41">
        <v>636.11098691779557</v>
      </c>
      <c r="BT93" s="314"/>
      <c r="BU93" s="314"/>
      <c r="BV93" s="41">
        <v>368.23299708277477</v>
      </c>
      <c r="BW93" s="65">
        <v>0</v>
      </c>
      <c r="BX93" s="34">
        <v>-400.40300000000002</v>
      </c>
      <c r="BY93" s="65">
        <f t="shared" si="71"/>
        <v>603.94098400057032</v>
      </c>
      <c r="CA93" s="5">
        <v>680.39942916076097</v>
      </c>
      <c r="CB93" s="407">
        <v>389.00529534885715</v>
      </c>
      <c r="CC93" s="415">
        <v>0</v>
      </c>
      <c r="CD93" s="34">
        <v>-400.40300000000002</v>
      </c>
      <c r="CE93" s="65">
        <f t="shared" si="51"/>
        <v>669.00172450961804</v>
      </c>
      <c r="CF93" s="407"/>
      <c r="CG93" s="5">
        <v>710.0828827112922</v>
      </c>
      <c r="CH93" s="407">
        <v>407.00777680433521</v>
      </c>
      <c r="CI93" s="415">
        <v>0</v>
      </c>
      <c r="CJ93" s="34">
        <v>-400.40300000000002</v>
      </c>
      <c r="CK93" s="65">
        <f t="shared" si="52"/>
        <v>716.6876595156275</v>
      </c>
      <c r="CL93" s="407"/>
      <c r="CM93" s="41">
        <f>AU93/'1. Väestöennuste'!L93*1000</f>
        <v>4223.9311613185391</v>
      </c>
      <c r="CN93" s="41">
        <f>BC93/'1. Väestöennuste'!M93*1000</f>
        <v>308.401118786285</v>
      </c>
      <c r="CO93" s="41">
        <f>BK93/'1. Väestöennuste'!N93*1000</f>
        <v>633.69781106739231</v>
      </c>
      <c r="CP93" s="41">
        <f>BQ93/'1. Väestöennuste'!O93*1000</f>
        <v>435.09651035621732</v>
      </c>
      <c r="CQ93" s="41">
        <f>BY93/'1. Väestöennuste'!P93*1000</f>
        <v>310.82912197661875</v>
      </c>
      <c r="CR93" s="41">
        <f>CE93/'1. Väestöennuste'!Q93*1000</f>
        <v>349.53068156197395</v>
      </c>
      <c r="CS93" s="41">
        <f>CK93/'1. Väestöennuste'!R93*1000</f>
        <v>379.40056088704472</v>
      </c>
      <c r="CT93" s="41"/>
      <c r="CV93" s="41">
        <f t="shared" si="53"/>
        <v>1117.0906595156275</v>
      </c>
      <c r="CW93" s="41">
        <f t="shared" si="54"/>
        <v>3507.2435018029119</v>
      </c>
      <c r="CX93" s="41">
        <f t="shared" si="55"/>
        <v>-3915.5300425322539</v>
      </c>
      <c r="CY93" s="41">
        <f t="shared" si="56"/>
        <v>325.29669228110731</v>
      </c>
      <c r="CZ93" s="41">
        <f t="shared" si="57"/>
        <v>-198.60130071117499</v>
      </c>
      <c r="DA93" s="41">
        <f t="shared" si="58"/>
        <v>-124.26738837959857</v>
      </c>
      <c r="DB93" s="41">
        <f t="shared" si="59"/>
        <v>38.701559585355199</v>
      </c>
      <c r="DC93" s="41">
        <f t="shared" si="60"/>
        <v>29.869879325070769</v>
      </c>
      <c r="DD93" s="41"/>
      <c r="DE93" s="283">
        <f t="shared" si="61"/>
        <v>-2.7899158086118923</v>
      </c>
      <c r="DF93" s="283">
        <f t="shared" si="62"/>
        <v>4.8936847945355693</v>
      </c>
      <c r="DG93" s="283">
        <f t="shared" si="63"/>
        <v>-0.92698718160690508</v>
      </c>
      <c r="DH93" s="283">
        <f t="shared" si="64"/>
        <v>1.0547844105148352</v>
      </c>
      <c r="DI93" s="283">
        <f t="shared" si="65"/>
        <v>-0.31340064182430039</v>
      </c>
      <c r="DJ93" s="283">
        <f t="shared" si="66"/>
        <v>-0.2856087912032661</v>
      </c>
      <c r="DK93" s="283">
        <f t="shared" si="67"/>
        <v>0.12451072582660519</v>
      </c>
      <c r="DL93" s="283">
        <f t="shared" si="68"/>
        <v>8.5457102625695128E-2</v>
      </c>
    </row>
    <row r="94" spans="1:116" x14ac:dyDescent="0.2">
      <c r="A94" s="30">
        <v>240</v>
      </c>
      <c r="B94" s="31" t="s">
        <v>408</v>
      </c>
      <c r="C94" s="65"/>
      <c r="D94" s="65"/>
      <c r="E94" s="65"/>
      <c r="F94" s="65"/>
      <c r="G94" s="65"/>
      <c r="H94" s="65">
        <v>47180</v>
      </c>
      <c r="I94" s="65"/>
      <c r="J94" s="65"/>
      <c r="K94" s="65"/>
      <c r="L94" s="65"/>
      <c r="M94" s="65"/>
      <c r="N94" s="65">
        <v>46425</v>
      </c>
      <c r="O94" s="65"/>
      <c r="P94" s="65"/>
      <c r="Q94" s="65"/>
      <c r="R94" s="65"/>
      <c r="S94" s="65"/>
      <c r="T94" s="65">
        <v>44851</v>
      </c>
      <c r="U94" s="65"/>
      <c r="V94" s="65"/>
      <c r="W94" s="65"/>
      <c r="X94" s="65"/>
      <c r="Y94" s="65"/>
      <c r="Z94" s="65">
        <v>44093</v>
      </c>
      <c r="AA94" s="65"/>
      <c r="AB94" s="66">
        <v>43562.822004163711</v>
      </c>
      <c r="AC94" s="34">
        <v>430.90023745110716</v>
      </c>
      <c r="AD94" s="180">
        <v>8953.1235112908907</v>
      </c>
      <c r="AE94" s="65">
        <v>1500</v>
      </c>
      <c r="AF94" s="34">
        <v>1465.2180000000001</v>
      </c>
      <c r="AG94" s="65">
        <f t="shared" si="47"/>
        <v>55912.063752905706</v>
      </c>
      <c r="AH94" s="65"/>
      <c r="AI94" s="66">
        <v>42444.631617751264</v>
      </c>
      <c r="AJ94" s="34">
        <v>-333.96701162710968</v>
      </c>
      <c r="AK94" s="181">
        <v>9564.0683829385744</v>
      </c>
      <c r="AL94" s="65">
        <v>0</v>
      </c>
      <c r="AM94" s="34">
        <v>757.47</v>
      </c>
      <c r="AN94" s="65">
        <f t="shared" si="48"/>
        <v>52432.202989062731</v>
      </c>
      <c r="AO94" s="65"/>
      <c r="AP94" s="41">
        <v>43951.446774061777</v>
      </c>
      <c r="AQ94" s="41">
        <v>-102.96691984126642</v>
      </c>
      <c r="AR94" s="41">
        <v>10604.890407821713</v>
      </c>
      <c r="AS94" s="65">
        <v>0</v>
      </c>
      <c r="AT94" s="34">
        <v>1211.424</v>
      </c>
      <c r="AU94" s="65">
        <f t="shared" si="49"/>
        <v>55664.794262042225</v>
      </c>
      <c r="AV94" s="65"/>
      <c r="AW94" s="41">
        <v>-3235.9135253080267</v>
      </c>
      <c r="AX94" s="314"/>
      <c r="AY94" s="314"/>
      <c r="AZ94" s="41">
        <v>3195.1857131914512</v>
      </c>
      <c r="BA94" s="65">
        <v>1100</v>
      </c>
      <c r="BB94" s="34">
        <v>574.49</v>
      </c>
      <c r="BC94" s="65">
        <f t="shared" si="69"/>
        <v>1633.7621878834245</v>
      </c>
      <c r="BD94" s="65"/>
      <c r="BE94" s="41">
        <v>-5781.7480397941263</v>
      </c>
      <c r="BF94" s="314"/>
      <c r="BG94" s="314"/>
      <c r="BH94" s="41">
        <v>3214.8179245309984</v>
      </c>
      <c r="BI94" s="65">
        <v>0</v>
      </c>
      <c r="BJ94" s="34">
        <v>224.464</v>
      </c>
      <c r="BK94" s="65">
        <f t="shared" si="70"/>
        <v>-2342.4661152631279</v>
      </c>
      <c r="BL94" s="65"/>
      <c r="BM94" s="41">
        <v>-3200.193954047973</v>
      </c>
      <c r="BN94" s="41">
        <v>1817.3506017705247</v>
      </c>
      <c r="BO94" s="65">
        <v>0</v>
      </c>
      <c r="BP94" s="34">
        <v>224.464</v>
      </c>
      <c r="BQ94" s="65">
        <f t="shared" si="50"/>
        <v>-1158.3793522774483</v>
      </c>
      <c r="BR94" s="65"/>
      <c r="BS94" s="41">
        <v>-6053.7052780283857</v>
      </c>
      <c r="BT94" s="314"/>
      <c r="BU94" s="314"/>
      <c r="BV94" s="41">
        <v>1984.7942407409498</v>
      </c>
      <c r="BW94" s="65">
        <v>0</v>
      </c>
      <c r="BX94" s="34">
        <v>224.464</v>
      </c>
      <c r="BY94" s="65">
        <f t="shared" si="71"/>
        <v>-3844.4470372874357</v>
      </c>
      <c r="CA94" s="5">
        <v>-6147.386560477783</v>
      </c>
      <c r="CB94" s="407">
        <v>2157.0919531168361</v>
      </c>
      <c r="CC94" s="415">
        <v>0</v>
      </c>
      <c r="CD94" s="34">
        <v>224.464</v>
      </c>
      <c r="CE94" s="65">
        <f t="shared" si="51"/>
        <v>-3765.8306073609469</v>
      </c>
      <c r="CF94" s="407"/>
      <c r="CG94" s="5">
        <v>-4902.9544594535637</v>
      </c>
      <c r="CH94" s="407">
        <v>2304.7827885982292</v>
      </c>
      <c r="CI94" s="415">
        <v>0</v>
      </c>
      <c r="CJ94" s="34">
        <v>224.464</v>
      </c>
      <c r="CK94" s="65">
        <f t="shared" si="52"/>
        <v>-2373.7076708553345</v>
      </c>
      <c r="CL94" s="407"/>
      <c r="CM94" s="41">
        <f>AU94/'1. Väestöennuste'!L94*1000</f>
        <v>2854.7512314499318</v>
      </c>
      <c r="CN94" s="41">
        <f>BC94/'1. Väestöennuste'!M94*1000</f>
        <v>84.340621954644817</v>
      </c>
      <c r="CO94" s="41">
        <f>BK94/'1. Väestöennuste'!N94*1000</f>
        <v>-121.1077507632679</v>
      </c>
      <c r="CP94" s="41">
        <f>BQ94/'1. Väestöennuste'!O94*1000</f>
        <v>-60.667191383547099</v>
      </c>
      <c r="CQ94" s="41">
        <f>BY94/'1. Väestöennuste'!P94*1000</f>
        <v>-203.89536129872371</v>
      </c>
      <c r="CR94" s="41">
        <f>CE94/'1. Väestöennuste'!Q94*1000</f>
        <v>-202.20310391757661</v>
      </c>
      <c r="CS94" s="41">
        <f>CK94/'1. Väestöennuste'!R94*1000</f>
        <v>-128.98482154297315</v>
      </c>
      <c r="CT94" s="41"/>
      <c r="CV94" s="41">
        <f t="shared" si="53"/>
        <v>-2598.1716708553345</v>
      </c>
      <c r="CW94" s="41">
        <f t="shared" si="54"/>
        <v>5228.4589023052667</v>
      </c>
      <c r="CX94" s="41">
        <f t="shared" si="55"/>
        <v>-2770.4106094952867</v>
      </c>
      <c r="CY94" s="41">
        <f t="shared" si="56"/>
        <v>-205.44837271791272</v>
      </c>
      <c r="CZ94" s="41">
        <f t="shared" si="57"/>
        <v>60.440559379720803</v>
      </c>
      <c r="DA94" s="41">
        <f t="shared" si="58"/>
        <v>-143.22816991517661</v>
      </c>
      <c r="DB94" s="41">
        <f t="shared" si="59"/>
        <v>1.6922573811471011</v>
      </c>
      <c r="DC94" s="41">
        <f t="shared" si="60"/>
        <v>73.218282374603461</v>
      </c>
      <c r="DD94" s="41"/>
      <c r="DE94" s="283">
        <f t="shared" si="61"/>
        <v>-11.575003879710486</v>
      </c>
      <c r="DF94" s="283">
        <f t="shared" si="62"/>
        <v>-2.2026549294594728</v>
      </c>
      <c r="DG94" s="283">
        <f t="shared" si="63"/>
        <v>-0.97045605199308094</v>
      </c>
      <c r="DH94" s="283">
        <f t="shared" si="64"/>
        <v>-2.4359361830221626</v>
      </c>
      <c r="DI94" s="283">
        <f t="shared" si="65"/>
        <v>-0.4990643373260672</v>
      </c>
      <c r="DJ94" s="283">
        <f t="shared" si="66"/>
        <v>2.3608834799960756</v>
      </c>
      <c r="DK94" s="283">
        <f t="shared" si="67"/>
        <v>-8.2996364918170099E-3</v>
      </c>
      <c r="DL94" s="283">
        <f t="shared" si="68"/>
        <v>-0.36210266289705023</v>
      </c>
    </row>
    <row r="95" spans="1:116" x14ac:dyDescent="0.2">
      <c r="A95" s="30">
        <v>241</v>
      </c>
      <c r="B95" s="31" t="s">
        <v>409</v>
      </c>
      <c r="C95" s="65"/>
      <c r="D95" s="65"/>
      <c r="E95" s="65"/>
      <c r="F95" s="65"/>
      <c r="G95" s="65"/>
      <c r="H95" s="65">
        <v>13232</v>
      </c>
      <c r="I95" s="65"/>
      <c r="J95" s="65"/>
      <c r="K95" s="65"/>
      <c r="L95" s="65"/>
      <c r="M95" s="65"/>
      <c r="N95" s="65">
        <v>12703</v>
      </c>
      <c r="O95" s="65"/>
      <c r="P95" s="65"/>
      <c r="Q95" s="65"/>
      <c r="R95" s="65"/>
      <c r="S95" s="65"/>
      <c r="T95" s="65">
        <v>12410</v>
      </c>
      <c r="U95" s="65"/>
      <c r="V95" s="65"/>
      <c r="W95" s="65"/>
      <c r="X95" s="65"/>
      <c r="Y95" s="65"/>
      <c r="Z95" s="65">
        <v>13114</v>
      </c>
      <c r="AA95" s="65"/>
      <c r="AB95" s="66">
        <v>13528.391016325591</v>
      </c>
      <c r="AC95" s="34">
        <v>174.40629496659272</v>
      </c>
      <c r="AD95" s="180">
        <v>3200.0312211416694</v>
      </c>
      <c r="AE95" s="65">
        <v>0</v>
      </c>
      <c r="AF95" s="34">
        <v>-675.84400000000005</v>
      </c>
      <c r="AG95" s="65">
        <f t="shared" si="47"/>
        <v>16226.984532433853</v>
      </c>
      <c r="AH95" s="65"/>
      <c r="AI95" s="66">
        <v>12136.546382363351</v>
      </c>
      <c r="AJ95" s="34">
        <v>-135.97635856441019</v>
      </c>
      <c r="AK95" s="181">
        <v>3422.9572678745417</v>
      </c>
      <c r="AL95" s="65">
        <v>520</v>
      </c>
      <c r="AM95" s="34">
        <v>-922.22299999999996</v>
      </c>
      <c r="AN95" s="65">
        <f t="shared" si="48"/>
        <v>15021.304291673483</v>
      </c>
      <c r="AO95" s="65"/>
      <c r="AP95" s="41">
        <v>12678.169511247599</v>
      </c>
      <c r="AQ95" s="41">
        <v>-41.975391112233609</v>
      </c>
      <c r="AR95" s="41">
        <v>3903.9188555603728</v>
      </c>
      <c r="AS95" s="65">
        <v>0</v>
      </c>
      <c r="AT95" s="34">
        <v>-357.44900000000001</v>
      </c>
      <c r="AU95" s="65">
        <f t="shared" si="49"/>
        <v>16182.663975695737</v>
      </c>
      <c r="AV95" s="65"/>
      <c r="AW95" s="41">
        <v>2298.0242112592423</v>
      </c>
      <c r="AX95" s="314"/>
      <c r="AY95" s="314"/>
      <c r="AZ95" s="41">
        <v>1149.668269213184</v>
      </c>
      <c r="BA95" s="65">
        <v>0</v>
      </c>
      <c r="BB95" s="34">
        <v>-401.529</v>
      </c>
      <c r="BC95" s="65">
        <f t="shared" si="69"/>
        <v>3046.1634804724263</v>
      </c>
      <c r="BD95" s="65"/>
      <c r="BE95" s="41">
        <v>1112.0522523892471</v>
      </c>
      <c r="BF95" s="314"/>
      <c r="BG95" s="314"/>
      <c r="BH95" s="41">
        <v>1132.5425612872743</v>
      </c>
      <c r="BI95" s="65">
        <v>0</v>
      </c>
      <c r="BJ95" s="34">
        <v>-519.21199999999999</v>
      </c>
      <c r="BK95" s="65">
        <f t="shared" si="70"/>
        <v>1725.3828136765214</v>
      </c>
      <c r="BL95" s="65"/>
      <c r="BM95" s="41">
        <v>1709.5613338445496</v>
      </c>
      <c r="BN95" s="41">
        <v>620.04788606101158</v>
      </c>
      <c r="BO95" s="65">
        <v>0</v>
      </c>
      <c r="BP95" s="34">
        <v>-519.21199999999999</v>
      </c>
      <c r="BQ95" s="65">
        <f t="shared" si="50"/>
        <v>1810.3972199055611</v>
      </c>
      <c r="BR95" s="65"/>
      <c r="BS95" s="41">
        <v>1792.0217924344452</v>
      </c>
      <c r="BT95" s="314"/>
      <c r="BU95" s="314"/>
      <c r="BV95" s="41">
        <v>673.91692968826112</v>
      </c>
      <c r="BW95" s="65">
        <v>0</v>
      </c>
      <c r="BX95" s="34">
        <v>-519.21199999999999</v>
      </c>
      <c r="BY95" s="65">
        <f t="shared" si="71"/>
        <v>1946.7267221227062</v>
      </c>
      <c r="CA95" s="5">
        <v>1851.810140934886</v>
      </c>
      <c r="CB95" s="407">
        <v>732.98296470540197</v>
      </c>
      <c r="CC95" s="415">
        <v>0</v>
      </c>
      <c r="CD95" s="34">
        <v>-519.21199999999999</v>
      </c>
      <c r="CE95" s="65">
        <f t="shared" si="51"/>
        <v>2065.5811056402881</v>
      </c>
      <c r="CF95" s="407"/>
      <c r="CG95" s="5">
        <v>2542.713301889924</v>
      </c>
      <c r="CH95" s="407">
        <v>782.35854766868454</v>
      </c>
      <c r="CI95" s="415">
        <v>0</v>
      </c>
      <c r="CJ95" s="34">
        <v>-519.21199999999999</v>
      </c>
      <c r="CK95" s="65">
        <f t="shared" si="52"/>
        <v>2805.8598495586084</v>
      </c>
      <c r="CL95" s="407"/>
      <c r="CM95" s="41">
        <f>AU95/'1. Väestöennuste'!L95*1000</f>
        <v>2082.4429257104284</v>
      </c>
      <c r="CN95" s="41">
        <f>BC95/'1. Väestöennuste'!M95*1000</f>
        <v>396.06858412071591</v>
      </c>
      <c r="CO95" s="41">
        <f>BK95/'1. Väestöennuste'!N95*1000</f>
        <v>223.72702459498461</v>
      </c>
      <c r="CP95" s="41">
        <f>BQ95/'1. Väestöennuste'!O95*1000</f>
        <v>236.8080078359138</v>
      </c>
      <c r="CQ95" s="41">
        <f>BY95/'1. Väestöennuste'!P95*1000</f>
        <v>256.89188732155003</v>
      </c>
      <c r="CR95" s="41">
        <f>CE95/'1. Väestöennuste'!Q95*1000</f>
        <v>275.19066155612688</v>
      </c>
      <c r="CS95" s="41">
        <f>CK95/'1. Väestöennuste'!R95*1000</f>
        <v>377.23310695867281</v>
      </c>
      <c r="CT95" s="41"/>
      <c r="CV95" s="41">
        <f t="shared" si="53"/>
        <v>3325.0718495586084</v>
      </c>
      <c r="CW95" s="41">
        <f t="shared" si="54"/>
        <v>-723.41692384817998</v>
      </c>
      <c r="CX95" s="41">
        <f t="shared" si="55"/>
        <v>-1686.3743415897125</v>
      </c>
      <c r="CY95" s="41">
        <f t="shared" si="56"/>
        <v>-172.3415595257313</v>
      </c>
      <c r="CZ95" s="41">
        <f t="shared" si="57"/>
        <v>13.080983240929186</v>
      </c>
      <c r="DA95" s="41">
        <f t="shared" si="58"/>
        <v>20.083879485636231</v>
      </c>
      <c r="DB95" s="41">
        <f t="shared" si="59"/>
        <v>18.298774234576854</v>
      </c>
      <c r="DC95" s="41">
        <f t="shared" si="60"/>
        <v>102.04244540254592</v>
      </c>
      <c r="DD95" s="41"/>
      <c r="DE95" s="283">
        <f t="shared" si="61"/>
        <v>-6.404073576031772</v>
      </c>
      <c r="DF95" s="283">
        <f t="shared" si="62"/>
        <v>-0.25782361295129591</v>
      </c>
      <c r="DG95" s="283">
        <f t="shared" si="63"/>
        <v>-0.80980579144295317</v>
      </c>
      <c r="DH95" s="283">
        <f t="shared" si="64"/>
        <v>-0.43513059716244529</v>
      </c>
      <c r="DI95" s="283">
        <f t="shared" si="65"/>
        <v>5.8468498674265332E-2</v>
      </c>
      <c r="DJ95" s="283">
        <f t="shared" si="66"/>
        <v>8.4810812223683391E-2</v>
      </c>
      <c r="DK95" s="283">
        <f t="shared" si="67"/>
        <v>7.1231421223015845E-2</v>
      </c>
      <c r="DL95" s="283">
        <f t="shared" si="68"/>
        <v>0.37080635231415265</v>
      </c>
    </row>
    <row r="96" spans="1:116" x14ac:dyDescent="0.2">
      <c r="A96" s="30">
        <v>244</v>
      </c>
      <c r="B96" s="31" t="s">
        <v>410</v>
      </c>
      <c r="C96" s="65"/>
      <c r="D96" s="65"/>
      <c r="E96" s="65"/>
      <c r="F96" s="65"/>
      <c r="G96" s="65"/>
      <c r="H96" s="65">
        <v>24051</v>
      </c>
      <c r="I96" s="65"/>
      <c r="J96" s="65"/>
      <c r="K96" s="65"/>
      <c r="L96" s="65"/>
      <c r="M96" s="65"/>
      <c r="N96" s="65">
        <v>24037</v>
      </c>
      <c r="O96" s="65"/>
      <c r="P96" s="65"/>
      <c r="Q96" s="65"/>
      <c r="R96" s="65"/>
      <c r="S96" s="65"/>
      <c r="T96" s="65">
        <v>24038</v>
      </c>
      <c r="U96" s="65"/>
      <c r="V96" s="65"/>
      <c r="W96" s="65"/>
      <c r="X96" s="65"/>
      <c r="Y96" s="65"/>
      <c r="Z96" s="65">
        <v>24608</v>
      </c>
      <c r="AA96" s="65"/>
      <c r="AB96" s="66">
        <v>27507.278783066598</v>
      </c>
      <c r="AC96" s="34">
        <v>359.08778804557494</v>
      </c>
      <c r="AD96" s="180">
        <v>5541.8578768488605</v>
      </c>
      <c r="AE96" s="65">
        <v>0</v>
      </c>
      <c r="AF96" s="34">
        <v>-397.04599999999999</v>
      </c>
      <c r="AG96" s="65">
        <f t="shared" si="47"/>
        <v>33011.178447961029</v>
      </c>
      <c r="AH96" s="65"/>
      <c r="AI96" s="66">
        <v>24948.292368225349</v>
      </c>
      <c r="AJ96" s="34">
        <v>-278.92321505201738</v>
      </c>
      <c r="AK96" s="181">
        <v>6036.3374765296467</v>
      </c>
      <c r="AL96" s="65">
        <v>0</v>
      </c>
      <c r="AM96" s="34">
        <v>-1004.372</v>
      </c>
      <c r="AN96" s="65">
        <f t="shared" si="48"/>
        <v>29701.334629702978</v>
      </c>
      <c r="AO96" s="65"/>
      <c r="AP96" s="41">
        <v>26759.57840858039</v>
      </c>
      <c r="AQ96" s="41">
        <v>-86.293200884197645</v>
      </c>
      <c r="AR96" s="41">
        <v>7023.8327690363358</v>
      </c>
      <c r="AS96" s="65">
        <v>0</v>
      </c>
      <c r="AT96" s="34">
        <v>-90.146000000000001</v>
      </c>
      <c r="AU96" s="65">
        <f t="shared" si="49"/>
        <v>33606.97197673253</v>
      </c>
      <c r="AV96" s="65"/>
      <c r="AW96" s="41">
        <v>19223.508689020691</v>
      </c>
      <c r="AX96" s="314"/>
      <c r="AY96" s="314"/>
      <c r="AZ96" s="41">
        <v>2097.9856613888901</v>
      </c>
      <c r="BA96" s="65">
        <v>0</v>
      </c>
      <c r="BB96" s="34">
        <v>151.947</v>
      </c>
      <c r="BC96" s="65">
        <f t="shared" si="69"/>
        <v>21473.441350409583</v>
      </c>
      <c r="BD96" s="65"/>
      <c r="BE96" s="41">
        <v>20159.114691298852</v>
      </c>
      <c r="BF96" s="314"/>
      <c r="BG96" s="314"/>
      <c r="BH96" s="41">
        <v>2075.3769698116762</v>
      </c>
      <c r="BI96" s="65">
        <v>0</v>
      </c>
      <c r="BJ96" s="34">
        <v>115.901</v>
      </c>
      <c r="BK96" s="65">
        <f t="shared" si="70"/>
        <v>22350.392661110531</v>
      </c>
      <c r="BL96" s="65"/>
      <c r="BM96" s="41">
        <v>22593.660627525507</v>
      </c>
      <c r="BN96" s="41">
        <v>957.89383906811918</v>
      </c>
      <c r="BO96" s="65">
        <v>0</v>
      </c>
      <c r="BP96" s="34">
        <v>115.901</v>
      </c>
      <c r="BQ96" s="65">
        <f t="shared" si="50"/>
        <v>23667.455466593627</v>
      </c>
      <c r="BR96" s="65"/>
      <c r="BS96" s="41">
        <v>22898.957120208648</v>
      </c>
      <c r="BT96" s="314"/>
      <c r="BU96" s="314"/>
      <c r="BV96" s="41">
        <v>1052.3417186567171</v>
      </c>
      <c r="BW96" s="65">
        <v>0</v>
      </c>
      <c r="BX96" s="34">
        <v>115.901</v>
      </c>
      <c r="BY96" s="65">
        <f t="shared" si="71"/>
        <v>24067.199838865366</v>
      </c>
      <c r="CA96" s="5">
        <v>23200.371184081319</v>
      </c>
      <c r="CB96" s="407">
        <v>1179.7775074119788</v>
      </c>
      <c r="CC96" s="415">
        <v>0</v>
      </c>
      <c r="CD96" s="34">
        <v>115.901</v>
      </c>
      <c r="CE96" s="65">
        <f t="shared" si="51"/>
        <v>24496.049691493299</v>
      </c>
      <c r="CF96" s="407"/>
      <c r="CG96" s="5">
        <v>22492.364324954407</v>
      </c>
      <c r="CH96" s="407">
        <v>1282.4991701203662</v>
      </c>
      <c r="CI96" s="415">
        <v>0</v>
      </c>
      <c r="CJ96" s="34">
        <v>115.901</v>
      </c>
      <c r="CK96" s="65">
        <f t="shared" si="52"/>
        <v>23890.764495074774</v>
      </c>
      <c r="CL96" s="407"/>
      <c r="CM96" s="41">
        <f>AU96/'1. Väestöennuste'!L96*1000</f>
        <v>1741.2938848047943</v>
      </c>
      <c r="CN96" s="41">
        <f>BC96/'1. Väestöennuste'!M96*1000</f>
        <v>1100.4120810909903</v>
      </c>
      <c r="CO96" s="41">
        <f>BK96/'1. Väestöennuste'!N96*1000</f>
        <v>1108.815431914994</v>
      </c>
      <c r="CP96" s="41">
        <f>BQ96/'1. Väestöennuste'!O96*1000</f>
        <v>1157.729074333201</v>
      </c>
      <c r="CQ96" s="41">
        <f>BY96/'1. Väestöennuste'!P96*1000</f>
        <v>1162.1052553773716</v>
      </c>
      <c r="CR96" s="41">
        <f>CE96/'1. Väestöennuste'!Q96*1000</f>
        <v>1168.3702037342985</v>
      </c>
      <c r="CS96" s="41">
        <f>CK96/'1. Väestöennuste'!R96*1000</f>
        <v>1126.7634058894862</v>
      </c>
      <c r="CT96" s="41"/>
      <c r="CV96" s="41">
        <f t="shared" si="53"/>
        <v>23774.863495074773</v>
      </c>
      <c r="CW96" s="41">
        <f t="shared" si="54"/>
        <v>-22149.470610269978</v>
      </c>
      <c r="CX96" s="41">
        <f t="shared" si="55"/>
        <v>-640.88180371380395</v>
      </c>
      <c r="CY96" s="41">
        <f t="shared" si="56"/>
        <v>8.4033508240036099</v>
      </c>
      <c r="CZ96" s="41">
        <f t="shared" si="57"/>
        <v>48.913642418207019</v>
      </c>
      <c r="DA96" s="41">
        <f t="shared" si="58"/>
        <v>4.3761810441706075</v>
      </c>
      <c r="DB96" s="41">
        <f t="shared" si="59"/>
        <v>6.2649483569268796</v>
      </c>
      <c r="DC96" s="41">
        <f t="shared" si="60"/>
        <v>-41.606797844812263</v>
      </c>
      <c r="DD96" s="41"/>
      <c r="DE96" s="283">
        <f t="shared" si="61"/>
        <v>205.13078830273056</v>
      </c>
      <c r="DF96" s="283">
        <f t="shared" si="62"/>
        <v>-0.92711435060339842</v>
      </c>
      <c r="DG96" s="283">
        <f t="shared" si="63"/>
        <v>-0.36804918991928193</v>
      </c>
      <c r="DH96" s="283">
        <f t="shared" si="64"/>
        <v>7.6365490423116848E-3</v>
      </c>
      <c r="DI96" s="283">
        <f t="shared" si="65"/>
        <v>4.4113421413814635E-2</v>
      </c>
      <c r="DJ96" s="283">
        <f t="shared" si="66"/>
        <v>3.7799698920847158E-3</v>
      </c>
      <c r="DK96" s="283">
        <f t="shared" si="67"/>
        <v>5.3910334954061084E-3</v>
      </c>
      <c r="DL96" s="283">
        <f t="shared" si="68"/>
        <v>-3.561097134438234E-2</v>
      </c>
    </row>
    <row r="97" spans="1:116" x14ac:dyDescent="0.2">
      <c r="A97" s="30">
        <v>245</v>
      </c>
      <c r="B97" s="31" t="s">
        <v>411</v>
      </c>
      <c r="C97" s="65"/>
      <c r="D97" s="65"/>
      <c r="E97" s="65"/>
      <c r="F97" s="65"/>
      <c r="G97" s="65"/>
      <c r="H97" s="65">
        <v>23463</v>
      </c>
      <c r="I97" s="65"/>
      <c r="J97" s="65"/>
      <c r="K97" s="65"/>
      <c r="L97" s="65"/>
      <c r="M97" s="65"/>
      <c r="N97" s="65">
        <v>21162</v>
      </c>
      <c r="O97" s="65"/>
      <c r="P97" s="65"/>
      <c r="Q97" s="65"/>
      <c r="R97" s="65"/>
      <c r="S97" s="65"/>
      <c r="T97" s="65">
        <v>21827</v>
      </c>
      <c r="U97" s="65"/>
      <c r="V97" s="65"/>
      <c r="W97" s="65"/>
      <c r="X97" s="65"/>
      <c r="Y97" s="65"/>
      <c r="Z97" s="65">
        <v>23259</v>
      </c>
      <c r="AA97" s="65"/>
      <c r="AB97" s="66">
        <v>30422.128093478404</v>
      </c>
      <c r="AC97" s="34">
        <v>787.81439872822068</v>
      </c>
      <c r="AD97" s="180">
        <v>12235.26956370834</v>
      </c>
      <c r="AE97" s="65">
        <v>0</v>
      </c>
      <c r="AF97" s="34">
        <v>-3360.63</v>
      </c>
      <c r="AG97" s="65">
        <f t="shared" si="47"/>
        <v>40084.582055914965</v>
      </c>
      <c r="AH97" s="65"/>
      <c r="AI97" s="66">
        <v>26038.006869657038</v>
      </c>
      <c r="AJ97" s="34">
        <v>-612.9805408242363</v>
      </c>
      <c r="AK97" s="181">
        <v>13406.672202404825</v>
      </c>
      <c r="AL97" s="65">
        <v>0</v>
      </c>
      <c r="AM97" s="34">
        <v>-3381.7280000000001</v>
      </c>
      <c r="AN97" s="65">
        <f t="shared" si="48"/>
        <v>35449.970531237625</v>
      </c>
      <c r="AO97" s="65"/>
      <c r="AP97" s="41">
        <v>29647.164659227044</v>
      </c>
      <c r="AQ97" s="41">
        <v>-189.65199005165923</v>
      </c>
      <c r="AR97" s="41">
        <v>15432.838671659152</v>
      </c>
      <c r="AS97" s="65">
        <v>0</v>
      </c>
      <c r="AT97" s="34">
        <v>-3828.5439999999999</v>
      </c>
      <c r="AU97" s="65">
        <f t="shared" si="49"/>
        <v>41061.807340834537</v>
      </c>
      <c r="AV97" s="65"/>
      <c r="AW97" s="41">
        <v>16912.574490236191</v>
      </c>
      <c r="AX97" s="314"/>
      <c r="AY97" s="314"/>
      <c r="AZ97" s="41">
        <v>4834.905518573345</v>
      </c>
      <c r="BA97" s="65">
        <v>0</v>
      </c>
      <c r="BB97" s="34">
        <v>-3713.6550000000002</v>
      </c>
      <c r="BC97" s="65">
        <f t="shared" si="69"/>
        <v>18033.825008809537</v>
      </c>
      <c r="BD97" s="65"/>
      <c r="BE97" s="41">
        <v>12094.454667283317</v>
      </c>
      <c r="BF97" s="314"/>
      <c r="BG97" s="314"/>
      <c r="BH97" s="41">
        <v>4824.294015971881</v>
      </c>
      <c r="BI97" s="65">
        <v>0</v>
      </c>
      <c r="BJ97" s="34">
        <v>-3842.7159999999999</v>
      </c>
      <c r="BK97" s="65">
        <f t="shared" si="70"/>
        <v>13076.032683255198</v>
      </c>
      <c r="BL97" s="65"/>
      <c r="BM97" s="41">
        <v>19646.148061344029</v>
      </c>
      <c r="BN97" s="41">
        <v>2936.6947402696023</v>
      </c>
      <c r="BO97" s="65">
        <v>0</v>
      </c>
      <c r="BP97" s="34">
        <v>-3842.7159999999999</v>
      </c>
      <c r="BQ97" s="65">
        <f t="shared" si="50"/>
        <v>18740.126801613631</v>
      </c>
      <c r="BR97" s="65"/>
      <c r="BS97" s="41">
        <v>19488.813041594749</v>
      </c>
      <c r="BT97" s="314"/>
      <c r="BU97" s="314"/>
      <c r="BV97" s="41">
        <v>3120.6999030958655</v>
      </c>
      <c r="BW97" s="65">
        <v>0</v>
      </c>
      <c r="BX97" s="34">
        <v>-3842.7159999999999</v>
      </c>
      <c r="BY97" s="65">
        <f t="shared" si="71"/>
        <v>18766.796944690614</v>
      </c>
      <c r="CA97" s="5">
        <v>19252.450770808045</v>
      </c>
      <c r="CB97" s="407">
        <v>3372.8661828676659</v>
      </c>
      <c r="CC97" s="415">
        <v>0</v>
      </c>
      <c r="CD97" s="34">
        <v>-3842.7159999999999</v>
      </c>
      <c r="CE97" s="65">
        <f t="shared" si="51"/>
        <v>18782.600953675712</v>
      </c>
      <c r="CF97" s="407"/>
      <c r="CG97" s="5">
        <v>20081.948685014915</v>
      </c>
      <c r="CH97" s="407">
        <v>3576.7466580452756</v>
      </c>
      <c r="CI97" s="415">
        <v>0</v>
      </c>
      <c r="CJ97" s="34">
        <v>-3842.7159999999999</v>
      </c>
      <c r="CK97" s="65">
        <f t="shared" si="52"/>
        <v>19815.979343060189</v>
      </c>
      <c r="CL97" s="407"/>
      <c r="CM97" s="41">
        <f>AU97/'1. Väestöennuste'!L97*1000</f>
        <v>1089.8664226784833</v>
      </c>
      <c r="CN97" s="41">
        <f>BC97/'1. Väestöennuste'!M97*1000</f>
        <v>471.95375700216005</v>
      </c>
      <c r="CO97" s="41">
        <f>BK97/'1. Väestöennuste'!N97*1000</f>
        <v>338.76609972422079</v>
      </c>
      <c r="CP97" s="41">
        <f>BQ97/'1. Väestöennuste'!O97*1000</f>
        <v>481.56563797028474</v>
      </c>
      <c r="CQ97" s="41">
        <f>BY97/'1. Väestöennuste'!P97*1000</f>
        <v>478.52508910935319</v>
      </c>
      <c r="CR97" s="41">
        <f>CE97/'1. Väestöennuste'!Q97*1000</f>
        <v>475.52092340757264</v>
      </c>
      <c r="CS97" s="41">
        <f>CK97/'1. Väestöennuste'!R97*1000</f>
        <v>498.30209326980133</v>
      </c>
      <c r="CT97" s="41"/>
      <c r="CV97" s="41">
        <f t="shared" si="53"/>
        <v>23658.69534306019</v>
      </c>
      <c r="CW97" s="41">
        <f t="shared" si="54"/>
        <v>-18726.112920381707</v>
      </c>
      <c r="CX97" s="41">
        <f t="shared" si="55"/>
        <v>-617.91266567632329</v>
      </c>
      <c r="CY97" s="41">
        <f t="shared" si="56"/>
        <v>-133.18765727793925</v>
      </c>
      <c r="CZ97" s="41">
        <f t="shared" si="57"/>
        <v>142.79953824606395</v>
      </c>
      <c r="DA97" s="41">
        <f t="shared" si="58"/>
        <v>-3.0405488609315512</v>
      </c>
      <c r="DB97" s="41">
        <f t="shared" si="59"/>
        <v>-3.0041657017805505</v>
      </c>
      <c r="DC97" s="41">
        <f t="shared" si="60"/>
        <v>22.781169862228694</v>
      </c>
      <c r="DD97" s="41"/>
      <c r="DE97" s="283">
        <f t="shared" si="61"/>
        <v>-6.1567639510856882</v>
      </c>
      <c r="DF97" s="283">
        <f t="shared" si="62"/>
        <v>-0.94500062783623318</v>
      </c>
      <c r="DG97" s="283">
        <f t="shared" si="63"/>
        <v>-0.56696183387109533</v>
      </c>
      <c r="DH97" s="283">
        <f t="shared" si="64"/>
        <v>-0.28220488830080376</v>
      </c>
      <c r="DI97" s="283">
        <f t="shared" si="65"/>
        <v>0.42152841846428174</v>
      </c>
      <c r="DJ97" s="283">
        <f t="shared" si="66"/>
        <v>-6.3138825140160223E-3</v>
      </c>
      <c r="DK97" s="283">
        <f t="shared" si="67"/>
        <v>-6.2779690556497335E-3</v>
      </c>
      <c r="DL97" s="283">
        <f t="shared" si="68"/>
        <v>4.7907818017721121E-2</v>
      </c>
    </row>
    <row r="98" spans="1:116" x14ac:dyDescent="0.2">
      <c r="A98" s="30">
        <v>249</v>
      </c>
      <c r="B98" s="31" t="s">
        <v>412</v>
      </c>
      <c r="C98" s="65"/>
      <c r="D98" s="65"/>
      <c r="E98" s="65"/>
      <c r="F98" s="65"/>
      <c r="G98" s="65"/>
      <c r="H98" s="65">
        <v>27766</v>
      </c>
      <c r="I98" s="65"/>
      <c r="J98" s="65"/>
      <c r="K98" s="65"/>
      <c r="L98" s="65"/>
      <c r="M98" s="65"/>
      <c r="N98" s="65">
        <v>28162</v>
      </c>
      <c r="O98" s="65"/>
      <c r="P98" s="65"/>
      <c r="Q98" s="65"/>
      <c r="R98" s="65"/>
      <c r="S98" s="65"/>
      <c r="T98" s="65">
        <v>27327</v>
      </c>
      <c r="U98" s="65"/>
      <c r="V98" s="65"/>
      <c r="W98" s="65"/>
      <c r="X98" s="65"/>
      <c r="Y98" s="65"/>
      <c r="Z98" s="65">
        <v>27516</v>
      </c>
      <c r="AA98" s="65"/>
      <c r="AB98" s="66">
        <v>26266.856277115414</v>
      </c>
      <c r="AC98" s="34">
        <v>174.6346512975696</v>
      </c>
      <c r="AD98" s="180">
        <v>4646.8317762996066</v>
      </c>
      <c r="AE98" s="65">
        <v>0</v>
      </c>
      <c r="AF98" s="34">
        <v>-28.800999999999998</v>
      </c>
      <c r="AG98" s="65">
        <f t="shared" si="47"/>
        <v>31059.521704712592</v>
      </c>
      <c r="AH98" s="65"/>
      <c r="AI98" s="66">
        <v>24927.3032015674</v>
      </c>
      <c r="AJ98" s="34">
        <v>-134.86473921527812</v>
      </c>
      <c r="AK98" s="181">
        <v>4976.2155125893278</v>
      </c>
      <c r="AL98" s="65">
        <v>0</v>
      </c>
      <c r="AM98" s="34">
        <v>-110.49299999999999</v>
      </c>
      <c r="AN98" s="65">
        <f t="shared" si="48"/>
        <v>29658.160974941453</v>
      </c>
      <c r="AO98" s="65"/>
      <c r="AP98" s="41">
        <v>25486.894433345176</v>
      </c>
      <c r="AQ98" s="41">
        <v>-41.509662346817016</v>
      </c>
      <c r="AR98" s="41">
        <v>5613.7863918006642</v>
      </c>
      <c r="AS98" s="65">
        <v>0</v>
      </c>
      <c r="AT98" s="34">
        <v>-9.609</v>
      </c>
      <c r="AU98" s="65">
        <f t="shared" si="49"/>
        <v>31049.562162799022</v>
      </c>
      <c r="AV98" s="65"/>
      <c r="AW98" s="41">
        <v>5115.8337256966488</v>
      </c>
      <c r="AX98" s="314"/>
      <c r="AY98" s="314"/>
      <c r="AZ98" s="41">
        <v>1689.8055154613357</v>
      </c>
      <c r="BA98" s="65">
        <v>0</v>
      </c>
      <c r="BB98" s="34">
        <v>-36.911000000000001</v>
      </c>
      <c r="BC98" s="65">
        <f t="shared" si="69"/>
        <v>6768.7282411579845</v>
      </c>
      <c r="BD98" s="65"/>
      <c r="BE98" s="41">
        <v>4936.1904802191648</v>
      </c>
      <c r="BF98" s="314"/>
      <c r="BG98" s="314"/>
      <c r="BH98" s="41">
        <v>1665.4142069316842</v>
      </c>
      <c r="BI98" s="65">
        <v>0</v>
      </c>
      <c r="BJ98" s="34">
        <v>327.97</v>
      </c>
      <c r="BK98" s="65">
        <f t="shared" si="70"/>
        <v>6929.5746871508491</v>
      </c>
      <c r="BL98" s="65"/>
      <c r="BM98" s="41">
        <v>6598.211994218871</v>
      </c>
      <c r="BN98" s="41">
        <v>1060.6051173165542</v>
      </c>
      <c r="BO98" s="65">
        <v>0</v>
      </c>
      <c r="BP98" s="34">
        <v>327.97</v>
      </c>
      <c r="BQ98" s="65">
        <f t="shared" si="50"/>
        <v>7986.7871115354255</v>
      </c>
      <c r="BR98" s="65"/>
      <c r="BS98" s="41">
        <v>6807.0690886172515</v>
      </c>
      <c r="BT98" s="314"/>
      <c r="BU98" s="314"/>
      <c r="BV98" s="41">
        <v>1147.9010544473435</v>
      </c>
      <c r="BW98" s="65">
        <v>0</v>
      </c>
      <c r="BX98" s="34">
        <v>327.97</v>
      </c>
      <c r="BY98" s="65">
        <f t="shared" si="71"/>
        <v>8282.9401430645939</v>
      </c>
      <c r="CA98" s="5">
        <v>6537.8921899658844</v>
      </c>
      <c r="CB98" s="407">
        <v>1239.5892836772737</v>
      </c>
      <c r="CC98" s="415">
        <v>0</v>
      </c>
      <c r="CD98" s="34">
        <v>327.97</v>
      </c>
      <c r="CE98" s="65">
        <f t="shared" si="51"/>
        <v>8105.4514736431584</v>
      </c>
      <c r="CF98" s="407"/>
      <c r="CG98" s="5">
        <v>7511.5636956533199</v>
      </c>
      <c r="CH98" s="407">
        <v>1319.1592469729462</v>
      </c>
      <c r="CI98" s="415">
        <v>0</v>
      </c>
      <c r="CJ98" s="34">
        <v>327.97</v>
      </c>
      <c r="CK98" s="65">
        <f t="shared" si="52"/>
        <v>9158.692942626265</v>
      </c>
      <c r="CL98" s="407"/>
      <c r="CM98" s="41">
        <f>AU98/'1. Väestöennuste'!L98*1000</f>
        <v>3356.7094230052994</v>
      </c>
      <c r="CN98" s="41">
        <f>BC98/'1. Väestöennuste'!M98*1000</f>
        <v>737.0130924605819</v>
      </c>
      <c r="CO98" s="41">
        <f>BK98/'1. Väestöennuste'!N98*1000</f>
        <v>771.238139916622</v>
      </c>
      <c r="CP98" s="41">
        <f>BQ98/'1. Väestöennuste'!O98*1000</f>
        <v>899.41296301074613</v>
      </c>
      <c r="CQ98" s="41">
        <f>BY98/'1. Väestöennuste'!P98*1000</f>
        <v>943.81724510763377</v>
      </c>
      <c r="CR98" s="41">
        <f>CE98/'1. Väestöennuste'!Q98*1000</f>
        <v>933.91536739752939</v>
      </c>
      <c r="CS98" s="41">
        <f>CK98/'1. Väestöennuste'!R98*1000</f>
        <v>1067.0736272429529</v>
      </c>
      <c r="CT98" s="41"/>
      <c r="CV98" s="41">
        <f t="shared" si="53"/>
        <v>8830.7229426262656</v>
      </c>
      <c r="CW98" s="41">
        <f t="shared" si="54"/>
        <v>-5801.983519620966</v>
      </c>
      <c r="CX98" s="41">
        <f t="shared" si="55"/>
        <v>-2619.6963305447175</v>
      </c>
      <c r="CY98" s="41">
        <f t="shared" si="56"/>
        <v>34.225047456040102</v>
      </c>
      <c r="CZ98" s="41">
        <f t="shared" si="57"/>
        <v>128.17482309412412</v>
      </c>
      <c r="DA98" s="41">
        <f t="shared" si="58"/>
        <v>44.404282096887641</v>
      </c>
      <c r="DB98" s="41">
        <f t="shared" si="59"/>
        <v>-9.9018777101043725</v>
      </c>
      <c r="DC98" s="41">
        <f t="shared" si="60"/>
        <v>133.15825984542346</v>
      </c>
      <c r="DD98" s="41"/>
      <c r="DE98" s="283">
        <f t="shared" si="61"/>
        <v>26.925398489576075</v>
      </c>
      <c r="DF98" s="283">
        <f t="shared" si="62"/>
        <v>-0.63349470890299775</v>
      </c>
      <c r="DG98" s="283">
        <f t="shared" si="63"/>
        <v>-0.78043583772564806</v>
      </c>
      <c r="DH98" s="283">
        <f t="shared" si="64"/>
        <v>4.6437502679602102E-2</v>
      </c>
      <c r="DI98" s="283">
        <f t="shared" si="65"/>
        <v>0.16619357428041748</v>
      </c>
      <c r="DJ98" s="283">
        <f t="shared" si="66"/>
        <v>4.9370293650478667E-2</v>
      </c>
      <c r="DK98" s="283">
        <f t="shared" si="67"/>
        <v>-1.0491308313586868E-2</v>
      </c>
      <c r="DL98" s="283">
        <f t="shared" si="68"/>
        <v>0.14258064969686216</v>
      </c>
    </row>
    <row r="99" spans="1:116" x14ac:dyDescent="0.2">
      <c r="A99" s="30">
        <v>250</v>
      </c>
      <c r="B99" s="31" t="s">
        <v>413</v>
      </c>
      <c r="C99" s="65"/>
      <c r="D99" s="65"/>
      <c r="E99" s="65"/>
      <c r="F99" s="65"/>
      <c r="G99" s="65"/>
      <c r="H99" s="65">
        <v>6711</v>
      </c>
      <c r="I99" s="65"/>
      <c r="J99" s="65"/>
      <c r="K99" s="65"/>
      <c r="L99" s="65"/>
      <c r="M99" s="65"/>
      <c r="N99" s="65">
        <v>6915</v>
      </c>
      <c r="O99" s="65"/>
      <c r="P99" s="65"/>
      <c r="Q99" s="65"/>
      <c r="R99" s="65"/>
      <c r="S99" s="65"/>
      <c r="T99" s="65">
        <v>6695</v>
      </c>
      <c r="U99" s="65"/>
      <c r="V99" s="65"/>
      <c r="W99" s="65"/>
      <c r="X99" s="65"/>
      <c r="Y99" s="65"/>
      <c r="Z99" s="65">
        <v>6889</v>
      </c>
      <c r="AA99" s="65"/>
      <c r="AB99" s="66">
        <v>6486.9727336119931</v>
      </c>
      <c r="AC99" s="34">
        <v>28.193296940703807</v>
      </c>
      <c r="AD99" s="180">
        <v>1238.1238983806763</v>
      </c>
      <c r="AE99" s="65">
        <v>260</v>
      </c>
      <c r="AF99" s="34">
        <v>-369.71100000000001</v>
      </c>
      <c r="AG99" s="65">
        <f t="shared" si="47"/>
        <v>7643.5789289333725</v>
      </c>
      <c r="AH99" s="65"/>
      <c r="AI99" s="66">
        <v>6236.1868881564897</v>
      </c>
      <c r="AJ99" s="34">
        <v>-21.578972945280061</v>
      </c>
      <c r="AK99" s="181">
        <v>1317.3915550613351</v>
      </c>
      <c r="AL99" s="65">
        <v>0</v>
      </c>
      <c r="AM99" s="34">
        <v>-398.11900000000003</v>
      </c>
      <c r="AN99" s="65">
        <f t="shared" si="48"/>
        <v>7133.8804702725456</v>
      </c>
      <c r="AO99" s="65"/>
      <c r="AP99" s="41">
        <v>6171.0782206002996</v>
      </c>
      <c r="AQ99" s="41">
        <v>-6.5861665063229999</v>
      </c>
      <c r="AR99" s="41">
        <v>1469.3239254787536</v>
      </c>
      <c r="AS99" s="65">
        <v>0</v>
      </c>
      <c r="AT99" s="34">
        <v>-375.21100000000001</v>
      </c>
      <c r="AU99" s="65">
        <f t="shared" si="49"/>
        <v>7258.6049795727295</v>
      </c>
      <c r="AV99" s="65"/>
      <c r="AW99" s="41">
        <v>1177.7512560283728</v>
      </c>
      <c r="AX99" s="314"/>
      <c r="AY99" s="314"/>
      <c r="AZ99" s="41">
        <v>443.55578617089617</v>
      </c>
      <c r="BA99" s="65">
        <v>0</v>
      </c>
      <c r="BB99" s="34">
        <v>-371.32299999999998</v>
      </c>
      <c r="BC99" s="65">
        <f t="shared" si="69"/>
        <v>1249.984042199269</v>
      </c>
      <c r="BD99" s="65"/>
      <c r="BE99" s="41">
        <v>849.6321486945692</v>
      </c>
      <c r="BF99" s="314"/>
      <c r="BG99" s="314"/>
      <c r="BH99" s="41">
        <v>441.29216868401033</v>
      </c>
      <c r="BI99" s="65">
        <v>0</v>
      </c>
      <c r="BJ99" s="34">
        <v>-356.791</v>
      </c>
      <c r="BK99" s="65">
        <f t="shared" si="70"/>
        <v>934.13331737857948</v>
      </c>
      <c r="BL99" s="65"/>
      <c r="BM99" s="41">
        <v>1123.6931348875617</v>
      </c>
      <c r="BN99" s="41">
        <v>330.32412863520779</v>
      </c>
      <c r="BO99" s="65">
        <v>0</v>
      </c>
      <c r="BP99" s="34">
        <v>-356.791</v>
      </c>
      <c r="BQ99" s="65">
        <f t="shared" si="50"/>
        <v>1097.2262635227696</v>
      </c>
      <c r="BR99" s="65"/>
      <c r="BS99" s="41">
        <v>1097.774920480975</v>
      </c>
      <c r="BT99" s="314"/>
      <c r="BU99" s="314"/>
      <c r="BV99" s="41">
        <v>349.97767888978217</v>
      </c>
      <c r="BW99" s="65">
        <v>0</v>
      </c>
      <c r="BX99" s="34">
        <v>-356.791</v>
      </c>
      <c r="BY99" s="65">
        <f t="shared" si="71"/>
        <v>1090.9615993707573</v>
      </c>
      <c r="CA99" s="5">
        <v>1105.6885042082251</v>
      </c>
      <c r="CB99" s="407">
        <v>370.1937093705256</v>
      </c>
      <c r="CC99" s="415">
        <v>0</v>
      </c>
      <c r="CD99" s="34">
        <v>-356.791</v>
      </c>
      <c r="CE99" s="65">
        <f t="shared" si="51"/>
        <v>1119.0912135787507</v>
      </c>
      <c r="CF99" s="407"/>
      <c r="CG99" s="5">
        <v>1326.6127962038711</v>
      </c>
      <c r="CH99" s="407">
        <v>388.0952373080496</v>
      </c>
      <c r="CI99" s="415">
        <v>0</v>
      </c>
      <c r="CJ99" s="34">
        <v>-356.791</v>
      </c>
      <c r="CK99" s="65">
        <f t="shared" si="52"/>
        <v>1357.9170335119209</v>
      </c>
      <c r="CL99" s="407"/>
      <c r="CM99" s="41">
        <f>AU99/'1. Väestöennuste'!L99*1000</f>
        <v>4098.5911798829648</v>
      </c>
      <c r="CN99" s="41">
        <f>BC99/'1. Väestöennuste'!M99*1000</f>
        <v>714.68498696356141</v>
      </c>
      <c r="CO99" s="41">
        <f>BK99/'1. Väestöennuste'!N99*1000</f>
        <v>559.36126789136495</v>
      </c>
      <c r="CP99" s="41">
        <f>BQ99/'1. Väestöennuste'!O99*1000</f>
        <v>669.85730373795457</v>
      </c>
      <c r="CQ99" s="41">
        <f>BY99/'1. Väestöennuste'!P99*1000</f>
        <v>678.880895688088</v>
      </c>
      <c r="CR99" s="41">
        <f>CE99/'1. Väestöennuste'!Q99*1000</f>
        <v>709.18327856701569</v>
      </c>
      <c r="CS99" s="41">
        <f>CK99/'1. Väestöennuste'!R99*1000</f>
        <v>877.77442373104134</v>
      </c>
      <c r="CT99" s="41"/>
      <c r="CV99" s="41">
        <f t="shared" si="53"/>
        <v>1714.7080335119208</v>
      </c>
      <c r="CW99" s="41">
        <f t="shared" si="54"/>
        <v>2740.6741463710441</v>
      </c>
      <c r="CX99" s="41">
        <f t="shared" si="55"/>
        <v>-3383.9061929194031</v>
      </c>
      <c r="CY99" s="41">
        <f t="shared" si="56"/>
        <v>-155.32371907219647</v>
      </c>
      <c r="CZ99" s="41">
        <f t="shared" si="57"/>
        <v>110.49603584658962</v>
      </c>
      <c r="DA99" s="41">
        <f t="shared" si="58"/>
        <v>9.0235919501334365</v>
      </c>
      <c r="DB99" s="41">
        <f t="shared" si="59"/>
        <v>30.302382878927688</v>
      </c>
      <c r="DC99" s="41">
        <f t="shared" si="60"/>
        <v>168.59114516402565</v>
      </c>
      <c r="DD99" s="41"/>
      <c r="DE99" s="283">
        <f t="shared" si="61"/>
        <v>-4.805917283541123</v>
      </c>
      <c r="DF99" s="283">
        <f t="shared" si="62"/>
        <v>2.0182927813218159</v>
      </c>
      <c r="DG99" s="283">
        <f t="shared" si="63"/>
        <v>-0.82562667131295353</v>
      </c>
      <c r="DH99" s="283">
        <f t="shared" si="64"/>
        <v>-0.21733172223487007</v>
      </c>
      <c r="DI99" s="283">
        <f t="shared" si="65"/>
        <v>0.19753966209195833</v>
      </c>
      <c r="DJ99" s="283">
        <f t="shared" si="66"/>
        <v>1.3470916715813595E-2</v>
      </c>
      <c r="DK99" s="283">
        <f t="shared" si="67"/>
        <v>4.4635786735778359E-2</v>
      </c>
      <c r="DL99" s="283">
        <f t="shared" si="68"/>
        <v>0.23772577591604099</v>
      </c>
    </row>
    <row r="100" spans="1:116" x14ac:dyDescent="0.2">
      <c r="A100" s="30">
        <v>256</v>
      </c>
      <c r="B100" s="31" t="s">
        <v>414</v>
      </c>
      <c r="C100" s="65"/>
      <c r="D100" s="65"/>
      <c r="E100" s="65"/>
      <c r="F100" s="65"/>
      <c r="G100" s="65"/>
      <c r="H100" s="65">
        <v>7216</v>
      </c>
      <c r="I100" s="65"/>
      <c r="J100" s="65"/>
      <c r="K100" s="65"/>
      <c r="L100" s="65"/>
      <c r="M100" s="65"/>
      <c r="N100" s="65">
        <v>7128</v>
      </c>
      <c r="O100" s="65"/>
      <c r="P100" s="65"/>
      <c r="Q100" s="65"/>
      <c r="R100" s="65"/>
      <c r="S100" s="65"/>
      <c r="T100" s="65">
        <v>6580</v>
      </c>
      <c r="U100" s="65"/>
      <c r="V100" s="65"/>
      <c r="W100" s="65"/>
      <c r="X100" s="65"/>
      <c r="Y100" s="65"/>
      <c r="Z100" s="65">
        <v>6533</v>
      </c>
      <c r="AA100" s="65"/>
      <c r="AB100" s="66">
        <v>6206.2546035493378</v>
      </c>
      <c r="AC100" s="34">
        <v>23.586492293286959</v>
      </c>
      <c r="AD100" s="180">
        <v>941.46575291773593</v>
      </c>
      <c r="AE100" s="65">
        <v>0</v>
      </c>
      <c r="AF100" s="34">
        <v>171.30099999999999</v>
      </c>
      <c r="AG100" s="65">
        <f t="shared" si="47"/>
        <v>7342.6078487603609</v>
      </c>
      <c r="AH100" s="65"/>
      <c r="AI100" s="66">
        <v>6146.1243485107434</v>
      </c>
      <c r="AJ100" s="34">
        <v>-18.010846327292516</v>
      </c>
      <c r="AK100" s="181">
        <v>995.05421623133293</v>
      </c>
      <c r="AL100" s="65">
        <v>250</v>
      </c>
      <c r="AM100" s="34">
        <v>296.47300000000001</v>
      </c>
      <c r="AN100" s="65">
        <f t="shared" si="48"/>
        <v>7669.6407184147838</v>
      </c>
      <c r="AO100" s="65"/>
      <c r="AP100" s="41">
        <v>6466.8202152313179</v>
      </c>
      <c r="AQ100" s="41">
        <v>-5.493027205714033</v>
      </c>
      <c r="AR100" s="41">
        <v>1094.689296206468</v>
      </c>
      <c r="AS100" s="65">
        <v>0</v>
      </c>
      <c r="AT100" s="34">
        <v>252.93700000000001</v>
      </c>
      <c r="AU100" s="65">
        <f t="shared" si="49"/>
        <v>7808.9534842320718</v>
      </c>
      <c r="AV100" s="65"/>
      <c r="AW100" s="41">
        <v>1502.6315977700378</v>
      </c>
      <c r="AX100" s="314"/>
      <c r="AY100" s="314"/>
      <c r="AZ100" s="41">
        <v>342.0789153343465</v>
      </c>
      <c r="BA100" s="65">
        <v>110</v>
      </c>
      <c r="BB100" s="34">
        <v>184.477</v>
      </c>
      <c r="BC100" s="65">
        <f t="shared" si="69"/>
        <v>2139.1875131043844</v>
      </c>
      <c r="BD100" s="65"/>
      <c r="BE100" s="41">
        <v>1425.6006713250442</v>
      </c>
      <c r="BF100" s="314"/>
      <c r="BG100" s="314"/>
      <c r="BH100" s="41">
        <v>343.31521196814117</v>
      </c>
      <c r="BI100" s="65">
        <v>0</v>
      </c>
      <c r="BJ100" s="34">
        <v>373.87299999999999</v>
      </c>
      <c r="BK100" s="65">
        <f t="shared" si="70"/>
        <v>2142.7888832931853</v>
      </c>
      <c r="BL100" s="65"/>
      <c r="BM100" s="41">
        <v>1811.9489116537143</v>
      </c>
      <c r="BN100" s="41">
        <v>253.07985278903635</v>
      </c>
      <c r="BO100" s="65">
        <v>0</v>
      </c>
      <c r="BP100" s="34">
        <v>373.87299999999999</v>
      </c>
      <c r="BQ100" s="65">
        <f t="shared" si="50"/>
        <v>2438.9017644427508</v>
      </c>
      <c r="BR100" s="65"/>
      <c r="BS100" s="41">
        <v>1813.3525628284888</v>
      </c>
      <c r="BT100" s="314"/>
      <c r="BU100" s="314"/>
      <c r="BV100" s="41">
        <v>270.01018395929771</v>
      </c>
      <c r="BW100" s="65">
        <v>0</v>
      </c>
      <c r="BX100" s="34">
        <v>373.87299999999999</v>
      </c>
      <c r="BY100" s="65">
        <f t="shared" si="71"/>
        <v>2457.2357467877864</v>
      </c>
      <c r="CA100" s="5">
        <v>1858.9482375232396</v>
      </c>
      <c r="CB100" s="407">
        <v>286.59446759255326</v>
      </c>
      <c r="CC100" s="415">
        <v>0</v>
      </c>
      <c r="CD100" s="34">
        <v>373.87299999999999</v>
      </c>
      <c r="CE100" s="65">
        <f t="shared" si="51"/>
        <v>2519.4157051157931</v>
      </c>
      <c r="CF100" s="407"/>
      <c r="CG100" s="5">
        <v>2123.9344843990698</v>
      </c>
      <c r="CH100" s="407">
        <v>301.19802230436193</v>
      </c>
      <c r="CI100" s="415">
        <v>0</v>
      </c>
      <c r="CJ100" s="34">
        <v>373.87299999999999</v>
      </c>
      <c r="CK100" s="65">
        <f t="shared" si="52"/>
        <v>2799.0055067034318</v>
      </c>
      <c r="CL100" s="407"/>
      <c r="CM100" s="41">
        <f>AU100/'1. Väestöennuste'!L100*1000</f>
        <v>5025.066592169931</v>
      </c>
      <c r="CN100" s="41">
        <f>BC100/'1. Väestöennuste'!M100*1000</f>
        <v>1404.5879928459517</v>
      </c>
      <c r="CO100" s="41">
        <f>BK100/'1. Väestöennuste'!N100*1000</f>
        <v>1432.3455102227174</v>
      </c>
      <c r="CP100" s="41">
        <f>BQ100/'1. Väestöennuste'!O100*1000</f>
        <v>1654.6144941945392</v>
      </c>
      <c r="CQ100" s="41">
        <f>BY100/'1. Väestöennuste'!P100*1000</f>
        <v>1694.6453426122664</v>
      </c>
      <c r="CR100" s="41">
        <f>CE100/'1. Väestöennuste'!Q100*1000</f>
        <v>1764.2967122659616</v>
      </c>
      <c r="CS100" s="41">
        <f>CK100/'1. Väestöennuste'!R100*1000</f>
        <v>1986.5191672841956</v>
      </c>
      <c r="CT100" s="41"/>
      <c r="CV100" s="41">
        <f t="shared" si="53"/>
        <v>2425.1325067034318</v>
      </c>
      <c r="CW100" s="41">
        <f t="shared" si="54"/>
        <v>2226.0610854664992</v>
      </c>
      <c r="CX100" s="41">
        <f t="shared" si="55"/>
        <v>-3620.4785993239793</v>
      </c>
      <c r="CY100" s="41">
        <f t="shared" si="56"/>
        <v>27.757517376765691</v>
      </c>
      <c r="CZ100" s="41">
        <f t="shared" si="57"/>
        <v>222.26898397182185</v>
      </c>
      <c r="DA100" s="41">
        <f t="shared" si="58"/>
        <v>40.030848417727157</v>
      </c>
      <c r="DB100" s="41">
        <f t="shared" si="59"/>
        <v>69.651369653695156</v>
      </c>
      <c r="DC100" s="41">
        <f t="shared" si="60"/>
        <v>222.22245501823409</v>
      </c>
      <c r="DD100" s="41"/>
      <c r="DE100" s="283">
        <f t="shared" si="61"/>
        <v>6.4865141550832286</v>
      </c>
      <c r="DF100" s="283">
        <f t="shared" si="62"/>
        <v>0.79530428937536246</v>
      </c>
      <c r="DG100" s="283">
        <f t="shared" si="63"/>
        <v>-0.72048370562201436</v>
      </c>
      <c r="DH100" s="283">
        <f t="shared" si="64"/>
        <v>1.9762035214699433E-2</v>
      </c>
      <c r="DI100" s="283">
        <f t="shared" si="65"/>
        <v>0.15517832979925419</v>
      </c>
      <c r="DJ100" s="283">
        <f t="shared" si="66"/>
        <v>2.4193459297124093E-2</v>
      </c>
      <c r="DK100" s="283">
        <f t="shared" si="67"/>
        <v>4.1100853318564445E-2</v>
      </c>
      <c r="DL100" s="283">
        <f t="shared" si="68"/>
        <v>0.12595526221483705</v>
      </c>
    </row>
    <row r="101" spans="1:116" x14ac:dyDescent="0.2">
      <c r="A101" s="30">
        <v>257</v>
      </c>
      <c r="B101" s="31" t="s">
        <v>415</v>
      </c>
      <c r="C101" s="65"/>
      <c r="D101" s="65"/>
      <c r="E101" s="65"/>
      <c r="F101" s="65"/>
      <c r="G101" s="65"/>
      <c r="H101" s="65">
        <v>23966</v>
      </c>
      <c r="I101" s="65"/>
      <c r="J101" s="65"/>
      <c r="K101" s="65"/>
      <c r="L101" s="65"/>
      <c r="M101" s="65"/>
      <c r="N101" s="65">
        <v>22344</v>
      </c>
      <c r="O101" s="65"/>
      <c r="P101" s="65"/>
      <c r="Q101" s="65"/>
      <c r="R101" s="65"/>
      <c r="S101" s="65"/>
      <c r="T101" s="65">
        <v>21466</v>
      </c>
      <c r="U101" s="65"/>
      <c r="V101" s="65"/>
      <c r="W101" s="65"/>
      <c r="X101" s="65"/>
      <c r="Y101" s="65"/>
      <c r="Z101" s="65">
        <v>22202</v>
      </c>
      <c r="AA101" s="65"/>
      <c r="AB101" s="66">
        <v>32437.737450481673</v>
      </c>
      <c r="AC101" s="34">
        <v>970.91092458001106</v>
      </c>
      <c r="AD101" s="180">
        <v>11272.478306123923</v>
      </c>
      <c r="AE101" s="65">
        <v>0</v>
      </c>
      <c r="AF101" s="34">
        <v>-2743.9879999999998</v>
      </c>
      <c r="AG101" s="65">
        <f t="shared" si="47"/>
        <v>41937.138681185606</v>
      </c>
      <c r="AH101" s="65"/>
      <c r="AI101" s="66">
        <v>22276.166532374908</v>
      </c>
      <c r="AJ101" s="34">
        <v>-757.54490152590392</v>
      </c>
      <c r="AK101" s="181">
        <v>12352.844201703625</v>
      </c>
      <c r="AL101" s="65">
        <v>2200</v>
      </c>
      <c r="AM101" s="34">
        <v>-2567.7170000000001</v>
      </c>
      <c r="AN101" s="65">
        <f t="shared" si="48"/>
        <v>33503.748832552628</v>
      </c>
      <c r="AO101" s="65"/>
      <c r="AP101" s="41">
        <v>23784.755063564702</v>
      </c>
      <c r="AQ101" s="41">
        <v>-234.92635286566019</v>
      </c>
      <c r="AR101" s="41">
        <v>14608.276029407758</v>
      </c>
      <c r="AS101" s="65">
        <v>0</v>
      </c>
      <c r="AT101" s="34">
        <v>-2548.7840000000001</v>
      </c>
      <c r="AU101" s="65">
        <f t="shared" si="49"/>
        <v>35609.320740106799</v>
      </c>
      <c r="AV101" s="65"/>
      <c r="AW101" s="41">
        <v>34835.986380475435</v>
      </c>
      <c r="AX101" s="314"/>
      <c r="AY101" s="314"/>
      <c r="AZ101" s="41">
        <v>4555.7957102232003</v>
      </c>
      <c r="BA101" s="65">
        <v>0</v>
      </c>
      <c r="BB101" s="34">
        <v>-1716.33</v>
      </c>
      <c r="BC101" s="65">
        <f t="shared" si="69"/>
        <v>37675.452090698636</v>
      </c>
      <c r="BD101" s="65"/>
      <c r="BE101" s="41">
        <v>34564.781990954951</v>
      </c>
      <c r="BF101" s="314"/>
      <c r="BG101" s="314"/>
      <c r="BH101" s="41">
        <v>4500.3875614631634</v>
      </c>
      <c r="BI101" s="65">
        <v>0</v>
      </c>
      <c r="BJ101" s="34">
        <v>-2487.6149999999998</v>
      </c>
      <c r="BK101" s="65">
        <f t="shared" si="70"/>
        <v>36577.554552418114</v>
      </c>
      <c r="BL101" s="65"/>
      <c r="BM101" s="41">
        <v>38730.023744807411</v>
      </c>
      <c r="BN101" s="41">
        <v>2639.8392496085344</v>
      </c>
      <c r="BO101" s="65">
        <v>0</v>
      </c>
      <c r="BP101" s="34">
        <v>-2487.6149999999998</v>
      </c>
      <c r="BQ101" s="65">
        <f t="shared" si="50"/>
        <v>38882.24799441595</v>
      </c>
      <c r="BR101" s="65"/>
      <c r="BS101" s="41">
        <v>38725.450803554995</v>
      </c>
      <c r="BT101" s="314"/>
      <c r="BU101" s="314"/>
      <c r="BV101" s="41">
        <v>2722.0808957168756</v>
      </c>
      <c r="BW101" s="65">
        <v>0</v>
      </c>
      <c r="BX101" s="34">
        <v>-2487.6149999999998</v>
      </c>
      <c r="BY101" s="65">
        <f t="shared" si="71"/>
        <v>38959.916699271875</v>
      </c>
      <c r="CA101" s="5">
        <v>38670.763020679413</v>
      </c>
      <c r="CB101" s="407">
        <v>2973.7761508489716</v>
      </c>
      <c r="CC101" s="415">
        <v>0</v>
      </c>
      <c r="CD101" s="34">
        <v>-2487.6149999999998</v>
      </c>
      <c r="CE101" s="65">
        <f t="shared" si="51"/>
        <v>39156.924171528386</v>
      </c>
      <c r="CF101" s="407"/>
      <c r="CG101" s="5">
        <v>39688.539745810231</v>
      </c>
      <c r="CH101" s="407">
        <v>3172.7948036938578</v>
      </c>
      <c r="CI101" s="415">
        <v>0</v>
      </c>
      <c r="CJ101" s="34">
        <v>-2487.6149999999998</v>
      </c>
      <c r="CK101" s="65">
        <f t="shared" si="52"/>
        <v>40373.719549504087</v>
      </c>
      <c r="CL101" s="407"/>
      <c r="CM101" s="41">
        <f>AU101/'1. Väestöennuste'!L101*1000</f>
        <v>874.44921025752171</v>
      </c>
      <c r="CN101" s="41">
        <f>BC101/'1. Väestöennuste'!M101*1000</f>
        <v>915.47485276519012</v>
      </c>
      <c r="CO101" s="41">
        <f>BK101/'1. Väestöennuste'!N101*1000</f>
        <v>882.17337270381097</v>
      </c>
      <c r="CP101" s="41">
        <f>BQ101/'1. Väestöennuste'!O101*1000</f>
        <v>931.06601840032442</v>
      </c>
      <c r="CQ101" s="41">
        <f>BY101/'1. Väestöennuste'!P101*1000</f>
        <v>926.71241643328824</v>
      </c>
      <c r="CR101" s="41">
        <f>CE101/'1. Väestöennuste'!Q101*1000</f>
        <v>925.58619953973255</v>
      </c>
      <c r="CS101" s="41">
        <f>CK101/'1. Väestöennuste'!R101*1000</f>
        <v>948.60833978299581</v>
      </c>
      <c r="CT101" s="41"/>
      <c r="CV101" s="41">
        <f t="shared" si="53"/>
        <v>42861.334549504085</v>
      </c>
      <c r="CW101" s="41">
        <f t="shared" si="54"/>
        <v>-39499.270339246563</v>
      </c>
      <c r="CX101" s="41">
        <f t="shared" si="55"/>
        <v>41.025642507668408</v>
      </c>
      <c r="CY101" s="41">
        <f t="shared" si="56"/>
        <v>-33.301480061379152</v>
      </c>
      <c r="CZ101" s="41">
        <f t="shared" si="57"/>
        <v>48.892645696513455</v>
      </c>
      <c r="DA101" s="41">
        <f t="shared" si="58"/>
        <v>-4.3536019670361839</v>
      </c>
      <c r="DB101" s="41">
        <f t="shared" si="59"/>
        <v>-1.1262168935556929</v>
      </c>
      <c r="DC101" s="41">
        <f t="shared" si="60"/>
        <v>23.022140243263266</v>
      </c>
      <c r="DD101" s="41"/>
      <c r="DE101" s="283">
        <f t="shared" si="61"/>
        <v>-17.229890698321118</v>
      </c>
      <c r="DF101" s="283">
        <f t="shared" si="62"/>
        <v>-0.97834112833757314</v>
      </c>
      <c r="DG101" s="283">
        <f t="shared" si="63"/>
        <v>4.6915980969994268E-2</v>
      </c>
      <c r="DH101" s="283">
        <f t="shared" si="64"/>
        <v>-3.6376182219306288E-2</v>
      </c>
      <c r="DI101" s="283">
        <f t="shared" si="65"/>
        <v>5.542294429796752E-2</v>
      </c>
      <c r="DJ101" s="283">
        <f t="shared" si="66"/>
        <v>-4.6759326202412141E-3</v>
      </c>
      <c r="DK101" s="283">
        <f t="shared" si="67"/>
        <v>-1.2152819726860393E-3</v>
      </c>
      <c r="DL101" s="283">
        <f t="shared" si="68"/>
        <v>2.4873037492036416E-2</v>
      </c>
    </row>
    <row r="102" spans="1:116" x14ac:dyDescent="0.2">
      <c r="A102" s="30">
        <v>260</v>
      </c>
      <c r="B102" s="31" t="s">
        <v>416</v>
      </c>
      <c r="C102" s="65"/>
      <c r="D102" s="65"/>
      <c r="E102" s="65"/>
      <c r="F102" s="65"/>
      <c r="G102" s="65"/>
      <c r="H102" s="65">
        <v>37676</v>
      </c>
      <c r="I102" s="65"/>
      <c r="J102" s="65"/>
      <c r="K102" s="65"/>
      <c r="L102" s="65"/>
      <c r="M102" s="65"/>
      <c r="N102" s="65">
        <v>37912</v>
      </c>
      <c r="O102" s="65"/>
      <c r="P102" s="65"/>
      <c r="Q102" s="65"/>
      <c r="R102" s="65"/>
      <c r="S102" s="65"/>
      <c r="T102" s="65">
        <v>37145</v>
      </c>
      <c r="U102" s="65"/>
      <c r="V102" s="65"/>
      <c r="W102" s="65"/>
      <c r="X102" s="65"/>
      <c r="Y102" s="65"/>
      <c r="Z102" s="65">
        <v>37168</v>
      </c>
      <c r="AA102" s="65"/>
      <c r="AB102" s="66">
        <v>36810.097607084608</v>
      </c>
      <c r="AC102" s="34">
        <v>160.32448864211779</v>
      </c>
      <c r="AD102" s="180">
        <v>5960.7415997347643</v>
      </c>
      <c r="AE102" s="65">
        <v>0</v>
      </c>
      <c r="AF102" s="34">
        <v>-803.55700000000002</v>
      </c>
      <c r="AG102" s="65">
        <f t="shared" si="47"/>
        <v>42127.606695461487</v>
      </c>
      <c r="AH102" s="65"/>
      <c r="AI102" s="66">
        <v>35750.238535152588</v>
      </c>
      <c r="AJ102" s="34">
        <v>-124.11887022468632</v>
      </c>
      <c r="AK102" s="181">
        <v>6322.4858496382249</v>
      </c>
      <c r="AL102" s="65">
        <v>0</v>
      </c>
      <c r="AM102" s="34">
        <v>-953.79200000000003</v>
      </c>
      <c r="AN102" s="65">
        <f t="shared" si="48"/>
        <v>40994.813514566122</v>
      </c>
      <c r="AO102" s="65"/>
      <c r="AP102" s="41">
        <v>38023.761869892995</v>
      </c>
      <c r="AQ102" s="41">
        <v>-38.200749777041388</v>
      </c>
      <c r="AR102" s="41">
        <v>6994.9091348532602</v>
      </c>
      <c r="AS102" s="65">
        <v>0</v>
      </c>
      <c r="AT102" s="34">
        <v>-1126.9570000000001</v>
      </c>
      <c r="AU102" s="65">
        <f t="shared" si="49"/>
        <v>43853.513254969213</v>
      </c>
      <c r="AV102" s="65"/>
      <c r="AW102" s="41">
        <v>13521.28453586242</v>
      </c>
      <c r="AX102" s="314"/>
      <c r="AY102" s="314"/>
      <c r="AZ102" s="41">
        <v>2114.2612532293942</v>
      </c>
      <c r="BA102" s="65">
        <v>0</v>
      </c>
      <c r="BB102" s="34">
        <v>-924.22699999999998</v>
      </c>
      <c r="BC102" s="65">
        <f t="shared" si="69"/>
        <v>14711.318789091814</v>
      </c>
      <c r="BD102" s="65"/>
      <c r="BE102" s="41">
        <v>10524.688455097732</v>
      </c>
      <c r="BF102" s="314"/>
      <c r="BG102" s="314"/>
      <c r="BH102" s="41">
        <v>2104.5209135542741</v>
      </c>
      <c r="BI102" s="65">
        <v>0</v>
      </c>
      <c r="BJ102" s="34">
        <v>-106.48399999999999</v>
      </c>
      <c r="BK102" s="65">
        <f t="shared" si="70"/>
        <v>12522.725368652005</v>
      </c>
      <c r="BL102" s="65"/>
      <c r="BM102" s="41">
        <v>12376.17477294048</v>
      </c>
      <c r="BN102" s="41">
        <v>1618.8255120864808</v>
      </c>
      <c r="BO102" s="65">
        <v>0</v>
      </c>
      <c r="BP102" s="34">
        <v>-106.48399999999999</v>
      </c>
      <c r="BQ102" s="65">
        <f t="shared" si="50"/>
        <v>13888.516285026961</v>
      </c>
      <c r="BR102" s="65"/>
      <c r="BS102" s="41">
        <v>12612.789295244451</v>
      </c>
      <c r="BT102" s="314"/>
      <c r="BU102" s="314"/>
      <c r="BV102" s="41">
        <v>1715.4291362098083</v>
      </c>
      <c r="BW102" s="65">
        <v>0</v>
      </c>
      <c r="BX102" s="34">
        <v>-106.48399999999999</v>
      </c>
      <c r="BY102" s="65">
        <f t="shared" si="71"/>
        <v>14221.734431454259</v>
      </c>
      <c r="CA102" s="5">
        <v>12431.764901614784</v>
      </c>
      <c r="CB102" s="407">
        <v>1812.8514092095511</v>
      </c>
      <c r="CC102" s="415">
        <v>0</v>
      </c>
      <c r="CD102" s="34">
        <v>-106.48399999999999</v>
      </c>
      <c r="CE102" s="65">
        <f t="shared" si="51"/>
        <v>14138.132310824334</v>
      </c>
      <c r="CF102" s="407"/>
      <c r="CG102" s="5">
        <v>13943.223833718775</v>
      </c>
      <c r="CH102" s="407">
        <v>1898.2701436987252</v>
      </c>
      <c r="CI102" s="415">
        <v>0</v>
      </c>
      <c r="CJ102" s="34">
        <v>-106.48399999999999</v>
      </c>
      <c r="CK102" s="65">
        <f t="shared" si="52"/>
        <v>15735.0099774175</v>
      </c>
      <c r="CL102" s="407"/>
      <c r="CM102" s="41">
        <f>AU102/'1. Väestöennuste'!L102*1000</f>
        <v>4508.4315055997959</v>
      </c>
      <c r="CN102" s="41">
        <f>BC102/'1. Väestöennuste'!M102*1000</f>
        <v>1518.3526462061941</v>
      </c>
      <c r="CO102" s="41">
        <f>BK102/'1. Väestöennuste'!N102*1000</f>
        <v>1354.9800225764991</v>
      </c>
      <c r="CP102" s="41">
        <f>BQ102/'1. Väestöennuste'!O102*1000</f>
        <v>1527.5534849347737</v>
      </c>
      <c r="CQ102" s="41">
        <f>BY102/'1. Väestöennuste'!P102*1000</f>
        <v>1589.3757746372662</v>
      </c>
      <c r="CR102" s="41">
        <f>CE102/'1. Väestöennuste'!Q102*1000</f>
        <v>1604.2360502467191</v>
      </c>
      <c r="CS102" s="41">
        <f>CK102/'1. Väestöennuste'!R102*1000</f>
        <v>1811.9541659854331</v>
      </c>
      <c r="CT102" s="41"/>
      <c r="CV102" s="41">
        <f t="shared" si="53"/>
        <v>15841.4939774175</v>
      </c>
      <c r="CW102" s="41">
        <f t="shared" si="54"/>
        <v>-11226.578471817704</v>
      </c>
      <c r="CX102" s="41">
        <f t="shared" si="55"/>
        <v>-2990.0788593936018</v>
      </c>
      <c r="CY102" s="41">
        <f t="shared" si="56"/>
        <v>-163.372623629695</v>
      </c>
      <c r="CZ102" s="41">
        <f t="shared" si="57"/>
        <v>172.57346235827458</v>
      </c>
      <c r="DA102" s="41">
        <f t="shared" si="58"/>
        <v>61.822289702492526</v>
      </c>
      <c r="DB102" s="41">
        <f t="shared" si="59"/>
        <v>14.860275609452856</v>
      </c>
      <c r="DC102" s="41">
        <f t="shared" si="60"/>
        <v>207.718115738714</v>
      </c>
      <c r="DD102" s="41"/>
      <c r="DE102" s="283">
        <f t="shared" si="61"/>
        <v>-148.7687725613003</v>
      </c>
      <c r="DF102" s="283">
        <f t="shared" si="62"/>
        <v>-0.71347768370848275</v>
      </c>
      <c r="DG102" s="283">
        <f t="shared" si="63"/>
        <v>-0.66321931600373851</v>
      </c>
      <c r="DH102" s="283">
        <f t="shared" si="64"/>
        <v>-0.1075986030240756</v>
      </c>
      <c r="DI102" s="283">
        <f t="shared" si="65"/>
        <v>0.12736236659056091</v>
      </c>
      <c r="DJ102" s="283">
        <f t="shared" si="66"/>
        <v>4.047144032088168E-2</v>
      </c>
      <c r="DK102" s="283">
        <f t="shared" si="67"/>
        <v>9.3497559523608113E-3</v>
      </c>
      <c r="DL102" s="283">
        <f t="shared" si="68"/>
        <v>0.12948101727720715</v>
      </c>
    </row>
    <row r="103" spans="1:116" x14ac:dyDescent="0.2">
      <c r="A103" s="30">
        <v>261</v>
      </c>
      <c r="B103" s="31" t="s">
        <v>417</v>
      </c>
      <c r="C103" s="65"/>
      <c r="D103" s="65"/>
      <c r="E103" s="65"/>
      <c r="F103" s="65"/>
      <c r="G103" s="65"/>
      <c r="H103" s="65">
        <v>21584</v>
      </c>
      <c r="I103" s="65"/>
      <c r="J103" s="65"/>
      <c r="K103" s="65"/>
      <c r="L103" s="65"/>
      <c r="M103" s="65"/>
      <c r="N103" s="65">
        <v>20402</v>
      </c>
      <c r="O103" s="65"/>
      <c r="P103" s="65"/>
      <c r="Q103" s="65"/>
      <c r="R103" s="65"/>
      <c r="S103" s="65"/>
      <c r="T103" s="65">
        <v>21114</v>
      </c>
      <c r="U103" s="65"/>
      <c r="V103" s="65"/>
      <c r="W103" s="65"/>
      <c r="X103" s="65"/>
      <c r="Y103" s="65"/>
      <c r="Z103" s="65">
        <v>22867</v>
      </c>
      <c r="AA103" s="65"/>
      <c r="AB103" s="66">
        <v>21604.247233990071</v>
      </c>
      <c r="AC103" s="34">
        <v>143.96837293727924</v>
      </c>
      <c r="AD103" s="180">
        <v>3306.8058386713205</v>
      </c>
      <c r="AE103" s="65">
        <v>0</v>
      </c>
      <c r="AF103" s="34">
        <v>289.39699999999999</v>
      </c>
      <c r="AG103" s="65">
        <f t="shared" si="47"/>
        <v>25344.418445598672</v>
      </c>
      <c r="AH103" s="65"/>
      <c r="AI103" s="66">
        <v>20140.927323120992</v>
      </c>
      <c r="AJ103" s="34">
        <v>-111.49518735143418</v>
      </c>
      <c r="AK103" s="181">
        <v>3562.8330792468123</v>
      </c>
      <c r="AL103" s="65">
        <v>0</v>
      </c>
      <c r="AM103" s="34">
        <v>230.84800000000001</v>
      </c>
      <c r="AN103" s="65">
        <f t="shared" si="48"/>
        <v>23823.113215016372</v>
      </c>
      <c r="AO103" s="65"/>
      <c r="AP103" s="41">
        <v>21366.636261707066</v>
      </c>
      <c r="AQ103" s="41">
        <v>-33.891133290890821</v>
      </c>
      <c r="AR103" s="41">
        <v>4136.0911865265916</v>
      </c>
      <c r="AS103" s="65">
        <v>0</v>
      </c>
      <c r="AT103" s="34">
        <v>221.131</v>
      </c>
      <c r="AU103" s="65">
        <f t="shared" si="49"/>
        <v>25689.967314942769</v>
      </c>
      <c r="AV103" s="65"/>
      <c r="AW103" s="41">
        <v>9153.9554975087176</v>
      </c>
      <c r="AX103" s="314"/>
      <c r="AY103" s="314"/>
      <c r="AZ103" s="41">
        <v>1227.445629831622</v>
      </c>
      <c r="BA103" s="65">
        <v>0</v>
      </c>
      <c r="BB103" s="34">
        <v>299.53300000000002</v>
      </c>
      <c r="BC103" s="65">
        <f t="shared" si="69"/>
        <v>10680.934127340339</v>
      </c>
      <c r="BD103" s="65"/>
      <c r="BE103" s="41">
        <v>10517.230837700976</v>
      </c>
      <c r="BF103" s="314"/>
      <c r="BG103" s="314"/>
      <c r="BH103" s="41">
        <v>1207.171226738629</v>
      </c>
      <c r="BI103" s="65">
        <v>0</v>
      </c>
      <c r="BJ103" s="34">
        <v>76.861000000000004</v>
      </c>
      <c r="BK103" s="65">
        <f t="shared" si="70"/>
        <v>11801.263064439605</v>
      </c>
      <c r="BL103" s="65"/>
      <c r="BM103" s="41">
        <v>11868.1270090118</v>
      </c>
      <c r="BN103" s="41">
        <v>760.64269018472339</v>
      </c>
      <c r="BO103" s="65">
        <v>0</v>
      </c>
      <c r="BP103" s="34">
        <v>76.861000000000004</v>
      </c>
      <c r="BQ103" s="65">
        <f t="shared" si="50"/>
        <v>12705.630699196523</v>
      </c>
      <c r="BR103" s="65"/>
      <c r="BS103" s="41">
        <v>11419.737684009489</v>
      </c>
      <c r="BT103" s="314"/>
      <c r="BU103" s="314"/>
      <c r="BV103" s="41">
        <v>815.28900606963282</v>
      </c>
      <c r="BW103" s="65">
        <v>0</v>
      </c>
      <c r="BX103" s="34">
        <v>76.861000000000004</v>
      </c>
      <c r="BY103" s="65">
        <f t="shared" si="71"/>
        <v>12311.887690079124</v>
      </c>
      <c r="CA103" s="5">
        <v>11510.731114277487</v>
      </c>
      <c r="CB103" s="407">
        <v>872.83347000308186</v>
      </c>
      <c r="CC103" s="415">
        <v>0</v>
      </c>
      <c r="CD103" s="34">
        <v>76.861000000000004</v>
      </c>
      <c r="CE103" s="65">
        <f t="shared" si="51"/>
        <v>12460.425584280569</v>
      </c>
      <c r="CF103" s="407"/>
      <c r="CG103" s="5">
        <v>11825.141964837943</v>
      </c>
      <c r="CH103" s="407">
        <v>922.56582819530161</v>
      </c>
      <c r="CI103" s="415">
        <v>0</v>
      </c>
      <c r="CJ103" s="34">
        <v>76.861000000000004</v>
      </c>
      <c r="CK103" s="65">
        <f t="shared" si="52"/>
        <v>12824.568793033246</v>
      </c>
      <c r="CL103" s="407"/>
      <c r="CM103" s="41">
        <f>AU103/'1. Väestöennuste'!L103*1000</f>
        <v>3870.7198003529866</v>
      </c>
      <c r="CN103" s="41">
        <f>BC103/'1. Väestöennuste'!M103*1000</f>
        <v>1565.6602356113074</v>
      </c>
      <c r="CO103" s="41">
        <f>BK103/'1. Väestöennuste'!N103*1000</f>
        <v>1842.5078945260898</v>
      </c>
      <c r="CP103" s="41">
        <f>BQ103/'1. Väestöennuste'!O103*1000</f>
        <v>1987.4285467224345</v>
      </c>
      <c r="CQ103" s="41">
        <f>BY103/'1. Väestöennuste'!P103*1000</f>
        <v>1930.0654789275941</v>
      </c>
      <c r="CR103" s="41">
        <f>CE103/'1. Väestöennuste'!Q103*1000</f>
        <v>1957.6473816623045</v>
      </c>
      <c r="CS103" s="41">
        <f>CK103/'1. Väestöennuste'!R103*1000</f>
        <v>2018.6634335012195</v>
      </c>
      <c r="CT103" s="41"/>
      <c r="CV103" s="41">
        <f t="shared" si="53"/>
        <v>12747.707793033245</v>
      </c>
      <c r="CW103" s="41">
        <f t="shared" si="54"/>
        <v>-8953.8489926802595</v>
      </c>
      <c r="CX103" s="41">
        <f t="shared" si="55"/>
        <v>-2305.0595647416794</v>
      </c>
      <c r="CY103" s="41">
        <f t="shared" si="56"/>
        <v>276.84765891478241</v>
      </c>
      <c r="CZ103" s="41">
        <f t="shared" si="57"/>
        <v>144.92065219634469</v>
      </c>
      <c r="DA103" s="41">
        <f t="shared" si="58"/>
        <v>-57.36306779484039</v>
      </c>
      <c r="DB103" s="41">
        <f t="shared" si="59"/>
        <v>27.581902734710411</v>
      </c>
      <c r="DC103" s="41">
        <f t="shared" si="60"/>
        <v>61.016051838915018</v>
      </c>
      <c r="DD103" s="41"/>
      <c r="DE103" s="283">
        <f t="shared" si="61"/>
        <v>165.85404552417017</v>
      </c>
      <c r="DF103" s="283">
        <f t="shared" si="62"/>
        <v>-0.69817934132368675</v>
      </c>
      <c r="DG103" s="283">
        <f t="shared" si="63"/>
        <v>-0.59551186436472925</v>
      </c>
      <c r="DH103" s="283">
        <f t="shared" si="64"/>
        <v>0.17682486443598541</v>
      </c>
      <c r="DI103" s="283">
        <f t="shared" si="65"/>
        <v>7.8654019679855774E-2</v>
      </c>
      <c r="DJ103" s="283">
        <f t="shared" si="66"/>
        <v>-2.8862958564945959E-2</v>
      </c>
      <c r="DK103" s="283">
        <f t="shared" si="67"/>
        <v>1.4290656475569832E-2</v>
      </c>
      <c r="DL103" s="283">
        <f t="shared" si="68"/>
        <v>3.1168050186394767E-2</v>
      </c>
    </row>
    <row r="104" spans="1:116" x14ac:dyDescent="0.2">
      <c r="A104" s="30">
        <v>263</v>
      </c>
      <c r="B104" s="31" t="s">
        <v>418</v>
      </c>
      <c r="C104" s="65"/>
      <c r="D104" s="65"/>
      <c r="E104" s="65"/>
      <c r="F104" s="65"/>
      <c r="G104" s="65"/>
      <c r="H104" s="65">
        <v>31263</v>
      </c>
      <c r="I104" s="65"/>
      <c r="J104" s="65"/>
      <c r="K104" s="65"/>
      <c r="L104" s="65"/>
      <c r="M104" s="65"/>
      <c r="N104" s="65">
        <v>31246</v>
      </c>
      <c r="O104" s="65"/>
      <c r="P104" s="65"/>
      <c r="Q104" s="65"/>
      <c r="R104" s="65"/>
      <c r="S104" s="65"/>
      <c r="T104" s="65">
        <v>30688</v>
      </c>
      <c r="U104" s="65"/>
      <c r="V104" s="65"/>
      <c r="W104" s="65"/>
      <c r="X104" s="65"/>
      <c r="Y104" s="65"/>
      <c r="Z104" s="65">
        <v>30052</v>
      </c>
      <c r="AA104" s="65"/>
      <c r="AB104" s="66">
        <v>29678.792039323285</v>
      </c>
      <c r="AC104" s="34">
        <v>121.18893160773418</v>
      </c>
      <c r="AD104" s="180">
        <v>4820.2193582389846</v>
      </c>
      <c r="AE104" s="65">
        <v>900</v>
      </c>
      <c r="AF104" s="34">
        <v>-429.07</v>
      </c>
      <c r="AG104" s="65">
        <f t="shared" si="47"/>
        <v>35091.13032917001</v>
      </c>
      <c r="AH104" s="65"/>
      <c r="AI104" s="66">
        <v>28392.622682774061</v>
      </c>
      <c r="AJ104" s="34">
        <v>-93.519597824315568</v>
      </c>
      <c r="AK104" s="181">
        <v>5130.9088929017971</v>
      </c>
      <c r="AL104" s="65">
        <v>0</v>
      </c>
      <c r="AM104" s="34">
        <v>-288.08499999999998</v>
      </c>
      <c r="AN104" s="65">
        <f t="shared" si="48"/>
        <v>33141.926977851545</v>
      </c>
      <c r="AO104" s="65"/>
      <c r="AP104" s="41">
        <v>28979.367667388658</v>
      </c>
      <c r="AQ104" s="41">
        <v>-28.766672401880484</v>
      </c>
      <c r="AR104" s="41">
        <v>5719.9460988819419</v>
      </c>
      <c r="AS104" s="65">
        <v>0</v>
      </c>
      <c r="AT104" s="34">
        <v>-354.10300000000001</v>
      </c>
      <c r="AU104" s="65">
        <f t="shared" si="49"/>
        <v>34316.444093868718</v>
      </c>
      <c r="AV104" s="65"/>
      <c r="AW104" s="41">
        <v>8348.7961638823654</v>
      </c>
      <c r="AX104" s="314"/>
      <c r="AY104" s="314"/>
      <c r="AZ104" s="41">
        <v>1812.8268815624351</v>
      </c>
      <c r="BA104" s="65">
        <v>0</v>
      </c>
      <c r="BB104" s="34">
        <v>-383.49200000000002</v>
      </c>
      <c r="BC104" s="65">
        <f t="shared" si="69"/>
        <v>9778.1310454448012</v>
      </c>
      <c r="BD104" s="65"/>
      <c r="BE104" s="41">
        <v>7805.2029750353904</v>
      </c>
      <c r="BF104" s="314"/>
      <c r="BG104" s="314"/>
      <c r="BH104" s="41">
        <v>1805.9270038778996</v>
      </c>
      <c r="BI104" s="65">
        <v>0</v>
      </c>
      <c r="BJ104" s="34">
        <v>-383.86</v>
      </c>
      <c r="BK104" s="65">
        <f t="shared" si="70"/>
        <v>9227.2699789132894</v>
      </c>
      <c r="BL104" s="65"/>
      <c r="BM104" s="41">
        <v>8692.487273740162</v>
      </c>
      <c r="BN104" s="41">
        <v>1265.0258856265821</v>
      </c>
      <c r="BO104" s="65">
        <v>0</v>
      </c>
      <c r="BP104" s="34">
        <v>-383.86</v>
      </c>
      <c r="BQ104" s="65">
        <f t="shared" si="50"/>
        <v>9573.6531593667441</v>
      </c>
      <c r="BR104" s="65"/>
      <c r="BS104" s="41">
        <v>9054.4815300708542</v>
      </c>
      <c r="BT104" s="314"/>
      <c r="BU104" s="314"/>
      <c r="BV104" s="41">
        <v>1349.4901317940923</v>
      </c>
      <c r="BW104" s="65">
        <v>0</v>
      </c>
      <c r="BX104" s="34">
        <v>-383.86</v>
      </c>
      <c r="BY104" s="65">
        <f t="shared" si="71"/>
        <v>10020.111661864947</v>
      </c>
      <c r="CA104" s="5">
        <v>8852.5486660126971</v>
      </c>
      <c r="CB104" s="407">
        <v>1433.4275284007333</v>
      </c>
      <c r="CC104" s="415">
        <v>0</v>
      </c>
      <c r="CD104" s="34">
        <v>-383.86</v>
      </c>
      <c r="CE104" s="65">
        <f t="shared" si="51"/>
        <v>9902.1161944134292</v>
      </c>
      <c r="CF104" s="407"/>
      <c r="CG104" s="5">
        <v>9956.829497637349</v>
      </c>
      <c r="CH104" s="407">
        <v>1507.7823168332334</v>
      </c>
      <c r="CI104" s="415">
        <v>0</v>
      </c>
      <c r="CJ104" s="34">
        <v>-383.86</v>
      </c>
      <c r="CK104" s="65">
        <f t="shared" si="52"/>
        <v>11080.751814470583</v>
      </c>
      <c r="CL104" s="407"/>
      <c r="CM104" s="41">
        <f>AU104/'1. Väestöennuste'!L104*1000</f>
        <v>4517.10465892704</v>
      </c>
      <c r="CN104" s="41">
        <f>BC104/'1. Väestöennuste'!M104*1000</f>
        <v>1308.111176648134</v>
      </c>
      <c r="CO104" s="41">
        <f>BK104/'1. Väestöennuste'!N104*1000</f>
        <v>1258.6645722156991</v>
      </c>
      <c r="CP104" s="41">
        <f>BQ104/'1. Väestöennuste'!O104*1000</f>
        <v>1326.9096547978857</v>
      </c>
      <c r="CQ104" s="41">
        <f>BY104/'1. Väestöennuste'!P104*1000</f>
        <v>1410.885900009145</v>
      </c>
      <c r="CR104" s="41">
        <f>CE104/'1. Väestöennuste'!Q104*1000</f>
        <v>1415.8015719778996</v>
      </c>
      <c r="CS104" s="41">
        <f>CK104/'1. Väestöennuste'!R104*1000</f>
        <v>1608.0034558802181</v>
      </c>
      <c r="CT104" s="41"/>
      <c r="CV104" s="41">
        <f t="shared" si="53"/>
        <v>11464.611814470583</v>
      </c>
      <c r="CW104" s="41">
        <f t="shared" si="54"/>
        <v>-6563.6471555435428</v>
      </c>
      <c r="CX104" s="41">
        <f t="shared" si="55"/>
        <v>-3208.993482278906</v>
      </c>
      <c r="CY104" s="41">
        <f t="shared" si="56"/>
        <v>-49.446604432434924</v>
      </c>
      <c r="CZ104" s="41">
        <f t="shared" si="57"/>
        <v>68.245082582186569</v>
      </c>
      <c r="DA104" s="41">
        <f t="shared" si="58"/>
        <v>83.976245211259311</v>
      </c>
      <c r="DB104" s="41">
        <f t="shared" si="59"/>
        <v>4.9156719687546229</v>
      </c>
      <c r="DC104" s="41">
        <f t="shared" si="60"/>
        <v>192.20188390231851</v>
      </c>
      <c r="DD104" s="41"/>
      <c r="DE104" s="283">
        <f t="shared" si="61"/>
        <v>-29.866648815897939</v>
      </c>
      <c r="DF104" s="283">
        <f t="shared" si="62"/>
        <v>-0.59234673471992583</v>
      </c>
      <c r="DG104" s="283">
        <f t="shared" si="63"/>
        <v>-0.71040937161751461</v>
      </c>
      <c r="DH104" s="283">
        <f t="shared" si="64"/>
        <v>-3.7800001494624841E-2</v>
      </c>
      <c r="DI104" s="283">
        <f t="shared" si="65"/>
        <v>5.4220229987129019E-2</v>
      </c>
      <c r="DJ104" s="283">
        <f t="shared" si="66"/>
        <v>6.3287085829555251E-2</v>
      </c>
      <c r="DK104" s="283">
        <f t="shared" si="67"/>
        <v>3.4841031218206665E-3</v>
      </c>
      <c r="DL104" s="283">
        <f t="shared" si="68"/>
        <v>0.13575481741682849</v>
      </c>
    </row>
    <row r="105" spans="1:116" x14ac:dyDescent="0.2">
      <c r="A105" s="30">
        <v>265</v>
      </c>
      <c r="B105" s="31" t="s">
        <v>419</v>
      </c>
      <c r="C105" s="65"/>
      <c r="D105" s="65"/>
      <c r="E105" s="65"/>
      <c r="F105" s="65"/>
      <c r="G105" s="65"/>
      <c r="H105" s="65">
        <v>5513</v>
      </c>
      <c r="I105" s="65"/>
      <c r="J105" s="65"/>
      <c r="K105" s="65"/>
      <c r="L105" s="65"/>
      <c r="M105" s="65"/>
      <c r="N105" s="65">
        <v>5252</v>
      </c>
      <c r="O105" s="65"/>
      <c r="P105" s="65"/>
      <c r="Q105" s="65"/>
      <c r="R105" s="65"/>
      <c r="S105" s="65"/>
      <c r="T105" s="65">
        <v>4825</v>
      </c>
      <c r="U105" s="65"/>
      <c r="V105" s="65"/>
      <c r="W105" s="65"/>
      <c r="X105" s="65"/>
      <c r="Y105" s="65"/>
      <c r="Z105" s="65">
        <v>4637</v>
      </c>
      <c r="AA105" s="65"/>
      <c r="AB105" s="66">
        <v>4681.0231405268933</v>
      </c>
      <c r="AC105" s="34">
        <v>17.270530635183668</v>
      </c>
      <c r="AD105" s="180">
        <v>702.21108641587978</v>
      </c>
      <c r="AE105" s="65">
        <v>0</v>
      </c>
      <c r="AF105" s="34">
        <v>-272.666</v>
      </c>
      <c r="AG105" s="65">
        <f t="shared" si="47"/>
        <v>5127.8387575779561</v>
      </c>
      <c r="AH105" s="65"/>
      <c r="AI105" s="66">
        <v>4692.4778976025027</v>
      </c>
      <c r="AJ105" s="34">
        <v>-13.030957847930072</v>
      </c>
      <c r="AK105" s="181">
        <v>741.06718605143328</v>
      </c>
      <c r="AL105" s="65">
        <v>0</v>
      </c>
      <c r="AM105" s="34">
        <v>-278.51400000000001</v>
      </c>
      <c r="AN105" s="65">
        <f t="shared" si="48"/>
        <v>5142.0001258060056</v>
      </c>
      <c r="AO105" s="65"/>
      <c r="AP105" s="41">
        <v>4899.9845779043217</v>
      </c>
      <c r="AQ105" s="41">
        <v>-3.9275001846131334</v>
      </c>
      <c r="AR105" s="41">
        <v>823.76045700248199</v>
      </c>
      <c r="AS105" s="65">
        <v>0</v>
      </c>
      <c r="AT105" s="34">
        <v>-292.077</v>
      </c>
      <c r="AU105" s="65">
        <f t="shared" si="49"/>
        <v>5427.7405347221902</v>
      </c>
      <c r="AV105" s="65"/>
      <c r="AW105" s="41">
        <v>1610.4439396795999</v>
      </c>
      <c r="AX105" s="314"/>
      <c r="AY105" s="314"/>
      <c r="AZ105" s="41">
        <v>246.43262327001275</v>
      </c>
      <c r="BA105" s="65">
        <v>0</v>
      </c>
      <c r="BB105" s="34">
        <v>-296.64499999999998</v>
      </c>
      <c r="BC105" s="65">
        <f t="shared" si="69"/>
        <v>1560.2315629496127</v>
      </c>
      <c r="BD105" s="65"/>
      <c r="BE105" s="41">
        <v>1699.3265202453197</v>
      </c>
      <c r="BF105" s="314"/>
      <c r="BG105" s="314"/>
      <c r="BH105" s="41">
        <v>244.19461411271485</v>
      </c>
      <c r="BI105" s="65">
        <v>0</v>
      </c>
      <c r="BJ105" s="34">
        <v>-283.17200000000003</v>
      </c>
      <c r="BK105" s="65">
        <f t="shared" si="70"/>
        <v>1660.3491343580345</v>
      </c>
      <c r="BL105" s="65"/>
      <c r="BM105" s="41">
        <v>1826.1075949366602</v>
      </c>
      <c r="BN105" s="41">
        <v>180.80136242620577</v>
      </c>
      <c r="BO105" s="65">
        <v>0</v>
      </c>
      <c r="BP105" s="34">
        <v>-283.17200000000003</v>
      </c>
      <c r="BQ105" s="65">
        <f t="shared" si="50"/>
        <v>1723.736957362866</v>
      </c>
      <c r="BR105" s="65"/>
      <c r="BS105" s="41">
        <v>1651.1301161449815</v>
      </c>
      <c r="BT105" s="314"/>
      <c r="BU105" s="314"/>
      <c r="BV105" s="41">
        <v>193.32556937427611</v>
      </c>
      <c r="BW105" s="65">
        <v>0</v>
      </c>
      <c r="BX105" s="34">
        <v>-283.17200000000003</v>
      </c>
      <c r="BY105" s="65">
        <f t="shared" si="71"/>
        <v>1561.2836855192575</v>
      </c>
      <c r="CA105" s="5">
        <v>1619.0557304533256</v>
      </c>
      <c r="CB105" s="407">
        <v>205.62965346055876</v>
      </c>
      <c r="CC105" s="415">
        <v>0</v>
      </c>
      <c r="CD105" s="34">
        <v>-283.17200000000003</v>
      </c>
      <c r="CE105" s="65">
        <f t="shared" si="51"/>
        <v>1541.5133839138844</v>
      </c>
      <c r="CF105" s="407"/>
      <c r="CG105" s="5">
        <v>1756.5912117807336</v>
      </c>
      <c r="CH105" s="407">
        <v>216.56724119810193</v>
      </c>
      <c r="CI105" s="415">
        <v>0</v>
      </c>
      <c r="CJ105" s="34">
        <v>-283.17200000000003</v>
      </c>
      <c r="CK105" s="65">
        <f t="shared" si="52"/>
        <v>1689.9864529788356</v>
      </c>
      <c r="CL105" s="407"/>
      <c r="CM105" s="41">
        <f>AU105/'1. Väestöennuste'!L105*1000</f>
        <v>5101.2599010546901</v>
      </c>
      <c r="CN105" s="41">
        <f>BC105/'1. Väestöennuste'!M105*1000</f>
        <v>1507.4701091300606</v>
      </c>
      <c r="CO105" s="41">
        <f>BK105/'1. Väestöennuste'!N105*1000</f>
        <v>1585.8157921280176</v>
      </c>
      <c r="CP105" s="41">
        <f>BQ105/'1. Väestöennuste'!O105*1000</f>
        <v>1670.287749382622</v>
      </c>
      <c r="CQ105" s="41">
        <f>BY105/'1. Väestöennuste'!P105*1000</f>
        <v>1535.1855314840291</v>
      </c>
      <c r="CR105" s="41">
        <f>CE105/'1. Väestöennuste'!Q105*1000</f>
        <v>1536.9026758862256</v>
      </c>
      <c r="CS105" s="41">
        <f>CK105/'1. Väestöennuste'!R105*1000</f>
        <v>1708.783066712675</v>
      </c>
      <c r="CT105" s="41"/>
      <c r="CV105" s="41">
        <f t="shared" si="53"/>
        <v>1973.1584529788356</v>
      </c>
      <c r="CW105" s="41">
        <f t="shared" si="54"/>
        <v>3411.2734480758545</v>
      </c>
      <c r="CX105" s="41">
        <f t="shared" si="55"/>
        <v>-3593.7897919246298</v>
      </c>
      <c r="CY105" s="41">
        <f t="shared" si="56"/>
        <v>78.345682997957056</v>
      </c>
      <c r="CZ105" s="41">
        <f t="shared" si="57"/>
        <v>84.471957254604376</v>
      </c>
      <c r="DA105" s="41">
        <f t="shared" si="58"/>
        <v>-135.10221789859293</v>
      </c>
      <c r="DB105" s="41">
        <f t="shared" si="59"/>
        <v>1.7171444021964817</v>
      </c>
      <c r="DC105" s="41">
        <f t="shared" si="60"/>
        <v>171.88039082644946</v>
      </c>
      <c r="DD105" s="41"/>
      <c r="DE105" s="283">
        <f t="shared" si="61"/>
        <v>-6.9680563508356599</v>
      </c>
      <c r="DF105" s="283">
        <f t="shared" si="62"/>
        <v>2.0185211793047286</v>
      </c>
      <c r="DG105" s="283">
        <f t="shared" si="63"/>
        <v>-0.70449062812534025</v>
      </c>
      <c r="DH105" s="283">
        <f t="shared" si="64"/>
        <v>5.1971632819419036E-2</v>
      </c>
      <c r="DI105" s="283">
        <f t="shared" si="65"/>
        <v>5.3267193878332397E-2</v>
      </c>
      <c r="DJ105" s="283">
        <f t="shared" si="66"/>
        <v>-8.0885594681832471E-2</v>
      </c>
      <c r="DK105" s="283">
        <f t="shared" si="67"/>
        <v>1.1185256550304752E-3</v>
      </c>
      <c r="DL105" s="283">
        <f t="shared" si="68"/>
        <v>0.111835572624882</v>
      </c>
    </row>
    <row r="106" spans="1:116" x14ac:dyDescent="0.2">
      <c r="A106" s="30">
        <v>271</v>
      </c>
      <c r="B106" s="31" t="s">
        <v>420</v>
      </c>
      <c r="C106" s="65"/>
      <c r="D106" s="65"/>
      <c r="E106" s="65"/>
      <c r="F106" s="65"/>
      <c r="G106" s="65"/>
      <c r="H106" s="65">
        <v>18797</v>
      </c>
      <c r="I106" s="65"/>
      <c r="J106" s="65"/>
      <c r="K106" s="65"/>
      <c r="L106" s="65"/>
      <c r="M106" s="65"/>
      <c r="N106" s="65">
        <v>17891</v>
      </c>
      <c r="O106" s="65"/>
      <c r="P106" s="65"/>
      <c r="Q106" s="65"/>
      <c r="R106" s="65"/>
      <c r="S106" s="65"/>
      <c r="T106" s="65">
        <v>17346</v>
      </c>
      <c r="U106" s="65"/>
      <c r="V106" s="65"/>
      <c r="W106" s="65"/>
      <c r="X106" s="65"/>
      <c r="Y106" s="65"/>
      <c r="Z106" s="65">
        <v>17810</v>
      </c>
      <c r="AA106" s="65"/>
      <c r="AB106" s="66">
        <v>17347.728742075316</v>
      </c>
      <c r="AC106" s="34">
        <v>128.87106848676027</v>
      </c>
      <c r="AD106" s="180">
        <v>3845.5572491618832</v>
      </c>
      <c r="AE106" s="65">
        <v>700</v>
      </c>
      <c r="AF106" s="34">
        <v>-718.57899999999995</v>
      </c>
      <c r="AG106" s="65">
        <f t="shared" si="47"/>
        <v>21303.578059723961</v>
      </c>
      <c r="AH106" s="65"/>
      <c r="AI106" s="66">
        <v>16142.240045320854</v>
      </c>
      <c r="AJ106" s="34">
        <v>-100.27727157666618</v>
      </c>
      <c r="AK106" s="181">
        <v>4100.3094127819913</v>
      </c>
      <c r="AL106" s="65">
        <v>0</v>
      </c>
      <c r="AM106" s="34">
        <v>-897.32500000000005</v>
      </c>
      <c r="AN106" s="65">
        <f t="shared" si="48"/>
        <v>19244.947186526177</v>
      </c>
      <c r="AO106" s="65"/>
      <c r="AP106" s="41">
        <v>16823.492942366745</v>
      </c>
      <c r="AQ106" s="41">
        <v>-30.949452968436329</v>
      </c>
      <c r="AR106" s="41">
        <v>4638.8103105436512</v>
      </c>
      <c r="AS106" s="65">
        <v>0</v>
      </c>
      <c r="AT106" s="34">
        <v>-526.30799999999999</v>
      </c>
      <c r="AU106" s="65">
        <f t="shared" si="49"/>
        <v>20905.045799941956</v>
      </c>
      <c r="AV106" s="65"/>
      <c r="AW106" s="41">
        <v>2996.8028181914819</v>
      </c>
      <c r="AX106" s="314"/>
      <c r="AY106" s="314"/>
      <c r="AZ106" s="41">
        <v>1428.5890970270739</v>
      </c>
      <c r="BA106" s="65">
        <v>0</v>
      </c>
      <c r="BB106" s="34">
        <v>-287.89999999999998</v>
      </c>
      <c r="BC106" s="65">
        <f t="shared" si="69"/>
        <v>4137.4919152185557</v>
      </c>
      <c r="BD106" s="65"/>
      <c r="BE106" s="41">
        <v>1796.3462514230262</v>
      </c>
      <c r="BF106" s="314"/>
      <c r="BG106" s="314"/>
      <c r="BH106" s="41">
        <v>1410.9261071647825</v>
      </c>
      <c r="BI106" s="65">
        <v>0</v>
      </c>
      <c r="BJ106" s="34">
        <v>-362.334</v>
      </c>
      <c r="BK106" s="65">
        <f t="shared" si="70"/>
        <v>2844.9383585878086</v>
      </c>
      <c r="BL106" s="65"/>
      <c r="BM106" s="41">
        <v>2785.7840079291609</v>
      </c>
      <c r="BN106" s="41">
        <v>931.57179694347712</v>
      </c>
      <c r="BO106" s="65">
        <v>0</v>
      </c>
      <c r="BP106" s="34">
        <v>-362.334</v>
      </c>
      <c r="BQ106" s="65">
        <f t="shared" si="50"/>
        <v>3355.0218048726383</v>
      </c>
      <c r="BR106" s="65"/>
      <c r="BS106" s="41">
        <v>2929.176691601876</v>
      </c>
      <c r="BT106" s="314"/>
      <c r="BU106" s="314"/>
      <c r="BV106" s="41">
        <v>999.52143556785234</v>
      </c>
      <c r="BW106" s="65">
        <v>0</v>
      </c>
      <c r="BX106" s="34">
        <v>-362.334</v>
      </c>
      <c r="BY106" s="65">
        <f t="shared" si="71"/>
        <v>3566.3641271697284</v>
      </c>
      <c r="CA106" s="5">
        <v>3134.6135137433407</v>
      </c>
      <c r="CB106" s="407">
        <v>1068.3380747524513</v>
      </c>
      <c r="CC106" s="415">
        <v>0</v>
      </c>
      <c r="CD106" s="34">
        <v>-362.334</v>
      </c>
      <c r="CE106" s="65">
        <f t="shared" si="51"/>
        <v>3840.617588495792</v>
      </c>
      <c r="CF106" s="407"/>
      <c r="CG106" s="5">
        <v>3916.9248432558106</v>
      </c>
      <c r="CH106" s="407">
        <v>1128.3680918972079</v>
      </c>
      <c r="CI106" s="415">
        <v>0</v>
      </c>
      <c r="CJ106" s="34">
        <v>-362.334</v>
      </c>
      <c r="CK106" s="65">
        <f t="shared" si="52"/>
        <v>4682.9589351530185</v>
      </c>
      <c r="CL106" s="407"/>
      <c r="CM106" s="41">
        <f>AU106/'1. Väestöennuste'!L106*1000</f>
        <v>3028.4000869103224</v>
      </c>
      <c r="CN106" s="41">
        <f>BC106/'1. Väestöennuste'!M106*1000</f>
        <v>611.51225468793314</v>
      </c>
      <c r="CO106" s="41">
        <f>BK106/'1. Väestöennuste'!N106*1000</f>
        <v>428.84207998007361</v>
      </c>
      <c r="CP106" s="41">
        <f>BQ106/'1. Väestöennuste'!O106*1000</f>
        <v>512.21706944620439</v>
      </c>
      <c r="CQ106" s="41">
        <f>BY106/'1. Väestöennuste'!P106*1000</f>
        <v>550.96000728715103</v>
      </c>
      <c r="CR106" s="41">
        <f>CE106/'1. Väestöennuste'!Q106*1000</f>
        <v>599.90902663164513</v>
      </c>
      <c r="CS106" s="41">
        <f>CK106/'1. Väestöennuste'!R106*1000</f>
        <v>739.33674378797264</v>
      </c>
      <c r="CT106" s="41"/>
      <c r="CV106" s="41">
        <f t="shared" si="53"/>
        <v>5045.2929351530183</v>
      </c>
      <c r="CW106" s="41">
        <f t="shared" si="54"/>
        <v>-1654.5588482426961</v>
      </c>
      <c r="CX106" s="41">
        <f t="shared" si="55"/>
        <v>-2416.8878322223891</v>
      </c>
      <c r="CY106" s="41">
        <f t="shared" si="56"/>
        <v>-182.67017470785953</v>
      </c>
      <c r="CZ106" s="41">
        <f t="shared" si="57"/>
        <v>83.374989466130785</v>
      </c>
      <c r="DA106" s="41">
        <f t="shared" si="58"/>
        <v>38.742937840946638</v>
      </c>
      <c r="DB106" s="41">
        <f t="shared" si="59"/>
        <v>48.949019344494104</v>
      </c>
      <c r="DC106" s="41">
        <f t="shared" si="60"/>
        <v>139.4277171563275</v>
      </c>
      <c r="DD106" s="41"/>
      <c r="DE106" s="283">
        <f t="shared" si="61"/>
        <v>-13.924425903042547</v>
      </c>
      <c r="DF106" s="283">
        <f t="shared" si="62"/>
        <v>-0.3533148317450775</v>
      </c>
      <c r="DG106" s="283">
        <f t="shared" si="63"/>
        <v>-0.79807415231194923</v>
      </c>
      <c r="DH106" s="283">
        <f t="shared" si="64"/>
        <v>-0.29871874734722981</v>
      </c>
      <c r="DI106" s="283">
        <f t="shared" si="65"/>
        <v>0.19441886269650788</v>
      </c>
      <c r="DJ106" s="283">
        <f t="shared" si="66"/>
        <v>7.5637732812837505E-2</v>
      </c>
      <c r="DK106" s="283">
        <f t="shared" si="67"/>
        <v>8.884314414309695E-2</v>
      </c>
      <c r="DL106" s="283">
        <f t="shared" si="68"/>
        <v>0.23241476785102388</v>
      </c>
    </row>
    <row r="107" spans="1:116" x14ac:dyDescent="0.2">
      <c r="A107" s="30">
        <v>272</v>
      </c>
      <c r="B107" s="31" t="s">
        <v>421</v>
      </c>
      <c r="C107" s="65"/>
      <c r="D107" s="65"/>
      <c r="E107" s="65"/>
      <c r="F107" s="65"/>
      <c r="G107" s="65"/>
      <c r="H107" s="65">
        <v>86936</v>
      </c>
      <c r="I107" s="65"/>
      <c r="J107" s="65"/>
      <c r="K107" s="65"/>
      <c r="L107" s="65"/>
      <c r="M107" s="65"/>
      <c r="N107" s="65">
        <v>86873</v>
      </c>
      <c r="O107" s="65"/>
      <c r="P107" s="65"/>
      <c r="Q107" s="65"/>
      <c r="R107" s="65"/>
      <c r="S107" s="65"/>
      <c r="T107" s="65">
        <v>87938</v>
      </c>
      <c r="U107" s="65"/>
      <c r="V107" s="65"/>
      <c r="W107" s="65"/>
      <c r="X107" s="65"/>
      <c r="Y107" s="65"/>
      <c r="Z107" s="65">
        <v>89006</v>
      </c>
      <c r="AA107" s="65"/>
      <c r="AB107" s="66">
        <v>90143.107527482716</v>
      </c>
      <c r="AC107" s="34">
        <v>954.64203392287095</v>
      </c>
      <c r="AD107" s="180">
        <v>20426.972998442143</v>
      </c>
      <c r="AE107" s="65">
        <v>0</v>
      </c>
      <c r="AF107" s="34">
        <v>-2096.0749999999998</v>
      </c>
      <c r="AG107" s="65">
        <f t="shared" si="47"/>
        <v>109428.64755984773</v>
      </c>
      <c r="AH107" s="65"/>
      <c r="AI107" s="66">
        <v>82743.265321011073</v>
      </c>
      <c r="AJ107" s="34">
        <v>-735.69038611525536</v>
      </c>
      <c r="AK107" s="181">
        <v>21974.059824599721</v>
      </c>
      <c r="AL107" s="65">
        <v>0</v>
      </c>
      <c r="AM107" s="34">
        <v>-889.14099999999996</v>
      </c>
      <c r="AN107" s="65">
        <f t="shared" si="48"/>
        <v>103092.49375949554</v>
      </c>
      <c r="AO107" s="65"/>
      <c r="AP107" s="41">
        <v>85806.66738413545</v>
      </c>
      <c r="AQ107" s="41">
        <v>-225.86248209874094</v>
      </c>
      <c r="AR107" s="41">
        <v>24570.986835073683</v>
      </c>
      <c r="AS107" s="65">
        <v>0</v>
      </c>
      <c r="AT107" s="34">
        <v>-1143.7090000000001</v>
      </c>
      <c r="AU107" s="65">
        <f t="shared" si="49"/>
        <v>109008.08273711038</v>
      </c>
      <c r="AV107" s="65"/>
      <c r="AW107" s="41">
        <v>26336.02596363438</v>
      </c>
      <c r="AX107" s="314"/>
      <c r="AY107" s="314"/>
      <c r="AZ107" s="41">
        <v>7554.6238483991865</v>
      </c>
      <c r="BA107" s="65">
        <v>0</v>
      </c>
      <c r="BB107" s="34">
        <v>-969.04100000000005</v>
      </c>
      <c r="BC107" s="65">
        <f t="shared" si="69"/>
        <v>32921.60881203357</v>
      </c>
      <c r="BD107" s="65"/>
      <c r="BE107" s="41">
        <v>19178.575107077228</v>
      </c>
      <c r="BF107" s="314"/>
      <c r="BG107" s="314"/>
      <c r="BH107" s="41">
        <v>7579.1355495966864</v>
      </c>
      <c r="BI107" s="65">
        <v>0</v>
      </c>
      <c r="BJ107" s="34">
        <v>-707.28300000000002</v>
      </c>
      <c r="BK107" s="65">
        <f t="shared" si="70"/>
        <v>26050.427656673914</v>
      </c>
      <c r="BL107" s="65"/>
      <c r="BM107" s="41">
        <v>27060.466386550746</v>
      </c>
      <c r="BN107" s="41">
        <v>4224.1654975281854</v>
      </c>
      <c r="BO107" s="65">
        <v>0</v>
      </c>
      <c r="BP107" s="34">
        <v>-707.28300000000002</v>
      </c>
      <c r="BQ107" s="65">
        <f t="shared" si="50"/>
        <v>30577.348884078932</v>
      </c>
      <c r="BR107" s="65"/>
      <c r="BS107" s="41">
        <v>29856.940575704073</v>
      </c>
      <c r="BT107" s="314"/>
      <c r="BU107" s="314"/>
      <c r="BV107" s="41">
        <v>4600.6203555465117</v>
      </c>
      <c r="BW107" s="65">
        <v>0</v>
      </c>
      <c r="BX107" s="34">
        <v>-707.28300000000002</v>
      </c>
      <c r="BY107" s="65">
        <f t="shared" si="71"/>
        <v>33750.277931250581</v>
      </c>
      <c r="CA107" s="5">
        <v>30848.271406273721</v>
      </c>
      <c r="CB107" s="407">
        <v>5009.2609493935015</v>
      </c>
      <c r="CC107" s="415">
        <v>0</v>
      </c>
      <c r="CD107" s="34">
        <v>-707.28300000000002</v>
      </c>
      <c r="CE107" s="65">
        <f t="shared" si="51"/>
        <v>35150.24935566722</v>
      </c>
      <c r="CF107" s="407"/>
      <c r="CG107" s="5">
        <v>33402.598683255062</v>
      </c>
      <c r="CH107" s="407">
        <v>5356.70658877189</v>
      </c>
      <c r="CI107" s="415">
        <v>0</v>
      </c>
      <c r="CJ107" s="34">
        <v>-707.28300000000002</v>
      </c>
      <c r="CK107" s="65">
        <f t="shared" si="52"/>
        <v>38052.022272026952</v>
      </c>
      <c r="CL107" s="407"/>
      <c r="CM107" s="41">
        <f>AU107/'1. Väestöennuste'!L107*1000</f>
        <v>2270.7178839543053</v>
      </c>
      <c r="CN107" s="41">
        <f>BC107/'1. Väestöennuste'!M107*1000</f>
        <v>681.67737471857481</v>
      </c>
      <c r="CO107" s="41">
        <f>BK107/'1. Väestöennuste'!N107*1000</f>
        <v>544.00926485139519</v>
      </c>
      <c r="CP107" s="41">
        <f>BQ107/'1. Väestöennuste'!O107*1000</f>
        <v>638.73138544616756</v>
      </c>
      <c r="CQ107" s="41">
        <f>BY107/'1. Väestöennuste'!P107*1000</f>
        <v>705.43816088561721</v>
      </c>
      <c r="CR107" s="41">
        <f>CE107/'1. Väestöennuste'!Q107*1000</f>
        <v>735.31471572217686</v>
      </c>
      <c r="CS107" s="41">
        <f>CK107/'1. Väestöennuste'!R107*1000</f>
        <v>796.93436944012217</v>
      </c>
      <c r="CT107" s="41"/>
      <c r="CV107" s="41">
        <f t="shared" si="53"/>
        <v>38759.305272026955</v>
      </c>
      <c r="CW107" s="41">
        <f t="shared" si="54"/>
        <v>-35781.304388072647</v>
      </c>
      <c r="CX107" s="41">
        <f t="shared" si="55"/>
        <v>-1589.0405092357305</v>
      </c>
      <c r="CY107" s="41">
        <f t="shared" si="56"/>
        <v>-137.66810986717962</v>
      </c>
      <c r="CZ107" s="41">
        <f t="shared" si="57"/>
        <v>94.722120594772377</v>
      </c>
      <c r="DA107" s="41">
        <f t="shared" si="58"/>
        <v>66.706775439449643</v>
      </c>
      <c r="DB107" s="41">
        <f t="shared" si="59"/>
        <v>29.876554836559649</v>
      </c>
      <c r="DC107" s="41">
        <f t="shared" si="60"/>
        <v>61.619653717945312</v>
      </c>
      <c r="DD107" s="41"/>
      <c r="DE107" s="283">
        <f t="shared" si="61"/>
        <v>-54.800278349722745</v>
      </c>
      <c r="DF107" s="283">
        <f t="shared" si="62"/>
        <v>-0.94032596039912519</v>
      </c>
      <c r="DG107" s="283">
        <f t="shared" si="63"/>
        <v>-0.69979653591687985</v>
      </c>
      <c r="DH107" s="283">
        <f t="shared" si="64"/>
        <v>-0.20195493494853753</v>
      </c>
      <c r="DI107" s="283">
        <f t="shared" si="65"/>
        <v>0.17411857980148046</v>
      </c>
      <c r="DJ107" s="283">
        <f t="shared" si="66"/>
        <v>0.10443635142940962</v>
      </c>
      <c r="DK107" s="283">
        <f t="shared" si="67"/>
        <v>4.235177013822472E-2</v>
      </c>
      <c r="DL107" s="283">
        <f t="shared" si="68"/>
        <v>8.3800381524292783E-2</v>
      </c>
    </row>
    <row r="108" spans="1:116" x14ac:dyDescent="0.2">
      <c r="A108" s="30">
        <v>273</v>
      </c>
      <c r="B108" s="31" t="s">
        <v>422</v>
      </c>
      <c r="C108" s="65"/>
      <c r="D108" s="65"/>
      <c r="E108" s="65"/>
      <c r="F108" s="65"/>
      <c r="G108" s="65"/>
      <c r="H108" s="65">
        <v>14194</v>
      </c>
      <c r="I108" s="65"/>
      <c r="J108" s="65"/>
      <c r="K108" s="65"/>
      <c r="L108" s="65"/>
      <c r="M108" s="65"/>
      <c r="N108" s="65">
        <v>14401</v>
      </c>
      <c r="O108" s="65"/>
      <c r="P108" s="65"/>
      <c r="Q108" s="65"/>
      <c r="R108" s="65"/>
      <c r="S108" s="65"/>
      <c r="T108" s="65">
        <v>14322</v>
      </c>
      <c r="U108" s="65"/>
      <c r="V108" s="65"/>
      <c r="W108" s="65"/>
      <c r="X108" s="65"/>
      <c r="Y108" s="65"/>
      <c r="Z108" s="65">
        <v>14674</v>
      </c>
      <c r="AA108" s="65"/>
      <c r="AB108" s="66">
        <v>14610.694813562186</v>
      </c>
      <c r="AC108" s="34">
        <v>74.957359996790032</v>
      </c>
      <c r="AD108" s="180">
        <v>2078.4443656046533</v>
      </c>
      <c r="AE108" s="65">
        <v>0</v>
      </c>
      <c r="AF108" s="34">
        <v>-119.846</v>
      </c>
      <c r="AG108" s="65">
        <f t="shared" si="47"/>
        <v>16644.250539163626</v>
      </c>
      <c r="AH108" s="65"/>
      <c r="AI108" s="66">
        <v>14169.42577179054</v>
      </c>
      <c r="AJ108" s="34">
        <v>-58.362052414151172</v>
      </c>
      <c r="AK108" s="181">
        <v>2233.1698276394836</v>
      </c>
      <c r="AL108" s="65">
        <v>0</v>
      </c>
      <c r="AM108" s="34">
        <v>-387.68200000000002</v>
      </c>
      <c r="AN108" s="65">
        <f t="shared" si="48"/>
        <v>15956.551547015872</v>
      </c>
      <c r="AO108" s="65"/>
      <c r="AP108" s="41">
        <v>15138.835370917821</v>
      </c>
      <c r="AQ108" s="41">
        <v>-17.80236780490829</v>
      </c>
      <c r="AR108" s="41">
        <v>2555.7856413360023</v>
      </c>
      <c r="AS108" s="65">
        <v>0</v>
      </c>
      <c r="AT108" s="34">
        <v>-220.393</v>
      </c>
      <c r="AU108" s="65">
        <f t="shared" si="49"/>
        <v>17456.425644448915</v>
      </c>
      <c r="AV108" s="65"/>
      <c r="AW108" s="41">
        <v>4712.6337666839045</v>
      </c>
      <c r="AX108" s="314"/>
      <c r="AY108" s="314"/>
      <c r="AZ108" s="41">
        <v>755.5930401959904</v>
      </c>
      <c r="BA108" s="65">
        <v>0</v>
      </c>
      <c r="BB108" s="34">
        <v>-273.75599999999997</v>
      </c>
      <c r="BC108" s="65">
        <f t="shared" si="69"/>
        <v>5194.4708068798946</v>
      </c>
      <c r="BD108" s="65"/>
      <c r="BE108" s="41">
        <v>4660.4648718377621</v>
      </c>
      <c r="BF108" s="314"/>
      <c r="BG108" s="314"/>
      <c r="BH108" s="41">
        <v>745.31529431746333</v>
      </c>
      <c r="BI108" s="65">
        <v>0</v>
      </c>
      <c r="BJ108" s="34">
        <v>-221.124</v>
      </c>
      <c r="BK108" s="65">
        <f t="shared" si="70"/>
        <v>5184.6561661552259</v>
      </c>
      <c r="BL108" s="65"/>
      <c r="BM108" s="41">
        <v>5038.3955084189301</v>
      </c>
      <c r="BN108" s="41">
        <v>475.8516494521179</v>
      </c>
      <c r="BO108" s="65">
        <v>0</v>
      </c>
      <c r="BP108" s="34">
        <v>-221.124</v>
      </c>
      <c r="BQ108" s="65">
        <f t="shared" si="50"/>
        <v>5293.1231578710485</v>
      </c>
      <c r="BR108" s="65"/>
      <c r="BS108" s="41">
        <v>4513.3638725901737</v>
      </c>
      <c r="BT108" s="314"/>
      <c r="BU108" s="314"/>
      <c r="BV108" s="41">
        <v>511.21424772896762</v>
      </c>
      <c r="BW108" s="65">
        <v>0</v>
      </c>
      <c r="BX108" s="34">
        <v>-221.124</v>
      </c>
      <c r="BY108" s="65">
        <f t="shared" si="71"/>
        <v>4803.454120319142</v>
      </c>
      <c r="CA108" s="5">
        <v>4461.0373957179536</v>
      </c>
      <c r="CB108" s="407">
        <v>547.46758314885108</v>
      </c>
      <c r="CC108" s="415">
        <v>0</v>
      </c>
      <c r="CD108" s="34">
        <v>-221.124</v>
      </c>
      <c r="CE108" s="65">
        <f t="shared" si="51"/>
        <v>4787.380978866805</v>
      </c>
      <c r="CF108" s="407"/>
      <c r="CG108" s="5">
        <v>4733.1307484215049</v>
      </c>
      <c r="CH108" s="407">
        <v>578.75163590754335</v>
      </c>
      <c r="CI108" s="415">
        <v>0</v>
      </c>
      <c r="CJ108" s="34">
        <v>-221.124</v>
      </c>
      <c r="CK108" s="65">
        <f t="shared" si="52"/>
        <v>5090.7583843290486</v>
      </c>
      <c r="CL108" s="407"/>
      <c r="CM108" s="41">
        <f>AU108/'1. Väestöennuste'!L108*1000</f>
        <v>4365.1977105398637</v>
      </c>
      <c r="CN108" s="41">
        <f>BC108/'1. Väestöennuste'!M108*1000</f>
        <v>1295.0562969034891</v>
      </c>
      <c r="CO108" s="41">
        <f>BK108/'1. Väestöennuste'!N108*1000</f>
        <v>1306.616977357668</v>
      </c>
      <c r="CP108" s="41">
        <f>BQ108/'1. Väestöennuste'!O108*1000</f>
        <v>1331.9383889962378</v>
      </c>
      <c r="CQ108" s="41">
        <f>BY108/'1. Väestöennuste'!P108*1000</f>
        <v>1207.5048065156216</v>
      </c>
      <c r="CR108" s="41">
        <f>CE108/'1. Väestöennuste'!Q108*1000</f>
        <v>1203.7669044170996</v>
      </c>
      <c r="CS108" s="41">
        <f>CK108/'1. Väestöennuste'!R108*1000</f>
        <v>1280.0498829089888</v>
      </c>
      <c r="CT108" s="41"/>
      <c r="CV108" s="41">
        <f t="shared" si="53"/>
        <v>5311.8823843290484</v>
      </c>
      <c r="CW108" s="41">
        <f t="shared" si="54"/>
        <v>-725.56067378918488</v>
      </c>
      <c r="CX108" s="41">
        <f t="shared" si="55"/>
        <v>-3070.1414136363746</v>
      </c>
      <c r="CY108" s="41">
        <f t="shared" si="56"/>
        <v>11.560680454178964</v>
      </c>
      <c r="CZ108" s="41">
        <f t="shared" si="57"/>
        <v>25.321411638569771</v>
      </c>
      <c r="DA108" s="41">
        <f t="shared" si="58"/>
        <v>-124.43358248061622</v>
      </c>
      <c r="DB108" s="41">
        <f t="shared" si="59"/>
        <v>-3.7379020985219995</v>
      </c>
      <c r="DC108" s="41">
        <f t="shared" si="60"/>
        <v>76.282978491889253</v>
      </c>
      <c r="DD108" s="41"/>
      <c r="DE108" s="283">
        <f t="shared" si="61"/>
        <v>-24.022188384476802</v>
      </c>
      <c r="DF108" s="283">
        <f t="shared" si="62"/>
        <v>-0.14252506581783339</v>
      </c>
      <c r="DG108" s="283">
        <f t="shared" si="63"/>
        <v>-0.70332241910222126</v>
      </c>
      <c r="DH108" s="283">
        <f t="shared" si="64"/>
        <v>8.9267783044033149E-3</v>
      </c>
      <c r="DI108" s="283">
        <f t="shared" si="65"/>
        <v>1.9379368305604366E-2</v>
      </c>
      <c r="DJ108" s="283">
        <f t="shared" si="66"/>
        <v>-9.3422926697375716E-2</v>
      </c>
      <c r="DK108" s="283">
        <f t="shared" si="67"/>
        <v>-3.0955587740541571E-3</v>
      </c>
      <c r="DL108" s="283">
        <f t="shared" si="68"/>
        <v>6.3370224095692165E-2</v>
      </c>
    </row>
    <row r="109" spans="1:116" x14ac:dyDescent="0.2">
      <c r="A109" s="30">
        <v>275</v>
      </c>
      <c r="B109" s="31" t="s">
        <v>423</v>
      </c>
      <c r="C109" s="65"/>
      <c r="D109" s="65"/>
      <c r="E109" s="65"/>
      <c r="F109" s="65"/>
      <c r="G109" s="65"/>
      <c r="H109" s="65">
        <v>9398</v>
      </c>
      <c r="I109" s="65"/>
      <c r="J109" s="65"/>
      <c r="K109" s="65"/>
      <c r="L109" s="65"/>
      <c r="M109" s="65"/>
      <c r="N109" s="65">
        <v>9002</v>
      </c>
      <c r="O109" s="65"/>
      <c r="P109" s="65"/>
      <c r="Q109" s="65"/>
      <c r="R109" s="65"/>
      <c r="S109" s="65"/>
      <c r="T109" s="65">
        <v>8792</v>
      </c>
      <c r="U109" s="65"/>
      <c r="V109" s="65"/>
      <c r="W109" s="65"/>
      <c r="X109" s="65"/>
      <c r="Y109" s="65"/>
      <c r="Z109" s="65">
        <v>8525</v>
      </c>
      <c r="AA109" s="65"/>
      <c r="AB109" s="66">
        <v>8589.5571782627612</v>
      </c>
      <c r="AC109" s="34">
        <v>44.22756301197974</v>
      </c>
      <c r="AD109" s="180">
        <v>1509.1001062365542</v>
      </c>
      <c r="AE109" s="65">
        <v>360</v>
      </c>
      <c r="AF109" s="34">
        <v>-105.029</v>
      </c>
      <c r="AG109" s="65">
        <f t="shared" si="47"/>
        <v>10397.855847511295</v>
      </c>
      <c r="AH109" s="65"/>
      <c r="AI109" s="66">
        <v>8360.2362987050747</v>
      </c>
      <c r="AJ109" s="34">
        <v>-34.053407642204121</v>
      </c>
      <c r="AK109" s="181">
        <v>1609.4100361853941</v>
      </c>
      <c r="AL109" s="65">
        <v>480</v>
      </c>
      <c r="AM109" s="34">
        <v>10.436999999999999</v>
      </c>
      <c r="AN109" s="65">
        <f t="shared" si="48"/>
        <v>10426.029927248264</v>
      </c>
      <c r="AO109" s="65"/>
      <c r="AP109" s="41">
        <v>8599.5325585346036</v>
      </c>
      <c r="AQ109" s="41">
        <v>-10.442044550105878</v>
      </c>
      <c r="AR109" s="41">
        <v>1833.3328012748254</v>
      </c>
      <c r="AS109" s="65">
        <v>0</v>
      </c>
      <c r="AT109" s="34">
        <v>-20.093</v>
      </c>
      <c r="AU109" s="65">
        <f t="shared" si="49"/>
        <v>10402.330315259323</v>
      </c>
      <c r="AV109" s="65"/>
      <c r="AW109" s="41">
        <v>2412.6818414779532</v>
      </c>
      <c r="AX109" s="314"/>
      <c r="AY109" s="314"/>
      <c r="AZ109" s="41">
        <v>533.57840248448531</v>
      </c>
      <c r="BA109" s="65">
        <v>0</v>
      </c>
      <c r="BB109" s="34">
        <v>-99.691000000000003</v>
      </c>
      <c r="BC109" s="65">
        <f t="shared" si="69"/>
        <v>2846.5692439624386</v>
      </c>
      <c r="BD109" s="65"/>
      <c r="BE109" s="41">
        <v>2026.4415828358838</v>
      </c>
      <c r="BF109" s="314"/>
      <c r="BG109" s="314"/>
      <c r="BH109" s="41">
        <v>522.31278285279006</v>
      </c>
      <c r="BI109" s="65">
        <v>0</v>
      </c>
      <c r="BJ109" s="34">
        <v>-55.134999999999998</v>
      </c>
      <c r="BK109" s="65">
        <f t="shared" si="70"/>
        <v>2493.6193656886735</v>
      </c>
      <c r="BL109" s="65"/>
      <c r="BM109" s="41">
        <v>2425.2391008652494</v>
      </c>
      <c r="BN109" s="41">
        <v>351.48258529925903</v>
      </c>
      <c r="BO109" s="65">
        <v>0</v>
      </c>
      <c r="BP109" s="34">
        <v>-55.134999999999998</v>
      </c>
      <c r="BQ109" s="65">
        <f t="shared" si="50"/>
        <v>2721.5866861645081</v>
      </c>
      <c r="BR109" s="65"/>
      <c r="BS109" s="41">
        <v>2112.8397589920387</v>
      </c>
      <c r="BT109" s="314"/>
      <c r="BU109" s="314"/>
      <c r="BV109" s="41">
        <v>379.08349452911949</v>
      </c>
      <c r="BW109" s="65">
        <v>0</v>
      </c>
      <c r="BX109" s="34">
        <v>-55.134999999999998</v>
      </c>
      <c r="BY109" s="65">
        <f t="shared" si="71"/>
        <v>2436.7882535211579</v>
      </c>
      <c r="CA109" s="5">
        <v>2046.5038227969524</v>
      </c>
      <c r="CB109" s="407">
        <v>406.77673840565461</v>
      </c>
      <c r="CC109" s="415">
        <v>0</v>
      </c>
      <c r="CD109" s="34">
        <v>-55.134999999999998</v>
      </c>
      <c r="CE109" s="65">
        <f t="shared" si="51"/>
        <v>2398.1455612026066</v>
      </c>
      <c r="CF109" s="407"/>
      <c r="CG109" s="5">
        <v>2295.8198124960413</v>
      </c>
      <c r="CH109" s="407">
        <v>431.22652360695781</v>
      </c>
      <c r="CI109" s="415">
        <v>0</v>
      </c>
      <c r="CJ109" s="34">
        <v>-55.134999999999998</v>
      </c>
      <c r="CK109" s="65">
        <f t="shared" si="52"/>
        <v>2671.911336102999</v>
      </c>
      <c r="CL109" s="407"/>
      <c r="CM109" s="41">
        <f>AU109/'1. Väestöennuste'!L109*1000</f>
        <v>4126.2714459576846</v>
      </c>
      <c r="CN109" s="41">
        <f>BC109/'1. Väestöennuste'!M109*1000</f>
        <v>1139.0833309173422</v>
      </c>
      <c r="CO109" s="41">
        <f>BK109/'1. Väestöennuste'!N109*1000</f>
        <v>1017.8038227300708</v>
      </c>
      <c r="CP109" s="41">
        <f>BQ109/'1. Väestöennuste'!O109*1000</f>
        <v>1125.0875097827648</v>
      </c>
      <c r="CQ109" s="41">
        <f>BY109/'1. Väestöennuste'!P109*1000</f>
        <v>1019.5766751134552</v>
      </c>
      <c r="CR109" s="41">
        <f>CE109/'1. Väestöennuste'!Q109*1000</f>
        <v>1016.163373390935</v>
      </c>
      <c r="CS109" s="41">
        <f>CK109/'1. Väestöennuste'!R109*1000</f>
        <v>1146.251109439296</v>
      </c>
      <c r="CT109" s="41"/>
      <c r="CV109" s="41">
        <f t="shared" si="53"/>
        <v>2727.0463361029992</v>
      </c>
      <c r="CW109" s="41">
        <f t="shared" si="54"/>
        <v>1454.3601098546856</v>
      </c>
      <c r="CX109" s="41">
        <f t="shared" si="55"/>
        <v>-2987.1881150403424</v>
      </c>
      <c r="CY109" s="41">
        <f t="shared" si="56"/>
        <v>-121.2795081872714</v>
      </c>
      <c r="CZ109" s="41">
        <f t="shared" si="57"/>
        <v>107.28368705269395</v>
      </c>
      <c r="DA109" s="41">
        <f t="shared" si="58"/>
        <v>-105.51083466930959</v>
      </c>
      <c r="DB109" s="41">
        <f t="shared" si="59"/>
        <v>-3.4133017225201456</v>
      </c>
      <c r="DC109" s="41">
        <f t="shared" si="60"/>
        <v>130.08773604836097</v>
      </c>
      <c r="DD109" s="41"/>
      <c r="DE109" s="283">
        <f t="shared" si="61"/>
        <v>-49.461255755926352</v>
      </c>
      <c r="DF109" s="283">
        <f t="shared" si="62"/>
        <v>0.54431451006749343</v>
      </c>
      <c r="DG109" s="283">
        <f t="shared" si="63"/>
        <v>-0.72394367509843571</v>
      </c>
      <c r="DH109" s="283">
        <f t="shared" si="64"/>
        <v>-0.10647114648723806</v>
      </c>
      <c r="DI109" s="283">
        <f t="shared" si="65"/>
        <v>0.10540703881905775</v>
      </c>
      <c r="DJ109" s="283">
        <f t="shared" si="66"/>
        <v>-9.3780113770600776E-2</v>
      </c>
      <c r="DK109" s="283">
        <f t="shared" si="67"/>
        <v>-3.3477636413566684E-3</v>
      </c>
      <c r="DL109" s="283">
        <f t="shared" si="68"/>
        <v>0.1280185248305678</v>
      </c>
    </row>
    <row r="110" spans="1:116" x14ac:dyDescent="0.2">
      <c r="A110" s="30">
        <v>276</v>
      </c>
      <c r="B110" s="31" t="s">
        <v>424</v>
      </c>
      <c r="C110" s="65"/>
      <c r="D110" s="65"/>
      <c r="E110" s="65"/>
      <c r="F110" s="65"/>
      <c r="G110" s="65"/>
      <c r="H110" s="65">
        <v>23860</v>
      </c>
      <c r="I110" s="65"/>
      <c r="J110" s="65"/>
      <c r="K110" s="65"/>
      <c r="L110" s="65"/>
      <c r="M110" s="65"/>
      <c r="N110" s="65">
        <v>23393</v>
      </c>
      <c r="O110" s="65"/>
      <c r="P110" s="65"/>
      <c r="Q110" s="65"/>
      <c r="R110" s="65"/>
      <c r="S110" s="65"/>
      <c r="T110" s="65">
        <v>23015</v>
      </c>
      <c r="U110" s="65"/>
      <c r="V110" s="65"/>
      <c r="W110" s="65"/>
      <c r="X110" s="65"/>
      <c r="Y110" s="65"/>
      <c r="Z110" s="65">
        <v>24397</v>
      </c>
      <c r="AA110" s="65"/>
      <c r="AB110" s="66">
        <v>25411.046018685276</v>
      </c>
      <c r="AC110" s="34">
        <v>260.22457436031812</v>
      </c>
      <c r="AD110" s="180">
        <v>5463.0549579271146</v>
      </c>
      <c r="AE110" s="65">
        <v>0</v>
      </c>
      <c r="AF110" s="34">
        <v>-1276.383</v>
      </c>
      <c r="AG110" s="65">
        <f t="shared" si="47"/>
        <v>29857.942550972708</v>
      </c>
      <c r="AH110" s="65"/>
      <c r="AI110" s="66">
        <v>22234.893558872122</v>
      </c>
      <c r="AJ110" s="34">
        <v>-202.48791068045296</v>
      </c>
      <c r="AK110" s="181">
        <v>5917.4708608069841</v>
      </c>
      <c r="AL110" s="65">
        <v>0</v>
      </c>
      <c r="AM110" s="34">
        <v>-2324.0010000000002</v>
      </c>
      <c r="AN110" s="65">
        <f t="shared" si="48"/>
        <v>25625.875508998652</v>
      </c>
      <c r="AO110" s="65"/>
      <c r="AP110" s="41">
        <v>22835.500348967547</v>
      </c>
      <c r="AQ110" s="41">
        <v>-62.709011665433621</v>
      </c>
      <c r="AR110" s="41">
        <v>6888.3057365979803</v>
      </c>
      <c r="AS110" s="65">
        <v>0</v>
      </c>
      <c r="AT110" s="34">
        <v>-1632.645</v>
      </c>
      <c r="AU110" s="65">
        <f t="shared" si="49"/>
        <v>28028.452073900095</v>
      </c>
      <c r="AV110" s="65"/>
      <c r="AW110" s="41">
        <v>18712.02343990466</v>
      </c>
      <c r="AX110" s="314"/>
      <c r="AY110" s="314"/>
      <c r="AZ110" s="41">
        <v>2027.8009120636734</v>
      </c>
      <c r="BA110" s="65">
        <v>0</v>
      </c>
      <c r="BB110" s="34">
        <v>-1648.2239999999999</v>
      </c>
      <c r="BC110" s="65">
        <f t="shared" si="69"/>
        <v>19091.600351968336</v>
      </c>
      <c r="BD110" s="65"/>
      <c r="BE110" s="41">
        <v>16576.296396346053</v>
      </c>
      <c r="BF110" s="314"/>
      <c r="BG110" s="314"/>
      <c r="BH110" s="41">
        <v>1992.4202016603904</v>
      </c>
      <c r="BI110" s="65">
        <v>0</v>
      </c>
      <c r="BJ110" s="34">
        <v>-1818.6610000000001</v>
      </c>
      <c r="BK110" s="65">
        <f t="shared" si="70"/>
        <v>16750.055598006446</v>
      </c>
      <c r="BL110" s="65"/>
      <c r="BM110" s="41">
        <v>18403.678585906233</v>
      </c>
      <c r="BN110" s="41">
        <v>934.99641901364805</v>
      </c>
      <c r="BO110" s="65">
        <v>0</v>
      </c>
      <c r="BP110" s="34">
        <v>-1818.6610000000001</v>
      </c>
      <c r="BQ110" s="65">
        <f t="shared" si="50"/>
        <v>17520.014004919882</v>
      </c>
      <c r="BR110" s="65"/>
      <c r="BS110" s="41">
        <v>18159.726095605136</v>
      </c>
      <c r="BT110" s="314"/>
      <c r="BU110" s="314"/>
      <c r="BV110" s="41">
        <v>1028.7541632128987</v>
      </c>
      <c r="BW110" s="65">
        <v>0</v>
      </c>
      <c r="BX110" s="34">
        <v>-1818.6610000000001</v>
      </c>
      <c r="BY110" s="65">
        <f t="shared" si="71"/>
        <v>17369.819258818035</v>
      </c>
      <c r="CA110" s="5">
        <v>18310.398160650624</v>
      </c>
      <c r="CB110" s="407">
        <v>1138.2854449855092</v>
      </c>
      <c r="CC110" s="415">
        <v>0</v>
      </c>
      <c r="CD110" s="34">
        <v>-1818.6610000000001</v>
      </c>
      <c r="CE110" s="65">
        <f t="shared" si="51"/>
        <v>17630.022605636132</v>
      </c>
      <c r="CF110" s="407"/>
      <c r="CG110" s="5">
        <v>18841.85059684185</v>
      </c>
      <c r="CH110" s="407">
        <v>1228.4303837939067</v>
      </c>
      <c r="CI110" s="415">
        <v>0</v>
      </c>
      <c r="CJ110" s="34">
        <v>-1818.6610000000001</v>
      </c>
      <c r="CK110" s="65">
        <f t="shared" si="52"/>
        <v>18251.619980635758</v>
      </c>
      <c r="CL110" s="407"/>
      <c r="CM110" s="41">
        <f>AU110/'1. Väestöennuste'!L110*1000</f>
        <v>1849.2084234281251</v>
      </c>
      <c r="CN110" s="41">
        <f>BC110/'1. Väestöennuste'!M110*1000</f>
        <v>1261.3372325560476</v>
      </c>
      <c r="CO110" s="41">
        <f>BK110/'1. Väestöennuste'!N110*1000</f>
        <v>1120.4800052181715</v>
      </c>
      <c r="CP110" s="41">
        <f>BQ110/'1. Väestöennuste'!O110*1000</f>
        <v>1172.2209290057463</v>
      </c>
      <c r="CQ110" s="41">
        <f>BY110/'1. Väestöennuste'!P110*1000</f>
        <v>1163.2614022781968</v>
      </c>
      <c r="CR110" s="41">
        <f>CE110/'1. Väestöennuste'!Q110*1000</f>
        <v>1182.3501177410053</v>
      </c>
      <c r="CS110" s="41">
        <f>CK110/'1. Väestöennuste'!R110*1000</f>
        <v>1226.4225225531352</v>
      </c>
      <c r="CT110" s="41"/>
      <c r="CV110" s="41">
        <f t="shared" si="53"/>
        <v>20070.280980635758</v>
      </c>
      <c r="CW110" s="41">
        <f t="shared" si="54"/>
        <v>-16402.411557207633</v>
      </c>
      <c r="CX110" s="41">
        <f t="shared" si="55"/>
        <v>-587.87119087207748</v>
      </c>
      <c r="CY110" s="41">
        <f t="shared" si="56"/>
        <v>-140.85722733787611</v>
      </c>
      <c r="CZ110" s="41">
        <f t="shared" si="57"/>
        <v>51.740923787574729</v>
      </c>
      <c r="DA110" s="41">
        <f t="shared" si="58"/>
        <v>-8.9595267275494734</v>
      </c>
      <c r="DB110" s="41">
        <f t="shared" si="59"/>
        <v>19.088715462808523</v>
      </c>
      <c r="DC110" s="41">
        <f t="shared" si="60"/>
        <v>44.072404812129889</v>
      </c>
      <c r="DD110" s="41"/>
      <c r="DE110" s="283">
        <f t="shared" si="61"/>
        <v>-11.035746068473321</v>
      </c>
      <c r="DF110" s="283">
        <f t="shared" si="62"/>
        <v>-0.89868250460013621</v>
      </c>
      <c r="DG110" s="283">
        <f t="shared" si="63"/>
        <v>-0.31790423590125227</v>
      </c>
      <c r="DH110" s="283">
        <f t="shared" si="64"/>
        <v>-0.11167293226763375</v>
      </c>
      <c r="DI110" s="283">
        <f t="shared" si="65"/>
        <v>4.6177462825407689E-2</v>
      </c>
      <c r="DJ110" s="283">
        <f t="shared" si="66"/>
        <v>-7.643206588325257E-3</v>
      </c>
      <c r="DK110" s="283">
        <f t="shared" si="67"/>
        <v>1.6409652572864624E-2</v>
      </c>
      <c r="DL110" s="283">
        <f t="shared" si="68"/>
        <v>3.7275257261643019E-2</v>
      </c>
    </row>
    <row r="111" spans="1:116" x14ac:dyDescent="0.2">
      <c r="A111" s="30">
        <v>280</v>
      </c>
      <c r="B111" s="31" t="s">
        <v>425</v>
      </c>
      <c r="C111" s="65"/>
      <c r="D111" s="65"/>
      <c r="E111" s="65"/>
      <c r="F111" s="65"/>
      <c r="G111" s="65"/>
      <c r="H111" s="65">
        <v>7121</v>
      </c>
      <c r="I111" s="65"/>
      <c r="J111" s="65"/>
      <c r="K111" s="65"/>
      <c r="L111" s="65"/>
      <c r="M111" s="65"/>
      <c r="N111" s="65">
        <v>6824</v>
      </c>
      <c r="O111" s="65"/>
      <c r="P111" s="65"/>
      <c r="Q111" s="65"/>
      <c r="R111" s="65"/>
      <c r="S111" s="65"/>
      <c r="T111" s="65">
        <v>6535</v>
      </c>
      <c r="U111" s="65"/>
      <c r="V111" s="65"/>
      <c r="W111" s="65"/>
      <c r="X111" s="65"/>
      <c r="Y111" s="65"/>
      <c r="Z111" s="65">
        <v>6995</v>
      </c>
      <c r="AA111" s="65"/>
      <c r="AB111" s="66">
        <v>6425.7143572293171</v>
      </c>
      <c r="AC111" s="34">
        <v>32.73758803709034</v>
      </c>
      <c r="AD111" s="180">
        <v>1413.3678177488653</v>
      </c>
      <c r="AE111" s="65">
        <v>0</v>
      </c>
      <c r="AF111" s="34">
        <v>-331.601</v>
      </c>
      <c r="AG111" s="65">
        <f t="shared" si="47"/>
        <v>7540.218763015273</v>
      </c>
      <c r="AH111" s="65"/>
      <c r="AI111" s="66">
        <v>6232.9489088619475</v>
      </c>
      <c r="AJ111" s="34">
        <v>-25.265778218607725</v>
      </c>
      <c r="AK111" s="181">
        <v>1515.9412239510791</v>
      </c>
      <c r="AL111" s="65">
        <v>0</v>
      </c>
      <c r="AM111" s="34">
        <v>-431.12400000000002</v>
      </c>
      <c r="AN111" s="65">
        <f t="shared" si="48"/>
        <v>7292.5003545944192</v>
      </c>
      <c r="AO111" s="65"/>
      <c r="AP111" s="41">
        <v>6066.5318348427099</v>
      </c>
      <c r="AQ111" s="41">
        <v>-7.7473259206584677</v>
      </c>
      <c r="AR111" s="41">
        <v>1719.4916411110203</v>
      </c>
      <c r="AS111" s="65">
        <v>0</v>
      </c>
      <c r="AT111" s="34">
        <v>-259.19600000000003</v>
      </c>
      <c r="AU111" s="65">
        <f t="shared" si="49"/>
        <v>7519.0801500330726</v>
      </c>
      <c r="AV111" s="65"/>
      <c r="AW111" s="41">
        <v>2542.8058981489694</v>
      </c>
      <c r="AX111" s="314"/>
      <c r="AY111" s="314"/>
      <c r="AZ111" s="41">
        <v>505.16802661108017</v>
      </c>
      <c r="BA111" s="65">
        <v>0</v>
      </c>
      <c r="BB111" s="34">
        <v>-273.637</v>
      </c>
      <c r="BC111" s="65">
        <f t="shared" si="69"/>
        <v>2774.3369247600494</v>
      </c>
      <c r="BD111" s="65"/>
      <c r="BE111" s="41">
        <v>2636.9045749153652</v>
      </c>
      <c r="BF111" s="314"/>
      <c r="BG111" s="314"/>
      <c r="BH111" s="41">
        <v>497.20674342637085</v>
      </c>
      <c r="BI111" s="65">
        <v>0</v>
      </c>
      <c r="BJ111" s="34">
        <v>-276.66500000000002</v>
      </c>
      <c r="BK111" s="65">
        <f t="shared" si="70"/>
        <v>2857.4463183417361</v>
      </c>
      <c r="BL111" s="65"/>
      <c r="BM111" s="41">
        <v>2960.6430102385357</v>
      </c>
      <c r="BN111" s="41">
        <v>335.62957428664691</v>
      </c>
      <c r="BO111" s="65">
        <v>0</v>
      </c>
      <c r="BP111" s="34">
        <v>-276.66500000000002</v>
      </c>
      <c r="BQ111" s="65">
        <f t="shared" si="50"/>
        <v>3019.6075845251826</v>
      </c>
      <c r="BR111" s="65"/>
      <c r="BS111" s="41">
        <v>2993.2759396582333</v>
      </c>
      <c r="BT111" s="314"/>
      <c r="BU111" s="314"/>
      <c r="BV111" s="41">
        <v>360.1293679151151</v>
      </c>
      <c r="BW111" s="65">
        <v>0</v>
      </c>
      <c r="BX111" s="34">
        <v>-276.66500000000002</v>
      </c>
      <c r="BY111" s="65">
        <f t="shared" si="71"/>
        <v>3076.7403075733482</v>
      </c>
      <c r="CA111" s="5">
        <v>2940.9668097939566</v>
      </c>
      <c r="CB111" s="407">
        <v>384.63197729785395</v>
      </c>
      <c r="CC111" s="415">
        <v>0</v>
      </c>
      <c r="CD111" s="34">
        <v>-276.66500000000002</v>
      </c>
      <c r="CE111" s="65">
        <f t="shared" si="51"/>
        <v>3048.9337870918107</v>
      </c>
      <c r="CF111" s="407"/>
      <c r="CG111" s="5">
        <v>2988.1847122771569</v>
      </c>
      <c r="CH111" s="407">
        <v>406.68910748904079</v>
      </c>
      <c r="CI111" s="415">
        <v>0</v>
      </c>
      <c r="CJ111" s="34">
        <v>-276.66500000000002</v>
      </c>
      <c r="CK111" s="65">
        <f t="shared" si="52"/>
        <v>3118.2088197661978</v>
      </c>
      <c r="CL111" s="407"/>
      <c r="CM111" s="41">
        <f>AU111/'1. Väestöennuste'!L111*1000</f>
        <v>3714.9605484353128</v>
      </c>
      <c r="CN111" s="41">
        <f>BC111/'1. Väestöennuste'!M111*1000</f>
        <v>1376.8421462829031</v>
      </c>
      <c r="CO111" s="41">
        <f>BK111/'1. Väestöennuste'!N111*1000</f>
        <v>1418.0875028991247</v>
      </c>
      <c r="CP111" s="41">
        <f>BQ111/'1. Väestöennuste'!O111*1000</f>
        <v>1506.0386955237818</v>
      </c>
      <c r="CQ111" s="41">
        <f>BY111/'1. Väestöennuste'!P111*1000</f>
        <v>1542.2257180818788</v>
      </c>
      <c r="CR111" s="41">
        <f>CE111/'1. Väestöennuste'!Q111*1000</f>
        <v>1538.3116988354241</v>
      </c>
      <c r="CS111" s="41">
        <f>CK111/'1. Väestöennuste'!R111*1000</f>
        <v>1582.0440485876195</v>
      </c>
      <c r="CT111" s="41"/>
      <c r="CV111" s="41">
        <f t="shared" si="53"/>
        <v>3394.8738197661978</v>
      </c>
      <c r="CW111" s="41">
        <f t="shared" si="54"/>
        <v>596.75172866911498</v>
      </c>
      <c r="CX111" s="41">
        <f t="shared" si="55"/>
        <v>-2338.1184021524095</v>
      </c>
      <c r="CY111" s="41">
        <f t="shared" si="56"/>
        <v>41.24535661622167</v>
      </c>
      <c r="CZ111" s="41">
        <f t="shared" si="57"/>
        <v>87.951192624657097</v>
      </c>
      <c r="DA111" s="41">
        <f t="shared" si="58"/>
        <v>36.187022558096942</v>
      </c>
      <c r="DB111" s="41">
        <f t="shared" si="59"/>
        <v>-3.9140192464546999</v>
      </c>
      <c r="DC111" s="41">
        <f t="shared" si="60"/>
        <v>43.732349752195432</v>
      </c>
      <c r="DD111" s="41"/>
      <c r="DE111" s="283">
        <f t="shared" si="61"/>
        <v>-12.270702184107847</v>
      </c>
      <c r="DF111" s="283">
        <f t="shared" si="62"/>
        <v>0.19137644819882821</v>
      </c>
      <c r="DG111" s="283">
        <f t="shared" si="63"/>
        <v>-0.62937906652526654</v>
      </c>
      <c r="DH111" s="283">
        <f t="shared" si="64"/>
        <v>2.9956489004620352E-2</v>
      </c>
      <c r="DI111" s="283">
        <f t="shared" si="65"/>
        <v>6.2020991261012105E-2</v>
      </c>
      <c r="DJ111" s="283">
        <f t="shared" si="66"/>
        <v>2.4027950055766356E-2</v>
      </c>
      <c r="DK111" s="283">
        <f t="shared" si="67"/>
        <v>-2.5379029804552251E-3</v>
      </c>
      <c r="DL111" s="283">
        <f t="shared" si="68"/>
        <v>2.842879618305115E-2</v>
      </c>
    </row>
    <row r="112" spans="1:116" x14ac:dyDescent="0.2">
      <c r="A112" s="30">
        <v>284</v>
      </c>
      <c r="B112" s="31" t="s">
        <v>426</v>
      </c>
      <c r="C112" s="65"/>
      <c r="D112" s="65"/>
      <c r="E112" s="65"/>
      <c r="F112" s="65"/>
      <c r="G112" s="65"/>
      <c r="H112" s="65">
        <v>7515</v>
      </c>
      <c r="I112" s="65"/>
      <c r="J112" s="65"/>
      <c r="K112" s="65"/>
      <c r="L112" s="65"/>
      <c r="M112" s="65"/>
      <c r="N112" s="65">
        <v>7397</v>
      </c>
      <c r="O112" s="65"/>
      <c r="P112" s="65"/>
      <c r="Q112" s="65"/>
      <c r="R112" s="65"/>
      <c r="S112" s="65"/>
      <c r="T112" s="65">
        <v>7517</v>
      </c>
      <c r="U112" s="65"/>
      <c r="V112" s="65"/>
      <c r="W112" s="65"/>
      <c r="X112" s="65"/>
      <c r="Y112" s="65"/>
      <c r="Z112" s="65">
        <v>7581</v>
      </c>
      <c r="AA112" s="65"/>
      <c r="AB112" s="66">
        <v>6513.0773259313164</v>
      </c>
      <c r="AC112" s="34">
        <v>35.680007346978726</v>
      </c>
      <c r="AD112" s="180">
        <v>1319.1731700158589</v>
      </c>
      <c r="AE112" s="65">
        <v>0</v>
      </c>
      <c r="AF112" s="34">
        <v>701.76</v>
      </c>
      <c r="AG112" s="65">
        <f t="shared" si="47"/>
        <v>8569.690503294154</v>
      </c>
      <c r="AH112" s="65"/>
      <c r="AI112" s="66">
        <v>6524.647817588143</v>
      </c>
      <c r="AJ112" s="34">
        <v>-27.492926986569792</v>
      </c>
      <c r="AK112" s="181">
        <v>1410.0502565862289</v>
      </c>
      <c r="AL112" s="65">
        <v>0</v>
      </c>
      <c r="AM112" s="34">
        <v>469.93900000000002</v>
      </c>
      <c r="AN112" s="65">
        <f t="shared" si="48"/>
        <v>8377.1441471878024</v>
      </c>
      <c r="AO112" s="65"/>
      <c r="AP112" s="41">
        <v>6945.1122410172275</v>
      </c>
      <c r="AQ112" s="41">
        <v>-8.4465843854293787</v>
      </c>
      <c r="AR112" s="41">
        <v>1596.6324512835754</v>
      </c>
      <c r="AS112" s="65">
        <v>0</v>
      </c>
      <c r="AT112" s="34">
        <v>876.84500000000003</v>
      </c>
      <c r="AU112" s="65">
        <f t="shared" si="49"/>
        <v>9410.1431079153717</v>
      </c>
      <c r="AV112" s="65"/>
      <c r="AW112" s="41">
        <v>3155.0111458923971</v>
      </c>
      <c r="AX112" s="314"/>
      <c r="AY112" s="314"/>
      <c r="AZ112" s="41">
        <v>510.91709850622595</v>
      </c>
      <c r="BA112" s="65">
        <v>0</v>
      </c>
      <c r="BB112" s="34">
        <v>648.35</v>
      </c>
      <c r="BC112" s="65">
        <f t="shared" si="69"/>
        <v>4314.2782443986234</v>
      </c>
      <c r="BD112" s="65"/>
      <c r="BE112" s="41">
        <v>2226.8954311145917</v>
      </c>
      <c r="BF112" s="314"/>
      <c r="BG112" s="314"/>
      <c r="BH112" s="41">
        <v>507.17486370960592</v>
      </c>
      <c r="BI112" s="65">
        <v>0</v>
      </c>
      <c r="BJ112" s="34">
        <v>856.52</v>
      </c>
      <c r="BK112" s="65">
        <f t="shared" si="70"/>
        <v>3590.5902948241978</v>
      </c>
      <c r="BL112" s="65"/>
      <c r="BM112" s="41">
        <v>1754.1537617353495</v>
      </c>
      <c r="BN112" s="41">
        <v>391.36119376796523</v>
      </c>
      <c r="BO112" s="65">
        <v>0</v>
      </c>
      <c r="BP112" s="34">
        <v>856.52</v>
      </c>
      <c r="BQ112" s="65">
        <f t="shared" si="50"/>
        <v>3002.0349555033149</v>
      </c>
      <c r="BR112" s="65"/>
      <c r="BS112" s="41">
        <v>1439.5759348345539</v>
      </c>
      <c r="BT112" s="314"/>
      <c r="BU112" s="314"/>
      <c r="BV112" s="41">
        <v>411.8899546719806</v>
      </c>
      <c r="BW112" s="65">
        <v>0</v>
      </c>
      <c r="BX112" s="34">
        <v>856.52</v>
      </c>
      <c r="BY112" s="65">
        <f t="shared" si="71"/>
        <v>2707.9858895065345</v>
      </c>
      <c r="CA112" s="5">
        <v>1367.0696902371803</v>
      </c>
      <c r="CB112" s="407">
        <v>433.1832695323867</v>
      </c>
      <c r="CC112" s="415">
        <v>0</v>
      </c>
      <c r="CD112" s="34">
        <v>856.52</v>
      </c>
      <c r="CE112" s="65">
        <f t="shared" si="51"/>
        <v>2656.772959769567</v>
      </c>
      <c r="CF112" s="407"/>
      <c r="CG112" s="5">
        <v>1652.5102824565911</v>
      </c>
      <c r="CH112" s="407">
        <v>451.58921254742359</v>
      </c>
      <c r="CI112" s="415">
        <v>0</v>
      </c>
      <c r="CJ112" s="34">
        <v>856.52</v>
      </c>
      <c r="CK112" s="65">
        <f t="shared" si="52"/>
        <v>2960.6194950040149</v>
      </c>
      <c r="CL112" s="407"/>
      <c r="CM112" s="41">
        <f>AU112/'1. Väestöennuste'!L112*1000</f>
        <v>4225.4796173845407</v>
      </c>
      <c r="CN112" s="41">
        <f>BC112/'1. Väestöennuste'!M112*1000</f>
        <v>1954.8156975073057</v>
      </c>
      <c r="CO112" s="41">
        <f>BK112/'1. Väestöennuste'!N112*1000</f>
        <v>1633.5715627043664</v>
      </c>
      <c r="CP112" s="41">
        <f>BQ112/'1. Väestöennuste'!O112*1000</f>
        <v>1378.97793086969</v>
      </c>
      <c r="CQ112" s="41">
        <f>BY112/'1. Väestöennuste'!P112*1000</f>
        <v>1255.4408388996451</v>
      </c>
      <c r="CR112" s="41">
        <f>CE112/'1. Väestöennuste'!Q112*1000</f>
        <v>1242.0630947964314</v>
      </c>
      <c r="CS112" s="41">
        <f>CK112/'1. Väestöennuste'!R112*1000</f>
        <v>1397.8373441945303</v>
      </c>
      <c r="CT112" s="41"/>
      <c r="CV112" s="41">
        <f t="shared" si="53"/>
        <v>2104.0994950040149</v>
      </c>
      <c r="CW112" s="41">
        <f t="shared" si="54"/>
        <v>1264.8601223805258</v>
      </c>
      <c r="CX112" s="41">
        <f t="shared" si="55"/>
        <v>-2270.663919877235</v>
      </c>
      <c r="CY112" s="41">
        <f t="shared" si="56"/>
        <v>-321.24413480293924</v>
      </c>
      <c r="CZ112" s="41">
        <f t="shared" si="57"/>
        <v>-254.59363183467644</v>
      </c>
      <c r="DA112" s="41">
        <f t="shared" si="58"/>
        <v>-123.53709197004491</v>
      </c>
      <c r="DB112" s="41">
        <f t="shared" si="59"/>
        <v>-13.377744103213672</v>
      </c>
      <c r="DC112" s="41">
        <f t="shared" si="60"/>
        <v>155.77424939809885</v>
      </c>
      <c r="DD112" s="41"/>
      <c r="DE112" s="283">
        <f t="shared" si="61"/>
        <v>2.4565678501424544</v>
      </c>
      <c r="DF112" s="283">
        <f t="shared" si="62"/>
        <v>0.42722819481360286</v>
      </c>
      <c r="DG112" s="283">
        <f t="shared" si="63"/>
        <v>-0.5373742451709459</v>
      </c>
      <c r="DH112" s="283">
        <f t="shared" si="64"/>
        <v>-0.16433474276504711</v>
      </c>
      <c r="DI112" s="283">
        <f t="shared" si="65"/>
        <v>-0.15585092055177457</v>
      </c>
      <c r="DJ112" s="283">
        <f t="shared" si="66"/>
        <v>-8.9585981910626292E-2</v>
      </c>
      <c r="DK112" s="283">
        <f t="shared" si="67"/>
        <v>-1.0655814028591622E-2</v>
      </c>
      <c r="DL112" s="283">
        <f t="shared" si="68"/>
        <v>0.12541572972476858</v>
      </c>
    </row>
    <row r="113" spans="1:116" x14ac:dyDescent="0.2">
      <c r="A113" s="30">
        <v>285</v>
      </c>
      <c r="B113" s="31" t="s">
        <v>427</v>
      </c>
      <c r="C113" s="65"/>
      <c r="D113" s="65"/>
      <c r="E113" s="65"/>
      <c r="F113" s="65"/>
      <c r="G113" s="65"/>
      <c r="H113" s="65">
        <v>106309</v>
      </c>
      <c r="I113" s="65"/>
      <c r="J113" s="65"/>
      <c r="K113" s="65"/>
      <c r="L113" s="65"/>
      <c r="M113" s="65"/>
      <c r="N113" s="65">
        <v>106223</v>
      </c>
      <c r="O113" s="65"/>
      <c r="P113" s="65"/>
      <c r="Q113" s="65"/>
      <c r="R113" s="65"/>
      <c r="S113" s="65"/>
      <c r="T113" s="65">
        <v>112200</v>
      </c>
      <c r="U113" s="65"/>
      <c r="V113" s="65"/>
      <c r="W113" s="65"/>
      <c r="X113" s="65"/>
      <c r="Y113" s="65"/>
      <c r="Z113" s="65">
        <v>112480</v>
      </c>
      <c r="AA113" s="65"/>
      <c r="AB113" s="66">
        <v>114812.03222263351</v>
      </c>
      <c r="AC113" s="34">
        <v>1085.0248043910976</v>
      </c>
      <c r="AD113" s="180">
        <v>21131.163763274977</v>
      </c>
      <c r="AE113" s="65">
        <v>0</v>
      </c>
      <c r="AF113" s="34">
        <v>-1134.2360000000001</v>
      </c>
      <c r="AG113" s="65">
        <f t="shared" si="47"/>
        <v>135893.98479029958</v>
      </c>
      <c r="AH113" s="65"/>
      <c r="AI113" s="66">
        <v>105143.50135309632</v>
      </c>
      <c r="AJ113" s="34">
        <v>-843.68462918372336</v>
      </c>
      <c r="AK113" s="181">
        <v>22691.447647794201</v>
      </c>
      <c r="AL113" s="65">
        <v>0</v>
      </c>
      <c r="AM113" s="34">
        <v>-1020</v>
      </c>
      <c r="AN113" s="65">
        <f t="shared" si="48"/>
        <v>125971.26437170678</v>
      </c>
      <c r="AO113" s="65"/>
      <c r="AP113" s="41">
        <v>108346.60388713506</v>
      </c>
      <c r="AQ113" s="41">
        <v>-260.82857703982415</v>
      </c>
      <c r="AR113" s="41">
        <v>25510.381624942831</v>
      </c>
      <c r="AS113" s="65">
        <v>0</v>
      </c>
      <c r="AT113" s="34">
        <v>-1563.44</v>
      </c>
      <c r="AU113" s="65">
        <f t="shared" si="49"/>
        <v>132032.71693503807</v>
      </c>
      <c r="AV113" s="65"/>
      <c r="AW113" s="41">
        <v>16890.550838259805</v>
      </c>
      <c r="AX113" s="314"/>
      <c r="AY113" s="314"/>
      <c r="AZ113" s="41">
        <v>7795.1349180065217</v>
      </c>
      <c r="BA113" s="65">
        <v>0</v>
      </c>
      <c r="BB113" s="34">
        <v>-1899.221</v>
      </c>
      <c r="BC113" s="65">
        <f t="shared" si="69"/>
        <v>22786.464756266327</v>
      </c>
      <c r="BD113" s="65"/>
      <c r="BE113" s="41">
        <v>-1696.2449691345953</v>
      </c>
      <c r="BF113" s="314"/>
      <c r="BG113" s="314"/>
      <c r="BH113" s="41">
        <v>7775.9334417987111</v>
      </c>
      <c r="BI113" s="65">
        <v>0</v>
      </c>
      <c r="BJ113" s="34">
        <v>-969.07899999999995</v>
      </c>
      <c r="BK113" s="65">
        <f t="shared" si="70"/>
        <v>5110.6094726641159</v>
      </c>
      <c r="BL113" s="65"/>
      <c r="BM113" s="41">
        <v>9067.8569322080166</v>
      </c>
      <c r="BN113" s="41">
        <v>4340.6650650120637</v>
      </c>
      <c r="BO113" s="65">
        <v>0</v>
      </c>
      <c r="BP113" s="34">
        <v>-969.07899999999995</v>
      </c>
      <c r="BQ113" s="65">
        <f t="shared" si="50"/>
        <v>12439.44299722008</v>
      </c>
      <c r="BR113" s="65"/>
      <c r="BS113" s="41">
        <v>12552.056693421277</v>
      </c>
      <c r="BT113" s="314"/>
      <c r="BU113" s="314"/>
      <c r="BV113" s="41">
        <v>4763.1862393099263</v>
      </c>
      <c r="BW113" s="65">
        <v>0</v>
      </c>
      <c r="BX113" s="34">
        <v>-969.07899999999995</v>
      </c>
      <c r="BY113" s="65">
        <f t="shared" si="71"/>
        <v>16346.163932731202</v>
      </c>
      <c r="CA113" s="5">
        <v>12612.752325981264</v>
      </c>
      <c r="CB113" s="407">
        <v>5213.8610498263806</v>
      </c>
      <c r="CC113" s="415">
        <v>0</v>
      </c>
      <c r="CD113" s="34">
        <v>-969.07899999999995</v>
      </c>
      <c r="CE113" s="65">
        <f t="shared" si="51"/>
        <v>16857.534375807645</v>
      </c>
      <c r="CF113" s="407"/>
      <c r="CG113" s="5">
        <v>16249.969371791287</v>
      </c>
      <c r="CH113" s="407">
        <v>5600.0498799029283</v>
      </c>
      <c r="CI113" s="415">
        <v>0</v>
      </c>
      <c r="CJ113" s="34">
        <v>-969.07899999999995</v>
      </c>
      <c r="CK113" s="65">
        <f t="shared" si="52"/>
        <v>20880.940251694214</v>
      </c>
      <c r="CL113" s="407"/>
      <c r="CM113" s="41">
        <f>AU113/'1. Väestöennuste'!L113*1000</f>
        <v>2608.4658698666076</v>
      </c>
      <c r="CN113" s="41">
        <f>BC113/'1. Väestöennuste'!M113*1000</f>
        <v>451.21712388646188</v>
      </c>
      <c r="CO113" s="41">
        <f>BK113/'1. Väestöennuste'!N113*1000</f>
        <v>102.58354187486934</v>
      </c>
      <c r="CP113" s="41">
        <f>BQ113/'1. Väestöennuste'!O113*1000</f>
        <v>251.87177041427228</v>
      </c>
      <c r="CQ113" s="41">
        <f>BY113/'1. Väestöennuste'!P113*1000</f>
        <v>333.77228596257612</v>
      </c>
      <c r="CR113" s="41">
        <f>CE113/'1. Väestöennuste'!Q113*1000</f>
        <v>347.07709235757966</v>
      </c>
      <c r="CS113" s="41">
        <f>CK113/'1. Väestöennuste'!R113*1000</f>
        <v>433.43934097964114</v>
      </c>
      <c r="CT113" s="41"/>
      <c r="CV113" s="41">
        <f t="shared" si="53"/>
        <v>21850.019251694215</v>
      </c>
      <c r="CW113" s="41">
        <f t="shared" si="54"/>
        <v>-18272.474381827607</v>
      </c>
      <c r="CX113" s="41">
        <f t="shared" si="55"/>
        <v>-2157.2487459801459</v>
      </c>
      <c r="CY113" s="41">
        <f t="shared" si="56"/>
        <v>-348.63358201159252</v>
      </c>
      <c r="CZ113" s="41">
        <f t="shared" si="57"/>
        <v>149.28822853940295</v>
      </c>
      <c r="DA113" s="41">
        <f t="shared" si="58"/>
        <v>81.900515548303844</v>
      </c>
      <c r="DB113" s="41">
        <f t="shared" si="59"/>
        <v>13.304806395003538</v>
      </c>
      <c r="DC113" s="41">
        <f t="shared" si="60"/>
        <v>86.362248622061486</v>
      </c>
      <c r="DD113" s="41"/>
      <c r="DE113" s="283">
        <f t="shared" si="61"/>
        <v>-22.547201261913855</v>
      </c>
      <c r="DF113" s="283">
        <f t="shared" si="62"/>
        <v>-0.87507909900489445</v>
      </c>
      <c r="DG113" s="283">
        <f t="shared" si="63"/>
        <v>-0.82701819904987439</v>
      </c>
      <c r="DH113" s="283">
        <f t="shared" si="64"/>
        <v>-0.77265148762243763</v>
      </c>
      <c r="DI113" s="283">
        <f t="shared" si="65"/>
        <v>1.4552844034328982</v>
      </c>
      <c r="DJ113" s="283">
        <f t="shared" si="66"/>
        <v>0.32516750651967052</v>
      </c>
      <c r="DK113" s="283">
        <f t="shared" si="67"/>
        <v>3.9861926692425644E-2</v>
      </c>
      <c r="DL113" s="283">
        <f t="shared" si="68"/>
        <v>0.24882727936733409</v>
      </c>
    </row>
    <row r="114" spans="1:116" x14ac:dyDescent="0.2">
      <c r="A114" s="30">
        <v>286</v>
      </c>
      <c r="B114" s="31" t="s">
        <v>428</v>
      </c>
      <c r="C114" s="65"/>
      <c r="D114" s="65"/>
      <c r="E114" s="65"/>
      <c r="F114" s="65"/>
      <c r="G114" s="65"/>
      <c r="H114" s="65">
        <v>175852</v>
      </c>
      <c r="I114" s="65"/>
      <c r="J114" s="65"/>
      <c r="K114" s="65"/>
      <c r="L114" s="65"/>
      <c r="M114" s="65"/>
      <c r="N114" s="65">
        <v>169167</v>
      </c>
      <c r="O114" s="65"/>
      <c r="P114" s="65"/>
      <c r="Q114" s="65"/>
      <c r="R114" s="65"/>
      <c r="S114" s="65"/>
      <c r="T114" s="65">
        <v>170036</v>
      </c>
      <c r="U114" s="65"/>
      <c r="V114" s="65"/>
      <c r="W114" s="65"/>
      <c r="X114" s="65"/>
      <c r="Y114" s="65"/>
      <c r="Z114" s="65">
        <v>172333</v>
      </c>
      <c r="AA114" s="65"/>
      <c r="AB114" s="66">
        <v>154913.76478043073</v>
      </c>
      <c r="AC114" s="34">
        <v>1720.9840155181273</v>
      </c>
      <c r="AD114" s="180">
        <v>35631.934026307288</v>
      </c>
      <c r="AE114" s="65">
        <v>3300</v>
      </c>
      <c r="AF114" s="34">
        <v>16155.348</v>
      </c>
      <c r="AG114" s="65">
        <f t="shared" si="47"/>
        <v>211722.03082225614</v>
      </c>
      <c r="AH114" s="65"/>
      <c r="AI114" s="66">
        <v>140118.62569125037</v>
      </c>
      <c r="AJ114" s="34">
        <v>-1332.3617608804593</v>
      </c>
      <c r="AK114" s="181">
        <v>38203.84661074679</v>
      </c>
      <c r="AL114" s="65">
        <v>0</v>
      </c>
      <c r="AM114" s="34">
        <v>15692.007</v>
      </c>
      <c r="AN114" s="65">
        <f t="shared" si="48"/>
        <v>192682.11754111672</v>
      </c>
      <c r="AO114" s="65"/>
      <c r="AP114" s="41">
        <v>142226.7759089653</v>
      </c>
      <c r="AQ114" s="41">
        <v>-410.31149727250988</v>
      </c>
      <c r="AR114" s="41">
        <v>43255.894792523315</v>
      </c>
      <c r="AS114" s="65">
        <v>1350</v>
      </c>
      <c r="AT114" s="34">
        <v>-6781.3609999999999</v>
      </c>
      <c r="AU114" s="65">
        <f t="shared" si="49"/>
        <v>179640.9982042161</v>
      </c>
      <c r="AV114" s="65"/>
      <c r="AW114" s="41">
        <v>11456.934704210511</v>
      </c>
      <c r="AX114" s="314"/>
      <c r="AY114" s="314"/>
      <c r="AZ114" s="41">
        <v>13075.249793361763</v>
      </c>
      <c r="BA114" s="65">
        <v>1250</v>
      </c>
      <c r="BB114" s="34">
        <v>-7416.1310000000003</v>
      </c>
      <c r="BC114" s="65">
        <f t="shared" si="69"/>
        <v>18366.053497572273</v>
      </c>
      <c r="BD114" s="65"/>
      <c r="BE114" s="41">
        <v>-10503.752996757486</v>
      </c>
      <c r="BF114" s="314"/>
      <c r="BG114" s="314"/>
      <c r="BH114" s="41">
        <v>12913.776881532978</v>
      </c>
      <c r="BI114" s="65">
        <v>0</v>
      </c>
      <c r="BJ114" s="34">
        <v>-7686.2489999999998</v>
      </c>
      <c r="BK114" s="65">
        <f t="shared" si="70"/>
        <v>-5276.225115224508</v>
      </c>
      <c r="BL114" s="65"/>
      <c r="BM114" s="41">
        <v>53.091224160362032</v>
      </c>
      <c r="BN114" s="41">
        <v>7674.7249744703831</v>
      </c>
      <c r="BO114" s="65">
        <v>0</v>
      </c>
      <c r="BP114" s="34">
        <v>-7686.2489999999998</v>
      </c>
      <c r="BQ114" s="65">
        <f t="shared" si="50"/>
        <v>41.567198630745224</v>
      </c>
      <c r="BR114" s="65"/>
      <c r="BS114" s="41">
        <v>3416.964839817615</v>
      </c>
      <c r="BT114" s="314"/>
      <c r="BU114" s="314"/>
      <c r="BV114" s="41">
        <v>8304.1142581469521</v>
      </c>
      <c r="BW114" s="65">
        <v>0</v>
      </c>
      <c r="BX114" s="34">
        <v>-7686.2489999999998</v>
      </c>
      <c r="BY114" s="65">
        <f t="shared" si="71"/>
        <v>4034.8300979645683</v>
      </c>
      <c r="CA114" s="5">
        <v>4480.9346455019177</v>
      </c>
      <c r="CB114" s="407">
        <v>8987.9916218147282</v>
      </c>
      <c r="CC114" s="415">
        <v>0</v>
      </c>
      <c r="CD114" s="34">
        <v>-7686.2489999999998</v>
      </c>
      <c r="CE114" s="65">
        <f t="shared" si="51"/>
        <v>5782.6772673166452</v>
      </c>
      <c r="CF114" s="407"/>
      <c r="CG114" s="5">
        <v>10772.173504637092</v>
      </c>
      <c r="CH114" s="407">
        <v>9570.4471547273006</v>
      </c>
      <c r="CI114" s="415">
        <v>0</v>
      </c>
      <c r="CJ114" s="34">
        <v>-7686.2489999999998</v>
      </c>
      <c r="CK114" s="65">
        <f t="shared" si="52"/>
        <v>12656.371659364395</v>
      </c>
      <c r="CL114" s="407"/>
      <c r="CM114" s="41">
        <f>AU114/'1. Väestöennuste'!L114*1000</f>
        <v>2261.655040403582</v>
      </c>
      <c r="CN114" s="41">
        <f>BC114/'1. Väestöennuste'!M114*1000</f>
        <v>232.83536381303591</v>
      </c>
      <c r="CO114" s="41">
        <f>BK114/'1. Väestöennuste'!N114*1000</f>
        <v>-67.716837558710765</v>
      </c>
      <c r="CP114" s="41">
        <f>BQ114/'1. Väestöennuste'!O114*1000</f>
        <v>0.53881908912755494</v>
      </c>
      <c r="CQ114" s="41">
        <f>BY114/'1. Väestöennuste'!P114*1000</f>
        <v>52.818134308551642</v>
      </c>
      <c r="CR114" s="41">
        <f>CE114/'1. Väestöennuste'!Q114*1000</f>
        <v>76.430791674706839</v>
      </c>
      <c r="CS114" s="41">
        <f>CK114/'1. Väestöennuste'!R114*1000</f>
        <v>168.85969232794847</v>
      </c>
      <c r="CT114" s="41"/>
      <c r="CV114" s="41">
        <f t="shared" si="53"/>
        <v>20342.620659364395</v>
      </c>
      <c r="CW114" s="41">
        <f t="shared" si="54"/>
        <v>-10394.716618960812</v>
      </c>
      <c r="CX114" s="41">
        <f t="shared" si="55"/>
        <v>-2028.8196765905461</v>
      </c>
      <c r="CY114" s="41">
        <f t="shared" si="56"/>
        <v>-300.55220137174666</v>
      </c>
      <c r="CZ114" s="41">
        <f t="shared" si="57"/>
        <v>68.255656647838322</v>
      </c>
      <c r="DA114" s="41">
        <f t="shared" si="58"/>
        <v>52.279315219424085</v>
      </c>
      <c r="DB114" s="41">
        <f t="shared" si="59"/>
        <v>23.612657366155197</v>
      </c>
      <c r="DC114" s="41">
        <f t="shared" si="60"/>
        <v>92.428900653241627</v>
      </c>
      <c r="DD114" s="41"/>
      <c r="DE114" s="283">
        <f t="shared" si="61"/>
        <v>-2.6466252471607925</v>
      </c>
      <c r="DF114" s="283">
        <f t="shared" si="62"/>
        <v>-0.82130304788179997</v>
      </c>
      <c r="DG114" s="283">
        <f t="shared" si="63"/>
        <v>-0.89705089429929707</v>
      </c>
      <c r="DH114" s="283">
        <f t="shared" si="64"/>
        <v>-1.2908357066115033</v>
      </c>
      <c r="DI114" s="283">
        <f t="shared" si="65"/>
        <v>-1.0079569440711167</v>
      </c>
      <c r="DJ114" s="283">
        <f t="shared" si="66"/>
        <v>97.025729552517717</v>
      </c>
      <c r="DK114" s="283">
        <f t="shared" si="67"/>
        <v>0.44705587721473411</v>
      </c>
      <c r="DL114" s="283">
        <f t="shared" si="68"/>
        <v>1.2093149714662581</v>
      </c>
    </row>
    <row r="115" spans="1:116" x14ac:dyDescent="0.2">
      <c r="A115" s="30">
        <v>287</v>
      </c>
      <c r="B115" s="31" t="s">
        <v>429</v>
      </c>
      <c r="C115" s="65"/>
      <c r="D115" s="65"/>
      <c r="E115" s="65"/>
      <c r="F115" s="65"/>
      <c r="G115" s="65"/>
      <c r="H115" s="65">
        <v>20967</v>
      </c>
      <c r="I115" s="65"/>
      <c r="J115" s="65"/>
      <c r="K115" s="65"/>
      <c r="L115" s="65"/>
      <c r="M115" s="65"/>
      <c r="N115" s="65">
        <v>20662</v>
      </c>
      <c r="O115" s="65"/>
      <c r="P115" s="65"/>
      <c r="Q115" s="65"/>
      <c r="R115" s="65"/>
      <c r="S115" s="65"/>
      <c r="T115" s="65">
        <v>20205</v>
      </c>
      <c r="U115" s="65"/>
      <c r="V115" s="65"/>
      <c r="W115" s="65"/>
      <c r="X115" s="65"/>
      <c r="Y115" s="65"/>
      <c r="Z115" s="65">
        <v>20714</v>
      </c>
      <c r="AA115" s="65"/>
      <c r="AB115" s="66">
        <v>18708.342158203297</v>
      </c>
      <c r="AC115" s="34">
        <v>120.24427188301405</v>
      </c>
      <c r="AD115" s="180">
        <v>3927.0295442300612</v>
      </c>
      <c r="AE115" s="65">
        <v>0</v>
      </c>
      <c r="AF115" s="34">
        <v>116.233</v>
      </c>
      <c r="AG115" s="65">
        <f t="shared" si="47"/>
        <v>22871.848974316374</v>
      </c>
      <c r="AH115" s="65"/>
      <c r="AI115" s="66">
        <v>17870.088270139626</v>
      </c>
      <c r="AJ115" s="34">
        <v>-93.395053572483803</v>
      </c>
      <c r="AK115" s="181">
        <v>4182.338521751899</v>
      </c>
      <c r="AL115" s="65">
        <v>0</v>
      </c>
      <c r="AM115" s="34">
        <v>-541.16899999999998</v>
      </c>
      <c r="AN115" s="65">
        <f t="shared" si="48"/>
        <v>21417.86273831904</v>
      </c>
      <c r="AO115" s="65"/>
      <c r="AP115" s="41">
        <v>18846.870116298443</v>
      </c>
      <c r="AQ115" s="41">
        <v>-28.74872919256855</v>
      </c>
      <c r="AR115" s="41">
        <v>4651.0597671251817</v>
      </c>
      <c r="AS115" s="65">
        <v>0</v>
      </c>
      <c r="AT115" s="34">
        <v>171.57400000000001</v>
      </c>
      <c r="AU115" s="65">
        <f t="shared" si="49"/>
        <v>23640.755154231058</v>
      </c>
      <c r="AV115" s="65"/>
      <c r="AW115" s="41">
        <v>6242.0543652108681</v>
      </c>
      <c r="AX115" s="314"/>
      <c r="AY115" s="314"/>
      <c r="AZ115" s="41">
        <v>1442.5946279899106</v>
      </c>
      <c r="BA115" s="65">
        <v>0</v>
      </c>
      <c r="BB115" s="34">
        <v>1124.6510000000001</v>
      </c>
      <c r="BC115" s="65">
        <f t="shared" si="69"/>
        <v>8809.2999932007788</v>
      </c>
      <c r="BD115" s="65"/>
      <c r="BE115" s="41">
        <v>5592.9125202742016</v>
      </c>
      <c r="BF115" s="314"/>
      <c r="BG115" s="314"/>
      <c r="BH115" s="41">
        <v>1437.8785543627284</v>
      </c>
      <c r="BI115" s="65">
        <v>0</v>
      </c>
      <c r="BJ115" s="34">
        <v>1575.808</v>
      </c>
      <c r="BK115" s="65">
        <f t="shared" si="70"/>
        <v>8606.5990746369298</v>
      </c>
      <c r="BL115" s="65"/>
      <c r="BM115" s="41">
        <v>6412.7328584923416</v>
      </c>
      <c r="BN115" s="41">
        <v>1014.3796617658415</v>
      </c>
      <c r="BO115" s="65">
        <v>0</v>
      </c>
      <c r="BP115" s="34">
        <v>1575.808</v>
      </c>
      <c r="BQ115" s="65">
        <f t="shared" si="50"/>
        <v>9002.9205202581834</v>
      </c>
      <c r="BR115" s="65"/>
      <c r="BS115" s="41">
        <v>6671.4017594888564</v>
      </c>
      <c r="BT115" s="314"/>
      <c r="BU115" s="314"/>
      <c r="BV115" s="41">
        <v>1077.8673427233095</v>
      </c>
      <c r="BW115" s="65">
        <v>0</v>
      </c>
      <c r="BX115" s="34">
        <v>1575.808</v>
      </c>
      <c r="BY115" s="65">
        <f t="shared" si="71"/>
        <v>9325.0771022121662</v>
      </c>
      <c r="CA115" s="5">
        <v>6623.0658535401617</v>
      </c>
      <c r="CB115" s="407">
        <v>1142.6075528533115</v>
      </c>
      <c r="CC115" s="415">
        <v>0</v>
      </c>
      <c r="CD115" s="34">
        <v>1575.808</v>
      </c>
      <c r="CE115" s="65">
        <f t="shared" si="51"/>
        <v>9341.4814063934718</v>
      </c>
      <c r="CF115" s="407"/>
      <c r="CG115" s="5">
        <v>7327.6523999093179</v>
      </c>
      <c r="CH115" s="407">
        <v>1199.1817425474906</v>
      </c>
      <c r="CI115" s="415">
        <v>0</v>
      </c>
      <c r="CJ115" s="34">
        <v>1575.808</v>
      </c>
      <c r="CK115" s="65">
        <f t="shared" si="52"/>
        <v>10102.642142456807</v>
      </c>
      <c r="CL115" s="407"/>
      <c r="CM115" s="41">
        <f>AU115/'1. Väestöennuste'!L115*1000</f>
        <v>3787.3686565573626</v>
      </c>
      <c r="CN115" s="41">
        <f>BC115/'1. Väestöennuste'!M115*1000</f>
        <v>1421.0840447170153</v>
      </c>
      <c r="CO115" s="41">
        <f>BK115/'1. Väestöennuste'!N115*1000</f>
        <v>1408.8392657778572</v>
      </c>
      <c r="CP115" s="41">
        <f>BQ115/'1. Väestöennuste'!O115*1000</f>
        <v>1488.8242963879914</v>
      </c>
      <c r="CQ115" s="41">
        <f>BY115/'1. Väestöennuste'!P115*1000</f>
        <v>1557.2941052458527</v>
      </c>
      <c r="CR115" s="41">
        <f>CE115/'1. Väestöennuste'!Q115*1000</f>
        <v>1575.0263709987307</v>
      </c>
      <c r="CS115" s="41">
        <f>CK115/'1. Väestöennuste'!R115*1000</f>
        <v>1719.8914100198854</v>
      </c>
      <c r="CT115" s="41"/>
      <c r="CV115" s="41">
        <f t="shared" si="53"/>
        <v>8526.8341424568061</v>
      </c>
      <c r="CW115" s="41">
        <f t="shared" si="54"/>
        <v>-6315.2734858994445</v>
      </c>
      <c r="CX115" s="41">
        <f t="shared" si="55"/>
        <v>-2366.2846118403472</v>
      </c>
      <c r="CY115" s="41">
        <f t="shared" si="56"/>
        <v>-12.244778939158095</v>
      </c>
      <c r="CZ115" s="41">
        <f t="shared" si="57"/>
        <v>79.985030610134118</v>
      </c>
      <c r="DA115" s="41">
        <f t="shared" si="58"/>
        <v>68.469808857861381</v>
      </c>
      <c r="DB115" s="41">
        <f t="shared" si="59"/>
        <v>17.732265752877993</v>
      </c>
      <c r="DC115" s="41">
        <f t="shared" si="60"/>
        <v>144.86503902115464</v>
      </c>
      <c r="DD115" s="41"/>
      <c r="DE115" s="283">
        <f t="shared" si="61"/>
        <v>5.4110869740836485</v>
      </c>
      <c r="DF115" s="283">
        <f t="shared" si="62"/>
        <v>-0.62511107459297444</v>
      </c>
      <c r="DG115" s="283">
        <f t="shared" si="63"/>
        <v>-0.62478328000719363</v>
      </c>
      <c r="DH115" s="283">
        <f t="shared" si="64"/>
        <v>-8.6165058179908244E-3</v>
      </c>
      <c r="DI115" s="283">
        <f t="shared" si="65"/>
        <v>5.6773709076011786E-2</v>
      </c>
      <c r="DJ115" s="283">
        <f t="shared" si="66"/>
        <v>4.5989180203449595E-2</v>
      </c>
      <c r="DK115" s="283">
        <f t="shared" si="67"/>
        <v>1.1386587602910479E-2</v>
      </c>
      <c r="DL115" s="283">
        <f t="shared" si="68"/>
        <v>9.1976262549366153E-2</v>
      </c>
    </row>
    <row r="116" spans="1:116" x14ac:dyDescent="0.2">
      <c r="A116" s="30">
        <v>288</v>
      </c>
      <c r="B116" s="31" t="s">
        <v>430</v>
      </c>
      <c r="C116" s="65"/>
      <c r="D116" s="65"/>
      <c r="E116" s="65"/>
      <c r="F116" s="65"/>
      <c r="G116" s="65"/>
      <c r="H116" s="65">
        <v>16499</v>
      </c>
      <c r="I116" s="65"/>
      <c r="J116" s="65"/>
      <c r="K116" s="65"/>
      <c r="L116" s="65"/>
      <c r="M116" s="65"/>
      <c r="N116" s="65">
        <v>16625</v>
      </c>
      <c r="O116" s="65"/>
      <c r="P116" s="65"/>
      <c r="Q116" s="65"/>
      <c r="R116" s="65"/>
      <c r="S116" s="65"/>
      <c r="T116" s="65">
        <v>16364</v>
      </c>
      <c r="U116" s="65"/>
      <c r="V116" s="65"/>
      <c r="W116" s="65"/>
      <c r="X116" s="65"/>
      <c r="Y116" s="65"/>
      <c r="Z116" s="65">
        <v>15950</v>
      </c>
      <c r="AA116" s="65"/>
      <c r="AB116" s="66">
        <v>15282.301787730325</v>
      </c>
      <c r="AC116" s="34">
        <v>116.29838701156052</v>
      </c>
      <c r="AD116" s="180">
        <v>3553.8440934415685</v>
      </c>
      <c r="AE116" s="65">
        <v>0</v>
      </c>
      <c r="AF116" s="34">
        <v>18.77</v>
      </c>
      <c r="AG116" s="65">
        <f t="shared" si="47"/>
        <v>18971.214268183456</v>
      </c>
      <c r="AH116" s="65"/>
      <c r="AI116" s="66">
        <v>14570.379447230242</v>
      </c>
      <c r="AJ116" s="34">
        <v>-89.690129928432043</v>
      </c>
      <c r="AK116" s="181">
        <v>3806.0344593614054</v>
      </c>
      <c r="AL116" s="65">
        <v>0</v>
      </c>
      <c r="AM116" s="34">
        <v>-132.21899999999999</v>
      </c>
      <c r="AN116" s="65">
        <f t="shared" si="48"/>
        <v>18154.504776663212</v>
      </c>
      <c r="AO116" s="65"/>
      <c r="AP116" s="41">
        <v>15151.207481350661</v>
      </c>
      <c r="AQ116" s="41">
        <v>-27.557635434109056</v>
      </c>
      <c r="AR116" s="41">
        <v>4316.2393036858812</v>
      </c>
      <c r="AS116" s="65">
        <v>0</v>
      </c>
      <c r="AT116" s="34">
        <v>132.86500000000001</v>
      </c>
      <c r="AU116" s="65">
        <f t="shared" si="49"/>
        <v>19572.754149602435</v>
      </c>
      <c r="AV116" s="65"/>
      <c r="AW116" s="41">
        <v>5058.3440045484567</v>
      </c>
      <c r="AX116" s="314"/>
      <c r="AY116" s="314"/>
      <c r="AZ116" s="41">
        <v>1335.8638451157999</v>
      </c>
      <c r="BA116" s="65">
        <v>0</v>
      </c>
      <c r="BB116" s="34">
        <v>374.92099999999999</v>
      </c>
      <c r="BC116" s="65">
        <f t="shared" si="69"/>
        <v>6769.1288496642574</v>
      </c>
      <c r="BD116" s="65"/>
      <c r="BE116" s="41">
        <v>6042.856187068408</v>
      </c>
      <c r="BF116" s="314"/>
      <c r="BG116" s="314"/>
      <c r="BH116" s="41">
        <v>1324.8333043553284</v>
      </c>
      <c r="BI116" s="65">
        <v>0</v>
      </c>
      <c r="BJ116" s="34">
        <v>133.523</v>
      </c>
      <c r="BK116" s="65">
        <f t="shared" si="70"/>
        <v>7501.2124914237365</v>
      </c>
      <c r="BL116" s="65"/>
      <c r="BM116" s="41">
        <v>7046.3199140082352</v>
      </c>
      <c r="BN116" s="41">
        <v>841.16260207240191</v>
      </c>
      <c r="BO116" s="65">
        <v>0</v>
      </c>
      <c r="BP116" s="34">
        <v>133.523</v>
      </c>
      <c r="BQ116" s="65">
        <f t="shared" si="50"/>
        <v>8021.0055160806369</v>
      </c>
      <c r="BR116" s="65"/>
      <c r="BS116" s="41">
        <v>6663.4276229717379</v>
      </c>
      <c r="BT116" s="314"/>
      <c r="BU116" s="314"/>
      <c r="BV116" s="41">
        <v>901.53881072889681</v>
      </c>
      <c r="BW116" s="65">
        <v>0</v>
      </c>
      <c r="BX116" s="34">
        <v>133.523</v>
      </c>
      <c r="BY116" s="65">
        <f t="shared" si="71"/>
        <v>7698.4894337006344</v>
      </c>
      <c r="CA116" s="5">
        <v>6767.5578006778414</v>
      </c>
      <c r="CB116" s="407">
        <v>965.76203573485407</v>
      </c>
      <c r="CC116" s="415">
        <v>0</v>
      </c>
      <c r="CD116" s="34">
        <v>133.523</v>
      </c>
      <c r="CE116" s="65">
        <f t="shared" si="51"/>
        <v>7866.8428364126958</v>
      </c>
      <c r="CF116" s="407"/>
      <c r="CG116" s="5">
        <v>7091.779850584684</v>
      </c>
      <c r="CH116" s="407">
        <v>1021.6219363329516</v>
      </c>
      <c r="CI116" s="415">
        <v>0</v>
      </c>
      <c r="CJ116" s="34">
        <v>133.523</v>
      </c>
      <c r="CK116" s="65">
        <f t="shared" si="52"/>
        <v>8246.9247869176361</v>
      </c>
      <c r="CL116" s="407"/>
      <c r="CM116" s="41">
        <f>AU116/'1. Väestöennuste'!L116*1000</f>
        <v>3055.8554488060004</v>
      </c>
      <c r="CN116" s="41">
        <f>BC116/'1. Väestöennuste'!M116*1000</f>
        <v>1062.9913394573268</v>
      </c>
      <c r="CO116" s="41">
        <f>BK116/'1. Väestöennuste'!N116*1000</f>
        <v>1205.2076625038137</v>
      </c>
      <c r="CP116" s="41">
        <f>BQ116/'1. Väestöennuste'!O116*1000</f>
        <v>1298.5276859447363</v>
      </c>
      <c r="CQ116" s="41">
        <f>BY116/'1. Väestöennuste'!P116*1000</f>
        <v>1255.6661937205406</v>
      </c>
      <c r="CR116" s="41">
        <f>CE116/'1. Väestöennuste'!Q116*1000</f>
        <v>1293.0379415536975</v>
      </c>
      <c r="CS116" s="41">
        <f>CK116/'1. Väestöennuste'!R116*1000</f>
        <v>1366.2897261294956</v>
      </c>
      <c r="CT116" s="41"/>
      <c r="CV116" s="41">
        <f t="shared" si="53"/>
        <v>8113.4017869176359</v>
      </c>
      <c r="CW116" s="41">
        <f t="shared" si="54"/>
        <v>-5191.0693381116362</v>
      </c>
      <c r="CX116" s="41">
        <f t="shared" si="55"/>
        <v>-1992.8641093486735</v>
      </c>
      <c r="CY116" s="41">
        <f t="shared" si="56"/>
        <v>142.21632304648688</v>
      </c>
      <c r="CZ116" s="41">
        <f t="shared" si="57"/>
        <v>93.320023440922569</v>
      </c>
      <c r="DA116" s="41">
        <f t="shared" si="58"/>
        <v>-42.861492224195672</v>
      </c>
      <c r="DB116" s="41">
        <f t="shared" si="59"/>
        <v>37.37174783315686</v>
      </c>
      <c r="DC116" s="41">
        <f t="shared" si="60"/>
        <v>73.251784575798183</v>
      </c>
      <c r="DD116" s="41"/>
      <c r="DE116" s="283">
        <f t="shared" si="61"/>
        <v>60.764076503056671</v>
      </c>
      <c r="DF116" s="283">
        <f t="shared" si="62"/>
        <v>-0.62945515719343015</v>
      </c>
      <c r="DG116" s="283">
        <f t="shared" si="63"/>
        <v>-0.65214606604750747</v>
      </c>
      <c r="DH116" s="283">
        <f t="shared" si="64"/>
        <v>0.13378878808089864</v>
      </c>
      <c r="DI116" s="283">
        <f t="shared" si="65"/>
        <v>7.7430658918190592E-2</v>
      </c>
      <c r="DJ116" s="283">
        <f t="shared" si="66"/>
        <v>-3.3007761550353114E-2</v>
      </c>
      <c r="DK116" s="283">
        <f t="shared" si="67"/>
        <v>2.9762486256338812E-2</v>
      </c>
      <c r="DL116" s="283">
        <f t="shared" si="68"/>
        <v>5.6650916590877294E-2</v>
      </c>
    </row>
    <row r="117" spans="1:116" x14ac:dyDescent="0.2">
      <c r="A117" s="30">
        <v>290</v>
      </c>
      <c r="B117" s="31" t="s">
        <v>431</v>
      </c>
      <c r="C117" s="65"/>
      <c r="D117" s="65"/>
      <c r="E117" s="65"/>
      <c r="F117" s="65"/>
      <c r="G117" s="65"/>
      <c r="H117" s="65">
        <v>32534</v>
      </c>
      <c r="I117" s="65"/>
      <c r="J117" s="65"/>
      <c r="K117" s="65"/>
      <c r="L117" s="65"/>
      <c r="M117" s="65"/>
      <c r="N117" s="65">
        <v>32233</v>
      </c>
      <c r="O117" s="65"/>
      <c r="P117" s="65"/>
      <c r="Q117" s="65"/>
      <c r="R117" s="65"/>
      <c r="S117" s="65"/>
      <c r="T117" s="65">
        <v>32246</v>
      </c>
      <c r="U117" s="65"/>
      <c r="V117" s="65"/>
      <c r="W117" s="65"/>
      <c r="X117" s="65"/>
      <c r="Y117" s="65"/>
      <c r="Z117" s="65">
        <v>32092</v>
      </c>
      <c r="AA117" s="65"/>
      <c r="AB117" s="66">
        <v>30788.045942204739</v>
      </c>
      <c r="AC117" s="34">
        <v>142.05985854807872</v>
      </c>
      <c r="AD117" s="180">
        <v>4750.5329145219512</v>
      </c>
      <c r="AE117" s="65">
        <v>0</v>
      </c>
      <c r="AF117" s="34">
        <v>-524.67399999999998</v>
      </c>
      <c r="AG117" s="65">
        <f t="shared" si="47"/>
        <v>35155.964715274771</v>
      </c>
      <c r="AH117" s="65"/>
      <c r="AI117" s="66">
        <v>30125.217071442006</v>
      </c>
      <c r="AJ117" s="34">
        <v>-109.10276557809621</v>
      </c>
      <c r="AK117" s="181">
        <v>5031.5321496374745</v>
      </c>
      <c r="AL117" s="65">
        <v>1450</v>
      </c>
      <c r="AM117" s="34">
        <v>-547.38300000000004</v>
      </c>
      <c r="AN117" s="65">
        <f t="shared" si="48"/>
        <v>35950.263455501379</v>
      </c>
      <c r="AO117" s="65"/>
      <c r="AP117" s="41">
        <v>31275.962566140301</v>
      </c>
      <c r="AQ117" s="41">
        <v>-33.437556274394829</v>
      </c>
      <c r="AR117" s="41">
        <v>5515.0303049179665</v>
      </c>
      <c r="AS117" s="65">
        <v>0</v>
      </c>
      <c r="AT117" s="34">
        <v>-597.25900000000001</v>
      </c>
      <c r="AU117" s="65">
        <f t="shared" si="49"/>
        <v>36160.296314783875</v>
      </c>
      <c r="AV117" s="65"/>
      <c r="AW117" s="41">
        <v>6078.9898609923166</v>
      </c>
      <c r="AX117" s="314"/>
      <c r="AY117" s="314"/>
      <c r="AZ117" s="41">
        <v>1696.3060079607312</v>
      </c>
      <c r="BA117" s="65">
        <v>0</v>
      </c>
      <c r="BB117" s="34">
        <v>-548.572</v>
      </c>
      <c r="BC117" s="65">
        <f t="shared" si="69"/>
        <v>7226.7238689530477</v>
      </c>
      <c r="BD117" s="65"/>
      <c r="BE117" s="41">
        <v>7000.8553469210337</v>
      </c>
      <c r="BF117" s="314"/>
      <c r="BG117" s="314"/>
      <c r="BH117" s="41">
        <v>1702.2540793560531</v>
      </c>
      <c r="BI117" s="65">
        <v>0</v>
      </c>
      <c r="BJ117" s="34">
        <v>-413.108</v>
      </c>
      <c r="BK117" s="65">
        <f t="shared" si="70"/>
        <v>8290.0014262770874</v>
      </c>
      <c r="BL117" s="65"/>
      <c r="BM117" s="41">
        <v>7290.4155720509907</v>
      </c>
      <c r="BN117" s="41">
        <v>1180.4476431102389</v>
      </c>
      <c r="BO117" s="65">
        <v>0</v>
      </c>
      <c r="BP117" s="34">
        <v>-413.108</v>
      </c>
      <c r="BQ117" s="65">
        <f t="shared" si="50"/>
        <v>8057.755215161229</v>
      </c>
      <c r="BR117" s="65"/>
      <c r="BS117" s="41">
        <v>7115.073565176519</v>
      </c>
      <c r="BT117" s="314"/>
      <c r="BU117" s="314"/>
      <c r="BV117" s="41">
        <v>1265.1381443666137</v>
      </c>
      <c r="BW117" s="65">
        <v>0</v>
      </c>
      <c r="BX117" s="34">
        <v>-413.108</v>
      </c>
      <c r="BY117" s="65">
        <f t="shared" si="71"/>
        <v>7967.1037095431329</v>
      </c>
      <c r="CA117" s="5">
        <v>6693.4894169755335</v>
      </c>
      <c r="CB117" s="407">
        <v>1349.0944438765873</v>
      </c>
      <c r="CC117" s="415">
        <v>0</v>
      </c>
      <c r="CD117" s="34">
        <v>-413.108</v>
      </c>
      <c r="CE117" s="65">
        <f t="shared" si="51"/>
        <v>7629.4758608521206</v>
      </c>
      <c r="CF117" s="407"/>
      <c r="CG117" s="5">
        <v>7750.4539467201403</v>
      </c>
      <c r="CH117" s="407">
        <v>1423.2044025132861</v>
      </c>
      <c r="CI117" s="415">
        <v>0</v>
      </c>
      <c r="CJ117" s="34">
        <v>-413.108</v>
      </c>
      <c r="CK117" s="65">
        <f t="shared" si="52"/>
        <v>8760.5503492334265</v>
      </c>
      <c r="CL117" s="407"/>
      <c r="CM117" s="41">
        <f>AU117/'1. Väestöennuste'!L117*1000</f>
        <v>4662.8364042274497</v>
      </c>
      <c r="CN117" s="41">
        <f>BC117/'1. Väestöennuste'!M117*1000</f>
        <v>953.1421615606763</v>
      </c>
      <c r="CO117" s="41">
        <f>BK117/'1. Väestöennuste'!N117*1000</f>
        <v>1108.7336399996104</v>
      </c>
      <c r="CP117" s="41">
        <f>BQ117/'1. Väestöennuste'!O117*1000</f>
        <v>1096.7408758896461</v>
      </c>
      <c r="CQ117" s="41">
        <f>BY117/'1. Väestöennuste'!P117*1000</f>
        <v>1103.9356671114219</v>
      </c>
      <c r="CR117" s="41">
        <f>CE117/'1. Väestöennuste'!Q117*1000</f>
        <v>1076.0896841822455</v>
      </c>
      <c r="CS117" s="41">
        <f>CK117/'1. Väestöennuste'!R117*1000</f>
        <v>1257.4351010813014</v>
      </c>
      <c r="CT117" s="41"/>
      <c r="CV117" s="41">
        <f t="shared" si="53"/>
        <v>9173.6583492334266</v>
      </c>
      <c r="CW117" s="41">
        <f t="shared" si="54"/>
        <v>-4097.7139450059767</v>
      </c>
      <c r="CX117" s="41">
        <f t="shared" si="55"/>
        <v>-3709.6942426667733</v>
      </c>
      <c r="CY117" s="41">
        <f t="shared" si="56"/>
        <v>155.59147843893413</v>
      </c>
      <c r="CZ117" s="41">
        <f t="shared" si="57"/>
        <v>-11.992764109964355</v>
      </c>
      <c r="DA117" s="41">
        <f t="shared" si="58"/>
        <v>7.1947912217758585</v>
      </c>
      <c r="DB117" s="41">
        <f t="shared" si="59"/>
        <v>-27.845982929176444</v>
      </c>
      <c r="DC117" s="41">
        <f t="shared" si="60"/>
        <v>181.34541689905586</v>
      </c>
      <c r="DD117" s="41"/>
      <c r="DE117" s="283">
        <f t="shared" si="61"/>
        <v>-22.206440807811582</v>
      </c>
      <c r="DF117" s="283">
        <f t="shared" si="62"/>
        <v>-0.4677461782254968</v>
      </c>
      <c r="DG117" s="283">
        <f t="shared" si="63"/>
        <v>-0.79558747531941443</v>
      </c>
      <c r="DH117" s="283">
        <f t="shared" si="64"/>
        <v>0.16324057912218301</v>
      </c>
      <c r="DI117" s="283">
        <f t="shared" si="65"/>
        <v>-1.0816632306717571E-2</v>
      </c>
      <c r="DJ117" s="283">
        <f t="shared" si="66"/>
        <v>6.5601559857424311E-3</v>
      </c>
      <c r="DK117" s="283">
        <f t="shared" si="67"/>
        <v>-2.5224280507249799E-2</v>
      </c>
      <c r="DL117" s="283">
        <f t="shared" si="68"/>
        <v>0.16852258651365659</v>
      </c>
    </row>
    <row r="118" spans="1:116" x14ac:dyDescent="0.2">
      <c r="A118" s="30">
        <v>291</v>
      </c>
      <c r="B118" s="31" t="s">
        <v>432</v>
      </c>
      <c r="C118" s="65"/>
      <c r="D118" s="65"/>
      <c r="E118" s="65"/>
      <c r="F118" s="65"/>
      <c r="G118" s="65"/>
      <c r="H118" s="65">
        <v>9352</v>
      </c>
      <c r="I118" s="65"/>
      <c r="J118" s="65"/>
      <c r="K118" s="65"/>
      <c r="L118" s="65"/>
      <c r="M118" s="65"/>
      <c r="N118" s="65">
        <v>9252</v>
      </c>
      <c r="O118" s="65"/>
      <c r="P118" s="65"/>
      <c r="Q118" s="65"/>
      <c r="R118" s="65"/>
      <c r="S118" s="65"/>
      <c r="T118" s="65">
        <v>8645</v>
      </c>
      <c r="U118" s="65"/>
      <c r="V118" s="65"/>
      <c r="W118" s="65"/>
      <c r="X118" s="65"/>
      <c r="Y118" s="65"/>
      <c r="Z118" s="65">
        <v>8241</v>
      </c>
      <c r="AA118" s="65"/>
      <c r="AB118" s="66">
        <v>8035.9300583933955</v>
      </c>
      <c r="AC118" s="34">
        <v>41.996705742132825</v>
      </c>
      <c r="AD118" s="180">
        <v>1260.0145975166995</v>
      </c>
      <c r="AE118" s="65">
        <v>0</v>
      </c>
      <c r="AF118" s="34">
        <v>-17.774999999999999</v>
      </c>
      <c r="AG118" s="65">
        <f t="shared" si="47"/>
        <v>9320.1663616522274</v>
      </c>
      <c r="AH118" s="65"/>
      <c r="AI118" s="66">
        <v>7717.2593913430946</v>
      </c>
      <c r="AJ118" s="34">
        <v>-32.142941833764723</v>
      </c>
      <c r="AK118" s="181">
        <v>1337.874772985193</v>
      </c>
      <c r="AL118" s="65">
        <v>0</v>
      </c>
      <c r="AM118" s="34">
        <v>-76.25</v>
      </c>
      <c r="AN118" s="65">
        <f t="shared" si="48"/>
        <v>8946.7412224945219</v>
      </c>
      <c r="AO118" s="65"/>
      <c r="AP118" s="41">
        <v>7931.1407991286187</v>
      </c>
      <c r="AQ118" s="41">
        <v>-9.7587551052062462</v>
      </c>
      <c r="AR118" s="41">
        <v>1487.577088634685</v>
      </c>
      <c r="AS118" s="65">
        <v>0</v>
      </c>
      <c r="AT118" s="34">
        <v>-106.05</v>
      </c>
      <c r="AU118" s="65">
        <f t="shared" si="49"/>
        <v>9302.9091326580983</v>
      </c>
      <c r="AV118" s="65"/>
      <c r="AW118" s="41">
        <v>1804.5677489768509</v>
      </c>
      <c r="AX118" s="314"/>
      <c r="AY118" s="314"/>
      <c r="AZ118" s="41">
        <v>449.0640098390183</v>
      </c>
      <c r="BA118" s="65">
        <v>0</v>
      </c>
      <c r="BB118" s="34">
        <v>-92.123999999999995</v>
      </c>
      <c r="BC118" s="65">
        <f t="shared" si="69"/>
        <v>2161.5077588158692</v>
      </c>
      <c r="BD118" s="65"/>
      <c r="BE118" s="41">
        <v>1975.6869047844386</v>
      </c>
      <c r="BF118" s="314"/>
      <c r="BG118" s="314"/>
      <c r="BH118" s="41">
        <v>438.07353134977978</v>
      </c>
      <c r="BI118" s="65">
        <v>0</v>
      </c>
      <c r="BJ118" s="34">
        <v>80.850999999999999</v>
      </c>
      <c r="BK118" s="65">
        <f t="shared" si="70"/>
        <v>2494.6114361342184</v>
      </c>
      <c r="BL118" s="65"/>
      <c r="BM118" s="41">
        <v>2342.8298814408895</v>
      </c>
      <c r="BN118" s="41">
        <v>322.08163026622799</v>
      </c>
      <c r="BO118" s="65">
        <v>0</v>
      </c>
      <c r="BP118" s="34">
        <v>80.850999999999999</v>
      </c>
      <c r="BQ118" s="65">
        <f t="shared" si="50"/>
        <v>2745.7625117071175</v>
      </c>
      <c r="BR118" s="65"/>
      <c r="BS118" s="41">
        <v>2278.2362057267483</v>
      </c>
      <c r="BT118" s="314"/>
      <c r="BU118" s="314"/>
      <c r="BV118" s="41">
        <v>345.61292641727664</v>
      </c>
      <c r="BW118" s="65">
        <v>0</v>
      </c>
      <c r="BX118" s="34">
        <v>80.850999999999999</v>
      </c>
      <c r="BY118" s="65">
        <f t="shared" si="71"/>
        <v>2704.7001321440252</v>
      </c>
      <c r="CA118" s="5">
        <v>2195.4244101919699</v>
      </c>
      <c r="CB118" s="407">
        <v>368.9476939800544</v>
      </c>
      <c r="CC118" s="415">
        <v>0</v>
      </c>
      <c r="CD118" s="34">
        <v>80.850999999999999</v>
      </c>
      <c r="CE118" s="65">
        <f t="shared" si="51"/>
        <v>2645.2231041720243</v>
      </c>
      <c r="CF118" s="407"/>
      <c r="CG118" s="5">
        <v>2444.8784524354728</v>
      </c>
      <c r="CH118" s="407">
        <v>389.29959704759119</v>
      </c>
      <c r="CI118" s="415">
        <v>0</v>
      </c>
      <c r="CJ118" s="34">
        <v>80.850999999999999</v>
      </c>
      <c r="CK118" s="65">
        <f t="shared" si="52"/>
        <v>2915.0290494830642</v>
      </c>
      <c r="CL118" s="407"/>
      <c r="CM118" s="41">
        <f>AU118/'1. Väestöennuste'!L118*1000</f>
        <v>4390.2355510420475</v>
      </c>
      <c r="CN118" s="41">
        <f>BC118/'1. Väestöennuste'!M118*1000</f>
        <v>1033.2255061261326</v>
      </c>
      <c r="CO118" s="41">
        <f>BK118/'1. Väestöennuste'!N118*1000</f>
        <v>1221.6510460990296</v>
      </c>
      <c r="CP118" s="41">
        <f>BQ118/'1. Väestöennuste'!O118*1000</f>
        <v>1362.6612961325645</v>
      </c>
      <c r="CQ118" s="41">
        <f>BY118/'1. Väestöennuste'!P118*1000</f>
        <v>1359.8291262664784</v>
      </c>
      <c r="CR118" s="41">
        <f>CE118/'1. Väestöennuste'!Q118*1000</f>
        <v>1344.800764703622</v>
      </c>
      <c r="CS118" s="41">
        <f>CK118/'1. Väestöennuste'!R118*1000</f>
        <v>1497.9594293335376</v>
      </c>
      <c r="CT118" s="41"/>
      <c r="CV118" s="41">
        <f t="shared" si="53"/>
        <v>2834.1780494830641</v>
      </c>
      <c r="CW118" s="41">
        <f t="shared" si="54"/>
        <v>1475.2065015589833</v>
      </c>
      <c r="CX118" s="41">
        <f t="shared" si="55"/>
        <v>-3357.0100449159149</v>
      </c>
      <c r="CY118" s="41">
        <f t="shared" si="56"/>
        <v>188.42553997289701</v>
      </c>
      <c r="CZ118" s="41">
        <f t="shared" si="57"/>
        <v>141.01025003353493</v>
      </c>
      <c r="DA118" s="41">
        <f t="shared" si="58"/>
        <v>-2.832169866086133</v>
      </c>
      <c r="DB118" s="41">
        <f t="shared" si="59"/>
        <v>-15.028361562856389</v>
      </c>
      <c r="DC118" s="41">
        <f t="shared" si="60"/>
        <v>153.15866462991562</v>
      </c>
      <c r="DD118" s="41"/>
      <c r="DE118" s="283">
        <f t="shared" si="61"/>
        <v>35.05433512860774</v>
      </c>
      <c r="DF118" s="283">
        <f t="shared" si="62"/>
        <v>0.506069228305148</v>
      </c>
      <c r="DG118" s="283">
        <f t="shared" si="63"/>
        <v>-0.76465374258087571</v>
      </c>
      <c r="DH118" s="283">
        <f t="shared" si="64"/>
        <v>0.1823663264753887</v>
      </c>
      <c r="DI118" s="283">
        <f t="shared" si="65"/>
        <v>0.11542596429955035</v>
      </c>
      <c r="DJ118" s="283">
        <f t="shared" si="66"/>
        <v>-2.0784107350258294E-3</v>
      </c>
      <c r="DK118" s="283">
        <f t="shared" si="67"/>
        <v>-1.1051654411990703E-2</v>
      </c>
      <c r="DL118" s="283">
        <f t="shared" si="68"/>
        <v>0.11388948359474643</v>
      </c>
    </row>
    <row r="119" spans="1:116" x14ac:dyDescent="0.2">
      <c r="A119" s="30">
        <v>297</v>
      </c>
      <c r="B119" s="31" t="s">
        <v>433</v>
      </c>
      <c r="C119" s="65"/>
      <c r="D119" s="65"/>
      <c r="E119" s="65"/>
      <c r="F119" s="65"/>
      <c r="G119" s="65"/>
      <c r="H119" s="65">
        <v>182730</v>
      </c>
      <c r="I119" s="65"/>
      <c r="J119" s="65"/>
      <c r="K119" s="65"/>
      <c r="L119" s="65"/>
      <c r="M119" s="65"/>
      <c r="N119" s="65">
        <v>197311</v>
      </c>
      <c r="O119" s="65"/>
      <c r="P119" s="65"/>
      <c r="Q119" s="65"/>
      <c r="R119" s="65"/>
      <c r="S119" s="65"/>
      <c r="T119" s="65">
        <v>197256</v>
      </c>
      <c r="U119" s="65"/>
      <c r="V119" s="65"/>
      <c r="W119" s="65"/>
      <c r="X119" s="65"/>
      <c r="Y119" s="65"/>
      <c r="Z119" s="65">
        <v>203289</v>
      </c>
      <c r="AA119" s="65"/>
      <c r="AB119" s="66">
        <v>197961.07260559834</v>
      </c>
      <c r="AC119" s="34">
        <v>2316.0548335529511</v>
      </c>
      <c r="AD119" s="180">
        <v>51134.766534106209</v>
      </c>
      <c r="AE119" s="65">
        <v>0</v>
      </c>
      <c r="AF119" s="34">
        <v>-2842.0219999999999</v>
      </c>
      <c r="AG119" s="65">
        <f t="shared" si="47"/>
        <v>248569.87197325751</v>
      </c>
      <c r="AH119" s="65"/>
      <c r="AI119" s="66">
        <v>180321.55030595706</v>
      </c>
      <c r="AJ119" s="34">
        <v>-1798.5394538956602</v>
      </c>
      <c r="AK119" s="181">
        <v>55310.854484189622</v>
      </c>
      <c r="AL119" s="65">
        <v>0</v>
      </c>
      <c r="AM119" s="34">
        <v>-2777.4789999999998</v>
      </c>
      <c r="AN119" s="65">
        <f t="shared" si="48"/>
        <v>231056.38633625105</v>
      </c>
      <c r="AO119" s="65"/>
      <c r="AP119" s="41">
        <v>184175.65663352804</v>
      </c>
      <c r="AQ119" s="41">
        <v>-554.86136763043453</v>
      </c>
      <c r="AR119" s="41">
        <v>62734.207864318749</v>
      </c>
      <c r="AS119" s="65">
        <v>0</v>
      </c>
      <c r="AT119" s="34">
        <v>-1775.798</v>
      </c>
      <c r="AU119" s="65">
        <f t="shared" si="49"/>
        <v>244579.20513021635</v>
      </c>
      <c r="AV119" s="65"/>
      <c r="AW119" s="41">
        <v>22118.873459813796</v>
      </c>
      <c r="AX119" s="314"/>
      <c r="AY119" s="314"/>
      <c r="AZ119" s="41">
        <v>19198.097359689422</v>
      </c>
      <c r="BA119" s="65">
        <v>0</v>
      </c>
      <c r="BB119" s="34">
        <v>-1768.8389999999999</v>
      </c>
      <c r="BC119" s="65">
        <f t="shared" si="69"/>
        <v>39548.131819503215</v>
      </c>
      <c r="BD119" s="65"/>
      <c r="BE119" s="41">
        <v>14639.848654382829</v>
      </c>
      <c r="BF119" s="314"/>
      <c r="BG119" s="314"/>
      <c r="BH119" s="41">
        <v>19210.082571614446</v>
      </c>
      <c r="BI119" s="65">
        <v>0</v>
      </c>
      <c r="BJ119" s="34">
        <v>-250.91900000000001</v>
      </c>
      <c r="BK119" s="65">
        <f t="shared" si="70"/>
        <v>33599.012225997278</v>
      </c>
      <c r="BL119" s="65"/>
      <c r="BM119" s="41">
        <v>30588.479915935517</v>
      </c>
      <c r="BN119" s="41">
        <v>11527.733706468742</v>
      </c>
      <c r="BO119" s="65">
        <v>0</v>
      </c>
      <c r="BP119" s="34">
        <v>-250.91900000000001</v>
      </c>
      <c r="BQ119" s="65">
        <f t="shared" si="50"/>
        <v>41865.294622404261</v>
      </c>
      <c r="BR119" s="65"/>
      <c r="BS119" s="41">
        <v>36712.217229483111</v>
      </c>
      <c r="BT119" s="314"/>
      <c r="BU119" s="314"/>
      <c r="BV119" s="41">
        <v>12450.427499475381</v>
      </c>
      <c r="BW119" s="65">
        <v>0</v>
      </c>
      <c r="BX119" s="34">
        <v>-250.91900000000001</v>
      </c>
      <c r="BY119" s="65">
        <f t="shared" si="71"/>
        <v>48911.725728958489</v>
      </c>
      <c r="CA119" s="5">
        <v>38929.876580625263</v>
      </c>
      <c r="CB119" s="407">
        <v>13498.358421077173</v>
      </c>
      <c r="CC119" s="415">
        <v>0</v>
      </c>
      <c r="CD119" s="34">
        <v>-250.91900000000001</v>
      </c>
      <c r="CE119" s="65">
        <f t="shared" si="51"/>
        <v>52177.316001702435</v>
      </c>
      <c r="CF119" s="407"/>
      <c r="CG119" s="5">
        <v>42687.308695411914</v>
      </c>
      <c r="CH119" s="407">
        <v>14392.552973889158</v>
      </c>
      <c r="CI119" s="415">
        <v>0</v>
      </c>
      <c r="CJ119" s="34">
        <v>-250.91900000000001</v>
      </c>
      <c r="CK119" s="65">
        <f t="shared" si="52"/>
        <v>56828.942669301068</v>
      </c>
      <c r="CL119" s="407"/>
      <c r="CM119" s="41">
        <f>AU119/'1. Väestöennuste'!L119*1000</f>
        <v>1995.0340565624447</v>
      </c>
      <c r="CN119" s="41">
        <f>BC119/'1. Väestöennuste'!M119*1000</f>
        <v>318.88254262990313</v>
      </c>
      <c r="CO119" s="41">
        <f>BK119/'1. Väestöennuste'!N119*1000</f>
        <v>273.66776266766533</v>
      </c>
      <c r="CP119" s="41">
        <f>BQ119/'1. Väestöennuste'!O119*1000</f>
        <v>339.58141397902631</v>
      </c>
      <c r="CQ119" s="41">
        <f>BY119/'1. Väestöennuste'!P119*1000</f>
        <v>395.18559355701746</v>
      </c>
      <c r="CR119" s="41">
        <f>CE119/'1. Väestöennuste'!Q119*1000</f>
        <v>420.02266855868334</v>
      </c>
      <c r="CS119" s="41">
        <f>CK119/'1. Väestöennuste'!R119*1000</f>
        <v>455.90442651323349</v>
      </c>
      <c r="CT119" s="41"/>
      <c r="CV119" s="41">
        <f t="shared" si="53"/>
        <v>57079.86166930107</v>
      </c>
      <c r="CW119" s="41">
        <f t="shared" si="54"/>
        <v>-54833.908612738625</v>
      </c>
      <c r="CX119" s="41">
        <f t="shared" si="55"/>
        <v>-1676.1515139325415</v>
      </c>
      <c r="CY119" s="41">
        <f t="shared" si="56"/>
        <v>-45.214779962237799</v>
      </c>
      <c r="CZ119" s="41">
        <f t="shared" si="57"/>
        <v>65.913651311360979</v>
      </c>
      <c r="DA119" s="41">
        <f t="shared" si="58"/>
        <v>55.604179577991147</v>
      </c>
      <c r="DB119" s="41">
        <f t="shared" si="59"/>
        <v>24.83707500166588</v>
      </c>
      <c r="DC119" s="41">
        <f t="shared" si="60"/>
        <v>35.881757954550153</v>
      </c>
      <c r="DD119" s="41"/>
      <c r="DE119" s="283">
        <f t="shared" si="61"/>
        <v>-227.48321836648907</v>
      </c>
      <c r="DF119" s="283">
        <f t="shared" si="62"/>
        <v>-0.96489404935488698</v>
      </c>
      <c r="DG119" s="283">
        <f t="shared" si="63"/>
        <v>-0.84016185509165919</v>
      </c>
      <c r="DH119" s="283">
        <f t="shared" si="64"/>
        <v>-0.14179133040441894</v>
      </c>
      <c r="DI119" s="283">
        <f t="shared" si="65"/>
        <v>0.24085281608928386</v>
      </c>
      <c r="DJ119" s="283">
        <f t="shared" si="66"/>
        <v>0.16374329480065553</v>
      </c>
      <c r="DK119" s="283">
        <f t="shared" si="67"/>
        <v>6.2849140774870832E-2</v>
      </c>
      <c r="DL119" s="283">
        <f t="shared" si="68"/>
        <v>8.5428146241913958E-2</v>
      </c>
    </row>
    <row r="120" spans="1:116" x14ac:dyDescent="0.2">
      <c r="A120" s="30">
        <v>300</v>
      </c>
      <c r="B120" s="31" t="s">
        <v>434</v>
      </c>
      <c r="C120" s="65"/>
      <c r="D120" s="65"/>
      <c r="E120" s="65"/>
      <c r="F120" s="65"/>
      <c r="G120" s="65"/>
      <c r="H120" s="65">
        <v>13380</v>
      </c>
      <c r="I120" s="65"/>
      <c r="J120" s="65"/>
      <c r="K120" s="65"/>
      <c r="L120" s="65"/>
      <c r="M120" s="65"/>
      <c r="N120" s="65">
        <v>13511</v>
      </c>
      <c r="O120" s="65"/>
      <c r="P120" s="65"/>
      <c r="Q120" s="65"/>
      <c r="R120" s="65"/>
      <c r="S120" s="65"/>
      <c r="T120" s="65">
        <v>13497</v>
      </c>
      <c r="U120" s="65"/>
      <c r="V120" s="65"/>
      <c r="W120" s="65"/>
      <c r="X120" s="65"/>
      <c r="Y120" s="65"/>
      <c r="Z120" s="65">
        <v>13381</v>
      </c>
      <c r="AA120" s="65"/>
      <c r="AB120" s="66">
        <v>11914.675463195885</v>
      </c>
      <c r="AC120" s="34">
        <v>53.538487333403424</v>
      </c>
      <c r="AD120" s="180">
        <v>2085.3092551292602</v>
      </c>
      <c r="AE120" s="65">
        <v>0</v>
      </c>
      <c r="AF120" s="34">
        <v>855.96600000000001</v>
      </c>
      <c r="AG120" s="65">
        <f t="shared" si="47"/>
        <v>14909.489205658549</v>
      </c>
      <c r="AH120" s="65"/>
      <c r="AI120" s="66">
        <v>11443.503059290908</v>
      </c>
      <c r="AJ120" s="34">
        <v>-41.429898765757166</v>
      </c>
      <c r="AK120" s="181">
        <v>2222.1267340489744</v>
      </c>
      <c r="AL120" s="65">
        <v>0</v>
      </c>
      <c r="AM120" s="34">
        <v>773.26599999999996</v>
      </c>
      <c r="AN120" s="65">
        <f t="shared" si="48"/>
        <v>14397.465894574125</v>
      </c>
      <c r="AO120" s="65"/>
      <c r="AP120" s="41">
        <v>12498.46015081527</v>
      </c>
      <c r="AQ120" s="41">
        <v>-12.761192137644752</v>
      </c>
      <c r="AR120" s="41">
        <v>2508.8190835903283</v>
      </c>
      <c r="AS120" s="65">
        <v>0</v>
      </c>
      <c r="AT120" s="34">
        <v>819.19799999999998</v>
      </c>
      <c r="AU120" s="65">
        <f t="shared" si="49"/>
        <v>15813.716042267954</v>
      </c>
      <c r="AV120" s="65"/>
      <c r="AW120" s="41">
        <v>4570.362279500363</v>
      </c>
      <c r="AX120" s="314"/>
      <c r="AY120" s="314"/>
      <c r="AZ120" s="41">
        <v>777.9507405079695</v>
      </c>
      <c r="BA120" s="65">
        <v>0</v>
      </c>
      <c r="BB120" s="34">
        <v>1179.1020000000001</v>
      </c>
      <c r="BC120" s="65">
        <f t="shared" si="69"/>
        <v>6527.4150200083322</v>
      </c>
      <c r="BD120" s="65"/>
      <c r="BE120" s="41">
        <v>4343.9361626765303</v>
      </c>
      <c r="BF120" s="314"/>
      <c r="BG120" s="314"/>
      <c r="BH120" s="41">
        <v>766.83142610848688</v>
      </c>
      <c r="BI120" s="65">
        <v>0</v>
      </c>
      <c r="BJ120" s="34">
        <v>1632.5540000000001</v>
      </c>
      <c r="BK120" s="65">
        <f t="shared" si="70"/>
        <v>6743.3215887850174</v>
      </c>
      <c r="BL120" s="65"/>
      <c r="BM120" s="41">
        <v>4213.8450356089625</v>
      </c>
      <c r="BN120" s="41">
        <v>551.25013268840416</v>
      </c>
      <c r="BO120" s="65">
        <v>0</v>
      </c>
      <c r="BP120" s="34">
        <v>1632.5540000000001</v>
      </c>
      <c r="BQ120" s="65">
        <f t="shared" si="50"/>
        <v>6397.6491682973665</v>
      </c>
      <c r="BR120" s="65"/>
      <c r="BS120" s="41">
        <v>4098.956031265765</v>
      </c>
      <c r="BT120" s="314"/>
      <c r="BU120" s="314"/>
      <c r="BV120" s="41">
        <v>586.73229708361589</v>
      </c>
      <c r="BW120" s="65">
        <v>0</v>
      </c>
      <c r="BX120" s="34">
        <v>1632.5540000000001</v>
      </c>
      <c r="BY120" s="65">
        <f t="shared" si="71"/>
        <v>6318.2423283493808</v>
      </c>
      <c r="CA120" s="5">
        <v>3969.1693910954314</v>
      </c>
      <c r="CB120" s="407">
        <v>623.02613678991872</v>
      </c>
      <c r="CC120" s="415">
        <v>0</v>
      </c>
      <c r="CD120" s="34">
        <v>1632.5540000000001</v>
      </c>
      <c r="CE120" s="65">
        <f t="shared" si="51"/>
        <v>6224.7495278853503</v>
      </c>
      <c r="CF120" s="407"/>
      <c r="CG120" s="5">
        <v>4325.1166416109327</v>
      </c>
      <c r="CH120" s="407">
        <v>654.79705037791769</v>
      </c>
      <c r="CI120" s="415">
        <v>0</v>
      </c>
      <c r="CJ120" s="34">
        <v>1632.5540000000001</v>
      </c>
      <c r="CK120" s="65">
        <f t="shared" si="52"/>
        <v>6612.4676919888507</v>
      </c>
      <c r="CL120" s="407"/>
      <c r="CM120" s="41">
        <f>AU120/'1. Väestöennuste'!L120*1000</f>
        <v>4601.0229974593994</v>
      </c>
      <c r="CN120" s="41">
        <f>BC120/'1. Väestöennuste'!M120*1000</f>
        <v>1930.6166873730649</v>
      </c>
      <c r="CO120" s="41">
        <f>BK120/'1. Väestöennuste'!N120*1000</f>
        <v>1990.9423055166867</v>
      </c>
      <c r="CP120" s="41">
        <f>BQ120/'1. Väestöennuste'!O120*1000</f>
        <v>1907.4684461232459</v>
      </c>
      <c r="CQ120" s="41">
        <f>BY120/'1. Väestöennuste'!P120*1000</f>
        <v>1903.6584297527511</v>
      </c>
      <c r="CR120" s="41">
        <f>CE120/'1. Väestöennuste'!Q120*1000</f>
        <v>1893.7479549392608</v>
      </c>
      <c r="CS120" s="41">
        <f>CK120/'1. Väestöennuste'!R120*1000</f>
        <v>2030.2326349367056</v>
      </c>
      <c r="CT120" s="41"/>
      <c r="CV120" s="41">
        <f t="shared" si="53"/>
        <v>4979.9136919888506</v>
      </c>
      <c r="CW120" s="41">
        <f t="shared" si="54"/>
        <v>-2011.4446945294512</v>
      </c>
      <c r="CX120" s="41">
        <f t="shared" si="55"/>
        <v>-2670.4063100863345</v>
      </c>
      <c r="CY120" s="41">
        <f t="shared" si="56"/>
        <v>60.325618143621796</v>
      </c>
      <c r="CZ120" s="41">
        <f t="shared" si="57"/>
        <v>-83.473859393440762</v>
      </c>
      <c r="DA120" s="41">
        <f t="shared" si="58"/>
        <v>-3.81001637049485</v>
      </c>
      <c r="DB120" s="41">
        <f t="shared" si="59"/>
        <v>-9.910474813490282</v>
      </c>
      <c r="DC120" s="41">
        <f t="shared" si="60"/>
        <v>136.4846799974448</v>
      </c>
      <c r="DD120" s="41"/>
      <c r="DE120" s="283">
        <f t="shared" si="61"/>
        <v>3.0503822182842653</v>
      </c>
      <c r="DF120" s="283">
        <f t="shared" si="62"/>
        <v>-0.30418971981766513</v>
      </c>
      <c r="DG120" s="283">
        <f t="shared" si="63"/>
        <v>-0.58039403662204769</v>
      </c>
      <c r="DH120" s="283">
        <f t="shared" si="64"/>
        <v>3.1246812761007027E-2</v>
      </c>
      <c r="DI120" s="283">
        <f t="shared" si="65"/>
        <v>-4.1926809813696606E-2</v>
      </c>
      <c r="DJ120" s="283">
        <f t="shared" si="66"/>
        <v>-1.9974203915343173E-3</v>
      </c>
      <c r="DK120" s="283">
        <f t="shared" si="67"/>
        <v>-5.2060152486375737E-3</v>
      </c>
      <c r="DL120" s="283">
        <f t="shared" si="68"/>
        <v>7.2071195980154781E-2</v>
      </c>
    </row>
    <row r="121" spans="1:116" x14ac:dyDescent="0.2">
      <c r="A121" s="30">
        <v>301</v>
      </c>
      <c r="B121" s="31" t="s">
        <v>435</v>
      </c>
      <c r="C121" s="65"/>
      <c r="D121" s="65"/>
      <c r="E121" s="65"/>
      <c r="F121" s="65"/>
      <c r="G121" s="65"/>
      <c r="H121" s="65">
        <v>59705</v>
      </c>
      <c r="I121" s="65"/>
      <c r="J121" s="65"/>
      <c r="K121" s="65"/>
      <c r="L121" s="65"/>
      <c r="M121" s="65"/>
      <c r="N121" s="65">
        <v>61586</v>
      </c>
      <c r="O121" s="65"/>
      <c r="P121" s="65"/>
      <c r="Q121" s="65"/>
      <c r="R121" s="65"/>
      <c r="S121" s="65"/>
      <c r="T121" s="65">
        <v>61226</v>
      </c>
      <c r="U121" s="65"/>
      <c r="V121" s="65"/>
      <c r="W121" s="65"/>
      <c r="X121" s="65"/>
      <c r="Y121" s="65"/>
      <c r="Z121" s="65">
        <v>60761</v>
      </c>
      <c r="AA121" s="65"/>
      <c r="AB121" s="66">
        <v>59940.27051543694</v>
      </c>
      <c r="AC121" s="34">
        <v>319.49681866183414</v>
      </c>
      <c r="AD121" s="180">
        <v>11747.480525832667</v>
      </c>
      <c r="AE121" s="65">
        <v>0</v>
      </c>
      <c r="AF121" s="34">
        <v>-2626.4859999999999</v>
      </c>
      <c r="AG121" s="65">
        <f t="shared" si="47"/>
        <v>69380.76185993143</v>
      </c>
      <c r="AH121" s="65"/>
      <c r="AI121" s="66">
        <v>57903.819024326738</v>
      </c>
      <c r="AJ121" s="34">
        <v>-247.98653179526579</v>
      </c>
      <c r="AK121" s="181">
        <v>12537.878408759061</v>
      </c>
      <c r="AL121" s="65">
        <v>0</v>
      </c>
      <c r="AM121" s="34">
        <v>-2589.1860000000001</v>
      </c>
      <c r="AN121" s="65">
        <f t="shared" si="48"/>
        <v>67604.524901290526</v>
      </c>
      <c r="AO121" s="65"/>
      <c r="AP121" s="41">
        <v>60924.428249818848</v>
      </c>
      <c r="AQ121" s="41">
        <v>-76.578226224070733</v>
      </c>
      <c r="AR121" s="41">
        <v>14205.172397084527</v>
      </c>
      <c r="AS121" s="65">
        <v>0</v>
      </c>
      <c r="AT121" s="34">
        <v>-2461.1729999999998</v>
      </c>
      <c r="AU121" s="65">
        <f t="shared" si="49"/>
        <v>72591.849420679311</v>
      </c>
      <c r="AV121" s="65"/>
      <c r="AW121" s="41">
        <v>13876.808326492739</v>
      </c>
      <c r="AX121" s="314"/>
      <c r="AY121" s="314"/>
      <c r="AZ121" s="41">
        <v>4466.2897991133541</v>
      </c>
      <c r="BA121" s="65">
        <v>0</v>
      </c>
      <c r="BB121" s="34">
        <v>-2562.1669999999999</v>
      </c>
      <c r="BC121" s="65">
        <f t="shared" si="69"/>
        <v>15780.931125606092</v>
      </c>
      <c r="BD121" s="65"/>
      <c r="BE121" s="41">
        <v>9245.4918963933214</v>
      </c>
      <c r="BF121" s="314"/>
      <c r="BG121" s="314"/>
      <c r="BH121" s="41">
        <v>4430.386105662732</v>
      </c>
      <c r="BI121" s="65">
        <v>0</v>
      </c>
      <c r="BJ121" s="34">
        <v>-1852.08</v>
      </c>
      <c r="BK121" s="65">
        <f t="shared" si="70"/>
        <v>11823.798002056054</v>
      </c>
      <c r="BL121" s="65"/>
      <c r="BM121" s="41">
        <v>11875.433120234313</v>
      </c>
      <c r="BN121" s="41">
        <v>3135.284984876434</v>
      </c>
      <c r="BO121" s="65">
        <v>0</v>
      </c>
      <c r="BP121" s="34">
        <v>-1852.08</v>
      </c>
      <c r="BQ121" s="65">
        <f t="shared" si="50"/>
        <v>13158.638105110747</v>
      </c>
      <c r="BR121" s="65"/>
      <c r="BS121" s="41">
        <v>11936.051423361636</v>
      </c>
      <c r="BT121" s="314"/>
      <c r="BU121" s="314"/>
      <c r="BV121" s="41">
        <v>3330.9873183606946</v>
      </c>
      <c r="BW121" s="65">
        <v>0</v>
      </c>
      <c r="BX121" s="34">
        <v>-1852.08</v>
      </c>
      <c r="BY121" s="65">
        <f t="shared" si="71"/>
        <v>13414.95874172233</v>
      </c>
      <c r="CA121" s="5">
        <v>12143.199933385324</v>
      </c>
      <c r="CB121" s="407">
        <v>3530.7899454419917</v>
      </c>
      <c r="CC121" s="415">
        <v>0</v>
      </c>
      <c r="CD121" s="34">
        <v>-1852.08</v>
      </c>
      <c r="CE121" s="65">
        <f t="shared" si="51"/>
        <v>13821.909878827315</v>
      </c>
      <c r="CF121" s="407"/>
      <c r="CG121" s="5">
        <v>13956.567318996122</v>
      </c>
      <c r="CH121" s="407">
        <v>3704.8140721125733</v>
      </c>
      <c r="CI121" s="415">
        <v>0</v>
      </c>
      <c r="CJ121" s="34">
        <v>-1852.08</v>
      </c>
      <c r="CK121" s="65">
        <f t="shared" si="52"/>
        <v>15809.301391108695</v>
      </c>
      <c r="CL121" s="407"/>
      <c r="CM121" s="41">
        <f>AU121/'1. Väestöennuste'!L121*1000</f>
        <v>3649.6656320100205</v>
      </c>
      <c r="CN121" s="41">
        <f>BC121/'1. Väestöennuste'!M121*1000</f>
        <v>798.67053624202094</v>
      </c>
      <c r="CO121" s="41">
        <f>BK121/'1. Väestöennuste'!N121*1000</f>
        <v>606.50412936937948</v>
      </c>
      <c r="CP121" s="41">
        <f>BQ121/'1. Väestöennuste'!O121*1000</f>
        <v>682.89159297891672</v>
      </c>
      <c r="CQ121" s="41">
        <f>BY121/'1. Väestöennuste'!P121*1000</f>
        <v>704.23427695534303</v>
      </c>
      <c r="CR121" s="41">
        <f>CE121/'1. Väestöennuste'!Q121*1000</f>
        <v>733.88074115043628</v>
      </c>
      <c r="CS121" s="41">
        <f>CK121/'1. Väestöennuste'!R121*1000</f>
        <v>848.95829616092226</v>
      </c>
      <c r="CT121" s="41"/>
      <c r="CV121" s="41">
        <f t="shared" si="53"/>
        <v>17661.381391108695</v>
      </c>
      <c r="CW121" s="41">
        <f t="shared" si="54"/>
        <v>-12159.635759098674</v>
      </c>
      <c r="CX121" s="41">
        <f t="shared" si="55"/>
        <v>-2850.9950957679994</v>
      </c>
      <c r="CY121" s="41">
        <f t="shared" si="56"/>
        <v>-192.16640687264146</v>
      </c>
      <c r="CZ121" s="41">
        <f t="shared" si="57"/>
        <v>76.387463609537235</v>
      </c>
      <c r="DA121" s="41">
        <f t="shared" si="58"/>
        <v>21.342683976426315</v>
      </c>
      <c r="DB121" s="41">
        <f t="shared" si="59"/>
        <v>29.646464195093245</v>
      </c>
      <c r="DC121" s="41">
        <f t="shared" si="60"/>
        <v>115.07755501048598</v>
      </c>
      <c r="DD121" s="41"/>
      <c r="DE121" s="283">
        <f t="shared" si="61"/>
        <v>-9.5359711195567662</v>
      </c>
      <c r="DF121" s="283">
        <f t="shared" si="62"/>
        <v>-0.76914440798360462</v>
      </c>
      <c r="DG121" s="283">
        <f t="shared" si="63"/>
        <v>-0.78116610759157123</v>
      </c>
      <c r="DH121" s="283">
        <f t="shared" si="64"/>
        <v>-0.24060785787446318</v>
      </c>
      <c r="DI121" s="283">
        <f t="shared" si="65"/>
        <v>0.12594714513974059</v>
      </c>
      <c r="DJ121" s="283">
        <f t="shared" si="66"/>
        <v>3.1253399801460489E-2</v>
      </c>
      <c r="DK121" s="283">
        <f t="shared" si="67"/>
        <v>4.2097445644460142E-2</v>
      </c>
      <c r="DL121" s="283">
        <f t="shared" si="68"/>
        <v>0.15680688776501975</v>
      </c>
    </row>
    <row r="122" spans="1:116" x14ac:dyDescent="0.2">
      <c r="A122" s="30">
        <v>304</v>
      </c>
      <c r="B122" s="31" t="s">
        <v>436</v>
      </c>
      <c r="C122" s="65"/>
      <c r="D122" s="65"/>
      <c r="E122" s="65"/>
      <c r="F122" s="65"/>
      <c r="G122" s="65"/>
      <c r="H122" s="65">
        <v>2492</v>
      </c>
      <c r="I122" s="65"/>
      <c r="J122" s="65"/>
      <c r="K122" s="65"/>
      <c r="L122" s="65"/>
      <c r="M122" s="65"/>
      <c r="N122" s="65">
        <v>2367</v>
      </c>
      <c r="O122" s="65"/>
      <c r="P122" s="65"/>
      <c r="Q122" s="65"/>
      <c r="R122" s="65"/>
      <c r="S122" s="65"/>
      <c r="T122" s="65">
        <v>2303</v>
      </c>
      <c r="U122" s="65"/>
      <c r="V122" s="65"/>
      <c r="W122" s="65"/>
      <c r="X122" s="65"/>
      <c r="Y122" s="65"/>
      <c r="Z122" s="65">
        <v>2132</v>
      </c>
      <c r="AA122" s="65"/>
      <c r="AB122" s="66">
        <v>2103.4524813842913</v>
      </c>
      <c r="AC122" s="34">
        <v>21.450290292461762</v>
      </c>
      <c r="AD122" s="180">
        <v>486.64433702019551</v>
      </c>
      <c r="AE122" s="65">
        <v>0</v>
      </c>
      <c r="AF122" s="34">
        <v>-189.863</v>
      </c>
      <c r="AG122" s="65">
        <f t="shared" si="47"/>
        <v>2421.6841086969489</v>
      </c>
      <c r="AH122" s="65"/>
      <c r="AI122" s="66">
        <v>2031.4782448856929</v>
      </c>
      <c r="AJ122" s="34">
        <v>-16.737724234133395</v>
      </c>
      <c r="AK122" s="181">
        <v>520.34242106216902</v>
      </c>
      <c r="AL122" s="65">
        <v>0</v>
      </c>
      <c r="AM122" s="34">
        <v>-230.74299999999999</v>
      </c>
      <c r="AN122" s="65">
        <f t="shared" si="48"/>
        <v>2304.3399417137284</v>
      </c>
      <c r="AO122" s="65"/>
      <c r="AP122" s="41">
        <v>1965.8651572953188</v>
      </c>
      <c r="AQ122" s="41">
        <v>-5.078257939374919</v>
      </c>
      <c r="AR122" s="41">
        <v>600.49817429560812</v>
      </c>
      <c r="AS122" s="65">
        <v>0</v>
      </c>
      <c r="AT122" s="34">
        <v>-188.51</v>
      </c>
      <c r="AU122" s="65">
        <f t="shared" si="49"/>
        <v>2372.7750736515518</v>
      </c>
      <c r="AV122" s="65"/>
      <c r="AW122" s="41">
        <v>-312.11274581430087</v>
      </c>
      <c r="AX122" s="314"/>
      <c r="AY122" s="314"/>
      <c r="AZ122" s="41">
        <v>180.43088589154334</v>
      </c>
      <c r="BA122" s="65">
        <v>0</v>
      </c>
      <c r="BB122" s="34">
        <v>-222.81200000000001</v>
      </c>
      <c r="BC122" s="65">
        <f t="shared" si="69"/>
        <v>-354.49385992275757</v>
      </c>
      <c r="BD122" s="65"/>
      <c r="BE122" s="41">
        <v>-196.48026452483475</v>
      </c>
      <c r="BF122" s="314"/>
      <c r="BG122" s="314"/>
      <c r="BH122" s="41">
        <v>175.02254967830618</v>
      </c>
      <c r="BI122" s="65">
        <v>0</v>
      </c>
      <c r="BJ122" s="34">
        <v>-204.21299999999999</v>
      </c>
      <c r="BK122" s="65">
        <f t="shared" si="70"/>
        <v>-225.67071484652857</v>
      </c>
      <c r="BL122" s="65"/>
      <c r="BM122" s="41">
        <v>-86.815045614549305</v>
      </c>
      <c r="BN122" s="41">
        <v>147.99939928274901</v>
      </c>
      <c r="BO122" s="65">
        <v>0</v>
      </c>
      <c r="BP122" s="34">
        <v>-204.21299999999999</v>
      </c>
      <c r="BQ122" s="65">
        <f t="shared" si="50"/>
        <v>-143.0286463318003</v>
      </c>
      <c r="BR122" s="65"/>
      <c r="BS122" s="41">
        <v>-36.111368299963694</v>
      </c>
      <c r="BT122" s="314"/>
      <c r="BU122" s="314"/>
      <c r="BV122" s="41">
        <v>153.5481802424045</v>
      </c>
      <c r="BW122" s="65">
        <v>0</v>
      </c>
      <c r="BX122" s="34">
        <v>-204.21299999999999</v>
      </c>
      <c r="BY122" s="65">
        <f t="shared" si="71"/>
        <v>-86.776188057559182</v>
      </c>
      <c r="CA122" s="5">
        <v>-73.41903273013564</v>
      </c>
      <c r="CB122" s="407">
        <v>160.73336480453756</v>
      </c>
      <c r="CC122" s="415">
        <v>0</v>
      </c>
      <c r="CD122" s="34">
        <v>-204.21299999999999</v>
      </c>
      <c r="CE122" s="65">
        <f t="shared" si="51"/>
        <v>-116.89866792559808</v>
      </c>
      <c r="CF122" s="407"/>
      <c r="CG122" s="5">
        <v>-61.756705304711403</v>
      </c>
      <c r="CH122" s="407">
        <v>166.54778046915465</v>
      </c>
      <c r="CI122" s="415">
        <v>0</v>
      </c>
      <c r="CJ122" s="34">
        <v>-204.21299999999999</v>
      </c>
      <c r="CK122" s="65">
        <f t="shared" si="52"/>
        <v>-99.421924835556752</v>
      </c>
      <c r="CL122" s="407"/>
      <c r="CM122" s="41">
        <f>AU122/'1. Väestöennuste'!L122*1000</f>
        <v>2497.6579722647916</v>
      </c>
      <c r="CN122" s="41">
        <f>BC122/'1. Väestöennuste'!M122*1000</f>
        <v>-373.54463637803747</v>
      </c>
      <c r="CO122" s="41">
        <f>BK122/'1. Väestöennuste'!N122*1000</f>
        <v>-220.16655106978396</v>
      </c>
      <c r="CP122" s="41">
        <f>BQ122/'1. Väestöennuste'!O122*1000</f>
        <v>-137.92540629874668</v>
      </c>
      <c r="CQ122" s="41">
        <f>BY122/'1. Väestöennuste'!P122*1000</f>
        <v>-82.643988626246838</v>
      </c>
      <c r="CR122" s="41">
        <f>CE122/'1. Väestöennuste'!Q122*1000</f>
        <v>-109.86716910300572</v>
      </c>
      <c r="CS122" s="41">
        <f>CK122/'1. Väestöennuste'!R122*1000</f>
        <v>-92.485511474936516</v>
      </c>
      <c r="CT122" s="41"/>
      <c r="CV122" s="41">
        <f t="shared" si="53"/>
        <v>104.79107516444324</v>
      </c>
      <c r="CW122" s="41">
        <f t="shared" si="54"/>
        <v>2597.0798971003483</v>
      </c>
      <c r="CX122" s="41">
        <f t="shared" si="55"/>
        <v>-2871.2026086428291</v>
      </c>
      <c r="CY122" s="41">
        <f t="shared" si="56"/>
        <v>153.3780853082535</v>
      </c>
      <c r="CZ122" s="41">
        <f t="shared" si="57"/>
        <v>82.241144771037284</v>
      </c>
      <c r="DA122" s="41">
        <f t="shared" si="58"/>
        <v>55.281417672499842</v>
      </c>
      <c r="DB122" s="41">
        <f t="shared" si="59"/>
        <v>-27.223180476758884</v>
      </c>
      <c r="DC122" s="41">
        <f t="shared" si="60"/>
        <v>17.381657628069206</v>
      </c>
      <c r="DD122" s="41"/>
      <c r="DE122" s="283">
        <f t="shared" si="61"/>
        <v>-0.51314595625373138</v>
      </c>
      <c r="DF122" s="283">
        <f t="shared" si="62"/>
        <v>-26.121802624480488</v>
      </c>
      <c r="DG122" s="283">
        <f t="shared" si="63"/>
        <v>-1.1495579621093275</v>
      </c>
      <c r="DH122" s="283">
        <f t="shared" si="64"/>
        <v>-0.41060176046278618</v>
      </c>
      <c r="DI122" s="283">
        <f t="shared" si="65"/>
        <v>-0.37354059629598385</v>
      </c>
      <c r="DJ122" s="283">
        <f t="shared" si="66"/>
        <v>-0.40080663277337164</v>
      </c>
      <c r="DK122" s="283">
        <f t="shared" si="67"/>
        <v>0.32940303256507025</v>
      </c>
      <c r="DL122" s="283">
        <f t="shared" si="68"/>
        <v>-0.1582061117072478</v>
      </c>
    </row>
    <row r="123" spans="1:116" x14ac:dyDescent="0.2">
      <c r="A123" s="30">
        <v>305</v>
      </c>
      <c r="B123" s="31" t="s">
        <v>437</v>
      </c>
      <c r="C123" s="65"/>
      <c r="D123" s="65"/>
      <c r="E123" s="65"/>
      <c r="F123" s="65"/>
      <c r="G123" s="65"/>
      <c r="H123" s="65">
        <v>46600</v>
      </c>
      <c r="I123" s="65"/>
      <c r="J123" s="65"/>
      <c r="K123" s="65"/>
      <c r="L123" s="65"/>
      <c r="M123" s="65"/>
      <c r="N123" s="65">
        <v>46187</v>
      </c>
      <c r="O123" s="65"/>
      <c r="P123" s="65"/>
      <c r="Q123" s="65"/>
      <c r="R123" s="65"/>
      <c r="S123" s="65"/>
      <c r="T123" s="65">
        <v>44886</v>
      </c>
      <c r="U123" s="65"/>
      <c r="V123" s="65"/>
      <c r="W123" s="65"/>
      <c r="X123" s="65"/>
      <c r="Y123" s="65"/>
      <c r="Z123" s="65">
        <v>45725</v>
      </c>
      <c r="AA123" s="65"/>
      <c r="AB123" s="66">
        <v>44423.705755857365</v>
      </c>
      <c r="AC123" s="34">
        <v>258.71735319233363</v>
      </c>
      <c r="AD123" s="180">
        <v>7705.808390856434</v>
      </c>
      <c r="AE123" s="65">
        <v>0</v>
      </c>
      <c r="AF123" s="34">
        <v>-986.91600000000005</v>
      </c>
      <c r="AG123" s="65">
        <f t="shared" si="47"/>
        <v>51401.315499906137</v>
      </c>
      <c r="AH123" s="65"/>
      <c r="AI123" s="66">
        <v>42873.294559581896</v>
      </c>
      <c r="AJ123" s="34">
        <v>-200.1842535880543</v>
      </c>
      <c r="AK123" s="181">
        <v>8242.9526882591363</v>
      </c>
      <c r="AL123" s="65">
        <v>0</v>
      </c>
      <c r="AM123" s="34">
        <v>-1165.076</v>
      </c>
      <c r="AN123" s="65">
        <f t="shared" si="48"/>
        <v>49750.986994252977</v>
      </c>
      <c r="AO123" s="65"/>
      <c r="AP123" s="41">
        <v>45997.651677155125</v>
      </c>
      <c r="AQ123" s="41">
        <v>-61.328486047328461</v>
      </c>
      <c r="AR123" s="41">
        <v>9153.8799412968274</v>
      </c>
      <c r="AS123" s="65">
        <v>0</v>
      </c>
      <c r="AT123" s="34">
        <v>-742.26099999999997</v>
      </c>
      <c r="AU123" s="65">
        <f t="shared" si="49"/>
        <v>54347.942132404627</v>
      </c>
      <c r="AV123" s="65"/>
      <c r="AW123" s="41">
        <v>15158.192732318708</v>
      </c>
      <c r="AX123" s="314"/>
      <c r="AY123" s="314"/>
      <c r="AZ123" s="41">
        <v>2761.0839066240273</v>
      </c>
      <c r="BA123" s="65">
        <v>0</v>
      </c>
      <c r="BB123" s="34">
        <v>-717.41600000000005</v>
      </c>
      <c r="BC123" s="65">
        <f t="shared" si="69"/>
        <v>17201.860638942733</v>
      </c>
      <c r="BD123" s="65"/>
      <c r="BE123" s="41">
        <v>13087.914565261568</v>
      </c>
      <c r="BF123" s="314"/>
      <c r="BG123" s="314"/>
      <c r="BH123" s="41">
        <v>2763.1734985383737</v>
      </c>
      <c r="BI123" s="65">
        <v>0</v>
      </c>
      <c r="BJ123" s="34">
        <v>-997.87</v>
      </c>
      <c r="BK123" s="65">
        <f t="shared" si="70"/>
        <v>14853.218063799941</v>
      </c>
      <c r="BL123" s="65"/>
      <c r="BM123" s="41">
        <v>14308.829423602054</v>
      </c>
      <c r="BN123" s="41">
        <v>1916.9129473942887</v>
      </c>
      <c r="BO123" s="65">
        <v>0</v>
      </c>
      <c r="BP123" s="34">
        <v>-997.87</v>
      </c>
      <c r="BQ123" s="65">
        <f t="shared" si="50"/>
        <v>15227.872370996341</v>
      </c>
      <c r="BR123" s="65"/>
      <c r="BS123" s="41">
        <v>13729.93207164866</v>
      </c>
      <c r="BT123" s="314"/>
      <c r="BU123" s="314"/>
      <c r="BV123" s="41">
        <v>2046.6321450720843</v>
      </c>
      <c r="BW123" s="65">
        <v>0</v>
      </c>
      <c r="BX123" s="34">
        <v>-997.87</v>
      </c>
      <c r="BY123" s="65">
        <f t="shared" si="71"/>
        <v>14778.694216720743</v>
      </c>
      <c r="CA123" s="5">
        <v>13397.922935287208</v>
      </c>
      <c r="CB123" s="407">
        <v>2179.9752292114108</v>
      </c>
      <c r="CC123" s="415">
        <v>0</v>
      </c>
      <c r="CD123" s="34">
        <v>-997.87</v>
      </c>
      <c r="CE123" s="65">
        <f t="shared" si="51"/>
        <v>14580.028164498619</v>
      </c>
      <c r="CF123" s="407"/>
      <c r="CG123" s="5">
        <v>14812.711844426731</v>
      </c>
      <c r="CH123" s="407">
        <v>2294.2304831458941</v>
      </c>
      <c r="CI123" s="415">
        <v>0</v>
      </c>
      <c r="CJ123" s="34">
        <v>-997.87</v>
      </c>
      <c r="CK123" s="65">
        <f t="shared" si="52"/>
        <v>16109.072327572625</v>
      </c>
      <c r="CL123" s="407"/>
      <c r="CM123" s="41">
        <f>AU123/'1. Väestöennuste'!L123*1000</f>
        <v>3588.2703111319574</v>
      </c>
      <c r="CN123" s="41">
        <f>BC123/'1. Väestöennuste'!M123*1000</f>
        <v>1145.3399453320949</v>
      </c>
      <c r="CO123" s="41">
        <f>BK123/'1. Väestöennuste'!N123*1000</f>
        <v>1005.2259111938238</v>
      </c>
      <c r="CP123" s="41">
        <f>BQ123/'1. Väestöennuste'!O123*1000</f>
        <v>1037.815877529908</v>
      </c>
      <c r="CQ123" s="41">
        <f>BY123/'1. Väestöennuste'!P123*1000</f>
        <v>1014.0451637656608</v>
      </c>
      <c r="CR123" s="41">
        <f>CE123/'1. Väestöennuste'!Q123*1000</f>
        <v>1007.3254224470511</v>
      </c>
      <c r="CS123" s="41">
        <f>CK123/'1. Väestöennuste'!R123*1000</f>
        <v>1120.7090808106739</v>
      </c>
      <c r="CT123" s="41"/>
      <c r="CV123" s="41">
        <f t="shared" si="53"/>
        <v>17106.942327572626</v>
      </c>
      <c r="CW123" s="41">
        <f t="shared" si="54"/>
        <v>-12520.802016440668</v>
      </c>
      <c r="CX123" s="41">
        <f t="shared" si="55"/>
        <v>-2442.9303657998626</v>
      </c>
      <c r="CY123" s="41">
        <f t="shared" si="56"/>
        <v>-140.11403413827111</v>
      </c>
      <c r="CZ123" s="41">
        <f t="shared" si="57"/>
        <v>32.589966336084217</v>
      </c>
      <c r="DA123" s="41">
        <f t="shared" si="58"/>
        <v>-23.770713764247148</v>
      </c>
      <c r="DB123" s="41">
        <f t="shared" si="59"/>
        <v>-6.7197413186097492</v>
      </c>
      <c r="DC123" s="41">
        <f t="shared" si="60"/>
        <v>113.38365836362277</v>
      </c>
      <c r="DD123" s="41"/>
      <c r="DE123" s="283">
        <f t="shared" si="61"/>
        <v>-17.14345789288447</v>
      </c>
      <c r="DF123" s="283">
        <f t="shared" si="62"/>
        <v>-0.77725158605252531</v>
      </c>
      <c r="DG123" s="283">
        <f t="shared" si="63"/>
        <v>-0.6808100154052259</v>
      </c>
      <c r="DH123" s="283">
        <f t="shared" si="64"/>
        <v>-0.12233401507501304</v>
      </c>
      <c r="DI123" s="283">
        <f t="shared" si="65"/>
        <v>3.2420539475927164E-2</v>
      </c>
      <c r="DJ123" s="283">
        <f t="shared" si="66"/>
        <v>-2.2904557811182762E-2</v>
      </c>
      <c r="DK123" s="283">
        <f t="shared" si="67"/>
        <v>-6.6266686718922481E-3</v>
      </c>
      <c r="DL123" s="283">
        <f t="shared" si="68"/>
        <v>0.11255911529382914</v>
      </c>
    </row>
    <row r="124" spans="1:116" x14ac:dyDescent="0.2">
      <c r="A124" s="30">
        <v>309</v>
      </c>
      <c r="B124" s="31" t="s">
        <v>438</v>
      </c>
      <c r="C124" s="65"/>
      <c r="D124" s="65"/>
      <c r="E124" s="65"/>
      <c r="F124" s="65"/>
      <c r="G124" s="65"/>
      <c r="H124" s="65">
        <v>20578</v>
      </c>
      <c r="I124" s="65"/>
      <c r="J124" s="65"/>
      <c r="K124" s="65"/>
      <c r="L124" s="65"/>
      <c r="M124" s="65"/>
      <c r="N124" s="65">
        <v>20714</v>
      </c>
      <c r="O124" s="65"/>
      <c r="P124" s="65"/>
      <c r="Q124" s="65"/>
      <c r="R124" s="65"/>
      <c r="S124" s="65"/>
      <c r="T124" s="65">
        <v>20744</v>
      </c>
      <c r="U124" s="65"/>
      <c r="V124" s="65"/>
      <c r="W124" s="65"/>
      <c r="X124" s="65"/>
      <c r="Y124" s="65"/>
      <c r="Z124" s="65">
        <v>20717</v>
      </c>
      <c r="AA124" s="65"/>
      <c r="AB124" s="66">
        <v>20162.677386849791</v>
      </c>
      <c r="AC124" s="34">
        <v>107.06420843152809</v>
      </c>
      <c r="AD124" s="180">
        <v>3494.7332586007788</v>
      </c>
      <c r="AE124" s="65">
        <v>0</v>
      </c>
      <c r="AF124" s="34">
        <v>-609.65200000000004</v>
      </c>
      <c r="AG124" s="65">
        <f t="shared" si="47"/>
        <v>23154.822853882099</v>
      </c>
      <c r="AH124" s="65"/>
      <c r="AI124" s="66">
        <v>19434.087103172267</v>
      </c>
      <c r="AJ124" s="34">
        <v>-83.0303295984248</v>
      </c>
      <c r="AK124" s="181">
        <v>3719.1775360080128</v>
      </c>
      <c r="AL124" s="65">
        <v>0</v>
      </c>
      <c r="AM124" s="34">
        <v>-1046.633</v>
      </c>
      <c r="AN124" s="65">
        <f t="shared" si="48"/>
        <v>22023.601309581856</v>
      </c>
      <c r="AO124" s="65"/>
      <c r="AP124" s="41">
        <v>20720.38422659997</v>
      </c>
      <c r="AQ124" s="41">
        <v>-25.60274301467156</v>
      </c>
      <c r="AR124" s="41">
        <v>4141.4447362207557</v>
      </c>
      <c r="AS124" s="65">
        <v>0</v>
      </c>
      <c r="AT124" s="34">
        <v>-657.46400000000006</v>
      </c>
      <c r="AU124" s="65">
        <f t="shared" si="49"/>
        <v>24178.762219806056</v>
      </c>
      <c r="AV124" s="65"/>
      <c r="AW124" s="41">
        <v>3581.8556473871049</v>
      </c>
      <c r="AX124" s="314"/>
      <c r="AY124" s="314"/>
      <c r="AZ124" s="41">
        <v>1250.7464678319864</v>
      </c>
      <c r="BA124" s="65">
        <v>0</v>
      </c>
      <c r="BB124" s="34">
        <v>-396.08199999999999</v>
      </c>
      <c r="BC124" s="65">
        <f t="shared" si="69"/>
        <v>4436.5201152190912</v>
      </c>
      <c r="BD124" s="65"/>
      <c r="BE124" s="41">
        <v>2065.7108328035524</v>
      </c>
      <c r="BF124" s="314"/>
      <c r="BG124" s="314"/>
      <c r="BH124" s="41">
        <v>1249.9220350348855</v>
      </c>
      <c r="BI124" s="65">
        <v>0</v>
      </c>
      <c r="BJ124" s="34">
        <v>-471.29700000000003</v>
      </c>
      <c r="BK124" s="65">
        <f t="shared" si="70"/>
        <v>2844.3358678384379</v>
      </c>
      <c r="BL124" s="65"/>
      <c r="BM124" s="41">
        <v>3697.715097290527</v>
      </c>
      <c r="BN124" s="41">
        <v>864.24191767596847</v>
      </c>
      <c r="BO124" s="65">
        <v>0</v>
      </c>
      <c r="BP124" s="34">
        <v>-471.29700000000003</v>
      </c>
      <c r="BQ124" s="65">
        <f t="shared" si="50"/>
        <v>4090.6600149664951</v>
      </c>
      <c r="BR124" s="65"/>
      <c r="BS124" s="41">
        <v>3959.7159830110468</v>
      </c>
      <c r="BT124" s="314"/>
      <c r="BU124" s="314"/>
      <c r="BV124" s="41">
        <v>928.53272804626727</v>
      </c>
      <c r="BW124" s="65">
        <v>0</v>
      </c>
      <c r="BX124" s="34">
        <v>-471.29700000000003</v>
      </c>
      <c r="BY124" s="65">
        <f t="shared" si="71"/>
        <v>4416.9517110573142</v>
      </c>
      <c r="CA124" s="5">
        <v>3859.8271930026626</v>
      </c>
      <c r="CB124" s="407">
        <v>993.21980709048842</v>
      </c>
      <c r="CC124" s="415">
        <v>0</v>
      </c>
      <c r="CD124" s="34">
        <v>-471.29700000000003</v>
      </c>
      <c r="CE124" s="65">
        <f t="shared" si="51"/>
        <v>4381.7500000931504</v>
      </c>
      <c r="CF124" s="407"/>
      <c r="CG124" s="5">
        <v>4728.7685493790996</v>
      </c>
      <c r="CH124" s="407">
        <v>1049.9630452377021</v>
      </c>
      <c r="CI124" s="415">
        <v>0</v>
      </c>
      <c r="CJ124" s="34">
        <v>-471.29700000000003</v>
      </c>
      <c r="CK124" s="65">
        <f t="shared" si="52"/>
        <v>5307.4345946168014</v>
      </c>
      <c r="CL124" s="407"/>
      <c r="CM124" s="41">
        <f>AU124/'1. Väestöennuste'!L124*1000</f>
        <v>3744.5814185854197</v>
      </c>
      <c r="CN124" s="41">
        <f>BC124/'1. Väestöennuste'!M124*1000</f>
        <v>692.23281560603698</v>
      </c>
      <c r="CO124" s="41">
        <f>BK124/'1. Väestöennuste'!N124*1000</f>
        <v>462.94529098932907</v>
      </c>
      <c r="CP124" s="41">
        <f>BQ124/'1. Väestöennuste'!O124*1000</f>
        <v>676.25392874301463</v>
      </c>
      <c r="CQ124" s="41">
        <f>BY124/'1. Väestöennuste'!P124*1000</f>
        <v>741.97072250248857</v>
      </c>
      <c r="CR124" s="41">
        <f>CE124/'1. Väestöennuste'!Q124*1000</f>
        <v>747.35630225023885</v>
      </c>
      <c r="CS124" s="41">
        <f>CK124/'1. Väestöennuste'!R124*1000</f>
        <v>919.51396303132378</v>
      </c>
      <c r="CT124" s="41"/>
      <c r="CV124" s="41">
        <f t="shared" si="53"/>
        <v>5778.7315946168019</v>
      </c>
      <c r="CW124" s="41">
        <f t="shared" si="54"/>
        <v>-1562.8531760313817</v>
      </c>
      <c r="CX124" s="41">
        <f t="shared" si="55"/>
        <v>-3052.3486029793826</v>
      </c>
      <c r="CY124" s="41">
        <f t="shared" si="56"/>
        <v>-229.28752461670791</v>
      </c>
      <c r="CZ124" s="41">
        <f t="shared" si="57"/>
        <v>213.30863775368556</v>
      </c>
      <c r="DA124" s="41">
        <f t="shared" si="58"/>
        <v>65.716793759473944</v>
      </c>
      <c r="DB124" s="41">
        <f t="shared" si="59"/>
        <v>5.3855797477502847</v>
      </c>
      <c r="DC124" s="41">
        <f t="shared" si="60"/>
        <v>172.15766078108493</v>
      </c>
      <c r="DD124" s="41"/>
      <c r="DE124" s="283">
        <f t="shared" si="61"/>
        <v>-12.261337531570966</v>
      </c>
      <c r="DF124" s="283">
        <f t="shared" si="62"/>
        <v>-0.29446489601898151</v>
      </c>
      <c r="DG124" s="283">
        <f t="shared" si="63"/>
        <v>-0.81513746445189061</v>
      </c>
      <c r="DH124" s="283">
        <f t="shared" si="64"/>
        <v>-0.3312289152544306</v>
      </c>
      <c r="DI124" s="283">
        <f t="shared" si="65"/>
        <v>0.4607642455933359</v>
      </c>
      <c r="DJ124" s="283">
        <f t="shared" si="66"/>
        <v>9.7177688685114005E-2</v>
      </c>
      <c r="DK124" s="283">
        <f t="shared" si="67"/>
        <v>7.2584801319195199E-3</v>
      </c>
      <c r="DL124" s="283">
        <f t="shared" si="68"/>
        <v>0.23035553492053248</v>
      </c>
    </row>
    <row r="125" spans="1:116" x14ac:dyDescent="0.2">
      <c r="A125" s="30">
        <v>312</v>
      </c>
      <c r="B125" s="31" t="s">
        <v>439</v>
      </c>
      <c r="C125" s="65"/>
      <c r="D125" s="65"/>
      <c r="E125" s="65"/>
      <c r="F125" s="65"/>
      <c r="G125" s="65"/>
      <c r="H125" s="65">
        <v>4259</v>
      </c>
      <c r="I125" s="65"/>
      <c r="J125" s="65"/>
      <c r="K125" s="65"/>
      <c r="L125" s="65"/>
      <c r="M125" s="65"/>
      <c r="N125" s="65">
        <v>4420</v>
      </c>
      <c r="O125" s="65"/>
      <c r="P125" s="65"/>
      <c r="Q125" s="65"/>
      <c r="R125" s="65"/>
      <c r="S125" s="65"/>
      <c r="T125" s="65">
        <v>4149</v>
      </c>
      <c r="U125" s="65"/>
      <c r="V125" s="65"/>
      <c r="W125" s="65"/>
      <c r="X125" s="65"/>
      <c r="Y125" s="65"/>
      <c r="Z125" s="65">
        <v>4342</v>
      </c>
      <c r="AA125" s="65"/>
      <c r="AB125" s="66">
        <v>4451.6481235649744</v>
      </c>
      <c r="AC125" s="34">
        <v>23.491462106206288</v>
      </c>
      <c r="AD125" s="180">
        <v>800.29735466412092</v>
      </c>
      <c r="AE125" s="65">
        <v>180</v>
      </c>
      <c r="AF125" s="34">
        <v>-334.327</v>
      </c>
      <c r="AG125" s="65">
        <f t="shared" si="47"/>
        <v>5121.109940335301</v>
      </c>
      <c r="AH125" s="65"/>
      <c r="AI125" s="66">
        <v>4348.495819298656</v>
      </c>
      <c r="AJ125" s="34">
        <v>-17.772455499940804</v>
      </c>
      <c r="AK125" s="181">
        <v>852.32694501393894</v>
      </c>
      <c r="AL125" s="65">
        <v>0</v>
      </c>
      <c r="AM125" s="34">
        <v>-341.17899999999997</v>
      </c>
      <c r="AN125" s="65">
        <f t="shared" si="48"/>
        <v>4841.8713088126542</v>
      </c>
      <c r="AO125" s="65"/>
      <c r="AP125" s="41">
        <v>4393.2409073845965</v>
      </c>
      <c r="AQ125" s="41">
        <v>-5.3878962208402967</v>
      </c>
      <c r="AR125" s="41">
        <v>946.59711614330706</v>
      </c>
      <c r="AS125" s="65">
        <v>0</v>
      </c>
      <c r="AT125" s="34">
        <v>-284.20299999999997</v>
      </c>
      <c r="AU125" s="65">
        <f t="shared" si="49"/>
        <v>5050.2471273070641</v>
      </c>
      <c r="AV125" s="65"/>
      <c r="AW125" s="41">
        <v>743.56995366816466</v>
      </c>
      <c r="AX125" s="314"/>
      <c r="AY125" s="314"/>
      <c r="AZ125" s="41">
        <v>292.55394335623618</v>
      </c>
      <c r="BA125" s="65">
        <v>266</v>
      </c>
      <c r="BB125" s="34">
        <v>-316.661</v>
      </c>
      <c r="BC125" s="65">
        <f t="shared" si="69"/>
        <v>985.46289702440072</v>
      </c>
      <c r="BD125" s="65"/>
      <c r="BE125" s="41">
        <v>572.43880901278305</v>
      </c>
      <c r="BF125" s="314"/>
      <c r="BG125" s="314"/>
      <c r="BH125" s="41">
        <v>292.60750031525373</v>
      </c>
      <c r="BI125" s="65">
        <v>0</v>
      </c>
      <c r="BJ125" s="34">
        <v>-309.745</v>
      </c>
      <c r="BK125" s="65">
        <f t="shared" si="70"/>
        <v>555.30130932803684</v>
      </c>
      <c r="BL125" s="65"/>
      <c r="BM125" s="41">
        <v>1066.2069382575846</v>
      </c>
      <c r="BN125" s="41">
        <v>202.4269676059013</v>
      </c>
      <c r="BO125" s="65">
        <v>0</v>
      </c>
      <c r="BP125" s="34">
        <v>-309.745</v>
      </c>
      <c r="BQ125" s="65">
        <f t="shared" si="50"/>
        <v>958.888905863486</v>
      </c>
      <c r="BR125" s="65"/>
      <c r="BS125" s="41">
        <v>1057.584784305551</v>
      </c>
      <c r="BT125" s="314"/>
      <c r="BU125" s="314"/>
      <c r="BV125" s="41">
        <v>217.33276457675373</v>
      </c>
      <c r="BW125" s="65">
        <v>0</v>
      </c>
      <c r="BX125" s="34">
        <v>-309.745</v>
      </c>
      <c r="BY125" s="65">
        <f t="shared" si="71"/>
        <v>965.1725488823048</v>
      </c>
      <c r="CA125" s="5">
        <v>1110.4921598417041</v>
      </c>
      <c r="CB125" s="407">
        <v>232.75083543186039</v>
      </c>
      <c r="CC125" s="415">
        <v>0</v>
      </c>
      <c r="CD125" s="34">
        <v>-309.745</v>
      </c>
      <c r="CE125" s="65">
        <f t="shared" si="51"/>
        <v>1033.4979952735644</v>
      </c>
      <c r="CF125" s="407"/>
      <c r="CG125" s="5">
        <v>1201.7893879038536</v>
      </c>
      <c r="CH125" s="407">
        <v>246.54799666943197</v>
      </c>
      <c r="CI125" s="415">
        <v>0</v>
      </c>
      <c r="CJ125" s="34">
        <v>-309.745</v>
      </c>
      <c r="CK125" s="65">
        <f t="shared" si="52"/>
        <v>1138.5923845732855</v>
      </c>
      <c r="CL125" s="407"/>
      <c r="CM125" s="41">
        <f>AU125/'1. Väestöennuste'!L125*1000</f>
        <v>4222.6146549390169</v>
      </c>
      <c r="CN125" s="41">
        <f>BC125/'1. Väestöennuste'!M125*1000</f>
        <v>839.4062155233396</v>
      </c>
      <c r="CO125" s="41">
        <f>BK125/'1. Väestöennuste'!N125*1000</f>
        <v>463.13703863889646</v>
      </c>
      <c r="CP125" s="41">
        <f>BQ125/'1. Väestöennuste'!O125*1000</f>
        <v>813.30696001992033</v>
      </c>
      <c r="CQ125" s="41">
        <f>BY125/'1. Väestöennuste'!P125*1000</f>
        <v>831.32863814152006</v>
      </c>
      <c r="CR125" s="41">
        <f>CE125/'1. Väestöennuste'!Q125*1000</f>
        <v>904.19772114922512</v>
      </c>
      <c r="CS125" s="41">
        <f>CK125/'1. Väestöennuste'!R125*1000</f>
        <v>1012.982548552745</v>
      </c>
      <c r="CT125" s="41"/>
      <c r="CV125" s="41">
        <f t="shared" si="53"/>
        <v>1448.3373845732854</v>
      </c>
      <c r="CW125" s="41">
        <f t="shared" si="54"/>
        <v>3084.0222703657314</v>
      </c>
      <c r="CX125" s="41">
        <f t="shared" si="55"/>
        <v>-3383.2084394156773</v>
      </c>
      <c r="CY125" s="41">
        <f t="shared" si="56"/>
        <v>-376.26917688444314</v>
      </c>
      <c r="CZ125" s="41">
        <f t="shared" si="57"/>
        <v>350.16992138102387</v>
      </c>
      <c r="DA125" s="41">
        <f t="shared" si="58"/>
        <v>18.021678121599734</v>
      </c>
      <c r="DB125" s="41">
        <f t="shared" si="59"/>
        <v>72.869083007705058</v>
      </c>
      <c r="DC125" s="41">
        <f t="shared" si="60"/>
        <v>108.7848274035199</v>
      </c>
      <c r="DD125" s="41"/>
      <c r="DE125" s="283">
        <f t="shared" si="61"/>
        <v>-4.6759023860701072</v>
      </c>
      <c r="DF125" s="283">
        <f t="shared" si="62"/>
        <v>2.7086271717174202</v>
      </c>
      <c r="DG125" s="283">
        <f t="shared" si="63"/>
        <v>-0.80121174103786119</v>
      </c>
      <c r="DH125" s="283">
        <f t="shared" si="64"/>
        <v>-0.44825636256440254</v>
      </c>
      <c r="DI125" s="283">
        <f t="shared" si="65"/>
        <v>0.75608274045654122</v>
      </c>
      <c r="DJ125" s="283">
        <f t="shared" si="66"/>
        <v>2.2158519485875702E-2</v>
      </c>
      <c r="DK125" s="283">
        <f t="shared" si="67"/>
        <v>8.7653762500721516E-2</v>
      </c>
      <c r="DL125" s="283">
        <f t="shared" si="68"/>
        <v>0.12031088428895353</v>
      </c>
    </row>
    <row r="126" spans="1:116" x14ac:dyDescent="0.2">
      <c r="A126" s="30">
        <v>316</v>
      </c>
      <c r="B126" s="31" t="s">
        <v>440</v>
      </c>
      <c r="C126" s="65"/>
      <c r="D126" s="65"/>
      <c r="E126" s="65"/>
      <c r="F126" s="65"/>
      <c r="G126" s="65"/>
      <c r="H126" s="65">
        <v>8576</v>
      </c>
      <c r="I126" s="65"/>
      <c r="J126" s="65"/>
      <c r="K126" s="65"/>
      <c r="L126" s="65"/>
      <c r="M126" s="65"/>
      <c r="N126" s="65">
        <v>8203</v>
      </c>
      <c r="O126" s="65"/>
      <c r="P126" s="65"/>
      <c r="Q126" s="65"/>
      <c r="R126" s="65"/>
      <c r="S126" s="65"/>
      <c r="T126" s="65">
        <v>7861</v>
      </c>
      <c r="U126" s="65"/>
      <c r="V126" s="65"/>
      <c r="W126" s="65"/>
      <c r="X126" s="65"/>
      <c r="Y126" s="65"/>
      <c r="Z126" s="65">
        <v>7980</v>
      </c>
      <c r="AA126" s="65"/>
      <c r="AB126" s="66">
        <v>8623.6816347044041</v>
      </c>
      <c r="AC126" s="34">
        <v>79.80597541087333</v>
      </c>
      <c r="AD126" s="180">
        <v>2229.2408813153938</v>
      </c>
      <c r="AE126" s="65">
        <v>0</v>
      </c>
      <c r="AF126" s="34">
        <v>-1094.3219999999999</v>
      </c>
      <c r="AG126" s="65">
        <f t="shared" si="47"/>
        <v>9838.4064914306709</v>
      </c>
      <c r="AH126" s="65"/>
      <c r="AI126" s="66">
        <v>7474.4660901932075</v>
      </c>
      <c r="AJ126" s="34">
        <v>-62.028157098656926</v>
      </c>
      <c r="AK126" s="181">
        <v>2385.6812478552615</v>
      </c>
      <c r="AL126" s="65">
        <v>0</v>
      </c>
      <c r="AM126" s="34">
        <v>-1059.425</v>
      </c>
      <c r="AN126" s="65">
        <f t="shared" si="48"/>
        <v>8738.694180949813</v>
      </c>
      <c r="AO126" s="65"/>
      <c r="AP126" s="41">
        <v>7688.4458136950925</v>
      </c>
      <c r="AQ126" s="41">
        <v>-19.174182876316678</v>
      </c>
      <c r="AR126" s="41">
        <v>2759.6893656398056</v>
      </c>
      <c r="AS126" s="65">
        <v>0</v>
      </c>
      <c r="AT126" s="34">
        <v>-1102.722</v>
      </c>
      <c r="AU126" s="65">
        <f t="shared" si="49"/>
        <v>9326.2389964585818</v>
      </c>
      <c r="AV126" s="65"/>
      <c r="AW126" s="41">
        <v>1696.9583492334714</v>
      </c>
      <c r="AX126" s="314"/>
      <c r="AY126" s="314"/>
      <c r="AZ126" s="41">
        <v>826.73503650535179</v>
      </c>
      <c r="BA126" s="65">
        <v>210</v>
      </c>
      <c r="BB126" s="34">
        <v>-1094.4490000000001</v>
      </c>
      <c r="BC126" s="65">
        <f t="shared" si="69"/>
        <v>1639.244385738823</v>
      </c>
      <c r="BD126" s="65"/>
      <c r="BE126" s="41">
        <v>1338.8103068921148</v>
      </c>
      <c r="BF126" s="314"/>
      <c r="BG126" s="314"/>
      <c r="BH126" s="41">
        <v>800.76703848243733</v>
      </c>
      <c r="BI126" s="65">
        <v>0</v>
      </c>
      <c r="BJ126" s="34">
        <v>-914.63199999999995</v>
      </c>
      <c r="BK126" s="65">
        <f t="shared" si="70"/>
        <v>1224.9453453745523</v>
      </c>
      <c r="BL126" s="65"/>
      <c r="BM126" s="41">
        <v>1300.5602558011456</v>
      </c>
      <c r="BN126" s="41">
        <v>490.36825129239844</v>
      </c>
      <c r="BO126" s="65">
        <v>0</v>
      </c>
      <c r="BP126" s="34">
        <v>-914.63199999999995</v>
      </c>
      <c r="BQ126" s="65">
        <f t="shared" si="50"/>
        <v>876.29650709354394</v>
      </c>
      <c r="BR126" s="65"/>
      <c r="BS126" s="41">
        <v>253.2960559123498</v>
      </c>
      <c r="BT126" s="314"/>
      <c r="BU126" s="314"/>
      <c r="BV126" s="41">
        <v>529.52599996178492</v>
      </c>
      <c r="BW126" s="65">
        <v>0</v>
      </c>
      <c r="BX126" s="34">
        <v>-914.63199999999995</v>
      </c>
      <c r="BY126" s="65">
        <f t="shared" si="71"/>
        <v>-131.80994412586517</v>
      </c>
      <c r="CA126" s="5">
        <v>229.267965771739</v>
      </c>
      <c r="CB126" s="407">
        <v>570.96701038089475</v>
      </c>
      <c r="CC126" s="415">
        <v>0</v>
      </c>
      <c r="CD126" s="34">
        <v>-914.63199999999995</v>
      </c>
      <c r="CE126" s="65">
        <f t="shared" si="51"/>
        <v>-114.3970238473662</v>
      </c>
      <c r="CF126" s="407"/>
      <c r="CG126" s="5">
        <v>509.90295943394324</v>
      </c>
      <c r="CH126" s="407">
        <v>606.70548096715277</v>
      </c>
      <c r="CI126" s="415">
        <v>0</v>
      </c>
      <c r="CJ126" s="34">
        <v>-914.63199999999995</v>
      </c>
      <c r="CK126" s="65">
        <f t="shared" si="52"/>
        <v>201.97644040109606</v>
      </c>
      <c r="CL126" s="407"/>
      <c r="CM126" s="41">
        <f>AU126/'1. Väestöennuste'!L126*1000</f>
        <v>2221.5909948686476</v>
      </c>
      <c r="CN126" s="41">
        <f>BC126/'1. Väestöennuste'!M126*1000</f>
        <v>398.45512536189182</v>
      </c>
      <c r="CO126" s="41">
        <f>BK126/'1. Väestöennuste'!N126*1000</f>
        <v>296.52513807178707</v>
      </c>
      <c r="CP126" s="41">
        <f>BQ126/'1. Väestöennuste'!O126*1000</f>
        <v>214.20105282169246</v>
      </c>
      <c r="CQ126" s="41">
        <f>BY126/'1. Väestöennuste'!P126*1000</f>
        <v>-32.505534926230624</v>
      </c>
      <c r="CR126" s="41">
        <f>CE126/'1. Väestöennuste'!Q126*1000</f>
        <v>-28.428683858689414</v>
      </c>
      <c r="CS126" s="41">
        <f>CK126/'1. Väestöennuste'!R126*1000</f>
        <v>50.582629702252952</v>
      </c>
      <c r="CT126" s="41"/>
      <c r="CV126" s="41">
        <f t="shared" si="53"/>
        <v>1116.608440401096</v>
      </c>
      <c r="CW126" s="41">
        <f t="shared" si="54"/>
        <v>2019.6145544675514</v>
      </c>
      <c r="CX126" s="41">
        <f t="shared" si="55"/>
        <v>-1823.1358695067559</v>
      </c>
      <c r="CY126" s="41">
        <f t="shared" si="56"/>
        <v>-101.92998729010475</v>
      </c>
      <c r="CZ126" s="41">
        <f t="shared" si="57"/>
        <v>-82.324085250094612</v>
      </c>
      <c r="DA126" s="41">
        <f t="shared" si="58"/>
        <v>-246.70658774792309</v>
      </c>
      <c r="DB126" s="41">
        <f t="shared" si="59"/>
        <v>4.0768510675412095</v>
      </c>
      <c r="DC126" s="41">
        <f t="shared" si="60"/>
        <v>79.011313560942369</v>
      </c>
      <c r="DD126" s="41"/>
      <c r="DE126" s="283">
        <f t="shared" si="61"/>
        <v>-1.2208280930484567</v>
      </c>
      <c r="DF126" s="283">
        <f t="shared" si="62"/>
        <v>9.9992580840462804</v>
      </c>
      <c r="DG126" s="283">
        <f t="shared" si="63"/>
        <v>-0.82064424717140583</v>
      </c>
      <c r="DH126" s="283">
        <f t="shared" si="64"/>
        <v>-0.25581296563202227</v>
      </c>
      <c r="DI126" s="283">
        <f t="shared" si="65"/>
        <v>-0.2776293631812235</v>
      </c>
      <c r="DJ126" s="283">
        <f t="shared" si="66"/>
        <v>-1.1517524517178226</v>
      </c>
      <c r="DK126" s="283">
        <f t="shared" si="67"/>
        <v>-0.12542021156684177</v>
      </c>
      <c r="DL126" s="283">
        <f t="shared" si="68"/>
        <v>-2.779281445236236</v>
      </c>
    </row>
    <row r="127" spans="1:116" x14ac:dyDescent="0.2">
      <c r="A127" s="30">
        <v>317</v>
      </c>
      <c r="B127" s="31" t="s">
        <v>441</v>
      </c>
      <c r="C127" s="65"/>
      <c r="D127" s="65"/>
      <c r="E127" s="65"/>
      <c r="F127" s="65"/>
      <c r="G127" s="65"/>
      <c r="H127" s="65">
        <v>11223</v>
      </c>
      <c r="I127" s="65"/>
      <c r="J127" s="65"/>
      <c r="K127" s="65"/>
      <c r="L127" s="65"/>
      <c r="M127" s="65"/>
      <c r="N127" s="65">
        <v>11270</v>
      </c>
      <c r="O127" s="65"/>
      <c r="P127" s="65"/>
      <c r="Q127" s="65"/>
      <c r="R127" s="65"/>
      <c r="S127" s="65"/>
      <c r="T127" s="65">
        <v>11483</v>
      </c>
      <c r="U127" s="65"/>
      <c r="V127" s="65"/>
      <c r="W127" s="65"/>
      <c r="X127" s="65"/>
      <c r="Y127" s="65"/>
      <c r="Z127" s="65">
        <v>10942</v>
      </c>
      <c r="AA127" s="65"/>
      <c r="AB127" s="66">
        <v>10420.604287422555</v>
      </c>
      <c r="AC127" s="34">
        <v>35.677067493382594</v>
      </c>
      <c r="AD127" s="180">
        <v>1609.0128787692759</v>
      </c>
      <c r="AE127" s="65">
        <v>0</v>
      </c>
      <c r="AF127" s="34">
        <v>-47.673999999999999</v>
      </c>
      <c r="AG127" s="65">
        <f t="shared" si="47"/>
        <v>12017.620233685213</v>
      </c>
      <c r="AH127" s="65"/>
      <c r="AI127" s="66">
        <v>10146.659790034942</v>
      </c>
      <c r="AJ127" s="34">
        <v>-27.502324661659504</v>
      </c>
      <c r="AK127" s="181">
        <v>1712.2701413303337</v>
      </c>
      <c r="AL127" s="65">
        <v>0</v>
      </c>
      <c r="AM127" s="34">
        <v>-1.64</v>
      </c>
      <c r="AN127" s="65">
        <f t="shared" si="48"/>
        <v>11829.787606703616</v>
      </c>
      <c r="AO127" s="65"/>
      <c r="AP127" s="41">
        <v>10525.233454705405</v>
      </c>
      <c r="AQ127" s="41">
        <v>-8.445383263113925</v>
      </c>
      <c r="AR127" s="41">
        <v>1898.1021148054019</v>
      </c>
      <c r="AS127" s="65">
        <v>0</v>
      </c>
      <c r="AT127" s="34">
        <v>45.173000000000002</v>
      </c>
      <c r="AU127" s="65">
        <f t="shared" si="49"/>
        <v>12460.063186247695</v>
      </c>
      <c r="AV127" s="65"/>
      <c r="AW127" s="41">
        <v>4564.9914814592275</v>
      </c>
      <c r="AX127" s="314"/>
      <c r="AY127" s="314"/>
      <c r="AZ127" s="41">
        <v>594.69873847422241</v>
      </c>
      <c r="BA127" s="65">
        <v>0</v>
      </c>
      <c r="BB127" s="34">
        <v>81.265000000000001</v>
      </c>
      <c r="BC127" s="65">
        <f t="shared" si="69"/>
        <v>5240.9552199334503</v>
      </c>
      <c r="BD127" s="65"/>
      <c r="BE127" s="41">
        <v>4023.3969367364075</v>
      </c>
      <c r="BF127" s="314"/>
      <c r="BG127" s="314"/>
      <c r="BH127" s="41">
        <v>597.22963158571679</v>
      </c>
      <c r="BI127" s="65">
        <v>0</v>
      </c>
      <c r="BJ127" s="34">
        <v>58.106000000000002</v>
      </c>
      <c r="BK127" s="65">
        <f t="shared" si="70"/>
        <v>4678.7325683221243</v>
      </c>
      <c r="BL127" s="65"/>
      <c r="BM127" s="41">
        <v>4377.6686921264954</v>
      </c>
      <c r="BN127" s="41">
        <v>426.73043607004581</v>
      </c>
      <c r="BO127" s="65">
        <v>0</v>
      </c>
      <c r="BP127" s="34">
        <v>58.106000000000002</v>
      </c>
      <c r="BQ127" s="65">
        <f t="shared" si="50"/>
        <v>4862.5051281965407</v>
      </c>
      <c r="BR127" s="65"/>
      <c r="BS127" s="41">
        <v>4265.4651660642121</v>
      </c>
      <c r="BT127" s="314"/>
      <c r="BU127" s="314"/>
      <c r="BV127" s="41">
        <v>454.28775028424434</v>
      </c>
      <c r="BW127" s="65">
        <v>0</v>
      </c>
      <c r="BX127" s="34">
        <v>58.106000000000002</v>
      </c>
      <c r="BY127" s="65">
        <f t="shared" si="71"/>
        <v>4777.8589163484558</v>
      </c>
      <c r="CA127" s="5">
        <v>4203.0110489259505</v>
      </c>
      <c r="CB127" s="407">
        <v>481.35198941731289</v>
      </c>
      <c r="CC127" s="415">
        <v>0</v>
      </c>
      <c r="CD127" s="34">
        <v>58.106000000000002</v>
      </c>
      <c r="CE127" s="65">
        <f t="shared" si="51"/>
        <v>4742.4690383432635</v>
      </c>
      <c r="CF127" s="407"/>
      <c r="CG127" s="5">
        <v>4381.9473259124388</v>
      </c>
      <c r="CH127" s="407">
        <v>505.40514140381083</v>
      </c>
      <c r="CI127" s="415">
        <v>0</v>
      </c>
      <c r="CJ127" s="34">
        <v>58.106000000000002</v>
      </c>
      <c r="CK127" s="65">
        <f t="shared" si="52"/>
        <v>4945.4584673162499</v>
      </c>
      <c r="CL127" s="407"/>
      <c r="CM127" s="41">
        <f>AU127/'1. Väestöennuste'!L127*1000</f>
        <v>5036.4038747969662</v>
      </c>
      <c r="CN127" s="41">
        <f>BC127/'1. Väestöennuste'!M127*1000</f>
        <v>2147.9324671858403</v>
      </c>
      <c r="CO127" s="41">
        <f>BK127/'1. Väestöennuste'!N127*1000</f>
        <v>1933.3605654223654</v>
      </c>
      <c r="CP127" s="41">
        <f>BQ127/'1. Väestöennuste'!O127*1000</f>
        <v>2031.1216074338097</v>
      </c>
      <c r="CQ127" s="41">
        <f>BY127/'1. Väestöennuste'!P127*1000</f>
        <v>2016.8252074075372</v>
      </c>
      <c r="CR127" s="41">
        <f>CE127/'1. Väestöennuste'!Q127*1000</f>
        <v>2025.830430731851</v>
      </c>
      <c r="CS127" s="41">
        <f>CK127/'1. Väestöennuste'!R127*1000</f>
        <v>2135.3447613628023</v>
      </c>
      <c r="CT127" s="41"/>
      <c r="CV127" s="41">
        <f t="shared" si="53"/>
        <v>4887.3524673162501</v>
      </c>
      <c r="CW127" s="41">
        <f t="shared" si="54"/>
        <v>90.945407480716312</v>
      </c>
      <c r="CX127" s="41">
        <f t="shared" si="55"/>
        <v>-2888.4714076111259</v>
      </c>
      <c r="CY127" s="41">
        <f t="shared" si="56"/>
        <v>-214.5719017634749</v>
      </c>
      <c r="CZ127" s="41">
        <f t="shared" si="57"/>
        <v>97.76104201144426</v>
      </c>
      <c r="DA127" s="41">
        <f t="shared" si="58"/>
        <v>-14.296400026272522</v>
      </c>
      <c r="DB127" s="41">
        <f t="shared" si="59"/>
        <v>9.0052233243138744</v>
      </c>
      <c r="DC127" s="41">
        <f t="shared" si="60"/>
        <v>109.51433063095124</v>
      </c>
      <c r="DD127" s="41"/>
      <c r="DE127" s="283">
        <f t="shared" si="61"/>
        <v>84.11097764974788</v>
      </c>
      <c r="DF127" s="283">
        <f t="shared" si="62"/>
        <v>1.838968178213609E-2</v>
      </c>
      <c r="DG127" s="283">
        <f t="shared" si="63"/>
        <v>-0.57351862150403288</v>
      </c>
      <c r="DH127" s="283">
        <f t="shared" si="64"/>
        <v>-9.9896949760529888E-2</v>
      </c>
      <c r="DI127" s="283">
        <f t="shared" si="65"/>
        <v>5.0565343971463082E-2</v>
      </c>
      <c r="DJ127" s="283">
        <f t="shared" si="66"/>
        <v>-7.038672610221057E-3</v>
      </c>
      <c r="DK127" s="283">
        <f t="shared" si="67"/>
        <v>4.4650489746155785E-3</v>
      </c>
      <c r="DL127" s="283">
        <f t="shared" si="68"/>
        <v>5.4058981921496815E-2</v>
      </c>
    </row>
    <row r="128" spans="1:116" x14ac:dyDescent="0.2">
      <c r="A128" s="30">
        <v>320</v>
      </c>
      <c r="B128" s="31" t="s">
        <v>442</v>
      </c>
      <c r="C128" s="65"/>
      <c r="D128" s="65"/>
      <c r="E128" s="65"/>
      <c r="F128" s="65"/>
      <c r="G128" s="65"/>
      <c r="H128" s="65">
        <v>27095</v>
      </c>
      <c r="I128" s="65"/>
      <c r="J128" s="65"/>
      <c r="K128" s="65"/>
      <c r="L128" s="65"/>
      <c r="M128" s="65"/>
      <c r="N128" s="65">
        <v>25907</v>
      </c>
      <c r="O128" s="65"/>
      <c r="P128" s="65"/>
      <c r="Q128" s="65"/>
      <c r="R128" s="65"/>
      <c r="S128" s="65"/>
      <c r="T128" s="65">
        <v>25357</v>
      </c>
      <c r="U128" s="65"/>
      <c r="V128" s="65"/>
      <c r="W128" s="65"/>
      <c r="X128" s="65"/>
      <c r="Y128" s="65"/>
      <c r="Z128" s="65">
        <v>25199</v>
      </c>
      <c r="AA128" s="65"/>
      <c r="AB128" s="66">
        <v>25356.050640273781</v>
      </c>
      <c r="AC128" s="34">
        <v>147.82723392908676</v>
      </c>
      <c r="AD128" s="180">
        <v>3717.3686286859729</v>
      </c>
      <c r="AE128" s="65">
        <v>1000</v>
      </c>
      <c r="AF128" s="34">
        <v>-480.77100000000002</v>
      </c>
      <c r="AG128" s="65">
        <f t="shared" si="47"/>
        <v>29740.475502888839</v>
      </c>
      <c r="AH128" s="65"/>
      <c r="AI128" s="66">
        <v>24702.249747727787</v>
      </c>
      <c r="AJ128" s="34">
        <v>-115.21543693943933</v>
      </c>
      <c r="AK128" s="181">
        <v>3958.060609253514</v>
      </c>
      <c r="AL128" s="65">
        <v>0</v>
      </c>
      <c r="AM128" s="34">
        <v>-474.70699999999999</v>
      </c>
      <c r="AN128" s="65">
        <f t="shared" si="48"/>
        <v>28070.38792004186</v>
      </c>
      <c r="AO128" s="65"/>
      <c r="AP128" s="41">
        <v>26196.05227760581</v>
      </c>
      <c r="AQ128" s="41">
        <v>-35.44757681616656</v>
      </c>
      <c r="AR128" s="41">
        <v>4399.5177988587729</v>
      </c>
      <c r="AS128" s="65">
        <v>0</v>
      </c>
      <c r="AT128" s="34">
        <v>-236.80799999999999</v>
      </c>
      <c r="AU128" s="65">
        <f t="shared" si="49"/>
        <v>30323.314499648415</v>
      </c>
      <c r="AV128" s="65"/>
      <c r="AW128" s="41">
        <v>6662.9604044225889</v>
      </c>
      <c r="AX128" s="314"/>
      <c r="AY128" s="314"/>
      <c r="AZ128" s="41">
        <v>1333.2398237081534</v>
      </c>
      <c r="BA128" s="65">
        <v>0</v>
      </c>
      <c r="BB128" s="34">
        <v>-342.71100000000001</v>
      </c>
      <c r="BC128" s="65">
        <f t="shared" si="69"/>
        <v>7653.489228130742</v>
      </c>
      <c r="BD128" s="65"/>
      <c r="BE128" s="41">
        <v>5043.357717598552</v>
      </c>
      <c r="BF128" s="314"/>
      <c r="BG128" s="314"/>
      <c r="BH128" s="41">
        <v>1333.825069367379</v>
      </c>
      <c r="BI128" s="65">
        <v>0</v>
      </c>
      <c r="BJ128" s="34">
        <v>295.83699999999999</v>
      </c>
      <c r="BK128" s="65">
        <f t="shared" si="70"/>
        <v>6673.0197869659314</v>
      </c>
      <c r="BL128" s="65"/>
      <c r="BM128" s="41">
        <v>6513.396007441549</v>
      </c>
      <c r="BN128" s="41">
        <v>906.98365090460879</v>
      </c>
      <c r="BO128" s="65">
        <v>0</v>
      </c>
      <c r="BP128" s="34">
        <v>295.83699999999999</v>
      </c>
      <c r="BQ128" s="65">
        <f t="shared" si="50"/>
        <v>7716.2166583461585</v>
      </c>
      <c r="BR128" s="65"/>
      <c r="BS128" s="41">
        <v>5934.7564829869771</v>
      </c>
      <c r="BT128" s="314"/>
      <c r="BU128" s="314"/>
      <c r="BV128" s="41">
        <v>975.22591331517697</v>
      </c>
      <c r="BW128" s="65">
        <v>0</v>
      </c>
      <c r="BX128" s="34">
        <v>295.83699999999999</v>
      </c>
      <c r="BY128" s="65">
        <f t="shared" si="71"/>
        <v>7205.8193963021531</v>
      </c>
      <c r="CA128" s="5">
        <v>5924.228107246292</v>
      </c>
      <c r="CB128" s="407">
        <v>1043.4723121731479</v>
      </c>
      <c r="CC128" s="415">
        <v>0</v>
      </c>
      <c r="CD128" s="34">
        <v>295.83699999999999</v>
      </c>
      <c r="CE128" s="65">
        <f t="shared" si="51"/>
        <v>7263.5374194194392</v>
      </c>
      <c r="CF128" s="407"/>
      <c r="CG128" s="5">
        <v>6860.4198049854203</v>
      </c>
      <c r="CH128" s="407">
        <v>1102.7158958756972</v>
      </c>
      <c r="CI128" s="415">
        <v>0</v>
      </c>
      <c r="CJ128" s="34">
        <v>295.83699999999999</v>
      </c>
      <c r="CK128" s="65">
        <f t="shared" si="52"/>
        <v>8258.9727008611171</v>
      </c>
      <c r="CL128" s="407"/>
      <c r="CM128" s="41">
        <f>AU128/'1. Väestöennuste'!L128*1000</f>
        <v>4334.3788592979436</v>
      </c>
      <c r="CN128" s="41">
        <f>BC128/'1. Väestöennuste'!M128*1000</f>
        <v>1088.689790630262</v>
      </c>
      <c r="CO128" s="41">
        <f>BK128/'1. Väestöennuste'!N128*1000</f>
        <v>989.62179845260732</v>
      </c>
      <c r="CP128" s="41">
        <f>BQ128/'1. Väestöennuste'!O128*1000</f>
        <v>1160.158872101362</v>
      </c>
      <c r="CQ128" s="41">
        <f>BY128/'1. Väestöennuste'!P128*1000</f>
        <v>1098.4480787045966</v>
      </c>
      <c r="CR128" s="41">
        <f>CE128/'1. Väestöennuste'!Q128*1000</f>
        <v>1121.781840836979</v>
      </c>
      <c r="CS128" s="41">
        <f>CK128/'1. Väestöennuste'!R128*1000</f>
        <v>1291.4734481409096</v>
      </c>
      <c r="CT128" s="41"/>
      <c r="CV128" s="41">
        <f t="shared" si="53"/>
        <v>7963.1357008611176</v>
      </c>
      <c r="CW128" s="41">
        <f t="shared" si="54"/>
        <v>-3924.5938415631736</v>
      </c>
      <c r="CX128" s="41">
        <f t="shared" si="55"/>
        <v>-3245.6890686676816</v>
      </c>
      <c r="CY128" s="41">
        <f t="shared" si="56"/>
        <v>-99.067992177654673</v>
      </c>
      <c r="CZ128" s="41">
        <f t="shared" si="57"/>
        <v>170.5370736487547</v>
      </c>
      <c r="DA128" s="41">
        <f t="shared" si="58"/>
        <v>-61.710793396765439</v>
      </c>
      <c r="DB128" s="41">
        <f t="shared" si="59"/>
        <v>23.33376213238239</v>
      </c>
      <c r="DC128" s="41">
        <f t="shared" si="60"/>
        <v>169.6916073039306</v>
      </c>
      <c r="DD128" s="41"/>
      <c r="DE128" s="283">
        <f t="shared" si="61"/>
        <v>26.917308182753064</v>
      </c>
      <c r="DF128" s="283">
        <f t="shared" si="62"/>
        <v>-0.47519152607853732</v>
      </c>
      <c r="DG128" s="283">
        <f t="shared" si="63"/>
        <v>-0.74882449689536335</v>
      </c>
      <c r="DH128" s="283">
        <f t="shared" si="64"/>
        <v>-9.0997447601949527E-2</v>
      </c>
      <c r="DI128" s="283">
        <f t="shared" si="65"/>
        <v>0.1723255024448834</v>
      </c>
      <c r="DJ128" s="283">
        <f t="shared" si="66"/>
        <v>-5.3191674761742309E-2</v>
      </c>
      <c r="DK128" s="283">
        <f t="shared" si="67"/>
        <v>2.1242480718706314E-2</v>
      </c>
      <c r="DL128" s="283">
        <f t="shared" si="68"/>
        <v>0.15126970425668598</v>
      </c>
    </row>
    <row r="129" spans="1:116" x14ac:dyDescent="0.2">
      <c r="A129" s="30">
        <v>322</v>
      </c>
      <c r="B129" s="31" t="s">
        <v>443</v>
      </c>
      <c r="C129" s="65"/>
      <c r="D129" s="65"/>
      <c r="E129" s="65"/>
      <c r="F129" s="65"/>
      <c r="G129" s="65"/>
      <c r="H129" s="65">
        <v>23042</v>
      </c>
      <c r="I129" s="65"/>
      <c r="J129" s="65"/>
      <c r="K129" s="65"/>
      <c r="L129" s="65"/>
      <c r="M129" s="65"/>
      <c r="N129" s="65">
        <v>22148</v>
      </c>
      <c r="O129" s="65"/>
      <c r="P129" s="65"/>
      <c r="Q129" s="65"/>
      <c r="R129" s="65"/>
      <c r="S129" s="65"/>
      <c r="T129" s="65">
        <v>21205</v>
      </c>
      <c r="U129" s="65"/>
      <c r="V129" s="65"/>
      <c r="W129" s="65"/>
      <c r="X129" s="65"/>
      <c r="Y129" s="65"/>
      <c r="Z129" s="65">
        <v>21601</v>
      </c>
      <c r="AA129" s="65"/>
      <c r="AB129" s="66">
        <v>21275.350979372193</v>
      </c>
      <c r="AC129" s="34">
        <v>114.77566967548201</v>
      </c>
      <c r="AD129" s="180">
        <v>3415.2269703916313</v>
      </c>
      <c r="AE129" s="65">
        <v>0</v>
      </c>
      <c r="AF129" s="34">
        <v>-459.73700000000002</v>
      </c>
      <c r="AG129" s="65">
        <f t="shared" si="47"/>
        <v>24345.616619439304</v>
      </c>
      <c r="AH129" s="65"/>
      <c r="AI129" s="66">
        <v>20310.430303098114</v>
      </c>
      <c r="AJ129" s="34">
        <v>-89.319513253868962</v>
      </c>
      <c r="AK129" s="181">
        <v>3655.8522252052039</v>
      </c>
      <c r="AL129" s="65">
        <v>0</v>
      </c>
      <c r="AM129" s="34">
        <v>-999.697</v>
      </c>
      <c r="AN129" s="65">
        <f t="shared" si="48"/>
        <v>22877.266015049448</v>
      </c>
      <c r="AO129" s="65"/>
      <c r="AP129" s="41">
        <v>21514.09206199363</v>
      </c>
      <c r="AQ129" s="41">
        <v>-27.464980270145084</v>
      </c>
      <c r="AR129" s="41">
        <v>4128.9763992933631</v>
      </c>
      <c r="AS129" s="65">
        <v>0</v>
      </c>
      <c r="AT129" s="34">
        <v>-653.76199999999994</v>
      </c>
      <c r="AU129" s="65">
        <f t="shared" si="49"/>
        <v>24961.841481016847</v>
      </c>
      <c r="AV129" s="65"/>
      <c r="AW129" s="41">
        <v>9215.0933935171033</v>
      </c>
      <c r="AX129" s="314"/>
      <c r="AY129" s="314"/>
      <c r="AZ129" s="41">
        <v>1276.4034791246402</v>
      </c>
      <c r="BA129" s="65">
        <v>0</v>
      </c>
      <c r="BB129" s="34">
        <v>-516.00099999999998</v>
      </c>
      <c r="BC129" s="65">
        <f t="shared" si="69"/>
        <v>9975.4958726417426</v>
      </c>
      <c r="BD129" s="65"/>
      <c r="BE129" s="41">
        <v>8534.1839201782277</v>
      </c>
      <c r="BF129" s="314"/>
      <c r="BG129" s="314"/>
      <c r="BH129" s="41">
        <v>1264.7481416320186</v>
      </c>
      <c r="BI129" s="65">
        <v>0</v>
      </c>
      <c r="BJ129" s="34">
        <v>-448.38099999999997</v>
      </c>
      <c r="BK129" s="65">
        <f t="shared" si="70"/>
        <v>9350.5510618102471</v>
      </c>
      <c r="BL129" s="65"/>
      <c r="BM129" s="41">
        <v>9033.7400667426245</v>
      </c>
      <c r="BN129" s="41">
        <v>976.57884163747235</v>
      </c>
      <c r="BO129" s="65">
        <v>0</v>
      </c>
      <c r="BP129" s="34">
        <v>-448.38099999999997</v>
      </c>
      <c r="BQ129" s="65">
        <f t="shared" si="50"/>
        <v>9561.9379083800977</v>
      </c>
      <c r="BR129" s="65"/>
      <c r="BS129" s="41">
        <v>8905.4054846183899</v>
      </c>
      <c r="BT129" s="314"/>
      <c r="BU129" s="314"/>
      <c r="BV129" s="41">
        <v>1033.0167757926099</v>
      </c>
      <c r="BW129" s="65">
        <v>0</v>
      </c>
      <c r="BX129" s="34">
        <v>-448.38099999999997</v>
      </c>
      <c r="BY129" s="65">
        <f t="shared" si="71"/>
        <v>9490.0412604110006</v>
      </c>
      <c r="CA129" s="5">
        <v>8802.1740113836695</v>
      </c>
      <c r="CB129" s="407">
        <v>1091.4550995634918</v>
      </c>
      <c r="CC129" s="415">
        <v>0</v>
      </c>
      <c r="CD129" s="34">
        <v>-448.38099999999997</v>
      </c>
      <c r="CE129" s="65">
        <f t="shared" si="51"/>
        <v>9445.248110947161</v>
      </c>
      <c r="CF129" s="407"/>
      <c r="CG129" s="5">
        <v>9568.9757851129179</v>
      </c>
      <c r="CH129" s="407">
        <v>1141.5094987406917</v>
      </c>
      <c r="CI129" s="415">
        <v>0</v>
      </c>
      <c r="CJ129" s="34">
        <v>-448.38099999999997</v>
      </c>
      <c r="CK129" s="65">
        <f t="shared" si="52"/>
        <v>10262.10428385361</v>
      </c>
      <c r="CL129" s="407"/>
      <c r="CM129" s="41">
        <f>AU129/'1. Väestöennuste'!L129*1000</f>
        <v>3811.5500810836534</v>
      </c>
      <c r="CN129" s="41">
        <f>BC129/'1. Väestöennuste'!M129*1000</f>
        <v>1543.7164767319318</v>
      </c>
      <c r="CO129" s="41">
        <f>BK129/'1. Väestöennuste'!N129*1000</f>
        <v>1469.0575116748228</v>
      </c>
      <c r="CP129" s="41">
        <f>BQ129/'1. Väestöennuste'!O129*1000</f>
        <v>1512.9648589209014</v>
      </c>
      <c r="CQ129" s="41">
        <f>BY129/'1. Väestöennuste'!P129*1000</f>
        <v>1511.6344791989488</v>
      </c>
      <c r="CR129" s="41">
        <f>CE129/'1. Väestöennuste'!Q129*1000</f>
        <v>1514.1468597222124</v>
      </c>
      <c r="CS129" s="41">
        <f>CK129/'1. Väestöennuste'!R129*1000</f>
        <v>1655.1781102989694</v>
      </c>
      <c r="CT129" s="41"/>
      <c r="CV129" s="41">
        <f t="shared" si="53"/>
        <v>10710.48528385361</v>
      </c>
      <c r="CW129" s="41">
        <f t="shared" si="54"/>
        <v>-6450.5542027699576</v>
      </c>
      <c r="CX129" s="41">
        <f t="shared" si="55"/>
        <v>-2267.8336043517215</v>
      </c>
      <c r="CY129" s="41">
        <f t="shared" si="56"/>
        <v>-74.658965057109071</v>
      </c>
      <c r="CZ129" s="41">
        <f t="shared" si="57"/>
        <v>43.907347246078643</v>
      </c>
      <c r="DA129" s="41">
        <f t="shared" si="58"/>
        <v>-1.3303797219525677</v>
      </c>
      <c r="DB129" s="41">
        <f t="shared" si="59"/>
        <v>2.5123805232635732</v>
      </c>
      <c r="DC129" s="41">
        <f t="shared" si="60"/>
        <v>141.03125057675697</v>
      </c>
      <c r="DD129" s="41"/>
      <c r="DE129" s="283">
        <f t="shared" si="61"/>
        <v>-23.887018593235688</v>
      </c>
      <c r="DF129" s="283">
        <f t="shared" si="62"/>
        <v>-0.62858006743502459</v>
      </c>
      <c r="DG129" s="283">
        <f t="shared" si="63"/>
        <v>-0.59498984825275048</v>
      </c>
      <c r="DH129" s="283">
        <f t="shared" si="64"/>
        <v>-4.836313285660012E-2</v>
      </c>
      <c r="DI129" s="283">
        <f t="shared" si="65"/>
        <v>2.988810642002801E-2</v>
      </c>
      <c r="DJ129" s="283">
        <f t="shared" si="66"/>
        <v>-8.7931964454312595E-4</v>
      </c>
      <c r="DK129" s="283">
        <f t="shared" si="67"/>
        <v>1.6620291200257244E-3</v>
      </c>
      <c r="DL129" s="283">
        <f t="shared" si="68"/>
        <v>9.3142385542859946E-2</v>
      </c>
    </row>
    <row r="130" spans="1:116" x14ac:dyDescent="0.2">
      <c r="A130" s="30">
        <v>398</v>
      </c>
      <c r="B130" s="31" t="s">
        <v>444</v>
      </c>
      <c r="C130" s="65"/>
      <c r="D130" s="65"/>
      <c r="E130" s="65"/>
      <c r="F130" s="65"/>
      <c r="G130" s="65"/>
      <c r="H130" s="65">
        <v>193429</v>
      </c>
      <c r="I130" s="65"/>
      <c r="J130" s="65"/>
      <c r="K130" s="65"/>
      <c r="L130" s="65"/>
      <c r="M130" s="65"/>
      <c r="N130" s="65">
        <v>188981</v>
      </c>
      <c r="O130" s="65"/>
      <c r="P130" s="65"/>
      <c r="Q130" s="65"/>
      <c r="R130" s="65"/>
      <c r="S130" s="65"/>
      <c r="T130" s="65">
        <v>191367</v>
      </c>
      <c r="U130" s="65"/>
      <c r="V130" s="65"/>
      <c r="W130" s="65"/>
      <c r="X130" s="65"/>
      <c r="Y130" s="65"/>
      <c r="Z130" s="65">
        <v>193870</v>
      </c>
      <c r="AA130" s="65"/>
      <c r="AB130" s="66">
        <v>197521.8246553448</v>
      </c>
      <c r="AC130" s="34">
        <v>2405.8804612591171</v>
      </c>
      <c r="AD130" s="180">
        <v>49079.229004541856</v>
      </c>
      <c r="AE130" s="65">
        <v>0</v>
      </c>
      <c r="AF130" s="34">
        <v>-5087.8580000000002</v>
      </c>
      <c r="AG130" s="65">
        <f t="shared" si="47"/>
        <v>243919.07612114574</v>
      </c>
      <c r="AH130" s="65"/>
      <c r="AI130" s="66">
        <v>177677.89069867766</v>
      </c>
      <c r="AJ130" s="34">
        <v>-1865.7815573604094</v>
      </c>
      <c r="AK130" s="181">
        <v>52938.778911145608</v>
      </c>
      <c r="AL130" s="65">
        <v>0</v>
      </c>
      <c r="AM130" s="34">
        <v>-5821.9040000000005</v>
      </c>
      <c r="AN130" s="65">
        <f t="shared" si="48"/>
        <v>222928.98405246285</v>
      </c>
      <c r="AO130" s="65"/>
      <c r="AP130" s="41">
        <v>190467.31455373392</v>
      </c>
      <c r="AQ130" s="41">
        <v>-575.0302560370036</v>
      </c>
      <c r="AR130" s="41">
        <v>59701.582801346005</v>
      </c>
      <c r="AS130" s="65">
        <v>0</v>
      </c>
      <c r="AT130" s="34">
        <v>88.668999999999997</v>
      </c>
      <c r="AU130" s="65">
        <f t="shared" si="49"/>
        <v>249682.53609904292</v>
      </c>
      <c r="AV130" s="65"/>
      <c r="AW130" s="41">
        <v>76326.468811833503</v>
      </c>
      <c r="AX130" s="314"/>
      <c r="AY130" s="314"/>
      <c r="AZ130" s="41">
        <v>18168.313588099689</v>
      </c>
      <c r="BA130" s="65">
        <v>0</v>
      </c>
      <c r="BB130" s="34">
        <v>-4077.4459999999999</v>
      </c>
      <c r="BC130" s="65">
        <f t="shared" si="69"/>
        <v>90417.336399933192</v>
      </c>
      <c r="BD130" s="65"/>
      <c r="BE130" s="41">
        <v>60790.955701162849</v>
      </c>
      <c r="BF130" s="314"/>
      <c r="BG130" s="314"/>
      <c r="BH130" s="41">
        <v>18224.255371812127</v>
      </c>
      <c r="BI130" s="65">
        <v>0</v>
      </c>
      <c r="BJ130" s="34">
        <v>-2056.4079999999999</v>
      </c>
      <c r="BK130" s="65">
        <f t="shared" si="70"/>
        <v>76958.803072974988</v>
      </c>
      <c r="BL130" s="65"/>
      <c r="BM130" s="41">
        <v>77439.879950496717</v>
      </c>
      <c r="BN130" s="41">
        <v>11282.188144027341</v>
      </c>
      <c r="BO130" s="65">
        <v>0</v>
      </c>
      <c r="BP130" s="34">
        <v>-2056.4079999999999</v>
      </c>
      <c r="BQ130" s="65">
        <f t="shared" si="50"/>
        <v>86665.660094524064</v>
      </c>
      <c r="BR130" s="65"/>
      <c r="BS130" s="41">
        <v>76910.056462855515</v>
      </c>
      <c r="BT130" s="314"/>
      <c r="BU130" s="314"/>
      <c r="BV130" s="41">
        <v>12124.440760474692</v>
      </c>
      <c r="BW130" s="65">
        <v>0</v>
      </c>
      <c r="BX130" s="34">
        <v>-2056.4079999999999</v>
      </c>
      <c r="BY130" s="65">
        <f t="shared" si="71"/>
        <v>86978.089223330215</v>
      </c>
      <c r="CA130" s="5">
        <v>74976.331728979858</v>
      </c>
      <c r="CB130" s="407">
        <v>13134.763143864857</v>
      </c>
      <c r="CC130" s="415">
        <v>0</v>
      </c>
      <c r="CD130" s="34">
        <v>-2056.4079999999999</v>
      </c>
      <c r="CE130" s="65">
        <f t="shared" si="51"/>
        <v>86054.686872844715</v>
      </c>
      <c r="CF130" s="407"/>
      <c r="CG130" s="5">
        <v>79903.013979864947</v>
      </c>
      <c r="CH130" s="407">
        <v>13995.125287401885</v>
      </c>
      <c r="CI130" s="415">
        <v>0</v>
      </c>
      <c r="CJ130" s="34">
        <v>-2056.4079999999999</v>
      </c>
      <c r="CK130" s="65">
        <f t="shared" si="52"/>
        <v>91841.731267266834</v>
      </c>
      <c r="CL130" s="407"/>
      <c r="CM130" s="41">
        <f>AU130/'1. Väestöennuste'!L130*1000</f>
        <v>2077.6578830792005</v>
      </c>
      <c r="CN130" s="41">
        <f>BC130/'1. Väestöennuste'!M130*1000</f>
        <v>749.15145368772994</v>
      </c>
      <c r="CO130" s="41">
        <f>BK130/'1. Väestöennuste'!N130*1000</f>
        <v>637.09728031536633</v>
      </c>
      <c r="CP130" s="41">
        <f>BQ130/'1. Väestöennuste'!O130*1000</f>
        <v>716.82569431873799</v>
      </c>
      <c r="CQ130" s="41">
        <f>BY130/'1. Väestöennuste'!P130*1000</f>
        <v>719.02328092231949</v>
      </c>
      <c r="CR130" s="41">
        <f>CE130/'1. Väestöennuste'!Q130*1000</f>
        <v>711.21339266960922</v>
      </c>
      <c r="CS130" s="41">
        <f>CK130/'1. Väestöennuste'!R130*1000</f>
        <v>759.07275908545057</v>
      </c>
      <c r="CT130" s="41"/>
      <c r="CV130" s="41">
        <f t="shared" si="53"/>
        <v>93898.13926726683</v>
      </c>
      <c r="CW130" s="41">
        <f t="shared" si="54"/>
        <v>-89764.073384187635</v>
      </c>
      <c r="CX130" s="41">
        <f t="shared" si="55"/>
        <v>-1328.5064293914706</v>
      </c>
      <c r="CY130" s="41">
        <f t="shared" si="56"/>
        <v>-112.05417337236361</v>
      </c>
      <c r="CZ130" s="41">
        <f t="shared" si="57"/>
        <v>79.728414003371654</v>
      </c>
      <c r="DA130" s="41">
        <f t="shared" si="58"/>
        <v>2.1975866035814988</v>
      </c>
      <c r="DB130" s="41">
        <f t="shared" si="59"/>
        <v>-7.809888252710266</v>
      </c>
      <c r="DC130" s="41">
        <f t="shared" si="60"/>
        <v>47.85936641584135</v>
      </c>
      <c r="DD130" s="41"/>
      <c r="DE130" s="283">
        <f t="shared" si="61"/>
        <v>-45.661240020106341</v>
      </c>
      <c r="DF130" s="283">
        <f t="shared" si="62"/>
        <v>-0.9773778449686118</v>
      </c>
      <c r="DG130" s="283">
        <f t="shared" si="63"/>
        <v>-0.63942501805087992</v>
      </c>
      <c r="DH130" s="283">
        <f t="shared" si="64"/>
        <v>-0.14957479268146937</v>
      </c>
      <c r="DI130" s="283">
        <f t="shared" si="65"/>
        <v>0.12514323395621105</v>
      </c>
      <c r="DJ130" s="283">
        <f t="shared" si="66"/>
        <v>3.0657196317021773E-3</v>
      </c>
      <c r="DK130" s="283">
        <f t="shared" si="67"/>
        <v>-1.0861801641098762E-2</v>
      </c>
      <c r="DL130" s="283">
        <f t="shared" si="68"/>
        <v>6.7292555102479903E-2</v>
      </c>
    </row>
    <row r="131" spans="1:116" x14ac:dyDescent="0.2">
      <c r="A131" s="30">
        <v>399</v>
      </c>
      <c r="B131" s="31" t="s">
        <v>445</v>
      </c>
      <c r="C131" s="65"/>
      <c r="D131" s="65"/>
      <c r="E131" s="65"/>
      <c r="F131" s="65"/>
      <c r="G131" s="65"/>
      <c r="H131" s="65">
        <v>14938</v>
      </c>
      <c r="I131" s="65"/>
      <c r="J131" s="65"/>
      <c r="K131" s="65"/>
      <c r="L131" s="65"/>
      <c r="M131" s="65"/>
      <c r="N131" s="65">
        <v>15041</v>
      </c>
      <c r="O131" s="65"/>
      <c r="P131" s="65"/>
      <c r="Q131" s="65"/>
      <c r="R131" s="65"/>
      <c r="S131" s="65"/>
      <c r="T131" s="65">
        <v>15050</v>
      </c>
      <c r="U131" s="65"/>
      <c r="V131" s="65"/>
      <c r="W131" s="65"/>
      <c r="X131" s="65"/>
      <c r="Y131" s="65"/>
      <c r="Z131" s="65">
        <v>15591</v>
      </c>
      <c r="AA131" s="65"/>
      <c r="AB131" s="66">
        <v>15255.314528926061</v>
      </c>
      <c r="AC131" s="34">
        <v>153.30859868109326</v>
      </c>
      <c r="AD131" s="180">
        <v>3560.3852369229053</v>
      </c>
      <c r="AE131" s="65">
        <v>800</v>
      </c>
      <c r="AF131" s="34">
        <v>-586.14499999999998</v>
      </c>
      <c r="AG131" s="65">
        <f t="shared" si="47"/>
        <v>19182.863364530058</v>
      </c>
      <c r="AH131" s="65"/>
      <c r="AI131" s="66">
        <v>14387.798873694446</v>
      </c>
      <c r="AJ131" s="34">
        <v>-119.51629473345264</v>
      </c>
      <c r="AK131" s="181">
        <v>3823.2769630198263</v>
      </c>
      <c r="AL131" s="65">
        <v>1470</v>
      </c>
      <c r="AM131" s="34">
        <v>-497.05799999999999</v>
      </c>
      <c r="AN131" s="65">
        <f t="shared" si="48"/>
        <v>19064.501541980819</v>
      </c>
      <c r="AO131" s="65"/>
      <c r="AP131" s="41">
        <v>15379.345155832067</v>
      </c>
      <c r="AQ131" s="41">
        <v>-37.085756108262302</v>
      </c>
      <c r="AR131" s="41">
        <v>4445.745737121224</v>
      </c>
      <c r="AS131" s="65">
        <v>0</v>
      </c>
      <c r="AT131" s="34">
        <v>-377.08</v>
      </c>
      <c r="AU131" s="65">
        <f t="shared" si="49"/>
        <v>19410.925136845028</v>
      </c>
      <c r="AV131" s="65"/>
      <c r="AW131" s="41">
        <v>4754.3602307595684</v>
      </c>
      <c r="AX131" s="314"/>
      <c r="AY131" s="314"/>
      <c r="AZ131" s="41">
        <v>1304.5138354180635</v>
      </c>
      <c r="BA131" s="65">
        <v>0</v>
      </c>
      <c r="BB131" s="34">
        <v>-380.21100000000001</v>
      </c>
      <c r="BC131" s="65">
        <f t="shared" si="69"/>
        <v>5678.6630661776317</v>
      </c>
      <c r="BD131" s="65"/>
      <c r="BE131" s="41">
        <v>3465.1427189741985</v>
      </c>
      <c r="BF131" s="314"/>
      <c r="BG131" s="314"/>
      <c r="BH131" s="41">
        <v>1277.7875579741742</v>
      </c>
      <c r="BI131" s="65">
        <v>0</v>
      </c>
      <c r="BJ131" s="34">
        <v>-378.58600000000001</v>
      </c>
      <c r="BK131" s="65">
        <f t="shared" si="70"/>
        <v>4364.3442769483727</v>
      </c>
      <c r="BL131" s="65"/>
      <c r="BM131" s="41">
        <v>4247.0388352803848</v>
      </c>
      <c r="BN131" s="41">
        <v>676.19213534695211</v>
      </c>
      <c r="BO131" s="65">
        <v>0</v>
      </c>
      <c r="BP131" s="34">
        <v>-378.58600000000001</v>
      </c>
      <c r="BQ131" s="65">
        <f t="shared" si="50"/>
        <v>4544.644970627337</v>
      </c>
      <c r="BR131" s="65"/>
      <c r="BS131" s="41">
        <v>4244.06789971949</v>
      </c>
      <c r="BT131" s="314"/>
      <c r="BU131" s="314"/>
      <c r="BV131" s="41">
        <v>734.6177974288712</v>
      </c>
      <c r="BW131" s="65">
        <v>0</v>
      </c>
      <c r="BX131" s="34">
        <v>-378.58600000000001</v>
      </c>
      <c r="BY131" s="65">
        <f t="shared" si="71"/>
        <v>4600.099697148361</v>
      </c>
      <c r="CA131" s="5">
        <v>4196.6660463196631</v>
      </c>
      <c r="CB131" s="407">
        <v>801.16218799129751</v>
      </c>
      <c r="CC131" s="415">
        <v>0</v>
      </c>
      <c r="CD131" s="34">
        <v>-378.58600000000001</v>
      </c>
      <c r="CE131" s="65">
        <f t="shared" si="51"/>
        <v>4619.2422343109602</v>
      </c>
      <c r="CF131" s="407"/>
      <c r="CG131" s="5">
        <v>4347.5176836308819</v>
      </c>
      <c r="CH131" s="407">
        <v>857.86186017110026</v>
      </c>
      <c r="CI131" s="415">
        <v>0</v>
      </c>
      <c r="CJ131" s="34">
        <v>-378.58600000000001</v>
      </c>
      <c r="CK131" s="65">
        <f t="shared" si="52"/>
        <v>4826.7935438019822</v>
      </c>
      <c r="CL131" s="407"/>
      <c r="CM131" s="41">
        <f>AU131/'1. Väestöennuste'!L131*1000</f>
        <v>2483.1681126832577</v>
      </c>
      <c r="CN131" s="41">
        <f>BC131/'1. Väestöennuste'!M131*1000</f>
        <v>739.21674904681493</v>
      </c>
      <c r="CO131" s="41">
        <f>BK131/'1. Väestöennuste'!N131*1000</f>
        <v>553.35923379591395</v>
      </c>
      <c r="CP131" s="41">
        <f>BQ131/'1. Väestöennuste'!O131*1000</f>
        <v>578.78820308549882</v>
      </c>
      <c r="CQ131" s="41">
        <f>BY131/'1. Väestöennuste'!P131*1000</f>
        <v>588.54909124211372</v>
      </c>
      <c r="CR131" s="41">
        <f>CE131/'1. Väestöennuste'!Q131*1000</f>
        <v>594.03835317784979</v>
      </c>
      <c r="CS131" s="41">
        <f>CK131/'1. Väestöennuste'!R131*1000</f>
        <v>624.42348561474546</v>
      </c>
      <c r="CT131" s="41"/>
      <c r="CV131" s="41">
        <f t="shared" si="53"/>
        <v>5205.3795438019824</v>
      </c>
      <c r="CW131" s="41">
        <f t="shared" si="54"/>
        <v>-2343.6254311187245</v>
      </c>
      <c r="CX131" s="41">
        <f t="shared" si="55"/>
        <v>-1743.9513636364427</v>
      </c>
      <c r="CY131" s="41">
        <f t="shared" si="56"/>
        <v>-185.85751525090097</v>
      </c>
      <c r="CZ131" s="41">
        <f t="shared" si="57"/>
        <v>25.42896928958487</v>
      </c>
      <c r="DA131" s="41">
        <f t="shared" si="58"/>
        <v>9.7608881566148966</v>
      </c>
      <c r="DB131" s="41">
        <f t="shared" si="59"/>
        <v>5.4892619357360672</v>
      </c>
      <c r="DC131" s="41">
        <f t="shared" si="60"/>
        <v>30.385132436895674</v>
      </c>
      <c r="DD131" s="41"/>
      <c r="DE131" s="283">
        <f t="shared" si="61"/>
        <v>-13.749529945116782</v>
      </c>
      <c r="DF131" s="283">
        <f t="shared" si="62"/>
        <v>-0.48554499169083809</v>
      </c>
      <c r="DG131" s="283">
        <f t="shared" si="63"/>
        <v>-0.70230901996883588</v>
      </c>
      <c r="DH131" s="283">
        <f t="shared" si="64"/>
        <v>-0.25142492440891723</v>
      </c>
      <c r="DI131" s="283">
        <f t="shared" si="65"/>
        <v>4.5953817586359108E-2</v>
      </c>
      <c r="DJ131" s="283">
        <f t="shared" si="66"/>
        <v>1.6864352287382426E-2</v>
      </c>
      <c r="DK131" s="283">
        <f t="shared" si="67"/>
        <v>9.3267698776854091E-3</v>
      </c>
      <c r="DL131" s="283">
        <f t="shared" si="68"/>
        <v>5.1150118968494675E-2</v>
      </c>
    </row>
    <row r="132" spans="1:116" x14ac:dyDescent="0.2">
      <c r="A132" s="30">
        <v>400</v>
      </c>
      <c r="B132" s="31" t="s">
        <v>446</v>
      </c>
      <c r="C132" s="65"/>
      <c r="D132" s="65"/>
      <c r="E132" s="65"/>
      <c r="F132" s="65"/>
      <c r="G132" s="65"/>
      <c r="H132" s="65">
        <v>20487</v>
      </c>
      <c r="I132" s="65"/>
      <c r="J132" s="65"/>
      <c r="K132" s="65"/>
      <c r="L132" s="65"/>
      <c r="M132" s="65"/>
      <c r="N132" s="65">
        <v>20509</v>
      </c>
      <c r="O132" s="65"/>
      <c r="P132" s="65"/>
      <c r="Q132" s="65"/>
      <c r="R132" s="65"/>
      <c r="S132" s="65"/>
      <c r="T132" s="65">
        <v>20352</v>
      </c>
      <c r="U132" s="65"/>
      <c r="V132" s="65"/>
      <c r="W132" s="65"/>
      <c r="X132" s="65"/>
      <c r="Y132" s="65"/>
      <c r="Z132" s="65">
        <v>20212</v>
      </c>
      <c r="AA132" s="65"/>
      <c r="AB132" s="66">
        <v>18902.685495612212</v>
      </c>
      <c r="AC132" s="34">
        <v>147.5452857266836</v>
      </c>
      <c r="AD132" s="180">
        <v>4422.0038671602288</v>
      </c>
      <c r="AE132" s="65">
        <v>0</v>
      </c>
      <c r="AF132" s="34">
        <v>583.85</v>
      </c>
      <c r="AG132" s="65">
        <f t="shared" si="47"/>
        <v>24056.08464849912</v>
      </c>
      <c r="AH132" s="65"/>
      <c r="AI132" s="66">
        <v>18136.36337094734</v>
      </c>
      <c r="AJ132" s="34">
        <v>-114.30770045511524</v>
      </c>
      <c r="AK132" s="181">
        <v>4765.5518961486378</v>
      </c>
      <c r="AL132" s="65">
        <v>0</v>
      </c>
      <c r="AM132" s="34">
        <v>857.30399999999997</v>
      </c>
      <c r="AN132" s="65">
        <f t="shared" si="48"/>
        <v>23644.911566640862</v>
      </c>
      <c r="AO132" s="65"/>
      <c r="AP132" s="41">
        <v>19413.337454964381</v>
      </c>
      <c r="AQ132" s="41">
        <v>-35.253070541890274</v>
      </c>
      <c r="AR132" s="41">
        <v>5454.2755511138912</v>
      </c>
      <c r="AS132" s="65">
        <v>0</v>
      </c>
      <c r="AT132" s="34">
        <v>996.77800000000002</v>
      </c>
      <c r="AU132" s="65">
        <f t="shared" si="49"/>
        <v>25829.137935536382</v>
      </c>
      <c r="AV132" s="65"/>
      <c r="AW132" s="41">
        <v>10155.700141259058</v>
      </c>
      <c r="AX132" s="314"/>
      <c r="AY132" s="314"/>
      <c r="AZ132" s="41">
        <v>1719.447517745657</v>
      </c>
      <c r="BA132" s="65">
        <v>0</v>
      </c>
      <c r="BB132" s="34">
        <v>978.32899999999995</v>
      </c>
      <c r="BC132" s="65">
        <f t="shared" si="69"/>
        <v>12853.476659004715</v>
      </c>
      <c r="BD132" s="65"/>
      <c r="BE132" s="41">
        <v>8812.9999247118631</v>
      </c>
      <c r="BF132" s="314"/>
      <c r="BG132" s="314"/>
      <c r="BH132" s="41">
        <v>1704.5638904844207</v>
      </c>
      <c r="BI132" s="65">
        <v>0</v>
      </c>
      <c r="BJ132" s="34">
        <v>1885.9480000000001</v>
      </c>
      <c r="BK132" s="65">
        <f t="shared" si="70"/>
        <v>12403.511815196283</v>
      </c>
      <c r="BL132" s="65"/>
      <c r="BM132" s="41">
        <v>10366.859977649536</v>
      </c>
      <c r="BN132" s="41">
        <v>1129.8855155048539</v>
      </c>
      <c r="BO132" s="65">
        <v>0</v>
      </c>
      <c r="BP132" s="34">
        <v>1885.9480000000001</v>
      </c>
      <c r="BQ132" s="65">
        <f t="shared" si="50"/>
        <v>13382.693493154389</v>
      </c>
      <c r="BR132" s="65"/>
      <c r="BS132" s="41">
        <v>9888.0799472422732</v>
      </c>
      <c r="BT132" s="314"/>
      <c r="BU132" s="314"/>
      <c r="BV132" s="41">
        <v>1205.7367969994143</v>
      </c>
      <c r="BW132" s="65">
        <v>0</v>
      </c>
      <c r="BX132" s="34">
        <v>1885.9480000000001</v>
      </c>
      <c r="BY132" s="65">
        <f t="shared" si="71"/>
        <v>12979.764744241687</v>
      </c>
      <c r="CA132" s="5">
        <v>9723.7342387744302</v>
      </c>
      <c r="CB132" s="407">
        <v>1286.1997920492533</v>
      </c>
      <c r="CC132" s="415">
        <v>0</v>
      </c>
      <c r="CD132" s="34">
        <v>1885.9480000000001</v>
      </c>
      <c r="CE132" s="65">
        <f t="shared" si="51"/>
        <v>12895.882030823685</v>
      </c>
      <c r="CF132" s="407"/>
      <c r="CG132" s="5">
        <v>10284.35167870073</v>
      </c>
      <c r="CH132" s="407">
        <v>1355.5183201657578</v>
      </c>
      <c r="CI132" s="415">
        <v>0</v>
      </c>
      <c r="CJ132" s="34">
        <v>1885.9480000000001</v>
      </c>
      <c r="CK132" s="65">
        <f t="shared" si="52"/>
        <v>13525.817998866489</v>
      </c>
      <c r="CL132" s="407"/>
      <c r="CM132" s="41">
        <f>AU132/'1. Väestöennuste'!L132*1000</f>
        <v>3087.3939679101577</v>
      </c>
      <c r="CN132" s="41">
        <f>BC132/'1. Väestöennuste'!M132*1000</f>
        <v>1522.7433549348079</v>
      </c>
      <c r="CO132" s="41">
        <f>BK132/'1. Väestöennuste'!N132*1000</f>
        <v>1480.486012794973</v>
      </c>
      <c r="CP132" s="41">
        <f>BQ132/'1. Väestöennuste'!O132*1000</f>
        <v>1602.5258643461129</v>
      </c>
      <c r="CQ132" s="41">
        <f>BY132/'1. Väestöennuste'!P132*1000</f>
        <v>1559.3182056993858</v>
      </c>
      <c r="CR132" s="41">
        <f>CE132/'1. Väestöennuste'!Q132*1000</f>
        <v>1554.8447107335044</v>
      </c>
      <c r="CS132" s="41">
        <f>CK132/'1. Väestöennuste'!R132*1000</f>
        <v>1636.517604218571</v>
      </c>
      <c r="CT132" s="41"/>
      <c r="CV132" s="41">
        <f t="shared" si="53"/>
        <v>11639.869998866488</v>
      </c>
      <c r="CW132" s="41">
        <f t="shared" si="54"/>
        <v>-10438.424030956332</v>
      </c>
      <c r="CX132" s="41">
        <f t="shared" si="55"/>
        <v>-1564.6506129753498</v>
      </c>
      <c r="CY132" s="41">
        <f t="shared" si="56"/>
        <v>-42.257342139834918</v>
      </c>
      <c r="CZ132" s="41">
        <f t="shared" si="57"/>
        <v>122.03985155113992</v>
      </c>
      <c r="DA132" s="41">
        <f t="shared" si="58"/>
        <v>-43.207658646727168</v>
      </c>
      <c r="DB132" s="41">
        <f t="shared" si="59"/>
        <v>-4.4734949658814003</v>
      </c>
      <c r="DC132" s="41">
        <f t="shared" si="60"/>
        <v>81.672893485066652</v>
      </c>
      <c r="DD132" s="41"/>
      <c r="DE132" s="283">
        <f t="shared" si="61"/>
        <v>6.1718933920057646</v>
      </c>
      <c r="DF132" s="283">
        <f t="shared" si="62"/>
        <v>-0.77174068376723015</v>
      </c>
      <c r="DG132" s="283">
        <f t="shared" si="63"/>
        <v>-0.50678683356839438</v>
      </c>
      <c r="DH132" s="283">
        <f t="shared" si="64"/>
        <v>-2.77507972718384E-2</v>
      </c>
      <c r="DI132" s="283">
        <f t="shared" si="65"/>
        <v>8.2432289461988162E-2</v>
      </c>
      <c r="DJ132" s="283">
        <f t="shared" si="66"/>
        <v>-2.6962222331654795E-2</v>
      </c>
      <c r="DK132" s="283">
        <f t="shared" si="67"/>
        <v>-2.8688788148118539E-3</v>
      </c>
      <c r="DL132" s="283">
        <f t="shared" si="68"/>
        <v>5.2528006765728476E-2</v>
      </c>
    </row>
    <row r="133" spans="1:116" x14ac:dyDescent="0.2">
      <c r="A133" s="30">
        <v>402</v>
      </c>
      <c r="B133" s="31" t="s">
        <v>447</v>
      </c>
      <c r="C133" s="65"/>
      <c r="D133" s="65"/>
      <c r="E133" s="65"/>
      <c r="F133" s="65"/>
      <c r="G133" s="65"/>
      <c r="H133" s="65">
        <v>31242</v>
      </c>
      <c r="I133" s="65"/>
      <c r="J133" s="65"/>
      <c r="K133" s="65"/>
      <c r="L133" s="65"/>
      <c r="M133" s="65"/>
      <c r="N133" s="65">
        <v>31179</v>
      </c>
      <c r="O133" s="65"/>
      <c r="P133" s="65"/>
      <c r="Q133" s="65"/>
      <c r="R133" s="65"/>
      <c r="S133" s="65"/>
      <c r="T133" s="65">
        <v>30251</v>
      </c>
      <c r="U133" s="65"/>
      <c r="V133" s="65"/>
      <c r="W133" s="65"/>
      <c r="X133" s="65"/>
      <c r="Y133" s="65"/>
      <c r="Z133" s="65">
        <v>29784</v>
      </c>
      <c r="AA133" s="65"/>
      <c r="AB133" s="66">
        <v>28869.919597976557</v>
      </c>
      <c r="AC133" s="34">
        <v>150.51670974636301</v>
      </c>
      <c r="AD133" s="180">
        <v>5076.166132557938</v>
      </c>
      <c r="AE133" s="65">
        <v>0</v>
      </c>
      <c r="AF133" s="34">
        <v>-380.91199999999998</v>
      </c>
      <c r="AG133" s="65">
        <f t="shared" si="47"/>
        <v>33715.690440280865</v>
      </c>
      <c r="AH133" s="65"/>
      <c r="AI133" s="66">
        <v>27317.931623141692</v>
      </c>
      <c r="AJ133" s="34">
        <v>-116.78663848613172</v>
      </c>
      <c r="AK133" s="181">
        <v>5426.6233358531581</v>
      </c>
      <c r="AL133" s="65">
        <v>0</v>
      </c>
      <c r="AM133" s="34">
        <v>-384.71</v>
      </c>
      <c r="AN133" s="65">
        <f t="shared" si="48"/>
        <v>32243.05832050872</v>
      </c>
      <c r="AO133" s="65"/>
      <c r="AP133" s="41">
        <v>27759.794761398614</v>
      </c>
      <c r="AQ133" s="41">
        <v>-36.04354152066378</v>
      </c>
      <c r="AR133" s="41">
        <v>6197.0122365367079</v>
      </c>
      <c r="AS133" s="65">
        <v>0</v>
      </c>
      <c r="AT133" s="34">
        <v>-209.471</v>
      </c>
      <c r="AU133" s="65">
        <f t="shared" si="49"/>
        <v>33711.29245641466</v>
      </c>
      <c r="AV133" s="65"/>
      <c r="AW133" s="41">
        <v>5675.8651603939761</v>
      </c>
      <c r="AX133" s="314"/>
      <c r="AY133" s="314"/>
      <c r="AZ133" s="41">
        <v>1916.9032441040579</v>
      </c>
      <c r="BA133" s="65">
        <v>550</v>
      </c>
      <c r="BB133" s="34">
        <v>-96.194000000000003</v>
      </c>
      <c r="BC133" s="65">
        <f t="shared" si="69"/>
        <v>8046.5744044980338</v>
      </c>
      <c r="BD133" s="65"/>
      <c r="BE133" s="41">
        <v>3304.4897910353466</v>
      </c>
      <c r="BF133" s="314"/>
      <c r="BG133" s="314"/>
      <c r="BH133" s="41">
        <v>1894.9698595900368</v>
      </c>
      <c r="BI133" s="65">
        <v>0</v>
      </c>
      <c r="BJ133" s="34">
        <v>-237.12899999999999</v>
      </c>
      <c r="BK133" s="65">
        <f t="shared" si="70"/>
        <v>4962.3306506253839</v>
      </c>
      <c r="BL133" s="65"/>
      <c r="BM133" s="41">
        <v>4798.4916700893618</v>
      </c>
      <c r="BN133" s="41">
        <v>1217.4712250580899</v>
      </c>
      <c r="BO133" s="65">
        <v>0</v>
      </c>
      <c r="BP133" s="34">
        <v>-237.12899999999999</v>
      </c>
      <c r="BQ133" s="65">
        <f t="shared" si="50"/>
        <v>5778.8338951474516</v>
      </c>
      <c r="BR133" s="65"/>
      <c r="BS133" s="41">
        <v>4748.5453213634282</v>
      </c>
      <c r="BT133" s="314"/>
      <c r="BU133" s="314"/>
      <c r="BV133" s="41">
        <v>1306.738154828545</v>
      </c>
      <c r="BW133" s="65">
        <v>0</v>
      </c>
      <c r="BX133" s="34">
        <v>-237.12899999999999</v>
      </c>
      <c r="BY133" s="65">
        <f t="shared" si="71"/>
        <v>5818.1544761919731</v>
      </c>
      <c r="CA133" s="5">
        <v>4795.4357352020552</v>
      </c>
      <c r="CB133" s="407">
        <v>1396.8347992876168</v>
      </c>
      <c r="CC133" s="415">
        <v>0</v>
      </c>
      <c r="CD133" s="34">
        <v>-237.12899999999999</v>
      </c>
      <c r="CE133" s="65">
        <f t="shared" si="51"/>
        <v>5955.1415344896723</v>
      </c>
      <c r="CF133" s="407"/>
      <c r="CG133" s="5">
        <v>5593.727160411845</v>
      </c>
      <c r="CH133" s="407">
        <v>1475.6865563274896</v>
      </c>
      <c r="CI133" s="415">
        <v>0</v>
      </c>
      <c r="CJ133" s="34">
        <v>-237.12899999999999</v>
      </c>
      <c r="CK133" s="65">
        <f t="shared" si="52"/>
        <v>6832.2847167393347</v>
      </c>
      <c r="CL133" s="407"/>
      <c r="CM133" s="41">
        <f>AU133/'1. Väestöennuste'!L133*1000</f>
        <v>3704.9447693608813</v>
      </c>
      <c r="CN133" s="41">
        <f>BC133/'1. Väestöennuste'!M133*1000</f>
        <v>896.5542511975525</v>
      </c>
      <c r="CO133" s="41">
        <f>BK133/'1. Väestöennuste'!N133*1000</f>
        <v>555.1947472169818</v>
      </c>
      <c r="CP133" s="41">
        <f>BQ133/'1. Väestöennuste'!O133*1000</f>
        <v>653.71424153251712</v>
      </c>
      <c r="CQ133" s="41">
        <f>BY133/'1. Väestöennuste'!P133*1000</f>
        <v>665.38820633485511</v>
      </c>
      <c r="CR133" s="41">
        <f>CE133/'1. Väestöennuste'!Q133*1000</f>
        <v>688.29652502192243</v>
      </c>
      <c r="CS133" s="41">
        <f>CK133/'1. Väestöennuste'!R133*1000</f>
        <v>798.16410242281938</v>
      </c>
      <c r="CT133" s="41"/>
      <c r="CV133" s="41">
        <f t="shared" si="53"/>
        <v>7069.4137167393346</v>
      </c>
      <c r="CW133" s="41">
        <f t="shared" si="54"/>
        <v>-3127.3399473784534</v>
      </c>
      <c r="CX133" s="41">
        <f t="shared" si="55"/>
        <v>-2808.390518163329</v>
      </c>
      <c r="CY133" s="41">
        <f t="shared" si="56"/>
        <v>-341.35950398057071</v>
      </c>
      <c r="CZ133" s="41">
        <f t="shared" si="57"/>
        <v>98.519494315535326</v>
      </c>
      <c r="DA133" s="41">
        <f t="shared" si="58"/>
        <v>11.673964802337991</v>
      </c>
      <c r="DB133" s="41">
        <f t="shared" si="59"/>
        <v>22.908318687067322</v>
      </c>
      <c r="DC133" s="41">
        <f t="shared" si="60"/>
        <v>109.86757740089695</v>
      </c>
      <c r="DD133" s="41"/>
      <c r="DE133" s="283">
        <f t="shared" si="61"/>
        <v>-29.812522790292771</v>
      </c>
      <c r="DF133" s="283">
        <f t="shared" si="62"/>
        <v>-0.45772974591008508</v>
      </c>
      <c r="DG133" s="283">
        <f t="shared" si="63"/>
        <v>-0.75801143957344019</v>
      </c>
      <c r="DH133" s="283">
        <f t="shared" si="64"/>
        <v>-0.3807460658678572</v>
      </c>
      <c r="DI133" s="283">
        <f t="shared" si="65"/>
        <v>0.17745033577745978</v>
      </c>
      <c r="DJ133" s="283">
        <f t="shared" si="66"/>
        <v>1.7857901909816822E-2</v>
      </c>
      <c r="DK133" s="283">
        <f t="shared" si="67"/>
        <v>3.4428501240280115E-2</v>
      </c>
      <c r="DL133" s="283">
        <f t="shared" si="68"/>
        <v>0.15962244963738215</v>
      </c>
    </row>
    <row r="134" spans="1:116" x14ac:dyDescent="0.2">
      <c r="A134" s="30">
        <v>403</v>
      </c>
      <c r="B134" s="31" t="s">
        <v>448</v>
      </c>
      <c r="C134" s="65"/>
      <c r="D134" s="65"/>
      <c r="E134" s="65"/>
      <c r="F134" s="65"/>
      <c r="G134" s="65"/>
      <c r="H134" s="65">
        <v>10793</v>
      </c>
      <c r="I134" s="65"/>
      <c r="J134" s="65"/>
      <c r="K134" s="65"/>
      <c r="L134" s="65"/>
      <c r="M134" s="65"/>
      <c r="N134" s="65">
        <v>10822</v>
      </c>
      <c r="O134" s="65"/>
      <c r="P134" s="65"/>
      <c r="Q134" s="65"/>
      <c r="R134" s="65"/>
      <c r="S134" s="65"/>
      <c r="T134" s="65">
        <v>10825</v>
      </c>
      <c r="U134" s="65"/>
      <c r="V134" s="65"/>
      <c r="W134" s="65"/>
      <c r="X134" s="65"/>
      <c r="Y134" s="65"/>
      <c r="Z134" s="65">
        <v>11071</v>
      </c>
      <c r="AA134" s="65"/>
      <c r="AB134" s="66">
        <v>10455.399297677788</v>
      </c>
      <c r="AC134" s="34">
        <v>46.812783360807792</v>
      </c>
      <c r="AD134" s="180">
        <v>1878.877770644817</v>
      </c>
      <c r="AE134" s="65">
        <v>0</v>
      </c>
      <c r="AF134" s="34">
        <v>-98.903000000000006</v>
      </c>
      <c r="AG134" s="65">
        <f t="shared" si="47"/>
        <v>12282.186851683413</v>
      </c>
      <c r="AH134" s="65"/>
      <c r="AI134" s="66">
        <v>9804.0719512611613</v>
      </c>
      <c r="AJ134" s="34">
        <v>-36.315173931515602</v>
      </c>
      <c r="AK134" s="181">
        <v>1992.9540774742807</v>
      </c>
      <c r="AL134" s="65">
        <v>0</v>
      </c>
      <c r="AM134" s="34">
        <v>-96.18</v>
      </c>
      <c r="AN134" s="65">
        <f t="shared" si="48"/>
        <v>11664.530854803925</v>
      </c>
      <c r="AO134" s="65"/>
      <c r="AP134" s="41">
        <v>10434.851711929477</v>
      </c>
      <c r="AQ134" s="41">
        <v>-11.181255928822681</v>
      </c>
      <c r="AR134" s="41">
        <v>2204.12114118726</v>
      </c>
      <c r="AS134" s="65">
        <v>0</v>
      </c>
      <c r="AT134" s="34">
        <v>-140.203</v>
      </c>
      <c r="AU134" s="65">
        <f t="shared" si="49"/>
        <v>12487.588597187916</v>
      </c>
      <c r="AV134" s="65"/>
      <c r="AW134" s="41">
        <v>2995.917216456673</v>
      </c>
      <c r="AX134" s="314"/>
      <c r="AY134" s="314"/>
      <c r="AZ134" s="41">
        <v>666.11583031535838</v>
      </c>
      <c r="BA134" s="65">
        <v>160</v>
      </c>
      <c r="BB134" s="34">
        <v>55.774999999999999</v>
      </c>
      <c r="BC134" s="65">
        <f t="shared" si="69"/>
        <v>3877.8080467720315</v>
      </c>
      <c r="BD134" s="65"/>
      <c r="BE134" s="41">
        <v>2463.6835616817839</v>
      </c>
      <c r="BF134" s="314"/>
      <c r="BG134" s="314"/>
      <c r="BH134" s="41">
        <v>668.17499185478766</v>
      </c>
      <c r="BI134" s="65">
        <v>0</v>
      </c>
      <c r="BJ134" s="34">
        <v>81.911000000000001</v>
      </c>
      <c r="BK134" s="65">
        <f t="shared" si="70"/>
        <v>3213.7695535365715</v>
      </c>
      <c r="BL134" s="65"/>
      <c r="BM134" s="41">
        <v>2686.5598635500382</v>
      </c>
      <c r="BN134" s="41">
        <v>491.44488267366529</v>
      </c>
      <c r="BO134" s="65">
        <v>0</v>
      </c>
      <c r="BP134" s="34">
        <v>81.911000000000001</v>
      </c>
      <c r="BQ134" s="65">
        <f t="shared" si="50"/>
        <v>3259.9157462237035</v>
      </c>
      <c r="BR134" s="65"/>
      <c r="BS134" s="41">
        <v>2725.0273754434329</v>
      </c>
      <c r="BT134" s="314"/>
      <c r="BU134" s="314"/>
      <c r="BV134" s="41">
        <v>523.47038860642374</v>
      </c>
      <c r="BW134" s="65">
        <v>0</v>
      </c>
      <c r="BX134" s="34">
        <v>81.911000000000001</v>
      </c>
      <c r="BY134" s="65">
        <f t="shared" si="71"/>
        <v>3330.4087640498565</v>
      </c>
      <c r="CA134" s="5">
        <v>2703.6956694557994</v>
      </c>
      <c r="CB134" s="407">
        <v>555.3562835829199</v>
      </c>
      <c r="CC134" s="415">
        <v>0</v>
      </c>
      <c r="CD134" s="34">
        <v>81.911000000000001</v>
      </c>
      <c r="CE134" s="65">
        <f t="shared" si="51"/>
        <v>3340.9629530387192</v>
      </c>
      <c r="CF134" s="407"/>
      <c r="CG134" s="5">
        <v>3227.2769189079158</v>
      </c>
      <c r="CH134" s="407">
        <v>583.7534012379158</v>
      </c>
      <c r="CI134" s="415">
        <v>0</v>
      </c>
      <c r="CJ134" s="34">
        <v>81.911000000000001</v>
      </c>
      <c r="CK134" s="65">
        <f t="shared" si="52"/>
        <v>3892.9413201458319</v>
      </c>
      <c r="CL134" s="407"/>
      <c r="CM134" s="41">
        <f>AU134/'1. Väestöennuste'!L134*1000</f>
        <v>4428.2229068042252</v>
      </c>
      <c r="CN134" s="41">
        <f>BC134/'1. Väestöennuste'!M134*1000</f>
        <v>1390.3937062646223</v>
      </c>
      <c r="CO134" s="41">
        <f>BK134/'1. Väestöennuste'!N134*1000</f>
        <v>1185.455386771144</v>
      </c>
      <c r="CP134" s="41">
        <f>BQ134/'1. Väestöennuste'!O134*1000</f>
        <v>1223.6920969308196</v>
      </c>
      <c r="CQ134" s="41">
        <f>BY134/'1. Väestöennuste'!P134*1000</f>
        <v>1272.1194667875693</v>
      </c>
      <c r="CR134" s="41">
        <f>CE134/'1. Väestöennuste'!Q134*1000</f>
        <v>1297.4613409859103</v>
      </c>
      <c r="CS134" s="41">
        <f>CK134/'1. Väestöennuste'!R134*1000</f>
        <v>1538.7119842473644</v>
      </c>
      <c r="CT134" s="41"/>
      <c r="CV134" s="41">
        <f t="shared" si="53"/>
        <v>3811.0303201458319</v>
      </c>
      <c r="CW134" s="41">
        <f t="shared" si="54"/>
        <v>535.28158665839328</v>
      </c>
      <c r="CX134" s="41">
        <f t="shared" si="55"/>
        <v>-3037.8292005396029</v>
      </c>
      <c r="CY134" s="41">
        <f t="shared" si="56"/>
        <v>-204.93831949347828</v>
      </c>
      <c r="CZ134" s="41">
        <f t="shared" si="57"/>
        <v>38.236710159675567</v>
      </c>
      <c r="DA134" s="41">
        <f t="shared" si="58"/>
        <v>48.427369856749692</v>
      </c>
      <c r="DB134" s="41">
        <f t="shared" si="59"/>
        <v>25.341874198340975</v>
      </c>
      <c r="DC134" s="41">
        <f t="shared" si="60"/>
        <v>241.25064326145412</v>
      </c>
      <c r="DD134" s="41"/>
      <c r="DE134" s="283">
        <f t="shared" si="61"/>
        <v>46.52647776422986</v>
      </c>
      <c r="DF134" s="283">
        <f t="shared" si="62"/>
        <v>0.13750055360154809</v>
      </c>
      <c r="DG134" s="283">
        <f t="shared" si="63"/>
        <v>-0.68601542073950239</v>
      </c>
      <c r="DH134" s="283">
        <f t="shared" si="64"/>
        <v>-0.14739589122857696</v>
      </c>
      <c r="DI134" s="283">
        <f t="shared" si="65"/>
        <v>3.2254870648335321E-2</v>
      </c>
      <c r="DJ134" s="283">
        <f t="shared" si="66"/>
        <v>3.9574799884882716E-2</v>
      </c>
      <c r="DK134" s="283">
        <f t="shared" si="67"/>
        <v>1.9920986086578614E-2</v>
      </c>
      <c r="DL134" s="283">
        <f t="shared" si="68"/>
        <v>0.18594052527078259</v>
      </c>
    </row>
    <row r="135" spans="1:116" x14ac:dyDescent="0.2">
      <c r="A135" s="30">
        <v>405</v>
      </c>
      <c r="B135" s="31" t="s">
        <v>449</v>
      </c>
      <c r="C135" s="65"/>
      <c r="D135" s="65"/>
      <c r="E135" s="65"/>
      <c r="F135" s="65"/>
      <c r="G135" s="65"/>
      <c r="H135" s="65">
        <v>108074</v>
      </c>
      <c r="I135" s="65"/>
      <c r="J135" s="65"/>
      <c r="K135" s="65"/>
      <c r="L135" s="65"/>
      <c r="M135" s="65"/>
      <c r="N135" s="65">
        <v>104995</v>
      </c>
      <c r="O135" s="65"/>
      <c r="P135" s="65"/>
      <c r="Q135" s="65"/>
      <c r="R135" s="65"/>
      <c r="S135" s="65"/>
      <c r="T135" s="65">
        <v>106908</v>
      </c>
      <c r="U135" s="65"/>
      <c r="V135" s="65"/>
      <c r="W135" s="65"/>
      <c r="X135" s="65"/>
      <c r="Y135" s="65"/>
      <c r="Z135" s="65">
        <v>109860</v>
      </c>
      <c r="AA135" s="65"/>
      <c r="AB135" s="66">
        <v>113861.28924226949</v>
      </c>
      <c r="AC135" s="34">
        <v>1488.2157723513451</v>
      </c>
      <c r="AD135" s="180">
        <v>31179.102079888926</v>
      </c>
      <c r="AE135" s="65">
        <v>3300</v>
      </c>
      <c r="AF135" s="34">
        <v>-5211.2169999999996</v>
      </c>
      <c r="AG135" s="65">
        <f t="shared" si="47"/>
        <v>144617.39009450976</v>
      </c>
      <c r="AH135" s="65"/>
      <c r="AI135" s="66">
        <v>103138.45199930538</v>
      </c>
      <c r="AJ135" s="34">
        <v>-1150.1690421082105</v>
      </c>
      <c r="AK135" s="181">
        <v>33619.357472241354</v>
      </c>
      <c r="AL135" s="65">
        <v>0</v>
      </c>
      <c r="AM135" s="34">
        <v>-5617.7830000000004</v>
      </c>
      <c r="AN135" s="65">
        <f t="shared" si="48"/>
        <v>129989.85742943853</v>
      </c>
      <c r="AO135" s="65"/>
      <c r="AP135" s="41">
        <v>100208.98651198107</v>
      </c>
      <c r="AQ135" s="41">
        <v>-353.59380825109366</v>
      </c>
      <c r="AR135" s="41">
        <v>37763.398052871096</v>
      </c>
      <c r="AS135" s="65">
        <v>0</v>
      </c>
      <c r="AT135" s="34">
        <v>-5667.652</v>
      </c>
      <c r="AU135" s="65">
        <f t="shared" si="49"/>
        <v>131951.13875660108</v>
      </c>
      <c r="AV135" s="65"/>
      <c r="AW135" s="41">
        <v>21113.062006561679</v>
      </c>
      <c r="AX135" s="314"/>
      <c r="AY135" s="314"/>
      <c r="AZ135" s="41">
        <v>11543.595091604726</v>
      </c>
      <c r="BA135" s="65">
        <v>0</v>
      </c>
      <c r="BB135" s="34">
        <v>-5769.7830000000004</v>
      </c>
      <c r="BC135" s="65">
        <f t="shared" si="69"/>
        <v>26886.874098166405</v>
      </c>
      <c r="BD135" s="65"/>
      <c r="BE135" s="41">
        <v>16569.284969433706</v>
      </c>
      <c r="BF135" s="314"/>
      <c r="BG135" s="314"/>
      <c r="BH135" s="41">
        <v>11535.024477791898</v>
      </c>
      <c r="BI135" s="65">
        <v>0</v>
      </c>
      <c r="BJ135" s="34">
        <v>-5255.3770000000004</v>
      </c>
      <c r="BK135" s="65">
        <f t="shared" si="70"/>
        <v>22848.932447225605</v>
      </c>
      <c r="BL135" s="65"/>
      <c r="BM135" s="41">
        <v>25830.41623982483</v>
      </c>
      <c r="BN135" s="41">
        <v>7023.5354105231927</v>
      </c>
      <c r="BO135" s="65">
        <v>0</v>
      </c>
      <c r="BP135" s="34">
        <v>-5255.3770000000004</v>
      </c>
      <c r="BQ135" s="65">
        <f t="shared" si="50"/>
        <v>27598.574650348026</v>
      </c>
      <c r="BR135" s="65"/>
      <c r="BS135" s="41">
        <v>22036.025309757395</v>
      </c>
      <c r="BT135" s="314"/>
      <c r="BU135" s="314"/>
      <c r="BV135" s="41">
        <v>7608.2435846747476</v>
      </c>
      <c r="BW135" s="65">
        <v>0</v>
      </c>
      <c r="BX135" s="34">
        <v>-5255.3770000000004</v>
      </c>
      <c r="BY135" s="65">
        <f t="shared" si="71"/>
        <v>24388.891894432141</v>
      </c>
      <c r="CA135" s="5">
        <v>22345.205209521177</v>
      </c>
      <c r="CB135" s="407">
        <v>8235.2666971668932</v>
      </c>
      <c r="CC135" s="415">
        <v>0</v>
      </c>
      <c r="CD135" s="34">
        <v>-5255.3770000000004</v>
      </c>
      <c r="CE135" s="65">
        <f t="shared" si="51"/>
        <v>25325.094906688071</v>
      </c>
      <c r="CF135" s="407"/>
      <c r="CG135" s="5">
        <v>25078.064867352925</v>
      </c>
      <c r="CH135" s="407">
        <v>8770.1350626556105</v>
      </c>
      <c r="CI135" s="415">
        <v>0</v>
      </c>
      <c r="CJ135" s="34">
        <v>-5255.3770000000004</v>
      </c>
      <c r="CK135" s="65">
        <f t="shared" si="52"/>
        <v>28592.822930008537</v>
      </c>
      <c r="CL135" s="407"/>
      <c r="CM135" s="41">
        <f>AU135/'1. Väestöennuste'!L135*1000</f>
        <v>1816.2579319559682</v>
      </c>
      <c r="CN135" s="41">
        <f>BC135/'1. Väestöennuste'!M135*1000</f>
        <v>368.37389842393827</v>
      </c>
      <c r="CO135" s="41">
        <f>BK135/'1. Väestöennuste'!N135*1000</f>
        <v>315.00996011836662</v>
      </c>
      <c r="CP135" s="41">
        <f>BQ135/'1. Väestöennuste'!O135*1000</f>
        <v>380.84860003792159</v>
      </c>
      <c r="CQ135" s="41">
        <f>BY135/'1. Väestöennuste'!P135*1000</f>
        <v>336.92364505273241</v>
      </c>
      <c r="CR135" s="41">
        <f>CE135/'1. Väestöennuste'!Q135*1000</f>
        <v>350.25371560318194</v>
      </c>
      <c r="CS135" s="41">
        <f>CK135/'1. Väestöennuste'!R135*1000</f>
        <v>395.92925391540132</v>
      </c>
      <c r="CT135" s="41"/>
      <c r="CV135" s="41">
        <f t="shared" si="53"/>
        <v>33848.199930008537</v>
      </c>
      <c r="CW135" s="41">
        <f t="shared" si="54"/>
        <v>-26776.56499805257</v>
      </c>
      <c r="CX135" s="41">
        <f t="shared" si="55"/>
        <v>-1447.8840335320299</v>
      </c>
      <c r="CY135" s="41">
        <f t="shared" si="56"/>
        <v>-53.363938305571651</v>
      </c>
      <c r="CZ135" s="41">
        <f t="shared" si="57"/>
        <v>65.838639919554964</v>
      </c>
      <c r="DA135" s="41">
        <f t="shared" si="58"/>
        <v>-43.924954985189174</v>
      </c>
      <c r="DB135" s="41">
        <f t="shared" si="59"/>
        <v>13.330070550449534</v>
      </c>
      <c r="DC135" s="41">
        <f t="shared" si="60"/>
        <v>45.675538312219373</v>
      </c>
      <c r="DD135" s="41"/>
      <c r="DE135" s="283">
        <f t="shared" si="61"/>
        <v>-6.4406796943413447</v>
      </c>
      <c r="DF135" s="283">
        <f t="shared" si="62"/>
        <v>-0.93647853741472376</v>
      </c>
      <c r="DG135" s="283">
        <f t="shared" si="63"/>
        <v>-0.79717974416374426</v>
      </c>
      <c r="DH135" s="283">
        <f t="shared" si="64"/>
        <v>-0.14486351648117712</v>
      </c>
      <c r="DI135" s="283">
        <f t="shared" si="65"/>
        <v>0.20900494668427549</v>
      </c>
      <c r="DJ135" s="283">
        <f t="shared" si="66"/>
        <v>-0.1153344268058633</v>
      </c>
      <c r="DK135" s="283">
        <f t="shared" si="67"/>
        <v>3.9564069622846525E-2</v>
      </c>
      <c r="DL135" s="283">
        <f t="shared" si="68"/>
        <v>0.13040700577168818</v>
      </c>
    </row>
    <row r="136" spans="1:116" x14ac:dyDescent="0.2">
      <c r="A136" s="30">
        <v>407</v>
      </c>
      <c r="B136" s="31" t="s">
        <v>450</v>
      </c>
      <c r="C136" s="65"/>
      <c r="D136" s="65"/>
      <c r="E136" s="65"/>
      <c r="F136" s="65"/>
      <c r="G136" s="65"/>
      <c r="H136" s="65">
        <v>6589</v>
      </c>
      <c r="I136" s="65"/>
      <c r="J136" s="65"/>
      <c r="K136" s="65"/>
      <c r="L136" s="65"/>
      <c r="M136" s="65"/>
      <c r="N136" s="65">
        <v>6800</v>
      </c>
      <c r="O136" s="65"/>
      <c r="P136" s="65"/>
      <c r="Q136" s="65"/>
      <c r="R136" s="65"/>
      <c r="S136" s="65"/>
      <c r="T136" s="65">
        <v>6822</v>
      </c>
      <c r="U136" s="65"/>
      <c r="V136" s="65"/>
      <c r="W136" s="65"/>
      <c r="X136" s="65"/>
      <c r="Y136" s="65"/>
      <c r="Z136" s="65">
        <v>7226</v>
      </c>
      <c r="AA136" s="65"/>
      <c r="AB136" s="66">
        <v>7334.9339864059721</v>
      </c>
      <c r="AC136" s="34">
        <v>43.036319223514425</v>
      </c>
      <c r="AD136" s="180">
        <v>1555.3376657599388</v>
      </c>
      <c r="AE136" s="65">
        <v>360</v>
      </c>
      <c r="AF136" s="34">
        <v>-614.19799999999998</v>
      </c>
      <c r="AG136" s="65">
        <f t="shared" si="47"/>
        <v>8679.1099713894255</v>
      </c>
      <c r="AH136" s="65"/>
      <c r="AI136" s="66">
        <v>6950.0996505635412</v>
      </c>
      <c r="AJ136" s="34">
        <v>-33.329090065833327</v>
      </c>
      <c r="AK136" s="181">
        <v>1660.7210531347694</v>
      </c>
      <c r="AL136" s="65">
        <v>0</v>
      </c>
      <c r="AM136" s="34">
        <v>-644.02499999999998</v>
      </c>
      <c r="AN136" s="65">
        <f t="shared" si="48"/>
        <v>7933.4666136324777</v>
      </c>
      <c r="AO136" s="65"/>
      <c r="AP136" s="41">
        <v>7196.9108676481628</v>
      </c>
      <c r="AQ136" s="41">
        <v>-10.281887403429595</v>
      </c>
      <c r="AR136" s="41">
        <v>1912.731607525209</v>
      </c>
      <c r="AS136" s="65">
        <v>0</v>
      </c>
      <c r="AT136" s="34">
        <v>-597.05899999999997</v>
      </c>
      <c r="AU136" s="65">
        <f t="shared" si="49"/>
        <v>8502.3015877699436</v>
      </c>
      <c r="AV136" s="65"/>
      <c r="AW136" s="41">
        <v>2696.6136878672874</v>
      </c>
      <c r="AX136" s="314"/>
      <c r="AY136" s="314"/>
      <c r="AZ136" s="41">
        <v>646.59111122623403</v>
      </c>
      <c r="BA136" s="65">
        <v>0</v>
      </c>
      <c r="BB136" s="34">
        <v>-614.69200000000001</v>
      </c>
      <c r="BC136" s="65">
        <f t="shared" si="69"/>
        <v>2728.5127990935216</v>
      </c>
      <c r="BD136" s="65"/>
      <c r="BE136" s="41">
        <v>2482.4528439292581</v>
      </c>
      <c r="BF136" s="314"/>
      <c r="BG136" s="314"/>
      <c r="BH136" s="41">
        <v>631.40569131634754</v>
      </c>
      <c r="BI136" s="65">
        <v>0</v>
      </c>
      <c r="BJ136" s="34">
        <v>-448.18299999999999</v>
      </c>
      <c r="BK136" s="65">
        <f t="shared" si="70"/>
        <v>2665.6755352456057</v>
      </c>
      <c r="BL136" s="65"/>
      <c r="BM136" s="41">
        <v>2387.2604032874156</v>
      </c>
      <c r="BN136" s="41">
        <v>460.87058667033619</v>
      </c>
      <c r="BO136" s="65">
        <v>0</v>
      </c>
      <c r="BP136" s="34">
        <v>-448.18299999999999</v>
      </c>
      <c r="BQ136" s="65">
        <f t="shared" si="50"/>
        <v>2399.9479899577518</v>
      </c>
      <c r="BR136" s="65"/>
      <c r="BS136" s="41">
        <v>2502.5645160345562</v>
      </c>
      <c r="BT136" s="314"/>
      <c r="BU136" s="314"/>
      <c r="BV136" s="41">
        <v>487.19022770037952</v>
      </c>
      <c r="BW136" s="65">
        <v>0</v>
      </c>
      <c r="BX136" s="34">
        <v>-448.18299999999999</v>
      </c>
      <c r="BY136" s="65">
        <f t="shared" si="71"/>
        <v>2541.5717437349358</v>
      </c>
      <c r="CA136" s="5">
        <v>2546.8592642501126</v>
      </c>
      <c r="CB136" s="407">
        <v>513.76787688052593</v>
      </c>
      <c r="CC136" s="415">
        <v>0</v>
      </c>
      <c r="CD136" s="34">
        <v>-448.18299999999999</v>
      </c>
      <c r="CE136" s="65">
        <f t="shared" si="51"/>
        <v>2612.4441411306384</v>
      </c>
      <c r="CF136" s="407"/>
      <c r="CG136" s="5">
        <v>2733.2844759045574</v>
      </c>
      <c r="CH136" s="407">
        <v>537.14075028889738</v>
      </c>
      <c r="CI136" s="415">
        <v>0</v>
      </c>
      <c r="CJ136" s="34">
        <v>-448.18299999999999</v>
      </c>
      <c r="CK136" s="65">
        <f t="shared" si="52"/>
        <v>2822.2422261934548</v>
      </c>
      <c r="CL136" s="407"/>
      <c r="CM136" s="41">
        <f>AU136/'1. Väestöennuste'!L136*1000</f>
        <v>3376.6090499483494</v>
      </c>
      <c r="CN136" s="41">
        <f>BC136/'1. Väestöennuste'!M136*1000</f>
        <v>1114.1334418511726</v>
      </c>
      <c r="CO136" s="41">
        <f>BK136/'1. Väestöennuste'!N136*1000</f>
        <v>1054.877536701862</v>
      </c>
      <c r="CP136" s="41">
        <f>BQ136/'1. Väestöennuste'!O136*1000</f>
        <v>956.91706138666348</v>
      </c>
      <c r="CQ136" s="41">
        <f>BY136/'1. Väestöennuste'!P136*1000</f>
        <v>1020.3017839160722</v>
      </c>
      <c r="CR136" s="41">
        <f>CE136/'1. Väestöennuste'!Q136*1000</f>
        <v>1055.9596366736614</v>
      </c>
      <c r="CS136" s="41">
        <f>CK136/'1. Väestöennuste'!R136*1000</f>
        <v>1148.1864223732525</v>
      </c>
      <c r="CT136" s="41"/>
      <c r="CV136" s="41">
        <f t="shared" si="53"/>
        <v>3270.4252261934548</v>
      </c>
      <c r="CW136" s="41">
        <f t="shared" si="54"/>
        <v>554.36682375489454</v>
      </c>
      <c r="CX136" s="41">
        <f t="shared" si="55"/>
        <v>-2262.4756080971765</v>
      </c>
      <c r="CY136" s="41">
        <f t="shared" si="56"/>
        <v>-59.255905149310593</v>
      </c>
      <c r="CZ136" s="41">
        <f t="shared" si="57"/>
        <v>-97.960475315198551</v>
      </c>
      <c r="DA136" s="41">
        <f t="shared" si="58"/>
        <v>63.384722529408691</v>
      </c>
      <c r="DB136" s="41">
        <f t="shared" si="59"/>
        <v>35.657852757589239</v>
      </c>
      <c r="DC136" s="41">
        <f t="shared" si="60"/>
        <v>92.226785699591119</v>
      </c>
      <c r="DD136" s="41"/>
      <c r="DE136" s="283">
        <f t="shared" si="61"/>
        <v>-7.2970755833966372</v>
      </c>
      <c r="DF136" s="283">
        <f t="shared" si="62"/>
        <v>0.19642779723503953</v>
      </c>
      <c r="DG136" s="283">
        <f t="shared" si="63"/>
        <v>-0.6700436960955799</v>
      </c>
      <c r="DH136" s="283">
        <f t="shared" si="64"/>
        <v>-5.3185644486942948E-2</v>
      </c>
      <c r="DI136" s="283">
        <f t="shared" si="65"/>
        <v>-9.2864310696650021E-2</v>
      </c>
      <c r="DJ136" s="283">
        <f t="shared" si="66"/>
        <v>6.6238470487252288E-2</v>
      </c>
      <c r="DK136" s="283">
        <f t="shared" si="67"/>
        <v>3.4948339128379274E-2</v>
      </c>
      <c r="DL136" s="283">
        <f t="shared" si="68"/>
        <v>8.7339309663493611E-2</v>
      </c>
    </row>
    <row r="137" spans="1:116" x14ac:dyDescent="0.2">
      <c r="A137" s="30">
        <v>408</v>
      </c>
      <c r="B137" s="31" t="s">
        <v>451</v>
      </c>
      <c r="C137" s="65"/>
      <c r="D137" s="65"/>
      <c r="E137" s="65"/>
      <c r="F137" s="65"/>
      <c r="G137" s="65"/>
      <c r="H137" s="65">
        <v>36777</v>
      </c>
      <c r="I137" s="65"/>
      <c r="J137" s="65"/>
      <c r="K137" s="65"/>
      <c r="L137" s="65"/>
      <c r="M137" s="65"/>
      <c r="N137" s="65">
        <v>36481</v>
      </c>
      <c r="O137" s="65"/>
      <c r="P137" s="65"/>
      <c r="Q137" s="65"/>
      <c r="R137" s="65"/>
      <c r="S137" s="65"/>
      <c r="T137" s="65">
        <v>35853</v>
      </c>
      <c r="U137" s="65"/>
      <c r="V137" s="65"/>
      <c r="W137" s="65"/>
      <c r="X137" s="65"/>
      <c r="Y137" s="65"/>
      <c r="Z137" s="65">
        <v>36810</v>
      </c>
      <c r="AA137" s="65"/>
      <c r="AB137" s="66">
        <v>35848.549913560288</v>
      </c>
      <c r="AC137" s="34">
        <v>245.21784908213937</v>
      </c>
      <c r="AD137" s="180">
        <v>6937.9807481085663</v>
      </c>
      <c r="AE137" s="65">
        <v>0</v>
      </c>
      <c r="AF137" s="34">
        <v>-351.005</v>
      </c>
      <c r="AG137" s="65">
        <f t="shared" si="47"/>
        <v>42680.743510750995</v>
      </c>
      <c r="AH137" s="65"/>
      <c r="AI137" s="66">
        <v>34258.870490293833</v>
      </c>
      <c r="AJ137" s="34">
        <v>-190.77735821784748</v>
      </c>
      <c r="AK137" s="181">
        <v>7433.3297111213569</v>
      </c>
      <c r="AL137" s="65">
        <v>0</v>
      </c>
      <c r="AM137" s="34">
        <v>-282.34399999999999</v>
      </c>
      <c r="AN137" s="65">
        <f t="shared" si="48"/>
        <v>41219.078843197341</v>
      </c>
      <c r="AO137" s="65"/>
      <c r="AP137" s="41">
        <v>35061.108631456598</v>
      </c>
      <c r="AQ137" s="41">
        <v>-59.045653777652845</v>
      </c>
      <c r="AR137" s="41">
        <v>8491.1019244900999</v>
      </c>
      <c r="AS137" s="65">
        <v>0</v>
      </c>
      <c r="AT137" s="34">
        <v>149.40100000000001</v>
      </c>
      <c r="AU137" s="65">
        <f t="shared" si="49"/>
        <v>43642.565902169037</v>
      </c>
      <c r="AV137" s="65"/>
      <c r="AW137" s="41">
        <v>13535.702589823048</v>
      </c>
      <c r="AX137" s="314"/>
      <c r="AY137" s="314"/>
      <c r="AZ137" s="41">
        <v>2563.5586301105163</v>
      </c>
      <c r="BA137" s="65">
        <v>0</v>
      </c>
      <c r="BB137" s="34">
        <v>-3.4609999999999999</v>
      </c>
      <c r="BC137" s="65">
        <f t="shared" si="69"/>
        <v>16095.800219933564</v>
      </c>
      <c r="BD137" s="65"/>
      <c r="BE137" s="41">
        <v>11191.641854389063</v>
      </c>
      <c r="BF137" s="314"/>
      <c r="BG137" s="314"/>
      <c r="BH137" s="41">
        <v>2549.9231475273518</v>
      </c>
      <c r="BI137" s="65">
        <v>0</v>
      </c>
      <c r="BJ137" s="34">
        <v>147.68199999999999</v>
      </c>
      <c r="BK137" s="65">
        <f t="shared" si="70"/>
        <v>13889.247001916416</v>
      </c>
      <c r="BL137" s="65"/>
      <c r="BM137" s="41">
        <v>12723.223602034186</v>
      </c>
      <c r="BN137" s="41">
        <v>1538.107582356175</v>
      </c>
      <c r="BO137" s="65">
        <v>0</v>
      </c>
      <c r="BP137" s="34">
        <v>147.68199999999999</v>
      </c>
      <c r="BQ137" s="65">
        <f t="shared" si="50"/>
        <v>14409.013184390362</v>
      </c>
      <c r="BR137" s="65"/>
      <c r="BS137" s="41">
        <v>13266.818505207812</v>
      </c>
      <c r="BT137" s="314"/>
      <c r="BU137" s="314"/>
      <c r="BV137" s="41">
        <v>1657.024438222375</v>
      </c>
      <c r="BW137" s="65">
        <v>0</v>
      </c>
      <c r="BX137" s="34">
        <v>147.68199999999999</v>
      </c>
      <c r="BY137" s="65">
        <f t="shared" si="71"/>
        <v>15071.524943430188</v>
      </c>
      <c r="CA137" s="5">
        <v>13203.21389879657</v>
      </c>
      <c r="CB137" s="407">
        <v>1782.3085533749445</v>
      </c>
      <c r="CC137" s="415">
        <v>0</v>
      </c>
      <c r="CD137" s="34">
        <v>147.68199999999999</v>
      </c>
      <c r="CE137" s="65">
        <f t="shared" si="51"/>
        <v>15133.204452171514</v>
      </c>
      <c r="CF137" s="407"/>
      <c r="CG137" s="5">
        <v>14412.451642743539</v>
      </c>
      <c r="CH137" s="407">
        <v>1890.3851625038301</v>
      </c>
      <c r="CI137" s="415">
        <v>0</v>
      </c>
      <c r="CJ137" s="34">
        <v>147.68199999999999</v>
      </c>
      <c r="CK137" s="65">
        <f t="shared" si="52"/>
        <v>16450.518805247368</v>
      </c>
      <c r="CL137" s="407"/>
      <c r="CM137" s="41">
        <f>AU137/'1. Väestöennuste'!L137*1000</f>
        <v>3095.4369744073365</v>
      </c>
      <c r="CN137" s="41">
        <f>BC137/'1. Väestöennuste'!M137*1000</f>
        <v>1147.7324743249833</v>
      </c>
      <c r="CO137" s="41">
        <f>BK137/'1. Väestöennuste'!N137*1000</f>
        <v>1000.8104195068752</v>
      </c>
      <c r="CP137" s="41">
        <f>BQ137/'1. Väestöennuste'!O137*1000</f>
        <v>1045.115919662752</v>
      </c>
      <c r="CQ137" s="41">
        <f>BY137/'1. Väestöennuste'!P137*1000</f>
        <v>1100.1113097394298</v>
      </c>
      <c r="CR137" s="41">
        <f>CE137/'1. Väestöennuste'!Q137*1000</f>
        <v>1112.0814559208932</v>
      </c>
      <c r="CS137" s="41">
        <f>CK137/'1. Väestöennuste'!R137*1000</f>
        <v>1216.9343693776718</v>
      </c>
      <c r="CT137" s="41"/>
      <c r="CV137" s="41">
        <f t="shared" si="53"/>
        <v>16302.836805247367</v>
      </c>
      <c r="CW137" s="41">
        <f t="shared" si="54"/>
        <v>-13355.08183084003</v>
      </c>
      <c r="CX137" s="41">
        <f t="shared" si="55"/>
        <v>-1947.7045000823532</v>
      </c>
      <c r="CY137" s="41">
        <f t="shared" si="56"/>
        <v>-146.92205481810811</v>
      </c>
      <c r="CZ137" s="41">
        <f t="shared" si="57"/>
        <v>44.305500155876871</v>
      </c>
      <c r="DA137" s="41">
        <f t="shared" si="58"/>
        <v>54.995390076677722</v>
      </c>
      <c r="DB137" s="41">
        <f t="shared" si="59"/>
        <v>11.970146181463406</v>
      </c>
      <c r="DC137" s="41">
        <f t="shared" si="60"/>
        <v>104.85291345677865</v>
      </c>
      <c r="DD137" s="41"/>
      <c r="DE137" s="283">
        <f t="shared" si="61"/>
        <v>110.39149527530348</v>
      </c>
      <c r="DF137" s="283">
        <f t="shared" si="62"/>
        <v>-0.81183347400448191</v>
      </c>
      <c r="DG137" s="283">
        <f t="shared" si="63"/>
        <v>-0.62921794763896544</v>
      </c>
      <c r="DH137" s="283">
        <f t="shared" si="64"/>
        <v>-0.12801071513160545</v>
      </c>
      <c r="DI137" s="283">
        <f t="shared" si="65"/>
        <v>4.4269623189681938E-2</v>
      </c>
      <c r="DJ137" s="283">
        <f t="shared" si="66"/>
        <v>5.2621330363453039E-2</v>
      </c>
      <c r="DK137" s="283">
        <f t="shared" si="67"/>
        <v>1.0880850033528545E-2</v>
      </c>
      <c r="DL137" s="283">
        <f t="shared" si="68"/>
        <v>9.42852818006501E-2</v>
      </c>
    </row>
    <row r="138" spans="1:116" x14ac:dyDescent="0.2">
      <c r="A138" s="30">
        <v>410</v>
      </c>
      <c r="B138" s="31" t="s">
        <v>452</v>
      </c>
      <c r="C138" s="65"/>
      <c r="D138" s="65"/>
      <c r="E138" s="65"/>
      <c r="F138" s="65"/>
      <c r="G138" s="65"/>
      <c r="H138" s="65">
        <v>36145</v>
      </c>
      <c r="I138" s="65"/>
      <c r="J138" s="65"/>
      <c r="K138" s="65"/>
      <c r="L138" s="65"/>
      <c r="M138" s="65"/>
      <c r="N138" s="65">
        <v>37252</v>
      </c>
      <c r="O138" s="65"/>
      <c r="P138" s="65"/>
      <c r="Q138" s="65"/>
      <c r="R138" s="65"/>
      <c r="S138" s="65"/>
      <c r="T138" s="65">
        <v>36587</v>
      </c>
      <c r="U138" s="65"/>
      <c r="V138" s="65"/>
      <c r="W138" s="65"/>
      <c r="X138" s="65"/>
      <c r="Y138" s="65"/>
      <c r="Z138" s="65">
        <v>38055</v>
      </c>
      <c r="AA138" s="65"/>
      <c r="AB138" s="66">
        <v>40910.06614491895</v>
      </c>
      <c r="AC138" s="34">
        <v>342.70477468664967</v>
      </c>
      <c r="AD138" s="180">
        <v>7260.793303357962</v>
      </c>
      <c r="AE138" s="65">
        <v>0</v>
      </c>
      <c r="AF138" s="34">
        <v>-2047.258</v>
      </c>
      <c r="AG138" s="65">
        <f t="shared" si="47"/>
        <v>46466.306222963562</v>
      </c>
      <c r="AH138" s="65"/>
      <c r="AI138" s="66">
        <v>37346.358576169645</v>
      </c>
      <c r="AJ138" s="34">
        <v>-266.91456904606878</v>
      </c>
      <c r="AK138" s="181">
        <v>7833.3035713624195</v>
      </c>
      <c r="AL138" s="65">
        <v>0</v>
      </c>
      <c r="AM138" s="34">
        <v>-2175.2779999999998</v>
      </c>
      <c r="AN138" s="65">
        <f t="shared" si="48"/>
        <v>42737.469578485994</v>
      </c>
      <c r="AO138" s="65"/>
      <c r="AP138" s="41">
        <v>38792.287275181603</v>
      </c>
      <c r="AQ138" s="41">
        <v>-82.613936288354338</v>
      </c>
      <c r="AR138" s="41">
        <v>9067.0594564590247</v>
      </c>
      <c r="AS138" s="65">
        <v>1000</v>
      </c>
      <c r="AT138" s="34">
        <v>-1273.9010000000001</v>
      </c>
      <c r="AU138" s="65">
        <f t="shared" si="49"/>
        <v>47502.831795352278</v>
      </c>
      <c r="AV138" s="65"/>
      <c r="AW138" s="41">
        <v>19037.250339779941</v>
      </c>
      <c r="AX138" s="314"/>
      <c r="AY138" s="314"/>
      <c r="AZ138" s="41">
        <v>2687.9075440148945</v>
      </c>
      <c r="BA138" s="65">
        <v>400</v>
      </c>
      <c r="BB138" s="34">
        <v>-1471.414</v>
      </c>
      <c r="BC138" s="65">
        <f t="shared" si="69"/>
        <v>20653.743883794836</v>
      </c>
      <c r="BD138" s="65"/>
      <c r="BE138" s="41">
        <v>14229.025245573561</v>
      </c>
      <c r="BF138" s="314"/>
      <c r="BG138" s="314"/>
      <c r="BH138" s="41">
        <v>2612.7288128052255</v>
      </c>
      <c r="BI138" s="65">
        <v>0</v>
      </c>
      <c r="BJ138" s="34">
        <v>-1267.51</v>
      </c>
      <c r="BK138" s="65">
        <f t="shared" si="70"/>
        <v>15574.244058378785</v>
      </c>
      <c r="BL138" s="65"/>
      <c r="BM138" s="41">
        <v>18001.116442575443</v>
      </c>
      <c r="BN138" s="41">
        <v>1176.1149960037828</v>
      </c>
      <c r="BO138" s="65">
        <v>0</v>
      </c>
      <c r="BP138" s="34">
        <v>-1267.51</v>
      </c>
      <c r="BQ138" s="65">
        <f t="shared" si="50"/>
        <v>17909.721438579229</v>
      </c>
      <c r="BR138" s="65"/>
      <c r="BS138" s="41">
        <v>18262.859126592935</v>
      </c>
      <c r="BT138" s="314"/>
      <c r="BU138" s="314"/>
      <c r="BV138" s="41">
        <v>1303.393177787824</v>
      </c>
      <c r="BW138" s="65">
        <v>0</v>
      </c>
      <c r="BX138" s="34">
        <v>-1267.51</v>
      </c>
      <c r="BY138" s="65">
        <f t="shared" si="71"/>
        <v>18298.742304380761</v>
      </c>
      <c r="CA138" s="5">
        <v>18693.32951696188</v>
      </c>
      <c r="CB138" s="407">
        <v>1451.805930069075</v>
      </c>
      <c r="CC138" s="415">
        <v>0</v>
      </c>
      <c r="CD138" s="34">
        <v>-1267.51</v>
      </c>
      <c r="CE138" s="65">
        <f t="shared" si="51"/>
        <v>18877.625447030958</v>
      </c>
      <c r="CF138" s="407"/>
      <c r="CG138" s="5">
        <v>19770.072291895398</v>
      </c>
      <c r="CH138" s="407">
        <v>1575.3987168950548</v>
      </c>
      <c r="CI138" s="415">
        <v>0</v>
      </c>
      <c r="CJ138" s="34">
        <v>-1267.51</v>
      </c>
      <c r="CK138" s="65">
        <f t="shared" si="52"/>
        <v>20077.961008790455</v>
      </c>
      <c r="CL138" s="407"/>
      <c r="CM138" s="41">
        <f>AU138/'1. Väestöennuste'!L138*1000</f>
        <v>2530.110881243796</v>
      </c>
      <c r="CN138" s="41">
        <f>BC138/'1. Väestöennuste'!M138*1000</f>
        <v>1100.8284769105019</v>
      </c>
      <c r="CO138" s="41">
        <f>BK138/'1. Väestöennuste'!N138*1000</f>
        <v>830.75927126360409</v>
      </c>
      <c r="CP138" s="41">
        <f>BQ138/'1. Väestöennuste'!O138*1000</f>
        <v>957.07376896164317</v>
      </c>
      <c r="CQ138" s="41">
        <f>BY138/'1. Väestöennuste'!P138*1000</f>
        <v>979.90480370465684</v>
      </c>
      <c r="CR138" s="41">
        <f>CE138/'1. Väestöennuste'!Q138*1000</f>
        <v>1013.0742431593301</v>
      </c>
      <c r="CS138" s="41">
        <f>CK138/'1. Väestöennuste'!R138*1000</f>
        <v>1080.0409364599493</v>
      </c>
      <c r="CT138" s="41"/>
      <c r="CV138" s="41">
        <f t="shared" si="53"/>
        <v>21345.471008790453</v>
      </c>
      <c r="CW138" s="41">
        <f t="shared" si="54"/>
        <v>-17547.850127546659</v>
      </c>
      <c r="CX138" s="41">
        <f t="shared" si="55"/>
        <v>-1429.2824043332942</v>
      </c>
      <c r="CY138" s="41">
        <f t="shared" si="56"/>
        <v>-270.06920564689779</v>
      </c>
      <c r="CZ138" s="41">
        <f t="shared" si="57"/>
        <v>126.31449769803908</v>
      </c>
      <c r="DA138" s="41">
        <f t="shared" si="58"/>
        <v>22.831034743013674</v>
      </c>
      <c r="DB138" s="41">
        <f t="shared" si="59"/>
        <v>33.169439454673238</v>
      </c>
      <c r="DC138" s="41">
        <f t="shared" si="60"/>
        <v>66.966693300619227</v>
      </c>
      <c r="DD138" s="41"/>
      <c r="DE138" s="283">
        <f t="shared" si="61"/>
        <v>-16.84047542724748</v>
      </c>
      <c r="DF138" s="283">
        <f t="shared" si="62"/>
        <v>-0.87398566616719331</v>
      </c>
      <c r="DG138" s="283">
        <f t="shared" si="63"/>
        <v>-0.56490899862485966</v>
      </c>
      <c r="DH138" s="283">
        <f t="shared" si="64"/>
        <v>-0.245332684711112</v>
      </c>
      <c r="DI138" s="283">
        <f t="shared" si="65"/>
        <v>0.15204705149532885</v>
      </c>
      <c r="DJ138" s="283">
        <f t="shared" si="66"/>
        <v>2.3855041777797046E-2</v>
      </c>
      <c r="DK138" s="283">
        <f t="shared" si="67"/>
        <v>3.3849654914714047E-2</v>
      </c>
      <c r="DL138" s="283">
        <f t="shared" si="68"/>
        <v>6.6102453746903836E-2</v>
      </c>
    </row>
    <row r="139" spans="1:116" x14ac:dyDescent="0.2">
      <c r="A139" s="30">
        <v>416</v>
      </c>
      <c r="B139" s="31" t="s">
        <v>453</v>
      </c>
      <c r="C139" s="65"/>
      <c r="D139" s="65"/>
      <c r="E139" s="65"/>
      <c r="F139" s="65"/>
      <c r="G139" s="65"/>
      <c r="H139" s="65">
        <v>6190</v>
      </c>
      <c r="I139" s="65"/>
      <c r="J139" s="65"/>
      <c r="K139" s="65"/>
      <c r="L139" s="65"/>
      <c r="M139" s="65"/>
      <c r="N139" s="65">
        <v>6011</v>
      </c>
      <c r="O139" s="65"/>
      <c r="P139" s="65"/>
      <c r="Q139" s="65"/>
      <c r="R139" s="65"/>
      <c r="S139" s="65"/>
      <c r="T139" s="65">
        <v>6230</v>
      </c>
      <c r="U139" s="65"/>
      <c r="V139" s="65"/>
      <c r="W139" s="65"/>
      <c r="X139" s="65"/>
      <c r="Y139" s="65"/>
      <c r="Z139" s="65">
        <v>6728</v>
      </c>
      <c r="AA139" s="65"/>
      <c r="AB139" s="66">
        <v>6683.3707551889411</v>
      </c>
      <c r="AC139" s="34">
        <v>54.812360676496937</v>
      </c>
      <c r="AD139" s="180">
        <v>1402.8595919232141</v>
      </c>
      <c r="AE139" s="65">
        <v>410</v>
      </c>
      <c r="AF139" s="34">
        <v>-630.34799999999996</v>
      </c>
      <c r="AG139" s="65">
        <f t="shared" si="47"/>
        <v>7920.6947077886525</v>
      </c>
      <c r="AH139" s="65"/>
      <c r="AI139" s="66">
        <v>5943.5761242965646</v>
      </c>
      <c r="AJ139" s="34">
        <v>-42.696178396973792</v>
      </c>
      <c r="AK139" s="181">
        <v>1504.1420308066613</v>
      </c>
      <c r="AL139" s="65">
        <v>0</v>
      </c>
      <c r="AM139" s="34">
        <v>-757.16399999999999</v>
      </c>
      <c r="AN139" s="65">
        <f t="shared" si="48"/>
        <v>6647.857976706252</v>
      </c>
      <c r="AO139" s="65"/>
      <c r="AP139" s="41">
        <v>6136.2412950158541</v>
      </c>
      <c r="AQ139" s="41">
        <v>-13.21034468542444</v>
      </c>
      <c r="AR139" s="41">
        <v>1742.9238821898634</v>
      </c>
      <c r="AS139" s="65">
        <v>0</v>
      </c>
      <c r="AT139" s="34">
        <v>-621.06299999999999</v>
      </c>
      <c r="AU139" s="65">
        <f t="shared" si="49"/>
        <v>7244.8918325202931</v>
      </c>
      <c r="AV139" s="65"/>
      <c r="AW139" s="41">
        <v>1728.7757532556295</v>
      </c>
      <c r="AX139" s="314"/>
      <c r="AY139" s="314"/>
      <c r="AZ139" s="41">
        <v>519.3399694234455</v>
      </c>
      <c r="BA139" s="65">
        <v>350</v>
      </c>
      <c r="BB139" s="34">
        <v>-616.14200000000005</v>
      </c>
      <c r="BC139" s="65">
        <f t="shared" si="69"/>
        <v>1981.9737226790751</v>
      </c>
      <c r="BD139" s="65"/>
      <c r="BE139" s="41">
        <v>1591.8641944212495</v>
      </c>
      <c r="BF139" s="314"/>
      <c r="BG139" s="314"/>
      <c r="BH139" s="41">
        <v>503.95463766664375</v>
      </c>
      <c r="BI139" s="65">
        <v>0</v>
      </c>
      <c r="BJ139" s="34">
        <v>-698.98</v>
      </c>
      <c r="BK139" s="65">
        <f t="shared" si="70"/>
        <v>1396.8388320878935</v>
      </c>
      <c r="BL139" s="65"/>
      <c r="BM139" s="41">
        <v>1856.1099628616068</v>
      </c>
      <c r="BN139" s="41">
        <v>276.04149974888048</v>
      </c>
      <c r="BO139" s="65">
        <v>0</v>
      </c>
      <c r="BP139" s="34">
        <v>-698.98</v>
      </c>
      <c r="BQ139" s="65">
        <f t="shared" si="50"/>
        <v>1433.1714626104872</v>
      </c>
      <c r="BR139" s="65"/>
      <c r="BS139" s="41">
        <v>1961.2377817907391</v>
      </c>
      <c r="BT139" s="314"/>
      <c r="BU139" s="314"/>
      <c r="BV139" s="41">
        <v>300.45304855994306</v>
      </c>
      <c r="BW139" s="65">
        <v>0</v>
      </c>
      <c r="BX139" s="34">
        <v>-698.98</v>
      </c>
      <c r="BY139" s="65">
        <f t="shared" si="71"/>
        <v>1562.710830350682</v>
      </c>
      <c r="CA139" s="5">
        <v>2041.2078317009339</v>
      </c>
      <c r="CB139" s="407">
        <v>327.47652889015683</v>
      </c>
      <c r="CC139" s="415">
        <v>0</v>
      </c>
      <c r="CD139" s="34">
        <v>-698.98</v>
      </c>
      <c r="CE139" s="65">
        <f t="shared" si="51"/>
        <v>1669.7043605910908</v>
      </c>
      <c r="CF139" s="407"/>
      <c r="CG139" s="5">
        <v>2232.6687846951913</v>
      </c>
      <c r="CH139" s="407">
        <v>350.74329250895664</v>
      </c>
      <c r="CI139" s="415">
        <v>0</v>
      </c>
      <c r="CJ139" s="34">
        <v>-698.98</v>
      </c>
      <c r="CK139" s="65">
        <f t="shared" si="52"/>
        <v>1884.4320772041478</v>
      </c>
      <c r="CL139" s="407"/>
      <c r="CM139" s="41">
        <f>AU139/'1. Väestöennuste'!L139*1000</f>
        <v>2510.3575303258117</v>
      </c>
      <c r="CN139" s="41">
        <f>BC139/'1. Väestöennuste'!M139*1000</f>
        <v>692.5135299367837</v>
      </c>
      <c r="CO139" s="41">
        <f>BK139/'1. Väestöennuste'!N139*1000</f>
        <v>484.34078782520578</v>
      </c>
      <c r="CP139" s="41">
        <f>BQ139/'1. Väestöennuste'!O139*1000</f>
        <v>500.05982645167035</v>
      </c>
      <c r="CQ139" s="41">
        <f>BY139/'1. Väestöennuste'!P139*1000</f>
        <v>549.09024256875682</v>
      </c>
      <c r="CR139" s="41">
        <f>CE139/'1. Väestöennuste'!Q139*1000</f>
        <v>591.25508519514551</v>
      </c>
      <c r="CS139" s="41">
        <f>CK139/'1. Väestöennuste'!R139*1000</f>
        <v>672.53107680376445</v>
      </c>
      <c r="CT139" s="41"/>
      <c r="CV139" s="41">
        <f t="shared" si="53"/>
        <v>2583.4120772041479</v>
      </c>
      <c r="CW139" s="41">
        <f t="shared" si="54"/>
        <v>625.92545312166385</v>
      </c>
      <c r="CX139" s="41">
        <f t="shared" si="55"/>
        <v>-1817.844000389028</v>
      </c>
      <c r="CY139" s="41">
        <f t="shared" si="56"/>
        <v>-208.17274211157792</v>
      </c>
      <c r="CZ139" s="41">
        <f t="shared" si="57"/>
        <v>15.719038626464567</v>
      </c>
      <c r="DA139" s="41">
        <f t="shared" si="58"/>
        <v>49.030416117086475</v>
      </c>
      <c r="DB139" s="41">
        <f t="shared" si="59"/>
        <v>42.16484262638869</v>
      </c>
      <c r="DC139" s="41">
        <f t="shared" si="60"/>
        <v>81.275991608618938</v>
      </c>
      <c r="DD139" s="41"/>
      <c r="DE139" s="283">
        <f t="shared" si="61"/>
        <v>-3.6959742441903169</v>
      </c>
      <c r="DF139" s="283">
        <f t="shared" si="62"/>
        <v>0.33215601702679726</v>
      </c>
      <c r="DG139" s="283">
        <f t="shared" si="63"/>
        <v>-0.72413748975154768</v>
      </c>
      <c r="DH139" s="283">
        <f t="shared" si="64"/>
        <v>-0.30060458476613594</v>
      </c>
      <c r="DI139" s="283">
        <f t="shared" si="65"/>
        <v>3.2454501090123815E-2</v>
      </c>
      <c r="DJ139" s="283">
        <f t="shared" si="66"/>
        <v>9.8049100374643178E-2</v>
      </c>
      <c r="DK139" s="283">
        <f t="shared" si="67"/>
        <v>7.6790369519467161E-2</v>
      </c>
      <c r="DL139" s="283">
        <f t="shared" si="68"/>
        <v>0.1374634969639095</v>
      </c>
    </row>
    <row r="140" spans="1:116" x14ac:dyDescent="0.2">
      <c r="A140" s="30">
        <v>418</v>
      </c>
      <c r="B140" s="31" t="s">
        <v>454</v>
      </c>
      <c r="C140" s="65"/>
      <c r="D140" s="65"/>
      <c r="E140" s="65"/>
      <c r="F140" s="65"/>
      <c r="G140" s="65"/>
      <c r="H140" s="65">
        <v>26429</v>
      </c>
      <c r="I140" s="65"/>
      <c r="J140" s="65"/>
      <c r="K140" s="65"/>
      <c r="L140" s="65"/>
      <c r="M140" s="65"/>
      <c r="N140" s="65">
        <v>23179</v>
      </c>
      <c r="O140" s="65"/>
      <c r="P140" s="65"/>
      <c r="Q140" s="65"/>
      <c r="R140" s="65"/>
      <c r="S140" s="65"/>
      <c r="T140" s="65">
        <v>22293</v>
      </c>
      <c r="U140" s="65"/>
      <c r="V140" s="65"/>
      <c r="W140" s="65"/>
      <c r="X140" s="65"/>
      <c r="Y140" s="65"/>
      <c r="Z140" s="65">
        <v>23652</v>
      </c>
      <c r="AA140" s="65"/>
      <c r="AB140" s="66">
        <v>27710.685892685236</v>
      </c>
      <c r="AC140" s="34">
        <v>483.71979450581443</v>
      </c>
      <c r="AD140" s="180">
        <v>7506.4530946808027</v>
      </c>
      <c r="AE140" s="65">
        <v>0</v>
      </c>
      <c r="AF140" s="34">
        <v>-2293.759</v>
      </c>
      <c r="AG140" s="65">
        <f t="shared" si="47"/>
        <v>33407.099781871853</v>
      </c>
      <c r="AH140" s="65"/>
      <c r="AI140" s="66">
        <v>23310.696119667115</v>
      </c>
      <c r="AJ140" s="34">
        <v>-376.13458970495805</v>
      </c>
      <c r="AK140" s="181">
        <v>8134.2851958563861</v>
      </c>
      <c r="AL140" s="65">
        <v>0</v>
      </c>
      <c r="AM140" s="34">
        <v>-2587.3539999999998</v>
      </c>
      <c r="AN140" s="65">
        <f t="shared" si="48"/>
        <v>28481.492725818542</v>
      </c>
      <c r="AO140" s="65"/>
      <c r="AP140" s="41">
        <v>24300.484652439507</v>
      </c>
      <c r="AQ140" s="41">
        <v>-116.38425810655633</v>
      </c>
      <c r="AR140" s="41">
        <v>9452.4041237969941</v>
      </c>
      <c r="AS140" s="65">
        <v>0</v>
      </c>
      <c r="AT140" s="34">
        <v>-2245.0540000000001</v>
      </c>
      <c r="AU140" s="65">
        <f t="shared" si="49"/>
        <v>31391.45051812995</v>
      </c>
      <c r="AV140" s="65"/>
      <c r="AW140" s="41">
        <v>21798.11133598163</v>
      </c>
      <c r="AX140" s="314"/>
      <c r="AY140" s="314"/>
      <c r="AZ140" s="41">
        <v>2849.1891177563275</v>
      </c>
      <c r="BA140" s="65">
        <v>0</v>
      </c>
      <c r="BB140" s="34">
        <v>-2491.9470000000001</v>
      </c>
      <c r="BC140" s="65">
        <f t="shared" si="69"/>
        <v>22155.353453737956</v>
      </c>
      <c r="BD140" s="65"/>
      <c r="BE140" s="41">
        <v>19060.002532335322</v>
      </c>
      <c r="BF140" s="314"/>
      <c r="BG140" s="314"/>
      <c r="BH140" s="41">
        <v>2798.4428051829609</v>
      </c>
      <c r="BI140" s="65">
        <v>0</v>
      </c>
      <c r="BJ140" s="34">
        <v>-2494.0050000000001</v>
      </c>
      <c r="BK140" s="65">
        <f t="shared" si="70"/>
        <v>19364.440337518281</v>
      </c>
      <c r="BL140" s="65"/>
      <c r="BM140" s="41">
        <v>20739.337683796322</v>
      </c>
      <c r="BN140" s="41">
        <v>1315.5808930075295</v>
      </c>
      <c r="BO140" s="65">
        <v>0</v>
      </c>
      <c r="BP140" s="34">
        <v>-2494.0050000000001</v>
      </c>
      <c r="BQ140" s="65">
        <f t="shared" si="50"/>
        <v>19560.91357680385</v>
      </c>
      <c r="BR140" s="65"/>
      <c r="BS140" s="41">
        <v>22226.760142968582</v>
      </c>
      <c r="BT140" s="314"/>
      <c r="BU140" s="314"/>
      <c r="BV140" s="41">
        <v>1420.3183212409044</v>
      </c>
      <c r="BW140" s="65">
        <v>0</v>
      </c>
      <c r="BX140" s="34">
        <v>-2494.0050000000001</v>
      </c>
      <c r="BY140" s="65">
        <f t="shared" si="71"/>
        <v>21153.073464209487</v>
      </c>
      <c r="CA140" s="5">
        <v>22396.265164125416</v>
      </c>
      <c r="CB140" s="407">
        <v>1583.5603119191298</v>
      </c>
      <c r="CC140" s="415">
        <v>0</v>
      </c>
      <c r="CD140" s="34">
        <v>-2494.0050000000001</v>
      </c>
      <c r="CE140" s="65">
        <f t="shared" si="51"/>
        <v>21485.820476044544</v>
      </c>
      <c r="CF140" s="407"/>
      <c r="CG140" s="5">
        <v>22663.083169188732</v>
      </c>
      <c r="CH140" s="407">
        <v>1714.5819877101776</v>
      </c>
      <c r="CI140" s="415">
        <v>0</v>
      </c>
      <c r="CJ140" s="34">
        <v>-2494.0050000000001</v>
      </c>
      <c r="CK140" s="65">
        <f t="shared" si="52"/>
        <v>21883.66015689891</v>
      </c>
      <c r="CL140" s="407"/>
      <c r="CM140" s="41">
        <f>AU140/'1. Väestöennuste'!L140*1000</f>
        <v>1277.1135279955229</v>
      </c>
      <c r="CN140" s="41">
        <f>BC140/'1. Väestöennuste'!M140*1000</f>
        <v>896.5785866107384</v>
      </c>
      <c r="CO140" s="41">
        <f>BK140/'1. Väestöennuste'!N140*1000</f>
        <v>784.52539551587256</v>
      </c>
      <c r="CP140" s="41">
        <f>BQ140/'1. Väestöennuste'!O140*1000</f>
        <v>786.96948731911209</v>
      </c>
      <c r="CQ140" s="41">
        <f>BY140/'1. Väestöennuste'!P140*1000</f>
        <v>845.61556922684338</v>
      </c>
      <c r="CR140" s="41">
        <f>CE140/'1. Väestöennuste'!Q140*1000</f>
        <v>854.06926406346315</v>
      </c>
      <c r="CS140" s="41">
        <f>CK140/'1. Väestöennuste'!R140*1000</f>
        <v>865.34304072517341</v>
      </c>
      <c r="CT140" s="41"/>
      <c r="CV140" s="41">
        <f t="shared" si="53"/>
        <v>24377.665156898911</v>
      </c>
      <c r="CW140" s="41">
        <f t="shared" si="54"/>
        <v>-20606.546628903387</v>
      </c>
      <c r="CX140" s="41">
        <f t="shared" si="55"/>
        <v>-380.53494138478447</v>
      </c>
      <c r="CY140" s="41">
        <f t="shared" si="56"/>
        <v>-112.05319109486584</v>
      </c>
      <c r="CZ140" s="41">
        <f t="shared" si="57"/>
        <v>2.4440918032395302</v>
      </c>
      <c r="DA140" s="41">
        <f t="shared" si="58"/>
        <v>58.646081907731286</v>
      </c>
      <c r="DB140" s="41">
        <f t="shared" si="59"/>
        <v>8.4536948366197748</v>
      </c>
      <c r="DC140" s="41">
        <f t="shared" si="60"/>
        <v>11.273776661710258</v>
      </c>
      <c r="DD140" s="41"/>
      <c r="DE140" s="283">
        <f t="shared" si="61"/>
        <v>-9.774505326532589</v>
      </c>
      <c r="DF140" s="283">
        <f t="shared" si="62"/>
        <v>-0.941640771295157</v>
      </c>
      <c r="DG140" s="283">
        <f t="shared" si="63"/>
        <v>-0.29796485045620669</v>
      </c>
      <c r="DH140" s="283">
        <f t="shared" si="64"/>
        <v>-0.12497866084271678</v>
      </c>
      <c r="DI140" s="283">
        <f t="shared" si="65"/>
        <v>3.11537627361622E-3</v>
      </c>
      <c r="DJ140" s="283">
        <f t="shared" si="66"/>
        <v>7.452141773312565E-2</v>
      </c>
      <c r="DK140" s="283">
        <f t="shared" si="67"/>
        <v>9.9970898647822812E-3</v>
      </c>
      <c r="DL140" s="283">
        <f t="shared" si="68"/>
        <v>1.3200073033974139E-2</v>
      </c>
    </row>
    <row r="141" spans="1:116" x14ac:dyDescent="0.2">
      <c r="A141" s="30">
        <v>420</v>
      </c>
      <c r="B141" s="31" t="s">
        <v>455</v>
      </c>
      <c r="C141" s="65"/>
      <c r="D141" s="65"/>
      <c r="E141" s="65"/>
      <c r="F141" s="65"/>
      <c r="G141" s="65"/>
      <c r="H141" s="65">
        <v>25992</v>
      </c>
      <c r="I141" s="65"/>
      <c r="J141" s="65"/>
      <c r="K141" s="65"/>
      <c r="L141" s="65"/>
      <c r="M141" s="65"/>
      <c r="N141" s="65">
        <v>25146</v>
      </c>
      <c r="O141" s="65"/>
      <c r="P141" s="65"/>
      <c r="Q141" s="65"/>
      <c r="R141" s="65"/>
      <c r="S141" s="65"/>
      <c r="T141" s="65">
        <v>24798</v>
      </c>
      <c r="U141" s="65"/>
      <c r="V141" s="65"/>
      <c r="W141" s="65"/>
      <c r="X141" s="65"/>
      <c r="Y141" s="65"/>
      <c r="Z141" s="65">
        <v>23969</v>
      </c>
      <c r="AA141" s="65"/>
      <c r="AB141" s="66">
        <v>24623.549848840954</v>
      </c>
      <c r="AC141" s="34">
        <v>173.83953117888805</v>
      </c>
      <c r="AD141" s="180">
        <v>4719.9169913429832</v>
      </c>
      <c r="AE141" s="65">
        <v>0</v>
      </c>
      <c r="AF141" s="34">
        <v>-1062.9670000000001</v>
      </c>
      <c r="AG141" s="65">
        <f t="shared" si="47"/>
        <v>28454.339371362825</v>
      </c>
      <c r="AH141" s="65"/>
      <c r="AI141" s="66">
        <v>23595.272939410879</v>
      </c>
      <c r="AJ141" s="34">
        <v>-134.17461001270613</v>
      </c>
      <c r="AK141" s="181">
        <v>5034.4191436204801</v>
      </c>
      <c r="AL141" s="65">
        <v>0</v>
      </c>
      <c r="AM141" s="34">
        <v>-1006.6420000000001</v>
      </c>
      <c r="AN141" s="65">
        <f t="shared" si="48"/>
        <v>27488.875473018656</v>
      </c>
      <c r="AO141" s="65"/>
      <c r="AP141" s="41">
        <v>24087.620327098124</v>
      </c>
      <c r="AQ141" s="41">
        <v>-41.271355256610249</v>
      </c>
      <c r="AR141" s="41">
        <v>5744.0523910518959</v>
      </c>
      <c r="AS141" s="65">
        <v>0</v>
      </c>
      <c r="AT141" s="34">
        <v>-991.43899999999996</v>
      </c>
      <c r="AU141" s="65">
        <f t="shared" si="49"/>
        <v>28798.962362893413</v>
      </c>
      <c r="AV141" s="65"/>
      <c r="AW141" s="41">
        <v>5005.5254655895496</v>
      </c>
      <c r="AX141" s="314"/>
      <c r="AY141" s="314"/>
      <c r="AZ141" s="41">
        <v>1701.8135055073863</v>
      </c>
      <c r="BA141" s="65">
        <v>0</v>
      </c>
      <c r="BB141" s="34">
        <v>-1146.9929999999999</v>
      </c>
      <c r="BC141" s="65">
        <f t="shared" si="69"/>
        <v>5560.3459710969364</v>
      </c>
      <c r="BD141" s="65"/>
      <c r="BE141" s="41">
        <v>4101.2691953406802</v>
      </c>
      <c r="BF141" s="314"/>
      <c r="BG141" s="314"/>
      <c r="BH141" s="41">
        <v>1662.406046704923</v>
      </c>
      <c r="BI141" s="65">
        <v>0</v>
      </c>
      <c r="BJ141" s="34">
        <v>-1076.2439999999999</v>
      </c>
      <c r="BK141" s="65">
        <f t="shared" si="70"/>
        <v>4687.4312420456035</v>
      </c>
      <c r="BL141" s="65"/>
      <c r="BM141" s="41">
        <v>5092.7780954783375</v>
      </c>
      <c r="BN141" s="41">
        <v>1105.3070195739815</v>
      </c>
      <c r="BO141" s="65">
        <v>0</v>
      </c>
      <c r="BP141" s="34">
        <v>-1076.2439999999999</v>
      </c>
      <c r="BQ141" s="65">
        <f t="shared" si="50"/>
        <v>5121.8411150523198</v>
      </c>
      <c r="BR141" s="65"/>
      <c r="BS141" s="41">
        <v>4886.284389022454</v>
      </c>
      <c r="BT141" s="314"/>
      <c r="BU141" s="314"/>
      <c r="BV141" s="41">
        <v>1185.7706178201142</v>
      </c>
      <c r="BW141" s="65">
        <v>0</v>
      </c>
      <c r="BX141" s="34">
        <v>-1076.2439999999999</v>
      </c>
      <c r="BY141" s="65">
        <f t="shared" si="71"/>
        <v>4995.8110068425685</v>
      </c>
      <c r="CA141" s="5">
        <v>4812.7069544187107</v>
      </c>
      <c r="CB141" s="407">
        <v>1270.3401345067925</v>
      </c>
      <c r="CC141" s="415">
        <v>0</v>
      </c>
      <c r="CD141" s="34">
        <v>-1076.2439999999999</v>
      </c>
      <c r="CE141" s="65">
        <f t="shared" si="51"/>
        <v>5006.8030889255033</v>
      </c>
      <c r="CF141" s="407"/>
      <c r="CG141" s="5">
        <v>5387.7205269697406</v>
      </c>
      <c r="CH141" s="407">
        <v>1342.9309175650142</v>
      </c>
      <c r="CI141" s="415">
        <v>0</v>
      </c>
      <c r="CJ141" s="34">
        <v>-1076.2439999999999</v>
      </c>
      <c r="CK141" s="65">
        <f t="shared" si="52"/>
        <v>5654.4074445347551</v>
      </c>
      <c r="CL141" s="407"/>
      <c r="CM141" s="41">
        <f>AU141/'1. Väestöennuste'!L141*1000</f>
        <v>3138.1674145029324</v>
      </c>
      <c r="CN141" s="41">
        <f>BC141/'1. Väestöennuste'!M141*1000</f>
        <v>614.47076705679478</v>
      </c>
      <c r="CO141" s="41">
        <f>BK141/'1. Väestöennuste'!N141*1000</f>
        <v>521.52105496724562</v>
      </c>
      <c r="CP141" s="41">
        <f>BQ141/'1. Väestöennuste'!O141*1000</f>
        <v>576.07030874505904</v>
      </c>
      <c r="CQ141" s="41">
        <f>BY141/'1. Väestöennuste'!P141*1000</f>
        <v>568.02853972058767</v>
      </c>
      <c r="CR141" s="41">
        <f>CE141/'1. Väestöennuste'!Q141*1000</f>
        <v>575.29622991215717</v>
      </c>
      <c r="CS141" s="41">
        <f>CK141/'1. Väestöennuste'!R141*1000</f>
        <v>656.64933742129313</v>
      </c>
      <c r="CT141" s="41"/>
      <c r="CV141" s="41">
        <f t="shared" si="53"/>
        <v>6730.6514445347548</v>
      </c>
      <c r="CW141" s="41">
        <f t="shared" si="54"/>
        <v>-2516.2400300318227</v>
      </c>
      <c r="CX141" s="41">
        <f t="shared" si="55"/>
        <v>-2523.6966474461378</v>
      </c>
      <c r="CY141" s="41">
        <f t="shared" si="56"/>
        <v>-92.949712089549166</v>
      </c>
      <c r="CZ141" s="41">
        <f t="shared" si="57"/>
        <v>54.549253777813419</v>
      </c>
      <c r="DA141" s="41">
        <f t="shared" si="58"/>
        <v>-8.041769024471364</v>
      </c>
      <c r="DB141" s="41">
        <f t="shared" si="59"/>
        <v>7.2676901915694998</v>
      </c>
      <c r="DC141" s="41">
        <f t="shared" si="60"/>
        <v>81.353107509135953</v>
      </c>
      <c r="DD141" s="41"/>
      <c r="DE141" s="283">
        <f t="shared" si="61"/>
        <v>-6.2538341161806761</v>
      </c>
      <c r="DF141" s="283">
        <f t="shared" si="62"/>
        <v>-0.44500507873090828</v>
      </c>
      <c r="DG141" s="283">
        <f t="shared" si="63"/>
        <v>-0.80419439567913453</v>
      </c>
      <c r="DH141" s="283">
        <f t="shared" si="64"/>
        <v>-0.15126791553447153</v>
      </c>
      <c r="DI141" s="283">
        <f t="shared" si="65"/>
        <v>0.10459645542257046</v>
      </c>
      <c r="DJ141" s="283">
        <f t="shared" si="66"/>
        <v>-1.3959700582364615E-2</v>
      </c>
      <c r="DK141" s="283">
        <f t="shared" si="67"/>
        <v>1.2794586333891718E-2</v>
      </c>
      <c r="DL141" s="283">
        <f t="shared" si="68"/>
        <v>0.14141081286341453</v>
      </c>
    </row>
    <row r="142" spans="1:116" x14ac:dyDescent="0.2">
      <c r="A142" s="30">
        <v>421</v>
      </c>
      <c r="B142" s="31" t="s">
        <v>456</v>
      </c>
      <c r="C142" s="65"/>
      <c r="D142" s="65"/>
      <c r="E142" s="65"/>
      <c r="F142" s="65"/>
      <c r="G142" s="65"/>
      <c r="H142" s="65">
        <v>3100</v>
      </c>
      <c r="I142" s="65"/>
      <c r="J142" s="65"/>
      <c r="K142" s="65"/>
      <c r="L142" s="65"/>
      <c r="M142" s="65"/>
      <c r="N142" s="65">
        <v>3011</v>
      </c>
      <c r="O142" s="65"/>
      <c r="P142" s="65"/>
      <c r="Q142" s="65"/>
      <c r="R142" s="65"/>
      <c r="S142" s="65"/>
      <c r="T142" s="65">
        <v>2965</v>
      </c>
      <c r="U142" s="65"/>
      <c r="V142" s="65"/>
      <c r="W142" s="65"/>
      <c r="X142" s="65"/>
      <c r="Y142" s="65"/>
      <c r="Z142" s="65">
        <v>3107</v>
      </c>
      <c r="AA142" s="65"/>
      <c r="AB142" s="66">
        <v>2878.8833816211504</v>
      </c>
      <c r="AC142" s="34">
        <v>11.45948125273484</v>
      </c>
      <c r="AD142" s="180">
        <v>486.50963745591304</v>
      </c>
      <c r="AE142" s="65">
        <v>0</v>
      </c>
      <c r="AF142" s="34">
        <v>-119.042</v>
      </c>
      <c r="AG142" s="65">
        <f t="shared" si="47"/>
        <v>3257.8105003297983</v>
      </c>
      <c r="AH142" s="65"/>
      <c r="AI142" s="66">
        <v>2613.94805615013</v>
      </c>
      <c r="AJ142" s="34">
        <v>-8.683922913478721</v>
      </c>
      <c r="AK142" s="181">
        <v>514.77661284384556</v>
      </c>
      <c r="AL142" s="65">
        <v>0</v>
      </c>
      <c r="AM142" s="34">
        <v>-190.79300000000001</v>
      </c>
      <c r="AN142" s="65">
        <f t="shared" si="48"/>
        <v>2929.2477460804967</v>
      </c>
      <c r="AO142" s="65"/>
      <c r="AP142" s="41">
        <v>2463.6747759963664</v>
      </c>
      <c r="AQ142" s="41">
        <v>-2.6274075630571114</v>
      </c>
      <c r="AR142" s="41">
        <v>561.46255720939996</v>
      </c>
      <c r="AS142" s="65">
        <v>0</v>
      </c>
      <c r="AT142" s="34">
        <v>-188.96</v>
      </c>
      <c r="AU142" s="65">
        <f t="shared" si="49"/>
        <v>2833.5499256427092</v>
      </c>
      <c r="AV142" s="65"/>
      <c r="AW142" s="41">
        <v>761.70769887206848</v>
      </c>
      <c r="AX142" s="314"/>
      <c r="AY142" s="314"/>
      <c r="AZ142" s="41">
        <v>172.02170515941572</v>
      </c>
      <c r="BA142" s="65">
        <v>180</v>
      </c>
      <c r="BB142" s="34">
        <v>-186.25800000000001</v>
      </c>
      <c r="BC142" s="65">
        <f t="shared" si="69"/>
        <v>927.4714040314841</v>
      </c>
      <c r="BD142" s="65"/>
      <c r="BE142" s="41">
        <v>1333.7881944540604</v>
      </c>
      <c r="BF142" s="314"/>
      <c r="BG142" s="314"/>
      <c r="BH142" s="41">
        <v>171.16780470794902</v>
      </c>
      <c r="BI142" s="65">
        <v>0</v>
      </c>
      <c r="BJ142" s="34">
        <v>-139.482</v>
      </c>
      <c r="BK142" s="65">
        <f t="shared" si="70"/>
        <v>1365.4739991620095</v>
      </c>
      <c r="BL142" s="65"/>
      <c r="BM142" s="41">
        <v>1395.8475000345097</v>
      </c>
      <c r="BN142" s="41">
        <v>126.60893895643306</v>
      </c>
      <c r="BO142" s="65">
        <v>0</v>
      </c>
      <c r="BP142" s="34">
        <v>-139.482</v>
      </c>
      <c r="BQ142" s="65">
        <f t="shared" si="50"/>
        <v>1382.9744389909429</v>
      </c>
      <c r="BR142" s="65"/>
      <c r="BS142" s="41">
        <v>1175.9293958218391</v>
      </c>
      <c r="BT142" s="314"/>
      <c r="BU142" s="314"/>
      <c r="BV142" s="41">
        <v>134.13077710617074</v>
      </c>
      <c r="BW142" s="65">
        <v>0</v>
      </c>
      <c r="BX142" s="34">
        <v>-139.482</v>
      </c>
      <c r="BY142" s="65">
        <f t="shared" si="71"/>
        <v>1170.5781729280097</v>
      </c>
      <c r="CA142" s="5">
        <v>1175.0765007916759</v>
      </c>
      <c r="CB142" s="407">
        <v>141.41762561605327</v>
      </c>
      <c r="CC142" s="415">
        <v>0</v>
      </c>
      <c r="CD142" s="34">
        <v>-139.482</v>
      </c>
      <c r="CE142" s="65">
        <f t="shared" si="51"/>
        <v>1177.0121264077293</v>
      </c>
      <c r="CF142" s="407"/>
      <c r="CG142" s="5">
        <v>1281.5082329709116</v>
      </c>
      <c r="CH142" s="407">
        <v>147.86637959485233</v>
      </c>
      <c r="CI142" s="415">
        <v>0</v>
      </c>
      <c r="CJ142" s="34">
        <v>-139.482</v>
      </c>
      <c r="CK142" s="65">
        <f t="shared" si="52"/>
        <v>1289.892612565764</v>
      </c>
      <c r="CL142" s="407"/>
      <c r="CM142" s="41">
        <f>AU142/'1. Väestöennuste'!L142*1000</f>
        <v>4077.050252723323</v>
      </c>
      <c r="CN142" s="41">
        <f>BC142/'1. Väestöennuste'!M142*1000</f>
        <v>1359.9287449141996</v>
      </c>
      <c r="CO142" s="41">
        <f>BK142/'1. Väestöennuste'!N142*1000</f>
        <v>2013.9734500914592</v>
      </c>
      <c r="CP142" s="41">
        <f>BQ142/'1. Väestöennuste'!O142*1000</f>
        <v>2067.226366204698</v>
      </c>
      <c r="CQ142" s="41">
        <f>BY142/'1. Väestöennuste'!P142*1000</f>
        <v>1773.6032923151663</v>
      </c>
      <c r="CR142" s="41">
        <f>CE142/'1. Väestöennuste'!Q142*1000</f>
        <v>1799.7127315102894</v>
      </c>
      <c r="CS142" s="41">
        <f>CK142/'1. Väestöennuste'!R142*1000</f>
        <v>1993.6516422963896</v>
      </c>
      <c r="CT142" s="41"/>
      <c r="CV142" s="41">
        <f t="shared" si="53"/>
        <v>1429.374612565764</v>
      </c>
      <c r="CW142" s="41">
        <f t="shared" si="54"/>
        <v>2787.1576401575589</v>
      </c>
      <c r="CX142" s="41">
        <f t="shared" si="55"/>
        <v>-2717.1215078091236</v>
      </c>
      <c r="CY142" s="41">
        <f t="shared" si="56"/>
        <v>654.04470517725963</v>
      </c>
      <c r="CZ142" s="41">
        <f t="shared" si="57"/>
        <v>53.252916113238825</v>
      </c>
      <c r="DA142" s="41">
        <f t="shared" si="58"/>
        <v>-293.62307388953172</v>
      </c>
      <c r="DB142" s="41">
        <f t="shared" si="59"/>
        <v>26.109439195123059</v>
      </c>
      <c r="DC142" s="41">
        <f t="shared" si="60"/>
        <v>193.93891078610022</v>
      </c>
      <c r="DD142" s="41"/>
      <c r="DE142" s="283">
        <f t="shared" si="61"/>
        <v>-10.247735281726417</v>
      </c>
      <c r="DF142" s="283">
        <f t="shared" si="62"/>
        <v>2.1607671933352188</v>
      </c>
      <c r="DG142" s="283">
        <f t="shared" si="63"/>
        <v>-0.66644297700137112</v>
      </c>
      <c r="DH142" s="283">
        <f t="shared" si="64"/>
        <v>0.4809404225208318</v>
      </c>
      <c r="DI142" s="283">
        <f t="shared" si="65"/>
        <v>2.6441717049855096E-2</v>
      </c>
      <c r="DJ142" s="283">
        <f t="shared" si="66"/>
        <v>-0.14203721406117989</v>
      </c>
      <c r="DK142" s="283">
        <f t="shared" si="67"/>
        <v>1.4721126933092915E-2</v>
      </c>
      <c r="DL142" s="283">
        <f t="shared" si="68"/>
        <v>0.10776103729807472</v>
      </c>
    </row>
    <row r="143" spans="1:116" x14ac:dyDescent="0.2">
      <c r="A143" s="30">
        <v>422</v>
      </c>
      <c r="B143" s="31" t="s">
        <v>457</v>
      </c>
      <c r="C143" s="65"/>
      <c r="D143" s="65"/>
      <c r="E143" s="65"/>
      <c r="F143" s="65"/>
      <c r="G143" s="65"/>
      <c r="H143" s="65">
        <v>40039</v>
      </c>
      <c r="I143" s="65"/>
      <c r="J143" s="65"/>
      <c r="K143" s="65"/>
      <c r="L143" s="65"/>
      <c r="M143" s="65"/>
      <c r="N143" s="65">
        <v>38761</v>
      </c>
      <c r="O143" s="65"/>
      <c r="P143" s="65"/>
      <c r="Q143" s="65"/>
      <c r="R143" s="65"/>
      <c r="S143" s="65"/>
      <c r="T143" s="65">
        <v>37374</v>
      </c>
      <c r="U143" s="65"/>
      <c r="V143" s="65"/>
      <c r="W143" s="65"/>
      <c r="X143" s="65"/>
      <c r="Y143" s="65"/>
      <c r="Z143" s="65">
        <v>37236</v>
      </c>
      <c r="AA143" s="65"/>
      <c r="AB143" s="66">
        <v>35949.563532600514</v>
      </c>
      <c r="AC143" s="34">
        <v>191.0185660764719</v>
      </c>
      <c r="AD143" s="180">
        <v>5883.2345758526299</v>
      </c>
      <c r="AE143" s="65">
        <v>0</v>
      </c>
      <c r="AF143" s="34">
        <v>-609.55399999999997</v>
      </c>
      <c r="AG143" s="65">
        <f t="shared" ref="AG143:AG206" si="72">SUM(AB143:AF143)</f>
        <v>41414.262674529615</v>
      </c>
      <c r="AH143" s="65"/>
      <c r="AI143" s="66">
        <v>34649.654087738323</v>
      </c>
      <c r="AJ143" s="34">
        <v>-146.65917292147856</v>
      </c>
      <c r="AK143" s="181">
        <v>6253.1545952566903</v>
      </c>
      <c r="AL143" s="65">
        <v>0</v>
      </c>
      <c r="AM143" s="34">
        <v>-673.34299999999996</v>
      </c>
      <c r="AN143" s="65">
        <f t="shared" ref="AN143:AN206" si="73">SUM(AI143:AM143)</f>
        <v>40082.806510073533</v>
      </c>
      <c r="AO143" s="65"/>
      <c r="AP143" s="41">
        <v>35943.929611101776</v>
      </c>
      <c r="AQ143" s="41">
        <v>-44.900253993046924</v>
      </c>
      <c r="AR143" s="41">
        <v>6837.6987990755324</v>
      </c>
      <c r="AS143" s="65">
        <v>0</v>
      </c>
      <c r="AT143" s="34">
        <v>-426.63799999999998</v>
      </c>
      <c r="AU143" s="65">
        <f t="shared" ref="AU143:AU206" si="74">SUM(AP143:AT143)</f>
        <v>42310.090156184262</v>
      </c>
      <c r="AV143" s="65"/>
      <c r="AW143" s="41">
        <v>7211.2076359468547</v>
      </c>
      <c r="AX143" s="314"/>
      <c r="AY143" s="314"/>
      <c r="AZ143" s="41">
        <v>2080.0635872202397</v>
      </c>
      <c r="BA143" s="65">
        <v>0</v>
      </c>
      <c r="BB143" s="34">
        <v>-270.65199999999999</v>
      </c>
      <c r="BC143" s="65">
        <f t="shared" si="69"/>
        <v>9020.6192231670939</v>
      </c>
      <c r="BD143" s="65"/>
      <c r="BE143" s="41">
        <v>4173.8129385803941</v>
      </c>
      <c r="BF143" s="314"/>
      <c r="BG143" s="314"/>
      <c r="BH143" s="41">
        <v>2083.6746945745317</v>
      </c>
      <c r="BI143" s="65">
        <v>0</v>
      </c>
      <c r="BJ143" s="34">
        <v>-213.45099999999999</v>
      </c>
      <c r="BK143" s="65">
        <f t="shared" si="70"/>
        <v>6044.0366331549258</v>
      </c>
      <c r="BL143" s="65"/>
      <c r="BM143" s="41">
        <v>6432.0829101648824</v>
      </c>
      <c r="BN143" s="41">
        <v>1543.4785645400675</v>
      </c>
      <c r="BO143" s="65">
        <v>0</v>
      </c>
      <c r="BP143" s="34">
        <v>-213.45099999999999</v>
      </c>
      <c r="BQ143" s="65">
        <f t="shared" ref="BQ143:BQ206" si="75">BM143+BN143+BO143+BP143</f>
        <v>7762.1104747049494</v>
      </c>
      <c r="BR143" s="65"/>
      <c r="BS143" s="41">
        <v>5689.2595362963384</v>
      </c>
      <c r="BT143" s="314"/>
      <c r="BU143" s="314"/>
      <c r="BV143" s="41">
        <v>1647.4853333032988</v>
      </c>
      <c r="BW143" s="65">
        <v>0</v>
      </c>
      <c r="BX143" s="34">
        <v>-213.45099999999999</v>
      </c>
      <c r="BY143" s="65">
        <f t="shared" si="71"/>
        <v>7123.2938695996372</v>
      </c>
      <c r="CA143" s="5">
        <v>5834.3443788211571</v>
      </c>
      <c r="CB143" s="407">
        <v>1752.1921042697654</v>
      </c>
      <c r="CC143" s="415">
        <v>0</v>
      </c>
      <c r="CD143" s="34">
        <v>-213.45099999999999</v>
      </c>
      <c r="CE143" s="65">
        <f t="shared" ref="CE143:CE206" si="76">CA143+CB143+CC143+CD143</f>
        <v>7373.085483090922</v>
      </c>
      <c r="CF143" s="407"/>
      <c r="CG143" s="5">
        <v>7437.9588837620222</v>
      </c>
      <c r="CH143" s="407">
        <v>1843.4782585028324</v>
      </c>
      <c r="CI143" s="415">
        <v>0</v>
      </c>
      <c r="CJ143" s="34">
        <v>-213.45099999999999</v>
      </c>
      <c r="CK143" s="65">
        <f t="shared" ref="CK143:CK206" si="77">CG143+CH143+CI143+CJ143</f>
        <v>9067.9861422648555</v>
      </c>
      <c r="CL143" s="407"/>
      <c r="CM143" s="41">
        <f>AU143/'1. Väestöennuste'!L143*1000</f>
        <v>4079.2605241211204</v>
      </c>
      <c r="CN143" s="41">
        <f>BC143/'1. Väestöennuste'!M143*1000</f>
        <v>881.95338513561728</v>
      </c>
      <c r="CO143" s="41">
        <f>BK143/'1. Väestöennuste'!N143*1000</f>
        <v>605.85772184792768</v>
      </c>
      <c r="CP143" s="41">
        <f>BQ143/'1. Väestöennuste'!O143*1000</f>
        <v>791.16404797726523</v>
      </c>
      <c r="CQ143" s="41">
        <f>BY143/'1. Väestöennuste'!P143*1000</f>
        <v>738.16516783415932</v>
      </c>
      <c r="CR143" s="41">
        <f>CE143/'1. Väestöennuste'!Q143*1000</f>
        <v>776.52295767150315</v>
      </c>
      <c r="CS143" s="41">
        <f>CK143/'1. Väestöennuste'!R143*1000</f>
        <v>970.14936795387348</v>
      </c>
      <c r="CT143" s="41"/>
      <c r="CV143" s="41">
        <f t="shared" ref="CV143:CV206" si="78">CK143-CJ143</f>
        <v>9281.4371422648546</v>
      </c>
      <c r="CW143" s="41">
        <f t="shared" ref="CW143:CW206" si="79">CM143-CK143</f>
        <v>-4988.7256181437351</v>
      </c>
      <c r="CX143" s="41">
        <f t="shared" ref="CX143:CX206" si="80">CN143-CM143</f>
        <v>-3197.3071389855031</v>
      </c>
      <c r="CY143" s="41">
        <f t="shared" ref="CY143:CY206" si="81">CO143-CN143</f>
        <v>-276.0956632876896</v>
      </c>
      <c r="CZ143" s="41">
        <f t="shared" ref="CZ143:CZ206" si="82">CP143-CO143</f>
        <v>185.30632612933755</v>
      </c>
      <c r="DA143" s="41">
        <f t="shared" ref="DA143:DA206" si="83">CQ143-CP143</f>
        <v>-52.998880143105907</v>
      </c>
      <c r="DB143" s="41">
        <f t="shared" ref="DB143:DB206" si="84">CR143-CQ143</f>
        <v>38.35778983734383</v>
      </c>
      <c r="DC143" s="41">
        <f t="shared" ref="DC143:DC206" si="85">CS143-CR143</f>
        <v>193.62641028237033</v>
      </c>
      <c r="DD143" s="41"/>
      <c r="DE143" s="283">
        <f t="shared" ref="DE143:DE206" si="86">(CK143-CJ143)/CJ143</f>
        <v>-43.482753148333131</v>
      </c>
      <c r="DF143" s="283">
        <f t="shared" ref="DF143:DF206" si="87">(CM143-CK143)/CK143</f>
        <v>-0.55014702712125363</v>
      </c>
      <c r="DG143" s="283">
        <f t="shared" ref="DG143:DG206" si="88">(CN143-CM143)/CM143</f>
        <v>-0.78379576888494151</v>
      </c>
      <c r="DH143" s="283">
        <f t="shared" ref="DH143:DH206" si="89">(CO143-CN143)/CN143</f>
        <v>-0.31305017696058229</v>
      </c>
      <c r="DI143" s="283">
        <f t="shared" ref="DI143:DI206" si="90">(CP143-CO143)/CO143</f>
        <v>0.30585782675862316</v>
      </c>
      <c r="DJ143" s="283">
        <f t="shared" ref="DJ143:DJ206" si="91">(CQ143-CP143)/CP143</f>
        <v>-6.6988483966891374E-2</v>
      </c>
      <c r="DK143" s="283">
        <f t="shared" ref="DK143:DK206" si="92">(CR143-CQ143)/CQ143</f>
        <v>5.1963695266045828E-2</v>
      </c>
      <c r="DL143" s="283">
        <f t="shared" ref="DL143:DL206" si="93">(CS143-CR143)/CR143</f>
        <v>0.24935052900815999</v>
      </c>
    </row>
    <row r="144" spans="1:116" x14ac:dyDescent="0.2">
      <c r="A144" s="30">
        <v>423</v>
      </c>
      <c r="B144" s="31" t="s">
        <v>458</v>
      </c>
      <c r="C144" s="65"/>
      <c r="D144" s="65"/>
      <c r="E144" s="65"/>
      <c r="F144" s="65"/>
      <c r="G144" s="65"/>
      <c r="H144" s="65">
        <v>21424</v>
      </c>
      <c r="I144" s="65"/>
      <c r="J144" s="65"/>
      <c r="K144" s="65"/>
      <c r="L144" s="65"/>
      <c r="M144" s="65"/>
      <c r="N144" s="65">
        <v>20068</v>
      </c>
      <c r="O144" s="65"/>
      <c r="P144" s="65"/>
      <c r="Q144" s="65"/>
      <c r="R144" s="65"/>
      <c r="S144" s="65"/>
      <c r="T144" s="65">
        <v>19733</v>
      </c>
      <c r="U144" s="65"/>
      <c r="V144" s="65"/>
      <c r="W144" s="65"/>
      <c r="X144" s="65"/>
      <c r="Y144" s="65"/>
      <c r="Z144" s="65">
        <v>20637</v>
      </c>
      <c r="AA144" s="65"/>
      <c r="AB144" s="66">
        <v>22688.901676096597</v>
      </c>
      <c r="AC144" s="34">
        <v>388.1988072740059</v>
      </c>
      <c r="AD144" s="180">
        <v>6652.3669532496424</v>
      </c>
      <c r="AE144" s="65">
        <v>0</v>
      </c>
      <c r="AF144" s="34">
        <v>-1447.7080000000001</v>
      </c>
      <c r="AG144" s="65">
        <f t="shared" si="72"/>
        <v>28281.759436620247</v>
      </c>
      <c r="AH144" s="65"/>
      <c r="AI144" s="66">
        <v>18957.494773529441</v>
      </c>
      <c r="AJ144" s="34">
        <v>-301.76498405505492</v>
      </c>
      <c r="AK144" s="181">
        <v>7211.5139194804251</v>
      </c>
      <c r="AL144" s="65">
        <v>0</v>
      </c>
      <c r="AM144" s="34">
        <v>-2645.3609999999999</v>
      </c>
      <c r="AN144" s="65">
        <f t="shared" si="73"/>
        <v>23221.88270895481</v>
      </c>
      <c r="AO144" s="65"/>
      <c r="AP144" s="41">
        <v>20320.996241685381</v>
      </c>
      <c r="AQ144" s="41">
        <v>-93.450142330207484</v>
      </c>
      <c r="AR144" s="41">
        <v>8339.2768355880671</v>
      </c>
      <c r="AS144" s="65">
        <v>0</v>
      </c>
      <c r="AT144" s="34">
        <v>-1547.7429999999999</v>
      </c>
      <c r="AU144" s="65">
        <f t="shared" si="74"/>
        <v>27019.079934943245</v>
      </c>
      <c r="AV144" s="65"/>
      <c r="AW144" s="41">
        <v>15755.177422861285</v>
      </c>
      <c r="AX144" s="314"/>
      <c r="AY144" s="314"/>
      <c r="AZ144" s="41">
        <v>2556.4942962510777</v>
      </c>
      <c r="BA144" s="65">
        <v>0</v>
      </c>
      <c r="BB144" s="34">
        <v>-1799.7909999999999</v>
      </c>
      <c r="BC144" s="65">
        <f t="shared" ref="BC144:BC207" si="94">AW144+AZ144+BA144+BB144</f>
        <v>16511.88071911236</v>
      </c>
      <c r="BD144" s="65"/>
      <c r="BE144" s="41">
        <v>15813.315247643148</v>
      </c>
      <c r="BF144" s="314"/>
      <c r="BG144" s="314"/>
      <c r="BH144" s="41">
        <v>2498.0548862620831</v>
      </c>
      <c r="BI144" s="65">
        <v>0</v>
      </c>
      <c r="BJ144" s="34">
        <v>-2259.6120000000001</v>
      </c>
      <c r="BK144" s="65">
        <f t="shared" ref="BK144:BK207" si="95">BE144+BH144+BI144+BJ144</f>
        <v>16051.75813390523</v>
      </c>
      <c r="BL144" s="65"/>
      <c r="BM144" s="41">
        <v>17072.571020272764</v>
      </c>
      <c r="BN144" s="41">
        <v>1489.879289943618</v>
      </c>
      <c r="BO144" s="65">
        <v>0</v>
      </c>
      <c r="BP144" s="34">
        <v>-2259.6120000000001</v>
      </c>
      <c r="BQ144" s="65">
        <f t="shared" si="75"/>
        <v>16302.838310216383</v>
      </c>
      <c r="BR144" s="65"/>
      <c r="BS144" s="41">
        <v>17398.133212424436</v>
      </c>
      <c r="BT144" s="314"/>
      <c r="BU144" s="314"/>
      <c r="BV144" s="41">
        <v>1581.540171175257</v>
      </c>
      <c r="BW144" s="65">
        <v>0</v>
      </c>
      <c r="BX144" s="34">
        <v>-2259.6120000000001</v>
      </c>
      <c r="BY144" s="65">
        <f t="shared" ref="BY144:BY207" si="96">BS144+BV144+BW144+BX144</f>
        <v>16720.061383599692</v>
      </c>
      <c r="CA144" s="5">
        <v>17255.845407848381</v>
      </c>
      <c r="CB144" s="407">
        <v>1713.1301693604828</v>
      </c>
      <c r="CC144" s="415">
        <v>0</v>
      </c>
      <c r="CD144" s="34">
        <v>-2259.6120000000001</v>
      </c>
      <c r="CE144" s="65">
        <f t="shared" si="76"/>
        <v>16709.363577208864</v>
      </c>
      <c r="CF144" s="407"/>
      <c r="CG144" s="5">
        <v>17419.983499695874</v>
      </c>
      <c r="CH144" s="407">
        <v>1816.8434273294836</v>
      </c>
      <c r="CI144" s="415">
        <v>0</v>
      </c>
      <c r="CJ144" s="34">
        <v>-2259.6120000000001</v>
      </c>
      <c r="CK144" s="65">
        <f t="shared" si="77"/>
        <v>16977.214927025358</v>
      </c>
      <c r="CL144" s="407"/>
      <c r="CM144" s="41">
        <f>AU144/'1. Väestöennuste'!L144*1000</f>
        <v>1318.1968061151997</v>
      </c>
      <c r="CN144" s="41">
        <f>BC144/'1. Väestöennuste'!M144*1000</f>
        <v>800.11051602036923</v>
      </c>
      <c r="CO144" s="41">
        <f>BK144/'1. Väestöennuste'!N144*1000</f>
        <v>773.54142614357045</v>
      </c>
      <c r="CP144" s="41">
        <f>BQ144/'1. Väestöennuste'!O144*1000</f>
        <v>780.33880481602444</v>
      </c>
      <c r="CQ144" s="41">
        <f>BY144/'1. Väestöennuste'!P144*1000</f>
        <v>795.13322159024585</v>
      </c>
      <c r="CR144" s="41">
        <f>CE144/'1. Väestöennuste'!Q144*1000</f>
        <v>789.77943835179201</v>
      </c>
      <c r="CS144" s="41">
        <f>CK144/'1. Väestöennuste'!R144*1000</f>
        <v>797.98895074149743</v>
      </c>
      <c r="CT144" s="41"/>
      <c r="CV144" s="41">
        <f t="shared" si="78"/>
        <v>19236.826927025359</v>
      </c>
      <c r="CW144" s="41">
        <f t="shared" si="79"/>
        <v>-15659.018120910157</v>
      </c>
      <c r="CX144" s="41">
        <f t="shared" si="80"/>
        <v>-518.08629009483047</v>
      </c>
      <c r="CY144" s="41">
        <f t="shared" si="81"/>
        <v>-26.569089876798785</v>
      </c>
      <c r="CZ144" s="41">
        <f t="shared" si="82"/>
        <v>6.7973786724539877</v>
      </c>
      <c r="DA144" s="41">
        <f t="shared" si="83"/>
        <v>14.794416774221418</v>
      </c>
      <c r="DB144" s="41">
        <f t="shared" si="84"/>
        <v>-5.3537832384538433</v>
      </c>
      <c r="DC144" s="41">
        <f t="shared" si="85"/>
        <v>8.2095123897054236</v>
      </c>
      <c r="DD144" s="41"/>
      <c r="DE144" s="283">
        <f t="shared" si="86"/>
        <v>-8.5133319025679448</v>
      </c>
      <c r="DF144" s="283">
        <f t="shared" si="87"/>
        <v>-0.92235494385967776</v>
      </c>
      <c r="DG144" s="283">
        <f t="shared" si="88"/>
        <v>-0.39302650991975924</v>
      </c>
      <c r="DH144" s="283">
        <f t="shared" si="89"/>
        <v>-3.3206774995221268E-2</v>
      </c>
      <c r="DI144" s="283">
        <f t="shared" si="90"/>
        <v>8.7873492520520596E-3</v>
      </c>
      <c r="DJ144" s="283">
        <f t="shared" si="91"/>
        <v>1.8958965878557589E-2</v>
      </c>
      <c r="DK144" s="283">
        <f t="shared" si="92"/>
        <v>-6.733190229112067E-3</v>
      </c>
      <c r="DL144" s="283">
        <f t="shared" si="93"/>
        <v>1.0394689948928063E-2</v>
      </c>
    </row>
    <row r="145" spans="1:116" x14ac:dyDescent="0.2">
      <c r="A145" s="30">
        <v>425</v>
      </c>
      <c r="B145" s="31" t="s">
        <v>459</v>
      </c>
      <c r="C145" s="65"/>
      <c r="D145" s="65"/>
      <c r="E145" s="65"/>
      <c r="F145" s="65"/>
      <c r="G145" s="65"/>
      <c r="H145" s="65">
        <v>25231</v>
      </c>
      <c r="I145" s="65"/>
      <c r="J145" s="65"/>
      <c r="K145" s="65"/>
      <c r="L145" s="65"/>
      <c r="M145" s="65"/>
      <c r="N145" s="65">
        <v>25236</v>
      </c>
      <c r="O145" s="65"/>
      <c r="P145" s="65"/>
      <c r="Q145" s="65"/>
      <c r="R145" s="65"/>
      <c r="S145" s="65"/>
      <c r="T145" s="65">
        <v>24187</v>
      </c>
      <c r="U145" s="65"/>
      <c r="V145" s="65"/>
      <c r="W145" s="65"/>
      <c r="X145" s="65"/>
      <c r="Y145" s="65"/>
      <c r="Z145" s="65">
        <v>24598</v>
      </c>
      <c r="AA145" s="65"/>
      <c r="AB145" s="66">
        <v>25404.055037764741</v>
      </c>
      <c r="AC145" s="34">
        <v>167.13999872375072</v>
      </c>
      <c r="AD145" s="180">
        <v>3092.2822002287285</v>
      </c>
      <c r="AE145" s="65">
        <v>0</v>
      </c>
      <c r="AF145" s="34">
        <v>279.87299999999999</v>
      </c>
      <c r="AG145" s="65">
        <f t="shared" si="72"/>
        <v>28943.350236717219</v>
      </c>
      <c r="AH145" s="65"/>
      <c r="AI145" s="66">
        <v>23517.369297770896</v>
      </c>
      <c r="AJ145" s="34">
        <v>-130.47044734912791</v>
      </c>
      <c r="AK145" s="181">
        <v>3357.5092190660234</v>
      </c>
      <c r="AL145" s="65">
        <v>0</v>
      </c>
      <c r="AM145" s="34">
        <v>-208.72399999999999</v>
      </c>
      <c r="AN145" s="65">
        <f t="shared" si="73"/>
        <v>26535.684069487794</v>
      </c>
      <c r="AO145" s="65"/>
      <c r="AP145" s="41">
        <v>24643.640897452413</v>
      </c>
      <c r="AQ145" s="41">
        <v>-40.542917427118304</v>
      </c>
      <c r="AR145" s="41">
        <v>4006.4475228641995</v>
      </c>
      <c r="AS145" s="65">
        <v>0</v>
      </c>
      <c r="AT145" s="34">
        <v>648.4</v>
      </c>
      <c r="AU145" s="65">
        <f t="shared" si="74"/>
        <v>29257.945502889495</v>
      </c>
      <c r="AV145" s="65"/>
      <c r="AW145" s="41">
        <v>18613.945106590134</v>
      </c>
      <c r="AX145" s="314"/>
      <c r="AY145" s="314"/>
      <c r="AZ145" s="41">
        <v>1174.532827528539</v>
      </c>
      <c r="BA145" s="65">
        <v>0</v>
      </c>
      <c r="BB145" s="34">
        <v>886.471</v>
      </c>
      <c r="BC145" s="65">
        <f t="shared" si="94"/>
        <v>20674.948934118675</v>
      </c>
      <c r="BD145" s="65"/>
      <c r="BE145" s="41">
        <v>18904.838346923068</v>
      </c>
      <c r="BF145" s="314"/>
      <c r="BG145" s="314"/>
      <c r="BH145" s="41">
        <v>1152.6539221954256</v>
      </c>
      <c r="BI145" s="65">
        <v>0</v>
      </c>
      <c r="BJ145" s="34">
        <v>904.82600000000002</v>
      </c>
      <c r="BK145" s="65">
        <f t="shared" si="95"/>
        <v>20962.318269118496</v>
      </c>
      <c r="BL145" s="65"/>
      <c r="BM145" s="41">
        <v>20116.310150963964</v>
      </c>
      <c r="BN145" s="41">
        <v>494.91642330622415</v>
      </c>
      <c r="BO145" s="65">
        <v>0</v>
      </c>
      <c r="BP145" s="34">
        <v>904.82600000000002</v>
      </c>
      <c r="BQ145" s="65">
        <f t="shared" si="75"/>
        <v>21516.05257427019</v>
      </c>
      <c r="BR145" s="65"/>
      <c r="BS145" s="41">
        <v>20595.783190567076</v>
      </c>
      <c r="BT145" s="314"/>
      <c r="BU145" s="314"/>
      <c r="BV145" s="41">
        <v>548.36133523019771</v>
      </c>
      <c r="BW145" s="65">
        <v>0</v>
      </c>
      <c r="BX145" s="34">
        <v>904.82600000000002</v>
      </c>
      <c r="BY145" s="65">
        <f t="shared" si="96"/>
        <v>22048.970525797275</v>
      </c>
      <c r="CA145" s="5">
        <v>20805.90048135223</v>
      </c>
      <c r="CB145" s="407">
        <v>617.88914534196942</v>
      </c>
      <c r="CC145" s="415">
        <v>0</v>
      </c>
      <c r="CD145" s="34">
        <v>904.82600000000002</v>
      </c>
      <c r="CE145" s="65">
        <f t="shared" si="76"/>
        <v>22328.615626694202</v>
      </c>
      <c r="CF145" s="407"/>
      <c r="CG145" s="5">
        <v>21430.278174282259</v>
      </c>
      <c r="CH145" s="407">
        <v>674.93000854565344</v>
      </c>
      <c r="CI145" s="415">
        <v>0</v>
      </c>
      <c r="CJ145" s="34">
        <v>904.82600000000002</v>
      </c>
      <c r="CK145" s="65">
        <f t="shared" si="77"/>
        <v>23010.034182827912</v>
      </c>
      <c r="CL145" s="407"/>
      <c r="CM145" s="41">
        <f>AU145/'1. Väestöennuste'!L145*1000</f>
        <v>2852.207594354601</v>
      </c>
      <c r="CN145" s="41">
        <f>BC145/'1. Väestöennuste'!M145*1000</f>
        <v>2015.8881566028351</v>
      </c>
      <c r="CO145" s="41">
        <f>BK145/'1. Väestöennuste'!N145*1000</f>
        <v>2008.6544910998941</v>
      </c>
      <c r="CP145" s="41">
        <f>BQ145/'1. Väestöennuste'!O145*1000</f>
        <v>2056.1976848499799</v>
      </c>
      <c r="CQ145" s="41">
        <f>BY145/'1. Väestöennuste'!P145*1000</f>
        <v>2102.1041591950875</v>
      </c>
      <c r="CR145" s="41">
        <f>CE145/'1. Väestöennuste'!Q145*1000</f>
        <v>2124.1072704237258</v>
      </c>
      <c r="CS145" s="41">
        <f>CK145/'1. Väestöennuste'!R145*1000</f>
        <v>2185.1884314176555</v>
      </c>
      <c r="CT145" s="41"/>
      <c r="CV145" s="41">
        <f t="shared" si="78"/>
        <v>22105.208182827912</v>
      </c>
      <c r="CW145" s="41">
        <f t="shared" si="79"/>
        <v>-20157.826588473312</v>
      </c>
      <c r="CX145" s="41">
        <f t="shared" si="80"/>
        <v>-836.31943775176592</v>
      </c>
      <c r="CY145" s="41">
        <f t="shared" si="81"/>
        <v>-7.233665502940994</v>
      </c>
      <c r="CZ145" s="41">
        <f t="shared" si="82"/>
        <v>47.54319375008572</v>
      </c>
      <c r="DA145" s="41">
        <f t="shared" si="83"/>
        <v>45.906474345107654</v>
      </c>
      <c r="DB145" s="41">
        <f t="shared" si="84"/>
        <v>22.003111228638318</v>
      </c>
      <c r="DC145" s="41">
        <f t="shared" si="85"/>
        <v>61.081160993929643</v>
      </c>
      <c r="DD145" s="41"/>
      <c r="DE145" s="283">
        <f t="shared" si="86"/>
        <v>24.430341505248425</v>
      </c>
      <c r="DF145" s="283">
        <f t="shared" si="87"/>
        <v>-0.87604505183729076</v>
      </c>
      <c r="DG145" s="283">
        <f t="shared" si="88"/>
        <v>-0.29321829147608336</v>
      </c>
      <c r="DH145" s="283">
        <f t="shared" si="89"/>
        <v>-3.5883268023813048E-3</v>
      </c>
      <c r="DI145" s="283">
        <f t="shared" si="90"/>
        <v>2.3669174544822855E-2</v>
      </c>
      <c r="DJ145" s="283">
        <f t="shared" si="91"/>
        <v>2.2325905083614074E-2</v>
      </c>
      <c r="DK145" s="283">
        <f t="shared" si="92"/>
        <v>1.046718409855746E-2</v>
      </c>
      <c r="DL145" s="283">
        <f t="shared" si="93"/>
        <v>2.8756156454257095E-2</v>
      </c>
    </row>
    <row r="146" spans="1:116" x14ac:dyDescent="0.2">
      <c r="A146" s="30">
        <v>426</v>
      </c>
      <c r="B146" s="31" t="s">
        <v>460</v>
      </c>
      <c r="C146" s="65"/>
      <c r="D146" s="65"/>
      <c r="E146" s="65"/>
      <c r="F146" s="65"/>
      <c r="G146" s="65"/>
      <c r="H146" s="65">
        <v>27616</v>
      </c>
      <c r="I146" s="65"/>
      <c r="J146" s="65"/>
      <c r="K146" s="65"/>
      <c r="L146" s="65"/>
      <c r="M146" s="65"/>
      <c r="N146" s="65">
        <v>27180</v>
      </c>
      <c r="O146" s="65"/>
      <c r="P146" s="65"/>
      <c r="Q146" s="65"/>
      <c r="R146" s="65"/>
      <c r="S146" s="65"/>
      <c r="T146" s="65">
        <v>26970</v>
      </c>
      <c r="U146" s="65"/>
      <c r="V146" s="65"/>
      <c r="W146" s="65"/>
      <c r="X146" s="65"/>
      <c r="Y146" s="65"/>
      <c r="Z146" s="65">
        <v>26533</v>
      </c>
      <c r="AA146" s="65"/>
      <c r="AB146" s="66">
        <v>27593.84059301754</v>
      </c>
      <c r="AC146" s="34">
        <v>202.03306595289533</v>
      </c>
      <c r="AD146" s="180">
        <v>5681.7379030884622</v>
      </c>
      <c r="AE146" s="65">
        <v>0</v>
      </c>
      <c r="AF146" s="34">
        <v>-2608.181</v>
      </c>
      <c r="AG146" s="65">
        <f t="shared" si="72"/>
        <v>30869.430562058897</v>
      </c>
      <c r="AH146" s="65"/>
      <c r="AI146" s="66">
        <v>26323.101410650303</v>
      </c>
      <c r="AJ146" s="34">
        <v>-157.50411340095388</v>
      </c>
      <c r="AK146" s="181">
        <v>6100.7469160779629</v>
      </c>
      <c r="AL146" s="65">
        <v>0</v>
      </c>
      <c r="AM146" s="34">
        <v>-2767.0920000000001</v>
      </c>
      <c r="AN146" s="65">
        <f t="shared" si="73"/>
        <v>29499.252213327309</v>
      </c>
      <c r="AO146" s="65"/>
      <c r="AP146" s="41">
        <v>27332.922629205881</v>
      </c>
      <c r="AQ146" s="41">
        <v>-48.823381271640621</v>
      </c>
      <c r="AR146" s="41">
        <v>7015.6358959500303</v>
      </c>
      <c r="AS146" s="65">
        <v>0</v>
      </c>
      <c r="AT146" s="34">
        <v>-2735.73</v>
      </c>
      <c r="AU146" s="65">
        <f t="shared" si="74"/>
        <v>31564.005143884275</v>
      </c>
      <c r="AV146" s="65"/>
      <c r="AW146" s="41">
        <v>11133.33615247142</v>
      </c>
      <c r="AX146" s="314"/>
      <c r="AY146" s="314"/>
      <c r="AZ146" s="41">
        <v>2102.3560885772731</v>
      </c>
      <c r="BA146" s="65">
        <v>0</v>
      </c>
      <c r="BB146" s="34">
        <v>-2245.0990000000002</v>
      </c>
      <c r="BC146" s="65">
        <f t="shared" si="94"/>
        <v>10990.593241048693</v>
      </c>
      <c r="BD146" s="65"/>
      <c r="BE146" s="41">
        <v>7964.6755978907004</v>
      </c>
      <c r="BF146" s="314"/>
      <c r="BG146" s="314"/>
      <c r="BH146" s="41">
        <v>2072.7039688236378</v>
      </c>
      <c r="BI146" s="65">
        <v>0</v>
      </c>
      <c r="BJ146" s="34">
        <v>-2117.694</v>
      </c>
      <c r="BK146" s="65">
        <f t="shared" si="95"/>
        <v>7919.6855667143391</v>
      </c>
      <c r="BL146" s="65"/>
      <c r="BM146" s="41">
        <v>9785.4269859005108</v>
      </c>
      <c r="BN146" s="41">
        <v>1209.4740304289926</v>
      </c>
      <c r="BO146" s="65">
        <v>0</v>
      </c>
      <c r="BP146" s="34">
        <v>-2117.694</v>
      </c>
      <c r="BQ146" s="65">
        <f t="shared" si="75"/>
        <v>8877.2070163295029</v>
      </c>
      <c r="BR146" s="65"/>
      <c r="BS146" s="41">
        <v>10084.850376835026</v>
      </c>
      <c r="BT146" s="314"/>
      <c r="BU146" s="314"/>
      <c r="BV146" s="41">
        <v>1309.2855663710586</v>
      </c>
      <c r="BW146" s="65">
        <v>0</v>
      </c>
      <c r="BX146" s="34">
        <v>-2117.694</v>
      </c>
      <c r="BY146" s="65">
        <f t="shared" si="96"/>
        <v>9276.441943206084</v>
      </c>
      <c r="CA146" s="5">
        <v>10178.501695801333</v>
      </c>
      <c r="CB146" s="407">
        <v>1415.3297183439242</v>
      </c>
      <c r="CC146" s="415">
        <v>0</v>
      </c>
      <c r="CD146" s="34">
        <v>-2117.694</v>
      </c>
      <c r="CE146" s="65">
        <f t="shared" si="76"/>
        <v>9476.1374141452579</v>
      </c>
      <c r="CF146" s="407"/>
      <c r="CG146" s="5">
        <v>10947.903769901242</v>
      </c>
      <c r="CH146" s="407">
        <v>1506.2444284232308</v>
      </c>
      <c r="CI146" s="415">
        <v>0</v>
      </c>
      <c r="CJ146" s="34">
        <v>-2117.694</v>
      </c>
      <c r="CK146" s="65">
        <f t="shared" si="77"/>
        <v>10336.454198324474</v>
      </c>
      <c r="CL146" s="407"/>
      <c r="CM146" s="41">
        <f>AU146/'1. Väestöennuste'!L146*1000</f>
        <v>2638.6896124297168</v>
      </c>
      <c r="CN146" s="41">
        <f>BC146/'1. Väestöennuste'!M146*1000</f>
        <v>918.2549286530782</v>
      </c>
      <c r="CO146" s="41">
        <f>BK146/'1. Väestöennuste'!N146*1000</f>
        <v>674.2453232346619</v>
      </c>
      <c r="CP146" s="41">
        <f>BQ146/'1. Väestöennuste'!O146*1000</f>
        <v>760.0348472884848</v>
      </c>
      <c r="CQ146" s="41">
        <f>BY146/'1. Väestöennuste'!P146*1000</f>
        <v>798.79806623663865</v>
      </c>
      <c r="CR146" s="41">
        <f>CE146/'1. Väestöennuste'!Q146*1000</f>
        <v>820.94233857275049</v>
      </c>
      <c r="CS146" s="41">
        <f>CK146/'1. Väestöennuste'!R146*1000</f>
        <v>901.25156494240775</v>
      </c>
      <c r="CT146" s="41"/>
      <c r="CV146" s="41">
        <f t="shared" si="78"/>
        <v>12454.148198324474</v>
      </c>
      <c r="CW146" s="41">
        <f t="shared" si="79"/>
        <v>-7697.7645858947581</v>
      </c>
      <c r="CX146" s="41">
        <f t="shared" si="80"/>
        <v>-1720.4346837766386</v>
      </c>
      <c r="CY146" s="41">
        <f t="shared" si="81"/>
        <v>-244.0096054184163</v>
      </c>
      <c r="CZ146" s="41">
        <f t="shared" si="82"/>
        <v>85.789524053822902</v>
      </c>
      <c r="DA146" s="41">
        <f t="shared" si="83"/>
        <v>38.763218948153849</v>
      </c>
      <c r="DB146" s="41">
        <f t="shared" si="84"/>
        <v>22.14427233611184</v>
      </c>
      <c r="DC146" s="41">
        <f t="shared" si="85"/>
        <v>80.309226369657267</v>
      </c>
      <c r="DD146" s="41"/>
      <c r="DE146" s="283">
        <f t="shared" si="86"/>
        <v>-5.8809951760379331</v>
      </c>
      <c r="DF146" s="283">
        <f t="shared" si="87"/>
        <v>-0.74472004017998317</v>
      </c>
      <c r="DG146" s="283">
        <f t="shared" si="88"/>
        <v>-0.65200343218558965</v>
      </c>
      <c r="DH146" s="283">
        <f t="shared" si="89"/>
        <v>-0.2657318766329263</v>
      </c>
      <c r="DI146" s="283">
        <f t="shared" si="90"/>
        <v>0.12723784815036088</v>
      </c>
      <c r="DJ146" s="283">
        <f t="shared" si="91"/>
        <v>5.1001896934655386E-2</v>
      </c>
      <c r="DK146" s="283">
        <f t="shared" si="92"/>
        <v>2.7721990415474723E-2</v>
      </c>
      <c r="DL146" s="283">
        <f t="shared" si="93"/>
        <v>9.7825660337215514E-2</v>
      </c>
    </row>
    <row r="147" spans="1:116" x14ac:dyDescent="0.2">
      <c r="A147" s="30">
        <v>430</v>
      </c>
      <c r="B147" s="31" t="s">
        <v>461</v>
      </c>
      <c r="C147" s="65"/>
      <c r="D147" s="65"/>
      <c r="E147" s="65"/>
      <c r="F147" s="65"/>
      <c r="G147" s="65"/>
      <c r="H147" s="65">
        <v>43827</v>
      </c>
      <c r="I147" s="65"/>
      <c r="J147" s="65"/>
      <c r="K147" s="65"/>
      <c r="L147" s="65"/>
      <c r="M147" s="65"/>
      <c r="N147" s="65">
        <v>42353</v>
      </c>
      <c r="O147" s="65"/>
      <c r="P147" s="65"/>
      <c r="Q147" s="65"/>
      <c r="R147" s="65"/>
      <c r="S147" s="65"/>
      <c r="T147" s="65">
        <v>40940</v>
      </c>
      <c r="U147" s="65"/>
      <c r="V147" s="65"/>
      <c r="W147" s="65"/>
      <c r="X147" s="65"/>
      <c r="Y147" s="65"/>
      <c r="Z147" s="65">
        <v>40945</v>
      </c>
      <c r="AA147" s="65"/>
      <c r="AB147" s="66">
        <v>39954.92247458257</v>
      </c>
      <c r="AC147" s="34">
        <v>270.58907356612667</v>
      </c>
      <c r="AD147" s="180">
        <v>8518.7078129763377</v>
      </c>
      <c r="AE147" s="65">
        <v>1000</v>
      </c>
      <c r="AF147" s="34">
        <v>-2279.9549999999999</v>
      </c>
      <c r="AG147" s="65">
        <f t="shared" si="72"/>
        <v>47464.264361125031</v>
      </c>
      <c r="AH147" s="65"/>
      <c r="AI147" s="66">
        <v>38243.217579381955</v>
      </c>
      <c r="AJ147" s="34">
        <v>-209.72835107251205</v>
      </c>
      <c r="AK147" s="181">
        <v>9104.331845885401</v>
      </c>
      <c r="AL147" s="65">
        <v>0</v>
      </c>
      <c r="AM147" s="34">
        <v>-2247.1930000000002</v>
      </c>
      <c r="AN147" s="65">
        <f t="shared" si="73"/>
        <v>44890.628074194843</v>
      </c>
      <c r="AO147" s="65"/>
      <c r="AP147" s="41">
        <v>40251.58912117521</v>
      </c>
      <c r="AQ147" s="41">
        <v>-64.667679546538665</v>
      </c>
      <c r="AR147" s="41">
        <v>10254.030673724752</v>
      </c>
      <c r="AS147" s="65">
        <v>0</v>
      </c>
      <c r="AT147" s="34">
        <v>-1735.3779999999999</v>
      </c>
      <c r="AU147" s="65">
        <f t="shared" si="74"/>
        <v>48705.574115353425</v>
      </c>
      <c r="AV147" s="65"/>
      <c r="AW147" s="41">
        <v>8864.7540432583155</v>
      </c>
      <c r="AX147" s="314"/>
      <c r="AY147" s="314"/>
      <c r="AZ147" s="41">
        <v>3269.4121650267853</v>
      </c>
      <c r="BA147" s="65">
        <v>0</v>
      </c>
      <c r="BB147" s="34">
        <v>-1818.557</v>
      </c>
      <c r="BC147" s="65">
        <f t="shared" si="94"/>
        <v>10315.609208285099</v>
      </c>
      <c r="BD147" s="65"/>
      <c r="BE147" s="41">
        <v>8326.5190693368859</v>
      </c>
      <c r="BF147" s="314"/>
      <c r="BG147" s="314"/>
      <c r="BH147" s="41">
        <v>3262.0208470723965</v>
      </c>
      <c r="BI147" s="65">
        <v>0</v>
      </c>
      <c r="BJ147" s="34">
        <v>-1882.481</v>
      </c>
      <c r="BK147" s="65">
        <f t="shared" si="95"/>
        <v>9706.0589164092817</v>
      </c>
      <c r="BL147" s="65"/>
      <c r="BM147" s="41">
        <v>10442.747105307621</v>
      </c>
      <c r="BN147" s="41">
        <v>2287.6050611259407</v>
      </c>
      <c r="BO147" s="65">
        <v>0</v>
      </c>
      <c r="BP147" s="34">
        <v>-1882.481</v>
      </c>
      <c r="BQ147" s="65">
        <f t="shared" si="75"/>
        <v>10847.871166433561</v>
      </c>
      <c r="BR147" s="65"/>
      <c r="BS147" s="41">
        <v>10657.503154999904</v>
      </c>
      <c r="BT147" s="314"/>
      <c r="BU147" s="314"/>
      <c r="BV147" s="41">
        <v>2430.6624911082959</v>
      </c>
      <c r="BW147" s="65">
        <v>0</v>
      </c>
      <c r="BX147" s="34">
        <v>-1882.481</v>
      </c>
      <c r="BY147" s="65">
        <f t="shared" si="96"/>
        <v>11205.6846461082</v>
      </c>
      <c r="CA147" s="5">
        <v>10687.594082192734</v>
      </c>
      <c r="CB147" s="407">
        <v>2580.4486777993316</v>
      </c>
      <c r="CC147" s="415">
        <v>0</v>
      </c>
      <c r="CD147" s="34">
        <v>-1882.481</v>
      </c>
      <c r="CE147" s="65">
        <f t="shared" si="76"/>
        <v>11385.561759992066</v>
      </c>
      <c r="CF147" s="407"/>
      <c r="CG147" s="5">
        <v>12129.573711137433</v>
      </c>
      <c r="CH147" s="407">
        <v>2709.8726066199979</v>
      </c>
      <c r="CI147" s="415">
        <v>0</v>
      </c>
      <c r="CJ147" s="34">
        <v>-1882.481</v>
      </c>
      <c r="CK147" s="65">
        <f t="shared" si="77"/>
        <v>12956.965317757431</v>
      </c>
      <c r="CL147" s="407"/>
      <c r="CM147" s="41">
        <f>AU147/'1. Väestöennuste'!L147*1000</f>
        <v>3164.3434326503007</v>
      </c>
      <c r="CN147" s="41">
        <f>BC147/'1. Väestöennuste'!M147*1000</f>
        <v>668.97595384468866</v>
      </c>
      <c r="CO147" s="41">
        <f>BK147/'1. Väestöennuste'!N147*1000</f>
        <v>637.46610511029041</v>
      </c>
      <c r="CP147" s="41">
        <f>BQ147/'1. Väestöennuste'!O147*1000</f>
        <v>718.21180921832365</v>
      </c>
      <c r="CQ147" s="41">
        <f>BY147/'1. Väestöennuste'!P147*1000</f>
        <v>747.69364423221464</v>
      </c>
      <c r="CR147" s="41">
        <f>CE147/'1. Väestöennuste'!Q147*1000</f>
        <v>765.46737662982832</v>
      </c>
      <c r="CS147" s="41">
        <f>CK147/'1. Väestöennuste'!R147*1000</f>
        <v>877.54590706111958</v>
      </c>
      <c r="CT147" s="41"/>
      <c r="CV147" s="41">
        <f t="shared" si="78"/>
        <v>14839.446317757431</v>
      </c>
      <c r="CW147" s="41">
        <f t="shared" si="79"/>
        <v>-9792.6218851071299</v>
      </c>
      <c r="CX147" s="41">
        <f t="shared" si="80"/>
        <v>-2495.3674788056119</v>
      </c>
      <c r="CY147" s="41">
        <f t="shared" si="81"/>
        <v>-31.509848734398247</v>
      </c>
      <c r="CZ147" s="41">
        <f t="shared" si="82"/>
        <v>80.745704108033237</v>
      </c>
      <c r="DA147" s="41">
        <f t="shared" si="83"/>
        <v>29.481835013890986</v>
      </c>
      <c r="DB147" s="41">
        <f t="shared" si="84"/>
        <v>17.773732397613685</v>
      </c>
      <c r="DC147" s="41">
        <f t="shared" si="85"/>
        <v>112.07853043129126</v>
      </c>
      <c r="DD147" s="41"/>
      <c r="DE147" s="283">
        <f t="shared" si="86"/>
        <v>-7.882919571436541</v>
      </c>
      <c r="DF147" s="283">
        <f t="shared" si="87"/>
        <v>-0.75578051225362231</v>
      </c>
      <c r="DG147" s="283">
        <f t="shared" si="88"/>
        <v>-0.78858933359063776</v>
      </c>
      <c r="DH147" s="283">
        <f t="shared" si="89"/>
        <v>-4.7101616363498862E-2</v>
      </c>
      <c r="DI147" s="283">
        <f t="shared" si="90"/>
        <v>0.12666666268328591</v>
      </c>
      <c r="DJ147" s="283">
        <f t="shared" si="91"/>
        <v>4.1048942158132949E-2</v>
      </c>
      <c r="DK147" s="283">
        <f t="shared" si="92"/>
        <v>2.3771410302497659E-2</v>
      </c>
      <c r="DL147" s="283">
        <f t="shared" si="93"/>
        <v>0.14641842860076743</v>
      </c>
    </row>
    <row r="148" spans="1:116" x14ac:dyDescent="0.2">
      <c r="A148" s="30">
        <v>433</v>
      </c>
      <c r="B148" s="31" t="s">
        <v>462</v>
      </c>
      <c r="C148" s="65"/>
      <c r="D148" s="65"/>
      <c r="E148" s="65"/>
      <c r="F148" s="65"/>
      <c r="G148" s="65"/>
      <c r="H148" s="65">
        <v>15986</v>
      </c>
      <c r="I148" s="65"/>
      <c r="J148" s="65"/>
      <c r="K148" s="65"/>
      <c r="L148" s="65"/>
      <c r="M148" s="65"/>
      <c r="N148" s="65">
        <v>15862</v>
      </c>
      <c r="O148" s="65"/>
      <c r="P148" s="65"/>
      <c r="Q148" s="65"/>
      <c r="R148" s="65"/>
      <c r="S148" s="65"/>
      <c r="T148" s="65">
        <v>15422</v>
      </c>
      <c r="U148" s="65"/>
      <c r="V148" s="65"/>
      <c r="W148" s="65"/>
      <c r="X148" s="65"/>
      <c r="Y148" s="65"/>
      <c r="Z148" s="65">
        <v>16124</v>
      </c>
      <c r="AA148" s="65"/>
      <c r="AB148" s="66">
        <v>15608.834648873575</v>
      </c>
      <c r="AC148" s="34">
        <v>140.02321466948615</v>
      </c>
      <c r="AD148" s="180">
        <v>3830.8572262166272</v>
      </c>
      <c r="AE148" s="65">
        <v>0</v>
      </c>
      <c r="AF148" s="34">
        <v>-853.36699999999996</v>
      </c>
      <c r="AG148" s="65">
        <f t="shared" si="72"/>
        <v>18726.348089759689</v>
      </c>
      <c r="AH148" s="65"/>
      <c r="AI148" s="66">
        <v>14191.711392883881</v>
      </c>
      <c r="AJ148" s="34">
        <v>-108.65027807595045</v>
      </c>
      <c r="AK148" s="181">
        <v>4115.4983481359704</v>
      </c>
      <c r="AL148" s="65">
        <v>0</v>
      </c>
      <c r="AM148" s="34">
        <v>-901.68100000000004</v>
      </c>
      <c r="AN148" s="65">
        <f t="shared" si="73"/>
        <v>17296.8784629439</v>
      </c>
      <c r="AO148" s="65"/>
      <c r="AP148" s="41">
        <v>14444.019427632415</v>
      </c>
      <c r="AQ148" s="41">
        <v>-33.53450724095736</v>
      </c>
      <c r="AR148" s="41">
        <v>4903.8261185748179</v>
      </c>
      <c r="AS148" s="65">
        <v>0</v>
      </c>
      <c r="AT148" s="34">
        <v>-585.101</v>
      </c>
      <c r="AU148" s="65">
        <f t="shared" si="74"/>
        <v>18729.210038966277</v>
      </c>
      <c r="AV148" s="65"/>
      <c r="AW148" s="41">
        <v>5736.7632617745458</v>
      </c>
      <c r="AX148" s="314"/>
      <c r="AY148" s="314"/>
      <c r="AZ148" s="41">
        <v>1451.0981496431325</v>
      </c>
      <c r="BA148" s="65">
        <v>0</v>
      </c>
      <c r="BB148" s="34">
        <v>-839.601</v>
      </c>
      <c r="BC148" s="65">
        <f t="shared" si="94"/>
        <v>6348.2604114176784</v>
      </c>
      <c r="BD148" s="65"/>
      <c r="BE148" s="41">
        <v>4400.3374884622262</v>
      </c>
      <c r="BF148" s="314"/>
      <c r="BG148" s="314"/>
      <c r="BH148" s="41">
        <v>1403.191154405253</v>
      </c>
      <c r="BI148" s="65">
        <v>0</v>
      </c>
      <c r="BJ148" s="34">
        <v>-831.81100000000004</v>
      </c>
      <c r="BK148" s="65">
        <f t="shared" si="95"/>
        <v>4971.7176428674793</v>
      </c>
      <c r="BL148" s="65"/>
      <c r="BM148" s="41">
        <v>4758.2053179797658</v>
      </c>
      <c r="BN148" s="41">
        <v>849.45525562930391</v>
      </c>
      <c r="BO148" s="65">
        <v>0</v>
      </c>
      <c r="BP148" s="34">
        <v>-831.81100000000004</v>
      </c>
      <c r="BQ148" s="65">
        <f t="shared" si="75"/>
        <v>4775.8495736090699</v>
      </c>
      <c r="BR148" s="65"/>
      <c r="BS148" s="41">
        <v>4602.687454545533</v>
      </c>
      <c r="BT148" s="314"/>
      <c r="BU148" s="314"/>
      <c r="BV148" s="41">
        <v>909.92967590253909</v>
      </c>
      <c r="BW148" s="65">
        <v>0</v>
      </c>
      <c r="BX148" s="34">
        <v>-831.81100000000004</v>
      </c>
      <c r="BY148" s="65">
        <f t="shared" si="96"/>
        <v>4680.8061304480725</v>
      </c>
      <c r="CA148" s="5">
        <v>4271.8842679233549</v>
      </c>
      <c r="CB148" s="407">
        <v>981.7268584877844</v>
      </c>
      <c r="CC148" s="415">
        <v>0</v>
      </c>
      <c r="CD148" s="34">
        <v>-831.81100000000004</v>
      </c>
      <c r="CE148" s="65">
        <f t="shared" si="76"/>
        <v>4421.8001264111399</v>
      </c>
      <c r="CF148" s="407"/>
      <c r="CG148" s="5">
        <v>4749.1205932755647</v>
      </c>
      <c r="CH148" s="407">
        <v>1043.0739783650886</v>
      </c>
      <c r="CI148" s="415">
        <v>0</v>
      </c>
      <c r="CJ148" s="34">
        <v>-831.81100000000004</v>
      </c>
      <c r="CK148" s="65">
        <f t="shared" si="77"/>
        <v>4960.3835716406538</v>
      </c>
      <c r="CL148" s="407"/>
      <c r="CM148" s="41">
        <f>AU148/'1. Väestöennuste'!L148*1000</f>
        <v>2416.9841320126829</v>
      </c>
      <c r="CN148" s="41">
        <f>BC148/'1. Väestöennuste'!M148*1000</f>
        <v>825.30686575892855</v>
      </c>
      <c r="CO148" s="41">
        <f>BK148/'1. Väestöennuste'!N148*1000</f>
        <v>650.1526929341544</v>
      </c>
      <c r="CP148" s="41">
        <f>BQ148/'1. Väestöennuste'!O148*1000</f>
        <v>628.15330443365383</v>
      </c>
      <c r="CQ148" s="41">
        <f>BY148/'1. Väestöennuste'!P148*1000</f>
        <v>619.40004372741464</v>
      </c>
      <c r="CR148" s="41">
        <f>CE148/'1. Väestöennuste'!Q148*1000</f>
        <v>588.39655707400391</v>
      </c>
      <c r="CS148" s="41">
        <f>CK148/'1. Väestöennuste'!R148*1000</f>
        <v>663.9517563432812</v>
      </c>
      <c r="CT148" s="41"/>
      <c r="CV148" s="41">
        <f t="shared" si="78"/>
        <v>5792.1945716406535</v>
      </c>
      <c r="CW148" s="41">
        <f t="shared" si="79"/>
        <v>-2543.3994396279709</v>
      </c>
      <c r="CX148" s="41">
        <f t="shared" si="80"/>
        <v>-1591.6772662537544</v>
      </c>
      <c r="CY148" s="41">
        <f t="shared" si="81"/>
        <v>-175.15417282477415</v>
      </c>
      <c r="CZ148" s="41">
        <f t="shared" si="82"/>
        <v>-21.999388500500572</v>
      </c>
      <c r="DA148" s="41">
        <f t="shared" si="83"/>
        <v>-8.7532607062391889</v>
      </c>
      <c r="DB148" s="41">
        <f t="shared" si="84"/>
        <v>-31.003486653410732</v>
      </c>
      <c r="DC148" s="41">
        <f t="shared" si="85"/>
        <v>75.555199269277296</v>
      </c>
      <c r="DD148" s="41"/>
      <c r="DE148" s="283">
        <f t="shared" si="86"/>
        <v>-6.9633541413141362</v>
      </c>
      <c r="DF148" s="283">
        <f t="shared" si="87"/>
        <v>-0.51274249317512721</v>
      </c>
      <c r="DG148" s="283">
        <f t="shared" si="88"/>
        <v>-0.65853856679163425</v>
      </c>
      <c r="DH148" s="283">
        <f t="shared" si="89"/>
        <v>-0.21222914783788621</v>
      </c>
      <c r="DI148" s="283">
        <f t="shared" si="90"/>
        <v>-3.3837264291280277E-2</v>
      </c>
      <c r="DJ148" s="283">
        <f t="shared" si="91"/>
        <v>-1.3934911500833659E-2</v>
      </c>
      <c r="DK148" s="283">
        <f t="shared" si="92"/>
        <v>-5.0054059516751882E-2</v>
      </c>
      <c r="DL148" s="283">
        <f t="shared" si="93"/>
        <v>0.12840863591214821</v>
      </c>
    </row>
    <row r="149" spans="1:116" x14ac:dyDescent="0.2">
      <c r="A149" s="30">
        <v>434</v>
      </c>
      <c r="B149" s="31" t="s">
        <v>463</v>
      </c>
      <c r="C149" s="65"/>
      <c r="D149" s="65"/>
      <c r="E149" s="65"/>
      <c r="F149" s="65"/>
      <c r="G149" s="65"/>
      <c r="H149" s="65">
        <v>26174</v>
      </c>
      <c r="I149" s="65"/>
      <c r="J149" s="65"/>
      <c r="K149" s="65"/>
      <c r="L149" s="65"/>
      <c r="M149" s="65"/>
      <c r="N149" s="65">
        <v>25227</v>
      </c>
      <c r="O149" s="65"/>
      <c r="P149" s="65"/>
      <c r="Q149" s="65"/>
      <c r="R149" s="65"/>
      <c r="S149" s="65"/>
      <c r="T149" s="65">
        <v>24358</v>
      </c>
      <c r="U149" s="65"/>
      <c r="V149" s="65"/>
      <c r="W149" s="65"/>
      <c r="X149" s="65"/>
      <c r="Y149" s="65"/>
      <c r="Z149" s="65">
        <v>24859</v>
      </c>
      <c r="AA149" s="65"/>
      <c r="AB149" s="66">
        <v>26131.028719630183</v>
      </c>
      <c r="AC149" s="34">
        <v>294.47704545694677</v>
      </c>
      <c r="AD149" s="180">
        <v>6892.6832845201216</v>
      </c>
      <c r="AE149" s="65">
        <v>1200</v>
      </c>
      <c r="AF149" s="34">
        <v>-1025.749</v>
      </c>
      <c r="AG149" s="65">
        <f t="shared" si="72"/>
        <v>33492.440049607249</v>
      </c>
      <c r="AH149" s="65"/>
      <c r="AI149" s="66">
        <v>25892.921321599322</v>
      </c>
      <c r="AJ149" s="34">
        <v>-228.9692639530424</v>
      </c>
      <c r="AK149" s="181">
        <v>7397.254580187252</v>
      </c>
      <c r="AL149" s="65">
        <v>0</v>
      </c>
      <c r="AM149" s="34">
        <v>-1084.3969999999999</v>
      </c>
      <c r="AN149" s="65">
        <f t="shared" si="73"/>
        <v>31976.809637833529</v>
      </c>
      <c r="AO149" s="65"/>
      <c r="AP149" s="41">
        <v>27540.313568221591</v>
      </c>
      <c r="AQ149" s="41">
        <v>-70.409232180485731</v>
      </c>
      <c r="AR149" s="41">
        <v>8670.4891480180522</v>
      </c>
      <c r="AS149" s="65">
        <v>0</v>
      </c>
      <c r="AT149" s="34">
        <v>-811.20699999999999</v>
      </c>
      <c r="AU149" s="65">
        <f t="shared" si="74"/>
        <v>35329.186484059152</v>
      </c>
      <c r="AV149" s="65"/>
      <c r="AW149" s="41">
        <v>9487.7554191807321</v>
      </c>
      <c r="AX149" s="314"/>
      <c r="AY149" s="314"/>
      <c r="AZ149" s="41">
        <v>2636.959544557672</v>
      </c>
      <c r="BA149" s="65">
        <v>0</v>
      </c>
      <c r="BB149" s="34">
        <v>-1018.727</v>
      </c>
      <c r="BC149" s="65">
        <f t="shared" si="94"/>
        <v>11105.987963738404</v>
      </c>
      <c r="BD149" s="65"/>
      <c r="BE149" s="41">
        <v>6903.0423046501819</v>
      </c>
      <c r="BF149" s="314"/>
      <c r="BG149" s="314"/>
      <c r="BH149" s="41">
        <v>2582.0807873557578</v>
      </c>
      <c r="BI149" s="65">
        <v>0</v>
      </c>
      <c r="BJ149" s="34">
        <v>-821.64499999999998</v>
      </c>
      <c r="BK149" s="65">
        <f t="shared" si="95"/>
        <v>8663.4780920059384</v>
      </c>
      <c r="BL149" s="65"/>
      <c r="BM149" s="41">
        <v>7371.7586243392288</v>
      </c>
      <c r="BN149" s="41">
        <v>1785.8810856300979</v>
      </c>
      <c r="BO149" s="65">
        <v>0</v>
      </c>
      <c r="BP149" s="34">
        <v>-821.64499999999998</v>
      </c>
      <c r="BQ149" s="65">
        <f t="shared" si="75"/>
        <v>8335.9947099693272</v>
      </c>
      <c r="BR149" s="65"/>
      <c r="BS149" s="41">
        <v>6782.9948180420279</v>
      </c>
      <c r="BT149" s="314"/>
      <c r="BU149" s="314"/>
      <c r="BV149" s="41">
        <v>1897.4129004474721</v>
      </c>
      <c r="BW149" s="65">
        <v>0</v>
      </c>
      <c r="BX149" s="34">
        <v>-821.64499999999998</v>
      </c>
      <c r="BY149" s="65">
        <f t="shared" si="96"/>
        <v>7858.7627184894991</v>
      </c>
      <c r="CA149" s="5">
        <v>6626.7706856559889</v>
      </c>
      <c r="CB149" s="407">
        <v>2020.7652154050018</v>
      </c>
      <c r="CC149" s="415">
        <v>0</v>
      </c>
      <c r="CD149" s="34">
        <v>-821.64499999999998</v>
      </c>
      <c r="CE149" s="65">
        <f t="shared" si="76"/>
        <v>7825.8909010609896</v>
      </c>
      <c r="CF149" s="407"/>
      <c r="CG149" s="5">
        <v>7067.8750654936357</v>
      </c>
      <c r="CH149" s="407">
        <v>2124.9875290977043</v>
      </c>
      <c r="CI149" s="415">
        <v>0</v>
      </c>
      <c r="CJ149" s="34">
        <v>-821.64499999999998</v>
      </c>
      <c r="CK149" s="65">
        <f t="shared" si="77"/>
        <v>8371.2175945913405</v>
      </c>
      <c r="CL149" s="407"/>
      <c r="CM149" s="41">
        <f>AU149/'1. Väestöennuste'!L149*1000</f>
        <v>2425.1226307014795</v>
      </c>
      <c r="CN149" s="41">
        <f>BC149/'1. Väestöennuste'!M149*1000</f>
        <v>768.15520568117336</v>
      </c>
      <c r="CO149" s="41">
        <f>BK149/'1. Väestöennuste'!N149*1000</f>
        <v>604.78032055887877</v>
      </c>
      <c r="CP149" s="41">
        <f>BQ149/'1. Väestöennuste'!O149*1000</f>
        <v>585.47511658725432</v>
      </c>
      <c r="CQ149" s="41">
        <f>BY149/'1. Väestöennuste'!P149*1000</f>
        <v>555.27186592874295</v>
      </c>
      <c r="CR149" s="41">
        <f>CE149/'1. Väestöennuste'!Q149*1000</f>
        <v>555.8950775011358</v>
      </c>
      <c r="CS149" s="41">
        <f>CK149/'1. Väestöennuste'!R149*1000</f>
        <v>597.60262668413338</v>
      </c>
      <c r="CT149" s="41"/>
      <c r="CV149" s="41">
        <f t="shared" si="78"/>
        <v>9192.8625945913409</v>
      </c>
      <c r="CW149" s="41">
        <f t="shared" si="79"/>
        <v>-5946.094963889861</v>
      </c>
      <c r="CX149" s="41">
        <f t="shared" si="80"/>
        <v>-1656.9674250203061</v>
      </c>
      <c r="CY149" s="41">
        <f t="shared" si="81"/>
        <v>-163.37488512229459</v>
      </c>
      <c r="CZ149" s="41">
        <f t="shared" si="82"/>
        <v>-19.305203971624451</v>
      </c>
      <c r="DA149" s="41">
        <f t="shared" si="83"/>
        <v>-30.203250658511365</v>
      </c>
      <c r="DB149" s="41">
        <f t="shared" si="84"/>
        <v>0.6232115723928473</v>
      </c>
      <c r="DC149" s="41">
        <f t="shared" si="85"/>
        <v>41.707549182997582</v>
      </c>
      <c r="DD149" s="41"/>
      <c r="DE149" s="283">
        <f t="shared" si="86"/>
        <v>-11.188363094269839</v>
      </c>
      <c r="DF149" s="283">
        <f t="shared" si="87"/>
        <v>-0.71030228239815962</v>
      </c>
      <c r="DG149" s="283">
        <f t="shared" si="88"/>
        <v>-0.68325098452486077</v>
      </c>
      <c r="DH149" s="283">
        <f t="shared" si="89"/>
        <v>-0.21268473338980945</v>
      </c>
      <c r="DI149" s="283">
        <f t="shared" si="90"/>
        <v>-3.1921018782133111E-2</v>
      </c>
      <c r="DJ149" s="283">
        <f t="shared" si="91"/>
        <v>-5.1587590664086108E-2</v>
      </c>
      <c r="DK149" s="283">
        <f t="shared" si="92"/>
        <v>1.1223539506192502E-3</v>
      </c>
      <c r="DL149" s="283">
        <f t="shared" si="93"/>
        <v>7.5027736116106122E-2</v>
      </c>
    </row>
    <row r="150" spans="1:116" x14ac:dyDescent="0.2">
      <c r="A150" s="30">
        <v>435</v>
      </c>
      <c r="B150" s="31" t="s">
        <v>464</v>
      </c>
      <c r="C150" s="65"/>
      <c r="D150" s="65"/>
      <c r="E150" s="65"/>
      <c r="F150" s="65"/>
      <c r="G150" s="65"/>
      <c r="H150" s="65">
        <v>3088</v>
      </c>
      <c r="I150" s="65"/>
      <c r="J150" s="65"/>
      <c r="K150" s="65"/>
      <c r="L150" s="65"/>
      <c r="M150" s="65"/>
      <c r="N150" s="65">
        <v>3143</v>
      </c>
      <c r="O150" s="65"/>
      <c r="P150" s="65"/>
      <c r="Q150" s="65"/>
      <c r="R150" s="65"/>
      <c r="S150" s="65"/>
      <c r="T150" s="65">
        <v>2959</v>
      </c>
      <c r="U150" s="65"/>
      <c r="V150" s="65"/>
      <c r="W150" s="65"/>
      <c r="X150" s="65"/>
      <c r="Y150" s="65"/>
      <c r="Z150" s="65">
        <v>2789</v>
      </c>
      <c r="AA150" s="65"/>
      <c r="AB150" s="66">
        <v>2688.670191191582</v>
      </c>
      <c r="AC150" s="34">
        <v>12.261853862525054</v>
      </c>
      <c r="AD150" s="180">
        <v>427.17621463582361</v>
      </c>
      <c r="AE150" s="65">
        <v>0</v>
      </c>
      <c r="AF150" s="34">
        <v>-175.17099999999999</v>
      </c>
      <c r="AG150" s="65">
        <f t="shared" si="72"/>
        <v>2952.9372596899311</v>
      </c>
      <c r="AH150" s="65"/>
      <c r="AI150" s="66">
        <v>2371.670268270419</v>
      </c>
      <c r="AJ150" s="34">
        <v>-9.406838165876394</v>
      </c>
      <c r="AK150" s="181">
        <v>451.14823025319794</v>
      </c>
      <c r="AL150" s="65">
        <v>0</v>
      </c>
      <c r="AM150" s="34">
        <v>-174.75299999999999</v>
      </c>
      <c r="AN150" s="65">
        <f t="shared" si="73"/>
        <v>2638.6586603577407</v>
      </c>
      <c r="AO150" s="65"/>
      <c r="AP150" s="41">
        <v>2194.6045697020718</v>
      </c>
      <c r="AQ150" s="41">
        <v>-2.8424800471075979</v>
      </c>
      <c r="AR150" s="41">
        <v>502.24768590741894</v>
      </c>
      <c r="AS150" s="65">
        <v>0</v>
      </c>
      <c r="AT150" s="34">
        <v>-182.56399999999999</v>
      </c>
      <c r="AU150" s="65">
        <f t="shared" si="74"/>
        <v>2511.4457755623835</v>
      </c>
      <c r="AV150" s="65"/>
      <c r="AW150" s="41">
        <v>715.82675041631921</v>
      </c>
      <c r="AX150" s="314"/>
      <c r="AY150" s="314"/>
      <c r="AZ150" s="41">
        <v>151.92554248727799</v>
      </c>
      <c r="BA150" s="65">
        <v>0</v>
      </c>
      <c r="BB150" s="34">
        <v>-190.726</v>
      </c>
      <c r="BC150" s="65">
        <f t="shared" si="94"/>
        <v>677.02629290359721</v>
      </c>
      <c r="BD150" s="65"/>
      <c r="BE150" s="41">
        <v>854.51473464556307</v>
      </c>
      <c r="BF150" s="314"/>
      <c r="BG150" s="314"/>
      <c r="BH150" s="41">
        <v>149.77489296295713</v>
      </c>
      <c r="BI150" s="65">
        <v>0</v>
      </c>
      <c r="BJ150" s="34">
        <v>-197.16399999999999</v>
      </c>
      <c r="BK150" s="65">
        <f t="shared" si="95"/>
        <v>807.12562760852018</v>
      </c>
      <c r="BL150" s="65"/>
      <c r="BM150" s="41">
        <v>1042.3614723142341</v>
      </c>
      <c r="BN150" s="41">
        <v>125.74501271926779</v>
      </c>
      <c r="BO150" s="65">
        <v>0</v>
      </c>
      <c r="BP150" s="34">
        <v>-197.16399999999999</v>
      </c>
      <c r="BQ150" s="65">
        <f t="shared" si="75"/>
        <v>970.94248503350195</v>
      </c>
      <c r="BR150" s="65"/>
      <c r="BS150" s="41">
        <v>1048.6084731116737</v>
      </c>
      <c r="BT150" s="314"/>
      <c r="BU150" s="314"/>
      <c r="BV150" s="41">
        <v>131.33691682504343</v>
      </c>
      <c r="BW150" s="65">
        <v>0</v>
      </c>
      <c r="BX150" s="34">
        <v>-197.16399999999999</v>
      </c>
      <c r="BY150" s="65">
        <f t="shared" si="96"/>
        <v>982.78138993671723</v>
      </c>
      <c r="CA150" s="5">
        <v>1037.3128353455895</v>
      </c>
      <c r="CB150" s="407">
        <v>137.12874743105553</v>
      </c>
      <c r="CC150" s="415">
        <v>0</v>
      </c>
      <c r="CD150" s="34">
        <v>-197.16399999999999</v>
      </c>
      <c r="CE150" s="65">
        <f t="shared" si="76"/>
        <v>977.27758277664498</v>
      </c>
      <c r="CF150" s="407"/>
      <c r="CG150" s="5">
        <v>1091.1469072602767</v>
      </c>
      <c r="CH150" s="407">
        <v>141.99688614592225</v>
      </c>
      <c r="CI150" s="415">
        <v>0</v>
      </c>
      <c r="CJ150" s="34">
        <v>-197.16399999999999</v>
      </c>
      <c r="CK150" s="65">
        <f t="shared" si="77"/>
        <v>1035.979793406199</v>
      </c>
      <c r="CL150" s="407"/>
      <c r="CM150" s="41">
        <f>AU150/'1. Väestöennuste'!L150*1000</f>
        <v>3629.2569011017104</v>
      </c>
      <c r="CN150" s="41">
        <f>BC150/'1. Väestöennuste'!M150*1000</f>
        <v>964.42491866609294</v>
      </c>
      <c r="CO150" s="41">
        <f>BK150/'1. Väestöennuste'!N150*1000</f>
        <v>1174.8553531419507</v>
      </c>
      <c r="CP150" s="41">
        <f>BQ150/'1. Väestöennuste'!O150*1000</f>
        <v>1421.584897560032</v>
      </c>
      <c r="CQ150" s="41">
        <f>BY150/'1. Väestöennuste'!P150*1000</f>
        <v>1438.9185797023679</v>
      </c>
      <c r="CR150" s="41">
        <f>CE150/'1. Väestöennuste'!Q150*1000</f>
        <v>1437.1729158480073</v>
      </c>
      <c r="CS150" s="41">
        <f>CK150/'1. Väestöennuste'!R150*1000</f>
        <v>1525.74343653343</v>
      </c>
      <c r="CT150" s="41"/>
      <c r="CV150" s="41">
        <f t="shared" si="78"/>
        <v>1233.1437934061989</v>
      </c>
      <c r="CW150" s="41">
        <f t="shared" si="79"/>
        <v>2593.2771076955114</v>
      </c>
      <c r="CX150" s="41">
        <f t="shared" si="80"/>
        <v>-2664.8319824356176</v>
      </c>
      <c r="CY150" s="41">
        <f t="shared" si="81"/>
        <v>210.43043447585774</v>
      </c>
      <c r="CZ150" s="41">
        <f t="shared" si="82"/>
        <v>246.72954441808133</v>
      </c>
      <c r="DA150" s="41">
        <f t="shared" si="83"/>
        <v>17.333682142335874</v>
      </c>
      <c r="DB150" s="41">
        <f t="shared" si="84"/>
        <v>-1.7456638543606005</v>
      </c>
      <c r="DC150" s="41">
        <f t="shared" si="85"/>
        <v>88.570520685422707</v>
      </c>
      <c r="DD150" s="41"/>
      <c r="DE150" s="283">
        <f t="shared" si="86"/>
        <v>-6.2544064504990722</v>
      </c>
      <c r="DF150" s="283">
        <f t="shared" si="87"/>
        <v>2.5032120551010681</v>
      </c>
      <c r="DG150" s="283">
        <f t="shared" si="88"/>
        <v>-0.73426380525078605</v>
      </c>
      <c r="DH150" s="283">
        <f t="shared" si="89"/>
        <v>0.2181926559580257</v>
      </c>
      <c r="DI150" s="283">
        <f t="shared" si="90"/>
        <v>0.21000844381246181</v>
      </c>
      <c r="DJ150" s="283">
        <f t="shared" si="91"/>
        <v>1.2193209263890545E-2</v>
      </c>
      <c r="DK150" s="283">
        <f t="shared" si="92"/>
        <v>-1.2131776453409068E-3</v>
      </c>
      <c r="DL150" s="283">
        <f t="shared" si="93"/>
        <v>6.1628297965218376E-2</v>
      </c>
    </row>
    <row r="151" spans="1:116" x14ac:dyDescent="0.2">
      <c r="A151" s="30">
        <v>436</v>
      </c>
      <c r="B151" s="31" t="s">
        <v>465</v>
      </c>
      <c r="C151" s="65"/>
      <c r="D151" s="65"/>
      <c r="E151" s="65"/>
      <c r="F151" s="65"/>
      <c r="G151" s="65"/>
      <c r="H151" s="65">
        <v>6211</v>
      </c>
      <c r="I151" s="65"/>
      <c r="J151" s="65"/>
      <c r="K151" s="65"/>
      <c r="L151" s="65"/>
      <c r="M151" s="65"/>
      <c r="N151" s="65">
        <v>6288</v>
      </c>
      <c r="O151" s="65"/>
      <c r="P151" s="65"/>
      <c r="Q151" s="65"/>
      <c r="R151" s="65"/>
      <c r="S151" s="65"/>
      <c r="T151" s="65">
        <v>6100</v>
      </c>
      <c r="U151" s="65"/>
      <c r="V151" s="65"/>
      <c r="W151" s="65"/>
      <c r="X151" s="65"/>
      <c r="Y151" s="65"/>
      <c r="Z151" s="65">
        <v>6138</v>
      </c>
      <c r="AA151" s="65"/>
      <c r="AB151" s="66">
        <v>6276.3735500642997</v>
      </c>
      <c r="AC151" s="34">
        <v>28.812840252097647</v>
      </c>
      <c r="AD151" s="180">
        <v>866.43001117786491</v>
      </c>
      <c r="AE151" s="65">
        <v>0</v>
      </c>
      <c r="AF151" s="34">
        <v>-378.96499999999997</v>
      </c>
      <c r="AG151" s="65">
        <f t="shared" si="72"/>
        <v>6792.6514014942622</v>
      </c>
      <c r="AH151" s="65"/>
      <c r="AI151" s="66">
        <v>6053.2787922827483</v>
      </c>
      <c r="AJ151" s="34">
        <v>-22.480701772564625</v>
      </c>
      <c r="AK151" s="181">
        <v>928.31663203572396</v>
      </c>
      <c r="AL151" s="65">
        <v>0</v>
      </c>
      <c r="AM151" s="34">
        <v>-324.77</v>
      </c>
      <c r="AN151" s="65">
        <f t="shared" si="73"/>
        <v>6634.3447225459076</v>
      </c>
      <c r="AO151" s="65"/>
      <c r="AP151" s="41">
        <v>6320.4591541309019</v>
      </c>
      <c r="AQ151" s="41">
        <v>-6.9762636973615066</v>
      </c>
      <c r="AR151" s="41">
        <v>1079.700825777315</v>
      </c>
      <c r="AS151" s="65">
        <v>0</v>
      </c>
      <c r="AT151" s="34">
        <v>-336.77800000000002</v>
      </c>
      <c r="AU151" s="65">
        <f t="shared" si="74"/>
        <v>7056.4057162108547</v>
      </c>
      <c r="AV151" s="65"/>
      <c r="AW151" s="41">
        <v>4380.0147295421511</v>
      </c>
      <c r="AX151" s="314"/>
      <c r="AY151" s="314"/>
      <c r="AZ151" s="41">
        <v>323.53159803770063</v>
      </c>
      <c r="BA151" s="65">
        <v>200</v>
      </c>
      <c r="BB151" s="34">
        <v>-388.488</v>
      </c>
      <c r="BC151" s="65">
        <f t="shared" si="94"/>
        <v>4515.0583275798517</v>
      </c>
      <c r="BD151" s="65"/>
      <c r="BE151" s="41">
        <v>3259.6886780610507</v>
      </c>
      <c r="BF151" s="314"/>
      <c r="BG151" s="314"/>
      <c r="BH151" s="41">
        <v>322.75250759831482</v>
      </c>
      <c r="BI151" s="65">
        <v>0</v>
      </c>
      <c r="BJ151" s="34">
        <v>-332.55</v>
      </c>
      <c r="BK151" s="65">
        <f t="shared" si="95"/>
        <v>3249.8911856593654</v>
      </c>
      <c r="BL151" s="65"/>
      <c r="BM151" s="41">
        <v>3574.2284457247088</v>
      </c>
      <c r="BN151" s="41">
        <v>195.13474889639315</v>
      </c>
      <c r="BO151" s="65">
        <v>0</v>
      </c>
      <c r="BP151" s="34">
        <v>-332.55</v>
      </c>
      <c r="BQ151" s="65">
        <f t="shared" si="75"/>
        <v>3436.8131946211015</v>
      </c>
      <c r="BR151" s="65"/>
      <c r="BS151" s="41">
        <v>4184.9527644511709</v>
      </c>
      <c r="BT151" s="314"/>
      <c r="BU151" s="314"/>
      <c r="BV151" s="41">
        <v>210.4577831207948</v>
      </c>
      <c r="BW151" s="65">
        <v>0</v>
      </c>
      <c r="BX151" s="34">
        <v>-332.55</v>
      </c>
      <c r="BY151" s="65">
        <f t="shared" si="96"/>
        <v>4062.8605475719651</v>
      </c>
      <c r="CA151" s="5">
        <v>4215.5655547662955</v>
      </c>
      <c r="CB151" s="407">
        <v>227.11785595205063</v>
      </c>
      <c r="CC151" s="415">
        <v>0</v>
      </c>
      <c r="CD151" s="34">
        <v>-332.55</v>
      </c>
      <c r="CE151" s="65">
        <f t="shared" si="76"/>
        <v>4110.1334107183457</v>
      </c>
      <c r="CF151" s="407"/>
      <c r="CG151" s="5">
        <v>4425.9496965511007</v>
      </c>
      <c r="CH151" s="407">
        <v>241.30123619833788</v>
      </c>
      <c r="CI151" s="415">
        <v>0</v>
      </c>
      <c r="CJ151" s="34">
        <v>-332.55</v>
      </c>
      <c r="CK151" s="65">
        <f t="shared" si="77"/>
        <v>4334.7009327494388</v>
      </c>
      <c r="CL151" s="407"/>
      <c r="CM151" s="41">
        <f>AU151/'1. Väestöennuste'!L151*1000</f>
        <v>3549.4998572489208</v>
      </c>
      <c r="CN151" s="41">
        <f>BC151/'1. Väestöennuste'!M151*1000</f>
        <v>2220.884568411142</v>
      </c>
      <c r="CO151" s="41">
        <f>BK151/'1. Väestöennuste'!N151*1000</f>
        <v>1610.4515290680702</v>
      </c>
      <c r="CP151" s="41">
        <f>BQ151/'1. Väestöennuste'!O151*1000</f>
        <v>1710.7084094679451</v>
      </c>
      <c r="CQ151" s="41">
        <f>BY151/'1. Väestöennuste'!P151*1000</f>
        <v>2027.3755227405018</v>
      </c>
      <c r="CR151" s="41">
        <f>CE151/'1. Väestöennuste'!Q151*1000</f>
        <v>2058.1539362635685</v>
      </c>
      <c r="CS151" s="41">
        <f>CK151/'1. Väestöennuste'!R151*1000</f>
        <v>2176.0546851151803</v>
      </c>
      <c r="CT151" s="41"/>
      <c r="CV151" s="41">
        <f t="shared" si="78"/>
        <v>4667.250932749439</v>
      </c>
      <c r="CW151" s="41">
        <f t="shared" si="79"/>
        <v>-785.20107550051807</v>
      </c>
      <c r="CX151" s="41">
        <f t="shared" si="80"/>
        <v>-1328.6152888377787</v>
      </c>
      <c r="CY151" s="41">
        <f t="shared" si="81"/>
        <v>-610.43303934307187</v>
      </c>
      <c r="CZ151" s="41">
        <f t="shared" si="82"/>
        <v>100.25688039987494</v>
      </c>
      <c r="DA151" s="41">
        <f t="shared" si="83"/>
        <v>316.66711327255666</v>
      </c>
      <c r="DB151" s="41">
        <f t="shared" si="84"/>
        <v>30.778413523066774</v>
      </c>
      <c r="DC151" s="41">
        <f t="shared" si="85"/>
        <v>117.90074885161175</v>
      </c>
      <c r="DD151" s="41"/>
      <c r="DE151" s="283">
        <f t="shared" si="86"/>
        <v>-14.034734424145057</v>
      </c>
      <c r="DF151" s="283">
        <f t="shared" si="87"/>
        <v>-0.18114307946095748</v>
      </c>
      <c r="DG151" s="283">
        <f t="shared" si="88"/>
        <v>-0.37431056269080587</v>
      </c>
      <c r="DH151" s="283">
        <f t="shared" si="89"/>
        <v>-0.27486031828290197</v>
      </c>
      <c r="DI151" s="283">
        <f t="shared" si="90"/>
        <v>6.225389500414906E-2</v>
      </c>
      <c r="DJ151" s="283">
        <f t="shared" si="91"/>
        <v>0.18510876051111755</v>
      </c>
      <c r="DK151" s="283">
        <f t="shared" si="92"/>
        <v>1.5181407281400982E-2</v>
      </c>
      <c r="DL151" s="283">
        <f t="shared" si="93"/>
        <v>5.7284708774335967E-2</v>
      </c>
    </row>
    <row r="152" spans="1:116" x14ac:dyDescent="0.2">
      <c r="A152" s="30">
        <v>440</v>
      </c>
      <c r="B152" s="31" t="s">
        <v>466</v>
      </c>
      <c r="C152" s="65"/>
      <c r="D152" s="65"/>
      <c r="E152" s="65"/>
      <c r="F152" s="65"/>
      <c r="G152" s="65"/>
      <c r="H152" s="65">
        <v>13703</v>
      </c>
      <c r="I152" s="65"/>
      <c r="J152" s="65"/>
      <c r="K152" s="65"/>
      <c r="L152" s="65"/>
      <c r="M152" s="65"/>
      <c r="N152" s="65">
        <v>13720</v>
      </c>
      <c r="O152" s="65"/>
      <c r="P152" s="65"/>
      <c r="Q152" s="65"/>
      <c r="R152" s="65"/>
      <c r="S152" s="65"/>
      <c r="T152" s="65">
        <v>13350</v>
      </c>
      <c r="U152" s="65"/>
      <c r="V152" s="65"/>
      <c r="W152" s="65"/>
      <c r="X152" s="65"/>
      <c r="Y152" s="65"/>
      <c r="Z152" s="65">
        <v>13142</v>
      </c>
      <c r="AA152" s="65"/>
      <c r="AB152" s="66">
        <v>14642.887976097647</v>
      </c>
      <c r="AC152" s="34">
        <v>78.956078563707635</v>
      </c>
      <c r="AD152" s="180">
        <v>2049.4786036389842</v>
      </c>
      <c r="AE152" s="65">
        <v>0</v>
      </c>
      <c r="AF152" s="34">
        <v>-1245.789</v>
      </c>
      <c r="AG152" s="65">
        <f t="shared" si="72"/>
        <v>15525.533658300337</v>
      </c>
      <c r="AH152" s="65"/>
      <c r="AI152" s="66">
        <v>14145.847536341827</v>
      </c>
      <c r="AJ152" s="34">
        <v>-61.672048358263567</v>
      </c>
      <c r="AK152" s="181">
        <v>2214.7005570100523</v>
      </c>
      <c r="AL152" s="65">
        <v>0</v>
      </c>
      <c r="AM152" s="34">
        <v>-1313.604</v>
      </c>
      <c r="AN152" s="65">
        <f t="shared" si="73"/>
        <v>14985.272044993617</v>
      </c>
      <c r="AO152" s="65"/>
      <c r="AP152" s="41">
        <v>15254.212077365723</v>
      </c>
      <c r="AQ152" s="41">
        <v>-19.12062620302941</v>
      </c>
      <c r="AR152" s="41">
        <v>2511.7537030184358</v>
      </c>
      <c r="AS152" s="65">
        <v>0</v>
      </c>
      <c r="AT152" s="34">
        <v>-1244.6980000000001</v>
      </c>
      <c r="AU152" s="65">
        <f t="shared" si="74"/>
        <v>16502.14715418113</v>
      </c>
      <c r="AV152" s="65"/>
      <c r="AW152" s="41">
        <v>10549.254265729682</v>
      </c>
      <c r="AX152" s="314"/>
      <c r="AY152" s="314"/>
      <c r="AZ152" s="41">
        <v>755.02891815889564</v>
      </c>
      <c r="BA152" s="65">
        <v>0</v>
      </c>
      <c r="BB152" s="34">
        <v>-1388.8679999999999</v>
      </c>
      <c r="BC152" s="65">
        <f t="shared" si="94"/>
        <v>9915.4151838885773</v>
      </c>
      <c r="BD152" s="65"/>
      <c r="BE152" s="41">
        <v>11080.769287580457</v>
      </c>
      <c r="BF152" s="314"/>
      <c r="BG152" s="314"/>
      <c r="BH152" s="41">
        <v>758.11119354579137</v>
      </c>
      <c r="BI152" s="65">
        <v>0</v>
      </c>
      <c r="BJ152" s="34">
        <v>-1562.777</v>
      </c>
      <c r="BK152" s="65">
        <f t="shared" si="95"/>
        <v>10276.103481126249</v>
      </c>
      <c r="BL152" s="65"/>
      <c r="BM152" s="41">
        <v>12200.499954269559</v>
      </c>
      <c r="BN152" s="41">
        <v>404.46864575856392</v>
      </c>
      <c r="BO152" s="65">
        <v>0</v>
      </c>
      <c r="BP152" s="34">
        <v>-1562.777</v>
      </c>
      <c r="BQ152" s="65">
        <f t="shared" si="75"/>
        <v>11042.191600028122</v>
      </c>
      <c r="BR152" s="65"/>
      <c r="BS152" s="41">
        <v>12355.075151901705</v>
      </c>
      <c r="BT152" s="314"/>
      <c r="BU152" s="314"/>
      <c r="BV152" s="41">
        <v>442.66240847720746</v>
      </c>
      <c r="BW152" s="65">
        <v>0</v>
      </c>
      <c r="BX152" s="34">
        <v>-1562.777</v>
      </c>
      <c r="BY152" s="65">
        <f t="shared" si="96"/>
        <v>11234.960560378911</v>
      </c>
      <c r="CA152" s="5">
        <v>12952.234457946361</v>
      </c>
      <c r="CB152" s="407">
        <v>484.41252374623696</v>
      </c>
      <c r="CC152" s="415">
        <v>0</v>
      </c>
      <c r="CD152" s="34">
        <v>-1562.777</v>
      </c>
      <c r="CE152" s="65">
        <f t="shared" si="76"/>
        <v>11873.869981692598</v>
      </c>
      <c r="CF152" s="407"/>
      <c r="CG152" s="5">
        <v>13683.499868950785</v>
      </c>
      <c r="CH152" s="407">
        <v>519.15576894819048</v>
      </c>
      <c r="CI152" s="415">
        <v>0</v>
      </c>
      <c r="CJ152" s="34">
        <v>-1562.777</v>
      </c>
      <c r="CK152" s="65">
        <f t="shared" si="77"/>
        <v>12639.878637898975</v>
      </c>
      <c r="CL152" s="407"/>
      <c r="CM152" s="41">
        <f>AU152/'1. Väestöennuste'!L152*1000</f>
        <v>2878.9510038697017</v>
      </c>
      <c r="CN152" s="41">
        <f>BC152/'1. Väestöennuste'!M152*1000</f>
        <v>1696.9733328578773</v>
      </c>
      <c r="CO152" s="41">
        <f>BK152/'1. Väestöennuste'!N152*1000</f>
        <v>1752.1063053923697</v>
      </c>
      <c r="CP152" s="41">
        <f>BQ152/'1. Väestöennuste'!O152*1000</f>
        <v>1859.894155302025</v>
      </c>
      <c r="CQ152" s="41">
        <f>BY152/'1. Väestöennuste'!P152*1000</f>
        <v>1870.3113967669237</v>
      </c>
      <c r="CR152" s="41">
        <f>CE152/'1. Väestöennuste'!Q152*1000</f>
        <v>1954.5464990440491</v>
      </c>
      <c r="CS152" s="41">
        <f>CK152/'1. Väestöennuste'!R152*1000</f>
        <v>2058.9474894769469</v>
      </c>
      <c r="CT152" s="41"/>
      <c r="CV152" s="41">
        <f t="shared" si="78"/>
        <v>14202.655637898975</v>
      </c>
      <c r="CW152" s="41">
        <f t="shared" si="79"/>
        <v>-9760.9276340292745</v>
      </c>
      <c r="CX152" s="41">
        <f t="shared" si="80"/>
        <v>-1181.9776710118244</v>
      </c>
      <c r="CY152" s="41">
        <f t="shared" si="81"/>
        <v>55.13297253449241</v>
      </c>
      <c r="CZ152" s="41">
        <f t="shared" si="82"/>
        <v>107.78784990965528</v>
      </c>
      <c r="DA152" s="41">
        <f t="shared" si="83"/>
        <v>10.41724146489878</v>
      </c>
      <c r="DB152" s="41">
        <f t="shared" si="84"/>
        <v>84.235102277125407</v>
      </c>
      <c r="DC152" s="41">
        <f t="shared" si="85"/>
        <v>104.40099043289774</v>
      </c>
      <c r="DD152" s="41"/>
      <c r="DE152" s="283">
        <f t="shared" si="86"/>
        <v>-9.0880884719310409</v>
      </c>
      <c r="DF152" s="283">
        <f t="shared" si="87"/>
        <v>-0.77223270204212613</v>
      </c>
      <c r="DG152" s="283">
        <f t="shared" si="88"/>
        <v>-0.41055845320850742</v>
      </c>
      <c r="DH152" s="283">
        <f t="shared" si="89"/>
        <v>3.2489003490492586E-2</v>
      </c>
      <c r="DI152" s="283">
        <f t="shared" si="90"/>
        <v>6.1519012618082604E-2</v>
      </c>
      <c r="DJ152" s="283">
        <f t="shared" si="91"/>
        <v>5.6009861825750736E-3</v>
      </c>
      <c r="DK152" s="283">
        <f t="shared" si="92"/>
        <v>4.5038009404603278E-2</v>
      </c>
      <c r="DL152" s="283">
        <f t="shared" si="93"/>
        <v>5.3414431677097127E-2</v>
      </c>
    </row>
    <row r="153" spans="1:116" x14ac:dyDescent="0.2">
      <c r="A153" s="30">
        <v>441</v>
      </c>
      <c r="B153" s="31" t="s">
        <v>467</v>
      </c>
      <c r="C153" s="65"/>
      <c r="D153" s="65"/>
      <c r="E153" s="65"/>
      <c r="F153" s="65"/>
      <c r="G153" s="65"/>
      <c r="H153" s="65">
        <v>11962</v>
      </c>
      <c r="I153" s="65"/>
      <c r="J153" s="65"/>
      <c r="K153" s="65"/>
      <c r="L153" s="65"/>
      <c r="M153" s="65"/>
      <c r="N153" s="65">
        <v>12031</v>
      </c>
      <c r="O153" s="65"/>
      <c r="P153" s="65"/>
      <c r="Q153" s="65"/>
      <c r="R153" s="65"/>
      <c r="S153" s="65"/>
      <c r="T153" s="65">
        <v>11675</v>
      </c>
      <c r="U153" s="65"/>
      <c r="V153" s="65"/>
      <c r="W153" s="65"/>
      <c r="X153" s="65"/>
      <c r="Y153" s="65"/>
      <c r="Z153" s="65">
        <v>12032</v>
      </c>
      <c r="AA153" s="65"/>
      <c r="AB153" s="66">
        <v>11882.286620931698</v>
      </c>
      <c r="AC153" s="34">
        <v>82.58659722008673</v>
      </c>
      <c r="AD153" s="180">
        <v>2483.4368927921882</v>
      </c>
      <c r="AE153" s="65">
        <v>0</v>
      </c>
      <c r="AF153" s="34">
        <v>-569.37099999999998</v>
      </c>
      <c r="AG153" s="65">
        <f t="shared" si="72"/>
        <v>13878.939110943973</v>
      </c>
      <c r="AH153" s="65"/>
      <c r="AI153" s="66">
        <v>11475.708271390076</v>
      </c>
      <c r="AJ153" s="34">
        <v>-63.223782834158435</v>
      </c>
      <c r="AK153" s="181">
        <v>2654.0033853152818</v>
      </c>
      <c r="AL153" s="65">
        <v>0</v>
      </c>
      <c r="AM153" s="34">
        <v>-563.92600000000004</v>
      </c>
      <c r="AN153" s="65">
        <f t="shared" si="73"/>
        <v>13502.5618738712</v>
      </c>
      <c r="AO153" s="65"/>
      <c r="AP153" s="41">
        <v>11299.341010956787</v>
      </c>
      <c r="AQ153" s="41">
        <v>-19.30893473187383</v>
      </c>
      <c r="AR153" s="41">
        <v>3014.7973201091404</v>
      </c>
      <c r="AS153" s="65">
        <v>0</v>
      </c>
      <c r="AT153" s="34">
        <v>-553.46799999999996</v>
      </c>
      <c r="AU153" s="65">
        <f t="shared" si="74"/>
        <v>13741.361396334052</v>
      </c>
      <c r="AV153" s="65"/>
      <c r="AW153" s="41">
        <v>248.80855954286676</v>
      </c>
      <c r="AX153" s="314"/>
      <c r="AY153" s="314"/>
      <c r="AZ153" s="41">
        <v>894.43167918291806</v>
      </c>
      <c r="BA153" s="65">
        <v>0</v>
      </c>
      <c r="BB153" s="34">
        <v>-398.99200000000002</v>
      </c>
      <c r="BC153" s="65">
        <f t="shared" si="94"/>
        <v>744.24823872578486</v>
      </c>
      <c r="BD153" s="65"/>
      <c r="BE153" s="41">
        <v>216.73421131326376</v>
      </c>
      <c r="BF153" s="314"/>
      <c r="BG153" s="314"/>
      <c r="BH153" s="41">
        <v>875.66543026136662</v>
      </c>
      <c r="BI153" s="65">
        <v>0</v>
      </c>
      <c r="BJ153" s="34">
        <v>-275.05</v>
      </c>
      <c r="BK153" s="65">
        <f t="shared" si="95"/>
        <v>817.34964157463037</v>
      </c>
      <c r="BL153" s="65"/>
      <c r="BM153" s="41">
        <v>1065.9124901007774</v>
      </c>
      <c r="BN153" s="41">
        <v>608.29523670528567</v>
      </c>
      <c r="BO153" s="65">
        <v>0</v>
      </c>
      <c r="BP153" s="34">
        <v>-275.05</v>
      </c>
      <c r="BQ153" s="65">
        <f t="shared" si="75"/>
        <v>1399.157726806063</v>
      </c>
      <c r="BR153" s="65"/>
      <c r="BS153" s="41">
        <v>1210.1927657554006</v>
      </c>
      <c r="BT153" s="314"/>
      <c r="BU153" s="314"/>
      <c r="BV153" s="41">
        <v>648.54595935836483</v>
      </c>
      <c r="BW153" s="65">
        <v>0</v>
      </c>
      <c r="BX153" s="34">
        <v>-275.05</v>
      </c>
      <c r="BY153" s="65">
        <f t="shared" si="96"/>
        <v>1583.6887251137655</v>
      </c>
      <c r="CA153" s="5">
        <v>1281.4127547831258</v>
      </c>
      <c r="CB153" s="407">
        <v>691.64034868500096</v>
      </c>
      <c r="CC153" s="415">
        <v>0</v>
      </c>
      <c r="CD153" s="34">
        <v>-275.05</v>
      </c>
      <c r="CE153" s="65">
        <f t="shared" si="76"/>
        <v>1698.0031034681267</v>
      </c>
      <c r="CF153" s="407"/>
      <c r="CG153" s="5">
        <v>1633.6918952923143</v>
      </c>
      <c r="CH153" s="407">
        <v>729.17446266486354</v>
      </c>
      <c r="CI153" s="415">
        <v>0</v>
      </c>
      <c r="CJ153" s="34">
        <v>-275.05</v>
      </c>
      <c r="CK153" s="65">
        <f t="shared" si="77"/>
        <v>2087.8163579571774</v>
      </c>
      <c r="CL153" s="407"/>
      <c r="CM153" s="41">
        <f>AU153/'1. Väestöennuste'!L153*1000</f>
        <v>3108.2020801479421</v>
      </c>
      <c r="CN153" s="41">
        <f>BC153/'1. Väestöennuste'!M153*1000</f>
        <v>169.30123719876815</v>
      </c>
      <c r="CO153" s="41">
        <f>BK153/'1. Väestöennuste'!N153*1000</f>
        <v>190.25829645591955</v>
      </c>
      <c r="CP153" s="41">
        <f>BQ153/'1. Väestöennuste'!O153*1000</f>
        <v>329.6013490709218</v>
      </c>
      <c r="CQ153" s="41">
        <f>BY153/'1. Väestöennuste'!P153*1000</f>
        <v>377.24838616335529</v>
      </c>
      <c r="CR153" s="41">
        <f>CE153/'1. Väestöennuste'!Q153*1000</f>
        <v>409.1573743296691</v>
      </c>
      <c r="CS153" s="41">
        <f>CK153/'1. Väestöennuste'!R153*1000</f>
        <v>508.85117181505666</v>
      </c>
      <c r="CT153" s="41"/>
      <c r="CV153" s="41">
        <f t="shared" si="78"/>
        <v>2362.8663579571776</v>
      </c>
      <c r="CW153" s="41">
        <f t="shared" si="79"/>
        <v>1020.3857221907647</v>
      </c>
      <c r="CX153" s="41">
        <f t="shared" si="80"/>
        <v>-2938.9008429491741</v>
      </c>
      <c r="CY153" s="41">
        <f t="shared" si="81"/>
        <v>20.9570592571514</v>
      </c>
      <c r="CZ153" s="41">
        <f t="shared" si="82"/>
        <v>139.34305261500225</v>
      </c>
      <c r="DA153" s="41">
        <f t="shared" si="83"/>
        <v>47.647037092433493</v>
      </c>
      <c r="DB153" s="41">
        <f t="shared" si="84"/>
        <v>31.908988166313804</v>
      </c>
      <c r="DC153" s="41">
        <f t="shared" si="85"/>
        <v>99.693797485387563</v>
      </c>
      <c r="DD153" s="41"/>
      <c r="DE153" s="283">
        <f t="shared" si="86"/>
        <v>-8.590679359960653</v>
      </c>
      <c r="DF153" s="283">
        <f t="shared" si="87"/>
        <v>0.48873346465642237</v>
      </c>
      <c r="DG153" s="283">
        <f t="shared" si="88"/>
        <v>-0.94553081400977967</v>
      </c>
      <c r="DH153" s="283">
        <f t="shared" si="89"/>
        <v>0.12378562380230429</v>
      </c>
      <c r="DI153" s="283">
        <f t="shared" si="90"/>
        <v>0.73238883775712915</v>
      </c>
      <c r="DJ153" s="283">
        <f t="shared" si="91"/>
        <v>0.14455959366289203</v>
      </c>
      <c r="DK153" s="283">
        <f t="shared" si="92"/>
        <v>8.458349813190888E-2</v>
      </c>
      <c r="DL153" s="283">
        <f t="shared" si="93"/>
        <v>0.2436563624173167</v>
      </c>
    </row>
    <row r="154" spans="1:116" x14ac:dyDescent="0.2">
      <c r="A154" s="30">
        <v>444</v>
      </c>
      <c r="B154" s="31" t="s">
        <v>468</v>
      </c>
      <c r="C154" s="65"/>
      <c r="D154" s="65"/>
      <c r="E154" s="65"/>
      <c r="F154" s="65"/>
      <c r="G154" s="65"/>
      <c r="H154" s="65">
        <v>69250</v>
      </c>
      <c r="I154" s="65"/>
      <c r="J154" s="65"/>
      <c r="K154" s="65"/>
      <c r="L154" s="65"/>
      <c r="M154" s="65"/>
      <c r="N154" s="65">
        <v>68178</v>
      </c>
      <c r="O154" s="65"/>
      <c r="P154" s="65"/>
      <c r="Q154" s="65"/>
      <c r="R154" s="65"/>
      <c r="S154" s="65"/>
      <c r="T154" s="65">
        <v>68441</v>
      </c>
      <c r="U154" s="65"/>
      <c r="V154" s="65"/>
      <c r="W154" s="65"/>
      <c r="X154" s="65"/>
      <c r="Y154" s="65"/>
      <c r="Z154" s="65">
        <v>67720</v>
      </c>
      <c r="AA154" s="65"/>
      <c r="AB154" s="66">
        <v>71012.565220726407</v>
      </c>
      <c r="AC154" s="34">
        <v>949.30657771587244</v>
      </c>
      <c r="AD154" s="180">
        <v>18666.302369098212</v>
      </c>
      <c r="AE154" s="65">
        <v>0</v>
      </c>
      <c r="AF154" s="34">
        <v>-1695.338</v>
      </c>
      <c r="AG154" s="65">
        <f t="shared" si="72"/>
        <v>88932.836167540489</v>
      </c>
      <c r="AH154" s="65"/>
      <c r="AI154" s="66">
        <v>61452.318598398953</v>
      </c>
      <c r="AJ154" s="34">
        <v>-739.54828054121754</v>
      </c>
      <c r="AK154" s="181">
        <v>20079.912391589442</v>
      </c>
      <c r="AL154" s="65">
        <v>0</v>
      </c>
      <c r="AM154" s="34">
        <v>-1397.3689999999999</v>
      </c>
      <c r="AN154" s="65">
        <f t="shared" si="73"/>
        <v>79395.313709447175</v>
      </c>
      <c r="AO154" s="65"/>
      <c r="AP154" s="41">
        <v>66756.953542353585</v>
      </c>
      <c r="AQ154" s="41">
        <v>-228.90344923808547</v>
      </c>
      <c r="AR154" s="41">
        <v>23742.831611869784</v>
      </c>
      <c r="AS154" s="65">
        <v>0</v>
      </c>
      <c r="AT154" s="34">
        <v>-660.072</v>
      </c>
      <c r="AU154" s="65">
        <f t="shared" si="74"/>
        <v>89610.80970498528</v>
      </c>
      <c r="AV154" s="65"/>
      <c r="AW154" s="41">
        <v>26697.412643075419</v>
      </c>
      <c r="AX154" s="314"/>
      <c r="AY154" s="314"/>
      <c r="AZ154" s="41">
        <v>7224.1759161620375</v>
      </c>
      <c r="BA154" s="65">
        <v>0</v>
      </c>
      <c r="BB154" s="34">
        <v>-994.20299999999997</v>
      </c>
      <c r="BC154" s="65">
        <f t="shared" si="94"/>
        <v>32927.385559237453</v>
      </c>
      <c r="BD154" s="65"/>
      <c r="BE154" s="41">
        <v>22338.049576639438</v>
      </c>
      <c r="BF154" s="314"/>
      <c r="BG154" s="314"/>
      <c r="BH154" s="41">
        <v>7023.4203214530007</v>
      </c>
      <c r="BI154" s="65">
        <v>0</v>
      </c>
      <c r="BJ154" s="34">
        <v>-706.53399999999999</v>
      </c>
      <c r="BK154" s="65">
        <f t="shared" si="95"/>
        <v>28654.935898092437</v>
      </c>
      <c r="BL154" s="65"/>
      <c r="BM154" s="41">
        <v>26495.390632154365</v>
      </c>
      <c r="BN154" s="41">
        <v>4412.3140955410654</v>
      </c>
      <c r="BO154" s="65">
        <v>0</v>
      </c>
      <c r="BP154" s="34">
        <v>-706.53399999999999</v>
      </c>
      <c r="BQ154" s="65">
        <f t="shared" si="75"/>
        <v>30201.170727695433</v>
      </c>
      <c r="BR154" s="65"/>
      <c r="BS154" s="41">
        <v>25657.751536747532</v>
      </c>
      <c r="BT154" s="314"/>
      <c r="BU154" s="314"/>
      <c r="BV154" s="41">
        <v>4673.9697600630825</v>
      </c>
      <c r="BW154" s="65">
        <v>0</v>
      </c>
      <c r="BX154" s="34">
        <v>-706.53399999999999</v>
      </c>
      <c r="BY154" s="65">
        <f t="shared" si="96"/>
        <v>29625.187296810614</v>
      </c>
      <c r="CA154" s="5">
        <v>24639.647510444611</v>
      </c>
      <c r="CB154" s="407">
        <v>5020.797061598314</v>
      </c>
      <c r="CC154" s="415">
        <v>0</v>
      </c>
      <c r="CD154" s="34">
        <v>-706.53399999999999</v>
      </c>
      <c r="CE154" s="65">
        <f t="shared" si="76"/>
        <v>28953.910572042925</v>
      </c>
      <c r="CF154" s="407"/>
      <c r="CG154" s="5">
        <v>26735.43679050123</v>
      </c>
      <c r="CH154" s="407">
        <v>5308.3252279620328</v>
      </c>
      <c r="CI154" s="415">
        <v>0</v>
      </c>
      <c r="CJ154" s="34">
        <v>-706.53399999999999</v>
      </c>
      <c r="CK154" s="65">
        <f t="shared" si="77"/>
        <v>31337.228018463262</v>
      </c>
      <c r="CL154" s="407"/>
      <c r="CM154" s="41">
        <f>AU154/'1. Väestöennuste'!L154*1000</f>
        <v>1956.0980922700942</v>
      </c>
      <c r="CN154" s="41">
        <f>BC154/'1. Väestöennuste'!M154*1000</f>
        <v>721.379900520045</v>
      </c>
      <c r="CO154" s="41">
        <f>BK154/'1. Väestöennuste'!N154*1000</f>
        <v>638.23720734330652</v>
      </c>
      <c r="CP154" s="41">
        <f>BQ154/'1. Väestöennuste'!O154*1000</f>
        <v>676.11029411214565</v>
      </c>
      <c r="CQ154" s="41">
        <f>BY154/'1. Väestöennuste'!P154*1000</f>
        <v>666.46841008775095</v>
      </c>
      <c r="CR154" s="41">
        <f>CE154/'1. Väestöennuste'!Q154*1000</f>
        <v>654.42918816632971</v>
      </c>
      <c r="CS154" s="41">
        <f>CK154/'1. Väestöennuste'!R154*1000</f>
        <v>711.4497699835008</v>
      </c>
      <c r="CT154" s="41"/>
      <c r="CV154" s="41">
        <f t="shared" si="78"/>
        <v>32043.762018463261</v>
      </c>
      <c r="CW154" s="41">
        <f t="shared" si="79"/>
        <v>-29381.129926193167</v>
      </c>
      <c r="CX154" s="41">
        <f t="shared" si="80"/>
        <v>-1234.7181917500493</v>
      </c>
      <c r="CY154" s="41">
        <f t="shared" si="81"/>
        <v>-83.142693176738476</v>
      </c>
      <c r="CZ154" s="41">
        <f t="shared" si="82"/>
        <v>37.87308676883913</v>
      </c>
      <c r="DA154" s="41">
        <f t="shared" si="83"/>
        <v>-9.6418840243946988</v>
      </c>
      <c r="DB154" s="41">
        <f t="shared" si="84"/>
        <v>-12.039221921421245</v>
      </c>
      <c r="DC154" s="41">
        <f t="shared" si="85"/>
        <v>57.020581817171092</v>
      </c>
      <c r="DD154" s="41"/>
      <c r="DE154" s="283">
        <f t="shared" si="86"/>
        <v>-45.35346072299884</v>
      </c>
      <c r="DF154" s="283">
        <f t="shared" si="87"/>
        <v>-0.93757909630304248</v>
      </c>
      <c r="DG154" s="283">
        <f t="shared" si="88"/>
        <v>-0.63121486423880313</v>
      </c>
      <c r="DH154" s="283">
        <f t="shared" si="89"/>
        <v>-0.11525507311307212</v>
      </c>
      <c r="DI154" s="283">
        <f t="shared" si="90"/>
        <v>5.9340142400170777E-2</v>
      </c>
      <c r="DJ154" s="283">
        <f t="shared" si="91"/>
        <v>-1.4260815296498665E-2</v>
      </c>
      <c r="DK154" s="283">
        <f t="shared" si="92"/>
        <v>-1.8064204903329318E-2</v>
      </c>
      <c r="DL154" s="283">
        <f t="shared" si="93"/>
        <v>8.7130254652820802E-2</v>
      </c>
    </row>
    <row r="155" spans="1:116" x14ac:dyDescent="0.2">
      <c r="A155" s="30">
        <v>445</v>
      </c>
      <c r="B155" s="31" t="s">
        <v>469</v>
      </c>
      <c r="C155" s="65"/>
      <c r="D155" s="65"/>
      <c r="E155" s="65"/>
      <c r="F155" s="65"/>
      <c r="G155" s="65"/>
      <c r="H155" s="65">
        <v>31849</v>
      </c>
      <c r="I155" s="65"/>
      <c r="J155" s="65"/>
      <c r="K155" s="65"/>
      <c r="L155" s="65"/>
      <c r="M155" s="65"/>
      <c r="N155" s="65">
        <v>30004</v>
      </c>
      <c r="O155" s="65"/>
      <c r="P155" s="65"/>
      <c r="Q155" s="65"/>
      <c r="R155" s="65"/>
      <c r="S155" s="65"/>
      <c r="T155" s="65">
        <v>28595</v>
      </c>
      <c r="U155" s="65"/>
      <c r="V155" s="65"/>
      <c r="W155" s="65"/>
      <c r="X155" s="65"/>
      <c r="Y155" s="65"/>
      <c r="Z155" s="65">
        <v>28657</v>
      </c>
      <c r="AA155" s="65"/>
      <c r="AB155" s="66">
        <v>29524.631633217436</v>
      </c>
      <c r="AC155" s="34">
        <v>337.00572962349702</v>
      </c>
      <c r="AD155" s="180">
        <v>5936.1105892249007</v>
      </c>
      <c r="AE155" s="65">
        <v>0</v>
      </c>
      <c r="AF155" s="34">
        <v>-635.25400000000002</v>
      </c>
      <c r="AG155" s="65">
        <f t="shared" si="72"/>
        <v>35162.49395206583</v>
      </c>
      <c r="AH155" s="65"/>
      <c r="AI155" s="66">
        <v>26033.69955356597</v>
      </c>
      <c r="AJ155" s="34">
        <v>-263.00339681428909</v>
      </c>
      <c r="AK155" s="181">
        <v>6384.6309526816467</v>
      </c>
      <c r="AL155" s="65">
        <v>1000</v>
      </c>
      <c r="AM155" s="34">
        <v>-482.43900000000002</v>
      </c>
      <c r="AN155" s="65">
        <f t="shared" si="73"/>
        <v>32672.888109433334</v>
      </c>
      <c r="AO155" s="65"/>
      <c r="AP155" s="41">
        <v>28377.477758460645</v>
      </c>
      <c r="AQ155" s="41">
        <v>-81.064476367842786</v>
      </c>
      <c r="AR155" s="41">
        <v>7246.4128479723813</v>
      </c>
      <c r="AS155" s="65">
        <v>0</v>
      </c>
      <c r="AT155" s="34">
        <v>-334.65100000000001</v>
      </c>
      <c r="AU155" s="65">
        <f t="shared" si="74"/>
        <v>35208.175130065189</v>
      </c>
      <c r="AV155" s="65"/>
      <c r="AW155" s="41">
        <v>8710.9703932740249</v>
      </c>
      <c r="AX155" s="314"/>
      <c r="AY155" s="314"/>
      <c r="AZ155" s="41">
        <v>2386.424500462907</v>
      </c>
      <c r="BA155" s="65">
        <v>0</v>
      </c>
      <c r="BB155" s="34">
        <v>-323.495</v>
      </c>
      <c r="BC155" s="65">
        <f t="shared" si="94"/>
        <v>10773.899893736931</v>
      </c>
      <c r="BD155" s="65"/>
      <c r="BE155" s="41">
        <v>5895.4475134709755</v>
      </c>
      <c r="BF155" s="314"/>
      <c r="BG155" s="314"/>
      <c r="BH155" s="41">
        <v>2358.6296294035883</v>
      </c>
      <c r="BI155" s="65">
        <v>0</v>
      </c>
      <c r="BJ155" s="34">
        <v>51.512</v>
      </c>
      <c r="BK155" s="65">
        <f t="shared" si="95"/>
        <v>8305.5891428745654</v>
      </c>
      <c r="BL155" s="65"/>
      <c r="BM155" s="41">
        <v>7800.7912584849237</v>
      </c>
      <c r="BN155" s="41">
        <v>1522.710290428495</v>
      </c>
      <c r="BO155" s="65">
        <v>0</v>
      </c>
      <c r="BP155" s="34">
        <v>51.512</v>
      </c>
      <c r="BQ155" s="65">
        <f t="shared" si="75"/>
        <v>9375.0135489134191</v>
      </c>
      <c r="BR155" s="65"/>
      <c r="BS155" s="41">
        <v>8220.8015156627025</v>
      </c>
      <c r="BT155" s="314"/>
      <c r="BU155" s="314"/>
      <c r="BV155" s="41">
        <v>1615.7145147839626</v>
      </c>
      <c r="BW155" s="65">
        <v>0</v>
      </c>
      <c r="BX155" s="34">
        <v>51.512</v>
      </c>
      <c r="BY155" s="65">
        <f t="shared" si="96"/>
        <v>9888.0280304466651</v>
      </c>
      <c r="CA155" s="5">
        <v>8492.0691596497745</v>
      </c>
      <c r="CB155" s="407">
        <v>1729.8060882184752</v>
      </c>
      <c r="CC155" s="415">
        <v>0</v>
      </c>
      <c r="CD155" s="34">
        <v>51.512</v>
      </c>
      <c r="CE155" s="65">
        <f t="shared" si="76"/>
        <v>10273.38724786825</v>
      </c>
      <c r="CF155" s="407"/>
      <c r="CG155" s="5">
        <v>9575.9995143741653</v>
      </c>
      <c r="CH155" s="407">
        <v>1823.7814781621614</v>
      </c>
      <c r="CI155" s="415">
        <v>0</v>
      </c>
      <c r="CJ155" s="34">
        <v>51.512</v>
      </c>
      <c r="CK155" s="65">
        <f t="shared" si="77"/>
        <v>11451.292992536328</v>
      </c>
      <c r="CL155" s="407"/>
      <c r="CM155" s="41">
        <f>AU155/'1. Väestöennuste'!L155*1000</f>
        <v>2348.6208478463873</v>
      </c>
      <c r="CN155" s="41">
        <f>BC155/'1. Väestöennuste'!M155*1000</f>
        <v>718.30788010780259</v>
      </c>
      <c r="CO155" s="41">
        <f>BK155/'1. Väestöennuste'!N155*1000</f>
        <v>560.96103896221575</v>
      </c>
      <c r="CP155" s="41">
        <f>BQ155/'1. Väestöennuste'!O155*1000</f>
        <v>635.98219584244077</v>
      </c>
      <c r="CQ155" s="41">
        <f>BY155/'1. Väestöennuste'!P155*1000</f>
        <v>673.61727845538962</v>
      </c>
      <c r="CR155" s="41">
        <f>CE155/'1. Väestöennuste'!Q155*1000</f>
        <v>702.64600559936048</v>
      </c>
      <c r="CS155" s="41">
        <f>CK155/'1. Väestöennuste'!R155*1000</f>
        <v>786.32788522531951</v>
      </c>
      <c r="CT155" s="41"/>
      <c r="CV155" s="41">
        <f t="shared" si="78"/>
        <v>11399.780992536327</v>
      </c>
      <c r="CW155" s="41">
        <f t="shared" si="79"/>
        <v>-9102.672144689941</v>
      </c>
      <c r="CX155" s="41">
        <f t="shared" si="80"/>
        <v>-1630.3129677385846</v>
      </c>
      <c r="CY155" s="41">
        <f t="shared" si="81"/>
        <v>-157.34684114558684</v>
      </c>
      <c r="CZ155" s="41">
        <f t="shared" si="82"/>
        <v>75.021156880225021</v>
      </c>
      <c r="DA155" s="41">
        <f t="shared" si="83"/>
        <v>37.63508261294885</v>
      </c>
      <c r="DB155" s="41">
        <f t="shared" si="84"/>
        <v>29.028727143970855</v>
      </c>
      <c r="DC155" s="41">
        <f t="shared" si="85"/>
        <v>83.681879625959027</v>
      </c>
      <c r="DD155" s="41"/>
      <c r="DE155" s="283">
        <f t="shared" si="86"/>
        <v>221.30340488694532</v>
      </c>
      <c r="DF155" s="283">
        <f t="shared" si="87"/>
        <v>-0.79490343584980661</v>
      </c>
      <c r="DG155" s="283">
        <f t="shared" si="88"/>
        <v>-0.69415758155835638</v>
      </c>
      <c r="DH155" s="283">
        <f t="shared" si="89"/>
        <v>-0.21905208825214678</v>
      </c>
      <c r="DI155" s="283">
        <f t="shared" si="90"/>
        <v>0.13373684029645805</v>
      </c>
      <c r="DJ155" s="283">
        <f t="shared" si="91"/>
        <v>5.917631477575612E-2</v>
      </c>
      <c r="DK155" s="283">
        <f t="shared" si="92"/>
        <v>4.3093798321999673E-2</v>
      </c>
      <c r="DL155" s="283">
        <f t="shared" si="93"/>
        <v>0.11909536090592016</v>
      </c>
    </row>
    <row r="156" spans="1:116" x14ac:dyDescent="0.2">
      <c r="A156" s="30">
        <v>475</v>
      </c>
      <c r="B156" s="31" t="s">
        <v>470</v>
      </c>
      <c r="C156" s="65"/>
      <c r="D156" s="65"/>
      <c r="E156" s="65"/>
      <c r="F156" s="65"/>
      <c r="G156" s="65"/>
      <c r="H156" s="65">
        <v>16833</v>
      </c>
      <c r="I156" s="65"/>
      <c r="J156" s="65"/>
      <c r="K156" s="65"/>
      <c r="L156" s="65"/>
      <c r="M156" s="65"/>
      <c r="N156" s="65">
        <v>16508</v>
      </c>
      <c r="O156" s="65"/>
      <c r="P156" s="65"/>
      <c r="Q156" s="65"/>
      <c r="R156" s="65"/>
      <c r="S156" s="65"/>
      <c r="T156" s="65">
        <v>16447</v>
      </c>
      <c r="U156" s="65"/>
      <c r="V156" s="65"/>
      <c r="W156" s="65"/>
      <c r="X156" s="65"/>
      <c r="Y156" s="65"/>
      <c r="Z156" s="65">
        <v>16116</v>
      </c>
      <c r="AA156" s="65"/>
      <c r="AB156" s="66">
        <v>14916.358063680642</v>
      </c>
      <c r="AC156" s="34">
        <v>97.756403871630184</v>
      </c>
      <c r="AD156" s="180">
        <v>3064.46993588137</v>
      </c>
      <c r="AE156" s="65">
        <v>0</v>
      </c>
      <c r="AF156" s="34">
        <v>-13.122</v>
      </c>
      <c r="AG156" s="65">
        <f t="shared" si="72"/>
        <v>18065.462403433641</v>
      </c>
      <c r="AH156" s="65"/>
      <c r="AI156" s="66">
        <v>14678.231775611521</v>
      </c>
      <c r="AJ156" s="34">
        <v>-75.910133527235885</v>
      </c>
      <c r="AK156" s="181">
        <v>3279.2404843349541</v>
      </c>
      <c r="AL156" s="65">
        <v>0</v>
      </c>
      <c r="AM156" s="34">
        <v>-202.56800000000001</v>
      </c>
      <c r="AN156" s="65">
        <f t="shared" si="73"/>
        <v>17678.994126419238</v>
      </c>
      <c r="AO156" s="65"/>
      <c r="AP156" s="41">
        <v>15681.405174741338</v>
      </c>
      <c r="AQ156" s="41">
        <v>-23.443006885512062</v>
      </c>
      <c r="AR156" s="41">
        <v>3727.8461730509689</v>
      </c>
      <c r="AS156" s="65">
        <v>0</v>
      </c>
      <c r="AT156" s="34">
        <v>15.935</v>
      </c>
      <c r="AU156" s="65">
        <f t="shared" si="74"/>
        <v>19401.743340906796</v>
      </c>
      <c r="AV156" s="65"/>
      <c r="AW156" s="41">
        <v>4718.0047285125702</v>
      </c>
      <c r="AX156" s="314"/>
      <c r="AY156" s="314"/>
      <c r="AZ156" s="41">
        <v>1105.5856937992244</v>
      </c>
      <c r="BA156" s="65">
        <v>0</v>
      </c>
      <c r="BB156" s="34">
        <v>-203.971</v>
      </c>
      <c r="BC156" s="65">
        <f t="shared" si="94"/>
        <v>5619.6194223117946</v>
      </c>
      <c r="BD156" s="65"/>
      <c r="BE156" s="41">
        <v>4622.2294388864211</v>
      </c>
      <c r="BF156" s="314"/>
      <c r="BG156" s="314"/>
      <c r="BH156" s="41">
        <v>1089.5486860257197</v>
      </c>
      <c r="BI156" s="65">
        <v>0</v>
      </c>
      <c r="BJ156" s="34">
        <v>-194.70699999999999</v>
      </c>
      <c r="BK156" s="65">
        <f t="shared" si="95"/>
        <v>5517.0711249121405</v>
      </c>
      <c r="BL156" s="65"/>
      <c r="BM156" s="41">
        <v>5395.9763792509575</v>
      </c>
      <c r="BN156" s="41">
        <v>678.62095188943999</v>
      </c>
      <c r="BO156" s="65">
        <v>0</v>
      </c>
      <c r="BP156" s="34">
        <v>-194.70699999999999</v>
      </c>
      <c r="BQ156" s="65">
        <f t="shared" si="75"/>
        <v>5879.8903311403974</v>
      </c>
      <c r="BR156" s="65"/>
      <c r="BS156" s="41">
        <v>5069.0393317359749</v>
      </c>
      <c r="BT156" s="314"/>
      <c r="BU156" s="314"/>
      <c r="BV156" s="41">
        <v>729.93197767682955</v>
      </c>
      <c r="BW156" s="65">
        <v>0</v>
      </c>
      <c r="BX156" s="34">
        <v>-194.70699999999999</v>
      </c>
      <c r="BY156" s="65">
        <f t="shared" si="96"/>
        <v>5604.2643094128043</v>
      </c>
      <c r="CA156" s="5">
        <v>4874.9272078139993</v>
      </c>
      <c r="CB156" s="407">
        <v>781.98216615833292</v>
      </c>
      <c r="CC156" s="415">
        <v>0</v>
      </c>
      <c r="CD156" s="34">
        <v>-194.70699999999999</v>
      </c>
      <c r="CE156" s="65">
        <f t="shared" si="76"/>
        <v>5462.2023739723318</v>
      </c>
      <c r="CF156" s="407"/>
      <c r="CG156" s="5">
        <v>5368.8239425774964</v>
      </c>
      <c r="CH156" s="407">
        <v>827.02490760362059</v>
      </c>
      <c r="CI156" s="415">
        <v>0</v>
      </c>
      <c r="CJ156" s="34">
        <v>-194.70699999999999</v>
      </c>
      <c r="CK156" s="65">
        <f t="shared" si="77"/>
        <v>6001.1418501811168</v>
      </c>
      <c r="CL156" s="407"/>
      <c r="CM156" s="41">
        <f>AU156/'1. Väestöennuste'!L156*1000</f>
        <v>3541.1103013153488</v>
      </c>
      <c r="CN156" s="41">
        <f>BC156/'1. Väestöennuste'!M156*1000</f>
        <v>1029.988897051282</v>
      </c>
      <c r="CO156" s="41">
        <f>BK156/'1. Väestöennuste'!N156*1000</f>
        <v>1021.6798379466927</v>
      </c>
      <c r="CP156" s="41">
        <f>BQ156/'1. Väestöennuste'!O156*1000</f>
        <v>1091.2936769005935</v>
      </c>
      <c r="CQ156" s="41">
        <f>BY156/'1. Väestöennuste'!P156*1000</f>
        <v>1042.4598789830366</v>
      </c>
      <c r="CR156" s="41">
        <f>CE156/'1. Väestöennuste'!Q156*1000</f>
        <v>1018.6874998083424</v>
      </c>
      <c r="CS156" s="41">
        <f>CK156/'1. Väestöennuste'!R156*1000</f>
        <v>1123.5989234564906</v>
      </c>
      <c r="CT156" s="41"/>
      <c r="CV156" s="41">
        <f t="shared" si="78"/>
        <v>6195.8488501811171</v>
      </c>
      <c r="CW156" s="41">
        <f t="shared" si="79"/>
        <v>-2460.0315488657679</v>
      </c>
      <c r="CX156" s="41">
        <f t="shared" si="80"/>
        <v>-2511.1214042640668</v>
      </c>
      <c r="CY156" s="41">
        <f t="shared" si="81"/>
        <v>-8.3090591045893234</v>
      </c>
      <c r="CZ156" s="41">
        <f t="shared" si="82"/>
        <v>69.613838953900768</v>
      </c>
      <c r="DA156" s="41">
        <f t="shared" si="83"/>
        <v>-48.833797917556922</v>
      </c>
      <c r="DB156" s="41">
        <f t="shared" si="84"/>
        <v>-23.772379174694152</v>
      </c>
      <c r="DC156" s="41">
        <f t="shared" si="85"/>
        <v>104.91142364814823</v>
      </c>
      <c r="DD156" s="41"/>
      <c r="DE156" s="283">
        <f t="shared" si="86"/>
        <v>-31.821397536714741</v>
      </c>
      <c r="DF156" s="283">
        <f t="shared" si="87"/>
        <v>-0.40992724556102988</v>
      </c>
      <c r="DG156" s="283">
        <f t="shared" si="88"/>
        <v>-0.70913391297958395</v>
      </c>
      <c r="DH156" s="283">
        <f t="shared" si="89"/>
        <v>-8.0671346345354087E-3</v>
      </c>
      <c r="DI156" s="283">
        <f t="shared" si="90"/>
        <v>6.8136647478339446E-2</v>
      </c>
      <c r="DJ156" s="283">
        <f t="shared" si="91"/>
        <v>-4.4748539234874735E-2</v>
      </c>
      <c r="DK156" s="283">
        <f t="shared" si="92"/>
        <v>-2.2804119039943394E-2</v>
      </c>
      <c r="DL156" s="283">
        <f t="shared" si="93"/>
        <v>0.10298685678177698</v>
      </c>
    </row>
    <row r="157" spans="1:116" x14ac:dyDescent="0.2">
      <c r="A157" s="30">
        <v>480</v>
      </c>
      <c r="B157" s="31" t="s">
        <v>471</v>
      </c>
      <c r="C157" s="65"/>
      <c r="D157" s="65"/>
      <c r="E157" s="65"/>
      <c r="F157" s="65"/>
      <c r="G157" s="65"/>
      <c r="H157" s="65">
        <v>5050</v>
      </c>
      <c r="I157" s="65"/>
      <c r="J157" s="65"/>
      <c r="K157" s="65"/>
      <c r="L157" s="65"/>
      <c r="M157" s="65"/>
      <c r="N157" s="65">
        <v>5051</v>
      </c>
      <c r="O157" s="65"/>
      <c r="P157" s="65"/>
      <c r="Q157" s="65"/>
      <c r="R157" s="65"/>
      <c r="S157" s="65"/>
      <c r="T157" s="65">
        <v>4505</v>
      </c>
      <c r="U157" s="65"/>
      <c r="V157" s="65"/>
      <c r="W157" s="65"/>
      <c r="X157" s="65"/>
      <c r="Y157" s="65"/>
      <c r="Z157" s="65">
        <v>4534</v>
      </c>
      <c r="AA157" s="65"/>
      <c r="AB157" s="66">
        <v>4287.492415990404</v>
      </c>
      <c r="AC157" s="34">
        <v>33.005055734308471</v>
      </c>
      <c r="AD157" s="180">
        <v>1108.5641282404004</v>
      </c>
      <c r="AE157" s="65">
        <v>0</v>
      </c>
      <c r="AF157" s="34">
        <v>-395.89800000000002</v>
      </c>
      <c r="AG157" s="65">
        <f t="shared" si="72"/>
        <v>5033.1635999651126</v>
      </c>
      <c r="AH157" s="65"/>
      <c r="AI157" s="66">
        <v>4092.1199413324475</v>
      </c>
      <c r="AJ157" s="34">
        <v>-25.669016942471803</v>
      </c>
      <c r="AK157" s="181">
        <v>1186.9716814515141</v>
      </c>
      <c r="AL157" s="65">
        <v>0</v>
      </c>
      <c r="AM157" s="34">
        <v>-504.19200000000001</v>
      </c>
      <c r="AN157" s="65">
        <f t="shared" si="73"/>
        <v>4749.2306058414897</v>
      </c>
      <c r="AO157" s="65"/>
      <c r="AP157" s="41">
        <v>4345.774235937125</v>
      </c>
      <c r="AQ157" s="41">
        <v>-7.9464248202792476</v>
      </c>
      <c r="AR157" s="41">
        <v>1372.0553762742963</v>
      </c>
      <c r="AS157" s="65">
        <v>0</v>
      </c>
      <c r="AT157" s="34">
        <v>-475.71</v>
      </c>
      <c r="AU157" s="65">
        <f t="shared" si="74"/>
        <v>5234.1731873911422</v>
      </c>
      <c r="AV157" s="65"/>
      <c r="AW157" s="41">
        <v>1802.0414436831893</v>
      </c>
      <c r="AX157" s="314"/>
      <c r="AY157" s="314"/>
      <c r="AZ157" s="41">
        <v>434.72618160574729</v>
      </c>
      <c r="BA157" s="65">
        <v>0</v>
      </c>
      <c r="BB157" s="34">
        <v>-471.12900000000002</v>
      </c>
      <c r="BC157" s="65">
        <f t="shared" si="94"/>
        <v>1765.6386252889365</v>
      </c>
      <c r="BD157" s="65"/>
      <c r="BE157" s="41">
        <v>1745.9762746630427</v>
      </c>
      <c r="BF157" s="314"/>
      <c r="BG157" s="314"/>
      <c r="BH157" s="41">
        <v>425.02868870546325</v>
      </c>
      <c r="BI157" s="65">
        <v>0</v>
      </c>
      <c r="BJ157" s="34">
        <v>-502.12</v>
      </c>
      <c r="BK157" s="65">
        <f t="shared" si="95"/>
        <v>1668.8849633685059</v>
      </c>
      <c r="BL157" s="65"/>
      <c r="BM157" s="41">
        <v>1916.302351377512</v>
      </c>
      <c r="BN157" s="41">
        <v>296.0214260506657</v>
      </c>
      <c r="BO157" s="65">
        <v>0</v>
      </c>
      <c r="BP157" s="34">
        <v>-502.12</v>
      </c>
      <c r="BQ157" s="65">
        <f t="shared" si="75"/>
        <v>1710.203777428178</v>
      </c>
      <c r="BR157" s="65"/>
      <c r="BS157" s="41">
        <v>1962.54387844489</v>
      </c>
      <c r="BT157" s="314"/>
      <c r="BU157" s="314"/>
      <c r="BV157" s="41">
        <v>313.10266861841211</v>
      </c>
      <c r="BW157" s="65">
        <v>0</v>
      </c>
      <c r="BX157" s="34">
        <v>-502.12</v>
      </c>
      <c r="BY157" s="65">
        <f t="shared" si="96"/>
        <v>1773.5265470633021</v>
      </c>
      <c r="CA157" s="5">
        <v>1887.0035731459584</v>
      </c>
      <c r="CB157" s="407">
        <v>331.64075359110723</v>
      </c>
      <c r="CC157" s="415">
        <v>0</v>
      </c>
      <c r="CD157" s="34">
        <v>-502.12</v>
      </c>
      <c r="CE157" s="65">
        <f t="shared" si="76"/>
        <v>1716.5243267370656</v>
      </c>
      <c r="CF157" s="407"/>
      <c r="CG157" s="5">
        <v>2050.3668081152396</v>
      </c>
      <c r="CH157" s="407">
        <v>347.55442967935414</v>
      </c>
      <c r="CI157" s="415">
        <v>0</v>
      </c>
      <c r="CJ157" s="34">
        <v>-502.12</v>
      </c>
      <c r="CK157" s="65">
        <f t="shared" si="77"/>
        <v>1895.8012377945938</v>
      </c>
      <c r="CL157" s="407"/>
      <c r="CM157" s="41">
        <f>AU157/'1. Väestöennuste'!L157*1000</f>
        <v>2646.1947357892532</v>
      </c>
      <c r="CN157" s="41">
        <f>BC157/'1. Väestöennuste'!M157*1000</f>
        <v>914.83866595281677</v>
      </c>
      <c r="CO157" s="41">
        <f>BK157/'1. Väestöennuste'!N157*1000</f>
        <v>842.44571598612106</v>
      </c>
      <c r="CP157" s="41">
        <f>BQ157/'1. Väestöennuste'!O157*1000</f>
        <v>865.04996329194637</v>
      </c>
      <c r="CQ157" s="41">
        <f>BY157/'1. Väestöennuste'!P157*1000</f>
        <v>898.44303296013288</v>
      </c>
      <c r="CR157" s="41">
        <f>CE157/'1. Väestöennuste'!Q157*1000</f>
        <v>871.77467076539654</v>
      </c>
      <c r="CS157" s="41">
        <f>CK157/'1. Väestöennuste'!R157*1000</f>
        <v>966.75228852350529</v>
      </c>
      <c r="CT157" s="41"/>
      <c r="CV157" s="41">
        <f t="shared" si="78"/>
        <v>2397.9212377945937</v>
      </c>
      <c r="CW157" s="41">
        <f t="shared" si="79"/>
        <v>750.39349799465936</v>
      </c>
      <c r="CX157" s="41">
        <f t="shared" si="80"/>
        <v>-1731.3560698364363</v>
      </c>
      <c r="CY157" s="41">
        <f t="shared" si="81"/>
        <v>-72.39294996669571</v>
      </c>
      <c r="CZ157" s="41">
        <f t="shared" si="82"/>
        <v>22.604247305825311</v>
      </c>
      <c r="DA157" s="41">
        <f t="shared" si="83"/>
        <v>33.393069668186513</v>
      </c>
      <c r="DB157" s="41">
        <f t="shared" si="84"/>
        <v>-26.668362194736346</v>
      </c>
      <c r="DC157" s="41">
        <f t="shared" si="85"/>
        <v>94.97761775810875</v>
      </c>
      <c r="DD157" s="41"/>
      <c r="DE157" s="283">
        <f t="shared" si="86"/>
        <v>-4.7755939572106145</v>
      </c>
      <c r="DF157" s="283">
        <f t="shared" si="87"/>
        <v>0.39581865600404409</v>
      </c>
      <c r="DG157" s="283">
        <f t="shared" si="88"/>
        <v>-0.65428142774989029</v>
      </c>
      <c r="DH157" s="283">
        <f t="shared" si="89"/>
        <v>-7.9131930755569319E-2</v>
      </c>
      <c r="DI157" s="283">
        <f t="shared" si="90"/>
        <v>2.6831695950125415E-2</v>
      </c>
      <c r="DJ157" s="283">
        <f t="shared" si="91"/>
        <v>3.8602475099945945E-2</v>
      </c>
      <c r="DK157" s="283">
        <f t="shared" si="92"/>
        <v>-2.9682863817053737E-2</v>
      </c>
      <c r="DL157" s="283">
        <f t="shared" si="93"/>
        <v>0.10894743899214318</v>
      </c>
    </row>
    <row r="158" spans="1:116" x14ac:dyDescent="0.2">
      <c r="A158" s="30">
        <v>481</v>
      </c>
      <c r="B158" s="31" t="s">
        <v>472</v>
      </c>
      <c r="C158" s="65"/>
      <c r="D158" s="65"/>
      <c r="E158" s="65"/>
      <c r="F158" s="65"/>
      <c r="G158" s="65"/>
      <c r="H158" s="65">
        <v>8681</v>
      </c>
      <c r="I158" s="65"/>
      <c r="J158" s="65"/>
      <c r="K158" s="65"/>
      <c r="L158" s="65"/>
      <c r="M158" s="65"/>
      <c r="N158" s="65">
        <v>8628</v>
      </c>
      <c r="O158" s="65"/>
      <c r="P158" s="65"/>
      <c r="Q158" s="65"/>
      <c r="R158" s="65"/>
      <c r="S158" s="65"/>
      <c r="T158" s="65">
        <v>7766</v>
      </c>
      <c r="U158" s="65"/>
      <c r="V158" s="65"/>
      <c r="W158" s="65"/>
      <c r="X158" s="65"/>
      <c r="Y158" s="65"/>
      <c r="Z158" s="65">
        <v>7479</v>
      </c>
      <c r="AA158" s="65"/>
      <c r="AB158" s="66">
        <v>9958.5982108919707</v>
      </c>
      <c r="AC158" s="34">
        <v>199.99041094644386</v>
      </c>
      <c r="AD158" s="180">
        <v>3347.7024811460724</v>
      </c>
      <c r="AE158" s="65">
        <v>0</v>
      </c>
      <c r="AF158" s="34">
        <v>-1809.8109999999999</v>
      </c>
      <c r="AG158" s="65">
        <f t="shared" si="72"/>
        <v>11696.480102984488</v>
      </c>
      <c r="AH158" s="65"/>
      <c r="AI158" s="66">
        <v>8001.1658071975771</v>
      </c>
      <c r="AJ158" s="34">
        <v>-155.59138354749041</v>
      </c>
      <c r="AK158" s="181">
        <v>3620.3048766092907</v>
      </c>
      <c r="AL158" s="65">
        <v>0</v>
      </c>
      <c r="AM158" s="34">
        <v>-2344.8150000000001</v>
      </c>
      <c r="AN158" s="65">
        <f t="shared" si="73"/>
        <v>9121.064300259377</v>
      </c>
      <c r="AO158" s="65"/>
      <c r="AP158" s="41">
        <v>8264.387683695124</v>
      </c>
      <c r="AQ158" s="41">
        <v>-48.203647670182697</v>
      </c>
      <c r="AR158" s="41">
        <v>4286.9866042655667</v>
      </c>
      <c r="AS158" s="65">
        <v>0</v>
      </c>
      <c r="AT158" s="34">
        <v>-1858.7950000000001</v>
      </c>
      <c r="AU158" s="65">
        <f t="shared" si="74"/>
        <v>10644.375640290507</v>
      </c>
      <c r="AV158" s="65"/>
      <c r="AW158" s="41">
        <v>7041.1499733245373</v>
      </c>
      <c r="AX158" s="314"/>
      <c r="AY158" s="314"/>
      <c r="AZ158" s="41">
        <v>1262.4957103223633</v>
      </c>
      <c r="BA158" s="65">
        <v>0</v>
      </c>
      <c r="BB158" s="34">
        <v>-2046.174</v>
      </c>
      <c r="BC158" s="65">
        <f t="shared" si="94"/>
        <v>6257.4716836469006</v>
      </c>
      <c r="BD158" s="65"/>
      <c r="BE158" s="41">
        <v>6175.6295933437923</v>
      </c>
      <c r="BF158" s="314"/>
      <c r="BG158" s="314"/>
      <c r="BH158" s="41">
        <v>1209.8358994331209</v>
      </c>
      <c r="BI158" s="65">
        <v>0</v>
      </c>
      <c r="BJ158" s="34">
        <v>-2205.4169999999999</v>
      </c>
      <c r="BK158" s="65">
        <f t="shared" si="95"/>
        <v>5180.0484927769139</v>
      </c>
      <c r="BL158" s="65"/>
      <c r="BM158" s="41">
        <v>6635.6027858138768</v>
      </c>
      <c r="BN158" s="41">
        <v>588.87752633271225</v>
      </c>
      <c r="BO158" s="65">
        <v>0</v>
      </c>
      <c r="BP158" s="34">
        <v>-2205.4169999999999</v>
      </c>
      <c r="BQ158" s="65">
        <f t="shared" si="75"/>
        <v>5019.0633121465889</v>
      </c>
      <c r="BR158" s="65"/>
      <c r="BS158" s="41">
        <v>7210.5454624150716</v>
      </c>
      <c r="BT158" s="314"/>
      <c r="BU158" s="314"/>
      <c r="BV158" s="41">
        <v>629.69381443647444</v>
      </c>
      <c r="BW158" s="65">
        <v>0</v>
      </c>
      <c r="BX158" s="34">
        <v>-2205.4169999999999</v>
      </c>
      <c r="BY158" s="65">
        <f t="shared" si="96"/>
        <v>5634.8222768515461</v>
      </c>
      <c r="CA158" s="5">
        <v>7180.7589214517875</v>
      </c>
      <c r="CB158" s="407">
        <v>695.7333323647199</v>
      </c>
      <c r="CC158" s="415">
        <v>0</v>
      </c>
      <c r="CD158" s="34">
        <v>-2205.4169999999999</v>
      </c>
      <c r="CE158" s="65">
        <f t="shared" si="76"/>
        <v>5671.075253816507</v>
      </c>
      <c r="CF158" s="407"/>
      <c r="CG158" s="5">
        <v>7088.6318153754</v>
      </c>
      <c r="CH158" s="407">
        <v>748.81520350249946</v>
      </c>
      <c r="CI158" s="415">
        <v>0</v>
      </c>
      <c r="CJ158" s="34">
        <v>-2205.4169999999999</v>
      </c>
      <c r="CK158" s="65">
        <f t="shared" si="77"/>
        <v>5632.0300188779001</v>
      </c>
      <c r="CL158" s="407"/>
      <c r="CM158" s="41">
        <f>AU158/'1. Väestöennuste'!L158*1000</f>
        <v>1103.9593072278062</v>
      </c>
      <c r="CN158" s="41">
        <f>BC158/'1. Väestöennuste'!M158*1000</f>
        <v>650.53245489623669</v>
      </c>
      <c r="CO158" s="41">
        <f>BK158/'1. Väestöennuste'!N158*1000</f>
        <v>546.76467097075295</v>
      </c>
      <c r="CP158" s="41">
        <f>BQ158/'1. Väestöennuste'!O158*1000</f>
        <v>530.78080712210124</v>
      </c>
      <c r="CQ158" s="41">
        <f>BY158/'1. Väestöennuste'!P158*1000</f>
        <v>596.78270248374781</v>
      </c>
      <c r="CR158" s="41">
        <f>CE158/'1. Väestöennuste'!Q158*1000</f>
        <v>601.32279226131982</v>
      </c>
      <c r="CS158" s="41">
        <f>CK158/'1. Väestöennuste'!R158*1000</f>
        <v>597.75313297366802</v>
      </c>
      <c r="CT158" s="41"/>
      <c r="CV158" s="41">
        <f t="shared" si="78"/>
        <v>7837.4470188778996</v>
      </c>
      <c r="CW158" s="41">
        <f t="shared" si="79"/>
        <v>-4528.0707116500944</v>
      </c>
      <c r="CX158" s="41">
        <f t="shared" si="80"/>
        <v>-453.42685233156953</v>
      </c>
      <c r="CY158" s="41">
        <f t="shared" si="81"/>
        <v>-103.76778392548374</v>
      </c>
      <c r="CZ158" s="41">
        <f t="shared" si="82"/>
        <v>-15.983863848651708</v>
      </c>
      <c r="DA158" s="41">
        <f t="shared" si="83"/>
        <v>66.001895361646575</v>
      </c>
      <c r="DB158" s="41">
        <f t="shared" si="84"/>
        <v>4.5400897775720068</v>
      </c>
      <c r="DC158" s="41">
        <f t="shared" si="85"/>
        <v>-3.5696592876518025</v>
      </c>
      <c r="DD158" s="41"/>
      <c r="DE158" s="283">
        <f t="shared" si="86"/>
        <v>-3.5537256758598939</v>
      </c>
      <c r="DF158" s="283">
        <f t="shared" si="87"/>
        <v>-0.8039855427745477</v>
      </c>
      <c r="DG158" s="283">
        <f t="shared" si="88"/>
        <v>-0.41072786774196124</v>
      </c>
      <c r="DH158" s="283">
        <f t="shared" si="89"/>
        <v>-0.15951207836669001</v>
      </c>
      <c r="DI158" s="283">
        <f t="shared" si="90"/>
        <v>-2.9233534456923064E-2</v>
      </c>
      <c r="DJ158" s="283">
        <f t="shared" si="91"/>
        <v>0.12434868494870699</v>
      </c>
      <c r="DK158" s="283">
        <f t="shared" si="92"/>
        <v>7.6076095347211358E-3</v>
      </c>
      <c r="DL158" s="283">
        <f t="shared" si="93"/>
        <v>-5.9363445616751514E-3</v>
      </c>
    </row>
    <row r="159" spans="1:116" x14ac:dyDescent="0.2">
      <c r="A159" s="30">
        <v>483</v>
      </c>
      <c r="B159" s="31" t="s">
        <v>473</v>
      </c>
      <c r="C159" s="65"/>
      <c r="D159" s="65"/>
      <c r="E159" s="65"/>
      <c r="F159" s="65"/>
      <c r="G159" s="65"/>
      <c r="H159" s="65">
        <v>4039</v>
      </c>
      <c r="I159" s="65"/>
      <c r="J159" s="65"/>
      <c r="K159" s="65"/>
      <c r="L159" s="65"/>
      <c r="M159" s="65"/>
      <c r="N159" s="65">
        <v>4303</v>
      </c>
      <c r="O159" s="65"/>
      <c r="P159" s="65"/>
      <c r="Q159" s="65"/>
      <c r="R159" s="65"/>
      <c r="S159" s="65"/>
      <c r="T159" s="65">
        <v>4197</v>
      </c>
      <c r="U159" s="65"/>
      <c r="V159" s="65"/>
      <c r="W159" s="65"/>
      <c r="X159" s="65"/>
      <c r="Y159" s="65"/>
      <c r="Z159" s="65">
        <v>4190</v>
      </c>
      <c r="AA159" s="65"/>
      <c r="AB159" s="66">
        <v>4059.64447205324</v>
      </c>
      <c r="AC159" s="34">
        <v>13.201242491035869</v>
      </c>
      <c r="AD159" s="180">
        <v>634.46025958149824</v>
      </c>
      <c r="AE159" s="65">
        <v>150</v>
      </c>
      <c r="AF159" s="34">
        <v>-175</v>
      </c>
      <c r="AG159" s="65">
        <f t="shared" si="72"/>
        <v>4682.3059741257739</v>
      </c>
      <c r="AH159" s="65"/>
      <c r="AI159" s="66">
        <v>4121.1031716097405</v>
      </c>
      <c r="AJ159" s="34">
        <v>-10.272224907158868</v>
      </c>
      <c r="AK159" s="181">
        <v>678.53100708014153</v>
      </c>
      <c r="AL159" s="65">
        <v>0</v>
      </c>
      <c r="AM159" s="34">
        <v>-276.47199999999998</v>
      </c>
      <c r="AN159" s="65">
        <f t="shared" si="73"/>
        <v>4512.8899537827238</v>
      </c>
      <c r="AO159" s="65"/>
      <c r="AP159" s="41">
        <v>4147.4858493449647</v>
      </c>
      <c r="AQ159" s="41">
        <v>-3.1635612327578291</v>
      </c>
      <c r="AR159" s="41">
        <v>770.25593460210757</v>
      </c>
      <c r="AS159" s="65">
        <v>0</v>
      </c>
      <c r="AT159" s="34">
        <v>-282.81599999999997</v>
      </c>
      <c r="AU159" s="65">
        <f t="shared" si="74"/>
        <v>4631.7622227143138</v>
      </c>
      <c r="AV159" s="65"/>
      <c r="AW159" s="41">
        <v>1906.729777571097</v>
      </c>
      <c r="AX159" s="314"/>
      <c r="AY159" s="314"/>
      <c r="AZ159" s="41">
        <v>241.77301546562791</v>
      </c>
      <c r="BA159" s="65">
        <v>128</v>
      </c>
      <c r="BB159" s="34">
        <v>-208.749</v>
      </c>
      <c r="BC159" s="65">
        <f t="shared" si="94"/>
        <v>2067.7537930367253</v>
      </c>
      <c r="BD159" s="65"/>
      <c r="BE159" s="41">
        <v>1535.8843849482168</v>
      </c>
      <c r="BF159" s="314"/>
      <c r="BG159" s="314"/>
      <c r="BH159" s="41">
        <v>239.93547596454331</v>
      </c>
      <c r="BI159" s="65">
        <v>0</v>
      </c>
      <c r="BJ159" s="34">
        <v>-214.858</v>
      </c>
      <c r="BK159" s="65">
        <f t="shared" si="95"/>
        <v>1560.9618609127601</v>
      </c>
      <c r="BL159" s="65"/>
      <c r="BM159" s="41">
        <v>1793.1246557340621</v>
      </c>
      <c r="BN159" s="41">
        <v>162.01032521191058</v>
      </c>
      <c r="BO159" s="65">
        <v>0</v>
      </c>
      <c r="BP159" s="34">
        <v>-214.858</v>
      </c>
      <c r="BQ159" s="65">
        <f t="shared" si="75"/>
        <v>1740.2769809459728</v>
      </c>
      <c r="BR159" s="65"/>
      <c r="BS159" s="41">
        <v>1840.1610251424911</v>
      </c>
      <c r="BT159" s="314"/>
      <c r="BU159" s="314"/>
      <c r="BV159" s="41">
        <v>174.15472506401696</v>
      </c>
      <c r="BW159" s="65">
        <v>0</v>
      </c>
      <c r="BX159" s="34">
        <v>-214.858</v>
      </c>
      <c r="BY159" s="65">
        <f t="shared" si="96"/>
        <v>1799.4577502065081</v>
      </c>
      <c r="CA159" s="5">
        <v>1869.3779458367844</v>
      </c>
      <c r="CB159" s="407">
        <v>185.96421215306174</v>
      </c>
      <c r="CC159" s="415">
        <v>0</v>
      </c>
      <c r="CD159" s="34">
        <v>-214.858</v>
      </c>
      <c r="CE159" s="65">
        <f t="shared" si="76"/>
        <v>1840.4841579898464</v>
      </c>
      <c r="CF159" s="407"/>
      <c r="CG159" s="5">
        <v>2126.6798692097814</v>
      </c>
      <c r="CH159" s="407">
        <v>196.42284352719534</v>
      </c>
      <c r="CI159" s="415">
        <v>0</v>
      </c>
      <c r="CJ159" s="34">
        <v>-214.858</v>
      </c>
      <c r="CK159" s="65">
        <f t="shared" si="77"/>
        <v>2108.2447127369765</v>
      </c>
      <c r="CL159" s="407"/>
      <c r="CM159" s="41">
        <f>AU159/'1. Väestöennuste'!L159*1000</f>
        <v>4340.9205461240053</v>
      </c>
      <c r="CN159" s="41">
        <f>BC159/'1. Väestöennuste'!M159*1000</f>
        <v>1959.9562019305451</v>
      </c>
      <c r="CO159" s="41">
        <f>BK159/'1. Väestöennuste'!N159*1000</f>
        <v>1530.3547656007452</v>
      </c>
      <c r="CP159" s="41">
        <f>BQ159/'1. Väestöennuste'!O159*1000</f>
        <v>1729.8975953737304</v>
      </c>
      <c r="CQ159" s="41">
        <f>BY159/'1. Väestöennuste'!P159*1000</f>
        <v>1812.1427494526768</v>
      </c>
      <c r="CR159" s="41">
        <f>CE159/'1. Väestöennuste'!Q159*1000</f>
        <v>1879.9633891622539</v>
      </c>
      <c r="CS159" s="41">
        <f>CK159/'1. Väestöennuste'!R159*1000</f>
        <v>2175.6911380154556</v>
      </c>
      <c r="CT159" s="41"/>
      <c r="CV159" s="41">
        <f t="shared" si="78"/>
        <v>2323.1027127369766</v>
      </c>
      <c r="CW159" s="41">
        <f t="shared" si="79"/>
        <v>2232.6758333870289</v>
      </c>
      <c r="CX159" s="41">
        <f t="shared" si="80"/>
        <v>-2380.9643441934604</v>
      </c>
      <c r="CY159" s="41">
        <f t="shared" si="81"/>
        <v>-429.60143632979998</v>
      </c>
      <c r="CZ159" s="41">
        <f t="shared" si="82"/>
        <v>199.54282977298521</v>
      </c>
      <c r="DA159" s="41">
        <f t="shared" si="83"/>
        <v>82.245154078946371</v>
      </c>
      <c r="DB159" s="41">
        <f t="shared" si="84"/>
        <v>67.820639709577108</v>
      </c>
      <c r="DC159" s="41">
        <f t="shared" si="85"/>
        <v>295.72774885320177</v>
      </c>
      <c r="DD159" s="41"/>
      <c r="DE159" s="283">
        <f t="shared" si="86"/>
        <v>-10.81227002362945</v>
      </c>
      <c r="DF159" s="283">
        <f t="shared" si="87"/>
        <v>1.0590211942182521</v>
      </c>
      <c r="DG159" s="283">
        <f t="shared" si="88"/>
        <v>-0.54849295648118146</v>
      </c>
      <c r="DH159" s="283">
        <f t="shared" si="89"/>
        <v>-0.21918930428478203</v>
      </c>
      <c r="DI159" s="283">
        <f t="shared" si="90"/>
        <v>0.13038991628496946</v>
      </c>
      <c r="DJ159" s="283">
        <f t="shared" si="91"/>
        <v>4.7543365745402966E-2</v>
      </c>
      <c r="DK159" s="283">
        <f t="shared" si="92"/>
        <v>3.7425660715780282E-2</v>
      </c>
      <c r="DL159" s="283">
        <f t="shared" si="93"/>
        <v>0.15730505740592293</v>
      </c>
    </row>
    <row r="160" spans="1:116" x14ac:dyDescent="0.2">
      <c r="A160" s="30">
        <v>484</v>
      </c>
      <c r="B160" s="31" t="s">
        <v>474</v>
      </c>
      <c r="C160" s="65"/>
      <c r="D160" s="65"/>
      <c r="E160" s="65"/>
      <c r="F160" s="65"/>
      <c r="G160" s="65"/>
      <c r="H160" s="65">
        <v>12486</v>
      </c>
      <c r="I160" s="65"/>
      <c r="J160" s="65"/>
      <c r="K160" s="65"/>
      <c r="L160" s="65"/>
      <c r="M160" s="65"/>
      <c r="N160" s="65">
        <v>12279</v>
      </c>
      <c r="O160" s="65"/>
      <c r="P160" s="65"/>
      <c r="Q160" s="65"/>
      <c r="R160" s="65"/>
      <c r="S160" s="65"/>
      <c r="T160" s="65">
        <v>11723</v>
      </c>
      <c r="U160" s="65"/>
      <c r="V160" s="65"/>
      <c r="W160" s="65"/>
      <c r="X160" s="65"/>
      <c r="Y160" s="65"/>
      <c r="Z160" s="65">
        <v>11582</v>
      </c>
      <c r="AA160" s="65"/>
      <c r="AB160" s="66">
        <v>10318.936965821031</v>
      </c>
      <c r="AC160" s="34">
        <v>53.870975088215914</v>
      </c>
      <c r="AD160" s="180">
        <v>1652.9125460128107</v>
      </c>
      <c r="AE160" s="65">
        <v>0</v>
      </c>
      <c r="AF160" s="34">
        <v>266.48200000000003</v>
      </c>
      <c r="AG160" s="65">
        <f t="shared" si="72"/>
        <v>12292.202486922057</v>
      </c>
      <c r="AH160" s="65"/>
      <c r="AI160" s="66">
        <v>9915.629862205169</v>
      </c>
      <c r="AJ160" s="34">
        <v>-40.780099130469615</v>
      </c>
      <c r="AK160" s="181">
        <v>1762.7680024054666</v>
      </c>
      <c r="AL160" s="65">
        <v>0</v>
      </c>
      <c r="AM160" s="34">
        <v>172.387</v>
      </c>
      <c r="AN160" s="65">
        <f t="shared" si="73"/>
        <v>11810.004765480166</v>
      </c>
      <c r="AO160" s="65"/>
      <c r="AP160" s="41">
        <v>9220.5563121283885</v>
      </c>
      <c r="AQ160" s="41">
        <v>-12.355081841906754</v>
      </c>
      <c r="AR160" s="41">
        <v>1970.8979964894991</v>
      </c>
      <c r="AS160" s="65">
        <v>0</v>
      </c>
      <c r="AT160" s="34">
        <v>287.05200000000002</v>
      </c>
      <c r="AU160" s="65">
        <f t="shared" si="74"/>
        <v>11466.151226775981</v>
      </c>
      <c r="AV160" s="65"/>
      <c r="AW160" s="41">
        <v>590.11953268826346</v>
      </c>
      <c r="AX160" s="314"/>
      <c r="AY160" s="314"/>
      <c r="AZ160" s="41">
        <v>607.77147088380627</v>
      </c>
      <c r="BA160" s="65">
        <v>0</v>
      </c>
      <c r="BB160" s="34">
        <v>149.828</v>
      </c>
      <c r="BC160" s="65">
        <f t="shared" si="94"/>
        <v>1347.7190035720696</v>
      </c>
      <c r="BD160" s="65"/>
      <c r="BE160" s="41">
        <v>1368.054239244756</v>
      </c>
      <c r="BF160" s="314"/>
      <c r="BG160" s="314"/>
      <c r="BH160" s="41">
        <v>603.63427597390398</v>
      </c>
      <c r="BI160" s="65">
        <v>0</v>
      </c>
      <c r="BJ160" s="34">
        <v>297.35300000000001</v>
      </c>
      <c r="BK160" s="65">
        <f t="shared" si="95"/>
        <v>2269.0415152186602</v>
      </c>
      <c r="BL160" s="65"/>
      <c r="BM160" s="41">
        <v>1275.5642504742327</v>
      </c>
      <c r="BN160" s="41">
        <v>450.61093153522376</v>
      </c>
      <c r="BO160" s="65">
        <v>0</v>
      </c>
      <c r="BP160" s="34">
        <v>297.35300000000001</v>
      </c>
      <c r="BQ160" s="65">
        <f t="shared" si="75"/>
        <v>2023.5281820094565</v>
      </c>
      <c r="BR160" s="65"/>
      <c r="BS160" s="41">
        <v>469.60600596476991</v>
      </c>
      <c r="BT160" s="314"/>
      <c r="BU160" s="314"/>
      <c r="BV160" s="41">
        <v>478.19236577764804</v>
      </c>
      <c r="BW160" s="65">
        <v>0</v>
      </c>
      <c r="BX160" s="34">
        <v>297.35300000000001</v>
      </c>
      <c r="BY160" s="65">
        <f t="shared" si="96"/>
        <v>1245.151371742418</v>
      </c>
      <c r="CA160" s="5">
        <v>605.28465898894069</v>
      </c>
      <c r="CB160" s="407">
        <v>505.9056344779712</v>
      </c>
      <c r="CC160" s="415">
        <v>0</v>
      </c>
      <c r="CD160" s="34">
        <v>297.35300000000001</v>
      </c>
      <c r="CE160" s="65">
        <f t="shared" si="76"/>
        <v>1408.543293466912</v>
      </c>
      <c r="CF160" s="407"/>
      <c r="CG160" s="5">
        <v>769.31417439513746</v>
      </c>
      <c r="CH160" s="407">
        <v>529.87147095016394</v>
      </c>
      <c r="CI160" s="415">
        <v>0</v>
      </c>
      <c r="CJ160" s="34">
        <v>297.35300000000001</v>
      </c>
      <c r="CK160" s="65">
        <f t="shared" si="77"/>
        <v>1596.5386453453016</v>
      </c>
      <c r="CL160" s="407"/>
      <c r="CM160" s="41">
        <f>AU160/'1. Väestöennuste'!L160*1000</f>
        <v>3864.5605752531114</v>
      </c>
      <c r="CN160" s="41">
        <f>BC160/'1. Väestöennuste'!M160*1000</f>
        <v>454.38941455565396</v>
      </c>
      <c r="CO160" s="41">
        <f>BK160/'1. Väestöennuste'!N160*1000</f>
        <v>761.1679017841866</v>
      </c>
      <c r="CP160" s="41">
        <f>BQ160/'1. Väestöennuste'!O160*1000</f>
        <v>682.47156222915908</v>
      </c>
      <c r="CQ160" s="41">
        <f>BY160/'1. Väestöennuste'!P160*1000</f>
        <v>422.08521076014165</v>
      </c>
      <c r="CR160" s="41">
        <f>CE160/'1. Väestöennuste'!Q160*1000</f>
        <v>480.23978638490013</v>
      </c>
      <c r="CS160" s="41">
        <f>CK160/'1. Väestöennuste'!R160*1000</f>
        <v>546.94712070753735</v>
      </c>
      <c r="CT160" s="41"/>
      <c r="CV160" s="41">
        <f t="shared" si="78"/>
        <v>1299.1856453453015</v>
      </c>
      <c r="CW160" s="41">
        <f t="shared" si="79"/>
        <v>2268.0219299078099</v>
      </c>
      <c r="CX160" s="41">
        <f t="shared" si="80"/>
        <v>-3410.1711606974577</v>
      </c>
      <c r="CY160" s="41">
        <f t="shared" si="81"/>
        <v>306.77848722853264</v>
      </c>
      <c r="CZ160" s="41">
        <f t="shared" si="82"/>
        <v>-78.696339555027521</v>
      </c>
      <c r="DA160" s="41">
        <f t="shared" si="83"/>
        <v>-260.38635146901743</v>
      </c>
      <c r="DB160" s="41">
        <f t="shared" si="84"/>
        <v>58.154575624758479</v>
      </c>
      <c r="DC160" s="41">
        <f t="shared" si="85"/>
        <v>66.707334322637223</v>
      </c>
      <c r="DD160" s="41"/>
      <c r="DE160" s="283">
        <f t="shared" si="86"/>
        <v>4.3691694563206074</v>
      </c>
      <c r="DF160" s="283">
        <f t="shared" si="87"/>
        <v>1.4205869281775381</v>
      </c>
      <c r="DG160" s="283">
        <f t="shared" si="88"/>
        <v>-0.88242145369246971</v>
      </c>
      <c r="DH160" s="283">
        <f t="shared" si="89"/>
        <v>0.67514444087244063</v>
      </c>
      <c r="DI160" s="283">
        <f t="shared" si="90"/>
        <v>-0.1033889360948647</v>
      </c>
      <c r="DJ160" s="283">
        <f t="shared" si="91"/>
        <v>-0.38153436110732092</v>
      </c>
      <c r="DK160" s="283">
        <f t="shared" si="92"/>
        <v>0.1377792306914207</v>
      </c>
      <c r="DL160" s="283">
        <f t="shared" si="93"/>
        <v>0.13890422287747098</v>
      </c>
    </row>
    <row r="161" spans="1:116" x14ac:dyDescent="0.2">
      <c r="A161" s="30">
        <v>489</v>
      </c>
      <c r="B161" s="31" t="s">
        <v>475</v>
      </c>
      <c r="C161" s="65"/>
      <c r="D161" s="65"/>
      <c r="E161" s="65"/>
      <c r="F161" s="65"/>
      <c r="G161" s="65"/>
      <c r="H161" s="65">
        <v>7645</v>
      </c>
      <c r="I161" s="65"/>
      <c r="J161" s="65"/>
      <c r="K161" s="65"/>
      <c r="L161" s="65"/>
      <c r="M161" s="65"/>
      <c r="N161" s="65">
        <v>7836</v>
      </c>
      <c r="O161" s="65"/>
      <c r="P161" s="65"/>
      <c r="Q161" s="65"/>
      <c r="R161" s="65"/>
      <c r="S161" s="65"/>
      <c r="T161" s="65">
        <v>7806</v>
      </c>
      <c r="U161" s="65"/>
      <c r="V161" s="65"/>
      <c r="W161" s="65"/>
      <c r="X161" s="65"/>
      <c r="Y161" s="65"/>
      <c r="Z161" s="65">
        <v>7775</v>
      </c>
      <c r="AA161" s="65"/>
      <c r="AB161" s="66">
        <v>7305.4285147065511</v>
      </c>
      <c r="AC161" s="34">
        <v>28.12912215484533</v>
      </c>
      <c r="AD161" s="180">
        <v>1184.029859624995</v>
      </c>
      <c r="AE161" s="65">
        <v>0</v>
      </c>
      <c r="AF161" s="34">
        <v>-380.60199999999998</v>
      </c>
      <c r="AG161" s="65">
        <f t="shared" si="72"/>
        <v>8136.9854964863907</v>
      </c>
      <c r="AH161" s="65"/>
      <c r="AI161" s="66">
        <v>7131.0709603143896</v>
      </c>
      <c r="AJ161" s="34">
        <v>-21.478791840139852</v>
      </c>
      <c r="AK161" s="181">
        <v>1255.3472312166602</v>
      </c>
      <c r="AL161" s="65">
        <v>0</v>
      </c>
      <c r="AM161" s="34">
        <v>-405.745</v>
      </c>
      <c r="AN161" s="65">
        <f t="shared" si="73"/>
        <v>7959.1943996909094</v>
      </c>
      <c r="AO161" s="65"/>
      <c r="AP161" s="41">
        <v>7132.3219398948795</v>
      </c>
      <c r="AQ161" s="41">
        <v>-6.5502823121105349</v>
      </c>
      <c r="AR161" s="41">
        <v>1408.2246723305295</v>
      </c>
      <c r="AS161" s="65">
        <v>330</v>
      </c>
      <c r="AT161" s="34">
        <v>-377.90600000000001</v>
      </c>
      <c r="AU161" s="65">
        <f t="shared" si="74"/>
        <v>8486.090329913297</v>
      </c>
      <c r="AV161" s="65"/>
      <c r="AW161" s="41">
        <v>1994.6036069702161</v>
      </c>
      <c r="AX161" s="314"/>
      <c r="AY161" s="314"/>
      <c r="AZ161" s="41">
        <v>426.52730960735948</v>
      </c>
      <c r="BA161" s="65">
        <v>0</v>
      </c>
      <c r="BB161" s="34">
        <v>-425.642</v>
      </c>
      <c r="BC161" s="65">
        <f t="shared" si="94"/>
        <v>1995.4889165775755</v>
      </c>
      <c r="BD161" s="65"/>
      <c r="BE161" s="41">
        <v>1834.0762897688537</v>
      </c>
      <c r="BF161" s="314"/>
      <c r="BG161" s="314"/>
      <c r="BH161" s="41">
        <v>421.16626189265435</v>
      </c>
      <c r="BI161" s="65">
        <v>0</v>
      </c>
      <c r="BJ161" s="34">
        <v>-528.71699999999998</v>
      </c>
      <c r="BK161" s="65">
        <f t="shared" si="95"/>
        <v>1726.525551661508</v>
      </c>
      <c r="BL161" s="65"/>
      <c r="BM161" s="41">
        <v>2135.5857651371939</v>
      </c>
      <c r="BN161" s="41">
        <v>321.15127692000709</v>
      </c>
      <c r="BO161" s="65">
        <v>0</v>
      </c>
      <c r="BP161" s="34">
        <v>-528.71699999999998</v>
      </c>
      <c r="BQ161" s="65">
        <f t="shared" si="75"/>
        <v>1928.020042057201</v>
      </c>
      <c r="BR161" s="65"/>
      <c r="BS161" s="41">
        <v>2114.5409911955053</v>
      </c>
      <c r="BT161" s="314"/>
      <c r="BU161" s="314"/>
      <c r="BV161" s="41">
        <v>341.39663954982512</v>
      </c>
      <c r="BW161" s="65">
        <v>0</v>
      </c>
      <c r="BX161" s="34">
        <v>-528.71699999999998</v>
      </c>
      <c r="BY161" s="65">
        <f t="shared" si="96"/>
        <v>1927.2206307453303</v>
      </c>
      <c r="CA161" s="5">
        <v>2064.0786648823473</v>
      </c>
      <c r="CB161" s="407">
        <v>361.51307622774925</v>
      </c>
      <c r="CC161" s="415">
        <v>0</v>
      </c>
      <c r="CD161" s="34">
        <v>-528.71699999999998</v>
      </c>
      <c r="CE161" s="65">
        <f t="shared" si="76"/>
        <v>1896.8747411100962</v>
      </c>
      <c r="CF161" s="407"/>
      <c r="CG161" s="5">
        <v>2287.1339957968048</v>
      </c>
      <c r="CH161" s="407">
        <v>379.42405978328384</v>
      </c>
      <c r="CI161" s="415">
        <v>0</v>
      </c>
      <c r="CJ161" s="34">
        <v>-528.71699999999998</v>
      </c>
      <c r="CK161" s="65">
        <f t="shared" si="77"/>
        <v>2137.8410555800888</v>
      </c>
      <c r="CL161" s="407"/>
      <c r="CM161" s="41">
        <f>AU161/'1. Väestöennuste'!L161*1000</f>
        <v>4738.1855555071452</v>
      </c>
      <c r="CN161" s="41">
        <f>BC161/'1. Väestöennuste'!M161*1000</f>
        <v>1138.9776921104883</v>
      </c>
      <c r="CO161" s="41">
        <f>BK161/'1. Väestöennuste'!N161*1000</f>
        <v>998.56885579034588</v>
      </c>
      <c r="CP161" s="41">
        <f>BQ161/'1. Väestöennuste'!O161*1000</f>
        <v>1132.7967344636904</v>
      </c>
      <c r="CQ161" s="41">
        <f>BY161/'1. Väestöennuste'!P161*1000</f>
        <v>1150.5794810419882</v>
      </c>
      <c r="CR161" s="41">
        <f>CE161/'1. Väestöennuste'!Q161*1000</f>
        <v>1150.318217774467</v>
      </c>
      <c r="CS161" s="41">
        <f>CK161/'1. Väestöennuste'!R161*1000</f>
        <v>1315.5944957415929</v>
      </c>
      <c r="CT161" s="41"/>
      <c r="CV161" s="41">
        <f t="shared" si="78"/>
        <v>2666.5580555800889</v>
      </c>
      <c r="CW161" s="41">
        <f t="shared" si="79"/>
        <v>2600.3444999270564</v>
      </c>
      <c r="CX161" s="41">
        <f t="shared" si="80"/>
        <v>-3599.2078633966566</v>
      </c>
      <c r="CY161" s="41">
        <f t="shared" si="81"/>
        <v>-140.40883632014243</v>
      </c>
      <c r="CZ161" s="41">
        <f t="shared" si="82"/>
        <v>134.22787867334455</v>
      </c>
      <c r="DA161" s="41">
        <f t="shared" si="83"/>
        <v>17.782746578297747</v>
      </c>
      <c r="DB161" s="41">
        <f t="shared" si="84"/>
        <v>-0.26126326752114437</v>
      </c>
      <c r="DC161" s="41">
        <f t="shared" si="85"/>
        <v>165.27627796712591</v>
      </c>
      <c r="DD161" s="41"/>
      <c r="DE161" s="283">
        <f t="shared" si="86"/>
        <v>-5.0434505710618138</v>
      </c>
      <c r="DF161" s="283">
        <f t="shared" si="87"/>
        <v>1.216341361365366</v>
      </c>
      <c r="DG161" s="283">
        <f t="shared" si="88"/>
        <v>-0.75961733056514291</v>
      </c>
      <c r="DH161" s="283">
        <f t="shared" si="89"/>
        <v>-0.1232761952167557</v>
      </c>
      <c r="DI161" s="283">
        <f t="shared" si="90"/>
        <v>0.13442025344071648</v>
      </c>
      <c r="DJ161" s="283">
        <f t="shared" si="91"/>
        <v>1.5698091314428782E-2</v>
      </c>
      <c r="DK161" s="283">
        <f t="shared" si="92"/>
        <v>-2.2707102970803811E-4</v>
      </c>
      <c r="DL161" s="283">
        <f t="shared" si="93"/>
        <v>0.14367874507533027</v>
      </c>
    </row>
    <row r="162" spans="1:116" x14ac:dyDescent="0.2">
      <c r="A162" s="30">
        <v>491</v>
      </c>
      <c r="B162" s="31" t="s">
        <v>476</v>
      </c>
      <c r="C162" s="65"/>
      <c r="D162" s="65"/>
      <c r="E162" s="65"/>
      <c r="F162" s="65"/>
      <c r="G162" s="65"/>
      <c r="H162" s="65">
        <v>111476</v>
      </c>
      <c r="I162" s="65"/>
      <c r="J162" s="65"/>
      <c r="K162" s="65"/>
      <c r="L162" s="65"/>
      <c r="M162" s="65"/>
      <c r="N162" s="65">
        <v>112799</v>
      </c>
      <c r="O162" s="65"/>
      <c r="P162" s="65"/>
      <c r="Q162" s="65"/>
      <c r="R162" s="65"/>
      <c r="S162" s="65"/>
      <c r="T162" s="65">
        <v>110712</v>
      </c>
      <c r="U162" s="65"/>
      <c r="V162" s="65"/>
      <c r="W162" s="65"/>
      <c r="X162" s="65"/>
      <c r="Y162" s="65"/>
      <c r="Z162" s="65">
        <v>114898</v>
      </c>
      <c r="AA162" s="65"/>
      <c r="AB162" s="66">
        <v>108847.46726211456</v>
      </c>
      <c r="AC162" s="34">
        <v>1088.4961446153504</v>
      </c>
      <c r="AD162" s="180">
        <v>24509.968430552217</v>
      </c>
      <c r="AE162" s="65">
        <v>2300</v>
      </c>
      <c r="AF162" s="34">
        <v>531.68700000000001</v>
      </c>
      <c r="AG162" s="65">
        <f t="shared" si="72"/>
        <v>137277.61883728212</v>
      </c>
      <c r="AH162" s="65"/>
      <c r="AI162" s="66">
        <v>101864.41690762607</v>
      </c>
      <c r="AJ162" s="34">
        <v>-842.40248523631317</v>
      </c>
      <c r="AK162" s="181">
        <v>26359.014500931378</v>
      </c>
      <c r="AL162" s="65">
        <v>0</v>
      </c>
      <c r="AM162" s="34">
        <v>669.01499999999999</v>
      </c>
      <c r="AN162" s="65">
        <f t="shared" si="73"/>
        <v>128050.04392332114</v>
      </c>
      <c r="AO162" s="65"/>
      <c r="AP162" s="41">
        <v>104033.65033221558</v>
      </c>
      <c r="AQ162" s="41">
        <v>-259.23261642114187</v>
      </c>
      <c r="AR162" s="41">
        <v>29466.947700485307</v>
      </c>
      <c r="AS162" s="65">
        <v>1600</v>
      </c>
      <c r="AT162" s="34">
        <v>913.28399999999999</v>
      </c>
      <c r="AU162" s="65">
        <f t="shared" si="74"/>
        <v>135754.64941627975</v>
      </c>
      <c r="AV162" s="65"/>
      <c r="AW162" s="41">
        <v>1154.5266752371135</v>
      </c>
      <c r="AX162" s="314"/>
      <c r="AY162" s="314"/>
      <c r="AZ162" s="41">
        <v>8906.5544027713659</v>
      </c>
      <c r="BA162" s="65">
        <v>0</v>
      </c>
      <c r="BB162" s="34">
        <v>1272.8800000000001</v>
      </c>
      <c r="BC162" s="65">
        <f t="shared" si="94"/>
        <v>11333.96107800848</v>
      </c>
      <c r="BD162" s="65"/>
      <c r="BE162" s="41">
        <v>-3965.4246170448514</v>
      </c>
      <c r="BF162" s="314"/>
      <c r="BG162" s="314"/>
      <c r="BH162" s="41">
        <v>8891.2675812161615</v>
      </c>
      <c r="BI162" s="65">
        <v>0</v>
      </c>
      <c r="BJ162" s="34">
        <v>1762.326</v>
      </c>
      <c r="BK162" s="65">
        <f t="shared" si="95"/>
        <v>6688.1689641713101</v>
      </c>
      <c r="BL162" s="65"/>
      <c r="BM162" s="41">
        <v>6036.0439055617244</v>
      </c>
      <c r="BN162" s="41">
        <v>5036.8243169980406</v>
      </c>
      <c r="BO162" s="65">
        <v>0</v>
      </c>
      <c r="BP162" s="34">
        <v>1762.326</v>
      </c>
      <c r="BQ162" s="65">
        <f t="shared" si="75"/>
        <v>12835.194222559767</v>
      </c>
      <c r="BR162" s="65"/>
      <c r="BS162" s="41">
        <v>6711.978413547954</v>
      </c>
      <c r="BT162" s="314"/>
      <c r="BU162" s="314"/>
      <c r="BV162" s="41">
        <v>5492.5080795747954</v>
      </c>
      <c r="BW162" s="65">
        <v>0</v>
      </c>
      <c r="BX162" s="34">
        <v>1762.326</v>
      </c>
      <c r="BY162" s="65">
        <f t="shared" si="96"/>
        <v>13966.81249312275</v>
      </c>
      <c r="CA162" s="5">
        <v>6853.3907591841726</v>
      </c>
      <c r="CB162" s="407">
        <v>5979.0900004416571</v>
      </c>
      <c r="CC162" s="415">
        <v>0</v>
      </c>
      <c r="CD162" s="34">
        <v>1762.326</v>
      </c>
      <c r="CE162" s="65">
        <f t="shared" si="76"/>
        <v>14594.80675962583</v>
      </c>
      <c r="CF162" s="407"/>
      <c r="CG162" s="5">
        <v>11515.2434144737</v>
      </c>
      <c r="CH162" s="407">
        <v>6400.1614974646063</v>
      </c>
      <c r="CI162" s="415">
        <v>0</v>
      </c>
      <c r="CJ162" s="34">
        <v>1762.326</v>
      </c>
      <c r="CK162" s="65">
        <f t="shared" si="77"/>
        <v>19677.730911938306</v>
      </c>
      <c r="CL162" s="407"/>
      <c r="CM162" s="41">
        <f>AU162/'1. Väestöennuste'!L162*1000</f>
        <v>2611.6708237068055</v>
      </c>
      <c r="CN162" s="41">
        <f>BC162/'1. Väestöennuste'!M162*1000</f>
        <v>218.30083549391321</v>
      </c>
      <c r="CO162" s="41">
        <f>BK162/'1. Väestöennuste'!N162*1000</f>
        <v>131.18686917287101</v>
      </c>
      <c r="CP162" s="41">
        <f>BQ162/'1. Väestöennuste'!O162*1000</f>
        <v>253.72013565588213</v>
      </c>
      <c r="CQ162" s="41">
        <f>BY162/'1. Väestöennuste'!P162*1000</f>
        <v>278.26215793283427</v>
      </c>
      <c r="CR162" s="41">
        <f>CE162/'1. Väestöennuste'!Q162*1000</f>
        <v>293.00368913745615</v>
      </c>
      <c r="CS162" s="41">
        <f>CK162/'1. Väestöennuste'!R162*1000</f>
        <v>398.0848235305437</v>
      </c>
      <c r="CT162" s="41"/>
      <c r="CV162" s="41">
        <f t="shared" si="78"/>
        <v>17915.404911938305</v>
      </c>
      <c r="CW162" s="41">
        <f t="shared" si="79"/>
        <v>-17066.060088231501</v>
      </c>
      <c r="CX162" s="41">
        <f t="shared" si="80"/>
        <v>-2393.3699882128922</v>
      </c>
      <c r="CY162" s="41">
        <f t="shared" si="81"/>
        <v>-87.113966321042199</v>
      </c>
      <c r="CZ162" s="41">
        <f t="shared" si="82"/>
        <v>122.53326648301112</v>
      </c>
      <c r="DA162" s="41">
        <f t="shared" si="83"/>
        <v>24.542022276952139</v>
      </c>
      <c r="DB162" s="41">
        <f t="shared" si="84"/>
        <v>14.741531204621879</v>
      </c>
      <c r="DC162" s="41">
        <f t="shared" si="85"/>
        <v>105.08113439308755</v>
      </c>
      <c r="DD162" s="41"/>
      <c r="DE162" s="283">
        <f t="shared" si="86"/>
        <v>10.165772344014844</v>
      </c>
      <c r="DF162" s="283">
        <f t="shared" si="87"/>
        <v>-0.86727784644507322</v>
      </c>
      <c r="DG162" s="283">
        <f t="shared" si="88"/>
        <v>-0.91641334217454173</v>
      </c>
      <c r="DH162" s="283">
        <f t="shared" si="89"/>
        <v>-0.39905466291021668</v>
      </c>
      <c r="DI162" s="283">
        <f t="shared" si="90"/>
        <v>0.93403606058730893</v>
      </c>
      <c r="DJ162" s="283">
        <f t="shared" si="91"/>
        <v>9.6728713365651905E-2</v>
      </c>
      <c r="DK162" s="283">
        <f t="shared" si="92"/>
        <v>5.2977132478718596E-2</v>
      </c>
      <c r="DL162" s="283">
        <f t="shared" si="93"/>
        <v>0.35863416840390389</v>
      </c>
    </row>
    <row r="163" spans="1:116" x14ac:dyDescent="0.2">
      <c r="A163" s="30">
        <v>494</v>
      </c>
      <c r="B163" s="31" t="s">
        <v>477</v>
      </c>
      <c r="C163" s="65"/>
      <c r="D163" s="65"/>
      <c r="E163" s="65"/>
      <c r="F163" s="65"/>
      <c r="G163" s="65"/>
      <c r="H163" s="65">
        <v>25615</v>
      </c>
      <c r="I163" s="65"/>
      <c r="J163" s="65"/>
      <c r="K163" s="65"/>
      <c r="L163" s="65"/>
      <c r="M163" s="65"/>
      <c r="N163" s="65">
        <v>25353</v>
      </c>
      <c r="O163" s="65"/>
      <c r="P163" s="65"/>
      <c r="Q163" s="65"/>
      <c r="R163" s="65"/>
      <c r="S163" s="65"/>
      <c r="T163" s="65">
        <v>24941</v>
      </c>
      <c r="U163" s="65"/>
      <c r="V163" s="65"/>
      <c r="W163" s="65"/>
      <c r="X163" s="65"/>
      <c r="Y163" s="65"/>
      <c r="Z163" s="65">
        <v>25098</v>
      </c>
      <c r="AA163" s="65"/>
      <c r="AB163" s="66">
        <v>25859.377518829009</v>
      </c>
      <c r="AC163" s="34">
        <v>152.36058321890513</v>
      </c>
      <c r="AD163" s="180">
        <v>3560.8762555017788</v>
      </c>
      <c r="AE163" s="65">
        <v>0</v>
      </c>
      <c r="AF163" s="34">
        <v>-334.95400000000001</v>
      </c>
      <c r="AG163" s="65">
        <f t="shared" si="72"/>
        <v>29237.660357549692</v>
      </c>
      <c r="AH163" s="65"/>
      <c r="AI163" s="66">
        <v>24018.36313708371</v>
      </c>
      <c r="AJ163" s="34">
        <v>-119.12319030666654</v>
      </c>
      <c r="AK163" s="181">
        <v>3844.0451392024356</v>
      </c>
      <c r="AL163" s="65">
        <v>1500</v>
      </c>
      <c r="AM163" s="34">
        <v>-207.21799999999999</v>
      </c>
      <c r="AN163" s="65">
        <f t="shared" si="73"/>
        <v>29036.067085979481</v>
      </c>
      <c r="AO163" s="65"/>
      <c r="AP163" s="41">
        <v>24788.315810552365</v>
      </c>
      <c r="AQ163" s="41">
        <v>-36.813901134568631</v>
      </c>
      <c r="AR163" s="41">
        <v>4493.5757990081866</v>
      </c>
      <c r="AS163" s="65">
        <v>0</v>
      </c>
      <c r="AT163" s="34">
        <v>21.242000000000001</v>
      </c>
      <c r="AU163" s="65">
        <f t="shared" si="74"/>
        <v>29266.319708425981</v>
      </c>
      <c r="AV163" s="65"/>
      <c r="AW163" s="41">
        <v>10527.166681686122</v>
      </c>
      <c r="AX163" s="314"/>
      <c r="AY163" s="314"/>
      <c r="AZ163" s="41">
        <v>1357.8028644019194</v>
      </c>
      <c r="BA163" s="65">
        <v>0</v>
      </c>
      <c r="BB163" s="34">
        <v>80.25</v>
      </c>
      <c r="BC163" s="65">
        <f t="shared" si="94"/>
        <v>11965.219546088041</v>
      </c>
      <c r="BD163" s="65"/>
      <c r="BE163" s="41">
        <v>9037.5541307102139</v>
      </c>
      <c r="BF163" s="314"/>
      <c r="BG163" s="314"/>
      <c r="BH163" s="41">
        <v>1337.3719809139245</v>
      </c>
      <c r="BI163" s="65">
        <v>0</v>
      </c>
      <c r="BJ163" s="34">
        <v>-205.26</v>
      </c>
      <c r="BK163" s="65">
        <f t="shared" si="95"/>
        <v>10169.666111624138</v>
      </c>
      <c r="BL163" s="65"/>
      <c r="BM163" s="41">
        <v>10107.120021453873</v>
      </c>
      <c r="BN163" s="41">
        <v>713.62382558314926</v>
      </c>
      <c r="BO163" s="65">
        <v>0</v>
      </c>
      <c r="BP163" s="34">
        <v>-205.26</v>
      </c>
      <c r="BQ163" s="65">
        <f t="shared" si="75"/>
        <v>10615.483847037021</v>
      </c>
      <c r="BR163" s="65"/>
      <c r="BS163" s="41">
        <v>10586.115172456937</v>
      </c>
      <c r="BT163" s="314"/>
      <c r="BU163" s="314"/>
      <c r="BV163" s="41">
        <v>784.08806383499393</v>
      </c>
      <c r="BW163" s="65">
        <v>0</v>
      </c>
      <c r="BX163" s="34">
        <v>-205.26</v>
      </c>
      <c r="BY163" s="65">
        <f t="shared" si="96"/>
        <v>11164.943236291931</v>
      </c>
      <c r="CA163" s="5">
        <v>10601.52742348756</v>
      </c>
      <c r="CB163" s="407">
        <v>859.35225948796437</v>
      </c>
      <c r="CC163" s="415">
        <v>0</v>
      </c>
      <c r="CD163" s="34">
        <v>-205.26</v>
      </c>
      <c r="CE163" s="65">
        <f t="shared" si="76"/>
        <v>11255.619682975524</v>
      </c>
      <c r="CF163" s="407"/>
      <c r="CG163" s="5">
        <v>11360.287536382828</v>
      </c>
      <c r="CH163" s="407">
        <v>923.69173675923014</v>
      </c>
      <c r="CI163" s="415">
        <v>0</v>
      </c>
      <c r="CJ163" s="34">
        <v>-205.26</v>
      </c>
      <c r="CK163" s="65">
        <f t="shared" si="77"/>
        <v>12078.719273142058</v>
      </c>
      <c r="CL163" s="407"/>
      <c r="CM163" s="41">
        <f>AU163/'1. Väestöennuste'!L163*1000</f>
        <v>3295.0146035156472</v>
      </c>
      <c r="CN163" s="41">
        <f>BC163/'1. Väestöennuste'!M163*1000</f>
        <v>1355.5250420401089</v>
      </c>
      <c r="CO163" s="41">
        <f>BK163/'1. Väestöennuste'!N163*1000</f>
        <v>1158.2763225084439</v>
      </c>
      <c r="CP163" s="41">
        <f>BQ163/'1. Väestöennuste'!O163*1000</f>
        <v>1213.1981539470883</v>
      </c>
      <c r="CQ163" s="41">
        <f>BY163/'1. Väestöennuste'!P163*1000</f>
        <v>1280.3833986573313</v>
      </c>
      <c r="CR163" s="41">
        <f>CE163/'1. Väestöennuste'!Q163*1000</f>
        <v>1295.0891362300686</v>
      </c>
      <c r="CS163" s="41">
        <f>CK163/'1. Väestöennuste'!R163*1000</f>
        <v>1394.4492349505954</v>
      </c>
      <c r="CT163" s="41"/>
      <c r="CV163" s="41">
        <f t="shared" si="78"/>
        <v>12283.979273142058</v>
      </c>
      <c r="CW163" s="41">
        <f t="shared" si="79"/>
        <v>-8783.7046696264115</v>
      </c>
      <c r="CX163" s="41">
        <f t="shared" si="80"/>
        <v>-1939.4895614755383</v>
      </c>
      <c r="CY163" s="41">
        <f t="shared" si="81"/>
        <v>-197.24871953166507</v>
      </c>
      <c r="CZ163" s="41">
        <f t="shared" si="82"/>
        <v>54.921831438644404</v>
      </c>
      <c r="DA163" s="41">
        <f t="shared" si="83"/>
        <v>67.185244710243069</v>
      </c>
      <c r="DB163" s="41">
        <f t="shared" si="84"/>
        <v>14.705737572737235</v>
      </c>
      <c r="DC163" s="41">
        <f t="shared" si="85"/>
        <v>99.360098720526821</v>
      </c>
      <c r="DD163" s="41"/>
      <c r="DE163" s="283">
        <f t="shared" si="86"/>
        <v>-59.845947935019289</v>
      </c>
      <c r="DF163" s="283">
        <f t="shared" si="87"/>
        <v>-0.72720496858947958</v>
      </c>
      <c r="DG163" s="283">
        <f t="shared" si="88"/>
        <v>-0.58861334314153912</v>
      </c>
      <c r="DH163" s="283">
        <f t="shared" si="89"/>
        <v>-0.14551462600410495</v>
      </c>
      <c r="DI163" s="283">
        <f t="shared" si="90"/>
        <v>4.7416864500607128E-2</v>
      </c>
      <c r="DJ163" s="283">
        <f t="shared" si="91"/>
        <v>5.5378624251659757E-2</v>
      </c>
      <c r="DK163" s="283">
        <f t="shared" si="92"/>
        <v>1.1485417249363233E-2</v>
      </c>
      <c r="DL163" s="283">
        <f t="shared" si="93"/>
        <v>7.6720664192858931E-2</v>
      </c>
    </row>
    <row r="164" spans="1:116" x14ac:dyDescent="0.2">
      <c r="A164" s="30">
        <v>495</v>
      </c>
      <c r="B164" s="31" t="s">
        <v>478</v>
      </c>
      <c r="C164" s="65"/>
      <c r="D164" s="65"/>
      <c r="E164" s="65"/>
      <c r="F164" s="65"/>
      <c r="G164" s="65"/>
      <c r="H164" s="65">
        <v>6460</v>
      </c>
      <c r="I164" s="65"/>
      <c r="J164" s="65"/>
      <c r="K164" s="65"/>
      <c r="L164" s="65"/>
      <c r="M164" s="65"/>
      <c r="N164" s="65">
        <v>5886</v>
      </c>
      <c r="O164" s="65"/>
      <c r="P164" s="65"/>
      <c r="Q164" s="65"/>
      <c r="R164" s="65"/>
      <c r="S164" s="65"/>
      <c r="T164" s="65">
        <v>5779</v>
      </c>
      <c r="U164" s="65"/>
      <c r="V164" s="65"/>
      <c r="W164" s="65"/>
      <c r="X164" s="65"/>
      <c r="Y164" s="65"/>
      <c r="Z164" s="65">
        <v>5834</v>
      </c>
      <c r="AA164" s="65"/>
      <c r="AB164" s="66">
        <v>5471.9180662762828</v>
      </c>
      <c r="AC164" s="34">
        <v>26.309670291968327</v>
      </c>
      <c r="AD164" s="180">
        <v>951.59962672485347</v>
      </c>
      <c r="AE164" s="65">
        <v>220</v>
      </c>
      <c r="AF164" s="34">
        <v>-524.46600000000001</v>
      </c>
      <c r="AG164" s="65">
        <f t="shared" si="72"/>
        <v>6145.3613632931047</v>
      </c>
      <c r="AH164" s="65"/>
      <c r="AI164" s="66">
        <v>5173.2885324280869</v>
      </c>
      <c r="AJ164" s="34">
        <v>-19.722432312865514</v>
      </c>
      <c r="AK164" s="181">
        <v>1008.1712874217592</v>
      </c>
      <c r="AL164" s="65">
        <v>0</v>
      </c>
      <c r="AM164" s="34">
        <v>-470.52</v>
      </c>
      <c r="AN164" s="65">
        <f t="shared" si="73"/>
        <v>5691.2173875369808</v>
      </c>
      <c r="AO164" s="65"/>
      <c r="AP164" s="41">
        <v>5261.0147884016287</v>
      </c>
      <c r="AQ164" s="41">
        <v>-5.9427454190449165</v>
      </c>
      <c r="AR164" s="41">
        <v>1118.5141216297441</v>
      </c>
      <c r="AS164" s="65">
        <v>0</v>
      </c>
      <c r="AT164" s="34">
        <v>-388.19499999999999</v>
      </c>
      <c r="AU164" s="65">
        <f t="shared" si="74"/>
        <v>5985.3911646123288</v>
      </c>
      <c r="AV164" s="65"/>
      <c r="AW164" s="41">
        <v>951.78913583987458</v>
      </c>
      <c r="AX164" s="314"/>
      <c r="AY164" s="314"/>
      <c r="AZ164" s="41">
        <v>332.97106142243808</v>
      </c>
      <c r="BA164" s="65">
        <v>0</v>
      </c>
      <c r="BB164" s="34">
        <v>-370.31700000000001</v>
      </c>
      <c r="BC164" s="65">
        <f t="shared" si="94"/>
        <v>914.44319726231265</v>
      </c>
      <c r="BD164" s="65"/>
      <c r="BE164" s="41">
        <v>839.94523121628913</v>
      </c>
      <c r="BF164" s="314"/>
      <c r="BG164" s="314"/>
      <c r="BH164" s="41">
        <v>328.28418479940268</v>
      </c>
      <c r="BI164" s="65">
        <v>0</v>
      </c>
      <c r="BJ164" s="34">
        <v>-367.18799999999999</v>
      </c>
      <c r="BK164" s="65">
        <f t="shared" si="95"/>
        <v>801.04141601569188</v>
      </c>
      <c r="BL164" s="65"/>
      <c r="BM164" s="41">
        <v>1236.7430250714492</v>
      </c>
      <c r="BN164" s="41">
        <v>232.75879313994722</v>
      </c>
      <c r="BO164" s="65">
        <v>0</v>
      </c>
      <c r="BP164" s="34">
        <v>-367.18799999999999</v>
      </c>
      <c r="BQ164" s="65">
        <f t="shared" si="75"/>
        <v>1102.3138182113962</v>
      </c>
      <c r="BR164" s="65"/>
      <c r="BS164" s="41">
        <v>1115.0733913200334</v>
      </c>
      <c r="BT164" s="314"/>
      <c r="BU164" s="314"/>
      <c r="BV164" s="41">
        <v>248.93260211438439</v>
      </c>
      <c r="BW164" s="65">
        <v>0</v>
      </c>
      <c r="BX164" s="34">
        <v>-367.18799999999999</v>
      </c>
      <c r="BY164" s="65">
        <f t="shared" si="96"/>
        <v>996.81799343441764</v>
      </c>
      <c r="CA164" s="5">
        <v>1108.1920916248937</v>
      </c>
      <c r="CB164" s="407">
        <v>265.32994134095418</v>
      </c>
      <c r="CC164" s="415">
        <v>0</v>
      </c>
      <c r="CD164" s="34">
        <v>-367.18799999999999</v>
      </c>
      <c r="CE164" s="65">
        <f t="shared" si="76"/>
        <v>1006.3340329658478</v>
      </c>
      <c r="CF164" s="407"/>
      <c r="CG164" s="5">
        <v>1273.1526751172589</v>
      </c>
      <c r="CH164" s="407">
        <v>279.80231216848119</v>
      </c>
      <c r="CI164" s="415">
        <v>0</v>
      </c>
      <c r="CJ164" s="34">
        <v>-367.18799999999999</v>
      </c>
      <c r="CK164" s="65">
        <f t="shared" si="77"/>
        <v>1185.76698728574</v>
      </c>
      <c r="CL164" s="407"/>
      <c r="CM164" s="41">
        <f>AU164/'1. Väestöennuste'!L164*1000</f>
        <v>4052.3975386677921</v>
      </c>
      <c r="CN164" s="41">
        <f>BC164/'1. Väestöennuste'!M164*1000</f>
        <v>639.47076731630261</v>
      </c>
      <c r="CO164" s="41">
        <f>BK164/'1. Väestöennuste'!N164*1000</f>
        <v>549.78820591330941</v>
      </c>
      <c r="CP164" s="41">
        <f>BQ164/'1. Väestöennuste'!O164*1000</f>
        <v>768.69861799957891</v>
      </c>
      <c r="CQ164" s="41">
        <f>BY164/'1. Väestöennuste'!P164*1000</f>
        <v>705.46213264997709</v>
      </c>
      <c r="CR164" s="41">
        <f>CE164/'1. Väestöennuste'!Q164*1000</f>
        <v>724.50254353192793</v>
      </c>
      <c r="CS164" s="41">
        <f>CK164/'1. Väestöennuste'!R164*1000</f>
        <v>867.42281440068768</v>
      </c>
      <c r="CT164" s="41"/>
      <c r="CV164" s="41">
        <f t="shared" si="78"/>
        <v>1552.9549872857401</v>
      </c>
      <c r="CW164" s="41">
        <f t="shared" si="79"/>
        <v>2866.6305513820521</v>
      </c>
      <c r="CX164" s="41">
        <f t="shared" si="80"/>
        <v>-3412.9267713514896</v>
      </c>
      <c r="CY164" s="41">
        <f t="shared" si="81"/>
        <v>-89.682561402993201</v>
      </c>
      <c r="CZ164" s="41">
        <f t="shared" si="82"/>
        <v>218.9104120862695</v>
      </c>
      <c r="DA164" s="41">
        <f t="shared" si="83"/>
        <v>-63.236485349601821</v>
      </c>
      <c r="DB164" s="41">
        <f t="shared" si="84"/>
        <v>19.040410881950834</v>
      </c>
      <c r="DC164" s="41">
        <f t="shared" si="85"/>
        <v>142.92027086875976</v>
      </c>
      <c r="DD164" s="41"/>
      <c r="DE164" s="283">
        <f t="shared" si="86"/>
        <v>-4.2293184616211317</v>
      </c>
      <c r="DF164" s="283">
        <f t="shared" si="87"/>
        <v>2.4175327717158535</v>
      </c>
      <c r="DG164" s="283">
        <f t="shared" si="88"/>
        <v>-0.84219939894482176</v>
      </c>
      <c r="DH164" s="283">
        <f t="shared" si="89"/>
        <v>-0.14024497441746755</v>
      </c>
      <c r="DI164" s="283">
        <f t="shared" si="90"/>
        <v>0.39817225930231631</v>
      </c>
      <c r="DJ164" s="283">
        <f t="shared" si="91"/>
        <v>-8.2264341146033468E-2</v>
      </c>
      <c r="DK164" s="283">
        <f t="shared" si="92"/>
        <v>2.6989982878922215E-2</v>
      </c>
      <c r="DL164" s="283">
        <f t="shared" si="93"/>
        <v>0.19726676206273586</v>
      </c>
    </row>
    <row r="165" spans="1:116" x14ac:dyDescent="0.2">
      <c r="A165" s="30">
        <v>498</v>
      </c>
      <c r="B165" s="31" t="s">
        <v>479</v>
      </c>
      <c r="C165" s="65"/>
      <c r="D165" s="65"/>
      <c r="E165" s="65"/>
      <c r="F165" s="65"/>
      <c r="G165" s="65"/>
      <c r="H165" s="65">
        <v>8903</v>
      </c>
      <c r="I165" s="65"/>
      <c r="J165" s="65"/>
      <c r="K165" s="65"/>
      <c r="L165" s="65"/>
      <c r="M165" s="65"/>
      <c r="N165" s="65">
        <v>9055</v>
      </c>
      <c r="O165" s="65"/>
      <c r="P165" s="65"/>
      <c r="Q165" s="65"/>
      <c r="R165" s="65"/>
      <c r="S165" s="65"/>
      <c r="T165" s="65">
        <v>9228</v>
      </c>
      <c r="U165" s="65"/>
      <c r="V165" s="65"/>
      <c r="W165" s="65"/>
      <c r="X165" s="65"/>
      <c r="Y165" s="65"/>
      <c r="Z165" s="65">
        <v>9167</v>
      </c>
      <c r="AA165" s="65"/>
      <c r="AB165" s="66">
        <v>8830.6712898589776</v>
      </c>
      <c r="AC165" s="34">
        <v>44.737703278190587</v>
      </c>
      <c r="AD165" s="180">
        <v>1236.8624167268792</v>
      </c>
      <c r="AE165" s="65">
        <v>0</v>
      </c>
      <c r="AF165" s="34">
        <v>148.87299999999999</v>
      </c>
      <c r="AG165" s="65">
        <f t="shared" si="72"/>
        <v>10261.144409864048</v>
      </c>
      <c r="AH165" s="65"/>
      <c r="AI165" s="66">
        <v>8394.5396045163943</v>
      </c>
      <c r="AJ165" s="34">
        <v>-34.371823506301858</v>
      </c>
      <c r="AK165" s="181">
        <v>1325.9434460798607</v>
      </c>
      <c r="AL165" s="65">
        <v>0</v>
      </c>
      <c r="AM165" s="34">
        <v>-8.8629999999999995</v>
      </c>
      <c r="AN165" s="65">
        <f t="shared" si="73"/>
        <v>9677.2482270899527</v>
      </c>
      <c r="AO165" s="65"/>
      <c r="AP165" s="41">
        <v>8707.0014184687207</v>
      </c>
      <c r="AQ165" s="41">
        <v>-10.510139033505325</v>
      </c>
      <c r="AR165" s="41">
        <v>1504.9786801538721</v>
      </c>
      <c r="AS165" s="65">
        <v>0</v>
      </c>
      <c r="AT165" s="34">
        <v>38.261000000000003</v>
      </c>
      <c r="AU165" s="65">
        <f t="shared" si="74"/>
        <v>10239.730959589087</v>
      </c>
      <c r="AV165" s="65"/>
      <c r="AW165" s="41">
        <v>3185.0820827667922</v>
      </c>
      <c r="AX165" s="314"/>
      <c r="AY165" s="314"/>
      <c r="AZ165" s="41">
        <v>444.35004603458964</v>
      </c>
      <c r="BA165" s="65">
        <v>0</v>
      </c>
      <c r="BB165" s="34">
        <v>186.55600000000001</v>
      </c>
      <c r="BC165" s="65">
        <f t="shared" si="94"/>
        <v>3815.9881288013817</v>
      </c>
      <c r="BD165" s="65"/>
      <c r="BE165" s="41">
        <v>3160.6350011520876</v>
      </c>
      <c r="BF165" s="314"/>
      <c r="BG165" s="314"/>
      <c r="BH165" s="41">
        <v>439.58056041408133</v>
      </c>
      <c r="BI165" s="65">
        <v>0</v>
      </c>
      <c r="BJ165" s="34">
        <v>237.298</v>
      </c>
      <c r="BK165" s="65">
        <f t="shared" si="95"/>
        <v>3837.5135615661693</v>
      </c>
      <c r="BL165" s="65"/>
      <c r="BM165" s="41">
        <v>3998.0173033875999</v>
      </c>
      <c r="BN165" s="41">
        <v>260.36657882290876</v>
      </c>
      <c r="BO165" s="65">
        <v>0</v>
      </c>
      <c r="BP165" s="34">
        <v>237.298</v>
      </c>
      <c r="BQ165" s="65">
        <f t="shared" si="75"/>
        <v>4495.6818822105088</v>
      </c>
      <c r="BR165" s="65"/>
      <c r="BS165" s="41">
        <v>3922.1695893595224</v>
      </c>
      <c r="BT165" s="314"/>
      <c r="BU165" s="314"/>
      <c r="BV165" s="41">
        <v>281.1176886946115</v>
      </c>
      <c r="BW165" s="65">
        <v>0</v>
      </c>
      <c r="BX165" s="34">
        <v>237.298</v>
      </c>
      <c r="BY165" s="65">
        <f t="shared" si="96"/>
        <v>4440.5852780541336</v>
      </c>
      <c r="CA165" s="5">
        <v>3912.525737939342</v>
      </c>
      <c r="CB165" s="407">
        <v>301.5628669622206</v>
      </c>
      <c r="CC165" s="415">
        <v>0</v>
      </c>
      <c r="CD165" s="34">
        <v>237.298</v>
      </c>
      <c r="CE165" s="65">
        <f t="shared" si="76"/>
        <v>4451.3866049015624</v>
      </c>
      <c r="CF165" s="407"/>
      <c r="CG165" s="5">
        <v>4004.5655144977281</v>
      </c>
      <c r="CH165" s="407">
        <v>319.04532441474288</v>
      </c>
      <c r="CI165" s="415">
        <v>0</v>
      </c>
      <c r="CJ165" s="34">
        <v>237.298</v>
      </c>
      <c r="CK165" s="65">
        <f t="shared" si="77"/>
        <v>4560.9088389124709</v>
      </c>
      <c r="CL165" s="407"/>
      <c r="CM165" s="41">
        <f>AU165/'1. Väestöennuste'!L165*1000</f>
        <v>4489.1411484388809</v>
      </c>
      <c r="CN165" s="41">
        <f>BC165/'1. Väestöennuste'!M165*1000</f>
        <v>1641.2852166887665</v>
      </c>
      <c r="CO165" s="41">
        <f>BK165/'1. Väestöennuste'!N165*1000</f>
        <v>1701.7798499184787</v>
      </c>
      <c r="CP165" s="41">
        <f>BQ165/'1. Väestöennuste'!O165*1000</f>
        <v>2002.530905216262</v>
      </c>
      <c r="CQ165" s="41">
        <f>BY165/'1. Väestöennuste'!P165*1000</f>
        <v>1985.9504821351225</v>
      </c>
      <c r="CR165" s="41">
        <f>CE165/'1. Väestöennuste'!Q165*1000</f>
        <v>1998.8264952409352</v>
      </c>
      <c r="CS165" s="41">
        <f>CK165/'1. Väestöennuste'!R165*1000</f>
        <v>2057.2434997349892</v>
      </c>
      <c r="CT165" s="41"/>
      <c r="CV165" s="41">
        <f t="shared" si="78"/>
        <v>4323.6108389124711</v>
      </c>
      <c r="CW165" s="41">
        <f t="shared" si="79"/>
        <v>-71.767690473589937</v>
      </c>
      <c r="CX165" s="41">
        <f t="shared" si="80"/>
        <v>-2847.8559317501145</v>
      </c>
      <c r="CY165" s="41">
        <f t="shared" si="81"/>
        <v>60.494633229712235</v>
      </c>
      <c r="CZ165" s="41">
        <f t="shared" si="82"/>
        <v>300.7510552977833</v>
      </c>
      <c r="DA165" s="41">
        <f t="shared" si="83"/>
        <v>-16.580423081139543</v>
      </c>
      <c r="DB165" s="41">
        <f t="shared" si="84"/>
        <v>12.876013105812717</v>
      </c>
      <c r="DC165" s="41">
        <f t="shared" si="85"/>
        <v>58.417004494054027</v>
      </c>
      <c r="DD165" s="41"/>
      <c r="DE165" s="283">
        <f t="shared" si="86"/>
        <v>18.220173953899614</v>
      </c>
      <c r="DF165" s="283">
        <f t="shared" si="87"/>
        <v>-1.573539244224461E-2</v>
      </c>
      <c r="DG165" s="283">
        <f t="shared" si="88"/>
        <v>-0.63438770080563611</v>
      </c>
      <c r="DH165" s="283">
        <f t="shared" si="89"/>
        <v>3.6858086951978994E-2</v>
      </c>
      <c r="DI165" s="283">
        <f t="shared" si="90"/>
        <v>0.17672735713270452</v>
      </c>
      <c r="DJ165" s="283">
        <f t="shared" si="91"/>
        <v>-8.2797339296738354E-3</v>
      </c>
      <c r="DK165" s="283">
        <f t="shared" si="92"/>
        <v>6.4835519423271518E-3</v>
      </c>
      <c r="DL165" s="283">
        <f t="shared" si="93"/>
        <v>2.9225650466981896E-2</v>
      </c>
    </row>
    <row r="166" spans="1:116" x14ac:dyDescent="0.2">
      <c r="A166" s="30">
        <v>499</v>
      </c>
      <c r="B166" s="31" t="s">
        <v>480</v>
      </c>
      <c r="C166" s="65"/>
      <c r="D166" s="65"/>
      <c r="E166" s="65"/>
      <c r="F166" s="65"/>
      <c r="G166" s="65"/>
      <c r="H166" s="65">
        <v>30106</v>
      </c>
      <c r="I166" s="65"/>
      <c r="J166" s="65"/>
      <c r="K166" s="65"/>
      <c r="L166" s="65"/>
      <c r="M166" s="65"/>
      <c r="N166" s="65">
        <v>31479</v>
      </c>
      <c r="O166" s="65"/>
      <c r="P166" s="65"/>
      <c r="Q166" s="65"/>
      <c r="R166" s="65"/>
      <c r="S166" s="65"/>
      <c r="T166" s="65">
        <v>31855</v>
      </c>
      <c r="U166" s="65"/>
      <c r="V166" s="65"/>
      <c r="W166" s="65"/>
      <c r="X166" s="65"/>
      <c r="Y166" s="65"/>
      <c r="Z166" s="65">
        <v>33143</v>
      </c>
      <c r="AA166" s="65"/>
      <c r="AB166" s="66">
        <v>35878.780931105481</v>
      </c>
      <c r="AC166" s="34">
        <v>389.38565780085639</v>
      </c>
      <c r="AD166" s="180">
        <v>7789.9255235975661</v>
      </c>
      <c r="AE166" s="65">
        <v>0</v>
      </c>
      <c r="AF166" s="34">
        <v>-1943.6220000000001</v>
      </c>
      <c r="AG166" s="65">
        <f t="shared" si="72"/>
        <v>42114.470112503899</v>
      </c>
      <c r="AH166" s="65"/>
      <c r="AI166" s="66">
        <v>32998.96880833515</v>
      </c>
      <c r="AJ166" s="34">
        <v>-303.37276805516154</v>
      </c>
      <c r="AK166" s="181">
        <v>8391.2003476858281</v>
      </c>
      <c r="AL166" s="65">
        <v>0</v>
      </c>
      <c r="AM166" s="34">
        <v>-1736.6579999999999</v>
      </c>
      <c r="AN166" s="65">
        <f t="shared" si="73"/>
        <v>39350.138387965817</v>
      </c>
      <c r="AO166" s="65"/>
      <c r="AP166" s="41">
        <v>35278.218179145595</v>
      </c>
      <c r="AQ166" s="41">
        <v>-93.995129412862354</v>
      </c>
      <c r="AR166" s="41">
        <v>9573.6778228718304</v>
      </c>
      <c r="AS166" s="65">
        <v>0</v>
      </c>
      <c r="AT166" s="34">
        <v>-1321.634</v>
      </c>
      <c r="AU166" s="65">
        <f t="shared" si="74"/>
        <v>43436.266872604567</v>
      </c>
      <c r="AV166" s="65"/>
      <c r="AW166" s="41">
        <v>23031.998010318606</v>
      </c>
      <c r="AX166" s="314"/>
      <c r="AY166" s="314"/>
      <c r="AZ166" s="41">
        <v>2855.9793655998915</v>
      </c>
      <c r="BA166" s="65">
        <v>0</v>
      </c>
      <c r="BB166" s="34">
        <v>-1238.856</v>
      </c>
      <c r="BC166" s="65">
        <f t="shared" si="94"/>
        <v>24649.121375918498</v>
      </c>
      <c r="BD166" s="65"/>
      <c r="BE166" s="41">
        <v>19850.803621079336</v>
      </c>
      <c r="BF166" s="314"/>
      <c r="BG166" s="314"/>
      <c r="BH166" s="41">
        <v>2824.1040038644423</v>
      </c>
      <c r="BI166" s="65">
        <v>0</v>
      </c>
      <c r="BJ166" s="34">
        <v>-1429.473</v>
      </c>
      <c r="BK166" s="65">
        <f t="shared" si="95"/>
        <v>21245.43462494378</v>
      </c>
      <c r="BL166" s="65"/>
      <c r="BM166" s="41">
        <v>21596.376198012309</v>
      </c>
      <c r="BN166" s="41">
        <v>1498.684939042312</v>
      </c>
      <c r="BO166" s="65">
        <v>0</v>
      </c>
      <c r="BP166" s="34">
        <v>-1429.473</v>
      </c>
      <c r="BQ166" s="65">
        <f t="shared" si="75"/>
        <v>21665.588137054619</v>
      </c>
      <c r="BR166" s="65"/>
      <c r="BS166" s="41">
        <v>23097.041809959384</v>
      </c>
      <c r="BT166" s="314"/>
      <c r="BU166" s="314"/>
      <c r="BV166" s="41">
        <v>1629.4143587136059</v>
      </c>
      <c r="BW166" s="65">
        <v>0</v>
      </c>
      <c r="BX166" s="34">
        <v>-1429.473</v>
      </c>
      <c r="BY166" s="65">
        <f t="shared" si="96"/>
        <v>23296.983168672989</v>
      </c>
      <c r="CA166" s="5">
        <v>23557.830103997745</v>
      </c>
      <c r="CB166" s="407">
        <v>1775.7582619455641</v>
      </c>
      <c r="CC166" s="415">
        <v>0</v>
      </c>
      <c r="CD166" s="34">
        <v>-1429.473</v>
      </c>
      <c r="CE166" s="65">
        <f t="shared" si="76"/>
        <v>23904.115365943311</v>
      </c>
      <c r="CF166" s="407"/>
      <c r="CG166" s="5">
        <v>24339.749855435937</v>
      </c>
      <c r="CH166" s="407">
        <v>1897.1258437248589</v>
      </c>
      <c r="CI166" s="415">
        <v>0</v>
      </c>
      <c r="CJ166" s="34">
        <v>-1429.473</v>
      </c>
      <c r="CK166" s="65">
        <f t="shared" si="77"/>
        <v>24807.402699160797</v>
      </c>
      <c r="CL166" s="407"/>
      <c r="CM166" s="41">
        <f>AU166/'1. Väestöennuste'!L166*1000</f>
        <v>2209.147943881831</v>
      </c>
      <c r="CN166" s="41">
        <f>BC166/'1. Väestöennuste'!M166*1000</f>
        <v>1247.2358131821331</v>
      </c>
      <c r="CO166" s="41">
        <f>BK166/'1. Väestöennuste'!N166*1000</f>
        <v>1088.2259194254868</v>
      </c>
      <c r="CP166" s="41">
        <f>BQ166/'1. Väestöennuste'!O166*1000</f>
        <v>1109.9174250540275</v>
      </c>
      <c r="CQ166" s="41">
        <f>BY166/'1. Väestöennuste'!P166*1000</f>
        <v>1193.9823272177628</v>
      </c>
      <c r="CR166" s="41">
        <f>CE166/'1. Väestöennuste'!Q166*1000</f>
        <v>1225.9149374810663</v>
      </c>
      <c r="CS166" s="41">
        <f>CK166/'1. Väestöennuste'!R166*1000</f>
        <v>1273.3498972980597</v>
      </c>
      <c r="CT166" s="41"/>
      <c r="CV166" s="41">
        <f t="shared" si="78"/>
        <v>26236.875699160795</v>
      </c>
      <c r="CW166" s="41">
        <f t="shared" si="79"/>
        <v>-22598.254755278966</v>
      </c>
      <c r="CX166" s="41">
        <f t="shared" si="80"/>
        <v>-961.91213069969785</v>
      </c>
      <c r="CY166" s="41">
        <f t="shared" si="81"/>
        <v>-159.00989375664631</v>
      </c>
      <c r="CZ166" s="41">
        <f t="shared" si="82"/>
        <v>21.691505628540654</v>
      </c>
      <c r="DA166" s="41">
        <f t="shared" si="83"/>
        <v>84.064902163735269</v>
      </c>
      <c r="DB166" s="41">
        <f t="shared" si="84"/>
        <v>31.932610263303559</v>
      </c>
      <c r="DC166" s="41">
        <f t="shared" si="85"/>
        <v>47.434959816993342</v>
      </c>
      <c r="DD166" s="41"/>
      <c r="DE166" s="283">
        <f t="shared" si="86"/>
        <v>-18.354229635089851</v>
      </c>
      <c r="DF166" s="283">
        <f t="shared" si="87"/>
        <v>-0.91094803552503445</v>
      </c>
      <c r="DG166" s="283">
        <f t="shared" si="88"/>
        <v>-0.43542223297615024</v>
      </c>
      <c r="DH166" s="283">
        <f t="shared" si="89"/>
        <v>-0.12748983959252794</v>
      </c>
      <c r="DI166" s="283">
        <f t="shared" si="90"/>
        <v>1.9932906615560464E-2</v>
      </c>
      <c r="DJ166" s="283">
        <f t="shared" si="91"/>
        <v>7.57397805153327E-2</v>
      </c>
      <c r="DK166" s="283">
        <f t="shared" si="92"/>
        <v>2.6744625557158331E-2</v>
      </c>
      <c r="DL166" s="283">
        <f t="shared" si="93"/>
        <v>3.8693516464086607E-2</v>
      </c>
    </row>
    <row r="167" spans="1:116" x14ac:dyDescent="0.2">
      <c r="A167" s="30">
        <v>500</v>
      </c>
      <c r="B167" s="31" t="s">
        <v>481</v>
      </c>
      <c r="C167" s="65"/>
      <c r="D167" s="65"/>
      <c r="E167" s="65"/>
      <c r="F167" s="65"/>
      <c r="G167" s="65"/>
      <c r="H167" s="65">
        <v>9645</v>
      </c>
      <c r="I167" s="65"/>
      <c r="J167" s="65"/>
      <c r="K167" s="65"/>
      <c r="L167" s="65"/>
      <c r="M167" s="65"/>
      <c r="N167" s="65">
        <v>9970</v>
      </c>
      <c r="O167" s="65"/>
      <c r="P167" s="65"/>
      <c r="Q167" s="65"/>
      <c r="R167" s="65"/>
      <c r="S167" s="65"/>
      <c r="T167" s="65">
        <v>10327</v>
      </c>
      <c r="U167" s="65"/>
      <c r="V167" s="65"/>
      <c r="W167" s="65"/>
      <c r="X167" s="65"/>
      <c r="Y167" s="65"/>
      <c r="Z167" s="65">
        <v>10538</v>
      </c>
      <c r="AA167" s="65"/>
      <c r="AB167" s="66">
        <v>12836.80144461698</v>
      </c>
      <c r="AC167" s="34">
        <v>199.83915656889891</v>
      </c>
      <c r="AD167" s="180">
        <v>2760.7662837167477</v>
      </c>
      <c r="AE167" s="65">
        <v>0</v>
      </c>
      <c r="AF167" s="34">
        <v>-669.43299999999999</v>
      </c>
      <c r="AG167" s="65">
        <f t="shared" si="72"/>
        <v>15127.973884902625</v>
      </c>
      <c r="AH167" s="65"/>
      <c r="AI167" s="66">
        <v>11272.375738494678</v>
      </c>
      <c r="AJ167" s="34">
        <v>-155.36663618986682</v>
      </c>
      <c r="AK167" s="181">
        <v>3030.3377209396576</v>
      </c>
      <c r="AL167" s="65">
        <v>0</v>
      </c>
      <c r="AM167" s="34">
        <v>-825.50300000000004</v>
      </c>
      <c r="AN167" s="65">
        <f t="shared" si="73"/>
        <v>13321.843823244468</v>
      </c>
      <c r="AO167" s="65"/>
      <c r="AP167" s="41">
        <v>11824.294065960072</v>
      </c>
      <c r="AQ167" s="41">
        <v>-48.079772643546811</v>
      </c>
      <c r="AR167" s="41">
        <v>3548.8021564536198</v>
      </c>
      <c r="AS167" s="65">
        <v>0</v>
      </c>
      <c r="AT167" s="34">
        <v>-568.84699999999998</v>
      </c>
      <c r="AU167" s="65">
        <f t="shared" si="74"/>
        <v>14756.169449770145</v>
      </c>
      <c r="AV167" s="65"/>
      <c r="AW167" s="41">
        <v>12739.22433713276</v>
      </c>
      <c r="AX167" s="314"/>
      <c r="AY167" s="314"/>
      <c r="AZ167" s="41">
        <v>1064.618407535954</v>
      </c>
      <c r="BA167" s="65">
        <v>0</v>
      </c>
      <c r="BB167" s="34">
        <v>-750.64</v>
      </c>
      <c r="BC167" s="65">
        <f t="shared" si="94"/>
        <v>13053.202744668715</v>
      </c>
      <c r="BD167" s="65"/>
      <c r="BE167" s="41">
        <v>12206.245013060927</v>
      </c>
      <c r="BF167" s="314"/>
      <c r="BG167" s="314"/>
      <c r="BH167" s="41">
        <v>1032.7745607903548</v>
      </c>
      <c r="BI167" s="65">
        <v>0</v>
      </c>
      <c r="BJ167" s="34">
        <v>-804.202</v>
      </c>
      <c r="BK167" s="65">
        <f t="shared" si="95"/>
        <v>12434.817573851282</v>
      </c>
      <c r="BL167" s="65"/>
      <c r="BM167" s="41">
        <v>12986.83462876492</v>
      </c>
      <c r="BN167" s="41">
        <v>526.33270620876806</v>
      </c>
      <c r="BO167" s="65">
        <v>0</v>
      </c>
      <c r="BP167" s="34">
        <v>-804.202</v>
      </c>
      <c r="BQ167" s="65">
        <f t="shared" si="75"/>
        <v>12708.965334973689</v>
      </c>
      <c r="BR167" s="65"/>
      <c r="BS167" s="41">
        <v>12746.26704389248</v>
      </c>
      <c r="BT167" s="314"/>
      <c r="BU167" s="314"/>
      <c r="BV167" s="41">
        <v>568.99420312587847</v>
      </c>
      <c r="BW167" s="65">
        <v>0</v>
      </c>
      <c r="BX167" s="34">
        <v>-804.202</v>
      </c>
      <c r="BY167" s="65">
        <f t="shared" si="96"/>
        <v>12511.059247018358</v>
      </c>
      <c r="CA167" s="5">
        <v>12732.134154334954</v>
      </c>
      <c r="CB167" s="407">
        <v>632.55585749539421</v>
      </c>
      <c r="CC167" s="415">
        <v>0</v>
      </c>
      <c r="CD167" s="34">
        <v>-804.202</v>
      </c>
      <c r="CE167" s="65">
        <f t="shared" si="76"/>
        <v>12560.488011830348</v>
      </c>
      <c r="CF167" s="407"/>
      <c r="CG167" s="5">
        <v>12962.138268642977</v>
      </c>
      <c r="CH167" s="407">
        <v>681.99690280752952</v>
      </c>
      <c r="CI167" s="415">
        <v>0</v>
      </c>
      <c r="CJ167" s="34">
        <v>-804.202</v>
      </c>
      <c r="CK167" s="65">
        <f t="shared" si="77"/>
        <v>12839.933171450508</v>
      </c>
      <c r="CL167" s="407"/>
      <c r="CM167" s="41">
        <f>AU167/'1. Väestöennuste'!L167*1000</f>
        <v>1407.2257724365959</v>
      </c>
      <c r="CN167" s="41">
        <f>BC167/'1. Väestöennuste'!M167*1000</f>
        <v>1237.1531366381116</v>
      </c>
      <c r="CO167" s="41">
        <f>BK167/'1. Väestöennuste'!N167*1000</f>
        <v>1169.8953404695908</v>
      </c>
      <c r="CP167" s="41">
        <f>BQ167/'1. Väestöennuste'!O167*1000</f>
        <v>1187.7537696237093</v>
      </c>
      <c r="CQ167" s="41">
        <f>BY167/'1. Väestöennuste'!P167*1000</f>
        <v>1162.4137551814883</v>
      </c>
      <c r="CR167" s="41">
        <f>CE167/'1. Väestöennuste'!Q167*1000</f>
        <v>1160.9657095693085</v>
      </c>
      <c r="CS167" s="41">
        <f>CK167/'1. Väestöennuste'!R167*1000</f>
        <v>1181.3352812080695</v>
      </c>
      <c r="CT167" s="41"/>
      <c r="CV167" s="41">
        <f t="shared" si="78"/>
        <v>13644.135171450507</v>
      </c>
      <c r="CW167" s="41">
        <f t="shared" si="79"/>
        <v>-11432.707399013912</v>
      </c>
      <c r="CX167" s="41">
        <f t="shared" si="80"/>
        <v>-170.07263579848427</v>
      </c>
      <c r="CY167" s="41">
        <f t="shared" si="81"/>
        <v>-67.257796168520827</v>
      </c>
      <c r="CZ167" s="41">
        <f t="shared" si="82"/>
        <v>17.858429154118539</v>
      </c>
      <c r="DA167" s="41">
        <f t="shared" si="83"/>
        <v>-25.340014442220991</v>
      </c>
      <c r="DB167" s="41">
        <f t="shared" si="84"/>
        <v>-1.4480456121798397</v>
      </c>
      <c r="DC167" s="41">
        <f t="shared" si="85"/>
        <v>20.369571638761045</v>
      </c>
      <c r="DD167" s="41"/>
      <c r="DE167" s="283">
        <f t="shared" si="86"/>
        <v>-16.966054761677423</v>
      </c>
      <c r="DF167" s="283">
        <f t="shared" si="87"/>
        <v>-0.89040240680025107</v>
      </c>
      <c r="DG167" s="283">
        <f t="shared" si="88"/>
        <v>-0.12085668066184246</v>
      </c>
      <c r="DH167" s="283">
        <f t="shared" si="89"/>
        <v>-5.4364972432830581E-2</v>
      </c>
      <c r="DI167" s="283">
        <f t="shared" si="90"/>
        <v>1.5264980153652245E-2</v>
      </c>
      <c r="DJ167" s="283">
        <f t="shared" si="91"/>
        <v>-2.1334400353238976E-2</v>
      </c>
      <c r="DK167" s="283">
        <f t="shared" si="92"/>
        <v>-1.2457230531943899E-3</v>
      </c>
      <c r="DL167" s="283">
        <f t="shared" si="93"/>
        <v>1.7545368886319378E-2</v>
      </c>
    </row>
    <row r="168" spans="1:116" x14ac:dyDescent="0.2">
      <c r="A168" s="30">
        <v>503</v>
      </c>
      <c r="B168" s="31" t="s">
        <v>482</v>
      </c>
      <c r="C168" s="65"/>
      <c r="D168" s="65"/>
      <c r="E168" s="65"/>
      <c r="F168" s="65"/>
      <c r="G168" s="65"/>
      <c r="H168" s="65">
        <v>16849</v>
      </c>
      <c r="I168" s="65"/>
      <c r="J168" s="65"/>
      <c r="K168" s="65"/>
      <c r="L168" s="65"/>
      <c r="M168" s="65"/>
      <c r="N168" s="65">
        <v>15832</v>
      </c>
      <c r="O168" s="65"/>
      <c r="P168" s="65"/>
      <c r="Q168" s="65"/>
      <c r="R168" s="65"/>
      <c r="S168" s="65"/>
      <c r="T168" s="65">
        <v>15391</v>
      </c>
      <c r="U168" s="65"/>
      <c r="V168" s="65"/>
      <c r="W168" s="65"/>
      <c r="X168" s="65"/>
      <c r="Y168" s="65"/>
      <c r="Z168" s="65">
        <v>15107</v>
      </c>
      <c r="AA168" s="65"/>
      <c r="AB168" s="66">
        <v>15040.782886305575</v>
      </c>
      <c r="AC168" s="34">
        <v>137.34010267164081</v>
      </c>
      <c r="AD168" s="180">
        <v>3819.6854643574848</v>
      </c>
      <c r="AE168" s="65">
        <v>1050</v>
      </c>
      <c r="AF168" s="34">
        <v>-105.319</v>
      </c>
      <c r="AG168" s="65">
        <f t="shared" si="72"/>
        <v>19942.4894533347</v>
      </c>
      <c r="AH168" s="65"/>
      <c r="AI168" s="66">
        <v>14126.791946370651</v>
      </c>
      <c r="AJ168" s="34">
        <v>-106.97053986146261</v>
      </c>
      <c r="AK168" s="181">
        <v>4100.1180855155753</v>
      </c>
      <c r="AL168" s="65">
        <v>0</v>
      </c>
      <c r="AM168" s="34">
        <v>-97.778999999999996</v>
      </c>
      <c r="AN168" s="65">
        <f t="shared" si="73"/>
        <v>18022.160492024766</v>
      </c>
      <c r="AO168" s="65"/>
      <c r="AP168" s="41">
        <v>15147.900933237665</v>
      </c>
      <c r="AQ168" s="41">
        <v>-33.1406733591933</v>
      </c>
      <c r="AR168" s="41">
        <v>4796.1219078176655</v>
      </c>
      <c r="AS168" s="65">
        <v>0</v>
      </c>
      <c r="AT168" s="34">
        <v>-188.851</v>
      </c>
      <c r="AU168" s="65">
        <f t="shared" si="74"/>
        <v>19722.031167696139</v>
      </c>
      <c r="AV168" s="65"/>
      <c r="AW168" s="41">
        <v>2908.951495294511</v>
      </c>
      <c r="AX168" s="314"/>
      <c r="AY168" s="314"/>
      <c r="AZ168" s="41">
        <v>1432.9563497235579</v>
      </c>
      <c r="BA168" s="65">
        <v>0</v>
      </c>
      <c r="BB168" s="34">
        <v>-94.516999999999996</v>
      </c>
      <c r="BC168" s="65">
        <f t="shared" si="94"/>
        <v>4247.3908450180688</v>
      </c>
      <c r="BD168" s="65"/>
      <c r="BE168" s="41">
        <v>2785.1441703430301</v>
      </c>
      <c r="BF168" s="314"/>
      <c r="BG168" s="314"/>
      <c r="BH168" s="41">
        <v>1388.3081387866098</v>
      </c>
      <c r="BI168" s="65">
        <v>0</v>
      </c>
      <c r="BJ168" s="34">
        <v>-285.59300000000002</v>
      </c>
      <c r="BK168" s="65">
        <f t="shared" si="95"/>
        <v>3887.8593091296398</v>
      </c>
      <c r="BL168" s="65"/>
      <c r="BM168" s="41">
        <v>3889.9217060750852</v>
      </c>
      <c r="BN168" s="41">
        <v>813.50860820018545</v>
      </c>
      <c r="BO168" s="65">
        <v>0</v>
      </c>
      <c r="BP168" s="34">
        <v>-285.59300000000002</v>
      </c>
      <c r="BQ168" s="65">
        <f t="shared" si="75"/>
        <v>4417.8373142752707</v>
      </c>
      <c r="BR168" s="65"/>
      <c r="BS168" s="41">
        <v>3611.3938466634554</v>
      </c>
      <c r="BT168" s="314"/>
      <c r="BU168" s="314"/>
      <c r="BV168" s="41">
        <v>876.89309371866</v>
      </c>
      <c r="BW168" s="65">
        <v>0</v>
      </c>
      <c r="BX168" s="34">
        <v>-285.59300000000002</v>
      </c>
      <c r="BY168" s="65">
        <f t="shared" si="96"/>
        <v>4202.6939403821152</v>
      </c>
      <c r="CA168" s="5">
        <v>3606.6842724316098</v>
      </c>
      <c r="CB168" s="407">
        <v>945.86565758074937</v>
      </c>
      <c r="CC168" s="415">
        <v>0</v>
      </c>
      <c r="CD168" s="34">
        <v>-285.59300000000002</v>
      </c>
      <c r="CE168" s="65">
        <f t="shared" si="76"/>
        <v>4266.9569300123594</v>
      </c>
      <c r="CF168" s="407"/>
      <c r="CG168" s="5">
        <v>4181.2514834803442</v>
      </c>
      <c r="CH168" s="407">
        <v>1004.8065540748275</v>
      </c>
      <c r="CI168" s="415">
        <v>0</v>
      </c>
      <c r="CJ168" s="34">
        <v>-285.59300000000002</v>
      </c>
      <c r="CK168" s="65">
        <f t="shared" si="77"/>
        <v>4900.4650375551719</v>
      </c>
      <c r="CL168" s="407"/>
      <c r="CM168" s="41">
        <f>AU168/'1. Väestöennuste'!L168*1000</f>
        <v>2616.000950748924</v>
      </c>
      <c r="CN168" s="41">
        <f>BC168/'1. Väestöennuste'!M168*1000</f>
        <v>565.18840253068117</v>
      </c>
      <c r="CO168" s="41">
        <f>BK168/'1. Väestöennuste'!N168*1000</f>
        <v>521.09091396992892</v>
      </c>
      <c r="CP168" s="41">
        <f>BQ168/'1. Väestöennuste'!O168*1000</f>
        <v>595.2354236425856</v>
      </c>
      <c r="CQ168" s="41">
        <f>BY168/'1. Väestöennuste'!P168*1000</f>
        <v>569.08516457442317</v>
      </c>
      <c r="CR168" s="41">
        <f>CE168/'1. Väestöennuste'!Q168*1000</f>
        <v>580.45938375899334</v>
      </c>
      <c r="CS168" s="41">
        <f>CK168/'1. Väestöennuste'!R168*1000</f>
        <v>669.82846330715847</v>
      </c>
      <c r="CT168" s="41"/>
      <c r="CV168" s="41">
        <f t="shared" si="78"/>
        <v>5186.0580375551717</v>
      </c>
      <c r="CW168" s="41">
        <f t="shared" si="79"/>
        <v>-2284.4640868062479</v>
      </c>
      <c r="CX168" s="41">
        <f t="shared" si="80"/>
        <v>-2050.8125482182427</v>
      </c>
      <c r="CY168" s="41">
        <f t="shared" si="81"/>
        <v>-44.097488560752254</v>
      </c>
      <c r="CZ168" s="41">
        <f t="shared" si="82"/>
        <v>74.144509672656682</v>
      </c>
      <c r="DA168" s="41">
        <f t="shared" si="83"/>
        <v>-26.150259068162427</v>
      </c>
      <c r="DB168" s="41">
        <f t="shared" si="84"/>
        <v>11.374219184570165</v>
      </c>
      <c r="DC168" s="41">
        <f t="shared" si="85"/>
        <v>89.369079548165132</v>
      </c>
      <c r="DD168" s="41"/>
      <c r="DE168" s="283">
        <f t="shared" si="86"/>
        <v>-18.158911589412806</v>
      </c>
      <c r="DF168" s="283">
        <f t="shared" si="87"/>
        <v>-0.46617291814124656</v>
      </c>
      <c r="DG168" s="283">
        <f t="shared" si="88"/>
        <v>-0.78394946593238968</v>
      </c>
      <c r="DH168" s="283">
        <f t="shared" si="89"/>
        <v>-7.8022635219162029E-2</v>
      </c>
      <c r="DI168" s="283">
        <f t="shared" si="90"/>
        <v>0.14228708980509189</v>
      </c>
      <c r="DJ168" s="283">
        <f t="shared" si="91"/>
        <v>-4.3932632416488343E-2</v>
      </c>
      <c r="DK168" s="283">
        <f t="shared" si="92"/>
        <v>1.9986848880652344E-2</v>
      </c>
      <c r="DL168" s="283">
        <f t="shared" si="93"/>
        <v>0.15396267516500545</v>
      </c>
    </row>
    <row r="169" spans="1:116" x14ac:dyDescent="0.2">
      <c r="A169" s="30">
        <v>504</v>
      </c>
      <c r="B169" s="31" t="s">
        <v>483</v>
      </c>
      <c r="C169" s="65"/>
      <c r="D169" s="65"/>
      <c r="E169" s="65"/>
      <c r="F169" s="65"/>
      <c r="G169" s="65"/>
      <c r="H169" s="65">
        <v>4286</v>
      </c>
      <c r="I169" s="65"/>
      <c r="J169" s="65"/>
      <c r="K169" s="65"/>
      <c r="L169" s="65"/>
      <c r="M169" s="65"/>
      <c r="N169" s="65">
        <v>4255</v>
      </c>
      <c r="O169" s="65"/>
      <c r="P169" s="65"/>
      <c r="Q169" s="65"/>
      <c r="R169" s="65"/>
      <c r="S169" s="65"/>
      <c r="T169" s="65">
        <v>4437</v>
      </c>
      <c r="U169" s="65"/>
      <c r="V169" s="65"/>
      <c r="W169" s="65"/>
      <c r="X169" s="65"/>
      <c r="Y169" s="65"/>
      <c r="Z169" s="65">
        <v>4666</v>
      </c>
      <c r="AA169" s="65"/>
      <c r="AB169" s="66">
        <v>4670.7098387837732</v>
      </c>
      <c r="AC169" s="34">
        <v>31.497849830189143</v>
      </c>
      <c r="AD169" s="180">
        <v>1052.7992105084677</v>
      </c>
      <c r="AE169" s="65">
        <v>0</v>
      </c>
      <c r="AF169" s="34">
        <v>-411.77800000000002</v>
      </c>
      <c r="AG169" s="65">
        <f t="shared" si="72"/>
        <v>5343.2288991224295</v>
      </c>
      <c r="AH169" s="65"/>
      <c r="AI169" s="66">
        <v>4512.865417370077</v>
      </c>
      <c r="AJ169" s="34">
        <v>-24.363439042801943</v>
      </c>
      <c r="AK169" s="181">
        <v>1124.8411715975822</v>
      </c>
      <c r="AL169" s="65">
        <v>0</v>
      </c>
      <c r="AM169" s="34">
        <v>-474.976</v>
      </c>
      <c r="AN169" s="65">
        <f t="shared" si="73"/>
        <v>5138.3671499248567</v>
      </c>
      <c r="AO169" s="65"/>
      <c r="AP169" s="41">
        <v>4621.143610541043</v>
      </c>
      <c r="AQ169" s="41">
        <v>-7.5103143575832707</v>
      </c>
      <c r="AR169" s="41">
        <v>1322.4371665955534</v>
      </c>
      <c r="AS169" s="65">
        <v>0</v>
      </c>
      <c r="AT169" s="34">
        <v>-500.55500000000001</v>
      </c>
      <c r="AU169" s="65">
        <f t="shared" si="74"/>
        <v>5435.5154627790125</v>
      </c>
      <c r="AV169" s="65"/>
      <c r="AW169" s="41">
        <v>1114.6559739449713</v>
      </c>
      <c r="AX169" s="314"/>
      <c r="AY169" s="314"/>
      <c r="AZ169" s="41">
        <v>394.74352792224653</v>
      </c>
      <c r="BA169" s="65">
        <v>100</v>
      </c>
      <c r="BB169" s="34">
        <v>-482.54399999999998</v>
      </c>
      <c r="BC169" s="65">
        <f t="shared" si="94"/>
        <v>1126.8555018672178</v>
      </c>
      <c r="BD169" s="65"/>
      <c r="BE169" s="41">
        <v>494.4969391523552</v>
      </c>
      <c r="BF169" s="314"/>
      <c r="BG169" s="314"/>
      <c r="BH169" s="41">
        <v>381.9533060894554</v>
      </c>
      <c r="BI169" s="65">
        <v>0</v>
      </c>
      <c r="BJ169" s="34">
        <v>-418.03100000000001</v>
      </c>
      <c r="BK169" s="65">
        <f t="shared" si="95"/>
        <v>458.41924524181053</v>
      </c>
      <c r="BL169" s="65"/>
      <c r="BM169" s="41">
        <v>721.54306679767978</v>
      </c>
      <c r="BN169" s="41">
        <v>236.15725692692808</v>
      </c>
      <c r="BO169" s="65">
        <v>0</v>
      </c>
      <c r="BP169" s="34">
        <v>-418.03100000000001</v>
      </c>
      <c r="BQ169" s="65">
        <f t="shared" si="75"/>
        <v>539.66932372460792</v>
      </c>
      <c r="BR169" s="65"/>
      <c r="BS169" s="41">
        <v>696.04267340505885</v>
      </c>
      <c r="BT169" s="314"/>
      <c r="BU169" s="314"/>
      <c r="BV169" s="41">
        <v>254.2325350609774</v>
      </c>
      <c r="BW169" s="65">
        <v>0</v>
      </c>
      <c r="BX169" s="34">
        <v>-418.03100000000001</v>
      </c>
      <c r="BY169" s="65">
        <f t="shared" si="96"/>
        <v>532.2442084660363</v>
      </c>
      <c r="CA169" s="5">
        <v>665.13772442906986</v>
      </c>
      <c r="CB169" s="407">
        <v>272.46211701934226</v>
      </c>
      <c r="CC169" s="415">
        <v>0</v>
      </c>
      <c r="CD169" s="34">
        <v>-418.03100000000001</v>
      </c>
      <c r="CE169" s="65">
        <f t="shared" si="76"/>
        <v>519.56884144841206</v>
      </c>
      <c r="CF169" s="407"/>
      <c r="CG169" s="5">
        <v>836.09101966119908</v>
      </c>
      <c r="CH169" s="407">
        <v>288.4115881679042</v>
      </c>
      <c r="CI169" s="415">
        <v>0</v>
      </c>
      <c r="CJ169" s="34">
        <v>-418.03100000000001</v>
      </c>
      <c r="CK169" s="65">
        <f t="shared" si="77"/>
        <v>706.47160782910328</v>
      </c>
      <c r="CL169" s="407"/>
      <c r="CM169" s="41">
        <f>AU169/'1. Väestöennuste'!L169*1000</f>
        <v>3081.3579720969456</v>
      </c>
      <c r="CN169" s="41">
        <f>BC169/'1. Väestöennuste'!M169*1000</f>
        <v>657.05860167184699</v>
      </c>
      <c r="CO169" s="41">
        <f>BK169/'1. Väestöennuste'!N169*1000</f>
        <v>256.10013700659806</v>
      </c>
      <c r="CP169" s="41">
        <f>BQ169/'1. Väestöennuste'!O169*1000</f>
        <v>304.38202127727465</v>
      </c>
      <c r="CQ169" s="41">
        <f>BY169/'1. Väestöennuste'!P169*1000</f>
        <v>303.10034650685435</v>
      </c>
      <c r="CR169" s="41">
        <f>CE169/'1. Väestöennuste'!Q169*1000</f>
        <v>297.74718707645394</v>
      </c>
      <c r="CS169" s="41">
        <f>CK169/'1. Väestöennuste'!R169*1000</f>
        <v>407.42307256580352</v>
      </c>
      <c r="CT169" s="41"/>
      <c r="CV169" s="41">
        <f t="shared" si="78"/>
        <v>1124.5026078291032</v>
      </c>
      <c r="CW169" s="41">
        <f t="shared" si="79"/>
        <v>2374.8863642678425</v>
      </c>
      <c r="CX169" s="41">
        <f t="shared" si="80"/>
        <v>-2424.2993704250985</v>
      </c>
      <c r="CY169" s="41">
        <f t="shared" si="81"/>
        <v>-400.95846466524893</v>
      </c>
      <c r="CZ169" s="41">
        <f t="shared" si="82"/>
        <v>48.281884270676585</v>
      </c>
      <c r="DA169" s="41">
        <f t="shared" si="83"/>
        <v>-1.2816747704202953</v>
      </c>
      <c r="DB169" s="41">
        <f t="shared" si="84"/>
        <v>-5.3531594304004102</v>
      </c>
      <c r="DC169" s="41">
        <f t="shared" si="85"/>
        <v>109.67588548934958</v>
      </c>
      <c r="DD169" s="41"/>
      <c r="DE169" s="283">
        <f t="shared" si="86"/>
        <v>-2.6899981289165233</v>
      </c>
      <c r="DF169" s="283">
        <f t="shared" si="87"/>
        <v>3.361616146989352</v>
      </c>
      <c r="DG169" s="283">
        <f t="shared" si="88"/>
        <v>-0.78676330123867388</v>
      </c>
      <c r="DH169" s="283">
        <f t="shared" si="89"/>
        <v>-0.61023242621743889</v>
      </c>
      <c r="DI169" s="283">
        <f t="shared" si="90"/>
        <v>0.1885273660335163</v>
      </c>
      <c r="DJ169" s="283">
        <f t="shared" si="91"/>
        <v>-4.2107440020340845E-3</v>
      </c>
      <c r="DK169" s="283">
        <f t="shared" si="92"/>
        <v>-1.7661343815980602E-2</v>
      </c>
      <c r="DL169" s="283">
        <f t="shared" si="93"/>
        <v>0.36835238165050266</v>
      </c>
    </row>
    <row r="170" spans="1:116" x14ac:dyDescent="0.2">
      <c r="A170" s="30">
        <v>505</v>
      </c>
      <c r="B170" s="31" t="s">
        <v>484</v>
      </c>
      <c r="C170" s="65"/>
      <c r="D170" s="65"/>
      <c r="E170" s="65"/>
      <c r="F170" s="65"/>
      <c r="G170" s="65"/>
      <c r="H170" s="65">
        <v>29253</v>
      </c>
      <c r="I170" s="65"/>
      <c r="J170" s="65"/>
      <c r="K170" s="65"/>
      <c r="L170" s="65"/>
      <c r="M170" s="65"/>
      <c r="N170" s="65">
        <v>28964</v>
      </c>
      <c r="O170" s="65"/>
      <c r="P170" s="65"/>
      <c r="Q170" s="65"/>
      <c r="R170" s="65"/>
      <c r="S170" s="65"/>
      <c r="T170" s="65">
        <v>28828</v>
      </c>
      <c r="U170" s="65"/>
      <c r="V170" s="65"/>
      <c r="W170" s="65"/>
      <c r="X170" s="65"/>
      <c r="Y170" s="65"/>
      <c r="Z170" s="65">
        <v>29609</v>
      </c>
      <c r="AA170" s="65"/>
      <c r="AB170" s="66">
        <v>32635.18374106555</v>
      </c>
      <c r="AC170" s="34">
        <v>409.92535328949964</v>
      </c>
      <c r="AD170" s="180">
        <v>8028.2433490261865</v>
      </c>
      <c r="AE170" s="65">
        <v>0</v>
      </c>
      <c r="AF170" s="34">
        <v>-2059.3939999999998</v>
      </c>
      <c r="AG170" s="65">
        <f t="shared" si="72"/>
        <v>39013.958443381242</v>
      </c>
      <c r="AH170" s="65"/>
      <c r="AI170" s="66">
        <v>26859.120169547248</v>
      </c>
      <c r="AJ170" s="34">
        <v>-318.67840501936422</v>
      </c>
      <c r="AK170" s="181">
        <v>8676.8560274458014</v>
      </c>
      <c r="AL170" s="65">
        <v>1550</v>
      </c>
      <c r="AM170" s="34">
        <v>-2750.19</v>
      </c>
      <c r="AN170" s="65">
        <f t="shared" si="73"/>
        <v>34017.107791973685</v>
      </c>
      <c r="AO170" s="65"/>
      <c r="AP170" s="41">
        <v>27568.19297139148</v>
      </c>
      <c r="AQ170" s="41">
        <v>-98.369842684133417</v>
      </c>
      <c r="AR170" s="41">
        <v>10554.937664482077</v>
      </c>
      <c r="AS170" s="65">
        <v>0</v>
      </c>
      <c r="AT170" s="34">
        <v>-2081.4989999999998</v>
      </c>
      <c r="AU170" s="65">
        <f t="shared" si="74"/>
        <v>35943.26179318942</v>
      </c>
      <c r="AV170" s="65"/>
      <c r="AW170" s="41">
        <v>14096.895803119167</v>
      </c>
      <c r="AX170" s="314"/>
      <c r="AY170" s="314"/>
      <c r="AZ170" s="41">
        <v>3199.9020564645684</v>
      </c>
      <c r="BA170" s="65">
        <v>0</v>
      </c>
      <c r="BB170" s="34">
        <v>-2154.0239999999999</v>
      </c>
      <c r="BC170" s="65">
        <f t="shared" si="94"/>
        <v>15142.773859583735</v>
      </c>
      <c r="BD170" s="65"/>
      <c r="BE170" s="41">
        <v>13673.46295818211</v>
      </c>
      <c r="BF170" s="314"/>
      <c r="BG170" s="314"/>
      <c r="BH170" s="41">
        <v>3077.1149719463256</v>
      </c>
      <c r="BI170" s="65">
        <v>0</v>
      </c>
      <c r="BJ170" s="34">
        <v>-2309.614</v>
      </c>
      <c r="BK170" s="65">
        <f t="shared" si="95"/>
        <v>14440.963930128435</v>
      </c>
      <c r="BL170" s="65"/>
      <c r="BM170" s="41">
        <v>15467.53017313652</v>
      </c>
      <c r="BN170" s="41">
        <v>1732.4322682959892</v>
      </c>
      <c r="BO170" s="65">
        <v>0</v>
      </c>
      <c r="BP170" s="34">
        <v>-2309.614</v>
      </c>
      <c r="BQ170" s="65">
        <f t="shared" si="75"/>
        <v>14890.348441432508</v>
      </c>
      <c r="BR170" s="65"/>
      <c r="BS170" s="41">
        <v>15229.695022650549</v>
      </c>
      <c r="BT170" s="314"/>
      <c r="BU170" s="314"/>
      <c r="BV170" s="41">
        <v>1847.8218789480379</v>
      </c>
      <c r="BW170" s="65">
        <v>0</v>
      </c>
      <c r="BX170" s="34">
        <v>-2309.614</v>
      </c>
      <c r="BY170" s="65">
        <f t="shared" si="96"/>
        <v>14767.902901598589</v>
      </c>
      <c r="CA170" s="5">
        <v>14959.303610081652</v>
      </c>
      <c r="CB170" s="407">
        <v>2007.5179694659851</v>
      </c>
      <c r="CC170" s="415">
        <v>0</v>
      </c>
      <c r="CD170" s="34">
        <v>-2309.614</v>
      </c>
      <c r="CE170" s="65">
        <f t="shared" si="76"/>
        <v>14657.207579547636</v>
      </c>
      <c r="CF170" s="407"/>
      <c r="CG170" s="5">
        <v>15234.813765500883</v>
      </c>
      <c r="CH170" s="407">
        <v>2140.1504392505985</v>
      </c>
      <c r="CI170" s="415">
        <v>0</v>
      </c>
      <c r="CJ170" s="34">
        <v>-2309.614</v>
      </c>
      <c r="CK170" s="65">
        <f t="shared" si="77"/>
        <v>15065.350204751483</v>
      </c>
      <c r="CL170" s="407"/>
      <c r="CM170" s="41">
        <f>AU170/'1. Väestöennuste'!L170*1000</f>
        <v>1718.7864285190044</v>
      </c>
      <c r="CN170" s="41">
        <f>BC170/'1. Väestöennuste'!M170*1000</f>
        <v>722.56400532441353</v>
      </c>
      <c r="CO170" s="41">
        <f>BK170/'1. Väestöennuste'!N170*1000</f>
        <v>691.2859708055737</v>
      </c>
      <c r="CP170" s="41">
        <f>BQ170/'1. Väestöennuste'!O170*1000</f>
        <v>711.53765190579202</v>
      </c>
      <c r="CQ170" s="41">
        <f>BY170/'1. Väestöennuste'!P170*1000</f>
        <v>704.23952797322784</v>
      </c>
      <c r="CR170" s="41">
        <f>CE170/'1. Väestöennuste'!Q170*1000</f>
        <v>697.59685781484154</v>
      </c>
      <c r="CS170" s="41">
        <f>CK170/'1. Väestöennuste'!R170*1000</f>
        <v>715.76160227819662</v>
      </c>
      <c r="CT170" s="41"/>
      <c r="CV170" s="41">
        <f t="shared" si="78"/>
        <v>17374.964204751483</v>
      </c>
      <c r="CW170" s="41">
        <f t="shared" si="79"/>
        <v>-13346.563776232479</v>
      </c>
      <c r="CX170" s="41">
        <f t="shared" si="80"/>
        <v>-996.22242319459087</v>
      </c>
      <c r="CY170" s="41">
        <f t="shared" si="81"/>
        <v>-31.278034518839831</v>
      </c>
      <c r="CZ170" s="41">
        <f t="shared" si="82"/>
        <v>20.25168110021832</v>
      </c>
      <c r="DA170" s="41">
        <f t="shared" si="83"/>
        <v>-7.2981239325641809</v>
      </c>
      <c r="DB170" s="41">
        <f t="shared" si="84"/>
        <v>-6.642670158386295</v>
      </c>
      <c r="DC170" s="41">
        <f t="shared" si="85"/>
        <v>18.164744463355078</v>
      </c>
      <c r="DD170" s="41"/>
      <c r="DE170" s="283">
        <f t="shared" si="86"/>
        <v>-7.5228865969601335</v>
      </c>
      <c r="DF170" s="283">
        <f t="shared" si="87"/>
        <v>-0.88591128615271664</v>
      </c>
      <c r="DG170" s="283">
        <f t="shared" si="88"/>
        <v>-0.57960803428788288</v>
      </c>
      <c r="DH170" s="283">
        <f t="shared" si="89"/>
        <v>-4.3287562469703653E-2</v>
      </c>
      <c r="DI170" s="283">
        <f t="shared" si="90"/>
        <v>2.929566338026288E-2</v>
      </c>
      <c r="DJ170" s="283">
        <f t="shared" si="91"/>
        <v>-1.0256834495007802E-2</v>
      </c>
      <c r="DK170" s="283">
        <f t="shared" si="92"/>
        <v>-9.4324017532836091E-3</v>
      </c>
      <c r="DL170" s="283">
        <f t="shared" si="93"/>
        <v>2.6039028501725885E-2</v>
      </c>
    </row>
    <row r="171" spans="1:116" x14ac:dyDescent="0.2">
      <c r="A171" s="30">
        <v>507</v>
      </c>
      <c r="B171" s="31" t="s">
        <v>485</v>
      </c>
      <c r="C171" s="65"/>
      <c r="D171" s="65"/>
      <c r="E171" s="65"/>
      <c r="F171" s="65"/>
      <c r="G171" s="65"/>
      <c r="H171" s="65">
        <v>18642</v>
      </c>
      <c r="I171" s="65"/>
      <c r="J171" s="65"/>
      <c r="K171" s="65"/>
      <c r="L171" s="65"/>
      <c r="M171" s="65"/>
      <c r="N171" s="65">
        <v>18626</v>
      </c>
      <c r="O171" s="65"/>
      <c r="P171" s="65"/>
      <c r="Q171" s="65"/>
      <c r="R171" s="65"/>
      <c r="S171" s="65"/>
      <c r="T171" s="65">
        <v>17999</v>
      </c>
      <c r="U171" s="65"/>
      <c r="V171" s="65"/>
      <c r="W171" s="65"/>
      <c r="X171" s="65"/>
      <c r="Y171" s="65"/>
      <c r="Z171" s="65">
        <v>17949</v>
      </c>
      <c r="AA171" s="65"/>
      <c r="AB171" s="66">
        <v>17633.100089172051</v>
      </c>
      <c r="AC171" s="34">
        <v>105.3785317847549</v>
      </c>
      <c r="AD171" s="180">
        <v>3185.8566907842614</v>
      </c>
      <c r="AE171" s="65">
        <v>0</v>
      </c>
      <c r="AF171" s="34">
        <v>-246.054</v>
      </c>
      <c r="AG171" s="65">
        <f t="shared" si="72"/>
        <v>20678.281311741066</v>
      </c>
      <c r="AH171" s="65"/>
      <c r="AI171" s="66">
        <v>16422.300786405704</v>
      </c>
      <c r="AJ171" s="34">
        <v>-80.805958725712998</v>
      </c>
      <c r="AK171" s="181">
        <v>3392.9326003595984</v>
      </c>
      <c r="AL171" s="65">
        <v>0</v>
      </c>
      <c r="AM171" s="34">
        <v>-203.881</v>
      </c>
      <c r="AN171" s="65">
        <f t="shared" si="73"/>
        <v>19530.54642803959</v>
      </c>
      <c r="AO171" s="65"/>
      <c r="AP171" s="41">
        <v>16649.489341040571</v>
      </c>
      <c r="AQ171" s="41">
        <v>-24.619314781673872</v>
      </c>
      <c r="AR171" s="41">
        <v>3762.0436013038548</v>
      </c>
      <c r="AS171" s="65">
        <v>0</v>
      </c>
      <c r="AT171" s="34">
        <v>2.7810000000000001</v>
      </c>
      <c r="AU171" s="65">
        <f t="shared" si="74"/>
        <v>20389.694627562752</v>
      </c>
      <c r="AV171" s="65"/>
      <c r="AW171" s="41">
        <v>883.62029658864617</v>
      </c>
      <c r="AX171" s="314"/>
      <c r="AY171" s="314"/>
      <c r="AZ171" s="41">
        <v>1114.235870417049</v>
      </c>
      <c r="BA171" s="65">
        <v>0</v>
      </c>
      <c r="BB171" s="34">
        <v>36.048000000000002</v>
      </c>
      <c r="BC171" s="65">
        <f t="shared" si="94"/>
        <v>2033.9041670056952</v>
      </c>
      <c r="BD171" s="65"/>
      <c r="BE171" s="41">
        <v>-195.77092388123901</v>
      </c>
      <c r="BF171" s="314"/>
      <c r="BG171" s="314"/>
      <c r="BH171" s="41">
        <v>1106.5439257034184</v>
      </c>
      <c r="BI171" s="65">
        <v>0</v>
      </c>
      <c r="BJ171" s="34">
        <v>39.518999999999998</v>
      </c>
      <c r="BK171" s="65">
        <f t="shared" si="95"/>
        <v>950.29200182217937</v>
      </c>
      <c r="BL171" s="65"/>
      <c r="BM171" s="41">
        <v>903.53155161197719</v>
      </c>
      <c r="BN171" s="41">
        <v>1098.5189671841595</v>
      </c>
      <c r="BO171" s="65">
        <v>0</v>
      </c>
      <c r="BP171" s="34">
        <v>39.518999999999998</v>
      </c>
      <c r="BQ171" s="65">
        <f t="shared" si="75"/>
        <v>2041.5695187961367</v>
      </c>
      <c r="BR171" s="65"/>
      <c r="BS171" s="41">
        <v>535.88193431216666</v>
      </c>
      <c r="BT171" s="314"/>
      <c r="BU171" s="314"/>
      <c r="BV171" s="41">
        <v>1169.1388019817603</v>
      </c>
      <c r="BW171" s="65">
        <v>0</v>
      </c>
      <c r="BX171" s="34">
        <v>39.518999999999998</v>
      </c>
      <c r="BY171" s="65">
        <f t="shared" si="96"/>
        <v>1744.5397362939268</v>
      </c>
      <c r="CA171" s="5">
        <v>560.78395191477637</v>
      </c>
      <c r="CB171" s="407">
        <v>1240.8920014836149</v>
      </c>
      <c r="CC171" s="415">
        <v>0</v>
      </c>
      <c r="CD171" s="34">
        <v>39.518999999999998</v>
      </c>
      <c r="CE171" s="65">
        <f t="shared" si="76"/>
        <v>1841.1949533983914</v>
      </c>
      <c r="CF171" s="407"/>
      <c r="CG171" s="5">
        <v>1544.3441543012195</v>
      </c>
      <c r="CH171" s="407">
        <v>1303.9906963939954</v>
      </c>
      <c r="CI171" s="415">
        <v>0</v>
      </c>
      <c r="CJ171" s="34">
        <v>39.518999999999998</v>
      </c>
      <c r="CK171" s="65">
        <f t="shared" si="77"/>
        <v>2887.853850695215</v>
      </c>
      <c r="CL171" s="407"/>
      <c r="CM171" s="41">
        <f>AU171/'1. Väestöennuste'!L171*1000</f>
        <v>3664.5748791449951</v>
      </c>
      <c r="CN171" s="41">
        <f>BC171/'1. Väestöennuste'!M171*1000</f>
        <v>368.32744784601505</v>
      </c>
      <c r="CO171" s="41">
        <f>BK171/'1. Väestöennuste'!N171*1000</f>
        <v>176.63420108218946</v>
      </c>
      <c r="CP171" s="41">
        <f>BQ171/'1. Väestöennuste'!O171*1000</f>
        <v>298.51871893495195</v>
      </c>
      <c r="CQ171" s="41">
        <f>BY171/'1. Väestöennuste'!P171*1000</f>
        <v>258.1061897165153</v>
      </c>
      <c r="CR171" s="41">
        <f>CE171/'1. Väestöennuste'!Q171*1000</f>
        <v>275.46303910807768</v>
      </c>
      <c r="CS171" s="41">
        <f>CK171/'1. Väestöennuste'!R171*1000</f>
        <v>436.627434335533</v>
      </c>
      <c r="CT171" s="41"/>
      <c r="CV171" s="41">
        <f t="shared" si="78"/>
        <v>2848.3348506952152</v>
      </c>
      <c r="CW171" s="41">
        <f t="shared" si="79"/>
        <v>776.72102844978008</v>
      </c>
      <c r="CX171" s="41">
        <f t="shared" si="80"/>
        <v>-3296.2474312989798</v>
      </c>
      <c r="CY171" s="41">
        <f t="shared" si="81"/>
        <v>-191.69324676382558</v>
      </c>
      <c r="CZ171" s="41">
        <f t="shared" si="82"/>
        <v>121.88451785276249</v>
      </c>
      <c r="DA171" s="41">
        <f t="shared" si="83"/>
        <v>-40.412529218436646</v>
      </c>
      <c r="DB171" s="41">
        <f t="shared" si="84"/>
        <v>17.356849391562378</v>
      </c>
      <c r="DC171" s="41">
        <f t="shared" si="85"/>
        <v>161.16439522745532</v>
      </c>
      <c r="DD171" s="41"/>
      <c r="DE171" s="283">
        <f t="shared" si="86"/>
        <v>72.075074032622666</v>
      </c>
      <c r="DF171" s="283">
        <f t="shared" si="87"/>
        <v>0.26896133551315077</v>
      </c>
      <c r="DG171" s="283">
        <f t="shared" si="88"/>
        <v>-0.89948971981930081</v>
      </c>
      <c r="DH171" s="283">
        <f t="shared" si="89"/>
        <v>-0.52044247010330302</v>
      </c>
      <c r="DI171" s="283">
        <f t="shared" si="90"/>
        <v>0.69003917194976605</v>
      </c>
      <c r="DJ171" s="283">
        <f t="shared" si="91"/>
        <v>-0.13537686803232815</v>
      </c>
      <c r="DK171" s="283">
        <f t="shared" si="92"/>
        <v>6.7246932011300678E-2</v>
      </c>
      <c r="DL171" s="283">
        <f t="shared" si="93"/>
        <v>0.58506722262736166</v>
      </c>
    </row>
    <row r="172" spans="1:116" x14ac:dyDescent="0.2">
      <c r="A172" s="30">
        <v>508</v>
      </c>
      <c r="B172" s="31" t="s">
        <v>486</v>
      </c>
      <c r="C172" s="65"/>
      <c r="D172" s="65"/>
      <c r="E172" s="65"/>
      <c r="F172" s="65"/>
      <c r="G172" s="65"/>
      <c r="H172" s="65">
        <v>26612</v>
      </c>
      <c r="I172" s="65"/>
      <c r="J172" s="65"/>
      <c r="K172" s="65"/>
      <c r="L172" s="65"/>
      <c r="M172" s="65"/>
      <c r="N172" s="65">
        <v>26691</v>
      </c>
      <c r="O172" s="65"/>
      <c r="P172" s="65"/>
      <c r="Q172" s="65"/>
      <c r="R172" s="65"/>
      <c r="S172" s="65"/>
      <c r="T172" s="65">
        <v>25426</v>
      </c>
      <c r="U172" s="65"/>
      <c r="V172" s="65"/>
      <c r="W172" s="65"/>
      <c r="X172" s="65"/>
      <c r="Y172" s="65"/>
      <c r="Z172" s="65">
        <v>24579</v>
      </c>
      <c r="AA172" s="65"/>
      <c r="AB172" s="66">
        <v>24607.216783967393</v>
      </c>
      <c r="AC172" s="34">
        <v>203.11695853137869</v>
      </c>
      <c r="AD172" s="180">
        <v>4658.0807987451144</v>
      </c>
      <c r="AE172" s="65">
        <v>0</v>
      </c>
      <c r="AF172" s="34">
        <v>-729.53</v>
      </c>
      <c r="AG172" s="65">
        <f t="shared" si="72"/>
        <v>28738.88454124389</v>
      </c>
      <c r="AH172" s="65"/>
      <c r="AI172" s="66">
        <v>21973.222540976294</v>
      </c>
      <c r="AJ172" s="34">
        <v>-156.55039737478717</v>
      </c>
      <c r="AK172" s="181">
        <v>4977.2051961372827</v>
      </c>
      <c r="AL172" s="65">
        <v>950</v>
      </c>
      <c r="AM172" s="34">
        <v>-1216.0930000000001</v>
      </c>
      <c r="AN172" s="65">
        <f t="shared" si="73"/>
        <v>26527.784339738788</v>
      </c>
      <c r="AO172" s="65"/>
      <c r="AP172" s="41">
        <v>22148.566760554717</v>
      </c>
      <c r="AQ172" s="41">
        <v>-48.086175688795343</v>
      </c>
      <c r="AR172" s="41">
        <v>5602.1567531381461</v>
      </c>
      <c r="AS172" s="65">
        <v>0</v>
      </c>
      <c r="AT172" s="34">
        <v>-1126.144</v>
      </c>
      <c r="AU172" s="65">
        <f t="shared" si="74"/>
        <v>26576.493338004067</v>
      </c>
      <c r="AV172" s="65"/>
      <c r="AW172" s="41">
        <v>-82.029689887943093</v>
      </c>
      <c r="AX172" s="314"/>
      <c r="AY172" s="314"/>
      <c r="AZ172" s="41">
        <v>1678.3868842173758</v>
      </c>
      <c r="BA172" s="65">
        <v>556</v>
      </c>
      <c r="BB172" s="34">
        <v>-1010.213</v>
      </c>
      <c r="BC172" s="65">
        <f t="shared" si="94"/>
        <v>1142.1441943294328</v>
      </c>
      <c r="BD172" s="65"/>
      <c r="BE172" s="41">
        <v>-237.57698341509561</v>
      </c>
      <c r="BF172" s="314"/>
      <c r="BG172" s="314"/>
      <c r="BH172" s="41">
        <v>1662.3561026546213</v>
      </c>
      <c r="BI172" s="65">
        <v>0</v>
      </c>
      <c r="BJ172" s="34">
        <v>-705.79600000000005</v>
      </c>
      <c r="BK172" s="65">
        <f t="shared" si="95"/>
        <v>718.98311923952565</v>
      </c>
      <c r="BL172" s="65"/>
      <c r="BM172" s="41">
        <v>787.93863226735425</v>
      </c>
      <c r="BN172" s="41">
        <v>1005.7479826895196</v>
      </c>
      <c r="BO172" s="65">
        <v>0</v>
      </c>
      <c r="BP172" s="34">
        <v>-705.79600000000005</v>
      </c>
      <c r="BQ172" s="65">
        <f t="shared" si="75"/>
        <v>1087.8906149568738</v>
      </c>
      <c r="BR172" s="65"/>
      <c r="BS172" s="41">
        <v>-1131.2440244135616</v>
      </c>
      <c r="BT172" s="314"/>
      <c r="BU172" s="314"/>
      <c r="BV172" s="41">
        <v>1095.05827950143</v>
      </c>
      <c r="BW172" s="65">
        <v>0</v>
      </c>
      <c r="BX172" s="34">
        <v>-705.79600000000005</v>
      </c>
      <c r="BY172" s="65">
        <f t="shared" si="96"/>
        <v>-741.98174491213172</v>
      </c>
      <c r="CA172" s="5">
        <v>-962.81154551470524</v>
      </c>
      <c r="CB172" s="407">
        <v>1188.5340023157239</v>
      </c>
      <c r="CC172" s="415">
        <v>0</v>
      </c>
      <c r="CD172" s="34">
        <v>-705.79600000000005</v>
      </c>
      <c r="CE172" s="65">
        <f t="shared" si="76"/>
        <v>-480.07354319898138</v>
      </c>
      <c r="CF172" s="407"/>
      <c r="CG172" s="5">
        <v>130.73944917165883</v>
      </c>
      <c r="CH172" s="407">
        <v>1270.0022107743341</v>
      </c>
      <c r="CI172" s="415">
        <v>0</v>
      </c>
      <c r="CJ172" s="34">
        <v>-705.79600000000005</v>
      </c>
      <c r="CK172" s="65">
        <f t="shared" si="77"/>
        <v>694.94565994599293</v>
      </c>
      <c r="CL172" s="407"/>
      <c r="CM172" s="41">
        <f>AU172/'1. Väestöennuste'!L172*1000</f>
        <v>2839.3689463679557</v>
      </c>
      <c r="CN172" s="41">
        <f>BC172/'1. Väestöennuste'!M172*1000</f>
        <v>123.19536126948903</v>
      </c>
      <c r="CO172" s="41">
        <f>BK172/'1. Väestöennuste'!N172*1000</f>
        <v>80.252608465177559</v>
      </c>
      <c r="CP172" s="41">
        <f>BQ172/'1. Väestöennuste'!O172*1000</f>
        <v>123.44157664323997</v>
      </c>
      <c r="CQ172" s="41">
        <f>BY172/'1. Väestöennuste'!P172*1000</f>
        <v>-85.521178528369262</v>
      </c>
      <c r="CR172" s="41">
        <f>CE172/'1. Väestöennuste'!Q172*1000</f>
        <v>-56.175233231802174</v>
      </c>
      <c r="CS172" s="41">
        <f>CK172/'1. Väestöennuste'!R172*1000</f>
        <v>82.486131744331502</v>
      </c>
      <c r="CT172" s="41"/>
      <c r="CV172" s="41">
        <f t="shared" si="78"/>
        <v>1400.741659945993</v>
      </c>
      <c r="CW172" s="41">
        <f t="shared" si="79"/>
        <v>2144.423286421963</v>
      </c>
      <c r="CX172" s="41">
        <f t="shared" si="80"/>
        <v>-2716.1735850984664</v>
      </c>
      <c r="CY172" s="41">
        <f t="shared" si="81"/>
        <v>-42.942752804311468</v>
      </c>
      <c r="CZ172" s="41">
        <f t="shared" si="82"/>
        <v>43.18896817806241</v>
      </c>
      <c r="DA172" s="41">
        <f t="shared" si="83"/>
        <v>-208.96275517160922</v>
      </c>
      <c r="DB172" s="41">
        <f t="shared" si="84"/>
        <v>29.345945296567088</v>
      </c>
      <c r="DC172" s="41">
        <f t="shared" si="85"/>
        <v>138.66136497613368</v>
      </c>
      <c r="DD172" s="41"/>
      <c r="DE172" s="283">
        <f t="shared" si="86"/>
        <v>-1.9846268042692121</v>
      </c>
      <c r="DF172" s="283">
        <f t="shared" si="87"/>
        <v>3.0857423968783615</v>
      </c>
      <c r="DG172" s="283">
        <f t="shared" si="88"/>
        <v>-0.95661171070174678</v>
      </c>
      <c r="DH172" s="283">
        <f t="shared" si="89"/>
        <v>-0.34857442976586173</v>
      </c>
      <c r="DI172" s="283">
        <f t="shared" si="90"/>
        <v>0.538162796251072</v>
      </c>
      <c r="DJ172" s="283">
        <f t="shared" si="91"/>
        <v>-1.6928069201152143</v>
      </c>
      <c r="DK172" s="283">
        <f t="shared" si="92"/>
        <v>-0.34314243327262367</v>
      </c>
      <c r="DL172" s="283">
        <f t="shared" si="93"/>
        <v>-2.468371860673185</v>
      </c>
    </row>
    <row r="173" spans="1:116" x14ac:dyDescent="0.2">
      <c r="A173" s="30">
        <v>529</v>
      </c>
      <c r="B173" s="31" t="s">
        <v>487</v>
      </c>
      <c r="C173" s="65"/>
      <c r="D173" s="65"/>
      <c r="E173" s="65"/>
      <c r="F173" s="65"/>
      <c r="G173" s="65"/>
      <c r="H173" s="65">
        <v>17430</v>
      </c>
      <c r="I173" s="65"/>
      <c r="J173" s="65"/>
      <c r="K173" s="65"/>
      <c r="L173" s="65"/>
      <c r="M173" s="65"/>
      <c r="N173" s="65">
        <v>16028</v>
      </c>
      <c r="O173" s="65"/>
      <c r="P173" s="65"/>
      <c r="Q173" s="65"/>
      <c r="R173" s="65"/>
      <c r="S173" s="65"/>
      <c r="T173" s="65">
        <v>14306</v>
      </c>
      <c r="U173" s="65"/>
      <c r="V173" s="65"/>
      <c r="W173" s="65"/>
      <c r="X173" s="65"/>
      <c r="Y173" s="65"/>
      <c r="Z173" s="65">
        <v>15447</v>
      </c>
      <c r="AA173" s="65"/>
      <c r="AB173" s="66">
        <v>17437.431806912107</v>
      </c>
      <c r="AC173" s="34">
        <v>449.43869127342333</v>
      </c>
      <c r="AD173" s="180">
        <v>6092.7307984388653</v>
      </c>
      <c r="AE173" s="65">
        <v>0</v>
      </c>
      <c r="AF173" s="34">
        <v>-1084.5630000000001</v>
      </c>
      <c r="AG173" s="65">
        <f t="shared" si="72"/>
        <v>22895.038296624392</v>
      </c>
      <c r="AH173" s="65"/>
      <c r="AI173" s="66">
        <v>13507.241516385735</v>
      </c>
      <c r="AJ173" s="34">
        <v>-345.42286432954609</v>
      </c>
      <c r="AK173" s="181">
        <v>6630.1489617772886</v>
      </c>
      <c r="AL173" s="65">
        <v>0</v>
      </c>
      <c r="AM173" s="34">
        <v>-1792.8140000000001</v>
      </c>
      <c r="AN173" s="65">
        <f t="shared" si="73"/>
        <v>17999.153613833478</v>
      </c>
      <c r="AO173" s="65"/>
      <c r="AP173" s="41">
        <v>14620.872467841715</v>
      </c>
      <c r="AQ173" s="41">
        <v>-105.91872397989351</v>
      </c>
      <c r="AR173" s="41">
        <v>7687.8110848915076</v>
      </c>
      <c r="AS173" s="65">
        <v>0</v>
      </c>
      <c r="AT173" s="34">
        <v>-1063.8330000000001</v>
      </c>
      <c r="AU173" s="65">
        <f t="shared" si="74"/>
        <v>21138.931828753332</v>
      </c>
      <c r="AV173" s="65"/>
      <c r="AW173" s="41">
        <v>7667.9980967962319</v>
      </c>
      <c r="AX173" s="314"/>
      <c r="AY173" s="314"/>
      <c r="AZ173" s="41">
        <v>2330.1340337805541</v>
      </c>
      <c r="BA173" s="65">
        <v>0</v>
      </c>
      <c r="BB173" s="34">
        <v>-1120.798</v>
      </c>
      <c r="BC173" s="65">
        <f t="shared" si="94"/>
        <v>8877.3341305767844</v>
      </c>
      <c r="BD173" s="65"/>
      <c r="BE173" s="41">
        <v>8290.1593382571282</v>
      </c>
      <c r="BF173" s="314"/>
      <c r="BG173" s="314"/>
      <c r="BH173" s="41">
        <v>2301.6428770866528</v>
      </c>
      <c r="BI173" s="65">
        <v>0</v>
      </c>
      <c r="BJ173" s="34">
        <v>-988.26199999999994</v>
      </c>
      <c r="BK173" s="65">
        <f t="shared" si="95"/>
        <v>9603.5402153437808</v>
      </c>
      <c r="BL173" s="65"/>
      <c r="BM173" s="41">
        <v>10675.679992328342</v>
      </c>
      <c r="BN173" s="41">
        <v>1482.8877259320177</v>
      </c>
      <c r="BO173" s="65">
        <v>0</v>
      </c>
      <c r="BP173" s="34">
        <v>-988.26199999999994</v>
      </c>
      <c r="BQ173" s="65">
        <f t="shared" si="75"/>
        <v>11170.305718260359</v>
      </c>
      <c r="BR173" s="65"/>
      <c r="BS173" s="41">
        <v>8727.5414847539159</v>
      </c>
      <c r="BT173" s="314"/>
      <c r="BU173" s="314"/>
      <c r="BV173" s="41">
        <v>1557.1404213229523</v>
      </c>
      <c r="BW173" s="65">
        <v>0</v>
      </c>
      <c r="BX173" s="34">
        <v>-988.26199999999994</v>
      </c>
      <c r="BY173" s="65">
        <f t="shared" si="96"/>
        <v>9296.4199060768678</v>
      </c>
      <c r="CA173" s="5">
        <v>8183.3233104047513</v>
      </c>
      <c r="CB173" s="407">
        <v>1683.4478806021762</v>
      </c>
      <c r="CC173" s="415">
        <v>0</v>
      </c>
      <c r="CD173" s="34">
        <v>-988.26199999999994</v>
      </c>
      <c r="CE173" s="65">
        <f t="shared" si="76"/>
        <v>8878.5091910069259</v>
      </c>
      <c r="CF173" s="407"/>
      <c r="CG173" s="5">
        <v>8672.6555481106861</v>
      </c>
      <c r="CH173" s="407">
        <v>1784.2812467001454</v>
      </c>
      <c r="CI173" s="415">
        <v>0</v>
      </c>
      <c r="CJ173" s="34">
        <v>-988.26199999999994</v>
      </c>
      <c r="CK173" s="65">
        <f t="shared" si="77"/>
        <v>9468.6747948108314</v>
      </c>
      <c r="CL173" s="407"/>
      <c r="CM173" s="41">
        <f>AU173/'1. Väestöennuste'!L173*1000</f>
        <v>1064.9335933880773</v>
      </c>
      <c r="CN173" s="41">
        <f>BC173/'1. Väestöennuste'!M173*1000</f>
        <v>443.88890097388787</v>
      </c>
      <c r="CO173" s="41">
        <f>BK173/'1. Väestöennuste'!N173*1000</f>
        <v>486.87149380703573</v>
      </c>
      <c r="CP173" s="41">
        <f>BQ173/'1. Väestöennuste'!O173*1000</f>
        <v>564.15685445759391</v>
      </c>
      <c r="CQ173" s="41">
        <f>BY173/'1. Väestöennuste'!P173*1000</f>
        <v>467.79147114561806</v>
      </c>
      <c r="CR173" s="41">
        <f>CE173/'1. Väestöennuste'!Q173*1000</f>
        <v>445.21658765454447</v>
      </c>
      <c r="CS173" s="41">
        <f>CK173/'1. Väestöennuste'!R173*1000</f>
        <v>473.24444196375612</v>
      </c>
      <c r="CT173" s="41"/>
      <c r="CV173" s="41">
        <f t="shared" si="78"/>
        <v>10456.936794810832</v>
      </c>
      <c r="CW173" s="41">
        <f t="shared" si="79"/>
        <v>-8403.7412014227539</v>
      </c>
      <c r="CX173" s="41">
        <f t="shared" si="80"/>
        <v>-621.0446924141894</v>
      </c>
      <c r="CY173" s="41">
        <f t="shared" si="81"/>
        <v>42.982592833147862</v>
      </c>
      <c r="CZ173" s="41">
        <f t="shared" si="82"/>
        <v>77.285360650558175</v>
      </c>
      <c r="DA173" s="41">
        <f t="shared" si="83"/>
        <v>-96.365383311975847</v>
      </c>
      <c r="DB173" s="41">
        <f t="shared" si="84"/>
        <v>-22.574883491073592</v>
      </c>
      <c r="DC173" s="41">
        <f t="shared" si="85"/>
        <v>28.027854309211648</v>
      </c>
      <c r="DD173" s="41"/>
      <c r="DE173" s="283">
        <f t="shared" si="86"/>
        <v>-10.581138194943074</v>
      </c>
      <c r="DF173" s="283">
        <f t="shared" si="87"/>
        <v>-0.88753087243299356</v>
      </c>
      <c r="DG173" s="283">
        <f t="shared" si="88"/>
        <v>-0.58317691945310968</v>
      </c>
      <c r="DH173" s="283">
        <f t="shared" si="89"/>
        <v>9.6831871080453866E-2</v>
      </c>
      <c r="DI173" s="283">
        <f t="shared" si="90"/>
        <v>0.15873872599571229</v>
      </c>
      <c r="DJ173" s="283">
        <f t="shared" si="91"/>
        <v>-0.17081310375042047</v>
      </c>
      <c r="DK173" s="283">
        <f t="shared" si="92"/>
        <v>-4.8258433262555772E-2</v>
      </c>
      <c r="DL173" s="283">
        <f t="shared" si="93"/>
        <v>6.2953302025124044E-2</v>
      </c>
    </row>
    <row r="174" spans="1:116" x14ac:dyDescent="0.2">
      <c r="A174" s="30">
        <v>531</v>
      </c>
      <c r="B174" s="31" t="s">
        <v>488</v>
      </c>
      <c r="C174" s="65"/>
      <c r="D174" s="65"/>
      <c r="E174" s="65"/>
      <c r="F174" s="65"/>
      <c r="G174" s="65"/>
      <c r="H174" s="65">
        <v>11296</v>
      </c>
      <c r="I174" s="65"/>
      <c r="J174" s="65"/>
      <c r="K174" s="65"/>
      <c r="L174" s="65"/>
      <c r="M174" s="65"/>
      <c r="N174" s="65">
        <v>10721</v>
      </c>
      <c r="O174" s="65"/>
      <c r="P174" s="65"/>
      <c r="Q174" s="65"/>
      <c r="R174" s="65"/>
      <c r="S174" s="65"/>
      <c r="T174" s="65">
        <v>11101</v>
      </c>
      <c r="U174" s="65"/>
      <c r="V174" s="65"/>
      <c r="W174" s="65"/>
      <c r="X174" s="65"/>
      <c r="Y174" s="65"/>
      <c r="Z174" s="65">
        <v>11054</v>
      </c>
      <c r="AA174" s="65"/>
      <c r="AB174" s="66">
        <v>11211.711859480032</v>
      </c>
      <c r="AC174" s="34">
        <v>95.515415119409425</v>
      </c>
      <c r="AD174" s="180">
        <v>2439.7961161257458</v>
      </c>
      <c r="AE174" s="65">
        <v>0</v>
      </c>
      <c r="AF174" s="34">
        <v>-428.63299999999998</v>
      </c>
      <c r="AG174" s="65">
        <f t="shared" si="72"/>
        <v>13318.390390725188</v>
      </c>
      <c r="AH174" s="65"/>
      <c r="AI174" s="66">
        <v>10446.523617904522</v>
      </c>
      <c r="AJ174" s="34">
        <v>-74.591939124337316</v>
      </c>
      <c r="AK174" s="181">
        <v>2612.6779841253478</v>
      </c>
      <c r="AL174" s="65">
        <v>0</v>
      </c>
      <c r="AM174" s="34">
        <v>-480.03800000000001</v>
      </c>
      <c r="AN174" s="65">
        <f t="shared" si="73"/>
        <v>12504.571662905533</v>
      </c>
      <c r="AO174" s="65"/>
      <c r="AP174" s="41">
        <v>10799.487129237399</v>
      </c>
      <c r="AQ174" s="41">
        <v>-23.126814377871959</v>
      </c>
      <c r="AR174" s="41">
        <v>2976.4665272113884</v>
      </c>
      <c r="AS174" s="65">
        <v>0</v>
      </c>
      <c r="AT174" s="34">
        <v>-181.40600000000001</v>
      </c>
      <c r="AU174" s="65">
        <f t="shared" si="74"/>
        <v>13571.420842070915</v>
      </c>
      <c r="AV174" s="65"/>
      <c r="AW174" s="41">
        <v>1437.2553513781088</v>
      </c>
      <c r="AX174" s="314"/>
      <c r="AY174" s="314"/>
      <c r="AZ174" s="41">
        <v>894.50761685186603</v>
      </c>
      <c r="BA174" s="65">
        <v>0</v>
      </c>
      <c r="BB174" s="34">
        <v>-199.89400000000001</v>
      </c>
      <c r="BC174" s="65">
        <f t="shared" si="94"/>
        <v>2131.8689682299746</v>
      </c>
      <c r="BD174" s="65"/>
      <c r="BE174" s="41">
        <v>226.82957150996501</v>
      </c>
      <c r="BF174" s="314"/>
      <c r="BG174" s="314"/>
      <c r="BH174" s="41">
        <v>879.12880053243816</v>
      </c>
      <c r="BI174" s="65">
        <v>0</v>
      </c>
      <c r="BJ174" s="34">
        <v>-286.25</v>
      </c>
      <c r="BK174" s="65">
        <f t="shared" si="95"/>
        <v>819.7083720424032</v>
      </c>
      <c r="BL174" s="65"/>
      <c r="BM174" s="41">
        <v>1026.1224701948963</v>
      </c>
      <c r="BN174" s="41">
        <v>524.52772665472094</v>
      </c>
      <c r="BO174" s="65">
        <v>0</v>
      </c>
      <c r="BP174" s="34">
        <v>-286.25</v>
      </c>
      <c r="BQ174" s="65">
        <f t="shared" si="75"/>
        <v>1264.4001968496173</v>
      </c>
      <c r="BR174" s="65"/>
      <c r="BS174" s="41">
        <v>1067.5320974844687</v>
      </c>
      <c r="BT174" s="314"/>
      <c r="BU174" s="314"/>
      <c r="BV174" s="41">
        <v>568.83674994069156</v>
      </c>
      <c r="BW174" s="65">
        <v>0</v>
      </c>
      <c r="BX174" s="34">
        <v>-286.25</v>
      </c>
      <c r="BY174" s="65">
        <f t="shared" si="96"/>
        <v>1350.1188474251603</v>
      </c>
      <c r="CA174" s="5">
        <v>1062.3650610231314</v>
      </c>
      <c r="CB174" s="407">
        <v>616.65103253283712</v>
      </c>
      <c r="CC174" s="415">
        <v>0</v>
      </c>
      <c r="CD174" s="34">
        <v>-286.25</v>
      </c>
      <c r="CE174" s="65">
        <f t="shared" si="76"/>
        <v>1392.7660935559684</v>
      </c>
      <c r="CF174" s="407"/>
      <c r="CG174" s="5">
        <v>1642.6820622801972</v>
      </c>
      <c r="CH174" s="407">
        <v>657.68723627742907</v>
      </c>
      <c r="CI174" s="415">
        <v>0</v>
      </c>
      <c r="CJ174" s="34">
        <v>-286.25</v>
      </c>
      <c r="CK174" s="65">
        <f t="shared" si="77"/>
        <v>2014.1192985576263</v>
      </c>
      <c r="CL174" s="407"/>
      <c r="CM174" s="41">
        <f>AU174/'1. Väestöennuste'!L174*1000</f>
        <v>2675.7533205975778</v>
      </c>
      <c r="CN174" s="41">
        <f>BC174/'1. Väestöennuste'!M174*1000</f>
        <v>429.29298595045805</v>
      </c>
      <c r="CO174" s="41">
        <f>BK174/'1. Väestöennuste'!N174*1000</f>
        <v>164.69929114776033</v>
      </c>
      <c r="CP174" s="41">
        <f>BQ174/'1. Väestöennuste'!O174*1000</f>
        <v>257.67275256768232</v>
      </c>
      <c r="CQ174" s="41">
        <f>BY174/'1. Väestöennuste'!P174*1000</f>
        <v>278.95017508784304</v>
      </c>
      <c r="CR174" s="41">
        <f>CE174/'1. Väestöennuste'!Q174*1000</f>
        <v>291.61769128056289</v>
      </c>
      <c r="CS174" s="41">
        <f>CK174/'1. Väestöennuste'!R174*1000</f>
        <v>427.35397805169242</v>
      </c>
      <c r="CT174" s="41"/>
      <c r="CV174" s="41">
        <f t="shared" si="78"/>
        <v>2300.3692985576263</v>
      </c>
      <c r="CW174" s="41">
        <f t="shared" si="79"/>
        <v>661.63402203995156</v>
      </c>
      <c r="CX174" s="41">
        <f t="shared" si="80"/>
        <v>-2246.4603346471199</v>
      </c>
      <c r="CY174" s="41">
        <f t="shared" si="81"/>
        <v>-264.59369480269771</v>
      </c>
      <c r="CZ174" s="41">
        <f t="shared" si="82"/>
        <v>92.973461419921989</v>
      </c>
      <c r="DA174" s="41">
        <f t="shared" si="83"/>
        <v>21.277422520160712</v>
      </c>
      <c r="DB174" s="41">
        <f t="shared" si="84"/>
        <v>12.667516192719859</v>
      </c>
      <c r="DC174" s="41">
        <f t="shared" si="85"/>
        <v>135.73628677112953</v>
      </c>
      <c r="DD174" s="41"/>
      <c r="DE174" s="283">
        <f t="shared" si="86"/>
        <v>-8.0362246237821005</v>
      </c>
      <c r="DF174" s="283">
        <f t="shared" si="87"/>
        <v>0.32849793083943357</v>
      </c>
      <c r="DG174" s="283">
        <f t="shared" si="88"/>
        <v>-0.83956182259185852</v>
      </c>
      <c r="DH174" s="283">
        <f t="shared" si="89"/>
        <v>-0.61634758419564017</v>
      </c>
      <c r="DI174" s="283">
        <f t="shared" si="90"/>
        <v>0.56450432040117671</v>
      </c>
      <c r="DJ174" s="283">
        <f t="shared" si="91"/>
        <v>8.2575368594984905E-2</v>
      </c>
      <c r="DK174" s="283">
        <f t="shared" si="92"/>
        <v>4.5411393589305987E-2</v>
      </c>
      <c r="DL174" s="283">
        <f t="shared" si="93"/>
        <v>0.46545971259521018</v>
      </c>
    </row>
    <row r="175" spans="1:116" x14ac:dyDescent="0.2">
      <c r="A175" s="30">
        <v>535</v>
      </c>
      <c r="B175" s="31" t="s">
        <v>489</v>
      </c>
      <c r="C175" s="65"/>
      <c r="D175" s="65"/>
      <c r="E175" s="65"/>
      <c r="F175" s="65"/>
      <c r="G175" s="65"/>
      <c r="H175" s="65">
        <v>34898</v>
      </c>
      <c r="I175" s="65"/>
      <c r="J175" s="65"/>
      <c r="K175" s="65"/>
      <c r="L175" s="65"/>
      <c r="M175" s="65"/>
      <c r="N175" s="65">
        <v>37123</v>
      </c>
      <c r="O175" s="65"/>
      <c r="P175" s="65"/>
      <c r="Q175" s="65"/>
      <c r="R175" s="65"/>
      <c r="S175" s="65"/>
      <c r="T175" s="65">
        <v>37191</v>
      </c>
      <c r="U175" s="65"/>
      <c r="V175" s="65"/>
      <c r="W175" s="65"/>
      <c r="X175" s="65"/>
      <c r="Y175" s="65"/>
      <c r="Z175" s="65">
        <v>37284</v>
      </c>
      <c r="AA175" s="65"/>
      <c r="AB175" s="66">
        <v>37865.093604083035</v>
      </c>
      <c r="AC175" s="34">
        <v>160.13537014663382</v>
      </c>
      <c r="AD175" s="180">
        <v>5381.242866057617</v>
      </c>
      <c r="AE175" s="65">
        <v>0</v>
      </c>
      <c r="AF175" s="34">
        <v>-1022.375</v>
      </c>
      <c r="AG175" s="65">
        <f t="shared" si="72"/>
        <v>42384.09684028729</v>
      </c>
      <c r="AH175" s="65"/>
      <c r="AI175" s="66">
        <v>36280.764631842387</v>
      </c>
      <c r="AJ175" s="34">
        <v>-124.61220185741107</v>
      </c>
      <c r="AK175" s="181">
        <v>5764.0521106191609</v>
      </c>
      <c r="AL175" s="65">
        <v>0</v>
      </c>
      <c r="AM175" s="34">
        <v>-954.03200000000004</v>
      </c>
      <c r="AN175" s="65">
        <f t="shared" si="73"/>
        <v>40966.172540604137</v>
      </c>
      <c r="AO175" s="65"/>
      <c r="AP175" s="41">
        <v>38396.467565769555</v>
      </c>
      <c r="AQ175" s="41">
        <v>-38.524105340807552</v>
      </c>
      <c r="AR175" s="41">
        <v>6510.0540035441036</v>
      </c>
      <c r="AS175" s="65">
        <v>0</v>
      </c>
      <c r="AT175" s="34">
        <v>-923.77200000000005</v>
      </c>
      <c r="AU175" s="65">
        <f t="shared" si="74"/>
        <v>43944.225463972849</v>
      </c>
      <c r="AV175" s="65"/>
      <c r="AW175" s="41">
        <v>15388.818305251021</v>
      </c>
      <c r="AX175" s="314"/>
      <c r="AY175" s="314"/>
      <c r="AZ175" s="41">
        <v>1996.8756162195161</v>
      </c>
      <c r="BA175" s="65">
        <v>0</v>
      </c>
      <c r="BB175" s="34">
        <v>-953.85400000000004</v>
      </c>
      <c r="BC175" s="65">
        <f t="shared" si="94"/>
        <v>16431.839921470539</v>
      </c>
      <c r="BD175" s="65"/>
      <c r="BE175" s="41">
        <v>14322.13029358504</v>
      </c>
      <c r="BF175" s="314"/>
      <c r="BG175" s="314"/>
      <c r="BH175" s="41">
        <v>1996.8940519505634</v>
      </c>
      <c r="BI175" s="65">
        <v>0</v>
      </c>
      <c r="BJ175" s="34">
        <v>-694.14</v>
      </c>
      <c r="BK175" s="65">
        <f t="shared" si="95"/>
        <v>15624.884345535604</v>
      </c>
      <c r="BL175" s="65"/>
      <c r="BM175" s="41">
        <v>15891.079016027961</v>
      </c>
      <c r="BN175" s="41">
        <v>1170.5906320724841</v>
      </c>
      <c r="BO175" s="65">
        <v>0</v>
      </c>
      <c r="BP175" s="34">
        <v>-694.14</v>
      </c>
      <c r="BQ175" s="65">
        <f t="shared" si="75"/>
        <v>16367.529648100444</v>
      </c>
      <c r="BR175" s="65"/>
      <c r="BS175" s="41">
        <v>16307.568913907518</v>
      </c>
      <c r="BT175" s="314"/>
      <c r="BU175" s="314"/>
      <c r="BV175" s="41">
        <v>1269.4125824444218</v>
      </c>
      <c r="BW175" s="65">
        <v>0</v>
      </c>
      <c r="BX175" s="34">
        <v>-694.14</v>
      </c>
      <c r="BY175" s="65">
        <f t="shared" si="96"/>
        <v>16882.841496351939</v>
      </c>
      <c r="CA175" s="5">
        <v>16233.839693554894</v>
      </c>
      <c r="CB175" s="407">
        <v>1370.0489386353456</v>
      </c>
      <c r="CC175" s="415">
        <v>0</v>
      </c>
      <c r="CD175" s="34">
        <v>-694.14</v>
      </c>
      <c r="CE175" s="65">
        <f t="shared" si="76"/>
        <v>16909.74863219024</v>
      </c>
      <c r="CF175" s="407"/>
      <c r="CG175" s="5">
        <v>17170.583819360912</v>
      </c>
      <c r="CH175" s="407">
        <v>1457.6919967904562</v>
      </c>
      <c r="CI175" s="415">
        <v>0</v>
      </c>
      <c r="CJ175" s="34">
        <v>-694.14</v>
      </c>
      <c r="CK175" s="65">
        <f t="shared" si="77"/>
        <v>17934.135816151371</v>
      </c>
      <c r="CL175" s="407"/>
      <c r="CM175" s="41">
        <f>AU175/'1. Väestöennuste'!L175*1000</f>
        <v>4217.7008795443762</v>
      </c>
      <c r="CN175" s="41">
        <f>BC175/'1. Väestöennuste'!M175*1000</f>
        <v>1571.8232180476887</v>
      </c>
      <c r="CO175" s="41">
        <f>BK175/'1. Väestöennuste'!N175*1000</f>
        <v>1552.7063843322671</v>
      </c>
      <c r="CP175" s="41">
        <f>BQ175/'1. Väestöennuste'!O175*1000</f>
        <v>1643.8213968163548</v>
      </c>
      <c r="CQ175" s="41">
        <f>BY175/'1. Väestöennuste'!P175*1000</f>
        <v>1714.5162482331614</v>
      </c>
      <c r="CR175" s="41">
        <f>CE175/'1. Väestöennuste'!Q175*1000</f>
        <v>1736.6487246780569</v>
      </c>
      <c r="CS175" s="41">
        <f>CK175/'1. Väestöennuste'!R175*1000</f>
        <v>1862.5128067453911</v>
      </c>
      <c r="CT175" s="41"/>
      <c r="CV175" s="41">
        <f t="shared" si="78"/>
        <v>18628.27581615137</v>
      </c>
      <c r="CW175" s="41">
        <f t="shared" si="79"/>
        <v>-13716.434936606995</v>
      </c>
      <c r="CX175" s="41">
        <f t="shared" si="80"/>
        <v>-2645.8776614966873</v>
      </c>
      <c r="CY175" s="41">
        <f t="shared" si="81"/>
        <v>-19.116833715421535</v>
      </c>
      <c r="CZ175" s="41">
        <f t="shared" si="82"/>
        <v>91.115012484087629</v>
      </c>
      <c r="DA175" s="41">
        <f t="shared" si="83"/>
        <v>70.694851416806614</v>
      </c>
      <c r="DB175" s="41">
        <f t="shared" si="84"/>
        <v>22.132476444895474</v>
      </c>
      <c r="DC175" s="41">
        <f t="shared" si="85"/>
        <v>125.86408206733427</v>
      </c>
      <c r="DD175" s="41"/>
      <c r="DE175" s="283">
        <f t="shared" si="86"/>
        <v>-26.836482289093514</v>
      </c>
      <c r="DF175" s="283">
        <f t="shared" si="87"/>
        <v>-0.76482274235115688</v>
      </c>
      <c r="DG175" s="283">
        <f t="shared" si="88"/>
        <v>-0.62732700517693241</v>
      </c>
      <c r="DH175" s="283">
        <f t="shared" si="89"/>
        <v>-1.2162203418248231E-2</v>
      </c>
      <c r="DI175" s="283">
        <f t="shared" si="90"/>
        <v>5.8681418073302467E-2</v>
      </c>
      <c r="DJ175" s="283">
        <f t="shared" si="91"/>
        <v>4.3006406628921946E-2</v>
      </c>
      <c r="DK175" s="283">
        <f t="shared" si="92"/>
        <v>1.2908875298034285E-2</v>
      </c>
      <c r="DL175" s="283">
        <f t="shared" si="93"/>
        <v>7.2475268186816072E-2</v>
      </c>
    </row>
    <row r="176" spans="1:116" x14ac:dyDescent="0.2">
      <c r="A176" s="30">
        <v>536</v>
      </c>
      <c r="B176" s="31" t="s">
        <v>490</v>
      </c>
      <c r="C176" s="65"/>
      <c r="D176" s="65"/>
      <c r="E176" s="65"/>
      <c r="F176" s="65"/>
      <c r="G176" s="65"/>
      <c r="H176" s="65">
        <v>40752</v>
      </c>
      <c r="I176" s="65"/>
      <c r="J176" s="65"/>
      <c r="K176" s="65"/>
      <c r="L176" s="65"/>
      <c r="M176" s="65"/>
      <c r="N176" s="65">
        <v>38939</v>
      </c>
      <c r="O176" s="65"/>
      <c r="P176" s="65"/>
      <c r="Q176" s="65"/>
      <c r="R176" s="65"/>
      <c r="S176" s="65"/>
      <c r="T176" s="65">
        <v>39828</v>
      </c>
      <c r="U176" s="65"/>
      <c r="V176" s="65"/>
      <c r="W176" s="65"/>
      <c r="X176" s="65"/>
      <c r="Y176" s="65"/>
      <c r="Z176" s="65">
        <v>38787</v>
      </c>
      <c r="AA176" s="65"/>
      <c r="AB176" s="66">
        <v>41846.254970687267</v>
      </c>
      <c r="AC176" s="34">
        <v>710.04864724705169</v>
      </c>
      <c r="AD176" s="180">
        <v>11447.282301332347</v>
      </c>
      <c r="AE176" s="65">
        <v>1300</v>
      </c>
      <c r="AF176" s="34">
        <v>-2591.2919999999999</v>
      </c>
      <c r="AG176" s="65">
        <f t="shared" si="72"/>
        <v>52712.293919266667</v>
      </c>
      <c r="AH176" s="65"/>
      <c r="AI176" s="66">
        <v>37191.867080769647</v>
      </c>
      <c r="AJ176" s="34">
        <v>-550.76100196244124</v>
      </c>
      <c r="AK176" s="181">
        <v>12411.350235273827</v>
      </c>
      <c r="AL176" s="65">
        <v>0</v>
      </c>
      <c r="AM176" s="34">
        <v>-3672.6</v>
      </c>
      <c r="AN176" s="65">
        <f t="shared" si="73"/>
        <v>45379.856314081037</v>
      </c>
      <c r="AO176" s="65"/>
      <c r="AP176" s="41">
        <v>40031.25595245853</v>
      </c>
      <c r="AQ176" s="41">
        <v>-170.08589447632875</v>
      </c>
      <c r="AR176" s="41">
        <v>14374.327590412366</v>
      </c>
      <c r="AS176" s="65">
        <v>0</v>
      </c>
      <c r="AT176" s="34">
        <v>-2186.3449999999998</v>
      </c>
      <c r="AU176" s="65">
        <f t="shared" si="74"/>
        <v>52049.152648394564</v>
      </c>
      <c r="AV176" s="65"/>
      <c r="AW176" s="41">
        <v>16958.534327731246</v>
      </c>
      <c r="AX176" s="314"/>
      <c r="AY176" s="314"/>
      <c r="AZ176" s="41">
        <v>4319.9108290714003</v>
      </c>
      <c r="BA176" s="65">
        <v>0</v>
      </c>
      <c r="BB176" s="34">
        <v>-2107.614</v>
      </c>
      <c r="BC176" s="65">
        <f t="shared" si="94"/>
        <v>19170.831156802644</v>
      </c>
      <c r="BD176" s="65"/>
      <c r="BE176" s="41">
        <v>16642.586061135331</v>
      </c>
      <c r="BF176" s="314"/>
      <c r="BG176" s="314"/>
      <c r="BH176" s="41">
        <v>4243.7939768804417</v>
      </c>
      <c r="BI176" s="65">
        <v>0</v>
      </c>
      <c r="BJ176" s="34">
        <v>-2057.886</v>
      </c>
      <c r="BK176" s="65">
        <f t="shared" si="95"/>
        <v>18828.494038015775</v>
      </c>
      <c r="BL176" s="65"/>
      <c r="BM176" s="41">
        <v>21696.360447736057</v>
      </c>
      <c r="BN176" s="41">
        <v>2009.6019983761012</v>
      </c>
      <c r="BO176" s="65">
        <v>0</v>
      </c>
      <c r="BP176" s="34">
        <v>-2057.886</v>
      </c>
      <c r="BQ176" s="65">
        <f t="shared" si="75"/>
        <v>21648.076446112158</v>
      </c>
      <c r="BR176" s="65"/>
      <c r="BS176" s="41">
        <v>22025.29007740799</v>
      </c>
      <c r="BT176" s="314"/>
      <c r="BU176" s="314"/>
      <c r="BV176" s="41">
        <v>2217.784788804101</v>
      </c>
      <c r="BW176" s="65">
        <v>0</v>
      </c>
      <c r="BX176" s="34">
        <v>-2057.886</v>
      </c>
      <c r="BY176" s="65">
        <f t="shared" si="96"/>
        <v>22185.188866212091</v>
      </c>
      <c r="CA176" s="5">
        <v>21466.416746054481</v>
      </c>
      <c r="CB176" s="407">
        <v>2477.4537676298005</v>
      </c>
      <c r="CC176" s="415">
        <v>0</v>
      </c>
      <c r="CD176" s="34">
        <v>-2057.886</v>
      </c>
      <c r="CE176" s="65">
        <f t="shared" si="76"/>
        <v>21885.984513684285</v>
      </c>
      <c r="CF176" s="407"/>
      <c r="CG176" s="5">
        <v>21782.950476869693</v>
      </c>
      <c r="CH176" s="407">
        <v>2691.6097767892193</v>
      </c>
      <c r="CI176" s="415">
        <v>0</v>
      </c>
      <c r="CJ176" s="34">
        <v>-2057.886</v>
      </c>
      <c r="CK176" s="65">
        <f t="shared" si="77"/>
        <v>22416.674253658915</v>
      </c>
      <c r="CL176" s="407"/>
      <c r="CM176" s="41">
        <f>AU176/'1. Väestöennuste'!L176*1000</f>
        <v>1472.5613265544775</v>
      </c>
      <c r="CN176" s="41">
        <f>BC176/'1. Väestöennuste'!M176*1000</f>
        <v>537.79648096060384</v>
      </c>
      <c r="CO176" s="41">
        <f>BK176/'1. Väestöennuste'!N176*1000</f>
        <v>530.23075297143828</v>
      </c>
      <c r="CP176" s="41">
        <f>BQ176/'1. Väestöennuste'!O176*1000</f>
        <v>605.86259679583998</v>
      </c>
      <c r="CQ176" s="41">
        <f>BY176/'1. Väestöennuste'!P176*1000</f>
        <v>617.24970414033976</v>
      </c>
      <c r="CR176" s="41">
        <f>CE176/'1. Väestöennuste'!Q176*1000</f>
        <v>605.60570335881687</v>
      </c>
      <c r="CS176" s="41">
        <f>CK176/'1. Väestöennuste'!R176*1000</f>
        <v>617.16519612518346</v>
      </c>
      <c r="CT176" s="41"/>
      <c r="CV176" s="41">
        <f t="shared" si="78"/>
        <v>24474.560253658914</v>
      </c>
      <c r="CW176" s="41">
        <f t="shared" si="79"/>
        <v>-20944.112927104437</v>
      </c>
      <c r="CX176" s="41">
        <f t="shared" si="80"/>
        <v>-934.7648455938737</v>
      </c>
      <c r="CY176" s="41">
        <f t="shared" si="81"/>
        <v>-7.5657279891655662</v>
      </c>
      <c r="CZ176" s="41">
        <f t="shared" si="82"/>
        <v>75.631843824401699</v>
      </c>
      <c r="DA176" s="41">
        <f t="shared" si="83"/>
        <v>11.387107344499782</v>
      </c>
      <c r="DB176" s="41">
        <f t="shared" si="84"/>
        <v>-11.644000781522891</v>
      </c>
      <c r="DC176" s="41">
        <f t="shared" si="85"/>
        <v>11.559492766366589</v>
      </c>
      <c r="DD176" s="41"/>
      <c r="DE176" s="283">
        <f t="shared" si="86"/>
        <v>-11.893059311185807</v>
      </c>
      <c r="DF176" s="283">
        <f t="shared" si="87"/>
        <v>-0.93430955413405614</v>
      </c>
      <c r="DG176" s="283">
        <f t="shared" si="88"/>
        <v>-0.63478839810430943</v>
      </c>
      <c r="DH176" s="283">
        <f t="shared" si="89"/>
        <v>-1.4068013192744918E-2</v>
      </c>
      <c r="DI176" s="283">
        <f t="shared" si="90"/>
        <v>0.14263948931773054</v>
      </c>
      <c r="DJ176" s="283">
        <f t="shared" si="91"/>
        <v>1.8794867689013228E-2</v>
      </c>
      <c r="DK176" s="283">
        <f t="shared" si="92"/>
        <v>-1.8864327845632269E-2</v>
      </c>
      <c r="DL176" s="283">
        <f t="shared" si="93"/>
        <v>1.9087489933227519E-2</v>
      </c>
    </row>
    <row r="177" spans="1:116" x14ac:dyDescent="0.2">
      <c r="A177" s="30">
        <v>538</v>
      </c>
      <c r="B177" s="31" t="s">
        <v>491</v>
      </c>
      <c r="C177" s="65"/>
      <c r="D177" s="65"/>
      <c r="E177" s="65"/>
      <c r="F177" s="65"/>
      <c r="G177" s="65"/>
      <c r="H177" s="65">
        <v>8727</v>
      </c>
      <c r="I177" s="65"/>
      <c r="J177" s="65"/>
      <c r="K177" s="65"/>
      <c r="L177" s="65"/>
      <c r="M177" s="65"/>
      <c r="N177" s="65">
        <v>8892</v>
      </c>
      <c r="O177" s="65"/>
      <c r="P177" s="65"/>
      <c r="Q177" s="65"/>
      <c r="R177" s="65"/>
      <c r="S177" s="65"/>
      <c r="T177" s="65">
        <v>8704</v>
      </c>
      <c r="U177" s="65"/>
      <c r="V177" s="65"/>
      <c r="W177" s="65"/>
      <c r="X177" s="65"/>
      <c r="Y177" s="65"/>
      <c r="Z177" s="65">
        <v>8820</v>
      </c>
      <c r="AA177" s="65"/>
      <c r="AB177" s="66">
        <v>8286.7614747105381</v>
      </c>
      <c r="AC177" s="34">
        <v>87.58213875102031</v>
      </c>
      <c r="AD177" s="180">
        <v>2083.6114013845308</v>
      </c>
      <c r="AE177" s="65">
        <v>650</v>
      </c>
      <c r="AF177" s="34">
        <v>681.31899999999996</v>
      </c>
      <c r="AG177" s="65">
        <f t="shared" si="72"/>
        <v>11789.274014846089</v>
      </c>
      <c r="AH177" s="65"/>
      <c r="AI177" s="66">
        <v>7242.0135289027039</v>
      </c>
      <c r="AJ177" s="34">
        <v>-68.445002903492892</v>
      </c>
      <c r="AK177" s="181">
        <v>2247.53165926052</v>
      </c>
      <c r="AL177" s="65">
        <v>0</v>
      </c>
      <c r="AM177" s="34">
        <v>674.34799999999996</v>
      </c>
      <c r="AN177" s="65">
        <f t="shared" si="73"/>
        <v>10095.448185259731</v>
      </c>
      <c r="AO177" s="65"/>
      <c r="AP177" s="41">
        <v>7797.0338822635031</v>
      </c>
      <c r="AQ177" s="41">
        <v>-21.267278332092122</v>
      </c>
      <c r="AR177" s="41">
        <v>2654.8904275304085</v>
      </c>
      <c r="AS177" s="65">
        <v>0</v>
      </c>
      <c r="AT177" s="34">
        <v>709.85199999999998</v>
      </c>
      <c r="AU177" s="65">
        <f t="shared" si="74"/>
        <v>11140.509031461819</v>
      </c>
      <c r="AV177" s="65"/>
      <c r="AW177" s="41">
        <v>4212.848353082938</v>
      </c>
      <c r="AX177" s="314"/>
      <c r="AY177" s="314"/>
      <c r="AZ177" s="41">
        <v>803.52866794922068</v>
      </c>
      <c r="BA177" s="65">
        <v>0</v>
      </c>
      <c r="BB177" s="34">
        <v>741.79399999999998</v>
      </c>
      <c r="BC177" s="65">
        <f t="shared" si="94"/>
        <v>5758.1710210321589</v>
      </c>
      <c r="BD177" s="65"/>
      <c r="BE177" s="41">
        <v>3979.6019887074899</v>
      </c>
      <c r="BF177" s="314"/>
      <c r="BG177" s="314"/>
      <c r="BH177" s="41">
        <v>778.48880307166837</v>
      </c>
      <c r="BI177" s="65">
        <v>0</v>
      </c>
      <c r="BJ177" s="34">
        <v>1103.922</v>
      </c>
      <c r="BK177" s="65">
        <f t="shared" si="95"/>
        <v>5862.0127917791579</v>
      </c>
      <c r="BL177" s="65"/>
      <c r="BM177" s="41">
        <v>4360.8766190195938</v>
      </c>
      <c r="BN177" s="41">
        <v>423.0364095154406</v>
      </c>
      <c r="BO177" s="65">
        <v>0</v>
      </c>
      <c r="BP177" s="34">
        <v>1103.922</v>
      </c>
      <c r="BQ177" s="65">
        <f t="shared" si="75"/>
        <v>5887.8350285350352</v>
      </c>
      <c r="BR177" s="65"/>
      <c r="BS177" s="41">
        <v>4243.9457203024685</v>
      </c>
      <c r="BT177" s="314"/>
      <c r="BU177" s="314"/>
      <c r="BV177" s="41">
        <v>455.26410931413204</v>
      </c>
      <c r="BW177" s="65">
        <v>0</v>
      </c>
      <c r="BX177" s="34">
        <v>1103.922</v>
      </c>
      <c r="BY177" s="65">
        <f t="shared" si="96"/>
        <v>5803.131829616601</v>
      </c>
      <c r="CA177" s="5">
        <v>4272.641348713867</v>
      </c>
      <c r="CB177" s="407">
        <v>494.25159621636442</v>
      </c>
      <c r="CC177" s="415">
        <v>0</v>
      </c>
      <c r="CD177" s="34">
        <v>1103.922</v>
      </c>
      <c r="CE177" s="65">
        <f t="shared" si="76"/>
        <v>5870.8149449302309</v>
      </c>
      <c r="CF177" s="407"/>
      <c r="CG177" s="5">
        <v>4489.6023152162097</v>
      </c>
      <c r="CH177" s="407">
        <v>527.01002658929224</v>
      </c>
      <c r="CI177" s="415">
        <v>0</v>
      </c>
      <c r="CJ177" s="34">
        <v>1103.922</v>
      </c>
      <c r="CK177" s="65">
        <f t="shared" si="77"/>
        <v>6120.5343418055018</v>
      </c>
      <c r="CL177" s="407"/>
      <c r="CM177" s="41">
        <f>AU177/'1. Väestöennuste'!L177*1000</f>
        <v>2398.9037535447501</v>
      </c>
      <c r="CN177" s="41">
        <f>BC177/'1. Väestöennuste'!M177*1000</f>
        <v>1226.4475018172861</v>
      </c>
      <c r="CO177" s="41">
        <f>BK177/'1. Väestöennuste'!N177*1000</f>
        <v>1270.7593305395962</v>
      </c>
      <c r="CP177" s="41">
        <f>BQ177/'1. Väestöennuste'!O177*1000</f>
        <v>1280.7994406210648</v>
      </c>
      <c r="CQ177" s="41">
        <f>BY177/'1. Väestöennuste'!P177*1000</f>
        <v>1266.7827613221132</v>
      </c>
      <c r="CR177" s="41">
        <f>CE177/'1. Väestöennuste'!Q177*1000</f>
        <v>1285.486083847215</v>
      </c>
      <c r="CS177" s="41">
        <f>CK177/'1. Väestöennuste'!R177*1000</f>
        <v>1343.9908523947083</v>
      </c>
      <c r="CT177" s="41"/>
      <c r="CV177" s="41">
        <f t="shared" si="78"/>
        <v>5016.6123418055013</v>
      </c>
      <c r="CW177" s="41">
        <f t="shared" si="79"/>
        <v>-3721.6305882607517</v>
      </c>
      <c r="CX177" s="41">
        <f t="shared" si="80"/>
        <v>-1172.456251727464</v>
      </c>
      <c r="CY177" s="41">
        <f t="shared" si="81"/>
        <v>44.311828722310111</v>
      </c>
      <c r="CZ177" s="41">
        <f t="shared" si="82"/>
        <v>10.040110081468583</v>
      </c>
      <c r="DA177" s="41">
        <f t="shared" si="83"/>
        <v>-14.016679298951658</v>
      </c>
      <c r="DB177" s="41">
        <f t="shared" si="84"/>
        <v>18.703322525101839</v>
      </c>
      <c r="DC177" s="41">
        <f t="shared" si="85"/>
        <v>58.504768547493313</v>
      </c>
      <c r="DD177" s="41"/>
      <c r="DE177" s="283">
        <f t="shared" si="86"/>
        <v>4.5443539867902816</v>
      </c>
      <c r="DF177" s="283">
        <f t="shared" si="87"/>
        <v>-0.60805648337607476</v>
      </c>
      <c r="DG177" s="283">
        <f t="shared" si="88"/>
        <v>-0.4887466827274663</v>
      </c>
      <c r="DH177" s="283">
        <f t="shared" si="89"/>
        <v>3.6130228694380435E-2</v>
      </c>
      <c r="DI177" s="283">
        <f t="shared" si="90"/>
        <v>7.9008745717454622E-3</v>
      </c>
      <c r="DJ177" s="283">
        <f t="shared" si="91"/>
        <v>-1.0943695675065968E-2</v>
      </c>
      <c r="DK177" s="283">
        <f t="shared" si="92"/>
        <v>1.4764427726804235E-2</v>
      </c>
      <c r="DL177" s="283">
        <f t="shared" si="93"/>
        <v>4.551178677282891E-2</v>
      </c>
    </row>
    <row r="178" spans="1:116" x14ac:dyDescent="0.2">
      <c r="A178" s="30">
        <v>541</v>
      </c>
      <c r="B178" s="31" t="s">
        <v>492</v>
      </c>
      <c r="C178" s="65"/>
      <c r="D178" s="65"/>
      <c r="E178" s="65"/>
      <c r="F178" s="65"/>
      <c r="G178" s="65"/>
      <c r="H178" s="65">
        <v>28783</v>
      </c>
      <c r="I178" s="65"/>
      <c r="J178" s="65"/>
      <c r="K178" s="65"/>
      <c r="L178" s="65"/>
      <c r="M178" s="65"/>
      <c r="N178" s="65">
        <v>30039</v>
      </c>
      <c r="O178" s="65"/>
      <c r="P178" s="65"/>
      <c r="Q178" s="65"/>
      <c r="R178" s="65"/>
      <c r="S178" s="65"/>
      <c r="T178" s="65">
        <v>39354</v>
      </c>
      <c r="U178" s="65"/>
      <c r="V178" s="65"/>
      <c r="W178" s="65"/>
      <c r="X178" s="65"/>
      <c r="Y178" s="65"/>
      <c r="Z178" s="65">
        <v>38716</v>
      </c>
      <c r="AA178" s="65"/>
      <c r="AB178" s="66">
        <v>38689.280761396316</v>
      </c>
      <c r="AC178" s="34">
        <v>147.30432646626116</v>
      </c>
      <c r="AD178" s="180">
        <v>5627.8420616923622</v>
      </c>
      <c r="AE178" s="65">
        <v>0</v>
      </c>
      <c r="AF178" s="34">
        <v>-1089.799</v>
      </c>
      <c r="AG178" s="65">
        <f t="shared" si="72"/>
        <v>43374.628149554941</v>
      </c>
      <c r="AH178" s="65"/>
      <c r="AI178" s="66">
        <v>36559.914082944786</v>
      </c>
      <c r="AJ178" s="34">
        <v>-113.15621442710186</v>
      </c>
      <c r="AK178" s="181">
        <v>5979.7216831076094</v>
      </c>
      <c r="AL178" s="65">
        <v>0</v>
      </c>
      <c r="AM178" s="34">
        <v>-988.21400000000006</v>
      </c>
      <c r="AN178" s="65">
        <f t="shared" si="73"/>
        <v>41438.265551625293</v>
      </c>
      <c r="AO178" s="65"/>
      <c r="AP178" s="41">
        <v>38068.116557303685</v>
      </c>
      <c r="AQ178" s="41">
        <v>-34.698322895895096</v>
      </c>
      <c r="AR178" s="41">
        <v>6565.2777054371509</v>
      </c>
      <c r="AS178" s="65">
        <v>0</v>
      </c>
      <c r="AT178" s="34">
        <v>-962.23900000000003</v>
      </c>
      <c r="AU178" s="65">
        <f t="shared" si="74"/>
        <v>43636.456939844938</v>
      </c>
      <c r="AV178" s="65"/>
      <c r="AW178" s="41">
        <v>12408.02440844153</v>
      </c>
      <c r="AX178" s="314"/>
      <c r="AY178" s="314"/>
      <c r="AZ178" s="41">
        <v>2019.2089214752343</v>
      </c>
      <c r="BA178" s="65">
        <v>0</v>
      </c>
      <c r="BB178" s="34">
        <v>-877.64200000000005</v>
      </c>
      <c r="BC178" s="65">
        <f t="shared" si="94"/>
        <v>13549.591329916764</v>
      </c>
      <c r="BD178" s="65"/>
      <c r="BE178" s="41">
        <v>9793.5309827339133</v>
      </c>
      <c r="BF178" s="314"/>
      <c r="BG178" s="314"/>
      <c r="BH178" s="41">
        <v>2030.6178902143267</v>
      </c>
      <c r="BI178" s="65">
        <v>0</v>
      </c>
      <c r="BJ178" s="34">
        <v>-548.37599999999998</v>
      </c>
      <c r="BK178" s="65">
        <f t="shared" si="95"/>
        <v>11275.772872948241</v>
      </c>
      <c r="BL178" s="65"/>
      <c r="BM178" s="41">
        <v>11066.706646960858</v>
      </c>
      <c r="BN178" s="41">
        <v>1435.8338954657222</v>
      </c>
      <c r="BO178" s="65">
        <v>0</v>
      </c>
      <c r="BP178" s="34">
        <v>-548.37599999999998</v>
      </c>
      <c r="BQ178" s="65">
        <f t="shared" si="75"/>
        <v>11954.164542426581</v>
      </c>
      <c r="BR178" s="65"/>
      <c r="BS178" s="41">
        <v>10888.941068415445</v>
      </c>
      <c r="BT178" s="314"/>
      <c r="BU178" s="314"/>
      <c r="BV178" s="41">
        <v>1531.3757448239589</v>
      </c>
      <c r="BW178" s="65">
        <v>0</v>
      </c>
      <c r="BX178" s="34">
        <v>-548.37599999999998</v>
      </c>
      <c r="BY178" s="65">
        <f t="shared" si="96"/>
        <v>11871.940813239404</v>
      </c>
      <c r="CA178" s="5">
        <v>10605.570755007036</v>
      </c>
      <c r="CB178" s="407">
        <v>1627.1224705785685</v>
      </c>
      <c r="CC178" s="415">
        <v>0</v>
      </c>
      <c r="CD178" s="34">
        <v>-548.37599999999998</v>
      </c>
      <c r="CE178" s="65">
        <f t="shared" si="76"/>
        <v>11684.317225585604</v>
      </c>
      <c r="CF178" s="407"/>
      <c r="CG178" s="5">
        <v>12015.714214438585</v>
      </c>
      <c r="CH178" s="407">
        <v>1711.9291342679064</v>
      </c>
      <c r="CI178" s="415">
        <v>0</v>
      </c>
      <c r="CJ178" s="34">
        <v>-548.37599999999998</v>
      </c>
      <c r="CK178" s="65">
        <f t="shared" si="77"/>
        <v>13179.267348706491</v>
      </c>
      <c r="CL178" s="407"/>
      <c r="CM178" s="41">
        <f>AU178/'1. Väestöennuste'!L178*1000</f>
        <v>4721.0274737471527</v>
      </c>
      <c r="CN178" s="41">
        <f>BC178/'1. Väestöennuste'!M178*1000</f>
        <v>1484.0735301113652</v>
      </c>
      <c r="CO178" s="41">
        <f>BK178/'1. Väestöennuste'!N178*1000</f>
        <v>1268.9368526837991</v>
      </c>
      <c r="CP178" s="41">
        <f>BQ178/'1. Väestöennuste'!O178*1000</f>
        <v>1366.8150631633412</v>
      </c>
      <c r="CQ178" s="41">
        <f>BY178/'1. Väestöennuste'!P178*1000</f>
        <v>1378.2146288877877</v>
      </c>
      <c r="CR178" s="41">
        <f>CE178/'1. Väestöennuste'!Q178*1000</f>
        <v>1376.2446673245704</v>
      </c>
      <c r="CS178" s="41">
        <f>CK178/'1. Väestöennuste'!R178*1000</f>
        <v>1574.2077578483627</v>
      </c>
      <c r="CT178" s="41"/>
      <c r="CV178" s="41">
        <f t="shared" si="78"/>
        <v>13727.643348706491</v>
      </c>
      <c r="CW178" s="41">
        <f t="shared" si="79"/>
        <v>-8458.2398749593376</v>
      </c>
      <c r="CX178" s="41">
        <f t="shared" si="80"/>
        <v>-3236.9539436357873</v>
      </c>
      <c r="CY178" s="41">
        <f t="shared" si="81"/>
        <v>-215.13667742756616</v>
      </c>
      <c r="CZ178" s="41">
        <f t="shared" si="82"/>
        <v>97.878210479542076</v>
      </c>
      <c r="DA178" s="41">
        <f t="shared" si="83"/>
        <v>11.399565724446575</v>
      </c>
      <c r="DB178" s="41">
        <f t="shared" si="84"/>
        <v>-1.9699615632173391</v>
      </c>
      <c r="DC178" s="41">
        <f t="shared" si="85"/>
        <v>197.96309052379229</v>
      </c>
      <c r="DD178" s="41"/>
      <c r="DE178" s="283">
        <f t="shared" si="86"/>
        <v>-25.033267956122245</v>
      </c>
      <c r="DF178" s="283">
        <f t="shared" si="87"/>
        <v>-0.64178376924643621</v>
      </c>
      <c r="DG178" s="283">
        <f t="shared" si="88"/>
        <v>-0.6856460720967944</v>
      </c>
      <c r="DH178" s="283">
        <f t="shared" si="89"/>
        <v>-0.14496362414834138</v>
      </c>
      <c r="DI178" s="283">
        <f t="shared" si="90"/>
        <v>7.7134027806450609E-2</v>
      </c>
      <c r="DJ178" s="283">
        <f t="shared" si="91"/>
        <v>8.3402400453968881E-3</v>
      </c>
      <c r="DK178" s="283">
        <f t="shared" si="92"/>
        <v>-1.4293576065195941E-3</v>
      </c>
      <c r="DL178" s="283">
        <f t="shared" si="93"/>
        <v>0.14384294829540301</v>
      </c>
    </row>
    <row r="179" spans="1:116" x14ac:dyDescent="0.2">
      <c r="A179" s="30">
        <v>543</v>
      </c>
      <c r="B179" s="31" t="s">
        <v>493</v>
      </c>
      <c r="C179" s="65"/>
      <c r="D179" s="65"/>
      <c r="E179" s="65"/>
      <c r="F179" s="65"/>
      <c r="G179" s="65"/>
      <c r="H179" s="65">
        <v>30273</v>
      </c>
      <c r="I179" s="65"/>
      <c r="J179" s="65"/>
      <c r="K179" s="65"/>
      <c r="L179" s="65"/>
      <c r="M179" s="65"/>
      <c r="N179" s="65">
        <v>29937</v>
      </c>
      <c r="O179" s="65"/>
      <c r="P179" s="65"/>
      <c r="Q179" s="65"/>
      <c r="R179" s="65"/>
      <c r="S179" s="65"/>
      <c r="T179" s="65">
        <v>30117</v>
      </c>
      <c r="U179" s="65"/>
      <c r="V179" s="65"/>
      <c r="W179" s="65"/>
      <c r="X179" s="65"/>
      <c r="Y179" s="65"/>
      <c r="Z179" s="65">
        <v>32294</v>
      </c>
      <c r="AA179" s="65"/>
      <c r="AB179" s="66">
        <v>44013.779214982984</v>
      </c>
      <c r="AC179" s="34">
        <v>958.5737347660629</v>
      </c>
      <c r="AD179" s="180">
        <v>13130.010842282554</v>
      </c>
      <c r="AE179" s="65">
        <v>0</v>
      </c>
      <c r="AF179" s="34">
        <v>-6524.91</v>
      </c>
      <c r="AG179" s="65">
        <f t="shared" si="72"/>
        <v>51577.453792031592</v>
      </c>
      <c r="AH179" s="65"/>
      <c r="AI179" s="66">
        <v>34642.304935118045</v>
      </c>
      <c r="AJ179" s="34">
        <v>-745.37682930056894</v>
      </c>
      <c r="AK179" s="181">
        <v>14308.633621581819</v>
      </c>
      <c r="AL179" s="65">
        <v>0</v>
      </c>
      <c r="AM179" s="34">
        <v>-6641.01</v>
      </c>
      <c r="AN179" s="65">
        <f t="shared" si="73"/>
        <v>41564.551727399295</v>
      </c>
      <c r="AO179" s="65"/>
      <c r="AP179" s="41">
        <v>35265.104029353919</v>
      </c>
      <c r="AQ179" s="41">
        <v>-230.82891882494729</v>
      </c>
      <c r="AR179" s="41">
        <v>17268.091115467119</v>
      </c>
      <c r="AS179" s="65">
        <v>0</v>
      </c>
      <c r="AT179" s="34">
        <v>-6603.5839999999998</v>
      </c>
      <c r="AU179" s="65">
        <f t="shared" si="74"/>
        <v>45698.782225996089</v>
      </c>
      <c r="AV179" s="65"/>
      <c r="AW179" s="41">
        <v>33726.290728179236</v>
      </c>
      <c r="AX179" s="314"/>
      <c r="AY179" s="314"/>
      <c r="AZ179" s="41">
        <v>5312.2510396160042</v>
      </c>
      <c r="BA179" s="65">
        <v>0</v>
      </c>
      <c r="BB179" s="34">
        <v>-7379.3239999999996</v>
      </c>
      <c r="BC179" s="65">
        <f t="shared" si="94"/>
        <v>31659.217767795242</v>
      </c>
      <c r="BD179" s="65"/>
      <c r="BE179" s="41">
        <v>34013.096559259109</v>
      </c>
      <c r="BF179" s="314"/>
      <c r="BG179" s="314"/>
      <c r="BH179" s="41">
        <v>5144.222251857419</v>
      </c>
      <c r="BI179" s="65">
        <v>0</v>
      </c>
      <c r="BJ179" s="34">
        <v>-8131.8190000000004</v>
      </c>
      <c r="BK179" s="65">
        <f t="shared" si="95"/>
        <v>31025.49981111653</v>
      </c>
      <c r="BL179" s="65"/>
      <c r="BM179" s="41">
        <v>38582.673157244848</v>
      </c>
      <c r="BN179" s="41">
        <v>2738.3860600104722</v>
      </c>
      <c r="BO179" s="65">
        <v>0</v>
      </c>
      <c r="BP179" s="34">
        <v>-8131.8190000000004</v>
      </c>
      <c r="BQ179" s="65">
        <f t="shared" si="75"/>
        <v>33189.240217255319</v>
      </c>
      <c r="BR179" s="65"/>
      <c r="BS179" s="41">
        <v>37911.790356281716</v>
      </c>
      <c r="BT179" s="314"/>
      <c r="BU179" s="314"/>
      <c r="BV179" s="41">
        <v>2856.9014116594017</v>
      </c>
      <c r="BW179" s="65">
        <v>0</v>
      </c>
      <c r="BX179" s="34">
        <v>-8131.8190000000004</v>
      </c>
      <c r="BY179" s="65">
        <f t="shared" si="96"/>
        <v>32636.87276794112</v>
      </c>
      <c r="CA179" s="5">
        <v>37631.902520548923</v>
      </c>
      <c r="CB179" s="407">
        <v>3139.4406433675822</v>
      </c>
      <c r="CC179" s="415">
        <v>0</v>
      </c>
      <c r="CD179" s="34">
        <v>-8131.8190000000004</v>
      </c>
      <c r="CE179" s="65">
        <f t="shared" si="76"/>
        <v>32639.524163916507</v>
      </c>
      <c r="CF179" s="407"/>
      <c r="CG179" s="5">
        <v>39650.098969269951</v>
      </c>
      <c r="CH179" s="407">
        <v>3364.3375599744759</v>
      </c>
      <c r="CI179" s="415">
        <v>0</v>
      </c>
      <c r="CJ179" s="34">
        <v>-8131.8190000000004</v>
      </c>
      <c r="CK179" s="65">
        <f t="shared" si="77"/>
        <v>34882.617529244424</v>
      </c>
      <c r="CL179" s="407"/>
      <c r="CM179" s="41">
        <f>AU179/'1. Väestöennuste'!L179*1000</f>
        <v>1027.909087813129</v>
      </c>
      <c r="CN179" s="41">
        <f>BC179/'1. Väestöennuste'!M179*1000</f>
        <v>706.91565854181624</v>
      </c>
      <c r="CO179" s="41">
        <f>BK179/'1. Väestöennuste'!N179*1000</f>
        <v>687.1954419047695</v>
      </c>
      <c r="CP179" s="41">
        <f>BQ179/'1. Väestöennuste'!O179*1000</f>
        <v>729.62627983765651</v>
      </c>
      <c r="CQ179" s="41">
        <f>BY179/'1. Väestöennuste'!P179*1000</f>
        <v>712.28443404498296</v>
      </c>
      <c r="CR179" s="41">
        <f>CE179/'1. Väestöennuste'!Q179*1000</f>
        <v>707.37124883872627</v>
      </c>
      <c r="CS179" s="41">
        <f>CK179/'1. Väestöennuste'!R179*1000</f>
        <v>750.98748152262533</v>
      </c>
      <c r="CT179" s="41"/>
      <c r="CV179" s="41">
        <f t="shared" si="78"/>
        <v>43014.436529244427</v>
      </c>
      <c r="CW179" s="41">
        <f t="shared" si="79"/>
        <v>-33854.708441431292</v>
      </c>
      <c r="CX179" s="41">
        <f t="shared" si="80"/>
        <v>-320.99342927131272</v>
      </c>
      <c r="CY179" s="41">
        <f t="shared" si="81"/>
        <v>-19.720216637046747</v>
      </c>
      <c r="CZ179" s="41">
        <f t="shared" si="82"/>
        <v>42.430837932887016</v>
      </c>
      <c r="DA179" s="41">
        <f t="shared" si="83"/>
        <v>-17.341845792673553</v>
      </c>
      <c r="DB179" s="41">
        <f t="shared" si="84"/>
        <v>-4.913185206256685</v>
      </c>
      <c r="DC179" s="41">
        <f t="shared" si="85"/>
        <v>43.616232683899057</v>
      </c>
      <c r="DD179" s="41"/>
      <c r="DE179" s="283">
        <f t="shared" si="86"/>
        <v>-5.2896451002222777</v>
      </c>
      <c r="DF179" s="283">
        <f t="shared" si="87"/>
        <v>-0.97053234072955197</v>
      </c>
      <c r="DG179" s="283">
        <f t="shared" si="88"/>
        <v>-0.31227803419291145</v>
      </c>
      <c r="DH179" s="283">
        <f t="shared" si="89"/>
        <v>-2.7896137818936479E-2</v>
      </c>
      <c r="DI179" s="283">
        <f t="shared" si="90"/>
        <v>6.1744935058470625E-2</v>
      </c>
      <c r="DJ179" s="283">
        <f t="shared" si="91"/>
        <v>-2.3768121121585908E-2</v>
      </c>
      <c r="DK179" s="283">
        <f t="shared" si="92"/>
        <v>-6.8977854511789068E-3</v>
      </c>
      <c r="DL179" s="283">
        <f t="shared" si="93"/>
        <v>6.1659606261213952E-2</v>
      </c>
    </row>
    <row r="180" spans="1:116" x14ac:dyDescent="0.2">
      <c r="A180" s="30">
        <v>545</v>
      </c>
      <c r="B180" s="31" t="s">
        <v>494</v>
      </c>
      <c r="C180" s="65"/>
      <c r="D180" s="65"/>
      <c r="E180" s="65"/>
      <c r="F180" s="65"/>
      <c r="G180" s="65"/>
      <c r="H180" s="65">
        <v>27754</v>
      </c>
      <c r="I180" s="65"/>
      <c r="J180" s="65"/>
      <c r="K180" s="65"/>
      <c r="L180" s="65"/>
      <c r="M180" s="65"/>
      <c r="N180" s="65">
        <v>28279</v>
      </c>
      <c r="O180" s="65"/>
      <c r="P180" s="65"/>
      <c r="Q180" s="65"/>
      <c r="R180" s="65"/>
      <c r="S180" s="65"/>
      <c r="T180" s="65">
        <v>29249</v>
      </c>
      <c r="U180" s="65"/>
      <c r="V180" s="65"/>
      <c r="W180" s="65"/>
      <c r="X180" s="65"/>
      <c r="Y180" s="65"/>
      <c r="Z180" s="65">
        <v>30358</v>
      </c>
      <c r="AA180" s="65"/>
      <c r="AB180" s="66">
        <v>28590.605769248516</v>
      </c>
      <c r="AC180" s="34">
        <v>157.49556696215063</v>
      </c>
      <c r="AD180" s="180">
        <v>5899.8319410599843</v>
      </c>
      <c r="AE180" s="65">
        <v>0</v>
      </c>
      <c r="AF180" s="34">
        <v>327.66199999999998</v>
      </c>
      <c r="AG180" s="65">
        <f t="shared" si="72"/>
        <v>34975.595277270651</v>
      </c>
      <c r="AH180" s="65"/>
      <c r="AI180" s="66">
        <v>28325.118014401141</v>
      </c>
      <c r="AJ180" s="34">
        <v>-121.54777768897397</v>
      </c>
      <c r="AK180" s="181">
        <v>6334.9970667209473</v>
      </c>
      <c r="AL180" s="65">
        <v>0</v>
      </c>
      <c r="AM180" s="34">
        <v>110.82299999999999</v>
      </c>
      <c r="AN180" s="65">
        <f t="shared" si="73"/>
        <v>34649.390303433109</v>
      </c>
      <c r="AO180" s="65"/>
      <c r="AP180" s="41">
        <v>30239.191998645641</v>
      </c>
      <c r="AQ180" s="41">
        <v>-37.306320220447283</v>
      </c>
      <c r="AR180" s="41">
        <v>7077.0165877885975</v>
      </c>
      <c r="AS180" s="65">
        <v>0</v>
      </c>
      <c r="AT180" s="34">
        <v>342.16399999999999</v>
      </c>
      <c r="AU180" s="65">
        <f t="shared" si="74"/>
        <v>37621.066266213791</v>
      </c>
      <c r="AV180" s="65"/>
      <c r="AW180" s="41">
        <v>13501.832168233937</v>
      </c>
      <c r="AX180" s="314"/>
      <c r="AY180" s="314"/>
      <c r="AZ180" s="41">
        <v>2169.4595671574912</v>
      </c>
      <c r="BA180" s="65">
        <v>0</v>
      </c>
      <c r="BB180" s="34">
        <v>391.28300000000002</v>
      </c>
      <c r="BC180" s="65">
        <f t="shared" si="94"/>
        <v>16062.574735391428</v>
      </c>
      <c r="BD180" s="65"/>
      <c r="BE180" s="41">
        <v>14309.191652296859</v>
      </c>
      <c r="BF180" s="314"/>
      <c r="BG180" s="314"/>
      <c r="BH180" s="41">
        <v>2173.3903931355007</v>
      </c>
      <c r="BI180" s="65">
        <v>0</v>
      </c>
      <c r="BJ180" s="34">
        <v>372.11399999999998</v>
      </c>
      <c r="BK180" s="65">
        <f t="shared" si="95"/>
        <v>16854.69604543236</v>
      </c>
      <c r="BL180" s="65"/>
      <c r="BM180" s="41">
        <v>15997.818656958087</v>
      </c>
      <c r="BN180" s="41">
        <v>1483.4162541093272</v>
      </c>
      <c r="BO180" s="65">
        <v>0</v>
      </c>
      <c r="BP180" s="34">
        <v>372.11399999999998</v>
      </c>
      <c r="BQ180" s="65">
        <f t="shared" si="75"/>
        <v>17853.348911067416</v>
      </c>
      <c r="BR180" s="65"/>
      <c r="BS180" s="41">
        <v>15586.425225882784</v>
      </c>
      <c r="BT180" s="314"/>
      <c r="BU180" s="314"/>
      <c r="BV180" s="41">
        <v>1581.0486555435341</v>
      </c>
      <c r="BW180" s="65">
        <v>0</v>
      </c>
      <c r="BX180" s="34">
        <v>372.11399999999998</v>
      </c>
      <c r="BY180" s="65">
        <f t="shared" si="96"/>
        <v>17539.58788142632</v>
      </c>
      <c r="CA180" s="5">
        <v>16091.90102289256</v>
      </c>
      <c r="CB180" s="407">
        <v>1683.7596191060122</v>
      </c>
      <c r="CC180" s="415">
        <v>0</v>
      </c>
      <c r="CD180" s="34">
        <v>372.11399999999998</v>
      </c>
      <c r="CE180" s="65">
        <f t="shared" si="76"/>
        <v>18147.774641998574</v>
      </c>
      <c r="CF180" s="407"/>
      <c r="CG180" s="5">
        <v>16659.218158862321</v>
      </c>
      <c r="CH180" s="407">
        <v>1774.1060143847112</v>
      </c>
      <c r="CI180" s="415">
        <v>0</v>
      </c>
      <c r="CJ180" s="34">
        <v>372.11399999999998</v>
      </c>
      <c r="CK180" s="65">
        <f t="shared" si="77"/>
        <v>18805.438173247032</v>
      </c>
      <c r="CL180" s="407"/>
      <c r="CM180" s="41">
        <f>AU180/'1. Väestöennuste'!L180*1000</f>
        <v>3925.4034084112886</v>
      </c>
      <c r="CN180" s="41">
        <f>BC180/'1. Väestöennuste'!M180*1000</f>
        <v>1669.5327653457466</v>
      </c>
      <c r="CO180" s="41">
        <f>BK180/'1. Väestöennuste'!N180*1000</f>
        <v>1753.5056227041573</v>
      </c>
      <c r="CP180" s="41">
        <f>BQ180/'1. Väestöennuste'!O180*1000</f>
        <v>1855.4717222061333</v>
      </c>
      <c r="CQ180" s="41">
        <f>BY180/'1. Väestöennuste'!P180*1000</f>
        <v>1821.7270337999917</v>
      </c>
      <c r="CR180" s="41">
        <f>CE180/'1. Väestöennuste'!Q180*1000</f>
        <v>1883.721677600018</v>
      </c>
      <c r="CS180" s="41">
        <f>CK180/'1. Väestöennuste'!R180*1000</f>
        <v>1951.1764031175589</v>
      </c>
      <c r="CT180" s="41"/>
      <c r="CV180" s="41">
        <f t="shared" si="78"/>
        <v>18433.324173247031</v>
      </c>
      <c r="CW180" s="41">
        <f t="shared" si="79"/>
        <v>-14880.034764835744</v>
      </c>
      <c r="CX180" s="41">
        <f t="shared" si="80"/>
        <v>-2255.870643065542</v>
      </c>
      <c r="CY180" s="41">
        <f t="shared" si="81"/>
        <v>83.972857358410693</v>
      </c>
      <c r="CZ180" s="41">
        <f t="shared" si="82"/>
        <v>101.96609950197603</v>
      </c>
      <c r="DA180" s="41">
        <f t="shared" si="83"/>
        <v>-33.744688406141677</v>
      </c>
      <c r="DB180" s="41">
        <f t="shared" si="84"/>
        <v>61.994643800026324</v>
      </c>
      <c r="DC180" s="41">
        <f t="shared" si="85"/>
        <v>67.454725517540965</v>
      </c>
      <c r="DD180" s="41"/>
      <c r="DE180" s="283">
        <f t="shared" si="86"/>
        <v>49.536766080413614</v>
      </c>
      <c r="DF180" s="283">
        <f t="shared" si="87"/>
        <v>-0.79126232676696462</v>
      </c>
      <c r="DG180" s="283">
        <f t="shared" si="88"/>
        <v>-0.57468504720602731</v>
      </c>
      <c r="DH180" s="283">
        <f t="shared" si="89"/>
        <v>5.0297220336984881E-2</v>
      </c>
      <c r="DI180" s="283">
        <f t="shared" si="90"/>
        <v>5.814985602654052E-2</v>
      </c>
      <c r="DJ180" s="283">
        <f t="shared" si="91"/>
        <v>-1.8186581882271777E-2</v>
      </c>
      <c r="DK180" s="283">
        <f t="shared" si="92"/>
        <v>3.4030698699524679E-2</v>
      </c>
      <c r="DL180" s="283">
        <f t="shared" si="93"/>
        <v>3.580928452417801E-2</v>
      </c>
    </row>
    <row r="181" spans="1:116" x14ac:dyDescent="0.2">
      <c r="A181" s="30">
        <v>560</v>
      </c>
      <c r="B181" s="31" t="s">
        <v>495</v>
      </c>
      <c r="C181" s="65"/>
      <c r="D181" s="65"/>
      <c r="E181" s="65"/>
      <c r="F181" s="65"/>
      <c r="G181" s="65"/>
      <c r="H181" s="65">
        <v>33374</v>
      </c>
      <c r="I181" s="65"/>
      <c r="J181" s="65"/>
      <c r="K181" s="65"/>
      <c r="L181" s="65"/>
      <c r="M181" s="65"/>
      <c r="N181" s="65">
        <v>32288</v>
      </c>
      <c r="O181" s="65"/>
      <c r="P181" s="65"/>
      <c r="Q181" s="65"/>
      <c r="R181" s="65"/>
      <c r="S181" s="65"/>
      <c r="T181" s="65">
        <v>31875</v>
      </c>
      <c r="U181" s="65"/>
      <c r="V181" s="65"/>
      <c r="W181" s="65"/>
      <c r="X181" s="65"/>
      <c r="Y181" s="65"/>
      <c r="Z181" s="65">
        <v>32422</v>
      </c>
      <c r="AA181" s="65"/>
      <c r="AB181" s="66">
        <v>33347.756920062602</v>
      </c>
      <c r="AC181" s="34">
        <v>278.44587173143572</v>
      </c>
      <c r="AD181" s="180">
        <v>7521.2744726346673</v>
      </c>
      <c r="AE181" s="65">
        <v>0</v>
      </c>
      <c r="AF181" s="34">
        <v>-2112.9870000000001</v>
      </c>
      <c r="AG181" s="65">
        <f t="shared" si="72"/>
        <v>39034.490264428699</v>
      </c>
      <c r="AH181" s="65"/>
      <c r="AI181" s="66">
        <v>30420.269498034784</v>
      </c>
      <c r="AJ181" s="34">
        <v>-216.66884605769607</v>
      </c>
      <c r="AK181" s="181">
        <v>8072.9300754822316</v>
      </c>
      <c r="AL181" s="65">
        <v>0</v>
      </c>
      <c r="AM181" s="34">
        <v>-2121.9360000000001</v>
      </c>
      <c r="AN181" s="65">
        <f t="shared" si="73"/>
        <v>36154.59472745932</v>
      </c>
      <c r="AO181" s="65"/>
      <c r="AP181" s="41">
        <v>31780.481683280876</v>
      </c>
      <c r="AQ181" s="41">
        <v>-66.948356364280514</v>
      </c>
      <c r="AR181" s="41">
        <v>9378.4919535839235</v>
      </c>
      <c r="AS181" s="65">
        <v>0</v>
      </c>
      <c r="AT181" s="34">
        <v>-1927.931</v>
      </c>
      <c r="AU181" s="65">
        <f t="shared" si="74"/>
        <v>39164.094280500525</v>
      </c>
      <c r="AV181" s="65"/>
      <c r="AW181" s="41">
        <v>13090.787117647775</v>
      </c>
      <c r="AX181" s="314"/>
      <c r="AY181" s="314"/>
      <c r="AZ181" s="41">
        <v>2807.7636069482878</v>
      </c>
      <c r="BA181" s="65">
        <v>0</v>
      </c>
      <c r="BB181" s="34">
        <v>-2120.2359999999999</v>
      </c>
      <c r="BC181" s="65">
        <f t="shared" si="94"/>
        <v>13778.314724596061</v>
      </c>
      <c r="BD181" s="65"/>
      <c r="BE181" s="41">
        <v>10499.633152533266</v>
      </c>
      <c r="BF181" s="314"/>
      <c r="BG181" s="314"/>
      <c r="BH181" s="41">
        <v>2752.4915886558879</v>
      </c>
      <c r="BI181" s="65">
        <v>0</v>
      </c>
      <c r="BJ181" s="34">
        <v>-1723.6289999999999</v>
      </c>
      <c r="BK181" s="65">
        <f t="shared" si="95"/>
        <v>11528.495741189156</v>
      </c>
      <c r="BL181" s="65"/>
      <c r="BM181" s="41">
        <v>12852.124819054674</v>
      </c>
      <c r="BN181" s="41">
        <v>1708.7194627702938</v>
      </c>
      <c r="BO181" s="65">
        <v>0</v>
      </c>
      <c r="BP181" s="34">
        <v>-1723.6289999999999</v>
      </c>
      <c r="BQ181" s="65">
        <f t="shared" si="75"/>
        <v>12837.215281824967</v>
      </c>
      <c r="BR181" s="65"/>
      <c r="BS181" s="41">
        <v>12714.944202909943</v>
      </c>
      <c r="BT181" s="314"/>
      <c r="BU181" s="314"/>
      <c r="BV181" s="41">
        <v>1830.3065410740862</v>
      </c>
      <c r="BW181" s="65">
        <v>0</v>
      </c>
      <c r="BX181" s="34">
        <v>-1723.6289999999999</v>
      </c>
      <c r="BY181" s="65">
        <f t="shared" si="96"/>
        <v>12821.621743984029</v>
      </c>
      <c r="CA181" s="5">
        <v>12965.075923763396</v>
      </c>
      <c r="CB181" s="407">
        <v>1970.2462997835694</v>
      </c>
      <c r="CC181" s="415">
        <v>0</v>
      </c>
      <c r="CD181" s="34">
        <v>-1723.6289999999999</v>
      </c>
      <c r="CE181" s="65">
        <f t="shared" si="76"/>
        <v>13211.693223546965</v>
      </c>
      <c r="CF181" s="407"/>
      <c r="CG181" s="5">
        <v>14189.158883697628</v>
      </c>
      <c r="CH181" s="407">
        <v>2089.6873071768978</v>
      </c>
      <c r="CI181" s="415">
        <v>0</v>
      </c>
      <c r="CJ181" s="34">
        <v>-1723.6289999999999</v>
      </c>
      <c r="CK181" s="65">
        <f t="shared" si="77"/>
        <v>14555.217190874526</v>
      </c>
      <c r="CL181" s="407"/>
      <c r="CM181" s="41">
        <f>AU181/'1. Väestöennuste'!L181*1000</f>
        <v>2488.9796174452194</v>
      </c>
      <c r="CN181" s="41">
        <f>BC181/'1. Väestöennuste'!M181*1000</f>
        <v>879.33593238854178</v>
      </c>
      <c r="CO181" s="41">
        <f>BK181/'1. Väestöennuste'!N181*1000</f>
        <v>742.67188953096411</v>
      </c>
      <c r="CP181" s="41">
        <f>BQ181/'1. Väestöennuste'!O181*1000</f>
        <v>831.80297296863648</v>
      </c>
      <c r="CQ181" s="41">
        <f>BY181/'1. Väestöennuste'!P181*1000</f>
        <v>835.39365024654865</v>
      </c>
      <c r="CR181" s="41">
        <f>CE181/'1. Väestöennuste'!Q181*1000</f>
        <v>865.43254444824868</v>
      </c>
      <c r="CS181" s="41">
        <f>CK181/'1. Väestöennuste'!R181*1000</f>
        <v>958.58911952545611</v>
      </c>
      <c r="CT181" s="41"/>
      <c r="CV181" s="41">
        <f t="shared" si="78"/>
        <v>16278.846190874527</v>
      </c>
      <c r="CW181" s="41">
        <f t="shared" si="79"/>
        <v>-12066.237573429305</v>
      </c>
      <c r="CX181" s="41">
        <f t="shared" si="80"/>
        <v>-1609.6436850566777</v>
      </c>
      <c r="CY181" s="41">
        <f t="shared" si="81"/>
        <v>-136.66404285757767</v>
      </c>
      <c r="CZ181" s="41">
        <f t="shared" si="82"/>
        <v>89.131083437672373</v>
      </c>
      <c r="DA181" s="41">
        <f t="shared" si="83"/>
        <v>3.5906772779121638</v>
      </c>
      <c r="DB181" s="41">
        <f t="shared" si="84"/>
        <v>30.038894201700032</v>
      </c>
      <c r="DC181" s="41">
        <f t="shared" si="85"/>
        <v>93.156575077207435</v>
      </c>
      <c r="DD181" s="41"/>
      <c r="DE181" s="283">
        <f t="shared" si="86"/>
        <v>-9.4445186237145737</v>
      </c>
      <c r="DF181" s="283">
        <f t="shared" si="87"/>
        <v>-0.82899742512906649</v>
      </c>
      <c r="DG181" s="283">
        <f t="shared" si="88"/>
        <v>-0.64670826300653894</v>
      </c>
      <c r="DH181" s="283">
        <f t="shared" si="89"/>
        <v>-0.15541733008266465</v>
      </c>
      <c r="DI181" s="283">
        <f t="shared" si="90"/>
        <v>0.12001407983000849</v>
      </c>
      <c r="DJ181" s="283">
        <f t="shared" si="91"/>
        <v>4.3167401351035467E-3</v>
      </c>
      <c r="DK181" s="283">
        <f t="shared" si="92"/>
        <v>3.5957771755668354E-2</v>
      </c>
      <c r="DL181" s="283">
        <f t="shared" si="93"/>
        <v>0.10764163616772564</v>
      </c>
    </row>
    <row r="182" spans="1:116" x14ac:dyDescent="0.2">
      <c r="A182" s="30">
        <v>561</v>
      </c>
      <c r="B182" s="31" t="s">
        <v>496</v>
      </c>
      <c r="C182" s="65"/>
      <c r="D182" s="65"/>
      <c r="E182" s="65"/>
      <c r="F182" s="65"/>
      <c r="G182" s="65"/>
      <c r="H182" s="65">
        <v>3860</v>
      </c>
      <c r="I182" s="65"/>
      <c r="J182" s="65"/>
      <c r="K182" s="65"/>
      <c r="L182" s="65"/>
      <c r="M182" s="65"/>
      <c r="N182" s="65">
        <v>3797</v>
      </c>
      <c r="O182" s="65"/>
      <c r="P182" s="65"/>
      <c r="Q182" s="65"/>
      <c r="R182" s="65"/>
      <c r="S182" s="65"/>
      <c r="T182" s="65">
        <v>3750</v>
      </c>
      <c r="U182" s="65"/>
      <c r="V182" s="65"/>
      <c r="W182" s="65"/>
      <c r="X182" s="65"/>
      <c r="Y182" s="65"/>
      <c r="Z182" s="65">
        <v>4078</v>
      </c>
      <c r="AA182" s="65"/>
      <c r="AB182" s="66">
        <v>3994.062426376016</v>
      </c>
      <c r="AC182" s="34">
        <v>21.696959674146775</v>
      </c>
      <c r="AD182" s="180">
        <v>787.85079654352228</v>
      </c>
      <c r="AE182" s="65">
        <v>0</v>
      </c>
      <c r="AF182" s="34">
        <v>-319.86700000000002</v>
      </c>
      <c r="AG182" s="65">
        <f t="shared" si="72"/>
        <v>4483.7431825936847</v>
      </c>
      <c r="AH182" s="65"/>
      <c r="AI182" s="66">
        <v>3519.3324896158942</v>
      </c>
      <c r="AJ182" s="34">
        <v>-16.663085134372217</v>
      </c>
      <c r="AK182" s="181">
        <v>844.13609778278396</v>
      </c>
      <c r="AL182" s="65">
        <v>0</v>
      </c>
      <c r="AM182" s="34">
        <v>-339.97</v>
      </c>
      <c r="AN182" s="65">
        <f t="shared" si="73"/>
        <v>4006.8355022643054</v>
      </c>
      <c r="AO182" s="65"/>
      <c r="AP182" s="41">
        <v>3608.0720526811765</v>
      </c>
      <c r="AQ182" s="41">
        <v>-5.0998217387204354</v>
      </c>
      <c r="AR182" s="41">
        <v>951.4714746652453</v>
      </c>
      <c r="AS182" s="65">
        <v>0</v>
      </c>
      <c r="AT182" s="34">
        <v>-296.983</v>
      </c>
      <c r="AU182" s="65">
        <f t="shared" si="74"/>
        <v>4257.4607056077011</v>
      </c>
      <c r="AV182" s="65"/>
      <c r="AW182" s="41">
        <v>1776.6560846564928</v>
      </c>
      <c r="AX182" s="314"/>
      <c r="AY182" s="314"/>
      <c r="AZ182" s="41">
        <v>342.22701655398043</v>
      </c>
      <c r="BA182" s="65">
        <v>0</v>
      </c>
      <c r="BB182" s="34">
        <v>-312.08499999999998</v>
      </c>
      <c r="BC182" s="65">
        <f t="shared" si="94"/>
        <v>1806.7981012104733</v>
      </c>
      <c r="BD182" s="65"/>
      <c r="BE182" s="41">
        <v>1740.6669687084375</v>
      </c>
      <c r="BF182" s="314"/>
      <c r="BG182" s="314"/>
      <c r="BH182" s="41">
        <v>340.08414675400405</v>
      </c>
      <c r="BI182" s="65">
        <v>0</v>
      </c>
      <c r="BJ182" s="34">
        <v>-272.60599999999999</v>
      </c>
      <c r="BK182" s="65">
        <f t="shared" si="95"/>
        <v>1808.1451154624417</v>
      </c>
      <c r="BL182" s="65"/>
      <c r="BM182" s="41">
        <v>2000.9593601794716</v>
      </c>
      <c r="BN182" s="41">
        <v>252.79070418338029</v>
      </c>
      <c r="BO182" s="65">
        <v>0</v>
      </c>
      <c r="BP182" s="34">
        <v>-272.60599999999999</v>
      </c>
      <c r="BQ182" s="65">
        <f t="shared" si="75"/>
        <v>1981.1440643628519</v>
      </c>
      <c r="BR182" s="65"/>
      <c r="BS182" s="41">
        <v>1787.1151120347233</v>
      </c>
      <c r="BT182" s="314"/>
      <c r="BU182" s="314"/>
      <c r="BV182" s="41">
        <v>265.78753971305105</v>
      </c>
      <c r="BW182" s="65">
        <v>0</v>
      </c>
      <c r="BX182" s="34">
        <v>-272.60599999999999</v>
      </c>
      <c r="BY182" s="65">
        <f t="shared" si="96"/>
        <v>1780.2966517477741</v>
      </c>
      <c r="CA182" s="5">
        <v>1829.827899778312</v>
      </c>
      <c r="CB182" s="407">
        <v>279.30479929459915</v>
      </c>
      <c r="CC182" s="415">
        <v>0</v>
      </c>
      <c r="CD182" s="34">
        <v>-272.60599999999999</v>
      </c>
      <c r="CE182" s="65">
        <f t="shared" si="76"/>
        <v>1836.5266990729112</v>
      </c>
      <c r="CF182" s="407"/>
      <c r="CG182" s="5">
        <v>1832.4355124157194</v>
      </c>
      <c r="CH182" s="407">
        <v>291.08801197135091</v>
      </c>
      <c r="CI182" s="415">
        <v>0</v>
      </c>
      <c r="CJ182" s="34">
        <v>-272.60599999999999</v>
      </c>
      <c r="CK182" s="65">
        <f t="shared" si="77"/>
        <v>1850.9175243870702</v>
      </c>
      <c r="CL182" s="407"/>
      <c r="CM182" s="41">
        <f>AU182/'1. Väestöennuste'!L182*1000</f>
        <v>3232.6960558904339</v>
      </c>
      <c r="CN182" s="41">
        <f>BC182/'1. Väestöennuste'!M182*1000</f>
        <v>1373.9909514908541</v>
      </c>
      <c r="CO182" s="41">
        <f>BK182/'1. Väestöennuste'!N182*1000</f>
        <v>1380.2634469178945</v>
      </c>
      <c r="CP182" s="41">
        <f>BQ182/'1. Väestöennuste'!O182*1000</f>
        <v>1518.1180569830281</v>
      </c>
      <c r="CQ182" s="41">
        <f>BY182/'1. Väestöennuste'!P182*1000</f>
        <v>1368.4063426193497</v>
      </c>
      <c r="CR182" s="41">
        <f>CE182/'1. Väestöennuste'!Q182*1000</f>
        <v>1414.8895986694233</v>
      </c>
      <c r="CS182" s="41">
        <f>CK182/'1. Väestöennuste'!R182*1000</f>
        <v>1429.2799416116372</v>
      </c>
      <c r="CT182" s="41"/>
      <c r="CV182" s="41">
        <f t="shared" si="78"/>
        <v>2123.5235243870702</v>
      </c>
      <c r="CW182" s="41">
        <f t="shared" si="79"/>
        <v>1381.7785315033636</v>
      </c>
      <c r="CX182" s="41">
        <f t="shared" si="80"/>
        <v>-1858.7051043995798</v>
      </c>
      <c r="CY182" s="41">
        <f t="shared" si="81"/>
        <v>6.2724954270404396</v>
      </c>
      <c r="CZ182" s="41">
        <f t="shared" si="82"/>
        <v>137.85461006513356</v>
      </c>
      <c r="DA182" s="41">
        <f t="shared" si="83"/>
        <v>-149.71171436367831</v>
      </c>
      <c r="DB182" s="41">
        <f t="shared" si="84"/>
        <v>46.483256050073578</v>
      </c>
      <c r="DC182" s="41">
        <f t="shared" si="85"/>
        <v>14.39034294221392</v>
      </c>
      <c r="DD182" s="41"/>
      <c r="DE182" s="283">
        <f t="shared" si="86"/>
        <v>-7.7897167501341507</v>
      </c>
      <c r="DF182" s="283">
        <f t="shared" si="87"/>
        <v>0.74653706245551832</v>
      </c>
      <c r="DG182" s="283">
        <f t="shared" si="88"/>
        <v>-0.57497057325038448</v>
      </c>
      <c r="DH182" s="283">
        <f t="shared" si="89"/>
        <v>4.565165018178937E-3</v>
      </c>
      <c r="DI182" s="283">
        <f t="shared" si="90"/>
        <v>9.9875578370897694E-2</v>
      </c>
      <c r="DJ182" s="283">
        <f t="shared" si="91"/>
        <v>-9.8616648207980592E-2</v>
      </c>
      <c r="DK182" s="283">
        <f t="shared" si="92"/>
        <v>3.396889842025809E-2</v>
      </c>
      <c r="DL182" s="283">
        <f t="shared" si="93"/>
        <v>1.0170647205087058E-2</v>
      </c>
    </row>
    <row r="183" spans="1:116" x14ac:dyDescent="0.2">
      <c r="A183" s="30">
        <v>562</v>
      </c>
      <c r="B183" s="31" t="s">
        <v>497</v>
      </c>
      <c r="C183" s="65"/>
      <c r="D183" s="65"/>
      <c r="E183" s="65"/>
      <c r="F183" s="65"/>
      <c r="G183" s="65"/>
      <c r="H183" s="65">
        <v>25129</v>
      </c>
      <c r="I183" s="65"/>
      <c r="J183" s="65"/>
      <c r="K183" s="65"/>
      <c r="L183" s="65"/>
      <c r="M183" s="65"/>
      <c r="N183" s="65">
        <v>23814</v>
      </c>
      <c r="O183" s="65"/>
      <c r="P183" s="65"/>
      <c r="Q183" s="65"/>
      <c r="R183" s="65"/>
      <c r="S183" s="65"/>
      <c r="T183" s="65">
        <v>22442</v>
      </c>
      <c r="U183" s="65"/>
      <c r="V183" s="65"/>
      <c r="W183" s="65"/>
      <c r="X183" s="65"/>
      <c r="Y183" s="65"/>
      <c r="Z183" s="65">
        <v>22208</v>
      </c>
      <c r="AA183" s="65"/>
      <c r="AB183" s="66">
        <v>22087.788390849517</v>
      </c>
      <c r="AC183" s="34">
        <v>166.31838194349942</v>
      </c>
      <c r="AD183" s="180">
        <v>4622.2130096762994</v>
      </c>
      <c r="AE183" s="65">
        <v>950</v>
      </c>
      <c r="AF183" s="34">
        <v>-485.78899999999999</v>
      </c>
      <c r="AG183" s="65">
        <f t="shared" si="72"/>
        <v>27340.530782469315</v>
      </c>
      <c r="AH183" s="65"/>
      <c r="AI183" s="66">
        <v>20982.128374328189</v>
      </c>
      <c r="AJ183" s="34">
        <v>-129.09418405396602</v>
      </c>
      <c r="AK183" s="181">
        <v>4937.6014112428138</v>
      </c>
      <c r="AL183" s="65">
        <v>0</v>
      </c>
      <c r="AM183" s="34">
        <v>-513.16200000000003</v>
      </c>
      <c r="AN183" s="65">
        <f t="shared" si="73"/>
        <v>25277.473601517035</v>
      </c>
      <c r="AO183" s="65"/>
      <c r="AP183" s="41">
        <v>21739.90692005543</v>
      </c>
      <c r="AQ183" s="41">
        <v>-39.799220769906924</v>
      </c>
      <c r="AR183" s="41">
        <v>5706.1010690478779</v>
      </c>
      <c r="AS183" s="65">
        <v>0</v>
      </c>
      <c r="AT183" s="34">
        <v>-583.52800000000002</v>
      </c>
      <c r="AU183" s="65">
        <f t="shared" si="74"/>
        <v>26822.680768333405</v>
      </c>
      <c r="AV183" s="65"/>
      <c r="AW183" s="41">
        <v>4175.2165230634846</v>
      </c>
      <c r="AX183" s="314"/>
      <c r="AY183" s="314"/>
      <c r="AZ183" s="41">
        <v>1707.0019478384413</v>
      </c>
      <c r="BA183" s="65">
        <v>0</v>
      </c>
      <c r="BB183" s="34">
        <v>-374.72300000000001</v>
      </c>
      <c r="BC183" s="65">
        <f t="shared" si="94"/>
        <v>5507.4954709019257</v>
      </c>
      <c r="BD183" s="65"/>
      <c r="BE183" s="41">
        <v>4222.6670118530792</v>
      </c>
      <c r="BF183" s="314"/>
      <c r="BG183" s="314"/>
      <c r="BH183" s="41">
        <v>1658.7255906780572</v>
      </c>
      <c r="BI183" s="65">
        <v>0</v>
      </c>
      <c r="BJ183" s="34">
        <v>-368.06700000000001</v>
      </c>
      <c r="BK183" s="65">
        <f t="shared" si="95"/>
        <v>5513.3256025311366</v>
      </c>
      <c r="BL183" s="65"/>
      <c r="BM183" s="41">
        <v>5066.1219842383498</v>
      </c>
      <c r="BN183" s="41">
        <v>1041.1723997116037</v>
      </c>
      <c r="BO183" s="65">
        <v>0</v>
      </c>
      <c r="BP183" s="34">
        <v>-368.06700000000001</v>
      </c>
      <c r="BQ183" s="65">
        <f t="shared" si="75"/>
        <v>5739.227383949953</v>
      </c>
      <c r="BR183" s="65"/>
      <c r="BS183" s="41">
        <v>5166.2018458049661</v>
      </c>
      <c r="BT183" s="314"/>
      <c r="BU183" s="314"/>
      <c r="BV183" s="41">
        <v>1122.7365959551116</v>
      </c>
      <c r="BW183" s="65">
        <v>0</v>
      </c>
      <c r="BX183" s="34">
        <v>-368.06700000000001</v>
      </c>
      <c r="BY183" s="65">
        <f t="shared" si="96"/>
        <v>5920.8714417600777</v>
      </c>
      <c r="CA183" s="5">
        <v>5012.3165970093096</v>
      </c>
      <c r="CB183" s="407">
        <v>1210.0355737231325</v>
      </c>
      <c r="CC183" s="415">
        <v>0</v>
      </c>
      <c r="CD183" s="34">
        <v>-368.06700000000001</v>
      </c>
      <c r="CE183" s="65">
        <f t="shared" si="76"/>
        <v>5854.2851707324417</v>
      </c>
      <c r="CF183" s="407"/>
      <c r="CG183" s="5">
        <v>5843.4218626651946</v>
      </c>
      <c r="CH183" s="407">
        <v>1285.834914659386</v>
      </c>
      <c r="CI183" s="415">
        <v>0</v>
      </c>
      <c r="CJ183" s="34">
        <v>-368.06700000000001</v>
      </c>
      <c r="CK183" s="65">
        <f t="shared" si="77"/>
        <v>6761.189777324581</v>
      </c>
      <c r="CL183" s="407"/>
      <c r="CM183" s="41">
        <f>AU183/'1. Väestöennuste'!L183*1000</f>
        <v>3001.9788213020038</v>
      </c>
      <c r="CN183" s="41">
        <f>BC183/'1. Väestöennuste'!M183*1000</f>
        <v>623.09033498155065</v>
      </c>
      <c r="CO183" s="41">
        <f>BK183/'1. Väestöennuste'!N183*1000</f>
        <v>634.95630571589732</v>
      </c>
      <c r="CP183" s="41">
        <f>BQ183/'1. Väestöennuste'!O183*1000</f>
        <v>666.34475606060062</v>
      </c>
      <c r="CQ183" s="41">
        <f>BY183/'1. Väestöennuste'!P183*1000</f>
        <v>692.90479131188738</v>
      </c>
      <c r="CR183" s="41">
        <f>CE183/'1. Väestöennuste'!Q183*1000</f>
        <v>690.36381730335393</v>
      </c>
      <c r="CS183" s="41">
        <f>CK183/'1. Väestöennuste'!R183*1000</f>
        <v>803.08703852293399</v>
      </c>
      <c r="CT183" s="41"/>
      <c r="CV183" s="41">
        <f t="shared" si="78"/>
        <v>7129.256777324581</v>
      </c>
      <c r="CW183" s="41">
        <f t="shared" si="79"/>
        <v>-3759.2109560225772</v>
      </c>
      <c r="CX183" s="41">
        <f t="shared" si="80"/>
        <v>-2378.888486320453</v>
      </c>
      <c r="CY183" s="41">
        <f t="shared" si="81"/>
        <v>11.865970734346661</v>
      </c>
      <c r="CZ183" s="41">
        <f t="shared" si="82"/>
        <v>31.388450344703301</v>
      </c>
      <c r="DA183" s="41">
        <f t="shared" si="83"/>
        <v>26.560035251286763</v>
      </c>
      <c r="DB183" s="41">
        <f t="shared" si="84"/>
        <v>-2.5409740085334533</v>
      </c>
      <c r="DC183" s="41">
        <f t="shared" si="85"/>
        <v>112.72322121958007</v>
      </c>
      <c r="DD183" s="41"/>
      <c r="DE183" s="283">
        <f t="shared" si="86"/>
        <v>-19.36945386933515</v>
      </c>
      <c r="DF183" s="283">
        <f t="shared" si="87"/>
        <v>-0.55599843811958582</v>
      </c>
      <c r="DG183" s="283">
        <f t="shared" si="88"/>
        <v>-0.79244012963712152</v>
      </c>
      <c r="DH183" s="283">
        <f t="shared" si="89"/>
        <v>1.9043740639466032E-2</v>
      </c>
      <c r="DI183" s="283">
        <f t="shared" si="90"/>
        <v>4.9434032014712588E-2</v>
      </c>
      <c r="DJ183" s="283">
        <f t="shared" si="91"/>
        <v>3.985929957385493E-2</v>
      </c>
      <c r="DK183" s="283">
        <f t="shared" si="92"/>
        <v>-3.6671329746798082E-3</v>
      </c>
      <c r="DL183" s="283">
        <f t="shared" si="93"/>
        <v>0.16328089392038367</v>
      </c>
    </row>
    <row r="184" spans="1:116" x14ac:dyDescent="0.2">
      <c r="A184" s="30">
        <v>563</v>
      </c>
      <c r="B184" s="31" t="s">
        <v>498</v>
      </c>
      <c r="C184" s="65"/>
      <c r="D184" s="65"/>
      <c r="E184" s="65"/>
      <c r="F184" s="65"/>
      <c r="G184" s="65"/>
      <c r="H184" s="65">
        <v>24393</v>
      </c>
      <c r="I184" s="65"/>
      <c r="J184" s="65"/>
      <c r="K184" s="65"/>
      <c r="L184" s="65"/>
      <c r="M184" s="65"/>
      <c r="N184" s="65">
        <v>24633</v>
      </c>
      <c r="O184" s="65"/>
      <c r="P184" s="65"/>
      <c r="Q184" s="65"/>
      <c r="R184" s="65"/>
      <c r="S184" s="65"/>
      <c r="T184" s="65">
        <v>24050</v>
      </c>
      <c r="U184" s="65"/>
      <c r="V184" s="65"/>
      <c r="W184" s="65"/>
      <c r="X184" s="65"/>
      <c r="Y184" s="65"/>
      <c r="Z184" s="65">
        <v>24000</v>
      </c>
      <c r="AA184" s="65"/>
      <c r="AB184" s="66">
        <v>24982.782641758131</v>
      </c>
      <c r="AC184" s="34">
        <v>127.29300788121881</v>
      </c>
      <c r="AD184" s="180">
        <v>3604.2774189925249</v>
      </c>
      <c r="AE184" s="65">
        <v>0</v>
      </c>
      <c r="AF184" s="34">
        <v>-375.81400000000002</v>
      </c>
      <c r="AG184" s="65">
        <f t="shared" si="72"/>
        <v>28338.539068631879</v>
      </c>
      <c r="AH184" s="65"/>
      <c r="AI184" s="66">
        <v>23901.055416770752</v>
      </c>
      <c r="AJ184" s="34">
        <v>-98.649633317528284</v>
      </c>
      <c r="AK184" s="181">
        <v>3855.9330588450875</v>
      </c>
      <c r="AL184" s="65">
        <v>0</v>
      </c>
      <c r="AM184" s="34">
        <v>-266.38499999999999</v>
      </c>
      <c r="AN184" s="65">
        <f t="shared" si="73"/>
        <v>27391.953842298313</v>
      </c>
      <c r="AO184" s="65"/>
      <c r="AP184" s="41">
        <v>25189.654179884568</v>
      </c>
      <c r="AQ184" s="41">
        <v>-30.400158540059177</v>
      </c>
      <c r="AR184" s="41">
        <v>4344.0963555738217</v>
      </c>
      <c r="AS184" s="65">
        <v>0</v>
      </c>
      <c r="AT184" s="34">
        <v>-345.42500000000001</v>
      </c>
      <c r="AU184" s="65">
        <f t="shared" si="74"/>
        <v>29157.925376918331</v>
      </c>
      <c r="AV184" s="65"/>
      <c r="AW184" s="41">
        <v>6610.3113229341434</v>
      </c>
      <c r="AX184" s="314"/>
      <c r="AY184" s="314"/>
      <c r="AZ184" s="41">
        <v>1307.4248951470981</v>
      </c>
      <c r="BA184" s="65">
        <v>0</v>
      </c>
      <c r="BB184" s="34">
        <v>-324.14299999999997</v>
      </c>
      <c r="BC184" s="65">
        <f t="shared" si="94"/>
        <v>7593.5932180812415</v>
      </c>
      <c r="BD184" s="65"/>
      <c r="BE184" s="41">
        <v>4566.7475560866469</v>
      </c>
      <c r="BF184" s="314"/>
      <c r="BG184" s="314"/>
      <c r="BH184" s="41">
        <v>1297.1736383667196</v>
      </c>
      <c r="BI184" s="65">
        <v>0</v>
      </c>
      <c r="BJ184" s="34">
        <v>-298.57400000000001</v>
      </c>
      <c r="BK184" s="65">
        <f t="shared" si="95"/>
        <v>5565.3471944533667</v>
      </c>
      <c r="BL184" s="65"/>
      <c r="BM184" s="41">
        <v>4928.3903905050047</v>
      </c>
      <c r="BN184" s="41">
        <v>746.25885277143288</v>
      </c>
      <c r="BO184" s="65">
        <v>0</v>
      </c>
      <c r="BP184" s="34">
        <v>-298.57400000000001</v>
      </c>
      <c r="BQ184" s="65">
        <f t="shared" si="75"/>
        <v>5376.0752432764375</v>
      </c>
      <c r="BR184" s="65"/>
      <c r="BS184" s="41">
        <v>4911.0072030395786</v>
      </c>
      <c r="BT184" s="314"/>
      <c r="BU184" s="314"/>
      <c r="BV184" s="41">
        <v>812.70890532813223</v>
      </c>
      <c r="BW184" s="65">
        <v>0</v>
      </c>
      <c r="BX184" s="34">
        <v>-298.57400000000001</v>
      </c>
      <c r="BY184" s="65">
        <f t="shared" si="96"/>
        <v>5425.1421083677114</v>
      </c>
      <c r="CA184" s="5">
        <v>5036.2739889602844</v>
      </c>
      <c r="CB184" s="407">
        <v>879.54331764609185</v>
      </c>
      <c r="CC184" s="415">
        <v>0</v>
      </c>
      <c r="CD184" s="34">
        <v>-298.57400000000001</v>
      </c>
      <c r="CE184" s="65">
        <f t="shared" si="76"/>
        <v>5617.2433066063768</v>
      </c>
      <c r="CF184" s="407"/>
      <c r="CG184" s="5">
        <v>5763.9180971361857</v>
      </c>
      <c r="CH184" s="407">
        <v>937.76319349874234</v>
      </c>
      <c r="CI184" s="415">
        <v>0</v>
      </c>
      <c r="CJ184" s="34">
        <v>-298.57400000000001</v>
      </c>
      <c r="CK184" s="65">
        <f t="shared" si="77"/>
        <v>6403.1072906349282</v>
      </c>
      <c r="CL184" s="407"/>
      <c r="CM184" s="41">
        <f>AU184/'1. Väestöennuste'!L184*1000</f>
        <v>4150.5943597036767</v>
      </c>
      <c r="CN184" s="41">
        <f>BC184/'1. Väestöennuste'!M184*1000</f>
        <v>1088.219148478252</v>
      </c>
      <c r="CO184" s="41">
        <f>BK184/'1. Väestöennuste'!N184*1000</f>
        <v>815.79407716994524</v>
      </c>
      <c r="CP184" s="41">
        <f>BQ184/'1. Väestöennuste'!O184*1000</f>
        <v>797.40065904426535</v>
      </c>
      <c r="CQ184" s="41">
        <f>BY184/'1. Väestöennuste'!P184*1000</f>
        <v>814.21913678038595</v>
      </c>
      <c r="CR184" s="41">
        <f>CE184/'1. Väestöennuste'!Q184*1000</f>
        <v>852.90666665751246</v>
      </c>
      <c r="CS184" s="41">
        <f>CK184/'1. Väestöennuste'!R184*1000</f>
        <v>983.1271749784936</v>
      </c>
      <c r="CT184" s="41"/>
      <c r="CV184" s="41">
        <f t="shared" si="78"/>
        <v>6701.6812906349278</v>
      </c>
      <c r="CW184" s="41">
        <f t="shared" si="79"/>
        <v>-2252.5129309312515</v>
      </c>
      <c r="CX184" s="41">
        <f t="shared" si="80"/>
        <v>-3062.3752112254247</v>
      </c>
      <c r="CY184" s="41">
        <f t="shared" si="81"/>
        <v>-272.42507130830677</v>
      </c>
      <c r="CZ184" s="41">
        <f t="shared" si="82"/>
        <v>-18.393418125679887</v>
      </c>
      <c r="DA184" s="41">
        <f t="shared" si="83"/>
        <v>16.818477736120599</v>
      </c>
      <c r="DB184" s="41">
        <f t="shared" si="84"/>
        <v>38.687529877126508</v>
      </c>
      <c r="DC184" s="41">
        <f t="shared" si="85"/>
        <v>130.22050832098114</v>
      </c>
      <c r="DD184" s="41"/>
      <c r="DE184" s="283">
        <f t="shared" si="86"/>
        <v>-22.445629192879913</v>
      </c>
      <c r="DF184" s="283">
        <f t="shared" si="87"/>
        <v>-0.35178434917461671</v>
      </c>
      <c r="DG184" s="283">
        <f t="shared" si="88"/>
        <v>-0.73781606821343459</v>
      </c>
      <c r="DH184" s="283">
        <f t="shared" si="89"/>
        <v>-0.250340266194784</v>
      </c>
      <c r="DI184" s="283">
        <f t="shared" si="90"/>
        <v>-2.2546643375357812E-2</v>
      </c>
      <c r="DJ184" s="283">
        <f t="shared" si="91"/>
        <v>2.1091627584404807E-2</v>
      </c>
      <c r="DK184" s="283">
        <f t="shared" si="92"/>
        <v>4.7514886508447964E-2</v>
      </c>
      <c r="DL184" s="283">
        <f t="shared" si="93"/>
        <v>0.15267849743900716</v>
      </c>
    </row>
    <row r="185" spans="1:116" x14ac:dyDescent="0.2">
      <c r="A185" s="30">
        <v>564</v>
      </c>
      <c r="B185" s="31" t="s">
        <v>499</v>
      </c>
      <c r="C185" s="65"/>
      <c r="D185" s="65"/>
      <c r="E185" s="65"/>
      <c r="F185" s="65"/>
      <c r="G185" s="65"/>
      <c r="H185" s="65">
        <v>273358</v>
      </c>
      <c r="I185" s="65"/>
      <c r="J185" s="65"/>
      <c r="K185" s="65"/>
      <c r="L185" s="65"/>
      <c r="M185" s="65"/>
      <c r="N185" s="65">
        <v>269900</v>
      </c>
      <c r="O185" s="65"/>
      <c r="P185" s="65"/>
      <c r="Q185" s="65"/>
      <c r="R185" s="65"/>
      <c r="S185" s="65"/>
      <c r="T185" s="65">
        <v>273284</v>
      </c>
      <c r="U185" s="65"/>
      <c r="V185" s="65"/>
      <c r="W185" s="65"/>
      <c r="X185" s="65"/>
      <c r="Y185" s="65"/>
      <c r="Z185" s="65">
        <v>279065</v>
      </c>
      <c r="AA185" s="65"/>
      <c r="AB185" s="66">
        <v>275917.91689441731</v>
      </c>
      <c r="AC185" s="34">
        <v>3957.4390569957145</v>
      </c>
      <c r="AD185" s="180">
        <v>78008.488047386723</v>
      </c>
      <c r="AE185" s="65">
        <v>0</v>
      </c>
      <c r="AF185" s="34">
        <v>-4445.4690000000001</v>
      </c>
      <c r="AG185" s="65">
        <f t="shared" si="72"/>
        <v>353438.37499879982</v>
      </c>
      <c r="AH185" s="65"/>
      <c r="AI185" s="66">
        <v>243795.5272605934</v>
      </c>
      <c r="AJ185" s="34">
        <v>-3073.6392858551962</v>
      </c>
      <c r="AK185" s="181">
        <v>84613.180325882015</v>
      </c>
      <c r="AL185" s="65">
        <v>0</v>
      </c>
      <c r="AM185" s="34">
        <v>-3559.8649999999998</v>
      </c>
      <c r="AN185" s="65">
        <f t="shared" si="73"/>
        <v>321775.2033006202</v>
      </c>
      <c r="AO185" s="65"/>
      <c r="AP185" s="41">
        <v>249402.69169645358</v>
      </c>
      <c r="AQ185" s="41">
        <v>-949.35215243914047</v>
      </c>
      <c r="AR185" s="41">
        <v>95488.876918839713</v>
      </c>
      <c r="AS185" s="65">
        <v>0</v>
      </c>
      <c r="AT185" s="34">
        <v>-1815.5029999999999</v>
      </c>
      <c r="AU185" s="65">
        <f t="shared" si="74"/>
        <v>342126.7134628541</v>
      </c>
      <c r="AV185" s="65"/>
      <c r="AW185" s="41">
        <v>88821.536165730562</v>
      </c>
      <c r="AX185" s="314"/>
      <c r="AY185" s="314"/>
      <c r="AZ185" s="41">
        <v>29128.493766056719</v>
      </c>
      <c r="BA185" s="65">
        <v>0</v>
      </c>
      <c r="BB185" s="34">
        <v>891.17</v>
      </c>
      <c r="BC185" s="65">
        <f t="shared" si="94"/>
        <v>118841.19993178728</v>
      </c>
      <c r="BD185" s="65"/>
      <c r="BE185" s="41">
        <v>85432.066041863131</v>
      </c>
      <c r="BF185" s="314"/>
      <c r="BG185" s="314"/>
      <c r="BH185" s="41">
        <v>29399.28920242102</v>
      </c>
      <c r="BI185" s="65">
        <v>0</v>
      </c>
      <c r="BJ185" s="34">
        <v>805.86699999999996</v>
      </c>
      <c r="BK185" s="65">
        <f t="shared" si="95"/>
        <v>115637.22224428414</v>
      </c>
      <c r="BL185" s="65"/>
      <c r="BM185" s="41">
        <v>118726.86864111474</v>
      </c>
      <c r="BN185" s="41">
        <v>17147.56321840399</v>
      </c>
      <c r="BO185" s="65">
        <v>0</v>
      </c>
      <c r="BP185" s="34">
        <v>805.86699999999996</v>
      </c>
      <c r="BQ185" s="65">
        <f t="shared" si="75"/>
        <v>136680.29885951872</v>
      </c>
      <c r="BR185" s="65"/>
      <c r="BS185" s="41">
        <v>126665.00679709176</v>
      </c>
      <c r="BT185" s="314"/>
      <c r="BU185" s="314"/>
      <c r="BV185" s="41">
        <v>18509.994712007265</v>
      </c>
      <c r="BW185" s="65">
        <v>0</v>
      </c>
      <c r="BX185" s="34">
        <v>805.86699999999996</v>
      </c>
      <c r="BY185" s="65">
        <f t="shared" si="96"/>
        <v>145980.86850909903</v>
      </c>
      <c r="CA185" s="5">
        <v>126273.30442504006</v>
      </c>
      <c r="CB185" s="407">
        <v>20181.336545874343</v>
      </c>
      <c r="CC185" s="415">
        <v>0</v>
      </c>
      <c r="CD185" s="34">
        <v>805.86699999999996</v>
      </c>
      <c r="CE185" s="65">
        <f t="shared" si="76"/>
        <v>147260.50797091439</v>
      </c>
      <c r="CF185" s="407"/>
      <c r="CG185" s="5">
        <v>127065.95278070384</v>
      </c>
      <c r="CH185" s="407">
        <v>21592.074476794158</v>
      </c>
      <c r="CI185" s="415">
        <v>0</v>
      </c>
      <c r="CJ185" s="34">
        <v>805.86699999999996</v>
      </c>
      <c r="CK185" s="65">
        <f t="shared" si="77"/>
        <v>149463.894257498</v>
      </c>
      <c r="CL185" s="407"/>
      <c r="CM185" s="41">
        <f>AU185/'1. Väestöennuste'!L185*1000</f>
        <v>1614.9631502910297</v>
      </c>
      <c r="CN185" s="41">
        <f>BC185/'1. Väestöennuste'!M185*1000</f>
        <v>553.69491146183145</v>
      </c>
      <c r="CO185" s="41">
        <f>BK185/'1. Väestöennuste'!N185*1000</f>
        <v>538.11034339693413</v>
      </c>
      <c r="CP185" s="41">
        <f>BQ185/'1. Väestöennuste'!O185*1000</f>
        <v>631.31486163813895</v>
      </c>
      <c r="CQ185" s="41">
        <f>BY185/'1. Väestöennuste'!P185*1000</f>
        <v>669.58172494518351</v>
      </c>
      <c r="CR185" s="41">
        <f>CE185/'1. Väestöennuste'!Q185*1000</f>
        <v>670.99463229345042</v>
      </c>
      <c r="CS185" s="41">
        <f>CK185/'1. Väestöennuste'!R185*1000</f>
        <v>676.77575089314325</v>
      </c>
      <c r="CT185" s="41"/>
      <c r="CV185" s="41">
        <f t="shared" si="78"/>
        <v>148658.027257498</v>
      </c>
      <c r="CW185" s="41">
        <f t="shared" si="79"/>
        <v>-147848.93110720697</v>
      </c>
      <c r="CX185" s="41">
        <f t="shared" si="80"/>
        <v>-1061.2682388291983</v>
      </c>
      <c r="CY185" s="41">
        <f t="shared" si="81"/>
        <v>-15.584568064897326</v>
      </c>
      <c r="CZ185" s="41">
        <f t="shared" si="82"/>
        <v>93.204518241204823</v>
      </c>
      <c r="DA185" s="41">
        <f t="shared" si="83"/>
        <v>38.266863307044559</v>
      </c>
      <c r="DB185" s="41">
        <f t="shared" si="84"/>
        <v>1.4129073482669128</v>
      </c>
      <c r="DC185" s="41">
        <f t="shared" si="85"/>
        <v>5.7811185996928316</v>
      </c>
      <c r="DD185" s="41"/>
      <c r="DE185" s="283">
        <f t="shared" si="86"/>
        <v>184.46967955940374</v>
      </c>
      <c r="DF185" s="283">
        <f t="shared" si="87"/>
        <v>-0.98919496137636587</v>
      </c>
      <c r="DG185" s="283">
        <f t="shared" si="88"/>
        <v>-0.65714703065388769</v>
      </c>
      <c r="DH185" s="283">
        <f t="shared" si="89"/>
        <v>-2.8146489596142219E-2</v>
      </c>
      <c r="DI185" s="283">
        <f t="shared" si="90"/>
        <v>0.17320707432016974</v>
      </c>
      <c r="DJ185" s="283">
        <f t="shared" si="91"/>
        <v>6.0614545343902586E-2</v>
      </c>
      <c r="DK185" s="283">
        <f t="shared" si="92"/>
        <v>2.1101342758161191E-3</v>
      </c>
      <c r="DL185" s="283">
        <f t="shared" si="93"/>
        <v>8.6157449276949467E-3</v>
      </c>
    </row>
    <row r="186" spans="1:116" x14ac:dyDescent="0.2">
      <c r="A186" s="30">
        <v>576</v>
      </c>
      <c r="B186" s="31" t="s">
        <v>500</v>
      </c>
      <c r="C186" s="65"/>
      <c r="D186" s="65"/>
      <c r="E186" s="65"/>
      <c r="F186" s="65"/>
      <c r="G186" s="65"/>
      <c r="H186" s="65">
        <v>9949</v>
      </c>
      <c r="I186" s="65"/>
      <c r="J186" s="65"/>
      <c r="K186" s="65"/>
      <c r="L186" s="65"/>
      <c r="M186" s="65"/>
      <c r="N186" s="65">
        <v>9557</v>
      </c>
      <c r="O186" s="65"/>
      <c r="P186" s="65"/>
      <c r="Q186" s="65"/>
      <c r="R186" s="65"/>
      <c r="S186" s="65"/>
      <c r="T186" s="65">
        <v>9437</v>
      </c>
      <c r="U186" s="65"/>
      <c r="V186" s="65"/>
      <c r="W186" s="65"/>
      <c r="X186" s="65"/>
      <c r="Y186" s="65"/>
      <c r="Z186" s="65">
        <v>9497</v>
      </c>
      <c r="AA186" s="65"/>
      <c r="AB186" s="66">
        <v>9531.4809751162375</v>
      </c>
      <c r="AC186" s="34">
        <v>52.020012957715181</v>
      </c>
      <c r="AD186" s="180">
        <v>1755.1032331794863</v>
      </c>
      <c r="AE186" s="65">
        <v>0</v>
      </c>
      <c r="AF186" s="34">
        <v>-295.12799999999999</v>
      </c>
      <c r="AG186" s="65">
        <f t="shared" si="72"/>
        <v>11043.476221253439</v>
      </c>
      <c r="AH186" s="65"/>
      <c r="AI186" s="66">
        <v>8899.3209339463501</v>
      </c>
      <c r="AJ186" s="34">
        <v>-39.950428048117089</v>
      </c>
      <c r="AK186" s="181">
        <v>1863.2843448500998</v>
      </c>
      <c r="AL186" s="65">
        <v>0</v>
      </c>
      <c r="AM186" s="34">
        <v>-246.99199999999999</v>
      </c>
      <c r="AN186" s="65">
        <f t="shared" si="73"/>
        <v>10475.662850748331</v>
      </c>
      <c r="AO186" s="65"/>
      <c r="AP186" s="41">
        <v>9310.077383918333</v>
      </c>
      <c r="AQ186" s="41">
        <v>-12.178294792505879</v>
      </c>
      <c r="AR186" s="41">
        <v>2099.2971020866298</v>
      </c>
      <c r="AS186" s="65">
        <v>0</v>
      </c>
      <c r="AT186" s="34">
        <v>-246.97</v>
      </c>
      <c r="AU186" s="65">
        <f t="shared" si="74"/>
        <v>11150.226191212458</v>
      </c>
      <c r="AV186" s="65"/>
      <c r="AW186" s="41">
        <v>1633.9652702939738</v>
      </c>
      <c r="AX186" s="314"/>
      <c r="AY186" s="314"/>
      <c r="AZ186" s="41">
        <v>626.3082584028092</v>
      </c>
      <c r="BA186" s="65">
        <v>0</v>
      </c>
      <c r="BB186" s="34">
        <v>-237.14500000000001</v>
      </c>
      <c r="BC186" s="65">
        <f t="shared" si="94"/>
        <v>2023.1285286967832</v>
      </c>
      <c r="BD186" s="65"/>
      <c r="BE186" s="41">
        <v>1226.9866384544443</v>
      </c>
      <c r="BF186" s="314"/>
      <c r="BG186" s="314"/>
      <c r="BH186" s="41">
        <v>615.79264660424496</v>
      </c>
      <c r="BI186" s="65">
        <v>0</v>
      </c>
      <c r="BJ186" s="34">
        <v>-239.26599999999999</v>
      </c>
      <c r="BK186" s="65">
        <f t="shared" si="95"/>
        <v>1603.5132850586892</v>
      </c>
      <c r="BL186" s="65"/>
      <c r="BM186" s="41">
        <v>1571.8965347409071</v>
      </c>
      <c r="BN186" s="41">
        <v>476.7576830843422</v>
      </c>
      <c r="BO186" s="65">
        <v>0</v>
      </c>
      <c r="BP186" s="34">
        <v>-239.26599999999999</v>
      </c>
      <c r="BQ186" s="65">
        <f t="shared" si="75"/>
        <v>1809.3882178252493</v>
      </c>
      <c r="BR186" s="65"/>
      <c r="BS186" s="41">
        <v>1576.5947584143753</v>
      </c>
      <c r="BT186" s="314"/>
      <c r="BU186" s="314"/>
      <c r="BV186" s="41">
        <v>505.45635412665888</v>
      </c>
      <c r="BW186" s="65">
        <v>0</v>
      </c>
      <c r="BX186" s="34">
        <v>-239.26599999999999</v>
      </c>
      <c r="BY186" s="65">
        <f t="shared" si="96"/>
        <v>1842.7851125410339</v>
      </c>
      <c r="CA186" s="5">
        <v>1496.5807669328381</v>
      </c>
      <c r="CB186" s="407">
        <v>534.53870370341099</v>
      </c>
      <c r="CC186" s="415">
        <v>0</v>
      </c>
      <c r="CD186" s="34">
        <v>-239.26599999999999</v>
      </c>
      <c r="CE186" s="65">
        <f t="shared" si="76"/>
        <v>1791.8534706362489</v>
      </c>
      <c r="CF186" s="407"/>
      <c r="CG186" s="5">
        <v>1873.3185387817587</v>
      </c>
      <c r="CH186" s="407">
        <v>559.97230728703141</v>
      </c>
      <c r="CI186" s="415">
        <v>0</v>
      </c>
      <c r="CJ186" s="34">
        <v>-239.26599999999999</v>
      </c>
      <c r="CK186" s="65">
        <f t="shared" si="77"/>
        <v>2194.0248460687899</v>
      </c>
      <c r="CL186" s="407"/>
      <c r="CM186" s="41">
        <f>AU186/'1. Väestöennuste'!L186*1000</f>
        <v>4054.6277058954388</v>
      </c>
      <c r="CN186" s="41">
        <f>BC186/'1. Väestöennuste'!M186*1000</f>
        <v>742.16013525193807</v>
      </c>
      <c r="CO186" s="41">
        <f>BK186/'1. Väestöennuste'!N186*1000</f>
        <v>598.3258526338393</v>
      </c>
      <c r="CP186" s="41">
        <f>BQ186/'1. Väestöennuste'!O186*1000</f>
        <v>684.85549501334185</v>
      </c>
      <c r="CQ186" s="41">
        <f>BY186/'1. Väestöennuste'!P186*1000</f>
        <v>707.13166252533927</v>
      </c>
      <c r="CR186" s="41">
        <f>CE186/'1. Väestöennuste'!Q186*1000</f>
        <v>696.67708811673742</v>
      </c>
      <c r="CS186" s="41">
        <f>CK186/'1. Väestöennuste'!R186*1000</f>
        <v>864.12951794753451</v>
      </c>
      <c r="CT186" s="41"/>
      <c r="CV186" s="41">
        <f t="shared" si="78"/>
        <v>2433.29084606879</v>
      </c>
      <c r="CW186" s="41">
        <f t="shared" si="79"/>
        <v>1860.6028598266489</v>
      </c>
      <c r="CX186" s="41">
        <f t="shared" si="80"/>
        <v>-3312.4675706435009</v>
      </c>
      <c r="CY186" s="41">
        <f t="shared" si="81"/>
        <v>-143.83428261809877</v>
      </c>
      <c r="CZ186" s="41">
        <f t="shared" si="82"/>
        <v>86.529642379502548</v>
      </c>
      <c r="DA186" s="41">
        <f t="shared" si="83"/>
        <v>22.276167511997414</v>
      </c>
      <c r="DB186" s="41">
        <f t="shared" si="84"/>
        <v>-10.454574408601843</v>
      </c>
      <c r="DC186" s="41">
        <f t="shared" si="85"/>
        <v>167.45242983079709</v>
      </c>
      <c r="DD186" s="41"/>
      <c r="DE186" s="283">
        <f t="shared" si="86"/>
        <v>-10.169814541425819</v>
      </c>
      <c r="DF186" s="283">
        <f t="shared" si="87"/>
        <v>0.84803180928440269</v>
      </c>
      <c r="DG186" s="283">
        <f t="shared" si="88"/>
        <v>-0.81695973364636287</v>
      </c>
      <c r="DH186" s="283">
        <f t="shared" si="89"/>
        <v>-0.19380491592865187</v>
      </c>
      <c r="DI186" s="283">
        <f t="shared" si="90"/>
        <v>0.14461959482211537</v>
      </c>
      <c r="DJ186" s="283">
        <f t="shared" si="91"/>
        <v>3.2526814304911791E-2</v>
      </c>
      <c r="DK186" s="283">
        <f t="shared" si="92"/>
        <v>-1.478448068817342E-2</v>
      </c>
      <c r="DL186" s="283">
        <f t="shared" si="93"/>
        <v>0.2403587439389685</v>
      </c>
    </row>
    <row r="187" spans="1:116" x14ac:dyDescent="0.2">
      <c r="A187" s="30">
        <v>577</v>
      </c>
      <c r="B187" s="31" t="s">
        <v>501</v>
      </c>
      <c r="C187" s="65"/>
      <c r="D187" s="65"/>
      <c r="E187" s="65"/>
      <c r="F187" s="65"/>
      <c r="G187" s="65"/>
      <c r="H187" s="65">
        <v>14305</v>
      </c>
      <c r="I187" s="65"/>
      <c r="J187" s="65"/>
      <c r="K187" s="65"/>
      <c r="L187" s="65"/>
      <c r="M187" s="65"/>
      <c r="N187" s="65">
        <v>13707</v>
      </c>
      <c r="O187" s="65"/>
      <c r="P187" s="65"/>
      <c r="Q187" s="65"/>
      <c r="R187" s="65"/>
      <c r="S187" s="65"/>
      <c r="T187" s="65">
        <v>13443</v>
      </c>
      <c r="U187" s="65"/>
      <c r="V187" s="65"/>
      <c r="W187" s="65"/>
      <c r="X187" s="65"/>
      <c r="Y187" s="65"/>
      <c r="Z187" s="65">
        <v>14324</v>
      </c>
      <c r="AA187" s="65"/>
      <c r="AB187" s="66">
        <v>14811.544820786979</v>
      </c>
      <c r="AC187" s="34">
        <v>214.42441842122602</v>
      </c>
      <c r="AD187" s="180">
        <v>4185.8101793021769</v>
      </c>
      <c r="AE187" s="65">
        <v>0</v>
      </c>
      <c r="AF187" s="34">
        <v>-130.042</v>
      </c>
      <c r="AG187" s="65">
        <f t="shared" si="72"/>
        <v>19081.73741851038</v>
      </c>
      <c r="AH187" s="65"/>
      <c r="AI187" s="66">
        <v>13976.662097367596</v>
      </c>
      <c r="AJ187" s="34">
        <v>-167.28153277626831</v>
      </c>
      <c r="AK187" s="181">
        <v>4528.7313768356389</v>
      </c>
      <c r="AL187" s="65">
        <v>0</v>
      </c>
      <c r="AM187" s="34">
        <v>-913.28499999999997</v>
      </c>
      <c r="AN187" s="65">
        <f t="shared" si="73"/>
        <v>17424.826941426967</v>
      </c>
      <c r="AO187" s="65"/>
      <c r="AP187" s="41">
        <v>15054.631744087967</v>
      </c>
      <c r="AQ187" s="41">
        <v>-51.890834182957427</v>
      </c>
      <c r="AR187" s="41">
        <v>5367.2814449874095</v>
      </c>
      <c r="AS187" s="65">
        <v>0</v>
      </c>
      <c r="AT187" s="34">
        <v>134.60300000000001</v>
      </c>
      <c r="AU187" s="65">
        <f t="shared" si="74"/>
        <v>20504.625354892418</v>
      </c>
      <c r="AV187" s="65"/>
      <c r="AW187" s="41">
        <v>8515.1339476626581</v>
      </c>
      <c r="AX187" s="314"/>
      <c r="AY187" s="314"/>
      <c r="AZ187" s="41">
        <v>1619.7537953696444</v>
      </c>
      <c r="BA187" s="65">
        <v>0</v>
      </c>
      <c r="BB187" s="34">
        <v>79.917000000000002</v>
      </c>
      <c r="BC187" s="65">
        <f t="shared" si="94"/>
        <v>10214.804743032302</v>
      </c>
      <c r="BD187" s="65"/>
      <c r="BE187" s="41">
        <v>7682.8139071163514</v>
      </c>
      <c r="BF187" s="314"/>
      <c r="BG187" s="314"/>
      <c r="BH187" s="41">
        <v>1573.7414322604345</v>
      </c>
      <c r="BI187" s="65">
        <v>0</v>
      </c>
      <c r="BJ187" s="34">
        <v>540.45000000000005</v>
      </c>
      <c r="BK187" s="65">
        <f t="shared" si="95"/>
        <v>9797.0053393767867</v>
      </c>
      <c r="BL187" s="65"/>
      <c r="BM187" s="41">
        <v>9366.3530137210273</v>
      </c>
      <c r="BN187" s="41">
        <v>846.73177285181725</v>
      </c>
      <c r="BO187" s="65">
        <v>0</v>
      </c>
      <c r="BP187" s="34">
        <v>540.45000000000005</v>
      </c>
      <c r="BQ187" s="65">
        <f t="shared" si="75"/>
        <v>10753.534786572845</v>
      </c>
      <c r="BR187" s="65"/>
      <c r="BS187" s="41">
        <v>10245.679862929655</v>
      </c>
      <c r="BT187" s="314"/>
      <c r="BU187" s="314"/>
      <c r="BV187" s="41">
        <v>910.27728624769247</v>
      </c>
      <c r="BW187" s="65">
        <v>0</v>
      </c>
      <c r="BX187" s="34">
        <v>540.45000000000005</v>
      </c>
      <c r="BY187" s="65">
        <f t="shared" si="96"/>
        <v>11696.407149177348</v>
      </c>
      <c r="CA187" s="5">
        <v>10394.144189354622</v>
      </c>
      <c r="CB187" s="407">
        <v>992.84515127021677</v>
      </c>
      <c r="CC187" s="415">
        <v>0</v>
      </c>
      <c r="CD187" s="34">
        <v>540.45000000000005</v>
      </c>
      <c r="CE187" s="65">
        <f t="shared" si="76"/>
        <v>11927.439340624838</v>
      </c>
      <c r="CF187" s="407"/>
      <c r="CG187" s="5">
        <v>10661.918784927628</v>
      </c>
      <c r="CH187" s="407">
        <v>1060.8350855375195</v>
      </c>
      <c r="CI187" s="415">
        <v>0</v>
      </c>
      <c r="CJ187" s="34">
        <v>540.45000000000005</v>
      </c>
      <c r="CK187" s="65">
        <f t="shared" si="77"/>
        <v>12263.203870465148</v>
      </c>
      <c r="CL187" s="407"/>
      <c r="CM187" s="41">
        <f>AU187/'1. Väestöennuste'!L187*1000</f>
        <v>1840.9611559429356</v>
      </c>
      <c r="CN187" s="41">
        <f>BC187/'1. Väestöennuste'!M187*1000</f>
        <v>909.11398567393223</v>
      </c>
      <c r="CO187" s="41">
        <f>BK187/'1. Väestöennuste'!N187*1000</f>
        <v>880.78803734395274</v>
      </c>
      <c r="CP187" s="41">
        <f>BQ187/'1. Väestöennuste'!O187*1000</f>
        <v>962.45724394279478</v>
      </c>
      <c r="CQ187" s="41">
        <f>BY187/'1. Väestöennuste'!P187*1000</f>
        <v>1042.4605302297102</v>
      </c>
      <c r="CR187" s="41">
        <f>CE187/'1. Väestöennuste'!Q187*1000</f>
        <v>1058.9931049120873</v>
      </c>
      <c r="CS187" s="41">
        <f>CK187/'1. Väestöennuste'!R187*1000</f>
        <v>1085.239280572137</v>
      </c>
      <c r="CT187" s="41"/>
      <c r="CV187" s="41">
        <f t="shared" si="78"/>
        <v>11722.753870465147</v>
      </c>
      <c r="CW187" s="41">
        <f t="shared" si="79"/>
        <v>-10422.242714522212</v>
      </c>
      <c r="CX187" s="41">
        <f t="shared" si="80"/>
        <v>-931.84717026900341</v>
      </c>
      <c r="CY187" s="41">
        <f t="shared" si="81"/>
        <v>-28.325948329979497</v>
      </c>
      <c r="CZ187" s="41">
        <f t="shared" si="82"/>
        <v>81.669206598842038</v>
      </c>
      <c r="DA187" s="41">
        <f t="shared" si="83"/>
        <v>80.003286286915454</v>
      </c>
      <c r="DB187" s="41">
        <f t="shared" si="84"/>
        <v>16.532574682377117</v>
      </c>
      <c r="DC187" s="41">
        <f t="shared" si="85"/>
        <v>26.24617566004963</v>
      </c>
      <c r="DD187" s="41"/>
      <c r="DE187" s="283">
        <f t="shared" si="86"/>
        <v>21.690727857276613</v>
      </c>
      <c r="DF187" s="283">
        <f t="shared" si="87"/>
        <v>-0.84987926683851933</v>
      </c>
      <c r="DG187" s="283">
        <f t="shared" si="88"/>
        <v>-0.50617427057645525</v>
      </c>
      <c r="DH187" s="283">
        <f t="shared" si="89"/>
        <v>-3.1157752247075246E-2</v>
      </c>
      <c r="DI187" s="283">
        <f t="shared" si="90"/>
        <v>9.2722883527254066E-2</v>
      </c>
      <c r="DJ187" s="283">
        <f t="shared" si="91"/>
        <v>8.3123989964660264E-2</v>
      </c>
      <c r="DK187" s="283">
        <f t="shared" si="92"/>
        <v>1.5859185266931978E-2</v>
      </c>
      <c r="DL187" s="283">
        <f t="shared" si="93"/>
        <v>2.4784085503775272E-2</v>
      </c>
    </row>
    <row r="188" spans="1:116" x14ac:dyDescent="0.2">
      <c r="A188" s="30">
        <v>578</v>
      </c>
      <c r="B188" s="31" t="s">
        <v>502</v>
      </c>
      <c r="C188" s="65"/>
      <c r="D188" s="65"/>
      <c r="E188" s="65"/>
      <c r="F188" s="65"/>
      <c r="G188" s="65"/>
      <c r="H188" s="65">
        <v>12645</v>
      </c>
      <c r="I188" s="65"/>
      <c r="J188" s="65"/>
      <c r="K188" s="65"/>
      <c r="L188" s="65"/>
      <c r="M188" s="65"/>
      <c r="N188" s="65">
        <v>12704</v>
      </c>
      <c r="O188" s="65"/>
      <c r="P188" s="65"/>
      <c r="Q188" s="65"/>
      <c r="R188" s="65"/>
      <c r="S188" s="65"/>
      <c r="T188" s="65">
        <v>12940</v>
      </c>
      <c r="U188" s="65"/>
      <c r="V188" s="65"/>
      <c r="W188" s="65"/>
      <c r="X188" s="65"/>
      <c r="Y188" s="65"/>
      <c r="Z188" s="65">
        <v>12882</v>
      </c>
      <c r="AA188" s="65"/>
      <c r="AB188" s="66">
        <v>12351.026824800898</v>
      </c>
      <c r="AC188" s="34">
        <v>53.804236942935383</v>
      </c>
      <c r="AD188" s="180">
        <v>1912.3046360895187</v>
      </c>
      <c r="AE188" s="65">
        <v>0</v>
      </c>
      <c r="AF188" s="34">
        <v>28.745999999999999</v>
      </c>
      <c r="AG188" s="65">
        <f t="shared" si="72"/>
        <v>14345.881697833351</v>
      </c>
      <c r="AH188" s="65"/>
      <c r="AI188" s="66">
        <v>11670.485543773611</v>
      </c>
      <c r="AJ188" s="34">
        <v>-41.769561914659718</v>
      </c>
      <c r="AK188" s="181">
        <v>2023.666024659716</v>
      </c>
      <c r="AL188" s="65">
        <v>595</v>
      </c>
      <c r="AM188" s="34">
        <v>-7.8460000000000001</v>
      </c>
      <c r="AN188" s="65">
        <f t="shared" si="73"/>
        <v>14239.536006518669</v>
      </c>
      <c r="AO188" s="65"/>
      <c r="AP188" s="41">
        <v>11537.100848089065</v>
      </c>
      <c r="AQ188" s="41">
        <v>-12.850251821047676</v>
      </c>
      <c r="AR188" s="41">
        <v>2289.7702896996616</v>
      </c>
      <c r="AS188" s="65">
        <v>0</v>
      </c>
      <c r="AT188" s="34">
        <v>-116.11199999999999</v>
      </c>
      <c r="AU188" s="65">
        <f t="shared" si="74"/>
        <v>13697.908885967679</v>
      </c>
      <c r="AV188" s="65"/>
      <c r="AW188" s="41">
        <v>1398.1098232187121</v>
      </c>
      <c r="AX188" s="314"/>
      <c r="AY188" s="314"/>
      <c r="AZ188" s="41">
        <v>676.02578812674676</v>
      </c>
      <c r="BA188" s="65">
        <v>100</v>
      </c>
      <c r="BB188" s="34">
        <v>104.09</v>
      </c>
      <c r="BC188" s="65">
        <f t="shared" si="94"/>
        <v>2278.2256113454591</v>
      </c>
      <c r="BD188" s="65"/>
      <c r="BE188" s="41">
        <v>1371.9483915747678</v>
      </c>
      <c r="BF188" s="314"/>
      <c r="BG188" s="314"/>
      <c r="BH188" s="41">
        <v>664.19590807623547</v>
      </c>
      <c r="BI188" s="65">
        <v>0</v>
      </c>
      <c r="BJ188" s="34">
        <v>47.625</v>
      </c>
      <c r="BK188" s="65">
        <f t="shared" si="95"/>
        <v>2083.7692996510032</v>
      </c>
      <c r="BL188" s="65"/>
      <c r="BM188" s="41">
        <v>2035.0706480602719</v>
      </c>
      <c r="BN188" s="41">
        <v>454.80937458752118</v>
      </c>
      <c r="BO188" s="65">
        <v>0</v>
      </c>
      <c r="BP188" s="34">
        <v>47.625</v>
      </c>
      <c r="BQ188" s="65">
        <f t="shared" si="75"/>
        <v>2537.5050226477929</v>
      </c>
      <c r="BR188" s="65"/>
      <c r="BS188" s="41">
        <v>1894.1978767680525</v>
      </c>
      <c r="BT188" s="314"/>
      <c r="BU188" s="314"/>
      <c r="BV188" s="41">
        <v>488.02782455824115</v>
      </c>
      <c r="BW188" s="65">
        <v>0</v>
      </c>
      <c r="BX188" s="34">
        <v>47.625</v>
      </c>
      <c r="BY188" s="65">
        <f t="shared" si="96"/>
        <v>2429.8507013262938</v>
      </c>
      <c r="CA188" s="5">
        <v>1915.4838995441132</v>
      </c>
      <c r="CB188" s="407">
        <v>521.18976666511628</v>
      </c>
      <c r="CC188" s="415">
        <v>0</v>
      </c>
      <c r="CD188" s="34">
        <v>47.625</v>
      </c>
      <c r="CE188" s="65">
        <f t="shared" si="76"/>
        <v>2484.2986662092294</v>
      </c>
      <c r="CF188" s="407"/>
      <c r="CG188" s="5">
        <v>2102.487784459423</v>
      </c>
      <c r="CH188" s="407">
        <v>549.72333658374487</v>
      </c>
      <c r="CI188" s="415">
        <v>0</v>
      </c>
      <c r="CJ188" s="34">
        <v>47.625</v>
      </c>
      <c r="CK188" s="65">
        <f t="shared" si="77"/>
        <v>2699.8361210431676</v>
      </c>
      <c r="CL188" s="407"/>
      <c r="CM188" s="41">
        <f>AU188/'1. Väestöennuste'!L188*1000</f>
        <v>4418.6802857960256</v>
      </c>
      <c r="CN188" s="41">
        <f>BC188/'1. Väestöennuste'!M188*1000</f>
        <v>750.15660564552491</v>
      </c>
      <c r="CO188" s="41">
        <f>BK188/'1. Väestöennuste'!N188*1000</f>
        <v>682.75534064580711</v>
      </c>
      <c r="CP188" s="41">
        <f>BQ188/'1. Väestöennuste'!O188*1000</f>
        <v>842.46514696141855</v>
      </c>
      <c r="CQ188" s="41">
        <f>BY188/'1. Väestöennuste'!P188*1000</f>
        <v>817.03117058718692</v>
      </c>
      <c r="CR188" s="41">
        <f>CE188/'1. Väestöennuste'!Q188*1000</f>
        <v>845.57476725977858</v>
      </c>
      <c r="CS188" s="41">
        <f>CK188/'1. Väestöennuste'!R188*1000</f>
        <v>930.01588737277564</v>
      </c>
      <c r="CT188" s="41"/>
      <c r="CV188" s="41">
        <f t="shared" si="78"/>
        <v>2652.2111210431676</v>
      </c>
      <c r="CW188" s="41">
        <f t="shared" si="79"/>
        <v>1718.844164752858</v>
      </c>
      <c r="CX188" s="41">
        <f t="shared" si="80"/>
        <v>-3668.5236801505007</v>
      </c>
      <c r="CY188" s="41">
        <f t="shared" si="81"/>
        <v>-67.401264999717796</v>
      </c>
      <c r="CZ188" s="41">
        <f t="shared" si="82"/>
        <v>159.70980631561144</v>
      </c>
      <c r="DA188" s="41">
        <f t="shared" si="83"/>
        <v>-25.433976374231634</v>
      </c>
      <c r="DB188" s="41">
        <f t="shared" si="84"/>
        <v>28.543596672591661</v>
      </c>
      <c r="DC188" s="41">
        <f t="shared" si="85"/>
        <v>84.441120112997055</v>
      </c>
      <c r="DD188" s="41"/>
      <c r="DE188" s="283">
        <f t="shared" si="86"/>
        <v>55.689472357861789</v>
      </c>
      <c r="DF188" s="283">
        <f t="shared" si="87"/>
        <v>0.63664759181336084</v>
      </c>
      <c r="DG188" s="283">
        <f t="shared" si="88"/>
        <v>-0.8302306215598072</v>
      </c>
      <c r="DH188" s="283">
        <f t="shared" si="89"/>
        <v>-8.9849592061803749E-2</v>
      </c>
      <c r="DI188" s="283">
        <f t="shared" si="90"/>
        <v>0.2339195269634135</v>
      </c>
      <c r="DJ188" s="283">
        <f t="shared" si="91"/>
        <v>-3.0189944908660307E-2</v>
      </c>
      <c r="DK188" s="283">
        <f t="shared" si="92"/>
        <v>3.4935749944616977E-2</v>
      </c>
      <c r="DL188" s="283">
        <f t="shared" si="93"/>
        <v>9.986239346597596E-2</v>
      </c>
    </row>
    <row r="189" spans="1:116" x14ac:dyDescent="0.2">
      <c r="A189" s="30">
        <v>580</v>
      </c>
      <c r="B189" s="31" t="s">
        <v>503</v>
      </c>
      <c r="C189" s="65"/>
      <c r="D189" s="65"/>
      <c r="E189" s="65"/>
      <c r="F189" s="65"/>
      <c r="G189" s="65"/>
      <c r="H189" s="65">
        <v>18201</v>
      </c>
      <c r="I189" s="65"/>
      <c r="J189" s="65"/>
      <c r="K189" s="65"/>
      <c r="L189" s="65"/>
      <c r="M189" s="65"/>
      <c r="N189" s="65">
        <v>17785</v>
      </c>
      <c r="O189" s="65"/>
      <c r="P189" s="65"/>
      <c r="Q189" s="65"/>
      <c r="R189" s="65"/>
      <c r="S189" s="65"/>
      <c r="T189" s="65">
        <v>16657</v>
      </c>
      <c r="U189" s="65"/>
      <c r="V189" s="65"/>
      <c r="W189" s="65"/>
      <c r="X189" s="65"/>
      <c r="Y189" s="65"/>
      <c r="Z189" s="65">
        <v>16128</v>
      </c>
      <c r="AA189" s="65"/>
      <c r="AB189" s="66">
        <v>15485.221305576135</v>
      </c>
      <c r="AC189" s="34">
        <v>76.077843787332512</v>
      </c>
      <c r="AD189" s="180">
        <v>2883.6294360499355</v>
      </c>
      <c r="AE189" s="65">
        <v>0</v>
      </c>
      <c r="AF189" s="34">
        <v>-236.08600000000001</v>
      </c>
      <c r="AG189" s="65">
        <f t="shared" si="72"/>
        <v>18208.842585413404</v>
      </c>
      <c r="AH189" s="65"/>
      <c r="AI189" s="66">
        <v>15144.009454521371</v>
      </c>
      <c r="AJ189" s="34">
        <v>-58.627725121231215</v>
      </c>
      <c r="AK189" s="181">
        <v>3051.5425268712929</v>
      </c>
      <c r="AL189" s="65">
        <v>0</v>
      </c>
      <c r="AM189" s="34">
        <v>-254.35599999999999</v>
      </c>
      <c r="AN189" s="65">
        <f t="shared" si="73"/>
        <v>17882.568256271432</v>
      </c>
      <c r="AO189" s="65"/>
      <c r="AP189" s="41">
        <v>15456.110167144036</v>
      </c>
      <c r="AQ189" s="41">
        <v>-17.990650227327226</v>
      </c>
      <c r="AR189" s="41">
        <v>3377.6637816468974</v>
      </c>
      <c r="AS189" s="65">
        <v>0</v>
      </c>
      <c r="AT189" s="34">
        <v>-235.989</v>
      </c>
      <c r="AU189" s="65">
        <f t="shared" si="74"/>
        <v>18579.794298563604</v>
      </c>
      <c r="AV189" s="65"/>
      <c r="AW189" s="41">
        <v>1660.5007351970007</v>
      </c>
      <c r="AX189" s="314"/>
      <c r="AY189" s="314"/>
      <c r="AZ189" s="41">
        <v>1033.5497310828343</v>
      </c>
      <c r="BA189" s="65">
        <v>0</v>
      </c>
      <c r="BB189" s="34">
        <v>-296.71199999999999</v>
      </c>
      <c r="BC189" s="65">
        <f t="shared" si="94"/>
        <v>2397.3384662798348</v>
      </c>
      <c r="BD189" s="65"/>
      <c r="BE189" s="41">
        <v>1028.1891877512323</v>
      </c>
      <c r="BF189" s="314"/>
      <c r="BG189" s="314"/>
      <c r="BH189" s="41">
        <v>1025.4659249549286</v>
      </c>
      <c r="BI189" s="65">
        <v>0</v>
      </c>
      <c r="BJ189" s="34">
        <v>-349.93200000000002</v>
      </c>
      <c r="BK189" s="65">
        <f t="shared" si="95"/>
        <v>1703.7231127061611</v>
      </c>
      <c r="BL189" s="65"/>
      <c r="BM189" s="41">
        <v>1827.8554485150657</v>
      </c>
      <c r="BN189" s="41">
        <v>747.44586858738558</v>
      </c>
      <c r="BO189" s="65">
        <v>0</v>
      </c>
      <c r="BP189" s="34">
        <v>-349.93200000000002</v>
      </c>
      <c r="BQ189" s="65">
        <f t="shared" si="75"/>
        <v>2225.3693171024515</v>
      </c>
      <c r="BR189" s="65"/>
      <c r="BS189" s="41">
        <v>1802.2543942496586</v>
      </c>
      <c r="BT189" s="314"/>
      <c r="BU189" s="314"/>
      <c r="BV189" s="41">
        <v>796.02012789160165</v>
      </c>
      <c r="BW189" s="65">
        <v>0</v>
      </c>
      <c r="BX189" s="34">
        <v>-349.93200000000002</v>
      </c>
      <c r="BY189" s="65">
        <f t="shared" si="96"/>
        <v>2248.3425221412599</v>
      </c>
      <c r="CA189" s="5">
        <v>1845.8073566652567</v>
      </c>
      <c r="CB189" s="407">
        <v>843.98521448108011</v>
      </c>
      <c r="CC189" s="415">
        <v>0</v>
      </c>
      <c r="CD189" s="34">
        <v>-349.93200000000002</v>
      </c>
      <c r="CE189" s="65">
        <f t="shared" si="76"/>
        <v>2339.860571146337</v>
      </c>
      <c r="CF189" s="407"/>
      <c r="CG189" s="5">
        <v>2553.2391955596395</v>
      </c>
      <c r="CH189" s="407">
        <v>886.13498161292205</v>
      </c>
      <c r="CI189" s="415">
        <v>0</v>
      </c>
      <c r="CJ189" s="34">
        <v>-349.93200000000002</v>
      </c>
      <c r="CK189" s="65">
        <f t="shared" si="77"/>
        <v>3089.442177172562</v>
      </c>
      <c r="CL189" s="407"/>
      <c r="CM189" s="41">
        <f>AU189/'1. Väestöennuste'!L189*1000</f>
        <v>4186.5241772337995</v>
      </c>
      <c r="CN189" s="41">
        <f>BC189/'1. Väestöennuste'!M189*1000</f>
        <v>549.09264000912378</v>
      </c>
      <c r="CO189" s="41">
        <f>BK189/'1. Väestöennuste'!N189*1000</f>
        <v>396.67592845312248</v>
      </c>
      <c r="CP189" s="41">
        <f>BQ189/'1. Väestöennuste'!O189*1000</f>
        <v>527.4636921314177</v>
      </c>
      <c r="CQ189" s="41">
        <f>BY189/'1. Väestöennuste'!P189*1000</f>
        <v>542.55369742791027</v>
      </c>
      <c r="CR189" s="41">
        <f>CE189/'1. Väestöennuste'!Q189*1000</f>
        <v>574.90431723497227</v>
      </c>
      <c r="CS189" s="41">
        <f>CK189/'1. Väestöennuste'!R189*1000</f>
        <v>771.97455701463309</v>
      </c>
      <c r="CT189" s="41"/>
      <c r="CV189" s="41">
        <f t="shared" si="78"/>
        <v>3439.3741771725618</v>
      </c>
      <c r="CW189" s="41">
        <f t="shared" si="79"/>
        <v>1097.0820000612375</v>
      </c>
      <c r="CX189" s="41">
        <f t="shared" si="80"/>
        <v>-3637.4315372246756</v>
      </c>
      <c r="CY189" s="41">
        <f t="shared" si="81"/>
        <v>-152.4167115560013</v>
      </c>
      <c r="CZ189" s="41">
        <f t="shared" si="82"/>
        <v>130.78776367829522</v>
      </c>
      <c r="DA189" s="41">
        <f t="shared" si="83"/>
        <v>15.090005296492564</v>
      </c>
      <c r="DB189" s="41">
        <f t="shared" si="84"/>
        <v>32.350619807062003</v>
      </c>
      <c r="DC189" s="41">
        <f t="shared" si="85"/>
        <v>197.07023977966082</v>
      </c>
      <c r="DD189" s="41"/>
      <c r="DE189" s="283">
        <f t="shared" si="86"/>
        <v>-9.8286929379781256</v>
      </c>
      <c r="DF189" s="283">
        <f t="shared" si="87"/>
        <v>0.35510682419221712</v>
      </c>
      <c r="DG189" s="283">
        <f t="shared" si="88"/>
        <v>-0.86884283554480013</v>
      </c>
      <c r="DH189" s="283">
        <f t="shared" si="89"/>
        <v>-0.27757922880457608</v>
      </c>
      <c r="DI189" s="283">
        <f t="shared" si="90"/>
        <v>0.32970935289246112</v>
      </c>
      <c r="DJ189" s="283">
        <f t="shared" si="91"/>
        <v>2.8608614245116393E-2</v>
      </c>
      <c r="DK189" s="283">
        <f t="shared" si="92"/>
        <v>5.9626576982936268E-2</v>
      </c>
      <c r="DL189" s="283">
        <f t="shared" si="93"/>
        <v>0.34278789334454618</v>
      </c>
    </row>
    <row r="190" spans="1:116" x14ac:dyDescent="0.2">
      <c r="A190" s="30">
        <v>581</v>
      </c>
      <c r="B190" s="31" t="s">
        <v>504</v>
      </c>
      <c r="C190" s="65"/>
      <c r="D190" s="65"/>
      <c r="E190" s="65"/>
      <c r="F190" s="65"/>
      <c r="G190" s="65"/>
      <c r="H190" s="65">
        <v>18264</v>
      </c>
      <c r="I190" s="65"/>
      <c r="J190" s="65"/>
      <c r="K190" s="65"/>
      <c r="L190" s="65"/>
      <c r="M190" s="65"/>
      <c r="N190" s="65">
        <v>18425</v>
      </c>
      <c r="O190" s="65"/>
      <c r="P190" s="65"/>
      <c r="Q190" s="65"/>
      <c r="R190" s="65"/>
      <c r="S190" s="65"/>
      <c r="T190" s="65">
        <v>18275</v>
      </c>
      <c r="U190" s="65"/>
      <c r="V190" s="65"/>
      <c r="W190" s="65"/>
      <c r="X190" s="65"/>
      <c r="Y190" s="65"/>
      <c r="Z190" s="65">
        <v>18475</v>
      </c>
      <c r="AA190" s="65"/>
      <c r="AB190" s="66">
        <v>18549.295063447575</v>
      </c>
      <c r="AC190" s="34">
        <v>112.44140906713419</v>
      </c>
      <c r="AD190" s="180">
        <v>3454.0775485585068</v>
      </c>
      <c r="AE190" s="65">
        <v>0</v>
      </c>
      <c r="AF190" s="34">
        <v>-543.08199999999999</v>
      </c>
      <c r="AG190" s="65">
        <f t="shared" si="72"/>
        <v>21572.732021073218</v>
      </c>
      <c r="AH190" s="65"/>
      <c r="AI190" s="66">
        <v>17314.20574189923</v>
      </c>
      <c r="AJ190" s="34">
        <v>-86.673113388151862</v>
      </c>
      <c r="AK190" s="181">
        <v>3683.1082432954063</v>
      </c>
      <c r="AL190" s="65">
        <v>750</v>
      </c>
      <c r="AM190" s="34">
        <v>-426.52499999999998</v>
      </c>
      <c r="AN190" s="65">
        <f t="shared" si="73"/>
        <v>21234.115871806483</v>
      </c>
      <c r="AO190" s="65"/>
      <c r="AP190" s="41">
        <v>18455.18837258565</v>
      </c>
      <c r="AQ190" s="41">
        <v>-26.604768010849774</v>
      </c>
      <c r="AR190" s="41">
        <v>4120.2162465880456</v>
      </c>
      <c r="AS190" s="65">
        <v>0</v>
      </c>
      <c r="AT190" s="34">
        <v>-355.74200000000002</v>
      </c>
      <c r="AU190" s="65">
        <f t="shared" si="74"/>
        <v>22193.057851162848</v>
      </c>
      <c r="AV190" s="65"/>
      <c r="AW190" s="41">
        <v>4558.2661275260571</v>
      </c>
      <c r="AX190" s="314"/>
      <c r="AY190" s="314"/>
      <c r="AZ190" s="41">
        <v>1238.2028315967709</v>
      </c>
      <c r="BA190" s="65">
        <v>0</v>
      </c>
      <c r="BB190" s="34">
        <v>-280.39400000000001</v>
      </c>
      <c r="BC190" s="65">
        <f t="shared" si="94"/>
        <v>5516.0749591228277</v>
      </c>
      <c r="BD190" s="65"/>
      <c r="BE190" s="41">
        <v>2352.6815917066606</v>
      </c>
      <c r="BF190" s="314"/>
      <c r="BG190" s="314"/>
      <c r="BH190" s="41">
        <v>1224.4774940081832</v>
      </c>
      <c r="BI190" s="65">
        <v>0</v>
      </c>
      <c r="BJ190" s="34">
        <v>-449.37200000000001</v>
      </c>
      <c r="BK190" s="65">
        <f t="shared" si="95"/>
        <v>3127.7870857148441</v>
      </c>
      <c r="BL190" s="65"/>
      <c r="BM190" s="41">
        <v>3461.9082281514466</v>
      </c>
      <c r="BN190" s="41">
        <v>788.61057889111532</v>
      </c>
      <c r="BO190" s="65">
        <v>0</v>
      </c>
      <c r="BP190" s="34">
        <v>-449.37200000000001</v>
      </c>
      <c r="BQ190" s="65">
        <f t="shared" si="75"/>
        <v>3801.1468070425622</v>
      </c>
      <c r="BR190" s="65"/>
      <c r="BS190" s="41">
        <v>3610.2465632849935</v>
      </c>
      <c r="BT190" s="314"/>
      <c r="BU190" s="314"/>
      <c r="BV190" s="41">
        <v>850.44677649042183</v>
      </c>
      <c r="BW190" s="65">
        <v>0</v>
      </c>
      <c r="BX190" s="34">
        <v>-449.37200000000001</v>
      </c>
      <c r="BY190" s="65">
        <f t="shared" si="96"/>
        <v>4011.3213397754157</v>
      </c>
      <c r="CA190" s="5">
        <v>3574.5226577006442</v>
      </c>
      <c r="CB190" s="407">
        <v>914.51497203603344</v>
      </c>
      <c r="CC190" s="415">
        <v>0</v>
      </c>
      <c r="CD190" s="34">
        <v>-449.37200000000001</v>
      </c>
      <c r="CE190" s="65">
        <f t="shared" si="76"/>
        <v>4039.6656297366776</v>
      </c>
      <c r="CF190" s="407"/>
      <c r="CG190" s="5">
        <v>4306.7823801058439</v>
      </c>
      <c r="CH190" s="407">
        <v>970.83414014670507</v>
      </c>
      <c r="CI190" s="415">
        <v>0</v>
      </c>
      <c r="CJ190" s="34">
        <v>-449.37200000000001</v>
      </c>
      <c r="CK190" s="65">
        <f t="shared" si="77"/>
        <v>4828.2445202525487</v>
      </c>
      <c r="CL190" s="407"/>
      <c r="CM190" s="41">
        <f>AU190/'1. Väestöennuste'!L190*1000</f>
        <v>3556.5797838402</v>
      </c>
      <c r="CN190" s="41">
        <f>BC190/'1. Väestöennuste'!M190*1000</f>
        <v>900.87783098527314</v>
      </c>
      <c r="CO190" s="41">
        <f>BK190/'1. Väestöennuste'!N190*1000</f>
        <v>517.33163839147278</v>
      </c>
      <c r="CP190" s="41">
        <f>BQ190/'1. Väestöennuste'!O190*1000</f>
        <v>635.53700167907743</v>
      </c>
      <c r="CQ190" s="41">
        <f>BY190/'1. Väestöennuste'!P190*1000</f>
        <v>677.81705640003645</v>
      </c>
      <c r="CR190" s="41">
        <f>CE190/'1. Väestöennuste'!Q190*1000</f>
        <v>689.95143121036335</v>
      </c>
      <c r="CS190" s="41">
        <f>CK190/'1. Väestöennuste'!R190*1000</f>
        <v>833.3180048761734</v>
      </c>
      <c r="CT190" s="41"/>
      <c r="CV190" s="41">
        <f t="shared" si="78"/>
        <v>5277.616520252549</v>
      </c>
      <c r="CW190" s="41">
        <f t="shared" si="79"/>
        <v>-1271.6647364123487</v>
      </c>
      <c r="CX190" s="41">
        <f t="shared" si="80"/>
        <v>-2655.7019528549267</v>
      </c>
      <c r="CY190" s="41">
        <f t="shared" si="81"/>
        <v>-383.54619259380036</v>
      </c>
      <c r="CZ190" s="41">
        <f t="shared" si="82"/>
        <v>118.20536328760465</v>
      </c>
      <c r="DA190" s="41">
        <f t="shared" si="83"/>
        <v>42.280054720959015</v>
      </c>
      <c r="DB190" s="41">
        <f t="shared" si="84"/>
        <v>12.134374810326904</v>
      </c>
      <c r="DC190" s="41">
        <f t="shared" si="85"/>
        <v>143.36657366581005</v>
      </c>
      <c r="DD190" s="41"/>
      <c r="DE190" s="283">
        <f t="shared" si="86"/>
        <v>-11.744426711616542</v>
      </c>
      <c r="DF190" s="283">
        <f t="shared" si="87"/>
        <v>-0.26338035099055679</v>
      </c>
      <c r="DG190" s="283">
        <f t="shared" si="88"/>
        <v>-0.74670107638846361</v>
      </c>
      <c r="DH190" s="283">
        <f t="shared" si="89"/>
        <v>-0.42574717614520841</v>
      </c>
      <c r="DI190" s="283">
        <f t="shared" si="90"/>
        <v>0.22849049722753831</v>
      </c>
      <c r="DJ190" s="283">
        <f t="shared" si="91"/>
        <v>6.6526503742906959E-2</v>
      </c>
      <c r="DK190" s="283">
        <f t="shared" si="92"/>
        <v>1.7902138483758361E-2</v>
      </c>
      <c r="DL190" s="283">
        <f t="shared" si="93"/>
        <v>0.2077922693983052</v>
      </c>
    </row>
    <row r="191" spans="1:116" x14ac:dyDescent="0.2">
      <c r="A191" s="30">
        <v>583</v>
      </c>
      <c r="B191" s="31" t="s">
        <v>505</v>
      </c>
      <c r="C191" s="65"/>
      <c r="D191" s="65"/>
      <c r="E191" s="65"/>
      <c r="F191" s="65"/>
      <c r="G191" s="65"/>
      <c r="H191" s="65">
        <v>4027</v>
      </c>
      <c r="I191" s="65"/>
      <c r="J191" s="65"/>
      <c r="K191" s="65"/>
      <c r="L191" s="65"/>
      <c r="M191" s="65"/>
      <c r="N191" s="65">
        <v>3995</v>
      </c>
      <c r="O191" s="65"/>
      <c r="P191" s="65"/>
      <c r="Q191" s="65"/>
      <c r="R191" s="65"/>
      <c r="S191" s="65"/>
      <c r="T191" s="65">
        <v>3961</v>
      </c>
      <c r="U191" s="65"/>
      <c r="V191" s="65"/>
      <c r="W191" s="65"/>
      <c r="X191" s="65"/>
      <c r="Y191" s="65"/>
      <c r="Z191" s="65">
        <v>4184</v>
      </c>
      <c r="AA191" s="65"/>
      <c r="AB191" s="66">
        <v>4462.4708539216772</v>
      </c>
      <c r="AC191" s="34">
        <v>25.99538689265281</v>
      </c>
      <c r="AD191" s="180">
        <v>538.92268677809238</v>
      </c>
      <c r="AE191" s="65">
        <v>0</v>
      </c>
      <c r="AF191" s="34">
        <v>-172.06800000000001</v>
      </c>
      <c r="AG191" s="65">
        <f t="shared" si="72"/>
        <v>4855.3209275924228</v>
      </c>
      <c r="AH191" s="65"/>
      <c r="AI191" s="66">
        <v>4309.1259706138035</v>
      </c>
      <c r="AJ191" s="34">
        <v>-20.237980812854119</v>
      </c>
      <c r="AK191" s="181">
        <v>575.19295926665541</v>
      </c>
      <c r="AL191" s="65">
        <v>0</v>
      </c>
      <c r="AM191" s="34">
        <v>-225.72399999999999</v>
      </c>
      <c r="AN191" s="65">
        <f t="shared" si="73"/>
        <v>4638.3569490676045</v>
      </c>
      <c r="AO191" s="65"/>
      <c r="AP191" s="41">
        <v>4691.5619957051013</v>
      </c>
      <c r="AQ191" s="41">
        <v>-6.1050825846005807</v>
      </c>
      <c r="AR191" s="41">
        <v>649.17932496746573</v>
      </c>
      <c r="AS191" s="65">
        <v>0</v>
      </c>
      <c r="AT191" s="34">
        <v>-156.68600000000001</v>
      </c>
      <c r="AU191" s="65">
        <f t="shared" si="74"/>
        <v>5177.9502380879667</v>
      </c>
      <c r="AV191" s="65"/>
      <c r="AW191" s="41">
        <v>198.19807631224657</v>
      </c>
      <c r="AX191" s="314"/>
      <c r="AY191" s="314"/>
      <c r="AZ191" s="41">
        <v>191.95912275273216</v>
      </c>
      <c r="BA191" s="65">
        <v>0</v>
      </c>
      <c r="BB191" s="34">
        <v>-196.03700000000001</v>
      </c>
      <c r="BC191" s="65">
        <f t="shared" si="94"/>
        <v>194.12019906497872</v>
      </c>
      <c r="BD191" s="65"/>
      <c r="BE191" s="41">
        <v>669.4229633729127</v>
      </c>
      <c r="BF191" s="314"/>
      <c r="BG191" s="314"/>
      <c r="BH191" s="41">
        <v>191.51808710063213</v>
      </c>
      <c r="BI191" s="65">
        <v>0</v>
      </c>
      <c r="BJ191" s="34">
        <v>-233.22399999999999</v>
      </c>
      <c r="BK191" s="65">
        <f t="shared" si="95"/>
        <v>627.71705047354476</v>
      </c>
      <c r="BL191" s="65"/>
      <c r="BM191" s="41">
        <v>631.66015251024157</v>
      </c>
      <c r="BN191" s="41">
        <v>128.26386471666282</v>
      </c>
      <c r="BO191" s="65">
        <v>0</v>
      </c>
      <c r="BP191" s="34">
        <v>-233.22399999999999</v>
      </c>
      <c r="BQ191" s="65">
        <f t="shared" si="75"/>
        <v>526.70001722690449</v>
      </c>
      <c r="BR191" s="65"/>
      <c r="BS191" s="41">
        <v>694.40605449362135</v>
      </c>
      <c r="BT191" s="314"/>
      <c r="BU191" s="314"/>
      <c r="BV191" s="41">
        <v>137.96349006872464</v>
      </c>
      <c r="BW191" s="65">
        <v>0</v>
      </c>
      <c r="BX191" s="34">
        <v>-233.22399999999999</v>
      </c>
      <c r="BY191" s="65">
        <f t="shared" si="96"/>
        <v>599.145544562346</v>
      </c>
      <c r="CA191" s="5">
        <v>727.64080414712032</v>
      </c>
      <c r="CB191" s="407">
        <v>147.64637142811375</v>
      </c>
      <c r="CC191" s="415">
        <v>0</v>
      </c>
      <c r="CD191" s="34">
        <v>-233.22399999999999</v>
      </c>
      <c r="CE191" s="65">
        <f t="shared" si="76"/>
        <v>642.06317557523403</v>
      </c>
      <c r="CF191" s="407"/>
      <c r="CG191" s="5">
        <v>870.68663230093853</v>
      </c>
      <c r="CH191" s="407">
        <v>156.10651721152456</v>
      </c>
      <c r="CI191" s="415">
        <v>0</v>
      </c>
      <c r="CJ191" s="34">
        <v>-233.22399999999999</v>
      </c>
      <c r="CK191" s="65">
        <f t="shared" si="77"/>
        <v>793.56914951246313</v>
      </c>
      <c r="CL191" s="407"/>
      <c r="CM191" s="41">
        <f>AU191/'1. Väestöennuste'!L191*1000</f>
        <v>5467.7404837254135</v>
      </c>
      <c r="CN191" s="41">
        <f>BC191/'1. Väestöennuste'!M191*1000</f>
        <v>212.85109546598542</v>
      </c>
      <c r="CO191" s="41">
        <f>BK191/'1. Väestöennuste'!N191*1000</f>
        <v>685.28062278771267</v>
      </c>
      <c r="CP191" s="41">
        <f>BQ191/'1. Väestöennuste'!O191*1000</f>
        <v>577.52194871371114</v>
      </c>
      <c r="CQ191" s="41">
        <f>BY191/'1. Väestöennuste'!P191*1000</f>
        <v>658.40169732125935</v>
      </c>
      <c r="CR191" s="41">
        <f>CE191/'1. Väestöennuste'!Q191*1000</f>
        <v>707.89765774557225</v>
      </c>
      <c r="CS191" s="41">
        <f>CK191/'1. Väestöennuste'!R191*1000</f>
        <v>880.76487182293351</v>
      </c>
      <c r="CT191" s="41"/>
      <c r="CV191" s="41">
        <f t="shared" si="78"/>
        <v>1026.7931495124631</v>
      </c>
      <c r="CW191" s="41">
        <f t="shared" si="79"/>
        <v>4674.1713342129506</v>
      </c>
      <c r="CX191" s="41">
        <f t="shared" si="80"/>
        <v>-5254.8893882594284</v>
      </c>
      <c r="CY191" s="41">
        <f t="shared" si="81"/>
        <v>472.42952732172728</v>
      </c>
      <c r="CZ191" s="41">
        <f t="shared" si="82"/>
        <v>-107.75867407400153</v>
      </c>
      <c r="DA191" s="41">
        <f t="shared" si="83"/>
        <v>80.879748607548208</v>
      </c>
      <c r="DB191" s="41">
        <f t="shared" si="84"/>
        <v>49.495960424312898</v>
      </c>
      <c r="DC191" s="41">
        <f t="shared" si="85"/>
        <v>172.86721407736127</v>
      </c>
      <c r="DD191" s="41"/>
      <c r="DE191" s="283">
        <f t="shared" si="86"/>
        <v>-4.402605004255407</v>
      </c>
      <c r="DF191" s="283">
        <f t="shared" si="87"/>
        <v>5.890061801274121</v>
      </c>
      <c r="DG191" s="283">
        <f t="shared" si="88"/>
        <v>-0.96107147072917398</v>
      </c>
      <c r="DH191" s="283">
        <f t="shared" si="89"/>
        <v>2.2195306361353619</v>
      </c>
      <c r="DI191" s="283">
        <f t="shared" si="90"/>
        <v>-0.15724751363264972</v>
      </c>
      <c r="DJ191" s="283">
        <f t="shared" si="91"/>
        <v>0.14004619008452937</v>
      </c>
      <c r="DK191" s="283">
        <f t="shared" si="92"/>
        <v>7.5175930781602965E-2</v>
      </c>
      <c r="DL191" s="283">
        <f t="shared" si="93"/>
        <v>0.24419803086775013</v>
      </c>
    </row>
    <row r="192" spans="1:116" x14ac:dyDescent="0.2">
      <c r="A192" s="30">
        <v>584</v>
      </c>
      <c r="B192" s="31" t="s">
        <v>506</v>
      </c>
      <c r="C192" s="65"/>
      <c r="D192" s="65"/>
      <c r="E192" s="65"/>
      <c r="F192" s="65"/>
      <c r="G192" s="65"/>
      <c r="H192" s="65">
        <v>11720</v>
      </c>
      <c r="I192" s="65"/>
      <c r="J192" s="65"/>
      <c r="K192" s="65"/>
      <c r="L192" s="65"/>
      <c r="M192" s="65"/>
      <c r="N192" s="65">
        <v>11547</v>
      </c>
      <c r="O192" s="65"/>
      <c r="P192" s="65"/>
      <c r="Q192" s="65"/>
      <c r="R192" s="65"/>
      <c r="S192" s="65"/>
      <c r="T192" s="65">
        <v>11391</v>
      </c>
      <c r="U192" s="65"/>
      <c r="V192" s="65"/>
      <c r="W192" s="65"/>
      <c r="X192" s="65"/>
      <c r="Y192" s="65"/>
      <c r="Z192" s="65">
        <v>12376</v>
      </c>
      <c r="AA192" s="65"/>
      <c r="AB192" s="66">
        <v>11340.638271770138</v>
      </c>
      <c r="AC192" s="34">
        <v>38.840254558668697</v>
      </c>
      <c r="AD192" s="180">
        <v>1510.4206469556236</v>
      </c>
      <c r="AE192" s="65">
        <v>0</v>
      </c>
      <c r="AF192" s="34">
        <v>233.05199999999999</v>
      </c>
      <c r="AG192" s="65">
        <f t="shared" si="72"/>
        <v>13122.951173284429</v>
      </c>
      <c r="AH192" s="65"/>
      <c r="AI192" s="66">
        <v>11199.012042764174</v>
      </c>
      <c r="AJ192" s="34">
        <v>-29.983944574927001</v>
      </c>
      <c r="AK192" s="181">
        <v>1605.6937776040925</v>
      </c>
      <c r="AL192" s="65">
        <v>0</v>
      </c>
      <c r="AM192" s="34">
        <v>-72.504000000000005</v>
      </c>
      <c r="AN192" s="65">
        <f t="shared" si="73"/>
        <v>12702.217875793338</v>
      </c>
      <c r="AO192" s="65"/>
      <c r="AP192" s="41">
        <v>11667.26584597639</v>
      </c>
      <c r="AQ192" s="41">
        <v>-9.2044174942783314</v>
      </c>
      <c r="AR192" s="41">
        <v>1773.2371918064989</v>
      </c>
      <c r="AS192" s="65">
        <v>0</v>
      </c>
      <c r="AT192" s="34">
        <v>300.08699999999999</v>
      </c>
      <c r="AU192" s="65">
        <f t="shared" si="74"/>
        <v>13731.385620288609</v>
      </c>
      <c r="AV192" s="65"/>
      <c r="AW192" s="41">
        <v>4898.8924415606571</v>
      </c>
      <c r="AX192" s="314"/>
      <c r="AY192" s="314"/>
      <c r="AZ192" s="41">
        <v>544.26487358014288</v>
      </c>
      <c r="BA192" s="65">
        <v>0</v>
      </c>
      <c r="BB192" s="34">
        <v>249.79</v>
      </c>
      <c r="BC192" s="65">
        <f t="shared" si="94"/>
        <v>5692.9473151408001</v>
      </c>
      <c r="BD192" s="65"/>
      <c r="BE192" s="41">
        <v>4634.6730491243579</v>
      </c>
      <c r="BF192" s="314"/>
      <c r="BG192" s="314"/>
      <c r="BH192" s="41">
        <v>547.64660296014381</v>
      </c>
      <c r="BI192" s="65">
        <v>0</v>
      </c>
      <c r="BJ192" s="34">
        <v>217.38200000000001</v>
      </c>
      <c r="BK192" s="65">
        <f t="shared" si="95"/>
        <v>5399.7016520845009</v>
      </c>
      <c r="BL192" s="65"/>
      <c r="BM192" s="41">
        <v>4880.4476167895573</v>
      </c>
      <c r="BN192" s="41">
        <v>379.96152456910465</v>
      </c>
      <c r="BO192" s="65">
        <v>0</v>
      </c>
      <c r="BP192" s="34">
        <v>217.38200000000001</v>
      </c>
      <c r="BQ192" s="65">
        <f t="shared" si="75"/>
        <v>5477.7911413586617</v>
      </c>
      <c r="BR192" s="65"/>
      <c r="BS192" s="41">
        <v>4888.0638573509559</v>
      </c>
      <c r="BT192" s="314"/>
      <c r="BU192" s="314"/>
      <c r="BV192" s="41">
        <v>404.53941933970049</v>
      </c>
      <c r="BW192" s="65">
        <v>0</v>
      </c>
      <c r="BX192" s="34">
        <v>217.38200000000001</v>
      </c>
      <c r="BY192" s="65">
        <f t="shared" si="96"/>
        <v>5509.9852766906561</v>
      </c>
      <c r="CA192" s="5">
        <v>4853.4892875463065</v>
      </c>
      <c r="CB192" s="407">
        <v>429.28256013878121</v>
      </c>
      <c r="CC192" s="415">
        <v>0</v>
      </c>
      <c r="CD192" s="34">
        <v>217.38200000000001</v>
      </c>
      <c r="CE192" s="65">
        <f t="shared" si="76"/>
        <v>5500.1538476850874</v>
      </c>
      <c r="CF192" s="407"/>
      <c r="CG192" s="5">
        <v>5269.278016299324</v>
      </c>
      <c r="CH192" s="407">
        <v>450.74207540567494</v>
      </c>
      <c r="CI192" s="415">
        <v>0</v>
      </c>
      <c r="CJ192" s="34">
        <v>217.38200000000001</v>
      </c>
      <c r="CK192" s="65">
        <f t="shared" si="77"/>
        <v>5937.4020917049984</v>
      </c>
      <c r="CL192" s="407"/>
      <c r="CM192" s="41">
        <f>AU192/'1. Väestöennuste'!L192*1000</f>
        <v>5175.7955598524732</v>
      </c>
      <c r="CN192" s="41">
        <f>BC192/'1. Väestöennuste'!M192*1000</f>
        <v>2208.2805722035687</v>
      </c>
      <c r="CO192" s="41">
        <f>BK192/'1. Väestöennuste'!N192*1000</f>
        <v>2158.1541375237812</v>
      </c>
      <c r="CP192" s="41">
        <f>BQ192/'1. Väestöennuste'!O192*1000</f>
        <v>2236.7460765041492</v>
      </c>
      <c r="CQ192" s="41">
        <f>BY192/'1. Väestöennuste'!P192*1000</f>
        <v>2297.7419836074464</v>
      </c>
      <c r="CR192" s="41">
        <f>CE192/'1. Väestöennuste'!Q192*1000</f>
        <v>2341.4873766220039</v>
      </c>
      <c r="CS192" s="41">
        <f>CK192/'1. Väestöennuste'!R192*1000</f>
        <v>2579.2363560838394</v>
      </c>
      <c r="CT192" s="41"/>
      <c r="CV192" s="41">
        <f t="shared" si="78"/>
        <v>5720.0200917049988</v>
      </c>
      <c r="CW192" s="41">
        <f t="shared" si="79"/>
        <v>-761.60653185252522</v>
      </c>
      <c r="CX192" s="41">
        <f t="shared" si="80"/>
        <v>-2967.5149876489045</v>
      </c>
      <c r="CY192" s="41">
        <f t="shared" si="81"/>
        <v>-50.126434679787508</v>
      </c>
      <c r="CZ192" s="41">
        <f t="shared" si="82"/>
        <v>78.591938980368013</v>
      </c>
      <c r="DA192" s="41">
        <f t="shared" si="83"/>
        <v>60.995907103297213</v>
      </c>
      <c r="DB192" s="41">
        <f t="shared" si="84"/>
        <v>43.745393014557521</v>
      </c>
      <c r="DC192" s="41">
        <f t="shared" si="85"/>
        <v>237.74897946183546</v>
      </c>
      <c r="DD192" s="41"/>
      <c r="DE192" s="283">
        <f t="shared" si="86"/>
        <v>26.313218627600254</v>
      </c>
      <c r="DF192" s="283">
        <f t="shared" si="87"/>
        <v>-0.12827268897899763</v>
      </c>
      <c r="DG192" s="283">
        <f t="shared" si="88"/>
        <v>-0.57334470678619465</v>
      </c>
      <c r="DH192" s="283">
        <f t="shared" si="89"/>
        <v>-2.2699305201860302E-2</v>
      </c>
      <c r="DI192" s="283">
        <f t="shared" si="90"/>
        <v>3.6416277046153286E-2</v>
      </c>
      <c r="DJ192" s="283">
        <f t="shared" si="91"/>
        <v>2.7269929181513896E-2</v>
      </c>
      <c r="DK192" s="283">
        <f t="shared" si="92"/>
        <v>1.9038426997742112E-2</v>
      </c>
      <c r="DL192" s="283">
        <f t="shared" si="93"/>
        <v>0.10153758753328367</v>
      </c>
    </row>
    <row r="193" spans="1:116" x14ac:dyDescent="0.2">
      <c r="A193" s="30">
        <v>588</v>
      </c>
      <c r="B193" s="31" t="s">
        <v>507</v>
      </c>
      <c r="C193" s="65"/>
      <c r="D193" s="65"/>
      <c r="E193" s="65"/>
      <c r="F193" s="65"/>
      <c r="G193" s="65"/>
      <c r="H193" s="65">
        <v>6301</v>
      </c>
      <c r="I193" s="65"/>
      <c r="J193" s="65"/>
      <c r="K193" s="65"/>
      <c r="L193" s="65"/>
      <c r="M193" s="65"/>
      <c r="N193" s="65">
        <v>6163</v>
      </c>
      <c r="O193" s="65"/>
      <c r="P193" s="65"/>
      <c r="Q193" s="65"/>
      <c r="R193" s="65"/>
      <c r="S193" s="65"/>
      <c r="T193" s="65">
        <v>5822</v>
      </c>
      <c r="U193" s="65"/>
      <c r="V193" s="65"/>
      <c r="W193" s="65"/>
      <c r="X193" s="65"/>
      <c r="Y193" s="65"/>
      <c r="Z193" s="65">
        <v>5956</v>
      </c>
      <c r="AA193" s="65"/>
      <c r="AB193" s="66">
        <v>5385.3323651505061</v>
      </c>
      <c r="AC193" s="34">
        <v>27.956100101250719</v>
      </c>
      <c r="AD193" s="180">
        <v>1101.7519513417569</v>
      </c>
      <c r="AE193" s="65">
        <v>235</v>
      </c>
      <c r="AF193" s="34">
        <v>-407.62200000000001</v>
      </c>
      <c r="AG193" s="65">
        <f t="shared" si="72"/>
        <v>6342.4184165935139</v>
      </c>
      <c r="AH193" s="65"/>
      <c r="AI193" s="66">
        <v>5163.8885187026744</v>
      </c>
      <c r="AJ193" s="34">
        <v>-21.270197147619299</v>
      </c>
      <c r="AK193" s="181">
        <v>1165.8958264689609</v>
      </c>
      <c r="AL193" s="65">
        <v>305</v>
      </c>
      <c r="AM193" s="34">
        <v>-378.52</v>
      </c>
      <c r="AN193" s="65">
        <f t="shared" si="73"/>
        <v>6234.9941480240159</v>
      </c>
      <c r="AO193" s="65"/>
      <c r="AP193" s="41">
        <v>5360.9337604185384</v>
      </c>
      <c r="AQ193" s="41">
        <v>-6.4380017076869045</v>
      </c>
      <c r="AR193" s="41">
        <v>1292.895097931319</v>
      </c>
      <c r="AS193" s="65">
        <v>0</v>
      </c>
      <c r="AT193" s="34">
        <v>-353.048</v>
      </c>
      <c r="AU193" s="65">
        <f t="shared" si="74"/>
        <v>6294.3428566421708</v>
      </c>
      <c r="AV193" s="65"/>
      <c r="AW193" s="41">
        <v>-379.09050386852863</v>
      </c>
      <c r="AX193" s="314"/>
      <c r="AY193" s="314"/>
      <c r="AZ193" s="41">
        <v>384.23418517887973</v>
      </c>
      <c r="BA193" s="65">
        <v>200</v>
      </c>
      <c r="BB193" s="34">
        <v>-346.71899999999999</v>
      </c>
      <c r="BC193" s="65">
        <f t="shared" si="94"/>
        <v>-141.5753186896489</v>
      </c>
      <c r="BD193" s="65"/>
      <c r="BE193" s="41">
        <v>-545.45575922747241</v>
      </c>
      <c r="BF193" s="314"/>
      <c r="BG193" s="314"/>
      <c r="BH193" s="41">
        <v>380.13847448730201</v>
      </c>
      <c r="BI193" s="65">
        <v>0</v>
      </c>
      <c r="BJ193" s="34">
        <v>-384.43900000000002</v>
      </c>
      <c r="BK193" s="65">
        <f t="shared" si="95"/>
        <v>-549.75628474017049</v>
      </c>
      <c r="BL193" s="65"/>
      <c r="BM193" s="41">
        <v>0</v>
      </c>
      <c r="BN193" s="41">
        <v>0</v>
      </c>
      <c r="BO193" s="65">
        <v>0</v>
      </c>
      <c r="BP193" s="34">
        <v>0</v>
      </c>
      <c r="BQ193" s="65">
        <f t="shared" si="75"/>
        <v>0</v>
      </c>
      <c r="BR193" s="65"/>
      <c r="BS193" s="41">
        <v>0</v>
      </c>
      <c r="BT193" s="314"/>
      <c r="BU193" s="314"/>
      <c r="BV193" s="41">
        <v>0</v>
      </c>
      <c r="BW193" s="65">
        <v>0</v>
      </c>
      <c r="BX193" s="34">
        <v>0</v>
      </c>
      <c r="BY193" s="65">
        <v>0</v>
      </c>
      <c r="CA193" s="5">
        <v>0</v>
      </c>
      <c r="CB193" s="407">
        <v>0</v>
      </c>
      <c r="CC193" s="415">
        <v>0</v>
      </c>
      <c r="CD193" s="34">
        <v>0</v>
      </c>
      <c r="CE193" s="65">
        <f t="shared" si="76"/>
        <v>0</v>
      </c>
      <c r="CF193" s="407"/>
      <c r="CG193" s="5">
        <v>0</v>
      </c>
      <c r="CH193" s="407">
        <v>0</v>
      </c>
      <c r="CI193" s="415">
        <v>0</v>
      </c>
      <c r="CJ193" s="34">
        <v>0</v>
      </c>
      <c r="CK193" s="65">
        <v>0</v>
      </c>
      <c r="CL193" s="407"/>
      <c r="CM193" s="41">
        <f>AU193/'1. Väestöennuste'!L193*1000</f>
        <v>3933.9642854013568</v>
      </c>
      <c r="CN193" s="41">
        <f>BC193/'1. Väestöennuste'!M193*1000</f>
        <v>-89.775091115820473</v>
      </c>
      <c r="CO193" s="41">
        <f>BK193/'1. Väestöennuste'!N193*1000</f>
        <v>-356.05976990943685</v>
      </c>
      <c r="CP193" s="41" t="e">
        <f>BQ193/'1. Väestöennuste'!O193*1000</f>
        <v>#DIV/0!</v>
      </c>
      <c r="CQ193" s="41" t="e">
        <f>BY193/'1. Väestöennuste'!P193*1000</f>
        <v>#DIV/0!</v>
      </c>
      <c r="CR193" s="41" t="e">
        <f>CE193/'1. Väestöennuste'!Q193*1000</f>
        <v>#DIV/0!</v>
      </c>
      <c r="CS193" s="41" t="e">
        <f>CK193/'1. Väestöennuste'!R193*1000</f>
        <v>#DIV/0!</v>
      </c>
      <c r="CT193" s="41"/>
      <c r="CV193" s="41">
        <f t="shared" si="78"/>
        <v>0</v>
      </c>
      <c r="CW193" s="41">
        <f t="shared" si="79"/>
        <v>3933.9642854013568</v>
      </c>
      <c r="CX193" s="41">
        <f t="shared" si="80"/>
        <v>-4023.7393765171773</v>
      </c>
      <c r="CY193" s="41">
        <f t="shared" si="81"/>
        <v>-266.28467879361637</v>
      </c>
      <c r="CZ193" s="41" t="e">
        <f t="shared" si="82"/>
        <v>#DIV/0!</v>
      </c>
      <c r="DA193" s="41" t="e">
        <f t="shared" si="83"/>
        <v>#DIV/0!</v>
      </c>
      <c r="DB193" s="41" t="e">
        <f t="shared" si="84"/>
        <v>#DIV/0!</v>
      </c>
      <c r="DC193" s="41" t="e">
        <f t="shared" si="85"/>
        <v>#DIV/0!</v>
      </c>
      <c r="DD193" s="41"/>
      <c r="DE193" s="283" t="e">
        <f t="shared" si="86"/>
        <v>#DIV/0!</v>
      </c>
      <c r="DF193" s="283" t="e">
        <f t="shared" si="87"/>
        <v>#DIV/0!</v>
      </c>
      <c r="DG193" s="283">
        <f t="shared" si="88"/>
        <v>-1.0228205150333898</v>
      </c>
      <c r="DH193" s="283">
        <f t="shared" si="89"/>
        <v>2.9661309778018232</v>
      </c>
      <c r="DI193" s="283" t="e">
        <f t="shared" si="90"/>
        <v>#DIV/0!</v>
      </c>
      <c r="DJ193" s="283" t="e">
        <f t="shared" si="91"/>
        <v>#DIV/0!</v>
      </c>
      <c r="DK193" s="283" t="e">
        <f t="shared" si="92"/>
        <v>#DIV/0!</v>
      </c>
      <c r="DL193" s="283" t="e">
        <f t="shared" si="93"/>
        <v>#DIV/0!</v>
      </c>
    </row>
    <row r="194" spans="1:116" x14ac:dyDescent="0.2">
      <c r="A194" s="30">
        <v>592</v>
      </c>
      <c r="B194" s="31" t="s">
        <v>508</v>
      </c>
      <c r="C194" s="65"/>
      <c r="D194" s="65"/>
      <c r="E194" s="65"/>
      <c r="F194" s="65"/>
      <c r="G194" s="65"/>
      <c r="H194" s="65">
        <v>10969</v>
      </c>
      <c r="I194" s="65"/>
      <c r="J194" s="65"/>
      <c r="K194" s="65"/>
      <c r="L194" s="65"/>
      <c r="M194" s="65"/>
      <c r="N194" s="65">
        <v>10808</v>
      </c>
      <c r="O194" s="65"/>
      <c r="P194" s="65"/>
      <c r="Q194" s="65"/>
      <c r="R194" s="65"/>
      <c r="S194" s="65"/>
      <c r="T194" s="65">
        <v>10356</v>
      </c>
      <c r="U194" s="65"/>
      <c r="V194" s="65"/>
      <c r="W194" s="65"/>
      <c r="X194" s="65"/>
      <c r="Y194" s="65"/>
      <c r="Z194" s="65">
        <v>10006</v>
      </c>
      <c r="AA194" s="65"/>
      <c r="AB194" s="66">
        <v>9908.4390024803579</v>
      </c>
      <c r="AC194" s="34">
        <v>65.740477154675844</v>
      </c>
      <c r="AD194" s="180">
        <v>1880.5239990064247</v>
      </c>
      <c r="AE194" s="65">
        <v>530</v>
      </c>
      <c r="AF194" s="34">
        <v>-125.377</v>
      </c>
      <c r="AG194" s="65">
        <f t="shared" si="72"/>
        <v>12259.326478641458</v>
      </c>
      <c r="AH194" s="65"/>
      <c r="AI194" s="66">
        <v>8933.3307076108922</v>
      </c>
      <c r="AJ194" s="34">
        <v>-50.621089207086136</v>
      </c>
      <c r="AK194" s="181">
        <v>2017.2210765458599</v>
      </c>
      <c r="AL194" s="65">
        <v>0</v>
      </c>
      <c r="AM194" s="34">
        <v>-63.548000000000002</v>
      </c>
      <c r="AN194" s="65">
        <f t="shared" si="73"/>
        <v>10836.382694949665</v>
      </c>
      <c r="AO194" s="65"/>
      <c r="AP194" s="41">
        <v>8864.3012029203692</v>
      </c>
      <c r="AQ194" s="41">
        <v>-15.545776871637999</v>
      </c>
      <c r="AR194" s="41">
        <v>2336.1907678721709</v>
      </c>
      <c r="AS194" s="65">
        <v>0</v>
      </c>
      <c r="AT194" s="34">
        <v>-80.317999999999998</v>
      </c>
      <c r="AU194" s="65">
        <f t="shared" si="74"/>
        <v>11104.628193920902</v>
      </c>
      <c r="AV194" s="65"/>
      <c r="AW194" s="41">
        <v>3715.3535211253716</v>
      </c>
      <c r="AX194" s="314"/>
      <c r="AY194" s="314"/>
      <c r="AZ194" s="41">
        <v>694.86469179638948</v>
      </c>
      <c r="BA194" s="65">
        <v>295</v>
      </c>
      <c r="BB194" s="34">
        <v>-37.445</v>
      </c>
      <c r="BC194" s="65">
        <f t="shared" si="94"/>
        <v>4667.7732129217611</v>
      </c>
      <c r="BD194" s="65"/>
      <c r="BE194" s="41">
        <v>2561.8385142523257</v>
      </c>
      <c r="BF194" s="314"/>
      <c r="BG194" s="314"/>
      <c r="BH194" s="41">
        <v>673.75539020160386</v>
      </c>
      <c r="BI194" s="65">
        <v>0</v>
      </c>
      <c r="BJ194" s="34">
        <v>-56.033999999999999</v>
      </c>
      <c r="BK194" s="65">
        <f t="shared" si="95"/>
        <v>3179.5599044539294</v>
      </c>
      <c r="BL194" s="65"/>
      <c r="BM194" s="41">
        <v>3271.6753395823366</v>
      </c>
      <c r="BN194" s="41">
        <v>388.00275137634219</v>
      </c>
      <c r="BO194" s="65">
        <v>0</v>
      </c>
      <c r="BP194" s="34">
        <v>-56.033999999999999</v>
      </c>
      <c r="BQ194" s="65">
        <f t="shared" si="75"/>
        <v>3603.6440909586786</v>
      </c>
      <c r="BR194" s="65"/>
      <c r="BS194" s="41">
        <v>3531.0456157137323</v>
      </c>
      <c r="BT194" s="314"/>
      <c r="BU194" s="314"/>
      <c r="BV194" s="41">
        <v>419.98614509764582</v>
      </c>
      <c r="BW194" s="65">
        <v>0</v>
      </c>
      <c r="BX194" s="34">
        <v>-56.033999999999999</v>
      </c>
      <c r="BY194" s="65">
        <f t="shared" si="96"/>
        <v>3894.9977608113782</v>
      </c>
      <c r="CA194" s="5">
        <v>3345.6026550449897</v>
      </c>
      <c r="CB194" s="407">
        <v>455.76817751864985</v>
      </c>
      <c r="CC194" s="415">
        <v>0</v>
      </c>
      <c r="CD194" s="34">
        <v>-56.033999999999999</v>
      </c>
      <c r="CE194" s="65">
        <f t="shared" si="76"/>
        <v>3745.3368325636393</v>
      </c>
      <c r="CF194" s="407"/>
      <c r="CG194" s="5">
        <v>3654.697501876477</v>
      </c>
      <c r="CH194" s="407">
        <v>486.94728742976662</v>
      </c>
      <c r="CI194" s="415">
        <v>0</v>
      </c>
      <c r="CJ194" s="34">
        <v>-56.033999999999999</v>
      </c>
      <c r="CK194" s="65">
        <f>CG194+CH194+CI194+CJ194</f>
        <v>4085.6107893062431</v>
      </c>
      <c r="CL194" s="407"/>
      <c r="CM194" s="41">
        <f>AU194/'1. Väestöennuste'!L194*1000</f>
        <v>3041.5305926926603</v>
      </c>
      <c r="CN194" s="41">
        <f>BC194/'1. Väestöennuste'!M194*1000</f>
        <v>1298.0459435266298</v>
      </c>
      <c r="CO194" s="41">
        <f>BK194/'1. Väestöennuste'!N194*1000</f>
        <v>879.54630828601091</v>
      </c>
      <c r="CP194" s="41">
        <f>BQ194/'1. Väestöennuste'!O194*1000</f>
        <v>1006.8857476833413</v>
      </c>
      <c r="CQ194" s="41">
        <f>BY194/'1. Väestöennuste'!P194*1000</f>
        <v>1098.4201243122893</v>
      </c>
      <c r="CR194" s="41">
        <f>CE194/'1. Väestöennuste'!Q194*1000</f>
        <v>1067.6558815745836</v>
      </c>
      <c r="CS194" s="41">
        <f>CK194/'1. Väestöennuste'!R194*1000</f>
        <v>1176.0537677910888</v>
      </c>
      <c r="CT194" s="41"/>
      <c r="CV194" s="41">
        <f t="shared" si="78"/>
        <v>4141.6447893062432</v>
      </c>
      <c r="CW194" s="41">
        <f t="shared" si="79"/>
        <v>-1044.0801966135828</v>
      </c>
      <c r="CX194" s="41">
        <f t="shared" si="80"/>
        <v>-1743.4846491660305</v>
      </c>
      <c r="CY194" s="41">
        <f t="shared" si="81"/>
        <v>-418.49963524061889</v>
      </c>
      <c r="CZ194" s="41">
        <f t="shared" si="82"/>
        <v>127.33943939733035</v>
      </c>
      <c r="DA194" s="41">
        <f t="shared" si="83"/>
        <v>91.534376628948053</v>
      </c>
      <c r="DB194" s="41">
        <f t="shared" si="84"/>
        <v>-30.764242737705672</v>
      </c>
      <c r="DC194" s="41">
        <f t="shared" si="85"/>
        <v>108.39788621650519</v>
      </c>
      <c r="DD194" s="41"/>
      <c r="DE194" s="283">
        <f t="shared" si="86"/>
        <v>-73.913066875579887</v>
      </c>
      <c r="DF194" s="283">
        <f t="shared" si="87"/>
        <v>-0.25555057749171273</v>
      </c>
      <c r="DG194" s="283">
        <f t="shared" si="88"/>
        <v>-0.5732260768163201</v>
      </c>
      <c r="DH194" s="283">
        <f t="shared" si="89"/>
        <v>-0.32240741348769775</v>
      </c>
      <c r="DI194" s="283">
        <f t="shared" si="90"/>
        <v>0.1447785502567559</v>
      </c>
      <c r="DJ194" s="283">
        <f t="shared" si="91"/>
        <v>9.0908404294679709E-2</v>
      </c>
      <c r="DK194" s="283">
        <f t="shared" si="92"/>
        <v>-2.8007719502559987E-2</v>
      </c>
      <c r="DL194" s="283">
        <f t="shared" si="93"/>
        <v>0.1015288615809801</v>
      </c>
    </row>
    <row r="195" spans="1:116" x14ac:dyDescent="0.2">
      <c r="A195" s="30">
        <v>593</v>
      </c>
      <c r="B195" s="31" t="s">
        <v>509</v>
      </c>
      <c r="C195" s="65"/>
      <c r="D195" s="65"/>
      <c r="E195" s="65"/>
      <c r="F195" s="65"/>
      <c r="G195" s="65"/>
      <c r="H195" s="65">
        <v>49675</v>
      </c>
      <c r="I195" s="65"/>
      <c r="J195" s="65"/>
      <c r="K195" s="65"/>
      <c r="L195" s="65"/>
      <c r="M195" s="65"/>
      <c r="N195" s="65">
        <v>49505</v>
      </c>
      <c r="O195" s="65"/>
      <c r="P195" s="65"/>
      <c r="Q195" s="65"/>
      <c r="R195" s="65"/>
      <c r="S195" s="65"/>
      <c r="T195" s="65">
        <v>48548</v>
      </c>
      <c r="U195" s="65"/>
      <c r="V195" s="65"/>
      <c r="W195" s="65"/>
      <c r="X195" s="65"/>
      <c r="Y195" s="65"/>
      <c r="Z195" s="65">
        <v>47399</v>
      </c>
      <c r="AA195" s="65"/>
      <c r="AB195" s="66">
        <v>46553.164026151971</v>
      </c>
      <c r="AC195" s="34">
        <v>329.26211087709163</v>
      </c>
      <c r="AD195" s="180">
        <v>9306.8919389884595</v>
      </c>
      <c r="AE195" s="65">
        <v>0</v>
      </c>
      <c r="AF195" s="34">
        <v>-2096.7510000000002</v>
      </c>
      <c r="AG195" s="65">
        <f t="shared" si="72"/>
        <v>54092.567076017527</v>
      </c>
      <c r="AH195" s="65"/>
      <c r="AI195" s="66">
        <v>44597.413129292101</v>
      </c>
      <c r="AJ195" s="34">
        <v>-254.65845985599555</v>
      </c>
      <c r="AK195" s="181">
        <v>9937.6970512481093</v>
      </c>
      <c r="AL195" s="65">
        <v>0</v>
      </c>
      <c r="AM195" s="34">
        <v>-2049.848</v>
      </c>
      <c r="AN195" s="65">
        <f t="shared" si="73"/>
        <v>52230.603720684216</v>
      </c>
      <c r="AO195" s="65"/>
      <c r="AP195" s="41">
        <v>46281.380653800879</v>
      </c>
      <c r="AQ195" s="41">
        <v>-78.484158382426486</v>
      </c>
      <c r="AR195" s="41">
        <v>11051.802816363364</v>
      </c>
      <c r="AS195" s="65">
        <v>0</v>
      </c>
      <c r="AT195" s="34">
        <v>-1972.0039999999999</v>
      </c>
      <c r="AU195" s="65">
        <f t="shared" si="74"/>
        <v>55282.695311781819</v>
      </c>
      <c r="AV195" s="65"/>
      <c r="AW195" s="41">
        <v>3962.7968487970734</v>
      </c>
      <c r="AX195" s="314"/>
      <c r="AY195" s="314"/>
      <c r="AZ195" s="41">
        <v>3330.1802490723021</v>
      </c>
      <c r="BA195" s="65">
        <v>0</v>
      </c>
      <c r="BB195" s="34">
        <v>-2041.049</v>
      </c>
      <c r="BC195" s="65">
        <f t="shared" si="94"/>
        <v>5251.928097869376</v>
      </c>
      <c r="BD195" s="65"/>
      <c r="BE195" s="41">
        <v>894.33716774061327</v>
      </c>
      <c r="BF195" s="314"/>
      <c r="BG195" s="314"/>
      <c r="BH195" s="41">
        <v>3322.1834441921046</v>
      </c>
      <c r="BI195" s="65">
        <v>0</v>
      </c>
      <c r="BJ195" s="34">
        <v>-1802.328</v>
      </c>
      <c r="BK195" s="65">
        <f t="shared" si="95"/>
        <v>2414.1926119327177</v>
      </c>
      <c r="BL195" s="65"/>
      <c r="BM195" s="41">
        <v>4387.1521017362275</v>
      </c>
      <c r="BN195" s="41">
        <v>2124.558360195037</v>
      </c>
      <c r="BO195" s="65">
        <v>0</v>
      </c>
      <c r="BP195" s="34">
        <v>-1802.328</v>
      </c>
      <c r="BQ195" s="65">
        <f t="shared" si="75"/>
        <v>4709.3824619312654</v>
      </c>
      <c r="BR195" s="65"/>
      <c r="BS195" s="41">
        <v>5602.3370733241281</v>
      </c>
      <c r="BT195" s="314"/>
      <c r="BU195" s="314"/>
      <c r="BV195" s="41">
        <v>2291.4465281353696</v>
      </c>
      <c r="BW195" s="65">
        <v>0</v>
      </c>
      <c r="BX195" s="34">
        <v>-1802.328</v>
      </c>
      <c r="BY195" s="65">
        <f t="shared" si="96"/>
        <v>6091.4556014594982</v>
      </c>
      <c r="CA195" s="5">
        <v>5702.8601807038785</v>
      </c>
      <c r="CB195" s="407">
        <v>2463.8718575034154</v>
      </c>
      <c r="CC195" s="415">
        <v>0</v>
      </c>
      <c r="CD195" s="34">
        <v>-1802.328</v>
      </c>
      <c r="CE195" s="65">
        <f t="shared" si="76"/>
        <v>6364.4040382072944</v>
      </c>
      <c r="CF195" s="407"/>
      <c r="CG195" s="5">
        <v>7865.6893304415971</v>
      </c>
      <c r="CH195" s="407">
        <v>2614.9395950884655</v>
      </c>
      <c r="CI195" s="415">
        <v>0</v>
      </c>
      <c r="CJ195" s="34">
        <v>-1802.328</v>
      </c>
      <c r="CK195" s="65">
        <f t="shared" si="77"/>
        <v>8678.3009255300622</v>
      </c>
      <c r="CL195" s="407"/>
      <c r="CM195" s="41">
        <f>AU195/'1. Väestöennuste'!L195*1000</f>
        <v>3237.2603684360147</v>
      </c>
      <c r="CN195" s="41">
        <f>BC195/'1. Väestöennuste'!M195*1000</f>
        <v>308.03097348207478</v>
      </c>
      <c r="CO195" s="41">
        <f>BK195/'1. Väestöennuste'!N195*1000</f>
        <v>148.45607009794108</v>
      </c>
      <c r="CP195" s="41">
        <f>BQ195/'1. Väestöennuste'!O195*1000</f>
        <v>294.13418661740462</v>
      </c>
      <c r="CQ195" s="41">
        <f>BY195/'1. Väestöennuste'!P195*1000</f>
        <v>386.21960445469813</v>
      </c>
      <c r="CR195" s="41">
        <f>CE195/'1. Väestöennuste'!Q195*1000</f>
        <v>409.54980940844882</v>
      </c>
      <c r="CS195" s="41">
        <f>CK195/'1. Väestöennuste'!R195*1000</f>
        <v>566.57967784357652</v>
      </c>
      <c r="CT195" s="41"/>
      <c r="CV195" s="41">
        <f t="shared" si="78"/>
        <v>10480.628925530062</v>
      </c>
      <c r="CW195" s="41">
        <f t="shared" si="79"/>
        <v>-5441.0405570940475</v>
      </c>
      <c r="CX195" s="41">
        <f t="shared" si="80"/>
        <v>-2929.2293949539398</v>
      </c>
      <c r="CY195" s="41">
        <f t="shared" si="81"/>
        <v>-159.57490338413371</v>
      </c>
      <c r="CZ195" s="41">
        <f t="shared" si="82"/>
        <v>145.67811651946354</v>
      </c>
      <c r="DA195" s="41">
        <f t="shared" si="83"/>
        <v>92.085417837293505</v>
      </c>
      <c r="DB195" s="41">
        <f t="shared" si="84"/>
        <v>23.330204953750695</v>
      </c>
      <c r="DC195" s="41">
        <f t="shared" si="85"/>
        <v>157.0298684351277</v>
      </c>
      <c r="DD195" s="41"/>
      <c r="DE195" s="283">
        <f t="shared" si="86"/>
        <v>-5.8150508262258933</v>
      </c>
      <c r="DF195" s="283">
        <f t="shared" si="87"/>
        <v>-0.62697071740015908</v>
      </c>
      <c r="DG195" s="283">
        <f t="shared" si="88"/>
        <v>-0.90484825487457132</v>
      </c>
      <c r="DH195" s="283">
        <f t="shared" si="89"/>
        <v>-0.51804823904638875</v>
      </c>
      <c r="DI195" s="283">
        <f t="shared" si="90"/>
        <v>0.98128770634542029</v>
      </c>
      <c r="DJ195" s="283">
        <f t="shared" si="91"/>
        <v>0.31307281515383223</v>
      </c>
      <c r="DK195" s="283">
        <f t="shared" si="92"/>
        <v>6.0406578756380107E-2</v>
      </c>
      <c r="DL195" s="283">
        <f t="shared" si="93"/>
        <v>0.38342068492704379</v>
      </c>
    </row>
    <row r="196" spans="1:116" x14ac:dyDescent="0.2">
      <c r="A196" s="30">
        <v>595</v>
      </c>
      <c r="B196" s="31" t="s">
        <v>510</v>
      </c>
      <c r="C196" s="65"/>
      <c r="D196" s="65"/>
      <c r="E196" s="65"/>
      <c r="F196" s="65"/>
      <c r="G196" s="65"/>
      <c r="H196" s="65">
        <v>19593</v>
      </c>
      <c r="I196" s="65"/>
      <c r="J196" s="65"/>
      <c r="K196" s="65"/>
      <c r="L196" s="65"/>
      <c r="M196" s="65"/>
      <c r="N196" s="65">
        <v>20323</v>
      </c>
      <c r="O196" s="65"/>
      <c r="P196" s="65"/>
      <c r="Q196" s="65"/>
      <c r="R196" s="65"/>
      <c r="S196" s="65"/>
      <c r="T196" s="65">
        <v>19946</v>
      </c>
      <c r="U196" s="65"/>
      <c r="V196" s="65"/>
      <c r="W196" s="65"/>
      <c r="X196" s="65"/>
      <c r="Y196" s="65"/>
      <c r="Z196" s="65">
        <v>20028</v>
      </c>
      <c r="AA196" s="65"/>
      <c r="AB196" s="66">
        <v>19121.909457099369</v>
      </c>
      <c r="AC196" s="34">
        <v>66.158367696137006</v>
      </c>
      <c r="AD196" s="180">
        <v>2694.0386684541227</v>
      </c>
      <c r="AE196" s="65">
        <v>605</v>
      </c>
      <c r="AF196" s="34">
        <v>-96.308999999999997</v>
      </c>
      <c r="AG196" s="65">
        <f t="shared" si="72"/>
        <v>22390.797493249629</v>
      </c>
      <c r="AH196" s="65"/>
      <c r="AI196" s="66">
        <v>18645.329258008656</v>
      </c>
      <c r="AJ196" s="34">
        <v>-50.634217459699435</v>
      </c>
      <c r="AK196" s="181">
        <v>2854.6176939804277</v>
      </c>
      <c r="AL196" s="65">
        <v>0</v>
      </c>
      <c r="AM196" s="34">
        <v>0.88800000000000001</v>
      </c>
      <c r="AN196" s="65">
        <f t="shared" si="73"/>
        <v>21450.200734529382</v>
      </c>
      <c r="AO196" s="65"/>
      <c r="AP196" s="41">
        <v>19763.64501426987</v>
      </c>
      <c r="AQ196" s="41">
        <v>-15.465039615872499</v>
      </c>
      <c r="AR196" s="41">
        <v>3171.9010329290586</v>
      </c>
      <c r="AS196" s="65">
        <v>0</v>
      </c>
      <c r="AT196" s="34">
        <v>-6.024</v>
      </c>
      <c r="AU196" s="65">
        <f t="shared" si="74"/>
        <v>22914.057007583055</v>
      </c>
      <c r="AV196" s="65"/>
      <c r="AW196" s="41">
        <v>4465.1598854058184</v>
      </c>
      <c r="AX196" s="314"/>
      <c r="AY196" s="314"/>
      <c r="AZ196" s="41">
        <v>972.28243669580945</v>
      </c>
      <c r="BA196" s="65">
        <v>0</v>
      </c>
      <c r="BB196" s="34">
        <v>34.220999999999997</v>
      </c>
      <c r="BC196" s="65">
        <f t="shared" si="94"/>
        <v>5471.6633221016273</v>
      </c>
      <c r="BD196" s="65"/>
      <c r="BE196" s="41">
        <v>4619.2921275429981</v>
      </c>
      <c r="BF196" s="314"/>
      <c r="BG196" s="314"/>
      <c r="BH196" s="41">
        <v>965.5022938744504</v>
      </c>
      <c r="BI196" s="65">
        <v>0</v>
      </c>
      <c r="BJ196" s="34">
        <v>24.245999999999999</v>
      </c>
      <c r="BK196" s="65">
        <f t="shared" si="95"/>
        <v>5609.0404214174487</v>
      </c>
      <c r="BL196" s="65"/>
      <c r="BM196" s="41">
        <v>4837.382932830129</v>
      </c>
      <c r="BN196" s="41">
        <v>725.73447497647987</v>
      </c>
      <c r="BO196" s="65">
        <v>0</v>
      </c>
      <c r="BP196" s="34">
        <v>24.245999999999999</v>
      </c>
      <c r="BQ196" s="65">
        <f t="shared" si="75"/>
        <v>5587.3634078066088</v>
      </c>
      <c r="BR196" s="65"/>
      <c r="BS196" s="41">
        <v>4854.0459146055409</v>
      </c>
      <c r="BT196" s="314"/>
      <c r="BU196" s="314"/>
      <c r="BV196" s="41">
        <v>773.64841346816411</v>
      </c>
      <c r="BW196" s="65">
        <v>0</v>
      </c>
      <c r="BX196" s="34">
        <v>24.245999999999999</v>
      </c>
      <c r="BY196" s="65">
        <f t="shared" si="96"/>
        <v>5651.9403280737051</v>
      </c>
      <c r="CA196" s="5">
        <v>4664.5253632594086</v>
      </c>
      <c r="CB196" s="407">
        <v>820.52509296623384</v>
      </c>
      <c r="CC196" s="415">
        <v>0</v>
      </c>
      <c r="CD196" s="34">
        <v>24.245999999999999</v>
      </c>
      <c r="CE196" s="65">
        <f t="shared" si="76"/>
        <v>5509.2964562256429</v>
      </c>
      <c r="CF196" s="407"/>
      <c r="CG196" s="5">
        <v>5200.2286877653878</v>
      </c>
      <c r="CH196" s="407">
        <v>862.20488107926815</v>
      </c>
      <c r="CI196" s="415">
        <v>0</v>
      </c>
      <c r="CJ196" s="34">
        <v>24.245999999999999</v>
      </c>
      <c r="CK196" s="65">
        <f t="shared" si="77"/>
        <v>6086.6795688446564</v>
      </c>
      <c r="CL196" s="407"/>
      <c r="CM196" s="41">
        <f>AU196/'1. Väestöennuste'!L196*1000</f>
        <v>5534.7963786432501</v>
      </c>
      <c r="CN196" s="41">
        <f>BC196/'1. Väestöennuste'!M196*1000</f>
        <v>1343.3988023819365</v>
      </c>
      <c r="CO196" s="41">
        <f>BK196/'1. Väestöennuste'!N196*1000</f>
        <v>1397.7175234033014</v>
      </c>
      <c r="CP196" s="41">
        <f>BQ196/'1. Väestöennuste'!O196*1000</f>
        <v>1417.0335804733982</v>
      </c>
      <c r="CQ196" s="41">
        <f>BY196/'1. Väestöennuste'!P196*1000</f>
        <v>1459.3184425700244</v>
      </c>
      <c r="CR196" s="41">
        <f>CE196/'1. Väestöennuste'!Q196*1000</f>
        <v>1446.389198273994</v>
      </c>
      <c r="CS196" s="41">
        <f>CK196/'1. Väestöennuste'!R196*1000</f>
        <v>1624.414082958275</v>
      </c>
      <c r="CT196" s="41"/>
      <c r="CV196" s="41">
        <f t="shared" si="78"/>
        <v>6062.4335688446563</v>
      </c>
      <c r="CW196" s="41">
        <f t="shared" si="79"/>
        <v>-551.88319020140625</v>
      </c>
      <c r="CX196" s="41">
        <f t="shared" si="80"/>
        <v>-4191.3975762613136</v>
      </c>
      <c r="CY196" s="41">
        <f t="shared" si="81"/>
        <v>54.318721021364809</v>
      </c>
      <c r="CZ196" s="41">
        <f t="shared" si="82"/>
        <v>19.316057070096804</v>
      </c>
      <c r="DA196" s="41">
        <f t="shared" si="83"/>
        <v>42.284862096626284</v>
      </c>
      <c r="DB196" s="41">
        <f t="shared" si="84"/>
        <v>-12.929244296030447</v>
      </c>
      <c r="DC196" s="41">
        <f t="shared" si="85"/>
        <v>178.02488468428101</v>
      </c>
      <c r="DD196" s="41"/>
      <c r="DE196" s="283">
        <f t="shared" si="86"/>
        <v>250.03850403549686</v>
      </c>
      <c r="DF196" s="283">
        <f t="shared" si="87"/>
        <v>-9.0670649565040604E-2</v>
      </c>
      <c r="DG196" s="283">
        <f t="shared" si="88"/>
        <v>-0.75728126014434427</v>
      </c>
      <c r="DH196" s="283">
        <f t="shared" si="89"/>
        <v>4.0433801880018098E-2</v>
      </c>
      <c r="DI196" s="283">
        <f t="shared" si="90"/>
        <v>1.3819714460661658E-2</v>
      </c>
      <c r="DJ196" s="283">
        <f t="shared" si="91"/>
        <v>2.9840409344780588E-2</v>
      </c>
      <c r="DK196" s="283">
        <f t="shared" si="92"/>
        <v>-8.8597827032601533E-3</v>
      </c>
      <c r="DL196" s="283">
        <f t="shared" si="93"/>
        <v>0.12308228303745752</v>
      </c>
    </row>
    <row r="197" spans="1:116" x14ac:dyDescent="0.2">
      <c r="A197" s="30">
        <v>598</v>
      </c>
      <c r="B197" s="31" t="s">
        <v>511</v>
      </c>
      <c r="C197" s="65"/>
      <c r="D197" s="65"/>
      <c r="E197" s="65"/>
      <c r="F197" s="65"/>
      <c r="G197" s="65"/>
      <c r="H197" s="65">
        <v>39204</v>
      </c>
      <c r="I197" s="65"/>
      <c r="J197" s="65"/>
      <c r="K197" s="65"/>
      <c r="L197" s="65"/>
      <c r="M197" s="65"/>
      <c r="N197" s="65">
        <v>39672</v>
      </c>
      <c r="O197" s="65"/>
      <c r="P197" s="65"/>
      <c r="Q197" s="65"/>
      <c r="R197" s="65"/>
      <c r="S197" s="65"/>
      <c r="T197" s="65">
        <v>39597</v>
      </c>
      <c r="U197" s="65"/>
      <c r="V197" s="65"/>
      <c r="W197" s="65"/>
      <c r="X197" s="65"/>
      <c r="Y197" s="65"/>
      <c r="Z197" s="65">
        <v>40530</v>
      </c>
      <c r="AA197" s="65"/>
      <c r="AB197" s="66">
        <v>38361.698258611817</v>
      </c>
      <c r="AC197" s="34">
        <v>395.92695489635173</v>
      </c>
      <c r="AD197" s="180">
        <v>8359.8240353613892</v>
      </c>
      <c r="AE197" s="65">
        <v>0</v>
      </c>
      <c r="AF197" s="34">
        <v>1769.922</v>
      </c>
      <c r="AG197" s="65">
        <f t="shared" si="72"/>
        <v>48887.371248869553</v>
      </c>
      <c r="AH197" s="65"/>
      <c r="AI197" s="66">
        <v>35810.367665992671</v>
      </c>
      <c r="AJ197" s="34">
        <v>-305.84583368534237</v>
      </c>
      <c r="AK197" s="181">
        <v>8988.7808185813283</v>
      </c>
      <c r="AL197" s="65">
        <v>0</v>
      </c>
      <c r="AM197" s="34">
        <v>569.73599999999999</v>
      </c>
      <c r="AN197" s="65">
        <f t="shared" si="73"/>
        <v>45063.038650888651</v>
      </c>
      <c r="AO197" s="65"/>
      <c r="AP197" s="41">
        <v>38112.298801839715</v>
      </c>
      <c r="AQ197" s="41">
        <v>-94.108564937047163</v>
      </c>
      <c r="AR197" s="41">
        <v>9981.8876279837586</v>
      </c>
      <c r="AS197" s="65">
        <v>0</v>
      </c>
      <c r="AT197" s="34">
        <v>2237.8589999999999</v>
      </c>
      <c r="AU197" s="65">
        <f t="shared" si="74"/>
        <v>50237.936864886418</v>
      </c>
      <c r="AV197" s="65"/>
      <c r="AW197" s="41">
        <v>3031.0774949932193</v>
      </c>
      <c r="AX197" s="314"/>
      <c r="AY197" s="314"/>
      <c r="AZ197" s="41">
        <v>3057.4666288290227</v>
      </c>
      <c r="BA197" s="65">
        <v>0</v>
      </c>
      <c r="BB197" s="34">
        <v>2602.3710000000001</v>
      </c>
      <c r="BC197" s="65">
        <f t="shared" si="94"/>
        <v>8690.9151238222421</v>
      </c>
      <c r="BD197" s="65"/>
      <c r="BE197" s="41">
        <v>-629.92561734193964</v>
      </c>
      <c r="BF197" s="314"/>
      <c r="BG197" s="314"/>
      <c r="BH197" s="41">
        <v>3076.4350527252527</v>
      </c>
      <c r="BI197" s="65">
        <v>0</v>
      </c>
      <c r="BJ197" s="34">
        <v>3070.6480000000001</v>
      </c>
      <c r="BK197" s="65">
        <f t="shared" si="95"/>
        <v>5517.157435383313</v>
      </c>
      <c r="BL197" s="65"/>
      <c r="BM197" s="41">
        <v>4385.1359238730784</v>
      </c>
      <c r="BN197" s="41">
        <v>1717.1061581691977</v>
      </c>
      <c r="BO197" s="65">
        <v>0</v>
      </c>
      <c r="BP197" s="34">
        <v>3070.6480000000001</v>
      </c>
      <c r="BQ197" s="65">
        <f t="shared" si="75"/>
        <v>9172.890082042275</v>
      </c>
      <c r="BR197" s="65"/>
      <c r="BS197" s="41">
        <v>5072.1084923585613</v>
      </c>
      <c r="BT197" s="314"/>
      <c r="BU197" s="314"/>
      <c r="BV197" s="41">
        <v>1871.5633855683045</v>
      </c>
      <c r="BW197" s="65">
        <v>0</v>
      </c>
      <c r="BX197" s="34">
        <v>3070.6480000000001</v>
      </c>
      <c r="BY197" s="65">
        <f t="shared" si="96"/>
        <v>10014.319877926866</v>
      </c>
      <c r="CA197" s="5">
        <v>5504.1573875918857</v>
      </c>
      <c r="CB197" s="407">
        <v>2035.2410807967303</v>
      </c>
      <c r="CC197" s="415">
        <v>0</v>
      </c>
      <c r="CD197" s="34">
        <v>3070.6480000000001</v>
      </c>
      <c r="CE197" s="65">
        <f t="shared" si="76"/>
        <v>10610.046468388617</v>
      </c>
      <c r="CF197" s="407"/>
      <c r="CG197" s="5">
        <v>6633.7246857757482</v>
      </c>
      <c r="CH197" s="407">
        <v>2174.3625406725619</v>
      </c>
      <c r="CI197" s="415">
        <v>0</v>
      </c>
      <c r="CJ197" s="34">
        <v>3070.6480000000001</v>
      </c>
      <c r="CK197" s="65">
        <f t="shared" si="77"/>
        <v>11878.735226448309</v>
      </c>
      <c r="CL197" s="407"/>
      <c r="CM197" s="41">
        <f>AU197/'1. Väestöennuste'!L197*1000</f>
        <v>2615.6056055024947</v>
      </c>
      <c r="CN197" s="41">
        <f>BC197/'1. Väestöennuste'!M197*1000</f>
        <v>446.26008337983268</v>
      </c>
      <c r="CO197" s="41">
        <f>BK197/'1. Väestöennuste'!N197*1000</f>
        <v>294.01318600497274</v>
      </c>
      <c r="CP197" s="41">
        <f>BQ197/'1. Väestöennuste'!O197*1000</f>
        <v>490.94894466079398</v>
      </c>
      <c r="CQ197" s="41">
        <f>BY197/'1. Väestöennuste'!P197*1000</f>
        <v>538.40429451219711</v>
      </c>
      <c r="CR197" s="41">
        <f>CE197/'1. Väestöennuste'!Q197*1000</f>
        <v>572.89667755878065</v>
      </c>
      <c r="CS197" s="41">
        <f>CK197/'1. Väestöennuste'!R197*1000</f>
        <v>644.14810620076514</v>
      </c>
      <c r="CT197" s="41"/>
      <c r="CV197" s="41">
        <f t="shared" si="78"/>
        <v>8808.0872264483078</v>
      </c>
      <c r="CW197" s="41">
        <f t="shared" si="79"/>
        <v>-9263.1296209458142</v>
      </c>
      <c r="CX197" s="41">
        <f t="shared" si="80"/>
        <v>-2169.3455221226618</v>
      </c>
      <c r="CY197" s="41">
        <f t="shared" si="81"/>
        <v>-152.24689737485994</v>
      </c>
      <c r="CZ197" s="41">
        <f t="shared" si="82"/>
        <v>196.93575865582125</v>
      </c>
      <c r="DA197" s="41">
        <f t="shared" si="83"/>
        <v>47.455349851403128</v>
      </c>
      <c r="DB197" s="41">
        <f t="shared" si="84"/>
        <v>34.492383046583541</v>
      </c>
      <c r="DC197" s="41">
        <f t="shared" si="85"/>
        <v>71.251428641984489</v>
      </c>
      <c r="DD197" s="41"/>
      <c r="DE197" s="283">
        <f t="shared" si="86"/>
        <v>2.8684783232882141</v>
      </c>
      <c r="DF197" s="283">
        <f t="shared" si="87"/>
        <v>-0.7798077357866533</v>
      </c>
      <c r="DG197" s="283">
        <f t="shared" si="88"/>
        <v>-0.8293855608655113</v>
      </c>
      <c r="DH197" s="283">
        <f t="shared" si="89"/>
        <v>-0.34116180909972971</v>
      </c>
      <c r="DI197" s="283">
        <f t="shared" si="90"/>
        <v>0.66981947759475802</v>
      </c>
      <c r="DJ197" s="283">
        <f t="shared" si="91"/>
        <v>9.6660458011964837E-2</v>
      </c>
      <c r="DK197" s="283">
        <f t="shared" si="92"/>
        <v>6.4064093466851324E-2</v>
      </c>
      <c r="DL197" s="283">
        <f t="shared" si="93"/>
        <v>0.12437046928880803</v>
      </c>
    </row>
    <row r="198" spans="1:116" x14ac:dyDescent="0.2">
      <c r="A198" s="30">
        <v>599</v>
      </c>
      <c r="B198" s="31" t="s">
        <v>512</v>
      </c>
      <c r="C198" s="65"/>
      <c r="D198" s="65"/>
      <c r="E198" s="65"/>
      <c r="F198" s="65"/>
      <c r="G198" s="65"/>
      <c r="H198" s="65">
        <v>25316</v>
      </c>
      <c r="I198" s="65"/>
      <c r="J198" s="65"/>
      <c r="K198" s="65"/>
      <c r="L198" s="65"/>
      <c r="M198" s="65"/>
      <c r="N198" s="65">
        <v>25472</v>
      </c>
      <c r="O198" s="65"/>
      <c r="P198" s="65"/>
      <c r="Q198" s="65"/>
      <c r="R198" s="65"/>
      <c r="S198" s="65"/>
      <c r="T198" s="65">
        <v>25728</v>
      </c>
      <c r="U198" s="65"/>
      <c r="V198" s="65"/>
      <c r="W198" s="65"/>
      <c r="X198" s="65"/>
      <c r="Y198" s="65"/>
      <c r="Z198" s="65">
        <v>26537</v>
      </c>
      <c r="AA198" s="65"/>
      <c r="AB198" s="66">
        <v>26187.451281231268</v>
      </c>
      <c r="AC198" s="34">
        <v>176.67863410009039</v>
      </c>
      <c r="AD198" s="180">
        <v>5409.9096063002962</v>
      </c>
      <c r="AE198" s="65">
        <v>0</v>
      </c>
      <c r="AF198" s="34">
        <v>-546.87800000000004</v>
      </c>
      <c r="AG198" s="65">
        <f t="shared" si="72"/>
        <v>31227.161521631653</v>
      </c>
      <c r="AH198" s="65"/>
      <c r="AI198" s="66">
        <v>25008.986538980163</v>
      </c>
      <c r="AJ198" s="34">
        <v>-136.5822828736359</v>
      </c>
      <c r="AK198" s="181">
        <v>5828.5917768680001</v>
      </c>
      <c r="AL198" s="65">
        <v>0</v>
      </c>
      <c r="AM198" s="34">
        <v>-880.13699999999994</v>
      </c>
      <c r="AN198" s="65">
        <f t="shared" si="73"/>
        <v>29820.859032974531</v>
      </c>
      <c r="AO198" s="65"/>
      <c r="AP198" s="41">
        <v>26426.250837361662</v>
      </c>
      <c r="AQ198" s="41">
        <v>-42.078133422913524</v>
      </c>
      <c r="AR198" s="41">
        <v>6571.6518462631184</v>
      </c>
      <c r="AS198" s="65">
        <v>0</v>
      </c>
      <c r="AT198" s="34">
        <v>-853.42</v>
      </c>
      <c r="AU198" s="65">
        <f t="shared" si="74"/>
        <v>32102.404550201871</v>
      </c>
      <c r="AV198" s="65"/>
      <c r="AW198" s="41">
        <v>14108.561076020274</v>
      </c>
      <c r="AX198" s="314"/>
      <c r="AY198" s="314"/>
      <c r="AZ198" s="41">
        <v>2039.8324276491949</v>
      </c>
      <c r="BA198" s="65">
        <v>0</v>
      </c>
      <c r="BB198" s="34">
        <v>-904.19799999999998</v>
      </c>
      <c r="BC198" s="65">
        <f t="shared" si="94"/>
        <v>15244.195503669469</v>
      </c>
      <c r="BD198" s="65"/>
      <c r="BE198" s="41">
        <v>14326.298485040288</v>
      </c>
      <c r="BF198" s="314"/>
      <c r="BG198" s="314"/>
      <c r="BH198" s="41">
        <v>2040.5958378582234</v>
      </c>
      <c r="BI198" s="65">
        <v>0</v>
      </c>
      <c r="BJ198" s="34">
        <v>-1057.316</v>
      </c>
      <c r="BK198" s="65">
        <f t="shared" si="95"/>
        <v>15309.578322898511</v>
      </c>
      <c r="BL198" s="65"/>
      <c r="BM198" s="41">
        <v>15565.695135701118</v>
      </c>
      <c r="BN198" s="41">
        <v>1168.8949319069307</v>
      </c>
      <c r="BO198" s="65">
        <v>0</v>
      </c>
      <c r="BP198" s="34">
        <v>-1057.316</v>
      </c>
      <c r="BQ198" s="65">
        <f t="shared" si="75"/>
        <v>15677.274067608048</v>
      </c>
      <c r="BR198" s="65"/>
      <c r="BS198" s="41">
        <v>16096.551302106634</v>
      </c>
      <c r="BT198" s="314"/>
      <c r="BU198" s="314"/>
      <c r="BV198" s="41">
        <v>1267.189988228422</v>
      </c>
      <c r="BW198" s="65">
        <v>0</v>
      </c>
      <c r="BX198" s="34">
        <v>-1057.316</v>
      </c>
      <c r="BY198" s="65">
        <f t="shared" si="96"/>
        <v>16306.425290335055</v>
      </c>
      <c r="CA198" s="5">
        <v>16663.301120317024</v>
      </c>
      <c r="CB198" s="407">
        <v>1367.7342785852074</v>
      </c>
      <c r="CC198" s="415">
        <v>0</v>
      </c>
      <c r="CD198" s="34">
        <v>-1057.316</v>
      </c>
      <c r="CE198" s="65">
        <f t="shared" si="76"/>
        <v>16973.719398902234</v>
      </c>
      <c r="CF198" s="407"/>
      <c r="CG198" s="5">
        <v>17292.906428283815</v>
      </c>
      <c r="CH198" s="407">
        <v>1453.8408660539633</v>
      </c>
      <c r="CI198" s="415">
        <v>0</v>
      </c>
      <c r="CJ198" s="34">
        <v>-1057.316</v>
      </c>
      <c r="CK198" s="65">
        <f t="shared" si="77"/>
        <v>17689.431294337781</v>
      </c>
      <c r="CL198" s="407"/>
      <c r="CM198" s="41">
        <f>AU198/'1. Väestöennuste'!L198*1000</f>
        <v>2864.7514322864422</v>
      </c>
      <c r="CN198" s="41">
        <f>BC198/'1. Väestöennuste'!M198*1000</f>
        <v>1358.05750589483</v>
      </c>
      <c r="CO198" s="41">
        <f>BK198/'1. Väestöennuste'!N198*1000</f>
        <v>1358.4364084204535</v>
      </c>
      <c r="CP198" s="41">
        <f>BQ198/'1. Väestöennuste'!O198*1000</f>
        <v>1388.4752517587501</v>
      </c>
      <c r="CQ198" s="41">
        <f>BY198/'1. Väestöennuste'!P198*1000</f>
        <v>1441.8980714771469</v>
      </c>
      <c r="CR198" s="41">
        <f>CE198/'1. Väestöennuste'!Q198*1000</f>
        <v>1499.1803037362863</v>
      </c>
      <c r="CS198" s="41">
        <f>CK198/'1. Väestöennuste'!R198*1000</f>
        <v>1561.0158219500336</v>
      </c>
      <c r="CT198" s="41"/>
      <c r="CV198" s="41">
        <f t="shared" si="78"/>
        <v>18746.74729433778</v>
      </c>
      <c r="CW198" s="41">
        <f t="shared" si="79"/>
        <v>-14824.679862051338</v>
      </c>
      <c r="CX198" s="41">
        <f t="shared" si="80"/>
        <v>-1506.6939263916122</v>
      </c>
      <c r="CY198" s="41">
        <f t="shared" si="81"/>
        <v>0.37890252562351634</v>
      </c>
      <c r="CZ198" s="41">
        <f t="shared" si="82"/>
        <v>30.038843338296601</v>
      </c>
      <c r="DA198" s="41">
        <f t="shared" si="83"/>
        <v>53.422819718396795</v>
      </c>
      <c r="DB198" s="41">
        <f t="shared" si="84"/>
        <v>57.282232259139391</v>
      </c>
      <c r="DC198" s="41">
        <f t="shared" si="85"/>
        <v>61.835518213747264</v>
      </c>
      <c r="DD198" s="41"/>
      <c r="DE198" s="283">
        <f t="shared" si="86"/>
        <v>-17.730505633450907</v>
      </c>
      <c r="DF198" s="283">
        <f t="shared" si="87"/>
        <v>-0.8380529376767798</v>
      </c>
      <c r="DG198" s="283">
        <f t="shared" si="88"/>
        <v>-0.52594228923696729</v>
      </c>
      <c r="DH198" s="283">
        <f t="shared" si="89"/>
        <v>2.7900329991833138E-4</v>
      </c>
      <c r="DI198" s="283">
        <f t="shared" si="90"/>
        <v>2.21128078959727E-2</v>
      </c>
      <c r="DJ198" s="283">
        <f t="shared" si="91"/>
        <v>3.8475889037796911E-2</v>
      </c>
      <c r="DK198" s="283">
        <f t="shared" si="92"/>
        <v>3.9726963640680117E-2</v>
      </c>
      <c r="DL198" s="283">
        <f t="shared" si="93"/>
        <v>4.1246218389902521E-2</v>
      </c>
    </row>
    <row r="199" spans="1:116" x14ac:dyDescent="0.2">
      <c r="A199" s="30">
        <v>601</v>
      </c>
      <c r="B199" s="31" t="s">
        <v>513</v>
      </c>
      <c r="C199" s="65"/>
      <c r="D199" s="65"/>
      <c r="E199" s="65"/>
      <c r="F199" s="65"/>
      <c r="G199" s="65"/>
      <c r="H199" s="65">
        <v>17746</v>
      </c>
      <c r="I199" s="65"/>
      <c r="J199" s="65"/>
      <c r="K199" s="65"/>
      <c r="L199" s="65"/>
      <c r="M199" s="65"/>
      <c r="N199" s="65">
        <v>17116</v>
      </c>
      <c r="O199" s="65"/>
      <c r="P199" s="65"/>
      <c r="Q199" s="65"/>
      <c r="R199" s="65"/>
      <c r="S199" s="65"/>
      <c r="T199" s="65">
        <v>16633</v>
      </c>
      <c r="U199" s="65"/>
      <c r="V199" s="65"/>
      <c r="W199" s="65"/>
      <c r="X199" s="65"/>
      <c r="Y199" s="65"/>
      <c r="Z199" s="65">
        <v>16715</v>
      </c>
      <c r="AA199" s="65"/>
      <c r="AB199" s="66">
        <v>15513.130983104527</v>
      </c>
      <c r="AC199" s="34">
        <v>58.7480672107869</v>
      </c>
      <c r="AD199" s="180">
        <v>2410.7969068490706</v>
      </c>
      <c r="AE199" s="65">
        <v>0</v>
      </c>
      <c r="AF199" s="34">
        <v>395.19900000000001</v>
      </c>
      <c r="AG199" s="65">
        <f t="shared" si="72"/>
        <v>18377.874957164386</v>
      </c>
      <c r="AH199" s="65"/>
      <c r="AI199" s="66">
        <v>15238.589530390625</v>
      </c>
      <c r="AJ199" s="34">
        <v>-44.777773451972912</v>
      </c>
      <c r="AK199" s="181">
        <v>2567.790304938299</v>
      </c>
      <c r="AL199" s="65">
        <v>0</v>
      </c>
      <c r="AM199" s="34">
        <v>394.19099999999997</v>
      </c>
      <c r="AN199" s="65">
        <f t="shared" si="73"/>
        <v>18155.79306187695</v>
      </c>
      <c r="AO199" s="65"/>
      <c r="AP199" s="41">
        <v>16019.627686880185</v>
      </c>
      <c r="AQ199" s="41">
        <v>-13.646675635565368</v>
      </c>
      <c r="AR199" s="41">
        <v>2851.2839119949745</v>
      </c>
      <c r="AS199" s="65">
        <v>0</v>
      </c>
      <c r="AT199" s="34">
        <v>419.846</v>
      </c>
      <c r="AU199" s="65">
        <f t="shared" si="74"/>
        <v>19277.110923239594</v>
      </c>
      <c r="AV199" s="65"/>
      <c r="AW199" s="41">
        <v>5006.0379479331923</v>
      </c>
      <c r="AX199" s="314"/>
      <c r="AY199" s="314"/>
      <c r="AZ199" s="41">
        <v>858.00198963607988</v>
      </c>
      <c r="BA199" s="65">
        <v>0</v>
      </c>
      <c r="BB199" s="34">
        <v>314.70499999999998</v>
      </c>
      <c r="BC199" s="65">
        <f t="shared" si="94"/>
        <v>6178.7449375692722</v>
      </c>
      <c r="BD199" s="65"/>
      <c r="BE199" s="41">
        <v>4117.5257322941679</v>
      </c>
      <c r="BF199" s="314"/>
      <c r="BG199" s="314"/>
      <c r="BH199" s="41">
        <v>857.85444757574226</v>
      </c>
      <c r="BI199" s="65">
        <v>0</v>
      </c>
      <c r="BJ199" s="34">
        <v>269.35199999999998</v>
      </c>
      <c r="BK199" s="65">
        <f t="shared" si="95"/>
        <v>5244.7321798699104</v>
      </c>
      <c r="BL199" s="65"/>
      <c r="BM199" s="41">
        <v>4493.8043763066944</v>
      </c>
      <c r="BN199" s="41">
        <v>630.59406492369465</v>
      </c>
      <c r="BO199" s="65">
        <v>0</v>
      </c>
      <c r="BP199" s="34">
        <v>269.35199999999998</v>
      </c>
      <c r="BQ199" s="65">
        <f t="shared" si="75"/>
        <v>5393.7504412303888</v>
      </c>
      <c r="BR199" s="65"/>
      <c r="BS199" s="41">
        <v>4331.6804196457033</v>
      </c>
      <c r="BT199" s="314"/>
      <c r="BU199" s="314"/>
      <c r="BV199" s="41">
        <v>671.53773671366889</v>
      </c>
      <c r="BW199" s="65">
        <v>0</v>
      </c>
      <c r="BX199" s="34">
        <v>269.35199999999998</v>
      </c>
      <c r="BY199" s="65">
        <f t="shared" si="96"/>
        <v>5272.570156359372</v>
      </c>
      <c r="CA199" s="5">
        <v>4168.4360248221665</v>
      </c>
      <c r="CB199" s="407">
        <v>712.21724924159014</v>
      </c>
      <c r="CC199" s="415">
        <v>0</v>
      </c>
      <c r="CD199" s="34">
        <v>269.35199999999998</v>
      </c>
      <c r="CE199" s="65">
        <f t="shared" si="76"/>
        <v>5150.0052740637566</v>
      </c>
      <c r="CF199" s="407"/>
      <c r="CG199" s="5">
        <v>4520.0683493808237</v>
      </c>
      <c r="CH199" s="407">
        <v>747.93740566443887</v>
      </c>
      <c r="CI199" s="415">
        <v>0</v>
      </c>
      <c r="CJ199" s="34">
        <v>269.35199999999998</v>
      </c>
      <c r="CK199" s="65">
        <f t="shared" si="77"/>
        <v>5537.3577550452628</v>
      </c>
      <c r="CL199" s="407"/>
      <c r="CM199" s="41">
        <f>AU199/'1. Väestöennuste'!L199*1000</f>
        <v>5091.6827583834111</v>
      </c>
      <c r="CN199" s="41">
        <f>BC199/'1. Väestöennuste'!M199*1000</f>
        <v>1652.5126872343601</v>
      </c>
      <c r="CO199" s="41">
        <f>BK199/'1. Väestöennuste'!N199*1000</f>
        <v>1424.0380613276977</v>
      </c>
      <c r="CP199" s="41">
        <f>BQ199/'1. Väestöennuste'!O199*1000</f>
        <v>1486.7007831395779</v>
      </c>
      <c r="CQ199" s="41">
        <f>BY199/'1. Väestöennuste'!P199*1000</f>
        <v>1475.6703488271403</v>
      </c>
      <c r="CR199" s="41">
        <f>CE199/'1. Väestöennuste'!Q199*1000</f>
        <v>1461.8238075684803</v>
      </c>
      <c r="CS199" s="41">
        <f>CK199/'1. Väestöennuste'!R199*1000</f>
        <v>1594.4018874302512</v>
      </c>
      <c r="CT199" s="41"/>
      <c r="CV199" s="41">
        <f t="shared" si="78"/>
        <v>5268.005755045263</v>
      </c>
      <c r="CW199" s="41">
        <f t="shared" si="79"/>
        <v>-445.67499666185176</v>
      </c>
      <c r="CX199" s="41">
        <f t="shared" si="80"/>
        <v>-3439.1700711490512</v>
      </c>
      <c r="CY199" s="41">
        <f t="shared" si="81"/>
        <v>-228.47462590666237</v>
      </c>
      <c r="CZ199" s="41">
        <f t="shared" si="82"/>
        <v>62.662721811880147</v>
      </c>
      <c r="DA199" s="41">
        <f t="shared" si="83"/>
        <v>-11.030434312437592</v>
      </c>
      <c r="DB199" s="41">
        <f t="shared" si="84"/>
        <v>-13.846541258659954</v>
      </c>
      <c r="DC199" s="41">
        <f t="shared" si="85"/>
        <v>132.5780798617709</v>
      </c>
      <c r="DD199" s="41"/>
      <c r="DE199" s="283">
        <f t="shared" si="86"/>
        <v>19.558071798409753</v>
      </c>
      <c r="DF199" s="283">
        <f t="shared" si="87"/>
        <v>-8.0485136842708624E-2</v>
      </c>
      <c r="DG199" s="283">
        <f t="shared" si="88"/>
        <v>-0.67544861578158766</v>
      </c>
      <c r="DH199" s="283">
        <f t="shared" si="89"/>
        <v>-0.13825892392332356</v>
      </c>
      <c r="DI199" s="283">
        <f t="shared" si="90"/>
        <v>4.4003544226519295E-2</v>
      </c>
      <c r="DJ199" s="283">
        <f t="shared" si="91"/>
        <v>-7.419404386902786E-3</v>
      </c>
      <c r="DK199" s="283">
        <f t="shared" si="92"/>
        <v>-9.3832211710868606E-3</v>
      </c>
      <c r="DL199" s="283">
        <f t="shared" si="93"/>
        <v>9.0693611073617827E-2</v>
      </c>
    </row>
    <row r="200" spans="1:116" x14ac:dyDescent="0.2">
      <c r="A200" s="30">
        <v>604</v>
      </c>
      <c r="B200" s="31" t="s">
        <v>514</v>
      </c>
      <c r="C200" s="65"/>
      <c r="D200" s="65"/>
      <c r="E200" s="65"/>
      <c r="F200" s="65"/>
      <c r="G200" s="65"/>
      <c r="H200" s="65">
        <v>11735</v>
      </c>
      <c r="I200" s="65"/>
      <c r="J200" s="65"/>
      <c r="K200" s="65"/>
      <c r="L200" s="65"/>
      <c r="M200" s="65"/>
      <c r="N200" s="65">
        <v>11272</v>
      </c>
      <c r="O200" s="65"/>
      <c r="P200" s="65"/>
      <c r="Q200" s="65"/>
      <c r="R200" s="65"/>
      <c r="S200" s="65"/>
      <c r="T200" s="65">
        <v>11375</v>
      </c>
      <c r="U200" s="65"/>
      <c r="V200" s="65"/>
      <c r="W200" s="65"/>
      <c r="X200" s="65"/>
      <c r="Y200" s="65"/>
      <c r="Z200" s="65">
        <v>12551</v>
      </c>
      <c r="AA200" s="65"/>
      <c r="AB200" s="66">
        <v>17446.626036179237</v>
      </c>
      <c r="AC200" s="34">
        <v>455.00059411833723</v>
      </c>
      <c r="AD200" s="180">
        <v>5563.4484712489202</v>
      </c>
      <c r="AE200" s="65">
        <v>0</v>
      </c>
      <c r="AF200" s="34">
        <v>-2285.0610000000001</v>
      </c>
      <c r="AG200" s="65">
        <f t="shared" si="72"/>
        <v>21180.014101546494</v>
      </c>
      <c r="AH200" s="65"/>
      <c r="AI200" s="66">
        <v>13532.338916443046</v>
      </c>
      <c r="AJ200" s="34">
        <v>-353.78815473907872</v>
      </c>
      <c r="AK200" s="181">
        <v>6068.5720364273966</v>
      </c>
      <c r="AL200" s="65">
        <v>0</v>
      </c>
      <c r="AM200" s="34">
        <v>-2221.5920000000001</v>
      </c>
      <c r="AN200" s="65">
        <f t="shared" si="73"/>
        <v>17025.530798131364</v>
      </c>
      <c r="AO200" s="65"/>
      <c r="AP200" s="41">
        <v>15084.933672705165</v>
      </c>
      <c r="AQ200" s="41">
        <v>-109.47441957323898</v>
      </c>
      <c r="AR200" s="41">
        <v>6989.8188039682009</v>
      </c>
      <c r="AS200" s="65">
        <v>0</v>
      </c>
      <c r="AT200" s="34">
        <v>-2325.3200000000002</v>
      </c>
      <c r="AU200" s="65">
        <f t="shared" si="74"/>
        <v>19639.958057100128</v>
      </c>
      <c r="AV200" s="65"/>
      <c r="AW200" s="41">
        <v>16535.933777795821</v>
      </c>
      <c r="AX200" s="314"/>
      <c r="AY200" s="314"/>
      <c r="AZ200" s="41">
        <v>2135.859361296697</v>
      </c>
      <c r="BA200" s="65">
        <v>0</v>
      </c>
      <c r="BB200" s="34">
        <v>-2085.2559999999999</v>
      </c>
      <c r="BC200" s="65">
        <f t="shared" si="94"/>
        <v>16586.537139092517</v>
      </c>
      <c r="BD200" s="65"/>
      <c r="BE200" s="41">
        <v>16048.34613810154</v>
      </c>
      <c r="BF200" s="314"/>
      <c r="BG200" s="314"/>
      <c r="BH200" s="41">
        <v>2119.6605445921018</v>
      </c>
      <c r="BI200" s="65">
        <v>0</v>
      </c>
      <c r="BJ200" s="34">
        <v>-2654.73</v>
      </c>
      <c r="BK200" s="65">
        <f t="shared" si="95"/>
        <v>15513.276682693642</v>
      </c>
      <c r="BL200" s="65"/>
      <c r="BM200" s="41">
        <v>18001.180322464741</v>
      </c>
      <c r="BN200" s="41">
        <v>970.30504512798598</v>
      </c>
      <c r="BO200" s="65">
        <v>0</v>
      </c>
      <c r="BP200" s="34">
        <v>-2654.73</v>
      </c>
      <c r="BQ200" s="65">
        <f t="shared" si="75"/>
        <v>16316.755367592727</v>
      </c>
      <c r="BR200" s="65"/>
      <c r="BS200" s="41">
        <v>17888.664618191229</v>
      </c>
      <c r="BT200" s="314"/>
      <c r="BU200" s="314"/>
      <c r="BV200" s="41">
        <v>1035.6254376100198</v>
      </c>
      <c r="BW200" s="65">
        <v>0</v>
      </c>
      <c r="BX200" s="34">
        <v>-2654.73</v>
      </c>
      <c r="BY200" s="65">
        <f t="shared" si="96"/>
        <v>16269.560055801248</v>
      </c>
      <c r="CA200" s="5">
        <v>17553.347088745988</v>
      </c>
      <c r="CB200" s="407">
        <v>1164.3828734785582</v>
      </c>
      <c r="CC200" s="415">
        <v>0</v>
      </c>
      <c r="CD200" s="34">
        <v>-2654.73</v>
      </c>
      <c r="CE200" s="65">
        <f t="shared" si="76"/>
        <v>16062.999962224545</v>
      </c>
      <c r="CF200" s="407"/>
      <c r="CG200" s="5">
        <v>18220.86011065311</v>
      </c>
      <c r="CH200" s="407">
        <v>1266.8254283723877</v>
      </c>
      <c r="CI200" s="415">
        <v>0</v>
      </c>
      <c r="CJ200" s="34">
        <v>-2654.73</v>
      </c>
      <c r="CK200" s="65">
        <f t="shared" si="77"/>
        <v>16832.955539025497</v>
      </c>
      <c r="CL200" s="407"/>
      <c r="CM200" s="41">
        <f>AU200/'1. Väestöennuste'!L200*1000</f>
        <v>962.50713340358379</v>
      </c>
      <c r="CN200" s="41">
        <f>BC200/'1. Väestöennuste'!M200*1000</f>
        <v>798.85070264858246</v>
      </c>
      <c r="CO200" s="41">
        <f>BK200/'1. Väestöennuste'!N200*1000</f>
        <v>757.59518887989668</v>
      </c>
      <c r="CP200" s="41">
        <f>BQ200/'1. Väestöennuste'!O200*1000</f>
        <v>790.88533602795439</v>
      </c>
      <c r="CQ200" s="41">
        <f>BY200/'1. Väestöennuste'!P200*1000</f>
        <v>783.01858002701158</v>
      </c>
      <c r="CR200" s="41">
        <f>CE200/'1. Väestöennuste'!Q200*1000</f>
        <v>767.93995134218801</v>
      </c>
      <c r="CS200" s="41">
        <f>CK200/'1. Väestöennuste'!R200*1000</f>
        <v>799.70333692933139</v>
      </c>
      <c r="CT200" s="41"/>
      <c r="CV200" s="41">
        <f t="shared" si="78"/>
        <v>19487.685539025497</v>
      </c>
      <c r="CW200" s="41">
        <f t="shared" si="79"/>
        <v>-15870.448405621913</v>
      </c>
      <c r="CX200" s="41">
        <f t="shared" si="80"/>
        <v>-163.65643075500134</v>
      </c>
      <c r="CY200" s="41">
        <f t="shared" si="81"/>
        <v>-41.255513768685773</v>
      </c>
      <c r="CZ200" s="41">
        <f t="shared" si="82"/>
        <v>33.290147148057713</v>
      </c>
      <c r="DA200" s="41">
        <f t="shared" si="83"/>
        <v>-7.8667560009428144</v>
      </c>
      <c r="DB200" s="41">
        <f t="shared" si="84"/>
        <v>-15.07862868482357</v>
      </c>
      <c r="DC200" s="41">
        <f t="shared" si="85"/>
        <v>31.763385587143375</v>
      </c>
      <c r="DD200" s="41"/>
      <c r="DE200" s="283">
        <f t="shared" si="86"/>
        <v>-7.3407410693462225</v>
      </c>
      <c r="DF200" s="283">
        <f t="shared" si="87"/>
        <v>-0.94282007510967947</v>
      </c>
      <c r="DG200" s="283">
        <f t="shared" si="88"/>
        <v>-0.17003139517136381</v>
      </c>
      <c r="DH200" s="283">
        <f t="shared" si="89"/>
        <v>-5.1643584504468085E-2</v>
      </c>
      <c r="DI200" s="283">
        <f t="shared" si="90"/>
        <v>4.3941867156359775E-2</v>
      </c>
      <c r="DJ200" s="283">
        <f t="shared" si="91"/>
        <v>-9.946771855009787E-3</v>
      </c>
      <c r="DK200" s="283">
        <f t="shared" si="92"/>
        <v>-1.9257050942907902E-2</v>
      </c>
      <c r="DL200" s="283">
        <f t="shared" si="93"/>
        <v>4.1361808995127876E-2</v>
      </c>
    </row>
    <row r="201" spans="1:116" x14ac:dyDescent="0.2">
      <c r="A201" s="30">
        <v>607</v>
      </c>
      <c r="B201" s="31" t="s">
        <v>515</v>
      </c>
      <c r="C201" s="65"/>
      <c r="D201" s="65"/>
      <c r="E201" s="65"/>
      <c r="F201" s="65"/>
      <c r="G201" s="65"/>
      <c r="H201" s="65">
        <v>15123</v>
      </c>
      <c r="I201" s="65"/>
      <c r="J201" s="65"/>
      <c r="K201" s="65"/>
      <c r="L201" s="65"/>
      <c r="M201" s="65"/>
      <c r="N201" s="65">
        <v>14555</v>
      </c>
      <c r="O201" s="65"/>
      <c r="P201" s="65"/>
      <c r="Q201" s="65"/>
      <c r="R201" s="65"/>
      <c r="S201" s="65"/>
      <c r="T201" s="65">
        <v>14481</v>
      </c>
      <c r="U201" s="65"/>
      <c r="V201" s="65"/>
      <c r="W201" s="65"/>
      <c r="X201" s="65"/>
      <c r="Y201" s="65"/>
      <c r="Z201" s="65">
        <v>14662</v>
      </c>
      <c r="AA201" s="65"/>
      <c r="AB201" s="66">
        <v>13742.450452364028</v>
      </c>
      <c r="AC201" s="34">
        <v>56.847250156985382</v>
      </c>
      <c r="AD201" s="180">
        <v>2618.8327783505833</v>
      </c>
      <c r="AE201" s="65">
        <v>0</v>
      </c>
      <c r="AF201" s="34">
        <v>-378.32</v>
      </c>
      <c r="AG201" s="65">
        <f t="shared" si="72"/>
        <v>16039.810480871598</v>
      </c>
      <c r="AH201" s="65"/>
      <c r="AI201" s="66">
        <v>13656.25292690911</v>
      </c>
      <c r="AJ201" s="34">
        <v>-43.625833411871234</v>
      </c>
      <c r="AK201" s="181">
        <v>2779.6484251052784</v>
      </c>
      <c r="AL201" s="65">
        <v>0</v>
      </c>
      <c r="AM201" s="34">
        <v>-488.65100000000001</v>
      </c>
      <c r="AN201" s="65">
        <f t="shared" si="73"/>
        <v>15903.624518602517</v>
      </c>
      <c r="AO201" s="65"/>
      <c r="AP201" s="41">
        <v>14327.711194780863</v>
      </c>
      <c r="AQ201" s="41">
        <v>-13.359045139679518</v>
      </c>
      <c r="AR201" s="41">
        <v>3112.4392436598127</v>
      </c>
      <c r="AS201" s="65">
        <v>0</v>
      </c>
      <c r="AT201" s="34">
        <v>-585.93700000000001</v>
      </c>
      <c r="AU201" s="65">
        <f t="shared" si="74"/>
        <v>16840.854393300993</v>
      </c>
      <c r="AV201" s="65"/>
      <c r="AW201" s="41">
        <v>3332.4705914451001</v>
      </c>
      <c r="AX201" s="314"/>
      <c r="AY201" s="314"/>
      <c r="AZ201" s="41">
        <v>938.64758690160897</v>
      </c>
      <c r="BA201" s="65">
        <v>0</v>
      </c>
      <c r="BB201" s="34">
        <v>-644.66899999999998</v>
      </c>
      <c r="BC201" s="65">
        <f t="shared" si="94"/>
        <v>3626.4491783467092</v>
      </c>
      <c r="BD201" s="65"/>
      <c r="BE201" s="41">
        <v>2386.590676556878</v>
      </c>
      <c r="BF201" s="314"/>
      <c r="BG201" s="314"/>
      <c r="BH201" s="41">
        <v>932.88337604997105</v>
      </c>
      <c r="BI201" s="65">
        <v>0</v>
      </c>
      <c r="BJ201" s="34">
        <v>-650.14200000000005</v>
      </c>
      <c r="BK201" s="65">
        <f t="shared" si="95"/>
        <v>2669.3320526068492</v>
      </c>
      <c r="BL201" s="65"/>
      <c r="BM201" s="41">
        <v>2881.8411531584497</v>
      </c>
      <c r="BN201" s="41">
        <v>700.7665347867686</v>
      </c>
      <c r="BO201" s="65">
        <v>0</v>
      </c>
      <c r="BP201" s="34">
        <v>-650.14200000000005</v>
      </c>
      <c r="BQ201" s="65">
        <f t="shared" si="75"/>
        <v>2932.4656879452186</v>
      </c>
      <c r="BR201" s="65"/>
      <c r="BS201" s="41">
        <v>3349.0085555918963</v>
      </c>
      <c r="BT201" s="314"/>
      <c r="BU201" s="314"/>
      <c r="BV201" s="41">
        <v>741.93098030373062</v>
      </c>
      <c r="BW201" s="65">
        <v>0</v>
      </c>
      <c r="BX201" s="34">
        <v>-650.14200000000005</v>
      </c>
      <c r="BY201" s="65">
        <f t="shared" si="96"/>
        <v>3440.7975358956273</v>
      </c>
      <c r="CA201" s="5">
        <v>3311.7812229477149</v>
      </c>
      <c r="CB201" s="407">
        <v>783.6250265925903</v>
      </c>
      <c r="CC201" s="415">
        <v>0</v>
      </c>
      <c r="CD201" s="34">
        <v>-650.14200000000005</v>
      </c>
      <c r="CE201" s="65">
        <f t="shared" si="76"/>
        <v>3445.2642495403052</v>
      </c>
      <c r="CF201" s="407"/>
      <c r="CG201" s="5">
        <v>3852.0649078757774</v>
      </c>
      <c r="CH201" s="407">
        <v>820.39709383774664</v>
      </c>
      <c r="CI201" s="415">
        <v>0</v>
      </c>
      <c r="CJ201" s="34">
        <v>-650.14200000000005</v>
      </c>
      <c r="CK201" s="65">
        <f t="shared" si="77"/>
        <v>4022.3200017135241</v>
      </c>
      <c r="CL201" s="407"/>
      <c r="CM201" s="41">
        <f>AU201/'1. Väestöennuste'!L201*1000</f>
        <v>4123.617628134426</v>
      </c>
      <c r="CN201" s="41">
        <f>BC201/'1. Väestöennuste'!M201*1000</f>
        <v>892.33493561680837</v>
      </c>
      <c r="CO201" s="41">
        <f>BK201/'1. Väestöennuste'!N201*1000</f>
        <v>675.95139341778906</v>
      </c>
      <c r="CP201" s="41">
        <f>BQ201/'1. Väestöennuste'!O201*1000</f>
        <v>753.4598376015465</v>
      </c>
      <c r="CQ201" s="41">
        <f>BY201/'1. Väestöennuste'!P201*1000</f>
        <v>896.04102497281951</v>
      </c>
      <c r="CR201" s="41">
        <f>CE201/'1. Väestöennuste'!Q201*1000</f>
        <v>910.00112243536842</v>
      </c>
      <c r="CS201" s="41">
        <f>CK201/'1. Väestöennuste'!R201*1000</f>
        <v>1078.0809439060638</v>
      </c>
      <c r="CT201" s="41"/>
      <c r="CV201" s="41">
        <f t="shared" si="78"/>
        <v>4672.4620017135239</v>
      </c>
      <c r="CW201" s="41">
        <f t="shared" si="79"/>
        <v>101.29762642090191</v>
      </c>
      <c r="CX201" s="41">
        <f t="shared" si="80"/>
        <v>-3231.2826925176178</v>
      </c>
      <c r="CY201" s="41">
        <f t="shared" si="81"/>
        <v>-216.3835421990193</v>
      </c>
      <c r="CZ201" s="41">
        <f t="shared" si="82"/>
        <v>77.508444183757433</v>
      </c>
      <c r="DA201" s="41">
        <f t="shared" si="83"/>
        <v>142.58118737127302</v>
      </c>
      <c r="DB201" s="41">
        <f t="shared" si="84"/>
        <v>13.960097462548902</v>
      </c>
      <c r="DC201" s="41">
        <f t="shared" si="85"/>
        <v>168.07982147069538</v>
      </c>
      <c r="DD201" s="41"/>
      <c r="DE201" s="283">
        <f t="shared" si="86"/>
        <v>-7.1868330329582211</v>
      </c>
      <c r="DF201" s="283">
        <f t="shared" si="87"/>
        <v>2.5183880541018298E-2</v>
      </c>
      <c r="DG201" s="283">
        <f t="shared" si="88"/>
        <v>-0.78360386047226416</v>
      </c>
      <c r="DH201" s="283">
        <f t="shared" si="89"/>
        <v>-0.24249139371580086</v>
      </c>
      <c r="DI201" s="283">
        <f t="shared" si="90"/>
        <v>0.11466570664475478</v>
      </c>
      <c r="DJ201" s="283">
        <f t="shared" si="91"/>
        <v>0.1892352853539547</v>
      </c>
      <c r="DK201" s="283">
        <f t="shared" si="92"/>
        <v>1.5579752571007971E-2</v>
      </c>
      <c r="DL201" s="283">
        <f t="shared" si="93"/>
        <v>0.18470287269632793</v>
      </c>
    </row>
    <row r="202" spans="1:116" x14ac:dyDescent="0.2">
      <c r="A202" s="30">
        <v>608</v>
      </c>
      <c r="B202" s="31" t="s">
        <v>516</v>
      </c>
      <c r="C202" s="65"/>
      <c r="D202" s="65"/>
      <c r="E202" s="65"/>
      <c r="F202" s="65"/>
      <c r="G202" s="65"/>
      <c r="H202" s="65">
        <v>8004</v>
      </c>
      <c r="I202" s="65"/>
      <c r="J202" s="65"/>
      <c r="K202" s="65"/>
      <c r="L202" s="65"/>
      <c r="M202" s="65"/>
      <c r="N202" s="65">
        <v>7790</v>
      </c>
      <c r="O202" s="65"/>
      <c r="P202" s="65"/>
      <c r="Q202" s="65"/>
      <c r="R202" s="65"/>
      <c r="S202" s="65"/>
      <c r="T202" s="65">
        <v>7648</v>
      </c>
      <c r="U202" s="65"/>
      <c r="V202" s="65"/>
      <c r="W202" s="65"/>
      <c r="X202" s="65"/>
      <c r="Y202" s="65"/>
      <c r="Z202" s="65">
        <v>7392</v>
      </c>
      <c r="AA202" s="65"/>
      <c r="AB202" s="66">
        <v>6287.278656219717</v>
      </c>
      <c r="AC202" s="34">
        <v>33.526591380567147</v>
      </c>
      <c r="AD202" s="180">
        <v>1173.3455958361392</v>
      </c>
      <c r="AE202" s="65">
        <v>0</v>
      </c>
      <c r="AF202" s="34">
        <v>216.46700000000001</v>
      </c>
      <c r="AG202" s="65">
        <f t="shared" si="72"/>
        <v>7710.6178434364228</v>
      </c>
      <c r="AH202" s="65"/>
      <c r="AI202" s="66">
        <v>6042.3441694599433</v>
      </c>
      <c r="AJ202" s="34">
        <v>-25.861322101631131</v>
      </c>
      <c r="AK202" s="181">
        <v>1248.4841461457409</v>
      </c>
      <c r="AL202" s="65">
        <v>0</v>
      </c>
      <c r="AM202" s="34">
        <v>220.72900000000001</v>
      </c>
      <c r="AN202" s="65">
        <f t="shared" si="73"/>
        <v>7485.6959935040531</v>
      </c>
      <c r="AO202" s="65"/>
      <c r="AP202" s="41">
        <v>6170.3857877960809</v>
      </c>
      <c r="AQ202" s="41">
        <v>-7.9434085020483298</v>
      </c>
      <c r="AR202" s="41">
        <v>1405.6673919847856</v>
      </c>
      <c r="AS202" s="65">
        <v>360</v>
      </c>
      <c r="AT202" s="34">
        <v>378.11399999999998</v>
      </c>
      <c r="AU202" s="65">
        <f t="shared" si="74"/>
        <v>8306.2237712788174</v>
      </c>
      <c r="AV202" s="65"/>
      <c r="AW202" s="41">
        <v>1340.8115261556811</v>
      </c>
      <c r="AX202" s="314"/>
      <c r="AY202" s="314"/>
      <c r="AZ202" s="41">
        <v>418.38812446064884</v>
      </c>
      <c r="BA202" s="65">
        <v>0</v>
      </c>
      <c r="BB202" s="34">
        <v>431.65800000000002</v>
      </c>
      <c r="BC202" s="65">
        <f t="shared" si="94"/>
        <v>2190.8576506163299</v>
      </c>
      <c r="BD202" s="65"/>
      <c r="BE202" s="41">
        <v>820.59156348113902</v>
      </c>
      <c r="BF202" s="314"/>
      <c r="BG202" s="314"/>
      <c r="BH202" s="41">
        <v>413.28445775106638</v>
      </c>
      <c r="BI202" s="65">
        <v>0</v>
      </c>
      <c r="BJ202" s="34">
        <v>445.55399999999997</v>
      </c>
      <c r="BK202" s="65">
        <f t="shared" si="95"/>
        <v>1679.4300212322055</v>
      </c>
      <c r="BL202" s="65"/>
      <c r="BM202" s="41">
        <v>1093.9207754564932</v>
      </c>
      <c r="BN202" s="41">
        <v>270.31666678436204</v>
      </c>
      <c r="BO202" s="65">
        <v>0</v>
      </c>
      <c r="BP202" s="34">
        <v>445.55399999999997</v>
      </c>
      <c r="BQ202" s="65">
        <f t="shared" si="75"/>
        <v>1809.7914422408553</v>
      </c>
      <c r="BR202" s="65"/>
      <c r="BS202" s="41">
        <v>1286.4892790416918</v>
      </c>
      <c r="BT202" s="314"/>
      <c r="BU202" s="314"/>
      <c r="BV202" s="41">
        <v>290.38367543939586</v>
      </c>
      <c r="BW202" s="65">
        <v>0</v>
      </c>
      <c r="BX202" s="34">
        <v>445.55399999999997</v>
      </c>
      <c r="BY202" s="65">
        <f t="shared" si="96"/>
        <v>2022.4269544810877</v>
      </c>
      <c r="CA202" s="5">
        <v>1314.2457587115598</v>
      </c>
      <c r="CB202" s="407">
        <v>310.74010188039614</v>
      </c>
      <c r="CC202" s="415">
        <v>0</v>
      </c>
      <c r="CD202" s="34">
        <v>445.55399999999997</v>
      </c>
      <c r="CE202" s="65">
        <f t="shared" si="76"/>
        <v>2070.5398605919559</v>
      </c>
      <c r="CF202" s="407"/>
      <c r="CG202" s="5">
        <v>1657.2134317810783</v>
      </c>
      <c r="CH202" s="407">
        <v>328.62473829683324</v>
      </c>
      <c r="CI202" s="415">
        <v>0</v>
      </c>
      <c r="CJ202" s="34">
        <v>445.55399999999997</v>
      </c>
      <c r="CK202" s="65">
        <f t="shared" si="77"/>
        <v>2431.3921700779115</v>
      </c>
      <c r="CL202" s="407"/>
      <c r="CM202" s="41">
        <f>AU202/'1. Väestöennuste'!L202*1000</f>
        <v>4195.0625107468777</v>
      </c>
      <c r="CN202" s="41">
        <f>BC202/'1. Väestöennuste'!M202*1000</f>
        <v>1127.5644110223004</v>
      </c>
      <c r="CO202" s="41">
        <f>BK202/'1. Väestöennuste'!N202*1000</f>
        <v>862.1304010432267</v>
      </c>
      <c r="CP202" s="41">
        <f>BQ202/'1. Väestöennuste'!O202*1000</f>
        <v>941.12919513305008</v>
      </c>
      <c r="CQ202" s="41">
        <f>BY202/'1. Väestöennuste'!P202*1000</f>
        <v>1066.1185843337312</v>
      </c>
      <c r="CR202" s="41">
        <f>CE202/'1. Väestöennuste'!Q202*1000</f>
        <v>1106.6487763719699</v>
      </c>
      <c r="CS202" s="41">
        <f>CK202/'1. Väestöennuste'!R202*1000</f>
        <v>1316.4007417855503</v>
      </c>
      <c r="CT202" s="41"/>
      <c r="CV202" s="41">
        <f t="shared" si="78"/>
        <v>1985.8381700779114</v>
      </c>
      <c r="CW202" s="41">
        <f t="shared" si="79"/>
        <v>1763.6703406689662</v>
      </c>
      <c r="CX202" s="41">
        <f t="shared" si="80"/>
        <v>-3067.4980997245775</v>
      </c>
      <c r="CY202" s="41">
        <f t="shared" si="81"/>
        <v>-265.43400997907372</v>
      </c>
      <c r="CZ202" s="41">
        <f t="shared" si="82"/>
        <v>78.998794089823377</v>
      </c>
      <c r="DA202" s="41">
        <f t="shared" si="83"/>
        <v>124.9893892006811</v>
      </c>
      <c r="DB202" s="41">
        <f t="shared" si="84"/>
        <v>40.530192038238738</v>
      </c>
      <c r="DC202" s="41">
        <f t="shared" si="85"/>
        <v>209.75196541358036</v>
      </c>
      <c r="DD202" s="41"/>
      <c r="DE202" s="283">
        <f t="shared" si="86"/>
        <v>4.4570089598071423</v>
      </c>
      <c r="DF202" s="283">
        <f t="shared" si="87"/>
        <v>0.72537468960116425</v>
      </c>
      <c r="DG202" s="283">
        <f t="shared" si="88"/>
        <v>-0.73121630294334961</v>
      </c>
      <c r="DH202" s="283">
        <f t="shared" si="89"/>
        <v>-0.23540474263321184</v>
      </c>
      <c r="DI202" s="283">
        <f t="shared" si="90"/>
        <v>9.1632070965401935E-2</v>
      </c>
      <c r="DJ202" s="283">
        <f t="shared" si="91"/>
        <v>0.13280789698911741</v>
      </c>
      <c r="DK202" s="283">
        <f t="shared" si="92"/>
        <v>3.8016588992835172E-2</v>
      </c>
      <c r="DL202" s="283">
        <f t="shared" si="93"/>
        <v>0.18953797256364374</v>
      </c>
    </row>
    <row r="203" spans="1:116" x14ac:dyDescent="0.2">
      <c r="A203" s="30">
        <v>609</v>
      </c>
      <c r="B203" s="31" t="s">
        <v>517</v>
      </c>
      <c r="C203" s="65"/>
      <c r="D203" s="65"/>
      <c r="E203" s="65"/>
      <c r="F203" s="65"/>
      <c r="G203" s="65"/>
      <c r="H203" s="65">
        <v>143557</v>
      </c>
      <c r="I203" s="65"/>
      <c r="J203" s="65"/>
      <c r="K203" s="65"/>
      <c r="L203" s="65"/>
      <c r="M203" s="65"/>
      <c r="N203" s="65">
        <v>138882</v>
      </c>
      <c r="O203" s="65"/>
      <c r="P203" s="65"/>
      <c r="Q203" s="65"/>
      <c r="R203" s="65"/>
      <c r="S203" s="65"/>
      <c r="T203" s="65">
        <v>140787</v>
      </c>
      <c r="U203" s="65"/>
      <c r="V203" s="65"/>
      <c r="W203" s="65"/>
      <c r="X203" s="65"/>
      <c r="Y203" s="65"/>
      <c r="Z203" s="65">
        <v>141985</v>
      </c>
      <c r="AA203" s="65"/>
      <c r="AB203" s="66">
        <v>144068.66794092386</v>
      </c>
      <c r="AC203" s="34">
        <v>1592.7091354891975</v>
      </c>
      <c r="AD203" s="180">
        <v>36752.671784513928</v>
      </c>
      <c r="AE203" s="65">
        <v>0</v>
      </c>
      <c r="AF203" s="34">
        <v>-5895.4759999999997</v>
      </c>
      <c r="AG203" s="65">
        <f t="shared" si="72"/>
        <v>176518.57286092697</v>
      </c>
      <c r="AH203" s="65"/>
      <c r="AI203" s="66">
        <v>134834.15042245461</v>
      </c>
      <c r="AJ203" s="34">
        <v>-1237.7866141398504</v>
      </c>
      <c r="AK203" s="181">
        <v>39568.07641357556</v>
      </c>
      <c r="AL203" s="65">
        <v>0</v>
      </c>
      <c r="AM203" s="34">
        <v>-5790.6540000000005</v>
      </c>
      <c r="AN203" s="65">
        <f t="shared" si="73"/>
        <v>167373.7862218903</v>
      </c>
      <c r="AO203" s="65"/>
      <c r="AP203" s="41">
        <v>145873.39891060902</v>
      </c>
      <c r="AQ203" s="41">
        <v>-382.30823048521381</v>
      </c>
      <c r="AR203" s="41">
        <v>44484.11250157086</v>
      </c>
      <c r="AS203" s="65">
        <v>0</v>
      </c>
      <c r="AT203" s="34">
        <v>-5604.125</v>
      </c>
      <c r="AU203" s="65">
        <f t="shared" si="74"/>
        <v>184371.07818169467</v>
      </c>
      <c r="AV203" s="65"/>
      <c r="AW203" s="41">
        <v>16706.725009807848</v>
      </c>
      <c r="AX203" s="314"/>
      <c r="AY203" s="314"/>
      <c r="AZ203" s="41">
        <v>13537.031482079026</v>
      </c>
      <c r="BA203" s="65">
        <v>0</v>
      </c>
      <c r="BB203" s="34">
        <v>-5595.2160000000003</v>
      </c>
      <c r="BC203" s="65">
        <f t="shared" si="94"/>
        <v>24648.540491886873</v>
      </c>
      <c r="BD203" s="65"/>
      <c r="BE203" s="41">
        <v>5350.6729925094096</v>
      </c>
      <c r="BF203" s="314"/>
      <c r="BG203" s="314"/>
      <c r="BH203" s="41">
        <v>13542.361845734053</v>
      </c>
      <c r="BI203" s="65">
        <v>0</v>
      </c>
      <c r="BJ203" s="34">
        <v>-4878.8249999999998</v>
      </c>
      <c r="BK203" s="65">
        <f t="shared" si="95"/>
        <v>14014.20983824346</v>
      </c>
      <c r="BL203" s="65"/>
      <c r="BM203" s="41">
        <v>18300.940997048488</v>
      </c>
      <c r="BN203" s="41">
        <v>8219.5912552988648</v>
      </c>
      <c r="BO203" s="65">
        <v>0</v>
      </c>
      <c r="BP203" s="34">
        <v>-4878.8249999999998</v>
      </c>
      <c r="BQ203" s="65">
        <f t="shared" si="75"/>
        <v>21641.707252347351</v>
      </c>
      <c r="BR203" s="65"/>
      <c r="BS203" s="41">
        <v>20303.652265136654</v>
      </c>
      <c r="BT203" s="314"/>
      <c r="BU203" s="314"/>
      <c r="BV203" s="41">
        <v>8898.1236784793291</v>
      </c>
      <c r="BW203" s="65">
        <v>0</v>
      </c>
      <c r="BX203" s="34">
        <v>-4878.8249999999998</v>
      </c>
      <c r="BY203" s="65">
        <f t="shared" si="96"/>
        <v>24322.950943615982</v>
      </c>
      <c r="CA203" s="5">
        <v>21342.362124381092</v>
      </c>
      <c r="CB203" s="407">
        <v>9633.7495746783316</v>
      </c>
      <c r="CC203" s="415">
        <v>0</v>
      </c>
      <c r="CD203" s="34">
        <v>-4878.8249999999998</v>
      </c>
      <c r="CE203" s="65">
        <f t="shared" si="76"/>
        <v>26097.286699059423</v>
      </c>
      <c r="CF203" s="407"/>
      <c r="CG203" s="5">
        <v>27135.239517136422</v>
      </c>
      <c r="CH203" s="407">
        <v>10263.440741216351</v>
      </c>
      <c r="CI203" s="415">
        <v>0</v>
      </c>
      <c r="CJ203" s="34">
        <v>-4878.8249999999998</v>
      </c>
      <c r="CK203" s="65">
        <f t="shared" si="77"/>
        <v>32519.855258352774</v>
      </c>
      <c r="CL203" s="407"/>
      <c r="CM203" s="41">
        <f>AU203/'1. Väestöennuste'!L203*1000</f>
        <v>2215.8653708514471</v>
      </c>
      <c r="CN203" s="41">
        <f>BC203/'1. Väestöennuste'!M203*1000</f>
        <v>296.59158775403552</v>
      </c>
      <c r="CO203" s="41">
        <f>BK203/'1. Väestöennuste'!N203*1000</f>
        <v>170.39174484471727</v>
      </c>
      <c r="CP203" s="41">
        <f>BQ203/'1. Väestöennuste'!O203*1000</f>
        <v>264.32942389949619</v>
      </c>
      <c r="CQ203" s="41">
        <f>BY203/'1. Väestöennuste'!P203*1000</f>
        <v>298.45942626683825</v>
      </c>
      <c r="CR203" s="41">
        <f>CE203/'1. Väestöennuste'!Q203*1000</f>
        <v>321.72797843901844</v>
      </c>
      <c r="CS203" s="41">
        <f>CK203/'1. Väestöennuste'!R203*1000</f>
        <v>402.78751078629097</v>
      </c>
      <c r="CT203" s="41"/>
      <c r="CV203" s="41">
        <f t="shared" si="78"/>
        <v>37398.680258352775</v>
      </c>
      <c r="CW203" s="41">
        <f t="shared" si="79"/>
        <v>-30303.989887501328</v>
      </c>
      <c r="CX203" s="41">
        <f t="shared" si="80"/>
        <v>-1919.2737830974115</v>
      </c>
      <c r="CY203" s="41">
        <f t="shared" si="81"/>
        <v>-126.19984290931825</v>
      </c>
      <c r="CZ203" s="41">
        <f t="shared" si="82"/>
        <v>93.937679054778926</v>
      </c>
      <c r="DA203" s="41">
        <f t="shared" si="83"/>
        <v>34.130002367342058</v>
      </c>
      <c r="DB203" s="41">
        <f t="shared" si="84"/>
        <v>23.268552172180193</v>
      </c>
      <c r="DC203" s="41">
        <f t="shared" si="85"/>
        <v>81.059532347272523</v>
      </c>
      <c r="DD203" s="41"/>
      <c r="DE203" s="283">
        <f t="shared" si="86"/>
        <v>-7.6655096787346908</v>
      </c>
      <c r="DF203" s="283">
        <f t="shared" si="87"/>
        <v>-0.93186115518511425</v>
      </c>
      <c r="DG203" s="283">
        <f t="shared" si="88"/>
        <v>-0.86615089903225029</v>
      </c>
      <c r="DH203" s="283">
        <f t="shared" si="89"/>
        <v>-0.42550041241889919</v>
      </c>
      <c r="DI203" s="283">
        <f t="shared" si="90"/>
        <v>0.55130416758386358</v>
      </c>
      <c r="DJ203" s="283">
        <f t="shared" si="91"/>
        <v>0.12911919476781</v>
      </c>
      <c r="DK203" s="283">
        <f t="shared" si="92"/>
        <v>7.7962195609720494E-2</v>
      </c>
      <c r="DL203" s="283">
        <f t="shared" si="93"/>
        <v>0.2519505227383787</v>
      </c>
    </row>
    <row r="204" spans="1:116" x14ac:dyDescent="0.2">
      <c r="A204" s="30">
        <v>611</v>
      </c>
      <c r="B204" s="31" t="s">
        <v>518</v>
      </c>
      <c r="C204" s="65"/>
      <c r="D204" s="65"/>
      <c r="E204" s="65"/>
      <c r="F204" s="65"/>
      <c r="G204" s="65"/>
      <c r="H204" s="65">
        <v>6104</v>
      </c>
      <c r="I204" s="65"/>
      <c r="J204" s="65"/>
      <c r="K204" s="65"/>
      <c r="L204" s="65"/>
      <c r="M204" s="65"/>
      <c r="N204" s="65">
        <v>6000</v>
      </c>
      <c r="O204" s="65"/>
      <c r="P204" s="65"/>
      <c r="Q204" s="65"/>
      <c r="R204" s="65"/>
      <c r="S204" s="65"/>
      <c r="T204" s="65">
        <v>5624</v>
      </c>
      <c r="U204" s="65"/>
      <c r="V204" s="65"/>
      <c r="W204" s="65"/>
      <c r="X204" s="65"/>
      <c r="Y204" s="65"/>
      <c r="Z204" s="65">
        <v>5613</v>
      </c>
      <c r="AA204" s="65"/>
      <c r="AB204" s="66">
        <v>6853.6755450436367</v>
      </c>
      <c r="AC204" s="34">
        <v>96.458091774526295</v>
      </c>
      <c r="AD204" s="180">
        <v>1926.5459171281323</v>
      </c>
      <c r="AE204" s="65">
        <v>0</v>
      </c>
      <c r="AF204" s="34">
        <v>-1222.7729999999999</v>
      </c>
      <c r="AG204" s="65">
        <f t="shared" si="72"/>
        <v>7653.9065539462945</v>
      </c>
      <c r="AH204" s="65"/>
      <c r="AI204" s="66">
        <v>5465.901010068691</v>
      </c>
      <c r="AJ204" s="34">
        <v>-75.257163889434949</v>
      </c>
      <c r="AK204" s="181">
        <v>2082.1528852573579</v>
      </c>
      <c r="AL204" s="65">
        <v>0</v>
      </c>
      <c r="AM204" s="34">
        <v>-1249.6859999999999</v>
      </c>
      <c r="AN204" s="65">
        <f t="shared" si="73"/>
        <v>6223.1107314366145</v>
      </c>
      <c r="AO204" s="65"/>
      <c r="AP204" s="41">
        <v>5289.3149435874493</v>
      </c>
      <c r="AQ204" s="41">
        <v>-23.337780098771287</v>
      </c>
      <c r="AR204" s="41">
        <v>2545.257879926889</v>
      </c>
      <c r="AS204" s="65">
        <v>0</v>
      </c>
      <c r="AT204" s="34">
        <v>-1287.903</v>
      </c>
      <c r="AU204" s="65">
        <f t="shared" si="74"/>
        <v>6523.3320434155667</v>
      </c>
      <c r="AV204" s="65"/>
      <c r="AW204" s="41">
        <v>5114.9218936035404</v>
      </c>
      <c r="AX204" s="314"/>
      <c r="AY204" s="314"/>
      <c r="AZ204" s="41">
        <v>758.88441692466085</v>
      </c>
      <c r="BA204" s="65">
        <v>0</v>
      </c>
      <c r="BB204" s="34">
        <v>-1304.768</v>
      </c>
      <c r="BC204" s="65">
        <f t="shared" si="94"/>
        <v>4569.0383105282017</v>
      </c>
      <c r="BD204" s="65"/>
      <c r="BE204" s="41">
        <v>4306.8575763748622</v>
      </c>
      <c r="BF204" s="314"/>
      <c r="BG204" s="314"/>
      <c r="BH204" s="41">
        <v>719.64143990759374</v>
      </c>
      <c r="BI204" s="65">
        <v>0</v>
      </c>
      <c r="BJ204" s="34">
        <v>-1346.4949999999999</v>
      </c>
      <c r="BK204" s="65">
        <f t="shared" si="95"/>
        <v>3680.0040162824562</v>
      </c>
      <c r="BL204" s="65"/>
      <c r="BM204" s="41">
        <v>4452.4444258321819</v>
      </c>
      <c r="BN204" s="41">
        <v>403.13038872635457</v>
      </c>
      <c r="BO204" s="65">
        <v>0</v>
      </c>
      <c r="BP204" s="34">
        <v>-1346.4949999999999</v>
      </c>
      <c r="BQ204" s="65">
        <f t="shared" si="75"/>
        <v>3509.0798145585368</v>
      </c>
      <c r="BR204" s="65"/>
      <c r="BS204" s="41">
        <v>4273.0029200978634</v>
      </c>
      <c r="BT204" s="314"/>
      <c r="BU204" s="314"/>
      <c r="BV204" s="41">
        <v>425.48958719928896</v>
      </c>
      <c r="BW204" s="65">
        <v>0</v>
      </c>
      <c r="BX204" s="34">
        <v>-1346.4949999999999</v>
      </c>
      <c r="BY204" s="65">
        <f t="shared" si="96"/>
        <v>3351.9975072971529</v>
      </c>
      <c r="CA204" s="5">
        <v>4163.5410060488402</v>
      </c>
      <c r="CB204" s="407">
        <v>462.22617453051868</v>
      </c>
      <c r="CC204" s="415">
        <v>0</v>
      </c>
      <c r="CD204" s="34">
        <v>-1346.4949999999999</v>
      </c>
      <c r="CE204" s="65">
        <f t="shared" si="76"/>
        <v>3279.272180579359</v>
      </c>
      <c r="CF204" s="407"/>
      <c r="CG204" s="5">
        <v>4327.5830385651507</v>
      </c>
      <c r="CH204" s="407">
        <v>492.30440436034439</v>
      </c>
      <c r="CI204" s="415">
        <v>0</v>
      </c>
      <c r="CJ204" s="34">
        <v>-1346.4949999999999</v>
      </c>
      <c r="CK204" s="65">
        <f t="shared" si="77"/>
        <v>3473.3924429254948</v>
      </c>
      <c r="CL204" s="407"/>
      <c r="CM204" s="41">
        <f>AU204/'1. Väestöennuste'!L204*1000</f>
        <v>1301.802443307836</v>
      </c>
      <c r="CN204" s="41">
        <f>BC204/'1. Väestöennuste'!M204*1000</f>
        <v>918.76901478548189</v>
      </c>
      <c r="CO204" s="41">
        <f>BK204/'1. Väestöennuste'!N204*1000</f>
        <v>726.98617469033115</v>
      </c>
      <c r="CP204" s="41">
        <f>BQ204/'1. Väestöennuste'!O204*1000</f>
        <v>692.5359807693975</v>
      </c>
      <c r="CQ204" s="41">
        <f>BY204/'1. Väestöennuste'!P204*1000</f>
        <v>660.49211966446364</v>
      </c>
      <c r="CR204" s="41">
        <f>CE204/'1. Väestöennuste'!Q204*1000</f>
        <v>644.63773944945137</v>
      </c>
      <c r="CS204" s="41">
        <f>CK204/'1. Väestöennuste'!R204*1000</f>
        <v>681.45819951451733</v>
      </c>
      <c r="CT204" s="41"/>
      <c r="CV204" s="41">
        <f t="shared" si="78"/>
        <v>4819.8874429254947</v>
      </c>
      <c r="CW204" s="41">
        <f t="shared" si="79"/>
        <v>-2171.5899996176586</v>
      </c>
      <c r="CX204" s="41">
        <f t="shared" si="80"/>
        <v>-383.03342852235414</v>
      </c>
      <c r="CY204" s="41">
        <f t="shared" si="81"/>
        <v>-191.78284009515073</v>
      </c>
      <c r="CZ204" s="41">
        <f t="shared" si="82"/>
        <v>-34.450193920933657</v>
      </c>
      <c r="DA204" s="41">
        <f t="shared" si="83"/>
        <v>-32.043861104933853</v>
      </c>
      <c r="DB204" s="41">
        <f t="shared" si="84"/>
        <v>-15.85438021501227</v>
      </c>
      <c r="DC204" s="41">
        <f t="shared" si="85"/>
        <v>36.820460065065959</v>
      </c>
      <c r="DD204" s="41"/>
      <c r="DE204" s="283">
        <f t="shared" si="86"/>
        <v>-3.579580646735038</v>
      </c>
      <c r="DF204" s="283">
        <f t="shared" si="87"/>
        <v>-0.62520721032853344</v>
      </c>
      <c r="DG204" s="283">
        <f t="shared" si="88"/>
        <v>-0.2942331461209115</v>
      </c>
      <c r="DH204" s="283">
        <f t="shared" si="89"/>
        <v>-0.20873890717780574</v>
      </c>
      <c r="DI204" s="283">
        <f t="shared" si="90"/>
        <v>-4.7387687854735544E-2</v>
      </c>
      <c r="DJ204" s="283">
        <f t="shared" si="91"/>
        <v>-4.6270319513700336E-2</v>
      </c>
      <c r="DK204" s="283">
        <f t="shared" si="92"/>
        <v>-2.4003890043482197E-2</v>
      </c>
      <c r="DL204" s="283">
        <f t="shared" si="93"/>
        <v>5.7118064630395718E-2</v>
      </c>
    </row>
    <row r="205" spans="1:116" x14ac:dyDescent="0.2">
      <c r="A205" s="30">
        <v>614</v>
      </c>
      <c r="B205" s="31" t="s">
        <v>519</v>
      </c>
      <c r="C205" s="65"/>
      <c r="D205" s="65"/>
      <c r="E205" s="65"/>
      <c r="F205" s="65"/>
      <c r="G205" s="65"/>
      <c r="H205" s="65">
        <v>15907</v>
      </c>
      <c r="I205" s="65"/>
      <c r="J205" s="65"/>
      <c r="K205" s="65"/>
      <c r="L205" s="65"/>
      <c r="M205" s="65"/>
      <c r="N205" s="65">
        <v>17140</v>
      </c>
      <c r="O205" s="65"/>
      <c r="P205" s="65"/>
      <c r="Q205" s="65"/>
      <c r="R205" s="65"/>
      <c r="S205" s="65"/>
      <c r="T205" s="65">
        <v>16916</v>
      </c>
      <c r="U205" s="65"/>
      <c r="V205" s="65"/>
      <c r="W205" s="65"/>
      <c r="X205" s="65"/>
      <c r="Y205" s="65"/>
      <c r="Z205" s="65">
        <v>16864</v>
      </c>
      <c r="AA205" s="65"/>
      <c r="AB205" s="66">
        <v>15956.653243761135</v>
      </c>
      <c r="AC205" s="34">
        <v>48.862254858961279</v>
      </c>
      <c r="AD205" s="180">
        <v>2161.4754331894637</v>
      </c>
      <c r="AE205" s="65">
        <v>0</v>
      </c>
      <c r="AF205" s="34">
        <v>64.343999999999994</v>
      </c>
      <c r="AG205" s="65">
        <f t="shared" si="72"/>
        <v>18231.334931809561</v>
      </c>
      <c r="AH205" s="65"/>
      <c r="AI205" s="66">
        <v>15605.270743158817</v>
      </c>
      <c r="AJ205" s="34">
        <v>-37.847618398481679</v>
      </c>
      <c r="AK205" s="181">
        <v>2280.954562251377</v>
      </c>
      <c r="AL205" s="65">
        <v>0</v>
      </c>
      <c r="AM205" s="34">
        <v>227.94200000000001</v>
      </c>
      <c r="AN205" s="65">
        <f t="shared" si="73"/>
        <v>18076.31968701171</v>
      </c>
      <c r="AO205" s="65"/>
      <c r="AP205" s="41">
        <v>15888.722624715396</v>
      </c>
      <c r="AQ205" s="41">
        <v>-11.616588690744495</v>
      </c>
      <c r="AR205" s="41">
        <v>2511.371991050376</v>
      </c>
      <c r="AS205" s="65">
        <v>0</v>
      </c>
      <c r="AT205" s="34">
        <v>276.85899999999998</v>
      </c>
      <c r="AU205" s="65">
        <f t="shared" si="74"/>
        <v>18665.337027075027</v>
      </c>
      <c r="AV205" s="65"/>
      <c r="AW205" s="41">
        <v>2705.3430694654044</v>
      </c>
      <c r="AX205" s="314"/>
      <c r="AY205" s="314"/>
      <c r="AZ205" s="41">
        <v>765.77322457206776</v>
      </c>
      <c r="BA205" s="65">
        <v>0</v>
      </c>
      <c r="BB205" s="34">
        <v>156.58799999999999</v>
      </c>
      <c r="BC205" s="65">
        <f t="shared" si="94"/>
        <v>3627.7042940374722</v>
      </c>
      <c r="BD205" s="65"/>
      <c r="BE205" s="41">
        <v>2372.2741521620069</v>
      </c>
      <c r="BF205" s="314"/>
      <c r="BG205" s="314"/>
      <c r="BH205" s="41">
        <v>769.00093389053086</v>
      </c>
      <c r="BI205" s="65">
        <v>0</v>
      </c>
      <c r="BJ205" s="34">
        <v>92.683999999999997</v>
      </c>
      <c r="BK205" s="65">
        <f t="shared" si="95"/>
        <v>3233.9590860525377</v>
      </c>
      <c r="BL205" s="65"/>
      <c r="BM205" s="41">
        <v>2791.7274139026322</v>
      </c>
      <c r="BN205" s="41">
        <v>590.08880857141605</v>
      </c>
      <c r="BO205" s="65">
        <v>0</v>
      </c>
      <c r="BP205" s="34">
        <v>92.683999999999997</v>
      </c>
      <c r="BQ205" s="65">
        <f t="shared" si="75"/>
        <v>3474.5002224740483</v>
      </c>
      <c r="BR205" s="65"/>
      <c r="BS205" s="41">
        <v>3126.7130408714975</v>
      </c>
      <c r="BT205" s="314"/>
      <c r="BU205" s="314"/>
      <c r="BV205" s="41">
        <v>625.89388485304391</v>
      </c>
      <c r="BW205" s="65">
        <v>0</v>
      </c>
      <c r="BX205" s="34">
        <v>92.683999999999997</v>
      </c>
      <c r="BY205" s="65">
        <f t="shared" si="96"/>
        <v>3845.2909257245415</v>
      </c>
      <c r="CA205" s="5">
        <v>3243.9795450558663</v>
      </c>
      <c r="CB205" s="407">
        <v>661.6232611712652</v>
      </c>
      <c r="CC205" s="415">
        <v>0</v>
      </c>
      <c r="CD205" s="34">
        <v>92.683999999999997</v>
      </c>
      <c r="CE205" s="65">
        <f t="shared" si="76"/>
        <v>3998.2868062271318</v>
      </c>
      <c r="CF205" s="407"/>
      <c r="CG205" s="5">
        <v>3752.5945127385621</v>
      </c>
      <c r="CH205" s="407">
        <v>693.59214707614046</v>
      </c>
      <c r="CI205" s="415">
        <v>0</v>
      </c>
      <c r="CJ205" s="34">
        <v>92.683999999999997</v>
      </c>
      <c r="CK205" s="65">
        <f t="shared" si="77"/>
        <v>4538.8706598147028</v>
      </c>
      <c r="CL205" s="407"/>
      <c r="CM205" s="41">
        <f>AU205/'1. Väestöennuste'!L205*1000</f>
        <v>6223.8536269006427</v>
      </c>
      <c r="CN205" s="41">
        <f>BC205/'1. Väestöennuste'!M205*1000</f>
        <v>1241.0893924178829</v>
      </c>
      <c r="CO205" s="41">
        <f>BK205/'1. Väestöennuste'!N205*1000</f>
        <v>1132.338615564614</v>
      </c>
      <c r="CP205" s="41">
        <f>BQ205/'1. Väestöennuste'!O205*1000</f>
        <v>1239.1227612246962</v>
      </c>
      <c r="CQ205" s="41">
        <f>BY205/'1. Väestöennuste'!P205*1000</f>
        <v>1394.737368779304</v>
      </c>
      <c r="CR205" s="41">
        <f>CE205/'1. Väestöennuste'!Q205*1000</f>
        <v>1475.3825853236649</v>
      </c>
      <c r="CS205" s="41">
        <f>CK205/'1. Väestöennuste'!R205*1000</f>
        <v>1701.8637644599562</v>
      </c>
      <c r="CT205" s="41"/>
      <c r="CV205" s="41">
        <f t="shared" si="78"/>
        <v>4446.1866598147026</v>
      </c>
      <c r="CW205" s="41">
        <f t="shared" si="79"/>
        <v>1684.9829670859399</v>
      </c>
      <c r="CX205" s="41">
        <f t="shared" si="80"/>
        <v>-4982.76423448276</v>
      </c>
      <c r="CY205" s="41">
        <f t="shared" si="81"/>
        <v>-108.75077685326892</v>
      </c>
      <c r="CZ205" s="41">
        <f t="shared" si="82"/>
        <v>106.78414566008223</v>
      </c>
      <c r="DA205" s="41">
        <f t="shared" si="83"/>
        <v>155.6146075546078</v>
      </c>
      <c r="DB205" s="41">
        <f t="shared" si="84"/>
        <v>80.645216544360892</v>
      </c>
      <c r="DC205" s="41">
        <f t="shared" si="85"/>
        <v>226.4811791362913</v>
      </c>
      <c r="DD205" s="41"/>
      <c r="DE205" s="283">
        <f t="shared" si="86"/>
        <v>47.971458502165454</v>
      </c>
      <c r="DF205" s="283">
        <f t="shared" si="87"/>
        <v>0.37123396839748868</v>
      </c>
      <c r="DG205" s="283">
        <f t="shared" si="88"/>
        <v>-0.80059148771531752</v>
      </c>
      <c r="DH205" s="283">
        <f t="shared" si="89"/>
        <v>-8.7625256905468601E-2</v>
      </c>
      <c r="DI205" s="283">
        <f t="shared" si="90"/>
        <v>9.4304074940371824E-2</v>
      </c>
      <c r="DJ205" s="283">
        <f t="shared" si="91"/>
        <v>0.12558449608399166</v>
      </c>
      <c r="DK205" s="283">
        <f t="shared" si="92"/>
        <v>5.7821076820321268E-2</v>
      </c>
      <c r="DL205" s="283">
        <f t="shared" si="93"/>
        <v>0.15350674556498614</v>
      </c>
    </row>
    <row r="206" spans="1:116" x14ac:dyDescent="0.2">
      <c r="A206" s="30">
        <v>615</v>
      </c>
      <c r="B206" s="31" t="s">
        <v>520</v>
      </c>
      <c r="C206" s="65"/>
      <c r="D206" s="65"/>
      <c r="E206" s="65"/>
      <c r="F206" s="65"/>
      <c r="G206" s="65"/>
      <c r="H206" s="65">
        <v>38491</v>
      </c>
      <c r="I206" s="65"/>
      <c r="J206" s="65"/>
      <c r="K206" s="65"/>
      <c r="L206" s="65"/>
      <c r="M206" s="65"/>
      <c r="N206" s="65">
        <v>36935</v>
      </c>
      <c r="O206" s="65"/>
      <c r="P206" s="65"/>
      <c r="Q206" s="65"/>
      <c r="R206" s="65"/>
      <c r="S206" s="65"/>
      <c r="T206" s="65">
        <v>35877</v>
      </c>
      <c r="U206" s="65"/>
      <c r="V206" s="65"/>
      <c r="W206" s="65"/>
      <c r="X206" s="65"/>
      <c r="Y206" s="65"/>
      <c r="Z206" s="65">
        <v>36443</v>
      </c>
      <c r="AA206" s="65"/>
      <c r="AB206" s="66">
        <v>34999.277843272925</v>
      </c>
      <c r="AC206" s="34">
        <v>111.49381628701964</v>
      </c>
      <c r="AD206" s="180">
        <v>4402.8450985514201</v>
      </c>
      <c r="AE206" s="65">
        <v>950</v>
      </c>
      <c r="AF206" s="34">
        <v>-10.153</v>
      </c>
      <c r="AG206" s="65">
        <f t="shared" si="72"/>
        <v>40453.463758111364</v>
      </c>
      <c r="AH206" s="65"/>
      <c r="AI206" s="66">
        <v>34281.932744607562</v>
      </c>
      <c r="AJ206" s="34">
        <v>-85.445817900352722</v>
      </c>
      <c r="AK206" s="181">
        <v>4680.8159905601333</v>
      </c>
      <c r="AL206" s="65">
        <v>0</v>
      </c>
      <c r="AM206" s="34">
        <v>-538.33500000000004</v>
      </c>
      <c r="AN206" s="65">
        <f t="shared" si="73"/>
        <v>38338.967917267342</v>
      </c>
      <c r="AO206" s="65"/>
      <c r="AP206" s="41">
        <v>35013.185901595818</v>
      </c>
      <c r="AQ206" s="41">
        <v>-26.110153984782517</v>
      </c>
      <c r="AR206" s="41">
        <v>5221.0865938135084</v>
      </c>
      <c r="AS206" s="65">
        <v>0</v>
      </c>
      <c r="AT206" s="34">
        <v>-170.506</v>
      </c>
      <c r="AU206" s="65">
        <f t="shared" si="74"/>
        <v>40037.656341424547</v>
      </c>
      <c r="AV206" s="65"/>
      <c r="AW206" s="41">
        <v>13707.5657310731</v>
      </c>
      <c r="AX206" s="314"/>
      <c r="AY206" s="314"/>
      <c r="AZ206" s="41">
        <v>1559.9063044823693</v>
      </c>
      <c r="BA206" s="65">
        <v>0</v>
      </c>
      <c r="BB206" s="34">
        <v>-86.084999999999994</v>
      </c>
      <c r="BC206" s="65">
        <f t="shared" si="94"/>
        <v>15181.38703555547</v>
      </c>
      <c r="BD206" s="65"/>
      <c r="BE206" s="41">
        <v>13692.616545106825</v>
      </c>
      <c r="BF206" s="314"/>
      <c r="BG206" s="314"/>
      <c r="BH206" s="41">
        <v>1557.0670265398103</v>
      </c>
      <c r="BI206" s="65">
        <v>0</v>
      </c>
      <c r="BJ206" s="34">
        <v>164.91399999999999</v>
      </c>
      <c r="BK206" s="65">
        <f t="shared" si="95"/>
        <v>15414.597571646635</v>
      </c>
      <c r="BL206" s="65"/>
      <c r="BM206" s="41">
        <v>15304.657296615884</v>
      </c>
      <c r="BN206" s="41">
        <v>1094.5392357505011</v>
      </c>
      <c r="BO206" s="65">
        <v>0</v>
      </c>
      <c r="BP206" s="34">
        <v>164.91399999999999</v>
      </c>
      <c r="BQ206" s="65">
        <f t="shared" si="75"/>
        <v>16564.110532366387</v>
      </c>
      <c r="BR206" s="65"/>
      <c r="BS206" s="41">
        <v>15279.057308150554</v>
      </c>
      <c r="BT206" s="314"/>
      <c r="BU206" s="314"/>
      <c r="BV206" s="41">
        <v>1170.8904584562629</v>
      </c>
      <c r="BW206" s="65">
        <v>0</v>
      </c>
      <c r="BX206" s="34">
        <v>164.91399999999999</v>
      </c>
      <c r="BY206" s="65">
        <f t="shared" si="96"/>
        <v>16614.861766606817</v>
      </c>
      <c r="CA206" s="5">
        <v>15379.047318637493</v>
      </c>
      <c r="CB206" s="407">
        <v>1246.9347800394241</v>
      </c>
      <c r="CC206" s="415">
        <v>0</v>
      </c>
      <c r="CD206" s="34">
        <v>164.91399999999999</v>
      </c>
      <c r="CE206" s="65">
        <f t="shared" si="76"/>
        <v>16790.896098676916</v>
      </c>
      <c r="CF206" s="407"/>
      <c r="CG206" s="5">
        <v>16383.904035906658</v>
      </c>
      <c r="CH206" s="407">
        <v>1313.2935590300551</v>
      </c>
      <c r="CI206" s="415">
        <v>0</v>
      </c>
      <c r="CJ206" s="34">
        <v>164.91399999999999</v>
      </c>
      <c r="CK206" s="65">
        <f t="shared" si="77"/>
        <v>17862.111594936716</v>
      </c>
      <c r="CL206" s="407"/>
      <c r="CM206" s="41">
        <f>AU206/'1. Väestöennuste'!L206*1000</f>
        <v>5266.0339788799884</v>
      </c>
      <c r="CN206" s="41">
        <f>BC206/'1. Väestöennuste'!M206*1000</f>
        <v>2029.8685700702595</v>
      </c>
      <c r="CO206" s="41">
        <f>BK206/'1. Väestöennuste'!N206*1000</f>
        <v>2082.7722701860066</v>
      </c>
      <c r="CP206" s="41">
        <f>BQ206/'1. Väestöennuste'!O206*1000</f>
        <v>2264.7129521966622</v>
      </c>
      <c r="CQ206" s="41">
        <f>BY206/'1. Väestöennuste'!P206*1000</f>
        <v>2298.6803772283915</v>
      </c>
      <c r="CR206" s="41">
        <f>CE206/'1. Väestöennuste'!Q206*1000</f>
        <v>2348.7055670271252</v>
      </c>
      <c r="CS206" s="41">
        <f>CK206/'1. Väestöennuste'!R206*1000</f>
        <v>2526.1082725126171</v>
      </c>
      <c r="CT206" s="41"/>
      <c r="CV206" s="41">
        <f t="shared" si="78"/>
        <v>17697.197594936715</v>
      </c>
      <c r="CW206" s="41">
        <f t="shared" si="79"/>
        <v>-12596.077616056727</v>
      </c>
      <c r="CX206" s="41">
        <f t="shared" si="80"/>
        <v>-3236.1654088097289</v>
      </c>
      <c r="CY206" s="41">
        <f t="shared" si="81"/>
        <v>52.903700115747142</v>
      </c>
      <c r="CZ206" s="41">
        <f t="shared" si="82"/>
        <v>181.94068201065556</v>
      </c>
      <c r="DA206" s="41">
        <f t="shared" si="83"/>
        <v>33.967425031729363</v>
      </c>
      <c r="DB206" s="41">
        <f t="shared" si="84"/>
        <v>50.025189798733663</v>
      </c>
      <c r="DC206" s="41">
        <f t="shared" si="85"/>
        <v>177.40270548549188</v>
      </c>
      <c r="DD206" s="41"/>
      <c r="DE206" s="283">
        <f t="shared" si="86"/>
        <v>107.31167514544985</v>
      </c>
      <c r="DF206" s="283">
        <f t="shared" si="87"/>
        <v>-0.70518412949716847</v>
      </c>
      <c r="DG206" s="283">
        <f t="shared" si="88"/>
        <v>-0.61453561100986587</v>
      </c>
      <c r="DH206" s="283">
        <f t="shared" si="89"/>
        <v>2.6062623411089121E-2</v>
      </c>
      <c r="DI206" s="283">
        <f t="shared" si="90"/>
        <v>8.7355052981575823E-2</v>
      </c>
      <c r="DJ206" s="283">
        <f t="shared" si="91"/>
        <v>1.4998556439032418E-2</v>
      </c>
      <c r="DK206" s="283">
        <f t="shared" si="92"/>
        <v>2.1762568773937587E-2</v>
      </c>
      <c r="DL206" s="283">
        <f t="shared" si="93"/>
        <v>7.5532117765633525E-2</v>
      </c>
    </row>
    <row r="207" spans="1:116" x14ac:dyDescent="0.2">
      <c r="A207" s="30">
        <v>616</v>
      </c>
      <c r="B207" s="31" t="s">
        <v>521</v>
      </c>
      <c r="C207" s="65"/>
      <c r="D207" s="65"/>
      <c r="E207" s="65"/>
      <c r="F207" s="65"/>
      <c r="G207" s="65"/>
      <c r="H207" s="65">
        <v>3587</v>
      </c>
      <c r="I207" s="65"/>
      <c r="J207" s="65"/>
      <c r="K207" s="65"/>
      <c r="L207" s="65"/>
      <c r="M207" s="65"/>
      <c r="N207" s="65">
        <v>3432</v>
      </c>
      <c r="O207" s="65"/>
      <c r="P207" s="65"/>
      <c r="Q207" s="65"/>
      <c r="R207" s="65"/>
      <c r="S207" s="65"/>
      <c r="T207" s="65">
        <v>3373</v>
      </c>
      <c r="U207" s="65"/>
      <c r="V207" s="65"/>
      <c r="W207" s="65"/>
      <c r="X207" s="65"/>
      <c r="Y207" s="65"/>
      <c r="Z207" s="65">
        <v>3422</v>
      </c>
      <c r="AA207" s="65"/>
      <c r="AB207" s="66">
        <v>3780.4122920428154</v>
      </c>
      <c r="AC207" s="34">
        <v>33.333557842585734</v>
      </c>
      <c r="AD207" s="180">
        <v>1026.2903222920195</v>
      </c>
      <c r="AE207" s="65">
        <v>0</v>
      </c>
      <c r="AF207" s="34">
        <v>-476.93</v>
      </c>
      <c r="AG207" s="65">
        <f t="shared" ref="AG207:AG270" si="97">SUM(AB207:AF207)</f>
        <v>4363.1061721774204</v>
      </c>
      <c r="AH207" s="65"/>
      <c r="AI207" s="66">
        <v>3314.2249078309414</v>
      </c>
      <c r="AJ207" s="34">
        <v>-25.946108292973051</v>
      </c>
      <c r="AK207" s="181">
        <v>1099.8667956779384</v>
      </c>
      <c r="AL207" s="65">
        <v>0</v>
      </c>
      <c r="AM207" s="34">
        <v>-498.80900000000003</v>
      </c>
      <c r="AN207" s="65">
        <f t="shared" ref="AN207:AN270" si="98">SUM(AI207:AM207)</f>
        <v>3889.3365952159065</v>
      </c>
      <c r="AO207" s="65"/>
      <c r="AP207" s="41">
        <v>3346.7307121598346</v>
      </c>
      <c r="AQ207" s="41">
        <v>-8.030355769462675</v>
      </c>
      <c r="AR207" s="41">
        <v>1292.8116487046532</v>
      </c>
      <c r="AS207" s="65">
        <v>0</v>
      </c>
      <c r="AT207" s="34">
        <v>-488.69200000000001</v>
      </c>
      <c r="AU207" s="65">
        <f t="shared" ref="AU207:AU270" si="99">SUM(AP207:AT207)</f>
        <v>4142.8200050950245</v>
      </c>
      <c r="AV207" s="65"/>
      <c r="AW207" s="41">
        <v>1231.796956632475</v>
      </c>
      <c r="AX207" s="314"/>
      <c r="AY207" s="314"/>
      <c r="AZ207" s="41">
        <v>391.26480938673939</v>
      </c>
      <c r="BA207" s="65">
        <v>180</v>
      </c>
      <c r="BB207" s="34">
        <v>-511.29300000000001</v>
      </c>
      <c r="BC207" s="65">
        <f t="shared" si="94"/>
        <v>1291.7687660192146</v>
      </c>
      <c r="BD207" s="65"/>
      <c r="BE207" s="41">
        <v>689.62201997622969</v>
      </c>
      <c r="BF207" s="314"/>
      <c r="BG207" s="314"/>
      <c r="BH207" s="41">
        <v>380.14871369228439</v>
      </c>
      <c r="BI207" s="65">
        <v>0</v>
      </c>
      <c r="BJ207" s="34">
        <v>-495.44799999999998</v>
      </c>
      <c r="BK207" s="65">
        <f t="shared" si="95"/>
        <v>574.32273366851416</v>
      </c>
      <c r="BL207" s="65"/>
      <c r="BM207" s="41">
        <v>919.76667237249171</v>
      </c>
      <c r="BN207" s="41">
        <v>250.38462498991237</v>
      </c>
      <c r="BO207" s="65">
        <v>0</v>
      </c>
      <c r="BP207" s="34">
        <v>-495.44799999999998</v>
      </c>
      <c r="BQ207" s="65">
        <f t="shared" ref="BQ207:BQ270" si="100">BM207+BN207+BO207+BP207</f>
        <v>674.70329736240399</v>
      </c>
      <c r="BR207" s="65"/>
      <c r="BS207" s="41">
        <v>1004.2482927821237</v>
      </c>
      <c r="BT207" s="314"/>
      <c r="BU207" s="314"/>
      <c r="BV207" s="41">
        <v>264.4931578436541</v>
      </c>
      <c r="BW207" s="65">
        <v>0</v>
      </c>
      <c r="BX207" s="34">
        <v>-495.44799999999998</v>
      </c>
      <c r="BY207" s="65">
        <f t="shared" si="96"/>
        <v>773.29345062577784</v>
      </c>
      <c r="CA207" s="5">
        <v>1070.0051435713469</v>
      </c>
      <c r="CB207" s="407">
        <v>281.52892827247598</v>
      </c>
      <c r="CC207" s="415">
        <v>0</v>
      </c>
      <c r="CD207" s="34">
        <v>-495.44799999999998</v>
      </c>
      <c r="CE207" s="65">
        <f t="shared" ref="CE207:CE270" si="101">CA207+CB207+CC207+CD207</f>
        <v>856.08607184382288</v>
      </c>
      <c r="CF207" s="407"/>
      <c r="CG207" s="5">
        <v>1196.3684989630456</v>
      </c>
      <c r="CH207" s="407">
        <v>296.44790760402805</v>
      </c>
      <c r="CI207" s="415">
        <v>0</v>
      </c>
      <c r="CJ207" s="34">
        <v>-495.44799999999998</v>
      </c>
      <c r="CK207" s="65">
        <f t="shared" ref="CK207:CK270" si="102">CG207+CH207+CI207+CJ207</f>
        <v>997.36840656707352</v>
      </c>
      <c r="CL207" s="407"/>
      <c r="CM207" s="41">
        <f>AU207/'1. Väestöennuste'!L207*1000</f>
        <v>2292.6508052545792</v>
      </c>
      <c r="CN207" s="41">
        <f>BC207/'1. Väestöennuste'!M207*1000</f>
        <v>725.30531500236634</v>
      </c>
      <c r="CO207" s="41">
        <f>BK207/'1. Väestöennuste'!N207*1000</f>
        <v>329.31349407598287</v>
      </c>
      <c r="CP207" s="41">
        <f>BQ207/'1. Väestöennuste'!O207*1000</f>
        <v>390.45329708472451</v>
      </c>
      <c r="CQ207" s="41">
        <f>BY207/'1. Väestöennuste'!P207*1000</f>
        <v>450.37475283970753</v>
      </c>
      <c r="CR207" s="41">
        <f>CE207/'1. Väestöennuste'!Q207*1000</f>
        <v>501.80895184280359</v>
      </c>
      <c r="CS207" s="41">
        <f>CK207/'1. Väestöennuste'!R207*1000</f>
        <v>587.72445879026134</v>
      </c>
      <c r="CT207" s="41"/>
      <c r="CV207" s="41">
        <f t="shared" ref="CV207:CV270" si="103">CK207-CJ207</f>
        <v>1492.8164065670735</v>
      </c>
      <c r="CW207" s="41">
        <f t="shared" ref="CW207:CW270" si="104">CM207-CK207</f>
        <v>1295.2823986875055</v>
      </c>
      <c r="CX207" s="41">
        <f t="shared" ref="CX207:CX270" si="105">CN207-CM207</f>
        <v>-1567.3454902522128</v>
      </c>
      <c r="CY207" s="41">
        <f t="shared" ref="CY207:CY270" si="106">CO207-CN207</f>
        <v>-395.99182092638347</v>
      </c>
      <c r="CZ207" s="41">
        <f t="shared" ref="CZ207:CZ270" si="107">CP207-CO207</f>
        <v>61.139803008741637</v>
      </c>
      <c r="DA207" s="41">
        <f t="shared" ref="DA207:DA270" si="108">CQ207-CP207</f>
        <v>59.921455754983015</v>
      </c>
      <c r="DB207" s="41">
        <f t="shared" ref="DB207:DB270" si="109">CR207-CQ207</f>
        <v>51.434199003096069</v>
      </c>
      <c r="DC207" s="41">
        <f t="shared" ref="DC207:DC270" si="110">CS207-CR207</f>
        <v>85.915506947457743</v>
      </c>
      <c r="DD207" s="41"/>
      <c r="DE207" s="283">
        <f t="shared" ref="DE207:DE270" si="111">(CK207-CJ207)/CJ207</f>
        <v>-3.0130637454729325</v>
      </c>
      <c r="DF207" s="283">
        <f t="shared" ref="DF207:DF270" si="112">(CM207-CK207)/CK207</f>
        <v>1.2987000492083436</v>
      </c>
      <c r="DG207" s="283">
        <f t="shared" ref="DG207:DG270" si="113">(CN207-CM207)/CM207</f>
        <v>-0.68363899406746875</v>
      </c>
      <c r="DH207" s="283">
        <f t="shared" ref="DH207:DH270" si="114">(CO207-CN207)/CN207</f>
        <v>-0.54596569573613496</v>
      </c>
      <c r="DI207" s="283">
        <f t="shared" ref="DI207:DI270" si="115">(CP207-CO207)/CO207</f>
        <v>0.18565835930985197</v>
      </c>
      <c r="DJ207" s="283">
        <f t="shared" ref="DJ207:DJ270" si="116">(CQ207-CP207)/CP207</f>
        <v>0.15346638433425919</v>
      </c>
      <c r="DK207" s="283">
        <f t="shared" ref="DK207:DK270" si="117">(CR207-CQ207)/CQ207</f>
        <v>0.11420311347115403</v>
      </c>
      <c r="DL207" s="283">
        <f t="shared" ref="DL207:DL270" si="118">(CS207-CR207)/CR207</f>
        <v>0.17121158686378235</v>
      </c>
    </row>
    <row r="208" spans="1:116" x14ac:dyDescent="0.2">
      <c r="A208" s="30">
        <v>619</v>
      </c>
      <c r="B208" s="31" t="s">
        <v>522</v>
      </c>
      <c r="C208" s="65"/>
      <c r="D208" s="65"/>
      <c r="E208" s="65"/>
      <c r="F208" s="65"/>
      <c r="G208" s="65"/>
      <c r="H208" s="65">
        <v>11231</v>
      </c>
      <c r="I208" s="65"/>
      <c r="J208" s="65"/>
      <c r="K208" s="65"/>
      <c r="L208" s="65"/>
      <c r="M208" s="65"/>
      <c r="N208" s="65">
        <v>10920</v>
      </c>
      <c r="O208" s="65"/>
      <c r="P208" s="65"/>
      <c r="Q208" s="65"/>
      <c r="R208" s="65"/>
      <c r="S208" s="65"/>
      <c r="T208" s="65">
        <v>10108</v>
      </c>
      <c r="U208" s="65"/>
      <c r="V208" s="65"/>
      <c r="W208" s="65"/>
      <c r="X208" s="65"/>
      <c r="Y208" s="65"/>
      <c r="Z208" s="65">
        <v>9921</v>
      </c>
      <c r="AA208" s="65"/>
      <c r="AB208" s="66">
        <v>9454.9742240127434</v>
      </c>
      <c r="AC208" s="34">
        <v>43.484253646163531</v>
      </c>
      <c r="AD208" s="180">
        <v>1850.1632952759103</v>
      </c>
      <c r="AE208" s="65">
        <v>0</v>
      </c>
      <c r="AF208" s="34">
        <v>37.792999999999999</v>
      </c>
      <c r="AG208" s="65">
        <f t="shared" si="97"/>
        <v>11386.414772934817</v>
      </c>
      <c r="AH208" s="65"/>
      <c r="AI208" s="66">
        <v>9011.2489799427531</v>
      </c>
      <c r="AJ208" s="34">
        <v>-33.7472668097667</v>
      </c>
      <c r="AK208" s="181">
        <v>1968.2085280577364</v>
      </c>
      <c r="AL208" s="65">
        <v>0</v>
      </c>
      <c r="AM208" s="34">
        <v>125.646</v>
      </c>
      <c r="AN208" s="65">
        <f t="shared" si="98"/>
        <v>11071.356241190722</v>
      </c>
      <c r="AO208" s="65"/>
      <c r="AP208" s="41">
        <v>9827.8270958132398</v>
      </c>
      <c r="AQ208" s="41">
        <v>-10.415038248346084</v>
      </c>
      <c r="AR208" s="41">
        <v>2196.9435405581089</v>
      </c>
      <c r="AS208" s="65">
        <v>0</v>
      </c>
      <c r="AT208" s="34">
        <v>-195.77</v>
      </c>
      <c r="AU208" s="65">
        <f t="shared" si="99"/>
        <v>11818.585598123002</v>
      </c>
      <c r="AV208" s="65"/>
      <c r="AW208" s="41">
        <v>3079.7884796931389</v>
      </c>
      <c r="AX208" s="314"/>
      <c r="AY208" s="314"/>
      <c r="AZ208" s="41">
        <v>692.33235488204184</v>
      </c>
      <c r="BA208" s="65">
        <v>0</v>
      </c>
      <c r="BB208" s="34">
        <v>-275.084</v>
      </c>
      <c r="BC208" s="65">
        <f t="shared" ref="BC208:BC271" si="119">AW208+AZ208+BA208+BB208</f>
        <v>3497.0368345751808</v>
      </c>
      <c r="BD208" s="65"/>
      <c r="BE208" s="41">
        <v>2656.139353240033</v>
      </c>
      <c r="BF208" s="314"/>
      <c r="BG208" s="314"/>
      <c r="BH208" s="41">
        <v>688.81151824984761</v>
      </c>
      <c r="BI208" s="65">
        <v>0</v>
      </c>
      <c r="BJ208" s="34">
        <v>71.171000000000006</v>
      </c>
      <c r="BK208" s="65">
        <f t="shared" ref="BK208:BK271" si="120">BE208+BH208+BI208+BJ208</f>
        <v>3416.1218714898805</v>
      </c>
      <c r="BL208" s="65"/>
      <c r="BM208" s="41">
        <v>2986.3775516791757</v>
      </c>
      <c r="BN208" s="41">
        <v>526.8118433215817</v>
      </c>
      <c r="BO208" s="65">
        <v>0</v>
      </c>
      <c r="BP208" s="34">
        <v>71.171000000000006</v>
      </c>
      <c r="BQ208" s="65">
        <f t="shared" si="100"/>
        <v>3584.3603950007573</v>
      </c>
      <c r="BR208" s="65"/>
      <c r="BS208" s="41">
        <v>3178.4976145770702</v>
      </c>
      <c r="BT208" s="314"/>
      <c r="BU208" s="314"/>
      <c r="BV208" s="41">
        <v>558.24707667882524</v>
      </c>
      <c r="BW208" s="65">
        <v>0</v>
      </c>
      <c r="BX208" s="34">
        <v>71.171000000000006</v>
      </c>
      <c r="BY208" s="65">
        <f t="shared" ref="BY208:BY271" si="121">BS208+BV208+BW208+BX208</f>
        <v>3807.9156912558951</v>
      </c>
      <c r="CA208" s="5">
        <v>3146.4847881923083</v>
      </c>
      <c r="CB208" s="407">
        <v>589.4619108561343</v>
      </c>
      <c r="CC208" s="415">
        <v>0</v>
      </c>
      <c r="CD208" s="34">
        <v>71.171000000000006</v>
      </c>
      <c r="CE208" s="65">
        <f t="shared" si="101"/>
        <v>3807.1176990484423</v>
      </c>
      <c r="CF208" s="407"/>
      <c r="CG208" s="5">
        <v>3528.6733444341094</v>
      </c>
      <c r="CH208" s="407">
        <v>617.11327224892102</v>
      </c>
      <c r="CI208" s="415">
        <v>0</v>
      </c>
      <c r="CJ208" s="34">
        <v>71.171000000000006</v>
      </c>
      <c r="CK208" s="65">
        <f t="shared" si="102"/>
        <v>4216.9576166830302</v>
      </c>
      <c r="CL208" s="407"/>
      <c r="CM208" s="41">
        <f>AU208/'1. Väestöennuste'!L208*1000</f>
        <v>4418.1628404198136</v>
      </c>
      <c r="CN208" s="41">
        <f>BC208/'1. Väestöennuste'!M208*1000</f>
        <v>1319.6365413491249</v>
      </c>
      <c r="CO208" s="41">
        <f>BK208/'1. Väestöennuste'!N208*1000</f>
        <v>1332.8606599648383</v>
      </c>
      <c r="CP208" s="41">
        <f>BQ208/'1. Väestöennuste'!O208*1000</f>
        <v>1424.6265480925108</v>
      </c>
      <c r="CQ208" s="41">
        <f>BY208/'1. Väestöennuste'!P208*1000</f>
        <v>1539.1736828035146</v>
      </c>
      <c r="CR208" s="41">
        <f>CE208/'1. Väestöennuste'!Q208*1000</f>
        <v>1562.8561982957481</v>
      </c>
      <c r="CS208" s="41">
        <f>CK208/'1. Väestöennuste'!R208*1000</f>
        <v>1757.0656736179294</v>
      </c>
      <c r="CT208" s="41"/>
      <c r="CV208" s="41">
        <f t="shared" si="103"/>
        <v>4145.7866166830299</v>
      </c>
      <c r="CW208" s="41">
        <f t="shared" si="104"/>
        <v>201.20522373678341</v>
      </c>
      <c r="CX208" s="41">
        <f t="shared" si="105"/>
        <v>-3098.5262990706888</v>
      </c>
      <c r="CY208" s="41">
        <f t="shared" si="106"/>
        <v>13.224118615713451</v>
      </c>
      <c r="CZ208" s="41">
        <f t="shared" si="107"/>
        <v>91.765888127672497</v>
      </c>
      <c r="DA208" s="41">
        <f t="shared" si="108"/>
        <v>114.54713471100376</v>
      </c>
      <c r="DB208" s="41">
        <f t="shared" si="109"/>
        <v>23.682515492233506</v>
      </c>
      <c r="DC208" s="41">
        <f t="shared" si="110"/>
        <v>194.20947532218133</v>
      </c>
      <c r="DD208" s="41"/>
      <c r="DE208" s="283">
        <f t="shared" si="111"/>
        <v>58.251065977477197</v>
      </c>
      <c r="DF208" s="283">
        <f t="shared" si="112"/>
        <v>4.7713361628483046E-2</v>
      </c>
      <c r="DG208" s="283">
        <f t="shared" si="113"/>
        <v>-0.70131554924224271</v>
      </c>
      <c r="DH208" s="283">
        <f t="shared" si="114"/>
        <v>1.0021030944015713E-2</v>
      </c>
      <c r="DI208" s="283">
        <f t="shared" si="115"/>
        <v>6.8848823349691585E-2</v>
      </c>
      <c r="DJ208" s="283">
        <f t="shared" si="116"/>
        <v>8.0405026050072895E-2</v>
      </c>
      <c r="DK208" s="283">
        <f t="shared" si="117"/>
        <v>1.5386512748254111E-2</v>
      </c>
      <c r="DL208" s="283">
        <f t="shared" si="118"/>
        <v>0.12426573573049232</v>
      </c>
    </row>
    <row r="209" spans="1:116" x14ac:dyDescent="0.2">
      <c r="A209" s="30">
        <v>620</v>
      </c>
      <c r="B209" s="31" t="s">
        <v>523</v>
      </c>
      <c r="C209" s="65"/>
      <c r="D209" s="65"/>
      <c r="E209" s="65"/>
      <c r="F209" s="65"/>
      <c r="G209" s="65"/>
      <c r="H209" s="65">
        <v>14110</v>
      </c>
      <c r="I209" s="65"/>
      <c r="J209" s="65"/>
      <c r="K209" s="65"/>
      <c r="L209" s="65"/>
      <c r="M209" s="65"/>
      <c r="N209" s="65">
        <v>14220</v>
      </c>
      <c r="O209" s="65"/>
      <c r="P209" s="65"/>
      <c r="Q209" s="65"/>
      <c r="R209" s="65"/>
      <c r="S209" s="65"/>
      <c r="T209" s="65">
        <v>13845</v>
      </c>
      <c r="U209" s="65"/>
      <c r="V209" s="65"/>
      <c r="W209" s="65"/>
      <c r="X209" s="65"/>
      <c r="Y209" s="65"/>
      <c r="Z209" s="65">
        <v>14183</v>
      </c>
      <c r="AA209" s="65"/>
      <c r="AB209" s="66">
        <v>13582.898785480058</v>
      </c>
      <c r="AC209" s="34">
        <v>40.412692360266938</v>
      </c>
      <c r="AD209" s="180">
        <v>1613.4876710627727</v>
      </c>
      <c r="AE209" s="65">
        <v>0</v>
      </c>
      <c r="AF209" s="34">
        <v>-58.396000000000001</v>
      </c>
      <c r="AG209" s="65">
        <f t="shared" si="97"/>
        <v>15178.403148903097</v>
      </c>
      <c r="AH209" s="65"/>
      <c r="AI209" s="66">
        <v>13039.533110443052</v>
      </c>
      <c r="AJ209" s="34">
        <v>-30.79668887712857</v>
      </c>
      <c r="AK209" s="181">
        <v>1708.2696431418042</v>
      </c>
      <c r="AL209" s="65">
        <v>0</v>
      </c>
      <c r="AM209" s="34">
        <v>-195.19</v>
      </c>
      <c r="AN209" s="65">
        <f t="shared" si="98"/>
        <v>14521.816064707727</v>
      </c>
      <c r="AO209" s="65"/>
      <c r="AP209" s="41">
        <v>13602.709931815694</v>
      </c>
      <c r="AQ209" s="41">
        <v>-9.3684487252474806</v>
      </c>
      <c r="AR209" s="41">
        <v>1876.367064981536</v>
      </c>
      <c r="AS209" s="65">
        <v>0</v>
      </c>
      <c r="AT209" s="34">
        <v>-116.298</v>
      </c>
      <c r="AU209" s="65">
        <f t="shared" si="99"/>
        <v>15353.410548071983</v>
      </c>
      <c r="AV209" s="65"/>
      <c r="AW209" s="41">
        <v>3295.8808950070675</v>
      </c>
      <c r="AX209" s="314"/>
      <c r="AY209" s="314"/>
      <c r="AZ209" s="41">
        <v>592.88019126909296</v>
      </c>
      <c r="BA209" s="65">
        <v>0</v>
      </c>
      <c r="BB209" s="34">
        <v>106.429</v>
      </c>
      <c r="BC209" s="65">
        <f t="shared" si="119"/>
        <v>3995.1900862761604</v>
      </c>
      <c r="BD209" s="65"/>
      <c r="BE209" s="41">
        <v>3083.2462938702879</v>
      </c>
      <c r="BF209" s="314"/>
      <c r="BG209" s="314"/>
      <c r="BH209" s="41">
        <v>591.00461593204807</v>
      </c>
      <c r="BI209" s="65">
        <v>0</v>
      </c>
      <c r="BJ209" s="34">
        <v>83.849000000000004</v>
      </c>
      <c r="BK209" s="65">
        <f t="shared" si="120"/>
        <v>3758.0999098023362</v>
      </c>
      <c r="BL209" s="65"/>
      <c r="BM209" s="41">
        <v>3928.5712091329628</v>
      </c>
      <c r="BN209" s="41">
        <v>463.85482130147562</v>
      </c>
      <c r="BO209" s="65">
        <v>0</v>
      </c>
      <c r="BP209" s="34">
        <v>83.849000000000004</v>
      </c>
      <c r="BQ209" s="65">
        <f t="shared" si="100"/>
        <v>4476.275030434439</v>
      </c>
      <c r="BR209" s="65"/>
      <c r="BS209" s="41">
        <v>3952.1535272828728</v>
      </c>
      <c r="BT209" s="314"/>
      <c r="BU209" s="314"/>
      <c r="BV209" s="41">
        <v>491.77107318829025</v>
      </c>
      <c r="BW209" s="65">
        <v>0</v>
      </c>
      <c r="BX209" s="34">
        <v>83.849000000000004</v>
      </c>
      <c r="BY209" s="65">
        <f t="shared" si="121"/>
        <v>4527.7736004711633</v>
      </c>
      <c r="CA209" s="5">
        <v>3936.3146440169485</v>
      </c>
      <c r="CB209" s="407">
        <v>519.13344015345092</v>
      </c>
      <c r="CC209" s="415">
        <v>0</v>
      </c>
      <c r="CD209" s="34">
        <v>83.849000000000004</v>
      </c>
      <c r="CE209" s="65">
        <f t="shared" si="101"/>
        <v>4539.2970841703991</v>
      </c>
      <c r="CF209" s="407"/>
      <c r="CG209" s="5">
        <v>4391.0715673675077</v>
      </c>
      <c r="CH209" s="407">
        <v>543.57620413246775</v>
      </c>
      <c r="CI209" s="415">
        <v>0</v>
      </c>
      <c r="CJ209" s="34">
        <v>83.849000000000004</v>
      </c>
      <c r="CK209" s="65">
        <f t="shared" si="102"/>
        <v>5018.4967714999757</v>
      </c>
      <c r="CL209" s="407"/>
      <c r="CM209" s="41">
        <f>AU209/'1. Väestöennuste'!L209*1000</f>
        <v>6451.0128353243617</v>
      </c>
      <c r="CN209" s="41">
        <f>BC209/'1. Väestöennuste'!M209*1000</f>
        <v>1693.5947801085886</v>
      </c>
      <c r="CO209" s="41">
        <f>BK209/'1. Väestöennuste'!N209*1000</f>
        <v>1646.1234821736032</v>
      </c>
      <c r="CP209" s="41">
        <f>BQ209/'1. Väestöennuste'!O209*1000</f>
        <v>2000.1228911682033</v>
      </c>
      <c r="CQ209" s="41">
        <f>BY209/'1. Väestöennuste'!P209*1000</f>
        <v>2061.8276869176516</v>
      </c>
      <c r="CR209" s="41">
        <f>CE209/'1. Väestöennuste'!Q209*1000</f>
        <v>2104.4492740706532</v>
      </c>
      <c r="CS209" s="41">
        <f>CK209/'1. Väestöennuste'!R209*1000</f>
        <v>2368.3325962718145</v>
      </c>
      <c r="CT209" s="41"/>
      <c r="CV209" s="41">
        <f t="shared" si="103"/>
        <v>4934.6477714999755</v>
      </c>
      <c r="CW209" s="41">
        <f t="shared" si="104"/>
        <v>1432.516063824386</v>
      </c>
      <c r="CX209" s="41">
        <f t="shared" si="105"/>
        <v>-4757.4180552157732</v>
      </c>
      <c r="CY209" s="41">
        <f t="shared" si="106"/>
        <v>-47.471297934985387</v>
      </c>
      <c r="CZ209" s="41">
        <f t="shared" si="107"/>
        <v>353.99940899460012</v>
      </c>
      <c r="DA209" s="41">
        <f t="shared" si="108"/>
        <v>61.704795749448294</v>
      </c>
      <c r="DB209" s="41">
        <f t="shared" si="109"/>
        <v>42.621587153001656</v>
      </c>
      <c r="DC209" s="41">
        <f t="shared" si="110"/>
        <v>263.88332220116126</v>
      </c>
      <c r="DD209" s="41"/>
      <c r="DE209" s="283">
        <f t="shared" si="111"/>
        <v>58.851599559922903</v>
      </c>
      <c r="DF209" s="283">
        <f t="shared" si="112"/>
        <v>0.28544724228172058</v>
      </c>
      <c r="DG209" s="283">
        <f t="shared" si="113"/>
        <v>-0.73746839088044791</v>
      </c>
      <c r="DH209" s="283">
        <f t="shared" si="114"/>
        <v>-2.8029903311311374E-2</v>
      </c>
      <c r="DI209" s="283">
        <f t="shared" si="115"/>
        <v>0.21505033664131079</v>
      </c>
      <c r="DJ209" s="283">
        <f t="shared" si="116"/>
        <v>3.0850502247593715E-2</v>
      </c>
      <c r="DK209" s="283">
        <f t="shared" si="117"/>
        <v>2.0671750322995803E-2</v>
      </c>
      <c r="DL209" s="283">
        <f t="shared" si="118"/>
        <v>0.12539305435038101</v>
      </c>
    </row>
    <row r="210" spans="1:116" x14ac:dyDescent="0.2">
      <c r="A210" s="30">
        <v>623</v>
      </c>
      <c r="B210" s="31" t="s">
        <v>524</v>
      </c>
      <c r="C210" s="65"/>
      <c r="D210" s="65"/>
      <c r="E210" s="65"/>
      <c r="F210" s="65"/>
      <c r="G210" s="65"/>
      <c r="H210" s="65">
        <v>8108</v>
      </c>
      <c r="I210" s="65"/>
      <c r="J210" s="65"/>
      <c r="K210" s="65"/>
      <c r="L210" s="65"/>
      <c r="M210" s="65"/>
      <c r="N210" s="65">
        <v>8244</v>
      </c>
      <c r="O210" s="65"/>
      <c r="P210" s="65"/>
      <c r="Q210" s="65"/>
      <c r="R210" s="65"/>
      <c r="S210" s="65"/>
      <c r="T210" s="65">
        <v>8256</v>
      </c>
      <c r="U210" s="65"/>
      <c r="V210" s="65"/>
      <c r="W210" s="65"/>
      <c r="X210" s="65"/>
      <c r="Y210" s="65"/>
      <c r="Z210" s="65">
        <v>8127</v>
      </c>
      <c r="AA210" s="65"/>
      <c r="AB210" s="66">
        <v>7802.5827676899899</v>
      </c>
      <c r="AC210" s="34">
        <v>43.461044340163603</v>
      </c>
      <c r="AD210" s="180">
        <v>1364.4684387643424</v>
      </c>
      <c r="AE210" s="65">
        <v>0</v>
      </c>
      <c r="AF210" s="34">
        <v>-318.43700000000001</v>
      </c>
      <c r="AG210" s="65">
        <f t="shared" si="97"/>
        <v>8892.0752507944962</v>
      </c>
      <c r="AH210" s="65"/>
      <c r="AI210" s="66">
        <v>7533.5380036537099</v>
      </c>
      <c r="AJ210" s="34">
        <v>-32.935649671816897</v>
      </c>
      <c r="AK210" s="181">
        <v>1441.4685295447482</v>
      </c>
      <c r="AL210" s="65">
        <v>0</v>
      </c>
      <c r="AM210" s="34">
        <v>-458.678</v>
      </c>
      <c r="AN210" s="65">
        <f t="shared" si="98"/>
        <v>8483.3928835266415</v>
      </c>
      <c r="AO210" s="65"/>
      <c r="AP210" s="41">
        <v>7280.1308642651957</v>
      </c>
      <c r="AQ210" s="41">
        <v>-9.8971820295939104</v>
      </c>
      <c r="AR210" s="41">
        <v>1577.3669322103851</v>
      </c>
      <c r="AS210" s="65">
        <v>0</v>
      </c>
      <c r="AT210" s="34">
        <v>-468.16399999999999</v>
      </c>
      <c r="AU210" s="65">
        <f t="shared" si="99"/>
        <v>8379.4366144459855</v>
      </c>
      <c r="AV210" s="65"/>
      <c r="AW210" s="41">
        <v>1352.2749308763487</v>
      </c>
      <c r="AX210" s="314"/>
      <c r="AY210" s="314"/>
      <c r="AZ210" s="41">
        <v>477.54871115935515</v>
      </c>
      <c r="BA210" s="65">
        <v>0</v>
      </c>
      <c r="BB210" s="34">
        <v>-417.565</v>
      </c>
      <c r="BC210" s="65">
        <f t="shared" si="119"/>
        <v>1412.2586420357038</v>
      </c>
      <c r="BD210" s="65"/>
      <c r="BE210" s="41">
        <v>1345.7036654754379</v>
      </c>
      <c r="BF210" s="314"/>
      <c r="BG210" s="314"/>
      <c r="BH210" s="41">
        <v>474.53706906927647</v>
      </c>
      <c r="BI210" s="65">
        <v>0</v>
      </c>
      <c r="BJ210" s="34">
        <v>-516.18100000000004</v>
      </c>
      <c r="BK210" s="65">
        <f t="shared" si="120"/>
        <v>1304.0597345447143</v>
      </c>
      <c r="BL210" s="65"/>
      <c r="BM210" s="41">
        <v>1489.6232989114255</v>
      </c>
      <c r="BN210" s="41">
        <v>394.10692554096892</v>
      </c>
      <c r="BO210" s="65">
        <v>0</v>
      </c>
      <c r="BP210" s="34">
        <v>-516.18100000000004</v>
      </c>
      <c r="BQ210" s="65">
        <f t="shared" si="100"/>
        <v>1367.5492244523944</v>
      </c>
      <c r="BR210" s="65"/>
      <c r="BS210" s="41">
        <v>1487.1789432617104</v>
      </c>
      <c r="BT210" s="314"/>
      <c r="BU210" s="314"/>
      <c r="BV210" s="41">
        <v>411.93032694124935</v>
      </c>
      <c r="BW210" s="65">
        <v>0</v>
      </c>
      <c r="BX210" s="34">
        <v>-516.18100000000004</v>
      </c>
      <c r="BY210" s="65">
        <f t="shared" si="121"/>
        <v>1382.9282702029598</v>
      </c>
      <c r="CA210" s="5">
        <v>1423.4391299646791</v>
      </c>
      <c r="CB210" s="407">
        <v>430.81915345813684</v>
      </c>
      <c r="CC210" s="415">
        <v>0</v>
      </c>
      <c r="CD210" s="34">
        <v>-516.18100000000004</v>
      </c>
      <c r="CE210" s="65">
        <f t="shared" si="101"/>
        <v>1338.077283422816</v>
      </c>
      <c r="CF210" s="407"/>
      <c r="CG210" s="5">
        <v>1504.863533982508</v>
      </c>
      <c r="CH210" s="407">
        <v>447.13863487666066</v>
      </c>
      <c r="CI210" s="415">
        <v>0</v>
      </c>
      <c r="CJ210" s="34">
        <v>-516.18100000000004</v>
      </c>
      <c r="CK210" s="65">
        <f t="shared" si="102"/>
        <v>1435.8211688591687</v>
      </c>
      <c r="CL210" s="407"/>
      <c r="CM210" s="41">
        <f>AU210/'1. Väestöennuste'!L210*1000</f>
        <v>3976.9514069511083</v>
      </c>
      <c r="CN210" s="41">
        <f>BC210/'1. Väestöennuste'!M210*1000</f>
        <v>669.9519174742428</v>
      </c>
      <c r="CO210" s="41">
        <f>BK210/'1. Väestöennuste'!N210*1000</f>
        <v>636.12669977790938</v>
      </c>
      <c r="CP210" s="41">
        <f>BQ210/'1. Väestöennuste'!O210*1000</f>
        <v>672.67546702036122</v>
      </c>
      <c r="CQ210" s="41">
        <f>BY210/'1. Väestöennuste'!P210*1000</f>
        <v>685.97632450543642</v>
      </c>
      <c r="CR210" s="41">
        <f>CE210/'1. Väestöennuste'!Q210*1000</f>
        <v>669.03864171140799</v>
      </c>
      <c r="CS210" s="41">
        <f>CK210/'1. Väestöennuste'!R210*1000</f>
        <v>724.06513810346371</v>
      </c>
      <c r="CT210" s="41"/>
      <c r="CV210" s="41">
        <f t="shared" si="103"/>
        <v>1952.0021688591687</v>
      </c>
      <c r="CW210" s="41">
        <f t="shared" si="104"/>
        <v>2541.1302380919396</v>
      </c>
      <c r="CX210" s="41">
        <f t="shared" si="105"/>
        <v>-3306.9994894768656</v>
      </c>
      <c r="CY210" s="41">
        <f t="shared" si="106"/>
        <v>-33.825217696333425</v>
      </c>
      <c r="CZ210" s="41">
        <f t="shared" si="107"/>
        <v>36.548767242451845</v>
      </c>
      <c r="DA210" s="41">
        <f t="shared" si="108"/>
        <v>13.300857485075198</v>
      </c>
      <c r="DB210" s="41">
        <f t="shared" si="109"/>
        <v>-16.937682794028433</v>
      </c>
      <c r="DC210" s="41">
        <f t="shared" si="110"/>
        <v>55.026496392055719</v>
      </c>
      <c r="DD210" s="41"/>
      <c r="DE210" s="283">
        <f t="shared" si="111"/>
        <v>-3.7816234399545285</v>
      </c>
      <c r="DF210" s="283">
        <f t="shared" si="112"/>
        <v>1.7698097041646168</v>
      </c>
      <c r="DG210" s="283">
        <f t="shared" si="113"/>
        <v>-0.83154133683824538</v>
      </c>
      <c r="DH210" s="283">
        <f t="shared" si="114"/>
        <v>-5.0489022889667126E-2</v>
      </c>
      <c r="DI210" s="283">
        <f t="shared" si="115"/>
        <v>5.7455169316446078E-2</v>
      </c>
      <c r="DJ210" s="283">
        <f t="shared" si="116"/>
        <v>1.9773067604192254E-2</v>
      </c>
      <c r="DK210" s="283">
        <f t="shared" si="117"/>
        <v>-2.4691351857135706E-2</v>
      </c>
      <c r="DL210" s="283">
        <f t="shared" si="118"/>
        <v>8.2247112440766282E-2</v>
      </c>
    </row>
    <row r="211" spans="1:116" x14ac:dyDescent="0.2">
      <c r="A211" s="30">
        <v>624</v>
      </c>
      <c r="B211" s="31" t="s">
        <v>525</v>
      </c>
      <c r="C211" s="65"/>
      <c r="D211" s="65"/>
      <c r="E211" s="65"/>
      <c r="F211" s="65"/>
      <c r="G211" s="65"/>
      <c r="H211" s="65">
        <v>9380</v>
      </c>
      <c r="I211" s="65"/>
      <c r="J211" s="65"/>
      <c r="K211" s="65"/>
      <c r="L211" s="65"/>
      <c r="M211" s="65"/>
      <c r="N211" s="65">
        <v>9264</v>
      </c>
      <c r="O211" s="65"/>
      <c r="P211" s="65"/>
      <c r="Q211" s="65"/>
      <c r="R211" s="65"/>
      <c r="S211" s="65"/>
      <c r="T211" s="65">
        <v>8886</v>
      </c>
      <c r="U211" s="65"/>
      <c r="V211" s="65"/>
      <c r="W211" s="65"/>
      <c r="X211" s="65"/>
      <c r="Y211" s="65"/>
      <c r="Z211" s="65">
        <v>8808</v>
      </c>
      <c r="AA211" s="65"/>
      <c r="AB211" s="66">
        <v>9579.9036261327965</v>
      </c>
      <c r="AC211" s="34">
        <v>106.52602778663224</v>
      </c>
      <c r="AD211" s="180">
        <v>1906.7165439417197</v>
      </c>
      <c r="AE211" s="65">
        <v>0</v>
      </c>
      <c r="AF211" s="34">
        <v>-844.63099999999997</v>
      </c>
      <c r="AG211" s="65">
        <f t="shared" si="97"/>
        <v>10748.51519786115</v>
      </c>
      <c r="AH211" s="65"/>
      <c r="AI211" s="66">
        <v>8742.319960863817</v>
      </c>
      <c r="AJ211" s="34">
        <v>-82.988566812754399</v>
      </c>
      <c r="AK211" s="181">
        <v>2055.6574182407285</v>
      </c>
      <c r="AL211" s="65">
        <v>0</v>
      </c>
      <c r="AM211" s="34">
        <v>-835.50099999999998</v>
      </c>
      <c r="AN211" s="65">
        <f t="shared" si="98"/>
        <v>9879.4878122917908</v>
      </c>
      <c r="AO211" s="65"/>
      <c r="AP211" s="41">
        <v>8956.4324041040691</v>
      </c>
      <c r="AQ211" s="41">
        <v>-25.63125569027142</v>
      </c>
      <c r="AR211" s="41">
        <v>2449.6222608153803</v>
      </c>
      <c r="AS211" s="65">
        <v>0</v>
      </c>
      <c r="AT211" s="34">
        <v>-842.33799999999997</v>
      </c>
      <c r="AU211" s="65">
        <f t="shared" si="99"/>
        <v>10538.085409229177</v>
      </c>
      <c r="AV211" s="65"/>
      <c r="AW211" s="41">
        <v>5561.4626178648232</v>
      </c>
      <c r="AX211" s="314"/>
      <c r="AY211" s="314"/>
      <c r="AZ211" s="41">
        <v>739.75686131195823</v>
      </c>
      <c r="BA211" s="65">
        <v>0</v>
      </c>
      <c r="BB211" s="34">
        <v>-879.71900000000005</v>
      </c>
      <c r="BC211" s="65">
        <f t="shared" si="119"/>
        <v>5421.5004791767815</v>
      </c>
      <c r="BD211" s="65"/>
      <c r="BE211" s="41">
        <v>4115.1105343297604</v>
      </c>
      <c r="BF211" s="314"/>
      <c r="BG211" s="314"/>
      <c r="BH211" s="41">
        <v>714.64412615671517</v>
      </c>
      <c r="BI211" s="65">
        <v>0</v>
      </c>
      <c r="BJ211" s="34">
        <v>-839.75800000000004</v>
      </c>
      <c r="BK211" s="65">
        <f t="shared" si="120"/>
        <v>3989.9966604864758</v>
      </c>
      <c r="BL211" s="65"/>
      <c r="BM211" s="41">
        <v>4603.2960369173725</v>
      </c>
      <c r="BN211" s="41">
        <v>430.97579553789848</v>
      </c>
      <c r="BO211" s="65">
        <v>0</v>
      </c>
      <c r="BP211" s="34">
        <v>-839.75800000000004</v>
      </c>
      <c r="BQ211" s="65">
        <f t="shared" si="100"/>
        <v>4194.5138324552709</v>
      </c>
      <c r="BR211" s="65"/>
      <c r="BS211" s="41">
        <v>4572.8627423749404</v>
      </c>
      <c r="BT211" s="314"/>
      <c r="BU211" s="314"/>
      <c r="BV211" s="41">
        <v>463.43534036582093</v>
      </c>
      <c r="BW211" s="65">
        <v>0</v>
      </c>
      <c r="BX211" s="34">
        <v>-839.75800000000004</v>
      </c>
      <c r="BY211" s="65">
        <f t="shared" si="121"/>
        <v>4196.5400827407611</v>
      </c>
      <c r="CA211" s="5">
        <v>4563.6973075624419</v>
      </c>
      <c r="CB211" s="407">
        <v>502.77051798909764</v>
      </c>
      <c r="CC211" s="415">
        <v>0</v>
      </c>
      <c r="CD211" s="34">
        <v>-839.75800000000004</v>
      </c>
      <c r="CE211" s="65">
        <f t="shared" si="101"/>
        <v>4226.7098255515393</v>
      </c>
      <c r="CF211" s="407"/>
      <c r="CG211" s="5">
        <v>4952.3351143947821</v>
      </c>
      <c r="CH211" s="407">
        <v>535.29285045204711</v>
      </c>
      <c r="CI211" s="415">
        <v>0</v>
      </c>
      <c r="CJ211" s="34">
        <v>-839.75800000000004</v>
      </c>
      <c r="CK211" s="65">
        <f t="shared" si="102"/>
        <v>4647.8699648468291</v>
      </c>
      <c r="CL211" s="407"/>
      <c r="CM211" s="41">
        <f>AU211/'1. Väestöennuste'!L211*1000</f>
        <v>2059.426501705917</v>
      </c>
      <c r="CN211" s="41">
        <f>BC211/'1. Väestöennuste'!M211*1000</f>
        <v>1070.3850896696508</v>
      </c>
      <c r="CO211" s="41">
        <f>BK211/'1. Väestöennuste'!N211*1000</f>
        <v>800.07953889843111</v>
      </c>
      <c r="CP211" s="41">
        <f>BQ211/'1. Väestöennuste'!O211*1000</f>
        <v>848.06183430151054</v>
      </c>
      <c r="CQ211" s="41">
        <f>BY211/'1. Väestöennuste'!P211*1000</f>
        <v>855.21501584282885</v>
      </c>
      <c r="CR211" s="41">
        <f>CE211/'1. Väestöennuste'!Q211*1000</f>
        <v>868.26413836309359</v>
      </c>
      <c r="CS211" s="41">
        <f>CK211/'1. Väestöennuste'!R211*1000</f>
        <v>963.28911188535312</v>
      </c>
      <c r="CT211" s="41"/>
      <c r="CV211" s="41">
        <f t="shared" si="103"/>
        <v>5487.6279648468289</v>
      </c>
      <c r="CW211" s="41">
        <f t="shared" si="104"/>
        <v>-2588.4434631409122</v>
      </c>
      <c r="CX211" s="41">
        <f t="shared" si="105"/>
        <v>-989.04141203626614</v>
      </c>
      <c r="CY211" s="41">
        <f t="shared" si="106"/>
        <v>-270.30555077121971</v>
      </c>
      <c r="CZ211" s="41">
        <f t="shared" si="107"/>
        <v>47.982295403079434</v>
      </c>
      <c r="DA211" s="41">
        <f t="shared" si="108"/>
        <v>7.153181541318304</v>
      </c>
      <c r="DB211" s="41">
        <f t="shared" si="109"/>
        <v>13.049122520264746</v>
      </c>
      <c r="DC211" s="41">
        <f t="shared" si="110"/>
        <v>95.024973522259529</v>
      </c>
      <c r="DD211" s="41"/>
      <c r="DE211" s="283">
        <f t="shared" si="111"/>
        <v>-6.5347730713453505</v>
      </c>
      <c r="DF211" s="283">
        <f t="shared" si="112"/>
        <v>-0.5569096129448653</v>
      </c>
      <c r="DG211" s="283">
        <f t="shared" si="113"/>
        <v>-0.48025089082664424</v>
      </c>
      <c r="DH211" s="283">
        <f t="shared" si="114"/>
        <v>-0.25253112490070573</v>
      </c>
      <c r="DI211" s="283">
        <f t="shared" si="115"/>
        <v>5.9971906629611625E-2</v>
      </c>
      <c r="DJ211" s="283">
        <f t="shared" si="116"/>
        <v>8.4347405483821605E-3</v>
      </c>
      <c r="DK211" s="283">
        <f t="shared" si="117"/>
        <v>1.5258294438860636E-2</v>
      </c>
      <c r="DL211" s="283">
        <f t="shared" si="118"/>
        <v>0.10944247185125786</v>
      </c>
    </row>
    <row r="212" spans="1:116" x14ac:dyDescent="0.2">
      <c r="A212" s="30">
        <v>625</v>
      </c>
      <c r="B212" s="31" t="s">
        <v>526</v>
      </c>
      <c r="C212" s="65"/>
      <c r="D212" s="65"/>
      <c r="E212" s="65"/>
      <c r="F212" s="65"/>
      <c r="G212" s="65"/>
      <c r="H212" s="65">
        <v>10182</v>
      </c>
      <c r="I212" s="65"/>
      <c r="J212" s="65"/>
      <c r="K212" s="65"/>
      <c r="L212" s="65"/>
      <c r="M212" s="65"/>
      <c r="N212" s="65">
        <v>10431</v>
      </c>
      <c r="O212" s="65"/>
      <c r="P212" s="65"/>
      <c r="Q212" s="65"/>
      <c r="R212" s="65"/>
      <c r="S212" s="65"/>
      <c r="T212" s="65">
        <v>10056</v>
      </c>
      <c r="U212" s="65"/>
      <c r="V212" s="65"/>
      <c r="W212" s="65"/>
      <c r="X212" s="65"/>
      <c r="Y212" s="65"/>
      <c r="Z212" s="65">
        <v>10194</v>
      </c>
      <c r="AA212" s="65"/>
      <c r="AB212" s="66">
        <v>9688.7447668929581</v>
      </c>
      <c r="AC212" s="34">
        <v>56.088713423974383</v>
      </c>
      <c r="AD212" s="180">
        <v>1507.7171505763217</v>
      </c>
      <c r="AE212" s="65">
        <v>0</v>
      </c>
      <c r="AF212" s="34">
        <v>382.31900000000002</v>
      </c>
      <c r="AG212" s="65">
        <f t="shared" si="97"/>
        <v>11634.869630893254</v>
      </c>
      <c r="AH212" s="65"/>
      <c r="AI212" s="66">
        <v>8941.5141749787945</v>
      </c>
      <c r="AJ212" s="34">
        <v>-43.597229100826212</v>
      </c>
      <c r="AK212" s="181">
        <v>1608.683789222687</v>
      </c>
      <c r="AL212" s="65">
        <v>0</v>
      </c>
      <c r="AM212" s="34">
        <v>513.26400000000001</v>
      </c>
      <c r="AN212" s="65">
        <f t="shared" si="98"/>
        <v>11019.864735100655</v>
      </c>
      <c r="AO212" s="65"/>
      <c r="AP212" s="41">
        <v>9267.3438912009096</v>
      </c>
      <c r="AQ212" s="41">
        <v>-13.39298747484427</v>
      </c>
      <c r="AR212" s="41">
        <v>1828.4666358563175</v>
      </c>
      <c r="AS212" s="65">
        <v>300</v>
      </c>
      <c r="AT212" s="34">
        <v>590.37900000000002</v>
      </c>
      <c r="AU212" s="65">
        <f t="shared" si="99"/>
        <v>11972.796539582383</v>
      </c>
      <c r="AV212" s="65"/>
      <c r="AW212" s="41">
        <v>4001.1344362021928</v>
      </c>
      <c r="AX212" s="314"/>
      <c r="AY212" s="314"/>
      <c r="AZ212" s="41">
        <v>563.2987990261056</v>
      </c>
      <c r="BA212" s="65">
        <v>0</v>
      </c>
      <c r="BB212" s="34">
        <v>491.10899999999998</v>
      </c>
      <c r="BC212" s="65">
        <f t="shared" si="119"/>
        <v>5055.5422352282985</v>
      </c>
      <c r="BD212" s="65"/>
      <c r="BE212" s="41">
        <v>3568.6630901599519</v>
      </c>
      <c r="BF212" s="314"/>
      <c r="BG212" s="314"/>
      <c r="BH212" s="41">
        <v>557.25740818761983</v>
      </c>
      <c r="BI212" s="65">
        <v>0</v>
      </c>
      <c r="BJ212" s="34">
        <v>299.99799999999999</v>
      </c>
      <c r="BK212" s="65">
        <f t="shared" si="120"/>
        <v>4425.9184983475716</v>
      </c>
      <c r="BL212" s="65"/>
      <c r="BM212" s="41">
        <v>3891.0031710047056</v>
      </c>
      <c r="BN212" s="41">
        <v>384.19510865480385</v>
      </c>
      <c r="BO212" s="65">
        <v>0</v>
      </c>
      <c r="BP212" s="34">
        <v>299.99799999999999</v>
      </c>
      <c r="BQ212" s="65">
        <f t="shared" si="100"/>
        <v>4575.1962796595089</v>
      </c>
      <c r="BR212" s="65"/>
      <c r="BS212" s="41">
        <v>3869.0790179551504</v>
      </c>
      <c r="BT212" s="314"/>
      <c r="BU212" s="314"/>
      <c r="BV212" s="41">
        <v>412.23107374156723</v>
      </c>
      <c r="BW212" s="65">
        <v>0</v>
      </c>
      <c r="BX212" s="34">
        <v>299.99799999999999</v>
      </c>
      <c r="BY212" s="65">
        <f t="shared" si="121"/>
        <v>4581.3080916967174</v>
      </c>
      <c r="CA212" s="5">
        <v>3712.6558070951719</v>
      </c>
      <c r="CB212" s="407">
        <v>440.3909161970725</v>
      </c>
      <c r="CC212" s="415">
        <v>0</v>
      </c>
      <c r="CD212" s="34">
        <v>299.99799999999999</v>
      </c>
      <c r="CE212" s="65">
        <f t="shared" si="101"/>
        <v>4453.0447232922443</v>
      </c>
      <c r="CF212" s="407"/>
      <c r="CG212" s="5">
        <v>4006.0765697401162</v>
      </c>
      <c r="CH212" s="407">
        <v>464.84722661126892</v>
      </c>
      <c r="CI212" s="415">
        <v>0</v>
      </c>
      <c r="CJ212" s="34">
        <v>299.99799999999999</v>
      </c>
      <c r="CK212" s="65">
        <f t="shared" si="102"/>
        <v>4770.9217963513847</v>
      </c>
      <c r="CL212" s="407"/>
      <c r="CM212" s="41">
        <f>AU212/'1. Väestöennuste'!L212*1000</f>
        <v>4002.9410028694024</v>
      </c>
      <c r="CN212" s="41">
        <f>BC212/'1. Väestöennuste'!M212*1000</f>
        <v>1696.4906829625163</v>
      </c>
      <c r="CO212" s="41">
        <f>BK212/'1. Väestöennuste'!N212*1000</f>
        <v>1519.8895942127651</v>
      </c>
      <c r="CP212" s="41">
        <f>BQ212/'1. Väestöennuste'!O212*1000</f>
        <v>1589.1616115524519</v>
      </c>
      <c r="CQ212" s="41">
        <f>BY212/'1. Väestöennuste'!P212*1000</f>
        <v>1609.170386967586</v>
      </c>
      <c r="CR212" s="41">
        <f>CE212/'1. Väestöennuste'!Q212*1000</f>
        <v>1582.4608114044934</v>
      </c>
      <c r="CS212" s="41">
        <f>CK212/'1. Väestöennuste'!R212*1000</f>
        <v>1715.5418181774128</v>
      </c>
      <c r="CT212" s="41"/>
      <c r="CV212" s="41">
        <f t="shared" si="103"/>
        <v>4470.9237963513851</v>
      </c>
      <c r="CW212" s="41">
        <f t="shared" si="104"/>
        <v>-767.98079348198235</v>
      </c>
      <c r="CX212" s="41">
        <f t="shared" si="105"/>
        <v>-2306.4503199068859</v>
      </c>
      <c r="CY212" s="41">
        <f t="shared" si="106"/>
        <v>-176.60108874975117</v>
      </c>
      <c r="CZ212" s="41">
        <f t="shared" si="107"/>
        <v>69.272017339686727</v>
      </c>
      <c r="DA212" s="41">
        <f t="shared" si="108"/>
        <v>20.008775415134096</v>
      </c>
      <c r="DB212" s="41">
        <f t="shared" si="109"/>
        <v>-26.709575563092585</v>
      </c>
      <c r="DC212" s="41">
        <f t="shared" si="110"/>
        <v>133.08100677291941</v>
      </c>
      <c r="DD212" s="41"/>
      <c r="DE212" s="283">
        <f t="shared" si="111"/>
        <v>14.90317867569579</v>
      </c>
      <c r="DF212" s="283">
        <f t="shared" si="112"/>
        <v>-0.16097115531621251</v>
      </c>
      <c r="DG212" s="283">
        <f t="shared" si="113"/>
        <v>-0.57618893664772175</v>
      </c>
      <c r="DH212" s="283">
        <f t="shared" si="114"/>
        <v>-0.10409788307316813</v>
      </c>
      <c r="DI212" s="283">
        <f t="shared" si="115"/>
        <v>4.5577006121662759E-2</v>
      </c>
      <c r="DJ212" s="283">
        <f t="shared" si="116"/>
        <v>1.2590774449671941E-2</v>
      </c>
      <c r="DK212" s="283">
        <f t="shared" si="117"/>
        <v>-1.659835141101848E-2</v>
      </c>
      <c r="DL212" s="283">
        <f t="shared" si="118"/>
        <v>8.4097505488812091E-2</v>
      </c>
    </row>
    <row r="213" spans="1:116" x14ac:dyDescent="0.2">
      <c r="A213" s="30">
        <v>626</v>
      </c>
      <c r="B213" s="31" t="s">
        <v>527</v>
      </c>
      <c r="C213" s="65"/>
      <c r="D213" s="65"/>
      <c r="E213" s="65"/>
      <c r="F213" s="65"/>
      <c r="G213" s="65"/>
      <c r="H213" s="65">
        <v>15219</v>
      </c>
      <c r="I213" s="65"/>
      <c r="J213" s="65"/>
      <c r="K213" s="65"/>
      <c r="L213" s="65"/>
      <c r="M213" s="65"/>
      <c r="N213" s="65">
        <v>15761</v>
      </c>
      <c r="O213" s="65"/>
      <c r="P213" s="65"/>
      <c r="Q213" s="65"/>
      <c r="R213" s="65"/>
      <c r="S213" s="65"/>
      <c r="T213" s="65">
        <v>16169</v>
      </c>
      <c r="U213" s="65"/>
      <c r="V213" s="65"/>
      <c r="W213" s="65"/>
      <c r="X213" s="65"/>
      <c r="Y213" s="65"/>
      <c r="Z213" s="65">
        <v>16586</v>
      </c>
      <c r="AA213" s="65"/>
      <c r="AB213" s="66">
        <v>16956.144848776781</v>
      </c>
      <c r="AC213" s="34">
        <v>99.137035496393167</v>
      </c>
      <c r="AD213" s="180">
        <v>2742.1890709014147</v>
      </c>
      <c r="AE213" s="65">
        <v>0</v>
      </c>
      <c r="AF213" s="34">
        <v>-291.209</v>
      </c>
      <c r="AG213" s="65">
        <f t="shared" si="97"/>
        <v>19506.261955174592</v>
      </c>
      <c r="AH213" s="65"/>
      <c r="AI213" s="66">
        <v>16991.840345615601</v>
      </c>
      <c r="AJ213" s="34">
        <v>-74.453626511294232</v>
      </c>
      <c r="AK213" s="181">
        <v>2906.2064596125992</v>
      </c>
      <c r="AL213" s="65">
        <v>805</v>
      </c>
      <c r="AM213" s="34">
        <v>-472.16399999999999</v>
      </c>
      <c r="AN213" s="65">
        <f t="shared" si="98"/>
        <v>20156.429178716906</v>
      </c>
      <c r="AO213" s="65"/>
      <c r="AP213" s="41">
        <v>17635.492619427809</v>
      </c>
      <c r="AQ213" s="41">
        <v>-22.489951537447777</v>
      </c>
      <c r="AR213" s="41">
        <v>3206.8522334686713</v>
      </c>
      <c r="AS213" s="65">
        <v>0</v>
      </c>
      <c r="AT213" s="34">
        <v>-294.93</v>
      </c>
      <c r="AU213" s="65">
        <f t="shared" si="99"/>
        <v>20524.924901359031</v>
      </c>
      <c r="AV213" s="65"/>
      <c r="AW213" s="41">
        <v>1304.781893664318</v>
      </c>
      <c r="AX213" s="314"/>
      <c r="AY213" s="314"/>
      <c r="AZ213" s="41">
        <v>958.8562040197844</v>
      </c>
      <c r="BA213" s="65">
        <v>0</v>
      </c>
      <c r="BB213" s="34">
        <v>-223.161</v>
      </c>
      <c r="BC213" s="65">
        <f t="shared" si="119"/>
        <v>2040.4770976841023</v>
      </c>
      <c r="BD213" s="65"/>
      <c r="BE213" s="41">
        <v>1831.799859176122</v>
      </c>
      <c r="BF213" s="314"/>
      <c r="BG213" s="314"/>
      <c r="BH213" s="41">
        <v>957.94240238802377</v>
      </c>
      <c r="BI213" s="65">
        <v>0</v>
      </c>
      <c r="BJ213" s="34">
        <v>-173.95599999999999</v>
      </c>
      <c r="BK213" s="65">
        <f t="shared" si="120"/>
        <v>2615.7862615641457</v>
      </c>
      <c r="BL213" s="65"/>
      <c r="BM213" s="41">
        <v>3435.5715950790968</v>
      </c>
      <c r="BN213" s="41">
        <v>673.36439972550818</v>
      </c>
      <c r="BO213" s="65">
        <v>0</v>
      </c>
      <c r="BP213" s="34">
        <v>-173.95599999999999</v>
      </c>
      <c r="BQ213" s="65">
        <f t="shared" si="100"/>
        <v>3934.9799948046048</v>
      </c>
      <c r="BR213" s="65"/>
      <c r="BS213" s="41">
        <v>3722.8704230776011</v>
      </c>
      <c r="BT213" s="314"/>
      <c r="BU213" s="314"/>
      <c r="BV213" s="41">
        <v>721.92925450343091</v>
      </c>
      <c r="BW213" s="65">
        <v>0</v>
      </c>
      <c r="BX213" s="34">
        <v>-173.95599999999999</v>
      </c>
      <c r="BY213" s="65">
        <f t="shared" si="121"/>
        <v>4270.8436775810314</v>
      </c>
      <c r="CA213" s="5">
        <v>3770.6886229951651</v>
      </c>
      <c r="CB213" s="407">
        <v>771.20220641814649</v>
      </c>
      <c r="CC213" s="415">
        <v>0</v>
      </c>
      <c r="CD213" s="34">
        <v>-173.95599999999999</v>
      </c>
      <c r="CE213" s="65">
        <f t="shared" si="101"/>
        <v>4367.9348294133115</v>
      </c>
      <c r="CF213" s="407"/>
      <c r="CG213" s="5">
        <v>4525.7293855774387</v>
      </c>
      <c r="CH213" s="407">
        <v>814.39237568203066</v>
      </c>
      <c r="CI213" s="415">
        <v>0</v>
      </c>
      <c r="CJ213" s="34">
        <v>-173.95599999999999</v>
      </c>
      <c r="CK213" s="65">
        <f t="shared" si="102"/>
        <v>5166.165761259469</v>
      </c>
      <c r="CL213" s="407"/>
      <c r="CM213" s="41">
        <f>AU213/'1. Väestöennuste'!L213*1000</f>
        <v>4245.0723684299965</v>
      </c>
      <c r="CN213" s="41">
        <f>BC213/'1. Väestöennuste'!M213*1000</f>
        <v>429.03219042979447</v>
      </c>
      <c r="CO213" s="41">
        <f>BK213/'1. Väestöennuste'!N213*1000</f>
        <v>557.02433167890661</v>
      </c>
      <c r="CP213" s="41">
        <f>BQ213/'1. Väestöennuste'!O213*1000</f>
        <v>851.91166806767808</v>
      </c>
      <c r="CQ213" s="41">
        <f>BY213/'1. Väestöennuste'!P213*1000</f>
        <v>939.88637270709319</v>
      </c>
      <c r="CR213" s="41">
        <f>CE213/'1. Väestöennuste'!Q213*1000</f>
        <v>976.72961301728787</v>
      </c>
      <c r="CS213" s="41">
        <f>CK213/'1. Väestöennuste'!R213*1000</f>
        <v>1174.3954901703726</v>
      </c>
      <c r="CT213" s="41"/>
      <c r="CV213" s="41">
        <f t="shared" si="103"/>
        <v>5340.1217612594692</v>
      </c>
      <c r="CW213" s="41">
        <f t="shared" si="104"/>
        <v>-921.09339282947258</v>
      </c>
      <c r="CX213" s="41">
        <f t="shared" si="105"/>
        <v>-3816.0401780002021</v>
      </c>
      <c r="CY213" s="41">
        <f t="shared" si="106"/>
        <v>127.99214124911214</v>
      </c>
      <c r="CZ213" s="41">
        <f t="shared" si="107"/>
        <v>294.88733638877147</v>
      </c>
      <c r="DA213" s="41">
        <f t="shared" si="108"/>
        <v>87.974704639415108</v>
      </c>
      <c r="DB213" s="41">
        <f t="shared" si="109"/>
        <v>36.843240310194687</v>
      </c>
      <c r="DC213" s="41">
        <f t="shared" si="110"/>
        <v>197.66587715308469</v>
      </c>
      <c r="DD213" s="41"/>
      <c r="DE213" s="283">
        <f t="shared" si="111"/>
        <v>-30.698117692171984</v>
      </c>
      <c r="DF213" s="283">
        <f t="shared" si="112"/>
        <v>-0.17829342599431372</v>
      </c>
      <c r="DG213" s="283">
        <f t="shared" si="113"/>
        <v>-0.89893406915263774</v>
      </c>
      <c r="DH213" s="283">
        <f t="shared" si="114"/>
        <v>0.29832759430217248</v>
      </c>
      <c r="DI213" s="283">
        <f t="shared" si="115"/>
        <v>0.52939758573914064</v>
      </c>
      <c r="DJ213" s="283">
        <f t="shared" si="116"/>
        <v>0.10326740193494588</v>
      </c>
      <c r="DK213" s="283">
        <f t="shared" si="117"/>
        <v>3.9199674960790756E-2</v>
      </c>
      <c r="DL213" s="283">
        <f t="shared" si="118"/>
        <v>0.20237522700111485</v>
      </c>
    </row>
    <row r="214" spans="1:116" x14ac:dyDescent="0.2">
      <c r="A214" s="30">
        <v>630</v>
      </c>
      <c r="B214" s="31" t="s">
        <v>528</v>
      </c>
      <c r="C214" s="65"/>
      <c r="D214" s="65"/>
      <c r="E214" s="65"/>
      <c r="F214" s="65"/>
      <c r="G214" s="65"/>
      <c r="H214" s="65">
        <v>5610</v>
      </c>
      <c r="I214" s="65"/>
      <c r="J214" s="65"/>
      <c r="K214" s="65"/>
      <c r="L214" s="65"/>
      <c r="M214" s="65"/>
      <c r="N214" s="65">
        <v>5704</v>
      </c>
      <c r="O214" s="65"/>
      <c r="P214" s="65"/>
      <c r="Q214" s="65"/>
      <c r="R214" s="65"/>
      <c r="S214" s="65"/>
      <c r="T214" s="65">
        <v>5617</v>
      </c>
      <c r="U214" s="65"/>
      <c r="V214" s="65"/>
      <c r="W214" s="65"/>
      <c r="X214" s="65"/>
      <c r="Y214" s="65"/>
      <c r="Z214" s="65">
        <v>5541</v>
      </c>
      <c r="AA214" s="65"/>
      <c r="AB214" s="66">
        <v>5608.6999961491601</v>
      </c>
      <c r="AC214" s="34">
        <v>23.155235587889155</v>
      </c>
      <c r="AD214" s="180">
        <v>806.13457621738269</v>
      </c>
      <c r="AE214" s="65">
        <v>0</v>
      </c>
      <c r="AF214" s="34">
        <v>-96.39</v>
      </c>
      <c r="AG214" s="65">
        <f t="shared" si="97"/>
        <v>6341.5998079544315</v>
      </c>
      <c r="AH214" s="65"/>
      <c r="AI214" s="66">
        <v>5679.316552676145</v>
      </c>
      <c r="AJ214" s="34">
        <v>-17.744273971046706</v>
      </c>
      <c r="AK214" s="181">
        <v>862.20766881388499</v>
      </c>
      <c r="AL214" s="65">
        <v>0</v>
      </c>
      <c r="AM214" s="34">
        <v>-189.79599999999999</v>
      </c>
      <c r="AN214" s="65">
        <f t="shared" si="98"/>
        <v>6333.9839475189829</v>
      </c>
      <c r="AO214" s="65"/>
      <c r="AP214" s="41">
        <v>5983.5322294161033</v>
      </c>
      <c r="AQ214" s="41">
        <v>-5.4166454345699062</v>
      </c>
      <c r="AR214" s="41">
        <v>958.68307615972526</v>
      </c>
      <c r="AS214" s="65">
        <v>0</v>
      </c>
      <c r="AT214" s="34">
        <v>-86.061000000000007</v>
      </c>
      <c r="AU214" s="65">
        <f t="shared" si="99"/>
        <v>6850.7376601412598</v>
      </c>
      <c r="AV214" s="65"/>
      <c r="AW214" s="41">
        <v>2158.8676527063103</v>
      </c>
      <c r="AX214" s="314"/>
      <c r="AY214" s="314"/>
      <c r="AZ214" s="41">
        <v>293.45779005564049</v>
      </c>
      <c r="BA214" s="65">
        <v>0</v>
      </c>
      <c r="BB214" s="34">
        <v>-207.37</v>
      </c>
      <c r="BC214" s="65">
        <f t="shared" si="119"/>
        <v>2244.955442761951</v>
      </c>
      <c r="BD214" s="65"/>
      <c r="BE214" s="41">
        <v>2433.614375033645</v>
      </c>
      <c r="BF214" s="314"/>
      <c r="BG214" s="314"/>
      <c r="BH214" s="41">
        <v>295.03995447022476</v>
      </c>
      <c r="BI214" s="65">
        <v>0</v>
      </c>
      <c r="BJ214" s="34">
        <v>-178.59</v>
      </c>
      <c r="BK214" s="65">
        <f t="shared" si="120"/>
        <v>2550.0643295038699</v>
      </c>
      <c r="BL214" s="65"/>
      <c r="BM214" s="41">
        <v>2963.5282796752954</v>
      </c>
      <c r="BN214" s="41">
        <v>190.96962973799833</v>
      </c>
      <c r="BO214" s="65">
        <v>0</v>
      </c>
      <c r="BP214" s="34">
        <v>-178.59</v>
      </c>
      <c r="BQ214" s="65">
        <f t="shared" si="100"/>
        <v>2975.9079094132935</v>
      </c>
      <c r="BR214" s="65"/>
      <c r="BS214" s="41">
        <v>2828.4608046928583</v>
      </c>
      <c r="BT214" s="314"/>
      <c r="BU214" s="314"/>
      <c r="BV214" s="41">
        <v>205.24412971782638</v>
      </c>
      <c r="BW214" s="65">
        <v>0</v>
      </c>
      <c r="BX214" s="34">
        <v>-178.59</v>
      </c>
      <c r="BY214" s="65">
        <f t="shared" si="121"/>
        <v>2855.1149344106848</v>
      </c>
      <c r="CA214" s="5">
        <v>3010.1836512153641</v>
      </c>
      <c r="CB214" s="407">
        <v>219.77575918021438</v>
      </c>
      <c r="CC214" s="415">
        <v>0</v>
      </c>
      <c r="CD214" s="34">
        <v>-178.59</v>
      </c>
      <c r="CE214" s="65">
        <f t="shared" si="101"/>
        <v>3051.3694103955781</v>
      </c>
      <c r="CF214" s="407"/>
      <c r="CG214" s="5">
        <v>3233.7949346486198</v>
      </c>
      <c r="CH214" s="407">
        <v>232.33928063118501</v>
      </c>
      <c r="CI214" s="415">
        <v>0</v>
      </c>
      <c r="CJ214" s="34">
        <v>-178.59</v>
      </c>
      <c r="CK214" s="65">
        <f t="shared" si="102"/>
        <v>3287.5442152798046</v>
      </c>
      <c r="CL214" s="407"/>
      <c r="CM214" s="41">
        <f>AU214/'1. Väestöennuste'!L214*1000</f>
        <v>4190.0536147652965</v>
      </c>
      <c r="CN214" s="41">
        <f>BC214/'1. Väestöennuste'!M214*1000</f>
        <v>1363.8854451773698</v>
      </c>
      <c r="CO214" s="41">
        <f>BK214/'1. Väestöennuste'!N214*1000</f>
        <v>1595.7849371113077</v>
      </c>
      <c r="CP214" s="41">
        <f>BQ214/'1. Väestöennuste'!O214*1000</f>
        <v>1861.1056344048113</v>
      </c>
      <c r="CQ214" s="41">
        <f>BY214/'1. Väestöennuste'!P214*1000</f>
        <v>1787.798957051149</v>
      </c>
      <c r="CR214" s="41">
        <f>CE214/'1. Väestöennuste'!Q214*1000</f>
        <v>1913.0842698404879</v>
      </c>
      <c r="CS214" s="41">
        <f>CK214/'1. Väestöennuste'!R214*1000</f>
        <v>2058.5749626047618</v>
      </c>
      <c r="CT214" s="41"/>
      <c r="CV214" s="41">
        <f t="shared" si="103"/>
        <v>3466.1342152798047</v>
      </c>
      <c r="CW214" s="41">
        <f t="shared" si="104"/>
        <v>902.50939948549194</v>
      </c>
      <c r="CX214" s="41">
        <f t="shared" si="105"/>
        <v>-2826.168169587927</v>
      </c>
      <c r="CY214" s="41">
        <f t="shared" si="106"/>
        <v>231.89949193393795</v>
      </c>
      <c r="CZ214" s="41">
        <f t="shared" si="107"/>
        <v>265.3206972935036</v>
      </c>
      <c r="DA214" s="41">
        <f t="shared" si="108"/>
        <v>-73.30667735366228</v>
      </c>
      <c r="DB214" s="41">
        <f t="shared" si="109"/>
        <v>125.28531278933883</v>
      </c>
      <c r="DC214" s="41">
        <f t="shared" si="110"/>
        <v>145.49069276427394</v>
      </c>
      <c r="DD214" s="41"/>
      <c r="DE214" s="283">
        <f t="shared" si="111"/>
        <v>-19.408333138920458</v>
      </c>
      <c r="DF214" s="283">
        <f t="shared" si="112"/>
        <v>0.27452388177497983</v>
      </c>
      <c r="DG214" s="283">
        <f t="shared" si="113"/>
        <v>-0.6744945123443804</v>
      </c>
      <c r="DH214" s="283">
        <f t="shared" si="114"/>
        <v>0.17002857003417909</v>
      </c>
      <c r="DI214" s="283">
        <f t="shared" si="115"/>
        <v>0.16626344260009593</v>
      </c>
      <c r="DJ214" s="283">
        <f t="shared" si="116"/>
        <v>-3.9388778368352015E-2</v>
      </c>
      <c r="DK214" s="283">
        <f t="shared" si="117"/>
        <v>7.0077965028007574E-2</v>
      </c>
      <c r="DL214" s="283">
        <f t="shared" si="118"/>
        <v>7.6050331424451514E-2</v>
      </c>
    </row>
    <row r="215" spans="1:116" x14ac:dyDescent="0.2">
      <c r="A215" s="30">
        <v>631</v>
      </c>
      <c r="B215" s="31" t="s">
        <v>529</v>
      </c>
      <c r="C215" s="65"/>
      <c r="D215" s="65"/>
      <c r="E215" s="65"/>
      <c r="F215" s="65"/>
      <c r="G215" s="65"/>
      <c r="H215" s="65">
        <v>3537</v>
      </c>
      <c r="I215" s="65"/>
      <c r="J215" s="65"/>
      <c r="K215" s="65"/>
      <c r="L215" s="65"/>
      <c r="M215" s="65"/>
      <c r="N215" s="65">
        <v>3726</v>
      </c>
      <c r="O215" s="65"/>
      <c r="P215" s="65"/>
      <c r="Q215" s="65"/>
      <c r="R215" s="65"/>
      <c r="S215" s="65"/>
      <c r="T215" s="65">
        <v>3632</v>
      </c>
      <c r="U215" s="65"/>
      <c r="V215" s="65"/>
      <c r="W215" s="65"/>
      <c r="X215" s="65"/>
      <c r="Y215" s="65"/>
      <c r="Z215" s="65">
        <v>3441</v>
      </c>
      <c r="AA215" s="65"/>
      <c r="AB215" s="66">
        <v>3570.2759832134111</v>
      </c>
      <c r="AC215" s="34">
        <v>40.259711354175508</v>
      </c>
      <c r="AD215" s="180">
        <v>924.4681210958579</v>
      </c>
      <c r="AE215" s="65">
        <v>0</v>
      </c>
      <c r="AF215" s="34">
        <v>-469.11399999999998</v>
      </c>
      <c r="AG215" s="65">
        <f t="shared" si="97"/>
        <v>4065.8898156634446</v>
      </c>
      <c r="AH215" s="65"/>
      <c r="AI215" s="66">
        <v>3200.7035076614347</v>
      </c>
      <c r="AJ215" s="34">
        <v>-31.39226655982193</v>
      </c>
      <c r="AK215" s="181">
        <v>992.6578943406447</v>
      </c>
      <c r="AL215" s="65">
        <v>0</v>
      </c>
      <c r="AM215" s="34">
        <v>-510.69200000000001</v>
      </c>
      <c r="AN215" s="65">
        <f t="shared" si="98"/>
        <v>3651.2771354422575</v>
      </c>
      <c r="AO215" s="65"/>
      <c r="AP215" s="41">
        <v>3661.7139046543425</v>
      </c>
      <c r="AQ215" s="41">
        <v>-9.6953105355498721</v>
      </c>
      <c r="AR215" s="41">
        <v>1171.4674070434478</v>
      </c>
      <c r="AS215" s="65">
        <v>0</v>
      </c>
      <c r="AT215" s="34">
        <v>-524.95000000000005</v>
      </c>
      <c r="AU215" s="65">
        <f t="shared" si="99"/>
        <v>4298.5360011622406</v>
      </c>
      <c r="AV215" s="65"/>
      <c r="AW215" s="41">
        <v>2142.5952718830827</v>
      </c>
      <c r="AX215" s="314"/>
      <c r="AY215" s="314"/>
      <c r="AZ215" s="41">
        <v>344.41713611322763</v>
      </c>
      <c r="BA215" s="65">
        <v>0</v>
      </c>
      <c r="BB215" s="34">
        <v>-543.62</v>
      </c>
      <c r="BC215" s="65">
        <f t="shared" si="119"/>
        <v>1943.3924079963103</v>
      </c>
      <c r="BD215" s="65"/>
      <c r="BE215" s="41">
        <v>1141.6202014246285</v>
      </c>
      <c r="BF215" s="314"/>
      <c r="BG215" s="314"/>
      <c r="BH215" s="41">
        <v>333.25012285065651</v>
      </c>
      <c r="BI215" s="65">
        <v>0</v>
      </c>
      <c r="BJ215" s="34">
        <v>-528.44500000000005</v>
      </c>
      <c r="BK215" s="65">
        <f t="shared" si="120"/>
        <v>946.42532427528488</v>
      </c>
      <c r="BL215" s="65"/>
      <c r="BM215" s="41">
        <v>1576.3670055870534</v>
      </c>
      <c r="BN215" s="41">
        <v>188.80055501860471</v>
      </c>
      <c r="BO215" s="65">
        <v>0</v>
      </c>
      <c r="BP215" s="34">
        <v>-528.44500000000005</v>
      </c>
      <c r="BQ215" s="65">
        <f t="shared" si="100"/>
        <v>1236.7225606056581</v>
      </c>
      <c r="BR215" s="65"/>
      <c r="BS215" s="41">
        <v>1553.6888608132028</v>
      </c>
      <c r="BT215" s="314"/>
      <c r="BU215" s="314"/>
      <c r="BV215" s="41">
        <v>204.88860033694149</v>
      </c>
      <c r="BW215" s="65">
        <v>0</v>
      </c>
      <c r="BX215" s="34">
        <v>-528.44500000000005</v>
      </c>
      <c r="BY215" s="65">
        <f t="shared" si="121"/>
        <v>1230.1324611501441</v>
      </c>
      <c r="CA215" s="5">
        <v>1541.9014966384188</v>
      </c>
      <c r="CB215" s="407">
        <v>222.12415986603733</v>
      </c>
      <c r="CC215" s="415">
        <v>0</v>
      </c>
      <c r="CD215" s="34">
        <v>-528.44500000000005</v>
      </c>
      <c r="CE215" s="65">
        <f t="shared" si="101"/>
        <v>1235.5806565044563</v>
      </c>
      <c r="CF215" s="407"/>
      <c r="CG215" s="5">
        <v>1775.5822722961357</v>
      </c>
      <c r="CH215" s="407">
        <v>236.77942633067482</v>
      </c>
      <c r="CI215" s="415">
        <v>0</v>
      </c>
      <c r="CJ215" s="34">
        <v>-528.44500000000005</v>
      </c>
      <c r="CK215" s="65">
        <f t="shared" si="102"/>
        <v>1483.9166986268106</v>
      </c>
      <c r="CL215" s="407"/>
      <c r="CM215" s="41">
        <f>AU215/'1. Väestöennuste'!L215*1000</f>
        <v>2189.7789104239637</v>
      </c>
      <c r="CN215" s="41">
        <f>BC215/'1. Väestöennuste'!M215*1000</f>
        <v>1006.939071500679</v>
      </c>
      <c r="CO215" s="41">
        <f>BK215/'1. Väestöennuste'!N215*1000</f>
        <v>497.33332857345505</v>
      </c>
      <c r="CP215" s="41">
        <f>BQ215/'1. Väestöennuste'!O215*1000</f>
        <v>656.78309113417856</v>
      </c>
      <c r="CQ215" s="41">
        <f>BY215/'1. Väestöennuste'!P215*1000</f>
        <v>660.29654382723777</v>
      </c>
      <c r="CR215" s="41">
        <f>CE215/'1. Väestöennuste'!Q215*1000</f>
        <v>670.78211536615436</v>
      </c>
      <c r="CS215" s="41">
        <f>CK215/'1. Väestöennuste'!R215*1000</f>
        <v>814.89110303504151</v>
      </c>
      <c r="CT215" s="41"/>
      <c r="CV215" s="41">
        <f t="shared" si="103"/>
        <v>2012.3616986268107</v>
      </c>
      <c r="CW215" s="41">
        <f t="shared" si="104"/>
        <v>705.86221179715312</v>
      </c>
      <c r="CX215" s="41">
        <f t="shared" si="105"/>
        <v>-1182.8398389232848</v>
      </c>
      <c r="CY215" s="41">
        <f t="shared" si="106"/>
        <v>-509.60574292722396</v>
      </c>
      <c r="CZ215" s="41">
        <f t="shared" si="107"/>
        <v>159.44976256072351</v>
      </c>
      <c r="DA215" s="41">
        <f t="shared" si="108"/>
        <v>3.5134526930592074</v>
      </c>
      <c r="DB215" s="41">
        <f t="shared" si="109"/>
        <v>10.485571538916588</v>
      </c>
      <c r="DC215" s="41">
        <f t="shared" si="110"/>
        <v>144.10898766888715</v>
      </c>
      <c r="DD215" s="41"/>
      <c r="DE215" s="283">
        <f t="shared" si="111"/>
        <v>-3.8080816331440559</v>
      </c>
      <c r="DF215" s="283">
        <f t="shared" si="112"/>
        <v>0.47567509176919781</v>
      </c>
      <c r="DG215" s="283">
        <f t="shared" si="113"/>
        <v>-0.54016404728926481</v>
      </c>
      <c r="DH215" s="283">
        <f t="shared" si="114"/>
        <v>-0.50609392102318507</v>
      </c>
      <c r="DI215" s="283">
        <f t="shared" si="115"/>
        <v>0.32060944521471607</v>
      </c>
      <c r="DJ215" s="283">
        <f t="shared" si="116"/>
        <v>5.3494871297492357E-3</v>
      </c>
      <c r="DK215" s="283">
        <f t="shared" si="117"/>
        <v>1.5880094537735562E-2</v>
      </c>
      <c r="DL215" s="283">
        <f t="shared" si="118"/>
        <v>0.21483725395723105</v>
      </c>
    </row>
    <row r="216" spans="1:116" x14ac:dyDescent="0.2">
      <c r="A216" s="30">
        <v>635</v>
      </c>
      <c r="B216" s="31" t="s">
        <v>530</v>
      </c>
      <c r="C216" s="65"/>
      <c r="D216" s="65"/>
      <c r="E216" s="65"/>
      <c r="F216" s="65"/>
      <c r="G216" s="65"/>
      <c r="H216" s="65">
        <v>17066</v>
      </c>
      <c r="I216" s="65"/>
      <c r="J216" s="65"/>
      <c r="K216" s="65"/>
      <c r="L216" s="65"/>
      <c r="M216" s="65"/>
      <c r="N216" s="65">
        <v>16501</v>
      </c>
      <c r="O216" s="65"/>
      <c r="P216" s="65"/>
      <c r="Q216" s="65"/>
      <c r="R216" s="65"/>
      <c r="S216" s="65"/>
      <c r="T216" s="65">
        <v>16539</v>
      </c>
      <c r="U216" s="65"/>
      <c r="V216" s="65"/>
      <c r="W216" s="65"/>
      <c r="X216" s="65"/>
      <c r="Y216" s="65"/>
      <c r="Z216" s="65">
        <v>16264</v>
      </c>
      <c r="AA216" s="65"/>
      <c r="AB216" s="66">
        <v>15933.932558058814</v>
      </c>
      <c r="AC216" s="34">
        <v>115.21896834069337</v>
      </c>
      <c r="AD216" s="180">
        <v>3399.2082139116292</v>
      </c>
      <c r="AE216" s="65">
        <v>0</v>
      </c>
      <c r="AF216" s="34">
        <v>-692.27300000000002</v>
      </c>
      <c r="AG216" s="65">
        <f t="shared" si="97"/>
        <v>18756.086740311137</v>
      </c>
      <c r="AH216" s="65"/>
      <c r="AI216" s="66">
        <v>14801.194765664313</v>
      </c>
      <c r="AJ216" s="34">
        <v>-89.519825707981425</v>
      </c>
      <c r="AK216" s="181">
        <v>3646.659286375515</v>
      </c>
      <c r="AL216" s="65">
        <v>0</v>
      </c>
      <c r="AM216" s="34">
        <v>-907.50900000000001</v>
      </c>
      <c r="AN216" s="65">
        <f t="shared" si="98"/>
        <v>17450.82522633185</v>
      </c>
      <c r="AO216" s="65"/>
      <c r="AP216" s="41">
        <v>15153.399123515483</v>
      </c>
      <c r="AQ216" s="41">
        <v>-27.593529697317845</v>
      </c>
      <c r="AR216" s="41">
        <v>4230.799686009902</v>
      </c>
      <c r="AS216" s="65">
        <v>0</v>
      </c>
      <c r="AT216" s="34">
        <v>-782.55499999999995</v>
      </c>
      <c r="AU216" s="65">
        <f t="shared" si="99"/>
        <v>18574.050279828065</v>
      </c>
      <c r="AV216" s="65"/>
      <c r="AW216" s="41">
        <v>3508.4567736186041</v>
      </c>
      <c r="AX216" s="314"/>
      <c r="AY216" s="314"/>
      <c r="AZ216" s="41">
        <v>1272.1873641265317</v>
      </c>
      <c r="BA216" s="65">
        <v>0</v>
      </c>
      <c r="BB216" s="34">
        <v>-599.30700000000002</v>
      </c>
      <c r="BC216" s="65">
        <f t="shared" si="119"/>
        <v>4181.3371377451358</v>
      </c>
      <c r="BD216" s="65"/>
      <c r="BE216" s="41">
        <v>2960.4277292821484</v>
      </c>
      <c r="BF216" s="314"/>
      <c r="BG216" s="314"/>
      <c r="BH216" s="41">
        <v>1238.7429642665072</v>
      </c>
      <c r="BI216" s="65">
        <v>0</v>
      </c>
      <c r="BJ216" s="34">
        <v>-564.73800000000006</v>
      </c>
      <c r="BK216" s="65">
        <f t="shared" si="120"/>
        <v>3634.4326935486552</v>
      </c>
      <c r="BL216" s="65"/>
      <c r="BM216" s="41">
        <v>3740.5839552163748</v>
      </c>
      <c r="BN216" s="41">
        <v>807.93700877024628</v>
      </c>
      <c r="BO216" s="65">
        <v>0</v>
      </c>
      <c r="BP216" s="34">
        <v>-564.73800000000006</v>
      </c>
      <c r="BQ216" s="65">
        <f t="shared" si="100"/>
        <v>3983.7829639866204</v>
      </c>
      <c r="BR216" s="65"/>
      <c r="BS216" s="41">
        <v>3535.5533168921038</v>
      </c>
      <c r="BT216" s="314"/>
      <c r="BU216" s="314"/>
      <c r="BV216" s="41">
        <v>866.6266194228831</v>
      </c>
      <c r="BW216" s="65">
        <v>0</v>
      </c>
      <c r="BX216" s="34">
        <v>-564.73800000000006</v>
      </c>
      <c r="BY216" s="65">
        <f t="shared" si="121"/>
        <v>3837.4419363149864</v>
      </c>
      <c r="CA216" s="5">
        <v>3453.5448813048401</v>
      </c>
      <c r="CB216" s="407">
        <v>929.37115562830513</v>
      </c>
      <c r="CC216" s="415">
        <v>0</v>
      </c>
      <c r="CD216" s="34">
        <v>-564.73800000000006</v>
      </c>
      <c r="CE216" s="65">
        <f t="shared" si="101"/>
        <v>3818.1780369331454</v>
      </c>
      <c r="CF216" s="407"/>
      <c r="CG216" s="5">
        <v>3944.6273517223399</v>
      </c>
      <c r="CH216" s="407">
        <v>984.16610131361449</v>
      </c>
      <c r="CI216" s="415">
        <v>0</v>
      </c>
      <c r="CJ216" s="34">
        <v>-564.73800000000006</v>
      </c>
      <c r="CK216" s="65">
        <f t="shared" si="102"/>
        <v>4364.0554530359541</v>
      </c>
      <c r="CL216" s="407"/>
      <c r="CM216" s="41">
        <f>AU216/'1. Väestöennuste'!L216*1000</f>
        <v>2926.4298534469931</v>
      </c>
      <c r="CN216" s="41">
        <f>BC216/'1. Väestöennuste'!M216*1000</f>
        <v>659.82912067936491</v>
      </c>
      <c r="CO216" s="41">
        <f>BK216/'1. Väestöennuste'!N216*1000</f>
        <v>586.57725848106122</v>
      </c>
      <c r="CP216" s="41">
        <f>BQ216/'1. Väestöennuste'!O216*1000</f>
        <v>648.08572701913454</v>
      </c>
      <c r="CQ216" s="41">
        <f>BY216/'1. Väestöennuste'!P216*1000</f>
        <v>628.67659507126245</v>
      </c>
      <c r="CR216" s="41">
        <f>CE216/'1. Väestöennuste'!Q216*1000</f>
        <v>629.75062459725302</v>
      </c>
      <c r="CS216" s="41">
        <f>CK216/'1. Väestöennuste'!R216*1000</f>
        <v>724.32455652049032</v>
      </c>
      <c r="CT216" s="41"/>
      <c r="CV216" s="41">
        <f t="shared" si="103"/>
        <v>4928.7934530359544</v>
      </c>
      <c r="CW216" s="41">
        <f t="shared" si="104"/>
        <v>-1437.625599588961</v>
      </c>
      <c r="CX216" s="41">
        <f t="shared" si="105"/>
        <v>-2266.600732767628</v>
      </c>
      <c r="CY216" s="41">
        <f t="shared" si="106"/>
        <v>-73.251862198303684</v>
      </c>
      <c r="CZ216" s="41">
        <f t="shared" si="107"/>
        <v>61.508468538073316</v>
      </c>
      <c r="DA216" s="41">
        <f t="shared" si="108"/>
        <v>-19.409131947872083</v>
      </c>
      <c r="DB216" s="41">
        <f t="shared" si="109"/>
        <v>1.0740295259905679</v>
      </c>
      <c r="DC216" s="41">
        <f t="shared" si="110"/>
        <v>94.573931923237296</v>
      </c>
      <c r="DD216" s="41"/>
      <c r="DE216" s="283">
        <f t="shared" si="111"/>
        <v>-8.7275753589026301</v>
      </c>
      <c r="DF216" s="283">
        <f t="shared" si="112"/>
        <v>-0.32942422823450701</v>
      </c>
      <c r="DG216" s="283">
        <f t="shared" si="113"/>
        <v>-0.77452761428668337</v>
      </c>
      <c r="DH216" s="283">
        <f t="shared" si="114"/>
        <v>-0.11101641304173272</v>
      </c>
      <c r="DI216" s="283">
        <f t="shared" si="115"/>
        <v>0.10485996115387967</v>
      </c>
      <c r="DJ216" s="283">
        <f t="shared" si="116"/>
        <v>-2.9948402099741096E-2</v>
      </c>
      <c r="DK216" s="283">
        <f t="shared" si="117"/>
        <v>1.7083975042347858E-3</v>
      </c>
      <c r="DL216" s="283">
        <f t="shared" si="118"/>
        <v>0.15017679733739137</v>
      </c>
    </row>
    <row r="217" spans="1:116" x14ac:dyDescent="0.2">
      <c r="A217" s="30">
        <v>636</v>
      </c>
      <c r="B217" s="31" t="s">
        <v>531</v>
      </c>
      <c r="C217" s="65"/>
      <c r="D217" s="65"/>
      <c r="E217" s="65"/>
      <c r="F217" s="65"/>
      <c r="G217" s="65"/>
      <c r="H217" s="65">
        <v>22382</v>
      </c>
      <c r="I217" s="65"/>
      <c r="J217" s="65"/>
      <c r="K217" s="65"/>
      <c r="L217" s="65"/>
      <c r="M217" s="65"/>
      <c r="N217" s="65">
        <v>22404</v>
      </c>
      <c r="O217" s="65"/>
      <c r="P217" s="65"/>
      <c r="Q217" s="65"/>
      <c r="R217" s="65"/>
      <c r="S217" s="65"/>
      <c r="T217" s="65">
        <v>21952</v>
      </c>
      <c r="U217" s="65"/>
      <c r="V217" s="65"/>
      <c r="W217" s="65"/>
      <c r="X217" s="65"/>
      <c r="Y217" s="65"/>
      <c r="Z217" s="65">
        <v>21073</v>
      </c>
      <c r="AA217" s="65"/>
      <c r="AB217" s="66">
        <v>20463.659847044401</v>
      </c>
      <c r="AC217" s="34">
        <v>138.8372882048256</v>
      </c>
      <c r="AD217" s="180">
        <v>4337.6763960822873</v>
      </c>
      <c r="AE217" s="65">
        <v>0</v>
      </c>
      <c r="AF217" s="34">
        <v>-599.89400000000001</v>
      </c>
      <c r="AG217" s="65">
        <f t="shared" si="97"/>
        <v>24340.279531331511</v>
      </c>
      <c r="AH217" s="65"/>
      <c r="AI217" s="66">
        <v>18801.695704166956</v>
      </c>
      <c r="AJ217" s="34">
        <v>-106.91627045923512</v>
      </c>
      <c r="AK217" s="181">
        <v>4664.7514445020761</v>
      </c>
      <c r="AL217" s="65">
        <v>0</v>
      </c>
      <c r="AM217" s="34">
        <v>-835.52499999999998</v>
      </c>
      <c r="AN217" s="65">
        <f t="shared" si="98"/>
        <v>22524.005878209795</v>
      </c>
      <c r="AO217" s="65"/>
      <c r="AP217" s="41">
        <v>18606.913272692436</v>
      </c>
      <c r="AQ217" s="41">
        <v>-32.847901483568926</v>
      </c>
      <c r="AR217" s="41">
        <v>5447.8747989777903</v>
      </c>
      <c r="AS217" s="65">
        <v>0</v>
      </c>
      <c r="AT217" s="34">
        <v>-688.25800000000004</v>
      </c>
      <c r="AU217" s="65">
        <f t="shared" si="99"/>
        <v>23333.682170186657</v>
      </c>
      <c r="AV217" s="65"/>
      <c r="AW217" s="41">
        <v>7173.0037894458364</v>
      </c>
      <c r="AX217" s="314"/>
      <c r="AY217" s="314"/>
      <c r="AZ217" s="41">
        <v>1772.1923552646747</v>
      </c>
      <c r="BA217" s="65">
        <v>0</v>
      </c>
      <c r="BB217" s="34">
        <v>-682.19799999999998</v>
      </c>
      <c r="BC217" s="65">
        <f t="shared" si="119"/>
        <v>8262.998144710511</v>
      </c>
      <c r="BD217" s="65"/>
      <c r="BE217" s="41">
        <v>8343.5657134832327</v>
      </c>
      <c r="BF217" s="314"/>
      <c r="BG217" s="314"/>
      <c r="BH217" s="41">
        <v>1738.4825819979981</v>
      </c>
      <c r="BI217" s="65">
        <v>0</v>
      </c>
      <c r="BJ217" s="34">
        <v>-689.85199999999998</v>
      </c>
      <c r="BK217" s="65">
        <f t="shared" si="120"/>
        <v>9392.1962954812298</v>
      </c>
      <c r="BL217" s="65"/>
      <c r="BM217" s="41">
        <v>8903.8225002770378</v>
      </c>
      <c r="BN217" s="41">
        <v>1184.8270470195953</v>
      </c>
      <c r="BO217" s="65">
        <v>0</v>
      </c>
      <c r="BP217" s="34">
        <v>-689.85199999999998</v>
      </c>
      <c r="BQ217" s="65">
        <f t="shared" si="100"/>
        <v>9398.7975472966318</v>
      </c>
      <c r="BR217" s="65"/>
      <c r="BS217" s="41">
        <v>8257.054546164125</v>
      </c>
      <c r="BT217" s="314"/>
      <c r="BU217" s="314"/>
      <c r="BV217" s="41">
        <v>1257.5557998107477</v>
      </c>
      <c r="BW217" s="65">
        <v>0</v>
      </c>
      <c r="BX217" s="34">
        <v>-689.85199999999998</v>
      </c>
      <c r="BY217" s="65">
        <f t="shared" si="121"/>
        <v>8824.7583459748712</v>
      </c>
      <c r="CA217" s="5">
        <v>8258.3044649983367</v>
      </c>
      <c r="CB217" s="407">
        <v>1335.2696549851041</v>
      </c>
      <c r="CC217" s="415">
        <v>0</v>
      </c>
      <c r="CD217" s="34">
        <v>-689.85199999999998</v>
      </c>
      <c r="CE217" s="65">
        <f t="shared" si="101"/>
        <v>8903.7221199834403</v>
      </c>
      <c r="CF217" s="407"/>
      <c r="CG217" s="5">
        <v>8727.8112458563137</v>
      </c>
      <c r="CH217" s="407">
        <v>1402.3104491536126</v>
      </c>
      <c r="CI217" s="415">
        <v>0</v>
      </c>
      <c r="CJ217" s="34">
        <v>-689.85199999999998</v>
      </c>
      <c r="CK217" s="65">
        <f t="shared" si="102"/>
        <v>9440.2696950099253</v>
      </c>
      <c r="CL217" s="407"/>
      <c r="CM217" s="41">
        <f>AU217/'1. Väestöennuste'!L217*1000</f>
        <v>2861.6240090981919</v>
      </c>
      <c r="CN217" s="41">
        <f>BC217/'1. Väestöennuste'!M217*1000</f>
        <v>1016.3589353887468</v>
      </c>
      <c r="CO217" s="41">
        <f>BK217/'1. Väestöennuste'!N217*1000</f>
        <v>1175.3468020875023</v>
      </c>
      <c r="CP217" s="41">
        <f>BQ217/'1. Väestöennuste'!O217*1000</f>
        <v>1183.1316147150847</v>
      </c>
      <c r="CQ217" s="41">
        <f>BY217/'1. Väestöennuste'!P217*1000</f>
        <v>1117.3408895891203</v>
      </c>
      <c r="CR217" s="41">
        <f>CE217/'1. Väestöennuste'!Q217*1000</f>
        <v>1133.6544588723505</v>
      </c>
      <c r="CS217" s="41">
        <f>CK217/'1. Väestöennuste'!R217*1000</f>
        <v>1209.5156559910217</v>
      </c>
      <c r="CT217" s="41"/>
      <c r="CV217" s="41">
        <f t="shared" si="103"/>
        <v>10130.121695009926</v>
      </c>
      <c r="CW217" s="41">
        <f t="shared" si="104"/>
        <v>-6578.6456859117334</v>
      </c>
      <c r="CX217" s="41">
        <f t="shared" si="105"/>
        <v>-1845.265073709445</v>
      </c>
      <c r="CY217" s="41">
        <f t="shared" si="106"/>
        <v>158.98786669875551</v>
      </c>
      <c r="CZ217" s="41">
        <f t="shared" si="107"/>
        <v>7.7848126275823688</v>
      </c>
      <c r="DA217" s="41">
        <f t="shared" si="108"/>
        <v>-65.7907251259644</v>
      </c>
      <c r="DB217" s="41">
        <f t="shared" si="109"/>
        <v>16.313569283230208</v>
      </c>
      <c r="DC217" s="41">
        <f t="shared" si="110"/>
        <v>75.861197118671271</v>
      </c>
      <c r="DD217" s="41"/>
      <c r="DE217" s="283">
        <f t="shared" si="111"/>
        <v>-14.684485505601094</v>
      </c>
      <c r="DF217" s="283">
        <f t="shared" si="112"/>
        <v>-0.69687052366620095</v>
      </c>
      <c r="DG217" s="283">
        <f t="shared" si="113"/>
        <v>-0.64483142014556949</v>
      </c>
      <c r="DH217" s="283">
        <f t="shared" si="114"/>
        <v>0.15642885713199767</v>
      </c>
      <c r="DI217" s="283">
        <f t="shared" si="115"/>
        <v>6.6234175425976139E-3</v>
      </c>
      <c r="DJ217" s="283">
        <f t="shared" si="116"/>
        <v>-5.5607275055199808E-2</v>
      </c>
      <c r="DK217" s="283">
        <f t="shared" si="117"/>
        <v>1.4600351097174289E-2</v>
      </c>
      <c r="DL217" s="283">
        <f t="shared" si="118"/>
        <v>6.691738961987645E-2</v>
      </c>
    </row>
    <row r="218" spans="1:116" x14ac:dyDescent="0.2">
      <c r="A218" s="30">
        <v>638</v>
      </c>
      <c r="B218" s="31" t="s">
        <v>532</v>
      </c>
      <c r="C218" s="65"/>
      <c r="D218" s="65"/>
      <c r="E218" s="65"/>
      <c r="F218" s="65"/>
      <c r="G218" s="65"/>
      <c r="H218" s="65">
        <v>52316</v>
      </c>
      <c r="I218" s="65"/>
      <c r="J218" s="65"/>
      <c r="K218" s="65"/>
      <c r="L218" s="65"/>
      <c r="M218" s="65"/>
      <c r="N218" s="65">
        <v>48980</v>
      </c>
      <c r="O218" s="65"/>
      <c r="P218" s="65"/>
      <c r="Q218" s="65"/>
      <c r="R218" s="65"/>
      <c r="S218" s="65"/>
      <c r="T218" s="65">
        <v>50465</v>
      </c>
      <c r="U218" s="65"/>
      <c r="V218" s="65"/>
      <c r="W218" s="65"/>
      <c r="X218" s="65"/>
      <c r="Y218" s="65"/>
      <c r="Z218" s="65">
        <v>54307</v>
      </c>
      <c r="AA218" s="65"/>
      <c r="AB218" s="66">
        <v>58477.502793741653</v>
      </c>
      <c r="AC218" s="34">
        <v>1214.5100040218247</v>
      </c>
      <c r="AD218" s="180">
        <v>18898.221791559721</v>
      </c>
      <c r="AE218" s="65">
        <v>0</v>
      </c>
      <c r="AF218" s="34">
        <v>-2298.8009999999999</v>
      </c>
      <c r="AG218" s="65">
        <f t="shared" si="97"/>
        <v>76291.433589323191</v>
      </c>
      <c r="AH218" s="65"/>
      <c r="AI218" s="66">
        <v>44268.999883102202</v>
      </c>
      <c r="AJ218" s="34">
        <v>-925.7677586047887</v>
      </c>
      <c r="AK218" s="181">
        <v>20413.107034130895</v>
      </c>
      <c r="AL218" s="65">
        <v>0</v>
      </c>
      <c r="AM218" s="34">
        <v>-3461.9450000000002</v>
      </c>
      <c r="AN218" s="65">
        <f t="shared" si="98"/>
        <v>60294.394158628311</v>
      </c>
      <c r="AO218" s="65"/>
      <c r="AP218" s="41">
        <v>44438.621729523387</v>
      </c>
      <c r="AQ218" s="41">
        <v>-282.40217706656773</v>
      </c>
      <c r="AR218" s="41">
        <v>23909.998660898997</v>
      </c>
      <c r="AS218" s="65">
        <v>0</v>
      </c>
      <c r="AT218" s="34">
        <v>-691.202</v>
      </c>
      <c r="AU218" s="65">
        <f t="shared" si="99"/>
        <v>67375.016213355804</v>
      </c>
      <c r="AV218" s="65"/>
      <c r="AW218" s="41">
        <v>41128.63987623599</v>
      </c>
      <c r="AX218" s="314"/>
      <c r="AY218" s="314"/>
      <c r="AZ218" s="41">
        <v>7464.2336631018916</v>
      </c>
      <c r="BA218" s="65">
        <v>0</v>
      </c>
      <c r="BB218" s="34">
        <v>-1028.1859999999999</v>
      </c>
      <c r="BC218" s="65">
        <f t="shared" si="119"/>
        <v>47564.68753933788</v>
      </c>
      <c r="BD218" s="65"/>
      <c r="BE218" s="41">
        <v>40501.642810551093</v>
      </c>
      <c r="BF218" s="314"/>
      <c r="BG218" s="314"/>
      <c r="BH218" s="41">
        <v>7324.9205436812135</v>
      </c>
      <c r="BI218" s="65">
        <v>0</v>
      </c>
      <c r="BJ218" s="34">
        <v>-1368.123</v>
      </c>
      <c r="BK218" s="65">
        <f t="shared" si="120"/>
        <v>46458.440354232305</v>
      </c>
      <c r="BL218" s="65"/>
      <c r="BM218" s="41">
        <v>46717.657109096828</v>
      </c>
      <c r="BN218" s="41">
        <v>4820.3131939695495</v>
      </c>
      <c r="BO218" s="65">
        <v>0</v>
      </c>
      <c r="BP218" s="34">
        <v>-1368.123</v>
      </c>
      <c r="BQ218" s="65">
        <f t="shared" si="100"/>
        <v>50169.847303066381</v>
      </c>
      <c r="BR218" s="65"/>
      <c r="BS218" s="41">
        <v>45421.302396657644</v>
      </c>
      <c r="BT218" s="314"/>
      <c r="BU218" s="314"/>
      <c r="BV218" s="41">
        <v>5045.5312028584276</v>
      </c>
      <c r="BW218" s="65">
        <v>0</v>
      </c>
      <c r="BX218" s="34">
        <v>-1368.123</v>
      </c>
      <c r="BY218" s="65">
        <f t="shared" si="121"/>
        <v>49098.710599516075</v>
      </c>
      <c r="CA218" s="5">
        <v>44982.92945961166</v>
      </c>
      <c r="CB218" s="407">
        <v>5401.1378356564865</v>
      </c>
      <c r="CC218" s="415">
        <v>0</v>
      </c>
      <c r="CD218" s="34">
        <v>-1368.123</v>
      </c>
      <c r="CE218" s="65">
        <f t="shared" si="101"/>
        <v>49015.944295268149</v>
      </c>
      <c r="CF218" s="407"/>
      <c r="CG218" s="5">
        <v>46795.994517990424</v>
      </c>
      <c r="CH218" s="407">
        <v>5690.3147596133431</v>
      </c>
      <c r="CI218" s="415">
        <v>0</v>
      </c>
      <c r="CJ218" s="34">
        <v>-1368.123</v>
      </c>
      <c r="CK218" s="65">
        <f t="shared" si="102"/>
        <v>51118.186277603767</v>
      </c>
      <c r="CL218" s="407"/>
      <c r="CM218" s="41">
        <f>AU218/'1. Väestöennuste'!L218*1000</f>
        <v>1315.0963501982317</v>
      </c>
      <c r="CN218" s="41">
        <f>BC218/'1. Väestöennuste'!M218*1000</f>
        <v>927.38574624847206</v>
      </c>
      <c r="CO218" s="41">
        <f>BK218/'1. Väestöennuste'!N218*1000</f>
        <v>904.81128723235111</v>
      </c>
      <c r="CP218" s="41">
        <f>BQ218/'1. Väestöennuste'!O218*1000</f>
        <v>974.43668770280033</v>
      </c>
      <c r="CQ218" s="41">
        <f>BY218/'1. Väestöennuste'!P218*1000</f>
        <v>951.15673381472448</v>
      </c>
      <c r="CR218" s="41">
        <f>CE218/'1. Väestöennuste'!Q218*1000</f>
        <v>947.35106871411188</v>
      </c>
      <c r="CS218" s="41">
        <f>CK218/'1. Väestöennuste'!R218*1000</f>
        <v>985.90496012659389</v>
      </c>
      <c r="CT218" s="41"/>
      <c r="CV218" s="41">
        <f t="shared" si="103"/>
        <v>52486.309277603767</v>
      </c>
      <c r="CW218" s="41">
        <f t="shared" si="104"/>
        <v>-49803.089927405534</v>
      </c>
      <c r="CX218" s="41">
        <f t="shared" si="105"/>
        <v>-387.71060394975962</v>
      </c>
      <c r="CY218" s="41">
        <f t="shared" si="106"/>
        <v>-22.574459016120954</v>
      </c>
      <c r="CZ218" s="41">
        <f t="shared" si="107"/>
        <v>69.625400470449222</v>
      </c>
      <c r="DA218" s="41">
        <f t="shared" si="108"/>
        <v>-23.279953888075852</v>
      </c>
      <c r="DB218" s="41">
        <f t="shared" si="109"/>
        <v>-3.8056651006126003</v>
      </c>
      <c r="DC218" s="41">
        <f t="shared" si="110"/>
        <v>38.553891412482017</v>
      </c>
      <c r="DD218" s="41"/>
      <c r="DE218" s="283">
        <f t="shared" si="111"/>
        <v>-38.363735773467567</v>
      </c>
      <c r="DF218" s="283">
        <f t="shared" si="112"/>
        <v>-0.97427341527619082</v>
      </c>
      <c r="DG218" s="283">
        <f t="shared" si="113"/>
        <v>-0.29481536002386277</v>
      </c>
      <c r="DH218" s="283">
        <f t="shared" si="114"/>
        <v>-2.4342037935606398E-2</v>
      </c>
      <c r="DI218" s="283">
        <f t="shared" si="115"/>
        <v>7.69501900041724E-2</v>
      </c>
      <c r="DJ218" s="283">
        <f t="shared" si="116"/>
        <v>-2.3890678770477649E-2</v>
      </c>
      <c r="DK218" s="283">
        <f t="shared" si="117"/>
        <v>-4.0010914766376504E-3</v>
      </c>
      <c r="DL218" s="283">
        <f t="shared" si="118"/>
        <v>4.0696519680727426E-2</v>
      </c>
    </row>
    <row r="219" spans="1:116" x14ac:dyDescent="0.2">
      <c r="A219" s="30">
        <v>678</v>
      </c>
      <c r="B219" s="31" t="s">
        <v>533</v>
      </c>
      <c r="C219" s="65"/>
      <c r="D219" s="65"/>
      <c r="E219" s="65"/>
      <c r="F219" s="65"/>
      <c r="G219" s="65"/>
      <c r="H219" s="65">
        <v>53368</v>
      </c>
      <c r="I219" s="65"/>
      <c r="J219" s="65"/>
      <c r="K219" s="65"/>
      <c r="L219" s="65"/>
      <c r="M219" s="65"/>
      <c r="N219" s="65">
        <v>54537</v>
      </c>
      <c r="O219" s="65"/>
      <c r="P219" s="65"/>
      <c r="Q219" s="65"/>
      <c r="R219" s="65"/>
      <c r="S219" s="65"/>
      <c r="T219" s="65">
        <v>57714</v>
      </c>
      <c r="U219" s="65"/>
      <c r="V219" s="65"/>
      <c r="W219" s="65"/>
      <c r="X219" s="65"/>
      <c r="Y219" s="65"/>
      <c r="Z219" s="65">
        <v>58318</v>
      </c>
      <c r="AA219" s="65"/>
      <c r="AB219" s="66">
        <v>61958.540206764803</v>
      </c>
      <c r="AC219" s="34">
        <v>474.18187145869581</v>
      </c>
      <c r="AD219" s="180">
        <v>9614.3102963311248</v>
      </c>
      <c r="AE219" s="65">
        <v>0</v>
      </c>
      <c r="AF219" s="34">
        <v>-1418.377</v>
      </c>
      <c r="AG219" s="65">
        <f t="shared" si="97"/>
        <v>70628.655374554641</v>
      </c>
      <c r="AH219" s="65"/>
      <c r="AI219" s="66">
        <v>56612.604434203589</v>
      </c>
      <c r="AJ219" s="34">
        <v>-367.81287660482411</v>
      </c>
      <c r="AK219" s="181">
        <v>10273.237631612159</v>
      </c>
      <c r="AL219" s="65">
        <v>2000</v>
      </c>
      <c r="AM219" s="34">
        <v>-1296.441</v>
      </c>
      <c r="AN219" s="65">
        <f t="shared" si="98"/>
        <v>67221.588189210917</v>
      </c>
      <c r="AO219" s="65"/>
      <c r="AP219" s="41">
        <v>59606.560031473629</v>
      </c>
      <c r="AQ219" s="41">
        <v>-113.48119095687291</v>
      </c>
      <c r="AR219" s="41">
        <v>11512.355546443632</v>
      </c>
      <c r="AS219" s="65">
        <v>0</v>
      </c>
      <c r="AT219" s="34">
        <v>-907.21100000000001</v>
      </c>
      <c r="AU219" s="65">
        <f t="shared" si="99"/>
        <v>70098.223386960395</v>
      </c>
      <c r="AV219" s="65"/>
      <c r="AW219" s="41">
        <v>22065.91248621088</v>
      </c>
      <c r="AX219" s="314"/>
      <c r="AY219" s="314"/>
      <c r="AZ219" s="41">
        <v>3472.3660037305522</v>
      </c>
      <c r="BA219" s="65">
        <v>0</v>
      </c>
      <c r="BB219" s="34">
        <v>-695.86</v>
      </c>
      <c r="BC219" s="65">
        <f t="shared" si="119"/>
        <v>24842.418489941432</v>
      </c>
      <c r="BD219" s="65"/>
      <c r="BE219" s="41">
        <v>20084.553651722574</v>
      </c>
      <c r="BF219" s="314"/>
      <c r="BG219" s="314"/>
      <c r="BH219" s="41">
        <v>3455.0854561190231</v>
      </c>
      <c r="BI219" s="65">
        <v>0</v>
      </c>
      <c r="BJ219" s="34">
        <v>-725.26700000000005</v>
      </c>
      <c r="BK219" s="65">
        <f t="shared" si="120"/>
        <v>22814.372107841598</v>
      </c>
      <c r="BL219" s="65"/>
      <c r="BM219" s="41">
        <v>16888.073571024823</v>
      </c>
      <c r="BN219" s="41">
        <v>1958.3112431601635</v>
      </c>
      <c r="BO219" s="65">
        <v>0</v>
      </c>
      <c r="BP219" s="34">
        <v>-725.26700000000005</v>
      </c>
      <c r="BQ219" s="65">
        <f t="shared" si="100"/>
        <v>18121.117814184985</v>
      </c>
      <c r="BR219" s="65"/>
      <c r="BS219" s="41">
        <v>14826.622000782183</v>
      </c>
      <c r="BT219" s="314"/>
      <c r="BU219" s="314"/>
      <c r="BV219" s="41">
        <v>2139.7949092592421</v>
      </c>
      <c r="BW219" s="65">
        <v>0</v>
      </c>
      <c r="BX219" s="34">
        <v>-725.26700000000005</v>
      </c>
      <c r="BY219" s="65">
        <f t="shared" si="121"/>
        <v>16241.149910041426</v>
      </c>
      <c r="CA219" s="5">
        <v>14734.608194747232</v>
      </c>
      <c r="CB219" s="407">
        <v>2327.0045449193444</v>
      </c>
      <c r="CC219" s="415">
        <v>0</v>
      </c>
      <c r="CD219" s="34">
        <v>-725.26700000000005</v>
      </c>
      <c r="CE219" s="65">
        <f t="shared" si="101"/>
        <v>16336.345739666576</v>
      </c>
      <c r="CF219" s="407"/>
      <c r="CG219" s="5">
        <v>15193.936413514082</v>
      </c>
      <c r="CH219" s="407">
        <v>2484.1581158175532</v>
      </c>
      <c r="CI219" s="415">
        <v>0</v>
      </c>
      <c r="CJ219" s="34">
        <v>-725.26700000000005</v>
      </c>
      <c r="CK219" s="65">
        <f t="shared" si="102"/>
        <v>16952.827529331636</v>
      </c>
      <c r="CL219" s="407"/>
      <c r="CM219" s="41">
        <f>AU219/'1. Väestöennuste'!L219*1000</f>
        <v>2911.9022717135545</v>
      </c>
      <c r="CN219" s="41">
        <f>BC219/'1. Väestöennuste'!M219*1000</f>
        <v>1043.9306841173859</v>
      </c>
      <c r="CO219" s="41">
        <f>BK219/'1. Väestöennuste'!N219*1000</f>
        <v>964.74848223281447</v>
      </c>
      <c r="CP219" s="41">
        <f>BQ219/'1. Väestöennuste'!O219*1000</f>
        <v>772.36031941799445</v>
      </c>
      <c r="CQ219" s="41">
        <f>BY219/'1. Väestöennuste'!P219*1000</f>
        <v>697.88371906331326</v>
      </c>
      <c r="CR219" s="41">
        <f>CE219/'1. Väestöennuste'!Q219*1000</f>
        <v>707.81394019352581</v>
      </c>
      <c r="CS219" s="41">
        <f>CK219/'1. Väestöennuste'!R219*1000</f>
        <v>740.81574590681851</v>
      </c>
      <c r="CT219" s="41"/>
      <c r="CV219" s="41">
        <f t="shared" si="103"/>
        <v>17678.094529331636</v>
      </c>
      <c r="CW219" s="41">
        <f t="shared" si="104"/>
        <v>-14040.925257618082</v>
      </c>
      <c r="CX219" s="41">
        <f t="shared" si="105"/>
        <v>-1867.9715875961685</v>
      </c>
      <c r="CY219" s="41">
        <f t="shared" si="106"/>
        <v>-79.182201884571441</v>
      </c>
      <c r="CZ219" s="41">
        <f t="shared" si="107"/>
        <v>-192.38816281482002</v>
      </c>
      <c r="DA219" s="41">
        <f t="shared" si="108"/>
        <v>-74.476600354681182</v>
      </c>
      <c r="DB219" s="41">
        <f t="shared" si="109"/>
        <v>9.9302211302125443</v>
      </c>
      <c r="DC219" s="41">
        <f t="shared" si="110"/>
        <v>33.001805713292697</v>
      </c>
      <c r="DD219" s="41"/>
      <c r="DE219" s="283">
        <f t="shared" si="111"/>
        <v>-24.374602083552176</v>
      </c>
      <c r="DF219" s="283">
        <f t="shared" si="112"/>
        <v>-0.82823500878095968</v>
      </c>
      <c r="DG219" s="283">
        <f t="shared" si="113"/>
        <v>-0.64149528840366321</v>
      </c>
      <c r="DH219" s="283">
        <f t="shared" si="114"/>
        <v>-7.5850056990630341E-2</v>
      </c>
      <c r="DI219" s="283">
        <f t="shared" si="115"/>
        <v>-0.19941794815738578</v>
      </c>
      <c r="DJ219" s="283">
        <f t="shared" si="116"/>
        <v>-9.6427274268572463E-2</v>
      </c>
      <c r="DK219" s="283">
        <f t="shared" si="117"/>
        <v>1.4229048276897339E-2</v>
      </c>
      <c r="DL219" s="283">
        <f t="shared" si="118"/>
        <v>4.6624972806087378E-2</v>
      </c>
    </row>
    <row r="220" spans="1:116" x14ac:dyDescent="0.2">
      <c r="A220" s="30">
        <v>680</v>
      </c>
      <c r="B220" s="31" t="s">
        <v>534</v>
      </c>
      <c r="C220" s="65"/>
      <c r="D220" s="65"/>
      <c r="E220" s="65"/>
      <c r="F220" s="65"/>
      <c r="G220" s="65"/>
      <c r="H220" s="65">
        <v>30425</v>
      </c>
      <c r="I220" s="65"/>
      <c r="J220" s="65"/>
      <c r="K220" s="65"/>
      <c r="L220" s="65"/>
      <c r="M220" s="65"/>
      <c r="N220" s="65">
        <v>28077</v>
      </c>
      <c r="O220" s="65"/>
      <c r="P220" s="65"/>
      <c r="Q220" s="65"/>
      <c r="R220" s="65"/>
      <c r="S220" s="65"/>
      <c r="T220" s="65">
        <v>27097</v>
      </c>
      <c r="U220" s="65"/>
      <c r="V220" s="65"/>
      <c r="W220" s="65"/>
      <c r="X220" s="65"/>
      <c r="Y220" s="65"/>
      <c r="Z220" s="65">
        <v>28448</v>
      </c>
      <c r="AA220" s="65"/>
      <c r="AB220" s="66">
        <v>31089.805934459142</v>
      </c>
      <c r="AC220" s="34">
        <v>495.62261399895164</v>
      </c>
      <c r="AD220" s="180">
        <v>9154.1302863758428</v>
      </c>
      <c r="AE220" s="65">
        <v>0</v>
      </c>
      <c r="AF220" s="34">
        <v>-1703.6859999999999</v>
      </c>
      <c r="AG220" s="65">
        <f t="shared" si="97"/>
        <v>39035.872834833935</v>
      </c>
      <c r="AH220" s="65"/>
      <c r="AI220" s="66">
        <v>27044.07688140728</v>
      </c>
      <c r="AJ220" s="34">
        <v>-384.90855666781857</v>
      </c>
      <c r="AK220" s="181">
        <v>9927.2889373216112</v>
      </c>
      <c r="AL220" s="65">
        <v>0</v>
      </c>
      <c r="AM220" s="34">
        <v>-1450.9449999999999</v>
      </c>
      <c r="AN220" s="65">
        <f t="shared" si="98"/>
        <v>35135.512262061071</v>
      </c>
      <c r="AO220" s="65"/>
      <c r="AP220" s="41">
        <v>29194.036523133884</v>
      </c>
      <c r="AQ220" s="41">
        <v>-118.83345923987311</v>
      </c>
      <c r="AR220" s="41">
        <v>11231.204048889538</v>
      </c>
      <c r="AS220" s="65">
        <v>0</v>
      </c>
      <c r="AT220" s="34">
        <v>-980.96100000000001</v>
      </c>
      <c r="AU220" s="65">
        <f t="shared" si="99"/>
        <v>39325.446112783546</v>
      </c>
      <c r="AV220" s="65"/>
      <c r="AW220" s="41">
        <v>11048.491982391122</v>
      </c>
      <c r="AX220" s="314"/>
      <c r="AY220" s="314"/>
      <c r="AZ220" s="41">
        <v>3437.2956144646946</v>
      </c>
      <c r="BA220" s="65">
        <v>0</v>
      </c>
      <c r="BB220" s="34">
        <v>-393.06900000000002</v>
      </c>
      <c r="BC220" s="65">
        <f t="shared" si="119"/>
        <v>14092.718596855817</v>
      </c>
      <c r="BD220" s="65"/>
      <c r="BE220" s="41">
        <v>9990.7365877178072</v>
      </c>
      <c r="BF220" s="314"/>
      <c r="BG220" s="314"/>
      <c r="BH220" s="41">
        <v>3428.419251286753</v>
      </c>
      <c r="BI220" s="65">
        <v>0</v>
      </c>
      <c r="BJ220" s="34">
        <v>472.87799999999999</v>
      </c>
      <c r="BK220" s="65">
        <f t="shared" si="120"/>
        <v>13892.033839004562</v>
      </c>
      <c r="BL220" s="65"/>
      <c r="BM220" s="41">
        <v>13615.874796656164</v>
      </c>
      <c r="BN220" s="41">
        <v>1921.6628971595194</v>
      </c>
      <c r="BO220" s="65">
        <v>0</v>
      </c>
      <c r="BP220" s="34">
        <v>472.87799999999999</v>
      </c>
      <c r="BQ220" s="65">
        <f t="shared" si="100"/>
        <v>16010.415693815685</v>
      </c>
      <c r="BR220" s="65"/>
      <c r="BS220" s="41">
        <v>14480.374589233856</v>
      </c>
      <c r="BT220" s="314"/>
      <c r="BU220" s="314"/>
      <c r="BV220" s="41">
        <v>2076.3311858502425</v>
      </c>
      <c r="BW220" s="65">
        <v>0</v>
      </c>
      <c r="BX220" s="34">
        <v>472.87799999999999</v>
      </c>
      <c r="BY220" s="65">
        <f t="shared" si="121"/>
        <v>17029.583775084098</v>
      </c>
      <c r="CA220" s="5">
        <v>14710.078090191126</v>
      </c>
      <c r="CB220" s="407">
        <v>2268.9225834950412</v>
      </c>
      <c r="CC220" s="415">
        <v>0</v>
      </c>
      <c r="CD220" s="34">
        <v>472.87799999999999</v>
      </c>
      <c r="CE220" s="65">
        <f t="shared" si="101"/>
        <v>17451.878673686169</v>
      </c>
      <c r="CF220" s="407"/>
      <c r="CG220" s="5">
        <v>15649.7403116189</v>
      </c>
      <c r="CH220" s="407">
        <v>2429.4325903375166</v>
      </c>
      <c r="CI220" s="415">
        <v>0</v>
      </c>
      <c r="CJ220" s="34">
        <v>472.87799999999999</v>
      </c>
      <c r="CK220" s="65">
        <f t="shared" si="102"/>
        <v>18552.050901956416</v>
      </c>
      <c r="CL220" s="407"/>
      <c r="CM220" s="41">
        <f>AU220/'1. Väestöennuste'!L220*1000</f>
        <v>1576.6757322100693</v>
      </c>
      <c r="CN220" s="41">
        <f>BC220/'1. Väestöennuste'!M220*1000</f>
        <v>556.34276565693483</v>
      </c>
      <c r="CO220" s="41">
        <f>BK220/'1. Väestöennuste'!N220*1000</f>
        <v>565.93611598177222</v>
      </c>
      <c r="CP220" s="41">
        <f>BQ220/'1. Väestöennuste'!O220*1000</f>
        <v>650.98868398047023</v>
      </c>
      <c r="CQ220" s="41">
        <f>BY220/'1. Väestöennuste'!P220*1000</f>
        <v>691.21986342022558</v>
      </c>
      <c r="CR220" s="41">
        <f>CE220/'1. Väestöennuste'!Q220*1000</f>
        <v>707.15501737048385</v>
      </c>
      <c r="CS220" s="41">
        <f>CK220/'1. Väestöennuste'!R220*1000</f>
        <v>750.36607757468107</v>
      </c>
      <c r="CT220" s="41"/>
      <c r="CV220" s="41">
        <f t="shared" si="103"/>
        <v>18079.172901956415</v>
      </c>
      <c r="CW220" s="41">
        <f t="shared" si="104"/>
        <v>-16975.375169746345</v>
      </c>
      <c r="CX220" s="41">
        <f t="shared" si="105"/>
        <v>-1020.3329665531345</v>
      </c>
      <c r="CY220" s="41">
        <f t="shared" si="106"/>
        <v>9.5933503248373881</v>
      </c>
      <c r="CZ220" s="41">
        <f t="shared" si="107"/>
        <v>85.052567998698009</v>
      </c>
      <c r="DA220" s="41">
        <f t="shared" si="108"/>
        <v>40.231179439755351</v>
      </c>
      <c r="DB220" s="41">
        <f t="shared" si="109"/>
        <v>15.935153950258268</v>
      </c>
      <c r="DC220" s="41">
        <f t="shared" si="110"/>
        <v>43.211060204197224</v>
      </c>
      <c r="DD220" s="41"/>
      <c r="DE220" s="283">
        <f t="shared" si="111"/>
        <v>38.232214021283326</v>
      </c>
      <c r="DF220" s="283">
        <f t="shared" si="112"/>
        <v>-0.91501339983689878</v>
      </c>
      <c r="DG220" s="283">
        <f t="shared" si="113"/>
        <v>-0.64714192380122826</v>
      </c>
      <c r="DH220" s="283">
        <f t="shared" si="114"/>
        <v>1.7243596784276449E-2</v>
      </c>
      <c r="DI220" s="283">
        <f t="shared" si="115"/>
        <v>0.15028651750056785</v>
      </c>
      <c r="DJ220" s="283">
        <f t="shared" si="116"/>
        <v>6.1800121000202046E-2</v>
      </c>
      <c r="DK220" s="283">
        <f t="shared" si="117"/>
        <v>2.3053669018435783E-2</v>
      </c>
      <c r="DL220" s="283">
        <f t="shared" si="118"/>
        <v>6.110549899635178E-2</v>
      </c>
    </row>
    <row r="221" spans="1:116" x14ac:dyDescent="0.2">
      <c r="A221" s="30">
        <v>681</v>
      </c>
      <c r="B221" s="31" t="s">
        <v>535</v>
      </c>
      <c r="C221" s="65"/>
      <c r="D221" s="65"/>
      <c r="E221" s="65"/>
      <c r="F221" s="65"/>
      <c r="G221" s="65"/>
      <c r="H221" s="65">
        <v>13838</v>
      </c>
      <c r="I221" s="65"/>
      <c r="J221" s="65"/>
      <c r="K221" s="65"/>
      <c r="L221" s="65"/>
      <c r="M221" s="65"/>
      <c r="N221" s="65">
        <v>13065</v>
      </c>
      <c r="O221" s="65"/>
      <c r="P221" s="65"/>
      <c r="Q221" s="65"/>
      <c r="R221" s="65"/>
      <c r="S221" s="65"/>
      <c r="T221" s="65">
        <v>12428</v>
      </c>
      <c r="U221" s="65"/>
      <c r="V221" s="65"/>
      <c r="W221" s="65"/>
      <c r="X221" s="65"/>
      <c r="Y221" s="65"/>
      <c r="Z221" s="65">
        <v>12012</v>
      </c>
      <c r="AA221" s="65"/>
      <c r="AB221" s="66">
        <v>10631.044035302441</v>
      </c>
      <c r="AC221" s="34">
        <v>57.095200619781465</v>
      </c>
      <c r="AD221" s="180">
        <v>2188.8745053348475</v>
      </c>
      <c r="AE221" s="65">
        <v>0</v>
      </c>
      <c r="AF221" s="34">
        <v>-163.137</v>
      </c>
      <c r="AG221" s="65">
        <f t="shared" si="97"/>
        <v>12713.876741257069</v>
      </c>
      <c r="AH221" s="65"/>
      <c r="AI221" s="66">
        <v>9873.5094091192641</v>
      </c>
      <c r="AJ221" s="34">
        <v>-43.898301398472249</v>
      </c>
      <c r="AK221" s="181">
        <v>2329.5086902049047</v>
      </c>
      <c r="AL221" s="65">
        <v>0</v>
      </c>
      <c r="AM221" s="34">
        <v>-214.17599999999999</v>
      </c>
      <c r="AN221" s="65">
        <f t="shared" si="98"/>
        <v>11944.943797925696</v>
      </c>
      <c r="AO221" s="65"/>
      <c r="AP221" s="41">
        <v>9951.7940629679506</v>
      </c>
      <c r="AQ221" s="41">
        <v>-13.43301873440732</v>
      </c>
      <c r="AR221" s="41">
        <v>2598.4995604641044</v>
      </c>
      <c r="AS221" s="65">
        <v>0</v>
      </c>
      <c r="AT221" s="34">
        <v>-70.396000000000001</v>
      </c>
      <c r="AU221" s="65">
        <f t="shared" si="99"/>
        <v>12466.464604697647</v>
      </c>
      <c r="AV221" s="65"/>
      <c r="AW221" s="41">
        <v>1914.5077866427716</v>
      </c>
      <c r="AX221" s="314"/>
      <c r="AY221" s="314"/>
      <c r="AZ221" s="41">
        <v>805.66938021478143</v>
      </c>
      <c r="BA221" s="65">
        <v>0</v>
      </c>
      <c r="BB221" s="34">
        <v>-62.301000000000002</v>
      </c>
      <c r="BC221" s="65">
        <f t="shared" si="119"/>
        <v>2657.876166857553</v>
      </c>
      <c r="BD221" s="65"/>
      <c r="BE221" s="41">
        <v>1740.3629607449468</v>
      </c>
      <c r="BF221" s="314"/>
      <c r="BG221" s="314"/>
      <c r="BH221" s="41">
        <v>802.02215442834984</v>
      </c>
      <c r="BI221" s="65">
        <v>0</v>
      </c>
      <c r="BJ221" s="34">
        <v>62.746000000000002</v>
      </c>
      <c r="BK221" s="65">
        <f t="shared" si="120"/>
        <v>2605.1311151732966</v>
      </c>
      <c r="BL221" s="65"/>
      <c r="BM221" s="41">
        <v>2265.0287723548122</v>
      </c>
      <c r="BN221" s="41">
        <v>582.45104856547505</v>
      </c>
      <c r="BO221" s="65">
        <v>0</v>
      </c>
      <c r="BP221" s="34">
        <v>62.746000000000002</v>
      </c>
      <c r="BQ221" s="65">
        <f t="shared" si="100"/>
        <v>2910.2258209202873</v>
      </c>
      <c r="BR221" s="65"/>
      <c r="BS221" s="41">
        <v>2440.3315149718328</v>
      </c>
      <c r="BT221" s="314"/>
      <c r="BU221" s="314"/>
      <c r="BV221" s="41">
        <v>620.04161077010986</v>
      </c>
      <c r="BW221" s="65">
        <v>0</v>
      </c>
      <c r="BX221" s="34">
        <v>62.746000000000002</v>
      </c>
      <c r="BY221" s="65">
        <f t="shared" si="121"/>
        <v>3123.1191257419428</v>
      </c>
      <c r="CA221" s="5">
        <v>2596.5282157149331</v>
      </c>
      <c r="CB221" s="407">
        <v>658.12197837282929</v>
      </c>
      <c r="CC221" s="415">
        <v>0</v>
      </c>
      <c r="CD221" s="34">
        <v>62.746000000000002</v>
      </c>
      <c r="CE221" s="65">
        <f t="shared" si="101"/>
        <v>3317.3961940877625</v>
      </c>
      <c r="CF221" s="407"/>
      <c r="CG221" s="5">
        <v>3029.5149230688166</v>
      </c>
      <c r="CH221" s="407">
        <v>692.16795520960443</v>
      </c>
      <c r="CI221" s="415">
        <v>0</v>
      </c>
      <c r="CJ221" s="34">
        <v>62.746000000000002</v>
      </c>
      <c r="CK221" s="65">
        <f t="shared" si="102"/>
        <v>3784.4288782784211</v>
      </c>
      <c r="CL221" s="407"/>
      <c r="CM221" s="41">
        <f>AU221/'1. Väestöennuste'!L221*1000</f>
        <v>3768.58059392311</v>
      </c>
      <c r="CN221" s="41">
        <f>BC221/'1. Väestöennuste'!M221*1000</f>
        <v>806.14988379058332</v>
      </c>
      <c r="CO221" s="41">
        <f>BK221/'1. Väestöennuste'!N221*1000</f>
        <v>838.74150520711419</v>
      </c>
      <c r="CP221" s="41">
        <f>BQ221/'1. Väestöennuste'!O221*1000</f>
        <v>953.54712349943884</v>
      </c>
      <c r="CQ221" s="41">
        <f>BY221/'1. Väestöennuste'!P221*1000</f>
        <v>1039.307529365039</v>
      </c>
      <c r="CR221" s="41">
        <f>CE221/'1. Väestöennuste'!Q221*1000</f>
        <v>1121.1207144602104</v>
      </c>
      <c r="CS221" s="41">
        <f>CK221/'1. Väestöennuste'!R221*1000</f>
        <v>1298.7058607681611</v>
      </c>
      <c r="CT221" s="41"/>
      <c r="CV221" s="41">
        <f t="shared" si="103"/>
        <v>3721.682878278421</v>
      </c>
      <c r="CW221" s="41">
        <f t="shared" si="104"/>
        <v>-15.84828435531108</v>
      </c>
      <c r="CX221" s="41">
        <f t="shared" si="105"/>
        <v>-2962.4307101325267</v>
      </c>
      <c r="CY221" s="41">
        <f t="shared" si="106"/>
        <v>32.59162141653087</v>
      </c>
      <c r="CZ221" s="41">
        <f t="shared" si="107"/>
        <v>114.80561829232465</v>
      </c>
      <c r="DA221" s="41">
        <f t="shared" si="108"/>
        <v>85.760405865600205</v>
      </c>
      <c r="DB221" s="41">
        <f t="shared" si="109"/>
        <v>81.81318509517132</v>
      </c>
      <c r="DC221" s="41">
        <f t="shared" si="110"/>
        <v>177.58514630795071</v>
      </c>
      <c r="DD221" s="41"/>
      <c r="DE221" s="283">
        <f t="shared" si="111"/>
        <v>59.313468241456363</v>
      </c>
      <c r="DF221" s="283">
        <f t="shared" si="112"/>
        <v>-4.1877611827443413E-3</v>
      </c>
      <c r="DG221" s="283">
        <f t="shared" si="113"/>
        <v>-0.78608660112231343</v>
      </c>
      <c r="DH221" s="283">
        <f t="shared" si="114"/>
        <v>4.0428736729803114E-2</v>
      </c>
      <c r="DI221" s="283">
        <f t="shared" si="115"/>
        <v>0.13687842747686033</v>
      </c>
      <c r="DJ221" s="283">
        <f t="shared" si="116"/>
        <v>8.9938298540366446E-2</v>
      </c>
      <c r="DK221" s="283">
        <f t="shared" si="117"/>
        <v>7.8718938123304827E-2</v>
      </c>
      <c r="DL221" s="283">
        <f t="shared" si="118"/>
        <v>0.1583996656358751</v>
      </c>
    </row>
    <row r="222" spans="1:116" x14ac:dyDescent="0.2">
      <c r="A222" s="30">
        <v>683</v>
      </c>
      <c r="B222" s="31" t="s">
        <v>536</v>
      </c>
      <c r="C222" s="65"/>
      <c r="D222" s="65"/>
      <c r="E222" s="65"/>
      <c r="F222" s="65"/>
      <c r="G222" s="65"/>
      <c r="H222" s="65">
        <v>21529</v>
      </c>
      <c r="I222" s="65"/>
      <c r="J222" s="65"/>
      <c r="K222" s="65"/>
      <c r="L222" s="65"/>
      <c r="M222" s="65"/>
      <c r="N222" s="65">
        <v>21192</v>
      </c>
      <c r="O222" s="65"/>
      <c r="P222" s="65"/>
      <c r="Q222" s="65"/>
      <c r="R222" s="65"/>
      <c r="S222" s="65"/>
      <c r="T222" s="65">
        <v>20519</v>
      </c>
      <c r="U222" s="65"/>
      <c r="V222" s="65"/>
      <c r="W222" s="65"/>
      <c r="X222" s="65"/>
      <c r="Y222" s="65"/>
      <c r="Z222" s="65">
        <v>20680</v>
      </c>
      <c r="AA222" s="65"/>
      <c r="AB222" s="66">
        <v>19723.795459187779</v>
      </c>
      <c r="AC222" s="34">
        <v>48.891470862675732</v>
      </c>
      <c r="AD222" s="180">
        <v>2150.5466472039129</v>
      </c>
      <c r="AE222" s="65">
        <v>0</v>
      </c>
      <c r="AF222" s="34">
        <v>185.93899999999999</v>
      </c>
      <c r="AG222" s="65">
        <f t="shared" si="97"/>
        <v>22109.172577254365</v>
      </c>
      <c r="AH222" s="65"/>
      <c r="AI222" s="66">
        <v>18939.316720835854</v>
      </c>
      <c r="AJ222" s="34">
        <v>-37.865729804245134</v>
      </c>
      <c r="AK222" s="181">
        <v>2283.5283712709725</v>
      </c>
      <c r="AL222" s="65">
        <v>0</v>
      </c>
      <c r="AM222" s="34">
        <v>92.712000000000003</v>
      </c>
      <c r="AN222" s="65">
        <f t="shared" si="98"/>
        <v>21277.691362302579</v>
      </c>
      <c r="AO222" s="65"/>
      <c r="AP222" s="41">
        <v>18912.973079585598</v>
      </c>
      <c r="AQ222" s="41">
        <v>-11.644151286300286</v>
      </c>
      <c r="AR222" s="41">
        <v>2518.9313987886485</v>
      </c>
      <c r="AS222" s="65">
        <v>0</v>
      </c>
      <c r="AT222" s="34">
        <v>155.471</v>
      </c>
      <c r="AU222" s="65">
        <f t="shared" si="99"/>
        <v>21575.731327087946</v>
      </c>
      <c r="AV222" s="65"/>
      <c r="AW222" s="41">
        <v>7400.6166642735243</v>
      </c>
      <c r="AX222" s="314"/>
      <c r="AY222" s="314"/>
      <c r="AZ222" s="41">
        <v>759.96397848509162</v>
      </c>
      <c r="BA222" s="65">
        <v>0</v>
      </c>
      <c r="BB222" s="34">
        <v>73.587999999999994</v>
      </c>
      <c r="BC222" s="65">
        <f t="shared" si="119"/>
        <v>8234.1686427586155</v>
      </c>
      <c r="BD222" s="65"/>
      <c r="BE222" s="41">
        <v>7526.5231603174616</v>
      </c>
      <c r="BF222" s="314"/>
      <c r="BG222" s="314"/>
      <c r="BH222" s="41">
        <v>762.15980487067407</v>
      </c>
      <c r="BI222" s="65">
        <v>0</v>
      </c>
      <c r="BJ222" s="34">
        <v>144.43100000000001</v>
      </c>
      <c r="BK222" s="65">
        <f t="shared" si="120"/>
        <v>8433.1139651881367</v>
      </c>
      <c r="BL222" s="65"/>
      <c r="BM222" s="41">
        <v>8154.4512985949495</v>
      </c>
      <c r="BN222" s="41">
        <v>618.27728819874187</v>
      </c>
      <c r="BO222" s="65">
        <v>0</v>
      </c>
      <c r="BP222" s="34">
        <v>144.43100000000001</v>
      </c>
      <c r="BQ222" s="65">
        <f t="shared" si="100"/>
        <v>8917.1595867936921</v>
      </c>
      <c r="BR222" s="65"/>
      <c r="BS222" s="41">
        <v>8295.7479336182314</v>
      </c>
      <c r="BT222" s="314"/>
      <c r="BU222" s="314"/>
      <c r="BV222" s="41">
        <v>651.40073114109282</v>
      </c>
      <c r="BW222" s="65">
        <v>0</v>
      </c>
      <c r="BX222" s="34">
        <v>144.43100000000001</v>
      </c>
      <c r="BY222" s="65">
        <f t="shared" si="121"/>
        <v>9091.5796647593252</v>
      </c>
      <c r="CA222" s="5">
        <v>8189.0427952694545</v>
      </c>
      <c r="CB222" s="407">
        <v>684.27107197005671</v>
      </c>
      <c r="CC222" s="415">
        <v>0</v>
      </c>
      <c r="CD222" s="34">
        <v>144.43100000000001</v>
      </c>
      <c r="CE222" s="65">
        <f t="shared" si="101"/>
        <v>9017.7448672395112</v>
      </c>
      <c r="CF222" s="407"/>
      <c r="CG222" s="5">
        <v>8742.5776003822939</v>
      </c>
      <c r="CH222" s="407">
        <v>712.40204844255584</v>
      </c>
      <c r="CI222" s="415">
        <v>0</v>
      </c>
      <c r="CJ222" s="34">
        <v>144.43100000000001</v>
      </c>
      <c r="CK222" s="65">
        <f t="shared" si="102"/>
        <v>9599.4106488248508</v>
      </c>
      <c r="CL222" s="407"/>
      <c r="CM222" s="41">
        <f>AU222/'1. Väestöennuste'!L222*1000</f>
        <v>5963.4414944963919</v>
      </c>
      <c r="CN222" s="41">
        <f>BC222/'1. Väestöennuste'!M222*1000</f>
        <v>2287.9045964875286</v>
      </c>
      <c r="CO222" s="41">
        <f>BK222/'1. Väestöennuste'!N222*1000</f>
        <v>2442.2571575986494</v>
      </c>
      <c r="CP222" s="41">
        <f>BQ222/'1. Väestöennuste'!O222*1000</f>
        <v>2627.3304616363266</v>
      </c>
      <c r="CQ222" s="41">
        <f>BY222/'1. Väestöennuste'!P222*1000</f>
        <v>2724.4769747555665</v>
      </c>
      <c r="CR222" s="41">
        <f>CE222/'1. Väestöennuste'!Q222*1000</f>
        <v>2745.9637232763434</v>
      </c>
      <c r="CS222" s="41">
        <f>CK222/'1. Väestöennuste'!R222*1000</f>
        <v>2970.1146809482834</v>
      </c>
      <c r="CT222" s="41"/>
      <c r="CV222" s="41">
        <f t="shared" si="103"/>
        <v>9454.9796488248503</v>
      </c>
      <c r="CW222" s="41">
        <f t="shared" si="104"/>
        <v>-3635.9691543284589</v>
      </c>
      <c r="CX222" s="41">
        <f t="shared" si="105"/>
        <v>-3675.5368980088633</v>
      </c>
      <c r="CY222" s="41">
        <f t="shared" si="106"/>
        <v>154.35256111112085</v>
      </c>
      <c r="CZ222" s="41">
        <f t="shared" si="107"/>
        <v>185.07330403767719</v>
      </c>
      <c r="DA222" s="41">
        <f t="shared" si="108"/>
        <v>97.146513119239899</v>
      </c>
      <c r="DB222" s="41">
        <f t="shared" si="109"/>
        <v>21.486748520776928</v>
      </c>
      <c r="DC222" s="41">
        <f t="shared" si="110"/>
        <v>224.15095767193998</v>
      </c>
      <c r="DD222" s="41"/>
      <c r="DE222" s="283">
        <f t="shared" si="111"/>
        <v>65.463644569551207</v>
      </c>
      <c r="DF222" s="283">
        <f t="shared" si="112"/>
        <v>-0.37877003988506003</v>
      </c>
      <c r="DG222" s="283">
        <f t="shared" si="113"/>
        <v>-0.61634492455421663</v>
      </c>
      <c r="DH222" s="283">
        <f t="shared" si="114"/>
        <v>6.7464596796600843E-2</v>
      </c>
      <c r="DI222" s="283">
        <f t="shared" si="115"/>
        <v>7.5779613732261761E-2</v>
      </c>
      <c r="DJ222" s="283">
        <f t="shared" si="116"/>
        <v>3.6975368929699125E-2</v>
      </c>
      <c r="DK222" s="283">
        <f t="shared" si="117"/>
        <v>7.8865590422927574E-3</v>
      </c>
      <c r="DL222" s="283">
        <f t="shared" si="118"/>
        <v>8.1629249422310105E-2</v>
      </c>
    </row>
    <row r="223" spans="1:116" x14ac:dyDescent="0.2">
      <c r="A223" s="30">
        <v>684</v>
      </c>
      <c r="B223" s="31" t="s">
        <v>537</v>
      </c>
      <c r="C223" s="65"/>
      <c r="D223" s="65"/>
      <c r="E223" s="65"/>
      <c r="F223" s="65"/>
      <c r="G223" s="65"/>
      <c r="H223" s="65">
        <v>49147</v>
      </c>
      <c r="I223" s="65"/>
      <c r="J223" s="65"/>
      <c r="K223" s="65"/>
      <c r="L223" s="65"/>
      <c r="M223" s="65"/>
      <c r="N223" s="65">
        <v>46336</v>
      </c>
      <c r="O223" s="65"/>
      <c r="P223" s="65"/>
      <c r="Q223" s="65"/>
      <c r="R223" s="65"/>
      <c r="S223" s="65"/>
      <c r="T223" s="65">
        <v>42553</v>
      </c>
      <c r="U223" s="65"/>
      <c r="V223" s="65"/>
      <c r="W223" s="65"/>
      <c r="X223" s="65"/>
      <c r="Y223" s="65"/>
      <c r="Z223" s="65">
        <v>44390</v>
      </c>
      <c r="AA223" s="65"/>
      <c r="AB223" s="66">
        <v>47817.507280873237</v>
      </c>
      <c r="AC223" s="34">
        <v>894.34463937499561</v>
      </c>
      <c r="AD223" s="180">
        <v>19437.105925138687</v>
      </c>
      <c r="AE223" s="65">
        <v>0</v>
      </c>
      <c r="AF223" s="34">
        <v>-1941.558</v>
      </c>
      <c r="AG223" s="65">
        <f t="shared" si="97"/>
        <v>66207.399845386914</v>
      </c>
      <c r="AH223" s="65"/>
      <c r="AI223" s="66">
        <v>42610.56809409913</v>
      </c>
      <c r="AJ223" s="34">
        <v>-690.07088085427483</v>
      </c>
      <c r="AK223" s="181">
        <v>20769.70392038146</v>
      </c>
      <c r="AL223" s="65">
        <v>0</v>
      </c>
      <c r="AM223" s="34">
        <v>-1653.691</v>
      </c>
      <c r="AN223" s="65">
        <f t="shared" si="98"/>
        <v>61036.510133626311</v>
      </c>
      <c r="AO223" s="65"/>
      <c r="AP223" s="41">
        <v>44856.086720121391</v>
      </c>
      <c r="AQ223" s="41">
        <v>-212.63092883446848</v>
      </c>
      <c r="AR223" s="41">
        <v>23225.148269903206</v>
      </c>
      <c r="AS223" s="65">
        <v>0</v>
      </c>
      <c r="AT223" s="34">
        <v>-1150.1199999999999</v>
      </c>
      <c r="AU223" s="65">
        <f t="shared" si="99"/>
        <v>66718.484061190131</v>
      </c>
      <c r="AV223" s="65"/>
      <c r="AW223" s="41">
        <v>15748.201691595335</v>
      </c>
      <c r="AX223" s="314"/>
      <c r="AY223" s="314"/>
      <c r="AZ223" s="41">
        <v>7040.8129678256273</v>
      </c>
      <c r="BA223" s="65">
        <v>0</v>
      </c>
      <c r="BB223" s="34">
        <v>-1883.5160000000001</v>
      </c>
      <c r="BC223" s="65">
        <f t="shared" si="119"/>
        <v>20905.498659420962</v>
      </c>
      <c r="BD223" s="65"/>
      <c r="BE223" s="41">
        <v>5063.9388462782781</v>
      </c>
      <c r="BF223" s="314"/>
      <c r="BG223" s="314"/>
      <c r="BH223" s="41">
        <v>6994.4860991022733</v>
      </c>
      <c r="BI223" s="65">
        <v>0</v>
      </c>
      <c r="BJ223" s="34">
        <v>-1345.3019999999999</v>
      </c>
      <c r="BK223" s="65">
        <f t="shared" si="120"/>
        <v>10713.122945380552</v>
      </c>
      <c r="BL223" s="65"/>
      <c r="BM223" s="41">
        <v>9575.336381539375</v>
      </c>
      <c r="BN223" s="41">
        <v>4704.9559038893376</v>
      </c>
      <c r="BO223" s="65">
        <v>0</v>
      </c>
      <c r="BP223" s="34">
        <v>-1345.3019999999999</v>
      </c>
      <c r="BQ223" s="65">
        <f t="shared" si="100"/>
        <v>12934.990285428714</v>
      </c>
      <c r="BR223" s="65"/>
      <c r="BS223" s="41">
        <v>10502.387477585387</v>
      </c>
      <c r="BT223" s="314"/>
      <c r="BU223" s="314"/>
      <c r="BV223" s="41">
        <v>5003.8425671422201</v>
      </c>
      <c r="BW223" s="65">
        <v>0</v>
      </c>
      <c r="BX223" s="34">
        <v>-1345.3019999999999</v>
      </c>
      <c r="BY223" s="65">
        <f t="shared" si="121"/>
        <v>14160.928044727607</v>
      </c>
      <c r="CA223" s="5">
        <v>10323.158936636497</v>
      </c>
      <c r="CB223" s="407">
        <v>5327.0946173667598</v>
      </c>
      <c r="CC223" s="415">
        <v>0</v>
      </c>
      <c r="CD223" s="34">
        <v>-1345.3019999999999</v>
      </c>
      <c r="CE223" s="65">
        <f t="shared" si="101"/>
        <v>14304.951554003257</v>
      </c>
      <c r="CF223" s="407"/>
      <c r="CG223" s="5">
        <v>11336.163249787107</v>
      </c>
      <c r="CH223" s="407">
        <v>5600.4513849001933</v>
      </c>
      <c r="CI223" s="415">
        <v>0</v>
      </c>
      <c r="CJ223" s="34">
        <v>-1345.3019999999999</v>
      </c>
      <c r="CK223" s="65">
        <f t="shared" si="102"/>
        <v>15591.3126346873</v>
      </c>
      <c r="CL223" s="407"/>
      <c r="CM223" s="41">
        <f>AU223/'1. Väestöennuste'!L223*1000</f>
        <v>1725.4631613828365</v>
      </c>
      <c r="CN223" s="41">
        <f>BC223/'1. Väestöennuste'!M223*1000</f>
        <v>538.35750565051922</v>
      </c>
      <c r="CO223" s="41">
        <f>BK223/'1. Väestöennuste'!N223*1000</f>
        <v>278.45097846287234</v>
      </c>
      <c r="CP223" s="41">
        <f>BQ223/'1. Väestöennuste'!O223*1000</f>
        <v>337.63123607916037</v>
      </c>
      <c r="CQ223" s="41">
        <f>BY223/'1. Väestöennuste'!P223*1000</f>
        <v>371.21996604523571</v>
      </c>
      <c r="CR223" s="41">
        <f>CE223/'1. Väestöennuste'!Q223*1000</f>
        <v>376.63441073176739</v>
      </c>
      <c r="CS223" s="41">
        <f>CK223/'1. Väestöennuste'!R223*1000</f>
        <v>412.2722680915781</v>
      </c>
      <c r="CT223" s="41"/>
      <c r="CV223" s="41">
        <f t="shared" si="103"/>
        <v>16936.614634687299</v>
      </c>
      <c r="CW223" s="41">
        <f t="shared" si="104"/>
        <v>-13865.849473304463</v>
      </c>
      <c r="CX223" s="41">
        <f t="shared" si="105"/>
        <v>-1187.1056557323172</v>
      </c>
      <c r="CY223" s="41">
        <f t="shared" si="106"/>
        <v>-259.90652718764687</v>
      </c>
      <c r="CZ223" s="41">
        <f t="shared" si="107"/>
        <v>59.180257616288031</v>
      </c>
      <c r="DA223" s="41">
        <f t="shared" si="108"/>
        <v>33.588729966075334</v>
      </c>
      <c r="DB223" s="41">
        <f t="shared" si="109"/>
        <v>5.4144446865316809</v>
      </c>
      <c r="DC223" s="41">
        <f t="shared" si="110"/>
        <v>35.63785735981071</v>
      </c>
      <c r="DD223" s="41"/>
      <c r="DE223" s="283">
        <f t="shared" si="111"/>
        <v>-12.589451762271446</v>
      </c>
      <c r="DF223" s="283">
        <f t="shared" si="112"/>
        <v>-0.88933175789547991</v>
      </c>
      <c r="DG223" s="283">
        <f t="shared" si="113"/>
        <v>-0.68799246619727084</v>
      </c>
      <c r="DH223" s="283">
        <f t="shared" si="114"/>
        <v>-0.48277682480453443</v>
      </c>
      <c r="DI223" s="283">
        <f t="shared" si="115"/>
        <v>0.21253384686589966</v>
      </c>
      <c r="DJ223" s="283">
        <f t="shared" si="116"/>
        <v>9.9483478946243542E-2</v>
      </c>
      <c r="DK223" s="283">
        <f t="shared" si="117"/>
        <v>1.4585542755725303E-2</v>
      </c>
      <c r="DL223" s="283">
        <f t="shared" si="118"/>
        <v>9.4621883567594101E-2</v>
      </c>
    </row>
    <row r="224" spans="1:116" x14ac:dyDescent="0.2">
      <c r="A224" s="30">
        <v>686</v>
      </c>
      <c r="B224" s="31" t="s">
        <v>538</v>
      </c>
      <c r="C224" s="65"/>
      <c r="D224" s="65"/>
      <c r="E224" s="65"/>
      <c r="F224" s="65"/>
      <c r="G224" s="65"/>
      <c r="H224" s="65">
        <v>12980</v>
      </c>
      <c r="I224" s="65"/>
      <c r="J224" s="65"/>
      <c r="K224" s="65"/>
      <c r="L224" s="65"/>
      <c r="M224" s="65"/>
      <c r="N224" s="65">
        <v>12663</v>
      </c>
      <c r="O224" s="65"/>
      <c r="P224" s="65"/>
      <c r="Q224" s="65"/>
      <c r="R224" s="65"/>
      <c r="S224" s="65"/>
      <c r="T224" s="65">
        <v>12132</v>
      </c>
      <c r="U224" s="65"/>
      <c r="V224" s="65"/>
      <c r="W224" s="65"/>
      <c r="X224" s="65"/>
      <c r="Y224" s="65"/>
      <c r="Z224" s="65">
        <v>11663</v>
      </c>
      <c r="AA224" s="65"/>
      <c r="AB224" s="66">
        <v>10999.819897941577</v>
      </c>
      <c r="AC224" s="34">
        <v>51.948792257000555</v>
      </c>
      <c r="AD224" s="180">
        <v>1848.4060019088251</v>
      </c>
      <c r="AE224" s="65">
        <v>0</v>
      </c>
      <c r="AF224" s="34">
        <v>123.54900000000001</v>
      </c>
      <c r="AG224" s="65">
        <f t="shared" si="97"/>
        <v>13023.723692107404</v>
      </c>
      <c r="AH224" s="65"/>
      <c r="AI224" s="66">
        <v>10578.123630910597</v>
      </c>
      <c r="AJ224" s="34">
        <v>-40.175590004164626</v>
      </c>
      <c r="AK224" s="181">
        <v>1964.7837512333772</v>
      </c>
      <c r="AL224" s="65">
        <v>0</v>
      </c>
      <c r="AM224" s="34">
        <v>-57.790999999999997</v>
      </c>
      <c r="AN224" s="65">
        <f t="shared" si="98"/>
        <v>12444.940792139811</v>
      </c>
      <c r="AO224" s="65"/>
      <c r="AP224" s="41">
        <v>10817.122731884803</v>
      </c>
      <c r="AQ224" s="41">
        <v>-12.336712143067171</v>
      </c>
      <c r="AR224" s="41">
        <v>2187.1270501605027</v>
      </c>
      <c r="AS224" s="65">
        <v>0</v>
      </c>
      <c r="AT224" s="34">
        <v>105.714</v>
      </c>
      <c r="AU224" s="65">
        <f t="shared" si="99"/>
        <v>13097.627069902239</v>
      </c>
      <c r="AV224" s="65"/>
      <c r="AW224" s="41">
        <v>897.78272738497276</v>
      </c>
      <c r="AX224" s="314"/>
      <c r="AY224" s="314"/>
      <c r="AZ224" s="41">
        <v>672.70759369978032</v>
      </c>
      <c r="BA224" s="65">
        <v>0</v>
      </c>
      <c r="BB224" s="34">
        <v>488.33699999999999</v>
      </c>
      <c r="BC224" s="65">
        <f t="shared" si="119"/>
        <v>2058.8273210847528</v>
      </c>
      <c r="BD224" s="65"/>
      <c r="BE224" s="41">
        <v>1128.6161500244145</v>
      </c>
      <c r="BF224" s="314"/>
      <c r="BG224" s="314"/>
      <c r="BH224" s="41">
        <v>666.94404381339496</v>
      </c>
      <c r="BI224" s="65">
        <v>0</v>
      </c>
      <c r="BJ224" s="34">
        <v>592.01499999999999</v>
      </c>
      <c r="BK224" s="65">
        <f t="shared" si="120"/>
        <v>2387.5751938378094</v>
      </c>
      <c r="BL224" s="65"/>
      <c r="BM224" s="41">
        <v>1651.0121424572242</v>
      </c>
      <c r="BN224" s="41">
        <v>457.06062712825872</v>
      </c>
      <c r="BO224" s="65">
        <v>0</v>
      </c>
      <c r="BP224" s="34">
        <v>592.01499999999999</v>
      </c>
      <c r="BQ224" s="65">
        <f t="shared" si="100"/>
        <v>2700.0877695854829</v>
      </c>
      <c r="BR224" s="65"/>
      <c r="BS224" s="41">
        <v>1673.6912429336253</v>
      </c>
      <c r="BT224" s="314"/>
      <c r="BU224" s="314"/>
      <c r="BV224" s="41">
        <v>490.60938566764463</v>
      </c>
      <c r="BW224" s="65">
        <v>0</v>
      </c>
      <c r="BX224" s="34">
        <v>592.01499999999999</v>
      </c>
      <c r="BY224" s="65">
        <f t="shared" si="121"/>
        <v>2756.31562860127</v>
      </c>
      <c r="CA224" s="5">
        <v>1660.495218845238</v>
      </c>
      <c r="CB224" s="407">
        <v>524.54693520504202</v>
      </c>
      <c r="CC224" s="415">
        <v>0</v>
      </c>
      <c r="CD224" s="34">
        <v>592.01499999999999</v>
      </c>
      <c r="CE224" s="65">
        <f t="shared" si="101"/>
        <v>2777.0571540502801</v>
      </c>
      <c r="CF224" s="407"/>
      <c r="CG224" s="5">
        <v>2070.2238574686617</v>
      </c>
      <c r="CH224" s="407">
        <v>554.94521311939013</v>
      </c>
      <c r="CI224" s="415">
        <v>0</v>
      </c>
      <c r="CJ224" s="34">
        <v>592.01499999999999</v>
      </c>
      <c r="CK224" s="65">
        <f t="shared" si="102"/>
        <v>3217.1840705880518</v>
      </c>
      <c r="CL224" s="407"/>
      <c r="CM224" s="41">
        <f>AU224/'1. Väestöennuste'!L224*1000</f>
        <v>4418.9025202099319</v>
      </c>
      <c r="CN224" s="41">
        <f>BC224/'1. Väestöennuste'!M224*1000</f>
        <v>701.95271772408898</v>
      </c>
      <c r="CO224" s="41">
        <f>BK224/'1. Väestöennuste'!N224*1000</f>
        <v>832.77823293959159</v>
      </c>
      <c r="CP224" s="41">
        <f>BQ224/'1. Väestöennuste'!O224*1000</f>
        <v>957.4779324771215</v>
      </c>
      <c r="CQ224" s="41">
        <f>BY224/'1. Väestöennuste'!P224*1000</f>
        <v>991.48044194290287</v>
      </c>
      <c r="CR224" s="41">
        <f>CE224/'1. Väestöennuste'!Q224*1000</f>
        <v>1012.785249471291</v>
      </c>
      <c r="CS224" s="41">
        <f>CK224/'1. Väestöennuste'!R224*1000</f>
        <v>1189.7870083535695</v>
      </c>
      <c r="CT224" s="41"/>
      <c r="CV224" s="41">
        <f t="shared" si="103"/>
        <v>2625.1690705880519</v>
      </c>
      <c r="CW224" s="41">
        <f t="shared" si="104"/>
        <v>1201.7184496218802</v>
      </c>
      <c r="CX224" s="41">
        <f t="shared" si="105"/>
        <v>-3716.9498024858431</v>
      </c>
      <c r="CY224" s="41">
        <f t="shared" si="106"/>
        <v>130.82551521550261</v>
      </c>
      <c r="CZ224" s="41">
        <f t="shared" si="107"/>
        <v>124.69969953752991</v>
      </c>
      <c r="DA224" s="41">
        <f t="shared" si="108"/>
        <v>34.002509465781372</v>
      </c>
      <c r="DB224" s="41">
        <f t="shared" si="109"/>
        <v>21.304807528388096</v>
      </c>
      <c r="DC224" s="41">
        <f t="shared" si="110"/>
        <v>177.00175888227852</v>
      </c>
      <c r="DD224" s="41"/>
      <c r="DE224" s="283">
        <f t="shared" si="111"/>
        <v>4.4342948583871218</v>
      </c>
      <c r="DF224" s="283">
        <f t="shared" si="112"/>
        <v>0.37353114501845225</v>
      </c>
      <c r="DG224" s="283">
        <f t="shared" si="113"/>
        <v>-0.84114772513905989</v>
      </c>
      <c r="DH224" s="283">
        <f t="shared" si="114"/>
        <v>0.18637368573722818</v>
      </c>
      <c r="DI224" s="283">
        <f t="shared" si="115"/>
        <v>0.14973938391419919</v>
      </c>
      <c r="DJ224" s="283">
        <f t="shared" si="116"/>
        <v>3.5512577692325922E-2</v>
      </c>
      <c r="DK224" s="283">
        <f t="shared" si="117"/>
        <v>2.1487874724628195E-2</v>
      </c>
      <c r="DL224" s="283">
        <f t="shared" si="118"/>
        <v>0.17476731515854874</v>
      </c>
    </row>
    <row r="225" spans="1:116" x14ac:dyDescent="0.2">
      <c r="A225" s="30">
        <v>687</v>
      </c>
      <c r="B225" s="31" t="s">
        <v>539</v>
      </c>
      <c r="C225" s="65"/>
      <c r="D225" s="65"/>
      <c r="E225" s="65"/>
      <c r="F225" s="65"/>
      <c r="G225" s="65"/>
      <c r="H225" s="65">
        <v>8548</v>
      </c>
      <c r="I225" s="65"/>
      <c r="J225" s="65"/>
      <c r="K225" s="65"/>
      <c r="L225" s="65"/>
      <c r="M225" s="65"/>
      <c r="N225" s="65">
        <v>8267</v>
      </c>
      <c r="O225" s="65"/>
      <c r="P225" s="65"/>
      <c r="Q225" s="65"/>
      <c r="R225" s="65"/>
      <c r="S225" s="65"/>
      <c r="T225" s="65">
        <v>8333</v>
      </c>
      <c r="U225" s="65"/>
      <c r="V225" s="65"/>
      <c r="W225" s="65"/>
      <c r="X225" s="65"/>
      <c r="Y225" s="65"/>
      <c r="Z225" s="65">
        <v>7967</v>
      </c>
      <c r="AA225" s="65"/>
      <c r="AB225" s="66">
        <v>7639.3457066267438</v>
      </c>
      <c r="AC225" s="34">
        <v>27.662757689673054</v>
      </c>
      <c r="AD225" s="180">
        <v>1074.6012975341177</v>
      </c>
      <c r="AE225" s="65">
        <v>0</v>
      </c>
      <c r="AF225" s="34">
        <v>45.390999999999998</v>
      </c>
      <c r="AG225" s="65">
        <f t="shared" si="97"/>
        <v>8787.0007618505333</v>
      </c>
      <c r="AH225" s="65"/>
      <c r="AI225" s="66">
        <v>7450.1172362300513</v>
      </c>
      <c r="AJ225" s="34">
        <v>-20.490691152879254</v>
      </c>
      <c r="AK225" s="181">
        <v>1138.4413526217952</v>
      </c>
      <c r="AL225" s="65">
        <v>0</v>
      </c>
      <c r="AM225" s="34">
        <v>86.975999999999999</v>
      </c>
      <c r="AN225" s="65">
        <f t="shared" si="98"/>
        <v>8655.0438976989681</v>
      </c>
      <c r="AO225" s="65"/>
      <c r="AP225" s="41">
        <v>7009.9367704075285</v>
      </c>
      <c r="AQ225" s="41">
        <v>-6.1204152384489694</v>
      </c>
      <c r="AR225" s="41">
        <v>1255.5637386485457</v>
      </c>
      <c r="AS225" s="65">
        <v>0</v>
      </c>
      <c r="AT225" s="34">
        <v>105.67700000000001</v>
      </c>
      <c r="AU225" s="65">
        <f t="shared" si="99"/>
        <v>8365.0570938176243</v>
      </c>
      <c r="AV225" s="65"/>
      <c r="AW225" s="41">
        <v>424.71227056339166</v>
      </c>
      <c r="AX225" s="314"/>
      <c r="AY225" s="314"/>
      <c r="AZ225" s="41">
        <v>376.0327087259306</v>
      </c>
      <c r="BA225" s="65">
        <v>0</v>
      </c>
      <c r="BB225" s="34">
        <v>152.761</v>
      </c>
      <c r="BC225" s="65">
        <f t="shared" si="119"/>
        <v>953.50597928932223</v>
      </c>
      <c r="BD225" s="65"/>
      <c r="BE225" s="41">
        <v>1001.3241394866553</v>
      </c>
      <c r="BF225" s="314"/>
      <c r="BG225" s="314"/>
      <c r="BH225" s="41">
        <v>377.03069133696562</v>
      </c>
      <c r="BI225" s="65">
        <v>0</v>
      </c>
      <c r="BJ225" s="34">
        <v>142.28100000000001</v>
      </c>
      <c r="BK225" s="65">
        <f t="shared" si="120"/>
        <v>1520.6358308236208</v>
      </c>
      <c r="BL225" s="65"/>
      <c r="BM225" s="41">
        <v>1455.8863879787284</v>
      </c>
      <c r="BN225" s="41">
        <v>291.09195755235783</v>
      </c>
      <c r="BO225" s="65">
        <v>0</v>
      </c>
      <c r="BP225" s="34">
        <v>142.28100000000001</v>
      </c>
      <c r="BQ225" s="65">
        <f t="shared" si="100"/>
        <v>1889.2593455310862</v>
      </c>
      <c r="BR225" s="65"/>
      <c r="BS225" s="41">
        <v>1412.4634223009696</v>
      </c>
      <c r="BT225" s="314"/>
      <c r="BU225" s="314"/>
      <c r="BV225" s="41">
        <v>309.89437259868845</v>
      </c>
      <c r="BW225" s="65">
        <v>0</v>
      </c>
      <c r="BX225" s="34">
        <v>142.28100000000001</v>
      </c>
      <c r="BY225" s="65">
        <f t="shared" si="121"/>
        <v>1864.638794899658</v>
      </c>
      <c r="CA225" s="5">
        <v>1431.1979314203193</v>
      </c>
      <c r="CB225" s="407">
        <v>328.40710907474323</v>
      </c>
      <c r="CC225" s="415">
        <v>0</v>
      </c>
      <c r="CD225" s="34">
        <v>142.28100000000001</v>
      </c>
      <c r="CE225" s="65">
        <f t="shared" si="101"/>
        <v>1901.8860404950624</v>
      </c>
      <c r="CF225" s="407"/>
      <c r="CG225" s="5">
        <v>1678.1700196356687</v>
      </c>
      <c r="CH225" s="407">
        <v>345.14362236410011</v>
      </c>
      <c r="CI225" s="415">
        <v>0</v>
      </c>
      <c r="CJ225" s="34">
        <v>142.28100000000001</v>
      </c>
      <c r="CK225" s="65">
        <f t="shared" si="102"/>
        <v>2165.594641999769</v>
      </c>
      <c r="CL225" s="407"/>
      <c r="CM225" s="41">
        <f>AU225/'1. Väestöennuste'!L225*1000</f>
        <v>5663.5457642637948</v>
      </c>
      <c r="CN225" s="41">
        <f>BC225/'1. Väestöennuste'!M225*1000</f>
        <v>669.59689556834428</v>
      </c>
      <c r="CO225" s="41">
        <f>BK225/'1. Väestöennuste'!N225*1000</f>
        <v>1059.6765371593178</v>
      </c>
      <c r="CP225" s="41">
        <f>BQ225/'1. Väestöennuste'!O225*1000</f>
        <v>1341.8035124510554</v>
      </c>
      <c r="CQ225" s="41">
        <f>BY225/'1. Väestöennuste'!P225*1000</f>
        <v>1350.2091201300927</v>
      </c>
      <c r="CR225" s="41">
        <f>CE225/'1. Väestöennuste'!Q225*1000</f>
        <v>1403.6059339446956</v>
      </c>
      <c r="CS225" s="41">
        <f>CK225/'1. Väestöennuste'!R225*1000</f>
        <v>1627.0433072875801</v>
      </c>
      <c r="CT225" s="41"/>
      <c r="CV225" s="41">
        <f t="shared" si="103"/>
        <v>2023.3136419997691</v>
      </c>
      <c r="CW225" s="41">
        <f t="shared" si="104"/>
        <v>3497.9511222640258</v>
      </c>
      <c r="CX225" s="41">
        <f t="shared" si="105"/>
        <v>-4993.9488686954501</v>
      </c>
      <c r="CY225" s="41">
        <f t="shared" si="106"/>
        <v>390.07964159097355</v>
      </c>
      <c r="CZ225" s="41">
        <f t="shared" si="107"/>
        <v>282.12697529173761</v>
      </c>
      <c r="DA225" s="41">
        <f t="shared" si="108"/>
        <v>8.4056076790373027</v>
      </c>
      <c r="DB225" s="41">
        <f t="shared" si="109"/>
        <v>53.396813814602865</v>
      </c>
      <c r="DC225" s="41">
        <f t="shared" si="110"/>
        <v>223.43737334288448</v>
      </c>
      <c r="DD225" s="41"/>
      <c r="DE225" s="283">
        <f t="shared" si="111"/>
        <v>14.22054695988761</v>
      </c>
      <c r="DF225" s="283">
        <f t="shared" si="112"/>
        <v>1.6152381680414218</v>
      </c>
      <c r="DG225" s="283">
        <f t="shared" si="113"/>
        <v>-0.88177072748428909</v>
      </c>
      <c r="DH225" s="283">
        <f t="shared" si="114"/>
        <v>0.58255891592788756</v>
      </c>
      <c r="DI225" s="283">
        <f t="shared" si="115"/>
        <v>0.26623876758471726</v>
      </c>
      <c r="DJ225" s="283">
        <f t="shared" si="116"/>
        <v>6.2644102516044887E-3</v>
      </c>
      <c r="DK225" s="283">
        <f t="shared" si="117"/>
        <v>3.9547069426888536E-2</v>
      </c>
      <c r="DL225" s="283">
        <f t="shared" si="118"/>
        <v>0.15918810824270019</v>
      </c>
    </row>
    <row r="226" spans="1:116" x14ac:dyDescent="0.2">
      <c r="A226" s="30">
        <v>689</v>
      </c>
      <c r="B226" s="31" t="s">
        <v>540</v>
      </c>
      <c r="C226" s="65"/>
      <c r="D226" s="65"/>
      <c r="E226" s="65"/>
      <c r="F226" s="65"/>
      <c r="G226" s="65"/>
      <c r="H226" s="65">
        <v>12327</v>
      </c>
      <c r="I226" s="65"/>
      <c r="J226" s="65"/>
      <c r="K226" s="65"/>
      <c r="L226" s="65"/>
      <c r="M226" s="65"/>
      <c r="N226" s="65">
        <v>11539</v>
      </c>
      <c r="O226" s="65"/>
      <c r="P226" s="65"/>
      <c r="Q226" s="65"/>
      <c r="R226" s="65"/>
      <c r="S226" s="65"/>
      <c r="T226" s="65">
        <v>10645</v>
      </c>
      <c r="U226" s="65"/>
      <c r="V226" s="65"/>
      <c r="W226" s="65"/>
      <c r="X226" s="65"/>
      <c r="Y226" s="65"/>
      <c r="Z226" s="65">
        <v>10188</v>
      </c>
      <c r="AA226" s="65"/>
      <c r="AB226" s="66">
        <v>9517.246811964822</v>
      </c>
      <c r="AC226" s="34">
        <v>59.898621360605809</v>
      </c>
      <c r="AD226" s="180">
        <v>1690.484993876051</v>
      </c>
      <c r="AE226" s="65">
        <v>0</v>
      </c>
      <c r="AF226" s="34">
        <v>-419.97899999999998</v>
      </c>
      <c r="AG226" s="65">
        <f t="shared" si="97"/>
        <v>10847.651427201479</v>
      </c>
      <c r="AH226" s="65"/>
      <c r="AI226" s="66">
        <v>8861.252528867517</v>
      </c>
      <c r="AJ226" s="34">
        <v>-45.864466240654551</v>
      </c>
      <c r="AK226" s="181">
        <v>1786.338884973271</v>
      </c>
      <c r="AL226" s="65">
        <v>0</v>
      </c>
      <c r="AM226" s="34">
        <v>-325.94400000000002</v>
      </c>
      <c r="AN226" s="65">
        <f t="shared" si="98"/>
        <v>10275.782947600133</v>
      </c>
      <c r="AO226" s="65"/>
      <c r="AP226" s="41">
        <v>9582.4487974247459</v>
      </c>
      <c r="AQ226" s="41">
        <v>-14.041791396354341</v>
      </c>
      <c r="AR226" s="41">
        <v>1983.3691363212909</v>
      </c>
      <c r="AS226" s="65">
        <v>0</v>
      </c>
      <c r="AT226" s="34">
        <v>-494.64600000000002</v>
      </c>
      <c r="AU226" s="65">
        <f t="shared" si="99"/>
        <v>11057.130142349683</v>
      </c>
      <c r="AV226" s="65"/>
      <c r="AW226" s="41">
        <v>2466.1725731205311</v>
      </c>
      <c r="AX226" s="314"/>
      <c r="AY226" s="314"/>
      <c r="AZ226" s="41">
        <v>595.41199035538932</v>
      </c>
      <c r="BA226" s="65">
        <v>0</v>
      </c>
      <c r="BB226" s="34">
        <v>-258.45</v>
      </c>
      <c r="BC226" s="65">
        <f t="shared" si="119"/>
        <v>2803.1345634759205</v>
      </c>
      <c r="BD226" s="65"/>
      <c r="BE226" s="41">
        <v>1665.1251010122394</v>
      </c>
      <c r="BF226" s="314"/>
      <c r="BG226" s="314"/>
      <c r="BH226" s="41">
        <v>588.43124081252279</v>
      </c>
      <c r="BI226" s="65">
        <v>0</v>
      </c>
      <c r="BJ226" s="34">
        <v>-106.13500000000001</v>
      </c>
      <c r="BK226" s="65">
        <f t="shared" si="120"/>
        <v>2147.4213418247618</v>
      </c>
      <c r="BL226" s="65"/>
      <c r="BM226" s="41">
        <v>2198.7181953889285</v>
      </c>
      <c r="BN226" s="41">
        <v>450.07216645532378</v>
      </c>
      <c r="BO226" s="65">
        <v>0</v>
      </c>
      <c r="BP226" s="34">
        <v>-106.13500000000001</v>
      </c>
      <c r="BQ226" s="65">
        <f t="shared" si="100"/>
        <v>2542.6553618442522</v>
      </c>
      <c r="BR226" s="65"/>
      <c r="BS226" s="41">
        <v>2917.4777867306238</v>
      </c>
      <c r="BT226" s="314"/>
      <c r="BU226" s="314"/>
      <c r="BV226" s="41">
        <v>477.82507375644474</v>
      </c>
      <c r="BW226" s="65">
        <v>0</v>
      </c>
      <c r="BX226" s="34">
        <v>-106.13500000000001</v>
      </c>
      <c r="BY226" s="65">
        <f t="shared" si="121"/>
        <v>3289.1678604870685</v>
      </c>
      <c r="CA226" s="5">
        <v>2758.7834280519542</v>
      </c>
      <c r="CB226" s="407">
        <v>505.8054511334675</v>
      </c>
      <c r="CC226" s="415">
        <v>0</v>
      </c>
      <c r="CD226" s="34">
        <v>-106.13500000000001</v>
      </c>
      <c r="CE226" s="65">
        <f t="shared" si="101"/>
        <v>3158.4538791854216</v>
      </c>
      <c r="CF226" s="407"/>
      <c r="CG226" s="5">
        <v>3357.2664948777706</v>
      </c>
      <c r="CH226" s="407">
        <v>529.97342287516506</v>
      </c>
      <c r="CI226" s="415">
        <v>0</v>
      </c>
      <c r="CJ226" s="34">
        <v>-106.13500000000001</v>
      </c>
      <c r="CK226" s="65">
        <f t="shared" si="102"/>
        <v>3781.1049177529353</v>
      </c>
      <c r="CL226" s="407"/>
      <c r="CM226" s="41">
        <f>AU226/'1. Väestöennuste'!L226*1000</f>
        <v>3574.8885038311291</v>
      </c>
      <c r="CN226" s="41">
        <f>BC226/'1. Väestöennuste'!M226*1000</f>
        <v>924.51667660815315</v>
      </c>
      <c r="CO226" s="41">
        <f>BK226/'1. Väestöennuste'!N226*1000</f>
        <v>751.10924862705906</v>
      </c>
      <c r="CP226" s="41">
        <f>BQ226/'1. Väestöennuste'!O226*1000</f>
        <v>908.41563481395212</v>
      </c>
      <c r="CQ226" s="41">
        <f>BY226/'1. Väestöennuste'!P226*1000</f>
        <v>1199.5506420448828</v>
      </c>
      <c r="CR226" s="41">
        <f>CE226/'1. Väestöennuste'!Q226*1000</f>
        <v>1174.5830714709637</v>
      </c>
      <c r="CS226" s="41">
        <f>CK226/'1. Väestöennuste'!R226*1000</f>
        <v>1432.7794307513966</v>
      </c>
      <c r="CT226" s="41"/>
      <c r="CV226" s="41">
        <f t="shared" si="103"/>
        <v>3887.2399177529355</v>
      </c>
      <c r="CW226" s="41">
        <f t="shared" si="104"/>
        <v>-206.21641392180618</v>
      </c>
      <c r="CX226" s="41">
        <f t="shared" si="105"/>
        <v>-2650.3718272229762</v>
      </c>
      <c r="CY226" s="41">
        <f t="shared" si="106"/>
        <v>-173.40742798109409</v>
      </c>
      <c r="CZ226" s="41">
        <f t="shared" si="107"/>
        <v>157.30638618689306</v>
      </c>
      <c r="DA226" s="41">
        <f t="shared" si="108"/>
        <v>291.13500723093068</v>
      </c>
      <c r="DB226" s="41">
        <f t="shared" si="109"/>
        <v>-24.967570573919147</v>
      </c>
      <c r="DC226" s="41">
        <f t="shared" si="110"/>
        <v>258.19635928043294</v>
      </c>
      <c r="DD226" s="41"/>
      <c r="DE226" s="283">
        <f t="shared" si="111"/>
        <v>-36.625429102114623</v>
      </c>
      <c r="DF226" s="283">
        <f t="shared" si="112"/>
        <v>-5.4538664863168641E-2</v>
      </c>
      <c r="DG226" s="283">
        <f t="shared" si="113"/>
        <v>-0.74138587102300701</v>
      </c>
      <c r="DH226" s="283">
        <f t="shared" si="114"/>
        <v>-0.18756549488894839</v>
      </c>
      <c r="DI226" s="283">
        <f t="shared" si="115"/>
        <v>0.20943209855880615</v>
      </c>
      <c r="DJ226" s="283">
        <f t="shared" si="116"/>
        <v>0.32048656592150854</v>
      </c>
      <c r="DK226" s="283">
        <f t="shared" si="117"/>
        <v>-2.0814102963887166E-2</v>
      </c>
      <c r="DL226" s="283">
        <f t="shared" si="118"/>
        <v>0.21981958156189527</v>
      </c>
    </row>
    <row r="227" spans="1:116" x14ac:dyDescent="0.2">
      <c r="A227" s="30">
        <v>691</v>
      </c>
      <c r="B227" s="31" t="s">
        <v>541</v>
      </c>
      <c r="C227" s="65"/>
      <c r="D227" s="65"/>
      <c r="E227" s="65"/>
      <c r="F227" s="65"/>
      <c r="G227" s="65"/>
      <c r="H227" s="65">
        <v>10551</v>
      </c>
      <c r="I227" s="65"/>
      <c r="J227" s="65"/>
      <c r="K227" s="65"/>
      <c r="L227" s="65"/>
      <c r="M227" s="65"/>
      <c r="N227" s="65">
        <v>10982</v>
      </c>
      <c r="O227" s="65"/>
      <c r="P227" s="65"/>
      <c r="Q227" s="65"/>
      <c r="R227" s="65"/>
      <c r="S227" s="65"/>
      <c r="T227" s="65">
        <v>10731</v>
      </c>
      <c r="U227" s="65"/>
      <c r="V227" s="65"/>
      <c r="W227" s="65"/>
      <c r="X227" s="65"/>
      <c r="Y227" s="65"/>
      <c r="Z227" s="65">
        <v>11256</v>
      </c>
      <c r="AA227" s="65"/>
      <c r="AB227" s="66">
        <v>10374.994524769063</v>
      </c>
      <c r="AC227" s="34">
        <v>39.69295091220517</v>
      </c>
      <c r="AD227" s="180">
        <v>1624.5831932944729</v>
      </c>
      <c r="AE227" s="65">
        <v>375</v>
      </c>
      <c r="AF227" s="34">
        <v>-151.53700000000001</v>
      </c>
      <c r="AG227" s="65">
        <f t="shared" si="97"/>
        <v>12262.733668975741</v>
      </c>
      <c r="AH227" s="65"/>
      <c r="AI227" s="66">
        <v>10230.958010560973</v>
      </c>
      <c r="AJ227" s="34">
        <v>-30.864903449732356</v>
      </c>
      <c r="AK227" s="181">
        <v>1724.3093749622312</v>
      </c>
      <c r="AL227" s="65">
        <v>0</v>
      </c>
      <c r="AM227" s="34">
        <v>-96.287000000000006</v>
      </c>
      <c r="AN227" s="65">
        <f t="shared" si="98"/>
        <v>11828.115482073472</v>
      </c>
      <c r="AO227" s="65"/>
      <c r="AP227" s="41">
        <v>10897.11561610088</v>
      </c>
      <c r="AQ227" s="41">
        <v>-9.5306604024537158</v>
      </c>
      <c r="AR227" s="41">
        <v>1903.613245311469</v>
      </c>
      <c r="AS227" s="65">
        <v>0</v>
      </c>
      <c r="AT227" s="34">
        <v>2.1840000000000002</v>
      </c>
      <c r="AU227" s="65">
        <f t="shared" si="99"/>
        <v>12793.382201009896</v>
      </c>
      <c r="AV227" s="65"/>
      <c r="AW227" s="41">
        <v>4260.8894871053699</v>
      </c>
      <c r="AX227" s="314"/>
      <c r="AY227" s="314"/>
      <c r="AZ227" s="41">
        <v>640.96005842737361</v>
      </c>
      <c r="BA227" s="65">
        <v>210</v>
      </c>
      <c r="BB227" s="34">
        <v>-38.918999999999997</v>
      </c>
      <c r="BC227" s="65">
        <f t="shared" si="119"/>
        <v>5072.930545532744</v>
      </c>
      <c r="BD227" s="65"/>
      <c r="BE227" s="41">
        <v>4012.9087229633437</v>
      </c>
      <c r="BF227" s="314"/>
      <c r="BG227" s="314"/>
      <c r="BH227" s="41">
        <v>641.84922308627199</v>
      </c>
      <c r="BI227" s="65">
        <v>0</v>
      </c>
      <c r="BJ227" s="34">
        <v>37.770000000000003</v>
      </c>
      <c r="BK227" s="65">
        <f t="shared" si="120"/>
        <v>4692.5279460496158</v>
      </c>
      <c r="BL227" s="65"/>
      <c r="BM227" s="41">
        <v>4183.2424742788862</v>
      </c>
      <c r="BN227" s="41">
        <v>450.30542481768072</v>
      </c>
      <c r="BO227" s="65">
        <v>0</v>
      </c>
      <c r="BP227" s="34">
        <v>37.770000000000003</v>
      </c>
      <c r="BQ227" s="65">
        <f t="shared" si="100"/>
        <v>4671.3178990965671</v>
      </c>
      <c r="BR227" s="65"/>
      <c r="BS227" s="41">
        <v>4460.3587869197954</v>
      </c>
      <c r="BT227" s="314"/>
      <c r="BU227" s="314"/>
      <c r="BV227" s="41">
        <v>478.88376675471841</v>
      </c>
      <c r="BW227" s="65">
        <v>0</v>
      </c>
      <c r="BX227" s="34">
        <v>37.770000000000003</v>
      </c>
      <c r="BY227" s="65">
        <f t="shared" si="121"/>
        <v>4977.0125536745145</v>
      </c>
      <c r="CA227" s="5">
        <v>4409.3104646363217</v>
      </c>
      <c r="CB227" s="407">
        <v>507.01601599656158</v>
      </c>
      <c r="CC227" s="415">
        <v>0</v>
      </c>
      <c r="CD227" s="34">
        <v>37.770000000000003</v>
      </c>
      <c r="CE227" s="65">
        <f t="shared" si="101"/>
        <v>4954.0964806328839</v>
      </c>
      <c r="CF227" s="407"/>
      <c r="CG227" s="5">
        <v>4911.3257254226737</v>
      </c>
      <c r="CH227" s="407">
        <v>531.90051767410353</v>
      </c>
      <c r="CI227" s="415">
        <v>0</v>
      </c>
      <c r="CJ227" s="34">
        <v>37.770000000000003</v>
      </c>
      <c r="CK227" s="65">
        <f t="shared" si="102"/>
        <v>5480.996243096778</v>
      </c>
      <c r="CL227" s="407"/>
      <c r="CM227" s="41">
        <f>AU227/'1. Väestöennuste'!L227*1000</f>
        <v>4853.3316392298539</v>
      </c>
      <c r="CN227" s="41">
        <f>BC227/'1. Väestöennuste'!M227*1000</f>
        <v>1952.6291553243818</v>
      </c>
      <c r="CO227" s="41">
        <f>BK227/'1. Väestöennuste'!N227*1000</f>
        <v>1820.2203049067555</v>
      </c>
      <c r="CP227" s="41">
        <f>BQ227/'1. Väestöennuste'!O227*1000</f>
        <v>1834.7674387653447</v>
      </c>
      <c r="CQ227" s="41">
        <f>BY227/'1. Väestöennuste'!P227*1000</f>
        <v>1978.9314328725704</v>
      </c>
      <c r="CR227" s="41">
        <f>CE227/'1. Väestöennuste'!Q227*1000</f>
        <v>1992.7982625232839</v>
      </c>
      <c r="CS227" s="41">
        <f>CK227/'1. Väestöennuste'!R227*1000</f>
        <v>2232.5850277379955</v>
      </c>
      <c r="CT227" s="41"/>
      <c r="CV227" s="41">
        <f t="shared" si="103"/>
        <v>5443.2262430967776</v>
      </c>
      <c r="CW227" s="41">
        <f t="shared" si="104"/>
        <v>-627.66460386692415</v>
      </c>
      <c r="CX227" s="41">
        <f t="shared" si="105"/>
        <v>-2900.702483905472</v>
      </c>
      <c r="CY227" s="41">
        <f t="shared" si="106"/>
        <v>-132.40885041762635</v>
      </c>
      <c r="CZ227" s="41">
        <f t="shared" si="107"/>
        <v>14.547133858589177</v>
      </c>
      <c r="DA227" s="41">
        <f t="shared" si="108"/>
        <v>144.16399410722579</v>
      </c>
      <c r="DB227" s="41">
        <f t="shared" si="109"/>
        <v>13.866829650713498</v>
      </c>
      <c r="DC227" s="41">
        <f t="shared" si="110"/>
        <v>239.78676521471152</v>
      </c>
      <c r="DD227" s="41"/>
      <c r="DE227" s="283">
        <f t="shared" si="111"/>
        <v>144.1150713025358</v>
      </c>
      <c r="DF227" s="283">
        <f t="shared" si="112"/>
        <v>-0.11451651780594761</v>
      </c>
      <c r="DG227" s="283">
        <f t="shared" si="113"/>
        <v>-0.59767242371381968</v>
      </c>
      <c r="DH227" s="283">
        <f t="shared" si="114"/>
        <v>-6.7810546645059103E-2</v>
      </c>
      <c r="DI227" s="283">
        <f t="shared" si="115"/>
        <v>7.9919632911327095E-3</v>
      </c>
      <c r="DJ227" s="283">
        <f t="shared" si="116"/>
        <v>7.8573442639813196E-2</v>
      </c>
      <c r="DK227" s="283">
        <f t="shared" si="117"/>
        <v>7.007230983533742E-3</v>
      </c>
      <c r="DL227" s="283">
        <f t="shared" si="118"/>
        <v>0.12032666312700072</v>
      </c>
    </row>
    <row r="228" spans="1:116" x14ac:dyDescent="0.2">
      <c r="A228" s="30">
        <v>694</v>
      </c>
      <c r="B228" s="31" t="s">
        <v>542</v>
      </c>
      <c r="C228" s="65"/>
      <c r="D228" s="65"/>
      <c r="E228" s="65"/>
      <c r="F228" s="65"/>
      <c r="G228" s="65"/>
      <c r="H228" s="65">
        <v>35755</v>
      </c>
      <c r="I228" s="65"/>
      <c r="J228" s="65"/>
      <c r="K228" s="65"/>
      <c r="L228" s="65"/>
      <c r="M228" s="65"/>
      <c r="N228" s="65">
        <v>35720</v>
      </c>
      <c r="O228" s="65"/>
      <c r="P228" s="65"/>
      <c r="Q228" s="65"/>
      <c r="R228" s="65"/>
      <c r="S228" s="65"/>
      <c r="T228" s="65">
        <v>35272</v>
      </c>
      <c r="U228" s="65"/>
      <c r="V228" s="65"/>
      <c r="W228" s="65"/>
      <c r="X228" s="65"/>
      <c r="Y228" s="65"/>
      <c r="Z228" s="65">
        <v>35957</v>
      </c>
      <c r="AA228" s="65"/>
      <c r="AB228" s="66">
        <v>36755.827188116607</v>
      </c>
      <c r="AC228" s="34">
        <v>598.31576806771614</v>
      </c>
      <c r="AD228" s="180">
        <v>11169.722905221317</v>
      </c>
      <c r="AE228" s="65">
        <v>0</v>
      </c>
      <c r="AF228" s="34">
        <v>-847.77599999999995</v>
      </c>
      <c r="AG228" s="65">
        <f t="shared" si="97"/>
        <v>47676.089861405642</v>
      </c>
      <c r="AH228" s="65"/>
      <c r="AI228" s="66">
        <v>33393.559109404836</v>
      </c>
      <c r="AJ228" s="34">
        <v>-463.91984502702769</v>
      </c>
      <c r="AK228" s="181">
        <v>12062.896085807011</v>
      </c>
      <c r="AL228" s="65">
        <v>0</v>
      </c>
      <c r="AM228" s="34">
        <v>-1856.7380000000001</v>
      </c>
      <c r="AN228" s="65">
        <f t="shared" si="98"/>
        <v>43135.797350184825</v>
      </c>
      <c r="AO228" s="65"/>
      <c r="AP228" s="41">
        <v>35456.473026750871</v>
      </c>
      <c r="AQ228" s="41">
        <v>-143.02696065502832</v>
      </c>
      <c r="AR228" s="41">
        <v>14009.734016563461</v>
      </c>
      <c r="AS228" s="65">
        <v>0</v>
      </c>
      <c r="AT228" s="34">
        <v>-504.46199999999999</v>
      </c>
      <c r="AU228" s="65">
        <f t="shared" si="99"/>
        <v>48818.718082659303</v>
      </c>
      <c r="AV228" s="65"/>
      <c r="AW228" s="41">
        <v>9855.7280573533953</v>
      </c>
      <c r="AX228" s="314"/>
      <c r="AY228" s="314"/>
      <c r="AZ228" s="41">
        <v>4328.8502716077128</v>
      </c>
      <c r="BA228" s="65">
        <v>0</v>
      </c>
      <c r="BB228" s="34">
        <v>-92.625</v>
      </c>
      <c r="BC228" s="65">
        <f t="shared" si="119"/>
        <v>14091.953328961108</v>
      </c>
      <c r="BD228" s="65"/>
      <c r="BE228" s="41">
        <v>3505.8109534691453</v>
      </c>
      <c r="BF228" s="314"/>
      <c r="BG228" s="314"/>
      <c r="BH228" s="41">
        <v>4263.6426319200809</v>
      </c>
      <c r="BI228" s="65">
        <v>0</v>
      </c>
      <c r="BJ228" s="34">
        <v>492.06099999999998</v>
      </c>
      <c r="BK228" s="65">
        <f t="shared" si="120"/>
        <v>8261.5145853892263</v>
      </c>
      <c r="BL228" s="65"/>
      <c r="BM228" s="41">
        <v>7262.5539487950418</v>
      </c>
      <c r="BN228" s="41">
        <v>2557.5689252310449</v>
      </c>
      <c r="BO228" s="65">
        <v>0</v>
      </c>
      <c r="BP228" s="34">
        <v>492.06099999999998</v>
      </c>
      <c r="BQ228" s="65">
        <f t="shared" si="100"/>
        <v>10312.183874026086</v>
      </c>
      <c r="BR228" s="65"/>
      <c r="BS228" s="41">
        <v>6370.0199672637027</v>
      </c>
      <c r="BT228" s="314"/>
      <c r="BU228" s="314"/>
      <c r="BV228" s="41">
        <v>2726.1135234560593</v>
      </c>
      <c r="BW228" s="65">
        <v>0</v>
      </c>
      <c r="BX228" s="34">
        <v>492.06099999999998</v>
      </c>
      <c r="BY228" s="65">
        <f t="shared" si="121"/>
        <v>9588.1944907197612</v>
      </c>
      <c r="CA228" s="5">
        <v>5901.7600566979172</v>
      </c>
      <c r="CB228" s="407">
        <v>2945.1691559109704</v>
      </c>
      <c r="CC228" s="415">
        <v>0</v>
      </c>
      <c r="CD228" s="34">
        <v>492.06099999999998</v>
      </c>
      <c r="CE228" s="65">
        <f t="shared" si="101"/>
        <v>9338.9902126088873</v>
      </c>
      <c r="CF228" s="407"/>
      <c r="CG228" s="5">
        <v>6035.5179893011473</v>
      </c>
      <c r="CH228" s="407">
        <v>3127.3199695793346</v>
      </c>
      <c r="CI228" s="415">
        <v>0</v>
      </c>
      <c r="CJ228" s="34">
        <v>492.06099999999998</v>
      </c>
      <c r="CK228" s="65">
        <f t="shared" si="102"/>
        <v>9654.8989588804816</v>
      </c>
      <c r="CL228" s="407"/>
      <c r="CM228" s="41">
        <f>AU228/'1. Väestöennuste'!L228*1000</f>
        <v>1722.0613807421532</v>
      </c>
      <c r="CN228" s="41">
        <f>BC228/'1. Väestöennuste'!M228*1000</f>
        <v>494.74961657694445</v>
      </c>
      <c r="CO228" s="41">
        <f>BK228/'1. Väestöennuste'!N228*1000</f>
        <v>291.97789663860141</v>
      </c>
      <c r="CP228" s="41">
        <f>BQ228/'1. Väestöennuste'!O228*1000</f>
        <v>365.64138120150648</v>
      </c>
      <c r="CQ228" s="41">
        <f>BY228/'1. Väestöennuste'!P228*1000</f>
        <v>341.09549949198725</v>
      </c>
      <c r="CR228" s="41">
        <f>CE228/'1. Väestöennuste'!Q228*1000</f>
        <v>333.33298399574858</v>
      </c>
      <c r="CS228" s="41">
        <f>CK228/'1. Väestöennuste'!R228*1000</f>
        <v>345.73153902744684</v>
      </c>
      <c r="CT228" s="41"/>
      <c r="CV228" s="41">
        <f t="shared" si="103"/>
        <v>9162.8379588804819</v>
      </c>
      <c r="CW228" s="41">
        <f t="shared" si="104"/>
        <v>-7932.8375781383284</v>
      </c>
      <c r="CX228" s="41">
        <f t="shared" si="105"/>
        <v>-1227.3117641652088</v>
      </c>
      <c r="CY228" s="41">
        <f t="shared" si="106"/>
        <v>-202.77171993834304</v>
      </c>
      <c r="CZ228" s="41">
        <f t="shared" si="107"/>
        <v>73.663484562905069</v>
      </c>
      <c r="DA228" s="41">
        <f t="shared" si="108"/>
        <v>-24.545881709519222</v>
      </c>
      <c r="DB228" s="41">
        <f t="shared" si="109"/>
        <v>-7.7625154962386773</v>
      </c>
      <c r="DC228" s="41">
        <f t="shared" si="110"/>
        <v>12.398555031698265</v>
      </c>
      <c r="DD228" s="41"/>
      <c r="DE228" s="283">
        <f t="shared" si="111"/>
        <v>18.621345643894724</v>
      </c>
      <c r="DF228" s="283">
        <f t="shared" si="112"/>
        <v>-0.82163859113634552</v>
      </c>
      <c r="DG228" s="283">
        <f t="shared" si="113"/>
        <v>-0.71269919753747502</v>
      </c>
      <c r="DH228" s="283">
        <f t="shared" si="114"/>
        <v>-0.40984714923332854</v>
      </c>
      <c r="DI228" s="283">
        <f t="shared" si="115"/>
        <v>0.25229130496163138</v>
      </c>
      <c r="DJ228" s="283">
        <f t="shared" si="116"/>
        <v>-6.7131027754191441E-2</v>
      </c>
      <c r="DK228" s="283">
        <f t="shared" si="117"/>
        <v>-2.2757601632973256E-2</v>
      </c>
      <c r="DL228" s="283">
        <f t="shared" si="118"/>
        <v>3.7195704076667072E-2</v>
      </c>
    </row>
    <row r="229" spans="1:116" x14ac:dyDescent="0.2">
      <c r="A229" s="32">
        <v>697</v>
      </c>
      <c r="B229" s="33" t="s">
        <v>543</v>
      </c>
      <c r="C229" s="39"/>
      <c r="D229" s="39"/>
      <c r="E229" s="39"/>
      <c r="F229" s="39"/>
      <c r="G229" s="39"/>
      <c r="H229" s="65">
        <v>6087</v>
      </c>
      <c r="I229" s="39"/>
      <c r="J229" s="39"/>
      <c r="K229" s="39"/>
      <c r="L229" s="39"/>
      <c r="M229" s="39"/>
      <c r="N229" s="65">
        <v>6081</v>
      </c>
      <c r="O229" s="39"/>
      <c r="P229" s="39"/>
      <c r="Q229" s="39"/>
      <c r="R229" s="39"/>
      <c r="S229" s="39"/>
      <c r="T229" s="65">
        <v>5777</v>
      </c>
      <c r="U229" s="39"/>
      <c r="V229" s="39"/>
      <c r="W229" s="39"/>
      <c r="X229" s="39"/>
      <c r="Y229" s="39"/>
      <c r="Z229" s="65">
        <v>6051</v>
      </c>
      <c r="AA229" s="65"/>
      <c r="AB229" s="66">
        <v>5897.1220706988706</v>
      </c>
      <c r="AC229" s="34">
        <v>23.714408184122359</v>
      </c>
      <c r="AD229" s="180">
        <v>814.45091146745483</v>
      </c>
      <c r="AE229" s="65">
        <v>0</v>
      </c>
      <c r="AF229" s="34">
        <v>-246.95500000000001</v>
      </c>
      <c r="AG229" s="65">
        <f t="shared" si="97"/>
        <v>6488.3323903504479</v>
      </c>
      <c r="AH229" s="65"/>
      <c r="AI229" s="66">
        <v>5582.1655681333732</v>
      </c>
      <c r="AJ229" s="34">
        <v>-18.287625183955637</v>
      </c>
      <c r="AK229" s="181">
        <v>859.13146662707527</v>
      </c>
      <c r="AL229" s="65">
        <v>0</v>
      </c>
      <c r="AM229" s="34">
        <v>-274.37900000000002</v>
      </c>
      <c r="AN229" s="65">
        <f t="shared" si="98"/>
        <v>6148.6304095764935</v>
      </c>
      <c r="AO229" s="65"/>
      <c r="AP229" s="41">
        <v>5368.9478322101104</v>
      </c>
      <c r="AQ229" s="41">
        <v>-5.5752702690793141</v>
      </c>
      <c r="AR229" s="41">
        <v>971.96824665809891</v>
      </c>
      <c r="AS229" s="65">
        <v>0</v>
      </c>
      <c r="AT229" s="34">
        <v>-257.53100000000001</v>
      </c>
      <c r="AU229" s="65">
        <f t="shared" si="99"/>
        <v>6077.8098085991296</v>
      </c>
      <c r="AV229" s="65"/>
      <c r="AW229" s="41">
        <v>484.32716163730856</v>
      </c>
      <c r="AX229" s="314"/>
      <c r="AY229" s="314"/>
      <c r="AZ229" s="41">
        <v>294.4181981817141</v>
      </c>
      <c r="BA229" s="65">
        <v>0</v>
      </c>
      <c r="BB229" s="34">
        <v>-192.95099999999999</v>
      </c>
      <c r="BC229" s="65">
        <f t="shared" si="119"/>
        <v>585.7943598190227</v>
      </c>
      <c r="BD229" s="65"/>
      <c r="BE229" s="41">
        <v>647.17370886466904</v>
      </c>
      <c r="BF229" s="314"/>
      <c r="BG229" s="314"/>
      <c r="BH229" s="41">
        <v>289.7006414885559</v>
      </c>
      <c r="BI229" s="65">
        <v>0</v>
      </c>
      <c r="BJ229" s="34">
        <v>-189.12299999999999</v>
      </c>
      <c r="BK229" s="65">
        <f t="shared" si="120"/>
        <v>747.75135035322501</v>
      </c>
      <c r="BL229" s="65"/>
      <c r="BM229" s="41">
        <v>871.00243142606314</v>
      </c>
      <c r="BN229" s="41">
        <v>213.90828352448821</v>
      </c>
      <c r="BO229" s="65">
        <v>0</v>
      </c>
      <c r="BP229" s="34">
        <v>-189.12299999999999</v>
      </c>
      <c r="BQ229" s="65">
        <f t="shared" si="100"/>
        <v>895.78771495055139</v>
      </c>
      <c r="BR229" s="65"/>
      <c r="BS229" s="41">
        <v>891.27814047867787</v>
      </c>
      <c r="BT229" s="314"/>
      <c r="BU229" s="314"/>
      <c r="BV229" s="41">
        <v>227.38875401257209</v>
      </c>
      <c r="BW229" s="65">
        <v>0</v>
      </c>
      <c r="BX229" s="34">
        <v>-189.12299999999999</v>
      </c>
      <c r="BY229" s="65">
        <f t="shared" si="121"/>
        <v>929.54389449124983</v>
      </c>
      <c r="CA229" s="5">
        <v>906.67647106020661</v>
      </c>
      <c r="CB229" s="407">
        <v>240.77908612527352</v>
      </c>
      <c r="CC229" s="415">
        <v>0</v>
      </c>
      <c r="CD229" s="34">
        <v>-189.12299999999999</v>
      </c>
      <c r="CE229" s="65">
        <f t="shared" si="101"/>
        <v>958.33255718548003</v>
      </c>
      <c r="CF229" s="407"/>
      <c r="CG229" s="5">
        <v>1055.3624023912244</v>
      </c>
      <c r="CH229" s="407">
        <v>252.668261479498</v>
      </c>
      <c r="CI229" s="415">
        <v>0</v>
      </c>
      <c r="CJ229" s="34">
        <v>-189.12299999999999</v>
      </c>
      <c r="CK229" s="65">
        <f t="shared" si="102"/>
        <v>1118.9076638707222</v>
      </c>
      <c r="CL229" s="407"/>
      <c r="CM229" s="41">
        <f>AU229/'1. Väestöennuste'!L229*1000</f>
        <v>5177.0100584319671</v>
      </c>
      <c r="CN229" s="41">
        <f>BC229/'1. Väestöennuste'!M229*1000</f>
        <v>503.25975929469303</v>
      </c>
      <c r="CO229" s="41">
        <f>BK229/'1. Väestöennuste'!N229*1000</f>
        <v>636.92619280513202</v>
      </c>
      <c r="CP229" s="41">
        <f>BQ229/'1. Väestöennuste'!O229*1000</f>
        <v>768.25704541213668</v>
      </c>
      <c r="CQ229" s="41">
        <f>BY229/'1. Väestöennuste'!P229*1000</f>
        <v>804.10371495782863</v>
      </c>
      <c r="CR229" s="41">
        <f>CE229/'1. Väestöennuste'!Q229*1000</f>
        <v>836.97166566417468</v>
      </c>
      <c r="CS229" s="41">
        <f>CK229/'1. Väestöennuste'!R229*1000</f>
        <v>984.08765511936872</v>
      </c>
      <c r="CT229" s="41"/>
      <c r="CV229" s="41">
        <f t="shared" si="103"/>
        <v>1308.0306638707223</v>
      </c>
      <c r="CW229" s="41">
        <f t="shared" si="104"/>
        <v>4058.1023945612451</v>
      </c>
      <c r="CX229" s="41">
        <f t="shared" si="105"/>
        <v>-4673.7502991372739</v>
      </c>
      <c r="CY229" s="41">
        <f t="shared" si="106"/>
        <v>133.66643351043899</v>
      </c>
      <c r="CZ229" s="41">
        <f t="shared" si="107"/>
        <v>131.33085260700466</v>
      </c>
      <c r="DA229" s="41">
        <f t="shared" si="108"/>
        <v>35.846669545691952</v>
      </c>
      <c r="DB229" s="41">
        <f t="shared" si="109"/>
        <v>32.867950706346051</v>
      </c>
      <c r="DC229" s="41">
        <f t="shared" si="110"/>
        <v>147.11598945519404</v>
      </c>
      <c r="DD229" s="41"/>
      <c r="DE229" s="283">
        <f t="shared" si="111"/>
        <v>-6.9162960817601364</v>
      </c>
      <c r="DF229" s="283">
        <f t="shared" si="112"/>
        <v>3.6268429697967601</v>
      </c>
      <c r="DG229" s="283">
        <f t="shared" si="113"/>
        <v>-0.90278949555544763</v>
      </c>
      <c r="DH229" s="283">
        <f t="shared" si="114"/>
        <v>0.26560127457392863</v>
      </c>
      <c r="DI229" s="283">
        <f t="shared" si="115"/>
        <v>0.20619477435619518</v>
      </c>
      <c r="DJ229" s="283">
        <f t="shared" si="116"/>
        <v>4.6659734212345254E-2</v>
      </c>
      <c r="DK229" s="283">
        <f t="shared" si="117"/>
        <v>4.0875262848486922E-2</v>
      </c>
      <c r="DL229" s="283">
        <f t="shared" si="118"/>
        <v>0.17577176801851577</v>
      </c>
    </row>
    <row r="230" spans="1:116" x14ac:dyDescent="0.2">
      <c r="A230" s="30">
        <v>698</v>
      </c>
      <c r="B230" s="31" t="s">
        <v>544</v>
      </c>
      <c r="C230" s="65"/>
      <c r="D230" s="65"/>
      <c r="E230" s="65"/>
      <c r="F230" s="65"/>
      <c r="G230" s="65"/>
      <c r="H230" s="65">
        <v>98290</v>
      </c>
      <c r="I230" s="65"/>
      <c r="J230" s="65"/>
      <c r="K230" s="65"/>
      <c r="L230" s="65"/>
      <c r="M230" s="65"/>
      <c r="N230" s="65">
        <v>94107</v>
      </c>
      <c r="O230" s="65"/>
      <c r="P230" s="65"/>
      <c r="Q230" s="65"/>
      <c r="R230" s="65"/>
      <c r="S230" s="65"/>
      <c r="T230" s="65">
        <v>94926</v>
      </c>
      <c r="U230" s="65"/>
      <c r="V230" s="65"/>
      <c r="W230" s="65"/>
      <c r="X230" s="65"/>
      <c r="Y230" s="65"/>
      <c r="Z230" s="65">
        <v>97652</v>
      </c>
      <c r="AA230" s="65"/>
      <c r="AB230" s="66">
        <v>101933.14345071801</v>
      </c>
      <c r="AC230" s="34">
        <v>1303.0732189445487</v>
      </c>
      <c r="AD230" s="180">
        <v>26008.0761684102</v>
      </c>
      <c r="AE230" s="65">
        <v>2000</v>
      </c>
      <c r="AF230" s="34">
        <v>-4352.9189999999999</v>
      </c>
      <c r="AG230" s="65">
        <f t="shared" si="97"/>
        <v>126891.37383807276</v>
      </c>
      <c r="AH230" s="65"/>
      <c r="AI230" s="66">
        <v>90621.283699083971</v>
      </c>
      <c r="AJ230" s="34">
        <v>-1015.8246355319766</v>
      </c>
      <c r="AK230" s="181">
        <v>28160.008872223025</v>
      </c>
      <c r="AL230" s="65">
        <v>0</v>
      </c>
      <c r="AM230" s="34">
        <v>-5796.0190000000002</v>
      </c>
      <c r="AN230" s="65">
        <f t="shared" si="98"/>
        <v>111969.44893577503</v>
      </c>
      <c r="AO230" s="65"/>
      <c r="AP230" s="41">
        <v>95574.042340892571</v>
      </c>
      <c r="AQ230" s="41">
        <v>-313.36803471840568</v>
      </c>
      <c r="AR230" s="41">
        <v>31761.070265235241</v>
      </c>
      <c r="AS230" s="65">
        <v>0</v>
      </c>
      <c r="AT230" s="34">
        <v>-3819.8560000000002</v>
      </c>
      <c r="AU230" s="65">
        <f t="shared" si="99"/>
        <v>123201.88857140939</v>
      </c>
      <c r="AV230" s="65"/>
      <c r="AW230" s="41">
        <v>12605.680474461184</v>
      </c>
      <c r="AX230" s="314"/>
      <c r="AY230" s="314"/>
      <c r="AZ230" s="41">
        <v>9602.704468033362</v>
      </c>
      <c r="BA230" s="65">
        <v>0</v>
      </c>
      <c r="BB230" s="34">
        <v>-4863.5720000000001</v>
      </c>
      <c r="BC230" s="65">
        <f t="shared" si="119"/>
        <v>17344.812942494544</v>
      </c>
      <c r="BD230" s="65"/>
      <c r="BE230" s="41">
        <v>7432.7697733262048</v>
      </c>
      <c r="BF230" s="314"/>
      <c r="BG230" s="314"/>
      <c r="BH230" s="41">
        <v>9664.2955870860569</v>
      </c>
      <c r="BI230" s="65">
        <v>0</v>
      </c>
      <c r="BJ230" s="34">
        <v>-3603.8530000000001</v>
      </c>
      <c r="BK230" s="65">
        <f t="shared" si="120"/>
        <v>13493.212360412264</v>
      </c>
      <c r="BL230" s="65"/>
      <c r="BM230" s="41">
        <v>17867.091262091464</v>
      </c>
      <c r="BN230" s="41">
        <v>4912.9262636894928</v>
      </c>
      <c r="BO230" s="65">
        <v>0</v>
      </c>
      <c r="BP230" s="34">
        <v>-3603.8530000000001</v>
      </c>
      <c r="BQ230" s="65">
        <f t="shared" si="100"/>
        <v>19176.164525780958</v>
      </c>
      <c r="BR230" s="65"/>
      <c r="BS230" s="41">
        <v>21295.607634032393</v>
      </c>
      <c r="BT230" s="314"/>
      <c r="BU230" s="314"/>
      <c r="BV230" s="41">
        <v>5422.3188477981703</v>
      </c>
      <c r="BW230" s="65">
        <v>0</v>
      </c>
      <c r="BX230" s="34">
        <v>-3603.8530000000001</v>
      </c>
      <c r="BY230" s="65">
        <f t="shared" si="121"/>
        <v>23114.073481830565</v>
      </c>
      <c r="CA230" s="5">
        <v>22012.198542665901</v>
      </c>
      <c r="CB230" s="407">
        <v>5978.0223058047741</v>
      </c>
      <c r="CC230" s="415">
        <v>0</v>
      </c>
      <c r="CD230" s="34">
        <v>-3603.8530000000001</v>
      </c>
      <c r="CE230" s="65">
        <f t="shared" si="101"/>
        <v>24386.367848470676</v>
      </c>
      <c r="CF230" s="407"/>
      <c r="CG230" s="5">
        <v>24227.652001089093</v>
      </c>
      <c r="CH230" s="407">
        <v>6453.8580993291043</v>
      </c>
      <c r="CI230" s="415">
        <v>0</v>
      </c>
      <c r="CJ230" s="34">
        <v>-3603.8530000000001</v>
      </c>
      <c r="CK230" s="65">
        <f t="shared" si="102"/>
        <v>27077.657100418197</v>
      </c>
      <c r="CL230" s="407"/>
      <c r="CM230" s="41">
        <f>AU230/'1. Väestöennuste'!L230*1000</f>
        <v>1909.0708696274796</v>
      </c>
      <c r="CN230" s="41">
        <f>BC230/'1. Väestöennuste'!M230*1000</f>
        <v>265.67430907843249</v>
      </c>
      <c r="CO230" s="41">
        <f>BK230/'1. Väestöennuste'!N230*1000</f>
        <v>207.73809308903768</v>
      </c>
      <c r="CP230" s="41">
        <f>BQ230/'1. Väestöennuste'!O230*1000</f>
        <v>293.87406748779307</v>
      </c>
      <c r="CQ230" s="41">
        <f>BY230/'1. Väestöennuste'!P230*1000</f>
        <v>352.68200863362574</v>
      </c>
      <c r="CR230" s="41">
        <f>CE230/'1. Väestöennuste'!Q230*1000</f>
        <v>370.60222863242262</v>
      </c>
      <c r="CS230" s="41">
        <f>CK230/'1. Väestöennuste'!R230*1000</f>
        <v>409.9942023562806</v>
      </c>
      <c r="CT230" s="41"/>
      <c r="CV230" s="41">
        <f t="shared" si="103"/>
        <v>30681.510100418196</v>
      </c>
      <c r="CW230" s="41">
        <f t="shared" si="104"/>
        <v>-25168.586230790715</v>
      </c>
      <c r="CX230" s="41">
        <f t="shared" si="105"/>
        <v>-1643.3965605490471</v>
      </c>
      <c r="CY230" s="41">
        <f t="shared" si="106"/>
        <v>-57.93621598939481</v>
      </c>
      <c r="CZ230" s="41">
        <f t="shared" si="107"/>
        <v>86.135974398755394</v>
      </c>
      <c r="DA230" s="41">
        <f t="shared" si="108"/>
        <v>58.807941145832672</v>
      </c>
      <c r="DB230" s="41">
        <f t="shared" si="109"/>
        <v>17.920219998796881</v>
      </c>
      <c r="DC230" s="41">
        <f t="shared" si="110"/>
        <v>39.391973723857973</v>
      </c>
      <c r="DD230" s="41"/>
      <c r="DE230" s="283">
        <f t="shared" si="111"/>
        <v>-8.5135298527487659</v>
      </c>
      <c r="DF230" s="283">
        <f t="shared" si="112"/>
        <v>-0.92949645301483641</v>
      </c>
      <c r="DG230" s="283">
        <f t="shared" si="113"/>
        <v>-0.86083580588588937</v>
      </c>
      <c r="DH230" s="283">
        <f t="shared" si="114"/>
        <v>-0.21807233145863139</v>
      </c>
      <c r="DI230" s="283">
        <f t="shared" si="115"/>
        <v>0.41463735956138315</v>
      </c>
      <c r="DJ230" s="283">
        <f t="shared" si="116"/>
        <v>0.2001127273616119</v>
      </c>
      <c r="DK230" s="283">
        <f t="shared" si="117"/>
        <v>5.0811267827990683E-2</v>
      </c>
      <c r="DL230" s="283">
        <f t="shared" si="118"/>
        <v>0.10629178855513152</v>
      </c>
    </row>
    <row r="231" spans="1:116" x14ac:dyDescent="0.2">
      <c r="A231" s="30">
        <v>700</v>
      </c>
      <c r="B231" s="31" t="s">
        <v>545</v>
      </c>
      <c r="C231" s="65"/>
      <c r="D231" s="65"/>
      <c r="E231" s="65"/>
      <c r="F231" s="65"/>
      <c r="G231" s="65"/>
      <c r="H231" s="65">
        <v>12046</v>
      </c>
      <c r="I231" s="65"/>
      <c r="J231" s="65"/>
      <c r="K231" s="65"/>
      <c r="L231" s="65"/>
      <c r="M231" s="65"/>
      <c r="N231" s="65">
        <v>11431</v>
      </c>
      <c r="O231" s="65"/>
      <c r="P231" s="65"/>
      <c r="Q231" s="65"/>
      <c r="R231" s="65"/>
      <c r="S231" s="65"/>
      <c r="T231" s="65">
        <v>11191</v>
      </c>
      <c r="U231" s="65"/>
      <c r="V231" s="65"/>
      <c r="W231" s="65"/>
      <c r="X231" s="65"/>
      <c r="Y231" s="65"/>
      <c r="Z231" s="65">
        <v>11408</v>
      </c>
      <c r="AA231" s="65"/>
      <c r="AB231" s="66">
        <v>12046.650554396638</v>
      </c>
      <c r="AC231" s="34">
        <v>102.08042303696031</v>
      </c>
      <c r="AD231" s="180">
        <v>2293.0506761310689</v>
      </c>
      <c r="AE231" s="65">
        <v>0</v>
      </c>
      <c r="AF231" s="34">
        <v>-1098.0050000000001</v>
      </c>
      <c r="AG231" s="65">
        <f t="shared" si="97"/>
        <v>13343.776653564666</v>
      </c>
      <c r="AH231" s="65"/>
      <c r="AI231" s="66">
        <v>10712.737966430728</v>
      </c>
      <c r="AJ231" s="34">
        <v>-78.570854377713772</v>
      </c>
      <c r="AK231" s="181">
        <v>2440.4434172709612</v>
      </c>
      <c r="AL231" s="65">
        <v>0</v>
      </c>
      <c r="AM231" s="34">
        <v>-1096.778</v>
      </c>
      <c r="AN231" s="65">
        <f t="shared" si="98"/>
        <v>11977.832529323974</v>
      </c>
      <c r="AO231" s="65"/>
      <c r="AP231" s="41">
        <v>10563.876860096385</v>
      </c>
      <c r="AQ231" s="41">
        <v>-24.089694499520999</v>
      </c>
      <c r="AR231" s="41">
        <v>2773.8444931383779</v>
      </c>
      <c r="AS231" s="65">
        <v>0</v>
      </c>
      <c r="AT231" s="34">
        <v>-1000.953</v>
      </c>
      <c r="AU231" s="65">
        <f t="shared" si="99"/>
        <v>12312.678658735244</v>
      </c>
      <c r="AV231" s="65"/>
      <c r="AW231" s="41">
        <v>1214.7920263950118</v>
      </c>
      <c r="AX231" s="314"/>
      <c r="AY231" s="314"/>
      <c r="AZ231" s="41">
        <v>815.62378408988661</v>
      </c>
      <c r="BA231" s="65">
        <v>0</v>
      </c>
      <c r="BB231" s="34">
        <v>-1100.22</v>
      </c>
      <c r="BC231" s="65">
        <f t="shared" si="119"/>
        <v>930.1958104848984</v>
      </c>
      <c r="BD231" s="65"/>
      <c r="BE231" s="41">
        <v>1262.2712182049177</v>
      </c>
      <c r="BF231" s="314"/>
      <c r="BG231" s="314"/>
      <c r="BH231" s="41">
        <v>790.5392142422869</v>
      </c>
      <c r="BI231" s="65">
        <v>0</v>
      </c>
      <c r="BJ231" s="34">
        <v>-1111.895</v>
      </c>
      <c r="BK231" s="65">
        <f t="shared" si="120"/>
        <v>940.91543244720469</v>
      </c>
      <c r="BL231" s="65"/>
      <c r="BM231" s="41">
        <v>2112.9134932297088</v>
      </c>
      <c r="BN231" s="41">
        <v>528.87072754862709</v>
      </c>
      <c r="BO231" s="65">
        <v>0</v>
      </c>
      <c r="BP231" s="34">
        <v>-1111.895</v>
      </c>
      <c r="BQ231" s="65">
        <f t="shared" si="100"/>
        <v>1529.889220778336</v>
      </c>
      <c r="BR231" s="65"/>
      <c r="BS231" s="41">
        <v>1991.3625276308144</v>
      </c>
      <c r="BT231" s="314"/>
      <c r="BU231" s="314"/>
      <c r="BV231" s="41">
        <v>565.66489840699649</v>
      </c>
      <c r="BW231" s="65">
        <v>0</v>
      </c>
      <c r="BX231" s="34">
        <v>-1111.895</v>
      </c>
      <c r="BY231" s="65">
        <f t="shared" si="121"/>
        <v>1445.132426037811</v>
      </c>
      <c r="CA231" s="5">
        <v>1808.8988651083516</v>
      </c>
      <c r="CB231" s="407">
        <v>604.47395883949525</v>
      </c>
      <c r="CC231" s="415">
        <v>0</v>
      </c>
      <c r="CD231" s="34">
        <v>-1111.895</v>
      </c>
      <c r="CE231" s="65">
        <f t="shared" si="101"/>
        <v>1301.4778239478469</v>
      </c>
      <c r="CF231" s="407"/>
      <c r="CG231" s="5">
        <v>2294.443781377784</v>
      </c>
      <c r="CH231" s="407">
        <v>637.03080362144874</v>
      </c>
      <c r="CI231" s="415">
        <v>0</v>
      </c>
      <c r="CJ231" s="34">
        <v>-1111.895</v>
      </c>
      <c r="CK231" s="65">
        <f t="shared" si="102"/>
        <v>1819.5795849992328</v>
      </c>
      <c r="CL231" s="407"/>
      <c r="CM231" s="41">
        <f>AU231/'1. Väestöennuste'!L231*1000</f>
        <v>2542.8910901972831</v>
      </c>
      <c r="CN231" s="41">
        <f>BC231/'1. Väestöennuste'!M231*1000</f>
        <v>195.50143137555662</v>
      </c>
      <c r="CO231" s="41">
        <f>BK231/'1. Väestöennuste'!N231*1000</f>
        <v>202.87094274411484</v>
      </c>
      <c r="CP231" s="41">
        <f>BQ231/'1. Väestöennuste'!O231*1000</f>
        <v>334.47512478756801</v>
      </c>
      <c r="CQ231" s="41">
        <f>BY231/'1. Väestöennuste'!P231*1000</f>
        <v>320.28644194100417</v>
      </c>
      <c r="CR231" s="41">
        <f>CE231/'1. Väestöennuste'!Q231*1000</f>
        <v>292.40121859084405</v>
      </c>
      <c r="CS231" s="41">
        <f>CK231/'1. Väestöennuste'!R231*1000</f>
        <v>414.57725791734629</v>
      </c>
      <c r="CT231" s="41"/>
      <c r="CV231" s="41">
        <f t="shared" si="103"/>
        <v>2931.4745849992328</v>
      </c>
      <c r="CW231" s="41">
        <f t="shared" si="104"/>
        <v>723.31150519805033</v>
      </c>
      <c r="CX231" s="41">
        <f t="shared" si="105"/>
        <v>-2347.3896588217267</v>
      </c>
      <c r="CY231" s="41">
        <f t="shared" si="106"/>
        <v>7.3695113685582214</v>
      </c>
      <c r="CZ231" s="41">
        <f t="shared" si="107"/>
        <v>131.60418204345316</v>
      </c>
      <c r="DA231" s="41">
        <f t="shared" si="108"/>
        <v>-14.188682846563836</v>
      </c>
      <c r="DB231" s="41">
        <f t="shared" si="109"/>
        <v>-27.885223350160118</v>
      </c>
      <c r="DC231" s="41">
        <f t="shared" si="110"/>
        <v>122.17603932650223</v>
      </c>
      <c r="DD231" s="41"/>
      <c r="DE231" s="283">
        <f t="shared" si="111"/>
        <v>-2.6364670989609924</v>
      </c>
      <c r="DF231" s="283">
        <f t="shared" si="112"/>
        <v>0.39751572899646226</v>
      </c>
      <c r="DG231" s="283">
        <f t="shared" si="113"/>
        <v>-0.92311844100236751</v>
      </c>
      <c r="DH231" s="283">
        <f t="shared" si="114"/>
        <v>3.7695434333682457E-2</v>
      </c>
      <c r="DI231" s="283">
        <f t="shared" si="115"/>
        <v>0.64870887995748183</v>
      </c>
      <c r="DJ231" s="283">
        <f t="shared" si="116"/>
        <v>-4.2420741618903225E-2</v>
      </c>
      <c r="DK231" s="283">
        <f t="shared" si="117"/>
        <v>-8.7063389824338852E-2</v>
      </c>
      <c r="DL231" s="283">
        <f t="shared" si="118"/>
        <v>0.41783697043158602</v>
      </c>
    </row>
    <row r="232" spans="1:116" x14ac:dyDescent="0.2">
      <c r="A232" s="30">
        <v>702</v>
      </c>
      <c r="B232" s="31" t="s">
        <v>546</v>
      </c>
      <c r="C232" s="65"/>
      <c r="D232" s="65"/>
      <c r="E232" s="65"/>
      <c r="F232" s="65"/>
      <c r="G232" s="65"/>
      <c r="H232" s="65">
        <v>15463</v>
      </c>
      <c r="I232" s="65"/>
      <c r="J232" s="65"/>
      <c r="K232" s="65"/>
      <c r="L232" s="65"/>
      <c r="M232" s="65"/>
      <c r="N232" s="65">
        <v>14171</v>
      </c>
      <c r="O232" s="65"/>
      <c r="P232" s="65"/>
      <c r="Q232" s="65"/>
      <c r="R232" s="65"/>
      <c r="S232" s="65"/>
      <c r="T232" s="65">
        <v>13606</v>
      </c>
      <c r="U232" s="65"/>
      <c r="V232" s="65"/>
      <c r="W232" s="65"/>
      <c r="X232" s="65"/>
      <c r="Y232" s="65"/>
      <c r="Z232" s="65">
        <v>13276</v>
      </c>
      <c r="AA232" s="65"/>
      <c r="AB232" s="66">
        <v>12823.663352997095</v>
      </c>
      <c r="AC232" s="34">
        <v>79.799585682315083</v>
      </c>
      <c r="AD232" s="180">
        <v>2517.623560508252</v>
      </c>
      <c r="AE232" s="65">
        <v>300</v>
      </c>
      <c r="AF232" s="34">
        <v>-834.86300000000006</v>
      </c>
      <c r="AG232" s="65">
        <f t="shared" si="97"/>
        <v>14886.223499187663</v>
      </c>
      <c r="AH232" s="65"/>
      <c r="AI232" s="66">
        <v>12387.54935366222</v>
      </c>
      <c r="AJ232" s="34">
        <v>-61.329119684882606</v>
      </c>
      <c r="AK232" s="181">
        <v>2674.4723194818903</v>
      </c>
      <c r="AL232" s="65">
        <v>0</v>
      </c>
      <c r="AM232" s="34">
        <v>-1196.4169999999999</v>
      </c>
      <c r="AN232" s="65">
        <f t="shared" si="98"/>
        <v>13804.275553459229</v>
      </c>
      <c r="AO232" s="65"/>
      <c r="AP232" s="41">
        <v>12751.15604115904</v>
      </c>
      <c r="AQ232" s="41">
        <v>-18.76339219739355</v>
      </c>
      <c r="AR232" s="41">
        <v>2990.4195005834213</v>
      </c>
      <c r="AS232" s="65">
        <v>0</v>
      </c>
      <c r="AT232" s="34">
        <v>-912.19600000000003</v>
      </c>
      <c r="AU232" s="65">
        <f t="shared" si="99"/>
        <v>14810.616149545067</v>
      </c>
      <c r="AV232" s="65"/>
      <c r="AW232" s="41">
        <v>1797.5177995999684</v>
      </c>
      <c r="AX232" s="314"/>
      <c r="AY232" s="314"/>
      <c r="AZ232" s="41">
        <v>910.15159470414324</v>
      </c>
      <c r="BA232" s="65">
        <v>0</v>
      </c>
      <c r="BB232" s="34">
        <v>-826.399</v>
      </c>
      <c r="BC232" s="65">
        <f t="shared" si="119"/>
        <v>1881.270394304112</v>
      </c>
      <c r="BD232" s="65"/>
      <c r="BE232" s="41">
        <v>1794.8335254024389</v>
      </c>
      <c r="BF232" s="314"/>
      <c r="BG232" s="314"/>
      <c r="BH232" s="41">
        <v>897.66908635626783</v>
      </c>
      <c r="BI232" s="65">
        <v>0</v>
      </c>
      <c r="BJ232" s="34">
        <v>-821.678</v>
      </c>
      <c r="BK232" s="65">
        <f t="shared" si="120"/>
        <v>1870.8246117587069</v>
      </c>
      <c r="BL232" s="65"/>
      <c r="BM232" s="41">
        <v>2603.087616249707</v>
      </c>
      <c r="BN232" s="41">
        <v>629.94888664532664</v>
      </c>
      <c r="BO232" s="65">
        <v>0</v>
      </c>
      <c r="BP232" s="34">
        <v>-821.678</v>
      </c>
      <c r="BQ232" s="65">
        <f t="shared" si="100"/>
        <v>2411.3585028950338</v>
      </c>
      <c r="BR232" s="65"/>
      <c r="BS232" s="41">
        <v>2750.5204853592936</v>
      </c>
      <c r="BT232" s="314"/>
      <c r="BU232" s="314"/>
      <c r="BV232" s="41">
        <v>673.68201332147748</v>
      </c>
      <c r="BW232" s="65">
        <v>0</v>
      </c>
      <c r="BX232" s="34">
        <v>-821.678</v>
      </c>
      <c r="BY232" s="65">
        <f t="shared" si="121"/>
        <v>2602.5244986807711</v>
      </c>
      <c r="CA232" s="5">
        <v>2571.8926095820943</v>
      </c>
      <c r="CB232" s="407">
        <v>719.28002329810374</v>
      </c>
      <c r="CC232" s="415">
        <v>0</v>
      </c>
      <c r="CD232" s="34">
        <v>-821.678</v>
      </c>
      <c r="CE232" s="65">
        <f t="shared" si="101"/>
        <v>2469.494632880198</v>
      </c>
      <c r="CF232" s="407"/>
      <c r="CG232" s="5">
        <v>3051.4913439024954</v>
      </c>
      <c r="CH232" s="407">
        <v>759.65134572508543</v>
      </c>
      <c r="CI232" s="415">
        <v>0</v>
      </c>
      <c r="CJ232" s="34">
        <v>-821.678</v>
      </c>
      <c r="CK232" s="65">
        <f t="shared" si="102"/>
        <v>2989.4646896275808</v>
      </c>
      <c r="CL232" s="407"/>
      <c r="CM232" s="41">
        <f>AU232/'1. Väestöennuste'!L232*1000</f>
        <v>3600.0525399963699</v>
      </c>
      <c r="CN232" s="41">
        <f>BC232/'1. Väestöennuste'!M232*1000</f>
        <v>456.1761382890669</v>
      </c>
      <c r="CO232" s="41">
        <f>BK232/'1. Väestöennuste'!N232*1000</f>
        <v>479.3299030895995</v>
      </c>
      <c r="CP232" s="41">
        <f>BQ232/'1. Väestöennuste'!O232*1000</f>
        <v>627.63105228918118</v>
      </c>
      <c r="CQ232" s="41">
        <f>BY232/'1. Väestöennuste'!P232*1000</f>
        <v>687.04448222829228</v>
      </c>
      <c r="CR232" s="41">
        <f>CE232/'1. Väestöennuste'!Q232*1000</f>
        <v>660.6459692028352</v>
      </c>
      <c r="CS232" s="41">
        <f>CK232/'1. Väestöennuste'!R232*1000</f>
        <v>809.71416295438269</v>
      </c>
      <c r="CT232" s="41"/>
      <c r="CV232" s="41">
        <f t="shared" si="103"/>
        <v>3811.1426896275807</v>
      </c>
      <c r="CW232" s="41">
        <f t="shared" si="104"/>
        <v>610.58785036878908</v>
      </c>
      <c r="CX232" s="41">
        <f t="shared" si="105"/>
        <v>-3143.8764017073031</v>
      </c>
      <c r="CY232" s="41">
        <f t="shared" si="106"/>
        <v>23.153764800532599</v>
      </c>
      <c r="CZ232" s="41">
        <f t="shared" si="107"/>
        <v>148.30114919958169</v>
      </c>
      <c r="DA232" s="41">
        <f t="shared" si="108"/>
        <v>59.413429939111097</v>
      </c>
      <c r="DB232" s="41">
        <f t="shared" si="109"/>
        <v>-26.398513025457078</v>
      </c>
      <c r="DC232" s="41">
        <f t="shared" si="110"/>
        <v>149.06819375154748</v>
      </c>
      <c r="DD232" s="41"/>
      <c r="DE232" s="283">
        <f t="shared" si="111"/>
        <v>-4.6382435572421077</v>
      </c>
      <c r="DF232" s="283">
        <f t="shared" si="112"/>
        <v>0.20424655038988082</v>
      </c>
      <c r="DG232" s="283">
        <f t="shared" si="113"/>
        <v>-0.87328625534739368</v>
      </c>
      <c r="DH232" s="283">
        <f t="shared" si="114"/>
        <v>5.0756194498408118E-2</v>
      </c>
      <c r="DI232" s="283">
        <f t="shared" si="115"/>
        <v>0.30939265053918463</v>
      </c>
      <c r="DJ232" s="283">
        <f t="shared" si="116"/>
        <v>9.4662986674114311E-2</v>
      </c>
      <c r="DK232" s="283">
        <f t="shared" si="117"/>
        <v>-3.8423295300820622E-2</v>
      </c>
      <c r="DL232" s="283">
        <f t="shared" si="118"/>
        <v>0.22564005640028317</v>
      </c>
    </row>
    <row r="233" spans="1:116" x14ac:dyDescent="0.2">
      <c r="A233" s="30">
        <v>704</v>
      </c>
      <c r="B233" s="31" t="s">
        <v>547</v>
      </c>
      <c r="C233" s="65"/>
      <c r="D233" s="65"/>
      <c r="E233" s="65"/>
      <c r="F233" s="65"/>
      <c r="G233" s="65"/>
      <c r="H233" s="65">
        <v>5544</v>
      </c>
      <c r="I233" s="65"/>
      <c r="J233" s="65"/>
      <c r="K233" s="65"/>
      <c r="L233" s="65"/>
      <c r="M233" s="65"/>
      <c r="N233" s="65">
        <v>5432</v>
      </c>
      <c r="O233" s="65"/>
      <c r="P233" s="65"/>
      <c r="Q233" s="65"/>
      <c r="R233" s="65"/>
      <c r="S233" s="65"/>
      <c r="T233" s="65">
        <v>4781</v>
      </c>
      <c r="U233" s="65"/>
      <c r="V233" s="65"/>
      <c r="W233" s="65"/>
      <c r="X233" s="65"/>
      <c r="Y233" s="65"/>
      <c r="Z233" s="65">
        <v>4794</v>
      </c>
      <c r="AA233" s="65"/>
      <c r="AB233" s="66">
        <v>6562.3301931678498</v>
      </c>
      <c r="AC233" s="34">
        <v>123.60681741841708</v>
      </c>
      <c r="AD233" s="180">
        <v>2274.814214709445</v>
      </c>
      <c r="AE233" s="65">
        <v>0</v>
      </c>
      <c r="AF233" s="34">
        <v>-1188.8320000000001</v>
      </c>
      <c r="AG233" s="65">
        <f t="shared" si="97"/>
        <v>7771.9192252957127</v>
      </c>
      <c r="AH233" s="65"/>
      <c r="AI233" s="66">
        <v>5135.5952127206738</v>
      </c>
      <c r="AJ233" s="34">
        <v>-95.956909765895844</v>
      </c>
      <c r="AK233" s="181">
        <v>2466.5775638397599</v>
      </c>
      <c r="AL233" s="65">
        <v>0</v>
      </c>
      <c r="AM233" s="34">
        <v>-1301.9970000000001</v>
      </c>
      <c r="AN233" s="65">
        <f t="shared" si="98"/>
        <v>6204.2188667945375</v>
      </c>
      <c r="AO233" s="65"/>
      <c r="AP233" s="41">
        <v>5896.8745718143937</v>
      </c>
      <c r="AQ233" s="41">
        <v>-29.687653236390783</v>
      </c>
      <c r="AR233" s="41">
        <v>2868.5517854358491</v>
      </c>
      <c r="AS233" s="65">
        <v>0</v>
      </c>
      <c r="AT233" s="34">
        <v>-971.43100000000004</v>
      </c>
      <c r="AU233" s="65">
        <f t="shared" si="99"/>
        <v>7764.3077040138523</v>
      </c>
      <c r="AV233" s="65"/>
      <c r="AW233" s="41">
        <v>5419.4489643851148</v>
      </c>
      <c r="AX233" s="314"/>
      <c r="AY233" s="314"/>
      <c r="AZ233" s="41">
        <v>871.84256580708995</v>
      </c>
      <c r="BA233" s="65">
        <v>0</v>
      </c>
      <c r="BB233" s="34">
        <v>-976.98500000000001</v>
      </c>
      <c r="BC233" s="65">
        <f t="shared" si="119"/>
        <v>5314.3065301922052</v>
      </c>
      <c r="BD233" s="65"/>
      <c r="BE233" s="41">
        <v>5870.2696895664503</v>
      </c>
      <c r="BF233" s="314"/>
      <c r="BG233" s="314"/>
      <c r="BH233" s="41">
        <v>847.11643534206223</v>
      </c>
      <c r="BI233" s="65">
        <v>0</v>
      </c>
      <c r="BJ233" s="34">
        <v>-1115.771</v>
      </c>
      <c r="BK233" s="65">
        <f t="shared" si="120"/>
        <v>5601.6151249085133</v>
      </c>
      <c r="BL233" s="65"/>
      <c r="BM233" s="41">
        <v>6082.503842988448</v>
      </c>
      <c r="BN233" s="41">
        <v>501.67267540519413</v>
      </c>
      <c r="BO233" s="65">
        <v>0</v>
      </c>
      <c r="BP233" s="34">
        <v>-1115.771</v>
      </c>
      <c r="BQ233" s="65">
        <f t="shared" si="100"/>
        <v>5468.4055183936425</v>
      </c>
      <c r="BR233" s="65"/>
      <c r="BS233" s="41">
        <v>6826.3341017696812</v>
      </c>
      <c r="BT233" s="314"/>
      <c r="BU233" s="314"/>
      <c r="BV233" s="41">
        <v>533.65741877076459</v>
      </c>
      <c r="BW233" s="65">
        <v>0</v>
      </c>
      <c r="BX233" s="34">
        <v>-1115.771</v>
      </c>
      <c r="BY233" s="65">
        <f t="shared" si="121"/>
        <v>6244.2205205404462</v>
      </c>
      <c r="CA233" s="5">
        <v>7187.5794940704336</v>
      </c>
      <c r="CB233" s="407">
        <v>576.74268107402088</v>
      </c>
      <c r="CC233" s="415">
        <v>0</v>
      </c>
      <c r="CD233" s="34">
        <v>-1115.771</v>
      </c>
      <c r="CE233" s="65">
        <f t="shared" si="101"/>
        <v>6648.5511751444546</v>
      </c>
      <c r="CF233" s="407"/>
      <c r="CG233" s="5">
        <v>7421.7142324559891</v>
      </c>
      <c r="CH233" s="407">
        <v>610.50776902636517</v>
      </c>
      <c r="CI233" s="415">
        <v>0</v>
      </c>
      <c r="CJ233" s="34">
        <v>-1115.771</v>
      </c>
      <c r="CK233" s="65">
        <f t="shared" si="102"/>
        <v>6916.4510014823545</v>
      </c>
      <c r="CL233" s="407"/>
      <c r="CM233" s="41">
        <f>AU233/'1. Väestöennuste'!L233*1000</f>
        <v>1207.8885662747125</v>
      </c>
      <c r="CN233" s="41">
        <f>BC233/'1. Väestöennuste'!M233*1000</f>
        <v>825.71574428095175</v>
      </c>
      <c r="CO233" s="41">
        <f>BK233/'1. Väestöennuste'!N233*1000</f>
        <v>851.95667298988792</v>
      </c>
      <c r="CP233" s="41">
        <f>BQ233/'1. Väestöennuste'!O233*1000</f>
        <v>824.17566215427917</v>
      </c>
      <c r="CQ233" s="41">
        <f>BY233/'1. Väestöennuste'!P233*1000</f>
        <v>933.22680026011756</v>
      </c>
      <c r="CR233" s="41">
        <f>CE233/'1. Väestöennuste'!Q233*1000</f>
        <v>985.40850380086772</v>
      </c>
      <c r="CS233" s="41">
        <f>CK233/'1. Väestöennuste'!R233*1000</f>
        <v>1017.5740770166773</v>
      </c>
      <c r="CT233" s="41"/>
      <c r="CV233" s="41">
        <f t="shared" si="103"/>
        <v>8032.2220014823542</v>
      </c>
      <c r="CW233" s="41">
        <f t="shared" si="104"/>
        <v>-5708.562435207642</v>
      </c>
      <c r="CX233" s="41">
        <f t="shared" si="105"/>
        <v>-382.17282199376075</v>
      </c>
      <c r="CY233" s="41">
        <f t="shared" si="106"/>
        <v>26.240928708936167</v>
      </c>
      <c r="CZ233" s="41">
        <f t="shared" si="107"/>
        <v>-27.781010835608754</v>
      </c>
      <c r="DA233" s="41">
        <f t="shared" si="108"/>
        <v>109.05113810583839</v>
      </c>
      <c r="DB233" s="41">
        <f t="shared" si="109"/>
        <v>52.181703540750163</v>
      </c>
      <c r="DC233" s="41">
        <f t="shared" si="110"/>
        <v>32.165573215809559</v>
      </c>
      <c r="DD233" s="41"/>
      <c r="DE233" s="283">
        <f t="shared" si="111"/>
        <v>-7.1988087174539892</v>
      </c>
      <c r="DF233" s="283">
        <f t="shared" si="112"/>
        <v>-0.82536006312835375</v>
      </c>
      <c r="DG233" s="283">
        <f t="shared" si="113"/>
        <v>-0.31639741666934729</v>
      </c>
      <c r="DH233" s="283">
        <f t="shared" si="114"/>
        <v>3.1779615310335692E-2</v>
      </c>
      <c r="DI233" s="283">
        <f t="shared" si="115"/>
        <v>-3.2608478478269393E-2</v>
      </c>
      <c r="DJ233" s="283">
        <f t="shared" si="116"/>
        <v>0.13231540691312585</v>
      </c>
      <c r="DK233" s="283">
        <f t="shared" si="117"/>
        <v>5.5915350401644699E-2</v>
      </c>
      <c r="DL233" s="283">
        <f t="shared" si="118"/>
        <v>3.2641866892504118E-2</v>
      </c>
    </row>
    <row r="234" spans="1:116" x14ac:dyDescent="0.2">
      <c r="A234" s="30">
        <v>707</v>
      </c>
      <c r="B234" s="31" t="s">
        <v>548</v>
      </c>
      <c r="C234" s="65"/>
      <c r="D234" s="65"/>
      <c r="E234" s="65"/>
      <c r="F234" s="65"/>
      <c r="G234" s="65"/>
      <c r="H234" s="65">
        <v>9492</v>
      </c>
      <c r="I234" s="65"/>
      <c r="J234" s="65"/>
      <c r="K234" s="65"/>
      <c r="L234" s="65"/>
      <c r="M234" s="65"/>
      <c r="N234" s="65">
        <v>9747</v>
      </c>
      <c r="O234" s="65"/>
      <c r="P234" s="65"/>
      <c r="Q234" s="65"/>
      <c r="R234" s="65"/>
      <c r="S234" s="65"/>
      <c r="T234" s="65">
        <v>9260</v>
      </c>
      <c r="U234" s="65"/>
      <c r="V234" s="65"/>
      <c r="W234" s="65"/>
      <c r="X234" s="65"/>
      <c r="Y234" s="65"/>
      <c r="Z234" s="65">
        <v>9102</v>
      </c>
      <c r="AA234" s="65"/>
      <c r="AB234" s="66">
        <v>8868.9182270427136</v>
      </c>
      <c r="AC234" s="34">
        <v>29.15918530636468</v>
      </c>
      <c r="AD234" s="180">
        <v>1485.6239307279973</v>
      </c>
      <c r="AE234" s="65">
        <v>0</v>
      </c>
      <c r="AF234" s="34">
        <v>-528.50199999999995</v>
      </c>
      <c r="AG234" s="65">
        <f t="shared" si="97"/>
        <v>9855.1993430770763</v>
      </c>
      <c r="AH234" s="65"/>
      <c r="AI234" s="66">
        <v>8529.3389235275554</v>
      </c>
      <c r="AJ234" s="34">
        <v>-22.500651688702526</v>
      </c>
      <c r="AK234" s="181">
        <v>1566.4558920198397</v>
      </c>
      <c r="AL234" s="65">
        <v>380</v>
      </c>
      <c r="AM234" s="34">
        <v>-551.25800000000004</v>
      </c>
      <c r="AN234" s="65">
        <f t="shared" si="98"/>
        <v>9902.0361638586928</v>
      </c>
      <c r="AO234" s="65"/>
      <c r="AP234" s="41">
        <v>8751.3715673616152</v>
      </c>
      <c r="AQ234" s="41">
        <v>-6.8984323680941255</v>
      </c>
      <c r="AR234" s="41">
        <v>1721.6859576449183</v>
      </c>
      <c r="AS234" s="65">
        <v>0</v>
      </c>
      <c r="AT234" s="34">
        <v>-531.85699999999997</v>
      </c>
      <c r="AU234" s="65">
        <f t="shared" si="99"/>
        <v>9934.3020926384397</v>
      </c>
      <c r="AV234" s="65"/>
      <c r="AW234" s="41">
        <v>1502.7757932068907</v>
      </c>
      <c r="AX234" s="314"/>
      <c r="AY234" s="314"/>
      <c r="AZ234" s="41">
        <v>524.42744226363288</v>
      </c>
      <c r="BA234" s="65">
        <v>100</v>
      </c>
      <c r="BB234" s="34">
        <v>-564.34100000000001</v>
      </c>
      <c r="BC234" s="65">
        <f t="shared" si="119"/>
        <v>1562.8622354705235</v>
      </c>
      <c r="BD234" s="65"/>
      <c r="BE234" s="41">
        <v>813.97372999191145</v>
      </c>
      <c r="BF234" s="314"/>
      <c r="BG234" s="314"/>
      <c r="BH234" s="41">
        <v>524.38282559333197</v>
      </c>
      <c r="BI234" s="65">
        <v>0</v>
      </c>
      <c r="BJ234" s="34">
        <v>-569.84900000000005</v>
      </c>
      <c r="BK234" s="65">
        <f t="shared" si="120"/>
        <v>768.50755558524327</v>
      </c>
      <c r="BL234" s="65"/>
      <c r="BM234" s="41">
        <v>1214.2188684295957</v>
      </c>
      <c r="BN234" s="41">
        <v>420.45981088133232</v>
      </c>
      <c r="BO234" s="65">
        <v>0</v>
      </c>
      <c r="BP234" s="34">
        <v>-569.84900000000005</v>
      </c>
      <c r="BQ234" s="65">
        <f t="shared" si="100"/>
        <v>1064.829679310928</v>
      </c>
      <c r="BR234" s="65"/>
      <c r="BS234" s="41">
        <v>1211.7141491283514</v>
      </c>
      <c r="BT234" s="314"/>
      <c r="BU234" s="314"/>
      <c r="BV234" s="41">
        <v>444.25052171551454</v>
      </c>
      <c r="BW234" s="65">
        <v>0</v>
      </c>
      <c r="BX234" s="34">
        <v>-569.84900000000005</v>
      </c>
      <c r="BY234" s="65">
        <f t="shared" si="121"/>
        <v>1086.1156708438657</v>
      </c>
      <c r="CA234" s="5">
        <v>1214.7502063205279</v>
      </c>
      <c r="CB234" s="407">
        <v>468.00467081210115</v>
      </c>
      <c r="CC234" s="415">
        <v>0</v>
      </c>
      <c r="CD234" s="34">
        <v>-569.84900000000005</v>
      </c>
      <c r="CE234" s="65">
        <f t="shared" si="101"/>
        <v>1112.905877132629</v>
      </c>
      <c r="CF234" s="407"/>
      <c r="CG234" s="5">
        <v>1548.8179168799975</v>
      </c>
      <c r="CH234" s="407">
        <v>489.24034739735532</v>
      </c>
      <c r="CI234" s="415">
        <v>0</v>
      </c>
      <c r="CJ234" s="34">
        <v>-569.84900000000005</v>
      </c>
      <c r="CK234" s="65">
        <f t="shared" si="102"/>
        <v>1468.2092642773528</v>
      </c>
      <c r="CL234" s="407"/>
      <c r="CM234" s="41">
        <f>AU234/'1. Väestöennuste'!L234*1000</f>
        <v>5068.521475835938</v>
      </c>
      <c r="CN234" s="41">
        <f>BC234/'1. Väestöennuste'!M234*1000</f>
        <v>821.69413011068536</v>
      </c>
      <c r="CO234" s="41">
        <f>BK234/'1. Väestöennuste'!N234*1000</f>
        <v>403.20438383276144</v>
      </c>
      <c r="CP234" s="41">
        <f>BQ234/'1. Väestöennuste'!O234*1000</f>
        <v>567.60643886510024</v>
      </c>
      <c r="CQ234" s="41">
        <f>BY234/'1. Väestöennuste'!P234*1000</f>
        <v>588.04313527009515</v>
      </c>
      <c r="CR234" s="41">
        <f>CE234/'1. Väestöennuste'!Q234*1000</f>
        <v>611.82291211249537</v>
      </c>
      <c r="CS234" s="41">
        <f>CK234/'1. Väestöennuste'!R234*1000</f>
        <v>818.85625447705115</v>
      </c>
      <c r="CT234" s="41"/>
      <c r="CV234" s="41">
        <f t="shared" si="103"/>
        <v>2038.0582642773529</v>
      </c>
      <c r="CW234" s="41">
        <f t="shared" si="104"/>
        <v>3600.3122115585852</v>
      </c>
      <c r="CX234" s="41">
        <f t="shared" si="105"/>
        <v>-4246.8273457252526</v>
      </c>
      <c r="CY234" s="41">
        <f t="shared" si="106"/>
        <v>-418.48974627792393</v>
      </c>
      <c r="CZ234" s="41">
        <f t="shared" si="107"/>
        <v>164.40205503233881</v>
      </c>
      <c r="DA234" s="41">
        <f t="shared" si="108"/>
        <v>20.436696404994905</v>
      </c>
      <c r="DB234" s="41">
        <f t="shared" si="109"/>
        <v>23.779776842400224</v>
      </c>
      <c r="DC234" s="41">
        <f t="shared" si="110"/>
        <v>207.03334236455578</v>
      </c>
      <c r="DD234" s="41"/>
      <c r="DE234" s="283">
        <f t="shared" si="111"/>
        <v>-3.5764882701862297</v>
      </c>
      <c r="DF234" s="283">
        <f t="shared" si="112"/>
        <v>2.452179194857925</v>
      </c>
      <c r="DG234" s="283">
        <f t="shared" si="113"/>
        <v>-0.83788287491172853</v>
      </c>
      <c r="DH234" s="283">
        <f t="shared" si="114"/>
        <v>-0.50930112671189676</v>
      </c>
      <c r="DI234" s="283">
        <f t="shared" si="115"/>
        <v>0.40773875886361505</v>
      </c>
      <c r="DJ234" s="283">
        <f t="shared" si="116"/>
        <v>3.6005046817046374E-2</v>
      </c>
      <c r="DK234" s="283">
        <f t="shared" si="117"/>
        <v>4.0438830786584883E-2</v>
      </c>
      <c r="DL234" s="283">
        <f t="shared" si="118"/>
        <v>0.33838769072853669</v>
      </c>
    </row>
    <row r="235" spans="1:116" x14ac:dyDescent="0.2">
      <c r="A235" s="30">
        <v>710</v>
      </c>
      <c r="B235" s="31" t="s">
        <v>549</v>
      </c>
      <c r="C235" s="65"/>
      <c r="D235" s="65"/>
      <c r="E235" s="65"/>
      <c r="F235" s="65"/>
      <c r="G235" s="65"/>
      <c r="H235" s="65">
        <v>54454</v>
      </c>
      <c r="I235" s="65"/>
      <c r="J235" s="65"/>
      <c r="K235" s="65"/>
      <c r="L235" s="65"/>
      <c r="M235" s="65"/>
      <c r="N235" s="65">
        <v>55259</v>
      </c>
      <c r="O235" s="65"/>
      <c r="P235" s="65"/>
      <c r="Q235" s="65"/>
      <c r="R235" s="65"/>
      <c r="S235" s="65"/>
      <c r="T235" s="65">
        <v>53893</v>
      </c>
      <c r="U235" s="65"/>
      <c r="V235" s="65"/>
      <c r="W235" s="65"/>
      <c r="X235" s="65"/>
      <c r="Y235" s="65"/>
      <c r="Z235" s="65">
        <v>54500</v>
      </c>
      <c r="AA235" s="65"/>
      <c r="AB235" s="66">
        <v>55657.113417465669</v>
      </c>
      <c r="AC235" s="34">
        <v>569.51665992852497</v>
      </c>
      <c r="AD235" s="180">
        <v>13029.163436552768</v>
      </c>
      <c r="AE235" s="65">
        <v>1500</v>
      </c>
      <c r="AF235" s="34">
        <v>-982.98</v>
      </c>
      <c r="AG235" s="65">
        <f t="shared" si="97"/>
        <v>69772.813513946967</v>
      </c>
      <c r="AH235" s="65"/>
      <c r="AI235" s="66">
        <v>51947.054817299351</v>
      </c>
      <c r="AJ235" s="34">
        <v>-444.29597478916884</v>
      </c>
      <c r="AK235" s="181">
        <v>13989.587403896532</v>
      </c>
      <c r="AL235" s="65">
        <v>0</v>
      </c>
      <c r="AM235" s="34">
        <v>-1537.316</v>
      </c>
      <c r="AN235" s="65">
        <f t="shared" si="98"/>
        <v>63955.030246406721</v>
      </c>
      <c r="AO235" s="65"/>
      <c r="AP235" s="41">
        <v>56351.876976923981</v>
      </c>
      <c r="AQ235" s="41">
        <v>-137.32941632632532</v>
      </c>
      <c r="AR235" s="41">
        <v>16051.973669276309</v>
      </c>
      <c r="AS235" s="65">
        <v>0</v>
      </c>
      <c r="AT235" s="34">
        <v>-695.99699999999996</v>
      </c>
      <c r="AU235" s="65">
        <f t="shared" si="99"/>
        <v>71570.524229873961</v>
      </c>
      <c r="AV235" s="65"/>
      <c r="AW235" s="41">
        <v>17308.222855773183</v>
      </c>
      <c r="AX235" s="314"/>
      <c r="AY235" s="314"/>
      <c r="AZ235" s="41">
        <v>4902.0208825135342</v>
      </c>
      <c r="BA235" s="65">
        <v>0</v>
      </c>
      <c r="BB235" s="34">
        <v>-784.16300000000001</v>
      </c>
      <c r="BC235" s="65">
        <f t="shared" si="119"/>
        <v>21426.080738286717</v>
      </c>
      <c r="BD235" s="65"/>
      <c r="BE235" s="41">
        <v>14289.818212237144</v>
      </c>
      <c r="BF235" s="314"/>
      <c r="BG235" s="314"/>
      <c r="BH235" s="41">
        <v>4808.8170721378892</v>
      </c>
      <c r="BI235" s="65">
        <v>0</v>
      </c>
      <c r="BJ235" s="34">
        <v>-695.34100000000001</v>
      </c>
      <c r="BK235" s="65">
        <f t="shared" si="120"/>
        <v>18403.294284375032</v>
      </c>
      <c r="BL235" s="65"/>
      <c r="BM235" s="41">
        <v>17041.139823815585</v>
      </c>
      <c r="BN235" s="41">
        <v>2842.7565475336228</v>
      </c>
      <c r="BO235" s="65">
        <v>0</v>
      </c>
      <c r="BP235" s="34">
        <v>-695.34100000000001</v>
      </c>
      <c r="BQ235" s="65">
        <f t="shared" si="100"/>
        <v>19188.555371349208</v>
      </c>
      <c r="BR235" s="65"/>
      <c r="BS235" s="41">
        <v>16693.049556504375</v>
      </c>
      <c r="BT235" s="314"/>
      <c r="BU235" s="314"/>
      <c r="BV235" s="41">
        <v>3072.8646914100727</v>
      </c>
      <c r="BW235" s="65">
        <v>0</v>
      </c>
      <c r="BX235" s="34">
        <v>-695.34100000000001</v>
      </c>
      <c r="BY235" s="65">
        <f t="shared" si="121"/>
        <v>19070.573247914446</v>
      </c>
      <c r="CA235" s="5">
        <v>16659.598711715123</v>
      </c>
      <c r="CB235" s="407">
        <v>3325.746594504436</v>
      </c>
      <c r="CC235" s="415">
        <v>0</v>
      </c>
      <c r="CD235" s="34">
        <v>-695.34100000000001</v>
      </c>
      <c r="CE235" s="65">
        <f t="shared" si="101"/>
        <v>19290.004306219558</v>
      </c>
      <c r="CF235" s="407"/>
      <c r="CG235" s="5">
        <v>18219.30984288235</v>
      </c>
      <c r="CH235" s="407">
        <v>3542.750046614362</v>
      </c>
      <c r="CI235" s="415">
        <v>0</v>
      </c>
      <c r="CJ235" s="34">
        <v>-695.34100000000001</v>
      </c>
      <c r="CK235" s="65">
        <f t="shared" si="102"/>
        <v>21066.718889496711</v>
      </c>
      <c r="CL235" s="407"/>
      <c r="CM235" s="41">
        <f>AU235/'1. Väestöennuste'!L235*1000</f>
        <v>2621.0548681562277</v>
      </c>
      <c r="CN235" s="41">
        <f>BC235/'1. Väestöennuste'!M235*1000</f>
        <v>787.46299894471372</v>
      </c>
      <c r="CO235" s="41">
        <f>BK235/'1. Väestöennuste'!N235*1000</f>
        <v>685.15615355082025</v>
      </c>
      <c r="CP235" s="41">
        <f>BQ235/'1. Väestöennuste'!O235*1000</f>
        <v>718.4303182953015</v>
      </c>
      <c r="CQ235" s="41">
        <f>BY235/'1. Väestöennuste'!P235*1000</f>
        <v>717.91045203713463</v>
      </c>
      <c r="CR235" s="41">
        <f>CE235/'1. Väestöennuste'!Q235*1000</f>
        <v>729.93545639760691</v>
      </c>
      <c r="CS235" s="41">
        <f>CK235/'1. Väestöennuste'!R235*1000</f>
        <v>801.10730841908628</v>
      </c>
      <c r="CT235" s="41"/>
      <c r="CV235" s="41">
        <f t="shared" si="103"/>
        <v>21762.059889496712</v>
      </c>
      <c r="CW235" s="41">
        <f t="shared" si="104"/>
        <v>-18445.664021340483</v>
      </c>
      <c r="CX235" s="41">
        <f t="shared" si="105"/>
        <v>-1833.591869211514</v>
      </c>
      <c r="CY235" s="41">
        <f t="shared" si="106"/>
        <v>-102.30684539389347</v>
      </c>
      <c r="CZ235" s="41">
        <f t="shared" si="107"/>
        <v>33.274164744481254</v>
      </c>
      <c r="DA235" s="41">
        <f t="shared" si="108"/>
        <v>-0.51986625816687138</v>
      </c>
      <c r="DB235" s="41">
        <f t="shared" si="109"/>
        <v>12.02500436047228</v>
      </c>
      <c r="DC235" s="41">
        <f t="shared" si="110"/>
        <v>71.171852021479367</v>
      </c>
      <c r="DD235" s="41"/>
      <c r="DE235" s="283">
        <f t="shared" si="111"/>
        <v>-31.296960612845655</v>
      </c>
      <c r="DF235" s="283">
        <f t="shared" si="112"/>
        <v>-0.87558314695778205</v>
      </c>
      <c r="DG235" s="283">
        <f t="shared" si="113"/>
        <v>-0.69956256600662015</v>
      </c>
      <c r="DH235" s="283">
        <f t="shared" si="114"/>
        <v>-0.1299195587995827</v>
      </c>
      <c r="DI235" s="283">
        <f t="shared" si="115"/>
        <v>4.8564352187509326E-2</v>
      </c>
      <c r="DJ235" s="283">
        <f t="shared" si="116"/>
        <v>-7.2361403037724675E-4</v>
      </c>
      <c r="DK235" s="283">
        <f t="shared" si="117"/>
        <v>1.6750005974074153E-2</v>
      </c>
      <c r="DL235" s="283">
        <f t="shared" si="118"/>
        <v>9.7504308631242848E-2</v>
      </c>
    </row>
    <row r="236" spans="1:116" x14ac:dyDescent="0.2">
      <c r="A236" s="30">
        <v>729</v>
      </c>
      <c r="B236" s="31" t="s">
        <v>550</v>
      </c>
      <c r="C236" s="65"/>
      <c r="D236" s="65"/>
      <c r="E236" s="65"/>
      <c r="F236" s="65"/>
      <c r="G236" s="65"/>
      <c r="H236" s="65">
        <v>30824</v>
      </c>
      <c r="I236" s="65"/>
      <c r="J236" s="65"/>
      <c r="K236" s="65"/>
      <c r="L236" s="65"/>
      <c r="M236" s="65"/>
      <c r="N236" s="65">
        <v>30579</v>
      </c>
      <c r="O236" s="65"/>
      <c r="P236" s="65"/>
      <c r="Q236" s="65"/>
      <c r="R236" s="65"/>
      <c r="S236" s="65"/>
      <c r="T236" s="65">
        <v>30009</v>
      </c>
      <c r="U236" s="65"/>
      <c r="V236" s="65"/>
      <c r="W236" s="65"/>
      <c r="X236" s="65"/>
      <c r="Y236" s="65"/>
      <c r="Z236" s="65">
        <v>30614</v>
      </c>
      <c r="AA236" s="65"/>
      <c r="AB236" s="66">
        <v>29192.856686407245</v>
      </c>
      <c r="AC236" s="34">
        <v>146.6008870158357</v>
      </c>
      <c r="AD236" s="180">
        <v>5277.7660509731941</v>
      </c>
      <c r="AE236" s="65">
        <v>0</v>
      </c>
      <c r="AF236" s="34">
        <v>-60.231999999999999</v>
      </c>
      <c r="AG236" s="65">
        <f t="shared" si="97"/>
        <v>34556.991624396273</v>
      </c>
      <c r="AH236" s="65"/>
      <c r="AI236" s="66">
        <v>28530.202173737431</v>
      </c>
      <c r="AJ236" s="34">
        <v>-113.32406312420196</v>
      </c>
      <c r="AK236" s="181">
        <v>5625.2126290275246</v>
      </c>
      <c r="AL236" s="65">
        <v>0</v>
      </c>
      <c r="AM236" s="34">
        <v>0.16200000000000001</v>
      </c>
      <c r="AN236" s="65">
        <f t="shared" si="98"/>
        <v>34042.252739640753</v>
      </c>
      <c r="AO236" s="65"/>
      <c r="AP236" s="41">
        <v>29692.830284602955</v>
      </c>
      <c r="AQ236" s="41">
        <v>-34.871913204692156</v>
      </c>
      <c r="AR236" s="41">
        <v>6306.2027515819691</v>
      </c>
      <c r="AS236" s="65">
        <v>0</v>
      </c>
      <c r="AT236" s="34">
        <v>297.26100000000002</v>
      </c>
      <c r="AU236" s="65">
        <f t="shared" si="99"/>
        <v>36261.422122980228</v>
      </c>
      <c r="AV236" s="65"/>
      <c r="AW236" s="41">
        <v>6613.7930588428508</v>
      </c>
      <c r="AX236" s="314"/>
      <c r="AY236" s="314"/>
      <c r="AZ236" s="41">
        <v>1905.196320821929</v>
      </c>
      <c r="BA236" s="65">
        <v>0</v>
      </c>
      <c r="BB236" s="34">
        <v>234.73699999999999</v>
      </c>
      <c r="BC236" s="65">
        <f t="shared" si="119"/>
        <v>8753.7263796647785</v>
      </c>
      <c r="BD236" s="65"/>
      <c r="BE236" s="41">
        <v>5151.0292306637393</v>
      </c>
      <c r="BF236" s="314"/>
      <c r="BG236" s="314"/>
      <c r="BH236" s="41">
        <v>1883.1381090361306</v>
      </c>
      <c r="BI236" s="65">
        <v>0</v>
      </c>
      <c r="BJ236" s="34">
        <v>224.18899999999999</v>
      </c>
      <c r="BK236" s="65">
        <f t="shared" si="120"/>
        <v>7258.3563396998707</v>
      </c>
      <c r="BL236" s="65"/>
      <c r="BM236" s="41">
        <v>6552.3391294557214</v>
      </c>
      <c r="BN236" s="41">
        <v>1300.4034432160161</v>
      </c>
      <c r="BO236" s="65">
        <v>0</v>
      </c>
      <c r="BP236" s="34">
        <v>224.18899999999999</v>
      </c>
      <c r="BQ236" s="65">
        <f t="shared" si="100"/>
        <v>8076.9315726717377</v>
      </c>
      <c r="BR236" s="65"/>
      <c r="BS236" s="41">
        <v>6982.967981510802</v>
      </c>
      <c r="BT236" s="314"/>
      <c r="BU236" s="314"/>
      <c r="BV236" s="41">
        <v>1397.1962120578996</v>
      </c>
      <c r="BW236" s="65">
        <v>0</v>
      </c>
      <c r="BX236" s="34">
        <v>224.18899999999999</v>
      </c>
      <c r="BY236" s="65">
        <f t="shared" si="121"/>
        <v>8604.3531935687024</v>
      </c>
      <c r="CA236" s="5">
        <v>6986.8427906993165</v>
      </c>
      <c r="CB236" s="407">
        <v>1493.9653512661857</v>
      </c>
      <c r="CC236" s="415">
        <v>0</v>
      </c>
      <c r="CD236" s="34">
        <v>224.18899999999999</v>
      </c>
      <c r="CE236" s="65">
        <f t="shared" si="101"/>
        <v>8704.997141965503</v>
      </c>
      <c r="CF236" s="407"/>
      <c r="CG236" s="5">
        <v>8093.8898141163399</v>
      </c>
      <c r="CH236" s="407">
        <v>1578.8159517426968</v>
      </c>
      <c r="CI236" s="415">
        <v>0</v>
      </c>
      <c r="CJ236" s="34">
        <v>224.18899999999999</v>
      </c>
      <c r="CK236" s="65">
        <f t="shared" si="102"/>
        <v>9896.8947658590369</v>
      </c>
      <c r="CL236" s="407"/>
      <c r="CM236" s="41">
        <f>AU236/'1. Väestöennuste'!L236*1000</f>
        <v>4040.2698744267659</v>
      </c>
      <c r="CN236" s="41">
        <f>BC236/'1. Väestöennuste'!M236*1000</f>
        <v>989.45703398494163</v>
      </c>
      <c r="CO236" s="41">
        <f>BK236/'1. Väestöennuste'!N236*1000</f>
        <v>832.7623152478053</v>
      </c>
      <c r="CP236" s="41">
        <f>BQ236/'1. Väestöennuste'!O236*1000</f>
        <v>938.95972711831405</v>
      </c>
      <c r="CQ236" s="41">
        <f>BY236/'1. Väestöennuste'!P236*1000</f>
        <v>1013.5885491304867</v>
      </c>
      <c r="CR236" s="41">
        <f>CE236/'1. Väestöennuste'!Q236*1000</f>
        <v>1038.5346148849324</v>
      </c>
      <c r="CS236" s="41">
        <f>CK236/'1. Väestöennuste'!R236*1000</f>
        <v>1195.5659296761339</v>
      </c>
      <c r="CT236" s="41"/>
      <c r="CV236" s="41">
        <f t="shared" si="103"/>
        <v>9672.7057658590365</v>
      </c>
      <c r="CW236" s="41">
        <f t="shared" si="104"/>
        <v>-5856.6248914322714</v>
      </c>
      <c r="CX236" s="41">
        <f t="shared" si="105"/>
        <v>-3050.8128404418244</v>
      </c>
      <c r="CY236" s="41">
        <f t="shared" si="106"/>
        <v>-156.69471873713633</v>
      </c>
      <c r="CZ236" s="41">
        <f t="shared" si="107"/>
        <v>106.19741187050874</v>
      </c>
      <c r="DA236" s="41">
        <f t="shared" si="108"/>
        <v>74.628822012172691</v>
      </c>
      <c r="DB236" s="41">
        <f t="shared" si="109"/>
        <v>24.946065754445613</v>
      </c>
      <c r="DC236" s="41">
        <f t="shared" si="110"/>
        <v>157.03131479120157</v>
      </c>
      <c r="DD236" s="41"/>
      <c r="DE236" s="283">
        <f t="shared" si="111"/>
        <v>43.145318306692289</v>
      </c>
      <c r="DF236" s="283">
        <f t="shared" si="112"/>
        <v>-0.59176388453029327</v>
      </c>
      <c r="DG236" s="283">
        <f t="shared" si="113"/>
        <v>-0.75510125196146061</v>
      </c>
      <c r="DH236" s="283">
        <f t="shared" si="114"/>
        <v>-0.15836434868330124</v>
      </c>
      <c r="DI236" s="283">
        <f t="shared" si="115"/>
        <v>0.12752427664658139</v>
      </c>
      <c r="DJ236" s="283">
        <f t="shared" si="116"/>
        <v>7.9480322591907127E-2</v>
      </c>
      <c r="DK236" s="283">
        <f t="shared" si="117"/>
        <v>2.4611629418905483E-2</v>
      </c>
      <c r="DL236" s="283">
        <f t="shared" si="118"/>
        <v>0.15120469991132682</v>
      </c>
    </row>
    <row r="237" spans="1:116" x14ac:dyDescent="0.2">
      <c r="A237" s="30">
        <v>732</v>
      </c>
      <c r="B237" s="31" t="s">
        <v>551</v>
      </c>
      <c r="C237" s="65"/>
      <c r="D237" s="65"/>
      <c r="E237" s="65"/>
      <c r="F237" s="65"/>
      <c r="G237" s="65"/>
      <c r="H237" s="65">
        <v>19969</v>
      </c>
      <c r="I237" s="65"/>
      <c r="J237" s="65"/>
      <c r="K237" s="65"/>
      <c r="L237" s="65"/>
      <c r="M237" s="65"/>
      <c r="N237" s="65">
        <v>20395</v>
      </c>
      <c r="O237" s="65"/>
      <c r="P237" s="65"/>
      <c r="Q237" s="65"/>
      <c r="R237" s="65"/>
      <c r="S237" s="65"/>
      <c r="T237" s="65">
        <v>20301</v>
      </c>
      <c r="U237" s="65"/>
      <c r="V237" s="65"/>
      <c r="W237" s="65"/>
      <c r="X237" s="65"/>
      <c r="Y237" s="65"/>
      <c r="Z237" s="65">
        <v>20264</v>
      </c>
      <c r="AA237" s="65"/>
      <c r="AB237" s="66">
        <v>19517.052306198962</v>
      </c>
      <c r="AC237" s="34">
        <v>54.337034517722969</v>
      </c>
      <c r="AD237" s="180">
        <v>2125.3766693367784</v>
      </c>
      <c r="AE237" s="65">
        <v>0</v>
      </c>
      <c r="AF237" s="34">
        <v>-39.012</v>
      </c>
      <c r="AG237" s="65">
        <f t="shared" si="97"/>
        <v>21657.754010053468</v>
      </c>
      <c r="AH237" s="65"/>
      <c r="AI237" s="66">
        <v>18838.469553772607</v>
      </c>
      <c r="AJ237" s="34">
        <v>-41.830220817576169</v>
      </c>
      <c r="AK237" s="181">
        <v>2251.0699720825824</v>
      </c>
      <c r="AL237" s="65">
        <v>0</v>
      </c>
      <c r="AM237" s="34">
        <v>-138.41300000000001</v>
      </c>
      <c r="AN237" s="65">
        <f t="shared" si="98"/>
        <v>20909.296305037613</v>
      </c>
      <c r="AO237" s="65"/>
      <c r="AP237" s="41">
        <v>19087.528197446361</v>
      </c>
      <c r="AQ237" s="41">
        <v>-12.797908344645252</v>
      </c>
      <c r="AR237" s="41">
        <v>2488.8920303752561</v>
      </c>
      <c r="AS237" s="65">
        <v>0</v>
      </c>
      <c r="AT237" s="34">
        <v>103.748</v>
      </c>
      <c r="AU237" s="65">
        <f t="shared" si="99"/>
        <v>21667.370319476973</v>
      </c>
      <c r="AV237" s="65"/>
      <c r="AW237" s="41">
        <v>3860.5744779151137</v>
      </c>
      <c r="AX237" s="314"/>
      <c r="AY237" s="314"/>
      <c r="AZ237" s="41">
        <v>755.67573850250028</v>
      </c>
      <c r="BA237" s="65">
        <v>0</v>
      </c>
      <c r="BB237" s="34">
        <v>86.963999999999999</v>
      </c>
      <c r="BC237" s="65">
        <f t="shared" si="119"/>
        <v>4703.2142164176139</v>
      </c>
      <c r="BD237" s="65"/>
      <c r="BE237" s="41">
        <v>3573.8855007482703</v>
      </c>
      <c r="BF237" s="314"/>
      <c r="BG237" s="314"/>
      <c r="BH237" s="41">
        <v>757.1414574457674</v>
      </c>
      <c r="BI237" s="65">
        <v>0</v>
      </c>
      <c r="BJ237" s="34">
        <v>210.62899999999999</v>
      </c>
      <c r="BK237" s="65">
        <f t="shared" si="120"/>
        <v>4541.6559581940373</v>
      </c>
      <c r="BL237" s="65"/>
      <c r="BM237" s="41">
        <v>4084.5472996287167</v>
      </c>
      <c r="BN237" s="41">
        <v>566.71243597628904</v>
      </c>
      <c r="BO237" s="65">
        <v>0</v>
      </c>
      <c r="BP237" s="34">
        <v>210.62899999999999</v>
      </c>
      <c r="BQ237" s="65">
        <f t="shared" si="100"/>
        <v>4861.8887356050054</v>
      </c>
      <c r="BR237" s="65"/>
      <c r="BS237" s="41">
        <v>4363.4680228908592</v>
      </c>
      <c r="BT237" s="314"/>
      <c r="BU237" s="314"/>
      <c r="BV237" s="41">
        <v>600.84299323910068</v>
      </c>
      <c r="BW237" s="65">
        <v>0</v>
      </c>
      <c r="BX237" s="34">
        <v>210.62899999999999</v>
      </c>
      <c r="BY237" s="65">
        <f t="shared" si="121"/>
        <v>5174.94001612996</v>
      </c>
      <c r="CA237" s="5">
        <v>4269.6568368906355</v>
      </c>
      <c r="CB237" s="407">
        <v>633.90194772365078</v>
      </c>
      <c r="CC237" s="415">
        <v>0</v>
      </c>
      <c r="CD237" s="34">
        <v>210.62899999999999</v>
      </c>
      <c r="CE237" s="65">
        <f t="shared" si="101"/>
        <v>5114.1877846142861</v>
      </c>
      <c r="CF237" s="407"/>
      <c r="CG237" s="5">
        <v>4814.4327824052907</v>
      </c>
      <c r="CH237" s="407">
        <v>662.723317540317</v>
      </c>
      <c r="CI237" s="415">
        <v>0</v>
      </c>
      <c r="CJ237" s="34">
        <v>210.62899999999999</v>
      </c>
      <c r="CK237" s="65">
        <f t="shared" si="102"/>
        <v>5687.7850999456077</v>
      </c>
      <c r="CL237" s="407"/>
      <c r="CM237" s="41">
        <f>AU237/'1. Väestöennuste'!L237*1000</f>
        <v>6495.0150837760712</v>
      </c>
      <c r="CN237" s="41">
        <f>BC237/'1. Väestöennuste'!M237*1000</f>
        <v>1406.4635814645974</v>
      </c>
      <c r="CO237" s="41">
        <f>BK237/'1. Väestöennuste'!N237*1000</f>
        <v>1430.893496595475</v>
      </c>
      <c r="CP237" s="41">
        <f>BQ237/'1. Väestöennuste'!O237*1000</f>
        <v>1554.8093174304463</v>
      </c>
      <c r="CQ237" s="41">
        <f>BY237/'1. Väestöennuste'!P237*1000</f>
        <v>1679.6299954982019</v>
      </c>
      <c r="CR237" s="41">
        <f>CE237/'1. Väestöennuste'!Q237*1000</f>
        <v>1683.4061173845575</v>
      </c>
      <c r="CS237" s="41">
        <f>CK237/'1. Väestöennuste'!R237*1000</f>
        <v>1897.8261928413774</v>
      </c>
      <c r="CT237" s="41"/>
      <c r="CV237" s="41">
        <f t="shared" si="103"/>
        <v>5477.1560999456078</v>
      </c>
      <c r="CW237" s="41">
        <f t="shared" si="104"/>
        <v>807.22998383046342</v>
      </c>
      <c r="CX237" s="41">
        <f t="shared" si="105"/>
        <v>-5088.551502311474</v>
      </c>
      <c r="CY237" s="41">
        <f t="shared" si="106"/>
        <v>24.429915130877589</v>
      </c>
      <c r="CZ237" s="41">
        <f t="shared" si="107"/>
        <v>123.91582083497133</v>
      </c>
      <c r="DA237" s="41">
        <f t="shared" si="108"/>
        <v>124.82067806775558</v>
      </c>
      <c r="DB237" s="41">
        <f t="shared" si="109"/>
        <v>3.7761218863556678</v>
      </c>
      <c r="DC237" s="41">
        <f t="shared" si="110"/>
        <v>214.42007545681986</v>
      </c>
      <c r="DD237" s="41"/>
      <c r="DE237" s="283">
        <f t="shared" si="111"/>
        <v>26.003808117332408</v>
      </c>
      <c r="DF237" s="283">
        <f t="shared" si="112"/>
        <v>0.14192343234595536</v>
      </c>
      <c r="DG237" s="283">
        <f t="shared" si="113"/>
        <v>-0.78345491683648139</v>
      </c>
      <c r="DH237" s="283">
        <f t="shared" si="114"/>
        <v>1.7369745973399398E-2</v>
      </c>
      <c r="DI237" s="283">
        <f t="shared" si="115"/>
        <v>8.6600310316459081E-2</v>
      </c>
      <c r="DJ237" s="283">
        <f t="shared" si="116"/>
        <v>8.028037693653671E-2</v>
      </c>
      <c r="DK237" s="283">
        <f t="shared" si="117"/>
        <v>2.2481867414112337E-3</v>
      </c>
      <c r="DL237" s="283">
        <f t="shared" si="118"/>
        <v>0.12737275529802397</v>
      </c>
    </row>
    <row r="238" spans="1:116" x14ac:dyDescent="0.2">
      <c r="A238" s="30">
        <v>734</v>
      </c>
      <c r="B238" s="31" t="s">
        <v>552</v>
      </c>
      <c r="C238" s="65"/>
      <c r="D238" s="65"/>
      <c r="E238" s="65"/>
      <c r="F238" s="65"/>
      <c r="G238" s="65"/>
      <c r="H238" s="65">
        <v>108936</v>
      </c>
      <c r="I238" s="65"/>
      <c r="J238" s="65"/>
      <c r="K238" s="65"/>
      <c r="L238" s="65"/>
      <c r="M238" s="65"/>
      <c r="N238" s="65">
        <v>107647</v>
      </c>
      <c r="O238" s="65"/>
      <c r="P238" s="65"/>
      <c r="Q238" s="65"/>
      <c r="R238" s="65"/>
      <c r="S238" s="65"/>
      <c r="T238" s="65">
        <v>106529</v>
      </c>
      <c r="U238" s="65"/>
      <c r="V238" s="65"/>
      <c r="W238" s="65"/>
      <c r="X238" s="65"/>
      <c r="Y238" s="65"/>
      <c r="Z238" s="65">
        <v>110039</v>
      </c>
      <c r="AA238" s="65"/>
      <c r="AB238" s="66">
        <v>108061.098911618</v>
      </c>
      <c r="AC238" s="34">
        <v>931.55137827390149</v>
      </c>
      <c r="AD238" s="180">
        <v>24205.654024952215</v>
      </c>
      <c r="AE238" s="65">
        <v>1200</v>
      </c>
      <c r="AF238" s="34">
        <v>-2437.9989999999998</v>
      </c>
      <c r="AG238" s="65">
        <f t="shared" si="97"/>
        <v>131960.3053148441</v>
      </c>
      <c r="AH238" s="65"/>
      <c r="AI238" s="66">
        <v>100157.6958205694</v>
      </c>
      <c r="AJ238" s="34">
        <v>-722.85807389153058</v>
      </c>
      <c r="AK238" s="181">
        <v>26087.740498450756</v>
      </c>
      <c r="AL238" s="65">
        <v>0</v>
      </c>
      <c r="AM238" s="34">
        <v>-3852.8870000000002</v>
      </c>
      <c r="AN238" s="65">
        <f t="shared" si="98"/>
        <v>121669.69124512862</v>
      </c>
      <c r="AO238" s="65"/>
      <c r="AP238" s="41">
        <v>103840.10829006165</v>
      </c>
      <c r="AQ238" s="41">
        <v>-223.03208132262034</v>
      </c>
      <c r="AR238" s="41">
        <v>30209.926755465152</v>
      </c>
      <c r="AS238" s="65">
        <v>0</v>
      </c>
      <c r="AT238" s="34">
        <v>-2100.7750000000001</v>
      </c>
      <c r="AU238" s="65">
        <f t="shared" si="99"/>
        <v>131726.22796420418</v>
      </c>
      <c r="AV238" s="65"/>
      <c r="AW238" s="41">
        <v>21540.135561810137</v>
      </c>
      <c r="AX238" s="314"/>
      <c r="AY238" s="314"/>
      <c r="AZ238" s="41">
        <v>9273.8265703098987</v>
      </c>
      <c r="BA238" s="65">
        <v>0</v>
      </c>
      <c r="BB238" s="34">
        <v>-2425.7080000000001</v>
      </c>
      <c r="BC238" s="65">
        <f t="shared" si="119"/>
        <v>28388.254132120037</v>
      </c>
      <c r="BD238" s="65"/>
      <c r="BE238" s="41">
        <v>18376.662111551446</v>
      </c>
      <c r="BF238" s="314"/>
      <c r="BG238" s="314"/>
      <c r="BH238" s="41">
        <v>9133.2036394595834</v>
      </c>
      <c r="BI238" s="65">
        <v>0</v>
      </c>
      <c r="BJ238" s="34">
        <v>-994.20399999999995</v>
      </c>
      <c r="BK238" s="65">
        <f t="shared" si="120"/>
        <v>26515.661751011026</v>
      </c>
      <c r="BL238" s="65"/>
      <c r="BM238" s="41">
        <v>25639.512840270196</v>
      </c>
      <c r="BN238" s="41">
        <v>5994.5968084333035</v>
      </c>
      <c r="BO238" s="65">
        <v>0</v>
      </c>
      <c r="BP238" s="34">
        <v>-994.20399999999995</v>
      </c>
      <c r="BQ238" s="65">
        <f t="shared" si="100"/>
        <v>30639.905648703498</v>
      </c>
      <c r="BR238" s="65"/>
      <c r="BS238" s="41">
        <v>25819.158018723039</v>
      </c>
      <c r="BT238" s="314"/>
      <c r="BU238" s="314"/>
      <c r="BV238" s="41">
        <v>6415.5586149688088</v>
      </c>
      <c r="BW238" s="65">
        <v>0</v>
      </c>
      <c r="BX238" s="34">
        <v>-994.20399999999995</v>
      </c>
      <c r="BY238" s="65">
        <f t="shared" si="121"/>
        <v>31240.512633691847</v>
      </c>
      <c r="CA238" s="5">
        <v>24575.339069045371</v>
      </c>
      <c r="CB238" s="407">
        <v>6879.1658955495923</v>
      </c>
      <c r="CC238" s="415">
        <v>0</v>
      </c>
      <c r="CD238" s="34">
        <v>-994.20399999999995</v>
      </c>
      <c r="CE238" s="65">
        <f t="shared" si="101"/>
        <v>30460.300964594961</v>
      </c>
      <c r="CF238" s="407"/>
      <c r="CG238" s="5">
        <v>26988.391179301016</v>
      </c>
      <c r="CH238" s="407">
        <v>7276.1751590102458</v>
      </c>
      <c r="CI238" s="415">
        <v>0</v>
      </c>
      <c r="CJ238" s="34">
        <v>-994.20399999999995</v>
      </c>
      <c r="CK238" s="65">
        <f t="shared" si="102"/>
        <v>33270.362338311264</v>
      </c>
      <c r="CL238" s="407"/>
      <c r="CM238" s="41">
        <f>AU238/'1. Väestöennuste'!L238*1000</f>
        <v>2586.2648570515025</v>
      </c>
      <c r="CN238" s="41">
        <f>BC238/'1. Väestöennuste'!M238*1000</f>
        <v>555.54313370097918</v>
      </c>
      <c r="CO238" s="41">
        <f>BK238/'1. Väestöennuste'!N238*1000</f>
        <v>532.00501095505763</v>
      </c>
      <c r="CP238" s="41">
        <f>BQ238/'1. Väestöennuste'!O238*1000</f>
        <v>619.68905526865751</v>
      </c>
      <c r="CQ238" s="41">
        <f>BY238/'1. Väestöennuste'!P238*1000</f>
        <v>636.84665444280597</v>
      </c>
      <c r="CR238" s="41">
        <f>CE238/'1. Väestöennuste'!Q238*1000</f>
        <v>625.71231003050389</v>
      </c>
      <c r="CS238" s="41">
        <f>CK238/'1. Väestöennuste'!R238*1000</f>
        <v>688.55651686316492</v>
      </c>
      <c r="CT238" s="41"/>
      <c r="CV238" s="41">
        <f t="shared" si="103"/>
        <v>34264.566338311262</v>
      </c>
      <c r="CW238" s="41">
        <f t="shared" si="104"/>
        <v>-30684.097481259763</v>
      </c>
      <c r="CX238" s="41">
        <f t="shared" si="105"/>
        <v>-2030.7217233505235</v>
      </c>
      <c r="CY238" s="41">
        <f t="shared" si="106"/>
        <v>-23.538122745921555</v>
      </c>
      <c r="CZ238" s="41">
        <f t="shared" si="107"/>
        <v>87.684044313599884</v>
      </c>
      <c r="DA238" s="41">
        <f t="shared" si="108"/>
        <v>17.157599174148459</v>
      </c>
      <c r="DB238" s="41">
        <f t="shared" si="109"/>
        <v>-11.134344412302084</v>
      </c>
      <c r="DC238" s="41">
        <f t="shared" si="110"/>
        <v>62.84420683266103</v>
      </c>
      <c r="DD238" s="41"/>
      <c r="DE238" s="283">
        <f t="shared" si="111"/>
        <v>-34.46432154599183</v>
      </c>
      <c r="DF238" s="283">
        <f t="shared" si="112"/>
        <v>-0.92226520316331562</v>
      </c>
      <c r="DG238" s="283">
        <f t="shared" si="113"/>
        <v>-0.78519480238604344</v>
      </c>
      <c r="DH238" s="283">
        <f t="shared" si="114"/>
        <v>-4.2369568298167355E-2</v>
      </c>
      <c r="DI238" s="283">
        <f t="shared" si="115"/>
        <v>0.16481807973234899</v>
      </c>
      <c r="DJ238" s="283">
        <f t="shared" si="116"/>
        <v>2.7687432960567655E-2</v>
      </c>
      <c r="DK238" s="283">
        <f t="shared" si="117"/>
        <v>-1.7483556417586612E-2</v>
      </c>
      <c r="DL238" s="283">
        <f t="shared" si="118"/>
        <v>0.1004362641188845</v>
      </c>
    </row>
    <row r="239" spans="1:116" x14ac:dyDescent="0.2">
      <c r="A239" s="30">
        <v>738</v>
      </c>
      <c r="B239" s="31" t="s">
        <v>553</v>
      </c>
      <c r="C239" s="65"/>
      <c r="D239" s="65"/>
      <c r="E239" s="65"/>
      <c r="F239" s="65"/>
      <c r="G239" s="65"/>
      <c r="H239" s="65">
        <v>4900</v>
      </c>
      <c r="I239" s="65"/>
      <c r="J239" s="65"/>
      <c r="K239" s="65"/>
      <c r="L239" s="65"/>
      <c r="M239" s="65"/>
      <c r="N239" s="65">
        <v>4641</v>
      </c>
      <c r="O239" s="65"/>
      <c r="P239" s="65"/>
      <c r="Q239" s="65"/>
      <c r="R239" s="65"/>
      <c r="S239" s="65"/>
      <c r="T239" s="65">
        <v>4498</v>
      </c>
      <c r="U239" s="65"/>
      <c r="V239" s="65"/>
      <c r="W239" s="65"/>
      <c r="X239" s="65"/>
      <c r="Y239" s="65"/>
      <c r="Z239" s="65">
        <v>4673</v>
      </c>
      <c r="AA239" s="65"/>
      <c r="AB239" s="66">
        <v>4931.0504162748721</v>
      </c>
      <c r="AC239" s="34">
        <v>58.075588364297609</v>
      </c>
      <c r="AD239" s="180">
        <v>1514.2937410177026</v>
      </c>
      <c r="AE239" s="65">
        <v>410</v>
      </c>
      <c r="AF239" s="34">
        <v>-631.09799999999996</v>
      </c>
      <c r="AG239" s="65">
        <f t="shared" si="97"/>
        <v>6282.3217456568727</v>
      </c>
      <c r="AH239" s="65"/>
      <c r="AI239" s="66">
        <v>4392.6103056811935</v>
      </c>
      <c r="AJ239" s="34">
        <v>-45.237025546478272</v>
      </c>
      <c r="AK239" s="181">
        <v>1628.3453179434762</v>
      </c>
      <c r="AL239" s="65">
        <v>0</v>
      </c>
      <c r="AM239" s="34">
        <v>-723.13499999999999</v>
      </c>
      <c r="AN239" s="65">
        <f t="shared" si="98"/>
        <v>5252.5835980781912</v>
      </c>
      <c r="AO239" s="65"/>
      <c r="AP239" s="41">
        <v>4128.9982773555712</v>
      </c>
      <c r="AQ239" s="41">
        <v>-13.96937071143264</v>
      </c>
      <c r="AR239" s="41">
        <v>1915.1899029749372</v>
      </c>
      <c r="AS239" s="65">
        <v>0</v>
      </c>
      <c r="AT239" s="34">
        <v>-571.952</v>
      </c>
      <c r="AU239" s="65">
        <f t="shared" si="99"/>
        <v>5458.2668096190755</v>
      </c>
      <c r="AV239" s="65"/>
      <c r="AW239" s="41">
        <v>1594.7617027011602</v>
      </c>
      <c r="AX239" s="314"/>
      <c r="AY239" s="314"/>
      <c r="AZ239" s="41">
        <v>584.89915882966909</v>
      </c>
      <c r="BA239" s="65">
        <v>0</v>
      </c>
      <c r="BB239" s="34">
        <v>-698.37599999999998</v>
      </c>
      <c r="BC239" s="65">
        <f t="shared" si="119"/>
        <v>1481.2848615308292</v>
      </c>
      <c r="BD239" s="65"/>
      <c r="BE239" s="41">
        <v>1417.7549838406146</v>
      </c>
      <c r="BF239" s="314"/>
      <c r="BG239" s="314"/>
      <c r="BH239" s="41">
        <v>569.77065239065826</v>
      </c>
      <c r="BI239" s="65">
        <v>0</v>
      </c>
      <c r="BJ239" s="34">
        <v>-481.91199999999998</v>
      </c>
      <c r="BK239" s="65">
        <f t="shared" si="120"/>
        <v>1505.6136362312729</v>
      </c>
      <c r="BL239" s="65"/>
      <c r="BM239" s="41">
        <v>2043.1404035184212</v>
      </c>
      <c r="BN239" s="41">
        <v>367.56632894965242</v>
      </c>
      <c r="BO239" s="65">
        <v>0</v>
      </c>
      <c r="BP239" s="34">
        <v>-481.91199999999998</v>
      </c>
      <c r="BQ239" s="65">
        <f t="shared" si="100"/>
        <v>1928.7947324680738</v>
      </c>
      <c r="BR239" s="65"/>
      <c r="BS239" s="41">
        <v>1933.1562169613608</v>
      </c>
      <c r="BT239" s="314"/>
      <c r="BU239" s="314"/>
      <c r="BV239" s="41">
        <v>392.62980092129129</v>
      </c>
      <c r="BW239" s="65">
        <v>0</v>
      </c>
      <c r="BX239" s="34">
        <v>-481.91199999999998</v>
      </c>
      <c r="BY239" s="65">
        <f t="shared" si="121"/>
        <v>1843.8740178826522</v>
      </c>
      <c r="CA239" s="5">
        <v>1969.4862982738016</v>
      </c>
      <c r="CB239" s="407">
        <v>420.65632510853476</v>
      </c>
      <c r="CC239" s="415">
        <v>0</v>
      </c>
      <c r="CD239" s="34">
        <v>-481.91199999999998</v>
      </c>
      <c r="CE239" s="65">
        <f t="shared" si="101"/>
        <v>1908.2306233823363</v>
      </c>
      <c r="CF239" s="407"/>
      <c r="CG239" s="5">
        <v>1998.4051849012474</v>
      </c>
      <c r="CH239" s="407">
        <v>444.69030292529635</v>
      </c>
      <c r="CI239" s="415">
        <v>0</v>
      </c>
      <c r="CJ239" s="34">
        <v>-481.91199999999998</v>
      </c>
      <c r="CK239" s="65">
        <f t="shared" si="102"/>
        <v>1961.1834878265438</v>
      </c>
      <c r="CL239" s="407"/>
      <c r="CM239" s="41">
        <f>AU239/'1. Väestöennuste'!L239*1000</f>
        <v>1871.1919127936494</v>
      </c>
      <c r="CN239" s="41">
        <f>BC239/'1. Väestöennuste'!M239*1000</f>
        <v>498.07829910249808</v>
      </c>
      <c r="CO239" s="41">
        <f>BK239/'1. Väestöennuste'!N239*1000</f>
        <v>519.17711594181822</v>
      </c>
      <c r="CP239" s="41">
        <f>BQ239/'1. Väestöennuste'!O239*1000</f>
        <v>666.4805571762522</v>
      </c>
      <c r="CQ239" s="41">
        <f>BY239/'1. Väestöennuste'!P239*1000</f>
        <v>638.01869130887621</v>
      </c>
      <c r="CR239" s="41">
        <f>CE239/'1. Väestöennuste'!Q239*1000</f>
        <v>662.35009489147387</v>
      </c>
      <c r="CS239" s="41">
        <f>CK239/'1. Väestöennuste'!R239*1000</f>
        <v>681.91359103843661</v>
      </c>
      <c r="CT239" s="41"/>
      <c r="CV239" s="41">
        <f t="shared" si="103"/>
        <v>2443.0954878265438</v>
      </c>
      <c r="CW239" s="41">
        <f t="shared" si="104"/>
        <v>-89.991575032894389</v>
      </c>
      <c r="CX239" s="41">
        <f t="shared" si="105"/>
        <v>-1373.1136136911514</v>
      </c>
      <c r="CY239" s="41">
        <f t="shared" si="106"/>
        <v>21.098816839320136</v>
      </c>
      <c r="CZ239" s="41">
        <f t="shared" si="107"/>
        <v>147.30344123443399</v>
      </c>
      <c r="DA239" s="41">
        <f t="shared" si="108"/>
        <v>-28.461865867375991</v>
      </c>
      <c r="DB239" s="41">
        <f t="shared" si="109"/>
        <v>24.331403582597659</v>
      </c>
      <c r="DC239" s="41">
        <f t="shared" si="110"/>
        <v>19.563496146962734</v>
      </c>
      <c r="DD239" s="41"/>
      <c r="DE239" s="283">
        <f t="shared" si="111"/>
        <v>-5.0695884058221088</v>
      </c>
      <c r="DF239" s="283">
        <f t="shared" si="112"/>
        <v>-4.5886361776697596E-2</v>
      </c>
      <c r="DG239" s="283">
        <f t="shared" si="113"/>
        <v>-0.73381762944941453</v>
      </c>
      <c r="DH239" s="283">
        <f t="shared" si="114"/>
        <v>4.236044187698744E-2</v>
      </c>
      <c r="DI239" s="283">
        <f t="shared" si="115"/>
        <v>0.28372483437991441</v>
      </c>
      <c r="DJ239" s="283">
        <f t="shared" si="116"/>
        <v>-4.2704720431700739E-2</v>
      </c>
      <c r="DK239" s="283">
        <f t="shared" si="117"/>
        <v>3.8135878954709795E-2</v>
      </c>
      <c r="DL239" s="283">
        <f t="shared" si="118"/>
        <v>2.9536488781160688E-2</v>
      </c>
    </row>
    <row r="240" spans="1:116" x14ac:dyDescent="0.2">
      <c r="A240" s="30">
        <v>739</v>
      </c>
      <c r="B240" s="31" t="s">
        <v>554</v>
      </c>
      <c r="C240" s="65"/>
      <c r="D240" s="65"/>
      <c r="E240" s="65"/>
      <c r="F240" s="65"/>
      <c r="G240" s="65"/>
      <c r="H240" s="65">
        <v>11646</v>
      </c>
      <c r="I240" s="65"/>
      <c r="J240" s="65"/>
      <c r="K240" s="65"/>
      <c r="L240" s="65"/>
      <c r="M240" s="65"/>
      <c r="N240" s="65">
        <v>11861</v>
      </c>
      <c r="O240" s="65"/>
      <c r="P240" s="65"/>
      <c r="Q240" s="65"/>
      <c r="R240" s="65"/>
      <c r="S240" s="65"/>
      <c r="T240" s="65">
        <v>11653</v>
      </c>
      <c r="U240" s="65"/>
      <c r="V240" s="65"/>
      <c r="W240" s="65"/>
      <c r="X240" s="65"/>
      <c r="Y240" s="65"/>
      <c r="Z240" s="65">
        <v>11857</v>
      </c>
      <c r="AA240" s="65"/>
      <c r="AB240" s="66">
        <v>11031.640399293557</v>
      </c>
      <c r="AC240" s="34">
        <v>59.822030779766663</v>
      </c>
      <c r="AD240" s="180">
        <v>2043.3582401219182</v>
      </c>
      <c r="AE240" s="65">
        <v>0</v>
      </c>
      <c r="AF240" s="34">
        <v>249.23500000000001</v>
      </c>
      <c r="AG240" s="65">
        <f t="shared" si="97"/>
        <v>13384.055670195245</v>
      </c>
      <c r="AH240" s="65"/>
      <c r="AI240" s="66">
        <v>10503.404447297535</v>
      </c>
      <c r="AJ240" s="34">
        <v>-46.098399536487975</v>
      </c>
      <c r="AK240" s="181">
        <v>2168.1675662933067</v>
      </c>
      <c r="AL240" s="65">
        <v>0</v>
      </c>
      <c r="AM240" s="34">
        <v>268.53199999999998</v>
      </c>
      <c r="AN240" s="65">
        <f t="shared" si="98"/>
        <v>12894.005614054353</v>
      </c>
      <c r="AO240" s="65"/>
      <c r="AP240" s="41">
        <v>11124.358226277813</v>
      </c>
      <c r="AQ240" s="41">
        <v>-14.115518125051008</v>
      </c>
      <c r="AR240" s="41">
        <v>2424.4471275602532</v>
      </c>
      <c r="AS240" s="65">
        <v>0</v>
      </c>
      <c r="AT240" s="34">
        <v>348.221</v>
      </c>
      <c r="AU240" s="65">
        <f t="shared" si="99"/>
        <v>13882.910835713015</v>
      </c>
      <c r="AV240" s="65"/>
      <c r="AW240" s="41">
        <v>3535.3703992507244</v>
      </c>
      <c r="AX240" s="314"/>
      <c r="AY240" s="314"/>
      <c r="AZ240" s="41">
        <v>719.68442997651562</v>
      </c>
      <c r="BA240" s="65">
        <v>0</v>
      </c>
      <c r="BB240" s="34">
        <v>440.30099999999999</v>
      </c>
      <c r="BC240" s="65">
        <f t="shared" si="119"/>
        <v>4695.3558292272401</v>
      </c>
      <c r="BD240" s="65"/>
      <c r="BE240" s="41">
        <v>2969.4390396604476</v>
      </c>
      <c r="BF240" s="314"/>
      <c r="BG240" s="314"/>
      <c r="BH240" s="41">
        <v>704.28469981162539</v>
      </c>
      <c r="BI240" s="65">
        <v>0</v>
      </c>
      <c r="BJ240" s="34">
        <v>417.64699999999999</v>
      </c>
      <c r="BK240" s="65">
        <f t="shared" si="120"/>
        <v>4091.3707394720732</v>
      </c>
      <c r="BL240" s="65"/>
      <c r="BM240" s="41">
        <v>3525.0662255860207</v>
      </c>
      <c r="BN240" s="41">
        <v>516.2679028190006</v>
      </c>
      <c r="BO240" s="65">
        <v>0</v>
      </c>
      <c r="BP240" s="34">
        <v>417.64699999999999</v>
      </c>
      <c r="BQ240" s="65">
        <f t="shared" si="100"/>
        <v>4458.9811284050211</v>
      </c>
      <c r="BR240" s="65"/>
      <c r="BS240" s="41">
        <v>3122.2753285451222</v>
      </c>
      <c r="BT240" s="314"/>
      <c r="BU240" s="314"/>
      <c r="BV240" s="41">
        <v>549.54943168152408</v>
      </c>
      <c r="BW240" s="65">
        <v>0</v>
      </c>
      <c r="BX240" s="34">
        <v>417.64699999999999</v>
      </c>
      <c r="BY240" s="65">
        <f t="shared" si="121"/>
        <v>4089.4717602266464</v>
      </c>
      <c r="CA240" s="5">
        <v>3058.2472336937103</v>
      </c>
      <c r="CB240" s="407">
        <v>582.76612837548419</v>
      </c>
      <c r="CC240" s="415">
        <v>0</v>
      </c>
      <c r="CD240" s="34">
        <v>417.64699999999999</v>
      </c>
      <c r="CE240" s="65">
        <f t="shared" si="101"/>
        <v>4058.6603620691944</v>
      </c>
      <c r="CF240" s="407"/>
      <c r="CG240" s="5">
        <v>3508.6784733128584</v>
      </c>
      <c r="CH240" s="407">
        <v>611.71167596728151</v>
      </c>
      <c r="CI240" s="415">
        <v>0</v>
      </c>
      <c r="CJ240" s="34">
        <v>417.64699999999999</v>
      </c>
      <c r="CK240" s="65">
        <f t="shared" si="102"/>
        <v>4538.0371492801396</v>
      </c>
      <c r="CL240" s="407"/>
      <c r="CM240" s="41">
        <f>AU240/'1. Väestöennuste'!L240*1000</f>
        <v>4263.7932542116141</v>
      </c>
      <c r="CN240" s="41">
        <f>BC240/'1. Väestöennuste'!M240*1000</f>
        <v>1459.998703117923</v>
      </c>
      <c r="CO240" s="41">
        <f>BK240/'1. Väestöennuste'!N240*1000</f>
        <v>1315.5532924347501</v>
      </c>
      <c r="CP240" s="41">
        <f>BQ240/'1. Väestöennuste'!O240*1000</f>
        <v>1455.7561633708851</v>
      </c>
      <c r="CQ240" s="41">
        <f>BY240/'1. Väestöennuste'!P240*1000</f>
        <v>1355.0270908636999</v>
      </c>
      <c r="CR240" s="41">
        <f>CE240/'1. Väestöennuste'!Q240*1000</f>
        <v>1364.2555838888049</v>
      </c>
      <c r="CS240" s="41">
        <f>CK240/'1. Väestöennuste'!R240*1000</f>
        <v>1547.2339411115374</v>
      </c>
      <c r="CT240" s="41"/>
      <c r="CV240" s="41">
        <f t="shared" si="103"/>
        <v>4120.3901492801397</v>
      </c>
      <c r="CW240" s="41">
        <f t="shared" si="104"/>
        <v>-274.24389506852549</v>
      </c>
      <c r="CX240" s="41">
        <f t="shared" si="105"/>
        <v>-2803.7945510936911</v>
      </c>
      <c r="CY240" s="41">
        <f t="shared" si="106"/>
        <v>-144.4454106831729</v>
      </c>
      <c r="CZ240" s="41">
        <f t="shared" si="107"/>
        <v>140.20287093613501</v>
      </c>
      <c r="DA240" s="41">
        <f t="shared" si="108"/>
        <v>-100.72907250718526</v>
      </c>
      <c r="DB240" s="41">
        <f t="shared" si="109"/>
        <v>9.228493025105081</v>
      </c>
      <c r="DC240" s="41">
        <f t="shared" si="110"/>
        <v>182.97835722273248</v>
      </c>
      <c r="DD240" s="41"/>
      <c r="DE240" s="283">
        <f t="shared" si="111"/>
        <v>9.865724282181219</v>
      </c>
      <c r="DF240" s="283">
        <f t="shared" si="112"/>
        <v>-6.0432271937665448E-2</v>
      </c>
      <c r="DG240" s="283">
        <f t="shared" si="113"/>
        <v>-0.65758220062011885</v>
      </c>
      <c r="DH240" s="283">
        <f t="shared" si="114"/>
        <v>-9.8935300678487076E-2</v>
      </c>
      <c r="DI240" s="283">
        <f t="shared" si="115"/>
        <v>0.10657331158105776</v>
      </c>
      <c r="DJ240" s="283">
        <f t="shared" si="116"/>
        <v>-6.919364316750784E-2</v>
      </c>
      <c r="DK240" s="283">
        <f t="shared" si="117"/>
        <v>6.8105597942125281E-3</v>
      </c>
      <c r="DL240" s="283">
        <f t="shared" si="118"/>
        <v>0.13412322396449602</v>
      </c>
    </row>
    <row r="241" spans="1:116" x14ac:dyDescent="0.2">
      <c r="A241" s="30">
        <v>740</v>
      </c>
      <c r="B241" s="31" t="s">
        <v>555</v>
      </c>
      <c r="C241" s="65"/>
      <c r="D241" s="65"/>
      <c r="E241" s="65"/>
      <c r="F241" s="65"/>
      <c r="G241" s="65"/>
      <c r="H241" s="65">
        <v>80177</v>
      </c>
      <c r="I241" s="65"/>
      <c r="J241" s="65"/>
      <c r="K241" s="65"/>
      <c r="L241" s="65"/>
      <c r="M241" s="65"/>
      <c r="N241" s="65">
        <v>81719</v>
      </c>
      <c r="O241" s="65"/>
      <c r="P241" s="65"/>
      <c r="Q241" s="65"/>
      <c r="R241" s="65"/>
      <c r="S241" s="65"/>
      <c r="T241" s="65">
        <v>83774</v>
      </c>
      <c r="U241" s="65"/>
      <c r="V241" s="65"/>
      <c r="W241" s="65"/>
      <c r="X241" s="65"/>
      <c r="Y241" s="65"/>
      <c r="Z241" s="65">
        <v>84291</v>
      </c>
      <c r="AA241" s="65"/>
      <c r="AB241" s="66">
        <v>82586.106567080598</v>
      </c>
      <c r="AC241" s="34">
        <v>668.07007411100381</v>
      </c>
      <c r="AD241" s="180">
        <v>17184.919074617472</v>
      </c>
      <c r="AE241" s="65">
        <v>2200</v>
      </c>
      <c r="AF241" s="34">
        <v>-2052.326</v>
      </c>
      <c r="AG241" s="65">
        <f t="shared" si="97"/>
        <v>100586.76971580907</v>
      </c>
      <c r="AH241" s="65"/>
      <c r="AI241" s="66">
        <v>76637.08886254784</v>
      </c>
      <c r="AJ241" s="34">
        <v>-516.69669505804904</v>
      </c>
      <c r="AK241" s="181">
        <v>18329.471285644628</v>
      </c>
      <c r="AL241" s="65">
        <v>0</v>
      </c>
      <c r="AM241" s="34">
        <v>-1863.6769999999999</v>
      </c>
      <c r="AN241" s="65">
        <f t="shared" si="98"/>
        <v>92586.186453134418</v>
      </c>
      <c r="AO241" s="65"/>
      <c r="AP241" s="41">
        <v>79516.258526171063</v>
      </c>
      <c r="AQ241" s="41">
        <v>-158.80913999976826</v>
      </c>
      <c r="AR241" s="41">
        <v>20355.049122418426</v>
      </c>
      <c r="AS241" s="65">
        <v>0</v>
      </c>
      <c r="AT241" s="34">
        <v>-1632.289</v>
      </c>
      <c r="AU241" s="65">
        <f t="shared" si="99"/>
        <v>98080.209508589716</v>
      </c>
      <c r="AV241" s="65"/>
      <c r="AW241" s="41">
        <v>5993.0691968927149</v>
      </c>
      <c r="AX241" s="314"/>
      <c r="AY241" s="314"/>
      <c r="AZ241" s="41">
        <v>6155.4992061898329</v>
      </c>
      <c r="BA241" s="65">
        <v>0</v>
      </c>
      <c r="BB241" s="34">
        <v>-1391.607</v>
      </c>
      <c r="BC241" s="65">
        <f t="shared" si="119"/>
        <v>10756.961403082547</v>
      </c>
      <c r="BD241" s="65"/>
      <c r="BE241" s="41">
        <v>-434.18911611824484</v>
      </c>
      <c r="BF241" s="314"/>
      <c r="BG241" s="314"/>
      <c r="BH241" s="41">
        <v>6152.0366844397831</v>
      </c>
      <c r="BI241" s="65">
        <v>0</v>
      </c>
      <c r="BJ241" s="34">
        <v>-1288.4760000000001</v>
      </c>
      <c r="BK241" s="65">
        <f t="shared" si="120"/>
        <v>4429.3715683215378</v>
      </c>
      <c r="BL241" s="65"/>
      <c r="BM241" s="41">
        <v>4208.5200128041488</v>
      </c>
      <c r="BN241" s="41">
        <v>3907.2700544954891</v>
      </c>
      <c r="BO241" s="65">
        <v>0</v>
      </c>
      <c r="BP241" s="34">
        <v>-1288.4760000000001</v>
      </c>
      <c r="BQ241" s="65">
        <f t="shared" si="100"/>
        <v>6827.3140672996378</v>
      </c>
      <c r="BR241" s="65"/>
      <c r="BS241" s="41">
        <v>5231.2299684547024</v>
      </c>
      <c r="BT241" s="314"/>
      <c r="BU241" s="314"/>
      <c r="BV241" s="41">
        <v>4215.2925017182824</v>
      </c>
      <c r="BW241" s="65">
        <v>0</v>
      </c>
      <c r="BX241" s="34">
        <v>-1288.4760000000001</v>
      </c>
      <c r="BY241" s="65">
        <f t="shared" si="121"/>
        <v>8158.0464701729852</v>
      </c>
      <c r="CA241" s="5">
        <v>5271.4907818027013</v>
      </c>
      <c r="CB241" s="407">
        <v>4536.3665141662586</v>
      </c>
      <c r="CC241" s="415">
        <v>0</v>
      </c>
      <c r="CD241" s="34">
        <v>-1288.4760000000001</v>
      </c>
      <c r="CE241" s="65">
        <f t="shared" si="101"/>
        <v>8519.3812959689585</v>
      </c>
      <c r="CF241" s="407"/>
      <c r="CG241" s="5">
        <v>8704.0788410447949</v>
      </c>
      <c r="CH241" s="407">
        <v>4818.1175786518215</v>
      </c>
      <c r="CI241" s="415">
        <v>0</v>
      </c>
      <c r="CJ241" s="34">
        <v>-1288.4760000000001</v>
      </c>
      <c r="CK241" s="65">
        <f t="shared" si="102"/>
        <v>12233.720419696616</v>
      </c>
      <c r="CL241" s="407"/>
      <c r="CM241" s="41">
        <f>AU241/'1. Väestöennuste'!L241*1000</f>
        <v>3056.8866918681538</v>
      </c>
      <c r="CN241" s="41">
        <f>BC241/'1. Väestöennuste'!M241*1000</f>
        <v>337.81243611099922</v>
      </c>
      <c r="CO241" s="41">
        <f>BK241/'1. Väestöennuste'!N241*1000</f>
        <v>144.4957124134383</v>
      </c>
      <c r="CP241" s="41">
        <f>BQ241/'1. Väestöennuste'!O241*1000</f>
        <v>226.01761403978011</v>
      </c>
      <c r="CQ241" s="41">
        <f>BY241/'1. Väestöennuste'!P241*1000</f>
        <v>273.98980588322371</v>
      </c>
      <c r="CR241" s="41">
        <f>CE241/'1. Väestöennuste'!Q241*1000</f>
        <v>290.18943034160907</v>
      </c>
      <c r="CS241" s="41">
        <f>CK241/'1. Väestöennuste'!R241*1000</f>
        <v>422.50804419604958</v>
      </c>
      <c r="CT241" s="41"/>
      <c r="CV241" s="41">
        <f t="shared" si="103"/>
        <v>13522.196419696616</v>
      </c>
      <c r="CW241" s="41">
        <f t="shared" si="104"/>
        <v>-9176.8337278284616</v>
      </c>
      <c r="CX241" s="41">
        <f t="shared" si="105"/>
        <v>-2719.0742557571548</v>
      </c>
      <c r="CY241" s="41">
        <f t="shared" si="106"/>
        <v>-193.31672369756092</v>
      </c>
      <c r="CZ241" s="41">
        <f t="shared" si="107"/>
        <v>81.521901626341815</v>
      </c>
      <c r="DA241" s="41">
        <f t="shared" si="108"/>
        <v>47.972191843443596</v>
      </c>
      <c r="DB241" s="41">
        <f t="shared" si="109"/>
        <v>16.199624458385358</v>
      </c>
      <c r="DC241" s="41">
        <f t="shared" si="110"/>
        <v>132.31861385444051</v>
      </c>
      <c r="DD241" s="41"/>
      <c r="DE241" s="283">
        <f t="shared" si="111"/>
        <v>-10.494721220803969</v>
      </c>
      <c r="DF241" s="283">
        <f t="shared" si="112"/>
        <v>-0.75012616056302173</v>
      </c>
      <c r="DG241" s="283">
        <f t="shared" si="113"/>
        <v>-0.8894913452272738</v>
      </c>
      <c r="DH241" s="283">
        <f t="shared" si="114"/>
        <v>-0.57226052990553744</v>
      </c>
      <c r="DI241" s="283">
        <f t="shared" si="115"/>
        <v>0.56418214952349111</v>
      </c>
      <c r="DJ241" s="283">
        <f t="shared" si="116"/>
        <v>0.21224979321744489</v>
      </c>
      <c r="DK241" s="283">
        <f t="shared" si="117"/>
        <v>5.9124916732448601E-2</v>
      </c>
      <c r="DL241" s="283">
        <f t="shared" si="118"/>
        <v>0.45597323685661439</v>
      </c>
    </row>
    <row r="242" spans="1:116" x14ac:dyDescent="0.2">
      <c r="A242" s="30">
        <v>742</v>
      </c>
      <c r="B242" s="31" t="s">
        <v>556</v>
      </c>
      <c r="C242" s="65"/>
      <c r="D242" s="65"/>
      <c r="E242" s="65"/>
      <c r="F242" s="65"/>
      <c r="G242" s="65"/>
      <c r="H242" s="65">
        <v>4619</v>
      </c>
      <c r="I242" s="65"/>
      <c r="J242" s="65"/>
      <c r="K242" s="65"/>
      <c r="L242" s="65"/>
      <c r="M242" s="65"/>
      <c r="N242" s="65">
        <v>4425</v>
      </c>
      <c r="O242" s="65"/>
      <c r="P242" s="65"/>
      <c r="Q242" s="65"/>
      <c r="R242" s="65"/>
      <c r="S242" s="65"/>
      <c r="T242" s="65">
        <v>4517</v>
      </c>
      <c r="U242" s="65"/>
      <c r="V242" s="65"/>
      <c r="W242" s="65"/>
      <c r="X242" s="65"/>
      <c r="Y242" s="65"/>
      <c r="Z242" s="65">
        <v>4567</v>
      </c>
      <c r="AA242" s="65"/>
      <c r="AB242" s="66">
        <v>4184.6108326411313</v>
      </c>
      <c r="AC242" s="34">
        <v>19.994600667692644</v>
      </c>
      <c r="AD242" s="180">
        <v>642.48785009767403</v>
      </c>
      <c r="AE242" s="65">
        <v>0</v>
      </c>
      <c r="AF242" s="34">
        <v>68.926000000000002</v>
      </c>
      <c r="AG242" s="65">
        <f t="shared" si="97"/>
        <v>4916.0192834064983</v>
      </c>
      <c r="AH242" s="65"/>
      <c r="AI242" s="66">
        <v>4110.3054908227177</v>
      </c>
      <c r="AJ242" s="34">
        <v>-14.927114711313132</v>
      </c>
      <c r="AK242" s="181">
        <v>680.25202432632284</v>
      </c>
      <c r="AL242" s="65">
        <v>0</v>
      </c>
      <c r="AM242" s="34">
        <v>183.376</v>
      </c>
      <c r="AN242" s="65">
        <f t="shared" si="98"/>
        <v>4959.0064004377273</v>
      </c>
      <c r="AO242" s="65"/>
      <c r="AP242" s="41">
        <v>3861.2723380232783</v>
      </c>
      <c r="AQ242" s="41">
        <v>-4.4756636003073149</v>
      </c>
      <c r="AR242" s="41">
        <v>760.1176944382496</v>
      </c>
      <c r="AS242" s="65">
        <v>0</v>
      </c>
      <c r="AT242" s="34">
        <v>236.19</v>
      </c>
      <c r="AU242" s="65">
        <f t="shared" si="99"/>
        <v>4853.1043688612199</v>
      </c>
      <c r="AV242" s="65"/>
      <c r="AW242" s="41">
        <v>826.51559163237721</v>
      </c>
      <c r="AX242" s="314"/>
      <c r="AY242" s="314"/>
      <c r="AZ242" s="41">
        <v>225.03802043149645</v>
      </c>
      <c r="BA242" s="65">
        <v>0</v>
      </c>
      <c r="BB242" s="34">
        <v>327.125</v>
      </c>
      <c r="BC242" s="65">
        <f t="shared" si="119"/>
        <v>1378.6786120638737</v>
      </c>
      <c r="BD242" s="65"/>
      <c r="BE242" s="41">
        <v>1028.7782266131198</v>
      </c>
      <c r="BF242" s="314"/>
      <c r="BG242" s="314"/>
      <c r="BH242" s="41">
        <v>227.8136556850435</v>
      </c>
      <c r="BI242" s="65">
        <v>0</v>
      </c>
      <c r="BJ242" s="34">
        <v>406.339</v>
      </c>
      <c r="BK242" s="65">
        <f t="shared" si="120"/>
        <v>1662.9308822981634</v>
      </c>
      <c r="BL242" s="65"/>
      <c r="BM242" s="41">
        <v>1326.3470945373447</v>
      </c>
      <c r="BN242" s="41">
        <v>164.86787735328116</v>
      </c>
      <c r="BO242" s="65">
        <v>0</v>
      </c>
      <c r="BP242" s="34">
        <v>406.339</v>
      </c>
      <c r="BQ242" s="65">
        <f t="shared" si="100"/>
        <v>1897.5539718906257</v>
      </c>
      <c r="BR242" s="65"/>
      <c r="BS242" s="41">
        <v>1414.9276270085306</v>
      </c>
      <c r="BT242" s="314"/>
      <c r="BU242" s="314"/>
      <c r="BV242" s="41">
        <v>176.01625264431524</v>
      </c>
      <c r="BW242" s="65">
        <v>0</v>
      </c>
      <c r="BX242" s="34">
        <v>406.339</v>
      </c>
      <c r="BY242" s="65">
        <f t="shared" si="121"/>
        <v>1997.2828796528458</v>
      </c>
      <c r="CA242" s="5">
        <v>1458.2204932849349</v>
      </c>
      <c r="CB242" s="407">
        <v>186.97904348047922</v>
      </c>
      <c r="CC242" s="415">
        <v>0</v>
      </c>
      <c r="CD242" s="34">
        <v>406.339</v>
      </c>
      <c r="CE242" s="65">
        <f t="shared" si="101"/>
        <v>2051.5385367654144</v>
      </c>
      <c r="CF242" s="407"/>
      <c r="CG242" s="5">
        <v>1569.7646693199822</v>
      </c>
      <c r="CH242" s="407">
        <v>196.79786716948163</v>
      </c>
      <c r="CI242" s="415">
        <v>0</v>
      </c>
      <c r="CJ242" s="34">
        <v>406.339</v>
      </c>
      <c r="CK242" s="65">
        <f t="shared" si="102"/>
        <v>2172.901536489464</v>
      </c>
      <c r="CL242" s="407"/>
      <c r="CM242" s="41">
        <f>AU242/'1. Väestöennuste'!L242*1000</f>
        <v>4912.0489563372666</v>
      </c>
      <c r="CN242" s="41">
        <f>BC242/'1. Väestöennuste'!M242*1000</f>
        <v>1409.691832376149</v>
      </c>
      <c r="CO242" s="41">
        <f>BK242/'1. Väestöennuste'!N242*1000</f>
        <v>1702.0786922192051</v>
      </c>
      <c r="CP242" s="41">
        <f>BQ242/'1. Väestöennuste'!O242*1000</f>
        <v>1952.2160204636068</v>
      </c>
      <c r="CQ242" s="41">
        <f>BY242/'1. Väestöennuste'!P242*1000</f>
        <v>2065.442481543791</v>
      </c>
      <c r="CR242" s="41">
        <f>CE242/'1. Väestöennuste'!Q242*1000</f>
        <v>2128.1520090927538</v>
      </c>
      <c r="CS242" s="41">
        <f>CK242/'1. Väestöennuste'!R242*1000</f>
        <v>2263.4391005098582</v>
      </c>
      <c r="CT242" s="41"/>
      <c r="CV242" s="41">
        <f t="shared" si="103"/>
        <v>1766.562536489464</v>
      </c>
      <c r="CW242" s="41">
        <f t="shared" si="104"/>
        <v>2739.1474198478027</v>
      </c>
      <c r="CX242" s="41">
        <f t="shared" si="105"/>
        <v>-3502.3571239611174</v>
      </c>
      <c r="CY242" s="41">
        <f t="shared" si="106"/>
        <v>292.38685984305607</v>
      </c>
      <c r="CZ242" s="41">
        <f t="shared" si="107"/>
        <v>250.13732824440171</v>
      </c>
      <c r="DA242" s="41">
        <f t="shared" si="108"/>
        <v>113.22646108018421</v>
      </c>
      <c r="DB242" s="41">
        <f t="shared" si="109"/>
        <v>62.709527548962797</v>
      </c>
      <c r="DC242" s="41">
        <f t="shared" si="110"/>
        <v>135.28709141710442</v>
      </c>
      <c r="DD242" s="41"/>
      <c r="DE242" s="283">
        <f t="shared" si="111"/>
        <v>4.3475091893455069</v>
      </c>
      <c r="DF242" s="283">
        <f t="shared" si="112"/>
        <v>1.2605943591319673</v>
      </c>
      <c r="DG242" s="283">
        <f t="shared" si="113"/>
        <v>-0.71301348074769511</v>
      </c>
      <c r="DH242" s="283">
        <f t="shared" si="114"/>
        <v>0.20741189891851364</v>
      </c>
      <c r="DI242" s="283">
        <f t="shared" si="115"/>
        <v>0.14695990813342921</v>
      </c>
      <c r="DJ242" s="283">
        <f t="shared" si="116"/>
        <v>5.7998940636341825E-2</v>
      </c>
      <c r="DK242" s="283">
        <f t="shared" si="117"/>
        <v>3.0361304228666435E-2</v>
      </c>
      <c r="DL242" s="283">
        <f t="shared" si="118"/>
        <v>6.3570220002648337E-2</v>
      </c>
    </row>
    <row r="243" spans="1:116" x14ac:dyDescent="0.2">
      <c r="A243" s="30">
        <v>743</v>
      </c>
      <c r="B243" s="31" t="s">
        <v>557</v>
      </c>
      <c r="C243" s="65"/>
      <c r="D243" s="65"/>
      <c r="E243" s="65"/>
      <c r="F243" s="65"/>
      <c r="G243" s="65"/>
      <c r="H243" s="65">
        <v>93849</v>
      </c>
      <c r="I243" s="65"/>
      <c r="J243" s="65"/>
      <c r="K243" s="65"/>
      <c r="L243" s="65"/>
      <c r="M243" s="65"/>
      <c r="N243" s="65">
        <v>94591</v>
      </c>
      <c r="O243" s="65"/>
      <c r="P243" s="65"/>
      <c r="Q243" s="65"/>
      <c r="R243" s="65"/>
      <c r="S243" s="65"/>
      <c r="T243" s="65">
        <v>95527</v>
      </c>
      <c r="U243" s="65"/>
      <c r="V243" s="65"/>
      <c r="W243" s="65"/>
      <c r="X243" s="65"/>
      <c r="Y243" s="65"/>
      <c r="Z243" s="65">
        <v>97793</v>
      </c>
      <c r="AA243" s="65"/>
      <c r="AB243" s="66">
        <v>99936.676837857362</v>
      </c>
      <c r="AC243" s="34">
        <v>1280.6887431785062</v>
      </c>
      <c r="AD243" s="180">
        <v>25951.871604328924</v>
      </c>
      <c r="AE243" s="65">
        <v>2800</v>
      </c>
      <c r="AF243" s="34">
        <v>-2978.5030000000002</v>
      </c>
      <c r="AG243" s="65">
        <f t="shared" si="97"/>
        <v>126990.7341853648</v>
      </c>
      <c r="AH243" s="65"/>
      <c r="AI243" s="66">
        <v>91409.701483948491</v>
      </c>
      <c r="AJ243" s="34">
        <v>-993.98766583262386</v>
      </c>
      <c r="AK243" s="181">
        <v>28139.042518646391</v>
      </c>
      <c r="AL243" s="65">
        <v>0</v>
      </c>
      <c r="AM243" s="34">
        <v>-2934.72</v>
      </c>
      <c r="AN243" s="65">
        <f t="shared" si="98"/>
        <v>115620.03633676225</v>
      </c>
      <c r="AO243" s="65"/>
      <c r="AP243" s="41">
        <v>94334.169357771127</v>
      </c>
      <c r="AQ243" s="41">
        <v>-306.2048320038632</v>
      </c>
      <c r="AR243" s="41">
        <v>32369.501429993517</v>
      </c>
      <c r="AS243" s="65">
        <v>0</v>
      </c>
      <c r="AT243" s="34">
        <v>-2752.9540000000002</v>
      </c>
      <c r="AU243" s="65">
        <f t="shared" si="99"/>
        <v>123644.51195576078</v>
      </c>
      <c r="AV243" s="65"/>
      <c r="AW243" s="41">
        <v>23763.125215498865</v>
      </c>
      <c r="AX243" s="314"/>
      <c r="AY243" s="314"/>
      <c r="AZ243" s="41">
        <v>9945.5659278010917</v>
      </c>
      <c r="BA243" s="65">
        <v>0</v>
      </c>
      <c r="BB243" s="34">
        <v>-2659.77</v>
      </c>
      <c r="BC243" s="65">
        <f t="shared" si="119"/>
        <v>31048.921143299955</v>
      </c>
      <c r="BD243" s="65"/>
      <c r="BE243" s="41">
        <v>16828.36012264973</v>
      </c>
      <c r="BF243" s="314"/>
      <c r="BG243" s="314"/>
      <c r="BH243" s="41">
        <v>9891.8099511747787</v>
      </c>
      <c r="BI243" s="65">
        <v>0</v>
      </c>
      <c r="BJ243" s="34">
        <v>-2776.201</v>
      </c>
      <c r="BK243" s="65">
        <f t="shared" si="120"/>
        <v>23943.969073824508</v>
      </c>
      <c r="BL243" s="65"/>
      <c r="BM243" s="41">
        <v>27872.864180103967</v>
      </c>
      <c r="BN243" s="41">
        <v>5286.8905097615652</v>
      </c>
      <c r="BO243" s="65">
        <v>0</v>
      </c>
      <c r="BP243" s="34">
        <v>-2776.201</v>
      </c>
      <c r="BQ243" s="65">
        <f t="shared" si="100"/>
        <v>30383.553689865534</v>
      </c>
      <c r="BR243" s="65"/>
      <c r="BS243" s="41">
        <v>28912.125303842775</v>
      </c>
      <c r="BT243" s="314"/>
      <c r="BU243" s="314"/>
      <c r="BV243" s="41">
        <v>5778.2095552163937</v>
      </c>
      <c r="BW243" s="65">
        <v>0</v>
      </c>
      <c r="BX243" s="34">
        <v>-2776.201</v>
      </c>
      <c r="BY243" s="65">
        <f t="shared" si="121"/>
        <v>31914.133859059169</v>
      </c>
      <c r="CA243" s="5">
        <v>30617.778919005952</v>
      </c>
      <c r="CB243" s="407">
        <v>6321.4180208835414</v>
      </c>
      <c r="CC243" s="415">
        <v>0</v>
      </c>
      <c r="CD243" s="34">
        <v>-2776.201</v>
      </c>
      <c r="CE243" s="65">
        <f t="shared" si="101"/>
        <v>34162.995939889493</v>
      </c>
      <c r="CF243" s="407"/>
      <c r="CG243" s="5">
        <v>31505.267833711532</v>
      </c>
      <c r="CH243" s="407">
        <v>6781.6201009048882</v>
      </c>
      <c r="CI243" s="415">
        <v>0</v>
      </c>
      <c r="CJ243" s="34">
        <v>-2776.201</v>
      </c>
      <c r="CK243" s="65">
        <f t="shared" si="102"/>
        <v>35510.686934616417</v>
      </c>
      <c r="CL243" s="407"/>
      <c r="CM243" s="41">
        <f>AU243/'1. Väestöennuste'!L243*1000</f>
        <v>1892.8174143220731</v>
      </c>
      <c r="CN243" s="41">
        <f>BC243/'1. Väestöennuste'!M243*1000</f>
        <v>469.3005009567708</v>
      </c>
      <c r="CO243" s="41">
        <f>BK243/'1. Väestöennuste'!N243*1000</f>
        <v>362.2933737906568</v>
      </c>
      <c r="CP243" s="41">
        <f>BQ243/'1. Väestöennuste'!O243*1000</f>
        <v>456.99862660548297</v>
      </c>
      <c r="CQ243" s="41">
        <f>BY243/'1. Väestöennuste'!P243*1000</f>
        <v>477.36345612234192</v>
      </c>
      <c r="CR243" s="41">
        <f>CE243/'1. Väestöennuste'!Q243*1000</f>
        <v>508.36278592734584</v>
      </c>
      <c r="CS243" s="41">
        <f>CK243/'1. Väestöennuste'!R243*1000</f>
        <v>525.95957898300287</v>
      </c>
      <c r="CT243" s="41"/>
      <c r="CV243" s="41">
        <f t="shared" si="103"/>
        <v>38286.887934616418</v>
      </c>
      <c r="CW243" s="41">
        <f t="shared" si="104"/>
        <v>-33617.869520294342</v>
      </c>
      <c r="CX243" s="41">
        <f t="shared" si="105"/>
        <v>-1423.5169133653023</v>
      </c>
      <c r="CY243" s="41">
        <f t="shared" si="106"/>
        <v>-107.007127166114</v>
      </c>
      <c r="CZ243" s="41">
        <f t="shared" si="107"/>
        <v>94.705252814826167</v>
      </c>
      <c r="DA243" s="41">
        <f t="shared" si="108"/>
        <v>20.364829516858947</v>
      </c>
      <c r="DB243" s="41">
        <f t="shared" si="109"/>
        <v>30.999329805003924</v>
      </c>
      <c r="DC243" s="41">
        <f t="shared" si="110"/>
        <v>17.596793055657031</v>
      </c>
      <c r="DD243" s="41"/>
      <c r="DE243" s="283">
        <f t="shared" si="111"/>
        <v>-13.79110804103032</v>
      </c>
      <c r="DF243" s="283">
        <f t="shared" si="112"/>
        <v>-0.94669724587960802</v>
      </c>
      <c r="DG243" s="283">
        <f t="shared" si="113"/>
        <v>-0.75206245599507315</v>
      </c>
      <c r="DH243" s="283">
        <f t="shared" si="114"/>
        <v>-0.22801409107375079</v>
      </c>
      <c r="DI243" s="283">
        <f t="shared" si="115"/>
        <v>0.26140487148282621</v>
      </c>
      <c r="DJ243" s="283">
        <f t="shared" si="116"/>
        <v>4.4562124109925313E-2</v>
      </c>
      <c r="DK243" s="283">
        <f t="shared" si="117"/>
        <v>6.4938631995028973E-2</v>
      </c>
      <c r="DL243" s="283">
        <f t="shared" si="118"/>
        <v>3.4614636520958732E-2</v>
      </c>
    </row>
    <row r="244" spans="1:116" x14ac:dyDescent="0.2">
      <c r="A244" s="30">
        <v>746</v>
      </c>
      <c r="B244" s="31" t="s">
        <v>558</v>
      </c>
      <c r="C244" s="65"/>
      <c r="D244" s="65"/>
      <c r="E244" s="65"/>
      <c r="F244" s="65"/>
      <c r="G244" s="65"/>
      <c r="H244" s="65">
        <v>18781</v>
      </c>
      <c r="I244" s="65"/>
      <c r="J244" s="65"/>
      <c r="K244" s="65"/>
      <c r="L244" s="65"/>
      <c r="M244" s="65"/>
      <c r="N244" s="65">
        <v>19047</v>
      </c>
      <c r="O244" s="65"/>
      <c r="P244" s="65"/>
      <c r="Q244" s="65"/>
      <c r="R244" s="65"/>
      <c r="S244" s="65"/>
      <c r="T244" s="65">
        <v>18180</v>
      </c>
      <c r="U244" s="65"/>
      <c r="V244" s="65"/>
      <c r="W244" s="65"/>
      <c r="X244" s="65"/>
      <c r="Y244" s="65"/>
      <c r="Z244" s="65">
        <v>17922</v>
      </c>
      <c r="AA244" s="65"/>
      <c r="AB244" s="66">
        <v>18237.216448560976</v>
      </c>
      <c r="AC244" s="34">
        <v>73.123884853023739</v>
      </c>
      <c r="AD244" s="180">
        <v>2469.7178579706283</v>
      </c>
      <c r="AE244" s="65">
        <v>0</v>
      </c>
      <c r="AF244" s="34">
        <v>161.62</v>
      </c>
      <c r="AG244" s="65">
        <f t="shared" si="97"/>
        <v>20941.678191384624</v>
      </c>
      <c r="AH244" s="65"/>
      <c r="AI244" s="66">
        <v>17377.663221876472</v>
      </c>
      <c r="AJ244" s="34">
        <v>-55.910806697782974</v>
      </c>
      <c r="AK244" s="181">
        <v>2639.6080932241116</v>
      </c>
      <c r="AL244" s="65">
        <v>0</v>
      </c>
      <c r="AM244" s="34">
        <v>178.416</v>
      </c>
      <c r="AN244" s="65">
        <f t="shared" si="98"/>
        <v>20139.776508402803</v>
      </c>
      <c r="AO244" s="65"/>
      <c r="AP244" s="41">
        <v>17892.633772538444</v>
      </c>
      <c r="AQ244" s="41">
        <v>-17.090051301072727</v>
      </c>
      <c r="AR244" s="41">
        <v>2965.8326817373818</v>
      </c>
      <c r="AS244" s="65">
        <v>0</v>
      </c>
      <c r="AT244" s="34">
        <v>253.578</v>
      </c>
      <c r="AU244" s="65">
        <f t="shared" si="99"/>
        <v>21094.954402974756</v>
      </c>
      <c r="AV244" s="65"/>
      <c r="AW244" s="41">
        <v>6347.2003588535881</v>
      </c>
      <c r="AX244" s="314"/>
      <c r="AY244" s="314"/>
      <c r="AZ244" s="41">
        <v>923.55017904456656</v>
      </c>
      <c r="BA244" s="65">
        <v>0</v>
      </c>
      <c r="BB244" s="34">
        <v>259.971</v>
      </c>
      <c r="BC244" s="65">
        <f t="shared" si="119"/>
        <v>7530.7215378981546</v>
      </c>
      <c r="BD244" s="65"/>
      <c r="BE244" s="41">
        <v>6050.7626050651461</v>
      </c>
      <c r="BF244" s="314"/>
      <c r="BG244" s="314"/>
      <c r="BH244" s="41">
        <v>927.03786173937647</v>
      </c>
      <c r="BI244" s="65">
        <v>0</v>
      </c>
      <c r="BJ244" s="34">
        <v>241.56</v>
      </c>
      <c r="BK244" s="65">
        <f t="shared" si="120"/>
        <v>7219.3604668045227</v>
      </c>
      <c r="BL244" s="65"/>
      <c r="BM244" s="41">
        <v>7022.585203694136</v>
      </c>
      <c r="BN244" s="41">
        <v>577.31358028228965</v>
      </c>
      <c r="BO244" s="65">
        <v>0</v>
      </c>
      <c r="BP244" s="34">
        <v>241.56</v>
      </c>
      <c r="BQ244" s="65">
        <f t="shared" si="100"/>
        <v>7841.4587839764263</v>
      </c>
      <c r="BR244" s="65"/>
      <c r="BS244" s="41">
        <v>7342.6519217093919</v>
      </c>
      <c r="BT244" s="314"/>
      <c r="BU244" s="314"/>
      <c r="BV244" s="41">
        <v>621.61636702627732</v>
      </c>
      <c r="BW244" s="65">
        <v>0</v>
      </c>
      <c r="BX244" s="34">
        <v>241.56</v>
      </c>
      <c r="BY244" s="65">
        <f t="shared" si="121"/>
        <v>8205.828288735669</v>
      </c>
      <c r="CA244" s="5">
        <v>7349.3202529364016</v>
      </c>
      <c r="CB244" s="407">
        <v>666.53040549320303</v>
      </c>
      <c r="CC244" s="415">
        <v>0</v>
      </c>
      <c r="CD244" s="34">
        <v>241.56</v>
      </c>
      <c r="CE244" s="65">
        <f t="shared" si="101"/>
        <v>8257.4106584296042</v>
      </c>
      <c r="CF244" s="407"/>
      <c r="CG244" s="5">
        <v>7782.4251063085158</v>
      </c>
      <c r="CH244" s="407">
        <v>705.76006528269272</v>
      </c>
      <c r="CI244" s="415">
        <v>0</v>
      </c>
      <c r="CJ244" s="34">
        <v>241.56</v>
      </c>
      <c r="CK244" s="65">
        <f t="shared" si="102"/>
        <v>8729.7451715912084</v>
      </c>
      <c r="CL244" s="407"/>
      <c r="CM244" s="41">
        <f>AU244/'1. Väestöennuste'!L244*1000</f>
        <v>4455.1118063304657</v>
      </c>
      <c r="CN244" s="41">
        <f>BC244/'1. Väestöennuste'!M244*1000</f>
        <v>1597.8615611920548</v>
      </c>
      <c r="CO244" s="41">
        <f>BK244/'1. Väestöennuste'!N244*1000</f>
        <v>1579.3831692856099</v>
      </c>
      <c r="CP244" s="41">
        <f>BQ244/'1. Väestöennuste'!O244*1000</f>
        <v>1741.7722754279046</v>
      </c>
      <c r="CQ244" s="41">
        <f>BY244/'1. Väestöennuste'!P244*1000</f>
        <v>1851.9134030096295</v>
      </c>
      <c r="CR244" s="41">
        <f>CE244/'1. Väestöennuste'!Q244*1000</f>
        <v>1892.1655954238324</v>
      </c>
      <c r="CS244" s="41">
        <f>CK244/'1. Väestöennuste'!R244*1000</f>
        <v>2030.6455388674594</v>
      </c>
      <c r="CT244" s="41"/>
      <c r="CV244" s="41">
        <f t="shared" si="103"/>
        <v>8488.1851715912089</v>
      </c>
      <c r="CW244" s="41">
        <f t="shared" si="104"/>
        <v>-4274.6333652607427</v>
      </c>
      <c r="CX244" s="41">
        <f t="shared" si="105"/>
        <v>-2857.2502451384107</v>
      </c>
      <c r="CY244" s="41">
        <f t="shared" si="106"/>
        <v>-18.478391906444813</v>
      </c>
      <c r="CZ244" s="41">
        <f t="shared" si="107"/>
        <v>162.38910614229462</v>
      </c>
      <c r="DA244" s="41">
        <f t="shared" si="108"/>
        <v>110.14112758172496</v>
      </c>
      <c r="DB244" s="41">
        <f t="shared" si="109"/>
        <v>40.252192414202909</v>
      </c>
      <c r="DC244" s="41">
        <f t="shared" si="110"/>
        <v>138.47994344362701</v>
      </c>
      <c r="DD244" s="41"/>
      <c r="DE244" s="283">
        <f t="shared" si="111"/>
        <v>35.139034490773341</v>
      </c>
      <c r="DF244" s="283">
        <f t="shared" si="112"/>
        <v>-0.48966301779019589</v>
      </c>
      <c r="DG244" s="283">
        <f t="shared" si="113"/>
        <v>-0.64134198407286147</v>
      </c>
      <c r="DH244" s="283">
        <f t="shared" si="114"/>
        <v>-1.1564451110933136E-2</v>
      </c>
      <c r="DI244" s="283">
        <f t="shared" si="115"/>
        <v>0.10281805536508713</v>
      </c>
      <c r="DJ244" s="283">
        <f t="shared" si="116"/>
        <v>6.3235090565824034E-2</v>
      </c>
      <c r="DK244" s="283">
        <f t="shared" si="117"/>
        <v>2.1735461468547733E-2</v>
      </c>
      <c r="DL244" s="283">
        <f t="shared" si="118"/>
        <v>7.3185953585953673E-2</v>
      </c>
    </row>
    <row r="245" spans="1:116" x14ac:dyDescent="0.2">
      <c r="A245" s="30">
        <v>747</v>
      </c>
      <c r="B245" s="31" t="s">
        <v>559</v>
      </c>
      <c r="C245" s="65"/>
      <c r="D245" s="65"/>
      <c r="E245" s="65"/>
      <c r="F245" s="65"/>
      <c r="G245" s="65"/>
      <c r="H245" s="65">
        <v>5750</v>
      </c>
      <c r="I245" s="65"/>
      <c r="J245" s="65"/>
      <c r="K245" s="65"/>
      <c r="L245" s="65"/>
      <c r="M245" s="65"/>
      <c r="N245" s="65">
        <v>5131</v>
      </c>
      <c r="O245" s="65"/>
      <c r="P245" s="65"/>
      <c r="Q245" s="65"/>
      <c r="R245" s="65"/>
      <c r="S245" s="65"/>
      <c r="T245" s="65">
        <v>4846</v>
      </c>
      <c r="U245" s="65"/>
      <c r="V245" s="65"/>
      <c r="W245" s="65"/>
      <c r="X245" s="65"/>
      <c r="Y245" s="65"/>
      <c r="Z245" s="65">
        <v>5050</v>
      </c>
      <c r="AA245" s="65"/>
      <c r="AB245" s="66">
        <v>4762.908437107375</v>
      </c>
      <c r="AC245" s="34">
        <v>23.170869425806689</v>
      </c>
      <c r="AD245" s="180">
        <v>955.15002506898475</v>
      </c>
      <c r="AE245" s="65">
        <v>0</v>
      </c>
      <c r="AF245" s="34">
        <v>-199.55799999999999</v>
      </c>
      <c r="AG245" s="65">
        <f t="shared" si="97"/>
        <v>5541.6713316021669</v>
      </c>
      <c r="AH245" s="65"/>
      <c r="AI245" s="66">
        <v>4695.0961463684416</v>
      </c>
      <c r="AJ245" s="34">
        <v>-17.734278628638297</v>
      </c>
      <c r="AK245" s="181">
        <v>1010.7117506158295</v>
      </c>
      <c r="AL245" s="65">
        <v>0</v>
      </c>
      <c r="AM245" s="34">
        <v>-368.899</v>
      </c>
      <c r="AN245" s="65">
        <f t="shared" si="98"/>
        <v>5319.1746183556324</v>
      </c>
      <c r="AO245" s="65"/>
      <c r="AP245" s="41">
        <v>4910.4783868439881</v>
      </c>
      <c r="AQ245" s="41">
        <v>-5.3824983641098916</v>
      </c>
      <c r="AR245" s="41">
        <v>1116.9982608955827</v>
      </c>
      <c r="AS245" s="65">
        <v>0</v>
      </c>
      <c r="AT245" s="34">
        <v>-217.48400000000001</v>
      </c>
      <c r="AU245" s="65">
        <f t="shared" si="99"/>
        <v>5804.6101493754604</v>
      </c>
      <c r="AV245" s="65"/>
      <c r="AW245" s="41">
        <v>1509.7739845797828</v>
      </c>
      <c r="AX245" s="314"/>
      <c r="AY245" s="314"/>
      <c r="AZ245" s="41">
        <v>336.01546016985867</v>
      </c>
      <c r="BA245" s="65">
        <v>0</v>
      </c>
      <c r="BB245" s="34">
        <v>-195.85</v>
      </c>
      <c r="BC245" s="65">
        <f t="shared" si="119"/>
        <v>1649.9394447496416</v>
      </c>
      <c r="BD245" s="65"/>
      <c r="BE245" s="41">
        <v>1305.1110514445654</v>
      </c>
      <c r="BF245" s="314"/>
      <c r="BG245" s="314"/>
      <c r="BH245" s="41">
        <v>335.09158715118673</v>
      </c>
      <c r="BI245" s="65">
        <v>0</v>
      </c>
      <c r="BJ245" s="34">
        <v>-234.94200000000001</v>
      </c>
      <c r="BK245" s="65">
        <f t="shared" si="120"/>
        <v>1405.2606385957522</v>
      </c>
      <c r="BL245" s="65"/>
      <c r="BM245" s="41">
        <v>1576.7320218515326</v>
      </c>
      <c r="BN245" s="41">
        <v>257.12296958199562</v>
      </c>
      <c r="BO245" s="65">
        <v>0</v>
      </c>
      <c r="BP245" s="34">
        <v>-234.94200000000001</v>
      </c>
      <c r="BQ245" s="65">
        <f t="shared" si="100"/>
        <v>1598.9129914335283</v>
      </c>
      <c r="BR245" s="65"/>
      <c r="BS245" s="41">
        <v>1716.5466236789189</v>
      </c>
      <c r="BT245" s="314"/>
      <c r="BU245" s="314"/>
      <c r="BV245" s="41">
        <v>273.35845534151269</v>
      </c>
      <c r="BW245" s="65">
        <v>0</v>
      </c>
      <c r="BX245" s="34">
        <v>-234.94200000000001</v>
      </c>
      <c r="BY245" s="65">
        <f t="shared" si="121"/>
        <v>1754.9630790204315</v>
      </c>
      <c r="CA245" s="5">
        <v>1723.2106753254918</v>
      </c>
      <c r="CB245" s="407">
        <v>289.24839783544178</v>
      </c>
      <c r="CC245" s="415">
        <v>0</v>
      </c>
      <c r="CD245" s="34">
        <v>-234.94200000000001</v>
      </c>
      <c r="CE245" s="65">
        <f t="shared" si="101"/>
        <v>1777.5170731609337</v>
      </c>
      <c r="CF245" s="407"/>
      <c r="CG245" s="5">
        <v>1870.1758903483965</v>
      </c>
      <c r="CH245" s="407">
        <v>303.60522704936608</v>
      </c>
      <c r="CI245" s="415">
        <v>0</v>
      </c>
      <c r="CJ245" s="34">
        <v>-234.94200000000001</v>
      </c>
      <c r="CK245" s="65">
        <f t="shared" si="102"/>
        <v>1938.8391173977625</v>
      </c>
      <c r="CL245" s="407"/>
      <c r="CM245" s="41">
        <f>AU245/'1. Väestöennuste'!L245*1000</f>
        <v>4437.7753435592203</v>
      </c>
      <c r="CN245" s="41">
        <f>BC245/'1. Väestöennuste'!M245*1000</f>
        <v>1286.0011260714275</v>
      </c>
      <c r="CO245" s="41">
        <f>BK245/'1. Väestöennuste'!N245*1000</f>
        <v>1087.6630329688483</v>
      </c>
      <c r="CP245" s="41">
        <f>BQ245/'1. Väestöennuste'!O245*1000</f>
        <v>1254.0494050459047</v>
      </c>
      <c r="CQ245" s="41">
        <f>BY245/'1. Väestöennuste'!P245*1000</f>
        <v>1395.0421931799933</v>
      </c>
      <c r="CR245" s="41">
        <f>CE245/'1. Väestöennuste'!Q245*1000</f>
        <v>1430.0217804995443</v>
      </c>
      <c r="CS245" s="41">
        <f>CK245/'1. Väestöennuste'!R245*1000</f>
        <v>1582.7258101206226</v>
      </c>
      <c r="CT245" s="41"/>
      <c r="CV245" s="41">
        <f t="shared" si="103"/>
        <v>2173.7811173977625</v>
      </c>
      <c r="CW245" s="41">
        <f t="shared" si="104"/>
        <v>2498.9362261614579</v>
      </c>
      <c r="CX245" s="41">
        <f t="shared" si="105"/>
        <v>-3151.7742174877931</v>
      </c>
      <c r="CY245" s="41">
        <f t="shared" si="106"/>
        <v>-198.33809310257925</v>
      </c>
      <c r="CZ245" s="41">
        <f t="shared" si="107"/>
        <v>166.38637207705642</v>
      </c>
      <c r="DA245" s="41">
        <f t="shared" si="108"/>
        <v>140.99278813408864</v>
      </c>
      <c r="DB245" s="41">
        <f t="shared" si="109"/>
        <v>34.979587319551001</v>
      </c>
      <c r="DC245" s="41">
        <f t="shared" si="110"/>
        <v>152.70402962107823</v>
      </c>
      <c r="DD245" s="41"/>
      <c r="DE245" s="283">
        <f t="shared" si="111"/>
        <v>-9.2524159894687301</v>
      </c>
      <c r="DF245" s="283">
        <f t="shared" si="112"/>
        <v>1.2888827152999867</v>
      </c>
      <c r="DG245" s="283">
        <f t="shared" si="113"/>
        <v>-0.71021491028430062</v>
      </c>
      <c r="DH245" s="283">
        <f t="shared" si="114"/>
        <v>-0.15422855321167353</v>
      </c>
      <c r="DI245" s="283">
        <f t="shared" si="115"/>
        <v>0.15297602937087398</v>
      </c>
      <c r="DJ245" s="283">
        <f t="shared" si="116"/>
        <v>0.11243001078488417</v>
      </c>
      <c r="DK245" s="283">
        <f t="shared" si="117"/>
        <v>2.5074214594051215E-2</v>
      </c>
      <c r="DL245" s="283">
        <f t="shared" si="118"/>
        <v>0.10678440825407197</v>
      </c>
    </row>
    <row r="246" spans="1:116" x14ac:dyDescent="0.2">
      <c r="A246" s="30">
        <v>748</v>
      </c>
      <c r="B246" s="31" t="s">
        <v>560</v>
      </c>
      <c r="C246" s="65"/>
      <c r="D246" s="65"/>
      <c r="E246" s="65"/>
      <c r="F246" s="65"/>
      <c r="G246" s="65"/>
      <c r="H246" s="65">
        <v>18596</v>
      </c>
      <c r="I246" s="65"/>
      <c r="J246" s="65"/>
      <c r="K246" s="65"/>
      <c r="L246" s="65"/>
      <c r="M246" s="65"/>
      <c r="N246" s="65">
        <v>18340</v>
      </c>
      <c r="O246" s="65"/>
      <c r="P246" s="65"/>
      <c r="Q246" s="65"/>
      <c r="R246" s="65"/>
      <c r="S246" s="65"/>
      <c r="T246" s="65">
        <v>17934</v>
      </c>
      <c r="U246" s="65"/>
      <c r="V246" s="65"/>
      <c r="W246" s="65"/>
      <c r="X246" s="65"/>
      <c r="Y246" s="65"/>
      <c r="Z246" s="65">
        <v>17753</v>
      </c>
      <c r="AA246" s="65"/>
      <c r="AB246" s="66">
        <v>17006.688490009874</v>
      </c>
      <c r="AC246" s="34">
        <v>82.4549460265644</v>
      </c>
      <c r="AD246" s="180">
        <v>2649.03231816164</v>
      </c>
      <c r="AE246" s="65">
        <v>0</v>
      </c>
      <c r="AF246" s="34">
        <v>57.154000000000003</v>
      </c>
      <c r="AG246" s="65">
        <f t="shared" si="97"/>
        <v>19795.329754198079</v>
      </c>
      <c r="AH246" s="65"/>
      <c r="AI246" s="66">
        <v>16088.668901995581</v>
      </c>
      <c r="AJ246" s="34">
        <v>-63.928033759726937</v>
      </c>
      <c r="AK246" s="181">
        <v>2828.2627699038417</v>
      </c>
      <c r="AL246" s="65">
        <v>0</v>
      </c>
      <c r="AM246" s="34">
        <v>-41.219000000000001</v>
      </c>
      <c r="AN246" s="65">
        <f t="shared" si="98"/>
        <v>18811.784638139696</v>
      </c>
      <c r="AO246" s="65"/>
      <c r="AP246" s="41">
        <v>16719.302765511002</v>
      </c>
      <c r="AQ246" s="41">
        <v>-19.703443586444926</v>
      </c>
      <c r="AR246" s="41">
        <v>3237.6075872490414</v>
      </c>
      <c r="AS246" s="65">
        <v>0</v>
      </c>
      <c r="AT246" s="34">
        <v>87.043999999999997</v>
      </c>
      <c r="AU246" s="65">
        <f t="shared" si="99"/>
        <v>20024.250909173599</v>
      </c>
      <c r="AV246" s="65"/>
      <c r="AW246" s="41">
        <v>5736.9422947544981</v>
      </c>
      <c r="AX246" s="314"/>
      <c r="AY246" s="314"/>
      <c r="AZ246" s="41">
        <v>1025.424821555355</v>
      </c>
      <c r="BA246" s="65">
        <v>0</v>
      </c>
      <c r="BB246" s="34">
        <v>102.39</v>
      </c>
      <c r="BC246" s="65">
        <f t="shared" si="119"/>
        <v>6864.7571163098537</v>
      </c>
      <c r="BD246" s="65"/>
      <c r="BE246" s="41">
        <v>4812.1102900877859</v>
      </c>
      <c r="BF246" s="314"/>
      <c r="BG246" s="314"/>
      <c r="BH246" s="41">
        <v>1015.680294506805</v>
      </c>
      <c r="BI246" s="65">
        <v>0</v>
      </c>
      <c r="BJ246" s="34">
        <v>484.59300000000002</v>
      </c>
      <c r="BK246" s="65">
        <f t="shared" si="120"/>
        <v>6312.3835845945905</v>
      </c>
      <c r="BL246" s="65"/>
      <c r="BM246" s="41">
        <v>5531.4517509134166</v>
      </c>
      <c r="BN246" s="41">
        <v>675.29842087398401</v>
      </c>
      <c r="BO246" s="65">
        <v>0</v>
      </c>
      <c r="BP246" s="34">
        <v>484.59300000000002</v>
      </c>
      <c r="BQ246" s="65">
        <f t="shared" si="100"/>
        <v>6691.3431717874</v>
      </c>
      <c r="BR246" s="65"/>
      <c r="BS246" s="41">
        <v>5866.7647032265877</v>
      </c>
      <c r="BT246" s="314"/>
      <c r="BU246" s="314"/>
      <c r="BV246" s="41">
        <v>721.61566574802964</v>
      </c>
      <c r="BW246" s="65">
        <v>0</v>
      </c>
      <c r="BX246" s="34">
        <v>484.59300000000002</v>
      </c>
      <c r="BY246" s="65">
        <f t="shared" si="121"/>
        <v>7072.9733689746172</v>
      </c>
      <c r="CA246" s="5">
        <v>5823.5704103082526</v>
      </c>
      <c r="CB246" s="407">
        <v>769.5216428729218</v>
      </c>
      <c r="CC246" s="415">
        <v>0</v>
      </c>
      <c r="CD246" s="34">
        <v>484.59300000000002</v>
      </c>
      <c r="CE246" s="65">
        <f t="shared" si="101"/>
        <v>7077.6850531811742</v>
      </c>
      <c r="CF246" s="407"/>
      <c r="CG246" s="5">
        <v>6380.3383388352504</v>
      </c>
      <c r="CH246" s="407">
        <v>811.52788897216828</v>
      </c>
      <c r="CI246" s="415">
        <v>0</v>
      </c>
      <c r="CJ246" s="34">
        <v>484.59300000000002</v>
      </c>
      <c r="CK246" s="65">
        <f t="shared" si="102"/>
        <v>7676.4592278074188</v>
      </c>
      <c r="CL246" s="407"/>
      <c r="CM246" s="41">
        <f>AU246/'1. Väestöennuste'!L246*1000</f>
        <v>4089.0853398353279</v>
      </c>
      <c r="CN246" s="41">
        <f>BC246/'1. Väestöennuste'!M246*1000</f>
        <v>1419.2179277051589</v>
      </c>
      <c r="CO246" s="41">
        <f>BK246/'1. Väestöennuste'!N246*1000</f>
        <v>1355.1703702435789</v>
      </c>
      <c r="CP246" s="41">
        <f>BQ246/'1. Väestöennuste'!O246*1000</f>
        <v>1462.9084328350241</v>
      </c>
      <c r="CQ246" s="41">
        <f>BY246/'1. Väestöennuste'!P246*1000</f>
        <v>1572.4707356546503</v>
      </c>
      <c r="CR246" s="41">
        <f>CE246/'1. Väestöennuste'!Q246*1000</f>
        <v>1599.4768481765364</v>
      </c>
      <c r="CS246" s="41">
        <f>CK246/'1. Väestöennuste'!R246*1000</f>
        <v>1763.0820458905418</v>
      </c>
      <c r="CT246" s="41"/>
      <c r="CV246" s="41">
        <f t="shared" si="103"/>
        <v>7191.8662278074189</v>
      </c>
      <c r="CW246" s="41">
        <f t="shared" si="104"/>
        <v>-3587.3738879720909</v>
      </c>
      <c r="CX246" s="41">
        <f t="shared" si="105"/>
        <v>-2669.8674121301692</v>
      </c>
      <c r="CY246" s="41">
        <f t="shared" si="106"/>
        <v>-64.047557461580027</v>
      </c>
      <c r="CZ246" s="41">
        <f t="shared" si="107"/>
        <v>107.73806259144521</v>
      </c>
      <c r="DA246" s="41">
        <f t="shared" si="108"/>
        <v>109.56230281962621</v>
      </c>
      <c r="DB246" s="41">
        <f t="shared" si="109"/>
        <v>27.006112521886052</v>
      </c>
      <c r="DC246" s="41">
        <f t="shared" si="110"/>
        <v>163.6051977140055</v>
      </c>
      <c r="DD246" s="41"/>
      <c r="DE246" s="283">
        <f t="shared" si="111"/>
        <v>14.841044397685106</v>
      </c>
      <c r="DF246" s="283">
        <f t="shared" si="112"/>
        <v>-0.46732142795432147</v>
      </c>
      <c r="DG246" s="283">
        <f t="shared" si="113"/>
        <v>-0.65292533421121701</v>
      </c>
      <c r="DH246" s="283">
        <f t="shared" si="114"/>
        <v>-4.512876860648412E-2</v>
      </c>
      <c r="DI246" s="283">
        <f t="shared" si="115"/>
        <v>7.9501489227572414E-2</v>
      </c>
      <c r="DJ246" s="283">
        <f t="shared" si="116"/>
        <v>7.4893479564747192E-2</v>
      </c>
      <c r="DK246" s="283">
        <f t="shared" si="117"/>
        <v>1.7174318039466011E-2</v>
      </c>
      <c r="DL246" s="283">
        <f t="shared" si="118"/>
        <v>0.10228669324005632</v>
      </c>
    </row>
    <row r="247" spans="1:116" x14ac:dyDescent="0.2">
      <c r="A247" s="30">
        <v>749</v>
      </c>
      <c r="B247" s="31" t="s">
        <v>561</v>
      </c>
      <c r="C247" s="65"/>
      <c r="D247" s="65"/>
      <c r="E247" s="65"/>
      <c r="F247" s="65"/>
      <c r="G247" s="65"/>
      <c r="H247" s="65">
        <v>29250</v>
      </c>
      <c r="I247" s="65"/>
      <c r="J247" s="65"/>
      <c r="K247" s="65"/>
      <c r="L247" s="65"/>
      <c r="M247" s="65"/>
      <c r="N247" s="65">
        <v>31941</v>
      </c>
      <c r="O247" s="65"/>
      <c r="P247" s="65"/>
      <c r="Q247" s="65"/>
      <c r="R247" s="65"/>
      <c r="S247" s="65"/>
      <c r="T247" s="65">
        <v>33139</v>
      </c>
      <c r="U247" s="65"/>
      <c r="V247" s="65"/>
      <c r="W247" s="65"/>
      <c r="X247" s="65"/>
      <c r="Y247" s="65"/>
      <c r="Z247" s="65">
        <v>33295</v>
      </c>
      <c r="AA247" s="65"/>
      <c r="AB247" s="66">
        <v>37118.760718788275</v>
      </c>
      <c r="AC247" s="34">
        <v>451.03648683565643</v>
      </c>
      <c r="AD247" s="180">
        <v>8041.2220294758845</v>
      </c>
      <c r="AE247" s="65">
        <v>0</v>
      </c>
      <c r="AF247" s="34">
        <v>-1711.2570000000001</v>
      </c>
      <c r="AG247" s="65">
        <f t="shared" si="97"/>
        <v>43899.762235099814</v>
      </c>
      <c r="AH247" s="65"/>
      <c r="AI247" s="66">
        <v>34326.811592456797</v>
      </c>
      <c r="AJ247" s="34">
        <v>-350.37672221268451</v>
      </c>
      <c r="AK247" s="181">
        <v>8695.0801028030255</v>
      </c>
      <c r="AL247" s="65">
        <v>0</v>
      </c>
      <c r="AM247" s="34">
        <v>-1827.8130000000001</v>
      </c>
      <c r="AN247" s="65">
        <f t="shared" si="98"/>
        <v>40843.701973047137</v>
      </c>
      <c r="AO247" s="65"/>
      <c r="AP247" s="41">
        <v>35810.11977049338</v>
      </c>
      <c r="AQ247" s="41">
        <v>-108.34747232287368</v>
      </c>
      <c r="AR247" s="41">
        <v>10171.111007828464</v>
      </c>
      <c r="AS247" s="65">
        <v>0</v>
      </c>
      <c r="AT247" s="34">
        <v>-1847.211</v>
      </c>
      <c r="AU247" s="65">
        <f t="shared" si="99"/>
        <v>44025.672305998967</v>
      </c>
      <c r="AV247" s="65"/>
      <c r="AW247" s="41">
        <v>10254.776109347898</v>
      </c>
      <c r="AX247" s="314"/>
      <c r="AY247" s="314"/>
      <c r="AZ247" s="41">
        <v>3085.504792073616</v>
      </c>
      <c r="BA247" s="65">
        <v>0</v>
      </c>
      <c r="BB247" s="34">
        <v>-2056.4270000000001</v>
      </c>
      <c r="BC247" s="65">
        <f t="shared" si="119"/>
        <v>11283.853901421515</v>
      </c>
      <c r="BD247" s="65"/>
      <c r="BE247" s="41">
        <v>10459.739645525819</v>
      </c>
      <c r="BF247" s="314"/>
      <c r="BG247" s="314"/>
      <c r="BH247" s="41">
        <v>3020.0211533850857</v>
      </c>
      <c r="BI247" s="65">
        <v>0</v>
      </c>
      <c r="BJ247" s="34">
        <v>-1857.249</v>
      </c>
      <c r="BK247" s="65">
        <f t="shared" si="120"/>
        <v>11622.511798910904</v>
      </c>
      <c r="BL247" s="65"/>
      <c r="BM247" s="41">
        <v>11181.863720817211</v>
      </c>
      <c r="BN247" s="41">
        <v>1393.0453994308546</v>
      </c>
      <c r="BO247" s="65">
        <v>0</v>
      </c>
      <c r="BP247" s="34">
        <v>-1857.249</v>
      </c>
      <c r="BQ247" s="65">
        <f t="shared" si="100"/>
        <v>10717.660120248067</v>
      </c>
      <c r="BR247" s="65"/>
      <c r="BS247" s="41">
        <v>8509.4157483053332</v>
      </c>
      <c r="BT247" s="314"/>
      <c r="BU247" s="314"/>
      <c r="BV247" s="41">
        <v>1539.6094141838691</v>
      </c>
      <c r="BW247" s="65">
        <v>0</v>
      </c>
      <c r="BX247" s="34">
        <v>-1857.249</v>
      </c>
      <c r="BY247" s="65">
        <f t="shared" si="121"/>
        <v>8191.7761624892028</v>
      </c>
      <c r="CA247" s="5">
        <v>8564.4460996614962</v>
      </c>
      <c r="CB247" s="407">
        <v>1709.7079052591696</v>
      </c>
      <c r="CC247" s="415">
        <v>0</v>
      </c>
      <c r="CD247" s="34">
        <v>-1857.249</v>
      </c>
      <c r="CE247" s="65">
        <f t="shared" si="101"/>
        <v>8416.9050049206653</v>
      </c>
      <c r="CF247" s="407"/>
      <c r="CG247" s="5">
        <v>9694.6235619115978</v>
      </c>
      <c r="CH247" s="407">
        <v>1852.3071804055182</v>
      </c>
      <c r="CI247" s="415">
        <v>0</v>
      </c>
      <c r="CJ247" s="34">
        <v>-1857.249</v>
      </c>
      <c r="CK247" s="65">
        <f t="shared" si="102"/>
        <v>9689.681742317116</v>
      </c>
      <c r="CL247" s="407"/>
      <c r="CM247" s="41">
        <f>AU247/'1. Väestöennuste'!L247*1000</f>
        <v>2073.5527649773439</v>
      </c>
      <c r="CN247" s="41">
        <f>BC247/'1. Väestöennuste'!M247*1000</f>
        <v>530.00722881265926</v>
      </c>
      <c r="CO247" s="41">
        <f>BK247/'1. Väestöennuste'!N247*1000</f>
        <v>557.5950776679573</v>
      </c>
      <c r="CP247" s="41">
        <f>BQ247/'1. Väestöennuste'!O247*1000</f>
        <v>516.73786800289599</v>
      </c>
      <c r="CQ247" s="41">
        <f>BY247/'1. Väestöennuste'!P247*1000</f>
        <v>397.13851565856419</v>
      </c>
      <c r="CR247" s="41">
        <f>CE247/'1. Väestöennuste'!Q247*1000</f>
        <v>410.42056782332094</v>
      </c>
      <c r="CS247" s="41">
        <f>CK247/'1. Väestöennuste'!R247*1000</f>
        <v>475.28727828111624</v>
      </c>
      <c r="CT247" s="41"/>
      <c r="CV247" s="41">
        <f t="shared" si="103"/>
        <v>11546.930742317116</v>
      </c>
      <c r="CW247" s="41">
        <f t="shared" si="104"/>
        <v>-7616.1289773397721</v>
      </c>
      <c r="CX247" s="41">
        <f t="shared" si="105"/>
        <v>-1543.5455361646846</v>
      </c>
      <c r="CY247" s="41">
        <f t="shared" si="106"/>
        <v>27.587848855298034</v>
      </c>
      <c r="CZ247" s="41">
        <f t="shared" si="107"/>
        <v>-40.857209665061305</v>
      </c>
      <c r="DA247" s="41">
        <f t="shared" si="108"/>
        <v>-119.59935234433181</v>
      </c>
      <c r="DB247" s="41">
        <f t="shared" si="109"/>
        <v>13.282052164756749</v>
      </c>
      <c r="DC247" s="41">
        <f t="shared" si="110"/>
        <v>64.866710457795307</v>
      </c>
      <c r="DD247" s="41"/>
      <c r="DE247" s="283">
        <f t="shared" si="111"/>
        <v>-6.2172227538241325</v>
      </c>
      <c r="DF247" s="283">
        <f t="shared" si="112"/>
        <v>-0.78600403809738639</v>
      </c>
      <c r="DG247" s="283">
        <f t="shared" si="113"/>
        <v>-0.74439655562927021</v>
      </c>
      <c r="DH247" s="283">
        <f t="shared" si="114"/>
        <v>5.2051835061007183E-2</v>
      </c>
      <c r="DI247" s="283">
        <f t="shared" si="115"/>
        <v>-7.3273978378610063E-2</v>
      </c>
      <c r="DJ247" s="283">
        <f t="shared" si="116"/>
        <v>-0.2314507214394079</v>
      </c>
      <c r="DK247" s="283">
        <f t="shared" si="117"/>
        <v>3.3444381849318937E-2</v>
      </c>
      <c r="DL247" s="283">
        <f t="shared" si="118"/>
        <v>0.15804936580497916</v>
      </c>
    </row>
    <row r="248" spans="1:116" x14ac:dyDescent="0.2">
      <c r="A248" s="30">
        <v>751</v>
      </c>
      <c r="B248" s="31" t="s">
        <v>562</v>
      </c>
      <c r="C248" s="65"/>
      <c r="D248" s="65"/>
      <c r="E248" s="65"/>
      <c r="F248" s="65"/>
      <c r="G248" s="65"/>
      <c r="H248" s="65">
        <v>9150</v>
      </c>
      <c r="I248" s="65"/>
      <c r="J248" s="65"/>
      <c r="K248" s="65"/>
      <c r="L248" s="65"/>
      <c r="M248" s="65"/>
      <c r="N248" s="65">
        <v>8746</v>
      </c>
      <c r="O248" s="65"/>
      <c r="P248" s="65"/>
      <c r="Q248" s="65"/>
      <c r="R248" s="65"/>
      <c r="S248" s="65"/>
      <c r="T248" s="65">
        <v>8395</v>
      </c>
      <c r="U248" s="65"/>
      <c r="V248" s="65"/>
      <c r="W248" s="65"/>
      <c r="X248" s="65"/>
      <c r="Y248" s="65"/>
      <c r="Z248" s="65">
        <v>8128</v>
      </c>
      <c r="AA248" s="65"/>
      <c r="AB248" s="66">
        <v>7911.0710010971025</v>
      </c>
      <c r="AC248" s="34">
        <v>60.237342182930234</v>
      </c>
      <c r="AD248" s="180">
        <v>1443.4104640068083</v>
      </c>
      <c r="AE248" s="65">
        <v>420</v>
      </c>
      <c r="AF248" s="34">
        <v>128.05199999999999</v>
      </c>
      <c r="AG248" s="65">
        <f t="shared" si="97"/>
        <v>9962.7708072868409</v>
      </c>
      <c r="AH248" s="65"/>
      <c r="AI248" s="66">
        <v>7649.4295286928191</v>
      </c>
      <c r="AJ248" s="34">
        <v>-47.09867984102106</v>
      </c>
      <c r="AK248" s="181">
        <v>1532.8645795015195</v>
      </c>
      <c r="AL248" s="65">
        <v>0</v>
      </c>
      <c r="AM248" s="34">
        <v>285.25</v>
      </c>
      <c r="AN248" s="65">
        <f t="shared" si="98"/>
        <v>9420.4454283533178</v>
      </c>
      <c r="AO248" s="65"/>
      <c r="AP248" s="41">
        <v>8024.9031312752786</v>
      </c>
      <c r="AQ248" s="41">
        <v>-14.539424498537606</v>
      </c>
      <c r="AR248" s="41">
        <v>1765.5467622344922</v>
      </c>
      <c r="AS248" s="65">
        <v>0</v>
      </c>
      <c r="AT248" s="34">
        <v>335.93599999999998</v>
      </c>
      <c r="AU248" s="65">
        <f t="shared" si="99"/>
        <v>10111.846469011232</v>
      </c>
      <c r="AV248" s="65"/>
      <c r="AW248" s="41">
        <v>2422.9789660229239</v>
      </c>
      <c r="AX248" s="314"/>
      <c r="AY248" s="314"/>
      <c r="AZ248" s="41">
        <v>521.5203473315529</v>
      </c>
      <c r="BA248" s="65">
        <v>0</v>
      </c>
      <c r="BB248" s="34">
        <v>260.36200000000002</v>
      </c>
      <c r="BC248" s="65">
        <f t="shared" si="119"/>
        <v>3204.8613133544768</v>
      </c>
      <c r="BD248" s="65"/>
      <c r="BE248" s="41">
        <v>2494.4800479369442</v>
      </c>
      <c r="BF248" s="314"/>
      <c r="BG248" s="314"/>
      <c r="BH248" s="41">
        <v>505.3768050292918</v>
      </c>
      <c r="BI248" s="65">
        <v>0</v>
      </c>
      <c r="BJ248" s="34">
        <v>252.13900000000001</v>
      </c>
      <c r="BK248" s="65">
        <f t="shared" si="120"/>
        <v>3251.9958529662363</v>
      </c>
      <c r="BL248" s="65"/>
      <c r="BM248" s="41">
        <v>2915.041406492614</v>
      </c>
      <c r="BN248" s="41">
        <v>321.84717913987254</v>
      </c>
      <c r="BO248" s="65">
        <v>0</v>
      </c>
      <c r="BP248" s="34">
        <v>252.13900000000001</v>
      </c>
      <c r="BQ248" s="65">
        <f t="shared" si="100"/>
        <v>3489.0275856324865</v>
      </c>
      <c r="BR248" s="65"/>
      <c r="BS248" s="41">
        <v>2897.5249965200369</v>
      </c>
      <c r="BT248" s="314"/>
      <c r="BU248" s="314"/>
      <c r="BV248" s="41">
        <v>346.99191096815133</v>
      </c>
      <c r="BW248" s="65">
        <v>0</v>
      </c>
      <c r="BX248" s="34">
        <v>252.13900000000001</v>
      </c>
      <c r="BY248" s="65">
        <f t="shared" si="121"/>
        <v>3496.6559074881884</v>
      </c>
      <c r="CA248" s="5">
        <v>2884.7955222379715</v>
      </c>
      <c r="CB248" s="407">
        <v>373.08947952181978</v>
      </c>
      <c r="CC248" s="415">
        <v>0</v>
      </c>
      <c r="CD248" s="34">
        <v>252.13900000000001</v>
      </c>
      <c r="CE248" s="65">
        <f t="shared" si="101"/>
        <v>3510.0240017597912</v>
      </c>
      <c r="CF248" s="407"/>
      <c r="CG248" s="5">
        <v>3245.3655337917116</v>
      </c>
      <c r="CH248" s="407">
        <v>395.56097694915491</v>
      </c>
      <c r="CI248" s="415">
        <v>0</v>
      </c>
      <c r="CJ248" s="34">
        <v>252.13900000000001</v>
      </c>
      <c r="CK248" s="65">
        <f t="shared" si="102"/>
        <v>3893.0655107408666</v>
      </c>
      <c r="CL248" s="407"/>
      <c r="CM248" s="41">
        <f>AU248/'1. Väestöennuste'!L248*1000</f>
        <v>3514.7189673309808</v>
      </c>
      <c r="CN248" s="41">
        <f>BC248/'1. Väestöennuste'!M248*1000</f>
        <v>1133.260719007948</v>
      </c>
      <c r="CO248" s="41">
        <f>BK248/'1. Väestöennuste'!N248*1000</f>
        <v>1176.1286990836297</v>
      </c>
      <c r="CP248" s="41">
        <f>BQ248/'1. Väestöennuste'!O248*1000</f>
        <v>1282.7307300119435</v>
      </c>
      <c r="CQ248" s="41">
        <f>BY248/'1. Väestöennuste'!P248*1000</f>
        <v>1305.6967541031324</v>
      </c>
      <c r="CR248" s="41">
        <f>CE248/'1. Väestöennuste'!Q248*1000</f>
        <v>1329.0511176674711</v>
      </c>
      <c r="CS248" s="41">
        <f>CK248/'1. Väestöennuste'!R248*1000</f>
        <v>1497.3328887464872</v>
      </c>
      <c r="CT248" s="41"/>
      <c r="CV248" s="41">
        <f t="shared" si="103"/>
        <v>3640.9265107408664</v>
      </c>
      <c r="CW248" s="41">
        <f t="shared" si="104"/>
        <v>-378.34654340988573</v>
      </c>
      <c r="CX248" s="41">
        <f t="shared" si="105"/>
        <v>-2381.4582483230329</v>
      </c>
      <c r="CY248" s="41">
        <f t="shared" si="106"/>
        <v>42.867980075681771</v>
      </c>
      <c r="CZ248" s="41">
        <f t="shared" si="107"/>
        <v>106.60203092831375</v>
      </c>
      <c r="DA248" s="41">
        <f t="shared" si="108"/>
        <v>22.966024091188956</v>
      </c>
      <c r="DB248" s="41">
        <f t="shared" si="109"/>
        <v>23.354363564338655</v>
      </c>
      <c r="DC248" s="41">
        <f t="shared" si="110"/>
        <v>168.28177107901615</v>
      </c>
      <c r="DD248" s="41"/>
      <c r="DE248" s="283">
        <f t="shared" si="111"/>
        <v>14.440156067648664</v>
      </c>
      <c r="DF248" s="283">
        <f t="shared" si="112"/>
        <v>-9.7184735876146303E-2</v>
      </c>
      <c r="DG248" s="283">
        <f t="shared" si="113"/>
        <v>-0.67756718828972906</v>
      </c>
      <c r="DH248" s="283">
        <f t="shared" si="114"/>
        <v>3.782711194049701E-2</v>
      </c>
      <c r="DI248" s="283">
        <f t="shared" si="115"/>
        <v>9.063806623490421E-2</v>
      </c>
      <c r="DJ248" s="283">
        <f t="shared" si="116"/>
        <v>1.7904010213410197E-2</v>
      </c>
      <c r="DK248" s="283">
        <f t="shared" si="117"/>
        <v>1.7886514223879258E-2</v>
      </c>
      <c r="DL248" s="283">
        <f t="shared" si="118"/>
        <v>0.12661798244025124</v>
      </c>
    </row>
    <row r="249" spans="1:116" x14ac:dyDescent="0.2">
      <c r="A249" s="30">
        <v>753</v>
      </c>
      <c r="B249" s="31" t="s">
        <v>563</v>
      </c>
      <c r="C249" s="65"/>
      <c r="D249" s="65"/>
      <c r="E249" s="65"/>
      <c r="F249" s="65"/>
      <c r="G249" s="65"/>
      <c r="H249" s="65">
        <v>15815</v>
      </c>
      <c r="I249" s="65"/>
      <c r="J249" s="65"/>
      <c r="K249" s="65"/>
      <c r="L249" s="65"/>
      <c r="M249" s="65"/>
      <c r="N249" s="65">
        <v>14621</v>
      </c>
      <c r="O249" s="65"/>
      <c r="P249" s="65"/>
      <c r="Q249" s="65"/>
      <c r="R249" s="65"/>
      <c r="S249" s="65"/>
      <c r="T249" s="65">
        <v>13390</v>
      </c>
      <c r="U249" s="65"/>
      <c r="V249" s="65"/>
      <c r="W249" s="65"/>
      <c r="X249" s="65"/>
      <c r="Y249" s="65"/>
      <c r="Z249" s="65">
        <v>15114</v>
      </c>
      <c r="AA249" s="65"/>
      <c r="AB249" s="66">
        <v>18576.957533214751</v>
      </c>
      <c r="AC249" s="34">
        <v>511.34724090584155</v>
      </c>
      <c r="AD249" s="180">
        <v>6244.0792665352637</v>
      </c>
      <c r="AE249" s="65">
        <v>0</v>
      </c>
      <c r="AF249" s="34">
        <v>-1869.307</v>
      </c>
      <c r="AG249" s="65">
        <f t="shared" si="97"/>
        <v>23463.077040655855</v>
      </c>
      <c r="AH249" s="65"/>
      <c r="AI249" s="66">
        <v>13699.578931466533</v>
      </c>
      <c r="AJ249" s="34">
        <v>-397.66509337655765</v>
      </c>
      <c r="AK249" s="181">
        <v>6825.7241777551035</v>
      </c>
      <c r="AL249" s="65">
        <v>0</v>
      </c>
      <c r="AM249" s="34">
        <v>-2521.701</v>
      </c>
      <c r="AN249" s="65">
        <f t="shared" si="98"/>
        <v>17605.937015845077</v>
      </c>
      <c r="AO249" s="65"/>
      <c r="AP249" s="41">
        <v>13304.150886303607</v>
      </c>
      <c r="AQ249" s="41">
        <v>-122.69470600169484</v>
      </c>
      <c r="AR249" s="41">
        <v>8181.8387585110877</v>
      </c>
      <c r="AS249" s="65">
        <v>0</v>
      </c>
      <c r="AT249" s="34">
        <v>-2152.6619999999998</v>
      </c>
      <c r="AU249" s="65">
        <f t="shared" si="99"/>
        <v>19210.632938813</v>
      </c>
      <c r="AV249" s="65"/>
      <c r="AW249" s="41">
        <v>21678.190740011378</v>
      </c>
      <c r="AX249" s="314"/>
      <c r="AY249" s="314"/>
      <c r="AZ249" s="41">
        <v>2530.3778872347634</v>
      </c>
      <c r="BA249" s="65">
        <v>0</v>
      </c>
      <c r="BB249" s="34">
        <v>-2128.9850000000001</v>
      </c>
      <c r="BC249" s="65">
        <f t="shared" si="119"/>
        <v>22079.583627246142</v>
      </c>
      <c r="BD249" s="65"/>
      <c r="BE249" s="41">
        <v>21949.29811956489</v>
      </c>
      <c r="BF249" s="314"/>
      <c r="BG249" s="314"/>
      <c r="BH249" s="41">
        <v>2475.5926170254588</v>
      </c>
      <c r="BI249" s="65">
        <v>0</v>
      </c>
      <c r="BJ249" s="34">
        <v>-2270.8029999999999</v>
      </c>
      <c r="BK249" s="65">
        <f t="shared" si="120"/>
        <v>22154.087736590351</v>
      </c>
      <c r="BL249" s="65"/>
      <c r="BM249" s="41">
        <v>23298.834790138651</v>
      </c>
      <c r="BN249" s="41">
        <v>1492.7617440593508</v>
      </c>
      <c r="BO249" s="65">
        <v>0</v>
      </c>
      <c r="BP249" s="34">
        <v>-2270.8029999999999</v>
      </c>
      <c r="BQ249" s="65">
        <f t="shared" si="100"/>
        <v>22520.793534198001</v>
      </c>
      <c r="BR249" s="65"/>
      <c r="BS249" s="41">
        <v>23349.983537831038</v>
      </c>
      <c r="BT249" s="314"/>
      <c r="BU249" s="314"/>
      <c r="BV249" s="41">
        <v>1534.9479832109778</v>
      </c>
      <c r="BW249" s="65">
        <v>0</v>
      </c>
      <c r="BX249" s="34">
        <v>-2270.8029999999999</v>
      </c>
      <c r="BY249" s="65">
        <f t="shared" si="121"/>
        <v>22614.128521042017</v>
      </c>
      <c r="CA249" s="5">
        <v>23386.698621016494</v>
      </c>
      <c r="CB249" s="407">
        <v>1672.9648658450844</v>
      </c>
      <c r="CC249" s="415">
        <v>0</v>
      </c>
      <c r="CD249" s="34">
        <v>-2270.8029999999999</v>
      </c>
      <c r="CE249" s="65">
        <f t="shared" si="101"/>
        <v>22788.86048686158</v>
      </c>
      <c r="CF249" s="407"/>
      <c r="CG249" s="5">
        <v>24205.06899670629</v>
      </c>
      <c r="CH249" s="407">
        <v>1781.8511244009526</v>
      </c>
      <c r="CI249" s="415">
        <v>0</v>
      </c>
      <c r="CJ249" s="34">
        <v>-2270.8029999999999</v>
      </c>
      <c r="CK249" s="65">
        <f t="shared" si="102"/>
        <v>23716.117121107243</v>
      </c>
      <c r="CL249" s="407"/>
      <c r="CM249" s="41">
        <f>AU249/'1. Väestöennuste'!L249*1000</f>
        <v>860.69143991097678</v>
      </c>
      <c r="CN249" s="41">
        <f>BC249/'1. Väestöennuste'!M249*1000</f>
        <v>977.18891910803904</v>
      </c>
      <c r="CO249" s="41">
        <f>BK249/'1. Väestöennuste'!N249*1000</f>
        <v>953.27399899270017</v>
      </c>
      <c r="CP249" s="41">
        <f>BQ249/'1. Väestöennuste'!O249*1000</f>
        <v>954.10919904245054</v>
      </c>
      <c r="CQ249" s="41">
        <f>BY249/'1. Väestöennuste'!P249*1000</f>
        <v>943.82840238071867</v>
      </c>
      <c r="CR249" s="41">
        <f>CE249/'1. Väestöennuste'!Q249*1000</f>
        <v>937.7360088413127</v>
      </c>
      <c r="CS249" s="41">
        <f>CK249/'1. Väestöennuste'!R249*1000</f>
        <v>962.85644598705881</v>
      </c>
      <c r="CT249" s="41"/>
      <c r="CV249" s="41">
        <f t="shared" si="103"/>
        <v>25986.920121107243</v>
      </c>
      <c r="CW249" s="41">
        <f t="shared" si="104"/>
        <v>-22855.425681196266</v>
      </c>
      <c r="CX249" s="41">
        <f t="shared" si="105"/>
        <v>116.49747919706226</v>
      </c>
      <c r="CY249" s="41">
        <f t="shared" si="106"/>
        <v>-23.914920115338873</v>
      </c>
      <c r="CZ249" s="41">
        <f t="shared" si="107"/>
        <v>0.83520004975036954</v>
      </c>
      <c r="DA249" s="41">
        <f t="shared" si="108"/>
        <v>-10.28079666173187</v>
      </c>
      <c r="DB249" s="41">
        <f t="shared" si="109"/>
        <v>-6.0923935394059754</v>
      </c>
      <c r="DC249" s="41">
        <f t="shared" si="110"/>
        <v>25.120437145746109</v>
      </c>
      <c r="DD249" s="41"/>
      <c r="DE249" s="283">
        <f t="shared" si="111"/>
        <v>-11.443934203498605</v>
      </c>
      <c r="DF249" s="283">
        <f t="shared" si="112"/>
        <v>-0.96370858536767112</v>
      </c>
      <c r="DG249" s="283">
        <f t="shared" si="113"/>
        <v>0.13535336102461046</v>
      </c>
      <c r="DH249" s="283">
        <f t="shared" si="114"/>
        <v>-2.4473179799427109E-2</v>
      </c>
      <c r="DI249" s="283">
        <f t="shared" si="115"/>
        <v>8.7613849809488526E-4</v>
      </c>
      <c r="DJ249" s="283">
        <f t="shared" si="116"/>
        <v>-1.0775283030548009E-2</v>
      </c>
      <c r="DK249" s="283">
        <f t="shared" si="117"/>
        <v>-6.4549800832847193E-3</v>
      </c>
      <c r="DL249" s="283">
        <f t="shared" si="118"/>
        <v>2.6788389172327377E-2</v>
      </c>
    </row>
    <row r="250" spans="1:116" x14ac:dyDescent="0.2">
      <c r="A250" s="30">
        <v>755</v>
      </c>
      <c r="B250" s="31" t="s">
        <v>564</v>
      </c>
      <c r="C250" s="65"/>
      <c r="D250" s="65"/>
      <c r="E250" s="65"/>
      <c r="F250" s="65"/>
      <c r="G250" s="65"/>
      <c r="H250" s="65">
        <v>4792</v>
      </c>
      <c r="I250" s="65"/>
      <c r="J250" s="65"/>
      <c r="K250" s="65"/>
      <c r="L250" s="65"/>
      <c r="M250" s="65"/>
      <c r="N250" s="65">
        <v>4417</v>
      </c>
      <c r="O250" s="65"/>
      <c r="P250" s="65"/>
      <c r="Q250" s="65"/>
      <c r="R250" s="65"/>
      <c r="S250" s="65"/>
      <c r="T250" s="65">
        <v>4534</v>
      </c>
      <c r="U250" s="65"/>
      <c r="V250" s="65"/>
      <c r="W250" s="65"/>
      <c r="X250" s="65"/>
      <c r="Y250" s="65"/>
      <c r="Z250" s="65">
        <v>4808</v>
      </c>
      <c r="AA250" s="65"/>
      <c r="AB250" s="66">
        <v>6168.230186032355</v>
      </c>
      <c r="AC250" s="34">
        <v>147.16381217696093</v>
      </c>
      <c r="AD250" s="180">
        <v>2294.7952103457101</v>
      </c>
      <c r="AE250" s="65">
        <v>0</v>
      </c>
      <c r="AF250" s="34">
        <v>-1415.63</v>
      </c>
      <c r="AG250" s="65">
        <f t="shared" si="97"/>
        <v>7194.5592085550261</v>
      </c>
      <c r="AH250" s="65"/>
      <c r="AI250" s="66">
        <v>4764.0707244754658</v>
      </c>
      <c r="AJ250" s="34">
        <v>-115.01124634860597</v>
      </c>
      <c r="AK250" s="181">
        <v>2482.7144121190331</v>
      </c>
      <c r="AL250" s="65">
        <v>0</v>
      </c>
      <c r="AM250" s="34">
        <v>-1434.78</v>
      </c>
      <c r="AN250" s="65">
        <f t="shared" si="98"/>
        <v>5696.9938902458935</v>
      </c>
      <c r="AO250" s="65"/>
      <c r="AP250" s="41">
        <v>5120.6738221626119</v>
      </c>
      <c r="AQ250" s="41">
        <v>-35.662551009639522</v>
      </c>
      <c r="AR250" s="41">
        <v>3038.3230277892426</v>
      </c>
      <c r="AS250" s="65">
        <v>0</v>
      </c>
      <c r="AT250" s="34">
        <v>-1526.827</v>
      </c>
      <c r="AU250" s="65">
        <f t="shared" si="99"/>
        <v>6596.5072989422151</v>
      </c>
      <c r="AV250" s="65"/>
      <c r="AW250" s="41">
        <v>4958.880705620415</v>
      </c>
      <c r="AX250" s="314"/>
      <c r="AY250" s="314"/>
      <c r="AZ250" s="41">
        <v>912.80049977479712</v>
      </c>
      <c r="BA250" s="65">
        <v>0</v>
      </c>
      <c r="BB250" s="34">
        <v>-1604.0930000000001</v>
      </c>
      <c r="BC250" s="65">
        <f t="shared" si="119"/>
        <v>4267.5882053952128</v>
      </c>
      <c r="BD250" s="65"/>
      <c r="BE250" s="41">
        <v>5012.5207660378219</v>
      </c>
      <c r="BF250" s="314"/>
      <c r="BG250" s="314"/>
      <c r="BH250" s="41">
        <v>868.89716991338071</v>
      </c>
      <c r="BI250" s="65">
        <v>0</v>
      </c>
      <c r="BJ250" s="34">
        <v>-1652.192</v>
      </c>
      <c r="BK250" s="65">
        <f t="shared" si="120"/>
        <v>4229.2259359512027</v>
      </c>
      <c r="BL250" s="65"/>
      <c r="BM250" s="41">
        <v>5314.6794223263887</v>
      </c>
      <c r="BN250" s="41">
        <v>478.77836587615855</v>
      </c>
      <c r="BO250" s="65">
        <v>0</v>
      </c>
      <c r="BP250" s="34">
        <v>-1652.192</v>
      </c>
      <c r="BQ250" s="65">
        <f t="shared" si="100"/>
        <v>4141.2657882025469</v>
      </c>
      <c r="BR250" s="65"/>
      <c r="BS250" s="41">
        <v>5049.7480169074524</v>
      </c>
      <c r="BT250" s="314"/>
      <c r="BU250" s="314"/>
      <c r="BV250" s="41">
        <v>502.60472691521528</v>
      </c>
      <c r="BW250" s="65">
        <v>0</v>
      </c>
      <c r="BX250" s="34">
        <v>-1652.192</v>
      </c>
      <c r="BY250" s="65">
        <f t="shared" si="121"/>
        <v>3900.1607438226674</v>
      </c>
      <c r="CA250" s="5">
        <v>4863.9751533974377</v>
      </c>
      <c r="CB250" s="407">
        <v>547.83039825036838</v>
      </c>
      <c r="CC250" s="415">
        <v>0</v>
      </c>
      <c r="CD250" s="34">
        <v>-1652.192</v>
      </c>
      <c r="CE250" s="65">
        <f t="shared" si="101"/>
        <v>3759.6135516478062</v>
      </c>
      <c r="CF250" s="407"/>
      <c r="CG250" s="5">
        <v>4902.2847940271122</v>
      </c>
      <c r="CH250" s="407">
        <v>584.76665802895479</v>
      </c>
      <c r="CI250" s="415">
        <v>0</v>
      </c>
      <c r="CJ250" s="34">
        <v>-1652.192</v>
      </c>
      <c r="CK250" s="65">
        <f t="shared" si="102"/>
        <v>3834.8594520560673</v>
      </c>
      <c r="CL250" s="407"/>
      <c r="CM250" s="41">
        <f>AU250/'1. Väestöennuste'!L250*1000</f>
        <v>1061.0434773913807</v>
      </c>
      <c r="CN250" s="41">
        <f>BC250/'1. Väestöennuste'!M250*1000</f>
        <v>693.01529805053792</v>
      </c>
      <c r="CO250" s="41">
        <f>BK250/'1. Väestöennuste'!N250*1000</f>
        <v>683.12484832033635</v>
      </c>
      <c r="CP250" s="41">
        <f>BQ250/'1. Väestöennuste'!O250*1000</f>
        <v>667.94609487137859</v>
      </c>
      <c r="CQ250" s="41">
        <f>BY250/'1. Väestöennuste'!P250*1000</f>
        <v>628.34875846989974</v>
      </c>
      <c r="CR250" s="41">
        <f>CE250/'1. Väestöennuste'!Q250*1000</f>
        <v>605.21789305341383</v>
      </c>
      <c r="CS250" s="41">
        <f>CK250/'1. Väestöennuste'!R250*1000</f>
        <v>616.83439795014749</v>
      </c>
      <c r="CT250" s="41"/>
      <c r="CV250" s="41">
        <f t="shared" si="103"/>
        <v>5487.0514520560673</v>
      </c>
      <c r="CW250" s="41">
        <f t="shared" si="104"/>
        <v>-2773.8159746646866</v>
      </c>
      <c r="CX250" s="41">
        <f t="shared" si="105"/>
        <v>-368.02817934084283</v>
      </c>
      <c r="CY250" s="41">
        <f t="shared" si="106"/>
        <v>-9.890449730201567</v>
      </c>
      <c r="CZ250" s="41">
        <f t="shared" si="107"/>
        <v>-15.178753448957764</v>
      </c>
      <c r="DA250" s="41">
        <f t="shared" si="108"/>
        <v>-39.597336401478856</v>
      </c>
      <c r="DB250" s="41">
        <f t="shared" si="109"/>
        <v>-23.130865416485904</v>
      </c>
      <c r="DC250" s="41">
        <f t="shared" si="110"/>
        <v>11.616504896733659</v>
      </c>
      <c r="DD250" s="41"/>
      <c r="DE250" s="283">
        <f t="shared" si="111"/>
        <v>-3.3210737323846544</v>
      </c>
      <c r="DF250" s="283">
        <f t="shared" si="112"/>
        <v>-0.72331620215637882</v>
      </c>
      <c r="DG250" s="283">
        <f t="shared" si="113"/>
        <v>-0.34685494721258298</v>
      </c>
      <c r="DH250" s="283">
        <f t="shared" si="114"/>
        <v>-1.4271618185087032E-2</v>
      </c>
      <c r="DI250" s="283">
        <f t="shared" si="115"/>
        <v>-2.2219589122367895E-2</v>
      </c>
      <c r="DJ250" s="283">
        <f t="shared" si="116"/>
        <v>-5.9282233559736316E-2</v>
      </c>
      <c r="DK250" s="283">
        <f t="shared" si="117"/>
        <v>-3.6812144696222807E-2</v>
      </c>
      <c r="DL250" s="283">
        <f t="shared" si="118"/>
        <v>1.9193921776051056E-2</v>
      </c>
    </row>
    <row r="251" spans="1:116" x14ac:dyDescent="0.2">
      <c r="A251" s="30">
        <v>758</v>
      </c>
      <c r="B251" s="31" t="s">
        <v>565</v>
      </c>
      <c r="C251" s="65"/>
      <c r="D251" s="65"/>
      <c r="E251" s="65"/>
      <c r="F251" s="65"/>
      <c r="G251" s="65"/>
      <c r="H251" s="65">
        <v>26198</v>
      </c>
      <c r="I251" s="65"/>
      <c r="J251" s="65"/>
      <c r="K251" s="65"/>
      <c r="L251" s="65"/>
      <c r="M251" s="65"/>
      <c r="N251" s="65">
        <v>26016</v>
      </c>
      <c r="O251" s="65"/>
      <c r="P251" s="65"/>
      <c r="Q251" s="65"/>
      <c r="R251" s="65"/>
      <c r="S251" s="65"/>
      <c r="T251" s="65">
        <v>25673</v>
      </c>
      <c r="U251" s="65"/>
      <c r="V251" s="65"/>
      <c r="W251" s="65"/>
      <c r="X251" s="65"/>
      <c r="Y251" s="65"/>
      <c r="Z251" s="65">
        <v>25302</v>
      </c>
      <c r="AA251" s="65"/>
      <c r="AB251" s="66">
        <v>26064.94127675072</v>
      </c>
      <c r="AC251" s="34">
        <v>194.47064285074617</v>
      </c>
      <c r="AD251" s="180">
        <v>4148.8193086721885</v>
      </c>
      <c r="AE251" s="65">
        <v>1000</v>
      </c>
      <c r="AF251" s="34">
        <v>-881.73500000000001</v>
      </c>
      <c r="AG251" s="65">
        <f t="shared" si="97"/>
        <v>30526.496228273652</v>
      </c>
      <c r="AH251" s="65"/>
      <c r="AI251" s="66">
        <v>23966.704879772627</v>
      </c>
      <c r="AJ251" s="34">
        <v>-149.90151207012389</v>
      </c>
      <c r="AK251" s="181">
        <v>4435.1909990196455</v>
      </c>
      <c r="AL251" s="65">
        <v>0</v>
      </c>
      <c r="AM251" s="34">
        <v>-1262.0840000000001</v>
      </c>
      <c r="AN251" s="65">
        <f t="shared" si="98"/>
        <v>26989.910366722153</v>
      </c>
      <c r="AO251" s="65"/>
      <c r="AP251" s="41">
        <v>23361.597369468502</v>
      </c>
      <c r="AQ251" s="41">
        <v>-45.577067929259172</v>
      </c>
      <c r="AR251" s="41">
        <v>5054.9793097698621</v>
      </c>
      <c r="AS251" s="65">
        <v>0</v>
      </c>
      <c r="AT251" s="34">
        <v>-1098.117</v>
      </c>
      <c r="AU251" s="65">
        <f t="shared" si="99"/>
        <v>27272.882611309105</v>
      </c>
      <c r="AV251" s="65"/>
      <c r="AW251" s="41">
        <v>1944.5089041005369</v>
      </c>
      <c r="AX251" s="314"/>
      <c r="AY251" s="314"/>
      <c r="AZ251" s="41">
        <v>1522.016359015387</v>
      </c>
      <c r="BA251" s="65">
        <v>0</v>
      </c>
      <c r="BB251" s="34">
        <v>-970.89400000000001</v>
      </c>
      <c r="BC251" s="65">
        <f t="shared" si="119"/>
        <v>2495.6312631159235</v>
      </c>
      <c r="BD251" s="65"/>
      <c r="BE251" s="41">
        <v>5078.71615868135</v>
      </c>
      <c r="BF251" s="314"/>
      <c r="BG251" s="314"/>
      <c r="BH251" s="41">
        <v>1511.5079409612808</v>
      </c>
      <c r="BI251" s="65">
        <v>0</v>
      </c>
      <c r="BJ251" s="34">
        <v>-875.41</v>
      </c>
      <c r="BK251" s="65">
        <f t="shared" si="120"/>
        <v>5714.8140996426309</v>
      </c>
      <c r="BL251" s="65"/>
      <c r="BM251" s="41">
        <v>5294.7390898971789</v>
      </c>
      <c r="BN251" s="41">
        <v>993.73729016750428</v>
      </c>
      <c r="BO251" s="65">
        <v>0</v>
      </c>
      <c r="BP251" s="34">
        <v>-875.41</v>
      </c>
      <c r="BQ251" s="65">
        <f t="shared" si="100"/>
        <v>5413.0663800646835</v>
      </c>
      <c r="BR251" s="65"/>
      <c r="BS251" s="41">
        <v>4897.418204715138</v>
      </c>
      <c r="BT251" s="314"/>
      <c r="BU251" s="314"/>
      <c r="BV251" s="41">
        <v>1064.1911922071515</v>
      </c>
      <c r="BW251" s="65">
        <v>0</v>
      </c>
      <c r="BX251" s="34">
        <v>-875.41</v>
      </c>
      <c r="BY251" s="65">
        <f t="shared" si="121"/>
        <v>5086.1993969222895</v>
      </c>
      <c r="CA251" s="5">
        <v>5251.2708951421291</v>
      </c>
      <c r="CB251" s="407">
        <v>1136.1686045671013</v>
      </c>
      <c r="CC251" s="415">
        <v>0</v>
      </c>
      <c r="CD251" s="34">
        <v>-875.41</v>
      </c>
      <c r="CE251" s="65">
        <f t="shared" si="101"/>
        <v>5512.0294997092305</v>
      </c>
      <c r="CF251" s="407"/>
      <c r="CG251" s="5">
        <v>5513.6392746737129</v>
      </c>
      <c r="CH251" s="407">
        <v>1197.9336125698781</v>
      </c>
      <c r="CI251" s="415">
        <v>0</v>
      </c>
      <c r="CJ251" s="34">
        <v>-875.41</v>
      </c>
      <c r="CK251" s="65">
        <f t="shared" si="102"/>
        <v>5836.1628872435913</v>
      </c>
      <c r="CL251" s="407"/>
      <c r="CM251" s="41">
        <f>AU251/'1. Väestöennuste'!L251*1000</f>
        <v>3352.9484400429196</v>
      </c>
      <c r="CN251" s="41">
        <f>BC251/'1. Väestöennuste'!M251*1000</f>
        <v>307.11681800589758</v>
      </c>
      <c r="CO251" s="41">
        <f>BK251/'1. Väestöennuste'!N251*1000</f>
        <v>725.32226166298142</v>
      </c>
      <c r="CP251" s="41">
        <f>BQ251/'1. Väestöennuste'!O251*1000</f>
        <v>694.16085920296018</v>
      </c>
      <c r="CQ251" s="41">
        <f>BY251/'1. Väestöennuste'!P251*1000</f>
        <v>659.09024192332379</v>
      </c>
      <c r="CR251" s="41">
        <f>CE251/'1. Väestöennuste'!Q251*1000</f>
        <v>721.94230513545915</v>
      </c>
      <c r="CS251" s="41">
        <f>CK251/'1. Väestöennuste'!R251*1000</f>
        <v>772.28568046097541</v>
      </c>
      <c r="CT251" s="41"/>
      <c r="CV251" s="41">
        <f t="shared" si="103"/>
        <v>6711.5728872435911</v>
      </c>
      <c r="CW251" s="41">
        <f t="shared" si="104"/>
        <v>-2483.2144472006717</v>
      </c>
      <c r="CX251" s="41">
        <f t="shared" si="105"/>
        <v>-3045.831622037022</v>
      </c>
      <c r="CY251" s="41">
        <f t="shared" si="106"/>
        <v>418.20544365708383</v>
      </c>
      <c r="CZ251" s="41">
        <f t="shared" si="107"/>
        <v>-31.161402460021236</v>
      </c>
      <c r="DA251" s="41">
        <f t="shared" si="108"/>
        <v>-35.070617279636394</v>
      </c>
      <c r="DB251" s="41">
        <f t="shared" si="109"/>
        <v>62.852063212135363</v>
      </c>
      <c r="DC251" s="41">
        <f t="shared" si="110"/>
        <v>50.343375325516263</v>
      </c>
      <c r="DD251" s="41"/>
      <c r="DE251" s="283">
        <f t="shared" si="111"/>
        <v>-7.6667765815373272</v>
      </c>
      <c r="DF251" s="283">
        <f t="shared" si="112"/>
        <v>-0.42548751554353703</v>
      </c>
      <c r="DG251" s="283">
        <f t="shared" si="113"/>
        <v>-0.90840395446046096</v>
      </c>
      <c r="DH251" s="283">
        <f t="shared" si="114"/>
        <v>1.3617145631179761</v>
      </c>
      <c r="DI251" s="283">
        <f t="shared" si="115"/>
        <v>-4.296214814719182E-2</v>
      </c>
      <c r="DJ251" s="283">
        <f t="shared" si="116"/>
        <v>-5.0522320316222807E-2</v>
      </c>
      <c r="DK251" s="283">
        <f t="shared" si="117"/>
        <v>9.5361847610918427E-2</v>
      </c>
      <c r="DL251" s="283">
        <f t="shared" si="118"/>
        <v>6.9733239023955326E-2</v>
      </c>
    </row>
    <row r="252" spans="1:116" x14ac:dyDescent="0.2">
      <c r="A252" s="30">
        <v>759</v>
      </c>
      <c r="B252" s="31" t="s">
        <v>566</v>
      </c>
      <c r="C252" s="65"/>
      <c r="D252" s="65"/>
      <c r="E252" s="65"/>
      <c r="F252" s="65"/>
      <c r="G252" s="65"/>
      <c r="H252" s="65">
        <v>8375</v>
      </c>
      <c r="I252" s="65"/>
      <c r="J252" s="65"/>
      <c r="K252" s="65"/>
      <c r="L252" s="65"/>
      <c r="M252" s="65"/>
      <c r="N252" s="65">
        <v>8323</v>
      </c>
      <c r="O252" s="65"/>
      <c r="P252" s="65"/>
      <c r="Q252" s="65"/>
      <c r="R252" s="65"/>
      <c r="S252" s="65"/>
      <c r="T252" s="65">
        <v>8120</v>
      </c>
      <c r="U252" s="65"/>
      <c r="V252" s="65"/>
      <c r="W252" s="65"/>
      <c r="X252" s="65"/>
      <c r="Y252" s="65"/>
      <c r="Z252" s="65">
        <v>7696</v>
      </c>
      <c r="AA252" s="65"/>
      <c r="AB252" s="66">
        <v>7335.8536097406522</v>
      </c>
      <c r="AC252" s="34">
        <v>29.54808653478327</v>
      </c>
      <c r="AD252" s="180">
        <v>1323.2961455685695</v>
      </c>
      <c r="AE252" s="65">
        <v>0</v>
      </c>
      <c r="AF252" s="34">
        <v>-485.08699999999999</v>
      </c>
      <c r="AG252" s="65">
        <f t="shared" si="97"/>
        <v>8203.6108418440053</v>
      </c>
      <c r="AH252" s="65"/>
      <c r="AI252" s="66">
        <v>7183.7487330638651</v>
      </c>
      <c r="AJ252" s="34">
        <v>-22.683266412893332</v>
      </c>
      <c r="AK252" s="181">
        <v>1403.9467224237046</v>
      </c>
      <c r="AL252" s="65">
        <v>0</v>
      </c>
      <c r="AM252" s="34">
        <v>-523.53200000000004</v>
      </c>
      <c r="AN252" s="65">
        <f t="shared" si="98"/>
        <v>8041.4801890746758</v>
      </c>
      <c r="AO252" s="65"/>
      <c r="AP252" s="41">
        <v>7525.2160313454797</v>
      </c>
      <c r="AQ252" s="41">
        <v>-6.9367897170271728</v>
      </c>
      <c r="AR252" s="41">
        <v>1554.416673400897</v>
      </c>
      <c r="AS252" s="65">
        <v>0</v>
      </c>
      <c r="AT252" s="34">
        <v>-527.95600000000002</v>
      </c>
      <c r="AU252" s="65">
        <f t="shared" si="99"/>
        <v>8544.7399150293495</v>
      </c>
      <c r="AV252" s="65"/>
      <c r="AW252" s="41">
        <v>2159.8211973841403</v>
      </c>
      <c r="AX252" s="314"/>
      <c r="AY252" s="314"/>
      <c r="AZ252" s="41">
        <v>487.63729880807875</v>
      </c>
      <c r="BA252" s="65">
        <v>0</v>
      </c>
      <c r="BB252" s="34">
        <v>-534.18799999999999</v>
      </c>
      <c r="BC252" s="65">
        <f t="shared" si="119"/>
        <v>2113.2704961922191</v>
      </c>
      <c r="BD252" s="65"/>
      <c r="BE252" s="41">
        <v>1785.0800082057217</v>
      </c>
      <c r="BF252" s="314"/>
      <c r="BG252" s="314"/>
      <c r="BH252" s="41">
        <v>486.97217830510812</v>
      </c>
      <c r="BI252" s="65">
        <v>0</v>
      </c>
      <c r="BJ252" s="34">
        <v>-503.995</v>
      </c>
      <c r="BK252" s="65">
        <f t="shared" si="120"/>
        <v>1768.05718651083</v>
      </c>
      <c r="BL252" s="65"/>
      <c r="BM252" s="41">
        <v>1817.1290372475823</v>
      </c>
      <c r="BN252" s="41">
        <v>361.31213013922729</v>
      </c>
      <c r="BO252" s="65">
        <v>0</v>
      </c>
      <c r="BP252" s="34">
        <v>-503.995</v>
      </c>
      <c r="BQ252" s="65">
        <f t="shared" si="100"/>
        <v>1674.44616738681</v>
      </c>
      <c r="BR252" s="65"/>
      <c r="BS252" s="41">
        <v>1884.9399207919478</v>
      </c>
      <c r="BT252" s="314"/>
      <c r="BU252" s="314"/>
      <c r="BV252" s="41">
        <v>383.69306794360836</v>
      </c>
      <c r="BW252" s="65">
        <v>0</v>
      </c>
      <c r="BX252" s="34">
        <v>-503.995</v>
      </c>
      <c r="BY252" s="65">
        <f t="shared" si="121"/>
        <v>1764.6379887355561</v>
      </c>
      <c r="CA252" s="5">
        <v>1955.0810986599386</v>
      </c>
      <c r="CB252" s="407">
        <v>406.10365081178566</v>
      </c>
      <c r="CC252" s="415">
        <v>0</v>
      </c>
      <c r="CD252" s="34">
        <v>-503.995</v>
      </c>
      <c r="CE252" s="65">
        <f t="shared" si="101"/>
        <v>1857.1897494717241</v>
      </c>
      <c r="CF252" s="407"/>
      <c r="CG252" s="5">
        <v>2291.6482968028859</v>
      </c>
      <c r="CH252" s="407">
        <v>425.91168927643059</v>
      </c>
      <c r="CI252" s="415">
        <v>0</v>
      </c>
      <c r="CJ252" s="34">
        <v>-503.995</v>
      </c>
      <c r="CK252" s="65">
        <f t="shared" si="102"/>
        <v>2213.5649860793164</v>
      </c>
      <c r="CL252" s="407"/>
      <c r="CM252" s="41">
        <f>AU252/'1. Väestöennuste'!L252*1000</f>
        <v>4399.9690602622813</v>
      </c>
      <c r="CN252" s="41">
        <f>BC252/'1. Väestöennuste'!M252*1000</f>
        <v>1128.2810978068439</v>
      </c>
      <c r="CO252" s="41">
        <f>BK252/'1. Väestöennuste'!N252*1000</f>
        <v>951.59159661508613</v>
      </c>
      <c r="CP252" s="41">
        <f>BQ252/'1. Väestöennuste'!O252*1000</f>
        <v>915.99899747637301</v>
      </c>
      <c r="CQ252" s="41">
        <f>BY252/'1. Väestöennuste'!P252*1000</f>
        <v>983.08523049334599</v>
      </c>
      <c r="CR252" s="41">
        <f>CE252/'1. Väestöennuste'!Q252*1000</f>
        <v>1051.6363247291756</v>
      </c>
      <c r="CS252" s="41">
        <f>CK252/'1. Väestöennuste'!R252*1000</f>
        <v>1274.3609591705908</v>
      </c>
      <c r="CT252" s="41"/>
      <c r="CV252" s="41">
        <f t="shared" si="103"/>
        <v>2717.5599860793163</v>
      </c>
      <c r="CW252" s="41">
        <f t="shared" si="104"/>
        <v>2186.4040741829649</v>
      </c>
      <c r="CX252" s="41">
        <f t="shared" si="105"/>
        <v>-3271.6879624554376</v>
      </c>
      <c r="CY252" s="41">
        <f t="shared" si="106"/>
        <v>-176.68950119175781</v>
      </c>
      <c r="CZ252" s="41">
        <f t="shared" si="107"/>
        <v>-35.592599138713126</v>
      </c>
      <c r="DA252" s="41">
        <f t="shared" si="108"/>
        <v>67.086233016972983</v>
      </c>
      <c r="DB252" s="41">
        <f t="shared" si="109"/>
        <v>68.551094235829623</v>
      </c>
      <c r="DC252" s="41">
        <f t="shared" si="110"/>
        <v>222.72463444141522</v>
      </c>
      <c r="DD252" s="41"/>
      <c r="DE252" s="283">
        <f t="shared" si="111"/>
        <v>-5.3920375918001495</v>
      </c>
      <c r="DF252" s="283">
        <f t="shared" si="112"/>
        <v>0.98772978789095356</v>
      </c>
      <c r="DG252" s="283">
        <f t="shared" si="113"/>
        <v>-0.74357067462206494</v>
      </c>
      <c r="DH252" s="283">
        <f t="shared" si="114"/>
        <v>-0.15660060381690996</v>
      </c>
      <c r="DI252" s="283">
        <f t="shared" si="115"/>
        <v>-3.7403229773486688E-2</v>
      </c>
      <c r="DJ252" s="283">
        <f t="shared" si="116"/>
        <v>7.3238325807996732E-2</v>
      </c>
      <c r="DK252" s="283">
        <f t="shared" si="117"/>
        <v>6.9730570767936692E-2</v>
      </c>
      <c r="DL252" s="283">
        <f t="shared" si="118"/>
        <v>0.21178864708650375</v>
      </c>
    </row>
    <row r="253" spans="1:116" x14ac:dyDescent="0.2">
      <c r="A253" s="30">
        <v>761</v>
      </c>
      <c r="B253" s="31" t="s">
        <v>567</v>
      </c>
      <c r="C253" s="65"/>
      <c r="D253" s="65"/>
      <c r="E253" s="65"/>
      <c r="F253" s="65"/>
      <c r="G253" s="65"/>
      <c r="H253" s="65">
        <v>26003</v>
      </c>
      <c r="I253" s="65"/>
      <c r="J253" s="65"/>
      <c r="K253" s="65"/>
      <c r="L253" s="65"/>
      <c r="M253" s="65"/>
      <c r="N253" s="65">
        <v>25968</v>
      </c>
      <c r="O253" s="65"/>
      <c r="P253" s="65"/>
      <c r="Q253" s="65"/>
      <c r="R253" s="65"/>
      <c r="S253" s="65"/>
      <c r="T253" s="65">
        <v>25262</v>
      </c>
      <c r="U253" s="65"/>
      <c r="V253" s="65"/>
      <c r="W253" s="65"/>
      <c r="X253" s="65"/>
      <c r="Y253" s="65"/>
      <c r="Z253" s="65">
        <v>25650</v>
      </c>
      <c r="AA253" s="65"/>
      <c r="AB253" s="66">
        <v>24420.976780978046</v>
      </c>
      <c r="AC253" s="34">
        <v>138.88113143025754</v>
      </c>
      <c r="AD253" s="180">
        <v>4924.1406891967745</v>
      </c>
      <c r="AE253" s="65">
        <v>0</v>
      </c>
      <c r="AF253" s="34">
        <v>-264.49599999999998</v>
      </c>
      <c r="AG253" s="65">
        <f t="shared" si="97"/>
        <v>29219.50260160508</v>
      </c>
      <c r="AH253" s="65"/>
      <c r="AI253" s="66">
        <v>22810.896811516348</v>
      </c>
      <c r="AJ253" s="34">
        <v>-107.90311409604197</v>
      </c>
      <c r="AK253" s="181">
        <v>5257.2959754448539</v>
      </c>
      <c r="AL253" s="65">
        <v>0</v>
      </c>
      <c r="AM253" s="34">
        <v>-162.16300000000001</v>
      </c>
      <c r="AN253" s="65">
        <f t="shared" si="98"/>
        <v>27798.126672865157</v>
      </c>
      <c r="AO253" s="65"/>
      <c r="AP253" s="41">
        <v>24102.695725292153</v>
      </c>
      <c r="AQ253" s="41">
        <v>-33.355660045759628</v>
      </c>
      <c r="AR253" s="41">
        <v>5956.096512989202</v>
      </c>
      <c r="AS253" s="65">
        <v>0</v>
      </c>
      <c r="AT253" s="34">
        <v>196.10400000000001</v>
      </c>
      <c r="AU253" s="65">
        <f t="shared" si="99"/>
        <v>30221.540578235596</v>
      </c>
      <c r="AV253" s="65"/>
      <c r="AW253" s="41">
        <v>8627.816127814076</v>
      </c>
      <c r="AX253" s="314"/>
      <c r="AY253" s="314"/>
      <c r="AZ253" s="41">
        <v>1840.4494381827026</v>
      </c>
      <c r="BA253" s="65">
        <v>0</v>
      </c>
      <c r="BB253" s="34">
        <v>239.673</v>
      </c>
      <c r="BC253" s="65">
        <f t="shared" si="119"/>
        <v>10707.938565996779</v>
      </c>
      <c r="BD253" s="65"/>
      <c r="BE253" s="41">
        <v>5852.6880730205412</v>
      </c>
      <c r="BF253" s="314"/>
      <c r="BG253" s="314"/>
      <c r="BH253" s="41">
        <v>1825.9326538719829</v>
      </c>
      <c r="BI253" s="65">
        <v>0</v>
      </c>
      <c r="BJ253" s="34">
        <v>717.50599999999997</v>
      </c>
      <c r="BK253" s="65">
        <f t="shared" si="120"/>
        <v>8396.1267268925239</v>
      </c>
      <c r="BL253" s="65"/>
      <c r="BM253" s="41">
        <v>6995.8216216915316</v>
      </c>
      <c r="BN253" s="41">
        <v>1328.5295217005394</v>
      </c>
      <c r="BO253" s="65">
        <v>0</v>
      </c>
      <c r="BP253" s="34">
        <v>717.50599999999997</v>
      </c>
      <c r="BQ253" s="65">
        <f t="shared" si="100"/>
        <v>9041.8571433920697</v>
      </c>
      <c r="BR253" s="65"/>
      <c r="BS253" s="41">
        <v>6578.6852653121878</v>
      </c>
      <c r="BT253" s="314"/>
      <c r="BU253" s="314"/>
      <c r="BV253" s="41">
        <v>1407.4609541070856</v>
      </c>
      <c r="BW253" s="65">
        <v>0</v>
      </c>
      <c r="BX253" s="34">
        <v>717.50599999999997</v>
      </c>
      <c r="BY253" s="65">
        <f t="shared" si="121"/>
        <v>8703.652219419273</v>
      </c>
      <c r="CA253" s="5">
        <v>6536.3076626958436</v>
      </c>
      <c r="CB253" s="407">
        <v>1488.6024410688838</v>
      </c>
      <c r="CC253" s="415">
        <v>0</v>
      </c>
      <c r="CD253" s="34">
        <v>717.50599999999997</v>
      </c>
      <c r="CE253" s="65">
        <f t="shared" si="101"/>
        <v>8742.4161037647264</v>
      </c>
      <c r="CF253" s="407"/>
      <c r="CG253" s="5">
        <v>7441.7180783326294</v>
      </c>
      <c r="CH253" s="407">
        <v>1558.9771978882511</v>
      </c>
      <c r="CI253" s="415">
        <v>0</v>
      </c>
      <c r="CJ253" s="34">
        <v>717.50599999999997</v>
      </c>
      <c r="CK253" s="65">
        <f t="shared" si="102"/>
        <v>9718.2012762208797</v>
      </c>
      <c r="CL253" s="407"/>
      <c r="CM253" s="41">
        <f>AU253/'1. Väestöennuste'!L253*1000</f>
        <v>3586.7007569707566</v>
      </c>
      <c r="CN253" s="41">
        <f>BC253/'1. Väestöennuste'!M253*1000</f>
        <v>1273.2388306773817</v>
      </c>
      <c r="CO253" s="41">
        <f>BK253/'1. Väestöennuste'!N253*1000</f>
        <v>1013.1684236626672</v>
      </c>
      <c r="CP253" s="41">
        <f>BQ253/'1. Väestöennuste'!O253*1000</f>
        <v>1101.0542064530041</v>
      </c>
      <c r="CQ253" s="41">
        <f>BY253/'1. Väestöennuste'!P253*1000</f>
        <v>1069.1134036874184</v>
      </c>
      <c r="CR253" s="41">
        <f>CE253/'1. Väestöennuste'!Q253*1000</f>
        <v>1082.7862402482942</v>
      </c>
      <c r="CS253" s="41">
        <f>CK253/'1. Väestöennuste'!R253*1000</f>
        <v>1212.6530167483006</v>
      </c>
      <c r="CT253" s="41"/>
      <c r="CV253" s="41">
        <f t="shared" si="103"/>
        <v>9000.6952762208803</v>
      </c>
      <c r="CW253" s="41">
        <f t="shared" si="104"/>
        <v>-6131.500519250123</v>
      </c>
      <c r="CX253" s="41">
        <f t="shared" si="105"/>
        <v>-2313.4619262933747</v>
      </c>
      <c r="CY253" s="41">
        <f t="shared" si="106"/>
        <v>-260.07040701471442</v>
      </c>
      <c r="CZ253" s="41">
        <f t="shared" si="107"/>
        <v>87.885782790336862</v>
      </c>
      <c r="DA253" s="41">
        <f t="shared" si="108"/>
        <v>-31.940802765585659</v>
      </c>
      <c r="DB253" s="41">
        <f t="shared" si="109"/>
        <v>13.672836560875794</v>
      </c>
      <c r="DC253" s="41">
        <f t="shared" si="110"/>
        <v>129.86677650000638</v>
      </c>
      <c r="DD253" s="41"/>
      <c r="DE253" s="283">
        <f t="shared" si="111"/>
        <v>12.54441813200291</v>
      </c>
      <c r="DF253" s="283">
        <f t="shared" si="112"/>
        <v>-0.63092956659099797</v>
      </c>
      <c r="DG253" s="283">
        <f t="shared" si="113"/>
        <v>-0.64501113503744611</v>
      </c>
      <c r="DH253" s="283">
        <f t="shared" si="114"/>
        <v>-0.20425893457581179</v>
      </c>
      <c r="DI253" s="283">
        <f t="shared" si="115"/>
        <v>8.6743507533154518E-2</v>
      </c>
      <c r="DJ253" s="283">
        <f t="shared" si="116"/>
        <v>-2.9009291802700156E-2</v>
      </c>
      <c r="DK253" s="283">
        <f t="shared" si="117"/>
        <v>1.2788948781034443E-2</v>
      </c>
      <c r="DL253" s="283">
        <f t="shared" si="118"/>
        <v>0.11993759402615475</v>
      </c>
    </row>
    <row r="254" spans="1:116" x14ac:dyDescent="0.2">
      <c r="A254" s="30">
        <v>762</v>
      </c>
      <c r="B254" s="31" t="s">
        <v>568</v>
      </c>
      <c r="C254" s="65"/>
      <c r="D254" s="65"/>
      <c r="E254" s="65"/>
      <c r="F254" s="65"/>
      <c r="G254" s="65"/>
      <c r="H254" s="65">
        <v>15346</v>
      </c>
      <c r="I254" s="65"/>
      <c r="J254" s="65"/>
      <c r="K254" s="65"/>
      <c r="L254" s="65"/>
      <c r="M254" s="65"/>
      <c r="N254" s="65">
        <v>15586</v>
      </c>
      <c r="O254" s="65"/>
      <c r="P254" s="65"/>
      <c r="Q254" s="65"/>
      <c r="R254" s="65"/>
      <c r="S254" s="65"/>
      <c r="T254" s="65">
        <v>15657</v>
      </c>
      <c r="U254" s="65"/>
      <c r="V254" s="65"/>
      <c r="W254" s="65"/>
      <c r="X254" s="65"/>
      <c r="Y254" s="65"/>
      <c r="Z254" s="65">
        <v>15241</v>
      </c>
      <c r="AA254" s="65"/>
      <c r="AB254" s="66">
        <v>14195.149937408389</v>
      </c>
      <c r="AC254" s="34">
        <v>63.713110416424605</v>
      </c>
      <c r="AD254" s="180">
        <v>2395.3079426465579</v>
      </c>
      <c r="AE254" s="65">
        <v>0</v>
      </c>
      <c r="AF254" s="34">
        <v>-40.628</v>
      </c>
      <c r="AG254" s="65">
        <f t="shared" si="97"/>
        <v>16613.542990471371</v>
      </c>
      <c r="AH254" s="65"/>
      <c r="AI254" s="66">
        <v>13792.169770594868</v>
      </c>
      <c r="AJ254" s="34">
        <v>-48.01554442762945</v>
      </c>
      <c r="AK254" s="181">
        <v>2542.7012162125734</v>
      </c>
      <c r="AL254" s="65">
        <v>665</v>
      </c>
      <c r="AM254" s="34">
        <v>-194.03700000000001</v>
      </c>
      <c r="AN254" s="65">
        <f t="shared" si="98"/>
        <v>16757.818442379812</v>
      </c>
      <c r="AO254" s="65"/>
      <c r="AP254" s="41">
        <v>13565.660280321907</v>
      </c>
      <c r="AQ254" s="41">
        <v>-14.532807182318818</v>
      </c>
      <c r="AR254" s="41">
        <v>2838.2548865405461</v>
      </c>
      <c r="AS254" s="65">
        <v>0</v>
      </c>
      <c r="AT254" s="34">
        <v>-113.721</v>
      </c>
      <c r="AU254" s="65">
        <f t="shared" si="99"/>
        <v>16275.661359680134</v>
      </c>
      <c r="AV254" s="65"/>
      <c r="AW254" s="41">
        <v>3585.8379332353047</v>
      </c>
      <c r="AX254" s="314"/>
      <c r="AY254" s="314"/>
      <c r="AZ254" s="41">
        <v>890.77117347844262</v>
      </c>
      <c r="BA254" s="65">
        <v>0</v>
      </c>
      <c r="BB254" s="34">
        <v>-90.67</v>
      </c>
      <c r="BC254" s="65">
        <f t="shared" si="119"/>
        <v>4385.9391067137476</v>
      </c>
      <c r="BD254" s="65"/>
      <c r="BE254" s="41">
        <v>3804.3239499543747</v>
      </c>
      <c r="BF254" s="314"/>
      <c r="BG254" s="314"/>
      <c r="BH254" s="41">
        <v>885.23154954171628</v>
      </c>
      <c r="BI254" s="65">
        <v>0</v>
      </c>
      <c r="BJ254" s="34">
        <v>-45.284999999999997</v>
      </c>
      <c r="BK254" s="65">
        <f t="shared" si="120"/>
        <v>4644.2704994960914</v>
      </c>
      <c r="BL254" s="65"/>
      <c r="BM254" s="41">
        <v>4461.0597063486293</v>
      </c>
      <c r="BN254" s="41">
        <v>669.01621934147511</v>
      </c>
      <c r="BO254" s="65">
        <v>0</v>
      </c>
      <c r="BP254" s="34">
        <v>-45.284999999999997</v>
      </c>
      <c r="BQ254" s="65">
        <f t="shared" si="100"/>
        <v>5084.7909256901048</v>
      </c>
      <c r="BR254" s="65"/>
      <c r="BS254" s="41">
        <v>4544.0138880736631</v>
      </c>
      <c r="BT254" s="314"/>
      <c r="BU254" s="314"/>
      <c r="BV254" s="41">
        <v>709.83876948294926</v>
      </c>
      <c r="BW254" s="65">
        <v>0</v>
      </c>
      <c r="BX254" s="34">
        <v>-45.284999999999997</v>
      </c>
      <c r="BY254" s="65">
        <f t="shared" si="121"/>
        <v>5208.5676575566122</v>
      </c>
      <c r="CA254" s="5">
        <v>4589.4884423760905</v>
      </c>
      <c r="CB254" s="407">
        <v>749.78446246203748</v>
      </c>
      <c r="CC254" s="415">
        <v>0</v>
      </c>
      <c r="CD254" s="34">
        <v>-45.284999999999997</v>
      </c>
      <c r="CE254" s="65">
        <f t="shared" si="101"/>
        <v>5293.9879048381281</v>
      </c>
      <c r="CF254" s="407"/>
      <c r="CG254" s="5">
        <v>5109.3113925667349</v>
      </c>
      <c r="CH254" s="407">
        <v>785.15423677994181</v>
      </c>
      <c r="CI254" s="415">
        <v>0</v>
      </c>
      <c r="CJ254" s="34">
        <v>-45.284999999999997</v>
      </c>
      <c r="CK254" s="65">
        <f t="shared" si="102"/>
        <v>5849.1806293466771</v>
      </c>
      <c r="CL254" s="407"/>
      <c r="CM254" s="41">
        <f>AU254/'1. Väestöennuste'!L254*1000</f>
        <v>4432.3696513290124</v>
      </c>
      <c r="CN254" s="41">
        <f>BC254/'1. Väestöennuste'!M254*1000</f>
        <v>1205.9222179581379</v>
      </c>
      <c r="CO254" s="41">
        <f>BK254/'1. Väestöennuste'!N254*1000</f>
        <v>1306.0378232553689</v>
      </c>
      <c r="CP254" s="41">
        <f>BQ254/'1. Väestöennuste'!O254*1000</f>
        <v>1454.0437305376338</v>
      </c>
      <c r="CQ254" s="41">
        <f>BY254/'1. Väestöennuste'!P254*1000</f>
        <v>1513.2387151529961</v>
      </c>
      <c r="CR254" s="41">
        <f>CE254/'1. Väestöennuste'!Q254*1000</f>
        <v>1561.1878221286136</v>
      </c>
      <c r="CS254" s="41">
        <f>CK254/'1. Väestöennuste'!R254*1000</f>
        <v>1750.7275155183111</v>
      </c>
      <c r="CT254" s="41"/>
      <c r="CV254" s="41">
        <f t="shared" si="103"/>
        <v>5894.4656293466769</v>
      </c>
      <c r="CW254" s="41">
        <f t="shared" si="104"/>
        <v>-1416.8109780176646</v>
      </c>
      <c r="CX254" s="41">
        <f t="shared" si="105"/>
        <v>-3226.4474333708745</v>
      </c>
      <c r="CY254" s="41">
        <f t="shared" si="106"/>
        <v>100.11560529723101</v>
      </c>
      <c r="CZ254" s="41">
        <f t="shared" si="107"/>
        <v>148.00590728226484</v>
      </c>
      <c r="DA254" s="41">
        <f t="shared" si="108"/>
        <v>59.194984615362273</v>
      </c>
      <c r="DB254" s="41">
        <f t="shared" si="109"/>
        <v>47.949106975617497</v>
      </c>
      <c r="DC254" s="41">
        <f t="shared" si="110"/>
        <v>189.5396933896975</v>
      </c>
      <c r="DD254" s="41"/>
      <c r="DE254" s="283">
        <f t="shared" si="111"/>
        <v>-130.16375465047318</v>
      </c>
      <c r="DF254" s="283">
        <f t="shared" si="112"/>
        <v>-0.2422238374566858</v>
      </c>
      <c r="DG254" s="283">
        <f t="shared" si="113"/>
        <v>-0.72792832890267822</v>
      </c>
      <c r="DH254" s="283">
        <f t="shared" si="114"/>
        <v>8.3019952536197816E-2</v>
      </c>
      <c r="DI254" s="283">
        <f t="shared" si="115"/>
        <v>0.11332436522653856</v>
      </c>
      <c r="DJ254" s="283">
        <f t="shared" si="116"/>
        <v>4.0710594442352074E-2</v>
      </c>
      <c r="DK254" s="283">
        <f t="shared" si="117"/>
        <v>3.1686413052662087E-2</v>
      </c>
      <c r="DL254" s="283">
        <f t="shared" si="118"/>
        <v>0.12140736092295938</v>
      </c>
    </row>
    <row r="255" spans="1:116" x14ac:dyDescent="0.2">
      <c r="A255" s="30">
        <v>765</v>
      </c>
      <c r="B255" s="31" t="s">
        <v>569</v>
      </c>
      <c r="C255" s="65"/>
      <c r="D255" s="65"/>
      <c r="E255" s="65"/>
      <c r="F255" s="65"/>
      <c r="G255" s="65"/>
      <c r="H255" s="65">
        <v>26881</v>
      </c>
      <c r="I255" s="65"/>
      <c r="J255" s="65"/>
      <c r="K255" s="65"/>
      <c r="L255" s="65"/>
      <c r="M255" s="65"/>
      <c r="N255" s="65">
        <v>27017</v>
      </c>
      <c r="O255" s="65"/>
      <c r="P255" s="65"/>
      <c r="Q255" s="65"/>
      <c r="R255" s="65"/>
      <c r="S255" s="65"/>
      <c r="T255" s="65">
        <v>26394</v>
      </c>
      <c r="U255" s="65"/>
      <c r="V255" s="65"/>
      <c r="W255" s="65"/>
      <c r="X255" s="65"/>
      <c r="Y255" s="65"/>
      <c r="Z255" s="65">
        <v>26715</v>
      </c>
      <c r="AA255" s="65"/>
      <c r="AB255" s="66">
        <v>25266.96878745178</v>
      </c>
      <c r="AC255" s="34">
        <v>185.53111612514772</v>
      </c>
      <c r="AD255" s="180">
        <v>5100.5716904423725</v>
      </c>
      <c r="AE255" s="65">
        <v>0</v>
      </c>
      <c r="AF255" s="34">
        <v>671.33</v>
      </c>
      <c r="AG255" s="65">
        <f t="shared" si="97"/>
        <v>31224.401594019302</v>
      </c>
      <c r="AH255" s="65"/>
      <c r="AI255" s="66">
        <v>22711.423724935892</v>
      </c>
      <c r="AJ255" s="34">
        <v>-143.24950243967055</v>
      </c>
      <c r="AK255" s="181">
        <v>5466.9054827926439</v>
      </c>
      <c r="AL255" s="65">
        <v>0</v>
      </c>
      <c r="AM255" s="34">
        <v>646.38099999999997</v>
      </c>
      <c r="AN255" s="65">
        <f t="shared" si="98"/>
        <v>28681.460705288868</v>
      </c>
      <c r="AO255" s="65"/>
      <c r="AP255" s="41">
        <v>23172.652703818225</v>
      </c>
      <c r="AQ255" s="41">
        <v>-43.931904176601542</v>
      </c>
      <c r="AR255" s="41">
        <v>6263.2661937809034</v>
      </c>
      <c r="AS255" s="65">
        <v>1000</v>
      </c>
      <c r="AT255" s="34">
        <v>583.70399999999995</v>
      </c>
      <c r="AU255" s="65">
        <f t="shared" si="99"/>
        <v>30975.690993422526</v>
      </c>
      <c r="AV255" s="65"/>
      <c r="AW255" s="41">
        <v>2491.3726950914097</v>
      </c>
      <c r="AX255" s="314"/>
      <c r="AY255" s="314"/>
      <c r="AZ255" s="41">
        <v>1887.7228527956752</v>
      </c>
      <c r="BA255" s="65">
        <v>0</v>
      </c>
      <c r="BB255" s="34">
        <v>589.41600000000005</v>
      </c>
      <c r="BC255" s="65">
        <f t="shared" si="119"/>
        <v>4968.5115478870848</v>
      </c>
      <c r="BD255" s="65"/>
      <c r="BE255" s="41">
        <v>4347.6256125489936</v>
      </c>
      <c r="BF255" s="314"/>
      <c r="BG255" s="314"/>
      <c r="BH255" s="41">
        <v>1862.3840320725933</v>
      </c>
      <c r="BI255" s="65">
        <v>0</v>
      </c>
      <c r="BJ255" s="34">
        <v>656.81700000000001</v>
      </c>
      <c r="BK255" s="65">
        <f t="shared" si="120"/>
        <v>6866.8266446215866</v>
      </c>
      <c r="BL255" s="65"/>
      <c r="BM255" s="41">
        <v>5808.0684509338525</v>
      </c>
      <c r="BN255" s="41">
        <v>1267.9197383334999</v>
      </c>
      <c r="BO255" s="65">
        <v>0</v>
      </c>
      <c r="BP255" s="34">
        <v>656.81700000000001</v>
      </c>
      <c r="BQ255" s="65">
        <f t="shared" si="100"/>
        <v>7732.8051892673529</v>
      </c>
      <c r="BR255" s="65"/>
      <c r="BS255" s="41">
        <v>5613.6151100764173</v>
      </c>
      <c r="BT255" s="314"/>
      <c r="BU255" s="314"/>
      <c r="BV255" s="41">
        <v>1349.649419204804</v>
      </c>
      <c r="BW255" s="65">
        <v>0</v>
      </c>
      <c r="BX255" s="34">
        <v>656.81700000000001</v>
      </c>
      <c r="BY255" s="65">
        <f t="shared" si="121"/>
        <v>7620.0815292812213</v>
      </c>
      <c r="CA255" s="5">
        <v>5561.6127269991694</v>
      </c>
      <c r="CB255" s="407">
        <v>1435.1394394219153</v>
      </c>
      <c r="CC255" s="415">
        <v>0</v>
      </c>
      <c r="CD255" s="34">
        <v>656.81700000000001</v>
      </c>
      <c r="CE255" s="65">
        <f t="shared" si="101"/>
        <v>7653.5691664210844</v>
      </c>
      <c r="CF255" s="407"/>
      <c r="CG255" s="5">
        <v>6181.0138182257306</v>
      </c>
      <c r="CH255" s="407">
        <v>1507.7885745594069</v>
      </c>
      <c r="CI255" s="415">
        <v>0</v>
      </c>
      <c r="CJ255" s="34">
        <v>656.81700000000001</v>
      </c>
      <c r="CK255" s="65">
        <f t="shared" si="102"/>
        <v>8345.6193927851382</v>
      </c>
      <c r="CL255" s="407"/>
      <c r="CM255" s="41">
        <f>AU255/'1. Väestöennuste'!L255*1000</f>
        <v>2991.664187118266</v>
      </c>
      <c r="CN255" s="41">
        <f>BC255/'1. Väestöennuste'!M255*1000</f>
        <v>483.60050105967343</v>
      </c>
      <c r="CO255" s="41">
        <f>BK255/'1. Väestöennuste'!N255*1000</f>
        <v>680.01848332556813</v>
      </c>
      <c r="CP255" s="41">
        <f>BQ255/'1. Väestöennuste'!O255*1000</f>
        <v>769.6631023457104</v>
      </c>
      <c r="CQ255" s="41">
        <f>BY255/'1. Väestöennuste'!P255*1000</f>
        <v>762.08436136425848</v>
      </c>
      <c r="CR255" s="41">
        <f>CE255/'1. Väestöennuste'!Q255*1000</f>
        <v>769.28024589617894</v>
      </c>
      <c r="CS255" s="41">
        <f>CK255/'1. Väestöennuste'!R255*1000</f>
        <v>842.9918578570846</v>
      </c>
      <c r="CT255" s="41"/>
      <c r="CV255" s="41">
        <f t="shared" si="103"/>
        <v>7688.8023927851382</v>
      </c>
      <c r="CW255" s="41">
        <f t="shared" si="104"/>
        <v>-5353.9552056668726</v>
      </c>
      <c r="CX255" s="41">
        <f t="shared" si="105"/>
        <v>-2508.0636860585928</v>
      </c>
      <c r="CY255" s="41">
        <f t="shared" si="106"/>
        <v>196.41798226589469</v>
      </c>
      <c r="CZ255" s="41">
        <f t="shared" si="107"/>
        <v>89.644619020142272</v>
      </c>
      <c r="DA255" s="41">
        <f t="shared" si="108"/>
        <v>-7.5787409814519151</v>
      </c>
      <c r="DB255" s="41">
        <f t="shared" si="109"/>
        <v>7.1958845319204556</v>
      </c>
      <c r="DC255" s="41">
        <f t="shared" si="110"/>
        <v>73.711611960905657</v>
      </c>
      <c r="DD255" s="41"/>
      <c r="DE255" s="283">
        <f t="shared" si="111"/>
        <v>11.706156193863951</v>
      </c>
      <c r="DF255" s="283">
        <f t="shared" si="112"/>
        <v>-0.64152880136079704</v>
      </c>
      <c r="DG255" s="283">
        <f t="shared" si="113"/>
        <v>-0.8383506734672973</v>
      </c>
      <c r="DH255" s="283">
        <f t="shared" si="114"/>
        <v>0.40615752431087304</v>
      </c>
      <c r="DI255" s="283">
        <f t="shared" si="115"/>
        <v>0.13182673885824908</v>
      </c>
      <c r="DJ255" s="283">
        <f t="shared" si="116"/>
        <v>-9.8468290325391793E-3</v>
      </c>
      <c r="DK255" s="283">
        <f t="shared" si="117"/>
        <v>9.4423726515508316E-3</v>
      </c>
      <c r="DL255" s="283">
        <f t="shared" si="118"/>
        <v>9.581893250753469E-2</v>
      </c>
    </row>
    <row r="256" spans="1:116" x14ac:dyDescent="0.2">
      <c r="A256" s="30">
        <v>768</v>
      </c>
      <c r="B256" s="31" t="s">
        <v>570</v>
      </c>
      <c r="C256" s="65"/>
      <c r="D256" s="65"/>
      <c r="E256" s="65"/>
      <c r="F256" s="65"/>
      <c r="G256" s="65"/>
      <c r="H256" s="65">
        <v>11412</v>
      </c>
      <c r="I256" s="65"/>
      <c r="J256" s="65"/>
      <c r="K256" s="65"/>
      <c r="L256" s="65"/>
      <c r="M256" s="65"/>
      <c r="N256" s="65">
        <v>11375</v>
      </c>
      <c r="O256" s="65"/>
      <c r="P256" s="65"/>
      <c r="Q256" s="65"/>
      <c r="R256" s="65"/>
      <c r="S256" s="65"/>
      <c r="T256" s="65">
        <v>11185</v>
      </c>
      <c r="U256" s="65"/>
      <c r="V256" s="65"/>
      <c r="W256" s="65"/>
      <c r="X256" s="65"/>
      <c r="Y256" s="65"/>
      <c r="Z256" s="65">
        <v>11154</v>
      </c>
      <c r="AA256" s="65"/>
      <c r="AB256" s="66">
        <v>10078.452938476214</v>
      </c>
      <c r="AC256" s="34">
        <v>41.420854476932682</v>
      </c>
      <c r="AD256" s="180">
        <v>1612.685717225495</v>
      </c>
      <c r="AE256" s="65">
        <v>0</v>
      </c>
      <c r="AF256" s="34">
        <v>375.00400000000002</v>
      </c>
      <c r="AG256" s="65">
        <f t="shared" si="97"/>
        <v>12107.563510178643</v>
      </c>
      <c r="AH256" s="65"/>
      <c r="AI256" s="66">
        <v>9219.4854076141364</v>
      </c>
      <c r="AJ256" s="34">
        <v>-31.452070845176411</v>
      </c>
      <c r="AK256" s="181">
        <v>1708.1143285196988</v>
      </c>
      <c r="AL256" s="65">
        <v>0</v>
      </c>
      <c r="AM256" s="34">
        <v>383.46699999999998</v>
      </c>
      <c r="AN256" s="65">
        <f t="shared" si="98"/>
        <v>11279.61466528866</v>
      </c>
      <c r="AO256" s="65"/>
      <c r="AP256" s="41">
        <v>9152.2137197984521</v>
      </c>
      <c r="AQ256" s="41">
        <v>-9.5310763220461894</v>
      </c>
      <c r="AR256" s="41">
        <v>1888.7648482496761</v>
      </c>
      <c r="AS256" s="65">
        <v>0</v>
      </c>
      <c r="AT256" s="34">
        <v>332.11</v>
      </c>
      <c r="AU256" s="65">
        <f t="shared" si="99"/>
        <v>11363.557491726082</v>
      </c>
      <c r="AV256" s="65"/>
      <c r="AW256" s="41">
        <v>1631.4754457455051</v>
      </c>
      <c r="AX256" s="314"/>
      <c r="AY256" s="314"/>
      <c r="AZ256" s="41">
        <v>569.41554148617217</v>
      </c>
      <c r="BA256" s="65">
        <v>0</v>
      </c>
      <c r="BB256" s="34">
        <v>303.65899999999999</v>
      </c>
      <c r="BC256" s="65">
        <f t="shared" si="119"/>
        <v>2504.5499872316773</v>
      </c>
      <c r="BD256" s="65"/>
      <c r="BE256" s="41">
        <v>2148.6638330932906</v>
      </c>
      <c r="BF256" s="314"/>
      <c r="BG256" s="314"/>
      <c r="BH256" s="41">
        <v>567.35211782793522</v>
      </c>
      <c r="BI256" s="65">
        <v>0</v>
      </c>
      <c r="BJ256" s="34">
        <v>247.73500000000001</v>
      </c>
      <c r="BK256" s="65">
        <f t="shared" si="120"/>
        <v>2963.7509509212259</v>
      </c>
      <c r="BL256" s="65"/>
      <c r="BM256" s="41">
        <v>2739.8543912696127</v>
      </c>
      <c r="BN256" s="41">
        <v>449.23696342708701</v>
      </c>
      <c r="BO256" s="65">
        <v>0</v>
      </c>
      <c r="BP256" s="34">
        <v>247.73500000000001</v>
      </c>
      <c r="BQ256" s="65">
        <f t="shared" si="100"/>
        <v>3436.8263546967</v>
      </c>
      <c r="BR256" s="65"/>
      <c r="BS256" s="41">
        <v>2590.1709828097646</v>
      </c>
      <c r="BT256" s="314"/>
      <c r="BU256" s="314"/>
      <c r="BV256" s="41">
        <v>474.79902761993765</v>
      </c>
      <c r="BW256" s="65">
        <v>0</v>
      </c>
      <c r="BX256" s="34">
        <v>247.73500000000001</v>
      </c>
      <c r="BY256" s="65">
        <f t="shared" si="121"/>
        <v>3312.7050104297023</v>
      </c>
      <c r="CA256" s="5">
        <v>2683.5969007657982</v>
      </c>
      <c r="CB256" s="407">
        <v>501.08955406239181</v>
      </c>
      <c r="CC256" s="415">
        <v>0</v>
      </c>
      <c r="CD256" s="34">
        <v>247.73500000000001</v>
      </c>
      <c r="CE256" s="65">
        <f t="shared" si="101"/>
        <v>3432.4214548281902</v>
      </c>
      <c r="CF256" s="407"/>
      <c r="CG256" s="5">
        <v>3113.4018135553533</v>
      </c>
      <c r="CH256" s="407">
        <v>524.34649919209278</v>
      </c>
      <c r="CI256" s="415">
        <v>0</v>
      </c>
      <c r="CJ256" s="34">
        <v>247.73500000000001</v>
      </c>
      <c r="CK256" s="65">
        <f t="shared" si="102"/>
        <v>3885.4833127474462</v>
      </c>
      <c r="CL256" s="407"/>
      <c r="CM256" s="41">
        <f>AU256/'1. Väestöennuste'!L256*1000</f>
        <v>4784.6557859899294</v>
      </c>
      <c r="CN256" s="41">
        <f>BC256/'1. Väestöennuste'!M256*1000</f>
        <v>1057.6646905539178</v>
      </c>
      <c r="CO256" s="41">
        <f>BK256/'1. Väestöennuste'!N256*1000</f>
        <v>1292.5211299263958</v>
      </c>
      <c r="CP256" s="41">
        <f>BQ256/'1. Väestöennuste'!O256*1000</f>
        <v>1524.7676817642857</v>
      </c>
      <c r="CQ256" s="41">
        <f>BY256/'1. Väestöennuste'!P256*1000</f>
        <v>1493.5550092108667</v>
      </c>
      <c r="CR256" s="41">
        <f>CE256/'1. Väestöennuste'!Q256*1000</f>
        <v>1570.9022676559223</v>
      </c>
      <c r="CS256" s="41">
        <f>CK256/'1. Väestöennuste'!R256*1000</f>
        <v>1801.3367235732248</v>
      </c>
      <c r="CT256" s="41"/>
      <c r="CV256" s="41">
        <f t="shared" si="103"/>
        <v>3637.7483127474461</v>
      </c>
      <c r="CW256" s="41">
        <f t="shared" si="104"/>
        <v>899.17247324248319</v>
      </c>
      <c r="CX256" s="41">
        <f t="shared" si="105"/>
        <v>-3726.9910954360116</v>
      </c>
      <c r="CY256" s="41">
        <f t="shared" si="106"/>
        <v>234.85643937247801</v>
      </c>
      <c r="CZ256" s="41">
        <f t="shared" si="107"/>
        <v>232.24655183788991</v>
      </c>
      <c r="DA256" s="41">
        <f t="shared" si="108"/>
        <v>-31.212672553418997</v>
      </c>
      <c r="DB256" s="41">
        <f t="shared" si="109"/>
        <v>77.347258445055559</v>
      </c>
      <c r="DC256" s="41">
        <f t="shared" si="110"/>
        <v>230.43445591730256</v>
      </c>
      <c r="DD256" s="41"/>
      <c r="DE256" s="283">
        <f t="shared" si="111"/>
        <v>14.684030567935277</v>
      </c>
      <c r="DF256" s="283">
        <f t="shared" si="112"/>
        <v>0.23141843648960969</v>
      </c>
      <c r="DG256" s="283">
        <f t="shared" si="113"/>
        <v>-0.77894654540230623</v>
      </c>
      <c r="DH256" s="283">
        <f t="shared" si="114"/>
        <v>0.22205188607504664</v>
      </c>
      <c r="DI256" s="283">
        <f t="shared" si="115"/>
        <v>0.1796849169120473</v>
      </c>
      <c r="DJ256" s="283">
        <f t="shared" si="116"/>
        <v>-2.0470444728539421E-2</v>
      </c>
      <c r="DK256" s="283">
        <f t="shared" si="117"/>
        <v>5.1787351632882062E-2</v>
      </c>
      <c r="DL256" s="283">
        <f t="shared" si="118"/>
        <v>0.14668923755591334</v>
      </c>
    </row>
    <row r="257" spans="1:116" x14ac:dyDescent="0.2">
      <c r="A257" s="30">
        <v>777</v>
      </c>
      <c r="B257" s="31" t="s">
        <v>571</v>
      </c>
      <c r="C257" s="65"/>
      <c r="D257" s="65"/>
      <c r="E257" s="65"/>
      <c r="F257" s="65"/>
      <c r="G257" s="65"/>
      <c r="H257" s="65">
        <v>32777</v>
      </c>
      <c r="I257" s="65"/>
      <c r="J257" s="65"/>
      <c r="K257" s="65"/>
      <c r="L257" s="65"/>
      <c r="M257" s="65"/>
      <c r="N257" s="65">
        <v>32246</v>
      </c>
      <c r="O257" s="65"/>
      <c r="P257" s="65"/>
      <c r="Q257" s="65"/>
      <c r="R257" s="65"/>
      <c r="S257" s="65"/>
      <c r="T257" s="65">
        <v>31363</v>
      </c>
      <c r="U257" s="65"/>
      <c r="V257" s="65"/>
      <c r="W257" s="65"/>
      <c r="X257" s="65"/>
      <c r="Y257" s="65"/>
      <c r="Z257" s="65">
        <v>30747</v>
      </c>
      <c r="AA257" s="65"/>
      <c r="AB257" s="66">
        <v>30257.064904204002</v>
      </c>
      <c r="AC257" s="34">
        <v>133.49681344746972</v>
      </c>
      <c r="AD257" s="180">
        <v>4364.7293374004348</v>
      </c>
      <c r="AE257" s="65">
        <v>0</v>
      </c>
      <c r="AF257" s="34">
        <v>-374.20800000000003</v>
      </c>
      <c r="AG257" s="65">
        <f t="shared" si="97"/>
        <v>34381.083055051909</v>
      </c>
      <c r="AH257" s="65"/>
      <c r="AI257" s="66">
        <v>29320.837826381907</v>
      </c>
      <c r="AJ257" s="34">
        <v>-102.72761941816637</v>
      </c>
      <c r="AK257" s="181">
        <v>4639.4443111565506</v>
      </c>
      <c r="AL257" s="65">
        <v>0</v>
      </c>
      <c r="AM257" s="34">
        <v>-223.39599999999999</v>
      </c>
      <c r="AN257" s="65">
        <f t="shared" si="98"/>
        <v>33634.15851812029</v>
      </c>
      <c r="AO257" s="65"/>
      <c r="AP257" s="41">
        <v>30621.770063138647</v>
      </c>
      <c r="AQ257" s="41">
        <v>-31.424070590941266</v>
      </c>
      <c r="AR257" s="41">
        <v>5154.8007070890035</v>
      </c>
      <c r="AS257" s="65">
        <v>0</v>
      </c>
      <c r="AT257" s="34">
        <v>-273.69</v>
      </c>
      <c r="AU257" s="65">
        <f t="shared" si="99"/>
        <v>35471.456699636707</v>
      </c>
      <c r="AV257" s="65"/>
      <c r="AW257" s="41">
        <v>6026.1019053188675</v>
      </c>
      <c r="AX257" s="314"/>
      <c r="AY257" s="314"/>
      <c r="AZ257" s="41">
        <v>1559.5683935236621</v>
      </c>
      <c r="BA257" s="65">
        <v>0</v>
      </c>
      <c r="BB257" s="34">
        <v>82.591999999999999</v>
      </c>
      <c r="BC257" s="65">
        <f t="shared" si="119"/>
        <v>7668.2622988425292</v>
      </c>
      <c r="BD257" s="65"/>
      <c r="BE257" s="41">
        <v>6714.8478117648174</v>
      </c>
      <c r="BF257" s="314"/>
      <c r="BG257" s="314"/>
      <c r="BH257" s="41">
        <v>1559.321824338343</v>
      </c>
      <c r="BI257" s="65">
        <v>0</v>
      </c>
      <c r="BJ257" s="34">
        <v>-117.883</v>
      </c>
      <c r="BK257" s="65">
        <f t="shared" si="120"/>
        <v>8156.2866361031611</v>
      </c>
      <c r="BL257" s="65"/>
      <c r="BM257" s="41">
        <v>7860.7250273481495</v>
      </c>
      <c r="BN257" s="41">
        <v>1102.8896030474793</v>
      </c>
      <c r="BO257" s="65">
        <v>0</v>
      </c>
      <c r="BP257" s="34">
        <v>-117.883</v>
      </c>
      <c r="BQ257" s="65">
        <f t="shared" si="100"/>
        <v>8845.7316303956286</v>
      </c>
      <c r="BR257" s="65"/>
      <c r="BS257" s="41">
        <v>8220.00853066534</v>
      </c>
      <c r="BT257" s="314"/>
      <c r="BU257" s="314"/>
      <c r="BV257" s="41">
        <v>1180.9660433831987</v>
      </c>
      <c r="BW257" s="65">
        <v>0</v>
      </c>
      <c r="BX257" s="34">
        <v>-117.883</v>
      </c>
      <c r="BY257" s="65">
        <f t="shared" si="121"/>
        <v>9283.091574048538</v>
      </c>
      <c r="CA257" s="5">
        <v>8151.4907501011048</v>
      </c>
      <c r="CB257" s="407">
        <v>1258.4544059090542</v>
      </c>
      <c r="CC257" s="415">
        <v>0</v>
      </c>
      <c r="CD257" s="34">
        <v>-117.883</v>
      </c>
      <c r="CE257" s="65">
        <f t="shared" si="101"/>
        <v>9292.062156010159</v>
      </c>
      <c r="CF257" s="407"/>
      <c r="CG257" s="5">
        <v>9463.5654743693885</v>
      </c>
      <c r="CH257" s="407">
        <v>1326.3916445890604</v>
      </c>
      <c r="CI257" s="415">
        <v>0</v>
      </c>
      <c r="CJ257" s="34">
        <v>-117.883</v>
      </c>
      <c r="CK257" s="65">
        <f t="shared" si="102"/>
        <v>10672.07411895845</v>
      </c>
      <c r="CL257" s="407"/>
      <c r="CM257" s="41">
        <f>AU257/'1. Väestöennuste'!L257*1000</f>
        <v>4814.9119994077246</v>
      </c>
      <c r="CN257" s="41">
        <f>BC257/'1. Väestöennuste'!M257*1000</f>
        <v>1069.1944086506594</v>
      </c>
      <c r="CO257" s="41">
        <f>BK257/'1. Väestöennuste'!N257*1000</f>
        <v>1159.7165698994968</v>
      </c>
      <c r="CP257" s="41">
        <f>BQ257/'1. Väestöennuste'!O257*1000</f>
        <v>1280.3201086113227</v>
      </c>
      <c r="CQ257" s="41">
        <f>BY257/'1. Väestöennuste'!P257*1000</f>
        <v>1366.9697502648414</v>
      </c>
      <c r="CR257" s="41">
        <f>CE257/'1. Väestöennuste'!Q257*1000</f>
        <v>1391.443868824522</v>
      </c>
      <c r="CS257" s="41">
        <f>CK257/'1. Väestöennuste'!R257*1000</f>
        <v>1624.1171996588723</v>
      </c>
      <c r="CT257" s="41"/>
      <c r="CV257" s="41">
        <f t="shared" si="103"/>
        <v>10789.957118958449</v>
      </c>
      <c r="CW257" s="41">
        <f t="shared" si="104"/>
        <v>-5857.162119550725</v>
      </c>
      <c r="CX257" s="41">
        <f t="shared" si="105"/>
        <v>-3745.7175907570654</v>
      </c>
      <c r="CY257" s="41">
        <f t="shared" si="106"/>
        <v>90.522161248837392</v>
      </c>
      <c r="CZ257" s="41">
        <f t="shared" si="107"/>
        <v>120.60353871182588</v>
      </c>
      <c r="DA257" s="41">
        <f t="shared" si="108"/>
        <v>86.649641653518756</v>
      </c>
      <c r="DB257" s="41">
        <f t="shared" si="109"/>
        <v>24.474118559680619</v>
      </c>
      <c r="DC257" s="41">
        <f t="shared" si="110"/>
        <v>232.67333083435028</v>
      </c>
      <c r="DD257" s="41"/>
      <c r="DE257" s="283">
        <f t="shared" si="111"/>
        <v>-91.531069950361371</v>
      </c>
      <c r="DF257" s="283">
        <f t="shared" si="112"/>
        <v>-0.54883071971415054</v>
      </c>
      <c r="DG257" s="283">
        <f t="shared" si="113"/>
        <v>-0.77794102804325826</v>
      </c>
      <c r="DH257" s="283">
        <f t="shared" si="114"/>
        <v>8.4663893223195785E-2</v>
      </c>
      <c r="DI257" s="283">
        <f t="shared" si="115"/>
        <v>0.10399397735800016</v>
      </c>
      <c r="DJ257" s="283">
        <f t="shared" si="116"/>
        <v>6.7678107272330368E-2</v>
      </c>
      <c r="DK257" s="283">
        <f t="shared" si="117"/>
        <v>1.7903921103549599E-2</v>
      </c>
      <c r="DL257" s="283">
        <f t="shared" si="118"/>
        <v>0.16721718787758963</v>
      </c>
    </row>
    <row r="258" spans="1:116" x14ac:dyDescent="0.2">
      <c r="A258" s="30">
        <v>778</v>
      </c>
      <c r="B258" s="31" t="s">
        <v>572</v>
      </c>
      <c r="C258" s="65"/>
      <c r="D258" s="65"/>
      <c r="E258" s="65"/>
      <c r="F258" s="65"/>
      <c r="G258" s="65"/>
      <c r="H258" s="65">
        <v>24464</v>
      </c>
      <c r="I258" s="65"/>
      <c r="J258" s="65"/>
      <c r="K258" s="65"/>
      <c r="L258" s="65"/>
      <c r="M258" s="65"/>
      <c r="N258" s="65">
        <v>24739</v>
      </c>
      <c r="O258" s="65"/>
      <c r="P258" s="65"/>
      <c r="Q258" s="65"/>
      <c r="R258" s="65"/>
      <c r="S258" s="65"/>
      <c r="T258" s="65">
        <v>24749</v>
      </c>
      <c r="U258" s="65"/>
      <c r="V258" s="65"/>
      <c r="W258" s="65"/>
      <c r="X258" s="65"/>
      <c r="Y258" s="65"/>
      <c r="Z258" s="65">
        <v>25500</v>
      </c>
      <c r="AA258" s="65"/>
      <c r="AB258" s="66">
        <v>23510.877153282592</v>
      </c>
      <c r="AC258" s="34">
        <v>118.12055501908613</v>
      </c>
      <c r="AD258" s="180">
        <v>3738.7928282188732</v>
      </c>
      <c r="AE258" s="65">
        <v>0</v>
      </c>
      <c r="AF258" s="34">
        <v>28.335000000000001</v>
      </c>
      <c r="AG258" s="65">
        <f t="shared" si="97"/>
        <v>27396.125536520551</v>
      </c>
      <c r="AH258" s="65"/>
      <c r="AI258" s="66">
        <v>22289.494673019133</v>
      </c>
      <c r="AJ258" s="34">
        <v>-91.330051863782671</v>
      </c>
      <c r="AK258" s="181">
        <v>3990.7544169905814</v>
      </c>
      <c r="AL258" s="65">
        <v>0</v>
      </c>
      <c r="AM258" s="34">
        <v>-210.774</v>
      </c>
      <c r="AN258" s="65">
        <f t="shared" si="98"/>
        <v>25978.145038145929</v>
      </c>
      <c r="AO258" s="65"/>
      <c r="AP258" s="41">
        <v>23133.848681962587</v>
      </c>
      <c r="AQ258" s="41">
        <v>-28.113721918422847</v>
      </c>
      <c r="AR258" s="41">
        <v>4490.1269750424099</v>
      </c>
      <c r="AS258" s="65">
        <v>0</v>
      </c>
      <c r="AT258" s="34">
        <v>-131.41800000000001</v>
      </c>
      <c r="AU258" s="65">
        <f t="shared" si="99"/>
        <v>27464.443935086572</v>
      </c>
      <c r="AV258" s="65"/>
      <c r="AW258" s="41">
        <v>3590.8792343967334</v>
      </c>
      <c r="AX258" s="314"/>
      <c r="AY258" s="314"/>
      <c r="AZ258" s="41">
        <v>1365.0285224604668</v>
      </c>
      <c r="BA258" s="65">
        <v>0</v>
      </c>
      <c r="BB258" s="34">
        <v>92.402000000000001</v>
      </c>
      <c r="BC258" s="65">
        <f t="shared" si="119"/>
        <v>5048.3097568572002</v>
      </c>
      <c r="BD258" s="65"/>
      <c r="BE258" s="41">
        <v>4298.550359688591</v>
      </c>
      <c r="BF258" s="314"/>
      <c r="BG258" s="314"/>
      <c r="BH258" s="41">
        <v>1359.1376177347938</v>
      </c>
      <c r="BI258" s="65">
        <v>0</v>
      </c>
      <c r="BJ258" s="34">
        <v>165.88</v>
      </c>
      <c r="BK258" s="65">
        <f t="shared" si="120"/>
        <v>5823.5679774233849</v>
      </c>
      <c r="BL258" s="65"/>
      <c r="BM258" s="41">
        <v>4374.3148648006336</v>
      </c>
      <c r="BN258" s="41">
        <v>901.85900058563823</v>
      </c>
      <c r="BO258" s="65">
        <v>0</v>
      </c>
      <c r="BP258" s="34">
        <v>165.88</v>
      </c>
      <c r="BQ258" s="65">
        <f t="shared" si="100"/>
        <v>5442.0538653862723</v>
      </c>
      <c r="BR258" s="65"/>
      <c r="BS258" s="41">
        <v>3268.0268682137835</v>
      </c>
      <c r="BT258" s="314"/>
      <c r="BU258" s="314"/>
      <c r="BV258" s="41">
        <v>970.65618632601127</v>
      </c>
      <c r="BW258" s="65">
        <v>0</v>
      </c>
      <c r="BX258" s="34">
        <v>165.88</v>
      </c>
      <c r="BY258" s="65">
        <f t="shared" si="121"/>
        <v>4404.5630545397953</v>
      </c>
      <c r="CA258" s="5">
        <v>3102.5541407667752</v>
      </c>
      <c r="CB258" s="407">
        <v>1041.1043113260259</v>
      </c>
      <c r="CC258" s="415">
        <v>0</v>
      </c>
      <c r="CD258" s="34">
        <v>165.88</v>
      </c>
      <c r="CE258" s="65">
        <f t="shared" si="101"/>
        <v>4309.538452092801</v>
      </c>
      <c r="CF258" s="407"/>
      <c r="CG258" s="5">
        <v>3729.0813281467044</v>
      </c>
      <c r="CH258" s="407">
        <v>1103.063569600658</v>
      </c>
      <c r="CI258" s="415">
        <v>0</v>
      </c>
      <c r="CJ258" s="34">
        <v>165.88</v>
      </c>
      <c r="CK258" s="65">
        <f t="shared" si="102"/>
        <v>4998.024897747363</v>
      </c>
      <c r="CL258" s="407"/>
      <c r="CM258" s="41">
        <f>AU258/'1. Väestöennuste'!L258*1000</f>
        <v>4060.9853519276317</v>
      </c>
      <c r="CN258" s="41">
        <f>BC258/'1. Väestöennuste'!M258*1000</f>
        <v>752.58046464776385</v>
      </c>
      <c r="CO258" s="41">
        <f>BK258/'1. Väestöennuste'!N258*1000</f>
        <v>887.19804653007088</v>
      </c>
      <c r="CP258" s="41">
        <f>BQ258/'1. Väestöennuste'!O258*1000</f>
        <v>838.78758714338358</v>
      </c>
      <c r="CQ258" s="41">
        <f>BY258/'1. Väestöennuste'!P258*1000</f>
        <v>686.4967354332598</v>
      </c>
      <c r="CR258" s="41">
        <f>CE258/'1. Väestöennuste'!Q258*1000</f>
        <v>678.77436637152323</v>
      </c>
      <c r="CS258" s="41">
        <f>CK258/'1. Väestöennuste'!R258*1000</f>
        <v>795.73712748724131</v>
      </c>
      <c r="CT258" s="41"/>
      <c r="CV258" s="41">
        <f t="shared" si="103"/>
        <v>4832.1448977473628</v>
      </c>
      <c r="CW258" s="41">
        <f t="shared" si="104"/>
        <v>-937.0395458197313</v>
      </c>
      <c r="CX258" s="41">
        <f t="shared" si="105"/>
        <v>-3308.4048872798676</v>
      </c>
      <c r="CY258" s="41">
        <f t="shared" si="106"/>
        <v>134.61758188230704</v>
      </c>
      <c r="CZ258" s="41">
        <f t="shared" si="107"/>
        <v>-48.410459386687307</v>
      </c>
      <c r="DA258" s="41">
        <f t="shared" si="108"/>
        <v>-152.29085171012377</v>
      </c>
      <c r="DB258" s="41">
        <f t="shared" si="109"/>
        <v>-7.7223690617365719</v>
      </c>
      <c r="DC258" s="41">
        <f t="shared" si="110"/>
        <v>116.96276111571808</v>
      </c>
      <c r="DD258" s="41"/>
      <c r="DE258" s="283">
        <f t="shared" si="111"/>
        <v>29.130364707905493</v>
      </c>
      <c r="DF258" s="283">
        <f t="shared" si="112"/>
        <v>-0.18748196837555975</v>
      </c>
      <c r="DG258" s="283">
        <f t="shared" si="113"/>
        <v>-0.8146803301591482</v>
      </c>
      <c r="DH258" s="283">
        <f t="shared" si="114"/>
        <v>0.17887466949505945</v>
      </c>
      <c r="DI258" s="283">
        <f t="shared" si="115"/>
        <v>-5.4565561292685368E-2</v>
      </c>
      <c r="DJ258" s="283">
        <f t="shared" si="116"/>
        <v>-0.18156068836065281</v>
      </c>
      <c r="DK258" s="283">
        <f t="shared" si="117"/>
        <v>-1.1248952344781149E-2</v>
      </c>
      <c r="DL258" s="283">
        <f t="shared" si="118"/>
        <v>0.17231464078550543</v>
      </c>
    </row>
    <row r="259" spans="1:116" x14ac:dyDescent="0.2">
      <c r="A259" s="30">
        <v>781</v>
      </c>
      <c r="B259" s="31" t="s">
        <v>573</v>
      </c>
      <c r="C259" s="65"/>
      <c r="D259" s="65"/>
      <c r="E259" s="65"/>
      <c r="F259" s="65"/>
      <c r="G259" s="65"/>
      <c r="H259" s="65">
        <v>14178</v>
      </c>
      <c r="I259" s="65"/>
      <c r="J259" s="65"/>
      <c r="K259" s="65"/>
      <c r="L259" s="65"/>
      <c r="M259" s="65"/>
      <c r="N259" s="65">
        <v>14241</v>
      </c>
      <c r="O259" s="65"/>
      <c r="P259" s="65"/>
      <c r="Q259" s="65"/>
      <c r="R259" s="65"/>
      <c r="S259" s="65"/>
      <c r="T259" s="65">
        <v>13511</v>
      </c>
      <c r="U259" s="65"/>
      <c r="V259" s="65"/>
      <c r="W259" s="65"/>
      <c r="X259" s="65"/>
      <c r="Y259" s="65"/>
      <c r="Z259" s="65">
        <v>13218</v>
      </c>
      <c r="AA259" s="65"/>
      <c r="AB259" s="66">
        <v>12714.508066089064</v>
      </c>
      <c r="AC259" s="34">
        <v>57.815656206647866</v>
      </c>
      <c r="AD259" s="180">
        <v>2271.7840149852154</v>
      </c>
      <c r="AE259" s="65">
        <v>0</v>
      </c>
      <c r="AF259" s="34">
        <v>-468.67399999999998</v>
      </c>
      <c r="AG259" s="65">
        <f t="shared" si="97"/>
        <v>14575.433737280928</v>
      </c>
      <c r="AH259" s="65"/>
      <c r="AI259" s="66">
        <v>12677.292281832228</v>
      </c>
      <c r="AJ259" s="34">
        <v>-44.325312429330793</v>
      </c>
      <c r="AK259" s="181">
        <v>2409.9529531291782</v>
      </c>
      <c r="AL259" s="65">
        <v>0</v>
      </c>
      <c r="AM259" s="34">
        <v>-527.26800000000003</v>
      </c>
      <c r="AN259" s="65">
        <f t="shared" si="98"/>
        <v>14515.651922532074</v>
      </c>
      <c r="AO259" s="65"/>
      <c r="AP259" s="41">
        <v>13169.228367310016</v>
      </c>
      <c r="AQ259" s="41">
        <v>-13.464364219958988</v>
      </c>
      <c r="AR259" s="41">
        <v>2642.8466544762928</v>
      </c>
      <c r="AS259" s="65">
        <v>0</v>
      </c>
      <c r="AT259" s="34">
        <v>-360.23500000000001</v>
      </c>
      <c r="AU259" s="65">
        <f t="shared" si="99"/>
        <v>15438.375657566348</v>
      </c>
      <c r="AV259" s="65"/>
      <c r="AW259" s="41">
        <v>3188.7030700146461</v>
      </c>
      <c r="AX259" s="314"/>
      <c r="AY259" s="314"/>
      <c r="AZ259" s="41">
        <v>805.4191889399458</v>
      </c>
      <c r="BA259" s="65">
        <v>0</v>
      </c>
      <c r="BB259" s="34">
        <v>-412.50700000000001</v>
      </c>
      <c r="BC259" s="65">
        <f t="shared" si="119"/>
        <v>3581.6152589545918</v>
      </c>
      <c r="BD259" s="65"/>
      <c r="BE259" s="41">
        <v>3241.8281329911142</v>
      </c>
      <c r="BF259" s="314"/>
      <c r="BG259" s="314"/>
      <c r="BH259" s="41">
        <v>802.15007737273277</v>
      </c>
      <c r="BI259" s="65">
        <v>0</v>
      </c>
      <c r="BJ259" s="34">
        <v>-324.82600000000002</v>
      </c>
      <c r="BK259" s="65">
        <f t="shared" si="120"/>
        <v>3719.1522103638472</v>
      </c>
      <c r="BL259" s="65"/>
      <c r="BM259" s="41">
        <v>3695.8747060710539</v>
      </c>
      <c r="BN259" s="41">
        <v>694.25262358629971</v>
      </c>
      <c r="BO259" s="65">
        <v>0</v>
      </c>
      <c r="BP259" s="34">
        <v>-324.82600000000002</v>
      </c>
      <c r="BQ259" s="65">
        <f t="shared" si="100"/>
        <v>4065.3013296573536</v>
      </c>
      <c r="BR259" s="65"/>
      <c r="BS259" s="41">
        <v>3682.7701897514262</v>
      </c>
      <c r="BT259" s="314"/>
      <c r="BU259" s="314"/>
      <c r="BV259" s="41">
        <v>725.22921909909428</v>
      </c>
      <c r="BW259" s="65">
        <v>0</v>
      </c>
      <c r="BX259" s="34">
        <v>-324.82600000000002</v>
      </c>
      <c r="BY259" s="65">
        <f t="shared" si="121"/>
        <v>4083.1734088505209</v>
      </c>
      <c r="CA259" s="5">
        <v>3652.5999122779394</v>
      </c>
      <c r="CB259" s="407">
        <v>757.4563589386961</v>
      </c>
      <c r="CC259" s="415">
        <v>0</v>
      </c>
      <c r="CD259" s="34">
        <v>-324.82600000000002</v>
      </c>
      <c r="CE259" s="65">
        <f t="shared" si="101"/>
        <v>4085.2302712166356</v>
      </c>
      <c r="CF259" s="407"/>
      <c r="CG259" s="5">
        <v>4310.6268558070396</v>
      </c>
      <c r="CH259" s="407">
        <v>785.20152186395092</v>
      </c>
      <c r="CI259" s="415">
        <v>0</v>
      </c>
      <c r="CJ259" s="34">
        <v>-324.82600000000002</v>
      </c>
      <c r="CK259" s="65">
        <f t="shared" si="102"/>
        <v>4771.0023776709904</v>
      </c>
      <c r="CL259" s="407"/>
      <c r="CM259" s="41">
        <f>AU259/'1. Väestöennuste'!L259*1000</f>
        <v>4405.9291260177934</v>
      </c>
      <c r="CN259" s="41">
        <f>BC259/'1. Väestöennuste'!M259*1000</f>
        <v>1024.4894905476519</v>
      </c>
      <c r="CO259" s="41">
        <f>BK259/'1. Väestöennuste'!N259*1000</f>
        <v>1116.5272321716743</v>
      </c>
      <c r="CP259" s="41">
        <f>BQ259/'1. Väestöennuste'!O259*1000</f>
        <v>1243.2114157973558</v>
      </c>
      <c r="CQ259" s="41">
        <f>BY259/'1. Väestöennuste'!P259*1000</f>
        <v>1268.8543843537975</v>
      </c>
      <c r="CR259" s="41">
        <f>CE259/'1. Väestöennuste'!Q259*1000</f>
        <v>1289.1228372409705</v>
      </c>
      <c r="CS259" s="41">
        <f>CK259/'1. Väestöennuste'!R259*1000</f>
        <v>1527.2094678844398</v>
      </c>
      <c r="CT259" s="41"/>
      <c r="CV259" s="41">
        <f t="shared" si="103"/>
        <v>5095.8283776709904</v>
      </c>
      <c r="CW259" s="41">
        <f t="shared" si="104"/>
        <v>-365.07325165319708</v>
      </c>
      <c r="CX259" s="41">
        <f t="shared" si="105"/>
        <v>-3381.4396354701412</v>
      </c>
      <c r="CY259" s="41">
        <f t="shared" si="106"/>
        <v>92.037741624022374</v>
      </c>
      <c r="CZ259" s="41">
        <f t="shared" si="107"/>
        <v>126.6841836256815</v>
      </c>
      <c r="DA259" s="41">
        <f t="shared" si="108"/>
        <v>25.642968556441701</v>
      </c>
      <c r="DB259" s="41">
        <f t="shared" si="109"/>
        <v>20.268452887172998</v>
      </c>
      <c r="DC259" s="41">
        <f t="shared" si="110"/>
        <v>238.08663064346933</v>
      </c>
      <c r="DD259" s="41"/>
      <c r="DE259" s="283">
        <f t="shared" si="111"/>
        <v>-15.687870976064078</v>
      </c>
      <c r="DF259" s="283">
        <f t="shared" si="112"/>
        <v>-7.6519192981708603E-2</v>
      </c>
      <c r="DG259" s="283">
        <f t="shared" si="113"/>
        <v>-0.76747481376905047</v>
      </c>
      <c r="DH259" s="283">
        <f t="shared" si="114"/>
        <v>8.9837663024559283E-2</v>
      </c>
      <c r="DI259" s="283">
        <f t="shared" si="115"/>
        <v>0.11346269036293677</v>
      </c>
      <c r="DJ259" s="283">
        <f t="shared" si="116"/>
        <v>2.062639405542711E-2</v>
      </c>
      <c r="DK259" s="283">
        <f t="shared" si="117"/>
        <v>1.5973821060243504E-2</v>
      </c>
      <c r="DL259" s="283">
        <f t="shared" si="118"/>
        <v>0.18468886266341489</v>
      </c>
    </row>
    <row r="260" spans="1:116" x14ac:dyDescent="0.2">
      <c r="A260" s="30">
        <v>783</v>
      </c>
      <c r="B260" s="31" t="s">
        <v>574</v>
      </c>
      <c r="C260" s="65"/>
      <c r="D260" s="65"/>
      <c r="E260" s="65"/>
      <c r="F260" s="65"/>
      <c r="G260" s="65"/>
      <c r="H260" s="65">
        <v>11832</v>
      </c>
      <c r="I260" s="65"/>
      <c r="J260" s="65"/>
      <c r="K260" s="65"/>
      <c r="L260" s="65"/>
      <c r="M260" s="65"/>
      <c r="N260" s="65">
        <v>11782</v>
      </c>
      <c r="O260" s="65"/>
      <c r="P260" s="65"/>
      <c r="Q260" s="65"/>
      <c r="R260" s="65"/>
      <c r="S260" s="65"/>
      <c r="T260" s="65">
        <v>11354</v>
      </c>
      <c r="U260" s="65"/>
      <c r="V260" s="65"/>
      <c r="W260" s="65"/>
      <c r="X260" s="65"/>
      <c r="Y260" s="65"/>
      <c r="Z260" s="65">
        <v>11689</v>
      </c>
      <c r="AA260" s="65"/>
      <c r="AB260" s="66">
        <v>12068.464013806033</v>
      </c>
      <c r="AC260" s="34">
        <v>136.73243019671736</v>
      </c>
      <c r="AD260" s="180">
        <v>3386.8904257103459</v>
      </c>
      <c r="AE260" s="65">
        <v>0</v>
      </c>
      <c r="AF260" s="34">
        <v>-486.71100000000001</v>
      </c>
      <c r="AG260" s="65">
        <f t="shared" si="97"/>
        <v>15105.375869713098</v>
      </c>
      <c r="AH260" s="65"/>
      <c r="AI260" s="66">
        <v>11597.153190814624</v>
      </c>
      <c r="AJ260" s="34">
        <v>-106.3449672093854</v>
      </c>
      <c r="AK260" s="181">
        <v>3621.9299008489088</v>
      </c>
      <c r="AL260" s="65">
        <v>0</v>
      </c>
      <c r="AM260" s="34">
        <v>-385.053</v>
      </c>
      <c r="AN260" s="65">
        <f t="shared" si="98"/>
        <v>14727.685124454149</v>
      </c>
      <c r="AO260" s="65"/>
      <c r="AP260" s="41">
        <v>12430.964847536521</v>
      </c>
      <c r="AQ260" s="41">
        <v>-32.870237073642542</v>
      </c>
      <c r="AR260" s="41">
        <v>4135.763306669759</v>
      </c>
      <c r="AS260" s="65">
        <v>0</v>
      </c>
      <c r="AT260" s="34">
        <v>-294.267</v>
      </c>
      <c r="AU260" s="65">
        <f t="shared" si="99"/>
        <v>16239.590917132638</v>
      </c>
      <c r="AV260" s="65"/>
      <c r="AW260" s="41">
        <v>2766.1032232764746</v>
      </c>
      <c r="AX260" s="314"/>
      <c r="AY260" s="314"/>
      <c r="AZ260" s="41">
        <v>1263.91149184448</v>
      </c>
      <c r="BA260" s="65">
        <v>0</v>
      </c>
      <c r="BB260" s="34">
        <v>-418.39699999999999</v>
      </c>
      <c r="BC260" s="65">
        <f t="shared" si="119"/>
        <v>3611.6177151209549</v>
      </c>
      <c r="BD260" s="65"/>
      <c r="BE260" s="41">
        <v>1398.6396148763477</v>
      </c>
      <c r="BF260" s="314"/>
      <c r="BG260" s="314"/>
      <c r="BH260" s="41">
        <v>1238.6138229683827</v>
      </c>
      <c r="BI260" s="65">
        <v>0</v>
      </c>
      <c r="BJ260" s="34">
        <v>0.58299999999999996</v>
      </c>
      <c r="BK260" s="65">
        <f t="shared" si="120"/>
        <v>2637.8364378447304</v>
      </c>
      <c r="BL260" s="65"/>
      <c r="BM260" s="41">
        <v>1979.1453743942254</v>
      </c>
      <c r="BN260" s="41">
        <v>782.10564628474606</v>
      </c>
      <c r="BO260" s="65">
        <v>0</v>
      </c>
      <c r="BP260" s="34">
        <v>0.58299999999999996</v>
      </c>
      <c r="BQ260" s="65">
        <f t="shared" si="100"/>
        <v>2761.8340206789717</v>
      </c>
      <c r="BR260" s="65"/>
      <c r="BS260" s="41">
        <v>1695.4308777614292</v>
      </c>
      <c r="BT260" s="314"/>
      <c r="BU260" s="314"/>
      <c r="BV260" s="41">
        <v>840.60330414813905</v>
      </c>
      <c r="BW260" s="65">
        <v>0</v>
      </c>
      <c r="BX260" s="34">
        <v>0.58299999999999996</v>
      </c>
      <c r="BY260" s="65">
        <f t="shared" si="121"/>
        <v>2536.6171819095684</v>
      </c>
      <c r="CA260" s="5">
        <v>1563.1295217752747</v>
      </c>
      <c r="CB260" s="407">
        <v>900.10209618560214</v>
      </c>
      <c r="CC260" s="415">
        <v>0</v>
      </c>
      <c r="CD260" s="34">
        <v>0.58299999999999996</v>
      </c>
      <c r="CE260" s="65">
        <f t="shared" si="101"/>
        <v>2463.8146179608771</v>
      </c>
      <c r="CF260" s="407"/>
      <c r="CG260" s="5">
        <v>2057.856079210314</v>
      </c>
      <c r="CH260" s="407">
        <v>950.83859828463426</v>
      </c>
      <c r="CI260" s="415">
        <v>0</v>
      </c>
      <c r="CJ260" s="34">
        <v>0.58299999999999996</v>
      </c>
      <c r="CK260" s="65">
        <f t="shared" si="102"/>
        <v>3009.2776774949484</v>
      </c>
      <c r="CL260" s="407"/>
      <c r="CM260" s="41">
        <f>AU260/'1. Väestöennuste'!L260*1000</f>
        <v>2529.9253648750023</v>
      </c>
      <c r="CN260" s="41">
        <f>BC260/'1. Väestöennuste'!M260*1000</f>
        <v>566.35059042197827</v>
      </c>
      <c r="CO260" s="41">
        <f>BK260/'1. Väestöennuste'!N260*1000</f>
        <v>416.98331296944838</v>
      </c>
      <c r="CP260" s="41">
        <f>BQ260/'1. Väestöennuste'!O260*1000</f>
        <v>441.46963246147249</v>
      </c>
      <c r="CQ260" s="41">
        <f>BY260/'1. Väestöennuste'!P260*1000</f>
        <v>410.12403911229882</v>
      </c>
      <c r="CR260" s="41">
        <f>CE260/'1. Väestöennuste'!Q260*1000</f>
        <v>402.71569433816234</v>
      </c>
      <c r="CS260" s="41">
        <f>CK260/'1. Väestöennuste'!R260*1000</f>
        <v>497.23689317497491</v>
      </c>
      <c r="CT260" s="41"/>
      <c r="CV260" s="41">
        <f t="shared" si="103"/>
        <v>3008.6946774949483</v>
      </c>
      <c r="CW260" s="41">
        <f t="shared" si="104"/>
        <v>-479.35231261994613</v>
      </c>
      <c r="CX260" s="41">
        <f t="shared" si="105"/>
        <v>-1963.574774453024</v>
      </c>
      <c r="CY260" s="41">
        <f t="shared" si="106"/>
        <v>-149.36727745252989</v>
      </c>
      <c r="CZ260" s="41">
        <f t="shared" si="107"/>
        <v>24.486319492024109</v>
      </c>
      <c r="DA260" s="41">
        <f t="shared" si="108"/>
        <v>-31.345593349173669</v>
      </c>
      <c r="DB260" s="41">
        <f t="shared" si="109"/>
        <v>-7.4083447741364807</v>
      </c>
      <c r="DC260" s="41">
        <f t="shared" si="110"/>
        <v>94.521198836812573</v>
      </c>
      <c r="DD260" s="41"/>
      <c r="DE260" s="283">
        <f t="shared" si="111"/>
        <v>5160.7112821525707</v>
      </c>
      <c r="DF260" s="283">
        <f t="shared" si="112"/>
        <v>-0.15929148586214201</v>
      </c>
      <c r="DG260" s="283">
        <f t="shared" si="113"/>
        <v>-0.77613940779238744</v>
      </c>
      <c r="DH260" s="283">
        <f t="shared" si="114"/>
        <v>-0.26373642047629692</v>
      </c>
      <c r="DI260" s="283">
        <f t="shared" si="115"/>
        <v>5.8722540520028378E-2</v>
      </c>
      <c r="DJ260" s="283">
        <f t="shared" si="116"/>
        <v>-7.1002830193329841E-2</v>
      </c>
      <c r="DK260" s="283">
        <f t="shared" si="117"/>
        <v>-1.8063668713913041E-2</v>
      </c>
      <c r="DL260" s="283">
        <f t="shared" si="118"/>
        <v>0.23470949894851295</v>
      </c>
    </row>
    <row r="261" spans="1:116" x14ac:dyDescent="0.2">
      <c r="A261" s="30">
        <v>785</v>
      </c>
      <c r="B261" s="31" t="s">
        <v>575</v>
      </c>
      <c r="C261" s="65"/>
      <c r="D261" s="65"/>
      <c r="E261" s="65"/>
      <c r="F261" s="65"/>
      <c r="G261" s="65"/>
      <c r="H261" s="65">
        <v>13176</v>
      </c>
      <c r="I261" s="65"/>
      <c r="J261" s="65"/>
      <c r="K261" s="65"/>
      <c r="L261" s="65"/>
      <c r="M261" s="65"/>
      <c r="N261" s="65">
        <v>13212</v>
      </c>
      <c r="O261" s="65"/>
      <c r="P261" s="65"/>
      <c r="Q261" s="65"/>
      <c r="R261" s="65"/>
      <c r="S261" s="65"/>
      <c r="T261" s="65">
        <v>13128</v>
      </c>
      <c r="U261" s="65"/>
      <c r="V261" s="65"/>
      <c r="W261" s="65"/>
      <c r="X261" s="65"/>
      <c r="Y261" s="65"/>
      <c r="Z261" s="65">
        <v>12811</v>
      </c>
      <c r="AA261" s="65"/>
      <c r="AB261" s="66">
        <v>12063.44628725127</v>
      </c>
      <c r="AC261" s="34">
        <v>54.284773938949392</v>
      </c>
      <c r="AD261" s="180">
        <v>1672.5891670495912</v>
      </c>
      <c r="AE261" s="65">
        <v>0</v>
      </c>
      <c r="AF261" s="34">
        <v>149.78700000000001</v>
      </c>
      <c r="AG261" s="65">
        <f t="shared" si="97"/>
        <v>13940.107228239811</v>
      </c>
      <c r="AH261" s="65"/>
      <c r="AI261" s="66">
        <v>11440.36408381511</v>
      </c>
      <c r="AJ261" s="34">
        <v>-42.245337620929831</v>
      </c>
      <c r="AK261" s="181">
        <v>1770.5485980421179</v>
      </c>
      <c r="AL261" s="65">
        <v>0</v>
      </c>
      <c r="AM261" s="34">
        <v>53.372999999999998</v>
      </c>
      <c r="AN261" s="65">
        <f t="shared" si="98"/>
        <v>13222.040344236297</v>
      </c>
      <c r="AO261" s="65"/>
      <c r="AP261" s="41">
        <v>13237.139984262079</v>
      </c>
      <c r="AQ261" s="41">
        <v>-12.877240530084217</v>
      </c>
      <c r="AR261" s="41">
        <v>1958.8753334883768</v>
      </c>
      <c r="AS261" s="65">
        <v>0</v>
      </c>
      <c r="AT261" s="34">
        <v>113.631</v>
      </c>
      <c r="AU261" s="65">
        <f t="shared" si="99"/>
        <v>15296.769077220371</v>
      </c>
      <c r="AV261" s="65"/>
      <c r="AW261" s="41">
        <v>4475.8051912829387</v>
      </c>
      <c r="AX261" s="314"/>
      <c r="AY261" s="314"/>
      <c r="AZ261" s="41">
        <v>638.36588914082847</v>
      </c>
      <c r="BA261" s="65">
        <v>0</v>
      </c>
      <c r="BB261" s="34">
        <v>189.15899999999999</v>
      </c>
      <c r="BC261" s="65">
        <f t="shared" si="119"/>
        <v>5303.330080423767</v>
      </c>
      <c r="BD261" s="65"/>
      <c r="BE261" s="41">
        <v>4703.8990714893189</v>
      </c>
      <c r="BF261" s="314"/>
      <c r="BG261" s="314"/>
      <c r="BH261" s="41">
        <v>636.62713202352802</v>
      </c>
      <c r="BI261" s="65">
        <v>0</v>
      </c>
      <c r="BJ261" s="34">
        <v>206.84800000000001</v>
      </c>
      <c r="BK261" s="65">
        <f t="shared" si="120"/>
        <v>5547.3742035128471</v>
      </c>
      <c r="BL261" s="65"/>
      <c r="BM261" s="41">
        <v>5382.3618526946557</v>
      </c>
      <c r="BN261" s="41">
        <v>500.45396747878209</v>
      </c>
      <c r="BO261" s="65">
        <v>0</v>
      </c>
      <c r="BP261" s="34">
        <v>206.84800000000001</v>
      </c>
      <c r="BQ261" s="65">
        <f t="shared" si="100"/>
        <v>6089.6638201734377</v>
      </c>
      <c r="BR261" s="65"/>
      <c r="BS261" s="41">
        <v>5249.4492491003975</v>
      </c>
      <c r="BT261" s="314"/>
      <c r="BU261" s="314"/>
      <c r="BV261" s="41">
        <v>527.96144895688224</v>
      </c>
      <c r="BW261" s="65">
        <v>0</v>
      </c>
      <c r="BX261" s="34">
        <v>206.84800000000001</v>
      </c>
      <c r="BY261" s="65">
        <f t="shared" si="121"/>
        <v>5984.2586980572796</v>
      </c>
      <c r="CA261" s="5">
        <v>5237.8606232518259</v>
      </c>
      <c r="CB261" s="407">
        <v>555.38506220268323</v>
      </c>
      <c r="CC261" s="415">
        <v>0</v>
      </c>
      <c r="CD261" s="34">
        <v>206.84800000000001</v>
      </c>
      <c r="CE261" s="65">
        <f t="shared" si="101"/>
        <v>6000.0936854545089</v>
      </c>
      <c r="CF261" s="407"/>
      <c r="CG261" s="5">
        <v>5683.6919978709984</v>
      </c>
      <c r="CH261" s="407">
        <v>579.51153210312748</v>
      </c>
      <c r="CI261" s="415">
        <v>0</v>
      </c>
      <c r="CJ261" s="34">
        <v>206.84800000000001</v>
      </c>
      <c r="CK261" s="65">
        <f t="shared" si="102"/>
        <v>6470.0515299741255</v>
      </c>
      <c r="CL261" s="407"/>
      <c r="CM261" s="41">
        <f>AU261/'1. Väestöennuste'!L261*1000</f>
        <v>5825.1215069384507</v>
      </c>
      <c r="CN261" s="41">
        <f>BC261/'1. Väestöennuste'!M261*1000</f>
        <v>2048.4086830528263</v>
      </c>
      <c r="CO261" s="41">
        <f>BK261/'1. Väestöennuste'!N261*1000</f>
        <v>2224.2879725392331</v>
      </c>
      <c r="CP261" s="41">
        <f>BQ261/'1. Väestöennuste'!O261*1000</f>
        <v>2488.6243645988711</v>
      </c>
      <c r="CQ261" s="41">
        <f>BY261/'1. Väestöennuste'!P261*1000</f>
        <v>2490.3282139231292</v>
      </c>
      <c r="CR261" s="41">
        <f>CE261/'1. Väestöennuste'!Q261*1000</f>
        <v>2540.2598160264643</v>
      </c>
      <c r="CS261" s="41">
        <f>CK261/'1. Väestöennuste'!R261*1000</f>
        <v>2782.8178623544627</v>
      </c>
      <c r="CT261" s="41"/>
      <c r="CV261" s="41">
        <f t="shared" si="103"/>
        <v>6263.2035299741256</v>
      </c>
      <c r="CW261" s="41">
        <f t="shared" si="104"/>
        <v>-644.93002303567482</v>
      </c>
      <c r="CX261" s="41">
        <f t="shared" si="105"/>
        <v>-3776.7128238856244</v>
      </c>
      <c r="CY261" s="41">
        <f t="shared" si="106"/>
        <v>175.87928948640683</v>
      </c>
      <c r="CZ261" s="41">
        <f t="shared" si="107"/>
        <v>264.336392059638</v>
      </c>
      <c r="DA261" s="41">
        <f t="shared" si="108"/>
        <v>1.7038493242580444</v>
      </c>
      <c r="DB261" s="41">
        <f t="shared" si="109"/>
        <v>49.931602103335081</v>
      </c>
      <c r="DC261" s="41">
        <f t="shared" si="110"/>
        <v>242.55804632799845</v>
      </c>
      <c r="DD261" s="41"/>
      <c r="DE261" s="283">
        <f t="shared" si="111"/>
        <v>30.279255926932457</v>
      </c>
      <c r="DF261" s="283">
        <f t="shared" si="112"/>
        <v>-9.9679271493878494E-2</v>
      </c>
      <c r="DG261" s="283">
        <f t="shared" si="113"/>
        <v>-0.64834919226784982</v>
      </c>
      <c r="DH261" s="283">
        <f t="shared" si="114"/>
        <v>8.5861425477013115E-2</v>
      </c>
      <c r="DI261" s="283">
        <f t="shared" si="115"/>
        <v>0.11884090339160232</v>
      </c>
      <c r="DJ261" s="283">
        <f t="shared" si="116"/>
        <v>6.8465508434925224E-4</v>
      </c>
      <c r="DK261" s="283">
        <f t="shared" si="117"/>
        <v>2.005020937568527E-2</v>
      </c>
      <c r="DL261" s="283">
        <f t="shared" si="118"/>
        <v>9.5485526636961734E-2</v>
      </c>
    </row>
    <row r="262" spans="1:116" x14ac:dyDescent="0.2">
      <c r="A262" s="30">
        <v>790</v>
      </c>
      <c r="B262" s="31" t="s">
        <v>576</v>
      </c>
      <c r="C262" s="65"/>
      <c r="D262" s="65"/>
      <c r="E262" s="65"/>
      <c r="F262" s="65"/>
      <c r="G262" s="65"/>
      <c r="H262" s="65">
        <v>65045</v>
      </c>
      <c r="I262" s="65"/>
      <c r="J262" s="65"/>
      <c r="K262" s="65"/>
      <c r="L262" s="65"/>
      <c r="M262" s="65"/>
      <c r="N262" s="65">
        <v>63752</v>
      </c>
      <c r="O262" s="65"/>
      <c r="P262" s="65"/>
      <c r="Q262" s="65"/>
      <c r="R262" s="65"/>
      <c r="S262" s="65"/>
      <c r="T262" s="65">
        <v>63346</v>
      </c>
      <c r="U262" s="65"/>
      <c r="V262" s="65"/>
      <c r="W262" s="65"/>
      <c r="X262" s="65"/>
      <c r="Y262" s="65"/>
      <c r="Z262" s="65">
        <v>62751</v>
      </c>
      <c r="AA262" s="65"/>
      <c r="AB262" s="66">
        <v>62225.576746682942</v>
      </c>
      <c r="AC262" s="34">
        <v>408.00871640197062</v>
      </c>
      <c r="AD262" s="180">
        <v>12037.883120214266</v>
      </c>
      <c r="AE262" s="65">
        <v>0</v>
      </c>
      <c r="AF262" s="34">
        <v>-1990.338</v>
      </c>
      <c r="AG262" s="65">
        <f t="shared" si="97"/>
        <v>72681.130583299178</v>
      </c>
      <c r="AH262" s="65"/>
      <c r="AI262" s="66">
        <v>59416.724320072397</v>
      </c>
      <c r="AJ262" s="34">
        <v>-316.59727415866104</v>
      </c>
      <c r="AK262" s="181">
        <v>12902.307975558697</v>
      </c>
      <c r="AL262" s="65">
        <v>0</v>
      </c>
      <c r="AM262" s="34">
        <v>-2889.5810000000001</v>
      </c>
      <c r="AN262" s="65">
        <f t="shared" si="98"/>
        <v>69112.854021472434</v>
      </c>
      <c r="AO262" s="65"/>
      <c r="AP262" s="41">
        <v>63276.252483746321</v>
      </c>
      <c r="AQ262" s="41">
        <v>-97.736646265441536</v>
      </c>
      <c r="AR262" s="41">
        <v>14795.83409575089</v>
      </c>
      <c r="AS262" s="65">
        <v>0</v>
      </c>
      <c r="AT262" s="34">
        <v>-2062.6350000000002</v>
      </c>
      <c r="AU262" s="65">
        <f t="shared" si="99"/>
        <v>75911.714933231779</v>
      </c>
      <c r="AV262" s="65"/>
      <c r="AW262" s="41">
        <v>16270.535983570117</v>
      </c>
      <c r="AX262" s="314"/>
      <c r="AY262" s="314"/>
      <c r="AZ262" s="41">
        <v>4475.8386949382466</v>
      </c>
      <c r="BA262" s="65">
        <v>0</v>
      </c>
      <c r="BB262" s="34">
        <v>-2266.145</v>
      </c>
      <c r="BC262" s="65">
        <f t="shared" si="119"/>
        <v>18480.229678508364</v>
      </c>
      <c r="BD262" s="65"/>
      <c r="BE262" s="41">
        <v>13870.610491805724</v>
      </c>
      <c r="BF262" s="314"/>
      <c r="BG262" s="314"/>
      <c r="BH262" s="41">
        <v>4378.2012742238048</v>
      </c>
      <c r="BI262" s="65">
        <v>0</v>
      </c>
      <c r="BJ262" s="34">
        <v>-2019.99</v>
      </c>
      <c r="BK262" s="65">
        <f t="shared" si="120"/>
        <v>16228.821766029529</v>
      </c>
      <c r="BL262" s="65"/>
      <c r="BM262" s="41">
        <v>15745.108499579414</v>
      </c>
      <c r="BN262" s="41">
        <v>2820.0149945567637</v>
      </c>
      <c r="BO262" s="65">
        <v>0</v>
      </c>
      <c r="BP262" s="34">
        <v>-2019.99</v>
      </c>
      <c r="BQ262" s="65">
        <f t="shared" si="100"/>
        <v>16545.133494136175</v>
      </c>
      <c r="BR262" s="65"/>
      <c r="BS262" s="41">
        <v>15736.176572533917</v>
      </c>
      <c r="BT262" s="314"/>
      <c r="BU262" s="314"/>
      <c r="BV262" s="41">
        <v>3035.5982126776585</v>
      </c>
      <c r="BW262" s="65">
        <v>0</v>
      </c>
      <c r="BX262" s="34">
        <v>-2019.99</v>
      </c>
      <c r="BY262" s="65">
        <f t="shared" si="121"/>
        <v>16751.784785211574</v>
      </c>
      <c r="CA262" s="5">
        <v>15307.634880632257</v>
      </c>
      <c r="CB262" s="407">
        <v>3265.5317767168344</v>
      </c>
      <c r="CC262" s="415">
        <v>0</v>
      </c>
      <c r="CD262" s="34">
        <v>-2019.99</v>
      </c>
      <c r="CE262" s="65">
        <f t="shared" si="101"/>
        <v>16553.17665734909</v>
      </c>
      <c r="CF262" s="407"/>
      <c r="CG262" s="5">
        <v>17456.220096868961</v>
      </c>
      <c r="CH262" s="407">
        <v>3463.7856819298008</v>
      </c>
      <c r="CI262" s="415">
        <v>0</v>
      </c>
      <c r="CJ262" s="34">
        <v>-2019.99</v>
      </c>
      <c r="CK262" s="65">
        <f t="shared" si="102"/>
        <v>18900.015778798759</v>
      </c>
      <c r="CL262" s="407"/>
      <c r="CM262" s="41">
        <f>AU262/'1. Väestöennuste'!L262*1000</f>
        <v>3198.4374708532814</v>
      </c>
      <c r="CN262" s="41">
        <f>BC262/'1. Väestöennuste'!M262*1000</f>
        <v>785.89111964738947</v>
      </c>
      <c r="CO262" s="41">
        <f>BK262/'1. Väestöennuste'!N262*1000</f>
        <v>705.60094634911002</v>
      </c>
      <c r="CP262" s="41">
        <f>BQ262/'1. Väestöennuste'!O262*1000</f>
        <v>726.58791858663096</v>
      </c>
      <c r="CQ262" s="41">
        <f>BY262/'1. Väestöennuste'!P262*1000</f>
        <v>742.60948600104507</v>
      </c>
      <c r="CR262" s="41">
        <f>CE262/'1. Väestöennuste'!Q262*1000</f>
        <v>740.6011658247545</v>
      </c>
      <c r="CS262" s="41">
        <f>CK262/'1. Väestöennuste'!R262*1000</f>
        <v>853.19681197177499</v>
      </c>
      <c r="CT262" s="41"/>
      <c r="CV262" s="41">
        <f t="shared" si="103"/>
        <v>20920.005778798761</v>
      </c>
      <c r="CW262" s="41">
        <f t="shared" si="104"/>
        <v>-15701.578307945478</v>
      </c>
      <c r="CX262" s="41">
        <f t="shared" si="105"/>
        <v>-2412.5463512058918</v>
      </c>
      <c r="CY262" s="41">
        <f t="shared" si="106"/>
        <v>-80.290173298279456</v>
      </c>
      <c r="CZ262" s="41">
        <f t="shared" si="107"/>
        <v>20.986972237520945</v>
      </c>
      <c r="DA262" s="41">
        <f t="shared" si="108"/>
        <v>16.021567414414108</v>
      </c>
      <c r="DB262" s="41">
        <f t="shared" si="109"/>
        <v>-2.0083201762905674</v>
      </c>
      <c r="DC262" s="41">
        <f t="shared" si="110"/>
        <v>112.59564614702049</v>
      </c>
      <c r="DD262" s="41"/>
      <c r="DE262" s="283">
        <f t="shared" si="111"/>
        <v>-10.356489774107178</v>
      </c>
      <c r="DF262" s="283">
        <f t="shared" si="112"/>
        <v>-0.83077064546998136</v>
      </c>
      <c r="DG262" s="283">
        <f t="shared" si="113"/>
        <v>-0.75428904682081244</v>
      </c>
      <c r="DH262" s="283">
        <f t="shared" si="114"/>
        <v>-0.1021645000064433</v>
      </c>
      <c r="DI262" s="283">
        <f t="shared" si="115"/>
        <v>2.9743401487924346E-2</v>
      </c>
      <c r="DJ262" s="283">
        <f t="shared" si="116"/>
        <v>2.205041813188896E-2</v>
      </c>
      <c r="DK262" s="283">
        <f t="shared" si="117"/>
        <v>-2.7044095371113277E-3</v>
      </c>
      <c r="DL262" s="283">
        <f t="shared" si="118"/>
        <v>0.15203276924582043</v>
      </c>
    </row>
    <row r="263" spans="1:116" x14ac:dyDescent="0.2">
      <c r="A263" s="30">
        <v>791</v>
      </c>
      <c r="B263" s="31" t="s">
        <v>577</v>
      </c>
      <c r="C263" s="65"/>
      <c r="D263" s="65"/>
      <c r="E263" s="65"/>
      <c r="F263" s="65"/>
      <c r="G263" s="65"/>
      <c r="H263" s="65">
        <v>23635</v>
      </c>
      <c r="I263" s="65"/>
      <c r="J263" s="65"/>
      <c r="K263" s="65"/>
      <c r="L263" s="65"/>
      <c r="M263" s="65"/>
      <c r="N263" s="65">
        <v>22703</v>
      </c>
      <c r="O263" s="65"/>
      <c r="P263" s="65"/>
      <c r="Q263" s="65"/>
      <c r="R263" s="65"/>
      <c r="S263" s="65"/>
      <c r="T263" s="65">
        <v>22501</v>
      </c>
      <c r="U263" s="65"/>
      <c r="V263" s="65"/>
      <c r="W263" s="65"/>
      <c r="X263" s="65"/>
      <c r="Y263" s="65"/>
      <c r="Z263" s="65">
        <v>22504</v>
      </c>
      <c r="AA263" s="65"/>
      <c r="AB263" s="66">
        <v>21286.076676181892</v>
      </c>
      <c r="AC263" s="34">
        <v>78.881279511627667</v>
      </c>
      <c r="AD263" s="180">
        <v>3432.7887514881659</v>
      </c>
      <c r="AE263" s="65">
        <v>0</v>
      </c>
      <c r="AF263" s="34">
        <v>-434.71699999999998</v>
      </c>
      <c r="AG263" s="65">
        <f t="shared" si="97"/>
        <v>24363.029707181686</v>
      </c>
      <c r="AH263" s="65"/>
      <c r="AI263" s="66">
        <v>20317.94220650617</v>
      </c>
      <c r="AJ263" s="34">
        <v>-60.919973758699754</v>
      </c>
      <c r="AK263" s="181">
        <v>3639.1972953687568</v>
      </c>
      <c r="AL263" s="65">
        <v>0</v>
      </c>
      <c r="AM263" s="34">
        <v>-580.79399999999998</v>
      </c>
      <c r="AN263" s="65">
        <f t="shared" si="98"/>
        <v>23315.425528116226</v>
      </c>
      <c r="AO263" s="65"/>
      <c r="AP263" s="41">
        <v>21157.800650204197</v>
      </c>
      <c r="AQ263" s="41">
        <v>-18.724497366889825</v>
      </c>
      <c r="AR263" s="41">
        <v>4054.6645666210843</v>
      </c>
      <c r="AS263" s="65">
        <v>0</v>
      </c>
      <c r="AT263" s="34">
        <v>-107.294</v>
      </c>
      <c r="AU263" s="65">
        <f t="shared" si="99"/>
        <v>25086.446719458392</v>
      </c>
      <c r="AV263" s="65"/>
      <c r="AW263" s="41">
        <v>7327.1431731820094</v>
      </c>
      <c r="AX263" s="314"/>
      <c r="AY263" s="314"/>
      <c r="AZ263" s="41">
        <v>1262.9034928640012</v>
      </c>
      <c r="BA263" s="65">
        <v>0</v>
      </c>
      <c r="BB263" s="34">
        <v>-165.77</v>
      </c>
      <c r="BC263" s="65">
        <f t="shared" si="119"/>
        <v>8424.2766660460111</v>
      </c>
      <c r="BD263" s="65"/>
      <c r="BE263" s="41">
        <v>6099.5862951976842</v>
      </c>
      <c r="BF263" s="314"/>
      <c r="BG263" s="314"/>
      <c r="BH263" s="41">
        <v>1259.4221857064292</v>
      </c>
      <c r="BI263" s="65">
        <v>0</v>
      </c>
      <c r="BJ263" s="34">
        <v>-209.727</v>
      </c>
      <c r="BK263" s="65">
        <f t="shared" si="120"/>
        <v>7149.2814809041138</v>
      </c>
      <c r="BL263" s="65"/>
      <c r="BM263" s="41">
        <v>6934.1553493732099</v>
      </c>
      <c r="BN263" s="41">
        <v>927.65928800828988</v>
      </c>
      <c r="BO263" s="65">
        <v>0</v>
      </c>
      <c r="BP263" s="34">
        <v>-209.727</v>
      </c>
      <c r="BQ263" s="65">
        <f t="shared" si="100"/>
        <v>7652.0876373814999</v>
      </c>
      <c r="BR263" s="65"/>
      <c r="BS263" s="41">
        <v>6804.8852553616143</v>
      </c>
      <c r="BT263" s="314"/>
      <c r="BU263" s="314"/>
      <c r="BV263" s="41">
        <v>985.41290366766498</v>
      </c>
      <c r="BW263" s="65">
        <v>0</v>
      </c>
      <c r="BX263" s="34">
        <v>-209.727</v>
      </c>
      <c r="BY263" s="65">
        <f t="shared" si="121"/>
        <v>7580.5711590292794</v>
      </c>
      <c r="CA263" s="5">
        <v>6970.2909447203574</v>
      </c>
      <c r="CB263" s="407">
        <v>1042.1134196097548</v>
      </c>
      <c r="CC263" s="415">
        <v>0</v>
      </c>
      <c r="CD263" s="34">
        <v>-209.727</v>
      </c>
      <c r="CE263" s="65">
        <f t="shared" si="101"/>
        <v>7802.6773643301121</v>
      </c>
      <c r="CF263" s="407"/>
      <c r="CG263" s="5">
        <v>7541.7958858640322</v>
      </c>
      <c r="CH263" s="407">
        <v>1092.7570963203173</v>
      </c>
      <c r="CI263" s="415">
        <v>0</v>
      </c>
      <c r="CJ263" s="34">
        <v>-209.727</v>
      </c>
      <c r="CK263" s="65">
        <f t="shared" si="102"/>
        <v>8424.8259821843494</v>
      </c>
      <c r="CL263" s="407"/>
      <c r="CM263" s="41">
        <f>AU263/'1. Väestöennuste'!L263*1000</f>
        <v>4988.3568740223491</v>
      </c>
      <c r="CN263" s="41">
        <f>BC263/'1. Väestöennuste'!M263*1000</f>
        <v>1708.4316905386354</v>
      </c>
      <c r="CO263" s="41">
        <f>BK263/'1. Väestöennuste'!N263*1000</f>
        <v>1478.0404136663456</v>
      </c>
      <c r="CP263" s="41">
        <f>BQ263/'1. Väestöennuste'!O263*1000</f>
        <v>1608.5952569647889</v>
      </c>
      <c r="CQ263" s="41">
        <f>BY263/'1. Väestöennuste'!P263*1000</f>
        <v>1620.1263430282709</v>
      </c>
      <c r="CR263" s="41">
        <f>CE263/'1. Väestöennuste'!Q263*1000</f>
        <v>1694.024612316568</v>
      </c>
      <c r="CS263" s="41">
        <f>CK263/'1. Väestöennuste'!R263*1000</f>
        <v>1856.915579057604</v>
      </c>
      <c r="CT263" s="41"/>
      <c r="CV263" s="41">
        <f t="shared" si="103"/>
        <v>8634.5529821843502</v>
      </c>
      <c r="CW263" s="41">
        <f t="shared" si="104"/>
        <v>-3436.4691081620003</v>
      </c>
      <c r="CX263" s="41">
        <f t="shared" si="105"/>
        <v>-3279.9251834837137</v>
      </c>
      <c r="CY263" s="41">
        <f t="shared" si="106"/>
        <v>-230.39127687228984</v>
      </c>
      <c r="CZ263" s="41">
        <f t="shared" si="107"/>
        <v>130.5548432984433</v>
      </c>
      <c r="DA263" s="41">
        <f t="shared" si="108"/>
        <v>11.531086063482007</v>
      </c>
      <c r="DB263" s="41">
        <f t="shared" si="109"/>
        <v>73.898269288297115</v>
      </c>
      <c r="DC263" s="41">
        <f t="shared" si="110"/>
        <v>162.89096674103598</v>
      </c>
      <c r="DD263" s="41"/>
      <c r="DE263" s="283">
        <f t="shared" si="111"/>
        <v>-41.17044053547874</v>
      </c>
      <c r="DF263" s="283">
        <f t="shared" si="112"/>
        <v>-0.40789793349191633</v>
      </c>
      <c r="DG263" s="283">
        <f t="shared" si="113"/>
        <v>-0.65751614535929426</v>
      </c>
      <c r="DH263" s="283">
        <f t="shared" si="114"/>
        <v>-0.13485542216771448</v>
      </c>
      <c r="DI263" s="283">
        <f t="shared" si="115"/>
        <v>8.8329684419518786E-2</v>
      </c>
      <c r="DJ263" s="283">
        <f t="shared" si="116"/>
        <v>7.1684197833827229E-3</v>
      </c>
      <c r="DK263" s="283">
        <f t="shared" si="117"/>
        <v>4.5612658300567863E-2</v>
      </c>
      <c r="DL263" s="283">
        <f t="shared" si="118"/>
        <v>9.6156198414545827E-2</v>
      </c>
    </row>
    <row r="264" spans="1:116" x14ac:dyDescent="0.2">
      <c r="A264" s="30">
        <v>831</v>
      </c>
      <c r="B264" s="31" t="s">
        <v>578</v>
      </c>
      <c r="C264" s="65"/>
      <c r="D264" s="65"/>
      <c r="E264" s="65"/>
      <c r="F264" s="65"/>
      <c r="G264" s="65"/>
      <c r="H264" s="65">
        <v>5685</v>
      </c>
      <c r="I264" s="65"/>
      <c r="J264" s="65"/>
      <c r="K264" s="65"/>
      <c r="L264" s="65"/>
      <c r="M264" s="65"/>
      <c r="N264" s="65">
        <v>6147</v>
      </c>
      <c r="O264" s="65"/>
      <c r="P264" s="65"/>
      <c r="Q264" s="65"/>
      <c r="R264" s="65"/>
      <c r="S264" s="65"/>
      <c r="T264" s="65">
        <v>6085</v>
      </c>
      <c r="U264" s="65"/>
      <c r="V264" s="65"/>
      <c r="W264" s="65"/>
      <c r="X264" s="65"/>
      <c r="Y264" s="65"/>
      <c r="Z264" s="65">
        <v>6042</v>
      </c>
      <c r="AA264" s="65"/>
      <c r="AB264" s="66">
        <v>6820.7839264712666</v>
      </c>
      <c r="AC264" s="34">
        <v>99.833434742462018</v>
      </c>
      <c r="AD264" s="180">
        <v>1882.059573559935</v>
      </c>
      <c r="AE264" s="65">
        <v>330</v>
      </c>
      <c r="AF264" s="34">
        <v>-975.40899999999999</v>
      </c>
      <c r="AG264" s="65">
        <f t="shared" si="97"/>
        <v>8157.267934773663</v>
      </c>
      <c r="AH264" s="65"/>
      <c r="AI264" s="66">
        <v>6141.9925949172721</v>
      </c>
      <c r="AJ264" s="34">
        <v>-77.785236498781757</v>
      </c>
      <c r="AK264" s="181">
        <v>2020.7278858707793</v>
      </c>
      <c r="AL264" s="65">
        <v>0</v>
      </c>
      <c r="AM264" s="34">
        <v>-1065.4380000000001</v>
      </c>
      <c r="AN264" s="65">
        <f t="shared" si="98"/>
        <v>7019.4972442892695</v>
      </c>
      <c r="AO264" s="65"/>
      <c r="AP264" s="41">
        <v>5950.5990702150821</v>
      </c>
      <c r="AQ264" s="41">
        <v>-24.018274231082529</v>
      </c>
      <c r="AR264" s="41">
        <v>2316.1451856104982</v>
      </c>
      <c r="AS264" s="65">
        <v>0</v>
      </c>
      <c r="AT264" s="34">
        <v>-1110.6489999999999</v>
      </c>
      <c r="AU264" s="65">
        <f t="shared" si="99"/>
        <v>7132.0769815944986</v>
      </c>
      <c r="AV264" s="65"/>
      <c r="AW264" s="41">
        <v>3272.978654806313</v>
      </c>
      <c r="AX264" s="314"/>
      <c r="AY264" s="314"/>
      <c r="AZ264" s="41">
        <v>695.60428385445778</v>
      </c>
      <c r="BA264" s="65">
        <v>0</v>
      </c>
      <c r="BB264" s="34">
        <v>-1131.2570000000001</v>
      </c>
      <c r="BC264" s="65">
        <f t="shared" si="119"/>
        <v>2837.3259386607706</v>
      </c>
      <c r="BD264" s="65"/>
      <c r="BE264" s="41">
        <v>2501.527570882598</v>
      </c>
      <c r="BF264" s="314"/>
      <c r="BG264" s="314"/>
      <c r="BH264" s="41">
        <v>676.8091258115727</v>
      </c>
      <c r="BI264" s="65">
        <v>0</v>
      </c>
      <c r="BJ264" s="34">
        <v>-825.29600000000005</v>
      </c>
      <c r="BK264" s="65">
        <f t="shared" si="120"/>
        <v>2353.0406966941709</v>
      </c>
      <c r="BL264" s="65"/>
      <c r="BM264" s="41">
        <v>3338.0488955776004</v>
      </c>
      <c r="BN264" s="41">
        <v>405.70934737626845</v>
      </c>
      <c r="BO264" s="65">
        <v>0</v>
      </c>
      <c r="BP264" s="34">
        <v>-825.29600000000005</v>
      </c>
      <c r="BQ264" s="65">
        <f t="shared" si="100"/>
        <v>2918.4622429538686</v>
      </c>
      <c r="BR264" s="65"/>
      <c r="BS264" s="41">
        <v>3077.0452281969337</v>
      </c>
      <c r="BT264" s="314"/>
      <c r="BU264" s="314"/>
      <c r="BV264" s="41">
        <v>436.38633264875722</v>
      </c>
      <c r="BW264" s="65">
        <v>0</v>
      </c>
      <c r="BX264" s="34">
        <v>-825.29600000000005</v>
      </c>
      <c r="BY264" s="65">
        <f t="shared" si="121"/>
        <v>2688.1355608456906</v>
      </c>
      <c r="CA264" s="5">
        <v>3084.0206161917349</v>
      </c>
      <c r="CB264" s="407">
        <v>472.34231509052745</v>
      </c>
      <c r="CC264" s="415">
        <v>0</v>
      </c>
      <c r="CD264" s="34">
        <v>-825.29600000000005</v>
      </c>
      <c r="CE264" s="65">
        <f t="shared" si="101"/>
        <v>2731.066931282262</v>
      </c>
      <c r="CF264" s="407"/>
      <c r="CG264" s="5">
        <v>3431.0558286958644</v>
      </c>
      <c r="CH264" s="407">
        <v>502.36346631294896</v>
      </c>
      <c r="CI264" s="415">
        <v>0</v>
      </c>
      <c r="CJ264" s="34">
        <v>-825.29600000000005</v>
      </c>
      <c r="CK264" s="65">
        <f t="shared" si="102"/>
        <v>3108.1232950088133</v>
      </c>
      <c r="CL264" s="407"/>
      <c r="CM264" s="41">
        <f>AU264/'1. Väestöennuste'!L264*1000</f>
        <v>1564.3950387353582</v>
      </c>
      <c r="CN264" s="41">
        <f>BC264/'1. Väestöennuste'!M264*1000</f>
        <v>613.47587862935586</v>
      </c>
      <c r="CO264" s="41">
        <f>BK264/'1. Väestöennuste'!N264*1000</f>
        <v>522.78175887451027</v>
      </c>
      <c r="CP264" s="41">
        <f>BQ264/'1. Väestöennuste'!O264*1000</f>
        <v>653.04592592389088</v>
      </c>
      <c r="CQ264" s="41">
        <f>BY264/'1. Väestöennuste'!P264*1000</f>
        <v>605.98186673708085</v>
      </c>
      <c r="CR264" s="41">
        <f>CE264/'1. Väestöennuste'!Q264*1000</f>
        <v>619.8517774131326</v>
      </c>
      <c r="CS264" s="41">
        <f>CK264/'1. Väestöennuste'!R264*1000</f>
        <v>710.42818171630017</v>
      </c>
      <c r="CT264" s="41"/>
      <c r="CV264" s="41">
        <f t="shared" si="103"/>
        <v>3933.4192950088136</v>
      </c>
      <c r="CW264" s="41">
        <f t="shared" si="104"/>
        <v>-1543.7282562734551</v>
      </c>
      <c r="CX264" s="41">
        <f t="shared" si="105"/>
        <v>-950.91916010600232</v>
      </c>
      <c r="CY264" s="41">
        <f t="shared" si="106"/>
        <v>-90.694119754845588</v>
      </c>
      <c r="CZ264" s="41">
        <f t="shared" si="107"/>
        <v>130.2641670493806</v>
      </c>
      <c r="DA264" s="41">
        <f t="shared" si="108"/>
        <v>-47.064059186810027</v>
      </c>
      <c r="DB264" s="41">
        <f t="shared" si="109"/>
        <v>13.869910676051745</v>
      </c>
      <c r="DC264" s="41">
        <f t="shared" si="110"/>
        <v>90.576404303167578</v>
      </c>
      <c r="DD264" s="41"/>
      <c r="DE264" s="283">
        <f t="shared" si="111"/>
        <v>-4.7660709551588925</v>
      </c>
      <c r="DF264" s="283">
        <f t="shared" si="112"/>
        <v>-0.49667535993583478</v>
      </c>
      <c r="DG264" s="283">
        <f t="shared" si="113"/>
        <v>-0.6078510456506665</v>
      </c>
      <c r="DH264" s="283">
        <f t="shared" si="114"/>
        <v>-0.14783648862849638</v>
      </c>
      <c r="DI264" s="283">
        <f t="shared" si="115"/>
        <v>0.24917504262165641</v>
      </c>
      <c r="DJ264" s="283">
        <f t="shared" si="116"/>
        <v>-7.2068528902047083E-2</v>
      </c>
      <c r="DK264" s="283">
        <f t="shared" si="117"/>
        <v>2.2888326264174377E-2</v>
      </c>
      <c r="DL264" s="283">
        <f t="shared" si="118"/>
        <v>0.14612590881190327</v>
      </c>
    </row>
    <row r="265" spans="1:116" x14ac:dyDescent="0.2">
      <c r="A265" s="30">
        <v>832</v>
      </c>
      <c r="B265" s="31" t="s">
        <v>579</v>
      </c>
      <c r="C265" s="65"/>
      <c r="D265" s="65"/>
      <c r="E265" s="65"/>
      <c r="F265" s="65"/>
      <c r="G265" s="65"/>
      <c r="H265" s="65">
        <v>18848</v>
      </c>
      <c r="I265" s="65"/>
      <c r="J265" s="65"/>
      <c r="K265" s="65"/>
      <c r="L265" s="65"/>
      <c r="M265" s="65"/>
      <c r="N265" s="65">
        <v>18338</v>
      </c>
      <c r="O265" s="65"/>
      <c r="P265" s="65"/>
      <c r="Q265" s="65"/>
      <c r="R265" s="65"/>
      <c r="S265" s="65"/>
      <c r="T265" s="65">
        <v>17936</v>
      </c>
      <c r="U265" s="65"/>
      <c r="V265" s="65"/>
      <c r="W265" s="65"/>
      <c r="X265" s="65"/>
      <c r="Y265" s="65"/>
      <c r="Z265" s="65">
        <v>18059</v>
      </c>
      <c r="AA265" s="65"/>
      <c r="AB265" s="66">
        <v>18353.331860636157</v>
      </c>
      <c r="AC265" s="34">
        <v>60.363895051861988</v>
      </c>
      <c r="AD265" s="180">
        <v>2159.2040960068566</v>
      </c>
      <c r="AE265" s="65">
        <v>0</v>
      </c>
      <c r="AF265" s="34">
        <v>-123.321</v>
      </c>
      <c r="AG265" s="65">
        <f t="shared" si="97"/>
        <v>20449.578851694874</v>
      </c>
      <c r="AH265" s="65"/>
      <c r="AI265" s="66">
        <v>17785.663927329155</v>
      </c>
      <c r="AJ265" s="34">
        <v>-46.257102747766474</v>
      </c>
      <c r="AK265" s="181">
        <v>2297.4858554884017</v>
      </c>
      <c r="AL265" s="65">
        <v>0</v>
      </c>
      <c r="AM265" s="34">
        <v>-120.261</v>
      </c>
      <c r="AN265" s="65">
        <f t="shared" si="98"/>
        <v>19916.63168006979</v>
      </c>
      <c r="AO265" s="65"/>
      <c r="AP265" s="41">
        <v>18068.151252684325</v>
      </c>
      <c r="AQ265" s="41">
        <v>-14.155701174321672</v>
      </c>
      <c r="AR265" s="41">
        <v>2562.167050276124</v>
      </c>
      <c r="AS265" s="65">
        <v>0</v>
      </c>
      <c r="AT265" s="34">
        <v>-82.873000000000005</v>
      </c>
      <c r="AU265" s="65">
        <f t="shared" si="99"/>
        <v>20533.289601786128</v>
      </c>
      <c r="AV265" s="65"/>
      <c r="AW265" s="41">
        <v>8039.9012507594207</v>
      </c>
      <c r="AX265" s="314"/>
      <c r="AY265" s="314"/>
      <c r="AZ265" s="41">
        <v>765.34709521522529</v>
      </c>
      <c r="BA265" s="65">
        <v>0</v>
      </c>
      <c r="BB265" s="34">
        <v>-94.74</v>
      </c>
      <c r="BC265" s="65">
        <f t="shared" si="119"/>
        <v>8710.5083459746456</v>
      </c>
      <c r="BD265" s="65"/>
      <c r="BE265" s="41">
        <v>8004.1106071174718</v>
      </c>
      <c r="BF265" s="314"/>
      <c r="BG265" s="314"/>
      <c r="BH265" s="41">
        <v>765.4418060737562</v>
      </c>
      <c r="BI265" s="65">
        <v>0</v>
      </c>
      <c r="BJ265" s="34">
        <v>-243.47399999999999</v>
      </c>
      <c r="BK265" s="65">
        <f t="shared" si="120"/>
        <v>8526.0784131912278</v>
      </c>
      <c r="BL265" s="65"/>
      <c r="BM265" s="41">
        <v>8852.4298691820695</v>
      </c>
      <c r="BN265" s="41">
        <v>555.75273078645523</v>
      </c>
      <c r="BO265" s="65">
        <v>0</v>
      </c>
      <c r="BP265" s="34">
        <v>-243.47399999999999</v>
      </c>
      <c r="BQ265" s="65">
        <f t="shared" si="100"/>
        <v>9164.7085999685241</v>
      </c>
      <c r="BR265" s="65"/>
      <c r="BS265" s="41">
        <v>8355.1985264721989</v>
      </c>
      <c r="BT265" s="314"/>
      <c r="BU265" s="314"/>
      <c r="BV265" s="41">
        <v>593.27625857707631</v>
      </c>
      <c r="BW265" s="65">
        <v>0</v>
      </c>
      <c r="BX265" s="34">
        <v>-243.47399999999999</v>
      </c>
      <c r="BY265" s="65">
        <f t="shared" si="121"/>
        <v>8705.0007850492748</v>
      </c>
      <c r="CA265" s="5">
        <v>8115.4175627923742</v>
      </c>
      <c r="CB265" s="407">
        <v>630.05126695126376</v>
      </c>
      <c r="CC265" s="415">
        <v>0</v>
      </c>
      <c r="CD265" s="34">
        <v>-243.47399999999999</v>
      </c>
      <c r="CE265" s="65">
        <f t="shared" si="101"/>
        <v>8501.9948297436385</v>
      </c>
      <c r="CF265" s="407"/>
      <c r="CG265" s="5">
        <v>8469.9286026378122</v>
      </c>
      <c r="CH265" s="407">
        <v>662.07319181406763</v>
      </c>
      <c r="CI265" s="415">
        <v>0</v>
      </c>
      <c r="CJ265" s="34">
        <v>-243.47399999999999</v>
      </c>
      <c r="CK265" s="65">
        <f t="shared" si="102"/>
        <v>8888.5277944518803</v>
      </c>
      <c r="CL265" s="407"/>
      <c r="CM265" s="41">
        <f>AU265/'1. Väestöennuste'!L265*1000</f>
        <v>5368.1802880486612</v>
      </c>
      <c r="CN265" s="41">
        <f>BC265/'1. Väestöennuste'!M265*1000</f>
        <v>2334.6310227753002</v>
      </c>
      <c r="CO265" s="41">
        <f>BK265/'1. Väestöennuste'!N265*1000</f>
        <v>2314.9819204972109</v>
      </c>
      <c r="CP265" s="41">
        <f>BQ265/'1. Väestöennuste'!O265*1000</f>
        <v>2524.7131129389873</v>
      </c>
      <c r="CQ265" s="41">
        <f>BY265/'1. Väestöennuste'!P265*1000</f>
        <v>2432.9236403156165</v>
      </c>
      <c r="CR265" s="41">
        <f>CE265/'1. Väestöennuste'!Q265*1000</f>
        <v>2410.5457413506206</v>
      </c>
      <c r="CS265" s="41">
        <f>CK265/'1. Väestöennuste'!R265*1000</f>
        <v>2557.1138649171121</v>
      </c>
      <c r="CT265" s="41"/>
      <c r="CV265" s="41">
        <f t="shared" si="103"/>
        <v>9132.0017944518804</v>
      </c>
      <c r="CW265" s="41">
        <f t="shared" si="104"/>
        <v>-3520.3475064032191</v>
      </c>
      <c r="CX265" s="41">
        <f t="shared" si="105"/>
        <v>-3033.549265273361</v>
      </c>
      <c r="CY265" s="41">
        <f t="shared" si="106"/>
        <v>-19.649102278089231</v>
      </c>
      <c r="CZ265" s="41">
        <f t="shared" si="107"/>
        <v>209.73119244177633</v>
      </c>
      <c r="DA265" s="41">
        <f t="shared" si="108"/>
        <v>-91.789472623370784</v>
      </c>
      <c r="DB265" s="41">
        <f t="shared" si="109"/>
        <v>-22.377898964995893</v>
      </c>
      <c r="DC265" s="41">
        <f t="shared" si="110"/>
        <v>146.56812356649152</v>
      </c>
      <c r="DD265" s="41"/>
      <c r="DE265" s="283">
        <f t="shared" si="111"/>
        <v>-37.507092315614322</v>
      </c>
      <c r="DF265" s="283">
        <f t="shared" si="112"/>
        <v>-0.39605518346925578</v>
      </c>
      <c r="DG265" s="283">
        <f t="shared" si="113"/>
        <v>-0.56509824605314418</v>
      </c>
      <c r="DH265" s="283">
        <f t="shared" si="114"/>
        <v>-8.4163630511220125E-3</v>
      </c>
      <c r="DI265" s="283">
        <f t="shared" si="115"/>
        <v>9.0597334944512373E-2</v>
      </c>
      <c r="DJ265" s="283">
        <f t="shared" si="116"/>
        <v>-3.6356397149821036E-2</v>
      </c>
      <c r="DK265" s="283">
        <f t="shared" si="117"/>
        <v>-9.197945465354955E-3</v>
      </c>
      <c r="DL265" s="283">
        <f t="shared" si="118"/>
        <v>6.0802880050046221E-2</v>
      </c>
    </row>
    <row r="266" spans="1:116" x14ac:dyDescent="0.2">
      <c r="A266" s="30">
        <v>833</v>
      </c>
      <c r="B266" s="31" t="s">
        <v>580</v>
      </c>
      <c r="C266" s="65"/>
      <c r="D266" s="65"/>
      <c r="E266" s="65"/>
      <c r="F266" s="65"/>
      <c r="G266" s="65"/>
      <c r="H266" s="65">
        <v>4440</v>
      </c>
      <c r="I266" s="65"/>
      <c r="J266" s="65"/>
      <c r="K266" s="65"/>
      <c r="L266" s="65"/>
      <c r="M266" s="65"/>
      <c r="N266" s="65">
        <v>4446</v>
      </c>
      <c r="O266" s="65"/>
      <c r="P266" s="65"/>
      <c r="Q266" s="65"/>
      <c r="R266" s="65"/>
      <c r="S266" s="65"/>
      <c r="T266" s="65">
        <v>4335</v>
      </c>
      <c r="U266" s="65"/>
      <c r="V266" s="65"/>
      <c r="W266" s="65"/>
      <c r="X266" s="65"/>
      <c r="Y266" s="65"/>
      <c r="Z266" s="65">
        <v>4064</v>
      </c>
      <c r="AA266" s="65"/>
      <c r="AB266" s="66">
        <v>4340.3782403454252</v>
      </c>
      <c r="AC266" s="34">
        <v>32.669214776521379</v>
      </c>
      <c r="AD266" s="180">
        <v>896.88515541959089</v>
      </c>
      <c r="AE266" s="65">
        <v>0</v>
      </c>
      <c r="AF266" s="34">
        <v>-338.916</v>
      </c>
      <c r="AG266" s="65">
        <f t="shared" si="97"/>
        <v>4931.0166105415374</v>
      </c>
      <c r="AH266" s="65"/>
      <c r="AI266" s="66">
        <v>4039.6571655117059</v>
      </c>
      <c r="AJ266" s="34">
        <v>-25.506493326769181</v>
      </c>
      <c r="AK266" s="181">
        <v>958.25810530527929</v>
      </c>
      <c r="AL266" s="65">
        <v>0</v>
      </c>
      <c r="AM266" s="34">
        <v>-401.846</v>
      </c>
      <c r="AN266" s="65">
        <f t="shared" si="98"/>
        <v>4570.5627774902168</v>
      </c>
      <c r="AO266" s="65"/>
      <c r="AP266" s="41">
        <v>4332.0314020713686</v>
      </c>
      <c r="AQ266" s="41">
        <v>-7.8336879260056014</v>
      </c>
      <c r="AR266" s="41">
        <v>1103.6831998708694</v>
      </c>
      <c r="AS266" s="65">
        <v>0</v>
      </c>
      <c r="AT266" s="34">
        <v>-377.55599999999998</v>
      </c>
      <c r="AU266" s="65">
        <f t="shared" si="99"/>
        <v>5050.3249140162325</v>
      </c>
      <c r="AV266" s="65"/>
      <c r="AW266" s="41">
        <v>1748.7181958048197</v>
      </c>
      <c r="AX266" s="314"/>
      <c r="AY266" s="314"/>
      <c r="AZ266" s="41">
        <v>342.28176810028043</v>
      </c>
      <c r="BA266" s="65">
        <v>0</v>
      </c>
      <c r="BB266" s="34">
        <v>-402.45800000000003</v>
      </c>
      <c r="BC266" s="65">
        <f t="shared" si="119"/>
        <v>1688.5419639051001</v>
      </c>
      <c r="BD266" s="65"/>
      <c r="BE266" s="41">
        <v>1568.9842379562697</v>
      </c>
      <c r="BF266" s="314"/>
      <c r="BG266" s="314"/>
      <c r="BH266" s="41">
        <v>335.0961111613845</v>
      </c>
      <c r="BI266" s="65">
        <v>0</v>
      </c>
      <c r="BJ266" s="34">
        <v>-270.39699999999999</v>
      </c>
      <c r="BK266" s="65">
        <f t="shared" si="120"/>
        <v>1633.6833491176542</v>
      </c>
      <c r="BL266" s="65"/>
      <c r="BM266" s="41">
        <v>1863.300587952592</v>
      </c>
      <c r="BN266" s="41">
        <v>258.80330734870125</v>
      </c>
      <c r="BO266" s="65">
        <v>0</v>
      </c>
      <c r="BP266" s="34">
        <v>-270.39699999999999</v>
      </c>
      <c r="BQ266" s="65">
        <f t="shared" si="100"/>
        <v>1851.7068953012931</v>
      </c>
      <c r="BR266" s="65"/>
      <c r="BS266" s="41">
        <v>1802.9949774342595</v>
      </c>
      <c r="BT266" s="314"/>
      <c r="BU266" s="314"/>
      <c r="BV266" s="41">
        <v>272.24914033470708</v>
      </c>
      <c r="BW266" s="65">
        <v>0</v>
      </c>
      <c r="BX266" s="34">
        <v>-270.39699999999999</v>
      </c>
      <c r="BY266" s="65">
        <f t="shared" si="121"/>
        <v>1804.8471177689667</v>
      </c>
      <c r="CA266" s="5">
        <v>1769.1209041305626</v>
      </c>
      <c r="CB266" s="407">
        <v>286.64021904678441</v>
      </c>
      <c r="CC266" s="415">
        <v>0</v>
      </c>
      <c r="CD266" s="34">
        <v>-270.39699999999999</v>
      </c>
      <c r="CE266" s="65">
        <f t="shared" si="101"/>
        <v>1785.3641231773472</v>
      </c>
      <c r="CF266" s="407"/>
      <c r="CG266" s="5">
        <v>1909.3537233748953</v>
      </c>
      <c r="CH266" s="407">
        <v>298.76647794187789</v>
      </c>
      <c r="CI266" s="415">
        <v>0</v>
      </c>
      <c r="CJ266" s="34">
        <v>-270.39699999999999</v>
      </c>
      <c r="CK266" s="65">
        <f t="shared" si="102"/>
        <v>1937.7232013167732</v>
      </c>
      <c r="CL266" s="407"/>
      <c r="CM266" s="41">
        <f>AU266/'1. Väestöennuste'!L266*1000</f>
        <v>2986.5907238416517</v>
      </c>
      <c r="CN266" s="41">
        <f>BC266/'1. Väestöennuste'!M266*1000</f>
        <v>990.34719290621706</v>
      </c>
      <c r="CO266" s="41">
        <f>BK266/'1. Väestöennuste'!N266*1000</f>
        <v>971.27428603903343</v>
      </c>
      <c r="CP266" s="41">
        <f>BQ266/'1. Väestöennuste'!O266*1000</f>
        <v>1098.9358429087793</v>
      </c>
      <c r="CQ266" s="41">
        <f>BY266/'1. Väestöennuste'!P266*1000</f>
        <v>1069.2222261664494</v>
      </c>
      <c r="CR266" s="41">
        <f>CE266/'1. Väestöennuste'!Q266*1000</f>
        <v>1054.5564814987285</v>
      </c>
      <c r="CS266" s="41">
        <f>CK266/'1. Väestöennuste'!R266*1000</f>
        <v>1143.1995288004562</v>
      </c>
      <c r="CT266" s="41"/>
      <c r="CV266" s="41">
        <f t="shared" si="103"/>
        <v>2208.1202013167731</v>
      </c>
      <c r="CW266" s="41">
        <f t="shared" si="104"/>
        <v>1048.8675225248785</v>
      </c>
      <c r="CX266" s="41">
        <f t="shared" si="105"/>
        <v>-1996.2435309354346</v>
      </c>
      <c r="CY266" s="41">
        <f t="shared" si="106"/>
        <v>-19.072906867183633</v>
      </c>
      <c r="CZ266" s="41">
        <f t="shared" si="107"/>
        <v>127.66155686974582</v>
      </c>
      <c r="DA266" s="41">
        <f t="shared" si="108"/>
        <v>-29.713616742329805</v>
      </c>
      <c r="DB266" s="41">
        <f t="shared" si="109"/>
        <v>-14.665744667720901</v>
      </c>
      <c r="DC266" s="41">
        <f t="shared" si="110"/>
        <v>88.64304730172762</v>
      </c>
      <c r="DD266" s="41"/>
      <c r="DE266" s="283">
        <f t="shared" si="111"/>
        <v>-8.1662156063742319</v>
      </c>
      <c r="DF266" s="283">
        <f t="shared" si="112"/>
        <v>0.54128862255048815</v>
      </c>
      <c r="DG266" s="283">
        <f t="shared" si="113"/>
        <v>-0.66840210645523823</v>
      </c>
      <c r="DH266" s="283">
        <f t="shared" si="114"/>
        <v>-1.9258808429812736E-2</v>
      </c>
      <c r="DI266" s="283">
        <f t="shared" si="115"/>
        <v>0.13143718381587566</v>
      </c>
      <c r="DJ266" s="283">
        <f t="shared" si="116"/>
        <v>-2.7038536356845611E-2</v>
      </c>
      <c r="DK266" s="283">
        <f t="shared" si="117"/>
        <v>-1.3716273669602744E-2</v>
      </c>
      <c r="DL266" s="283">
        <f t="shared" si="118"/>
        <v>8.4057183144660708E-2</v>
      </c>
    </row>
    <row r="267" spans="1:116" x14ac:dyDescent="0.2">
      <c r="A267" s="30">
        <v>834</v>
      </c>
      <c r="B267" s="31" t="s">
        <v>581</v>
      </c>
      <c r="C267" s="65"/>
      <c r="D267" s="65"/>
      <c r="E267" s="65"/>
      <c r="F267" s="65"/>
      <c r="G267" s="65"/>
      <c r="H267" s="65">
        <v>13111</v>
      </c>
      <c r="I267" s="65"/>
      <c r="J267" s="65"/>
      <c r="K267" s="65"/>
      <c r="L267" s="65"/>
      <c r="M267" s="65"/>
      <c r="N267" s="65">
        <v>12299</v>
      </c>
      <c r="O267" s="65"/>
      <c r="P267" s="65"/>
      <c r="Q267" s="65"/>
      <c r="R267" s="65"/>
      <c r="S267" s="65"/>
      <c r="T267" s="65">
        <v>11585</v>
      </c>
      <c r="U267" s="65"/>
      <c r="V267" s="65"/>
      <c r="W267" s="65"/>
      <c r="X267" s="65"/>
      <c r="Y267" s="65"/>
      <c r="Z267" s="65">
        <v>11795</v>
      </c>
      <c r="AA267" s="65"/>
      <c r="AB267" s="66">
        <v>11972.284548863758</v>
      </c>
      <c r="AC267" s="34">
        <v>108.41458673571601</v>
      </c>
      <c r="AD267" s="180">
        <v>3029.8176600308771</v>
      </c>
      <c r="AE267" s="65">
        <v>0</v>
      </c>
      <c r="AF267" s="34">
        <v>-1338.393</v>
      </c>
      <c r="AG267" s="65">
        <f t="shared" si="97"/>
        <v>13772.123795630352</v>
      </c>
      <c r="AH267" s="65"/>
      <c r="AI267" s="66">
        <v>11139.288065097551</v>
      </c>
      <c r="AJ267" s="34">
        <v>-84.057795791836554</v>
      </c>
      <c r="AK267" s="181">
        <v>3239.6372243210653</v>
      </c>
      <c r="AL267" s="65">
        <v>0</v>
      </c>
      <c r="AM267" s="34">
        <v>-1430.316</v>
      </c>
      <c r="AN267" s="65">
        <f t="shared" si="98"/>
        <v>12864.551493626781</v>
      </c>
      <c r="AO267" s="65"/>
      <c r="AP267" s="41">
        <v>11974.150132287506</v>
      </c>
      <c r="AQ267" s="41">
        <v>-25.933185494355246</v>
      </c>
      <c r="AR267" s="41">
        <v>3708.979591865505</v>
      </c>
      <c r="AS267" s="65">
        <v>0</v>
      </c>
      <c r="AT267" s="34">
        <v>-1432.15</v>
      </c>
      <c r="AU267" s="65">
        <f t="shared" si="99"/>
        <v>14225.046538658657</v>
      </c>
      <c r="AV267" s="65"/>
      <c r="AW267" s="41">
        <v>4576.5713371796401</v>
      </c>
      <c r="AX267" s="314"/>
      <c r="AY267" s="314"/>
      <c r="AZ267" s="41">
        <v>1113.7216941235561</v>
      </c>
      <c r="BA267" s="65">
        <v>0</v>
      </c>
      <c r="BB267" s="34">
        <v>-1520.6769999999999</v>
      </c>
      <c r="BC267" s="65">
        <f t="shared" si="119"/>
        <v>4169.616031303196</v>
      </c>
      <c r="BD267" s="65"/>
      <c r="BE267" s="41">
        <v>4872.8710361776875</v>
      </c>
      <c r="BF267" s="314"/>
      <c r="BG267" s="314"/>
      <c r="BH267" s="41">
        <v>1089.0044694244643</v>
      </c>
      <c r="BI267" s="65">
        <v>0</v>
      </c>
      <c r="BJ267" s="34">
        <v>-1530.79</v>
      </c>
      <c r="BK267" s="65">
        <f t="shared" si="120"/>
        <v>4431.0855056021519</v>
      </c>
      <c r="BL267" s="65"/>
      <c r="BM267" s="41">
        <v>5341.4001925442462</v>
      </c>
      <c r="BN267" s="41">
        <v>688.41185055465837</v>
      </c>
      <c r="BO267" s="65">
        <v>0</v>
      </c>
      <c r="BP267" s="34">
        <v>-1530.79</v>
      </c>
      <c r="BQ267" s="65">
        <f t="shared" si="100"/>
        <v>4499.0220430989048</v>
      </c>
      <c r="BR267" s="65"/>
      <c r="BS267" s="41">
        <v>5325.8384841343322</v>
      </c>
      <c r="BT267" s="314"/>
      <c r="BU267" s="314"/>
      <c r="BV267" s="41">
        <v>736.23805377546512</v>
      </c>
      <c r="BW267" s="65">
        <v>0</v>
      </c>
      <c r="BX267" s="34">
        <v>-1530.79</v>
      </c>
      <c r="BY267" s="65">
        <f t="shared" si="121"/>
        <v>4531.2865379097975</v>
      </c>
      <c r="CA267" s="5">
        <v>4753.5780584128861</v>
      </c>
      <c r="CB267" s="407">
        <v>790.43864285594361</v>
      </c>
      <c r="CC267" s="415">
        <v>0</v>
      </c>
      <c r="CD267" s="34">
        <v>-1530.79</v>
      </c>
      <c r="CE267" s="65">
        <f t="shared" si="101"/>
        <v>4013.2267012688299</v>
      </c>
      <c r="CF267" s="407"/>
      <c r="CG267" s="5">
        <v>5191.8553607660788</v>
      </c>
      <c r="CH267" s="407">
        <v>836.86156726859906</v>
      </c>
      <c r="CI267" s="415">
        <v>0</v>
      </c>
      <c r="CJ267" s="34">
        <v>-1530.79</v>
      </c>
      <c r="CK267" s="65">
        <f t="shared" si="102"/>
        <v>4497.926928034678</v>
      </c>
      <c r="CL267" s="407"/>
      <c r="CM267" s="41">
        <f>AU267/'1. Väestöennuste'!L267*1000</f>
        <v>2419.637104721663</v>
      </c>
      <c r="CN267" s="41">
        <f>BC267/'1. Väestöennuste'!M267*1000</f>
        <v>713.4866583338802</v>
      </c>
      <c r="CO267" s="41">
        <f>BK267/'1. Väestöennuste'!N267*1000</f>
        <v>764.63943151029366</v>
      </c>
      <c r="CP267" s="41">
        <f>BQ267/'1. Väestöennuste'!O267*1000</f>
        <v>783.25592672334687</v>
      </c>
      <c r="CQ267" s="41">
        <f>BY267/'1. Väestöennuste'!P267*1000</f>
        <v>795.66049831603118</v>
      </c>
      <c r="CR267" s="41">
        <f>CE267/'1. Väestöennuste'!Q267*1000</f>
        <v>710.55713549377299</v>
      </c>
      <c r="CS267" s="41">
        <f>CK267/'1. Väestöennuste'!R267*1000</f>
        <v>802.3415854503528</v>
      </c>
      <c r="CT267" s="41"/>
      <c r="CV267" s="41">
        <f t="shared" si="103"/>
        <v>6028.7169280346779</v>
      </c>
      <c r="CW267" s="41">
        <f t="shared" si="104"/>
        <v>-2078.2898233130149</v>
      </c>
      <c r="CX267" s="41">
        <f t="shared" si="105"/>
        <v>-1706.1504463877827</v>
      </c>
      <c r="CY267" s="41">
        <f t="shared" si="106"/>
        <v>51.152773176413461</v>
      </c>
      <c r="CZ267" s="41">
        <f t="shared" si="107"/>
        <v>18.616495213053213</v>
      </c>
      <c r="DA267" s="41">
        <f t="shared" si="108"/>
        <v>12.404571592684306</v>
      </c>
      <c r="DB267" s="41">
        <f t="shared" si="109"/>
        <v>-85.103362822258191</v>
      </c>
      <c r="DC267" s="41">
        <f t="shared" si="110"/>
        <v>91.784449956579806</v>
      </c>
      <c r="DD267" s="41"/>
      <c r="DE267" s="283">
        <f t="shared" si="111"/>
        <v>-3.9383043579032253</v>
      </c>
      <c r="DF267" s="283">
        <f t="shared" si="112"/>
        <v>-0.46205504370456768</v>
      </c>
      <c r="DG267" s="283">
        <f t="shared" si="113"/>
        <v>-0.70512658408916473</v>
      </c>
      <c r="DH267" s="283">
        <f t="shared" si="114"/>
        <v>7.169408506651602E-2</v>
      </c>
      <c r="DI267" s="283">
        <f t="shared" si="115"/>
        <v>2.4346763253213936E-2</v>
      </c>
      <c r="DJ267" s="283">
        <f t="shared" si="116"/>
        <v>1.5837188292436265E-2</v>
      </c>
      <c r="DK267" s="283">
        <f t="shared" si="117"/>
        <v>-0.1069593916027935</v>
      </c>
      <c r="DL267" s="283">
        <f t="shared" si="118"/>
        <v>0.12917251178231839</v>
      </c>
    </row>
    <row r="268" spans="1:116" x14ac:dyDescent="0.2">
      <c r="A268" s="30">
        <v>837</v>
      </c>
      <c r="B268" s="31" t="s">
        <v>582</v>
      </c>
      <c r="C268" s="65"/>
      <c r="D268" s="65"/>
      <c r="E268" s="65"/>
      <c r="F268" s="65"/>
      <c r="G268" s="65"/>
      <c r="H268" s="65">
        <v>317228</v>
      </c>
      <c r="I268" s="65"/>
      <c r="J268" s="65"/>
      <c r="K268" s="65"/>
      <c r="L268" s="65"/>
      <c r="M268" s="65"/>
      <c r="N268" s="65">
        <v>285094</v>
      </c>
      <c r="O268" s="65"/>
      <c r="P268" s="65"/>
      <c r="Q268" s="65"/>
      <c r="R268" s="65"/>
      <c r="S268" s="65"/>
      <c r="T268" s="65">
        <v>291062</v>
      </c>
      <c r="U268" s="65"/>
      <c r="V268" s="65"/>
      <c r="W268" s="65"/>
      <c r="X268" s="65"/>
      <c r="Y268" s="65"/>
      <c r="Z268" s="65">
        <v>301980</v>
      </c>
      <c r="AA268" s="65"/>
      <c r="AB268" s="66">
        <v>223417.69683722907</v>
      </c>
      <c r="AC268" s="34">
        <v>4964.5187344522656</v>
      </c>
      <c r="AD268" s="180">
        <v>95846.478713667369</v>
      </c>
      <c r="AE268" s="65">
        <v>0</v>
      </c>
      <c r="AF268" s="34">
        <v>63647.762999999999</v>
      </c>
      <c r="AG268" s="65">
        <f t="shared" si="97"/>
        <v>387876.45728534868</v>
      </c>
      <c r="AH268" s="65"/>
      <c r="AI268" s="66">
        <v>186191.41525366282</v>
      </c>
      <c r="AJ268" s="34">
        <v>-3836.7143832656666</v>
      </c>
      <c r="AK268" s="181">
        <v>104334.61660252922</v>
      </c>
      <c r="AL268" s="65">
        <v>0</v>
      </c>
      <c r="AM268" s="34">
        <v>67761.072</v>
      </c>
      <c r="AN268" s="65">
        <f t="shared" si="98"/>
        <v>354450.38947292633</v>
      </c>
      <c r="AO268" s="65"/>
      <c r="AP268" s="41">
        <v>179548.34577027141</v>
      </c>
      <c r="AQ268" s="41">
        <v>-1179.5390550694649</v>
      </c>
      <c r="AR268" s="41">
        <v>117060.64386201536</v>
      </c>
      <c r="AS268" s="65">
        <v>0</v>
      </c>
      <c r="AT268" s="34">
        <v>72471.777000000002</v>
      </c>
      <c r="AU268" s="65">
        <f t="shared" si="99"/>
        <v>367901.22757721727</v>
      </c>
      <c r="AV268" s="65"/>
      <c r="AW268" s="41">
        <v>-57930.823780042469</v>
      </c>
      <c r="AX268" s="314"/>
      <c r="AY268" s="314"/>
      <c r="AZ268" s="41">
        <v>36300.023396053228</v>
      </c>
      <c r="BA268" s="65">
        <v>0</v>
      </c>
      <c r="BB268" s="34">
        <v>78311.426000000007</v>
      </c>
      <c r="BC268" s="65">
        <f t="shared" si="119"/>
        <v>56680.625616010766</v>
      </c>
      <c r="BD268" s="65"/>
      <c r="BE268" s="41">
        <v>-38784.779491165267</v>
      </c>
      <c r="BF268" s="314"/>
      <c r="BG268" s="314"/>
      <c r="BH268" s="41">
        <v>36720.100380104202</v>
      </c>
      <c r="BI268" s="65">
        <v>0</v>
      </c>
      <c r="BJ268" s="34">
        <v>84253.72</v>
      </c>
      <c r="BK268" s="65">
        <f t="shared" si="120"/>
        <v>82189.040888938936</v>
      </c>
      <c r="BL268" s="65"/>
      <c r="BM268" s="41">
        <v>11361.668701751147</v>
      </c>
      <c r="BN268" s="41">
        <v>22615.585756577217</v>
      </c>
      <c r="BO268" s="65">
        <v>0</v>
      </c>
      <c r="BP268" s="34">
        <v>84253.72</v>
      </c>
      <c r="BQ268" s="65">
        <f t="shared" si="100"/>
        <v>118230.97445832836</v>
      </c>
      <c r="BR268" s="65"/>
      <c r="BS268" s="41">
        <v>24121.288589802378</v>
      </c>
      <c r="BT268" s="314"/>
      <c r="BU268" s="314"/>
      <c r="BV268" s="41">
        <v>24404.589087348933</v>
      </c>
      <c r="BW268" s="65">
        <v>0</v>
      </c>
      <c r="BX268" s="34">
        <v>84253.72</v>
      </c>
      <c r="BY268" s="65">
        <f t="shared" si="121"/>
        <v>132779.59767715132</v>
      </c>
      <c r="CA268" s="5">
        <v>27151.222059177802</v>
      </c>
      <c r="CB268" s="407">
        <v>26494.032857964467</v>
      </c>
      <c r="CC268" s="415">
        <v>0</v>
      </c>
      <c r="CD268" s="34">
        <v>84253.72</v>
      </c>
      <c r="CE268" s="65">
        <f t="shared" si="101"/>
        <v>137898.97491714227</v>
      </c>
      <c r="CF268" s="407"/>
      <c r="CG268" s="5">
        <v>33205.357525340441</v>
      </c>
      <c r="CH268" s="407">
        <v>28269.424777493612</v>
      </c>
      <c r="CI268" s="415">
        <v>0</v>
      </c>
      <c r="CJ268" s="34">
        <v>84253.72</v>
      </c>
      <c r="CK268" s="65">
        <f t="shared" si="102"/>
        <v>145728.50230283407</v>
      </c>
      <c r="CL268" s="407"/>
      <c r="CM268" s="41">
        <f>AU268/'1. Väestöennuste'!L268*1000</f>
        <v>1477.4615679642795</v>
      </c>
      <c r="CN268" s="41">
        <f>BC268/'1. Väestöennuste'!M268*1000</f>
        <v>222.23338802591948</v>
      </c>
      <c r="CO268" s="41">
        <f>BK268/'1. Väestöennuste'!N268*1000</f>
        <v>323.77903227167553</v>
      </c>
      <c r="CP268" s="41">
        <f>BQ268/'1. Väestöennuste'!O268*1000</f>
        <v>460.78497836331042</v>
      </c>
      <c r="CQ268" s="41">
        <f>BY268/'1. Väestöennuste'!P268*1000</f>
        <v>512.28475401210426</v>
      </c>
      <c r="CR268" s="41">
        <f>CE268/'1. Väestöennuste'!Q268*1000</f>
        <v>526.98164117267572</v>
      </c>
      <c r="CS268" s="41">
        <f>CK268/'1. Väestöennuste'!R268*1000</f>
        <v>551.87229628963678</v>
      </c>
      <c r="CT268" s="41"/>
      <c r="CV268" s="41">
        <f t="shared" si="103"/>
        <v>61474.782302834064</v>
      </c>
      <c r="CW268" s="41">
        <f t="shared" si="104"/>
        <v>-144251.04073486978</v>
      </c>
      <c r="CX268" s="41">
        <f t="shared" si="105"/>
        <v>-1255.22817993836</v>
      </c>
      <c r="CY268" s="41">
        <f t="shared" si="106"/>
        <v>101.54564424575605</v>
      </c>
      <c r="CZ268" s="41">
        <f t="shared" si="107"/>
        <v>137.00594609163488</v>
      </c>
      <c r="DA268" s="41">
        <f t="shared" si="108"/>
        <v>51.499775648793843</v>
      </c>
      <c r="DB268" s="41">
        <f t="shared" si="109"/>
        <v>14.696887160571464</v>
      </c>
      <c r="DC268" s="41">
        <f t="shared" si="110"/>
        <v>24.890655116961057</v>
      </c>
      <c r="DD268" s="41"/>
      <c r="DE268" s="283">
        <f t="shared" si="111"/>
        <v>0.72963878986986053</v>
      </c>
      <c r="DF268" s="283">
        <f t="shared" si="112"/>
        <v>-0.98986154702328566</v>
      </c>
      <c r="DG268" s="283">
        <f t="shared" si="113"/>
        <v>-0.84958431891252251</v>
      </c>
      <c r="DH268" s="283">
        <f t="shared" si="114"/>
        <v>0.45693244002522521</v>
      </c>
      <c r="DI268" s="283">
        <f t="shared" si="115"/>
        <v>0.42314644382739508</v>
      </c>
      <c r="DJ268" s="283">
        <f t="shared" si="116"/>
        <v>0.11176530934606194</v>
      </c>
      <c r="DK268" s="283">
        <f t="shared" si="117"/>
        <v>2.8688902110532467E-2</v>
      </c>
      <c r="DL268" s="283">
        <f t="shared" si="118"/>
        <v>4.7232490038120988E-2</v>
      </c>
    </row>
    <row r="269" spans="1:116" x14ac:dyDescent="0.2">
      <c r="A269" s="30">
        <v>844</v>
      </c>
      <c r="B269" s="31" t="s">
        <v>583</v>
      </c>
      <c r="C269" s="65"/>
      <c r="D269" s="65"/>
      <c r="E269" s="65"/>
      <c r="F269" s="65"/>
      <c r="G269" s="65"/>
      <c r="H269" s="65">
        <v>6235</v>
      </c>
      <c r="I269" s="65"/>
      <c r="J269" s="65"/>
      <c r="K269" s="65"/>
      <c r="L269" s="65"/>
      <c r="M269" s="65"/>
      <c r="N269" s="65">
        <v>6355</v>
      </c>
      <c r="O269" s="65"/>
      <c r="P269" s="65"/>
      <c r="Q269" s="65"/>
      <c r="R269" s="65"/>
      <c r="S269" s="65"/>
      <c r="T269" s="65">
        <v>6528</v>
      </c>
      <c r="U269" s="65"/>
      <c r="V269" s="65"/>
      <c r="W269" s="65"/>
      <c r="X269" s="65"/>
      <c r="Y269" s="65"/>
      <c r="Z269" s="65">
        <v>6618</v>
      </c>
      <c r="AA269" s="65"/>
      <c r="AB269" s="66">
        <v>6657.4255173549573</v>
      </c>
      <c r="AC269" s="34">
        <v>22.818650359392148</v>
      </c>
      <c r="AD269" s="180">
        <v>1008.7828821817496</v>
      </c>
      <c r="AE269" s="65">
        <v>0</v>
      </c>
      <c r="AF269" s="34">
        <v>-310.84399999999999</v>
      </c>
      <c r="AG269" s="65">
        <f t="shared" si="97"/>
        <v>7378.183049896099</v>
      </c>
      <c r="AH269" s="65"/>
      <c r="AI269" s="66">
        <v>6066.1865677199685</v>
      </c>
      <c r="AJ269" s="34">
        <v>-17.526019513925892</v>
      </c>
      <c r="AK269" s="181">
        <v>1070.1171984677987</v>
      </c>
      <c r="AL269" s="65">
        <v>0</v>
      </c>
      <c r="AM269" s="34">
        <v>-390.91199999999998</v>
      </c>
      <c r="AN269" s="65">
        <f t="shared" si="98"/>
        <v>6727.8657466738405</v>
      </c>
      <c r="AO269" s="65"/>
      <c r="AP269" s="41">
        <v>6001.9152214789765</v>
      </c>
      <c r="AQ269" s="41">
        <v>-5.3640962647328774</v>
      </c>
      <c r="AR269" s="41">
        <v>1211.9008783003301</v>
      </c>
      <c r="AS269" s="65">
        <v>0</v>
      </c>
      <c r="AT269" s="34">
        <v>-322.42099999999999</v>
      </c>
      <c r="AU269" s="65">
        <f t="shared" si="99"/>
        <v>6886.0310035145731</v>
      </c>
      <c r="AV269" s="65"/>
      <c r="AW269" s="41">
        <v>493.91451490496775</v>
      </c>
      <c r="AX269" s="314"/>
      <c r="AY269" s="314"/>
      <c r="AZ269" s="41">
        <v>367.38162735902188</v>
      </c>
      <c r="BA269" s="65">
        <v>0</v>
      </c>
      <c r="BB269" s="34">
        <v>-331.834</v>
      </c>
      <c r="BC269" s="65">
        <f t="shared" si="119"/>
        <v>529.46214226398956</v>
      </c>
      <c r="BD269" s="65"/>
      <c r="BE269" s="41">
        <v>686.57276305184075</v>
      </c>
      <c r="BF269" s="314"/>
      <c r="BG269" s="314"/>
      <c r="BH269" s="41">
        <v>358.45445312555591</v>
      </c>
      <c r="BI269" s="65">
        <v>0</v>
      </c>
      <c r="BJ269" s="34">
        <v>-357.78199999999998</v>
      </c>
      <c r="BK269" s="65">
        <f t="shared" si="120"/>
        <v>687.24521617739674</v>
      </c>
      <c r="BL269" s="65"/>
      <c r="BM269" s="41">
        <v>931.69660002583623</v>
      </c>
      <c r="BN269" s="41">
        <v>261.63209509833626</v>
      </c>
      <c r="BO269" s="65">
        <v>0</v>
      </c>
      <c r="BP269" s="34">
        <v>-357.78199999999998</v>
      </c>
      <c r="BQ269" s="65">
        <f t="shared" si="100"/>
        <v>835.54669512417263</v>
      </c>
      <c r="BR269" s="65"/>
      <c r="BS269" s="41">
        <v>1077.8480502450527</v>
      </c>
      <c r="BT269" s="314"/>
      <c r="BU269" s="314"/>
      <c r="BV269" s="41">
        <v>278.48967792593982</v>
      </c>
      <c r="BW269" s="65">
        <v>0</v>
      </c>
      <c r="BX269" s="34">
        <v>-357.78199999999998</v>
      </c>
      <c r="BY269" s="65">
        <f t="shared" si="121"/>
        <v>998.55572817099255</v>
      </c>
      <c r="CA269" s="5">
        <v>1192.2215221691993</v>
      </c>
      <c r="CB269" s="407">
        <v>295.25402202679686</v>
      </c>
      <c r="CC269" s="415">
        <v>0</v>
      </c>
      <c r="CD269" s="34">
        <v>-357.78199999999998</v>
      </c>
      <c r="CE269" s="65">
        <f t="shared" si="101"/>
        <v>1129.6935441959961</v>
      </c>
      <c r="CF269" s="407"/>
      <c r="CG269" s="5">
        <v>1371.2006987458947</v>
      </c>
      <c r="CH269" s="407">
        <v>309.91632023698412</v>
      </c>
      <c r="CI269" s="415">
        <v>0</v>
      </c>
      <c r="CJ269" s="34">
        <v>-357.78199999999998</v>
      </c>
      <c r="CK269" s="65">
        <f t="shared" si="102"/>
        <v>1323.3350189828789</v>
      </c>
      <c r="CL269" s="407"/>
      <c r="CM269" s="41">
        <f>AU269/'1. Väestöennuste'!L269*1000</f>
        <v>4778.6474694757617</v>
      </c>
      <c r="CN269" s="41">
        <f>BC269/'1. Väestöennuste'!M269*1000</f>
        <v>374.97318857223053</v>
      </c>
      <c r="CO269" s="41">
        <f>BK269/'1. Väestöennuste'!N269*1000</f>
        <v>479.25049942635758</v>
      </c>
      <c r="CP269" s="41">
        <f>BQ269/'1. Väestöennuste'!O269*1000</f>
        <v>587.58558025609886</v>
      </c>
      <c r="CQ269" s="41">
        <f>BY269/'1. Väestöennuste'!P269*1000</f>
        <v>707.19244204744518</v>
      </c>
      <c r="CR269" s="41">
        <f>CE269/'1. Väestöennuste'!Q269*1000</f>
        <v>805.77285605991165</v>
      </c>
      <c r="CS269" s="41">
        <f>CK269/'1. Väestöennuste'!R269*1000</f>
        <v>951.35515383384541</v>
      </c>
      <c r="CT269" s="41"/>
      <c r="CV269" s="41">
        <f t="shared" si="103"/>
        <v>1681.1170189828788</v>
      </c>
      <c r="CW269" s="41">
        <f t="shared" si="104"/>
        <v>3455.3124504928828</v>
      </c>
      <c r="CX269" s="41">
        <f t="shared" si="105"/>
        <v>-4403.6742809035313</v>
      </c>
      <c r="CY269" s="41">
        <f t="shared" si="106"/>
        <v>104.27731085412705</v>
      </c>
      <c r="CZ269" s="41">
        <f t="shared" si="107"/>
        <v>108.33508082974129</v>
      </c>
      <c r="DA269" s="41">
        <f t="shared" si="108"/>
        <v>119.60686179134632</v>
      </c>
      <c r="DB269" s="41">
        <f t="shared" si="109"/>
        <v>98.580414012466463</v>
      </c>
      <c r="DC269" s="41">
        <f t="shared" si="110"/>
        <v>145.58229777393376</v>
      </c>
      <c r="DD269" s="41"/>
      <c r="DE269" s="283">
        <f t="shared" si="111"/>
        <v>-4.6987188259411568</v>
      </c>
      <c r="DF269" s="283">
        <f t="shared" si="112"/>
        <v>2.611064016992954</v>
      </c>
      <c r="DG269" s="283">
        <f t="shared" si="113"/>
        <v>-0.92153152309991038</v>
      </c>
      <c r="DH269" s="283">
        <f t="shared" si="114"/>
        <v>0.27809271177808564</v>
      </c>
      <c r="DI269" s="283">
        <f t="shared" si="115"/>
        <v>0.22605105463513081</v>
      </c>
      <c r="DJ269" s="283">
        <f t="shared" si="116"/>
        <v>0.20355649595624137</v>
      </c>
      <c r="DK269" s="283">
        <f t="shared" si="117"/>
        <v>0.13939687156024888</v>
      </c>
      <c r="DL269" s="283">
        <f t="shared" si="118"/>
        <v>0.18067411514183507</v>
      </c>
    </row>
    <row r="270" spans="1:116" x14ac:dyDescent="0.2">
      <c r="A270" s="30">
        <v>845</v>
      </c>
      <c r="B270" s="31" t="s">
        <v>584</v>
      </c>
      <c r="C270" s="65"/>
      <c r="D270" s="65"/>
      <c r="E270" s="65"/>
      <c r="F270" s="65"/>
      <c r="G270" s="65"/>
      <c r="H270" s="65">
        <v>11754</v>
      </c>
      <c r="I270" s="65"/>
      <c r="J270" s="65"/>
      <c r="K270" s="65"/>
      <c r="L270" s="65"/>
      <c r="M270" s="65"/>
      <c r="N270" s="65">
        <v>10838</v>
      </c>
      <c r="O270" s="65"/>
      <c r="P270" s="65"/>
      <c r="Q270" s="65"/>
      <c r="R270" s="65"/>
      <c r="S270" s="65"/>
      <c r="T270" s="65">
        <v>10308</v>
      </c>
      <c r="U270" s="65"/>
      <c r="V270" s="65"/>
      <c r="W270" s="65"/>
      <c r="X270" s="65"/>
      <c r="Y270" s="65"/>
      <c r="Z270" s="65">
        <v>10059</v>
      </c>
      <c r="AA270" s="65"/>
      <c r="AB270" s="66">
        <v>10143.027338880627</v>
      </c>
      <c r="AC270" s="34">
        <v>57.591309573257718</v>
      </c>
      <c r="AD270" s="180">
        <v>1568.6065031921764</v>
      </c>
      <c r="AE270" s="65">
        <v>0</v>
      </c>
      <c r="AF270" s="34">
        <v>0.58199999999999996</v>
      </c>
      <c r="AG270" s="65">
        <f t="shared" si="97"/>
        <v>11769.807151646062</v>
      </c>
      <c r="AH270" s="65"/>
      <c r="AI270" s="66">
        <v>9897.3682667260382</v>
      </c>
      <c r="AJ270" s="34">
        <v>-44.954991674040897</v>
      </c>
      <c r="AK270" s="181">
        <v>1668.8980161486018</v>
      </c>
      <c r="AL270" s="65">
        <v>0</v>
      </c>
      <c r="AM270" s="34">
        <v>-90.382000000000005</v>
      </c>
      <c r="AN270" s="65">
        <f t="shared" si="98"/>
        <v>11430.929291200599</v>
      </c>
      <c r="AO270" s="65"/>
      <c r="AP270" s="41">
        <v>10216.647660804521</v>
      </c>
      <c r="AQ270" s="41">
        <v>-13.744569694077207</v>
      </c>
      <c r="AR270" s="41">
        <v>1903.7176959708424</v>
      </c>
      <c r="AS270" s="65">
        <v>0</v>
      </c>
      <c r="AT270" s="34">
        <v>-107.289</v>
      </c>
      <c r="AU270" s="65">
        <f t="shared" si="99"/>
        <v>11999.331787081286</v>
      </c>
      <c r="AV270" s="65"/>
      <c r="AW270" s="41">
        <v>3582.8817546259793</v>
      </c>
      <c r="AX270" s="314"/>
      <c r="AY270" s="314"/>
      <c r="AZ270" s="41">
        <v>595.42526634182332</v>
      </c>
      <c r="BA270" s="65">
        <v>0</v>
      </c>
      <c r="BB270" s="34">
        <v>-71.887</v>
      </c>
      <c r="BC270" s="65">
        <f t="shared" si="119"/>
        <v>4106.4200209678029</v>
      </c>
      <c r="BD270" s="65"/>
      <c r="BE270" s="41">
        <v>3643.4852332299874</v>
      </c>
      <c r="BF270" s="314"/>
      <c r="BG270" s="314"/>
      <c r="BH270" s="41">
        <v>589.82792928421782</v>
      </c>
      <c r="BI270" s="65">
        <v>0</v>
      </c>
      <c r="BJ270" s="34">
        <v>5.9279999999999999</v>
      </c>
      <c r="BK270" s="65">
        <f t="shared" si="120"/>
        <v>4239.2411625142049</v>
      </c>
      <c r="BL270" s="65"/>
      <c r="BM270" s="41">
        <v>3818.6744004914999</v>
      </c>
      <c r="BN270" s="41">
        <v>462.42646367065191</v>
      </c>
      <c r="BO270" s="65">
        <v>0</v>
      </c>
      <c r="BP270" s="34">
        <v>5.9279999999999999</v>
      </c>
      <c r="BQ270" s="65">
        <f t="shared" si="100"/>
        <v>4287.0288641621519</v>
      </c>
      <c r="BR270" s="65"/>
      <c r="BS270" s="41">
        <v>3850.0786984753217</v>
      </c>
      <c r="BT270" s="314"/>
      <c r="BU270" s="314"/>
      <c r="BV270" s="41">
        <v>486.87863847100522</v>
      </c>
      <c r="BW270" s="65">
        <v>0</v>
      </c>
      <c r="BX270" s="34">
        <v>5.9279999999999999</v>
      </c>
      <c r="BY270" s="65">
        <f t="shared" si="121"/>
        <v>4342.8853369463268</v>
      </c>
      <c r="CA270" s="5">
        <v>3796.6362125083251</v>
      </c>
      <c r="CB270" s="407">
        <v>511.44806375457568</v>
      </c>
      <c r="CC270" s="415">
        <v>0</v>
      </c>
      <c r="CD270" s="34">
        <v>5.9279999999999999</v>
      </c>
      <c r="CE270" s="65">
        <f t="shared" si="101"/>
        <v>4314.0122762629007</v>
      </c>
      <c r="CF270" s="407"/>
      <c r="CG270" s="5">
        <v>4258.0058928765011</v>
      </c>
      <c r="CH270" s="407">
        <v>532.62188569438115</v>
      </c>
      <c r="CI270" s="415">
        <v>0</v>
      </c>
      <c r="CJ270" s="34">
        <v>5.9279999999999999</v>
      </c>
      <c r="CK270" s="65">
        <f t="shared" si="102"/>
        <v>4796.5557785708825</v>
      </c>
      <c r="CL270" s="407"/>
      <c r="CM270" s="41">
        <f>AU270/'1. Väestöennuste'!L270*1000</f>
        <v>4191.1742183308716</v>
      </c>
      <c r="CN270" s="41">
        <f>BC270/'1. Väestöennuste'!M270*1000</f>
        <v>1450.5192585545049</v>
      </c>
      <c r="CO270" s="41">
        <f>BK270/'1. Väestöennuste'!N270*1000</f>
        <v>1559.6913769367934</v>
      </c>
      <c r="CP270" s="41">
        <f>BQ270/'1. Väestöennuste'!O270*1000</f>
        <v>1602.0287235284575</v>
      </c>
      <c r="CQ270" s="41">
        <f>BY270/'1. Väestöennuste'!P270*1000</f>
        <v>1646.9038061988347</v>
      </c>
      <c r="CR270" s="41">
        <f>CE270/'1. Väestöennuste'!Q270*1000</f>
        <v>1660.5128084152814</v>
      </c>
      <c r="CS270" s="41">
        <f>CK270/'1. Väestöennuste'!R270*1000</f>
        <v>1872.922990461102</v>
      </c>
      <c r="CT270" s="41"/>
      <c r="CV270" s="41">
        <f t="shared" si="103"/>
        <v>4790.6277785708826</v>
      </c>
      <c r="CW270" s="41">
        <f t="shared" si="104"/>
        <v>-605.38156024001091</v>
      </c>
      <c r="CX270" s="41">
        <f t="shared" si="105"/>
        <v>-2740.6549597763669</v>
      </c>
      <c r="CY270" s="41">
        <f t="shared" si="106"/>
        <v>109.17211838228855</v>
      </c>
      <c r="CZ270" s="41">
        <f t="shared" si="107"/>
        <v>42.337346591664073</v>
      </c>
      <c r="DA270" s="41">
        <f t="shared" si="108"/>
        <v>44.875082670377196</v>
      </c>
      <c r="DB270" s="41">
        <f t="shared" si="109"/>
        <v>13.609002216446697</v>
      </c>
      <c r="DC270" s="41">
        <f t="shared" si="110"/>
        <v>212.41018204582065</v>
      </c>
      <c r="DD270" s="41"/>
      <c r="DE270" s="283">
        <f t="shared" si="111"/>
        <v>808.13559017727437</v>
      </c>
      <c r="DF270" s="283">
        <f t="shared" si="112"/>
        <v>-0.12621172111551723</v>
      </c>
      <c r="DG270" s="283">
        <f t="shared" si="113"/>
        <v>-0.65391100846860728</v>
      </c>
      <c r="DH270" s="283">
        <f t="shared" si="114"/>
        <v>7.5264163325265004E-2</v>
      </c>
      <c r="DI270" s="283">
        <f t="shared" si="115"/>
        <v>2.7144694917025113E-2</v>
      </c>
      <c r="DJ270" s="283">
        <f t="shared" si="116"/>
        <v>2.8011409540485723E-2</v>
      </c>
      <c r="DK270" s="283">
        <f t="shared" si="117"/>
        <v>8.2633862191728094E-3</v>
      </c>
      <c r="DL270" s="283">
        <f t="shared" si="118"/>
        <v>0.12791842433816294</v>
      </c>
    </row>
    <row r="271" spans="1:116" x14ac:dyDescent="0.2">
      <c r="A271" s="30">
        <v>846</v>
      </c>
      <c r="B271" s="31" t="s">
        <v>585</v>
      </c>
      <c r="C271" s="65"/>
      <c r="D271" s="65"/>
      <c r="E271" s="65"/>
      <c r="F271" s="65"/>
      <c r="G271" s="65"/>
      <c r="H271" s="65">
        <v>18256</v>
      </c>
      <c r="I271" s="65"/>
      <c r="J271" s="65"/>
      <c r="K271" s="65"/>
      <c r="L271" s="65"/>
      <c r="M271" s="65"/>
      <c r="N271" s="65">
        <v>18664</v>
      </c>
      <c r="O271" s="65"/>
      <c r="P271" s="65"/>
      <c r="Q271" s="65"/>
      <c r="R271" s="65"/>
      <c r="S271" s="65"/>
      <c r="T271" s="65">
        <v>18021</v>
      </c>
      <c r="U271" s="65"/>
      <c r="V271" s="65"/>
      <c r="W271" s="65"/>
      <c r="X271" s="65"/>
      <c r="Y271" s="65"/>
      <c r="Z271" s="65">
        <v>18471</v>
      </c>
      <c r="AA271" s="65"/>
      <c r="AB271" s="66">
        <v>16923.146062280623</v>
      </c>
      <c r="AC271" s="34">
        <v>79.87480837245235</v>
      </c>
      <c r="AD271" s="180">
        <v>3151.5996993752938</v>
      </c>
      <c r="AE271" s="65">
        <v>0</v>
      </c>
      <c r="AF271" s="34">
        <v>-376.017</v>
      </c>
      <c r="AG271" s="65">
        <f t="shared" ref="AG271:AG307" si="122">SUM(AB271:AF271)</f>
        <v>19778.603570028368</v>
      </c>
      <c r="AH271" s="65"/>
      <c r="AI271" s="66">
        <v>16274.247656351607</v>
      </c>
      <c r="AJ271" s="34">
        <v>-61.988653344198283</v>
      </c>
      <c r="AK271" s="181">
        <v>3350.4691106453729</v>
      </c>
      <c r="AL271" s="65">
        <v>0</v>
      </c>
      <c r="AM271" s="34">
        <v>-637.24900000000002</v>
      </c>
      <c r="AN271" s="65">
        <f t="shared" ref="AN271:AN307" si="123">SUM(AI271:AM271)</f>
        <v>18925.479113652782</v>
      </c>
      <c r="AO271" s="65"/>
      <c r="AP271" s="41">
        <v>17644.480444308028</v>
      </c>
      <c r="AQ271" s="41">
        <v>-19.141986477904762</v>
      </c>
      <c r="AR271" s="41">
        <v>3738.6289424776364</v>
      </c>
      <c r="AS271" s="65">
        <v>0</v>
      </c>
      <c r="AT271" s="34">
        <v>-451.69799999999998</v>
      </c>
      <c r="AU271" s="65">
        <f t="shared" ref="AU271:AU307" si="124">SUM(AP271:AT271)</f>
        <v>20912.269400307759</v>
      </c>
      <c r="AV271" s="65"/>
      <c r="AW271" s="41">
        <v>6218.8337862294984</v>
      </c>
      <c r="AX271" s="314"/>
      <c r="AY271" s="314"/>
      <c r="AZ271" s="41">
        <v>1137.8227546027547</v>
      </c>
      <c r="BA271" s="65">
        <v>0</v>
      </c>
      <c r="BB271" s="34">
        <v>-409.00700000000001</v>
      </c>
      <c r="BC271" s="65">
        <f t="shared" si="119"/>
        <v>6947.6495408322535</v>
      </c>
      <c r="BD271" s="65"/>
      <c r="BE271" s="41">
        <v>5235.92900211902</v>
      </c>
      <c r="BF271" s="314"/>
      <c r="BG271" s="314"/>
      <c r="BH271" s="41">
        <v>1138.1782460818195</v>
      </c>
      <c r="BI271" s="65">
        <v>0</v>
      </c>
      <c r="BJ271" s="34">
        <v>-364.16199999999998</v>
      </c>
      <c r="BK271" s="65">
        <f t="shared" si="120"/>
        <v>6009.9452482008392</v>
      </c>
      <c r="BL271" s="65"/>
      <c r="BM271" s="41">
        <v>5723.8488086548005</v>
      </c>
      <c r="BN271" s="41">
        <v>778.84399641159291</v>
      </c>
      <c r="BO271" s="65">
        <v>0</v>
      </c>
      <c r="BP271" s="34">
        <v>-364.16199999999998</v>
      </c>
      <c r="BQ271" s="65">
        <f t="shared" ref="BQ271:BQ307" si="125">BM271+BN271+BO271+BP271</f>
        <v>6138.5308050663934</v>
      </c>
      <c r="BR271" s="65"/>
      <c r="BS271" s="41">
        <v>5863.5584417465889</v>
      </c>
      <c r="BT271" s="314"/>
      <c r="BU271" s="314"/>
      <c r="BV271" s="41">
        <v>834.94915873121943</v>
      </c>
      <c r="BW271" s="65">
        <v>0</v>
      </c>
      <c r="BX271" s="34">
        <v>-364.16199999999998</v>
      </c>
      <c r="BY271" s="65">
        <f t="shared" si="121"/>
        <v>6334.3456004778081</v>
      </c>
      <c r="CA271" s="5">
        <v>5737.4556523678548</v>
      </c>
      <c r="CB271" s="407">
        <v>891.22050337031578</v>
      </c>
      <c r="CC271" s="415">
        <v>0</v>
      </c>
      <c r="CD271" s="34">
        <v>-364.16199999999998</v>
      </c>
      <c r="CE271" s="65">
        <f t="shared" ref="CE271:CE307" si="126">CA271+CB271+CC271+CD271</f>
        <v>6264.5141557381703</v>
      </c>
      <c r="CF271" s="407"/>
      <c r="CG271" s="5">
        <v>6420.490018790354</v>
      </c>
      <c r="CH271" s="407">
        <v>941.60170302276038</v>
      </c>
      <c r="CI271" s="415">
        <v>0</v>
      </c>
      <c r="CJ271" s="34">
        <v>-364.16199999999998</v>
      </c>
      <c r="CK271" s="65">
        <f t="shared" ref="CK271:CK307" si="127">CG271+CH271+CI271+CJ271</f>
        <v>6997.9297218131142</v>
      </c>
      <c r="CL271" s="407"/>
      <c r="CM271" s="41">
        <f>AU271/'1. Väestöennuste'!L271*1000</f>
        <v>4301.1660634117152</v>
      </c>
      <c r="CN271" s="41">
        <f>BC271/'1. Väestöennuste'!M271*1000</f>
        <v>1460.2037706667199</v>
      </c>
      <c r="CO271" s="41">
        <f>BK271/'1. Väestöennuste'!N271*1000</f>
        <v>1297.4838618741019</v>
      </c>
      <c r="CP271" s="41">
        <f>BQ271/'1. Väestöennuste'!O271*1000</f>
        <v>1347.9426449421155</v>
      </c>
      <c r="CQ271" s="41">
        <f>BY271/'1. Väestöennuste'!P271*1000</f>
        <v>1414.2321054873428</v>
      </c>
      <c r="CR271" s="41">
        <f>CE271/'1. Väestöennuste'!Q271*1000</f>
        <v>1421.4917530606242</v>
      </c>
      <c r="CS271" s="41">
        <f>CK271/'1. Väestöennuste'!R271*1000</f>
        <v>1614.6584498876591</v>
      </c>
      <c r="CT271" s="41"/>
      <c r="CV271" s="41">
        <f t="shared" ref="CV271:CV307" si="128">CK271-CJ271</f>
        <v>7362.0917218131144</v>
      </c>
      <c r="CW271" s="41">
        <f t="shared" ref="CW271:CW307" si="129">CM271-CK271</f>
        <v>-2696.763658401399</v>
      </c>
      <c r="CX271" s="41">
        <f t="shared" ref="CX271:CX307" si="130">CN271-CM271</f>
        <v>-2840.9622927449955</v>
      </c>
      <c r="CY271" s="41">
        <f t="shared" ref="CY271:CY307" si="131">CO271-CN271</f>
        <v>-162.71990879261807</v>
      </c>
      <c r="CZ271" s="41">
        <f t="shared" ref="CZ271:CZ307" si="132">CP271-CO271</f>
        <v>50.458783068013645</v>
      </c>
      <c r="DA271" s="41">
        <f t="shared" ref="DA271:DA307" si="133">CQ271-CP271</f>
        <v>66.289460545227257</v>
      </c>
      <c r="DB271" s="41">
        <f t="shared" ref="DB271:DB307" si="134">CR271-CQ271</f>
        <v>7.259647573281427</v>
      </c>
      <c r="DC271" s="41">
        <f t="shared" ref="DC271:DC307" si="135">CS271-CR271</f>
        <v>193.16669682703491</v>
      </c>
      <c r="DD271" s="41"/>
      <c r="DE271" s="283">
        <f t="shared" ref="DE271:DE307" si="136">(CK271-CJ271)/CJ271</f>
        <v>-20.216529241966803</v>
      </c>
      <c r="DF271" s="283">
        <f t="shared" ref="DF271:DF307" si="137">(CM271-CK271)/CK271</f>
        <v>-0.38536592472418923</v>
      </c>
      <c r="DG271" s="283">
        <f t="shared" ref="DG271:DG307" si="138">(CN271-CM271)/CM271</f>
        <v>-0.6605097898711505</v>
      </c>
      <c r="DH271" s="283">
        <f t="shared" ref="DH271:DH307" si="139">(CO271-CN271)/CN271</f>
        <v>-0.11143643925691356</v>
      </c>
      <c r="DI271" s="283">
        <f t="shared" ref="DI271:DI307" si="140">(CP271-CO271)/CO271</f>
        <v>3.8889719210172181E-2</v>
      </c>
      <c r="DJ271" s="283">
        <f t="shared" ref="DJ271:DJ307" si="141">(CQ271-CP271)/CP271</f>
        <v>4.9178250123597743E-2</v>
      </c>
      <c r="DK271" s="283">
        <f t="shared" ref="DK271:DK307" si="142">(CR271-CQ271)/CQ271</f>
        <v>5.1332787207371174E-3</v>
      </c>
      <c r="DL271" s="283">
        <f t="shared" ref="DL271:DL307" si="143">(CS271-CR271)/CR271</f>
        <v>0.13589012838880443</v>
      </c>
    </row>
    <row r="272" spans="1:116" x14ac:dyDescent="0.2">
      <c r="A272" s="30">
        <v>848</v>
      </c>
      <c r="B272" s="31" t="s">
        <v>586</v>
      </c>
      <c r="C272" s="65"/>
      <c r="D272" s="65"/>
      <c r="E272" s="65"/>
      <c r="F272" s="65"/>
      <c r="G272" s="65"/>
      <c r="H272" s="65">
        <v>16990</v>
      </c>
      <c r="I272" s="65"/>
      <c r="J272" s="65"/>
      <c r="K272" s="65"/>
      <c r="L272" s="65"/>
      <c r="M272" s="65"/>
      <c r="N272" s="65">
        <v>17404</v>
      </c>
      <c r="O272" s="65"/>
      <c r="P272" s="65"/>
      <c r="Q272" s="65"/>
      <c r="R272" s="65"/>
      <c r="S272" s="65"/>
      <c r="T272" s="65">
        <v>16746</v>
      </c>
      <c r="U272" s="65"/>
      <c r="V272" s="65"/>
      <c r="W272" s="65"/>
      <c r="X272" s="65"/>
      <c r="Y272" s="65"/>
      <c r="Z272" s="65">
        <v>16962</v>
      </c>
      <c r="AA272" s="65"/>
      <c r="AB272" s="66">
        <v>15555.457736096245</v>
      </c>
      <c r="AC272" s="34">
        <v>66.31511143687834</v>
      </c>
      <c r="AD272" s="180">
        <v>2675.8345855397224</v>
      </c>
      <c r="AE272" s="65">
        <v>0</v>
      </c>
      <c r="AF272" s="34">
        <v>458.08300000000003</v>
      </c>
      <c r="AG272" s="65">
        <f t="shared" si="122"/>
        <v>18755.690433072843</v>
      </c>
      <c r="AH272" s="65"/>
      <c r="AI272" s="66">
        <v>14813.420867963416</v>
      </c>
      <c r="AJ272" s="34">
        <v>-51.260629263063663</v>
      </c>
      <c r="AK272" s="181">
        <v>2840.0011261380369</v>
      </c>
      <c r="AL272" s="65">
        <v>0</v>
      </c>
      <c r="AM272" s="34">
        <v>385.96699999999998</v>
      </c>
      <c r="AN272" s="65">
        <f t="shared" si="123"/>
        <v>17988.128364838387</v>
      </c>
      <c r="AO272" s="65"/>
      <c r="AP272" s="41">
        <v>15218.743321189686</v>
      </c>
      <c r="AQ272" s="41">
        <v>-15.782740399415919</v>
      </c>
      <c r="AR272" s="41">
        <v>3181.4163734441213</v>
      </c>
      <c r="AS272" s="65">
        <v>0</v>
      </c>
      <c r="AT272" s="34">
        <v>547.28899999999999</v>
      </c>
      <c r="AU272" s="65">
        <f t="shared" si="124"/>
        <v>18931.665954234391</v>
      </c>
      <c r="AV272" s="65"/>
      <c r="AW272" s="41">
        <v>4782.7609356391858</v>
      </c>
      <c r="AX272" s="314"/>
      <c r="AY272" s="314"/>
      <c r="AZ272" s="41">
        <v>989.32116184801635</v>
      </c>
      <c r="BA272" s="65">
        <v>0</v>
      </c>
      <c r="BB272" s="34">
        <v>575.09500000000003</v>
      </c>
      <c r="BC272" s="65">
        <f t="shared" ref="BC272:BC307" si="144">AW272+AZ272+BA272+BB272</f>
        <v>6347.1770974872024</v>
      </c>
      <c r="BD272" s="65"/>
      <c r="BE272" s="41">
        <v>3564.88260150427</v>
      </c>
      <c r="BF272" s="314"/>
      <c r="BG272" s="314"/>
      <c r="BH272" s="41">
        <v>976.85007326114135</v>
      </c>
      <c r="BI272" s="65">
        <v>0</v>
      </c>
      <c r="BJ272" s="34">
        <v>646.25699999999995</v>
      </c>
      <c r="BK272" s="65">
        <f t="shared" ref="BK272:BK307" si="145">BE272+BH272+BI272+BJ272</f>
        <v>5187.9896747654111</v>
      </c>
      <c r="BL272" s="65"/>
      <c r="BM272" s="41">
        <v>4791.7125835567895</v>
      </c>
      <c r="BN272" s="41">
        <v>715.87079114681183</v>
      </c>
      <c r="BO272" s="65">
        <v>0</v>
      </c>
      <c r="BP272" s="34">
        <v>646.25699999999995</v>
      </c>
      <c r="BQ272" s="65">
        <f t="shared" si="125"/>
        <v>6153.8403747036009</v>
      </c>
      <c r="BR272" s="65"/>
      <c r="BS272" s="41">
        <v>4618.4306939420212</v>
      </c>
      <c r="BT272" s="314"/>
      <c r="BU272" s="314"/>
      <c r="BV272" s="41">
        <v>761.21743258523657</v>
      </c>
      <c r="BW272" s="65">
        <v>0</v>
      </c>
      <c r="BX272" s="34">
        <v>646.25699999999995</v>
      </c>
      <c r="BY272" s="65">
        <f t="shared" ref="BY272:BY307" si="146">BS272+BV272+BW272+BX272</f>
        <v>6025.9051265272574</v>
      </c>
      <c r="CA272" s="5">
        <v>4512.9106687551866</v>
      </c>
      <c r="CB272" s="407">
        <v>806.98457409318974</v>
      </c>
      <c r="CC272" s="415">
        <v>0</v>
      </c>
      <c r="CD272" s="34">
        <v>646.25699999999995</v>
      </c>
      <c r="CE272" s="65">
        <f t="shared" si="126"/>
        <v>5966.1522428483759</v>
      </c>
      <c r="CF272" s="407"/>
      <c r="CG272" s="5">
        <v>5083.2238569452147</v>
      </c>
      <c r="CH272" s="407">
        <v>847.73552564899717</v>
      </c>
      <c r="CI272" s="415">
        <v>0</v>
      </c>
      <c r="CJ272" s="34">
        <v>646.25699999999995</v>
      </c>
      <c r="CK272" s="65">
        <f t="shared" si="127"/>
        <v>6577.2163825942116</v>
      </c>
      <c r="CL272" s="407"/>
      <c r="CM272" s="41">
        <f>AU272/'1. Väestöennuste'!L272*1000</f>
        <v>4550.8812389986515</v>
      </c>
      <c r="CN272" s="41">
        <f>BC272/'1. Väestöennuste'!M272*1000</f>
        <v>1561.0371612118058</v>
      </c>
      <c r="CO272" s="41">
        <f>BK272/'1. Väestöennuste'!N272*1000</f>
        <v>1297.6462418122589</v>
      </c>
      <c r="CP272" s="41">
        <f>BQ272/'1. Väestöennuste'!O272*1000</f>
        <v>1562.2849389955829</v>
      </c>
      <c r="CQ272" s="41">
        <f>BY272/'1. Väestöennuste'!P272*1000</f>
        <v>1551.8684333060153</v>
      </c>
      <c r="CR272" s="41">
        <f>CE272/'1. Väestöennuste'!Q272*1000</f>
        <v>1558.148927356588</v>
      </c>
      <c r="CS272" s="41">
        <f>CK272/'1. Väestöennuste'!R272*1000</f>
        <v>1741.3863867074958</v>
      </c>
      <c r="CT272" s="41"/>
      <c r="CV272" s="41">
        <f t="shared" si="128"/>
        <v>5930.959382594212</v>
      </c>
      <c r="CW272" s="41">
        <f t="shared" si="129"/>
        <v>-2026.3351435955601</v>
      </c>
      <c r="CX272" s="41">
        <f t="shared" si="130"/>
        <v>-2989.8440777868454</v>
      </c>
      <c r="CY272" s="41">
        <f t="shared" si="131"/>
        <v>-263.39091939954687</v>
      </c>
      <c r="CZ272" s="41">
        <f t="shared" si="132"/>
        <v>264.63869718332398</v>
      </c>
      <c r="DA272" s="41">
        <f t="shared" si="133"/>
        <v>-10.416505689567657</v>
      </c>
      <c r="DB272" s="41">
        <f t="shared" si="134"/>
        <v>6.28049405057277</v>
      </c>
      <c r="DC272" s="41">
        <f t="shared" si="135"/>
        <v>183.23745935090778</v>
      </c>
      <c r="DD272" s="41"/>
      <c r="DE272" s="283">
        <f t="shared" si="136"/>
        <v>9.1774006047040295</v>
      </c>
      <c r="DF272" s="283">
        <f t="shared" si="137"/>
        <v>-0.30808400176068484</v>
      </c>
      <c r="DG272" s="283">
        <f t="shared" si="138"/>
        <v>-0.65698134509981476</v>
      </c>
      <c r="DH272" s="283">
        <f t="shared" si="139"/>
        <v>-0.16872815455275972</v>
      </c>
      <c r="DI272" s="283">
        <f t="shared" si="140"/>
        <v>0.20393747437185691</v>
      </c>
      <c r="DJ272" s="283">
        <f t="shared" si="141"/>
        <v>-6.6674813470739783E-3</v>
      </c>
      <c r="DK272" s="283">
        <f t="shared" si="142"/>
        <v>4.0470531623567792E-3</v>
      </c>
      <c r="DL272" s="283">
        <f t="shared" si="143"/>
        <v>0.11759945158886165</v>
      </c>
    </row>
    <row r="273" spans="1:116" x14ac:dyDescent="0.2">
      <c r="A273" s="30">
        <v>849</v>
      </c>
      <c r="B273" s="31" t="s">
        <v>587</v>
      </c>
      <c r="C273" s="65"/>
      <c r="D273" s="65"/>
      <c r="E273" s="65"/>
      <c r="F273" s="65"/>
      <c r="G273" s="65"/>
      <c r="H273" s="65">
        <v>9905</v>
      </c>
      <c r="I273" s="65"/>
      <c r="J273" s="65"/>
      <c r="K273" s="65"/>
      <c r="L273" s="65"/>
      <c r="M273" s="65"/>
      <c r="N273" s="65">
        <v>10359</v>
      </c>
      <c r="O273" s="65"/>
      <c r="P273" s="65"/>
      <c r="Q273" s="65"/>
      <c r="R273" s="65"/>
      <c r="S273" s="65"/>
      <c r="T273" s="65">
        <v>10272</v>
      </c>
      <c r="U273" s="65"/>
      <c r="V273" s="65"/>
      <c r="W273" s="65"/>
      <c r="X273" s="65"/>
      <c r="Y273" s="65"/>
      <c r="Z273" s="65">
        <v>10347</v>
      </c>
      <c r="AA273" s="65"/>
      <c r="AB273" s="66">
        <v>9980.4041512182757</v>
      </c>
      <c r="AC273" s="34">
        <v>45.184480603904667</v>
      </c>
      <c r="AD273" s="180">
        <v>1838.4848028650326</v>
      </c>
      <c r="AE273" s="65">
        <v>0</v>
      </c>
      <c r="AF273" s="34">
        <v>237.49199999999999</v>
      </c>
      <c r="AG273" s="65">
        <f t="shared" si="122"/>
        <v>12101.565434687212</v>
      </c>
      <c r="AH273" s="65"/>
      <c r="AI273" s="66">
        <v>9520.8615354492777</v>
      </c>
      <c r="AJ273" s="34">
        <v>-34.974964460017475</v>
      </c>
      <c r="AK273" s="181">
        <v>1957.3392031155965</v>
      </c>
      <c r="AL273" s="65">
        <v>0</v>
      </c>
      <c r="AM273" s="34">
        <v>177.46299999999999</v>
      </c>
      <c r="AN273" s="65">
        <f t="shared" si="123"/>
        <v>11620.688774104856</v>
      </c>
      <c r="AO273" s="65"/>
      <c r="AP273" s="41">
        <v>9722.5326195839316</v>
      </c>
      <c r="AQ273" s="41">
        <v>-10.762425337694689</v>
      </c>
      <c r="AR273" s="41">
        <v>2165.019484154288</v>
      </c>
      <c r="AS273" s="65">
        <v>0</v>
      </c>
      <c r="AT273" s="34">
        <v>247.30500000000001</v>
      </c>
      <c r="AU273" s="65">
        <f t="shared" si="124"/>
        <v>12124.094678400525</v>
      </c>
      <c r="AV273" s="65"/>
      <c r="AW273" s="41">
        <v>4274.3844603747048</v>
      </c>
      <c r="AX273" s="314"/>
      <c r="AY273" s="314"/>
      <c r="AZ273" s="41">
        <v>698.96511716177565</v>
      </c>
      <c r="BA273" s="65">
        <v>0</v>
      </c>
      <c r="BB273" s="34">
        <v>202.30600000000001</v>
      </c>
      <c r="BC273" s="65">
        <f t="shared" si="144"/>
        <v>5175.6555775364805</v>
      </c>
      <c r="BD273" s="65"/>
      <c r="BE273" s="41">
        <v>4238.1388619535946</v>
      </c>
      <c r="BF273" s="314"/>
      <c r="BG273" s="314"/>
      <c r="BH273" s="41">
        <v>697.00474121979528</v>
      </c>
      <c r="BI273" s="65">
        <v>0</v>
      </c>
      <c r="BJ273" s="34">
        <v>222.44399999999999</v>
      </c>
      <c r="BK273" s="65">
        <f t="shared" si="145"/>
        <v>5157.5876031733906</v>
      </c>
      <c r="BL273" s="65"/>
      <c r="BM273" s="41">
        <v>4566.5381056077949</v>
      </c>
      <c r="BN273" s="41">
        <v>497.04183183749416</v>
      </c>
      <c r="BO273" s="65">
        <v>0</v>
      </c>
      <c r="BP273" s="34">
        <v>222.44399999999999</v>
      </c>
      <c r="BQ273" s="65">
        <f t="shared" si="125"/>
        <v>5286.0239374452894</v>
      </c>
      <c r="BR273" s="65"/>
      <c r="BS273" s="41">
        <v>4445.8365234358071</v>
      </c>
      <c r="BT273" s="314"/>
      <c r="BU273" s="314"/>
      <c r="BV273" s="41">
        <v>526.02522564401431</v>
      </c>
      <c r="BW273" s="65">
        <v>0</v>
      </c>
      <c r="BX273" s="34">
        <v>222.44399999999999</v>
      </c>
      <c r="BY273" s="65">
        <f t="shared" si="146"/>
        <v>5194.3057490798219</v>
      </c>
      <c r="CA273" s="5">
        <v>4293.1211961539329</v>
      </c>
      <c r="CB273" s="407">
        <v>555.67472216648821</v>
      </c>
      <c r="CC273" s="415">
        <v>0</v>
      </c>
      <c r="CD273" s="34">
        <v>222.44399999999999</v>
      </c>
      <c r="CE273" s="65">
        <f t="shared" si="126"/>
        <v>5071.2399183204216</v>
      </c>
      <c r="CF273" s="407"/>
      <c r="CG273" s="5">
        <v>4680.0824083254356</v>
      </c>
      <c r="CH273" s="407">
        <v>582.0327424638125</v>
      </c>
      <c r="CI273" s="415">
        <v>0</v>
      </c>
      <c r="CJ273" s="34">
        <v>222.44399999999999</v>
      </c>
      <c r="CK273" s="65">
        <f t="shared" si="127"/>
        <v>5484.5591507892486</v>
      </c>
      <c r="CL273" s="407"/>
      <c r="CM273" s="41">
        <f>AU273/'1. Väestöennuste'!L273*1000</f>
        <v>4176.4018871514036</v>
      </c>
      <c r="CN273" s="41">
        <f>BC273/'1. Väestöennuste'!M273*1000</f>
        <v>1816.656924372229</v>
      </c>
      <c r="CO273" s="41">
        <f>BK273/'1. Väestöennuste'!N273*1000</f>
        <v>1910.9253809460506</v>
      </c>
      <c r="CP273" s="41">
        <f>BQ273/'1. Väestöennuste'!O273*1000</f>
        <v>2004.5597032405346</v>
      </c>
      <c r="CQ273" s="41">
        <f>BY273/'1. Väestöennuste'!P273*1000</f>
        <v>2014.0774521441731</v>
      </c>
      <c r="CR273" s="41">
        <f>CE273/'1. Väestöennuste'!Q273*1000</f>
        <v>2009.2075746118944</v>
      </c>
      <c r="CS273" s="41">
        <f>CK273/'1. Väestöennuste'!R273*1000</f>
        <v>2219.5706802060899</v>
      </c>
      <c r="CT273" s="41"/>
      <c r="CV273" s="41">
        <f t="shared" si="128"/>
        <v>5262.1151507892482</v>
      </c>
      <c r="CW273" s="41">
        <f t="shared" si="129"/>
        <v>-1308.1572636378451</v>
      </c>
      <c r="CX273" s="41">
        <f t="shared" si="130"/>
        <v>-2359.7449627791748</v>
      </c>
      <c r="CY273" s="41">
        <f t="shared" si="131"/>
        <v>94.268456573821595</v>
      </c>
      <c r="CZ273" s="41">
        <f t="shared" si="132"/>
        <v>93.634322294484036</v>
      </c>
      <c r="DA273" s="41">
        <f t="shared" si="133"/>
        <v>9.5177489036384486</v>
      </c>
      <c r="DB273" s="41">
        <f t="shared" si="134"/>
        <v>-4.8698775322786787</v>
      </c>
      <c r="DC273" s="41">
        <f t="shared" si="135"/>
        <v>210.36310559419553</v>
      </c>
      <c r="DD273" s="41"/>
      <c r="DE273" s="283">
        <f t="shared" si="136"/>
        <v>23.655909580789992</v>
      </c>
      <c r="DF273" s="283">
        <f t="shared" si="137"/>
        <v>-0.23851639259822666</v>
      </c>
      <c r="DG273" s="283">
        <f t="shared" si="138"/>
        <v>-0.56501865159070808</v>
      </c>
      <c r="DH273" s="283">
        <f t="shared" si="139"/>
        <v>5.1891171805263876E-2</v>
      </c>
      <c r="DI273" s="283">
        <f t="shared" si="140"/>
        <v>4.8999465509285384E-2</v>
      </c>
      <c r="DJ273" s="283">
        <f t="shared" si="141"/>
        <v>4.7480496032381719E-3</v>
      </c>
      <c r="DK273" s="283">
        <f t="shared" si="142"/>
        <v>-2.4179196917647038E-3</v>
      </c>
      <c r="DL273" s="283">
        <f t="shared" si="143"/>
        <v>0.10469953839131331</v>
      </c>
    </row>
    <row r="274" spans="1:116" x14ac:dyDescent="0.2">
      <c r="A274" s="30">
        <v>850</v>
      </c>
      <c r="B274" s="31" t="s">
        <v>588</v>
      </c>
      <c r="C274" s="65"/>
      <c r="D274" s="65"/>
      <c r="E274" s="65"/>
      <c r="F274" s="65"/>
      <c r="G274" s="65"/>
      <c r="H274" s="65">
        <v>6488</v>
      </c>
      <c r="I274" s="65"/>
      <c r="J274" s="65"/>
      <c r="K274" s="65"/>
      <c r="L274" s="65"/>
      <c r="M274" s="65"/>
      <c r="N274" s="65">
        <v>6149</v>
      </c>
      <c r="O274" s="65"/>
      <c r="P274" s="65"/>
      <c r="Q274" s="65"/>
      <c r="R274" s="65"/>
      <c r="S274" s="65"/>
      <c r="T274" s="65">
        <v>5945</v>
      </c>
      <c r="U274" s="65"/>
      <c r="V274" s="65"/>
      <c r="W274" s="65"/>
      <c r="X274" s="65"/>
      <c r="Y274" s="65"/>
      <c r="Z274" s="65">
        <v>5953</v>
      </c>
      <c r="AA274" s="65"/>
      <c r="AB274" s="66">
        <v>5965.3871999866396</v>
      </c>
      <c r="AC274" s="34">
        <v>41.417092986475538</v>
      </c>
      <c r="AD274" s="180">
        <v>1151.275204458484</v>
      </c>
      <c r="AE274" s="65">
        <v>330</v>
      </c>
      <c r="AF274" s="34">
        <v>-512.245</v>
      </c>
      <c r="AG274" s="65">
        <f t="shared" si="122"/>
        <v>6975.8344974315996</v>
      </c>
      <c r="AH274" s="65"/>
      <c r="AI274" s="66">
        <v>5851.506408553254</v>
      </c>
      <c r="AJ274" s="34">
        <v>-31.996633272835474</v>
      </c>
      <c r="AK274" s="181">
        <v>1231.5248976471414</v>
      </c>
      <c r="AL274" s="65">
        <v>0</v>
      </c>
      <c r="AM274" s="34">
        <v>-475.48</v>
      </c>
      <c r="AN274" s="65">
        <f t="shared" si="123"/>
        <v>6575.5546729275593</v>
      </c>
      <c r="AO274" s="65"/>
      <c r="AP274" s="41">
        <v>6195.4037020898595</v>
      </c>
      <c r="AQ274" s="41">
        <v>-9.8401416584219703</v>
      </c>
      <c r="AR274" s="41">
        <v>1427.8290367570685</v>
      </c>
      <c r="AS274" s="65">
        <v>430</v>
      </c>
      <c r="AT274" s="34">
        <v>-478.73500000000001</v>
      </c>
      <c r="AU274" s="65">
        <f t="shared" si="124"/>
        <v>7564.6575971885059</v>
      </c>
      <c r="AV274" s="65"/>
      <c r="AW274" s="41">
        <v>2687.2843166967405</v>
      </c>
      <c r="AX274" s="314"/>
      <c r="AY274" s="314"/>
      <c r="AZ274" s="41">
        <v>420.0994296281894</v>
      </c>
      <c r="BA274" s="65">
        <v>150</v>
      </c>
      <c r="BB274" s="34">
        <v>-513.45799999999997</v>
      </c>
      <c r="BC274" s="65">
        <f t="shared" si="144"/>
        <v>2743.9257463249296</v>
      </c>
      <c r="BD274" s="65"/>
      <c r="BE274" s="41">
        <v>2461.7662340629035</v>
      </c>
      <c r="BF274" s="314"/>
      <c r="BG274" s="314"/>
      <c r="BH274" s="41">
        <v>403.61106843806516</v>
      </c>
      <c r="BI274" s="65">
        <v>0</v>
      </c>
      <c r="BJ274" s="34">
        <v>-504.2</v>
      </c>
      <c r="BK274" s="65">
        <f t="shared" si="145"/>
        <v>2361.1773025009688</v>
      </c>
      <c r="BL274" s="65"/>
      <c r="BM274" s="41">
        <v>2878.6078732189312</v>
      </c>
      <c r="BN274" s="41">
        <v>246.76119979630883</v>
      </c>
      <c r="BO274" s="65">
        <v>0</v>
      </c>
      <c r="BP274" s="34">
        <v>-504.2</v>
      </c>
      <c r="BQ274" s="65">
        <f t="shared" si="125"/>
        <v>2621.1690730152404</v>
      </c>
      <c r="BR274" s="65"/>
      <c r="BS274" s="41">
        <v>2979.5710429921337</v>
      </c>
      <c r="BT274" s="314"/>
      <c r="BU274" s="314"/>
      <c r="BV274" s="41">
        <v>266.17024071437032</v>
      </c>
      <c r="BW274" s="65">
        <v>0</v>
      </c>
      <c r="BX274" s="34">
        <v>-504.2</v>
      </c>
      <c r="BY274" s="65">
        <f t="shared" si="146"/>
        <v>2741.5412837065041</v>
      </c>
      <c r="CA274" s="5">
        <v>2814.3431119008515</v>
      </c>
      <c r="CB274" s="407">
        <v>287.14944753969559</v>
      </c>
      <c r="CC274" s="415">
        <v>0</v>
      </c>
      <c r="CD274" s="34">
        <v>-504.2</v>
      </c>
      <c r="CE274" s="65">
        <f t="shared" si="126"/>
        <v>2597.2925594405474</v>
      </c>
      <c r="CF274" s="407"/>
      <c r="CG274" s="5">
        <v>2841.5338696311578</v>
      </c>
      <c r="CH274" s="407">
        <v>305.09263951938385</v>
      </c>
      <c r="CI274" s="415">
        <v>0</v>
      </c>
      <c r="CJ274" s="34">
        <v>-504.2</v>
      </c>
      <c r="CK274" s="65">
        <f t="shared" si="127"/>
        <v>2642.4265091505417</v>
      </c>
      <c r="CL274" s="407"/>
      <c r="CM274" s="41">
        <f>AU274/'1. Väestöennuste'!L274*1000</f>
        <v>3142.7742406267162</v>
      </c>
      <c r="CN274" s="41">
        <f>BC274/'1. Väestöennuste'!M274*1000</f>
        <v>1158.7524266574871</v>
      </c>
      <c r="CO274" s="41">
        <f>BK274/'1. Väestöennuste'!N274*1000</f>
        <v>987.94029393345977</v>
      </c>
      <c r="CP274" s="41">
        <f>BQ274/'1. Väestöennuste'!O274*1000</f>
        <v>1099.9450579165928</v>
      </c>
      <c r="CQ274" s="41">
        <f>BY274/'1. Väestöennuste'!P274*1000</f>
        <v>1153.3619199438385</v>
      </c>
      <c r="CR274" s="41">
        <f>CE274/'1. Väestöennuste'!Q274*1000</f>
        <v>1096.8296281421231</v>
      </c>
      <c r="CS274" s="41">
        <f>CK274/'1. Väestöennuste'!R274*1000</f>
        <v>1122.0494731000176</v>
      </c>
      <c r="CT274" s="41"/>
      <c r="CV274" s="41">
        <f t="shared" si="128"/>
        <v>3146.6265091505416</v>
      </c>
      <c r="CW274" s="41">
        <f t="shared" si="129"/>
        <v>500.34773147617443</v>
      </c>
      <c r="CX274" s="41">
        <f t="shared" si="130"/>
        <v>-1984.021813969229</v>
      </c>
      <c r="CY274" s="41">
        <f t="shared" si="131"/>
        <v>-170.81213272402738</v>
      </c>
      <c r="CZ274" s="41">
        <f t="shared" si="132"/>
        <v>112.00476398313299</v>
      </c>
      <c r="DA274" s="41">
        <f t="shared" si="133"/>
        <v>53.41686202724577</v>
      </c>
      <c r="DB274" s="41">
        <f t="shared" si="134"/>
        <v>-56.532291801715473</v>
      </c>
      <c r="DC274" s="41">
        <f t="shared" si="135"/>
        <v>25.219844957894566</v>
      </c>
      <c r="DD274" s="41"/>
      <c r="DE274" s="283">
        <f t="shared" si="136"/>
        <v>-6.240830045915394</v>
      </c>
      <c r="DF274" s="283">
        <f t="shared" si="137"/>
        <v>0.18935161668394734</v>
      </c>
      <c r="DG274" s="283">
        <f t="shared" si="138"/>
        <v>-0.63129632040435246</v>
      </c>
      <c r="DH274" s="283">
        <f t="shared" si="139"/>
        <v>-0.14741037757025327</v>
      </c>
      <c r="DI274" s="283">
        <f t="shared" si="140"/>
        <v>0.11337199694243545</v>
      </c>
      <c r="DJ274" s="283">
        <f t="shared" si="141"/>
        <v>4.8563209264672468E-2</v>
      </c>
      <c r="DK274" s="283">
        <f t="shared" si="142"/>
        <v>-4.9015223083200318E-2</v>
      </c>
      <c r="DL274" s="283">
        <f t="shared" si="143"/>
        <v>2.2993402357860699E-2</v>
      </c>
    </row>
    <row r="275" spans="1:116" x14ac:dyDescent="0.2">
      <c r="A275" s="30">
        <v>851</v>
      </c>
      <c r="B275" s="31" t="s">
        <v>589</v>
      </c>
      <c r="C275" s="65"/>
      <c r="D275" s="65"/>
      <c r="E275" s="65"/>
      <c r="F275" s="65"/>
      <c r="G275" s="65"/>
      <c r="H275" s="65">
        <v>39810</v>
      </c>
      <c r="I275" s="65"/>
      <c r="J275" s="65"/>
      <c r="K275" s="65"/>
      <c r="L275" s="65"/>
      <c r="M275" s="65"/>
      <c r="N275" s="65">
        <v>38663</v>
      </c>
      <c r="O275" s="65"/>
      <c r="P275" s="65"/>
      <c r="Q275" s="65"/>
      <c r="R275" s="65"/>
      <c r="S275" s="65"/>
      <c r="T275" s="65">
        <v>38601</v>
      </c>
      <c r="U275" s="65"/>
      <c r="V275" s="65"/>
      <c r="W275" s="65"/>
      <c r="X275" s="65"/>
      <c r="Y275" s="65"/>
      <c r="Z275" s="65">
        <v>38346</v>
      </c>
      <c r="AA275" s="65"/>
      <c r="AB275" s="66">
        <v>39110.791618672178</v>
      </c>
      <c r="AC275" s="34">
        <v>424.64530977936693</v>
      </c>
      <c r="AD275" s="180">
        <v>9008.8216126623593</v>
      </c>
      <c r="AE275" s="65">
        <v>0</v>
      </c>
      <c r="AF275" s="34">
        <v>-361.529</v>
      </c>
      <c r="AG275" s="65">
        <f t="shared" si="122"/>
        <v>48182.729541113898</v>
      </c>
      <c r="AH275" s="65"/>
      <c r="AI275" s="66">
        <v>34822.654130796866</v>
      </c>
      <c r="AJ275" s="34">
        <v>-330.9981116321888</v>
      </c>
      <c r="AK275" s="181">
        <v>9656.8145562033988</v>
      </c>
      <c r="AL275" s="65">
        <v>0</v>
      </c>
      <c r="AM275" s="34">
        <v>-939.83</v>
      </c>
      <c r="AN275" s="65">
        <f t="shared" si="123"/>
        <v>43208.640575368074</v>
      </c>
      <c r="AO275" s="65"/>
      <c r="AP275" s="41">
        <v>36233.263902406725</v>
      </c>
      <c r="AQ275" s="41">
        <v>-102.39841906777649</v>
      </c>
      <c r="AR275" s="41">
        <v>10885.150482996267</v>
      </c>
      <c r="AS275" s="65">
        <v>0</v>
      </c>
      <c r="AT275" s="34">
        <v>-328.59100000000001</v>
      </c>
      <c r="AU275" s="65">
        <f t="shared" si="124"/>
        <v>46687.424966335217</v>
      </c>
      <c r="AV275" s="65"/>
      <c r="AW275" s="41">
        <v>12140.631653160124</v>
      </c>
      <c r="AX275" s="314"/>
      <c r="AY275" s="314"/>
      <c r="AZ275" s="41">
        <v>3292.3386038466329</v>
      </c>
      <c r="BA275" s="65">
        <v>0</v>
      </c>
      <c r="BB275" s="34">
        <v>-181.96899999999999</v>
      </c>
      <c r="BC275" s="65">
        <f t="shared" si="144"/>
        <v>15251.001257006757</v>
      </c>
      <c r="BD275" s="65"/>
      <c r="BE275" s="41">
        <v>6772.5475099963496</v>
      </c>
      <c r="BF275" s="314"/>
      <c r="BG275" s="314"/>
      <c r="BH275" s="41">
        <v>3273.6245307257582</v>
      </c>
      <c r="BI275" s="65">
        <v>0</v>
      </c>
      <c r="BJ275" s="34">
        <v>-327.21899999999999</v>
      </c>
      <c r="BK275" s="65">
        <f t="shared" si="145"/>
        <v>9718.9530407221082</v>
      </c>
      <c r="BL275" s="65"/>
      <c r="BM275" s="41">
        <v>9843.1713818107328</v>
      </c>
      <c r="BN275" s="41">
        <v>1911.3278113673875</v>
      </c>
      <c r="BO275" s="65">
        <v>0</v>
      </c>
      <c r="BP275" s="34">
        <v>-327.21899999999999</v>
      </c>
      <c r="BQ275" s="65">
        <f t="shared" si="125"/>
        <v>11427.280193178121</v>
      </c>
      <c r="BR275" s="65"/>
      <c r="BS275" s="41">
        <v>7836.6031752481622</v>
      </c>
      <c r="BT275" s="314"/>
      <c r="BU275" s="314"/>
      <c r="BV275" s="41">
        <v>2067.0403344289994</v>
      </c>
      <c r="BW275" s="65">
        <v>0</v>
      </c>
      <c r="BX275" s="34">
        <v>-327.21899999999999</v>
      </c>
      <c r="BY275" s="65">
        <f t="shared" si="146"/>
        <v>9576.4245096771629</v>
      </c>
      <c r="CA275" s="5">
        <v>7812.7300634719386</v>
      </c>
      <c r="CB275" s="407">
        <v>2234.7921209415699</v>
      </c>
      <c r="CC275" s="415">
        <v>0</v>
      </c>
      <c r="CD275" s="34">
        <v>-327.21899999999999</v>
      </c>
      <c r="CE275" s="65">
        <f t="shared" si="126"/>
        <v>9720.3031844135094</v>
      </c>
      <c r="CF275" s="407"/>
      <c r="CG275" s="5">
        <v>8968.0498804303261</v>
      </c>
      <c r="CH275" s="407">
        <v>2375.9792972368082</v>
      </c>
      <c r="CI275" s="415">
        <v>0</v>
      </c>
      <c r="CJ275" s="34">
        <v>-327.21899999999999</v>
      </c>
      <c r="CK275" s="65">
        <f t="shared" si="127"/>
        <v>11016.810177667136</v>
      </c>
      <c r="CL275" s="407"/>
      <c r="CM275" s="41">
        <f>AU275/'1. Väestöennuste'!L275*1000</f>
        <v>2199.4358584036941</v>
      </c>
      <c r="CN275" s="41">
        <f>BC275/'1. Väestöennuste'!M275*1000</f>
        <v>725.61619835411352</v>
      </c>
      <c r="CO275" s="41">
        <f>BK275/'1. Väestöennuste'!N275*1000</f>
        <v>465.28882806980602</v>
      </c>
      <c r="CP275" s="41">
        <f>BQ275/'1. Väestöennuste'!O275*1000</f>
        <v>550.76538428658773</v>
      </c>
      <c r="CQ275" s="41">
        <f>BY275/'1. Väestöennuste'!P275*1000</f>
        <v>464.60433289720373</v>
      </c>
      <c r="CR275" s="41">
        <f>CE275/'1. Väestöennuste'!Q275*1000</f>
        <v>474.71689707039991</v>
      </c>
      <c r="CS275" s="41">
        <f>CK275/'1. Väestöennuste'!R275*1000</f>
        <v>541.63275209769586</v>
      </c>
      <c r="CT275" s="41"/>
      <c r="CV275" s="41">
        <f t="shared" si="128"/>
        <v>11344.029177667135</v>
      </c>
      <c r="CW275" s="41">
        <f t="shared" si="129"/>
        <v>-8817.3743192634411</v>
      </c>
      <c r="CX275" s="41">
        <f t="shared" si="130"/>
        <v>-1473.8196600495805</v>
      </c>
      <c r="CY275" s="41">
        <f t="shared" si="131"/>
        <v>-260.32737028430751</v>
      </c>
      <c r="CZ275" s="41">
        <f t="shared" si="132"/>
        <v>85.476556216781717</v>
      </c>
      <c r="DA275" s="41">
        <f t="shared" si="133"/>
        <v>-86.161051389383999</v>
      </c>
      <c r="DB275" s="41">
        <f t="shared" si="134"/>
        <v>10.112564173196176</v>
      </c>
      <c r="DC275" s="41">
        <f t="shared" si="135"/>
        <v>66.915855027295947</v>
      </c>
      <c r="DD275" s="41"/>
      <c r="DE275" s="283">
        <f t="shared" si="136"/>
        <v>-34.668002706649474</v>
      </c>
      <c r="DF275" s="283">
        <f t="shared" si="137"/>
        <v>-0.80035638057354308</v>
      </c>
      <c r="DG275" s="283">
        <f t="shared" si="138"/>
        <v>-0.6700898570960141</v>
      </c>
      <c r="DH275" s="283">
        <f t="shared" si="139"/>
        <v>-0.35876730821996222</v>
      </c>
      <c r="DI275" s="283">
        <f t="shared" si="140"/>
        <v>0.18370644438503025</v>
      </c>
      <c r="DJ275" s="283">
        <f t="shared" si="141"/>
        <v>-0.15643875567995133</v>
      </c>
      <c r="DK275" s="283">
        <f t="shared" si="142"/>
        <v>2.1765970433671435E-2</v>
      </c>
      <c r="DL275" s="283">
        <f t="shared" si="143"/>
        <v>0.14095949699758087</v>
      </c>
    </row>
    <row r="276" spans="1:116" x14ac:dyDescent="0.2">
      <c r="A276" s="30">
        <v>853</v>
      </c>
      <c r="B276" s="31" t="s">
        <v>590</v>
      </c>
      <c r="C276" s="65"/>
      <c r="D276" s="65"/>
      <c r="E276" s="65"/>
      <c r="F276" s="65"/>
      <c r="G276" s="65"/>
      <c r="H276" s="65">
        <v>275321</v>
      </c>
      <c r="I276" s="65"/>
      <c r="J276" s="65"/>
      <c r="K276" s="65"/>
      <c r="L276" s="65"/>
      <c r="M276" s="65"/>
      <c r="N276" s="65">
        <v>256605</v>
      </c>
      <c r="O276" s="65"/>
      <c r="P276" s="65"/>
      <c r="Q276" s="65"/>
      <c r="R276" s="65"/>
      <c r="S276" s="65"/>
      <c r="T276" s="65">
        <v>256380</v>
      </c>
      <c r="U276" s="65"/>
      <c r="V276" s="65"/>
      <c r="W276" s="65"/>
      <c r="X276" s="65"/>
      <c r="Y276" s="65"/>
      <c r="Z276" s="65">
        <v>261721</v>
      </c>
      <c r="AA276" s="65"/>
      <c r="AB276" s="66">
        <v>203375.66604770813</v>
      </c>
      <c r="AC276" s="34">
        <v>3860.1076912263593</v>
      </c>
      <c r="AD276" s="180">
        <v>83055.953573287421</v>
      </c>
      <c r="AE276" s="65">
        <v>0</v>
      </c>
      <c r="AF276" s="34">
        <v>41171.266000000003</v>
      </c>
      <c r="AG276" s="65">
        <f t="shared" si="122"/>
        <v>331462.99331222189</v>
      </c>
      <c r="AH276" s="65"/>
      <c r="AI276" s="66">
        <v>173152.51262946881</v>
      </c>
      <c r="AJ276" s="34">
        <v>-2951.4342424781976</v>
      </c>
      <c r="AK276" s="181">
        <v>90271.018430044729</v>
      </c>
      <c r="AL276" s="65">
        <v>0</v>
      </c>
      <c r="AM276" s="34">
        <v>41800.267</v>
      </c>
      <c r="AN276" s="65">
        <f t="shared" si="123"/>
        <v>302272.36381703534</v>
      </c>
      <c r="AO276" s="65"/>
      <c r="AP276" s="41">
        <v>173031.84691301259</v>
      </c>
      <c r="AQ276" s="41">
        <v>-901.95674108236381</v>
      </c>
      <c r="AR276" s="41">
        <v>101052.57213740179</v>
      </c>
      <c r="AS276" s="65">
        <v>0</v>
      </c>
      <c r="AT276" s="34">
        <v>42244.048999999999</v>
      </c>
      <c r="AU276" s="65">
        <f t="shared" si="124"/>
        <v>315426.51130933198</v>
      </c>
      <c r="AV276" s="65"/>
      <c r="AW276" s="41">
        <v>6621.4677333791142</v>
      </c>
      <c r="AX276" s="314"/>
      <c r="AY276" s="314"/>
      <c r="AZ276" s="41">
        <v>31340.782047305322</v>
      </c>
      <c r="BA276" s="65">
        <v>0</v>
      </c>
      <c r="BB276" s="34">
        <v>42085.252999999997</v>
      </c>
      <c r="BC276" s="65">
        <f t="shared" si="144"/>
        <v>80047.50278068443</v>
      </c>
      <c r="BD276" s="65"/>
      <c r="BE276" s="41">
        <v>-5354.0536074932061</v>
      </c>
      <c r="BF276" s="314"/>
      <c r="BG276" s="314"/>
      <c r="BH276" s="41">
        <v>31715.140840591532</v>
      </c>
      <c r="BI276" s="65">
        <v>0</v>
      </c>
      <c r="BJ276" s="34">
        <v>46494.646999999997</v>
      </c>
      <c r="BK276" s="65">
        <f t="shared" si="145"/>
        <v>72855.734233098323</v>
      </c>
      <c r="BL276" s="65"/>
      <c r="BM276" s="41">
        <v>32054.802056795339</v>
      </c>
      <c r="BN276" s="41">
        <v>21958.818925667816</v>
      </c>
      <c r="BO276" s="65">
        <v>0</v>
      </c>
      <c r="BP276" s="34">
        <v>46494.646999999997</v>
      </c>
      <c r="BQ276" s="65">
        <f t="shared" si="125"/>
        <v>100508.26798246315</v>
      </c>
      <c r="BR276" s="65"/>
      <c r="BS276" s="41">
        <v>38315.11466695297</v>
      </c>
      <c r="BT276" s="314"/>
      <c r="BU276" s="314"/>
      <c r="BV276" s="41">
        <v>23437.719011945152</v>
      </c>
      <c r="BW276" s="65">
        <v>0</v>
      </c>
      <c r="BX276" s="34">
        <v>46494.646999999997</v>
      </c>
      <c r="BY276" s="65">
        <f t="shared" si="146"/>
        <v>108247.48067889812</v>
      </c>
      <c r="CA276" s="5">
        <v>40462.227530159624</v>
      </c>
      <c r="CB276" s="407">
        <v>25116.080798857725</v>
      </c>
      <c r="CC276" s="415">
        <v>0</v>
      </c>
      <c r="CD276" s="34">
        <v>46494.646999999997</v>
      </c>
      <c r="CE276" s="65">
        <f t="shared" si="126"/>
        <v>112072.95532901735</v>
      </c>
      <c r="CF276" s="407"/>
      <c r="CG276" s="5">
        <v>48312.871846262737</v>
      </c>
      <c r="CH276" s="407">
        <v>26545.986590987173</v>
      </c>
      <c r="CI276" s="415">
        <v>0</v>
      </c>
      <c r="CJ276" s="34">
        <v>46494.646999999997</v>
      </c>
      <c r="CK276" s="65">
        <f t="shared" si="127"/>
        <v>121353.5054372499</v>
      </c>
      <c r="CL276" s="407"/>
      <c r="CM276" s="41">
        <f>AU276/'1. Väestöennuste'!L276*1000</f>
        <v>1593.8681723564021</v>
      </c>
      <c r="CN276" s="41">
        <f>BC276/'1. Väestöennuste'!M276*1000</f>
        <v>396.54370925174214</v>
      </c>
      <c r="CO276" s="41">
        <f>BK276/'1. Väestöennuste'!N276*1000</f>
        <v>364.24406797903356</v>
      </c>
      <c r="CP276" s="41">
        <f>BQ276/'1. Väestöennuste'!O276*1000</f>
        <v>499.43485511350968</v>
      </c>
      <c r="CQ276" s="41">
        <f>BY276/'1. Väestöennuste'!P276*1000</f>
        <v>534.71389388904424</v>
      </c>
      <c r="CR276" s="41">
        <f>CE276/'1. Väestöennuste'!Q276*1000</f>
        <v>550.44304083405291</v>
      </c>
      <c r="CS276" s="41">
        <f>CK276/'1. Väestöennuste'!R276*1000</f>
        <v>592.71137688345834</v>
      </c>
      <c r="CT276" s="41"/>
      <c r="CV276" s="41">
        <f t="shared" si="128"/>
        <v>74858.858437249903</v>
      </c>
      <c r="CW276" s="41">
        <f t="shared" si="129"/>
        <v>-119759.63726489349</v>
      </c>
      <c r="CX276" s="41">
        <f t="shared" si="130"/>
        <v>-1197.32446310466</v>
      </c>
      <c r="CY276" s="41">
        <f t="shared" si="131"/>
        <v>-32.299641272708584</v>
      </c>
      <c r="CZ276" s="41">
        <f t="shared" si="132"/>
        <v>135.19078713447612</v>
      </c>
      <c r="DA276" s="41">
        <f t="shared" si="133"/>
        <v>35.279038775534559</v>
      </c>
      <c r="DB276" s="41">
        <f t="shared" si="134"/>
        <v>15.729146945008665</v>
      </c>
      <c r="DC276" s="41">
        <f t="shared" si="135"/>
        <v>42.268336049405434</v>
      </c>
      <c r="DD276" s="41"/>
      <c r="DE276" s="283">
        <f t="shared" si="136"/>
        <v>1.6100532699441703</v>
      </c>
      <c r="DF276" s="283">
        <f t="shared" si="137"/>
        <v>-0.98686590744442426</v>
      </c>
      <c r="DG276" s="283">
        <f t="shared" si="138"/>
        <v>-0.75120670822764157</v>
      </c>
      <c r="DH276" s="283">
        <f t="shared" si="139"/>
        <v>-8.14529155780995E-2</v>
      </c>
      <c r="DI276" s="283">
        <f t="shared" si="140"/>
        <v>0.37115439623922142</v>
      </c>
      <c r="DJ276" s="283">
        <f t="shared" si="141"/>
        <v>7.0637918868350649E-2</v>
      </c>
      <c r="DK276" s="283">
        <f t="shared" si="142"/>
        <v>2.94160056897129E-2</v>
      </c>
      <c r="DL276" s="283">
        <f t="shared" si="143"/>
        <v>7.6789663804921193E-2</v>
      </c>
    </row>
    <row r="277" spans="1:116" x14ac:dyDescent="0.2">
      <c r="A277" s="30">
        <v>854</v>
      </c>
      <c r="B277" s="31" t="s">
        <v>591</v>
      </c>
      <c r="C277" s="65"/>
      <c r="D277" s="65"/>
      <c r="E277" s="65"/>
      <c r="F277" s="65"/>
      <c r="G277" s="65"/>
      <c r="H277" s="65">
        <v>14959</v>
      </c>
      <c r="I277" s="65"/>
      <c r="J277" s="65"/>
      <c r="K277" s="65"/>
      <c r="L277" s="65"/>
      <c r="M277" s="65"/>
      <c r="N277" s="65">
        <v>14766</v>
      </c>
      <c r="O277" s="65"/>
      <c r="P277" s="65"/>
      <c r="Q277" s="65"/>
      <c r="R277" s="65"/>
      <c r="S277" s="65"/>
      <c r="T277" s="65">
        <v>15093</v>
      </c>
      <c r="U277" s="65"/>
      <c r="V277" s="65"/>
      <c r="W277" s="65"/>
      <c r="X277" s="65"/>
      <c r="Y277" s="65"/>
      <c r="Z277" s="65">
        <v>15023</v>
      </c>
      <c r="AA277" s="65"/>
      <c r="AB277" s="66">
        <v>15248.663053559661</v>
      </c>
      <c r="AC277" s="34">
        <v>58.239190800293883</v>
      </c>
      <c r="AD277" s="180">
        <v>1931.5423615252639</v>
      </c>
      <c r="AE277" s="65">
        <v>470</v>
      </c>
      <c r="AF277" s="34">
        <v>-297.95400000000001</v>
      </c>
      <c r="AG277" s="65">
        <f t="shared" si="122"/>
        <v>17410.490605885218</v>
      </c>
      <c r="AH277" s="65"/>
      <c r="AI277" s="66">
        <v>14660.854668927695</v>
      </c>
      <c r="AJ277" s="34">
        <v>-45.150966119422947</v>
      </c>
      <c r="AK277" s="181">
        <v>2044.0198245238269</v>
      </c>
      <c r="AL277" s="65">
        <v>0</v>
      </c>
      <c r="AM277" s="34">
        <v>-218.25200000000001</v>
      </c>
      <c r="AN277" s="65">
        <f t="shared" si="123"/>
        <v>16441.471527332098</v>
      </c>
      <c r="AO277" s="65"/>
      <c r="AP277" s="41">
        <v>15050.93088087628</v>
      </c>
      <c r="AQ277" s="41">
        <v>-13.926225222727179</v>
      </c>
      <c r="AR277" s="41">
        <v>2268.1270872382306</v>
      </c>
      <c r="AS277" s="65">
        <v>0</v>
      </c>
      <c r="AT277" s="34">
        <v>-318.87900000000002</v>
      </c>
      <c r="AU277" s="65">
        <f t="shared" si="124"/>
        <v>16986.252742891782</v>
      </c>
      <c r="AV277" s="65"/>
      <c r="AW277" s="41">
        <v>3200.4653071957018</v>
      </c>
      <c r="AX277" s="314"/>
      <c r="AY277" s="314"/>
      <c r="AZ277" s="41">
        <v>677.71352548992479</v>
      </c>
      <c r="BA277" s="65">
        <v>0</v>
      </c>
      <c r="BB277" s="34">
        <v>-296.76100000000002</v>
      </c>
      <c r="BC277" s="65">
        <f t="shared" si="144"/>
        <v>3581.4178326856268</v>
      </c>
      <c r="BD277" s="65"/>
      <c r="BE277" s="41">
        <v>1888.1221255378528</v>
      </c>
      <c r="BF277" s="314"/>
      <c r="BG277" s="314"/>
      <c r="BH277" s="41">
        <v>671.04406193503326</v>
      </c>
      <c r="BI277" s="65">
        <v>0</v>
      </c>
      <c r="BJ277" s="34">
        <v>-437.02300000000002</v>
      </c>
      <c r="BK277" s="65">
        <f t="shared" si="145"/>
        <v>2122.143187472886</v>
      </c>
      <c r="BL277" s="65"/>
      <c r="BM277" s="41">
        <v>2564.9140787150459</v>
      </c>
      <c r="BN277" s="41">
        <v>469.00272059378972</v>
      </c>
      <c r="BO277" s="65">
        <v>0</v>
      </c>
      <c r="BP277" s="34">
        <v>-437.02300000000002</v>
      </c>
      <c r="BQ277" s="65">
        <f t="shared" si="125"/>
        <v>2596.8937993088357</v>
      </c>
      <c r="BR277" s="65"/>
      <c r="BS277" s="41">
        <v>2562.543714906069</v>
      </c>
      <c r="BT277" s="314"/>
      <c r="BU277" s="314"/>
      <c r="BV277" s="41">
        <v>500.79384021706028</v>
      </c>
      <c r="BW277" s="65">
        <v>0</v>
      </c>
      <c r="BX277" s="34">
        <v>-437.02300000000002</v>
      </c>
      <c r="BY277" s="65">
        <f t="shared" si="146"/>
        <v>2626.3145551231291</v>
      </c>
      <c r="CA277" s="5">
        <v>2671.5685301352023</v>
      </c>
      <c r="CB277" s="407">
        <v>532.52157393514449</v>
      </c>
      <c r="CC277" s="415">
        <v>0</v>
      </c>
      <c r="CD277" s="34">
        <v>-437.02300000000002</v>
      </c>
      <c r="CE277" s="65">
        <f t="shared" si="126"/>
        <v>2767.0671040703464</v>
      </c>
      <c r="CF277" s="407"/>
      <c r="CG277" s="5">
        <v>3194.9012684031986</v>
      </c>
      <c r="CH277" s="407">
        <v>559.7928584053293</v>
      </c>
      <c r="CI277" s="415">
        <v>0</v>
      </c>
      <c r="CJ277" s="34">
        <v>-437.02300000000002</v>
      </c>
      <c r="CK277" s="65">
        <f t="shared" si="127"/>
        <v>3317.6711268085278</v>
      </c>
      <c r="CL277" s="407"/>
      <c r="CM277" s="41">
        <f>AU277/'1. Väestöennuste'!L277*1000</f>
        <v>5207.3123062206569</v>
      </c>
      <c r="CN277" s="41">
        <f>BC277/'1. Väestöennuste'!M277*1000</f>
        <v>1100.9584484124275</v>
      </c>
      <c r="CO277" s="41">
        <f>BK277/'1. Väestöennuste'!N277*1000</f>
        <v>692.60547894023694</v>
      </c>
      <c r="CP277" s="41">
        <f>BQ277/'1. Väestöennuste'!O277*1000</f>
        <v>861.61041781978622</v>
      </c>
      <c r="CQ277" s="41">
        <f>BY277/'1. Väestöennuste'!P277*1000</f>
        <v>884.87687167221327</v>
      </c>
      <c r="CR277" s="41">
        <f>CE277/'1. Väestöennuste'!Q277*1000</f>
        <v>946.65313173805896</v>
      </c>
      <c r="CS277" s="41">
        <f>CK277/'1. Väestöennuste'!R277*1000</f>
        <v>1151.5692908047649</v>
      </c>
      <c r="CT277" s="41"/>
      <c r="CV277" s="41">
        <f t="shared" si="128"/>
        <v>3754.6941268085279</v>
      </c>
      <c r="CW277" s="41">
        <f t="shared" si="129"/>
        <v>1889.6411794121291</v>
      </c>
      <c r="CX277" s="41">
        <f t="shared" si="130"/>
        <v>-4106.3538578082298</v>
      </c>
      <c r="CY277" s="41">
        <f t="shared" si="131"/>
        <v>-408.35296947219058</v>
      </c>
      <c r="CZ277" s="41">
        <f t="shared" si="132"/>
        <v>169.00493887954929</v>
      </c>
      <c r="DA277" s="41">
        <f t="shared" si="133"/>
        <v>23.266453852427048</v>
      </c>
      <c r="DB277" s="41">
        <f t="shared" si="134"/>
        <v>61.77626006584569</v>
      </c>
      <c r="DC277" s="41">
        <f t="shared" si="135"/>
        <v>204.91615906670597</v>
      </c>
      <c r="DD277" s="41"/>
      <c r="DE277" s="283">
        <f t="shared" si="136"/>
        <v>-8.5915252213465365</v>
      </c>
      <c r="DF277" s="283">
        <f t="shared" si="137"/>
        <v>0.5695685639673066</v>
      </c>
      <c r="DG277" s="283">
        <f t="shared" si="138"/>
        <v>-0.7885745306466021</v>
      </c>
      <c r="DH277" s="283">
        <f t="shared" si="139"/>
        <v>-0.37090679494855777</v>
      </c>
      <c r="DI277" s="283">
        <f t="shared" si="140"/>
        <v>0.24401328608913916</v>
      </c>
      <c r="DJ277" s="283">
        <f t="shared" si="141"/>
        <v>2.7003450017817034E-2</v>
      </c>
      <c r="DK277" s="283">
        <f t="shared" si="142"/>
        <v>6.9813396692245788E-2</v>
      </c>
      <c r="DL277" s="283">
        <f t="shared" si="143"/>
        <v>0.21646382629134611</v>
      </c>
    </row>
    <row r="278" spans="1:116" x14ac:dyDescent="0.2">
      <c r="A278" s="30">
        <v>857</v>
      </c>
      <c r="B278" s="31" t="s">
        <v>592</v>
      </c>
      <c r="C278" s="65"/>
      <c r="D278" s="65"/>
      <c r="E278" s="65"/>
      <c r="F278" s="65"/>
      <c r="G278" s="65"/>
      <c r="H278" s="65">
        <v>10060</v>
      </c>
      <c r="I278" s="65"/>
      <c r="J278" s="65"/>
      <c r="K278" s="65"/>
      <c r="L278" s="65"/>
      <c r="M278" s="65"/>
      <c r="N278" s="65">
        <v>9870</v>
      </c>
      <c r="O278" s="65"/>
      <c r="P278" s="65"/>
      <c r="Q278" s="65"/>
      <c r="R278" s="65"/>
      <c r="S278" s="65"/>
      <c r="T278" s="65">
        <v>9804</v>
      </c>
      <c r="U278" s="65"/>
      <c r="V278" s="65"/>
      <c r="W278" s="65"/>
      <c r="X278" s="65"/>
      <c r="Y278" s="65"/>
      <c r="Z278" s="65">
        <v>9677</v>
      </c>
      <c r="AA278" s="65"/>
      <c r="AB278" s="66">
        <v>8999.8468146545929</v>
      </c>
      <c r="AC278" s="34">
        <v>39.998491195193594</v>
      </c>
      <c r="AD278" s="180">
        <v>1506.214034776789</v>
      </c>
      <c r="AE278" s="65">
        <v>340</v>
      </c>
      <c r="AF278" s="34">
        <v>-27.843</v>
      </c>
      <c r="AG278" s="65">
        <f t="shared" si="122"/>
        <v>10858.216340626575</v>
      </c>
      <c r="AH278" s="65"/>
      <c r="AI278" s="66">
        <v>8658.2715842721354</v>
      </c>
      <c r="AJ278" s="34">
        <v>-30.789372131773263</v>
      </c>
      <c r="AK278" s="181">
        <v>1598.8823729937199</v>
      </c>
      <c r="AL278" s="65">
        <v>0</v>
      </c>
      <c r="AM278" s="34">
        <v>-87.454999999999998</v>
      </c>
      <c r="AN278" s="65">
        <f t="shared" si="123"/>
        <v>10138.909585134081</v>
      </c>
      <c r="AO278" s="65"/>
      <c r="AP278" s="41">
        <v>9158.1964167669285</v>
      </c>
      <c r="AQ278" s="41">
        <v>-9.4186980044821507</v>
      </c>
      <c r="AR278" s="41">
        <v>1804.787613218969</v>
      </c>
      <c r="AS278" s="65">
        <v>0</v>
      </c>
      <c r="AT278" s="34">
        <v>201.316</v>
      </c>
      <c r="AU278" s="65">
        <f t="shared" si="124"/>
        <v>11154.881331981416</v>
      </c>
      <c r="AV278" s="65"/>
      <c r="AW278" s="41">
        <v>-891.06961771729664</v>
      </c>
      <c r="AX278" s="314"/>
      <c r="AY278" s="314"/>
      <c r="AZ278" s="41">
        <v>527.4518505741197</v>
      </c>
      <c r="BA278" s="65">
        <v>180</v>
      </c>
      <c r="BB278" s="34">
        <v>227.92099999999999</v>
      </c>
      <c r="BC278" s="65">
        <f t="shared" si="144"/>
        <v>44.303232856823058</v>
      </c>
      <c r="BD278" s="65"/>
      <c r="BE278" s="41">
        <v>-672.41837730132272</v>
      </c>
      <c r="BF278" s="314"/>
      <c r="BG278" s="314"/>
      <c r="BH278" s="41">
        <v>518.54833069202687</v>
      </c>
      <c r="BI278" s="65">
        <v>0</v>
      </c>
      <c r="BJ278" s="34">
        <v>194.858</v>
      </c>
      <c r="BK278" s="65">
        <f t="shared" si="145"/>
        <v>40.987953390704149</v>
      </c>
      <c r="BL278" s="65"/>
      <c r="BM278" s="41">
        <v>-311.81848137624144</v>
      </c>
      <c r="BN278" s="41">
        <v>379.46531250207221</v>
      </c>
      <c r="BO278" s="65">
        <v>0</v>
      </c>
      <c r="BP278" s="34">
        <v>194.858</v>
      </c>
      <c r="BQ278" s="65">
        <f t="shared" si="125"/>
        <v>262.50483112583078</v>
      </c>
      <c r="BR278" s="65"/>
      <c r="BS278" s="41">
        <v>-485.74654966648689</v>
      </c>
      <c r="BT278" s="314"/>
      <c r="BU278" s="314"/>
      <c r="BV278" s="41">
        <v>406.95742542694671</v>
      </c>
      <c r="BW278" s="65">
        <v>0</v>
      </c>
      <c r="BX278" s="34">
        <v>194.858</v>
      </c>
      <c r="BY278" s="65">
        <f t="shared" si="146"/>
        <v>116.06887576045983</v>
      </c>
      <c r="CA278" s="5">
        <v>-463.86875616269816</v>
      </c>
      <c r="CB278" s="407">
        <v>434.28369965376004</v>
      </c>
      <c r="CC278" s="415">
        <v>0</v>
      </c>
      <c r="CD278" s="34">
        <v>194.858</v>
      </c>
      <c r="CE278" s="65">
        <f t="shared" si="126"/>
        <v>165.27294349106188</v>
      </c>
      <c r="CF278" s="407"/>
      <c r="CG278" s="5">
        <v>-233.14459586808505</v>
      </c>
      <c r="CH278" s="407">
        <v>458.63987031567791</v>
      </c>
      <c r="CI278" s="415">
        <v>0</v>
      </c>
      <c r="CJ278" s="34">
        <v>194.858</v>
      </c>
      <c r="CK278" s="65">
        <f t="shared" si="127"/>
        <v>420.35327444759287</v>
      </c>
      <c r="CL278" s="407"/>
      <c r="CM278" s="41">
        <f>AU278/'1. Väestöennuste'!L278*1000</f>
        <v>4659.5160116881434</v>
      </c>
      <c r="CN278" s="41">
        <f>BC278/'1. Väestöennuste'!M278*1000</f>
        <v>19.154013340606596</v>
      </c>
      <c r="CO278" s="41">
        <f>BK278/'1. Väestöennuste'!N278*1000</f>
        <v>18.265576377319139</v>
      </c>
      <c r="CP278" s="41">
        <f>BQ278/'1. Väestöennuste'!O278*1000</f>
        <v>118.9419262011014</v>
      </c>
      <c r="CQ278" s="41">
        <f>BY278/'1. Väestöennuste'!P278*1000</f>
        <v>53.389547267920804</v>
      </c>
      <c r="CR278" s="41">
        <f>CE278/'1. Väestöennuste'!Q278*1000</f>
        <v>77.158236923931781</v>
      </c>
      <c r="CS278" s="41">
        <f>CK278/'1. Väestöennuste'!R278*1000</f>
        <v>198.93671294254275</v>
      </c>
      <c r="CT278" s="41"/>
      <c r="CV278" s="41">
        <f t="shared" si="128"/>
        <v>225.49527444759286</v>
      </c>
      <c r="CW278" s="41">
        <f t="shared" si="129"/>
        <v>4239.162737240551</v>
      </c>
      <c r="CX278" s="41">
        <f t="shared" si="130"/>
        <v>-4640.3619983475364</v>
      </c>
      <c r="CY278" s="41">
        <f t="shared" si="131"/>
        <v>-0.88843696328745736</v>
      </c>
      <c r="CZ278" s="41">
        <f t="shared" si="132"/>
        <v>100.67634982378226</v>
      </c>
      <c r="DA278" s="41">
        <f t="shared" si="133"/>
        <v>-65.552378933180592</v>
      </c>
      <c r="DB278" s="41">
        <f t="shared" si="134"/>
        <v>23.768689656010977</v>
      </c>
      <c r="DC278" s="41">
        <f t="shared" si="135"/>
        <v>121.77847601861097</v>
      </c>
      <c r="DD278" s="41"/>
      <c r="DE278" s="283">
        <f t="shared" si="136"/>
        <v>1.1572287226985438</v>
      </c>
      <c r="DF278" s="283">
        <f t="shared" si="137"/>
        <v>10.084762020258902</v>
      </c>
      <c r="DG278" s="283">
        <f t="shared" si="138"/>
        <v>-0.99588926976695424</v>
      </c>
      <c r="DH278" s="283">
        <f t="shared" si="139"/>
        <v>-4.6383854260139148E-2</v>
      </c>
      <c r="DI278" s="283">
        <f t="shared" si="140"/>
        <v>5.5118079902912243</v>
      </c>
      <c r="DJ278" s="283">
        <f t="shared" si="141"/>
        <v>-0.55112928659275051</v>
      </c>
      <c r="DK278" s="283">
        <f t="shared" si="142"/>
        <v>0.44519369188006641</v>
      </c>
      <c r="DL278" s="283">
        <f t="shared" si="143"/>
        <v>1.5782952134931372</v>
      </c>
    </row>
    <row r="279" spans="1:116" x14ac:dyDescent="0.2">
      <c r="A279" s="30">
        <v>858</v>
      </c>
      <c r="B279" s="31" t="s">
        <v>593</v>
      </c>
      <c r="C279" s="65"/>
      <c r="D279" s="65"/>
      <c r="E279" s="65"/>
      <c r="F279" s="65"/>
      <c r="G279" s="65"/>
      <c r="H279" s="65">
        <v>23061</v>
      </c>
      <c r="I279" s="65"/>
      <c r="J279" s="65"/>
      <c r="K279" s="65"/>
      <c r="L279" s="65"/>
      <c r="M279" s="65"/>
      <c r="N279" s="65">
        <v>23327</v>
      </c>
      <c r="O279" s="65"/>
      <c r="P279" s="65"/>
      <c r="Q279" s="65"/>
      <c r="R279" s="65"/>
      <c r="S279" s="65"/>
      <c r="T279" s="65">
        <v>24291</v>
      </c>
      <c r="U279" s="65"/>
      <c r="V279" s="65"/>
      <c r="W279" s="65"/>
      <c r="X279" s="65"/>
      <c r="Y279" s="65"/>
      <c r="Z279" s="65">
        <v>25429</v>
      </c>
      <c r="AA279" s="65"/>
      <c r="AB279" s="66">
        <v>32559.428768714828</v>
      </c>
      <c r="AC279" s="34">
        <v>904.35896291930214</v>
      </c>
      <c r="AD279" s="180">
        <v>11676.128802328341</v>
      </c>
      <c r="AE279" s="65">
        <v>0</v>
      </c>
      <c r="AF279" s="34">
        <v>-3244.1860000000001</v>
      </c>
      <c r="AG279" s="65">
        <f t="shared" si="122"/>
        <v>41895.730533962473</v>
      </c>
      <c r="AH279" s="65"/>
      <c r="AI279" s="66">
        <v>23359.835059993533</v>
      </c>
      <c r="AJ279" s="34">
        <v>-703.5493061904408</v>
      </c>
      <c r="AK279" s="181">
        <v>12727.059744014161</v>
      </c>
      <c r="AL279" s="65">
        <v>0</v>
      </c>
      <c r="AM279" s="34">
        <v>-4074.7260000000001</v>
      </c>
      <c r="AN279" s="65">
        <f t="shared" si="123"/>
        <v>31308.619497817253</v>
      </c>
      <c r="AO279" s="65"/>
      <c r="AP279" s="41">
        <v>24717.932128875185</v>
      </c>
      <c r="AQ279" s="41">
        <v>-217.82804099221298</v>
      </c>
      <c r="AR279" s="41">
        <v>15044.079260548961</v>
      </c>
      <c r="AS279" s="65">
        <v>0</v>
      </c>
      <c r="AT279" s="34">
        <v>-3001.1619999999998</v>
      </c>
      <c r="AU279" s="65">
        <f t="shared" si="124"/>
        <v>36543.021348431939</v>
      </c>
      <c r="AV279" s="65"/>
      <c r="AW279" s="41">
        <v>26203.141827290885</v>
      </c>
      <c r="AX279" s="314"/>
      <c r="AY279" s="314"/>
      <c r="AZ279" s="41">
        <v>4629.1374877160424</v>
      </c>
      <c r="BA279" s="65">
        <v>0</v>
      </c>
      <c r="BB279" s="34">
        <v>-3492.6109999999999</v>
      </c>
      <c r="BC279" s="65">
        <f t="shared" si="144"/>
        <v>27339.668315006926</v>
      </c>
      <c r="BD279" s="65"/>
      <c r="BE279" s="41">
        <v>27534.009893976574</v>
      </c>
      <c r="BF279" s="314"/>
      <c r="BG279" s="314"/>
      <c r="BH279" s="41">
        <v>4523.0179727779005</v>
      </c>
      <c r="BI279" s="65">
        <v>0</v>
      </c>
      <c r="BJ279" s="34">
        <v>-3561.6370000000002</v>
      </c>
      <c r="BK279" s="65">
        <f t="shared" si="145"/>
        <v>28495.390866754475</v>
      </c>
      <c r="BL279" s="65"/>
      <c r="BM279" s="41">
        <v>32046.925314139869</v>
      </c>
      <c r="BN279" s="41">
        <v>2508.1405329133495</v>
      </c>
      <c r="BO279" s="65">
        <v>0</v>
      </c>
      <c r="BP279" s="34">
        <v>-3561.6370000000002</v>
      </c>
      <c r="BQ279" s="65">
        <f t="shared" si="125"/>
        <v>30993.428847053223</v>
      </c>
      <c r="BR279" s="65"/>
      <c r="BS279" s="41">
        <v>29919.753480138523</v>
      </c>
      <c r="BT279" s="314"/>
      <c r="BU279" s="314"/>
      <c r="BV279" s="41">
        <v>2601.4771299855897</v>
      </c>
      <c r="BW279" s="65">
        <v>0</v>
      </c>
      <c r="BX279" s="34">
        <v>-3561.6370000000002</v>
      </c>
      <c r="BY279" s="65">
        <f t="shared" si="146"/>
        <v>28959.593610124113</v>
      </c>
      <c r="CA279" s="5">
        <v>29208.082533728713</v>
      </c>
      <c r="CB279" s="407">
        <v>2843.8568853326888</v>
      </c>
      <c r="CC279" s="415">
        <v>0</v>
      </c>
      <c r="CD279" s="34">
        <v>-3561.6370000000002</v>
      </c>
      <c r="CE279" s="65">
        <f t="shared" si="126"/>
        <v>28490.302419061405</v>
      </c>
      <c r="CF279" s="407"/>
      <c r="CG279" s="5">
        <v>29827.947267040054</v>
      </c>
      <c r="CH279" s="407">
        <v>3035.2732862102998</v>
      </c>
      <c r="CI279" s="415">
        <v>0</v>
      </c>
      <c r="CJ279" s="34">
        <v>-3561.6370000000002</v>
      </c>
      <c r="CK279" s="65">
        <f t="shared" si="127"/>
        <v>29301.583553250352</v>
      </c>
      <c r="CL279" s="407"/>
      <c r="CM279" s="41">
        <f>AU279/'1. Väestöennuste'!L279*1000</f>
        <v>904.88860312083841</v>
      </c>
      <c r="CN279" s="41">
        <f>BC279/'1. Väestöennuste'!M279*1000</f>
        <v>661.36891758205343</v>
      </c>
      <c r="CO279" s="41">
        <f>BK279/'1. Väestöennuste'!N279*1000</f>
        <v>725.94173354277314</v>
      </c>
      <c r="CP279" s="41">
        <f>BQ279/'1. Väestöennuste'!O279*1000</f>
        <v>787.45468246279688</v>
      </c>
      <c r="CQ279" s="41">
        <f>BY279/'1. Väestöennuste'!P279*1000</f>
        <v>733.80447510766794</v>
      </c>
      <c r="CR279" s="41">
        <f>CE279/'1. Väestöennuste'!Q279*1000</f>
        <v>719.99753396667688</v>
      </c>
      <c r="CS279" s="41">
        <f>CK279/'1. Väestöennuste'!R279*1000</f>
        <v>738.70779895251223</v>
      </c>
      <c r="CT279" s="41"/>
      <c r="CV279" s="41">
        <f t="shared" si="128"/>
        <v>32863.22055325035</v>
      </c>
      <c r="CW279" s="41">
        <f t="shared" si="129"/>
        <v>-28396.694950129513</v>
      </c>
      <c r="CX279" s="41">
        <f t="shared" si="130"/>
        <v>-243.51968553878498</v>
      </c>
      <c r="CY279" s="41">
        <f t="shared" si="131"/>
        <v>64.572815960719709</v>
      </c>
      <c r="CZ279" s="41">
        <f t="shared" si="132"/>
        <v>61.512948920023746</v>
      </c>
      <c r="DA279" s="41">
        <f t="shared" si="133"/>
        <v>-53.650207355128941</v>
      </c>
      <c r="DB279" s="41">
        <f t="shared" si="134"/>
        <v>-13.806941140991057</v>
      </c>
      <c r="DC279" s="41">
        <f t="shared" si="135"/>
        <v>18.710264985835352</v>
      </c>
      <c r="DD279" s="41"/>
      <c r="DE279" s="283">
        <f t="shared" si="136"/>
        <v>-9.2269988640758029</v>
      </c>
      <c r="DF279" s="283">
        <f t="shared" si="137"/>
        <v>-0.96911809897658374</v>
      </c>
      <c r="DG279" s="283">
        <f t="shared" si="138"/>
        <v>-0.26911565103032409</v>
      </c>
      <c r="DH279" s="283">
        <f t="shared" si="139"/>
        <v>9.7635093280156182E-2</v>
      </c>
      <c r="DI279" s="283">
        <f t="shared" si="140"/>
        <v>8.4735380372506636E-2</v>
      </c>
      <c r="DJ279" s="283">
        <f t="shared" si="141"/>
        <v>-6.8131168116666363E-2</v>
      </c>
      <c r="DK279" s="283">
        <f t="shared" si="142"/>
        <v>-1.8815558652685003E-2</v>
      </c>
      <c r="DL279" s="283">
        <f t="shared" si="143"/>
        <v>2.5986568152192177E-2</v>
      </c>
    </row>
    <row r="280" spans="1:116" x14ac:dyDescent="0.2">
      <c r="A280" s="30">
        <v>859</v>
      </c>
      <c r="B280" s="31" t="s">
        <v>594</v>
      </c>
      <c r="C280" s="65"/>
      <c r="D280" s="65"/>
      <c r="E280" s="65"/>
      <c r="F280" s="65"/>
      <c r="G280" s="65"/>
      <c r="H280" s="65">
        <v>18965</v>
      </c>
      <c r="I280" s="65"/>
      <c r="J280" s="65"/>
      <c r="K280" s="65"/>
      <c r="L280" s="65"/>
      <c r="M280" s="65"/>
      <c r="N280" s="65">
        <v>19112</v>
      </c>
      <c r="O280" s="65"/>
      <c r="P280" s="65"/>
      <c r="Q280" s="65"/>
      <c r="R280" s="65"/>
      <c r="S280" s="65"/>
      <c r="T280" s="65">
        <v>18549</v>
      </c>
      <c r="U280" s="65"/>
      <c r="V280" s="65"/>
      <c r="W280" s="65"/>
      <c r="X280" s="65"/>
      <c r="Y280" s="65"/>
      <c r="Z280" s="65">
        <v>18800</v>
      </c>
      <c r="AA280" s="65"/>
      <c r="AB280" s="66">
        <v>20138.122136643753</v>
      </c>
      <c r="AC280" s="34">
        <v>99.413788508506144</v>
      </c>
      <c r="AD280" s="180">
        <v>2600.640158091112</v>
      </c>
      <c r="AE280" s="65">
        <v>0</v>
      </c>
      <c r="AF280" s="34">
        <v>-1039.3</v>
      </c>
      <c r="AG280" s="65">
        <f t="shared" si="122"/>
        <v>21798.876083243373</v>
      </c>
      <c r="AH280" s="65"/>
      <c r="AI280" s="66">
        <v>19547.846441784426</v>
      </c>
      <c r="AJ280" s="34">
        <v>-77.685704769062696</v>
      </c>
      <c r="AK280" s="181">
        <v>2810.9172529231473</v>
      </c>
      <c r="AL280" s="65">
        <v>0</v>
      </c>
      <c r="AM280" s="34">
        <v>-924.95399999999995</v>
      </c>
      <c r="AN280" s="65">
        <f t="shared" si="123"/>
        <v>21356.123989938511</v>
      </c>
      <c r="AO280" s="65"/>
      <c r="AP280" s="41">
        <v>20126.333276652193</v>
      </c>
      <c r="AQ280" s="41">
        <v>-24.143186192052173</v>
      </c>
      <c r="AR280" s="41">
        <v>3312.813429556566</v>
      </c>
      <c r="AS280" s="65">
        <v>0</v>
      </c>
      <c r="AT280" s="34">
        <v>-1015.472</v>
      </c>
      <c r="AU280" s="65">
        <f t="shared" si="124"/>
        <v>22399.531520016702</v>
      </c>
      <c r="AV280" s="65"/>
      <c r="AW280" s="41">
        <v>12193.866971226291</v>
      </c>
      <c r="AX280" s="314"/>
      <c r="AY280" s="314"/>
      <c r="AZ280" s="41">
        <v>968.22028774869477</v>
      </c>
      <c r="BA280" s="65">
        <v>0</v>
      </c>
      <c r="BB280" s="34">
        <v>-970.78399999999999</v>
      </c>
      <c r="BC280" s="65">
        <f t="shared" si="144"/>
        <v>12191.303258974986</v>
      </c>
      <c r="BD280" s="65"/>
      <c r="BE280" s="41">
        <v>11083.925978807207</v>
      </c>
      <c r="BF280" s="314"/>
      <c r="BG280" s="314"/>
      <c r="BH280" s="41">
        <v>943.99437421462619</v>
      </c>
      <c r="BI280" s="65">
        <v>0</v>
      </c>
      <c r="BJ280" s="34">
        <v>-979.61</v>
      </c>
      <c r="BK280" s="65">
        <f t="shared" si="145"/>
        <v>11048.310353021832</v>
      </c>
      <c r="BL280" s="65"/>
      <c r="BM280" s="41">
        <v>12119.970207486391</v>
      </c>
      <c r="BN280" s="41">
        <v>435.37449094894265</v>
      </c>
      <c r="BO280" s="65">
        <v>0</v>
      </c>
      <c r="BP280" s="34">
        <v>-979.61</v>
      </c>
      <c r="BQ280" s="65">
        <f t="shared" si="125"/>
        <v>11575.734698435333</v>
      </c>
      <c r="BR280" s="65"/>
      <c r="BS280" s="41">
        <v>11875.227173675759</v>
      </c>
      <c r="BT280" s="314"/>
      <c r="BU280" s="314"/>
      <c r="BV280" s="41">
        <v>482.92695956298593</v>
      </c>
      <c r="BW280" s="65">
        <v>0</v>
      </c>
      <c r="BX280" s="34">
        <v>-979.61</v>
      </c>
      <c r="BY280" s="65">
        <f t="shared" si="146"/>
        <v>11378.544133238745</v>
      </c>
      <c r="CA280" s="5">
        <v>12006.960400862035</v>
      </c>
      <c r="CB280" s="407">
        <v>535.39835963371934</v>
      </c>
      <c r="CC280" s="415">
        <v>0</v>
      </c>
      <c r="CD280" s="34">
        <v>-979.61</v>
      </c>
      <c r="CE280" s="65">
        <f t="shared" si="126"/>
        <v>11562.748760495753</v>
      </c>
      <c r="CF280" s="407"/>
      <c r="CG280" s="5">
        <v>12390.942874889455</v>
      </c>
      <c r="CH280" s="407">
        <v>579.82551123497888</v>
      </c>
      <c r="CI280" s="415">
        <v>0</v>
      </c>
      <c r="CJ280" s="34">
        <v>-979.61</v>
      </c>
      <c r="CK280" s="65">
        <f t="shared" si="127"/>
        <v>11991.158386124433</v>
      </c>
      <c r="CL280" s="407"/>
      <c r="CM280" s="41">
        <f>AU280/'1. Väestöennuste'!L280*1000</f>
        <v>3413.5220237757853</v>
      </c>
      <c r="CN280" s="41">
        <f>BC280/'1. Väestöennuste'!M280*1000</f>
        <v>1868.3989668927181</v>
      </c>
      <c r="CO280" s="41">
        <f>BK280/'1. Väestöennuste'!N280*1000</f>
        <v>1706.829963389747</v>
      </c>
      <c r="CP280" s="41">
        <f>BQ280/'1. Väestöennuste'!O280*1000</f>
        <v>1800.2697820272679</v>
      </c>
      <c r="CQ280" s="41">
        <f>BY280/'1. Väestöennuste'!P280*1000</f>
        <v>1782.6326387652741</v>
      </c>
      <c r="CR280" s="41">
        <f>CE280/'1. Väestöennuste'!Q280*1000</f>
        <v>1824.6408017193867</v>
      </c>
      <c r="CS280" s="41">
        <f>CK280/'1. Väestöennuste'!R280*1000</f>
        <v>1906.9908374879822</v>
      </c>
      <c r="CT280" s="41"/>
      <c r="CV280" s="41">
        <f t="shared" si="128"/>
        <v>12970.768386124433</v>
      </c>
      <c r="CW280" s="41">
        <f t="shared" si="129"/>
        <v>-8577.6363623486468</v>
      </c>
      <c r="CX280" s="41">
        <f t="shared" si="130"/>
        <v>-1545.1230568830672</v>
      </c>
      <c r="CY280" s="41">
        <f t="shared" si="131"/>
        <v>-161.5690035029711</v>
      </c>
      <c r="CZ280" s="41">
        <f t="shared" si="132"/>
        <v>93.43981863752083</v>
      </c>
      <c r="DA280" s="41">
        <f t="shared" si="133"/>
        <v>-17.637143261993742</v>
      </c>
      <c r="DB280" s="41">
        <f t="shared" si="134"/>
        <v>42.008162954112549</v>
      </c>
      <c r="DC280" s="41">
        <f t="shared" si="135"/>
        <v>82.35003576859549</v>
      </c>
      <c r="DD280" s="41"/>
      <c r="DE280" s="283">
        <f t="shared" si="136"/>
        <v>-13.240747221980618</v>
      </c>
      <c r="DF280" s="283">
        <f t="shared" si="137"/>
        <v>-0.71533008623038941</v>
      </c>
      <c r="DG280" s="283">
        <f t="shared" si="138"/>
        <v>-0.45264774802125535</v>
      </c>
      <c r="DH280" s="283">
        <f t="shared" si="139"/>
        <v>-8.6474573346436795E-2</v>
      </c>
      <c r="DI280" s="283">
        <f t="shared" si="140"/>
        <v>5.474465567264257E-2</v>
      </c>
      <c r="DJ280" s="283">
        <f t="shared" si="141"/>
        <v>-9.7969445680150848E-3</v>
      </c>
      <c r="DK280" s="283">
        <f t="shared" si="142"/>
        <v>2.356523831136019E-2</v>
      </c>
      <c r="DL280" s="283">
        <f t="shared" si="143"/>
        <v>4.5132190232179285E-2</v>
      </c>
    </row>
    <row r="281" spans="1:116" x14ac:dyDescent="0.2">
      <c r="A281" s="30">
        <v>886</v>
      </c>
      <c r="B281" s="31" t="s">
        <v>595</v>
      </c>
      <c r="C281" s="65"/>
      <c r="D281" s="65"/>
      <c r="E281" s="65"/>
      <c r="F281" s="65"/>
      <c r="G281" s="65"/>
      <c r="H281" s="65">
        <v>20300</v>
      </c>
      <c r="I281" s="65"/>
      <c r="J281" s="65"/>
      <c r="K281" s="65"/>
      <c r="L281" s="65"/>
      <c r="M281" s="65"/>
      <c r="N281" s="65">
        <v>21004</v>
      </c>
      <c r="O281" s="65"/>
      <c r="P281" s="65"/>
      <c r="Q281" s="65"/>
      <c r="R281" s="65"/>
      <c r="S281" s="65"/>
      <c r="T281" s="65">
        <v>21820</v>
      </c>
      <c r="U281" s="65"/>
      <c r="V281" s="65"/>
      <c r="W281" s="65"/>
      <c r="X281" s="65"/>
      <c r="Y281" s="65"/>
      <c r="Z281" s="65">
        <v>21650</v>
      </c>
      <c r="AA281" s="65"/>
      <c r="AB281" s="66">
        <v>21549.287404466042</v>
      </c>
      <c r="AC281" s="34">
        <v>253.13202906832075</v>
      </c>
      <c r="AD281" s="180">
        <v>5299.5335808146801</v>
      </c>
      <c r="AE281" s="65">
        <v>0</v>
      </c>
      <c r="AF281" s="34">
        <v>-741.22199999999998</v>
      </c>
      <c r="AG281" s="65">
        <f t="shared" si="122"/>
        <v>26360.731014349043</v>
      </c>
      <c r="AH281" s="65"/>
      <c r="AI281" s="66">
        <v>18845.625577539631</v>
      </c>
      <c r="AJ281" s="34">
        <v>-197.02320383433118</v>
      </c>
      <c r="AK281" s="181">
        <v>5697.8695131625072</v>
      </c>
      <c r="AL281" s="65">
        <v>0</v>
      </c>
      <c r="AM281" s="34">
        <v>-531.27800000000002</v>
      </c>
      <c r="AN281" s="65">
        <f t="shared" si="123"/>
        <v>23815.193886867808</v>
      </c>
      <c r="AO281" s="65"/>
      <c r="AP281" s="41">
        <v>20490.068215640142</v>
      </c>
      <c r="AQ281" s="41">
        <v>-61.04951436450537</v>
      </c>
      <c r="AR281" s="41">
        <v>6475.6221633369751</v>
      </c>
      <c r="AS281" s="65">
        <v>0</v>
      </c>
      <c r="AT281" s="34">
        <v>-171.84100000000001</v>
      </c>
      <c r="AU281" s="65">
        <f t="shared" si="124"/>
        <v>26732.799864612611</v>
      </c>
      <c r="AV281" s="65"/>
      <c r="AW281" s="41">
        <v>7177.5053926115816</v>
      </c>
      <c r="AX281" s="314"/>
      <c r="AY281" s="314"/>
      <c r="AZ281" s="41">
        <v>1935.3328315087492</v>
      </c>
      <c r="BA281" s="65">
        <v>0</v>
      </c>
      <c r="BB281" s="34">
        <v>-163.87100000000001</v>
      </c>
      <c r="BC281" s="65">
        <f t="shared" si="144"/>
        <v>8948.9672241203316</v>
      </c>
      <c r="BD281" s="65"/>
      <c r="BE281" s="41">
        <v>5459.5154903297516</v>
      </c>
      <c r="BF281" s="314"/>
      <c r="BG281" s="314"/>
      <c r="BH281" s="41">
        <v>1907.243906523976</v>
      </c>
      <c r="BI281" s="65">
        <v>0</v>
      </c>
      <c r="BJ281" s="34">
        <v>-144.07300000000001</v>
      </c>
      <c r="BK281" s="65">
        <f t="shared" si="145"/>
        <v>7222.6863968537273</v>
      </c>
      <c r="BL281" s="65"/>
      <c r="BM281" s="41">
        <v>7482.5898858804858</v>
      </c>
      <c r="BN281" s="41">
        <v>1042.3823141524388</v>
      </c>
      <c r="BO281" s="65">
        <v>0</v>
      </c>
      <c r="BP281" s="34">
        <v>-144.07300000000001</v>
      </c>
      <c r="BQ281" s="65">
        <f t="shared" si="125"/>
        <v>8380.8992000329235</v>
      </c>
      <c r="BR281" s="65"/>
      <c r="BS281" s="41">
        <v>7640.9284890594163</v>
      </c>
      <c r="BT281" s="314"/>
      <c r="BU281" s="314"/>
      <c r="BV281" s="41">
        <v>1137.5264302190476</v>
      </c>
      <c r="BW281" s="65">
        <v>0</v>
      </c>
      <c r="BX281" s="34">
        <v>-144.07300000000001</v>
      </c>
      <c r="BY281" s="65">
        <f t="shared" si="146"/>
        <v>8634.3819192784631</v>
      </c>
      <c r="CA281" s="5">
        <v>7685.477659945399</v>
      </c>
      <c r="CB281" s="407">
        <v>1243.6985009114428</v>
      </c>
      <c r="CC281" s="415">
        <v>0</v>
      </c>
      <c r="CD281" s="34">
        <v>-144.07300000000001</v>
      </c>
      <c r="CE281" s="65">
        <f t="shared" si="126"/>
        <v>8785.103160856841</v>
      </c>
      <c r="CF281" s="407"/>
      <c r="CG281" s="5">
        <v>8698.926416677421</v>
      </c>
      <c r="CH281" s="407">
        <v>1333.398126439846</v>
      </c>
      <c r="CI281" s="415">
        <v>0</v>
      </c>
      <c r="CJ281" s="34">
        <v>-144.07300000000001</v>
      </c>
      <c r="CK281" s="65">
        <f t="shared" si="127"/>
        <v>9888.2515431172669</v>
      </c>
      <c r="CL281" s="407"/>
      <c r="CM281" s="41">
        <f>AU281/'1. Väestöennuste'!L281*1000</f>
        <v>2121.8191812534815</v>
      </c>
      <c r="CN281" s="41">
        <f>BC281/'1. Väestöennuste'!M281*1000</f>
        <v>714.03233257163743</v>
      </c>
      <c r="CO281" s="41">
        <f>BK281/'1. Väestöennuste'!N281*1000</f>
        <v>587.97512185393418</v>
      </c>
      <c r="CP281" s="41">
        <f>BQ281/'1. Väestöennuste'!O281*1000</f>
        <v>688.82215829973893</v>
      </c>
      <c r="CQ281" s="41">
        <f>BY281/'1. Väestöennuste'!P281*1000</f>
        <v>716.66516594276754</v>
      </c>
      <c r="CR281" s="41">
        <f>CE281/'1. Väestöennuste'!Q281*1000</f>
        <v>736.57274761942165</v>
      </c>
      <c r="CS281" s="41">
        <f>CK281/'1. Väestöennuste'!R281*1000</f>
        <v>837.91640904306985</v>
      </c>
      <c r="CT281" s="41"/>
      <c r="CV281" s="41">
        <f t="shared" si="128"/>
        <v>10032.324543117267</v>
      </c>
      <c r="CW281" s="41">
        <f t="shared" si="129"/>
        <v>-7766.4323618637854</v>
      </c>
      <c r="CX281" s="41">
        <f t="shared" si="130"/>
        <v>-1407.786848681844</v>
      </c>
      <c r="CY281" s="41">
        <f t="shared" si="131"/>
        <v>-126.05721071770324</v>
      </c>
      <c r="CZ281" s="41">
        <f t="shared" si="132"/>
        <v>100.84703644580475</v>
      </c>
      <c r="DA281" s="41">
        <f t="shared" si="133"/>
        <v>27.843007643028614</v>
      </c>
      <c r="DB281" s="41">
        <f t="shared" si="134"/>
        <v>19.907581676654104</v>
      </c>
      <c r="DC281" s="41">
        <f t="shared" si="135"/>
        <v>101.3436614236482</v>
      </c>
      <c r="DD281" s="41"/>
      <c r="DE281" s="283">
        <f t="shared" si="136"/>
        <v>-69.633620061477629</v>
      </c>
      <c r="DF281" s="283">
        <f t="shared" si="137"/>
        <v>-0.78542018556047177</v>
      </c>
      <c r="DG281" s="283">
        <f t="shared" si="138"/>
        <v>-0.66348106432433274</v>
      </c>
      <c r="DH281" s="283">
        <f t="shared" si="139"/>
        <v>-0.1765427207808635</v>
      </c>
      <c r="DI281" s="283">
        <f t="shared" si="140"/>
        <v>0.17151582217939035</v>
      </c>
      <c r="DJ281" s="283">
        <f t="shared" si="141"/>
        <v>4.0421184637490726E-2</v>
      </c>
      <c r="DK281" s="283">
        <f t="shared" si="142"/>
        <v>2.7778079112392513E-2</v>
      </c>
      <c r="DL281" s="283">
        <f t="shared" si="143"/>
        <v>0.13758812249188895</v>
      </c>
    </row>
    <row r="282" spans="1:116" x14ac:dyDescent="0.2">
      <c r="A282" s="30">
        <v>887</v>
      </c>
      <c r="B282" s="31" t="s">
        <v>596</v>
      </c>
      <c r="C282" s="65"/>
      <c r="D282" s="65"/>
      <c r="E282" s="65"/>
      <c r="F282" s="65"/>
      <c r="G282" s="65"/>
      <c r="H282" s="65">
        <v>13672</v>
      </c>
      <c r="I282" s="65"/>
      <c r="J282" s="65"/>
      <c r="K282" s="65"/>
      <c r="L282" s="65"/>
      <c r="M282" s="65"/>
      <c r="N282" s="65">
        <v>13544</v>
      </c>
      <c r="O282" s="65"/>
      <c r="P282" s="65"/>
      <c r="Q282" s="65"/>
      <c r="R282" s="65"/>
      <c r="S282" s="65"/>
      <c r="T282" s="65">
        <v>13483</v>
      </c>
      <c r="U282" s="65"/>
      <c r="V282" s="65"/>
      <c r="W282" s="65"/>
      <c r="X282" s="65"/>
      <c r="Y282" s="65"/>
      <c r="Z282" s="65">
        <v>13594</v>
      </c>
      <c r="AA282" s="65"/>
      <c r="AB282" s="66">
        <v>13563.967879915883</v>
      </c>
      <c r="AC282" s="34">
        <v>79.967800386390437</v>
      </c>
      <c r="AD282" s="180">
        <v>2842.4751776174785</v>
      </c>
      <c r="AE282" s="65">
        <v>0</v>
      </c>
      <c r="AF282" s="34">
        <v>-357.221</v>
      </c>
      <c r="AG282" s="65">
        <f t="shared" si="122"/>
        <v>16129.189857919753</v>
      </c>
      <c r="AH282" s="65"/>
      <c r="AI282" s="66">
        <v>12745.4961422956</v>
      </c>
      <c r="AJ282" s="34">
        <v>-62.068126681334121</v>
      </c>
      <c r="AK282" s="181">
        <v>3027.1094682626149</v>
      </c>
      <c r="AL282" s="65">
        <v>850</v>
      </c>
      <c r="AM282" s="34">
        <v>-306.52100000000002</v>
      </c>
      <c r="AN282" s="65">
        <f t="shared" si="123"/>
        <v>16254.016483876883</v>
      </c>
      <c r="AO282" s="65"/>
      <c r="AP282" s="41">
        <v>13126.609464165147</v>
      </c>
      <c r="AQ282" s="41">
        <v>-19.118512442750678</v>
      </c>
      <c r="AR282" s="41">
        <v>3434.6386272101504</v>
      </c>
      <c r="AS282" s="65">
        <v>0</v>
      </c>
      <c r="AT282" s="34">
        <v>-287.14600000000002</v>
      </c>
      <c r="AU282" s="65">
        <f t="shared" si="124"/>
        <v>16254.983578932548</v>
      </c>
      <c r="AV282" s="65"/>
      <c r="AW282" s="41">
        <v>2078.1187632936358</v>
      </c>
      <c r="AX282" s="314"/>
      <c r="AY282" s="314"/>
      <c r="AZ282" s="41">
        <v>1059.3977324163243</v>
      </c>
      <c r="BA282" s="65">
        <v>250</v>
      </c>
      <c r="BB282" s="34">
        <v>-303.74200000000002</v>
      </c>
      <c r="BC282" s="65">
        <f t="shared" si="144"/>
        <v>3083.7744957099599</v>
      </c>
      <c r="BD282" s="65"/>
      <c r="BE282" s="41">
        <v>1617.1031227273595</v>
      </c>
      <c r="BF282" s="314"/>
      <c r="BG282" s="314"/>
      <c r="BH282" s="41">
        <v>1037.2601293238909</v>
      </c>
      <c r="BI282" s="65">
        <v>0</v>
      </c>
      <c r="BJ282" s="34">
        <v>-259.10500000000002</v>
      </c>
      <c r="BK282" s="65">
        <f t="shared" si="145"/>
        <v>2395.2582520512501</v>
      </c>
      <c r="BL282" s="65"/>
      <c r="BM282" s="41">
        <v>2555.7178978388038</v>
      </c>
      <c r="BN282" s="41">
        <v>684.77950763176284</v>
      </c>
      <c r="BO282" s="65">
        <v>0</v>
      </c>
      <c r="BP282" s="34">
        <v>-259.10500000000002</v>
      </c>
      <c r="BQ282" s="65">
        <f t="shared" si="125"/>
        <v>2981.3924054705667</v>
      </c>
      <c r="BR282" s="65"/>
      <c r="BS282" s="41">
        <v>2672.423815073219</v>
      </c>
      <c r="BT282" s="314"/>
      <c r="BU282" s="314"/>
      <c r="BV282" s="41">
        <v>733.50267758638847</v>
      </c>
      <c r="BW282" s="65">
        <v>0</v>
      </c>
      <c r="BX282" s="34">
        <v>-259.10500000000002</v>
      </c>
      <c r="BY282" s="65">
        <f t="shared" si="146"/>
        <v>3146.8214926596074</v>
      </c>
      <c r="CA282" s="5">
        <v>2738.3664783868012</v>
      </c>
      <c r="CB282" s="407">
        <v>783.7112263707096</v>
      </c>
      <c r="CC282" s="415">
        <v>0</v>
      </c>
      <c r="CD282" s="34">
        <v>-259.10500000000002</v>
      </c>
      <c r="CE282" s="65">
        <f t="shared" si="126"/>
        <v>3262.9727047575107</v>
      </c>
      <c r="CF282" s="407"/>
      <c r="CG282" s="5">
        <v>3173.557074662403</v>
      </c>
      <c r="CH282" s="407">
        <v>828.19209567431574</v>
      </c>
      <c r="CI282" s="415">
        <v>0</v>
      </c>
      <c r="CJ282" s="34">
        <v>-259.10500000000002</v>
      </c>
      <c r="CK282" s="65">
        <f t="shared" si="127"/>
        <v>3742.6441703367186</v>
      </c>
      <c r="CL282" s="407"/>
      <c r="CM282" s="41">
        <f>AU282/'1. Väestöennuste'!L282*1000</f>
        <v>3557.6676688405664</v>
      </c>
      <c r="CN282" s="41">
        <f>BC282/'1. Väestöennuste'!M282*1000</f>
        <v>675.0819824233713</v>
      </c>
      <c r="CO282" s="41">
        <f>BK282/'1. Väestöennuste'!N282*1000</f>
        <v>539.71569446851061</v>
      </c>
      <c r="CP282" s="41">
        <f>BQ282/'1. Väestöennuste'!O282*1000</f>
        <v>679.13266639420658</v>
      </c>
      <c r="CQ282" s="41">
        <f>BY282/'1. Väestöennuste'!P282*1000</f>
        <v>724.07305399438735</v>
      </c>
      <c r="CR282" s="41">
        <f>CE282/'1. Väestöennuste'!Q282*1000</f>
        <v>757.77350319496293</v>
      </c>
      <c r="CS282" s="41">
        <f>CK282/'1. Väestöennuste'!R282*1000</f>
        <v>877.31930856463168</v>
      </c>
      <c r="CT282" s="41"/>
      <c r="CV282" s="41">
        <f t="shared" si="128"/>
        <v>4001.7491703367186</v>
      </c>
      <c r="CW282" s="41">
        <f t="shared" si="129"/>
        <v>-184.9765014961522</v>
      </c>
      <c r="CX282" s="41">
        <f t="shared" si="130"/>
        <v>-2882.5856864171951</v>
      </c>
      <c r="CY282" s="41">
        <f t="shared" si="131"/>
        <v>-135.3662879548607</v>
      </c>
      <c r="CZ282" s="41">
        <f t="shared" si="132"/>
        <v>139.41697192569598</v>
      </c>
      <c r="DA282" s="41">
        <f t="shared" si="133"/>
        <v>44.94038760018077</v>
      </c>
      <c r="DB282" s="41">
        <f t="shared" si="134"/>
        <v>33.700449200575576</v>
      </c>
      <c r="DC282" s="41">
        <f t="shared" si="135"/>
        <v>119.54580536966876</v>
      </c>
      <c r="DD282" s="41"/>
      <c r="DE282" s="283">
        <f t="shared" si="136"/>
        <v>-15.444507710529393</v>
      </c>
      <c r="DF282" s="283">
        <f t="shared" si="137"/>
        <v>-4.942401496840941E-2</v>
      </c>
      <c r="DG282" s="283">
        <f t="shared" si="138"/>
        <v>-0.81024591241728361</v>
      </c>
      <c r="DH282" s="283">
        <f t="shared" si="139"/>
        <v>-0.20051829478388744</v>
      </c>
      <c r="DI282" s="283">
        <f t="shared" si="140"/>
        <v>0.258315578654773</v>
      </c>
      <c r="DJ282" s="283">
        <f t="shared" si="141"/>
        <v>6.6173208599709529E-2</v>
      </c>
      <c r="DK282" s="283">
        <f t="shared" si="142"/>
        <v>4.6542885437685137E-2</v>
      </c>
      <c r="DL282" s="283">
        <f t="shared" si="143"/>
        <v>0.15775928409430218</v>
      </c>
    </row>
    <row r="283" spans="1:116" x14ac:dyDescent="0.2">
      <c r="A283" s="30">
        <v>889</v>
      </c>
      <c r="B283" s="31" t="s">
        <v>597</v>
      </c>
      <c r="C283" s="65"/>
      <c r="D283" s="65"/>
      <c r="E283" s="65"/>
      <c r="F283" s="65"/>
      <c r="G283" s="65"/>
      <c r="H283" s="65">
        <v>12433</v>
      </c>
      <c r="I283" s="65"/>
      <c r="J283" s="65"/>
      <c r="K283" s="65"/>
      <c r="L283" s="65"/>
      <c r="M283" s="65"/>
      <c r="N283" s="65">
        <v>11940</v>
      </c>
      <c r="O283" s="65"/>
      <c r="P283" s="65"/>
      <c r="Q283" s="65"/>
      <c r="R283" s="65"/>
      <c r="S283" s="65"/>
      <c r="T283" s="65">
        <v>11540</v>
      </c>
      <c r="U283" s="65"/>
      <c r="V283" s="65"/>
      <c r="W283" s="65"/>
      <c r="X283" s="65"/>
      <c r="Y283" s="65"/>
      <c r="Z283" s="65">
        <v>11555</v>
      </c>
      <c r="AA283" s="65"/>
      <c r="AB283" s="66">
        <v>10804.467909259485</v>
      </c>
      <c r="AC283" s="34">
        <v>49.197315443305165</v>
      </c>
      <c r="AD283" s="180">
        <v>1514.7226883059668</v>
      </c>
      <c r="AE283" s="65">
        <v>0</v>
      </c>
      <c r="AF283" s="34">
        <v>423.81099999999998</v>
      </c>
      <c r="AG283" s="65">
        <f t="shared" si="122"/>
        <v>12792.198913008757</v>
      </c>
      <c r="AH283" s="65"/>
      <c r="AI283" s="66">
        <v>10227.634047055377</v>
      </c>
      <c r="AJ283" s="34">
        <v>-38.079303705159269</v>
      </c>
      <c r="AK283" s="181">
        <v>1608.5720925774153</v>
      </c>
      <c r="AL283" s="65">
        <v>0</v>
      </c>
      <c r="AM283" s="34">
        <v>317.97199999999998</v>
      </c>
      <c r="AN283" s="65">
        <f t="shared" si="123"/>
        <v>12116.098835927633</v>
      </c>
      <c r="AO283" s="65"/>
      <c r="AP283" s="41">
        <v>10621.788315177544</v>
      </c>
      <c r="AQ283" s="41">
        <v>-11.536213560572985</v>
      </c>
      <c r="AR283" s="41">
        <v>1809.7504471154521</v>
      </c>
      <c r="AS283" s="65">
        <v>0</v>
      </c>
      <c r="AT283" s="34">
        <v>303.42099999999999</v>
      </c>
      <c r="AU283" s="65">
        <f t="shared" si="124"/>
        <v>12723.423548732422</v>
      </c>
      <c r="AV283" s="65"/>
      <c r="AW283" s="41">
        <v>4566.8556864715765</v>
      </c>
      <c r="AX283" s="314"/>
      <c r="AY283" s="314"/>
      <c r="AZ283" s="41">
        <v>555.20531133360862</v>
      </c>
      <c r="BA283" s="65">
        <v>0</v>
      </c>
      <c r="BB283" s="34">
        <v>343.56599999999997</v>
      </c>
      <c r="BC283" s="65">
        <f t="shared" si="144"/>
        <v>5465.6269978051851</v>
      </c>
      <c r="BD283" s="65"/>
      <c r="BE283" s="41">
        <v>4321.2978295846615</v>
      </c>
      <c r="BF283" s="314"/>
      <c r="BG283" s="314"/>
      <c r="BH283" s="41">
        <v>552.98430280738705</v>
      </c>
      <c r="BI283" s="65">
        <v>0</v>
      </c>
      <c r="BJ283" s="34">
        <v>256.48899999999998</v>
      </c>
      <c r="BK283" s="65">
        <f t="shared" si="145"/>
        <v>5130.7711323920485</v>
      </c>
      <c r="BL283" s="65"/>
      <c r="BM283" s="41">
        <v>4797.4917907874751</v>
      </c>
      <c r="BN283" s="41">
        <v>407.46964711529063</v>
      </c>
      <c r="BO283" s="65">
        <v>0</v>
      </c>
      <c r="BP283" s="34">
        <v>256.48899999999998</v>
      </c>
      <c r="BQ283" s="65">
        <f t="shared" si="125"/>
        <v>5461.4504379027658</v>
      </c>
      <c r="BR283" s="65"/>
      <c r="BS283" s="41">
        <v>4802.6246727400503</v>
      </c>
      <c r="BT283" s="314"/>
      <c r="BU283" s="314"/>
      <c r="BV283" s="41">
        <v>431.03347846133693</v>
      </c>
      <c r="BW283" s="65">
        <v>0</v>
      </c>
      <c r="BX283" s="34">
        <v>256.48899999999998</v>
      </c>
      <c r="BY283" s="65">
        <f t="shared" si="146"/>
        <v>5490.1471512013868</v>
      </c>
      <c r="CA283" s="5">
        <v>4860.6577961049225</v>
      </c>
      <c r="CB283" s="407">
        <v>455.07392743628475</v>
      </c>
      <c r="CC283" s="415">
        <v>0</v>
      </c>
      <c r="CD283" s="34">
        <v>256.48899999999998</v>
      </c>
      <c r="CE283" s="65">
        <f t="shared" si="126"/>
        <v>5572.220723541207</v>
      </c>
      <c r="CF283" s="407"/>
      <c r="CG283" s="5">
        <v>5213.7758230332456</v>
      </c>
      <c r="CH283" s="407">
        <v>476.01946621567112</v>
      </c>
      <c r="CI283" s="415">
        <v>0</v>
      </c>
      <c r="CJ283" s="34">
        <v>256.48899999999998</v>
      </c>
      <c r="CK283" s="65">
        <f t="shared" si="127"/>
        <v>5946.2842892489161</v>
      </c>
      <c r="CL283" s="407"/>
      <c r="CM283" s="41">
        <f>AU283/'1. Väestöennuste'!L283*1000</f>
        <v>5042.9740581579163</v>
      </c>
      <c r="CN283" s="41">
        <f>BC283/'1. Väestöennuste'!M283*1000</f>
        <v>2194.1497381795202</v>
      </c>
      <c r="CO283" s="41">
        <f>BK283/'1. Väestöennuste'!N283*1000</f>
        <v>2108.8249619367234</v>
      </c>
      <c r="CP283" s="41">
        <f>BQ283/'1. Väestöennuste'!O283*1000</f>
        <v>2278.4524146444578</v>
      </c>
      <c r="CQ283" s="41">
        <f>BY283/'1. Väestöennuste'!P283*1000</f>
        <v>2323.3800893784965</v>
      </c>
      <c r="CR283" s="41">
        <f>CE283/'1. Väestöennuste'!Q283*1000</f>
        <v>2389.4600015185279</v>
      </c>
      <c r="CS283" s="41">
        <f>CK283/'1. Väestöennuste'!R283*1000</f>
        <v>2580.8525560976195</v>
      </c>
      <c r="CT283" s="41"/>
      <c r="CV283" s="41">
        <f t="shared" si="128"/>
        <v>5689.7952892489166</v>
      </c>
      <c r="CW283" s="41">
        <f t="shared" si="129"/>
        <v>-903.31023109099988</v>
      </c>
      <c r="CX283" s="41">
        <f t="shared" si="130"/>
        <v>-2848.824319978396</v>
      </c>
      <c r="CY283" s="41">
        <f t="shared" si="131"/>
        <v>-85.324776242796815</v>
      </c>
      <c r="CZ283" s="41">
        <f t="shared" si="132"/>
        <v>169.62745270773439</v>
      </c>
      <c r="DA283" s="41">
        <f t="shared" si="133"/>
        <v>44.927674734038646</v>
      </c>
      <c r="DB283" s="41">
        <f t="shared" si="134"/>
        <v>66.079912140031411</v>
      </c>
      <c r="DC283" s="41">
        <f t="shared" si="135"/>
        <v>191.39255457909167</v>
      </c>
      <c r="DD283" s="41"/>
      <c r="DE283" s="283">
        <f t="shared" si="136"/>
        <v>22.183389109275318</v>
      </c>
      <c r="DF283" s="283">
        <f t="shared" si="137"/>
        <v>-0.1519117127857838</v>
      </c>
      <c r="DG283" s="283">
        <f t="shared" si="138"/>
        <v>-0.56490957263004582</v>
      </c>
      <c r="DH283" s="283">
        <f t="shared" si="139"/>
        <v>-3.8887398958281916E-2</v>
      </c>
      <c r="DI283" s="283">
        <f t="shared" si="140"/>
        <v>8.0436952221937974E-2</v>
      </c>
      <c r="DJ283" s="283">
        <f t="shared" si="141"/>
        <v>1.9718504738247697E-2</v>
      </c>
      <c r="DK283" s="283">
        <f t="shared" si="142"/>
        <v>2.8441283646236191E-2</v>
      </c>
      <c r="DL283" s="283">
        <f t="shared" si="143"/>
        <v>8.0098664324767782E-2</v>
      </c>
    </row>
    <row r="284" spans="1:116" x14ac:dyDescent="0.2">
      <c r="A284" s="30">
        <v>890</v>
      </c>
      <c r="B284" s="31" t="s">
        <v>598</v>
      </c>
      <c r="C284" s="65"/>
      <c r="D284" s="65"/>
      <c r="E284" s="65"/>
      <c r="F284" s="65"/>
      <c r="G284" s="65"/>
      <c r="H284" s="65">
        <v>7162</v>
      </c>
      <c r="I284" s="65"/>
      <c r="J284" s="65"/>
      <c r="K284" s="65"/>
      <c r="L284" s="65"/>
      <c r="M284" s="65"/>
      <c r="N284" s="65">
        <v>6856</v>
      </c>
      <c r="O284" s="65"/>
      <c r="P284" s="65"/>
      <c r="Q284" s="65"/>
      <c r="R284" s="65"/>
      <c r="S284" s="65"/>
      <c r="T284" s="65">
        <v>6896</v>
      </c>
      <c r="U284" s="65"/>
      <c r="V284" s="65"/>
      <c r="W284" s="65"/>
      <c r="X284" s="65"/>
      <c r="Y284" s="65"/>
      <c r="Z284" s="65">
        <v>7269</v>
      </c>
      <c r="AA284" s="65"/>
      <c r="AB284" s="66">
        <v>6880.9797748303909</v>
      </c>
      <c r="AC284" s="34">
        <v>23.695571450562667</v>
      </c>
      <c r="AD284" s="180">
        <v>660.10450584996204</v>
      </c>
      <c r="AE284" s="65">
        <v>0</v>
      </c>
      <c r="AF284" s="34">
        <v>142.80099999999999</v>
      </c>
      <c r="AG284" s="65">
        <f t="shared" si="122"/>
        <v>7707.5808521309164</v>
      </c>
      <c r="AH284" s="65"/>
      <c r="AI284" s="66">
        <v>6647.2943315318998</v>
      </c>
      <c r="AJ284" s="34">
        <v>-18.512258313816368</v>
      </c>
      <c r="AK284" s="181">
        <v>700.55372383136626</v>
      </c>
      <c r="AL284" s="65">
        <v>0</v>
      </c>
      <c r="AM284" s="34">
        <v>-37.567</v>
      </c>
      <c r="AN284" s="65">
        <f t="shared" si="123"/>
        <v>7291.7687970494499</v>
      </c>
      <c r="AO284" s="65"/>
      <c r="AP284" s="41">
        <v>6919.6763164386748</v>
      </c>
      <c r="AQ284" s="41">
        <v>-5.7108888914968734</v>
      </c>
      <c r="AR284" s="41">
        <v>774.25434802629491</v>
      </c>
      <c r="AS284" s="65">
        <v>265</v>
      </c>
      <c r="AT284" s="34">
        <v>409.50400000000002</v>
      </c>
      <c r="AU284" s="65">
        <f t="shared" si="124"/>
        <v>8362.7237755734732</v>
      </c>
      <c r="AV284" s="65"/>
      <c r="AW284" s="41">
        <v>3058.9526371195184</v>
      </c>
      <c r="AX284" s="314"/>
      <c r="AY284" s="314"/>
      <c r="AZ284" s="41">
        <v>234.55163909570268</v>
      </c>
      <c r="BA284" s="65">
        <v>0</v>
      </c>
      <c r="BB284" s="34">
        <v>421.21800000000002</v>
      </c>
      <c r="BC284" s="65">
        <f t="shared" si="144"/>
        <v>3714.722276215221</v>
      </c>
      <c r="BD284" s="65"/>
      <c r="BE284" s="41">
        <v>2682.6851418194015</v>
      </c>
      <c r="BF284" s="314"/>
      <c r="BG284" s="314"/>
      <c r="BH284" s="41">
        <v>237.72301733606966</v>
      </c>
      <c r="BI284" s="65">
        <v>0</v>
      </c>
      <c r="BJ284" s="34">
        <v>433.94499999999999</v>
      </c>
      <c r="BK284" s="65">
        <f t="shared" si="145"/>
        <v>3354.3531591554711</v>
      </c>
      <c r="BL284" s="65"/>
      <c r="BM284" s="41">
        <v>2642.2930234768787</v>
      </c>
      <c r="BN284" s="41">
        <v>165.45112295370177</v>
      </c>
      <c r="BO284" s="65">
        <v>0</v>
      </c>
      <c r="BP284" s="34">
        <v>433.94499999999999</v>
      </c>
      <c r="BQ284" s="65">
        <f t="shared" si="125"/>
        <v>3241.6891464305804</v>
      </c>
      <c r="BR284" s="65"/>
      <c r="BS284" s="41">
        <v>2604.7793105174283</v>
      </c>
      <c r="BT284" s="314"/>
      <c r="BU284" s="314"/>
      <c r="BV284" s="41">
        <v>176.42513835147324</v>
      </c>
      <c r="BW284" s="65">
        <v>0</v>
      </c>
      <c r="BX284" s="34">
        <v>433.94499999999999</v>
      </c>
      <c r="BY284" s="65">
        <f t="shared" si="146"/>
        <v>3215.1494488689018</v>
      </c>
      <c r="CA284" s="5">
        <v>2686.809251851354</v>
      </c>
      <c r="CB284" s="407">
        <v>187.47351473132147</v>
      </c>
      <c r="CC284" s="415">
        <v>0</v>
      </c>
      <c r="CD284" s="34">
        <v>433.94499999999999</v>
      </c>
      <c r="CE284" s="65">
        <f t="shared" si="126"/>
        <v>3308.2277665826755</v>
      </c>
      <c r="CF284" s="407"/>
      <c r="CG284" s="5">
        <v>2786.1834368432769</v>
      </c>
      <c r="CH284" s="407">
        <v>197.03076768645636</v>
      </c>
      <c r="CI284" s="415">
        <v>0</v>
      </c>
      <c r="CJ284" s="34">
        <v>433.94499999999999</v>
      </c>
      <c r="CK284" s="65">
        <f t="shared" si="127"/>
        <v>3417.1592045297334</v>
      </c>
      <c r="CL284" s="407"/>
      <c r="CM284" s="41">
        <f>AU284/'1. Väestöennuste'!L284*1000</f>
        <v>7087.0540470961632</v>
      </c>
      <c r="CN284" s="41">
        <f>BC284/'1. Väestöennuste'!M284*1000</f>
        <v>3261.3891801713967</v>
      </c>
      <c r="CO284" s="41">
        <f>BK284/'1. Väestöennuste'!N284*1000</f>
        <v>2799.960900797555</v>
      </c>
      <c r="CP284" s="41">
        <f>BQ284/'1. Väestöennuste'!O284*1000</f>
        <v>2712.7105827870969</v>
      </c>
      <c r="CQ284" s="41">
        <f>BY284/'1. Väestöennuste'!P284*1000</f>
        <v>2695.012111373765</v>
      </c>
      <c r="CR284" s="41">
        <f>CE284/'1. Väestöennuste'!Q284*1000</f>
        <v>2775.3588645827817</v>
      </c>
      <c r="CS284" s="41">
        <f>CK284/'1. Väestöennuste'!R284*1000</f>
        <v>2866.7442991021253</v>
      </c>
      <c r="CT284" s="41"/>
      <c r="CV284" s="41">
        <f t="shared" si="128"/>
        <v>2983.2142045297333</v>
      </c>
      <c r="CW284" s="41">
        <f t="shared" si="129"/>
        <v>3669.8948425664298</v>
      </c>
      <c r="CX284" s="41">
        <f t="shared" si="130"/>
        <v>-3825.6648669247666</v>
      </c>
      <c r="CY284" s="41">
        <f t="shared" si="131"/>
        <v>-461.42827937384163</v>
      </c>
      <c r="CZ284" s="41">
        <f t="shared" si="132"/>
        <v>-87.250318010458159</v>
      </c>
      <c r="DA284" s="41">
        <f t="shared" si="133"/>
        <v>-17.698471413331845</v>
      </c>
      <c r="DB284" s="41">
        <f t="shared" si="134"/>
        <v>80.346753209016697</v>
      </c>
      <c r="DC284" s="41">
        <f t="shared" si="135"/>
        <v>91.385434519343562</v>
      </c>
      <c r="DD284" s="41"/>
      <c r="DE284" s="283">
        <f t="shared" si="136"/>
        <v>6.8746366579399076</v>
      </c>
      <c r="DF284" s="283">
        <f t="shared" si="137"/>
        <v>1.0739607442643218</v>
      </c>
      <c r="DG284" s="283">
        <f t="shared" si="138"/>
        <v>-0.53981031349581532</v>
      </c>
      <c r="DH284" s="283">
        <f t="shared" si="139"/>
        <v>-0.14148212736438651</v>
      </c>
      <c r="DI284" s="283">
        <f t="shared" si="140"/>
        <v>-3.1161262996781611E-2</v>
      </c>
      <c r="DJ284" s="283">
        <f t="shared" si="141"/>
        <v>-6.5242755809018357E-3</v>
      </c>
      <c r="DK284" s="283">
        <f t="shared" si="142"/>
        <v>2.9813132516150535E-2</v>
      </c>
      <c r="DL284" s="283">
        <f t="shared" si="143"/>
        <v>3.2927429921060493E-2</v>
      </c>
    </row>
    <row r="285" spans="1:116" x14ac:dyDescent="0.2">
      <c r="A285" s="30">
        <v>892</v>
      </c>
      <c r="B285" s="31" t="s">
        <v>599</v>
      </c>
      <c r="C285" s="65"/>
      <c r="D285" s="65"/>
      <c r="E285" s="65"/>
      <c r="F285" s="65"/>
      <c r="G285" s="65"/>
      <c r="H285" s="65">
        <v>9585</v>
      </c>
      <c r="I285" s="65"/>
      <c r="J285" s="65"/>
      <c r="K285" s="65"/>
      <c r="L285" s="65"/>
      <c r="M285" s="65"/>
      <c r="N285" s="65">
        <v>9118</v>
      </c>
      <c r="O285" s="65"/>
      <c r="P285" s="65"/>
      <c r="Q285" s="65"/>
      <c r="R285" s="65"/>
      <c r="S285" s="65"/>
      <c r="T285" s="65">
        <v>9070</v>
      </c>
      <c r="U285" s="65"/>
      <c r="V285" s="65"/>
      <c r="W285" s="65"/>
      <c r="X285" s="65"/>
      <c r="Y285" s="65"/>
      <c r="Z285" s="65">
        <v>9294</v>
      </c>
      <c r="AA285" s="65"/>
      <c r="AB285" s="66">
        <v>10103.286900626779</v>
      </c>
      <c r="AC285" s="34">
        <v>58.690375510072492</v>
      </c>
      <c r="AD285" s="180">
        <v>1601.5475907082073</v>
      </c>
      <c r="AE285" s="65">
        <v>0</v>
      </c>
      <c r="AF285" s="34">
        <v>-568.14200000000005</v>
      </c>
      <c r="AG285" s="65">
        <f t="shared" si="122"/>
        <v>11195.382866845059</v>
      </c>
      <c r="AH285" s="65"/>
      <c r="AI285" s="66">
        <v>9695.9232697462248</v>
      </c>
      <c r="AJ285" s="34">
        <v>-45.581553380247954</v>
      </c>
      <c r="AK285" s="181">
        <v>1722.6855080443079</v>
      </c>
      <c r="AL285" s="65">
        <v>0</v>
      </c>
      <c r="AM285" s="34">
        <v>-720.73800000000006</v>
      </c>
      <c r="AN285" s="65">
        <f t="shared" si="123"/>
        <v>10652.289224410284</v>
      </c>
      <c r="AO285" s="65"/>
      <c r="AP285" s="41">
        <v>9456.2320882212425</v>
      </c>
      <c r="AQ285" s="41">
        <v>-14.098435944132369</v>
      </c>
      <c r="AR285" s="41">
        <v>2011.8722560610051</v>
      </c>
      <c r="AS285" s="65">
        <v>0</v>
      </c>
      <c r="AT285" s="34">
        <v>-623.48800000000006</v>
      </c>
      <c r="AU285" s="65">
        <f t="shared" si="124"/>
        <v>10830.517908338117</v>
      </c>
      <c r="AV285" s="65"/>
      <c r="AW285" s="41">
        <v>6445.8707153036048</v>
      </c>
      <c r="AX285" s="314"/>
      <c r="AY285" s="314"/>
      <c r="AZ285" s="41">
        <v>596.78825306780595</v>
      </c>
      <c r="BA285" s="65">
        <v>0</v>
      </c>
      <c r="BB285" s="34">
        <v>-596.101</v>
      </c>
      <c r="BC285" s="65">
        <f t="shared" si="144"/>
        <v>6446.5579683714113</v>
      </c>
      <c r="BD285" s="65"/>
      <c r="BE285" s="41">
        <v>6467.3486596514304</v>
      </c>
      <c r="BF285" s="314"/>
      <c r="BG285" s="314"/>
      <c r="BH285" s="41">
        <v>579.32210097779011</v>
      </c>
      <c r="BI285" s="65">
        <v>0</v>
      </c>
      <c r="BJ285" s="34">
        <v>-536.16300000000001</v>
      </c>
      <c r="BK285" s="65">
        <f t="shared" si="145"/>
        <v>6510.5077606292198</v>
      </c>
      <c r="BL285" s="65"/>
      <c r="BM285" s="41">
        <v>7188.4623864545601</v>
      </c>
      <c r="BN285" s="41">
        <v>336.92386705676046</v>
      </c>
      <c r="BO285" s="65">
        <v>0</v>
      </c>
      <c r="BP285" s="34">
        <v>-536.16300000000001</v>
      </c>
      <c r="BQ285" s="65">
        <f t="shared" si="125"/>
        <v>6989.2232535113199</v>
      </c>
      <c r="BR285" s="65"/>
      <c r="BS285" s="41">
        <v>7290.9435703538156</v>
      </c>
      <c r="BT285" s="314"/>
      <c r="BU285" s="314"/>
      <c r="BV285" s="41">
        <v>365.0411749824346</v>
      </c>
      <c r="BW285" s="65">
        <v>0</v>
      </c>
      <c r="BX285" s="34">
        <v>-536.16300000000001</v>
      </c>
      <c r="BY285" s="65">
        <f t="shared" si="146"/>
        <v>7119.8217453362504</v>
      </c>
      <c r="CA285" s="5">
        <v>7176.9397607823503</v>
      </c>
      <c r="CB285" s="407">
        <v>395.8064782226183</v>
      </c>
      <c r="CC285" s="415">
        <v>0</v>
      </c>
      <c r="CD285" s="34">
        <v>-536.16300000000001</v>
      </c>
      <c r="CE285" s="65">
        <f t="shared" si="126"/>
        <v>7036.5832390049691</v>
      </c>
      <c r="CF285" s="407"/>
      <c r="CG285" s="5">
        <v>7438.9965325728026</v>
      </c>
      <c r="CH285" s="407">
        <v>421.99818491515219</v>
      </c>
      <c r="CI285" s="415">
        <v>0</v>
      </c>
      <c r="CJ285" s="34">
        <v>-536.16300000000001</v>
      </c>
      <c r="CK285" s="65">
        <f t="shared" si="127"/>
        <v>7324.8317174879539</v>
      </c>
      <c r="CL285" s="407"/>
      <c r="CM285" s="41">
        <f>AU285/'1. Väestöennuste'!L285*1000</f>
        <v>3015.1775914081618</v>
      </c>
      <c r="CN285" s="41">
        <f>BC285/'1. Väestöennuste'!M285*1000</f>
        <v>1783.2802125508745</v>
      </c>
      <c r="CO285" s="41">
        <f>BK285/'1. Väestöennuste'!N285*1000</f>
        <v>1777.8557511275858</v>
      </c>
      <c r="CP285" s="41">
        <f>BQ285/'1. Väestöennuste'!O285*1000</f>
        <v>1912.236184271223</v>
      </c>
      <c r="CQ285" s="41">
        <f>BY285/'1. Väestöennuste'!P285*1000</f>
        <v>1955.4577713090498</v>
      </c>
      <c r="CR285" s="41">
        <f>CE285/'1. Väestöennuste'!Q285*1000</f>
        <v>1941.1264107599916</v>
      </c>
      <c r="CS285" s="41">
        <f>CK285/'1. Väestöennuste'!R285*1000</f>
        <v>2032.4172357069795</v>
      </c>
      <c r="CT285" s="41"/>
      <c r="CV285" s="41">
        <f t="shared" si="128"/>
        <v>7860.9947174879544</v>
      </c>
      <c r="CW285" s="41">
        <f t="shared" si="129"/>
        <v>-4309.6541260797921</v>
      </c>
      <c r="CX285" s="41">
        <f t="shared" si="130"/>
        <v>-1231.8973788572873</v>
      </c>
      <c r="CY285" s="41">
        <f t="shared" si="131"/>
        <v>-5.4244614232886761</v>
      </c>
      <c r="CZ285" s="41">
        <f t="shared" si="132"/>
        <v>134.38043314363722</v>
      </c>
      <c r="DA285" s="41">
        <f t="shared" si="133"/>
        <v>43.221587037826794</v>
      </c>
      <c r="DB285" s="41">
        <f t="shared" si="134"/>
        <v>-14.331360549058218</v>
      </c>
      <c r="DC285" s="41">
        <f t="shared" si="135"/>
        <v>91.290824946987868</v>
      </c>
      <c r="DD285" s="41"/>
      <c r="DE285" s="283">
        <f t="shared" si="136"/>
        <v>-14.661576269694018</v>
      </c>
      <c r="DF285" s="283">
        <f t="shared" si="137"/>
        <v>-0.5883622030237966</v>
      </c>
      <c r="DG285" s="283">
        <f t="shared" si="138"/>
        <v>-0.40856544648236159</v>
      </c>
      <c r="DH285" s="283">
        <f t="shared" si="139"/>
        <v>-3.0418446776400397E-3</v>
      </c>
      <c r="DI285" s="283">
        <f t="shared" si="140"/>
        <v>7.5585678454738459E-2</v>
      </c>
      <c r="DJ285" s="283">
        <f t="shared" si="141"/>
        <v>2.2602640507139591E-2</v>
      </c>
      <c r="DK285" s="283">
        <f t="shared" si="142"/>
        <v>-7.3289031138035355E-3</v>
      </c>
      <c r="DL285" s="283">
        <f t="shared" si="143"/>
        <v>4.7029819614501873E-2</v>
      </c>
    </row>
    <row r="286" spans="1:116" x14ac:dyDescent="0.2">
      <c r="A286" s="30">
        <v>893</v>
      </c>
      <c r="B286" s="31" t="s">
        <v>600</v>
      </c>
      <c r="C286" s="65"/>
      <c r="D286" s="65"/>
      <c r="E286" s="65"/>
      <c r="F286" s="65"/>
      <c r="G286" s="65"/>
      <c r="H286" s="65">
        <v>16556</v>
      </c>
      <c r="I286" s="65"/>
      <c r="J286" s="65"/>
      <c r="K286" s="65"/>
      <c r="L286" s="65"/>
      <c r="M286" s="65"/>
      <c r="N286" s="65">
        <v>16008</v>
      </c>
      <c r="O286" s="65"/>
      <c r="P286" s="65"/>
      <c r="Q286" s="65"/>
      <c r="R286" s="65"/>
      <c r="S286" s="65"/>
      <c r="T286" s="65">
        <v>17303</v>
      </c>
      <c r="U286" s="65"/>
      <c r="V286" s="65"/>
      <c r="W286" s="65"/>
      <c r="X286" s="65"/>
      <c r="Y286" s="65"/>
      <c r="Z286" s="65">
        <v>18881</v>
      </c>
      <c r="AA286" s="65"/>
      <c r="AB286" s="66">
        <v>18276.511326499083</v>
      </c>
      <c r="AC286" s="34">
        <v>130.93249083745528</v>
      </c>
      <c r="AD286" s="180">
        <v>4115.4495567078193</v>
      </c>
      <c r="AE286" s="65">
        <v>0</v>
      </c>
      <c r="AF286" s="34">
        <v>-357.19400000000002</v>
      </c>
      <c r="AG286" s="65">
        <f t="shared" si="122"/>
        <v>22165.699374044358</v>
      </c>
      <c r="AH286" s="65"/>
      <c r="AI286" s="66">
        <v>18414.880002528887</v>
      </c>
      <c r="AJ286" s="34">
        <v>-100.9191905126788</v>
      </c>
      <c r="AK286" s="181">
        <v>4405.6851692265564</v>
      </c>
      <c r="AL286" s="65">
        <v>0</v>
      </c>
      <c r="AM286" s="34">
        <v>-613.44399999999996</v>
      </c>
      <c r="AN286" s="65">
        <f t="shared" si="123"/>
        <v>22106.201981242764</v>
      </c>
      <c r="AO286" s="65"/>
      <c r="AP286" s="41">
        <v>19946.74941623626</v>
      </c>
      <c r="AQ286" s="41">
        <v>-30.949164183900084</v>
      </c>
      <c r="AR286" s="41">
        <v>4934.2306697417553</v>
      </c>
      <c r="AS286" s="65">
        <v>0</v>
      </c>
      <c r="AT286" s="34">
        <v>-368.95800000000003</v>
      </c>
      <c r="AU286" s="65">
        <f t="shared" si="124"/>
        <v>24481.072921794115</v>
      </c>
      <c r="AV286" s="65"/>
      <c r="AW286" s="41">
        <v>7901.6098644004433</v>
      </c>
      <c r="AX286" s="314"/>
      <c r="AY286" s="314"/>
      <c r="AZ286" s="41">
        <v>1521.0403856361365</v>
      </c>
      <c r="BA286" s="65">
        <v>0</v>
      </c>
      <c r="BB286" s="34">
        <v>-300.25599999999997</v>
      </c>
      <c r="BC286" s="65">
        <f t="shared" si="144"/>
        <v>9122.3942500365811</v>
      </c>
      <c r="BD286" s="65"/>
      <c r="BE286" s="41">
        <v>7913.4412330904543</v>
      </c>
      <c r="BF286" s="314"/>
      <c r="BG286" s="314"/>
      <c r="BH286" s="41">
        <v>1516.5105745014291</v>
      </c>
      <c r="BI286" s="65">
        <v>0</v>
      </c>
      <c r="BJ286" s="34">
        <v>23.183</v>
      </c>
      <c r="BK286" s="65">
        <f t="shared" si="145"/>
        <v>9453.134807591885</v>
      </c>
      <c r="BL286" s="65"/>
      <c r="BM286" s="41">
        <v>8980.7837191197868</v>
      </c>
      <c r="BN286" s="41">
        <v>990.35687685452774</v>
      </c>
      <c r="BO286" s="65">
        <v>0</v>
      </c>
      <c r="BP286" s="34">
        <v>23.183</v>
      </c>
      <c r="BQ286" s="65">
        <f t="shared" si="125"/>
        <v>9994.323595974316</v>
      </c>
      <c r="BR286" s="65"/>
      <c r="BS286" s="41">
        <v>8767.1655779348876</v>
      </c>
      <c r="BT286" s="314"/>
      <c r="BU286" s="314"/>
      <c r="BV286" s="41">
        <v>1061.900723274242</v>
      </c>
      <c r="BW286" s="65">
        <v>0</v>
      </c>
      <c r="BX286" s="34">
        <v>23.183</v>
      </c>
      <c r="BY286" s="65">
        <f t="shared" si="146"/>
        <v>9852.2493012091309</v>
      </c>
      <c r="CA286" s="5">
        <v>9076.5425101771689</v>
      </c>
      <c r="CB286" s="407">
        <v>1134.1246117091446</v>
      </c>
      <c r="CC286" s="415">
        <v>0</v>
      </c>
      <c r="CD286" s="34">
        <v>23.183</v>
      </c>
      <c r="CE286" s="65">
        <f t="shared" si="126"/>
        <v>10233.850121886315</v>
      </c>
      <c r="CF286" s="407"/>
      <c r="CG286" s="5">
        <v>9523.7985376673751</v>
      </c>
      <c r="CH286" s="407">
        <v>1196.8453763038897</v>
      </c>
      <c r="CI286" s="415">
        <v>0</v>
      </c>
      <c r="CJ286" s="34">
        <v>23.183</v>
      </c>
      <c r="CK286" s="65">
        <f t="shared" si="127"/>
        <v>10743.826913971265</v>
      </c>
      <c r="CL286" s="407"/>
      <c r="CM286" s="41">
        <f>AU286/'1. Väestöennuste'!L286*1000</f>
        <v>3293.1225345431953</v>
      </c>
      <c r="CN286" s="41">
        <f>BC286/'1. Väestöennuste'!M286*1000</f>
        <v>1216.319233338211</v>
      </c>
      <c r="CO286" s="41">
        <f>BK286/'1. Väestöennuste'!N286*1000</f>
        <v>1271.6081258530919</v>
      </c>
      <c r="CP286" s="41">
        <f>BQ286/'1. Väestöennuste'!O286*1000</f>
        <v>1347.3070363944885</v>
      </c>
      <c r="CQ286" s="41">
        <f>BY286/'1. Väestöennuste'!P286*1000</f>
        <v>1332.2852334292265</v>
      </c>
      <c r="CR286" s="41">
        <f>CE286/'1. Väestöennuste'!Q286*1000</f>
        <v>1388.5821060904091</v>
      </c>
      <c r="CS286" s="41">
        <f>CK286/'1. Väestöennuste'!R286*1000</f>
        <v>1464.1355838063864</v>
      </c>
      <c r="CT286" s="41"/>
      <c r="CV286" s="41">
        <f t="shared" si="128"/>
        <v>10720.643913971264</v>
      </c>
      <c r="CW286" s="41">
        <f t="shared" si="129"/>
        <v>-7450.7043794280689</v>
      </c>
      <c r="CX286" s="41">
        <f t="shared" si="130"/>
        <v>-2076.8033012049846</v>
      </c>
      <c r="CY286" s="41">
        <f t="shared" si="131"/>
        <v>55.288892514880899</v>
      </c>
      <c r="CZ286" s="41">
        <f t="shared" si="132"/>
        <v>75.698910541396572</v>
      </c>
      <c r="DA286" s="41">
        <f t="shared" si="133"/>
        <v>-15.021802965261941</v>
      </c>
      <c r="DB286" s="41">
        <f t="shared" si="134"/>
        <v>56.296872661182533</v>
      </c>
      <c r="DC286" s="41">
        <f t="shared" si="135"/>
        <v>75.553477715977351</v>
      </c>
      <c r="DD286" s="41"/>
      <c r="DE286" s="283">
        <f t="shared" si="136"/>
        <v>462.43557408321891</v>
      </c>
      <c r="DF286" s="283">
        <f t="shared" si="137"/>
        <v>-0.69348700784998485</v>
      </c>
      <c r="DG286" s="283">
        <f t="shared" si="138"/>
        <v>-0.6306486562283562</v>
      </c>
      <c r="DH286" s="283">
        <f t="shared" si="139"/>
        <v>4.5455905817701737E-2</v>
      </c>
      <c r="DI286" s="283">
        <f t="shared" si="140"/>
        <v>5.953006197613904E-2</v>
      </c>
      <c r="DJ286" s="283">
        <f t="shared" si="141"/>
        <v>-1.1149502347632356E-2</v>
      </c>
      <c r="DK286" s="283">
        <f t="shared" si="142"/>
        <v>4.2255870776468474E-2</v>
      </c>
      <c r="DL286" s="283">
        <f t="shared" si="143"/>
        <v>5.4410522348368892E-2</v>
      </c>
    </row>
    <row r="287" spans="1:116" x14ac:dyDescent="0.2">
      <c r="A287" s="30">
        <v>895</v>
      </c>
      <c r="B287" s="31" t="s">
        <v>601</v>
      </c>
      <c r="C287" s="65"/>
      <c r="D287" s="65"/>
      <c r="E287" s="65"/>
      <c r="F287" s="65"/>
      <c r="G287" s="65"/>
      <c r="H287" s="65">
        <v>24321</v>
      </c>
      <c r="I287" s="65"/>
      <c r="J287" s="65"/>
      <c r="K287" s="65"/>
      <c r="L287" s="65"/>
      <c r="M287" s="65"/>
      <c r="N287" s="65">
        <v>24751</v>
      </c>
      <c r="O287" s="65"/>
      <c r="P287" s="65"/>
      <c r="Q287" s="65"/>
      <c r="R287" s="65"/>
      <c r="S287" s="65"/>
      <c r="T287" s="65">
        <v>24707</v>
      </c>
      <c r="U287" s="65"/>
      <c r="V287" s="65"/>
      <c r="W287" s="65"/>
      <c r="X287" s="65"/>
      <c r="Y287" s="65"/>
      <c r="Z287" s="65">
        <v>23794</v>
      </c>
      <c r="AA287" s="65"/>
      <c r="AB287" s="66">
        <v>26165.028251099371</v>
      </c>
      <c r="AC287" s="34">
        <v>315.53774387815236</v>
      </c>
      <c r="AD287" s="180">
        <v>6921.6371374854134</v>
      </c>
      <c r="AE287" s="65">
        <v>0</v>
      </c>
      <c r="AF287" s="34">
        <v>-1451.1690000000001</v>
      </c>
      <c r="AG287" s="65">
        <f t="shared" si="122"/>
        <v>31951.034132462933</v>
      </c>
      <c r="AH287" s="65"/>
      <c r="AI287" s="66">
        <v>24775.701217248999</v>
      </c>
      <c r="AJ287" s="34">
        <v>-244.89181819748509</v>
      </c>
      <c r="AK287" s="181">
        <v>7468.5114924201889</v>
      </c>
      <c r="AL287" s="65">
        <v>0</v>
      </c>
      <c r="AM287" s="34">
        <v>-1733.6279999999999</v>
      </c>
      <c r="AN287" s="65">
        <f t="shared" si="123"/>
        <v>30265.692891471703</v>
      </c>
      <c r="AO287" s="65"/>
      <c r="AP287" s="41">
        <v>27231.424071499132</v>
      </c>
      <c r="AQ287" s="41">
        <v>-75.541398935136598</v>
      </c>
      <c r="AR287" s="41">
        <v>8462.9707317899847</v>
      </c>
      <c r="AS287" s="65">
        <v>0</v>
      </c>
      <c r="AT287" s="34">
        <v>-1740.885</v>
      </c>
      <c r="AU287" s="65">
        <f t="shared" si="124"/>
        <v>33877.968404353982</v>
      </c>
      <c r="AV287" s="65"/>
      <c r="AW287" s="41">
        <v>6233.8116994410584</v>
      </c>
      <c r="AX287" s="314"/>
      <c r="AY287" s="314"/>
      <c r="AZ287" s="41">
        <v>2613.0837152337567</v>
      </c>
      <c r="BA287" s="65">
        <v>0</v>
      </c>
      <c r="BB287" s="34">
        <v>-1630.8710000000001</v>
      </c>
      <c r="BC287" s="65">
        <f t="shared" si="144"/>
        <v>7216.0244146748146</v>
      </c>
      <c r="BD287" s="65"/>
      <c r="BE287" s="41">
        <v>4602.2993970597017</v>
      </c>
      <c r="BF287" s="314"/>
      <c r="BG287" s="314"/>
      <c r="BH287" s="41">
        <v>2603.4164578149375</v>
      </c>
      <c r="BI287" s="65">
        <v>0</v>
      </c>
      <c r="BJ287" s="34">
        <v>-1120.8440000000001</v>
      </c>
      <c r="BK287" s="65">
        <f t="shared" si="145"/>
        <v>6084.8718548746392</v>
      </c>
      <c r="BL287" s="65"/>
      <c r="BM287" s="41">
        <v>6453.0180364400521</v>
      </c>
      <c r="BN287" s="41">
        <v>1482.8836357712576</v>
      </c>
      <c r="BO287" s="65">
        <v>0</v>
      </c>
      <c r="BP287" s="34">
        <v>-1120.8440000000001</v>
      </c>
      <c r="BQ287" s="65">
        <f t="shared" si="125"/>
        <v>6815.0576722113101</v>
      </c>
      <c r="BR287" s="65"/>
      <c r="BS287" s="41">
        <v>4274.0106173578024</v>
      </c>
      <c r="BT287" s="314"/>
      <c r="BU287" s="314"/>
      <c r="BV287" s="41">
        <v>1603.5305353933079</v>
      </c>
      <c r="BW287" s="65">
        <v>0</v>
      </c>
      <c r="BX287" s="34">
        <v>-1120.8440000000001</v>
      </c>
      <c r="BY287" s="65">
        <f t="shared" si="146"/>
        <v>4756.6971527511105</v>
      </c>
      <c r="CA287" s="5">
        <v>4156.187247371694</v>
      </c>
      <c r="CB287" s="407">
        <v>1732.4049392265867</v>
      </c>
      <c r="CC287" s="415">
        <v>0</v>
      </c>
      <c r="CD287" s="34">
        <v>-1120.8440000000001</v>
      </c>
      <c r="CE287" s="65">
        <f t="shared" si="126"/>
        <v>4767.7481865982809</v>
      </c>
      <c r="CF287" s="407"/>
      <c r="CG287" s="5">
        <v>4427.7266334063652</v>
      </c>
      <c r="CH287" s="407">
        <v>1841.548426263088</v>
      </c>
      <c r="CI287" s="415">
        <v>0</v>
      </c>
      <c r="CJ287" s="34">
        <v>-1120.8440000000001</v>
      </c>
      <c r="CK287" s="65">
        <f t="shared" si="127"/>
        <v>5148.4310596694531</v>
      </c>
      <c r="CL287" s="407"/>
      <c r="CM287" s="41">
        <f>AU287/'1. Väestöennuste'!L287*1000</f>
        <v>2244.7633451069428</v>
      </c>
      <c r="CN287" s="41">
        <f>BC287/'1. Väestöennuste'!M287*1000</f>
        <v>483.06496282466293</v>
      </c>
      <c r="CO287" s="41">
        <f>BK287/'1. Väestöennuste'!N287*1000</f>
        <v>404.33728851582424</v>
      </c>
      <c r="CP287" s="41">
        <f>BQ287/'1. Väestöennuste'!O287*1000</f>
        <v>455.52153413617475</v>
      </c>
      <c r="CQ287" s="41">
        <f>BY287/'1. Väestöennuste'!P287*1000</f>
        <v>319.75646361596597</v>
      </c>
      <c r="CR287" s="41">
        <f>CE287/'1. Väestöennuste'!Q287*1000</f>
        <v>322.36296055431239</v>
      </c>
      <c r="CS287" s="41">
        <f>CK287/'1. Väestöennuste'!R287*1000</f>
        <v>350.04290587907622</v>
      </c>
      <c r="CT287" s="41"/>
      <c r="CV287" s="41">
        <f t="shared" si="128"/>
        <v>6269.2750596694532</v>
      </c>
      <c r="CW287" s="41">
        <f t="shared" si="129"/>
        <v>-2903.6677145625104</v>
      </c>
      <c r="CX287" s="41">
        <f t="shared" si="130"/>
        <v>-1761.6983822822799</v>
      </c>
      <c r="CY287" s="41">
        <f t="shared" si="131"/>
        <v>-78.727674308838687</v>
      </c>
      <c r="CZ287" s="41">
        <f t="shared" si="132"/>
        <v>51.184245620350509</v>
      </c>
      <c r="DA287" s="41">
        <f t="shared" si="133"/>
        <v>-135.76507052020878</v>
      </c>
      <c r="DB287" s="41">
        <f t="shared" si="134"/>
        <v>2.6064969383464245</v>
      </c>
      <c r="DC287" s="41">
        <f t="shared" si="135"/>
        <v>27.679945324763821</v>
      </c>
      <c r="DD287" s="41"/>
      <c r="DE287" s="283">
        <f t="shared" si="136"/>
        <v>-5.5933520272843076</v>
      </c>
      <c r="DF287" s="283">
        <f t="shared" si="137"/>
        <v>-0.56399079271131114</v>
      </c>
      <c r="DG287" s="283">
        <f t="shared" si="138"/>
        <v>-0.78480361242639185</v>
      </c>
      <c r="DH287" s="283">
        <f t="shared" si="139"/>
        <v>-0.16297533534307332</v>
      </c>
      <c r="DI287" s="283">
        <f t="shared" si="140"/>
        <v>0.12658799243628838</v>
      </c>
      <c r="DJ287" s="283">
        <f t="shared" si="141"/>
        <v>-0.29804314471689242</v>
      </c>
      <c r="DK287" s="283">
        <f t="shared" si="142"/>
        <v>8.1515066462483788E-3</v>
      </c>
      <c r="DL287" s="283">
        <f t="shared" si="143"/>
        <v>8.5865774644727666E-2</v>
      </c>
    </row>
    <row r="288" spans="1:116" x14ac:dyDescent="0.2">
      <c r="A288" s="30">
        <v>905</v>
      </c>
      <c r="B288" s="31" t="s">
        <v>602</v>
      </c>
      <c r="C288" s="65"/>
      <c r="D288" s="65"/>
      <c r="E288" s="65"/>
      <c r="F288" s="65"/>
      <c r="G288" s="65"/>
      <c r="H288" s="65">
        <v>107627</v>
      </c>
      <c r="I288" s="65"/>
      <c r="J288" s="65"/>
      <c r="K288" s="65"/>
      <c r="L288" s="65"/>
      <c r="M288" s="65"/>
      <c r="N288" s="65">
        <v>100863</v>
      </c>
      <c r="O288" s="65"/>
      <c r="P288" s="65"/>
      <c r="Q288" s="65"/>
      <c r="R288" s="65"/>
      <c r="S288" s="65"/>
      <c r="T288" s="65">
        <v>104845</v>
      </c>
      <c r="U288" s="65"/>
      <c r="V288" s="65"/>
      <c r="W288" s="65"/>
      <c r="X288" s="65"/>
      <c r="Y288" s="65"/>
      <c r="Z288" s="65">
        <v>111300</v>
      </c>
      <c r="AA288" s="65"/>
      <c r="AB288" s="66">
        <v>85086.87139128492</v>
      </c>
      <c r="AC288" s="34">
        <v>1447.4224174680628</v>
      </c>
      <c r="AD288" s="180">
        <v>28035.569986835006</v>
      </c>
      <c r="AE288" s="65">
        <v>0</v>
      </c>
      <c r="AF288" s="34">
        <v>24392.385999999999</v>
      </c>
      <c r="AG288" s="65">
        <f t="shared" si="122"/>
        <v>138962.24979558797</v>
      </c>
      <c r="AH288" s="65"/>
      <c r="AI288" s="66">
        <v>75726.971993423314</v>
      </c>
      <c r="AJ288" s="34">
        <v>-1117.0149750985797</v>
      </c>
      <c r="AK288" s="181">
        <v>30385.901815492634</v>
      </c>
      <c r="AL288" s="65">
        <v>2200</v>
      </c>
      <c r="AM288" s="34">
        <v>25253.238000000001</v>
      </c>
      <c r="AN288" s="65">
        <f t="shared" si="123"/>
        <v>132449.09683381737</v>
      </c>
      <c r="AO288" s="65"/>
      <c r="AP288" s="41">
        <v>78686.458762830487</v>
      </c>
      <c r="AQ288" s="41">
        <v>-343.50537383962308</v>
      </c>
      <c r="AR288" s="41">
        <v>33970.056613003908</v>
      </c>
      <c r="AS288" s="65">
        <v>0</v>
      </c>
      <c r="AT288" s="34">
        <v>26585.585999999999</v>
      </c>
      <c r="AU288" s="65">
        <f t="shared" si="124"/>
        <v>138898.59600199477</v>
      </c>
      <c r="AV288" s="65"/>
      <c r="AW288" s="41">
        <v>10223.623287041271</v>
      </c>
      <c r="AX288" s="314"/>
      <c r="AY288" s="314"/>
      <c r="AZ288" s="41">
        <v>10466.596893593698</v>
      </c>
      <c r="BA288" s="65">
        <v>0</v>
      </c>
      <c r="BB288" s="34">
        <v>28342.370999999999</v>
      </c>
      <c r="BC288" s="65">
        <f t="shared" si="144"/>
        <v>49032.591180634969</v>
      </c>
      <c r="BD288" s="65"/>
      <c r="BE288" s="41">
        <v>303.00221972509797</v>
      </c>
      <c r="BF288" s="314"/>
      <c r="BG288" s="314"/>
      <c r="BH288" s="41">
        <v>10587.144681542943</v>
      </c>
      <c r="BI288" s="65">
        <v>0</v>
      </c>
      <c r="BJ288" s="34">
        <v>31371.333999999999</v>
      </c>
      <c r="BK288" s="65">
        <f t="shared" si="145"/>
        <v>42261.480901268042</v>
      </c>
      <c r="BL288" s="65"/>
      <c r="BM288" s="41">
        <v>14605.66181728256</v>
      </c>
      <c r="BN288" s="41">
        <v>6078.3537735798764</v>
      </c>
      <c r="BO288" s="65">
        <v>0</v>
      </c>
      <c r="BP288" s="34">
        <v>31371.333999999999</v>
      </c>
      <c r="BQ288" s="65">
        <f t="shared" si="125"/>
        <v>52055.349590862432</v>
      </c>
      <c r="BR288" s="65"/>
      <c r="BS288" s="41">
        <v>20145.663247837307</v>
      </c>
      <c r="BT288" s="314"/>
      <c r="BU288" s="314"/>
      <c r="BV288" s="41">
        <v>6613.9036194894688</v>
      </c>
      <c r="BW288" s="65">
        <v>0</v>
      </c>
      <c r="BX288" s="34">
        <v>31371.333999999999</v>
      </c>
      <c r="BY288" s="65">
        <f t="shared" si="146"/>
        <v>58130.900867326774</v>
      </c>
      <c r="CA288" s="5">
        <v>21581.753327722457</v>
      </c>
      <c r="CB288" s="407">
        <v>7206.702903559586</v>
      </c>
      <c r="CC288" s="415">
        <v>0</v>
      </c>
      <c r="CD288" s="34">
        <v>31371.333999999999</v>
      </c>
      <c r="CE288" s="65">
        <f t="shared" si="126"/>
        <v>60159.790231282037</v>
      </c>
      <c r="CF288" s="407"/>
      <c r="CG288" s="5">
        <v>23751.646723714985</v>
      </c>
      <c r="CH288" s="407">
        <v>7714.5970997377144</v>
      </c>
      <c r="CI288" s="415">
        <v>0</v>
      </c>
      <c r="CJ288" s="34">
        <v>31371.333999999999</v>
      </c>
      <c r="CK288" s="65">
        <f t="shared" si="127"/>
        <v>62837.577823452695</v>
      </c>
      <c r="CL288" s="407"/>
      <c r="CM288" s="41">
        <f>AU288/'1. Väestöennuste'!L288*1000</f>
        <v>2042.9869389009054</v>
      </c>
      <c r="CN288" s="41">
        <f>BC288/'1. Väestöennuste'!M288*1000</f>
        <v>711.07069987578984</v>
      </c>
      <c r="CO288" s="41">
        <f>BK288/'1. Väestöennuste'!N288*1000</f>
        <v>624.4585442804505</v>
      </c>
      <c r="CP288" s="41">
        <f>BQ288/'1. Väestöennuste'!O288*1000</f>
        <v>769.19615206298386</v>
      </c>
      <c r="CQ288" s="41">
        <f>BY288/'1. Väestöennuste'!P288*1000</f>
        <v>858.90810974182591</v>
      </c>
      <c r="CR288" s="41">
        <f>CE288/'1. Väestöennuste'!Q288*1000</f>
        <v>888.71508473966344</v>
      </c>
      <c r="CS288" s="41">
        <f>CK288/'1. Väestöennuste'!R288*1000</f>
        <v>928.05355009603886</v>
      </c>
      <c r="CT288" s="41"/>
      <c r="CV288" s="41">
        <f t="shared" si="128"/>
        <v>31466.243823452696</v>
      </c>
      <c r="CW288" s="41">
        <f t="shared" si="129"/>
        <v>-60794.590884551792</v>
      </c>
      <c r="CX288" s="41">
        <f t="shared" si="130"/>
        <v>-1331.9162390251156</v>
      </c>
      <c r="CY288" s="41">
        <f t="shared" si="131"/>
        <v>-86.612155595339345</v>
      </c>
      <c r="CZ288" s="41">
        <f t="shared" si="132"/>
        <v>144.73760778253336</v>
      </c>
      <c r="DA288" s="41">
        <f t="shared" si="133"/>
        <v>89.711957678842055</v>
      </c>
      <c r="DB288" s="41">
        <f t="shared" si="134"/>
        <v>29.806974997837528</v>
      </c>
      <c r="DC288" s="41">
        <f t="shared" si="135"/>
        <v>39.338465356375423</v>
      </c>
      <c r="DD288" s="41"/>
      <c r="DE288" s="283">
        <f t="shared" si="136"/>
        <v>1.0030253677912675</v>
      </c>
      <c r="DF288" s="283">
        <f t="shared" si="137"/>
        <v>-0.96748781525855687</v>
      </c>
      <c r="DG288" s="283">
        <f t="shared" si="138"/>
        <v>-0.65194554779761116</v>
      </c>
      <c r="DH288" s="283">
        <f t="shared" si="139"/>
        <v>-0.12180526579209183</v>
      </c>
      <c r="DI288" s="283">
        <f t="shared" si="140"/>
        <v>0.23178097106399792</v>
      </c>
      <c r="DJ288" s="283">
        <f t="shared" si="141"/>
        <v>0.11663079363857269</v>
      </c>
      <c r="DK288" s="283">
        <f t="shared" si="142"/>
        <v>3.4703333988541606E-2</v>
      </c>
      <c r="DL288" s="283">
        <f t="shared" si="143"/>
        <v>4.4264428534932621E-2</v>
      </c>
    </row>
    <row r="289" spans="1:116" x14ac:dyDescent="0.2">
      <c r="A289" s="30">
        <v>908</v>
      </c>
      <c r="B289" s="31" t="s">
        <v>603</v>
      </c>
      <c r="C289" s="65"/>
      <c r="D289" s="65"/>
      <c r="E289" s="65"/>
      <c r="F289" s="65"/>
      <c r="G289" s="65"/>
      <c r="H289" s="65">
        <v>36823</v>
      </c>
      <c r="I289" s="65"/>
      <c r="J289" s="65"/>
      <c r="K289" s="65"/>
      <c r="L289" s="65"/>
      <c r="M289" s="65"/>
      <c r="N289" s="65">
        <v>35530</v>
      </c>
      <c r="O289" s="65"/>
      <c r="P289" s="65"/>
      <c r="Q289" s="65"/>
      <c r="R289" s="65"/>
      <c r="S289" s="65"/>
      <c r="T289" s="65">
        <v>36269</v>
      </c>
      <c r="U289" s="65"/>
      <c r="V289" s="65"/>
      <c r="W289" s="65"/>
      <c r="X289" s="65"/>
      <c r="Y289" s="65"/>
      <c r="Z289" s="65">
        <v>38149</v>
      </c>
      <c r="AA289" s="65"/>
      <c r="AB289" s="66">
        <v>38880.449826578748</v>
      </c>
      <c r="AC289" s="34">
        <v>414.26745020893441</v>
      </c>
      <c r="AD289" s="180">
        <v>7685.9779068539792</v>
      </c>
      <c r="AE289" s="65">
        <v>0</v>
      </c>
      <c r="AF289" s="34">
        <v>593.85900000000004</v>
      </c>
      <c r="AG289" s="65">
        <f t="shared" si="122"/>
        <v>47574.55418364166</v>
      </c>
      <c r="AH289" s="65"/>
      <c r="AI289" s="66">
        <v>35256.431091518425</v>
      </c>
      <c r="AJ289" s="34">
        <v>-321.432894596469</v>
      </c>
      <c r="AK289" s="181">
        <v>8294.006027176787</v>
      </c>
      <c r="AL289" s="65">
        <v>0</v>
      </c>
      <c r="AM289" s="34">
        <v>821.72</v>
      </c>
      <c r="AN289" s="65">
        <f t="shared" si="123"/>
        <v>44050.724224098747</v>
      </c>
      <c r="AO289" s="65"/>
      <c r="AP289" s="41">
        <v>36222.669449767622</v>
      </c>
      <c r="AQ289" s="41">
        <v>-99.297929050065363</v>
      </c>
      <c r="AR289" s="41">
        <v>9587.9901707395966</v>
      </c>
      <c r="AS289" s="65">
        <v>0</v>
      </c>
      <c r="AT289" s="34">
        <v>883.57299999999998</v>
      </c>
      <c r="AU289" s="65">
        <f t="shared" si="124"/>
        <v>46594.934691457151</v>
      </c>
      <c r="AV289" s="65"/>
      <c r="AW289" s="41">
        <v>8845.8215490612274</v>
      </c>
      <c r="AX289" s="314"/>
      <c r="AY289" s="314"/>
      <c r="AZ289" s="41">
        <v>2924.1925603013137</v>
      </c>
      <c r="BA289" s="65">
        <v>0</v>
      </c>
      <c r="BB289" s="34">
        <v>933.28899999999999</v>
      </c>
      <c r="BC289" s="65">
        <f t="shared" si="144"/>
        <v>12703.303109362541</v>
      </c>
      <c r="BD289" s="65"/>
      <c r="BE289" s="41">
        <v>4546.7311720681919</v>
      </c>
      <c r="BF289" s="314"/>
      <c r="BG289" s="314"/>
      <c r="BH289" s="41">
        <v>2863.3962832361626</v>
      </c>
      <c r="BI289" s="65">
        <v>0</v>
      </c>
      <c r="BJ289" s="34">
        <v>767.15099999999995</v>
      </c>
      <c r="BK289" s="65">
        <f t="shared" si="145"/>
        <v>8177.2784553043548</v>
      </c>
      <c r="BL289" s="65"/>
      <c r="BM289" s="41">
        <v>7871.449934684947</v>
      </c>
      <c r="BN289" s="41">
        <v>1497.9669181010154</v>
      </c>
      <c r="BO289" s="65">
        <v>0</v>
      </c>
      <c r="BP289" s="34">
        <v>767.15099999999995</v>
      </c>
      <c r="BQ289" s="65">
        <f t="shared" si="125"/>
        <v>10136.567852785962</v>
      </c>
      <c r="BR289" s="65"/>
      <c r="BS289" s="41">
        <v>8232.9999251497466</v>
      </c>
      <c r="BT289" s="314"/>
      <c r="BU289" s="314"/>
      <c r="BV289" s="41">
        <v>1634.0757111151408</v>
      </c>
      <c r="BW289" s="65">
        <v>0</v>
      </c>
      <c r="BX289" s="34">
        <v>767.15099999999995</v>
      </c>
      <c r="BY289" s="65">
        <f t="shared" si="146"/>
        <v>10634.226636264888</v>
      </c>
      <c r="CA289" s="5">
        <v>8286.5984184643148</v>
      </c>
      <c r="CB289" s="407">
        <v>1789.4201485413298</v>
      </c>
      <c r="CC289" s="415">
        <v>0</v>
      </c>
      <c r="CD289" s="34">
        <v>767.15099999999995</v>
      </c>
      <c r="CE289" s="65">
        <f t="shared" si="126"/>
        <v>10843.169567005645</v>
      </c>
      <c r="CF289" s="407"/>
      <c r="CG289" s="5">
        <v>9156.5197503593681</v>
      </c>
      <c r="CH289" s="407">
        <v>1918.3761048808628</v>
      </c>
      <c r="CI289" s="415">
        <v>0</v>
      </c>
      <c r="CJ289" s="34">
        <v>767.15099999999995</v>
      </c>
      <c r="CK289" s="65">
        <f t="shared" si="127"/>
        <v>11842.046855240231</v>
      </c>
      <c r="CL289" s="407"/>
      <c r="CM289" s="41">
        <f>AU289/'1. Väestöennuste'!L289*1000</f>
        <v>2250.6368493192849</v>
      </c>
      <c r="CN289" s="41">
        <f>BC289/'1. Väestöennuste'!M289*1000</f>
        <v>613.86407216403506</v>
      </c>
      <c r="CO289" s="41">
        <f>BK289/'1. Väestöennuste'!N289*1000</f>
        <v>403.71653691949416</v>
      </c>
      <c r="CP289" s="41">
        <f>BQ289/'1. Väestöennuste'!O289*1000</f>
        <v>503.3552414731335</v>
      </c>
      <c r="CQ289" s="41">
        <f>BY289/'1. Väestöennuste'!P289*1000</f>
        <v>531.12709201203108</v>
      </c>
      <c r="CR289" s="41">
        <f>CE289/'1. Väestöennuste'!Q289*1000</f>
        <v>544.77339062528358</v>
      </c>
      <c r="CS289" s="41">
        <f>CK289/'1. Väestöennuste'!R289*1000</f>
        <v>598.59712153061878</v>
      </c>
      <c r="CT289" s="41"/>
      <c r="CV289" s="41">
        <f t="shared" si="128"/>
        <v>11074.895855240231</v>
      </c>
      <c r="CW289" s="41">
        <f t="shared" si="129"/>
        <v>-9591.410005920945</v>
      </c>
      <c r="CX289" s="41">
        <f t="shared" si="130"/>
        <v>-1636.77277715525</v>
      </c>
      <c r="CY289" s="41">
        <f t="shared" si="131"/>
        <v>-210.1475352445409</v>
      </c>
      <c r="CZ289" s="41">
        <f t="shared" si="132"/>
        <v>99.638704553639343</v>
      </c>
      <c r="DA289" s="41">
        <f t="shared" si="133"/>
        <v>27.771850538897581</v>
      </c>
      <c r="DB289" s="41">
        <f t="shared" si="134"/>
        <v>13.646298613252497</v>
      </c>
      <c r="DC289" s="41">
        <f t="shared" si="135"/>
        <v>53.823730905335196</v>
      </c>
      <c r="DD289" s="41"/>
      <c r="DE289" s="283">
        <f t="shared" si="136"/>
        <v>14.436396296479092</v>
      </c>
      <c r="DF289" s="283">
        <f t="shared" si="137"/>
        <v>-0.80994528422057754</v>
      </c>
      <c r="DG289" s="283">
        <f t="shared" si="138"/>
        <v>-0.72724872413348207</v>
      </c>
      <c r="DH289" s="283">
        <f t="shared" si="139"/>
        <v>-0.34233561593483491</v>
      </c>
      <c r="DI289" s="283">
        <f t="shared" si="140"/>
        <v>0.24680362442896034</v>
      </c>
      <c r="DJ289" s="283">
        <f t="shared" si="141"/>
        <v>5.5173460511943231E-2</v>
      </c>
      <c r="DK289" s="283">
        <f t="shared" si="142"/>
        <v>2.5693094587883273E-2</v>
      </c>
      <c r="DL289" s="283">
        <f t="shared" si="143"/>
        <v>9.8800220112728043E-2</v>
      </c>
    </row>
    <row r="290" spans="1:116" x14ac:dyDescent="0.2">
      <c r="A290" s="30">
        <v>915</v>
      </c>
      <c r="B290" s="31" t="s">
        <v>604</v>
      </c>
      <c r="C290" s="65"/>
      <c r="D290" s="65"/>
      <c r="E290" s="65"/>
      <c r="F290" s="65"/>
      <c r="G290" s="65"/>
      <c r="H290" s="65">
        <v>49508</v>
      </c>
      <c r="I290" s="65"/>
      <c r="J290" s="65"/>
      <c r="K290" s="65"/>
      <c r="L290" s="65"/>
      <c r="M290" s="65"/>
      <c r="N290" s="65">
        <v>47701</v>
      </c>
      <c r="O290" s="65"/>
      <c r="P290" s="65"/>
      <c r="Q290" s="65"/>
      <c r="R290" s="65"/>
      <c r="S290" s="65"/>
      <c r="T290" s="65">
        <v>48229</v>
      </c>
      <c r="U290" s="65"/>
      <c r="V290" s="65"/>
      <c r="W290" s="65"/>
      <c r="X290" s="65"/>
      <c r="Y290" s="65"/>
      <c r="Z290" s="65">
        <v>49528</v>
      </c>
      <c r="AA290" s="65"/>
      <c r="AB290" s="66">
        <v>51476.093653218195</v>
      </c>
      <c r="AC290" s="34">
        <v>396.67767998586538</v>
      </c>
      <c r="AD290" s="180">
        <v>9197.6045817620015</v>
      </c>
      <c r="AE290" s="65">
        <v>0</v>
      </c>
      <c r="AF290" s="34">
        <v>-2442.2730000000001</v>
      </c>
      <c r="AG290" s="65">
        <f t="shared" si="122"/>
        <v>58628.102914966061</v>
      </c>
      <c r="AH290" s="65"/>
      <c r="AI290" s="66">
        <v>48377.034759747832</v>
      </c>
      <c r="AJ290" s="34">
        <v>-307.90306840375729</v>
      </c>
      <c r="AK290" s="181">
        <v>9834.7622860230276</v>
      </c>
      <c r="AL290" s="65">
        <v>0</v>
      </c>
      <c r="AM290" s="34">
        <v>-2232.9369999999999</v>
      </c>
      <c r="AN290" s="65">
        <f t="shared" si="123"/>
        <v>55670.956977367103</v>
      </c>
      <c r="AO290" s="65"/>
      <c r="AP290" s="41">
        <v>50691.194182217485</v>
      </c>
      <c r="AQ290" s="41">
        <v>-95.055878604364182</v>
      </c>
      <c r="AR290" s="41">
        <v>10963.425136687451</v>
      </c>
      <c r="AS290" s="65">
        <v>830</v>
      </c>
      <c r="AT290" s="34">
        <v>-2392.5410000000002</v>
      </c>
      <c r="AU290" s="65">
        <f t="shared" si="124"/>
        <v>59997.022440300578</v>
      </c>
      <c r="AV290" s="65"/>
      <c r="AW290" s="41">
        <v>6520.1281643689072</v>
      </c>
      <c r="AX290" s="314"/>
      <c r="AY290" s="314"/>
      <c r="AZ290" s="41">
        <v>3323.029319495859</v>
      </c>
      <c r="BA290" s="65">
        <v>0</v>
      </c>
      <c r="BB290" s="34">
        <v>-2328.7719999999999</v>
      </c>
      <c r="BC290" s="65">
        <f t="shared" si="144"/>
        <v>7514.3854838647667</v>
      </c>
      <c r="BD290" s="65"/>
      <c r="BE290" s="41">
        <v>2829.7279805105886</v>
      </c>
      <c r="BF290" s="314"/>
      <c r="BG290" s="314"/>
      <c r="BH290" s="41">
        <v>3310.473382381073</v>
      </c>
      <c r="BI290" s="65">
        <v>0</v>
      </c>
      <c r="BJ290" s="34">
        <v>-2406.8850000000002</v>
      </c>
      <c r="BK290" s="65">
        <f t="shared" si="145"/>
        <v>3733.3163628916609</v>
      </c>
      <c r="BL290" s="65"/>
      <c r="BM290" s="41">
        <v>6211.3203924217987</v>
      </c>
      <c r="BN290" s="41">
        <v>2101.3046463608703</v>
      </c>
      <c r="BO290" s="65">
        <v>0</v>
      </c>
      <c r="BP290" s="34">
        <v>-2406.8850000000002</v>
      </c>
      <c r="BQ290" s="65">
        <f t="shared" si="125"/>
        <v>5905.7400387826692</v>
      </c>
      <c r="BR290" s="65"/>
      <c r="BS290" s="41">
        <v>6722.1783332448404</v>
      </c>
      <c r="BT290" s="314"/>
      <c r="BU290" s="314"/>
      <c r="BV290" s="41">
        <v>2268.6365020066855</v>
      </c>
      <c r="BW290" s="65">
        <v>0</v>
      </c>
      <c r="BX290" s="34">
        <v>-2406.8850000000002</v>
      </c>
      <c r="BY290" s="65">
        <f t="shared" si="146"/>
        <v>6583.9298352515252</v>
      </c>
      <c r="CA290" s="5">
        <v>6302.2822145590126</v>
      </c>
      <c r="CB290" s="407">
        <v>2444.7432970476402</v>
      </c>
      <c r="CC290" s="415">
        <v>0</v>
      </c>
      <c r="CD290" s="34">
        <v>-2406.8850000000002</v>
      </c>
      <c r="CE290" s="65">
        <f t="shared" si="126"/>
        <v>6340.1405116066526</v>
      </c>
      <c r="CF290" s="407"/>
      <c r="CG290" s="5">
        <v>8000.734214115063</v>
      </c>
      <c r="CH290" s="407">
        <v>2594.7711202369546</v>
      </c>
      <c r="CI290" s="415">
        <v>0</v>
      </c>
      <c r="CJ290" s="34">
        <v>-2406.8850000000002</v>
      </c>
      <c r="CK290" s="65">
        <f t="shared" si="127"/>
        <v>8188.6203343520174</v>
      </c>
      <c r="CL290" s="407"/>
      <c r="CM290" s="41">
        <f>AU290/'1. Väestöennuste'!L290*1000</f>
        <v>3036.4402267473342</v>
      </c>
      <c r="CN290" s="41">
        <f>BC290/'1. Väestöennuste'!M290*1000</f>
        <v>380.91881603207617</v>
      </c>
      <c r="CO290" s="41">
        <f>BK290/'1. Väestöennuste'!N290*1000</f>
        <v>193.89822181840975</v>
      </c>
      <c r="CP290" s="41">
        <f>BQ290/'1. Väestöennuste'!O290*1000</f>
        <v>310.48525518020449</v>
      </c>
      <c r="CQ290" s="41">
        <f>BY290/'1. Väestöennuste'!P290*1000</f>
        <v>350.26492712941024</v>
      </c>
      <c r="CR290" s="41">
        <f>CE290/'1. Väestöennuste'!Q290*1000</f>
        <v>341.19796101639503</v>
      </c>
      <c r="CS290" s="41">
        <f>CK290/'1. Väestöennuste'!R290*1000</f>
        <v>445.76049724289697</v>
      </c>
      <c r="CT290" s="41"/>
      <c r="CV290" s="41">
        <f t="shared" si="128"/>
        <v>10595.505334352018</v>
      </c>
      <c r="CW290" s="41">
        <f t="shared" si="129"/>
        <v>-5152.1801076046831</v>
      </c>
      <c r="CX290" s="41">
        <f t="shared" si="130"/>
        <v>-2655.5214107152578</v>
      </c>
      <c r="CY290" s="41">
        <f t="shared" si="131"/>
        <v>-187.02059421366641</v>
      </c>
      <c r="CZ290" s="41">
        <f t="shared" si="132"/>
        <v>116.58703336179474</v>
      </c>
      <c r="DA290" s="41">
        <f t="shared" si="133"/>
        <v>39.779671949205749</v>
      </c>
      <c r="DB290" s="41">
        <f t="shared" si="134"/>
        <v>-9.0669661130152122</v>
      </c>
      <c r="DC290" s="41">
        <f t="shared" si="135"/>
        <v>104.56253622650195</v>
      </c>
      <c r="DD290" s="41"/>
      <c r="DE290" s="283">
        <f t="shared" si="136"/>
        <v>-4.4021651779590698</v>
      </c>
      <c r="DF290" s="283">
        <f t="shared" si="137"/>
        <v>-0.62918781152800707</v>
      </c>
      <c r="DG290" s="283">
        <f t="shared" si="138"/>
        <v>-0.87455085969529511</v>
      </c>
      <c r="DH290" s="283">
        <f t="shared" si="139"/>
        <v>-0.49097231835856042</v>
      </c>
      <c r="DI290" s="283">
        <f t="shared" si="140"/>
        <v>0.60127953865910766</v>
      </c>
      <c r="DJ290" s="283">
        <f t="shared" si="141"/>
        <v>0.12812096962903366</v>
      </c>
      <c r="DK290" s="283">
        <f t="shared" si="142"/>
        <v>-2.5886023437525892E-2</v>
      </c>
      <c r="DL290" s="283">
        <f t="shared" si="143"/>
        <v>0.30645709580157066</v>
      </c>
    </row>
    <row r="291" spans="1:116" x14ac:dyDescent="0.2">
      <c r="A291" s="30">
        <v>918</v>
      </c>
      <c r="B291" s="31" t="s">
        <v>605</v>
      </c>
      <c r="C291" s="65"/>
      <c r="D291" s="65"/>
      <c r="E291" s="65"/>
      <c r="F291" s="65"/>
      <c r="G291" s="65"/>
      <c r="H291" s="65">
        <v>5719</v>
      </c>
      <c r="I291" s="65"/>
      <c r="J291" s="65"/>
      <c r="K291" s="65"/>
      <c r="L291" s="65"/>
      <c r="M291" s="65"/>
      <c r="N291" s="65">
        <v>5239</v>
      </c>
      <c r="O291" s="65"/>
      <c r="P291" s="65"/>
      <c r="Q291" s="65"/>
      <c r="R291" s="65"/>
      <c r="S291" s="65"/>
      <c r="T291" s="65">
        <v>5301</v>
      </c>
      <c r="U291" s="65"/>
      <c r="V291" s="65"/>
      <c r="W291" s="65"/>
      <c r="X291" s="65"/>
      <c r="Y291" s="65"/>
      <c r="Z291" s="65">
        <v>5960</v>
      </c>
      <c r="AA291" s="65"/>
      <c r="AB291" s="66">
        <v>5474.7182901186161</v>
      </c>
      <c r="AC291" s="34">
        <v>41.803595525662956</v>
      </c>
      <c r="AD291" s="180">
        <v>1359.8439893814436</v>
      </c>
      <c r="AE291" s="65">
        <v>320</v>
      </c>
      <c r="AF291" s="34">
        <v>-491.464</v>
      </c>
      <c r="AG291" s="65">
        <f t="shared" si="122"/>
        <v>6704.9018750257228</v>
      </c>
      <c r="AH291" s="65"/>
      <c r="AI291" s="66">
        <v>5117.4347053606061</v>
      </c>
      <c r="AJ291" s="34">
        <v>-32.188563001409719</v>
      </c>
      <c r="AK291" s="181">
        <v>1452.5708352010536</v>
      </c>
      <c r="AL291" s="65">
        <v>0</v>
      </c>
      <c r="AM291" s="34">
        <v>-563.57100000000003</v>
      </c>
      <c r="AN291" s="65">
        <f t="shared" si="123"/>
        <v>5974.2459775602501</v>
      </c>
      <c r="AO291" s="65"/>
      <c r="AP291" s="41">
        <v>5283.0293399936581</v>
      </c>
      <c r="AQ291" s="41">
        <v>-9.8693337803651389</v>
      </c>
      <c r="AR291" s="41">
        <v>1689.6838533343423</v>
      </c>
      <c r="AS291" s="65">
        <v>0</v>
      </c>
      <c r="AT291" s="34">
        <v>-498.64100000000002</v>
      </c>
      <c r="AU291" s="65">
        <f t="shared" si="124"/>
        <v>6464.2028595476359</v>
      </c>
      <c r="AV291" s="65"/>
      <c r="AW291" s="41">
        <v>1063.6317473330812</v>
      </c>
      <c r="AX291" s="314"/>
      <c r="AY291" s="314"/>
      <c r="AZ291" s="41">
        <v>520.62762677149226</v>
      </c>
      <c r="BA291" s="65">
        <v>0</v>
      </c>
      <c r="BB291" s="34">
        <v>-563.32500000000005</v>
      </c>
      <c r="BC291" s="65">
        <f t="shared" si="144"/>
        <v>1020.9343741045734</v>
      </c>
      <c r="BD291" s="65"/>
      <c r="BE291" s="41">
        <v>1133.011389944133</v>
      </c>
      <c r="BF291" s="314"/>
      <c r="BG291" s="314"/>
      <c r="BH291" s="41">
        <v>510.13677889194076</v>
      </c>
      <c r="BI291" s="65">
        <v>0</v>
      </c>
      <c r="BJ291" s="34">
        <v>-449.87599999999998</v>
      </c>
      <c r="BK291" s="65">
        <f t="shared" si="145"/>
        <v>1193.2721688360739</v>
      </c>
      <c r="BL291" s="65"/>
      <c r="BM291" s="41">
        <v>1517.859699361934</v>
      </c>
      <c r="BN291" s="41">
        <v>331.47129616384734</v>
      </c>
      <c r="BO291" s="65">
        <v>0</v>
      </c>
      <c r="BP291" s="34">
        <v>-449.87599999999998</v>
      </c>
      <c r="BQ291" s="65">
        <f t="shared" si="125"/>
        <v>1399.4549955257814</v>
      </c>
      <c r="BR291" s="65"/>
      <c r="BS291" s="41">
        <v>1398.7833975876924</v>
      </c>
      <c r="BT291" s="314"/>
      <c r="BU291" s="314"/>
      <c r="BV291" s="41">
        <v>355.4918905912325</v>
      </c>
      <c r="BW291" s="65">
        <v>0</v>
      </c>
      <c r="BX291" s="34">
        <v>-449.87599999999998</v>
      </c>
      <c r="BY291" s="65">
        <f t="shared" si="146"/>
        <v>1304.399288178925</v>
      </c>
      <c r="CA291" s="5">
        <v>1293.4091610443666</v>
      </c>
      <c r="CB291" s="407">
        <v>380.49517618796193</v>
      </c>
      <c r="CC291" s="415">
        <v>0</v>
      </c>
      <c r="CD291" s="34">
        <v>-449.87599999999998</v>
      </c>
      <c r="CE291" s="65">
        <f t="shared" si="126"/>
        <v>1224.0283372323286</v>
      </c>
      <c r="CF291" s="407"/>
      <c r="CG291" s="5">
        <v>1458.2095547504725</v>
      </c>
      <c r="CH291" s="407">
        <v>402.54518496116231</v>
      </c>
      <c r="CI291" s="415">
        <v>0</v>
      </c>
      <c r="CJ291" s="34">
        <v>-449.87599999999998</v>
      </c>
      <c r="CK291" s="65">
        <f t="shared" si="127"/>
        <v>1410.8787397116348</v>
      </c>
      <c r="CL291" s="407"/>
      <c r="CM291" s="41">
        <f>AU291/'1. Väestöennuste'!L291*1000</f>
        <v>2901.3477825617756</v>
      </c>
      <c r="CN291" s="41">
        <f>BC291/'1. Väestöennuste'!M291*1000</f>
        <v>454.75918668355166</v>
      </c>
      <c r="CO291" s="41">
        <f>BK291/'1. Väestöennuste'!N291*1000</f>
        <v>513.89843619124633</v>
      </c>
      <c r="CP291" s="41">
        <f>BQ291/'1. Väestöennuste'!O291*1000</f>
        <v>601.65734975313046</v>
      </c>
      <c r="CQ291" s="41">
        <f>BY291/'1. Väestöennuste'!P291*1000</f>
        <v>559.5878542166131</v>
      </c>
      <c r="CR291" s="41">
        <f>CE291/'1. Väestöennuste'!Q291*1000</f>
        <v>523.76052085251547</v>
      </c>
      <c r="CS291" s="41">
        <f>CK291/'1. Väestöennuste'!R291*1000</f>
        <v>602.42473941572791</v>
      </c>
      <c r="CT291" s="41"/>
      <c r="CV291" s="41">
        <f t="shared" si="128"/>
        <v>1860.7547397116348</v>
      </c>
      <c r="CW291" s="41">
        <f t="shared" si="129"/>
        <v>1490.4690428501408</v>
      </c>
      <c r="CX291" s="41">
        <f t="shared" si="130"/>
        <v>-2446.5885958782237</v>
      </c>
      <c r="CY291" s="41">
        <f t="shared" si="131"/>
        <v>59.139249507694672</v>
      </c>
      <c r="CZ291" s="41">
        <f t="shared" si="132"/>
        <v>87.758913561884128</v>
      </c>
      <c r="DA291" s="41">
        <f t="shared" si="133"/>
        <v>-42.069495536517366</v>
      </c>
      <c r="DB291" s="41">
        <f t="shared" si="134"/>
        <v>-35.827333364097626</v>
      </c>
      <c r="DC291" s="41">
        <f t="shared" si="135"/>
        <v>78.664218563212444</v>
      </c>
      <c r="DD291" s="41"/>
      <c r="DE291" s="283">
        <f t="shared" si="136"/>
        <v>-4.1361502718785506</v>
      </c>
      <c r="DF291" s="283">
        <f t="shared" si="137"/>
        <v>1.0564118665185736</v>
      </c>
      <c r="DG291" s="283">
        <f t="shared" si="138"/>
        <v>-0.84325933298419764</v>
      </c>
      <c r="DH291" s="283">
        <f t="shared" si="139"/>
        <v>0.1300452002717809</v>
      </c>
      <c r="DI291" s="283">
        <f t="shared" si="140"/>
        <v>0.17077092939279701</v>
      </c>
      <c r="DJ291" s="283">
        <f t="shared" si="141"/>
        <v>-6.9922681994625591E-2</v>
      </c>
      <c r="DK291" s="283">
        <f t="shared" si="142"/>
        <v>-6.4024501414980825E-2</v>
      </c>
      <c r="DL291" s="283">
        <f t="shared" si="143"/>
        <v>0.15019119508124082</v>
      </c>
    </row>
    <row r="292" spans="1:116" x14ac:dyDescent="0.2">
      <c r="A292" s="30">
        <v>921</v>
      </c>
      <c r="B292" s="31" t="s">
        <v>606</v>
      </c>
      <c r="C292" s="65"/>
      <c r="D292" s="65"/>
      <c r="E292" s="65"/>
      <c r="F292" s="65"/>
      <c r="G292" s="65"/>
      <c r="H292" s="65">
        <v>10247</v>
      </c>
      <c r="I292" s="65"/>
      <c r="J292" s="65"/>
      <c r="K292" s="65"/>
      <c r="L292" s="65"/>
      <c r="M292" s="65"/>
      <c r="N292" s="65">
        <v>10270</v>
      </c>
      <c r="O292" s="65"/>
      <c r="P292" s="65"/>
      <c r="Q292" s="65"/>
      <c r="R292" s="65"/>
      <c r="S292" s="65"/>
      <c r="T292" s="65">
        <v>9854</v>
      </c>
      <c r="U292" s="65"/>
      <c r="V292" s="65"/>
      <c r="W292" s="65"/>
      <c r="X292" s="65"/>
      <c r="Y292" s="65"/>
      <c r="Z292" s="65">
        <v>9630</v>
      </c>
      <c r="AA292" s="65"/>
      <c r="AB292" s="66">
        <v>9130.4834001570271</v>
      </c>
      <c r="AC292" s="34">
        <v>29.843756955585043</v>
      </c>
      <c r="AD292" s="180">
        <v>1372.4442129413242</v>
      </c>
      <c r="AE292" s="65">
        <v>280</v>
      </c>
      <c r="AF292" s="34">
        <v>204.28399999999999</v>
      </c>
      <c r="AG292" s="65">
        <f t="shared" si="122"/>
        <v>11017.055370053935</v>
      </c>
      <c r="AH292" s="65"/>
      <c r="AI292" s="66">
        <v>9148.8003036603805</v>
      </c>
      <c r="AJ292" s="34">
        <v>-22.960496577593364</v>
      </c>
      <c r="AK292" s="181">
        <v>1453.6776361130467</v>
      </c>
      <c r="AL292" s="65">
        <v>0</v>
      </c>
      <c r="AM292" s="34">
        <v>116.42700000000001</v>
      </c>
      <c r="AN292" s="65">
        <f t="shared" si="123"/>
        <v>10695.944443195835</v>
      </c>
      <c r="AO292" s="65"/>
      <c r="AP292" s="41">
        <v>9521.3076915020611</v>
      </c>
      <c r="AQ292" s="41">
        <v>-7.0321365949227319</v>
      </c>
      <c r="AR292" s="41">
        <v>1603.8168977849093</v>
      </c>
      <c r="AS292" s="65">
        <v>0</v>
      </c>
      <c r="AT292" s="34">
        <v>291.32</v>
      </c>
      <c r="AU292" s="65">
        <f t="shared" si="124"/>
        <v>11409.412452692048</v>
      </c>
      <c r="AV292" s="65"/>
      <c r="AW292" s="41">
        <v>2036.7548286303845</v>
      </c>
      <c r="AX292" s="314"/>
      <c r="AY292" s="314"/>
      <c r="AZ292" s="41">
        <v>489.09013610551949</v>
      </c>
      <c r="BA292" s="65">
        <v>0</v>
      </c>
      <c r="BB292" s="34">
        <v>168.53399999999999</v>
      </c>
      <c r="BC292" s="65">
        <f t="shared" si="144"/>
        <v>2694.378964735904</v>
      </c>
      <c r="BD292" s="65"/>
      <c r="BE292" s="41">
        <v>1881.9471882588989</v>
      </c>
      <c r="BF292" s="314"/>
      <c r="BG292" s="314"/>
      <c r="BH292" s="41">
        <v>489.82910183069475</v>
      </c>
      <c r="BI292" s="65">
        <v>0</v>
      </c>
      <c r="BJ292" s="34">
        <v>256.315</v>
      </c>
      <c r="BK292" s="65">
        <f t="shared" si="145"/>
        <v>2628.0912900895937</v>
      </c>
      <c r="BL292" s="65"/>
      <c r="BM292" s="41">
        <v>2209.5158180715557</v>
      </c>
      <c r="BN292" s="41">
        <v>380.09303478972521</v>
      </c>
      <c r="BO292" s="65">
        <v>0</v>
      </c>
      <c r="BP292" s="34">
        <v>256.315</v>
      </c>
      <c r="BQ292" s="65">
        <f t="shared" si="125"/>
        <v>2845.9238528612809</v>
      </c>
      <c r="BR292" s="65"/>
      <c r="BS292" s="41">
        <v>2172.8100900480922</v>
      </c>
      <c r="BT292" s="314"/>
      <c r="BU292" s="314"/>
      <c r="BV292" s="41">
        <v>403.42270790289678</v>
      </c>
      <c r="BW292" s="65">
        <v>0</v>
      </c>
      <c r="BX292" s="34">
        <v>256.315</v>
      </c>
      <c r="BY292" s="65">
        <f t="shared" si="146"/>
        <v>2832.5477979509892</v>
      </c>
      <c r="CA292" s="5">
        <v>2091.9391999320428</v>
      </c>
      <c r="CB292" s="407">
        <v>426.34246301857763</v>
      </c>
      <c r="CC292" s="415">
        <v>0</v>
      </c>
      <c r="CD292" s="34">
        <v>256.315</v>
      </c>
      <c r="CE292" s="65">
        <f t="shared" si="126"/>
        <v>2774.5966629506206</v>
      </c>
      <c r="CF292" s="407"/>
      <c r="CG292" s="5">
        <v>2396.0208265346264</v>
      </c>
      <c r="CH292" s="407">
        <v>446.89859211562896</v>
      </c>
      <c r="CI292" s="415">
        <v>0</v>
      </c>
      <c r="CJ292" s="34">
        <v>256.315</v>
      </c>
      <c r="CK292" s="65">
        <f t="shared" si="127"/>
        <v>3099.2344186502555</v>
      </c>
      <c r="CL292" s="407"/>
      <c r="CM292" s="41">
        <f>AU292/'1. Väestöennuste'!L292*1000</f>
        <v>6023.9770077571529</v>
      </c>
      <c r="CN292" s="41">
        <f>BC292/'1. Väestöennuste'!M292*1000</f>
        <v>1421.8358652959914</v>
      </c>
      <c r="CO292" s="41">
        <f>BK292/'1. Väestöennuste'!N292*1000</f>
        <v>1449.5815168723627</v>
      </c>
      <c r="CP292" s="41">
        <f>BQ292/'1. Väestöennuste'!O292*1000</f>
        <v>1598.8336252029669</v>
      </c>
      <c r="CQ292" s="41">
        <f>BY292/'1. Väestöennuste'!P292*1000</f>
        <v>1620.450685326653</v>
      </c>
      <c r="CR292" s="41">
        <f>CE292/'1. Väestöennuste'!Q292*1000</f>
        <v>1615.0155197617116</v>
      </c>
      <c r="CS292" s="41">
        <f>CK292/'1. Väestöennuste'!R292*1000</f>
        <v>1834.9522904974872</v>
      </c>
      <c r="CT292" s="41"/>
      <c r="CV292" s="41">
        <f t="shared" si="128"/>
        <v>2842.9194186502555</v>
      </c>
      <c r="CW292" s="41">
        <f t="shared" si="129"/>
        <v>2924.7425891068974</v>
      </c>
      <c r="CX292" s="41">
        <f t="shared" si="130"/>
        <v>-4602.1411424611615</v>
      </c>
      <c r="CY292" s="41">
        <f t="shared" si="131"/>
        <v>27.745651576371301</v>
      </c>
      <c r="CZ292" s="41">
        <f t="shared" si="132"/>
        <v>149.25210833060419</v>
      </c>
      <c r="DA292" s="41">
        <f t="shared" si="133"/>
        <v>21.617060123686088</v>
      </c>
      <c r="DB292" s="41">
        <f t="shared" si="134"/>
        <v>-5.4351655649413715</v>
      </c>
      <c r="DC292" s="41">
        <f t="shared" si="135"/>
        <v>219.93677073577555</v>
      </c>
      <c r="DD292" s="41"/>
      <c r="DE292" s="283">
        <f t="shared" si="136"/>
        <v>11.091506227299439</v>
      </c>
      <c r="DF292" s="283">
        <f t="shared" si="137"/>
        <v>0.9436984087123842</v>
      </c>
      <c r="DG292" s="283">
        <f t="shared" si="138"/>
        <v>-0.76397056903353466</v>
      </c>
      <c r="DH292" s="283">
        <f t="shared" si="139"/>
        <v>1.9513962373283737E-2</v>
      </c>
      <c r="DI292" s="283">
        <f t="shared" si="140"/>
        <v>0.10296220432820681</v>
      </c>
      <c r="DJ292" s="283">
        <f t="shared" si="141"/>
        <v>1.3520518822552202E-2</v>
      </c>
      <c r="DK292" s="283">
        <f t="shared" si="142"/>
        <v>-3.3541073567726265E-3</v>
      </c>
      <c r="DL292" s="283">
        <f t="shared" si="143"/>
        <v>0.13618245028891501</v>
      </c>
    </row>
    <row r="293" spans="1:116" x14ac:dyDescent="0.2">
      <c r="A293" s="30">
        <v>922</v>
      </c>
      <c r="B293" s="31" t="s">
        <v>607</v>
      </c>
      <c r="C293" s="65"/>
      <c r="D293" s="65"/>
      <c r="E293" s="65"/>
      <c r="F293" s="65"/>
      <c r="G293" s="65"/>
      <c r="H293" s="65">
        <v>8517</v>
      </c>
      <c r="I293" s="65"/>
      <c r="J293" s="65"/>
      <c r="K293" s="65"/>
      <c r="L293" s="65"/>
      <c r="M293" s="65"/>
      <c r="N293" s="65">
        <v>7765</v>
      </c>
      <c r="O293" s="65"/>
      <c r="P293" s="65"/>
      <c r="Q293" s="65"/>
      <c r="R293" s="65"/>
      <c r="S293" s="65"/>
      <c r="T293" s="65">
        <v>7554</v>
      </c>
      <c r="U293" s="65"/>
      <c r="V293" s="65"/>
      <c r="W293" s="65"/>
      <c r="X293" s="65"/>
      <c r="Y293" s="65"/>
      <c r="Z293" s="65">
        <v>8515</v>
      </c>
      <c r="AA293" s="65"/>
      <c r="AB293" s="66">
        <v>8081.0695829193664</v>
      </c>
      <c r="AC293" s="34">
        <v>83.623577355762677</v>
      </c>
      <c r="AD293" s="180">
        <v>1908.1186842670947</v>
      </c>
      <c r="AE293" s="65">
        <v>0</v>
      </c>
      <c r="AF293" s="34">
        <v>-930.23199999999997</v>
      </c>
      <c r="AG293" s="65">
        <f t="shared" si="122"/>
        <v>9142.5798445422242</v>
      </c>
      <c r="AH293" s="65"/>
      <c r="AI293" s="66">
        <v>6930.9105512447195</v>
      </c>
      <c r="AJ293" s="34">
        <v>-65.221884519511349</v>
      </c>
      <c r="AK293" s="181">
        <v>2046.848531542812</v>
      </c>
      <c r="AL293" s="65">
        <v>0</v>
      </c>
      <c r="AM293" s="34">
        <v>-1022.138</v>
      </c>
      <c r="AN293" s="65">
        <f t="shared" si="123"/>
        <v>7890.3991982680209</v>
      </c>
      <c r="AO293" s="65"/>
      <c r="AP293" s="41">
        <v>6526.377844341323</v>
      </c>
      <c r="AQ293" s="41">
        <v>-20.198958632872923</v>
      </c>
      <c r="AR293" s="41">
        <v>2438.9062781831904</v>
      </c>
      <c r="AS293" s="65">
        <v>0</v>
      </c>
      <c r="AT293" s="34">
        <v>-1009.067</v>
      </c>
      <c r="AU293" s="65">
        <f t="shared" si="124"/>
        <v>7936.0181638916411</v>
      </c>
      <c r="AV293" s="65"/>
      <c r="AW293" s="41">
        <v>3303.154946517704</v>
      </c>
      <c r="AX293" s="314"/>
      <c r="AY293" s="314"/>
      <c r="AZ293" s="41">
        <v>723.60503246662063</v>
      </c>
      <c r="BA293" s="65">
        <v>0</v>
      </c>
      <c r="BB293" s="34">
        <v>-1061.894</v>
      </c>
      <c r="BC293" s="65">
        <f t="shared" si="144"/>
        <v>2964.865978984325</v>
      </c>
      <c r="BD293" s="65"/>
      <c r="BE293" s="41">
        <v>3398.1695949040532</v>
      </c>
      <c r="BF293" s="314"/>
      <c r="BG293" s="314"/>
      <c r="BH293" s="41">
        <v>697.33580695750777</v>
      </c>
      <c r="BI293" s="65">
        <v>0</v>
      </c>
      <c r="BJ293" s="34">
        <v>-1121.643</v>
      </c>
      <c r="BK293" s="65">
        <f t="shared" si="145"/>
        <v>2973.862401861561</v>
      </c>
      <c r="BL293" s="65"/>
      <c r="BM293" s="41">
        <v>4060.8667508497192</v>
      </c>
      <c r="BN293" s="41">
        <v>373.19171276200024</v>
      </c>
      <c r="BO293" s="65">
        <v>0</v>
      </c>
      <c r="BP293" s="34">
        <v>-1121.643</v>
      </c>
      <c r="BQ293" s="65">
        <f t="shared" si="125"/>
        <v>3312.4154636117191</v>
      </c>
      <c r="BR293" s="65"/>
      <c r="BS293" s="41">
        <v>3747.1017224172865</v>
      </c>
      <c r="BT293" s="314"/>
      <c r="BU293" s="314"/>
      <c r="BV293" s="41">
        <v>400.93027857135746</v>
      </c>
      <c r="BW293" s="65">
        <v>0</v>
      </c>
      <c r="BX293" s="34">
        <v>-1121.643</v>
      </c>
      <c r="BY293" s="65">
        <f t="shared" si="146"/>
        <v>3026.3890009886436</v>
      </c>
      <c r="CA293" s="5">
        <v>3674.8512391858317</v>
      </c>
      <c r="CB293" s="407">
        <v>437.86288891960413</v>
      </c>
      <c r="CC293" s="415">
        <v>0</v>
      </c>
      <c r="CD293" s="34">
        <v>-1121.643</v>
      </c>
      <c r="CE293" s="65">
        <f t="shared" si="126"/>
        <v>2991.0711281054355</v>
      </c>
      <c r="CF293" s="407"/>
      <c r="CG293" s="5">
        <v>3804.6320950251966</v>
      </c>
      <c r="CH293" s="407">
        <v>469.13825590488574</v>
      </c>
      <c r="CI293" s="415">
        <v>0</v>
      </c>
      <c r="CJ293" s="34">
        <v>-1121.643</v>
      </c>
      <c r="CK293" s="65">
        <f t="shared" si="127"/>
        <v>3152.1273509300827</v>
      </c>
      <c r="CL293" s="407"/>
      <c r="CM293" s="41">
        <f>AU293/'1. Väestöennuste'!L293*1000</f>
        <v>1763.1677769143837</v>
      </c>
      <c r="CN293" s="41">
        <f>BC293/'1. Väestöennuste'!M293*1000</f>
        <v>663.42939784836096</v>
      </c>
      <c r="CO293" s="41">
        <f>BK293/'1. Väestöennuste'!N293*1000</f>
        <v>691.43510854721251</v>
      </c>
      <c r="CP293" s="41">
        <f>BQ293/'1. Väestöennuste'!O293*1000</f>
        <v>772.12481669270835</v>
      </c>
      <c r="CQ293" s="41">
        <f>BY293/'1. Väestöennuste'!P293*1000</f>
        <v>706.44000956784407</v>
      </c>
      <c r="CR293" s="41">
        <f>CE293/'1. Väestöennuste'!Q293*1000</f>
        <v>699.17511175910124</v>
      </c>
      <c r="CS293" s="41">
        <f>CK293/'1. Väestöennuste'!R293*1000</f>
        <v>737.85752596677969</v>
      </c>
      <c r="CT293" s="41"/>
      <c r="CV293" s="41">
        <f t="shared" si="128"/>
        <v>4273.7703509300827</v>
      </c>
      <c r="CW293" s="41">
        <f t="shared" si="129"/>
        <v>-1388.959574015699</v>
      </c>
      <c r="CX293" s="41">
        <f t="shared" si="130"/>
        <v>-1099.7383790660228</v>
      </c>
      <c r="CY293" s="41">
        <f t="shared" si="131"/>
        <v>28.005710698851544</v>
      </c>
      <c r="CZ293" s="41">
        <f t="shared" si="132"/>
        <v>80.689708145495842</v>
      </c>
      <c r="DA293" s="41">
        <f t="shared" si="133"/>
        <v>-65.684807124864278</v>
      </c>
      <c r="DB293" s="41">
        <f t="shared" si="134"/>
        <v>-7.2648978087428304</v>
      </c>
      <c r="DC293" s="41">
        <f t="shared" si="135"/>
        <v>38.682414207678448</v>
      </c>
      <c r="DD293" s="41"/>
      <c r="DE293" s="283">
        <f t="shared" si="136"/>
        <v>-3.8102768447091298</v>
      </c>
      <c r="DF293" s="283">
        <f t="shared" si="137"/>
        <v>-0.44064195997850958</v>
      </c>
      <c r="DG293" s="283">
        <f t="shared" si="138"/>
        <v>-0.6237287191072709</v>
      </c>
      <c r="DH293" s="283">
        <f t="shared" si="139"/>
        <v>4.2213550966658804E-2</v>
      </c>
      <c r="DI293" s="283">
        <f t="shared" si="140"/>
        <v>0.11669888778866686</v>
      </c>
      <c r="DJ293" s="283">
        <f t="shared" si="141"/>
        <v>-8.507019293359358E-2</v>
      </c>
      <c r="DK293" s="283">
        <f t="shared" si="142"/>
        <v>-1.0283814209768557E-2</v>
      </c>
      <c r="DL293" s="283">
        <f t="shared" si="143"/>
        <v>5.5325788285505169E-2</v>
      </c>
    </row>
    <row r="294" spans="1:116" x14ac:dyDescent="0.2">
      <c r="A294" s="30">
        <v>924</v>
      </c>
      <c r="B294" s="31" t="s">
        <v>608</v>
      </c>
      <c r="C294" s="65"/>
      <c r="D294" s="65"/>
      <c r="E294" s="65"/>
      <c r="F294" s="65"/>
      <c r="G294" s="65"/>
      <c r="H294" s="65">
        <v>9883</v>
      </c>
      <c r="I294" s="65"/>
      <c r="J294" s="65"/>
      <c r="K294" s="65"/>
      <c r="L294" s="65"/>
      <c r="M294" s="65"/>
      <c r="N294" s="65">
        <v>9768</v>
      </c>
      <c r="O294" s="65"/>
      <c r="P294" s="65"/>
      <c r="Q294" s="65"/>
      <c r="R294" s="65"/>
      <c r="S294" s="65"/>
      <c r="T294" s="65">
        <v>9525</v>
      </c>
      <c r="U294" s="65"/>
      <c r="V294" s="65"/>
      <c r="W294" s="65"/>
      <c r="X294" s="65"/>
      <c r="Y294" s="65"/>
      <c r="Z294" s="65">
        <v>9816</v>
      </c>
      <c r="AA294" s="65"/>
      <c r="AB294" s="66">
        <v>9726.9133247256541</v>
      </c>
      <c r="AC294" s="34">
        <v>51.303099962313823</v>
      </c>
      <c r="AD294" s="180">
        <v>1943.6566182518866</v>
      </c>
      <c r="AE294" s="65">
        <v>0</v>
      </c>
      <c r="AF294" s="34">
        <v>-283.28699999999998</v>
      </c>
      <c r="AG294" s="65">
        <f t="shared" si="122"/>
        <v>11438.586042939854</v>
      </c>
      <c r="AH294" s="65"/>
      <c r="AI294" s="66">
        <v>9301.464319753306</v>
      </c>
      <c r="AJ294" s="34">
        <v>-39.782018061990513</v>
      </c>
      <c r="AK294" s="181">
        <v>2076.3398010919009</v>
      </c>
      <c r="AL294" s="65">
        <v>560</v>
      </c>
      <c r="AM294" s="34">
        <v>-283.68799999999999</v>
      </c>
      <c r="AN294" s="65">
        <f t="shared" si="123"/>
        <v>11614.334102783216</v>
      </c>
      <c r="AO294" s="65"/>
      <c r="AP294" s="41">
        <v>9736.9322717573341</v>
      </c>
      <c r="AQ294" s="41">
        <v>-12.278047262191107</v>
      </c>
      <c r="AR294" s="41">
        <v>2331.4827032699832</v>
      </c>
      <c r="AS294" s="65">
        <v>0</v>
      </c>
      <c r="AT294" s="34">
        <v>51.530999999999999</v>
      </c>
      <c r="AU294" s="65">
        <f t="shared" si="124"/>
        <v>12107.667927765127</v>
      </c>
      <c r="AV294" s="65"/>
      <c r="AW294" s="41">
        <v>2388.2336706123524</v>
      </c>
      <c r="AX294" s="314"/>
      <c r="AY294" s="314"/>
      <c r="AZ294" s="41">
        <v>723.91200203211656</v>
      </c>
      <c r="BA294" s="65">
        <v>0</v>
      </c>
      <c r="BB294" s="34">
        <v>185.959</v>
      </c>
      <c r="BC294" s="65">
        <f t="shared" si="144"/>
        <v>3298.1046726444688</v>
      </c>
      <c r="BD294" s="65"/>
      <c r="BE294" s="41">
        <v>2491.7123013209466</v>
      </c>
      <c r="BF294" s="314"/>
      <c r="BG294" s="314"/>
      <c r="BH294" s="41">
        <v>720.40004595424739</v>
      </c>
      <c r="BI294" s="65">
        <v>0</v>
      </c>
      <c r="BJ294" s="34">
        <v>111.539</v>
      </c>
      <c r="BK294" s="65">
        <f t="shared" si="145"/>
        <v>3323.6513472751944</v>
      </c>
      <c r="BL294" s="65"/>
      <c r="BM294" s="41">
        <v>3048.135466318774</v>
      </c>
      <c r="BN294" s="41">
        <v>484.04193114439107</v>
      </c>
      <c r="BO294" s="65">
        <v>0</v>
      </c>
      <c r="BP294" s="34">
        <v>111.539</v>
      </c>
      <c r="BQ294" s="65">
        <f t="shared" si="125"/>
        <v>3643.7163974631653</v>
      </c>
      <c r="BR294" s="65"/>
      <c r="BS294" s="41">
        <v>3202.1486592590522</v>
      </c>
      <c r="BT294" s="314"/>
      <c r="BU294" s="314"/>
      <c r="BV294" s="41">
        <v>517.5660223790187</v>
      </c>
      <c r="BW294" s="65">
        <v>0</v>
      </c>
      <c r="BX294" s="34">
        <v>111.539</v>
      </c>
      <c r="BY294" s="65">
        <f t="shared" si="146"/>
        <v>3831.2536816380712</v>
      </c>
      <c r="CA294" s="5">
        <v>3041.896447320526</v>
      </c>
      <c r="CB294" s="407">
        <v>551.0504043179003</v>
      </c>
      <c r="CC294" s="415">
        <v>0</v>
      </c>
      <c r="CD294" s="34">
        <v>111.539</v>
      </c>
      <c r="CE294" s="65">
        <f t="shared" si="126"/>
        <v>3704.4858516384265</v>
      </c>
      <c r="CF294" s="407"/>
      <c r="CG294" s="5">
        <v>3425.2218915372146</v>
      </c>
      <c r="CH294" s="407">
        <v>580.84076894970644</v>
      </c>
      <c r="CI294" s="415">
        <v>0</v>
      </c>
      <c r="CJ294" s="34">
        <v>111.539</v>
      </c>
      <c r="CK294" s="65">
        <f t="shared" si="127"/>
        <v>4117.601660486921</v>
      </c>
      <c r="CL294" s="407"/>
      <c r="CM294" s="41">
        <f>AU294/'1. Väestöennuste'!L294*1000</f>
        <v>4109.8669137016732</v>
      </c>
      <c r="CN294" s="41">
        <f>BC294/'1. Väestöennuste'!M294*1000</f>
        <v>1123.3326541704594</v>
      </c>
      <c r="CO294" s="41">
        <f>BK294/'1. Väestöennuste'!N294*1000</f>
        <v>1151.2474358417714</v>
      </c>
      <c r="CP294" s="41">
        <f>BQ294/'1. Väestöennuste'!O294*1000</f>
        <v>1281.6448812744161</v>
      </c>
      <c r="CQ294" s="41">
        <f>BY294/'1. Väestöennuste'!P294*1000</f>
        <v>1367.8163804491508</v>
      </c>
      <c r="CR294" s="41">
        <f>CE294/'1. Väestöennuste'!Q294*1000</f>
        <v>1343.1783363446073</v>
      </c>
      <c r="CS294" s="41">
        <f>CK294/'1. Väestöennuste'!R294*1000</f>
        <v>1516.0536305180121</v>
      </c>
      <c r="CT294" s="41"/>
      <c r="CV294" s="41">
        <f t="shared" si="128"/>
        <v>4006.0626604869208</v>
      </c>
      <c r="CW294" s="41">
        <f t="shared" si="129"/>
        <v>-7.7347467852478076</v>
      </c>
      <c r="CX294" s="41">
        <f t="shared" si="130"/>
        <v>-2986.534259531214</v>
      </c>
      <c r="CY294" s="41">
        <f t="shared" si="131"/>
        <v>27.914781671312085</v>
      </c>
      <c r="CZ294" s="41">
        <f t="shared" si="132"/>
        <v>130.39744543264464</v>
      </c>
      <c r="DA294" s="41">
        <f t="shared" si="133"/>
        <v>86.171499174734663</v>
      </c>
      <c r="DB294" s="41">
        <f t="shared" si="134"/>
        <v>-24.638044104543496</v>
      </c>
      <c r="DC294" s="41">
        <f t="shared" si="135"/>
        <v>172.87529417340488</v>
      </c>
      <c r="DD294" s="41"/>
      <c r="DE294" s="283">
        <f t="shared" si="136"/>
        <v>35.916250463846012</v>
      </c>
      <c r="DF294" s="283">
        <f t="shared" si="137"/>
        <v>-1.8784592155845271E-3</v>
      </c>
      <c r="DG294" s="283">
        <f t="shared" si="138"/>
        <v>-0.72667420192477805</v>
      </c>
      <c r="DH294" s="283">
        <f t="shared" si="139"/>
        <v>2.4849969034262735E-2</v>
      </c>
      <c r="DI294" s="283">
        <f t="shared" si="140"/>
        <v>0.11326622007831043</v>
      </c>
      <c r="DJ294" s="283">
        <f t="shared" si="141"/>
        <v>6.7235082380268388E-2</v>
      </c>
      <c r="DK294" s="283">
        <f t="shared" si="142"/>
        <v>-1.8012683907508906E-2</v>
      </c>
      <c r="DL294" s="283">
        <f t="shared" si="143"/>
        <v>0.12870613640469838</v>
      </c>
    </row>
    <row r="295" spans="1:116" x14ac:dyDescent="0.2">
      <c r="A295" s="30">
        <v>925</v>
      </c>
      <c r="B295" s="31" t="s">
        <v>609</v>
      </c>
      <c r="C295" s="65"/>
      <c r="D295" s="65"/>
      <c r="E295" s="65"/>
      <c r="F295" s="65"/>
      <c r="G295" s="65"/>
      <c r="H295" s="65">
        <v>10717</v>
      </c>
      <c r="I295" s="65"/>
      <c r="J295" s="65"/>
      <c r="K295" s="65"/>
      <c r="L295" s="65"/>
      <c r="M295" s="65"/>
      <c r="N295" s="65">
        <v>11732</v>
      </c>
      <c r="O295" s="65"/>
      <c r="P295" s="65"/>
      <c r="Q295" s="65"/>
      <c r="R295" s="65"/>
      <c r="S295" s="65"/>
      <c r="T295" s="65">
        <v>11598</v>
      </c>
      <c r="U295" s="65"/>
      <c r="V295" s="65"/>
      <c r="W295" s="65"/>
      <c r="X295" s="65"/>
      <c r="Y295" s="65"/>
      <c r="Z295" s="65">
        <v>10529</v>
      </c>
      <c r="AA295" s="65"/>
      <c r="AB295" s="66">
        <v>9818.3744237043175</v>
      </c>
      <c r="AC295" s="34">
        <v>63.784269377082225</v>
      </c>
      <c r="AD295" s="180">
        <v>2190.4794955895677</v>
      </c>
      <c r="AE295" s="65">
        <v>0</v>
      </c>
      <c r="AF295" s="34">
        <v>37.130000000000003</v>
      </c>
      <c r="AG295" s="65">
        <f t="shared" si="122"/>
        <v>12109.768188670967</v>
      </c>
      <c r="AH295" s="65"/>
      <c r="AI295" s="66">
        <v>9135.5263036109209</v>
      </c>
      <c r="AJ295" s="34">
        <v>-47.473349733639765</v>
      </c>
      <c r="AK295" s="181">
        <v>2334.9510327371449</v>
      </c>
      <c r="AL295" s="65">
        <v>0</v>
      </c>
      <c r="AM295" s="34">
        <v>50.750999999999998</v>
      </c>
      <c r="AN295" s="65">
        <f t="shared" si="123"/>
        <v>11473.754986614425</v>
      </c>
      <c r="AO295" s="65"/>
      <c r="AP295" s="41">
        <v>8756.2288940404615</v>
      </c>
      <c r="AQ295" s="41">
        <v>-14.240636592837621</v>
      </c>
      <c r="AR295" s="41">
        <v>2587.6584990995507</v>
      </c>
      <c r="AS295" s="65">
        <v>0</v>
      </c>
      <c r="AT295" s="34">
        <v>61.097999999999999</v>
      </c>
      <c r="AU295" s="65">
        <f t="shared" si="124"/>
        <v>11390.744756547174</v>
      </c>
      <c r="AV295" s="65"/>
      <c r="AW295" s="41">
        <v>3264.9637523983561</v>
      </c>
      <c r="AX295" s="314"/>
      <c r="AY295" s="314"/>
      <c r="AZ295" s="41">
        <v>817.5366630312958</v>
      </c>
      <c r="BA295" s="65">
        <v>0</v>
      </c>
      <c r="BB295" s="34">
        <v>120.111</v>
      </c>
      <c r="BC295" s="65">
        <f t="shared" si="144"/>
        <v>4202.611415429652</v>
      </c>
      <c r="BD295" s="65"/>
      <c r="BE295" s="41">
        <v>3162.8425017194213</v>
      </c>
      <c r="BF295" s="314"/>
      <c r="BG295" s="314"/>
      <c r="BH295" s="41">
        <v>820.53034692520487</v>
      </c>
      <c r="BI295" s="65">
        <v>0</v>
      </c>
      <c r="BJ295" s="34">
        <v>-11.954000000000001</v>
      </c>
      <c r="BK295" s="65">
        <f t="shared" si="145"/>
        <v>3971.418848644626</v>
      </c>
      <c r="BL295" s="65"/>
      <c r="BM295" s="41">
        <v>3672.7955864515407</v>
      </c>
      <c r="BN295" s="41">
        <v>591.87029362419298</v>
      </c>
      <c r="BO295" s="65">
        <v>0</v>
      </c>
      <c r="BP295" s="34">
        <v>-11.954000000000001</v>
      </c>
      <c r="BQ295" s="65">
        <f t="shared" si="125"/>
        <v>4252.7118800757344</v>
      </c>
      <c r="BR295" s="65"/>
      <c r="BS295" s="41">
        <v>3916.6382838345439</v>
      </c>
      <c r="BT295" s="314"/>
      <c r="BU295" s="314"/>
      <c r="BV295" s="41">
        <v>627.05015907910627</v>
      </c>
      <c r="BW295" s="65">
        <v>0</v>
      </c>
      <c r="BX295" s="34">
        <v>-11.954000000000001</v>
      </c>
      <c r="BY295" s="65">
        <f t="shared" si="146"/>
        <v>4531.7344429136501</v>
      </c>
      <c r="CA295" s="5">
        <v>3978.2419456620391</v>
      </c>
      <c r="CB295" s="407">
        <v>661.64494421630843</v>
      </c>
      <c r="CC295" s="415">
        <v>0</v>
      </c>
      <c r="CD295" s="34">
        <v>-11.954000000000001</v>
      </c>
      <c r="CE295" s="65">
        <f t="shared" si="126"/>
        <v>4627.9328898783479</v>
      </c>
      <c r="CF295" s="407"/>
      <c r="CG295" s="5">
        <v>4209.096886838779</v>
      </c>
      <c r="CH295" s="407">
        <v>691.98781185937185</v>
      </c>
      <c r="CI295" s="415">
        <v>0</v>
      </c>
      <c r="CJ295" s="34">
        <v>-11.954000000000001</v>
      </c>
      <c r="CK295" s="65">
        <f t="shared" si="127"/>
        <v>4889.1306986981508</v>
      </c>
      <c r="CL295" s="407"/>
      <c r="CM295" s="41">
        <f>AU295/'1. Väestöennuste'!L295*1000</f>
        <v>3323.8239733140281</v>
      </c>
      <c r="CN295" s="41">
        <f>BC295/'1. Väestöennuste'!M295*1000</f>
        <v>1240.8064409299238</v>
      </c>
      <c r="CO295" s="41">
        <f>BK295/'1. Väestöennuste'!N295*1000</f>
        <v>1186.9153761639648</v>
      </c>
      <c r="CP295" s="41">
        <f>BQ295/'1. Väestöennuste'!O295*1000</f>
        <v>1285.1954911078074</v>
      </c>
      <c r="CQ295" s="41">
        <f>BY295/'1. Väestöennuste'!P295*1000</f>
        <v>1385.4278333578875</v>
      </c>
      <c r="CR295" s="41">
        <f>CE295/'1. Väestöennuste'!Q295*1000</f>
        <v>1430.1399536088836</v>
      </c>
      <c r="CS295" s="41">
        <f>CK295/'1. Väestöennuste'!R295*1000</f>
        <v>1527.3760383311935</v>
      </c>
      <c r="CT295" s="41"/>
      <c r="CV295" s="41">
        <f t="shared" si="128"/>
        <v>4901.0846986981505</v>
      </c>
      <c r="CW295" s="41">
        <f t="shared" si="129"/>
        <v>-1565.3067253841227</v>
      </c>
      <c r="CX295" s="41">
        <f t="shared" si="130"/>
        <v>-2083.017532384104</v>
      </c>
      <c r="CY295" s="41">
        <f t="shared" si="131"/>
        <v>-53.891064765959072</v>
      </c>
      <c r="CZ295" s="41">
        <f t="shared" si="132"/>
        <v>98.280114943842591</v>
      </c>
      <c r="DA295" s="41">
        <f t="shared" si="133"/>
        <v>100.23234225008014</v>
      </c>
      <c r="DB295" s="41">
        <f t="shared" si="134"/>
        <v>44.712120250996122</v>
      </c>
      <c r="DC295" s="41">
        <f t="shared" si="135"/>
        <v>97.236084722309897</v>
      </c>
      <c r="DD295" s="41"/>
      <c r="DE295" s="283">
        <f t="shared" si="136"/>
        <v>-409.99537382450649</v>
      </c>
      <c r="DF295" s="283">
        <f t="shared" si="137"/>
        <v>-0.32016054015510842</v>
      </c>
      <c r="DG295" s="283">
        <f t="shared" si="138"/>
        <v>-0.62669309479323165</v>
      </c>
      <c r="DH295" s="283">
        <f t="shared" si="139"/>
        <v>-4.3432289669265697E-2</v>
      </c>
      <c r="DI295" s="283">
        <f t="shared" si="140"/>
        <v>8.2802967184971252E-2</v>
      </c>
      <c r="DJ295" s="283">
        <f t="shared" si="141"/>
        <v>7.7989957904133544E-2</v>
      </c>
      <c r="DK295" s="283">
        <f t="shared" si="142"/>
        <v>3.2273149978968241E-2</v>
      </c>
      <c r="DL295" s="283">
        <f t="shared" si="143"/>
        <v>6.7990607826135974E-2</v>
      </c>
    </row>
    <row r="296" spans="1:116" x14ac:dyDescent="0.2">
      <c r="A296" s="30">
        <v>927</v>
      </c>
      <c r="B296" s="31" t="s">
        <v>610</v>
      </c>
      <c r="C296" s="65"/>
      <c r="D296" s="65"/>
      <c r="E296" s="65"/>
      <c r="F296" s="65"/>
      <c r="G296" s="65"/>
      <c r="H296" s="65">
        <v>25635</v>
      </c>
      <c r="I296" s="65"/>
      <c r="J296" s="65"/>
      <c r="K296" s="65"/>
      <c r="L296" s="65"/>
      <c r="M296" s="65"/>
      <c r="N296" s="65">
        <v>24043</v>
      </c>
      <c r="O296" s="65"/>
      <c r="P296" s="65"/>
      <c r="Q296" s="65"/>
      <c r="R296" s="65"/>
      <c r="S296" s="65"/>
      <c r="T296" s="65">
        <v>22865</v>
      </c>
      <c r="U296" s="65"/>
      <c r="V296" s="65"/>
      <c r="W296" s="65"/>
      <c r="X296" s="65"/>
      <c r="Y296" s="65"/>
      <c r="Z296" s="65">
        <v>24413</v>
      </c>
      <c r="AA296" s="65"/>
      <c r="AB296" s="66">
        <v>29783.939778642227</v>
      </c>
      <c r="AC296" s="34">
        <v>631.60189009699195</v>
      </c>
      <c r="AD296" s="180">
        <v>10356.181773523118</v>
      </c>
      <c r="AE296" s="65">
        <v>2000</v>
      </c>
      <c r="AF296" s="34">
        <v>-2725.806</v>
      </c>
      <c r="AG296" s="65">
        <f t="shared" si="122"/>
        <v>40045.91744226234</v>
      </c>
      <c r="AH296" s="65"/>
      <c r="AI296" s="66">
        <v>25027.464733649194</v>
      </c>
      <c r="AJ296" s="34">
        <v>-492.77547457839597</v>
      </c>
      <c r="AK296" s="181">
        <v>11248.419789563388</v>
      </c>
      <c r="AL296" s="65">
        <v>0</v>
      </c>
      <c r="AM296" s="34">
        <v>-3203.2240000000002</v>
      </c>
      <c r="AN296" s="65">
        <f t="shared" si="123"/>
        <v>32579.885048634183</v>
      </c>
      <c r="AO296" s="65"/>
      <c r="AP296" s="41">
        <v>25692.545338957319</v>
      </c>
      <c r="AQ296" s="41">
        <v>-152.85070251539634</v>
      </c>
      <c r="AR296" s="41">
        <v>13762.467198739576</v>
      </c>
      <c r="AS296" s="65">
        <v>0</v>
      </c>
      <c r="AT296" s="34">
        <v>-3174.5149999999999</v>
      </c>
      <c r="AU296" s="65">
        <f t="shared" si="124"/>
        <v>36127.646835181498</v>
      </c>
      <c r="AV296" s="65"/>
      <c r="AW296" s="41">
        <v>19271.304652322044</v>
      </c>
      <c r="AX296" s="314"/>
      <c r="AY296" s="314"/>
      <c r="AZ296" s="41">
        <v>4188.0013455443041</v>
      </c>
      <c r="BA296" s="65">
        <v>0</v>
      </c>
      <c r="BB296" s="34">
        <v>-3298.1039999999998</v>
      </c>
      <c r="BC296" s="65">
        <f t="shared" si="144"/>
        <v>20161.201997866348</v>
      </c>
      <c r="BD296" s="65"/>
      <c r="BE296" s="41">
        <v>17197.547303195694</v>
      </c>
      <c r="BF296" s="314"/>
      <c r="BG296" s="314"/>
      <c r="BH296" s="41">
        <v>4028.1823427294062</v>
      </c>
      <c r="BI296" s="65">
        <v>0</v>
      </c>
      <c r="BJ296" s="34">
        <v>-3143.4360000000001</v>
      </c>
      <c r="BK296" s="65">
        <f t="shared" si="145"/>
        <v>18082.2936459251</v>
      </c>
      <c r="BL296" s="65"/>
      <c r="BM296" s="41">
        <v>19644.414992486662</v>
      </c>
      <c r="BN296" s="41">
        <v>2346.1723866173634</v>
      </c>
      <c r="BO296" s="65">
        <v>0</v>
      </c>
      <c r="BP296" s="34">
        <v>-3143.4360000000001</v>
      </c>
      <c r="BQ296" s="65">
        <f t="shared" si="125"/>
        <v>18847.151379104023</v>
      </c>
      <c r="BR296" s="65"/>
      <c r="BS296" s="41">
        <v>17588.881302289908</v>
      </c>
      <c r="BT296" s="314"/>
      <c r="BU296" s="314"/>
      <c r="BV296" s="41">
        <v>2460.0644612957558</v>
      </c>
      <c r="BW296" s="65">
        <v>0</v>
      </c>
      <c r="BX296" s="34">
        <v>-3143.4360000000001</v>
      </c>
      <c r="BY296" s="65">
        <f t="shared" si="146"/>
        <v>16905.509763585662</v>
      </c>
      <c r="CA296" s="5">
        <v>17111.430504570857</v>
      </c>
      <c r="CB296" s="407">
        <v>2670.6276005324162</v>
      </c>
      <c r="CC296" s="415">
        <v>0</v>
      </c>
      <c r="CD296" s="34">
        <v>-3143.4360000000001</v>
      </c>
      <c r="CE296" s="65">
        <f t="shared" si="126"/>
        <v>16638.62210510327</v>
      </c>
      <c r="CF296" s="407"/>
      <c r="CG296" s="5">
        <v>16882.534609616119</v>
      </c>
      <c r="CH296" s="407">
        <v>2843.574385279765</v>
      </c>
      <c r="CI296" s="415">
        <v>0</v>
      </c>
      <c r="CJ296" s="34">
        <v>-3143.4360000000001</v>
      </c>
      <c r="CK296" s="65">
        <f t="shared" si="127"/>
        <v>16582.672994895882</v>
      </c>
      <c r="CL296" s="407"/>
      <c r="CM296" s="41">
        <f>AU296/'1. Väestöennuste'!L296*1000</f>
        <v>1249.5295138927645</v>
      </c>
      <c r="CN296" s="41">
        <f>BC296/'1. Väestöennuste'!M296*1000</f>
        <v>699.7744610692564</v>
      </c>
      <c r="CO296" s="41">
        <f>BK296/'1. Väestöennuste'!N296*1000</f>
        <v>616.51188700733371</v>
      </c>
      <c r="CP296" s="41">
        <f>BQ296/'1. Väestöennuste'!O296*1000</f>
        <v>641.51779771619272</v>
      </c>
      <c r="CQ296" s="41">
        <f>BY296/'1. Väestöennuste'!P296*1000</f>
        <v>574.5873755552193</v>
      </c>
      <c r="CR296" s="41">
        <f>CE296/'1. Väestöennuste'!Q296*1000</f>
        <v>564.74856103126979</v>
      </c>
      <c r="CS296" s="41">
        <f>CK296/'1. Väestöennuste'!R296*1000</f>
        <v>562.21979979304569</v>
      </c>
      <c r="CT296" s="41"/>
      <c r="CV296" s="41">
        <f t="shared" si="128"/>
        <v>19726.108994895883</v>
      </c>
      <c r="CW296" s="41">
        <f t="shared" si="129"/>
        <v>-15333.143481003117</v>
      </c>
      <c r="CX296" s="41">
        <f t="shared" si="130"/>
        <v>-549.75505282350809</v>
      </c>
      <c r="CY296" s="41">
        <f t="shared" si="131"/>
        <v>-83.262574061922692</v>
      </c>
      <c r="CZ296" s="41">
        <f t="shared" si="132"/>
        <v>25.005910708859005</v>
      </c>
      <c r="DA296" s="41">
        <f t="shared" si="133"/>
        <v>-66.930422160973421</v>
      </c>
      <c r="DB296" s="41">
        <f t="shared" si="134"/>
        <v>-9.8388145239495088</v>
      </c>
      <c r="DC296" s="41">
        <f t="shared" si="135"/>
        <v>-2.5287612382240923</v>
      </c>
      <c r="DD296" s="41"/>
      <c r="DE296" s="283">
        <f t="shared" si="136"/>
        <v>-6.2753334233290836</v>
      </c>
      <c r="DF296" s="283">
        <f t="shared" si="137"/>
        <v>-0.92464848614711459</v>
      </c>
      <c r="DG296" s="283">
        <f t="shared" si="138"/>
        <v>-0.4399696419421178</v>
      </c>
      <c r="DH296" s="283">
        <f t="shared" si="139"/>
        <v>-0.11898487111789899</v>
      </c>
      <c r="DI296" s="283">
        <f t="shared" si="140"/>
        <v>4.0560305868946767E-2</v>
      </c>
      <c r="DJ296" s="283">
        <f t="shared" si="141"/>
        <v>-0.10433135666577939</v>
      </c>
      <c r="DK296" s="283">
        <f t="shared" si="142"/>
        <v>-1.7123269571389974E-2</v>
      </c>
      <c r="DL296" s="283">
        <f t="shared" si="143"/>
        <v>-4.4776762841261608E-3</v>
      </c>
    </row>
    <row r="297" spans="1:116" x14ac:dyDescent="0.2">
      <c r="A297" s="30">
        <v>931</v>
      </c>
      <c r="B297" s="31" t="s">
        <v>611</v>
      </c>
      <c r="C297" s="65"/>
      <c r="D297" s="65"/>
      <c r="E297" s="65"/>
      <c r="F297" s="65"/>
      <c r="G297" s="65"/>
      <c r="H297" s="65">
        <v>23435</v>
      </c>
      <c r="I297" s="65"/>
      <c r="J297" s="65"/>
      <c r="K297" s="65"/>
      <c r="L297" s="65"/>
      <c r="M297" s="65"/>
      <c r="N297" s="65">
        <v>23922</v>
      </c>
      <c r="O297" s="65"/>
      <c r="P297" s="65"/>
      <c r="Q297" s="65"/>
      <c r="R297" s="65"/>
      <c r="S297" s="65"/>
      <c r="T297" s="65">
        <v>23575</v>
      </c>
      <c r="U297" s="65"/>
      <c r="V297" s="65"/>
      <c r="W297" s="65"/>
      <c r="X297" s="65"/>
      <c r="Y297" s="65"/>
      <c r="Z297" s="65">
        <v>23826</v>
      </c>
      <c r="AA297" s="65"/>
      <c r="AB297" s="66">
        <v>22856.609312980003</v>
      </c>
      <c r="AC297" s="34">
        <v>100.47096755146566</v>
      </c>
      <c r="AD297" s="180">
        <v>3686.0957241234109</v>
      </c>
      <c r="AE297" s="65">
        <v>0</v>
      </c>
      <c r="AF297" s="34">
        <v>-160.18700000000001</v>
      </c>
      <c r="AG297" s="65">
        <f t="shared" si="122"/>
        <v>26482.989004654875</v>
      </c>
      <c r="AH297" s="65"/>
      <c r="AI297" s="66">
        <v>22644.68619029615</v>
      </c>
      <c r="AJ297" s="34">
        <v>-77.064837329385938</v>
      </c>
      <c r="AK297" s="181">
        <v>3923.2867292823444</v>
      </c>
      <c r="AL297" s="65">
        <v>0</v>
      </c>
      <c r="AM297" s="34">
        <v>-30.827999999999999</v>
      </c>
      <c r="AN297" s="65">
        <f t="shared" si="123"/>
        <v>26460.080082249107</v>
      </c>
      <c r="AO297" s="65"/>
      <c r="AP297" s="41">
        <v>23379.22636868597</v>
      </c>
      <c r="AQ297" s="41">
        <v>-23.566930577440818</v>
      </c>
      <c r="AR297" s="41">
        <v>4352.7058415672464</v>
      </c>
      <c r="AS297" s="65">
        <v>0</v>
      </c>
      <c r="AT297" s="34">
        <v>25.026</v>
      </c>
      <c r="AU297" s="65">
        <f t="shared" si="124"/>
        <v>27733.39127967578</v>
      </c>
      <c r="AV297" s="65"/>
      <c r="AW297" s="41">
        <v>8560.4362653912431</v>
      </c>
      <c r="AX297" s="314"/>
      <c r="AY297" s="314"/>
      <c r="AZ297" s="41">
        <v>1313.0129657017426</v>
      </c>
      <c r="BA297" s="65">
        <v>0</v>
      </c>
      <c r="BB297" s="34">
        <v>31.173999999999999</v>
      </c>
      <c r="BC297" s="65">
        <f t="shared" si="144"/>
        <v>9904.6232310929863</v>
      </c>
      <c r="BD297" s="65"/>
      <c r="BE297" s="41">
        <v>6722.806402158476</v>
      </c>
      <c r="BF297" s="314"/>
      <c r="BG297" s="314"/>
      <c r="BH297" s="41">
        <v>1309.7142925791395</v>
      </c>
      <c r="BI297" s="65">
        <v>0</v>
      </c>
      <c r="BJ297" s="34">
        <v>182.33600000000001</v>
      </c>
      <c r="BK297" s="65">
        <f t="shared" si="145"/>
        <v>8214.8566947376148</v>
      </c>
      <c r="BL297" s="65"/>
      <c r="BM297" s="41">
        <v>7241.6464121341169</v>
      </c>
      <c r="BN297" s="41">
        <v>954.1185885570527</v>
      </c>
      <c r="BO297" s="65">
        <v>0</v>
      </c>
      <c r="BP297" s="34">
        <v>182.33600000000001</v>
      </c>
      <c r="BQ297" s="65">
        <f t="shared" si="125"/>
        <v>8378.1010006911692</v>
      </c>
      <c r="BR297" s="65"/>
      <c r="BS297" s="41">
        <v>7293.5605765433302</v>
      </c>
      <c r="BT297" s="314"/>
      <c r="BU297" s="314"/>
      <c r="BV297" s="41">
        <v>1014.9954357351005</v>
      </c>
      <c r="BW297" s="65">
        <v>0</v>
      </c>
      <c r="BX297" s="34">
        <v>182.33600000000001</v>
      </c>
      <c r="BY297" s="65">
        <f t="shared" si="146"/>
        <v>8490.8920122784293</v>
      </c>
      <c r="CA297" s="5">
        <v>7215.2373480833303</v>
      </c>
      <c r="CB297" s="407">
        <v>1076.690943204959</v>
      </c>
      <c r="CC297" s="415">
        <v>0</v>
      </c>
      <c r="CD297" s="34">
        <v>182.33600000000001</v>
      </c>
      <c r="CE297" s="65">
        <f t="shared" si="126"/>
        <v>8474.2642912882893</v>
      </c>
      <c r="CF297" s="407"/>
      <c r="CG297" s="5">
        <v>7912.9434939073626</v>
      </c>
      <c r="CH297" s="407">
        <v>1130.545762451203</v>
      </c>
      <c r="CI297" s="415">
        <v>0</v>
      </c>
      <c r="CJ297" s="34">
        <v>182.33600000000001</v>
      </c>
      <c r="CK297" s="65">
        <f t="shared" si="127"/>
        <v>9225.8252563585647</v>
      </c>
      <c r="CL297" s="407"/>
      <c r="CM297" s="41">
        <f>AU297/'1. Väestöennuste'!L297*1000</f>
        <v>4660.2909224795458</v>
      </c>
      <c r="CN297" s="41">
        <f>BC297/'1. Väestöennuste'!M297*1000</f>
        <v>1685.3195901128104</v>
      </c>
      <c r="CO297" s="41">
        <f>BK297/'1. Väestöennuste'!N297*1000</f>
        <v>1445.259798511192</v>
      </c>
      <c r="CP297" s="41">
        <f>BQ297/'1. Väestöennuste'!O297*1000</f>
        <v>1496.891370500477</v>
      </c>
      <c r="CQ297" s="41">
        <f>BY297/'1. Väestöennuste'!P297*1000</f>
        <v>1539.8788560533967</v>
      </c>
      <c r="CR297" s="41">
        <f>CE297/'1. Väestöennuste'!Q297*1000</f>
        <v>1559.4891960412751</v>
      </c>
      <c r="CS297" s="41">
        <f>CK297/'1. Väestöennuste'!R297*1000</f>
        <v>1721.2360552907771</v>
      </c>
      <c r="CT297" s="41"/>
      <c r="CV297" s="41">
        <f t="shared" si="128"/>
        <v>9043.4892563585654</v>
      </c>
      <c r="CW297" s="41">
        <f t="shared" si="129"/>
        <v>-4565.534333879019</v>
      </c>
      <c r="CX297" s="41">
        <f t="shared" si="130"/>
        <v>-2974.9713323667356</v>
      </c>
      <c r="CY297" s="41">
        <f t="shared" si="131"/>
        <v>-240.05979160161837</v>
      </c>
      <c r="CZ297" s="41">
        <f t="shared" si="132"/>
        <v>51.631571989285021</v>
      </c>
      <c r="DA297" s="41">
        <f t="shared" si="133"/>
        <v>42.987485552919679</v>
      </c>
      <c r="DB297" s="41">
        <f t="shared" si="134"/>
        <v>19.610339987878433</v>
      </c>
      <c r="DC297" s="41">
        <f t="shared" si="135"/>
        <v>161.74685924950199</v>
      </c>
      <c r="DD297" s="41"/>
      <c r="DE297" s="283">
        <f t="shared" si="136"/>
        <v>49.597935988277492</v>
      </c>
      <c r="DF297" s="283">
        <f t="shared" si="137"/>
        <v>-0.49486460094530732</v>
      </c>
      <c r="DG297" s="283">
        <f t="shared" si="138"/>
        <v>-0.63836601230548884</v>
      </c>
      <c r="DH297" s="283">
        <f t="shared" si="139"/>
        <v>-0.14244170245807769</v>
      </c>
      <c r="DI297" s="283">
        <f t="shared" si="140"/>
        <v>3.5724768683438331E-2</v>
      </c>
      <c r="DJ297" s="283">
        <f t="shared" si="141"/>
        <v>2.8717839116506539E-2</v>
      </c>
      <c r="DK297" s="283">
        <f t="shared" si="142"/>
        <v>1.2734988801741445E-2</v>
      </c>
      <c r="DL297" s="283">
        <f t="shared" si="143"/>
        <v>0.10371784534326522</v>
      </c>
    </row>
    <row r="298" spans="1:116" x14ac:dyDescent="0.2">
      <c r="A298" s="30">
        <v>934</v>
      </c>
      <c r="B298" s="31" t="s">
        <v>612</v>
      </c>
      <c r="C298" s="65"/>
      <c r="D298" s="65"/>
      <c r="E298" s="65"/>
      <c r="F298" s="65"/>
      <c r="G298" s="65"/>
      <c r="H298" s="65">
        <v>8227</v>
      </c>
      <c r="I298" s="65"/>
      <c r="J298" s="65"/>
      <c r="K298" s="65"/>
      <c r="L298" s="65"/>
      <c r="M298" s="65"/>
      <c r="N298" s="65">
        <v>8130</v>
      </c>
      <c r="O298" s="65"/>
      <c r="P298" s="65"/>
      <c r="Q298" s="65"/>
      <c r="R298" s="65"/>
      <c r="S298" s="65"/>
      <c r="T298" s="65">
        <v>7815</v>
      </c>
      <c r="U298" s="65"/>
      <c r="V298" s="65"/>
      <c r="W298" s="65"/>
      <c r="X298" s="65"/>
      <c r="Y298" s="65"/>
      <c r="Z298" s="65">
        <v>7887</v>
      </c>
      <c r="AA298" s="65"/>
      <c r="AB298" s="66">
        <v>8045.551800117858</v>
      </c>
      <c r="AC298" s="34">
        <v>49.174998688141542</v>
      </c>
      <c r="AD298" s="180">
        <v>1548.8595320711283</v>
      </c>
      <c r="AE298" s="65">
        <v>390</v>
      </c>
      <c r="AF298" s="34">
        <v>-745.48299999999995</v>
      </c>
      <c r="AG298" s="65">
        <f t="shared" si="122"/>
        <v>9288.1033308771275</v>
      </c>
      <c r="AH298" s="65"/>
      <c r="AI298" s="66">
        <v>8075.0718474300502</v>
      </c>
      <c r="AJ298" s="34">
        <v>-38.126159570965889</v>
      </c>
      <c r="AK298" s="181">
        <v>1648.9013560034477</v>
      </c>
      <c r="AL298" s="65">
        <v>510</v>
      </c>
      <c r="AM298" s="34">
        <v>-744.67499999999995</v>
      </c>
      <c r="AN298" s="65">
        <f t="shared" si="123"/>
        <v>9451.1720438625325</v>
      </c>
      <c r="AO298" s="65"/>
      <c r="AP298" s="41">
        <v>8058.2724897256439</v>
      </c>
      <c r="AQ298" s="41">
        <v>-11.753626767329065</v>
      </c>
      <c r="AR298" s="41">
        <v>1827.5030426406443</v>
      </c>
      <c r="AS298" s="65">
        <v>0</v>
      </c>
      <c r="AT298" s="34">
        <v>-757.15300000000002</v>
      </c>
      <c r="AU298" s="65">
        <f t="shared" si="124"/>
        <v>9116.868905598958</v>
      </c>
      <c r="AV298" s="65"/>
      <c r="AW298" s="41">
        <v>1996.1100225921916</v>
      </c>
      <c r="AX298" s="314"/>
      <c r="AY298" s="314"/>
      <c r="AZ298" s="41">
        <v>565.56369020307</v>
      </c>
      <c r="BA298" s="65">
        <v>0</v>
      </c>
      <c r="BB298" s="34">
        <v>-776.61199999999997</v>
      </c>
      <c r="BC298" s="65">
        <f t="shared" si="144"/>
        <v>1785.0617127952614</v>
      </c>
      <c r="BD298" s="65"/>
      <c r="BE298" s="41">
        <v>1643.7966313391034</v>
      </c>
      <c r="BF298" s="314"/>
      <c r="BG298" s="314"/>
      <c r="BH298" s="41">
        <v>561.89909032566447</v>
      </c>
      <c r="BI298" s="65">
        <v>0</v>
      </c>
      <c r="BJ298" s="34">
        <v>-787.755</v>
      </c>
      <c r="BK298" s="65">
        <f t="shared" si="145"/>
        <v>1417.9407216647678</v>
      </c>
      <c r="BL298" s="65"/>
      <c r="BM298" s="41">
        <v>2035.1087323543827</v>
      </c>
      <c r="BN298" s="41">
        <v>350.70958790132823</v>
      </c>
      <c r="BO298" s="65">
        <v>0</v>
      </c>
      <c r="BP298" s="34">
        <v>-787.755</v>
      </c>
      <c r="BQ298" s="65">
        <f t="shared" si="125"/>
        <v>1598.063320255711</v>
      </c>
      <c r="BR298" s="65"/>
      <c r="BS298" s="41">
        <v>1893.7066537066341</v>
      </c>
      <c r="BT298" s="314"/>
      <c r="BU298" s="314"/>
      <c r="BV298" s="41">
        <v>377.61074232287916</v>
      </c>
      <c r="BW298" s="65">
        <v>0</v>
      </c>
      <c r="BX298" s="34">
        <v>-787.755</v>
      </c>
      <c r="BY298" s="65">
        <f t="shared" si="146"/>
        <v>1483.5623960295134</v>
      </c>
      <c r="CA298" s="5">
        <v>1874.7309478247444</v>
      </c>
      <c r="CB298" s="407">
        <v>405.63500305851119</v>
      </c>
      <c r="CC298" s="415">
        <v>0</v>
      </c>
      <c r="CD298" s="34">
        <v>-787.755</v>
      </c>
      <c r="CE298" s="65">
        <f t="shared" si="126"/>
        <v>1492.6109508832556</v>
      </c>
      <c r="CF298" s="407"/>
      <c r="CG298" s="5">
        <v>2154.4930897949839</v>
      </c>
      <c r="CH298" s="407">
        <v>430.19590244413655</v>
      </c>
      <c r="CI298" s="415">
        <v>0</v>
      </c>
      <c r="CJ298" s="34">
        <v>-787.755</v>
      </c>
      <c r="CK298" s="65">
        <f t="shared" si="127"/>
        <v>1796.9339922391205</v>
      </c>
      <c r="CL298" s="407"/>
      <c r="CM298" s="41">
        <f>AU298/'1. Väestöennuste'!L298*1000</f>
        <v>3413.2792608008076</v>
      </c>
      <c r="CN298" s="41">
        <f>BC298/'1. Väestöennuste'!M298*1000</f>
        <v>672.08648825122793</v>
      </c>
      <c r="CO298" s="41">
        <f>BK298/'1. Väestöennuste'!N298*1000</f>
        <v>554.9670143502027</v>
      </c>
      <c r="CP298" s="41">
        <f>BQ298/'1. Väestöennuste'!O298*1000</f>
        <v>638.71435661699081</v>
      </c>
      <c r="CQ298" s="41">
        <f>BY298/'1. Väestöennuste'!P298*1000</f>
        <v>604.54865363875854</v>
      </c>
      <c r="CR298" s="41">
        <f>CE298/'1. Väestöennuste'!Q298*1000</f>
        <v>619.59773801712561</v>
      </c>
      <c r="CS298" s="41">
        <f>CK298/'1. Väestöennuste'!R298*1000</f>
        <v>758.84036834422318</v>
      </c>
      <c r="CT298" s="41"/>
      <c r="CV298" s="41">
        <f t="shared" si="128"/>
        <v>2584.6889922391206</v>
      </c>
      <c r="CW298" s="41">
        <f t="shared" si="129"/>
        <v>1616.3452685616871</v>
      </c>
      <c r="CX298" s="41">
        <f t="shared" si="130"/>
        <v>-2741.1927725495798</v>
      </c>
      <c r="CY298" s="41">
        <f t="shared" si="131"/>
        <v>-117.11947390102523</v>
      </c>
      <c r="CZ298" s="41">
        <f t="shared" si="132"/>
        <v>83.74734226678811</v>
      </c>
      <c r="DA298" s="41">
        <f t="shared" si="133"/>
        <v>-34.165702978232275</v>
      </c>
      <c r="DB298" s="41">
        <f t="shared" si="134"/>
        <v>15.04908437836707</v>
      </c>
      <c r="DC298" s="41">
        <f t="shared" si="135"/>
        <v>139.24263032709757</v>
      </c>
      <c r="DD298" s="41"/>
      <c r="DE298" s="283">
        <f t="shared" si="136"/>
        <v>-3.2810823063504779</v>
      </c>
      <c r="DF298" s="283">
        <f t="shared" si="137"/>
        <v>0.89950174883585698</v>
      </c>
      <c r="DG298" s="283">
        <f t="shared" si="138"/>
        <v>-0.80309654238676442</v>
      </c>
      <c r="DH298" s="283">
        <f t="shared" si="139"/>
        <v>-0.17426250333609686</v>
      </c>
      <c r="DI298" s="283">
        <f t="shared" si="140"/>
        <v>0.15090508102512332</v>
      </c>
      <c r="DJ298" s="283">
        <f t="shared" si="141"/>
        <v>-5.3491365309516536E-2</v>
      </c>
      <c r="DK298" s="283">
        <f t="shared" si="142"/>
        <v>2.4893090552409843E-2</v>
      </c>
      <c r="DL298" s="283">
        <f t="shared" si="143"/>
        <v>0.22473069506791665</v>
      </c>
    </row>
    <row r="299" spans="1:116" x14ac:dyDescent="0.2">
      <c r="A299" s="30">
        <v>935</v>
      </c>
      <c r="B299" s="31" t="s">
        <v>613</v>
      </c>
      <c r="C299" s="65"/>
      <c r="D299" s="65"/>
      <c r="E299" s="65"/>
      <c r="F299" s="65"/>
      <c r="G299" s="65"/>
      <c r="H299" s="65">
        <v>9409</v>
      </c>
      <c r="I299" s="65"/>
      <c r="J299" s="65"/>
      <c r="K299" s="65"/>
      <c r="L299" s="65"/>
      <c r="M299" s="65"/>
      <c r="N299" s="65">
        <v>9347</v>
      </c>
      <c r="O299" s="65"/>
      <c r="P299" s="65"/>
      <c r="Q299" s="65"/>
      <c r="R299" s="65"/>
      <c r="S299" s="65"/>
      <c r="T299" s="65">
        <v>9264</v>
      </c>
      <c r="U299" s="65"/>
      <c r="V299" s="65"/>
      <c r="W299" s="65"/>
      <c r="X299" s="65"/>
      <c r="Y299" s="65"/>
      <c r="Z299" s="65">
        <v>9560</v>
      </c>
      <c r="AA299" s="65"/>
      <c r="AB299" s="66">
        <v>8979.6487025679144</v>
      </c>
      <c r="AC299" s="34">
        <v>53.084073150118364</v>
      </c>
      <c r="AD299" s="180">
        <v>1716.2989000779678</v>
      </c>
      <c r="AE299" s="65">
        <v>0</v>
      </c>
      <c r="AF299" s="34">
        <v>-50.122999999999998</v>
      </c>
      <c r="AG299" s="65">
        <f t="shared" si="122"/>
        <v>10698.908675795999</v>
      </c>
      <c r="AH299" s="65"/>
      <c r="AI299" s="66">
        <v>8275.7375336009809</v>
      </c>
      <c r="AJ299" s="34">
        <v>-40.981631141197703</v>
      </c>
      <c r="AK299" s="181">
        <v>1828.0707912048231</v>
      </c>
      <c r="AL299" s="65">
        <v>0</v>
      </c>
      <c r="AM299" s="34">
        <v>-299.654</v>
      </c>
      <c r="AN299" s="65">
        <f t="shared" si="123"/>
        <v>9763.1726936646064</v>
      </c>
      <c r="AO299" s="65"/>
      <c r="AP299" s="41">
        <v>8254.4309626605682</v>
      </c>
      <c r="AQ299" s="41">
        <v>-12.53767013299632</v>
      </c>
      <c r="AR299" s="41">
        <v>2082.5628176878849</v>
      </c>
      <c r="AS299" s="65">
        <v>550</v>
      </c>
      <c r="AT299" s="34">
        <v>-83.525000000000006</v>
      </c>
      <c r="AU299" s="65">
        <f t="shared" si="124"/>
        <v>10790.931110215457</v>
      </c>
      <c r="AV299" s="65"/>
      <c r="AW299" s="41">
        <v>1606.9400704286104</v>
      </c>
      <c r="AX299" s="314"/>
      <c r="AY299" s="314"/>
      <c r="AZ299" s="41">
        <v>632.60384786598991</v>
      </c>
      <c r="BA299" s="65">
        <v>0</v>
      </c>
      <c r="BB299" s="34">
        <v>62.258000000000003</v>
      </c>
      <c r="BC299" s="65">
        <f t="shared" si="144"/>
        <v>2301.8019182946</v>
      </c>
      <c r="BD299" s="65"/>
      <c r="BE299" s="41">
        <v>1217.8908569839493</v>
      </c>
      <c r="BF299" s="314"/>
      <c r="BG299" s="314"/>
      <c r="BH299" s="41">
        <v>622.48732514186258</v>
      </c>
      <c r="BI299" s="65">
        <v>0</v>
      </c>
      <c r="BJ299" s="34">
        <v>234.739</v>
      </c>
      <c r="BK299" s="65">
        <f t="shared" si="145"/>
        <v>2075.1171821258117</v>
      </c>
      <c r="BL299" s="65"/>
      <c r="BM299" s="41">
        <v>1719.7824845408193</v>
      </c>
      <c r="BN299" s="41">
        <v>404.9965248615344</v>
      </c>
      <c r="BO299" s="65">
        <v>0</v>
      </c>
      <c r="BP299" s="34">
        <v>234.739</v>
      </c>
      <c r="BQ299" s="65">
        <f t="shared" si="125"/>
        <v>2359.5180094023535</v>
      </c>
      <c r="BR299" s="65"/>
      <c r="BS299" s="41">
        <v>1679.7993002565786</v>
      </c>
      <c r="BT299" s="314"/>
      <c r="BU299" s="314"/>
      <c r="BV299" s="41">
        <v>436.23893495288121</v>
      </c>
      <c r="BW299" s="65">
        <v>0</v>
      </c>
      <c r="BX299" s="34">
        <v>234.739</v>
      </c>
      <c r="BY299" s="65">
        <f t="shared" si="146"/>
        <v>2350.7772352094598</v>
      </c>
      <c r="CA299" s="5">
        <v>1636.8888591381944</v>
      </c>
      <c r="CB299" s="407">
        <v>467.02677816135389</v>
      </c>
      <c r="CC299" s="415">
        <v>0</v>
      </c>
      <c r="CD299" s="34">
        <v>234.739</v>
      </c>
      <c r="CE299" s="65">
        <f t="shared" si="126"/>
        <v>2338.6546372995485</v>
      </c>
      <c r="CF299" s="407"/>
      <c r="CG299" s="5">
        <v>1904.4917915960066</v>
      </c>
      <c r="CH299" s="407">
        <v>493.99550707813773</v>
      </c>
      <c r="CI299" s="415">
        <v>0</v>
      </c>
      <c r="CJ299" s="34">
        <v>234.739</v>
      </c>
      <c r="CK299" s="65">
        <f t="shared" si="127"/>
        <v>2633.2262986741443</v>
      </c>
      <c r="CL299" s="407"/>
      <c r="CM299" s="41">
        <f>AU299/'1. Väestöennuste'!L299*1000</f>
        <v>3615.0522982296338</v>
      </c>
      <c r="CN299" s="41">
        <f>BC299/'1. Väestöennuste'!M299*1000</f>
        <v>786.40311523559956</v>
      </c>
      <c r="CO299" s="41">
        <f>BK299/'1. Väestöennuste'!N299*1000</f>
        <v>712.60892243331443</v>
      </c>
      <c r="CP299" s="41">
        <f>BQ299/'1. Väestöennuste'!O299*1000</f>
        <v>820.41655403419804</v>
      </c>
      <c r="CQ299" s="41">
        <f>BY299/'1. Väestöennuste'!P299*1000</f>
        <v>827.15595890551015</v>
      </c>
      <c r="CR299" s="41">
        <f>CE299/'1. Väestöennuste'!Q299*1000</f>
        <v>832.5577206477567</v>
      </c>
      <c r="CS299" s="41">
        <f>CK299/'1. Väestöennuste'!R299*1000</f>
        <v>948.56855139558513</v>
      </c>
      <c r="CT299" s="41"/>
      <c r="CV299" s="41">
        <f t="shared" si="128"/>
        <v>2398.4872986741443</v>
      </c>
      <c r="CW299" s="41">
        <f t="shared" si="129"/>
        <v>981.82599955548949</v>
      </c>
      <c r="CX299" s="41">
        <f t="shared" si="130"/>
        <v>-2828.6491829940342</v>
      </c>
      <c r="CY299" s="41">
        <f t="shared" si="131"/>
        <v>-73.794192802285124</v>
      </c>
      <c r="CZ299" s="41">
        <f t="shared" si="132"/>
        <v>107.80763160088361</v>
      </c>
      <c r="DA299" s="41">
        <f t="shared" si="133"/>
        <v>6.7394048713121038</v>
      </c>
      <c r="DB299" s="41">
        <f t="shared" si="134"/>
        <v>5.4017617422465491</v>
      </c>
      <c r="DC299" s="41">
        <f t="shared" si="135"/>
        <v>116.01083074782844</v>
      </c>
      <c r="DD299" s="41"/>
      <c r="DE299" s="283">
        <f t="shared" si="136"/>
        <v>10.217677074001953</v>
      </c>
      <c r="DF299" s="283">
        <f t="shared" si="137"/>
        <v>0.37286047160088315</v>
      </c>
      <c r="DG299" s="283">
        <f t="shared" si="138"/>
        <v>-0.78246424937732784</v>
      </c>
      <c r="DH299" s="283">
        <f t="shared" si="139"/>
        <v>-9.3837615050872514E-2</v>
      </c>
      <c r="DI299" s="283">
        <f t="shared" si="140"/>
        <v>0.15128582902492663</v>
      </c>
      <c r="DJ299" s="283">
        <f t="shared" si="141"/>
        <v>8.21461346455374E-3</v>
      </c>
      <c r="DK299" s="283">
        <f t="shared" si="142"/>
        <v>6.5305238801569429E-3</v>
      </c>
      <c r="DL299" s="283">
        <f t="shared" si="143"/>
        <v>0.13934268804518235</v>
      </c>
    </row>
    <row r="300" spans="1:116" x14ac:dyDescent="0.2">
      <c r="A300" s="30">
        <v>936</v>
      </c>
      <c r="B300" s="31" t="s">
        <v>614</v>
      </c>
      <c r="C300" s="65"/>
      <c r="D300" s="65"/>
      <c r="E300" s="65"/>
      <c r="F300" s="65"/>
      <c r="G300" s="65"/>
      <c r="H300" s="65">
        <v>23806</v>
      </c>
      <c r="I300" s="65"/>
      <c r="J300" s="65"/>
      <c r="K300" s="65"/>
      <c r="L300" s="65"/>
      <c r="M300" s="65"/>
      <c r="N300" s="65">
        <v>23466</v>
      </c>
      <c r="O300" s="65"/>
      <c r="P300" s="65"/>
      <c r="Q300" s="65"/>
      <c r="R300" s="65"/>
      <c r="S300" s="65"/>
      <c r="T300" s="65">
        <v>23233</v>
      </c>
      <c r="U300" s="65"/>
      <c r="V300" s="65"/>
      <c r="W300" s="65"/>
      <c r="X300" s="65"/>
      <c r="Y300" s="65"/>
      <c r="Z300" s="65">
        <v>23198</v>
      </c>
      <c r="AA300" s="65"/>
      <c r="AB300" s="66">
        <v>22572.106590049701</v>
      </c>
      <c r="AC300" s="34">
        <v>110.9525824492826</v>
      </c>
      <c r="AD300" s="180">
        <v>3914.0913290725202</v>
      </c>
      <c r="AE300" s="65">
        <v>0</v>
      </c>
      <c r="AF300" s="34">
        <v>383.95100000000002</v>
      </c>
      <c r="AG300" s="65">
        <f t="shared" si="122"/>
        <v>26981.101501571502</v>
      </c>
      <c r="AH300" s="65"/>
      <c r="AI300" s="66">
        <v>22081.352008329264</v>
      </c>
      <c r="AJ300" s="34">
        <v>-85.112916767383211</v>
      </c>
      <c r="AK300" s="181">
        <v>4167.6700003833894</v>
      </c>
      <c r="AL300" s="65">
        <v>0</v>
      </c>
      <c r="AM300" s="34">
        <v>450.85700000000003</v>
      </c>
      <c r="AN300" s="65">
        <f t="shared" si="123"/>
        <v>26614.766091945272</v>
      </c>
      <c r="AO300" s="65"/>
      <c r="AP300" s="41">
        <v>22653.884287847355</v>
      </c>
      <c r="AQ300" s="41">
        <v>-26.043813226279639</v>
      </c>
      <c r="AR300" s="41">
        <v>4607.2842549322604</v>
      </c>
      <c r="AS300" s="65">
        <v>0</v>
      </c>
      <c r="AT300" s="34">
        <v>524.88300000000004</v>
      </c>
      <c r="AU300" s="65">
        <f t="shared" si="124"/>
        <v>27760.007729553337</v>
      </c>
      <c r="AV300" s="65"/>
      <c r="AW300" s="41">
        <v>5645.5001686939986</v>
      </c>
      <c r="AX300" s="314"/>
      <c r="AY300" s="314"/>
      <c r="AZ300" s="41">
        <v>1423.6256235486303</v>
      </c>
      <c r="BA300" s="65">
        <v>0</v>
      </c>
      <c r="BB300" s="34">
        <v>714.83500000000004</v>
      </c>
      <c r="BC300" s="65">
        <f t="shared" si="144"/>
        <v>7783.9607922426285</v>
      </c>
      <c r="BD300" s="65"/>
      <c r="BE300" s="41">
        <v>5422.7639173948955</v>
      </c>
      <c r="BF300" s="314"/>
      <c r="BG300" s="314"/>
      <c r="BH300" s="41">
        <v>1416.5791150791265</v>
      </c>
      <c r="BI300" s="65">
        <v>0</v>
      </c>
      <c r="BJ300" s="34">
        <v>546.99699999999996</v>
      </c>
      <c r="BK300" s="65">
        <f t="shared" si="145"/>
        <v>7386.3400324740223</v>
      </c>
      <c r="BL300" s="65"/>
      <c r="BM300" s="41">
        <v>6407.7433561155194</v>
      </c>
      <c r="BN300" s="41">
        <v>1031.1341481790541</v>
      </c>
      <c r="BO300" s="65">
        <v>0</v>
      </c>
      <c r="BP300" s="34">
        <v>546.99699999999996</v>
      </c>
      <c r="BQ300" s="65">
        <f t="shared" si="125"/>
        <v>7985.8745042945739</v>
      </c>
      <c r="BR300" s="65"/>
      <c r="BS300" s="41">
        <v>6052.5980878278406</v>
      </c>
      <c r="BT300" s="314"/>
      <c r="BU300" s="314"/>
      <c r="BV300" s="41">
        <v>1096.3252962377862</v>
      </c>
      <c r="BW300" s="65">
        <v>0</v>
      </c>
      <c r="BX300" s="34">
        <v>546.99699999999996</v>
      </c>
      <c r="BY300" s="65">
        <f t="shared" si="146"/>
        <v>7695.9203840656273</v>
      </c>
      <c r="CA300" s="5">
        <v>5776.6363779120484</v>
      </c>
      <c r="CB300" s="407">
        <v>1164.5064776863394</v>
      </c>
      <c r="CC300" s="415">
        <v>0</v>
      </c>
      <c r="CD300" s="34">
        <v>546.99699999999996</v>
      </c>
      <c r="CE300" s="65">
        <f t="shared" si="126"/>
        <v>7488.1398555983878</v>
      </c>
      <c r="CF300" s="407"/>
      <c r="CG300" s="5">
        <v>6536.4064626105383</v>
      </c>
      <c r="CH300" s="407">
        <v>1225.0125462556289</v>
      </c>
      <c r="CI300" s="415">
        <v>0</v>
      </c>
      <c r="CJ300" s="34">
        <v>546.99699999999996</v>
      </c>
      <c r="CK300" s="65">
        <f t="shared" si="127"/>
        <v>8308.4160088661665</v>
      </c>
      <c r="CL300" s="407"/>
      <c r="CM300" s="41">
        <f>AU300/'1. Väestöennuste'!L300*1000</f>
        <v>4340.892530031796</v>
      </c>
      <c r="CN300" s="41">
        <f>BC300/'1. Väestöennuste'!M300*1000</f>
        <v>1240.4718394012157</v>
      </c>
      <c r="CO300" s="41">
        <f>BK300/'1. Väestöennuste'!N300*1000</f>
        <v>1204.7529004198373</v>
      </c>
      <c r="CP300" s="41">
        <f>BQ300/'1. Väestöennuste'!O300*1000</f>
        <v>1320.4157579852138</v>
      </c>
      <c r="CQ300" s="41">
        <f>BY300/'1. Väestöennuste'!P300*1000</f>
        <v>1289.5308954533557</v>
      </c>
      <c r="CR300" s="41">
        <f>CE300/'1. Väestöennuste'!Q300*1000</f>
        <v>1270.4682483200522</v>
      </c>
      <c r="CS300" s="41">
        <f>CK300/'1. Väestöennuste'!R300*1000</f>
        <v>1427.3176445397983</v>
      </c>
      <c r="CT300" s="41"/>
      <c r="CV300" s="41">
        <f t="shared" si="128"/>
        <v>7761.4190088661662</v>
      </c>
      <c r="CW300" s="41">
        <f t="shared" si="129"/>
        <v>-3967.5234788343705</v>
      </c>
      <c r="CX300" s="41">
        <f t="shared" si="130"/>
        <v>-3100.4206906305803</v>
      </c>
      <c r="CY300" s="41">
        <f t="shared" si="131"/>
        <v>-35.718938981378415</v>
      </c>
      <c r="CZ300" s="41">
        <f t="shared" si="132"/>
        <v>115.6628575653765</v>
      </c>
      <c r="DA300" s="41">
        <f t="shared" si="133"/>
        <v>-30.884862531858062</v>
      </c>
      <c r="DB300" s="41">
        <f t="shared" si="134"/>
        <v>-19.062647133303471</v>
      </c>
      <c r="DC300" s="41">
        <f t="shared" si="135"/>
        <v>156.84939621974604</v>
      </c>
      <c r="DD300" s="41"/>
      <c r="DE300" s="283">
        <f t="shared" si="136"/>
        <v>14.189143649537689</v>
      </c>
      <c r="DF300" s="283">
        <f t="shared" si="137"/>
        <v>-0.47753067186338577</v>
      </c>
      <c r="DG300" s="283">
        <f t="shared" si="138"/>
        <v>-0.71423576353959417</v>
      </c>
      <c r="DH300" s="283">
        <f t="shared" si="139"/>
        <v>-2.8794639142005991E-2</v>
      </c>
      <c r="DI300" s="283">
        <f t="shared" si="140"/>
        <v>9.6005460974669429E-2</v>
      </c>
      <c r="DJ300" s="283">
        <f t="shared" si="141"/>
        <v>-2.3390255944070546E-2</v>
      </c>
      <c r="DK300" s="283">
        <f t="shared" si="142"/>
        <v>-1.4782621494773636E-2</v>
      </c>
      <c r="DL300" s="283">
        <f t="shared" si="143"/>
        <v>0.12345794271297134</v>
      </c>
    </row>
    <row r="301" spans="1:116" x14ac:dyDescent="0.2">
      <c r="A301" s="30">
        <v>946</v>
      </c>
      <c r="B301" s="31" t="s">
        <v>615</v>
      </c>
      <c r="C301" s="65"/>
      <c r="D301" s="65"/>
      <c r="E301" s="65"/>
      <c r="F301" s="65"/>
      <c r="G301" s="65"/>
      <c r="H301" s="65">
        <v>18522</v>
      </c>
      <c r="I301" s="65"/>
      <c r="J301" s="65"/>
      <c r="K301" s="65"/>
      <c r="L301" s="65"/>
      <c r="M301" s="65"/>
      <c r="N301" s="65">
        <v>17850</v>
      </c>
      <c r="O301" s="65"/>
      <c r="P301" s="65"/>
      <c r="Q301" s="65"/>
      <c r="R301" s="65"/>
      <c r="S301" s="65"/>
      <c r="T301" s="65">
        <v>18042</v>
      </c>
      <c r="U301" s="65"/>
      <c r="V301" s="65"/>
      <c r="W301" s="65"/>
      <c r="X301" s="65"/>
      <c r="Y301" s="65"/>
      <c r="Z301" s="65">
        <v>18728</v>
      </c>
      <c r="AA301" s="65"/>
      <c r="AB301" s="66">
        <v>17788.926430892254</v>
      </c>
      <c r="AC301" s="34">
        <v>113.54798247310232</v>
      </c>
      <c r="AD301" s="180">
        <v>3667.9059760416039</v>
      </c>
      <c r="AE301" s="65">
        <v>0</v>
      </c>
      <c r="AF301" s="34">
        <v>722.78099999999995</v>
      </c>
      <c r="AG301" s="65">
        <f t="shared" si="122"/>
        <v>22293.161389406956</v>
      </c>
      <c r="AH301" s="65"/>
      <c r="AI301" s="66">
        <v>16927.564926856594</v>
      </c>
      <c r="AJ301" s="34">
        <v>-87.778676448896945</v>
      </c>
      <c r="AK301" s="181">
        <v>3923.9160021574889</v>
      </c>
      <c r="AL301" s="65">
        <v>0</v>
      </c>
      <c r="AM301" s="34">
        <v>-16.334</v>
      </c>
      <c r="AN301" s="65">
        <f t="shared" si="123"/>
        <v>20747.368252565189</v>
      </c>
      <c r="AO301" s="65"/>
      <c r="AP301" s="41">
        <v>17551.745247270093</v>
      </c>
      <c r="AQ301" s="41">
        <v>-27.013082265096518</v>
      </c>
      <c r="AR301" s="41">
        <v>4456.3671899150304</v>
      </c>
      <c r="AS301" s="65">
        <v>0</v>
      </c>
      <c r="AT301" s="34">
        <v>701.10599999999999</v>
      </c>
      <c r="AU301" s="65">
        <f t="shared" si="124"/>
        <v>22682.205354920028</v>
      </c>
      <c r="AV301" s="65"/>
      <c r="AW301" s="41">
        <v>7027.8692214830862</v>
      </c>
      <c r="AX301" s="314"/>
      <c r="AY301" s="314"/>
      <c r="AZ301" s="41">
        <v>1380.2185947131672</v>
      </c>
      <c r="BA301" s="65">
        <v>0</v>
      </c>
      <c r="BB301" s="34">
        <v>591.03700000000003</v>
      </c>
      <c r="BC301" s="65">
        <f t="shared" si="144"/>
        <v>8999.124816196254</v>
      </c>
      <c r="BD301" s="65"/>
      <c r="BE301" s="41">
        <v>6810.5383614995026</v>
      </c>
      <c r="BF301" s="314"/>
      <c r="BG301" s="314"/>
      <c r="BH301" s="41">
        <v>1364.0351441720411</v>
      </c>
      <c r="BI301" s="65">
        <v>0</v>
      </c>
      <c r="BJ301" s="34">
        <v>746.12099999999998</v>
      </c>
      <c r="BK301" s="65">
        <f t="shared" si="145"/>
        <v>8920.6945056715431</v>
      </c>
      <c r="BL301" s="65"/>
      <c r="BM301" s="41">
        <v>7844.4296626934129</v>
      </c>
      <c r="BN301" s="41">
        <v>870.5352709945829</v>
      </c>
      <c r="BO301" s="65">
        <v>0</v>
      </c>
      <c r="BP301" s="34">
        <v>746.12099999999998</v>
      </c>
      <c r="BQ301" s="65">
        <f t="shared" si="125"/>
        <v>9461.0859336879948</v>
      </c>
      <c r="BR301" s="65"/>
      <c r="BS301" s="41">
        <v>8248.6840699996301</v>
      </c>
      <c r="BT301" s="314"/>
      <c r="BU301" s="314"/>
      <c r="BV301" s="41">
        <v>930.82615772065606</v>
      </c>
      <c r="BW301" s="65">
        <v>0</v>
      </c>
      <c r="BX301" s="34">
        <v>746.12099999999998</v>
      </c>
      <c r="BY301" s="65">
        <f t="shared" si="146"/>
        <v>9925.6312277202851</v>
      </c>
      <c r="CA301" s="5">
        <v>8308.478751466464</v>
      </c>
      <c r="CB301" s="407">
        <v>990.81705554482107</v>
      </c>
      <c r="CC301" s="415">
        <v>0</v>
      </c>
      <c r="CD301" s="34">
        <v>746.12099999999998</v>
      </c>
      <c r="CE301" s="65">
        <f t="shared" si="126"/>
        <v>10045.416807011285</v>
      </c>
      <c r="CF301" s="407"/>
      <c r="CG301" s="5">
        <v>8846.1040095737462</v>
      </c>
      <c r="CH301" s="407">
        <v>1043.030653772264</v>
      </c>
      <c r="CI301" s="415">
        <v>0</v>
      </c>
      <c r="CJ301" s="34">
        <v>746.12099999999998</v>
      </c>
      <c r="CK301" s="65">
        <f t="shared" si="127"/>
        <v>10635.25566334601</v>
      </c>
      <c r="CL301" s="407"/>
      <c r="CM301" s="41">
        <f>AU301/'1. Väestöennuste'!L301*1000</f>
        <v>3607.7947120916224</v>
      </c>
      <c r="CN301" s="41">
        <f>BC301/'1. Väestöennuste'!M301*1000</f>
        <v>1430.4760477183681</v>
      </c>
      <c r="CO301" s="41">
        <f>BK301/'1. Väestöennuste'!N301*1000</f>
        <v>1447.4597607774692</v>
      </c>
      <c r="CP301" s="41">
        <f>BQ301/'1. Väestöennuste'!O301*1000</f>
        <v>1548.9662628827759</v>
      </c>
      <c r="CQ301" s="41">
        <f>BY301/'1. Väestöennuste'!P301*1000</f>
        <v>1639.2454546193701</v>
      </c>
      <c r="CR301" s="41">
        <f>CE301/'1. Väestöennuste'!Q301*1000</f>
        <v>1674.5152203719426</v>
      </c>
      <c r="CS301" s="41">
        <f>CK301/'1. Väestöennuste'!R301*1000</f>
        <v>1790.1457100397256</v>
      </c>
      <c r="CT301" s="41"/>
      <c r="CV301" s="41">
        <f t="shared" si="128"/>
        <v>9889.1346633460107</v>
      </c>
      <c r="CW301" s="41">
        <f t="shared" si="129"/>
        <v>-7027.4609512543875</v>
      </c>
      <c r="CX301" s="41">
        <f t="shared" si="130"/>
        <v>-2177.3186643732543</v>
      </c>
      <c r="CY301" s="41">
        <f t="shared" si="131"/>
        <v>16.983713059101092</v>
      </c>
      <c r="CZ301" s="41">
        <f t="shared" si="132"/>
        <v>101.50650210530671</v>
      </c>
      <c r="DA301" s="41">
        <f t="shared" si="133"/>
        <v>90.279191736594157</v>
      </c>
      <c r="DB301" s="41">
        <f t="shared" si="134"/>
        <v>35.269765752572539</v>
      </c>
      <c r="DC301" s="41">
        <f t="shared" si="135"/>
        <v>115.63048966778297</v>
      </c>
      <c r="DD301" s="41"/>
      <c r="DE301" s="283">
        <f t="shared" si="136"/>
        <v>13.254062897768607</v>
      </c>
      <c r="DF301" s="283">
        <f t="shared" si="137"/>
        <v>-0.66077028834146934</v>
      </c>
      <c r="DG301" s="283">
        <f t="shared" si="138"/>
        <v>-0.60350403449395595</v>
      </c>
      <c r="DH301" s="283">
        <f t="shared" si="139"/>
        <v>1.1872769967865161E-2</v>
      </c>
      <c r="DI301" s="283">
        <f t="shared" si="140"/>
        <v>7.0127339533628805E-2</v>
      </c>
      <c r="DJ301" s="283">
        <f t="shared" si="141"/>
        <v>5.8283510687040956E-2</v>
      </c>
      <c r="DK301" s="283">
        <f t="shared" si="142"/>
        <v>2.151585392729493E-2</v>
      </c>
      <c r="DL301" s="283">
        <f t="shared" si="143"/>
        <v>6.9053113558501522E-2</v>
      </c>
    </row>
    <row r="302" spans="1:116" x14ac:dyDescent="0.2">
      <c r="A302" s="30">
        <v>976</v>
      </c>
      <c r="B302" s="31" t="s">
        <v>616</v>
      </c>
      <c r="C302" s="65"/>
      <c r="D302" s="65"/>
      <c r="E302" s="65"/>
      <c r="F302" s="65"/>
      <c r="G302" s="65"/>
      <c r="H302" s="65">
        <v>19154</v>
      </c>
      <c r="I302" s="65"/>
      <c r="J302" s="65"/>
      <c r="K302" s="65"/>
      <c r="L302" s="65"/>
      <c r="M302" s="65"/>
      <c r="N302" s="65">
        <v>18636</v>
      </c>
      <c r="O302" s="65"/>
      <c r="P302" s="65"/>
      <c r="Q302" s="65"/>
      <c r="R302" s="65"/>
      <c r="S302" s="65"/>
      <c r="T302" s="65">
        <v>18432</v>
      </c>
      <c r="U302" s="65"/>
      <c r="V302" s="65"/>
      <c r="W302" s="65"/>
      <c r="X302" s="65"/>
      <c r="Y302" s="65"/>
      <c r="Z302" s="65">
        <v>18109</v>
      </c>
      <c r="AA302" s="65"/>
      <c r="AB302" s="66">
        <v>18348.327181342775</v>
      </c>
      <c r="AC302" s="34">
        <v>63.135767711588102</v>
      </c>
      <c r="AD302" s="180">
        <v>2290.4949998317165</v>
      </c>
      <c r="AE302" s="65">
        <v>0</v>
      </c>
      <c r="AF302" s="34">
        <v>-596.54300000000001</v>
      </c>
      <c r="AG302" s="65">
        <f t="shared" si="122"/>
        <v>20105.414948886078</v>
      </c>
      <c r="AH302" s="65"/>
      <c r="AI302" s="66">
        <v>17744.35666795442</v>
      </c>
      <c r="AJ302" s="34">
        <v>-49.037508759295299</v>
      </c>
      <c r="AK302" s="181">
        <v>2426.7028732774056</v>
      </c>
      <c r="AL302" s="65">
        <v>0</v>
      </c>
      <c r="AM302" s="34">
        <v>-2.9430000000000001</v>
      </c>
      <c r="AN302" s="65">
        <f t="shared" si="123"/>
        <v>20119.079032472531</v>
      </c>
      <c r="AO302" s="65"/>
      <c r="AP302" s="41">
        <v>18313.109738894469</v>
      </c>
      <c r="AQ302" s="41">
        <v>-15.115200037269641</v>
      </c>
      <c r="AR302" s="41">
        <v>2696.6539618642373</v>
      </c>
      <c r="AS302" s="65">
        <v>0</v>
      </c>
      <c r="AT302" s="34">
        <v>-317.11399999999998</v>
      </c>
      <c r="AU302" s="65">
        <f t="shared" si="124"/>
        <v>20677.534500721435</v>
      </c>
      <c r="AV302" s="65"/>
      <c r="AW302" s="41">
        <v>4841.5866094468583</v>
      </c>
      <c r="AX302" s="314"/>
      <c r="AY302" s="314"/>
      <c r="AZ302" s="41">
        <v>829.62110435336342</v>
      </c>
      <c r="BA302" s="65">
        <v>0</v>
      </c>
      <c r="BB302" s="34">
        <v>-695.84400000000005</v>
      </c>
      <c r="BC302" s="65">
        <f t="shared" si="144"/>
        <v>4975.3637138002214</v>
      </c>
      <c r="BD302" s="65"/>
      <c r="BE302" s="41">
        <v>3273.17091270224</v>
      </c>
      <c r="BF302" s="314"/>
      <c r="BG302" s="314"/>
      <c r="BH302" s="41">
        <v>822.77108316311535</v>
      </c>
      <c r="BI302" s="65">
        <v>0</v>
      </c>
      <c r="BJ302" s="34">
        <v>-717.93100000000004</v>
      </c>
      <c r="BK302" s="65">
        <f t="shared" si="145"/>
        <v>3378.0109958653552</v>
      </c>
      <c r="BL302" s="65"/>
      <c r="BM302" s="41">
        <v>4341.5955073034629</v>
      </c>
      <c r="BN302" s="41">
        <v>613.3308309669552</v>
      </c>
      <c r="BO302" s="65">
        <v>0</v>
      </c>
      <c r="BP302" s="34">
        <v>-717.93100000000004</v>
      </c>
      <c r="BQ302" s="65">
        <f t="shared" si="125"/>
        <v>4236.9953382704189</v>
      </c>
      <c r="BR302" s="65"/>
      <c r="BS302" s="41">
        <v>4380.483762269806</v>
      </c>
      <c r="BT302" s="314"/>
      <c r="BU302" s="314"/>
      <c r="BV302" s="41">
        <v>648.59338107956239</v>
      </c>
      <c r="BW302" s="65">
        <v>0</v>
      </c>
      <c r="BX302" s="34">
        <v>-717.93100000000004</v>
      </c>
      <c r="BY302" s="65">
        <f t="shared" si="146"/>
        <v>4311.1461433493678</v>
      </c>
      <c r="CA302" s="5">
        <v>4336.5996436990599</v>
      </c>
      <c r="CB302" s="407">
        <v>683.63768671514106</v>
      </c>
      <c r="CC302" s="415">
        <v>0</v>
      </c>
      <c r="CD302" s="34">
        <v>-717.93100000000004</v>
      </c>
      <c r="CE302" s="65">
        <f t="shared" si="126"/>
        <v>4302.3063304142015</v>
      </c>
      <c r="CF302" s="407"/>
      <c r="CG302" s="5">
        <v>4862.7471508905892</v>
      </c>
      <c r="CH302" s="407">
        <v>714.16394241481726</v>
      </c>
      <c r="CI302" s="415">
        <v>0</v>
      </c>
      <c r="CJ302" s="34">
        <v>-717.93100000000004</v>
      </c>
      <c r="CK302" s="65">
        <f t="shared" si="127"/>
        <v>4858.9800933054066</v>
      </c>
      <c r="CL302" s="407"/>
      <c r="CM302" s="41">
        <f>AU302/'1. Väestöennuste'!L302*1000</f>
        <v>5458.6944299687002</v>
      </c>
      <c r="CN302" s="41">
        <f>BC302/'1. Väestöennuste'!M302*1000</f>
        <v>1321.4777460292753</v>
      </c>
      <c r="CO302" s="41">
        <f>BK302/'1. Väestöennuste'!N302*1000</f>
        <v>939.6414453032977</v>
      </c>
      <c r="CP302" s="41">
        <f>BQ302/'1. Väestöennuste'!O302*1000</f>
        <v>1197.5679305456244</v>
      </c>
      <c r="CQ302" s="41">
        <f>BY302/'1. Väestöennuste'!P302*1000</f>
        <v>1238.1235334145226</v>
      </c>
      <c r="CR302" s="41">
        <f>CE302/'1. Väestöennuste'!Q302*1000</f>
        <v>1254.3167144064728</v>
      </c>
      <c r="CS302" s="41">
        <f>CK302/'1. Väestöennuste'!R302*1000</f>
        <v>1438.4192105699842</v>
      </c>
      <c r="CT302" s="41"/>
      <c r="CV302" s="41">
        <f t="shared" si="128"/>
        <v>5576.9110933054071</v>
      </c>
      <c r="CW302" s="41">
        <f t="shared" si="129"/>
        <v>599.71433666329358</v>
      </c>
      <c r="CX302" s="41">
        <f t="shared" si="130"/>
        <v>-4137.2166839394249</v>
      </c>
      <c r="CY302" s="41">
        <f t="shared" si="131"/>
        <v>-381.83630072597759</v>
      </c>
      <c r="CZ302" s="41">
        <f t="shared" si="132"/>
        <v>257.92648524232675</v>
      </c>
      <c r="DA302" s="41">
        <f t="shared" si="133"/>
        <v>40.555602868898177</v>
      </c>
      <c r="DB302" s="41">
        <f t="shared" si="134"/>
        <v>16.193180991950157</v>
      </c>
      <c r="DC302" s="41">
        <f t="shared" si="135"/>
        <v>184.10249616351143</v>
      </c>
      <c r="DD302" s="41"/>
      <c r="DE302" s="283">
        <f t="shared" si="136"/>
        <v>-7.768032155326078</v>
      </c>
      <c r="DF302" s="283">
        <f t="shared" si="137"/>
        <v>0.12342391307376757</v>
      </c>
      <c r="DG302" s="283">
        <f t="shared" si="138"/>
        <v>-0.75791322211145407</v>
      </c>
      <c r="DH302" s="283">
        <f t="shared" si="139"/>
        <v>-0.28894644792415491</v>
      </c>
      <c r="DI302" s="283">
        <f t="shared" si="140"/>
        <v>0.27449458145077155</v>
      </c>
      <c r="DJ302" s="283">
        <f t="shared" si="141"/>
        <v>3.3864970691408397E-2</v>
      </c>
      <c r="DK302" s="283">
        <f t="shared" si="142"/>
        <v>1.3078808822325079E-2</v>
      </c>
      <c r="DL302" s="283">
        <f t="shared" si="143"/>
        <v>0.14677512788357164</v>
      </c>
    </row>
    <row r="303" spans="1:116" x14ac:dyDescent="0.2">
      <c r="A303" s="30">
        <v>977</v>
      </c>
      <c r="B303" s="31" t="s">
        <v>617</v>
      </c>
      <c r="C303" s="65"/>
      <c r="D303" s="65"/>
      <c r="E303" s="65"/>
      <c r="F303" s="65"/>
      <c r="G303" s="65"/>
      <c r="H303" s="65">
        <v>34049</v>
      </c>
      <c r="I303" s="65"/>
      <c r="J303" s="65"/>
      <c r="K303" s="65"/>
      <c r="L303" s="65"/>
      <c r="M303" s="65"/>
      <c r="N303" s="65">
        <v>35298</v>
      </c>
      <c r="O303" s="65"/>
      <c r="P303" s="65"/>
      <c r="Q303" s="65"/>
      <c r="R303" s="65"/>
      <c r="S303" s="65"/>
      <c r="T303" s="65">
        <v>35920</v>
      </c>
      <c r="U303" s="65"/>
      <c r="V303" s="65"/>
      <c r="W303" s="65"/>
      <c r="X303" s="65"/>
      <c r="Y303" s="65"/>
      <c r="Z303" s="65">
        <v>37998</v>
      </c>
      <c r="AA303" s="65"/>
      <c r="AB303" s="66">
        <v>38945.047223985683</v>
      </c>
      <c r="AC303" s="34">
        <v>279.19767152708914</v>
      </c>
      <c r="AD303" s="180">
        <v>6496.7090709865533</v>
      </c>
      <c r="AE303" s="65">
        <v>1500</v>
      </c>
      <c r="AF303" s="34">
        <v>256.95999999999998</v>
      </c>
      <c r="AG303" s="65">
        <f t="shared" si="122"/>
        <v>47477.91396649932</v>
      </c>
      <c r="AH303" s="65"/>
      <c r="AI303" s="66">
        <v>37389.116981162202</v>
      </c>
      <c r="AJ303" s="34">
        <v>-216.88324287871254</v>
      </c>
      <c r="AK303" s="181">
        <v>7022.9584606117514</v>
      </c>
      <c r="AL303" s="65">
        <v>1500</v>
      </c>
      <c r="AM303" s="34">
        <v>277.36099999999999</v>
      </c>
      <c r="AN303" s="65">
        <f t="shared" si="123"/>
        <v>45972.553198895235</v>
      </c>
      <c r="AO303" s="65"/>
      <c r="AP303" s="41">
        <v>39889.514264345598</v>
      </c>
      <c r="AQ303" s="41">
        <v>-66.905452289249936</v>
      </c>
      <c r="AR303" s="41">
        <v>8059.607874996831</v>
      </c>
      <c r="AS303" s="65">
        <v>0</v>
      </c>
      <c r="AT303" s="34">
        <v>360.62</v>
      </c>
      <c r="AU303" s="65">
        <f t="shared" si="124"/>
        <v>48242.836687053183</v>
      </c>
      <c r="AV303" s="65"/>
      <c r="AW303" s="41">
        <v>16240.762157383886</v>
      </c>
      <c r="AX303" s="314"/>
      <c r="AY303" s="314"/>
      <c r="AZ303" s="41">
        <v>2434.8879310677739</v>
      </c>
      <c r="BA303" s="65">
        <v>0</v>
      </c>
      <c r="BB303" s="34">
        <v>182.83600000000001</v>
      </c>
      <c r="BC303" s="65">
        <f t="shared" si="144"/>
        <v>18858.48608845166</v>
      </c>
      <c r="BD303" s="65"/>
      <c r="BE303" s="41">
        <v>14467.646755180474</v>
      </c>
      <c r="BF303" s="314"/>
      <c r="BG303" s="314"/>
      <c r="BH303" s="41">
        <v>2433.4132831903498</v>
      </c>
      <c r="BI303" s="65">
        <v>0</v>
      </c>
      <c r="BJ303" s="34">
        <v>295.18299999999999</v>
      </c>
      <c r="BK303" s="65">
        <f t="shared" si="145"/>
        <v>17196.243038370823</v>
      </c>
      <c r="BL303" s="65"/>
      <c r="BM303" s="41">
        <v>15848.323703892187</v>
      </c>
      <c r="BN303" s="41">
        <v>1079.7474070678845</v>
      </c>
      <c r="BO303" s="65">
        <v>0</v>
      </c>
      <c r="BP303" s="34">
        <v>295.18299999999999</v>
      </c>
      <c r="BQ303" s="65">
        <f t="shared" si="125"/>
        <v>17223.254110960072</v>
      </c>
      <c r="BR303" s="65"/>
      <c r="BS303" s="41">
        <v>16592.340924398537</v>
      </c>
      <c r="BT303" s="314"/>
      <c r="BU303" s="314"/>
      <c r="BV303" s="41">
        <v>1219.1306463235776</v>
      </c>
      <c r="BW303" s="65">
        <v>0</v>
      </c>
      <c r="BX303" s="34">
        <v>295.18299999999999</v>
      </c>
      <c r="BY303" s="65">
        <f t="shared" si="146"/>
        <v>18106.654570722116</v>
      </c>
      <c r="CA303" s="5">
        <v>17059.278615787174</v>
      </c>
      <c r="CB303" s="407">
        <v>1363.7152881577574</v>
      </c>
      <c r="CC303" s="415">
        <v>0</v>
      </c>
      <c r="CD303" s="34">
        <v>295.18299999999999</v>
      </c>
      <c r="CE303" s="65">
        <f t="shared" si="126"/>
        <v>18718.176903944932</v>
      </c>
      <c r="CF303" s="407"/>
      <c r="CG303" s="5">
        <v>17699.086434549528</v>
      </c>
      <c r="CH303" s="407">
        <v>1489.145313600613</v>
      </c>
      <c r="CI303" s="415">
        <v>0</v>
      </c>
      <c r="CJ303" s="34">
        <v>295.18299999999999</v>
      </c>
      <c r="CK303" s="65">
        <f t="shared" si="127"/>
        <v>19483.414748150142</v>
      </c>
      <c r="CL303" s="407"/>
      <c r="CM303" s="41">
        <f>AU303/'1. Väestöennuste'!L303*1000</f>
        <v>3154.5698481039153</v>
      </c>
      <c r="CN303" s="41">
        <f>BC303/'1. Väestöennuste'!M303*1000</f>
        <v>1227.0470485035892</v>
      </c>
      <c r="CO303" s="41">
        <f>BK303/'1. Väestöennuste'!N303*1000</f>
        <v>1111.8739841181186</v>
      </c>
      <c r="CP303" s="41">
        <f>BQ303/'1. Väestöennuste'!O303*1000</f>
        <v>1112.1822362753501</v>
      </c>
      <c r="CQ303" s="41">
        <f>BY303/'1. Väestöennuste'!P303*1000</f>
        <v>1168.3220138548274</v>
      </c>
      <c r="CR303" s="41">
        <f>CE303/'1. Väestöennuste'!Q303*1000</f>
        <v>1207.7022326566187</v>
      </c>
      <c r="CS303" s="41">
        <f>CK303/'1. Väestöennuste'!R303*1000</f>
        <v>1257.8059876145992</v>
      </c>
      <c r="CT303" s="41"/>
      <c r="CV303" s="41">
        <f t="shared" si="128"/>
        <v>19188.231748150141</v>
      </c>
      <c r="CW303" s="41">
        <f t="shared" si="129"/>
        <v>-16328.844900046228</v>
      </c>
      <c r="CX303" s="41">
        <f t="shared" si="130"/>
        <v>-1927.5227996003262</v>
      </c>
      <c r="CY303" s="41">
        <f t="shared" si="131"/>
        <v>-115.17306438547052</v>
      </c>
      <c r="CZ303" s="41">
        <f t="shared" si="132"/>
        <v>0.30825215723143629</v>
      </c>
      <c r="DA303" s="41">
        <f t="shared" si="133"/>
        <v>56.139777579477368</v>
      </c>
      <c r="DB303" s="41">
        <f t="shared" si="134"/>
        <v>39.380218801791216</v>
      </c>
      <c r="DC303" s="41">
        <f t="shared" si="135"/>
        <v>50.103754957980527</v>
      </c>
      <c r="DD303" s="41"/>
      <c r="DE303" s="283">
        <f t="shared" si="136"/>
        <v>65.004528540431338</v>
      </c>
      <c r="DF303" s="283">
        <f t="shared" si="137"/>
        <v>-0.83808947821102942</v>
      </c>
      <c r="DG303" s="283">
        <f t="shared" si="138"/>
        <v>-0.6110255573383111</v>
      </c>
      <c r="DH303" s="283">
        <f t="shared" si="139"/>
        <v>-9.3861979070750876E-2</v>
      </c>
      <c r="DI303" s="283">
        <f t="shared" si="140"/>
        <v>2.7723659482502066E-4</v>
      </c>
      <c r="DJ303" s="283">
        <f t="shared" si="141"/>
        <v>5.0477139220895167E-2</v>
      </c>
      <c r="DK303" s="283">
        <f t="shared" si="142"/>
        <v>3.3706647940200923E-2</v>
      </c>
      <c r="DL303" s="283">
        <f t="shared" si="143"/>
        <v>4.1486844689991011E-2</v>
      </c>
    </row>
    <row r="304" spans="1:116" x14ac:dyDescent="0.2">
      <c r="A304" s="30">
        <v>980</v>
      </c>
      <c r="B304" s="31" t="s">
        <v>618</v>
      </c>
      <c r="C304" s="65"/>
      <c r="D304" s="65"/>
      <c r="E304" s="65"/>
      <c r="F304" s="65"/>
      <c r="G304" s="65"/>
      <c r="H304" s="65">
        <v>42155</v>
      </c>
      <c r="I304" s="65"/>
      <c r="J304" s="65"/>
      <c r="K304" s="65"/>
      <c r="L304" s="65"/>
      <c r="M304" s="65"/>
      <c r="N304" s="65">
        <v>41221</v>
      </c>
      <c r="O304" s="65"/>
      <c r="P304" s="65"/>
      <c r="Q304" s="65"/>
      <c r="R304" s="65"/>
      <c r="S304" s="65"/>
      <c r="T304" s="65">
        <v>40819</v>
      </c>
      <c r="U304" s="65"/>
      <c r="V304" s="65"/>
      <c r="W304" s="65"/>
      <c r="X304" s="65"/>
      <c r="Y304" s="65"/>
      <c r="Z304" s="65">
        <v>41491</v>
      </c>
      <c r="AA304" s="65"/>
      <c r="AB304" s="66">
        <v>45891.239444371946</v>
      </c>
      <c r="AC304" s="34">
        <v>646.46558290023233</v>
      </c>
      <c r="AD304" s="180">
        <v>11422.959348681272</v>
      </c>
      <c r="AE304" s="65">
        <v>0</v>
      </c>
      <c r="AF304" s="34">
        <v>-3844.5619999999999</v>
      </c>
      <c r="AG304" s="65">
        <f t="shared" si="122"/>
        <v>54116.102375953451</v>
      </c>
      <c r="AH304" s="65"/>
      <c r="AI304" s="66">
        <v>40246.785591570835</v>
      </c>
      <c r="AJ304" s="34">
        <v>-502.18939461788847</v>
      </c>
      <c r="AK304" s="181">
        <v>12395.490374683772</v>
      </c>
      <c r="AL304" s="65">
        <v>0</v>
      </c>
      <c r="AM304" s="34">
        <v>-4236.2439999999997</v>
      </c>
      <c r="AN304" s="65">
        <f t="shared" si="123"/>
        <v>47903.84257163672</v>
      </c>
      <c r="AO304" s="65"/>
      <c r="AP304" s="41">
        <v>41953.767270995049</v>
      </c>
      <c r="AQ304" s="41">
        <v>-155.31794553084819</v>
      </c>
      <c r="AR304" s="41">
        <v>14464.844446224453</v>
      </c>
      <c r="AS304" s="65">
        <v>0</v>
      </c>
      <c r="AT304" s="34">
        <v>-3582.915</v>
      </c>
      <c r="AU304" s="65">
        <f t="shared" si="124"/>
        <v>52680.378771688651</v>
      </c>
      <c r="AV304" s="65"/>
      <c r="AW304" s="41">
        <v>26961.776887065673</v>
      </c>
      <c r="AX304" s="314"/>
      <c r="AY304" s="314"/>
      <c r="AZ304" s="41">
        <v>4320.9344172466153</v>
      </c>
      <c r="BA304" s="65">
        <v>0</v>
      </c>
      <c r="BB304" s="34">
        <v>-3835.518</v>
      </c>
      <c r="BC304" s="65">
        <f t="shared" si="144"/>
        <v>27447.193304312288</v>
      </c>
      <c r="BD304" s="65"/>
      <c r="BE304" s="41">
        <v>25620.831286977129</v>
      </c>
      <c r="BF304" s="314"/>
      <c r="BG304" s="314"/>
      <c r="BH304" s="41">
        <v>4220.969313674952</v>
      </c>
      <c r="BI304" s="65">
        <v>0</v>
      </c>
      <c r="BJ304" s="34">
        <v>-3968.3310000000001</v>
      </c>
      <c r="BK304" s="65">
        <f t="shared" si="145"/>
        <v>25873.469600652083</v>
      </c>
      <c r="BL304" s="65"/>
      <c r="BM304" s="41">
        <v>29361.123957367934</v>
      </c>
      <c r="BN304" s="41">
        <v>2056.4947193710327</v>
      </c>
      <c r="BO304" s="65">
        <v>0</v>
      </c>
      <c r="BP304" s="34">
        <v>-3968.3310000000001</v>
      </c>
      <c r="BQ304" s="65">
        <f t="shared" si="125"/>
        <v>27449.287676738968</v>
      </c>
      <c r="BR304" s="65"/>
      <c r="BS304" s="41">
        <v>29288.821868488722</v>
      </c>
      <c r="BT304" s="314"/>
      <c r="BU304" s="314"/>
      <c r="BV304" s="41">
        <v>2235.7006258246574</v>
      </c>
      <c r="BW304" s="65">
        <v>0</v>
      </c>
      <c r="BX304" s="34">
        <v>-3968.3310000000001</v>
      </c>
      <c r="BY304" s="65">
        <f t="shared" si="146"/>
        <v>27556.191494313382</v>
      </c>
      <c r="CA304" s="5">
        <v>29105.354308530048</v>
      </c>
      <c r="CB304" s="407">
        <v>2476.2151340009937</v>
      </c>
      <c r="CC304" s="415">
        <v>0</v>
      </c>
      <c r="CD304" s="34">
        <v>-3968.3310000000001</v>
      </c>
      <c r="CE304" s="65">
        <f t="shared" si="126"/>
        <v>27613.238442531045</v>
      </c>
      <c r="CF304" s="407"/>
      <c r="CG304" s="5">
        <v>29907.992065961025</v>
      </c>
      <c r="CH304" s="407">
        <v>2672.8107521593374</v>
      </c>
      <c r="CI304" s="415">
        <v>0</v>
      </c>
      <c r="CJ304" s="34">
        <v>-3968.3310000000001</v>
      </c>
      <c r="CK304" s="65">
        <f t="shared" si="127"/>
        <v>28612.471818120364</v>
      </c>
      <c r="CL304" s="407"/>
      <c r="CM304" s="41">
        <f>AU304/'1. Väestöennuste'!L304*1000</f>
        <v>1567.5418446064407</v>
      </c>
      <c r="CN304" s="41">
        <f>BC304/'1. Väestöennuste'!M304*1000</f>
        <v>815.01301494528275</v>
      </c>
      <c r="CO304" s="41">
        <f>BK304/'1. Väestöennuste'!N304*1000</f>
        <v>763.5219878021685</v>
      </c>
      <c r="CP304" s="41">
        <f>BQ304/'1. Väestöennuste'!O304*1000</f>
        <v>807.28450316860676</v>
      </c>
      <c r="CQ304" s="41">
        <f>BY304/'1. Väestöennuste'!P304*1000</f>
        <v>807.90991832747102</v>
      </c>
      <c r="CR304" s="41">
        <f>CE304/'1. Väestöennuste'!Q304*1000</f>
        <v>807.31021057569421</v>
      </c>
      <c r="CS304" s="41">
        <f>CK304/'1. Väestöennuste'!R304*1000</f>
        <v>834.52347366623007</v>
      </c>
      <c r="CT304" s="41"/>
      <c r="CV304" s="41">
        <f t="shared" si="128"/>
        <v>32580.802818120363</v>
      </c>
      <c r="CW304" s="41">
        <f t="shared" si="129"/>
        <v>-27044.929973513925</v>
      </c>
      <c r="CX304" s="41">
        <f t="shared" si="130"/>
        <v>-752.52882966115794</v>
      </c>
      <c r="CY304" s="41">
        <f t="shared" si="131"/>
        <v>-51.491027143114252</v>
      </c>
      <c r="CZ304" s="41">
        <f t="shared" si="132"/>
        <v>43.762515366438265</v>
      </c>
      <c r="DA304" s="41">
        <f t="shared" si="133"/>
        <v>0.62541515886425714</v>
      </c>
      <c r="DB304" s="41">
        <f t="shared" si="134"/>
        <v>-0.5997077517768048</v>
      </c>
      <c r="DC304" s="41">
        <f t="shared" si="135"/>
        <v>27.213263090535861</v>
      </c>
      <c r="DD304" s="41"/>
      <c r="DE304" s="283">
        <f t="shared" si="136"/>
        <v>-8.2102029337069826</v>
      </c>
      <c r="DF304" s="283">
        <f t="shared" si="137"/>
        <v>-0.94521473521858712</v>
      </c>
      <c r="DG304" s="283">
        <f t="shared" si="138"/>
        <v>-0.48006937247030473</v>
      </c>
      <c r="DH304" s="283">
        <f t="shared" si="139"/>
        <v>-6.3178165500303321E-2</v>
      </c>
      <c r="DI304" s="283">
        <f t="shared" si="140"/>
        <v>5.731664060181238E-2</v>
      </c>
      <c r="DJ304" s="283">
        <f t="shared" si="141"/>
        <v>7.7471468411630714E-4</v>
      </c>
      <c r="DK304" s="283">
        <f t="shared" si="142"/>
        <v>-7.4229532052077693E-4</v>
      </c>
      <c r="DL304" s="283">
        <f t="shared" si="143"/>
        <v>3.3708558041313563E-2</v>
      </c>
    </row>
    <row r="305" spans="1:116" x14ac:dyDescent="0.2">
      <c r="A305" s="30">
        <v>981</v>
      </c>
      <c r="B305" s="31" t="s">
        <v>619</v>
      </c>
      <c r="C305" s="65"/>
      <c r="D305" s="65"/>
      <c r="E305" s="65"/>
      <c r="F305" s="65"/>
      <c r="G305" s="65"/>
      <c r="H305" s="65">
        <v>5552</v>
      </c>
      <c r="I305" s="65"/>
      <c r="J305" s="65"/>
      <c r="K305" s="65"/>
      <c r="L305" s="65"/>
      <c r="M305" s="65"/>
      <c r="N305" s="65">
        <v>5378</v>
      </c>
      <c r="O305" s="65"/>
      <c r="P305" s="65"/>
      <c r="Q305" s="65"/>
      <c r="R305" s="65"/>
      <c r="S305" s="65"/>
      <c r="T305" s="65">
        <v>4840</v>
      </c>
      <c r="U305" s="65"/>
      <c r="V305" s="65"/>
      <c r="W305" s="65"/>
      <c r="X305" s="65"/>
      <c r="Y305" s="65"/>
      <c r="Z305" s="65">
        <v>4785</v>
      </c>
      <c r="AA305" s="65"/>
      <c r="AB305" s="66">
        <v>4971.7047153284429</v>
      </c>
      <c r="AC305" s="34">
        <v>38.917170944751639</v>
      </c>
      <c r="AD305" s="180">
        <v>1353.3016046671676</v>
      </c>
      <c r="AE305" s="65">
        <v>0</v>
      </c>
      <c r="AF305" s="34">
        <v>-573.428</v>
      </c>
      <c r="AG305" s="65">
        <f t="shared" si="122"/>
        <v>5790.4954909403623</v>
      </c>
      <c r="AH305" s="65"/>
      <c r="AI305" s="66">
        <v>4621.1745602462834</v>
      </c>
      <c r="AJ305" s="34">
        <v>-30.310382721984123</v>
      </c>
      <c r="AK305" s="181">
        <v>1443.9900155939065</v>
      </c>
      <c r="AL305" s="65">
        <v>0</v>
      </c>
      <c r="AM305" s="34">
        <v>-623.01499999999999</v>
      </c>
      <c r="AN305" s="65">
        <f t="shared" si="123"/>
        <v>5411.8391931182059</v>
      </c>
      <c r="AO305" s="65"/>
      <c r="AP305" s="41">
        <v>4651.2751013396792</v>
      </c>
      <c r="AQ305" s="41">
        <v>-9.3833796235625524</v>
      </c>
      <c r="AR305" s="41">
        <v>1650.7349916412393</v>
      </c>
      <c r="AS305" s="65">
        <v>0</v>
      </c>
      <c r="AT305" s="34">
        <v>-529.16999999999996</v>
      </c>
      <c r="AU305" s="65">
        <f t="shared" si="124"/>
        <v>5763.4567133573564</v>
      </c>
      <c r="AV305" s="65"/>
      <c r="AW305" s="41">
        <v>1857.6244534690511</v>
      </c>
      <c r="AX305" s="314"/>
      <c r="AY305" s="314"/>
      <c r="AZ305" s="41">
        <v>512.3199765816571</v>
      </c>
      <c r="BA305" s="65">
        <v>0</v>
      </c>
      <c r="BB305" s="34">
        <v>-536.46</v>
      </c>
      <c r="BC305" s="65">
        <f t="shared" si="144"/>
        <v>1833.4844300507084</v>
      </c>
      <c r="BD305" s="65"/>
      <c r="BE305" s="41">
        <v>1816.4002466536704</v>
      </c>
      <c r="BF305" s="314"/>
      <c r="BG305" s="314"/>
      <c r="BH305" s="41">
        <v>506.5949748876069</v>
      </c>
      <c r="BI305" s="65">
        <v>0</v>
      </c>
      <c r="BJ305" s="34">
        <v>-575.66800000000001</v>
      </c>
      <c r="BK305" s="65">
        <f t="shared" si="145"/>
        <v>1747.3272215412771</v>
      </c>
      <c r="BL305" s="65"/>
      <c r="BM305" s="41">
        <v>2118.7805152653918</v>
      </c>
      <c r="BN305" s="41">
        <v>333.99727606353946</v>
      </c>
      <c r="BO305" s="65">
        <v>0</v>
      </c>
      <c r="BP305" s="34">
        <v>-575.66800000000001</v>
      </c>
      <c r="BQ305" s="65">
        <f t="shared" si="125"/>
        <v>1877.1097913289314</v>
      </c>
      <c r="BR305" s="65"/>
      <c r="BS305" s="41">
        <v>1739.9825611285828</v>
      </c>
      <c r="BT305" s="314"/>
      <c r="BU305" s="314"/>
      <c r="BV305" s="41">
        <v>358.15630025170265</v>
      </c>
      <c r="BW305" s="65">
        <v>0</v>
      </c>
      <c r="BX305" s="34">
        <v>-575.66800000000001</v>
      </c>
      <c r="BY305" s="65">
        <f t="shared" si="146"/>
        <v>1522.4708613802854</v>
      </c>
      <c r="CA305" s="5">
        <v>1757.4547875527423</v>
      </c>
      <c r="CB305" s="407">
        <v>382.35636521811739</v>
      </c>
      <c r="CC305" s="415">
        <v>0</v>
      </c>
      <c r="CD305" s="34">
        <v>-575.66800000000001</v>
      </c>
      <c r="CE305" s="65">
        <f t="shared" si="126"/>
        <v>1564.1431527708596</v>
      </c>
      <c r="CF305" s="407"/>
      <c r="CG305" s="5">
        <v>1950.8425308930293</v>
      </c>
      <c r="CH305" s="407">
        <v>403.57597599183617</v>
      </c>
      <c r="CI305" s="415">
        <v>0</v>
      </c>
      <c r="CJ305" s="34">
        <v>-575.66800000000001</v>
      </c>
      <c r="CK305" s="65">
        <f t="shared" si="127"/>
        <v>1778.7505068848654</v>
      </c>
      <c r="CL305" s="407"/>
      <c r="CM305" s="41">
        <f>AU305/'1. Väestöennuste'!L305*1000</f>
        <v>2576.4223126318088</v>
      </c>
      <c r="CN305" s="41">
        <f>BC305/'1. Väestöennuste'!M305*1000</f>
        <v>830.75869055310761</v>
      </c>
      <c r="CO305" s="41">
        <f>BK305/'1. Väestöennuste'!N305*1000</f>
        <v>779.01347371434565</v>
      </c>
      <c r="CP305" s="41">
        <f>BQ305/'1. Väestöennuste'!O305*1000</f>
        <v>843.26585414597105</v>
      </c>
      <c r="CQ305" s="41">
        <f>BY305/'1. Väestöennuste'!P305*1000</f>
        <v>689.21270320519932</v>
      </c>
      <c r="CR305" s="41">
        <f>CE305/'1. Väestöennuste'!Q305*1000</f>
        <v>712.59369146736196</v>
      </c>
      <c r="CS305" s="41">
        <f>CK305/'1. Väestöennuste'!R305*1000</f>
        <v>815.94059948847041</v>
      </c>
      <c r="CT305" s="41"/>
      <c r="CV305" s="41">
        <f t="shared" si="128"/>
        <v>2354.4185068848656</v>
      </c>
      <c r="CW305" s="41">
        <f t="shared" si="129"/>
        <v>797.67180574694339</v>
      </c>
      <c r="CX305" s="41">
        <f t="shared" si="130"/>
        <v>-1745.6636220787013</v>
      </c>
      <c r="CY305" s="41">
        <f t="shared" si="131"/>
        <v>-51.745216838761962</v>
      </c>
      <c r="CZ305" s="41">
        <f t="shared" si="132"/>
        <v>64.252380431625397</v>
      </c>
      <c r="DA305" s="41">
        <f t="shared" si="133"/>
        <v>-154.05315094077173</v>
      </c>
      <c r="DB305" s="41">
        <f t="shared" si="134"/>
        <v>23.380988262162646</v>
      </c>
      <c r="DC305" s="41">
        <f t="shared" si="135"/>
        <v>103.34690802110845</v>
      </c>
      <c r="DD305" s="41"/>
      <c r="DE305" s="283">
        <f t="shared" si="136"/>
        <v>-4.0898894968712272</v>
      </c>
      <c r="DF305" s="283">
        <f t="shared" si="137"/>
        <v>0.44844501950074489</v>
      </c>
      <c r="DG305" s="283">
        <f t="shared" si="138"/>
        <v>-0.67755337062560617</v>
      </c>
      <c r="DH305" s="283">
        <f t="shared" si="139"/>
        <v>-6.22866994076351E-2</v>
      </c>
      <c r="DI305" s="283">
        <f t="shared" si="140"/>
        <v>8.2479164481288461E-2</v>
      </c>
      <c r="DJ305" s="283">
        <f t="shared" si="141"/>
        <v>-0.18268633810246135</v>
      </c>
      <c r="DK305" s="283">
        <f t="shared" si="142"/>
        <v>3.3924198079096378E-2</v>
      </c>
      <c r="DL305" s="283">
        <f t="shared" si="143"/>
        <v>0.1450292210815087</v>
      </c>
    </row>
    <row r="306" spans="1:116" x14ac:dyDescent="0.2">
      <c r="A306" s="30">
        <v>989</v>
      </c>
      <c r="B306" s="31" t="s">
        <v>620</v>
      </c>
      <c r="C306" s="65"/>
      <c r="D306" s="65"/>
      <c r="E306" s="65"/>
      <c r="F306" s="65"/>
      <c r="G306" s="65"/>
      <c r="H306" s="65">
        <v>18225</v>
      </c>
      <c r="I306" s="65"/>
      <c r="J306" s="65"/>
      <c r="K306" s="65"/>
      <c r="L306" s="65"/>
      <c r="M306" s="65"/>
      <c r="N306" s="65">
        <v>18301</v>
      </c>
      <c r="O306" s="65"/>
      <c r="P306" s="65"/>
      <c r="Q306" s="65"/>
      <c r="R306" s="65"/>
      <c r="S306" s="65"/>
      <c r="T306" s="65">
        <v>18423</v>
      </c>
      <c r="U306" s="65"/>
      <c r="V306" s="65"/>
      <c r="W306" s="65"/>
      <c r="X306" s="65"/>
      <c r="Y306" s="65"/>
      <c r="Z306" s="65">
        <v>18356</v>
      </c>
      <c r="AA306" s="65"/>
      <c r="AB306" s="66">
        <v>16879.210159398244</v>
      </c>
      <c r="AC306" s="34">
        <v>99.598559794962654</v>
      </c>
      <c r="AD306" s="180">
        <v>3192.1150002538952</v>
      </c>
      <c r="AE306" s="65">
        <v>0</v>
      </c>
      <c r="AF306" s="34">
        <v>-190.03399999999999</v>
      </c>
      <c r="AG306" s="65">
        <f t="shared" si="122"/>
        <v>19980.889719447103</v>
      </c>
      <c r="AH306" s="65"/>
      <c r="AI306" s="66">
        <v>15881.25128678864</v>
      </c>
      <c r="AJ306" s="34">
        <v>-77.179092442941055</v>
      </c>
      <c r="AK306" s="181">
        <v>3399.5280727592876</v>
      </c>
      <c r="AL306" s="65">
        <v>900</v>
      </c>
      <c r="AM306" s="34">
        <v>-332.48599999999999</v>
      </c>
      <c r="AN306" s="65">
        <f t="shared" si="123"/>
        <v>19771.114267104986</v>
      </c>
      <c r="AO306" s="65"/>
      <c r="AP306" s="41">
        <v>16722.187228423882</v>
      </c>
      <c r="AQ306" s="41">
        <v>-23.741284964303539</v>
      </c>
      <c r="AR306" s="41">
        <v>3777.2221418359704</v>
      </c>
      <c r="AS306" s="65">
        <v>0</v>
      </c>
      <c r="AT306" s="34">
        <v>-386.11399999999998</v>
      </c>
      <c r="AU306" s="65">
        <f t="shared" si="124"/>
        <v>20089.554085295546</v>
      </c>
      <c r="AV306" s="65"/>
      <c r="AW306" s="41">
        <v>1645.8655262933523</v>
      </c>
      <c r="AX306" s="314"/>
      <c r="AY306" s="314"/>
      <c r="AZ306" s="41">
        <v>1159.0912377425532</v>
      </c>
      <c r="BA306" s="65">
        <v>320</v>
      </c>
      <c r="BB306" s="34">
        <v>-442.11399999999998</v>
      </c>
      <c r="BC306" s="65">
        <f t="shared" si="144"/>
        <v>2682.8427640359055</v>
      </c>
      <c r="BD306" s="65"/>
      <c r="BE306" s="41">
        <v>1409.0246157753174</v>
      </c>
      <c r="BF306" s="314"/>
      <c r="BG306" s="314"/>
      <c r="BH306" s="41">
        <v>1150.2771356862797</v>
      </c>
      <c r="BI306" s="65">
        <v>0</v>
      </c>
      <c r="BJ306" s="34">
        <v>-387.11599999999999</v>
      </c>
      <c r="BK306" s="65">
        <f t="shared" si="145"/>
        <v>2172.1857514615972</v>
      </c>
      <c r="BL306" s="65"/>
      <c r="BM306" s="41">
        <v>2320.0705679705693</v>
      </c>
      <c r="BN306" s="41">
        <v>740.27052604225094</v>
      </c>
      <c r="BO306" s="65">
        <v>0</v>
      </c>
      <c r="BP306" s="34">
        <v>-387.11599999999999</v>
      </c>
      <c r="BQ306" s="65">
        <f t="shared" si="125"/>
        <v>2673.2250940128201</v>
      </c>
      <c r="BR306" s="65"/>
      <c r="BS306" s="41">
        <v>1962.8603999590034</v>
      </c>
      <c r="BT306" s="314"/>
      <c r="BU306" s="314"/>
      <c r="BV306" s="41">
        <v>797.40818397100065</v>
      </c>
      <c r="BW306" s="65">
        <v>0</v>
      </c>
      <c r="BX306" s="34">
        <v>-387.11599999999999</v>
      </c>
      <c r="BY306" s="65">
        <f t="shared" si="146"/>
        <v>2373.1525839300039</v>
      </c>
      <c r="CA306" s="5">
        <v>1941.8187564859745</v>
      </c>
      <c r="CB306" s="407">
        <v>854.95816293859559</v>
      </c>
      <c r="CC306" s="415">
        <v>0</v>
      </c>
      <c r="CD306" s="34">
        <v>-387.11599999999999</v>
      </c>
      <c r="CE306" s="65">
        <f t="shared" si="126"/>
        <v>2409.6609194245702</v>
      </c>
      <c r="CF306" s="407"/>
      <c r="CG306" s="5">
        <v>2689.3769133157675</v>
      </c>
      <c r="CH306" s="407">
        <v>905.85624419256226</v>
      </c>
      <c r="CI306" s="415">
        <v>0</v>
      </c>
      <c r="CJ306" s="34">
        <v>-387.11599999999999</v>
      </c>
      <c r="CK306" s="65">
        <f t="shared" si="127"/>
        <v>3208.1171575083299</v>
      </c>
      <c r="CL306" s="407"/>
      <c r="CM306" s="41">
        <f>AU306/'1. Väestöennuste'!L306*1000</f>
        <v>3716.1587283195609</v>
      </c>
      <c r="CN306" s="41">
        <f>BC306/'1. Väestöennuste'!M306*1000</f>
        <v>504.6732061768069</v>
      </c>
      <c r="CO306" s="41">
        <f>BK306/'1. Väestöennuste'!N306*1000</f>
        <v>420.55871277088033</v>
      </c>
      <c r="CP306" s="41">
        <f>BQ306/'1. Väestöennuste'!O306*1000</f>
        <v>525.50129624785143</v>
      </c>
      <c r="CQ306" s="41">
        <f>BY306/'1. Väestöennuste'!P306*1000</f>
        <v>473.68315048503075</v>
      </c>
      <c r="CR306" s="41">
        <f>CE306/'1. Väestöennuste'!Q306*1000</f>
        <v>488.37878383148967</v>
      </c>
      <c r="CS306" s="41">
        <f>CK306/'1. Väestöennuste'!R306*1000</f>
        <v>659.69918928816162</v>
      </c>
      <c r="CT306" s="41"/>
      <c r="CV306" s="41">
        <f t="shared" si="128"/>
        <v>3595.2331575083299</v>
      </c>
      <c r="CW306" s="41">
        <f t="shared" si="129"/>
        <v>508.04157081123094</v>
      </c>
      <c r="CX306" s="41">
        <f t="shared" si="130"/>
        <v>-3211.4855221427538</v>
      </c>
      <c r="CY306" s="41">
        <f t="shared" si="131"/>
        <v>-84.114493405926567</v>
      </c>
      <c r="CZ306" s="41">
        <f t="shared" si="132"/>
        <v>104.94258347697109</v>
      </c>
      <c r="DA306" s="41">
        <f t="shared" si="133"/>
        <v>-51.818145762820677</v>
      </c>
      <c r="DB306" s="41">
        <f t="shared" si="134"/>
        <v>14.695633346458919</v>
      </c>
      <c r="DC306" s="41">
        <f t="shared" si="135"/>
        <v>171.32040545667195</v>
      </c>
      <c r="DD306" s="41"/>
      <c r="DE306" s="283">
        <f t="shared" si="136"/>
        <v>-9.2872243914184125</v>
      </c>
      <c r="DF306" s="283">
        <f t="shared" si="137"/>
        <v>0.15836128977465869</v>
      </c>
      <c r="DG306" s="283">
        <f t="shared" si="138"/>
        <v>-0.864194927323511</v>
      </c>
      <c r="DH306" s="283">
        <f t="shared" si="139"/>
        <v>-0.16667120896538729</v>
      </c>
      <c r="DI306" s="283">
        <f t="shared" si="140"/>
        <v>0.24953135029720247</v>
      </c>
      <c r="DJ306" s="283">
        <f t="shared" si="141"/>
        <v>-9.8607075059203603E-2</v>
      </c>
      <c r="DK306" s="283">
        <f t="shared" si="142"/>
        <v>3.1024184270458503E-2</v>
      </c>
      <c r="DL306" s="283">
        <f t="shared" si="143"/>
        <v>0.35079411950004852</v>
      </c>
    </row>
    <row r="307" spans="1:116" x14ac:dyDescent="0.2">
      <c r="A307" s="30">
        <v>992</v>
      </c>
      <c r="B307" s="31" t="s">
        <v>621</v>
      </c>
      <c r="C307" s="65"/>
      <c r="D307" s="65"/>
      <c r="E307" s="65"/>
      <c r="F307" s="65"/>
      <c r="G307" s="65"/>
      <c r="H307" s="65">
        <v>44484</v>
      </c>
      <c r="I307" s="65"/>
      <c r="J307" s="65"/>
      <c r="K307" s="65"/>
      <c r="L307" s="65"/>
      <c r="M307" s="65"/>
      <c r="N307" s="65">
        <v>44660</v>
      </c>
      <c r="O307" s="65"/>
      <c r="P307" s="65"/>
      <c r="Q307" s="65"/>
      <c r="R307" s="65"/>
      <c r="S307" s="65"/>
      <c r="T307" s="65">
        <v>43160</v>
      </c>
      <c r="U307" s="65"/>
      <c r="V307" s="65"/>
      <c r="W307" s="65"/>
      <c r="X307" s="65"/>
      <c r="Y307" s="65"/>
      <c r="Z307" s="65">
        <v>42963</v>
      </c>
      <c r="AA307" s="65"/>
      <c r="AB307" s="66">
        <v>43792.213228215442</v>
      </c>
      <c r="AC307" s="34">
        <v>365.79605799242466</v>
      </c>
      <c r="AD307" s="180">
        <v>8184.9766471571875</v>
      </c>
      <c r="AE307" s="65">
        <v>0</v>
      </c>
      <c r="AF307" s="34">
        <v>-577.59100000000001</v>
      </c>
      <c r="AG307" s="65">
        <f t="shared" si="122"/>
        <v>51765.394933365053</v>
      </c>
      <c r="AH307" s="65"/>
      <c r="AI307" s="66">
        <v>42538.100988580663</v>
      </c>
      <c r="AJ307" s="34">
        <v>-281.00035750379476</v>
      </c>
      <c r="AK307" s="181">
        <v>8776.8723786334376</v>
      </c>
      <c r="AL307" s="65">
        <v>0</v>
      </c>
      <c r="AM307" s="34">
        <v>-1114.518</v>
      </c>
      <c r="AN307" s="65">
        <f t="shared" si="123"/>
        <v>49919.455009710306</v>
      </c>
      <c r="AO307" s="65"/>
      <c r="AP307" s="41">
        <v>43171.683032526213</v>
      </c>
      <c r="AQ307" s="41">
        <v>-86.174888975835032</v>
      </c>
      <c r="AR307" s="41">
        <v>10004.435821346484</v>
      </c>
      <c r="AS307" s="65">
        <v>0</v>
      </c>
      <c r="AT307" s="34">
        <v>-844.774</v>
      </c>
      <c r="AU307" s="65">
        <f t="shared" si="124"/>
        <v>52245.169964896857</v>
      </c>
      <c r="AV307" s="65"/>
      <c r="AW307" s="41">
        <v>13549.556301284756</v>
      </c>
      <c r="AX307" s="314"/>
      <c r="AY307" s="314"/>
      <c r="AZ307" s="41">
        <v>2981.9172262499055</v>
      </c>
      <c r="BA307" s="65">
        <v>0</v>
      </c>
      <c r="BB307" s="34">
        <v>-878.88099999999997</v>
      </c>
      <c r="BC307" s="65">
        <f t="shared" si="144"/>
        <v>15652.592527534662</v>
      </c>
      <c r="BD307" s="65"/>
      <c r="BE307" s="41">
        <v>7992.4532930188552</v>
      </c>
      <c r="BF307" s="314"/>
      <c r="BG307" s="314"/>
      <c r="BH307" s="41">
        <v>2934.3012147387285</v>
      </c>
      <c r="BI307" s="65">
        <v>0</v>
      </c>
      <c r="BJ307" s="34">
        <v>-714.98099999999999</v>
      </c>
      <c r="BK307" s="65">
        <f t="shared" si="145"/>
        <v>10211.773507757584</v>
      </c>
      <c r="BL307" s="65"/>
      <c r="BM307" s="41">
        <v>9894.9082856197474</v>
      </c>
      <c r="BN307" s="41">
        <v>1674.8055819158085</v>
      </c>
      <c r="BO307" s="65">
        <v>0</v>
      </c>
      <c r="BP307" s="34">
        <v>-714.98099999999999</v>
      </c>
      <c r="BQ307" s="65">
        <f t="shared" si="125"/>
        <v>10854.732867535557</v>
      </c>
      <c r="BR307" s="65"/>
      <c r="BS307" s="41">
        <v>8603.1302519394012</v>
      </c>
      <c r="BT307" s="314"/>
      <c r="BU307" s="314"/>
      <c r="BV307" s="41">
        <v>1831.3759109995046</v>
      </c>
      <c r="BW307" s="65">
        <v>0</v>
      </c>
      <c r="BX307" s="34">
        <v>-714.98099999999999</v>
      </c>
      <c r="BY307" s="65">
        <f t="shared" si="146"/>
        <v>9719.5251629389059</v>
      </c>
      <c r="CA307" s="5">
        <v>8368.873283721261</v>
      </c>
      <c r="CB307" s="407">
        <v>1994.4660783952959</v>
      </c>
      <c r="CC307" s="415">
        <v>0</v>
      </c>
      <c r="CD307" s="34">
        <v>-714.98099999999999</v>
      </c>
      <c r="CE307" s="65">
        <f t="shared" si="126"/>
        <v>9648.3583621165562</v>
      </c>
      <c r="CF307" s="407"/>
      <c r="CG307" s="5">
        <v>9642.2579436497053</v>
      </c>
      <c r="CH307" s="407">
        <v>2134.2273398752695</v>
      </c>
      <c r="CI307" s="415">
        <v>0</v>
      </c>
      <c r="CJ307" s="34">
        <v>-714.98099999999999</v>
      </c>
      <c r="CK307" s="65">
        <f t="shared" si="127"/>
        <v>11061.504283524975</v>
      </c>
      <c r="CL307" s="407"/>
      <c r="CM307" s="41">
        <f>AU307/'1. Väestöennuste'!L307*1000</f>
        <v>2883.2875256565594</v>
      </c>
      <c r="CN307" s="41">
        <f>BC307/'1. Väestöennuste'!M307*1000</f>
        <v>870.9917382190564</v>
      </c>
      <c r="CO307" s="41">
        <f>BK307/'1. Väestöennuste'!N307*1000</f>
        <v>574.59900448782264</v>
      </c>
      <c r="CP307" s="41">
        <f>BQ307/'1. Väestöennuste'!O307*1000</f>
        <v>617.51808325950378</v>
      </c>
      <c r="CQ307" s="41">
        <f>BY307/'1. Väestöennuste'!P307*1000</f>
        <v>558.91461546514699</v>
      </c>
      <c r="CR307" s="41">
        <f>CE307/'1. Väestöennuste'!Q307*1000</f>
        <v>560.72286639835852</v>
      </c>
      <c r="CS307" s="41">
        <f>CK307/'1. Väestöennuste'!R307*1000</f>
        <v>649.49235414978421</v>
      </c>
      <c r="CT307" s="41"/>
      <c r="CV307" s="41">
        <f t="shared" si="128"/>
        <v>11776.485283524975</v>
      </c>
      <c r="CW307" s="41">
        <f t="shared" si="129"/>
        <v>-8178.2167578684157</v>
      </c>
      <c r="CX307" s="41">
        <f t="shared" si="130"/>
        <v>-2012.2957874375029</v>
      </c>
      <c r="CY307" s="41">
        <f t="shared" si="131"/>
        <v>-296.39273373123376</v>
      </c>
      <c r="CZ307" s="41">
        <f t="shared" si="132"/>
        <v>42.919078771681143</v>
      </c>
      <c r="DA307" s="41">
        <f t="shared" si="133"/>
        <v>-58.603467794356789</v>
      </c>
      <c r="DB307" s="41">
        <f t="shared" si="134"/>
        <v>1.8082509332115251</v>
      </c>
      <c r="DC307" s="41">
        <f t="shared" si="135"/>
        <v>88.769487751425686</v>
      </c>
      <c r="DD307" s="41"/>
      <c r="DE307" s="283">
        <f t="shared" si="136"/>
        <v>-16.471046480291051</v>
      </c>
      <c r="DF307" s="283">
        <f t="shared" si="137"/>
        <v>-0.73934037796731378</v>
      </c>
      <c r="DG307" s="283">
        <f t="shared" si="138"/>
        <v>-0.69791714129491089</v>
      </c>
      <c r="DH307" s="283">
        <f t="shared" si="139"/>
        <v>-0.3402933928366268</v>
      </c>
      <c r="DI307" s="283">
        <f t="shared" si="140"/>
        <v>7.4693966464382755E-2</v>
      </c>
      <c r="DJ307" s="283">
        <f t="shared" si="141"/>
        <v>-9.4901622127443769E-2</v>
      </c>
      <c r="DK307" s="283">
        <f t="shared" si="142"/>
        <v>3.2352901197737326E-3</v>
      </c>
      <c r="DL307" s="283">
        <f t="shared" si="143"/>
        <v>0.1583125873243067</v>
      </c>
    </row>
  </sheetData>
  <pageMargins left="0.7" right="0.7" top="0.75" bottom="0.75" header="0.3" footer="0.3"/>
  <pageSetup paperSize="9" orientation="portrait" r:id="rId1"/>
  <ignoredErrors>
    <ignoredError sqref="BH13"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L l d u W A x i P 9 m l A A A A 9 g A A A B I A H A B D b 2 5 m a W c v U G F j a 2 F n Z S 5 4 b W w g o h g A K K A U A A A A A A A A A A A A A A A A A A A A A A A A A A A A h Y 9 L C s I w G I S v U r J v X m 6 k / E 0 X g i B Y E A R x G 9 K 0 D b a p N K n p 3 V x 4 J K 9 g R a v u X M 7 M N z B z v 9 4 g G 9 s m u u j e m c 6 m i G G K I m 1 V V x h b p W j w Z b x E m Y C d V C d Z 6 W i C r U t G Z 1 J U e 3 9 O C A k h 4 L D A X V 8 R T i k j x 3 y 7 V 7 V u Z W y s 8 9 I q j T 6 t 4 n 8 L C T i 8 x g i O G a e Y c 4 4 p k N m E 3 N g v w K e 9 z / T H h N X Q + K H X o j T x e g N k l k D e H 8 Q D U E s D B B Q A A g A I A C 5 X b l 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u V 2 5 Y K I p H u A 4 A A A A R A A A A E w A c A E Z v c m 1 1 b G F z L 1 N l Y 3 R p b 2 4 x L m 0 g o h g A K K A U A A A A A A A A A A A A A A A A A A A A A A A A A A A A K 0 5 N L s n M z 1 M I h t C G 1 g B Q S w E C L Q A U A A I A C A A u V 2 5 Y D G I / 2 a U A A A D 2 A A A A E g A A A A A A A A A A A A A A A A A A A A A A Q 2 9 u Z m l n L 1 B h Y 2 t h Z 2 U u e G 1 s U E s B A i 0 A F A A C A A g A L l d u W A / K 6 a u k A A A A 6 Q A A A B M A A A A A A A A A A A A A A A A A 8 Q A A A F t D b 2 5 0 Z W 5 0 X 1 R 5 c G V z X S 5 4 b W x Q S w E C L Q A U A A I A C A A u V 2 5 Y 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t 9 r v S d n n h E K + 7 b r 1 k L 2 o 6 w A A A A A C A A A A A A A D Z g A A w A A A A B A A A A B U R L o T A E I f 0 I 9 G U O P Q 6 k 4 I A A A A A A S A A A C g A A A A E A A A A F G x f T C 7 o 8 N C + b e W 4 B t n Q 5 B Q A A A A P 0 3 4 a k L 4 d 3 n E 8 W U B 7 j + g W V 2 b y Z 7 2 p d 2 y U f o m x I v C r w x k l Z 6 9 w 1 P 7 8 g u w w 5 C D x 0 6 V T s k 6 u t t I f V Z M Y J p t X v k H V t q q G H t y f W 1 e 5 Q U j P o 7 e J f E U A A A A r G O v y O Z G a R 0 m 9 s N D a Z q P E C 9 P 1 P w = < / D a t a M a s h u p > 
</file>

<file path=customXml/itemProps1.xml><?xml version="1.0" encoding="utf-8"?>
<ds:datastoreItem xmlns:ds="http://schemas.openxmlformats.org/officeDocument/2006/customXml" ds:itemID="{02E75F61-40FA-4D5F-9FE1-7E7F270C127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27</vt:i4>
      </vt:variant>
      <vt:variant>
        <vt:lpstr>Nimetyt alueet</vt:lpstr>
      </vt:variant>
      <vt:variant>
        <vt:i4>22</vt:i4>
      </vt:variant>
    </vt:vector>
  </HeadingPairs>
  <TitlesOfParts>
    <vt:vector size="49" baseType="lpstr">
      <vt:lpstr>Info</vt:lpstr>
      <vt:lpstr>Painelaskelma</vt:lpstr>
      <vt:lpstr>Taulukot</vt:lpstr>
      <vt:lpstr>Kuviot</vt:lpstr>
      <vt:lpstr>1. Väestöennuste</vt:lpstr>
      <vt:lpstr>2. Toimintakate</vt:lpstr>
      <vt:lpstr>2.1. Toimintakatennuste</vt:lpstr>
      <vt:lpstr>3. Verotulot</vt:lpstr>
      <vt:lpstr>4. Valtionosuudet</vt:lpstr>
      <vt:lpstr>5. Rahoitustuotot ja -kulut</vt:lpstr>
      <vt:lpstr>6. Poistot</vt:lpstr>
      <vt:lpstr>7. Nettoinvestoinnit </vt:lpstr>
      <vt:lpstr>7.1. Nettoinvestointiennuste </vt:lpstr>
      <vt:lpstr>8. Satunnaiset erät</vt:lpstr>
      <vt:lpstr>9. Tulorahkorjauserät</vt:lpstr>
      <vt:lpstr>10. Kassavarat vuoden lopussa</vt:lpstr>
      <vt:lpstr>Käyttökate</vt:lpstr>
      <vt:lpstr>Vuosikate</vt:lpstr>
      <vt:lpstr>Toim ja inv rahavirta</vt:lpstr>
      <vt:lpstr>Tilikauden tulos</vt:lpstr>
      <vt:lpstr>Taseen kertynyt ali_ylijäämä</vt:lpstr>
      <vt:lpstr>Lainakanta</vt:lpstr>
      <vt:lpstr>Veroposentin tuotto</vt:lpstr>
      <vt:lpstr>Korotuspaine</vt:lpstr>
      <vt:lpstr>Makroennusteet</vt:lpstr>
      <vt:lpstr>aputaulukko</vt:lpstr>
      <vt:lpstr>Manner-Suomen kunnat 2022</vt:lpstr>
      <vt:lpstr>kassavarat</vt:lpstr>
      <vt:lpstr>korotuspaine</vt:lpstr>
      <vt:lpstr>kunnat</vt:lpstr>
      <vt:lpstr>kuntiennimet</vt:lpstr>
      <vt:lpstr>lainakanta</vt:lpstr>
      <vt:lpstr>linkki</vt:lpstr>
      <vt:lpstr>linkki2</vt:lpstr>
      <vt:lpstr>muuttujat</vt:lpstr>
      <vt:lpstr>nettoinvestoinnit</vt:lpstr>
      <vt:lpstr>nimilinkki</vt:lpstr>
      <vt:lpstr>nimilinkki2</vt:lpstr>
      <vt:lpstr>Poistot</vt:lpstr>
      <vt:lpstr>Rahoitusnetto</vt:lpstr>
      <vt:lpstr>retro</vt:lpstr>
      <vt:lpstr>retro2</vt:lpstr>
      <vt:lpstr>satut</vt:lpstr>
      <vt:lpstr>Toimintakate</vt:lpstr>
      <vt:lpstr>tulrah</vt:lpstr>
      <vt:lpstr>valtionosuudet</vt:lpstr>
      <vt:lpstr>veroprosentti</vt:lpstr>
      <vt:lpstr>Verotulot</vt:lpstr>
      <vt:lpstr>väestöennuste</vt:lpstr>
    </vt:vector>
  </TitlesOfParts>
  <Company>VIP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Vähänen Miikka VM</dc:creator>
  <cp:lastModifiedBy>Piirainen Lauri (VM)</cp:lastModifiedBy>
  <cp:lastPrinted>2020-07-03T08:05:56Z</cp:lastPrinted>
  <dcterms:created xsi:type="dcterms:W3CDTF">2016-11-07T14:29:22Z</dcterms:created>
  <dcterms:modified xsi:type="dcterms:W3CDTF">2024-09-24T09:52:10Z</dcterms:modified>
</cp:coreProperties>
</file>